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赵世麒\Desktop\事件分析99849\20191122091223\_\"/>
    </mc:Choice>
  </mc:AlternateContent>
  <xr:revisionPtr revIDLastSave="0" documentId="13_ncr:1_{1B0A2955-4260-4321-9EE9-290A1AA16F60}" xr6:coauthVersionLast="44" xr6:coauthVersionMax="44" xr10:uidLastSave="{00000000-0000-0000-0000-000000000000}"/>
  <bookViews>
    <workbookView xWindow="-108" yWindow="-108" windowWidth="23256" windowHeight="12576" xr2:uid="{00000000-000D-0000-FFFF-FFFF00000000}"/>
  </bookViews>
  <sheets>
    <sheet name="Sheet1" sheetId="1" r:id="rId1"/>
  </sheet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2" i="1" l="1"/>
  <c r="B2" i="1"/>
  <c r="E3" i="1"/>
  <c r="B3" i="1"/>
  <c r="E4" i="1"/>
  <c r="B4" i="1"/>
  <c r="E5" i="1"/>
  <c r="B5" i="1"/>
  <c r="E6" i="1"/>
  <c r="B6" i="1"/>
  <c r="E7" i="1"/>
  <c r="B7" i="1"/>
  <c r="E8" i="1"/>
  <c r="B8" i="1"/>
  <c r="E9" i="1"/>
  <c r="B9" i="1"/>
  <c r="E10" i="1"/>
  <c r="B10" i="1"/>
  <c r="E11" i="1"/>
  <c r="B11" i="1"/>
  <c r="E12" i="1"/>
  <c r="B12" i="1"/>
  <c r="E13" i="1"/>
  <c r="B13" i="1"/>
  <c r="E14" i="1"/>
  <c r="B14" i="1"/>
  <c r="E15" i="1"/>
  <c r="B15" i="1"/>
  <c r="E16" i="1"/>
  <c r="B16" i="1"/>
  <c r="E17" i="1"/>
  <c r="B17" i="1"/>
  <c r="E18" i="1"/>
  <c r="B18" i="1"/>
  <c r="E19" i="1"/>
  <c r="B19" i="1"/>
  <c r="E20" i="1"/>
  <c r="B20" i="1"/>
  <c r="E21" i="1"/>
  <c r="B21" i="1"/>
  <c r="E22" i="1"/>
  <c r="B22" i="1"/>
  <c r="E23" i="1"/>
  <c r="B23" i="1"/>
  <c r="E24" i="1"/>
  <c r="B24" i="1"/>
  <c r="E25" i="1"/>
  <c r="B25" i="1"/>
  <c r="E26" i="1"/>
  <c r="B26" i="1"/>
  <c r="E27" i="1"/>
  <c r="B27" i="1"/>
  <c r="E28" i="1"/>
  <c r="B28" i="1"/>
  <c r="E29" i="1"/>
  <c r="B29" i="1"/>
  <c r="E30" i="1"/>
  <c r="B30" i="1"/>
  <c r="E31" i="1"/>
  <c r="B31" i="1"/>
  <c r="E32" i="1"/>
  <c r="B32" i="1"/>
  <c r="E33" i="1"/>
  <c r="B33" i="1"/>
  <c r="E34" i="1"/>
  <c r="B34" i="1"/>
  <c r="E35" i="1"/>
  <c r="B35" i="1"/>
  <c r="E36" i="1"/>
  <c r="B36" i="1"/>
  <c r="E37" i="1"/>
  <c r="B37" i="1"/>
  <c r="E38" i="1"/>
  <c r="B38" i="1"/>
  <c r="E39" i="1"/>
  <c r="B39" i="1"/>
  <c r="E40" i="1"/>
  <c r="B40" i="1"/>
  <c r="E41" i="1"/>
  <c r="B41" i="1"/>
  <c r="E42" i="1"/>
  <c r="B42" i="1"/>
  <c r="E43" i="1"/>
  <c r="B43" i="1"/>
  <c r="E44" i="1"/>
  <c r="B44" i="1"/>
  <c r="E45" i="1"/>
  <c r="B45" i="1"/>
  <c r="E46" i="1"/>
  <c r="B46" i="1"/>
  <c r="E47" i="1"/>
  <c r="B47" i="1"/>
  <c r="E48" i="1"/>
  <c r="B48" i="1"/>
  <c r="E49" i="1"/>
  <c r="B49" i="1"/>
  <c r="E50" i="1"/>
  <c r="B50" i="1"/>
  <c r="E51" i="1"/>
  <c r="B51" i="1"/>
  <c r="E52" i="1"/>
  <c r="B52" i="1"/>
  <c r="E53" i="1"/>
  <c r="B53" i="1"/>
  <c r="E54" i="1"/>
  <c r="B54" i="1"/>
  <c r="E55" i="1"/>
  <c r="B55" i="1"/>
  <c r="E56" i="1"/>
  <c r="B56" i="1"/>
  <c r="E57" i="1"/>
  <c r="B57" i="1"/>
  <c r="E58" i="1"/>
  <c r="B58" i="1"/>
  <c r="E59" i="1"/>
  <c r="B59" i="1"/>
  <c r="E60" i="1"/>
  <c r="B60" i="1"/>
  <c r="E61" i="1"/>
  <c r="B61" i="1"/>
  <c r="E62" i="1"/>
  <c r="B62" i="1"/>
  <c r="E63" i="1"/>
  <c r="B63" i="1"/>
  <c r="E64" i="1"/>
  <c r="B64" i="1"/>
  <c r="E65" i="1"/>
  <c r="B65" i="1"/>
  <c r="E66" i="1"/>
  <c r="B66" i="1"/>
  <c r="E67" i="1"/>
  <c r="B67" i="1"/>
  <c r="E68" i="1"/>
  <c r="B68" i="1"/>
  <c r="E69" i="1"/>
  <c r="B69" i="1"/>
  <c r="E70" i="1"/>
  <c r="B70" i="1"/>
  <c r="E71" i="1"/>
  <c r="B71" i="1"/>
  <c r="E72" i="1"/>
  <c r="B72" i="1"/>
  <c r="E73" i="1"/>
  <c r="B73" i="1"/>
  <c r="E74" i="1"/>
  <c r="B74" i="1"/>
  <c r="E75" i="1"/>
  <c r="B75" i="1"/>
  <c r="E76" i="1"/>
  <c r="B76" i="1"/>
  <c r="E77" i="1"/>
  <c r="B77" i="1"/>
  <c r="E78" i="1"/>
  <c r="B78" i="1"/>
  <c r="E79" i="1"/>
  <c r="B79" i="1"/>
  <c r="E80" i="1"/>
  <c r="B80" i="1"/>
  <c r="E81" i="1"/>
  <c r="B81" i="1"/>
  <c r="E82" i="1"/>
  <c r="B82" i="1"/>
  <c r="E83" i="1"/>
  <c r="B83" i="1"/>
  <c r="E84" i="1"/>
  <c r="B84" i="1"/>
  <c r="E85" i="1"/>
  <c r="B85" i="1"/>
  <c r="E86" i="1"/>
  <c r="B86" i="1"/>
  <c r="E87" i="1"/>
  <c r="B87" i="1"/>
  <c r="E88" i="1"/>
  <c r="B88" i="1"/>
  <c r="E89" i="1"/>
  <c r="B89" i="1"/>
  <c r="E90" i="1"/>
  <c r="B90" i="1"/>
  <c r="E91" i="1"/>
  <c r="B91" i="1"/>
  <c r="E92" i="1"/>
  <c r="B92" i="1"/>
  <c r="E93" i="1"/>
  <c r="B93" i="1"/>
  <c r="E94" i="1"/>
  <c r="B94" i="1"/>
  <c r="E95" i="1"/>
  <c r="B95" i="1"/>
  <c r="E96" i="1"/>
  <c r="B96" i="1"/>
  <c r="E97" i="1"/>
  <c r="B97" i="1"/>
  <c r="E98" i="1"/>
  <c r="B98" i="1"/>
  <c r="E99" i="1"/>
  <c r="B99" i="1"/>
  <c r="E100" i="1"/>
  <c r="B100" i="1"/>
  <c r="E101" i="1"/>
  <c r="B101" i="1"/>
  <c r="E102" i="1"/>
  <c r="B102" i="1"/>
  <c r="E103" i="1"/>
  <c r="B103" i="1"/>
  <c r="E104" i="1"/>
  <c r="B104" i="1"/>
  <c r="E105" i="1"/>
  <c r="B105" i="1"/>
  <c r="E106" i="1"/>
  <c r="B106" i="1"/>
  <c r="E107" i="1"/>
  <c r="B107" i="1"/>
  <c r="E108" i="1"/>
  <c r="B108" i="1"/>
  <c r="E109" i="1"/>
  <c r="B109" i="1"/>
  <c r="E110" i="1"/>
  <c r="B110" i="1"/>
  <c r="E111" i="1"/>
  <c r="B111" i="1"/>
  <c r="E112" i="1"/>
  <c r="B112" i="1"/>
  <c r="E113" i="1"/>
  <c r="B113" i="1"/>
  <c r="E114" i="1"/>
  <c r="B114" i="1"/>
  <c r="E115" i="1"/>
  <c r="B115" i="1"/>
  <c r="E116" i="1"/>
  <c r="B116" i="1"/>
  <c r="E117" i="1"/>
  <c r="B117" i="1"/>
  <c r="E118" i="1"/>
  <c r="B118" i="1"/>
  <c r="E119" i="1"/>
  <c r="B119" i="1"/>
  <c r="E120" i="1"/>
  <c r="B120" i="1"/>
  <c r="E121" i="1"/>
  <c r="B121" i="1"/>
  <c r="E122" i="1"/>
  <c r="B122" i="1"/>
  <c r="E123" i="1"/>
  <c r="B123" i="1"/>
  <c r="E124" i="1"/>
  <c r="B124" i="1"/>
  <c r="E125" i="1"/>
  <c r="B125" i="1"/>
  <c r="E126" i="1"/>
  <c r="B126" i="1"/>
  <c r="E127" i="1"/>
  <c r="B127" i="1"/>
  <c r="E128" i="1"/>
  <c r="B128" i="1"/>
  <c r="E129" i="1"/>
  <c r="B129" i="1"/>
  <c r="E130" i="1"/>
  <c r="B130" i="1"/>
  <c r="E131" i="1"/>
  <c r="B131" i="1"/>
  <c r="E132" i="1"/>
  <c r="B132" i="1"/>
  <c r="E133" i="1"/>
  <c r="B133" i="1"/>
  <c r="E134" i="1"/>
  <c r="B134" i="1"/>
  <c r="E135" i="1"/>
  <c r="B135" i="1"/>
  <c r="E136" i="1"/>
  <c r="B136" i="1"/>
  <c r="E137" i="1"/>
  <c r="B137" i="1"/>
  <c r="E138" i="1"/>
  <c r="B138" i="1"/>
  <c r="E139" i="1"/>
  <c r="B139" i="1"/>
  <c r="E140" i="1"/>
  <c r="B140" i="1"/>
  <c r="E141" i="1"/>
  <c r="B141" i="1"/>
  <c r="E142" i="1"/>
  <c r="B142" i="1"/>
  <c r="E143" i="1"/>
  <c r="B143" i="1"/>
  <c r="E144" i="1"/>
  <c r="B144" i="1"/>
  <c r="E145" i="1"/>
  <c r="B145" i="1"/>
  <c r="E146" i="1"/>
  <c r="B146" i="1"/>
  <c r="E147" i="1"/>
  <c r="B147" i="1"/>
  <c r="E148" i="1"/>
  <c r="B148" i="1"/>
  <c r="E149" i="1"/>
  <c r="B149" i="1"/>
  <c r="E150" i="1"/>
  <c r="B150" i="1"/>
  <c r="E151" i="1"/>
  <c r="B151" i="1"/>
  <c r="E152" i="1"/>
  <c r="B152" i="1"/>
  <c r="E153" i="1"/>
  <c r="B153" i="1"/>
  <c r="E154" i="1"/>
  <c r="B154" i="1"/>
  <c r="E155" i="1"/>
  <c r="B155" i="1"/>
  <c r="E156" i="1"/>
  <c r="B156" i="1"/>
  <c r="E157" i="1"/>
  <c r="B157" i="1"/>
  <c r="E158" i="1"/>
  <c r="B158" i="1"/>
  <c r="E159" i="1"/>
  <c r="B159" i="1"/>
  <c r="E160" i="1"/>
  <c r="B160" i="1"/>
  <c r="E161" i="1"/>
  <c r="B161" i="1"/>
  <c r="E162" i="1"/>
  <c r="B162" i="1"/>
  <c r="E163" i="1"/>
  <c r="B163" i="1"/>
  <c r="E164" i="1"/>
  <c r="B164" i="1"/>
  <c r="E165" i="1"/>
  <c r="B165" i="1"/>
  <c r="E166" i="1"/>
  <c r="B166" i="1"/>
  <c r="E167" i="1"/>
  <c r="B167" i="1"/>
  <c r="E168" i="1"/>
  <c r="B168" i="1"/>
  <c r="E169" i="1"/>
  <c r="B169" i="1"/>
  <c r="E170" i="1"/>
  <c r="B170" i="1"/>
  <c r="E171" i="1"/>
  <c r="B171" i="1"/>
  <c r="E172" i="1"/>
  <c r="B172" i="1"/>
  <c r="E173" i="1"/>
  <c r="B173" i="1"/>
  <c r="E174" i="1"/>
  <c r="B174" i="1"/>
  <c r="E175" i="1"/>
  <c r="B175" i="1"/>
  <c r="E176" i="1"/>
  <c r="B176" i="1"/>
  <c r="E177" i="1"/>
  <c r="B177" i="1"/>
  <c r="E178" i="1"/>
  <c r="B178" i="1"/>
  <c r="E179" i="1"/>
  <c r="B179" i="1"/>
  <c r="E180" i="1"/>
  <c r="B180" i="1"/>
  <c r="E181" i="1"/>
  <c r="B181" i="1"/>
  <c r="E182" i="1"/>
  <c r="B182" i="1"/>
  <c r="E183" i="1"/>
  <c r="B183" i="1"/>
  <c r="E184" i="1"/>
  <c r="B184" i="1"/>
  <c r="E185" i="1"/>
  <c r="B185" i="1"/>
  <c r="E186" i="1"/>
  <c r="B186" i="1"/>
  <c r="E187" i="1"/>
  <c r="B187" i="1"/>
  <c r="E188" i="1"/>
  <c r="B188" i="1"/>
  <c r="E189" i="1"/>
  <c r="B189" i="1"/>
  <c r="E190" i="1"/>
  <c r="B190" i="1"/>
  <c r="E191" i="1"/>
  <c r="B191" i="1"/>
  <c r="E192" i="1"/>
  <c r="B192" i="1"/>
  <c r="E193" i="1"/>
  <c r="B193" i="1"/>
  <c r="E194" i="1"/>
  <c r="B194" i="1"/>
  <c r="E195" i="1"/>
  <c r="B195" i="1"/>
  <c r="E196" i="1"/>
  <c r="B196" i="1"/>
  <c r="E197" i="1"/>
  <c r="B197" i="1"/>
  <c r="E198" i="1"/>
  <c r="B198" i="1"/>
  <c r="E199" i="1"/>
  <c r="B199" i="1"/>
  <c r="E200" i="1"/>
  <c r="B200" i="1"/>
  <c r="E201" i="1"/>
  <c r="B201" i="1"/>
  <c r="E202" i="1"/>
  <c r="B202" i="1"/>
  <c r="E203" i="1"/>
  <c r="B203" i="1"/>
  <c r="E204" i="1"/>
  <c r="B204" i="1"/>
  <c r="E205" i="1"/>
  <c r="B205" i="1"/>
  <c r="E206" i="1"/>
  <c r="B206" i="1"/>
  <c r="E207" i="1"/>
  <c r="B207" i="1"/>
  <c r="E208" i="1"/>
  <c r="B208" i="1"/>
  <c r="E209" i="1"/>
  <c r="B209" i="1"/>
  <c r="E210" i="1"/>
  <c r="B210" i="1"/>
  <c r="E211" i="1"/>
  <c r="B211" i="1"/>
  <c r="E212" i="1"/>
  <c r="B212" i="1"/>
  <c r="E213" i="1"/>
  <c r="B213" i="1"/>
  <c r="E214" i="1"/>
  <c r="B214" i="1"/>
  <c r="E215" i="1"/>
  <c r="B215" i="1"/>
  <c r="E216" i="1"/>
  <c r="B216" i="1"/>
  <c r="E217" i="1"/>
  <c r="B217" i="1"/>
  <c r="E218" i="1"/>
  <c r="B218" i="1"/>
  <c r="E219" i="1"/>
  <c r="B219" i="1"/>
  <c r="E220" i="1"/>
  <c r="B220" i="1"/>
  <c r="E221" i="1"/>
  <c r="B221" i="1"/>
  <c r="E222" i="1"/>
  <c r="B222" i="1"/>
  <c r="E223" i="1"/>
  <c r="B223" i="1"/>
  <c r="E224" i="1"/>
  <c r="B224" i="1"/>
  <c r="E225" i="1"/>
  <c r="B225" i="1"/>
  <c r="E226" i="1"/>
  <c r="B226" i="1"/>
  <c r="E227" i="1"/>
  <c r="B227" i="1"/>
  <c r="E228" i="1"/>
  <c r="B228" i="1"/>
  <c r="E229" i="1"/>
  <c r="B229" i="1"/>
  <c r="E230" i="1"/>
  <c r="B230" i="1"/>
  <c r="E231" i="1"/>
  <c r="B231" i="1"/>
  <c r="E232" i="1"/>
  <c r="B232" i="1"/>
  <c r="E233" i="1"/>
  <c r="B233" i="1"/>
  <c r="E234" i="1"/>
  <c r="B234" i="1"/>
  <c r="E235" i="1"/>
  <c r="B235" i="1"/>
  <c r="E236" i="1"/>
  <c r="B236" i="1"/>
  <c r="E237" i="1"/>
  <c r="B237" i="1"/>
  <c r="E238" i="1"/>
  <c r="B238" i="1"/>
  <c r="E239" i="1"/>
  <c r="B239" i="1"/>
  <c r="E240" i="1"/>
  <c r="B240" i="1"/>
  <c r="E241" i="1"/>
  <c r="B241" i="1"/>
  <c r="E242" i="1"/>
  <c r="B242" i="1"/>
  <c r="E243" i="1"/>
  <c r="B243" i="1"/>
  <c r="E244" i="1"/>
  <c r="B244" i="1"/>
  <c r="E245" i="1"/>
  <c r="B245" i="1"/>
  <c r="E246" i="1"/>
  <c r="B246" i="1"/>
  <c r="E247" i="1"/>
  <c r="B247" i="1"/>
  <c r="E248" i="1"/>
  <c r="B248" i="1"/>
  <c r="E249" i="1"/>
  <c r="B249" i="1"/>
  <c r="E250" i="1"/>
  <c r="B250" i="1"/>
  <c r="E251" i="1"/>
  <c r="B251" i="1"/>
  <c r="E252" i="1"/>
  <c r="B252" i="1"/>
  <c r="E253" i="1"/>
  <c r="B253" i="1"/>
  <c r="E254" i="1"/>
  <c r="B254" i="1"/>
  <c r="E255" i="1"/>
  <c r="B255" i="1"/>
  <c r="E256" i="1"/>
  <c r="B256" i="1"/>
  <c r="E257" i="1"/>
  <c r="B257" i="1"/>
  <c r="E258" i="1"/>
  <c r="B258" i="1"/>
  <c r="E259" i="1"/>
  <c r="B259" i="1"/>
  <c r="E260" i="1"/>
  <c r="B260" i="1"/>
  <c r="E261" i="1"/>
  <c r="B261" i="1"/>
  <c r="E262" i="1"/>
  <c r="B262" i="1"/>
  <c r="E263" i="1"/>
  <c r="B263" i="1"/>
  <c r="E264" i="1"/>
  <c r="B264" i="1"/>
  <c r="E265" i="1"/>
  <c r="B265" i="1"/>
  <c r="E266" i="1"/>
  <c r="B266" i="1"/>
  <c r="E267" i="1"/>
  <c r="B267" i="1"/>
  <c r="E268" i="1"/>
  <c r="B268" i="1"/>
  <c r="E269" i="1"/>
  <c r="B269" i="1"/>
  <c r="E270" i="1"/>
  <c r="B270" i="1"/>
  <c r="E271" i="1"/>
  <c r="B271" i="1"/>
  <c r="E272" i="1"/>
  <c r="B272" i="1"/>
  <c r="E273" i="1"/>
  <c r="B273" i="1"/>
  <c r="E275" i="1"/>
  <c r="B275" i="1"/>
  <c r="E274" i="1"/>
  <c r="B274" i="1"/>
  <c r="E276" i="1"/>
  <c r="B276" i="1"/>
  <c r="E277" i="1"/>
  <c r="B277" i="1"/>
  <c r="E278" i="1"/>
  <c r="B278" i="1"/>
  <c r="E279" i="1"/>
  <c r="B279" i="1"/>
  <c r="E280" i="1"/>
  <c r="B280" i="1"/>
  <c r="E281" i="1"/>
  <c r="B281" i="1"/>
  <c r="E282" i="1"/>
  <c r="B282" i="1"/>
  <c r="E283" i="1"/>
  <c r="B283" i="1"/>
  <c r="E284" i="1"/>
  <c r="B284" i="1"/>
  <c r="E285" i="1"/>
  <c r="B285" i="1"/>
  <c r="E286" i="1"/>
  <c r="B286" i="1"/>
  <c r="E287" i="1"/>
  <c r="B287" i="1"/>
  <c r="E288" i="1"/>
  <c r="B288" i="1"/>
  <c r="E289" i="1"/>
  <c r="B289" i="1"/>
  <c r="E290" i="1"/>
  <c r="B290" i="1"/>
  <c r="E291" i="1"/>
  <c r="B291" i="1"/>
  <c r="E292" i="1"/>
  <c r="B292" i="1"/>
  <c r="E293" i="1"/>
  <c r="B293" i="1"/>
  <c r="E294" i="1"/>
  <c r="B294" i="1"/>
  <c r="E295" i="1"/>
  <c r="B295" i="1"/>
  <c r="E296" i="1"/>
  <c r="B296" i="1"/>
  <c r="E297" i="1"/>
  <c r="B297" i="1"/>
  <c r="E298" i="1"/>
  <c r="B298" i="1"/>
  <c r="E299" i="1"/>
  <c r="B299" i="1"/>
  <c r="E300" i="1"/>
  <c r="B300" i="1"/>
  <c r="E301" i="1"/>
  <c r="B301" i="1"/>
  <c r="E302" i="1"/>
  <c r="B302" i="1"/>
  <c r="E303" i="1"/>
  <c r="B303" i="1"/>
  <c r="E304" i="1"/>
  <c r="B304" i="1"/>
  <c r="E305" i="1"/>
  <c r="B305" i="1"/>
  <c r="E306" i="1"/>
  <c r="B306" i="1"/>
  <c r="E307" i="1"/>
  <c r="B307" i="1"/>
  <c r="E308" i="1"/>
  <c r="B308" i="1"/>
  <c r="E309" i="1"/>
  <c r="B309" i="1"/>
  <c r="E310" i="1"/>
  <c r="B310" i="1"/>
  <c r="E311" i="1"/>
  <c r="B311" i="1"/>
  <c r="E312" i="1"/>
  <c r="B312" i="1"/>
  <c r="E313" i="1"/>
  <c r="B313" i="1"/>
  <c r="E314" i="1"/>
  <c r="B314" i="1"/>
  <c r="E315" i="1"/>
  <c r="B315" i="1"/>
  <c r="E316" i="1"/>
  <c r="B316" i="1"/>
  <c r="E317" i="1"/>
  <c r="B317" i="1"/>
  <c r="E318" i="1"/>
  <c r="B318" i="1"/>
  <c r="E319" i="1"/>
  <c r="B319" i="1"/>
  <c r="E320" i="1"/>
  <c r="B320" i="1"/>
  <c r="E321" i="1"/>
  <c r="B321" i="1"/>
  <c r="E322" i="1"/>
  <c r="B322" i="1"/>
  <c r="E323" i="1"/>
  <c r="B323" i="1"/>
  <c r="E324" i="1"/>
  <c r="B324" i="1"/>
  <c r="E325" i="1"/>
  <c r="B325" i="1"/>
  <c r="E326" i="1"/>
  <c r="B326" i="1"/>
  <c r="E327" i="1"/>
  <c r="B327" i="1"/>
  <c r="E328" i="1"/>
  <c r="B328" i="1"/>
  <c r="E329" i="1"/>
  <c r="B329" i="1"/>
  <c r="E330" i="1"/>
  <c r="B330" i="1"/>
  <c r="E331" i="1"/>
  <c r="B331" i="1"/>
  <c r="E332" i="1"/>
  <c r="B332" i="1"/>
  <c r="E333" i="1"/>
  <c r="B333" i="1"/>
  <c r="E334" i="1"/>
  <c r="B334" i="1"/>
  <c r="E335" i="1"/>
  <c r="B335" i="1"/>
  <c r="E336" i="1"/>
  <c r="B336" i="1"/>
  <c r="E337" i="1"/>
  <c r="B337" i="1"/>
  <c r="E338" i="1"/>
  <c r="B338" i="1"/>
  <c r="E339" i="1"/>
  <c r="B339" i="1"/>
  <c r="E340" i="1"/>
  <c r="B340" i="1"/>
  <c r="E341" i="1"/>
  <c r="B341" i="1"/>
  <c r="E342" i="1"/>
  <c r="B342" i="1"/>
  <c r="E343" i="1"/>
  <c r="B343" i="1"/>
  <c r="E344" i="1"/>
  <c r="B344" i="1"/>
  <c r="E345" i="1"/>
  <c r="B345" i="1"/>
  <c r="E346" i="1"/>
  <c r="B346" i="1"/>
  <c r="E347" i="1"/>
  <c r="B347" i="1"/>
  <c r="E348" i="1"/>
  <c r="B348" i="1"/>
  <c r="E349" i="1"/>
  <c r="B349" i="1"/>
  <c r="E350" i="1"/>
  <c r="B350" i="1"/>
  <c r="E351" i="1"/>
  <c r="B351" i="1"/>
  <c r="E352" i="1"/>
  <c r="B352" i="1"/>
  <c r="E353" i="1"/>
  <c r="B353" i="1"/>
  <c r="E355" i="1"/>
  <c r="B355" i="1"/>
  <c r="E354" i="1"/>
  <c r="B354" i="1"/>
  <c r="E356" i="1"/>
  <c r="B356" i="1"/>
  <c r="E357" i="1"/>
  <c r="B357" i="1"/>
  <c r="E358" i="1"/>
  <c r="B358" i="1"/>
  <c r="E359" i="1"/>
  <c r="B359" i="1"/>
  <c r="E360" i="1"/>
  <c r="B360" i="1"/>
  <c r="E361" i="1"/>
  <c r="B361" i="1"/>
  <c r="E362" i="1"/>
  <c r="B362" i="1"/>
  <c r="E363" i="1"/>
  <c r="B363" i="1"/>
  <c r="E364" i="1"/>
  <c r="B364" i="1"/>
  <c r="E365" i="1"/>
  <c r="B365" i="1"/>
  <c r="E366" i="1"/>
  <c r="B366" i="1"/>
  <c r="E367" i="1"/>
  <c r="B367" i="1"/>
  <c r="E368" i="1"/>
  <c r="B368" i="1"/>
  <c r="E369" i="1"/>
  <c r="B369" i="1"/>
  <c r="E370" i="1"/>
  <c r="B370" i="1"/>
  <c r="E371" i="1"/>
  <c r="B371" i="1"/>
  <c r="E372" i="1"/>
  <c r="B372" i="1"/>
  <c r="E373" i="1"/>
  <c r="B373" i="1"/>
  <c r="E374" i="1"/>
  <c r="B374" i="1"/>
  <c r="E375" i="1"/>
  <c r="B375" i="1"/>
  <c r="E376" i="1"/>
  <c r="B376" i="1"/>
  <c r="E377" i="1"/>
  <c r="B377" i="1"/>
  <c r="E378" i="1"/>
  <c r="B378" i="1"/>
  <c r="E379" i="1"/>
  <c r="B379" i="1"/>
  <c r="E380" i="1"/>
  <c r="B380" i="1"/>
  <c r="E381" i="1"/>
  <c r="B381" i="1"/>
  <c r="E382" i="1"/>
  <c r="B382" i="1"/>
  <c r="E383" i="1"/>
  <c r="B383" i="1"/>
  <c r="E384" i="1"/>
  <c r="B384" i="1"/>
  <c r="E385" i="1"/>
  <c r="B385" i="1"/>
  <c r="E386" i="1"/>
  <c r="B386" i="1"/>
  <c r="E387" i="1"/>
  <c r="B387" i="1"/>
  <c r="E388" i="1"/>
  <c r="B388" i="1"/>
  <c r="E389" i="1"/>
  <c r="B389" i="1"/>
  <c r="E390" i="1"/>
  <c r="B390" i="1"/>
  <c r="E391" i="1"/>
  <c r="B391" i="1"/>
  <c r="E392" i="1"/>
  <c r="B392" i="1"/>
  <c r="E393" i="1"/>
  <c r="B393" i="1"/>
  <c r="E394" i="1"/>
  <c r="B394" i="1"/>
  <c r="E395" i="1"/>
  <c r="B395" i="1"/>
  <c r="E396" i="1"/>
  <c r="B396" i="1"/>
  <c r="E397" i="1"/>
  <c r="B397" i="1"/>
  <c r="E398" i="1"/>
  <c r="B398" i="1"/>
  <c r="E399" i="1"/>
  <c r="B399" i="1"/>
  <c r="E400" i="1"/>
  <c r="B400" i="1"/>
  <c r="E401" i="1"/>
  <c r="B401" i="1"/>
  <c r="E402" i="1"/>
  <c r="B402" i="1"/>
  <c r="E403" i="1"/>
  <c r="B403" i="1"/>
  <c r="E404" i="1"/>
  <c r="B404" i="1"/>
  <c r="E405" i="1"/>
  <c r="B405" i="1"/>
  <c r="E406" i="1"/>
  <c r="B406" i="1"/>
  <c r="E407" i="1"/>
  <c r="B407" i="1"/>
  <c r="E408" i="1"/>
  <c r="B408" i="1"/>
  <c r="E409" i="1"/>
  <c r="B409" i="1"/>
  <c r="E410" i="1"/>
  <c r="B410" i="1"/>
  <c r="E411" i="1"/>
  <c r="B411" i="1"/>
  <c r="E412" i="1"/>
  <c r="B412" i="1"/>
  <c r="E413" i="1"/>
  <c r="B413" i="1"/>
  <c r="E414" i="1"/>
  <c r="B414" i="1"/>
  <c r="E415" i="1"/>
  <c r="B415" i="1"/>
  <c r="E416" i="1"/>
  <c r="B416" i="1"/>
  <c r="E417" i="1"/>
  <c r="B417" i="1"/>
  <c r="E418" i="1"/>
  <c r="B418" i="1"/>
  <c r="E419" i="1"/>
  <c r="B419" i="1"/>
  <c r="E420" i="1"/>
  <c r="B420" i="1"/>
  <c r="E421" i="1"/>
  <c r="B421" i="1"/>
  <c r="E422" i="1"/>
  <c r="B422" i="1"/>
  <c r="E423" i="1"/>
  <c r="B423" i="1"/>
  <c r="E424" i="1"/>
  <c r="B424" i="1"/>
  <c r="E425" i="1"/>
  <c r="B425" i="1"/>
  <c r="E426" i="1"/>
  <c r="B426" i="1"/>
  <c r="E427" i="1"/>
  <c r="B427" i="1"/>
  <c r="E428" i="1"/>
  <c r="B428" i="1"/>
  <c r="E429" i="1"/>
  <c r="B429" i="1"/>
  <c r="E430" i="1"/>
  <c r="B430" i="1"/>
  <c r="E431" i="1"/>
  <c r="B431" i="1"/>
  <c r="E432" i="1"/>
  <c r="B432" i="1"/>
  <c r="E433" i="1"/>
  <c r="B433" i="1"/>
  <c r="E434" i="1"/>
  <c r="B434" i="1"/>
  <c r="E435" i="1"/>
  <c r="B435" i="1"/>
  <c r="E436" i="1"/>
  <c r="B436" i="1"/>
  <c r="E437" i="1"/>
  <c r="B437" i="1"/>
  <c r="E438" i="1"/>
  <c r="B438" i="1"/>
  <c r="E439" i="1"/>
  <c r="B439" i="1"/>
  <c r="E440" i="1"/>
  <c r="B440" i="1"/>
  <c r="E441" i="1"/>
  <c r="B441" i="1"/>
  <c r="E442" i="1"/>
  <c r="B442" i="1"/>
  <c r="E443" i="1"/>
  <c r="B443" i="1"/>
  <c r="E444" i="1"/>
  <c r="B444" i="1"/>
  <c r="E445" i="1"/>
  <c r="B445" i="1"/>
  <c r="E446" i="1"/>
  <c r="B446" i="1"/>
  <c r="E447" i="1"/>
  <c r="B447" i="1"/>
  <c r="E449" i="1"/>
  <c r="B449" i="1"/>
  <c r="E448" i="1"/>
  <c r="B448" i="1"/>
  <c r="E450" i="1"/>
  <c r="B450" i="1"/>
  <c r="E451" i="1"/>
  <c r="B451" i="1"/>
  <c r="E452" i="1"/>
  <c r="B452" i="1"/>
  <c r="E453" i="1"/>
  <c r="B453" i="1"/>
  <c r="E454" i="1"/>
  <c r="B454" i="1"/>
  <c r="E455" i="1"/>
  <c r="B455" i="1"/>
  <c r="E456" i="1"/>
  <c r="B456" i="1"/>
  <c r="E457" i="1"/>
  <c r="B457" i="1"/>
  <c r="E458" i="1"/>
  <c r="B458" i="1"/>
  <c r="E459" i="1"/>
  <c r="B459" i="1"/>
  <c r="E460" i="1"/>
  <c r="B460" i="1"/>
  <c r="E461" i="1"/>
  <c r="B461" i="1"/>
  <c r="E462" i="1"/>
  <c r="B462" i="1"/>
  <c r="E463" i="1"/>
  <c r="B463" i="1"/>
  <c r="E464" i="1"/>
  <c r="B464" i="1"/>
  <c r="E465" i="1"/>
  <c r="B465" i="1"/>
  <c r="E466" i="1"/>
  <c r="B466" i="1"/>
  <c r="E467" i="1"/>
  <c r="B467" i="1"/>
  <c r="E468" i="1"/>
  <c r="B468" i="1"/>
  <c r="E469" i="1"/>
  <c r="B469" i="1"/>
  <c r="E470" i="1"/>
  <c r="B470" i="1"/>
  <c r="E471" i="1"/>
  <c r="B471" i="1"/>
  <c r="E472" i="1"/>
  <c r="B472" i="1"/>
  <c r="E473" i="1"/>
  <c r="B473" i="1"/>
  <c r="E474" i="1"/>
  <c r="B474" i="1"/>
  <c r="E475" i="1"/>
  <c r="B475" i="1"/>
  <c r="E476" i="1"/>
  <c r="B476" i="1"/>
  <c r="E477" i="1"/>
  <c r="B477" i="1"/>
  <c r="E478" i="1"/>
  <c r="B478" i="1"/>
  <c r="E479" i="1"/>
  <c r="B479" i="1"/>
  <c r="E480" i="1"/>
  <c r="B480" i="1"/>
  <c r="E481" i="1"/>
  <c r="B481" i="1"/>
  <c r="E482" i="1"/>
  <c r="B482" i="1"/>
  <c r="E483" i="1"/>
  <c r="B483" i="1"/>
  <c r="E484" i="1"/>
  <c r="B484" i="1"/>
  <c r="E485" i="1"/>
  <c r="B485" i="1"/>
  <c r="E486" i="1"/>
  <c r="B486" i="1"/>
  <c r="E487" i="1"/>
  <c r="B487" i="1"/>
  <c r="E488" i="1"/>
  <c r="B488" i="1"/>
  <c r="E489" i="1"/>
  <c r="B489" i="1"/>
  <c r="E490" i="1"/>
  <c r="B490" i="1"/>
  <c r="E491" i="1"/>
  <c r="B491" i="1"/>
  <c r="E492" i="1"/>
  <c r="B492" i="1"/>
  <c r="E493" i="1"/>
  <c r="B493" i="1"/>
  <c r="E494" i="1"/>
  <c r="B494" i="1"/>
  <c r="E495" i="1"/>
  <c r="B495" i="1"/>
  <c r="E496" i="1"/>
  <c r="B496" i="1"/>
  <c r="E497" i="1"/>
  <c r="B497" i="1"/>
  <c r="E498" i="1"/>
  <c r="B498" i="1"/>
  <c r="E499" i="1"/>
  <c r="B499" i="1"/>
  <c r="E500" i="1"/>
  <c r="B500" i="1"/>
  <c r="E501" i="1"/>
  <c r="B501" i="1"/>
  <c r="E502" i="1"/>
  <c r="B502" i="1"/>
  <c r="E503" i="1"/>
  <c r="B503" i="1"/>
  <c r="E504" i="1"/>
  <c r="B504" i="1"/>
  <c r="E505" i="1"/>
  <c r="B505" i="1"/>
  <c r="E506" i="1"/>
  <c r="B506" i="1"/>
  <c r="E507" i="1"/>
  <c r="B507" i="1"/>
  <c r="E508" i="1"/>
  <c r="B508" i="1"/>
  <c r="E509" i="1"/>
  <c r="B509" i="1"/>
  <c r="E510" i="1"/>
  <c r="B510" i="1"/>
  <c r="E511" i="1"/>
  <c r="B511" i="1"/>
  <c r="E512" i="1"/>
  <c r="B512" i="1"/>
  <c r="E513" i="1"/>
  <c r="B513" i="1"/>
  <c r="E514" i="1"/>
  <c r="B514" i="1"/>
  <c r="E515" i="1"/>
  <c r="B515" i="1"/>
  <c r="E516" i="1"/>
  <c r="B516" i="1"/>
  <c r="E517" i="1"/>
  <c r="B517" i="1"/>
  <c r="E518" i="1"/>
  <c r="B518" i="1"/>
  <c r="E519" i="1"/>
  <c r="B519" i="1"/>
  <c r="E520" i="1"/>
  <c r="B520" i="1"/>
  <c r="E521" i="1"/>
  <c r="B521" i="1"/>
  <c r="E522" i="1"/>
  <c r="B522" i="1"/>
  <c r="E523" i="1"/>
  <c r="B523" i="1"/>
  <c r="E524" i="1"/>
  <c r="B524" i="1"/>
  <c r="E525" i="1"/>
  <c r="B525" i="1"/>
  <c r="E526" i="1"/>
  <c r="B526" i="1"/>
  <c r="E527" i="1"/>
  <c r="B527" i="1"/>
  <c r="E528" i="1"/>
  <c r="B528" i="1"/>
  <c r="E529" i="1"/>
  <c r="B529" i="1"/>
  <c r="E530" i="1"/>
  <c r="B530" i="1"/>
  <c r="E531" i="1"/>
  <c r="B531" i="1"/>
  <c r="E532" i="1"/>
  <c r="B532" i="1"/>
  <c r="E533" i="1"/>
  <c r="B533" i="1"/>
  <c r="E534" i="1"/>
  <c r="B534" i="1"/>
  <c r="E535" i="1"/>
  <c r="B535" i="1"/>
  <c r="E536" i="1"/>
  <c r="B536" i="1"/>
  <c r="E537" i="1"/>
  <c r="B537" i="1"/>
  <c r="E538" i="1"/>
  <c r="B538" i="1"/>
  <c r="E539" i="1"/>
  <c r="B539" i="1"/>
  <c r="E540" i="1"/>
  <c r="B540" i="1"/>
  <c r="E541" i="1"/>
  <c r="B541" i="1"/>
  <c r="E542" i="1"/>
  <c r="B542" i="1"/>
  <c r="E543" i="1"/>
  <c r="B543" i="1"/>
  <c r="E544" i="1"/>
  <c r="B544" i="1"/>
  <c r="E545" i="1"/>
  <c r="B545" i="1"/>
  <c r="E546" i="1"/>
  <c r="B546" i="1"/>
  <c r="E547" i="1"/>
  <c r="B547" i="1"/>
  <c r="E548" i="1"/>
  <c r="B548" i="1"/>
  <c r="E549" i="1"/>
  <c r="B549" i="1"/>
  <c r="E550" i="1"/>
  <c r="B550" i="1"/>
  <c r="E551" i="1"/>
  <c r="B551" i="1"/>
  <c r="E552" i="1"/>
  <c r="B552" i="1"/>
  <c r="E553" i="1"/>
  <c r="B553" i="1"/>
  <c r="E554" i="1"/>
  <c r="B554" i="1"/>
  <c r="E555" i="1"/>
  <c r="B555" i="1"/>
  <c r="E556" i="1"/>
  <c r="B556" i="1"/>
  <c r="E557" i="1"/>
  <c r="B557" i="1"/>
  <c r="E558" i="1"/>
  <c r="B558" i="1"/>
  <c r="E559" i="1"/>
  <c r="B559" i="1"/>
  <c r="E560" i="1"/>
  <c r="B560" i="1"/>
  <c r="E561" i="1"/>
  <c r="B561" i="1"/>
  <c r="E562" i="1"/>
  <c r="B562" i="1"/>
  <c r="E563" i="1"/>
  <c r="B563" i="1"/>
  <c r="E564" i="1"/>
  <c r="B564" i="1"/>
  <c r="E565" i="1"/>
  <c r="B565" i="1"/>
  <c r="E566" i="1"/>
  <c r="B566" i="1"/>
  <c r="E567" i="1"/>
  <c r="B567" i="1"/>
  <c r="E568" i="1"/>
  <c r="B568" i="1"/>
  <c r="E569" i="1"/>
  <c r="B569" i="1"/>
  <c r="E570" i="1"/>
  <c r="B570" i="1"/>
  <c r="E571" i="1"/>
  <c r="B571" i="1"/>
  <c r="E572" i="1"/>
  <c r="B572" i="1"/>
  <c r="E573" i="1"/>
  <c r="B573" i="1"/>
  <c r="E574" i="1"/>
  <c r="B574" i="1"/>
  <c r="E575" i="1"/>
  <c r="B575" i="1"/>
  <c r="E576" i="1"/>
  <c r="B576" i="1"/>
  <c r="E577" i="1"/>
  <c r="B577" i="1"/>
  <c r="E578" i="1"/>
  <c r="B578" i="1"/>
  <c r="E579" i="1"/>
  <c r="B579" i="1"/>
  <c r="E580" i="1"/>
  <c r="B580" i="1"/>
  <c r="E581" i="1"/>
  <c r="B581" i="1"/>
  <c r="E582" i="1"/>
  <c r="B582" i="1"/>
  <c r="E583" i="1"/>
  <c r="B583" i="1"/>
  <c r="E584" i="1"/>
  <c r="B584" i="1"/>
  <c r="E585" i="1"/>
  <c r="B585" i="1"/>
  <c r="E586" i="1"/>
  <c r="B586" i="1"/>
  <c r="E587" i="1"/>
  <c r="B587" i="1"/>
  <c r="E588" i="1"/>
  <c r="B588" i="1"/>
  <c r="E589" i="1"/>
  <c r="B589" i="1"/>
  <c r="E590" i="1"/>
  <c r="B590" i="1"/>
  <c r="E591" i="1"/>
  <c r="B591" i="1"/>
  <c r="E592" i="1"/>
  <c r="B592" i="1"/>
  <c r="E593" i="1"/>
  <c r="B593" i="1"/>
  <c r="E594" i="1"/>
  <c r="B594" i="1"/>
  <c r="E595" i="1"/>
  <c r="B595" i="1"/>
  <c r="E596" i="1"/>
  <c r="B596" i="1"/>
  <c r="E597" i="1"/>
  <c r="B597" i="1"/>
  <c r="E598" i="1"/>
  <c r="B598" i="1"/>
  <c r="E599" i="1"/>
  <c r="B599" i="1"/>
  <c r="E600" i="1"/>
  <c r="B600" i="1"/>
  <c r="E601" i="1"/>
  <c r="B601" i="1"/>
  <c r="E602" i="1"/>
  <c r="B602" i="1"/>
  <c r="E603" i="1"/>
  <c r="B603" i="1"/>
  <c r="E604" i="1"/>
  <c r="B604" i="1"/>
  <c r="E605" i="1"/>
  <c r="B605" i="1"/>
  <c r="E606" i="1"/>
  <c r="B606" i="1"/>
  <c r="E607" i="1"/>
  <c r="B607" i="1"/>
  <c r="E608" i="1"/>
  <c r="B608" i="1"/>
  <c r="E609" i="1"/>
  <c r="B609" i="1"/>
  <c r="E610" i="1"/>
  <c r="B610" i="1"/>
  <c r="E611" i="1"/>
  <c r="B611" i="1"/>
  <c r="E612" i="1"/>
  <c r="B612" i="1"/>
  <c r="E613" i="1"/>
  <c r="B613" i="1"/>
  <c r="E614" i="1"/>
  <c r="B614" i="1"/>
  <c r="E615" i="1"/>
  <c r="B615" i="1"/>
  <c r="E616" i="1"/>
  <c r="B616" i="1"/>
  <c r="E617" i="1"/>
  <c r="B617" i="1"/>
  <c r="E618" i="1"/>
  <c r="B618" i="1"/>
  <c r="E619" i="1"/>
  <c r="B619" i="1"/>
  <c r="E620" i="1"/>
  <c r="B620" i="1"/>
  <c r="E621" i="1"/>
  <c r="B621" i="1"/>
  <c r="E622" i="1"/>
  <c r="B622" i="1"/>
  <c r="E623" i="1"/>
  <c r="B623" i="1"/>
  <c r="E624" i="1"/>
  <c r="B624" i="1"/>
  <c r="E625" i="1"/>
  <c r="B625" i="1"/>
  <c r="E626" i="1"/>
  <c r="B626" i="1"/>
  <c r="E627" i="1"/>
  <c r="B627" i="1"/>
  <c r="E628" i="1"/>
  <c r="B628" i="1"/>
  <c r="E629" i="1"/>
  <c r="B629" i="1"/>
  <c r="E630" i="1"/>
  <c r="B630" i="1"/>
  <c r="E631" i="1"/>
  <c r="B631" i="1"/>
  <c r="E632" i="1"/>
  <c r="B632" i="1"/>
  <c r="E633" i="1"/>
  <c r="B633" i="1"/>
  <c r="E634" i="1"/>
  <c r="B634" i="1"/>
  <c r="E635" i="1"/>
  <c r="B635" i="1"/>
  <c r="E636" i="1"/>
  <c r="B636" i="1"/>
  <c r="E637" i="1"/>
  <c r="B637" i="1"/>
  <c r="E638" i="1"/>
  <c r="B638" i="1"/>
  <c r="E639" i="1"/>
  <c r="B639" i="1"/>
  <c r="E640" i="1"/>
  <c r="B640" i="1"/>
  <c r="E641" i="1"/>
  <c r="B641" i="1"/>
  <c r="E642" i="1"/>
  <c r="B642" i="1"/>
  <c r="E643" i="1"/>
  <c r="B643" i="1"/>
  <c r="E644" i="1"/>
  <c r="B644" i="1"/>
  <c r="E647" i="1"/>
  <c r="B647" i="1"/>
  <c r="E646" i="1"/>
  <c r="B646" i="1"/>
  <c r="E645" i="1"/>
  <c r="B645" i="1"/>
  <c r="E648" i="1"/>
  <c r="B648" i="1"/>
  <c r="E649" i="1"/>
  <c r="B649" i="1"/>
  <c r="E650" i="1"/>
  <c r="B650" i="1"/>
  <c r="E651" i="1"/>
  <c r="B651" i="1"/>
  <c r="E652" i="1"/>
  <c r="B652" i="1"/>
  <c r="E653" i="1"/>
  <c r="B653" i="1"/>
  <c r="E654" i="1"/>
  <c r="B654" i="1"/>
  <c r="E655" i="1"/>
  <c r="B655" i="1"/>
  <c r="E656" i="1"/>
  <c r="B656" i="1"/>
  <c r="E657" i="1"/>
  <c r="B657" i="1"/>
  <c r="E658" i="1"/>
  <c r="B658" i="1"/>
  <c r="E659" i="1"/>
  <c r="B659" i="1"/>
  <c r="E660" i="1"/>
  <c r="B660" i="1"/>
  <c r="E661" i="1"/>
  <c r="B661" i="1"/>
  <c r="E662" i="1"/>
  <c r="B662" i="1"/>
  <c r="E663" i="1"/>
  <c r="B663" i="1"/>
  <c r="E664" i="1"/>
  <c r="B664" i="1"/>
  <c r="E665" i="1"/>
  <c r="B665" i="1"/>
  <c r="E666" i="1"/>
  <c r="B666" i="1"/>
  <c r="E667" i="1"/>
  <c r="B667" i="1"/>
  <c r="E668" i="1"/>
  <c r="B668" i="1"/>
  <c r="E669" i="1"/>
  <c r="B669" i="1"/>
  <c r="E670" i="1"/>
  <c r="B670" i="1"/>
  <c r="E671" i="1"/>
  <c r="B671" i="1"/>
  <c r="E672" i="1"/>
  <c r="B672" i="1"/>
  <c r="E673" i="1"/>
  <c r="B673" i="1"/>
  <c r="E674" i="1"/>
  <c r="B674" i="1"/>
  <c r="E675" i="1"/>
  <c r="B675" i="1"/>
  <c r="E676" i="1"/>
  <c r="B676" i="1"/>
  <c r="E677" i="1"/>
  <c r="B677" i="1"/>
  <c r="E678" i="1"/>
  <c r="B678" i="1"/>
  <c r="E679" i="1"/>
  <c r="B679" i="1"/>
  <c r="E680" i="1"/>
  <c r="B680" i="1"/>
  <c r="E681" i="1"/>
  <c r="B681" i="1"/>
  <c r="E682" i="1"/>
  <c r="B682" i="1"/>
  <c r="E683" i="1"/>
  <c r="B683" i="1"/>
  <c r="E684" i="1"/>
  <c r="B684" i="1"/>
  <c r="E685" i="1"/>
  <c r="B685" i="1"/>
  <c r="E686" i="1"/>
  <c r="B686" i="1"/>
  <c r="E687" i="1"/>
  <c r="B687" i="1"/>
  <c r="E688" i="1"/>
  <c r="B688" i="1"/>
  <c r="E689" i="1"/>
  <c r="B689" i="1"/>
  <c r="E690" i="1"/>
  <c r="B690" i="1"/>
  <c r="E691" i="1"/>
  <c r="B691" i="1"/>
  <c r="E692" i="1"/>
  <c r="B692" i="1"/>
  <c r="E693" i="1"/>
  <c r="B693" i="1"/>
  <c r="E694" i="1"/>
  <c r="B694" i="1"/>
  <c r="E695" i="1"/>
  <c r="B695" i="1"/>
  <c r="E696" i="1"/>
  <c r="B696" i="1"/>
  <c r="E697" i="1"/>
  <c r="B697" i="1"/>
  <c r="E698" i="1"/>
  <c r="B698" i="1"/>
  <c r="E699" i="1"/>
  <c r="B699" i="1"/>
  <c r="E700" i="1"/>
  <c r="B700" i="1"/>
  <c r="E701" i="1"/>
  <c r="B701" i="1"/>
  <c r="E702" i="1"/>
  <c r="B702" i="1"/>
  <c r="E703" i="1"/>
  <c r="B703" i="1"/>
  <c r="E704" i="1"/>
  <c r="B704" i="1"/>
  <c r="E705" i="1"/>
  <c r="B705" i="1"/>
  <c r="E706" i="1"/>
  <c r="B706" i="1"/>
  <c r="E707" i="1"/>
  <c r="B707" i="1"/>
  <c r="E708" i="1"/>
  <c r="B708" i="1"/>
  <c r="E709" i="1"/>
  <c r="B709" i="1"/>
  <c r="E710" i="1"/>
  <c r="B710" i="1"/>
  <c r="E711" i="1"/>
  <c r="B711" i="1"/>
  <c r="E712" i="1"/>
  <c r="B712" i="1"/>
  <c r="E713" i="1"/>
  <c r="B713" i="1"/>
  <c r="E714" i="1"/>
  <c r="B714" i="1"/>
  <c r="E715" i="1"/>
  <c r="B715" i="1"/>
  <c r="E716" i="1"/>
  <c r="B716" i="1"/>
  <c r="E717" i="1"/>
  <c r="B717" i="1"/>
  <c r="E718" i="1"/>
  <c r="B718" i="1"/>
  <c r="E719" i="1"/>
  <c r="B719" i="1"/>
  <c r="E721" i="1"/>
  <c r="B721" i="1"/>
  <c r="E720" i="1"/>
  <c r="B720" i="1"/>
  <c r="E722" i="1"/>
  <c r="B722" i="1"/>
  <c r="E723" i="1"/>
  <c r="B723" i="1"/>
  <c r="E724" i="1"/>
  <c r="B724" i="1"/>
  <c r="E725" i="1"/>
  <c r="B725" i="1"/>
  <c r="E726" i="1"/>
  <c r="B726" i="1"/>
  <c r="E727" i="1"/>
  <c r="B727" i="1"/>
  <c r="E728" i="1"/>
  <c r="B728" i="1"/>
  <c r="E729" i="1"/>
  <c r="B729" i="1"/>
  <c r="E730" i="1"/>
  <c r="B730" i="1"/>
  <c r="E731" i="1"/>
  <c r="B731" i="1"/>
  <c r="E732" i="1"/>
  <c r="B732" i="1"/>
  <c r="E733" i="1"/>
  <c r="B733" i="1"/>
  <c r="E734" i="1"/>
  <c r="B734" i="1"/>
  <c r="E735" i="1"/>
  <c r="B735" i="1"/>
  <c r="E736" i="1"/>
  <c r="B736" i="1"/>
  <c r="E737" i="1"/>
  <c r="B737" i="1"/>
  <c r="E738" i="1"/>
  <c r="B738" i="1"/>
  <c r="E739" i="1"/>
  <c r="B739" i="1"/>
  <c r="E740" i="1"/>
  <c r="B740" i="1"/>
  <c r="E741" i="1"/>
  <c r="B741" i="1"/>
  <c r="E742" i="1"/>
  <c r="B742" i="1"/>
  <c r="E743" i="1"/>
  <c r="B743" i="1"/>
  <c r="E744" i="1"/>
  <c r="B744" i="1"/>
  <c r="E745" i="1"/>
  <c r="B745" i="1"/>
  <c r="E746" i="1"/>
  <c r="B746" i="1"/>
  <c r="E747" i="1"/>
  <c r="B747" i="1"/>
  <c r="E748" i="1"/>
  <c r="B748" i="1"/>
  <c r="E749" i="1"/>
  <c r="B749" i="1"/>
  <c r="E750" i="1"/>
  <c r="B750" i="1"/>
  <c r="E751" i="1"/>
  <c r="B751" i="1"/>
  <c r="E752" i="1"/>
  <c r="B752" i="1"/>
  <c r="E753" i="1"/>
  <c r="B753" i="1"/>
  <c r="E754" i="1"/>
  <c r="B754" i="1"/>
  <c r="E755" i="1"/>
  <c r="B755" i="1"/>
  <c r="E756" i="1"/>
  <c r="B756" i="1"/>
  <c r="E757" i="1"/>
  <c r="B757" i="1"/>
  <c r="E758" i="1"/>
  <c r="B758" i="1"/>
  <c r="E759" i="1"/>
  <c r="B759" i="1"/>
  <c r="E760" i="1"/>
  <c r="B760" i="1"/>
  <c r="E761" i="1"/>
  <c r="B761" i="1"/>
  <c r="E762" i="1"/>
  <c r="B762" i="1"/>
  <c r="E763" i="1"/>
  <c r="B763" i="1"/>
  <c r="E764" i="1"/>
  <c r="B764" i="1"/>
  <c r="E765" i="1"/>
  <c r="B765" i="1"/>
  <c r="E766" i="1"/>
  <c r="B766" i="1"/>
  <c r="E767" i="1"/>
  <c r="B767" i="1"/>
  <c r="E768" i="1"/>
  <c r="B768" i="1"/>
  <c r="E769" i="1"/>
  <c r="B769" i="1"/>
  <c r="E770" i="1"/>
  <c r="B770" i="1"/>
  <c r="E771" i="1"/>
  <c r="B771" i="1"/>
  <c r="E772" i="1"/>
  <c r="B772" i="1"/>
  <c r="E773" i="1"/>
  <c r="B773" i="1"/>
  <c r="E774" i="1"/>
  <c r="B774" i="1"/>
  <c r="E775" i="1"/>
  <c r="B775" i="1"/>
  <c r="E776" i="1"/>
  <c r="B776" i="1"/>
  <c r="E777" i="1"/>
  <c r="B777" i="1"/>
  <c r="E778" i="1"/>
  <c r="B778" i="1"/>
  <c r="E779" i="1"/>
  <c r="B779" i="1"/>
  <c r="E780" i="1"/>
  <c r="B780" i="1"/>
  <c r="E781" i="1"/>
  <c r="B781" i="1"/>
  <c r="E782" i="1"/>
  <c r="B782" i="1"/>
  <c r="E783" i="1"/>
  <c r="B783" i="1"/>
  <c r="E784" i="1"/>
  <c r="B784" i="1"/>
  <c r="E785" i="1"/>
  <c r="B785" i="1"/>
  <c r="E786" i="1"/>
  <c r="B786" i="1"/>
  <c r="E787" i="1"/>
  <c r="B787" i="1"/>
  <c r="E788" i="1"/>
  <c r="B788" i="1"/>
  <c r="E789" i="1"/>
  <c r="B789" i="1"/>
  <c r="E790" i="1"/>
  <c r="B790" i="1"/>
  <c r="E791" i="1"/>
  <c r="B791" i="1"/>
  <c r="E792" i="1"/>
  <c r="B792" i="1"/>
  <c r="E793" i="1"/>
  <c r="B793" i="1"/>
  <c r="E794" i="1"/>
  <c r="B794" i="1"/>
  <c r="E795" i="1"/>
  <c r="B795" i="1"/>
  <c r="E796" i="1"/>
  <c r="B796" i="1"/>
  <c r="E797" i="1"/>
  <c r="B797" i="1"/>
  <c r="E798" i="1"/>
  <c r="B798" i="1"/>
  <c r="E799" i="1"/>
  <c r="B799" i="1"/>
  <c r="E800" i="1"/>
  <c r="B800" i="1"/>
  <c r="E801" i="1"/>
  <c r="B801" i="1"/>
  <c r="E802" i="1"/>
  <c r="B802" i="1"/>
  <c r="E803" i="1"/>
  <c r="B803" i="1"/>
  <c r="E804" i="1"/>
  <c r="B804" i="1"/>
  <c r="E805" i="1"/>
  <c r="B805" i="1"/>
  <c r="E806" i="1"/>
  <c r="B806" i="1"/>
  <c r="E807" i="1"/>
  <c r="B807" i="1"/>
  <c r="E808" i="1"/>
  <c r="B808" i="1"/>
  <c r="E809" i="1"/>
  <c r="B809" i="1"/>
  <c r="E810" i="1"/>
  <c r="B810" i="1"/>
  <c r="E811" i="1"/>
  <c r="B811" i="1"/>
  <c r="E812" i="1"/>
  <c r="B812" i="1"/>
  <c r="E813" i="1"/>
  <c r="B813" i="1"/>
  <c r="E814" i="1"/>
  <c r="B814" i="1"/>
  <c r="E815" i="1"/>
  <c r="B815" i="1"/>
  <c r="E816" i="1"/>
  <c r="B816" i="1"/>
  <c r="E817" i="1"/>
  <c r="B817" i="1"/>
  <c r="E818" i="1"/>
  <c r="B818" i="1"/>
  <c r="E819" i="1"/>
  <c r="B819" i="1"/>
  <c r="E820" i="1"/>
  <c r="B820" i="1"/>
  <c r="E821" i="1"/>
  <c r="B821" i="1"/>
  <c r="E822" i="1"/>
  <c r="B822" i="1"/>
  <c r="E823" i="1"/>
  <c r="B823" i="1"/>
  <c r="E824" i="1"/>
  <c r="B824" i="1"/>
  <c r="E825" i="1"/>
  <c r="B825" i="1"/>
  <c r="E826" i="1"/>
  <c r="B826" i="1"/>
  <c r="E827" i="1"/>
  <c r="B827" i="1"/>
  <c r="E828" i="1"/>
  <c r="B828" i="1"/>
  <c r="E829" i="1"/>
  <c r="B829" i="1"/>
  <c r="E830" i="1"/>
  <c r="B830" i="1"/>
  <c r="E831" i="1"/>
  <c r="B831" i="1"/>
  <c r="E832" i="1"/>
  <c r="B832" i="1"/>
  <c r="E833" i="1"/>
  <c r="B833" i="1"/>
  <c r="E834" i="1"/>
  <c r="B834" i="1"/>
  <c r="E835" i="1"/>
  <c r="B835" i="1"/>
  <c r="E836" i="1"/>
  <c r="B836" i="1"/>
  <c r="E837" i="1"/>
  <c r="B837" i="1"/>
  <c r="E838" i="1"/>
  <c r="B838" i="1"/>
  <c r="E839" i="1"/>
  <c r="B839" i="1"/>
  <c r="E840" i="1"/>
  <c r="B840" i="1"/>
  <c r="E841" i="1"/>
  <c r="B841" i="1"/>
  <c r="E842" i="1"/>
  <c r="B842" i="1"/>
  <c r="E843" i="1"/>
  <c r="B843" i="1"/>
  <c r="E844" i="1"/>
  <c r="B844" i="1"/>
  <c r="E845" i="1"/>
  <c r="B845" i="1"/>
  <c r="E846" i="1"/>
  <c r="B846" i="1"/>
  <c r="E847" i="1"/>
  <c r="B847" i="1"/>
  <c r="E848" i="1"/>
  <c r="B848" i="1"/>
  <c r="E849" i="1"/>
  <c r="B849" i="1"/>
  <c r="E850" i="1"/>
  <c r="B850" i="1"/>
  <c r="E851" i="1"/>
  <c r="B851" i="1"/>
  <c r="E852" i="1"/>
  <c r="B852" i="1"/>
  <c r="E853" i="1"/>
  <c r="B853" i="1"/>
  <c r="E854" i="1"/>
  <c r="B854" i="1"/>
  <c r="E855" i="1"/>
  <c r="B855" i="1"/>
  <c r="E856" i="1"/>
  <c r="B856" i="1"/>
  <c r="E857" i="1"/>
  <c r="B857" i="1"/>
  <c r="E858" i="1"/>
  <c r="B858" i="1"/>
  <c r="E859" i="1"/>
  <c r="B859" i="1"/>
  <c r="E860" i="1"/>
  <c r="B860" i="1"/>
  <c r="E861" i="1"/>
  <c r="B861" i="1"/>
  <c r="E862" i="1"/>
  <c r="B862" i="1"/>
  <c r="E863" i="1"/>
  <c r="B863" i="1"/>
  <c r="E864" i="1"/>
  <c r="B864" i="1"/>
  <c r="E865" i="1"/>
  <c r="B865" i="1"/>
  <c r="E866" i="1"/>
  <c r="B866" i="1"/>
  <c r="E867" i="1"/>
  <c r="B867" i="1"/>
  <c r="E868" i="1"/>
  <c r="B868" i="1"/>
  <c r="E869" i="1"/>
  <c r="B869" i="1"/>
  <c r="E870" i="1"/>
  <c r="B870" i="1"/>
  <c r="E871" i="1"/>
  <c r="B871" i="1"/>
  <c r="E872" i="1"/>
  <c r="B872" i="1"/>
  <c r="E873" i="1"/>
  <c r="B873" i="1"/>
  <c r="E874" i="1"/>
  <c r="B874" i="1"/>
  <c r="E875" i="1"/>
  <c r="B875" i="1"/>
  <c r="E876" i="1"/>
  <c r="B876" i="1"/>
  <c r="E877" i="1"/>
  <c r="B877" i="1"/>
  <c r="E879" i="1"/>
  <c r="B879" i="1"/>
  <c r="E878" i="1"/>
  <c r="B878" i="1"/>
  <c r="E880" i="1"/>
  <c r="B880" i="1"/>
  <c r="E881" i="1"/>
  <c r="B881" i="1"/>
  <c r="E882" i="1"/>
  <c r="B882" i="1"/>
  <c r="E883" i="1"/>
  <c r="B883" i="1"/>
  <c r="E884" i="1"/>
  <c r="B884" i="1"/>
  <c r="E885" i="1"/>
  <c r="B885" i="1"/>
  <c r="E886" i="1"/>
  <c r="B886" i="1"/>
  <c r="E887" i="1"/>
  <c r="B887" i="1"/>
  <c r="E888" i="1"/>
  <c r="B888" i="1"/>
  <c r="E889" i="1"/>
  <c r="B889" i="1"/>
  <c r="E890" i="1"/>
  <c r="B890" i="1"/>
  <c r="E891" i="1"/>
  <c r="B891" i="1"/>
  <c r="E892" i="1"/>
  <c r="B892" i="1"/>
  <c r="E893" i="1"/>
  <c r="B893" i="1"/>
  <c r="E894" i="1"/>
  <c r="B894" i="1"/>
  <c r="E895" i="1"/>
  <c r="B895" i="1"/>
  <c r="E896" i="1"/>
  <c r="B896" i="1"/>
  <c r="E897" i="1"/>
  <c r="B897" i="1"/>
  <c r="E898" i="1"/>
  <c r="B898" i="1"/>
  <c r="E899" i="1"/>
  <c r="B899" i="1"/>
  <c r="E900" i="1"/>
  <c r="B900" i="1"/>
  <c r="E901" i="1"/>
  <c r="B901" i="1"/>
  <c r="E902" i="1"/>
  <c r="B902" i="1"/>
  <c r="E903" i="1"/>
  <c r="B903" i="1"/>
  <c r="E904" i="1"/>
  <c r="B904" i="1"/>
  <c r="E905" i="1"/>
  <c r="B905" i="1"/>
  <c r="E906" i="1"/>
  <c r="B906" i="1"/>
  <c r="E907" i="1"/>
  <c r="B907" i="1"/>
  <c r="E908" i="1"/>
  <c r="B908" i="1"/>
  <c r="E909" i="1"/>
  <c r="B909" i="1"/>
  <c r="E910" i="1"/>
  <c r="B910" i="1"/>
  <c r="E911" i="1"/>
  <c r="B911" i="1"/>
  <c r="E912" i="1"/>
  <c r="B912" i="1"/>
  <c r="E913" i="1"/>
  <c r="B913" i="1"/>
  <c r="E914" i="1"/>
  <c r="B914" i="1"/>
  <c r="E915" i="1"/>
  <c r="B915" i="1"/>
  <c r="E916" i="1"/>
  <c r="B916" i="1"/>
  <c r="E917" i="1"/>
  <c r="B917" i="1"/>
  <c r="E918" i="1"/>
  <c r="B918" i="1"/>
  <c r="E919" i="1"/>
  <c r="B919" i="1"/>
  <c r="E920" i="1"/>
  <c r="B920" i="1"/>
  <c r="E921" i="1"/>
  <c r="B921" i="1"/>
  <c r="E922" i="1"/>
  <c r="B922" i="1"/>
  <c r="E923" i="1"/>
  <c r="B923" i="1"/>
  <c r="E924" i="1"/>
  <c r="B924" i="1"/>
  <c r="E925" i="1"/>
  <c r="B925" i="1"/>
  <c r="E926" i="1"/>
  <c r="B926" i="1"/>
  <c r="E927" i="1"/>
  <c r="B927" i="1"/>
  <c r="E928" i="1"/>
  <c r="B928" i="1"/>
  <c r="E929" i="1"/>
  <c r="B929" i="1"/>
  <c r="E930" i="1"/>
  <c r="B930" i="1"/>
  <c r="E931" i="1"/>
  <c r="B931" i="1"/>
  <c r="E932" i="1"/>
  <c r="B932" i="1"/>
  <c r="E933" i="1"/>
  <c r="B933" i="1"/>
  <c r="E935" i="1"/>
  <c r="B935" i="1"/>
  <c r="E934" i="1"/>
  <c r="B934" i="1"/>
  <c r="E936" i="1"/>
  <c r="B936" i="1"/>
  <c r="E937" i="1"/>
  <c r="B937" i="1"/>
  <c r="E938" i="1"/>
  <c r="B938" i="1"/>
  <c r="E939" i="1"/>
  <c r="B939" i="1"/>
  <c r="E940" i="1"/>
  <c r="B940" i="1"/>
  <c r="E941" i="1"/>
  <c r="B941" i="1"/>
  <c r="E942" i="1"/>
  <c r="B942" i="1"/>
  <c r="E943" i="1"/>
  <c r="B943" i="1"/>
  <c r="E944" i="1"/>
  <c r="B944" i="1"/>
  <c r="E945" i="1"/>
  <c r="B945" i="1"/>
  <c r="E946" i="1"/>
  <c r="B946" i="1"/>
  <c r="E947" i="1"/>
  <c r="B947" i="1"/>
  <c r="E948" i="1"/>
  <c r="B948" i="1"/>
  <c r="E949" i="1"/>
  <c r="B949" i="1"/>
  <c r="E950" i="1"/>
  <c r="B950" i="1"/>
  <c r="E951" i="1"/>
  <c r="B951" i="1"/>
  <c r="E952" i="1"/>
  <c r="B952" i="1"/>
  <c r="E953" i="1"/>
  <c r="B953" i="1"/>
  <c r="E954" i="1"/>
  <c r="B954" i="1"/>
  <c r="E955" i="1"/>
  <c r="B955" i="1"/>
  <c r="E956" i="1"/>
  <c r="B956" i="1"/>
  <c r="E957" i="1"/>
  <c r="B957" i="1"/>
  <c r="E958" i="1"/>
  <c r="B958" i="1"/>
  <c r="E959" i="1"/>
  <c r="B959" i="1"/>
  <c r="E960" i="1"/>
  <c r="B960" i="1"/>
  <c r="E961" i="1"/>
  <c r="B961" i="1"/>
  <c r="E962" i="1"/>
  <c r="B962" i="1"/>
  <c r="E964" i="1"/>
  <c r="B964" i="1"/>
  <c r="E963" i="1"/>
  <c r="B963" i="1"/>
  <c r="E965" i="1"/>
  <c r="B965" i="1"/>
  <c r="E966" i="1"/>
  <c r="B966" i="1"/>
  <c r="E967" i="1"/>
  <c r="B967" i="1"/>
  <c r="E968" i="1"/>
  <c r="B968" i="1"/>
  <c r="E969" i="1"/>
  <c r="B969" i="1"/>
  <c r="E970" i="1"/>
  <c r="B970" i="1"/>
  <c r="E971" i="1"/>
  <c r="B971" i="1"/>
  <c r="E972" i="1"/>
  <c r="B972" i="1"/>
  <c r="E973" i="1"/>
  <c r="B973" i="1"/>
  <c r="E974" i="1"/>
  <c r="B974" i="1"/>
  <c r="E975" i="1"/>
  <c r="B975" i="1"/>
  <c r="E976" i="1"/>
  <c r="B976" i="1"/>
  <c r="E977" i="1"/>
  <c r="B977" i="1"/>
  <c r="E978" i="1"/>
  <c r="B978" i="1"/>
  <c r="E979" i="1"/>
  <c r="B979" i="1"/>
  <c r="E980" i="1"/>
  <c r="B980" i="1"/>
  <c r="E981" i="1"/>
  <c r="B981" i="1"/>
  <c r="E982" i="1"/>
  <c r="B982" i="1"/>
  <c r="E983" i="1"/>
  <c r="B983" i="1"/>
  <c r="E984" i="1"/>
  <c r="B984" i="1"/>
  <c r="E985" i="1"/>
  <c r="B985" i="1"/>
  <c r="E986" i="1"/>
  <c r="B986" i="1"/>
  <c r="E987" i="1"/>
  <c r="B987" i="1"/>
  <c r="E988" i="1"/>
  <c r="B988" i="1"/>
  <c r="E989" i="1"/>
  <c r="B989" i="1"/>
  <c r="E990" i="1"/>
  <c r="B990" i="1"/>
  <c r="E991" i="1"/>
  <c r="B991" i="1"/>
  <c r="E992" i="1"/>
  <c r="B992" i="1"/>
  <c r="E993" i="1"/>
  <c r="B993" i="1"/>
  <c r="E994" i="1"/>
  <c r="B994" i="1"/>
  <c r="E995" i="1"/>
  <c r="B995" i="1"/>
  <c r="E996" i="1"/>
  <c r="B996" i="1"/>
  <c r="E997" i="1"/>
  <c r="B997" i="1"/>
  <c r="E998" i="1"/>
  <c r="B998" i="1"/>
  <c r="E999" i="1"/>
  <c r="B999" i="1"/>
  <c r="E1000" i="1"/>
  <c r="B1000" i="1"/>
  <c r="E1001" i="1"/>
  <c r="B1001" i="1"/>
  <c r="E1002" i="1"/>
  <c r="B1002" i="1"/>
  <c r="E1003" i="1"/>
  <c r="B1003" i="1"/>
  <c r="E1004" i="1"/>
  <c r="B1004" i="1"/>
  <c r="E1005" i="1"/>
  <c r="B1005" i="1"/>
  <c r="E1006" i="1"/>
  <c r="B1006" i="1"/>
  <c r="E1007" i="1"/>
  <c r="B1007" i="1"/>
  <c r="E1008" i="1"/>
  <c r="B1008" i="1"/>
  <c r="E1009" i="1"/>
  <c r="B1009" i="1"/>
  <c r="E1010" i="1"/>
  <c r="B1010" i="1"/>
  <c r="E1011" i="1"/>
  <c r="B1011" i="1"/>
  <c r="E1012" i="1"/>
  <c r="B1012" i="1"/>
  <c r="E1013" i="1"/>
  <c r="B1013" i="1"/>
  <c r="E1014" i="1"/>
  <c r="B1014" i="1"/>
  <c r="E1015" i="1"/>
  <c r="B1015" i="1"/>
  <c r="E1016" i="1"/>
  <c r="B1016" i="1"/>
  <c r="E1017" i="1"/>
  <c r="B1017" i="1"/>
  <c r="E1018" i="1"/>
  <c r="B1018" i="1"/>
  <c r="E1019" i="1"/>
  <c r="B1019" i="1"/>
  <c r="E1020" i="1"/>
  <c r="B1020" i="1"/>
  <c r="E1021" i="1"/>
  <c r="B1021" i="1"/>
  <c r="E1022" i="1"/>
  <c r="B1022" i="1"/>
  <c r="E1023" i="1"/>
  <c r="B1023" i="1"/>
  <c r="E1024" i="1"/>
  <c r="B1024" i="1"/>
  <c r="E1025" i="1"/>
  <c r="B1025" i="1"/>
  <c r="E1026" i="1"/>
  <c r="B1026" i="1"/>
  <c r="E1027" i="1"/>
  <c r="B1027" i="1"/>
  <c r="E1028" i="1"/>
  <c r="B1028" i="1"/>
  <c r="E1029" i="1"/>
  <c r="B1029" i="1"/>
  <c r="E1030" i="1"/>
  <c r="B1030" i="1"/>
  <c r="E1031" i="1"/>
  <c r="B1031" i="1"/>
  <c r="E1032" i="1"/>
  <c r="B1032" i="1"/>
  <c r="E1033" i="1"/>
  <c r="B1033" i="1"/>
  <c r="E1034" i="1"/>
  <c r="B1034" i="1"/>
  <c r="E1035" i="1"/>
  <c r="B1035" i="1"/>
  <c r="E1036" i="1"/>
  <c r="B1036" i="1"/>
  <c r="E1037" i="1"/>
  <c r="B1037" i="1"/>
  <c r="E1038" i="1"/>
  <c r="B1038" i="1"/>
  <c r="E1039" i="1"/>
  <c r="B1039" i="1"/>
  <c r="E1040" i="1"/>
  <c r="B1040" i="1"/>
  <c r="E1041" i="1"/>
  <c r="B1041" i="1"/>
  <c r="E1042" i="1"/>
  <c r="B1042" i="1"/>
  <c r="E1043" i="1"/>
  <c r="B1043" i="1"/>
  <c r="E1044" i="1"/>
  <c r="B1044" i="1"/>
  <c r="E1045" i="1"/>
  <c r="B1045" i="1"/>
  <c r="E1046" i="1"/>
  <c r="B1046" i="1"/>
  <c r="E1047" i="1"/>
  <c r="B1047" i="1"/>
  <c r="E1048" i="1"/>
  <c r="B1048" i="1"/>
  <c r="E1049" i="1"/>
  <c r="B1049" i="1"/>
  <c r="E1050" i="1"/>
  <c r="B1050" i="1"/>
  <c r="E1051" i="1"/>
  <c r="B1051" i="1"/>
  <c r="E1052" i="1"/>
  <c r="B1052" i="1"/>
  <c r="E1053" i="1"/>
  <c r="B1053" i="1"/>
  <c r="E1054" i="1"/>
  <c r="B1054" i="1"/>
  <c r="E1055" i="1"/>
  <c r="B1055" i="1"/>
  <c r="E1056" i="1"/>
  <c r="B1056" i="1"/>
  <c r="E1057" i="1"/>
  <c r="B1057" i="1"/>
  <c r="E1058" i="1"/>
  <c r="B1058" i="1"/>
  <c r="E1059" i="1"/>
  <c r="B1059" i="1"/>
  <c r="E1060" i="1"/>
  <c r="B1060" i="1"/>
  <c r="E1061" i="1"/>
  <c r="B1061" i="1"/>
  <c r="E1062" i="1"/>
  <c r="B1062" i="1"/>
  <c r="E1063" i="1"/>
  <c r="B1063" i="1"/>
  <c r="E1064" i="1"/>
  <c r="B1064" i="1"/>
  <c r="E1065" i="1"/>
  <c r="B1065" i="1"/>
  <c r="E1066" i="1"/>
  <c r="B1066" i="1"/>
  <c r="E1067" i="1"/>
  <c r="B1067" i="1"/>
  <c r="E1068" i="1"/>
  <c r="B1068" i="1"/>
  <c r="E1069" i="1"/>
  <c r="B1069" i="1"/>
  <c r="E1070" i="1"/>
  <c r="B1070" i="1"/>
  <c r="E1071" i="1"/>
  <c r="B1071" i="1"/>
  <c r="E1072" i="1"/>
  <c r="B1072" i="1"/>
  <c r="E1073" i="1"/>
  <c r="B1073" i="1"/>
  <c r="E1074" i="1"/>
  <c r="B1074" i="1"/>
  <c r="E1075" i="1"/>
  <c r="B1075" i="1"/>
  <c r="E1076" i="1"/>
  <c r="B1076" i="1"/>
  <c r="E1077" i="1"/>
  <c r="B1077" i="1"/>
  <c r="E1078" i="1"/>
  <c r="B1078" i="1"/>
  <c r="E1079" i="1"/>
  <c r="B1079" i="1"/>
  <c r="E1080" i="1"/>
  <c r="B1080" i="1"/>
  <c r="E1081" i="1"/>
  <c r="B1081" i="1"/>
  <c r="E1082" i="1"/>
  <c r="B1082" i="1"/>
  <c r="E1083" i="1"/>
  <c r="B1083" i="1"/>
  <c r="E1084" i="1"/>
  <c r="B1084" i="1"/>
  <c r="E1085" i="1"/>
  <c r="B1085" i="1"/>
  <c r="E1086" i="1"/>
  <c r="B1086" i="1"/>
  <c r="E1087" i="1"/>
  <c r="B1087" i="1"/>
  <c r="E1088" i="1"/>
  <c r="B1088" i="1"/>
  <c r="E1089" i="1"/>
  <c r="B1089" i="1"/>
  <c r="E1090" i="1"/>
  <c r="B1090" i="1"/>
  <c r="E1091" i="1"/>
  <c r="B1091" i="1"/>
  <c r="E1092" i="1"/>
  <c r="B1092" i="1"/>
  <c r="E1093" i="1"/>
  <c r="B1093" i="1"/>
  <c r="E1094" i="1"/>
  <c r="B1094" i="1"/>
  <c r="E1095" i="1"/>
  <c r="B1095" i="1"/>
  <c r="E1096" i="1"/>
  <c r="B1096" i="1"/>
  <c r="E1097" i="1"/>
  <c r="B1097" i="1"/>
  <c r="E1098" i="1"/>
  <c r="B1098" i="1"/>
  <c r="E1099" i="1"/>
  <c r="B1099" i="1"/>
  <c r="E1100" i="1"/>
  <c r="B1100" i="1"/>
  <c r="E1101" i="1"/>
  <c r="B1101" i="1"/>
  <c r="E1102" i="1"/>
  <c r="B1102" i="1"/>
  <c r="E1103" i="1"/>
  <c r="B1103" i="1"/>
  <c r="E1104" i="1"/>
  <c r="B1104" i="1"/>
  <c r="E1105" i="1"/>
  <c r="B1105" i="1"/>
  <c r="E1106" i="1"/>
  <c r="B1106" i="1"/>
  <c r="E1107" i="1"/>
  <c r="B1107" i="1"/>
  <c r="E1108" i="1"/>
  <c r="B1108" i="1"/>
  <c r="E1109" i="1"/>
  <c r="B1109" i="1"/>
  <c r="E1110" i="1"/>
  <c r="B1110" i="1"/>
  <c r="E1111" i="1"/>
  <c r="B1111" i="1"/>
  <c r="E1112" i="1"/>
  <c r="B1112" i="1"/>
  <c r="E1113" i="1"/>
  <c r="B1113" i="1"/>
  <c r="E1114" i="1"/>
  <c r="B1114" i="1"/>
  <c r="E1115" i="1"/>
  <c r="B1115" i="1"/>
  <c r="E1116" i="1"/>
  <c r="B1116" i="1"/>
  <c r="E1117" i="1"/>
  <c r="B1117" i="1"/>
  <c r="E1118" i="1"/>
  <c r="B1118" i="1"/>
  <c r="E1119" i="1"/>
  <c r="B1119" i="1"/>
  <c r="E1120" i="1"/>
  <c r="B1120" i="1"/>
  <c r="E1121" i="1"/>
  <c r="B1121" i="1"/>
  <c r="E1122" i="1"/>
  <c r="B1122" i="1"/>
  <c r="E1123" i="1"/>
  <c r="B1123" i="1"/>
  <c r="E1124" i="1"/>
  <c r="B1124" i="1"/>
  <c r="E1125" i="1"/>
  <c r="B1125" i="1"/>
  <c r="E1126" i="1"/>
  <c r="B1126" i="1"/>
  <c r="E1127" i="1"/>
  <c r="B1127" i="1"/>
  <c r="E1128" i="1"/>
  <c r="B1128" i="1"/>
  <c r="E1129" i="1"/>
  <c r="B1129" i="1"/>
  <c r="E1130" i="1"/>
  <c r="B1130" i="1"/>
  <c r="E1131" i="1"/>
  <c r="B1131" i="1"/>
  <c r="E1132" i="1"/>
  <c r="B1132" i="1"/>
  <c r="E1133" i="1"/>
  <c r="B1133" i="1"/>
  <c r="E1134" i="1"/>
  <c r="B1134" i="1"/>
  <c r="E1135" i="1"/>
  <c r="B1135" i="1"/>
  <c r="E1136" i="1"/>
  <c r="B1136" i="1"/>
  <c r="E1137" i="1"/>
  <c r="B1137" i="1"/>
  <c r="E1138" i="1"/>
  <c r="B1138" i="1"/>
  <c r="E1139" i="1"/>
  <c r="B1139" i="1"/>
  <c r="E1140" i="1"/>
  <c r="B1140" i="1"/>
  <c r="E1141" i="1"/>
  <c r="B1141" i="1"/>
  <c r="E1142" i="1"/>
  <c r="B1142" i="1"/>
  <c r="E1143" i="1"/>
  <c r="B1143" i="1"/>
  <c r="E1144" i="1"/>
  <c r="B1144" i="1"/>
  <c r="E1145" i="1"/>
  <c r="B1145" i="1"/>
  <c r="E1146" i="1"/>
  <c r="B1146" i="1"/>
  <c r="E1147" i="1"/>
  <c r="B1147" i="1"/>
  <c r="E1148" i="1"/>
  <c r="B1148" i="1"/>
  <c r="E1149" i="1"/>
  <c r="B1149" i="1"/>
  <c r="E1150" i="1"/>
  <c r="B1150" i="1"/>
  <c r="E1151" i="1"/>
  <c r="B1151" i="1"/>
  <c r="E1152" i="1"/>
  <c r="B1152" i="1"/>
  <c r="E1153" i="1"/>
  <c r="B1153" i="1"/>
  <c r="E1154" i="1"/>
  <c r="B1154" i="1"/>
  <c r="E1155" i="1"/>
  <c r="B1155" i="1"/>
  <c r="E1156" i="1"/>
  <c r="B1156" i="1"/>
  <c r="E1157" i="1"/>
  <c r="B1157" i="1"/>
  <c r="E1158" i="1"/>
  <c r="B1158" i="1"/>
  <c r="E1159" i="1"/>
  <c r="B1159" i="1"/>
  <c r="E1160" i="1"/>
  <c r="B1160" i="1"/>
  <c r="E1161" i="1"/>
  <c r="B1161" i="1"/>
  <c r="E1162" i="1"/>
  <c r="B1162" i="1"/>
  <c r="E1163" i="1"/>
  <c r="B1163" i="1"/>
  <c r="E1164" i="1"/>
  <c r="B1164" i="1"/>
  <c r="E1165" i="1"/>
  <c r="B1165" i="1"/>
  <c r="E1166" i="1"/>
  <c r="B1166" i="1"/>
  <c r="E1167" i="1"/>
  <c r="B1167" i="1"/>
  <c r="E1168" i="1"/>
  <c r="B1168" i="1"/>
  <c r="E1169" i="1"/>
  <c r="B1169" i="1"/>
  <c r="E1170" i="1"/>
  <c r="B1170" i="1"/>
  <c r="E1171" i="1"/>
  <c r="B1171" i="1"/>
  <c r="E1172" i="1"/>
  <c r="B1172" i="1"/>
  <c r="E1173" i="1"/>
  <c r="B1173" i="1"/>
  <c r="E1174" i="1"/>
  <c r="B1174" i="1"/>
  <c r="E1175" i="1"/>
  <c r="B1175" i="1"/>
  <c r="E1176" i="1"/>
  <c r="B1176" i="1"/>
  <c r="E1177" i="1"/>
  <c r="B1177" i="1"/>
  <c r="E1178" i="1"/>
  <c r="B1178" i="1"/>
  <c r="E1179" i="1"/>
  <c r="B1179" i="1"/>
  <c r="E1180" i="1"/>
  <c r="B1180" i="1"/>
  <c r="E1181" i="1"/>
  <c r="B1181" i="1"/>
  <c r="E1182" i="1"/>
  <c r="B1182" i="1"/>
  <c r="E1183" i="1"/>
  <c r="B1183" i="1"/>
  <c r="E1184" i="1"/>
  <c r="B1184" i="1"/>
  <c r="E1185" i="1"/>
  <c r="B1185" i="1"/>
  <c r="E1186" i="1"/>
  <c r="B1186" i="1"/>
  <c r="E1187" i="1"/>
  <c r="B1187" i="1"/>
  <c r="E1188" i="1"/>
  <c r="B1188" i="1"/>
  <c r="E1189" i="1"/>
  <c r="B1189" i="1"/>
  <c r="E1190" i="1"/>
  <c r="B1190" i="1"/>
  <c r="E1191" i="1"/>
  <c r="B1191" i="1"/>
  <c r="E1192" i="1"/>
  <c r="B1192" i="1"/>
  <c r="E1193" i="1"/>
  <c r="B1193" i="1"/>
  <c r="E1194" i="1"/>
  <c r="B1194" i="1"/>
  <c r="E1195" i="1"/>
  <c r="B1195" i="1"/>
  <c r="E1196" i="1"/>
  <c r="B1196" i="1"/>
  <c r="E1197" i="1"/>
  <c r="B1197" i="1"/>
  <c r="E1198" i="1"/>
  <c r="B1198" i="1"/>
  <c r="E1199" i="1"/>
  <c r="B1199" i="1"/>
  <c r="E1200" i="1"/>
  <c r="B1200" i="1"/>
  <c r="E1201" i="1"/>
  <c r="B1201" i="1"/>
  <c r="E1202" i="1"/>
  <c r="B1202" i="1"/>
  <c r="E1203" i="1"/>
  <c r="B1203" i="1"/>
  <c r="E1204" i="1"/>
  <c r="B1204" i="1"/>
  <c r="E1205" i="1"/>
  <c r="B1205" i="1"/>
  <c r="E1206" i="1"/>
  <c r="B1206" i="1"/>
  <c r="E1207" i="1"/>
  <c r="B1207" i="1"/>
  <c r="E1208" i="1"/>
  <c r="B1208" i="1"/>
  <c r="E1209" i="1"/>
  <c r="B1209" i="1"/>
  <c r="E1210" i="1"/>
  <c r="B1210" i="1"/>
  <c r="E1211" i="1"/>
  <c r="B1211" i="1"/>
  <c r="E1212" i="1"/>
  <c r="B1212" i="1"/>
  <c r="E1213" i="1"/>
  <c r="B1213" i="1"/>
  <c r="E1214" i="1"/>
  <c r="B1214" i="1"/>
  <c r="E1215" i="1"/>
  <c r="B1215" i="1"/>
  <c r="E1216" i="1"/>
  <c r="B1216" i="1"/>
  <c r="E1217" i="1"/>
  <c r="B1217" i="1"/>
  <c r="E1218" i="1"/>
  <c r="B1218" i="1"/>
  <c r="E1220" i="1"/>
  <c r="B1220" i="1"/>
  <c r="E1219" i="1"/>
  <c r="B1219" i="1"/>
  <c r="E1221" i="1"/>
  <c r="B1221" i="1"/>
  <c r="E1222" i="1"/>
  <c r="B1222" i="1"/>
  <c r="E1223" i="1"/>
  <c r="B1223" i="1"/>
  <c r="E1224" i="1"/>
  <c r="B1224" i="1"/>
  <c r="E1225" i="1"/>
  <c r="B1225" i="1"/>
  <c r="E1226" i="1"/>
  <c r="B1226" i="1"/>
  <c r="E1227" i="1"/>
  <c r="B1227" i="1"/>
  <c r="E1228" i="1"/>
  <c r="B1228" i="1"/>
  <c r="E1229" i="1"/>
  <c r="B1229" i="1"/>
  <c r="E1230" i="1"/>
  <c r="B1230" i="1"/>
  <c r="E1231" i="1"/>
  <c r="B1231" i="1"/>
  <c r="E1232" i="1"/>
  <c r="B1232" i="1"/>
  <c r="E1233" i="1"/>
  <c r="B1233" i="1"/>
  <c r="E1234" i="1"/>
  <c r="B1234" i="1"/>
  <c r="E1235" i="1"/>
  <c r="B1235" i="1"/>
  <c r="E1236" i="1"/>
  <c r="B1236" i="1"/>
  <c r="E1237" i="1"/>
  <c r="B1237" i="1"/>
  <c r="E1238" i="1"/>
  <c r="B1238" i="1"/>
  <c r="E1239" i="1"/>
  <c r="B1239" i="1"/>
  <c r="E1240" i="1"/>
  <c r="B1240" i="1"/>
  <c r="E1241" i="1"/>
  <c r="B1241" i="1"/>
  <c r="E1242" i="1"/>
  <c r="B1242" i="1"/>
  <c r="E1243" i="1"/>
  <c r="B1243" i="1"/>
  <c r="E1244" i="1"/>
  <c r="B1244" i="1"/>
  <c r="E1245" i="1"/>
  <c r="B1245" i="1"/>
  <c r="E1246" i="1"/>
  <c r="B1246" i="1"/>
  <c r="E1247" i="1"/>
  <c r="B1247" i="1"/>
  <c r="E1248" i="1"/>
  <c r="B1248" i="1"/>
  <c r="E1249" i="1"/>
  <c r="B1249" i="1"/>
  <c r="E1250" i="1"/>
  <c r="B1250" i="1"/>
  <c r="E1251" i="1"/>
  <c r="B1251" i="1"/>
  <c r="E1252" i="1"/>
  <c r="B1252" i="1"/>
  <c r="E1253" i="1"/>
  <c r="B1253" i="1"/>
  <c r="E1254" i="1"/>
  <c r="B1254" i="1"/>
  <c r="E1255" i="1"/>
  <c r="B1255" i="1"/>
  <c r="E1256" i="1"/>
  <c r="B1256" i="1"/>
  <c r="E1257" i="1"/>
  <c r="B1257" i="1"/>
  <c r="E1258" i="1"/>
  <c r="B1258" i="1"/>
  <c r="E1259" i="1"/>
  <c r="B1259" i="1"/>
  <c r="E1260" i="1"/>
  <c r="B1260" i="1"/>
  <c r="E1261" i="1"/>
  <c r="B1261" i="1"/>
  <c r="E1262" i="1"/>
  <c r="B1262" i="1"/>
  <c r="E1263" i="1"/>
  <c r="B1263" i="1"/>
  <c r="E1264" i="1"/>
  <c r="B1264" i="1"/>
  <c r="E1265" i="1"/>
  <c r="B1265" i="1"/>
  <c r="E1266" i="1"/>
  <c r="B1266" i="1"/>
  <c r="E1268" i="1"/>
  <c r="B1268" i="1"/>
  <c r="E1267" i="1"/>
  <c r="B1267" i="1"/>
  <c r="E1269" i="1"/>
  <c r="B1269" i="1"/>
  <c r="E1270" i="1"/>
  <c r="B1270" i="1"/>
  <c r="E1271" i="1"/>
  <c r="B1271" i="1"/>
  <c r="E1272" i="1"/>
  <c r="B1272" i="1"/>
  <c r="E1273" i="1"/>
  <c r="B1273" i="1"/>
  <c r="E1274" i="1"/>
  <c r="B1274" i="1"/>
  <c r="E1275" i="1"/>
  <c r="B1275" i="1"/>
  <c r="E1276" i="1"/>
  <c r="B1276" i="1"/>
  <c r="E1277" i="1"/>
  <c r="B1277" i="1"/>
  <c r="E1278" i="1"/>
  <c r="B1278" i="1"/>
  <c r="E1279" i="1"/>
  <c r="B1279" i="1"/>
  <c r="E1280" i="1"/>
  <c r="B1280" i="1"/>
  <c r="E1281" i="1"/>
  <c r="B1281" i="1"/>
  <c r="E1282" i="1"/>
  <c r="B1282" i="1"/>
  <c r="E1283" i="1"/>
  <c r="B1283" i="1"/>
  <c r="E1284" i="1"/>
  <c r="B1284" i="1"/>
  <c r="E1285" i="1"/>
  <c r="B1285" i="1"/>
  <c r="E1286" i="1"/>
  <c r="B1286" i="1"/>
  <c r="E1287" i="1"/>
  <c r="B1287" i="1"/>
  <c r="E1288" i="1"/>
  <c r="B1288" i="1"/>
  <c r="E1289" i="1"/>
  <c r="B1289" i="1"/>
  <c r="E1290" i="1"/>
  <c r="B1290" i="1"/>
  <c r="E1291" i="1"/>
  <c r="B1291" i="1"/>
  <c r="E1292" i="1"/>
  <c r="B1292" i="1"/>
  <c r="E1293" i="1"/>
  <c r="B1293" i="1"/>
  <c r="E1294" i="1"/>
  <c r="B1294" i="1"/>
  <c r="E1295" i="1"/>
  <c r="B1295" i="1"/>
  <c r="E1296" i="1"/>
  <c r="B1296" i="1"/>
  <c r="E1297" i="1"/>
  <c r="B1297" i="1"/>
  <c r="E1298" i="1"/>
  <c r="B1298" i="1"/>
  <c r="E1299" i="1"/>
  <c r="B1299" i="1"/>
  <c r="E1300" i="1"/>
  <c r="B1300" i="1"/>
  <c r="E1301" i="1"/>
  <c r="B1301" i="1"/>
  <c r="E1302" i="1"/>
  <c r="B1302" i="1"/>
  <c r="E1303" i="1"/>
  <c r="B1303" i="1"/>
  <c r="E1304" i="1"/>
  <c r="B1304" i="1"/>
  <c r="E1305" i="1"/>
  <c r="B1305" i="1"/>
  <c r="E1306" i="1"/>
  <c r="B1306" i="1"/>
  <c r="E1307" i="1"/>
  <c r="B1307" i="1"/>
  <c r="E1308" i="1"/>
  <c r="B1308" i="1"/>
  <c r="E1309" i="1"/>
  <c r="B1309" i="1"/>
  <c r="E1310" i="1"/>
  <c r="B1310" i="1"/>
  <c r="E1311" i="1"/>
  <c r="B1311" i="1"/>
  <c r="E1312" i="1"/>
  <c r="B1312" i="1"/>
  <c r="E1313" i="1"/>
  <c r="B1313" i="1"/>
  <c r="E1314" i="1"/>
  <c r="B1314" i="1"/>
  <c r="E1315" i="1"/>
  <c r="B1315" i="1"/>
  <c r="E1316" i="1"/>
  <c r="B1316" i="1"/>
  <c r="E1317" i="1"/>
  <c r="B1317" i="1"/>
  <c r="E1318" i="1"/>
  <c r="B1318" i="1"/>
  <c r="E1319" i="1"/>
  <c r="B1319" i="1"/>
  <c r="E1320" i="1"/>
  <c r="B1320" i="1"/>
  <c r="E1321" i="1"/>
  <c r="B1321" i="1"/>
  <c r="E1322" i="1"/>
  <c r="B1322" i="1"/>
  <c r="E1323" i="1"/>
  <c r="B1323" i="1"/>
  <c r="E1324" i="1"/>
  <c r="B1324" i="1"/>
  <c r="E1325" i="1"/>
  <c r="B1325" i="1"/>
  <c r="E1326" i="1"/>
  <c r="B1326" i="1"/>
  <c r="E1327" i="1"/>
  <c r="B1327" i="1"/>
  <c r="E1329" i="1"/>
  <c r="B1329" i="1"/>
  <c r="E1328" i="1"/>
  <c r="B1328" i="1"/>
  <c r="E1330" i="1"/>
  <c r="B1330" i="1"/>
  <c r="E1331" i="1"/>
  <c r="B1331" i="1"/>
  <c r="E1332" i="1"/>
  <c r="B1332" i="1"/>
  <c r="E1333" i="1"/>
  <c r="B1333" i="1"/>
  <c r="E1334" i="1"/>
  <c r="B1334" i="1"/>
  <c r="E1335" i="1"/>
  <c r="B1335" i="1"/>
  <c r="E1336" i="1"/>
  <c r="B1336" i="1"/>
  <c r="E1337" i="1"/>
  <c r="B1337" i="1"/>
  <c r="E1338" i="1"/>
  <c r="B1338" i="1"/>
  <c r="E1339" i="1"/>
  <c r="B1339" i="1"/>
  <c r="E1340" i="1"/>
  <c r="B1340" i="1"/>
  <c r="E1341" i="1"/>
  <c r="B1341" i="1"/>
  <c r="E1342" i="1"/>
  <c r="B1342" i="1"/>
  <c r="E1343" i="1"/>
  <c r="B1343" i="1"/>
  <c r="E1344" i="1"/>
  <c r="B1344" i="1"/>
  <c r="E1345" i="1"/>
  <c r="B1345" i="1"/>
  <c r="E1346" i="1"/>
  <c r="B1346" i="1"/>
  <c r="E1347" i="1"/>
  <c r="B1347" i="1"/>
  <c r="E1348" i="1"/>
  <c r="B1348" i="1"/>
  <c r="E1349" i="1"/>
  <c r="B1349" i="1"/>
  <c r="E1350" i="1"/>
  <c r="B1350" i="1"/>
  <c r="E1351" i="1"/>
  <c r="B1351" i="1"/>
  <c r="E1352" i="1"/>
  <c r="B1352" i="1"/>
  <c r="E1353" i="1"/>
  <c r="B1353" i="1"/>
  <c r="E1354" i="1"/>
  <c r="B1354" i="1"/>
  <c r="E1355" i="1"/>
  <c r="B1355" i="1"/>
  <c r="E1356" i="1"/>
  <c r="B1356" i="1"/>
  <c r="E1357" i="1"/>
  <c r="B1357" i="1"/>
  <c r="E1358" i="1"/>
  <c r="B1358" i="1"/>
  <c r="E1359" i="1"/>
  <c r="B1359" i="1"/>
  <c r="E1360" i="1"/>
  <c r="B1360" i="1"/>
  <c r="E1361" i="1"/>
  <c r="B1361" i="1"/>
  <c r="E1362" i="1"/>
  <c r="B1362" i="1"/>
  <c r="E1363" i="1"/>
  <c r="B1363" i="1"/>
  <c r="E1364" i="1"/>
  <c r="B1364" i="1"/>
  <c r="E1365" i="1"/>
  <c r="B1365" i="1"/>
  <c r="E1366" i="1"/>
  <c r="B1366" i="1"/>
  <c r="E1367" i="1"/>
  <c r="B1367" i="1"/>
  <c r="E1368" i="1"/>
  <c r="B1368" i="1"/>
  <c r="E1369" i="1"/>
  <c r="B1369" i="1"/>
  <c r="E1370" i="1"/>
  <c r="B1370" i="1"/>
  <c r="E1371" i="1"/>
  <c r="B1371" i="1"/>
  <c r="E1372" i="1"/>
  <c r="B1372" i="1"/>
  <c r="E1373" i="1"/>
  <c r="B1373" i="1"/>
  <c r="E1374" i="1"/>
  <c r="B1374" i="1"/>
  <c r="E1375" i="1"/>
  <c r="B1375" i="1"/>
  <c r="E1376" i="1"/>
  <c r="B1376" i="1"/>
  <c r="E1377" i="1"/>
  <c r="B1377" i="1"/>
  <c r="E1378" i="1"/>
  <c r="B1378" i="1"/>
  <c r="E1379" i="1"/>
  <c r="B1379" i="1"/>
  <c r="E1380" i="1"/>
  <c r="B1380" i="1"/>
  <c r="E1381" i="1"/>
  <c r="B1381" i="1"/>
  <c r="E1382" i="1"/>
  <c r="B1382" i="1"/>
  <c r="E1383" i="1"/>
  <c r="B1383" i="1"/>
  <c r="E1384" i="1"/>
  <c r="B1384" i="1"/>
  <c r="E1385" i="1"/>
  <c r="B1385" i="1"/>
  <c r="E1386" i="1"/>
  <c r="B1386" i="1"/>
  <c r="E1387" i="1"/>
  <c r="B1387" i="1"/>
  <c r="E1388" i="1"/>
  <c r="B1388" i="1"/>
  <c r="E1389" i="1"/>
  <c r="B1389" i="1"/>
  <c r="E1390" i="1"/>
  <c r="B1390" i="1"/>
  <c r="E1391" i="1"/>
  <c r="B1391" i="1"/>
  <c r="E1392" i="1"/>
  <c r="B1392" i="1"/>
  <c r="E1393" i="1"/>
  <c r="B1393" i="1"/>
  <c r="E1394" i="1"/>
  <c r="B1394" i="1"/>
  <c r="E1395" i="1"/>
  <c r="B1395" i="1"/>
  <c r="E1396" i="1"/>
  <c r="B1396" i="1"/>
  <c r="E1397" i="1"/>
  <c r="B1397" i="1"/>
  <c r="E1398" i="1"/>
  <c r="B1398" i="1"/>
  <c r="E1399" i="1"/>
  <c r="B1399" i="1"/>
  <c r="E1400" i="1"/>
  <c r="B1400" i="1"/>
  <c r="E1401" i="1"/>
  <c r="B1401" i="1"/>
  <c r="E1402" i="1"/>
  <c r="B1402" i="1"/>
  <c r="E1403" i="1"/>
  <c r="B1403" i="1"/>
  <c r="E1404" i="1"/>
  <c r="B1404" i="1"/>
  <c r="E1405" i="1"/>
  <c r="B1405" i="1"/>
  <c r="E1406" i="1"/>
  <c r="B1406" i="1"/>
  <c r="E1407" i="1"/>
  <c r="B1407" i="1"/>
  <c r="E1408" i="1"/>
  <c r="B1408" i="1"/>
  <c r="E1409" i="1"/>
  <c r="B1409" i="1"/>
  <c r="E1410" i="1"/>
  <c r="B1410" i="1"/>
  <c r="E1411" i="1"/>
  <c r="B1411" i="1"/>
  <c r="E1412" i="1"/>
  <c r="B1412" i="1"/>
  <c r="E1413" i="1"/>
  <c r="B1413" i="1"/>
  <c r="E1414" i="1"/>
  <c r="B1414" i="1"/>
  <c r="E1415" i="1"/>
  <c r="B1415" i="1"/>
  <c r="E1416" i="1"/>
  <c r="B1416" i="1"/>
  <c r="E1417" i="1"/>
  <c r="B1417" i="1"/>
  <c r="E1418" i="1"/>
  <c r="B1418" i="1"/>
  <c r="E1419" i="1"/>
  <c r="B1419" i="1"/>
  <c r="E1420" i="1"/>
  <c r="B1420" i="1"/>
  <c r="E1421" i="1"/>
  <c r="B1421" i="1"/>
  <c r="E1422" i="1"/>
  <c r="B1422" i="1"/>
  <c r="E1423" i="1"/>
  <c r="B1423" i="1"/>
  <c r="E1424" i="1"/>
  <c r="B1424" i="1"/>
  <c r="E1425" i="1"/>
  <c r="B1425" i="1"/>
  <c r="E1426" i="1"/>
  <c r="B1426" i="1"/>
  <c r="E1427" i="1"/>
  <c r="B1427" i="1"/>
  <c r="E1428" i="1"/>
  <c r="B1428" i="1"/>
  <c r="E1429" i="1"/>
  <c r="B1429" i="1"/>
  <c r="E1430" i="1"/>
  <c r="B1430" i="1"/>
  <c r="E1431" i="1"/>
  <c r="B1431" i="1"/>
  <c r="E1432" i="1"/>
  <c r="B1432" i="1"/>
  <c r="E1433" i="1"/>
  <c r="B1433" i="1"/>
  <c r="E1434" i="1"/>
  <c r="B1434" i="1"/>
  <c r="E1435" i="1"/>
  <c r="B1435" i="1"/>
  <c r="E1436" i="1"/>
  <c r="B1436" i="1"/>
  <c r="E1437" i="1"/>
  <c r="B1437" i="1"/>
  <c r="E1438" i="1"/>
  <c r="B1438" i="1"/>
  <c r="E1439" i="1"/>
  <c r="B1439" i="1"/>
  <c r="E1440" i="1"/>
  <c r="B1440" i="1"/>
  <c r="E1441" i="1"/>
  <c r="B1441" i="1"/>
  <c r="E1442" i="1"/>
  <c r="B1442" i="1"/>
  <c r="E1443" i="1"/>
  <c r="B1443" i="1"/>
  <c r="E1444" i="1"/>
  <c r="B1444" i="1"/>
  <c r="E1445" i="1"/>
  <c r="B1445" i="1"/>
  <c r="E1446" i="1"/>
  <c r="B1446" i="1"/>
  <c r="E1447" i="1"/>
  <c r="B1447" i="1"/>
  <c r="E1448" i="1"/>
  <c r="B1448" i="1"/>
  <c r="E1449" i="1"/>
  <c r="B1449" i="1"/>
  <c r="E1450" i="1"/>
  <c r="B1450" i="1"/>
  <c r="E1451" i="1"/>
  <c r="B1451" i="1"/>
  <c r="E1452" i="1"/>
  <c r="B1452" i="1"/>
  <c r="E1453" i="1"/>
  <c r="B1453" i="1"/>
  <c r="E1454" i="1"/>
  <c r="B1454" i="1"/>
  <c r="E1455" i="1"/>
  <c r="B1455" i="1"/>
  <c r="E1456" i="1"/>
  <c r="B1456" i="1"/>
  <c r="E1457" i="1"/>
  <c r="B1457" i="1"/>
  <c r="E1458" i="1"/>
  <c r="B1458" i="1"/>
  <c r="E1459" i="1"/>
  <c r="B1459" i="1"/>
  <c r="E1460" i="1"/>
  <c r="B1460" i="1"/>
  <c r="E1461" i="1"/>
  <c r="B1461" i="1"/>
  <c r="E1462" i="1"/>
  <c r="B1462" i="1"/>
  <c r="E1463" i="1"/>
  <c r="B1463" i="1"/>
  <c r="E1464" i="1"/>
  <c r="B1464" i="1"/>
  <c r="E1465" i="1"/>
  <c r="B1465" i="1"/>
  <c r="E1466" i="1"/>
  <c r="B1466" i="1"/>
  <c r="E1467" i="1"/>
  <c r="B1467" i="1"/>
  <c r="E1468" i="1"/>
  <c r="B1468" i="1"/>
  <c r="E1469" i="1"/>
  <c r="B1469" i="1"/>
  <c r="E1470" i="1"/>
  <c r="B1470" i="1"/>
  <c r="E1471" i="1"/>
  <c r="B1471" i="1"/>
  <c r="E1472" i="1"/>
  <c r="B1472" i="1"/>
  <c r="E1473" i="1"/>
  <c r="B1473" i="1"/>
  <c r="E1474" i="1"/>
  <c r="B1474" i="1"/>
  <c r="E1475" i="1"/>
  <c r="B1475" i="1"/>
  <c r="E1476" i="1"/>
  <c r="B1476" i="1"/>
  <c r="E1477" i="1"/>
  <c r="B1477" i="1"/>
  <c r="E1478" i="1"/>
  <c r="B1478" i="1"/>
  <c r="E1479" i="1"/>
  <c r="B1479" i="1"/>
  <c r="E1480" i="1"/>
  <c r="B1480" i="1"/>
  <c r="E1481" i="1"/>
  <c r="B1481" i="1"/>
  <c r="E1482" i="1"/>
  <c r="B1482" i="1"/>
  <c r="E1483" i="1"/>
  <c r="B1483" i="1"/>
  <c r="E1484" i="1"/>
  <c r="B1484" i="1"/>
  <c r="E1485" i="1"/>
  <c r="B1485" i="1"/>
  <c r="E1486" i="1"/>
  <c r="B1486" i="1"/>
  <c r="E1487" i="1"/>
  <c r="B1487" i="1"/>
  <c r="E1488" i="1"/>
  <c r="B1488" i="1"/>
  <c r="E1489" i="1"/>
  <c r="B1489" i="1"/>
  <c r="E1490" i="1"/>
  <c r="B1490" i="1"/>
  <c r="E1491" i="1"/>
  <c r="B1491" i="1"/>
  <c r="E1492" i="1"/>
  <c r="B1492" i="1"/>
  <c r="E1493" i="1"/>
  <c r="B1493" i="1"/>
  <c r="E1494" i="1"/>
  <c r="B1494" i="1"/>
  <c r="E1495" i="1"/>
  <c r="B1495" i="1"/>
  <c r="E1496" i="1"/>
  <c r="B1496" i="1"/>
  <c r="E1497" i="1"/>
  <c r="B1497" i="1"/>
  <c r="E1498" i="1"/>
  <c r="B1498" i="1"/>
  <c r="E1499" i="1"/>
  <c r="B1499" i="1"/>
  <c r="E1500" i="1"/>
  <c r="B1500" i="1"/>
  <c r="E1501" i="1"/>
  <c r="B1501" i="1"/>
  <c r="E1502" i="1"/>
  <c r="B1502" i="1"/>
  <c r="E1503" i="1"/>
  <c r="B1503" i="1"/>
  <c r="E1504" i="1"/>
  <c r="B1504" i="1"/>
  <c r="E1505" i="1"/>
  <c r="B1505" i="1"/>
  <c r="E1506" i="1"/>
  <c r="B1506" i="1"/>
  <c r="E1507" i="1"/>
  <c r="B1507" i="1"/>
  <c r="E1508" i="1"/>
  <c r="B1508" i="1"/>
  <c r="E1509" i="1"/>
  <c r="B1509" i="1"/>
  <c r="E1510" i="1"/>
  <c r="B1510" i="1"/>
  <c r="E1511" i="1"/>
  <c r="B1511" i="1"/>
  <c r="E1512" i="1"/>
  <c r="B1512" i="1"/>
  <c r="E1513" i="1"/>
  <c r="B1513" i="1"/>
  <c r="E1514" i="1"/>
  <c r="B1514" i="1"/>
  <c r="E1515" i="1"/>
  <c r="B1515" i="1"/>
  <c r="E1516" i="1"/>
  <c r="B1516" i="1"/>
  <c r="E1517" i="1"/>
  <c r="B1517" i="1"/>
  <c r="E1518" i="1"/>
  <c r="B1518" i="1"/>
  <c r="E1519" i="1"/>
  <c r="B1519" i="1"/>
  <c r="E1520" i="1"/>
  <c r="B1520" i="1"/>
  <c r="E1521" i="1"/>
  <c r="B1521" i="1"/>
  <c r="E1522" i="1"/>
  <c r="B1522" i="1"/>
  <c r="E1523" i="1"/>
  <c r="B1523" i="1"/>
  <c r="E1524" i="1"/>
  <c r="B1524" i="1"/>
  <c r="E1525" i="1"/>
  <c r="B1525" i="1"/>
  <c r="E1526" i="1"/>
  <c r="B1526" i="1"/>
  <c r="E1527" i="1"/>
  <c r="B1527" i="1"/>
  <c r="E1528" i="1"/>
  <c r="B1528" i="1"/>
  <c r="E1529" i="1"/>
  <c r="B1529" i="1"/>
  <c r="E1530" i="1"/>
  <c r="B1530" i="1"/>
  <c r="E1531" i="1"/>
  <c r="B1531" i="1"/>
  <c r="E1532" i="1"/>
  <c r="B1532" i="1"/>
  <c r="E1533" i="1"/>
  <c r="B1533" i="1"/>
  <c r="E1534" i="1"/>
  <c r="B1534" i="1"/>
  <c r="E1535" i="1"/>
  <c r="B1535" i="1"/>
  <c r="E1536" i="1"/>
  <c r="B1536" i="1"/>
  <c r="E1537" i="1"/>
  <c r="B1537" i="1"/>
  <c r="E1538" i="1"/>
  <c r="B1538" i="1"/>
  <c r="E1539" i="1"/>
  <c r="B1539" i="1"/>
  <c r="E1540" i="1"/>
  <c r="B1540" i="1"/>
  <c r="E1541" i="1"/>
  <c r="B1541" i="1"/>
  <c r="E1542" i="1"/>
  <c r="B1542" i="1"/>
  <c r="E1543" i="1"/>
  <c r="B1543" i="1"/>
  <c r="E1544" i="1"/>
  <c r="B1544" i="1"/>
  <c r="E1545" i="1"/>
  <c r="B1545" i="1"/>
  <c r="E1546" i="1"/>
  <c r="B1546" i="1"/>
  <c r="E1547" i="1"/>
  <c r="B1547" i="1"/>
  <c r="E1548" i="1"/>
  <c r="B1548" i="1"/>
  <c r="E1549" i="1"/>
  <c r="B1549" i="1"/>
  <c r="E1550" i="1"/>
  <c r="B1550" i="1"/>
  <c r="E1551" i="1"/>
  <c r="B1551" i="1"/>
  <c r="E1552" i="1"/>
  <c r="B1552" i="1"/>
  <c r="E1553" i="1"/>
  <c r="B1553" i="1"/>
  <c r="E1554" i="1"/>
  <c r="B1554" i="1"/>
  <c r="E1555" i="1"/>
  <c r="B1555" i="1"/>
  <c r="E1556" i="1"/>
  <c r="B1556" i="1"/>
  <c r="E1557" i="1"/>
  <c r="B1557" i="1"/>
  <c r="E1558" i="1"/>
  <c r="B1558" i="1"/>
  <c r="E1559" i="1"/>
  <c r="B1559" i="1"/>
  <c r="E1560" i="1"/>
  <c r="B1560" i="1"/>
  <c r="E1561" i="1"/>
  <c r="B1561" i="1"/>
  <c r="E1562" i="1"/>
  <c r="B1562" i="1"/>
  <c r="E1563" i="1"/>
  <c r="B1563" i="1"/>
  <c r="E1564" i="1"/>
  <c r="B1564" i="1"/>
  <c r="E1565" i="1"/>
  <c r="B1565" i="1"/>
  <c r="E1566" i="1"/>
  <c r="B1566" i="1"/>
  <c r="E1567" i="1"/>
  <c r="B1567" i="1"/>
  <c r="E1568" i="1"/>
  <c r="B1568" i="1"/>
  <c r="E1569" i="1"/>
  <c r="B1569" i="1"/>
  <c r="E1570" i="1"/>
  <c r="B1570" i="1"/>
  <c r="E1571" i="1"/>
  <c r="B1571" i="1"/>
  <c r="E1572" i="1"/>
  <c r="B1572" i="1"/>
  <c r="E1573" i="1"/>
  <c r="B1573" i="1"/>
  <c r="E1574" i="1"/>
  <c r="B1574" i="1"/>
  <c r="E1575" i="1"/>
  <c r="B1575" i="1"/>
  <c r="E1576" i="1"/>
  <c r="B1576" i="1"/>
  <c r="E1577" i="1"/>
  <c r="B1577" i="1"/>
  <c r="E1578" i="1"/>
  <c r="B1578" i="1"/>
  <c r="E1579" i="1"/>
  <c r="B1579" i="1"/>
  <c r="E1580" i="1"/>
  <c r="B1580" i="1"/>
  <c r="E1581" i="1"/>
  <c r="B1581" i="1"/>
  <c r="E1582" i="1"/>
  <c r="B1582" i="1"/>
  <c r="E1583" i="1"/>
  <c r="B1583" i="1"/>
  <c r="E1584" i="1"/>
  <c r="B1584" i="1"/>
  <c r="E1585" i="1"/>
  <c r="B1585" i="1"/>
  <c r="E1586" i="1"/>
  <c r="B1586" i="1"/>
  <c r="E1587" i="1"/>
  <c r="B1587" i="1"/>
  <c r="E1588" i="1"/>
  <c r="B1588" i="1"/>
  <c r="E1589" i="1"/>
  <c r="B1589" i="1"/>
  <c r="E1590" i="1"/>
  <c r="B1590" i="1"/>
  <c r="E1591" i="1"/>
  <c r="B1591" i="1"/>
  <c r="E1592" i="1"/>
  <c r="B1592" i="1"/>
  <c r="E1593" i="1"/>
  <c r="B1593" i="1"/>
  <c r="E1594" i="1"/>
  <c r="B1594" i="1"/>
  <c r="E1595" i="1"/>
  <c r="B1595" i="1"/>
  <c r="E1596" i="1"/>
  <c r="B1596" i="1"/>
  <c r="E1597" i="1"/>
  <c r="B1597" i="1"/>
  <c r="E1598" i="1"/>
  <c r="B1598" i="1"/>
  <c r="E1599" i="1"/>
  <c r="B1599" i="1"/>
  <c r="E1600" i="1"/>
  <c r="B1600" i="1"/>
  <c r="E1601" i="1"/>
  <c r="B1601" i="1"/>
  <c r="E1602" i="1"/>
  <c r="B1602" i="1"/>
  <c r="E1603" i="1"/>
  <c r="B1603" i="1"/>
  <c r="E1604" i="1"/>
  <c r="B1604" i="1"/>
  <c r="E1605" i="1"/>
  <c r="B1605" i="1"/>
  <c r="E1606" i="1"/>
  <c r="B1606" i="1"/>
  <c r="E1607" i="1"/>
  <c r="B1607" i="1"/>
  <c r="E1608" i="1"/>
  <c r="B1608" i="1"/>
  <c r="E1609" i="1"/>
  <c r="B1609" i="1"/>
  <c r="E1610" i="1"/>
  <c r="B1610" i="1"/>
  <c r="E1611" i="1"/>
  <c r="B1611" i="1"/>
  <c r="E1612" i="1"/>
  <c r="B1612" i="1"/>
  <c r="E1613" i="1"/>
  <c r="B1613" i="1"/>
  <c r="E1614" i="1"/>
  <c r="B1614" i="1"/>
  <c r="E1615" i="1"/>
  <c r="B1615" i="1"/>
  <c r="E1616" i="1"/>
  <c r="B1616" i="1"/>
  <c r="E1617" i="1"/>
  <c r="B1617" i="1"/>
  <c r="E1618" i="1"/>
  <c r="B1618" i="1"/>
  <c r="E1619" i="1"/>
  <c r="B1619" i="1"/>
  <c r="E1620" i="1"/>
  <c r="B1620" i="1"/>
  <c r="E1621" i="1"/>
  <c r="B1621" i="1"/>
  <c r="E1622" i="1"/>
  <c r="B1622" i="1"/>
  <c r="E1623" i="1"/>
  <c r="B1623" i="1"/>
  <c r="E1624" i="1"/>
  <c r="B1624" i="1"/>
  <c r="E1625" i="1"/>
  <c r="B1625" i="1"/>
  <c r="E1626" i="1"/>
  <c r="B1626" i="1"/>
  <c r="E1627" i="1"/>
  <c r="B1627" i="1"/>
  <c r="E1628" i="1"/>
  <c r="B1628" i="1"/>
  <c r="E1629" i="1"/>
  <c r="B1629" i="1"/>
  <c r="E1630" i="1"/>
  <c r="B1630" i="1"/>
  <c r="E1631" i="1"/>
  <c r="B1631" i="1"/>
  <c r="E1632" i="1"/>
  <c r="B1632" i="1"/>
  <c r="E1633" i="1"/>
  <c r="B1633" i="1"/>
  <c r="E1634" i="1"/>
  <c r="B1634" i="1"/>
  <c r="E1635" i="1"/>
  <c r="B1635" i="1"/>
  <c r="E1636" i="1"/>
  <c r="B1636" i="1"/>
  <c r="E1637" i="1"/>
  <c r="B1637" i="1"/>
  <c r="E1638" i="1"/>
  <c r="B1638" i="1"/>
  <c r="E1639" i="1"/>
  <c r="B1639" i="1"/>
  <c r="E1640" i="1"/>
  <c r="B1640" i="1"/>
  <c r="E1641" i="1"/>
  <c r="B1641" i="1"/>
  <c r="E1642" i="1"/>
  <c r="B1642" i="1"/>
  <c r="E1643" i="1"/>
  <c r="B1643" i="1"/>
  <c r="E1644" i="1"/>
  <c r="B1644" i="1"/>
  <c r="E1645" i="1"/>
  <c r="B1645" i="1"/>
  <c r="E1646" i="1"/>
  <c r="B1646" i="1"/>
  <c r="E1647" i="1"/>
  <c r="B1647" i="1"/>
  <c r="E1648" i="1"/>
  <c r="B1648" i="1"/>
  <c r="E1649" i="1"/>
  <c r="B1649" i="1"/>
  <c r="E1650" i="1"/>
  <c r="B1650" i="1"/>
  <c r="E1651" i="1"/>
  <c r="B1651" i="1"/>
  <c r="E1652" i="1"/>
  <c r="B1652" i="1"/>
  <c r="E1653" i="1"/>
  <c r="B1653" i="1"/>
  <c r="E1654" i="1"/>
  <c r="B1654" i="1"/>
  <c r="E1655" i="1"/>
  <c r="B1655" i="1"/>
  <c r="E1656" i="1"/>
  <c r="B1656" i="1"/>
  <c r="E1657" i="1"/>
  <c r="B1657" i="1"/>
  <c r="E1658" i="1"/>
  <c r="B1658" i="1"/>
  <c r="E1659" i="1"/>
  <c r="B1659" i="1"/>
  <c r="E1660" i="1"/>
  <c r="B1660" i="1"/>
  <c r="E1661" i="1"/>
  <c r="B1661" i="1"/>
  <c r="E1662" i="1"/>
  <c r="B1662" i="1"/>
  <c r="E1663" i="1"/>
  <c r="B1663" i="1"/>
  <c r="E1664" i="1"/>
  <c r="B1664" i="1"/>
  <c r="E1665" i="1"/>
  <c r="B1665" i="1"/>
  <c r="E1666" i="1"/>
  <c r="B1666" i="1"/>
  <c r="E1667" i="1"/>
  <c r="B1667" i="1"/>
  <c r="E1668" i="1"/>
  <c r="B1668" i="1"/>
  <c r="E1669" i="1"/>
  <c r="B1669" i="1"/>
  <c r="E1670" i="1"/>
  <c r="B1670" i="1"/>
  <c r="E1671" i="1"/>
  <c r="B1671" i="1"/>
  <c r="E1672" i="1"/>
  <c r="B1672" i="1"/>
  <c r="E1673" i="1"/>
  <c r="B1673" i="1"/>
  <c r="E1674" i="1"/>
  <c r="B1674" i="1"/>
  <c r="E1675" i="1"/>
  <c r="B1675" i="1"/>
  <c r="E1676" i="1"/>
  <c r="B1676" i="1"/>
  <c r="E1677" i="1"/>
  <c r="B1677" i="1"/>
  <c r="E1678" i="1"/>
  <c r="B1678" i="1"/>
  <c r="E1679" i="1"/>
  <c r="B1679" i="1"/>
  <c r="E1680" i="1"/>
  <c r="B1680" i="1"/>
  <c r="E1681" i="1"/>
  <c r="B1681" i="1"/>
  <c r="E1682" i="1"/>
  <c r="B1682" i="1"/>
  <c r="E1683" i="1"/>
  <c r="B1683" i="1"/>
  <c r="E1684" i="1"/>
  <c r="B1684" i="1"/>
  <c r="E1685" i="1"/>
  <c r="B1685" i="1"/>
  <c r="E1686" i="1"/>
  <c r="B1686" i="1"/>
  <c r="E1687" i="1"/>
  <c r="B1687" i="1"/>
  <c r="E1688" i="1"/>
  <c r="B1688" i="1"/>
  <c r="E1689" i="1"/>
  <c r="B1689" i="1"/>
  <c r="E1690" i="1"/>
  <c r="B1690" i="1"/>
  <c r="E1691" i="1"/>
  <c r="B1691" i="1"/>
  <c r="E1692" i="1"/>
  <c r="B1692" i="1"/>
  <c r="E1693" i="1"/>
  <c r="B1693" i="1"/>
  <c r="E1694" i="1"/>
  <c r="B1694" i="1"/>
  <c r="E1695" i="1"/>
  <c r="B1695" i="1"/>
  <c r="E1696" i="1"/>
  <c r="B1696" i="1"/>
  <c r="E1697" i="1"/>
  <c r="B1697" i="1"/>
  <c r="E1698" i="1"/>
  <c r="B1698" i="1"/>
  <c r="E1699" i="1"/>
  <c r="B1699" i="1"/>
  <c r="E1700" i="1"/>
  <c r="B1700" i="1"/>
  <c r="E1701" i="1"/>
  <c r="B1701" i="1"/>
  <c r="E1702" i="1"/>
  <c r="B1702" i="1"/>
  <c r="E1703" i="1"/>
  <c r="B1703" i="1"/>
  <c r="E1704" i="1"/>
  <c r="B1704" i="1"/>
  <c r="E1705" i="1"/>
  <c r="B1705" i="1"/>
  <c r="E1706" i="1"/>
  <c r="B1706" i="1"/>
  <c r="E1707" i="1"/>
  <c r="B1707" i="1"/>
  <c r="E1708" i="1"/>
  <c r="B1708" i="1"/>
  <c r="E1709" i="1"/>
  <c r="B1709" i="1"/>
  <c r="E1710" i="1"/>
  <c r="B1710" i="1"/>
  <c r="E1711" i="1"/>
  <c r="B1711" i="1"/>
  <c r="E1712" i="1"/>
  <c r="B1712" i="1"/>
  <c r="E1713" i="1"/>
  <c r="B1713" i="1"/>
  <c r="E1714" i="1"/>
  <c r="B1714" i="1"/>
  <c r="E1715" i="1"/>
  <c r="B1715" i="1"/>
  <c r="E1716" i="1"/>
  <c r="B1716" i="1"/>
  <c r="E1717" i="1"/>
  <c r="B1717" i="1"/>
  <c r="E1718" i="1"/>
  <c r="B1718" i="1"/>
  <c r="E1719" i="1"/>
  <c r="B1719" i="1"/>
  <c r="E1720" i="1"/>
  <c r="B1720" i="1"/>
  <c r="E1721" i="1"/>
  <c r="B1721" i="1"/>
  <c r="E1722" i="1"/>
  <c r="B1722" i="1"/>
  <c r="E1723" i="1"/>
  <c r="B1723" i="1"/>
  <c r="E1724" i="1"/>
  <c r="B1724" i="1"/>
  <c r="E1725" i="1"/>
  <c r="B1725" i="1"/>
  <c r="E1726" i="1"/>
  <c r="B1726" i="1"/>
  <c r="E1727" i="1"/>
  <c r="B1727" i="1"/>
  <c r="E1728" i="1"/>
  <c r="B1728" i="1"/>
  <c r="E1729" i="1"/>
  <c r="B1729" i="1"/>
  <c r="E1730" i="1"/>
  <c r="B1730" i="1"/>
  <c r="E1731" i="1"/>
  <c r="B1731" i="1"/>
  <c r="E1732" i="1"/>
  <c r="B1732" i="1"/>
  <c r="E1734" i="1"/>
  <c r="B1734" i="1"/>
  <c r="E1733" i="1"/>
  <c r="B1733" i="1"/>
  <c r="E1735" i="1"/>
  <c r="B1735" i="1"/>
  <c r="E1736" i="1"/>
  <c r="B1736" i="1"/>
  <c r="E1737" i="1"/>
  <c r="B1737" i="1"/>
  <c r="E1738" i="1"/>
  <c r="B1738" i="1"/>
  <c r="E1739" i="1"/>
  <c r="B1739" i="1"/>
  <c r="E1740" i="1"/>
  <c r="B1740" i="1"/>
  <c r="E1741" i="1"/>
  <c r="B1741" i="1"/>
  <c r="E1742" i="1"/>
  <c r="B1742" i="1"/>
  <c r="E1743" i="1"/>
  <c r="B1743" i="1"/>
  <c r="E1744" i="1"/>
  <c r="B1744" i="1"/>
  <c r="E1745" i="1"/>
  <c r="B1745" i="1"/>
  <c r="E1746" i="1"/>
  <c r="B1746" i="1"/>
  <c r="E1747" i="1"/>
  <c r="B1747" i="1"/>
  <c r="E1748" i="1"/>
  <c r="B1748" i="1"/>
  <c r="E1749" i="1"/>
  <c r="B1749" i="1"/>
  <c r="E1750" i="1"/>
  <c r="B1750" i="1"/>
  <c r="E1751" i="1"/>
  <c r="B1751" i="1"/>
  <c r="E1752" i="1"/>
  <c r="B1752" i="1"/>
  <c r="E1753" i="1"/>
  <c r="B1753" i="1"/>
  <c r="E1754" i="1"/>
  <c r="B1754" i="1"/>
  <c r="E1755" i="1"/>
  <c r="B1755" i="1"/>
  <c r="E1756" i="1"/>
  <c r="B1756" i="1"/>
  <c r="E1757" i="1"/>
  <c r="B1757" i="1"/>
  <c r="E1758" i="1"/>
  <c r="B1758" i="1"/>
  <c r="E1759" i="1"/>
  <c r="B1759" i="1"/>
  <c r="E1760" i="1"/>
  <c r="B1760" i="1"/>
  <c r="E1761" i="1"/>
  <c r="B1761" i="1"/>
  <c r="E1762" i="1"/>
  <c r="B1762" i="1"/>
  <c r="E1763" i="1"/>
  <c r="B1763" i="1"/>
  <c r="E1764" i="1"/>
  <c r="B1764" i="1"/>
  <c r="E1765" i="1"/>
  <c r="B1765" i="1"/>
  <c r="E1766" i="1"/>
  <c r="B1766" i="1"/>
  <c r="E1767" i="1"/>
  <c r="B1767" i="1"/>
  <c r="E1768" i="1"/>
  <c r="B1768" i="1"/>
  <c r="E1769" i="1"/>
  <c r="B1769" i="1"/>
  <c r="E1770" i="1"/>
  <c r="B1770" i="1"/>
  <c r="E1771" i="1"/>
  <c r="B1771" i="1"/>
  <c r="E1772" i="1"/>
  <c r="B1772" i="1"/>
  <c r="E1773" i="1"/>
  <c r="B1773" i="1"/>
  <c r="E1774" i="1"/>
  <c r="B1774" i="1"/>
  <c r="E1775" i="1"/>
  <c r="B1775" i="1"/>
  <c r="E1776" i="1"/>
  <c r="B1776" i="1"/>
  <c r="E1777" i="1"/>
  <c r="B1777" i="1"/>
  <c r="E1778" i="1"/>
  <c r="B1778" i="1"/>
  <c r="E1779" i="1"/>
  <c r="B1779" i="1"/>
  <c r="E1780" i="1"/>
  <c r="B1780" i="1"/>
  <c r="E1781" i="1"/>
  <c r="B1781" i="1"/>
  <c r="E1782" i="1"/>
  <c r="B1782" i="1"/>
  <c r="E1783" i="1"/>
  <c r="B1783" i="1"/>
  <c r="E1784" i="1"/>
  <c r="B1784" i="1"/>
  <c r="E1785" i="1"/>
  <c r="B1785" i="1"/>
  <c r="E1786" i="1"/>
  <c r="B1786" i="1"/>
  <c r="E1787" i="1"/>
  <c r="B1787" i="1"/>
  <c r="E1788" i="1"/>
  <c r="B1788" i="1"/>
  <c r="E1789" i="1"/>
  <c r="B1789" i="1"/>
  <c r="E1790" i="1"/>
  <c r="B1790" i="1"/>
  <c r="E1791" i="1"/>
  <c r="B1791" i="1"/>
  <c r="E1792" i="1"/>
  <c r="B1792" i="1"/>
  <c r="E1793" i="1"/>
  <c r="B1793" i="1"/>
  <c r="E1794" i="1"/>
  <c r="B1794" i="1"/>
  <c r="E1795" i="1"/>
  <c r="B1795" i="1"/>
  <c r="E1796" i="1"/>
  <c r="B1796" i="1"/>
  <c r="E1797" i="1"/>
  <c r="B1797" i="1"/>
  <c r="E1798" i="1"/>
  <c r="B1798" i="1"/>
  <c r="E1799" i="1"/>
  <c r="B1799" i="1"/>
  <c r="E1800" i="1"/>
  <c r="B1800" i="1"/>
  <c r="E1801" i="1"/>
  <c r="B1801" i="1"/>
  <c r="E1802" i="1"/>
  <c r="B1802" i="1"/>
  <c r="E1803" i="1"/>
  <c r="B1803" i="1"/>
  <c r="E1804" i="1"/>
  <c r="B1804" i="1"/>
  <c r="E1805" i="1"/>
  <c r="B1805" i="1"/>
  <c r="E1806" i="1"/>
  <c r="B1806" i="1"/>
  <c r="E1807" i="1"/>
  <c r="B1807" i="1"/>
  <c r="E1808" i="1"/>
  <c r="B1808" i="1"/>
  <c r="E1809" i="1"/>
  <c r="B1809" i="1"/>
  <c r="E1810" i="1"/>
  <c r="B1810" i="1"/>
  <c r="E1811" i="1"/>
  <c r="B1811" i="1"/>
  <c r="E1812" i="1"/>
  <c r="B1812" i="1"/>
  <c r="E1813" i="1"/>
  <c r="B1813" i="1"/>
  <c r="E1814" i="1"/>
  <c r="B1814" i="1"/>
  <c r="E1815" i="1"/>
  <c r="B1815" i="1"/>
  <c r="E1816" i="1"/>
  <c r="B1816" i="1"/>
  <c r="E1817" i="1"/>
  <c r="B1817" i="1"/>
  <c r="E1818" i="1"/>
  <c r="B1818" i="1"/>
  <c r="E1819" i="1"/>
  <c r="B1819" i="1"/>
  <c r="E1820" i="1"/>
  <c r="B1820" i="1"/>
  <c r="E1821" i="1"/>
  <c r="B1821" i="1"/>
  <c r="E1822" i="1"/>
  <c r="B1822" i="1"/>
  <c r="E1823" i="1"/>
  <c r="B1823" i="1"/>
  <c r="E1824" i="1"/>
  <c r="B1824" i="1"/>
  <c r="E1825" i="1"/>
  <c r="B1825" i="1"/>
  <c r="E1826" i="1"/>
  <c r="B1826" i="1"/>
  <c r="E1827" i="1"/>
  <c r="B1827" i="1"/>
  <c r="E1828" i="1"/>
  <c r="B1828" i="1"/>
  <c r="E1829" i="1"/>
  <c r="B1829" i="1"/>
  <c r="E1830" i="1"/>
  <c r="B1830" i="1"/>
  <c r="E1831" i="1"/>
  <c r="B1831" i="1"/>
  <c r="E1832" i="1"/>
  <c r="B1832" i="1"/>
  <c r="E1833" i="1"/>
  <c r="B1833" i="1"/>
  <c r="E1834" i="1"/>
  <c r="B1834" i="1"/>
  <c r="E1835" i="1"/>
  <c r="B1835" i="1"/>
  <c r="E1836" i="1"/>
  <c r="B1836" i="1"/>
  <c r="E1837" i="1"/>
  <c r="B1837" i="1"/>
  <c r="E1838" i="1"/>
  <c r="B1838" i="1"/>
  <c r="E1839" i="1"/>
  <c r="B1839" i="1"/>
  <c r="E1840" i="1"/>
  <c r="B1840" i="1"/>
  <c r="E1841" i="1"/>
  <c r="B1841" i="1"/>
  <c r="E1842" i="1"/>
  <c r="B1842" i="1"/>
  <c r="E1843" i="1"/>
  <c r="B1843" i="1"/>
  <c r="E1844" i="1"/>
  <c r="B1844" i="1"/>
  <c r="E1845" i="1"/>
  <c r="B1845" i="1"/>
  <c r="E1846" i="1"/>
  <c r="B1846" i="1"/>
  <c r="E1847" i="1"/>
  <c r="B1847" i="1"/>
  <c r="E1848" i="1"/>
  <c r="B1848" i="1"/>
  <c r="E1849" i="1"/>
  <c r="B1849" i="1"/>
  <c r="E1850" i="1"/>
  <c r="B1850" i="1"/>
  <c r="E1851" i="1"/>
  <c r="B1851" i="1"/>
  <c r="E1852" i="1"/>
  <c r="B1852" i="1"/>
  <c r="E1853" i="1"/>
  <c r="B1853" i="1"/>
  <c r="E1854" i="1"/>
  <c r="B1854" i="1"/>
  <c r="E1855" i="1"/>
  <c r="B1855" i="1"/>
  <c r="E1856" i="1"/>
  <c r="B1856" i="1"/>
  <c r="E1857" i="1"/>
  <c r="B1857" i="1"/>
  <c r="E1858" i="1"/>
  <c r="B1858" i="1"/>
  <c r="E1859" i="1"/>
  <c r="B1859" i="1"/>
  <c r="E1860" i="1"/>
  <c r="B1860" i="1"/>
  <c r="E1861" i="1"/>
  <c r="B1861" i="1"/>
  <c r="E1862" i="1"/>
  <c r="B1862" i="1"/>
  <c r="E1863" i="1"/>
  <c r="B1863" i="1"/>
  <c r="E1864" i="1"/>
  <c r="B1864" i="1"/>
  <c r="E1865" i="1"/>
  <c r="B1865" i="1"/>
  <c r="E1866" i="1"/>
  <c r="B1866" i="1"/>
  <c r="E1867" i="1"/>
  <c r="B1867" i="1"/>
  <c r="E1868" i="1"/>
  <c r="B1868" i="1"/>
  <c r="E1869" i="1"/>
  <c r="B1869" i="1"/>
  <c r="E1870" i="1"/>
  <c r="B1870" i="1"/>
  <c r="E1871" i="1"/>
  <c r="B1871" i="1"/>
  <c r="E1873" i="1"/>
  <c r="B1873" i="1"/>
  <c r="E1872" i="1"/>
  <c r="B1872" i="1"/>
  <c r="E1874" i="1"/>
  <c r="B1874" i="1"/>
  <c r="E1875" i="1"/>
  <c r="B1875" i="1"/>
  <c r="E1876" i="1"/>
  <c r="B1876" i="1"/>
  <c r="E1877" i="1"/>
  <c r="B1877" i="1"/>
  <c r="E1878" i="1"/>
  <c r="B1878" i="1"/>
  <c r="E1879" i="1"/>
  <c r="B1879" i="1"/>
  <c r="E1880" i="1"/>
  <c r="B1880" i="1"/>
  <c r="E1881" i="1"/>
  <c r="B1881" i="1"/>
  <c r="E1882" i="1"/>
  <c r="B1882" i="1"/>
  <c r="E1883" i="1"/>
  <c r="B1883" i="1"/>
  <c r="E1884" i="1"/>
  <c r="B1884" i="1"/>
  <c r="E1885" i="1"/>
  <c r="B1885" i="1"/>
  <c r="E1886" i="1"/>
  <c r="B1886" i="1"/>
  <c r="E1887" i="1"/>
  <c r="B1887" i="1"/>
  <c r="E1888" i="1"/>
  <c r="B1888" i="1"/>
  <c r="E1889" i="1"/>
  <c r="B1889" i="1"/>
  <c r="E1890" i="1"/>
  <c r="B1890" i="1"/>
  <c r="E1891" i="1"/>
  <c r="B1891" i="1"/>
  <c r="E1892" i="1"/>
  <c r="B1892" i="1"/>
  <c r="E1893" i="1"/>
  <c r="B1893" i="1"/>
  <c r="E1894" i="1"/>
  <c r="B1894" i="1"/>
  <c r="E1895" i="1"/>
  <c r="B1895" i="1"/>
  <c r="E1896" i="1"/>
  <c r="B1896" i="1"/>
  <c r="E1897" i="1"/>
  <c r="B1897" i="1"/>
  <c r="E1898" i="1"/>
  <c r="B1898" i="1"/>
  <c r="E1899" i="1"/>
  <c r="B1899" i="1"/>
  <c r="E1900" i="1"/>
  <c r="B1900" i="1"/>
  <c r="E1901" i="1"/>
  <c r="B1901" i="1"/>
  <c r="E1902" i="1"/>
  <c r="B1902" i="1"/>
  <c r="E1903" i="1"/>
  <c r="B1903" i="1"/>
  <c r="E1904" i="1"/>
  <c r="B1904" i="1"/>
  <c r="E1905" i="1"/>
  <c r="B1905" i="1"/>
  <c r="E1906" i="1"/>
  <c r="B1906" i="1"/>
  <c r="E1907" i="1"/>
  <c r="B1907" i="1"/>
  <c r="E1908" i="1"/>
  <c r="B1908" i="1"/>
  <c r="E1909" i="1"/>
  <c r="B1909" i="1"/>
  <c r="E1910" i="1"/>
  <c r="B1910" i="1"/>
  <c r="E1911" i="1"/>
  <c r="B1911" i="1"/>
  <c r="E1912" i="1"/>
  <c r="B1912" i="1"/>
  <c r="E1913" i="1"/>
  <c r="B1913" i="1"/>
  <c r="E1914" i="1"/>
  <c r="B1914" i="1"/>
  <c r="E1915" i="1"/>
  <c r="B1915" i="1"/>
  <c r="E1916" i="1"/>
  <c r="B1916" i="1"/>
  <c r="E1917" i="1"/>
  <c r="B1917" i="1"/>
  <c r="E1918" i="1"/>
  <c r="B1918" i="1"/>
  <c r="E1919" i="1"/>
  <c r="B1919" i="1"/>
  <c r="E1920" i="1"/>
  <c r="B1920" i="1"/>
  <c r="E1921" i="1"/>
  <c r="B1921" i="1"/>
  <c r="E1922" i="1"/>
  <c r="B1922" i="1"/>
  <c r="E1923" i="1"/>
  <c r="B1923" i="1"/>
  <c r="E1924" i="1"/>
  <c r="B1924" i="1"/>
  <c r="E1925" i="1"/>
  <c r="B1925" i="1"/>
  <c r="E1926" i="1"/>
  <c r="B1926" i="1"/>
  <c r="E1927" i="1"/>
  <c r="B1927" i="1"/>
  <c r="E1928" i="1"/>
  <c r="B1928" i="1"/>
  <c r="E1929" i="1"/>
  <c r="B1929" i="1"/>
  <c r="E1930" i="1"/>
  <c r="B1930" i="1"/>
  <c r="E1931" i="1"/>
  <c r="B1931" i="1"/>
  <c r="E1932" i="1"/>
  <c r="B1932" i="1"/>
  <c r="E1933" i="1"/>
  <c r="B1933" i="1"/>
  <c r="E1934" i="1"/>
  <c r="B1934" i="1"/>
  <c r="E1935" i="1"/>
  <c r="B1935" i="1"/>
  <c r="E1936" i="1"/>
  <c r="B1936" i="1"/>
  <c r="E1937" i="1"/>
  <c r="B1937" i="1"/>
  <c r="E1938" i="1"/>
  <c r="B1938" i="1"/>
  <c r="E1939" i="1"/>
  <c r="B1939" i="1"/>
  <c r="E1940" i="1"/>
  <c r="B1940" i="1"/>
  <c r="E1941" i="1"/>
  <c r="B1941" i="1"/>
  <c r="E1942" i="1"/>
  <c r="B1942" i="1"/>
  <c r="E1943" i="1"/>
  <c r="B1943" i="1"/>
  <c r="E1944" i="1"/>
  <c r="B1944" i="1"/>
  <c r="E1945" i="1"/>
  <c r="B1945" i="1"/>
  <c r="E1946" i="1"/>
  <c r="B1946" i="1"/>
  <c r="E1947" i="1"/>
  <c r="B1947" i="1"/>
  <c r="E1948" i="1"/>
  <c r="B1948" i="1"/>
  <c r="E1949" i="1"/>
  <c r="B1949" i="1"/>
  <c r="E1950" i="1"/>
  <c r="B1950" i="1"/>
  <c r="E1951" i="1"/>
  <c r="B1951" i="1"/>
  <c r="E1952" i="1"/>
  <c r="B1952" i="1"/>
  <c r="E1953" i="1"/>
  <c r="B1953" i="1"/>
  <c r="E1954" i="1"/>
  <c r="B1954" i="1"/>
  <c r="E1955" i="1"/>
  <c r="B1955" i="1"/>
  <c r="E1956" i="1"/>
  <c r="B1956" i="1"/>
  <c r="E1957" i="1"/>
  <c r="B1957" i="1"/>
  <c r="E1958" i="1"/>
  <c r="B1958" i="1"/>
  <c r="E1959" i="1"/>
  <c r="B1959" i="1"/>
  <c r="E1960" i="1"/>
  <c r="B1960" i="1"/>
  <c r="E1961" i="1"/>
  <c r="B1961" i="1"/>
  <c r="E1962" i="1"/>
  <c r="B1962" i="1"/>
  <c r="E1963" i="1"/>
  <c r="B1963" i="1"/>
  <c r="E1964" i="1"/>
  <c r="B1964" i="1"/>
  <c r="E1965" i="1"/>
  <c r="B1965" i="1"/>
  <c r="E1966" i="1"/>
  <c r="B1966" i="1"/>
  <c r="E1967" i="1"/>
  <c r="B1967" i="1"/>
  <c r="E1968" i="1"/>
  <c r="B1968" i="1"/>
  <c r="E1969" i="1"/>
  <c r="B1969" i="1"/>
  <c r="E1970" i="1"/>
  <c r="B1970" i="1"/>
  <c r="E1971" i="1"/>
  <c r="B1971" i="1"/>
  <c r="E1972" i="1"/>
  <c r="B1972" i="1"/>
  <c r="E1973" i="1"/>
  <c r="B1973" i="1"/>
  <c r="E1974" i="1"/>
  <c r="B1974" i="1"/>
  <c r="E1975" i="1"/>
  <c r="B1975" i="1"/>
  <c r="E1976" i="1"/>
  <c r="B1976" i="1"/>
  <c r="E1977" i="1"/>
  <c r="B1977" i="1"/>
  <c r="E1979" i="1"/>
  <c r="B1979" i="1"/>
  <c r="E1978" i="1"/>
  <c r="B1978" i="1"/>
  <c r="E1980" i="1"/>
  <c r="B1980" i="1"/>
  <c r="E1981" i="1"/>
  <c r="B1981" i="1"/>
  <c r="E1982" i="1"/>
  <c r="B1982" i="1"/>
  <c r="E1983" i="1"/>
  <c r="B1983" i="1"/>
  <c r="E1984" i="1"/>
  <c r="B1984" i="1"/>
  <c r="E1985" i="1"/>
  <c r="B1985" i="1"/>
  <c r="E1986" i="1"/>
  <c r="B1986" i="1"/>
  <c r="E1987" i="1"/>
  <c r="B1987" i="1"/>
  <c r="E1988" i="1"/>
  <c r="B1988" i="1"/>
  <c r="E1989" i="1"/>
  <c r="B1989" i="1"/>
  <c r="E1990" i="1"/>
  <c r="B1990" i="1"/>
  <c r="E1991" i="1"/>
  <c r="B1991" i="1"/>
  <c r="E1992" i="1"/>
  <c r="B1992" i="1"/>
  <c r="E1993" i="1"/>
  <c r="B1993" i="1"/>
  <c r="E1994" i="1"/>
  <c r="B1994" i="1"/>
  <c r="E1995" i="1"/>
  <c r="B1995" i="1"/>
  <c r="E1996" i="1"/>
  <c r="B1996" i="1"/>
  <c r="E1997" i="1"/>
  <c r="B1997" i="1"/>
  <c r="E1998" i="1"/>
  <c r="B1998" i="1"/>
  <c r="E1999" i="1"/>
  <c r="B1999" i="1"/>
  <c r="E2000" i="1"/>
  <c r="B2000" i="1"/>
  <c r="E2001" i="1"/>
  <c r="B2001" i="1"/>
  <c r="E2002" i="1"/>
  <c r="B2002" i="1"/>
  <c r="E2003" i="1"/>
  <c r="B2003" i="1"/>
  <c r="E2004" i="1"/>
  <c r="B2004" i="1"/>
  <c r="E2005" i="1"/>
  <c r="B2005" i="1"/>
  <c r="E2006" i="1"/>
  <c r="B2006" i="1"/>
  <c r="E2007" i="1"/>
  <c r="B2007" i="1"/>
  <c r="E2008" i="1"/>
  <c r="B2008" i="1"/>
  <c r="E2009" i="1"/>
  <c r="B2009" i="1"/>
  <c r="E2010" i="1"/>
  <c r="B2010" i="1"/>
  <c r="E2011" i="1"/>
  <c r="B2011" i="1"/>
  <c r="E2012" i="1"/>
  <c r="B2012" i="1"/>
  <c r="E2013" i="1"/>
  <c r="B2013" i="1"/>
  <c r="E2014" i="1"/>
  <c r="B2014" i="1"/>
  <c r="E2015" i="1"/>
  <c r="B2015" i="1"/>
  <c r="E2016" i="1"/>
  <c r="B2016" i="1"/>
  <c r="E2017" i="1"/>
  <c r="B2017" i="1"/>
  <c r="E2018" i="1"/>
  <c r="B2018" i="1"/>
  <c r="E2019" i="1"/>
  <c r="B2019" i="1"/>
  <c r="E2020" i="1"/>
  <c r="B2020" i="1"/>
  <c r="E2021" i="1"/>
  <c r="B2021" i="1"/>
  <c r="E2022" i="1"/>
  <c r="B2022" i="1"/>
  <c r="E2023" i="1"/>
  <c r="B2023" i="1"/>
  <c r="E2024" i="1"/>
  <c r="B2024" i="1"/>
  <c r="E2025" i="1"/>
  <c r="B2025" i="1"/>
  <c r="E2026" i="1"/>
  <c r="B2026" i="1"/>
  <c r="E2027" i="1"/>
  <c r="B2027" i="1"/>
  <c r="E2028" i="1"/>
  <c r="B2028" i="1"/>
  <c r="E2029" i="1"/>
  <c r="B2029" i="1"/>
  <c r="E2030" i="1"/>
  <c r="B2030" i="1"/>
  <c r="E2031" i="1"/>
  <c r="B2031" i="1"/>
  <c r="E2032" i="1"/>
  <c r="B2032" i="1"/>
  <c r="E2033" i="1"/>
  <c r="B2033" i="1"/>
  <c r="E2034" i="1"/>
  <c r="B2034" i="1"/>
  <c r="E2035" i="1"/>
  <c r="B2035" i="1"/>
  <c r="E2036" i="1"/>
  <c r="B2036" i="1"/>
  <c r="E2037" i="1"/>
  <c r="B2037" i="1"/>
  <c r="E2038" i="1"/>
  <c r="B2038" i="1"/>
  <c r="E2039" i="1"/>
  <c r="B2039" i="1"/>
  <c r="E2040" i="1"/>
  <c r="B2040" i="1"/>
  <c r="E2041" i="1"/>
  <c r="B2041" i="1"/>
  <c r="E2042" i="1"/>
  <c r="B2042" i="1"/>
  <c r="E2043" i="1"/>
  <c r="B2043" i="1"/>
  <c r="E2044" i="1"/>
  <c r="B2044" i="1"/>
  <c r="E2045" i="1"/>
  <c r="B2045" i="1"/>
  <c r="E2046" i="1"/>
  <c r="B2046" i="1"/>
  <c r="E2047" i="1"/>
  <c r="B2047" i="1"/>
  <c r="E2048" i="1"/>
  <c r="B2048" i="1"/>
  <c r="E2049" i="1"/>
  <c r="B2049" i="1"/>
  <c r="E2050" i="1"/>
  <c r="B2050" i="1"/>
  <c r="E2051" i="1"/>
  <c r="B2051" i="1"/>
  <c r="E2052" i="1"/>
  <c r="B2052" i="1"/>
  <c r="E2053" i="1"/>
  <c r="B2053" i="1"/>
  <c r="E2054" i="1"/>
  <c r="B2054" i="1"/>
  <c r="E2055" i="1"/>
  <c r="B2055" i="1"/>
  <c r="E2056" i="1"/>
  <c r="B2056" i="1"/>
  <c r="E2057" i="1"/>
  <c r="B2057" i="1"/>
  <c r="E2058" i="1"/>
  <c r="B2058" i="1"/>
  <c r="E2059" i="1"/>
  <c r="B2059" i="1"/>
  <c r="E2060" i="1"/>
  <c r="B2060" i="1"/>
  <c r="E2061" i="1"/>
  <c r="B2061" i="1"/>
  <c r="E2062" i="1"/>
  <c r="B2062" i="1"/>
  <c r="E2063" i="1"/>
  <c r="B2063" i="1"/>
  <c r="E2064" i="1"/>
  <c r="B2064" i="1"/>
  <c r="E2065" i="1"/>
  <c r="B2065" i="1"/>
  <c r="E2066" i="1"/>
  <c r="B2066" i="1"/>
  <c r="E2067" i="1"/>
  <c r="B2067" i="1"/>
  <c r="E2068" i="1"/>
  <c r="B2068" i="1"/>
  <c r="E2069" i="1"/>
  <c r="B2069" i="1"/>
  <c r="E2070" i="1"/>
  <c r="B2070" i="1"/>
  <c r="E2071" i="1"/>
  <c r="B2071" i="1"/>
  <c r="E2072" i="1"/>
  <c r="B2072" i="1"/>
  <c r="E2073" i="1"/>
  <c r="B2073" i="1"/>
  <c r="E2074" i="1"/>
  <c r="B2074" i="1"/>
  <c r="E2075" i="1"/>
  <c r="B2075" i="1"/>
  <c r="E2077" i="1"/>
  <c r="B2077" i="1"/>
  <c r="E2076" i="1"/>
  <c r="B2076" i="1"/>
  <c r="E2078" i="1"/>
  <c r="B2078" i="1"/>
  <c r="E2079" i="1"/>
  <c r="B2079" i="1"/>
  <c r="E2080" i="1"/>
  <c r="B2080" i="1"/>
  <c r="E2081" i="1"/>
  <c r="B2081" i="1"/>
  <c r="E2082" i="1"/>
  <c r="B2082" i="1"/>
  <c r="E2083" i="1"/>
  <c r="B2083" i="1"/>
  <c r="E2084" i="1"/>
  <c r="B2084" i="1"/>
  <c r="E2085" i="1"/>
  <c r="B2085" i="1"/>
  <c r="E2086" i="1"/>
  <c r="B2086" i="1"/>
  <c r="E2087" i="1"/>
  <c r="B2087" i="1"/>
  <c r="E2088" i="1"/>
  <c r="B2088" i="1"/>
  <c r="E2089" i="1"/>
  <c r="B2089" i="1"/>
  <c r="E2090" i="1"/>
  <c r="B2090" i="1"/>
  <c r="E2091" i="1"/>
  <c r="B2091" i="1"/>
  <c r="E2092" i="1"/>
  <c r="B2092" i="1"/>
  <c r="E2093" i="1"/>
  <c r="B2093" i="1"/>
  <c r="E2094" i="1"/>
  <c r="B2094" i="1"/>
  <c r="E2095" i="1"/>
  <c r="B2095" i="1"/>
  <c r="E2096" i="1"/>
  <c r="B2096" i="1"/>
  <c r="E2097" i="1"/>
  <c r="B2097" i="1"/>
  <c r="E2098" i="1"/>
  <c r="B2098" i="1"/>
  <c r="E2099" i="1"/>
  <c r="B2099" i="1"/>
  <c r="E2100" i="1"/>
  <c r="B2100" i="1"/>
  <c r="E2101" i="1"/>
  <c r="B2101" i="1"/>
  <c r="E2102" i="1"/>
  <c r="B2102" i="1"/>
  <c r="E2103" i="1"/>
  <c r="B2103" i="1"/>
  <c r="E2104" i="1"/>
  <c r="B2104" i="1"/>
  <c r="E2105" i="1"/>
  <c r="B2105" i="1"/>
  <c r="E2106" i="1"/>
  <c r="B2106" i="1"/>
  <c r="E2107" i="1"/>
  <c r="B2107" i="1"/>
  <c r="E2108" i="1"/>
  <c r="B2108" i="1"/>
  <c r="E2109" i="1"/>
  <c r="B2109" i="1"/>
  <c r="E2110" i="1"/>
  <c r="B2110" i="1"/>
  <c r="E2111" i="1"/>
  <c r="B2111" i="1"/>
  <c r="E2112" i="1"/>
  <c r="B2112" i="1"/>
  <c r="E2113" i="1"/>
  <c r="B2113" i="1"/>
  <c r="E2114" i="1"/>
  <c r="B2114" i="1"/>
  <c r="E2115" i="1"/>
  <c r="B2115" i="1"/>
  <c r="E2116" i="1"/>
  <c r="B2116" i="1"/>
  <c r="E2118" i="1"/>
  <c r="B2118" i="1"/>
  <c r="E2117" i="1"/>
  <c r="B2117" i="1"/>
  <c r="E2119" i="1"/>
  <c r="B2119" i="1"/>
  <c r="E2120" i="1"/>
  <c r="B2120" i="1"/>
  <c r="E2121" i="1"/>
  <c r="B2121" i="1"/>
  <c r="E2122" i="1"/>
  <c r="B2122" i="1"/>
  <c r="E2123" i="1"/>
  <c r="B2123" i="1"/>
  <c r="E2124" i="1"/>
  <c r="B2124" i="1"/>
  <c r="E2125" i="1"/>
  <c r="B2125" i="1"/>
  <c r="E2126" i="1"/>
  <c r="B2126" i="1"/>
  <c r="E2127" i="1"/>
  <c r="B2127" i="1"/>
  <c r="E2128" i="1"/>
  <c r="B2128" i="1"/>
  <c r="E2129" i="1"/>
  <c r="B2129" i="1"/>
  <c r="E2130" i="1"/>
  <c r="B2130" i="1"/>
  <c r="E2131" i="1"/>
  <c r="B2131" i="1"/>
  <c r="E2132" i="1"/>
  <c r="B2132" i="1"/>
  <c r="E2133" i="1"/>
  <c r="B2133" i="1"/>
  <c r="E2134" i="1"/>
  <c r="B2134" i="1"/>
  <c r="E2135" i="1"/>
  <c r="B2135" i="1"/>
  <c r="E2136" i="1"/>
  <c r="B2136" i="1"/>
  <c r="E2137" i="1"/>
  <c r="B2137" i="1"/>
  <c r="E2139" i="1"/>
  <c r="B2139" i="1"/>
  <c r="E2138" i="1"/>
  <c r="B2138" i="1"/>
  <c r="E2140" i="1"/>
  <c r="B2140" i="1"/>
  <c r="E2141" i="1"/>
  <c r="B2141" i="1"/>
  <c r="E2142" i="1"/>
  <c r="B2142" i="1"/>
  <c r="E2143" i="1"/>
  <c r="B2143" i="1"/>
  <c r="E2144" i="1"/>
  <c r="B2144" i="1"/>
  <c r="E2145" i="1"/>
  <c r="B2145" i="1"/>
  <c r="E2146" i="1"/>
  <c r="B2146" i="1"/>
  <c r="E2147" i="1"/>
  <c r="B2147" i="1"/>
  <c r="E2148" i="1"/>
  <c r="B2148" i="1"/>
  <c r="E2149" i="1"/>
  <c r="B2149" i="1"/>
  <c r="E2150" i="1"/>
  <c r="B2150" i="1"/>
  <c r="E2151" i="1"/>
  <c r="B2151" i="1"/>
  <c r="E2152" i="1"/>
  <c r="B2152" i="1"/>
  <c r="E2153" i="1"/>
  <c r="B2153" i="1"/>
  <c r="E2154" i="1"/>
  <c r="B2154" i="1"/>
  <c r="E2155" i="1"/>
  <c r="B2155" i="1"/>
  <c r="E2156" i="1"/>
  <c r="B2156" i="1"/>
  <c r="E2157" i="1"/>
  <c r="B2157" i="1"/>
  <c r="E2158" i="1"/>
  <c r="B2158" i="1"/>
  <c r="E2159" i="1"/>
  <c r="B2159" i="1"/>
  <c r="E2160" i="1"/>
  <c r="B2160" i="1"/>
  <c r="E2161" i="1"/>
  <c r="B2161" i="1"/>
  <c r="E2162" i="1"/>
  <c r="B2162" i="1"/>
  <c r="E2163" i="1"/>
  <c r="B2163" i="1"/>
  <c r="E2164" i="1"/>
  <c r="B2164" i="1"/>
  <c r="E2165" i="1"/>
  <c r="B2165" i="1"/>
  <c r="E2166" i="1"/>
  <c r="B2166" i="1"/>
  <c r="E2167" i="1"/>
  <c r="B2167" i="1"/>
  <c r="E2168" i="1"/>
  <c r="B2168" i="1"/>
  <c r="E2169" i="1"/>
  <c r="B2169" i="1"/>
  <c r="E2171" i="1"/>
  <c r="B2171" i="1"/>
  <c r="E2170" i="1"/>
  <c r="B2170" i="1"/>
  <c r="E2172" i="1"/>
  <c r="B2172" i="1"/>
  <c r="E2173" i="1"/>
  <c r="B2173" i="1"/>
  <c r="E2174" i="1"/>
  <c r="B2174" i="1"/>
  <c r="E2175" i="1"/>
  <c r="B2175" i="1"/>
  <c r="E2176" i="1"/>
  <c r="B2176" i="1"/>
  <c r="E2178" i="1"/>
  <c r="B2178" i="1"/>
  <c r="E2177" i="1"/>
  <c r="B2177" i="1"/>
  <c r="E2179" i="1"/>
  <c r="B2179" i="1"/>
  <c r="E2180" i="1"/>
  <c r="B2180" i="1"/>
  <c r="E2181" i="1"/>
  <c r="B2181" i="1"/>
  <c r="E2182" i="1"/>
  <c r="B2182" i="1"/>
  <c r="E2183" i="1"/>
  <c r="B2183" i="1"/>
  <c r="E2184" i="1"/>
  <c r="B2184" i="1"/>
  <c r="E2185" i="1"/>
  <c r="B2185" i="1"/>
  <c r="E2186" i="1"/>
  <c r="B2186" i="1"/>
  <c r="E2187" i="1"/>
  <c r="B2187" i="1"/>
  <c r="E2188" i="1"/>
  <c r="B2188" i="1"/>
  <c r="E2189" i="1"/>
  <c r="B2189" i="1"/>
  <c r="E2190" i="1"/>
  <c r="B2190" i="1"/>
  <c r="E2191" i="1"/>
  <c r="B2191" i="1"/>
  <c r="E2192" i="1"/>
  <c r="B2192" i="1"/>
  <c r="E2193" i="1"/>
  <c r="B2193" i="1"/>
  <c r="E2194" i="1"/>
  <c r="B2194" i="1"/>
  <c r="E2195" i="1"/>
  <c r="B2195" i="1"/>
  <c r="E2196" i="1"/>
  <c r="B2196" i="1"/>
  <c r="E2197" i="1"/>
  <c r="B2197" i="1"/>
  <c r="E2198" i="1"/>
  <c r="B2198" i="1"/>
  <c r="E2199" i="1"/>
  <c r="B2199" i="1"/>
  <c r="E2200" i="1"/>
  <c r="B2200" i="1"/>
  <c r="E2201" i="1"/>
  <c r="B2201" i="1"/>
  <c r="E2202" i="1"/>
  <c r="B2202" i="1"/>
  <c r="E2203" i="1"/>
  <c r="B2203" i="1"/>
  <c r="E2204" i="1"/>
  <c r="B2204" i="1"/>
  <c r="E2205" i="1"/>
  <c r="B2205" i="1"/>
  <c r="E2206" i="1"/>
  <c r="B2206" i="1"/>
  <c r="E2207" i="1"/>
  <c r="B2207" i="1"/>
  <c r="E2208" i="1"/>
  <c r="B2208" i="1"/>
  <c r="E2209" i="1"/>
  <c r="B2209" i="1"/>
  <c r="E2210" i="1"/>
  <c r="B2210" i="1"/>
  <c r="E2211" i="1"/>
  <c r="B2211" i="1"/>
  <c r="E2212" i="1"/>
  <c r="B2212" i="1"/>
  <c r="E2213" i="1"/>
  <c r="B2213" i="1"/>
  <c r="E2214" i="1"/>
  <c r="B2214" i="1"/>
  <c r="E2215" i="1"/>
  <c r="B2215" i="1"/>
  <c r="E2216" i="1"/>
  <c r="B2216" i="1"/>
  <c r="E2217" i="1"/>
  <c r="B2217" i="1"/>
  <c r="E2218" i="1"/>
  <c r="B2218" i="1"/>
  <c r="E2219" i="1"/>
  <c r="B2219" i="1"/>
  <c r="E2220" i="1"/>
  <c r="B2220" i="1"/>
  <c r="E2221" i="1"/>
  <c r="B2221" i="1"/>
  <c r="E2222" i="1"/>
  <c r="B2222" i="1"/>
  <c r="E2223" i="1"/>
  <c r="B2223" i="1"/>
  <c r="E2224" i="1"/>
  <c r="B2224" i="1"/>
  <c r="E2225" i="1"/>
  <c r="B2225" i="1"/>
  <c r="E2226" i="1"/>
  <c r="B2226" i="1"/>
  <c r="E2227" i="1"/>
  <c r="B2227" i="1"/>
  <c r="E2228" i="1"/>
  <c r="B2228" i="1"/>
  <c r="E2229" i="1"/>
  <c r="B2229" i="1"/>
  <c r="E2230" i="1"/>
  <c r="B2230" i="1"/>
  <c r="E2231" i="1"/>
  <c r="B2231" i="1"/>
  <c r="E2232" i="1"/>
  <c r="B2232" i="1"/>
  <c r="E2233" i="1"/>
  <c r="B2233" i="1"/>
  <c r="E2234" i="1"/>
  <c r="B2234" i="1"/>
  <c r="E2235" i="1"/>
  <c r="B2235" i="1"/>
  <c r="E2236" i="1"/>
  <c r="B2236" i="1"/>
  <c r="E2237" i="1"/>
  <c r="B2237" i="1"/>
  <c r="E2238" i="1"/>
  <c r="B2238" i="1"/>
  <c r="E2239" i="1"/>
  <c r="B2239" i="1"/>
  <c r="E2240" i="1"/>
  <c r="B2240" i="1"/>
  <c r="E2241" i="1"/>
  <c r="B2241" i="1"/>
  <c r="E2242" i="1"/>
  <c r="B2242" i="1"/>
  <c r="E2243" i="1"/>
  <c r="B2243" i="1"/>
  <c r="E2244" i="1"/>
  <c r="B2244" i="1"/>
  <c r="E2245" i="1"/>
  <c r="B2245" i="1"/>
  <c r="E2246" i="1"/>
  <c r="B2246" i="1"/>
  <c r="E2247" i="1"/>
  <c r="B2247" i="1"/>
  <c r="E2248" i="1"/>
  <c r="B2248" i="1"/>
  <c r="E2249" i="1"/>
  <c r="B2249" i="1"/>
  <c r="E2250" i="1"/>
  <c r="B2250" i="1"/>
  <c r="E2251" i="1"/>
  <c r="B2251" i="1"/>
  <c r="E2252" i="1"/>
  <c r="B2252" i="1"/>
  <c r="E2253" i="1"/>
  <c r="B2253" i="1"/>
  <c r="E2254" i="1"/>
  <c r="B2254" i="1"/>
  <c r="E2255" i="1"/>
  <c r="B2255" i="1"/>
  <c r="E2256" i="1"/>
  <c r="B2256" i="1"/>
  <c r="E2257" i="1"/>
  <c r="B2257" i="1"/>
  <c r="E2258" i="1"/>
  <c r="B2258" i="1"/>
  <c r="E2259" i="1"/>
  <c r="B2259" i="1"/>
  <c r="E2260" i="1"/>
  <c r="B2260" i="1"/>
  <c r="E2261" i="1"/>
  <c r="B2261" i="1"/>
  <c r="E2262" i="1"/>
  <c r="B2262" i="1"/>
  <c r="E2263" i="1"/>
  <c r="B2263" i="1"/>
  <c r="E2264" i="1"/>
  <c r="B2264" i="1"/>
  <c r="E2265" i="1"/>
  <c r="B2265" i="1"/>
  <c r="E2266" i="1"/>
  <c r="B2266" i="1"/>
  <c r="E2267" i="1"/>
  <c r="B2267" i="1"/>
  <c r="E2268" i="1"/>
  <c r="B2268" i="1"/>
  <c r="E2269" i="1"/>
  <c r="B2269" i="1"/>
  <c r="E2270" i="1"/>
  <c r="B2270" i="1"/>
  <c r="E2271" i="1"/>
  <c r="B2271" i="1"/>
  <c r="E2272" i="1"/>
  <c r="B2272" i="1"/>
  <c r="E2273" i="1"/>
  <c r="B2273" i="1"/>
  <c r="E2274" i="1"/>
  <c r="B2274" i="1"/>
  <c r="E2275" i="1"/>
  <c r="B2275" i="1"/>
  <c r="E2276" i="1"/>
  <c r="B2276" i="1"/>
  <c r="E2277" i="1"/>
  <c r="B2277" i="1"/>
  <c r="E2278" i="1"/>
  <c r="B2278" i="1"/>
  <c r="E2279" i="1"/>
  <c r="B2279" i="1"/>
  <c r="E2280" i="1"/>
  <c r="B2280" i="1"/>
  <c r="E2281" i="1"/>
  <c r="B2281" i="1"/>
  <c r="E2282" i="1"/>
  <c r="B2282" i="1"/>
  <c r="E2283" i="1"/>
  <c r="B2283" i="1"/>
  <c r="E2284" i="1"/>
  <c r="B2284" i="1"/>
  <c r="E2285" i="1"/>
  <c r="B2285" i="1"/>
  <c r="E2286" i="1"/>
  <c r="B2286" i="1"/>
  <c r="E2287" i="1"/>
  <c r="B2287" i="1"/>
  <c r="E2288" i="1"/>
  <c r="B2288" i="1"/>
  <c r="E2289" i="1"/>
  <c r="B2289" i="1"/>
  <c r="E2290" i="1"/>
  <c r="B2290" i="1"/>
  <c r="E2291" i="1"/>
  <c r="B2291" i="1"/>
  <c r="E2292" i="1"/>
  <c r="B2292" i="1"/>
  <c r="E2293" i="1"/>
  <c r="B2293" i="1"/>
  <c r="E2294" i="1"/>
  <c r="B2294" i="1"/>
  <c r="E2295" i="1"/>
  <c r="B2295" i="1"/>
  <c r="E2296" i="1"/>
  <c r="B2296" i="1"/>
  <c r="E2297" i="1"/>
  <c r="B2297" i="1"/>
  <c r="E2298" i="1"/>
  <c r="B2298" i="1"/>
  <c r="E2299" i="1"/>
  <c r="B2299" i="1"/>
  <c r="E2300" i="1"/>
  <c r="B2300" i="1"/>
  <c r="E2302" i="1"/>
  <c r="B2302" i="1"/>
  <c r="E2301" i="1"/>
  <c r="B2301" i="1"/>
  <c r="E2303" i="1"/>
  <c r="B2303" i="1"/>
  <c r="E2304" i="1"/>
  <c r="B2304" i="1"/>
  <c r="E2305" i="1"/>
  <c r="B2305" i="1"/>
  <c r="E2306" i="1"/>
  <c r="B2306" i="1"/>
  <c r="E2307" i="1"/>
  <c r="B2307" i="1"/>
  <c r="E2308" i="1"/>
  <c r="B2308" i="1"/>
  <c r="E2309" i="1"/>
  <c r="B2309" i="1"/>
  <c r="E2310" i="1"/>
  <c r="B2310" i="1"/>
  <c r="E2311" i="1"/>
  <c r="B2311" i="1"/>
  <c r="E2312" i="1"/>
  <c r="B2312" i="1"/>
  <c r="E2313" i="1"/>
  <c r="B2313" i="1"/>
  <c r="E2314" i="1"/>
  <c r="B2314" i="1"/>
  <c r="E2315" i="1"/>
  <c r="B2315" i="1"/>
  <c r="E2316" i="1"/>
  <c r="B2316" i="1"/>
  <c r="E2317" i="1"/>
  <c r="B2317" i="1"/>
  <c r="E2318" i="1"/>
  <c r="B2318" i="1"/>
  <c r="E2319" i="1"/>
  <c r="B2319" i="1"/>
  <c r="E2320" i="1"/>
  <c r="B2320" i="1"/>
  <c r="E2321" i="1"/>
  <c r="B2321" i="1"/>
  <c r="E2322" i="1"/>
  <c r="B2322" i="1"/>
  <c r="E2323" i="1"/>
  <c r="B2323" i="1"/>
  <c r="E2324" i="1"/>
  <c r="B2324" i="1"/>
  <c r="E2325" i="1"/>
  <c r="B2325" i="1"/>
  <c r="E2326" i="1"/>
  <c r="B2326" i="1"/>
  <c r="E2327" i="1"/>
  <c r="B2327" i="1"/>
  <c r="E2328" i="1"/>
  <c r="B2328" i="1"/>
  <c r="E2329" i="1"/>
  <c r="B2329" i="1"/>
  <c r="E2330" i="1"/>
  <c r="B2330" i="1"/>
  <c r="E2331" i="1"/>
  <c r="B2331" i="1"/>
  <c r="E2333" i="1"/>
  <c r="B2333" i="1"/>
  <c r="E2332" i="1"/>
  <c r="B2332" i="1"/>
  <c r="E2334" i="1"/>
  <c r="B2334" i="1"/>
  <c r="E2335" i="1"/>
  <c r="B2335" i="1"/>
  <c r="E2336" i="1"/>
  <c r="B2336" i="1"/>
  <c r="E2337" i="1"/>
  <c r="B2337" i="1"/>
  <c r="E2338" i="1"/>
  <c r="B2338" i="1"/>
  <c r="E2339" i="1"/>
  <c r="B2339" i="1"/>
  <c r="E2340" i="1"/>
  <c r="B2340" i="1"/>
  <c r="E2341" i="1"/>
  <c r="B2341" i="1"/>
  <c r="E2342" i="1"/>
  <c r="B2342" i="1"/>
  <c r="E2343" i="1"/>
  <c r="B2343" i="1"/>
  <c r="E2344" i="1"/>
  <c r="B2344" i="1"/>
  <c r="E2345" i="1"/>
  <c r="B2345" i="1"/>
  <c r="E2346" i="1"/>
  <c r="B2346" i="1"/>
  <c r="E2347" i="1"/>
  <c r="B2347" i="1"/>
  <c r="E2348" i="1"/>
  <c r="B2348" i="1"/>
  <c r="E2349" i="1"/>
  <c r="B2349" i="1"/>
  <c r="E2350" i="1"/>
  <c r="B2350" i="1"/>
  <c r="E2351" i="1"/>
  <c r="B2351" i="1"/>
  <c r="E2352" i="1"/>
  <c r="B2352" i="1"/>
  <c r="E2353" i="1"/>
  <c r="B2353" i="1"/>
  <c r="E2354" i="1"/>
  <c r="B2354" i="1"/>
  <c r="E2355" i="1"/>
  <c r="B2355" i="1"/>
  <c r="E2356" i="1"/>
  <c r="B2356" i="1"/>
  <c r="E2357" i="1"/>
  <c r="B2357" i="1"/>
  <c r="E2358" i="1"/>
  <c r="B2358" i="1"/>
  <c r="E2359" i="1"/>
  <c r="B2359" i="1"/>
  <c r="E2360" i="1"/>
  <c r="B2360" i="1"/>
  <c r="E2361" i="1"/>
  <c r="B2361" i="1"/>
  <c r="E2362" i="1"/>
  <c r="B2362" i="1"/>
  <c r="E2363" i="1"/>
  <c r="B2363" i="1"/>
  <c r="E2364" i="1"/>
  <c r="B2364" i="1"/>
  <c r="E2365" i="1"/>
  <c r="B2365" i="1"/>
  <c r="E2366" i="1"/>
  <c r="B2366" i="1"/>
  <c r="E2367" i="1"/>
  <c r="B2367" i="1"/>
  <c r="E2368" i="1"/>
  <c r="B2368" i="1"/>
  <c r="E2369" i="1"/>
  <c r="B2369" i="1"/>
  <c r="E2370" i="1"/>
  <c r="B2370" i="1"/>
  <c r="E2371" i="1"/>
  <c r="B2371" i="1"/>
  <c r="E2372" i="1"/>
  <c r="B2372" i="1"/>
  <c r="E2373" i="1"/>
  <c r="B2373" i="1"/>
  <c r="E2374" i="1"/>
  <c r="B2374" i="1"/>
  <c r="E2375" i="1"/>
  <c r="B2375" i="1"/>
  <c r="E2376" i="1"/>
  <c r="B2376" i="1"/>
  <c r="E2377" i="1"/>
  <c r="B2377" i="1"/>
  <c r="E2378" i="1"/>
  <c r="B2378" i="1"/>
  <c r="E2379" i="1"/>
  <c r="B2379" i="1"/>
  <c r="E2380" i="1"/>
  <c r="B2380" i="1"/>
  <c r="E2381" i="1"/>
  <c r="B2381" i="1"/>
  <c r="E2382" i="1"/>
  <c r="B2382" i="1"/>
  <c r="E2383" i="1"/>
  <c r="B2383" i="1"/>
  <c r="E2384" i="1"/>
  <c r="B2384" i="1"/>
  <c r="E2385" i="1"/>
  <c r="B2385" i="1"/>
  <c r="E2386" i="1"/>
  <c r="B2386" i="1"/>
  <c r="E2387" i="1"/>
  <c r="B2387" i="1"/>
  <c r="E2388" i="1"/>
  <c r="B2388" i="1"/>
  <c r="E2389" i="1"/>
  <c r="B2389" i="1"/>
  <c r="E2390" i="1"/>
  <c r="B2390" i="1"/>
  <c r="E2391" i="1"/>
  <c r="B2391" i="1"/>
  <c r="E2392" i="1"/>
  <c r="B2392" i="1"/>
  <c r="E2393" i="1"/>
  <c r="B2393" i="1"/>
  <c r="E2394" i="1"/>
  <c r="B2394" i="1"/>
  <c r="E2395" i="1"/>
  <c r="B2395" i="1"/>
  <c r="E2396" i="1"/>
  <c r="B2396" i="1"/>
  <c r="E2397" i="1"/>
  <c r="B2397" i="1"/>
  <c r="E2398" i="1"/>
  <c r="B2398" i="1"/>
  <c r="E2399" i="1"/>
  <c r="B2399" i="1"/>
  <c r="E2400" i="1"/>
  <c r="B2400" i="1"/>
  <c r="E2401" i="1"/>
  <c r="B2401" i="1"/>
  <c r="E2402" i="1"/>
  <c r="B2402" i="1"/>
  <c r="E2403" i="1"/>
  <c r="B2403" i="1"/>
  <c r="E2404" i="1"/>
  <c r="B2404" i="1"/>
  <c r="E2405" i="1"/>
  <c r="B2405" i="1"/>
  <c r="E2406" i="1"/>
  <c r="B2406" i="1"/>
  <c r="E2407" i="1"/>
  <c r="B2407" i="1"/>
  <c r="E2408" i="1"/>
  <c r="B2408" i="1"/>
  <c r="E2409" i="1"/>
  <c r="B2409" i="1"/>
  <c r="E2410" i="1"/>
  <c r="B2410" i="1"/>
  <c r="E2411" i="1"/>
  <c r="B2411" i="1"/>
  <c r="E2412" i="1"/>
  <c r="B2412" i="1"/>
  <c r="E2413" i="1"/>
  <c r="B2413" i="1"/>
  <c r="E2414" i="1"/>
  <c r="B2414" i="1"/>
  <c r="E2415" i="1"/>
  <c r="B2415" i="1"/>
  <c r="E2416" i="1"/>
  <c r="B2416" i="1"/>
  <c r="E2417" i="1"/>
  <c r="B2417" i="1"/>
  <c r="E2418" i="1"/>
  <c r="B2418" i="1"/>
  <c r="E2419" i="1"/>
  <c r="B2419" i="1"/>
  <c r="E2420" i="1"/>
  <c r="B2420" i="1"/>
  <c r="E2421" i="1"/>
  <c r="B2421" i="1"/>
  <c r="E2422" i="1"/>
  <c r="B2422" i="1"/>
  <c r="E2423" i="1"/>
  <c r="B2423" i="1"/>
  <c r="E2424" i="1"/>
  <c r="B2424" i="1"/>
  <c r="E2425" i="1"/>
  <c r="B2425" i="1"/>
  <c r="E2426" i="1"/>
  <c r="B2426" i="1"/>
  <c r="E2427" i="1"/>
  <c r="B2427" i="1"/>
  <c r="E2428" i="1"/>
  <c r="B2428" i="1"/>
  <c r="E2429" i="1"/>
  <c r="B2429" i="1"/>
  <c r="E2430" i="1"/>
  <c r="B2430" i="1"/>
  <c r="E2431" i="1"/>
  <c r="B2431" i="1"/>
  <c r="E2432" i="1"/>
  <c r="B2432" i="1"/>
  <c r="E2433" i="1"/>
  <c r="B2433" i="1"/>
  <c r="E2434" i="1"/>
  <c r="B2434" i="1"/>
  <c r="E2435" i="1"/>
  <c r="B2435" i="1"/>
  <c r="E2436" i="1"/>
  <c r="B2436" i="1"/>
  <c r="E2437" i="1"/>
  <c r="B2437" i="1"/>
  <c r="E2438" i="1"/>
  <c r="B2438" i="1"/>
  <c r="E2439" i="1"/>
  <c r="B2439" i="1"/>
  <c r="E2440" i="1"/>
  <c r="B2440" i="1"/>
  <c r="E2441" i="1"/>
  <c r="B2441" i="1"/>
  <c r="E2442" i="1"/>
  <c r="B2442" i="1"/>
  <c r="E2443" i="1"/>
  <c r="B2443" i="1"/>
  <c r="E2444" i="1"/>
  <c r="B2444" i="1"/>
  <c r="E2445" i="1"/>
  <c r="B2445" i="1"/>
  <c r="E2446" i="1"/>
  <c r="B2446" i="1"/>
  <c r="E2447" i="1"/>
  <c r="B2447" i="1"/>
  <c r="E2448" i="1"/>
  <c r="B2448" i="1"/>
  <c r="E2449" i="1"/>
  <c r="B2449" i="1"/>
  <c r="E2450" i="1"/>
  <c r="B2450" i="1"/>
  <c r="E2451" i="1"/>
  <c r="B2451" i="1"/>
  <c r="E2452" i="1"/>
  <c r="B2452" i="1"/>
  <c r="E2453" i="1"/>
  <c r="B2453" i="1"/>
  <c r="E2454" i="1"/>
  <c r="B2454" i="1"/>
  <c r="E2455" i="1"/>
  <c r="B2455" i="1"/>
  <c r="E2456" i="1"/>
  <c r="B2456" i="1"/>
  <c r="E2457" i="1"/>
  <c r="B2457" i="1"/>
  <c r="E2458" i="1"/>
  <c r="B2458" i="1"/>
  <c r="E2459" i="1"/>
  <c r="B2459" i="1"/>
  <c r="E2460" i="1"/>
  <c r="B2460" i="1"/>
  <c r="E2462" i="1"/>
  <c r="B2462" i="1"/>
  <c r="E2461" i="1"/>
  <c r="B2461" i="1"/>
  <c r="E2463" i="1"/>
  <c r="B2463" i="1"/>
  <c r="E2464" i="1"/>
  <c r="B2464" i="1"/>
  <c r="E2465" i="1"/>
  <c r="B2465" i="1"/>
  <c r="E2466" i="1"/>
  <c r="B2466" i="1"/>
  <c r="E2467" i="1"/>
  <c r="B2467" i="1"/>
  <c r="E2468" i="1"/>
  <c r="B2468" i="1"/>
  <c r="E2469" i="1"/>
  <c r="B2469" i="1"/>
  <c r="E2470" i="1"/>
  <c r="B2470" i="1"/>
  <c r="E2471" i="1"/>
  <c r="B2471" i="1"/>
  <c r="E2472" i="1"/>
  <c r="B2472" i="1"/>
  <c r="E2473" i="1"/>
  <c r="B2473" i="1"/>
  <c r="E2474" i="1"/>
  <c r="B2474" i="1"/>
  <c r="E2475" i="1"/>
  <c r="B2475" i="1"/>
  <c r="E2476" i="1"/>
  <c r="B2476" i="1"/>
  <c r="E2477" i="1"/>
  <c r="B2477" i="1"/>
  <c r="E2478" i="1"/>
  <c r="B2478" i="1"/>
  <c r="E2479" i="1"/>
  <c r="B2479" i="1"/>
  <c r="E2480" i="1"/>
  <c r="B2480" i="1"/>
  <c r="E2481" i="1"/>
  <c r="B2481" i="1"/>
  <c r="E2482" i="1"/>
  <c r="B2482" i="1"/>
  <c r="E2483" i="1"/>
  <c r="B2483" i="1"/>
  <c r="E2484" i="1"/>
  <c r="B2484" i="1"/>
  <c r="E2485" i="1"/>
  <c r="B2485" i="1"/>
  <c r="E2486" i="1"/>
  <c r="B2486" i="1"/>
  <c r="E2487" i="1"/>
  <c r="B2487" i="1"/>
  <c r="E2488" i="1"/>
  <c r="B2488" i="1"/>
  <c r="E2489" i="1"/>
  <c r="B2489" i="1"/>
  <c r="E2490" i="1"/>
  <c r="B2490" i="1"/>
  <c r="E2491" i="1"/>
  <c r="B2491" i="1"/>
  <c r="E2492" i="1"/>
  <c r="B2492" i="1"/>
  <c r="E2493" i="1"/>
  <c r="B2493" i="1"/>
  <c r="E2494" i="1"/>
  <c r="B2494" i="1"/>
  <c r="E2495" i="1"/>
  <c r="B2495" i="1"/>
  <c r="E2496" i="1"/>
  <c r="B2496" i="1"/>
  <c r="E2497" i="1"/>
  <c r="B2497" i="1"/>
  <c r="E2498" i="1"/>
  <c r="B2498" i="1"/>
  <c r="E2499" i="1"/>
  <c r="B2499" i="1"/>
  <c r="E2500" i="1"/>
  <c r="B2500" i="1"/>
  <c r="E2501" i="1"/>
  <c r="B2501" i="1"/>
  <c r="E2502" i="1"/>
  <c r="B2502" i="1"/>
  <c r="E2503" i="1"/>
  <c r="B2503" i="1"/>
  <c r="E2504" i="1"/>
  <c r="B2504" i="1"/>
  <c r="E2505" i="1"/>
  <c r="B2505" i="1"/>
  <c r="E2506" i="1"/>
  <c r="B2506" i="1"/>
  <c r="E2507" i="1"/>
  <c r="B2507" i="1"/>
  <c r="E2508" i="1"/>
  <c r="B2508" i="1"/>
  <c r="E2509" i="1"/>
  <c r="B2509" i="1"/>
  <c r="E2510" i="1"/>
  <c r="B2510" i="1"/>
  <c r="E2511" i="1"/>
  <c r="B2511" i="1"/>
  <c r="E2512" i="1"/>
  <c r="B2512" i="1"/>
  <c r="E2513" i="1"/>
  <c r="B2513" i="1"/>
  <c r="E2514" i="1"/>
  <c r="B2514" i="1"/>
  <c r="E2515" i="1"/>
  <c r="B2515" i="1"/>
  <c r="E2516" i="1"/>
  <c r="B2516" i="1"/>
  <c r="E2517" i="1"/>
  <c r="B2517" i="1"/>
  <c r="E2518" i="1"/>
  <c r="B2518" i="1"/>
  <c r="E2519" i="1"/>
  <c r="B2519" i="1"/>
  <c r="E2520" i="1"/>
  <c r="B2520" i="1"/>
  <c r="E2521" i="1"/>
  <c r="B2521" i="1"/>
  <c r="E2522" i="1"/>
  <c r="B2522" i="1"/>
  <c r="E2523" i="1"/>
  <c r="B2523" i="1"/>
  <c r="E2524" i="1"/>
  <c r="B2524" i="1"/>
  <c r="E2525" i="1"/>
  <c r="B2525" i="1"/>
  <c r="E2526" i="1"/>
  <c r="B2526" i="1"/>
  <c r="E2527" i="1"/>
  <c r="B2527" i="1"/>
  <c r="E2528" i="1"/>
  <c r="B2528" i="1"/>
  <c r="E2529" i="1"/>
  <c r="B2529" i="1"/>
  <c r="E2530" i="1"/>
  <c r="B2530" i="1"/>
  <c r="E2531" i="1"/>
  <c r="B2531" i="1"/>
  <c r="E2532" i="1"/>
  <c r="B2532" i="1"/>
  <c r="E2533" i="1"/>
  <c r="B2533" i="1"/>
  <c r="E2534" i="1"/>
  <c r="B2534" i="1"/>
  <c r="E2535" i="1"/>
  <c r="B2535" i="1"/>
  <c r="E2536" i="1"/>
  <c r="B2536" i="1"/>
  <c r="E2537" i="1"/>
  <c r="B2537" i="1"/>
  <c r="E2538" i="1"/>
  <c r="B2538" i="1"/>
  <c r="E2539" i="1"/>
  <c r="B2539" i="1"/>
  <c r="E2540" i="1"/>
  <c r="B2540" i="1"/>
  <c r="E2541" i="1"/>
  <c r="B2541" i="1"/>
  <c r="E2542" i="1"/>
  <c r="B2542" i="1"/>
  <c r="E2543" i="1"/>
  <c r="B2543" i="1"/>
  <c r="E2544" i="1"/>
  <c r="B2544" i="1"/>
  <c r="E2545" i="1"/>
  <c r="B2545" i="1"/>
  <c r="E2546" i="1"/>
  <c r="B2546" i="1"/>
  <c r="E2547" i="1"/>
  <c r="B2547" i="1"/>
  <c r="E2548" i="1"/>
  <c r="B2548" i="1"/>
  <c r="E2549" i="1"/>
  <c r="B2549" i="1"/>
  <c r="E2550" i="1"/>
  <c r="B2550" i="1"/>
  <c r="E2551" i="1"/>
  <c r="B2551" i="1"/>
  <c r="E2552" i="1"/>
  <c r="B2552" i="1"/>
  <c r="E2553" i="1"/>
  <c r="B2553" i="1"/>
  <c r="E2554" i="1"/>
  <c r="B2554" i="1"/>
  <c r="E2555" i="1"/>
  <c r="B2555" i="1"/>
  <c r="E2556" i="1"/>
  <c r="B2556" i="1"/>
  <c r="E2557" i="1"/>
  <c r="B2557" i="1"/>
  <c r="E2558" i="1"/>
  <c r="B2558" i="1"/>
  <c r="E2559" i="1"/>
  <c r="B2559" i="1"/>
  <c r="E2560" i="1"/>
  <c r="B2560" i="1"/>
  <c r="E2561" i="1"/>
  <c r="B2561" i="1"/>
  <c r="E2562" i="1"/>
  <c r="B2562" i="1"/>
  <c r="E2563" i="1"/>
  <c r="B2563" i="1"/>
  <c r="E2564" i="1"/>
  <c r="B2564" i="1"/>
  <c r="E2565" i="1"/>
  <c r="B2565" i="1"/>
  <c r="E2566" i="1"/>
  <c r="B2566" i="1"/>
  <c r="E2567" i="1"/>
  <c r="B2567" i="1"/>
  <c r="E2568" i="1"/>
  <c r="B2568" i="1"/>
  <c r="E2569" i="1"/>
  <c r="B2569" i="1"/>
  <c r="E2570" i="1"/>
  <c r="B2570" i="1"/>
  <c r="E2571" i="1"/>
  <c r="B2571" i="1"/>
  <c r="E2572" i="1"/>
  <c r="B2572" i="1"/>
  <c r="E2573" i="1"/>
  <c r="B2573" i="1"/>
  <c r="E2574" i="1"/>
  <c r="B2574" i="1"/>
  <c r="E2575" i="1"/>
  <c r="B2575" i="1"/>
  <c r="E2576" i="1"/>
  <c r="B2576" i="1"/>
  <c r="E2577" i="1"/>
  <c r="B2577" i="1"/>
  <c r="E2578" i="1"/>
  <c r="B2578" i="1"/>
  <c r="E2579" i="1"/>
  <c r="B2579" i="1"/>
  <c r="E2580" i="1"/>
  <c r="B2580" i="1"/>
  <c r="E2581" i="1"/>
  <c r="B2581" i="1"/>
  <c r="E2582" i="1"/>
  <c r="B2582" i="1"/>
  <c r="E2583" i="1"/>
  <c r="B2583" i="1"/>
  <c r="E2584" i="1"/>
  <c r="B2584" i="1"/>
  <c r="E2585" i="1"/>
  <c r="B2585" i="1"/>
  <c r="E2586" i="1"/>
  <c r="B2586" i="1"/>
  <c r="E2587" i="1"/>
  <c r="B2587" i="1"/>
  <c r="E2588" i="1"/>
  <c r="B2588" i="1"/>
  <c r="E2589" i="1"/>
  <c r="B2589" i="1"/>
  <c r="E2590" i="1"/>
  <c r="B2590" i="1"/>
  <c r="E2591" i="1"/>
  <c r="B2591" i="1"/>
  <c r="E2592" i="1"/>
  <c r="B2592" i="1"/>
  <c r="E2593" i="1"/>
  <c r="B2593" i="1"/>
  <c r="E2594" i="1"/>
  <c r="B2594" i="1"/>
  <c r="E2595" i="1"/>
  <c r="B2595" i="1"/>
  <c r="E2596" i="1"/>
  <c r="B2596" i="1"/>
  <c r="E2597" i="1"/>
  <c r="B2597" i="1"/>
  <c r="E2598" i="1"/>
  <c r="B2598" i="1"/>
  <c r="E2599" i="1"/>
  <c r="B2599" i="1"/>
  <c r="E2600" i="1"/>
  <c r="B2600" i="1"/>
  <c r="E2601" i="1"/>
  <c r="B2601" i="1"/>
  <c r="E2602" i="1"/>
  <c r="B2602" i="1"/>
  <c r="E2603" i="1"/>
  <c r="B2603" i="1"/>
  <c r="E2604" i="1"/>
  <c r="B2604" i="1"/>
  <c r="E2605" i="1"/>
  <c r="B2605" i="1"/>
  <c r="E2606" i="1"/>
  <c r="B2606" i="1"/>
  <c r="E2607" i="1"/>
  <c r="B2607" i="1"/>
  <c r="E2608" i="1"/>
  <c r="B2608" i="1"/>
  <c r="E2609" i="1"/>
  <c r="B2609" i="1"/>
  <c r="E2610" i="1"/>
  <c r="B2610" i="1"/>
  <c r="E2611" i="1"/>
  <c r="B2611" i="1"/>
  <c r="E2612" i="1"/>
  <c r="B2612" i="1"/>
  <c r="E2613" i="1"/>
  <c r="B2613" i="1"/>
  <c r="E2614" i="1"/>
  <c r="B2614" i="1"/>
  <c r="E2615" i="1"/>
  <c r="B2615" i="1"/>
  <c r="E2616" i="1"/>
  <c r="B2616" i="1"/>
  <c r="E2617" i="1"/>
  <c r="B2617" i="1"/>
  <c r="E2618" i="1"/>
  <c r="B2618" i="1"/>
  <c r="E2619" i="1"/>
  <c r="B2619" i="1"/>
  <c r="E2620" i="1"/>
  <c r="B2620" i="1"/>
  <c r="E2621" i="1"/>
  <c r="B2621" i="1"/>
  <c r="E2622" i="1"/>
  <c r="B2622" i="1"/>
  <c r="E2623" i="1"/>
  <c r="B2623" i="1"/>
  <c r="E2624" i="1"/>
  <c r="B2624" i="1"/>
  <c r="E2625" i="1"/>
  <c r="B2625" i="1"/>
  <c r="E2626" i="1"/>
  <c r="B2626" i="1"/>
  <c r="E2627" i="1"/>
  <c r="B2627" i="1"/>
  <c r="E2628" i="1"/>
  <c r="B2628" i="1"/>
  <c r="E2629" i="1"/>
  <c r="B2629" i="1"/>
  <c r="E2630" i="1"/>
  <c r="B2630" i="1"/>
  <c r="E2631" i="1"/>
  <c r="B2631" i="1"/>
  <c r="E2632" i="1"/>
  <c r="B2632" i="1"/>
  <c r="E2633" i="1"/>
  <c r="B2633" i="1"/>
  <c r="E2634" i="1"/>
  <c r="B2634" i="1"/>
  <c r="E2635" i="1"/>
  <c r="B2635" i="1"/>
  <c r="E2636" i="1"/>
  <c r="B2636" i="1"/>
  <c r="E2637" i="1"/>
  <c r="B2637" i="1"/>
  <c r="E2638" i="1"/>
  <c r="B2638" i="1"/>
  <c r="E2639" i="1"/>
  <c r="B2639" i="1"/>
  <c r="E2640" i="1"/>
  <c r="B2640" i="1"/>
  <c r="E2641" i="1"/>
  <c r="B2641" i="1"/>
  <c r="E2642" i="1"/>
  <c r="B2642" i="1"/>
  <c r="E2643" i="1"/>
  <c r="B2643" i="1"/>
  <c r="E2644" i="1"/>
  <c r="B2644" i="1"/>
  <c r="E2646" i="1"/>
  <c r="B2646" i="1"/>
  <c r="E2645" i="1"/>
  <c r="B2645" i="1"/>
  <c r="E2647" i="1"/>
  <c r="B2647" i="1"/>
  <c r="E2648" i="1"/>
  <c r="B2648" i="1"/>
  <c r="E2649" i="1"/>
  <c r="B2649" i="1"/>
  <c r="E2650" i="1"/>
  <c r="B2650" i="1"/>
  <c r="E2651" i="1"/>
  <c r="B2651" i="1"/>
  <c r="E2652" i="1"/>
  <c r="B2652" i="1"/>
  <c r="E2653" i="1"/>
  <c r="B2653" i="1"/>
  <c r="E2654" i="1"/>
  <c r="B2654" i="1"/>
  <c r="E2655" i="1"/>
  <c r="B2655" i="1"/>
  <c r="E2656" i="1"/>
  <c r="B2656" i="1"/>
  <c r="E2657" i="1"/>
  <c r="B2657" i="1"/>
  <c r="E2658" i="1"/>
  <c r="B2658" i="1"/>
  <c r="E2659" i="1"/>
  <c r="B2659" i="1"/>
  <c r="E2661" i="1"/>
  <c r="B2661" i="1"/>
  <c r="E2660" i="1"/>
  <c r="B2660" i="1"/>
  <c r="E2662" i="1"/>
  <c r="B2662" i="1"/>
  <c r="E2663" i="1"/>
  <c r="B2663" i="1"/>
  <c r="E2664" i="1"/>
  <c r="B2664" i="1"/>
  <c r="E2665" i="1"/>
  <c r="B2665" i="1"/>
  <c r="E2666" i="1"/>
  <c r="B2666" i="1"/>
  <c r="E2667" i="1"/>
  <c r="B2667" i="1"/>
  <c r="E2668" i="1"/>
  <c r="B2668" i="1"/>
  <c r="E2669" i="1"/>
  <c r="B2669" i="1"/>
  <c r="E2670" i="1"/>
  <c r="B2670" i="1"/>
  <c r="E2671" i="1"/>
  <c r="B2671" i="1"/>
  <c r="E2672" i="1"/>
  <c r="B2672" i="1"/>
  <c r="E2673" i="1"/>
  <c r="B2673" i="1"/>
  <c r="E2674" i="1"/>
  <c r="B2674" i="1"/>
  <c r="E2675" i="1"/>
  <c r="B2675" i="1"/>
  <c r="E2676" i="1"/>
  <c r="B2676" i="1"/>
  <c r="E2677" i="1"/>
  <c r="B2677" i="1"/>
  <c r="E2678" i="1"/>
  <c r="B2678" i="1"/>
  <c r="E2679" i="1"/>
  <c r="B2679" i="1"/>
  <c r="E2680" i="1"/>
  <c r="B2680" i="1"/>
  <c r="E2681" i="1"/>
  <c r="B2681" i="1"/>
  <c r="E2682" i="1"/>
  <c r="B2682" i="1"/>
  <c r="E2683" i="1"/>
  <c r="B2683" i="1"/>
  <c r="E2684" i="1"/>
  <c r="B2684" i="1"/>
  <c r="E2685" i="1"/>
  <c r="B2685" i="1"/>
  <c r="E2686" i="1"/>
  <c r="B2686" i="1"/>
  <c r="E2687" i="1"/>
  <c r="B2687" i="1"/>
  <c r="E2688" i="1"/>
  <c r="B2688" i="1"/>
  <c r="E2689" i="1"/>
  <c r="B2689" i="1"/>
  <c r="E2690" i="1"/>
  <c r="B2690" i="1"/>
  <c r="E2691" i="1"/>
  <c r="B2691" i="1"/>
  <c r="E2692" i="1"/>
  <c r="B2692" i="1"/>
  <c r="E2693" i="1"/>
  <c r="B2693" i="1"/>
  <c r="E2694" i="1"/>
  <c r="B2694" i="1"/>
  <c r="E2695" i="1"/>
  <c r="B2695" i="1"/>
  <c r="E2696" i="1"/>
  <c r="B2696" i="1"/>
  <c r="E2697" i="1"/>
  <c r="B2697" i="1"/>
  <c r="E2698" i="1"/>
  <c r="B2698" i="1"/>
  <c r="E2699" i="1"/>
  <c r="B2699" i="1"/>
  <c r="E2700" i="1"/>
  <c r="B2700" i="1"/>
  <c r="E2701" i="1"/>
  <c r="B2701" i="1"/>
  <c r="E2702" i="1"/>
  <c r="B2702" i="1"/>
  <c r="E2703" i="1"/>
  <c r="B2703" i="1"/>
  <c r="E2704" i="1"/>
  <c r="B2704" i="1"/>
  <c r="E2705" i="1"/>
  <c r="B2705" i="1"/>
  <c r="E2706" i="1"/>
  <c r="B2706" i="1"/>
  <c r="E2707" i="1"/>
  <c r="B2707" i="1"/>
  <c r="E2708" i="1"/>
  <c r="B2708" i="1"/>
  <c r="E2709" i="1"/>
  <c r="B2709" i="1"/>
  <c r="E2710" i="1"/>
  <c r="B2710" i="1"/>
  <c r="E2711" i="1"/>
  <c r="B2711" i="1"/>
  <c r="E2712" i="1"/>
  <c r="B2712" i="1"/>
  <c r="E2713" i="1"/>
  <c r="B2713" i="1"/>
  <c r="E2714" i="1"/>
  <c r="B2714" i="1"/>
  <c r="E2715" i="1"/>
  <c r="B2715" i="1"/>
  <c r="E2716" i="1"/>
  <c r="B2716" i="1"/>
  <c r="E2717" i="1"/>
  <c r="B2717" i="1"/>
  <c r="E2718" i="1"/>
  <c r="B2718" i="1"/>
  <c r="E2719" i="1"/>
  <c r="B2719" i="1"/>
  <c r="E2720" i="1"/>
  <c r="B2720" i="1"/>
  <c r="E2721" i="1"/>
  <c r="B2721" i="1"/>
  <c r="E2722" i="1"/>
  <c r="B2722" i="1"/>
  <c r="E2723" i="1"/>
  <c r="B2723" i="1"/>
  <c r="E2724" i="1"/>
  <c r="B2724" i="1"/>
  <c r="E2725" i="1"/>
  <c r="B2725" i="1"/>
  <c r="E2726" i="1"/>
  <c r="B2726" i="1"/>
  <c r="E2727" i="1"/>
  <c r="B2727" i="1"/>
  <c r="E2728" i="1"/>
  <c r="B2728" i="1"/>
  <c r="E2729" i="1"/>
  <c r="B2729" i="1"/>
  <c r="E2730" i="1"/>
  <c r="B2730" i="1"/>
  <c r="E2731" i="1"/>
  <c r="B2731" i="1"/>
  <c r="E2732" i="1"/>
  <c r="B2732" i="1"/>
  <c r="E2733" i="1"/>
  <c r="B2733" i="1"/>
  <c r="E2734" i="1"/>
  <c r="B2734" i="1"/>
  <c r="E2735" i="1"/>
  <c r="B2735" i="1"/>
  <c r="E2736" i="1"/>
  <c r="B2736" i="1"/>
  <c r="E2737" i="1"/>
  <c r="B2737" i="1"/>
  <c r="E2738" i="1"/>
  <c r="B2738" i="1"/>
  <c r="E2739" i="1"/>
  <c r="B2739" i="1"/>
  <c r="E2740" i="1"/>
  <c r="B2740" i="1"/>
  <c r="E2741" i="1"/>
  <c r="B2741" i="1"/>
  <c r="E2742" i="1"/>
  <c r="B2742" i="1"/>
  <c r="E2743" i="1"/>
  <c r="B2743" i="1"/>
  <c r="E2744" i="1"/>
  <c r="B2744" i="1"/>
  <c r="E2745" i="1"/>
  <c r="B2745" i="1"/>
  <c r="E2746" i="1"/>
  <c r="B2746" i="1"/>
  <c r="E2747" i="1"/>
  <c r="B2747" i="1"/>
  <c r="E2748" i="1"/>
  <c r="B2748" i="1"/>
  <c r="E2749" i="1"/>
  <c r="B2749" i="1"/>
  <c r="E2750" i="1"/>
  <c r="B2750" i="1"/>
  <c r="E2751" i="1"/>
  <c r="B2751" i="1"/>
  <c r="E2752" i="1"/>
  <c r="B2752" i="1"/>
  <c r="E2753" i="1"/>
  <c r="B2753" i="1"/>
  <c r="E2754" i="1"/>
  <c r="B2754" i="1"/>
  <c r="E2755" i="1"/>
  <c r="B2755" i="1"/>
  <c r="E2756" i="1"/>
  <c r="B2756" i="1"/>
  <c r="E2757" i="1"/>
  <c r="B2757" i="1"/>
  <c r="E2758" i="1"/>
  <c r="B2758" i="1"/>
  <c r="E2759" i="1"/>
  <c r="B2759" i="1"/>
  <c r="E2760" i="1"/>
  <c r="B2760" i="1"/>
  <c r="E2761" i="1"/>
  <c r="B2761" i="1"/>
  <c r="E2762" i="1"/>
  <c r="B2762" i="1"/>
  <c r="E2763" i="1"/>
  <c r="B2763" i="1"/>
  <c r="E2764" i="1"/>
  <c r="B2764" i="1"/>
  <c r="E2765" i="1"/>
  <c r="B2765" i="1"/>
  <c r="E2766" i="1"/>
  <c r="B2766" i="1"/>
  <c r="E2767" i="1"/>
  <c r="B2767" i="1"/>
  <c r="E2768" i="1"/>
  <c r="B2768" i="1"/>
  <c r="E2769" i="1"/>
  <c r="B2769" i="1"/>
  <c r="E2770" i="1"/>
  <c r="B2770" i="1"/>
  <c r="E2771" i="1"/>
  <c r="B2771" i="1"/>
  <c r="E2772" i="1"/>
  <c r="B2772" i="1"/>
  <c r="E2773" i="1"/>
  <c r="B2773" i="1"/>
  <c r="E2774" i="1"/>
  <c r="B2774" i="1"/>
  <c r="E2775" i="1"/>
  <c r="B2775" i="1"/>
  <c r="E2776" i="1"/>
  <c r="B2776" i="1"/>
  <c r="E2777" i="1"/>
  <c r="B2777" i="1"/>
  <c r="E2778" i="1"/>
  <c r="B2778" i="1"/>
  <c r="E2779" i="1"/>
  <c r="B2779" i="1"/>
  <c r="E2780" i="1"/>
  <c r="B2780" i="1"/>
  <c r="E2781" i="1"/>
  <c r="B2781" i="1"/>
  <c r="E2782" i="1"/>
  <c r="B2782" i="1"/>
  <c r="E2783" i="1"/>
  <c r="B2783" i="1"/>
  <c r="E2784" i="1"/>
  <c r="B2784" i="1"/>
  <c r="E2785" i="1"/>
  <c r="B2785" i="1"/>
  <c r="E2786" i="1"/>
  <c r="B2786" i="1"/>
  <c r="E2787" i="1"/>
  <c r="B2787" i="1"/>
  <c r="E2788" i="1"/>
  <c r="B2788" i="1"/>
  <c r="E2789" i="1"/>
  <c r="B2789" i="1"/>
  <c r="E2790" i="1"/>
  <c r="B2790" i="1"/>
  <c r="E2791" i="1"/>
  <c r="B2791" i="1"/>
  <c r="E2792" i="1"/>
  <c r="B2792" i="1"/>
  <c r="E2793" i="1"/>
  <c r="B2793" i="1"/>
  <c r="E2794" i="1"/>
  <c r="B2794" i="1"/>
  <c r="E2795" i="1"/>
  <c r="B2795" i="1"/>
  <c r="E2796" i="1"/>
  <c r="B2796" i="1"/>
  <c r="E2797" i="1"/>
  <c r="B2797" i="1"/>
  <c r="E2798" i="1"/>
  <c r="B2798" i="1"/>
  <c r="E2799" i="1"/>
  <c r="B2799" i="1"/>
  <c r="E2800" i="1"/>
  <c r="B2800" i="1"/>
  <c r="E2801" i="1"/>
  <c r="B2801" i="1"/>
  <c r="E2802" i="1"/>
  <c r="B2802" i="1"/>
  <c r="E2803" i="1"/>
  <c r="B2803" i="1"/>
  <c r="E2804" i="1"/>
  <c r="B2804" i="1"/>
  <c r="E2805" i="1"/>
  <c r="B2805" i="1"/>
  <c r="E2806" i="1"/>
  <c r="B2806" i="1"/>
  <c r="E2807" i="1"/>
  <c r="B2807" i="1"/>
  <c r="E2808" i="1"/>
  <c r="B2808" i="1"/>
  <c r="E2809" i="1"/>
  <c r="B2809" i="1"/>
  <c r="E2810" i="1"/>
  <c r="B2810" i="1"/>
  <c r="E2811" i="1"/>
  <c r="B2811" i="1"/>
  <c r="E2812" i="1"/>
  <c r="B2812" i="1"/>
  <c r="E2813" i="1"/>
  <c r="B2813" i="1"/>
  <c r="E2814" i="1"/>
  <c r="B2814" i="1"/>
  <c r="E2815" i="1"/>
  <c r="B2815" i="1"/>
  <c r="E2816" i="1"/>
  <c r="B2816" i="1"/>
  <c r="E2817" i="1"/>
  <c r="B2817" i="1"/>
  <c r="E2818" i="1"/>
  <c r="B2818" i="1"/>
  <c r="E2819" i="1"/>
  <c r="B2819" i="1"/>
  <c r="E2820" i="1"/>
  <c r="B2820" i="1"/>
  <c r="E2821" i="1"/>
  <c r="B2821" i="1"/>
  <c r="E2822" i="1"/>
  <c r="B2822" i="1"/>
  <c r="E2823" i="1"/>
  <c r="B2823" i="1"/>
  <c r="E2824" i="1"/>
  <c r="B2824" i="1"/>
  <c r="E2825" i="1"/>
  <c r="B2825" i="1"/>
  <c r="E2826" i="1"/>
  <c r="B2826" i="1"/>
  <c r="E2827" i="1"/>
  <c r="B2827" i="1"/>
  <c r="E2828" i="1"/>
  <c r="B2828" i="1"/>
  <c r="E2829" i="1"/>
  <c r="B2829" i="1"/>
  <c r="E2830" i="1"/>
  <c r="B2830" i="1"/>
  <c r="E2831" i="1"/>
  <c r="B2831" i="1"/>
  <c r="E2832" i="1"/>
  <c r="B2832" i="1"/>
  <c r="E2833" i="1"/>
  <c r="B2833" i="1"/>
  <c r="E2834" i="1"/>
  <c r="B2834" i="1"/>
  <c r="E2835" i="1"/>
  <c r="B2835" i="1"/>
  <c r="E2836" i="1"/>
  <c r="B2836" i="1"/>
  <c r="E2837" i="1"/>
  <c r="B2837" i="1"/>
  <c r="E2838" i="1"/>
  <c r="B2838" i="1"/>
  <c r="E2839" i="1"/>
  <c r="B2839" i="1"/>
  <c r="E2840" i="1"/>
  <c r="B2840" i="1"/>
  <c r="E2841" i="1"/>
  <c r="B2841" i="1"/>
  <c r="E2842" i="1"/>
  <c r="B2842" i="1"/>
  <c r="E2843" i="1"/>
  <c r="B2843" i="1"/>
  <c r="E2844" i="1"/>
  <c r="B2844" i="1"/>
  <c r="E2845" i="1"/>
  <c r="B2845" i="1"/>
  <c r="E2846" i="1"/>
  <c r="B2846" i="1"/>
  <c r="E2847" i="1"/>
  <c r="B2847" i="1"/>
  <c r="E2848" i="1"/>
  <c r="B2848" i="1"/>
  <c r="E2849" i="1"/>
  <c r="B2849" i="1"/>
  <c r="E2850" i="1"/>
  <c r="B2850" i="1"/>
  <c r="E2851" i="1"/>
  <c r="B2851" i="1"/>
  <c r="E2852" i="1"/>
  <c r="B2852" i="1"/>
  <c r="E2853" i="1"/>
  <c r="B2853" i="1"/>
  <c r="E2854" i="1"/>
  <c r="B2854" i="1"/>
  <c r="E2855" i="1"/>
  <c r="B2855" i="1"/>
  <c r="E2856" i="1"/>
  <c r="B2856" i="1"/>
  <c r="E2857" i="1"/>
  <c r="B2857" i="1"/>
  <c r="E2858" i="1"/>
  <c r="B2858" i="1"/>
  <c r="E2859" i="1"/>
  <c r="B2859" i="1"/>
  <c r="E2860" i="1"/>
  <c r="B2860" i="1"/>
  <c r="E2861" i="1"/>
  <c r="B2861" i="1"/>
  <c r="E2862" i="1"/>
  <c r="B2862" i="1"/>
  <c r="E2863" i="1"/>
  <c r="B2863" i="1"/>
  <c r="E2864" i="1"/>
  <c r="B2864" i="1"/>
  <c r="E2865" i="1"/>
  <c r="B2865" i="1"/>
  <c r="E2866" i="1"/>
  <c r="B2866" i="1"/>
  <c r="E2867" i="1"/>
  <c r="B2867" i="1"/>
  <c r="E2868" i="1"/>
  <c r="B2868" i="1"/>
  <c r="E2869" i="1"/>
  <c r="B2869" i="1"/>
  <c r="E2870" i="1"/>
  <c r="B2870" i="1"/>
  <c r="E2871" i="1"/>
  <c r="B2871" i="1"/>
  <c r="E2872" i="1"/>
  <c r="B2872" i="1"/>
  <c r="E2873" i="1"/>
  <c r="B2873" i="1"/>
  <c r="E2874" i="1"/>
  <c r="B2874" i="1"/>
  <c r="E2875" i="1"/>
  <c r="B2875" i="1"/>
  <c r="E2876" i="1"/>
  <c r="B2876" i="1"/>
  <c r="E2877" i="1"/>
  <c r="B2877" i="1"/>
  <c r="E2878" i="1"/>
  <c r="B2878" i="1"/>
  <c r="E2879" i="1"/>
  <c r="B2879" i="1"/>
  <c r="E2880" i="1"/>
  <c r="B2880" i="1"/>
  <c r="E2881" i="1"/>
  <c r="B2881" i="1"/>
  <c r="E2882" i="1"/>
  <c r="B2882" i="1"/>
  <c r="E2883" i="1"/>
  <c r="B2883" i="1"/>
  <c r="E2884" i="1"/>
  <c r="B2884" i="1"/>
  <c r="E2885" i="1"/>
  <c r="B2885" i="1"/>
  <c r="E2886" i="1"/>
  <c r="B2886" i="1"/>
  <c r="E2887" i="1"/>
  <c r="B2887" i="1"/>
  <c r="E2888" i="1"/>
  <c r="B2888" i="1"/>
  <c r="E2889" i="1"/>
  <c r="B2889" i="1"/>
  <c r="E2890" i="1"/>
  <c r="B2890" i="1"/>
  <c r="E2891" i="1"/>
  <c r="B2891" i="1"/>
  <c r="E2892" i="1"/>
  <c r="B2892" i="1"/>
  <c r="E2893" i="1"/>
  <c r="B2893" i="1"/>
  <c r="E2894" i="1"/>
  <c r="B2894" i="1"/>
  <c r="E2895" i="1"/>
  <c r="B2895" i="1"/>
  <c r="E2896" i="1"/>
  <c r="B2896" i="1"/>
  <c r="E2897" i="1"/>
  <c r="B2897" i="1"/>
  <c r="E2898" i="1"/>
  <c r="B2898" i="1"/>
  <c r="E2899" i="1"/>
  <c r="B2899" i="1"/>
  <c r="E2900" i="1"/>
  <c r="B2900" i="1"/>
  <c r="E2901" i="1"/>
  <c r="B2901" i="1"/>
  <c r="E2902" i="1"/>
  <c r="B2902" i="1"/>
  <c r="E2903" i="1"/>
  <c r="B2903" i="1"/>
  <c r="E2904" i="1"/>
  <c r="B2904" i="1"/>
  <c r="E2905" i="1"/>
  <c r="B2905" i="1"/>
  <c r="E2906" i="1"/>
  <c r="B2906" i="1"/>
  <c r="E2907" i="1"/>
  <c r="B2907" i="1"/>
  <c r="E2908" i="1"/>
  <c r="B2908" i="1"/>
  <c r="E2909" i="1"/>
  <c r="B2909" i="1"/>
  <c r="E2910" i="1"/>
  <c r="B2910" i="1"/>
  <c r="E2911" i="1"/>
  <c r="B2911" i="1"/>
  <c r="E2912" i="1"/>
  <c r="B2912" i="1"/>
  <c r="E2913" i="1"/>
  <c r="B2913" i="1"/>
  <c r="E2914" i="1"/>
  <c r="B2914" i="1"/>
  <c r="E2915" i="1"/>
  <c r="B2915" i="1"/>
  <c r="E2916" i="1"/>
  <c r="B2916" i="1"/>
  <c r="E2917" i="1"/>
  <c r="B2917" i="1"/>
  <c r="E2918" i="1"/>
  <c r="B2918" i="1"/>
  <c r="E2919" i="1"/>
  <c r="B2919" i="1"/>
  <c r="E2920" i="1"/>
  <c r="B2920" i="1"/>
  <c r="E2921" i="1"/>
  <c r="B2921" i="1"/>
  <c r="E2922" i="1"/>
  <c r="B2922" i="1"/>
  <c r="E2923" i="1"/>
  <c r="B2923" i="1"/>
  <c r="E2924" i="1"/>
  <c r="B2924" i="1"/>
  <c r="E2925" i="1"/>
  <c r="B2925" i="1"/>
  <c r="E2926" i="1"/>
  <c r="B2926" i="1"/>
  <c r="E2927" i="1"/>
  <c r="B2927" i="1"/>
  <c r="E2928" i="1"/>
  <c r="B2928" i="1"/>
  <c r="E2929" i="1"/>
  <c r="B2929" i="1"/>
  <c r="E2930" i="1"/>
  <c r="B2930" i="1"/>
  <c r="E2931" i="1"/>
  <c r="B2931" i="1"/>
  <c r="E2932" i="1"/>
  <c r="B2932" i="1"/>
  <c r="E2933" i="1"/>
  <c r="B2933" i="1"/>
  <c r="E2934" i="1"/>
  <c r="B2934" i="1"/>
  <c r="E2935" i="1"/>
  <c r="B2935" i="1"/>
  <c r="E2936" i="1"/>
  <c r="B2936" i="1"/>
  <c r="E2937" i="1"/>
  <c r="B2937" i="1"/>
  <c r="E2938" i="1"/>
  <c r="B2938" i="1"/>
  <c r="E2939" i="1"/>
  <c r="B2939" i="1"/>
  <c r="E2940" i="1"/>
  <c r="B2940" i="1"/>
  <c r="E2941" i="1"/>
  <c r="B2941" i="1"/>
  <c r="E2942" i="1"/>
  <c r="B2942" i="1"/>
  <c r="E2943" i="1"/>
  <c r="B2943" i="1"/>
  <c r="E2944" i="1"/>
  <c r="B2944" i="1"/>
  <c r="E2945" i="1"/>
  <c r="B2945" i="1"/>
  <c r="E2946" i="1"/>
  <c r="B2946" i="1"/>
  <c r="E2947" i="1"/>
  <c r="B2947" i="1"/>
  <c r="E2948" i="1"/>
  <c r="B2948" i="1"/>
  <c r="E2950" i="1"/>
  <c r="B2950" i="1"/>
  <c r="E2949" i="1"/>
  <c r="B2949" i="1"/>
  <c r="E2951" i="1"/>
  <c r="B2951" i="1"/>
  <c r="E2952" i="1"/>
  <c r="B2952" i="1"/>
  <c r="E2953" i="1"/>
  <c r="B2953" i="1"/>
  <c r="E2954" i="1"/>
  <c r="B2954" i="1"/>
  <c r="E2955" i="1"/>
  <c r="B2955" i="1"/>
  <c r="E2956" i="1"/>
  <c r="B2956" i="1"/>
  <c r="E2957" i="1"/>
  <c r="B2957" i="1"/>
  <c r="E2958" i="1"/>
  <c r="B2958" i="1"/>
  <c r="E2959" i="1"/>
  <c r="B2959" i="1"/>
  <c r="E2960" i="1"/>
  <c r="B2960" i="1"/>
  <c r="E2961" i="1"/>
  <c r="B2961" i="1"/>
  <c r="E2962" i="1"/>
  <c r="B2962" i="1"/>
  <c r="E2963" i="1"/>
  <c r="B2963" i="1"/>
  <c r="E2964" i="1"/>
  <c r="B2964" i="1"/>
  <c r="E2965" i="1"/>
  <c r="B2965" i="1"/>
  <c r="E2966" i="1"/>
  <c r="B2966" i="1"/>
  <c r="E2967" i="1"/>
  <c r="B2967" i="1"/>
  <c r="E2968" i="1"/>
  <c r="B2968" i="1"/>
  <c r="E2969" i="1"/>
  <c r="B2969" i="1"/>
  <c r="E2970" i="1"/>
  <c r="B2970" i="1"/>
  <c r="E2971" i="1"/>
  <c r="B2971" i="1"/>
  <c r="E2972" i="1"/>
  <c r="B2972" i="1"/>
  <c r="E2973" i="1"/>
  <c r="B2973" i="1"/>
  <c r="E2974" i="1"/>
  <c r="B2974" i="1"/>
  <c r="E2975" i="1"/>
  <c r="B2975" i="1"/>
  <c r="E2976" i="1"/>
  <c r="B2976" i="1"/>
  <c r="E2977" i="1"/>
  <c r="B2977" i="1"/>
  <c r="E2978" i="1"/>
  <c r="B2978" i="1"/>
  <c r="E2979" i="1"/>
  <c r="B2979" i="1"/>
  <c r="E2980" i="1"/>
  <c r="B2980" i="1"/>
  <c r="E2981" i="1"/>
  <c r="B2981" i="1"/>
  <c r="E2982" i="1"/>
  <c r="B2982" i="1"/>
  <c r="E2984" i="1"/>
  <c r="B2984" i="1"/>
  <c r="E2983" i="1"/>
  <c r="B2983" i="1"/>
  <c r="E2985" i="1"/>
  <c r="B2985" i="1"/>
  <c r="E2986" i="1"/>
  <c r="B2986" i="1"/>
  <c r="E2987" i="1"/>
  <c r="B2987" i="1"/>
  <c r="E2988" i="1"/>
  <c r="B2988" i="1"/>
  <c r="E2989" i="1"/>
  <c r="B2989" i="1"/>
  <c r="E2990" i="1"/>
  <c r="B2990" i="1"/>
  <c r="E2991" i="1"/>
  <c r="B2991" i="1"/>
  <c r="E2992" i="1"/>
  <c r="B2992" i="1"/>
  <c r="E2993" i="1"/>
  <c r="B2993" i="1"/>
  <c r="E2994" i="1"/>
  <c r="B2994" i="1"/>
  <c r="E2995" i="1"/>
  <c r="B2995" i="1"/>
  <c r="E2996" i="1"/>
  <c r="B2996" i="1"/>
  <c r="E2997" i="1"/>
  <c r="B2997" i="1"/>
  <c r="E2998" i="1"/>
  <c r="B2998" i="1"/>
  <c r="E2999" i="1"/>
  <c r="B2999" i="1"/>
  <c r="E3000" i="1"/>
  <c r="B3000" i="1"/>
  <c r="E3001" i="1"/>
  <c r="B3001" i="1"/>
  <c r="E3002" i="1"/>
  <c r="B3002" i="1"/>
  <c r="E3003" i="1"/>
  <c r="B3003" i="1"/>
  <c r="E3004" i="1"/>
  <c r="B3004" i="1"/>
  <c r="E3005" i="1"/>
  <c r="B3005" i="1"/>
  <c r="E3006" i="1"/>
  <c r="B3006" i="1"/>
  <c r="E3007" i="1"/>
  <c r="B3007" i="1"/>
  <c r="E3008" i="1"/>
  <c r="B3008" i="1"/>
  <c r="E3009" i="1"/>
  <c r="B3009" i="1"/>
  <c r="E3010" i="1"/>
  <c r="B3010" i="1"/>
  <c r="E3011" i="1"/>
  <c r="B3011" i="1"/>
  <c r="E3012" i="1"/>
  <c r="B3012" i="1"/>
  <c r="E3013" i="1"/>
  <c r="B3013" i="1"/>
  <c r="E3014" i="1"/>
  <c r="B3014" i="1"/>
  <c r="E3015" i="1"/>
  <c r="B3015" i="1"/>
  <c r="E3016" i="1"/>
  <c r="B3016" i="1"/>
  <c r="E3017" i="1"/>
  <c r="B3017" i="1"/>
  <c r="E3018" i="1"/>
  <c r="B3018" i="1"/>
  <c r="E3019" i="1"/>
  <c r="B3019" i="1"/>
  <c r="E3020" i="1"/>
  <c r="B3020" i="1"/>
  <c r="E3021" i="1"/>
  <c r="B3021" i="1"/>
  <c r="E3022" i="1"/>
  <c r="B3022" i="1"/>
  <c r="E3023" i="1"/>
  <c r="B3023" i="1"/>
  <c r="E3024" i="1"/>
  <c r="B3024" i="1"/>
  <c r="E3025" i="1"/>
  <c r="B3025" i="1"/>
  <c r="E3026" i="1"/>
  <c r="B3026" i="1"/>
  <c r="E3027" i="1"/>
  <c r="B3027" i="1"/>
  <c r="E3028" i="1"/>
  <c r="B3028" i="1"/>
  <c r="E3029" i="1"/>
  <c r="B3029" i="1"/>
  <c r="E3030" i="1"/>
  <c r="B3030" i="1"/>
  <c r="E3031" i="1"/>
  <c r="B3031" i="1"/>
  <c r="E3032" i="1"/>
  <c r="B3032" i="1"/>
  <c r="E3033" i="1"/>
  <c r="B3033" i="1"/>
  <c r="E3034" i="1"/>
  <c r="B3034" i="1"/>
  <c r="E3035" i="1"/>
  <c r="B3035" i="1"/>
  <c r="E3036" i="1"/>
  <c r="B3036" i="1"/>
  <c r="E3037" i="1"/>
  <c r="B3037" i="1"/>
  <c r="E3038" i="1"/>
  <c r="B3038" i="1"/>
  <c r="E3039" i="1"/>
  <c r="B3039" i="1"/>
  <c r="E3040" i="1"/>
  <c r="B3040" i="1"/>
  <c r="E3041" i="1"/>
  <c r="B3041" i="1"/>
  <c r="E3042" i="1"/>
  <c r="B3042" i="1"/>
  <c r="E3043" i="1"/>
  <c r="B3043" i="1"/>
  <c r="E3044" i="1"/>
  <c r="B3044" i="1"/>
  <c r="E3045" i="1"/>
  <c r="B3045" i="1"/>
  <c r="E3046" i="1"/>
  <c r="B3046" i="1"/>
  <c r="E3047" i="1"/>
  <c r="B3047" i="1"/>
  <c r="E3048" i="1"/>
  <c r="B3048" i="1"/>
  <c r="E3049" i="1"/>
  <c r="B3049" i="1"/>
  <c r="E3050" i="1"/>
  <c r="B3050" i="1"/>
  <c r="E3051" i="1"/>
  <c r="B3051" i="1"/>
  <c r="E3052" i="1"/>
  <c r="B3052" i="1"/>
  <c r="E3053" i="1"/>
  <c r="B3053" i="1"/>
  <c r="E3054" i="1"/>
  <c r="B3054" i="1"/>
  <c r="E3055" i="1"/>
  <c r="B3055" i="1"/>
  <c r="E3056" i="1"/>
  <c r="B3056" i="1"/>
  <c r="E3057" i="1"/>
  <c r="B3057" i="1"/>
  <c r="E3058" i="1"/>
  <c r="B3058" i="1"/>
  <c r="E3059" i="1"/>
  <c r="B3059" i="1"/>
  <c r="E3060" i="1"/>
  <c r="B3060" i="1"/>
  <c r="E3061" i="1"/>
  <c r="B3061" i="1"/>
  <c r="E3062" i="1"/>
  <c r="B3062" i="1"/>
  <c r="E3063" i="1"/>
  <c r="B3063" i="1"/>
  <c r="E3064" i="1"/>
  <c r="B3064" i="1"/>
  <c r="E3065" i="1"/>
  <c r="B3065" i="1"/>
  <c r="E3066" i="1"/>
  <c r="B3066" i="1"/>
  <c r="E3067" i="1"/>
  <c r="B3067" i="1"/>
  <c r="E3068" i="1"/>
  <c r="B3068" i="1"/>
  <c r="E3069" i="1"/>
  <c r="B3069" i="1"/>
  <c r="E3070" i="1"/>
  <c r="B3070" i="1"/>
  <c r="E3071" i="1"/>
  <c r="B3071" i="1"/>
  <c r="E3072" i="1"/>
  <c r="B3072" i="1"/>
  <c r="E3073" i="1"/>
  <c r="B3073" i="1"/>
  <c r="E3074" i="1"/>
  <c r="B3074" i="1"/>
  <c r="E3075" i="1"/>
  <c r="B3075" i="1"/>
  <c r="E3076" i="1"/>
  <c r="B3076" i="1"/>
  <c r="E3077" i="1"/>
  <c r="B3077" i="1"/>
  <c r="E3078" i="1"/>
  <c r="B3078" i="1"/>
  <c r="E3079" i="1"/>
  <c r="B3079" i="1"/>
  <c r="E3080" i="1"/>
  <c r="B3080" i="1"/>
  <c r="E3081" i="1"/>
  <c r="B3081" i="1"/>
  <c r="E3082" i="1"/>
  <c r="B3082" i="1"/>
  <c r="E3083" i="1"/>
  <c r="B3083" i="1"/>
  <c r="E3084" i="1"/>
  <c r="B3084" i="1"/>
  <c r="E3085" i="1"/>
  <c r="B3085" i="1"/>
  <c r="E3086" i="1"/>
  <c r="B3086" i="1"/>
  <c r="E3087" i="1"/>
  <c r="B3087" i="1"/>
  <c r="E3088" i="1"/>
  <c r="B3088" i="1"/>
  <c r="E3089" i="1"/>
  <c r="B3089" i="1"/>
  <c r="E3090" i="1"/>
  <c r="B3090" i="1"/>
  <c r="E3091" i="1"/>
  <c r="B3091" i="1"/>
  <c r="E3092" i="1"/>
  <c r="B3092" i="1"/>
  <c r="E3093" i="1"/>
  <c r="B3093" i="1"/>
  <c r="E3094" i="1"/>
  <c r="B3094" i="1"/>
  <c r="E3095" i="1"/>
  <c r="B3095" i="1"/>
  <c r="E3096" i="1"/>
  <c r="B3096" i="1"/>
  <c r="E3097" i="1"/>
  <c r="B3097" i="1"/>
  <c r="E3098" i="1"/>
  <c r="B3098" i="1"/>
  <c r="E3099" i="1"/>
  <c r="B3099" i="1"/>
  <c r="E3100" i="1"/>
  <c r="B3100" i="1"/>
  <c r="E3101" i="1"/>
  <c r="B3101" i="1"/>
  <c r="E3102" i="1"/>
  <c r="B3102" i="1"/>
  <c r="E3103" i="1"/>
  <c r="B3103" i="1"/>
  <c r="E3104" i="1"/>
  <c r="B3104" i="1"/>
  <c r="E3105" i="1"/>
  <c r="B3105" i="1"/>
  <c r="E3106" i="1"/>
  <c r="B3106" i="1"/>
  <c r="E3107" i="1"/>
  <c r="B3107" i="1"/>
  <c r="E3108" i="1"/>
  <c r="B3108" i="1"/>
  <c r="E3109" i="1"/>
  <c r="B3109" i="1"/>
  <c r="E3110" i="1"/>
  <c r="B3110" i="1"/>
  <c r="E3111" i="1"/>
  <c r="B3111" i="1"/>
  <c r="E3112" i="1"/>
  <c r="B3112" i="1"/>
  <c r="E3113" i="1"/>
  <c r="B3113" i="1"/>
  <c r="E3114" i="1"/>
  <c r="B3114" i="1"/>
  <c r="E3115" i="1"/>
  <c r="B3115" i="1"/>
  <c r="E3116" i="1"/>
  <c r="B3116" i="1"/>
  <c r="E3117" i="1"/>
  <c r="B3117" i="1"/>
  <c r="E3118" i="1"/>
  <c r="B3118" i="1"/>
  <c r="E3119" i="1"/>
  <c r="B3119" i="1"/>
  <c r="E3120" i="1"/>
  <c r="B3120" i="1"/>
  <c r="E3121" i="1"/>
  <c r="B3121" i="1"/>
  <c r="E3122" i="1"/>
  <c r="B3122" i="1"/>
  <c r="E3123" i="1"/>
  <c r="B3123" i="1"/>
  <c r="E3124" i="1"/>
  <c r="B3124" i="1"/>
  <c r="E3125" i="1"/>
  <c r="B3125" i="1"/>
  <c r="E3126" i="1"/>
  <c r="B3126" i="1"/>
  <c r="E3127" i="1"/>
  <c r="B3127" i="1"/>
  <c r="E3128" i="1"/>
  <c r="B3128" i="1"/>
  <c r="E3129" i="1"/>
  <c r="B3129" i="1"/>
  <c r="E3130" i="1"/>
  <c r="B3130" i="1"/>
  <c r="E3131" i="1"/>
  <c r="B3131" i="1"/>
  <c r="E3132" i="1"/>
  <c r="B3132" i="1"/>
  <c r="E3133" i="1"/>
  <c r="B3133" i="1"/>
  <c r="E3134" i="1"/>
  <c r="B3134" i="1"/>
  <c r="E3135" i="1"/>
  <c r="B3135" i="1"/>
  <c r="E3136" i="1"/>
  <c r="B3136" i="1"/>
  <c r="E3137" i="1"/>
  <c r="B3137" i="1"/>
  <c r="E3138" i="1"/>
  <c r="B3138" i="1"/>
  <c r="E3139" i="1"/>
  <c r="B3139" i="1"/>
  <c r="E3140" i="1"/>
  <c r="B3140" i="1"/>
  <c r="E3141" i="1"/>
  <c r="B3141" i="1"/>
  <c r="E3142" i="1"/>
  <c r="B3142" i="1"/>
  <c r="E3143" i="1"/>
  <c r="B3143" i="1"/>
  <c r="E3144" i="1"/>
  <c r="B3144" i="1"/>
  <c r="E3145" i="1"/>
  <c r="B3145" i="1"/>
  <c r="E3146" i="1"/>
  <c r="B3146" i="1"/>
  <c r="E3147" i="1"/>
  <c r="B3147" i="1"/>
  <c r="E3148" i="1"/>
  <c r="B3148" i="1"/>
  <c r="E3149" i="1"/>
  <c r="B3149" i="1"/>
  <c r="E3150" i="1"/>
  <c r="B3150" i="1"/>
  <c r="E3151" i="1"/>
  <c r="B3151" i="1"/>
  <c r="E3152" i="1"/>
  <c r="B3152" i="1"/>
  <c r="E3153" i="1"/>
  <c r="B3153" i="1"/>
  <c r="E3154" i="1"/>
  <c r="B3154" i="1"/>
  <c r="E3155" i="1"/>
  <c r="B3155" i="1"/>
  <c r="E3156" i="1"/>
  <c r="B3156" i="1"/>
  <c r="E3157" i="1"/>
  <c r="B3157" i="1"/>
  <c r="E3158" i="1"/>
  <c r="B3158" i="1"/>
  <c r="E3159" i="1"/>
  <c r="B3159" i="1"/>
  <c r="E3160" i="1"/>
  <c r="B3160" i="1"/>
  <c r="E3161" i="1"/>
  <c r="B3161" i="1"/>
  <c r="E3163" i="1"/>
  <c r="B3163" i="1"/>
  <c r="E3162" i="1"/>
  <c r="B3162" i="1"/>
  <c r="E3164" i="1"/>
  <c r="B3164" i="1"/>
  <c r="E3165" i="1"/>
  <c r="B3165" i="1"/>
  <c r="E3166" i="1"/>
  <c r="B3166" i="1"/>
  <c r="E3167" i="1"/>
  <c r="B3167" i="1"/>
  <c r="E3168" i="1"/>
  <c r="B3168" i="1"/>
  <c r="E3169" i="1"/>
  <c r="B3169" i="1"/>
  <c r="E3170" i="1"/>
  <c r="B3170" i="1"/>
  <c r="E3171" i="1"/>
  <c r="B3171" i="1"/>
  <c r="E3172" i="1"/>
  <c r="B3172" i="1"/>
  <c r="E3173" i="1"/>
  <c r="B3173" i="1"/>
  <c r="E3174" i="1"/>
  <c r="B3174" i="1"/>
  <c r="E3175" i="1"/>
  <c r="B3175" i="1"/>
  <c r="E3176" i="1"/>
  <c r="B3176" i="1"/>
  <c r="E3177" i="1"/>
  <c r="B3177" i="1"/>
  <c r="E3178" i="1"/>
  <c r="B3178" i="1"/>
  <c r="E3179" i="1"/>
  <c r="B3179" i="1"/>
  <c r="E3180" i="1"/>
  <c r="B3180" i="1"/>
  <c r="E3181" i="1"/>
  <c r="B3181" i="1"/>
  <c r="E3182" i="1"/>
  <c r="B3182" i="1"/>
  <c r="E3183" i="1"/>
  <c r="B3183" i="1"/>
  <c r="E3184" i="1"/>
  <c r="B3184" i="1"/>
  <c r="E3185" i="1"/>
  <c r="B3185" i="1"/>
  <c r="E3186" i="1"/>
  <c r="B3186" i="1"/>
  <c r="E3187" i="1"/>
  <c r="B3187" i="1"/>
  <c r="E3188" i="1"/>
  <c r="B3188" i="1"/>
  <c r="E3189" i="1"/>
  <c r="B3189" i="1"/>
  <c r="E3190" i="1"/>
  <c r="B3190" i="1"/>
  <c r="E3191" i="1"/>
  <c r="B3191" i="1"/>
  <c r="E3192" i="1"/>
  <c r="B3192" i="1"/>
  <c r="E3193" i="1"/>
  <c r="B3193" i="1"/>
  <c r="E3194" i="1"/>
  <c r="B3194" i="1"/>
  <c r="E3195" i="1"/>
  <c r="B3195" i="1"/>
  <c r="E3196" i="1"/>
  <c r="B3196" i="1"/>
  <c r="E3198" i="1"/>
  <c r="B3198" i="1"/>
  <c r="E3197" i="1"/>
  <c r="B3197" i="1"/>
  <c r="E3199" i="1"/>
  <c r="B3199" i="1"/>
  <c r="E3200" i="1"/>
  <c r="B3200" i="1"/>
  <c r="E3201" i="1"/>
  <c r="B3201" i="1"/>
  <c r="E3202" i="1"/>
  <c r="B3202" i="1"/>
  <c r="E3203" i="1"/>
  <c r="B3203" i="1"/>
  <c r="E3204" i="1"/>
  <c r="B3204" i="1"/>
  <c r="E3205" i="1"/>
  <c r="B3205" i="1"/>
  <c r="E3206" i="1"/>
  <c r="B3206" i="1"/>
  <c r="E3207" i="1"/>
  <c r="B3207" i="1"/>
  <c r="E3208" i="1"/>
  <c r="B3208" i="1"/>
  <c r="E3209" i="1"/>
  <c r="B3209" i="1"/>
  <c r="E3210" i="1"/>
  <c r="B3210" i="1"/>
  <c r="E3211" i="1"/>
  <c r="B3211" i="1"/>
  <c r="E3212" i="1"/>
  <c r="B3212" i="1"/>
  <c r="E3213" i="1"/>
  <c r="B3213" i="1"/>
  <c r="E3214" i="1"/>
  <c r="B3214" i="1"/>
  <c r="E3215" i="1"/>
  <c r="B3215" i="1"/>
  <c r="E3216" i="1"/>
  <c r="B3216" i="1"/>
  <c r="E3217" i="1"/>
  <c r="B3217" i="1"/>
  <c r="E3218" i="1"/>
  <c r="B3218" i="1"/>
  <c r="E3219" i="1"/>
  <c r="B3219" i="1"/>
  <c r="E3220" i="1"/>
  <c r="B3220" i="1"/>
  <c r="E3221" i="1"/>
  <c r="B3221" i="1"/>
  <c r="E3222" i="1"/>
  <c r="B3222" i="1"/>
  <c r="E3223" i="1"/>
  <c r="B3223" i="1"/>
  <c r="E3224" i="1"/>
  <c r="B3224" i="1"/>
  <c r="E3225" i="1"/>
  <c r="B3225" i="1"/>
  <c r="E3226" i="1"/>
  <c r="B3226" i="1"/>
  <c r="E3227" i="1"/>
  <c r="B3227" i="1"/>
  <c r="E3228" i="1"/>
  <c r="B3228" i="1"/>
  <c r="E3229" i="1"/>
  <c r="B3229" i="1"/>
  <c r="E3230" i="1"/>
  <c r="B3230" i="1"/>
  <c r="E3231" i="1"/>
  <c r="B3231" i="1"/>
  <c r="E3232" i="1"/>
  <c r="B3232" i="1"/>
  <c r="E3233" i="1"/>
  <c r="B3233" i="1"/>
  <c r="E3234" i="1"/>
  <c r="B3234" i="1"/>
  <c r="E3235" i="1"/>
  <c r="B3235" i="1"/>
  <c r="E3236" i="1"/>
  <c r="B3236" i="1"/>
  <c r="E3237" i="1"/>
  <c r="B3237" i="1"/>
  <c r="E3238" i="1"/>
  <c r="B3238" i="1"/>
  <c r="E3239" i="1"/>
  <c r="B3239" i="1"/>
  <c r="E3240" i="1"/>
  <c r="B3240" i="1"/>
  <c r="E3241" i="1"/>
  <c r="B3241" i="1"/>
  <c r="E3242" i="1"/>
  <c r="B3242" i="1"/>
  <c r="E3243" i="1"/>
  <c r="B3243" i="1"/>
  <c r="E3244" i="1"/>
  <c r="B3244" i="1"/>
  <c r="E3245" i="1"/>
  <c r="B3245" i="1"/>
  <c r="E3246" i="1"/>
  <c r="B3246" i="1"/>
  <c r="E3247" i="1"/>
  <c r="B3247" i="1"/>
  <c r="E3248" i="1"/>
  <c r="B3248" i="1"/>
  <c r="E3249" i="1"/>
  <c r="B3249" i="1"/>
  <c r="E3250" i="1"/>
  <c r="B3250" i="1"/>
  <c r="E3251" i="1"/>
  <c r="B3251" i="1"/>
  <c r="E3252" i="1"/>
  <c r="B3252" i="1"/>
  <c r="E3253" i="1"/>
  <c r="B3253" i="1"/>
  <c r="E3254" i="1"/>
  <c r="B3254" i="1"/>
  <c r="E3255" i="1"/>
  <c r="B3255" i="1"/>
  <c r="E3256" i="1"/>
  <c r="B3256" i="1"/>
  <c r="E3257" i="1"/>
  <c r="B3257" i="1"/>
  <c r="E3258" i="1"/>
  <c r="B3258" i="1"/>
  <c r="E3259" i="1"/>
  <c r="B3259" i="1"/>
  <c r="E3260" i="1"/>
  <c r="B3260" i="1"/>
  <c r="E3261" i="1"/>
  <c r="B3261" i="1"/>
  <c r="E3262" i="1"/>
  <c r="B3262" i="1"/>
  <c r="E3263" i="1"/>
  <c r="B3263" i="1"/>
  <c r="E3264" i="1"/>
  <c r="B3264" i="1"/>
  <c r="E3265" i="1"/>
  <c r="B3265" i="1"/>
  <c r="E3266" i="1"/>
  <c r="B3266" i="1"/>
  <c r="E3267" i="1"/>
  <c r="B3267" i="1"/>
  <c r="E3268" i="1"/>
  <c r="B3268" i="1"/>
  <c r="E3269" i="1"/>
  <c r="B3269" i="1"/>
  <c r="E3270" i="1"/>
  <c r="B3270" i="1"/>
  <c r="E3271" i="1"/>
  <c r="B3271" i="1"/>
  <c r="E3272" i="1"/>
  <c r="B3272" i="1"/>
  <c r="E3273" i="1"/>
  <c r="B3273" i="1"/>
  <c r="E3274" i="1"/>
  <c r="B3274" i="1"/>
  <c r="E3275" i="1"/>
  <c r="B3275" i="1"/>
  <c r="E3276" i="1"/>
  <c r="B3276" i="1"/>
  <c r="E3277" i="1"/>
  <c r="B3277" i="1"/>
  <c r="E3278" i="1"/>
  <c r="B3278" i="1"/>
  <c r="E3279" i="1"/>
  <c r="B3279" i="1"/>
  <c r="E3280" i="1"/>
  <c r="B3280" i="1"/>
  <c r="E3281" i="1"/>
  <c r="B3281" i="1"/>
  <c r="E3282" i="1"/>
  <c r="B3282" i="1"/>
  <c r="E3283" i="1"/>
  <c r="B3283" i="1"/>
  <c r="E3284" i="1"/>
  <c r="B3284" i="1"/>
  <c r="E3285" i="1"/>
  <c r="B3285" i="1"/>
  <c r="E3286" i="1"/>
  <c r="B3286" i="1"/>
  <c r="E3287" i="1"/>
  <c r="B3287" i="1"/>
  <c r="E3288" i="1"/>
  <c r="B3288" i="1"/>
  <c r="E3289" i="1"/>
  <c r="B3289" i="1"/>
  <c r="E3290" i="1"/>
  <c r="B3290" i="1"/>
  <c r="E3291" i="1"/>
  <c r="B3291" i="1"/>
  <c r="E3292" i="1"/>
  <c r="B3292" i="1"/>
  <c r="E3293" i="1"/>
  <c r="B3293" i="1"/>
  <c r="E3294" i="1"/>
  <c r="B3294" i="1"/>
  <c r="E3295" i="1"/>
  <c r="B3295" i="1"/>
  <c r="E3296" i="1"/>
  <c r="B3296" i="1"/>
  <c r="E3297" i="1"/>
  <c r="B3297" i="1"/>
  <c r="E3298" i="1"/>
  <c r="B3298" i="1"/>
  <c r="E3299" i="1"/>
  <c r="B3299" i="1"/>
  <c r="E3300" i="1"/>
  <c r="B3300" i="1"/>
  <c r="E3301" i="1"/>
  <c r="B3301" i="1"/>
  <c r="E3302" i="1"/>
  <c r="B3302" i="1"/>
  <c r="E3303" i="1"/>
  <c r="B3303" i="1"/>
  <c r="E3304" i="1"/>
  <c r="B3304" i="1"/>
  <c r="E3305" i="1"/>
  <c r="B3305" i="1"/>
  <c r="E3306" i="1"/>
  <c r="B3306" i="1"/>
  <c r="E3307" i="1"/>
  <c r="B3307" i="1"/>
  <c r="E3308" i="1"/>
  <c r="B3308" i="1"/>
  <c r="E3309" i="1"/>
  <c r="B3309" i="1"/>
  <c r="E3310" i="1"/>
  <c r="B3310" i="1"/>
  <c r="E3311" i="1"/>
  <c r="B3311" i="1"/>
  <c r="E3312" i="1"/>
  <c r="B3312" i="1"/>
  <c r="E3313" i="1"/>
  <c r="B3313" i="1"/>
  <c r="E3314" i="1"/>
  <c r="B3314" i="1"/>
  <c r="E3315" i="1"/>
  <c r="B3315" i="1"/>
  <c r="E3316" i="1"/>
  <c r="B3316" i="1"/>
  <c r="E3317" i="1"/>
  <c r="B3317" i="1"/>
  <c r="E3318" i="1"/>
  <c r="B3318" i="1"/>
  <c r="E3319" i="1"/>
  <c r="B3319" i="1"/>
  <c r="E3320" i="1"/>
  <c r="B3320" i="1"/>
  <c r="E3321" i="1"/>
  <c r="B3321" i="1"/>
  <c r="E3322" i="1"/>
  <c r="B3322" i="1"/>
  <c r="E3323" i="1"/>
  <c r="B3323" i="1"/>
  <c r="E3324" i="1"/>
  <c r="B3324" i="1"/>
  <c r="E3325" i="1"/>
  <c r="B3325" i="1"/>
  <c r="E3326" i="1"/>
  <c r="B3326" i="1"/>
  <c r="E3327" i="1"/>
  <c r="B3327" i="1"/>
  <c r="E3328" i="1"/>
  <c r="B3328" i="1"/>
  <c r="E3329" i="1"/>
  <c r="B3329" i="1"/>
  <c r="E3330" i="1"/>
  <c r="B3330" i="1"/>
  <c r="E3331" i="1"/>
  <c r="B3331" i="1"/>
  <c r="E3332" i="1"/>
  <c r="B3332" i="1"/>
  <c r="E3333" i="1"/>
  <c r="B3333" i="1"/>
  <c r="E3334" i="1"/>
  <c r="B3334" i="1"/>
  <c r="E3335" i="1"/>
  <c r="B3335" i="1"/>
  <c r="E3336" i="1"/>
  <c r="B3336" i="1"/>
  <c r="E3337" i="1"/>
  <c r="B3337" i="1"/>
  <c r="E3338" i="1"/>
  <c r="B3338" i="1"/>
  <c r="E3339" i="1"/>
  <c r="B3339" i="1"/>
  <c r="E3340" i="1"/>
  <c r="B3340" i="1"/>
  <c r="E3341" i="1"/>
  <c r="B3341" i="1"/>
  <c r="E3342" i="1"/>
  <c r="B3342" i="1"/>
  <c r="E3343" i="1"/>
  <c r="B3343" i="1"/>
  <c r="E3344" i="1"/>
  <c r="B3344" i="1"/>
  <c r="E3345" i="1"/>
  <c r="B3345" i="1"/>
  <c r="E3346" i="1"/>
  <c r="B3346" i="1"/>
  <c r="E3347" i="1"/>
  <c r="B3347" i="1"/>
  <c r="E3348" i="1"/>
  <c r="B3348" i="1"/>
  <c r="E3349" i="1"/>
  <c r="B3349" i="1"/>
  <c r="E3350" i="1"/>
  <c r="B3350" i="1"/>
  <c r="E3351" i="1"/>
  <c r="B3351" i="1"/>
  <c r="E3352" i="1"/>
  <c r="B3352" i="1"/>
  <c r="E3353" i="1"/>
  <c r="B3353" i="1"/>
  <c r="E3354" i="1"/>
  <c r="B3354" i="1"/>
  <c r="E3355" i="1"/>
  <c r="B3355" i="1"/>
  <c r="E3356" i="1"/>
  <c r="B3356" i="1"/>
  <c r="E3357" i="1"/>
  <c r="B3357" i="1"/>
  <c r="E3358" i="1"/>
  <c r="B3358" i="1"/>
  <c r="E3359" i="1"/>
  <c r="B3359" i="1"/>
  <c r="E3360" i="1"/>
  <c r="B3360" i="1"/>
  <c r="E3361" i="1"/>
  <c r="B3361" i="1"/>
  <c r="E3362" i="1"/>
  <c r="B3362" i="1"/>
  <c r="E3363" i="1"/>
  <c r="B3363" i="1"/>
  <c r="E3364" i="1"/>
  <c r="B3364" i="1"/>
  <c r="E3365" i="1"/>
  <c r="B3365" i="1"/>
  <c r="E3366" i="1"/>
  <c r="B3366" i="1"/>
  <c r="E3367" i="1"/>
  <c r="B3367" i="1"/>
  <c r="E3368" i="1"/>
  <c r="B3368" i="1"/>
  <c r="E3369" i="1"/>
  <c r="B3369" i="1"/>
  <c r="E3370" i="1"/>
  <c r="B3370" i="1"/>
  <c r="E3371" i="1"/>
  <c r="B3371" i="1"/>
  <c r="E3372" i="1"/>
  <c r="B3372" i="1"/>
  <c r="E3373" i="1"/>
  <c r="B3373" i="1"/>
  <c r="E3374" i="1"/>
  <c r="B3374" i="1"/>
  <c r="E3375" i="1"/>
  <c r="B3375" i="1"/>
  <c r="E3376" i="1"/>
  <c r="B3376" i="1"/>
  <c r="E3377" i="1"/>
  <c r="B3377" i="1"/>
  <c r="E3378" i="1"/>
  <c r="B3378" i="1"/>
  <c r="E3379" i="1"/>
  <c r="B3379" i="1"/>
  <c r="E3380" i="1"/>
  <c r="B3380" i="1"/>
  <c r="E3381" i="1"/>
  <c r="B3381" i="1"/>
  <c r="E3382" i="1"/>
  <c r="B3382" i="1"/>
  <c r="E3383" i="1"/>
  <c r="B3383" i="1"/>
  <c r="E3384" i="1"/>
  <c r="B3384" i="1"/>
  <c r="E3385" i="1"/>
  <c r="B3385" i="1"/>
  <c r="E3386" i="1"/>
  <c r="B3386" i="1"/>
  <c r="E3387" i="1"/>
  <c r="B3387" i="1"/>
  <c r="E3388" i="1"/>
  <c r="B3388" i="1"/>
  <c r="E3389" i="1"/>
  <c r="B3389" i="1"/>
  <c r="E3390" i="1"/>
  <c r="B3390" i="1"/>
  <c r="E3391" i="1"/>
  <c r="B3391" i="1"/>
  <c r="E3393" i="1"/>
  <c r="B3393" i="1"/>
  <c r="E3392" i="1"/>
  <c r="B3392" i="1"/>
  <c r="E3394" i="1"/>
  <c r="B3394" i="1"/>
  <c r="E3395" i="1"/>
  <c r="B3395" i="1"/>
  <c r="E3396" i="1"/>
  <c r="B3396" i="1"/>
  <c r="E3397" i="1"/>
  <c r="B3397" i="1"/>
  <c r="E3398" i="1"/>
  <c r="B3398" i="1"/>
  <c r="E3399" i="1"/>
  <c r="B3399" i="1"/>
  <c r="E3400" i="1"/>
  <c r="B3400" i="1"/>
  <c r="E3401" i="1"/>
  <c r="B3401" i="1"/>
  <c r="E3403" i="1"/>
  <c r="B3403" i="1"/>
  <c r="E3402" i="1"/>
  <c r="B3402" i="1"/>
  <c r="E3404" i="1"/>
  <c r="B3404" i="1"/>
  <c r="E3405" i="1"/>
  <c r="B3405" i="1"/>
  <c r="E3406" i="1"/>
  <c r="B3406" i="1"/>
  <c r="E3407" i="1"/>
  <c r="B3407" i="1"/>
  <c r="E3408" i="1"/>
  <c r="B3408" i="1"/>
  <c r="E3410" i="1"/>
  <c r="B3410" i="1"/>
  <c r="E3409" i="1"/>
  <c r="B3409" i="1"/>
  <c r="E3411" i="1"/>
  <c r="B3411" i="1"/>
  <c r="E3412" i="1"/>
  <c r="B3412" i="1"/>
  <c r="E3413" i="1"/>
  <c r="B3413" i="1"/>
  <c r="E3414" i="1"/>
  <c r="B3414" i="1"/>
  <c r="E3415" i="1"/>
  <c r="B3415" i="1"/>
  <c r="E3416" i="1"/>
  <c r="B3416" i="1"/>
  <c r="E3417" i="1"/>
  <c r="B3417" i="1"/>
  <c r="E3418" i="1"/>
  <c r="B3418" i="1"/>
  <c r="E3419" i="1"/>
  <c r="B3419" i="1"/>
  <c r="E3420" i="1"/>
  <c r="B3420" i="1"/>
  <c r="E3421" i="1"/>
  <c r="B3421" i="1"/>
  <c r="E3422" i="1"/>
  <c r="B3422" i="1"/>
  <c r="E3423" i="1"/>
  <c r="B3423" i="1"/>
  <c r="E3424" i="1"/>
  <c r="B3424" i="1"/>
  <c r="E3425" i="1"/>
  <c r="B3425" i="1"/>
  <c r="E3426" i="1"/>
  <c r="B3426" i="1"/>
  <c r="E3427" i="1"/>
  <c r="B3427" i="1"/>
  <c r="E3428" i="1"/>
  <c r="B3428" i="1"/>
  <c r="E3429" i="1"/>
  <c r="B3429" i="1"/>
  <c r="E3430" i="1"/>
  <c r="B3430" i="1"/>
  <c r="E3431" i="1"/>
  <c r="B3431" i="1"/>
  <c r="E3432" i="1"/>
  <c r="B3432" i="1"/>
  <c r="E3433" i="1"/>
  <c r="B3433" i="1"/>
  <c r="E3434" i="1"/>
  <c r="B3434" i="1"/>
  <c r="E3435" i="1"/>
  <c r="B3435" i="1"/>
  <c r="E3436" i="1"/>
  <c r="B3436" i="1"/>
  <c r="E3438" i="1"/>
  <c r="B3438" i="1"/>
  <c r="E3437" i="1"/>
  <c r="B3437" i="1"/>
  <c r="E3439" i="1"/>
  <c r="B3439" i="1"/>
  <c r="E3440" i="1"/>
  <c r="B3440" i="1"/>
  <c r="E3441" i="1"/>
  <c r="B3441" i="1"/>
  <c r="E3442" i="1"/>
  <c r="B3442" i="1"/>
  <c r="E3443" i="1"/>
  <c r="B3443" i="1"/>
  <c r="E3444" i="1"/>
  <c r="B3444" i="1"/>
  <c r="E3445" i="1"/>
  <c r="B3445" i="1"/>
  <c r="E3447" i="1"/>
  <c r="B3447" i="1"/>
  <c r="E3446" i="1"/>
  <c r="B3446" i="1"/>
  <c r="E3448" i="1"/>
  <c r="B3448" i="1"/>
  <c r="E3449" i="1"/>
  <c r="B3449" i="1"/>
  <c r="E3450" i="1"/>
  <c r="B3450" i="1"/>
  <c r="E3451" i="1"/>
  <c r="B3451" i="1"/>
  <c r="E3452" i="1"/>
  <c r="B3452" i="1"/>
  <c r="E3453" i="1"/>
  <c r="B3453" i="1"/>
  <c r="E3454" i="1"/>
  <c r="B3454" i="1"/>
  <c r="E3455" i="1"/>
  <c r="B3455" i="1"/>
  <c r="E3456" i="1"/>
  <c r="B3456" i="1"/>
  <c r="E3457" i="1"/>
  <c r="B3457" i="1"/>
  <c r="E3458" i="1"/>
  <c r="B3458" i="1"/>
  <c r="E3459" i="1"/>
  <c r="B3459" i="1"/>
  <c r="E3460" i="1"/>
  <c r="B3460" i="1"/>
  <c r="E3461" i="1"/>
  <c r="B3461" i="1"/>
  <c r="E3462" i="1"/>
  <c r="B3462" i="1"/>
  <c r="E3463" i="1"/>
  <c r="B3463" i="1"/>
  <c r="E3464" i="1"/>
  <c r="B3464" i="1"/>
  <c r="E3465" i="1"/>
  <c r="B3465" i="1"/>
  <c r="E3466" i="1"/>
  <c r="B3466" i="1"/>
  <c r="E3467" i="1"/>
  <c r="B3467" i="1"/>
  <c r="E3468" i="1"/>
  <c r="B3468" i="1"/>
  <c r="E3469" i="1"/>
  <c r="B3469" i="1"/>
  <c r="E3470" i="1"/>
  <c r="B3470" i="1"/>
  <c r="E3471" i="1"/>
  <c r="B3471" i="1"/>
  <c r="E3472" i="1"/>
  <c r="B3472" i="1"/>
  <c r="E3473" i="1"/>
  <c r="B3473" i="1"/>
  <c r="E3474" i="1"/>
  <c r="B3474" i="1"/>
  <c r="E3475" i="1"/>
  <c r="B3475" i="1"/>
  <c r="E3476" i="1"/>
  <c r="B3476" i="1"/>
  <c r="E3478" i="1"/>
  <c r="B3478" i="1"/>
  <c r="E3477" i="1"/>
  <c r="B3477" i="1"/>
  <c r="E3479" i="1"/>
  <c r="B3479" i="1"/>
  <c r="E3480" i="1"/>
  <c r="B3480" i="1"/>
  <c r="E3481" i="1"/>
  <c r="B3481" i="1"/>
  <c r="E3482" i="1"/>
  <c r="B3482" i="1"/>
  <c r="E3483" i="1"/>
  <c r="B3483" i="1"/>
  <c r="E3484" i="1"/>
  <c r="B3484" i="1"/>
  <c r="E3485" i="1"/>
  <c r="B3485" i="1"/>
  <c r="E3486" i="1"/>
  <c r="B3486" i="1"/>
  <c r="E3487" i="1"/>
  <c r="B3487" i="1"/>
  <c r="E3488" i="1"/>
  <c r="B3488" i="1"/>
  <c r="E3489" i="1"/>
  <c r="B3489" i="1"/>
  <c r="E3490" i="1"/>
  <c r="B3490" i="1"/>
  <c r="E3491" i="1"/>
  <c r="B3491" i="1"/>
  <c r="E3492" i="1"/>
  <c r="B3492" i="1"/>
  <c r="E3493" i="1"/>
  <c r="B3493" i="1"/>
  <c r="E3494" i="1"/>
  <c r="B3494" i="1"/>
  <c r="E3495" i="1"/>
  <c r="B3495" i="1"/>
  <c r="E3496" i="1"/>
  <c r="B3496" i="1"/>
  <c r="E3498" i="1"/>
  <c r="B3498" i="1"/>
  <c r="E3497" i="1"/>
  <c r="B3497" i="1"/>
  <c r="E3500" i="1"/>
  <c r="B3500" i="1"/>
  <c r="E3499" i="1"/>
  <c r="B3499" i="1"/>
  <c r="E3501" i="1"/>
  <c r="B3501" i="1"/>
  <c r="E3502" i="1"/>
  <c r="B3502" i="1"/>
  <c r="E3503" i="1"/>
  <c r="B3503" i="1"/>
  <c r="E3504" i="1"/>
  <c r="B3504" i="1"/>
  <c r="E3505" i="1"/>
  <c r="B3505" i="1"/>
  <c r="E3506" i="1"/>
  <c r="B3506" i="1"/>
  <c r="E3507" i="1"/>
  <c r="B3507" i="1"/>
  <c r="E3508" i="1"/>
  <c r="B3508" i="1"/>
  <c r="E3509" i="1"/>
  <c r="B3509" i="1"/>
  <c r="E3510" i="1"/>
  <c r="B3510" i="1"/>
  <c r="E3511" i="1"/>
  <c r="B3511" i="1"/>
  <c r="E3513" i="1"/>
  <c r="B3513" i="1"/>
  <c r="E3512" i="1"/>
  <c r="B3512" i="1"/>
  <c r="E3514" i="1"/>
  <c r="B3514" i="1"/>
  <c r="E3515" i="1"/>
  <c r="B3515" i="1"/>
  <c r="E3516" i="1"/>
  <c r="B3516" i="1"/>
  <c r="E3517" i="1"/>
  <c r="B3517" i="1"/>
  <c r="E3518" i="1"/>
  <c r="B3518" i="1"/>
  <c r="E3519" i="1"/>
  <c r="B3519" i="1"/>
  <c r="E3520" i="1"/>
  <c r="B3520" i="1"/>
  <c r="E3521" i="1"/>
  <c r="B3521" i="1"/>
  <c r="E3522" i="1"/>
  <c r="B3522" i="1"/>
  <c r="E3523" i="1"/>
  <c r="B3523" i="1"/>
  <c r="E3524" i="1"/>
  <c r="B3524" i="1"/>
  <c r="E3525" i="1"/>
  <c r="B3525" i="1"/>
  <c r="E3526" i="1"/>
  <c r="B3526" i="1"/>
  <c r="E3527" i="1"/>
  <c r="B3527" i="1"/>
  <c r="E3528" i="1"/>
  <c r="B3528" i="1"/>
  <c r="E3529" i="1"/>
  <c r="B3529" i="1"/>
  <c r="E3530" i="1"/>
  <c r="B3530" i="1"/>
  <c r="E3531" i="1"/>
  <c r="B3531" i="1"/>
  <c r="E3532" i="1"/>
  <c r="B3532" i="1"/>
  <c r="E3533" i="1"/>
  <c r="B3533" i="1"/>
  <c r="E3534" i="1"/>
  <c r="B3534" i="1"/>
  <c r="E3535" i="1"/>
  <c r="B3535" i="1"/>
  <c r="E3536" i="1"/>
  <c r="B3536" i="1"/>
  <c r="E3537" i="1"/>
  <c r="B3537" i="1"/>
  <c r="E3538" i="1"/>
  <c r="B3538" i="1"/>
  <c r="E3539" i="1"/>
  <c r="B3539" i="1"/>
  <c r="E3540" i="1"/>
  <c r="B3540" i="1"/>
  <c r="E3541" i="1"/>
  <c r="B3541" i="1"/>
  <c r="E3542" i="1"/>
  <c r="B3542" i="1"/>
  <c r="E3543" i="1"/>
  <c r="B3543" i="1"/>
  <c r="E3544" i="1"/>
  <c r="B3544" i="1"/>
  <c r="E3545" i="1"/>
  <c r="B3545" i="1"/>
  <c r="E3546" i="1"/>
  <c r="B3546" i="1"/>
  <c r="E3547" i="1"/>
  <c r="B3547" i="1"/>
  <c r="E3548" i="1"/>
  <c r="B3548" i="1"/>
  <c r="E3549" i="1"/>
  <c r="B3549" i="1"/>
  <c r="E3550" i="1"/>
  <c r="B3550" i="1"/>
  <c r="E3551" i="1"/>
  <c r="B3551" i="1"/>
  <c r="E3552" i="1"/>
  <c r="B3552" i="1"/>
  <c r="E3553" i="1"/>
  <c r="B3553" i="1"/>
  <c r="E3554" i="1"/>
  <c r="B3554" i="1"/>
  <c r="E3555" i="1"/>
  <c r="B3555" i="1"/>
  <c r="E3556" i="1"/>
  <c r="B3556" i="1"/>
  <c r="E3557" i="1"/>
  <c r="B3557" i="1"/>
  <c r="E3558" i="1"/>
  <c r="B3558" i="1"/>
  <c r="E3559" i="1"/>
  <c r="B3559" i="1"/>
  <c r="E3560" i="1"/>
  <c r="B3560" i="1"/>
  <c r="E3561" i="1"/>
  <c r="B3561" i="1"/>
  <c r="E3562" i="1"/>
  <c r="B3562" i="1"/>
  <c r="E3563" i="1"/>
  <c r="B3563" i="1"/>
  <c r="E3564" i="1"/>
  <c r="B3564" i="1"/>
  <c r="E3565" i="1"/>
  <c r="B3565" i="1"/>
  <c r="E3566" i="1"/>
  <c r="B3566" i="1"/>
  <c r="E3567" i="1"/>
  <c r="B3567" i="1"/>
  <c r="E3568" i="1"/>
  <c r="B3568" i="1"/>
  <c r="E3569" i="1"/>
  <c r="B3569" i="1"/>
  <c r="E3571" i="1"/>
  <c r="B3571" i="1"/>
  <c r="E3570" i="1"/>
  <c r="B3570" i="1"/>
  <c r="E3572" i="1"/>
  <c r="B3572" i="1"/>
  <c r="E3573" i="1"/>
  <c r="B3573" i="1"/>
  <c r="E3574" i="1"/>
  <c r="B3574" i="1"/>
  <c r="E3576" i="1"/>
  <c r="B3576" i="1"/>
  <c r="E3575" i="1"/>
  <c r="B3575" i="1"/>
  <c r="E3577" i="1"/>
  <c r="B3577" i="1"/>
  <c r="E3578" i="1"/>
  <c r="B3578" i="1"/>
  <c r="E3579" i="1"/>
  <c r="B3579" i="1"/>
  <c r="E3580" i="1"/>
  <c r="B3580" i="1"/>
  <c r="E3581" i="1"/>
  <c r="B3581" i="1"/>
  <c r="E3582" i="1"/>
  <c r="B3582" i="1"/>
  <c r="E3583" i="1"/>
  <c r="B3583" i="1"/>
  <c r="E3584" i="1"/>
  <c r="B3584" i="1"/>
  <c r="E3585" i="1"/>
  <c r="B3585" i="1"/>
  <c r="E3586" i="1"/>
  <c r="B3586" i="1"/>
  <c r="E3587" i="1"/>
  <c r="B3587" i="1"/>
  <c r="E3588" i="1"/>
  <c r="B3588" i="1"/>
  <c r="E3589" i="1"/>
  <c r="B3589" i="1"/>
  <c r="E3592" i="1"/>
  <c r="B3592" i="1"/>
  <c r="E3591" i="1"/>
  <c r="B3591" i="1"/>
  <c r="E3590" i="1"/>
  <c r="B3590" i="1"/>
  <c r="E3593" i="1"/>
  <c r="B3593" i="1"/>
  <c r="E3594" i="1"/>
  <c r="B3594" i="1"/>
  <c r="E3595" i="1"/>
  <c r="B3595" i="1"/>
  <c r="E3596" i="1"/>
  <c r="B3596" i="1"/>
  <c r="E3597" i="1"/>
  <c r="B3597" i="1"/>
  <c r="E3598" i="1"/>
  <c r="B3598" i="1"/>
  <c r="E3600" i="1"/>
  <c r="B3600" i="1"/>
  <c r="E3599" i="1"/>
  <c r="B3599" i="1"/>
  <c r="E3601" i="1"/>
  <c r="B3601" i="1"/>
  <c r="E3602" i="1"/>
  <c r="B3602" i="1"/>
  <c r="E3603" i="1"/>
  <c r="B3603" i="1"/>
  <c r="E3604" i="1"/>
  <c r="B3604" i="1"/>
  <c r="E3605" i="1"/>
  <c r="B3605" i="1"/>
  <c r="E3606" i="1"/>
  <c r="B3606" i="1"/>
  <c r="E3607" i="1"/>
  <c r="B3607" i="1"/>
  <c r="E3608" i="1"/>
  <c r="B3608" i="1"/>
  <c r="E3609" i="1"/>
  <c r="B3609" i="1"/>
  <c r="E3610" i="1"/>
  <c r="B3610" i="1"/>
  <c r="E3611" i="1"/>
  <c r="B3611" i="1"/>
  <c r="E3612" i="1"/>
  <c r="B3612" i="1"/>
  <c r="E3613" i="1"/>
  <c r="B3613" i="1"/>
  <c r="E3614" i="1"/>
  <c r="B3614" i="1"/>
  <c r="E3615" i="1"/>
  <c r="B3615" i="1"/>
  <c r="E3616" i="1"/>
  <c r="B3616" i="1"/>
  <c r="E3617" i="1"/>
  <c r="B3617" i="1"/>
  <c r="E3618" i="1"/>
  <c r="B3618" i="1"/>
  <c r="E3619" i="1"/>
  <c r="B3619" i="1"/>
  <c r="E3620" i="1"/>
  <c r="B3620" i="1"/>
  <c r="E3621" i="1"/>
  <c r="B3621" i="1"/>
  <c r="E3622" i="1"/>
  <c r="B3622" i="1"/>
  <c r="E3623" i="1"/>
  <c r="B3623" i="1"/>
  <c r="E3624" i="1"/>
  <c r="B3624" i="1"/>
  <c r="E3625" i="1"/>
  <c r="B3625" i="1"/>
  <c r="E3626" i="1"/>
  <c r="B3626" i="1"/>
  <c r="E3627" i="1"/>
  <c r="B3627" i="1"/>
  <c r="E3628" i="1"/>
  <c r="B3628" i="1"/>
  <c r="E3629" i="1"/>
  <c r="B3629" i="1"/>
  <c r="E3630" i="1"/>
  <c r="B3630" i="1"/>
  <c r="E3631" i="1"/>
  <c r="B3631" i="1"/>
  <c r="E3632" i="1"/>
  <c r="B3632" i="1"/>
  <c r="E3633" i="1"/>
  <c r="B3633" i="1"/>
  <c r="E3634" i="1"/>
  <c r="B3634" i="1"/>
  <c r="E3635" i="1"/>
  <c r="B3635" i="1"/>
  <c r="E3636" i="1"/>
  <c r="B3636" i="1"/>
  <c r="E3637" i="1"/>
  <c r="B3637" i="1"/>
  <c r="E3638" i="1"/>
  <c r="B3638" i="1"/>
  <c r="E3639" i="1"/>
  <c r="B3639" i="1"/>
  <c r="E3640" i="1"/>
  <c r="B3640" i="1"/>
  <c r="E3641" i="1"/>
  <c r="B3641" i="1"/>
  <c r="E3642" i="1"/>
  <c r="B3642" i="1"/>
  <c r="E3643" i="1"/>
  <c r="B3643" i="1"/>
  <c r="E3644" i="1"/>
  <c r="B3644" i="1"/>
  <c r="E3645" i="1"/>
  <c r="B3645" i="1"/>
  <c r="E3646" i="1"/>
  <c r="B3646" i="1"/>
  <c r="E3647" i="1"/>
  <c r="B3647" i="1"/>
  <c r="E3648" i="1"/>
  <c r="B3648" i="1"/>
  <c r="E3649" i="1"/>
  <c r="B3649" i="1"/>
  <c r="E3650" i="1"/>
  <c r="B3650" i="1"/>
  <c r="E3651" i="1"/>
  <c r="B3651" i="1"/>
  <c r="E3652" i="1"/>
  <c r="B3652" i="1"/>
  <c r="E3654" i="1"/>
  <c r="B3654" i="1"/>
  <c r="E3653" i="1"/>
  <c r="B3653" i="1"/>
  <c r="E3655" i="1"/>
  <c r="B3655" i="1"/>
  <c r="E3656" i="1"/>
  <c r="B3656" i="1"/>
  <c r="E3657" i="1"/>
  <c r="B3657" i="1"/>
  <c r="E3658" i="1"/>
  <c r="B3658" i="1"/>
  <c r="E3659" i="1"/>
  <c r="B3659" i="1"/>
  <c r="E3660" i="1"/>
  <c r="B3660" i="1"/>
  <c r="E3661" i="1"/>
  <c r="B3661" i="1"/>
  <c r="E3662" i="1"/>
  <c r="B3662" i="1"/>
  <c r="E3663" i="1"/>
  <c r="B3663" i="1"/>
  <c r="E3664" i="1"/>
  <c r="B3664" i="1"/>
  <c r="E3665" i="1"/>
  <c r="B3665" i="1"/>
  <c r="E3666" i="1"/>
  <c r="B3666" i="1"/>
  <c r="E3667" i="1"/>
  <c r="B3667" i="1"/>
  <c r="E3668" i="1"/>
  <c r="B3668" i="1"/>
  <c r="E3669" i="1"/>
  <c r="B3669" i="1"/>
  <c r="E3670" i="1"/>
  <c r="B3670" i="1"/>
  <c r="E3671" i="1"/>
  <c r="B3671" i="1"/>
  <c r="E3672" i="1"/>
  <c r="B3672" i="1"/>
  <c r="E3673" i="1"/>
  <c r="B3673" i="1"/>
  <c r="E3674" i="1"/>
  <c r="B3674" i="1"/>
  <c r="E3675" i="1"/>
  <c r="B3675" i="1"/>
  <c r="E3676" i="1"/>
  <c r="B3676" i="1"/>
  <c r="E3678" i="1"/>
  <c r="B3678" i="1"/>
  <c r="E3677" i="1"/>
  <c r="B3677" i="1"/>
  <c r="E3679" i="1"/>
  <c r="B3679" i="1"/>
  <c r="E3680" i="1"/>
  <c r="B3680" i="1"/>
  <c r="E3681" i="1"/>
  <c r="B3681" i="1"/>
  <c r="E3682" i="1"/>
  <c r="B3682" i="1"/>
  <c r="E3683" i="1"/>
  <c r="B3683" i="1"/>
  <c r="E3684" i="1"/>
  <c r="B3684" i="1"/>
  <c r="E3685" i="1"/>
  <c r="B3685" i="1"/>
  <c r="E3686" i="1"/>
  <c r="B3686" i="1"/>
  <c r="E3687" i="1"/>
  <c r="B3687" i="1"/>
  <c r="E3688" i="1"/>
  <c r="B3688" i="1"/>
  <c r="E3689" i="1"/>
  <c r="B3689" i="1"/>
  <c r="E3690" i="1"/>
  <c r="B3690" i="1"/>
  <c r="E3691" i="1"/>
  <c r="B3691" i="1"/>
  <c r="E3692" i="1"/>
  <c r="B3692" i="1"/>
  <c r="E3693" i="1"/>
  <c r="B3693" i="1"/>
  <c r="E3694" i="1"/>
  <c r="B3694" i="1"/>
  <c r="E3695" i="1"/>
  <c r="B3695" i="1"/>
  <c r="E3696" i="1"/>
  <c r="B3696" i="1"/>
  <c r="E3697" i="1"/>
  <c r="B3697" i="1"/>
  <c r="E3698" i="1"/>
  <c r="B3698" i="1"/>
  <c r="E3699" i="1"/>
  <c r="B3699" i="1"/>
  <c r="E3700" i="1"/>
  <c r="B3700" i="1"/>
  <c r="E3701" i="1"/>
  <c r="B3701" i="1"/>
  <c r="E3702" i="1"/>
  <c r="B3702" i="1"/>
  <c r="E3703" i="1"/>
  <c r="B3703" i="1"/>
  <c r="E3704" i="1"/>
  <c r="B3704" i="1"/>
  <c r="E3705" i="1"/>
  <c r="B3705" i="1"/>
  <c r="E3706" i="1"/>
  <c r="B3706" i="1"/>
  <c r="E3707" i="1"/>
  <c r="B3707" i="1"/>
  <c r="E3708" i="1"/>
  <c r="B3708" i="1"/>
  <c r="E3709" i="1"/>
  <c r="B3709" i="1"/>
  <c r="E3710" i="1"/>
  <c r="B3710" i="1"/>
  <c r="E3711" i="1"/>
  <c r="B3711" i="1"/>
  <c r="E3712" i="1"/>
  <c r="B3712" i="1"/>
  <c r="E3713" i="1"/>
  <c r="B3713" i="1"/>
  <c r="E3714" i="1"/>
  <c r="B3714" i="1"/>
  <c r="E3715" i="1"/>
  <c r="B3715" i="1"/>
  <c r="E3716" i="1"/>
  <c r="B3716" i="1"/>
  <c r="E3717" i="1"/>
  <c r="B3717" i="1"/>
  <c r="E3718" i="1"/>
  <c r="B3718" i="1"/>
  <c r="E3719" i="1"/>
  <c r="B3719" i="1"/>
  <c r="E3720" i="1"/>
  <c r="B3720" i="1"/>
  <c r="E3721" i="1"/>
  <c r="B3721" i="1"/>
  <c r="E3722" i="1"/>
  <c r="B3722" i="1"/>
  <c r="E3723" i="1"/>
  <c r="B3723" i="1"/>
  <c r="E3724" i="1"/>
  <c r="B3724" i="1"/>
  <c r="E3726" i="1"/>
  <c r="B3726" i="1"/>
  <c r="E3725" i="1"/>
  <c r="B3725" i="1"/>
  <c r="E3727" i="1"/>
  <c r="B3727" i="1"/>
  <c r="E3728" i="1"/>
  <c r="B3728" i="1"/>
  <c r="E3729" i="1"/>
  <c r="B3729" i="1"/>
  <c r="E3730" i="1"/>
  <c r="B3730" i="1"/>
  <c r="E3731" i="1"/>
  <c r="B3731" i="1"/>
  <c r="E3732" i="1"/>
  <c r="B3732" i="1"/>
  <c r="E3733" i="1"/>
  <c r="B3733" i="1"/>
  <c r="E3734" i="1"/>
  <c r="B3734" i="1"/>
  <c r="E3735" i="1"/>
  <c r="B3735" i="1"/>
  <c r="E3736" i="1"/>
  <c r="B3736" i="1"/>
  <c r="E3737" i="1"/>
  <c r="B3737" i="1"/>
  <c r="E3738" i="1"/>
  <c r="B3738" i="1"/>
  <c r="E3739" i="1"/>
  <c r="B3739" i="1"/>
  <c r="E3740" i="1"/>
  <c r="B3740" i="1"/>
  <c r="E3741" i="1"/>
  <c r="B3741" i="1"/>
  <c r="E3742" i="1"/>
  <c r="B3742" i="1"/>
  <c r="E3743" i="1"/>
  <c r="B3743" i="1"/>
  <c r="E3744" i="1"/>
  <c r="B3744" i="1"/>
  <c r="E3745" i="1"/>
  <c r="B3745" i="1"/>
  <c r="E3746" i="1"/>
  <c r="B3746" i="1"/>
  <c r="E3747" i="1"/>
  <c r="B3747" i="1"/>
  <c r="E3748" i="1"/>
  <c r="B3748" i="1"/>
  <c r="E3749" i="1"/>
  <c r="B3749" i="1"/>
  <c r="E3750" i="1"/>
  <c r="B3750" i="1"/>
  <c r="E3751" i="1"/>
  <c r="B3751" i="1"/>
  <c r="E3752" i="1"/>
  <c r="B3752" i="1"/>
  <c r="E3753" i="1"/>
  <c r="B3753" i="1"/>
  <c r="E3754" i="1"/>
  <c r="B3754" i="1"/>
  <c r="E3755" i="1"/>
  <c r="B3755" i="1"/>
  <c r="E3756" i="1"/>
  <c r="B3756" i="1"/>
  <c r="E3758" i="1"/>
  <c r="B3758" i="1"/>
  <c r="E3757" i="1"/>
  <c r="B3757" i="1"/>
  <c r="E3759" i="1"/>
  <c r="B3759" i="1"/>
  <c r="E3760" i="1"/>
  <c r="B3760" i="1"/>
  <c r="E3761" i="1"/>
  <c r="B3761" i="1"/>
  <c r="E3762" i="1"/>
  <c r="B3762" i="1"/>
  <c r="E3763" i="1"/>
  <c r="B3763" i="1"/>
  <c r="E3764" i="1"/>
  <c r="B3764" i="1"/>
  <c r="E3765" i="1"/>
  <c r="B3765" i="1"/>
  <c r="E3766" i="1"/>
  <c r="B3766" i="1"/>
  <c r="E3767" i="1"/>
  <c r="B3767" i="1"/>
  <c r="E3768" i="1"/>
  <c r="B3768" i="1"/>
  <c r="E3769" i="1"/>
  <c r="B3769" i="1"/>
  <c r="E3770" i="1"/>
  <c r="B3770" i="1"/>
  <c r="E3771" i="1"/>
  <c r="B3771" i="1"/>
  <c r="E3772" i="1"/>
  <c r="B3772" i="1"/>
  <c r="E3773" i="1"/>
  <c r="B3773" i="1"/>
  <c r="E3774" i="1"/>
  <c r="B3774" i="1"/>
  <c r="E3775" i="1"/>
  <c r="B3775" i="1"/>
  <c r="E3776" i="1"/>
  <c r="B3776" i="1"/>
  <c r="E3777" i="1"/>
  <c r="B3777" i="1"/>
  <c r="E3778" i="1"/>
  <c r="B3778" i="1"/>
  <c r="E3779" i="1"/>
  <c r="B3779" i="1"/>
  <c r="E3780" i="1"/>
  <c r="B3780" i="1"/>
  <c r="E3781" i="1"/>
  <c r="B3781" i="1"/>
  <c r="E3782" i="1"/>
  <c r="B3782" i="1"/>
  <c r="E3783" i="1"/>
  <c r="B3783" i="1"/>
  <c r="E3784" i="1"/>
  <c r="B3784" i="1"/>
  <c r="E3785" i="1"/>
  <c r="B3785" i="1"/>
  <c r="E3786" i="1"/>
  <c r="B3786" i="1"/>
  <c r="E3787" i="1"/>
  <c r="B3787" i="1"/>
  <c r="E3788" i="1"/>
  <c r="B3788" i="1"/>
  <c r="E3789" i="1"/>
  <c r="B3789" i="1"/>
  <c r="E3790" i="1"/>
  <c r="B3790" i="1"/>
  <c r="E3791" i="1"/>
  <c r="B3791" i="1"/>
  <c r="E3792" i="1"/>
  <c r="B3792" i="1"/>
  <c r="E3793" i="1"/>
  <c r="B3793" i="1"/>
  <c r="E3794" i="1"/>
  <c r="B3794" i="1"/>
  <c r="E3795" i="1"/>
  <c r="B3795" i="1"/>
  <c r="E3796" i="1"/>
  <c r="B3796" i="1"/>
  <c r="E3797" i="1"/>
  <c r="B3797" i="1"/>
  <c r="E3798" i="1"/>
  <c r="B3798" i="1"/>
  <c r="E3799" i="1"/>
  <c r="B3799" i="1"/>
  <c r="E3801" i="1"/>
  <c r="B3801" i="1"/>
  <c r="E3800" i="1"/>
  <c r="B3800" i="1"/>
  <c r="E3802" i="1"/>
  <c r="B3802" i="1"/>
  <c r="E3803" i="1"/>
  <c r="B3803" i="1"/>
  <c r="E3804" i="1"/>
  <c r="B3804" i="1"/>
  <c r="E3805" i="1"/>
  <c r="B3805" i="1"/>
  <c r="E3806" i="1"/>
  <c r="B3806" i="1"/>
  <c r="E3807" i="1"/>
  <c r="B3807" i="1"/>
  <c r="E3808" i="1"/>
  <c r="B3808" i="1"/>
  <c r="E3809" i="1"/>
  <c r="B3809" i="1"/>
  <c r="E3810" i="1"/>
  <c r="B3810" i="1"/>
  <c r="E3811" i="1"/>
  <c r="B3811" i="1"/>
  <c r="E3812" i="1"/>
  <c r="B3812" i="1"/>
  <c r="E3813" i="1"/>
  <c r="B3813" i="1"/>
  <c r="E3814" i="1"/>
  <c r="B3814" i="1"/>
  <c r="E3815" i="1"/>
  <c r="B3815" i="1"/>
  <c r="E3816" i="1"/>
  <c r="B3816" i="1"/>
  <c r="E3817" i="1"/>
  <c r="B3817" i="1"/>
  <c r="E3818" i="1"/>
  <c r="B3818" i="1"/>
  <c r="E3819" i="1"/>
  <c r="B3819" i="1"/>
  <c r="E3820" i="1"/>
  <c r="B3820" i="1"/>
  <c r="E3821" i="1"/>
  <c r="B3821" i="1"/>
  <c r="E3822" i="1"/>
  <c r="B3822" i="1"/>
  <c r="E3823" i="1"/>
  <c r="B3823" i="1"/>
  <c r="E3824" i="1"/>
  <c r="B3824" i="1"/>
  <c r="E3825" i="1"/>
  <c r="B3825" i="1"/>
  <c r="E3826" i="1"/>
  <c r="B3826" i="1"/>
  <c r="E3827" i="1"/>
  <c r="B3827" i="1"/>
  <c r="E3828" i="1"/>
  <c r="B3828" i="1"/>
  <c r="E3829" i="1"/>
  <c r="B3829" i="1"/>
  <c r="E3830" i="1"/>
  <c r="B3830" i="1"/>
  <c r="E3831" i="1"/>
  <c r="B3831" i="1"/>
  <c r="E3832" i="1"/>
  <c r="B3832" i="1"/>
  <c r="E3833" i="1"/>
  <c r="B3833" i="1"/>
  <c r="E3834" i="1"/>
  <c r="B3834" i="1"/>
  <c r="E3835" i="1"/>
  <c r="B3835" i="1"/>
  <c r="E3836" i="1"/>
  <c r="B3836" i="1"/>
  <c r="E3837" i="1"/>
  <c r="B3837" i="1"/>
  <c r="E3838" i="1"/>
  <c r="B3838" i="1"/>
  <c r="E3839" i="1"/>
  <c r="B3839" i="1"/>
  <c r="E3840" i="1"/>
  <c r="B3840" i="1"/>
  <c r="E3841" i="1"/>
  <c r="B3841" i="1"/>
  <c r="E3842" i="1"/>
  <c r="B3842" i="1"/>
  <c r="E3843" i="1"/>
  <c r="B3843" i="1"/>
  <c r="E3844" i="1"/>
  <c r="B3844" i="1"/>
  <c r="E3845" i="1"/>
  <c r="B3845" i="1"/>
  <c r="E3846" i="1"/>
  <c r="B3846" i="1"/>
  <c r="E3847" i="1"/>
  <c r="B3847" i="1"/>
  <c r="E3848" i="1"/>
  <c r="B3848" i="1"/>
  <c r="E3849" i="1"/>
  <c r="B3849" i="1"/>
  <c r="E3850" i="1"/>
  <c r="B3850" i="1"/>
  <c r="E3851" i="1"/>
  <c r="B3851" i="1"/>
  <c r="E3852" i="1"/>
  <c r="B3852" i="1"/>
  <c r="E3853" i="1"/>
  <c r="B3853" i="1"/>
  <c r="E3854" i="1"/>
  <c r="B3854" i="1"/>
  <c r="E3855" i="1"/>
  <c r="B3855" i="1"/>
  <c r="E3856" i="1"/>
  <c r="B3856" i="1"/>
  <c r="E3857" i="1"/>
  <c r="B3857" i="1"/>
  <c r="E3858" i="1"/>
  <c r="B3858" i="1"/>
  <c r="E3859" i="1"/>
  <c r="B3859" i="1"/>
  <c r="E3860" i="1"/>
  <c r="B3860" i="1"/>
  <c r="E3861" i="1"/>
  <c r="B3861" i="1"/>
  <c r="E3862" i="1"/>
  <c r="B3862" i="1"/>
  <c r="E3863" i="1"/>
  <c r="B3863" i="1"/>
  <c r="E3864" i="1"/>
  <c r="B3864" i="1"/>
  <c r="E3865" i="1"/>
  <c r="B3865" i="1"/>
  <c r="E3866" i="1"/>
  <c r="B3866" i="1"/>
  <c r="E3867" i="1"/>
  <c r="B3867" i="1"/>
  <c r="E3868" i="1"/>
  <c r="B3868" i="1"/>
  <c r="E3869" i="1"/>
  <c r="B3869" i="1"/>
  <c r="E3870" i="1"/>
  <c r="B3870" i="1"/>
  <c r="E3871" i="1"/>
  <c r="B3871" i="1"/>
  <c r="E3872" i="1"/>
  <c r="B3872" i="1"/>
  <c r="E3873" i="1"/>
  <c r="B3873" i="1"/>
  <c r="E3874" i="1"/>
  <c r="B3874" i="1"/>
  <c r="E3875" i="1"/>
  <c r="B3875" i="1"/>
  <c r="E3876" i="1"/>
  <c r="B3876" i="1"/>
  <c r="E3877" i="1"/>
  <c r="B3877" i="1"/>
  <c r="E3878" i="1"/>
  <c r="B3878" i="1"/>
  <c r="E3879" i="1"/>
  <c r="B3879" i="1"/>
  <c r="E3880" i="1"/>
  <c r="B3880" i="1"/>
  <c r="E3881" i="1"/>
  <c r="B3881" i="1"/>
  <c r="E3882" i="1"/>
  <c r="B3882" i="1"/>
  <c r="E3883" i="1"/>
  <c r="B3883" i="1"/>
  <c r="E3884" i="1"/>
  <c r="B3884" i="1"/>
  <c r="E3885" i="1"/>
  <c r="B3885" i="1"/>
  <c r="E3886" i="1"/>
  <c r="B3886" i="1"/>
  <c r="E3888" i="1"/>
  <c r="B3888" i="1"/>
  <c r="E3887" i="1"/>
  <c r="B3887" i="1"/>
  <c r="E3889" i="1"/>
  <c r="B3889" i="1"/>
  <c r="E3890" i="1"/>
  <c r="B3890" i="1"/>
  <c r="E3891" i="1"/>
  <c r="B3891" i="1"/>
  <c r="E3892" i="1"/>
  <c r="B3892" i="1"/>
  <c r="E3893" i="1"/>
  <c r="B3893" i="1"/>
  <c r="E3894" i="1"/>
  <c r="B3894" i="1"/>
  <c r="E3895" i="1"/>
  <c r="B3895" i="1"/>
  <c r="E3896" i="1"/>
  <c r="B3896" i="1"/>
  <c r="E3897" i="1"/>
  <c r="B3897" i="1"/>
  <c r="E3898" i="1"/>
  <c r="B3898" i="1"/>
  <c r="E3899" i="1"/>
  <c r="B3899" i="1"/>
  <c r="E3900" i="1"/>
  <c r="B3900" i="1"/>
  <c r="E3901" i="1"/>
  <c r="B3901" i="1"/>
  <c r="E3902" i="1"/>
  <c r="B3902" i="1"/>
  <c r="E3903" i="1"/>
  <c r="B3903" i="1"/>
  <c r="E3904" i="1"/>
  <c r="B3904" i="1"/>
  <c r="E3905" i="1"/>
  <c r="B3905" i="1"/>
  <c r="E3906" i="1"/>
  <c r="B3906" i="1"/>
  <c r="E3907" i="1"/>
  <c r="B3907" i="1"/>
  <c r="E3908" i="1"/>
  <c r="B3908" i="1"/>
  <c r="E3909" i="1"/>
  <c r="B3909" i="1"/>
  <c r="E3910" i="1"/>
  <c r="B3910" i="1"/>
  <c r="E3911" i="1"/>
  <c r="B3911" i="1"/>
  <c r="E3912" i="1"/>
  <c r="B3912" i="1"/>
  <c r="E3913" i="1"/>
  <c r="B3913" i="1"/>
  <c r="E3914" i="1"/>
  <c r="B3914" i="1"/>
  <c r="E3915" i="1"/>
  <c r="B3915" i="1"/>
  <c r="E3916" i="1"/>
  <c r="B3916" i="1"/>
  <c r="E3917" i="1"/>
  <c r="B3917" i="1"/>
  <c r="E3918" i="1"/>
  <c r="B3918" i="1"/>
  <c r="E3919" i="1"/>
  <c r="B3919" i="1"/>
  <c r="E3920" i="1"/>
  <c r="B3920" i="1"/>
  <c r="E3921" i="1"/>
  <c r="B3921" i="1"/>
  <c r="E3922" i="1"/>
  <c r="B3922" i="1"/>
  <c r="E3923" i="1"/>
  <c r="B3923" i="1"/>
  <c r="E3924" i="1"/>
  <c r="B3924" i="1"/>
  <c r="E3925" i="1"/>
  <c r="B3925" i="1"/>
  <c r="E3926" i="1"/>
  <c r="B3926" i="1"/>
  <c r="E3927" i="1"/>
  <c r="B3927" i="1"/>
  <c r="E3928" i="1"/>
  <c r="B3928" i="1"/>
  <c r="E3929" i="1"/>
  <c r="B3929" i="1"/>
  <c r="E3930" i="1"/>
  <c r="B3930" i="1"/>
  <c r="E3931" i="1"/>
  <c r="B3931" i="1"/>
  <c r="E3932" i="1"/>
  <c r="B3932" i="1"/>
  <c r="E3933" i="1"/>
  <c r="B3933" i="1"/>
  <c r="E3934" i="1"/>
  <c r="B3934" i="1"/>
  <c r="E3935" i="1"/>
  <c r="B3935" i="1"/>
  <c r="E3936" i="1"/>
  <c r="B3936" i="1"/>
  <c r="E3937" i="1"/>
  <c r="B3937" i="1"/>
  <c r="E3938" i="1"/>
  <c r="B3938" i="1"/>
  <c r="E3939" i="1"/>
  <c r="B3939" i="1"/>
  <c r="E3940" i="1"/>
  <c r="B3940" i="1"/>
  <c r="E3941" i="1"/>
  <c r="B3941" i="1"/>
  <c r="E3942" i="1"/>
  <c r="B3942" i="1"/>
  <c r="E3943" i="1"/>
  <c r="B3943" i="1"/>
  <c r="E3944" i="1"/>
  <c r="B3944" i="1"/>
  <c r="E3945" i="1"/>
  <c r="B3945" i="1"/>
  <c r="E3946" i="1"/>
  <c r="B3946" i="1"/>
  <c r="E3947" i="1"/>
  <c r="B3947" i="1"/>
  <c r="E3948" i="1"/>
  <c r="B3948" i="1"/>
  <c r="E3949" i="1"/>
  <c r="B3949" i="1"/>
  <c r="E3950" i="1"/>
  <c r="B3950" i="1"/>
  <c r="E3951" i="1"/>
  <c r="B3951" i="1"/>
  <c r="E3952" i="1"/>
  <c r="B3952" i="1"/>
  <c r="E3953" i="1"/>
  <c r="B3953" i="1"/>
  <c r="E3954" i="1"/>
  <c r="B3954" i="1"/>
  <c r="E3955" i="1"/>
  <c r="B3955" i="1"/>
  <c r="E3956" i="1"/>
  <c r="B3956" i="1"/>
  <c r="E3957" i="1"/>
  <c r="B3957" i="1"/>
  <c r="E3958" i="1"/>
  <c r="B3958" i="1"/>
  <c r="E3959" i="1"/>
  <c r="B3959" i="1"/>
  <c r="E3960" i="1"/>
  <c r="B3960" i="1"/>
  <c r="E3961" i="1"/>
  <c r="B3961" i="1"/>
  <c r="E3962" i="1"/>
  <c r="B3962" i="1"/>
  <c r="E3963" i="1"/>
  <c r="B3963" i="1"/>
  <c r="E3964" i="1"/>
  <c r="B3964" i="1"/>
  <c r="E3965" i="1"/>
  <c r="B3965" i="1"/>
  <c r="E3966" i="1"/>
  <c r="B3966" i="1"/>
  <c r="E3967" i="1"/>
  <c r="B3967" i="1"/>
  <c r="E3968" i="1"/>
  <c r="B3968" i="1"/>
  <c r="E3969" i="1"/>
  <c r="B3969" i="1"/>
  <c r="E3970" i="1"/>
  <c r="B3970" i="1"/>
  <c r="E3971" i="1"/>
  <c r="B3971" i="1"/>
  <c r="E3972" i="1"/>
  <c r="B3972" i="1"/>
  <c r="E3973" i="1"/>
  <c r="B3973" i="1"/>
  <c r="E3974" i="1"/>
  <c r="B3974" i="1"/>
  <c r="E3975" i="1"/>
  <c r="B3975" i="1"/>
  <c r="E3976" i="1"/>
  <c r="B3976" i="1"/>
  <c r="E3977" i="1"/>
  <c r="B3977" i="1"/>
  <c r="E3978" i="1"/>
  <c r="B3978" i="1"/>
  <c r="E3979" i="1"/>
  <c r="B3979" i="1"/>
  <c r="E3980" i="1"/>
  <c r="B3980" i="1"/>
  <c r="E3981" i="1"/>
  <c r="B3981" i="1"/>
  <c r="E3983" i="1"/>
  <c r="B3983" i="1"/>
  <c r="E3982" i="1"/>
  <c r="B3982" i="1"/>
  <c r="E3984" i="1"/>
  <c r="B3984" i="1"/>
  <c r="E3985" i="1"/>
  <c r="B3985" i="1"/>
  <c r="E3986" i="1"/>
  <c r="B3986" i="1"/>
  <c r="E3987" i="1"/>
  <c r="B3987" i="1"/>
  <c r="E3988" i="1"/>
  <c r="B3988" i="1"/>
  <c r="E3989" i="1"/>
  <c r="B3989" i="1"/>
  <c r="E3990" i="1"/>
  <c r="B3990" i="1"/>
  <c r="E3991" i="1"/>
  <c r="B3991" i="1"/>
  <c r="E3992" i="1"/>
  <c r="B3992" i="1"/>
  <c r="E3993" i="1"/>
  <c r="B3993" i="1"/>
  <c r="E3994" i="1"/>
  <c r="B3994" i="1"/>
  <c r="E3995" i="1"/>
  <c r="B3995" i="1"/>
  <c r="E3996" i="1"/>
  <c r="B3996" i="1"/>
  <c r="E3997" i="1"/>
  <c r="B3997" i="1"/>
  <c r="E3998" i="1"/>
  <c r="B3998" i="1"/>
  <c r="E3999" i="1"/>
  <c r="B3999" i="1"/>
  <c r="E4000" i="1"/>
  <c r="B4000" i="1"/>
  <c r="E4001" i="1"/>
  <c r="B4001" i="1"/>
  <c r="E4002" i="1"/>
  <c r="B4002" i="1"/>
  <c r="E4003" i="1"/>
  <c r="B4003" i="1"/>
  <c r="E4004" i="1"/>
  <c r="B4004" i="1"/>
  <c r="E4005" i="1"/>
  <c r="B4005" i="1"/>
  <c r="E4006" i="1"/>
  <c r="B4006" i="1"/>
  <c r="E4007" i="1"/>
  <c r="B4007" i="1"/>
  <c r="E4008" i="1"/>
  <c r="B4008" i="1"/>
  <c r="E4009" i="1"/>
  <c r="B4009" i="1"/>
  <c r="E4010" i="1"/>
  <c r="B4010" i="1"/>
  <c r="E4011" i="1"/>
  <c r="B4011" i="1"/>
  <c r="E4012" i="1"/>
  <c r="B4012" i="1"/>
  <c r="E4013" i="1"/>
  <c r="B4013" i="1"/>
  <c r="E4014" i="1"/>
  <c r="B4014" i="1"/>
  <c r="E4015" i="1"/>
  <c r="B4015" i="1"/>
  <c r="E4016" i="1"/>
  <c r="B4016" i="1"/>
  <c r="E4017" i="1"/>
  <c r="B4017" i="1"/>
  <c r="E4018" i="1"/>
  <c r="B4018" i="1"/>
  <c r="E4019" i="1"/>
  <c r="B4019" i="1"/>
  <c r="E4020" i="1"/>
  <c r="B4020" i="1"/>
  <c r="E4021" i="1"/>
  <c r="B4021" i="1"/>
  <c r="E4022" i="1"/>
  <c r="B4022" i="1"/>
  <c r="E4023" i="1"/>
  <c r="B4023" i="1"/>
  <c r="E4024" i="1"/>
  <c r="B4024" i="1"/>
  <c r="E4025" i="1"/>
  <c r="B4025" i="1"/>
  <c r="E4026" i="1"/>
  <c r="B4026" i="1"/>
  <c r="E4027" i="1"/>
  <c r="B4027" i="1"/>
  <c r="E4028" i="1"/>
  <c r="B4028" i="1"/>
  <c r="E4029" i="1"/>
  <c r="B4029" i="1"/>
  <c r="E4030" i="1"/>
  <c r="B4030" i="1"/>
  <c r="E4031" i="1"/>
  <c r="B4031" i="1"/>
  <c r="E4032" i="1"/>
  <c r="B4032" i="1"/>
  <c r="E4033" i="1"/>
  <c r="B4033" i="1"/>
  <c r="E4034" i="1"/>
  <c r="B4034" i="1"/>
  <c r="E4035" i="1"/>
  <c r="B4035" i="1"/>
  <c r="E4036" i="1"/>
  <c r="B4036" i="1"/>
  <c r="E4037" i="1"/>
  <c r="B4037" i="1"/>
  <c r="E4038" i="1"/>
  <c r="B4038" i="1"/>
  <c r="E4039" i="1"/>
  <c r="B4039" i="1"/>
  <c r="E4040" i="1"/>
  <c r="B4040" i="1"/>
  <c r="E4041" i="1"/>
  <c r="B4041" i="1"/>
  <c r="E4042" i="1"/>
  <c r="B4042" i="1"/>
  <c r="E4043" i="1"/>
  <c r="B4043" i="1"/>
  <c r="E4044" i="1"/>
  <c r="B4044" i="1"/>
  <c r="E4045" i="1"/>
  <c r="B4045" i="1"/>
  <c r="E4047" i="1"/>
  <c r="B4047" i="1"/>
  <c r="E4046" i="1"/>
  <c r="B4046" i="1"/>
  <c r="E4048" i="1"/>
  <c r="B4048" i="1"/>
  <c r="E4049" i="1"/>
  <c r="B4049" i="1"/>
  <c r="E4050" i="1"/>
  <c r="B4050" i="1"/>
  <c r="E4051" i="1"/>
  <c r="B4051" i="1"/>
  <c r="E4052" i="1"/>
  <c r="B4052" i="1"/>
  <c r="E4053" i="1"/>
  <c r="B4053" i="1"/>
  <c r="E4054" i="1"/>
  <c r="B4054" i="1"/>
  <c r="E4055" i="1"/>
  <c r="B4055" i="1"/>
  <c r="E4056" i="1"/>
  <c r="B4056" i="1"/>
  <c r="E4057" i="1"/>
  <c r="B4057" i="1"/>
  <c r="E4058" i="1"/>
  <c r="B4058" i="1"/>
  <c r="E4059" i="1"/>
  <c r="B4059" i="1"/>
  <c r="E4060" i="1"/>
  <c r="B4060" i="1"/>
  <c r="E4061" i="1"/>
  <c r="B4061" i="1"/>
  <c r="E4062" i="1"/>
  <c r="B4062" i="1"/>
  <c r="E4063" i="1"/>
  <c r="B4063" i="1"/>
  <c r="E4064" i="1"/>
  <c r="B4064" i="1"/>
  <c r="E4065" i="1"/>
  <c r="B4065" i="1"/>
  <c r="E4066" i="1"/>
  <c r="B4066" i="1"/>
  <c r="E4067" i="1"/>
  <c r="B4067" i="1"/>
  <c r="E4068" i="1"/>
  <c r="B4068" i="1"/>
  <c r="E4069" i="1"/>
  <c r="B4069" i="1"/>
  <c r="E4070" i="1"/>
  <c r="B4070" i="1"/>
  <c r="E4071" i="1"/>
  <c r="B4071" i="1"/>
  <c r="E4072" i="1"/>
  <c r="B4072" i="1"/>
  <c r="E4073" i="1"/>
  <c r="B4073" i="1"/>
  <c r="E4074" i="1"/>
  <c r="B4074" i="1"/>
  <c r="E4075" i="1"/>
  <c r="B4075" i="1"/>
  <c r="E4076" i="1"/>
  <c r="B4076" i="1"/>
  <c r="E4077" i="1"/>
  <c r="B4077" i="1"/>
  <c r="E4078" i="1"/>
  <c r="B4078" i="1"/>
  <c r="E4079" i="1"/>
  <c r="B4079" i="1"/>
  <c r="E4080" i="1"/>
  <c r="B4080" i="1"/>
  <c r="E4081" i="1"/>
  <c r="B4081" i="1"/>
  <c r="E4082" i="1"/>
  <c r="B4082" i="1"/>
  <c r="E4083" i="1"/>
  <c r="B4083" i="1"/>
  <c r="E4084" i="1"/>
  <c r="B4084" i="1"/>
  <c r="E4085" i="1"/>
  <c r="B4085" i="1"/>
  <c r="E4086" i="1"/>
  <c r="B4086" i="1"/>
  <c r="E4087" i="1"/>
  <c r="B4087" i="1"/>
  <c r="E4088" i="1"/>
  <c r="B4088" i="1"/>
  <c r="E4089" i="1"/>
  <c r="B4089" i="1"/>
  <c r="E4090" i="1"/>
  <c r="B4090" i="1"/>
  <c r="E4091" i="1"/>
  <c r="B4091" i="1"/>
  <c r="E4092" i="1"/>
  <c r="B4092" i="1"/>
  <c r="E4093" i="1"/>
  <c r="B4093" i="1"/>
  <c r="E4094" i="1"/>
  <c r="B4094" i="1"/>
  <c r="E4095" i="1"/>
  <c r="B4095" i="1"/>
  <c r="E4096" i="1"/>
  <c r="B4096" i="1"/>
  <c r="E4097" i="1"/>
  <c r="B4097" i="1"/>
  <c r="E4098" i="1"/>
  <c r="B4098" i="1"/>
  <c r="E4099" i="1"/>
  <c r="B4099" i="1"/>
  <c r="E4100" i="1"/>
  <c r="B4100" i="1"/>
  <c r="E4101" i="1"/>
  <c r="B4101" i="1"/>
  <c r="E4102" i="1"/>
  <c r="B4102" i="1"/>
  <c r="E4103" i="1"/>
  <c r="B4103" i="1"/>
  <c r="E4104" i="1"/>
  <c r="B4104" i="1"/>
  <c r="E4105" i="1"/>
  <c r="B4105" i="1"/>
  <c r="E4106" i="1"/>
  <c r="B4106" i="1"/>
  <c r="E4107" i="1"/>
  <c r="B4107" i="1"/>
  <c r="E4108" i="1"/>
  <c r="B4108" i="1"/>
  <c r="E4109" i="1"/>
  <c r="B4109" i="1"/>
  <c r="E4110" i="1"/>
  <c r="B4110" i="1"/>
  <c r="E4111" i="1"/>
  <c r="B4111" i="1"/>
  <c r="E4112" i="1"/>
  <c r="B4112" i="1"/>
  <c r="E4113" i="1"/>
  <c r="B4113" i="1"/>
  <c r="E4114" i="1"/>
  <c r="B4114" i="1"/>
  <c r="E4115" i="1"/>
  <c r="B4115" i="1"/>
  <c r="E4116" i="1"/>
  <c r="B4116" i="1"/>
  <c r="E4117" i="1"/>
  <c r="B4117" i="1"/>
  <c r="E4118" i="1"/>
  <c r="B4118" i="1"/>
  <c r="E4119" i="1"/>
  <c r="B4119" i="1"/>
  <c r="E4120" i="1"/>
  <c r="B4120" i="1"/>
  <c r="E4121" i="1"/>
  <c r="B4121" i="1"/>
  <c r="E4122" i="1"/>
  <c r="B4122" i="1"/>
  <c r="E4123" i="1"/>
  <c r="B4123" i="1"/>
  <c r="E4124" i="1"/>
  <c r="B4124" i="1"/>
  <c r="E4125" i="1"/>
  <c r="B4125" i="1"/>
  <c r="E4126" i="1"/>
  <c r="B4126" i="1"/>
  <c r="E4127" i="1"/>
  <c r="B4127" i="1"/>
  <c r="E4128" i="1"/>
  <c r="B4128" i="1"/>
  <c r="E4129" i="1"/>
  <c r="B4129" i="1"/>
  <c r="E4130" i="1"/>
  <c r="B4130" i="1"/>
  <c r="E4131" i="1"/>
  <c r="B4131" i="1"/>
  <c r="E4132" i="1"/>
  <c r="B4132" i="1"/>
  <c r="E4133" i="1"/>
  <c r="B4133" i="1"/>
  <c r="E4134" i="1"/>
  <c r="B4134" i="1"/>
  <c r="E4135" i="1"/>
  <c r="B4135" i="1"/>
  <c r="E4136" i="1"/>
  <c r="B4136" i="1"/>
  <c r="E4137" i="1"/>
  <c r="B4137" i="1"/>
  <c r="E4138" i="1"/>
  <c r="B4138" i="1"/>
  <c r="E4139" i="1"/>
  <c r="B4139" i="1"/>
  <c r="E4140" i="1"/>
  <c r="B4140" i="1"/>
  <c r="E4141" i="1"/>
  <c r="B4141" i="1"/>
  <c r="E4142" i="1"/>
  <c r="B4142" i="1"/>
  <c r="E4143" i="1"/>
  <c r="B4143" i="1"/>
  <c r="E4144" i="1"/>
  <c r="B4144" i="1"/>
  <c r="E4145" i="1"/>
  <c r="B4145" i="1"/>
  <c r="E4146" i="1"/>
  <c r="B4146" i="1"/>
  <c r="E4147" i="1"/>
  <c r="B4147" i="1"/>
  <c r="E4148" i="1"/>
  <c r="B4148" i="1"/>
  <c r="E4149" i="1"/>
  <c r="B4149" i="1"/>
  <c r="E4150" i="1"/>
  <c r="B4150" i="1"/>
  <c r="E4151" i="1"/>
  <c r="B4151" i="1"/>
  <c r="E4152" i="1"/>
  <c r="B4152" i="1"/>
  <c r="E4153" i="1"/>
  <c r="B4153" i="1"/>
  <c r="E4154" i="1"/>
  <c r="B4154" i="1"/>
  <c r="E4156" i="1"/>
  <c r="B4156" i="1"/>
  <c r="E4155" i="1"/>
  <c r="B4155" i="1"/>
  <c r="E4157" i="1"/>
  <c r="B4157" i="1"/>
  <c r="E4158" i="1"/>
  <c r="B4158" i="1"/>
  <c r="E4159" i="1"/>
  <c r="B4159" i="1"/>
  <c r="E4160" i="1"/>
  <c r="B4160" i="1"/>
  <c r="E4161" i="1"/>
  <c r="B4161" i="1"/>
  <c r="E4162" i="1"/>
  <c r="B4162" i="1"/>
  <c r="E4163" i="1"/>
  <c r="B4163" i="1"/>
  <c r="E4164" i="1"/>
  <c r="B4164" i="1"/>
  <c r="E4165" i="1"/>
  <c r="B4165" i="1"/>
  <c r="E4166" i="1"/>
  <c r="B4166" i="1"/>
  <c r="E4167" i="1"/>
  <c r="B4167" i="1"/>
  <c r="E4168" i="1"/>
  <c r="B4168" i="1"/>
  <c r="E4169" i="1"/>
  <c r="B4169" i="1"/>
  <c r="E4170" i="1"/>
  <c r="B4170" i="1"/>
  <c r="E4171" i="1"/>
  <c r="B4171" i="1"/>
  <c r="E4172" i="1"/>
  <c r="B4172" i="1"/>
  <c r="E4173" i="1"/>
  <c r="B4173" i="1"/>
  <c r="E4174" i="1"/>
  <c r="B4174" i="1"/>
  <c r="E4175" i="1"/>
  <c r="B4175" i="1"/>
  <c r="E4176" i="1"/>
  <c r="B4176" i="1"/>
  <c r="E4177" i="1"/>
  <c r="B4177" i="1"/>
  <c r="E4178" i="1"/>
  <c r="B4178" i="1"/>
  <c r="E4179" i="1"/>
  <c r="B4179" i="1"/>
  <c r="E4180" i="1"/>
  <c r="B4180" i="1"/>
  <c r="E4181" i="1"/>
  <c r="B4181" i="1"/>
  <c r="E4182" i="1"/>
  <c r="B4182" i="1"/>
  <c r="E4183" i="1"/>
  <c r="B4183" i="1"/>
  <c r="E4184" i="1"/>
  <c r="B4184" i="1"/>
  <c r="E4185" i="1"/>
  <c r="B4185" i="1"/>
  <c r="E4186" i="1"/>
  <c r="B4186" i="1"/>
  <c r="E4187" i="1"/>
  <c r="B4187" i="1"/>
  <c r="E4188" i="1"/>
  <c r="B4188" i="1"/>
  <c r="E4189" i="1"/>
  <c r="B4189" i="1"/>
  <c r="E4190" i="1"/>
  <c r="B4190" i="1"/>
  <c r="E4191" i="1"/>
  <c r="B4191" i="1"/>
  <c r="E4192" i="1"/>
  <c r="B4192" i="1"/>
  <c r="E4193" i="1"/>
  <c r="B4193" i="1"/>
  <c r="E4194" i="1"/>
  <c r="B4194" i="1"/>
  <c r="E4195" i="1"/>
  <c r="B4195" i="1"/>
  <c r="E4196" i="1"/>
  <c r="B4196" i="1"/>
  <c r="E4197" i="1"/>
  <c r="B4197" i="1"/>
  <c r="E4198" i="1"/>
  <c r="B4198" i="1"/>
  <c r="E4199" i="1"/>
  <c r="B4199" i="1"/>
  <c r="E4200" i="1"/>
  <c r="B4200" i="1"/>
  <c r="E4201" i="1"/>
  <c r="B4201" i="1"/>
  <c r="E4202" i="1"/>
  <c r="B4202" i="1"/>
  <c r="E4203" i="1"/>
  <c r="B4203" i="1"/>
  <c r="E4204" i="1"/>
  <c r="B4204" i="1"/>
  <c r="E4205" i="1"/>
  <c r="B4205" i="1"/>
  <c r="E4206" i="1"/>
  <c r="B4206" i="1"/>
  <c r="E4207" i="1"/>
  <c r="B4207" i="1"/>
  <c r="E4208" i="1"/>
  <c r="B4208" i="1"/>
  <c r="E4209" i="1"/>
  <c r="B4209" i="1"/>
  <c r="E4210" i="1"/>
  <c r="B4210" i="1"/>
  <c r="E4211" i="1"/>
  <c r="B4211" i="1"/>
  <c r="E4212" i="1"/>
  <c r="B4212" i="1"/>
  <c r="E4213" i="1"/>
  <c r="B4213" i="1"/>
  <c r="E4214" i="1"/>
  <c r="B4214" i="1"/>
  <c r="E4215" i="1"/>
  <c r="B4215" i="1"/>
  <c r="E4216" i="1"/>
  <c r="B4216" i="1"/>
  <c r="E4217" i="1"/>
  <c r="B4217" i="1"/>
  <c r="E4218" i="1"/>
  <c r="B4218" i="1"/>
  <c r="E4219" i="1"/>
  <c r="B4219" i="1"/>
  <c r="E4220" i="1"/>
  <c r="B4220" i="1"/>
  <c r="E4221" i="1"/>
  <c r="B4221" i="1"/>
  <c r="E4222" i="1"/>
  <c r="B4222" i="1"/>
  <c r="E4223" i="1"/>
  <c r="B4223" i="1"/>
  <c r="E4224" i="1"/>
  <c r="B4224" i="1"/>
  <c r="E4225" i="1"/>
  <c r="B4225" i="1"/>
  <c r="E4226" i="1"/>
  <c r="B4226" i="1"/>
  <c r="E4227" i="1"/>
  <c r="B4227" i="1"/>
  <c r="E4228" i="1"/>
  <c r="B4228" i="1"/>
  <c r="E4229" i="1"/>
  <c r="B4229" i="1"/>
  <c r="E4230" i="1"/>
  <c r="B4230" i="1"/>
  <c r="E4231" i="1"/>
  <c r="B4231" i="1"/>
  <c r="E4232" i="1"/>
  <c r="B4232" i="1"/>
  <c r="E4233" i="1"/>
  <c r="B4233" i="1"/>
  <c r="E4234" i="1"/>
  <c r="B4234" i="1"/>
  <c r="E4235" i="1"/>
  <c r="B4235" i="1"/>
  <c r="E4236" i="1"/>
  <c r="B4236" i="1"/>
  <c r="E4237" i="1"/>
  <c r="B4237" i="1"/>
  <c r="E4238" i="1"/>
  <c r="B4238" i="1"/>
  <c r="E4239" i="1"/>
  <c r="B4239" i="1"/>
  <c r="E4240" i="1"/>
  <c r="B4240" i="1"/>
  <c r="E4241" i="1"/>
  <c r="B4241" i="1"/>
  <c r="E4242" i="1"/>
  <c r="B4242" i="1"/>
  <c r="E4243" i="1"/>
  <c r="B4243" i="1"/>
  <c r="E4244" i="1"/>
  <c r="B4244" i="1"/>
  <c r="E4245" i="1"/>
  <c r="B4245" i="1"/>
  <c r="E4246" i="1"/>
  <c r="B4246" i="1"/>
  <c r="E4247" i="1"/>
  <c r="B4247" i="1"/>
  <c r="E4248" i="1"/>
  <c r="B4248" i="1"/>
  <c r="E4249" i="1"/>
  <c r="B4249" i="1"/>
  <c r="E4250" i="1"/>
  <c r="B4250" i="1"/>
  <c r="E4251" i="1"/>
  <c r="B4251" i="1"/>
  <c r="E4252" i="1"/>
  <c r="B4252" i="1"/>
  <c r="E4253" i="1"/>
  <c r="B4253" i="1"/>
  <c r="E4254" i="1"/>
  <c r="B4254" i="1"/>
  <c r="E4255" i="1"/>
  <c r="B4255" i="1"/>
  <c r="E4256" i="1"/>
  <c r="B4256" i="1"/>
  <c r="E4257" i="1"/>
  <c r="B4257" i="1"/>
  <c r="E4258" i="1"/>
  <c r="B4258" i="1"/>
  <c r="E4259" i="1"/>
  <c r="B4259" i="1"/>
  <c r="E4260" i="1"/>
  <c r="B4260" i="1"/>
  <c r="E4261" i="1"/>
  <c r="B4261" i="1"/>
  <c r="E4262" i="1"/>
  <c r="B4262" i="1"/>
  <c r="E4263" i="1"/>
  <c r="B4263" i="1"/>
  <c r="E4264" i="1"/>
  <c r="B4264" i="1"/>
  <c r="E4265" i="1"/>
  <c r="B4265" i="1"/>
  <c r="E4266" i="1"/>
  <c r="B4266" i="1"/>
  <c r="E4267" i="1"/>
  <c r="B4267" i="1"/>
  <c r="E4268" i="1"/>
  <c r="B4268" i="1"/>
  <c r="E4269" i="1"/>
  <c r="B4269" i="1"/>
  <c r="E4270" i="1"/>
  <c r="B4270" i="1"/>
  <c r="E4271" i="1"/>
  <c r="B4271" i="1"/>
  <c r="E4272" i="1"/>
  <c r="B4272" i="1"/>
  <c r="E4273" i="1"/>
  <c r="B4273" i="1"/>
  <c r="E4274" i="1"/>
  <c r="B4274" i="1"/>
  <c r="E4275" i="1"/>
  <c r="B4275" i="1"/>
  <c r="E4276" i="1"/>
  <c r="B4276" i="1"/>
  <c r="E4277" i="1"/>
  <c r="B4277" i="1"/>
  <c r="E4278" i="1"/>
  <c r="B4278" i="1"/>
  <c r="E4279" i="1"/>
  <c r="B4279" i="1"/>
  <c r="E4280" i="1"/>
  <c r="B4280" i="1"/>
  <c r="E4281" i="1"/>
  <c r="B4281" i="1"/>
  <c r="E4282" i="1"/>
  <c r="B4282" i="1"/>
  <c r="E4283" i="1"/>
  <c r="B4283" i="1"/>
  <c r="E4284" i="1"/>
  <c r="B4284" i="1"/>
  <c r="E4285" i="1"/>
  <c r="B4285" i="1"/>
  <c r="E4286" i="1"/>
  <c r="B4286" i="1"/>
  <c r="E4287" i="1"/>
  <c r="B4287" i="1"/>
  <c r="E4288" i="1"/>
  <c r="B4288" i="1"/>
  <c r="E4289" i="1"/>
  <c r="B4289" i="1"/>
  <c r="E4290" i="1"/>
  <c r="B4290" i="1"/>
  <c r="E4291" i="1"/>
  <c r="B4291" i="1"/>
  <c r="E4292" i="1"/>
  <c r="B4292" i="1"/>
  <c r="E4293" i="1"/>
  <c r="B4293" i="1"/>
  <c r="E4294" i="1"/>
  <c r="B4294" i="1"/>
  <c r="E4295" i="1"/>
  <c r="B4295" i="1"/>
  <c r="E4296" i="1"/>
  <c r="B4296" i="1"/>
  <c r="E4297" i="1"/>
  <c r="B4297" i="1"/>
  <c r="E4298" i="1"/>
  <c r="B4298" i="1"/>
  <c r="E4299" i="1"/>
  <c r="B4299" i="1"/>
  <c r="E4300" i="1"/>
  <c r="B4300" i="1"/>
  <c r="E4301" i="1"/>
  <c r="B4301" i="1"/>
  <c r="E4302" i="1"/>
  <c r="B4302" i="1"/>
  <c r="E4303" i="1"/>
  <c r="B4303" i="1"/>
  <c r="E4304" i="1"/>
  <c r="B4304" i="1"/>
  <c r="E4305" i="1"/>
  <c r="B4305" i="1"/>
  <c r="E4306" i="1"/>
  <c r="B4306" i="1"/>
  <c r="E4307" i="1"/>
  <c r="B4307" i="1"/>
  <c r="E4308" i="1"/>
  <c r="B4308" i="1"/>
  <c r="E4309" i="1"/>
  <c r="B4309" i="1"/>
  <c r="E4310" i="1"/>
  <c r="B4310" i="1"/>
  <c r="E4311" i="1"/>
  <c r="B4311" i="1"/>
  <c r="E4312" i="1"/>
  <c r="B4312" i="1"/>
  <c r="E4313" i="1"/>
  <c r="B4313" i="1"/>
  <c r="E4314" i="1"/>
  <c r="B4314" i="1"/>
  <c r="E4315" i="1"/>
  <c r="B4315" i="1"/>
  <c r="E4316" i="1"/>
  <c r="B4316" i="1"/>
  <c r="E4317" i="1"/>
  <c r="B4317" i="1"/>
  <c r="E4318" i="1"/>
  <c r="B4318" i="1"/>
  <c r="E4319" i="1"/>
  <c r="B4319" i="1"/>
  <c r="E4320" i="1"/>
  <c r="B4320" i="1"/>
  <c r="E4321" i="1"/>
  <c r="B4321" i="1"/>
  <c r="E4322" i="1"/>
  <c r="B4322" i="1"/>
  <c r="E4323" i="1"/>
  <c r="B4323" i="1"/>
  <c r="E4324" i="1"/>
  <c r="B4324" i="1"/>
  <c r="E4325" i="1"/>
  <c r="B4325" i="1"/>
  <c r="E4326" i="1"/>
  <c r="B4326" i="1"/>
  <c r="E4327" i="1"/>
  <c r="B4327" i="1"/>
  <c r="E4328" i="1"/>
  <c r="B4328" i="1"/>
  <c r="E4329" i="1"/>
  <c r="B4329" i="1"/>
  <c r="E4330" i="1"/>
  <c r="B4330" i="1"/>
  <c r="E4331" i="1"/>
  <c r="B4331" i="1"/>
  <c r="E4332" i="1"/>
  <c r="B4332" i="1"/>
  <c r="E4333" i="1"/>
  <c r="B4333" i="1"/>
  <c r="E4334" i="1"/>
  <c r="B4334" i="1"/>
  <c r="E4335" i="1"/>
  <c r="B4335" i="1"/>
  <c r="E4336" i="1"/>
  <c r="B4336" i="1"/>
  <c r="E4337" i="1"/>
  <c r="B4337" i="1"/>
  <c r="E4338" i="1"/>
  <c r="B4338" i="1"/>
  <c r="E4339" i="1"/>
  <c r="B4339" i="1"/>
  <c r="E4340" i="1"/>
  <c r="B4340" i="1"/>
  <c r="E4341" i="1"/>
  <c r="B4341" i="1"/>
  <c r="E4342" i="1"/>
  <c r="B4342" i="1"/>
  <c r="E4343" i="1"/>
  <c r="B4343" i="1"/>
  <c r="E4344" i="1"/>
  <c r="B4344" i="1"/>
  <c r="E4345" i="1"/>
  <c r="B4345" i="1"/>
  <c r="E4346" i="1"/>
  <c r="B4346" i="1"/>
  <c r="E4347" i="1"/>
  <c r="B4347" i="1"/>
  <c r="E4348" i="1"/>
  <c r="B4348" i="1"/>
  <c r="E4349" i="1"/>
  <c r="B4349" i="1"/>
  <c r="E4350" i="1"/>
  <c r="B4350" i="1"/>
  <c r="E4351" i="1"/>
  <c r="B4351" i="1"/>
  <c r="E4352" i="1"/>
  <c r="B4352" i="1"/>
  <c r="E4353" i="1"/>
  <c r="B4353" i="1"/>
  <c r="E4354" i="1"/>
  <c r="B4354" i="1"/>
  <c r="E4355" i="1"/>
  <c r="B4355" i="1"/>
  <c r="E4356" i="1"/>
  <c r="B4356" i="1"/>
  <c r="E4357" i="1"/>
  <c r="B4357" i="1"/>
  <c r="E4358" i="1"/>
  <c r="B4358" i="1"/>
  <c r="E4359" i="1"/>
  <c r="B4359" i="1"/>
  <c r="E4360" i="1"/>
  <c r="B4360" i="1"/>
  <c r="E4361" i="1"/>
  <c r="B4361" i="1"/>
  <c r="E4362" i="1"/>
  <c r="B4362" i="1"/>
  <c r="E4363" i="1"/>
  <c r="B4363" i="1"/>
  <c r="E4364" i="1"/>
  <c r="B4364" i="1"/>
  <c r="E4365" i="1"/>
  <c r="B4365" i="1"/>
  <c r="E4366" i="1"/>
  <c r="B4366" i="1"/>
  <c r="E4367" i="1"/>
  <c r="B4367" i="1"/>
  <c r="E4368" i="1"/>
  <c r="B4368" i="1"/>
  <c r="E4369" i="1"/>
  <c r="B4369" i="1"/>
  <c r="E4370" i="1"/>
  <c r="B4370" i="1"/>
  <c r="E4371" i="1"/>
  <c r="B4371" i="1"/>
  <c r="E4373" i="1"/>
  <c r="B4373" i="1"/>
  <c r="E4372" i="1"/>
  <c r="B4372" i="1"/>
  <c r="E4374" i="1"/>
  <c r="B4374" i="1"/>
  <c r="E4375" i="1"/>
  <c r="B4375" i="1"/>
  <c r="E4376" i="1"/>
  <c r="B4376" i="1"/>
  <c r="E4377" i="1"/>
  <c r="B4377" i="1"/>
  <c r="E4378" i="1"/>
  <c r="B4378" i="1"/>
  <c r="E4379" i="1"/>
  <c r="B4379" i="1"/>
  <c r="E4380" i="1"/>
  <c r="B4380" i="1"/>
  <c r="E4381" i="1"/>
  <c r="B4381" i="1"/>
  <c r="E4382" i="1"/>
  <c r="B4382" i="1"/>
  <c r="E4383" i="1"/>
  <c r="B4383" i="1"/>
  <c r="E4384" i="1"/>
  <c r="B4384" i="1"/>
  <c r="E4385" i="1"/>
  <c r="B4385" i="1"/>
  <c r="E4386" i="1"/>
  <c r="B4386" i="1"/>
  <c r="E4387" i="1"/>
  <c r="B4387" i="1"/>
  <c r="E4388" i="1"/>
  <c r="B4388" i="1"/>
  <c r="E4389" i="1"/>
  <c r="B4389" i="1"/>
  <c r="E4390" i="1"/>
  <c r="B4390" i="1"/>
  <c r="E4391" i="1"/>
  <c r="B4391" i="1"/>
  <c r="E4392" i="1"/>
  <c r="B4392" i="1"/>
  <c r="E4393" i="1"/>
  <c r="B4393" i="1"/>
  <c r="E4394" i="1"/>
  <c r="B4394" i="1"/>
  <c r="E4395" i="1"/>
  <c r="B4395" i="1"/>
  <c r="E4396" i="1"/>
  <c r="B4396" i="1"/>
  <c r="E4397" i="1"/>
  <c r="B4397" i="1"/>
  <c r="E4398" i="1"/>
  <c r="B4398" i="1"/>
  <c r="E4399" i="1"/>
  <c r="B4399" i="1"/>
  <c r="E4400" i="1"/>
  <c r="B4400" i="1"/>
  <c r="E4401" i="1"/>
  <c r="B4401" i="1"/>
  <c r="E4402" i="1"/>
  <c r="B4402" i="1"/>
  <c r="E4403" i="1"/>
  <c r="B4403" i="1"/>
  <c r="E4404" i="1"/>
  <c r="B4404" i="1"/>
  <c r="E4405" i="1"/>
  <c r="B4405" i="1"/>
  <c r="E4406" i="1"/>
  <c r="B4406" i="1"/>
  <c r="E4407" i="1"/>
  <c r="B4407" i="1"/>
  <c r="E4408" i="1"/>
  <c r="B4408" i="1"/>
  <c r="E4409" i="1"/>
  <c r="B4409" i="1"/>
  <c r="E4410" i="1"/>
  <c r="B4410" i="1"/>
  <c r="E4411" i="1"/>
  <c r="B4411" i="1"/>
  <c r="E4412" i="1"/>
  <c r="B4412" i="1"/>
  <c r="E4413" i="1"/>
  <c r="B4413" i="1"/>
  <c r="E4414" i="1"/>
  <c r="B4414" i="1"/>
  <c r="E4415" i="1"/>
  <c r="B4415" i="1"/>
  <c r="E4416" i="1"/>
  <c r="B4416" i="1"/>
  <c r="E4417" i="1"/>
  <c r="B4417" i="1"/>
  <c r="E4418" i="1"/>
  <c r="B4418" i="1"/>
  <c r="E4419" i="1"/>
  <c r="B4419" i="1"/>
  <c r="E4420" i="1"/>
  <c r="B4420" i="1"/>
  <c r="E4421" i="1"/>
  <c r="B4421" i="1"/>
  <c r="E4422" i="1"/>
  <c r="B4422" i="1"/>
  <c r="E4423" i="1"/>
  <c r="B4423" i="1"/>
  <c r="E4424" i="1"/>
  <c r="B4424" i="1"/>
  <c r="E4425" i="1"/>
  <c r="B4425" i="1"/>
  <c r="E4426" i="1"/>
  <c r="B4426" i="1"/>
  <c r="E4427" i="1"/>
  <c r="B4427" i="1"/>
  <c r="E4428" i="1"/>
  <c r="B4428" i="1"/>
  <c r="E4429" i="1"/>
  <c r="B4429" i="1"/>
  <c r="E4430" i="1"/>
  <c r="B4430" i="1"/>
  <c r="E4431" i="1"/>
  <c r="B4431" i="1"/>
  <c r="E4432" i="1"/>
  <c r="B4432" i="1"/>
  <c r="E4433" i="1"/>
  <c r="B4433" i="1"/>
  <c r="E4434" i="1"/>
  <c r="B4434" i="1"/>
  <c r="E4435" i="1"/>
  <c r="B4435" i="1"/>
  <c r="E4436" i="1"/>
  <c r="B4436" i="1"/>
  <c r="E4437" i="1"/>
  <c r="B4437" i="1"/>
  <c r="E4438" i="1"/>
  <c r="B4438" i="1"/>
  <c r="E4439" i="1"/>
  <c r="B4439" i="1"/>
  <c r="E4440" i="1"/>
  <c r="B4440" i="1"/>
  <c r="E4441" i="1"/>
  <c r="B4441" i="1"/>
  <c r="E4442" i="1"/>
  <c r="B4442" i="1"/>
  <c r="E4443" i="1"/>
  <c r="B4443" i="1"/>
  <c r="E4444" i="1"/>
  <c r="B4444" i="1"/>
  <c r="E4445" i="1"/>
  <c r="B4445" i="1"/>
  <c r="E4446" i="1"/>
  <c r="B4446" i="1"/>
  <c r="E4447" i="1"/>
  <c r="B4447" i="1"/>
  <c r="E4448" i="1"/>
  <c r="B4448" i="1"/>
  <c r="E4449" i="1"/>
  <c r="B4449" i="1"/>
  <c r="E4450" i="1"/>
  <c r="B4450" i="1"/>
  <c r="E4451" i="1"/>
  <c r="B4451" i="1"/>
  <c r="E4452" i="1"/>
  <c r="B4452" i="1"/>
  <c r="E4454" i="1"/>
  <c r="B4454" i="1"/>
  <c r="E4453" i="1"/>
  <c r="B4453" i="1"/>
  <c r="E4455" i="1"/>
  <c r="B4455" i="1"/>
  <c r="E4456" i="1"/>
  <c r="B4456" i="1"/>
  <c r="E4457" i="1"/>
  <c r="B4457" i="1"/>
  <c r="E4458" i="1"/>
  <c r="B4458" i="1"/>
  <c r="E4459" i="1"/>
  <c r="B4459" i="1"/>
  <c r="E4460" i="1"/>
  <c r="B4460" i="1"/>
  <c r="E4461" i="1"/>
  <c r="B4461" i="1"/>
  <c r="E4462" i="1"/>
  <c r="B4462" i="1"/>
  <c r="E4463" i="1"/>
  <c r="B4463" i="1"/>
  <c r="E4464" i="1"/>
  <c r="B4464" i="1"/>
  <c r="E4465" i="1"/>
  <c r="B4465" i="1"/>
  <c r="E4466" i="1"/>
  <c r="B4466" i="1"/>
  <c r="E4467" i="1"/>
  <c r="B4467" i="1"/>
  <c r="E4468" i="1"/>
  <c r="B4468" i="1"/>
  <c r="E4470" i="1"/>
  <c r="B4470" i="1"/>
  <c r="E4469" i="1"/>
  <c r="B4469" i="1"/>
  <c r="E4471" i="1"/>
  <c r="B4471" i="1"/>
  <c r="E4472" i="1"/>
  <c r="B4472" i="1"/>
  <c r="E4473" i="1"/>
  <c r="B4473" i="1"/>
  <c r="E4474" i="1"/>
  <c r="B4474" i="1"/>
  <c r="E4475" i="1"/>
  <c r="B4475" i="1"/>
  <c r="E4476" i="1"/>
  <c r="B4476" i="1"/>
  <c r="E4477" i="1"/>
  <c r="B4477" i="1"/>
  <c r="E4478" i="1"/>
  <c r="B4478" i="1"/>
  <c r="E4479" i="1"/>
  <c r="B4479" i="1"/>
  <c r="E4480" i="1"/>
  <c r="B4480" i="1"/>
  <c r="E4481" i="1"/>
  <c r="B4481" i="1"/>
  <c r="E4482" i="1"/>
  <c r="B4482" i="1"/>
  <c r="E4483" i="1"/>
  <c r="B4483" i="1"/>
  <c r="E4484" i="1"/>
  <c r="B4484" i="1"/>
  <c r="E4485" i="1"/>
  <c r="B4485" i="1"/>
  <c r="E4486" i="1"/>
  <c r="B4486" i="1"/>
  <c r="E4487" i="1"/>
  <c r="B4487" i="1"/>
  <c r="E4488" i="1"/>
  <c r="B4488" i="1"/>
  <c r="E4489" i="1"/>
  <c r="B4489" i="1"/>
  <c r="E4490" i="1"/>
  <c r="B4490" i="1"/>
  <c r="E4491" i="1"/>
  <c r="B4491" i="1"/>
  <c r="E4492" i="1"/>
  <c r="B4492" i="1"/>
  <c r="E4493" i="1"/>
  <c r="B4493" i="1"/>
  <c r="E4494" i="1"/>
  <c r="B4494" i="1"/>
  <c r="E4495" i="1"/>
  <c r="B4495" i="1"/>
  <c r="E4496" i="1"/>
  <c r="B4496" i="1"/>
  <c r="E4497" i="1"/>
  <c r="B4497" i="1"/>
  <c r="E4498" i="1"/>
  <c r="B4498" i="1"/>
  <c r="E4499" i="1"/>
  <c r="B4499" i="1"/>
  <c r="E4500" i="1"/>
  <c r="B4500" i="1"/>
  <c r="E4502" i="1"/>
  <c r="B4502" i="1"/>
  <c r="E4501" i="1"/>
  <c r="B4501" i="1"/>
  <c r="E4503" i="1"/>
  <c r="B4503" i="1"/>
  <c r="E4504" i="1"/>
  <c r="B4504" i="1"/>
  <c r="E4505" i="1"/>
  <c r="B4505" i="1"/>
  <c r="E4506" i="1"/>
  <c r="B4506" i="1"/>
  <c r="E4507" i="1"/>
  <c r="B4507" i="1"/>
  <c r="E4508" i="1"/>
  <c r="B4508" i="1"/>
  <c r="E4509" i="1"/>
  <c r="B4509" i="1"/>
  <c r="E4510" i="1"/>
  <c r="B4510" i="1"/>
  <c r="E4511" i="1"/>
  <c r="B4511" i="1"/>
  <c r="E4512" i="1"/>
  <c r="B4512" i="1"/>
  <c r="E4513" i="1"/>
  <c r="B4513" i="1"/>
  <c r="E4514" i="1"/>
  <c r="B4514" i="1"/>
  <c r="E4515" i="1"/>
  <c r="B4515" i="1"/>
  <c r="E4516" i="1"/>
  <c r="B4516" i="1"/>
  <c r="E4517" i="1"/>
  <c r="B4517" i="1"/>
  <c r="E4518" i="1"/>
  <c r="B4518" i="1"/>
  <c r="E4519" i="1"/>
  <c r="B4519" i="1"/>
  <c r="E4520" i="1"/>
  <c r="B4520" i="1"/>
  <c r="E4521" i="1"/>
  <c r="B4521" i="1"/>
  <c r="E4522" i="1"/>
  <c r="B4522" i="1"/>
  <c r="E4523" i="1"/>
  <c r="B4523" i="1"/>
  <c r="E4524" i="1"/>
  <c r="B4524" i="1"/>
  <c r="E4525" i="1"/>
  <c r="B4525" i="1"/>
  <c r="E4526" i="1"/>
  <c r="B4526" i="1"/>
  <c r="E4528" i="1"/>
  <c r="B4528" i="1"/>
  <c r="E4527" i="1"/>
  <c r="B4527" i="1"/>
  <c r="E4529" i="1"/>
  <c r="B4529" i="1"/>
  <c r="E4530" i="1"/>
  <c r="B4530" i="1"/>
  <c r="E4532" i="1"/>
  <c r="B4532" i="1"/>
  <c r="E4531" i="1"/>
  <c r="B4531" i="1"/>
  <c r="E4533" i="1"/>
  <c r="B4533" i="1"/>
  <c r="E4534" i="1"/>
  <c r="B4534" i="1"/>
  <c r="E4535" i="1"/>
  <c r="B4535" i="1"/>
  <c r="E4536" i="1"/>
  <c r="B4536" i="1"/>
  <c r="E4537" i="1"/>
  <c r="B4537" i="1"/>
  <c r="E4538" i="1"/>
  <c r="B4538" i="1"/>
  <c r="E4539" i="1"/>
  <c r="B4539" i="1"/>
  <c r="E4540" i="1"/>
  <c r="B4540" i="1"/>
  <c r="E4541" i="1"/>
  <c r="B4541" i="1"/>
  <c r="E4542" i="1"/>
  <c r="B4542" i="1"/>
  <c r="E4543" i="1"/>
  <c r="B4543" i="1"/>
  <c r="E4544" i="1"/>
  <c r="B4544" i="1"/>
  <c r="E4545" i="1"/>
  <c r="B4545" i="1"/>
  <c r="E4546" i="1"/>
  <c r="B4546" i="1"/>
  <c r="E4547" i="1"/>
  <c r="B4547" i="1"/>
  <c r="E4548" i="1"/>
  <c r="B4548" i="1"/>
  <c r="E4549" i="1"/>
  <c r="B4549" i="1"/>
  <c r="E4550" i="1"/>
  <c r="B4550" i="1"/>
  <c r="E4551" i="1"/>
  <c r="B4551" i="1"/>
  <c r="E4552" i="1"/>
  <c r="B4552" i="1"/>
  <c r="E4553" i="1"/>
  <c r="B4553" i="1"/>
  <c r="E4554" i="1"/>
  <c r="B4554" i="1"/>
  <c r="E4555" i="1"/>
  <c r="B4555" i="1"/>
  <c r="E4556" i="1"/>
  <c r="B4556" i="1"/>
  <c r="E4557" i="1"/>
  <c r="B4557" i="1"/>
  <c r="E4558" i="1"/>
  <c r="B4558" i="1"/>
  <c r="E4559" i="1"/>
  <c r="B4559" i="1"/>
  <c r="E4560" i="1"/>
  <c r="B4560" i="1"/>
  <c r="E4561" i="1"/>
  <c r="B4561" i="1"/>
  <c r="E4562" i="1"/>
  <c r="B4562" i="1"/>
  <c r="E4563" i="1"/>
  <c r="B4563" i="1"/>
  <c r="E4564" i="1"/>
  <c r="B4564" i="1"/>
  <c r="E4565" i="1"/>
  <c r="B4565" i="1"/>
  <c r="E4566" i="1"/>
  <c r="B4566" i="1"/>
  <c r="E4567" i="1"/>
  <c r="B4567" i="1"/>
  <c r="E4568" i="1"/>
  <c r="B4568" i="1"/>
  <c r="E4569" i="1"/>
  <c r="B4569" i="1"/>
  <c r="E4570" i="1"/>
  <c r="B4570" i="1"/>
  <c r="E4571" i="1"/>
  <c r="B4571" i="1"/>
  <c r="E4572" i="1"/>
  <c r="B4572" i="1"/>
  <c r="E4573" i="1"/>
  <c r="B4573" i="1"/>
  <c r="E4574" i="1"/>
  <c r="B4574" i="1"/>
  <c r="E4575" i="1"/>
  <c r="B4575" i="1"/>
  <c r="E4576" i="1"/>
  <c r="B4576" i="1"/>
  <c r="E4577" i="1"/>
  <c r="B4577" i="1"/>
  <c r="E4578" i="1"/>
  <c r="B4578" i="1"/>
  <c r="E4579" i="1"/>
  <c r="B4579" i="1"/>
  <c r="E4580" i="1"/>
  <c r="B4580" i="1"/>
  <c r="E4581" i="1"/>
  <c r="B4581" i="1"/>
  <c r="E4582" i="1"/>
  <c r="B4582" i="1"/>
  <c r="E4583" i="1"/>
  <c r="B4583" i="1"/>
  <c r="E4584" i="1"/>
  <c r="B4584" i="1"/>
  <c r="E4585" i="1"/>
  <c r="B4585" i="1"/>
  <c r="E4586" i="1"/>
  <c r="B4586" i="1"/>
  <c r="E4587" i="1"/>
  <c r="B4587" i="1"/>
  <c r="E4588" i="1"/>
  <c r="B4588" i="1"/>
  <c r="E4589" i="1"/>
  <c r="B4589" i="1"/>
  <c r="E4590" i="1"/>
  <c r="B4590" i="1"/>
  <c r="E4591" i="1"/>
  <c r="B4591" i="1"/>
  <c r="E4592" i="1"/>
  <c r="B4592" i="1"/>
  <c r="E4593" i="1"/>
  <c r="B4593" i="1"/>
  <c r="E4594" i="1"/>
  <c r="B4594" i="1"/>
  <c r="E4595" i="1"/>
  <c r="B4595" i="1"/>
  <c r="E4596" i="1"/>
  <c r="B4596" i="1"/>
  <c r="E4597" i="1"/>
  <c r="B4597" i="1"/>
  <c r="E4598" i="1"/>
  <c r="B4598" i="1"/>
  <c r="E4599" i="1"/>
  <c r="B4599" i="1"/>
  <c r="E4600" i="1"/>
  <c r="B4600" i="1"/>
  <c r="E4601" i="1"/>
  <c r="B4601" i="1"/>
  <c r="E4602" i="1"/>
  <c r="B4602" i="1"/>
  <c r="E4603" i="1"/>
  <c r="B4603" i="1"/>
  <c r="E4604" i="1"/>
  <c r="B4604" i="1"/>
  <c r="E4605" i="1"/>
  <c r="B4605" i="1"/>
  <c r="E4606" i="1"/>
  <c r="B4606" i="1"/>
  <c r="E4607" i="1"/>
  <c r="B4607" i="1"/>
  <c r="E4608" i="1"/>
  <c r="B4608" i="1"/>
  <c r="E4609" i="1"/>
  <c r="B4609" i="1"/>
  <c r="E4610" i="1"/>
  <c r="B4610" i="1"/>
  <c r="E4611" i="1"/>
  <c r="B4611" i="1"/>
  <c r="E4612" i="1"/>
  <c r="B4612" i="1"/>
  <c r="E4613" i="1"/>
  <c r="B4613" i="1"/>
  <c r="E4614" i="1"/>
  <c r="B4614" i="1"/>
  <c r="E4615" i="1"/>
  <c r="B4615" i="1"/>
  <c r="E4616" i="1"/>
  <c r="B4616" i="1"/>
  <c r="E4617" i="1"/>
  <c r="B4617" i="1"/>
  <c r="E4618" i="1"/>
  <c r="B4618" i="1"/>
  <c r="E4619" i="1"/>
  <c r="B4619" i="1"/>
  <c r="E4620" i="1"/>
  <c r="B4620" i="1"/>
  <c r="E4621" i="1"/>
  <c r="B4621" i="1"/>
  <c r="E4624" i="1"/>
  <c r="B4624" i="1"/>
  <c r="E4623" i="1"/>
  <c r="B4623" i="1"/>
  <c r="E4622" i="1"/>
  <c r="B4622" i="1"/>
  <c r="E4625" i="1"/>
  <c r="B4625" i="1"/>
  <c r="E4626" i="1"/>
  <c r="B4626" i="1"/>
  <c r="E4627" i="1"/>
  <c r="B4627" i="1"/>
  <c r="E4628" i="1"/>
  <c r="B4628" i="1"/>
  <c r="E4629" i="1"/>
  <c r="B4629" i="1"/>
  <c r="E4630" i="1"/>
  <c r="B4630" i="1"/>
  <c r="E4631" i="1"/>
  <c r="B4631" i="1"/>
  <c r="E4632" i="1"/>
  <c r="B4632" i="1"/>
  <c r="E4633" i="1"/>
  <c r="B4633" i="1"/>
  <c r="E4634" i="1"/>
  <c r="B4634" i="1"/>
  <c r="E4635" i="1"/>
  <c r="B4635" i="1"/>
  <c r="E4636" i="1"/>
  <c r="B4636" i="1"/>
  <c r="E4637" i="1"/>
  <c r="B4637" i="1"/>
  <c r="E4638" i="1"/>
  <c r="B4638" i="1"/>
  <c r="E4639" i="1"/>
  <c r="B4639" i="1"/>
  <c r="E4640" i="1"/>
  <c r="B4640" i="1"/>
  <c r="E4641" i="1"/>
  <c r="B4641" i="1"/>
  <c r="E4642" i="1"/>
  <c r="B4642" i="1"/>
  <c r="E4643" i="1"/>
  <c r="B4643" i="1"/>
  <c r="E4644" i="1"/>
  <c r="B4644" i="1"/>
  <c r="E4645" i="1"/>
  <c r="B4645" i="1"/>
  <c r="E4646" i="1"/>
  <c r="B4646" i="1"/>
  <c r="E4647" i="1"/>
  <c r="B4647" i="1"/>
  <c r="E4648" i="1"/>
  <c r="B4648" i="1"/>
  <c r="E4649" i="1"/>
  <c r="B4649" i="1"/>
  <c r="E4651" i="1"/>
  <c r="B4651" i="1"/>
  <c r="E4650" i="1"/>
  <c r="B4650" i="1"/>
  <c r="E4652" i="1"/>
  <c r="B4652" i="1"/>
  <c r="E4653" i="1"/>
  <c r="B4653" i="1"/>
  <c r="E4654" i="1"/>
  <c r="B4654" i="1"/>
  <c r="E4655" i="1"/>
  <c r="B4655" i="1"/>
  <c r="E4656" i="1"/>
  <c r="B4656" i="1"/>
  <c r="E4658" i="1"/>
  <c r="B4658" i="1"/>
  <c r="E4657" i="1"/>
  <c r="B4657" i="1"/>
  <c r="E4659" i="1"/>
  <c r="B4659" i="1"/>
  <c r="E4660" i="1"/>
  <c r="B4660" i="1"/>
  <c r="E4661" i="1"/>
  <c r="B4661" i="1"/>
  <c r="E4662" i="1"/>
  <c r="B4662" i="1"/>
  <c r="E4663" i="1"/>
  <c r="B4663" i="1"/>
  <c r="E4664" i="1"/>
  <c r="B4664" i="1"/>
  <c r="E4665" i="1"/>
  <c r="B4665" i="1"/>
  <c r="E4666" i="1"/>
  <c r="B4666" i="1"/>
  <c r="E4667" i="1"/>
  <c r="B4667" i="1"/>
  <c r="E4668" i="1"/>
  <c r="B4668" i="1"/>
  <c r="E4669" i="1"/>
  <c r="B4669" i="1"/>
  <c r="E4670" i="1"/>
  <c r="B4670" i="1"/>
  <c r="E4671" i="1"/>
  <c r="B4671" i="1"/>
  <c r="E4672" i="1"/>
  <c r="B4672" i="1"/>
  <c r="E4673" i="1"/>
  <c r="B4673" i="1"/>
  <c r="E4674" i="1"/>
  <c r="B4674" i="1"/>
  <c r="E4675" i="1"/>
  <c r="B4675" i="1"/>
  <c r="E4676" i="1"/>
  <c r="B4676" i="1"/>
  <c r="E4677" i="1"/>
  <c r="B4677" i="1"/>
  <c r="E4678" i="1"/>
  <c r="B4678" i="1"/>
  <c r="E4679" i="1"/>
  <c r="B4679" i="1"/>
  <c r="E4680" i="1"/>
  <c r="B4680" i="1"/>
  <c r="E4681" i="1"/>
  <c r="B4681" i="1"/>
  <c r="E4682" i="1"/>
  <c r="B4682" i="1"/>
  <c r="E4683" i="1"/>
  <c r="B4683" i="1"/>
  <c r="E4684" i="1"/>
  <c r="B4684" i="1"/>
  <c r="E4685" i="1"/>
  <c r="B4685" i="1"/>
  <c r="E4686" i="1"/>
  <c r="B4686" i="1"/>
  <c r="E4687" i="1"/>
  <c r="B4687" i="1"/>
  <c r="E4688" i="1"/>
  <c r="B4688" i="1"/>
  <c r="E4689" i="1"/>
  <c r="B4689" i="1"/>
  <c r="E4690" i="1"/>
  <c r="B4690" i="1"/>
  <c r="E4691" i="1"/>
  <c r="B4691" i="1"/>
  <c r="E4692" i="1"/>
  <c r="B4692" i="1"/>
  <c r="E4693" i="1"/>
  <c r="B4693" i="1"/>
  <c r="E4694" i="1"/>
  <c r="B4694" i="1"/>
  <c r="E4695" i="1"/>
  <c r="B4695" i="1"/>
  <c r="E4696" i="1"/>
  <c r="B4696" i="1"/>
  <c r="E4697" i="1"/>
  <c r="B4697" i="1"/>
  <c r="E4698" i="1"/>
  <c r="B4698" i="1"/>
  <c r="E4699" i="1"/>
  <c r="B4699" i="1"/>
  <c r="E4700" i="1"/>
  <c r="B4700" i="1"/>
  <c r="E4701" i="1"/>
  <c r="B4701" i="1"/>
  <c r="E4702" i="1"/>
  <c r="B4702" i="1"/>
  <c r="E4703" i="1"/>
  <c r="B4703" i="1"/>
  <c r="E4704" i="1"/>
  <c r="B4704" i="1"/>
  <c r="E4705" i="1"/>
  <c r="B4705" i="1"/>
  <c r="E4706" i="1"/>
  <c r="B4706" i="1"/>
  <c r="E4707" i="1"/>
  <c r="B4707" i="1"/>
  <c r="E4709" i="1"/>
  <c r="B4709" i="1"/>
  <c r="E4708" i="1"/>
  <c r="B4708" i="1"/>
  <c r="E4710" i="1"/>
  <c r="B4710" i="1"/>
  <c r="E4711" i="1"/>
  <c r="B4711" i="1"/>
  <c r="E4712" i="1"/>
  <c r="B4712" i="1"/>
  <c r="E4713" i="1"/>
  <c r="B4713" i="1"/>
  <c r="E4714" i="1"/>
  <c r="B4714" i="1"/>
  <c r="E4715" i="1"/>
  <c r="B4715" i="1"/>
  <c r="E4716" i="1"/>
  <c r="B4716" i="1"/>
  <c r="E4717" i="1"/>
  <c r="B4717" i="1"/>
  <c r="E4718" i="1"/>
  <c r="B4718" i="1"/>
  <c r="E4719" i="1"/>
  <c r="B4719" i="1"/>
  <c r="E4720" i="1"/>
  <c r="B4720" i="1"/>
  <c r="E4721" i="1"/>
  <c r="B4721" i="1"/>
  <c r="E4722" i="1"/>
  <c r="B4722" i="1"/>
  <c r="E4723" i="1"/>
  <c r="B4723" i="1"/>
  <c r="E4724" i="1"/>
  <c r="B4724" i="1"/>
  <c r="E4725" i="1"/>
  <c r="B4725" i="1"/>
  <c r="E4726" i="1"/>
  <c r="B4726" i="1"/>
  <c r="E4727" i="1"/>
  <c r="B4727" i="1"/>
  <c r="E4728" i="1"/>
  <c r="B4728" i="1"/>
  <c r="E4729" i="1"/>
  <c r="B4729" i="1"/>
  <c r="E4731" i="1"/>
  <c r="B4731" i="1"/>
  <c r="E4730" i="1"/>
  <c r="B4730" i="1"/>
  <c r="E4732" i="1"/>
  <c r="B4732" i="1"/>
  <c r="E4733" i="1"/>
  <c r="B4733" i="1"/>
  <c r="E4734" i="1"/>
  <c r="B4734" i="1"/>
  <c r="E4735" i="1"/>
  <c r="B4735" i="1"/>
  <c r="E4736" i="1"/>
  <c r="B4736" i="1"/>
  <c r="E4737" i="1"/>
  <c r="B4737" i="1"/>
  <c r="E4738" i="1"/>
  <c r="B4738" i="1"/>
  <c r="E4739" i="1"/>
  <c r="B4739" i="1"/>
  <c r="E4740" i="1"/>
  <c r="B4740" i="1"/>
  <c r="E4741" i="1"/>
  <c r="B4741" i="1"/>
  <c r="E4742" i="1"/>
  <c r="B4742" i="1"/>
  <c r="E4743" i="1"/>
  <c r="B4743" i="1"/>
  <c r="E4744" i="1"/>
  <c r="B4744" i="1"/>
  <c r="E4745" i="1"/>
  <c r="B4745" i="1"/>
  <c r="E4746" i="1"/>
  <c r="B4746" i="1"/>
  <c r="E4747" i="1"/>
  <c r="B4747" i="1"/>
  <c r="E4748" i="1"/>
  <c r="B4748" i="1"/>
  <c r="E4749" i="1"/>
  <c r="B4749" i="1"/>
  <c r="E4750" i="1"/>
  <c r="B4750" i="1"/>
  <c r="E4751" i="1"/>
  <c r="B4751" i="1"/>
  <c r="E4752" i="1"/>
  <c r="B4752" i="1"/>
  <c r="E4753" i="1"/>
  <c r="B4753" i="1"/>
  <c r="E4754" i="1"/>
  <c r="B4754" i="1"/>
  <c r="E4755" i="1"/>
  <c r="B4755" i="1"/>
  <c r="E4756" i="1"/>
  <c r="B4756" i="1"/>
  <c r="E4757" i="1"/>
  <c r="B4757" i="1"/>
  <c r="E4758" i="1"/>
  <c r="B4758" i="1"/>
  <c r="E4759" i="1"/>
  <c r="B4759" i="1"/>
  <c r="E4760" i="1"/>
  <c r="B4760" i="1"/>
  <c r="E4761" i="1"/>
  <c r="B4761" i="1"/>
  <c r="E4762" i="1"/>
  <c r="B4762" i="1"/>
  <c r="E4763" i="1"/>
  <c r="B4763" i="1"/>
  <c r="E4764" i="1"/>
  <c r="B4764" i="1"/>
  <c r="E4765" i="1"/>
  <c r="B4765" i="1"/>
  <c r="E4766" i="1"/>
  <c r="B4766" i="1"/>
  <c r="E4767" i="1"/>
  <c r="B4767" i="1"/>
  <c r="E4768" i="1"/>
  <c r="B4768" i="1"/>
  <c r="E4769" i="1"/>
  <c r="B4769" i="1"/>
  <c r="E4770" i="1"/>
  <c r="B4770" i="1"/>
  <c r="E4771" i="1"/>
  <c r="B4771" i="1"/>
  <c r="E4772" i="1"/>
  <c r="B4772" i="1"/>
  <c r="E4773" i="1"/>
  <c r="B4773" i="1"/>
  <c r="E4774" i="1"/>
  <c r="B4774" i="1"/>
  <c r="E4775" i="1"/>
  <c r="B4775" i="1"/>
  <c r="E4776" i="1"/>
  <c r="B4776" i="1"/>
  <c r="E4777" i="1"/>
  <c r="B4777" i="1"/>
  <c r="E4778" i="1"/>
  <c r="B4778" i="1"/>
  <c r="E4779" i="1"/>
  <c r="B4779" i="1"/>
  <c r="E4780" i="1"/>
  <c r="B4780" i="1"/>
  <c r="E4781" i="1"/>
  <c r="B4781" i="1"/>
  <c r="E4782" i="1"/>
  <c r="B4782" i="1"/>
  <c r="E4783" i="1"/>
  <c r="B4783" i="1"/>
  <c r="E4784" i="1"/>
  <c r="B4784" i="1"/>
  <c r="E4786" i="1"/>
  <c r="B4786" i="1"/>
  <c r="E4785" i="1"/>
  <c r="B4785" i="1"/>
  <c r="E4787" i="1"/>
  <c r="B4787" i="1"/>
  <c r="E4788" i="1"/>
  <c r="B4788" i="1"/>
  <c r="E4789" i="1"/>
  <c r="B4789" i="1"/>
  <c r="E4790" i="1"/>
  <c r="B4790" i="1"/>
  <c r="E4791" i="1"/>
  <c r="B4791" i="1"/>
  <c r="E4792" i="1"/>
  <c r="B4792" i="1"/>
  <c r="E4793" i="1"/>
  <c r="B4793" i="1"/>
  <c r="E4794" i="1"/>
  <c r="B4794" i="1"/>
  <c r="E4795" i="1"/>
  <c r="B4795" i="1"/>
  <c r="E4796" i="1"/>
  <c r="B4796" i="1"/>
  <c r="E4798" i="1"/>
  <c r="B4798" i="1"/>
  <c r="E4797" i="1"/>
  <c r="B4797" i="1"/>
  <c r="E4799" i="1"/>
  <c r="B4799" i="1"/>
  <c r="E4801" i="1"/>
  <c r="B4801" i="1"/>
  <c r="E4800" i="1"/>
  <c r="B4800" i="1"/>
  <c r="E4802" i="1"/>
  <c r="B4802" i="1"/>
  <c r="E4803" i="1"/>
  <c r="B4803" i="1"/>
  <c r="E4804" i="1"/>
  <c r="B4804" i="1"/>
  <c r="E4805" i="1"/>
  <c r="B4805" i="1"/>
  <c r="E4806" i="1"/>
  <c r="B4806" i="1"/>
  <c r="E4807" i="1"/>
  <c r="B4807" i="1"/>
  <c r="E4808" i="1"/>
  <c r="B4808" i="1"/>
  <c r="E4809" i="1"/>
  <c r="B4809" i="1"/>
  <c r="E4810" i="1"/>
  <c r="B4810" i="1"/>
  <c r="E4811" i="1"/>
  <c r="B4811" i="1"/>
  <c r="E4812" i="1"/>
  <c r="B4812" i="1"/>
  <c r="E4813" i="1"/>
  <c r="B4813" i="1"/>
  <c r="E4814" i="1"/>
  <c r="B4814" i="1"/>
  <c r="E4815" i="1"/>
  <c r="B4815" i="1"/>
  <c r="E4816" i="1"/>
  <c r="B4816" i="1"/>
  <c r="E4817" i="1"/>
  <c r="B4817" i="1"/>
  <c r="E4818" i="1"/>
  <c r="B4818" i="1"/>
  <c r="E4819" i="1"/>
  <c r="B4819" i="1"/>
  <c r="E4820" i="1"/>
  <c r="B4820" i="1"/>
  <c r="E4821" i="1"/>
  <c r="B4821" i="1"/>
  <c r="E4822" i="1"/>
  <c r="B4822" i="1"/>
  <c r="E4823" i="1"/>
  <c r="B4823" i="1"/>
  <c r="E4824" i="1"/>
  <c r="B4824" i="1"/>
  <c r="E4825" i="1"/>
  <c r="B4825" i="1"/>
  <c r="E4826" i="1"/>
  <c r="B4826" i="1"/>
  <c r="E4827" i="1"/>
  <c r="B4827" i="1"/>
  <c r="E4828" i="1"/>
  <c r="B4828" i="1"/>
  <c r="E4829" i="1"/>
  <c r="B4829" i="1"/>
  <c r="E4830" i="1"/>
  <c r="B4830" i="1"/>
  <c r="E4831" i="1"/>
  <c r="B4831" i="1"/>
  <c r="E4832" i="1"/>
  <c r="B4832" i="1"/>
  <c r="E4833" i="1"/>
  <c r="B4833" i="1"/>
  <c r="E4834" i="1"/>
  <c r="B4834" i="1"/>
  <c r="E4835" i="1"/>
  <c r="B4835" i="1"/>
  <c r="E4836" i="1"/>
  <c r="B4836" i="1"/>
  <c r="E4837" i="1"/>
  <c r="B4837" i="1"/>
  <c r="E4838" i="1"/>
  <c r="B4838" i="1"/>
  <c r="E4840" i="1"/>
  <c r="B4840" i="1"/>
  <c r="E4839" i="1"/>
  <c r="B4839" i="1"/>
  <c r="E4841" i="1"/>
  <c r="B4841" i="1"/>
  <c r="E4842" i="1"/>
  <c r="B4842" i="1"/>
  <c r="E4843" i="1"/>
  <c r="B4843" i="1"/>
  <c r="E4844" i="1"/>
  <c r="B4844" i="1"/>
  <c r="E4845" i="1"/>
  <c r="B4845" i="1"/>
  <c r="E4846" i="1"/>
  <c r="B4846" i="1"/>
  <c r="E4847" i="1"/>
  <c r="B4847" i="1"/>
  <c r="E4848" i="1"/>
  <c r="B4848" i="1"/>
  <c r="E4849" i="1"/>
  <c r="B4849" i="1"/>
  <c r="E4850" i="1"/>
  <c r="B4850" i="1"/>
  <c r="E4851" i="1"/>
  <c r="B4851" i="1"/>
  <c r="E4852" i="1"/>
  <c r="B4852" i="1"/>
  <c r="E4853" i="1"/>
  <c r="B4853" i="1"/>
  <c r="E4854" i="1"/>
  <c r="B4854" i="1"/>
  <c r="E4855" i="1"/>
  <c r="B4855" i="1"/>
  <c r="E4856" i="1"/>
  <c r="B4856" i="1"/>
  <c r="E4857" i="1"/>
  <c r="B4857" i="1"/>
  <c r="E4858" i="1"/>
  <c r="B4858" i="1"/>
  <c r="E4859" i="1"/>
  <c r="B4859" i="1"/>
  <c r="E4860" i="1"/>
  <c r="B4860" i="1"/>
  <c r="E4861" i="1"/>
  <c r="B4861" i="1"/>
  <c r="E4862" i="1"/>
  <c r="B4862" i="1"/>
  <c r="E4863" i="1"/>
  <c r="B4863" i="1"/>
  <c r="E4864" i="1"/>
  <c r="B4864" i="1"/>
  <c r="E4866" i="1"/>
  <c r="B4866" i="1"/>
  <c r="E4865" i="1"/>
  <c r="B4865" i="1"/>
  <c r="E4867" i="1"/>
  <c r="B4867" i="1"/>
  <c r="E4868" i="1"/>
  <c r="B4868" i="1"/>
  <c r="E4869" i="1"/>
  <c r="B4869" i="1"/>
  <c r="E4870" i="1"/>
  <c r="B4870" i="1"/>
  <c r="E4871" i="1"/>
  <c r="B4871" i="1"/>
  <c r="E4872" i="1"/>
  <c r="B4872" i="1"/>
  <c r="E4873" i="1"/>
  <c r="B4873" i="1"/>
  <c r="E4874" i="1"/>
  <c r="B4874" i="1"/>
  <c r="E4875" i="1"/>
  <c r="B4875" i="1"/>
  <c r="E4876" i="1"/>
  <c r="B4876" i="1"/>
  <c r="E4877" i="1"/>
  <c r="B4877" i="1"/>
  <c r="E4878" i="1"/>
  <c r="B4878" i="1"/>
  <c r="E4879" i="1"/>
  <c r="B4879" i="1"/>
  <c r="E4880" i="1"/>
  <c r="B4880" i="1"/>
  <c r="E4881" i="1"/>
  <c r="B4881" i="1"/>
  <c r="E4882" i="1"/>
  <c r="B4882" i="1"/>
  <c r="E4883" i="1"/>
  <c r="B4883" i="1"/>
  <c r="E4884" i="1"/>
  <c r="B4884" i="1"/>
  <c r="E4885" i="1"/>
  <c r="B4885" i="1"/>
  <c r="E4886" i="1"/>
  <c r="B4886" i="1"/>
  <c r="E4887" i="1"/>
  <c r="B4887" i="1"/>
  <c r="E4888" i="1"/>
  <c r="B4888" i="1"/>
  <c r="E4889" i="1"/>
  <c r="B4889" i="1"/>
  <c r="E4890" i="1"/>
  <c r="B4890" i="1"/>
  <c r="E4891" i="1"/>
  <c r="B4891" i="1"/>
  <c r="E4892" i="1"/>
  <c r="B4892" i="1"/>
  <c r="E4893" i="1"/>
  <c r="B4893" i="1"/>
  <c r="E4894" i="1"/>
  <c r="B4894" i="1"/>
  <c r="E4895" i="1"/>
  <c r="B4895" i="1"/>
  <c r="E4896" i="1"/>
  <c r="B4896" i="1"/>
  <c r="E4897" i="1"/>
  <c r="B4897" i="1"/>
  <c r="E4898" i="1"/>
  <c r="B4898" i="1"/>
  <c r="E4899" i="1"/>
  <c r="B4899" i="1"/>
  <c r="E4900" i="1"/>
  <c r="B4900" i="1"/>
  <c r="E4901" i="1"/>
  <c r="B4901" i="1"/>
  <c r="E4902" i="1"/>
  <c r="B4902" i="1"/>
  <c r="E4903" i="1"/>
  <c r="B4903" i="1"/>
  <c r="E4904" i="1"/>
  <c r="B4904" i="1"/>
  <c r="E4905" i="1"/>
  <c r="B4905" i="1"/>
  <c r="E4906" i="1"/>
  <c r="B4906" i="1"/>
  <c r="E4907" i="1"/>
  <c r="B4907" i="1"/>
  <c r="E4908" i="1"/>
  <c r="B4908" i="1"/>
  <c r="E4909" i="1"/>
  <c r="B4909" i="1"/>
  <c r="E4910" i="1"/>
  <c r="B4910" i="1"/>
  <c r="E4911" i="1"/>
  <c r="B4911" i="1"/>
  <c r="E4912" i="1"/>
  <c r="B4912" i="1"/>
  <c r="E4913" i="1"/>
  <c r="B4913" i="1"/>
  <c r="E4914" i="1"/>
  <c r="B4914" i="1"/>
  <c r="E4915" i="1"/>
  <c r="B4915" i="1"/>
  <c r="E4916" i="1"/>
  <c r="B4916" i="1"/>
  <c r="E4917" i="1"/>
  <c r="B4917" i="1"/>
  <c r="E4918" i="1"/>
  <c r="B4918" i="1"/>
  <c r="E4919" i="1"/>
  <c r="B4919" i="1"/>
  <c r="E4920" i="1"/>
  <c r="B4920" i="1"/>
  <c r="E4921" i="1"/>
  <c r="B4921" i="1"/>
  <c r="E4922" i="1"/>
  <c r="B4922" i="1"/>
  <c r="E4923" i="1"/>
  <c r="B4923" i="1"/>
  <c r="E4924" i="1"/>
  <c r="B4924" i="1"/>
  <c r="E4925" i="1"/>
  <c r="B4925" i="1"/>
  <c r="E4926" i="1"/>
  <c r="B4926" i="1"/>
  <c r="E4927" i="1"/>
  <c r="B4927" i="1"/>
  <c r="E4928" i="1"/>
  <c r="B4928" i="1"/>
  <c r="E4929" i="1"/>
  <c r="B4929" i="1"/>
  <c r="E4930" i="1"/>
  <c r="B4930" i="1"/>
  <c r="E4931" i="1"/>
  <c r="B4931" i="1"/>
  <c r="E4932" i="1"/>
  <c r="B4932" i="1"/>
  <c r="E4933" i="1"/>
  <c r="B4933" i="1"/>
  <c r="E4934" i="1"/>
  <c r="B4934" i="1"/>
  <c r="E4935" i="1"/>
  <c r="B4935" i="1"/>
  <c r="E4936" i="1"/>
  <c r="B4936" i="1"/>
  <c r="E4937" i="1"/>
  <c r="B4937" i="1"/>
  <c r="E4938" i="1"/>
  <c r="B4938" i="1"/>
  <c r="E4939" i="1"/>
  <c r="B4939" i="1"/>
  <c r="E4940" i="1"/>
  <c r="B4940" i="1"/>
  <c r="E4941" i="1"/>
  <c r="B4941" i="1"/>
  <c r="E4942" i="1"/>
  <c r="B4942" i="1"/>
  <c r="E4943" i="1"/>
  <c r="B4943" i="1"/>
  <c r="E4944" i="1"/>
  <c r="B4944" i="1"/>
  <c r="E4945" i="1"/>
  <c r="B4945" i="1"/>
  <c r="E4946" i="1"/>
  <c r="B4946" i="1"/>
  <c r="E4947" i="1"/>
  <c r="B4947" i="1"/>
  <c r="E4948" i="1"/>
  <c r="B4948" i="1"/>
  <c r="E4949" i="1"/>
  <c r="B4949" i="1"/>
  <c r="E4950" i="1"/>
  <c r="B4950" i="1"/>
  <c r="E4951" i="1"/>
  <c r="B4951" i="1"/>
  <c r="E4952" i="1"/>
  <c r="B4952" i="1"/>
  <c r="E4953" i="1"/>
  <c r="B4953" i="1"/>
  <c r="E4954" i="1"/>
  <c r="B4954" i="1"/>
  <c r="E4955" i="1"/>
  <c r="B4955" i="1"/>
  <c r="E4956" i="1"/>
  <c r="B4956" i="1"/>
  <c r="E4957" i="1"/>
  <c r="B4957" i="1"/>
  <c r="E4958" i="1"/>
  <c r="B4958" i="1"/>
  <c r="E4959" i="1"/>
  <c r="B4959" i="1"/>
  <c r="E4960" i="1"/>
  <c r="B4960" i="1"/>
  <c r="E4961" i="1"/>
  <c r="B4961" i="1"/>
  <c r="E4962" i="1"/>
  <c r="B4962" i="1"/>
  <c r="E4963" i="1"/>
  <c r="B4963" i="1"/>
  <c r="E4964" i="1"/>
  <c r="B4964" i="1"/>
  <c r="E4965" i="1"/>
  <c r="B4965" i="1"/>
  <c r="E4966" i="1"/>
  <c r="B4966" i="1"/>
  <c r="E4967" i="1"/>
  <c r="B4967" i="1"/>
  <c r="E4968" i="1"/>
  <c r="B4968" i="1"/>
  <c r="E4969" i="1"/>
  <c r="B4969" i="1"/>
  <c r="E4970" i="1"/>
  <c r="B4970" i="1"/>
  <c r="E4971" i="1"/>
  <c r="B4971" i="1"/>
  <c r="E4972" i="1"/>
  <c r="B4972" i="1"/>
  <c r="E4973" i="1"/>
  <c r="B4973" i="1"/>
  <c r="E4974" i="1"/>
  <c r="B4974" i="1"/>
  <c r="E4975" i="1"/>
  <c r="B4975" i="1"/>
  <c r="E4976" i="1"/>
  <c r="B4976" i="1"/>
  <c r="E4977" i="1"/>
  <c r="B4977" i="1"/>
  <c r="E4978" i="1"/>
  <c r="B4978" i="1"/>
  <c r="E4979" i="1"/>
  <c r="B4979" i="1"/>
  <c r="E4980" i="1"/>
  <c r="B4980" i="1"/>
  <c r="E4981" i="1"/>
  <c r="B4981" i="1"/>
  <c r="E4982" i="1"/>
  <c r="B4982" i="1"/>
  <c r="E4983" i="1"/>
  <c r="B4983" i="1"/>
  <c r="E4984" i="1"/>
  <c r="B4984" i="1"/>
  <c r="E4985" i="1"/>
  <c r="B4985" i="1"/>
  <c r="E4986" i="1"/>
  <c r="B4986" i="1"/>
  <c r="E4987" i="1"/>
  <c r="B4987" i="1"/>
  <c r="E4988" i="1"/>
  <c r="B4988" i="1"/>
  <c r="E4989" i="1"/>
  <c r="B4989" i="1"/>
  <c r="E4990" i="1"/>
  <c r="B4990" i="1"/>
  <c r="E4991" i="1"/>
  <c r="B4991" i="1"/>
  <c r="E4992" i="1"/>
  <c r="B4992" i="1"/>
  <c r="E4993" i="1"/>
  <c r="B4993" i="1"/>
  <c r="E4994" i="1"/>
  <c r="B4994" i="1"/>
  <c r="E4995" i="1"/>
  <c r="B4995" i="1"/>
  <c r="E4996" i="1"/>
  <c r="B4996" i="1"/>
  <c r="E4997" i="1"/>
  <c r="B4997" i="1"/>
  <c r="E4998" i="1"/>
  <c r="B4998" i="1"/>
  <c r="E4999" i="1"/>
  <c r="B4999" i="1"/>
  <c r="E5000" i="1"/>
  <c r="B5000" i="1"/>
  <c r="E5001" i="1"/>
  <c r="B5001" i="1"/>
  <c r="E5002" i="1"/>
  <c r="B5002" i="1"/>
  <c r="E5003" i="1"/>
  <c r="B5003" i="1"/>
  <c r="E5004" i="1"/>
  <c r="B5004" i="1"/>
  <c r="E5005" i="1"/>
  <c r="B5005" i="1"/>
  <c r="E5006" i="1"/>
  <c r="B5006" i="1"/>
  <c r="E5007" i="1"/>
  <c r="B5007" i="1"/>
  <c r="E5008" i="1"/>
  <c r="B5008" i="1"/>
  <c r="E5009" i="1"/>
  <c r="B5009" i="1"/>
  <c r="E5010" i="1"/>
  <c r="B5010" i="1"/>
  <c r="E5011" i="1"/>
  <c r="B5011" i="1"/>
  <c r="E5012" i="1"/>
  <c r="B5012" i="1"/>
  <c r="E5013" i="1"/>
  <c r="B5013" i="1"/>
  <c r="E5014" i="1"/>
  <c r="B5014" i="1"/>
  <c r="E5015" i="1"/>
  <c r="B5015" i="1"/>
  <c r="E5016" i="1"/>
  <c r="B5016" i="1"/>
  <c r="E5017" i="1"/>
  <c r="B5017" i="1"/>
  <c r="E5018" i="1"/>
  <c r="B5018" i="1"/>
  <c r="E5019" i="1"/>
  <c r="B5019" i="1"/>
  <c r="E5020" i="1"/>
  <c r="B5020" i="1"/>
  <c r="E5021" i="1"/>
  <c r="B5021" i="1"/>
  <c r="E5022" i="1"/>
  <c r="B5022" i="1"/>
  <c r="E5023" i="1"/>
  <c r="B5023" i="1"/>
  <c r="E5024" i="1"/>
  <c r="B5024" i="1"/>
  <c r="E5025" i="1"/>
  <c r="B5025" i="1"/>
  <c r="E5026" i="1"/>
  <c r="B5026" i="1"/>
  <c r="E5027" i="1"/>
  <c r="B5027" i="1"/>
  <c r="E5028" i="1"/>
  <c r="B5028" i="1"/>
  <c r="E5029" i="1"/>
  <c r="B5029" i="1"/>
  <c r="E5030" i="1"/>
  <c r="B5030" i="1"/>
  <c r="E5031" i="1"/>
  <c r="B5031" i="1"/>
  <c r="E5032" i="1"/>
  <c r="B5032" i="1"/>
  <c r="E5033" i="1"/>
  <c r="B5033" i="1"/>
  <c r="E5034" i="1"/>
  <c r="B5034" i="1"/>
  <c r="E5035" i="1"/>
  <c r="B5035" i="1"/>
  <c r="E5036" i="1"/>
  <c r="B5036" i="1"/>
  <c r="E5037" i="1"/>
  <c r="B5037" i="1"/>
  <c r="E5038" i="1"/>
  <c r="B5038" i="1"/>
  <c r="E5039" i="1"/>
  <c r="B5039" i="1"/>
  <c r="E5040" i="1"/>
  <c r="B5040" i="1"/>
  <c r="E5041" i="1"/>
  <c r="B5041" i="1"/>
  <c r="E5042" i="1"/>
  <c r="B5042" i="1"/>
  <c r="E5043" i="1"/>
  <c r="B5043" i="1"/>
  <c r="E5044" i="1"/>
  <c r="B5044" i="1"/>
  <c r="E5045" i="1"/>
  <c r="B5045" i="1"/>
  <c r="E5046" i="1"/>
  <c r="B5046" i="1"/>
  <c r="E5047" i="1"/>
  <c r="B5047" i="1"/>
  <c r="E5048" i="1"/>
  <c r="B5048" i="1"/>
  <c r="E5049" i="1"/>
  <c r="B5049" i="1"/>
  <c r="E5050" i="1"/>
  <c r="B5050" i="1"/>
  <c r="E5051" i="1"/>
  <c r="B5051" i="1"/>
  <c r="E5052" i="1"/>
  <c r="B5052" i="1"/>
  <c r="E5053" i="1"/>
  <c r="B5053" i="1"/>
  <c r="E5054" i="1"/>
  <c r="B5054" i="1"/>
  <c r="E5055" i="1"/>
  <c r="B5055" i="1"/>
  <c r="E5056" i="1"/>
  <c r="B5056" i="1"/>
  <c r="E5057" i="1"/>
  <c r="B5057" i="1"/>
  <c r="E5058" i="1"/>
  <c r="B5058" i="1"/>
  <c r="E5059" i="1"/>
  <c r="B5059" i="1"/>
  <c r="E5060" i="1"/>
  <c r="B5060" i="1"/>
  <c r="E5061" i="1"/>
  <c r="B5061" i="1"/>
  <c r="E5062" i="1"/>
  <c r="B5062" i="1"/>
  <c r="E5063" i="1"/>
  <c r="B5063" i="1"/>
  <c r="E5064" i="1"/>
  <c r="B5064" i="1"/>
  <c r="E5065" i="1"/>
  <c r="B5065" i="1"/>
  <c r="E5066" i="1"/>
  <c r="B5066" i="1"/>
  <c r="E5067" i="1"/>
  <c r="B5067" i="1"/>
  <c r="E5068" i="1"/>
  <c r="B5068" i="1"/>
  <c r="E5069" i="1"/>
  <c r="B5069" i="1"/>
  <c r="E5070" i="1"/>
  <c r="B5070" i="1"/>
  <c r="E5071" i="1"/>
  <c r="B5071" i="1"/>
  <c r="E5072" i="1"/>
  <c r="B5072" i="1"/>
  <c r="E5073" i="1"/>
  <c r="B5073" i="1"/>
  <c r="E5074" i="1"/>
  <c r="B5074" i="1"/>
  <c r="E5075" i="1"/>
  <c r="B5075" i="1"/>
  <c r="E5076" i="1"/>
  <c r="B5076" i="1"/>
  <c r="E5077" i="1"/>
  <c r="B5077" i="1"/>
  <c r="E5078" i="1"/>
  <c r="B5078" i="1"/>
  <c r="E5079" i="1"/>
  <c r="B5079" i="1"/>
  <c r="E5080" i="1"/>
  <c r="B5080" i="1"/>
  <c r="E5081" i="1"/>
  <c r="B5081" i="1"/>
  <c r="E5082" i="1"/>
  <c r="B5082" i="1"/>
  <c r="E5083" i="1"/>
  <c r="B5083" i="1"/>
  <c r="E5084" i="1"/>
  <c r="B5084" i="1"/>
  <c r="E5085" i="1"/>
  <c r="B5085" i="1"/>
  <c r="E5086" i="1"/>
  <c r="B5086" i="1"/>
  <c r="E5087" i="1"/>
  <c r="B5087" i="1"/>
  <c r="E5088" i="1"/>
  <c r="B5088" i="1"/>
  <c r="E5089" i="1"/>
  <c r="B5089" i="1"/>
  <c r="E5090" i="1"/>
  <c r="B5090" i="1"/>
  <c r="E5091" i="1"/>
  <c r="B5091" i="1"/>
  <c r="E5092" i="1"/>
  <c r="B5092" i="1"/>
  <c r="E5093" i="1"/>
  <c r="B5093" i="1"/>
  <c r="E5094" i="1"/>
  <c r="B5094" i="1"/>
  <c r="E5095" i="1"/>
  <c r="B5095" i="1"/>
  <c r="E5096" i="1"/>
  <c r="B5096" i="1"/>
  <c r="E5097" i="1"/>
  <c r="B5097" i="1"/>
  <c r="E5098" i="1"/>
  <c r="B5098" i="1"/>
  <c r="E5099" i="1"/>
  <c r="B5099" i="1"/>
  <c r="E5100" i="1"/>
  <c r="B5100" i="1"/>
  <c r="E5101" i="1"/>
  <c r="B5101" i="1"/>
  <c r="E5102" i="1"/>
  <c r="B5102" i="1"/>
  <c r="E5103" i="1"/>
  <c r="B5103" i="1"/>
  <c r="E5104" i="1"/>
  <c r="B5104" i="1"/>
  <c r="E5105" i="1"/>
  <c r="B5105" i="1"/>
  <c r="E5106" i="1"/>
  <c r="B5106" i="1"/>
  <c r="E5107" i="1"/>
  <c r="B5107" i="1"/>
  <c r="E5108" i="1"/>
  <c r="B5108" i="1"/>
  <c r="E5109" i="1"/>
  <c r="B5109" i="1"/>
  <c r="E5110" i="1"/>
  <c r="B5110" i="1"/>
  <c r="E5111" i="1"/>
  <c r="B5111" i="1"/>
  <c r="E5112" i="1"/>
  <c r="B5112" i="1"/>
  <c r="E5113" i="1"/>
  <c r="B5113" i="1"/>
  <c r="E5114" i="1"/>
  <c r="B5114" i="1"/>
  <c r="E5115" i="1"/>
  <c r="B5115" i="1"/>
  <c r="E5116" i="1"/>
  <c r="B5116" i="1"/>
  <c r="E5117" i="1"/>
  <c r="B5117" i="1"/>
  <c r="E5118" i="1"/>
  <c r="B5118" i="1"/>
  <c r="E5119" i="1"/>
  <c r="B5119" i="1"/>
  <c r="E5120" i="1"/>
  <c r="B5120" i="1"/>
  <c r="E5121" i="1"/>
  <c r="B5121" i="1"/>
  <c r="E5122" i="1"/>
  <c r="B5122" i="1"/>
  <c r="E5123" i="1"/>
  <c r="B5123" i="1"/>
  <c r="E5124" i="1"/>
  <c r="B5124" i="1"/>
  <c r="E5125" i="1"/>
  <c r="B5125" i="1"/>
  <c r="E5126" i="1"/>
  <c r="B5126" i="1"/>
  <c r="E5127" i="1"/>
  <c r="B5127" i="1"/>
  <c r="E5128" i="1"/>
  <c r="B5128" i="1"/>
  <c r="E5129" i="1"/>
  <c r="B5129" i="1"/>
  <c r="E5130" i="1"/>
  <c r="B5130" i="1"/>
  <c r="E5131" i="1"/>
  <c r="B5131" i="1"/>
  <c r="E5132" i="1"/>
  <c r="B5132" i="1"/>
  <c r="E5133" i="1"/>
  <c r="B5133" i="1"/>
  <c r="E5134" i="1"/>
  <c r="B5134" i="1"/>
  <c r="E5135" i="1"/>
  <c r="B5135" i="1"/>
  <c r="E5136" i="1"/>
  <c r="B5136" i="1"/>
  <c r="E5137" i="1"/>
  <c r="B5137" i="1"/>
  <c r="E5138" i="1"/>
  <c r="B5138" i="1"/>
  <c r="E5139" i="1"/>
  <c r="B5139" i="1"/>
  <c r="E5140" i="1"/>
  <c r="B5140" i="1"/>
  <c r="E5141" i="1"/>
  <c r="B5141" i="1"/>
  <c r="E5142" i="1"/>
  <c r="B5142" i="1"/>
  <c r="E5143" i="1"/>
  <c r="B5143" i="1"/>
  <c r="E5144" i="1"/>
  <c r="B5144" i="1"/>
  <c r="E5145" i="1"/>
  <c r="B5145" i="1"/>
  <c r="E5146" i="1"/>
  <c r="B5146" i="1"/>
  <c r="E5147" i="1"/>
  <c r="B5147" i="1"/>
  <c r="E5148" i="1"/>
  <c r="B5148" i="1"/>
  <c r="E5149" i="1"/>
  <c r="B5149" i="1"/>
  <c r="E5150" i="1"/>
  <c r="B5150" i="1"/>
  <c r="E5151" i="1"/>
  <c r="B5151" i="1"/>
  <c r="E5152" i="1"/>
  <c r="B5152" i="1"/>
  <c r="E5153" i="1"/>
  <c r="B5153" i="1"/>
  <c r="E5154" i="1"/>
  <c r="B5154" i="1"/>
  <c r="E5155" i="1"/>
  <c r="B5155" i="1"/>
  <c r="E5156" i="1"/>
  <c r="B5156" i="1"/>
  <c r="E5157" i="1"/>
  <c r="B5157" i="1"/>
  <c r="E5158" i="1"/>
  <c r="B5158" i="1"/>
  <c r="E5159" i="1"/>
  <c r="B5159" i="1"/>
  <c r="E5160" i="1"/>
  <c r="B5160" i="1"/>
  <c r="E5161" i="1"/>
  <c r="B5161" i="1"/>
  <c r="E5162" i="1"/>
  <c r="B5162" i="1"/>
  <c r="E5163" i="1"/>
  <c r="B5163" i="1"/>
  <c r="E5164" i="1"/>
  <c r="B5164" i="1"/>
  <c r="E5165" i="1"/>
  <c r="B5165" i="1"/>
  <c r="E5166" i="1"/>
  <c r="B5166" i="1"/>
  <c r="E5167" i="1"/>
  <c r="B5167" i="1"/>
  <c r="E5168" i="1"/>
  <c r="B5168" i="1"/>
  <c r="E5169" i="1"/>
  <c r="B5169" i="1"/>
  <c r="E5170" i="1"/>
  <c r="B5170" i="1"/>
  <c r="E5171" i="1"/>
  <c r="B5171" i="1"/>
  <c r="E5172" i="1"/>
  <c r="B5172" i="1"/>
  <c r="E5173" i="1"/>
  <c r="B5173" i="1"/>
  <c r="E5174" i="1"/>
  <c r="B5174" i="1"/>
  <c r="E5175" i="1"/>
  <c r="B5175" i="1"/>
  <c r="E5176" i="1"/>
  <c r="B5176" i="1"/>
  <c r="E5177" i="1"/>
  <c r="B5177" i="1"/>
  <c r="E5178" i="1"/>
  <c r="B5178" i="1"/>
  <c r="E5179" i="1"/>
  <c r="B5179" i="1"/>
  <c r="E5180" i="1"/>
  <c r="B5180" i="1"/>
  <c r="E5181" i="1"/>
  <c r="B5181" i="1"/>
  <c r="E5182" i="1"/>
  <c r="B5182" i="1"/>
  <c r="E5183" i="1"/>
  <c r="B5183" i="1"/>
  <c r="E5184" i="1"/>
  <c r="B5184" i="1"/>
  <c r="E5185" i="1"/>
  <c r="B5185" i="1"/>
  <c r="E5186" i="1"/>
  <c r="B5186" i="1"/>
  <c r="E5187" i="1"/>
  <c r="B5187" i="1"/>
  <c r="E5188" i="1"/>
  <c r="B5188" i="1"/>
  <c r="E5189" i="1"/>
  <c r="B5189" i="1"/>
  <c r="E5190" i="1"/>
  <c r="B5190" i="1"/>
  <c r="E5191" i="1"/>
  <c r="B5191" i="1"/>
  <c r="E5192" i="1"/>
  <c r="B5192" i="1"/>
  <c r="E5193" i="1"/>
  <c r="B5193" i="1"/>
  <c r="E5194" i="1"/>
  <c r="B5194" i="1"/>
  <c r="E5195" i="1"/>
  <c r="B5195" i="1"/>
  <c r="E5196" i="1"/>
  <c r="B5196" i="1"/>
  <c r="E5197" i="1"/>
  <c r="B5197" i="1"/>
  <c r="E5198" i="1"/>
  <c r="B5198" i="1"/>
  <c r="E5199" i="1"/>
  <c r="B5199" i="1"/>
  <c r="E5200" i="1"/>
  <c r="B5200" i="1"/>
  <c r="E5201" i="1"/>
  <c r="B5201" i="1"/>
  <c r="E5202" i="1"/>
  <c r="B5202" i="1"/>
  <c r="E5203" i="1"/>
  <c r="B5203" i="1"/>
  <c r="E5204" i="1"/>
  <c r="B5204" i="1"/>
  <c r="E5205" i="1"/>
  <c r="B5205" i="1"/>
  <c r="E5206" i="1"/>
  <c r="B5206" i="1"/>
  <c r="E5207" i="1"/>
  <c r="B5207" i="1"/>
  <c r="E5208" i="1"/>
  <c r="B5208" i="1"/>
  <c r="E5209" i="1"/>
  <c r="B5209" i="1"/>
  <c r="E5210" i="1"/>
  <c r="B5210" i="1"/>
  <c r="E5211" i="1"/>
  <c r="B5211" i="1"/>
  <c r="E5212" i="1"/>
  <c r="B5212" i="1"/>
  <c r="E5213" i="1"/>
  <c r="B5213" i="1"/>
  <c r="E5214" i="1"/>
  <c r="B5214" i="1"/>
  <c r="E5215" i="1"/>
  <c r="B5215" i="1"/>
  <c r="E5216" i="1"/>
  <c r="B5216" i="1"/>
  <c r="E5217" i="1"/>
  <c r="B5217" i="1"/>
  <c r="E5218" i="1"/>
  <c r="B5218" i="1"/>
  <c r="E5219" i="1"/>
  <c r="B5219" i="1"/>
  <c r="E5220" i="1"/>
  <c r="B5220" i="1"/>
  <c r="E5221" i="1"/>
  <c r="B5221" i="1"/>
  <c r="E5222" i="1"/>
  <c r="B5222" i="1"/>
  <c r="E5223" i="1"/>
  <c r="B5223" i="1"/>
  <c r="E5226" i="1"/>
  <c r="B5226" i="1"/>
  <c r="E5225" i="1"/>
  <c r="B5225" i="1"/>
  <c r="E5224" i="1"/>
  <c r="B5224" i="1"/>
  <c r="E5227" i="1"/>
  <c r="B5227" i="1"/>
  <c r="E5228" i="1"/>
  <c r="B5228" i="1"/>
  <c r="E5229" i="1"/>
  <c r="B5229" i="1"/>
  <c r="E5230" i="1"/>
  <c r="B5230" i="1"/>
  <c r="E5231" i="1"/>
  <c r="B5231" i="1"/>
  <c r="E5232" i="1"/>
  <c r="B5232" i="1"/>
  <c r="E5233" i="1"/>
  <c r="B5233" i="1"/>
  <c r="E5234" i="1"/>
  <c r="B5234" i="1"/>
  <c r="E5235" i="1"/>
  <c r="B5235" i="1"/>
  <c r="E5236" i="1"/>
  <c r="B5236" i="1"/>
  <c r="E5237" i="1"/>
  <c r="B5237" i="1"/>
  <c r="E5238" i="1"/>
  <c r="B5238" i="1"/>
  <c r="E5239" i="1"/>
  <c r="B5239" i="1"/>
  <c r="E5240" i="1"/>
  <c r="B5240" i="1"/>
  <c r="E5241" i="1"/>
  <c r="B5241" i="1"/>
  <c r="E5242" i="1"/>
  <c r="B5242" i="1"/>
  <c r="E5243" i="1"/>
  <c r="B5243" i="1"/>
  <c r="E5244" i="1"/>
  <c r="B5244" i="1"/>
  <c r="E5245" i="1"/>
  <c r="B5245" i="1"/>
  <c r="E5246" i="1"/>
  <c r="B5246" i="1"/>
  <c r="E5247" i="1"/>
  <c r="B5247" i="1"/>
  <c r="E5248" i="1"/>
  <c r="B5248" i="1"/>
  <c r="E5249" i="1"/>
  <c r="B5249" i="1"/>
  <c r="E5250" i="1"/>
  <c r="B5250" i="1"/>
  <c r="E5251" i="1"/>
  <c r="B5251" i="1"/>
  <c r="E5252" i="1"/>
  <c r="B5252" i="1"/>
  <c r="E5253" i="1"/>
  <c r="B5253" i="1"/>
  <c r="E5254" i="1"/>
  <c r="B5254" i="1"/>
  <c r="E5255" i="1"/>
  <c r="B5255" i="1"/>
  <c r="E5256" i="1"/>
  <c r="B5256" i="1"/>
  <c r="E5257" i="1"/>
  <c r="B5257" i="1"/>
  <c r="E5258" i="1"/>
  <c r="B5258" i="1"/>
  <c r="E5259" i="1"/>
  <c r="B5259" i="1"/>
  <c r="E5260" i="1"/>
  <c r="B5260" i="1"/>
  <c r="E5261" i="1"/>
  <c r="B5261" i="1"/>
  <c r="E5262" i="1"/>
  <c r="B5262" i="1"/>
  <c r="E5263" i="1"/>
  <c r="B5263" i="1"/>
  <c r="E5264" i="1"/>
  <c r="B5264" i="1"/>
  <c r="E5265" i="1"/>
  <c r="B5265" i="1"/>
  <c r="E5266" i="1"/>
  <c r="B5266" i="1"/>
  <c r="E5267" i="1"/>
  <c r="B5267" i="1"/>
  <c r="E5268" i="1"/>
  <c r="B5268" i="1"/>
  <c r="E5269" i="1"/>
  <c r="B5269" i="1"/>
  <c r="E5270" i="1"/>
  <c r="B5270" i="1"/>
  <c r="E5271" i="1"/>
  <c r="B5271" i="1"/>
  <c r="E5272" i="1"/>
  <c r="B5272" i="1"/>
  <c r="E5273" i="1"/>
  <c r="B5273" i="1"/>
  <c r="E5274" i="1"/>
  <c r="B5274" i="1"/>
  <c r="E5275" i="1"/>
  <c r="B5275" i="1"/>
  <c r="E5276" i="1"/>
  <c r="B5276" i="1"/>
  <c r="E5277" i="1"/>
  <c r="B5277" i="1"/>
  <c r="E5278" i="1"/>
  <c r="B5278" i="1"/>
  <c r="E5279" i="1"/>
  <c r="B5279" i="1"/>
  <c r="E5280" i="1"/>
  <c r="B5280" i="1"/>
  <c r="E5281" i="1"/>
  <c r="B5281" i="1"/>
  <c r="E5282" i="1"/>
  <c r="B5282" i="1"/>
  <c r="E5283" i="1"/>
  <c r="B5283" i="1"/>
  <c r="E5284" i="1"/>
  <c r="B5284" i="1"/>
  <c r="E5285" i="1"/>
  <c r="B5285" i="1"/>
  <c r="E5286" i="1"/>
  <c r="B5286" i="1"/>
  <c r="E5287" i="1"/>
  <c r="B5287" i="1"/>
  <c r="E5288" i="1"/>
  <c r="B5288" i="1"/>
  <c r="E5289" i="1"/>
  <c r="B5289" i="1"/>
  <c r="E5290" i="1"/>
  <c r="B5290" i="1"/>
  <c r="E5291" i="1"/>
  <c r="B5291" i="1"/>
  <c r="E5293" i="1"/>
  <c r="B5293" i="1"/>
  <c r="E5292" i="1"/>
  <c r="B5292" i="1"/>
  <c r="E5294" i="1"/>
  <c r="B5294" i="1"/>
  <c r="E5295" i="1"/>
  <c r="B5295" i="1"/>
  <c r="E5296" i="1"/>
  <c r="B5296" i="1"/>
  <c r="E5297" i="1"/>
  <c r="B5297" i="1"/>
  <c r="E5298" i="1"/>
  <c r="B5298" i="1"/>
  <c r="E5299" i="1"/>
  <c r="B5299" i="1"/>
  <c r="E5300" i="1"/>
  <c r="B5300" i="1"/>
  <c r="E5301" i="1"/>
  <c r="B5301" i="1"/>
  <c r="E5302" i="1"/>
  <c r="B5302" i="1"/>
  <c r="E5303" i="1"/>
  <c r="B5303" i="1"/>
  <c r="E5304" i="1"/>
  <c r="B5304" i="1"/>
  <c r="E5305" i="1"/>
  <c r="B5305" i="1"/>
  <c r="E5306" i="1"/>
  <c r="B5306" i="1"/>
  <c r="E5307" i="1"/>
  <c r="B5307" i="1"/>
  <c r="E5308" i="1"/>
  <c r="B5308" i="1"/>
  <c r="E5309" i="1"/>
  <c r="B5309" i="1"/>
  <c r="E5310" i="1"/>
  <c r="B5310" i="1"/>
  <c r="E5311" i="1"/>
  <c r="B5311" i="1"/>
  <c r="E5312" i="1"/>
  <c r="B5312" i="1"/>
  <c r="E5313" i="1"/>
  <c r="B5313" i="1"/>
  <c r="E5314" i="1"/>
  <c r="B5314" i="1"/>
  <c r="E5315" i="1"/>
  <c r="B5315" i="1"/>
  <c r="E5316" i="1"/>
  <c r="B5316" i="1"/>
  <c r="E5317" i="1"/>
  <c r="B5317" i="1"/>
  <c r="E5318" i="1"/>
  <c r="B5318" i="1"/>
  <c r="E5319" i="1"/>
  <c r="B5319" i="1"/>
  <c r="E5320" i="1"/>
  <c r="B5320" i="1"/>
  <c r="E5321" i="1"/>
  <c r="B5321" i="1"/>
  <c r="E5322" i="1"/>
  <c r="B5322" i="1"/>
  <c r="E5323" i="1"/>
  <c r="B5323" i="1"/>
  <c r="E5324" i="1"/>
  <c r="B5324" i="1"/>
  <c r="E5325" i="1"/>
  <c r="B5325" i="1"/>
  <c r="E5326" i="1"/>
  <c r="B5326" i="1"/>
  <c r="E5327" i="1"/>
  <c r="B5327" i="1"/>
  <c r="E5328" i="1"/>
  <c r="B5328" i="1"/>
  <c r="E5329" i="1"/>
  <c r="B5329" i="1"/>
  <c r="E5330" i="1"/>
  <c r="B5330" i="1"/>
  <c r="E5331" i="1"/>
  <c r="B5331" i="1"/>
  <c r="E5332" i="1"/>
  <c r="B5332" i="1"/>
  <c r="E5333" i="1"/>
  <c r="B5333" i="1"/>
  <c r="E5334" i="1"/>
  <c r="B5334" i="1"/>
  <c r="E5335" i="1"/>
  <c r="B5335" i="1"/>
  <c r="E5336" i="1"/>
  <c r="B5336" i="1"/>
  <c r="E5337" i="1"/>
  <c r="B5337" i="1"/>
  <c r="E5338" i="1"/>
  <c r="B5338" i="1"/>
  <c r="E5339" i="1"/>
  <c r="B5339" i="1"/>
  <c r="E5340" i="1"/>
  <c r="B5340" i="1"/>
  <c r="E5341" i="1"/>
  <c r="B5341" i="1"/>
  <c r="E5342" i="1"/>
  <c r="B5342" i="1"/>
  <c r="E5343" i="1"/>
  <c r="B5343" i="1"/>
  <c r="E5344" i="1"/>
  <c r="B5344" i="1"/>
  <c r="E5345" i="1"/>
  <c r="B5345" i="1"/>
  <c r="E5346" i="1"/>
  <c r="B5346" i="1"/>
  <c r="E5347" i="1"/>
  <c r="B5347" i="1"/>
  <c r="E5348" i="1"/>
  <c r="B5348" i="1"/>
  <c r="E5349" i="1"/>
  <c r="B5349" i="1"/>
  <c r="E5350" i="1"/>
  <c r="B5350" i="1"/>
  <c r="E5351" i="1"/>
  <c r="B5351" i="1"/>
  <c r="E5352" i="1"/>
  <c r="B5352" i="1"/>
  <c r="E5353" i="1"/>
  <c r="B5353" i="1"/>
  <c r="E5354" i="1"/>
  <c r="B5354" i="1"/>
  <c r="E5355" i="1"/>
  <c r="B5355" i="1"/>
  <c r="E5356" i="1"/>
  <c r="B5356" i="1"/>
  <c r="E5357" i="1"/>
  <c r="B5357" i="1"/>
  <c r="E5358" i="1"/>
  <c r="B5358" i="1"/>
  <c r="E5359" i="1"/>
  <c r="B5359" i="1"/>
  <c r="E5361" i="1"/>
  <c r="B5361" i="1"/>
  <c r="E5360" i="1"/>
  <c r="B5360" i="1"/>
  <c r="E5362" i="1"/>
  <c r="B5362" i="1"/>
  <c r="E5363" i="1"/>
  <c r="B5363" i="1"/>
  <c r="E5364" i="1"/>
  <c r="B5364" i="1"/>
  <c r="E5365" i="1"/>
  <c r="B5365" i="1"/>
  <c r="E5366" i="1"/>
  <c r="B5366" i="1"/>
  <c r="E5367" i="1"/>
  <c r="B5367" i="1"/>
  <c r="E5368" i="1"/>
  <c r="B5368" i="1"/>
  <c r="E5369" i="1"/>
  <c r="B5369" i="1"/>
  <c r="E5370" i="1"/>
  <c r="B5370" i="1"/>
  <c r="E5371" i="1"/>
  <c r="B5371" i="1"/>
  <c r="E5372" i="1"/>
  <c r="B5372" i="1"/>
  <c r="E5373" i="1"/>
  <c r="B5373" i="1"/>
  <c r="E5374" i="1"/>
  <c r="B5374" i="1"/>
  <c r="E5375" i="1"/>
  <c r="B5375" i="1"/>
  <c r="E5376" i="1"/>
  <c r="B5376" i="1"/>
  <c r="E5377" i="1"/>
  <c r="B5377" i="1"/>
  <c r="E5378" i="1"/>
  <c r="B5378" i="1"/>
  <c r="E5379" i="1"/>
  <c r="B5379" i="1"/>
  <c r="E5380" i="1"/>
  <c r="B5380" i="1"/>
  <c r="E5381" i="1"/>
  <c r="B5381" i="1"/>
  <c r="E5382" i="1"/>
  <c r="B5382" i="1"/>
  <c r="E5383" i="1"/>
  <c r="B5383" i="1"/>
  <c r="E5384" i="1"/>
  <c r="B5384" i="1"/>
  <c r="E5385" i="1"/>
  <c r="B5385" i="1"/>
  <c r="E5386" i="1"/>
  <c r="B5386" i="1"/>
  <c r="E5387" i="1"/>
  <c r="B5387" i="1"/>
  <c r="E5388" i="1"/>
  <c r="B5388" i="1"/>
  <c r="E5389" i="1"/>
  <c r="B5389" i="1"/>
  <c r="E5390" i="1"/>
  <c r="B5390" i="1"/>
  <c r="E5391" i="1"/>
  <c r="B5391" i="1"/>
  <c r="E5392" i="1"/>
  <c r="B5392" i="1"/>
  <c r="E5393" i="1"/>
  <c r="B5393" i="1"/>
  <c r="E5394" i="1"/>
  <c r="B5394" i="1"/>
  <c r="E5395" i="1"/>
  <c r="B5395" i="1"/>
  <c r="E5396" i="1"/>
  <c r="B5396" i="1"/>
  <c r="E5397" i="1"/>
  <c r="B5397" i="1"/>
  <c r="E5398" i="1"/>
  <c r="B5398" i="1"/>
  <c r="E5399" i="1"/>
  <c r="B5399" i="1"/>
  <c r="E5400" i="1"/>
  <c r="B5400" i="1"/>
  <c r="E5401" i="1"/>
  <c r="B5401" i="1"/>
  <c r="E5402" i="1"/>
  <c r="B5402" i="1"/>
  <c r="E5403" i="1"/>
  <c r="B5403" i="1"/>
  <c r="E5404" i="1"/>
  <c r="B5404" i="1"/>
  <c r="E5405" i="1"/>
  <c r="B5405" i="1"/>
  <c r="E5406" i="1"/>
  <c r="B5406" i="1"/>
  <c r="E5407" i="1"/>
  <c r="B5407" i="1"/>
  <c r="E5408" i="1"/>
  <c r="B5408" i="1"/>
  <c r="E5409" i="1"/>
  <c r="B5409" i="1"/>
  <c r="E5410" i="1"/>
  <c r="B5410" i="1"/>
  <c r="E5411" i="1"/>
  <c r="B5411" i="1"/>
  <c r="E5412" i="1"/>
  <c r="B5412" i="1"/>
  <c r="E5414" i="1"/>
  <c r="B5414" i="1"/>
  <c r="E5413" i="1"/>
  <c r="B5413" i="1"/>
  <c r="E5415" i="1"/>
  <c r="B5415" i="1"/>
  <c r="E5416" i="1"/>
  <c r="B5416" i="1"/>
  <c r="E5417" i="1"/>
  <c r="B5417" i="1"/>
  <c r="E5418" i="1"/>
  <c r="B5418" i="1"/>
  <c r="E5419" i="1"/>
  <c r="B5419" i="1"/>
  <c r="E5420" i="1"/>
  <c r="B5420" i="1"/>
  <c r="E5421" i="1"/>
  <c r="B5421" i="1"/>
  <c r="E5422" i="1"/>
  <c r="B5422" i="1"/>
  <c r="E5423" i="1"/>
  <c r="B5423" i="1"/>
  <c r="E5424" i="1"/>
  <c r="B5424" i="1"/>
  <c r="E5425" i="1"/>
  <c r="B5425" i="1"/>
  <c r="E5426" i="1"/>
  <c r="B5426" i="1"/>
  <c r="E5427" i="1"/>
  <c r="B5427" i="1"/>
  <c r="E5429" i="1"/>
  <c r="B5429" i="1"/>
  <c r="E5428" i="1"/>
  <c r="B5428" i="1"/>
  <c r="E5430" i="1"/>
  <c r="B5430" i="1"/>
  <c r="E5431" i="1"/>
  <c r="B5431" i="1"/>
  <c r="E5432" i="1"/>
  <c r="B5432" i="1"/>
  <c r="E5433" i="1"/>
  <c r="B5433" i="1"/>
  <c r="E5434" i="1"/>
  <c r="B5434" i="1"/>
  <c r="E5435" i="1"/>
  <c r="B5435" i="1"/>
  <c r="E5436" i="1"/>
  <c r="B5436" i="1"/>
  <c r="E5437" i="1"/>
  <c r="B5437" i="1"/>
  <c r="E5438" i="1"/>
  <c r="B5438" i="1"/>
  <c r="E5439" i="1"/>
  <c r="B5439" i="1"/>
  <c r="E5440" i="1"/>
  <c r="B5440" i="1"/>
  <c r="E5441" i="1"/>
  <c r="B5441" i="1"/>
  <c r="E5442" i="1"/>
  <c r="B5442" i="1"/>
  <c r="E5443" i="1"/>
  <c r="B5443" i="1"/>
  <c r="E5444" i="1"/>
  <c r="B5444" i="1"/>
  <c r="E5445" i="1"/>
  <c r="B5445" i="1"/>
  <c r="E5446" i="1"/>
  <c r="B5446" i="1"/>
  <c r="E5447" i="1"/>
  <c r="B5447" i="1"/>
  <c r="E5448" i="1"/>
  <c r="B5448" i="1"/>
  <c r="E5449" i="1"/>
  <c r="B5449" i="1"/>
  <c r="E5450" i="1"/>
  <c r="B5450" i="1"/>
  <c r="E5451" i="1"/>
  <c r="B5451" i="1"/>
  <c r="E5452" i="1"/>
  <c r="B5452" i="1"/>
  <c r="E5453" i="1"/>
  <c r="B5453" i="1"/>
  <c r="E5454" i="1"/>
  <c r="B5454" i="1"/>
  <c r="E5455" i="1"/>
  <c r="B5455" i="1"/>
  <c r="E5456" i="1"/>
  <c r="B5456" i="1"/>
  <c r="E5457" i="1"/>
  <c r="B5457" i="1"/>
  <c r="E5458" i="1"/>
  <c r="B5458" i="1"/>
  <c r="E5459" i="1"/>
  <c r="B5459" i="1"/>
  <c r="E5460" i="1"/>
  <c r="B5460" i="1"/>
  <c r="E5461" i="1"/>
  <c r="B5461" i="1"/>
  <c r="E5462" i="1"/>
  <c r="B5462" i="1"/>
  <c r="E5463" i="1"/>
  <c r="B5463" i="1"/>
  <c r="E5464" i="1"/>
  <c r="B5464" i="1"/>
  <c r="E5465" i="1"/>
  <c r="B5465" i="1"/>
  <c r="E5466" i="1"/>
  <c r="B5466" i="1"/>
  <c r="E5467" i="1"/>
  <c r="B5467" i="1"/>
  <c r="E5468" i="1"/>
  <c r="B5468" i="1"/>
  <c r="E5469" i="1"/>
  <c r="B5469" i="1"/>
  <c r="E5470" i="1"/>
  <c r="B5470" i="1"/>
  <c r="E5471" i="1"/>
  <c r="B5471" i="1"/>
  <c r="E5472" i="1"/>
  <c r="B5472" i="1"/>
  <c r="E5473" i="1"/>
  <c r="B5473" i="1"/>
  <c r="E5474" i="1"/>
  <c r="B5474" i="1"/>
  <c r="E5475" i="1"/>
  <c r="B5475" i="1"/>
  <c r="E5476" i="1"/>
  <c r="B5476" i="1"/>
  <c r="E5477" i="1"/>
  <c r="B5477" i="1"/>
  <c r="E5478" i="1"/>
  <c r="B5478" i="1"/>
  <c r="E5479" i="1"/>
  <c r="B5479" i="1"/>
  <c r="E5480" i="1"/>
  <c r="B5480" i="1"/>
  <c r="E5481" i="1"/>
  <c r="B5481" i="1"/>
  <c r="E5482" i="1"/>
  <c r="B5482" i="1"/>
  <c r="E5483" i="1"/>
  <c r="B5483" i="1"/>
  <c r="E5484" i="1"/>
  <c r="B5484" i="1"/>
  <c r="E5485" i="1"/>
  <c r="B5485" i="1"/>
  <c r="E5486" i="1"/>
  <c r="B5486" i="1"/>
  <c r="E5487" i="1"/>
  <c r="B5487" i="1"/>
  <c r="E5488" i="1"/>
  <c r="B5488" i="1"/>
  <c r="E5489" i="1"/>
  <c r="B5489" i="1"/>
  <c r="E5490" i="1"/>
  <c r="B5490" i="1"/>
  <c r="E5491" i="1"/>
  <c r="B5491" i="1"/>
  <c r="E5492" i="1"/>
  <c r="B5492" i="1"/>
  <c r="E5493" i="1"/>
  <c r="B5493" i="1"/>
  <c r="E5494" i="1"/>
  <c r="B5494" i="1"/>
  <c r="E5495" i="1"/>
  <c r="B5495" i="1"/>
  <c r="E5496" i="1"/>
  <c r="B5496" i="1"/>
  <c r="E5497" i="1"/>
  <c r="B5497" i="1"/>
  <c r="E5498" i="1"/>
  <c r="B5498" i="1"/>
  <c r="E5499" i="1"/>
  <c r="B5499" i="1"/>
  <c r="E5500" i="1"/>
  <c r="B5500" i="1"/>
  <c r="E5501" i="1"/>
  <c r="B5501" i="1"/>
  <c r="E5502" i="1"/>
  <c r="B5502" i="1"/>
  <c r="E5503" i="1"/>
  <c r="B5503" i="1"/>
  <c r="E5504" i="1"/>
  <c r="B5504" i="1"/>
  <c r="E5505" i="1"/>
  <c r="B5505" i="1"/>
  <c r="E5506" i="1"/>
  <c r="B5506" i="1"/>
  <c r="E5507" i="1"/>
  <c r="B5507" i="1"/>
  <c r="E5508" i="1"/>
  <c r="B5508" i="1"/>
  <c r="E5509" i="1"/>
  <c r="B5509" i="1"/>
  <c r="E5510" i="1"/>
  <c r="B5510" i="1"/>
  <c r="E5511" i="1"/>
  <c r="B5511" i="1"/>
  <c r="E5512" i="1"/>
  <c r="B5512" i="1"/>
  <c r="E5513" i="1"/>
  <c r="B5513" i="1"/>
  <c r="E5515" i="1"/>
  <c r="B5515" i="1"/>
  <c r="E5514" i="1"/>
  <c r="B5514" i="1"/>
  <c r="E5517" i="1"/>
  <c r="B5517" i="1"/>
  <c r="E5516" i="1"/>
  <c r="B5516" i="1"/>
  <c r="E5518" i="1"/>
  <c r="B5518" i="1"/>
  <c r="E5519" i="1"/>
  <c r="B5519" i="1"/>
  <c r="E5520" i="1"/>
  <c r="B5520" i="1"/>
  <c r="E5521" i="1"/>
  <c r="B5521" i="1"/>
  <c r="E5522" i="1"/>
  <c r="B5522" i="1"/>
  <c r="E5523" i="1"/>
  <c r="B5523" i="1"/>
  <c r="E5524" i="1"/>
  <c r="B5524" i="1"/>
  <c r="E5525" i="1"/>
  <c r="B5525" i="1"/>
  <c r="E5526" i="1"/>
  <c r="B5526" i="1"/>
  <c r="E5527" i="1"/>
  <c r="B5527" i="1"/>
  <c r="E5528" i="1"/>
  <c r="B5528" i="1"/>
  <c r="E5529" i="1"/>
  <c r="B5529" i="1"/>
  <c r="E5530" i="1"/>
  <c r="B5530" i="1"/>
  <c r="E5531" i="1"/>
  <c r="B5531" i="1"/>
  <c r="E5532" i="1"/>
  <c r="B5532" i="1"/>
  <c r="E5533" i="1"/>
  <c r="B5533" i="1"/>
  <c r="E5534" i="1"/>
  <c r="B5534" i="1"/>
  <c r="E5535" i="1"/>
  <c r="B5535" i="1"/>
  <c r="E5536" i="1"/>
  <c r="B5536" i="1"/>
  <c r="E5537" i="1"/>
  <c r="B5537" i="1"/>
  <c r="E5538" i="1"/>
  <c r="B5538" i="1"/>
  <c r="E5539" i="1"/>
  <c r="B5539" i="1"/>
  <c r="E5540" i="1"/>
  <c r="B5540" i="1"/>
  <c r="E5541" i="1"/>
  <c r="B5541" i="1"/>
  <c r="E5542" i="1"/>
  <c r="B5542" i="1"/>
  <c r="E5543" i="1"/>
  <c r="B5543" i="1"/>
  <c r="E5544" i="1"/>
  <c r="B5544" i="1"/>
  <c r="E5545" i="1"/>
  <c r="B5545" i="1"/>
  <c r="E5546" i="1"/>
  <c r="B5546" i="1"/>
  <c r="E5547" i="1"/>
  <c r="B5547" i="1"/>
  <c r="E5548" i="1"/>
  <c r="B5548" i="1"/>
  <c r="E5549" i="1"/>
  <c r="B5549" i="1"/>
  <c r="E5550" i="1"/>
  <c r="B5550" i="1"/>
  <c r="E5551" i="1"/>
  <c r="B5551" i="1"/>
  <c r="E5552" i="1"/>
  <c r="B5552" i="1"/>
  <c r="E5553" i="1"/>
  <c r="B5553" i="1"/>
  <c r="E5554" i="1"/>
  <c r="B5554" i="1"/>
  <c r="E5555" i="1"/>
  <c r="B5555" i="1"/>
  <c r="E5556" i="1"/>
  <c r="B5556" i="1"/>
  <c r="E5557" i="1"/>
  <c r="B5557" i="1"/>
  <c r="E5558" i="1"/>
  <c r="B5558" i="1"/>
  <c r="E5559" i="1"/>
  <c r="B5559" i="1"/>
  <c r="E5560" i="1"/>
  <c r="B5560" i="1"/>
  <c r="E5561" i="1"/>
  <c r="B5561" i="1"/>
  <c r="E5562" i="1"/>
  <c r="B5562" i="1"/>
  <c r="E5563" i="1"/>
  <c r="B5563" i="1"/>
  <c r="E5564" i="1"/>
  <c r="B5564" i="1"/>
  <c r="E5565" i="1"/>
  <c r="B5565" i="1"/>
  <c r="E5566" i="1"/>
  <c r="B5566" i="1"/>
  <c r="E5567" i="1"/>
  <c r="B5567" i="1"/>
  <c r="E5568" i="1"/>
  <c r="B5568" i="1"/>
  <c r="E5569" i="1"/>
  <c r="B5569" i="1"/>
  <c r="E5570" i="1"/>
  <c r="B5570" i="1"/>
  <c r="E5571" i="1"/>
  <c r="B5571" i="1"/>
  <c r="E5572" i="1"/>
  <c r="B5572" i="1"/>
  <c r="E5576" i="1"/>
  <c r="B5576" i="1"/>
  <c r="E5575" i="1"/>
  <c r="B5575" i="1"/>
  <c r="E5574" i="1"/>
  <c r="B5574" i="1"/>
  <c r="E5573" i="1"/>
  <c r="B5573" i="1"/>
  <c r="E5577" i="1"/>
  <c r="B5577" i="1"/>
  <c r="E5578" i="1"/>
  <c r="B5578" i="1"/>
  <c r="E5579" i="1"/>
  <c r="B5579" i="1"/>
  <c r="E5580" i="1"/>
  <c r="B5580" i="1"/>
  <c r="E5581" i="1"/>
  <c r="B5581" i="1"/>
  <c r="E5582" i="1"/>
  <c r="B5582" i="1"/>
  <c r="E5583" i="1"/>
  <c r="B5583" i="1"/>
  <c r="E5584" i="1"/>
  <c r="B5584" i="1"/>
  <c r="E5585" i="1"/>
  <c r="B5585" i="1"/>
  <c r="E5586" i="1"/>
  <c r="B5586" i="1"/>
  <c r="E5587" i="1"/>
  <c r="B5587" i="1"/>
  <c r="E5588" i="1"/>
  <c r="B5588" i="1"/>
  <c r="E5589" i="1"/>
  <c r="B5589" i="1"/>
  <c r="E5590" i="1"/>
  <c r="B5590" i="1"/>
  <c r="E5591" i="1"/>
  <c r="B5591" i="1"/>
  <c r="E5592" i="1"/>
  <c r="B5592" i="1"/>
  <c r="E5593" i="1"/>
  <c r="B5593" i="1"/>
  <c r="E5594" i="1"/>
  <c r="B5594" i="1"/>
  <c r="E5595" i="1"/>
  <c r="B5595" i="1"/>
  <c r="E5596" i="1"/>
  <c r="B5596" i="1"/>
  <c r="E5597" i="1"/>
  <c r="B5597" i="1"/>
  <c r="E5598" i="1"/>
  <c r="B5598" i="1"/>
  <c r="E5599" i="1"/>
  <c r="B5599" i="1"/>
  <c r="E5600" i="1"/>
  <c r="B5600" i="1"/>
  <c r="E5601" i="1"/>
  <c r="B5601" i="1"/>
  <c r="E5602" i="1"/>
  <c r="B5602" i="1"/>
  <c r="E5603" i="1"/>
  <c r="B5603" i="1"/>
  <c r="E5604" i="1"/>
  <c r="B5604" i="1"/>
  <c r="E5605" i="1"/>
  <c r="B5605" i="1"/>
  <c r="E5606" i="1"/>
  <c r="B5606" i="1"/>
  <c r="E5607" i="1"/>
  <c r="B5607" i="1"/>
  <c r="E5608" i="1"/>
  <c r="B5608" i="1"/>
  <c r="E5609" i="1"/>
  <c r="B5609" i="1"/>
  <c r="E5610" i="1"/>
  <c r="B5610" i="1"/>
  <c r="E5611" i="1"/>
  <c r="B5611" i="1"/>
  <c r="E5612" i="1"/>
  <c r="B5612" i="1"/>
  <c r="E5613" i="1"/>
  <c r="B5613" i="1"/>
  <c r="E5614" i="1"/>
  <c r="B5614" i="1"/>
  <c r="E5615" i="1"/>
  <c r="B5615" i="1"/>
  <c r="E5616" i="1"/>
  <c r="B5616" i="1"/>
  <c r="E5617" i="1"/>
  <c r="B5617" i="1"/>
  <c r="E5618" i="1"/>
  <c r="B5618" i="1"/>
  <c r="E5619" i="1"/>
  <c r="B5619" i="1"/>
  <c r="E5620" i="1"/>
  <c r="B5620" i="1"/>
  <c r="E5621" i="1"/>
  <c r="B5621" i="1"/>
  <c r="E5622" i="1"/>
  <c r="B5622" i="1"/>
  <c r="E5623" i="1"/>
  <c r="B5623" i="1"/>
  <c r="E5624" i="1"/>
  <c r="B5624" i="1"/>
  <c r="E5625" i="1"/>
  <c r="B5625" i="1"/>
  <c r="E5626" i="1"/>
  <c r="B5626" i="1"/>
  <c r="E5627" i="1"/>
  <c r="B5627" i="1"/>
  <c r="E5628" i="1"/>
  <c r="B5628" i="1"/>
  <c r="E5629" i="1"/>
  <c r="B5629" i="1"/>
  <c r="E5630" i="1"/>
  <c r="B5630" i="1"/>
  <c r="E5631" i="1"/>
  <c r="B5631" i="1"/>
  <c r="E5632" i="1"/>
  <c r="B5632" i="1"/>
  <c r="E5633" i="1"/>
  <c r="B5633" i="1"/>
  <c r="E5634" i="1"/>
  <c r="B5634" i="1"/>
  <c r="E5635" i="1"/>
  <c r="B5635" i="1"/>
  <c r="E5636" i="1"/>
  <c r="B5636" i="1"/>
  <c r="E5637" i="1"/>
  <c r="B5637" i="1"/>
  <c r="E5638" i="1"/>
  <c r="B5638" i="1"/>
  <c r="E5639" i="1"/>
  <c r="B5639" i="1"/>
  <c r="E5640" i="1"/>
  <c r="B5640" i="1"/>
  <c r="E5641" i="1"/>
  <c r="B5641" i="1"/>
  <c r="E5642" i="1"/>
  <c r="B5642" i="1"/>
  <c r="E5643" i="1"/>
  <c r="B5643" i="1"/>
  <c r="E5644" i="1"/>
  <c r="B5644" i="1"/>
  <c r="E5645" i="1"/>
  <c r="B5645" i="1"/>
  <c r="E5646" i="1"/>
  <c r="B5646" i="1"/>
  <c r="E5647" i="1"/>
  <c r="B5647" i="1"/>
  <c r="E5648" i="1"/>
  <c r="B5648" i="1"/>
  <c r="E5649" i="1"/>
  <c r="B5649" i="1"/>
  <c r="E5650" i="1"/>
  <c r="B5650" i="1"/>
  <c r="E5651" i="1"/>
  <c r="B5651" i="1"/>
  <c r="E5652" i="1"/>
  <c r="B5652" i="1"/>
  <c r="E5653" i="1"/>
  <c r="B5653" i="1"/>
  <c r="E5654" i="1"/>
  <c r="B5654" i="1"/>
  <c r="E5655" i="1"/>
  <c r="B5655" i="1"/>
  <c r="E5656" i="1"/>
  <c r="B5656" i="1"/>
  <c r="E5657" i="1"/>
  <c r="B5657" i="1"/>
  <c r="E5658" i="1"/>
  <c r="B5658" i="1"/>
  <c r="E5659" i="1"/>
  <c r="B5659" i="1"/>
  <c r="E5660" i="1"/>
  <c r="B5660" i="1"/>
  <c r="E5661" i="1"/>
  <c r="B5661" i="1"/>
  <c r="E5662" i="1"/>
  <c r="B5662" i="1"/>
  <c r="E5663" i="1"/>
  <c r="B5663" i="1"/>
  <c r="E5664" i="1"/>
  <c r="B5664" i="1"/>
  <c r="E5665" i="1"/>
  <c r="B5665" i="1"/>
  <c r="E5666" i="1"/>
  <c r="B5666" i="1"/>
  <c r="E5667" i="1"/>
  <c r="B5667" i="1"/>
  <c r="E5668" i="1"/>
  <c r="B5668" i="1"/>
  <c r="E5669" i="1"/>
  <c r="B5669" i="1"/>
  <c r="E5670" i="1"/>
  <c r="B5670" i="1"/>
  <c r="E5671" i="1"/>
  <c r="B5671" i="1"/>
  <c r="E5672" i="1"/>
  <c r="B5672" i="1"/>
  <c r="E5673" i="1"/>
  <c r="B5673" i="1"/>
  <c r="E5674" i="1"/>
  <c r="B5674" i="1"/>
  <c r="E5675" i="1"/>
  <c r="B5675" i="1"/>
  <c r="E5676" i="1"/>
  <c r="B5676" i="1"/>
  <c r="E5677" i="1"/>
  <c r="B5677" i="1"/>
  <c r="E5678" i="1"/>
  <c r="B5678" i="1"/>
  <c r="E5679" i="1"/>
  <c r="B5679" i="1"/>
  <c r="E5680" i="1"/>
  <c r="B5680" i="1"/>
  <c r="E5681" i="1"/>
  <c r="B5681" i="1"/>
  <c r="E5682" i="1"/>
  <c r="B5682" i="1"/>
  <c r="E5683" i="1"/>
  <c r="B5683" i="1"/>
  <c r="E5684" i="1"/>
  <c r="B5684" i="1"/>
  <c r="E5685" i="1"/>
  <c r="B5685" i="1"/>
  <c r="E5686" i="1"/>
  <c r="B5686" i="1"/>
  <c r="E5687" i="1"/>
  <c r="B5687" i="1"/>
  <c r="E5688" i="1"/>
  <c r="B5688" i="1"/>
  <c r="E5689" i="1"/>
  <c r="B5689" i="1"/>
  <c r="E5690" i="1"/>
  <c r="B5690" i="1"/>
  <c r="E5691" i="1"/>
  <c r="B5691" i="1"/>
  <c r="E5692" i="1"/>
  <c r="B5692" i="1"/>
  <c r="E5693" i="1"/>
  <c r="B5693" i="1"/>
  <c r="E5694" i="1"/>
  <c r="B5694" i="1"/>
  <c r="E5695" i="1"/>
  <c r="B5695" i="1"/>
  <c r="E5696" i="1"/>
  <c r="B5696" i="1"/>
  <c r="E5697" i="1"/>
  <c r="B5697" i="1"/>
  <c r="E5698" i="1"/>
  <c r="B5698" i="1"/>
  <c r="E5700" i="1"/>
  <c r="B5700" i="1"/>
  <c r="E5699" i="1"/>
  <c r="B5699" i="1"/>
  <c r="E5701" i="1"/>
  <c r="B5701" i="1"/>
  <c r="E5702" i="1"/>
  <c r="B5702" i="1"/>
  <c r="E5703" i="1"/>
  <c r="B5703" i="1"/>
  <c r="E5704" i="1"/>
  <c r="B5704" i="1"/>
  <c r="E5705" i="1"/>
  <c r="B5705" i="1"/>
  <c r="E5706" i="1"/>
  <c r="B5706" i="1"/>
  <c r="E5707" i="1"/>
  <c r="B5707" i="1"/>
  <c r="E5708" i="1"/>
  <c r="B5708" i="1"/>
  <c r="E5709" i="1"/>
  <c r="B5709" i="1"/>
  <c r="E5710" i="1"/>
  <c r="B5710" i="1"/>
  <c r="E5711" i="1"/>
  <c r="B5711" i="1"/>
  <c r="E5712" i="1"/>
  <c r="B5712" i="1"/>
  <c r="E5713" i="1"/>
  <c r="B5713" i="1"/>
  <c r="E5714" i="1"/>
  <c r="B5714" i="1"/>
  <c r="E5715" i="1"/>
  <c r="B5715" i="1"/>
  <c r="E5716" i="1"/>
  <c r="B5716" i="1"/>
  <c r="E5717" i="1"/>
  <c r="B5717" i="1"/>
  <c r="E5718" i="1"/>
  <c r="B5718" i="1"/>
  <c r="E5719" i="1"/>
  <c r="B5719" i="1"/>
  <c r="E5720" i="1"/>
  <c r="B5720" i="1"/>
  <c r="E5721" i="1"/>
  <c r="B5721" i="1"/>
  <c r="E5722" i="1"/>
  <c r="B5722" i="1"/>
  <c r="E5723" i="1"/>
  <c r="B5723" i="1"/>
  <c r="E5724" i="1"/>
  <c r="B5724" i="1"/>
  <c r="E5725" i="1"/>
  <c r="B5725" i="1"/>
  <c r="E5726" i="1"/>
  <c r="B5726" i="1"/>
  <c r="E5727" i="1"/>
  <c r="B5727" i="1"/>
  <c r="E5728" i="1"/>
  <c r="B5728" i="1"/>
  <c r="E5729" i="1"/>
  <c r="B5729" i="1"/>
  <c r="E5730" i="1"/>
  <c r="B5730" i="1"/>
  <c r="E5731" i="1"/>
  <c r="B5731" i="1"/>
  <c r="E5732" i="1"/>
  <c r="B5732" i="1"/>
  <c r="E5733" i="1"/>
  <c r="B5733" i="1"/>
  <c r="E5734" i="1"/>
  <c r="B5734" i="1"/>
  <c r="E5735" i="1"/>
  <c r="B5735" i="1"/>
  <c r="E5737" i="1"/>
  <c r="B5737" i="1"/>
  <c r="E5736" i="1"/>
  <c r="B5736" i="1"/>
  <c r="E5738" i="1"/>
  <c r="B5738" i="1"/>
  <c r="E5739" i="1"/>
  <c r="B5739" i="1"/>
  <c r="E5740" i="1"/>
  <c r="B5740" i="1"/>
  <c r="E5741" i="1"/>
  <c r="B5741" i="1"/>
  <c r="E5742" i="1"/>
  <c r="B5742" i="1"/>
  <c r="E5743" i="1"/>
  <c r="B5743" i="1"/>
  <c r="E5744" i="1"/>
  <c r="B5744" i="1"/>
  <c r="E5745" i="1"/>
  <c r="B5745" i="1"/>
  <c r="E5746" i="1"/>
  <c r="B5746" i="1"/>
  <c r="E5747" i="1"/>
  <c r="B5747" i="1"/>
  <c r="E5749" i="1"/>
  <c r="B5749" i="1"/>
  <c r="E5748" i="1"/>
  <c r="B5748" i="1"/>
  <c r="E5750" i="1"/>
  <c r="B5750" i="1"/>
  <c r="E5751" i="1"/>
  <c r="B5751" i="1"/>
  <c r="E5752" i="1"/>
  <c r="B5752" i="1"/>
  <c r="E5753" i="1"/>
  <c r="B5753" i="1"/>
  <c r="E5754" i="1"/>
  <c r="B5754" i="1"/>
  <c r="E5755" i="1"/>
  <c r="B5755" i="1"/>
  <c r="E5756" i="1"/>
  <c r="B5756" i="1"/>
  <c r="E5757" i="1"/>
  <c r="B5757" i="1"/>
  <c r="E5758" i="1"/>
  <c r="B5758" i="1"/>
  <c r="E5759" i="1"/>
  <c r="B5759" i="1"/>
  <c r="E5760" i="1"/>
  <c r="B5760" i="1"/>
  <c r="E5761" i="1"/>
  <c r="B5761" i="1"/>
  <c r="E5762" i="1"/>
  <c r="B5762" i="1"/>
  <c r="E5763" i="1"/>
  <c r="B5763" i="1"/>
  <c r="E5764" i="1"/>
  <c r="B5764" i="1"/>
  <c r="E5765" i="1"/>
  <c r="B5765" i="1"/>
  <c r="E5766" i="1"/>
  <c r="B5766" i="1"/>
  <c r="E5767" i="1"/>
  <c r="B5767" i="1"/>
  <c r="E5768" i="1"/>
  <c r="B5768" i="1"/>
  <c r="E5769" i="1"/>
  <c r="B5769" i="1"/>
  <c r="E5770" i="1"/>
  <c r="B5770" i="1"/>
  <c r="E5771" i="1"/>
  <c r="B5771" i="1"/>
  <c r="E5772" i="1"/>
  <c r="B5772" i="1"/>
  <c r="E5773" i="1"/>
  <c r="B5773" i="1"/>
  <c r="E5774" i="1"/>
  <c r="B5774" i="1"/>
  <c r="E5775" i="1"/>
  <c r="B5775" i="1"/>
  <c r="E5776" i="1"/>
  <c r="B5776" i="1"/>
  <c r="E5777" i="1"/>
  <c r="B5777" i="1"/>
  <c r="E5778" i="1"/>
  <c r="B5778" i="1"/>
  <c r="E5779" i="1"/>
  <c r="B5779" i="1"/>
  <c r="E5780" i="1"/>
  <c r="B5780" i="1"/>
  <c r="E5781" i="1"/>
  <c r="B5781" i="1"/>
  <c r="E5782" i="1"/>
  <c r="B5782" i="1"/>
  <c r="E5783" i="1"/>
  <c r="B5783" i="1"/>
  <c r="E5784" i="1"/>
  <c r="B5784" i="1"/>
  <c r="E5785" i="1"/>
  <c r="B5785" i="1"/>
  <c r="E5786" i="1"/>
  <c r="B5786" i="1"/>
  <c r="E5787" i="1"/>
  <c r="B5787" i="1"/>
  <c r="E5788" i="1"/>
  <c r="B5788" i="1"/>
  <c r="E5789" i="1"/>
  <c r="B5789" i="1"/>
  <c r="E5790" i="1"/>
  <c r="B5790" i="1"/>
  <c r="E5791" i="1"/>
  <c r="B5791" i="1"/>
  <c r="E5792" i="1"/>
  <c r="B5792" i="1"/>
  <c r="E5793" i="1"/>
  <c r="B5793" i="1"/>
  <c r="E5794" i="1"/>
  <c r="B5794" i="1"/>
  <c r="E5795" i="1"/>
  <c r="B5795" i="1"/>
  <c r="E5796" i="1"/>
  <c r="B5796" i="1"/>
  <c r="E5797" i="1"/>
  <c r="B5797" i="1"/>
  <c r="E5798" i="1"/>
  <c r="B5798" i="1"/>
  <c r="E5799" i="1"/>
  <c r="B5799" i="1"/>
  <c r="E5800" i="1"/>
  <c r="B5800" i="1"/>
  <c r="E5801" i="1"/>
  <c r="B5801" i="1"/>
  <c r="E5803" i="1"/>
  <c r="B5803" i="1"/>
  <c r="E5802" i="1"/>
  <c r="B5802" i="1"/>
  <c r="E5804" i="1"/>
  <c r="B5804" i="1"/>
  <c r="E5805" i="1"/>
  <c r="B5805" i="1"/>
  <c r="E5806" i="1"/>
  <c r="B5806" i="1"/>
  <c r="E5807" i="1"/>
  <c r="B5807" i="1"/>
  <c r="E5808" i="1"/>
  <c r="B5808" i="1"/>
  <c r="E5809" i="1"/>
  <c r="B5809" i="1"/>
  <c r="E5810" i="1"/>
  <c r="B5810" i="1"/>
  <c r="E5811" i="1"/>
  <c r="B5811" i="1"/>
  <c r="E5812" i="1"/>
  <c r="B5812" i="1"/>
  <c r="E5813" i="1"/>
  <c r="B5813" i="1"/>
  <c r="E5814" i="1"/>
  <c r="B5814" i="1"/>
  <c r="E5815" i="1"/>
  <c r="B5815" i="1"/>
  <c r="E5816" i="1"/>
  <c r="B5816" i="1"/>
  <c r="E5817" i="1"/>
  <c r="B5817" i="1"/>
  <c r="E5818" i="1"/>
  <c r="B5818" i="1"/>
  <c r="E5819" i="1"/>
  <c r="B5819" i="1"/>
  <c r="E5820" i="1"/>
  <c r="B5820" i="1"/>
  <c r="E5821" i="1"/>
  <c r="B5821" i="1"/>
  <c r="E5822" i="1"/>
  <c r="B5822" i="1"/>
  <c r="E5823" i="1"/>
  <c r="B5823" i="1"/>
  <c r="E5824" i="1"/>
  <c r="B5824" i="1"/>
  <c r="E5825" i="1"/>
  <c r="B5825" i="1"/>
  <c r="E5826" i="1"/>
  <c r="B5826" i="1"/>
  <c r="E5827" i="1"/>
  <c r="B5827" i="1"/>
  <c r="E5828" i="1"/>
  <c r="B5828" i="1"/>
  <c r="E5829" i="1"/>
  <c r="B5829" i="1"/>
  <c r="E5830" i="1"/>
  <c r="B5830" i="1"/>
  <c r="E5831" i="1"/>
  <c r="B5831" i="1"/>
  <c r="E5832" i="1"/>
  <c r="B5832" i="1"/>
  <c r="E5833" i="1"/>
  <c r="B5833" i="1"/>
  <c r="E5834" i="1"/>
  <c r="B5834" i="1"/>
  <c r="E5835" i="1"/>
  <c r="B5835" i="1"/>
  <c r="E5836" i="1"/>
  <c r="B5836" i="1"/>
  <c r="E5837" i="1"/>
  <c r="B5837" i="1"/>
  <c r="E5838" i="1"/>
  <c r="B5838" i="1"/>
  <c r="E5839" i="1"/>
  <c r="B5839" i="1"/>
  <c r="E5840" i="1"/>
  <c r="B5840" i="1"/>
  <c r="E5841" i="1"/>
  <c r="B5841" i="1"/>
  <c r="E5842" i="1"/>
  <c r="B5842" i="1"/>
  <c r="E5843" i="1"/>
  <c r="B5843" i="1"/>
  <c r="E5844" i="1"/>
  <c r="B5844" i="1"/>
  <c r="E5845" i="1"/>
  <c r="B5845" i="1"/>
  <c r="E5846" i="1"/>
  <c r="B5846" i="1"/>
  <c r="E5847" i="1"/>
  <c r="B5847" i="1"/>
  <c r="E5848" i="1"/>
  <c r="B5848" i="1"/>
  <c r="E5849" i="1"/>
  <c r="B5849" i="1"/>
  <c r="E5850" i="1"/>
  <c r="B5850" i="1"/>
  <c r="E5851" i="1"/>
  <c r="B5851" i="1"/>
  <c r="E5852" i="1"/>
  <c r="B5852" i="1"/>
  <c r="E5853" i="1"/>
  <c r="B5853" i="1"/>
  <c r="E5854" i="1"/>
  <c r="B5854" i="1"/>
  <c r="E5855" i="1"/>
  <c r="B5855" i="1"/>
  <c r="E5856" i="1"/>
  <c r="B5856" i="1"/>
  <c r="E5857" i="1"/>
  <c r="B5857" i="1"/>
  <c r="E5858" i="1"/>
  <c r="B5858" i="1"/>
  <c r="E5859" i="1"/>
  <c r="B5859" i="1"/>
  <c r="E5860" i="1"/>
  <c r="B5860" i="1"/>
  <c r="E5861" i="1"/>
  <c r="B5861" i="1"/>
  <c r="E5862" i="1"/>
  <c r="B5862" i="1"/>
  <c r="E5863" i="1"/>
  <c r="B5863" i="1"/>
  <c r="E5864" i="1"/>
  <c r="B5864" i="1"/>
  <c r="E5865" i="1"/>
  <c r="B5865" i="1"/>
  <c r="E5866" i="1"/>
  <c r="B5866" i="1"/>
  <c r="E5867" i="1"/>
  <c r="B5867" i="1"/>
  <c r="E5868" i="1"/>
  <c r="B5868" i="1"/>
  <c r="E5869" i="1"/>
  <c r="B5869" i="1"/>
  <c r="E5871" i="1"/>
  <c r="B5871" i="1"/>
  <c r="E5870" i="1"/>
  <c r="B5870" i="1"/>
  <c r="E5872" i="1"/>
  <c r="B5872" i="1"/>
  <c r="E5873" i="1"/>
  <c r="B5873" i="1"/>
  <c r="E5874" i="1"/>
  <c r="B5874" i="1"/>
  <c r="E5875" i="1"/>
  <c r="B5875" i="1"/>
  <c r="E5876" i="1"/>
  <c r="B5876" i="1"/>
  <c r="E5877" i="1"/>
  <c r="B5877" i="1"/>
  <c r="E5878" i="1"/>
  <c r="B5878" i="1"/>
  <c r="E5879" i="1"/>
  <c r="B5879" i="1"/>
  <c r="E5880" i="1"/>
  <c r="B5880" i="1"/>
  <c r="E5881" i="1"/>
  <c r="B5881" i="1"/>
  <c r="E5882" i="1"/>
  <c r="B5882" i="1"/>
  <c r="E5883" i="1"/>
  <c r="B5883" i="1"/>
  <c r="E5884" i="1"/>
  <c r="B5884" i="1"/>
  <c r="E5885" i="1"/>
  <c r="B5885" i="1"/>
  <c r="E5886" i="1"/>
  <c r="B5886" i="1"/>
  <c r="E5887" i="1"/>
  <c r="B5887" i="1"/>
  <c r="E5888" i="1"/>
  <c r="B5888" i="1"/>
  <c r="E5889" i="1"/>
  <c r="B5889" i="1"/>
  <c r="E5890" i="1"/>
  <c r="B5890" i="1"/>
  <c r="E5891" i="1"/>
  <c r="B5891" i="1"/>
  <c r="E5892" i="1"/>
  <c r="B5892" i="1"/>
  <c r="E5893" i="1"/>
  <c r="B5893" i="1"/>
  <c r="E5894" i="1"/>
  <c r="B5894" i="1"/>
  <c r="E5895" i="1"/>
  <c r="B5895" i="1"/>
  <c r="E5896" i="1"/>
  <c r="B5896" i="1"/>
  <c r="E5897" i="1"/>
  <c r="B5897" i="1"/>
  <c r="E5898" i="1"/>
  <c r="B5898" i="1"/>
  <c r="E5899" i="1"/>
  <c r="B5899" i="1"/>
  <c r="E5900" i="1"/>
  <c r="B5900" i="1"/>
  <c r="E5901" i="1"/>
  <c r="B5901" i="1"/>
  <c r="E5902" i="1"/>
  <c r="B5902" i="1"/>
  <c r="E5903" i="1"/>
  <c r="B5903" i="1"/>
  <c r="E5904" i="1"/>
  <c r="B5904" i="1"/>
  <c r="E5905" i="1"/>
  <c r="B5905" i="1"/>
  <c r="E5906" i="1"/>
  <c r="B5906" i="1"/>
  <c r="E5907" i="1"/>
  <c r="B5907" i="1"/>
  <c r="E5908" i="1"/>
  <c r="B5908" i="1"/>
  <c r="E5909" i="1"/>
  <c r="B5909" i="1"/>
  <c r="E5910" i="1"/>
  <c r="B5910" i="1"/>
  <c r="E5911" i="1"/>
  <c r="B5911" i="1"/>
  <c r="E5912" i="1"/>
  <c r="B5912" i="1"/>
  <c r="E5913" i="1"/>
  <c r="B5913" i="1"/>
  <c r="E5914" i="1"/>
  <c r="B5914" i="1"/>
  <c r="E5915" i="1"/>
  <c r="B5915" i="1"/>
  <c r="E5916" i="1"/>
  <c r="B5916" i="1"/>
  <c r="E5917" i="1"/>
  <c r="B5917" i="1"/>
  <c r="E5918" i="1"/>
  <c r="B5918" i="1"/>
  <c r="E5919" i="1"/>
  <c r="B5919" i="1"/>
  <c r="E5920" i="1"/>
  <c r="B5920" i="1"/>
  <c r="E5921" i="1"/>
  <c r="B5921" i="1"/>
  <c r="E5922" i="1"/>
  <c r="B5922" i="1"/>
  <c r="E5923" i="1"/>
  <c r="B5923" i="1"/>
  <c r="E5924" i="1"/>
  <c r="B5924" i="1"/>
  <c r="E5925" i="1"/>
  <c r="B5925" i="1"/>
  <c r="E5927" i="1"/>
  <c r="B5927" i="1"/>
  <c r="E5926" i="1"/>
  <c r="B5926" i="1"/>
  <c r="E5928" i="1"/>
  <c r="B5928" i="1"/>
  <c r="E5929" i="1"/>
  <c r="B5929" i="1"/>
  <c r="E5930" i="1"/>
  <c r="B5930" i="1"/>
  <c r="E5931" i="1"/>
  <c r="B5931" i="1"/>
  <c r="E5932" i="1"/>
  <c r="B5932" i="1"/>
  <c r="E5933" i="1"/>
  <c r="B5933" i="1"/>
  <c r="E5934" i="1"/>
  <c r="B5934" i="1"/>
  <c r="E5935" i="1"/>
  <c r="B5935" i="1"/>
  <c r="E5936" i="1"/>
  <c r="B5936" i="1"/>
  <c r="E5937" i="1"/>
  <c r="B5937" i="1"/>
  <c r="E5938" i="1"/>
  <c r="B5938" i="1"/>
  <c r="E5939" i="1"/>
  <c r="B5939" i="1"/>
  <c r="E5940" i="1"/>
  <c r="B5940" i="1"/>
  <c r="E5941" i="1"/>
  <c r="B5941" i="1"/>
  <c r="E5942" i="1"/>
  <c r="B5942" i="1"/>
  <c r="E5943" i="1"/>
  <c r="B5943" i="1"/>
  <c r="E5944" i="1"/>
  <c r="B5944" i="1"/>
  <c r="E5945" i="1"/>
  <c r="B5945" i="1"/>
  <c r="E5946" i="1"/>
  <c r="B5946" i="1"/>
  <c r="E5947" i="1"/>
  <c r="B5947" i="1"/>
  <c r="E5948" i="1"/>
  <c r="B5948" i="1"/>
  <c r="E5949" i="1"/>
  <c r="B5949" i="1"/>
  <c r="E5950" i="1"/>
  <c r="B5950" i="1"/>
  <c r="E5951" i="1"/>
  <c r="B5951" i="1"/>
  <c r="E5952" i="1"/>
  <c r="B5952" i="1"/>
  <c r="E5953" i="1"/>
  <c r="B5953" i="1"/>
  <c r="E5954" i="1"/>
  <c r="B5954" i="1"/>
  <c r="E5956" i="1"/>
  <c r="B5956" i="1"/>
  <c r="E5955" i="1"/>
  <c r="B5955" i="1"/>
  <c r="E5957" i="1"/>
  <c r="B5957" i="1"/>
  <c r="E5958" i="1"/>
  <c r="B5958" i="1"/>
  <c r="E5959" i="1"/>
  <c r="B5959" i="1"/>
  <c r="E5960" i="1"/>
  <c r="B5960" i="1"/>
  <c r="E5961" i="1"/>
  <c r="B5961" i="1"/>
  <c r="E5962" i="1"/>
  <c r="B5962" i="1"/>
  <c r="E5963" i="1"/>
  <c r="B5963" i="1"/>
  <c r="E5964" i="1"/>
  <c r="B5964" i="1"/>
  <c r="E5965" i="1"/>
  <c r="B5965" i="1"/>
  <c r="E5966" i="1"/>
  <c r="B5966" i="1"/>
  <c r="E5967" i="1"/>
  <c r="B5967" i="1"/>
  <c r="E5968" i="1"/>
  <c r="B5968" i="1"/>
  <c r="E5969" i="1"/>
  <c r="B5969" i="1"/>
  <c r="E5970" i="1"/>
  <c r="B5970" i="1"/>
  <c r="E5971" i="1"/>
  <c r="B5971" i="1"/>
  <c r="E5972" i="1"/>
  <c r="B5972" i="1"/>
  <c r="E5973" i="1"/>
  <c r="B5973" i="1"/>
  <c r="E5974" i="1"/>
  <c r="B5974" i="1"/>
  <c r="E5975" i="1"/>
  <c r="B5975" i="1"/>
  <c r="E5976" i="1"/>
  <c r="B5976" i="1"/>
  <c r="E5977" i="1"/>
  <c r="B5977" i="1"/>
  <c r="E5978" i="1"/>
  <c r="B5978" i="1"/>
  <c r="E5979" i="1"/>
  <c r="B5979" i="1"/>
  <c r="E5980" i="1"/>
  <c r="B5980" i="1"/>
  <c r="E5981" i="1"/>
  <c r="B5981" i="1"/>
  <c r="E5982" i="1"/>
  <c r="B5982" i="1"/>
  <c r="E5983" i="1"/>
  <c r="B5983" i="1"/>
  <c r="E5984" i="1"/>
  <c r="B5984" i="1"/>
  <c r="E5985" i="1"/>
  <c r="B5985" i="1"/>
  <c r="E5986" i="1"/>
  <c r="B5986" i="1"/>
  <c r="E5987" i="1"/>
  <c r="B5987" i="1"/>
  <c r="E5988" i="1"/>
  <c r="B5988" i="1"/>
  <c r="E5989" i="1"/>
  <c r="B5989" i="1"/>
  <c r="E5990" i="1"/>
  <c r="B5990" i="1"/>
  <c r="E5991" i="1"/>
  <c r="B5991" i="1"/>
  <c r="E5992" i="1"/>
  <c r="B5992" i="1"/>
  <c r="E5993" i="1"/>
  <c r="B5993" i="1"/>
  <c r="E5994" i="1"/>
  <c r="B5994" i="1"/>
  <c r="E5995" i="1"/>
  <c r="B5995" i="1"/>
  <c r="E5996" i="1"/>
  <c r="B5996" i="1"/>
  <c r="E5997" i="1"/>
  <c r="B5997" i="1"/>
  <c r="E5998" i="1"/>
  <c r="B5998" i="1"/>
  <c r="E5999" i="1"/>
  <c r="B5999" i="1"/>
  <c r="E6000" i="1"/>
  <c r="B6000" i="1"/>
  <c r="E6001" i="1"/>
  <c r="B6001" i="1"/>
  <c r="E6002" i="1"/>
  <c r="B6002" i="1"/>
  <c r="E6003" i="1"/>
  <c r="B6003" i="1"/>
  <c r="E6004" i="1"/>
  <c r="B6004" i="1"/>
  <c r="E6005" i="1"/>
  <c r="B6005" i="1"/>
  <c r="E6006" i="1"/>
  <c r="B6006" i="1"/>
  <c r="E6007" i="1"/>
  <c r="B6007" i="1"/>
  <c r="E6008" i="1"/>
  <c r="B6008" i="1"/>
  <c r="E6009" i="1"/>
  <c r="B6009" i="1"/>
  <c r="E6010" i="1"/>
  <c r="B6010" i="1"/>
  <c r="E6011" i="1"/>
  <c r="B6011" i="1"/>
  <c r="E6012" i="1"/>
  <c r="B6012" i="1"/>
  <c r="E6013" i="1"/>
  <c r="B6013" i="1"/>
  <c r="E6014" i="1"/>
  <c r="B6014" i="1"/>
  <c r="E6015" i="1"/>
  <c r="B6015" i="1"/>
  <c r="E6016" i="1"/>
  <c r="B6016" i="1"/>
  <c r="E6017" i="1"/>
  <c r="B6017" i="1"/>
  <c r="E6018" i="1"/>
  <c r="B6018" i="1"/>
  <c r="E6019" i="1"/>
  <c r="B6019" i="1"/>
  <c r="E6020" i="1"/>
  <c r="B6020" i="1"/>
  <c r="E6021" i="1"/>
  <c r="B6021" i="1"/>
  <c r="E6022" i="1"/>
  <c r="B6022" i="1"/>
  <c r="E6023" i="1"/>
  <c r="B6023" i="1"/>
  <c r="E6024" i="1"/>
  <c r="B6024" i="1"/>
  <c r="E6025" i="1"/>
  <c r="B6025" i="1"/>
  <c r="E6026" i="1"/>
  <c r="B6026" i="1"/>
  <c r="E6027" i="1"/>
  <c r="B6027" i="1"/>
  <c r="E6029" i="1"/>
  <c r="B6029" i="1"/>
  <c r="E6028" i="1"/>
  <c r="B6028" i="1"/>
  <c r="E6030" i="1"/>
  <c r="B6030" i="1"/>
  <c r="E6031" i="1"/>
  <c r="B6031" i="1"/>
  <c r="E6032" i="1"/>
  <c r="B6032" i="1"/>
  <c r="E6033" i="1"/>
  <c r="B6033" i="1"/>
  <c r="E6034" i="1"/>
  <c r="B6034" i="1"/>
  <c r="E6035" i="1"/>
  <c r="B6035" i="1"/>
  <c r="E6036" i="1"/>
  <c r="B6036" i="1"/>
  <c r="E6037" i="1"/>
  <c r="B6037" i="1"/>
  <c r="E6038" i="1"/>
  <c r="B6038" i="1"/>
  <c r="E6039" i="1"/>
  <c r="B6039" i="1"/>
  <c r="E6040" i="1"/>
  <c r="B6040" i="1"/>
  <c r="E6041" i="1"/>
  <c r="B6041" i="1"/>
  <c r="E6042" i="1"/>
  <c r="B6042" i="1"/>
  <c r="E6043" i="1"/>
  <c r="B6043" i="1"/>
  <c r="E6044" i="1"/>
  <c r="B6044" i="1"/>
  <c r="E6045" i="1"/>
  <c r="B6045" i="1"/>
  <c r="E6046" i="1"/>
  <c r="B6046" i="1"/>
  <c r="E6047" i="1"/>
  <c r="B6047" i="1"/>
  <c r="E6048" i="1"/>
  <c r="B6048" i="1"/>
  <c r="E6049" i="1"/>
  <c r="B6049" i="1"/>
  <c r="E6050" i="1"/>
  <c r="B6050" i="1"/>
  <c r="E6051" i="1"/>
  <c r="B6051" i="1"/>
  <c r="E6052" i="1"/>
  <c r="B6052" i="1"/>
  <c r="E6053" i="1"/>
  <c r="B6053" i="1"/>
  <c r="E6054" i="1"/>
  <c r="B6054" i="1"/>
  <c r="E6055" i="1"/>
  <c r="B6055" i="1"/>
  <c r="E6056" i="1"/>
  <c r="B6056" i="1"/>
  <c r="E6057" i="1"/>
  <c r="B6057" i="1"/>
  <c r="E6058" i="1"/>
  <c r="B6058" i="1"/>
  <c r="E6059" i="1"/>
  <c r="B6059" i="1"/>
  <c r="E6060" i="1"/>
  <c r="B6060" i="1"/>
  <c r="E6061" i="1"/>
  <c r="B6061" i="1"/>
  <c r="E6062" i="1"/>
  <c r="B6062" i="1"/>
  <c r="E6063" i="1"/>
  <c r="B6063" i="1"/>
  <c r="E6064" i="1"/>
  <c r="B6064" i="1"/>
  <c r="E6065" i="1"/>
  <c r="B6065" i="1"/>
  <c r="E6066" i="1"/>
  <c r="B6066" i="1"/>
  <c r="E6067" i="1"/>
  <c r="B6067" i="1"/>
  <c r="E6068" i="1"/>
  <c r="B6068" i="1"/>
  <c r="E6069" i="1"/>
  <c r="B6069" i="1"/>
  <c r="E6070" i="1"/>
  <c r="B6070" i="1"/>
  <c r="E6071" i="1"/>
  <c r="B6071" i="1"/>
  <c r="E6072" i="1"/>
  <c r="B6072" i="1"/>
  <c r="E6073" i="1"/>
  <c r="B6073" i="1"/>
  <c r="E6074" i="1"/>
  <c r="B6074" i="1"/>
  <c r="E6075" i="1"/>
  <c r="B6075" i="1"/>
  <c r="E6076" i="1"/>
  <c r="B6076" i="1"/>
  <c r="E6077" i="1"/>
  <c r="B6077" i="1"/>
  <c r="E6078" i="1"/>
  <c r="B6078" i="1"/>
  <c r="E6079" i="1"/>
  <c r="B6079" i="1"/>
  <c r="E6080" i="1"/>
  <c r="B6080" i="1"/>
  <c r="E6081" i="1"/>
  <c r="B6081" i="1"/>
  <c r="E6082" i="1"/>
  <c r="B6082" i="1"/>
  <c r="E6083" i="1"/>
  <c r="B6083" i="1"/>
  <c r="E6084" i="1"/>
  <c r="B6084" i="1"/>
  <c r="E6085" i="1"/>
  <c r="B6085" i="1"/>
  <c r="E6086" i="1"/>
  <c r="B6086" i="1"/>
  <c r="E6087" i="1"/>
  <c r="B6087" i="1"/>
  <c r="E6088" i="1"/>
  <c r="B6088" i="1"/>
  <c r="E6089" i="1"/>
  <c r="B6089" i="1"/>
  <c r="E6090" i="1"/>
  <c r="B6090" i="1"/>
  <c r="E6091" i="1"/>
  <c r="B6091" i="1"/>
  <c r="E6092" i="1"/>
  <c r="B6092" i="1"/>
  <c r="E6093" i="1"/>
  <c r="B6093" i="1"/>
  <c r="E6094" i="1"/>
  <c r="B6094" i="1"/>
  <c r="E6095" i="1"/>
  <c r="B6095" i="1"/>
  <c r="E6096" i="1"/>
  <c r="B6096" i="1"/>
  <c r="E6097" i="1"/>
  <c r="B6097" i="1"/>
  <c r="E6098" i="1"/>
  <c r="B6098" i="1"/>
  <c r="E6099" i="1"/>
  <c r="B6099" i="1"/>
  <c r="E6100" i="1"/>
  <c r="B6100" i="1"/>
  <c r="E6101" i="1"/>
  <c r="B6101" i="1"/>
  <c r="E6102" i="1"/>
  <c r="B6102" i="1"/>
  <c r="E6103" i="1"/>
  <c r="B6103" i="1"/>
  <c r="E6104" i="1"/>
  <c r="B6104" i="1"/>
  <c r="E6105" i="1"/>
  <c r="B6105" i="1"/>
  <c r="E6106" i="1"/>
  <c r="B6106" i="1"/>
  <c r="E6107" i="1"/>
  <c r="B6107" i="1"/>
  <c r="E6108" i="1"/>
  <c r="B6108" i="1"/>
  <c r="E6109" i="1"/>
  <c r="B6109" i="1"/>
  <c r="E6110" i="1"/>
  <c r="B6110" i="1"/>
  <c r="E6111" i="1"/>
  <c r="B6111" i="1"/>
  <c r="E6112" i="1"/>
  <c r="B6112" i="1"/>
  <c r="E6113" i="1"/>
  <c r="B6113" i="1"/>
  <c r="E6114" i="1"/>
  <c r="B6114" i="1"/>
  <c r="E6115" i="1"/>
  <c r="B6115" i="1"/>
  <c r="E6116" i="1"/>
  <c r="B6116" i="1"/>
  <c r="E6117" i="1"/>
  <c r="B6117" i="1"/>
  <c r="E6118" i="1"/>
  <c r="B6118" i="1"/>
  <c r="E6119" i="1"/>
  <c r="B6119" i="1"/>
  <c r="E6120" i="1"/>
  <c r="B6120" i="1"/>
  <c r="E6121" i="1"/>
  <c r="B6121" i="1"/>
  <c r="E6122" i="1"/>
  <c r="B6122" i="1"/>
  <c r="E6123" i="1"/>
  <c r="B6123" i="1"/>
  <c r="E6124" i="1"/>
  <c r="B6124" i="1"/>
  <c r="E6125" i="1"/>
  <c r="B6125" i="1"/>
  <c r="E6126" i="1"/>
  <c r="B6126" i="1"/>
  <c r="E6127" i="1"/>
  <c r="B6127" i="1"/>
  <c r="E6128" i="1"/>
  <c r="B6128" i="1"/>
  <c r="E6129" i="1"/>
  <c r="B6129" i="1"/>
  <c r="E6130" i="1"/>
  <c r="B6130" i="1"/>
  <c r="E6131" i="1"/>
  <c r="B6131" i="1"/>
  <c r="E6132" i="1"/>
  <c r="B6132" i="1"/>
  <c r="E6133" i="1"/>
  <c r="B6133" i="1"/>
  <c r="E6134" i="1"/>
  <c r="B6134" i="1"/>
  <c r="E6135" i="1"/>
  <c r="B6135" i="1"/>
  <c r="E6136" i="1"/>
  <c r="B6136" i="1"/>
  <c r="E6137" i="1"/>
  <c r="B6137" i="1"/>
  <c r="E6138" i="1"/>
  <c r="B6138" i="1"/>
  <c r="E6139" i="1"/>
  <c r="B6139" i="1"/>
  <c r="E6140" i="1"/>
  <c r="B6140" i="1"/>
  <c r="E6141" i="1"/>
  <c r="B6141" i="1"/>
  <c r="E6142" i="1"/>
  <c r="B6142" i="1"/>
  <c r="E6143" i="1"/>
  <c r="B6143" i="1"/>
  <c r="E6144" i="1"/>
  <c r="B6144" i="1"/>
  <c r="E6145" i="1"/>
  <c r="B6145" i="1"/>
  <c r="E6146" i="1"/>
  <c r="B6146" i="1"/>
  <c r="E6147" i="1"/>
  <c r="B6147" i="1"/>
  <c r="E6148" i="1"/>
  <c r="B6148" i="1"/>
  <c r="E6149" i="1"/>
  <c r="B6149" i="1"/>
  <c r="E6150" i="1"/>
  <c r="B6150" i="1"/>
  <c r="E6151" i="1"/>
  <c r="B6151" i="1"/>
  <c r="E6152" i="1"/>
  <c r="B6152" i="1"/>
  <c r="E6153" i="1"/>
  <c r="B6153" i="1"/>
  <c r="E6154" i="1"/>
  <c r="B6154" i="1"/>
  <c r="E6155" i="1"/>
  <c r="B6155" i="1"/>
  <c r="E6156" i="1"/>
  <c r="B6156" i="1"/>
  <c r="E6157" i="1"/>
  <c r="B6157" i="1"/>
  <c r="E6158" i="1"/>
  <c r="B6158" i="1"/>
  <c r="E6159" i="1"/>
  <c r="B6159" i="1"/>
  <c r="E6160" i="1"/>
  <c r="B6160" i="1"/>
  <c r="E6161" i="1"/>
  <c r="B6161" i="1"/>
  <c r="E6162" i="1"/>
  <c r="B6162" i="1"/>
  <c r="E6163" i="1"/>
  <c r="B6163" i="1"/>
  <c r="E6164" i="1"/>
  <c r="B6164" i="1"/>
  <c r="E6165" i="1"/>
  <c r="B6165" i="1"/>
  <c r="E6166" i="1"/>
  <c r="B6166" i="1"/>
  <c r="E6167" i="1"/>
  <c r="B6167" i="1"/>
  <c r="E6168" i="1"/>
  <c r="B6168" i="1"/>
  <c r="E6169" i="1"/>
  <c r="B6169" i="1"/>
  <c r="E6170" i="1"/>
  <c r="B6170" i="1"/>
  <c r="E6171" i="1"/>
  <c r="B6171" i="1"/>
  <c r="E6172" i="1"/>
  <c r="B6172" i="1"/>
  <c r="E6173" i="1"/>
  <c r="B6173" i="1"/>
  <c r="E6174" i="1"/>
  <c r="B6174" i="1"/>
  <c r="E6175" i="1"/>
  <c r="B6175" i="1"/>
  <c r="E6176" i="1"/>
  <c r="B6176" i="1"/>
  <c r="E6177" i="1"/>
  <c r="B6177" i="1"/>
  <c r="E6178" i="1"/>
  <c r="B6178" i="1"/>
  <c r="E6179" i="1"/>
  <c r="B6179" i="1"/>
  <c r="E6180" i="1"/>
  <c r="B6180" i="1"/>
  <c r="E6181" i="1"/>
  <c r="B6181" i="1"/>
  <c r="E6182" i="1"/>
  <c r="B6182" i="1"/>
  <c r="E6183" i="1"/>
  <c r="B6183" i="1"/>
  <c r="E6184" i="1"/>
  <c r="B6184" i="1"/>
  <c r="E6185" i="1"/>
  <c r="B6185" i="1"/>
  <c r="E6186" i="1"/>
  <c r="B6186" i="1"/>
  <c r="E6187" i="1"/>
  <c r="B6187" i="1"/>
  <c r="E6188" i="1"/>
  <c r="B6188" i="1"/>
  <c r="E6189" i="1"/>
  <c r="B6189" i="1"/>
  <c r="E6190" i="1"/>
  <c r="B6190" i="1"/>
  <c r="E6191" i="1"/>
  <c r="B6191" i="1"/>
  <c r="E6192" i="1"/>
  <c r="B6192" i="1"/>
  <c r="E6193" i="1"/>
  <c r="B6193" i="1"/>
  <c r="E6194" i="1"/>
  <c r="B6194" i="1"/>
  <c r="E6195" i="1"/>
  <c r="B6195" i="1"/>
  <c r="E6196" i="1"/>
  <c r="B6196" i="1"/>
  <c r="E6197" i="1"/>
  <c r="B6197" i="1"/>
  <c r="E6198" i="1"/>
  <c r="B6198" i="1"/>
  <c r="E6199" i="1"/>
  <c r="B6199" i="1"/>
  <c r="E6200" i="1"/>
  <c r="B6200" i="1"/>
  <c r="E6201" i="1"/>
  <c r="B6201" i="1"/>
  <c r="E6202" i="1"/>
  <c r="B6202" i="1"/>
  <c r="E6203" i="1"/>
  <c r="B6203" i="1"/>
  <c r="E6204" i="1"/>
  <c r="B6204" i="1"/>
  <c r="E6206" i="1"/>
  <c r="B6206" i="1"/>
  <c r="E6205" i="1"/>
  <c r="B6205" i="1"/>
  <c r="E6207" i="1"/>
  <c r="B6207" i="1"/>
  <c r="E6208" i="1"/>
  <c r="B6208" i="1"/>
  <c r="E6209" i="1"/>
  <c r="B6209" i="1"/>
  <c r="E6210" i="1"/>
  <c r="B6210" i="1"/>
  <c r="E6211" i="1"/>
  <c r="B6211" i="1"/>
  <c r="E6212" i="1"/>
  <c r="B6212" i="1"/>
  <c r="E6213" i="1"/>
  <c r="B6213" i="1"/>
  <c r="E6214" i="1"/>
  <c r="B6214" i="1"/>
  <c r="E6215" i="1"/>
  <c r="B6215" i="1"/>
  <c r="E6216" i="1"/>
  <c r="B6216" i="1"/>
  <c r="E6217" i="1"/>
  <c r="B6217" i="1"/>
  <c r="E6218" i="1"/>
  <c r="B6218" i="1"/>
  <c r="E6219" i="1"/>
  <c r="B6219" i="1"/>
  <c r="E6220" i="1"/>
  <c r="B6220" i="1"/>
  <c r="E6221" i="1"/>
  <c r="B6221" i="1"/>
  <c r="E6222" i="1"/>
  <c r="B6222" i="1"/>
  <c r="E6223" i="1"/>
  <c r="B6223" i="1"/>
  <c r="E6224" i="1"/>
  <c r="B6224" i="1"/>
  <c r="E6225" i="1"/>
  <c r="B6225" i="1"/>
  <c r="E6226" i="1"/>
  <c r="B6226" i="1"/>
  <c r="E6227" i="1"/>
  <c r="B6227" i="1"/>
  <c r="E6228" i="1"/>
  <c r="B6228" i="1"/>
  <c r="E6229" i="1"/>
  <c r="B6229" i="1"/>
  <c r="E6230" i="1"/>
  <c r="B6230" i="1"/>
  <c r="E6231" i="1"/>
  <c r="B6231" i="1"/>
  <c r="E6232" i="1"/>
  <c r="B6232" i="1"/>
  <c r="E6233" i="1"/>
  <c r="B6233" i="1"/>
  <c r="E6234" i="1"/>
  <c r="B6234" i="1"/>
  <c r="E6235" i="1"/>
  <c r="B6235" i="1"/>
  <c r="E6237" i="1"/>
  <c r="B6237" i="1"/>
  <c r="E6236" i="1"/>
  <c r="B6236" i="1"/>
  <c r="E6238" i="1"/>
  <c r="B6238" i="1"/>
  <c r="E6239" i="1"/>
  <c r="B6239" i="1"/>
  <c r="E6240" i="1"/>
  <c r="B6240" i="1"/>
  <c r="E6241" i="1"/>
  <c r="B6241" i="1"/>
  <c r="E6242" i="1"/>
  <c r="B6242" i="1"/>
  <c r="E6243" i="1"/>
  <c r="B6243" i="1"/>
  <c r="E6244" i="1"/>
  <c r="B6244" i="1"/>
  <c r="E6245" i="1"/>
  <c r="B6245" i="1"/>
  <c r="E6246" i="1"/>
  <c r="B6246" i="1"/>
  <c r="E6247" i="1"/>
  <c r="B6247" i="1"/>
  <c r="E6248" i="1"/>
  <c r="B6248" i="1"/>
  <c r="E6249" i="1"/>
  <c r="B6249" i="1"/>
  <c r="E6250" i="1"/>
  <c r="B6250" i="1"/>
  <c r="E6251" i="1"/>
  <c r="B6251" i="1"/>
  <c r="E6252" i="1"/>
  <c r="B6252" i="1"/>
  <c r="E6253" i="1"/>
  <c r="B6253" i="1"/>
  <c r="E6254" i="1"/>
  <c r="B6254" i="1"/>
  <c r="E6255" i="1"/>
  <c r="B6255" i="1"/>
  <c r="E6256" i="1"/>
  <c r="B6256" i="1"/>
  <c r="E6257" i="1"/>
  <c r="B6257" i="1"/>
  <c r="E6258" i="1"/>
  <c r="B6258" i="1"/>
  <c r="E6259" i="1"/>
  <c r="B6259" i="1"/>
  <c r="E6260" i="1"/>
  <c r="B6260" i="1"/>
  <c r="E6261" i="1"/>
  <c r="B6261" i="1"/>
  <c r="E6262" i="1"/>
  <c r="B6262" i="1"/>
  <c r="E6263" i="1"/>
  <c r="B6263" i="1"/>
  <c r="E6264" i="1"/>
  <c r="B6264" i="1"/>
  <c r="E6265" i="1"/>
  <c r="B6265" i="1"/>
  <c r="E6266" i="1"/>
  <c r="B6266" i="1"/>
  <c r="E6267" i="1"/>
  <c r="B6267" i="1"/>
  <c r="E6268" i="1"/>
  <c r="B6268" i="1"/>
  <c r="E6269" i="1"/>
  <c r="B6269" i="1"/>
  <c r="E6270" i="1"/>
  <c r="B6270" i="1"/>
  <c r="E6271" i="1"/>
  <c r="B6271" i="1"/>
  <c r="E6272" i="1"/>
  <c r="B6272" i="1"/>
  <c r="E6273" i="1"/>
  <c r="B6273" i="1"/>
  <c r="E6274" i="1"/>
  <c r="B6274" i="1"/>
  <c r="E6275" i="1"/>
  <c r="B6275" i="1"/>
  <c r="E6276" i="1"/>
  <c r="B6276" i="1"/>
  <c r="E6277" i="1"/>
  <c r="B6277" i="1"/>
  <c r="E6278" i="1"/>
  <c r="B6278" i="1"/>
  <c r="E6279" i="1"/>
  <c r="B6279" i="1"/>
  <c r="E6280" i="1"/>
  <c r="B6280" i="1"/>
  <c r="E6281" i="1"/>
  <c r="B6281" i="1"/>
  <c r="E6282" i="1"/>
  <c r="B6282" i="1"/>
  <c r="E6283" i="1"/>
  <c r="B6283" i="1"/>
  <c r="E6284" i="1"/>
  <c r="B6284" i="1"/>
  <c r="E6285" i="1"/>
  <c r="B6285" i="1"/>
  <c r="E6286" i="1"/>
  <c r="B6286" i="1"/>
  <c r="E6287" i="1"/>
  <c r="B6287" i="1"/>
  <c r="E6288" i="1"/>
  <c r="B6288" i="1"/>
  <c r="E6289" i="1"/>
  <c r="B6289" i="1"/>
  <c r="E6290" i="1"/>
  <c r="B6290" i="1"/>
  <c r="E6291" i="1"/>
  <c r="B6291" i="1"/>
  <c r="E6292" i="1"/>
  <c r="B6292" i="1"/>
  <c r="E6293" i="1"/>
  <c r="B6293" i="1"/>
  <c r="E6294" i="1"/>
  <c r="B6294" i="1"/>
  <c r="E6295" i="1"/>
  <c r="B6295" i="1"/>
  <c r="E6296" i="1"/>
  <c r="B6296" i="1"/>
  <c r="E6297" i="1"/>
  <c r="B6297" i="1"/>
  <c r="E6298" i="1"/>
  <c r="B6298" i="1"/>
  <c r="E6299" i="1"/>
  <c r="B6299" i="1"/>
  <c r="E6300" i="1"/>
  <c r="B6300" i="1"/>
  <c r="E6301" i="1"/>
  <c r="B6301" i="1"/>
  <c r="E6302" i="1"/>
  <c r="B6302" i="1"/>
  <c r="E6303" i="1"/>
  <c r="B6303" i="1"/>
  <c r="E6304" i="1"/>
  <c r="B6304" i="1"/>
  <c r="E6305" i="1"/>
  <c r="B6305" i="1"/>
  <c r="E6306" i="1"/>
  <c r="B6306" i="1"/>
  <c r="E6307" i="1"/>
  <c r="B6307" i="1"/>
  <c r="E6308" i="1"/>
  <c r="B6308" i="1"/>
  <c r="E6309" i="1"/>
  <c r="B6309" i="1"/>
  <c r="E6310" i="1"/>
  <c r="B6310" i="1"/>
  <c r="E6311" i="1"/>
  <c r="B6311" i="1"/>
  <c r="E6312" i="1"/>
  <c r="B6312" i="1"/>
  <c r="E6313" i="1"/>
  <c r="B6313" i="1"/>
  <c r="E6314" i="1"/>
  <c r="B6314" i="1"/>
  <c r="E6315" i="1"/>
  <c r="B6315" i="1"/>
  <c r="E6316" i="1"/>
  <c r="B6316" i="1"/>
  <c r="E6317" i="1"/>
  <c r="B6317" i="1"/>
  <c r="E6318" i="1"/>
  <c r="B6318" i="1"/>
  <c r="E6319" i="1"/>
  <c r="B6319" i="1"/>
  <c r="E6320" i="1"/>
  <c r="B6320" i="1"/>
  <c r="E6321" i="1"/>
  <c r="B6321" i="1"/>
  <c r="E6322" i="1"/>
  <c r="B6322" i="1"/>
  <c r="E6323" i="1"/>
  <c r="B6323" i="1"/>
  <c r="E6324" i="1"/>
  <c r="B6324" i="1"/>
  <c r="E6325" i="1"/>
  <c r="B6325" i="1"/>
  <c r="E6326" i="1"/>
  <c r="B6326" i="1"/>
  <c r="E6327" i="1"/>
  <c r="B6327" i="1"/>
  <c r="E6328" i="1"/>
  <c r="B6328" i="1"/>
  <c r="E6329" i="1"/>
  <c r="B6329" i="1"/>
  <c r="E6330" i="1"/>
  <c r="B6330" i="1"/>
  <c r="E6331" i="1"/>
  <c r="B6331" i="1"/>
  <c r="E6332" i="1"/>
  <c r="B6332" i="1"/>
  <c r="E6333" i="1"/>
  <c r="B6333" i="1"/>
  <c r="E6334" i="1"/>
  <c r="B6334" i="1"/>
  <c r="E6335" i="1"/>
  <c r="B6335" i="1"/>
  <c r="E6336" i="1"/>
  <c r="B6336" i="1"/>
  <c r="E6337" i="1"/>
  <c r="B6337" i="1"/>
  <c r="E6338" i="1"/>
  <c r="B6338" i="1"/>
  <c r="E6340" i="1"/>
  <c r="B6340" i="1"/>
  <c r="E6339" i="1"/>
  <c r="B6339" i="1"/>
  <c r="E6341" i="1"/>
  <c r="B6341" i="1"/>
  <c r="E6342" i="1"/>
  <c r="B6342" i="1"/>
  <c r="E6343" i="1"/>
  <c r="B6343" i="1"/>
  <c r="E6344" i="1"/>
  <c r="B6344" i="1"/>
  <c r="E6345" i="1"/>
  <c r="B6345" i="1"/>
  <c r="E6346" i="1"/>
  <c r="B6346" i="1"/>
  <c r="E6347" i="1"/>
  <c r="B6347" i="1"/>
  <c r="E6348" i="1"/>
  <c r="B6348" i="1"/>
  <c r="E6349" i="1"/>
  <c r="B6349" i="1"/>
  <c r="E6350" i="1"/>
  <c r="B6350" i="1"/>
  <c r="E6351" i="1"/>
  <c r="B6351" i="1"/>
  <c r="E6352" i="1"/>
  <c r="B6352" i="1"/>
  <c r="E6353" i="1"/>
  <c r="B6353" i="1"/>
  <c r="E6354" i="1"/>
  <c r="B6354" i="1"/>
  <c r="E6355" i="1"/>
  <c r="B6355" i="1"/>
  <c r="E6356" i="1"/>
  <c r="B6356" i="1"/>
  <c r="E6357" i="1"/>
  <c r="B6357" i="1"/>
  <c r="E6358" i="1"/>
  <c r="B6358" i="1"/>
  <c r="E6359" i="1"/>
  <c r="B6359" i="1"/>
  <c r="E6360" i="1"/>
  <c r="B6360" i="1"/>
  <c r="E6361" i="1"/>
  <c r="B6361" i="1"/>
  <c r="E6362" i="1"/>
  <c r="B6362" i="1"/>
  <c r="E6363" i="1"/>
  <c r="B6363" i="1"/>
  <c r="E6364" i="1"/>
  <c r="B6364" i="1"/>
  <c r="E6365" i="1"/>
  <c r="B6365" i="1"/>
  <c r="E6366" i="1"/>
  <c r="B6366" i="1"/>
  <c r="E6367" i="1"/>
  <c r="B6367" i="1"/>
  <c r="E6368" i="1"/>
  <c r="B6368" i="1"/>
  <c r="E6369" i="1"/>
  <c r="B6369" i="1"/>
  <c r="E6370" i="1"/>
  <c r="B6370" i="1"/>
  <c r="E6371" i="1"/>
  <c r="B6371" i="1"/>
  <c r="E6372" i="1"/>
  <c r="B6372" i="1"/>
  <c r="E6373" i="1"/>
  <c r="B6373" i="1"/>
  <c r="E6374" i="1"/>
  <c r="B6374" i="1"/>
  <c r="E6375" i="1"/>
  <c r="B6375" i="1"/>
  <c r="E6376" i="1"/>
  <c r="B6376" i="1"/>
  <c r="E6377" i="1"/>
  <c r="B6377" i="1"/>
  <c r="E6378" i="1"/>
  <c r="B6378" i="1"/>
  <c r="E6379" i="1"/>
  <c r="B6379" i="1"/>
  <c r="E6380" i="1"/>
  <c r="B6380" i="1"/>
  <c r="E6381" i="1"/>
  <c r="B6381" i="1"/>
  <c r="E6382" i="1"/>
  <c r="B6382" i="1"/>
  <c r="E6383" i="1"/>
  <c r="B6383" i="1"/>
  <c r="E6384" i="1"/>
  <c r="B6384" i="1"/>
  <c r="E6385" i="1"/>
  <c r="B6385" i="1"/>
  <c r="E6386" i="1"/>
  <c r="B6386" i="1"/>
  <c r="E6387" i="1"/>
  <c r="B6387" i="1"/>
  <c r="E6388" i="1"/>
  <c r="B6388" i="1"/>
  <c r="E6389" i="1"/>
  <c r="B6389" i="1"/>
  <c r="E6390" i="1"/>
  <c r="B6390" i="1"/>
  <c r="E6391" i="1"/>
  <c r="B6391" i="1"/>
  <c r="E6392" i="1"/>
  <c r="B6392" i="1"/>
  <c r="E6393" i="1"/>
  <c r="B6393" i="1"/>
  <c r="E6394" i="1"/>
  <c r="B6394" i="1"/>
  <c r="E6395" i="1"/>
  <c r="B6395" i="1"/>
  <c r="E6396" i="1"/>
  <c r="B6396" i="1"/>
  <c r="E6397" i="1"/>
  <c r="B6397" i="1"/>
  <c r="E6398" i="1"/>
  <c r="B6398" i="1"/>
  <c r="E6399" i="1"/>
  <c r="B6399" i="1"/>
  <c r="E6400" i="1"/>
  <c r="B6400" i="1"/>
  <c r="E6401" i="1"/>
  <c r="B6401" i="1"/>
  <c r="E6402" i="1"/>
  <c r="B6402" i="1"/>
  <c r="E6403" i="1"/>
  <c r="B6403" i="1"/>
  <c r="E6404" i="1"/>
  <c r="B6404" i="1"/>
  <c r="E6405" i="1"/>
  <c r="B6405" i="1"/>
  <c r="E6406" i="1"/>
  <c r="B6406" i="1"/>
  <c r="E6407" i="1"/>
  <c r="B6407" i="1"/>
  <c r="E6408" i="1"/>
  <c r="B6408" i="1"/>
  <c r="E6409" i="1"/>
  <c r="B6409" i="1"/>
  <c r="E6410" i="1"/>
  <c r="B6410" i="1"/>
  <c r="E6411" i="1"/>
  <c r="B6411" i="1"/>
  <c r="E6412" i="1"/>
  <c r="B6412" i="1"/>
  <c r="E6413" i="1"/>
  <c r="B6413" i="1"/>
  <c r="E6414" i="1"/>
  <c r="B6414" i="1"/>
  <c r="E6415" i="1"/>
  <c r="B6415" i="1"/>
  <c r="E6416" i="1"/>
  <c r="B6416" i="1"/>
  <c r="E6417" i="1"/>
  <c r="B6417" i="1"/>
  <c r="E6418" i="1"/>
  <c r="B6418" i="1"/>
  <c r="E6419" i="1"/>
  <c r="B6419" i="1"/>
  <c r="E6420" i="1"/>
  <c r="B6420" i="1"/>
  <c r="E6421" i="1"/>
  <c r="B6421" i="1"/>
  <c r="E6422" i="1"/>
  <c r="B6422" i="1"/>
  <c r="E6423" i="1"/>
  <c r="B6423" i="1"/>
  <c r="E6424" i="1"/>
  <c r="B6424" i="1"/>
  <c r="E6425" i="1"/>
  <c r="B6425" i="1"/>
  <c r="E6426" i="1"/>
  <c r="B6426" i="1"/>
  <c r="E6427" i="1"/>
  <c r="B6427" i="1"/>
  <c r="E6428" i="1"/>
  <c r="B6428" i="1"/>
  <c r="E6429" i="1"/>
  <c r="B6429" i="1"/>
  <c r="E6430" i="1"/>
  <c r="B6430" i="1"/>
  <c r="E6431" i="1"/>
  <c r="B6431" i="1"/>
  <c r="E6432" i="1"/>
  <c r="B6432" i="1"/>
  <c r="E6433" i="1"/>
  <c r="B6433" i="1"/>
  <c r="E6434" i="1"/>
  <c r="B6434" i="1"/>
  <c r="E6435" i="1"/>
  <c r="B6435" i="1"/>
  <c r="E6436" i="1"/>
  <c r="B6436" i="1"/>
  <c r="E6437" i="1"/>
  <c r="B6437" i="1"/>
  <c r="E6438" i="1"/>
  <c r="B6438" i="1"/>
  <c r="E6439" i="1"/>
  <c r="B6439" i="1"/>
  <c r="E6440" i="1"/>
  <c r="B6440" i="1"/>
  <c r="E6441" i="1"/>
  <c r="B6441" i="1"/>
  <c r="E6442" i="1"/>
  <c r="B6442" i="1"/>
  <c r="E6443" i="1"/>
  <c r="B6443" i="1"/>
  <c r="E6444" i="1"/>
  <c r="B6444" i="1"/>
  <c r="E6445" i="1"/>
  <c r="B6445" i="1"/>
  <c r="E6446" i="1"/>
  <c r="B6446" i="1"/>
  <c r="E6447" i="1"/>
  <c r="B6447" i="1"/>
  <c r="E6448" i="1"/>
  <c r="B6448" i="1"/>
  <c r="E6449" i="1"/>
  <c r="B6449" i="1"/>
  <c r="E6450" i="1"/>
  <c r="B6450" i="1"/>
  <c r="E6451" i="1"/>
  <c r="B6451" i="1"/>
  <c r="E6452" i="1"/>
  <c r="B6452" i="1"/>
  <c r="E6453" i="1"/>
  <c r="B6453" i="1"/>
  <c r="E6454" i="1"/>
  <c r="B6454" i="1"/>
  <c r="E6455" i="1"/>
  <c r="B6455" i="1"/>
  <c r="E6456" i="1"/>
  <c r="B6456" i="1"/>
  <c r="E6457" i="1"/>
  <c r="B6457" i="1"/>
  <c r="E6458" i="1"/>
  <c r="B6458" i="1"/>
  <c r="E6459" i="1"/>
  <c r="B6459" i="1"/>
  <c r="E6460" i="1"/>
  <c r="B6460" i="1"/>
  <c r="E6461" i="1"/>
  <c r="B6461" i="1"/>
  <c r="E6462" i="1"/>
  <c r="B6462" i="1"/>
  <c r="E6463" i="1"/>
  <c r="B6463" i="1"/>
  <c r="E6464" i="1"/>
  <c r="B6464" i="1"/>
  <c r="E6465" i="1"/>
  <c r="B6465" i="1"/>
  <c r="E6466" i="1"/>
  <c r="B6466" i="1"/>
  <c r="E6467" i="1"/>
  <c r="B6467" i="1"/>
  <c r="E6468" i="1"/>
  <c r="B6468" i="1"/>
  <c r="E6469" i="1"/>
  <c r="B6469" i="1"/>
  <c r="E6470" i="1"/>
  <c r="B6470" i="1"/>
  <c r="E6471" i="1"/>
  <c r="B6471" i="1"/>
  <c r="E6472" i="1"/>
  <c r="B6472" i="1"/>
  <c r="E6473" i="1"/>
  <c r="B6473" i="1"/>
  <c r="E6474" i="1"/>
  <c r="B6474" i="1"/>
  <c r="E6475" i="1"/>
  <c r="B6475" i="1"/>
  <c r="E6476" i="1"/>
  <c r="B6476" i="1"/>
  <c r="E6477" i="1"/>
  <c r="B6477" i="1"/>
  <c r="E6478" i="1"/>
  <c r="B6478" i="1"/>
  <c r="E6479" i="1"/>
  <c r="B6479" i="1"/>
  <c r="E6480" i="1"/>
  <c r="B6480" i="1"/>
  <c r="E6481" i="1"/>
  <c r="B6481" i="1"/>
  <c r="E6482" i="1"/>
  <c r="B6482" i="1"/>
  <c r="E6483" i="1"/>
  <c r="B6483" i="1"/>
  <c r="E6484" i="1"/>
  <c r="B6484" i="1"/>
  <c r="E6486" i="1"/>
  <c r="B6486" i="1"/>
  <c r="E6485" i="1"/>
  <c r="B6485" i="1"/>
  <c r="E6487" i="1"/>
  <c r="B6487" i="1"/>
  <c r="E6488" i="1"/>
  <c r="B6488" i="1"/>
  <c r="E6489" i="1"/>
  <c r="B6489" i="1"/>
  <c r="E6490" i="1"/>
  <c r="B6490" i="1"/>
  <c r="E6491" i="1"/>
  <c r="B6491" i="1"/>
  <c r="E6493" i="1"/>
  <c r="B6493" i="1"/>
  <c r="E6492" i="1"/>
  <c r="B6492" i="1"/>
  <c r="E6494" i="1"/>
  <c r="B6494" i="1"/>
  <c r="E6495" i="1"/>
  <c r="B6495" i="1"/>
  <c r="E6497" i="1"/>
  <c r="B6497" i="1"/>
  <c r="E6496" i="1"/>
  <c r="B6496" i="1"/>
  <c r="E6498" i="1"/>
  <c r="B6498" i="1"/>
  <c r="E6499" i="1"/>
  <c r="B6499" i="1"/>
  <c r="E6500" i="1"/>
  <c r="B6500" i="1"/>
  <c r="E6501" i="1"/>
  <c r="B6501" i="1"/>
  <c r="E6502" i="1"/>
  <c r="B6502" i="1"/>
  <c r="E6503" i="1"/>
  <c r="B6503" i="1"/>
  <c r="E6504" i="1"/>
  <c r="B6504" i="1"/>
  <c r="E6505" i="1"/>
  <c r="B6505" i="1"/>
  <c r="E6506" i="1"/>
  <c r="B6506" i="1"/>
  <c r="E6507" i="1"/>
  <c r="B6507" i="1"/>
  <c r="E6508" i="1"/>
  <c r="B6508" i="1"/>
  <c r="E6509" i="1"/>
  <c r="B6509" i="1"/>
  <c r="E6510" i="1"/>
  <c r="B6510" i="1"/>
  <c r="E6511" i="1"/>
  <c r="B6511" i="1"/>
  <c r="E6512" i="1"/>
  <c r="B6512" i="1"/>
  <c r="E6513" i="1"/>
  <c r="B6513" i="1"/>
  <c r="E6514" i="1"/>
  <c r="B6514" i="1"/>
  <c r="E6515" i="1"/>
  <c r="B6515" i="1"/>
  <c r="E6516" i="1"/>
  <c r="B6516" i="1"/>
  <c r="E6517" i="1"/>
  <c r="B6517" i="1"/>
  <c r="E6518" i="1"/>
  <c r="B6518" i="1"/>
  <c r="E6519" i="1"/>
  <c r="B6519" i="1"/>
  <c r="E6520" i="1"/>
  <c r="B6520" i="1"/>
  <c r="E6521" i="1"/>
  <c r="B6521" i="1"/>
  <c r="E6522" i="1"/>
  <c r="B6522" i="1"/>
  <c r="E6523" i="1"/>
  <c r="B6523" i="1"/>
  <c r="E6524" i="1"/>
  <c r="B6524" i="1"/>
  <c r="E6525" i="1"/>
  <c r="B6525" i="1"/>
  <c r="E6526" i="1"/>
  <c r="B6526" i="1"/>
  <c r="E6527" i="1"/>
  <c r="B6527" i="1"/>
  <c r="E6528" i="1"/>
  <c r="B6528" i="1"/>
  <c r="E6530" i="1"/>
  <c r="B6530" i="1"/>
  <c r="E6529" i="1"/>
  <c r="B6529" i="1"/>
  <c r="E6531" i="1"/>
  <c r="B6531" i="1"/>
  <c r="E6532" i="1"/>
  <c r="B6532" i="1"/>
  <c r="E6533" i="1"/>
  <c r="B6533" i="1"/>
  <c r="E6534" i="1"/>
  <c r="B6534" i="1"/>
  <c r="E6535" i="1"/>
  <c r="B6535" i="1"/>
  <c r="E6536" i="1"/>
  <c r="B6536" i="1"/>
  <c r="E6537" i="1"/>
  <c r="B6537" i="1"/>
  <c r="E6538" i="1"/>
  <c r="B6538" i="1"/>
  <c r="E6539" i="1"/>
  <c r="B6539" i="1"/>
  <c r="E6540" i="1"/>
  <c r="B6540" i="1"/>
  <c r="E6541" i="1"/>
  <c r="B6541" i="1"/>
  <c r="E6542" i="1"/>
  <c r="B6542" i="1"/>
  <c r="E6543" i="1"/>
  <c r="B6543" i="1"/>
  <c r="E6544" i="1"/>
  <c r="B6544" i="1"/>
  <c r="E6545" i="1"/>
  <c r="B6545" i="1"/>
  <c r="E6546" i="1"/>
  <c r="B6546" i="1"/>
  <c r="E6547" i="1"/>
  <c r="B6547" i="1"/>
  <c r="E6548" i="1"/>
  <c r="B6548" i="1"/>
  <c r="E6549" i="1"/>
  <c r="B6549" i="1"/>
  <c r="E6550" i="1"/>
  <c r="B6550" i="1"/>
  <c r="E6551" i="1"/>
  <c r="B6551" i="1"/>
  <c r="E6552" i="1"/>
  <c r="B6552" i="1"/>
  <c r="E6553" i="1"/>
  <c r="B6553" i="1"/>
  <c r="E6554" i="1"/>
  <c r="B6554" i="1"/>
  <c r="E6555" i="1"/>
  <c r="B6555" i="1"/>
  <c r="E6556" i="1"/>
  <c r="B6556" i="1"/>
  <c r="E6557" i="1"/>
  <c r="B6557" i="1"/>
  <c r="E6558" i="1"/>
  <c r="B6558" i="1"/>
  <c r="E6559" i="1"/>
  <c r="B6559" i="1"/>
  <c r="E6560" i="1"/>
  <c r="B6560" i="1"/>
  <c r="E6561" i="1"/>
  <c r="B6561" i="1"/>
  <c r="E6562" i="1"/>
  <c r="B6562" i="1"/>
  <c r="E6563" i="1"/>
  <c r="B6563" i="1"/>
  <c r="E6564" i="1"/>
  <c r="B6564" i="1"/>
  <c r="E6565" i="1"/>
  <c r="B6565" i="1"/>
  <c r="E6566" i="1"/>
  <c r="B6566" i="1"/>
  <c r="E6567" i="1"/>
  <c r="B6567" i="1"/>
  <c r="E6568" i="1"/>
  <c r="B6568" i="1"/>
  <c r="E6569" i="1"/>
  <c r="B6569" i="1"/>
  <c r="E6570" i="1"/>
  <c r="B6570" i="1"/>
  <c r="E6571" i="1"/>
  <c r="B6571" i="1"/>
  <c r="E6572" i="1"/>
  <c r="B6572" i="1"/>
  <c r="E6573" i="1"/>
  <c r="B6573" i="1"/>
  <c r="E6574" i="1"/>
  <c r="B6574" i="1"/>
  <c r="E6575" i="1"/>
  <c r="B6575" i="1"/>
  <c r="E6576" i="1"/>
  <c r="B6576" i="1"/>
  <c r="E6577" i="1"/>
  <c r="B6577" i="1"/>
  <c r="E6578" i="1"/>
  <c r="B6578" i="1"/>
  <c r="E6579" i="1"/>
  <c r="B6579" i="1"/>
  <c r="E6580" i="1"/>
  <c r="B6580" i="1"/>
  <c r="E6581" i="1"/>
  <c r="B6581" i="1"/>
  <c r="E6582" i="1"/>
  <c r="B6582" i="1"/>
  <c r="E6583" i="1"/>
  <c r="B6583" i="1"/>
  <c r="E6584" i="1"/>
  <c r="B6584" i="1"/>
  <c r="E6585" i="1"/>
  <c r="B6585" i="1"/>
  <c r="E6586" i="1"/>
  <c r="B6586" i="1"/>
  <c r="E6587" i="1"/>
  <c r="B6587" i="1"/>
  <c r="E6588" i="1"/>
  <c r="B6588" i="1"/>
  <c r="E6589" i="1"/>
  <c r="B6589" i="1"/>
  <c r="E6590" i="1"/>
  <c r="B6590" i="1"/>
  <c r="E6591" i="1"/>
  <c r="B6591" i="1"/>
  <c r="E6592" i="1"/>
  <c r="B6592" i="1"/>
  <c r="E6593" i="1"/>
  <c r="B6593" i="1"/>
  <c r="E6594" i="1"/>
  <c r="B6594" i="1"/>
  <c r="E6595" i="1"/>
  <c r="B6595" i="1"/>
  <c r="E6596" i="1"/>
  <c r="B6596" i="1"/>
  <c r="E6597" i="1"/>
  <c r="B6597" i="1"/>
  <c r="E6598" i="1"/>
  <c r="B6598" i="1"/>
  <c r="E6599" i="1"/>
  <c r="B6599" i="1"/>
  <c r="E6600" i="1"/>
  <c r="B6600" i="1"/>
  <c r="E6601" i="1"/>
  <c r="B6601" i="1"/>
  <c r="E6602" i="1"/>
  <c r="B6602" i="1"/>
  <c r="E6603" i="1"/>
  <c r="B6603" i="1"/>
  <c r="E6604" i="1"/>
  <c r="B6604" i="1"/>
  <c r="E6605" i="1"/>
  <c r="B6605" i="1"/>
  <c r="E6606" i="1"/>
  <c r="B6606" i="1"/>
  <c r="E6607" i="1"/>
  <c r="B6607" i="1"/>
  <c r="E6608" i="1"/>
  <c r="B6608" i="1"/>
  <c r="E6609" i="1"/>
  <c r="B6609" i="1"/>
  <c r="E6610" i="1"/>
  <c r="B6610" i="1"/>
  <c r="E6611" i="1"/>
  <c r="B6611" i="1"/>
  <c r="E6612" i="1"/>
  <c r="B6612" i="1"/>
  <c r="E6613" i="1"/>
  <c r="B6613" i="1"/>
  <c r="E6614" i="1"/>
  <c r="B6614" i="1"/>
  <c r="E6615" i="1"/>
  <c r="B6615" i="1"/>
  <c r="E6616" i="1"/>
  <c r="B6616" i="1"/>
  <c r="E6617" i="1"/>
  <c r="B6617" i="1"/>
  <c r="E6618" i="1"/>
  <c r="B6618" i="1"/>
  <c r="E6619" i="1"/>
  <c r="B6619" i="1"/>
  <c r="E6620" i="1"/>
  <c r="B6620" i="1"/>
  <c r="E6621" i="1"/>
  <c r="B6621" i="1"/>
  <c r="E6622" i="1"/>
  <c r="B6622" i="1"/>
  <c r="E6623" i="1"/>
  <c r="B6623" i="1"/>
  <c r="E6624" i="1"/>
  <c r="B6624" i="1"/>
  <c r="E6625" i="1"/>
  <c r="B6625" i="1"/>
  <c r="E6627" i="1"/>
  <c r="B6627" i="1"/>
  <c r="E6626" i="1"/>
  <c r="B6626" i="1"/>
  <c r="E6628" i="1"/>
  <c r="B6628" i="1"/>
  <c r="E6629" i="1"/>
  <c r="B6629" i="1"/>
  <c r="E6630" i="1"/>
  <c r="B6630" i="1"/>
  <c r="E6631" i="1"/>
  <c r="B6631" i="1"/>
  <c r="E6632" i="1"/>
  <c r="B6632" i="1"/>
  <c r="E6633" i="1"/>
  <c r="B6633" i="1"/>
  <c r="E6634" i="1"/>
  <c r="B6634" i="1"/>
  <c r="E6635" i="1"/>
  <c r="B6635" i="1"/>
  <c r="E6636" i="1"/>
  <c r="B6636" i="1"/>
  <c r="E6637" i="1"/>
  <c r="B6637" i="1"/>
  <c r="E6638" i="1"/>
  <c r="B6638" i="1"/>
  <c r="E6639" i="1"/>
  <c r="B6639" i="1"/>
  <c r="E6640" i="1"/>
  <c r="B6640" i="1"/>
  <c r="E6641" i="1"/>
  <c r="B6641" i="1"/>
  <c r="E6642" i="1"/>
  <c r="B6642" i="1"/>
  <c r="E6643" i="1"/>
  <c r="B6643" i="1"/>
  <c r="E6644" i="1"/>
  <c r="B6644" i="1"/>
  <c r="E6645" i="1"/>
  <c r="B6645" i="1"/>
  <c r="E6646" i="1"/>
  <c r="B6646" i="1"/>
  <c r="E6647" i="1"/>
  <c r="B6647" i="1"/>
  <c r="E6648" i="1"/>
  <c r="B6648" i="1"/>
  <c r="E6649" i="1"/>
  <c r="B6649" i="1"/>
  <c r="E6650" i="1"/>
  <c r="B6650" i="1"/>
  <c r="E6651" i="1"/>
  <c r="B6651" i="1"/>
  <c r="E6652" i="1"/>
  <c r="B6652" i="1"/>
  <c r="E6653" i="1"/>
  <c r="B6653" i="1"/>
  <c r="E6654" i="1"/>
  <c r="B6654" i="1"/>
  <c r="E6655" i="1"/>
  <c r="B6655" i="1"/>
  <c r="E6656" i="1"/>
  <c r="B6656" i="1"/>
  <c r="E6657" i="1"/>
  <c r="B6657" i="1"/>
  <c r="E6658" i="1"/>
  <c r="B6658" i="1"/>
  <c r="E6659" i="1"/>
  <c r="B6659" i="1"/>
  <c r="E6660" i="1"/>
  <c r="B6660" i="1"/>
  <c r="E6661" i="1"/>
  <c r="B6661" i="1"/>
  <c r="E6662" i="1"/>
  <c r="B6662" i="1"/>
  <c r="E6663" i="1"/>
  <c r="B6663" i="1"/>
  <c r="E6664" i="1"/>
  <c r="B6664" i="1"/>
  <c r="E6665" i="1"/>
  <c r="B6665" i="1"/>
  <c r="E6666" i="1"/>
  <c r="B6666" i="1"/>
  <c r="E6667" i="1"/>
  <c r="B6667" i="1"/>
  <c r="E6668" i="1"/>
  <c r="B6668" i="1"/>
  <c r="E6669" i="1"/>
  <c r="B6669" i="1"/>
  <c r="E6670" i="1"/>
  <c r="B6670" i="1"/>
  <c r="E6671" i="1"/>
  <c r="B6671" i="1"/>
  <c r="E6672" i="1"/>
  <c r="B6672" i="1"/>
  <c r="E6673" i="1"/>
  <c r="B6673" i="1"/>
  <c r="E6674" i="1"/>
  <c r="B6674" i="1"/>
  <c r="E6675" i="1"/>
  <c r="B6675" i="1"/>
  <c r="E6676" i="1"/>
  <c r="B6676" i="1"/>
  <c r="E6677" i="1"/>
  <c r="B6677" i="1"/>
  <c r="E6678" i="1"/>
  <c r="B6678" i="1"/>
  <c r="E6679" i="1"/>
  <c r="B6679" i="1"/>
  <c r="E6680" i="1"/>
  <c r="B6680" i="1"/>
  <c r="E6681" i="1"/>
  <c r="B6681" i="1"/>
  <c r="E6682" i="1"/>
  <c r="B6682" i="1"/>
  <c r="E6683" i="1"/>
  <c r="B6683" i="1"/>
  <c r="E6684" i="1"/>
  <c r="B6684" i="1"/>
  <c r="E6685" i="1"/>
  <c r="B6685" i="1"/>
  <c r="E6686" i="1"/>
  <c r="B6686" i="1"/>
  <c r="E6687" i="1"/>
  <c r="B6687" i="1"/>
  <c r="E6688" i="1"/>
  <c r="B6688" i="1"/>
  <c r="E6689" i="1"/>
  <c r="B6689" i="1"/>
  <c r="E6690" i="1"/>
  <c r="B6690" i="1"/>
  <c r="E6691" i="1"/>
  <c r="B6691" i="1"/>
  <c r="E6692" i="1"/>
  <c r="B6692" i="1"/>
  <c r="E6693" i="1"/>
  <c r="B6693" i="1"/>
  <c r="E6694" i="1"/>
  <c r="B6694" i="1"/>
  <c r="E6695" i="1"/>
  <c r="B6695" i="1"/>
  <c r="E6696" i="1"/>
  <c r="B6696" i="1"/>
  <c r="E6697" i="1"/>
  <c r="B6697" i="1"/>
  <c r="E6698" i="1"/>
  <c r="B6698" i="1"/>
  <c r="E6699" i="1"/>
  <c r="B6699" i="1"/>
  <c r="E6700" i="1"/>
  <c r="B6700" i="1"/>
  <c r="E6701" i="1"/>
  <c r="B6701" i="1"/>
  <c r="E6702" i="1"/>
  <c r="B6702" i="1"/>
  <c r="E6703" i="1"/>
  <c r="B6703" i="1"/>
  <c r="E6704" i="1"/>
  <c r="B6704" i="1"/>
  <c r="E6705" i="1"/>
  <c r="B6705" i="1"/>
  <c r="E6706" i="1"/>
  <c r="B6706" i="1"/>
  <c r="E6707" i="1"/>
  <c r="B6707" i="1"/>
  <c r="E6708" i="1"/>
  <c r="B6708" i="1"/>
  <c r="E6709" i="1"/>
  <c r="B6709" i="1"/>
  <c r="E6710" i="1"/>
  <c r="B6710" i="1"/>
  <c r="E6711" i="1"/>
  <c r="B6711" i="1"/>
  <c r="E6712" i="1"/>
  <c r="B6712" i="1"/>
  <c r="E6713" i="1"/>
  <c r="B6713" i="1"/>
  <c r="E6714" i="1"/>
  <c r="B6714" i="1"/>
  <c r="E6715" i="1"/>
  <c r="B6715" i="1"/>
  <c r="E6717" i="1"/>
  <c r="B6717" i="1"/>
  <c r="E6716" i="1"/>
  <c r="B6716" i="1"/>
  <c r="E6718" i="1"/>
  <c r="B6718" i="1"/>
  <c r="E6719" i="1"/>
  <c r="B6719" i="1"/>
  <c r="E6720" i="1"/>
  <c r="B6720" i="1"/>
  <c r="E6721" i="1"/>
  <c r="B6721" i="1"/>
  <c r="E6722" i="1"/>
  <c r="B6722" i="1"/>
  <c r="E6723" i="1"/>
  <c r="B6723" i="1"/>
  <c r="E6724" i="1"/>
  <c r="B6724" i="1"/>
  <c r="E6725" i="1"/>
  <c r="B6725" i="1"/>
  <c r="E6726" i="1"/>
  <c r="B6726" i="1"/>
  <c r="E6727" i="1"/>
  <c r="B6727" i="1"/>
  <c r="E6728" i="1"/>
  <c r="B6728" i="1"/>
  <c r="E6729" i="1"/>
  <c r="B6729" i="1"/>
  <c r="E6730" i="1"/>
  <c r="B6730" i="1"/>
  <c r="E6731" i="1"/>
  <c r="B6731" i="1"/>
  <c r="E6732" i="1"/>
  <c r="B6732" i="1"/>
  <c r="E6733" i="1"/>
  <c r="B6733" i="1"/>
  <c r="E6734" i="1"/>
  <c r="B6734" i="1"/>
  <c r="E6735" i="1"/>
  <c r="B6735" i="1"/>
  <c r="E6736" i="1"/>
  <c r="B6736" i="1"/>
  <c r="E6737" i="1"/>
  <c r="B6737" i="1"/>
  <c r="E6738" i="1"/>
  <c r="B6738" i="1"/>
  <c r="E6739" i="1"/>
  <c r="B6739" i="1"/>
  <c r="E6740" i="1"/>
  <c r="B6740" i="1"/>
  <c r="E6741" i="1"/>
  <c r="B6741" i="1"/>
  <c r="E6742" i="1"/>
  <c r="B6742" i="1"/>
  <c r="E6743" i="1"/>
  <c r="B6743" i="1"/>
  <c r="E6744" i="1"/>
  <c r="B6744" i="1"/>
  <c r="E6745" i="1"/>
  <c r="B6745" i="1"/>
  <c r="E6746" i="1"/>
  <c r="B6746" i="1"/>
  <c r="E6748" i="1"/>
  <c r="B6748" i="1"/>
  <c r="E6747" i="1"/>
  <c r="B6747" i="1"/>
  <c r="E6749" i="1"/>
  <c r="B6749" i="1"/>
  <c r="E6751" i="1"/>
  <c r="B6751" i="1"/>
  <c r="E6750" i="1"/>
  <c r="B6750" i="1"/>
  <c r="E6752" i="1"/>
  <c r="B6752" i="1"/>
  <c r="E6753" i="1"/>
  <c r="B6753" i="1"/>
  <c r="E6754" i="1"/>
  <c r="B6754" i="1"/>
  <c r="E6755" i="1"/>
  <c r="B6755" i="1"/>
  <c r="E6756" i="1"/>
  <c r="B6756" i="1"/>
  <c r="E6757" i="1"/>
  <c r="B6757" i="1"/>
  <c r="E6758" i="1"/>
  <c r="B6758" i="1"/>
  <c r="E6759" i="1"/>
  <c r="B6759" i="1"/>
  <c r="E6760" i="1"/>
  <c r="B6760" i="1"/>
  <c r="E6761" i="1"/>
  <c r="B6761" i="1"/>
  <c r="E6762" i="1"/>
  <c r="B6762" i="1"/>
  <c r="E6763" i="1"/>
  <c r="B6763" i="1"/>
  <c r="E6764" i="1"/>
  <c r="B6764" i="1"/>
  <c r="E6765" i="1"/>
  <c r="B6765" i="1"/>
  <c r="E6766" i="1"/>
  <c r="B6766" i="1"/>
  <c r="E6767" i="1"/>
  <c r="B6767" i="1"/>
  <c r="E6768" i="1"/>
  <c r="B6768" i="1"/>
  <c r="E6769" i="1"/>
  <c r="B6769" i="1"/>
  <c r="E6770" i="1"/>
  <c r="B6770" i="1"/>
  <c r="E6771" i="1"/>
  <c r="B6771" i="1"/>
  <c r="E6772" i="1"/>
  <c r="B6772" i="1"/>
  <c r="E6773" i="1"/>
  <c r="B6773" i="1"/>
  <c r="E6774" i="1"/>
  <c r="B6774" i="1"/>
  <c r="E6775" i="1"/>
  <c r="B6775" i="1"/>
  <c r="E6776" i="1"/>
  <c r="B6776" i="1"/>
  <c r="E6777" i="1"/>
  <c r="B6777" i="1"/>
  <c r="E6778" i="1"/>
  <c r="B6778" i="1"/>
  <c r="E6779" i="1"/>
  <c r="B6779" i="1"/>
  <c r="E6780" i="1"/>
  <c r="B6780" i="1"/>
  <c r="E6781" i="1"/>
  <c r="B6781" i="1"/>
  <c r="E6782" i="1"/>
  <c r="B6782" i="1"/>
  <c r="E6783" i="1"/>
  <c r="B6783" i="1"/>
  <c r="E6784" i="1"/>
  <c r="B6784" i="1"/>
  <c r="E6785" i="1"/>
  <c r="B6785" i="1"/>
  <c r="E6786" i="1"/>
  <c r="B6786" i="1"/>
  <c r="E6787" i="1"/>
  <c r="B6787" i="1"/>
  <c r="E6788" i="1"/>
  <c r="B6788" i="1"/>
  <c r="E6789" i="1"/>
  <c r="B6789" i="1"/>
  <c r="E6790" i="1"/>
  <c r="B6790" i="1"/>
  <c r="E6791" i="1"/>
  <c r="B6791" i="1"/>
  <c r="E6792" i="1"/>
  <c r="B6792" i="1"/>
  <c r="E6793" i="1"/>
  <c r="B6793" i="1"/>
  <c r="E6794" i="1"/>
  <c r="B6794" i="1"/>
  <c r="E6795" i="1"/>
  <c r="B6795" i="1"/>
  <c r="E6796" i="1"/>
  <c r="B6796" i="1"/>
  <c r="E6797" i="1"/>
  <c r="B6797" i="1"/>
  <c r="E6798" i="1"/>
  <c r="B6798" i="1"/>
  <c r="E6799" i="1"/>
  <c r="B6799" i="1"/>
  <c r="E6800" i="1"/>
  <c r="B6800" i="1"/>
  <c r="E6801" i="1"/>
  <c r="B6801" i="1"/>
  <c r="E6802" i="1"/>
  <c r="B6802" i="1"/>
  <c r="E6803" i="1"/>
  <c r="B6803" i="1"/>
  <c r="E6804" i="1"/>
  <c r="B6804" i="1"/>
  <c r="E6805" i="1"/>
  <c r="B6805" i="1"/>
  <c r="E6806" i="1"/>
  <c r="B6806" i="1"/>
  <c r="E6807" i="1"/>
  <c r="B6807" i="1"/>
  <c r="E6808" i="1"/>
  <c r="B6808" i="1"/>
  <c r="E6809" i="1"/>
  <c r="B6809" i="1"/>
  <c r="E6810" i="1"/>
  <c r="B6810" i="1"/>
  <c r="E6811" i="1"/>
  <c r="B6811" i="1"/>
  <c r="E6812" i="1"/>
  <c r="B6812" i="1"/>
  <c r="E6813" i="1"/>
  <c r="B6813" i="1"/>
  <c r="E6814" i="1"/>
  <c r="B6814" i="1"/>
  <c r="E6815" i="1"/>
  <c r="B6815" i="1"/>
  <c r="E6816" i="1"/>
  <c r="B6816" i="1"/>
  <c r="E6817" i="1"/>
  <c r="B6817" i="1"/>
  <c r="E6818" i="1"/>
  <c r="B6818" i="1"/>
  <c r="E6819" i="1"/>
  <c r="B6819" i="1"/>
  <c r="E6820" i="1"/>
  <c r="B6820" i="1"/>
  <c r="E6821" i="1"/>
  <c r="B6821" i="1"/>
  <c r="E6822" i="1"/>
  <c r="B6822" i="1"/>
  <c r="E6823" i="1"/>
  <c r="B6823" i="1"/>
  <c r="E6824" i="1"/>
  <c r="B6824" i="1"/>
  <c r="E6825" i="1"/>
  <c r="B6825" i="1"/>
  <c r="E6826" i="1"/>
  <c r="B6826" i="1"/>
  <c r="E6827" i="1"/>
  <c r="B6827" i="1"/>
  <c r="E6828" i="1"/>
  <c r="B6828" i="1"/>
  <c r="E6829" i="1"/>
  <c r="B6829" i="1"/>
  <c r="E6830" i="1"/>
  <c r="B6830" i="1"/>
  <c r="E6831" i="1"/>
  <c r="B6831" i="1"/>
  <c r="E6832" i="1"/>
  <c r="B6832" i="1"/>
  <c r="E6833" i="1"/>
  <c r="B6833" i="1"/>
  <c r="E6834" i="1"/>
  <c r="B6834" i="1"/>
  <c r="E6835" i="1"/>
  <c r="B6835" i="1"/>
  <c r="E6836" i="1"/>
  <c r="B6836" i="1"/>
  <c r="E6837" i="1"/>
  <c r="B6837" i="1"/>
  <c r="E6838" i="1"/>
  <c r="B6838" i="1"/>
  <c r="E6839" i="1"/>
  <c r="B6839" i="1"/>
  <c r="E6840" i="1"/>
  <c r="B6840" i="1"/>
  <c r="E6841" i="1"/>
  <c r="B6841" i="1"/>
  <c r="E6842" i="1"/>
  <c r="B6842" i="1"/>
  <c r="E6843" i="1"/>
  <c r="B6843" i="1"/>
  <c r="E6844" i="1"/>
  <c r="B6844" i="1"/>
  <c r="E6845" i="1"/>
  <c r="B6845" i="1"/>
  <c r="E6846" i="1"/>
  <c r="B6846" i="1"/>
  <c r="E6847" i="1"/>
  <c r="B6847" i="1"/>
  <c r="E6848" i="1"/>
  <c r="B6848" i="1"/>
  <c r="E6849" i="1"/>
  <c r="B6849" i="1"/>
  <c r="E6850" i="1"/>
  <c r="B6850" i="1"/>
  <c r="E6851" i="1"/>
  <c r="B6851" i="1"/>
  <c r="E6852" i="1"/>
  <c r="B6852" i="1"/>
  <c r="E6853" i="1"/>
  <c r="B6853" i="1"/>
  <c r="E6854" i="1"/>
  <c r="B6854" i="1"/>
  <c r="E6855" i="1"/>
  <c r="B6855" i="1"/>
  <c r="E6856" i="1"/>
  <c r="B6856" i="1"/>
  <c r="E6857" i="1"/>
  <c r="B6857" i="1"/>
  <c r="E6858" i="1"/>
  <c r="B6858" i="1"/>
  <c r="E6859" i="1"/>
  <c r="B6859" i="1"/>
  <c r="E6860" i="1"/>
  <c r="B6860" i="1"/>
  <c r="E6861" i="1"/>
  <c r="B6861" i="1"/>
  <c r="E6862" i="1"/>
  <c r="B6862" i="1"/>
  <c r="E6863" i="1"/>
  <c r="B6863" i="1"/>
  <c r="E6864" i="1"/>
  <c r="B6864" i="1"/>
  <c r="E6865" i="1"/>
  <c r="B6865" i="1"/>
  <c r="E6866" i="1"/>
  <c r="B6866" i="1"/>
  <c r="E6867" i="1"/>
  <c r="B6867" i="1"/>
  <c r="E6868" i="1"/>
  <c r="B6868" i="1"/>
  <c r="E6869" i="1"/>
  <c r="B6869" i="1"/>
  <c r="E6870" i="1"/>
  <c r="B6870" i="1"/>
  <c r="E6871" i="1"/>
  <c r="B6871" i="1"/>
  <c r="E6872" i="1"/>
  <c r="B6872" i="1"/>
  <c r="E6873" i="1"/>
  <c r="B6873" i="1"/>
  <c r="E6874" i="1"/>
  <c r="B6874" i="1"/>
  <c r="E6875" i="1"/>
  <c r="B6875" i="1"/>
  <c r="E6877" i="1"/>
  <c r="B6877" i="1"/>
  <c r="E6876" i="1"/>
  <c r="B6876" i="1"/>
  <c r="E6878" i="1"/>
  <c r="B6878" i="1"/>
  <c r="E6879" i="1"/>
  <c r="B6879" i="1"/>
  <c r="E6880" i="1"/>
  <c r="B6880" i="1"/>
  <c r="E6882" i="1"/>
  <c r="B6882" i="1"/>
  <c r="E6881" i="1"/>
  <c r="B6881" i="1"/>
  <c r="E6883" i="1"/>
  <c r="B6883" i="1"/>
  <c r="E6884" i="1"/>
  <c r="B6884" i="1"/>
  <c r="E6885" i="1"/>
  <c r="B6885" i="1"/>
  <c r="E6886" i="1"/>
  <c r="B6886" i="1"/>
  <c r="E6887" i="1"/>
  <c r="B6887" i="1"/>
  <c r="E6888" i="1"/>
  <c r="B6888" i="1"/>
  <c r="E6889" i="1"/>
  <c r="B6889" i="1"/>
  <c r="E6890" i="1"/>
  <c r="B6890" i="1"/>
  <c r="E6891" i="1"/>
  <c r="B6891" i="1"/>
  <c r="E6892" i="1"/>
  <c r="B6892" i="1"/>
  <c r="E6893" i="1"/>
  <c r="B6893" i="1"/>
  <c r="E6894" i="1"/>
  <c r="B6894" i="1"/>
  <c r="E6895" i="1"/>
  <c r="B6895" i="1"/>
  <c r="E6896" i="1"/>
  <c r="B6896" i="1"/>
  <c r="E6897" i="1"/>
  <c r="B6897" i="1"/>
  <c r="E6898" i="1"/>
  <c r="B6898" i="1"/>
  <c r="E6899" i="1"/>
  <c r="B6899" i="1"/>
  <c r="E6900" i="1"/>
  <c r="B6900" i="1"/>
  <c r="E6901" i="1"/>
  <c r="B6901" i="1"/>
  <c r="E6902" i="1"/>
  <c r="B6902" i="1"/>
  <c r="E6903" i="1"/>
  <c r="B6903" i="1"/>
  <c r="E6904" i="1"/>
  <c r="B6904" i="1"/>
  <c r="E6905" i="1"/>
  <c r="B6905" i="1"/>
  <c r="E6906" i="1"/>
  <c r="B6906" i="1"/>
  <c r="E6907" i="1"/>
  <c r="B6907" i="1"/>
  <c r="E6908" i="1"/>
  <c r="B6908" i="1"/>
  <c r="E6909" i="1"/>
  <c r="B6909" i="1"/>
  <c r="E6910" i="1"/>
  <c r="B6910" i="1"/>
  <c r="E6911" i="1"/>
  <c r="B6911" i="1"/>
  <c r="E6912" i="1"/>
  <c r="B6912" i="1"/>
  <c r="E6913" i="1"/>
  <c r="B6913" i="1"/>
  <c r="E6914" i="1"/>
  <c r="B6914" i="1"/>
  <c r="E6915" i="1"/>
  <c r="B6915" i="1"/>
  <c r="E6916" i="1"/>
  <c r="B6916" i="1"/>
  <c r="E6917" i="1"/>
  <c r="B6917" i="1"/>
  <c r="E6919" i="1"/>
  <c r="B6919" i="1"/>
  <c r="E6918" i="1"/>
  <c r="B6918" i="1"/>
  <c r="E6920" i="1"/>
  <c r="B6920" i="1"/>
  <c r="E6921" i="1"/>
  <c r="B6921" i="1"/>
  <c r="E6923" i="1"/>
  <c r="B6923" i="1"/>
  <c r="E6922" i="1"/>
  <c r="B6922" i="1"/>
  <c r="E6924" i="1"/>
  <c r="B6924" i="1"/>
  <c r="E6925" i="1"/>
  <c r="B6925" i="1"/>
  <c r="E6926" i="1"/>
  <c r="B6926" i="1"/>
  <c r="E6927" i="1"/>
  <c r="B6927" i="1"/>
  <c r="E6928" i="1"/>
  <c r="B6928" i="1"/>
  <c r="E6929" i="1"/>
  <c r="B6929" i="1"/>
  <c r="E6930" i="1"/>
  <c r="B6930" i="1"/>
  <c r="E6931" i="1"/>
  <c r="B6931" i="1"/>
  <c r="E6933" i="1"/>
  <c r="B6933" i="1"/>
  <c r="E6932" i="1"/>
  <c r="B6932" i="1"/>
  <c r="E6934" i="1"/>
  <c r="B6934" i="1"/>
  <c r="E6935" i="1"/>
  <c r="B6935" i="1"/>
  <c r="E6936" i="1"/>
  <c r="B6936" i="1"/>
  <c r="E6937" i="1"/>
  <c r="B6937" i="1"/>
  <c r="E6938" i="1"/>
  <c r="B6938" i="1"/>
  <c r="E6939" i="1"/>
  <c r="B6939" i="1"/>
  <c r="E6940" i="1"/>
  <c r="B6940" i="1"/>
  <c r="E6941" i="1"/>
  <c r="B6941" i="1"/>
  <c r="E6942" i="1"/>
  <c r="B6942" i="1"/>
  <c r="E6943" i="1"/>
  <c r="B6943" i="1"/>
  <c r="E6944" i="1"/>
  <c r="B6944" i="1"/>
  <c r="E6945" i="1"/>
  <c r="B6945" i="1"/>
  <c r="E6946" i="1"/>
  <c r="B6946" i="1"/>
  <c r="E6947" i="1"/>
  <c r="B6947" i="1"/>
  <c r="E6948" i="1"/>
  <c r="B6948" i="1"/>
  <c r="E6949" i="1"/>
  <c r="B6949" i="1"/>
  <c r="E6950" i="1"/>
  <c r="B6950" i="1"/>
  <c r="E6951" i="1"/>
  <c r="B6951" i="1"/>
  <c r="E6952" i="1"/>
  <c r="B6952" i="1"/>
  <c r="E6953" i="1"/>
  <c r="B6953" i="1"/>
  <c r="E6954" i="1"/>
  <c r="B6954" i="1"/>
  <c r="E6955" i="1"/>
  <c r="B6955" i="1"/>
  <c r="E6956" i="1"/>
  <c r="B6956" i="1"/>
  <c r="E6957" i="1"/>
  <c r="B6957" i="1"/>
  <c r="E6958" i="1"/>
  <c r="B6958" i="1"/>
  <c r="E6959" i="1"/>
  <c r="B6959" i="1"/>
  <c r="E6960" i="1"/>
  <c r="B6960" i="1"/>
  <c r="E6961" i="1"/>
  <c r="B6961" i="1"/>
  <c r="E6962" i="1"/>
  <c r="B6962" i="1"/>
  <c r="E6963" i="1"/>
  <c r="B6963" i="1"/>
  <c r="E6964" i="1"/>
  <c r="B6964" i="1"/>
  <c r="E6965" i="1"/>
  <c r="B6965" i="1"/>
  <c r="E6966" i="1"/>
  <c r="B6966" i="1"/>
  <c r="E6967" i="1"/>
  <c r="B6967" i="1"/>
  <c r="E6968" i="1"/>
  <c r="B6968" i="1"/>
  <c r="E6969" i="1"/>
  <c r="B6969" i="1"/>
  <c r="E6970" i="1"/>
  <c r="B6970" i="1"/>
  <c r="E6971" i="1"/>
  <c r="B6971" i="1"/>
  <c r="E6972" i="1"/>
  <c r="B6972" i="1"/>
  <c r="E6973" i="1"/>
  <c r="B6973" i="1"/>
  <c r="E6974" i="1"/>
  <c r="B6974" i="1"/>
  <c r="E6975" i="1"/>
  <c r="B6975" i="1"/>
  <c r="E6976" i="1"/>
  <c r="B6976" i="1"/>
  <c r="E6977" i="1"/>
  <c r="B6977" i="1"/>
  <c r="E6978" i="1"/>
  <c r="B6978" i="1"/>
  <c r="E6979" i="1"/>
  <c r="B6979" i="1"/>
  <c r="E6980" i="1"/>
  <c r="B6980" i="1"/>
  <c r="E6981" i="1"/>
  <c r="B6981" i="1"/>
  <c r="E6982" i="1"/>
  <c r="B6982" i="1"/>
  <c r="E6983" i="1"/>
  <c r="B6983" i="1"/>
  <c r="E6984" i="1"/>
  <c r="B6984" i="1"/>
  <c r="E6985" i="1"/>
  <c r="B6985" i="1"/>
  <c r="E6986" i="1"/>
  <c r="B6986" i="1"/>
  <c r="E6987" i="1"/>
  <c r="B6987" i="1"/>
  <c r="E6988" i="1"/>
  <c r="B6988" i="1"/>
  <c r="E6989" i="1"/>
  <c r="B6989" i="1"/>
  <c r="E6990" i="1"/>
  <c r="B6990" i="1"/>
  <c r="E6991" i="1"/>
  <c r="B6991" i="1"/>
  <c r="E6992" i="1"/>
  <c r="B6992" i="1"/>
  <c r="E6994" i="1"/>
  <c r="B6994" i="1"/>
  <c r="E6993" i="1"/>
  <c r="B6993" i="1"/>
  <c r="E6995" i="1"/>
  <c r="B6995" i="1"/>
  <c r="E6996" i="1"/>
  <c r="B6996" i="1"/>
  <c r="E6997" i="1"/>
  <c r="B6997" i="1"/>
  <c r="E6998" i="1"/>
  <c r="B6998" i="1"/>
  <c r="E6999" i="1"/>
  <c r="B6999" i="1"/>
  <c r="E7000" i="1"/>
  <c r="B7000" i="1"/>
  <c r="E7001" i="1"/>
  <c r="B7001" i="1"/>
  <c r="E7002" i="1"/>
  <c r="B7002" i="1"/>
  <c r="E7003" i="1"/>
  <c r="B7003" i="1"/>
  <c r="E7004" i="1"/>
  <c r="B7004" i="1"/>
  <c r="E7005" i="1"/>
  <c r="B7005" i="1"/>
  <c r="E7006" i="1"/>
  <c r="B7006" i="1"/>
  <c r="E7007" i="1"/>
  <c r="B7007" i="1"/>
  <c r="E7008" i="1"/>
  <c r="B7008" i="1"/>
  <c r="E7009" i="1"/>
  <c r="B7009" i="1"/>
  <c r="E7010" i="1"/>
  <c r="B7010" i="1"/>
  <c r="E7011" i="1"/>
  <c r="B7011" i="1"/>
  <c r="E7012" i="1"/>
  <c r="B7012" i="1"/>
  <c r="E7013" i="1"/>
  <c r="B7013" i="1"/>
  <c r="E7014" i="1"/>
  <c r="B7014" i="1"/>
  <c r="E7015" i="1"/>
  <c r="B7015" i="1"/>
  <c r="E7016" i="1"/>
  <c r="B7016" i="1"/>
  <c r="E7017" i="1"/>
  <c r="B7017" i="1"/>
  <c r="E7018" i="1"/>
  <c r="B7018" i="1"/>
  <c r="E7019" i="1"/>
  <c r="B7019" i="1"/>
  <c r="E7020" i="1"/>
  <c r="B7020" i="1"/>
  <c r="E7021" i="1"/>
  <c r="B7021" i="1"/>
  <c r="E7022" i="1"/>
  <c r="B7022" i="1"/>
  <c r="E7023" i="1"/>
  <c r="B7023" i="1"/>
  <c r="E7024" i="1"/>
  <c r="B7024" i="1"/>
  <c r="E7025" i="1"/>
  <c r="B7025" i="1"/>
  <c r="E7026" i="1"/>
  <c r="B7026" i="1"/>
  <c r="E7027" i="1"/>
  <c r="B7027" i="1"/>
  <c r="E7028" i="1"/>
  <c r="B7028" i="1"/>
  <c r="E7029" i="1"/>
  <c r="B7029" i="1"/>
  <c r="E7030" i="1"/>
  <c r="B7030" i="1"/>
  <c r="E7031" i="1"/>
  <c r="B7031" i="1"/>
  <c r="E7032" i="1"/>
  <c r="B7032" i="1"/>
  <c r="E7033" i="1"/>
  <c r="B7033" i="1"/>
  <c r="E7034" i="1"/>
  <c r="B7034" i="1"/>
  <c r="E7035" i="1"/>
  <c r="B7035" i="1"/>
  <c r="E7036" i="1"/>
  <c r="B7036" i="1"/>
  <c r="E7037" i="1"/>
  <c r="B7037" i="1"/>
  <c r="E7038" i="1"/>
  <c r="B7038" i="1"/>
  <c r="E7039" i="1"/>
  <c r="B7039" i="1"/>
  <c r="E7040" i="1"/>
  <c r="B7040" i="1"/>
  <c r="E7041" i="1"/>
  <c r="B7041" i="1"/>
  <c r="E7042" i="1"/>
  <c r="B7042" i="1"/>
  <c r="E7043" i="1"/>
  <c r="B7043" i="1"/>
  <c r="E7044" i="1"/>
  <c r="B7044" i="1"/>
  <c r="E7045" i="1"/>
  <c r="B7045" i="1"/>
  <c r="E7046" i="1"/>
  <c r="B7046" i="1"/>
  <c r="E7047" i="1"/>
  <c r="B7047" i="1"/>
  <c r="E7048" i="1"/>
  <c r="B7048" i="1"/>
  <c r="E7049" i="1"/>
  <c r="B7049" i="1"/>
  <c r="E7050" i="1"/>
  <c r="B7050" i="1"/>
  <c r="E7051" i="1"/>
  <c r="B7051" i="1"/>
  <c r="E7052" i="1"/>
  <c r="B7052" i="1"/>
  <c r="E7053" i="1"/>
  <c r="B7053" i="1"/>
  <c r="E7054" i="1"/>
  <c r="B7054" i="1"/>
  <c r="E7055" i="1"/>
  <c r="B7055" i="1"/>
  <c r="E7056" i="1"/>
  <c r="B7056" i="1"/>
  <c r="E7057" i="1"/>
  <c r="B7057" i="1"/>
  <c r="E7058" i="1"/>
  <c r="B7058" i="1"/>
  <c r="E7059" i="1"/>
  <c r="B7059" i="1"/>
  <c r="E7060" i="1"/>
  <c r="B7060" i="1"/>
  <c r="E7061" i="1"/>
  <c r="B7061" i="1"/>
  <c r="E7062" i="1"/>
  <c r="B7062" i="1"/>
  <c r="E7063" i="1"/>
  <c r="B7063" i="1"/>
  <c r="E7064" i="1"/>
  <c r="B7064" i="1"/>
  <c r="E7065" i="1"/>
  <c r="B7065" i="1"/>
  <c r="E7066" i="1"/>
  <c r="B7066" i="1"/>
  <c r="E7067" i="1"/>
  <c r="B7067" i="1"/>
  <c r="E7068" i="1"/>
  <c r="B7068" i="1"/>
  <c r="E7069" i="1"/>
  <c r="B7069" i="1"/>
  <c r="E7070" i="1"/>
  <c r="B7070" i="1"/>
  <c r="E7072" i="1"/>
  <c r="B7072" i="1"/>
  <c r="E7071" i="1"/>
  <c r="B7071" i="1"/>
  <c r="E7074" i="1"/>
  <c r="B7074" i="1"/>
  <c r="E7073" i="1"/>
  <c r="B7073" i="1"/>
  <c r="E7075" i="1"/>
  <c r="B7075" i="1"/>
  <c r="E7076" i="1"/>
  <c r="B7076" i="1"/>
  <c r="E7077" i="1"/>
  <c r="B7077" i="1"/>
  <c r="E7078" i="1"/>
  <c r="B7078" i="1"/>
  <c r="E7079" i="1"/>
  <c r="B7079" i="1"/>
  <c r="E7080" i="1"/>
  <c r="B7080" i="1"/>
  <c r="E7081" i="1"/>
  <c r="B7081" i="1"/>
  <c r="E7082" i="1"/>
  <c r="B7082" i="1"/>
  <c r="E7083" i="1"/>
  <c r="B7083" i="1"/>
  <c r="E7084" i="1"/>
  <c r="B7084" i="1"/>
  <c r="E7085" i="1"/>
  <c r="B7085" i="1"/>
  <c r="E7086" i="1"/>
  <c r="B7086" i="1"/>
  <c r="E7087" i="1"/>
  <c r="B7087" i="1"/>
  <c r="E7088" i="1"/>
  <c r="B7088" i="1"/>
  <c r="E7089" i="1"/>
  <c r="B7089" i="1"/>
  <c r="E7090" i="1"/>
  <c r="B7090" i="1"/>
  <c r="E7091" i="1"/>
  <c r="B7091" i="1"/>
  <c r="E7092" i="1"/>
  <c r="B7092" i="1"/>
  <c r="E7093" i="1"/>
  <c r="B7093" i="1"/>
  <c r="E7094" i="1"/>
  <c r="B7094" i="1"/>
  <c r="E7095" i="1"/>
  <c r="B7095" i="1"/>
  <c r="E7096" i="1"/>
  <c r="B7096" i="1"/>
  <c r="E7097" i="1"/>
  <c r="B7097" i="1"/>
  <c r="E7098" i="1"/>
  <c r="B7098" i="1"/>
  <c r="E7099" i="1"/>
  <c r="B7099" i="1"/>
  <c r="E7100" i="1"/>
  <c r="B7100" i="1"/>
  <c r="E7101" i="1"/>
  <c r="B7101" i="1"/>
  <c r="E7102" i="1"/>
  <c r="B7102" i="1"/>
  <c r="E7103" i="1"/>
  <c r="B7103" i="1"/>
  <c r="E7104" i="1"/>
  <c r="B7104" i="1"/>
  <c r="E7105" i="1"/>
  <c r="B7105" i="1"/>
  <c r="E7106" i="1"/>
  <c r="B7106" i="1"/>
  <c r="E7107" i="1"/>
  <c r="B7107" i="1"/>
  <c r="E7108" i="1"/>
  <c r="B7108" i="1"/>
  <c r="E7109" i="1"/>
  <c r="B7109" i="1"/>
  <c r="E7110" i="1"/>
  <c r="B7110" i="1"/>
  <c r="E7111" i="1"/>
  <c r="B7111" i="1"/>
  <c r="E7112" i="1"/>
  <c r="B7112" i="1"/>
  <c r="E7113" i="1"/>
  <c r="B7113" i="1"/>
  <c r="E7114" i="1"/>
  <c r="B7114" i="1"/>
  <c r="E7115" i="1"/>
  <c r="B7115" i="1"/>
  <c r="E7116" i="1"/>
  <c r="B7116" i="1"/>
  <c r="E7117" i="1"/>
  <c r="B7117" i="1"/>
  <c r="E7118" i="1"/>
  <c r="B7118" i="1"/>
  <c r="E7119" i="1"/>
  <c r="B7119" i="1"/>
  <c r="E7120" i="1"/>
  <c r="B7120" i="1"/>
  <c r="E7121" i="1"/>
  <c r="B7121" i="1"/>
  <c r="E7122" i="1"/>
  <c r="B7122" i="1"/>
  <c r="E7123" i="1"/>
  <c r="B7123" i="1"/>
  <c r="E7124" i="1"/>
  <c r="B7124" i="1"/>
  <c r="E7125" i="1"/>
  <c r="B7125" i="1"/>
  <c r="E7126" i="1"/>
  <c r="B7126" i="1"/>
  <c r="E7127" i="1"/>
  <c r="B7127" i="1"/>
  <c r="E7128" i="1"/>
  <c r="B7128" i="1"/>
  <c r="E7129" i="1"/>
  <c r="B7129" i="1"/>
  <c r="E7130" i="1"/>
  <c r="B7130" i="1"/>
  <c r="E7131" i="1"/>
  <c r="B7131" i="1"/>
  <c r="E7132" i="1"/>
  <c r="B7132" i="1"/>
  <c r="E7133" i="1"/>
  <c r="B7133" i="1"/>
  <c r="E7134" i="1"/>
  <c r="B7134" i="1"/>
  <c r="E7135" i="1"/>
  <c r="B7135" i="1"/>
  <c r="E7136" i="1"/>
  <c r="B7136" i="1"/>
  <c r="E7137" i="1"/>
  <c r="B7137" i="1"/>
  <c r="E7138" i="1"/>
  <c r="B7138" i="1"/>
  <c r="E7139" i="1"/>
  <c r="B7139" i="1"/>
  <c r="E7140" i="1"/>
  <c r="B7140" i="1"/>
  <c r="E7141" i="1"/>
  <c r="B7141" i="1"/>
  <c r="E7142" i="1"/>
  <c r="B7142" i="1"/>
  <c r="E7143" i="1"/>
  <c r="B7143" i="1"/>
  <c r="E7144" i="1"/>
  <c r="B7144" i="1"/>
  <c r="E7145" i="1"/>
  <c r="B7145" i="1"/>
  <c r="E7146" i="1"/>
  <c r="B7146" i="1"/>
  <c r="E7147" i="1"/>
  <c r="B7147" i="1"/>
  <c r="E7148" i="1"/>
  <c r="B7148" i="1"/>
  <c r="E7149" i="1"/>
  <c r="B7149" i="1"/>
  <c r="E7150" i="1"/>
  <c r="B7150" i="1"/>
  <c r="E7151" i="1"/>
  <c r="B7151" i="1"/>
  <c r="E7152" i="1"/>
  <c r="B7152" i="1"/>
  <c r="E7153" i="1"/>
  <c r="B7153" i="1"/>
  <c r="E7154" i="1"/>
  <c r="B7154" i="1"/>
  <c r="E7155" i="1"/>
  <c r="B7155" i="1"/>
  <c r="E7156" i="1"/>
  <c r="B7156" i="1"/>
  <c r="E7157" i="1"/>
  <c r="B7157" i="1"/>
  <c r="E7158" i="1"/>
  <c r="B7158" i="1"/>
  <c r="E7159" i="1"/>
  <c r="B7159" i="1"/>
  <c r="E7160" i="1"/>
  <c r="B7160" i="1"/>
  <c r="E7161" i="1"/>
  <c r="B7161" i="1"/>
  <c r="E7162" i="1"/>
  <c r="B7162" i="1"/>
  <c r="E7163" i="1"/>
  <c r="B7163" i="1"/>
  <c r="E7164" i="1"/>
  <c r="B7164" i="1"/>
  <c r="E7165" i="1"/>
  <c r="B7165" i="1"/>
  <c r="E7166" i="1"/>
  <c r="B7166" i="1"/>
  <c r="E7167" i="1"/>
  <c r="B7167" i="1"/>
  <c r="E7168" i="1"/>
  <c r="B7168" i="1"/>
  <c r="E7169" i="1"/>
  <c r="B7169" i="1"/>
  <c r="E7170" i="1"/>
  <c r="B7170" i="1"/>
  <c r="E7171" i="1"/>
  <c r="B7171" i="1"/>
  <c r="E7172" i="1"/>
  <c r="B7172" i="1"/>
  <c r="E7173" i="1"/>
  <c r="B7173" i="1"/>
  <c r="E7174" i="1"/>
  <c r="B7174" i="1"/>
  <c r="E7175" i="1"/>
  <c r="B7175" i="1"/>
  <c r="E7176" i="1"/>
  <c r="B7176" i="1"/>
  <c r="E7177" i="1"/>
  <c r="B7177" i="1"/>
  <c r="E7178" i="1"/>
  <c r="B7178" i="1"/>
  <c r="E7179" i="1"/>
  <c r="B7179" i="1"/>
  <c r="E7180" i="1"/>
  <c r="B7180" i="1"/>
  <c r="E7181" i="1"/>
  <c r="B7181" i="1"/>
  <c r="E7182" i="1"/>
  <c r="B7182" i="1"/>
  <c r="E7183" i="1"/>
  <c r="B7183" i="1"/>
  <c r="E7184" i="1"/>
  <c r="B7184" i="1"/>
  <c r="E7185" i="1"/>
  <c r="B7185" i="1"/>
  <c r="E7186" i="1"/>
  <c r="B7186" i="1"/>
  <c r="E7187" i="1"/>
  <c r="B7187" i="1"/>
  <c r="E7188" i="1"/>
  <c r="B7188" i="1"/>
  <c r="E7189" i="1"/>
  <c r="B7189" i="1"/>
  <c r="E7190" i="1"/>
  <c r="B7190" i="1"/>
  <c r="E7191" i="1"/>
  <c r="B7191" i="1"/>
  <c r="E7192" i="1"/>
  <c r="B7192" i="1"/>
  <c r="E7193" i="1"/>
  <c r="B7193" i="1"/>
  <c r="E7194" i="1"/>
  <c r="B7194" i="1"/>
  <c r="E7195" i="1"/>
  <c r="B7195" i="1"/>
  <c r="E7196" i="1"/>
  <c r="B7196" i="1"/>
  <c r="E7197" i="1"/>
  <c r="B7197" i="1"/>
  <c r="E7198" i="1"/>
  <c r="B7198" i="1"/>
  <c r="E7199" i="1"/>
  <c r="B7199" i="1"/>
  <c r="E7200" i="1"/>
  <c r="B7200" i="1"/>
  <c r="E7201" i="1"/>
  <c r="B7201" i="1"/>
  <c r="E7202" i="1"/>
  <c r="B7202" i="1"/>
  <c r="E7203" i="1"/>
  <c r="B7203" i="1"/>
  <c r="E7204" i="1"/>
  <c r="B7204" i="1"/>
  <c r="E7205" i="1"/>
  <c r="B7205" i="1"/>
  <c r="E7206" i="1"/>
  <c r="B7206" i="1"/>
  <c r="E7207" i="1"/>
  <c r="B7207" i="1"/>
  <c r="E7208" i="1"/>
  <c r="B7208" i="1"/>
  <c r="E7209" i="1"/>
  <c r="B7209" i="1"/>
  <c r="E7210" i="1"/>
  <c r="B7210" i="1"/>
  <c r="E7211" i="1"/>
  <c r="B7211" i="1"/>
  <c r="E7212" i="1"/>
  <c r="B7212" i="1"/>
  <c r="E7213" i="1"/>
  <c r="B7213" i="1"/>
  <c r="E7214" i="1"/>
  <c r="B7214" i="1"/>
  <c r="E7215" i="1"/>
  <c r="B7215" i="1"/>
  <c r="E7216" i="1"/>
  <c r="B7216" i="1"/>
  <c r="E7217" i="1"/>
  <c r="B7217" i="1"/>
  <c r="E7218" i="1"/>
  <c r="B7218" i="1"/>
  <c r="E7219" i="1"/>
  <c r="B7219" i="1"/>
  <c r="E7221" i="1"/>
  <c r="B7221" i="1"/>
  <c r="E7220" i="1"/>
  <c r="B7220" i="1"/>
  <c r="E7222" i="1"/>
  <c r="B7222" i="1"/>
  <c r="E7223" i="1"/>
  <c r="B7223" i="1"/>
  <c r="E7224" i="1"/>
  <c r="B7224" i="1"/>
  <c r="E7225" i="1"/>
  <c r="B7225" i="1"/>
  <c r="E7226" i="1"/>
  <c r="B7226" i="1"/>
  <c r="E7227" i="1"/>
  <c r="B7227" i="1"/>
  <c r="E7228" i="1"/>
  <c r="B7228" i="1"/>
  <c r="E7229" i="1"/>
  <c r="B7229" i="1"/>
  <c r="E7230" i="1"/>
  <c r="B7230" i="1"/>
  <c r="E7232" i="1"/>
  <c r="B7232" i="1"/>
  <c r="E7231" i="1"/>
  <c r="B7231" i="1"/>
  <c r="E7233" i="1"/>
  <c r="B7233" i="1"/>
  <c r="E7234" i="1"/>
  <c r="B7234" i="1"/>
  <c r="E7235" i="1"/>
  <c r="B7235" i="1"/>
  <c r="E7236" i="1"/>
  <c r="B7236" i="1"/>
  <c r="E7237" i="1"/>
  <c r="B7237" i="1"/>
  <c r="E7238" i="1"/>
  <c r="B7238" i="1"/>
  <c r="E7239" i="1"/>
  <c r="B7239" i="1"/>
  <c r="E7240" i="1"/>
  <c r="B7240" i="1"/>
  <c r="E7241" i="1"/>
  <c r="B7241" i="1"/>
  <c r="E7242" i="1"/>
  <c r="B7242" i="1"/>
  <c r="E7243" i="1"/>
  <c r="B7243" i="1"/>
  <c r="E7244" i="1"/>
  <c r="B7244" i="1"/>
  <c r="E7245" i="1"/>
  <c r="B7245" i="1"/>
  <c r="E7246" i="1"/>
  <c r="B7246" i="1"/>
  <c r="E7247" i="1"/>
  <c r="B7247" i="1"/>
  <c r="E7248" i="1"/>
  <c r="B7248" i="1"/>
  <c r="E7249" i="1"/>
  <c r="B7249" i="1"/>
  <c r="E7250" i="1"/>
  <c r="B7250" i="1"/>
  <c r="E7251" i="1"/>
  <c r="B7251" i="1"/>
  <c r="E7252" i="1"/>
  <c r="B7252" i="1"/>
  <c r="E7253" i="1"/>
  <c r="B7253" i="1"/>
  <c r="E7254" i="1"/>
  <c r="B7254" i="1"/>
  <c r="E7255" i="1"/>
  <c r="B7255" i="1"/>
  <c r="E7256" i="1"/>
  <c r="B7256" i="1"/>
  <c r="E7257" i="1"/>
  <c r="B7257" i="1"/>
  <c r="E7258" i="1"/>
  <c r="B7258" i="1"/>
  <c r="E7259" i="1"/>
  <c r="B7259" i="1"/>
  <c r="E7260" i="1"/>
  <c r="B7260" i="1"/>
  <c r="E7261" i="1"/>
  <c r="B7261" i="1"/>
  <c r="E7262" i="1"/>
  <c r="B7262" i="1"/>
  <c r="E7263" i="1"/>
  <c r="B7263" i="1"/>
  <c r="E7264" i="1"/>
  <c r="B7264" i="1"/>
  <c r="E7265" i="1"/>
  <c r="B7265" i="1"/>
  <c r="E7266" i="1"/>
  <c r="B7266" i="1"/>
  <c r="E7267" i="1"/>
  <c r="B7267" i="1"/>
  <c r="E7268" i="1"/>
  <c r="B7268" i="1"/>
  <c r="E7269" i="1"/>
  <c r="B7269" i="1"/>
  <c r="E7270" i="1"/>
  <c r="B7270" i="1"/>
  <c r="E7271" i="1"/>
  <c r="B7271" i="1"/>
  <c r="E7272" i="1"/>
  <c r="B7272" i="1"/>
  <c r="E7273" i="1"/>
  <c r="B7273" i="1"/>
  <c r="E7274" i="1"/>
  <c r="B7274" i="1"/>
  <c r="E7275" i="1"/>
  <c r="B7275" i="1"/>
  <c r="E7276" i="1"/>
  <c r="B7276" i="1"/>
  <c r="E7277" i="1"/>
  <c r="B7277" i="1"/>
  <c r="E7278" i="1"/>
  <c r="B7278" i="1"/>
  <c r="E7279" i="1"/>
  <c r="B7279" i="1"/>
  <c r="E7280" i="1"/>
  <c r="B7280" i="1"/>
  <c r="E7281" i="1"/>
  <c r="B7281" i="1"/>
  <c r="E7282" i="1"/>
  <c r="B7282" i="1"/>
  <c r="E7283" i="1"/>
  <c r="B7283" i="1"/>
  <c r="E7284" i="1"/>
  <c r="B7284" i="1"/>
  <c r="E7285" i="1"/>
  <c r="B7285" i="1"/>
  <c r="E7286" i="1"/>
  <c r="B7286" i="1"/>
  <c r="E7287" i="1"/>
  <c r="B7287" i="1"/>
  <c r="E7288" i="1"/>
  <c r="B7288" i="1"/>
  <c r="E7289" i="1"/>
  <c r="B7289" i="1"/>
  <c r="E7290" i="1"/>
  <c r="B7290" i="1"/>
  <c r="E7291" i="1"/>
  <c r="B7291" i="1"/>
  <c r="E7292" i="1"/>
  <c r="B7292" i="1"/>
  <c r="E7293" i="1"/>
  <c r="B7293" i="1"/>
  <c r="E7294" i="1"/>
  <c r="B7294" i="1"/>
  <c r="E7295" i="1"/>
  <c r="B7295" i="1"/>
  <c r="E7296" i="1"/>
  <c r="B7296" i="1"/>
  <c r="E7297" i="1"/>
  <c r="B7297" i="1"/>
  <c r="E7298" i="1"/>
  <c r="B7298" i="1"/>
  <c r="E7299" i="1"/>
  <c r="B7299" i="1"/>
  <c r="E7300" i="1"/>
  <c r="B7300" i="1"/>
  <c r="E7301" i="1"/>
  <c r="B7301" i="1"/>
  <c r="E7302" i="1"/>
  <c r="B7302" i="1"/>
  <c r="E7303" i="1"/>
  <c r="B7303" i="1"/>
  <c r="E7304" i="1"/>
  <c r="B7304" i="1"/>
  <c r="E7305" i="1"/>
  <c r="B7305" i="1"/>
  <c r="E7306" i="1"/>
  <c r="B7306" i="1"/>
  <c r="E7307" i="1"/>
  <c r="B7307" i="1"/>
  <c r="E7308" i="1"/>
  <c r="B7308" i="1"/>
  <c r="E7309" i="1"/>
  <c r="B7309" i="1"/>
  <c r="E7310" i="1"/>
  <c r="B7310" i="1"/>
  <c r="E7311" i="1"/>
  <c r="B7311" i="1"/>
  <c r="E7312" i="1"/>
  <c r="B7312" i="1"/>
  <c r="E7313" i="1"/>
  <c r="B7313" i="1"/>
  <c r="E7314" i="1"/>
  <c r="B7314" i="1"/>
  <c r="E7315" i="1"/>
  <c r="B7315" i="1"/>
  <c r="E7316" i="1"/>
  <c r="B7316" i="1"/>
  <c r="E7317" i="1"/>
  <c r="B7317" i="1"/>
  <c r="E7318" i="1"/>
  <c r="B7318" i="1"/>
  <c r="E7319" i="1"/>
  <c r="B7319" i="1"/>
  <c r="E7320" i="1"/>
  <c r="B7320" i="1"/>
  <c r="E7321" i="1"/>
  <c r="B7321" i="1"/>
  <c r="E7322" i="1"/>
  <c r="B7322" i="1"/>
  <c r="E7323" i="1"/>
  <c r="B7323" i="1"/>
  <c r="E7324" i="1"/>
  <c r="B7324" i="1"/>
  <c r="E7325" i="1"/>
  <c r="B7325" i="1"/>
  <c r="E7326" i="1"/>
  <c r="B7326" i="1"/>
  <c r="E7327" i="1"/>
  <c r="B7327" i="1"/>
  <c r="E7328" i="1"/>
  <c r="B7328" i="1"/>
  <c r="E7329" i="1"/>
  <c r="B7329" i="1"/>
  <c r="E7330" i="1"/>
  <c r="B7330" i="1"/>
  <c r="E7331" i="1"/>
  <c r="B7331" i="1"/>
  <c r="E7332" i="1"/>
  <c r="B7332" i="1"/>
  <c r="E7333" i="1"/>
  <c r="B7333" i="1"/>
  <c r="E7334" i="1"/>
  <c r="B7334" i="1"/>
  <c r="E7335" i="1"/>
  <c r="B7335" i="1"/>
  <c r="E7337" i="1"/>
  <c r="B7337" i="1"/>
  <c r="E7336" i="1"/>
  <c r="B7336" i="1"/>
  <c r="E7338" i="1"/>
  <c r="B7338" i="1"/>
  <c r="E7339" i="1"/>
  <c r="B7339" i="1"/>
  <c r="E7340" i="1"/>
  <c r="B7340" i="1"/>
  <c r="E7341" i="1"/>
  <c r="B7341" i="1"/>
  <c r="E7342" i="1"/>
  <c r="B7342" i="1"/>
  <c r="E7343" i="1"/>
  <c r="B7343" i="1"/>
  <c r="E7344" i="1"/>
  <c r="B7344" i="1"/>
  <c r="E7345" i="1"/>
  <c r="B7345" i="1"/>
  <c r="E7346" i="1"/>
  <c r="B7346" i="1"/>
  <c r="E7348" i="1"/>
  <c r="B7348" i="1"/>
  <c r="E7347" i="1"/>
  <c r="B7347" i="1"/>
  <c r="E7349" i="1"/>
  <c r="B7349" i="1"/>
  <c r="E7350" i="1"/>
  <c r="B7350" i="1"/>
  <c r="E7351" i="1"/>
  <c r="B7351" i="1"/>
  <c r="E7352" i="1"/>
  <c r="B7352" i="1"/>
  <c r="E7353" i="1"/>
  <c r="B7353" i="1"/>
  <c r="E7354" i="1"/>
  <c r="B7354" i="1"/>
  <c r="E7355" i="1"/>
  <c r="B7355" i="1"/>
  <c r="E7356" i="1"/>
  <c r="B7356" i="1"/>
  <c r="E7357" i="1"/>
  <c r="B7357" i="1"/>
  <c r="E7358" i="1"/>
  <c r="B7358" i="1"/>
  <c r="E7359" i="1"/>
  <c r="B7359" i="1"/>
  <c r="E7360" i="1"/>
  <c r="B7360" i="1"/>
  <c r="E7361" i="1"/>
  <c r="B7361" i="1"/>
  <c r="E7362" i="1"/>
  <c r="B7362" i="1"/>
  <c r="E7363" i="1"/>
  <c r="B7363" i="1"/>
  <c r="E7364" i="1"/>
  <c r="B7364" i="1"/>
  <c r="E7365" i="1"/>
  <c r="B7365" i="1"/>
  <c r="E7366" i="1"/>
  <c r="B7366" i="1"/>
  <c r="E7367" i="1"/>
  <c r="B7367" i="1"/>
  <c r="E7368" i="1"/>
  <c r="B7368" i="1"/>
  <c r="E7369" i="1"/>
  <c r="B7369" i="1"/>
  <c r="E7370" i="1"/>
  <c r="B7370" i="1"/>
  <c r="E7371" i="1"/>
  <c r="B7371" i="1"/>
  <c r="E7372" i="1"/>
  <c r="B7372" i="1"/>
  <c r="E7373" i="1"/>
  <c r="B7373" i="1"/>
  <c r="E7374" i="1"/>
  <c r="B7374" i="1"/>
  <c r="E7375" i="1"/>
  <c r="B7375" i="1"/>
  <c r="E7376" i="1"/>
  <c r="B7376" i="1"/>
  <c r="E7377" i="1"/>
  <c r="B7377" i="1"/>
  <c r="E7378" i="1"/>
  <c r="B7378" i="1"/>
  <c r="E7379" i="1"/>
  <c r="B7379" i="1"/>
  <c r="E7380" i="1"/>
  <c r="B7380" i="1"/>
  <c r="E7381" i="1"/>
  <c r="B7381" i="1"/>
  <c r="E7382" i="1"/>
  <c r="B7382" i="1"/>
  <c r="E7383" i="1"/>
  <c r="B7383" i="1"/>
  <c r="E7384" i="1"/>
  <c r="B7384" i="1"/>
  <c r="E7385" i="1"/>
  <c r="B7385" i="1"/>
  <c r="E7386" i="1"/>
  <c r="B7386" i="1"/>
  <c r="E7387" i="1"/>
  <c r="B7387" i="1"/>
  <c r="E7388" i="1"/>
  <c r="B7388" i="1"/>
  <c r="E7390" i="1"/>
  <c r="B7390" i="1"/>
  <c r="E7389" i="1"/>
  <c r="B7389" i="1"/>
  <c r="E7391" i="1"/>
  <c r="B7391" i="1"/>
  <c r="E7392" i="1"/>
  <c r="B7392" i="1"/>
  <c r="E7393" i="1"/>
  <c r="B7393" i="1"/>
  <c r="E7394" i="1"/>
  <c r="B7394" i="1"/>
  <c r="E7395" i="1"/>
  <c r="B7395" i="1"/>
  <c r="E7396" i="1"/>
  <c r="B7396" i="1"/>
  <c r="E7397" i="1"/>
  <c r="B7397" i="1"/>
  <c r="E7398" i="1"/>
  <c r="B7398" i="1"/>
  <c r="E7399" i="1"/>
  <c r="B7399" i="1"/>
  <c r="E7400" i="1"/>
  <c r="B7400" i="1"/>
  <c r="E7401" i="1"/>
  <c r="B7401" i="1"/>
  <c r="E7402" i="1"/>
  <c r="B7402" i="1"/>
  <c r="E7403" i="1"/>
  <c r="B7403" i="1"/>
  <c r="E7404" i="1"/>
  <c r="B7404" i="1"/>
  <c r="E7405" i="1"/>
  <c r="B7405" i="1"/>
  <c r="E7406" i="1"/>
  <c r="B7406" i="1"/>
  <c r="E7407" i="1"/>
  <c r="B7407" i="1"/>
  <c r="E7408" i="1"/>
  <c r="B7408" i="1"/>
  <c r="E7409" i="1"/>
  <c r="B7409" i="1"/>
  <c r="E7410" i="1"/>
  <c r="B7410" i="1"/>
  <c r="E7411" i="1"/>
  <c r="B7411" i="1"/>
  <c r="E7412" i="1"/>
  <c r="B7412" i="1"/>
  <c r="E7413" i="1"/>
  <c r="B7413" i="1"/>
  <c r="E7414" i="1"/>
  <c r="B7414" i="1"/>
  <c r="E7415" i="1"/>
  <c r="B7415" i="1"/>
  <c r="E7416" i="1"/>
  <c r="B7416" i="1"/>
  <c r="E7417" i="1"/>
  <c r="B7417" i="1"/>
  <c r="E7418" i="1"/>
  <c r="B7418" i="1"/>
  <c r="E7419" i="1"/>
  <c r="B7419" i="1"/>
  <c r="E7420" i="1"/>
  <c r="B7420" i="1"/>
  <c r="E7421" i="1"/>
  <c r="B7421" i="1"/>
  <c r="E7422" i="1"/>
  <c r="B7422" i="1"/>
  <c r="E7423" i="1"/>
  <c r="B7423" i="1"/>
  <c r="E7424" i="1"/>
  <c r="B7424" i="1"/>
  <c r="E7425" i="1"/>
  <c r="B7425" i="1"/>
  <c r="E7426" i="1"/>
  <c r="B7426" i="1"/>
  <c r="E7427" i="1"/>
  <c r="B7427" i="1"/>
  <c r="E7428" i="1"/>
  <c r="B7428" i="1"/>
  <c r="E7429" i="1"/>
  <c r="B7429" i="1"/>
  <c r="E7430" i="1"/>
  <c r="B7430" i="1"/>
  <c r="E7431" i="1"/>
  <c r="B7431" i="1"/>
  <c r="E7432" i="1"/>
  <c r="B7432" i="1"/>
  <c r="E7433" i="1"/>
  <c r="B7433" i="1"/>
  <c r="E7434" i="1"/>
  <c r="B7434" i="1"/>
  <c r="E7435" i="1"/>
  <c r="B7435" i="1"/>
  <c r="E7436" i="1"/>
  <c r="B7436" i="1"/>
  <c r="E7437" i="1"/>
  <c r="B7437" i="1"/>
  <c r="E7438" i="1"/>
  <c r="B7438" i="1"/>
  <c r="E7439" i="1"/>
  <c r="B7439" i="1"/>
  <c r="E7440" i="1"/>
  <c r="B7440" i="1"/>
  <c r="E7441" i="1"/>
  <c r="B7441" i="1"/>
  <c r="E7442" i="1"/>
  <c r="B7442" i="1"/>
  <c r="E7443" i="1"/>
  <c r="B7443" i="1"/>
  <c r="E7444" i="1"/>
  <c r="B7444" i="1"/>
  <c r="E7445" i="1"/>
  <c r="B7445" i="1"/>
  <c r="E7446" i="1"/>
  <c r="B7446" i="1"/>
  <c r="E7447" i="1"/>
  <c r="B7447" i="1"/>
  <c r="E7448" i="1"/>
  <c r="B7448" i="1"/>
  <c r="E7449" i="1"/>
  <c r="B7449" i="1"/>
  <c r="E7450" i="1"/>
  <c r="B7450" i="1"/>
  <c r="E7451" i="1"/>
  <c r="B7451" i="1"/>
  <c r="E7452" i="1"/>
  <c r="B7452" i="1"/>
  <c r="E7453" i="1"/>
  <c r="B7453" i="1"/>
  <c r="E7454" i="1"/>
  <c r="B7454" i="1"/>
  <c r="E7455" i="1"/>
  <c r="B7455" i="1"/>
  <c r="E7456" i="1"/>
  <c r="B7456" i="1"/>
  <c r="E7457" i="1"/>
  <c r="B7457" i="1"/>
  <c r="E7458" i="1"/>
  <c r="B7458" i="1"/>
  <c r="E7459" i="1"/>
  <c r="B7459" i="1"/>
  <c r="E7460" i="1"/>
  <c r="B7460" i="1"/>
  <c r="E7461" i="1"/>
  <c r="B7461" i="1"/>
  <c r="E7462" i="1"/>
  <c r="B7462" i="1"/>
  <c r="E7463" i="1"/>
  <c r="B7463" i="1"/>
  <c r="E7464" i="1"/>
  <c r="B7464" i="1"/>
  <c r="E7465" i="1"/>
  <c r="B7465" i="1"/>
  <c r="E7466" i="1"/>
  <c r="B7466" i="1"/>
  <c r="E7467" i="1"/>
  <c r="B7467" i="1"/>
  <c r="E7468" i="1"/>
  <c r="B7468" i="1"/>
  <c r="E7469" i="1"/>
  <c r="B7469" i="1"/>
  <c r="E7470" i="1"/>
  <c r="B7470" i="1"/>
  <c r="E7471" i="1"/>
  <c r="B7471" i="1"/>
  <c r="E7472" i="1"/>
  <c r="B7472" i="1"/>
  <c r="E7473" i="1"/>
  <c r="B7473" i="1"/>
  <c r="E7474" i="1"/>
  <c r="B7474" i="1"/>
  <c r="E7475" i="1"/>
  <c r="B7475" i="1"/>
  <c r="E7476" i="1"/>
  <c r="B7476" i="1"/>
  <c r="E7477" i="1"/>
  <c r="B7477" i="1"/>
  <c r="E7478" i="1"/>
  <c r="B7478" i="1"/>
  <c r="E7479" i="1"/>
  <c r="B7479" i="1"/>
  <c r="E7480" i="1"/>
  <c r="B7480" i="1"/>
  <c r="E7481" i="1"/>
  <c r="B7481" i="1"/>
  <c r="E7482" i="1"/>
  <c r="B7482" i="1"/>
  <c r="E7483" i="1"/>
  <c r="B7483" i="1"/>
  <c r="E7484" i="1"/>
  <c r="B7484" i="1"/>
  <c r="E7485" i="1"/>
  <c r="B7485" i="1"/>
  <c r="E7486" i="1"/>
  <c r="B7486" i="1"/>
  <c r="E7487" i="1"/>
  <c r="B7487" i="1"/>
  <c r="E7488" i="1"/>
  <c r="B7488" i="1"/>
  <c r="E7490" i="1"/>
  <c r="B7490" i="1"/>
  <c r="E7489" i="1"/>
  <c r="B7489" i="1"/>
  <c r="E7491" i="1"/>
  <c r="B7491" i="1"/>
  <c r="E7492" i="1"/>
  <c r="B7492" i="1"/>
  <c r="E7493" i="1"/>
  <c r="B7493" i="1"/>
  <c r="E7494" i="1"/>
  <c r="B7494" i="1"/>
  <c r="E7495" i="1"/>
  <c r="B7495" i="1"/>
  <c r="E7496" i="1"/>
  <c r="B7496" i="1"/>
  <c r="E7498" i="1"/>
  <c r="B7498" i="1"/>
  <c r="E7497" i="1"/>
  <c r="B7497" i="1"/>
  <c r="E7499" i="1"/>
  <c r="B7499" i="1"/>
  <c r="E7500" i="1"/>
  <c r="B7500" i="1"/>
  <c r="E7501" i="1"/>
  <c r="B7501" i="1"/>
  <c r="E7502" i="1"/>
  <c r="B7502" i="1"/>
  <c r="E7503" i="1"/>
  <c r="B7503" i="1"/>
  <c r="E7504" i="1"/>
  <c r="B7504" i="1"/>
  <c r="E7505" i="1"/>
  <c r="B7505" i="1"/>
  <c r="E7506" i="1"/>
  <c r="B7506" i="1"/>
  <c r="E7507" i="1"/>
  <c r="B7507" i="1"/>
  <c r="E7508" i="1"/>
  <c r="B7508" i="1"/>
  <c r="E7509" i="1"/>
  <c r="B7509" i="1"/>
  <c r="E7510" i="1"/>
  <c r="B7510" i="1"/>
  <c r="E7511" i="1"/>
  <c r="B7511" i="1"/>
  <c r="E7512" i="1"/>
  <c r="B7512" i="1"/>
  <c r="E7513" i="1"/>
  <c r="B7513" i="1"/>
  <c r="E7514" i="1"/>
  <c r="B7514" i="1"/>
  <c r="E7515" i="1"/>
  <c r="B7515" i="1"/>
  <c r="E7516" i="1"/>
  <c r="B7516" i="1"/>
  <c r="E7517" i="1"/>
  <c r="B7517" i="1"/>
  <c r="E7518" i="1"/>
  <c r="B7518" i="1"/>
  <c r="E7519" i="1"/>
  <c r="B7519" i="1"/>
  <c r="E7520" i="1"/>
  <c r="B7520" i="1"/>
  <c r="E7521" i="1"/>
  <c r="B7521" i="1"/>
  <c r="E7522" i="1"/>
  <c r="B7522" i="1"/>
  <c r="E7523" i="1"/>
  <c r="B7523" i="1"/>
  <c r="E7524" i="1"/>
  <c r="B7524" i="1"/>
  <c r="E7525" i="1"/>
  <c r="B7525" i="1"/>
  <c r="E7526" i="1"/>
  <c r="B7526" i="1"/>
  <c r="E7527" i="1"/>
  <c r="B7527" i="1"/>
  <c r="E7528" i="1"/>
  <c r="B7528" i="1"/>
  <c r="E7529" i="1"/>
  <c r="B7529" i="1"/>
  <c r="E7530" i="1"/>
  <c r="B7530" i="1"/>
  <c r="E7531" i="1"/>
  <c r="B7531" i="1"/>
  <c r="E7532" i="1"/>
  <c r="B7532" i="1"/>
  <c r="E7533" i="1"/>
  <c r="B7533" i="1"/>
  <c r="E7534" i="1"/>
  <c r="B7534" i="1"/>
  <c r="E7535" i="1"/>
  <c r="B7535" i="1"/>
  <c r="E7536" i="1"/>
  <c r="B7536" i="1"/>
  <c r="E7537" i="1"/>
  <c r="B7537" i="1"/>
  <c r="E7538" i="1"/>
  <c r="B7538" i="1"/>
  <c r="E7543" i="1"/>
  <c r="B7543" i="1"/>
  <c r="E7542" i="1"/>
  <c r="B7542" i="1"/>
  <c r="E7541" i="1"/>
  <c r="B7541" i="1"/>
  <c r="E7540" i="1"/>
  <c r="B7540" i="1"/>
  <c r="E7539" i="1"/>
  <c r="B7539" i="1"/>
  <c r="E7544" i="1"/>
  <c r="B7544" i="1"/>
  <c r="E7545" i="1"/>
  <c r="B7545" i="1"/>
  <c r="E7546" i="1"/>
  <c r="B7546" i="1"/>
  <c r="E7547" i="1"/>
  <c r="B7547" i="1"/>
  <c r="E7548" i="1"/>
  <c r="B7548" i="1"/>
  <c r="E7549" i="1"/>
  <c r="B7549" i="1"/>
  <c r="E7550" i="1"/>
  <c r="B7550" i="1"/>
  <c r="E7551" i="1"/>
  <c r="B7551" i="1"/>
  <c r="E7552" i="1"/>
  <c r="B7552" i="1"/>
  <c r="E7553" i="1"/>
  <c r="B7553" i="1"/>
  <c r="E7554" i="1"/>
  <c r="B7554" i="1"/>
  <c r="E7555" i="1"/>
  <c r="B7555" i="1"/>
  <c r="E7556" i="1"/>
  <c r="B7556" i="1"/>
  <c r="E7557" i="1"/>
  <c r="B7557" i="1"/>
  <c r="E7558" i="1"/>
  <c r="B7558" i="1"/>
  <c r="E7559" i="1"/>
  <c r="B7559" i="1"/>
  <c r="E7560" i="1"/>
  <c r="B7560" i="1"/>
  <c r="E7561" i="1"/>
  <c r="B7561" i="1"/>
  <c r="E7562" i="1"/>
  <c r="B7562" i="1"/>
  <c r="E7563" i="1"/>
  <c r="B7563" i="1"/>
  <c r="E7564" i="1"/>
  <c r="B7564" i="1"/>
  <c r="E7565" i="1"/>
  <c r="B7565" i="1"/>
  <c r="E7566" i="1"/>
  <c r="B7566" i="1"/>
  <c r="E7567" i="1"/>
  <c r="B7567" i="1"/>
  <c r="E7568" i="1"/>
  <c r="B7568" i="1"/>
  <c r="E7569" i="1"/>
  <c r="B7569" i="1"/>
  <c r="E7570" i="1"/>
  <c r="B7570" i="1"/>
  <c r="E7571" i="1"/>
  <c r="B7571" i="1"/>
  <c r="E7572" i="1"/>
  <c r="B7572" i="1"/>
  <c r="E7573" i="1"/>
  <c r="B7573" i="1"/>
  <c r="E7574" i="1"/>
  <c r="B7574" i="1"/>
  <c r="E7575" i="1"/>
  <c r="B7575" i="1"/>
  <c r="E7576" i="1"/>
  <c r="B7576" i="1"/>
  <c r="E7577" i="1"/>
  <c r="B7577" i="1"/>
  <c r="E7578" i="1"/>
  <c r="B7578" i="1"/>
  <c r="E7579" i="1"/>
  <c r="B7579" i="1"/>
  <c r="E7580" i="1"/>
  <c r="B7580" i="1"/>
  <c r="E7581" i="1"/>
  <c r="B7581" i="1"/>
  <c r="E7582" i="1"/>
  <c r="B7582" i="1"/>
  <c r="E7583" i="1"/>
  <c r="B7583" i="1"/>
  <c r="E7584" i="1"/>
  <c r="B7584" i="1"/>
  <c r="E7585" i="1"/>
  <c r="B7585" i="1"/>
  <c r="E7586" i="1"/>
  <c r="B7586" i="1"/>
  <c r="E7587" i="1"/>
  <c r="B7587" i="1"/>
  <c r="E7588" i="1"/>
  <c r="B7588" i="1"/>
  <c r="E7589" i="1"/>
  <c r="B7589" i="1"/>
  <c r="E7590" i="1"/>
  <c r="B7590" i="1"/>
  <c r="E7591" i="1"/>
  <c r="B7591" i="1"/>
  <c r="E7592" i="1"/>
  <c r="B7592" i="1"/>
  <c r="E7593" i="1"/>
  <c r="B7593" i="1"/>
  <c r="E7594" i="1"/>
  <c r="B7594" i="1"/>
  <c r="E7595" i="1"/>
  <c r="B7595" i="1"/>
  <c r="E7596" i="1"/>
  <c r="B7596" i="1"/>
  <c r="E7597" i="1"/>
  <c r="B7597" i="1"/>
  <c r="E7598" i="1"/>
  <c r="B7598" i="1"/>
  <c r="E7599" i="1"/>
  <c r="B7599" i="1"/>
  <c r="E7600" i="1"/>
  <c r="B7600" i="1"/>
  <c r="E7601" i="1"/>
  <c r="B7601" i="1"/>
  <c r="E7602" i="1"/>
  <c r="B7602" i="1"/>
  <c r="E7603" i="1"/>
  <c r="B7603" i="1"/>
  <c r="E7604" i="1"/>
  <c r="B7604" i="1"/>
  <c r="E7605" i="1"/>
  <c r="B7605" i="1"/>
  <c r="E7606" i="1"/>
  <c r="B7606" i="1"/>
  <c r="E7607" i="1"/>
  <c r="B7607" i="1"/>
  <c r="E7608" i="1"/>
  <c r="B7608" i="1"/>
  <c r="E7609" i="1"/>
  <c r="B7609" i="1"/>
  <c r="E7610" i="1"/>
  <c r="B7610" i="1"/>
  <c r="E7611" i="1"/>
  <c r="B7611" i="1"/>
  <c r="E7612" i="1"/>
  <c r="B7612" i="1"/>
  <c r="E7613" i="1"/>
  <c r="B7613" i="1"/>
  <c r="E7614" i="1"/>
  <c r="B7614" i="1"/>
  <c r="E7615" i="1"/>
  <c r="B7615" i="1"/>
  <c r="E7616" i="1"/>
  <c r="B7616" i="1"/>
  <c r="E7617" i="1"/>
  <c r="B7617" i="1"/>
  <c r="E7618" i="1"/>
  <c r="B7618" i="1"/>
  <c r="E7619" i="1"/>
  <c r="B7619" i="1"/>
  <c r="E7620" i="1"/>
  <c r="B7620" i="1"/>
  <c r="E7621" i="1"/>
  <c r="B7621" i="1"/>
  <c r="E7622" i="1"/>
  <c r="B7622" i="1"/>
  <c r="E7623" i="1"/>
  <c r="B7623" i="1"/>
  <c r="E7624" i="1"/>
  <c r="B7624" i="1"/>
  <c r="E7625" i="1"/>
  <c r="B7625" i="1"/>
  <c r="E7626" i="1"/>
  <c r="B7626" i="1"/>
  <c r="E7627" i="1"/>
  <c r="B7627" i="1"/>
  <c r="E7628" i="1"/>
  <c r="B7628" i="1"/>
  <c r="E7629" i="1"/>
  <c r="B7629" i="1"/>
  <c r="E7630" i="1"/>
  <c r="B7630" i="1"/>
  <c r="E7631" i="1"/>
  <c r="B7631" i="1"/>
  <c r="E7632" i="1"/>
  <c r="B7632" i="1"/>
  <c r="E7634" i="1"/>
  <c r="B7634" i="1"/>
  <c r="E7633" i="1"/>
  <c r="B7633" i="1"/>
  <c r="E7635" i="1"/>
  <c r="B7635" i="1"/>
  <c r="E7636" i="1"/>
  <c r="B7636" i="1"/>
  <c r="E7637" i="1"/>
  <c r="B7637" i="1"/>
  <c r="E7638" i="1"/>
  <c r="B7638" i="1"/>
  <c r="E7639" i="1"/>
  <c r="B7639" i="1"/>
  <c r="E7640" i="1"/>
  <c r="B7640" i="1"/>
  <c r="E7641" i="1"/>
  <c r="B7641" i="1"/>
  <c r="E7642" i="1"/>
  <c r="B7642" i="1"/>
  <c r="E7643" i="1"/>
  <c r="B7643" i="1"/>
  <c r="E7644" i="1"/>
  <c r="B7644" i="1"/>
  <c r="E7645" i="1"/>
  <c r="B7645" i="1"/>
  <c r="E7646" i="1"/>
  <c r="B7646" i="1"/>
  <c r="E7647" i="1"/>
  <c r="B7647" i="1"/>
  <c r="E7648" i="1"/>
  <c r="B7648" i="1"/>
  <c r="E7649" i="1"/>
  <c r="B7649" i="1"/>
  <c r="E7650" i="1"/>
  <c r="B7650" i="1"/>
  <c r="E7651" i="1"/>
  <c r="B7651" i="1"/>
  <c r="E7652" i="1"/>
  <c r="B7652" i="1"/>
  <c r="E7653" i="1"/>
  <c r="B7653" i="1"/>
  <c r="E7654" i="1"/>
  <c r="B7654" i="1"/>
  <c r="E7655" i="1"/>
  <c r="B7655" i="1"/>
  <c r="E7656" i="1"/>
  <c r="B7656" i="1"/>
  <c r="E7657" i="1"/>
  <c r="B7657" i="1"/>
  <c r="E7658" i="1"/>
  <c r="B7658" i="1"/>
  <c r="E7659" i="1"/>
  <c r="B7659" i="1"/>
  <c r="E7660" i="1"/>
  <c r="B7660" i="1"/>
  <c r="E7661" i="1"/>
  <c r="B7661" i="1"/>
  <c r="E7662" i="1"/>
  <c r="B7662" i="1"/>
  <c r="E7663" i="1"/>
  <c r="B7663" i="1"/>
  <c r="E7664" i="1"/>
  <c r="B7664" i="1"/>
  <c r="E7665" i="1"/>
  <c r="B7665" i="1"/>
  <c r="E7666" i="1"/>
  <c r="B7666" i="1"/>
  <c r="E7667" i="1"/>
  <c r="B7667" i="1"/>
  <c r="E7668" i="1"/>
  <c r="B7668" i="1"/>
  <c r="E7669" i="1"/>
  <c r="B7669" i="1"/>
  <c r="E7670" i="1"/>
  <c r="B7670" i="1"/>
  <c r="E7671" i="1"/>
  <c r="B7671" i="1"/>
  <c r="E7672" i="1"/>
  <c r="B7672" i="1"/>
  <c r="E7673" i="1"/>
  <c r="B7673" i="1"/>
  <c r="E7674" i="1"/>
  <c r="B7674" i="1"/>
  <c r="E7675" i="1"/>
  <c r="B7675" i="1"/>
  <c r="E7676" i="1"/>
  <c r="B7676" i="1"/>
  <c r="E7677" i="1"/>
  <c r="B7677" i="1"/>
  <c r="E7678" i="1"/>
  <c r="B7678" i="1"/>
  <c r="E7679" i="1"/>
  <c r="B7679" i="1"/>
  <c r="E7680" i="1"/>
  <c r="B7680" i="1"/>
  <c r="E7681" i="1"/>
  <c r="B7681" i="1"/>
  <c r="E7682" i="1"/>
  <c r="B7682" i="1"/>
  <c r="E7683" i="1"/>
  <c r="B7683" i="1"/>
  <c r="E7684" i="1"/>
  <c r="B7684" i="1"/>
  <c r="E7685" i="1"/>
  <c r="B7685" i="1"/>
  <c r="E7686" i="1"/>
  <c r="B7686" i="1"/>
  <c r="E7687" i="1"/>
  <c r="B7687" i="1"/>
  <c r="E7688" i="1"/>
  <c r="B7688" i="1"/>
  <c r="E7689" i="1"/>
  <c r="B7689" i="1"/>
  <c r="E7690" i="1"/>
  <c r="B7690" i="1"/>
  <c r="E7691" i="1"/>
  <c r="B7691" i="1"/>
  <c r="E7692" i="1"/>
  <c r="B7692" i="1"/>
  <c r="E7693" i="1"/>
  <c r="B7693" i="1"/>
  <c r="E7694" i="1"/>
  <c r="B7694" i="1"/>
  <c r="E7695" i="1"/>
  <c r="B7695" i="1"/>
  <c r="E7696" i="1"/>
  <c r="B7696" i="1"/>
  <c r="E7697" i="1"/>
  <c r="B7697" i="1"/>
  <c r="E7698" i="1"/>
  <c r="B7698" i="1"/>
  <c r="E7699" i="1"/>
  <c r="B7699" i="1"/>
  <c r="E7700" i="1"/>
  <c r="B7700" i="1"/>
  <c r="E7701" i="1"/>
  <c r="B7701" i="1"/>
  <c r="E7702" i="1"/>
  <c r="B7702" i="1"/>
  <c r="E7703" i="1"/>
  <c r="B7703" i="1"/>
  <c r="E7704" i="1"/>
  <c r="B7704" i="1"/>
  <c r="E7705" i="1"/>
  <c r="B7705" i="1"/>
  <c r="E7706" i="1"/>
  <c r="B7706" i="1"/>
  <c r="E7707" i="1"/>
  <c r="B7707" i="1"/>
  <c r="E7708" i="1"/>
  <c r="B7708" i="1"/>
  <c r="E7709" i="1"/>
  <c r="B7709" i="1"/>
  <c r="E7710" i="1"/>
  <c r="B7710" i="1"/>
  <c r="E7711" i="1"/>
  <c r="B7711" i="1"/>
  <c r="E7712" i="1"/>
  <c r="B7712" i="1"/>
  <c r="E7714" i="1"/>
  <c r="B7714" i="1"/>
  <c r="E7713" i="1"/>
  <c r="B7713" i="1"/>
  <c r="E7715" i="1"/>
  <c r="B7715" i="1"/>
  <c r="E7716" i="1"/>
  <c r="B7716" i="1"/>
  <c r="E7717" i="1"/>
  <c r="B7717" i="1"/>
  <c r="E7718" i="1"/>
  <c r="B7718" i="1"/>
  <c r="E7719" i="1"/>
  <c r="B7719" i="1"/>
  <c r="E7720" i="1"/>
  <c r="B7720" i="1"/>
  <c r="E7721" i="1"/>
  <c r="B7721" i="1"/>
  <c r="E7722" i="1"/>
  <c r="B7722" i="1"/>
  <c r="E7723" i="1"/>
  <c r="B7723" i="1"/>
  <c r="E7724" i="1"/>
  <c r="B7724" i="1"/>
  <c r="E7725" i="1"/>
  <c r="B7725" i="1"/>
  <c r="E7726" i="1"/>
  <c r="B7726" i="1"/>
  <c r="E7727" i="1"/>
  <c r="B7727" i="1"/>
  <c r="E7728" i="1"/>
  <c r="B7728" i="1"/>
  <c r="E7729" i="1"/>
  <c r="B7729" i="1"/>
  <c r="E7730" i="1"/>
  <c r="B7730" i="1"/>
  <c r="E7731" i="1"/>
  <c r="B7731" i="1"/>
  <c r="E7732" i="1"/>
  <c r="B7732" i="1"/>
  <c r="E7733" i="1"/>
  <c r="B7733" i="1"/>
  <c r="E7734" i="1"/>
  <c r="B7734" i="1"/>
  <c r="E7735" i="1"/>
  <c r="B7735" i="1"/>
  <c r="E7736" i="1"/>
  <c r="B7736" i="1"/>
  <c r="E7737" i="1"/>
  <c r="B7737" i="1"/>
  <c r="E7738" i="1"/>
  <c r="B7738" i="1"/>
  <c r="E7739" i="1"/>
  <c r="B7739" i="1"/>
  <c r="E7740" i="1"/>
  <c r="B7740" i="1"/>
  <c r="E7741" i="1"/>
  <c r="B7741" i="1"/>
  <c r="E7742" i="1"/>
  <c r="B7742" i="1"/>
  <c r="E7743" i="1"/>
  <c r="B7743" i="1"/>
  <c r="E7744" i="1"/>
  <c r="B7744" i="1"/>
  <c r="E7745" i="1"/>
  <c r="B7745" i="1"/>
  <c r="E7746" i="1"/>
  <c r="B7746" i="1"/>
  <c r="E7747" i="1"/>
  <c r="B7747" i="1"/>
  <c r="E7748" i="1"/>
  <c r="B7748" i="1"/>
  <c r="E7749" i="1"/>
  <c r="B7749" i="1"/>
  <c r="E7750" i="1"/>
  <c r="B7750" i="1"/>
  <c r="E7751" i="1"/>
  <c r="B7751" i="1"/>
  <c r="E7752" i="1"/>
  <c r="B7752" i="1"/>
  <c r="E7753" i="1"/>
  <c r="B7753" i="1"/>
  <c r="E7754" i="1"/>
  <c r="B7754" i="1"/>
  <c r="E7755" i="1"/>
  <c r="B7755" i="1"/>
  <c r="E7756" i="1"/>
  <c r="B7756" i="1"/>
  <c r="E7757" i="1"/>
  <c r="B7757" i="1"/>
  <c r="E7758" i="1"/>
  <c r="B7758" i="1"/>
  <c r="E7759" i="1"/>
  <c r="B7759" i="1"/>
  <c r="E7760" i="1"/>
  <c r="B7760" i="1"/>
  <c r="E7761" i="1"/>
  <c r="B7761" i="1"/>
  <c r="E7762" i="1"/>
  <c r="B7762" i="1"/>
  <c r="E7763" i="1"/>
  <c r="B7763" i="1"/>
  <c r="E7764" i="1"/>
  <c r="B7764" i="1"/>
  <c r="E7765" i="1"/>
  <c r="B7765" i="1"/>
  <c r="E7766" i="1"/>
  <c r="B7766" i="1"/>
  <c r="E7767" i="1"/>
  <c r="B7767" i="1"/>
  <c r="E7768" i="1"/>
  <c r="B7768" i="1"/>
  <c r="E7769" i="1"/>
  <c r="B7769" i="1"/>
  <c r="E7770" i="1"/>
  <c r="B7770" i="1"/>
  <c r="E7771" i="1"/>
  <c r="B7771" i="1"/>
  <c r="E7772" i="1"/>
  <c r="B7772" i="1"/>
  <c r="E7773" i="1"/>
  <c r="B7773" i="1"/>
  <c r="E7774" i="1"/>
  <c r="B7774" i="1"/>
  <c r="E7775" i="1"/>
  <c r="B7775" i="1"/>
  <c r="E7776" i="1"/>
  <c r="B7776" i="1"/>
  <c r="E7777" i="1"/>
  <c r="B7777" i="1"/>
  <c r="E7778" i="1"/>
  <c r="B7778" i="1"/>
  <c r="E7779" i="1"/>
  <c r="B7779" i="1"/>
  <c r="E7780" i="1"/>
  <c r="B7780" i="1"/>
  <c r="E7781" i="1"/>
  <c r="B7781" i="1"/>
  <c r="E7782" i="1"/>
  <c r="B7782" i="1"/>
  <c r="E7783" i="1"/>
  <c r="B7783" i="1"/>
  <c r="E7784" i="1"/>
  <c r="B7784" i="1"/>
  <c r="E7785" i="1"/>
  <c r="B7785" i="1"/>
  <c r="E7786" i="1"/>
  <c r="B7786" i="1"/>
  <c r="E7787" i="1"/>
  <c r="B7787" i="1"/>
  <c r="E7788" i="1"/>
  <c r="B7788" i="1"/>
  <c r="E7789" i="1"/>
  <c r="B7789" i="1"/>
  <c r="E7790" i="1"/>
  <c r="B7790" i="1"/>
  <c r="E7791" i="1"/>
  <c r="B7791" i="1"/>
  <c r="E7792" i="1"/>
  <c r="B7792" i="1"/>
  <c r="E7793" i="1"/>
  <c r="B7793" i="1"/>
  <c r="E7794" i="1"/>
  <c r="B7794" i="1"/>
  <c r="E7795" i="1"/>
  <c r="B7795" i="1"/>
  <c r="E7796" i="1"/>
  <c r="B7796" i="1"/>
  <c r="E7797" i="1"/>
  <c r="B7797" i="1"/>
  <c r="E7798" i="1"/>
  <c r="B7798" i="1"/>
  <c r="E7799" i="1"/>
  <c r="B7799" i="1"/>
  <c r="E7800" i="1"/>
  <c r="B7800" i="1"/>
  <c r="E7801" i="1"/>
  <c r="B7801" i="1"/>
  <c r="E7802" i="1"/>
  <c r="B7802" i="1"/>
  <c r="E7803" i="1"/>
  <c r="B7803" i="1"/>
  <c r="E7804" i="1"/>
  <c r="B7804" i="1"/>
  <c r="E7805" i="1"/>
  <c r="B7805" i="1"/>
  <c r="E7806" i="1"/>
  <c r="B7806" i="1"/>
  <c r="E7807" i="1"/>
  <c r="B7807" i="1"/>
  <c r="E7808" i="1"/>
  <c r="B7808" i="1"/>
  <c r="E7809" i="1"/>
  <c r="B7809" i="1"/>
  <c r="E7810" i="1"/>
  <c r="B7810" i="1"/>
  <c r="E7811" i="1"/>
  <c r="B7811" i="1"/>
  <c r="E7812" i="1"/>
  <c r="B7812" i="1"/>
  <c r="E7813" i="1"/>
  <c r="B7813" i="1"/>
  <c r="E7814" i="1"/>
  <c r="B7814" i="1"/>
  <c r="E7815" i="1"/>
  <c r="B7815" i="1"/>
  <c r="E7816" i="1"/>
  <c r="B7816" i="1"/>
  <c r="E7817" i="1"/>
  <c r="B7817" i="1"/>
  <c r="E7818" i="1"/>
  <c r="B7818" i="1"/>
  <c r="E7819" i="1"/>
  <c r="B7819" i="1"/>
  <c r="E7820" i="1"/>
  <c r="B7820" i="1"/>
  <c r="E7821" i="1"/>
  <c r="B7821" i="1"/>
  <c r="E7822" i="1"/>
  <c r="B7822" i="1"/>
  <c r="E7823" i="1"/>
  <c r="B7823" i="1"/>
  <c r="E7824" i="1"/>
  <c r="B7824" i="1"/>
  <c r="E7825" i="1"/>
  <c r="B7825" i="1"/>
  <c r="E7826" i="1"/>
  <c r="B7826" i="1"/>
  <c r="E7827" i="1"/>
  <c r="B7827" i="1"/>
  <c r="E7828" i="1"/>
  <c r="B7828" i="1"/>
  <c r="E7829" i="1"/>
  <c r="B7829" i="1"/>
  <c r="E7830" i="1"/>
  <c r="B7830" i="1"/>
  <c r="E7831" i="1"/>
  <c r="B7831" i="1"/>
  <c r="E7832" i="1"/>
  <c r="B7832" i="1"/>
  <c r="E7833" i="1"/>
  <c r="B7833" i="1"/>
  <c r="E7834" i="1"/>
  <c r="B7834" i="1"/>
  <c r="E7835" i="1"/>
  <c r="B7835" i="1"/>
  <c r="E7836" i="1"/>
  <c r="B7836" i="1"/>
  <c r="E7837" i="1"/>
  <c r="B7837" i="1"/>
  <c r="E7838" i="1"/>
  <c r="B7838" i="1"/>
  <c r="E7839" i="1"/>
  <c r="B7839" i="1"/>
  <c r="E7840" i="1"/>
  <c r="B7840" i="1"/>
  <c r="E7841" i="1"/>
  <c r="B7841" i="1"/>
  <c r="E7842" i="1"/>
  <c r="B7842" i="1"/>
  <c r="E7843" i="1"/>
  <c r="B7843" i="1"/>
  <c r="E7844" i="1"/>
  <c r="B7844" i="1"/>
  <c r="E7845" i="1"/>
  <c r="B7845" i="1"/>
  <c r="E7846" i="1"/>
  <c r="B7846" i="1"/>
  <c r="E7847" i="1"/>
  <c r="B7847" i="1"/>
  <c r="E7848" i="1"/>
  <c r="B7848" i="1"/>
  <c r="E7849" i="1"/>
  <c r="B7849" i="1"/>
  <c r="E7850" i="1"/>
  <c r="B7850" i="1"/>
  <c r="E7851" i="1"/>
  <c r="B7851" i="1"/>
  <c r="E7852" i="1"/>
  <c r="B7852" i="1"/>
  <c r="E7853" i="1"/>
  <c r="B7853" i="1"/>
  <c r="E7854" i="1"/>
  <c r="B7854" i="1"/>
  <c r="E7855" i="1"/>
  <c r="B7855" i="1"/>
  <c r="E7856" i="1"/>
  <c r="B7856" i="1"/>
  <c r="E7857" i="1"/>
  <c r="B7857" i="1"/>
  <c r="E7858" i="1"/>
  <c r="B7858" i="1"/>
  <c r="E7859" i="1"/>
  <c r="B7859" i="1"/>
  <c r="E7860" i="1"/>
  <c r="B7860" i="1"/>
  <c r="E7861" i="1"/>
  <c r="B7861" i="1"/>
  <c r="E7862" i="1"/>
  <c r="B7862" i="1"/>
  <c r="E7863" i="1"/>
  <c r="B7863" i="1"/>
  <c r="E7864" i="1"/>
  <c r="B7864" i="1"/>
  <c r="E7865" i="1"/>
  <c r="B7865" i="1"/>
  <c r="E7866" i="1"/>
  <c r="B7866" i="1"/>
  <c r="E7867" i="1"/>
  <c r="B7867" i="1"/>
  <c r="E7868" i="1"/>
  <c r="B7868" i="1"/>
  <c r="E7869" i="1"/>
  <c r="B7869" i="1"/>
  <c r="E7870" i="1"/>
  <c r="B7870" i="1"/>
  <c r="E7871" i="1"/>
  <c r="B7871" i="1"/>
  <c r="E7872" i="1"/>
  <c r="B7872" i="1"/>
  <c r="E7873" i="1"/>
  <c r="B7873" i="1"/>
  <c r="E7874" i="1"/>
  <c r="B7874" i="1"/>
  <c r="E7875" i="1"/>
  <c r="B7875" i="1"/>
  <c r="E7876" i="1"/>
  <c r="B7876" i="1"/>
  <c r="E7877" i="1"/>
  <c r="B7877" i="1"/>
  <c r="E7878" i="1"/>
  <c r="B7878" i="1"/>
  <c r="E7879" i="1"/>
  <c r="B7879" i="1"/>
  <c r="E7880" i="1"/>
  <c r="B7880" i="1"/>
  <c r="E7881" i="1"/>
  <c r="B7881" i="1"/>
  <c r="E7882" i="1"/>
  <c r="B7882" i="1"/>
  <c r="E7883" i="1"/>
  <c r="B7883" i="1"/>
  <c r="E7884" i="1"/>
  <c r="B7884" i="1"/>
  <c r="E7885" i="1"/>
  <c r="B7885" i="1"/>
  <c r="E7886" i="1"/>
  <c r="B7886" i="1"/>
  <c r="E7887" i="1"/>
  <c r="B7887" i="1"/>
  <c r="E7888" i="1"/>
  <c r="B7888" i="1"/>
  <c r="E7889" i="1"/>
  <c r="B7889" i="1"/>
  <c r="E7890" i="1"/>
  <c r="B7890" i="1"/>
  <c r="E7891" i="1"/>
  <c r="B7891" i="1"/>
  <c r="E7892" i="1"/>
  <c r="B7892" i="1"/>
  <c r="E7893" i="1"/>
  <c r="B7893" i="1"/>
  <c r="E7894" i="1"/>
  <c r="B7894" i="1"/>
  <c r="E7895" i="1"/>
  <c r="B7895" i="1"/>
  <c r="E7896" i="1"/>
  <c r="B7896" i="1"/>
  <c r="E7897" i="1"/>
  <c r="B7897" i="1"/>
  <c r="E7898" i="1"/>
  <c r="B7898" i="1"/>
  <c r="E7899" i="1"/>
  <c r="B7899" i="1"/>
  <c r="E7900" i="1"/>
  <c r="B7900" i="1"/>
  <c r="E7901" i="1"/>
  <c r="B7901" i="1"/>
  <c r="E7902" i="1"/>
  <c r="B7902" i="1"/>
  <c r="E7903" i="1"/>
  <c r="B7903" i="1"/>
  <c r="E7904" i="1"/>
  <c r="B7904" i="1"/>
  <c r="E7905" i="1"/>
  <c r="B7905" i="1"/>
  <c r="E7906" i="1"/>
  <c r="B7906" i="1"/>
  <c r="E7907" i="1"/>
  <c r="B7907" i="1"/>
  <c r="E7908" i="1"/>
  <c r="B7908" i="1"/>
  <c r="E7909" i="1"/>
  <c r="B7909" i="1"/>
  <c r="E7910" i="1"/>
  <c r="B7910" i="1"/>
  <c r="E7911" i="1"/>
  <c r="B7911" i="1"/>
  <c r="E7912" i="1"/>
  <c r="B7912" i="1"/>
  <c r="E7913" i="1"/>
  <c r="B7913" i="1"/>
  <c r="E7914" i="1"/>
  <c r="B7914" i="1"/>
  <c r="E7915" i="1"/>
  <c r="B7915" i="1"/>
  <c r="E7916" i="1"/>
  <c r="B7916" i="1"/>
  <c r="E7917" i="1"/>
  <c r="B7917" i="1"/>
  <c r="E7918" i="1"/>
  <c r="B7918" i="1"/>
  <c r="E7919" i="1"/>
  <c r="B7919" i="1"/>
  <c r="E7920" i="1"/>
  <c r="B7920" i="1"/>
  <c r="E7921" i="1"/>
  <c r="B7921" i="1"/>
  <c r="E7922" i="1"/>
  <c r="B7922" i="1"/>
  <c r="E7923" i="1"/>
  <c r="B7923" i="1"/>
  <c r="E7924" i="1"/>
  <c r="B7924" i="1"/>
  <c r="E7925" i="1"/>
  <c r="B7925" i="1"/>
  <c r="E7926" i="1"/>
  <c r="B7926" i="1"/>
  <c r="E7927" i="1"/>
  <c r="B7927" i="1"/>
  <c r="E7928" i="1"/>
  <c r="B7928" i="1"/>
  <c r="E7929" i="1"/>
  <c r="B7929" i="1"/>
  <c r="E7930" i="1"/>
  <c r="B7930" i="1"/>
  <c r="E7931" i="1"/>
  <c r="B7931" i="1"/>
  <c r="E7932" i="1"/>
  <c r="B7932" i="1"/>
  <c r="E7933" i="1"/>
  <c r="B7933" i="1"/>
  <c r="E7934" i="1"/>
  <c r="B7934" i="1"/>
  <c r="E7935" i="1"/>
  <c r="B7935" i="1"/>
  <c r="E7936" i="1"/>
  <c r="B7936" i="1"/>
  <c r="E7937" i="1"/>
  <c r="B7937" i="1"/>
  <c r="E7938" i="1"/>
  <c r="B7938" i="1"/>
  <c r="E7939" i="1"/>
  <c r="B7939" i="1"/>
  <c r="E7940" i="1"/>
  <c r="B7940" i="1"/>
  <c r="E7941" i="1"/>
  <c r="B7941" i="1"/>
  <c r="E7942" i="1"/>
  <c r="B7942" i="1"/>
  <c r="E7943" i="1"/>
  <c r="B7943" i="1"/>
  <c r="E7944" i="1"/>
  <c r="B7944" i="1"/>
  <c r="E7945" i="1"/>
  <c r="B7945" i="1"/>
  <c r="E7946" i="1"/>
  <c r="B7946" i="1"/>
  <c r="E7947" i="1"/>
  <c r="B7947" i="1"/>
  <c r="E7948" i="1"/>
  <c r="B7948" i="1"/>
  <c r="E7949" i="1"/>
  <c r="B7949" i="1"/>
  <c r="E7950" i="1"/>
  <c r="B7950" i="1"/>
  <c r="E7951" i="1"/>
  <c r="B7951" i="1"/>
  <c r="E7952" i="1"/>
  <c r="B7952" i="1"/>
  <c r="E7953" i="1"/>
  <c r="B7953" i="1"/>
  <c r="E7954" i="1"/>
  <c r="B7954" i="1"/>
  <c r="E7955" i="1"/>
  <c r="B7955" i="1"/>
  <c r="E7956" i="1"/>
  <c r="B7956" i="1"/>
  <c r="E7957" i="1"/>
  <c r="B7957" i="1"/>
  <c r="E7958" i="1"/>
  <c r="B7958" i="1"/>
  <c r="E7959" i="1"/>
  <c r="B7959" i="1"/>
  <c r="E7960" i="1"/>
  <c r="B7960" i="1"/>
  <c r="E7961" i="1"/>
  <c r="B7961" i="1"/>
  <c r="E7962" i="1"/>
  <c r="B7962" i="1"/>
  <c r="E7963" i="1"/>
  <c r="B7963" i="1"/>
  <c r="E7964" i="1"/>
  <c r="B7964" i="1"/>
  <c r="E7965" i="1"/>
  <c r="B7965" i="1"/>
  <c r="E7966" i="1"/>
  <c r="B7966" i="1"/>
  <c r="E7967" i="1"/>
  <c r="B7967" i="1"/>
  <c r="E7968" i="1"/>
  <c r="B7968" i="1"/>
  <c r="E7969" i="1"/>
  <c r="B7969" i="1"/>
  <c r="E7970" i="1"/>
  <c r="B7970" i="1"/>
  <c r="E7971" i="1"/>
  <c r="B7971" i="1"/>
  <c r="E7972" i="1"/>
  <c r="B7972" i="1"/>
  <c r="E7973" i="1"/>
  <c r="B7973" i="1"/>
  <c r="E7974" i="1"/>
  <c r="B7974" i="1"/>
  <c r="E7975" i="1"/>
  <c r="B7975" i="1"/>
  <c r="E7976" i="1"/>
  <c r="B7976" i="1"/>
  <c r="E7977" i="1"/>
  <c r="B7977" i="1"/>
  <c r="E7978" i="1"/>
  <c r="B7978" i="1"/>
  <c r="E7979" i="1"/>
  <c r="B7979" i="1"/>
  <c r="E7980" i="1"/>
  <c r="B7980" i="1"/>
  <c r="E7981" i="1"/>
  <c r="B7981" i="1"/>
  <c r="E7982" i="1"/>
  <c r="B7982" i="1"/>
  <c r="E7983" i="1"/>
  <c r="B7983" i="1"/>
  <c r="E7984" i="1"/>
  <c r="B7984" i="1"/>
  <c r="E7985" i="1"/>
  <c r="B7985" i="1"/>
  <c r="E7986" i="1"/>
  <c r="B7986" i="1"/>
  <c r="E7987" i="1"/>
  <c r="B7987" i="1"/>
  <c r="E7988" i="1"/>
  <c r="B7988" i="1"/>
  <c r="E7989" i="1"/>
  <c r="B7989" i="1"/>
  <c r="E7990" i="1"/>
  <c r="B7990" i="1"/>
  <c r="E7991" i="1"/>
  <c r="B7991" i="1"/>
  <c r="E7992" i="1"/>
  <c r="B7992" i="1"/>
  <c r="E7993" i="1"/>
  <c r="B7993" i="1"/>
  <c r="E7994" i="1"/>
  <c r="B7994" i="1"/>
  <c r="E7995" i="1"/>
  <c r="B7995" i="1"/>
  <c r="E7996" i="1"/>
  <c r="B7996" i="1"/>
  <c r="E7997" i="1"/>
  <c r="B7997" i="1"/>
  <c r="E7998" i="1"/>
  <c r="B7998" i="1"/>
  <c r="E7999" i="1"/>
  <c r="B7999" i="1"/>
  <c r="E8000" i="1"/>
  <c r="B8000" i="1"/>
  <c r="E8001" i="1"/>
  <c r="B8001" i="1"/>
  <c r="E8002" i="1"/>
  <c r="B8002" i="1"/>
  <c r="E8003" i="1"/>
  <c r="B8003" i="1"/>
  <c r="E8004" i="1"/>
  <c r="B8004" i="1"/>
  <c r="E8005" i="1"/>
  <c r="B8005" i="1"/>
  <c r="E8006" i="1"/>
  <c r="B8006" i="1"/>
  <c r="E8007" i="1"/>
  <c r="B8007" i="1"/>
  <c r="E8008" i="1"/>
  <c r="B8008" i="1"/>
  <c r="E8009" i="1"/>
  <c r="B8009" i="1"/>
  <c r="E8010" i="1"/>
  <c r="B8010" i="1"/>
  <c r="E8011" i="1"/>
  <c r="B8011" i="1"/>
  <c r="E8012" i="1"/>
  <c r="B8012" i="1"/>
  <c r="E8013" i="1"/>
  <c r="B8013" i="1"/>
  <c r="E8014" i="1"/>
  <c r="B8014" i="1"/>
  <c r="E8015" i="1"/>
  <c r="B8015" i="1"/>
  <c r="E8016" i="1"/>
  <c r="B8016" i="1"/>
  <c r="E8017" i="1"/>
  <c r="B8017" i="1"/>
  <c r="E8018" i="1"/>
  <c r="B8018" i="1"/>
  <c r="E8019" i="1"/>
  <c r="B8019" i="1"/>
  <c r="E8020" i="1"/>
  <c r="B8020" i="1"/>
  <c r="E8021" i="1"/>
  <c r="B8021" i="1"/>
  <c r="E8022" i="1"/>
  <c r="B8022" i="1"/>
  <c r="E8023" i="1"/>
  <c r="B8023" i="1"/>
  <c r="E8024" i="1"/>
  <c r="B8024" i="1"/>
  <c r="E8025" i="1"/>
  <c r="B8025" i="1"/>
  <c r="E8026" i="1"/>
  <c r="B8026" i="1"/>
  <c r="E8027" i="1"/>
  <c r="B8027" i="1"/>
  <c r="E8028" i="1"/>
  <c r="B8028" i="1"/>
  <c r="E8029" i="1"/>
  <c r="B8029" i="1"/>
  <c r="E8030" i="1"/>
  <c r="B8030" i="1"/>
  <c r="E8031" i="1"/>
  <c r="B8031" i="1"/>
  <c r="E8032" i="1"/>
  <c r="B8032" i="1"/>
  <c r="E8033" i="1"/>
  <c r="B8033" i="1"/>
  <c r="E8034" i="1"/>
  <c r="B8034" i="1"/>
  <c r="E8035" i="1"/>
  <c r="B8035" i="1"/>
  <c r="E8036" i="1"/>
  <c r="B8036" i="1"/>
  <c r="E8037" i="1"/>
  <c r="B8037" i="1"/>
  <c r="E8038" i="1"/>
  <c r="B8038" i="1"/>
  <c r="E8039" i="1"/>
  <c r="B8039" i="1"/>
  <c r="E8040" i="1"/>
  <c r="B8040" i="1"/>
  <c r="E8041" i="1"/>
  <c r="B8041" i="1"/>
  <c r="E8042" i="1"/>
  <c r="B8042" i="1"/>
  <c r="E8043" i="1"/>
  <c r="B8043" i="1"/>
  <c r="E8044" i="1"/>
  <c r="B8044" i="1"/>
  <c r="E8045" i="1"/>
  <c r="B8045" i="1"/>
  <c r="E8046" i="1"/>
  <c r="B8046" i="1"/>
  <c r="E8047" i="1"/>
  <c r="B8047" i="1"/>
  <c r="E8048" i="1"/>
  <c r="B8048" i="1"/>
  <c r="E8049" i="1"/>
  <c r="B8049" i="1"/>
  <c r="E8050" i="1"/>
  <c r="B8050" i="1"/>
  <c r="E8051" i="1"/>
  <c r="B8051" i="1"/>
  <c r="E8052" i="1"/>
  <c r="B8052" i="1"/>
  <c r="E8053" i="1"/>
  <c r="B8053" i="1"/>
  <c r="E8054" i="1"/>
  <c r="B8054" i="1"/>
  <c r="E8055" i="1"/>
  <c r="B8055" i="1"/>
  <c r="E8056" i="1"/>
  <c r="B8056" i="1"/>
  <c r="E8057" i="1"/>
  <c r="B8057" i="1"/>
  <c r="E8058" i="1"/>
  <c r="B8058" i="1"/>
  <c r="E8059" i="1"/>
  <c r="B8059" i="1"/>
  <c r="E8060" i="1"/>
  <c r="B8060" i="1"/>
  <c r="E8061" i="1"/>
  <c r="B8061" i="1"/>
  <c r="E8062" i="1"/>
  <c r="B8062" i="1"/>
  <c r="E8063" i="1"/>
  <c r="B8063" i="1"/>
  <c r="E8064" i="1"/>
  <c r="B8064" i="1"/>
  <c r="E8065" i="1"/>
  <c r="B8065" i="1"/>
  <c r="E8066" i="1"/>
  <c r="B8066" i="1"/>
  <c r="E8067" i="1"/>
  <c r="B8067" i="1"/>
  <c r="E8068" i="1"/>
  <c r="B8068" i="1"/>
  <c r="E8069" i="1"/>
  <c r="B8069" i="1"/>
  <c r="E8070" i="1"/>
  <c r="B8070" i="1"/>
  <c r="E8071" i="1"/>
  <c r="B8071" i="1"/>
  <c r="E8072" i="1"/>
  <c r="B8072" i="1"/>
  <c r="E8073" i="1"/>
  <c r="B8073" i="1"/>
  <c r="E8074" i="1"/>
  <c r="B8074" i="1"/>
  <c r="E8075" i="1"/>
  <c r="B8075" i="1"/>
  <c r="E8076" i="1"/>
  <c r="B8076" i="1"/>
  <c r="E8077" i="1"/>
  <c r="B8077" i="1"/>
  <c r="E8078" i="1"/>
  <c r="B8078" i="1"/>
  <c r="E8079" i="1"/>
  <c r="B8079" i="1"/>
  <c r="E8080" i="1"/>
  <c r="B8080" i="1"/>
  <c r="E8081" i="1"/>
  <c r="B8081" i="1"/>
  <c r="E8082" i="1"/>
  <c r="B8082" i="1"/>
  <c r="E8083" i="1"/>
  <c r="B8083" i="1"/>
  <c r="E8084" i="1"/>
  <c r="B8084" i="1"/>
  <c r="E8085" i="1"/>
  <c r="B8085" i="1"/>
  <c r="E8086" i="1"/>
  <c r="B8086" i="1"/>
  <c r="E8087" i="1"/>
  <c r="B8087" i="1"/>
  <c r="E8088" i="1"/>
  <c r="B8088" i="1"/>
  <c r="E8089" i="1"/>
  <c r="B8089" i="1"/>
  <c r="E8090" i="1"/>
  <c r="B8090" i="1"/>
  <c r="E8091" i="1"/>
  <c r="B8091" i="1"/>
  <c r="E8092" i="1"/>
  <c r="B8092" i="1"/>
  <c r="E8093" i="1"/>
  <c r="B8093" i="1"/>
  <c r="E8094" i="1"/>
  <c r="B8094" i="1"/>
  <c r="E8095" i="1"/>
  <c r="B8095" i="1"/>
  <c r="E8096" i="1"/>
  <c r="B8096" i="1"/>
  <c r="E8097" i="1"/>
  <c r="B8097" i="1"/>
  <c r="E8098" i="1"/>
  <c r="B8098" i="1"/>
  <c r="E8099" i="1"/>
  <c r="B8099" i="1"/>
  <c r="E8100" i="1"/>
  <c r="B8100" i="1"/>
  <c r="E8101" i="1"/>
  <c r="B8101" i="1"/>
  <c r="E8102" i="1"/>
  <c r="B8102" i="1"/>
  <c r="E8103" i="1"/>
  <c r="B8103" i="1"/>
  <c r="E8104" i="1"/>
  <c r="B8104" i="1"/>
  <c r="E8105" i="1"/>
  <c r="B8105" i="1"/>
  <c r="E8106" i="1"/>
  <c r="B8106" i="1"/>
  <c r="E8107" i="1"/>
  <c r="B8107" i="1"/>
  <c r="E8108" i="1"/>
  <c r="B8108" i="1"/>
  <c r="E8109" i="1"/>
  <c r="B8109" i="1"/>
  <c r="E8110" i="1"/>
  <c r="B8110" i="1"/>
  <c r="E8111" i="1"/>
  <c r="B8111" i="1"/>
  <c r="E8112" i="1"/>
  <c r="B8112" i="1"/>
  <c r="E8113" i="1"/>
  <c r="B8113" i="1"/>
  <c r="E8114" i="1"/>
  <c r="B8114" i="1"/>
  <c r="E8115" i="1"/>
  <c r="B8115" i="1"/>
  <c r="E8116" i="1"/>
  <c r="B8116" i="1"/>
  <c r="E8117" i="1"/>
  <c r="B8117" i="1"/>
  <c r="E8118" i="1"/>
  <c r="B8118" i="1"/>
  <c r="E8119" i="1"/>
  <c r="B8119" i="1"/>
  <c r="E8121" i="1"/>
  <c r="B8121" i="1"/>
  <c r="E8120" i="1"/>
  <c r="B8120" i="1"/>
  <c r="E8122" i="1"/>
  <c r="B8122" i="1"/>
  <c r="E8123" i="1"/>
  <c r="B8123" i="1"/>
  <c r="E8124" i="1"/>
  <c r="B8124" i="1"/>
  <c r="E8125" i="1"/>
  <c r="B8125" i="1"/>
  <c r="E8126" i="1"/>
  <c r="B8126" i="1"/>
  <c r="E8127" i="1"/>
  <c r="B8127" i="1"/>
  <c r="E8128" i="1"/>
  <c r="B8128" i="1"/>
  <c r="E8129" i="1"/>
  <c r="B8129" i="1"/>
  <c r="E8130" i="1"/>
  <c r="B8130" i="1"/>
  <c r="E8131" i="1"/>
  <c r="B8131" i="1"/>
  <c r="E8132" i="1"/>
  <c r="B8132" i="1"/>
  <c r="E8133" i="1"/>
  <c r="B8133" i="1"/>
  <c r="E8134" i="1"/>
  <c r="B8134" i="1"/>
  <c r="E8135" i="1"/>
  <c r="B8135" i="1"/>
  <c r="E8136" i="1"/>
  <c r="B8136" i="1"/>
  <c r="E8137" i="1"/>
  <c r="B8137" i="1"/>
  <c r="E8138" i="1"/>
  <c r="B8138" i="1"/>
  <c r="E8139" i="1"/>
  <c r="B8139" i="1"/>
  <c r="E8140" i="1"/>
  <c r="B8140" i="1"/>
  <c r="E8141" i="1"/>
  <c r="B8141" i="1"/>
  <c r="E8142" i="1"/>
  <c r="B8142" i="1"/>
  <c r="E8143" i="1"/>
  <c r="B8143" i="1"/>
  <c r="E8144" i="1"/>
  <c r="B8144" i="1"/>
  <c r="E8145" i="1"/>
  <c r="B8145" i="1"/>
  <c r="E8146" i="1"/>
  <c r="B8146" i="1"/>
  <c r="E8147" i="1"/>
  <c r="B8147" i="1"/>
  <c r="E8148" i="1"/>
  <c r="B8148" i="1"/>
  <c r="E8149" i="1"/>
  <c r="B8149" i="1"/>
  <c r="E8150" i="1"/>
  <c r="B8150" i="1"/>
  <c r="E8151" i="1"/>
  <c r="B8151" i="1"/>
  <c r="E8152" i="1"/>
  <c r="B8152" i="1"/>
  <c r="E8153" i="1"/>
  <c r="B8153" i="1"/>
  <c r="E8154" i="1"/>
  <c r="B8154" i="1"/>
  <c r="E8155" i="1"/>
  <c r="B8155" i="1"/>
  <c r="E8156" i="1"/>
  <c r="B8156" i="1"/>
  <c r="E8157" i="1"/>
  <c r="B8157" i="1"/>
  <c r="E8158" i="1"/>
  <c r="B8158" i="1"/>
  <c r="E8159" i="1"/>
  <c r="B8159" i="1"/>
  <c r="E8160" i="1"/>
  <c r="B8160" i="1"/>
  <c r="E8161" i="1"/>
  <c r="B8161" i="1"/>
  <c r="E8162" i="1"/>
  <c r="B8162" i="1"/>
  <c r="E8163" i="1"/>
  <c r="B8163" i="1"/>
  <c r="E8164" i="1"/>
  <c r="B8164" i="1"/>
  <c r="E8165" i="1"/>
  <c r="B8165" i="1"/>
  <c r="E8166" i="1"/>
  <c r="B8166" i="1"/>
  <c r="E8168" i="1"/>
  <c r="B8168" i="1"/>
  <c r="E8167" i="1"/>
  <c r="B8167" i="1"/>
  <c r="E8169" i="1"/>
  <c r="B8169" i="1"/>
  <c r="E8170" i="1"/>
  <c r="B8170" i="1"/>
  <c r="E8171" i="1"/>
  <c r="B8171" i="1"/>
  <c r="E8172" i="1"/>
  <c r="B8172" i="1"/>
  <c r="E8173" i="1"/>
  <c r="B8173" i="1"/>
  <c r="E8174" i="1"/>
  <c r="B8174" i="1"/>
  <c r="E8175" i="1"/>
  <c r="B8175" i="1"/>
  <c r="E8176" i="1"/>
  <c r="B8176" i="1"/>
  <c r="E8177" i="1"/>
  <c r="B8177" i="1"/>
  <c r="E8178" i="1"/>
  <c r="B8178" i="1"/>
  <c r="E8179" i="1"/>
  <c r="B8179" i="1"/>
  <c r="E8180" i="1"/>
  <c r="B8180" i="1"/>
  <c r="E8181" i="1"/>
  <c r="B8181" i="1"/>
  <c r="E8182" i="1"/>
  <c r="B8182" i="1"/>
  <c r="E8183" i="1"/>
  <c r="B8183" i="1"/>
  <c r="E8184" i="1"/>
  <c r="B8184" i="1"/>
  <c r="E8185" i="1"/>
  <c r="B8185" i="1"/>
  <c r="E8186" i="1"/>
  <c r="B8186" i="1"/>
  <c r="E8187" i="1"/>
  <c r="B8187" i="1"/>
  <c r="E8188" i="1"/>
  <c r="B8188" i="1"/>
  <c r="E8189" i="1"/>
  <c r="B8189" i="1"/>
  <c r="E8190" i="1"/>
  <c r="B8190" i="1"/>
  <c r="E8191" i="1"/>
  <c r="B8191" i="1"/>
  <c r="E8192" i="1"/>
  <c r="B8192" i="1"/>
  <c r="E8193" i="1"/>
  <c r="B8193" i="1"/>
  <c r="E8194" i="1"/>
  <c r="B8194" i="1"/>
  <c r="E8195" i="1"/>
  <c r="B8195" i="1"/>
  <c r="E8196" i="1"/>
  <c r="B8196" i="1"/>
  <c r="E8197" i="1"/>
  <c r="B8197" i="1"/>
  <c r="E8198" i="1"/>
  <c r="B8198" i="1"/>
  <c r="E8199" i="1"/>
  <c r="B8199" i="1"/>
  <c r="E8200" i="1"/>
  <c r="B8200" i="1"/>
  <c r="E8201" i="1"/>
  <c r="B8201" i="1"/>
  <c r="E8202" i="1"/>
  <c r="B8202" i="1"/>
  <c r="E8203" i="1"/>
  <c r="B8203" i="1"/>
  <c r="E8204" i="1"/>
  <c r="B8204" i="1"/>
  <c r="E8205" i="1"/>
  <c r="B8205" i="1"/>
  <c r="E8206" i="1"/>
  <c r="B8206" i="1"/>
  <c r="E8207" i="1"/>
  <c r="B8207" i="1"/>
  <c r="E8208" i="1"/>
  <c r="B8208" i="1"/>
  <c r="E8209" i="1"/>
  <c r="B8209" i="1"/>
  <c r="E8210" i="1"/>
  <c r="B8210" i="1"/>
  <c r="E8211" i="1"/>
  <c r="B8211" i="1"/>
  <c r="E8212" i="1"/>
  <c r="B8212" i="1"/>
  <c r="E8213" i="1"/>
  <c r="B8213" i="1"/>
  <c r="E8214" i="1"/>
  <c r="B8214" i="1"/>
  <c r="E8215" i="1"/>
  <c r="B8215" i="1"/>
  <c r="E8216" i="1"/>
  <c r="B8216" i="1"/>
  <c r="E8217" i="1"/>
  <c r="B8217" i="1"/>
  <c r="E8218" i="1"/>
  <c r="B8218" i="1"/>
  <c r="E8219" i="1"/>
  <c r="B8219" i="1"/>
  <c r="E8220" i="1"/>
  <c r="B8220" i="1"/>
  <c r="E8221" i="1"/>
  <c r="B8221" i="1"/>
  <c r="E8222" i="1"/>
  <c r="B8222" i="1"/>
  <c r="E8223" i="1"/>
  <c r="B8223" i="1"/>
  <c r="E8224" i="1"/>
  <c r="B8224" i="1"/>
  <c r="E8225" i="1"/>
  <c r="B8225" i="1"/>
  <c r="E8226" i="1"/>
  <c r="B8226" i="1"/>
  <c r="E8228" i="1"/>
  <c r="B8228" i="1"/>
  <c r="E8227" i="1"/>
  <c r="B8227" i="1"/>
  <c r="E8229" i="1"/>
  <c r="B8229" i="1"/>
  <c r="E8230" i="1"/>
  <c r="B8230" i="1"/>
  <c r="E8231" i="1"/>
  <c r="B8231" i="1"/>
  <c r="E8232" i="1"/>
  <c r="B8232" i="1"/>
  <c r="E8233" i="1"/>
  <c r="B8233" i="1"/>
  <c r="E8234" i="1"/>
  <c r="B8234" i="1"/>
  <c r="E8235" i="1"/>
  <c r="B8235" i="1"/>
  <c r="E8236" i="1"/>
  <c r="B8236" i="1"/>
  <c r="E8237" i="1"/>
  <c r="B8237" i="1"/>
  <c r="E8238" i="1"/>
  <c r="B8238" i="1"/>
  <c r="E8239" i="1"/>
  <c r="B8239" i="1"/>
  <c r="E8240" i="1"/>
  <c r="B8240" i="1"/>
  <c r="E8241" i="1"/>
  <c r="B8241" i="1"/>
  <c r="E8242" i="1"/>
  <c r="B8242" i="1"/>
  <c r="E8243" i="1"/>
  <c r="B8243" i="1"/>
  <c r="E8244" i="1"/>
  <c r="B8244" i="1"/>
  <c r="E8245" i="1"/>
  <c r="B8245" i="1"/>
  <c r="E8246" i="1"/>
  <c r="B8246" i="1"/>
  <c r="E8247" i="1"/>
  <c r="B8247" i="1"/>
  <c r="E8248" i="1"/>
  <c r="B8248" i="1"/>
  <c r="E8249" i="1"/>
  <c r="B8249" i="1"/>
  <c r="E8250" i="1"/>
  <c r="B8250" i="1"/>
  <c r="E8251" i="1"/>
  <c r="B8251" i="1"/>
  <c r="E8252" i="1"/>
  <c r="B8252" i="1"/>
  <c r="E8254" i="1"/>
  <c r="B8254" i="1"/>
  <c r="E8253" i="1"/>
  <c r="B8253" i="1"/>
  <c r="E8255" i="1"/>
  <c r="B8255" i="1"/>
  <c r="E8256" i="1"/>
  <c r="B8256" i="1"/>
  <c r="E8257" i="1"/>
  <c r="B8257" i="1"/>
  <c r="E8258" i="1"/>
  <c r="B8258" i="1"/>
  <c r="E8259" i="1"/>
  <c r="B8259" i="1"/>
  <c r="E8260" i="1"/>
  <c r="B8260" i="1"/>
  <c r="E8261" i="1"/>
  <c r="B8261" i="1"/>
  <c r="E8262" i="1"/>
  <c r="B8262" i="1"/>
  <c r="E8263" i="1"/>
  <c r="B8263" i="1"/>
  <c r="E8264" i="1"/>
  <c r="B8264" i="1"/>
  <c r="E8265" i="1"/>
  <c r="B8265" i="1"/>
  <c r="E8266" i="1"/>
  <c r="B8266" i="1"/>
  <c r="E8267" i="1"/>
  <c r="B8267" i="1"/>
  <c r="E8268" i="1"/>
  <c r="B8268" i="1"/>
  <c r="E8269" i="1"/>
  <c r="B8269" i="1"/>
  <c r="E8270" i="1"/>
  <c r="B8270" i="1"/>
  <c r="E8271" i="1"/>
  <c r="B8271" i="1"/>
  <c r="E8273" i="1"/>
  <c r="B8273" i="1"/>
  <c r="E8272" i="1"/>
  <c r="B8272" i="1"/>
  <c r="E8274" i="1"/>
  <c r="B8274" i="1"/>
  <c r="E8275" i="1"/>
  <c r="B8275" i="1"/>
  <c r="E8276" i="1"/>
  <c r="B8276" i="1"/>
  <c r="E8277" i="1"/>
  <c r="B8277" i="1"/>
  <c r="E8278" i="1"/>
  <c r="B8278" i="1"/>
  <c r="E8279" i="1"/>
  <c r="B8279" i="1"/>
  <c r="E8280" i="1"/>
  <c r="B8280" i="1"/>
  <c r="E8281" i="1"/>
  <c r="B8281" i="1"/>
  <c r="E8282" i="1"/>
  <c r="B8282" i="1"/>
  <c r="E8283" i="1"/>
  <c r="B8283" i="1"/>
  <c r="E8284" i="1"/>
  <c r="B8284" i="1"/>
  <c r="E8285" i="1"/>
  <c r="B8285" i="1"/>
  <c r="E8286" i="1"/>
  <c r="B8286" i="1"/>
  <c r="E8287" i="1"/>
  <c r="B8287" i="1"/>
  <c r="E8288" i="1"/>
  <c r="B8288" i="1"/>
  <c r="E8289" i="1"/>
  <c r="B8289" i="1"/>
  <c r="E8290" i="1"/>
  <c r="B8290" i="1"/>
  <c r="E8291" i="1"/>
  <c r="B8291" i="1"/>
  <c r="E8292" i="1"/>
  <c r="B8292" i="1"/>
  <c r="E8293" i="1"/>
  <c r="B8293" i="1"/>
  <c r="E8294" i="1"/>
  <c r="B8294" i="1"/>
  <c r="E8295" i="1"/>
  <c r="B8295" i="1"/>
  <c r="E8296" i="1"/>
  <c r="B8296" i="1"/>
  <c r="E8297" i="1"/>
  <c r="B8297" i="1"/>
  <c r="E8298" i="1"/>
  <c r="B8298" i="1"/>
  <c r="E8299" i="1"/>
  <c r="B8299" i="1"/>
  <c r="E8300" i="1"/>
  <c r="B8300" i="1"/>
  <c r="E8301" i="1"/>
  <c r="B8301" i="1"/>
  <c r="E8302" i="1"/>
  <c r="B8302" i="1"/>
  <c r="E8303" i="1"/>
  <c r="B8303" i="1"/>
  <c r="E8304" i="1"/>
  <c r="B8304" i="1"/>
  <c r="E8305" i="1"/>
  <c r="B8305" i="1"/>
  <c r="E8307" i="1"/>
  <c r="B8307" i="1"/>
  <c r="E8306" i="1"/>
  <c r="B8306" i="1"/>
  <c r="E8308" i="1"/>
  <c r="B8308" i="1"/>
  <c r="E8309" i="1"/>
  <c r="B8309" i="1"/>
  <c r="E8310" i="1"/>
  <c r="B8310" i="1"/>
  <c r="E8311" i="1"/>
  <c r="B8311" i="1"/>
  <c r="E8312" i="1"/>
  <c r="B8312" i="1"/>
  <c r="E8313" i="1"/>
  <c r="B8313" i="1"/>
  <c r="E8314" i="1"/>
  <c r="B8314" i="1"/>
  <c r="E8315" i="1"/>
  <c r="B8315" i="1"/>
  <c r="E8316" i="1"/>
  <c r="B8316" i="1"/>
  <c r="E8317" i="1"/>
  <c r="B8317" i="1"/>
  <c r="E8318" i="1"/>
  <c r="B8318" i="1"/>
  <c r="E8319" i="1"/>
  <c r="B8319" i="1"/>
  <c r="E8320" i="1"/>
  <c r="B8320" i="1"/>
  <c r="E8321" i="1"/>
  <c r="B8321" i="1"/>
  <c r="E8322" i="1"/>
  <c r="B8322" i="1"/>
  <c r="E8323" i="1"/>
  <c r="B8323" i="1"/>
  <c r="E8324" i="1"/>
  <c r="B8324" i="1"/>
  <c r="E8325" i="1"/>
  <c r="B8325" i="1"/>
  <c r="E8326" i="1"/>
  <c r="B8326" i="1"/>
  <c r="E8327" i="1"/>
  <c r="B8327" i="1"/>
  <c r="E8328" i="1"/>
  <c r="B8328" i="1"/>
  <c r="E8329" i="1"/>
  <c r="B8329" i="1"/>
  <c r="E8330" i="1"/>
  <c r="B8330" i="1"/>
  <c r="E8331" i="1"/>
  <c r="B8331" i="1"/>
  <c r="E8332" i="1"/>
  <c r="B8332" i="1"/>
  <c r="E8333" i="1"/>
  <c r="B8333" i="1"/>
  <c r="E8334" i="1"/>
  <c r="B8334" i="1"/>
  <c r="E8335" i="1"/>
  <c r="B8335" i="1"/>
  <c r="E8336" i="1"/>
  <c r="B8336" i="1"/>
  <c r="E8337" i="1"/>
  <c r="B8337" i="1"/>
  <c r="E8338" i="1"/>
  <c r="B8338" i="1"/>
  <c r="E8340" i="1"/>
  <c r="B8340" i="1"/>
  <c r="E8339" i="1"/>
  <c r="B8339" i="1"/>
  <c r="E8341" i="1"/>
  <c r="B8341" i="1"/>
  <c r="E8342" i="1"/>
  <c r="B8342" i="1"/>
  <c r="E8343" i="1"/>
  <c r="B8343" i="1"/>
  <c r="E8344" i="1"/>
  <c r="B8344" i="1"/>
  <c r="E8345" i="1"/>
  <c r="B8345" i="1"/>
  <c r="E8346" i="1"/>
  <c r="B8346" i="1"/>
  <c r="E8347" i="1"/>
  <c r="B8347" i="1"/>
  <c r="E8348" i="1"/>
  <c r="B8348" i="1"/>
  <c r="E8349" i="1"/>
  <c r="B8349" i="1"/>
  <c r="E8350" i="1"/>
  <c r="B8350" i="1"/>
  <c r="E8351" i="1"/>
  <c r="B8351" i="1"/>
  <c r="E8352" i="1"/>
  <c r="B8352" i="1"/>
  <c r="E8353" i="1"/>
  <c r="B8353" i="1"/>
  <c r="E8354" i="1"/>
  <c r="B8354" i="1"/>
  <c r="E8355" i="1"/>
  <c r="B8355" i="1"/>
  <c r="E8356" i="1"/>
  <c r="B8356" i="1"/>
  <c r="E8357" i="1"/>
  <c r="B8357" i="1"/>
  <c r="E8358" i="1"/>
  <c r="B8358" i="1"/>
  <c r="E8359" i="1"/>
  <c r="B8359" i="1"/>
  <c r="E8360" i="1"/>
  <c r="B8360" i="1"/>
  <c r="E8361" i="1"/>
  <c r="B8361" i="1"/>
  <c r="E8362" i="1"/>
  <c r="B8362" i="1"/>
  <c r="E8363" i="1"/>
  <c r="B8363" i="1"/>
  <c r="E8364" i="1"/>
  <c r="B8364" i="1"/>
  <c r="E8365" i="1"/>
  <c r="B8365" i="1"/>
  <c r="E8366" i="1"/>
  <c r="B8366" i="1"/>
  <c r="E8367" i="1"/>
  <c r="B8367" i="1"/>
  <c r="E8368" i="1"/>
  <c r="B8368" i="1"/>
  <c r="E8369" i="1"/>
  <c r="B8369" i="1"/>
  <c r="E8370" i="1"/>
  <c r="B8370" i="1"/>
  <c r="E8371" i="1"/>
  <c r="B8371" i="1"/>
  <c r="E8372" i="1"/>
  <c r="B8372" i="1"/>
  <c r="E8373" i="1"/>
  <c r="B8373" i="1"/>
  <c r="E8374" i="1"/>
  <c r="B8374" i="1"/>
  <c r="E8375" i="1"/>
  <c r="B8375" i="1"/>
  <c r="E8376" i="1"/>
  <c r="B8376" i="1"/>
  <c r="E8377" i="1"/>
  <c r="B8377" i="1"/>
  <c r="E8378" i="1"/>
  <c r="B8378" i="1"/>
  <c r="E8379" i="1"/>
  <c r="B8379" i="1"/>
  <c r="E8380" i="1"/>
  <c r="B8380" i="1"/>
  <c r="E8381" i="1"/>
  <c r="B8381" i="1"/>
  <c r="E8382" i="1"/>
  <c r="B8382" i="1"/>
  <c r="E8383" i="1"/>
  <c r="B8383" i="1"/>
  <c r="E8384" i="1"/>
  <c r="B8384" i="1"/>
  <c r="E8385" i="1"/>
  <c r="B8385" i="1"/>
  <c r="E8386" i="1"/>
  <c r="B8386" i="1"/>
  <c r="E8387" i="1"/>
  <c r="B8387" i="1"/>
  <c r="E8388" i="1"/>
  <c r="B8388" i="1"/>
  <c r="E8389" i="1"/>
  <c r="B8389" i="1"/>
  <c r="E8390" i="1"/>
  <c r="B8390" i="1"/>
  <c r="E8391" i="1"/>
  <c r="B8391" i="1"/>
  <c r="E8392" i="1"/>
  <c r="B8392" i="1"/>
  <c r="E8393" i="1"/>
  <c r="B8393" i="1"/>
  <c r="E8394" i="1"/>
  <c r="B8394" i="1"/>
  <c r="E8395" i="1"/>
  <c r="B8395" i="1"/>
  <c r="E8396" i="1"/>
  <c r="B8396" i="1"/>
  <c r="E8397" i="1"/>
  <c r="B8397" i="1"/>
  <c r="E8398" i="1"/>
  <c r="B8398" i="1"/>
  <c r="E8399" i="1"/>
  <c r="B8399" i="1"/>
  <c r="E8400" i="1"/>
  <c r="B8400" i="1"/>
  <c r="E8401" i="1"/>
  <c r="B8401" i="1"/>
  <c r="E8402" i="1"/>
  <c r="B8402" i="1"/>
  <c r="E8403" i="1"/>
  <c r="B8403" i="1"/>
  <c r="E8404" i="1"/>
  <c r="B8404" i="1"/>
  <c r="E8405" i="1"/>
  <c r="B8405" i="1"/>
  <c r="E8406" i="1"/>
  <c r="B8406" i="1"/>
  <c r="E8408" i="1"/>
  <c r="B8408" i="1"/>
  <c r="E8407" i="1"/>
  <c r="B8407" i="1"/>
  <c r="E8409" i="1"/>
  <c r="B8409" i="1"/>
  <c r="E8410" i="1"/>
  <c r="B8410" i="1"/>
  <c r="E8411" i="1"/>
  <c r="B8411" i="1"/>
  <c r="E8412" i="1"/>
  <c r="B8412" i="1"/>
  <c r="E8413" i="1"/>
  <c r="B8413" i="1"/>
  <c r="E8414" i="1"/>
  <c r="B8414" i="1"/>
  <c r="E8415" i="1"/>
  <c r="B8415" i="1"/>
  <c r="E8416" i="1"/>
  <c r="B8416" i="1"/>
  <c r="E8417" i="1"/>
  <c r="B8417" i="1"/>
  <c r="E8418" i="1"/>
  <c r="B8418" i="1"/>
  <c r="E8419" i="1"/>
  <c r="B8419" i="1"/>
  <c r="E8420" i="1"/>
  <c r="B8420" i="1"/>
  <c r="E8422" i="1"/>
  <c r="B8422" i="1"/>
  <c r="E8421" i="1"/>
  <c r="B8421" i="1"/>
  <c r="E8423" i="1"/>
  <c r="B8423" i="1"/>
  <c r="E8424" i="1"/>
  <c r="B8424" i="1"/>
  <c r="E8425" i="1"/>
  <c r="B8425" i="1"/>
  <c r="E8426" i="1"/>
  <c r="B8426" i="1"/>
  <c r="E8427" i="1"/>
  <c r="B8427" i="1"/>
  <c r="E8428" i="1"/>
  <c r="B8428" i="1"/>
  <c r="E8429" i="1"/>
  <c r="B8429" i="1"/>
  <c r="E8430" i="1"/>
  <c r="B8430" i="1"/>
  <c r="E8431" i="1"/>
  <c r="B8431" i="1"/>
  <c r="E8432" i="1"/>
  <c r="B8432" i="1"/>
  <c r="E8433" i="1"/>
  <c r="B8433" i="1"/>
  <c r="E8434" i="1"/>
  <c r="B8434" i="1"/>
  <c r="E8435" i="1"/>
  <c r="B8435" i="1"/>
  <c r="E8436" i="1"/>
  <c r="B8436" i="1"/>
  <c r="E8437" i="1"/>
  <c r="B8437" i="1"/>
  <c r="E8438" i="1"/>
  <c r="B8438" i="1"/>
  <c r="E8439" i="1"/>
  <c r="B8439" i="1"/>
  <c r="E8440" i="1"/>
  <c r="B8440" i="1"/>
  <c r="E8441" i="1"/>
  <c r="B8441" i="1"/>
  <c r="E8442" i="1"/>
  <c r="B8442" i="1"/>
  <c r="E8443" i="1"/>
  <c r="B8443" i="1"/>
  <c r="E8444" i="1"/>
  <c r="B8444" i="1"/>
  <c r="E8446" i="1"/>
  <c r="B8446" i="1"/>
  <c r="E8445" i="1"/>
  <c r="B8445" i="1"/>
  <c r="E8447" i="1"/>
  <c r="B8447" i="1"/>
  <c r="E8448" i="1"/>
  <c r="B8448" i="1"/>
  <c r="E8449" i="1"/>
  <c r="B8449" i="1"/>
  <c r="E8450" i="1"/>
  <c r="B8450" i="1"/>
  <c r="E8451" i="1"/>
  <c r="B8451" i="1"/>
  <c r="E8452" i="1"/>
  <c r="B8452" i="1"/>
  <c r="E8453" i="1"/>
  <c r="B8453" i="1"/>
  <c r="E8454" i="1"/>
  <c r="B8454" i="1"/>
  <c r="E8455" i="1"/>
  <c r="B8455" i="1"/>
  <c r="E8457" i="1"/>
  <c r="B8457" i="1"/>
  <c r="E8456" i="1"/>
  <c r="B8456" i="1"/>
  <c r="E8458" i="1"/>
  <c r="B8458" i="1"/>
  <c r="E8459" i="1"/>
  <c r="B8459" i="1"/>
  <c r="E8460" i="1"/>
  <c r="B8460" i="1"/>
  <c r="E8461" i="1"/>
  <c r="B8461" i="1"/>
  <c r="E8462" i="1"/>
  <c r="B8462" i="1"/>
  <c r="E8463" i="1"/>
  <c r="B8463" i="1"/>
  <c r="E8464" i="1"/>
  <c r="B8464" i="1"/>
  <c r="E8465" i="1"/>
  <c r="B8465" i="1"/>
  <c r="E8466" i="1"/>
  <c r="B8466" i="1"/>
  <c r="E8467" i="1"/>
  <c r="B8467" i="1"/>
  <c r="E8468" i="1"/>
  <c r="B8468" i="1"/>
  <c r="E8469" i="1"/>
  <c r="B8469" i="1"/>
  <c r="E8470" i="1"/>
  <c r="B8470" i="1"/>
  <c r="E8471" i="1"/>
  <c r="B8471" i="1"/>
  <c r="E8472" i="1"/>
  <c r="B8472" i="1"/>
  <c r="E8473" i="1"/>
  <c r="B8473" i="1"/>
  <c r="E8474" i="1"/>
  <c r="B8474" i="1"/>
  <c r="E8475" i="1"/>
  <c r="B8475" i="1"/>
  <c r="E8476" i="1"/>
  <c r="B8476" i="1"/>
  <c r="E8477" i="1"/>
  <c r="B8477" i="1"/>
  <c r="E8478" i="1"/>
  <c r="B8478" i="1"/>
  <c r="E8479" i="1"/>
  <c r="B8479" i="1"/>
  <c r="E8480" i="1"/>
  <c r="B8480" i="1"/>
  <c r="E8481" i="1"/>
  <c r="B8481" i="1"/>
  <c r="E8482" i="1"/>
  <c r="B8482" i="1"/>
  <c r="E8483" i="1"/>
  <c r="B8483" i="1"/>
  <c r="E8484" i="1"/>
  <c r="B8484" i="1"/>
  <c r="E8485" i="1"/>
  <c r="B8485" i="1"/>
  <c r="E8486" i="1"/>
  <c r="B8486" i="1"/>
  <c r="E8487" i="1"/>
  <c r="B8487" i="1"/>
  <c r="E8488" i="1"/>
  <c r="B8488" i="1"/>
  <c r="E8489" i="1"/>
  <c r="B8489" i="1"/>
  <c r="E8490" i="1"/>
  <c r="B8490" i="1"/>
  <c r="E8491" i="1"/>
  <c r="B8491" i="1"/>
  <c r="E8492" i="1"/>
  <c r="B8492" i="1"/>
  <c r="E8493" i="1"/>
  <c r="B8493" i="1"/>
  <c r="E8494" i="1"/>
  <c r="B8494" i="1"/>
  <c r="E8495" i="1"/>
  <c r="B8495" i="1"/>
  <c r="E8496" i="1"/>
  <c r="B8496" i="1"/>
  <c r="E8497" i="1"/>
  <c r="B8497" i="1"/>
  <c r="E8498" i="1"/>
  <c r="B8498" i="1"/>
  <c r="E8499" i="1"/>
  <c r="B8499" i="1"/>
  <c r="E8500" i="1"/>
  <c r="B8500" i="1"/>
  <c r="E8501" i="1"/>
  <c r="B8501" i="1"/>
  <c r="E8502" i="1"/>
  <c r="B8502" i="1"/>
  <c r="E8503" i="1"/>
  <c r="B8503" i="1"/>
  <c r="E8504" i="1"/>
  <c r="B8504" i="1"/>
  <c r="E8505" i="1"/>
  <c r="B8505" i="1"/>
  <c r="E8506" i="1"/>
  <c r="B8506" i="1"/>
  <c r="E8507" i="1"/>
  <c r="B8507" i="1"/>
  <c r="E8509" i="1"/>
  <c r="B8509" i="1"/>
  <c r="E8508" i="1"/>
  <c r="B8508" i="1"/>
  <c r="E8510" i="1"/>
  <c r="B8510" i="1"/>
  <c r="E8511" i="1"/>
  <c r="B8511" i="1"/>
  <c r="E8512" i="1"/>
  <c r="B8512" i="1"/>
  <c r="E8513" i="1"/>
  <c r="B8513" i="1"/>
  <c r="E8514" i="1"/>
  <c r="B8514" i="1"/>
  <c r="E8515" i="1"/>
  <c r="B8515" i="1"/>
  <c r="E8516" i="1"/>
  <c r="B8516" i="1"/>
  <c r="E8518" i="1"/>
  <c r="B8518" i="1"/>
  <c r="E8517" i="1"/>
  <c r="B8517" i="1"/>
  <c r="E8519" i="1"/>
  <c r="B8519" i="1"/>
  <c r="E8520" i="1"/>
  <c r="B8520" i="1"/>
  <c r="E8521" i="1"/>
  <c r="B8521" i="1"/>
  <c r="E8522" i="1"/>
  <c r="B8522" i="1"/>
  <c r="E8523" i="1"/>
  <c r="B8523" i="1"/>
  <c r="E8524" i="1"/>
  <c r="B8524" i="1"/>
  <c r="E8525" i="1"/>
  <c r="B8525" i="1"/>
  <c r="E8526" i="1"/>
  <c r="B8526" i="1"/>
  <c r="E8527" i="1"/>
  <c r="B8527" i="1"/>
  <c r="E8528" i="1"/>
  <c r="B8528" i="1"/>
  <c r="E8529" i="1"/>
  <c r="B8529" i="1"/>
  <c r="E8530" i="1"/>
  <c r="B8530" i="1"/>
  <c r="E8531" i="1"/>
  <c r="B8531" i="1"/>
  <c r="E8532" i="1"/>
  <c r="B8532" i="1"/>
  <c r="E8533" i="1"/>
  <c r="B8533" i="1"/>
  <c r="E8534" i="1"/>
  <c r="B8534" i="1"/>
  <c r="E8535" i="1"/>
  <c r="B8535" i="1"/>
  <c r="E8536" i="1"/>
  <c r="B8536" i="1"/>
  <c r="E8537" i="1"/>
  <c r="B8537" i="1"/>
  <c r="E8538" i="1"/>
  <c r="B8538" i="1"/>
  <c r="E8539" i="1"/>
  <c r="B8539" i="1"/>
  <c r="E8540" i="1"/>
  <c r="B8540" i="1"/>
  <c r="E8541" i="1"/>
  <c r="B8541" i="1"/>
  <c r="E8542" i="1"/>
  <c r="B8542" i="1"/>
  <c r="E8543" i="1"/>
  <c r="B8543" i="1"/>
  <c r="E8544" i="1"/>
  <c r="B8544" i="1"/>
  <c r="E8545" i="1"/>
  <c r="B8545" i="1"/>
  <c r="E8546" i="1"/>
  <c r="B8546" i="1"/>
  <c r="E8548" i="1"/>
  <c r="B8548" i="1"/>
  <c r="E8547" i="1"/>
  <c r="B8547" i="1"/>
  <c r="E8549" i="1"/>
  <c r="B8549" i="1"/>
  <c r="E8550" i="1"/>
  <c r="B8550" i="1"/>
  <c r="E8551" i="1"/>
  <c r="B8551" i="1"/>
  <c r="E8552" i="1"/>
  <c r="B8552" i="1"/>
  <c r="E8553" i="1"/>
  <c r="B8553" i="1"/>
  <c r="E8554" i="1"/>
  <c r="B8554" i="1"/>
  <c r="E8555" i="1"/>
  <c r="B8555" i="1"/>
  <c r="E8556" i="1"/>
  <c r="B8556" i="1"/>
  <c r="E8558" i="1"/>
  <c r="B8558" i="1"/>
  <c r="E8557" i="1"/>
  <c r="B8557" i="1"/>
  <c r="E8559" i="1"/>
  <c r="B8559" i="1"/>
  <c r="E8560" i="1"/>
  <c r="B8560" i="1"/>
  <c r="E8561" i="1"/>
  <c r="B8561" i="1"/>
  <c r="E8562" i="1"/>
  <c r="B8562" i="1"/>
  <c r="E8563" i="1"/>
  <c r="B8563" i="1"/>
  <c r="E8564" i="1"/>
  <c r="B8564" i="1"/>
  <c r="E8565" i="1"/>
  <c r="B8565" i="1"/>
  <c r="E8566" i="1"/>
  <c r="B8566" i="1"/>
  <c r="E8567" i="1"/>
  <c r="B8567" i="1"/>
  <c r="E8568" i="1"/>
  <c r="B8568" i="1"/>
  <c r="E8569" i="1"/>
  <c r="B8569" i="1"/>
  <c r="E8570" i="1"/>
  <c r="B8570" i="1"/>
  <c r="E8571" i="1"/>
  <c r="B8571" i="1"/>
  <c r="E8572" i="1"/>
  <c r="B8572" i="1"/>
  <c r="E8573" i="1"/>
  <c r="B8573" i="1"/>
  <c r="E8574" i="1"/>
  <c r="B8574" i="1"/>
  <c r="E8575" i="1"/>
  <c r="B8575" i="1"/>
  <c r="E8576" i="1"/>
  <c r="B8576" i="1"/>
  <c r="E8577" i="1"/>
  <c r="B8577" i="1"/>
  <c r="E8578" i="1"/>
  <c r="B8578" i="1"/>
  <c r="E8579" i="1"/>
  <c r="B8579" i="1"/>
  <c r="E8580" i="1"/>
  <c r="B8580" i="1"/>
  <c r="E8581" i="1"/>
  <c r="B8581" i="1"/>
  <c r="E8582" i="1"/>
  <c r="B8582" i="1"/>
  <c r="E8583" i="1"/>
  <c r="B8583" i="1"/>
  <c r="E8584" i="1"/>
  <c r="B8584" i="1"/>
  <c r="E8585" i="1"/>
  <c r="B8585" i="1"/>
  <c r="E8586" i="1"/>
  <c r="B8586" i="1"/>
  <c r="E8587" i="1"/>
  <c r="B8587" i="1"/>
  <c r="E8588" i="1"/>
  <c r="B8588" i="1"/>
  <c r="E8589" i="1"/>
  <c r="B8589" i="1"/>
  <c r="E8590" i="1"/>
  <c r="B8590" i="1"/>
  <c r="E8591" i="1"/>
  <c r="B8591" i="1"/>
  <c r="E8592" i="1"/>
  <c r="B8592" i="1"/>
  <c r="E8593" i="1"/>
  <c r="B8593" i="1"/>
  <c r="E8594" i="1"/>
  <c r="B8594" i="1"/>
  <c r="E8595" i="1"/>
  <c r="B8595" i="1"/>
  <c r="E8596" i="1"/>
  <c r="B8596" i="1"/>
  <c r="E8597" i="1"/>
  <c r="B8597" i="1"/>
  <c r="E8598" i="1"/>
  <c r="B8598" i="1"/>
  <c r="E8599" i="1"/>
  <c r="B8599" i="1"/>
  <c r="E8600" i="1"/>
  <c r="B8600" i="1"/>
  <c r="E8601" i="1"/>
  <c r="B8601" i="1"/>
  <c r="E8602" i="1"/>
  <c r="B8602" i="1"/>
  <c r="E8603" i="1"/>
  <c r="B8603" i="1"/>
  <c r="E8604" i="1"/>
  <c r="B8604" i="1"/>
  <c r="E8605" i="1"/>
  <c r="B8605" i="1"/>
  <c r="E8606" i="1"/>
  <c r="B8606" i="1"/>
  <c r="E8607" i="1"/>
  <c r="B8607" i="1"/>
  <c r="E8608" i="1"/>
  <c r="B8608" i="1"/>
  <c r="E8609" i="1"/>
  <c r="B8609" i="1"/>
  <c r="E8610" i="1"/>
  <c r="B8610" i="1"/>
  <c r="E8611" i="1"/>
  <c r="B8611" i="1"/>
  <c r="E8612" i="1"/>
  <c r="B8612" i="1"/>
  <c r="E8613" i="1"/>
  <c r="B8613" i="1"/>
  <c r="E8614" i="1"/>
  <c r="B8614" i="1"/>
  <c r="E8615" i="1"/>
  <c r="B8615" i="1"/>
  <c r="E8616" i="1"/>
  <c r="B8616" i="1"/>
  <c r="E8617" i="1"/>
  <c r="B8617" i="1"/>
  <c r="E8618" i="1"/>
  <c r="B8618" i="1"/>
  <c r="E8619" i="1"/>
  <c r="B8619" i="1"/>
  <c r="E8620" i="1"/>
  <c r="B8620" i="1"/>
  <c r="E8621" i="1"/>
  <c r="B8621" i="1"/>
  <c r="E8622" i="1"/>
  <c r="B8622" i="1"/>
  <c r="E8623" i="1"/>
  <c r="B8623" i="1"/>
  <c r="E8624" i="1"/>
  <c r="B8624" i="1"/>
  <c r="E8625" i="1"/>
  <c r="B8625" i="1"/>
  <c r="E8626" i="1"/>
  <c r="B8626" i="1"/>
  <c r="E8627" i="1"/>
  <c r="B8627" i="1"/>
  <c r="E8628" i="1"/>
  <c r="B8628" i="1"/>
  <c r="E8629" i="1"/>
  <c r="B8629" i="1"/>
  <c r="E8630" i="1"/>
  <c r="B8630" i="1"/>
  <c r="E8631" i="1"/>
  <c r="B8631" i="1"/>
  <c r="E8632" i="1"/>
  <c r="B8632" i="1"/>
  <c r="E8633" i="1"/>
  <c r="B8633" i="1"/>
  <c r="E8634" i="1"/>
  <c r="B8634" i="1"/>
  <c r="E8635" i="1"/>
  <c r="B8635" i="1"/>
  <c r="E8636" i="1"/>
  <c r="B8636" i="1"/>
  <c r="E8637" i="1"/>
  <c r="B8637" i="1"/>
  <c r="E8638" i="1"/>
  <c r="B8638" i="1"/>
  <c r="E8639" i="1"/>
  <c r="B8639" i="1"/>
  <c r="E8640" i="1"/>
  <c r="B8640" i="1"/>
  <c r="E8641" i="1"/>
  <c r="B8641" i="1"/>
  <c r="E8642" i="1"/>
  <c r="B8642" i="1"/>
  <c r="E8643" i="1"/>
  <c r="B8643" i="1"/>
  <c r="E8644" i="1"/>
  <c r="B8644" i="1"/>
  <c r="E8645" i="1"/>
  <c r="B8645" i="1"/>
  <c r="E8646" i="1"/>
  <c r="B8646" i="1"/>
  <c r="E8647" i="1"/>
  <c r="B8647" i="1"/>
  <c r="E8648" i="1"/>
  <c r="B8648" i="1"/>
  <c r="E8649" i="1"/>
  <c r="B8649" i="1"/>
  <c r="E8650" i="1"/>
  <c r="B8650" i="1"/>
  <c r="E8651" i="1"/>
  <c r="B8651" i="1"/>
  <c r="E8652" i="1"/>
  <c r="B8652" i="1"/>
  <c r="E8654" i="1"/>
  <c r="B8654" i="1"/>
  <c r="E8653" i="1"/>
  <c r="B8653" i="1"/>
  <c r="E8655" i="1"/>
  <c r="B8655" i="1"/>
  <c r="E8656" i="1"/>
  <c r="B8656" i="1"/>
  <c r="E8657" i="1"/>
  <c r="B8657" i="1"/>
  <c r="E8658" i="1"/>
  <c r="B8658" i="1"/>
  <c r="E8659" i="1"/>
  <c r="B8659" i="1"/>
  <c r="E8660" i="1"/>
  <c r="B8660" i="1"/>
  <c r="E8661" i="1"/>
  <c r="B8661" i="1"/>
  <c r="E8662" i="1"/>
  <c r="B8662" i="1"/>
  <c r="E8663" i="1"/>
  <c r="B8663" i="1"/>
  <c r="E8664" i="1"/>
  <c r="B8664" i="1"/>
  <c r="E8665" i="1"/>
  <c r="B8665" i="1"/>
  <c r="E8666" i="1"/>
  <c r="B8666" i="1"/>
  <c r="E8667" i="1"/>
  <c r="B8667" i="1"/>
  <c r="E8668" i="1"/>
  <c r="B8668" i="1"/>
  <c r="E8669" i="1"/>
  <c r="B8669" i="1"/>
  <c r="E8670" i="1"/>
  <c r="B8670" i="1"/>
  <c r="E8671" i="1"/>
  <c r="B8671" i="1"/>
  <c r="E8672" i="1"/>
  <c r="B8672" i="1"/>
  <c r="E8673" i="1"/>
  <c r="B8673" i="1"/>
  <c r="E8674" i="1"/>
  <c r="B8674" i="1"/>
  <c r="E8675" i="1"/>
  <c r="B8675" i="1"/>
  <c r="E8676" i="1"/>
  <c r="B8676" i="1"/>
  <c r="E8677" i="1"/>
  <c r="B8677" i="1"/>
  <c r="E8678" i="1"/>
  <c r="B8678" i="1"/>
  <c r="E8679" i="1"/>
  <c r="B8679" i="1"/>
  <c r="E8680" i="1"/>
  <c r="B8680" i="1"/>
  <c r="E8681" i="1"/>
  <c r="B8681" i="1"/>
  <c r="E8682" i="1"/>
  <c r="B8682" i="1"/>
  <c r="E8683" i="1"/>
  <c r="B8683" i="1"/>
  <c r="E8684" i="1"/>
  <c r="B8684" i="1"/>
  <c r="E8685" i="1"/>
  <c r="B8685" i="1"/>
  <c r="E8686" i="1"/>
  <c r="B8686" i="1"/>
  <c r="E8687" i="1"/>
  <c r="B8687" i="1"/>
  <c r="E8688" i="1"/>
  <c r="B8688" i="1"/>
  <c r="E8689" i="1"/>
  <c r="B8689" i="1"/>
  <c r="E8690" i="1"/>
  <c r="B8690" i="1"/>
  <c r="E8691" i="1"/>
  <c r="B8691" i="1"/>
  <c r="E8692" i="1"/>
  <c r="B8692" i="1"/>
  <c r="E8693" i="1"/>
  <c r="B8693" i="1"/>
  <c r="E8694" i="1"/>
  <c r="B8694" i="1"/>
  <c r="E8695" i="1"/>
  <c r="B8695" i="1"/>
  <c r="E8696" i="1"/>
  <c r="B8696" i="1"/>
  <c r="E8697" i="1"/>
  <c r="B8697" i="1"/>
  <c r="E8698" i="1"/>
  <c r="B8698" i="1"/>
  <c r="E8699" i="1"/>
  <c r="B8699" i="1"/>
  <c r="E8700" i="1"/>
  <c r="B8700" i="1"/>
  <c r="E8701" i="1"/>
  <c r="B8701" i="1"/>
  <c r="E8703" i="1"/>
  <c r="B8703" i="1"/>
  <c r="E8702" i="1"/>
  <c r="B8702" i="1"/>
  <c r="E8704" i="1"/>
  <c r="B8704" i="1"/>
  <c r="E8705" i="1"/>
  <c r="B8705" i="1"/>
  <c r="E8706" i="1"/>
  <c r="B8706" i="1"/>
  <c r="E8707" i="1"/>
  <c r="B8707" i="1"/>
  <c r="E8708" i="1"/>
  <c r="B8708" i="1"/>
  <c r="E8709" i="1"/>
  <c r="B8709" i="1"/>
  <c r="E8710" i="1"/>
  <c r="B8710" i="1"/>
  <c r="E8711" i="1"/>
  <c r="B8711" i="1"/>
  <c r="E8712" i="1"/>
  <c r="B8712" i="1"/>
  <c r="E8713" i="1"/>
  <c r="B8713" i="1"/>
  <c r="E8715" i="1"/>
  <c r="B8715" i="1"/>
  <c r="E8714" i="1"/>
  <c r="B8714" i="1"/>
  <c r="E8716" i="1"/>
  <c r="B8716" i="1"/>
  <c r="E8717" i="1"/>
  <c r="B8717" i="1"/>
  <c r="E8718" i="1"/>
  <c r="B8718" i="1"/>
  <c r="E8719" i="1"/>
  <c r="B8719" i="1"/>
  <c r="E8720" i="1"/>
  <c r="B8720" i="1"/>
  <c r="E8721" i="1"/>
  <c r="B8721" i="1"/>
  <c r="E8722" i="1"/>
  <c r="B8722" i="1"/>
  <c r="E8723" i="1"/>
  <c r="B8723" i="1"/>
  <c r="E8724" i="1"/>
  <c r="B8724" i="1"/>
  <c r="E8725" i="1"/>
  <c r="B8725" i="1"/>
  <c r="E8726" i="1"/>
  <c r="B8726" i="1"/>
  <c r="E8727" i="1"/>
  <c r="B8727" i="1"/>
  <c r="E8728" i="1"/>
  <c r="B8728" i="1"/>
  <c r="E8729" i="1"/>
  <c r="B8729" i="1"/>
  <c r="E8730" i="1"/>
  <c r="B8730" i="1"/>
  <c r="E8731" i="1"/>
  <c r="B8731" i="1"/>
  <c r="E8732" i="1"/>
  <c r="B8732" i="1"/>
  <c r="E8733" i="1"/>
  <c r="B8733" i="1"/>
  <c r="E8734" i="1"/>
  <c r="B8734" i="1"/>
  <c r="E8735" i="1"/>
  <c r="B8735" i="1"/>
  <c r="E8736" i="1"/>
  <c r="B8736" i="1"/>
  <c r="E8737" i="1"/>
  <c r="B8737" i="1"/>
  <c r="E8738" i="1"/>
  <c r="B8738" i="1"/>
  <c r="E8739" i="1"/>
  <c r="B8739" i="1"/>
  <c r="E8740" i="1"/>
  <c r="B8740" i="1"/>
  <c r="E8741" i="1"/>
  <c r="B8741" i="1"/>
  <c r="E8742" i="1"/>
  <c r="B8742" i="1"/>
  <c r="E8743" i="1"/>
  <c r="B8743" i="1"/>
  <c r="E8744" i="1"/>
  <c r="B8744" i="1"/>
  <c r="E8745" i="1"/>
  <c r="B8745" i="1"/>
  <c r="E8746" i="1"/>
  <c r="B8746" i="1"/>
  <c r="E8747" i="1"/>
  <c r="B8747" i="1"/>
  <c r="E8748" i="1"/>
  <c r="B8748" i="1"/>
  <c r="E8749" i="1"/>
  <c r="B8749" i="1"/>
  <c r="E8750" i="1"/>
  <c r="B8750" i="1"/>
  <c r="E8751" i="1"/>
  <c r="B8751" i="1"/>
  <c r="E8752" i="1"/>
  <c r="B8752" i="1"/>
  <c r="E8753" i="1"/>
  <c r="B8753" i="1"/>
  <c r="E8754" i="1"/>
  <c r="B8754" i="1"/>
  <c r="E8755" i="1"/>
  <c r="B8755" i="1"/>
  <c r="E8756" i="1"/>
  <c r="B8756" i="1"/>
  <c r="E8757" i="1"/>
  <c r="B8757" i="1"/>
  <c r="E8758" i="1"/>
  <c r="B8758" i="1"/>
  <c r="E8759" i="1"/>
  <c r="B8759" i="1"/>
  <c r="E8760" i="1"/>
  <c r="B8760" i="1"/>
  <c r="E8762" i="1"/>
  <c r="B8762" i="1"/>
  <c r="E8761" i="1"/>
  <c r="B8761" i="1"/>
  <c r="E8763" i="1"/>
  <c r="B8763" i="1"/>
  <c r="E8764" i="1"/>
  <c r="B8764" i="1"/>
  <c r="E8765" i="1"/>
  <c r="B8765" i="1"/>
  <c r="E8766" i="1"/>
  <c r="B8766" i="1"/>
  <c r="E8767" i="1"/>
  <c r="B8767" i="1"/>
  <c r="E8768" i="1"/>
  <c r="B8768" i="1"/>
  <c r="E8769" i="1"/>
  <c r="B8769" i="1"/>
  <c r="E8770" i="1"/>
  <c r="B8770" i="1"/>
  <c r="E8771" i="1"/>
  <c r="B8771" i="1"/>
  <c r="E8772" i="1"/>
  <c r="B8772" i="1"/>
  <c r="E8773" i="1"/>
  <c r="B8773" i="1"/>
  <c r="E8774" i="1"/>
  <c r="B8774" i="1"/>
  <c r="E8775" i="1"/>
  <c r="B8775" i="1"/>
  <c r="E8776" i="1"/>
  <c r="B8776" i="1"/>
  <c r="E8777" i="1"/>
  <c r="B8777" i="1"/>
  <c r="E8778" i="1"/>
  <c r="B8778" i="1"/>
  <c r="E8779" i="1"/>
  <c r="B8779" i="1"/>
  <c r="E8780" i="1"/>
  <c r="B8780" i="1"/>
  <c r="E8781" i="1"/>
  <c r="B8781" i="1"/>
  <c r="E8782" i="1"/>
  <c r="B8782" i="1"/>
  <c r="E8783" i="1"/>
  <c r="B8783" i="1"/>
  <c r="E8784" i="1"/>
  <c r="B8784" i="1"/>
  <c r="E8785" i="1"/>
  <c r="B8785" i="1"/>
  <c r="E8786" i="1"/>
  <c r="B8786" i="1"/>
  <c r="E8787" i="1"/>
  <c r="B8787" i="1"/>
  <c r="E8788" i="1"/>
  <c r="B8788" i="1"/>
  <c r="E8789" i="1"/>
  <c r="B8789" i="1"/>
  <c r="E8790" i="1"/>
  <c r="B8790" i="1"/>
  <c r="E8791" i="1"/>
  <c r="B8791" i="1"/>
  <c r="E8792" i="1"/>
  <c r="B8792" i="1"/>
  <c r="E8793" i="1"/>
  <c r="B8793" i="1"/>
  <c r="E8794" i="1"/>
  <c r="B8794" i="1"/>
  <c r="E8795" i="1"/>
  <c r="B8795" i="1"/>
  <c r="E8796" i="1"/>
  <c r="B8796" i="1"/>
  <c r="E8797" i="1"/>
  <c r="B8797" i="1"/>
  <c r="E8798" i="1"/>
  <c r="B8798" i="1"/>
  <c r="E8799" i="1"/>
  <c r="B8799" i="1"/>
  <c r="E8800" i="1"/>
  <c r="B8800" i="1"/>
  <c r="E8801" i="1"/>
  <c r="B8801" i="1"/>
  <c r="E8802" i="1"/>
  <c r="B8802" i="1"/>
  <c r="E8803" i="1"/>
  <c r="B8803" i="1"/>
  <c r="E8804" i="1"/>
  <c r="B8804" i="1"/>
  <c r="E8805" i="1"/>
  <c r="B8805" i="1"/>
  <c r="E8808" i="1"/>
  <c r="B8808" i="1"/>
  <c r="E8807" i="1"/>
  <c r="B8807" i="1"/>
  <c r="E8806" i="1"/>
  <c r="B8806" i="1"/>
  <c r="E8809" i="1"/>
  <c r="B8809" i="1"/>
  <c r="E8810" i="1"/>
  <c r="B8810" i="1"/>
  <c r="E8811" i="1"/>
  <c r="B8811" i="1"/>
  <c r="E8812" i="1"/>
  <c r="B8812" i="1"/>
  <c r="E8813" i="1"/>
  <c r="B8813" i="1"/>
  <c r="E8814" i="1"/>
  <c r="B8814" i="1"/>
  <c r="E8815" i="1"/>
  <c r="B8815" i="1"/>
  <c r="E8816" i="1"/>
  <c r="B8816" i="1"/>
  <c r="E8817" i="1"/>
  <c r="B8817" i="1"/>
  <c r="E8818" i="1"/>
  <c r="B8818" i="1"/>
  <c r="E8819" i="1"/>
  <c r="B8819" i="1"/>
  <c r="E8820" i="1"/>
  <c r="B8820" i="1"/>
  <c r="E8822" i="1"/>
  <c r="B8822" i="1"/>
  <c r="E8821" i="1"/>
  <c r="B8821" i="1"/>
  <c r="E8823" i="1"/>
  <c r="B8823" i="1"/>
  <c r="E8824" i="1"/>
  <c r="B8824" i="1"/>
  <c r="E8825" i="1"/>
  <c r="B8825" i="1"/>
  <c r="E8826" i="1"/>
  <c r="B8826" i="1"/>
  <c r="E8827" i="1"/>
  <c r="B8827" i="1"/>
  <c r="E8828" i="1"/>
  <c r="B8828" i="1"/>
  <c r="E8829" i="1"/>
  <c r="B8829" i="1"/>
  <c r="E8830" i="1"/>
  <c r="B8830" i="1"/>
  <c r="E8831" i="1"/>
  <c r="B8831" i="1"/>
  <c r="E8832" i="1"/>
  <c r="B8832" i="1"/>
  <c r="E8833" i="1"/>
  <c r="B8833" i="1"/>
  <c r="E8834" i="1"/>
  <c r="B8834" i="1"/>
  <c r="E8835" i="1"/>
  <c r="B8835" i="1"/>
  <c r="E8836" i="1"/>
  <c r="B8836" i="1"/>
  <c r="E8837" i="1"/>
  <c r="B8837" i="1"/>
  <c r="E8838" i="1"/>
  <c r="B8838" i="1"/>
  <c r="E8839" i="1"/>
  <c r="B8839" i="1"/>
  <c r="E8840" i="1"/>
  <c r="B8840" i="1"/>
  <c r="E8841" i="1"/>
  <c r="B8841" i="1"/>
  <c r="E8842" i="1"/>
  <c r="B8842" i="1"/>
  <c r="E8843" i="1"/>
  <c r="B8843" i="1"/>
  <c r="E8844" i="1"/>
  <c r="B8844" i="1"/>
  <c r="E8845" i="1"/>
  <c r="B8845" i="1"/>
  <c r="E8846" i="1"/>
  <c r="B8846" i="1"/>
  <c r="E8847" i="1"/>
  <c r="B8847" i="1"/>
  <c r="E8848" i="1"/>
  <c r="B8848" i="1"/>
  <c r="E8849" i="1"/>
  <c r="B8849" i="1"/>
  <c r="E8850" i="1"/>
  <c r="B8850" i="1"/>
  <c r="E8851" i="1"/>
  <c r="B8851" i="1"/>
  <c r="E8852" i="1"/>
  <c r="B8852" i="1"/>
  <c r="E8853" i="1"/>
  <c r="B8853" i="1"/>
  <c r="E8854" i="1"/>
  <c r="B8854" i="1"/>
  <c r="E8855" i="1"/>
  <c r="B8855" i="1"/>
  <c r="E8856" i="1"/>
  <c r="B8856" i="1"/>
  <c r="E8857" i="1"/>
  <c r="B8857" i="1"/>
  <c r="E8858" i="1"/>
  <c r="B8858" i="1"/>
  <c r="E8859" i="1"/>
  <c r="B8859" i="1"/>
  <c r="E8860" i="1"/>
  <c r="B8860" i="1"/>
  <c r="E8861" i="1"/>
  <c r="B8861" i="1"/>
  <c r="E8862" i="1"/>
  <c r="B8862" i="1"/>
  <c r="E8863" i="1"/>
  <c r="B8863" i="1"/>
  <c r="E8864" i="1"/>
  <c r="B8864" i="1"/>
  <c r="E8865" i="1"/>
  <c r="B8865" i="1"/>
  <c r="E8866" i="1"/>
  <c r="B8866" i="1"/>
  <c r="E8867" i="1"/>
  <c r="B8867" i="1"/>
  <c r="E8868" i="1"/>
  <c r="B8868" i="1"/>
  <c r="E8869" i="1"/>
  <c r="B8869" i="1"/>
  <c r="E8870" i="1"/>
  <c r="B8870" i="1"/>
  <c r="E8871" i="1"/>
  <c r="B8871" i="1"/>
  <c r="E8872" i="1"/>
  <c r="B8872" i="1"/>
  <c r="E8873" i="1"/>
  <c r="B8873" i="1"/>
  <c r="E8874" i="1"/>
  <c r="B8874" i="1"/>
  <c r="E8875" i="1"/>
  <c r="B8875" i="1"/>
  <c r="E8876" i="1"/>
  <c r="B8876" i="1"/>
  <c r="E8877" i="1"/>
  <c r="B8877" i="1"/>
  <c r="E8878" i="1"/>
  <c r="B8878" i="1"/>
  <c r="E8879" i="1"/>
  <c r="B8879" i="1"/>
  <c r="E8880" i="1"/>
  <c r="B8880" i="1"/>
  <c r="E8881" i="1"/>
  <c r="B8881" i="1"/>
  <c r="E8882" i="1"/>
  <c r="B8882" i="1"/>
  <c r="E8883" i="1"/>
  <c r="B8883" i="1"/>
  <c r="E8884" i="1"/>
  <c r="B8884" i="1"/>
  <c r="E8886" i="1"/>
  <c r="B8886" i="1"/>
  <c r="E8885" i="1"/>
  <c r="B8885" i="1"/>
  <c r="E8887" i="1"/>
  <c r="B8887" i="1"/>
  <c r="E8888" i="1"/>
  <c r="B8888" i="1"/>
  <c r="E8889" i="1"/>
  <c r="B8889" i="1"/>
  <c r="E8890" i="1"/>
  <c r="B8890" i="1"/>
  <c r="E8891" i="1"/>
  <c r="B8891" i="1"/>
  <c r="E8892" i="1"/>
  <c r="B8892" i="1"/>
  <c r="E8893" i="1"/>
  <c r="B8893" i="1"/>
  <c r="E8894" i="1"/>
  <c r="B8894" i="1"/>
  <c r="E8895" i="1"/>
  <c r="B8895" i="1"/>
  <c r="E8896" i="1"/>
  <c r="B8896" i="1"/>
  <c r="E8897" i="1"/>
  <c r="B8897" i="1"/>
  <c r="E8898" i="1"/>
  <c r="B8898" i="1"/>
  <c r="E8899" i="1"/>
  <c r="B8899" i="1"/>
  <c r="E8900" i="1"/>
  <c r="B8900" i="1"/>
  <c r="E8901" i="1"/>
  <c r="B8901" i="1"/>
  <c r="E8902" i="1"/>
  <c r="B8902" i="1"/>
  <c r="E8903" i="1"/>
  <c r="B8903" i="1"/>
  <c r="E8904" i="1"/>
  <c r="B8904" i="1"/>
  <c r="E8905" i="1"/>
  <c r="B8905" i="1"/>
  <c r="E8906" i="1"/>
  <c r="B8906" i="1"/>
  <c r="E8907" i="1"/>
  <c r="B8907" i="1"/>
  <c r="E8908" i="1"/>
  <c r="B8908" i="1"/>
  <c r="E8909" i="1"/>
  <c r="B8909" i="1"/>
  <c r="E8910" i="1"/>
  <c r="B8910" i="1"/>
  <c r="E8911" i="1"/>
  <c r="B8911" i="1"/>
  <c r="E8912" i="1"/>
  <c r="B8912" i="1"/>
  <c r="E8913" i="1"/>
  <c r="B8913" i="1"/>
  <c r="E8914" i="1"/>
  <c r="B8914" i="1"/>
  <c r="E8915" i="1"/>
  <c r="B8915" i="1"/>
  <c r="E8916" i="1"/>
  <c r="B8916" i="1"/>
  <c r="E8917" i="1"/>
  <c r="B8917" i="1"/>
  <c r="E8918" i="1"/>
  <c r="B8918" i="1"/>
  <c r="E8919" i="1"/>
  <c r="B8919" i="1"/>
  <c r="E8920" i="1"/>
  <c r="B8920" i="1"/>
  <c r="E8921" i="1"/>
  <c r="B8921" i="1"/>
  <c r="E8922" i="1"/>
  <c r="B8922" i="1"/>
  <c r="E8923" i="1"/>
  <c r="B8923" i="1"/>
  <c r="E8924" i="1"/>
  <c r="B8924" i="1"/>
  <c r="E8925" i="1"/>
  <c r="B8925" i="1"/>
  <c r="E8926" i="1"/>
  <c r="B8926" i="1"/>
  <c r="E8927" i="1"/>
  <c r="B8927" i="1"/>
  <c r="E8928" i="1"/>
  <c r="B8928" i="1"/>
  <c r="E8929" i="1"/>
  <c r="B8929" i="1"/>
  <c r="E8930" i="1"/>
  <c r="B8930" i="1"/>
  <c r="E8931" i="1"/>
  <c r="B8931" i="1"/>
  <c r="E8932" i="1"/>
  <c r="B8932" i="1"/>
  <c r="E8933" i="1"/>
  <c r="B8933" i="1"/>
  <c r="E8934" i="1"/>
  <c r="B8934" i="1"/>
  <c r="E8935" i="1"/>
  <c r="B8935" i="1"/>
  <c r="E8936" i="1"/>
  <c r="B8936" i="1"/>
  <c r="E8937" i="1"/>
  <c r="B8937" i="1"/>
  <c r="E8938" i="1"/>
  <c r="B8938" i="1"/>
  <c r="E8939" i="1"/>
  <c r="B8939" i="1"/>
  <c r="E8940" i="1"/>
  <c r="B8940" i="1"/>
  <c r="E8941" i="1"/>
  <c r="B8941" i="1"/>
  <c r="E8942" i="1"/>
  <c r="B8942" i="1"/>
  <c r="E8943" i="1"/>
  <c r="B8943" i="1"/>
  <c r="E8944" i="1"/>
  <c r="B8944" i="1"/>
  <c r="E8945" i="1"/>
  <c r="B8945" i="1"/>
  <c r="E8946" i="1"/>
  <c r="B8946" i="1"/>
  <c r="E8947" i="1"/>
  <c r="B8947" i="1"/>
  <c r="E8948" i="1"/>
  <c r="B8948" i="1"/>
  <c r="E8949" i="1"/>
  <c r="B8949" i="1"/>
  <c r="E8950" i="1"/>
  <c r="B8950" i="1"/>
  <c r="E8951" i="1"/>
  <c r="B8951" i="1"/>
  <c r="E8952" i="1"/>
  <c r="B8952" i="1"/>
  <c r="E8953" i="1"/>
  <c r="B8953" i="1"/>
  <c r="E8954" i="1"/>
  <c r="B8954" i="1"/>
  <c r="E8955" i="1"/>
  <c r="B8955" i="1"/>
  <c r="E8956" i="1"/>
  <c r="B8956" i="1"/>
  <c r="E8957" i="1"/>
  <c r="B8957" i="1"/>
  <c r="E8958" i="1"/>
  <c r="B8958" i="1"/>
  <c r="E8959" i="1"/>
  <c r="B8959" i="1"/>
  <c r="E8960" i="1"/>
  <c r="B8960" i="1"/>
  <c r="E8961" i="1"/>
  <c r="B8961" i="1"/>
  <c r="E8962" i="1"/>
  <c r="B8962" i="1"/>
  <c r="E8963" i="1"/>
  <c r="B8963" i="1"/>
  <c r="E8964" i="1"/>
  <c r="B8964" i="1"/>
  <c r="E8965" i="1"/>
  <c r="B8965" i="1"/>
  <c r="E8966" i="1"/>
  <c r="B8966" i="1"/>
  <c r="E8967" i="1"/>
  <c r="B8967" i="1"/>
  <c r="E8968" i="1"/>
  <c r="B8968" i="1"/>
  <c r="E8969" i="1"/>
  <c r="B8969" i="1"/>
  <c r="E8970" i="1"/>
  <c r="B8970" i="1"/>
  <c r="E8971" i="1"/>
  <c r="B8971" i="1"/>
  <c r="E8972" i="1"/>
  <c r="B8972" i="1"/>
  <c r="E8973" i="1"/>
  <c r="B8973" i="1"/>
  <c r="E8974" i="1"/>
  <c r="B8974" i="1"/>
  <c r="E8975" i="1"/>
  <c r="B8975" i="1"/>
  <c r="E8976" i="1"/>
  <c r="B8976" i="1"/>
  <c r="E8977" i="1"/>
  <c r="B8977" i="1"/>
  <c r="E8978" i="1"/>
  <c r="B8978" i="1"/>
  <c r="E8979" i="1"/>
  <c r="B8979" i="1"/>
  <c r="E8980" i="1"/>
  <c r="B8980" i="1"/>
  <c r="E8981" i="1"/>
  <c r="B8981" i="1"/>
  <c r="E8982" i="1"/>
  <c r="B8982" i="1"/>
  <c r="E8983" i="1"/>
  <c r="B8983" i="1"/>
  <c r="E8984" i="1"/>
  <c r="B8984" i="1"/>
  <c r="E8985" i="1"/>
  <c r="B8985" i="1"/>
  <c r="E8986" i="1"/>
  <c r="B8986" i="1"/>
  <c r="E8987" i="1"/>
  <c r="B8987" i="1"/>
  <c r="E8988" i="1"/>
  <c r="B8988" i="1"/>
  <c r="E8989" i="1"/>
  <c r="B8989" i="1"/>
  <c r="E8990" i="1"/>
  <c r="B8990" i="1"/>
  <c r="E8991" i="1"/>
  <c r="B8991" i="1"/>
  <c r="E8992" i="1"/>
  <c r="B8992" i="1"/>
  <c r="E8993" i="1"/>
  <c r="B8993" i="1"/>
  <c r="E8994" i="1"/>
  <c r="B8994" i="1"/>
  <c r="E8995" i="1"/>
  <c r="B8995" i="1"/>
  <c r="E8996" i="1"/>
  <c r="B8996" i="1"/>
  <c r="E8997" i="1"/>
  <c r="B8997" i="1"/>
  <c r="E8998" i="1"/>
  <c r="B8998" i="1"/>
  <c r="E8999" i="1"/>
  <c r="B8999" i="1"/>
  <c r="E9000" i="1"/>
  <c r="B9000" i="1"/>
  <c r="E9001" i="1"/>
  <c r="B9001" i="1"/>
  <c r="E9002" i="1"/>
  <c r="B9002" i="1"/>
  <c r="E9003" i="1"/>
  <c r="B9003" i="1"/>
  <c r="E9004" i="1"/>
  <c r="B9004" i="1"/>
  <c r="E9005" i="1"/>
  <c r="B9005" i="1"/>
  <c r="E9006" i="1"/>
  <c r="B9006" i="1"/>
  <c r="E9007" i="1"/>
  <c r="B9007" i="1"/>
  <c r="E9008" i="1"/>
  <c r="B9008" i="1"/>
  <c r="E9009" i="1"/>
  <c r="B9009" i="1"/>
  <c r="E9010" i="1"/>
  <c r="B9010" i="1"/>
  <c r="E9011" i="1"/>
  <c r="B9011" i="1"/>
  <c r="E9012" i="1"/>
  <c r="B9012" i="1"/>
  <c r="E9013" i="1"/>
  <c r="B9013" i="1"/>
  <c r="E9014" i="1"/>
  <c r="B9014" i="1"/>
  <c r="E9015" i="1"/>
  <c r="B9015" i="1"/>
  <c r="E9016" i="1"/>
  <c r="B9016" i="1"/>
  <c r="E9017" i="1"/>
  <c r="B9017" i="1"/>
  <c r="E9018" i="1"/>
  <c r="B9018" i="1"/>
  <c r="E9019" i="1"/>
  <c r="B9019" i="1"/>
  <c r="E9020" i="1"/>
  <c r="B9020" i="1"/>
  <c r="E9021" i="1"/>
  <c r="B9021" i="1"/>
  <c r="E9022" i="1"/>
  <c r="B9022" i="1"/>
  <c r="E9023" i="1"/>
  <c r="B9023" i="1"/>
  <c r="E9024" i="1"/>
  <c r="B9024" i="1"/>
  <c r="E9025" i="1"/>
  <c r="B9025" i="1"/>
  <c r="E9026" i="1"/>
  <c r="B9026" i="1"/>
  <c r="E9027" i="1"/>
  <c r="B9027" i="1"/>
  <c r="E9028" i="1"/>
  <c r="B9028" i="1"/>
  <c r="E9029" i="1"/>
  <c r="B9029" i="1"/>
  <c r="E9030" i="1"/>
  <c r="B9030" i="1"/>
  <c r="E9031" i="1"/>
  <c r="B9031" i="1"/>
  <c r="E9032" i="1"/>
  <c r="B9032" i="1"/>
  <c r="E9033" i="1"/>
  <c r="B9033" i="1"/>
  <c r="E9034" i="1"/>
  <c r="B9034" i="1"/>
  <c r="E9035" i="1"/>
  <c r="B9035" i="1"/>
  <c r="E9037" i="1"/>
  <c r="B9037" i="1"/>
  <c r="E9036" i="1"/>
  <c r="B9036" i="1"/>
  <c r="E9038" i="1"/>
  <c r="B9038" i="1"/>
  <c r="E9039" i="1"/>
  <c r="B9039" i="1"/>
  <c r="E9040" i="1"/>
  <c r="B9040" i="1"/>
  <c r="E9041" i="1"/>
  <c r="B9041" i="1"/>
  <c r="E9042" i="1"/>
  <c r="B9042" i="1"/>
  <c r="E9043" i="1"/>
  <c r="B9043" i="1"/>
  <c r="E9044" i="1"/>
  <c r="B9044" i="1"/>
  <c r="E9045" i="1"/>
  <c r="B9045" i="1"/>
  <c r="E9046" i="1"/>
  <c r="B9046" i="1"/>
  <c r="E9047" i="1"/>
  <c r="B9047" i="1"/>
  <c r="E9048" i="1"/>
  <c r="B9048" i="1"/>
  <c r="E9049" i="1"/>
  <c r="B9049" i="1"/>
  <c r="E9050" i="1"/>
  <c r="B9050" i="1"/>
  <c r="E9051" i="1"/>
  <c r="B9051" i="1"/>
  <c r="E9052" i="1"/>
  <c r="B9052" i="1"/>
  <c r="E9054" i="1"/>
  <c r="B9054" i="1"/>
  <c r="E9053" i="1"/>
  <c r="B9053" i="1"/>
  <c r="E9055" i="1"/>
  <c r="B9055" i="1"/>
  <c r="E9056" i="1"/>
  <c r="B9056" i="1"/>
  <c r="E9057" i="1"/>
  <c r="B9057" i="1"/>
  <c r="E9058" i="1"/>
  <c r="B9058" i="1"/>
  <c r="E9059" i="1"/>
  <c r="B9059" i="1"/>
  <c r="E9060" i="1"/>
  <c r="B9060" i="1"/>
  <c r="E9061" i="1"/>
  <c r="B9061" i="1"/>
  <c r="E9062" i="1"/>
  <c r="B9062" i="1"/>
  <c r="E9063" i="1"/>
  <c r="B9063" i="1"/>
  <c r="E9064" i="1"/>
  <c r="B9064" i="1"/>
  <c r="E9065" i="1"/>
  <c r="B9065" i="1"/>
  <c r="E9066" i="1"/>
  <c r="B9066" i="1"/>
  <c r="E9067" i="1"/>
  <c r="B9067" i="1"/>
  <c r="E9068" i="1"/>
  <c r="B9068" i="1"/>
  <c r="E9069" i="1"/>
  <c r="B9069" i="1"/>
  <c r="E9070" i="1"/>
  <c r="B9070" i="1"/>
  <c r="E9071" i="1"/>
  <c r="B9071" i="1"/>
  <c r="E9072" i="1"/>
  <c r="B9072" i="1"/>
  <c r="E9073" i="1"/>
  <c r="B9073" i="1"/>
  <c r="E9075" i="1"/>
  <c r="B9075" i="1"/>
  <c r="E9074" i="1"/>
  <c r="B9074" i="1"/>
  <c r="E9076" i="1"/>
  <c r="B9076" i="1"/>
  <c r="E9077" i="1"/>
  <c r="B9077" i="1"/>
  <c r="E9078" i="1"/>
  <c r="B9078" i="1"/>
  <c r="E9079" i="1"/>
  <c r="B9079" i="1"/>
  <c r="E9080" i="1"/>
  <c r="B9080" i="1"/>
  <c r="E9081" i="1"/>
  <c r="B9081" i="1"/>
  <c r="E9082" i="1"/>
  <c r="B9082" i="1"/>
  <c r="E9083" i="1"/>
  <c r="B9083" i="1"/>
  <c r="E9084" i="1"/>
  <c r="B9084" i="1"/>
  <c r="E9085" i="1"/>
  <c r="B9085" i="1"/>
  <c r="E9086" i="1"/>
  <c r="B9086" i="1"/>
  <c r="E9087" i="1"/>
  <c r="B9087" i="1"/>
  <c r="E9088" i="1"/>
  <c r="B9088" i="1"/>
  <c r="E9089" i="1"/>
  <c r="B9089" i="1"/>
  <c r="E9090" i="1"/>
  <c r="B9090" i="1"/>
  <c r="E9091" i="1"/>
  <c r="B9091" i="1"/>
  <c r="E9092" i="1"/>
  <c r="B9092" i="1"/>
  <c r="E9093" i="1"/>
  <c r="B9093" i="1"/>
  <c r="E9094" i="1"/>
  <c r="B9094" i="1"/>
  <c r="E9095" i="1"/>
  <c r="B9095" i="1"/>
  <c r="E9096" i="1"/>
  <c r="B9096" i="1"/>
  <c r="E9097" i="1"/>
  <c r="B9097" i="1"/>
  <c r="E9099" i="1"/>
  <c r="B9099" i="1"/>
  <c r="E9098" i="1"/>
  <c r="B9098" i="1"/>
  <c r="E9100" i="1"/>
  <c r="B9100" i="1"/>
  <c r="E9101" i="1"/>
  <c r="B9101" i="1"/>
  <c r="E9102" i="1"/>
  <c r="B9102" i="1"/>
  <c r="E9103" i="1"/>
  <c r="B9103" i="1"/>
  <c r="E9104" i="1"/>
  <c r="B9104" i="1"/>
  <c r="E9105" i="1"/>
  <c r="B9105" i="1"/>
  <c r="E9106" i="1"/>
  <c r="B9106" i="1"/>
  <c r="E9107" i="1"/>
  <c r="B9107" i="1"/>
  <c r="E9108" i="1"/>
  <c r="B9108" i="1"/>
  <c r="E9109" i="1"/>
  <c r="B9109" i="1"/>
  <c r="E9110" i="1"/>
  <c r="B9110" i="1"/>
  <c r="E9111" i="1"/>
  <c r="B9111" i="1"/>
  <c r="E9112" i="1"/>
  <c r="B9112" i="1"/>
  <c r="E9113" i="1"/>
  <c r="B9113" i="1"/>
  <c r="E9114" i="1"/>
  <c r="B9114" i="1"/>
  <c r="E9115" i="1"/>
  <c r="B9115" i="1"/>
  <c r="E9116" i="1"/>
  <c r="B9116" i="1"/>
  <c r="E9117" i="1"/>
  <c r="B9117" i="1"/>
  <c r="E9118" i="1"/>
  <c r="B9118" i="1"/>
  <c r="E9119" i="1"/>
  <c r="B9119" i="1"/>
  <c r="E9120" i="1"/>
  <c r="B9120" i="1"/>
  <c r="E9121" i="1"/>
  <c r="B9121" i="1"/>
  <c r="E9122" i="1"/>
  <c r="B9122" i="1"/>
  <c r="E9123" i="1"/>
  <c r="B9123" i="1"/>
  <c r="E9124" i="1"/>
  <c r="B9124" i="1"/>
  <c r="E9125" i="1"/>
  <c r="B9125" i="1"/>
  <c r="E9126" i="1"/>
  <c r="B9126" i="1"/>
  <c r="E9127" i="1"/>
  <c r="B9127" i="1"/>
  <c r="E9128" i="1"/>
  <c r="B9128" i="1"/>
  <c r="E9130" i="1"/>
  <c r="B9130" i="1"/>
  <c r="E9129" i="1"/>
  <c r="B9129" i="1"/>
  <c r="E9131" i="1"/>
  <c r="B9131" i="1"/>
  <c r="E9132" i="1"/>
  <c r="B9132" i="1"/>
  <c r="E9133" i="1"/>
  <c r="B9133" i="1"/>
  <c r="E9134" i="1"/>
  <c r="B9134" i="1"/>
  <c r="E9135" i="1"/>
  <c r="B9135" i="1"/>
  <c r="E9136" i="1"/>
  <c r="B9136" i="1"/>
  <c r="E9137" i="1"/>
  <c r="B9137" i="1"/>
  <c r="E9138" i="1"/>
  <c r="B9138" i="1"/>
  <c r="E9139" i="1"/>
  <c r="B9139" i="1"/>
  <c r="E9140" i="1"/>
  <c r="B9140" i="1"/>
  <c r="E9141" i="1"/>
  <c r="B9141" i="1"/>
  <c r="E9142" i="1"/>
  <c r="B9142" i="1"/>
  <c r="E9143" i="1"/>
  <c r="B9143" i="1"/>
  <c r="E9144" i="1"/>
  <c r="B9144" i="1"/>
  <c r="E9145" i="1"/>
  <c r="B9145" i="1"/>
  <c r="E9146" i="1"/>
  <c r="B9146" i="1"/>
  <c r="E9147" i="1"/>
  <c r="B9147" i="1"/>
  <c r="E9148" i="1"/>
  <c r="B9148" i="1"/>
  <c r="E9149" i="1"/>
  <c r="B9149" i="1"/>
  <c r="E9150" i="1"/>
  <c r="B9150" i="1"/>
  <c r="E9151" i="1"/>
  <c r="B9151" i="1"/>
  <c r="E9152" i="1"/>
  <c r="B9152" i="1"/>
  <c r="E9153" i="1"/>
  <c r="B9153" i="1"/>
  <c r="E9154" i="1"/>
  <c r="B9154" i="1"/>
  <c r="E9155" i="1"/>
  <c r="B9155" i="1"/>
  <c r="E9156" i="1"/>
  <c r="B9156" i="1"/>
  <c r="E9157" i="1"/>
  <c r="B9157" i="1"/>
  <c r="E9158" i="1"/>
  <c r="B9158" i="1"/>
  <c r="E9159" i="1"/>
  <c r="B9159" i="1"/>
  <c r="E9160" i="1"/>
  <c r="B9160" i="1"/>
  <c r="E9161" i="1"/>
  <c r="B9161" i="1"/>
  <c r="E9162" i="1"/>
  <c r="B9162" i="1"/>
  <c r="E9163" i="1"/>
  <c r="B9163" i="1"/>
  <c r="E9164" i="1"/>
  <c r="B9164" i="1"/>
  <c r="E9165" i="1"/>
  <c r="B9165" i="1"/>
  <c r="E9166" i="1"/>
  <c r="B9166" i="1"/>
  <c r="E9167" i="1"/>
  <c r="B9167" i="1"/>
  <c r="E9168" i="1"/>
  <c r="B9168" i="1"/>
  <c r="E9169" i="1"/>
  <c r="B9169" i="1"/>
  <c r="E9170" i="1"/>
  <c r="B9170" i="1"/>
  <c r="E9171" i="1"/>
  <c r="B9171" i="1"/>
  <c r="E9172" i="1"/>
  <c r="B9172" i="1"/>
  <c r="E9173" i="1"/>
  <c r="B9173" i="1"/>
  <c r="E9174" i="1"/>
  <c r="B9174" i="1"/>
  <c r="E9175" i="1"/>
  <c r="B9175" i="1"/>
  <c r="E9176" i="1"/>
  <c r="B9176" i="1"/>
  <c r="E9177" i="1"/>
  <c r="B9177" i="1"/>
  <c r="E9178" i="1"/>
  <c r="B9178" i="1"/>
  <c r="E9179" i="1"/>
  <c r="B9179" i="1"/>
  <c r="E9180" i="1"/>
  <c r="B9180" i="1"/>
  <c r="E9181" i="1"/>
  <c r="B9181" i="1"/>
  <c r="E9182" i="1"/>
  <c r="B9182" i="1"/>
  <c r="E9183" i="1"/>
  <c r="B9183" i="1"/>
  <c r="E9184" i="1"/>
  <c r="B9184" i="1"/>
  <c r="E9185" i="1"/>
  <c r="B9185" i="1"/>
  <c r="E9186" i="1"/>
  <c r="B9186" i="1"/>
  <c r="E9187" i="1"/>
  <c r="B9187" i="1"/>
  <c r="E9188" i="1"/>
  <c r="B9188" i="1"/>
  <c r="E9189" i="1"/>
  <c r="B9189" i="1"/>
  <c r="E9190" i="1"/>
  <c r="B9190" i="1"/>
  <c r="E9191" i="1"/>
  <c r="B9191" i="1"/>
  <c r="E9192" i="1"/>
  <c r="B9192" i="1"/>
  <c r="E9193" i="1"/>
  <c r="B9193" i="1"/>
  <c r="E9194" i="1"/>
  <c r="B9194" i="1"/>
  <c r="E9195" i="1"/>
  <c r="B9195" i="1"/>
  <c r="E9196" i="1"/>
  <c r="B9196" i="1"/>
  <c r="E9197" i="1"/>
  <c r="B9197" i="1"/>
  <c r="E9198" i="1"/>
  <c r="B9198" i="1"/>
  <c r="E9199" i="1"/>
  <c r="B9199" i="1"/>
  <c r="E9200" i="1"/>
  <c r="B9200" i="1"/>
  <c r="E9201" i="1"/>
  <c r="B9201" i="1"/>
  <c r="E9202" i="1"/>
  <c r="B9202" i="1"/>
  <c r="E9203" i="1"/>
  <c r="B9203" i="1"/>
  <c r="E9204" i="1"/>
  <c r="B9204" i="1"/>
  <c r="E9205" i="1"/>
  <c r="B9205" i="1"/>
  <c r="E9206" i="1"/>
  <c r="B9206" i="1"/>
  <c r="E9207" i="1"/>
  <c r="B9207" i="1"/>
  <c r="E9208" i="1"/>
  <c r="B9208" i="1"/>
  <c r="E9209" i="1"/>
  <c r="B9209" i="1"/>
  <c r="E9210" i="1"/>
  <c r="B9210" i="1"/>
  <c r="E9211" i="1"/>
  <c r="B9211" i="1"/>
  <c r="E9212" i="1"/>
  <c r="B9212" i="1"/>
  <c r="E9213" i="1"/>
  <c r="B9213" i="1"/>
  <c r="E9214" i="1"/>
  <c r="B9214" i="1"/>
  <c r="E9215" i="1"/>
  <c r="B9215" i="1"/>
  <c r="E9216" i="1"/>
  <c r="B9216" i="1"/>
  <c r="E9217" i="1"/>
  <c r="B9217" i="1"/>
  <c r="E9218" i="1"/>
  <c r="B9218" i="1"/>
  <c r="E9219" i="1"/>
  <c r="B9219" i="1"/>
  <c r="E9221" i="1"/>
  <c r="B9221" i="1"/>
  <c r="E9220" i="1"/>
  <c r="B9220" i="1"/>
  <c r="E9222" i="1"/>
  <c r="B9222" i="1"/>
  <c r="E9223" i="1"/>
  <c r="B9223" i="1"/>
  <c r="E9224" i="1"/>
  <c r="B9224" i="1"/>
  <c r="E9225" i="1"/>
  <c r="B9225" i="1"/>
  <c r="E9226" i="1"/>
  <c r="B9226" i="1"/>
  <c r="E9227" i="1"/>
  <c r="B9227" i="1"/>
  <c r="E9228" i="1"/>
  <c r="B9228" i="1"/>
  <c r="E9229" i="1"/>
  <c r="B9229" i="1"/>
  <c r="E9230" i="1"/>
  <c r="B9230" i="1"/>
  <c r="E9231" i="1"/>
  <c r="B9231" i="1"/>
  <c r="E9232" i="1"/>
  <c r="B9232" i="1"/>
  <c r="E9233" i="1"/>
  <c r="B9233" i="1"/>
  <c r="E9234" i="1"/>
  <c r="B9234" i="1"/>
  <c r="E9235" i="1"/>
  <c r="B9235" i="1"/>
  <c r="E9236" i="1"/>
  <c r="B9236" i="1"/>
  <c r="E9237" i="1"/>
  <c r="B9237" i="1"/>
  <c r="E9238" i="1"/>
  <c r="B9238" i="1"/>
  <c r="E9239" i="1"/>
  <c r="B9239" i="1"/>
  <c r="E9240" i="1"/>
  <c r="B9240" i="1"/>
  <c r="E9241" i="1"/>
  <c r="B9241" i="1"/>
  <c r="E9243" i="1"/>
  <c r="B9243" i="1"/>
  <c r="E9242" i="1"/>
  <c r="B9242" i="1"/>
  <c r="E9244" i="1"/>
  <c r="B9244" i="1"/>
  <c r="E9245" i="1"/>
  <c r="B9245" i="1"/>
  <c r="E9246" i="1"/>
  <c r="B9246" i="1"/>
  <c r="E9247" i="1"/>
  <c r="B9247" i="1"/>
  <c r="E9248" i="1"/>
  <c r="B9248" i="1"/>
  <c r="E9249" i="1"/>
  <c r="B9249" i="1"/>
  <c r="E9250" i="1"/>
  <c r="B9250" i="1"/>
  <c r="E9251" i="1"/>
  <c r="B9251" i="1"/>
  <c r="E9252" i="1"/>
  <c r="B9252" i="1"/>
  <c r="E9253" i="1"/>
  <c r="B9253" i="1"/>
  <c r="E9254" i="1"/>
  <c r="B9254" i="1"/>
  <c r="E9255" i="1"/>
  <c r="B9255" i="1"/>
  <c r="E9256" i="1"/>
  <c r="B9256" i="1"/>
  <c r="E9257" i="1"/>
  <c r="B9257" i="1"/>
  <c r="E9258" i="1"/>
  <c r="B9258" i="1"/>
  <c r="E9259" i="1"/>
  <c r="B9259" i="1"/>
  <c r="E9260" i="1"/>
  <c r="B9260" i="1"/>
  <c r="E9261" i="1"/>
  <c r="B9261" i="1"/>
  <c r="E9262" i="1"/>
  <c r="B9262" i="1"/>
  <c r="E9263" i="1"/>
  <c r="B9263" i="1"/>
  <c r="E9264" i="1"/>
  <c r="B9264" i="1"/>
  <c r="E9265" i="1"/>
  <c r="B9265" i="1"/>
  <c r="E9266" i="1"/>
  <c r="B9266" i="1"/>
  <c r="E9267" i="1"/>
  <c r="B9267" i="1"/>
  <c r="E9268" i="1"/>
  <c r="B9268" i="1"/>
  <c r="E9269" i="1"/>
  <c r="B9269" i="1"/>
  <c r="E9270" i="1"/>
  <c r="B9270" i="1"/>
  <c r="E9271" i="1"/>
  <c r="B9271" i="1"/>
  <c r="E9272" i="1"/>
  <c r="B9272" i="1"/>
  <c r="E9273" i="1"/>
  <c r="B9273" i="1"/>
  <c r="E9274" i="1"/>
  <c r="B9274" i="1"/>
  <c r="E9275" i="1"/>
  <c r="B9275" i="1"/>
  <c r="E9276" i="1"/>
  <c r="B9276" i="1"/>
  <c r="E9277" i="1"/>
  <c r="B9277" i="1"/>
  <c r="E9278" i="1"/>
  <c r="B9278" i="1"/>
  <c r="E9279" i="1"/>
  <c r="B9279" i="1"/>
  <c r="E9280" i="1"/>
  <c r="B9280" i="1"/>
  <c r="E9281" i="1"/>
  <c r="B9281" i="1"/>
  <c r="E9282" i="1"/>
  <c r="B9282" i="1"/>
  <c r="E9283" i="1"/>
  <c r="B9283" i="1"/>
  <c r="E9284" i="1"/>
  <c r="B9284" i="1"/>
  <c r="E9285" i="1"/>
  <c r="B9285" i="1"/>
  <c r="E9286" i="1"/>
  <c r="B9286" i="1"/>
  <c r="E9287" i="1"/>
  <c r="B9287" i="1"/>
  <c r="E9288" i="1"/>
  <c r="B9288" i="1"/>
  <c r="E9289" i="1"/>
  <c r="B9289" i="1"/>
  <c r="E9290" i="1"/>
  <c r="B9290" i="1"/>
  <c r="E9291" i="1"/>
  <c r="B9291" i="1"/>
  <c r="E9292" i="1"/>
  <c r="B9292" i="1"/>
  <c r="E9293" i="1"/>
  <c r="B9293" i="1"/>
  <c r="E9294" i="1"/>
  <c r="B9294" i="1"/>
  <c r="E9295" i="1"/>
  <c r="B9295" i="1"/>
  <c r="E9296" i="1"/>
  <c r="B9296" i="1"/>
  <c r="E9297" i="1"/>
  <c r="B9297" i="1"/>
  <c r="E9298" i="1"/>
  <c r="B9298" i="1"/>
  <c r="E9299" i="1"/>
  <c r="B9299" i="1"/>
  <c r="E9300" i="1"/>
  <c r="B9300" i="1"/>
  <c r="E9301" i="1"/>
  <c r="B9301" i="1"/>
  <c r="E9302" i="1"/>
  <c r="B9302" i="1"/>
  <c r="E9303" i="1"/>
  <c r="B9303" i="1"/>
  <c r="E9304" i="1"/>
  <c r="B9304" i="1"/>
  <c r="E9305" i="1"/>
  <c r="B9305" i="1"/>
  <c r="E9306" i="1"/>
  <c r="B9306" i="1"/>
  <c r="E9307" i="1"/>
  <c r="B9307" i="1"/>
  <c r="E9308" i="1"/>
  <c r="B9308" i="1"/>
  <c r="E9309" i="1"/>
  <c r="B9309" i="1"/>
  <c r="E9310" i="1"/>
  <c r="B9310" i="1"/>
  <c r="E9311" i="1"/>
  <c r="B9311" i="1"/>
  <c r="E9312" i="1"/>
  <c r="B9312" i="1"/>
  <c r="E9313" i="1"/>
  <c r="B9313" i="1"/>
  <c r="E9314" i="1"/>
  <c r="B9314" i="1"/>
  <c r="E9315" i="1"/>
  <c r="B9315" i="1"/>
  <c r="E9316" i="1"/>
  <c r="B9316" i="1"/>
  <c r="E9317" i="1"/>
  <c r="B9317" i="1"/>
  <c r="E9318" i="1"/>
  <c r="B9318" i="1"/>
  <c r="E9319" i="1"/>
  <c r="B9319" i="1"/>
  <c r="E9320" i="1"/>
  <c r="B9320" i="1"/>
  <c r="E9321" i="1"/>
  <c r="B9321" i="1"/>
  <c r="E9322" i="1"/>
  <c r="B9322" i="1"/>
  <c r="E9323" i="1"/>
  <c r="B9323" i="1"/>
  <c r="E9324" i="1"/>
  <c r="B9324" i="1"/>
  <c r="E9325" i="1"/>
  <c r="B9325" i="1"/>
  <c r="E9326" i="1"/>
  <c r="B9326" i="1"/>
  <c r="E9327" i="1"/>
  <c r="B9327" i="1"/>
  <c r="E9328" i="1"/>
  <c r="B9328" i="1"/>
  <c r="E9329" i="1"/>
  <c r="B9329" i="1"/>
  <c r="E9330" i="1"/>
  <c r="B9330" i="1"/>
  <c r="E9331" i="1"/>
  <c r="B9331" i="1"/>
  <c r="E9332" i="1"/>
  <c r="B9332" i="1"/>
  <c r="E9333" i="1"/>
  <c r="B9333" i="1"/>
  <c r="E9334" i="1"/>
  <c r="B9334" i="1"/>
  <c r="E9335" i="1"/>
  <c r="B9335" i="1"/>
  <c r="E9336" i="1"/>
  <c r="B9336" i="1"/>
  <c r="E9337" i="1"/>
  <c r="B9337" i="1"/>
  <c r="E9338" i="1"/>
  <c r="B9338" i="1"/>
  <c r="E9339" i="1"/>
  <c r="B9339" i="1"/>
  <c r="E9340" i="1"/>
  <c r="B9340" i="1"/>
  <c r="E9341" i="1"/>
  <c r="B9341" i="1"/>
  <c r="E9342" i="1"/>
  <c r="B9342" i="1"/>
  <c r="E9343" i="1"/>
  <c r="B9343" i="1"/>
  <c r="E9344" i="1"/>
  <c r="B9344" i="1"/>
  <c r="E9345" i="1"/>
  <c r="B9345" i="1"/>
  <c r="E9346" i="1"/>
  <c r="B9346" i="1"/>
  <c r="E9347" i="1"/>
  <c r="B9347" i="1"/>
  <c r="E9348" i="1"/>
  <c r="B9348" i="1"/>
  <c r="E9349" i="1"/>
  <c r="B9349" i="1"/>
  <c r="E9350" i="1"/>
  <c r="B9350" i="1"/>
  <c r="E9351" i="1"/>
  <c r="B9351" i="1"/>
  <c r="E9352" i="1"/>
  <c r="B9352" i="1"/>
  <c r="E9353" i="1"/>
  <c r="B9353" i="1"/>
  <c r="E9354" i="1"/>
  <c r="B9354" i="1"/>
  <c r="E9355" i="1"/>
  <c r="B9355" i="1"/>
  <c r="E9356" i="1"/>
  <c r="B9356" i="1"/>
  <c r="E9357" i="1"/>
  <c r="B9357" i="1"/>
  <c r="E9358" i="1"/>
  <c r="B9358" i="1"/>
  <c r="E9359" i="1"/>
  <c r="B9359" i="1"/>
  <c r="E9360" i="1"/>
  <c r="B9360" i="1"/>
  <c r="E9361" i="1"/>
  <c r="B9361" i="1"/>
  <c r="E9362" i="1"/>
  <c r="B9362" i="1"/>
  <c r="E9363" i="1"/>
  <c r="B9363" i="1"/>
  <c r="E9364" i="1"/>
  <c r="B9364" i="1"/>
  <c r="E9366" i="1"/>
  <c r="B9366" i="1"/>
  <c r="E9365" i="1"/>
  <c r="B9365" i="1"/>
  <c r="E9367" i="1"/>
  <c r="B9367" i="1"/>
  <c r="E9368" i="1"/>
  <c r="B9368" i="1"/>
  <c r="E9369" i="1"/>
  <c r="B9369" i="1"/>
  <c r="E9370" i="1"/>
  <c r="B9370" i="1"/>
  <c r="E9371" i="1"/>
  <c r="B9371" i="1"/>
  <c r="E9372" i="1"/>
  <c r="B9372" i="1"/>
  <c r="E9373" i="1"/>
  <c r="B9373" i="1"/>
  <c r="E9374" i="1"/>
  <c r="B9374" i="1"/>
  <c r="E9375" i="1"/>
  <c r="B9375" i="1"/>
  <c r="E9376" i="1"/>
  <c r="B9376" i="1"/>
  <c r="E9377" i="1"/>
  <c r="B9377" i="1"/>
  <c r="E9378" i="1"/>
  <c r="B9378" i="1"/>
  <c r="E9379" i="1"/>
  <c r="B9379" i="1"/>
  <c r="E9380" i="1"/>
  <c r="B9380" i="1"/>
  <c r="E9381" i="1"/>
  <c r="B9381" i="1"/>
  <c r="E9382" i="1"/>
  <c r="B9382" i="1"/>
  <c r="E9383" i="1"/>
  <c r="B9383" i="1"/>
  <c r="E9384" i="1"/>
  <c r="B9384" i="1"/>
  <c r="E9385" i="1"/>
  <c r="B9385" i="1"/>
  <c r="E9386" i="1"/>
  <c r="B9386" i="1"/>
  <c r="E9387" i="1"/>
  <c r="B9387" i="1"/>
  <c r="E9388" i="1"/>
  <c r="B9388" i="1"/>
  <c r="E9389" i="1"/>
  <c r="B9389" i="1"/>
  <c r="E9390" i="1"/>
  <c r="B9390" i="1"/>
  <c r="E9391" i="1"/>
  <c r="B9391" i="1"/>
  <c r="E9392" i="1"/>
  <c r="B9392" i="1"/>
  <c r="E9393" i="1"/>
  <c r="B9393" i="1"/>
  <c r="E9394" i="1"/>
  <c r="B9394" i="1"/>
  <c r="E9395" i="1"/>
  <c r="B9395" i="1"/>
  <c r="E9396" i="1"/>
  <c r="B9396" i="1"/>
  <c r="E9397" i="1"/>
  <c r="B9397" i="1"/>
  <c r="E9398" i="1"/>
  <c r="B9398" i="1"/>
  <c r="E9399" i="1"/>
  <c r="B9399" i="1"/>
  <c r="E9400" i="1"/>
  <c r="B9400" i="1"/>
  <c r="E9401" i="1"/>
  <c r="B9401" i="1"/>
  <c r="E9402" i="1"/>
  <c r="B9402" i="1"/>
  <c r="E9403" i="1"/>
  <c r="B9403" i="1"/>
  <c r="E9404" i="1"/>
  <c r="B9404" i="1"/>
  <c r="E9405" i="1"/>
  <c r="B9405" i="1"/>
  <c r="E9406" i="1"/>
  <c r="B9406" i="1"/>
  <c r="E9407" i="1"/>
  <c r="B9407" i="1"/>
  <c r="E9408" i="1"/>
  <c r="B9408" i="1"/>
  <c r="E9409" i="1"/>
  <c r="B9409" i="1"/>
  <c r="E9410" i="1"/>
  <c r="B9410" i="1"/>
  <c r="E9411" i="1"/>
  <c r="B9411" i="1"/>
  <c r="E9412" i="1"/>
  <c r="B9412" i="1"/>
  <c r="E9413" i="1"/>
  <c r="B9413" i="1"/>
  <c r="E9414" i="1"/>
  <c r="B9414" i="1"/>
  <c r="E9415" i="1"/>
  <c r="B9415" i="1"/>
  <c r="E9416" i="1"/>
  <c r="B9416" i="1"/>
  <c r="E9417" i="1"/>
  <c r="B9417" i="1"/>
  <c r="E9418" i="1"/>
  <c r="B9418" i="1"/>
  <c r="E9419" i="1"/>
  <c r="B9419" i="1"/>
  <c r="E9420" i="1"/>
  <c r="B9420" i="1"/>
  <c r="E9421" i="1"/>
  <c r="B9421" i="1"/>
  <c r="E9422" i="1"/>
  <c r="B9422" i="1"/>
  <c r="E9423" i="1"/>
  <c r="B9423" i="1"/>
  <c r="E9424" i="1"/>
  <c r="B9424" i="1"/>
  <c r="E9425" i="1"/>
  <c r="B9425" i="1"/>
  <c r="E9426" i="1"/>
  <c r="B9426" i="1"/>
  <c r="E9427" i="1"/>
  <c r="B9427" i="1"/>
  <c r="E9428" i="1"/>
  <c r="B9428" i="1"/>
  <c r="E9429" i="1"/>
  <c r="B9429" i="1"/>
  <c r="E9430" i="1"/>
  <c r="B9430" i="1"/>
  <c r="E9431" i="1"/>
  <c r="B9431" i="1"/>
  <c r="E9432" i="1"/>
  <c r="B9432" i="1"/>
  <c r="E9433" i="1"/>
  <c r="B9433" i="1"/>
  <c r="E9434" i="1"/>
  <c r="B9434" i="1"/>
  <c r="E9435" i="1"/>
  <c r="B9435" i="1"/>
  <c r="E9436" i="1"/>
  <c r="B9436" i="1"/>
  <c r="E9437" i="1"/>
  <c r="B9437" i="1"/>
  <c r="E9438" i="1"/>
  <c r="B9438" i="1"/>
  <c r="E9439" i="1"/>
  <c r="B9439" i="1"/>
  <c r="E9440" i="1"/>
  <c r="B9440" i="1"/>
  <c r="E9441" i="1"/>
  <c r="B9441" i="1"/>
  <c r="E9442" i="1"/>
  <c r="B9442" i="1"/>
  <c r="E9443" i="1"/>
  <c r="B9443" i="1"/>
  <c r="E9444" i="1"/>
  <c r="B9444" i="1"/>
  <c r="E9445" i="1"/>
  <c r="B9445" i="1"/>
  <c r="E9446" i="1"/>
  <c r="B9446" i="1"/>
  <c r="E9447" i="1"/>
  <c r="B9447" i="1"/>
  <c r="E9448" i="1"/>
  <c r="B9448" i="1"/>
  <c r="E9449" i="1"/>
  <c r="B9449" i="1"/>
  <c r="E9450" i="1"/>
  <c r="B9450" i="1"/>
  <c r="E9451" i="1"/>
  <c r="B9451" i="1"/>
  <c r="E9452" i="1"/>
  <c r="B9452" i="1"/>
  <c r="E9453" i="1"/>
  <c r="B9453" i="1"/>
  <c r="E9454" i="1"/>
  <c r="B9454" i="1"/>
  <c r="E9455" i="1"/>
  <c r="B9455" i="1"/>
  <c r="E9456" i="1"/>
  <c r="B9456" i="1"/>
  <c r="E9457" i="1"/>
  <c r="B9457" i="1"/>
  <c r="E9458" i="1"/>
  <c r="B9458" i="1"/>
  <c r="E9459" i="1"/>
  <c r="B9459" i="1"/>
  <c r="E9460" i="1"/>
  <c r="B9460" i="1"/>
  <c r="E9461" i="1"/>
  <c r="B9461" i="1"/>
  <c r="E9462" i="1"/>
  <c r="B9462" i="1"/>
  <c r="E9463" i="1"/>
  <c r="B9463" i="1"/>
  <c r="E9464" i="1"/>
  <c r="B9464" i="1"/>
  <c r="E9465" i="1"/>
  <c r="B9465" i="1"/>
  <c r="E9466" i="1"/>
  <c r="B9466" i="1"/>
  <c r="E9467" i="1"/>
  <c r="B9467" i="1"/>
  <c r="E9468" i="1"/>
  <c r="B9468" i="1"/>
  <c r="E9469" i="1"/>
  <c r="B9469" i="1"/>
  <c r="E9470" i="1"/>
  <c r="B9470" i="1"/>
  <c r="E9471" i="1"/>
  <c r="B9471" i="1"/>
  <c r="E9472" i="1"/>
  <c r="B9472" i="1"/>
  <c r="E9473" i="1"/>
  <c r="B9473" i="1"/>
  <c r="E9474" i="1"/>
  <c r="B9474" i="1"/>
  <c r="E9475" i="1"/>
  <c r="B9475" i="1"/>
  <c r="E9476" i="1"/>
  <c r="B9476" i="1"/>
  <c r="E9477" i="1"/>
  <c r="B9477" i="1"/>
  <c r="E9478" i="1"/>
  <c r="B9478" i="1"/>
  <c r="E9479" i="1"/>
  <c r="B9479" i="1"/>
  <c r="E9480" i="1"/>
  <c r="B9480" i="1"/>
  <c r="E9481" i="1"/>
  <c r="B9481" i="1"/>
  <c r="E9482" i="1"/>
  <c r="B9482" i="1"/>
  <c r="E9483" i="1"/>
  <c r="B9483" i="1"/>
  <c r="E9484" i="1"/>
  <c r="B9484" i="1"/>
  <c r="E9485" i="1"/>
  <c r="B9485" i="1"/>
  <c r="E9486" i="1"/>
  <c r="B9486" i="1"/>
  <c r="E9487" i="1"/>
  <c r="B9487" i="1"/>
  <c r="E9488" i="1"/>
  <c r="B9488" i="1"/>
  <c r="E9489" i="1"/>
  <c r="B9489" i="1"/>
  <c r="E9490" i="1"/>
  <c r="B9490" i="1"/>
  <c r="E9491" i="1"/>
  <c r="B9491" i="1"/>
  <c r="E9492" i="1"/>
  <c r="B9492" i="1"/>
  <c r="E9493" i="1"/>
  <c r="B9493" i="1"/>
  <c r="E9494" i="1"/>
  <c r="B9494" i="1"/>
  <c r="E9495" i="1"/>
  <c r="B9495" i="1"/>
  <c r="E9496" i="1"/>
  <c r="B9496" i="1"/>
  <c r="E9497" i="1"/>
  <c r="B9497" i="1"/>
  <c r="E9498" i="1"/>
  <c r="B9498" i="1"/>
  <c r="E9499" i="1"/>
  <c r="B9499" i="1"/>
  <c r="E9500" i="1"/>
  <c r="B9500" i="1"/>
  <c r="E9501" i="1"/>
  <c r="B9501" i="1"/>
  <c r="E9502" i="1"/>
  <c r="B9502" i="1"/>
  <c r="E9503" i="1"/>
  <c r="B9503" i="1"/>
  <c r="E9504" i="1"/>
  <c r="B9504" i="1"/>
  <c r="E9505" i="1"/>
  <c r="B9505" i="1"/>
  <c r="E9506" i="1"/>
  <c r="B9506" i="1"/>
  <c r="E9507" i="1"/>
  <c r="B9507" i="1"/>
  <c r="E9508" i="1"/>
  <c r="B9508" i="1"/>
  <c r="E9509" i="1"/>
  <c r="B9509" i="1"/>
  <c r="E9510" i="1"/>
  <c r="B9510" i="1"/>
  <c r="E9511" i="1"/>
  <c r="B9511" i="1"/>
  <c r="E9512" i="1"/>
  <c r="B9512" i="1"/>
  <c r="E9513" i="1"/>
  <c r="B9513" i="1"/>
  <c r="E9514" i="1"/>
  <c r="B9514" i="1"/>
  <c r="E9515" i="1"/>
  <c r="B9515" i="1"/>
  <c r="E9516" i="1"/>
  <c r="B9516" i="1"/>
  <c r="E9517" i="1"/>
  <c r="B9517" i="1"/>
  <c r="E9518" i="1"/>
  <c r="B9518" i="1"/>
  <c r="E9519" i="1"/>
  <c r="B9519" i="1"/>
  <c r="E9520" i="1"/>
  <c r="B9520" i="1"/>
  <c r="E9521" i="1"/>
  <c r="B9521" i="1"/>
  <c r="E9522" i="1"/>
  <c r="B9522" i="1"/>
  <c r="E9523" i="1"/>
  <c r="B9523" i="1"/>
  <c r="E9524" i="1"/>
  <c r="B9524" i="1"/>
  <c r="E9525" i="1"/>
  <c r="B9525" i="1"/>
  <c r="E9526" i="1"/>
  <c r="B9526" i="1"/>
  <c r="E9527" i="1"/>
  <c r="B9527" i="1"/>
  <c r="E9528" i="1"/>
  <c r="B9528" i="1"/>
  <c r="E9529" i="1"/>
  <c r="B9529" i="1"/>
  <c r="E9530" i="1"/>
  <c r="B9530" i="1"/>
  <c r="E9531" i="1"/>
  <c r="B9531" i="1"/>
  <c r="E9532" i="1"/>
  <c r="B9532" i="1"/>
  <c r="E9533" i="1"/>
  <c r="B9533" i="1"/>
  <c r="E9534" i="1"/>
  <c r="B9534" i="1"/>
  <c r="E9535" i="1"/>
  <c r="B9535" i="1"/>
  <c r="E9536" i="1"/>
  <c r="B9536" i="1"/>
  <c r="E9537" i="1"/>
  <c r="B9537" i="1"/>
  <c r="E9538" i="1"/>
  <c r="B9538" i="1"/>
  <c r="E9539" i="1"/>
  <c r="B9539" i="1"/>
  <c r="E9540" i="1"/>
  <c r="B9540" i="1"/>
  <c r="E9541" i="1"/>
  <c r="B9541" i="1"/>
  <c r="E9542" i="1"/>
  <c r="B9542" i="1"/>
  <c r="E9543" i="1"/>
  <c r="B9543" i="1"/>
  <c r="E9544" i="1"/>
  <c r="B9544" i="1"/>
  <c r="E9545" i="1"/>
  <c r="B9545" i="1"/>
  <c r="E9546" i="1"/>
  <c r="B9546" i="1"/>
  <c r="E9547" i="1"/>
  <c r="B9547" i="1"/>
  <c r="E9548" i="1"/>
  <c r="B9548" i="1"/>
  <c r="E9549" i="1"/>
  <c r="B9549" i="1"/>
  <c r="E9550" i="1"/>
  <c r="B9550" i="1"/>
  <c r="E9551" i="1"/>
  <c r="B9551" i="1"/>
  <c r="E9552" i="1"/>
  <c r="B9552" i="1"/>
  <c r="E9553" i="1"/>
  <c r="B9553" i="1"/>
  <c r="E9554" i="1"/>
  <c r="B9554" i="1"/>
  <c r="E9555" i="1"/>
  <c r="B9555" i="1"/>
  <c r="E9556" i="1"/>
  <c r="B9556" i="1"/>
  <c r="E9557" i="1"/>
  <c r="B9557" i="1"/>
  <c r="E9558" i="1"/>
  <c r="B9558" i="1"/>
  <c r="E9559" i="1"/>
  <c r="B9559" i="1"/>
  <c r="E9560" i="1"/>
  <c r="B9560" i="1"/>
  <c r="E9561" i="1"/>
  <c r="B9561" i="1"/>
  <c r="E9562" i="1"/>
  <c r="B9562" i="1"/>
  <c r="E9563" i="1"/>
  <c r="B9563" i="1"/>
  <c r="E9564" i="1"/>
  <c r="B9564" i="1"/>
  <c r="E9565" i="1"/>
  <c r="B9565" i="1"/>
  <c r="E9566" i="1"/>
  <c r="B9566" i="1"/>
  <c r="E9567" i="1"/>
  <c r="B9567" i="1"/>
  <c r="E9568" i="1"/>
  <c r="B9568" i="1"/>
  <c r="E9569" i="1"/>
  <c r="B9569" i="1"/>
  <c r="E9570" i="1"/>
  <c r="B9570" i="1"/>
  <c r="E9571" i="1"/>
  <c r="B9571" i="1"/>
  <c r="E9572" i="1"/>
  <c r="B9572" i="1"/>
  <c r="E9573" i="1"/>
  <c r="B9573" i="1"/>
  <c r="E9574" i="1"/>
  <c r="B9574" i="1"/>
  <c r="E9575" i="1"/>
  <c r="B9575" i="1"/>
  <c r="E9576" i="1"/>
  <c r="B9576" i="1"/>
  <c r="E9577" i="1"/>
  <c r="B9577" i="1"/>
  <c r="E9578" i="1"/>
  <c r="B9578" i="1"/>
  <c r="E9579" i="1"/>
  <c r="B9579" i="1"/>
  <c r="E9580" i="1"/>
  <c r="B9580" i="1"/>
  <c r="E9581" i="1"/>
  <c r="B9581" i="1"/>
  <c r="E9582" i="1"/>
  <c r="B9582" i="1"/>
  <c r="E9583" i="1"/>
  <c r="B9583" i="1"/>
  <c r="E9584" i="1"/>
  <c r="B9584" i="1"/>
  <c r="E9585" i="1"/>
  <c r="B9585" i="1"/>
  <c r="E9586" i="1"/>
  <c r="B9586" i="1"/>
  <c r="E9587" i="1"/>
  <c r="B9587" i="1"/>
  <c r="E9588" i="1"/>
  <c r="B9588" i="1"/>
  <c r="E9589" i="1"/>
  <c r="B9589" i="1"/>
  <c r="E9590" i="1"/>
  <c r="B9590" i="1"/>
  <c r="E9591" i="1"/>
  <c r="B9591" i="1"/>
  <c r="E9592" i="1"/>
  <c r="B9592" i="1"/>
  <c r="E9593" i="1"/>
  <c r="B9593" i="1"/>
  <c r="E9594" i="1"/>
  <c r="B9594" i="1"/>
  <c r="E9595" i="1"/>
  <c r="B9595" i="1"/>
  <c r="E9596" i="1"/>
  <c r="B9596" i="1"/>
  <c r="E9597" i="1"/>
  <c r="B9597" i="1"/>
  <c r="E9598" i="1"/>
  <c r="B9598" i="1"/>
  <c r="E9599" i="1"/>
  <c r="B9599" i="1"/>
  <c r="E9600" i="1"/>
  <c r="B9600" i="1"/>
  <c r="E9601" i="1"/>
  <c r="B9601" i="1"/>
  <c r="E9602" i="1"/>
  <c r="B9602" i="1"/>
  <c r="E9603" i="1"/>
  <c r="B9603" i="1"/>
  <c r="E9604" i="1"/>
  <c r="B9604" i="1"/>
  <c r="E9605" i="1"/>
  <c r="B9605" i="1"/>
  <c r="E9606" i="1"/>
  <c r="B9606" i="1"/>
  <c r="E9607" i="1"/>
  <c r="B9607" i="1"/>
  <c r="E9608" i="1"/>
  <c r="B9608" i="1"/>
  <c r="E9609" i="1"/>
  <c r="B9609" i="1"/>
  <c r="E9610" i="1"/>
  <c r="B9610" i="1"/>
  <c r="E9611" i="1"/>
  <c r="B9611" i="1"/>
  <c r="E9612" i="1"/>
  <c r="B9612" i="1"/>
  <c r="E9613" i="1"/>
  <c r="B9613" i="1"/>
  <c r="E9614" i="1"/>
  <c r="B9614" i="1"/>
  <c r="E9615" i="1"/>
  <c r="B9615" i="1"/>
  <c r="E9616" i="1"/>
  <c r="B9616" i="1"/>
  <c r="E9617" i="1"/>
  <c r="B9617" i="1"/>
  <c r="E9618" i="1"/>
  <c r="B9618" i="1"/>
  <c r="E9619" i="1"/>
  <c r="B9619" i="1"/>
  <c r="E9620" i="1"/>
  <c r="B9620" i="1"/>
  <c r="E9621" i="1"/>
  <c r="B9621" i="1"/>
  <c r="E9622" i="1"/>
  <c r="B9622" i="1"/>
  <c r="E9623" i="1"/>
  <c r="B9623" i="1"/>
  <c r="E9624" i="1"/>
  <c r="B9624" i="1"/>
  <c r="E9625" i="1"/>
  <c r="B9625" i="1"/>
  <c r="E9626" i="1"/>
  <c r="B9626" i="1"/>
  <c r="E9627" i="1"/>
  <c r="B9627" i="1"/>
  <c r="E9628" i="1"/>
  <c r="B9628" i="1"/>
  <c r="E9629" i="1"/>
  <c r="B9629" i="1"/>
  <c r="E9631" i="1"/>
  <c r="B9631" i="1"/>
  <c r="E9630" i="1"/>
  <c r="B9630" i="1"/>
  <c r="E9632" i="1"/>
  <c r="B9632" i="1"/>
  <c r="E9633" i="1"/>
  <c r="B9633" i="1"/>
  <c r="E9634" i="1"/>
  <c r="B9634" i="1"/>
  <c r="E9635" i="1"/>
  <c r="B9635" i="1"/>
  <c r="E9636" i="1"/>
  <c r="B9636" i="1"/>
  <c r="E9637" i="1"/>
  <c r="B9637" i="1"/>
  <c r="E9638" i="1"/>
  <c r="B9638" i="1"/>
  <c r="E9639" i="1"/>
  <c r="B9639" i="1"/>
  <c r="E9640" i="1"/>
  <c r="B9640" i="1"/>
  <c r="E9641" i="1"/>
  <c r="B9641" i="1"/>
  <c r="E9642" i="1"/>
  <c r="B9642" i="1"/>
  <c r="E9643" i="1"/>
  <c r="B9643" i="1"/>
  <c r="E9645" i="1"/>
  <c r="B9645" i="1"/>
  <c r="E9644" i="1"/>
  <c r="B9644" i="1"/>
  <c r="E9646" i="1"/>
  <c r="B9646" i="1"/>
  <c r="E9647" i="1"/>
  <c r="B9647" i="1"/>
  <c r="E9648" i="1"/>
  <c r="B9648" i="1"/>
  <c r="E9649" i="1"/>
  <c r="B9649" i="1"/>
  <c r="E9650" i="1"/>
  <c r="B9650" i="1"/>
  <c r="E9651" i="1"/>
  <c r="B9651" i="1"/>
  <c r="E9652" i="1"/>
  <c r="B9652" i="1"/>
  <c r="E9653" i="1"/>
  <c r="B9653" i="1"/>
  <c r="E9654" i="1"/>
  <c r="B9654" i="1"/>
  <c r="E9655" i="1"/>
  <c r="B9655" i="1"/>
  <c r="E9656" i="1"/>
  <c r="B9656" i="1"/>
  <c r="E9657" i="1"/>
  <c r="B9657" i="1"/>
  <c r="E9658" i="1"/>
  <c r="B9658" i="1"/>
  <c r="E9659" i="1"/>
  <c r="B9659" i="1"/>
  <c r="E9660" i="1"/>
  <c r="B9660" i="1"/>
  <c r="E9661" i="1"/>
  <c r="B9661" i="1"/>
  <c r="E9662" i="1"/>
  <c r="B9662" i="1"/>
  <c r="E9663" i="1"/>
  <c r="B9663" i="1"/>
  <c r="E9664" i="1"/>
  <c r="B9664" i="1"/>
  <c r="E9665" i="1"/>
  <c r="B9665" i="1"/>
  <c r="E9666" i="1"/>
  <c r="B9666" i="1"/>
  <c r="E9667" i="1"/>
  <c r="B9667" i="1"/>
  <c r="E9668" i="1"/>
  <c r="B9668" i="1"/>
  <c r="E9669" i="1"/>
  <c r="B9669" i="1"/>
  <c r="E9670" i="1"/>
  <c r="B9670" i="1"/>
  <c r="E9671" i="1"/>
  <c r="B9671" i="1"/>
  <c r="E9672" i="1"/>
  <c r="B9672" i="1"/>
  <c r="E9673" i="1"/>
  <c r="B9673" i="1"/>
  <c r="E9674" i="1"/>
  <c r="B9674" i="1"/>
  <c r="E9675" i="1"/>
  <c r="B9675" i="1"/>
  <c r="E9676" i="1"/>
  <c r="B9676" i="1"/>
  <c r="E9677" i="1"/>
  <c r="B9677" i="1"/>
  <c r="E9678" i="1"/>
  <c r="B9678" i="1"/>
  <c r="E9679" i="1"/>
  <c r="B9679" i="1"/>
  <c r="E9680" i="1"/>
  <c r="B9680" i="1"/>
  <c r="E9681" i="1"/>
  <c r="B9681" i="1"/>
  <c r="E9682" i="1"/>
  <c r="B9682" i="1"/>
  <c r="E9683" i="1"/>
  <c r="B9683" i="1"/>
  <c r="E9684" i="1"/>
  <c r="B9684" i="1"/>
  <c r="E9685" i="1"/>
  <c r="B9685" i="1"/>
  <c r="E9686" i="1"/>
  <c r="B9686" i="1"/>
  <c r="E9687" i="1"/>
  <c r="B9687" i="1"/>
  <c r="E9688" i="1"/>
  <c r="B9688" i="1"/>
  <c r="E9689" i="1"/>
  <c r="B9689" i="1"/>
  <c r="E9690" i="1"/>
  <c r="B9690" i="1"/>
  <c r="E9691" i="1"/>
  <c r="B9691" i="1"/>
  <c r="E9692" i="1"/>
  <c r="B9692" i="1"/>
  <c r="E9693" i="1"/>
  <c r="B9693" i="1"/>
  <c r="E9694" i="1"/>
  <c r="B9694" i="1"/>
  <c r="E9695" i="1"/>
  <c r="B9695" i="1"/>
  <c r="E9696" i="1"/>
  <c r="B9696" i="1"/>
  <c r="E9697" i="1"/>
  <c r="B9697" i="1"/>
  <c r="E9698" i="1"/>
  <c r="B9698" i="1"/>
  <c r="E9699" i="1"/>
  <c r="B9699" i="1"/>
  <c r="E9700" i="1"/>
  <c r="B9700" i="1"/>
  <c r="E9701" i="1"/>
  <c r="B9701" i="1"/>
  <c r="E9702" i="1"/>
  <c r="B9702" i="1"/>
  <c r="E9703" i="1"/>
  <c r="B9703" i="1"/>
  <c r="E9704" i="1"/>
  <c r="B9704" i="1"/>
  <c r="E9705" i="1"/>
  <c r="B9705" i="1"/>
  <c r="E9706" i="1"/>
  <c r="B9706" i="1"/>
  <c r="E9707" i="1"/>
  <c r="B9707" i="1"/>
  <c r="E9708" i="1"/>
  <c r="B9708" i="1"/>
  <c r="E9709" i="1"/>
  <c r="B9709" i="1"/>
  <c r="E9710" i="1"/>
  <c r="B9710" i="1"/>
  <c r="E9711" i="1"/>
  <c r="B9711" i="1"/>
  <c r="E9712" i="1"/>
  <c r="B9712" i="1"/>
  <c r="E9713" i="1"/>
  <c r="B9713" i="1"/>
  <c r="E9714" i="1"/>
  <c r="B9714" i="1"/>
  <c r="E9715" i="1"/>
  <c r="B9715" i="1"/>
  <c r="E9717" i="1"/>
  <c r="B9717" i="1"/>
  <c r="E9716" i="1"/>
  <c r="B9716" i="1"/>
  <c r="E9718" i="1"/>
  <c r="B9718" i="1"/>
  <c r="E9719" i="1"/>
  <c r="B9719" i="1"/>
  <c r="E9720" i="1"/>
  <c r="B9720" i="1"/>
  <c r="E9721" i="1"/>
  <c r="B9721" i="1"/>
  <c r="E9722" i="1"/>
  <c r="B9722" i="1"/>
  <c r="E9723" i="1"/>
  <c r="B9723" i="1"/>
  <c r="E9724" i="1"/>
  <c r="B9724" i="1"/>
  <c r="E9725" i="1"/>
  <c r="B9725" i="1"/>
  <c r="E9726" i="1"/>
  <c r="B9726" i="1"/>
  <c r="E9727" i="1"/>
  <c r="B9727" i="1"/>
  <c r="E9728" i="1"/>
  <c r="B9728" i="1"/>
  <c r="E9729" i="1"/>
  <c r="B9729" i="1"/>
  <c r="E9730" i="1"/>
  <c r="B9730" i="1"/>
  <c r="E9731" i="1"/>
  <c r="B9731" i="1"/>
  <c r="E9732" i="1"/>
  <c r="B9732" i="1"/>
  <c r="E9733" i="1"/>
  <c r="B9733" i="1"/>
  <c r="E9734" i="1"/>
  <c r="B9734" i="1"/>
  <c r="E9735" i="1"/>
  <c r="B9735" i="1"/>
  <c r="E9736" i="1"/>
  <c r="B9736" i="1"/>
  <c r="E9737" i="1"/>
  <c r="B9737" i="1"/>
  <c r="E9738" i="1"/>
  <c r="B9738" i="1"/>
  <c r="E9739" i="1"/>
  <c r="B9739" i="1"/>
  <c r="E9740" i="1"/>
  <c r="B9740" i="1"/>
  <c r="E9741" i="1"/>
  <c r="B9741" i="1"/>
  <c r="E9742" i="1"/>
  <c r="B9742" i="1"/>
  <c r="E9743" i="1"/>
  <c r="B9743" i="1"/>
  <c r="E9744" i="1"/>
  <c r="B9744" i="1"/>
  <c r="E9745" i="1"/>
  <c r="B9745" i="1"/>
  <c r="E9746" i="1"/>
  <c r="B9746" i="1"/>
  <c r="E9747" i="1"/>
  <c r="B9747" i="1"/>
  <c r="E9748" i="1"/>
  <c r="B9748" i="1"/>
  <c r="E9749" i="1"/>
  <c r="B9749" i="1"/>
  <c r="E9750" i="1"/>
  <c r="B9750" i="1"/>
  <c r="E9751" i="1"/>
  <c r="B9751" i="1"/>
  <c r="E9752" i="1"/>
  <c r="B9752" i="1"/>
  <c r="E9753" i="1"/>
  <c r="B9753" i="1"/>
  <c r="E9754" i="1"/>
  <c r="B9754" i="1"/>
  <c r="E9755" i="1"/>
  <c r="B9755" i="1"/>
  <c r="E9756" i="1"/>
  <c r="B9756" i="1"/>
  <c r="E9757" i="1"/>
  <c r="B9757" i="1"/>
  <c r="E9758" i="1"/>
  <c r="B9758" i="1"/>
  <c r="E9759" i="1"/>
  <c r="B9759" i="1"/>
  <c r="E9760" i="1"/>
  <c r="B9760" i="1"/>
  <c r="E9761" i="1"/>
  <c r="B9761" i="1"/>
  <c r="E9762" i="1"/>
  <c r="B9762" i="1"/>
  <c r="E9763" i="1"/>
  <c r="B9763" i="1"/>
  <c r="E9764" i="1"/>
  <c r="B9764" i="1"/>
  <c r="E9765" i="1"/>
  <c r="B9765" i="1"/>
  <c r="E9766" i="1"/>
  <c r="B9766" i="1"/>
  <c r="E9767" i="1"/>
  <c r="B9767" i="1"/>
  <c r="E9768" i="1"/>
  <c r="B9768" i="1"/>
  <c r="E9769" i="1"/>
  <c r="B9769" i="1"/>
  <c r="E9770" i="1"/>
  <c r="B9770" i="1"/>
  <c r="E9771" i="1"/>
  <c r="B9771" i="1"/>
  <c r="E9772" i="1"/>
  <c r="B9772" i="1"/>
  <c r="E9773" i="1"/>
  <c r="B9773" i="1"/>
  <c r="E9774" i="1"/>
  <c r="B9774" i="1"/>
  <c r="E9775" i="1"/>
  <c r="B9775" i="1"/>
  <c r="E9776" i="1"/>
  <c r="B9776" i="1"/>
  <c r="E9777" i="1"/>
  <c r="B9777" i="1"/>
  <c r="E9778" i="1"/>
  <c r="B9778" i="1"/>
  <c r="E9779" i="1"/>
  <c r="B9779" i="1"/>
  <c r="E9780" i="1"/>
  <c r="B9780" i="1"/>
  <c r="E9781" i="1"/>
  <c r="B9781" i="1"/>
  <c r="E9782" i="1"/>
  <c r="B9782" i="1"/>
  <c r="E9783" i="1"/>
  <c r="B9783" i="1"/>
  <c r="E9784" i="1"/>
  <c r="B9784" i="1"/>
  <c r="E9785" i="1"/>
  <c r="B9785" i="1"/>
  <c r="E9786" i="1"/>
  <c r="B9786" i="1"/>
  <c r="E9787" i="1"/>
  <c r="B9787" i="1"/>
  <c r="E9788" i="1"/>
  <c r="B9788" i="1"/>
  <c r="E9789" i="1"/>
  <c r="B9789" i="1"/>
  <c r="E9790" i="1"/>
  <c r="B9790" i="1"/>
  <c r="E9791" i="1"/>
  <c r="B9791" i="1"/>
  <c r="E9792" i="1"/>
  <c r="B9792" i="1"/>
  <c r="E9793" i="1"/>
  <c r="B9793" i="1"/>
  <c r="E9794" i="1"/>
  <c r="B9794" i="1"/>
  <c r="E9795" i="1"/>
  <c r="B9795" i="1"/>
  <c r="E9796" i="1"/>
  <c r="B9796" i="1"/>
  <c r="E9797" i="1"/>
  <c r="B9797" i="1"/>
  <c r="E9798" i="1"/>
  <c r="B9798" i="1"/>
  <c r="E9799" i="1"/>
  <c r="B9799" i="1"/>
  <c r="E9800" i="1"/>
  <c r="B9800" i="1"/>
  <c r="E9801" i="1"/>
  <c r="B9801" i="1"/>
  <c r="E9802" i="1"/>
  <c r="B9802" i="1"/>
  <c r="E9803" i="1"/>
  <c r="B9803" i="1"/>
  <c r="E9804" i="1"/>
  <c r="B9804" i="1"/>
  <c r="E9805" i="1"/>
  <c r="B9805" i="1"/>
  <c r="E9806" i="1"/>
  <c r="B9806" i="1"/>
  <c r="E9807" i="1"/>
  <c r="B9807" i="1"/>
  <c r="E9808" i="1"/>
  <c r="B9808" i="1"/>
  <c r="E9809" i="1"/>
  <c r="B9809" i="1"/>
  <c r="E9810" i="1"/>
  <c r="B9810" i="1"/>
  <c r="E9811" i="1"/>
  <c r="B9811" i="1"/>
  <c r="E9812" i="1"/>
  <c r="B9812" i="1"/>
  <c r="E9813" i="1"/>
  <c r="B9813" i="1"/>
  <c r="E9814" i="1"/>
  <c r="B9814" i="1"/>
  <c r="E9815" i="1"/>
  <c r="B9815" i="1"/>
  <c r="E9816" i="1"/>
  <c r="B9816" i="1"/>
  <c r="E9817" i="1"/>
  <c r="B9817" i="1"/>
  <c r="E9818" i="1"/>
  <c r="B9818" i="1"/>
  <c r="E9819" i="1"/>
  <c r="B9819" i="1"/>
  <c r="E9820" i="1"/>
  <c r="B9820" i="1"/>
  <c r="E9821" i="1"/>
  <c r="B9821" i="1"/>
  <c r="E9822" i="1"/>
  <c r="B9822" i="1"/>
  <c r="E9823" i="1"/>
  <c r="B9823" i="1"/>
  <c r="E9824" i="1"/>
  <c r="B9824" i="1"/>
  <c r="E9825" i="1"/>
  <c r="B9825" i="1"/>
  <c r="E9826" i="1"/>
  <c r="B9826" i="1"/>
  <c r="E9827" i="1"/>
  <c r="B9827" i="1"/>
  <c r="E9828" i="1"/>
  <c r="B9828" i="1"/>
  <c r="E9829" i="1"/>
  <c r="B9829" i="1"/>
  <c r="E9830" i="1"/>
  <c r="B9830" i="1"/>
  <c r="E9831" i="1"/>
  <c r="B9831" i="1"/>
  <c r="E9832" i="1"/>
  <c r="B9832" i="1"/>
  <c r="E9833" i="1"/>
  <c r="B9833" i="1"/>
  <c r="E9834" i="1"/>
  <c r="B9834" i="1"/>
  <c r="E9835" i="1"/>
  <c r="B9835" i="1"/>
  <c r="E9836" i="1"/>
  <c r="B9836" i="1"/>
  <c r="E9837" i="1"/>
  <c r="B9837" i="1"/>
  <c r="E9838" i="1"/>
  <c r="B9838" i="1"/>
  <c r="E9839" i="1"/>
  <c r="B9839" i="1"/>
  <c r="E9840" i="1"/>
  <c r="B9840" i="1"/>
  <c r="E9841" i="1"/>
  <c r="B9841" i="1"/>
  <c r="E9842" i="1"/>
  <c r="B9842" i="1"/>
  <c r="E9843" i="1"/>
  <c r="B9843" i="1"/>
  <c r="E9844" i="1"/>
  <c r="B9844" i="1"/>
  <c r="E9845" i="1"/>
  <c r="B9845" i="1"/>
  <c r="E9846" i="1"/>
  <c r="B9846" i="1"/>
  <c r="E9847" i="1"/>
  <c r="B9847" i="1"/>
  <c r="E9848" i="1"/>
  <c r="B9848" i="1"/>
  <c r="E9849" i="1"/>
  <c r="B9849" i="1"/>
  <c r="E9850" i="1"/>
  <c r="B9850" i="1"/>
  <c r="E9851" i="1"/>
  <c r="B9851" i="1"/>
  <c r="E9852" i="1"/>
  <c r="B9852" i="1"/>
  <c r="E9853" i="1"/>
  <c r="B9853" i="1"/>
  <c r="E9854" i="1"/>
  <c r="B9854" i="1"/>
  <c r="E9855" i="1"/>
  <c r="B9855" i="1"/>
  <c r="E9856" i="1"/>
  <c r="B9856" i="1"/>
  <c r="E9857" i="1"/>
  <c r="B9857" i="1"/>
  <c r="E9858" i="1"/>
  <c r="B9858" i="1"/>
  <c r="E9859" i="1"/>
  <c r="B9859" i="1"/>
  <c r="E9860" i="1"/>
  <c r="B9860" i="1"/>
  <c r="E9861" i="1"/>
  <c r="B9861" i="1"/>
  <c r="E9862" i="1"/>
  <c r="B9862" i="1"/>
  <c r="E9863" i="1"/>
  <c r="B9863" i="1"/>
  <c r="E9864" i="1"/>
  <c r="B9864" i="1"/>
  <c r="E9865" i="1"/>
  <c r="B9865" i="1"/>
  <c r="E9866" i="1"/>
  <c r="B9866" i="1"/>
  <c r="E9867" i="1"/>
  <c r="B9867" i="1"/>
  <c r="E9868" i="1"/>
  <c r="B9868" i="1"/>
  <c r="E9869" i="1"/>
  <c r="B9869" i="1"/>
  <c r="E9870" i="1"/>
  <c r="B9870" i="1"/>
  <c r="E9871" i="1"/>
  <c r="B9871" i="1"/>
  <c r="E9872" i="1"/>
  <c r="B9872" i="1"/>
  <c r="E9873" i="1"/>
  <c r="B9873" i="1"/>
  <c r="E9874" i="1"/>
  <c r="B9874" i="1"/>
  <c r="E9875" i="1"/>
  <c r="B9875" i="1"/>
  <c r="E9876" i="1"/>
  <c r="B9876" i="1"/>
  <c r="E9877" i="1"/>
  <c r="B9877" i="1"/>
  <c r="E9878" i="1"/>
  <c r="B9878" i="1"/>
  <c r="E9879" i="1"/>
  <c r="B9879" i="1"/>
  <c r="E9880" i="1"/>
  <c r="B9880" i="1"/>
  <c r="E9881" i="1"/>
  <c r="B9881" i="1"/>
  <c r="E9882" i="1"/>
  <c r="B9882" i="1"/>
  <c r="E9883" i="1"/>
  <c r="B9883" i="1"/>
  <c r="E9884" i="1"/>
  <c r="B9884" i="1"/>
  <c r="E9885" i="1"/>
  <c r="B9885" i="1"/>
  <c r="E9886" i="1"/>
  <c r="B9886" i="1"/>
  <c r="E9887" i="1"/>
  <c r="B9887" i="1"/>
  <c r="E9888" i="1"/>
  <c r="B9888" i="1"/>
  <c r="E9889" i="1"/>
  <c r="B9889" i="1"/>
  <c r="E9890" i="1"/>
  <c r="B9890" i="1"/>
  <c r="E9891" i="1"/>
  <c r="B9891" i="1"/>
  <c r="E9892" i="1"/>
  <c r="B9892" i="1"/>
  <c r="E9893" i="1"/>
  <c r="B9893" i="1"/>
  <c r="E9894" i="1"/>
  <c r="B9894" i="1"/>
  <c r="E9895" i="1"/>
  <c r="B9895" i="1"/>
  <c r="E9896" i="1"/>
  <c r="B9896" i="1"/>
  <c r="E9897" i="1"/>
  <c r="B9897" i="1"/>
  <c r="E9898" i="1"/>
  <c r="B9898" i="1"/>
  <c r="E9899" i="1"/>
  <c r="B9899" i="1"/>
  <c r="E9900" i="1"/>
  <c r="B9900" i="1"/>
  <c r="E9901" i="1"/>
  <c r="B9901" i="1"/>
  <c r="E9902" i="1"/>
  <c r="B9902" i="1"/>
  <c r="E9903" i="1"/>
  <c r="B9903" i="1"/>
  <c r="E9904" i="1"/>
  <c r="B9904" i="1"/>
  <c r="E9905" i="1"/>
  <c r="B9905" i="1"/>
  <c r="E9906" i="1"/>
  <c r="B9906" i="1"/>
  <c r="E9908" i="1"/>
  <c r="B9908" i="1"/>
  <c r="E9907" i="1"/>
  <c r="B9907" i="1"/>
  <c r="E9909" i="1"/>
  <c r="B9909" i="1"/>
  <c r="E9910" i="1"/>
  <c r="B9910" i="1"/>
  <c r="E9911" i="1"/>
  <c r="B9911" i="1"/>
  <c r="E9912" i="1"/>
  <c r="B9912" i="1"/>
  <c r="E9913" i="1"/>
  <c r="B9913" i="1"/>
  <c r="E9914" i="1"/>
  <c r="B9914" i="1"/>
  <c r="E9915" i="1"/>
  <c r="B9915" i="1"/>
  <c r="E9916" i="1"/>
  <c r="B9916" i="1"/>
  <c r="E9917" i="1"/>
  <c r="B9917" i="1"/>
  <c r="E9918" i="1"/>
  <c r="B9918" i="1"/>
  <c r="E9919" i="1"/>
  <c r="B9919" i="1"/>
  <c r="E9920" i="1"/>
  <c r="B9920" i="1"/>
  <c r="E9921" i="1"/>
  <c r="B9921" i="1"/>
  <c r="E9922" i="1"/>
  <c r="B9922" i="1"/>
  <c r="E9923" i="1"/>
  <c r="B9923" i="1"/>
  <c r="E9924" i="1"/>
  <c r="B9924" i="1"/>
  <c r="E9925" i="1"/>
  <c r="B9925" i="1"/>
  <c r="E9926" i="1"/>
  <c r="B9926" i="1"/>
  <c r="E9927" i="1"/>
  <c r="B9927" i="1"/>
  <c r="E9928" i="1"/>
  <c r="B9928" i="1"/>
  <c r="E9929" i="1"/>
  <c r="B9929" i="1"/>
  <c r="E9930" i="1"/>
  <c r="B9930" i="1"/>
  <c r="E9931" i="1"/>
  <c r="B9931" i="1"/>
  <c r="E9932" i="1"/>
  <c r="B9932" i="1"/>
  <c r="E9933" i="1"/>
  <c r="B9933" i="1"/>
  <c r="E9934" i="1"/>
  <c r="B9934" i="1"/>
  <c r="E9935" i="1"/>
  <c r="B9935" i="1"/>
  <c r="E9936" i="1"/>
  <c r="B9936" i="1"/>
  <c r="E9937" i="1"/>
  <c r="B9937" i="1"/>
  <c r="E9938" i="1"/>
  <c r="B9938" i="1"/>
  <c r="E9939" i="1"/>
  <c r="B9939" i="1"/>
  <c r="E9940" i="1"/>
  <c r="B9940" i="1"/>
  <c r="E9941" i="1"/>
  <c r="B9941" i="1"/>
  <c r="E9942" i="1"/>
  <c r="B9942" i="1"/>
  <c r="E9943" i="1"/>
  <c r="B9943" i="1"/>
  <c r="E9944" i="1"/>
  <c r="B9944" i="1"/>
  <c r="E9945" i="1"/>
  <c r="B9945" i="1"/>
  <c r="E9946" i="1"/>
  <c r="B9946" i="1"/>
  <c r="E9947" i="1"/>
  <c r="B9947" i="1"/>
  <c r="E9948" i="1"/>
  <c r="B9948" i="1"/>
  <c r="E9949" i="1"/>
  <c r="B9949" i="1"/>
  <c r="E9950" i="1"/>
  <c r="B9950" i="1"/>
  <c r="E9951" i="1"/>
  <c r="B9951" i="1"/>
  <c r="E9952" i="1"/>
  <c r="B9952" i="1"/>
  <c r="E9953" i="1"/>
  <c r="B9953" i="1"/>
  <c r="E9954" i="1"/>
  <c r="B9954" i="1"/>
  <c r="E9955" i="1"/>
  <c r="B9955" i="1"/>
  <c r="E9956" i="1"/>
  <c r="B9956" i="1"/>
  <c r="E9957" i="1"/>
  <c r="B9957" i="1"/>
  <c r="E9958" i="1"/>
  <c r="B9958" i="1"/>
  <c r="E9959" i="1"/>
  <c r="B9959" i="1"/>
  <c r="E9960" i="1"/>
  <c r="B9960" i="1"/>
  <c r="E9961" i="1"/>
  <c r="B9961" i="1"/>
  <c r="E9962" i="1"/>
  <c r="B9962" i="1"/>
  <c r="E9963" i="1"/>
  <c r="B9963" i="1"/>
  <c r="E9964" i="1"/>
  <c r="B9964" i="1"/>
  <c r="E9965" i="1"/>
  <c r="B9965" i="1"/>
  <c r="E9966" i="1"/>
  <c r="B9966" i="1"/>
  <c r="E9967" i="1"/>
  <c r="B9967" i="1"/>
  <c r="E9968" i="1"/>
  <c r="B9968" i="1"/>
  <c r="E9969" i="1"/>
  <c r="B9969" i="1"/>
  <c r="E9970" i="1"/>
  <c r="B9970" i="1"/>
  <c r="E9971" i="1"/>
  <c r="B9971" i="1"/>
  <c r="E9972" i="1"/>
  <c r="B9972" i="1"/>
  <c r="E9973" i="1"/>
  <c r="B9973" i="1"/>
  <c r="E9975" i="1"/>
  <c r="B9975" i="1"/>
  <c r="E9974" i="1"/>
  <c r="B9974" i="1"/>
  <c r="E9976" i="1"/>
  <c r="B9976" i="1"/>
  <c r="E9977" i="1"/>
  <c r="B9977" i="1"/>
  <c r="E9978" i="1"/>
  <c r="B9978" i="1"/>
  <c r="E9979" i="1"/>
  <c r="B9979" i="1"/>
  <c r="E9980" i="1"/>
  <c r="B9980" i="1"/>
  <c r="E9981" i="1"/>
  <c r="B9981" i="1"/>
  <c r="E9982" i="1"/>
  <c r="B9982" i="1"/>
  <c r="E9983" i="1"/>
  <c r="B9983" i="1"/>
  <c r="E9984" i="1"/>
  <c r="B9984" i="1"/>
  <c r="E9985" i="1"/>
  <c r="B9985" i="1"/>
  <c r="E9986" i="1"/>
  <c r="B9986" i="1"/>
  <c r="E9987" i="1"/>
  <c r="B9987" i="1"/>
  <c r="E9988" i="1"/>
  <c r="B9988" i="1"/>
  <c r="E9989" i="1"/>
  <c r="B9989" i="1"/>
  <c r="E9990" i="1"/>
  <c r="B9990" i="1"/>
  <c r="E9991" i="1"/>
  <c r="B9991" i="1"/>
  <c r="E9992" i="1"/>
  <c r="B9992" i="1"/>
  <c r="E9993" i="1"/>
  <c r="B9993" i="1"/>
  <c r="E9994" i="1"/>
  <c r="B9994" i="1"/>
  <c r="E9995" i="1"/>
  <c r="B9995" i="1"/>
  <c r="E9996" i="1"/>
  <c r="B9996" i="1"/>
  <c r="E9997" i="1"/>
  <c r="B9997" i="1"/>
  <c r="E9998" i="1"/>
  <c r="B9998" i="1"/>
  <c r="E9999" i="1"/>
  <c r="B9999" i="1"/>
  <c r="E10000" i="1"/>
  <c r="B10000" i="1"/>
  <c r="E10001" i="1"/>
  <c r="B10001" i="1"/>
  <c r="E10002" i="1"/>
  <c r="B10002" i="1"/>
  <c r="E10003" i="1"/>
  <c r="B10003" i="1"/>
  <c r="E10004" i="1"/>
  <c r="B10004" i="1"/>
  <c r="E10005" i="1"/>
  <c r="B10005" i="1"/>
  <c r="E10006" i="1"/>
  <c r="B10006" i="1"/>
  <c r="E10007" i="1"/>
  <c r="B10007" i="1"/>
  <c r="E10008" i="1"/>
  <c r="B10008" i="1"/>
  <c r="E10009" i="1"/>
  <c r="B10009" i="1"/>
  <c r="E10010" i="1"/>
  <c r="B10010" i="1"/>
  <c r="E10011" i="1"/>
  <c r="B10011" i="1"/>
  <c r="E10012" i="1"/>
  <c r="B10012" i="1"/>
  <c r="E10013" i="1"/>
  <c r="B10013" i="1"/>
  <c r="E10014" i="1"/>
  <c r="B10014" i="1"/>
  <c r="E10015" i="1"/>
  <c r="B10015" i="1"/>
  <c r="E10016" i="1"/>
  <c r="B10016" i="1"/>
  <c r="E10017" i="1"/>
  <c r="B10017" i="1"/>
  <c r="E10018" i="1"/>
  <c r="B10018" i="1"/>
  <c r="E10019" i="1"/>
  <c r="B10019" i="1"/>
  <c r="E10020" i="1"/>
  <c r="B10020" i="1"/>
  <c r="E10021" i="1"/>
  <c r="B10021" i="1"/>
  <c r="E10022" i="1"/>
  <c r="B10022" i="1"/>
  <c r="E10023" i="1"/>
  <c r="B10023" i="1"/>
  <c r="E10024" i="1"/>
  <c r="B10024" i="1"/>
  <c r="E10025" i="1"/>
  <c r="B10025" i="1"/>
  <c r="E10026" i="1"/>
  <c r="B10026" i="1"/>
  <c r="E10027" i="1"/>
  <c r="B10027" i="1"/>
  <c r="E10028" i="1"/>
  <c r="B10028" i="1"/>
  <c r="E10029" i="1"/>
  <c r="B10029" i="1"/>
  <c r="E10030" i="1"/>
  <c r="B10030" i="1"/>
  <c r="E10031" i="1"/>
  <c r="B10031" i="1"/>
  <c r="E10032" i="1"/>
  <c r="B10032" i="1"/>
  <c r="E10033" i="1"/>
  <c r="B10033" i="1"/>
  <c r="E10034" i="1"/>
  <c r="B10034" i="1"/>
  <c r="E10035" i="1"/>
  <c r="B10035" i="1"/>
  <c r="E10036" i="1"/>
  <c r="B10036" i="1"/>
  <c r="E10037" i="1"/>
  <c r="B10037" i="1"/>
  <c r="E10038" i="1"/>
  <c r="B10038" i="1"/>
  <c r="E10039" i="1"/>
  <c r="B10039" i="1"/>
  <c r="E10040" i="1"/>
  <c r="B10040" i="1"/>
  <c r="E10041" i="1"/>
  <c r="B10041" i="1"/>
  <c r="E10042" i="1"/>
  <c r="B10042" i="1"/>
  <c r="E10043" i="1"/>
  <c r="B10043" i="1"/>
  <c r="E10044" i="1"/>
  <c r="B10044" i="1"/>
  <c r="E10045" i="1"/>
  <c r="B10045" i="1"/>
  <c r="E10046" i="1"/>
  <c r="B10046" i="1"/>
  <c r="E10047" i="1"/>
  <c r="B10047" i="1"/>
  <c r="E10048" i="1"/>
  <c r="B10048" i="1"/>
  <c r="E10049" i="1"/>
  <c r="B10049" i="1"/>
  <c r="E10050" i="1"/>
  <c r="B10050" i="1"/>
  <c r="E10051" i="1"/>
  <c r="B10051" i="1"/>
  <c r="E10052" i="1"/>
  <c r="B10052" i="1"/>
  <c r="E10053" i="1"/>
  <c r="B10053" i="1"/>
  <c r="E10054" i="1"/>
  <c r="B10054" i="1"/>
  <c r="E10055" i="1"/>
  <c r="B10055" i="1"/>
  <c r="E10056" i="1"/>
  <c r="B10056" i="1"/>
  <c r="E10057" i="1"/>
  <c r="B10057" i="1"/>
  <c r="E10058" i="1"/>
  <c r="B10058" i="1"/>
  <c r="E10059" i="1"/>
  <c r="B10059" i="1"/>
  <c r="E10060" i="1"/>
  <c r="B10060" i="1"/>
  <c r="E10061" i="1"/>
  <c r="B10061" i="1"/>
  <c r="E10062" i="1"/>
  <c r="B10062" i="1"/>
  <c r="E10063" i="1"/>
  <c r="B10063" i="1"/>
  <c r="E10064" i="1"/>
  <c r="B10064" i="1"/>
  <c r="E10065" i="1"/>
  <c r="B10065" i="1"/>
  <c r="E10066" i="1"/>
  <c r="B10066" i="1"/>
  <c r="E10067" i="1"/>
  <c r="B10067" i="1"/>
  <c r="E10068" i="1"/>
  <c r="B10068" i="1"/>
  <c r="E10069" i="1"/>
  <c r="B10069" i="1"/>
  <c r="E10070" i="1"/>
  <c r="B10070" i="1"/>
  <c r="E10071" i="1"/>
  <c r="B10071" i="1"/>
  <c r="E10072" i="1"/>
  <c r="B10072" i="1"/>
  <c r="E10073" i="1"/>
  <c r="B10073" i="1"/>
  <c r="E10074" i="1"/>
  <c r="B10074" i="1"/>
  <c r="E10075" i="1"/>
  <c r="B10075" i="1"/>
  <c r="E10076" i="1"/>
  <c r="B10076" i="1"/>
  <c r="E10077" i="1"/>
  <c r="B10077" i="1"/>
  <c r="E10078" i="1"/>
  <c r="B10078" i="1"/>
  <c r="E10079" i="1"/>
  <c r="B10079" i="1"/>
  <c r="E10080" i="1"/>
  <c r="B10080" i="1"/>
  <c r="E10081" i="1"/>
  <c r="B10081" i="1"/>
  <c r="E10082" i="1"/>
  <c r="B10082" i="1"/>
  <c r="E10083" i="1"/>
  <c r="B10083" i="1"/>
  <c r="E10084" i="1"/>
  <c r="B10084" i="1"/>
  <c r="E10085" i="1"/>
  <c r="B10085" i="1"/>
  <c r="E10086" i="1"/>
  <c r="B10086" i="1"/>
  <c r="E10087" i="1"/>
  <c r="B10087" i="1"/>
  <c r="E10088" i="1"/>
  <c r="B10088" i="1"/>
  <c r="E10089" i="1"/>
  <c r="B10089" i="1"/>
  <c r="E10090" i="1"/>
  <c r="B10090" i="1"/>
  <c r="E10091" i="1"/>
  <c r="B10091" i="1"/>
  <c r="E10092" i="1"/>
  <c r="B10092" i="1"/>
  <c r="E10093" i="1"/>
  <c r="B10093" i="1"/>
  <c r="E10094" i="1"/>
  <c r="B10094" i="1"/>
  <c r="E10095" i="1"/>
  <c r="B10095" i="1"/>
  <c r="E10096" i="1"/>
  <c r="B10096" i="1"/>
  <c r="E10098" i="1"/>
  <c r="B10098" i="1"/>
  <c r="E10097" i="1"/>
  <c r="B10097" i="1"/>
  <c r="E10099" i="1"/>
  <c r="B10099" i="1"/>
  <c r="E10100" i="1"/>
  <c r="B10100" i="1"/>
  <c r="E10101" i="1"/>
  <c r="B10101" i="1"/>
  <c r="E10102" i="1"/>
  <c r="B10102" i="1"/>
  <c r="E10103" i="1"/>
  <c r="B10103" i="1"/>
  <c r="E10104" i="1"/>
  <c r="B10104" i="1"/>
  <c r="E10105" i="1"/>
  <c r="B10105" i="1"/>
  <c r="E10106" i="1"/>
  <c r="B10106" i="1"/>
  <c r="E10107" i="1"/>
  <c r="B10107" i="1"/>
  <c r="E10108" i="1"/>
  <c r="B10108" i="1"/>
  <c r="E10109" i="1"/>
  <c r="B10109" i="1"/>
  <c r="E10110" i="1"/>
  <c r="B10110" i="1"/>
  <c r="E10111" i="1"/>
  <c r="B10111" i="1"/>
  <c r="E10112" i="1"/>
  <c r="B10112" i="1"/>
  <c r="E10113" i="1"/>
  <c r="B10113" i="1"/>
  <c r="E10114" i="1"/>
  <c r="B10114" i="1"/>
  <c r="E10115" i="1"/>
  <c r="B10115" i="1"/>
  <c r="E10116" i="1"/>
  <c r="B10116" i="1"/>
  <c r="E10117" i="1"/>
  <c r="B10117" i="1"/>
  <c r="E10118" i="1"/>
  <c r="B10118" i="1"/>
  <c r="E10119" i="1"/>
  <c r="B10119" i="1"/>
  <c r="E10120" i="1"/>
  <c r="B10120" i="1"/>
  <c r="E10121" i="1"/>
  <c r="B10121" i="1"/>
  <c r="E10122" i="1"/>
  <c r="B10122" i="1"/>
  <c r="E10123" i="1"/>
  <c r="B10123" i="1"/>
  <c r="E10124" i="1"/>
  <c r="B10124" i="1"/>
  <c r="E10125" i="1"/>
  <c r="B10125" i="1"/>
  <c r="E10126" i="1"/>
  <c r="B10126" i="1"/>
  <c r="E10127" i="1"/>
  <c r="B10127" i="1"/>
  <c r="E10128" i="1"/>
  <c r="B10128" i="1"/>
  <c r="E10129" i="1"/>
  <c r="B10129" i="1"/>
  <c r="E10130" i="1"/>
  <c r="B10130" i="1"/>
  <c r="E10131" i="1"/>
  <c r="B10131" i="1"/>
  <c r="E10132" i="1"/>
  <c r="B10132" i="1"/>
  <c r="E10133" i="1"/>
  <c r="B10133" i="1"/>
  <c r="E10134" i="1"/>
  <c r="B10134" i="1"/>
  <c r="E10135" i="1"/>
  <c r="B10135" i="1"/>
  <c r="E10136" i="1"/>
  <c r="B10136" i="1"/>
  <c r="E10137" i="1"/>
  <c r="B10137" i="1"/>
  <c r="E10138" i="1"/>
  <c r="B10138" i="1"/>
  <c r="E10139" i="1"/>
  <c r="B10139" i="1"/>
  <c r="E10140" i="1"/>
  <c r="B10140" i="1"/>
  <c r="E10141" i="1"/>
  <c r="B10141" i="1"/>
  <c r="E10142" i="1"/>
  <c r="B10142" i="1"/>
  <c r="E10143" i="1"/>
  <c r="B10143" i="1"/>
  <c r="E10144" i="1"/>
  <c r="B10144" i="1"/>
  <c r="E10145" i="1"/>
  <c r="B10145" i="1"/>
  <c r="E10146" i="1"/>
  <c r="B10146" i="1"/>
  <c r="E10147" i="1"/>
  <c r="B10147" i="1"/>
  <c r="E10148" i="1"/>
  <c r="B10148" i="1"/>
  <c r="E10149" i="1"/>
  <c r="B10149" i="1"/>
  <c r="E10150" i="1"/>
  <c r="B10150" i="1"/>
  <c r="E10151" i="1"/>
  <c r="B10151" i="1"/>
  <c r="E10152" i="1"/>
  <c r="B10152" i="1"/>
  <c r="E10153" i="1"/>
  <c r="B10153" i="1"/>
  <c r="E10154" i="1"/>
  <c r="B10154" i="1"/>
  <c r="E10155" i="1"/>
  <c r="B10155" i="1"/>
  <c r="E10157" i="1"/>
  <c r="B10157" i="1"/>
  <c r="E10156" i="1"/>
  <c r="B10156" i="1"/>
  <c r="E10158" i="1"/>
  <c r="B10158" i="1"/>
  <c r="E10159" i="1"/>
  <c r="B10159" i="1"/>
  <c r="E10160" i="1"/>
  <c r="B10160" i="1"/>
  <c r="E10161" i="1"/>
  <c r="B10161" i="1"/>
  <c r="E10162" i="1"/>
  <c r="B10162" i="1"/>
  <c r="E10163" i="1"/>
  <c r="B10163" i="1"/>
  <c r="E10164" i="1"/>
  <c r="B10164" i="1"/>
  <c r="E10165" i="1"/>
  <c r="B10165" i="1"/>
  <c r="E10166" i="1"/>
  <c r="B10166" i="1"/>
  <c r="E10167" i="1"/>
  <c r="B10167" i="1"/>
  <c r="E10168" i="1"/>
  <c r="B10168" i="1"/>
  <c r="E10169" i="1"/>
  <c r="B10169" i="1"/>
  <c r="E10170" i="1"/>
  <c r="B10170" i="1"/>
  <c r="E10171" i="1"/>
  <c r="B10171" i="1"/>
  <c r="E10172" i="1"/>
  <c r="B10172" i="1"/>
  <c r="E10173" i="1"/>
  <c r="B10173" i="1"/>
  <c r="E10174" i="1"/>
  <c r="B10174" i="1"/>
  <c r="E10175" i="1"/>
  <c r="B10175" i="1"/>
  <c r="E10176" i="1"/>
  <c r="B10176" i="1"/>
  <c r="E10177" i="1"/>
  <c r="B10177" i="1"/>
  <c r="E10178" i="1"/>
  <c r="B10178" i="1"/>
  <c r="E10179" i="1"/>
  <c r="B10179" i="1"/>
  <c r="E10180" i="1"/>
  <c r="B10180" i="1"/>
  <c r="E10181" i="1"/>
  <c r="B10181" i="1"/>
  <c r="E10182" i="1"/>
  <c r="B10182" i="1"/>
  <c r="E10183" i="1"/>
  <c r="B10183" i="1"/>
  <c r="E10184" i="1"/>
  <c r="B10184" i="1"/>
  <c r="E10185" i="1"/>
  <c r="B10185" i="1"/>
  <c r="E10186" i="1"/>
  <c r="B10186" i="1"/>
  <c r="E10187" i="1"/>
  <c r="B10187" i="1"/>
  <c r="E10188" i="1"/>
  <c r="B10188" i="1"/>
  <c r="E10189" i="1"/>
  <c r="B10189" i="1"/>
  <c r="E10190" i="1"/>
  <c r="B10190" i="1"/>
  <c r="E10191" i="1"/>
  <c r="B10191" i="1"/>
  <c r="E10192" i="1"/>
  <c r="B10192" i="1"/>
  <c r="E10193" i="1"/>
  <c r="B10193" i="1"/>
  <c r="E10194" i="1"/>
  <c r="B10194" i="1"/>
  <c r="E10195" i="1"/>
  <c r="B10195" i="1"/>
  <c r="E10196" i="1"/>
  <c r="B10196" i="1"/>
  <c r="E10197" i="1"/>
  <c r="B10197" i="1"/>
  <c r="E10198" i="1"/>
  <c r="B10198" i="1"/>
  <c r="E10199" i="1"/>
  <c r="B10199" i="1"/>
  <c r="E10200" i="1"/>
  <c r="B10200" i="1"/>
  <c r="E10201" i="1"/>
  <c r="B10201" i="1"/>
  <c r="E10202" i="1"/>
  <c r="B10202" i="1"/>
  <c r="E10203" i="1"/>
  <c r="B10203" i="1"/>
  <c r="E10204" i="1"/>
  <c r="B10204" i="1"/>
  <c r="E10205" i="1"/>
  <c r="B10205" i="1"/>
  <c r="E10206" i="1"/>
  <c r="B10206" i="1"/>
  <c r="E10207" i="1"/>
  <c r="B10207" i="1"/>
  <c r="E10208" i="1"/>
  <c r="B10208" i="1"/>
  <c r="E10209" i="1"/>
  <c r="B10209" i="1"/>
  <c r="E10210" i="1"/>
  <c r="B10210" i="1"/>
  <c r="E10211" i="1"/>
  <c r="B10211" i="1"/>
  <c r="E10212" i="1"/>
  <c r="B10212" i="1"/>
  <c r="E10213" i="1"/>
  <c r="B10213" i="1"/>
  <c r="E10214" i="1"/>
  <c r="B10214" i="1"/>
  <c r="E10215" i="1"/>
  <c r="B10215" i="1"/>
  <c r="E10216" i="1"/>
  <c r="B10216" i="1"/>
  <c r="E10217" i="1"/>
  <c r="B10217" i="1"/>
  <c r="E10218" i="1"/>
  <c r="B10218" i="1"/>
  <c r="E10219" i="1"/>
  <c r="B10219" i="1"/>
  <c r="E10220" i="1"/>
  <c r="B10220" i="1"/>
  <c r="E10221" i="1"/>
  <c r="B10221" i="1"/>
  <c r="E10222" i="1"/>
  <c r="B10222" i="1"/>
  <c r="E10223" i="1"/>
  <c r="B10223" i="1"/>
  <c r="E10224" i="1"/>
  <c r="B10224" i="1"/>
  <c r="E10225" i="1"/>
  <c r="B10225" i="1"/>
  <c r="E10226" i="1"/>
  <c r="B10226" i="1"/>
  <c r="E10227" i="1"/>
  <c r="B10227" i="1"/>
  <c r="E10228" i="1"/>
  <c r="B10228" i="1"/>
  <c r="E10229" i="1"/>
  <c r="B10229" i="1"/>
  <c r="E10230" i="1"/>
  <c r="B10230" i="1"/>
  <c r="E10231" i="1"/>
  <c r="B10231" i="1"/>
  <c r="E10232" i="1"/>
  <c r="B10232" i="1"/>
  <c r="E10233" i="1"/>
  <c r="B10233" i="1"/>
  <c r="E10234" i="1"/>
  <c r="B10234" i="1"/>
  <c r="E10236" i="1"/>
  <c r="B10236" i="1"/>
  <c r="E10235" i="1"/>
  <c r="B10235" i="1"/>
  <c r="E10237" i="1"/>
  <c r="B10237" i="1"/>
  <c r="E10239" i="1"/>
  <c r="B10239" i="1"/>
  <c r="E10238" i="1"/>
  <c r="B10238" i="1"/>
  <c r="E10240" i="1"/>
  <c r="B10240" i="1"/>
  <c r="E10241" i="1"/>
  <c r="B10241" i="1"/>
  <c r="E10242" i="1"/>
  <c r="B10242" i="1"/>
  <c r="E10243" i="1"/>
  <c r="B10243" i="1"/>
  <c r="E10244" i="1"/>
  <c r="B10244" i="1"/>
  <c r="E10245" i="1"/>
  <c r="B10245" i="1"/>
  <c r="E10246" i="1"/>
  <c r="B10246" i="1"/>
  <c r="E10247" i="1"/>
  <c r="B10247" i="1"/>
  <c r="E10248" i="1"/>
  <c r="B10248" i="1"/>
  <c r="E10249" i="1"/>
  <c r="B10249" i="1"/>
  <c r="E10250" i="1"/>
  <c r="B10250" i="1"/>
  <c r="E10251" i="1"/>
  <c r="B10251" i="1"/>
  <c r="E10252" i="1"/>
  <c r="B10252" i="1"/>
  <c r="E10253" i="1"/>
  <c r="B10253" i="1"/>
  <c r="E10254" i="1"/>
  <c r="B10254" i="1"/>
  <c r="E10255" i="1"/>
  <c r="B10255" i="1"/>
  <c r="E10256" i="1"/>
  <c r="B10256" i="1"/>
  <c r="E10257" i="1"/>
  <c r="B10257" i="1"/>
  <c r="E10258" i="1"/>
  <c r="B10258" i="1"/>
  <c r="E10259" i="1"/>
  <c r="B10259" i="1"/>
  <c r="E10260" i="1"/>
  <c r="B10260" i="1"/>
  <c r="E10261" i="1"/>
  <c r="B10261" i="1"/>
  <c r="E10263" i="1"/>
  <c r="B10263" i="1"/>
  <c r="E10262" i="1"/>
  <c r="B10262" i="1"/>
  <c r="E10264" i="1"/>
  <c r="B10264" i="1"/>
  <c r="E10265" i="1"/>
  <c r="B10265" i="1"/>
  <c r="E10266" i="1"/>
  <c r="B10266" i="1"/>
  <c r="E10267" i="1"/>
  <c r="B10267" i="1"/>
  <c r="E10268" i="1"/>
  <c r="B10268" i="1"/>
  <c r="E10269" i="1"/>
  <c r="B10269" i="1"/>
  <c r="E10270" i="1"/>
  <c r="B10270" i="1"/>
  <c r="E10271" i="1"/>
  <c r="B10271" i="1"/>
  <c r="E10272" i="1"/>
  <c r="B10272" i="1"/>
  <c r="E10273" i="1"/>
  <c r="B10273" i="1"/>
  <c r="E10274" i="1"/>
  <c r="B10274" i="1"/>
  <c r="E10275" i="1"/>
  <c r="B10275" i="1"/>
  <c r="E10276" i="1"/>
  <c r="B10276" i="1"/>
  <c r="E10277" i="1"/>
  <c r="B10277" i="1"/>
  <c r="E10278" i="1"/>
  <c r="B10278" i="1"/>
  <c r="E10279" i="1"/>
  <c r="B10279" i="1"/>
  <c r="E10280" i="1"/>
  <c r="B10280" i="1"/>
  <c r="E10281" i="1"/>
  <c r="B10281" i="1"/>
  <c r="E10282" i="1"/>
  <c r="B10282" i="1"/>
  <c r="E10283" i="1"/>
  <c r="B10283" i="1"/>
  <c r="E10284" i="1"/>
  <c r="B10284" i="1"/>
  <c r="E10285" i="1"/>
  <c r="B10285" i="1"/>
  <c r="E10286" i="1"/>
  <c r="B10286" i="1"/>
  <c r="E10287" i="1"/>
  <c r="B10287" i="1"/>
  <c r="E10288" i="1"/>
  <c r="B10288" i="1"/>
  <c r="E10289" i="1"/>
  <c r="B10289" i="1"/>
  <c r="E10290" i="1"/>
  <c r="B10290" i="1"/>
  <c r="E10291" i="1"/>
  <c r="B10291" i="1"/>
  <c r="E10292" i="1"/>
  <c r="B10292" i="1"/>
  <c r="E10293" i="1"/>
  <c r="B10293" i="1"/>
  <c r="E10294" i="1"/>
  <c r="B10294" i="1"/>
  <c r="E10296" i="1"/>
  <c r="B10296" i="1"/>
  <c r="E10295" i="1"/>
  <c r="B10295" i="1"/>
  <c r="E10297" i="1"/>
  <c r="B10297" i="1"/>
  <c r="E10298" i="1"/>
  <c r="B10298" i="1"/>
  <c r="E10299" i="1"/>
  <c r="B10299" i="1"/>
  <c r="E10300" i="1"/>
  <c r="B10300" i="1"/>
  <c r="E10301" i="1"/>
  <c r="B10301" i="1"/>
  <c r="E10302" i="1"/>
  <c r="B10302" i="1"/>
  <c r="E10303" i="1"/>
  <c r="B10303" i="1"/>
  <c r="E10304" i="1"/>
  <c r="B10304" i="1"/>
  <c r="E10305" i="1"/>
  <c r="B10305" i="1"/>
  <c r="E10306" i="1"/>
  <c r="B10306" i="1"/>
  <c r="E10307" i="1"/>
  <c r="B10307" i="1"/>
  <c r="E10308" i="1"/>
  <c r="B10308" i="1"/>
  <c r="E10309" i="1"/>
  <c r="B10309" i="1"/>
  <c r="E10310" i="1"/>
  <c r="B10310" i="1"/>
  <c r="E10311" i="1"/>
  <c r="B10311" i="1"/>
  <c r="E10312" i="1"/>
  <c r="B10312" i="1"/>
  <c r="E10313" i="1"/>
  <c r="B10313" i="1"/>
  <c r="E10314" i="1"/>
  <c r="B10314" i="1"/>
  <c r="E10315" i="1"/>
  <c r="B10315" i="1"/>
  <c r="E10316" i="1"/>
  <c r="B10316" i="1"/>
  <c r="E10317" i="1"/>
  <c r="B10317" i="1"/>
  <c r="E10318" i="1"/>
  <c r="B10318" i="1"/>
  <c r="E10319" i="1"/>
  <c r="B10319" i="1"/>
  <c r="E10320" i="1"/>
  <c r="B10320" i="1"/>
  <c r="E10321" i="1"/>
  <c r="B10321" i="1"/>
  <c r="E10322" i="1"/>
  <c r="B10322" i="1"/>
  <c r="E10323" i="1"/>
  <c r="B10323" i="1"/>
  <c r="E10324" i="1"/>
  <c r="B10324" i="1"/>
  <c r="E10325" i="1"/>
  <c r="B10325" i="1"/>
  <c r="E10326" i="1"/>
  <c r="B10326" i="1"/>
  <c r="E10327" i="1"/>
  <c r="B10327" i="1"/>
  <c r="E10328" i="1"/>
  <c r="B10328" i="1"/>
  <c r="E10329" i="1"/>
  <c r="B10329" i="1"/>
  <c r="E10330" i="1"/>
  <c r="B10330" i="1"/>
  <c r="E10331" i="1"/>
  <c r="B10331" i="1"/>
  <c r="E10332" i="1"/>
  <c r="B10332" i="1"/>
  <c r="E10333" i="1"/>
  <c r="B10333" i="1"/>
  <c r="E10334" i="1"/>
  <c r="B10334" i="1"/>
  <c r="E10335" i="1"/>
  <c r="B10335" i="1"/>
  <c r="E10336" i="1"/>
  <c r="B10336" i="1"/>
  <c r="E10337" i="1"/>
  <c r="B10337" i="1"/>
  <c r="E10338" i="1"/>
  <c r="B10338" i="1"/>
  <c r="E10339" i="1"/>
  <c r="B10339" i="1"/>
  <c r="E10340" i="1"/>
  <c r="B10340" i="1"/>
  <c r="E10342" i="1"/>
  <c r="B10342" i="1"/>
  <c r="E10341" i="1"/>
  <c r="B10341" i="1"/>
  <c r="E10343" i="1"/>
  <c r="B10343" i="1"/>
  <c r="E10344" i="1"/>
  <c r="B10344" i="1"/>
  <c r="E10345" i="1"/>
  <c r="B10345" i="1"/>
  <c r="E10346" i="1"/>
  <c r="B10346" i="1"/>
  <c r="E10347" i="1"/>
  <c r="B10347" i="1"/>
  <c r="E10348" i="1"/>
  <c r="B10348" i="1"/>
  <c r="E10349" i="1"/>
  <c r="B10349" i="1"/>
  <c r="E10350" i="1"/>
  <c r="B10350" i="1"/>
  <c r="E10351" i="1"/>
  <c r="B10351" i="1"/>
  <c r="E10352" i="1"/>
  <c r="B10352" i="1"/>
  <c r="E10353" i="1"/>
  <c r="B10353" i="1"/>
  <c r="E10354" i="1"/>
  <c r="B10354" i="1"/>
  <c r="E10355" i="1"/>
  <c r="B10355" i="1"/>
  <c r="E10356" i="1"/>
  <c r="B10356" i="1"/>
  <c r="E10357" i="1"/>
  <c r="B10357" i="1"/>
  <c r="E10358" i="1"/>
  <c r="B10358" i="1"/>
  <c r="E10359" i="1"/>
  <c r="B10359" i="1"/>
  <c r="E10360" i="1"/>
  <c r="B10360" i="1"/>
  <c r="E10362" i="1"/>
  <c r="B10362" i="1"/>
  <c r="E10361" i="1"/>
  <c r="B10361" i="1"/>
  <c r="E10363" i="1"/>
  <c r="B10363" i="1"/>
  <c r="E10365" i="1"/>
  <c r="B10365" i="1"/>
  <c r="E10364" i="1"/>
  <c r="B10364" i="1"/>
  <c r="E10366" i="1"/>
  <c r="B10366" i="1"/>
  <c r="E10367" i="1"/>
  <c r="B10367" i="1"/>
  <c r="E10368" i="1"/>
  <c r="B10368" i="1"/>
  <c r="E10369" i="1"/>
  <c r="B10369" i="1"/>
  <c r="E10370" i="1"/>
  <c r="B10370" i="1"/>
  <c r="E10371" i="1"/>
  <c r="B10371" i="1"/>
  <c r="E10372" i="1"/>
  <c r="B10372" i="1"/>
  <c r="E10373" i="1"/>
  <c r="B10373" i="1"/>
  <c r="E10374" i="1"/>
  <c r="B10374" i="1"/>
  <c r="E10375" i="1"/>
  <c r="B10375" i="1"/>
  <c r="E10376" i="1"/>
  <c r="B10376" i="1"/>
  <c r="E10377" i="1"/>
  <c r="B10377" i="1"/>
  <c r="E10378" i="1"/>
  <c r="B10378" i="1"/>
  <c r="E10379" i="1"/>
  <c r="B10379" i="1"/>
  <c r="E10380" i="1"/>
  <c r="B10380" i="1"/>
  <c r="E10381" i="1"/>
  <c r="B10381" i="1"/>
  <c r="E10382" i="1"/>
  <c r="B10382" i="1"/>
  <c r="E10383" i="1"/>
  <c r="B10383" i="1"/>
  <c r="E10384" i="1"/>
  <c r="B10384" i="1"/>
  <c r="E10385" i="1"/>
  <c r="B10385" i="1"/>
  <c r="E10386" i="1"/>
  <c r="B10386" i="1"/>
  <c r="E10387" i="1"/>
  <c r="B10387" i="1"/>
  <c r="E10388" i="1"/>
  <c r="B10388" i="1"/>
  <c r="E10389" i="1"/>
  <c r="B10389" i="1"/>
  <c r="E10390" i="1"/>
  <c r="B10390" i="1"/>
  <c r="E10391" i="1"/>
  <c r="B10391" i="1"/>
  <c r="E10392" i="1"/>
  <c r="B10392" i="1"/>
  <c r="E10393" i="1"/>
  <c r="B10393" i="1"/>
  <c r="E10394" i="1"/>
  <c r="B10394" i="1"/>
  <c r="E10395" i="1"/>
  <c r="B10395" i="1"/>
  <c r="E10397" i="1"/>
  <c r="B10397" i="1"/>
  <c r="E10396" i="1"/>
  <c r="B10396" i="1"/>
  <c r="E10398" i="1"/>
  <c r="B10398" i="1"/>
  <c r="E10399" i="1"/>
  <c r="B10399" i="1"/>
  <c r="E10401" i="1"/>
  <c r="B10401" i="1"/>
  <c r="E10400" i="1"/>
  <c r="B10400" i="1"/>
  <c r="E10403" i="1"/>
  <c r="B10403" i="1"/>
  <c r="E10402" i="1"/>
  <c r="B10402" i="1"/>
  <c r="E10404" i="1"/>
  <c r="B10404" i="1"/>
  <c r="E10405" i="1"/>
  <c r="B10405" i="1"/>
  <c r="E10406" i="1"/>
  <c r="B10406" i="1"/>
  <c r="E10407" i="1"/>
  <c r="B10407" i="1"/>
  <c r="E10408" i="1"/>
  <c r="B10408" i="1"/>
  <c r="E10409" i="1"/>
  <c r="B10409" i="1"/>
  <c r="E10410" i="1"/>
  <c r="B10410" i="1"/>
  <c r="E10411" i="1"/>
  <c r="B10411" i="1"/>
  <c r="E10412" i="1"/>
  <c r="B10412" i="1"/>
  <c r="E10413" i="1"/>
  <c r="B10413" i="1"/>
  <c r="E10414" i="1"/>
  <c r="B10414" i="1"/>
  <c r="E10415" i="1"/>
  <c r="B10415" i="1"/>
  <c r="E10416" i="1"/>
  <c r="B10416" i="1"/>
  <c r="E10417" i="1"/>
  <c r="B10417" i="1"/>
  <c r="E10418" i="1"/>
  <c r="B10418" i="1"/>
  <c r="E10419" i="1"/>
  <c r="B10419" i="1"/>
  <c r="E10420" i="1"/>
  <c r="B10420" i="1"/>
  <c r="E10421" i="1"/>
  <c r="B10421" i="1"/>
  <c r="E10422" i="1"/>
  <c r="B10422" i="1"/>
  <c r="E10423" i="1"/>
  <c r="B10423" i="1"/>
  <c r="E10424" i="1"/>
  <c r="B10424" i="1"/>
  <c r="E10425" i="1"/>
  <c r="B10425" i="1"/>
  <c r="E10426" i="1"/>
  <c r="B10426" i="1"/>
  <c r="E10427" i="1"/>
  <c r="B10427" i="1"/>
  <c r="E10428" i="1"/>
  <c r="B10428" i="1"/>
  <c r="E10429" i="1"/>
  <c r="B10429" i="1"/>
  <c r="E10430" i="1"/>
  <c r="B10430" i="1"/>
  <c r="E10431" i="1"/>
  <c r="B10431" i="1"/>
  <c r="E10432" i="1"/>
  <c r="B10432" i="1"/>
  <c r="E10433" i="1"/>
  <c r="B10433" i="1"/>
  <c r="E10434" i="1"/>
  <c r="B10434" i="1"/>
  <c r="E10435" i="1"/>
  <c r="B10435" i="1"/>
  <c r="E10436" i="1"/>
  <c r="B10436" i="1"/>
  <c r="E10437" i="1"/>
  <c r="B10437" i="1"/>
  <c r="E10438" i="1"/>
  <c r="B10438" i="1"/>
  <c r="E10439" i="1"/>
  <c r="B10439" i="1"/>
  <c r="E10440" i="1"/>
  <c r="B10440" i="1"/>
  <c r="E10441" i="1"/>
  <c r="B10441" i="1"/>
  <c r="E10442" i="1"/>
  <c r="B10442" i="1"/>
  <c r="E10443" i="1"/>
  <c r="B10443" i="1"/>
  <c r="E10444" i="1"/>
  <c r="B10444" i="1"/>
  <c r="E10445" i="1"/>
  <c r="B10445" i="1"/>
  <c r="E10446" i="1"/>
  <c r="B10446" i="1"/>
  <c r="E10447" i="1"/>
  <c r="B10447" i="1"/>
  <c r="E10448" i="1"/>
  <c r="B10448" i="1"/>
  <c r="E10449" i="1"/>
  <c r="B10449" i="1"/>
  <c r="E10450" i="1"/>
  <c r="B10450" i="1"/>
  <c r="E10452" i="1"/>
  <c r="B10452" i="1"/>
  <c r="E10451" i="1"/>
  <c r="B10451" i="1"/>
  <c r="E10453" i="1"/>
  <c r="B10453" i="1"/>
  <c r="E10454" i="1"/>
  <c r="B10454" i="1"/>
  <c r="E10455" i="1"/>
  <c r="B10455" i="1"/>
  <c r="E10456" i="1"/>
  <c r="B10456" i="1"/>
  <c r="E10457" i="1"/>
  <c r="B10457" i="1"/>
  <c r="E10458" i="1"/>
  <c r="B10458" i="1"/>
  <c r="E10459" i="1"/>
  <c r="B10459" i="1"/>
  <c r="E10460" i="1"/>
  <c r="B10460" i="1"/>
  <c r="E10461" i="1"/>
  <c r="B10461" i="1"/>
  <c r="E10462" i="1"/>
  <c r="B10462" i="1"/>
  <c r="E10463" i="1"/>
  <c r="B10463" i="1"/>
  <c r="E10464" i="1"/>
  <c r="B10464" i="1"/>
  <c r="E10465" i="1"/>
  <c r="B10465" i="1"/>
  <c r="E10466" i="1"/>
  <c r="B10466" i="1"/>
  <c r="E10467" i="1"/>
  <c r="B10467" i="1"/>
  <c r="E10469" i="1"/>
  <c r="B10469" i="1"/>
  <c r="E10468" i="1"/>
  <c r="B10468" i="1"/>
  <c r="E10470" i="1"/>
  <c r="B10470" i="1"/>
  <c r="E10471" i="1"/>
  <c r="B10471" i="1"/>
  <c r="E10472" i="1"/>
  <c r="B10472" i="1"/>
  <c r="E10473" i="1"/>
  <c r="B10473" i="1"/>
  <c r="E10474" i="1"/>
  <c r="B10474" i="1"/>
  <c r="E10475" i="1"/>
  <c r="B10475" i="1"/>
  <c r="E10476" i="1"/>
  <c r="B10476" i="1"/>
  <c r="E10477" i="1"/>
  <c r="B10477" i="1"/>
  <c r="E10478" i="1"/>
  <c r="B10478" i="1"/>
  <c r="E10479" i="1"/>
  <c r="B10479" i="1"/>
  <c r="E10480" i="1"/>
  <c r="B10480" i="1"/>
  <c r="E10482" i="1"/>
  <c r="B10482" i="1"/>
  <c r="E10481" i="1"/>
  <c r="B10481" i="1"/>
  <c r="E10483" i="1"/>
  <c r="B10483" i="1"/>
  <c r="E10484" i="1"/>
  <c r="B10484" i="1"/>
  <c r="E10485" i="1"/>
  <c r="B10485" i="1"/>
  <c r="E10486" i="1"/>
  <c r="B10486" i="1"/>
  <c r="E10487" i="1"/>
  <c r="B10487" i="1"/>
  <c r="E10488" i="1"/>
  <c r="B10488" i="1"/>
  <c r="E10489" i="1"/>
  <c r="B10489" i="1"/>
  <c r="E10490" i="1"/>
  <c r="B10490" i="1"/>
  <c r="E10491" i="1"/>
  <c r="B10491" i="1"/>
  <c r="E10492" i="1"/>
  <c r="B10492" i="1"/>
  <c r="E10493" i="1"/>
  <c r="B10493" i="1"/>
  <c r="E10494" i="1"/>
  <c r="B10494" i="1"/>
  <c r="E10495" i="1"/>
  <c r="B10495" i="1"/>
  <c r="E10496" i="1"/>
  <c r="B10496" i="1"/>
  <c r="E10497" i="1"/>
  <c r="B10497" i="1"/>
  <c r="E10499" i="1"/>
  <c r="B10499" i="1"/>
  <c r="E10498" i="1"/>
  <c r="B10498" i="1"/>
  <c r="E10500" i="1"/>
  <c r="B10500" i="1"/>
  <c r="E10501" i="1"/>
  <c r="B10501" i="1"/>
  <c r="E10502" i="1"/>
  <c r="B10502" i="1"/>
  <c r="E10503" i="1"/>
  <c r="B10503" i="1"/>
  <c r="E10505" i="1"/>
  <c r="B10505" i="1"/>
  <c r="E10504" i="1"/>
  <c r="B10504" i="1"/>
  <c r="E10506" i="1"/>
  <c r="B10506" i="1"/>
  <c r="E10507" i="1"/>
  <c r="B10507" i="1"/>
  <c r="E10508" i="1"/>
  <c r="B10508" i="1"/>
  <c r="E10509" i="1"/>
  <c r="B10509" i="1"/>
  <c r="E10510" i="1"/>
  <c r="B10510" i="1"/>
  <c r="E10511" i="1"/>
  <c r="B10511" i="1"/>
  <c r="E10512" i="1"/>
  <c r="B10512" i="1"/>
  <c r="E10513" i="1"/>
  <c r="B10513" i="1"/>
  <c r="E10514" i="1"/>
  <c r="B10514" i="1"/>
  <c r="E10515" i="1"/>
  <c r="B10515" i="1"/>
  <c r="E10516" i="1"/>
  <c r="B10516" i="1"/>
  <c r="E10517" i="1"/>
  <c r="B10517" i="1"/>
  <c r="E10518" i="1"/>
  <c r="B10518" i="1"/>
  <c r="E10519" i="1"/>
  <c r="B10519" i="1"/>
  <c r="E10520" i="1"/>
  <c r="B10520" i="1"/>
  <c r="E10521" i="1"/>
  <c r="B10521" i="1"/>
  <c r="E10522" i="1"/>
  <c r="B10522" i="1"/>
  <c r="E10523" i="1"/>
  <c r="B10523" i="1"/>
  <c r="E10524" i="1"/>
  <c r="B10524" i="1"/>
  <c r="E10525" i="1"/>
  <c r="B10525" i="1"/>
  <c r="E10526" i="1"/>
  <c r="B10526" i="1"/>
  <c r="E10527" i="1"/>
  <c r="B10527" i="1"/>
  <c r="E10528" i="1"/>
  <c r="B10528" i="1"/>
  <c r="E10529" i="1"/>
  <c r="B10529" i="1"/>
  <c r="E10530" i="1"/>
  <c r="B10530" i="1"/>
  <c r="E10531" i="1"/>
  <c r="B10531" i="1"/>
  <c r="E10532" i="1"/>
  <c r="B10532" i="1"/>
  <c r="E10533" i="1"/>
  <c r="B10533" i="1"/>
  <c r="E10534" i="1"/>
  <c r="B10534" i="1"/>
  <c r="E10535" i="1"/>
  <c r="B10535" i="1"/>
  <c r="E10536" i="1"/>
  <c r="B10536" i="1"/>
  <c r="E10537" i="1"/>
  <c r="B10537" i="1"/>
  <c r="E10538" i="1"/>
  <c r="B10538" i="1"/>
  <c r="E10539" i="1"/>
  <c r="B10539" i="1"/>
  <c r="E10540" i="1"/>
  <c r="B10540" i="1"/>
  <c r="E10541" i="1"/>
  <c r="B10541" i="1"/>
  <c r="E10542" i="1"/>
  <c r="B10542" i="1"/>
  <c r="E10543" i="1"/>
  <c r="B10543" i="1"/>
  <c r="E10544" i="1"/>
  <c r="B10544" i="1"/>
  <c r="E10545" i="1"/>
  <c r="B10545" i="1"/>
  <c r="E10546" i="1"/>
  <c r="B10546" i="1"/>
  <c r="E10547" i="1"/>
  <c r="B10547" i="1"/>
  <c r="E10548" i="1"/>
  <c r="B10548" i="1"/>
  <c r="E10549" i="1"/>
  <c r="B10549" i="1"/>
  <c r="E10550" i="1"/>
  <c r="B10550" i="1"/>
  <c r="E10551" i="1"/>
  <c r="B10551" i="1"/>
  <c r="E10552" i="1"/>
  <c r="B10552" i="1"/>
  <c r="E10553" i="1"/>
  <c r="B10553" i="1"/>
  <c r="E10554" i="1"/>
  <c r="B10554" i="1"/>
  <c r="E10555" i="1"/>
  <c r="B10555" i="1"/>
  <c r="E10556" i="1"/>
  <c r="B10556" i="1"/>
  <c r="E10557" i="1"/>
  <c r="B10557" i="1"/>
  <c r="E10558" i="1"/>
  <c r="B10558" i="1"/>
  <c r="E10559" i="1"/>
  <c r="B10559" i="1"/>
  <c r="E10560" i="1"/>
  <c r="B10560" i="1"/>
  <c r="E10561" i="1"/>
  <c r="B10561" i="1"/>
  <c r="E10562" i="1"/>
  <c r="B10562" i="1"/>
  <c r="E10563" i="1"/>
  <c r="B10563" i="1"/>
  <c r="E10564" i="1"/>
  <c r="B10564" i="1"/>
  <c r="E10565" i="1"/>
  <c r="B10565" i="1"/>
  <c r="E10566" i="1"/>
  <c r="B10566" i="1"/>
  <c r="E10567" i="1"/>
  <c r="B10567" i="1"/>
  <c r="E10568" i="1"/>
  <c r="B10568" i="1"/>
  <c r="E10569" i="1"/>
  <c r="B10569" i="1"/>
  <c r="E10570" i="1"/>
  <c r="B10570" i="1"/>
  <c r="E10571" i="1"/>
  <c r="B10571" i="1"/>
  <c r="E10572" i="1"/>
  <c r="B10572" i="1"/>
  <c r="E10573" i="1"/>
  <c r="B10573" i="1"/>
  <c r="E10574" i="1"/>
  <c r="B10574" i="1"/>
  <c r="E10575" i="1"/>
  <c r="B10575" i="1"/>
  <c r="E10576" i="1"/>
  <c r="B10576" i="1"/>
  <c r="E10577" i="1"/>
  <c r="B10577" i="1"/>
  <c r="E10578" i="1"/>
  <c r="B10578" i="1"/>
  <c r="E10579" i="1"/>
  <c r="B10579" i="1"/>
  <c r="E10581" i="1"/>
  <c r="B10581" i="1"/>
  <c r="E10580" i="1"/>
  <c r="B10580" i="1"/>
  <c r="E10582" i="1"/>
  <c r="B10582" i="1"/>
  <c r="E10583" i="1"/>
  <c r="B10583" i="1"/>
  <c r="E10584" i="1"/>
  <c r="B10584" i="1"/>
  <c r="E10585" i="1"/>
  <c r="B10585" i="1"/>
  <c r="E10586" i="1"/>
  <c r="B10586" i="1"/>
  <c r="E10587" i="1"/>
  <c r="B10587" i="1"/>
  <c r="E10588" i="1"/>
  <c r="B10588" i="1"/>
  <c r="E10589" i="1"/>
  <c r="B10589" i="1"/>
  <c r="E10590" i="1"/>
  <c r="B10590" i="1"/>
  <c r="E10591" i="1"/>
  <c r="B10591" i="1"/>
  <c r="E10592" i="1"/>
  <c r="B10592" i="1"/>
  <c r="E10593" i="1"/>
  <c r="B10593" i="1"/>
  <c r="E10594" i="1"/>
  <c r="B10594" i="1"/>
  <c r="E10595" i="1"/>
  <c r="B10595" i="1"/>
  <c r="E10596" i="1"/>
  <c r="B10596" i="1"/>
  <c r="E10597" i="1"/>
  <c r="B10597" i="1"/>
  <c r="E10598" i="1"/>
  <c r="B10598" i="1"/>
  <c r="E10599" i="1"/>
  <c r="B10599" i="1"/>
  <c r="E10600" i="1"/>
  <c r="B10600" i="1"/>
  <c r="E10601" i="1"/>
  <c r="B10601" i="1"/>
  <c r="E10602" i="1"/>
  <c r="B10602" i="1"/>
  <c r="E10603" i="1"/>
  <c r="B10603" i="1"/>
  <c r="E10604" i="1"/>
  <c r="B10604" i="1"/>
  <c r="E10605" i="1"/>
  <c r="B10605" i="1"/>
  <c r="E10606" i="1"/>
  <c r="B10606" i="1"/>
  <c r="E10607" i="1"/>
  <c r="B10607" i="1"/>
  <c r="E10608" i="1"/>
  <c r="B10608" i="1"/>
  <c r="E10609" i="1"/>
  <c r="B10609" i="1"/>
  <c r="E10610" i="1"/>
  <c r="B10610" i="1"/>
  <c r="E10611" i="1"/>
  <c r="B10611" i="1"/>
  <c r="E10612" i="1"/>
  <c r="B10612" i="1"/>
  <c r="E10613" i="1"/>
  <c r="B10613" i="1"/>
  <c r="E10614" i="1"/>
  <c r="B10614" i="1"/>
  <c r="E10615" i="1"/>
  <c r="B10615" i="1"/>
  <c r="E10616" i="1"/>
  <c r="B10616" i="1"/>
  <c r="E10617" i="1"/>
  <c r="B10617" i="1"/>
  <c r="E10618" i="1"/>
  <c r="B10618" i="1"/>
  <c r="E10619" i="1"/>
  <c r="B10619" i="1"/>
  <c r="E10620" i="1"/>
  <c r="B10620" i="1"/>
  <c r="E10622" i="1"/>
  <c r="B10622" i="1"/>
  <c r="E10621" i="1"/>
  <c r="B10621" i="1"/>
  <c r="E10623" i="1"/>
  <c r="B10623" i="1"/>
  <c r="E10624" i="1"/>
  <c r="B10624" i="1"/>
  <c r="E10625" i="1"/>
  <c r="B10625" i="1"/>
  <c r="E10627" i="1"/>
  <c r="B10627" i="1"/>
  <c r="E10626" i="1"/>
  <c r="B10626" i="1"/>
  <c r="E10628" i="1"/>
  <c r="B10628" i="1"/>
  <c r="E10629" i="1"/>
  <c r="B10629" i="1"/>
  <c r="E10630" i="1"/>
  <c r="B10630" i="1"/>
  <c r="E10632" i="1"/>
  <c r="B10632" i="1"/>
  <c r="E10631" i="1"/>
  <c r="B10631" i="1"/>
  <c r="E10633" i="1"/>
  <c r="B10633" i="1"/>
  <c r="E10634" i="1"/>
  <c r="B10634" i="1"/>
  <c r="E10635" i="1"/>
  <c r="B10635" i="1"/>
  <c r="E10636" i="1"/>
  <c r="B10636" i="1"/>
  <c r="E10637" i="1"/>
  <c r="B10637" i="1"/>
  <c r="E10638" i="1"/>
  <c r="B10638" i="1"/>
  <c r="E10639" i="1"/>
  <c r="B10639" i="1"/>
  <c r="E10640" i="1"/>
  <c r="B10640" i="1"/>
  <c r="E10641" i="1"/>
  <c r="B10641" i="1"/>
  <c r="E10642" i="1"/>
  <c r="B10642" i="1"/>
  <c r="E10643" i="1"/>
  <c r="B10643" i="1"/>
  <c r="E10644" i="1"/>
  <c r="B10644" i="1"/>
  <c r="E10645" i="1"/>
  <c r="B10645" i="1"/>
  <c r="E10646" i="1"/>
  <c r="B10646" i="1"/>
  <c r="E10647" i="1"/>
  <c r="B10647" i="1"/>
  <c r="E10648" i="1"/>
  <c r="B10648" i="1"/>
  <c r="E10649" i="1"/>
  <c r="B10649" i="1"/>
  <c r="E10650" i="1"/>
  <c r="B10650" i="1"/>
  <c r="E10651" i="1"/>
  <c r="B10651" i="1"/>
  <c r="E10652" i="1"/>
  <c r="B10652" i="1"/>
  <c r="E10653" i="1"/>
  <c r="B10653" i="1"/>
  <c r="E10654" i="1"/>
  <c r="B10654" i="1"/>
  <c r="E10655" i="1"/>
  <c r="B10655" i="1"/>
  <c r="E10656" i="1"/>
  <c r="B10656" i="1"/>
  <c r="E10657" i="1"/>
  <c r="B10657" i="1"/>
  <c r="E10658" i="1"/>
  <c r="B10658" i="1"/>
  <c r="E10659" i="1"/>
  <c r="B10659" i="1"/>
  <c r="E10660" i="1"/>
  <c r="B10660" i="1"/>
  <c r="E10661" i="1"/>
  <c r="B10661" i="1"/>
  <c r="E10662" i="1"/>
  <c r="B10662" i="1"/>
  <c r="E10663" i="1"/>
  <c r="B10663" i="1"/>
  <c r="E10664" i="1"/>
  <c r="B10664" i="1"/>
  <c r="E10665" i="1"/>
  <c r="B10665" i="1"/>
  <c r="E10666" i="1"/>
  <c r="B10666" i="1"/>
  <c r="E10667" i="1"/>
  <c r="B10667" i="1"/>
  <c r="E10668" i="1"/>
  <c r="B10668" i="1"/>
  <c r="E10669" i="1"/>
  <c r="B10669" i="1"/>
  <c r="E10670" i="1"/>
  <c r="B10670" i="1"/>
  <c r="E10671" i="1"/>
  <c r="B10671" i="1"/>
  <c r="E10672" i="1"/>
  <c r="B10672" i="1"/>
  <c r="E10673" i="1"/>
  <c r="B10673" i="1"/>
  <c r="E10674" i="1"/>
  <c r="B10674" i="1"/>
  <c r="E10675" i="1"/>
  <c r="B10675" i="1"/>
  <c r="E10676" i="1"/>
  <c r="B10676" i="1"/>
  <c r="E10677" i="1"/>
  <c r="B10677" i="1"/>
  <c r="E10678" i="1"/>
  <c r="B10678" i="1"/>
  <c r="E10679" i="1"/>
  <c r="B10679" i="1"/>
  <c r="E10680" i="1"/>
  <c r="B10680" i="1"/>
  <c r="E10681" i="1"/>
  <c r="B10681" i="1"/>
  <c r="E10682" i="1"/>
  <c r="B10682" i="1"/>
  <c r="E10683" i="1"/>
  <c r="B10683" i="1"/>
  <c r="E10684" i="1"/>
  <c r="B10684" i="1"/>
  <c r="E10685" i="1"/>
  <c r="B10685" i="1"/>
  <c r="E10686" i="1"/>
  <c r="B10686" i="1"/>
  <c r="E10687" i="1"/>
  <c r="B10687" i="1"/>
  <c r="E10688" i="1"/>
  <c r="B10688" i="1"/>
  <c r="E10689" i="1"/>
  <c r="B10689" i="1"/>
  <c r="E10690" i="1"/>
  <c r="B10690" i="1"/>
  <c r="E10691" i="1"/>
  <c r="B10691" i="1"/>
  <c r="E10692" i="1"/>
  <c r="B10692" i="1"/>
  <c r="E10693" i="1"/>
  <c r="B10693" i="1"/>
  <c r="E10694" i="1"/>
  <c r="B10694" i="1"/>
  <c r="E10695" i="1"/>
  <c r="B10695" i="1"/>
  <c r="E10696" i="1"/>
  <c r="B10696" i="1"/>
  <c r="E10697" i="1"/>
  <c r="B10697" i="1"/>
  <c r="E10698" i="1"/>
  <c r="B10698" i="1"/>
  <c r="E10699" i="1"/>
  <c r="B10699" i="1"/>
  <c r="E10700" i="1"/>
  <c r="B10700" i="1"/>
  <c r="E10701" i="1"/>
  <c r="B10701" i="1"/>
  <c r="E10702" i="1"/>
  <c r="B10702" i="1"/>
  <c r="E10703" i="1"/>
  <c r="B10703" i="1"/>
  <c r="E10704" i="1"/>
  <c r="B10704" i="1"/>
  <c r="E10705" i="1"/>
  <c r="B10705" i="1"/>
  <c r="E10706" i="1"/>
  <c r="B10706" i="1"/>
  <c r="E10707" i="1"/>
  <c r="B10707" i="1"/>
  <c r="E10708" i="1"/>
  <c r="B10708" i="1"/>
  <c r="E10709" i="1"/>
  <c r="B10709" i="1"/>
  <c r="E10710" i="1"/>
  <c r="B10710" i="1"/>
  <c r="E10711" i="1"/>
  <c r="B10711" i="1"/>
  <c r="E10712" i="1"/>
  <c r="B10712" i="1"/>
  <c r="E10713" i="1"/>
  <c r="B10713" i="1"/>
  <c r="E10714" i="1"/>
  <c r="B10714" i="1"/>
  <c r="E10715" i="1"/>
  <c r="B10715" i="1"/>
  <c r="E10716" i="1"/>
  <c r="B10716" i="1"/>
  <c r="E10717" i="1"/>
  <c r="B10717" i="1"/>
  <c r="E10718" i="1"/>
  <c r="B10718" i="1"/>
  <c r="E10719" i="1"/>
  <c r="B10719" i="1"/>
  <c r="E10720" i="1"/>
  <c r="B10720" i="1"/>
  <c r="E10721" i="1"/>
  <c r="B10721" i="1"/>
  <c r="E10722" i="1"/>
  <c r="B10722" i="1"/>
  <c r="E10723" i="1"/>
  <c r="B10723" i="1"/>
  <c r="E10724" i="1"/>
  <c r="B10724" i="1"/>
  <c r="E10725" i="1"/>
  <c r="B10725" i="1"/>
  <c r="E10726" i="1"/>
  <c r="B10726" i="1"/>
  <c r="E10727" i="1"/>
  <c r="B10727" i="1"/>
  <c r="E10728" i="1"/>
  <c r="B10728" i="1"/>
  <c r="E10729" i="1"/>
  <c r="B10729" i="1"/>
  <c r="E10730" i="1"/>
  <c r="B10730" i="1"/>
  <c r="E10731" i="1"/>
  <c r="B10731" i="1"/>
  <c r="E10732" i="1"/>
  <c r="B10732" i="1"/>
  <c r="E10733" i="1"/>
  <c r="B10733" i="1"/>
  <c r="E10734" i="1"/>
  <c r="B10734" i="1"/>
  <c r="E10735" i="1"/>
  <c r="B10735" i="1"/>
  <c r="E10736" i="1"/>
  <c r="B10736" i="1"/>
  <c r="E10737" i="1"/>
  <c r="B10737" i="1"/>
  <c r="E10738" i="1"/>
  <c r="B10738" i="1"/>
  <c r="E10739" i="1"/>
  <c r="B10739" i="1"/>
  <c r="E10740" i="1"/>
  <c r="B10740" i="1"/>
  <c r="E10741" i="1"/>
  <c r="B10741" i="1"/>
  <c r="E10742" i="1"/>
  <c r="B10742" i="1"/>
  <c r="E10743" i="1"/>
  <c r="B10743" i="1"/>
  <c r="E10744" i="1"/>
  <c r="B10744" i="1"/>
  <c r="E10745" i="1"/>
  <c r="B10745" i="1"/>
  <c r="E10746" i="1"/>
  <c r="B10746" i="1"/>
  <c r="E10747" i="1"/>
  <c r="B10747" i="1"/>
  <c r="E10748" i="1"/>
  <c r="B10748" i="1"/>
  <c r="E10749" i="1"/>
  <c r="B10749" i="1"/>
  <c r="E10750" i="1"/>
  <c r="B10750" i="1"/>
  <c r="E10751" i="1"/>
  <c r="B10751" i="1"/>
  <c r="E10752" i="1"/>
  <c r="B10752" i="1"/>
  <c r="E10753" i="1"/>
  <c r="B10753" i="1"/>
  <c r="E10754" i="1"/>
  <c r="B10754" i="1"/>
  <c r="E10755" i="1"/>
  <c r="B10755" i="1"/>
  <c r="E10756" i="1"/>
  <c r="B10756" i="1"/>
  <c r="E10757" i="1"/>
  <c r="B10757" i="1"/>
  <c r="E10758" i="1"/>
  <c r="B10758" i="1"/>
  <c r="E10759" i="1"/>
  <c r="B10759" i="1"/>
  <c r="E10760" i="1"/>
  <c r="B10760" i="1"/>
  <c r="E10761" i="1"/>
  <c r="B10761" i="1"/>
  <c r="E10762" i="1"/>
  <c r="B10762" i="1"/>
  <c r="E10763" i="1"/>
  <c r="B10763" i="1"/>
  <c r="E10764" i="1"/>
  <c r="B10764" i="1"/>
  <c r="E10765" i="1"/>
  <c r="B10765" i="1"/>
  <c r="E10766" i="1"/>
  <c r="B10766" i="1"/>
  <c r="E10767" i="1"/>
  <c r="B10767" i="1"/>
  <c r="E10768" i="1"/>
  <c r="B10768" i="1"/>
  <c r="E10769" i="1"/>
  <c r="B10769" i="1"/>
  <c r="E10770" i="1"/>
  <c r="B10770" i="1"/>
  <c r="E10771" i="1"/>
  <c r="B10771" i="1"/>
  <c r="E10772" i="1"/>
  <c r="B10772" i="1"/>
  <c r="E10773" i="1"/>
  <c r="B10773" i="1"/>
  <c r="E10774" i="1"/>
  <c r="B10774" i="1"/>
  <c r="E10775" i="1"/>
  <c r="B10775" i="1"/>
  <c r="E10776" i="1"/>
  <c r="B10776" i="1"/>
  <c r="E10777" i="1"/>
  <c r="B10777" i="1"/>
  <c r="E10778" i="1"/>
  <c r="B10778" i="1"/>
  <c r="E10779" i="1"/>
  <c r="B10779" i="1"/>
  <c r="E10780" i="1"/>
  <c r="B10780" i="1"/>
  <c r="E10781" i="1"/>
  <c r="B10781" i="1"/>
  <c r="E10782" i="1"/>
  <c r="B10782" i="1"/>
  <c r="E10783" i="1"/>
  <c r="B10783" i="1"/>
  <c r="E10784" i="1"/>
  <c r="B10784" i="1"/>
  <c r="E10785" i="1"/>
  <c r="B10785" i="1"/>
  <c r="E10786" i="1"/>
  <c r="B10786" i="1"/>
  <c r="E10787" i="1"/>
  <c r="B10787" i="1"/>
  <c r="E10788" i="1"/>
  <c r="B10788" i="1"/>
  <c r="E10789" i="1"/>
  <c r="B10789" i="1"/>
  <c r="E10790" i="1"/>
  <c r="B10790" i="1"/>
  <c r="E10791" i="1"/>
  <c r="B10791" i="1"/>
  <c r="E10792" i="1"/>
  <c r="B10792" i="1"/>
  <c r="E10793" i="1"/>
  <c r="B10793" i="1"/>
  <c r="E10794" i="1"/>
  <c r="B10794" i="1"/>
  <c r="E10795" i="1"/>
  <c r="B10795" i="1"/>
  <c r="E10796" i="1"/>
  <c r="B10796" i="1"/>
  <c r="E10797" i="1"/>
  <c r="B10797" i="1"/>
  <c r="E10798" i="1"/>
  <c r="B10798" i="1"/>
  <c r="E10799" i="1"/>
  <c r="B10799" i="1"/>
  <c r="E10800" i="1"/>
  <c r="B10800" i="1"/>
  <c r="E10802" i="1"/>
  <c r="B10802" i="1"/>
  <c r="E10801" i="1"/>
  <c r="B10801" i="1"/>
  <c r="E10803" i="1"/>
  <c r="B10803" i="1"/>
  <c r="E10804" i="1"/>
  <c r="B10804" i="1"/>
  <c r="E10805" i="1"/>
  <c r="B10805" i="1"/>
  <c r="E10806" i="1"/>
  <c r="B10806" i="1"/>
  <c r="E10807" i="1"/>
  <c r="B10807" i="1"/>
  <c r="E10808" i="1"/>
  <c r="B10808" i="1"/>
  <c r="E10809" i="1"/>
  <c r="B10809" i="1"/>
  <c r="E10810" i="1"/>
  <c r="B10810" i="1"/>
  <c r="E10811" i="1"/>
  <c r="B10811" i="1"/>
  <c r="E10812" i="1"/>
  <c r="B10812" i="1"/>
  <c r="E10813" i="1"/>
  <c r="B10813" i="1"/>
  <c r="E10814" i="1"/>
  <c r="B10814" i="1"/>
  <c r="E10815" i="1"/>
  <c r="B10815" i="1"/>
  <c r="E10816" i="1"/>
  <c r="B10816" i="1"/>
  <c r="E10817" i="1"/>
  <c r="B10817" i="1"/>
  <c r="E10818" i="1"/>
  <c r="B10818" i="1"/>
  <c r="E10819" i="1"/>
  <c r="B10819" i="1"/>
  <c r="E10820" i="1"/>
  <c r="B10820" i="1"/>
  <c r="E10821" i="1"/>
  <c r="B10821" i="1"/>
  <c r="E10822" i="1"/>
  <c r="B10822" i="1"/>
  <c r="E10823" i="1"/>
  <c r="B10823" i="1"/>
  <c r="E10824" i="1"/>
  <c r="B10824" i="1"/>
  <c r="E10825" i="1"/>
  <c r="B10825" i="1"/>
  <c r="E10826" i="1"/>
  <c r="B10826" i="1"/>
  <c r="E10827" i="1"/>
  <c r="B10827" i="1"/>
  <c r="E10828" i="1"/>
  <c r="B10828" i="1"/>
  <c r="E10829" i="1"/>
  <c r="B10829" i="1"/>
  <c r="E10830" i="1"/>
  <c r="B10830" i="1"/>
  <c r="E10831" i="1"/>
  <c r="B10831" i="1"/>
  <c r="E10832" i="1"/>
  <c r="B10832" i="1"/>
  <c r="E10833" i="1"/>
  <c r="B10833" i="1"/>
  <c r="E10834" i="1"/>
  <c r="B10834" i="1"/>
  <c r="E10835" i="1"/>
  <c r="B10835" i="1"/>
  <c r="E10837" i="1"/>
  <c r="B10837" i="1"/>
  <c r="E10836" i="1"/>
  <c r="B10836" i="1"/>
  <c r="E10838" i="1"/>
  <c r="B10838" i="1"/>
  <c r="E10839" i="1"/>
  <c r="B10839" i="1"/>
  <c r="E10840" i="1"/>
  <c r="B10840" i="1"/>
  <c r="E10841" i="1"/>
  <c r="B10841" i="1"/>
  <c r="E10842" i="1"/>
  <c r="B10842" i="1"/>
  <c r="E10843" i="1"/>
  <c r="B10843" i="1"/>
  <c r="E10844" i="1"/>
  <c r="B10844" i="1"/>
  <c r="E10845" i="1"/>
  <c r="B10845" i="1"/>
  <c r="E10846" i="1"/>
  <c r="B10846" i="1"/>
  <c r="E10847" i="1"/>
  <c r="B10847" i="1"/>
  <c r="E10848" i="1"/>
  <c r="B10848" i="1"/>
  <c r="E10849" i="1"/>
  <c r="B10849" i="1"/>
  <c r="E10850" i="1"/>
  <c r="B10850" i="1"/>
  <c r="E10851" i="1"/>
  <c r="B10851" i="1"/>
  <c r="E10852" i="1"/>
  <c r="B10852" i="1"/>
  <c r="E10853" i="1"/>
  <c r="B10853" i="1"/>
  <c r="E10854" i="1"/>
  <c r="B10854" i="1"/>
  <c r="E10855" i="1"/>
  <c r="B10855" i="1"/>
  <c r="E10856" i="1"/>
  <c r="B10856" i="1"/>
  <c r="E10857" i="1"/>
  <c r="B10857" i="1"/>
  <c r="E10858" i="1"/>
  <c r="B10858" i="1"/>
  <c r="E10859" i="1"/>
  <c r="B10859" i="1"/>
  <c r="E10860" i="1"/>
  <c r="B10860" i="1"/>
  <c r="E10861" i="1"/>
  <c r="B10861" i="1"/>
  <c r="E10862" i="1"/>
  <c r="B10862" i="1"/>
  <c r="E10863" i="1"/>
  <c r="B10863" i="1"/>
  <c r="E10864" i="1"/>
  <c r="B10864" i="1"/>
  <c r="E10865" i="1"/>
  <c r="B10865" i="1"/>
  <c r="E10866" i="1"/>
  <c r="B10866" i="1"/>
  <c r="E10867" i="1"/>
  <c r="B10867" i="1"/>
  <c r="E10868" i="1"/>
  <c r="B10868" i="1"/>
  <c r="E10869" i="1"/>
  <c r="B10869" i="1"/>
  <c r="E10871" i="1"/>
  <c r="B10871" i="1"/>
  <c r="E10870" i="1"/>
  <c r="B10870" i="1"/>
  <c r="E10872" i="1"/>
  <c r="B10872" i="1"/>
  <c r="E10873" i="1"/>
  <c r="B10873" i="1"/>
  <c r="E10874" i="1"/>
  <c r="B10874" i="1"/>
  <c r="E10875" i="1"/>
  <c r="B10875" i="1"/>
  <c r="E10876" i="1"/>
  <c r="B10876" i="1"/>
  <c r="E10877" i="1"/>
  <c r="B10877" i="1"/>
  <c r="E10878" i="1"/>
  <c r="B10878" i="1"/>
  <c r="E10879" i="1"/>
  <c r="B10879" i="1"/>
  <c r="E10880" i="1"/>
  <c r="B10880" i="1"/>
  <c r="E10881" i="1"/>
  <c r="B10881" i="1"/>
  <c r="E10882" i="1"/>
  <c r="B10882" i="1"/>
  <c r="E10883" i="1"/>
  <c r="B10883" i="1"/>
  <c r="E10884" i="1"/>
  <c r="B10884" i="1"/>
  <c r="E10885" i="1"/>
  <c r="B10885" i="1"/>
  <c r="E10886" i="1"/>
  <c r="B10886" i="1"/>
  <c r="E10887" i="1"/>
  <c r="B10887" i="1"/>
  <c r="E10888" i="1"/>
  <c r="B10888" i="1"/>
  <c r="E10889" i="1"/>
  <c r="B10889" i="1"/>
  <c r="E10890" i="1"/>
  <c r="B10890" i="1"/>
  <c r="E10891" i="1"/>
  <c r="B10891" i="1"/>
  <c r="E10892" i="1"/>
  <c r="B10892" i="1"/>
  <c r="E10893" i="1"/>
  <c r="B10893" i="1"/>
  <c r="E10894" i="1"/>
  <c r="B10894" i="1"/>
  <c r="E10895" i="1"/>
  <c r="B10895" i="1"/>
  <c r="E10896" i="1"/>
  <c r="B10896" i="1"/>
  <c r="E10897" i="1"/>
  <c r="B10897" i="1"/>
  <c r="E10898" i="1"/>
  <c r="B10898" i="1"/>
  <c r="E10899" i="1"/>
  <c r="B10899" i="1"/>
  <c r="E10900" i="1"/>
  <c r="B10900" i="1"/>
  <c r="E10901" i="1"/>
  <c r="B10901" i="1"/>
  <c r="E10902" i="1"/>
  <c r="B10902" i="1"/>
  <c r="E10903" i="1"/>
  <c r="B10903" i="1"/>
  <c r="E10904" i="1"/>
  <c r="B10904" i="1"/>
  <c r="E10905" i="1"/>
  <c r="B10905" i="1"/>
  <c r="E10906" i="1"/>
  <c r="B10906" i="1"/>
  <c r="E10907" i="1"/>
  <c r="B10907" i="1"/>
  <c r="E10908" i="1"/>
  <c r="B10908" i="1"/>
  <c r="E10909" i="1"/>
  <c r="B10909" i="1"/>
  <c r="E10910" i="1"/>
  <c r="B10910" i="1"/>
  <c r="E10911" i="1"/>
  <c r="B10911" i="1"/>
  <c r="E10912" i="1"/>
  <c r="B10912" i="1"/>
  <c r="E10913" i="1"/>
  <c r="B10913" i="1"/>
  <c r="E10914" i="1"/>
  <c r="B10914" i="1"/>
  <c r="E10915" i="1"/>
  <c r="B10915" i="1"/>
  <c r="E10916" i="1"/>
  <c r="B10916" i="1"/>
  <c r="E10917" i="1"/>
  <c r="B10917" i="1"/>
  <c r="E10918" i="1"/>
  <c r="B10918" i="1"/>
  <c r="E10919" i="1"/>
  <c r="B10919" i="1"/>
  <c r="E10920" i="1"/>
  <c r="B10920" i="1"/>
  <c r="E10921" i="1"/>
  <c r="B10921" i="1"/>
  <c r="E10922" i="1"/>
  <c r="B10922" i="1"/>
  <c r="E10923" i="1"/>
  <c r="B10923" i="1"/>
  <c r="E10924" i="1"/>
  <c r="B10924" i="1"/>
  <c r="E10925" i="1"/>
  <c r="B10925" i="1"/>
  <c r="E10926" i="1"/>
  <c r="B10926" i="1"/>
  <c r="E10927" i="1"/>
  <c r="B10927" i="1"/>
  <c r="E10928" i="1"/>
  <c r="B10928" i="1"/>
  <c r="E10929" i="1"/>
  <c r="B10929" i="1"/>
  <c r="E10930" i="1"/>
  <c r="B10930" i="1"/>
  <c r="E10931" i="1"/>
  <c r="B10931" i="1"/>
  <c r="E10932" i="1"/>
  <c r="B10932" i="1"/>
  <c r="E10933" i="1"/>
  <c r="B10933" i="1"/>
  <c r="E10934" i="1"/>
  <c r="B10934" i="1"/>
  <c r="E10935" i="1"/>
  <c r="B10935" i="1"/>
  <c r="E10936" i="1"/>
  <c r="B10936" i="1"/>
  <c r="E10937" i="1"/>
  <c r="B10937" i="1"/>
  <c r="E10938" i="1"/>
  <c r="B10938" i="1"/>
  <c r="E10939" i="1"/>
  <c r="B10939" i="1"/>
  <c r="E10940" i="1"/>
  <c r="B10940" i="1"/>
  <c r="E10941" i="1"/>
  <c r="B10941" i="1"/>
  <c r="E10942" i="1"/>
  <c r="B10942" i="1"/>
  <c r="E10943" i="1"/>
  <c r="B10943" i="1"/>
  <c r="E10944" i="1"/>
  <c r="B10944" i="1"/>
  <c r="E10945" i="1"/>
  <c r="B10945" i="1"/>
  <c r="E10946" i="1"/>
  <c r="B10946" i="1"/>
  <c r="E10947" i="1"/>
  <c r="B10947" i="1"/>
  <c r="E10948" i="1"/>
  <c r="B10948" i="1"/>
  <c r="E10949" i="1"/>
  <c r="B10949" i="1"/>
  <c r="E10950" i="1"/>
  <c r="B10950" i="1"/>
  <c r="E10951" i="1"/>
  <c r="B10951" i="1"/>
  <c r="E10952" i="1"/>
  <c r="B10952" i="1"/>
  <c r="E10953" i="1"/>
  <c r="B10953" i="1"/>
  <c r="E10954" i="1"/>
  <c r="B10954" i="1"/>
  <c r="E10955" i="1"/>
  <c r="B10955" i="1"/>
  <c r="E10956" i="1"/>
  <c r="B10956" i="1"/>
  <c r="E10957" i="1"/>
  <c r="B10957" i="1"/>
  <c r="E10958" i="1"/>
  <c r="B10958" i="1"/>
  <c r="E10959" i="1"/>
  <c r="B10959" i="1"/>
  <c r="E10960" i="1"/>
  <c r="B10960" i="1"/>
  <c r="E10961" i="1"/>
  <c r="B10961" i="1"/>
  <c r="E10962" i="1"/>
  <c r="B10962" i="1"/>
  <c r="E10963" i="1"/>
  <c r="B10963" i="1"/>
  <c r="E10964" i="1"/>
  <c r="B10964" i="1"/>
  <c r="E10965" i="1"/>
  <c r="B10965" i="1"/>
  <c r="E10966" i="1"/>
  <c r="B10966" i="1"/>
  <c r="E10967" i="1"/>
  <c r="B10967" i="1"/>
  <c r="E10968" i="1"/>
  <c r="B10968" i="1"/>
  <c r="E10969" i="1"/>
  <c r="B10969" i="1"/>
  <c r="E10970" i="1"/>
  <c r="B10970" i="1"/>
  <c r="E10971" i="1"/>
  <c r="B10971" i="1"/>
  <c r="E10972" i="1"/>
  <c r="B10972" i="1"/>
  <c r="E10973" i="1"/>
  <c r="B10973" i="1"/>
  <c r="E10974" i="1"/>
  <c r="B10974" i="1"/>
  <c r="E10975" i="1"/>
  <c r="B10975" i="1"/>
  <c r="E10976" i="1"/>
  <c r="B10976" i="1"/>
  <c r="E10977" i="1"/>
  <c r="B10977" i="1"/>
  <c r="E10978" i="1"/>
  <c r="B10978" i="1"/>
  <c r="E10979" i="1"/>
  <c r="B10979" i="1"/>
  <c r="E10980" i="1"/>
  <c r="B10980" i="1"/>
  <c r="E10981" i="1"/>
  <c r="B10981" i="1"/>
  <c r="E10982" i="1"/>
  <c r="B10982" i="1"/>
  <c r="E10983" i="1"/>
  <c r="B10983" i="1"/>
  <c r="E10984" i="1"/>
  <c r="B10984" i="1"/>
  <c r="E10985" i="1"/>
  <c r="B10985" i="1"/>
  <c r="E10986" i="1"/>
  <c r="B10986" i="1"/>
  <c r="E10987" i="1"/>
  <c r="B10987" i="1"/>
  <c r="E10988" i="1"/>
  <c r="B10988" i="1"/>
  <c r="E10989" i="1"/>
  <c r="B10989" i="1"/>
  <c r="E10990" i="1"/>
  <c r="B10990" i="1"/>
  <c r="E10991" i="1"/>
  <c r="B10991" i="1"/>
  <c r="E10992" i="1"/>
  <c r="B10992" i="1"/>
  <c r="E10993" i="1"/>
  <c r="B10993" i="1"/>
  <c r="E10994" i="1"/>
  <c r="B10994" i="1"/>
  <c r="E10995" i="1"/>
  <c r="B10995" i="1"/>
  <c r="E10996" i="1"/>
  <c r="B10996" i="1"/>
  <c r="E10997" i="1"/>
  <c r="B10997" i="1"/>
  <c r="E10998" i="1"/>
  <c r="B10998" i="1"/>
  <c r="E10999" i="1"/>
  <c r="B10999" i="1"/>
  <c r="E11000" i="1"/>
  <c r="B11000" i="1"/>
  <c r="E11001" i="1"/>
  <c r="B11001" i="1"/>
  <c r="E11002" i="1"/>
  <c r="B11002" i="1"/>
  <c r="E11003" i="1"/>
  <c r="B11003" i="1"/>
  <c r="E11004" i="1"/>
  <c r="B11004" i="1"/>
  <c r="E11005" i="1"/>
  <c r="B11005" i="1"/>
  <c r="E11006" i="1"/>
  <c r="B11006" i="1"/>
  <c r="E11007" i="1"/>
  <c r="B11007" i="1"/>
  <c r="E11008" i="1"/>
  <c r="B11008" i="1"/>
  <c r="E11009" i="1"/>
  <c r="B11009" i="1"/>
  <c r="E11010" i="1"/>
  <c r="B11010" i="1"/>
  <c r="E11011" i="1"/>
  <c r="B11011" i="1"/>
  <c r="E11012" i="1"/>
  <c r="B11012" i="1"/>
  <c r="E11013" i="1"/>
  <c r="B11013" i="1"/>
  <c r="E11014" i="1"/>
  <c r="B11014" i="1"/>
  <c r="E11015" i="1"/>
  <c r="B11015" i="1"/>
  <c r="E11016" i="1"/>
  <c r="B11016" i="1"/>
  <c r="E11017" i="1"/>
  <c r="B11017" i="1"/>
  <c r="E11018" i="1"/>
  <c r="B11018" i="1"/>
  <c r="E11019" i="1"/>
  <c r="B11019" i="1"/>
  <c r="E11020" i="1"/>
  <c r="B11020" i="1"/>
  <c r="E11021" i="1"/>
  <c r="B11021" i="1"/>
  <c r="E11022" i="1"/>
  <c r="B11022" i="1"/>
  <c r="E11023" i="1"/>
  <c r="B11023" i="1"/>
  <c r="E11024" i="1"/>
  <c r="B11024" i="1"/>
  <c r="E11025" i="1"/>
  <c r="B11025" i="1"/>
  <c r="E11026" i="1"/>
  <c r="B11026" i="1"/>
  <c r="E11027" i="1"/>
  <c r="B11027" i="1"/>
  <c r="E11028" i="1"/>
  <c r="B11028" i="1"/>
  <c r="E11029" i="1"/>
  <c r="B11029" i="1"/>
  <c r="E11030" i="1"/>
  <c r="B11030" i="1"/>
  <c r="E11031" i="1"/>
  <c r="B11031" i="1"/>
  <c r="E11032" i="1"/>
  <c r="B11032" i="1"/>
  <c r="E11033" i="1"/>
  <c r="B11033" i="1"/>
  <c r="E11034" i="1"/>
  <c r="B11034" i="1"/>
  <c r="E11035" i="1"/>
  <c r="B11035" i="1"/>
  <c r="E11036" i="1"/>
  <c r="B11036" i="1"/>
  <c r="E11037" i="1"/>
  <c r="B11037" i="1"/>
  <c r="E11038" i="1"/>
  <c r="B11038" i="1"/>
  <c r="E11039" i="1"/>
  <c r="B11039" i="1"/>
  <c r="E11040" i="1"/>
  <c r="B11040" i="1"/>
  <c r="E11041" i="1"/>
  <c r="B11041" i="1"/>
  <c r="E11042" i="1"/>
  <c r="B11042" i="1"/>
  <c r="E11043" i="1"/>
  <c r="B11043" i="1"/>
  <c r="E11044" i="1"/>
  <c r="B11044" i="1"/>
  <c r="E11045" i="1"/>
  <c r="B11045" i="1"/>
  <c r="E11046" i="1"/>
  <c r="B11046" i="1"/>
  <c r="E11047" i="1"/>
  <c r="B11047" i="1"/>
  <c r="E11048" i="1"/>
  <c r="B11048" i="1"/>
  <c r="E11049" i="1"/>
  <c r="B11049" i="1"/>
  <c r="E11050" i="1"/>
  <c r="B11050" i="1"/>
  <c r="E11051" i="1"/>
  <c r="B11051" i="1"/>
  <c r="E11052" i="1"/>
  <c r="B11052" i="1"/>
  <c r="E11053" i="1"/>
  <c r="B11053" i="1"/>
  <c r="E11054" i="1"/>
  <c r="B11054" i="1"/>
  <c r="E11055" i="1"/>
  <c r="B11055" i="1"/>
  <c r="E11056" i="1"/>
  <c r="B11056" i="1"/>
  <c r="E11057" i="1"/>
  <c r="B11057" i="1"/>
  <c r="E11058" i="1"/>
  <c r="B11058" i="1"/>
  <c r="E11059" i="1"/>
  <c r="B11059" i="1"/>
  <c r="E11060" i="1"/>
  <c r="B11060" i="1"/>
  <c r="E11061" i="1"/>
  <c r="B11061" i="1"/>
  <c r="E11062" i="1"/>
  <c r="B11062" i="1"/>
  <c r="E11063" i="1"/>
  <c r="B11063" i="1"/>
  <c r="E11064" i="1"/>
  <c r="B11064" i="1"/>
  <c r="E11065" i="1"/>
  <c r="B11065" i="1"/>
  <c r="E11066" i="1"/>
  <c r="B11066" i="1"/>
  <c r="E11067" i="1"/>
  <c r="B11067" i="1"/>
  <c r="E11068" i="1"/>
  <c r="B11068" i="1"/>
  <c r="E11069" i="1"/>
  <c r="B11069" i="1"/>
  <c r="E11070" i="1"/>
  <c r="B11070" i="1"/>
  <c r="E11071" i="1"/>
  <c r="B11071" i="1"/>
  <c r="E11072" i="1"/>
  <c r="B11072" i="1"/>
  <c r="E11073" i="1"/>
  <c r="B11073" i="1"/>
  <c r="E11074" i="1"/>
  <c r="B11074" i="1"/>
  <c r="E11075" i="1"/>
  <c r="B11075" i="1"/>
  <c r="E11076" i="1"/>
  <c r="B11076" i="1"/>
  <c r="E11077" i="1"/>
  <c r="B11077" i="1"/>
  <c r="E11078" i="1"/>
  <c r="B11078" i="1"/>
  <c r="E11079" i="1"/>
  <c r="B11079" i="1"/>
  <c r="E11080" i="1"/>
  <c r="B11080" i="1"/>
  <c r="E11081" i="1"/>
  <c r="B11081" i="1"/>
  <c r="E11082" i="1"/>
  <c r="B11082" i="1"/>
  <c r="E11083" i="1"/>
  <c r="B11083" i="1"/>
  <c r="E11084" i="1"/>
  <c r="B11084" i="1"/>
  <c r="E11085" i="1"/>
  <c r="B11085" i="1"/>
  <c r="E11087" i="1"/>
  <c r="B11087" i="1"/>
  <c r="E11086" i="1"/>
  <c r="B11086" i="1"/>
  <c r="E11088" i="1"/>
  <c r="B11088" i="1"/>
  <c r="E11089" i="1"/>
  <c r="B11089" i="1"/>
  <c r="E11090" i="1"/>
  <c r="B11090" i="1"/>
  <c r="E11091" i="1"/>
  <c r="B11091" i="1"/>
  <c r="E11092" i="1"/>
  <c r="B11092" i="1"/>
  <c r="E11093" i="1"/>
  <c r="B11093" i="1"/>
  <c r="E11094" i="1"/>
  <c r="B11094" i="1"/>
  <c r="E11095" i="1"/>
  <c r="B11095" i="1"/>
  <c r="E11096" i="1"/>
  <c r="B11096" i="1"/>
  <c r="E11097" i="1"/>
  <c r="B11097" i="1"/>
  <c r="E11098" i="1"/>
  <c r="B11098" i="1"/>
  <c r="E11099" i="1"/>
  <c r="B11099" i="1"/>
  <c r="E11100" i="1"/>
  <c r="B11100" i="1"/>
  <c r="E11101" i="1"/>
  <c r="B11101" i="1"/>
  <c r="E11102" i="1"/>
  <c r="B11102" i="1"/>
  <c r="E11103" i="1"/>
  <c r="B11103" i="1"/>
  <c r="E11104" i="1"/>
  <c r="B11104" i="1"/>
  <c r="E11105" i="1"/>
  <c r="B11105" i="1"/>
  <c r="E11106" i="1"/>
  <c r="B11106" i="1"/>
  <c r="E11107" i="1"/>
  <c r="B11107" i="1"/>
  <c r="E11108" i="1"/>
  <c r="B11108" i="1"/>
  <c r="E11109" i="1"/>
  <c r="B11109" i="1"/>
  <c r="E11110" i="1"/>
  <c r="B11110" i="1"/>
  <c r="E11111" i="1"/>
  <c r="B11111" i="1"/>
  <c r="E11113" i="1"/>
  <c r="B11113" i="1"/>
  <c r="E11112" i="1"/>
  <c r="B11112" i="1"/>
  <c r="E11114" i="1"/>
  <c r="B11114" i="1"/>
  <c r="E11115" i="1"/>
  <c r="B11115" i="1"/>
  <c r="E11116" i="1"/>
  <c r="B11116" i="1"/>
  <c r="E11117" i="1"/>
  <c r="B11117" i="1"/>
  <c r="E11118" i="1"/>
  <c r="B11118" i="1"/>
  <c r="E11119" i="1"/>
  <c r="B11119" i="1"/>
  <c r="E11120" i="1"/>
  <c r="B11120" i="1"/>
  <c r="E11121" i="1"/>
  <c r="B11121" i="1"/>
  <c r="E11122" i="1"/>
  <c r="B11122" i="1"/>
  <c r="E11123" i="1"/>
  <c r="B11123" i="1"/>
  <c r="E11124" i="1"/>
  <c r="B11124" i="1"/>
  <c r="E11125" i="1"/>
  <c r="B11125" i="1"/>
  <c r="E11126" i="1"/>
  <c r="B11126" i="1"/>
  <c r="E11127" i="1"/>
  <c r="B11127" i="1"/>
  <c r="E11128" i="1"/>
  <c r="B11128" i="1"/>
  <c r="E11129" i="1"/>
  <c r="B11129" i="1"/>
  <c r="E11130" i="1"/>
  <c r="B11130" i="1"/>
  <c r="E11131" i="1"/>
  <c r="B11131" i="1"/>
  <c r="E11132" i="1"/>
  <c r="B11132" i="1"/>
  <c r="E11133" i="1"/>
  <c r="B11133" i="1"/>
  <c r="E11134" i="1"/>
  <c r="B11134" i="1"/>
  <c r="E11135" i="1"/>
  <c r="B11135" i="1"/>
  <c r="E11136" i="1"/>
  <c r="B11136" i="1"/>
  <c r="E11137" i="1"/>
  <c r="B11137" i="1"/>
  <c r="E11138" i="1"/>
  <c r="B11138" i="1"/>
  <c r="E11139" i="1"/>
  <c r="B11139" i="1"/>
  <c r="E11140" i="1"/>
  <c r="B11140" i="1"/>
  <c r="E11141" i="1"/>
  <c r="B11141" i="1"/>
  <c r="E11142" i="1"/>
  <c r="B11142" i="1"/>
  <c r="E11143" i="1"/>
  <c r="B11143" i="1"/>
  <c r="E11144" i="1"/>
  <c r="B11144" i="1"/>
  <c r="E11145" i="1"/>
  <c r="B11145" i="1"/>
  <c r="E11146" i="1"/>
  <c r="B11146" i="1"/>
  <c r="E11147" i="1"/>
  <c r="B11147" i="1"/>
  <c r="E11148" i="1"/>
  <c r="B11148" i="1"/>
  <c r="E11149" i="1"/>
  <c r="B11149" i="1"/>
  <c r="E11150" i="1"/>
  <c r="B11150" i="1"/>
  <c r="E11151" i="1"/>
  <c r="B11151" i="1"/>
  <c r="E11152" i="1"/>
  <c r="B11152" i="1"/>
  <c r="E11153" i="1"/>
  <c r="B11153" i="1"/>
  <c r="E11154" i="1"/>
  <c r="B11154" i="1"/>
  <c r="E11155" i="1"/>
  <c r="B11155" i="1"/>
  <c r="E11156" i="1"/>
  <c r="B11156" i="1"/>
  <c r="E11157" i="1"/>
  <c r="B11157" i="1"/>
  <c r="E11158" i="1"/>
  <c r="B11158" i="1"/>
  <c r="E11159" i="1"/>
  <c r="B11159" i="1"/>
  <c r="E11160" i="1"/>
  <c r="B11160" i="1"/>
  <c r="E11161" i="1"/>
  <c r="B11161" i="1"/>
  <c r="E11162" i="1"/>
  <c r="B11162" i="1"/>
  <c r="E11163" i="1"/>
  <c r="B11163" i="1"/>
  <c r="E11164" i="1"/>
  <c r="B11164" i="1"/>
  <c r="E11165" i="1"/>
  <c r="B11165" i="1"/>
  <c r="E11166" i="1"/>
  <c r="B11166" i="1"/>
  <c r="E11167" i="1"/>
  <c r="B11167" i="1"/>
  <c r="E11168" i="1"/>
  <c r="B11168" i="1"/>
  <c r="E11169" i="1"/>
  <c r="B11169" i="1"/>
  <c r="E11170" i="1"/>
  <c r="B11170" i="1"/>
  <c r="E11171" i="1"/>
  <c r="B11171" i="1"/>
  <c r="E11173" i="1"/>
  <c r="B11173" i="1"/>
  <c r="E11172" i="1"/>
  <c r="B11172" i="1"/>
  <c r="E11174" i="1"/>
  <c r="B11174" i="1"/>
  <c r="E11175" i="1"/>
  <c r="B11175" i="1"/>
  <c r="E11176" i="1"/>
  <c r="B11176" i="1"/>
  <c r="E11177" i="1"/>
  <c r="B11177" i="1"/>
  <c r="E11178" i="1"/>
  <c r="B11178" i="1"/>
  <c r="E11179" i="1"/>
  <c r="B11179" i="1"/>
  <c r="E11180" i="1"/>
  <c r="B11180" i="1"/>
  <c r="E11181" i="1"/>
  <c r="B11181" i="1"/>
  <c r="E11182" i="1"/>
  <c r="B11182" i="1"/>
  <c r="E11183" i="1"/>
  <c r="B11183" i="1"/>
  <c r="E11184" i="1"/>
  <c r="B11184" i="1"/>
  <c r="E11185" i="1"/>
  <c r="B11185" i="1"/>
  <c r="E11186" i="1"/>
  <c r="B11186" i="1"/>
  <c r="E11187" i="1"/>
  <c r="B11187" i="1"/>
  <c r="E11188" i="1"/>
  <c r="B11188" i="1"/>
  <c r="E11189" i="1"/>
  <c r="B11189" i="1"/>
  <c r="E11190" i="1"/>
  <c r="B11190" i="1"/>
  <c r="E11191" i="1"/>
  <c r="B11191" i="1"/>
  <c r="E11192" i="1"/>
  <c r="B11192" i="1"/>
  <c r="E11193" i="1"/>
  <c r="B11193" i="1"/>
  <c r="E11194" i="1"/>
  <c r="B11194" i="1"/>
  <c r="E11195" i="1"/>
  <c r="B11195" i="1"/>
  <c r="E11196" i="1"/>
  <c r="B11196" i="1"/>
  <c r="E11197" i="1"/>
  <c r="B11197" i="1"/>
  <c r="E11198" i="1"/>
  <c r="B11198" i="1"/>
  <c r="E11199" i="1"/>
  <c r="B11199" i="1"/>
  <c r="E11200" i="1"/>
  <c r="B11200" i="1"/>
  <c r="E11201" i="1"/>
  <c r="B11201" i="1"/>
  <c r="E11202" i="1"/>
  <c r="B11202" i="1"/>
  <c r="E11203" i="1"/>
  <c r="B11203" i="1"/>
  <c r="E11204" i="1"/>
  <c r="B11204" i="1"/>
  <c r="E11205" i="1"/>
  <c r="B11205" i="1"/>
  <c r="E11206" i="1"/>
  <c r="B11206" i="1"/>
  <c r="E11207" i="1"/>
  <c r="B11207" i="1"/>
  <c r="E11208" i="1"/>
  <c r="B11208" i="1"/>
  <c r="E11209" i="1"/>
  <c r="B11209" i="1"/>
  <c r="E11210" i="1"/>
  <c r="B11210" i="1"/>
  <c r="E11211" i="1"/>
  <c r="B11211" i="1"/>
  <c r="E11212" i="1"/>
  <c r="B11212" i="1"/>
  <c r="E11213" i="1"/>
  <c r="B11213" i="1"/>
  <c r="E11214" i="1"/>
  <c r="B11214" i="1"/>
  <c r="E11215" i="1"/>
  <c r="B11215" i="1"/>
  <c r="E11216" i="1"/>
  <c r="B11216" i="1"/>
  <c r="E11217" i="1"/>
  <c r="B11217" i="1"/>
  <c r="E11218" i="1"/>
  <c r="B11218" i="1"/>
  <c r="E11219" i="1"/>
  <c r="B11219" i="1"/>
  <c r="E11220" i="1"/>
  <c r="B11220" i="1"/>
  <c r="E11221" i="1"/>
  <c r="B11221" i="1"/>
  <c r="E11222" i="1"/>
  <c r="B11222" i="1"/>
  <c r="E11223" i="1"/>
  <c r="B11223" i="1"/>
  <c r="E11224" i="1"/>
  <c r="B11224" i="1"/>
  <c r="E11225" i="1"/>
  <c r="B11225" i="1"/>
  <c r="E11226" i="1"/>
  <c r="B11226" i="1"/>
  <c r="E11227" i="1"/>
  <c r="B11227" i="1"/>
  <c r="E11228" i="1"/>
  <c r="B11228" i="1"/>
  <c r="E11229" i="1"/>
  <c r="B11229" i="1"/>
  <c r="E11231" i="1"/>
  <c r="B11231" i="1"/>
  <c r="E11230" i="1"/>
  <c r="B11230" i="1"/>
  <c r="E11232" i="1"/>
  <c r="B11232" i="1"/>
  <c r="E11233" i="1"/>
  <c r="B11233" i="1"/>
  <c r="E11234" i="1"/>
  <c r="B11234" i="1"/>
  <c r="E11235" i="1"/>
  <c r="B11235" i="1"/>
  <c r="E11236" i="1"/>
  <c r="B11236" i="1"/>
  <c r="E11237" i="1"/>
  <c r="B11237" i="1"/>
  <c r="E11238" i="1"/>
  <c r="B11238" i="1"/>
  <c r="E11239" i="1"/>
  <c r="B11239" i="1"/>
  <c r="E11240" i="1"/>
  <c r="B11240" i="1"/>
  <c r="E11241" i="1"/>
  <c r="B11241" i="1"/>
  <c r="E11242" i="1"/>
  <c r="B11242" i="1"/>
  <c r="E11243" i="1"/>
  <c r="B11243" i="1"/>
  <c r="E11244" i="1"/>
  <c r="B11244" i="1"/>
  <c r="E11245" i="1"/>
  <c r="B11245" i="1"/>
  <c r="E11246" i="1"/>
  <c r="B11246" i="1"/>
  <c r="E11247" i="1"/>
  <c r="B11247" i="1"/>
  <c r="E11248" i="1"/>
  <c r="B11248" i="1"/>
  <c r="E11249" i="1"/>
  <c r="B11249" i="1"/>
  <c r="E11250" i="1"/>
  <c r="B11250" i="1"/>
  <c r="E11251" i="1"/>
  <c r="B11251" i="1"/>
  <c r="E11252" i="1"/>
  <c r="B11252" i="1"/>
  <c r="E11253" i="1"/>
  <c r="B11253" i="1"/>
  <c r="E11254" i="1"/>
  <c r="B11254" i="1"/>
  <c r="E11255" i="1"/>
  <c r="B11255" i="1"/>
  <c r="E11256" i="1"/>
  <c r="B11256" i="1"/>
  <c r="E11257" i="1"/>
  <c r="B11257" i="1"/>
  <c r="E11258" i="1"/>
  <c r="B11258" i="1"/>
  <c r="E11259" i="1"/>
  <c r="B11259" i="1"/>
  <c r="E11260" i="1"/>
  <c r="B11260" i="1"/>
  <c r="E11261" i="1"/>
  <c r="B11261" i="1"/>
  <c r="E11262" i="1"/>
  <c r="B11262" i="1"/>
  <c r="E11263" i="1"/>
  <c r="B11263" i="1"/>
  <c r="E11264" i="1"/>
  <c r="B11264" i="1"/>
  <c r="E11265" i="1"/>
  <c r="B11265" i="1"/>
  <c r="E11266" i="1"/>
  <c r="B11266" i="1"/>
  <c r="E11267" i="1"/>
  <c r="B11267" i="1"/>
  <c r="E11268" i="1"/>
  <c r="B11268" i="1"/>
  <c r="E11269" i="1"/>
  <c r="B11269" i="1"/>
  <c r="E11270" i="1"/>
  <c r="B11270" i="1"/>
  <c r="E11271" i="1"/>
  <c r="B11271" i="1"/>
  <c r="E11273" i="1"/>
  <c r="B11273" i="1"/>
  <c r="E11272" i="1"/>
  <c r="B11272" i="1"/>
  <c r="E11274" i="1"/>
  <c r="B11274" i="1"/>
  <c r="E11275" i="1"/>
  <c r="B11275" i="1"/>
  <c r="E11276" i="1"/>
  <c r="B11276" i="1"/>
  <c r="E11277" i="1"/>
  <c r="B11277" i="1"/>
  <c r="E11278" i="1"/>
  <c r="B11278" i="1"/>
  <c r="E11279" i="1"/>
  <c r="B11279" i="1"/>
  <c r="E11280" i="1"/>
  <c r="B11280" i="1"/>
  <c r="E11281" i="1"/>
  <c r="B11281" i="1"/>
  <c r="E11282" i="1"/>
  <c r="B11282" i="1"/>
  <c r="E11283" i="1"/>
  <c r="B11283" i="1"/>
  <c r="E11284" i="1"/>
  <c r="B11284" i="1"/>
  <c r="E11285" i="1"/>
  <c r="B11285" i="1"/>
  <c r="E11286" i="1"/>
  <c r="B11286" i="1"/>
  <c r="E11287" i="1"/>
  <c r="B11287" i="1"/>
  <c r="E11288" i="1"/>
  <c r="B11288" i="1"/>
  <c r="E11289" i="1"/>
  <c r="B11289" i="1"/>
  <c r="E11290" i="1"/>
  <c r="B11290" i="1"/>
  <c r="E11291" i="1"/>
  <c r="B11291" i="1"/>
  <c r="E11292" i="1"/>
  <c r="B11292" i="1"/>
  <c r="E11293" i="1"/>
  <c r="B11293" i="1"/>
  <c r="E11294" i="1"/>
  <c r="B11294" i="1"/>
  <c r="E11295" i="1"/>
  <c r="B11295" i="1"/>
  <c r="E11297" i="1"/>
  <c r="B11297" i="1"/>
  <c r="E11296" i="1"/>
  <c r="B11296" i="1"/>
  <c r="E11298" i="1"/>
  <c r="B11298" i="1"/>
  <c r="E11299" i="1"/>
  <c r="B11299" i="1"/>
  <c r="E11300" i="1"/>
  <c r="B11300" i="1"/>
  <c r="E11301" i="1"/>
  <c r="B11301" i="1"/>
  <c r="E11302" i="1"/>
  <c r="B11302" i="1"/>
  <c r="E11303" i="1"/>
  <c r="B11303" i="1"/>
  <c r="E11304" i="1"/>
  <c r="B11304" i="1"/>
  <c r="E11305" i="1"/>
  <c r="B11305" i="1"/>
  <c r="E11308" i="1"/>
  <c r="B11308" i="1"/>
  <c r="E11307" i="1"/>
  <c r="B11307" i="1"/>
  <c r="E11306" i="1"/>
  <c r="B11306" i="1"/>
  <c r="E11309" i="1"/>
  <c r="B11309" i="1"/>
  <c r="E11310" i="1"/>
  <c r="B11310" i="1"/>
  <c r="E11311" i="1"/>
  <c r="B11311" i="1"/>
  <c r="E11312" i="1"/>
  <c r="B11312" i="1"/>
  <c r="E11313" i="1"/>
  <c r="B11313" i="1"/>
  <c r="E11314" i="1"/>
  <c r="B11314" i="1"/>
  <c r="E11315" i="1"/>
  <c r="B11315" i="1"/>
  <c r="E11316" i="1"/>
  <c r="B11316" i="1"/>
  <c r="E11317" i="1"/>
  <c r="B11317" i="1"/>
  <c r="E11318" i="1"/>
  <c r="B11318" i="1"/>
  <c r="E11319" i="1"/>
  <c r="B11319" i="1"/>
  <c r="E11320" i="1"/>
  <c r="B11320" i="1"/>
  <c r="E11321" i="1"/>
  <c r="B11321" i="1"/>
  <c r="E11322" i="1"/>
  <c r="B11322" i="1"/>
  <c r="E11323" i="1"/>
  <c r="B11323" i="1"/>
  <c r="E11324" i="1"/>
  <c r="B11324" i="1"/>
  <c r="E11325" i="1"/>
  <c r="B11325" i="1"/>
  <c r="E11326" i="1"/>
  <c r="B11326" i="1"/>
  <c r="E11327" i="1"/>
  <c r="B11327" i="1"/>
  <c r="E11328" i="1"/>
  <c r="B11328" i="1"/>
  <c r="E11329" i="1"/>
  <c r="B11329" i="1"/>
  <c r="E11330" i="1"/>
  <c r="B11330" i="1"/>
  <c r="E11331" i="1"/>
  <c r="B11331" i="1"/>
  <c r="E11332" i="1"/>
  <c r="B11332" i="1"/>
  <c r="E11333" i="1"/>
  <c r="B11333" i="1"/>
  <c r="E11334" i="1"/>
  <c r="B11334" i="1"/>
  <c r="E11335" i="1"/>
  <c r="B11335" i="1"/>
  <c r="E11336" i="1"/>
  <c r="B11336" i="1"/>
  <c r="E11337" i="1"/>
  <c r="B11337" i="1"/>
  <c r="E11339" i="1"/>
  <c r="B11339" i="1"/>
  <c r="E11338" i="1"/>
  <c r="B11338" i="1"/>
  <c r="E11340" i="1"/>
  <c r="B11340" i="1"/>
  <c r="E11341" i="1"/>
  <c r="B11341" i="1"/>
  <c r="E11342" i="1"/>
  <c r="B11342" i="1"/>
  <c r="E11343" i="1"/>
  <c r="B11343" i="1"/>
  <c r="E11344" i="1"/>
  <c r="B11344" i="1"/>
  <c r="E11345" i="1"/>
  <c r="B11345" i="1"/>
  <c r="E11346" i="1"/>
  <c r="B11346" i="1"/>
  <c r="E11347" i="1"/>
  <c r="B11347" i="1"/>
  <c r="E11348" i="1"/>
  <c r="B11348" i="1"/>
  <c r="E11349" i="1"/>
  <c r="B11349" i="1"/>
  <c r="E11350" i="1"/>
  <c r="B11350" i="1"/>
  <c r="E11352" i="1"/>
  <c r="B11352" i="1"/>
  <c r="E11351" i="1"/>
  <c r="B11351" i="1"/>
  <c r="E11353" i="1"/>
  <c r="B11353" i="1"/>
  <c r="E11354" i="1"/>
  <c r="B11354" i="1"/>
  <c r="E11355" i="1"/>
  <c r="B11355" i="1"/>
  <c r="E11356" i="1"/>
  <c r="B11356" i="1"/>
  <c r="E11357" i="1"/>
  <c r="B11357" i="1"/>
  <c r="E11358" i="1"/>
  <c r="B11358" i="1"/>
  <c r="E11359" i="1"/>
  <c r="B11359" i="1"/>
  <c r="E11360" i="1"/>
  <c r="B11360" i="1"/>
  <c r="E11361" i="1"/>
  <c r="B11361" i="1"/>
  <c r="E11362" i="1"/>
  <c r="B11362" i="1"/>
  <c r="E11363" i="1"/>
  <c r="B11363" i="1"/>
  <c r="E11364" i="1"/>
  <c r="B11364" i="1"/>
  <c r="E11365" i="1"/>
  <c r="B11365" i="1"/>
  <c r="E11366" i="1"/>
  <c r="B11366" i="1"/>
  <c r="E11367" i="1"/>
  <c r="B11367" i="1"/>
  <c r="E11368" i="1"/>
  <c r="B11368" i="1"/>
  <c r="E11369" i="1"/>
  <c r="B11369" i="1"/>
  <c r="E11370" i="1"/>
  <c r="B11370" i="1"/>
  <c r="E11371" i="1"/>
  <c r="B11371" i="1"/>
  <c r="E11372" i="1"/>
  <c r="B11372" i="1"/>
  <c r="E11373" i="1"/>
  <c r="B11373" i="1"/>
  <c r="E11374" i="1"/>
  <c r="B11374" i="1"/>
  <c r="E11375" i="1"/>
  <c r="B11375" i="1"/>
  <c r="E11376" i="1"/>
  <c r="B11376" i="1"/>
  <c r="E11377" i="1"/>
  <c r="B11377" i="1"/>
  <c r="E11378" i="1"/>
  <c r="B11378" i="1"/>
  <c r="E11379" i="1"/>
  <c r="B11379" i="1"/>
  <c r="E11380" i="1"/>
  <c r="B11380" i="1"/>
  <c r="E11381" i="1"/>
  <c r="B11381" i="1"/>
  <c r="E11382" i="1"/>
  <c r="B11382" i="1"/>
  <c r="E11383" i="1"/>
  <c r="B11383" i="1"/>
  <c r="E11384" i="1"/>
  <c r="B11384" i="1"/>
  <c r="E11385" i="1"/>
  <c r="B11385" i="1"/>
  <c r="E11386" i="1"/>
  <c r="B11386" i="1"/>
  <c r="E11387" i="1"/>
  <c r="B11387" i="1"/>
  <c r="E11388" i="1"/>
  <c r="B11388" i="1"/>
  <c r="E11389" i="1"/>
  <c r="B11389" i="1"/>
  <c r="E11390" i="1"/>
  <c r="B11390" i="1"/>
  <c r="E11391" i="1"/>
  <c r="B11391" i="1"/>
  <c r="E11392" i="1"/>
  <c r="B11392" i="1"/>
  <c r="E11393" i="1"/>
  <c r="B11393" i="1"/>
  <c r="E11394" i="1"/>
  <c r="B11394" i="1"/>
  <c r="E11395" i="1"/>
  <c r="B11395" i="1"/>
  <c r="E11396" i="1"/>
  <c r="B11396" i="1"/>
  <c r="E11397" i="1"/>
  <c r="B11397" i="1"/>
  <c r="E11398" i="1"/>
  <c r="B11398" i="1"/>
  <c r="E11399" i="1"/>
  <c r="B11399" i="1"/>
  <c r="E11400" i="1"/>
  <c r="B11400" i="1"/>
  <c r="E11401" i="1"/>
  <c r="B11401" i="1"/>
  <c r="E11402" i="1"/>
  <c r="B11402" i="1"/>
  <c r="E11403" i="1"/>
  <c r="B11403" i="1"/>
  <c r="E11404" i="1"/>
  <c r="B11404" i="1"/>
  <c r="E11405" i="1"/>
  <c r="B11405" i="1"/>
  <c r="E11406" i="1"/>
  <c r="B11406" i="1"/>
  <c r="E11407" i="1"/>
  <c r="B11407" i="1"/>
  <c r="E11408" i="1"/>
  <c r="B11408" i="1"/>
  <c r="E11409" i="1"/>
  <c r="B11409" i="1"/>
  <c r="E11410" i="1"/>
  <c r="B11410" i="1"/>
  <c r="E11411" i="1"/>
  <c r="B11411" i="1"/>
  <c r="E11412" i="1"/>
  <c r="B11412" i="1"/>
  <c r="E11413" i="1"/>
  <c r="B11413" i="1"/>
  <c r="E11414" i="1"/>
  <c r="B11414" i="1"/>
  <c r="E11415" i="1"/>
  <c r="B11415" i="1"/>
  <c r="E11416" i="1"/>
  <c r="B11416" i="1"/>
  <c r="E11417" i="1"/>
  <c r="B11417" i="1"/>
  <c r="E11418" i="1"/>
  <c r="B11418" i="1"/>
  <c r="E11419" i="1"/>
  <c r="B11419" i="1"/>
  <c r="E11420" i="1"/>
  <c r="B11420" i="1"/>
  <c r="E11421" i="1"/>
  <c r="B11421" i="1"/>
  <c r="E11422" i="1"/>
  <c r="B11422" i="1"/>
  <c r="E11423" i="1"/>
  <c r="B11423" i="1"/>
  <c r="E11424" i="1"/>
  <c r="B11424" i="1"/>
  <c r="E11425" i="1"/>
  <c r="B11425" i="1"/>
  <c r="E11426" i="1"/>
  <c r="B11426" i="1"/>
  <c r="E11427" i="1"/>
  <c r="B11427" i="1"/>
  <c r="E11428" i="1"/>
  <c r="B11428" i="1"/>
  <c r="E11429" i="1"/>
  <c r="B11429" i="1"/>
  <c r="E11430" i="1"/>
  <c r="B11430" i="1"/>
  <c r="E11431" i="1"/>
  <c r="B11431" i="1"/>
  <c r="E11432" i="1"/>
  <c r="B11432" i="1"/>
  <c r="E11433" i="1"/>
  <c r="B11433" i="1"/>
  <c r="E11434" i="1"/>
  <c r="B11434" i="1"/>
  <c r="E11435" i="1"/>
  <c r="B11435" i="1"/>
  <c r="E11436" i="1"/>
  <c r="B11436" i="1"/>
  <c r="E11437" i="1"/>
  <c r="B11437" i="1"/>
  <c r="E11438" i="1"/>
  <c r="B11438" i="1"/>
  <c r="E11439" i="1"/>
  <c r="B11439" i="1"/>
  <c r="E11440" i="1"/>
  <c r="B11440" i="1"/>
  <c r="E11441" i="1"/>
  <c r="B11441" i="1"/>
  <c r="E11442" i="1"/>
  <c r="B11442" i="1"/>
  <c r="E11443" i="1"/>
  <c r="B11443" i="1"/>
  <c r="E11444" i="1"/>
  <c r="B11444" i="1"/>
  <c r="E11445" i="1"/>
  <c r="B11445" i="1"/>
  <c r="E11446" i="1"/>
  <c r="B11446" i="1"/>
  <c r="E11447" i="1"/>
  <c r="B11447" i="1"/>
  <c r="E11449" i="1"/>
  <c r="B11449" i="1"/>
  <c r="E11448" i="1"/>
  <c r="B11448" i="1"/>
  <c r="E11450" i="1"/>
  <c r="B11450" i="1"/>
  <c r="E11451" i="1"/>
  <c r="B11451" i="1"/>
  <c r="E11452" i="1"/>
  <c r="B11452" i="1"/>
  <c r="E11453" i="1"/>
  <c r="B11453" i="1"/>
  <c r="E11454" i="1"/>
  <c r="B11454" i="1"/>
  <c r="E11455" i="1"/>
  <c r="B11455" i="1"/>
  <c r="E11458" i="1"/>
  <c r="B11458" i="1"/>
  <c r="E11457" i="1"/>
  <c r="B11457" i="1"/>
  <c r="E11456" i="1"/>
  <c r="B11456" i="1"/>
  <c r="E11459" i="1"/>
  <c r="B11459" i="1"/>
  <c r="E11460" i="1"/>
  <c r="B11460" i="1"/>
  <c r="E11461" i="1"/>
  <c r="B11461" i="1"/>
  <c r="E11462" i="1"/>
  <c r="B11462" i="1"/>
  <c r="E11463" i="1"/>
  <c r="B11463" i="1"/>
  <c r="E11464" i="1"/>
  <c r="B11464" i="1"/>
  <c r="E11465" i="1"/>
  <c r="B11465" i="1"/>
  <c r="E11466" i="1"/>
  <c r="B11466" i="1"/>
  <c r="E11467" i="1"/>
  <c r="B11467" i="1"/>
  <c r="E11468" i="1"/>
  <c r="B11468" i="1"/>
  <c r="E11469" i="1"/>
  <c r="B11469" i="1"/>
  <c r="E11470" i="1"/>
  <c r="B11470" i="1"/>
  <c r="E11471" i="1"/>
  <c r="B11471" i="1"/>
  <c r="E11472" i="1"/>
  <c r="B11472" i="1"/>
  <c r="E11473" i="1"/>
  <c r="B11473" i="1"/>
  <c r="E11474" i="1"/>
  <c r="B11474" i="1"/>
  <c r="E11475" i="1"/>
  <c r="B11475" i="1"/>
  <c r="E11476" i="1"/>
  <c r="B11476" i="1"/>
  <c r="E11477" i="1"/>
  <c r="B11477" i="1"/>
  <c r="E11478" i="1"/>
  <c r="B11478" i="1"/>
  <c r="E11479" i="1"/>
  <c r="B11479" i="1"/>
  <c r="E11480" i="1"/>
  <c r="B11480" i="1"/>
  <c r="E11481" i="1"/>
  <c r="B11481" i="1"/>
  <c r="E11482" i="1"/>
  <c r="B11482" i="1"/>
  <c r="E11483" i="1"/>
  <c r="B11483" i="1"/>
  <c r="E11484" i="1"/>
  <c r="B11484" i="1"/>
  <c r="E11485" i="1"/>
  <c r="B11485" i="1"/>
  <c r="E11486" i="1"/>
  <c r="B11486" i="1"/>
  <c r="E11487" i="1"/>
  <c r="B11487" i="1"/>
  <c r="E11488" i="1"/>
  <c r="B11488" i="1"/>
  <c r="E11489" i="1"/>
  <c r="B11489" i="1"/>
  <c r="E11490" i="1"/>
  <c r="B11490" i="1"/>
  <c r="E11491" i="1"/>
  <c r="B11491" i="1"/>
  <c r="E11492" i="1"/>
  <c r="B11492" i="1"/>
  <c r="E11493" i="1"/>
  <c r="B11493" i="1"/>
  <c r="E11494" i="1"/>
  <c r="B11494" i="1"/>
  <c r="E11495" i="1"/>
  <c r="B11495" i="1"/>
  <c r="E11496" i="1"/>
  <c r="B11496" i="1"/>
  <c r="E11497" i="1"/>
  <c r="B11497" i="1"/>
  <c r="E11498" i="1"/>
  <c r="B11498" i="1"/>
  <c r="E11499" i="1"/>
  <c r="B11499" i="1"/>
  <c r="E11500" i="1"/>
  <c r="B11500" i="1"/>
  <c r="E11501" i="1"/>
  <c r="B11501" i="1"/>
  <c r="E11502" i="1"/>
  <c r="B11502" i="1"/>
  <c r="E11503" i="1"/>
  <c r="B11503" i="1"/>
  <c r="E11504" i="1"/>
  <c r="B11504" i="1"/>
  <c r="E11505" i="1"/>
  <c r="B11505" i="1"/>
  <c r="E11506" i="1"/>
  <c r="B11506" i="1"/>
  <c r="E11507" i="1"/>
  <c r="B11507" i="1"/>
  <c r="E11508" i="1"/>
  <c r="B11508" i="1"/>
  <c r="E11509" i="1"/>
  <c r="B11509" i="1"/>
  <c r="E11510" i="1"/>
  <c r="B11510" i="1"/>
  <c r="E11511" i="1"/>
  <c r="B11511" i="1"/>
  <c r="E11512" i="1"/>
  <c r="B11512" i="1"/>
  <c r="E11513" i="1"/>
  <c r="B11513" i="1"/>
  <c r="E11514" i="1"/>
  <c r="B11514" i="1"/>
  <c r="E11515" i="1"/>
  <c r="B11515" i="1"/>
  <c r="E11516" i="1"/>
  <c r="B11516" i="1"/>
  <c r="E11517" i="1"/>
  <c r="B11517" i="1"/>
  <c r="E11518" i="1"/>
  <c r="B11518" i="1"/>
  <c r="E11519" i="1"/>
  <c r="B11519" i="1"/>
  <c r="E11520" i="1"/>
  <c r="B11520" i="1"/>
  <c r="E11521" i="1"/>
  <c r="B11521" i="1"/>
  <c r="E11522" i="1"/>
  <c r="B11522" i="1"/>
  <c r="E11523" i="1"/>
  <c r="B11523" i="1"/>
  <c r="E11525" i="1"/>
  <c r="B11525" i="1"/>
  <c r="E11524" i="1"/>
  <c r="B11524" i="1"/>
  <c r="E11526" i="1"/>
  <c r="B11526" i="1"/>
  <c r="E11527" i="1"/>
  <c r="B11527" i="1"/>
  <c r="E11528" i="1"/>
  <c r="B11528" i="1"/>
  <c r="E11529" i="1"/>
  <c r="B11529" i="1"/>
  <c r="E11530" i="1"/>
  <c r="B11530" i="1"/>
  <c r="E11531" i="1"/>
  <c r="B11531" i="1"/>
  <c r="E11532" i="1"/>
  <c r="B11532" i="1"/>
  <c r="E11533" i="1"/>
  <c r="B11533" i="1"/>
  <c r="E11534" i="1"/>
  <c r="B11534" i="1"/>
  <c r="E11535" i="1"/>
  <c r="B11535" i="1"/>
  <c r="E11536" i="1"/>
  <c r="B11536" i="1"/>
  <c r="E11537" i="1"/>
  <c r="B11537" i="1"/>
  <c r="E11538" i="1"/>
  <c r="B11538" i="1"/>
  <c r="E11539" i="1"/>
  <c r="B11539" i="1"/>
  <c r="E11540" i="1"/>
  <c r="B11540" i="1"/>
  <c r="E11541" i="1"/>
  <c r="B11541" i="1"/>
  <c r="E11542" i="1"/>
  <c r="B11542" i="1"/>
  <c r="E11543" i="1"/>
  <c r="B11543" i="1"/>
  <c r="E11544" i="1"/>
  <c r="B11544" i="1"/>
  <c r="E11545" i="1"/>
  <c r="B11545" i="1"/>
  <c r="E11546" i="1"/>
  <c r="B11546" i="1"/>
  <c r="E11547" i="1"/>
  <c r="B11547" i="1"/>
  <c r="E11548" i="1"/>
  <c r="B11548" i="1"/>
  <c r="E11549" i="1"/>
  <c r="B11549" i="1"/>
  <c r="E11550" i="1"/>
  <c r="B11550" i="1"/>
  <c r="E11551" i="1"/>
  <c r="B11551" i="1"/>
  <c r="E11552" i="1"/>
  <c r="B11552" i="1"/>
  <c r="E11553" i="1"/>
  <c r="B11553" i="1"/>
  <c r="E11554" i="1"/>
  <c r="B11554" i="1"/>
  <c r="E11555" i="1"/>
  <c r="B11555" i="1"/>
  <c r="E11556" i="1"/>
  <c r="B11556" i="1"/>
  <c r="E11557" i="1"/>
  <c r="B11557" i="1"/>
  <c r="E11558" i="1"/>
  <c r="B11558" i="1"/>
  <c r="E11559" i="1"/>
  <c r="B11559" i="1"/>
  <c r="E11560" i="1"/>
  <c r="B11560" i="1"/>
  <c r="E11561" i="1"/>
  <c r="B11561" i="1"/>
  <c r="E11562" i="1"/>
  <c r="B11562" i="1"/>
  <c r="E11563" i="1"/>
  <c r="B11563" i="1"/>
  <c r="E11564" i="1"/>
  <c r="B11564" i="1"/>
  <c r="E11565" i="1"/>
  <c r="B11565" i="1"/>
  <c r="E11566" i="1"/>
  <c r="B11566" i="1"/>
  <c r="E11567" i="1"/>
  <c r="B11567" i="1"/>
  <c r="E11568" i="1"/>
  <c r="B11568" i="1"/>
  <c r="E11569" i="1"/>
  <c r="B11569" i="1"/>
  <c r="E11570" i="1"/>
  <c r="B11570" i="1"/>
  <c r="E11571" i="1"/>
  <c r="B11571" i="1"/>
  <c r="E11572" i="1"/>
  <c r="B11572" i="1"/>
  <c r="E11573" i="1"/>
  <c r="B11573" i="1"/>
  <c r="E11574" i="1"/>
  <c r="B11574" i="1"/>
  <c r="E11575" i="1"/>
  <c r="B11575" i="1"/>
  <c r="E11576" i="1"/>
  <c r="B11576" i="1"/>
  <c r="E11577" i="1"/>
  <c r="B11577" i="1"/>
  <c r="E11578" i="1"/>
  <c r="B11578" i="1"/>
  <c r="E11579" i="1"/>
  <c r="B11579" i="1"/>
  <c r="E11580" i="1"/>
  <c r="B11580" i="1"/>
  <c r="E11581" i="1"/>
  <c r="B11581" i="1"/>
  <c r="E11582" i="1"/>
  <c r="B11582" i="1"/>
  <c r="E11583" i="1"/>
  <c r="B11583" i="1"/>
  <c r="E11584" i="1"/>
  <c r="B11584" i="1"/>
  <c r="E11585" i="1"/>
  <c r="B11585" i="1"/>
  <c r="E11586" i="1"/>
  <c r="B11586" i="1"/>
  <c r="E11587" i="1"/>
  <c r="B11587" i="1"/>
  <c r="E11588" i="1"/>
  <c r="B11588" i="1"/>
  <c r="E11589" i="1"/>
  <c r="B11589" i="1"/>
  <c r="E11590" i="1"/>
  <c r="B11590" i="1"/>
  <c r="E11591" i="1"/>
  <c r="B11591" i="1"/>
  <c r="E11592" i="1"/>
  <c r="B11592" i="1"/>
  <c r="E11593" i="1"/>
  <c r="B11593" i="1"/>
  <c r="E11594" i="1"/>
  <c r="B11594" i="1"/>
  <c r="E11595" i="1"/>
  <c r="B11595" i="1"/>
  <c r="E11596" i="1"/>
  <c r="B11596" i="1"/>
  <c r="E11597" i="1"/>
  <c r="B11597" i="1"/>
  <c r="E11598" i="1"/>
  <c r="B11598" i="1"/>
  <c r="E11599" i="1"/>
  <c r="B11599" i="1"/>
  <c r="E11600" i="1"/>
  <c r="B11600" i="1"/>
  <c r="E11601" i="1"/>
  <c r="B11601" i="1"/>
  <c r="E11602" i="1"/>
  <c r="B11602" i="1"/>
  <c r="E11603" i="1"/>
  <c r="B11603" i="1"/>
  <c r="E11604" i="1"/>
  <c r="B11604" i="1"/>
  <c r="E11605" i="1"/>
  <c r="B11605" i="1"/>
  <c r="E11606" i="1"/>
  <c r="B11606" i="1"/>
  <c r="E11607" i="1"/>
  <c r="B11607" i="1"/>
  <c r="E11608" i="1"/>
  <c r="B11608" i="1"/>
  <c r="E11609" i="1"/>
  <c r="B11609" i="1"/>
  <c r="E11610" i="1"/>
  <c r="B11610" i="1"/>
  <c r="E11611" i="1"/>
  <c r="B11611" i="1"/>
  <c r="E11612" i="1"/>
  <c r="B11612" i="1"/>
  <c r="E11613" i="1"/>
  <c r="B11613" i="1"/>
  <c r="E11614" i="1"/>
  <c r="B11614" i="1"/>
  <c r="E11615" i="1"/>
  <c r="B11615" i="1"/>
  <c r="E11616" i="1"/>
  <c r="B11616" i="1"/>
  <c r="E11617" i="1"/>
  <c r="B11617" i="1"/>
  <c r="E11618" i="1"/>
  <c r="B11618" i="1"/>
  <c r="E11619" i="1"/>
  <c r="B11619" i="1"/>
  <c r="E11620" i="1"/>
  <c r="B11620" i="1"/>
  <c r="E11621" i="1"/>
  <c r="B11621" i="1"/>
  <c r="E11622" i="1"/>
  <c r="B11622" i="1"/>
  <c r="E11623" i="1"/>
  <c r="B11623" i="1"/>
  <c r="E11624" i="1"/>
  <c r="B11624" i="1"/>
  <c r="E11625" i="1"/>
  <c r="B11625" i="1"/>
  <c r="E11626" i="1"/>
  <c r="B11626" i="1"/>
  <c r="E11627" i="1"/>
  <c r="B11627" i="1"/>
  <c r="E11628" i="1"/>
  <c r="B11628" i="1"/>
  <c r="E11629" i="1"/>
  <c r="B11629" i="1"/>
  <c r="E11630" i="1"/>
  <c r="B11630" i="1"/>
  <c r="E11631" i="1"/>
  <c r="B11631" i="1"/>
  <c r="E11632" i="1"/>
  <c r="B11632" i="1"/>
  <c r="E11633" i="1"/>
  <c r="B11633" i="1"/>
  <c r="E11634" i="1"/>
  <c r="B11634" i="1"/>
  <c r="E11635" i="1"/>
  <c r="B11635" i="1"/>
  <c r="E11636" i="1"/>
  <c r="B11636" i="1"/>
  <c r="E11637" i="1"/>
  <c r="B11637" i="1"/>
  <c r="E11638" i="1"/>
  <c r="B11638" i="1"/>
  <c r="E11639" i="1"/>
  <c r="B11639" i="1"/>
  <c r="E11640" i="1"/>
  <c r="B11640" i="1"/>
  <c r="E11641" i="1"/>
  <c r="B11641" i="1"/>
  <c r="E11642" i="1"/>
  <c r="B11642" i="1"/>
  <c r="E11643" i="1"/>
  <c r="B11643" i="1"/>
  <c r="E11644" i="1"/>
  <c r="B11644" i="1"/>
  <c r="E11645" i="1"/>
  <c r="B11645" i="1"/>
  <c r="E11646" i="1"/>
  <c r="B11646" i="1"/>
  <c r="E11647" i="1"/>
  <c r="B11647" i="1"/>
  <c r="E11648" i="1"/>
  <c r="B11648" i="1"/>
  <c r="E11649" i="1"/>
  <c r="B11649" i="1"/>
  <c r="E11650" i="1"/>
  <c r="B11650" i="1"/>
  <c r="E11651" i="1"/>
  <c r="B11651" i="1"/>
  <c r="E11652" i="1"/>
  <c r="B11652" i="1"/>
  <c r="E11653" i="1"/>
  <c r="B11653" i="1"/>
  <c r="E11655" i="1"/>
  <c r="B11655" i="1"/>
  <c r="E11654" i="1"/>
  <c r="B11654" i="1"/>
  <c r="E11656" i="1"/>
  <c r="B11656" i="1"/>
  <c r="E11657" i="1"/>
  <c r="B11657" i="1"/>
  <c r="E11658" i="1"/>
  <c r="B11658" i="1"/>
  <c r="E11659" i="1"/>
  <c r="B11659" i="1"/>
  <c r="E11660" i="1"/>
  <c r="B11660" i="1"/>
  <c r="E11661" i="1"/>
  <c r="B11661" i="1"/>
  <c r="E11662" i="1"/>
  <c r="B11662" i="1"/>
  <c r="E11663" i="1"/>
  <c r="B11663" i="1"/>
  <c r="E11664" i="1"/>
  <c r="B11664" i="1"/>
  <c r="E11665" i="1"/>
  <c r="B11665" i="1"/>
  <c r="E11666" i="1"/>
  <c r="B11666" i="1"/>
  <c r="E11667" i="1"/>
  <c r="B11667" i="1"/>
  <c r="E11668" i="1"/>
  <c r="B11668" i="1"/>
  <c r="E11669" i="1"/>
  <c r="B11669" i="1"/>
  <c r="E11670" i="1"/>
  <c r="B11670" i="1"/>
  <c r="E11671" i="1"/>
  <c r="B11671" i="1"/>
  <c r="E11672" i="1"/>
  <c r="B11672" i="1"/>
  <c r="E11673" i="1"/>
  <c r="B11673" i="1"/>
  <c r="E11674" i="1"/>
  <c r="B11674" i="1"/>
  <c r="E11675" i="1"/>
  <c r="B11675" i="1"/>
  <c r="E11676" i="1"/>
  <c r="B11676" i="1"/>
  <c r="E11677" i="1"/>
  <c r="B11677" i="1"/>
  <c r="E11678" i="1"/>
  <c r="B11678" i="1"/>
  <c r="E11679" i="1"/>
  <c r="B11679" i="1"/>
  <c r="E11680" i="1"/>
  <c r="B11680" i="1"/>
  <c r="E11681" i="1"/>
  <c r="B11681" i="1"/>
  <c r="E11682" i="1"/>
  <c r="B11682" i="1"/>
  <c r="E11683" i="1"/>
  <c r="B11683" i="1"/>
  <c r="E11684" i="1"/>
  <c r="B11684" i="1"/>
  <c r="E11685" i="1"/>
  <c r="B11685" i="1"/>
  <c r="E11686" i="1"/>
  <c r="B11686" i="1"/>
  <c r="E11687" i="1"/>
  <c r="B11687" i="1"/>
  <c r="E11688" i="1"/>
  <c r="B11688" i="1"/>
  <c r="E11689" i="1"/>
  <c r="B11689" i="1"/>
  <c r="E11690" i="1"/>
  <c r="B11690" i="1"/>
  <c r="E11691" i="1"/>
  <c r="B11691" i="1"/>
  <c r="E11692" i="1"/>
  <c r="B11692" i="1"/>
  <c r="E11693" i="1"/>
  <c r="B11693" i="1"/>
  <c r="E11694" i="1"/>
  <c r="B11694" i="1"/>
  <c r="E11695" i="1"/>
  <c r="B11695" i="1"/>
  <c r="E11696" i="1"/>
  <c r="B11696" i="1"/>
  <c r="E11697" i="1"/>
  <c r="B11697" i="1"/>
  <c r="E11698" i="1"/>
  <c r="B11698" i="1"/>
  <c r="E11699" i="1"/>
  <c r="B11699" i="1"/>
  <c r="E11700" i="1"/>
  <c r="B11700" i="1"/>
  <c r="E11701" i="1"/>
  <c r="B11701" i="1"/>
  <c r="E11702" i="1"/>
  <c r="B11702" i="1"/>
  <c r="E11703" i="1"/>
  <c r="B11703" i="1"/>
  <c r="E11704" i="1"/>
  <c r="B11704" i="1"/>
  <c r="E11705" i="1"/>
  <c r="B11705" i="1"/>
  <c r="E11706" i="1"/>
  <c r="B11706" i="1"/>
  <c r="E11707" i="1"/>
  <c r="B11707" i="1"/>
  <c r="E11708" i="1"/>
  <c r="B11708" i="1"/>
  <c r="E11709" i="1"/>
  <c r="B11709" i="1"/>
  <c r="E11710" i="1"/>
  <c r="B11710" i="1"/>
  <c r="E11711" i="1"/>
  <c r="B11711" i="1"/>
  <c r="E11712" i="1"/>
  <c r="B11712" i="1"/>
  <c r="E11713" i="1"/>
  <c r="B11713" i="1"/>
  <c r="E11714" i="1"/>
  <c r="B11714" i="1"/>
  <c r="E11715" i="1"/>
  <c r="B11715" i="1"/>
  <c r="E11716" i="1"/>
  <c r="B11716" i="1"/>
  <c r="E11717" i="1"/>
  <c r="B11717" i="1"/>
  <c r="E11718" i="1"/>
  <c r="B11718" i="1"/>
  <c r="E11719" i="1"/>
  <c r="B11719" i="1"/>
  <c r="E11720" i="1"/>
  <c r="B11720" i="1"/>
  <c r="E11721" i="1"/>
  <c r="B11721" i="1"/>
  <c r="E11722" i="1"/>
  <c r="B11722" i="1"/>
  <c r="E11723" i="1"/>
  <c r="B11723" i="1"/>
  <c r="E11724" i="1"/>
  <c r="B11724" i="1"/>
  <c r="E11725" i="1"/>
  <c r="B11725" i="1"/>
  <c r="E11726" i="1"/>
  <c r="B11726" i="1"/>
  <c r="E11727" i="1"/>
  <c r="B11727" i="1"/>
  <c r="E11728" i="1"/>
  <c r="B11728" i="1"/>
  <c r="E11729" i="1"/>
  <c r="B11729" i="1"/>
  <c r="E11730" i="1"/>
  <c r="B11730" i="1"/>
  <c r="E11731" i="1"/>
  <c r="B11731" i="1"/>
  <c r="E11732" i="1"/>
  <c r="B11732" i="1"/>
  <c r="E11733" i="1"/>
  <c r="B11733" i="1"/>
  <c r="E11734" i="1"/>
  <c r="B11734" i="1"/>
  <c r="E11735" i="1"/>
  <c r="B11735" i="1"/>
  <c r="E11736" i="1"/>
  <c r="B11736" i="1"/>
  <c r="E11737" i="1"/>
  <c r="B11737" i="1"/>
  <c r="E11738" i="1"/>
  <c r="B11738" i="1"/>
  <c r="E11739" i="1"/>
  <c r="B11739" i="1"/>
  <c r="E11740" i="1"/>
  <c r="B11740" i="1"/>
  <c r="E11741" i="1"/>
  <c r="B11741" i="1"/>
  <c r="E11742" i="1"/>
  <c r="B11742" i="1"/>
  <c r="E11743" i="1"/>
  <c r="B11743" i="1"/>
  <c r="E11744" i="1"/>
  <c r="B11744" i="1"/>
  <c r="E11745" i="1"/>
  <c r="B11745" i="1"/>
  <c r="E11746" i="1"/>
  <c r="B11746" i="1"/>
  <c r="E11747" i="1"/>
  <c r="B11747" i="1"/>
  <c r="E11748" i="1"/>
  <c r="B11748" i="1"/>
  <c r="E11750" i="1"/>
  <c r="B11750" i="1"/>
  <c r="E11749" i="1"/>
  <c r="B11749" i="1"/>
  <c r="E11751" i="1"/>
  <c r="B11751" i="1"/>
  <c r="E11752" i="1"/>
  <c r="B11752" i="1"/>
  <c r="E11753" i="1"/>
  <c r="B11753" i="1"/>
  <c r="E11754" i="1"/>
  <c r="B11754" i="1"/>
  <c r="E11755" i="1"/>
  <c r="B11755" i="1"/>
  <c r="E11756" i="1"/>
  <c r="B11756" i="1"/>
  <c r="E11757" i="1"/>
  <c r="B11757" i="1"/>
  <c r="E11759" i="1"/>
  <c r="B11759" i="1"/>
  <c r="E11758" i="1"/>
  <c r="B11758" i="1"/>
  <c r="E11760" i="1"/>
  <c r="B11760" i="1"/>
  <c r="E11761" i="1"/>
  <c r="B11761" i="1"/>
  <c r="E11762" i="1"/>
  <c r="B11762" i="1"/>
  <c r="E11763" i="1"/>
  <c r="B11763" i="1"/>
  <c r="E11764" i="1"/>
  <c r="B11764" i="1"/>
  <c r="E11765" i="1"/>
  <c r="B11765" i="1"/>
  <c r="E11766" i="1"/>
  <c r="B11766" i="1"/>
  <c r="E11767" i="1"/>
  <c r="B11767" i="1"/>
  <c r="E11768" i="1"/>
  <c r="B11768" i="1"/>
  <c r="E11769" i="1"/>
  <c r="B11769" i="1"/>
  <c r="E11770" i="1"/>
  <c r="B11770" i="1"/>
  <c r="E11771" i="1"/>
  <c r="B11771" i="1"/>
  <c r="E11772" i="1"/>
  <c r="B11772" i="1"/>
  <c r="E11773" i="1"/>
  <c r="B11773" i="1"/>
  <c r="E11774" i="1"/>
  <c r="B11774" i="1"/>
  <c r="E11775" i="1"/>
  <c r="B11775" i="1"/>
  <c r="E11776" i="1"/>
  <c r="B11776" i="1"/>
  <c r="E11777" i="1"/>
  <c r="B11777" i="1"/>
  <c r="E11778" i="1"/>
  <c r="B11778" i="1"/>
  <c r="E11779" i="1"/>
  <c r="B11779" i="1"/>
  <c r="E11780" i="1"/>
  <c r="B11780" i="1"/>
  <c r="E11781" i="1"/>
  <c r="B11781" i="1"/>
  <c r="E11782" i="1"/>
  <c r="B11782" i="1"/>
  <c r="E11783" i="1"/>
  <c r="B11783" i="1"/>
  <c r="E11784" i="1"/>
  <c r="B11784" i="1"/>
  <c r="E11785" i="1"/>
  <c r="B11785" i="1"/>
  <c r="E11786" i="1"/>
  <c r="B11786" i="1"/>
  <c r="E11787" i="1"/>
  <c r="B11787" i="1"/>
  <c r="E11788" i="1"/>
  <c r="B11788" i="1"/>
  <c r="E11789" i="1"/>
  <c r="B11789" i="1"/>
  <c r="E11790" i="1"/>
  <c r="B11790" i="1"/>
  <c r="E11791" i="1"/>
  <c r="B11791" i="1"/>
  <c r="E11792" i="1"/>
  <c r="B11792" i="1"/>
  <c r="E11793" i="1"/>
  <c r="B11793" i="1"/>
  <c r="E11794" i="1"/>
  <c r="B11794" i="1"/>
  <c r="E11795" i="1"/>
  <c r="B11795" i="1"/>
  <c r="E11796" i="1"/>
  <c r="B11796" i="1"/>
  <c r="E11797" i="1"/>
  <c r="B11797" i="1"/>
  <c r="E11798" i="1"/>
  <c r="B11798" i="1"/>
  <c r="E11799" i="1"/>
  <c r="B11799" i="1"/>
  <c r="E11800" i="1"/>
  <c r="B11800" i="1"/>
  <c r="E11801" i="1"/>
  <c r="B11801" i="1"/>
  <c r="E11802" i="1"/>
  <c r="B11802" i="1"/>
  <c r="E11803" i="1"/>
  <c r="B11803" i="1"/>
  <c r="E11804" i="1"/>
  <c r="B11804" i="1"/>
  <c r="E11805" i="1"/>
  <c r="B11805" i="1"/>
  <c r="E11806" i="1"/>
  <c r="B11806" i="1"/>
  <c r="E11807" i="1"/>
  <c r="B11807" i="1"/>
  <c r="E11808" i="1"/>
  <c r="B11808" i="1"/>
  <c r="E11809" i="1"/>
  <c r="B11809" i="1"/>
  <c r="E11810" i="1"/>
  <c r="B11810" i="1"/>
  <c r="E11811" i="1"/>
  <c r="B11811" i="1"/>
  <c r="E11812" i="1"/>
  <c r="B11812" i="1"/>
  <c r="E11813" i="1"/>
  <c r="B11813" i="1"/>
  <c r="E11814" i="1"/>
  <c r="B11814" i="1"/>
  <c r="E11815" i="1"/>
  <c r="B11815" i="1"/>
  <c r="E11816" i="1"/>
  <c r="B11816" i="1"/>
  <c r="E11817" i="1"/>
  <c r="B11817" i="1"/>
  <c r="E11818" i="1"/>
  <c r="B11818" i="1"/>
  <c r="E11819" i="1"/>
  <c r="B11819" i="1"/>
  <c r="E11820" i="1"/>
  <c r="B11820" i="1"/>
  <c r="E11821" i="1"/>
  <c r="B11821" i="1"/>
  <c r="E11822" i="1"/>
  <c r="B11822" i="1"/>
  <c r="E11823" i="1"/>
  <c r="B11823" i="1"/>
  <c r="E11824" i="1"/>
  <c r="B11824" i="1"/>
  <c r="E11825" i="1"/>
  <c r="B11825" i="1"/>
  <c r="E11826" i="1"/>
  <c r="B11826" i="1"/>
  <c r="E11827" i="1"/>
  <c r="B11827" i="1"/>
  <c r="E11828" i="1"/>
  <c r="B11828" i="1"/>
  <c r="E11829" i="1"/>
  <c r="B11829" i="1"/>
  <c r="E11830" i="1"/>
  <c r="B11830" i="1"/>
  <c r="E11831" i="1"/>
  <c r="B11831" i="1"/>
  <c r="E11833" i="1"/>
  <c r="B11833" i="1"/>
  <c r="E11832" i="1"/>
  <c r="B11832" i="1"/>
  <c r="E11834" i="1"/>
  <c r="B11834" i="1"/>
  <c r="E11835" i="1"/>
  <c r="B11835" i="1"/>
  <c r="E11836" i="1"/>
  <c r="B11836" i="1"/>
  <c r="E11837" i="1"/>
  <c r="B11837" i="1"/>
  <c r="E11838" i="1"/>
  <c r="B11838" i="1"/>
  <c r="E11839" i="1"/>
  <c r="B11839" i="1"/>
  <c r="E11840" i="1"/>
  <c r="B11840" i="1"/>
  <c r="E11841" i="1"/>
  <c r="B11841" i="1"/>
  <c r="E11842" i="1"/>
  <c r="B11842" i="1"/>
  <c r="E11843" i="1"/>
  <c r="B11843" i="1"/>
  <c r="E11844" i="1"/>
  <c r="B11844" i="1"/>
  <c r="E11845" i="1"/>
  <c r="B11845" i="1"/>
  <c r="E11846" i="1"/>
  <c r="B11846" i="1"/>
  <c r="E11847" i="1"/>
  <c r="B11847" i="1"/>
  <c r="E11848" i="1"/>
  <c r="B11848" i="1"/>
  <c r="E11849" i="1"/>
  <c r="B11849" i="1"/>
  <c r="E11850" i="1"/>
  <c r="B11850" i="1"/>
  <c r="E11851" i="1"/>
  <c r="B11851" i="1"/>
  <c r="E11852" i="1"/>
  <c r="B11852" i="1"/>
  <c r="E11853" i="1"/>
  <c r="B11853" i="1"/>
  <c r="E11854" i="1"/>
  <c r="B11854" i="1"/>
  <c r="E11855" i="1"/>
  <c r="B11855" i="1"/>
  <c r="E11856" i="1"/>
  <c r="B11856" i="1"/>
  <c r="E11857" i="1"/>
  <c r="B11857" i="1"/>
  <c r="E11858" i="1"/>
  <c r="B11858" i="1"/>
  <c r="E11859" i="1"/>
  <c r="B11859" i="1"/>
  <c r="E11860" i="1"/>
  <c r="B11860" i="1"/>
  <c r="E11861" i="1"/>
  <c r="B11861" i="1"/>
  <c r="E11862" i="1"/>
  <c r="B11862" i="1"/>
  <c r="E11863" i="1"/>
  <c r="B11863" i="1"/>
  <c r="E11864" i="1"/>
  <c r="B11864" i="1"/>
  <c r="E11865" i="1"/>
  <c r="B11865" i="1"/>
  <c r="E11866" i="1"/>
  <c r="B11866" i="1"/>
  <c r="E11867" i="1"/>
  <c r="B11867" i="1"/>
  <c r="E11868" i="1"/>
  <c r="B11868" i="1"/>
  <c r="E11869" i="1"/>
  <c r="B11869" i="1"/>
  <c r="E11870" i="1"/>
  <c r="B11870" i="1"/>
  <c r="E11871" i="1"/>
  <c r="B11871" i="1"/>
  <c r="E11872" i="1"/>
  <c r="B11872" i="1"/>
  <c r="E11873" i="1"/>
  <c r="B11873" i="1"/>
  <c r="E11874" i="1"/>
  <c r="B11874" i="1"/>
  <c r="E11875" i="1"/>
  <c r="B11875" i="1"/>
  <c r="E11876" i="1"/>
  <c r="B11876" i="1"/>
  <c r="E11877" i="1"/>
  <c r="B11877" i="1"/>
  <c r="E11879" i="1"/>
  <c r="B11879" i="1"/>
  <c r="E11878" i="1"/>
  <c r="B11878" i="1"/>
  <c r="E11880" i="1"/>
  <c r="B11880" i="1"/>
  <c r="E11881" i="1"/>
  <c r="B11881" i="1"/>
  <c r="E11882" i="1"/>
  <c r="B11882" i="1"/>
  <c r="E11884" i="1"/>
  <c r="B11884" i="1"/>
  <c r="E11883" i="1"/>
  <c r="B11883" i="1"/>
  <c r="E11885" i="1"/>
  <c r="B11885" i="1"/>
  <c r="E11886" i="1"/>
  <c r="B11886" i="1"/>
  <c r="E11887" i="1"/>
  <c r="B11887" i="1"/>
  <c r="E11888" i="1"/>
  <c r="B11888" i="1"/>
  <c r="E11889" i="1"/>
  <c r="B11889" i="1"/>
  <c r="E11890" i="1"/>
  <c r="B11890" i="1"/>
  <c r="E11891" i="1"/>
  <c r="B11891" i="1"/>
  <c r="E11892" i="1"/>
  <c r="B11892" i="1"/>
  <c r="E11893" i="1"/>
  <c r="B11893" i="1"/>
  <c r="E11894" i="1"/>
  <c r="B11894" i="1"/>
  <c r="E11895" i="1"/>
  <c r="B11895" i="1"/>
  <c r="E11896" i="1"/>
  <c r="B11896" i="1"/>
  <c r="E11897" i="1"/>
  <c r="B11897" i="1"/>
  <c r="E11898" i="1"/>
  <c r="B11898" i="1"/>
  <c r="E11899" i="1"/>
  <c r="B11899" i="1"/>
  <c r="E11900" i="1"/>
  <c r="B11900" i="1"/>
  <c r="E11901" i="1"/>
  <c r="B11901" i="1"/>
  <c r="E11902" i="1"/>
  <c r="B11902" i="1"/>
  <c r="E11903" i="1"/>
  <c r="B11903" i="1"/>
  <c r="E11904" i="1"/>
  <c r="B11904" i="1"/>
  <c r="E11905" i="1"/>
  <c r="B11905" i="1"/>
  <c r="E11906" i="1"/>
  <c r="B11906" i="1"/>
  <c r="E11907" i="1"/>
  <c r="B11907" i="1"/>
  <c r="E11908" i="1"/>
  <c r="B11908" i="1"/>
  <c r="E11909" i="1"/>
  <c r="B11909" i="1"/>
  <c r="E11910" i="1"/>
  <c r="B11910" i="1"/>
  <c r="E11911" i="1"/>
  <c r="B11911" i="1"/>
  <c r="E11912" i="1"/>
  <c r="B11912" i="1"/>
  <c r="E11913" i="1"/>
  <c r="B11913" i="1"/>
  <c r="E11914" i="1"/>
  <c r="B11914" i="1"/>
  <c r="E11915" i="1"/>
  <c r="B11915" i="1"/>
  <c r="E11916" i="1"/>
  <c r="B11916" i="1"/>
  <c r="E11917" i="1"/>
  <c r="B11917" i="1"/>
  <c r="E11918" i="1"/>
  <c r="B11918" i="1"/>
  <c r="E11919" i="1"/>
  <c r="B11919" i="1"/>
  <c r="E11920" i="1"/>
  <c r="B11920" i="1"/>
  <c r="E11921" i="1"/>
  <c r="B11921" i="1"/>
  <c r="E11922" i="1"/>
  <c r="B11922" i="1"/>
  <c r="E11923" i="1"/>
  <c r="B11923" i="1"/>
  <c r="E11924" i="1"/>
  <c r="B11924" i="1"/>
  <c r="E11925" i="1"/>
  <c r="B11925" i="1"/>
  <c r="E11926" i="1"/>
  <c r="B11926" i="1"/>
  <c r="E11927" i="1"/>
  <c r="B11927" i="1"/>
  <c r="E11928" i="1"/>
  <c r="B11928" i="1"/>
  <c r="E11929" i="1"/>
  <c r="B11929" i="1"/>
  <c r="E11930" i="1"/>
  <c r="B11930" i="1"/>
  <c r="E11931" i="1"/>
  <c r="B11931" i="1"/>
  <c r="E11932" i="1"/>
  <c r="B11932" i="1"/>
  <c r="E11933" i="1"/>
  <c r="B11933" i="1"/>
  <c r="E11934" i="1"/>
  <c r="B11934" i="1"/>
  <c r="E11935" i="1"/>
  <c r="B11935" i="1"/>
  <c r="E11936" i="1"/>
  <c r="B11936" i="1"/>
  <c r="E11937" i="1"/>
  <c r="B11937" i="1"/>
  <c r="E11938" i="1"/>
  <c r="B11938" i="1"/>
  <c r="E11939" i="1"/>
  <c r="B11939" i="1"/>
  <c r="E11940" i="1"/>
  <c r="B11940" i="1"/>
  <c r="E11941" i="1"/>
  <c r="B11941" i="1"/>
  <c r="E11942" i="1"/>
  <c r="B11942" i="1"/>
  <c r="E11943" i="1"/>
  <c r="B11943" i="1"/>
  <c r="E11944" i="1"/>
  <c r="B11944" i="1"/>
  <c r="E11945" i="1"/>
  <c r="B11945" i="1"/>
  <c r="E11946" i="1"/>
  <c r="B11946" i="1"/>
  <c r="E11947" i="1"/>
  <c r="B11947" i="1"/>
  <c r="E11948" i="1"/>
  <c r="B11948" i="1"/>
  <c r="E11949" i="1"/>
  <c r="B11949" i="1"/>
  <c r="E11950" i="1"/>
  <c r="B11950" i="1"/>
  <c r="E11951" i="1"/>
  <c r="B11951" i="1"/>
  <c r="E11952" i="1"/>
  <c r="B11952" i="1"/>
  <c r="E11953" i="1"/>
  <c r="B11953" i="1"/>
  <c r="E11954" i="1"/>
  <c r="B11954" i="1"/>
  <c r="E11955" i="1"/>
  <c r="B11955" i="1"/>
  <c r="E11956" i="1"/>
  <c r="B11956" i="1"/>
  <c r="E11957" i="1"/>
  <c r="B11957" i="1"/>
  <c r="E11958" i="1"/>
  <c r="B11958" i="1"/>
  <c r="E11959" i="1"/>
  <c r="B11959" i="1"/>
  <c r="E11960" i="1"/>
  <c r="B11960" i="1"/>
  <c r="E11961" i="1"/>
  <c r="B11961" i="1"/>
  <c r="E11962" i="1"/>
  <c r="B11962" i="1"/>
  <c r="E11963" i="1"/>
  <c r="B11963" i="1"/>
  <c r="E11964" i="1"/>
  <c r="B11964" i="1"/>
  <c r="E11965" i="1"/>
  <c r="B11965" i="1"/>
  <c r="E11966" i="1"/>
  <c r="B11966" i="1"/>
  <c r="E11967" i="1"/>
  <c r="B11967" i="1"/>
  <c r="E11968" i="1"/>
  <c r="B11968" i="1"/>
  <c r="E11969" i="1"/>
  <c r="B11969" i="1"/>
  <c r="E11970" i="1"/>
  <c r="B11970" i="1"/>
  <c r="E11971" i="1"/>
  <c r="B11971" i="1"/>
  <c r="E11972" i="1"/>
  <c r="B11972" i="1"/>
  <c r="E11973" i="1"/>
  <c r="B11973" i="1"/>
  <c r="E11974" i="1"/>
  <c r="B11974" i="1"/>
  <c r="E11975" i="1"/>
  <c r="B11975" i="1"/>
  <c r="E11977" i="1"/>
  <c r="B11977" i="1"/>
  <c r="E11976" i="1"/>
  <c r="B11976" i="1"/>
  <c r="E11978" i="1"/>
  <c r="B11978" i="1"/>
  <c r="E11979" i="1"/>
  <c r="B11979" i="1"/>
  <c r="E11980" i="1"/>
  <c r="B11980" i="1"/>
  <c r="E11981" i="1"/>
  <c r="B11981" i="1"/>
  <c r="E11982" i="1"/>
  <c r="B11982" i="1"/>
  <c r="E11983" i="1"/>
  <c r="B11983" i="1"/>
  <c r="E11984" i="1"/>
  <c r="B11984" i="1"/>
  <c r="E11985" i="1"/>
  <c r="B11985" i="1"/>
  <c r="E11986" i="1"/>
  <c r="B11986" i="1"/>
  <c r="E11987" i="1"/>
  <c r="B11987" i="1"/>
  <c r="E11988" i="1"/>
  <c r="B11988" i="1"/>
  <c r="E11989" i="1"/>
  <c r="B11989" i="1"/>
  <c r="E11990" i="1"/>
  <c r="B11990" i="1"/>
  <c r="E11991" i="1"/>
  <c r="B11991" i="1"/>
  <c r="E11992" i="1"/>
  <c r="B11992" i="1"/>
  <c r="E11993" i="1"/>
  <c r="B11993" i="1"/>
  <c r="E11994" i="1"/>
  <c r="B11994" i="1"/>
  <c r="E11995" i="1"/>
  <c r="B11995" i="1"/>
  <c r="E11996" i="1"/>
  <c r="B11996" i="1"/>
  <c r="E11997" i="1"/>
  <c r="B11997" i="1"/>
  <c r="E11998" i="1"/>
  <c r="B11998" i="1"/>
  <c r="E11999" i="1"/>
  <c r="B11999" i="1"/>
  <c r="E12000" i="1"/>
  <c r="B12000" i="1"/>
  <c r="E12001" i="1"/>
  <c r="B12001" i="1"/>
  <c r="E12002" i="1"/>
  <c r="B12002" i="1"/>
  <c r="E12003" i="1"/>
  <c r="B12003" i="1"/>
  <c r="E12004" i="1"/>
  <c r="B12004" i="1"/>
  <c r="E12005" i="1"/>
  <c r="B12005" i="1"/>
  <c r="E12006" i="1"/>
  <c r="B12006" i="1"/>
  <c r="E12007" i="1"/>
  <c r="B12007" i="1"/>
  <c r="E12008" i="1"/>
  <c r="B12008" i="1"/>
  <c r="E12009" i="1"/>
  <c r="B12009" i="1"/>
  <c r="E12010" i="1"/>
  <c r="B12010" i="1"/>
  <c r="E12011" i="1"/>
  <c r="B12011" i="1"/>
  <c r="E12013" i="1"/>
  <c r="B12013" i="1"/>
  <c r="E12012" i="1"/>
  <c r="B12012" i="1"/>
  <c r="E12014" i="1"/>
  <c r="B12014" i="1"/>
  <c r="E12015" i="1"/>
  <c r="B12015" i="1"/>
  <c r="E12016" i="1"/>
  <c r="B12016" i="1"/>
  <c r="E12017" i="1"/>
  <c r="B12017" i="1"/>
  <c r="E12018" i="1"/>
  <c r="B12018" i="1"/>
  <c r="E12019" i="1"/>
  <c r="B12019" i="1"/>
  <c r="E12020" i="1"/>
  <c r="B12020" i="1"/>
  <c r="E12021" i="1"/>
  <c r="B12021" i="1"/>
  <c r="E12022" i="1"/>
  <c r="B12022" i="1"/>
  <c r="E12023" i="1"/>
  <c r="B12023" i="1"/>
  <c r="E12024" i="1"/>
  <c r="B12024" i="1"/>
  <c r="E12025" i="1"/>
  <c r="B12025" i="1"/>
  <c r="E12026" i="1"/>
  <c r="B12026" i="1"/>
  <c r="E12027" i="1"/>
  <c r="B12027" i="1"/>
  <c r="E12028" i="1"/>
  <c r="B12028" i="1"/>
  <c r="E12029" i="1"/>
  <c r="B12029" i="1"/>
  <c r="E12030" i="1"/>
  <c r="B12030" i="1"/>
  <c r="E12031" i="1"/>
  <c r="B12031" i="1"/>
  <c r="E12032" i="1"/>
  <c r="B12032" i="1"/>
  <c r="E12033" i="1"/>
  <c r="B12033" i="1"/>
  <c r="E12034" i="1"/>
  <c r="B12034" i="1"/>
  <c r="E12035" i="1"/>
  <c r="B12035" i="1"/>
  <c r="E12036" i="1"/>
  <c r="B12036" i="1"/>
  <c r="E12037" i="1"/>
  <c r="B12037" i="1"/>
  <c r="E12038" i="1"/>
  <c r="B12038" i="1"/>
  <c r="E12039" i="1"/>
  <c r="B12039" i="1"/>
  <c r="E12040" i="1"/>
  <c r="B12040" i="1"/>
  <c r="E12041" i="1"/>
  <c r="B12041" i="1"/>
  <c r="E12042" i="1"/>
  <c r="B12042" i="1"/>
  <c r="E12043" i="1"/>
  <c r="B12043" i="1"/>
  <c r="E12044" i="1"/>
  <c r="B12044" i="1"/>
  <c r="E12045" i="1"/>
  <c r="B12045" i="1"/>
  <c r="E12046" i="1"/>
  <c r="B12046" i="1"/>
  <c r="E12047" i="1"/>
  <c r="B12047" i="1"/>
  <c r="E12048" i="1"/>
  <c r="B12048" i="1"/>
  <c r="E12049" i="1"/>
  <c r="B12049" i="1"/>
  <c r="E12050" i="1"/>
  <c r="B12050" i="1"/>
  <c r="E12051" i="1"/>
  <c r="B12051" i="1"/>
  <c r="E12052" i="1"/>
  <c r="B12052" i="1"/>
  <c r="E12053" i="1"/>
  <c r="B12053" i="1"/>
  <c r="E12054" i="1"/>
  <c r="B12054" i="1"/>
  <c r="E12055" i="1"/>
  <c r="B12055" i="1"/>
  <c r="E12056" i="1"/>
  <c r="B12056" i="1"/>
  <c r="E12057" i="1"/>
  <c r="B12057" i="1"/>
  <c r="E12058" i="1"/>
  <c r="B12058" i="1"/>
  <c r="E12059" i="1"/>
  <c r="B12059" i="1"/>
  <c r="E12060" i="1"/>
  <c r="B12060" i="1"/>
  <c r="E12061" i="1"/>
  <c r="B12061" i="1"/>
  <c r="E12062" i="1"/>
  <c r="B12062" i="1"/>
  <c r="E12063" i="1"/>
  <c r="B12063" i="1"/>
  <c r="E12064" i="1"/>
  <c r="B12064" i="1"/>
  <c r="E12065" i="1"/>
  <c r="B12065" i="1"/>
  <c r="E12067" i="1"/>
  <c r="B12067" i="1"/>
  <c r="E12066" i="1"/>
  <c r="B12066" i="1"/>
  <c r="E12068" i="1"/>
  <c r="B12068" i="1"/>
  <c r="E12069" i="1"/>
  <c r="B12069" i="1"/>
  <c r="E12070" i="1"/>
  <c r="B12070" i="1"/>
  <c r="E12071" i="1"/>
  <c r="B12071" i="1"/>
  <c r="E12072" i="1"/>
  <c r="B12072" i="1"/>
  <c r="E12073" i="1"/>
  <c r="B12073" i="1"/>
  <c r="E12074" i="1"/>
  <c r="B12074" i="1"/>
  <c r="E12075" i="1"/>
  <c r="B12075" i="1"/>
  <c r="E12076" i="1"/>
  <c r="B12076" i="1"/>
  <c r="E12077" i="1"/>
  <c r="B12077" i="1"/>
  <c r="E12078" i="1"/>
  <c r="B12078" i="1"/>
  <c r="E12079" i="1"/>
  <c r="B12079" i="1"/>
  <c r="E12080" i="1"/>
  <c r="B12080" i="1"/>
  <c r="E12081" i="1"/>
  <c r="B12081" i="1"/>
  <c r="E12082" i="1"/>
  <c r="B12082" i="1"/>
  <c r="E12083" i="1"/>
  <c r="B12083" i="1"/>
  <c r="E12084" i="1"/>
  <c r="B12084" i="1"/>
  <c r="E12085" i="1"/>
  <c r="B12085" i="1"/>
  <c r="E12086" i="1"/>
  <c r="B12086" i="1"/>
  <c r="E12087" i="1"/>
  <c r="B12087" i="1"/>
  <c r="E12088" i="1"/>
  <c r="B12088" i="1"/>
  <c r="E12089" i="1"/>
  <c r="B12089" i="1"/>
  <c r="E12090" i="1"/>
  <c r="B12090" i="1"/>
  <c r="E12091" i="1"/>
  <c r="B12091" i="1"/>
  <c r="E12092" i="1"/>
  <c r="B12092" i="1"/>
  <c r="E12093" i="1"/>
  <c r="B12093" i="1"/>
  <c r="E12095" i="1"/>
  <c r="B12095" i="1"/>
  <c r="E12094" i="1"/>
  <c r="B12094" i="1"/>
  <c r="E12096" i="1"/>
  <c r="B12096" i="1"/>
  <c r="E12097" i="1"/>
  <c r="B12097" i="1"/>
  <c r="E12098" i="1"/>
  <c r="B12098" i="1"/>
  <c r="E12099" i="1"/>
  <c r="B12099" i="1"/>
  <c r="E12100" i="1"/>
  <c r="B12100" i="1"/>
  <c r="E12101" i="1"/>
  <c r="B12101" i="1"/>
  <c r="E12102" i="1"/>
  <c r="B12102" i="1"/>
  <c r="E12103" i="1"/>
  <c r="B12103" i="1"/>
  <c r="E12104" i="1"/>
  <c r="B12104" i="1"/>
  <c r="E12105" i="1"/>
  <c r="B12105" i="1"/>
  <c r="E12106" i="1"/>
  <c r="B12106" i="1"/>
  <c r="E12107" i="1"/>
  <c r="B12107" i="1"/>
  <c r="E12108" i="1"/>
  <c r="B12108" i="1"/>
  <c r="E12109" i="1"/>
  <c r="B12109" i="1"/>
  <c r="E12110" i="1"/>
  <c r="B12110" i="1"/>
  <c r="E12111" i="1"/>
  <c r="B12111" i="1"/>
  <c r="E12112" i="1"/>
  <c r="B12112" i="1"/>
  <c r="E12113" i="1"/>
  <c r="B12113" i="1"/>
  <c r="E12114" i="1"/>
  <c r="B12114" i="1"/>
  <c r="E12115" i="1"/>
  <c r="B12115" i="1"/>
  <c r="E12116" i="1"/>
  <c r="B12116" i="1"/>
  <c r="E12117" i="1"/>
  <c r="B12117" i="1"/>
  <c r="E12118" i="1"/>
  <c r="B12118" i="1"/>
  <c r="E12119" i="1"/>
  <c r="B12119" i="1"/>
  <c r="E12120" i="1"/>
  <c r="B12120" i="1"/>
  <c r="E12121" i="1"/>
  <c r="B12121" i="1"/>
  <c r="E12122" i="1"/>
  <c r="B12122" i="1"/>
  <c r="E12123" i="1"/>
  <c r="B12123" i="1"/>
  <c r="E12124" i="1"/>
  <c r="B12124" i="1"/>
  <c r="E12125" i="1"/>
  <c r="B12125" i="1"/>
  <c r="E12126" i="1"/>
  <c r="B12126" i="1"/>
  <c r="E12127" i="1"/>
  <c r="B12127" i="1"/>
  <c r="E12128" i="1"/>
  <c r="B12128" i="1"/>
  <c r="E12129" i="1"/>
  <c r="B12129" i="1"/>
  <c r="E12130" i="1"/>
  <c r="B12130" i="1"/>
  <c r="E12131" i="1"/>
  <c r="B12131" i="1"/>
  <c r="E12132" i="1"/>
  <c r="B12132" i="1"/>
  <c r="E12133" i="1"/>
  <c r="B12133" i="1"/>
  <c r="E12134" i="1"/>
  <c r="B12134" i="1"/>
  <c r="E12135" i="1"/>
  <c r="B12135" i="1"/>
  <c r="E12136" i="1"/>
  <c r="B12136" i="1"/>
  <c r="E12137" i="1"/>
  <c r="B12137" i="1"/>
  <c r="E12138" i="1"/>
  <c r="B12138" i="1"/>
  <c r="E12139" i="1"/>
  <c r="B12139" i="1"/>
  <c r="E12140" i="1"/>
  <c r="B12140" i="1"/>
  <c r="E12141" i="1"/>
  <c r="B12141" i="1"/>
  <c r="E12142" i="1"/>
  <c r="B12142" i="1"/>
  <c r="E12143" i="1"/>
  <c r="B12143" i="1"/>
  <c r="E12144" i="1"/>
  <c r="B12144" i="1"/>
  <c r="E12145" i="1"/>
  <c r="B12145" i="1"/>
  <c r="E12146" i="1"/>
  <c r="B12146" i="1"/>
  <c r="E12147" i="1"/>
  <c r="B12147" i="1"/>
  <c r="E12148" i="1"/>
  <c r="B12148" i="1"/>
  <c r="E12149" i="1"/>
  <c r="B12149" i="1"/>
  <c r="E12152" i="1"/>
  <c r="B12152" i="1"/>
  <c r="E12151" i="1"/>
  <c r="B12151" i="1"/>
  <c r="E12150" i="1"/>
  <c r="B12150" i="1"/>
  <c r="E12153" i="1"/>
  <c r="B12153" i="1"/>
  <c r="E12154" i="1"/>
  <c r="B12154" i="1"/>
  <c r="E12155" i="1"/>
  <c r="B12155" i="1"/>
  <c r="E12156" i="1"/>
  <c r="B12156" i="1"/>
  <c r="E12157" i="1"/>
  <c r="B12157" i="1"/>
  <c r="E12158" i="1"/>
  <c r="B12158" i="1"/>
  <c r="E12159" i="1"/>
  <c r="B12159" i="1"/>
  <c r="E12160" i="1"/>
  <c r="B12160" i="1"/>
  <c r="E12161" i="1"/>
  <c r="B12161" i="1"/>
  <c r="E12162" i="1"/>
  <c r="B12162" i="1"/>
  <c r="E12163" i="1"/>
  <c r="B12163" i="1"/>
  <c r="E12164" i="1"/>
  <c r="B12164" i="1"/>
  <c r="E12165" i="1"/>
  <c r="B12165" i="1"/>
  <c r="E12166" i="1"/>
  <c r="B12166" i="1"/>
  <c r="E12167" i="1"/>
  <c r="B12167" i="1"/>
  <c r="E12168" i="1"/>
  <c r="B12168" i="1"/>
  <c r="E12169" i="1"/>
  <c r="B12169" i="1"/>
  <c r="E12170" i="1"/>
  <c r="B12170" i="1"/>
  <c r="E12171" i="1"/>
  <c r="B12171" i="1"/>
  <c r="E12172" i="1"/>
  <c r="B12172" i="1"/>
  <c r="E12173" i="1"/>
  <c r="B12173" i="1"/>
  <c r="E12174" i="1"/>
  <c r="B12174" i="1"/>
  <c r="E12175" i="1"/>
  <c r="B12175" i="1"/>
  <c r="E12176" i="1"/>
  <c r="B12176" i="1"/>
  <c r="E12177" i="1"/>
  <c r="B12177" i="1"/>
  <c r="E12178" i="1"/>
  <c r="B12178" i="1"/>
  <c r="E12179" i="1"/>
  <c r="B12179" i="1"/>
  <c r="E12180" i="1"/>
  <c r="B12180" i="1"/>
  <c r="E12181" i="1"/>
  <c r="B12181" i="1"/>
  <c r="E12182" i="1"/>
  <c r="B12182" i="1"/>
  <c r="E12183" i="1"/>
  <c r="B12183" i="1"/>
  <c r="E12184" i="1"/>
  <c r="B12184" i="1"/>
  <c r="E12185" i="1"/>
  <c r="B12185" i="1"/>
  <c r="E12186" i="1"/>
  <c r="B12186" i="1"/>
  <c r="E12187" i="1"/>
  <c r="B12187" i="1"/>
  <c r="E12188" i="1"/>
  <c r="B12188" i="1"/>
  <c r="E12189" i="1"/>
  <c r="B12189" i="1"/>
  <c r="E12190" i="1"/>
  <c r="B12190" i="1"/>
  <c r="E12191" i="1"/>
  <c r="B12191" i="1"/>
  <c r="E12192" i="1"/>
  <c r="B12192" i="1"/>
  <c r="E12193" i="1"/>
  <c r="B12193" i="1"/>
  <c r="E12194" i="1"/>
  <c r="B12194" i="1"/>
  <c r="E12195" i="1"/>
  <c r="B12195" i="1"/>
  <c r="E12196" i="1"/>
  <c r="B12196" i="1"/>
  <c r="E12197" i="1"/>
  <c r="B12197" i="1"/>
  <c r="E12198" i="1"/>
  <c r="B12198" i="1"/>
  <c r="E12199" i="1"/>
  <c r="B12199" i="1"/>
  <c r="E12200" i="1"/>
  <c r="B12200" i="1"/>
  <c r="E12201" i="1"/>
  <c r="B12201" i="1"/>
  <c r="E12202" i="1"/>
  <c r="B12202" i="1"/>
  <c r="E12203" i="1"/>
  <c r="B12203" i="1"/>
  <c r="E12204" i="1"/>
  <c r="B12204" i="1"/>
  <c r="E12205" i="1"/>
  <c r="B12205" i="1"/>
  <c r="E12206" i="1"/>
  <c r="B12206" i="1"/>
  <c r="E12207" i="1"/>
  <c r="B12207" i="1"/>
  <c r="E12208" i="1"/>
  <c r="B12208" i="1"/>
  <c r="E12209" i="1"/>
  <c r="B12209" i="1"/>
  <c r="E12210" i="1"/>
  <c r="B12210" i="1"/>
  <c r="E12211" i="1"/>
  <c r="B12211" i="1"/>
  <c r="E12212" i="1"/>
  <c r="B12212" i="1"/>
  <c r="E12213" i="1"/>
  <c r="B12213" i="1"/>
  <c r="E12214" i="1"/>
  <c r="B12214" i="1"/>
  <c r="E12215" i="1"/>
  <c r="B12215" i="1"/>
  <c r="E12216" i="1"/>
  <c r="B12216" i="1"/>
  <c r="E12217" i="1"/>
  <c r="B12217" i="1"/>
  <c r="E12218" i="1"/>
  <c r="B12218" i="1"/>
  <c r="E12219" i="1"/>
  <c r="B12219" i="1"/>
  <c r="E12220" i="1"/>
  <c r="B12220" i="1"/>
  <c r="E12221" i="1"/>
  <c r="B12221" i="1"/>
  <c r="E12222" i="1"/>
  <c r="B12222" i="1"/>
  <c r="E12223" i="1"/>
  <c r="B12223" i="1"/>
  <c r="E12224" i="1"/>
  <c r="B12224" i="1"/>
  <c r="E12225" i="1"/>
  <c r="B12225" i="1"/>
  <c r="E12226" i="1"/>
  <c r="B12226" i="1"/>
  <c r="E12227" i="1"/>
  <c r="B12227" i="1"/>
  <c r="E12228" i="1"/>
  <c r="B12228" i="1"/>
  <c r="E12229" i="1"/>
  <c r="B12229" i="1"/>
  <c r="E12230" i="1"/>
  <c r="B12230" i="1"/>
  <c r="E12231" i="1"/>
  <c r="B12231" i="1"/>
  <c r="E12232" i="1"/>
  <c r="B12232" i="1"/>
  <c r="E12233" i="1"/>
  <c r="B12233" i="1"/>
  <c r="E12234" i="1"/>
  <c r="B12234" i="1"/>
  <c r="E12235" i="1"/>
  <c r="B12235" i="1"/>
  <c r="E12236" i="1"/>
  <c r="B12236" i="1"/>
  <c r="E12237" i="1"/>
  <c r="B12237" i="1"/>
  <c r="E12238" i="1"/>
  <c r="B12238" i="1"/>
  <c r="E12239" i="1"/>
  <c r="B12239" i="1"/>
  <c r="E12240" i="1"/>
  <c r="B12240" i="1"/>
  <c r="E12241" i="1"/>
  <c r="B12241" i="1"/>
  <c r="E12242" i="1"/>
  <c r="B12242" i="1"/>
  <c r="E12244" i="1"/>
  <c r="B12244" i="1"/>
  <c r="E12243" i="1"/>
  <c r="B12243" i="1"/>
  <c r="E12245" i="1"/>
  <c r="B12245" i="1"/>
  <c r="E12246" i="1"/>
  <c r="B12246" i="1"/>
  <c r="E12247" i="1"/>
  <c r="B12247" i="1"/>
  <c r="E12248" i="1"/>
  <c r="B12248" i="1"/>
  <c r="E12249" i="1"/>
  <c r="B12249" i="1"/>
  <c r="E12250" i="1"/>
  <c r="B12250" i="1"/>
  <c r="E12251" i="1"/>
  <c r="B12251" i="1"/>
  <c r="E12252" i="1"/>
  <c r="B12252" i="1"/>
  <c r="E12253" i="1"/>
  <c r="B12253" i="1"/>
  <c r="E12254" i="1"/>
  <c r="B12254" i="1"/>
  <c r="E12255" i="1"/>
  <c r="B12255" i="1"/>
  <c r="E12256" i="1"/>
  <c r="B12256" i="1"/>
  <c r="E12257" i="1"/>
  <c r="B12257" i="1"/>
  <c r="E12258" i="1"/>
  <c r="B12258" i="1"/>
  <c r="E12259" i="1"/>
  <c r="B12259" i="1"/>
  <c r="E12260" i="1"/>
  <c r="B12260" i="1"/>
  <c r="E12261" i="1"/>
  <c r="B12261" i="1"/>
  <c r="E12262" i="1"/>
  <c r="B12262" i="1"/>
  <c r="E12263" i="1"/>
  <c r="B12263" i="1"/>
  <c r="E12264" i="1"/>
  <c r="B12264" i="1"/>
  <c r="E12265" i="1"/>
  <c r="B12265" i="1"/>
  <c r="E12266" i="1"/>
  <c r="B12266" i="1"/>
  <c r="E12267" i="1"/>
  <c r="B12267" i="1"/>
  <c r="E12268" i="1"/>
  <c r="B12268" i="1"/>
  <c r="E12269" i="1"/>
  <c r="B12269" i="1"/>
  <c r="E12270" i="1"/>
  <c r="B12270" i="1"/>
  <c r="E12271" i="1"/>
  <c r="B12271" i="1"/>
  <c r="E12272" i="1"/>
  <c r="B12272" i="1"/>
  <c r="E12273" i="1"/>
  <c r="B12273" i="1"/>
  <c r="E12274" i="1"/>
  <c r="B12274" i="1"/>
  <c r="E12275" i="1"/>
  <c r="B12275" i="1"/>
  <c r="E12276" i="1"/>
  <c r="B12276" i="1"/>
  <c r="E12277" i="1"/>
  <c r="B12277" i="1"/>
  <c r="E12278" i="1"/>
  <c r="B12278" i="1"/>
  <c r="E12279" i="1"/>
  <c r="B12279" i="1"/>
  <c r="E12280" i="1"/>
  <c r="B12280" i="1"/>
  <c r="E12281" i="1"/>
  <c r="B12281" i="1"/>
  <c r="E12282" i="1"/>
  <c r="B12282" i="1"/>
  <c r="E12283" i="1"/>
  <c r="B12283" i="1"/>
  <c r="E12284" i="1"/>
  <c r="B12284" i="1"/>
  <c r="E12285" i="1"/>
  <c r="B12285" i="1"/>
  <c r="E12286" i="1"/>
  <c r="B12286" i="1"/>
  <c r="E12287" i="1"/>
  <c r="B12287" i="1"/>
  <c r="E12288" i="1"/>
  <c r="B12288" i="1"/>
  <c r="E12289" i="1"/>
  <c r="B12289" i="1"/>
  <c r="E12290" i="1"/>
  <c r="B12290" i="1"/>
  <c r="E12291" i="1"/>
  <c r="B12291" i="1"/>
  <c r="E12292" i="1"/>
  <c r="B12292" i="1"/>
  <c r="E12293" i="1"/>
  <c r="B12293" i="1"/>
  <c r="E12294" i="1"/>
  <c r="B12294" i="1"/>
  <c r="E12295" i="1"/>
  <c r="B12295" i="1"/>
  <c r="E12296" i="1"/>
  <c r="B12296" i="1"/>
  <c r="E12298" i="1"/>
  <c r="B12298" i="1"/>
  <c r="E12297" i="1"/>
  <c r="B12297" i="1"/>
  <c r="E12300" i="1"/>
  <c r="B12300" i="1"/>
  <c r="E12299" i="1"/>
  <c r="B12299" i="1"/>
  <c r="E12301" i="1"/>
  <c r="B12301" i="1"/>
  <c r="E12302" i="1"/>
  <c r="B12302" i="1"/>
  <c r="E12303" i="1"/>
  <c r="B12303" i="1"/>
  <c r="E12304" i="1"/>
  <c r="B12304" i="1"/>
  <c r="E12305" i="1"/>
  <c r="B12305" i="1"/>
  <c r="E12306" i="1"/>
  <c r="B12306" i="1"/>
  <c r="E12307" i="1"/>
  <c r="B12307" i="1"/>
  <c r="E12308" i="1"/>
  <c r="B12308" i="1"/>
  <c r="E12309" i="1"/>
  <c r="B12309" i="1"/>
  <c r="E12310" i="1"/>
  <c r="B12310" i="1"/>
  <c r="E12311" i="1"/>
  <c r="B12311" i="1"/>
  <c r="E12312" i="1"/>
  <c r="B12312" i="1"/>
  <c r="E12313" i="1"/>
  <c r="B12313" i="1"/>
  <c r="E12314" i="1"/>
  <c r="B12314" i="1"/>
  <c r="E12315" i="1"/>
  <c r="B12315" i="1"/>
  <c r="E12316" i="1"/>
  <c r="B12316" i="1"/>
  <c r="E12317" i="1"/>
  <c r="B12317" i="1"/>
  <c r="E12318" i="1"/>
  <c r="B12318" i="1"/>
  <c r="E12319" i="1"/>
  <c r="B12319" i="1"/>
  <c r="E12320" i="1"/>
  <c r="B12320" i="1"/>
  <c r="E12321" i="1"/>
  <c r="B12321" i="1"/>
  <c r="E12322" i="1"/>
  <c r="B12322" i="1"/>
  <c r="E12323" i="1"/>
  <c r="B12323" i="1"/>
  <c r="E12324" i="1"/>
  <c r="B12324" i="1"/>
  <c r="E12325" i="1"/>
  <c r="B12325" i="1"/>
  <c r="E12326" i="1"/>
  <c r="B12326" i="1"/>
  <c r="E12327" i="1"/>
  <c r="B12327" i="1"/>
  <c r="E12328" i="1"/>
  <c r="B12328" i="1"/>
  <c r="E12329" i="1"/>
  <c r="B12329" i="1"/>
  <c r="E12330" i="1"/>
  <c r="B12330" i="1"/>
  <c r="E12331" i="1"/>
  <c r="B12331" i="1"/>
  <c r="E12332" i="1"/>
  <c r="B12332" i="1"/>
  <c r="E12333" i="1"/>
  <c r="B12333" i="1"/>
  <c r="E12334" i="1"/>
  <c r="B12334" i="1"/>
  <c r="E12335" i="1"/>
  <c r="B12335" i="1"/>
  <c r="E12336" i="1"/>
  <c r="B12336" i="1"/>
  <c r="E12337" i="1"/>
  <c r="B12337" i="1"/>
  <c r="E12338" i="1"/>
  <c r="B12338" i="1"/>
  <c r="E12339" i="1"/>
  <c r="B12339" i="1"/>
  <c r="E12340" i="1"/>
  <c r="B12340" i="1"/>
  <c r="E12341" i="1"/>
  <c r="B12341" i="1"/>
  <c r="E12342" i="1"/>
  <c r="B12342" i="1"/>
  <c r="E12343" i="1"/>
  <c r="B12343" i="1"/>
  <c r="E12344" i="1"/>
  <c r="B12344" i="1"/>
  <c r="E12345" i="1"/>
  <c r="B12345" i="1"/>
  <c r="E12346" i="1"/>
  <c r="B12346" i="1"/>
  <c r="E12347" i="1"/>
  <c r="B12347" i="1"/>
  <c r="E12348" i="1"/>
  <c r="B12348" i="1"/>
  <c r="E12349" i="1"/>
  <c r="B12349" i="1"/>
  <c r="E12350" i="1"/>
  <c r="B12350" i="1"/>
  <c r="E12351" i="1"/>
  <c r="B12351" i="1"/>
  <c r="E12352" i="1"/>
  <c r="B12352" i="1"/>
  <c r="E12353" i="1"/>
  <c r="B12353" i="1"/>
  <c r="E12354" i="1"/>
  <c r="B12354" i="1"/>
  <c r="E12355" i="1"/>
  <c r="B12355" i="1"/>
  <c r="E12356" i="1"/>
  <c r="B12356" i="1"/>
  <c r="E12357" i="1"/>
  <c r="B12357" i="1"/>
  <c r="E12358" i="1"/>
  <c r="B12358" i="1"/>
  <c r="E12359" i="1"/>
  <c r="B12359" i="1"/>
  <c r="E12360" i="1"/>
  <c r="B12360" i="1"/>
  <c r="E12361" i="1"/>
  <c r="B12361" i="1"/>
  <c r="E12362" i="1"/>
  <c r="B12362" i="1"/>
  <c r="E12363" i="1"/>
  <c r="B12363" i="1"/>
  <c r="E12364" i="1"/>
  <c r="B12364" i="1"/>
  <c r="E12365" i="1"/>
  <c r="B12365" i="1"/>
  <c r="E12366" i="1"/>
  <c r="B12366" i="1"/>
  <c r="E12367" i="1"/>
  <c r="B12367" i="1"/>
  <c r="E12368" i="1"/>
  <c r="B12368" i="1"/>
  <c r="E12369" i="1"/>
  <c r="B12369" i="1"/>
  <c r="E12370" i="1"/>
  <c r="B12370" i="1"/>
  <c r="E12371" i="1"/>
  <c r="B12371" i="1"/>
  <c r="E12372" i="1"/>
  <c r="B12372" i="1"/>
  <c r="E12373" i="1"/>
  <c r="B12373" i="1"/>
  <c r="E12374" i="1"/>
  <c r="B12374" i="1"/>
  <c r="E12375" i="1"/>
  <c r="B12375" i="1"/>
  <c r="E12376" i="1"/>
  <c r="B12376" i="1"/>
  <c r="E12378" i="1"/>
  <c r="B12378" i="1"/>
  <c r="E12377" i="1"/>
  <c r="B12377" i="1"/>
  <c r="E12379" i="1"/>
  <c r="B12379" i="1"/>
  <c r="E12380" i="1"/>
  <c r="B12380" i="1"/>
  <c r="E12381" i="1"/>
  <c r="B12381" i="1"/>
  <c r="E12382" i="1"/>
  <c r="B12382" i="1"/>
  <c r="E12383" i="1"/>
  <c r="B12383" i="1"/>
  <c r="E12384" i="1"/>
  <c r="B12384" i="1"/>
  <c r="E12385" i="1"/>
  <c r="B12385" i="1"/>
  <c r="E12386" i="1"/>
  <c r="B12386" i="1"/>
  <c r="E12387" i="1"/>
  <c r="B12387" i="1"/>
  <c r="E12388" i="1"/>
  <c r="B12388" i="1"/>
  <c r="E12389" i="1"/>
  <c r="B12389" i="1"/>
  <c r="E12390" i="1"/>
  <c r="B12390" i="1"/>
  <c r="E12391" i="1"/>
  <c r="B12391" i="1"/>
  <c r="E12392" i="1"/>
  <c r="B12392" i="1"/>
  <c r="E12393" i="1"/>
  <c r="B12393" i="1"/>
  <c r="E12394" i="1"/>
  <c r="B12394" i="1"/>
  <c r="E12395" i="1"/>
  <c r="B12395" i="1"/>
  <c r="E12396" i="1"/>
  <c r="B12396" i="1"/>
  <c r="E12397" i="1"/>
  <c r="B12397" i="1"/>
  <c r="E12398" i="1"/>
  <c r="B12398" i="1"/>
  <c r="E12399" i="1"/>
  <c r="B12399" i="1"/>
  <c r="E12400" i="1"/>
  <c r="B12400" i="1"/>
  <c r="E12401" i="1"/>
  <c r="B12401" i="1"/>
  <c r="E12402" i="1"/>
  <c r="B12402" i="1"/>
  <c r="E12403" i="1"/>
  <c r="B12403" i="1"/>
  <c r="E12404" i="1"/>
  <c r="B12404" i="1"/>
  <c r="E12406" i="1"/>
  <c r="B12406" i="1"/>
  <c r="E12405" i="1"/>
  <c r="B12405" i="1"/>
  <c r="E12407" i="1"/>
  <c r="B12407" i="1"/>
  <c r="E12408" i="1"/>
  <c r="B12408" i="1"/>
  <c r="E12409" i="1"/>
  <c r="B12409" i="1"/>
  <c r="E12410" i="1"/>
  <c r="B12410" i="1"/>
  <c r="E12411" i="1"/>
  <c r="B12411" i="1"/>
  <c r="E12412" i="1"/>
  <c r="B12412" i="1"/>
  <c r="E12413" i="1"/>
  <c r="B12413" i="1"/>
  <c r="E12414" i="1"/>
  <c r="B12414" i="1"/>
  <c r="E12415" i="1"/>
  <c r="B12415" i="1"/>
  <c r="E12416" i="1"/>
  <c r="B12416" i="1"/>
  <c r="E12417" i="1"/>
  <c r="B12417" i="1"/>
  <c r="E12418" i="1"/>
  <c r="B12418" i="1"/>
  <c r="E12419" i="1"/>
  <c r="B12419" i="1"/>
  <c r="E12420" i="1"/>
  <c r="B12420" i="1"/>
  <c r="E12421" i="1"/>
  <c r="B12421" i="1"/>
  <c r="E12422" i="1"/>
  <c r="B12422" i="1"/>
  <c r="E12423" i="1"/>
  <c r="B12423" i="1"/>
  <c r="E12424" i="1"/>
  <c r="B12424" i="1"/>
  <c r="E12425" i="1"/>
  <c r="B12425" i="1"/>
  <c r="E12426" i="1"/>
  <c r="B12426" i="1"/>
  <c r="E12427" i="1"/>
  <c r="B12427" i="1"/>
  <c r="E12428" i="1"/>
  <c r="B12428" i="1"/>
  <c r="E12429" i="1"/>
  <c r="B12429" i="1"/>
  <c r="E12430" i="1"/>
  <c r="B12430" i="1"/>
  <c r="E12431" i="1"/>
  <c r="B12431" i="1"/>
  <c r="E12432" i="1"/>
  <c r="B12432" i="1"/>
  <c r="E12433" i="1"/>
  <c r="B12433" i="1"/>
  <c r="E12434" i="1"/>
  <c r="B12434" i="1"/>
  <c r="E12435" i="1"/>
  <c r="B12435" i="1"/>
  <c r="E12436" i="1"/>
  <c r="B12436" i="1"/>
  <c r="E12437" i="1"/>
  <c r="B12437" i="1"/>
  <c r="E12438" i="1"/>
  <c r="B12438" i="1"/>
  <c r="E12439" i="1"/>
  <c r="B12439" i="1"/>
  <c r="E12440" i="1"/>
  <c r="B12440" i="1"/>
  <c r="E12441" i="1"/>
  <c r="B12441" i="1"/>
  <c r="E12442" i="1"/>
  <c r="B12442" i="1"/>
  <c r="E12443" i="1"/>
  <c r="B12443" i="1"/>
  <c r="E12444" i="1"/>
  <c r="B12444" i="1"/>
  <c r="E12445" i="1"/>
  <c r="B12445" i="1"/>
  <c r="E12446" i="1"/>
  <c r="B12446" i="1"/>
  <c r="E12447" i="1"/>
  <c r="B12447" i="1"/>
  <c r="E12448" i="1"/>
  <c r="B12448" i="1"/>
  <c r="E12449" i="1"/>
  <c r="B12449" i="1"/>
  <c r="E12450" i="1"/>
  <c r="B12450" i="1"/>
  <c r="E12451" i="1"/>
  <c r="B12451" i="1"/>
  <c r="E12452" i="1"/>
  <c r="B12452" i="1"/>
  <c r="E12453" i="1"/>
  <c r="B12453" i="1"/>
  <c r="E12454" i="1"/>
  <c r="B12454" i="1"/>
  <c r="E12455" i="1"/>
  <c r="B12455" i="1"/>
  <c r="E12456" i="1"/>
  <c r="B12456" i="1"/>
  <c r="E12457" i="1"/>
  <c r="B12457" i="1"/>
  <c r="E12458" i="1"/>
  <c r="B12458" i="1"/>
  <c r="E12459" i="1"/>
  <c r="B12459" i="1"/>
  <c r="E12460" i="1"/>
  <c r="B12460" i="1"/>
  <c r="E12461" i="1"/>
  <c r="B12461" i="1"/>
  <c r="E12462" i="1"/>
  <c r="B12462" i="1"/>
  <c r="E12463" i="1"/>
  <c r="B12463" i="1"/>
  <c r="E12464" i="1"/>
  <c r="B12464" i="1"/>
  <c r="E12465" i="1"/>
  <c r="B12465" i="1"/>
  <c r="E12466" i="1"/>
  <c r="B12466" i="1"/>
  <c r="E12467" i="1"/>
  <c r="B12467" i="1"/>
  <c r="E12468" i="1"/>
  <c r="B12468" i="1"/>
  <c r="E12469" i="1"/>
  <c r="B12469" i="1"/>
  <c r="E12470" i="1"/>
  <c r="B12470" i="1"/>
  <c r="E12471" i="1"/>
  <c r="B12471" i="1"/>
  <c r="E12472" i="1"/>
  <c r="B12472" i="1"/>
  <c r="E12473" i="1"/>
  <c r="B12473" i="1"/>
  <c r="E12474" i="1"/>
  <c r="B12474" i="1"/>
  <c r="E12475" i="1"/>
  <c r="B12475" i="1"/>
  <c r="E12476" i="1"/>
  <c r="B12476" i="1"/>
  <c r="E12477" i="1"/>
  <c r="B12477" i="1"/>
  <c r="E12478" i="1"/>
  <c r="B12478" i="1"/>
  <c r="E12479" i="1"/>
  <c r="B12479" i="1"/>
  <c r="E12480" i="1"/>
  <c r="B12480" i="1"/>
  <c r="E12481" i="1"/>
  <c r="B12481" i="1"/>
  <c r="E12482" i="1"/>
  <c r="B12482" i="1"/>
  <c r="E12483" i="1"/>
  <c r="B12483" i="1"/>
  <c r="E12484" i="1"/>
  <c r="B12484" i="1"/>
  <c r="E12485" i="1"/>
  <c r="B12485" i="1"/>
  <c r="E12486" i="1"/>
  <c r="B12486" i="1"/>
  <c r="E12487" i="1"/>
  <c r="B12487" i="1"/>
  <c r="E12488" i="1"/>
  <c r="B12488" i="1"/>
  <c r="E12489" i="1"/>
  <c r="B12489" i="1"/>
  <c r="E12490" i="1"/>
  <c r="B12490" i="1"/>
  <c r="E12491" i="1"/>
  <c r="B12491" i="1"/>
  <c r="E12492" i="1"/>
  <c r="B12492" i="1"/>
  <c r="E12493" i="1"/>
  <c r="B12493" i="1"/>
  <c r="E12494" i="1"/>
  <c r="B12494" i="1"/>
  <c r="E12495" i="1"/>
  <c r="B12495" i="1"/>
  <c r="E12496" i="1"/>
  <c r="B12496" i="1"/>
  <c r="E12497" i="1"/>
  <c r="B12497" i="1"/>
  <c r="E12498" i="1"/>
  <c r="B12498" i="1"/>
  <c r="E12499" i="1"/>
  <c r="B12499" i="1"/>
  <c r="E12500" i="1"/>
  <c r="B12500" i="1"/>
  <c r="E12501" i="1"/>
  <c r="B12501" i="1"/>
  <c r="E12502" i="1"/>
  <c r="B12502" i="1"/>
  <c r="E12503" i="1"/>
  <c r="B12503" i="1"/>
  <c r="E12504" i="1"/>
  <c r="B12504" i="1"/>
  <c r="E12505" i="1"/>
  <c r="B12505" i="1"/>
  <c r="E12506" i="1"/>
  <c r="B12506" i="1"/>
  <c r="E12507" i="1"/>
  <c r="B12507" i="1"/>
  <c r="E12508" i="1"/>
  <c r="B12508" i="1"/>
  <c r="E12509" i="1"/>
  <c r="B12509" i="1"/>
  <c r="E12510" i="1"/>
  <c r="B12510" i="1"/>
  <c r="E12511" i="1"/>
  <c r="B12511" i="1"/>
  <c r="E12512" i="1"/>
  <c r="B12512" i="1"/>
  <c r="E12513" i="1"/>
  <c r="B12513" i="1"/>
  <c r="E12514" i="1"/>
  <c r="B12514" i="1"/>
  <c r="E12515" i="1"/>
  <c r="B12515" i="1"/>
  <c r="E12516" i="1"/>
  <c r="B12516" i="1"/>
  <c r="E12517" i="1"/>
  <c r="B12517" i="1"/>
  <c r="E12518" i="1"/>
  <c r="B12518" i="1"/>
  <c r="E12519" i="1"/>
  <c r="B12519" i="1"/>
  <c r="E12520" i="1"/>
  <c r="B12520" i="1"/>
  <c r="E12521" i="1"/>
  <c r="B12521" i="1"/>
  <c r="E12522" i="1"/>
  <c r="B12522" i="1"/>
  <c r="E12523" i="1"/>
  <c r="B12523" i="1"/>
  <c r="E12524" i="1"/>
  <c r="B12524" i="1"/>
  <c r="E12525" i="1"/>
  <c r="B12525" i="1"/>
  <c r="E12526" i="1"/>
  <c r="B12526" i="1"/>
  <c r="E12527" i="1"/>
  <c r="B12527" i="1"/>
  <c r="E12528" i="1"/>
  <c r="B12528" i="1"/>
  <c r="E12529" i="1"/>
  <c r="B12529" i="1"/>
  <c r="E12530" i="1"/>
  <c r="B12530" i="1"/>
  <c r="E12531" i="1"/>
  <c r="B12531" i="1"/>
  <c r="E12532" i="1"/>
  <c r="B12532" i="1"/>
  <c r="E12533" i="1"/>
  <c r="B12533" i="1"/>
  <c r="E12534" i="1"/>
  <c r="B12534" i="1"/>
  <c r="E12535" i="1"/>
  <c r="B12535" i="1"/>
  <c r="E12536" i="1"/>
  <c r="B12536" i="1"/>
  <c r="E12537" i="1"/>
  <c r="B12537" i="1"/>
  <c r="E12538" i="1"/>
  <c r="B12538" i="1"/>
  <c r="E12539" i="1"/>
  <c r="B12539" i="1"/>
  <c r="E12541" i="1"/>
  <c r="B12541" i="1"/>
  <c r="E12540" i="1"/>
  <c r="B12540" i="1"/>
  <c r="E12542" i="1"/>
  <c r="B12542" i="1"/>
  <c r="E12543" i="1"/>
  <c r="B12543" i="1"/>
  <c r="E12544" i="1"/>
  <c r="B12544" i="1"/>
  <c r="E12545" i="1"/>
  <c r="B12545" i="1"/>
  <c r="E12546" i="1"/>
  <c r="B12546" i="1"/>
  <c r="E12547" i="1"/>
  <c r="B12547" i="1"/>
  <c r="E12548" i="1"/>
  <c r="B12548" i="1"/>
  <c r="E12549" i="1"/>
  <c r="B12549" i="1"/>
  <c r="E12551" i="1"/>
  <c r="B12551" i="1"/>
  <c r="E12550" i="1"/>
  <c r="B12550" i="1"/>
  <c r="E12552" i="1"/>
  <c r="B12552" i="1"/>
  <c r="E12553" i="1"/>
  <c r="B12553" i="1"/>
  <c r="E12554" i="1"/>
  <c r="B12554" i="1"/>
  <c r="E12555" i="1"/>
  <c r="B12555" i="1"/>
  <c r="E12556" i="1"/>
  <c r="B12556" i="1"/>
  <c r="E12557" i="1"/>
  <c r="B12557" i="1"/>
  <c r="E12558" i="1"/>
  <c r="B12558" i="1"/>
  <c r="E12559" i="1"/>
  <c r="B12559" i="1"/>
  <c r="E12560" i="1"/>
  <c r="B12560" i="1"/>
  <c r="E12561" i="1"/>
  <c r="B12561" i="1"/>
  <c r="E12562" i="1"/>
  <c r="B12562" i="1"/>
  <c r="E12563" i="1"/>
  <c r="B12563" i="1"/>
  <c r="E12564" i="1"/>
  <c r="B12564" i="1"/>
  <c r="E12565" i="1"/>
  <c r="B12565" i="1"/>
  <c r="E12566" i="1"/>
  <c r="B12566" i="1"/>
  <c r="E12567" i="1"/>
  <c r="B12567" i="1"/>
  <c r="E12568" i="1"/>
  <c r="B12568" i="1"/>
  <c r="E12569" i="1"/>
  <c r="B12569" i="1"/>
  <c r="E12570" i="1"/>
  <c r="B12570" i="1"/>
  <c r="E12571" i="1"/>
  <c r="B12571" i="1"/>
  <c r="E12572" i="1"/>
  <c r="B12572" i="1"/>
  <c r="E12573" i="1"/>
  <c r="B12573" i="1"/>
  <c r="E12574" i="1"/>
  <c r="B12574" i="1"/>
  <c r="E12575" i="1"/>
  <c r="B12575" i="1"/>
  <c r="E12576" i="1"/>
  <c r="B12576" i="1"/>
  <c r="E12577" i="1"/>
  <c r="B12577" i="1"/>
  <c r="E12578" i="1"/>
  <c r="B12578" i="1"/>
  <c r="E12579" i="1"/>
  <c r="B12579" i="1"/>
  <c r="E12580" i="1"/>
  <c r="B12580" i="1"/>
  <c r="E12581" i="1"/>
  <c r="B12581" i="1"/>
  <c r="E12582" i="1"/>
  <c r="B12582" i="1"/>
  <c r="E12583" i="1"/>
  <c r="B12583" i="1"/>
  <c r="E12584" i="1"/>
  <c r="B12584" i="1"/>
  <c r="E12585" i="1"/>
  <c r="B12585" i="1"/>
  <c r="E12586" i="1"/>
  <c r="B12586" i="1"/>
  <c r="E12587" i="1"/>
  <c r="B12587" i="1"/>
  <c r="E12588" i="1"/>
  <c r="B12588" i="1"/>
  <c r="E12589" i="1"/>
  <c r="B12589" i="1"/>
  <c r="E12590" i="1"/>
  <c r="B12590" i="1"/>
  <c r="E12591" i="1"/>
  <c r="B12591" i="1"/>
  <c r="E12592" i="1"/>
  <c r="B12592" i="1"/>
  <c r="E12593" i="1"/>
  <c r="B12593" i="1"/>
  <c r="E12594" i="1"/>
  <c r="B12594" i="1"/>
  <c r="E12595" i="1"/>
  <c r="B12595" i="1"/>
  <c r="E12597" i="1"/>
  <c r="B12597" i="1"/>
  <c r="E12596" i="1"/>
  <c r="B12596" i="1"/>
  <c r="E12598" i="1"/>
  <c r="B12598" i="1"/>
  <c r="E12599" i="1"/>
  <c r="B12599" i="1"/>
  <c r="E12600" i="1"/>
  <c r="B12600" i="1"/>
  <c r="E12601" i="1"/>
  <c r="B12601" i="1"/>
  <c r="E12602" i="1"/>
  <c r="B12602" i="1"/>
  <c r="E12603" i="1"/>
  <c r="B12603" i="1"/>
  <c r="E12604" i="1"/>
  <c r="B12604" i="1"/>
  <c r="E12605" i="1"/>
  <c r="B12605" i="1"/>
  <c r="E12606" i="1"/>
  <c r="B12606" i="1"/>
  <c r="E12607" i="1"/>
  <c r="B12607" i="1"/>
  <c r="E12608" i="1"/>
  <c r="B12608" i="1"/>
  <c r="E12609" i="1"/>
  <c r="B12609" i="1"/>
  <c r="E12610" i="1"/>
  <c r="B12610" i="1"/>
  <c r="E12611" i="1"/>
  <c r="B12611" i="1"/>
  <c r="E12612" i="1"/>
  <c r="B12612" i="1"/>
  <c r="E12613" i="1"/>
  <c r="B12613" i="1"/>
  <c r="E12614" i="1"/>
  <c r="B12614" i="1"/>
  <c r="E12615" i="1"/>
  <c r="B12615" i="1"/>
  <c r="E12616" i="1"/>
  <c r="B12616" i="1"/>
  <c r="E12617" i="1"/>
  <c r="B12617" i="1"/>
  <c r="E12618" i="1"/>
  <c r="B12618" i="1"/>
  <c r="E12619" i="1"/>
  <c r="B12619" i="1"/>
  <c r="E12620" i="1"/>
  <c r="B12620" i="1"/>
  <c r="E12621" i="1"/>
  <c r="B12621" i="1"/>
  <c r="E12622" i="1"/>
  <c r="B12622" i="1"/>
  <c r="E12623" i="1"/>
  <c r="B12623" i="1"/>
  <c r="E12624" i="1"/>
  <c r="B12624" i="1"/>
  <c r="E12625" i="1"/>
  <c r="B12625" i="1"/>
  <c r="E12626" i="1"/>
  <c r="B12626" i="1"/>
  <c r="E12627" i="1"/>
  <c r="B12627" i="1"/>
  <c r="E12628" i="1"/>
  <c r="B12628" i="1"/>
  <c r="E12629" i="1"/>
  <c r="B12629" i="1"/>
  <c r="E12630" i="1"/>
  <c r="B12630" i="1"/>
  <c r="E12631" i="1"/>
  <c r="B12631" i="1"/>
  <c r="E12632" i="1"/>
  <c r="B12632" i="1"/>
  <c r="E12633" i="1"/>
  <c r="B12633" i="1"/>
  <c r="E12634" i="1"/>
  <c r="B12634" i="1"/>
  <c r="E12635" i="1"/>
  <c r="B12635" i="1"/>
  <c r="E12636" i="1"/>
  <c r="B12636" i="1"/>
  <c r="E12637" i="1"/>
  <c r="B12637" i="1"/>
  <c r="E12638" i="1"/>
  <c r="B12638" i="1"/>
  <c r="E12639" i="1"/>
  <c r="B12639" i="1"/>
  <c r="E12640" i="1"/>
  <c r="B12640" i="1"/>
  <c r="E12641" i="1"/>
  <c r="B12641" i="1"/>
  <c r="E12642" i="1"/>
  <c r="B12642" i="1"/>
  <c r="E12644" i="1"/>
  <c r="B12644" i="1"/>
  <c r="E12643" i="1"/>
  <c r="B12643" i="1"/>
  <c r="E12645" i="1"/>
  <c r="B12645" i="1"/>
  <c r="E12646" i="1"/>
  <c r="B12646" i="1"/>
  <c r="E12647" i="1"/>
  <c r="B12647" i="1"/>
  <c r="E12648" i="1"/>
  <c r="B12648" i="1"/>
  <c r="E12649" i="1"/>
  <c r="B12649" i="1"/>
  <c r="E12650" i="1"/>
  <c r="B12650" i="1"/>
  <c r="E12651" i="1"/>
  <c r="B12651" i="1"/>
  <c r="E12652" i="1"/>
  <c r="B12652" i="1"/>
  <c r="E12653" i="1"/>
  <c r="B12653" i="1"/>
  <c r="E12654" i="1"/>
  <c r="B12654" i="1"/>
  <c r="E12655" i="1"/>
  <c r="B12655" i="1"/>
  <c r="E12656" i="1"/>
  <c r="B12656" i="1"/>
  <c r="E12657" i="1"/>
  <c r="B12657" i="1"/>
  <c r="E12658" i="1"/>
  <c r="B12658" i="1"/>
  <c r="E12659" i="1"/>
  <c r="B12659" i="1"/>
  <c r="E12660" i="1"/>
  <c r="B12660" i="1"/>
  <c r="E12661" i="1"/>
  <c r="B12661" i="1"/>
  <c r="E12662" i="1"/>
  <c r="B12662" i="1"/>
  <c r="E12663" i="1"/>
  <c r="B12663" i="1"/>
  <c r="E12664" i="1"/>
  <c r="B12664" i="1"/>
  <c r="E12665" i="1"/>
  <c r="B12665" i="1"/>
  <c r="E12667" i="1"/>
  <c r="B12667" i="1"/>
  <c r="E12666" i="1"/>
  <c r="B12666" i="1"/>
  <c r="E12668" i="1"/>
  <c r="B12668" i="1"/>
  <c r="E12669" i="1"/>
  <c r="B12669" i="1"/>
  <c r="E12670" i="1"/>
  <c r="B12670" i="1"/>
  <c r="E12671" i="1"/>
  <c r="B12671" i="1"/>
  <c r="E12672" i="1"/>
  <c r="B12672" i="1"/>
  <c r="E12673" i="1"/>
  <c r="B12673" i="1"/>
  <c r="E12674" i="1"/>
  <c r="B12674" i="1"/>
  <c r="E12675" i="1"/>
  <c r="B12675" i="1"/>
  <c r="E12676" i="1"/>
  <c r="B12676" i="1"/>
  <c r="E12677" i="1"/>
  <c r="B12677" i="1"/>
  <c r="E12678" i="1"/>
  <c r="B12678" i="1"/>
  <c r="E12679" i="1"/>
  <c r="B12679" i="1"/>
  <c r="E12680" i="1"/>
  <c r="B12680" i="1"/>
  <c r="E12681" i="1"/>
  <c r="B12681" i="1"/>
  <c r="E12682" i="1"/>
  <c r="B12682" i="1"/>
  <c r="E12683" i="1"/>
  <c r="B12683" i="1"/>
  <c r="E12684" i="1"/>
  <c r="B12684" i="1"/>
  <c r="E12685" i="1"/>
  <c r="B12685" i="1"/>
  <c r="E12686" i="1"/>
  <c r="B12686" i="1"/>
  <c r="E12687" i="1"/>
  <c r="B12687" i="1"/>
  <c r="E12688" i="1"/>
  <c r="B12688" i="1"/>
  <c r="E12689" i="1"/>
  <c r="B12689" i="1"/>
  <c r="E12690" i="1"/>
  <c r="B12690" i="1"/>
  <c r="E12691" i="1"/>
  <c r="B12691" i="1"/>
  <c r="E12692" i="1"/>
  <c r="B12692" i="1"/>
  <c r="E12693" i="1"/>
  <c r="B12693" i="1"/>
  <c r="E12694" i="1"/>
  <c r="B12694" i="1"/>
  <c r="E12695" i="1"/>
  <c r="B12695" i="1"/>
  <c r="E12696" i="1"/>
  <c r="B12696" i="1"/>
  <c r="E12697" i="1"/>
  <c r="B12697" i="1"/>
  <c r="E12698" i="1"/>
  <c r="B12698" i="1"/>
  <c r="E12699" i="1"/>
  <c r="B12699" i="1"/>
  <c r="E12700" i="1"/>
  <c r="B12700" i="1"/>
  <c r="E12701" i="1"/>
  <c r="B12701" i="1"/>
  <c r="E12702" i="1"/>
  <c r="B12702" i="1"/>
  <c r="E12703" i="1"/>
  <c r="B12703" i="1"/>
  <c r="E12704" i="1"/>
  <c r="B12704" i="1"/>
  <c r="E12705" i="1"/>
  <c r="B12705" i="1"/>
  <c r="E12706" i="1"/>
  <c r="B12706" i="1"/>
  <c r="E12707" i="1"/>
  <c r="B12707" i="1"/>
  <c r="E12709" i="1"/>
  <c r="B12709" i="1"/>
  <c r="E12708" i="1"/>
  <c r="B12708" i="1"/>
  <c r="E12710" i="1"/>
  <c r="B12710" i="1"/>
  <c r="E12711" i="1"/>
  <c r="B12711" i="1"/>
  <c r="E12712" i="1"/>
  <c r="B12712" i="1"/>
  <c r="E12713" i="1"/>
  <c r="B12713" i="1"/>
  <c r="E12714" i="1"/>
  <c r="B12714" i="1"/>
  <c r="E12715" i="1"/>
  <c r="B12715" i="1"/>
  <c r="E12716" i="1"/>
  <c r="B12716" i="1"/>
  <c r="E12717" i="1"/>
  <c r="B12717" i="1"/>
  <c r="E12718" i="1"/>
  <c r="B12718" i="1"/>
  <c r="E12719" i="1"/>
  <c r="B12719" i="1"/>
  <c r="E12720" i="1"/>
  <c r="B12720" i="1"/>
  <c r="E12721" i="1"/>
  <c r="B12721" i="1"/>
  <c r="E12722" i="1"/>
  <c r="B12722" i="1"/>
  <c r="E12724" i="1"/>
  <c r="B12724" i="1"/>
  <c r="E12723" i="1"/>
  <c r="B12723" i="1"/>
  <c r="E12725" i="1"/>
  <c r="B12725" i="1"/>
  <c r="E12726" i="1"/>
  <c r="B12726" i="1"/>
  <c r="E12727" i="1"/>
  <c r="B12727" i="1"/>
  <c r="E12728" i="1"/>
  <c r="B12728" i="1"/>
  <c r="E12729" i="1"/>
  <c r="B12729" i="1"/>
  <c r="E12730" i="1"/>
  <c r="B12730" i="1"/>
  <c r="E12731" i="1"/>
  <c r="B12731" i="1"/>
  <c r="E12732" i="1"/>
  <c r="B12732" i="1"/>
  <c r="E12733" i="1"/>
  <c r="B12733" i="1"/>
  <c r="E12734" i="1"/>
  <c r="B12734" i="1"/>
  <c r="E12735" i="1"/>
  <c r="B12735" i="1"/>
  <c r="E12736" i="1"/>
  <c r="B12736" i="1"/>
  <c r="E12737" i="1"/>
  <c r="B12737" i="1"/>
  <c r="E12738" i="1"/>
  <c r="B12738" i="1"/>
  <c r="E12739" i="1"/>
  <c r="B12739" i="1"/>
  <c r="E12740" i="1"/>
  <c r="B12740" i="1"/>
  <c r="E12741" i="1"/>
  <c r="B12741" i="1"/>
  <c r="E12742" i="1"/>
  <c r="B12742" i="1"/>
  <c r="E12743" i="1"/>
  <c r="B12743" i="1"/>
  <c r="E12744" i="1"/>
  <c r="B12744" i="1"/>
  <c r="E12745" i="1"/>
  <c r="B12745" i="1"/>
  <c r="E12746" i="1"/>
  <c r="B12746" i="1"/>
  <c r="E12747" i="1"/>
  <c r="B12747" i="1"/>
  <c r="E12748" i="1"/>
  <c r="B12748" i="1"/>
  <c r="E12749" i="1"/>
  <c r="B12749" i="1"/>
  <c r="E12750" i="1"/>
  <c r="B12750" i="1"/>
  <c r="E12751" i="1"/>
  <c r="B12751" i="1"/>
  <c r="E12752" i="1"/>
  <c r="B12752" i="1"/>
  <c r="E12753" i="1"/>
  <c r="B12753" i="1"/>
  <c r="E12754" i="1"/>
  <c r="B12754" i="1"/>
  <c r="E12755" i="1"/>
  <c r="B12755" i="1"/>
  <c r="E12756" i="1"/>
  <c r="B12756" i="1"/>
  <c r="E12757" i="1"/>
  <c r="B12757" i="1"/>
  <c r="E12758" i="1"/>
  <c r="B12758" i="1"/>
  <c r="E12759" i="1"/>
  <c r="B12759" i="1"/>
  <c r="E12760" i="1"/>
  <c r="B12760" i="1"/>
  <c r="E12761" i="1"/>
  <c r="B12761" i="1"/>
  <c r="E12762" i="1"/>
  <c r="B12762" i="1"/>
  <c r="E12763" i="1"/>
  <c r="B12763" i="1"/>
  <c r="E12764" i="1"/>
  <c r="B12764" i="1"/>
  <c r="E12765" i="1"/>
  <c r="B12765" i="1"/>
  <c r="E12766" i="1"/>
  <c r="B12766" i="1"/>
  <c r="E12767" i="1"/>
  <c r="B12767" i="1"/>
  <c r="E12768" i="1"/>
  <c r="B12768" i="1"/>
  <c r="E12769" i="1"/>
  <c r="B12769" i="1"/>
  <c r="E12770" i="1"/>
  <c r="B12770" i="1"/>
  <c r="E12771" i="1"/>
  <c r="B12771" i="1"/>
  <c r="E12772" i="1"/>
  <c r="B12772" i="1"/>
  <c r="E12773" i="1"/>
  <c r="B12773" i="1"/>
  <c r="E12775" i="1"/>
  <c r="B12775" i="1"/>
  <c r="E12774" i="1"/>
  <c r="B12774" i="1"/>
  <c r="E12776" i="1"/>
  <c r="B12776" i="1"/>
  <c r="E12777" i="1"/>
  <c r="B12777" i="1"/>
  <c r="E12778" i="1"/>
  <c r="B12778" i="1"/>
  <c r="E12779" i="1"/>
  <c r="B12779" i="1"/>
  <c r="E12780" i="1"/>
  <c r="B12780" i="1"/>
  <c r="E12781" i="1"/>
  <c r="B12781" i="1"/>
  <c r="E12782" i="1"/>
  <c r="B12782" i="1"/>
  <c r="E12783" i="1"/>
  <c r="B12783" i="1"/>
  <c r="E12784" i="1"/>
  <c r="B12784" i="1"/>
  <c r="E12785" i="1"/>
  <c r="B12785" i="1"/>
  <c r="E12787" i="1"/>
  <c r="B12787" i="1"/>
  <c r="E12786" i="1"/>
  <c r="B12786" i="1"/>
  <c r="E12788" i="1"/>
  <c r="B12788" i="1"/>
  <c r="E12789" i="1"/>
  <c r="B12789" i="1"/>
  <c r="E12790" i="1"/>
  <c r="B12790" i="1"/>
  <c r="E12791" i="1"/>
  <c r="B12791" i="1"/>
  <c r="E12792" i="1"/>
  <c r="B12792" i="1"/>
  <c r="E12793" i="1"/>
  <c r="B12793" i="1"/>
  <c r="E12794" i="1"/>
  <c r="B12794" i="1"/>
  <c r="E12795" i="1"/>
  <c r="B12795" i="1"/>
  <c r="E12796" i="1"/>
  <c r="B12796" i="1"/>
  <c r="E12797" i="1"/>
  <c r="B12797" i="1"/>
  <c r="E12798" i="1"/>
  <c r="B12798" i="1"/>
  <c r="E12799" i="1"/>
  <c r="B12799" i="1"/>
  <c r="E12800" i="1"/>
  <c r="B12800" i="1"/>
  <c r="E12802" i="1"/>
  <c r="B12802" i="1"/>
  <c r="E12801" i="1"/>
  <c r="B12801" i="1"/>
  <c r="E12803" i="1"/>
  <c r="B12803" i="1"/>
  <c r="E12804" i="1"/>
  <c r="B12804" i="1"/>
  <c r="E12805" i="1"/>
  <c r="B12805" i="1"/>
  <c r="E12806" i="1"/>
  <c r="B12806" i="1"/>
  <c r="E12807" i="1"/>
  <c r="B12807" i="1"/>
  <c r="E12808" i="1"/>
  <c r="B12808" i="1"/>
  <c r="E12809" i="1"/>
  <c r="B12809" i="1"/>
  <c r="E12810" i="1"/>
  <c r="B12810" i="1"/>
  <c r="E12811" i="1"/>
  <c r="B12811" i="1"/>
  <c r="E12812" i="1"/>
  <c r="B12812" i="1"/>
  <c r="E12813" i="1"/>
  <c r="B12813" i="1"/>
  <c r="E12814" i="1"/>
  <c r="B12814" i="1"/>
  <c r="E12815" i="1"/>
  <c r="B12815" i="1"/>
  <c r="E12816" i="1"/>
  <c r="B12816" i="1"/>
  <c r="E12817" i="1"/>
  <c r="B12817" i="1"/>
  <c r="E12818" i="1"/>
  <c r="B12818" i="1"/>
  <c r="E12819" i="1"/>
  <c r="B12819" i="1"/>
  <c r="E12820" i="1"/>
  <c r="B12820" i="1"/>
  <c r="E12821" i="1"/>
  <c r="B12821" i="1"/>
  <c r="E12822" i="1"/>
  <c r="B12822" i="1"/>
  <c r="E12823" i="1"/>
  <c r="B12823" i="1"/>
  <c r="E12824" i="1"/>
  <c r="B12824" i="1"/>
  <c r="E12825" i="1"/>
  <c r="B12825" i="1"/>
  <c r="E12826" i="1"/>
  <c r="B12826" i="1"/>
  <c r="E12827" i="1"/>
  <c r="B12827" i="1"/>
  <c r="E12828" i="1"/>
  <c r="B12828" i="1"/>
  <c r="E12829" i="1"/>
  <c r="B12829" i="1"/>
  <c r="E12830" i="1"/>
  <c r="B12830" i="1"/>
  <c r="E12831" i="1"/>
  <c r="B12831" i="1"/>
  <c r="E12832" i="1"/>
  <c r="B12832" i="1"/>
  <c r="E12833" i="1"/>
  <c r="B12833" i="1"/>
  <c r="E12834" i="1"/>
  <c r="B12834" i="1"/>
  <c r="E12835" i="1"/>
  <c r="B12835" i="1"/>
  <c r="E12836" i="1"/>
  <c r="B12836" i="1"/>
  <c r="E12837" i="1"/>
  <c r="B12837" i="1"/>
  <c r="E12838" i="1"/>
  <c r="B12838" i="1"/>
  <c r="E12839" i="1"/>
  <c r="B12839" i="1"/>
  <c r="E12841" i="1"/>
  <c r="B12841" i="1"/>
  <c r="E12840" i="1"/>
  <c r="B12840" i="1"/>
  <c r="E12842" i="1"/>
  <c r="B12842" i="1"/>
  <c r="E12843" i="1"/>
  <c r="B12843" i="1"/>
  <c r="E12844" i="1"/>
  <c r="B12844" i="1"/>
  <c r="E12845" i="1"/>
  <c r="B12845" i="1"/>
  <c r="E12846" i="1"/>
  <c r="B12846" i="1"/>
  <c r="E12847" i="1"/>
  <c r="B12847" i="1"/>
  <c r="E12848" i="1"/>
  <c r="B12848" i="1"/>
  <c r="E12850" i="1"/>
  <c r="B12850" i="1"/>
  <c r="E12849" i="1"/>
  <c r="B12849" i="1"/>
  <c r="E12851" i="1"/>
  <c r="B12851" i="1"/>
  <c r="E12852" i="1"/>
  <c r="B12852" i="1"/>
  <c r="E12854" i="1"/>
  <c r="B12854" i="1"/>
  <c r="E12853" i="1"/>
  <c r="B12853" i="1"/>
  <c r="E12855" i="1"/>
  <c r="B12855" i="1"/>
  <c r="E12856" i="1"/>
  <c r="B12856" i="1"/>
  <c r="E12857" i="1"/>
  <c r="B12857" i="1"/>
  <c r="E12858" i="1"/>
  <c r="B12858" i="1"/>
  <c r="E12859" i="1"/>
  <c r="B12859" i="1"/>
  <c r="E12860" i="1"/>
  <c r="B12860" i="1"/>
  <c r="E12861" i="1"/>
  <c r="B12861" i="1"/>
  <c r="E12862" i="1"/>
  <c r="B12862" i="1"/>
  <c r="E12864" i="1"/>
  <c r="B12864" i="1"/>
  <c r="E12863" i="1"/>
  <c r="B12863" i="1"/>
  <c r="E12865" i="1"/>
  <c r="B12865" i="1"/>
  <c r="E12866" i="1"/>
  <c r="B12866" i="1"/>
  <c r="E12867" i="1"/>
  <c r="B12867" i="1"/>
  <c r="E12868" i="1"/>
  <c r="B12868" i="1"/>
  <c r="E12869" i="1"/>
  <c r="B12869" i="1"/>
  <c r="E12870" i="1"/>
  <c r="B12870" i="1"/>
  <c r="E12871" i="1"/>
  <c r="B12871" i="1"/>
  <c r="E12872" i="1"/>
  <c r="B12872" i="1"/>
  <c r="E12874" i="1"/>
  <c r="B12874" i="1"/>
  <c r="E12873" i="1"/>
  <c r="B12873" i="1"/>
  <c r="E12875" i="1"/>
  <c r="B12875" i="1"/>
  <c r="E12876" i="1"/>
  <c r="B12876" i="1"/>
  <c r="E12878" i="1"/>
  <c r="B12878" i="1"/>
  <c r="E12877" i="1"/>
  <c r="B12877" i="1"/>
  <c r="E12879" i="1"/>
  <c r="B12879" i="1"/>
  <c r="E12880" i="1"/>
  <c r="B12880" i="1"/>
  <c r="E12881" i="1"/>
  <c r="B12881" i="1"/>
  <c r="E12882" i="1"/>
  <c r="B12882" i="1"/>
  <c r="E12883" i="1"/>
  <c r="B12883" i="1"/>
  <c r="E12884" i="1"/>
  <c r="B12884" i="1"/>
  <c r="E12885" i="1"/>
  <c r="B12885" i="1"/>
  <c r="E12886" i="1"/>
  <c r="B12886" i="1"/>
  <c r="E12887" i="1"/>
  <c r="B12887" i="1"/>
  <c r="E12888" i="1"/>
  <c r="B12888" i="1"/>
  <c r="E12889" i="1"/>
  <c r="B12889" i="1"/>
  <c r="E12890" i="1"/>
  <c r="B12890" i="1"/>
  <c r="E12891" i="1"/>
  <c r="B12891" i="1"/>
  <c r="E12892" i="1"/>
  <c r="B12892" i="1"/>
  <c r="E12893" i="1"/>
  <c r="B12893" i="1"/>
  <c r="E12895" i="1"/>
  <c r="B12895" i="1"/>
  <c r="E12894" i="1"/>
  <c r="B12894" i="1"/>
  <c r="E12896" i="1"/>
  <c r="B12896" i="1"/>
  <c r="E12897" i="1"/>
  <c r="B12897" i="1"/>
  <c r="E12898" i="1"/>
  <c r="B12898" i="1"/>
  <c r="E12899" i="1"/>
  <c r="B12899" i="1"/>
  <c r="E12900" i="1"/>
  <c r="B12900" i="1"/>
  <c r="E12901" i="1"/>
  <c r="B12901" i="1"/>
  <c r="E12902" i="1"/>
  <c r="B12902" i="1"/>
  <c r="E12903" i="1"/>
  <c r="B12903" i="1"/>
  <c r="E12904" i="1"/>
  <c r="B12904" i="1"/>
  <c r="E12905" i="1"/>
  <c r="B12905" i="1"/>
  <c r="E12906" i="1"/>
  <c r="B12906" i="1"/>
  <c r="E12907" i="1"/>
  <c r="B12907" i="1"/>
  <c r="E12908" i="1"/>
  <c r="B12908" i="1"/>
  <c r="E12909" i="1"/>
  <c r="B12909" i="1"/>
  <c r="E12910" i="1"/>
  <c r="B12910" i="1"/>
  <c r="E12911" i="1"/>
  <c r="B12911" i="1"/>
  <c r="E12912" i="1"/>
  <c r="B12912" i="1"/>
  <c r="E12913" i="1"/>
  <c r="B12913" i="1"/>
  <c r="E12914" i="1"/>
  <c r="B12914" i="1"/>
  <c r="E12915" i="1"/>
  <c r="B12915" i="1"/>
  <c r="E12916" i="1"/>
  <c r="B12916" i="1"/>
  <c r="E12917" i="1"/>
  <c r="B12917" i="1"/>
  <c r="E12918" i="1"/>
  <c r="B12918" i="1"/>
  <c r="E12919" i="1"/>
  <c r="B12919" i="1"/>
  <c r="E12920" i="1"/>
  <c r="B12920" i="1"/>
  <c r="E12921" i="1"/>
  <c r="B12921" i="1"/>
  <c r="E12922" i="1"/>
  <c r="B12922" i="1"/>
  <c r="E12924" i="1"/>
  <c r="B12924" i="1"/>
  <c r="E12923" i="1"/>
  <c r="B12923" i="1"/>
  <c r="E12925" i="1"/>
  <c r="B12925" i="1"/>
  <c r="E12926" i="1"/>
  <c r="B12926" i="1"/>
  <c r="E12927" i="1"/>
  <c r="B12927" i="1"/>
  <c r="E12928" i="1"/>
  <c r="B12928" i="1"/>
  <c r="E12929" i="1"/>
  <c r="B12929" i="1"/>
  <c r="E12930" i="1"/>
  <c r="B12930" i="1"/>
  <c r="E12931" i="1"/>
  <c r="B12931" i="1"/>
  <c r="E12932" i="1"/>
  <c r="B12932" i="1"/>
  <c r="E12933" i="1"/>
  <c r="B12933" i="1"/>
  <c r="E12934" i="1"/>
  <c r="B12934" i="1"/>
  <c r="E12935" i="1"/>
  <c r="B12935" i="1"/>
  <c r="E12936" i="1"/>
  <c r="B12936" i="1"/>
  <c r="E12937" i="1"/>
  <c r="B12937" i="1"/>
  <c r="E12938" i="1"/>
  <c r="B12938" i="1"/>
  <c r="E12940" i="1"/>
  <c r="B12940" i="1"/>
  <c r="E12939" i="1"/>
  <c r="B12939" i="1"/>
  <c r="E12941" i="1"/>
  <c r="B12941" i="1"/>
  <c r="E12942" i="1"/>
  <c r="B12942" i="1"/>
  <c r="E12943" i="1"/>
  <c r="B12943" i="1"/>
  <c r="E12944" i="1"/>
  <c r="B12944" i="1"/>
  <c r="E12945" i="1"/>
  <c r="B12945" i="1"/>
  <c r="E12946" i="1"/>
  <c r="B12946" i="1"/>
  <c r="E12947" i="1"/>
  <c r="B12947" i="1"/>
  <c r="E12948" i="1"/>
  <c r="B12948" i="1"/>
  <c r="E12949" i="1"/>
  <c r="B12949" i="1"/>
  <c r="E12950" i="1"/>
  <c r="B12950" i="1"/>
  <c r="E12951" i="1"/>
  <c r="B12951" i="1"/>
  <c r="E12952" i="1"/>
  <c r="B12952" i="1"/>
  <c r="E12953" i="1"/>
  <c r="B12953" i="1"/>
  <c r="E12954" i="1"/>
  <c r="B12954" i="1"/>
  <c r="E12955" i="1"/>
  <c r="B12955" i="1"/>
  <c r="E12956" i="1"/>
  <c r="B12956" i="1"/>
  <c r="E12957" i="1"/>
  <c r="B12957" i="1"/>
  <c r="E12958" i="1"/>
  <c r="B12958" i="1"/>
  <c r="E12959" i="1"/>
  <c r="B12959" i="1"/>
  <c r="E12960" i="1"/>
  <c r="B12960" i="1"/>
  <c r="E12961" i="1"/>
  <c r="B12961" i="1"/>
  <c r="E12962" i="1"/>
  <c r="B12962" i="1"/>
  <c r="E12963" i="1"/>
  <c r="B12963" i="1"/>
  <c r="E12964" i="1"/>
  <c r="B12964" i="1"/>
  <c r="E12965" i="1"/>
  <c r="B12965" i="1"/>
  <c r="E12966" i="1"/>
  <c r="B12966" i="1"/>
  <c r="E12967" i="1"/>
  <c r="B12967" i="1"/>
  <c r="E12968" i="1"/>
  <c r="B12968" i="1"/>
  <c r="E12969" i="1"/>
  <c r="B12969" i="1"/>
  <c r="E12970" i="1"/>
  <c r="B12970" i="1"/>
  <c r="E12971" i="1"/>
  <c r="B12971" i="1"/>
  <c r="E12972" i="1"/>
  <c r="B12972" i="1"/>
  <c r="E12973" i="1"/>
  <c r="B12973" i="1"/>
  <c r="E12974" i="1"/>
  <c r="B12974" i="1"/>
  <c r="E12975" i="1"/>
  <c r="B12975" i="1"/>
  <c r="E12976" i="1"/>
  <c r="B12976" i="1"/>
  <c r="E12977" i="1"/>
  <c r="B12977" i="1"/>
  <c r="E12978" i="1"/>
  <c r="B12978" i="1"/>
  <c r="E12979" i="1"/>
  <c r="B12979" i="1"/>
  <c r="E12980" i="1"/>
  <c r="B12980" i="1"/>
  <c r="E12982" i="1"/>
  <c r="B12982" i="1"/>
  <c r="E12981" i="1"/>
  <c r="B12981" i="1"/>
  <c r="E12983" i="1"/>
  <c r="B12983" i="1"/>
  <c r="E12984" i="1"/>
  <c r="B12984" i="1"/>
  <c r="E12985" i="1"/>
  <c r="B12985" i="1"/>
  <c r="E12986" i="1"/>
  <c r="B12986" i="1"/>
  <c r="E12987" i="1"/>
  <c r="B12987" i="1"/>
  <c r="E12988" i="1"/>
  <c r="B12988" i="1"/>
  <c r="E12989" i="1"/>
  <c r="B12989" i="1"/>
  <c r="E12990" i="1"/>
  <c r="B12990" i="1"/>
  <c r="E12991" i="1"/>
  <c r="B12991" i="1"/>
  <c r="E12992" i="1"/>
  <c r="B12992" i="1"/>
  <c r="E12993" i="1"/>
  <c r="B12993" i="1"/>
  <c r="E12994" i="1"/>
  <c r="B12994" i="1"/>
  <c r="E12995" i="1"/>
  <c r="B12995" i="1"/>
  <c r="E12996" i="1"/>
  <c r="B12996" i="1"/>
  <c r="E12997" i="1"/>
  <c r="B12997" i="1"/>
  <c r="E12998" i="1"/>
  <c r="B12998" i="1"/>
  <c r="E12999" i="1"/>
  <c r="B12999" i="1"/>
  <c r="E13000" i="1"/>
  <c r="B13000" i="1"/>
  <c r="E13001" i="1"/>
  <c r="B13001" i="1"/>
  <c r="E13002" i="1"/>
  <c r="B13002" i="1"/>
  <c r="E13003" i="1"/>
  <c r="B13003" i="1"/>
  <c r="E13004" i="1"/>
  <c r="B13004" i="1"/>
  <c r="E13005" i="1"/>
  <c r="B13005" i="1"/>
  <c r="E13006" i="1"/>
  <c r="B13006" i="1"/>
  <c r="E13007" i="1"/>
  <c r="B13007" i="1"/>
  <c r="E13008" i="1"/>
  <c r="B13008" i="1"/>
  <c r="E13009" i="1"/>
  <c r="B13009" i="1"/>
  <c r="E13010" i="1"/>
  <c r="B13010" i="1"/>
  <c r="E13011" i="1"/>
  <c r="B13011" i="1"/>
  <c r="E13012" i="1"/>
  <c r="B13012" i="1"/>
  <c r="E13013" i="1"/>
  <c r="B13013" i="1"/>
  <c r="E13014" i="1"/>
  <c r="B13014" i="1"/>
  <c r="E13015" i="1"/>
  <c r="B13015" i="1"/>
  <c r="E13016" i="1"/>
  <c r="B13016" i="1"/>
  <c r="E13017" i="1"/>
  <c r="B13017" i="1"/>
  <c r="E13018" i="1"/>
  <c r="B13018" i="1"/>
  <c r="E13019" i="1"/>
  <c r="B13019" i="1"/>
  <c r="E13020" i="1"/>
  <c r="B13020" i="1"/>
  <c r="E13021" i="1"/>
  <c r="B13021" i="1"/>
  <c r="E13022" i="1"/>
  <c r="B13022" i="1"/>
  <c r="E13023" i="1"/>
  <c r="B13023" i="1"/>
  <c r="E13024" i="1"/>
  <c r="B13024" i="1"/>
  <c r="E13025" i="1"/>
  <c r="B13025" i="1"/>
  <c r="E13026" i="1"/>
  <c r="B13026" i="1"/>
  <c r="E13027" i="1"/>
  <c r="B13027" i="1"/>
  <c r="E13028" i="1"/>
  <c r="B13028" i="1"/>
  <c r="E13029" i="1"/>
  <c r="B13029" i="1"/>
  <c r="E13030" i="1"/>
  <c r="B13030" i="1"/>
  <c r="E13031" i="1"/>
  <c r="B13031" i="1"/>
  <c r="E13032" i="1"/>
  <c r="B13032" i="1"/>
  <c r="E13033" i="1"/>
  <c r="B13033" i="1"/>
  <c r="E13034" i="1"/>
  <c r="B13034" i="1"/>
  <c r="E13035" i="1"/>
  <c r="B13035" i="1"/>
  <c r="E13036" i="1"/>
  <c r="B13036" i="1"/>
  <c r="E13037" i="1"/>
  <c r="B13037" i="1"/>
  <c r="E13038" i="1"/>
  <c r="B13038" i="1"/>
  <c r="E13039" i="1"/>
  <c r="B13039" i="1"/>
  <c r="E13040" i="1"/>
  <c r="B13040" i="1"/>
  <c r="E13041" i="1"/>
  <c r="B13041" i="1"/>
  <c r="E13042" i="1"/>
  <c r="B13042" i="1"/>
  <c r="E13043" i="1"/>
  <c r="B13043" i="1"/>
  <c r="E13044" i="1"/>
  <c r="B13044" i="1"/>
  <c r="E13045" i="1"/>
  <c r="B13045" i="1"/>
  <c r="E13046" i="1"/>
  <c r="B13046" i="1"/>
  <c r="E13047" i="1"/>
  <c r="B13047" i="1"/>
  <c r="E13048" i="1"/>
  <c r="B13048" i="1"/>
  <c r="E13049" i="1"/>
  <c r="B13049" i="1"/>
  <c r="E13050" i="1"/>
  <c r="B13050" i="1"/>
  <c r="E13051" i="1"/>
  <c r="B13051" i="1"/>
  <c r="E13052" i="1"/>
  <c r="B13052" i="1"/>
  <c r="E13053" i="1"/>
  <c r="B13053" i="1"/>
  <c r="E13054" i="1"/>
  <c r="B13054" i="1"/>
  <c r="E13055" i="1"/>
  <c r="B13055" i="1"/>
  <c r="E13057" i="1"/>
  <c r="B13057" i="1"/>
  <c r="E13056" i="1"/>
  <c r="B13056" i="1"/>
  <c r="E13059" i="1"/>
  <c r="B13059" i="1"/>
  <c r="E13058" i="1"/>
  <c r="B13058" i="1"/>
  <c r="E13060" i="1"/>
  <c r="B13060" i="1"/>
  <c r="E13061" i="1"/>
  <c r="B13061" i="1"/>
  <c r="E13062" i="1"/>
  <c r="B13062" i="1"/>
  <c r="E13063" i="1"/>
  <c r="B13063" i="1"/>
  <c r="E13064" i="1"/>
  <c r="B13064" i="1"/>
  <c r="E13065" i="1"/>
  <c r="B13065" i="1"/>
  <c r="E13066" i="1"/>
  <c r="B13066" i="1"/>
  <c r="E13067" i="1"/>
  <c r="B13067" i="1"/>
  <c r="E13068" i="1"/>
  <c r="B13068" i="1"/>
  <c r="E13069" i="1"/>
  <c r="B13069" i="1"/>
  <c r="E13070" i="1"/>
  <c r="B13070" i="1"/>
  <c r="E13071" i="1"/>
  <c r="B13071" i="1"/>
  <c r="E13072" i="1"/>
  <c r="B13072" i="1"/>
  <c r="E13073" i="1"/>
  <c r="B13073" i="1"/>
  <c r="E13074" i="1"/>
  <c r="B13074" i="1"/>
  <c r="E13075" i="1"/>
  <c r="B13075" i="1"/>
  <c r="E13076" i="1"/>
  <c r="B13076" i="1"/>
  <c r="E13077" i="1"/>
  <c r="B13077" i="1"/>
  <c r="E13078" i="1"/>
  <c r="B13078" i="1"/>
  <c r="E13079" i="1"/>
  <c r="B13079" i="1"/>
  <c r="E13080" i="1"/>
  <c r="B13080" i="1"/>
  <c r="E13081" i="1"/>
  <c r="B13081" i="1"/>
  <c r="E13082" i="1"/>
  <c r="B13082" i="1"/>
  <c r="E13083" i="1"/>
  <c r="B13083" i="1"/>
  <c r="E13084" i="1"/>
  <c r="B13084" i="1"/>
  <c r="E13085" i="1"/>
  <c r="B13085" i="1"/>
  <c r="E13086" i="1"/>
  <c r="B13086" i="1"/>
  <c r="E13087" i="1"/>
  <c r="B13087" i="1"/>
  <c r="E13088" i="1"/>
  <c r="B13088" i="1"/>
  <c r="E13089" i="1"/>
  <c r="B13089" i="1"/>
  <c r="E13090" i="1"/>
  <c r="B13090" i="1"/>
  <c r="E13091" i="1"/>
  <c r="B13091" i="1"/>
  <c r="E13092" i="1"/>
  <c r="B13092" i="1"/>
  <c r="E13093" i="1"/>
  <c r="B13093" i="1"/>
  <c r="E13094" i="1"/>
  <c r="B13094" i="1"/>
  <c r="E13095" i="1"/>
  <c r="B13095" i="1"/>
  <c r="E13096" i="1"/>
  <c r="B13096" i="1"/>
  <c r="E13097" i="1"/>
  <c r="B13097" i="1"/>
  <c r="E13098" i="1"/>
  <c r="B13098" i="1"/>
  <c r="E13099" i="1"/>
  <c r="B13099" i="1"/>
  <c r="E13100" i="1"/>
  <c r="B13100" i="1"/>
  <c r="E13101" i="1"/>
  <c r="B13101" i="1"/>
  <c r="E13102" i="1"/>
  <c r="B13102" i="1"/>
  <c r="E13103" i="1"/>
  <c r="B13103" i="1"/>
  <c r="E13104" i="1"/>
  <c r="B13104" i="1"/>
  <c r="E13105" i="1"/>
  <c r="B13105" i="1"/>
  <c r="E13106" i="1"/>
  <c r="B13106" i="1"/>
  <c r="E13107" i="1"/>
  <c r="B13107" i="1"/>
  <c r="E13108" i="1"/>
  <c r="B13108" i="1"/>
  <c r="E13109" i="1"/>
  <c r="B13109" i="1"/>
  <c r="E13110" i="1"/>
  <c r="B13110" i="1"/>
  <c r="E13111" i="1"/>
  <c r="B13111" i="1"/>
  <c r="E13112" i="1"/>
  <c r="B13112" i="1"/>
  <c r="E13113" i="1"/>
  <c r="B13113" i="1"/>
  <c r="E13114" i="1"/>
  <c r="B13114" i="1"/>
  <c r="E13115" i="1"/>
  <c r="B13115" i="1"/>
  <c r="E13116" i="1"/>
  <c r="B13116" i="1"/>
  <c r="E13117" i="1"/>
  <c r="B13117" i="1"/>
  <c r="E13119" i="1"/>
  <c r="B13119" i="1"/>
  <c r="E13118" i="1"/>
  <c r="B13118" i="1"/>
  <c r="E13120" i="1"/>
  <c r="B13120" i="1"/>
  <c r="E13121" i="1"/>
  <c r="B13121" i="1"/>
  <c r="E13122" i="1"/>
  <c r="B13122" i="1"/>
  <c r="E13123" i="1"/>
  <c r="B13123" i="1"/>
  <c r="E13124" i="1"/>
  <c r="B13124" i="1"/>
  <c r="E13125" i="1"/>
  <c r="B13125" i="1"/>
  <c r="E13126" i="1"/>
  <c r="B13126" i="1"/>
  <c r="E13127" i="1"/>
  <c r="B13127" i="1"/>
  <c r="E13128" i="1"/>
  <c r="B13128" i="1"/>
  <c r="E13129" i="1"/>
  <c r="B13129" i="1"/>
  <c r="E13130" i="1"/>
  <c r="B13130" i="1"/>
  <c r="E13131" i="1"/>
  <c r="B13131" i="1"/>
  <c r="E13132" i="1"/>
  <c r="B13132" i="1"/>
  <c r="E13133" i="1"/>
  <c r="B13133" i="1"/>
  <c r="E13134" i="1"/>
  <c r="B13134" i="1"/>
  <c r="E13135" i="1"/>
  <c r="B13135" i="1"/>
  <c r="E13136" i="1"/>
  <c r="B13136" i="1"/>
  <c r="E13137" i="1"/>
  <c r="B13137" i="1"/>
  <c r="E13138" i="1"/>
  <c r="B13138" i="1"/>
  <c r="E13139" i="1"/>
  <c r="B13139" i="1"/>
  <c r="E13140" i="1"/>
  <c r="B13140" i="1"/>
  <c r="E13141" i="1"/>
  <c r="B13141" i="1"/>
  <c r="E13142" i="1"/>
  <c r="B13142" i="1"/>
  <c r="E13143" i="1"/>
  <c r="B13143" i="1"/>
  <c r="E13144" i="1"/>
  <c r="B13144" i="1"/>
  <c r="E13145" i="1"/>
  <c r="B13145" i="1"/>
  <c r="E13146" i="1"/>
  <c r="B13146" i="1"/>
  <c r="E13147" i="1"/>
  <c r="B13147" i="1"/>
  <c r="E13148" i="1"/>
  <c r="B13148" i="1"/>
  <c r="E13149" i="1"/>
  <c r="B13149" i="1"/>
  <c r="E13150" i="1"/>
  <c r="B13150" i="1"/>
  <c r="E13152" i="1"/>
  <c r="B13152" i="1"/>
  <c r="E13151" i="1"/>
  <c r="B13151" i="1"/>
  <c r="E13153" i="1"/>
  <c r="B13153" i="1"/>
  <c r="E13154" i="1"/>
  <c r="B13154" i="1"/>
  <c r="E13155" i="1"/>
  <c r="B13155" i="1"/>
  <c r="E13156" i="1"/>
  <c r="B13156" i="1"/>
  <c r="E13157" i="1"/>
  <c r="B13157" i="1"/>
  <c r="E13158" i="1"/>
  <c r="B13158" i="1"/>
  <c r="E13159" i="1"/>
  <c r="B13159" i="1"/>
  <c r="E13160" i="1"/>
  <c r="B13160" i="1"/>
  <c r="E13161" i="1"/>
  <c r="B13161" i="1"/>
  <c r="E13162" i="1"/>
  <c r="B13162" i="1"/>
  <c r="E13163" i="1"/>
  <c r="B13163" i="1"/>
  <c r="E13164" i="1"/>
  <c r="B13164" i="1"/>
  <c r="E13165" i="1"/>
  <c r="B13165" i="1"/>
  <c r="E13166" i="1"/>
  <c r="B13166" i="1"/>
  <c r="E13168" i="1"/>
  <c r="B13168" i="1"/>
  <c r="E13167" i="1"/>
  <c r="B13167" i="1"/>
  <c r="E13170" i="1"/>
  <c r="B13170" i="1"/>
  <c r="E13169" i="1"/>
  <c r="B13169" i="1"/>
  <c r="E13171" i="1"/>
  <c r="B13171" i="1"/>
  <c r="E13172" i="1"/>
  <c r="B13172" i="1"/>
  <c r="E13173" i="1"/>
  <c r="B13173" i="1"/>
  <c r="E13174" i="1"/>
  <c r="B13174" i="1"/>
  <c r="E13175" i="1"/>
  <c r="B13175" i="1"/>
  <c r="E13176" i="1"/>
  <c r="B13176" i="1"/>
  <c r="E13177" i="1"/>
  <c r="B13177" i="1"/>
  <c r="E13178" i="1"/>
  <c r="B13178" i="1"/>
  <c r="E13179" i="1"/>
  <c r="B13179" i="1"/>
  <c r="E13180" i="1"/>
  <c r="B13180" i="1"/>
  <c r="E13181" i="1"/>
  <c r="B13181" i="1"/>
  <c r="E13182" i="1"/>
  <c r="B13182" i="1"/>
  <c r="E13183" i="1"/>
  <c r="B13183" i="1"/>
  <c r="E13184" i="1"/>
  <c r="B13184" i="1"/>
  <c r="E13185" i="1"/>
  <c r="B13185" i="1"/>
  <c r="E13186" i="1"/>
  <c r="B13186" i="1"/>
  <c r="E13187" i="1"/>
  <c r="B13187" i="1"/>
  <c r="E13188" i="1"/>
  <c r="B13188" i="1"/>
  <c r="E13189" i="1"/>
  <c r="B13189" i="1"/>
  <c r="E13190" i="1"/>
  <c r="B13190" i="1"/>
  <c r="E13191" i="1"/>
  <c r="B13191" i="1"/>
  <c r="E13192" i="1"/>
  <c r="B13192" i="1"/>
  <c r="E13193" i="1"/>
  <c r="B13193" i="1"/>
  <c r="E13194" i="1"/>
  <c r="B13194" i="1"/>
  <c r="E13195" i="1"/>
  <c r="B13195" i="1"/>
  <c r="E13196" i="1"/>
  <c r="B13196" i="1"/>
  <c r="E13197" i="1"/>
  <c r="B13197" i="1"/>
  <c r="E13198" i="1"/>
  <c r="B13198" i="1"/>
  <c r="E13199" i="1"/>
  <c r="B13199" i="1"/>
  <c r="E13200" i="1"/>
  <c r="B13200" i="1"/>
  <c r="E13201" i="1"/>
  <c r="B13201" i="1"/>
  <c r="E13202" i="1"/>
  <c r="B13202" i="1"/>
  <c r="E13203" i="1"/>
  <c r="B13203" i="1"/>
  <c r="E13204" i="1"/>
  <c r="B13204" i="1"/>
  <c r="E13205" i="1"/>
  <c r="B13205" i="1"/>
  <c r="E13206" i="1"/>
  <c r="B13206" i="1"/>
  <c r="E13207" i="1"/>
  <c r="B13207" i="1"/>
  <c r="E13208" i="1"/>
  <c r="B13208" i="1"/>
  <c r="E13209" i="1"/>
  <c r="B13209" i="1"/>
  <c r="E13210" i="1"/>
  <c r="B13210" i="1"/>
  <c r="E13211" i="1"/>
  <c r="B13211" i="1"/>
  <c r="E13212" i="1"/>
  <c r="B13212" i="1"/>
  <c r="E13213" i="1"/>
  <c r="B13213" i="1"/>
  <c r="E13214" i="1"/>
  <c r="B13214" i="1"/>
  <c r="E13215" i="1"/>
  <c r="B13215" i="1"/>
  <c r="E13216" i="1"/>
  <c r="B13216" i="1"/>
  <c r="E13217" i="1"/>
  <c r="B13217" i="1"/>
  <c r="E13218" i="1"/>
  <c r="B13218" i="1"/>
  <c r="E13219" i="1"/>
  <c r="B13219" i="1"/>
  <c r="E13220" i="1"/>
  <c r="B13220" i="1"/>
  <c r="E13221" i="1"/>
  <c r="B13221" i="1"/>
  <c r="E13222" i="1"/>
  <c r="B13222" i="1"/>
  <c r="E13223" i="1"/>
  <c r="B13223" i="1"/>
  <c r="E13224" i="1"/>
  <c r="B13224" i="1"/>
  <c r="E13225" i="1"/>
  <c r="B13225" i="1"/>
  <c r="E13226" i="1"/>
  <c r="B13226" i="1"/>
  <c r="E13227" i="1"/>
  <c r="B13227" i="1"/>
  <c r="E13228" i="1"/>
  <c r="B13228" i="1"/>
  <c r="E13229" i="1"/>
  <c r="B13229" i="1"/>
  <c r="E13230" i="1"/>
  <c r="B13230" i="1"/>
  <c r="E13231" i="1"/>
  <c r="B13231" i="1"/>
  <c r="E13232" i="1"/>
  <c r="B13232" i="1"/>
  <c r="E13233" i="1"/>
  <c r="B13233" i="1"/>
  <c r="E13234" i="1"/>
  <c r="B13234" i="1"/>
  <c r="E13235" i="1"/>
  <c r="B13235" i="1"/>
  <c r="E13236" i="1"/>
  <c r="B13236" i="1"/>
  <c r="E13237" i="1"/>
  <c r="B13237" i="1"/>
  <c r="E13238" i="1"/>
  <c r="B13238" i="1"/>
  <c r="E13239" i="1"/>
  <c r="B13239" i="1"/>
  <c r="E13240" i="1"/>
  <c r="B13240" i="1"/>
  <c r="E13241" i="1"/>
  <c r="B13241" i="1"/>
  <c r="E13243" i="1"/>
  <c r="B13243" i="1"/>
  <c r="E13242" i="1"/>
  <c r="B13242" i="1"/>
  <c r="E13244" i="1"/>
  <c r="B13244" i="1"/>
  <c r="E13245" i="1"/>
  <c r="B13245" i="1"/>
  <c r="E13247" i="1"/>
  <c r="B13247" i="1"/>
  <c r="E13246" i="1"/>
  <c r="B13246" i="1"/>
  <c r="E13248" i="1"/>
  <c r="B13248" i="1"/>
  <c r="E13249" i="1"/>
  <c r="B13249" i="1"/>
  <c r="E13250" i="1"/>
  <c r="B13250" i="1"/>
  <c r="E13251" i="1"/>
  <c r="B13251" i="1"/>
  <c r="E13252" i="1"/>
  <c r="B13252" i="1"/>
  <c r="E13253" i="1"/>
  <c r="B13253" i="1"/>
  <c r="E13254" i="1"/>
  <c r="B13254" i="1"/>
  <c r="E13255" i="1"/>
  <c r="B13255" i="1"/>
  <c r="E13256" i="1"/>
  <c r="B13256" i="1"/>
  <c r="E13257" i="1"/>
  <c r="B13257" i="1"/>
  <c r="E13258" i="1"/>
  <c r="B13258" i="1"/>
  <c r="E13259" i="1"/>
  <c r="B13259" i="1"/>
  <c r="E13260" i="1"/>
  <c r="B13260" i="1"/>
  <c r="E13261" i="1"/>
  <c r="B13261" i="1"/>
  <c r="E13263" i="1"/>
  <c r="B13263" i="1"/>
  <c r="E13262" i="1"/>
  <c r="B13262" i="1"/>
  <c r="E13264" i="1"/>
  <c r="B13264" i="1"/>
  <c r="E13265" i="1"/>
  <c r="B13265" i="1"/>
  <c r="E13266" i="1"/>
  <c r="B13266" i="1"/>
  <c r="E13267" i="1"/>
  <c r="B13267" i="1"/>
  <c r="E13268" i="1"/>
  <c r="B13268" i="1"/>
  <c r="E13269" i="1"/>
  <c r="B13269" i="1"/>
  <c r="E13270" i="1"/>
  <c r="B13270" i="1"/>
  <c r="E13271" i="1"/>
  <c r="B13271" i="1"/>
  <c r="E13272" i="1"/>
  <c r="B13272" i="1"/>
  <c r="E13273" i="1"/>
  <c r="B13273" i="1"/>
  <c r="E13274" i="1"/>
  <c r="B13274" i="1"/>
  <c r="E13275" i="1"/>
  <c r="B13275" i="1"/>
  <c r="E13276" i="1"/>
  <c r="B13276" i="1"/>
  <c r="E13277" i="1"/>
  <c r="B13277" i="1"/>
  <c r="E13278" i="1"/>
  <c r="B13278" i="1"/>
  <c r="E13279" i="1"/>
  <c r="B13279" i="1"/>
  <c r="E13280" i="1"/>
  <c r="B13280" i="1"/>
  <c r="E13281" i="1"/>
  <c r="B13281" i="1"/>
  <c r="E13282" i="1"/>
  <c r="B13282" i="1"/>
  <c r="E13283" i="1"/>
  <c r="B13283" i="1"/>
  <c r="E13284" i="1"/>
  <c r="B13284" i="1"/>
  <c r="E13285" i="1"/>
  <c r="B13285" i="1"/>
  <c r="E13286" i="1"/>
  <c r="B13286" i="1"/>
  <c r="E13287" i="1"/>
  <c r="B13287" i="1"/>
  <c r="E13288" i="1"/>
  <c r="B13288" i="1"/>
  <c r="E13289" i="1"/>
  <c r="B13289" i="1"/>
  <c r="E13290" i="1"/>
  <c r="B13290" i="1"/>
  <c r="E13291" i="1"/>
  <c r="B13291" i="1"/>
  <c r="E13292" i="1"/>
  <c r="B13292" i="1"/>
  <c r="E13293" i="1"/>
  <c r="B13293" i="1"/>
  <c r="E13294" i="1"/>
  <c r="B13294" i="1"/>
  <c r="E13295" i="1"/>
  <c r="B13295" i="1"/>
  <c r="E13296" i="1"/>
  <c r="B13296" i="1"/>
  <c r="E13297" i="1"/>
  <c r="B13297" i="1"/>
  <c r="E13298" i="1"/>
  <c r="B13298" i="1"/>
  <c r="E13299" i="1"/>
  <c r="B13299" i="1"/>
  <c r="E13301" i="1"/>
  <c r="B13301" i="1"/>
  <c r="E13300" i="1"/>
  <c r="B13300" i="1"/>
  <c r="E13302" i="1"/>
  <c r="B13302" i="1"/>
  <c r="E13303" i="1"/>
  <c r="B13303" i="1"/>
  <c r="E13304" i="1"/>
  <c r="B13304" i="1"/>
  <c r="E13305" i="1"/>
  <c r="B13305" i="1"/>
  <c r="E13306" i="1"/>
  <c r="B13306" i="1"/>
  <c r="E13307" i="1"/>
  <c r="B13307" i="1"/>
  <c r="E13308" i="1"/>
  <c r="B13308" i="1"/>
  <c r="E13309" i="1"/>
  <c r="B13309" i="1"/>
  <c r="E13310" i="1"/>
  <c r="B13310" i="1"/>
  <c r="E13311" i="1"/>
  <c r="B13311" i="1"/>
  <c r="E13312" i="1"/>
  <c r="B13312" i="1"/>
  <c r="E13313" i="1"/>
  <c r="B13313" i="1"/>
  <c r="E13314" i="1"/>
  <c r="B13314" i="1"/>
  <c r="E13315" i="1"/>
  <c r="B13315" i="1"/>
  <c r="E13316" i="1"/>
  <c r="B13316" i="1"/>
  <c r="E13317" i="1"/>
  <c r="B13317" i="1"/>
  <c r="E13318" i="1"/>
  <c r="B13318" i="1"/>
  <c r="E13319" i="1"/>
  <c r="B13319" i="1"/>
  <c r="E13320" i="1"/>
  <c r="B13320" i="1"/>
  <c r="E13321" i="1"/>
  <c r="B13321" i="1"/>
  <c r="E13322" i="1"/>
  <c r="B13322" i="1"/>
  <c r="E13323" i="1"/>
  <c r="B13323" i="1"/>
  <c r="E13324" i="1"/>
  <c r="B13324" i="1"/>
  <c r="E13325" i="1"/>
  <c r="B13325" i="1"/>
  <c r="E13326" i="1"/>
  <c r="B13326" i="1"/>
  <c r="E13327" i="1"/>
  <c r="B13327" i="1"/>
  <c r="E13328" i="1"/>
  <c r="B13328" i="1"/>
  <c r="E13329" i="1"/>
  <c r="B13329" i="1"/>
  <c r="E13330" i="1"/>
  <c r="B13330" i="1"/>
  <c r="E13331" i="1"/>
  <c r="B13331" i="1"/>
  <c r="E13332" i="1"/>
  <c r="B13332" i="1"/>
  <c r="E13333" i="1"/>
  <c r="B13333" i="1"/>
  <c r="E13334" i="1"/>
  <c r="B13334" i="1"/>
  <c r="E13335" i="1"/>
  <c r="B13335" i="1"/>
  <c r="E13336" i="1"/>
  <c r="B13336" i="1"/>
  <c r="E13337" i="1"/>
  <c r="B13337" i="1"/>
  <c r="E13338" i="1"/>
  <c r="B13338" i="1"/>
  <c r="E13339" i="1"/>
  <c r="B13339" i="1"/>
  <c r="E13340" i="1"/>
  <c r="B13340" i="1"/>
  <c r="E13342" i="1"/>
  <c r="B13342" i="1"/>
  <c r="E13341" i="1"/>
  <c r="B13341" i="1"/>
  <c r="E13343" i="1"/>
  <c r="B13343" i="1"/>
  <c r="E13345" i="1"/>
  <c r="B13345" i="1"/>
  <c r="E13344" i="1"/>
  <c r="B13344" i="1"/>
  <c r="E13346" i="1"/>
  <c r="B13346" i="1"/>
  <c r="E13347" i="1"/>
  <c r="B13347" i="1"/>
  <c r="E13348" i="1"/>
  <c r="B13348" i="1"/>
  <c r="E13349" i="1"/>
  <c r="B13349" i="1"/>
  <c r="E13350" i="1"/>
  <c r="B13350" i="1"/>
  <c r="E13351" i="1"/>
  <c r="B13351" i="1"/>
  <c r="E13352" i="1"/>
  <c r="B13352" i="1"/>
  <c r="E13353" i="1"/>
  <c r="B13353" i="1"/>
  <c r="E13354" i="1"/>
  <c r="B13354" i="1"/>
  <c r="E13355" i="1"/>
  <c r="B13355" i="1"/>
  <c r="E13356" i="1"/>
  <c r="B13356" i="1"/>
  <c r="E13357" i="1"/>
  <c r="B13357" i="1"/>
  <c r="E13358" i="1"/>
  <c r="B13358" i="1"/>
  <c r="E13359" i="1"/>
  <c r="B13359" i="1"/>
  <c r="E13360" i="1"/>
  <c r="B13360" i="1"/>
  <c r="E13361" i="1"/>
  <c r="B13361" i="1"/>
  <c r="E13362" i="1"/>
  <c r="B13362" i="1"/>
  <c r="E13363" i="1"/>
  <c r="B13363" i="1"/>
  <c r="E13364" i="1"/>
  <c r="B13364" i="1"/>
  <c r="E13365" i="1"/>
  <c r="B13365" i="1"/>
  <c r="E13366" i="1"/>
  <c r="B13366" i="1"/>
  <c r="E13367" i="1"/>
  <c r="B13367" i="1"/>
  <c r="E13368" i="1"/>
  <c r="B13368" i="1"/>
  <c r="E13369" i="1"/>
  <c r="B13369" i="1"/>
  <c r="E13370" i="1"/>
  <c r="B13370" i="1"/>
  <c r="E13371" i="1"/>
  <c r="B13371" i="1"/>
  <c r="E13372" i="1"/>
  <c r="B13372" i="1"/>
  <c r="E13373" i="1"/>
  <c r="B13373" i="1"/>
  <c r="E13374" i="1"/>
  <c r="B13374" i="1"/>
  <c r="E13375" i="1"/>
  <c r="B13375" i="1"/>
  <c r="E13376" i="1"/>
  <c r="B13376" i="1"/>
  <c r="E13378" i="1"/>
  <c r="B13378" i="1"/>
  <c r="E13377" i="1"/>
  <c r="B13377" i="1"/>
  <c r="E13379" i="1"/>
  <c r="B13379" i="1"/>
  <c r="E13380" i="1"/>
  <c r="B13380" i="1"/>
  <c r="E13381" i="1"/>
  <c r="B13381" i="1"/>
  <c r="E13382" i="1"/>
  <c r="B13382" i="1"/>
  <c r="E13383" i="1"/>
  <c r="B13383" i="1"/>
  <c r="E13384" i="1"/>
  <c r="B13384" i="1"/>
  <c r="E13385" i="1"/>
  <c r="B13385" i="1"/>
  <c r="E13386" i="1"/>
  <c r="B13386" i="1"/>
  <c r="E13387" i="1"/>
  <c r="B13387" i="1"/>
  <c r="E13388" i="1"/>
  <c r="B13388" i="1"/>
  <c r="E13389" i="1"/>
  <c r="B13389" i="1"/>
  <c r="E13390" i="1"/>
  <c r="B13390" i="1"/>
  <c r="E13391" i="1"/>
  <c r="B13391" i="1"/>
  <c r="E13392" i="1"/>
  <c r="B13392" i="1"/>
  <c r="E13393" i="1"/>
  <c r="B13393" i="1"/>
  <c r="E13394" i="1"/>
  <c r="B13394" i="1"/>
  <c r="E13395" i="1"/>
  <c r="B13395" i="1"/>
  <c r="E13396" i="1"/>
  <c r="B13396" i="1"/>
  <c r="E13397" i="1"/>
  <c r="B13397" i="1"/>
  <c r="E13398" i="1"/>
  <c r="B13398" i="1"/>
  <c r="E13399" i="1"/>
  <c r="B13399" i="1"/>
  <c r="E13400" i="1"/>
  <c r="B13400" i="1"/>
  <c r="E13401" i="1"/>
  <c r="B13401" i="1"/>
  <c r="E13402" i="1"/>
  <c r="B13402" i="1"/>
  <c r="E13403" i="1"/>
  <c r="B13403" i="1"/>
  <c r="E13404" i="1"/>
  <c r="B13404" i="1"/>
  <c r="E13405" i="1"/>
  <c r="B13405" i="1"/>
  <c r="E13406" i="1"/>
  <c r="B13406" i="1"/>
  <c r="E13407" i="1"/>
  <c r="B13407" i="1"/>
  <c r="E13408" i="1"/>
  <c r="B13408" i="1"/>
  <c r="E13409" i="1"/>
  <c r="B13409" i="1"/>
  <c r="E13410" i="1"/>
  <c r="B13410" i="1"/>
  <c r="E13411" i="1"/>
  <c r="B13411" i="1"/>
  <c r="E13412" i="1"/>
  <c r="B13412" i="1"/>
  <c r="E13413" i="1"/>
  <c r="B13413" i="1"/>
  <c r="E13414" i="1"/>
  <c r="B13414" i="1"/>
  <c r="E13415" i="1"/>
  <c r="B13415" i="1"/>
  <c r="E13416" i="1"/>
  <c r="B13416" i="1"/>
  <c r="E13417" i="1"/>
  <c r="B13417" i="1"/>
  <c r="E13418" i="1"/>
  <c r="B13418" i="1"/>
  <c r="E13419" i="1"/>
  <c r="B13419" i="1"/>
  <c r="E13420" i="1"/>
  <c r="B13420" i="1"/>
  <c r="E13421" i="1"/>
  <c r="B13421" i="1"/>
  <c r="E13422" i="1"/>
  <c r="B13422" i="1"/>
  <c r="E13423" i="1"/>
  <c r="B13423" i="1"/>
  <c r="E13424" i="1"/>
  <c r="B13424" i="1"/>
  <c r="E13425" i="1"/>
  <c r="B13425" i="1"/>
  <c r="E13426" i="1"/>
  <c r="B13426" i="1"/>
  <c r="E13427" i="1"/>
  <c r="B13427" i="1"/>
  <c r="E13428" i="1"/>
  <c r="B13428" i="1"/>
  <c r="E13429" i="1"/>
  <c r="B13429" i="1"/>
  <c r="E13430" i="1"/>
  <c r="B13430" i="1"/>
  <c r="E13431" i="1"/>
  <c r="B13431" i="1"/>
  <c r="E13432" i="1"/>
  <c r="B13432" i="1"/>
  <c r="E13433" i="1"/>
  <c r="B13433" i="1"/>
  <c r="E13434" i="1"/>
  <c r="B13434" i="1"/>
  <c r="E13435" i="1"/>
  <c r="B13435" i="1"/>
  <c r="E13436" i="1"/>
  <c r="B13436" i="1"/>
  <c r="E13437" i="1"/>
  <c r="B13437" i="1"/>
  <c r="E13438" i="1"/>
  <c r="B13438" i="1"/>
  <c r="E13439" i="1"/>
  <c r="B13439" i="1"/>
  <c r="E13440" i="1"/>
  <c r="B13440" i="1"/>
  <c r="E13441" i="1"/>
  <c r="B13441" i="1"/>
  <c r="E13442" i="1"/>
  <c r="B13442" i="1"/>
  <c r="E13443" i="1"/>
  <c r="B13443" i="1"/>
  <c r="E13444" i="1"/>
  <c r="B13444" i="1"/>
  <c r="E13445" i="1"/>
  <c r="B13445" i="1"/>
  <c r="E13446" i="1"/>
  <c r="B13446" i="1"/>
  <c r="E13447" i="1"/>
  <c r="B13447" i="1"/>
  <c r="E13448" i="1"/>
  <c r="B13448" i="1"/>
  <c r="E13449" i="1"/>
  <c r="B13449" i="1"/>
  <c r="E13450" i="1"/>
  <c r="B13450" i="1"/>
  <c r="E13451" i="1"/>
  <c r="B13451" i="1"/>
  <c r="E13452" i="1"/>
  <c r="B13452" i="1"/>
  <c r="E13453" i="1"/>
  <c r="B13453" i="1"/>
  <c r="E13454" i="1"/>
  <c r="B13454" i="1"/>
  <c r="E13455" i="1"/>
  <c r="B13455" i="1"/>
  <c r="E13456" i="1"/>
  <c r="B13456" i="1"/>
  <c r="E13457" i="1"/>
  <c r="B13457" i="1"/>
  <c r="E13458" i="1"/>
  <c r="B13458" i="1"/>
  <c r="E13459" i="1"/>
  <c r="B13459" i="1"/>
  <c r="E13461" i="1"/>
  <c r="B13461" i="1"/>
  <c r="E13460" i="1"/>
  <c r="B13460" i="1"/>
  <c r="E13462" i="1"/>
  <c r="B13462" i="1"/>
  <c r="E13463" i="1"/>
  <c r="B13463" i="1"/>
  <c r="E13464" i="1"/>
  <c r="B13464" i="1"/>
  <c r="E13465" i="1"/>
  <c r="B13465" i="1"/>
  <c r="E13466" i="1"/>
  <c r="B13466" i="1"/>
  <c r="E13467" i="1"/>
  <c r="B13467" i="1"/>
  <c r="E13468" i="1"/>
  <c r="B13468" i="1"/>
  <c r="E13469" i="1"/>
  <c r="B13469" i="1"/>
  <c r="E13470" i="1"/>
  <c r="B13470" i="1"/>
  <c r="E13471" i="1"/>
  <c r="B13471" i="1"/>
  <c r="E13472" i="1"/>
  <c r="B13472" i="1"/>
  <c r="E13473" i="1"/>
  <c r="B13473" i="1"/>
  <c r="E13474" i="1"/>
  <c r="B13474" i="1"/>
  <c r="E13475" i="1"/>
  <c r="B13475" i="1"/>
  <c r="E13476" i="1"/>
  <c r="B13476" i="1"/>
  <c r="E13477" i="1"/>
  <c r="B13477" i="1"/>
  <c r="E13478" i="1"/>
  <c r="B13478" i="1"/>
  <c r="E13479" i="1"/>
  <c r="B13479" i="1"/>
  <c r="E13480" i="1"/>
  <c r="B13480" i="1"/>
  <c r="E13481" i="1"/>
  <c r="B13481" i="1"/>
  <c r="E13482" i="1"/>
  <c r="B13482" i="1"/>
  <c r="E13483" i="1"/>
  <c r="B13483" i="1"/>
  <c r="E13484" i="1"/>
  <c r="B13484" i="1"/>
  <c r="E13485" i="1"/>
  <c r="B13485" i="1"/>
  <c r="E13486" i="1"/>
  <c r="B13486" i="1"/>
  <c r="E13487" i="1"/>
  <c r="B13487" i="1"/>
  <c r="E13488" i="1"/>
  <c r="B13488" i="1"/>
  <c r="E13489" i="1"/>
  <c r="B13489" i="1"/>
  <c r="E13490" i="1"/>
  <c r="B13490" i="1"/>
  <c r="E13491" i="1"/>
  <c r="B13491" i="1"/>
  <c r="E13492" i="1"/>
  <c r="B13492" i="1"/>
  <c r="E13493" i="1"/>
  <c r="B13493" i="1"/>
  <c r="E13494" i="1"/>
  <c r="B13494" i="1"/>
  <c r="E13495" i="1"/>
  <c r="B13495" i="1"/>
  <c r="E13496" i="1"/>
  <c r="B13496" i="1"/>
  <c r="E13497" i="1"/>
  <c r="B13497" i="1"/>
  <c r="E13498" i="1"/>
  <c r="B13498" i="1"/>
  <c r="E13499" i="1"/>
  <c r="B13499" i="1"/>
  <c r="E13500" i="1"/>
  <c r="B13500" i="1"/>
  <c r="E13501" i="1"/>
  <c r="B13501" i="1"/>
  <c r="E13502" i="1"/>
  <c r="B13502" i="1"/>
  <c r="E13503" i="1"/>
  <c r="B13503" i="1"/>
  <c r="E13504" i="1"/>
  <c r="B13504" i="1"/>
  <c r="E13505" i="1"/>
  <c r="B13505" i="1"/>
  <c r="E13506" i="1"/>
  <c r="B13506" i="1"/>
  <c r="E13507" i="1"/>
  <c r="B13507" i="1"/>
  <c r="E13508" i="1"/>
  <c r="B13508" i="1"/>
  <c r="E13509" i="1"/>
  <c r="B13509" i="1"/>
  <c r="E13510" i="1"/>
  <c r="B13510" i="1"/>
  <c r="E13511" i="1"/>
  <c r="B13511" i="1"/>
  <c r="E13512" i="1"/>
  <c r="B13512" i="1"/>
  <c r="E13513" i="1"/>
  <c r="B13513" i="1"/>
  <c r="E13514" i="1"/>
  <c r="B13514" i="1"/>
  <c r="E13515" i="1"/>
  <c r="B13515" i="1"/>
  <c r="E13516" i="1"/>
  <c r="B13516" i="1"/>
  <c r="E13517" i="1"/>
  <c r="B13517" i="1"/>
  <c r="E13518" i="1"/>
  <c r="B13518" i="1"/>
  <c r="E13519" i="1"/>
  <c r="B13519" i="1"/>
  <c r="E13520" i="1"/>
  <c r="B13520" i="1"/>
  <c r="E13521" i="1"/>
  <c r="B13521" i="1"/>
  <c r="E13522" i="1"/>
  <c r="B13522" i="1"/>
  <c r="E13523" i="1"/>
  <c r="B13523" i="1"/>
  <c r="E13524" i="1"/>
  <c r="B13524" i="1"/>
  <c r="E13525" i="1"/>
  <c r="B13525" i="1"/>
  <c r="E13526" i="1"/>
  <c r="B13526" i="1"/>
  <c r="E13527" i="1"/>
  <c r="B13527" i="1"/>
  <c r="E13528" i="1"/>
  <c r="B13528" i="1"/>
  <c r="E13529" i="1"/>
  <c r="B13529" i="1"/>
  <c r="E13530" i="1"/>
  <c r="B13530" i="1"/>
  <c r="E13531" i="1"/>
  <c r="B13531" i="1"/>
  <c r="E13532" i="1"/>
  <c r="B13532" i="1"/>
  <c r="E13533" i="1"/>
  <c r="B13533" i="1"/>
  <c r="E13534" i="1"/>
  <c r="B13534" i="1"/>
  <c r="E13535" i="1"/>
  <c r="B13535" i="1"/>
  <c r="E13536" i="1"/>
  <c r="B13536" i="1"/>
  <c r="E13537" i="1"/>
  <c r="B13537" i="1"/>
  <c r="E13538" i="1"/>
  <c r="B13538" i="1"/>
  <c r="E13539" i="1"/>
  <c r="B13539" i="1"/>
  <c r="E13540" i="1"/>
  <c r="B13540" i="1"/>
  <c r="E13541" i="1"/>
  <c r="B13541" i="1"/>
  <c r="E13542" i="1"/>
  <c r="B13542" i="1"/>
  <c r="E13543" i="1"/>
  <c r="B13543" i="1"/>
  <c r="E13544" i="1"/>
  <c r="B13544" i="1"/>
  <c r="E13545" i="1"/>
  <c r="B13545" i="1"/>
  <c r="E13546" i="1"/>
  <c r="B13546" i="1"/>
  <c r="E13547" i="1"/>
  <c r="B13547" i="1"/>
  <c r="E13548" i="1"/>
  <c r="B13548" i="1"/>
  <c r="E13549" i="1"/>
  <c r="B13549" i="1"/>
  <c r="E13550" i="1"/>
  <c r="B13550" i="1"/>
  <c r="E13551" i="1"/>
  <c r="B13551" i="1"/>
  <c r="E13552" i="1"/>
  <c r="B13552" i="1"/>
  <c r="E13553" i="1"/>
  <c r="B13553" i="1"/>
  <c r="E13554" i="1"/>
  <c r="B13554" i="1"/>
  <c r="E13555" i="1"/>
  <c r="B13555" i="1"/>
  <c r="E13556" i="1"/>
  <c r="B13556" i="1"/>
  <c r="E13557" i="1"/>
  <c r="B13557" i="1"/>
  <c r="E13558" i="1"/>
  <c r="B13558" i="1"/>
  <c r="E13559" i="1"/>
  <c r="B13559" i="1"/>
  <c r="E13560" i="1"/>
  <c r="B13560" i="1"/>
  <c r="E13561" i="1"/>
  <c r="B13561" i="1"/>
  <c r="E13562" i="1"/>
  <c r="B13562" i="1"/>
  <c r="E13563" i="1"/>
  <c r="B13563" i="1"/>
  <c r="E13564" i="1"/>
  <c r="B13564" i="1"/>
  <c r="E13565" i="1"/>
  <c r="B13565" i="1"/>
  <c r="E13566" i="1"/>
  <c r="B13566" i="1"/>
  <c r="E13567" i="1"/>
  <c r="B13567" i="1"/>
  <c r="E13568" i="1"/>
  <c r="B13568" i="1"/>
  <c r="E13569" i="1"/>
  <c r="B13569" i="1"/>
  <c r="E13570" i="1"/>
  <c r="B13570" i="1"/>
  <c r="E13571" i="1"/>
  <c r="B13571" i="1"/>
  <c r="E13572" i="1"/>
  <c r="B13572" i="1"/>
  <c r="E13573" i="1"/>
  <c r="B13573" i="1"/>
  <c r="E13574" i="1"/>
  <c r="B13574" i="1"/>
  <c r="E13575" i="1"/>
  <c r="B13575" i="1"/>
  <c r="E13576" i="1"/>
  <c r="B13576" i="1"/>
  <c r="E13577" i="1"/>
  <c r="B13577" i="1"/>
  <c r="E13578" i="1"/>
  <c r="B13578" i="1"/>
  <c r="E13579" i="1"/>
  <c r="B13579" i="1"/>
  <c r="E13580" i="1"/>
  <c r="B13580" i="1"/>
  <c r="E13581" i="1"/>
  <c r="B13581" i="1"/>
  <c r="E13582" i="1"/>
  <c r="B13582" i="1"/>
  <c r="E13583" i="1"/>
  <c r="B13583" i="1"/>
  <c r="E13584" i="1"/>
  <c r="B13584" i="1"/>
  <c r="E13585" i="1"/>
  <c r="B13585" i="1"/>
  <c r="E13586" i="1"/>
  <c r="B13586" i="1"/>
  <c r="E13587" i="1"/>
  <c r="B13587" i="1"/>
  <c r="E13588" i="1"/>
  <c r="B13588" i="1"/>
  <c r="E13589" i="1"/>
  <c r="B13589" i="1"/>
  <c r="E13590" i="1"/>
  <c r="B13590" i="1"/>
  <c r="E13591" i="1"/>
  <c r="B13591" i="1"/>
  <c r="E13592" i="1"/>
  <c r="B13592" i="1"/>
  <c r="E13593" i="1"/>
  <c r="B13593" i="1"/>
  <c r="E13594" i="1"/>
  <c r="B13594" i="1"/>
  <c r="E13595" i="1"/>
  <c r="B13595" i="1"/>
  <c r="E13596" i="1"/>
  <c r="B13596" i="1"/>
  <c r="E13597" i="1"/>
  <c r="B13597" i="1"/>
  <c r="E13598" i="1"/>
  <c r="B13598" i="1"/>
  <c r="E13599" i="1"/>
  <c r="B13599" i="1"/>
  <c r="E13600" i="1"/>
  <c r="B13600" i="1"/>
  <c r="E13601" i="1"/>
  <c r="B13601" i="1"/>
  <c r="E13602" i="1"/>
  <c r="B13602" i="1"/>
  <c r="E13603" i="1"/>
  <c r="B13603" i="1"/>
  <c r="E13604" i="1"/>
  <c r="B13604" i="1"/>
  <c r="E13605" i="1"/>
  <c r="B13605" i="1"/>
  <c r="E13606" i="1"/>
  <c r="B13606" i="1"/>
  <c r="E13607" i="1"/>
  <c r="B13607" i="1"/>
  <c r="E13608" i="1"/>
  <c r="B13608" i="1"/>
  <c r="E13609" i="1"/>
  <c r="B13609" i="1"/>
  <c r="E13610" i="1"/>
  <c r="B13610" i="1"/>
  <c r="E13611" i="1"/>
  <c r="B13611" i="1"/>
  <c r="E13612" i="1"/>
  <c r="B13612" i="1"/>
  <c r="E13613" i="1"/>
  <c r="B13613" i="1"/>
  <c r="E13614" i="1"/>
  <c r="B13614" i="1"/>
  <c r="E13615" i="1"/>
  <c r="B13615" i="1"/>
  <c r="E13616" i="1"/>
  <c r="B13616" i="1"/>
  <c r="E13617" i="1"/>
  <c r="B13617" i="1"/>
  <c r="E13618" i="1"/>
  <c r="B13618" i="1"/>
  <c r="E13619" i="1"/>
  <c r="B13619" i="1"/>
  <c r="E13620" i="1"/>
  <c r="B13620" i="1"/>
  <c r="E13621" i="1"/>
  <c r="B13621" i="1"/>
  <c r="E13622" i="1"/>
  <c r="B13622" i="1"/>
  <c r="E13623" i="1"/>
  <c r="B13623" i="1"/>
  <c r="E13625" i="1"/>
  <c r="B13625" i="1"/>
  <c r="E13624" i="1"/>
  <c r="B13624" i="1"/>
  <c r="E13627" i="1"/>
  <c r="B13627" i="1"/>
  <c r="E13626" i="1"/>
  <c r="B13626" i="1"/>
  <c r="E13628" i="1"/>
  <c r="B13628" i="1"/>
  <c r="E13629" i="1"/>
  <c r="B13629" i="1"/>
  <c r="E13630" i="1"/>
  <c r="B13630" i="1"/>
  <c r="E13631" i="1"/>
  <c r="B13631" i="1"/>
  <c r="E13632" i="1"/>
  <c r="B13632" i="1"/>
  <c r="E13634" i="1"/>
  <c r="B13634" i="1"/>
  <c r="E13633" i="1"/>
  <c r="B13633" i="1"/>
  <c r="E13635" i="1"/>
  <c r="B13635" i="1"/>
  <c r="E13637" i="1"/>
  <c r="B13637" i="1"/>
  <c r="E13636" i="1"/>
  <c r="B13636" i="1"/>
  <c r="E13638" i="1"/>
  <c r="B13638" i="1"/>
  <c r="E13639" i="1"/>
  <c r="B13639" i="1"/>
  <c r="E13640" i="1"/>
  <c r="B13640" i="1"/>
  <c r="E13641" i="1"/>
  <c r="B13641" i="1"/>
  <c r="E13642" i="1"/>
  <c r="B13642" i="1"/>
  <c r="E13643" i="1"/>
  <c r="B13643" i="1"/>
  <c r="E13644" i="1"/>
  <c r="B13644" i="1"/>
  <c r="E13645" i="1"/>
  <c r="B13645" i="1"/>
  <c r="E13646" i="1"/>
  <c r="B13646" i="1"/>
  <c r="E13647" i="1"/>
  <c r="B13647" i="1"/>
  <c r="E13648" i="1"/>
  <c r="B13648" i="1"/>
  <c r="E13649" i="1"/>
  <c r="B13649" i="1"/>
  <c r="E13650" i="1"/>
  <c r="B13650" i="1"/>
  <c r="E13652" i="1"/>
  <c r="B13652" i="1"/>
  <c r="E13651" i="1"/>
  <c r="B13651" i="1"/>
  <c r="E13653" i="1"/>
  <c r="B13653" i="1"/>
  <c r="E13654" i="1"/>
  <c r="B13654" i="1"/>
  <c r="E13655" i="1"/>
  <c r="B13655" i="1"/>
  <c r="E13656" i="1"/>
  <c r="B13656" i="1"/>
  <c r="E13657" i="1"/>
  <c r="B13657" i="1"/>
  <c r="E13658" i="1"/>
  <c r="B13658" i="1"/>
  <c r="E13659" i="1"/>
  <c r="B13659" i="1"/>
  <c r="E13660" i="1"/>
  <c r="B13660" i="1"/>
  <c r="E13661" i="1"/>
  <c r="B13661" i="1"/>
  <c r="E13662" i="1"/>
  <c r="B13662" i="1"/>
  <c r="E13663" i="1"/>
  <c r="B13663" i="1"/>
  <c r="E13664" i="1"/>
  <c r="B13664" i="1"/>
  <c r="E13665" i="1"/>
  <c r="B13665" i="1"/>
  <c r="E13666" i="1"/>
  <c r="B13666" i="1"/>
  <c r="E13667" i="1"/>
  <c r="B13667" i="1"/>
  <c r="E13668" i="1"/>
  <c r="B13668" i="1"/>
  <c r="E13669" i="1"/>
  <c r="B13669" i="1"/>
  <c r="E13670" i="1"/>
  <c r="B13670" i="1"/>
  <c r="E13671" i="1"/>
  <c r="B13671" i="1"/>
  <c r="E13672" i="1"/>
  <c r="B13672" i="1"/>
  <c r="E13673" i="1"/>
  <c r="B13673" i="1"/>
  <c r="E13674" i="1"/>
  <c r="B13674" i="1"/>
  <c r="E13675" i="1"/>
  <c r="B13675" i="1"/>
  <c r="E13676" i="1"/>
  <c r="B13676" i="1"/>
  <c r="E13677" i="1"/>
  <c r="B13677" i="1"/>
  <c r="E13678" i="1"/>
  <c r="B13678" i="1"/>
  <c r="E13679" i="1"/>
  <c r="B13679" i="1"/>
  <c r="E13680" i="1"/>
  <c r="B13680" i="1"/>
  <c r="E13681" i="1"/>
  <c r="B13681" i="1"/>
  <c r="E13682" i="1"/>
  <c r="B13682" i="1"/>
  <c r="E13683" i="1"/>
  <c r="B13683" i="1"/>
  <c r="E13684" i="1"/>
  <c r="B13684" i="1"/>
  <c r="E13685" i="1"/>
  <c r="B13685" i="1"/>
  <c r="E13686" i="1"/>
  <c r="B13686" i="1"/>
  <c r="E13687" i="1"/>
  <c r="B13687" i="1"/>
  <c r="E13688" i="1"/>
  <c r="B13688" i="1"/>
  <c r="E13689" i="1"/>
  <c r="B13689" i="1"/>
  <c r="E13690" i="1"/>
  <c r="B13690" i="1"/>
  <c r="E13691" i="1"/>
  <c r="B13691" i="1"/>
  <c r="E13692" i="1"/>
  <c r="B13692" i="1"/>
  <c r="E13693" i="1"/>
  <c r="B13693" i="1"/>
  <c r="E13694" i="1"/>
  <c r="B13694" i="1"/>
  <c r="E13695" i="1"/>
  <c r="B13695" i="1"/>
  <c r="E13696" i="1"/>
  <c r="B13696" i="1"/>
  <c r="E13697" i="1"/>
  <c r="B13697" i="1"/>
  <c r="E13698" i="1"/>
  <c r="B13698" i="1"/>
  <c r="E13699" i="1"/>
  <c r="B13699" i="1"/>
  <c r="E13700" i="1"/>
  <c r="B13700" i="1"/>
  <c r="E13701" i="1"/>
  <c r="B13701" i="1"/>
  <c r="E13702" i="1"/>
  <c r="B13702" i="1"/>
  <c r="E13703" i="1"/>
  <c r="B13703" i="1"/>
  <c r="E13704" i="1"/>
  <c r="B13704" i="1"/>
  <c r="E13705" i="1"/>
  <c r="B13705" i="1"/>
  <c r="E13706" i="1"/>
  <c r="B13706" i="1"/>
  <c r="E13707" i="1"/>
  <c r="B13707" i="1"/>
  <c r="E13708" i="1"/>
  <c r="B13708" i="1"/>
  <c r="E13709" i="1"/>
  <c r="B13709" i="1"/>
  <c r="E13710" i="1"/>
  <c r="B13710" i="1"/>
  <c r="E13711" i="1"/>
  <c r="B13711" i="1"/>
  <c r="E13712" i="1"/>
  <c r="B13712" i="1"/>
  <c r="E13713" i="1"/>
  <c r="B13713" i="1"/>
  <c r="E13714" i="1"/>
  <c r="B13714" i="1"/>
  <c r="E13715" i="1"/>
  <c r="B13715" i="1"/>
  <c r="E13716" i="1"/>
  <c r="B13716" i="1"/>
  <c r="E13717" i="1"/>
  <c r="B13717" i="1"/>
  <c r="E13718" i="1"/>
  <c r="B13718" i="1"/>
  <c r="E13719" i="1"/>
  <c r="B13719" i="1"/>
  <c r="E13720" i="1"/>
  <c r="B13720" i="1"/>
  <c r="E13723" i="1"/>
  <c r="B13723" i="1"/>
  <c r="E13722" i="1"/>
  <c r="B13722" i="1"/>
  <c r="E13721" i="1"/>
  <c r="B13721" i="1"/>
  <c r="E13724" i="1"/>
  <c r="B13724" i="1"/>
  <c r="E13725" i="1"/>
  <c r="B13725" i="1"/>
  <c r="E13726" i="1"/>
  <c r="B13726" i="1"/>
  <c r="E13727" i="1"/>
  <c r="B13727" i="1"/>
  <c r="E13728" i="1"/>
  <c r="B13728" i="1"/>
  <c r="E13729" i="1"/>
  <c r="B13729" i="1"/>
  <c r="E13730" i="1"/>
  <c r="B13730" i="1"/>
  <c r="E13731" i="1"/>
  <c r="B13731" i="1"/>
  <c r="E13732" i="1"/>
  <c r="B13732" i="1"/>
  <c r="E13733" i="1"/>
  <c r="B13733" i="1"/>
  <c r="E13734" i="1"/>
  <c r="B13734" i="1"/>
  <c r="E13735" i="1"/>
  <c r="B13735" i="1"/>
  <c r="E13736" i="1"/>
  <c r="B13736" i="1"/>
  <c r="E13737" i="1"/>
  <c r="B13737" i="1"/>
  <c r="E13738" i="1"/>
  <c r="B13738" i="1"/>
  <c r="E13739" i="1"/>
  <c r="B13739" i="1"/>
  <c r="E13740" i="1"/>
  <c r="B13740" i="1"/>
  <c r="E13741" i="1"/>
  <c r="B13741" i="1"/>
  <c r="E13742" i="1"/>
  <c r="B13742" i="1"/>
  <c r="E13743" i="1"/>
  <c r="B13743" i="1"/>
  <c r="E13744" i="1"/>
  <c r="B13744" i="1"/>
  <c r="E13745" i="1"/>
  <c r="B13745" i="1"/>
  <c r="E13746" i="1"/>
  <c r="B13746" i="1"/>
  <c r="E13747" i="1"/>
  <c r="B13747" i="1"/>
  <c r="E13748" i="1"/>
  <c r="B13748" i="1"/>
  <c r="E13749" i="1"/>
  <c r="B13749" i="1"/>
  <c r="E13750" i="1"/>
  <c r="B13750" i="1"/>
  <c r="E13751" i="1"/>
  <c r="B13751" i="1"/>
  <c r="E13752" i="1"/>
  <c r="B13752" i="1"/>
  <c r="E13753" i="1"/>
  <c r="B13753" i="1"/>
  <c r="E13754" i="1"/>
  <c r="B13754" i="1"/>
  <c r="E13755" i="1"/>
  <c r="B13755" i="1"/>
  <c r="E13756" i="1"/>
  <c r="B13756" i="1"/>
  <c r="E13757" i="1"/>
  <c r="B13757" i="1"/>
  <c r="E13758" i="1"/>
  <c r="B13758" i="1"/>
  <c r="E13759" i="1"/>
  <c r="B13759" i="1"/>
  <c r="E13760" i="1"/>
  <c r="B13760" i="1"/>
  <c r="E13761" i="1"/>
  <c r="B13761" i="1"/>
  <c r="E13762" i="1"/>
  <c r="B13762" i="1"/>
  <c r="E13763" i="1"/>
  <c r="B13763" i="1"/>
  <c r="E13764" i="1"/>
  <c r="B13764" i="1"/>
  <c r="E13765" i="1"/>
  <c r="B13765" i="1"/>
  <c r="E13766" i="1"/>
  <c r="B13766" i="1"/>
  <c r="E13767" i="1"/>
  <c r="B13767" i="1"/>
  <c r="E13768" i="1"/>
  <c r="B13768" i="1"/>
  <c r="E13769" i="1"/>
  <c r="B13769" i="1"/>
  <c r="E13770" i="1"/>
  <c r="B13770" i="1"/>
  <c r="E13771" i="1"/>
  <c r="B13771" i="1"/>
  <c r="E13772" i="1"/>
  <c r="B13772" i="1"/>
  <c r="E13773" i="1"/>
  <c r="B13773" i="1"/>
  <c r="E13774" i="1"/>
  <c r="B13774" i="1"/>
  <c r="E13775" i="1"/>
  <c r="B13775" i="1"/>
  <c r="E13776" i="1"/>
  <c r="B13776" i="1"/>
  <c r="E13777" i="1"/>
  <c r="B13777" i="1"/>
  <c r="E13778" i="1"/>
  <c r="B13778" i="1"/>
  <c r="E13779" i="1"/>
  <c r="B13779" i="1"/>
  <c r="E13780" i="1"/>
  <c r="B13780" i="1"/>
  <c r="E13781" i="1"/>
  <c r="B13781" i="1"/>
  <c r="E13782" i="1"/>
  <c r="B13782" i="1"/>
  <c r="E13783" i="1"/>
  <c r="B13783" i="1"/>
  <c r="E13784" i="1"/>
  <c r="B13784" i="1"/>
  <c r="E13785" i="1"/>
  <c r="B13785" i="1"/>
  <c r="E13786" i="1"/>
  <c r="B13786" i="1"/>
  <c r="E13787" i="1"/>
  <c r="B13787" i="1"/>
  <c r="E13788" i="1"/>
  <c r="B13788" i="1"/>
  <c r="E13789" i="1"/>
  <c r="B13789" i="1"/>
  <c r="E13790" i="1"/>
  <c r="B13790" i="1"/>
  <c r="E13791" i="1"/>
  <c r="B13791" i="1"/>
  <c r="E13792" i="1"/>
  <c r="B13792" i="1"/>
  <c r="E13793" i="1"/>
  <c r="B13793" i="1"/>
  <c r="E13794" i="1"/>
  <c r="B13794" i="1"/>
  <c r="E13795" i="1"/>
  <c r="B13795" i="1"/>
  <c r="E13796" i="1"/>
  <c r="B13796" i="1"/>
  <c r="E13797" i="1"/>
  <c r="B13797" i="1"/>
  <c r="E13798" i="1"/>
  <c r="B13798" i="1"/>
  <c r="E13799" i="1"/>
  <c r="B13799" i="1"/>
  <c r="E13800" i="1"/>
  <c r="B13800" i="1"/>
  <c r="E13801" i="1"/>
  <c r="B13801" i="1"/>
  <c r="E13802" i="1"/>
  <c r="B13802" i="1"/>
  <c r="E13803" i="1"/>
  <c r="B13803" i="1"/>
  <c r="E13804" i="1"/>
  <c r="B13804" i="1"/>
  <c r="E13805" i="1"/>
  <c r="B13805" i="1"/>
  <c r="E13806" i="1"/>
  <c r="B13806" i="1"/>
  <c r="E13807" i="1"/>
  <c r="B13807" i="1"/>
  <c r="E13808" i="1"/>
  <c r="B13808" i="1"/>
  <c r="E13809" i="1"/>
  <c r="B13809" i="1"/>
  <c r="E13810" i="1"/>
  <c r="B13810" i="1"/>
  <c r="E13811" i="1"/>
  <c r="B13811" i="1"/>
  <c r="E13812" i="1"/>
  <c r="B13812" i="1"/>
  <c r="E13813" i="1"/>
  <c r="B13813" i="1"/>
  <c r="E13814" i="1"/>
  <c r="B13814" i="1"/>
  <c r="E13815" i="1"/>
  <c r="B13815" i="1"/>
  <c r="E13816" i="1"/>
  <c r="B13816" i="1"/>
  <c r="E13817" i="1"/>
  <c r="B13817" i="1"/>
  <c r="E13818" i="1"/>
  <c r="B13818" i="1"/>
  <c r="E13819" i="1"/>
  <c r="B13819" i="1"/>
  <c r="E13820" i="1"/>
  <c r="B13820" i="1"/>
  <c r="E13821" i="1"/>
  <c r="B13821" i="1"/>
  <c r="E13822" i="1"/>
  <c r="B13822" i="1"/>
  <c r="E13823" i="1"/>
  <c r="B13823" i="1"/>
  <c r="E13824" i="1"/>
  <c r="B13824" i="1"/>
  <c r="E13825" i="1"/>
  <c r="B13825" i="1"/>
  <c r="E13826" i="1"/>
  <c r="B13826" i="1"/>
  <c r="E13827" i="1"/>
  <c r="B13827" i="1"/>
  <c r="E13828" i="1"/>
  <c r="B13828" i="1"/>
  <c r="E13829" i="1"/>
  <c r="B13829" i="1"/>
  <c r="E13830" i="1"/>
  <c r="B13830" i="1"/>
  <c r="E13831" i="1"/>
  <c r="B13831" i="1"/>
  <c r="E13832" i="1"/>
  <c r="B13832" i="1"/>
  <c r="E13834" i="1"/>
  <c r="B13834" i="1"/>
  <c r="E13833" i="1"/>
  <c r="B13833" i="1"/>
  <c r="E13835" i="1"/>
  <c r="B13835" i="1"/>
  <c r="E13836" i="1"/>
  <c r="B13836" i="1"/>
  <c r="E13837" i="1"/>
  <c r="B13837" i="1"/>
  <c r="E13838" i="1"/>
  <c r="B13838" i="1"/>
  <c r="E13839" i="1"/>
  <c r="B13839" i="1"/>
  <c r="E13840" i="1"/>
  <c r="B13840" i="1"/>
  <c r="E13841" i="1"/>
  <c r="B13841" i="1"/>
  <c r="E13842" i="1"/>
  <c r="B13842" i="1"/>
  <c r="E13843" i="1"/>
  <c r="B13843" i="1"/>
  <c r="E13844" i="1"/>
  <c r="B13844" i="1"/>
  <c r="E13845" i="1"/>
  <c r="B13845" i="1"/>
  <c r="E13846" i="1"/>
  <c r="B13846" i="1"/>
  <c r="E13847" i="1"/>
  <c r="B13847" i="1"/>
  <c r="E13848" i="1"/>
  <c r="B13848" i="1"/>
  <c r="E13849" i="1"/>
  <c r="B13849" i="1"/>
  <c r="E13850" i="1"/>
  <c r="B13850" i="1"/>
  <c r="E13851" i="1"/>
  <c r="B13851" i="1"/>
  <c r="E13852" i="1"/>
  <c r="B13852" i="1"/>
  <c r="E13853" i="1"/>
  <c r="B13853" i="1"/>
  <c r="E13854" i="1"/>
  <c r="B13854" i="1"/>
  <c r="E13855" i="1"/>
  <c r="B13855" i="1"/>
  <c r="E13856" i="1"/>
  <c r="B13856" i="1"/>
  <c r="E13857" i="1"/>
  <c r="B13857" i="1"/>
  <c r="E13858" i="1"/>
  <c r="B13858" i="1"/>
  <c r="E13859" i="1"/>
  <c r="B13859" i="1"/>
  <c r="E13860" i="1"/>
  <c r="B13860" i="1"/>
  <c r="E13861" i="1"/>
  <c r="B13861" i="1"/>
  <c r="E13862" i="1"/>
  <c r="B13862" i="1"/>
  <c r="E13863" i="1"/>
  <c r="B13863" i="1"/>
  <c r="E13864" i="1"/>
  <c r="B13864" i="1"/>
  <c r="E13865" i="1"/>
  <c r="B13865" i="1"/>
  <c r="E13866" i="1"/>
  <c r="B13866" i="1"/>
  <c r="E13867" i="1"/>
  <c r="B13867" i="1"/>
  <c r="E13868" i="1"/>
  <c r="B13868" i="1"/>
  <c r="E13869" i="1"/>
  <c r="B13869" i="1"/>
  <c r="E13870" i="1"/>
  <c r="B13870" i="1"/>
  <c r="E13871" i="1"/>
  <c r="B13871" i="1"/>
  <c r="E13872" i="1"/>
  <c r="B13872" i="1"/>
  <c r="E13873" i="1"/>
  <c r="B13873" i="1"/>
  <c r="E13874" i="1"/>
  <c r="B13874" i="1"/>
  <c r="E13875" i="1"/>
  <c r="B13875" i="1"/>
  <c r="E13876" i="1"/>
  <c r="B13876" i="1"/>
  <c r="E13877" i="1"/>
  <c r="B13877" i="1"/>
  <c r="E13878" i="1"/>
  <c r="B13878" i="1"/>
  <c r="E13879" i="1"/>
  <c r="B13879" i="1"/>
  <c r="E13880" i="1"/>
  <c r="B13880" i="1"/>
  <c r="E13881" i="1"/>
  <c r="B13881" i="1"/>
  <c r="E13882" i="1"/>
  <c r="B13882" i="1"/>
  <c r="E13883" i="1"/>
  <c r="B13883" i="1"/>
  <c r="E13884" i="1"/>
  <c r="B13884" i="1"/>
  <c r="E13885" i="1"/>
  <c r="B13885" i="1"/>
  <c r="E13886" i="1"/>
  <c r="B13886" i="1"/>
  <c r="E13887" i="1"/>
  <c r="B13887" i="1"/>
  <c r="E13888" i="1"/>
  <c r="B13888" i="1"/>
  <c r="E13889" i="1"/>
  <c r="B13889" i="1"/>
  <c r="E13890" i="1"/>
  <c r="B13890" i="1"/>
  <c r="E13891" i="1"/>
  <c r="B13891" i="1"/>
  <c r="E13892" i="1"/>
  <c r="B13892" i="1"/>
  <c r="E13893" i="1"/>
  <c r="B13893" i="1"/>
  <c r="E13894" i="1"/>
  <c r="B13894" i="1"/>
  <c r="E13895" i="1"/>
  <c r="B13895" i="1"/>
  <c r="E13896" i="1"/>
  <c r="B13896" i="1"/>
  <c r="E13897" i="1"/>
  <c r="B13897" i="1"/>
  <c r="E13898" i="1"/>
  <c r="B13898" i="1"/>
  <c r="E13899" i="1"/>
  <c r="B13899" i="1"/>
  <c r="E13900" i="1"/>
  <c r="B13900" i="1"/>
  <c r="E13901" i="1"/>
  <c r="B13901" i="1"/>
  <c r="E13902" i="1"/>
  <c r="B13902" i="1"/>
  <c r="E13903" i="1"/>
  <c r="B13903" i="1"/>
  <c r="E13904" i="1"/>
  <c r="B13904" i="1"/>
  <c r="E13905" i="1"/>
  <c r="B13905" i="1"/>
  <c r="E13906" i="1"/>
  <c r="B13906" i="1"/>
  <c r="E13907" i="1"/>
  <c r="B13907" i="1"/>
  <c r="E13908" i="1"/>
  <c r="B13908" i="1"/>
  <c r="E13909" i="1"/>
  <c r="B13909" i="1"/>
  <c r="E13910" i="1"/>
  <c r="B13910" i="1"/>
  <c r="E13911" i="1"/>
  <c r="B13911" i="1"/>
  <c r="E13912" i="1"/>
  <c r="B13912" i="1"/>
  <c r="E13913" i="1"/>
  <c r="B13913" i="1"/>
  <c r="E13914" i="1"/>
  <c r="B13914" i="1"/>
  <c r="E13915" i="1"/>
  <c r="B13915" i="1"/>
  <c r="E13916" i="1"/>
  <c r="B13916" i="1"/>
  <c r="E13917" i="1"/>
  <c r="B13917" i="1"/>
  <c r="E13918" i="1"/>
  <c r="B13918" i="1"/>
  <c r="E13919" i="1"/>
  <c r="B13919" i="1"/>
  <c r="E13920" i="1"/>
  <c r="B13920" i="1"/>
  <c r="E13921" i="1"/>
  <c r="B13921" i="1"/>
  <c r="E13922" i="1"/>
  <c r="B13922" i="1"/>
  <c r="E13923" i="1"/>
  <c r="B13923" i="1"/>
  <c r="E13924" i="1"/>
  <c r="B13924" i="1"/>
  <c r="E13925" i="1"/>
  <c r="B13925" i="1"/>
  <c r="E13926" i="1"/>
  <c r="B13926" i="1"/>
  <c r="E13927" i="1"/>
  <c r="B13927" i="1"/>
  <c r="E13928" i="1"/>
  <c r="B13928" i="1"/>
  <c r="E13929" i="1"/>
  <c r="B13929" i="1"/>
  <c r="E13930" i="1"/>
  <c r="B13930" i="1"/>
  <c r="E13931" i="1"/>
  <c r="B13931" i="1"/>
  <c r="E13932" i="1"/>
  <c r="B13932" i="1"/>
  <c r="E13933" i="1"/>
  <c r="B13933" i="1"/>
  <c r="E13934" i="1"/>
  <c r="B13934" i="1"/>
  <c r="E13935" i="1"/>
  <c r="B13935" i="1"/>
  <c r="E13936" i="1"/>
  <c r="B13936" i="1"/>
  <c r="E13937" i="1"/>
  <c r="B13937" i="1"/>
  <c r="E13938" i="1"/>
  <c r="B13938" i="1"/>
  <c r="E13939" i="1"/>
  <c r="B13939" i="1"/>
  <c r="E13940" i="1"/>
  <c r="B13940" i="1"/>
  <c r="E13941" i="1"/>
  <c r="B13941" i="1"/>
  <c r="E13942" i="1"/>
  <c r="B13942" i="1"/>
  <c r="E13943" i="1"/>
  <c r="B13943" i="1"/>
  <c r="E13944" i="1"/>
  <c r="B13944" i="1"/>
  <c r="E13945" i="1"/>
  <c r="B13945" i="1"/>
  <c r="E13946" i="1"/>
  <c r="B13946" i="1"/>
  <c r="E13947" i="1"/>
  <c r="B13947" i="1"/>
  <c r="E13948" i="1"/>
  <c r="B13948" i="1"/>
  <c r="E13949" i="1"/>
  <c r="B13949" i="1"/>
  <c r="E13950" i="1"/>
  <c r="B13950" i="1"/>
  <c r="E13951" i="1"/>
  <c r="B13951" i="1"/>
  <c r="E13952" i="1"/>
  <c r="B13952" i="1"/>
  <c r="E13953" i="1"/>
  <c r="B13953" i="1"/>
  <c r="E13954" i="1"/>
  <c r="B13954" i="1"/>
  <c r="E13955" i="1"/>
  <c r="B13955" i="1"/>
  <c r="E13956" i="1"/>
  <c r="B13956" i="1"/>
  <c r="E13957" i="1"/>
  <c r="B13957" i="1"/>
  <c r="E13958" i="1"/>
  <c r="B13958" i="1"/>
  <c r="E13959" i="1"/>
  <c r="B13959" i="1"/>
  <c r="E13960" i="1"/>
  <c r="B13960" i="1"/>
  <c r="E13961" i="1"/>
  <c r="B13961" i="1"/>
  <c r="E13962" i="1"/>
  <c r="B13962" i="1"/>
  <c r="E13963" i="1"/>
  <c r="B13963" i="1"/>
  <c r="E13964" i="1"/>
  <c r="B13964" i="1"/>
  <c r="E13965" i="1"/>
  <c r="B13965" i="1"/>
  <c r="E13966" i="1"/>
  <c r="B13966" i="1"/>
  <c r="E13967" i="1"/>
  <c r="B13967" i="1"/>
  <c r="E13968" i="1"/>
  <c r="B13968" i="1"/>
  <c r="E13969" i="1"/>
  <c r="B13969" i="1"/>
  <c r="E13970" i="1"/>
  <c r="B13970" i="1"/>
  <c r="E13972" i="1"/>
  <c r="B13972" i="1"/>
  <c r="E13971" i="1"/>
  <c r="B13971" i="1"/>
  <c r="E13973" i="1"/>
  <c r="B13973" i="1"/>
  <c r="E13974" i="1"/>
  <c r="B13974" i="1"/>
  <c r="E13975" i="1"/>
  <c r="B13975" i="1"/>
  <c r="E13976" i="1"/>
  <c r="B13976" i="1"/>
  <c r="E13978" i="1"/>
  <c r="B13978" i="1"/>
  <c r="E13977" i="1"/>
  <c r="B13977" i="1"/>
  <c r="E13979" i="1"/>
  <c r="B13979" i="1"/>
  <c r="E13980" i="1"/>
  <c r="B13980" i="1"/>
  <c r="E13981" i="1"/>
  <c r="B13981" i="1"/>
  <c r="E13982" i="1"/>
  <c r="B13982" i="1"/>
  <c r="E13983" i="1"/>
  <c r="B13983" i="1"/>
  <c r="E13984" i="1"/>
  <c r="B13984" i="1"/>
  <c r="E13985" i="1"/>
  <c r="B13985" i="1"/>
  <c r="E13986" i="1"/>
  <c r="B13986" i="1"/>
  <c r="E13987" i="1"/>
  <c r="B13987" i="1"/>
  <c r="E13988" i="1"/>
  <c r="B13988" i="1"/>
  <c r="E13989" i="1"/>
  <c r="B13989" i="1"/>
  <c r="E13990" i="1"/>
  <c r="B13990" i="1"/>
  <c r="E13991" i="1"/>
  <c r="B13991" i="1"/>
  <c r="E13992" i="1"/>
  <c r="B13992" i="1"/>
  <c r="E13993" i="1"/>
  <c r="B13993" i="1"/>
  <c r="E13994" i="1"/>
  <c r="B13994" i="1"/>
  <c r="E13995" i="1"/>
  <c r="B13995" i="1"/>
  <c r="E13996" i="1"/>
  <c r="B13996" i="1"/>
  <c r="E13997" i="1"/>
  <c r="B13997" i="1"/>
  <c r="E13998" i="1"/>
  <c r="B13998" i="1"/>
  <c r="E13999" i="1"/>
  <c r="B13999" i="1"/>
  <c r="E14000" i="1"/>
  <c r="B14000" i="1"/>
  <c r="E14001" i="1"/>
  <c r="B14001" i="1"/>
  <c r="E14002" i="1"/>
  <c r="B14002" i="1"/>
  <c r="E14003" i="1"/>
  <c r="B14003" i="1"/>
  <c r="E14004" i="1"/>
  <c r="B14004" i="1"/>
  <c r="E14005" i="1"/>
  <c r="B14005" i="1"/>
  <c r="E14006" i="1"/>
  <c r="B14006" i="1"/>
  <c r="E14007" i="1"/>
  <c r="B14007" i="1"/>
  <c r="E14008" i="1"/>
  <c r="B14008" i="1"/>
  <c r="E14009" i="1"/>
  <c r="B14009" i="1"/>
  <c r="E14010" i="1"/>
  <c r="B14010" i="1"/>
  <c r="E14011" i="1"/>
  <c r="B14011" i="1"/>
  <c r="E14012" i="1"/>
  <c r="B14012" i="1"/>
  <c r="E14013" i="1"/>
  <c r="B14013" i="1"/>
  <c r="E14014" i="1"/>
  <c r="B14014" i="1"/>
  <c r="E14015" i="1"/>
  <c r="B14015" i="1"/>
  <c r="E14016" i="1"/>
  <c r="B14016" i="1"/>
  <c r="E14017" i="1"/>
  <c r="B14017" i="1"/>
  <c r="E14018" i="1"/>
  <c r="B14018" i="1"/>
  <c r="E14019" i="1"/>
  <c r="B14019" i="1"/>
  <c r="E14020" i="1"/>
  <c r="B14020" i="1"/>
  <c r="E14021" i="1"/>
  <c r="B14021" i="1"/>
  <c r="E14022" i="1"/>
  <c r="B14022" i="1"/>
  <c r="E14023" i="1"/>
  <c r="B14023" i="1"/>
  <c r="E14024" i="1"/>
  <c r="B14024" i="1"/>
  <c r="E14025" i="1"/>
  <c r="B14025" i="1"/>
  <c r="E14027" i="1"/>
  <c r="B14027" i="1"/>
  <c r="E14026" i="1"/>
  <c r="B14026" i="1"/>
  <c r="E14028" i="1"/>
  <c r="B14028" i="1"/>
  <c r="E14029" i="1"/>
  <c r="B14029" i="1"/>
  <c r="E14030" i="1"/>
  <c r="B14030" i="1"/>
  <c r="E14031" i="1"/>
  <c r="B14031" i="1"/>
  <c r="E14032" i="1"/>
  <c r="B14032" i="1"/>
  <c r="E14033" i="1"/>
  <c r="B14033" i="1"/>
  <c r="E14034" i="1"/>
  <c r="B14034" i="1"/>
  <c r="E14035" i="1"/>
  <c r="B14035" i="1"/>
  <c r="E14036" i="1"/>
  <c r="B14036" i="1"/>
  <c r="E14037" i="1"/>
  <c r="B14037" i="1"/>
  <c r="E14038" i="1"/>
  <c r="B14038" i="1"/>
  <c r="E14039" i="1"/>
  <c r="B14039" i="1"/>
  <c r="E14041" i="1"/>
  <c r="B14041" i="1"/>
  <c r="E14040" i="1"/>
  <c r="B14040" i="1"/>
  <c r="E14042" i="1"/>
  <c r="B14042" i="1"/>
  <c r="E14043" i="1"/>
  <c r="B14043" i="1"/>
  <c r="E14044" i="1"/>
  <c r="B14044" i="1"/>
  <c r="E14045" i="1"/>
  <c r="B14045" i="1"/>
  <c r="E14046" i="1"/>
  <c r="B14046" i="1"/>
  <c r="E14047" i="1"/>
  <c r="B14047" i="1"/>
  <c r="E14048" i="1"/>
  <c r="B14048" i="1"/>
  <c r="E14049" i="1"/>
  <c r="B14049" i="1"/>
  <c r="E14050" i="1"/>
  <c r="B14050" i="1"/>
  <c r="E14051" i="1"/>
  <c r="B14051" i="1"/>
  <c r="E14052" i="1"/>
  <c r="B14052" i="1"/>
  <c r="E14053" i="1"/>
  <c r="B14053" i="1"/>
  <c r="E14054" i="1"/>
  <c r="B14054" i="1"/>
  <c r="E14055" i="1"/>
  <c r="B14055" i="1"/>
  <c r="E14056" i="1"/>
  <c r="B14056" i="1"/>
  <c r="E14057" i="1"/>
  <c r="B14057" i="1"/>
  <c r="E14058" i="1"/>
  <c r="B14058" i="1"/>
  <c r="E14059" i="1"/>
  <c r="B14059" i="1"/>
  <c r="E14060" i="1"/>
  <c r="B14060" i="1"/>
  <c r="E14061" i="1"/>
  <c r="B14061" i="1"/>
  <c r="E14062" i="1"/>
  <c r="B14062" i="1"/>
  <c r="E14063" i="1"/>
  <c r="B14063" i="1"/>
  <c r="E14064" i="1"/>
  <c r="B14064" i="1"/>
  <c r="E14065" i="1"/>
  <c r="B14065" i="1"/>
  <c r="E14067" i="1"/>
  <c r="B14067" i="1"/>
  <c r="E14066" i="1"/>
  <c r="B14066" i="1"/>
  <c r="E14068" i="1"/>
  <c r="B14068" i="1"/>
  <c r="E14069" i="1"/>
  <c r="B14069" i="1"/>
  <c r="E14070" i="1"/>
  <c r="B14070" i="1"/>
  <c r="E14071" i="1"/>
  <c r="B14071" i="1"/>
  <c r="E14072" i="1"/>
  <c r="B14072" i="1"/>
  <c r="E14073" i="1"/>
  <c r="B14073" i="1"/>
  <c r="E14074" i="1"/>
  <c r="B14074" i="1"/>
  <c r="E14075" i="1"/>
  <c r="B14075" i="1"/>
  <c r="E14076" i="1"/>
  <c r="B14076" i="1"/>
  <c r="E14077" i="1"/>
  <c r="B14077" i="1"/>
  <c r="E14078" i="1"/>
  <c r="B14078" i="1"/>
  <c r="E14079" i="1"/>
  <c r="B14079" i="1"/>
  <c r="E14080" i="1"/>
  <c r="B14080" i="1"/>
  <c r="E14081" i="1"/>
  <c r="B14081" i="1"/>
  <c r="E14082" i="1"/>
  <c r="B14082" i="1"/>
  <c r="E14083" i="1"/>
  <c r="B14083" i="1"/>
  <c r="E14084" i="1"/>
  <c r="B14084" i="1"/>
  <c r="E14085" i="1"/>
  <c r="B14085" i="1"/>
  <c r="E14086" i="1"/>
  <c r="B14086" i="1"/>
  <c r="E14087" i="1"/>
  <c r="B14087" i="1"/>
  <c r="E14088" i="1"/>
  <c r="B14088" i="1"/>
  <c r="E14089" i="1"/>
  <c r="B14089" i="1"/>
  <c r="E14090" i="1"/>
  <c r="B14090" i="1"/>
  <c r="E14091" i="1"/>
  <c r="B14091" i="1"/>
  <c r="E14092" i="1"/>
  <c r="B14092" i="1"/>
  <c r="E14093" i="1"/>
  <c r="B14093" i="1"/>
  <c r="E14094" i="1"/>
  <c r="B14094" i="1"/>
  <c r="E14095" i="1"/>
  <c r="B14095" i="1"/>
  <c r="E14097" i="1"/>
  <c r="B14097" i="1"/>
  <c r="E14096" i="1"/>
  <c r="B14096" i="1"/>
  <c r="E14098" i="1"/>
  <c r="B14098" i="1"/>
  <c r="E14099" i="1"/>
  <c r="B14099" i="1"/>
  <c r="E14100" i="1"/>
  <c r="B14100" i="1"/>
  <c r="E14101" i="1"/>
  <c r="B14101" i="1"/>
  <c r="E14102" i="1"/>
  <c r="B14102" i="1"/>
  <c r="E14103" i="1"/>
  <c r="B14103" i="1"/>
  <c r="E14104" i="1"/>
  <c r="B14104" i="1"/>
  <c r="E14105" i="1"/>
  <c r="B14105" i="1"/>
  <c r="E14106" i="1"/>
  <c r="B14106" i="1"/>
  <c r="E14107" i="1"/>
  <c r="B14107" i="1"/>
  <c r="E14108" i="1"/>
  <c r="B14108" i="1"/>
  <c r="E14109" i="1"/>
  <c r="B14109" i="1"/>
  <c r="E14110" i="1"/>
  <c r="B14110" i="1"/>
  <c r="E14111" i="1"/>
  <c r="B14111" i="1"/>
  <c r="E14112" i="1"/>
  <c r="B14112" i="1"/>
  <c r="E14113" i="1"/>
  <c r="B14113" i="1"/>
  <c r="E14114" i="1"/>
  <c r="B14114" i="1"/>
  <c r="E14115" i="1"/>
  <c r="B14115" i="1"/>
  <c r="E14116" i="1"/>
  <c r="B14116" i="1"/>
  <c r="E14117" i="1"/>
  <c r="B14117" i="1"/>
  <c r="E14118" i="1"/>
  <c r="B14118" i="1"/>
  <c r="E14119" i="1"/>
  <c r="B14119" i="1"/>
  <c r="E14120" i="1"/>
  <c r="B14120" i="1"/>
  <c r="E14121" i="1"/>
  <c r="B14121" i="1"/>
  <c r="E14122" i="1"/>
  <c r="B14122" i="1"/>
  <c r="E14123" i="1"/>
  <c r="B14123" i="1"/>
  <c r="E14124" i="1"/>
  <c r="B14124" i="1"/>
  <c r="E14125" i="1"/>
  <c r="B14125" i="1"/>
  <c r="E14126" i="1"/>
  <c r="B14126" i="1"/>
  <c r="E14127" i="1"/>
  <c r="B14127" i="1"/>
  <c r="E14129" i="1"/>
  <c r="B14129" i="1"/>
  <c r="E14128" i="1"/>
  <c r="B14128" i="1"/>
  <c r="E14130" i="1"/>
  <c r="B14130" i="1"/>
  <c r="E14131" i="1"/>
  <c r="B14131" i="1"/>
  <c r="E14133" i="1"/>
  <c r="B14133" i="1"/>
  <c r="E14132" i="1"/>
  <c r="B14132" i="1"/>
  <c r="E14134" i="1"/>
  <c r="B14134" i="1"/>
  <c r="E14135" i="1"/>
  <c r="B14135" i="1"/>
  <c r="E14136" i="1"/>
  <c r="B14136" i="1"/>
  <c r="E14137" i="1"/>
  <c r="B14137" i="1"/>
  <c r="E14138" i="1"/>
  <c r="B14138" i="1"/>
  <c r="E14139" i="1"/>
  <c r="B14139" i="1"/>
  <c r="E14140" i="1"/>
  <c r="B14140" i="1"/>
  <c r="E14141" i="1"/>
  <c r="B14141" i="1"/>
  <c r="E14142" i="1"/>
  <c r="B14142" i="1"/>
  <c r="E14143" i="1"/>
  <c r="B14143" i="1"/>
  <c r="E14144" i="1"/>
  <c r="B14144" i="1"/>
  <c r="E14145" i="1"/>
  <c r="B14145" i="1"/>
  <c r="E14146" i="1"/>
  <c r="B14146" i="1"/>
  <c r="E14147" i="1"/>
  <c r="B14147" i="1"/>
  <c r="E14148" i="1"/>
  <c r="B14148" i="1"/>
  <c r="E14149" i="1"/>
  <c r="B14149" i="1"/>
  <c r="E14150" i="1"/>
  <c r="B14150" i="1"/>
  <c r="E14151" i="1"/>
  <c r="B14151" i="1"/>
  <c r="E14152" i="1"/>
  <c r="B14152" i="1"/>
  <c r="E14153" i="1"/>
  <c r="B14153" i="1"/>
  <c r="E14154" i="1"/>
  <c r="B14154" i="1"/>
  <c r="E14155" i="1"/>
  <c r="B14155" i="1"/>
  <c r="E14156" i="1"/>
  <c r="B14156" i="1"/>
  <c r="E14157" i="1"/>
  <c r="B14157" i="1"/>
  <c r="E14158" i="1"/>
  <c r="B14158" i="1"/>
  <c r="E14159" i="1"/>
  <c r="B14159" i="1"/>
  <c r="E14160" i="1"/>
  <c r="B14160" i="1"/>
  <c r="E14161" i="1"/>
  <c r="B14161" i="1"/>
  <c r="E14162" i="1"/>
  <c r="B14162" i="1"/>
  <c r="E14163" i="1"/>
  <c r="B14163" i="1"/>
  <c r="E14164" i="1"/>
  <c r="B14164" i="1"/>
  <c r="E14165" i="1"/>
  <c r="B14165" i="1"/>
  <c r="E14166" i="1"/>
  <c r="B14166" i="1"/>
  <c r="E14167" i="1"/>
  <c r="B14167" i="1"/>
  <c r="E14168" i="1"/>
  <c r="B14168" i="1"/>
  <c r="E14169" i="1"/>
  <c r="B14169" i="1"/>
  <c r="E14170" i="1"/>
  <c r="B14170" i="1"/>
  <c r="E14171" i="1"/>
  <c r="B14171" i="1"/>
  <c r="E14172" i="1"/>
  <c r="B14172" i="1"/>
  <c r="E14173" i="1"/>
  <c r="B14173" i="1"/>
  <c r="E14174" i="1"/>
  <c r="B14174" i="1"/>
  <c r="E14175" i="1"/>
  <c r="B14175" i="1"/>
  <c r="E14176" i="1"/>
  <c r="B14176" i="1"/>
  <c r="E14177" i="1"/>
  <c r="B14177" i="1"/>
  <c r="E14178" i="1"/>
  <c r="B14178" i="1"/>
  <c r="E14179" i="1"/>
  <c r="B14179" i="1"/>
  <c r="E14180" i="1"/>
  <c r="B14180" i="1"/>
  <c r="E14181" i="1"/>
  <c r="B14181" i="1"/>
  <c r="E14182" i="1"/>
  <c r="B14182" i="1"/>
  <c r="E14183" i="1"/>
  <c r="B14183" i="1"/>
  <c r="E14184" i="1"/>
  <c r="B14184" i="1"/>
  <c r="E14185" i="1"/>
  <c r="B14185" i="1"/>
  <c r="E14186" i="1"/>
  <c r="B14186" i="1"/>
  <c r="E14187" i="1"/>
  <c r="B14187" i="1"/>
  <c r="E14188" i="1"/>
  <c r="B14188" i="1"/>
  <c r="E14189" i="1"/>
  <c r="B14189" i="1"/>
  <c r="E14190" i="1"/>
  <c r="B14190" i="1"/>
  <c r="E14191" i="1"/>
  <c r="B14191" i="1"/>
  <c r="E14192" i="1"/>
  <c r="B14192" i="1"/>
  <c r="E14193" i="1"/>
  <c r="B14193" i="1"/>
  <c r="E14194" i="1"/>
  <c r="B14194" i="1"/>
  <c r="E14195" i="1"/>
  <c r="B14195" i="1"/>
  <c r="E14196" i="1"/>
  <c r="B14196" i="1"/>
  <c r="E14197" i="1"/>
  <c r="B14197" i="1"/>
  <c r="E14198" i="1"/>
  <c r="B14198" i="1"/>
  <c r="E14199" i="1"/>
  <c r="B14199" i="1"/>
  <c r="E14200" i="1"/>
  <c r="B14200" i="1"/>
  <c r="E14201" i="1"/>
  <c r="B14201" i="1"/>
  <c r="E14202" i="1"/>
  <c r="B14202" i="1"/>
  <c r="E14203" i="1"/>
  <c r="B14203" i="1"/>
  <c r="E14204" i="1"/>
  <c r="B14204" i="1"/>
  <c r="E14205" i="1"/>
  <c r="B14205" i="1"/>
  <c r="E14206" i="1"/>
  <c r="B14206" i="1"/>
  <c r="E14207" i="1"/>
  <c r="B14207" i="1"/>
  <c r="E14208" i="1"/>
  <c r="B14208" i="1"/>
  <c r="E14209" i="1"/>
  <c r="B14209" i="1"/>
  <c r="E14210" i="1"/>
  <c r="B14210" i="1"/>
  <c r="E14211" i="1"/>
  <c r="B14211" i="1"/>
  <c r="E14212" i="1"/>
  <c r="B14212" i="1"/>
  <c r="E14213" i="1"/>
  <c r="B14213" i="1"/>
  <c r="E14214" i="1"/>
  <c r="B14214" i="1"/>
  <c r="E14215" i="1"/>
  <c r="B14215" i="1"/>
  <c r="E14216" i="1"/>
  <c r="B14216" i="1"/>
  <c r="E14217" i="1"/>
  <c r="B14217" i="1"/>
  <c r="E14218" i="1"/>
  <c r="B14218" i="1"/>
  <c r="E14219" i="1"/>
  <c r="B14219" i="1"/>
  <c r="E14220" i="1"/>
  <c r="B14220" i="1"/>
  <c r="E14221" i="1"/>
  <c r="B14221" i="1"/>
  <c r="E14222" i="1"/>
  <c r="B14222" i="1"/>
  <c r="E14223" i="1"/>
  <c r="B14223" i="1"/>
  <c r="E14224" i="1"/>
  <c r="B14224" i="1"/>
  <c r="E14225" i="1"/>
  <c r="B14225" i="1"/>
  <c r="E14226" i="1"/>
  <c r="B14226" i="1"/>
  <c r="E14227" i="1"/>
  <c r="B14227" i="1"/>
  <c r="E14228" i="1"/>
  <c r="B14228" i="1"/>
  <c r="E14229" i="1"/>
  <c r="B14229" i="1"/>
  <c r="E14230" i="1"/>
  <c r="B14230" i="1"/>
  <c r="E14231" i="1"/>
  <c r="B14231" i="1"/>
  <c r="E14232" i="1"/>
  <c r="B14232" i="1"/>
  <c r="E14233" i="1"/>
  <c r="B14233" i="1"/>
  <c r="E14234" i="1"/>
  <c r="B14234" i="1"/>
  <c r="E14235" i="1"/>
  <c r="B14235" i="1"/>
  <c r="E14236" i="1"/>
  <c r="B14236" i="1"/>
  <c r="E14237" i="1"/>
  <c r="B14237" i="1"/>
  <c r="E14238" i="1"/>
  <c r="B14238" i="1"/>
  <c r="E14239" i="1"/>
  <c r="B14239" i="1"/>
  <c r="E14240" i="1"/>
  <c r="B14240" i="1"/>
  <c r="E14241" i="1"/>
  <c r="B14241" i="1"/>
  <c r="E14242" i="1"/>
  <c r="B14242" i="1"/>
  <c r="E14243" i="1"/>
  <c r="B14243" i="1"/>
  <c r="E14244" i="1"/>
  <c r="B14244" i="1"/>
  <c r="E14245" i="1"/>
  <c r="B14245" i="1"/>
  <c r="E14246" i="1"/>
  <c r="B14246" i="1"/>
  <c r="E14247" i="1"/>
  <c r="B14247" i="1"/>
  <c r="E14248" i="1"/>
  <c r="B14248" i="1"/>
  <c r="E14249" i="1"/>
  <c r="B14249" i="1"/>
  <c r="E14250" i="1"/>
  <c r="B14250" i="1"/>
  <c r="E14251" i="1"/>
  <c r="B14251" i="1"/>
  <c r="E14252" i="1"/>
  <c r="B14252" i="1"/>
  <c r="E14253" i="1"/>
  <c r="B14253" i="1"/>
  <c r="E14254" i="1"/>
  <c r="B14254" i="1"/>
  <c r="E14255" i="1"/>
  <c r="B14255" i="1"/>
  <c r="E14256" i="1"/>
  <c r="B14256" i="1"/>
  <c r="E14257" i="1"/>
  <c r="B14257" i="1"/>
  <c r="E14258" i="1"/>
  <c r="B14258" i="1"/>
  <c r="E14259" i="1"/>
  <c r="B14259" i="1"/>
  <c r="E14260" i="1"/>
  <c r="B14260" i="1"/>
  <c r="E14261" i="1"/>
  <c r="B14261" i="1"/>
  <c r="E14262" i="1"/>
  <c r="B14262" i="1"/>
  <c r="E14263" i="1"/>
  <c r="B14263" i="1"/>
  <c r="E14264" i="1"/>
  <c r="B14264" i="1"/>
  <c r="E14265" i="1"/>
  <c r="B14265" i="1"/>
  <c r="E14266" i="1"/>
  <c r="B14266" i="1"/>
  <c r="E14267" i="1"/>
  <c r="B14267" i="1"/>
  <c r="E14268" i="1"/>
  <c r="B14268" i="1"/>
  <c r="E14269" i="1"/>
  <c r="B14269" i="1"/>
  <c r="E14270" i="1"/>
  <c r="B14270" i="1"/>
  <c r="E14271" i="1"/>
  <c r="B14271" i="1"/>
  <c r="E14272" i="1"/>
  <c r="B14272" i="1"/>
  <c r="E14273" i="1"/>
  <c r="B14273" i="1"/>
  <c r="E14274" i="1"/>
  <c r="B14274" i="1"/>
  <c r="E14275" i="1"/>
  <c r="B14275" i="1"/>
  <c r="E14276" i="1"/>
  <c r="B14276" i="1"/>
  <c r="E14277" i="1"/>
  <c r="B14277" i="1"/>
  <c r="E14278" i="1"/>
  <c r="B14278" i="1"/>
  <c r="E14279" i="1"/>
  <c r="B14279" i="1"/>
  <c r="E14280" i="1"/>
  <c r="B14280" i="1"/>
  <c r="E14281" i="1"/>
  <c r="B14281" i="1"/>
  <c r="E14282" i="1"/>
  <c r="B14282" i="1"/>
  <c r="E14283" i="1"/>
  <c r="B14283" i="1"/>
  <c r="E14284" i="1"/>
  <c r="B14284" i="1"/>
  <c r="E14285" i="1"/>
  <c r="B14285" i="1"/>
  <c r="E14286" i="1"/>
  <c r="B14286" i="1"/>
  <c r="E14287" i="1"/>
  <c r="B14287" i="1"/>
  <c r="E14288" i="1"/>
  <c r="B14288" i="1"/>
  <c r="E14289" i="1"/>
  <c r="B14289" i="1"/>
  <c r="E14290" i="1"/>
  <c r="B14290" i="1"/>
  <c r="E14291" i="1"/>
  <c r="B14291" i="1"/>
  <c r="E14292" i="1"/>
  <c r="B14292" i="1"/>
  <c r="E14293" i="1"/>
  <c r="B14293" i="1"/>
  <c r="E14294" i="1"/>
  <c r="B14294" i="1"/>
  <c r="E14295" i="1"/>
  <c r="B14295" i="1"/>
  <c r="E14296" i="1"/>
  <c r="B14296" i="1"/>
  <c r="E14297" i="1"/>
  <c r="B14297" i="1"/>
  <c r="E14298" i="1"/>
  <c r="B14298" i="1"/>
  <c r="E14299" i="1"/>
  <c r="B14299" i="1"/>
  <c r="E14300" i="1"/>
  <c r="B14300" i="1"/>
  <c r="E14301" i="1"/>
  <c r="B14301" i="1"/>
  <c r="E14302" i="1"/>
  <c r="B14302" i="1"/>
  <c r="E14303" i="1"/>
  <c r="B14303" i="1"/>
  <c r="E14304" i="1"/>
  <c r="B14304" i="1"/>
  <c r="E14305" i="1"/>
  <c r="B14305" i="1"/>
  <c r="E14306" i="1"/>
  <c r="B14306" i="1"/>
  <c r="E14307" i="1"/>
  <c r="B14307" i="1"/>
  <c r="E14308" i="1"/>
  <c r="B14308" i="1"/>
  <c r="E14309" i="1"/>
  <c r="B14309" i="1"/>
  <c r="E14310" i="1"/>
  <c r="B14310" i="1"/>
  <c r="E14311" i="1"/>
  <c r="B14311" i="1"/>
  <c r="E14312" i="1"/>
  <c r="B14312" i="1"/>
  <c r="E14313" i="1"/>
  <c r="B14313" i="1"/>
  <c r="E14314" i="1"/>
  <c r="B14314" i="1"/>
  <c r="E14315" i="1"/>
  <c r="B14315" i="1"/>
  <c r="E14316" i="1"/>
  <c r="B14316" i="1"/>
  <c r="E14317" i="1"/>
  <c r="B14317" i="1"/>
  <c r="E14318" i="1"/>
  <c r="B14318" i="1"/>
  <c r="E14319" i="1"/>
  <c r="B14319" i="1"/>
  <c r="E14320" i="1"/>
  <c r="B14320" i="1"/>
  <c r="E14321" i="1"/>
  <c r="B14321" i="1"/>
  <c r="E14322" i="1"/>
  <c r="B14322" i="1"/>
  <c r="E14323" i="1"/>
  <c r="B14323" i="1"/>
  <c r="E14324" i="1"/>
  <c r="B14324" i="1"/>
  <c r="E14325" i="1"/>
  <c r="B14325" i="1"/>
  <c r="E14326" i="1"/>
  <c r="B14326" i="1"/>
  <c r="E14327" i="1"/>
  <c r="B14327" i="1"/>
  <c r="E14328" i="1"/>
  <c r="B14328" i="1"/>
  <c r="E14329" i="1"/>
  <c r="B14329" i="1"/>
  <c r="E14330" i="1"/>
  <c r="B14330" i="1"/>
  <c r="E14331" i="1"/>
  <c r="B14331" i="1"/>
  <c r="E14332" i="1"/>
  <c r="B14332" i="1"/>
  <c r="E14333" i="1"/>
  <c r="B14333" i="1"/>
  <c r="E14334" i="1"/>
  <c r="B14334" i="1"/>
  <c r="E14335" i="1"/>
  <c r="B14335" i="1"/>
  <c r="E14336" i="1"/>
  <c r="B14336" i="1"/>
  <c r="E14337" i="1"/>
  <c r="B14337" i="1"/>
  <c r="E14338" i="1"/>
  <c r="B14338" i="1"/>
  <c r="E14339" i="1"/>
  <c r="B14339" i="1"/>
  <c r="E14340" i="1"/>
  <c r="B14340" i="1"/>
  <c r="E14341" i="1"/>
  <c r="B14341" i="1"/>
  <c r="E14342" i="1"/>
  <c r="B14342" i="1"/>
  <c r="E14343" i="1"/>
  <c r="B14343" i="1"/>
  <c r="E14344" i="1"/>
  <c r="B14344" i="1"/>
  <c r="E14345" i="1"/>
  <c r="B14345" i="1"/>
  <c r="E14346" i="1"/>
  <c r="B14346" i="1"/>
  <c r="E14347" i="1"/>
  <c r="B14347" i="1"/>
  <c r="E14348" i="1"/>
  <c r="B14348" i="1"/>
  <c r="E14349" i="1"/>
  <c r="B14349" i="1"/>
  <c r="E14350" i="1"/>
  <c r="B14350" i="1"/>
  <c r="E14351" i="1"/>
  <c r="B14351" i="1"/>
  <c r="E14352" i="1"/>
  <c r="B14352" i="1"/>
  <c r="E14353" i="1"/>
  <c r="B14353" i="1"/>
  <c r="E14354" i="1"/>
  <c r="B14354" i="1"/>
  <c r="E14355" i="1"/>
  <c r="B14355" i="1"/>
  <c r="E14356" i="1"/>
  <c r="B14356" i="1"/>
  <c r="E14357" i="1"/>
  <c r="B14357" i="1"/>
  <c r="E14358" i="1"/>
  <c r="B14358" i="1"/>
  <c r="E14359" i="1"/>
  <c r="B14359" i="1"/>
  <c r="E14360" i="1"/>
  <c r="B14360" i="1"/>
  <c r="E14361" i="1"/>
  <c r="B14361" i="1"/>
  <c r="E14362" i="1"/>
  <c r="B14362" i="1"/>
  <c r="E14363" i="1"/>
  <c r="B14363" i="1"/>
  <c r="E14364" i="1"/>
  <c r="B14364" i="1"/>
  <c r="E14365" i="1"/>
  <c r="B14365" i="1"/>
  <c r="E14366" i="1"/>
  <c r="B14366" i="1"/>
  <c r="E14367" i="1"/>
  <c r="B14367" i="1"/>
  <c r="E14368" i="1"/>
  <c r="B14368" i="1"/>
  <c r="E14369" i="1"/>
  <c r="B14369" i="1"/>
  <c r="E14370" i="1"/>
  <c r="B14370" i="1"/>
  <c r="E14371" i="1"/>
  <c r="B14371" i="1"/>
  <c r="E14372" i="1"/>
  <c r="B14372" i="1"/>
  <c r="E14373" i="1"/>
  <c r="B14373" i="1"/>
  <c r="E14374" i="1"/>
  <c r="B14374" i="1"/>
  <c r="E14375" i="1"/>
  <c r="B14375" i="1"/>
  <c r="E14376" i="1"/>
  <c r="B14376" i="1"/>
  <c r="E14377" i="1"/>
  <c r="B14377" i="1"/>
  <c r="E14378" i="1"/>
  <c r="B14378" i="1"/>
  <c r="E14379" i="1"/>
  <c r="B14379" i="1"/>
  <c r="E14380" i="1"/>
  <c r="B14380" i="1"/>
  <c r="E14381" i="1"/>
  <c r="B14381" i="1"/>
  <c r="E14382" i="1"/>
  <c r="B14382" i="1"/>
  <c r="E14383" i="1"/>
  <c r="B14383" i="1"/>
  <c r="E14384" i="1"/>
  <c r="B14384" i="1"/>
  <c r="E14385" i="1"/>
  <c r="B14385" i="1"/>
  <c r="E14386" i="1"/>
  <c r="B14386" i="1"/>
  <c r="E14387" i="1"/>
  <c r="B14387" i="1"/>
  <c r="E14388" i="1"/>
  <c r="B14388" i="1"/>
  <c r="E14389" i="1"/>
  <c r="B14389" i="1"/>
  <c r="E14390" i="1"/>
  <c r="B14390" i="1"/>
  <c r="E14391" i="1"/>
  <c r="B14391" i="1"/>
  <c r="E14392" i="1"/>
  <c r="B14392" i="1"/>
  <c r="E14393" i="1"/>
  <c r="B14393" i="1"/>
  <c r="E14394" i="1"/>
  <c r="B14394" i="1"/>
  <c r="E14395" i="1"/>
  <c r="B14395" i="1"/>
  <c r="E14396" i="1"/>
  <c r="B14396" i="1"/>
  <c r="E14397" i="1"/>
  <c r="B14397" i="1"/>
  <c r="E14398" i="1"/>
  <c r="B14398" i="1"/>
  <c r="E14399" i="1"/>
  <c r="B14399" i="1"/>
  <c r="E14400" i="1"/>
  <c r="B14400" i="1"/>
  <c r="E14401" i="1"/>
  <c r="B14401" i="1"/>
  <c r="E14402" i="1"/>
  <c r="B14402" i="1"/>
  <c r="E14403" i="1"/>
  <c r="B14403" i="1"/>
  <c r="E14404" i="1"/>
  <c r="B14404" i="1"/>
  <c r="E14405" i="1"/>
  <c r="B14405" i="1"/>
  <c r="E14406" i="1"/>
  <c r="B14406" i="1"/>
  <c r="E14407" i="1"/>
  <c r="B14407" i="1"/>
  <c r="E14408" i="1"/>
  <c r="B14408" i="1"/>
  <c r="E14409" i="1"/>
  <c r="B14409" i="1"/>
  <c r="E14410" i="1"/>
  <c r="B14410" i="1"/>
  <c r="E14411" i="1"/>
  <c r="B14411" i="1"/>
  <c r="E14412" i="1"/>
  <c r="B14412" i="1"/>
  <c r="E14413" i="1"/>
  <c r="B14413" i="1"/>
  <c r="E14414" i="1"/>
  <c r="B14414" i="1"/>
  <c r="E14415" i="1"/>
  <c r="B14415" i="1"/>
  <c r="E14416" i="1"/>
  <c r="B14416" i="1"/>
  <c r="E14417" i="1"/>
  <c r="B14417" i="1"/>
  <c r="E14418" i="1"/>
  <c r="B14418" i="1"/>
  <c r="E14419" i="1"/>
  <c r="B14419" i="1"/>
  <c r="E14420" i="1"/>
  <c r="B14420" i="1"/>
  <c r="E14421" i="1"/>
  <c r="B14421" i="1"/>
  <c r="E14422" i="1"/>
  <c r="B14422" i="1"/>
  <c r="E14423" i="1"/>
  <c r="B14423" i="1"/>
  <c r="E14424" i="1"/>
  <c r="B14424" i="1"/>
  <c r="E14425" i="1"/>
  <c r="B14425" i="1"/>
  <c r="E14426" i="1"/>
  <c r="B14426" i="1"/>
  <c r="E14427" i="1"/>
  <c r="B14427" i="1"/>
  <c r="E14428" i="1"/>
  <c r="B14428" i="1"/>
  <c r="E14429" i="1"/>
  <c r="B14429" i="1"/>
  <c r="E14430" i="1"/>
  <c r="B14430" i="1"/>
  <c r="E14431" i="1"/>
  <c r="B14431" i="1"/>
  <c r="E14432" i="1"/>
  <c r="B14432" i="1"/>
  <c r="E14433" i="1"/>
  <c r="B14433" i="1"/>
  <c r="E14434" i="1"/>
  <c r="B14434" i="1"/>
  <c r="E14435" i="1"/>
  <c r="B14435" i="1"/>
  <c r="E14436" i="1"/>
  <c r="B14436" i="1"/>
  <c r="E14437" i="1"/>
  <c r="B14437" i="1"/>
  <c r="E14438" i="1"/>
  <c r="B14438" i="1"/>
  <c r="E14439" i="1"/>
  <c r="B14439" i="1"/>
  <c r="E14440" i="1"/>
  <c r="B14440" i="1"/>
  <c r="E14441" i="1"/>
  <c r="B14441" i="1"/>
  <c r="E14442" i="1"/>
  <c r="B14442" i="1"/>
  <c r="E14443" i="1"/>
  <c r="B14443" i="1"/>
  <c r="E14444" i="1"/>
  <c r="B14444" i="1"/>
  <c r="E14445" i="1"/>
  <c r="B14445" i="1"/>
  <c r="E14446" i="1"/>
  <c r="B14446" i="1"/>
  <c r="E14448" i="1"/>
  <c r="B14448" i="1"/>
  <c r="E14447" i="1"/>
  <c r="B14447" i="1"/>
  <c r="E14449" i="1"/>
  <c r="B14449" i="1"/>
  <c r="E14450" i="1"/>
  <c r="B14450" i="1"/>
  <c r="E14451" i="1"/>
  <c r="B14451" i="1"/>
  <c r="E14452" i="1"/>
  <c r="B14452" i="1"/>
  <c r="E14453" i="1"/>
  <c r="B14453" i="1"/>
  <c r="E14454" i="1"/>
  <c r="B14454" i="1"/>
  <c r="E14455" i="1"/>
  <c r="B14455" i="1"/>
  <c r="E14456" i="1"/>
  <c r="B14456" i="1"/>
  <c r="E14457" i="1"/>
  <c r="B14457" i="1"/>
  <c r="E14458" i="1"/>
  <c r="B14458" i="1"/>
  <c r="E14459" i="1"/>
  <c r="B14459" i="1"/>
  <c r="E14460" i="1"/>
  <c r="B14460" i="1"/>
  <c r="E14461" i="1"/>
  <c r="B14461" i="1"/>
  <c r="E14462" i="1"/>
  <c r="B14462" i="1"/>
  <c r="E14463" i="1"/>
  <c r="B14463" i="1"/>
  <c r="E14464" i="1"/>
  <c r="B14464" i="1"/>
  <c r="E14465" i="1"/>
  <c r="B14465" i="1"/>
  <c r="E14466" i="1"/>
  <c r="B14466" i="1"/>
  <c r="E14467" i="1"/>
  <c r="B14467" i="1"/>
  <c r="E14468" i="1"/>
  <c r="B14468" i="1"/>
  <c r="E14469" i="1"/>
  <c r="B14469" i="1"/>
  <c r="E14470" i="1"/>
  <c r="B14470" i="1"/>
  <c r="E14471" i="1"/>
  <c r="B14471" i="1"/>
  <c r="E14472" i="1"/>
  <c r="B14472" i="1"/>
  <c r="E14473" i="1"/>
  <c r="B14473" i="1"/>
  <c r="E14474" i="1"/>
  <c r="B14474" i="1"/>
  <c r="E14475" i="1"/>
  <c r="B14475" i="1"/>
  <c r="E14476" i="1"/>
  <c r="B14476" i="1"/>
  <c r="E14477" i="1"/>
  <c r="B14477" i="1"/>
  <c r="E14478" i="1"/>
  <c r="B14478" i="1"/>
  <c r="E14479" i="1"/>
  <c r="B14479" i="1"/>
  <c r="E14480" i="1"/>
  <c r="B14480" i="1"/>
  <c r="E14481" i="1"/>
  <c r="B14481" i="1"/>
  <c r="E14482" i="1"/>
  <c r="B14482" i="1"/>
  <c r="E14483" i="1"/>
  <c r="B14483" i="1"/>
  <c r="E14484" i="1"/>
  <c r="B14484" i="1"/>
  <c r="E14485" i="1"/>
  <c r="B14485" i="1"/>
  <c r="E14486" i="1"/>
  <c r="B14486" i="1"/>
  <c r="E14487" i="1"/>
  <c r="B14487" i="1"/>
  <c r="E14488" i="1"/>
  <c r="B14488" i="1"/>
  <c r="E14489" i="1"/>
  <c r="B14489" i="1"/>
  <c r="E14490" i="1"/>
  <c r="B14490" i="1"/>
  <c r="E14491" i="1"/>
  <c r="B14491" i="1"/>
  <c r="E14492" i="1"/>
  <c r="B14492" i="1"/>
  <c r="E14493" i="1"/>
  <c r="B14493" i="1"/>
  <c r="E14494" i="1"/>
  <c r="B14494" i="1"/>
  <c r="E14495" i="1"/>
  <c r="B14495" i="1"/>
  <c r="E14496" i="1"/>
  <c r="B14496" i="1"/>
  <c r="E14497" i="1"/>
  <c r="B14497" i="1"/>
  <c r="E14498" i="1"/>
  <c r="B14498" i="1"/>
  <c r="E14499" i="1"/>
  <c r="B14499" i="1"/>
  <c r="E14500" i="1"/>
  <c r="B14500" i="1"/>
  <c r="E14501" i="1"/>
  <c r="B14501" i="1"/>
  <c r="E14502" i="1"/>
  <c r="B14502" i="1"/>
  <c r="E14503" i="1"/>
  <c r="B14503" i="1"/>
  <c r="E14504" i="1"/>
  <c r="B14504" i="1"/>
  <c r="E14505" i="1"/>
  <c r="B14505" i="1"/>
  <c r="E14506" i="1"/>
  <c r="B14506" i="1"/>
  <c r="E14507" i="1"/>
  <c r="B14507" i="1"/>
  <c r="E14508" i="1"/>
  <c r="B14508" i="1"/>
  <c r="E14509" i="1"/>
  <c r="B14509" i="1"/>
  <c r="E14510" i="1"/>
  <c r="B14510" i="1"/>
  <c r="E14511" i="1"/>
  <c r="B14511" i="1"/>
  <c r="E14512" i="1"/>
  <c r="B14512" i="1"/>
  <c r="E14513" i="1"/>
  <c r="B14513" i="1"/>
  <c r="E14514" i="1"/>
  <c r="B14514" i="1"/>
  <c r="E14515" i="1"/>
  <c r="B14515" i="1"/>
  <c r="E14516" i="1"/>
  <c r="B14516" i="1"/>
  <c r="E14517" i="1"/>
  <c r="B14517" i="1"/>
  <c r="E14518" i="1"/>
  <c r="B14518" i="1"/>
  <c r="E14519" i="1"/>
  <c r="B14519" i="1"/>
  <c r="E14520" i="1"/>
  <c r="B14520" i="1"/>
  <c r="E14521" i="1"/>
  <c r="B14521" i="1"/>
  <c r="E14522" i="1"/>
  <c r="B14522" i="1"/>
  <c r="E14523" i="1"/>
  <c r="B14523" i="1"/>
  <c r="E14524" i="1"/>
  <c r="B14524" i="1"/>
  <c r="E14525" i="1"/>
  <c r="B14525" i="1"/>
  <c r="E14526" i="1"/>
  <c r="B14526" i="1"/>
  <c r="E14527" i="1"/>
  <c r="B14527" i="1"/>
  <c r="E14528" i="1"/>
  <c r="B14528" i="1"/>
  <c r="E14529" i="1"/>
  <c r="B14529" i="1"/>
  <c r="E14530" i="1"/>
  <c r="B14530" i="1"/>
  <c r="E14531" i="1"/>
  <c r="B14531" i="1"/>
  <c r="E14532" i="1"/>
  <c r="B14532" i="1"/>
  <c r="E14534" i="1"/>
  <c r="B14534" i="1"/>
  <c r="E14533" i="1"/>
  <c r="B14533" i="1"/>
  <c r="E14535" i="1"/>
  <c r="B14535" i="1"/>
  <c r="E14536" i="1"/>
  <c r="B14536" i="1"/>
  <c r="E14537" i="1"/>
  <c r="B14537" i="1"/>
  <c r="E14538" i="1"/>
  <c r="B14538" i="1"/>
  <c r="E14539" i="1"/>
  <c r="B14539" i="1"/>
  <c r="E14540" i="1"/>
  <c r="B14540" i="1"/>
  <c r="E14542" i="1"/>
  <c r="B14542" i="1"/>
  <c r="E14541" i="1"/>
  <c r="B14541" i="1"/>
  <c r="E14543" i="1"/>
  <c r="B14543" i="1"/>
  <c r="E14544" i="1"/>
  <c r="B14544" i="1"/>
  <c r="E14545" i="1"/>
  <c r="B14545" i="1"/>
  <c r="E14546" i="1"/>
  <c r="B14546" i="1"/>
  <c r="E14547" i="1"/>
  <c r="B14547" i="1"/>
  <c r="E14548" i="1"/>
  <c r="B14548" i="1"/>
  <c r="E14550" i="1"/>
  <c r="B14550" i="1"/>
  <c r="E14549" i="1"/>
  <c r="B14549" i="1"/>
  <c r="E14551" i="1"/>
  <c r="B14551" i="1"/>
  <c r="E14552" i="1"/>
  <c r="B14552" i="1"/>
  <c r="E14553" i="1"/>
  <c r="B14553" i="1"/>
  <c r="E14554" i="1"/>
  <c r="B14554" i="1"/>
  <c r="E14555" i="1"/>
  <c r="B14555" i="1"/>
  <c r="E14556" i="1"/>
  <c r="B14556" i="1"/>
  <c r="E14557" i="1"/>
  <c r="B14557" i="1"/>
  <c r="E14558" i="1"/>
  <c r="B14558" i="1"/>
  <c r="E14559" i="1"/>
  <c r="B14559" i="1"/>
  <c r="E14560" i="1"/>
  <c r="B14560" i="1"/>
  <c r="E14561" i="1"/>
  <c r="B14561" i="1"/>
  <c r="E14562" i="1"/>
  <c r="B14562" i="1"/>
  <c r="E14563" i="1"/>
  <c r="B14563" i="1"/>
  <c r="E14564" i="1"/>
  <c r="B14564" i="1"/>
  <c r="E14565" i="1"/>
  <c r="B14565" i="1"/>
  <c r="E14566" i="1"/>
  <c r="B14566" i="1"/>
  <c r="E14567" i="1"/>
  <c r="B14567" i="1"/>
  <c r="E14568" i="1"/>
  <c r="B14568" i="1"/>
  <c r="E14569" i="1"/>
  <c r="B14569" i="1"/>
  <c r="E14570" i="1"/>
  <c r="B14570" i="1"/>
  <c r="E14571" i="1"/>
  <c r="B14571" i="1"/>
  <c r="E14572" i="1"/>
  <c r="B14572" i="1"/>
  <c r="E14573" i="1"/>
  <c r="B14573" i="1"/>
  <c r="E14574" i="1"/>
  <c r="B14574" i="1"/>
  <c r="E14575" i="1"/>
  <c r="B14575" i="1"/>
  <c r="E14576" i="1"/>
  <c r="B14576" i="1"/>
  <c r="E14577" i="1"/>
  <c r="B14577" i="1"/>
  <c r="E14578" i="1"/>
  <c r="B14578" i="1"/>
  <c r="E14579" i="1"/>
  <c r="B14579" i="1"/>
  <c r="E14580" i="1"/>
  <c r="B14580" i="1"/>
  <c r="E14581" i="1"/>
  <c r="B14581" i="1"/>
  <c r="E14582" i="1"/>
  <c r="B14582" i="1"/>
  <c r="E14583" i="1"/>
  <c r="B14583" i="1"/>
  <c r="E14585" i="1"/>
  <c r="B14585" i="1"/>
  <c r="E14584" i="1"/>
  <c r="B14584" i="1"/>
  <c r="E14586" i="1"/>
  <c r="B14586" i="1"/>
  <c r="E14587" i="1"/>
  <c r="B14587" i="1"/>
  <c r="E14588" i="1"/>
  <c r="B14588" i="1"/>
  <c r="E14589" i="1"/>
  <c r="B14589" i="1"/>
  <c r="E14590" i="1"/>
  <c r="B14590" i="1"/>
  <c r="E14591" i="1"/>
  <c r="B14591" i="1"/>
  <c r="E14592" i="1"/>
  <c r="B14592" i="1"/>
  <c r="E14593" i="1"/>
  <c r="B14593" i="1"/>
  <c r="E14594" i="1"/>
  <c r="B14594" i="1"/>
  <c r="E14595" i="1"/>
  <c r="B14595" i="1"/>
  <c r="E14596" i="1"/>
  <c r="B14596" i="1"/>
  <c r="E14597" i="1"/>
  <c r="B14597" i="1"/>
  <c r="E14598" i="1"/>
  <c r="B14598" i="1"/>
  <c r="E14599" i="1"/>
  <c r="B14599" i="1"/>
  <c r="E14600" i="1"/>
  <c r="B14600" i="1"/>
  <c r="E14601" i="1"/>
  <c r="B14601" i="1"/>
  <c r="E14602" i="1"/>
  <c r="B14602" i="1"/>
  <c r="E14603" i="1"/>
  <c r="B14603" i="1"/>
  <c r="E14604" i="1"/>
  <c r="B14604" i="1"/>
  <c r="E14605" i="1"/>
  <c r="B14605" i="1"/>
  <c r="E14606" i="1"/>
  <c r="B14606" i="1"/>
  <c r="E14607" i="1"/>
  <c r="B14607" i="1"/>
  <c r="E14608" i="1"/>
  <c r="B14608" i="1"/>
  <c r="E14609" i="1"/>
  <c r="B14609" i="1"/>
  <c r="E14610" i="1"/>
  <c r="B14610" i="1"/>
  <c r="E14611" i="1"/>
  <c r="B14611" i="1"/>
  <c r="E14612" i="1"/>
  <c r="B14612" i="1"/>
  <c r="E14613" i="1"/>
  <c r="B14613" i="1"/>
  <c r="E14614" i="1"/>
  <c r="B14614" i="1"/>
  <c r="E14615" i="1"/>
  <c r="B14615" i="1"/>
  <c r="E14616" i="1"/>
  <c r="B14616" i="1"/>
  <c r="E14617" i="1"/>
  <c r="B14617" i="1"/>
  <c r="E14618" i="1"/>
  <c r="B14618" i="1"/>
  <c r="E14619" i="1"/>
  <c r="B14619" i="1"/>
  <c r="E14620" i="1"/>
  <c r="B14620" i="1"/>
  <c r="E14621" i="1"/>
  <c r="B14621" i="1"/>
  <c r="E14622" i="1"/>
  <c r="B14622" i="1"/>
  <c r="E14623" i="1"/>
  <c r="B14623" i="1"/>
  <c r="E14624" i="1"/>
  <c r="B14624" i="1"/>
  <c r="E14625" i="1"/>
  <c r="B14625" i="1"/>
  <c r="E14626" i="1"/>
  <c r="B14626" i="1"/>
  <c r="E14627" i="1"/>
  <c r="B14627" i="1"/>
  <c r="E14628" i="1"/>
  <c r="B14628" i="1"/>
  <c r="E14629" i="1"/>
  <c r="B14629" i="1"/>
  <c r="E14630" i="1"/>
  <c r="B14630" i="1"/>
  <c r="E14631" i="1"/>
  <c r="B14631" i="1"/>
  <c r="E14632" i="1"/>
  <c r="B14632" i="1"/>
  <c r="E14633" i="1"/>
  <c r="B14633" i="1"/>
  <c r="E14634" i="1"/>
  <c r="B14634" i="1"/>
  <c r="E14635" i="1"/>
  <c r="B14635" i="1"/>
  <c r="E14636" i="1"/>
  <c r="B14636" i="1"/>
  <c r="E14637" i="1"/>
  <c r="B14637" i="1"/>
  <c r="E14638" i="1"/>
  <c r="B14638" i="1"/>
  <c r="E14639" i="1"/>
  <c r="B14639" i="1"/>
  <c r="E14641" i="1"/>
  <c r="B14641" i="1"/>
  <c r="E14640" i="1"/>
  <c r="B14640" i="1"/>
  <c r="E14642" i="1"/>
  <c r="B14642" i="1"/>
  <c r="E14643" i="1"/>
  <c r="B14643" i="1"/>
  <c r="E14644" i="1"/>
  <c r="B14644" i="1"/>
  <c r="E14645" i="1"/>
  <c r="B14645" i="1"/>
  <c r="E14646" i="1"/>
  <c r="B14646" i="1"/>
  <c r="E14647" i="1"/>
  <c r="B14647" i="1"/>
  <c r="E14648" i="1"/>
  <c r="B14648" i="1"/>
  <c r="E14649" i="1"/>
  <c r="B14649" i="1"/>
  <c r="E14650" i="1"/>
  <c r="B14650" i="1"/>
  <c r="E14651" i="1"/>
  <c r="B14651" i="1"/>
  <c r="E14652" i="1"/>
  <c r="B14652" i="1"/>
  <c r="E14653" i="1"/>
  <c r="B14653" i="1"/>
  <c r="E14654" i="1"/>
  <c r="B14654" i="1"/>
  <c r="E14655" i="1"/>
  <c r="B14655" i="1"/>
  <c r="E14656" i="1"/>
  <c r="B14656" i="1"/>
  <c r="E14657" i="1"/>
  <c r="B14657" i="1"/>
  <c r="E14658" i="1"/>
  <c r="B14658" i="1"/>
  <c r="E14660" i="1"/>
  <c r="B14660" i="1"/>
  <c r="E14659" i="1"/>
  <c r="B14659" i="1"/>
  <c r="E14661" i="1"/>
  <c r="B14661" i="1"/>
  <c r="E14662" i="1"/>
  <c r="B14662" i="1"/>
  <c r="E14663" i="1"/>
  <c r="B14663" i="1"/>
  <c r="E14664" i="1"/>
  <c r="B14664" i="1"/>
  <c r="E14665" i="1"/>
  <c r="B14665" i="1"/>
  <c r="E14666" i="1"/>
  <c r="B14666" i="1"/>
  <c r="E14667" i="1"/>
  <c r="B14667" i="1"/>
  <c r="E14668" i="1"/>
  <c r="B14668" i="1"/>
  <c r="E14669" i="1"/>
  <c r="B14669" i="1"/>
  <c r="E14670" i="1"/>
  <c r="B14670" i="1"/>
  <c r="E14671" i="1"/>
  <c r="B14671" i="1"/>
  <c r="E14672" i="1"/>
  <c r="B14672" i="1"/>
  <c r="E14673" i="1"/>
  <c r="B14673" i="1"/>
  <c r="E14674" i="1"/>
  <c r="B14674" i="1"/>
  <c r="E14675" i="1"/>
  <c r="B14675" i="1"/>
  <c r="E14676" i="1"/>
  <c r="B14676" i="1"/>
  <c r="E14677" i="1"/>
  <c r="B14677" i="1"/>
  <c r="E14678" i="1"/>
  <c r="B14678" i="1"/>
  <c r="E14679" i="1"/>
  <c r="B14679" i="1"/>
  <c r="E14680" i="1"/>
  <c r="B14680" i="1"/>
  <c r="E14681" i="1"/>
  <c r="B14681" i="1"/>
  <c r="E14682" i="1"/>
  <c r="B14682" i="1"/>
  <c r="E14683" i="1"/>
  <c r="B14683" i="1"/>
  <c r="E14684" i="1"/>
  <c r="B14684" i="1"/>
  <c r="E14685" i="1"/>
  <c r="B14685" i="1"/>
  <c r="E14686" i="1"/>
  <c r="B14686" i="1"/>
  <c r="E14687" i="1"/>
  <c r="B14687" i="1"/>
  <c r="E14688" i="1"/>
  <c r="B14688" i="1"/>
  <c r="E14689" i="1"/>
  <c r="B14689" i="1"/>
  <c r="E14690" i="1"/>
  <c r="B14690" i="1"/>
  <c r="E14691" i="1"/>
  <c r="B14691" i="1"/>
  <c r="E14692" i="1"/>
  <c r="B14692" i="1"/>
  <c r="E14693" i="1"/>
  <c r="B14693" i="1"/>
  <c r="E14694" i="1"/>
  <c r="B14694" i="1"/>
  <c r="E14695" i="1"/>
  <c r="B14695" i="1"/>
  <c r="E14696" i="1"/>
  <c r="B14696" i="1"/>
  <c r="E14697" i="1"/>
  <c r="B14697" i="1"/>
  <c r="E14698" i="1"/>
  <c r="B14698" i="1"/>
  <c r="E14699" i="1"/>
  <c r="B14699" i="1"/>
  <c r="E14700" i="1"/>
  <c r="B14700" i="1"/>
  <c r="E14701" i="1"/>
  <c r="B14701" i="1"/>
  <c r="E14702" i="1"/>
  <c r="B14702" i="1"/>
  <c r="E14703" i="1"/>
  <c r="B14703" i="1"/>
  <c r="E14704" i="1"/>
  <c r="B14704" i="1"/>
  <c r="E14705" i="1"/>
  <c r="B14705" i="1"/>
  <c r="E14706" i="1"/>
  <c r="B14706" i="1"/>
  <c r="E14707" i="1"/>
  <c r="B14707" i="1"/>
  <c r="E14708" i="1"/>
  <c r="B14708" i="1"/>
  <c r="E14709" i="1"/>
  <c r="B14709" i="1"/>
  <c r="E14710" i="1"/>
  <c r="B14710" i="1"/>
  <c r="E14711" i="1"/>
  <c r="B14711" i="1"/>
  <c r="E14712" i="1"/>
  <c r="B14712" i="1"/>
  <c r="E14713" i="1"/>
  <c r="B14713" i="1"/>
  <c r="E14714" i="1"/>
  <c r="B14714" i="1"/>
  <c r="E14715" i="1"/>
  <c r="B14715" i="1"/>
  <c r="E14716" i="1"/>
  <c r="B14716" i="1"/>
  <c r="E14718" i="1"/>
  <c r="B14718" i="1"/>
  <c r="E14717" i="1"/>
  <c r="B14717" i="1"/>
  <c r="E14719" i="1"/>
  <c r="B14719" i="1"/>
  <c r="E14721" i="1"/>
  <c r="B14721" i="1"/>
  <c r="E14720" i="1"/>
  <c r="B14720" i="1"/>
  <c r="E14722" i="1"/>
  <c r="B14722" i="1"/>
  <c r="E14723" i="1"/>
  <c r="B14723" i="1"/>
  <c r="E14724" i="1"/>
  <c r="B14724" i="1"/>
  <c r="E14725" i="1"/>
  <c r="B14725" i="1"/>
  <c r="E14726" i="1"/>
  <c r="B14726" i="1"/>
  <c r="E14727" i="1"/>
  <c r="B14727" i="1"/>
  <c r="E14728" i="1"/>
  <c r="B14728" i="1"/>
  <c r="E14729" i="1"/>
  <c r="B14729" i="1"/>
  <c r="E14730" i="1"/>
  <c r="B14730" i="1"/>
  <c r="E14731" i="1"/>
  <c r="B14731" i="1"/>
  <c r="E14732" i="1"/>
  <c r="B14732" i="1"/>
  <c r="E14733" i="1"/>
  <c r="B14733" i="1"/>
  <c r="E14734" i="1"/>
  <c r="B14734" i="1"/>
  <c r="E14735" i="1"/>
  <c r="B14735" i="1"/>
  <c r="E14736" i="1"/>
  <c r="B14736" i="1"/>
  <c r="E14737" i="1"/>
  <c r="B14737" i="1"/>
  <c r="E14739" i="1"/>
  <c r="B14739" i="1"/>
  <c r="E14738" i="1"/>
  <c r="B14738" i="1"/>
  <c r="E14740" i="1"/>
  <c r="B14740" i="1"/>
  <c r="E14741" i="1"/>
  <c r="B14741" i="1"/>
  <c r="E14742" i="1"/>
  <c r="B14742" i="1"/>
  <c r="E14743" i="1"/>
  <c r="B14743" i="1"/>
  <c r="E14744" i="1"/>
  <c r="B14744" i="1"/>
  <c r="E14745" i="1"/>
  <c r="B14745" i="1"/>
  <c r="E14746" i="1"/>
  <c r="B14746" i="1"/>
  <c r="E14747" i="1"/>
  <c r="B14747" i="1"/>
  <c r="E14748" i="1"/>
  <c r="B14748" i="1"/>
  <c r="E14749" i="1"/>
  <c r="B14749" i="1"/>
  <c r="E14750" i="1"/>
  <c r="B14750" i="1"/>
  <c r="E14751" i="1"/>
  <c r="B14751" i="1"/>
  <c r="E14752" i="1"/>
  <c r="B14752" i="1"/>
  <c r="E14753" i="1"/>
  <c r="B14753" i="1"/>
  <c r="E14754" i="1"/>
  <c r="B14754" i="1"/>
  <c r="E14755" i="1"/>
  <c r="B14755" i="1"/>
  <c r="E14756" i="1"/>
  <c r="B14756" i="1"/>
  <c r="E14757" i="1"/>
  <c r="B14757" i="1"/>
  <c r="E14758" i="1"/>
  <c r="B14758" i="1"/>
  <c r="E14759" i="1"/>
  <c r="B14759" i="1"/>
  <c r="E14760" i="1"/>
  <c r="B14760" i="1"/>
  <c r="E14761" i="1"/>
  <c r="B14761" i="1"/>
  <c r="E14762" i="1"/>
  <c r="B14762" i="1"/>
  <c r="E14763" i="1"/>
  <c r="B14763" i="1"/>
  <c r="E14764" i="1"/>
  <c r="B14764" i="1"/>
  <c r="E14765" i="1"/>
  <c r="B14765" i="1"/>
  <c r="E14766" i="1"/>
  <c r="B14766" i="1"/>
  <c r="E14767" i="1"/>
  <c r="B14767" i="1"/>
  <c r="E14768" i="1"/>
  <c r="B14768" i="1"/>
  <c r="E14769" i="1"/>
  <c r="B14769" i="1"/>
  <c r="E14770" i="1"/>
  <c r="B14770" i="1"/>
  <c r="E14771" i="1"/>
  <c r="B14771" i="1"/>
  <c r="E14772" i="1"/>
  <c r="B14772" i="1"/>
  <c r="E14773" i="1"/>
  <c r="B14773" i="1"/>
  <c r="E14774" i="1"/>
  <c r="B14774" i="1"/>
  <c r="E14775" i="1"/>
  <c r="B14775" i="1"/>
  <c r="E14777" i="1"/>
  <c r="B14777" i="1"/>
  <c r="E14776" i="1"/>
  <c r="B14776" i="1"/>
  <c r="E14778" i="1"/>
  <c r="B14778" i="1"/>
  <c r="E14779" i="1"/>
  <c r="B14779" i="1"/>
  <c r="E14780" i="1"/>
  <c r="B14780" i="1"/>
  <c r="E14781" i="1"/>
  <c r="B14781" i="1"/>
  <c r="E14782" i="1"/>
  <c r="B14782" i="1"/>
  <c r="E14783" i="1"/>
  <c r="B14783" i="1"/>
  <c r="E14784" i="1"/>
  <c r="B14784" i="1"/>
  <c r="E14786" i="1"/>
  <c r="B14786" i="1"/>
  <c r="E14785" i="1"/>
  <c r="B14785" i="1"/>
  <c r="E14787" i="1"/>
  <c r="B14787" i="1"/>
  <c r="E14788" i="1"/>
  <c r="B14788" i="1"/>
  <c r="E14789" i="1"/>
  <c r="B14789" i="1"/>
  <c r="E14790" i="1"/>
  <c r="B14790" i="1"/>
  <c r="E14791" i="1"/>
  <c r="B14791" i="1"/>
  <c r="E14792" i="1"/>
  <c r="B14792" i="1"/>
  <c r="E14793" i="1"/>
  <c r="B14793" i="1"/>
  <c r="E14794" i="1"/>
  <c r="B14794" i="1"/>
  <c r="E14795" i="1"/>
  <c r="B14795" i="1"/>
  <c r="E14796" i="1"/>
  <c r="B14796" i="1"/>
  <c r="E14797" i="1"/>
  <c r="B14797" i="1"/>
  <c r="E14798" i="1"/>
  <c r="B14798" i="1"/>
  <c r="E14799" i="1"/>
  <c r="B14799" i="1"/>
  <c r="E14800" i="1"/>
  <c r="B14800" i="1"/>
  <c r="E14801" i="1"/>
  <c r="B14801" i="1"/>
  <c r="E14802" i="1"/>
  <c r="B14802" i="1"/>
  <c r="E14803" i="1"/>
  <c r="B14803" i="1"/>
  <c r="E14804" i="1"/>
  <c r="B14804" i="1"/>
  <c r="E14805" i="1"/>
  <c r="B14805" i="1"/>
  <c r="E14806" i="1"/>
  <c r="B14806" i="1"/>
  <c r="E14807" i="1"/>
  <c r="B14807" i="1"/>
  <c r="E14808" i="1"/>
  <c r="B14808" i="1"/>
  <c r="E14809" i="1"/>
  <c r="B14809" i="1"/>
  <c r="E14810" i="1"/>
  <c r="B14810" i="1"/>
  <c r="E14811" i="1"/>
  <c r="B14811" i="1"/>
  <c r="E14813" i="1"/>
  <c r="B14813" i="1"/>
  <c r="E14812" i="1"/>
  <c r="B14812" i="1"/>
  <c r="E14814" i="1"/>
  <c r="B14814" i="1"/>
  <c r="E14815" i="1"/>
  <c r="B14815" i="1"/>
  <c r="E14816" i="1"/>
  <c r="B14816" i="1"/>
  <c r="E14817" i="1"/>
  <c r="B14817" i="1"/>
  <c r="E14818" i="1"/>
  <c r="B14818" i="1"/>
  <c r="E14819" i="1"/>
  <c r="B14819" i="1"/>
  <c r="E14820" i="1"/>
  <c r="B14820" i="1"/>
  <c r="E14821" i="1"/>
  <c r="B14821" i="1"/>
  <c r="E14822" i="1"/>
  <c r="B14822" i="1"/>
  <c r="E14823" i="1"/>
  <c r="B14823" i="1"/>
  <c r="E14824" i="1"/>
  <c r="B14824" i="1"/>
  <c r="E14825" i="1"/>
  <c r="B14825" i="1"/>
  <c r="E14826" i="1"/>
  <c r="B14826" i="1"/>
  <c r="E14827" i="1"/>
  <c r="B14827" i="1"/>
  <c r="E14828" i="1"/>
  <c r="B14828" i="1"/>
  <c r="E14829" i="1"/>
  <c r="B14829" i="1"/>
  <c r="E14830" i="1"/>
  <c r="B14830" i="1"/>
  <c r="E14831" i="1"/>
  <c r="B14831" i="1"/>
  <c r="E14833" i="1"/>
  <c r="B14833" i="1"/>
  <c r="E14832" i="1"/>
  <c r="B14832" i="1"/>
  <c r="E14834" i="1"/>
  <c r="B14834" i="1"/>
  <c r="E14835" i="1"/>
  <c r="B14835" i="1"/>
  <c r="E14836" i="1"/>
  <c r="B14836" i="1"/>
  <c r="E14837" i="1"/>
  <c r="B14837" i="1"/>
  <c r="E14838" i="1"/>
  <c r="B14838" i="1"/>
  <c r="E14839" i="1"/>
  <c r="B14839" i="1"/>
  <c r="E14840" i="1"/>
  <c r="B14840" i="1"/>
  <c r="E14841" i="1"/>
  <c r="B14841" i="1"/>
  <c r="E14842" i="1"/>
  <c r="B14842" i="1"/>
  <c r="E14843" i="1"/>
  <c r="B14843" i="1"/>
  <c r="E14844" i="1"/>
  <c r="B14844" i="1"/>
  <c r="E14845" i="1"/>
  <c r="B14845" i="1"/>
  <c r="E14846" i="1"/>
  <c r="B14846" i="1"/>
  <c r="E14847" i="1"/>
  <c r="B14847" i="1"/>
  <c r="E14848" i="1"/>
  <c r="B14848" i="1"/>
  <c r="E14849" i="1"/>
  <c r="B14849" i="1"/>
  <c r="E14850" i="1"/>
  <c r="B14850" i="1"/>
  <c r="E14851" i="1"/>
  <c r="B14851" i="1"/>
  <c r="E14852" i="1"/>
  <c r="B14852" i="1"/>
  <c r="E14853" i="1"/>
  <c r="B14853" i="1"/>
  <c r="E14855" i="1"/>
  <c r="B14855" i="1"/>
  <c r="E14854" i="1"/>
  <c r="B14854" i="1"/>
  <c r="E14856" i="1"/>
  <c r="B14856" i="1"/>
  <c r="E14857" i="1"/>
  <c r="B14857" i="1"/>
  <c r="E14858" i="1"/>
  <c r="B14858" i="1"/>
  <c r="E14859" i="1"/>
  <c r="B14859" i="1"/>
  <c r="E14861" i="1"/>
  <c r="B14861" i="1"/>
  <c r="E14860" i="1"/>
  <c r="B14860" i="1"/>
  <c r="E14862" i="1"/>
  <c r="B14862" i="1"/>
  <c r="E14863" i="1"/>
  <c r="B14863" i="1"/>
  <c r="E14864" i="1"/>
  <c r="B14864" i="1"/>
  <c r="E14865" i="1"/>
  <c r="B14865" i="1"/>
  <c r="E14866" i="1"/>
  <c r="B14866" i="1"/>
  <c r="E14867" i="1"/>
  <c r="B14867" i="1"/>
  <c r="E14868" i="1"/>
  <c r="B14868" i="1"/>
  <c r="E14869" i="1"/>
  <c r="B14869" i="1"/>
  <c r="E14870" i="1"/>
  <c r="B14870" i="1"/>
  <c r="E14871" i="1"/>
  <c r="B14871" i="1"/>
  <c r="E14872" i="1"/>
  <c r="B14872" i="1"/>
  <c r="E14873" i="1"/>
  <c r="B14873" i="1"/>
  <c r="E14874" i="1"/>
  <c r="B14874" i="1"/>
  <c r="E14875" i="1"/>
  <c r="B14875" i="1"/>
  <c r="E14876" i="1"/>
  <c r="B14876" i="1"/>
  <c r="E14877" i="1"/>
  <c r="B14877" i="1"/>
  <c r="E14878" i="1"/>
  <c r="B14878" i="1"/>
  <c r="E14879" i="1"/>
  <c r="B14879" i="1"/>
  <c r="E14880" i="1"/>
  <c r="B14880" i="1"/>
  <c r="E14881" i="1"/>
  <c r="B14881" i="1"/>
  <c r="E14882" i="1"/>
  <c r="B14882" i="1"/>
  <c r="E14883" i="1"/>
  <c r="B14883" i="1"/>
  <c r="E14884" i="1"/>
  <c r="B14884" i="1"/>
  <c r="E14885" i="1"/>
  <c r="B14885" i="1"/>
  <c r="E14886" i="1"/>
  <c r="B14886" i="1"/>
  <c r="E14887" i="1"/>
  <c r="B14887" i="1"/>
  <c r="E14888" i="1"/>
  <c r="B14888" i="1"/>
  <c r="E14889" i="1"/>
  <c r="B14889" i="1"/>
  <c r="E14890" i="1"/>
  <c r="B14890" i="1"/>
  <c r="E14891" i="1"/>
  <c r="B14891" i="1"/>
  <c r="E14892" i="1"/>
  <c r="B14892" i="1"/>
  <c r="E14893" i="1"/>
  <c r="B14893" i="1"/>
  <c r="E14894" i="1"/>
  <c r="B14894" i="1"/>
  <c r="E14895" i="1"/>
  <c r="B14895" i="1"/>
  <c r="E14896" i="1"/>
  <c r="B14896" i="1"/>
  <c r="E14897" i="1"/>
  <c r="B14897" i="1"/>
  <c r="E14898" i="1"/>
  <c r="B14898" i="1"/>
  <c r="E14899" i="1"/>
  <c r="B14899" i="1"/>
  <c r="E14900" i="1"/>
  <c r="B14900" i="1"/>
  <c r="E14901" i="1"/>
  <c r="B14901" i="1"/>
  <c r="E14902" i="1"/>
  <c r="B14902" i="1"/>
  <c r="E14903" i="1"/>
  <c r="B14903" i="1"/>
  <c r="E14904" i="1"/>
  <c r="B14904" i="1"/>
  <c r="E14905" i="1"/>
  <c r="B14905" i="1"/>
  <c r="E14906" i="1"/>
  <c r="B14906" i="1"/>
  <c r="E14907" i="1"/>
  <c r="B14907" i="1"/>
  <c r="E14908" i="1"/>
  <c r="B14908" i="1"/>
  <c r="E14909" i="1"/>
  <c r="B14909" i="1"/>
  <c r="E14910" i="1"/>
  <c r="B14910" i="1"/>
  <c r="E14911" i="1"/>
  <c r="B14911" i="1"/>
  <c r="E14912" i="1"/>
  <c r="B14912" i="1"/>
  <c r="E14913" i="1"/>
  <c r="B14913" i="1"/>
  <c r="E14914" i="1"/>
  <c r="B14914" i="1"/>
  <c r="E14915" i="1"/>
  <c r="B14915" i="1"/>
  <c r="E14916" i="1"/>
  <c r="B14916" i="1"/>
  <c r="E14917" i="1"/>
  <c r="B14917" i="1"/>
  <c r="E14918" i="1"/>
  <c r="B14918" i="1"/>
  <c r="E14919" i="1"/>
  <c r="B14919" i="1"/>
  <c r="E14920" i="1"/>
  <c r="B14920" i="1"/>
  <c r="E14921" i="1"/>
  <c r="B14921" i="1"/>
  <c r="E14922" i="1"/>
  <c r="B14922" i="1"/>
  <c r="E14923" i="1"/>
  <c r="B14923" i="1"/>
  <c r="E14924" i="1"/>
  <c r="B14924" i="1"/>
  <c r="E14925" i="1"/>
  <c r="B14925" i="1"/>
  <c r="E14926" i="1"/>
  <c r="B14926" i="1"/>
  <c r="E14927" i="1"/>
  <c r="B14927" i="1"/>
  <c r="E14928" i="1"/>
  <c r="B14928" i="1"/>
  <c r="E14929" i="1"/>
  <c r="B14929" i="1"/>
  <c r="E14930" i="1"/>
  <c r="B14930" i="1"/>
  <c r="E14932" i="1"/>
  <c r="B14932" i="1"/>
  <c r="E14931" i="1"/>
  <c r="B14931" i="1"/>
  <c r="E14933" i="1"/>
  <c r="B14933" i="1"/>
  <c r="E14934" i="1"/>
  <c r="B14934" i="1"/>
  <c r="E14935" i="1"/>
  <c r="B14935" i="1"/>
  <c r="E14936" i="1"/>
  <c r="B14936" i="1"/>
  <c r="E14937" i="1"/>
  <c r="B14937" i="1"/>
  <c r="E14938" i="1"/>
  <c r="B14938" i="1"/>
  <c r="E14939" i="1"/>
  <c r="B14939" i="1"/>
  <c r="E14940" i="1"/>
  <c r="B14940" i="1"/>
  <c r="E14941" i="1"/>
  <c r="B14941" i="1"/>
  <c r="E14942" i="1"/>
  <c r="B14942" i="1"/>
  <c r="E14943" i="1"/>
  <c r="B14943" i="1"/>
  <c r="E14944" i="1"/>
  <c r="B14944" i="1"/>
  <c r="E14945" i="1"/>
  <c r="B14945" i="1"/>
  <c r="E14946" i="1"/>
  <c r="B14946" i="1"/>
  <c r="E14947" i="1"/>
  <c r="B14947" i="1"/>
  <c r="E14948" i="1"/>
  <c r="B14948" i="1"/>
  <c r="E14949" i="1"/>
  <c r="B14949" i="1"/>
  <c r="E14950" i="1"/>
  <c r="B14950" i="1"/>
  <c r="E14951" i="1"/>
  <c r="B14951" i="1"/>
  <c r="E14952" i="1"/>
  <c r="B14952" i="1"/>
  <c r="E14953" i="1"/>
  <c r="B14953" i="1"/>
  <c r="E14954" i="1"/>
  <c r="B14954" i="1"/>
  <c r="E14955" i="1"/>
  <c r="B14955" i="1"/>
  <c r="E14956" i="1"/>
  <c r="B14956" i="1"/>
  <c r="E14957" i="1"/>
  <c r="B14957" i="1"/>
  <c r="E14958" i="1"/>
  <c r="B14958" i="1"/>
  <c r="E14959" i="1"/>
  <c r="B14959" i="1"/>
  <c r="E14960" i="1"/>
  <c r="B14960" i="1"/>
  <c r="E14961" i="1"/>
  <c r="B14961" i="1"/>
  <c r="E14962" i="1"/>
  <c r="B14962" i="1"/>
  <c r="E14963" i="1"/>
  <c r="B14963" i="1"/>
  <c r="E14964" i="1"/>
  <c r="B14964" i="1"/>
  <c r="E14965" i="1"/>
  <c r="B14965" i="1"/>
  <c r="E14966" i="1"/>
  <c r="B14966" i="1"/>
  <c r="E14967" i="1"/>
  <c r="B14967" i="1"/>
  <c r="E14968" i="1"/>
  <c r="B14968" i="1"/>
  <c r="E14969" i="1"/>
  <c r="B14969" i="1"/>
  <c r="E14970" i="1"/>
  <c r="B14970" i="1"/>
  <c r="E14971" i="1"/>
  <c r="B14971" i="1"/>
  <c r="E14972" i="1"/>
  <c r="B14972" i="1"/>
  <c r="E14973" i="1"/>
  <c r="B14973" i="1"/>
  <c r="E14974" i="1"/>
  <c r="B14974" i="1"/>
  <c r="E14976" i="1"/>
  <c r="B14976" i="1"/>
  <c r="E14975" i="1"/>
  <c r="B14975" i="1"/>
  <c r="E14977" i="1"/>
  <c r="B14977" i="1"/>
  <c r="E14978" i="1"/>
  <c r="B14978" i="1"/>
  <c r="E14979" i="1"/>
  <c r="B14979" i="1"/>
  <c r="E14980" i="1"/>
  <c r="B14980" i="1"/>
  <c r="E14981" i="1"/>
  <c r="B14981" i="1"/>
  <c r="E14982" i="1"/>
  <c r="B14982" i="1"/>
  <c r="E14983" i="1"/>
  <c r="B14983" i="1"/>
  <c r="E14984" i="1"/>
  <c r="B14984" i="1"/>
  <c r="E14985" i="1"/>
  <c r="B14985" i="1"/>
  <c r="E14986" i="1"/>
  <c r="B14986" i="1"/>
  <c r="E14987" i="1"/>
  <c r="B14987" i="1"/>
  <c r="E14989" i="1"/>
  <c r="B14989" i="1"/>
  <c r="E14988" i="1"/>
  <c r="B14988" i="1"/>
  <c r="E14990" i="1"/>
  <c r="B14990" i="1"/>
  <c r="E14991" i="1"/>
  <c r="B14991" i="1"/>
  <c r="E14992" i="1"/>
  <c r="B14992" i="1"/>
  <c r="E14993" i="1"/>
  <c r="B14993" i="1"/>
  <c r="E14994" i="1"/>
  <c r="B14994" i="1"/>
  <c r="E14995" i="1"/>
  <c r="B14995" i="1"/>
  <c r="E14996" i="1"/>
  <c r="B14996" i="1"/>
  <c r="E14997" i="1"/>
  <c r="B14997" i="1"/>
  <c r="E14998" i="1"/>
  <c r="B14998" i="1"/>
  <c r="E14999" i="1"/>
  <c r="B14999" i="1"/>
  <c r="E15000" i="1"/>
  <c r="B15000" i="1"/>
  <c r="E15001" i="1"/>
  <c r="B15001" i="1"/>
  <c r="E15002" i="1"/>
  <c r="B15002" i="1"/>
  <c r="E15003" i="1"/>
  <c r="B15003" i="1"/>
  <c r="E15004" i="1"/>
  <c r="B15004" i="1"/>
  <c r="E15005" i="1"/>
  <c r="B15005" i="1"/>
  <c r="E15006" i="1"/>
  <c r="B15006" i="1"/>
  <c r="E15007" i="1"/>
  <c r="B15007" i="1"/>
  <c r="E15008" i="1"/>
  <c r="B15008" i="1"/>
  <c r="E15009" i="1"/>
  <c r="B15009" i="1"/>
  <c r="E15010" i="1"/>
  <c r="B15010" i="1"/>
  <c r="E15011" i="1"/>
  <c r="B15011" i="1"/>
  <c r="E15012" i="1"/>
  <c r="B15012" i="1"/>
  <c r="E15013" i="1"/>
  <c r="B15013" i="1"/>
  <c r="E15014" i="1"/>
  <c r="B15014" i="1"/>
  <c r="E15015" i="1"/>
  <c r="B15015" i="1"/>
  <c r="E15016" i="1"/>
  <c r="B15016" i="1"/>
  <c r="E15017" i="1"/>
  <c r="B15017" i="1"/>
  <c r="E15018" i="1"/>
  <c r="B15018" i="1"/>
  <c r="E15019" i="1"/>
  <c r="B15019" i="1"/>
  <c r="E15020" i="1"/>
  <c r="B15020" i="1"/>
  <c r="E15021" i="1"/>
  <c r="B15021" i="1"/>
  <c r="E15022" i="1"/>
  <c r="B15022" i="1"/>
  <c r="E15023" i="1"/>
  <c r="B15023" i="1"/>
  <c r="E15024" i="1"/>
  <c r="B15024" i="1"/>
  <c r="E15025" i="1"/>
  <c r="B15025" i="1"/>
  <c r="E15026" i="1"/>
  <c r="B15026" i="1"/>
  <c r="E15027" i="1"/>
  <c r="B15027" i="1"/>
  <c r="E15028" i="1"/>
  <c r="B15028" i="1"/>
  <c r="E15029" i="1"/>
  <c r="B15029" i="1"/>
  <c r="E15030" i="1"/>
  <c r="B15030" i="1"/>
  <c r="E15031" i="1"/>
  <c r="B15031" i="1"/>
  <c r="E15032" i="1"/>
  <c r="B15032" i="1"/>
  <c r="E15033" i="1"/>
  <c r="B15033" i="1"/>
  <c r="E15034" i="1"/>
  <c r="B15034" i="1"/>
  <c r="E15035" i="1"/>
  <c r="B15035" i="1"/>
  <c r="E15036" i="1"/>
  <c r="B15036" i="1"/>
  <c r="E15037" i="1"/>
  <c r="B15037" i="1"/>
  <c r="E15038" i="1"/>
  <c r="B15038" i="1"/>
  <c r="E15039" i="1"/>
  <c r="B15039" i="1"/>
  <c r="E15040" i="1"/>
  <c r="B15040" i="1"/>
  <c r="E15041" i="1"/>
  <c r="B15041" i="1"/>
  <c r="E15042" i="1"/>
  <c r="B15042" i="1"/>
  <c r="E15043" i="1"/>
  <c r="B15043" i="1"/>
  <c r="E15044" i="1"/>
  <c r="B15044" i="1"/>
  <c r="E15045" i="1"/>
  <c r="B15045" i="1"/>
  <c r="E15046" i="1"/>
  <c r="B15046" i="1"/>
  <c r="E15047" i="1"/>
  <c r="B15047" i="1"/>
  <c r="E15048" i="1"/>
  <c r="B15048" i="1"/>
  <c r="E15049" i="1"/>
  <c r="B15049" i="1"/>
  <c r="E15050" i="1"/>
  <c r="B15050" i="1"/>
  <c r="E15051" i="1"/>
  <c r="B15051" i="1"/>
  <c r="E15052" i="1"/>
  <c r="B15052" i="1"/>
  <c r="E15053" i="1"/>
  <c r="B15053" i="1"/>
  <c r="E15054" i="1"/>
  <c r="B15054" i="1"/>
  <c r="E15055" i="1"/>
  <c r="B15055" i="1"/>
  <c r="E15056" i="1"/>
  <c r="B15056" i="1"/>
  <c r="E15057" i="1"/>
  <c r="B15057" i="1"/>
  <c r="E15058" i="1"/>
  <c r="B15058" i="1"/>
  <c r="E15059" i="1"/>
  <c r="B15059" i="1"/>
  <c r="E15060" i="1"/>
  <c r="B15060" i="1"/>
  <c r="E15061" i="1"/>
  <c r="B15061" i="1"/>
  <c r="E15062" i="1"/>
  <c r="B15062" i="1"/>
  <c r="E15063" i="1"/>
  <c r="B15063" i="1"/>
  <c r="E15064" i="1"/>
  <c r="B15064" i="1"/>
  <c r="E15065" i="1"/>
  <c r="B15065" i="1"/>
  <c r="E15066" i="1"/>
  <c r="B15066" i="1"/>
  <c r="E15067" i="1"/>
  <c r="B15067" i="1"/>
  <c r="E15068" i="1"/>
  <c r="B15068" i="1"/>
  <c r="E15069" i="1"/>
  <c r="B15069" i="1"/>
  <c r="E15070" i="1"/>
  <c r="B15070" i="1"/>
  <c r="E15071" i="1"/>
  <c r="B15071" i="1"/>
  <c r="E15072" i="1"/>
  <c r="B15072" i="1"/>
  <c r="E15073" i="1"/>
  <c r="B15073" i="1"/>
  <c r="E15074" i="1"/>
  <c r="B15074" i="1"/>
  <c r="E15075" i="1"/>
  <c r="B15075" i="1"/>
  <c r="E15076" i="1"/>
  <c r="B15076" i="1"/>
  <c r="E15078" i="1"/>
  <c r="B15078" i="1"/>
  <c r="E15077" i="1"/>
  <c r="B15077" i="1"/>
  <c r="E15079" i="1"/>
  <c r="B15079" i="1"/>
  <c r="E15080" i="1"/>
  <c r="B15080" i="1"/>
  <c r="E15081" i="1"/>
  <c r="B15081" i="1"/>
  <c r="E15082" i="1"/>
  <c r="B15082" i="1"/>
  <c r="E15084" i="1"/>
  <c r="B15084" i="1"/>
  <c r="E15083" i="1"/>
  <c r="B15083" i="1"/>
  <c r="E15085" i="1"/>
  <c r="B15085" i="1"/>
  <c r="E15086" i="1"/>
  <c r="B15086" i="1"/>
  <c r="E15087" i="1"/>
  <c r="B15087" i="1"/>
  <c r="E15088" i="1"/>
  <c r="B15088" i="1"/>
  <c r="E15089" i="1"/>
  <c r="B15089" i="1"/>
  <c r="E15090" i="1"/>
  <c r="B15090" i="1"/>
  <c r="E15091" i="1"/>
  <c r="B15091" i="1"/>
  <c r="E15092" i="1"/>
  <c r="B15092" i="1"/>
  <c r="E15093" i="1"/>
  <c r="B15093" i="1"/>
  <c r="E15094" i="1"/>
  <c r="B15094" i="1"/>
  <c r="E15095" i="1"/>
  <c r="B15095" i="1"/>
  <c r="E15096" i="1"/>
  <c r="B15096" i="1"/>
  <c r="E15097" i="1"/>
  <c r="B15097" i="1"/>
  <c r="E15098" i="1"/>
  <c r="B15098" i="1"/>
  <c r="E15099" i="1"/>
  <c r="B15099" i="1"/>
  <c r="E15100" i="1"/>
  <c r="B15100" i="1"/>
  <c r="E15101" i="1"/>
  <c r="B15101" i="1"/>
  <c r="E15102" i="1"/>
  <c r="B15102" i="1"/>
  <c r="E15103" i="1"/>
  <c r="B15103" i="1"/>
  <c r="E15104" i="1"/>
  <c r="B15104" i="1"/>
  <c r="E15105" i="1"/>
  <c r="B15105" i="1"/>
  <c r="E15106" i="1"/>
  <c r="B15106" i="1"/>
  <c r="E15110" i="1"/>
  <c r="B15110" i="1"/>
  <c r="E15109" i="1"/>
  <c r="B15109" i="1"/>
  <c r="E15108" i="1"/>
  <c r="B15108" i="1"/>
  <c r="E15107" i="1"/>
  <c r="B15107" i="1"/>
  <c r="E15111" i="1"/>
  <c r="B15111" i="1"/>
  <c r="E15113" i="1"/>
  <c r="B15113" i="1"/>
  <c r="E15112" i="1"/>
  <c r="B15112" i="1"/>
  <c r="E15114" i="1"/>
  <c r="B15114" i="1"/>
  <c r="E15115" i="1"/>
  <c r="B15115" i="1"/>
  <c r="E15116" i="1"/>
  <c r="B15116" i="1"/>
  <c r="E15117" i="1"/>
  <c r="B15117" i="1"/>
  <c r="E15118" i="1"/>
  <c r="B15118" i="1"/>
  <c r="E15119" i="1"/>
  <c r="B15119" i="1"/>
  <c r="E15120" i="1"/>
  <c r="B15120" i="1"/>
  <c r="E15121" i="1"/>
  <c r="B15121" i="1"/>
  <c r="E15122" i="1"/>
  <c r="B15122" i="1"/>
  <c r="E15123" i="1"/>
  <c r="B15123" i="1"/>
  <c r="E15124" i="1"/>
  <c r="B15124" i="1"/>
  <c r="E15125" i="1"/>
  <c r="B15125" i="1"/>
  <c r="E15126" i="1"/>
  <c r="B15126" i="1"/>
  <c r="E15127" i="1"/>
  <c r="B15127" i="1"/>
  <c r="E15128" i="1"/>
  <c r="B15128" i="1"/>
  <c r="E15129" i="1"/>
  <c r="B15129" i="1"/>
  <c r="E15130" i="1"/>
  <c r="B15130" i="1"/>
  <c r="E15131" i="1"/>
  <c r="B15131" i="1"/>
  <c r="E15132" i="1"/>
  <c r="B15132" i="1"/>
  <c r="E15133" i="1"/>
  <c r="B15133" i="1"/>
  <c r="E15134" i="1"/>
  <c r="B15134" i="1"/>
  <c r="E15135" i="1"/>
  <c r="B15135" i="1"/>
  <c r="E15136" i="1"/>
  <c r="B15136" i="1"/>
  <c r="E15137" i="1"/>
  <c r="B15137" i="1"/>
  <c r="E15138" i="1"/>
  <c r="B15138" i="1"/>
  <c r="E15139" i="1"/>
  <c r="B15139" i="1"/>
  <c r="E15140" i="1"/>
  <c r="B15140" i="1"/>
  <c r="E15141" i="1"/>
  <c r="B15141" i="1"/>
  <c r="E15142" i="1"/>
  <c r="B15142" i="1"/>
  <c r="E15143" i="1"/>
  <c r="B15143" i="1"/>
  <c r="E15144" i="1"/>
  <c r="B15144" i="1"/>
  <c r="E15145" i="1"/>
  <c r="B15145" i="1"/>
  <c r="E15146" i="1"/>
  <c r="B15146" i="1"/>
  <c r="E15147" i="1"/>
  <c r="B15147" i="1"/>
  <c r="E15148" i="1"/>
  <c r="B15148" i="1"/>
  <c r="E15149" i="1"/>
  <c r="B15149" i="1"/>
  <c r="E15150" i="1"/>
  <c r="B15150" i="1"/>
  <c r="E15151" i="1"/>
  <c r="B15151" i="1"/>
  <c r="E15152" i="1"/>
  <c r="B15152" i="1"/>
  <c r="E15153" i="1"/>
  <c r="B15153" i="1"/>
  <c r="E15154" i="1"/>
  <c r="B15154" i="1"/>
  <c r="E15155" i="1"/>
  <c r="B15155" i="1"/>
  <c r="E15156" i="1"/>
  <c r="B15156" i="1"/>
  <c r="E15157" i="1"/>
  <c r="B15157" i="1"/>
  <c r="E15158" i="1"/>
  <c r="B15158" i="1"/>
  <c r="E15159" i="1"/>
  <c r="B15159" i="1"/>
  <c r="E15160" i="1"/>
  <c r="B15160" i="1"/>
  <c r="E15161" i="1"/>
  <c r="B15161" i="1"/>
  <c r="E15162" i="1"/>
  <c r="B15162" i="1"/>
  <c r="E15163" i="1"/>
  <c r="B15163" i="1"/>
  <c r="E15164" i="1"/>
  <c r="B15164" i="1"/>
  <c r="E15165" i="1"/>
  <c r="B15165" i="1"/>
  <c r="E15166" i="1"/>
  <c r="B15166" i="1"/>
  <c r="E15167" i="1"/>
  <c r="B15167" i="1"/>
  <c r="E15168" i="1"/>
  <c r="B15168" i="1"/>
  <c r="E15169" i="1"/>
  <c r="B15169" i="1"/>
  <c r="E15170" i="1"/>
  <c r="B15170" i="1"/>
  <c r="E15171" i="1"/>
  <c r="B15171" i="1"/>
  <c r="E15172" i="1"/>
  <c r="B15172" i="1"/>
  <c r="E15174" i="1"/>
  <c r="B15174" i="1"/>
  <c r="E15173" i="1"/>
  <c r="B15173" i="1"/>
  <c r="E15175" i="1"/>
  <c r="B15175" i="1"/>
  <c r="E15176" i="1"/>
  <c r="B15176" i="1"/>
  <c r="E15177" i="1"/>
  <c r="B15177" i="1"/>
  <c r="E15178" i="1"/>
  <c r="B15178" i="1"/>
  <c r="E15179" i="1"/>
  <c r="B15179" i="1"/>
  <c r="E15180" i="1"/>
  <c r="B15180" i="1"/>
  <c r="E15181" i="1"/>
  <c r="B15181" i="1"/>
  <c r="E15182" i="1"/>
  <c r="B15182" i="1"/>
  <c r="E15183" i="1"/>
  <c r="B15183" i="1"/>
  <c r="E15184" i="1"/>
  <c r="B15184" i="1"/>
  <c r="E15185" i="1"/>
  <c r="B15185" i="1"/>
  <c r="E15186" i="1"/>
  <c r="B15186" i="1"/>
  <c r="E15187" i="1"/>
  <c r="B15187" i="1"/>
  <c r="E15188" i="1"/>
  <c r="B15188" i="1"/>
  <c r="E15189" i="1"/>
  <c r="B15189" i="1"/>
  <c r="E15190" i="1"/>
  <c r="B15190" i="1"/>
  <c r="E15191" i="1"/>
  <c r="B15191" i="1"/>
  <c r="E15192" i="1"/>
  <c r="B15192" i="1"/>
  <c r="E15193" i="1"/>
  <c r="B15193" i="1"/>
  <c r="E15194" i="1"/>
  <c r="B15194" i="1"/>
  <c r="E15195" i="1"/>
  <c r="B15195" i="1"/>
  <c r="E15196" i="1"/>
  <c r="B15196" i="1"/>
  <c r="E15197" i="1"/>
  <c r="B15197" i="1"/>
  <c r="E15198" i="1"/>
  <c r="B15198" i="1"/>
  <c r="E15199" i="1"/>
  <c r="B15199" i="1"/>
  <c r="E15200" i="1"/>
  <c r="B15200" i="1"/>
  <c r="E15201" i="1"/>
  <c r="B15201" i="1"/>
  <c r="E15202" i="1"/>
  <c r="B15202" i="1"/>
  <c r="E15203" i="1"/>
  <c r="B15203" i="1"/>
  <c r="E15204" i="1"/>
  <c r="B15204" i="1"/>
  <c r="E15205" i="1"/>
  <c r="B15205" i="1"/>
  <c r="E15206" i="1"/>
  <c r="B15206" i="1"/>
  <c r="E15207" i="1"/>
  <c r="B15207" i="1"/>
  <c r="E15208" i="1"/>
  <c r="B15208" i="1"/>
  <c r="E15209" i="1"/>
  <c r="B15209" i="1"/>
  <c r="E15210" i="1"/>
  <c r="B15210" i="1"/>
  <c r="E15211" i="1"/>
  <c r="B15211" i="1"/>
  <c r="E15212" i="1"/>
  <c r="B15212" i="1"/>
  <c r="E15213" i="1"/>
  <c r="B15213" i="1"/>
  <c r="E15214" i="1"/>
  <c r="B15214" i="1"/>
  <c r="E15215" i="1"/>
  <c r="B15215" i="1"/>
  <c r="E15216" i="1"/>
  <c r="B15216" i="1"/>
  <c r="E15217" i="1"/>
  <c r="B15217" i="1"/>
  <c r="E15218" i="1"/>
  <c r="B15218" i="1"/>
  <c r="E15219" i="1"/>
  <c r="B15219" i="1"/>
  <c r="E15220" i="1"/>
  <c r="B15220" i="1"/>
  <c r="E15221" i="1"/>
  <c r="B15221" i="1"/>
  <c r="E15222" i="1"/>
  <c r="B15222" i="1"/>
  <c r="E15223" i="1"/>
  <c r="B15223" i="1"/>
  <c r="E15224" i="1"/>
  <c r="B15224" i="1"/>
  <c r="E15225" i="1"/>
  <c r="B15225" i="1"/>
  <c r="E15226" i="1"/>
  <c r="B15226" i="1"/>
  <c r="E15227" i="1"/>
  <c r="B15227" i="1"/>
  <c r="E15228" i="1"/>
  <c r="B15228" i="1"/>
  <c r="E15229" i="1"/>
  <c r="B15229" i="1"/>
  <c r="E15230" i="1"/>
  <c r="B15230" i="1"/>
  <c r="E15231" i="1"/>
  <c r="B15231" i="1"/>
  <c r="E15232" i="1"/>
  <c r="B15232" i="1"/>
  <c r="E15233" i="1"/>
  <c r="B15233" i="1"/>
  <c r="E15234" i="1"/>
  <c r="B15234" i="1"/>
  <c r="E15236" i="1"/>
  <c r="B15236" i="1"/>
  <c r="E15235" i="1"/>
  <c r="B15235" i="1"/>
  <c r="E15237" i="1"/>
  <c r="B15237" i="1"/>
  <c r="E15238" i="1"/>
  <c r="B15238" i="1"/>
  <c r="E15239" i="1"/>
  <c r="B15239" i="1"/>
  <c r="E15240" i="1"/>
  <c r="B15240" i="1"/>
  <c r="E15241" i="1"/>
  <c r="B15241" i="1"/>
  <c r="E15242" i="1"/>
  <c r="B15242" i="1"/>
  <c r="E15243" i="1"/>
  <c r="B15243" i="1"/>
  <c r="E15244" i="1"/>
  <c r="B15244" i="1"/>
  <c r="E15245" i="1"/>
  <c r="B15245" i="1"/>
  <c r="E15246" i="1"/>
  <c r="B15246" i="1"/>
  <c r="E15247" i="1"/>
  <c r="B15247" i="1"/>
  <c r="E15248" i="1"/>
  <c r="B15248" i="1"/>
  <c r="E15249" i="1"/>
  <c r="B15249" i="1"/>
  <c r="E15250" i="1"/>
  <c r="B15250" i="1"/>
  <c r="E15251" i="1"/>
  <c r="B15251" i="1"/>
  <c r="E15252" i="1"/>
  <c r="B15252" i="1"/>
  <c r="E15253" i="1"/>
  <c r="B15253" i="1"/>
  <c r="E15254" i="1"/>
  <c r="B15254" i="1"/>
  <c r="E15255" i="1"/>
  <c r="B15255" i="1"/>
  <c r="E15256" i="1"/>
  <c r="B15256" i="1"/>
  <c r="E15257" i="1"/>
  <c r="B15257" i="1"/>
  <c r="E15258" i="1"/>
  <c r="B15258" i="1"/>
  <c r="E15259" i="1"/>
  <c r="B15259" i="1"/>
  <c r="E15260" i="1"/>
  <c r="B15260" i="1"/>
  <c r="E15261" i="1"/>
  <c r="B15261" i="1"/>
  <c r="E15262" i="1"/>
  <c r="B15262" i="1"/>
  <c r="E15263" i="1"/>
  <c r="B15263" i="1"/>
  <c r="E15264" i="1"/>
  <c r="B15264" i="1"/>
  <c r="E15265" i="1"/>
  <c r="B15265" i="1"/>
  <c r="E15266" i="1"/>
  <c r="B15266" i="1"/>
  <c r="E15267" i="1"/>
  <c r="B15267" i="1"/>
  <c r="E15268" i="1"/>
  <c r="B15268" i="1"/>
  <c r="E15269" i="1"/>
  <c r="B15269" i="1"/>
  <c r="E15270" i="1"/>
  <c r="B15270" i="1"/>
  <c r="E15271" i="1"/>
  <c r="B15271" i="1"/>
  <c r="E15272" i="1"/>
  <c r="B15272" i="1"/>
  <c r="E15273" i="1"/>
  <c r="B15273" i="1"/>
  <c r="E15274" i="1"/>
  <c r="B15274" i="1"/>
  <c r="E15275" i="1"/>
  <c r="B15275" i="1"/>
  <c r="E15276" i="1"/>
  <c r="B15276" i="1"/>
  <c r="E15277" i="1"/>
  <c r="B15277" i="1"/>
  <c r="E15278" i="1"/>
  <c r="B15278" i="1"/>
  <c r="E15279" i="1"/>
  <c r="B15279" i="1"/>
  <c r="E15280" i="1"/>
  <c r="B15280" i="1"/>
  <c r="E15281" i="1"/>
  <c r="B15281" i="1"/>
  <c r="E15282" i="1"/>
  <c r="B15282" i="1"/>
  <c r="E15283" i="1"/>
  <c r="B15283" i="1"/>
  <c r="E15284" i="1"/>
  <c r="B15284" i="1"/>
  <c r="E15285" i="1"/>
  <c r="B15285" i="1"/>
  <c r="E15286" i="1"/>
  <c r="B15286" i="1"/>
  <c r="E15287" i="1"/>
  <c r="B15287" i="1"/>
  <c r="E15288" i="1"/>
  <c r="B15288" i="1"/>
  <c r="E15289" i="1"/>
  <c r="B15289" i="1"/>
  <c r="E15290" i="1"/>
  <c r="B15290" i="1"/>
  <c r="E15291" i="1"/>
  <c r="B15291" i="1"/>
  <c r="E15292" i="1"/>
  <c r="B15292" i="1"/>
  <c r="E15293" i="1"/>
  <c r="B15293" i="1"/>
  <c r="E15295" i="1"/>
  <c r="B15295" i="1"/>
  <c r="E15294" i="1"/>
  <c r="B15294" i="1"/>
  <c r="E15296" i="1"/>
  <c r="B15296" i="1"/>
  <c r="E15297" i="1"/>
  <c r="B15297" i="1"/>
  <c r="E15298" i="1"/>
  <c r="B15298" i="1"/>
  <c r="E15299" i="1"/>
  <c r="B15299" i="1"/>
  <c r="E15300" i="1"/>
  <c r="B15300" i="1"/>
  <c r="E15301" i="1"/>
  <c r="B15301" i="1"/>
  <c r="E15302" i="1"/>
  <c r="B15302" i="1"/>
  <c r="E15303" i="1"/>
  <c r="B15303" i="1"/>
  <c r="E15304" i="1"/>
  <c r="B15304" i="1"/>
  <c r="E15305" i="1"/>
  <c r="B15305" i="1"/>
  <c r="E15306" i="1"/>
  <c r="B15306" i="1"/>
  <c r="E15307" i="1"/>
  <c r="B15307" i="1"/>
  <c r="E15308" i="1"/>
  <c r="B15308" i="1"/>
  <c r="E15309" i="1"/>
  <c r="B15309" i="1"/>
  <c r="E15310" i="1"/>
  <c r="B15310" i="1"/>
  <c r="E15311" i="1"/>
  <c r="B15311" i="1"/>
  <c r="E15312" i="1"/>
  <c r="B15312" i="1"/>
  <c r="E15313" i="1"/>
  <c r="B15313" i="1"/>
  <c r="E15314" i="1"/>
  <c r="B15314" i="1"/>
  <c r="E15315" i="1"/>
  <c r="B15315" i="1"/>
  <c r="E15316" i="1"/>
  <c r="B15316" i="1"/>
  <c r="E15317" i="1"/>
  <c r="B15317" i="1"/>
  <c r="E15318" i="1"/>
  <c r="B15318" i="1"/>
  <c r="E15319" i="1"/>
  <c r="B15319" i="1"/>
  <c r="E15320" i="1"/>
  <c r="B15320" i="1"/>
  <c r="E15321" i="1"/>
  <c r="B15321" i="1"/>
  <c r="E15322" i="1"/>
  <c r="B15322" i="1"/>
  <c r="E15323" i="1"/>
  <c r="B15323" i="1"/>
  <c r="E15324" i="1"/>
  <c r="B15324" i="1"/>
  <c r="E15325" i="1"/>
  <c r="B15325" i="1"/>
  <c r="E15326" i="1"/>
  <c r="B15326" i="1"/>
  <c r="E15327" i="1"/>
  <c r="B15327" i="1"/>
  <c r="E15328" i="1"/>
  <c r="B15328" i="1"/>
  <c r="E15329" i="1"/>
  <c r="B15329" i="1"/>
  <c r="E15330" i="1"/>
  <c r="B15330" i="1"/>
  <c r="E15331" i="1"/>
  <c r="B15331" i="1"/>
  <c r="E15332" i="1"/>
  <c r="B15332" i="1"/>
  <c r="E15333" i="1"/>
  <c r="B15333" i="1"/>
  <c r="E15334" i="1"/>
  <c r="B15334" i="1"/>
  <c r="E15335" i="1"/>
  <c r="B15335" i="1"/>
  <c r="E15336" i="1"/>
  <c r="B15336" i="1"/>
  <c r="E15337" i="1"/>
  <c r="B15337" i="1"/>
  <c r="E15338" i="1"/>
  <c r="B15338" i="1"/>
  <c r="E15339" i="1"/>
  <c r="B15339" i="1"/>
  <c r="E15340" i="1"/>
  <c r="B15340" i="1"/>
  <c r="E15341" i="1"/>
  <c r="B15341" i="1"/>
  <c r="E15342" i="1"/>
  <c r="B15342" i="1"/>
  <c r="E15343" i="1"/>
  <c r="B15343" i="1"/>
  <c r="E15344" i="1"/>
  <c r="B15344" i="1"/>
  <c r="E15345" i="1"/>
  <c r="B15345" i="1"/>
  <c r="E15346" i="1"/>
  <c r="B15346" i="1"/>
  <c r="E15347" i="1"/>
  <c r="B15347" i="1"/>
  <c r="E15348" i="1"/>
  <c r="B15348" i="1"/>
  <c r="E15349" i="1"/>
  <c r="B15349" i="1"/>
  <c r="E15350" i="1"/>
  <c r="B15350" i="1"/>
  <c r="E15351" i="1"/>
  <c r="B15351" i="1"/>
  <c r="E15352" i="1"/>
  <c r="B15352" i="1"/>
  <c r="E15353" i="1"/>
  <c r="B15353" i="1"/>
  <c r="E15354" i="1"/>
  <c r="B15354" i="1"/>
  <c r="E15355" i="1"/>
  <c r="B15355" i="1"/>
  <c r="E15356" i="1"/>
  <c r="B15356" i="1"/>
  <c r="E15357" i="1"/>
  <c r="B15357" i="1"/>
  <c r="E15358" i="1"/>
  <c r="B15358" i="1"/>
  <c r="E15359" i="1"/>
  <c r="B15359" i="1"/>
  <c r="E15360" i="1"/>
  <c r="B15360" i="1"/>
  <c r="E15361" i="1"/>
  <c r="B15361" i="1"/>
  <c r="E15362" i="1"/>
  <c r="B15362" i="1"/>
  <c r="E15363" i="1"/>
  <c r="B15363" i="1"/>
  <c r="E15364" i="1"/>
  <c r="B15364" i="1"/>
  <c r="E15365" i="1"/>
  <c r="B15365" i="1"/>
  <c r="E15366" i="1"/>
  <c r="B15366" i="1"/>
  <c r="E15367" i="1"/>
  <c r="B15367" i="1"/>
  <c r="E15368" i="1"/>
  <c r="B15368" i="1"/>
  <c r="E15369" i="1"/>
  <c r="B15369" i="1"/>
  <c r="E15370" i="1"/>
  <c r="B15370" i="1"/>
  <c r="E15371" i="1"/>
  <c r="B15371" i="1"/>
  <c r="E15372" i="1"/>
  <c r="B15372" i="1"/>
  <c r="E15373" i="1"/>
  <c r="B15373" i="1"/>
  <c r="E15374" i="1"/>
  <c r="B15374" i="1"/>
  <c r="E15375" i="1"/>
  <c r="B15375" i="1"/>
  <c r="E15376" i="1"/>
  <c r="B15376" i="1"/>
  <c r="E15377" i="1"/>
  <c r="B15377" i="1"/>
  <c r="E15378" i="1"/>
  <c r="B15378" i="1"/>
  <c r="E15379" i="1"/>
  <c r="B15379" i="1"/>
  <c r="E15380" i="1"/>
  <c r="B15380" i="1"/>
  <c r="E15381" i="1"/>
  <c r="B15381" i="1"/>
  <c r="E15382" i="1"/>
  <c r="B15382" i="1"/>
  <c r="E15383" i="1"/>
  <c r="B15383" i="1"/>
  <c r="E15384" i="1"/>
  <c r="B15384" i="1"/>
  <c r="E15385" i="1"/>
  <c r="B15385" i="1"/>
  <c r="E15386" i="1"/>
  <c r="B15386" i="1"/>
  <c r="E15387" i="1"/>
  <c r="B15387" i="1"/>
  <c r="E15388" i="1"/>
  <c r="B15388" i="1"/>
  <c r="E15389" i="1"/>
  <c r="B15389" i="1"/>
  <c r="E15390" i="1"/>
  <c r="B15390" i="1"/>
  <c r="E15391" i="1"/>
  <c r="B15391" i="1"/>
  <c r="E15392" i="1"/>
  <c r="B15392" i="1"/>
  <c r="E15393" i="1"/>
  <c r="B15393" i="1"/>
  <c r="E15394" i="1"/>
  <c r="B15394" i="1"/>
  <c r="E15395" i="1"/>
  <c r="B15395" i="1"/>
  <c r="E15396" i="1"/>
  <c r="B15396" i="1"/>
  <c r="E15397" i="1"/>
  <c r="B15397" i="1"/>
  <c r="E15398" i="1"/>
  <c r="B15398" i="1"/>
  <c r="E15399" i="1"/>
  <c r="B15399" i="1"/>
  <c r="E15400" i="1"/>
  <c r="B15400" i="1"/>
  <c r="E15401" i="1"/>
  <c r="B15401" i="1"/>
  <c r="E15402" i="1"/>
  <c r="B15402" i="1"/>
  <c r="E15403" i="1"/>
  <c r="B15403" i="1"/>
  <c r="E15404" i="1"/>
  <c r="B15404" i="1"/>
  <c r="E15405" i="1"/>
  <c r="B15405" i="1"/>
  <c r="E15406" i="1"/>
  <c r="B15406" i="1"/>
  <c r="E15407" i="1"/>
  <c r="B15407" i="1"/>
  <c r="E15408" i="1"/>
  <c r="B15408" i="1"/>
  <c r="E15409" i="1"/>
  <c r="B15409" i="1"/>
  <c r="E15410" i="1"/>
  <c r="B15410" i="1"/>
  <c r="E15411" i="1"/>
  <c r="B15411" i="1"/>
  <c r="E15412" i="1"/>
  <c r="B15412" i="1"/>
  <c r="E15413" i="1"/>
  <c r="B15413" i="1"/>
  <c r="E15414" i="1"/>
  <c r="B15414" i="1"/>
  <c r="E15415" i="1"/>
  <c r="B15415" i="1"/>
  <c r="E15416" i="1"/>
  <c r="B15416" i="1"/>
  <c r="E15417" i="1"/>
  <c r="B15417" i="1"/>
  <c r="E15418" i="1"/>
  <c r="B15418" i="1"/>
  <c r="E15419" i="1"/>
  <c r="B15419" i="1"/>
  <c r="E15420" i="1"/>
  <c r="B15420" i="1"/>
  <c r="E15421" i="1"/>
  <c r="B15421" i="1"/>
  <c r="E15422" i="1"/>
  <c r="B15422" i="1"/>
  <c r="E15423" i="1"/>
  <c r="B15423" i="1"/>
  <c r="E15424" i="1"/>
  <c r="B15424" i="1"/>
  <c r="E15425" i="1"/>
  <c r="B15425" i="1"/>
  <c r="E15426" i="1"/>
  <c r="B15426" i="1"/>
  <c r="E15427" i="1"/>
  <c r="B15427" i="1"/>
  <c r="E15428" i="1"/>
  <c r="B15428" i="1"/>
  <c r="E15429" i="1"/>
  <c r="B15429" i="1"/>
  <c r="E15430" i="1"/>
  <c r="B15430" i="1"/>
  <c r="E15431" i="1"/>
  <c r="B15431" i="1"/>
  <c r="E15432" i="1"/>
  <c r="B15432" i="1"/>
  <c r="E15433" i="1"/>
  <c r="B15433" i="1"/>
  <c r="E15434" i="1"/>
  <c r="B15434" i="1"/>
  <c r="E15435" i="1"/>
  <c r="B15435" i="1"/>
  <c r="E15436" i="1"/>
  <c r="B15436" i="1"/>
  <c r="E15437" i="1"/>
  <c r="B15437" i="1"/>
  <c r="E15438" i="1"/>
  <c r="B15438" i="1"/>
  <c r="E15439" i="1"/>
  <c r="B15439" i="1"/>
  <c r="E15440" i="1"/>
  <c r="B15440" i="1"/>
  <c r="E15441" i="1"/>
  <c r="B15441" i="1"/>
  <c r="E15442" i="1"/>
  <c r="B15442" i="1"/>
  <c r="E15443" i="1"/>
  <c r="B15443" i="1"/>
  <c r="E15444" i="1"/>
  <c r="B15444" i="1"/>
  <c r="E15445" i="1"/>
  <c r="B15445" i="1"/>
  <c r="E15446" i="1"/>
  <c r="B15446" i="1"/>
  <c r="E15447" i="1"/>
  <c r="B15447" i="1"/>
  <c r="E15448" i="1"/>
  <c r="B15448" i="1"/>
  <c r="E15449" i="1"/>
  <c r="B15449" i="1"/>
  <c r="E15450" i="1"/>
  <c r="B15450" i="1"/>
  <c r="E15451" i="1"/>
  <c r="B15451" i="1"/>
  <c r="E15452" i="1"/>
  <c r="B15452" i="1"/>
  <c r="E15453" i="1"/>
  <c r="B15453" i="1"/>
  <c r="E15454" i="1"/>
  <c r="B15454" i="1"/>
  <c r="E15455" i="1"/>
  <c r="B15455" i="1"/>
  <c r="E15456" i="1"/>
  <c r="B15456" i="1"/>
  <c r="E15457" i="1"/>
  <c r="B15457" i="1"/>
  <c r="E15458" i="1"/>
  <c r="B15458" i="1"/>
  <c r="E15459" i="1"/>
  <c r="B15459" i="1"/>
  <c r="E15460" i="1"/>
  <c r="B15460" i="1"/>
  <c r="E15461" i="1"/>
  <c r="B15461" i="1"/>
  <c r="E15462" i="1"/>
  <c r="B15462" i="1"/>
  <c r="E15463" i="1"/>
  <c r="B15463" i="1"/>
  <c r="E15464" i="1"/>
  <c r="B15464" i="1"/>
  <c r="E15465" i="1"/>
  <c r="B15465" i="1"/>
  <c r="E15466" i="1"/>
  <c r="B15466" i="1"/>
  <c r="E15467" i="1"/>
  <c r="B15467" i="1"/>
  <c r="E15468" i="1"/>
  <c r="B15468" i="1"/>
  <c r="E15469" i="1"/>
  <c r="B15469" i="1"/>
  <c r="E15470" i="1"/>
  <c r="B15470" i="1"/>
  <c r="E15471" i="1"/>
  <c r="B15471" i="1"/>
  <c r="E15472" i="1"/>
  <c r="B15472" i="1"/>
  <c r="E15473" i="1"/>
  <c r="B15473" i="1"/>
  <c r="E15474" i="1"/>
  <c r="B15474" i="1"/>
  <c r="E15475" i="1"/>
  <c r="B15475" i="1"/>
  <c r="E15476" i="1"/>
  <c r="B15476" i="1"/>
  <c r="E15477" i="1"/>
  <c r="B15477" i="1"/>
  <c r="E15478" i="1"/>
  <c r="B15478" i="1"/>
  <c r="E15479" i="1"/>
  <c r="B15479" i="1"/>
  <c r="E15480" i="1"/>
  <c r="B15480" i="1"/>
  <c r="E15481" i="1"/>
  <c r="B15481" i="1"/>
  <c r="E15482" i="1"/>
  <c r="B15482" i="1"/>
  <c r="E15483" i="1"/>
  <c r="B15483" i="1"/>
  <c r="E15484" i="1"/>
  <c r="B15484" i="1"/>
  <c r="E15485" i="1"/>
  <c r="B15485" i="1"/>
  <c r="E15486" i="1"/>
  <c r="B15486" i="1"/>
  <c r="E15487" i="1"/>
  <c r="B15487" i="1"/>
  <c r="E15488" i="1"/>
  <c r="B15488" i="1"/>
  <c r="E15489" i="1"/>
  <c r="B15489" i="1"/>
  <c r="E15490" i="1"/>
  <c r="B15490" i="1"/>
  <c r="E15491" i="1"/>
  <c r="B15491" i="1"/>
  <c r="E15492" i="1"/>
  <c r="B15492" i="1"/>
  <c r="E15493" i="1"/>
  <c r="B15493" i="1"/>
  <c r="E15494" i="1"/>
  <c r="B15494" i="1"/>
  <c r="E15495" i="1"/>
  <c r="B15495" i="1"/>
  <c r="E15496" i="1"/>
  <c r="B15496" i="1"/>
  <c r="E15497" i="1"/>
  <c r="B15497" i="1"/>
  <c r="E15498" i="1"/>
  <c r="B15498" i="1"/>
  <c r="E15499" i="1"/>
  <c r="B15499" i="1"/>
  <c r="E15500" i="1"/>
  <c r="B15500" i="1"/>
  <c r="E15501" i="1"/>
  <c r="B15501" i="1"/>
  <c r="E15502" i="1"/>
  <c r="B15502" i="1"/>
  <c r="E15503" i="1"/>
  <c r="B15503" i="1"/>
  <c r="E15504" i="1"/>
  <c r="B15504" i="1"/>
  <c r="E15505" i="1"/>
  <c r="B15505" i="1"/>
  <c r="E15506" i="1"/>
  <c r="B15506" i="1"/>
  <c r="E15507" i="1"/>
  <c r="B15507" i="1"/>
  <c r="E15508" i="1"/>
  <c r="B15508" i="1"/>
  <c r="E15509" i="1"/>
  <c r="B15509" i="1"/>
  <c r="E15510" i="1"/>
  <c r="B15510" i="1"/>
  <c r="E15511" i="1"/>
  <c r="B15511" i="1"/>
  <c r="E15512" i="1"/>
  <c r="B15512" i="1"/>
  <c r="E15513" i="1"/>
  <c r="B15513" i="1"/>
  <c r="E15514" i="1"/>
  <c r="B15514" i="1"/>
  <c r="E15515" i="1"/>
  <c r="B15515" i="1"/>
  <c r="E15516" i="1"/>
  <c r="B15516" i="1"/>
  <c r="E15517" i="1"/>
  <c r="B15517" i="1"/>
  <c r="E15518" i="1"/>
  <c r="B15518" i="1"/>
  <c r="E15519" i="1"/>
  <c r="B15519" i="1"/>
  <c r="E15520" i="1"/>
  <c r="B15520" i="1"/>
  <c r="E15521" i="1"/>
  <c r="B15521" i="1"/>
  <c r="E15522" i="1"/>
  <c r="B15522" i="1"/>
  <c r="E15523" i="1"/>
  <c r="B15523" i="1"/>
  <c r="E15524" i="1"/>
  <c r="B15524" i="1"/>
  <c r="E15525" i="1"/>
  <c r="B15525" i="1"/>
  <c r="E15526" i="1"/>
  <c r="B15526" i="1"/>
  <c r="E15527" i="1"/>
  <c r="B15527" i="1"/>
  <c r="E15528" i="1"/>
  <c r="B15528" i="1"/>
  <c r="E15529" i="1"/>
  <c r="B15529" i="1"/>
  <c r="E15530" i="1"/>
  <c r="B15530" i="1"/>
  <c r="E15531" i="1"/>
  <c r="B15531" i="1"/>
  <c r="E15532" i="1"/>
  <c r="B15532" i="1"/>
  <c r="E15533" i="1"/>
  <c r="B15533" i="1"/>
  <c r="E15534" i="1"/>
  <c r="B15534" i="1"/>
  <c r="E15535" i="1"/>
  <c r="B15535" i="1"/>
  <c r="E15536" i="1"/>
  <c r="B15536" i="1"/>
  <c r="E15537" i="1"/>
  <c r="B15537" i="1"/>
  <c r="E15538" i="1"/>
  <c r="B15538" i="1"/>
  <c r="E15539" i="1"/>
  <c r="B15539" i="1"/>
  <c r="E15540" i="1"/>
  <c r="B15540" i="1"/>
  <c r="E15541" i="1"/>
  <c r="B15541" i="1"/>
  <c r="E15542" i="1"/>
  <c r="B15542" i="1"/>
  <c r="E15543" i="1"/>
  <c r="B15543" i="1"/>
  <c r="E15544" i="1"/>
  <c r="B15544" i="1"/>
  <c r="E15546" i="1"/>
  <c r="B15546" i="1"/>
  <c r="E15545" i="1"/>
  <c r="B15545" i="1"/>
  <c r="E15547" i="1"/>
  <c r="B15547" i="1"/>
  <c r="E15548" i="1"/>
  <c r="B15548" i="1"/>
  <c r="E15549" i="1"/>
  <c r="B15549" i="1"/>
  <c r="E15550" i="1"/>
  <c r="B15550" i="1"/>
  <c r="E15551" i="1"/>
  <c r="B15551" i="1"/>
  <c r="E15552" i="1"/>
  <c r="B15552" i="1"/>
  <c r="E15553" i="1"/>
  <c r="B15553" i="1"/>
  <c r="E15555" i="1"/>
  <c r="B15555" i="1"/>
  <c r="E15554" i="1"/>
  <c r="B15554" i="1"/>
  <c r="E15557" i="1"/>
  <c r="B15557" i="1"/>
  <c r="E15556" i="1"/>
  <c r="B15556" i="1"/>
  <c r="E15558" i="1"/>
  <c r="B15558" i="1"/>
  <c r="E15560" i="1"/>
  <c r="B15560" i="1"/>
  <c r="E15559" i="1"/>
  <c r="B15559" i="1"/>
  <c r="E15561" i="1"/>
  <c r="B15561" i="1"/>
  <c r="E15562" i="1"/>
  <c r="B15562" i="1"/>
  <c r="E15563" i="1"/>
  <c r="B15563" i="1"/>
  <c r="E15564" i="1"/>
  <c r="B15564" i="1"/>
  <c r="E15565" i="1"/>
  <c r="B15565" i="1"/>
  <c r="E15566" i="1"/>
  <c r="B15566" i="1"/>
  <c r="E15567" i="1"/>
  <c r="B15567" i="1"/>
  <c r="E15568" i="1"/>
  <c r="B15568" i="1"/>
  <c r="E15569" i="1"/>
  <c r="B15569" i="1"/>
  <c r="E15570" i="1"/>
  <c r="B15570" i="1"/>
  <c r="E15571" i="1"/>
  <c r="B15571" i="1"/>
  <c r="E15572" i="1"/>
  <c r="B15572" i="1"/>
  <c r="E15573" i="1"/>
  <c r="B15573" i="1"/>
  <c r="E15574" i="1"/>
  <c r="B15574" i="1"/>
  <c r="E15575" i="1"/>
  <c r="B15575" i="1"/>
  <c r="E15576" i="1"/>
  <c r="B15576" i="1"/>
  <c r="E15577" i="1"/>
  <c r="B15577" i="1"/>
  <c r="E15578" i="1"/>
  <c r="B15578" i="1"/>
  <c r="E15579" i="1"/>
  <c r="B15579" i="1"/>
  <c r="E15580" i="1"/>
  <c r="B15580" i="1"/>
  <c r="E15581" i="1"/>
  <c r="B15581" i="1"/>
  <c r="E15582" i="1"/>
  <c r="B15582" i="1"/>
  <c r="E15583" i="1"/>
  <c r="B15583" i="1"/>
  <c r="E15584" i="1"/>
  <c r="B15584" i="1"/>
  <c r="E15585" i="1"/>
  <c r="B15585" i="1"/>
  <c r="E15586" i="1"/>
  <c r="B15586" i="1"/>
  <c r="E15587" i="1"/>
  <c r="B15587" i="1"/>
  <c r="E15588" i="1"/>
  <c r="B15588" i="1"/>
  <c r="E15589" i="1"/>
  <c r="B15589" i="1"/>
  <c r="E15590" i="1"/>
  <c r="B15590" i="1"/>
  <c r="E15591" i="1"/>
  <c r="B15591" i="1"/>
  <c r="E15592" i="1"/>
  <c r="B15592" i="1"/>
  <c r="E15593" i="1"/>
  <c r="B15593" i="1"/>
  <c r="E15594" i="1"/>
  <c r="B15594" i="1"/>
  <c r="E15595" i="1"/>
  <c r="B15595" i="1"/>
  <c r="E15596" i="1"/>
  <c r="B15596" i="1"/>
  <c r="E15597" i="1"/>
  <c r="B15597" i="1"/>
  <c r="E15598" i="1"/>
  <c r="B15598" i="1"/>
  <c r="E15599" i="1"/>
  <c r="B15599" i="1"/>
  <c r="E15600" i="1"/>
  <c r="B15600" i="1"/>
  <c r="E15601" i="1"/>
  <c r="B15601" i="1"/>
  <c r="E15602" i="1"/>
  <c r="B15602" i="1"/>
  <c r="E15603" i="1"/>
  <c r="B15603" i="1"/>
  <c r="E15604" i="1"/>
  <c r="B15604" i="1"/>
  <c r="E15605" i="1"/>
  <c r="B15605" i="1"/>
  <c r="E15606" i="1"/>
  <c r="B15606" i="1"/>
  <c r="E15607" i="1"/>
  <c r="B15607" i="1"/>
  <c r="E15608" i="1"/>
  <c r="B15608" i="1"/>
  <c r="E15609" i="1"/>
  <c r="B15609" i="1"/>
  <c r="E15610" i="1"/>
  <c r="B15610" i="1"/>
  <c r="E15611" i="1"/>
  <c r="B15611" i="1"/>
  <c r="E15612" i="1"/>
  <c r="B15612" i="1"/>
  <c r="E15613" i="1"/>
  <c r="B15613" i="1"/>
  <c r="E15614" i="1"/>
  <c r="B15614" i="1"/>
  <c r="E15615" i="1"/>
  <c r="B15615" i="1"/>
  <c r="E15616" i="1"/>
  <c r="B15616" i="1"/>
  <c r="E15617" i="1"/>
  <c r="B15617" i="1"/>
  <c r="E15618" i="1"/>
  <c r="B15618" i="1"/>
  <c r="E15619" i="1"/>
  <c r="B15619" i="1"/>
  <c r="E15620" i="1"/>
  <c r="B15620" i="1"/>
  <c r="E15621" i="1"/>
  <c r="B15621" i="1"/>
  <c r="E15623" i="1"/>
  <c r="B15623" i="1"/>
  <c r="E15622" i="1"/>
  <c r="B15622" i="1"/>
  <c r="E15624" i="1"/>
  <c r="B15624" i="1"/>
  <c r="E15625" i="1"/>
  <c r="B15625" i="1"/>
  <c r="E15626" i="1"/>
  <c r="B15626" i="1"/>
  <c r="E15627" i="1"/>
  <c r="B15627" i="1"/>
  <c r="E15628" i="1"/>
  <c r="B15628" i="1"/>
  <c r="E15629" i="1"/>
  <c r="B15629" i="1"/>
  <c r="E15630" i="1"/>
  <c r="B15630" i="1"/>
  <c r="E15631" i="1"/>
  <c r="B15631" i="1"/>
  <c r="E15632" i="1"/>
  <c r="B15632" i="1"/>
  <c r="E15633" i="1"/>
  <c r="B15633" i="1"/>
  <c r="E15634" i="1"/>
  <c r="B15634" i="1"/>
  <c r="E15635" i="1"/>
  <c r="B15635" i="1"/>
  <c r="E15636" i="1"/>
  <c r="B15636" i="1"/>
  <c r="E15637" i="1"/>
  <c r="B15637" i="1"/>
  <c r="E15638" i="1"/>
  <c r="B15638" i="1"/>
  <c r="E15639" i="1"/>
  <c r="B15639" i="1"/>
  <c r="E15640" i="1"/>
  <c r="B15640" i="1"/>
  <c r="E15641" i="1"/>
  <c r="B15641" i="1"/>
  <c r="E15642" i="1"/>
  <c r="B15642" i="1"/>
  <c r="E15643" i="1"/>
  <c r="B15643" i="1"/>
  <c r="E15644" i="1"/>
  <c r="B15644" i="1"/>
  <c r="E15645" i="1"/>
  <c r="B15645" i="1"/>
  <c r="E15646" i="1"/>
  <c r="B15646" i="1"/>
  <c r="E15647" i="1"/>
  <c r="B15647" i="1"/>
  <c r="E15648" i="1"/>
  <c r="B15648" i="1"/>
  <c r="E15649" i="1"/>
  <c r="B15649" i="1"/>
  <c r="E15650" i="1"/>
  <c r="B15650" i="1"/>
  <c r="E15651" i="1"/>
  <c r="B15651" i="1"/>
  <c r="E15652" i="1"/>
  <c r="B15652" i="1"/>
  <c r="E15653" i="1"/>
  <c r="B15653" i="1"/>
  <c r="E15654" i="1"/>
  <c r="B15654" i="1"/>
  <c r="E15655" i="1"/>
  <c r="B15655" i="1"/>
  <c r="E15656" i="1"/>
  <c r="B15656" i="1"/>
  <c r="E15657" i="1"/>
  <c r="B15657" i="1"/>
  <c r="E15658" i="1"/>
  <c r="B15658" i="1"/>
  <c r="E15659" i="1"/>
  <c r="B15659" i="1"/>
  <c r="E15660" i="1"/>
  <c r="B15660" i="1"/>
  <c r="E15661" i="1"/>
  <c r="B15661" i="1"/>
  <c r="E15662" i="1"/>
  <c r="B15662" i="1"/>
  <c r="E15663" i="1"/>
  <c r="B15663" i="1"/>
  <c r="E15664" i="1"/>
  <c r="B15664" i="1"/>
  <c r="E15666" i="1"/>
  <c r="B15666" i="1"/>
  <c r="E15665" i="1"/>
  <c r="B15665" i="1"/>
  <c r="E15667" i="1"/>
  <c r="B15667" i="1"/>
  <c r="E15668" i="1"/>
  <c r="B15668" i="1"/>
  <c r="E15669" i="1"/>
  <c r="B15669" i="1"/>
  <c r="E15670" i="1"/>
  <c r="B15670" i="1"/>
  <c r="E15671" i="1"/>
  <c r="B15671" i="1"/>
  <c r="E15672" i="1"/>
  <c r="B15672" i="1"/>
  <c r="E15673" i="1"/>
  <c r="B15673" i="1"/>
  <c r="E15674" i="1"/>
  <c r="B15674" i="1"/>
  <c r="E15675" i="1"/>
  <c r="B15675" i="1"/>
  <c r="E15676" i="1"/>
  <c r="B15676" i="1"/>
  <c r="E15677" i="1"/>
  <c r="B15677" i="1"/>
  <c r="E15678" i="1"/>
  <c r="B15678" i="1"/>
  <c r="E15679" i="1"/>
  <c r="B15679" i="1"/>
  <c r="E15681" i="1"/>
  <c r="B15681" i="1"/>
  <c r="E15680" i="1"/>
  <c r="B15680" i="1"/>
  <c r="E15682" i="1"/>
  <c r="B15682" i="1"/>
  <c r="E15683" i="1"/>
  <c r="B15683" i="1"/>
  <c r="E15684" i="1"/>
  <c r="B15684" i="1"/>
  <c r="E15685" i="1"/>
  <c r="B15685" i="1"/>
  <c r="E15686" i="1"/>
  <c r="B15686" i="1"/>
  <c r="E15687" i="1"/>
  <c r="B15687" i="1"/>
  <c r="E15688" i="1"/>
  <c r="B15688" i="1"/>
  <c r="E15689" i="1"/>
  <c r="B15689" i="1"/>
  <c r="E15690" i="1"/>
  <c r="B15690" i="1"/>
  <c r="E15691" i="1"/>
  <c r="B15691" i="1"/>
  <c r="E15692" i="1"/>
  <c r="B15692" i="1"/>
  <c r="E15693" i="1"/>
  <c r="B15693" i="1"/>
  <c r="E15694" i="1"/>
  <c r="B15694" i="1"/>
  <c r="E15695" i="1"/>
  <c r="B15695" i="1"/>
  <c r="E15696" i="1"/>
  <c r="B15696" i="1"/>
  <c r="E15697" i="1"/>
  <c r="B15697" i="1"/>
  <c r="E15698" i="1"/>
  <c r="B15698" i="1"/>
  <c r="E15699" i="1"/>
  <c r="B15699" i="1"/>
  <c r="E15700" i="1"/>
  <c r="B15700" i="1"/>
  <c r="E15701" i="1"/>
  <c r="B15701" i="1"/>
  <c r="E15702" i="1"/>
  <c r="B15702" i="1"/>
  <c r="E15703" i="1"/>
  <c r="B15703" i="1"/>
  <c r="E15704" i="1"/>
  <c r="B15704" i="1"/>
  <c r="E15705" i="1"/>
  <c r="B15705" i="1"/>
  <c r="E15706" i="1"/>
  <c r="B15706" i="1"/>
  <c r="E15707" i="1"/>
  <c r="B15707" i="1"/>
  <c r="E15708" i="1"/>
  <c r="B15708" i="1"/>
  <c r="E15709" i="1"/>
  <c r="B15709" i="1"/>
  <c r="E15710" i="1"/>
  <c r="B15710" i="1"/>
  <c r="E15711" i="1"/>
  <c r="B15711" i="1"/>
  <c r="E15712" i="1"/>
  <c r="B15712" i="1"/>
  <c r="E15713" i="1"/>
  <c r="B15713" i="1"/>
  <c r="E15714" i="1"/>
  <c r="B15714" i="1"/>
  <c r="E15715" i="1"/>
  <c r="B15715" i="1"/>
  <c r="E15716" i="1"/>
  <c r="B15716" i="1"/>
  <c r="E15717" i="1"/>
  <c r="B15717" i="1"/>
  <c r="E15718" i="1"/>
  <c r="B15718" i="1"/>
  <c r="E15719" i="1"/>
  <c r="B15719" i="1"/>
  <c r="E15720" i="1"/>
  <c r="B15720" i="1"/>
  <c r="E15721" i="1"/>
  <c r="B15721" i="1"/>
  <c r="E15722" i="1"/>
  <c r="B15722" i="1"/>
  <c r="E15723" i="1"/>
  <c r="B15723" i="1"/>
  <c r="E15724" i="1"/>
  <c r="B15724" i="1"/>
  <c r="E15726" i="1"/>
  <c r="B15726" i="1"/>
  <c r="E15725" i="1"/>
  <c r="B15725" i="1"/>
  <c r="E15727" i="1"/>
  <c r="B15727" i="1"/>
  <c r="E15728" i="1"/>
  <c r="B15728" i="1"/>
  <c r="E15729" i="1"/>
  <c r="B15729" i="1"/>
  <c r="E15730" i="1"/>
  <c r="B15730" i="1"/>
  <c r="E15731" i="1"/>
  <c r="B15731" i="1"/>
  <c r="E15732" i="1"/>
  <c r="B15732" i="1"/>
  <c r="E15733" i="1"/>
  <c r="B15733" i="1"/>
  <c r="E15735" i="1"/>
  <c r="B15735" i="1"/>
  <c r="E15734" i="1"/>
  <c r="B15734" i="1"/>
  <c r="E15736" i="1"/>
  <c r="B15736" i="1"/>
  <c r="E15737" i="1"/>
  <c r="B15737" i="1"/>
  <c r="E15738" i="1"/>
  <c r="B15738" i="1"/>
  <c r="E15739" i="1"/>
  <c r="B15739" i="1"/>
  <c r="E15740" i="1"/>
  <c r="B15740" i="1"/>
  <c r="E15741" i="1"/>
  <c r="B15741" i="1"/>
  <c r="E15742" i="1"/>
  <c r="B15742" i="1"/>
  <c r="E15743" i="1"/>
  <c r="B15743" i="1"/>
  <c r="E15744" i="1"/>
  <c r="B15744" i="1"/>
  <c r="E15745" i="1"/>
  <c r="B15745" i="1"/>
  <c r="E15746" i="1"/>
  <c r="B15746" i="1"/>
  <c r="E15747" i="1"/>
  <c r="B15747" i="1"/>
  <c r="E15748" i="1"/>
  <c r="B15748" i="1"/>
  <c r="E15749" i="1"/>
  <c r="B15749" i="1"/>
  <c r="E15750" i="1"/>
  <c r="B15750" i="1"/>
  <c r="E15751" i="1"/>
  <c r="B15751" i="1"/>
  <c r="E15752" i="1"/>
  <c r="B15752" i="1"/>
  <c r="E15753" i="1"/>
  <c r="B15753" i="1"/>
  <c r="E15754" i="1"/>
  <c r="B15754" i="1"/>
  <c r="E15757" i="1"/>
  <c r="B15757" i="1"/>
  <c r="E15756" i="1"/>
  <c r="B15756" i="1"/>
  <c r="E15755" i="1"/>
  <c r="B15755" i="1"/>
  <c r="E15758" i="1"/>
  <c r="B15758" i="1"/>
  <c r="E15761" i="1"/>
  <c r="B15761" i="1"/>
  <c r="E15760" i="1"/>
  <c r="B15760" i="1"/>
  <c r="E15759" i="1"/>
  <c r="B15759" i="1"/>
  <c r="E15762" i="1"/>
  <c r="B15762" i="1"/>
  <c r="E15763" i="1"/>
  <c r="B15763" i="1"/>
  <c r="E15764" i="1"/>
  <c r="B15764" i="1"/>
  <c r="E15765" i="1"/>
  <c r="B15765" i="1"/>
  <c r="E15766" i="1"/>
  <c r="B15766" i="1"/>
  <c r="E15767" i="1"/>
  <c r="B15767" i="1"/>
  <c r="E15768" i="1"/>
  <c r="B15768" i="1"/>
  <c r="E15769" i="1"/>
  <c r="B15769" i="1"/>
  <c r="E15770" i="1"/>
  <c r="B15770" i="1"/>
  <c r="E15771" i="1"/>
  <c r="B15771" i="1"/>
  <c r="E15772" i="1"/>
  <c r="B15772" i="1"/>
  <c r="E15773" i="1"/>
  <c r="B15773" i="1"/>
  <c r="E15775" i="1"/>
  <c r="B15775" i="1"/>
  <c r="E15774" i="1"/>
  <c r="B15774" i="1"/>
  <c r="E15776" i="1"/>
  <c r="B15776" i="1"/>
  <c r="E15777" i="1"/>
  <c r="B15777" i="1"/>
  <c r="E15778" i="1"/>
  <c r="B15778" i="1"/>
  <c r="E15779" i="1"/>
  <c r="B15779" i="1"/>
  <c r="E15780" i="1"/>
  <c r="B15780" i="1"/>
  <c r="E15781" i="1"/>
  <c r="B15781" i="1"/>
  <c r="E15782" i="1"/>
  <c r="B15782" i="1"/>
  <c r="E15783" i="1"/>
  <c r="B15783" i="1"/>
  <c r="E15784" i="1"/>
  <c r="B15784" i="1"/>
  <c r="E15785" i="1"/>
  <c r="B15785" i="1"/>
  <c r="E15786" i="1"/>
  <c r="B15786" i="1"/>
  <c r="E15787" i="1"/>
  <c r="B15787" i="1"/>
  <c r="E15788" i="1"/>
  <c r="B15788" i="1"/>
  <c r="E15789" i="1"/>
  <c r="B15789" i="1"/>
  <c r="E15790" i="1"/>
  <c r="B15790" i="1"/>
  <c r="E15791" i="1"/>
  <c r="B15791" i="1"/>
  <c r="E15792" i="1"/>
  <c r="B15792" i="1"/>
  <c r="E15793" i="1"/>
  <c r="B15793" i="1"/>
  <c r="E15794" i="1"/>
  <c r="B15794" i="1"/>
  <c r="E15795" i="1"/>
  <c r="B15795" i="1"/>
  <c r="E15796" i="1"/>
  <c r="B15796" i="1"/>
  <c r="E15798" i="1"/>
  <c r="B15798" i="1"/>
  <c r="E15797" i="1"/>
  <c r="B15797" i="1"/>
  <c r="E15799" i="1"/>
  <c r="B15799" i="1"/>
  <c r="E15800" i="1"/>
  <c r="B15800" i="1"/>
  <c r="E15801" i="1"/>
  <c r="B15801" i="1"/>
  <c r="E15802" i="1"/>
  <c r="B15802" i="1"/>
  <c r="E15803" i="1"/>
  <c r="B15803" i="1"/>
  <c r="E15804" i="1"/>
  <c r="B15804" i="1"/>
  <c r="E15805" i="1"/>
  <c r="B15805" i="1"/>
  <c r="E15806" i="1"/>
  <c r="B15806" i="1"/>
  <c r="E15807" i="1"/>
  <c r="B15807" i="1"/>
  <c r="E15808" i="1"/>
  <c r="B15808" i="1"/>
  <c r="E15809" i="1"/>
  <c r="B15809" i="1"/>
  <c r="E15810" i="1"/>
  <c r="B15810" i="1"/>
  <c r="E15811" i="1"/>
  <c r="B15811" i="1"/>
  <c r="E15812" i="1"/>
  <c r="B15812" i="1"/>
  <c r="E15813" i="1"/>
  <c r="B15813" i="1"/>
  <c r="E15814" i="1"/>
  <c r="B15814" i="1"/>
  <c r="E15815" i="1"/>
  <c r="B15815" i="1"/>
  <c r="E15816" i="1"/>
  <c r="B15816" i="1"/>
  <c r="E15817" i="1"/>
  <c r="B15817" i="1"/>
  <c r="E15818" i="1"/>
  <c r="B15818" i="1"/>
  <c r="E15819" i="1"/>
  <c r="B15819" i="1"/>
  <c r="E15820" i="1"/>
  <c r="B15820" i="1"/>
  <c r="E15821" i="1"/>
  <c r="B15821" i="1"/>
  <c r="E15822" i="1"/>
  <c r="B15822" i="1"/>
  <c r="E15823" i="1"/>
  <c r="B15823" i="1"/>
  <c r="E15824" i="1"/>
  <c r="B15824" i="1"/>
  <c r="E15825" i="1"/>
  <c r="B15825" i="1"/>
  <c r="E15827" i="1"/>
  <c r="B15827" i="1"/>
  <c r="E15826" i="1"/>
  <c r="B15826" i="1"/>
  <c r="E15828" i="1"/>
  <c r="B15828" i="1"/>
  <c r="E15829" i="1"/>
  <c r="B15829" i="1"/>
  <c r="E15830" i="1"/>
  <c r="B15830" i="1"/>
  <c r="E15831" i="1"/>
  <c r="B15831" i="1"/>
  <c r="E15832" i="1"/>
  <c r="B15832" i="1"/>
  <c r="E15833" i="1"/>
  <c r="B15833" i="1"/>
  <c r="E15834" i="1"/>
  <c r="B15834" i="1"/>
  <c r="E15835" i="1"/>
  <c r="B15835" i="1"/>
  <c r="E15836" i="1"/>
  <c r="B15836" i="1"/>
  <c r="E15837" i="1"/>
  <c r="B15837" i="1"/>
  <c r="E15838" i="1"/>
  <c r="B15838" i="1"/>
  <c r="E15839" i="1"/>
  <c r="B15839" i="1"/>
  <c r="E15840" i="1"/>
  <c r="B15840" i="1"/>
  <c r="E15841" i="1"/>
  <c r="B15841" i="1"/>
  <c r="E15842" i="1"/>
  <c r="B15842" i="1"/>
  <c r="E15843" i="1"/>
  <c r="B15843" i="1"/>
  <c r="E15844" i="1"/>
  <c r="B15844" i="1"/>
  <c r="E15845" i="1"/>
  <c r="B15845" i="1"/>
  <c r="E15846" i="1"/>
  <c r="B15846" i="1"/>
  <c r="E15847" i="1"/>
  <c r="B15847" i="1"/>
  <c r="E15849" i="1"/>
  <c r="B15849" i="1"/>
  <c r="E15848" i="1"/>
  <c r="B15848" i="1"/>
  <c r="E15850" i="1"/>
  <c r="B15850" i="1"/>
  <c r="E15851" i="1"/>
  <c r="B15851" i="1"/>
  <c r="E15852" i="1"/>
  <c r="B15852" i="1"/>
  <c r="E15853" i="1"/>
  <c r="B15853" i="1"/>
  <c r="E15854" i="1"/>
  <c r="B15854" i="1"/>
  <c r="E15855" i="1"/>
  <c r="B15855" i="1"/>
  <c r="E15856" i="1"/>
  <c r="B15856" i="1"/>
  <c r="E15857" i="1"/>
  <c r="B15857" i="1"/>
  <c r="E15858" i="1"/>
  <c r="B15858" i="1"/>
  <c r="E15859" i="1"/>
  <c r="B15859" i="1"/>
  <c r="E15860" i="1"/>
  <c r="B15860" i="1"/>
  <c r="E15861" i="1"/>
  <c r="B15861" i="1"/>
  <c r="E15862" i="1"/>
  <c r="B15862" i="1"/>
  <c r="E15863" i="1"/>
  <c r="B15863" i="1"/>
  <c r="E15864" i="1"/>
  <c r="B15864" i="1"/>
  <c r="E15865" i="1"/>
  <c r="B15865" i="1"/>
  <c r="E15866" i="1"/>
  <c r="B15866" i="1"/>
  <c r="E15868" i="1"/>
  <c r="B15868" i="1"/>
  <c r="E15867" i="1"/>
  <c r="B15867" i="1"/>
  <c r="E15869" i="1"/>
  <c r="B15869" i="1"/>
  <c r="E15870" i="1"/>
  <c r="B15870" i="1"/>
  <c r="E15871" i="1"/>
  <c r="B15871" i="1"/>
  <c r="E15872" i="1"/>
  <c r="B15872" i="1"/>
  <c r="E15873" i="1"/>
  <c r="B15873" i="1"/>
  <c r="E15874" i="1"/>
  <c r="B15874" i="1"/>
  <c r="E15875" i="1"/>
  <c r="B15875" i="1"/>
  <c r="E15876" i="1"/>
  <c r="B15876" i="1"/>
  <c r="E15877" i="1"/>
  <c r="B15877" i="1"/>
  <c r="E15878" i="1"/>
  <c r="B15878" i="1"/>
  <c r="E15879" i="1"/>
  <c r="B15879" i="1"/>
  <c r="E15880" i="1"/>
  <c r="B15880" i="1"/>
  <c r="E15881" i="1"/>
  <c r="B15881" i="1"/>
  <c r="E15882" i="1"/>
  <c r="B15882" i="1"/>
  <c r="E15883" i="1"/>
  <c r="B15883" i="1"/>
  <c r="E15884" i="1"/>
  <c r="B15884" i="1"/>
  <c r="E15886" i="1"/>
  <c r="B15886" i="1"/>
  <c r="E15885" i="1"/>
  <c r="B15885" i="1"/>
  <c r="E15887" i="1"/>
  <c r="B15887" i="1"/>
  <c r="E15888" i="1"/>
  <c r="B15888" i="1"/>
  <c r="E15889" i="1"/>
  <c r="B15889" i="1"/>
  <c r="E15890" i="1"/>
  <c r="B15890" i="1"/>
  <c r="E15891" i="1"/>
  <c r="B15891" i="1"/>
  <c r="E15892" i="1"/>
  <c r="B15892" i="1"/>
  <c r="E15893" i="1"/>
  <c r="B15893" i="1"/>
  <c r="E15894" i="1"/>
  <c r="B15894" i="1"/>
  <c r="E15895" i="1"/>
  <c r="B15895" i="1"/>
  <c r="E15896" i="1"/>
  <c r="B15896" i="1"/>
  <c r="E15897" i="1"/>
  <c r="B15897" i="1"/>
  <c r="E15898" i="1"/>
  <c r="B15898" i="1"/>
  <c r="E15899" i="1"/>
  <c r="B15899" i="1"/>
  <c r="E15900" i="1"/>
  <c r="B15900" i="1"/>
  <c r="E15901" i="1"/>
  <c r="B15901" i="1"/>
  <c r="E15902" i="1"/>
  <c r="B15902" i="1"/>
  <c r="E15903" i="1"/>
  <c r="B15903" i="1"/>
  <c r="E15904" i="1"/>
  <c r="B15904" i="1"/>
  <c r="E15905" i="1"/>
  <c r="B15905" i="1"/>
  <c r="E15906" i="1"/>
  <c r="B15906" i="1"/>
  <c r="E15907" i="1"/>
  <c r="B15907" i="1"/>
  <c r="E15908" i="1"/>
  <c r="B15908" i="1"/>
  <c r="E15909" i="1"/>
  <c r="B15909" i="1"/>
  <c r="E15910" i="1"/>
  <c r="B15910" i="1"/>
  <c r="E15911" i="1"/>
  <c r="B15911" i="1"/>
  <c r="E15912" i="1"/>
  <c r="B15912" i="1"/>
  <c r="E15913" i="1"/>
  <c r="B15913" i="1"/>
  <c r="E15914" i="1"/>
  <c r="B15914" i="1"/>
  <c r="E15915" i="1"/>
  <c r="B15915" i="1"/>
  <c r="E15916" i="1"/>
  <c r="B15916" i="1"/>
  <c r="E15917" i="1"/>
  <c r="B15917" i="1"/>
  <c r="E15918" i="1"/>
  <c r="B15918" i="1"/>
  <c r="E15919" i="1"/>
  <c r="B15919" i="1"/>
  <c r="E15920" i="1"/>
  <c r="B15920" i="1"/>
  <c r="E15921" i="1"/>
  <c r="B15921" i="1"/>
  <c r="E15922" i="1"/>
  <c r="B15922" i="1"/>
  <c r="E15923" i="1"/>
  <c r="B15923" i="1"/>
  <c r="E15924" i="1"/>
  <c r="B15924" i="1"/>
  <c r="E15925" i="1"/>
  <c r="B15925" i="1"/>
  <c r="E15926" i="1"/>
  <c r="B15926" i="1"/>
  <c r="E15927" i="1"/>
  <c r="B15927" i="1"/>
  <c r="E15928" i="1"/>
  <c r="B15928" i="1"/>
  <c r="E15929" i="1"/>
  <c r="B15929" i="1"/>
  <c r="E15930" i="1"/>
  <c r="B15930" i="1"/>
  <c r="E15931" i="1"/>
  <c r="B15931" i="1"/>
  <c r="E15932" i="1"/>
  <c r="B15932" i="1"/>
  <c r="E15933" i="1"/>
  <c r="B15933" i="1"/>
  <c r="E15934" i="1"/>
  <c r="B15934" i="1"/>
  <c r="E15935" i="1"/>
  <c r="B15935" i="1"/>
  <c r="E15936" i="1"/>
  <c r="B15936" i="1"/>
  <c r="E15937" i="1"/>
  <c r="B15937" i="1"/>
  <c r="E15938" i="1"/>
  <c r="B15938" i="1"/>
  <c r="E15939" i="1"/>
  <c r="B15939" i="1"/>
  <c r="E15940" i="1"/>
  <c r="B15940" i="1"/>
  <c r="E15941" i="1"/>
  <c r="B15941" i="1"/>
  <c r="E15942" i="1"/>
  <c r="B15942" i="1"/>
  <c r="E15943" i="1"/>
  <c r="B15943" i="1"/>
  <c r="E15944" i="1"/>
  <c r="B15944" i="1"/>
  <c r="E15945" i="1"/>
  <c r="B15945" i="1"/>
  <c r="E15946" i="1"/>
  <c r="B15946" i="1"/>
  <c r="E15947" i="1"/>
  <c r="B15947" i="1"/>
  <c r="E15948" i="1"/>
  <c r="B15948" i="1"/>
  <c r="E15949" i="1"/>
  <c r="B15949" i="1"/>
  <c r="E15950" i="1"/>
  <c r="B15950" i="1"/>
  <c r="E15951" i="1"/>
  <c r="B15951" i="1"/>
  <c r="E15952" i="1"/>
  <c r="B15952" i="1"/>
  <c r="E15953" i="1"/>
  <c r="B15953" i="1"/>
  <c r="E15954" i="1"/>
  <c r="B15954" i="1"/>
  <c r="E15955" i="1"/>
  <c r="B15955" i="1"/>
  <c r="E15956" i="1"/>
  <c r="B15956" i="1"/>
  <c r="E15957" i="1"/>
  <c r="B15957" i="1"/>
  <c r="E15958" i="1"/>
  <c r="B15958" i="1"/>
  <c r="E15959" i="1"/>
  <c r="B15959" i="1"/>
  <c r="E15960" i="1"/>
  <c r="B15960" i="1"/>
  <c r="E15962" i="1"/>
  <c r="B15962" i="1"/>
  <c r="E15961" i="1"/>
  <c r="B15961" i="1"/>
  <c r="E15963" i="1"/>
  <c r="B15963" i="1"/>
  <c r="E15964" i="1"/>
  <c r="B15964" i="1"/>
  <c r="E15965" i="1"/>
  <c r="B15965" i="1"/>
  <c r="E15966" i="1"/>
  <c r="B15966" i="1"/>
  <c r="E15967" i="1"/>
  <c r="B15967" i="1"/>
  <c r="E15968" i="1"/>
  <c r="B15968" i="1"/>
  <c r="E15969" i="1"/>
  <c r="B15969" i="1"/>
  <c r="E15970" i="1"/>
  <c r="B15970" i="1"/>
  <c r="E15971" i="1"/>
  <c r="B15971" i="1"/>
  <c r="E15972" i="1"/>
  <c r="B15972" i="1"/>
  <c r="E15973" i="1"/>
  <c r="B15973" i="1"/>
  <c r="E15974" i="1"/>
  <c r="B15974" i="1"/>
  <c r="E15975" i="1"/>
  <c r="B15975" i="1"/>
  <c r="E15976" i="1"/>
  <c r="B15976" i="1"/>
  <c r="E15977" i="1"/>
  <c r="B15977" i="1"/>
  <c r="E15978" i="1"/>
  <c r="B15978" i="1"/>
  <c r="E15979" i="1"/>
  <c r="B15979" i="1"/>
  <c r="E15980" i="1"/>
  <c r="B15980" i="1"/>
  <c r="E15981" i="1"/>
  <c r="B15981" i="1"/>
  <c r="E15982" i="1"/>
  <c r="B15982" i="1"/>
  <c r="E15983" i="1"/>
  <c r="B15983" i="1"/>
  <c r="E15984" i="1"/>
  <c r="B15984" i="1"/>
  <c r="E15985" i="1"/>
  <c r="B15985" i="1"/>
  <c r="E15986" i="1"/>
  <c r="B15986" i="1"/>
  <c r="E15987" i="1"/>
  <c r="B15987" i="1"/>
  <c r="E15989" i="1"/>
  <c r="B15989" i="1"/>
  <c r="E15988" i="1"/>
  <c r="B15988" i="1"/>
  <c r="E15990" i="1"/>
  <c r="B15990" i="1"/>
  <c r="E15991" i="1"/>
  <c r="B15991" i="1"/>
  <c r="E15992" i="1"/>
  <c r="B15992" i="1"/>
  <c r="E15993" i="1"/>
  <c r="B15993" i="1"/>
  <c r="E15994" i="1"/>
  <c r="B15994" i="1"/>
  <c r="E15995" i="1"/>
  <c r="B15995" i="1"/>
  <c r="E15996" i="1"/>
  <c r="B15996" i="1"/>
  <c r="E15998" i="1"/>
  <c r="B15998" i="1"/>
  <c r="E15997" i="1"/>
  <c r="B15997" i="1"/>
  <c r="E15999" i="1"/>
  <c r="B15999" i="1"/>
  <c r="E16000" i="1"/>
  <c r="B16000" i="1"/>
  <c r="E16001" i="1"/>
  <c r="B16001" i="1"/>
  <c r="E16002" i="1"/>
  <c r="B16002" i="1"/>
  <c r="E16003" i="1"/>
  <c r="B16003" i="1"/>
  <c r="E16004" i="1"/>
  <c r="B16004" i="1"/>
  <c r="E16005" i="1"/>
  <c r="B16005" i="1"/>
  <c r="E16006" i="1"/>
  <c r="B16006" i="1"/>
  <c r="E16007" i="1"/>
  <c r="B16007" i="1"/>
  <c r="E16008" i="1"/>
  <c r="B16008" i="1"/>
  <c r="E16009" i="1"/>
  <c r="B16009" i="1"/>
  <c r="E16010" i="1"/>
  <c r="B16010" i="1"/>
  <c r="E16011" i="1"/>
  <c r="B16011" i="1"/>
  <c r="E16012" i="1"/>
  <c r="B16012" i="1"/>
  <c r="E16013" i="1"/>
  <c r="B16013" i="1"/>
  <c r="E16014" i="1"/>
  <c r="B16014" i="1"/>
  <c r="E16015" i="1"/>
  <c r="B16015" i="1"/>
  <c r="E16016" i="1"/>
  <c r="B16016" i="1"/>
  <c r="E16017" i="1"/>
  <c r="B16017" i="1"/>
  <c r="E16018" i="1"/>
  <c r="B16018" i="1"/>
  <c r="E16019" i="1"/>
  <c r="B16019" i="1"/>
  <c r="E16020" i="1"/>
  <c r="B16020" i="1"/>
  <c r="E16021" i="1"/>
  <c r="B16021" i="1"/>
  <c r="E16022" i="1"/>
  <c r="B16022" i="1"/>
  <c r="E16023" i="1"/>
  <c r="B16023" i="1"/>
  <c r="E16024" i="1"/>
  <c r="B16024" i="1"/>
  <c r="E16025" i="1"/>
  <c r="B16025" i="1"/>
  <c r="E16026" i="1"/>
  <c r="B16026" i="1"/>
  <c r="E16027" i="1"/>
  <c r="B16027" i="1"/>
  <c r="E16028" i="1"/>
  <c r="B16028" i="1"/>
  <c r="E16029" i="1"/>
  <c r="B16029" i="1"/>
  <c r="E16030" i="1"/>
  <c r="B16030" i="1"/>
  <c r="E16031" i="1"/>
  <c r="B16031" i="1"/>
  <c r="E16032" i="1"/>
  <c r="B16032" i="1"/>
  <c r="E16033" i="1"/>
  <c r="B16033" i="1"/>
  <c r="E16034" i="1"/>
  <c r="B16034" i="1"/>
  <c r="E16035" i="1"/>
  <c r="B16035" i="1"/>
  <c r="E16036" i="1"/>
  <c r="B16036" i="1"/>
  <c r="E16037" i="1"/>
  <c r="B16037" i="1"/>
  <c r="E16038" i="1"/>
  <c r="B16038" i="1"/>
  <c r="E16039" i="1"/>
  <c r="B16039" i="1"/>
  <c r="E16040" i="1"/>
  <c r="B16040" i="1"/>
  <c r="E16041" i="1"/>
  <c r="B16041" i="1"/>
  <c r="E16042" i="1"/>
  <c r="B16042" i="1"/>
  <c r="E16043" i="1"/>
  <c r="B16043" i="1"/>
  <c r="E16044" i="1"/>
  <c r="B16044" i="1"/>
  <c r="E16045" i="1"/>
  <c r="B16045" i="1"/>
  <c r="E16046" i="1"/>
  <c r="B16046" i="1"/>
  <c r="E16047" i="1"/>
  <c r="B16047" i="1"/>
  <c r="E16048" i="1"/>
  <c r="B16048" i="1"/>
  <c r="E16049" i="1"/>
  <c r="B16049" i="1"/>
  <c r="E16050" i="1"/>
  <c r="B16050" i="1"/>
  <c r="E16051" i="1"/>
  <c r="B16051" i="1"/>
  <c r="E16052" i="1"/>
  <c r="B16052" i="1"/>
  <c r="E16053" i="1"/>
  <c r="B16053" i="1"/>
  <c r="E16054" i="1"/>
  <c r="B16054" i="1"/>
  <c r="E16055" i="1"/>
  <c r="B16055" i="1"/>
  <c r="E16056" i="1"/>
  <c r="B16056" i="1"/>
  <c r="E16058" i="1"/>
  <c r="B16058" i="1"/>
  <c r="E16057" i="1"/>
  <c r="B16057" i="1"/>
  <c r="E16059" i="1"/>
  <c r="B16059" i="1"/>
  <c r="E16060" i="1"/>
  <c r="B16060" i="1"/>
  <c r="E16061" i="1"/>
  <c r="B16061" i="1"/>
  <c r="E16062" i="1"/>
  <c r="B16062" i="1"/>
  <c r="E16063" i="1"/>
  <c r="B16063" i="1"/>
  <c r="E16064" i="1"/>
  <c r="B16064" i="1"/>
  <c r="E16065" i="1"/>
  <c r="B16065" i="1"/>
  <c r="E16066" i="1"/>
  <c r="B16066" i="1"/>
  <c r="E16067" i="1"/>
  <c r="B16067" i="1"/>
  <c r="E16068" i="1"/>
  <c r="B16068" i="1"/>
  <c r="E16069" i="1"/>
  <c r="B16069" i="1"/>
  <c r="E16070" i="1"/>
  <c r="B16070" i="1"/>
  <c r="E16071" i="1"/>
  <c r="B16071" i="1"/>
  <c r="E16072" i="1"/>
  <c r="B16072" i="1"/>
  <c r="E16073" i="1"/>
  <c r="B16073" i="1"/>
  <c r="E16074" i="1"/>
  <c r="B16074" i="1"/>
  <c r="E16075" i="1"/>
  <c r="B16075" i="1"/>
  <c r="E16076" i="1"/>
  <c r="B16076" i="1"/>
  <c r="E16077" i="1"/>
  <c r="B16077" i="1"/>
  <c r="E16078" i="1"/>
  <c r="B16078" i="1"/>
  <c r="E16079" i="1"/>
  <c r="B16079" i="1"/>
  <c r="E16080" i="1"/>
  <c r="B16080" i="1"/>
  <c r="E16081" i="1"/>
  <c r="B16081" i="1"/>
  <c r="E16082" i="1"/>
  <c r="B16082" i="1"/>
  <c r="E16083" i="1"/>
  <c r="B16083" i="1"/>
  <c r="E16084" i="1"/>
  <c r="B16084" i="1"/>
  <c r="E16085" i="1"/>
  <c r="B16085" i="1"/>
  <c r="E16086" i="1"/>
  <c r="B16086" i="1"/>
  <c r="E16087" i="1"/>
  <c r="B16087" i="1"/>
  <c r="E16088" i="1"/>
  <c r="B16088" i="1"/>
  <c r="E16089" i="1"/>
  <c r="B16089" i="1"/>
  <c r="E16090" i="1"/>
  <c r="B16090" i="1"/>
  <c r="E16091" i="1"/>
  <c r="B16091" i="1"/>
  <c r="E16092" i="1"/>
  <c r="B16092" i="1"/>
  <c r="E16093" i="1"/>
  <c r="B16093" i="1"/>
  <c r="E16094" i="1"/>
  <c r="B16094" i="1"/>
  <c r="E16095" i="1"/>
  <c r="B16095" i="1"/>
  <c r="E16096" i="1"/>
  <c r="B16096" i="1"/>
  <c r="E16097" i="1"/>
  <c r="B16097" i="1"/>
  <c r="E16098" i="1"/>
  <c r="B16098" i="1"/>
  <c r="E16099" i="1"/>
  <c r="B16099" i="1"/>
  <c r="E16100" i="1"/>
  <c r="B16100" i="1"/>
  <c r="E16101" i="1"/>
  <c r="B16101" i="1"/>
  <c r="E16102" i="1"/>
  <c r="B16102" i="1"/>
  <c r="E16103" i="1"/>
  <c r="B16103" i="1"/>
  <c r="E16104" i="1"/>
  <c r="B16104" i="1"/>
  <c r="E16105" i="1"/>
  <c r="B16105" i="1"/>
  <c r="E16106" i="1"/>
  <c r="B16106" i="1"/>
  <c r="E16107" i="1"/>
  <c r="B16107" i="1"/>
  <c r="E16108" i="1"/>
  <c r="B16108" i="1"/>
  <c r="E16109" i="1"/>
  <c r="B16109" i="1"/>
  <c r="E16110" i="1"/>
  <c r="B16110" i="1"/>
  <c r="E16111" i="1"/>
  <c r="B16111" i="1"/>
  <c r="E16112" i="1"/>
  <c r="B16112" i="1"/>
  <c r="E16113" i="1"/>
  <c r="B16113" i="1"/>
  <c r="E16114" i="1"/>
  <c r="B16114" i="1"/>
  <c r="E16115" i="1"/>
  <c r="B16115" i="1"/>
  <c r="E16116" i="1"/>
  <c r="B16116" i="1"/>
  <c r="E16117" i="1"/>
  <c r="B16117" i="1"/>
  <c r="E16118" i="1"/>
  <c r="B16118" i="1"/>
  <c r="E16119" i="1"/>
  <c r="B16119" i="1"/>
  <c r="E16120" i="1"/>
  <c r="B16120" i="1"/>
  <c r="E16121" i="1"/>
  <c r="B16121" i="1"/>
  <c r="E16122" i="1"/>
  <c r="B16122" i="1"/>
  <c r="E16123" i="1"/>
  <c r="B16123" i="1"/>
  <c r="E16124" i="1"/>
  <c r="B16124" i="1"/>
  <c r="E16125" i="1"/>
  <c r="B16125" i="1"/>
  <c r="E16126" i="1"/>
  <c r="B16126" i="1"/>
  <c r="E16127" i="1"/>
  <c r="B16127" i="1"/>
  <c r="E16128" i="1"/>
  <c r="B16128" i="1"/>
  <c r="E16129" i="1"/>
  <c r="B16129" i="1"/>
  <c r="E16131" i="1"/>
  <c r="B16131" i="1"/>
  <c r="E16130" i="1"/>
  <c r="B16130" i="1"/>
  <c r="E16132" i="1"/>
  <c r="B16132" i="1"/>
  <c r="E16133" i="1"/>
  <c r="B16133" i="1"/>
  <c r="E16134" i="1"/>
  <c r="B16134" i="1"/>
  <c r="E16135" i="1"/>
  <c r="B16135" i="1"/>
  <c r="E16136" i="1"/>
  <c r="B16136" i="1"/>
  <c r="E16137" i="1"/>
  <c r="B16137" i="1"/>
  <c r="E16138" i="1"/>
  <c r="B16138" i="1"/>
  <c r="E16139" i="1"/>
  <c r="B16139" i="1"/>
  <c r="E16140" i="1"/>
  <c r="B16140" i="1"/>
  <c r="E16141" i="1"/>
  <c r="B16141" i="1"/>
  <c r="E16142" i="1"/>
  <c r="B16142" i="1"/>
  <c r="E16143" i="1"/>
  <c r="B16143" i="1"/>
  <c r="E16144" i="1"/>
  <c r="B16144" i="1"/>
  <c r="E16145" i="1"/>
  <c r="B16145" i="1"/>
  <c r="E16146" i="1"/>
  <c r="B16146" i="1"/>
  <c r="E16148" i="1"/>
  <c r="B16148" i="1"/>
  <c r="E16147" i="1"/>
  <c r="B16147" i="1"/>
  <c r="E16149" i="1"/>
  <c r="B16149" i="1"/>
  <c r="E16150" i="1"/>
  <c r="B16150" i="1"/>
  <c r="E16151" i="1"/>
  <c r="B16151" i="1"/>
  <c r="E16152" i="1"/>
  <c r="B16152" i="1"/>
  <c r="E16153" i="1"/>
  <c r="B16153" i="1"/>
  <c r="E16154" i="1"/>
  <c r="B16154" i="1"/>
  <c r="E16155" i="1"/>
  <c r="B16155" i="1"/>
  <c r="E16156" i="1"/>
  <c r="B16156" i="1"/>
  <c r="E16157" i="1"/>
  <c r="B16157" i="1"/>
  <c r="E16158" i="1"/>
  <c r="B16158" i="1"/>
  <c r="E16159" i="1"/>
  <c r="B16159" i="1"/>
  <c r="E16160" i="1"/>
  <c r="B16160" i="1"/>
  <c r="E16161" i="1"/>
  <c r="B16161" i="1"/>
  <c r="E16162" i="1"/>
  <c r="B16162" i="1"/>
  <c r="E16163" i="1"/>
  <c r="B16163" i="1"/>
  <c r="E16164" i="1"/>
  <c r="B16164" i="1"/>
  <c r="E16165" i="1"/>
  <c r="B16165" i="1"/>
  <c r="E16166" i="1"/>
  <c r="B16166" i="1"/>
  <c r="E16167" i="1"/>
  <c r="B16167" i="1"/>
  <c r="E16168" i="1"/>
  <c r="B16168" i="1"/>
  <c r="E16169" i="1"/>
  <c r="B16169" i="1"/>
  <c r="E16170" i="1"/>
  <c r="B16170" i="1"/>
  <c r="E16171" i="1"/>
  <c r="B16171" i="1"/>
  <c r="E16172" i="1"/>
  <c r="B16172" i="1"/>
  <c r="E16173" i="1"/>
  <c r="B16173" i="1"/>
  <c r="E16174" i="1"/>
  <c r="B16174" i="1"/>
  <c r="E16175" i="1"/>
  <c r="B16175" i="1"/>
  <c r="E16176" i="1"/>
  <c r="B16176" i="1"/>
  <c r="E16177" i="1"/>
  <c r="B16177" i="1"/>
  <c r="E16178" i="1"/>
  <c r="B16178" i="1"/>
  <c r="E16179" i="1"/>
  <c r="B16179" i="1"/>
  <c r="E16180" i="1"/>
  <c r="B16180" i="1"/>
  <c r="E16181" i="1"/>
  <c r="B16181" i="1"/>
  <c r="E16182" i="1"/>
  <c r="B16182" i="1"/>
  <c r="E16183" i="1"/>
  <c r="B16183" i="1"/>
  <c r="E16184" i="1"/>
  <c r="B16184" i="1"/>
  <c r="E16185" i="1"/>
  <c r="B16185" i="1"/>
  <c r="E16186" i="1"/>
  <c r="B16186" i="1"/>
  <c r="E16187" i="1"/>
  <c r="B16187" i="1"/>
  <c r="E16188" i="1"/>
  <c r="B16188" i="1"/>
  <c r="E16189" i="1"/>
  <c r="B16189" i="1"/>
  <c r="E16190" i="1"/>
  <c r="B16190" i="1"/>
  <c r="E16191" i="1"/>
  <c r="B16191" i="1"/>
  <c r="E16192" i="1"/>
  <c r="B16192" i="1"/>
  <c r="E16193" i="1"/>
  <c r="B16193" i="1"/>
  <c r="E16194" i="1"/>
  <c r="B16194" i="1"/>
  <c r="E16195" i="1"/>
  <c r="B16195" i="1"/>
  <c r="E16197" i="1"/>
  <c r="B16197" i="1"/>
  <c r="E16196" i="1"/>
  <c r="B16196" i="1"/>
  <c r="E16198" i="1"/>
  <c r="B16198" i="1"/>
  <c r="E16199" i="1"/>
  <c r="B16199" i="1"/>
  <c r="E16200" i="1"/>
  <c r="B16200" i="1"/>
  <c r="E16201" i="1"/>
  <c r="B16201" i="1"/>
  <c r="E16202" i="1"/>
  <c r="B16202" i="1"/>
  <c r="E16203" i="1"/>
  <c r="B16203" i="1"/>
  <c r="E16204" i="1"/>
  <c r="B16204" i="1"/>
  <c r="E16205" i="1"/>
  <c r="B16205" i="1"/>
  <c r="E16206" i="1"/>
  <c r="B16206" i="1"/>
  <c r="E16207" i="1"/>
  <c r="B16207" i="1"/>
  <c r="E16209" i="1"/>
  <c r="B16209" i="1"/>
  <c r="E16208" i="1"/>
  <c r="B16208" i="1"/>
  <c r="E16210" i="1"/>
  <c r="B16210" i="1"/>
  <c r="E16211" i="1"/>
  <c r="B16211" i="1"/>
  <c r="E16212" i="1"/>
  <c r="B16212" i="1"/>
  <c r="E16213" i="1"/>
  <c r="B16213" i="1"/>
  <c r="E16214" i="1"/>
  <c r="B16214" i="1"/>
  <c r="E16216" i="1"/>
  <c r="B16216" i="1"/>
  <c r="E16215" i="1"/>
  <c r="B16215" i="1"/>
  <c r="E16217" i="1"/>
  <c r="B16217" i="1"/>
  <c r="E16218" i="1"/>
  <c r="B16218" i="1"/>
  <c r="E16219" i="1"/>
  <c r="B16219" i="1"/>
  <c r="E16220" i="1"/>
  <c r="B16220" i="1"/>
  <c r="E16221" i="1"/>
  <c r="B16221" i="1"/>
  <c r="E16222" i="1"/>
  <c r="B16222" i="1"/>
  <c r="E16223" i="1"/>
  <c r="B16223" i="1"/>
  <c r="E16224" i="1"/>
  <c r="B16224" i="1"/>
  <c r="E16225" i="1"/>
  <c r="B16225" i="1"/>
  <c r="E16226" i="1"/>
  <c r="B16226" i="1"/>
  <c r="E16227" i="1"/>
  <c r="B16227" i="1"/>
  <c r="E16228" i="1"/>
  <c r="B16228" i="1"/>
  <c r="E16229" i="1"/>
  <c r="B16229" i="1"/>
  <c r="E16230" i="1"/>
  <c r="B16230" i="1"/>
  <c r="E16231" i="1"/>
  <c r="B16231" i="1"/>
  <c r="E16232" i="1"/>
  <c r="B16232" i="1"/>
  <c r="E16233" i="1"/>
  <c r="B16233" i="1"/>
  <c r="E16234" i="1"/>
  <c r="B16234" i="1"/>
  <c r="E16235" i="1"/>
  <c r="B16235" i="1"/>
  <c r="E16236" i="1"/>
  <c r="B16236" i="1"/>
  <c r="E16237" i="1"/>
  <c r="B16237" i="1"/>
  <c r="E16238" i="1"/>
  <c r="B16238" i="1"/>
  <c r="E16239" i="1"/>
  <c r="B16239" i="1"/>
  <c r="E16240" i="1"/>
  <c r="B16240" i="1"/>
  <c r="E16241" i="1"/>
  <c r="B16241" i="1"/>
  <c r="E16242" i="1"/>
  <c r="B16242" i="1"/>
  <c r="E16243" i="1"/>
  <c r="B16243" i="1"/>
  <c r="E16244" i="1"/>
  <c r="B16244" i="1"/>
  <c r="E16245" i="1"/>
  <c r="B16245" i="1"/>
  <c r="E16246" i="1"/>
  <c r="B16246" i="1"/>
  <c r="E16247" i="1"/>
  <c r="B16247" i="1"/>
  <c r="E16248" i="1"/>
  <c r="B16248" i="1"/>
  <c r="E16249" i="1"/>
  <c r="B16249" i="1"/>
  <c r="E16250" i="1"/>
  <c r="B16250" i="1"/>
  <c r="E16251" i="1"/>
  <c r="B16251" i="1"/>
  <c r="E16252" i="1"/>
  <c r="B16252" i="1"/>
  <c r="E16253" i="1"/>
  <c r="B16253" i="1"/>
  <c r="E16254" i="1"/>
  <c r="B16254" i="1"/>
  <c r="E16255" i="1"/>
  <c r="B16255" i="1"/>
  <c r="E16256" i="1"/>
  <c r="B16256" i="1"/>
  <c r="E16257" i="1"/>
  <c r="B16257" i="1"/>
  <c r="E16258" i="1"/>
  <c r="B16258" i="1"/>
  <c r="E16259" i="1"/>
  <c r="B16259" i="1"/>
  <c r="E16260" i="1"/>
  <c r="B16260" i="1"/>
  <c r="E16261" i="1"/>
  <c r="B16261" i="1"/>
  <c r="E16262" i="1"/>
  <c r="B16262" i="1"/>
  <c r="E16263" i="1"/>
  <c r="B16263" i="1"/>
  <c r="E16264" i="1"/>
  <c r="B16264" i="1"/>
  <c r="E16265" i="1"/>
  <c r="B16265" i="1"/>
  <c r="E16266" i="1"/>
  <c r="B16266" i="1"/>
  <c r="E16267" i="1"/>
  <c r="B16267" i="1"/>
  <c r="E16268" i="1"/>
  <c r="B16268" i="1"/>
  <c r="E16269" i="1"/>
  <c r="B16269" i="1"/>
  <c r="E16270" i="1"/>
  <c r="B16270" i="1"/>
  <c r="E16271" i="1"/>
  <c r="B16271" i="1"/>
  <c r="E16272" i="1"/>
  <c r="B16272" i="1"/>
  <c r="E16273" i="1"/>
  <c r="B16273" i="1"/>
  <c r="E16275" i="1"/>
  <c r="B16275" i="1"/>
  <c r="E16274" i="1"/>
  <c r="B16274" i="1"/>
  <c r="E16276" i="1"/>
  <c r="B16276" i="1"/>
  <c r="E16278" i="1"/>
  <c r="B16278" i="1"/>
  <c r="E16277" i="1"/>
  <c r="B16277" i="1"/>
  <c r="E16279" i="1"/>
  <c r="B16279" i="1"/>
  <c r="E16280" i="1"/>
  <c r="B16280" i="1"/>
  <c r="E16281" i="1"/>
  <c r="B16281" i="1"/>
  <c r="E16282" i="1"/>
  <c r="B16282" i="1"/>
  <c r="E16283" i="1"/>
  <c r="B16283" i="1"/>
  <c r="E16284" i="1"/>
  <c r="B16284" i="1"/>
  <c r="E16285" i="1"/>
  <c r="B16285" i="1"/>
  <c r="E16286" i="1"/>
  <c r="B16286" i="1"/>
  <c r="E16287" i="1"/>
  <c r="B16287" i="1"/>
  <c r="E16288" i="1"/>
  <c r="B16288" i="1"/>
  <c r="E16290" i="1"/>
  <c r="B16290" i="1"/>
  <c r="E16289" i="1"/>
  <c r="B16289" i="1"/>
  <c r="E16291" i="1"/>
  <c r="B16291" i="1"/>
  <c r="E16292" i="1"/>
  <c r="B16292" i="1"/>
  <c r="E16293" i="1"/>
  <c r="B16293" i="1"/>
  <c r="E16294" i="1"/>
  <c r="B16294" i="1"/>
  <c r="E16295" i="1"/>
  <c r="B16295" i="1"/>
  <c r="E16296" i="1"/>
  <c r="B16296" i="1"/>
  <c r="E16297" i="1"/>
  <c r="B16297" i="1"/>
  <c r="E16298" i="1"/>
  <c r="B16298" i="1"/>
  <c r="E16299" i="1"/>
  <c r="B16299" i="1"/>
  <c r="E16300" i="1"/>
  <c r="B16300" i="1"/>
  <c r="E16301" i="1"/>
  <c r="B16301" i="1"/>
  <c r="E16302" i="1"/>
  <c r="B16302" i="1"/>
  <c r="E16303" i="1"/>
  <c r="B16303" i="1"/>
  <c r="E16305" i="1"/>
  <c r="B16305" i="1"/>
  <c r="E16304" i="1"/>
  <c r="B16304" i="1"/>
  <c r="E16306" i="1"/>
  <c r="B16306" i="1"/>
  <c r="E16307" i="1"/>
  <c r="B16307" i="1"/>
  <c r="E16308" i="1"/>
  <c r="B16308" i="1"/>
  <c r="E16309" i="1"/>
  <c r="B16309" i="1"/>
  <c r="E16310" i="1"/>
  <c r="B16310" i="1"/>
  <c r="E16311" i="1"/>
  <c r="B16311" i="1"/>
  <c r="E16312" i="1"/>
  <c r="B16312" i="1"/>
  <c r="E16313" i="1"/>
  <c r="B16313" i="1"/>
  <c r="E16314" i="1"/>
  <c r="B16314" i="1"/>
  <c r="E16315" i="1"/>
  <c r="B16315" i="1"/>
  <c r="E16316" i="1"/>
  <c r="B16316" i="1"/>
  <c r="E16317" i="1"/>
  <c r="B16317" i="1"/>
  <c r="E16318" i="1"/>
  <c r="B16318" i="1"/>
  <c r="E16319" i="1"/>
  <c r="B16319" i="1"/>
  <c r="E16320" i="1"/>
  <c r="B16320" i="1"/>
  <c r="E16321" i="1"/>
  <c r="B16321" i="1"/>
  <c r="E16322" i="1"/>
  <c r="B16322" i="1"/>
  <c r="E16323" i="1"/>
  <c r="B16323" i="1"/>
  <c r="E16325" i="1"/>
  <c r="B16325" i="1"/>
  <c r="E16324" i="1"/>
  <c r="B16324" i="1"/>
  <c r="E16326" i="1"/>
  <c r="B16326" i="1"/>
  <c r="E16327" i="1"/>
  <c r="B16327" i="1"/>
  <c r="E16328" i="1"/>
  <c r="B16328" i="1"/>
  <c r="E16329" i="1"/>
  <c r="B16329" i="1"/>
  <c r="E16330" i="1"/>
  <c r="B16330" i="1"/>
  <c r="E16331" i="1"/>
  <c r="B16331" i="1"/>
  <c r="E16332" i="1"/>
  <c r="B16332" i="1"/>
  <c r="E16333" i="1"/>
  <c r="B16333" i="1"/>
  <c r="E16335" i="1"/>
  <c r="B16335" i="1"/>
  <c r="E16334" i="1"/>
  <c r="B16334" i="1"/>
  <c r="E16336" i="1"/>
  <c r="B16336" i="1"/>
  <c r="E16337" i="1"/>
  <c r="B16337" i="1"/>
  <c r="E16338" i="1"/>
  <c r="B16338" i="1"/>
  <c r="E16339" i="1"/>
  <c r="B16339" i="1"/>
  <c r="E16340" i="1"/>
  <c r="B16340" i="1"/>
  <c r="E16341" i="1"/>
  <c r="B16341" i="1"/>
  <c r="E16342" i="1"/>
  <c r="B16342" i="1"/>
  <c r="E16343" i="1"/>
  <c r="B16343" i="1"/>
  <c r="E16344" i="1"/>
  <c r="B16344" i="1"/>
  <c r="E16345" i="1"/>
  <c r="B16345" i="1"/>
  <c r="E16346" i="1"/>
  <c r="B16346" i="1"/>
  <c r="E16347" i="1"/>
  <c r="B16347" i="1"/>
  <c r="E16348" i="1"/>
  <c r="B16348" i="1"/>
  <c r="E16349" i="1"/>
  <c r="B16349" i="1"/>
  <c r="E16351" i="1"/>
  <c r="B16351" i="1"/>
  <c r="E16350" i="1"/>
  <c r="B16350" i="1"/>
  <c r="E16352" i="1"/>
  <c r="B16352" i="1"/>
  <c r="E16353" i="1"/>
  <c r="B16353" i="1"/>
  <c r="E16354" i="1"/>
  <c r="B16354" i="1"/>
  <c r="E16355" i="1"/>
  <c r="B16355" i="1"/>
  <c r="E16356" i="1"/>
  <c r="B16356" i="1"/>
  <c r="E16357" i="1"/>
  <c r="B16357" i="1"/>
  <c r="E16358" i="1"/>
  <c r="B16358" i="1"/>
  <c r="E16359" i="1"/>
  <c r="B16359" i="1"/>
  <c r="E16360" i="1"/>
  <c r="B16360" i="1"/>
  <c r="E16361" i="1"/>
  <c r="B16361" i="1"/>
  <c r="E16362" i="1"/>
  <c r="B16362" i="1"/>
  <c r="E16363" i="1"/>
  <c r="B16363" i="1"/>
  <c r="E16364" i="1"/>
  <c r="B16364" i="1"/>
  <c r="E16365" i="1"/>
  <c r="B16365" i="1"/>
  <c r="E16366" i="1"/>
  <c r="B16366" i="1"/>
  <c r="E16367" i="1"/>
  <c r="B16367" i="1"/>
  <c r="E16368" i="1"/>
  <c r="B16368" i="1"/>
  <c r="E16369" i="1"/>
  <c r="B16369" i="1"/>
  <c r="E16370" i="1"/>
  <c r="B16370" i="1"/>
  <c r="E16371" i="1"/>
  <c r="B16371" i="1"/>
  <c r="E16372" i="1"/>
  <c r="B16372" i="1"/>
  <c r="E16373" i="1"/>
  <c r="B16373" i="1"/>
  <c r="E16374" i="1"/>
  <c r="B16374" i="1"/>
  <c r="E16375" i="1"/>
  <c r="B16375" i="1"/>
  <c r="E16376" i="1"/>
  <c r="B16376" i="1"/>
  <c r="E16377" i="1"/>
  <c r="B16377" i="1"/>
  <c r="E16378" i="1"/>
  <c r="B16378" i="1"/>
  <c r="E16379" i="1"/>
  <c r="B16379" i="1"/>
  <c r="E16380" i="1"/>
  <c r="B16380" i="1"/>
  <c r="E16381" i="1"/>
  <c r="B16381" i="1"/>
  <c r="E16382" i="1"/>
  <c r="B16382" i="1"/>
  <c r="E16383" i="1"/>
  <c r="B16383" i="1"/>
  <c r="E16384" i="1"/>
  <c r="B16384" i="1"/>
  <c r="E16385" i="1"/>
  <c r="B16385" i="1"/>
  <c r="E16386" i="1"/>
  <c r="B16386" i="1"/>
  <c r="E16387" i="1"/>
  <c r="B16387" i="1"/>
  <c r="E16388" i="1"/>
  <c r="B16388" i="1"/>
  <c r="E16389" i="1"/>
  <c r="B16389" i="1"/>
  <c r="E16390" i="1"/>
  <c r="B16390" i="1"/>
  <c r="E16391" i="1"/>
  <c r="B16391" i="1"/>
  <c r="E16392" i="1"/>
  <c r="B16392" i="1"/>
  <c r="E16393" i="1"/>
  <c r="B16393" i="1"/>
  <c r="E16394" i="1"/>
  <c r="B16394" i="1"/>
  <c r="E16395" i="1"/>
  <c r="B16395" i="1"/>
  <c r="E16396" i="1"/>
  <c r="B16396" i="1"/>
  <c r="E16397" i="1"/>
  <c r="B16397" i="1"/>
  <c r="E16398" i="1"/>
  <c r="B16398" i="1"/>
  <c r="E16399" i="1"/>
  <c r="B16399" i="1"/>
  <c r="E16400" i="1"/>
  <c r="B16400" i="1"/>
  <c r="E16401" i="1"/>
  <c r="B16401" i="1"/>
  <c r="E16402" i="1"/>
  <c r="B16402" i="1"/>
  <c r="E16403" i="1"/>
  <c r="B16403" i="1"/>
  <c r="E16404" i="1"/>
  <c r="B16404" i="1"/>
  <c r="E16405" i="1"/>
  <c r="B16405" i="1"/>
  <c r="E16406" i="1"/>
  <c r="B16406" i="1"/>
  <c r="E16407" i="1"/>
  <c r="B16407" i="1"/>
  <c r="E16408" i="1"/>
  <c r="B16408" i="1"/>
  <c r="E16409" i="1"/>
  <c r="B16409" i="1"/>
  <c r="E16410" i="1"/>
  <c r="B16410" i="1"/>
  <c r="E16411" i="1"/>
  <c r="B16411" i="1"/>
  <c r="E16412" i="1"/>
  <c r="B16412" i="1"/>
  <c r="E16413" i="1"/>
  <c r="B16413" i="1"/>
  <c r="E16414" i="1"/>
  <c r="B16414" i="1"/>
  <c r="E16415" i="1"/>
  <c r="B16415" i="1"/>
  <c r="E16417" i="1"/>
  <c r="B16417" i="1"/>
  <c r="E16416" i="1"/>
  <c r="B16416" i="1"/>
  <c r="E16418" i="1"/>
  <c r="B16418" i="1"/>
  <c r="E16419" i="1"/>
  <c r="B16419" i="1"/>
  <c r="E16420" i="1"/>
  <c r="B16420" i="1"/>
  <c r="E16421" i="1"/>
  <c r="B16421" i="1"/>
  <c r="E16422" i="1"/>
  <c r="B16422" i="1"/>
  <c r="E16423" i="1"/>
  <c r="B16423" i="1"/>
  <c r="E16424" i="1"/>
  <c r="B16424" i="1"/>
  <c r="E16425" i="1"/>
  <c r="B16425" i="1"/>
  <c r="E16426" i="1"/>
  <c r="B16426" i="1"/>
  <c r="E16427" i="1"/>
  <c r="B16427" i="1"/>
  <c r="E16428" i="1"/>
  <c r="B16428" i="1"/>
  <c r="E16429" i="1"/>
  <c r="B16429" i="1"/>
  <c r="E16430" i="1"/>
  <c r="B16430" i="1"/>
  <c r="E16431" i="1"/>
  <c r="B16431" i="1"/>
  <c r="E16432" i="1"/>
  <c r="B16432" i="1"/>
  <c r="E16433" i="1"/>
  <c r="B16433" i="1"/>
  <c r="E16434" i="1"/>
  <c r="B16434" i="1"/>
  <c r="E16435" i="1"/>
  <c r="B16435" i="1"/>
  <c r="E16436" i="1"/>
  <c r="B16436" i="1"/>
  <c r="E16437" i="1"/>
  <c r="B16437" i="1"/>
  <c r="E16438" i="1"/>
  <c r="B16438" i="1"/>
  <c r="E16439" i="1"/>
  <c r="B16439" i="1"/>
  <c r="E16440" i="1"/>
  <c r="B16440" i="1"/>
  <c r="E16441" i="1"/>
  <c r="B16441" i="1"/>
  <c r="E16442" i="1"/>
  <c r="B16442" i="1"/>
  <c r="E16443" i="1"/>
  <c r="B16443" i="1"/>
  <c r="E16444" i="1"/>
  <c r="B16444" i="1"/>
  <c r="E16445" i="1"/>
  <c r="B16445" i="1"/>
  <c r="E16446" i="1"/>
  <c r="B16446" i="1"/>
  <c r="E16447" i="1"/>
  <c r="B16447" i="1"/>
  <c r="E16448" i="1"/>
  <c r="B16448" i="1"/>
  <c r="E16450" i="1"/>
  <c r="B16450" i="1"/>
  <c r="E16449" i="1"/>
  <c r="B16449" i="1"/>
  <c r="E16451" i="1"/>
  <c r="B16451" i="1"/>
  <c r="E16452" i="1"/>
  <c r="B16452" i="1"/>
  <c r="E16453" i="1"/>
  <c r="B16453" i="1"/>
  <c r="E16454" i="1"/>
  <c r="B16454" i="1"/>
  <c r="E16455" i="1"/>
  <c r="B16455" i="1"/>
  <c r="E16456" i="1"/>
  <c r="B16456" i="1"/>
  <c r="E16457" i="1"/>
  <c r="B16457" i="1"/>
  <c r="E16458" i="1"/>
  <c r="B16458" i="1"/>
  <c r="E16459" i="1"/>
  <c r="B16459" i="1"/>
  <c r="E16460" i="1"/>
  <c r="B16460" i="1"/>
  <c r="E16461" i="1"/>
  <c r="B16461" i="1"/>
  <c r="E16462" i="1"/>
  <c r="B16462" i="1"/>
  <c r="E16463" i="1"/>
  <c r="B16463" i="1"/>
  <c r="E16464" i="1"/>
  <c r="B16464" i="1"/>
  <c r="E16465" i="1"/>
  <c r="B16465" i="1"/>
  <c r="E16466" i="1"/>
  <c r="B16466" i="1"/>
  <c r="E16467" i="1"/>
  <c r="B16467" i="1"/>
  <c r="E16468" i="1"/>
  <c r="B16468" i="1"/>
  <c r="E16469" i="1"/>
  <c r="B16469" i="1"/>
  <c r="E16470" i="1"/>
  <c r="B16470" i="1"/>
  <c r="E16471" i="1"/>
  <c r="B16471" i="1"/>
  <c r="E16472" i="1"/>
  <c r="B16472" i="1"/>
  <c r="E16473" i="1"/>
  <c r="B16473" i="1"/>
  <c r="E16474" i="1"/>
  <c r="B16474" i="1"/>
  <c r="E16475" i="1"/>
  <c r="B16475" i="1"/>
  <c r="E16476" i="1"/>
  <c r="B16476" i="1"/>
  <c r="E16477" i="1"/>
  <c r="B16477" i="1"/>
  <c r="E16478" i="1"/>
  <c r="B16478" i="1"/>
  <c r="E16479" i="1"/>
  <c r="B16479" i="1"/>
  <c r="E16480" i="1"/>
  <c r="B16480" i="1"/>
  <c r="E16481" i="1"/>
  <c r="B16481" i="1"/>
  <c r="E16482" i="1"/>
  <c r="B16482" i="1"/>
  <c r="E16483" i="1"/>
  <c r="B16483" i="1"/>
  <c r="E16484" i="1"/>
  <c r="B16484" i="1"/>
  <c r="E16485" i="1"/>
  <c r="B16485" i="1"/>
  <c r="E16486" i="1"/>
  <c r="B16486" i="1"/>
  <c r="E16487" i="1"/>
  <c r="B16487" i="1"/>
  <c r="E16488" i="1"/>
  <c r="B16488" i="1"/>
  <c r="E16489" i="1"/>
  <c r="B16489" i="1"/>
  <c r="E16490" i="1"/>
  <c r="B16490" i="1"/>
  <c r="E16491" i="1"/>
  <c r="B16491" i="1"/>
  <c r="E16492" i="1"/>
  <c r="B16492" i="1"/>
  <c r="E16493" i="1"/>
  <c r="B16493" i="1"/>
  <c r="E16494" i="1"/>
  <c r="B16494" i="1"/>
  <c r="E16495" i="1"/>
  <c r="B16495" i="1"/>
  <c r="E16496" i="1"/>
  <c r="B16496" i="1"/>
  <c r="E16497" i="1"/>
  <c r="B16497" i="1"/>
  <c r="E16498" i="1"/>
  <c r="B16498" i="1"/>
  <c r="E16499" i="1"/>
  <c r="B16499" i="1"/>
  <c r="E16500" i="1"/>
  <c r="B16500" i="1"/>
  <c r="E16501" i="1"/>
  <c r="B16501" i="1"/>
  <c r="E16502" i="1"/>
  <c r="B16502" i="1"/>
  <c r="E16503" i="1"/>
  <c r="B16503" i="1"/>
  <c r="E16504" i="1"/>
  <c r="B16504" i="1"/>
  <c r="E16505" i="1"/>
  <c r="B16505" i="1"/>
  <c r="E16506" i="1"/>
  <c r="B16506" i="1"/>
  <c r="E16507" i="1"/>
  <c r="B16507" i="1"/>
  <c r="E16508" i="1"/>
  <c r="B16508" i="1"/>
  <c r="E16509" i="1"/>
  <c r="B16509" i="1"/>
  <c r="E16510" i="1"/>
  <c r="B16510" i="1"/>
  <c r="E16511" i="1"/>
  <c r="B16511" i="1"/>
  <c r="E16512" i="1"/>
  <c r="B16512" i="1"/>
  <c r="E16513" i="1"/>
  <c r="B16513" i="1"/>
  <c r="E16514" i="1"/>
  <c r="B16514" i="1"/>
  <c r="E16515" i="1"/>
  <c r="B16515" i="1"/>
  <c r="E16516" i="1"/>
  <c r="B16516" i="1"/>
  <c r="E16517" i="1"/>
  <c r="B16517" i="1"/>
  <c r="E16519" i="1"/>
  <c r="B16519" i="1"/>
  <c r="E16518" i="1"/>
  <c r="B16518" i="1"/>
  <c r="E16520" i="1"/>
  <c r="B16520" i="1"/>
  <c r="E16521" i="1"/>
  <c r="B16521" i="1"/>
  <c r="E16522" i="1"/>
  <c r="B16522" i="1"/>
  <c r="E16523" i="1"/>
  <c r="B16523" i="1"/>
  <c r="E16524" i="1"/>
  <c r="B16524" i="1"/>
  <c r="E16525" i="1"/>
  <c r="B16525" i="1"/>
  <c r="E16526" i="1"/>
  <c r="B16526" i="1"/>
  <c r="E16527" i="1"/>
  <c r="B16527" i="1"/>
  <c r="E16528" i="1"/>
  <c r="B16528" i="1"/>
  <c r="E16529" i="1"/>
  <c r="B16529" i="1"/>
  <c r="E16530" i="1"/>
  <c r="B16530" i="1"/>
  <c r="E16531" i="1"/>
  <c r="B16531" i="1"/>
  <c r="E16532" i="1"/>
  <c r="B16532" i="1"/>
  <c r="E16533" i="1"/>
  <c r="B16533" i="1"/>
  <c r="E16534" i="1"/>
  <c r="B16534" i="1"/>
  <c r="E16535" i="1"/>
  <c r="B16535" i="1"/>
  <c r="E16536" i="1"/>
  <c r="B16536" i="1"/>
  <c r="E16537" i="1"/>
  <c r="B16537" i="1"/>
  <c r="E16538" i="1"/>
  <c r="B16538" i="1"/>
  <c r="E16539" i="1"/>
  <c r="B16539" i="1"/>
  <c r="E16540" i="1"/>
  <c r="B16540" i="1"/>
  <c r="E16541" i="1"/>
  <c r="B16541" i="1"/>
  <c r="E16542" i="1"/>
  <c r="B16542" i="1"/>
  <c r="E16543" i="1"/>
  <c r="B16543" i="1"/>
  <c r="E16544" i="1"/>
  <c r="B16544" i="1"/>
  <c r="E16545" i="1"/>
  <c r="B16545" i="1"/>
  <c r="E16546" i="1"/>
  <c r="B16546" i="1"/>
  <c r="E16547" i="1"/>
  <c r="B16547" i="1"/>
  <c r="E16548" i="1"/>
  <c r="B16548" i="1"/>
  <c r="E16549" i="1"/>
  <c r="B16549" i="1"/>
  <c r="E16550" i="1"/>
  <c r="B16550" i="1"/>
  <c r="E16551" i="1"/>
  <c r="B16551" i="1"/>
  <c r="E16552" i="1"/>
  <c r="B16552" i="1"/>
  <c r="E16553" i="1"/>
  <c r="B16553" i="1"/>
  <c r="E16554" i="1"/>
  <c r="B16554" i="1"/>
  <c r="E16556" i="1"/>
  <c r="B16556" i="1"/>
  <c r="E16555" i="1"/>
  <c r="B16555" i="1"/>
  <c r="E16557" i="1"/>
  <c r="B16557" i="1"/>
  <c r="E16558" i="1"/>
  <c r="B16558" i="1"/>
  <c r="E16559" i="1"/>
  <c r="B16559" i="1"/>
  <c r="E16560" i="1"/>
  <c r="B16560" i="1"/>
  <c r="E16561" i="1"/>
  <c r="B16561" i="1"/>
  <c r="E16562" i="1"/>
  <c r="B16562" i="1"/>
  <c r="E16563" i="1"/>
  <c r="B16563" i="1"/>
  <c r="E16564" i="1"/>
  <c r="B16564" i="1"/>
  <c r="E16565" i="1"/>
  <c r="B16565" i="1"/>
  <c r="E16566" i="1"/>
  <c r="B16566" i="1"/>
  <c r="E16567" i="1"/>
  <c r="B16567" i="1"/>
  <c r="E16568" i="1"/>
  <c r="B16568" i="1"/>
  <c r="E16569" i="1"/>
  <c r="B16569" i="1"/>
  <c r="E16570" i="1"/>
  <c r="B16570" i="1"/>
  <c r="E16571" i="1"/>
  <c r="B16571" i="1"/>
  <c r="E16572" i="1"/>
  <c r="B16572" i="1"/>
  <c r="E16573" i="1"/>
  <c r="B16573" i="1"/>
  <c r="E16574" i="1"/>
  <c r="B16574" i="1"/>
  <c r="E16575" i="1"/>
  <c r="B16575" i="1"/>
  <c r="E16576" i="1"/>
  <c r="B16576" i="1"/>
  <c r="E16577" i="1"/>
  <c r="B16577" i="1"/>
  <c r="E16578" i="1"/>
  <c r="B16578" i="1"/>
  <c r="E16579" i="1"/>
  <c r="B16579" i="1"/>
  <c r="E16580" i="1"/>
  <c r="B16580" i="1"/>
  <c r="E16581" i="1"/>
  <c r="B16581" i="1"/>
  <c r="E16582" i="1"/>
  <c r="B16582" i="1"/>
  <c r="E16583" i="1"/>
  <c r="B16583" i="1"/>
  <c r="E16584" i="1"/>
  <c r="B16584" i="1"/>
  <c r="E16585" i="1"/>
  <c r="B16585" i="1"/>
  <c r="E16586" i="1"/>
  <c r="B16586" i="1"/>
  <c r="E16587" i="1"/>
  <c r="B16587" i="1"/>
  <c r="E16588" i="1"/>
  <c r="B16588" i="1"/>
  <c r="E16590" i="1"/>
  <c r="B16590" i="1"/>
  <c r="E16589" i="1"/>
  <c r="B16589" i="1"/>
  <c r="E16591" i="1"/>
  <c r="B16591" i="1"/>
  <c r="E16592" i="1"/>
  <c r="B16592" i="1"/>
  <c r="E16593" i="1"/>
  <c r="B16593" i="1"/>
  <c r="E16594" i="1"/>
  <c r="B16594" i="1"/>
  <c r="E16595" i="1"/>
  <c r="B16595" i="1"/>
  <c r="E16596" i="1"/>
  <c r="B16596" i="1"/>
  <c r="E16597" i="1"/>
  <c r="B16597" i="1"/>
  <c r="E16598" i="1"/>
  <c r="B16598" i="1"/>
  <c r="E16600" i="1"/>
  <c r="B16600" i="1"/>
  <c r="E16599" i="1"/>
  <c r="B16599" i="1"/>
  <c r="E16601" i="1"/>
  <c r="B16601" i="1"/>
  <c r="E16602" i="1"/>
  <c r="B16602" i="1"/>
  <c r="E16603" i="1"/>
  <c r="B16603" i="1"/>
  <c r="E16604" i="1"/>
  <c r="B16604" i="1"/>
  <c r="E16605" i="1"/>
  <c r="B16605" i="1"/>
  <c r="E16606" i="1"/>
  <c r="B16606" i="1"/>
  <c r="E16607" i="1"/>
  <c r="B16607" i="1"/>
  <c r="E16608" i="1"/>
  <c r="B16608" i="1"/>
  <c r="E16609" i="1"/>
  <c r="B16609" i="1"/>
  <c r="E16610" i="1"/>
  <c r="B16610" i="1"/>
  <c r="E16611" i="1"/>
  <c r="B16611" i="1"/>
  <c r="E16612" i="1"/>
  <c r="B16612" i="1"/>
  <c r="E16613" i="1"/>
  <c r="B16613" i="1"/>
  <c r="E16614" i="1"/>
  <c r="B16614" i="1"/>
  <c r="E16615" i="1"/>
  <c r="B16615" i="1"/>
  <c r="E16616" i="1"/>
  <c r="B16616" i="1"/>
  <c r="E16617" i="1"/>
  <c r="B16617" i="1"/>
  <c r="E16618" i="1"/>
  <c r="B16618" i="1"/>
  <c r="E16619" i="1"/>
  <c r="B16619" i="1"/>
  <c r="E16620" i="1"/>
  <c r="B16620" i="1"/>
  <c r="E16621" i="1"/>
  <c r="B16621" i="1"/>
  <c r="E16622" i="1"/>
  <c r="B16622" i="1"/>
  <c r="E16623" i="1"/>
  <c r="B16623" i="1"/>
  <c r="E16624" i="1"/>
  <c r="B16624" i="1"/>
  <c r="E16625" i="1"/>
  <c r="B16625" i="1"/>
  <c r="E16626" i="1"/>
  <c r="B16626" i="1"/>
  <c r="E16627" i="1"/>
  <c r="B16627" i="1"/>
  <c r="E16628" i="1"/>
  <c r="B16628" i="1"/>
  <c r="E16629" i="1"/>
  <c r="B16629" i="1"/>
  <c r="E16630" i="1"/>
  <c r="B16630" i="1"/>
  <c r="E16631" i="1"/>
  <c r="B16631" i="1"/>
  <c r="E16632" i="1"/>
  <c r="B16632" i="1"/>
  <c r="E16633" i="1"/>
  <c r="B16633" i="1"/>
  <c r="E16634" i="1"/>
  <c r="B16634" i="1"/>
  <c r="E16635" i="1"/>
  <c r="B16635" i="1"/>
  <c r="E16636" i="1"/>
  <c r="B16636" i="1"/>
  <c r="E16637" i="1"/>
  <c r="B16637" i="1"/>
  <c r="E16638" i="1"/>
  <c r="B16638" i="1"/>
  <c r="E16640" i="1"/>
  <c r="B16640" i="1"/>
  <c r="E16639" i="1"/>
  <c r="B16639" i="1"/>
  <c r="E16641" i="1"/>
  <c r="B16641" i="1"/>
  <c r="E16642" i="1"/>
  <c r="B16642" i="1"/>
  <c r="E16643" i="1"/>
  <c r="B16643" i="1"/>
  <c r="E16644" i="1"/>
  <c r="B16644" i="1"/>
  <c r="E16645" i="1"/>
  <c r="B16645" i="1"/>
  <c r="E16646" i="1"/>
  <c r="B16646" i="1"/>
  <c r="E16647" i="1"/>
  <c r="B16647" i="1"/>
  <c r="E16648" i="1"/>
  <c r="B16648" i="1"/>
  <c r="E16649" i="1"/>
  <c r="B16649" i="1"/>
  <c r="E16650" i="1"/>
  <c r="B16650" i="1"/>
  <c r="E16651" i="1"/>
  <c r="B16651" i="1"/>
  <c r="E16652" i="1"/>
  <c r="B16652" i="1"/>
  <c r="E16653" i="1"/>
  <c r="B16653" i="1"/>
  <c r="E16654" i="1"/>
  <c r="B16654" i="1"/>
  <c r="E16656" i="1"/>
  <c r="B16656" i="1"/>
  <c r="E16655" i="1"/>
  <c r="B16655" i="1"/>
  <c r="E16657" i="1"/>
  <c r="B16657" i="1"/>
  <c r="E16658" i="1"/>
  <c r="B16658" i="1"/>
  <c r="E16659" i="1"/>
  <c r="B16659" i="1"/>
  <c r="E16660" i="1"/>
  <c r="B16660" i="1"/>
  <c r="E16661" i="1"/>
  <c r="B16661" i="1"/>
  <c r="E16662" i="1"/>
  <c r="B16662" i="1"/>
  <c r="E16663" i="1"/>
  <c r="B16663" i="1"/>
  <c r="E16664" i="1"/>
  <c r="B16664" i="1"/>
  <c r="E16665" i="1"/>
  <c r="B16665" i="1"/>
  <c r="E16666" i="1"/>
  <c r="B16666" i="1"/>
  <c r="E16667" i="1"/>
  <c r="B16667" i="1"/>
  <c r="E16668" i="1"/>
  <c r="B16668" i="1"/>
  <c r="E16669" i="1"/>
  <c r="B16669" i="1"/>
  <c r="E16670" i="1"/>
  <c r="B16670" i="1"/>
  <c r="E16671" i="1"/>
  <c r="B16671" i="1"/>
  <c r="E16672" i="1"/>
  <c r="B16672" i="1"/>
  <c r="E16673" i="1"/>
  <c r="B16673" i="1"/>
  <c r="E16674" i="1"/>
  <c r="B16674" i="1"/>
  <c r="E16675" i="1"/>
  <c r="B16675" i="1"/>
  <c r="E16676" i="1"/>
  <c r="B16676" i="1"/>
  <c r="E16678" i="1"/>
  <c r="B16678" i="1"/>
  <c r="E16677" i="1"/>
  <c r="B16677" i="1"/>
  <c r="E16679" i="1"/>
  <c r="B16679" i="1"/>
  <c r="E16680" i="1"/>
  <c r="B16680" i="1"/>
  <c r="E16681" i="1"/>
  <c r="B16681" i="1"/>
  <c r="E16682" i="1"/>
  <c r="B16682" i="1"/>
  <c r="E16683" i="1"/>
  <c r="B16683" i="1"/>
  <c r="E16685" i="1"/>
  <c r="B16685" i="1"/>
  <c r="E16684" i="1"/>
  <c r="B16684" i="1"/>
  <c r="E16686" i="1"/>
  <c r="B16686" i="1"/>
  <c r="E16687" i="1"/>
  <c r="B16687" i="1"/>
  <c r="E16688" i="1"/>
  <c r="B16688" i="1"/>
  <c r="E16689" i="1"/>
  <c r="B16689" i="1"/>
  <c r="E16690" i="1"/>
  <c r="B16690" i="1"/>
  <c r="E16691" i="1"/>
  <c r="B16691" i="1"/>
  <c r="E16692" i="1"/>
  <c r="B16692" i="1"/>
  <c r="E16693" i="1"/>
  <c r="B16693" i="1"/>
  <c r="E16694" i="1"/>
  <c r="B16694" i="1"/>
  <c r="E16695" i="1"/>
  <c r="B16695" i="1"/>
  <c r="E16696" i="1"/>
  <c r="B16696" i="1"/>
  <c r="E16697" i="1"/>
  <c r="B16697" i="1"/>
  <c r="E16698" i="1"/>
  <c r="B16698" i="1"/>
  <c r="E16699" i="1"/>
  <c r="B16699" i="1"/>
  <c r="E16700" i="1"/>
  <c r="B16700" i="1"/>
  <c r="E16701" i="1"/>
  <c r="B16701" i="1"/>
  <c r="E16702" i="1"/>
  <c r="B16702" i="1"/>
  <c r="E16703" i="1"/>
  <c r="B16703" i="1"/>
  <c r="E16704" i="1"/>
  <c r="B16704" i="1"/>
  <c r="E16705" i="1"/>
  <c r="B16705" i="1"/>
  <c r="E16706" i="1"/>
  <c r="B16706" i="1"/>
  <c r="E16707" i="1"/>
  <c r="B16707" i="1"/>
  <c r="E16708" i="1"/>
  <c r="B16708" i="1"/>
  <c r="E16709" i="1"/>
  <c r="B16709" i="1"/>
  <c r="E16710" i="1"/>
  <c r="B16710" i="1"/>
  <c r="E16711" i="1"/>
  <c r="B16711" i="1"/>
  <c r="E16712" i="1"/>
  <c r="B16712" i="1"/>
  <c r="E16713" i="1"/>
  <c r="B16713" i="1"/>
  <c r="E16714" i="1"/>
  <c r="B16714" i="1"/>
  <c r="E16715" i="1"/>
  <c r="B16715" i="1"/>
  <c r="E16716" i="1"/>
  <c r="B16716" i="1"/>
  <c r="E16717" i="1"/>
  <c r="B16717" i="1"/>
  <c r="E16718" i="1"/>
  <c r="B16718" i="1"/>
  <c r="E16719" i="1"/>
  <c r="B16719" i="1"/>
  <c r="E16720" i="1"/>
  <c r="B16720" i="1"/>
  <c r="E16721" i="1"/>
  <c r="B16721" i="1"/>
  <c r="E16722" i="1"/>
  <c r="B16722" i="1"/>
  <c r="E16723" i="1"/>
  <c r="B16723" i="1"/>
  <c r="E16724" i="1"/>
  <c r="B16724" i="1"/>
  <c r="E16725" i="1"/>
  <c r="B16725" i="1"/>
  <c r="E16726" i="1"/>
  <c r="B16726" i="1"/>
  <c r="E16727" i="1"/>
  <c r="B16727" i="1"/>
  <c r="E16728" i="1"/>
  <c r="B16728" i="1"/>
  <c r="E16729" i="1"/>
  <c r="B16729" i="1"/>
  <c r="E16730" i="1"/>
  <c r="B16730" i="1"/>
  <c r="E16731" i="1"/>
  <c r="B16731" i="1"/>
  <c r="E16732" i="1"/>
  <c r="B16732" i="1"/>
  <c r="E16733" i="1"/>
  <c r="B16733" i="1"/>
  <c r="E16734" i="1"/>
  <c r="B16734" i="1"/>
  <c r="E16735" i="1"/>
  <c r="B16735" i="1"/>
  <c r="E16736" i="1"/>
  <c r="B16736" i="1"/>
  <c r="E16737" i="1"/>
  <c r="B16737" i="1"/>
  <c r="E16738" i="1"/>
  <c r="B16738" i="1"/>
  <c r="E16739" i="1"/>
  <c r="B16739" i="1"/>
  <c r="E16740" i="1"/>
  <c r="B16740" i="1"/>
  <c r="E16741" i="1"/>
  <c r="B16741" i="1"/>
  <c r="E16742" i="1"/>
  <c r="B16742" i="1"/>
  <c r="E16743" i="1"/>
  <c r="B16743" i="1"/>
  <c r="E16744" i="1"/>
  <c r="B16744" i="1"/>
  <c r="E16745" i="1"/>
  <c r="B16745" i="1"/>
  <c r="E16746" i="1"/>
  <c r="B16746" i="1"/>
  <c r="E16747" i="1"/>
  <c r="B16747" i="1"/>
  <c r="E16748" i="1"/>
  <c r="B16748" i="1"/>
  <c r="E16749" i="1"/>
  <c r="B16749" i="1"/>
  <c r="E16750" i="1"/>
  <c r="B16750" i="1"/>
  <c r="E16751" i="1"/>
  <c r="B16751" i="1"/>
  <c r="E16752" i="1"/>
  <c r="B16752" i="1"/>
  <c r="E16753" i="1"/>
  <c r="B16753" i="1"/>
  <c r="E16754" i="1"/>
  <c r="B16754" i="1"/>
  <c r="E16755" i="1"/>
  <c r="B16755" i="1"/>
  <c r="E16756" i="1"/>
  <c r="B16756" i="1"/>
  <c r="E16757" i="1"/>
  <c r="B16757" i="1"/>
  <c r="E16758" i="1"/>
  <c r="B16758" i="1"/>
  <c r="E16759" i="1"/>
  <c r="B16759" i="1"/>
  <c r="E16760" i="1"/>
  <c r="B16760" i="1"/>
  <c r="E16761" i="1"/>
  <c r="B16761" i="1"/>
  <c r="E16762" i="1"/>
  <c r="B16762" i="1"/>
  <c r="E16764" i="1"/>
  <c r="B16764" i="1"/>
  <c r="E16763" i="1"/>
  <c r="B16763" i="1"/>
  <c r="E16765" i="1"/>
  <c r="B16765" i="1"/>
  <c r="E16766" i="1"/>
  <c r="B16766" i="1"/>
  <c r="E16767" i="1"/>
  <c r="B16767" i="1"/>
  <c r="E16768" i="1"/>
  <c r="B16768" i="1"/>
  <c r="E16769" i="1"/>
  <c r="B16769" i="1"/>
  <c r="E16770" i="1"/>
  <c r="B16770" i="1"/>
  <c r="E16771" i="1"/>
  <c r="B16771" i="1"/>
  <c r="E16772" i="1"/>
  <c r="B16772" i="1"/>
  <c r="E16773" i="1"/>
  <c r="B16773" i="1"/>
  <c r="E16774" i="1"/>
  <c r="B16774" i="1"/>
  <c r="E16775" i="1"/>
  <c r="B16775" i="1"/>
  <c r="E16776" i="1"/>
  <c r="B16776" i="1"/>
  <c r="E16777" i="1"/>
  <c r="B16777" i="1"/>
  <c r="E16778" i="1"/>
  <c r="B16778" i="1"/>
  <c r="E16780" i="1"/>
  <c r="B16780" i="1"/>
  <c r="E16779" i="1"/>
  <c r="B16779" i="1"/>
  <c r="E16781" i="1"/>
  <c r="B16781" i="1"/>
  <c r="E16782" i="1"/>
  <c r="B16782" i="1"/>
  <c r="E16783" i="1"/>
  <c r="B16783" i="1"/>
  <c r="E16784" i="1"/>
  <c r="B16784" i="1"/>
  <c r="E16785" i="1"/>
  <c r="B16785" i="1"/>
  <c r="E16786" i="1"/>
  <c r="B16786" i="1"/>
  <c r="E16787" i="1"/>
  <c r="B16787" i="1"/>
  <c r="E16788" i="1"/>
  <c r="B16788" i="1"/>
  <c r="E16789" i="1"/>
  <c r="B16789" i="1"/>
  <c r="E16790" i="1"/>
  <c r="B16790" i="1"/>
  <c r="E16791" i="1"/>
  <c r="B16791" i="1"/>
  <c r="E16792" i="1"/>
  <c r="B16792" i="1"/>
  <c r="E16793" i="1"/>
  <c r="B16793" i="1"/>
  <c r="E16794" i="1"/>
  <c r="B16794" i="1"/>
  <c r="E16795" i="1"/>
  <c r="B16795" i="1"/>
  <c r="E16796" i="1"/>
  <c r="B16796" i="1"/>
  <c r="E16797" i="1"/>
  <c r="B16797" i="1"/>
  <c r="E16798" i="1"/>
  <c r="B16798" i="1"/>
  <c r="E16799" i="1"/>
  <c r="B16799" i="1"/>
  <c r="E16800" i="1"/>
  <c r="B16800" i="1"/>
  <c r="E16801" i="1"/>
  <c r="B16801" i="1"/>
  <c r="E16802" i="1"/>
  <c r="B16802" i="1"/>
  <c r="E16803" i="1"/>
  <c r="B16803" i="1"/>
  <c r="E16804" i="1"/>
  <c r="B16804" i="1"/>
  <c r="E16805" i="1"/>
  <c r="B16805" i="1"/>
  <c r="E16806" i="1"/>
  <c r="B16806" i="1"/>
  <c r="E16807" i="1"/>
  <c r="B16807" i="1"/>
  <c r="E16808" i="1"/>
  <c r="B16808" i="1"/>
  <c r="E16809" i="1"/>
  <c r="B16809" i="1"/>
  <c r="E16810" i="1"/>
  <c r="B16810" i="1"/>
  <c r="E16811" i="1"/>
  <c r="B16811" i="1"/>
  <c r="E16812" i="1"/>
  <c r="B16812" i="1"/>
  <c r="E16813" i="1"/>
  <c r="B16813" i="1"/>
  <c r="E16814" i="1"/>
  <c r="B16814" i="1"/>
  <c r="E16815" i="1"/>
  <c r="B16815" i="1"/>
  <c r="E16816" i="1"/>
  <c r="B16816" i="1"/>
  <c r="E16817" i="1"/>
  <c r="B16817" i="1"/>
  <c r="E16818" i="1"/>
  <c r="B16818" i="1"/>
  <c r="E16819" i="1"/>
  <c r="B16819" i="1"/>
  <c r="E16820" i="1"/>
  <c r="B16820" i="1"/>
  <c r="E16821" i="1"/>
  <c r="B16821" i="1"/>
  <c r="E16822" i="1"/>
  <c r="B16822" i="1"/>
  <c r="E16823" i="1"/>
  <c r="B16823" i="1"/>
  <c r="E16824" i="1"/>
  <c r="B16824" i="1"/>
  <c r="E16825" i="1"/>
  <c r="B16825" i="1"/>
  <c r="E16826" i="1"/>
  <c r="B16826" i="1"/>
  <c r="E16827" i="1"/>
  <c r="B16827" i="1"/>
  <c r="E16828" i="1"/>
  <c r="B16828" i="1"/>
  <c r="E16829" i="1"/>
  <c r="B16829" i="1"/>
  <c r="E16830" i="1"/>
  <c r="B16830" i="1"/>
  <c r="E16831" i="1"/>
  <c r="B16831" i="1"/>
  <c r="E16832" i="1"/>
  <c r="B16832" i="1"/>
  <c r="E16833" i="1"/>
  <c r="B16833" i="1"/>
  <c r="E16834" i="1"/>
  <c r="B16834" i="1"/>
  <c r="E16835" i="1"/>
  <c r="B16835" i="1"/>
  <c r="E16836" i="1"/>
  <c r="B16836" i="1"/>
  <c r="E16837" i="1"/>
  <c r="B16837" i="1"/>
  <c r="E16838" i="1"/>
  <c r="B16838" i="1"/>
  <c r="E16839" i="1"/>
  <c r="B16839" i="1"/>
  <c r="E16840" i="1"/>
  <c r="B16840" i="1"/>
  <c r="E16841" i="1"/>
  <c r="B16841" i="1"/>
  <c r="E16842" i="1"/>
  <c r="B16842" i="1"/>
  <c r="E16843" i="1"/>
  <c r="B16843" i="1"/>
  <c r="E16844" i="1"/>
  <c r="B16844" i="1"/>
  <c r="E16845" i="1"/>
  <c r="B16845" i="1"/>
  <c r="E16846" i="1"/>
  <c r="B16846" i="1"/>
  <c r="E16847" i="1"/>
  <c r="B16847" i="1"/>
  <c r="E16848" i="1"/>
  <c r="B16848" i="1"/>
  <c r="E16849" i="1"/>
  <c r="B16849" i="1"/>
  <c r="E16850" i="1"/>
  <c r="B16850" i="1"/>
  <c r="E16851" i="1"/>
  <c r="B16851" i="1"/>
  <c r="E16852" i="1"/>
  <c r="B16852" i="1"/>
  <c r="E16854" i="1"/>
  <c r="B16854" i="1"/>
  <c r="E16853" i="1"/>
  <c r="B16853" i="1"/>
  <c r="E16855" i="1"/>
  <c r="B16855" i="1"/>
  <c r="E16856" i="1"/>
  <c r="B16856" i="1"/>
  <c r="E16857" i="1"/>
  <c r="B16857" i="1"/>
  <c r="E16858" i="1"/>
  <c r="B16858" i="1"/>
  <c r="E16860" i="1"/>
  <c r="B16860" i="1"/>
  <c r="E16859" i="1"/>
  <c r="B16859" i="1"/>
  <c r="E16861" i="1"/>
  <c r="B16861" i="1"/>
  <c r="E16862" i="1"/>
  <c r="B16862" i="1"/>
  <c r="E16863" i="1"/>
  <c r="B16863" i="1"/>
  <c r="E16865" i="1"/>
  <c r="B16865" i="1"/>
  <c r="E16864" i="1"/>
  <c r="B16864" i="1"/>
  <c r="E16866" i="1"/>
  <c r="B16866" i="1"/>
  <c r="E16867" i="1"/>
  <c r="B16867" i="1"/>
  <c r="E16868" i="1"/>
  <c r="B16868" i="1"/>
  <c r="E16869" i="1"/>
  <c r="B16869" i="1"/>
  <c r="E16870" i="1"/>
  <c r="B16870" i="1"/>
  <c r="E16871" i="1"/>
  <c r="B16871" i="1"/>
  <c r="E16872" i="1"/>
  <c r="B16872" i="1"/>
  <c r="E16873" i="1"/>
  <c r="B16873" i="1"/>
  <c r="E16874" i="1"/>
  <c r="B16874" i="1"/>
  <c r="E16875" i="1"/>
  <c r="B16875" i="1"/>
  <c r="E16876" i="1"/>
  <c r="B16876" i="1"/>
  <c r="E16877" i="1"/>
  <c r="B16877" i="1"/>
  <c r="E16878" i="1"/>
  <c r="B16878" i="1"/>
  <c r="E16879" i="1"/>
  <c r="B16879" i="1"/>
  <c r="E16880" i="1"/>
  <c r="B16880" i="1"/>
  <c r="E16881" i="1"/>
  <c r="B16881" i="1"/>
  <c r="E16882" i="1"/>
  <c r="B16882" i="1"/>
  <c r="E16883" i="1"/>
  <c r="B16883" i="1"/>
  <c r="E16884" i="1"/>
  <c r="B16884" i="1"/>
  <c r="E16885" i="1"/>
  <c r="B16885" i="1"/>
  <c r="E16886" i="1"/>
  <c r="B16886" i="1"/>
  <c r="E16887" i="1"/>
  <c r="B16887" i="1"/>
  <c r="E16888" i="1"/>
  <c r="B16888" i="1"/>
  <c r="E16889" i="1"/>
  <c r="B16889" i="1"/>
  <c r="E16890" i="1"/>
  <c r="B16890" i="1"/>
  <c r="E16891" i="1"/>
  <c r="B16891" i="1"/>
  <c r="E16892" i="1"/>
  <c r="B16892" i="1"/>
  <c r="E16893" i="1"/>
  <c r="B16893" i="1"/>
  <c r="E16894" i="1"/>
  <c r="B16894" i="1"/>
  <c r="E16895" i="1"/>
  <c r="B16895" i="1"/>
  <c r="E16896" i="1"/>
  <c r="B16896" i="1"/>
  <c r="E16897" i="1"/>
  <c r="B16897" i="1"/>
  <c r="E16898" i="1"/>
  <c r="B16898" i="1"/>
  <c r="E16899" i="1"/>
  <c r="B16899" i="1"/>
  <c r="E16900" i="1"/>
  <c r="B16900" i="1"/>
  <c r="E16901" i="1"/>
  <c r="B16901" i="1"/>
  <c r="E16902" i="1"/>
  <c r="B16902" i="1"/>
  <c r="E16903" i="1"/>
  <c r="B16903" i="1"/>
  <c r="E16904" i="1"/>
  <c r="B16904" i="1"/>
  <c r="E16905" i="1"/>
  <c r="B16905" i="1"/>
  <c r="E16906" i="1"/>
  <c r="B16906" i="1"/>
  <c r="E16907" i="1"/>
  <c r="B16907" i="1"/>
  <c r="E16908" i="1"/>
  <c r="B16908" i="1"/>
  <c r="E16909" i="1"/>
  <c r="B16909" i="1"/>
  <c r="E16910" i="1"/>
  <c r="B16910" i="1"/>
  <c r="E16911" i="1"/>
  <c r="B16911" i="1"/>
  <c r="E16912" i="1"/>
  <c r="B16912" i="1"/>
  <c r="E16913" i="1"/>
  <c r="B16913" i="1"/>
  <c r="E16914" i="1"/>
  <c r="B16914" i="1"/>
  <c r="E16915" i="1"/>
  <c r="B16915" i="1"/>
  <c r="E16916" i="1"/>
  <c r="B16916" i="1"/>
  <c r="E16917" i="1"/>
  <c r="B16917" i="1"/>
  <c r="E16918" i="1"/>
  <c r="B16918" i="1"/>
  <c r="E16919" i="1"/>
  <c r="B16919" i="1"/>
  <c r="E16920" i="1"/>
  <c r="B16920" i="1"/>
  <c r="E16921" i="1"/>
  <c r="B16921" i="1"/>
  <c r="E16922" i="1"/>
  <c r="B16922" i="1"/>
  <c r="E16923" i="1"/>
  <c r="B16923" i="1"/>
  <c r="E16924" i="1"/>
  <c r="B16924" i="1"/>
  <c r="E16925" i="1"/>
  <c r="B16925" i="1"/>
  <c r="E16926" i="1"/>
  <c r="B16926" i="1"/>
  <c r="E16927" i="1"/>
  <c r="B16927" i="1"/>
  <c r="E16928" i="1"/>
  <c r="B16928" i="1"/>
  <c r="E16929" i="1"/>
  <c r="B16929" i="1"/>
  <c r="E16930" i="1"/>
  <c r="B16930" i="1"/>
  <c r="E16931" i="1"/>
  <c r="B16931" i="1"/>
  <c r="E16932" i="1"/>
  <c r="B16932" i="1"/>
  <c r="E16933" i="1"/>
  <c r="B16933" i="1"/>
  <c r="E16934" i="1"/>
  <c r="B16934" i="1"/>
  <c r="E16935" i="1"/>
  <c r="B16935" i="1"/>
  <c r="E16936" i="1"/>
  <c r="B16936" i="1"/>
  <c r="E16937" i="1"/>
  <c r="B16937" i="1"/>
  <c r="E16938" i="1"/>
  <c r="B16938" i="1"/>
  <c r="E16939" i="1"/>
  <c r="B16939" i="1"/>
  <c r="E16940" i="1"/>
  <c r="B16940" i="1"/>
  <c r="E16941" i="1"/>
  <c r="B16941" i="1"/>
  <c r="E16942" i="1"/>
  <c r="B16942" i="1"/>
  <c r="E16943" i="1"/>
  <c r="B16943" i="1"/>
  <c r="E16944" i="1"/>
  <c r="B16944" i="1"/>
  <c r="E16945" i="1"/>
  <c r="B16945" i="1"/>
  <c r="E16946" i="1"/>
  <c r="B16946" i="1"/>
  <c r="E16947" i="1"/>
  <c r="B16947" i="1"/>
  <c r="E16948" i="1"/>
  <c r="B16948" i="1"/>
  <c r="E16949" i="1"/>
  <c r="B16949" i="1"/>
  <c r="E16950" i="1"/>
  <c r="B16950" i="1"/>
  <c r="E16951" i="1"/>
  <c r="B16951" i="1"/>
  <c r="E16952" i="1"/>
  <c r="B16952" i="1"/>
  <c r="E16953" i="1"/>
  <c r="B16953" i="1"/>
  <c r="E16954" i="1"/>
  <c r="B16954" i="1"/>
  <c r="E16955" i="1"/>
  <c r="B16955" i="1"/>
  <c r="E16956" i="1"/>
  <c r="B16956" i="1"/>
  <c r="E16957" i="1"/>
  <c r="B16957" i="1"/>
  <c r="E16958" i="1"/>
  <c r="B16958" i="1"/>
  <c r="E16959" i="1"/>
  <c r="B16959" i="1"/>
  <c r="E16960" i="1"/>
  <c r="B16960" i="1"/>
  <c r="E16961" i="1"/>
  <c r="B16961" i="1"/>
  <c r="E16962" i="1"/>
  <c r="B16962" i="1"/>
  <c r="E16963" i="1"/>
  <c r="B16963" i="1"/>
  <c r="E16964" i="1"/>
  <c r="B16964" i="1"/>
  <c r="E16965" i="1"/>
  <c r="B16965" i="1"/>
  <c r="E16966" i="1"/>
  <c r="B16966" i="1"/>
  <c r="E16967" i="1"/>
  <c r="B16967" i="1"/>
  <c r="E16968" i="1"/>
  <c r="B16968" i="1"/>
  <c r="E16969" i="1"/>
  <c r="B16969" i="1"/>
  <c r="E16970" i="1"/>
  <c r="B16970" i="1"/>
  <c r="E16971" i="1"/>
  <c r="B16971" i="1"/>
  <c r="E16972" i="1"/>
  <c r="B16972" i="1"/>
  <c r="E16973" i="1"/>
  <c r="B16973" i="1"/>
  <c r="E16974" i="1"/>
  <c r="B16974" i="1"/>
  <c r="E16975" i="1"/>
  <c r="B16975" i="1"/>
  <c r="E16976" i="1"/>
  <c r="B16976" i="1"/>
  <c r="E16977" i="1"/>
  <c r="B16977" i="1"/>
  <c r="E16978" i="1"/>
  <c r="B16978" i="1"/>
  <c r="E16979" i="1"/>
  <c r="B16979" i="1"/>
  <c r="E16980" i="1"/>
  <c r="B16980" i="1"/>
  <c r="E16981" i="1"/>
  <c r="B16981" i="1"/>
  <c r="E16982" i="1"/>
  <c r="B16982" i="1"/>
  <c r="E16983" i="1"/>
  <c r="B16983" i="1"/>
  <c r="E16984" i="1"/>
  <c r="B16984" i="1"/>
  <c r="E16985" i="1"/>
  <c r="B16985" i="1"/>
  <c r="E16986" i="1"/>
  <c r="B16986" i="1"/>
  <c r="E16987" i="1"/>
  <c r="B16987" i="1"/>
  <c r="E16988" i="1"/>
  <c r="B16988" i="1"/>
  <c r="E16989" i="1"/>
  <c r="B16989" i="1"/>
  <c r="E16990" i="1"/>
  <c r="B16990" i="1"/>
  <c r="E16991" i="1"/>
  <c r="B16991" i="1"/>
  <c r="E16992" i="1"/>
  <c r="B16992" i="1"/>
  <c r="E16993" i="1"/>
  <c r="B16993" i="1"/>
  <c r="E16994" i="1"/>
  <c r="B16994" i="1"/>
  <c r="E16995" i="1"/>
  <c r="B16995" i="1"/>
  <c r="E16996" i="1"/>
  <c r="B16996" i="1"/>
  <c r="E16997" i="1"/>
  <c r="B16997" i="1"/>
  <c r="E16998" i="1"/>
  <c r="B16998" i="1"/>
  <c r="E16999" i="1"/>
  <c r="B16999" i="1"/>
  <c r="E17000" i="1"/>
  <c r="B17000" i="1"/>
  <c r="E17001" i="1"/>
  <c r="B17001" i="1"/>
  <c r="E17002" i="1"/>
  <c r="B17002" i="1"/>
  <c r="E17003" i="1"/>
  <c r="B17003" i="1"/>
  <c r="E17004" i="1"/>
  <c r="B17004" i="1"/>
  <c r="E17005" i="1"/>
  <c r="B17005" i="1"/>
  <c r="E17006" i="1"/>
  <c r="B17006" i="1"/>
  <c r="E17007" i="1"/>
  <c r="B17007" i="1"/>
  <c r="E17008" i="1"/>
  <c r="B17008" i="1"/>
  <c r="E17009" i="1"/>
  <c r="B17009" i="1"/>
  <c r="E17010" i="1"/>
  <c r="B17010" i="1"/>
  <c r="E17011" i="1"/>
  <c r="B17011" i="1"/>
  <c r="E17012" i="1"/>
  <c r="B17012" i="1"/>
  <c r="E17013" i="1"/>
  <c r="B17013" i="1"/>
  <c r="E17014" i="1"/>
  <c r="B17014" i="1"/>
  <c r="E17015" i="1"/>
  <c r="B17015" i="1"/>
  <c r="E17016" i="1"/>
  <c r="B17016" i="1"/>
  <c r="E17017" i="1"/>
  <c r="B17017" i="1"/>
  <c r="E17018" i="1"/>
  <c r="B17018" i="1"/>
  <c r="E17019" i="1"/>
  <c r="B17019" i="1"/>
  <c r="E17021" i="1"/>
  <c r="B17021" i="1"/>
  <c r="E17020" i="1"/>
  <c r="B17020" i="1"/>
  <c r="E17022" i="1"/>
  <c r="B17022" i="1"/>
  <c r="E17023" i="1"/>
  <c r="B17023" i="1"/>
  <c r="E17024" i="1"/>
  <c r="B17024" i="1"/>
  <c r="E17025" i="1"/>
  <c r="B17025" i="1"/>
  <c r="E17026" i="1"/>
  <c r="B17026" i="1"/>
  <c r="E17027" i="1"/>
  <c r="B17027" i="1"/>
  <c r="E17028" i="1"/>
  <c r="B17028" i="1"/>
  <c r="E17029" i="1"/>
  <c r="B17029" i="1"/>
  <c r="E17030" i="1"/>
  <c r="B17030" i="1"/>
  <c r="E17031" i="1"/>
  <c r="B17031" i="1"/>
  <c r="E17032" i="1"/>
  <c r="B17032" i="1"/>
  <c r="E17033" i="1"/>
  <c r="B17033" i="1"/>
  <c r="E17034" i="1"/>
  <c r="B17034" i="1"/>
  <c r="E17035" i="1"/>
  <c r="B17035" i="1"/>
  <c r="E17036" i="1"/>
  <c r="B17036" i="1"/>
  <c r="E17037" i="1"/>
  <c r="B17037" i="1"/>
  <c r="E17038" i="1"/>
  <c r="B17038" i="1"/>
  <c r="E17039" i="1"/>
  <c r="B17039" i="1"/>
  <c r="E17040" i="1"/>
  <c r="B17040" i="1"/>
  <c r="E17041" i="1"/>
  <c r="B17041" i="1"/>
  <c r="E17042" i="1"/>
  <c r="B17042" i="1"/>
  <c r="E17043" i="1"/>
  <c r="B17043" i="1"/>
  <c r="E17044" i="1"/>
  <c r="B17044" i="1"/>
  <c r="E17045" i="1"/>
  <c r="B17045" i="1"/>
  <c r="E17046" i="1"/>
  <c r="B17046" i="1"/>
  <c r="E17047" i="1"/>
  <c r="B17047" i="1"/>
  <c r="E17048" i="1"/>
  <c r="B17048" i="1"/>
  <c r="E17049" i="1"/>
  <c r="B17049" i="1"/>
  <c r="E17050" i="1"/>
  <c r="B17050" i="1"/>
  <c r="E17051" i="1"/>
  <c r="B17051" i="1"/>
  <c r="E17052" i="1"/>
  <c r="B17052" i="1"/>
  <c r="E17053" i="1"/>
  <c r="B17053" i="1"/>
  <c r="E17054" i="1"/>
  <c r="B17054" i="1"/>
  <c r="E17055" i="1"/>
  <c r="B17055" i="1"/>
  <c r="E17056" i="1"/>
  <c r="B17056" i="1"/>
  <c r="E17057" i="1"/>
  <c r="B17057" i="1"/>
  <c r="E17058" i="1"/>
  <c r="B17058" i="1"/>
  <c r="E17059" i="1"/>
  <c r="B17059" i="1"/>
  <c r="E17060" i="1"/>
  <c r="B17060" i="1"/>
  <c r="E17061" i="1"/>
  <c r="B17061" i="1"/>
  <c r="E17062" i="1"/>
  <c r="B17062" i="1"/>
  <c r="E17063" i="1"/>
  <c r="B17063" i="1"/>
  <c r="E17064" i="1"/>
  <c r="B17064" i="1"/>
  <c r="E17065" i="1"/>
  <c r="B17065" i="1"/>
  <c r="E17066" i="1"/>
  <c r="B17066" i="1"/>
  <c r="E17067" i="1"/>
  <c r="B17067" i="1"/>
  <c r="E17068" i="1"/>
  <c r="B17068" i="1"/>
  <c r="E17069" i="1"/>
  <c r="B17069" i="1"/>
  <c r="E17070" i="1"/>
  <c r="B17070" i="1"/>
  <c r="E17071" i="1"/>
  <c r="B17071" i="1"/>
  <c r="E17072" i="1"/>
  <c r="B17072" i="1"/>
  <c r="E17073" i="1"/>
  <c r="B17073" i="1"/>
  <c r="E17074" i="1"/>
  <c r="B17074" i="1"/>
  <c r="E17075" i="1"/>
  <c r="B17075" i="1"/>
  <c r="E17076" i="1"/>
  <c r="B17076" i="1"/>
  <c r="E17077" i="1"/>
  <c r="B17077" i="1"/>
  <c r="E17078" i="1"/>
  <c r="B17078" i="1"/>
  <c r="E17079" i="1"/>
  <c r="B17079" i="1"/>
  <c r="E17080" i="1"/>
  <c r="B17080" i="1"/>
  <c r="E17081" i="1"/>
  <c r="B17081" i="1"/>
  <c r="E17082" i="1"/>
  <c r="B17082" i="1"/>
  <c r="E17083" i="1"/>
  <c r="B17083" i="1"/>
  <c r="E17084" i="1"/>
  <c r="B17084" i="1"/>
  <c r="E17085" i="1"/>
  <c r="B17085" i="1"/>
  <c r="E17086" i="1"/>
  <c r="B17086" i="1"/>
  <c r="E17087" i="1"/>
  <c r="B17087" i="1"/>
  <c r="E17088" i="1"/>
  <c r="B17088" i="1"/>
  <c r="E17089" i="1"/>
  <c r="B17089" i="1"/>
  <c r="E17090" i="1"/>
  <c r="B17090" i="1"/>
  <c r="E17091" i="1"/>
  <c r="B17091" i="1"/>
  <c r="E17092" i="1"/>
  <c r="B17092" i="1"/>
  <c r="E17093" i="1"/>
  <c r="B17093" i="1"/>
  <c r="E17094" i="1"/>
  <c r="B17094" i="1"/>
  <c r="E17095" i="1"/>
  <c r="B17095" i="1"/>
  <c r="E17096" i="1"/>
  <c r="B17096" i="1"/>
  <c r="E17097" i="1"/>
  <c r="B17097" i="1"/>
  <c r="E17098" i="1"/>
  <c r="B17098" i="1"/>
  <c r="E17099" i="1"/>
  <c r="B17099" i="1"/>
  <c r="E17100" i="1"/>
  <c r="B17100" i="1"/>
  <c r="E17101" i="1"/>
  <c r="B17101" i="1"/>
  <c r="E17102" i="1"/>
  <c r="B17102" i="1"/>
  <c r="E17103" i="1"/>
  <c r="B17103" i="1"/>
  <c r="E17104" i="1"/>
  <c r="B17104" i="1"/>
  <c r="E17105" i="1"/>
  <c r="B17105" i="1"/>
  <c r="E17106" i="1"/>
  <c r="B17106" i="1"/>
  <c r="E17107" i="1"/>
  <c r="B17107" i="1"/>
  <c r="E17108" i="1"/>
  <c r="B17108" i="1"/>
  <c r="E17109" i="1"/>
  <c r="B17109" i="1"/>
  <c r="E17110" i="1"/>
  <c r="B17110" i="1"/>
  <c r="E17111" i="1"/>
  <c r="B17111" i="1"/>
  <c r="E17112" i="1"/>
  <c r="B17112" i="1"/>
  <c r="E17113" i="1"/>
  <c r="B17113" i="1"/>
  <c r="E17114" i="1"/>
  <c r="B17114" i="1"/>
  <c r="E17115" i="1"/>
  <c r="B17115" i="1"/>
  <c r="E17116" i="1"/>
  <c r="B17116" i="1"/>
  <c r="E17117" i="1"/>
  <c r="B17117" i="1"/>
  <c r="E17118" i="1"/>
  <c r="B17118" i="1"/>
  <c r="E17119" i="1"/>
  <c r="B17119" i="1"/>
  <c r="E17120" i="1"/>
  <c r="B17120" i="1"/>
  <c r="E17121" i="1"/>
  <c r="B17121" i="1"/>
  <c r="E17122" i="1"/>
  <c r="B17122" i="1"/>
  <c r="E17123" i="1"/>
  <c r="B17123" i="1"/>
  <c r="E17124" i="1"/>
  <c r="B17124" i="1"/>
  <c r="E17125" i="1"/>
  <c r="B17125" i="1"/>
  <c r="E17126" i="1"/>
  <c r="B17126" i="1"/>
  <c r="E17127" i="1"/>
  <c r="B17127" i="1"/>
  <c r="E17128" i="1"/>
  <c r="B17128" i="1"/>
  <c r="E17129" i="1"/>
  <c r="B17129" i="1"/>
  <c r="E17130" i="1"/>
  <c r="B17130" i="1"/>
  <c r="E17131" i="1"/>
  <c r="B17131" i="1"/>
  <c r="E17132" i="1"/>
  <c r="B17132" i="1"/>
  <c r="E17133" i="1"/>
  <c r="B17133" i="1"/>
  <c r="E17134" i="1"/>
  <c r="B17134" i="1"/>
  <c r="E17135" i="1"/>
  <c r="B17135" i="1"/>
  <c r="E17136" i="1"/>
  <c r="B17136" i="1"/>
  <c r="E17137" i="1"/>
  <c r="B17137" i="1"/>
  <c r="E17138" i="1"/>
  <c r="B17138" i="1"/>
  <c r="E17139" i="1"/>
  <c r="B17139" i="1"/>
  <c r="E17140" i="1"/>
  <c r="B17140" i="1"/>
  <c r="E17141" i="1"/>
  <c r="B17141" i="1"/>
  <c r="E17142" i="1"/>
  <c r="B17142" i="1"/>
  <c r="E17143" i="1"/>
  <c r="B17143" i="1"/>
  <c r="E17144" i="1"/>
  <c r="B17144" i="1"/>
  <c r="E17145" i="1"/>
  <c r="B17145" i="1"/>
  <c r="E17146" i="1"/>
  <c r="B17146" i="1"/>
  <c r="E17147" i="1"/>
  <c r="B17147" i="1"/>
  <c r="E17148" i="1"/>
  <c r="B17148" i="1"/>
  <c r="E17149" i="1"/>
  <c r="B17149" i="1"/>
  <c r="E17150" i="1"/>
  <c r="B17150" i="1"/>
  <c r="E17151" i="1"/>
  <c r="B17151" i="1"/>
  <c r="E17152" i="1"/>
  <c r="B17152" i="1"/>
  <c r="E17153" i="1"/>
  <c r="B17153" i="1"/>
  <c r="E17154" i="1"/>
  <c r="B17154" i="1"/>
  <c r="E17155" i="1"/>
  <c r="B17155" i="1"/>
  <c r="E17156" i="1"/>
  <c r="B17156" i="1"/>
  <c r="E17157" i="1"/>
  <c r="B17157" i="1"/>
  <c r="E17158" i="1"/>
  <c r="B17158" i="1"/>
  <c r="E17159" i="1"/>
  <c r="B17159" i="1"/>
  <c r="E17160" i="1"/>
  <c r="B17160" i="1"/>
  <c r="E17161" i="1"/>
  <c r="B17161" i="1"/>
  <c r="E17162" i="1"/>
  <c r="B17162" i="1"/>
  <c r="E17163" i="1"/>
  <c r="B17163" i="1"/>
  <c r="E17164" i="1"/>
  <c r="B17164" i="1"/>
  <c r="E17165" i="1"/>
  <c r="B17165" i="1"/>
  <c r="E17166" i="1"/>
  <c r="B17166" i="1"/>
  <c r="E17167" i="1"/>
  <c r="B17167" i="1"/>
  <c r="E17168" i="1"/>
  <c r="B17168" i="1"/>
  <c r="E17169" i="1"/>
  <c r="B17169" i="1"/>
  <c r="E17170" i="1"/>
  <c r="B17170" i="1"/>
  <c r="E17171" i="1"/>
  <c r="B17171" i="1"/>
  <c r="E17172" i="1"/>
  <c r="B17172" i="1"/>
  <c r="E17173" i="1"/>
  <c r="B17173" i="1"/>
  <c r="E17174" i="1"/>
  <c r="B17174" i="1"/>
  <c r="E17175" i="1"/>
  <c r="B17175" i="1"/>
  <c r="E17176" i="1"/>
  <c r="B17176" i="1"/>
  <c r="E17177" i="1"/>
  <c r="B17177" i="1"/>
  <c r="E17178" i="1"/>
  <c r="B17178" i="1"/>
  <c r="E17179" i="1"/>
  <c r="B17179" i="1"/>
  <c r="E17180" i="1"/>
  <c r="B17180" i="1"/>
  <c r="E17181" i="1"/>
  <c r="B17181" i="1"/>
  <c r="E17182" i="1"/>
  <c r="B17182" i="1"/>
  <c r="E17183" i="1"/>
  <c r="B17183" i="1"/>
  <c r="E17184" i="1"/>
  <c r="B17184" i="1"/>
  <c r="E17185" i="1"/>
  <c r="B17185" i="1"/>
  <c r="E17186" i="1"/>
  <c r="B17186" i="1"/>
  <c r="E17187" i="1"/>
  <c r="B17187" i="1"/>
  <c r="E17188" i="1"/>
  <c r="B17188" i="1"/>
  <c r="E17189" i="1"/>
  <c r="B17189" i="1"/>
  <c r="E17190" i="1"/>
  <c r="B17190" i="1"/>
  <c r="E17191" i="1"/>
  <c r="B17191" i="1"/>
  <c r="E17192" i="1"/>
  <c r="B17192" i="1"/>
  <c r="E17193" i="1"/>
  <c r="B17193" i="1"/>
  <c r="E17194" i="1"/>
  <c r="B17194" i="1"/>
  <c r="E17195" i="1"/>
  <c r="B17195" i="1"/>
  <c r="E17196" i="1"/>
  <c r="B17196" i="1"/>
  <c r="E17197" i="1"/>
  <c r="B17197" i="1"/>
  <c r="E17198" i="1"/>
  <c r="B17198" i="1"/>
  <c r="E17199" i="1"/>
  <c r="B17199" i="1"/>
  <c r="E17200" i="1"/>
  <c r="B17200" i="1"/>
  <c r="E17201" i="1"/>
  <c r="B17201" i="1"/>
  <c r="E17202" i="1"/>
  <c r="B17202" i="1"/>
  <c r="E17203" i="1"/>
  <c r="B17203" i="1"/>
  <c r="E17204" i="1"/>
  <c r="B17204" i="1"/>
  <c r="E17205" i="1"/>
  <c r="B17205" i="1"/>
  <c r="E17206" i="1"/>
  <c r="B17206" i="1"/>
  <c r="E17207" i="1"/>
  <c r="B17207" i="1"/>
  <c r="E17208" i="1"/>
  <c r="B17208" i="1"/>
  <c r="E17209" i="1"/>
  <c r="B17209" i="1"/>
  <c r="E17210" i="1"/>
  <c r="B17210" i="1"/>
  <c r="E17211" i="1"/>
  <c r="B17211" i="1"/>
  <c r="E17212" i="1"/>
  <c r="B17212" i="1"/>
  <c r="E17214" i="1"/>
  <c r="B17214" i="1"/>
  <c r="E17213" i="1"/>
  <c r="B17213" i="1"/>
  <c r="E17215" i="1"/>
  <c r="B17215" i="1"/>
  <c r="E17216" i="1"/>
  <c r="B17216" i="1"/>
  <c r="E17217" i="1"/>
  <c r="B17217" i="1"/>
  <c r="E17218" i="1"/>
  <c r="B17218" i="1"/>
  <c r="E17219" i="1"/>
  <c r="B17219" i="1"/>
  <c r="E17220" i="1"/>
  <c r="B17220" i="1"/>
  <c r="E17221" i="1"/>
  <c r="B17221" i="1"/>
  <c r="E17222" i="1"/>
  <c r="B17222" i="1"/>
  <c r="E17223" i="1"/>
  <c r="B17223" i="1"/>
  <c r="E17224" i="1"/>
  <c r="B17224" i="1"/>
  <c r="E17225" i="1"/>
  <c r="B17225" i="1"/>
  <c r="E17226" i="1"/>
  <c r="B17226" i="1"/>
  <c r="E17227" i="1"/>
  <c r="B17227" i="1"/>
  <c r="E17228" i="1"/>
  <c r="B17228" i="1"/>
  <c r="E17229" i="1"/>
  <c r="B17229" i="1"/>
  <c r="E17230" i="1"/>
  <c r="B17230" i="1"/>
  <c r="E17231" i="1"/>
  <c r="B17231" i="1"/>
  <c r="E17232" i="1"/>
  <c r="B17232" i="1"/>
  <c r="E17233" i="1"/>
  <c r="B17233" i="1"/>
  <c r="E17234" i="1"/>
  <c r="B17234" i="1"/>
  <c r="E17235" i="1"/>
  <c r="B17235" i="1"/>
  <c r="E17237" i="1"/>
  <c r="B17237" i="1"/>
  <c r="E17236" i="1"/>
  <c r="B17236" i="1"/>
  <c r="E17238" i="1"/>
  <c r="B17238" i="1"/>
  <c r="E17239" i="1"/>
  <c r="B17239" i="1"/>
  <c r="E17240" i="1"/>
  <c r="B17240" i="1"/>
  <c r="E17241" i="1"/>
  <c r="B17241" i="1"/>
  <c r="E17242" i="1"/>
  <c r="B17242" i="1"/>
  <c r="E17243" i="1"/>
  <c r="B17243" i="1"/>
  <c r="E17244" i="1"/>
  <c r="B17244" i="1"/>
  <c r="E17245" i="1"/>
  <c r="B17245" i="1"/>
  <c r="E17246" i="1"/>
  <c r="B17246" i="1"/>
  <c r="E17247" i="1"/>
  <c r="B17247" i="1"/>
  <c r="E17248" i="1"/>
  <c r="B17248" i="1"/>
  <c r="E17249" i="1"/>
  <c r="B17249" i="1"/>
  <c r="E17250" i="1"/>
  <c r="B17250" i="1"/>
  <c r="E17251" i="1"/>
  <c r="B17251" i="1"/>
  <c r="E17252" i="1"/>
  <c r="B17252" i="1"/>
  <c r="E17253" i="1"/>
  <c r="B17253" i="1"/>
  <c r="E17254" i="1"/>
  <c r="B17254" i="1"/>
  <c r="E17255" i="1"/>
  <c r="B17255" i="1"/>
  <c r="E17256" i="1"/>
  <c r="B17256" i="1"/>
  <c r="E17257" i="1"/>
  <c r="B17257" i="1"/>
  <c r="E17258" i="1"/>
  <c r="B17258" i="1"/>
  <c r="E17259" i="1"/>
  <c r="B17259" i="1"/>
  <c r="E17260" i="1"/>
  <c r="B17260" i="1"/>
  <c r="E17261" i="1"/>
  <c r="B17261" i="1"/>
  <c r="E17262" i="1"/>
  <c r="B17262" i="1"/>
  <c r="E17263" i="1"/>
  <c r="B17263" i="1"/>
  <c r="E17264" i="1"/>
  <c r="B17264" i="1"/>
  <c r="E17265" i="1"/>
  <c r="B17265" i="1"/>
  <c r="E17266" i="1"/>
  <c r="B17266" i="1"/>
  <c r="E17267" i="1"/>
  <c r="B17267" i="1"/>
  <c r="E17268" i="1"/>
  <c r="B17268" i="1"/>
  <c r="E17269" i="1"/>
  <c r="B17269" i="1"/>
  <c r="E17270" i="1"/>
  <c r="B17270" i="1"/>
  <c r="E17271" i="1"/>
  <c r="B17271" i="1"/>
  <c r="E17272" i="1"/>
  <c r="B17272" i="1"/>
  <c r="E17273" i="1"/>
  <c r="B17273" i="1"/>
  <c r="E17274" i="1"/>
  <c r="B17274" i="1"/>
  <c r="E17275" i="1"/>
  <c r="B17275" i="1"/>
  <c r="E17276" i="1"/>
  <c r="B17276" i="1"/>
  <c r="E17277" i="1"/>
  <c r="B17277" i="1"/>
  <c r="E17278" i="1"/>
  <c r="B17278" i="1"/>
  <c r="E17279" i="1"/>
  <c r="B17279" i="1"/>
  <c r="E17280" i="1"/>
  <c r="B17280" i="1"/>
  <c r="E17281" i="1"/>
  <c r="B17281" i="1"/>
  <c r="E17282" i="1"/>
  <c r="B17282" i="1"/>
  <c r="E17283" i="1"/>
  <c r="B17283" i="1"/>
  <c r="E17284" i="1"/>
  <c r="B17284" i="1"/>
  <c r="E17285" i="1"/>
  <c r="B17285" i="1"/>
  <c r="E17286" i="1"/>
  <c r="B17286" i="1"/>
  <c r="E17287" i="1"/>
  <c r="B17287" i="1"/>
  <c r="E17288" i="1"/>
  <c r="B17288" i="1"/>
  <c r="E17289" i="1"/>
  <c r="B17289" i="1"/>
  <c r="E17290" i="1"/>
  <c r="B17290" i="1"/>
  <c r="E17291" i="1"/>
  <c r="B17291" i="1"/>
  <c r="E17292" i="1"/>
  <c r="B17292" i="1"/>
  <c r="E17293" i="1"/>
  <c r="B17293" i="1"/>
  <c r="E17294" i="1"/>
  <c r="B17294" i="1"/>
  <c r="E17295" i="1"/>
  <c r="B17295" i="1"/>
  <c r="E17296" i="1"/>
  <c r="B17296" i="1"/>
  <c r="E17297" i="1"/>
  <c r="B17297" i="1"/>
  <c r="E17298" i="1"/>
  <c r="B17298" i="1"/>
  <c r="E17299" i="1"/>
  <c r="B17299" i="1"/>
  <c r="E17300" i="1"/>
  <c r="B17300" i="1"/>
  <c r="E17301" i="1"/>
  <c r="B17301" i="1"/>
  <c r="E17302" i="1"/>
  <c r="B17302" i="1"/>
  <c r="E17303" i="1"/>
  <c r="B17303" i="1"/>
  <c r="E17304" i="1"/>
  <c r="B17304" i="1"/>
  <c r="E17305" i="1"/>
  <c r="B17305" i="1"/>
  <c r="E17306" i="1"/>
  <c r="B17306" i="1"/>
  <c r="E17307" i="1"/>
  <c r="B17307" i="1"/>
  <c r="E17308" i="1"/>
  <c r="B17308" i="1"/>
  <c r="E17309" i="1"/>
  <c r="B17309" i="1"/>
  <c r="E17310" i="1"/>
  <c r="B17310" i="1"/>
  <c r="E17311" i="1"/>
  <c r="B17311" i="1"/>
  <c r="E17312" i="1"/>
  <c r="B17312" i="1"/>
  <c r="E17313" i="1"/>
  <c r="B17313" i="1"/>
  <c r="E17314" i="1"/>
  <c r="B17314" i="1"/>
  <c r="E17315" i="1"/>
  <c r="B17315" i="1"/>
  <c r="E17316" i="1"/>
  <c r="B17316" i="1"/>
  <c r="E17317" i="1"/>
  <c r="B17317" i="1"/>
  <c r="E17318" i="1"/>
  <c r="B17318" i="1"/>
  <c r="E17319" i="1"/>
  <c r="B17319" i="1"/>
  <c r="E17320" i="1"/>
  <c r="B17320" i="1"/>
  <c r="E17321" i="1"/>
  <c r="B17321" i="1"/>
  <c r="E17322" i="1"/>
  <c r="B17322" i="1"/>
  <c r="E17323" i="1"/>
  <c r="B17323" i="1"/>
  <c r="E17324" i="1"/>
  <c r="B17324" i="1"/>
  <c r="E17325" i="1"/>
  <c r="B17325" i="1"/>
  <c r="E17326" i="1"/>
  <c r="B17326" i="1"/>
  <c r="E17327" i="1"/>
  <c r="B17327" i="1"/>
  <c r="E17328" i="1"/>
  <c r="B17328" i="1"/>
  <c r="E17329" i="1"/>
  <c r="B17329" i="1"/>
  <c r="E17330" i="1"/>
  <c r="B17330" i="1"/>
  <c r="E17331" i="1"/>
  <c r="B17331" i="1"/>
  <c r="E17333" i="1"/>
  <c r="B17333" i="1"/>
  <c r="E17332" i="1"/>
  <c r="B17332" i="1"/>
  <c r="E17334" i="1"/>
  <c r="B17334" i="1"/>
  <c r="E17335" i="1"/>
  <c r="B17335" i="1"/>
  <c r="E17336" i="1"/>
  <c r="B17336" i="1"/>
  <c r="E17337" i="1"/>
  <c r="B17337" i="1"/>
  <c r="E17338" i="1"/>
  <c r="B17338" i="1"/>
  <c r="E17339" i="1"/>
  <c r="B17339" i="1"/>
  <c r="E17340" i="1"/>
  <c r="B17340" i="1"/>
  <c r="E17341" i="1"/>
  <c r="B17341" i="1"/>
  <c r="E17342" i="1"/>
  <c r="B17342" i="1"/>
  <c r="E17343" i="1"/>
  <c r="B17343" i="1"/>
  <c r="E17344" i="1"/>
  <c r="B17344" i="1"/>
  <c r="E17345" i="1"/>
  <c r="B17345" i="1"/>
  <c r="E17346" i="1"/>
  <c r="B17346" i="1"/>
  <c r="E17347" i="1"/>
  <c r="B17347" i="1"/>
  <c r="E17348" i="1"/>
  <c r="B17348" i="1"/>
  <c r="E17349" i="1"/>
  <c r="B17349" i="1"/>
  <c r="E17350" i="1"/>
  <c r="B17350" i="1"/>
  <c r="E17351" i="1"/>
  <c r="B17351" i="1"/>
  <c r="E17352" i="1"/>
  <c r="B17352" i="1"/>
  <c r="E17353" i="1"/>
  <c r="B17353" i="1"/>
  <c r="E17354" i="1"/>
  <c r="B17354" i="1"/>
  <c r="E17355" i="1"/>
  <c r="B17355" i="1"/>
  <c r="E17356" i="1"/>
  <c r="B17356" i="1"/>
  <c r="E17357" i="1"/>
  <c r="B17357" i="1"/>
  <c r="E17358" i="1"/>
  <c r="B17358" i="1"/>
  <c r="E17359" i="1"/>
  <c r="B17359" i="1"/>
  <c r="E17360" i="1"/>
  <c r="B17360" i="1"/>
  <c r="E17361" i="1"/>
  <c r="B17361" i="1"/>
  <c r="E17362" i="1"/>
  <c r="B17362" i="1"/>
  <c r="E17363" i="1"/>
  <c r="B17363" i="1"/>
  <c r="E17364" i="1"/>
  <c r="B17364" i="1"/>
  <c r="E17365" i="1"/>
  <c r="B17365" i="1"/>
  <c r="E17366" i="1"/>
  <c r="B17366" i="1"/>
  <c r="E17367" i="1"/>
  <c r="B17367" i="1"/>
  <c r="E17368" i="1"/>
  <c r="B17368" i="1"/>
  <c r="E17369" i="1"/>
  <c r="B17369" i="1"/>
  <c r="E17370" i="1"/>
  <c r="B17370" i="1"/>
  <c r="E17371" i="1"/>
  <c r="B17371" i="1"/>
  <c r="E17372" i="1"/>
  <c r="B17372" i="1"/>
  <c r="E17373" i="1"/>
  <c r="B17373" i="1"/>
  <c r="E17374" i="1"/>
  <c r="B17374" i="1"/>
  <c r="E17375" i="1"/>
  <c r="B17375" i="1"/>
  <c r="E17376" i="1"/>
  <c r="B17376" i="1"/>
  <c r="E17377" i="1"/>
  <c r="B17377" i="1"/>
  <c r="E17378" i="1"/>
  <c r="B17378" i="1"/>
  <c r="E17379" i="1"/>
  <c r="B17379" i="1"/>
  <c r="E17380" i="1"/>
  <c r="B17380" i="1"/>
  <c r="E17381" i="1"/>
  <c r="B17381" i="1"/>
  <c r="E17382" i="1"/>
  <c r="B17382" i="1"/>
  <c r="E17383" i="1"/>
  <c r="B17383" i="1"/>
  <c r="E17384" i="1"/>
  <c r="B17384" i="1"/>
  <c r="E17385" i="1"/>
  <c r="B17385" i="1"/>
  <c r="E17386" i="1"/>
  <c r="B17386" i="1"/>
  <c r="E17387" i="1"/>
  <c r="B17387" i="1"/>
  <c r="E17388" i="1"/>
  <c r="B17388" i="1"/>
  <c r="E17389" i="1"/>
  <c r="B17389" i="1"/>
  <c r="E17390" i="1"/>
  <c r="B17390" i="1"/>
  <c r="E17391" i="1"/>
  <c r="B17391" i="1"/>
  <c r="E17392" i="1"/>
  <c r="B17392" i="1"/>
  <c r="E17393" i="1"/>
  <c r="B17393" i="1"/>
  <c r="E17394" i="1"/>
  <c r="B17394" i="1"/>
  <c r="E17395" i="1"/>
  <c r="B17395" i="1"/>
  <c r="E17396" i="1"/>
  <c r="B17396" i="1"/>
  <c r="E17397" i="1"/>
  <c r="B17397" i="1"/>
  <c r="E17398" i="1"/>
  <c r="B17398" i="1"/>
  <c r="E17399" i="1"/>
  <c r="B17399" i="1"/>
  <c r="E17400" i="1"/>
  <c r="B17400" i="1"/>
  <c r="E17401" i="1"/>
  <c r="B17401" i="1"/>
  <c r="E17402" i="1"/>
  <c r="B17402" i="1"/>
  <c r="E17403" i="1"/>
  <c r="B17403" i="1"/>
  <c r="E17404" i="1"/>
  <c r="B17404" i="1"/>
  <c r="E17405" i="1"/>
  <c r="B17405" i="1"/>
  <c r="E17406" i="1"/>
  <c r="B17406" i="1"/>
  <c r="E17407" i="1"/>
  <c r="B17407" i="1"/>
  <c r="E17408" i="1"/>
  <c r="B17408" i="1"/>
  <c r="E17409" i="1"/>
  <c r="B17409" i="1"/>
  <c r="E17410" i="1"/>
  <c r="B17410" i="1"/>
  <c r="E17411" i="1"/>
  <c r="B17411" i="1"/>
  <c r="E17412" i="1"/>
  <c r="B17412" i="1"/>
  <c r="E17413" i="1"/>
  <c r="B17413" i="1"/>
  <c r="E17414" i="1"/>
  <c r="B17414" i="1"/>
  <c r="E17415" i="1"/>
  <c r="B17415" i="1"/>
  <c r="E17416" i="1"/>
  <c r="B17416" i="1"/>
  <c r="E17417" i="1"/>
  <c r="B17417" i="1"/>
  <c r="E17418" i="1"/>
  <c r="B17418" i="1"/>
  <c r="E17419" i="1"/>
  <c r="B17419" i="1"/>
  <c r="E17420" i="1"/>
  <c r="B17420" i="1"/>
  <c r="E17421" i="1"/>
  <c r="B17421" i="1"/>
  <c r="E17422" i="1"/>
  <c r="B17422" i="1"/>
  <c r="E17423" i="1"/>
  <c r="B17423" i="1"/>
  <c r="E17424" i="1"/>
  <c r="B17424" i="1"/>
  <c r="E17426" i="1"/>
  <c r="B17426" i="1"/>
  <c r="E17425" i="1"/>
  <c r="B17425" i="1"/>
  <c r="E17427" i="1"/>
  <c r="B17427" i="1"/>
  <c r="E17428" i="1"/>
  <c r="B17428" i="1"/>
  <c r="E17429" i="1"/>
  <c r="B17429" i="1"/>
  <c r="E17430" i="1"/>
  <c r="B17430" i="1"/>
  <c r="E17431" i="1"/>
  <c r="B17431" i="1"/>
  <c r="E17432" i="1"/>
  <c r="B17432" i="1"/>
  <c r="E17433" i="1"/>
  <c r="B17433" i="1"/>
  <c r="E17434" i="1"/>
  <c r="B17434" i="1"/>
  <c r="E17435" i="1"/>
  <c r="B17435" i="1"/>
  <c r="E17436" i="1"/>
  <c r="B17436" i="1"/>
  <c r="E17438" i="1"/>
  <c r="B17438" i="1"/>
  <c r="E17437" i="1"/>
  <c r="B17437" i="1"/>
  <c r="E17439" i="1"/>
  <c r="B17439" i="1"/>
  <c r="E17440" i="1"/>
  <c r="B17440" i="1"/>
  <c r="E17441" i="1"/>
  <c r="B17441" i="1"/>
  <c r="E17442" i="1"/>
  <c r="B17442" i="1"/>
  <c r="E17443" i="1"/>
  <c r="B17443" i="1"/>
  <c r="E17444" i="1"/>
  <c r="B17444" i="1"/>
  <c r="E17445" i="1"/>
  <c r="B17445" i="1"/>
  <c r="E17446" i="1"/>
  <c r="B17446" i="1"/>
  <c r="E17447" i="1"/>
  <c r="B17447" i="1"/>
  <c r="E17448" i="1"/>
  <c r="B17448" i="1"/>
  <c r="E17449" i="1"/>
  <c r="B17449" i="1"/>
  <c r="E17450" i="1"/>
  <c r="B17450" i="1"/>
  <c r="E17451" i="1"/>
  <c r="B17451" i="1"/>
  <c r="E17452" i="1"/>
  <c r="B17452" i="1"/>
  <c r="E17453" i="1"/>
  <c r="B17453" i="1"/>
  <c r="E17454" i="1"/>
  <c r="B17454" i="1"/>
  <c r="E17455" i="1"/>
  <c r="B17455" i="1"/>
  <c r="E17456" i="1"/>
  <c r="B17456" i="1"/>
  <c r="E17457" i="1"/>
  <c r="B17457" i="1"/>
  <c r="E17458" i="1"/>
  <c r="B17458" i="1"/>
  <c r="E17459" i="1"/>
  <c r="B17459" i="1"/>
  <c r="E17460" i="1"/>
  <c r="B17460" i="1"/>
  <c r="E17461" i="1"/>
  <c r="B17461" i="1"/>
  <c r="E17462" i="1"/>
  <c r="B17462" i="1"/>
  <c r="E17463" i="1"/>
  <c r="B17463" i="1"/>
  <c r="E17464" i="1"/>
  <c r="B17464" i="1"/>
  <c r="E17465" i="1"/>
  <c r="B17465" i="1"/>
  <c r="E17466" i="1"/>
  <c r="B17466" i="1"/>
  <c r="E17467" i="1"/>
  <c r="B17467" i="1"/>
  <c r="E17468" i="1"/>
  <c r="B17468" i="1"/>
  <c r="E17469" i="1"/>
  <c r="B17469" i="1"/>
  <c r="E17470" i="1"/>
  <c r="B17470" i="1"/>
  <c r="E17471" i="1"/>
  <c r="B17471" i="1"/>
  <c r="E17472" i="1"/>
  <c r="B17472" i="1"/>
  <c r="E17473" i="1"/>
  <c r="B17473" i="1"/>
  <c r="E17474" i="1"/>
  <c r="B17474" i="1"/>
  <c r="E17475" i="1"/>
  <c r="B17475" i="1"/>
  <c r="E17476" i="1"/>
  <c r="B17476" i="1"/>
  <c r="E17477" i="1"/>
  <c r="B17477" i="1"/>
  <c r="E17478" i="1"/>
  <c r="B17478" i="1"/>
  <c r="E17479" i="1"/>
  <c r="B17479" i="1"/>
  <c r="E17480" i="1"/>
  <c r="B17480" i="1"/>
  <c r="E17481" i="1"/>
  <c r="B17481" i="1"/>
  <c r="E17482" i="1"/>
  <c r="B17482" i="1"/>
  <c r="E17483" i="1"/>
  <c r="B17483" i="1"/>
  <c r="E17484" i="1"/>
  <c r="B17484" i="1"/>
  <c r="E17485" i="1"/>
  <c r="B17485" i="1"/>
  <c r="E17486" i="1"/>
  <c r="B17486" i="1"/>
  <c r="E17487" i="1"/>
  <c r="B17487" i="1"/>
  <c r="E17488" i="1"/>
  <c r="B17488" i="1"/>
  <c r="E17489" i="1"/>
  <c r="B17489" i="1"/>
  <c r="E17490" i="1"/>
  <c r="B17490" i="1"/>
  <c r="E17491" i="1"/>
  <c r="B17491" i="1"/>
  <c r="E17492" i="1"/>
  <c r="B17492" i="1"/>
  <c r="E17493" i="1"/>
  <c r="B17493" i="1"/>
  <c r="E17494" i="1"/>
  <c r="B17494" i="1"/>
  <c r="E17495" i="1"/>
  <c r="B17495" i="1"/>
  <c r="E17496" i="1"/>
  <c r="B17496" i="1"/>
  <c r="E17497" i="1"/>
  <c r="B17497" i="1"/>
  <c r="E17498" i="1"/>
  <c r="B17498" i="1"/>
  <c r="E17499" i="1"/>
  <c r="B17499" i="1"/>
  <c r="E17500" i="1"/>
  <c r="B17500" i="1"/>
  <c r="E17501" i="1"/>
  <c r="B17501" i="1"/>
  <c r="E17502" i="1"/>
  <c r="B17502" i="1"/>
  <c r="E17503" i="1"/>
  <c r="B17503" i="1"/>
  <c r="E17504" i="1"/>
  <c r="B17504" i="1"/>
  <c r="E17505" i="1"/>
  <c r="B17505" i="1"/>
  <c r="E17506" i="1"/>
  <c r="B17506" i="1"/>
  <c r="E17507" i="1"/>
  <c r="B17507" i="1"/>
  <c r="E17508" i="1"/>
  <c r="B17508" i="1"/>
  <c r="E17509" i="1"/>
  <c r="B17509" i="1"/>
  <c r="E17510" i="1"/>
  <c r="B17510" i="1"/>
  <c r="E17511" i="1"/>
  <c r="B17511" i="1"/>
  <c r="E17512" i="1"/>
  <c r="B17512" i="1"/>
  <c r="E17513" i="1"/>
  <c r="B17513" i="1"/>
  <c r="E17514" i="1"/>
  <c r="B17514" i="1"/>
  <c r="E17515" i="1"/>
  <c r="B17515" i="1"/>
  <c r="E17516" i="1"/>
  <c r="B17516" i="1"/>
  <c r="E17518" i="1"/>
  <c r="B17518" i="1"/>
  <c r="E17517" i="1"/>
  <c r="B17517" i="1"/>
  <c r="E17519" i="1"/>
  <c r="B17519" i="1"/>
  <c r="E17520" i="1"/>
  <c r="B17520" i="1"/>
  <c r="E17521" i="1"/>
  <c r="B17521" i="1"/>
  <c r="E17522" i="1"/>
  <c r="B17522" i="1"/>
  <c r="E17523" i="1"/>
  <c r="B17523" i="1"/>
  <c r="E17524" i="1"/>
  <c r="B17524" i="1"/>
  <c r="E17525" i="1"/>
  <c r="B17525" i="1"/>
  <c r="E17526" i="1"/>
  <c r="B17526" i="1"/>
  <c r="E17527" i="1"/>
  <c r="B17527" i="1"/>
  <c r="E17528" i="1"/>
  <c r="B17528" i="1"/>
  <c r="E17529" i="1"/>
  <c r="B17529" i="1"/>
  <c r="E17530" i="1"/>
  <c r="B17530" i="1"/>
  <c r="E17531" i="1"/>
  <c r="B17531" i="1"/>
  <c r="E17532" i="1"/>
  <c r="B17532" i="1"/>
  <c r="E17533" i="1"/>
  <c r="B17533" i="1"/>
  <c r="E17534" i="1"/>
  <c r="B17534" i="1"/>
  <c r="E17535" i="1"/>
  <c r="B17535" i="1"/>
  <c r="E17536" i="1"/>
  <c r="B17536" i="1"/>
  <c r="E17537" i="1"/>
  <c r="B17537" i="1"/>
  <c r="E17538" i="1"/>
  <c r="B17538" i="1"/>
  <c r="E17539" i="1"/>
  <c r="B17539" i="1"/>
  <c r="E17540" i="1"/>
  <c r="B17540" i="1"/>
  <c r="E17541" i="1"/>
  <c r="B17541" i="1"/>
  <c r="E17542" i="1"/>
  <c r="B17542" i="1"/>
  <c r="E17543" i="1"/>
  <c r="B17543" i="1"/>
  <c r="E17544" i="1"/>
  <c r="B17544" i="1"/>
  <c r="E17545" i="1"/>
  <c r="B17545" i="1"/>
  <c r="E17546" i="1"/>
  <c r="B17546" i="1"/>
  <c r="E17547" i="1"/>
  <c r="B17547" i="1"/>
  <c r="E17548" i="1"/>
  <c r="B17548" i="1"/>
  <c r="E17549" i="1"/>
  <c r="B17549" i="1"/>
  <c r="E17550" i="1"/>
  <c r="B17550" i="1"/>
  <c r="E17551" i="1"/>
  <c r="B17551" i="1"/>
  <c r="E17552" i="1"/>
  <c r="B17552" i="1"/>
  <c r="E17553" i="1"/>
  <c r="B17553" i="1"/>
  <c r="E17554" i="1"/>
  <c r="B17554" i="1"/>
  <c r="E17555" i="1"/>
  <c r="B17555" i="1"/>
  <c r="E17556" i="1"/>
  <c r="B17556" i="1"/>
  <c r="E17557" i="1"/>
  <c r="B17557" i="1"/>
  <c r="E17558" i="1"/>
  <c r="B17558" i="1"/>
  <c r="E17559" i="1"/>
  <c r="B17559" i="1"/>
  <c r="E17560" i="1"/>
  <c r="B17560" i="1"/>
  <c r="E17562" i="1"/>
  <c r="B17562" i="1"/>
  <c r="E17561" i="1"/>
  <c r="B17561" i="1"/>
  <c r="E17563" i="1"/>
  <c r="B17563" i="1"/>
  <c r="E17564" i="1"/>
  <c r="B17564" i="1"/>
  <c r="E17565" i="1"/>
  <c r="B17565" i="1"/>
  <c r="E17566" i="1"/>
  <c r="B17566" i="1"/>
  <c r="E17567" i="1"/>
  <c r="B17567" i="1"/>
  <c r="E17568" i="1"/>
  <c r="B17568" i="1"/>
  <c r="E17569" i="1"/>
  <c r="B17569" i="1"/>
  <c r="E17570" i="1"/>
  <c r="B17570" i="1"/>
  <c r="E17571" i="1"/>
  <c r="B17571" i="1"/>
  <c r="E17572" i="1"/>
  <c r="B17572" i="1"/>
  <c r="E17573" i="1"/>
  <c r="B17573" i="1"/>
  <c r="E17574" i="1"/>
  <c r="B17574" i="1"/>
  <c r="E17575" i="1"/>
  <c r="B17575" i="1"/>
  <c r="E17576" i="1"/>
  <c r="B17576" i="1"/>
  <c r="E17577" i="1"/>
  <c r="B17577" i="1"/>
  <c r="E17578" i="1"/>
  <c r="B17578" i="1"/>
  <c r="E17579" i="1"/>
  <c r="B17579" i="1"/>
  <c r="E17580" i="1"/>
  <c r="B17580" i="1"/>
  <c r="E17581" i="1"/>
  <c r="B17581" i="1"/>
  <c r="E17582" i="1"/>
  <c r="B17582" i="1"/>
  <c r="E17583" i="1"/>
  <c r="B17583" i="1"/>
  <c r="E17584" i="1"/>
  <c r="B17584" i="1"/>
  <c r="E17585" i="1"/>
  <c r="B17585" i="1"/>
  <c r="E17586" i="1"/>
  <c r="B17586" i="1"/>
  <c r="E17587" i="1"/>
  <c r="B17587" i="1"/>
  <c r="E17588" i="1"/>
  <c r="B17588" i="1"/>
  <c r="E17589" i="1"/>
  <c r="B17589" i="1"/>
  <c r="E17590" i="1"/>
  <c r="B17590" i="1"/>
  <c r="E17591" i="1"/>
  <c r="B17591" i="1"/>
  <c r="E17592" i="1"/>
  <c r="B17592" i="1"/>
  <c r="E17593" i="1"/>
  <c r="B17593" i="1"/>
  <c r="E17594" i="1"/>
  <c r="B17594" i="1"/>
  <c r="E17595" i="1"/>
  <c r="B17595" i="1"/>
  <c r="E17596" i="1"/>
  <c r="B17596" i="1"/>
  <c r="E17597" i="1"/>
  <c r="B17597" i="1"/>
  <c r="E17598" i="1"/>
  <c r="B17598" i="1"/>
  <c r="E17599" i="1"/>
  <c r="B17599" i="1"/>
  <c r="E17600" i="1"/>
  <c r="B17600" i="1"/>
  <c r="E17601" i="1"/>
  <c r="B17601" i="1"/>
  <c r="E17602" i="1"/>
  <c r="B17602" i="1"/>
  <c r="E17603" i="1"/>
  <c r="B17603" i="1"/>
  <c r="E17604" i="1"/>
  <c r="B17604" i="1"/>
  <c r="E17605" i="1"/>
  <c r="B17605" i="1"/>
  <c r="E17606" i="1"/>
  <c r="B17606" i="1"/>
  <c r="E17607" i="1"/>
  <c r="B17607" i="1"/>
  <c r="E17608" i="1"/>
  <c r="B17608" i="1"/>
  <c r="E17609" i="1"/>
  <c r="B17609" i="1"/>
  <c r="E17610" i="1"/>
  <c r="B17610" i="1"/>
  <c r="E17611" i="1"/>
  <c r="B17611" i="1"/>
  <c r="E17612" i="1"/>
  <c r="B17612" i="1"/>
  <c r="E17613" i="1"/>
  <c r="B17613" i="1"/>
  <c r="E17614" i="1"/>
  <c r="B17614" i="1"/>
  <c r="E17615" i="1"/>
  <c r="B17615" i="1"/>
  <c r="E17616" i="1"/>
  <c r="B17616" i="1"/>
  <c r="E17617" i="1"/>
  <c r="B17617" i="1"/>
  <c r="E17618" i="1"/>
  <c r="B17618" i="1"/>
  <c r="E17619" i="1"/>
  <c r="B17619" i="1"/>
  <c r="E17620" i="1"/>
  <c r="B17620" i="1"/>
  <c r="E17621" i="1"/>
  <c r="B17621" i="1"/>
  <c r="E17622" i="1"/>
  <c r="B17622" i="1"/>
  <c r="E17623" i="1"/>
  <c r="B17623" i="1"/>
  <c r="E17624" i="1"/>
  <c r="B17624" i="1"/>
  <c r="E17625" i="1"/>
  <c r="B17625" i="1"/>
  <c r="E17626" i="1"/>
  <c r="B17626" i="1"/>
  <c r="E17627" i="1"/>
  <c r="B17627" i="1"/>
  <c r="E17628" i="1"/>
  <c r="B17628" i="1"/>
  <c r="E17630" i="1"/>
  <c r="B17630" i="1"/>
  <c r="E17629" i="1"/>
  <c r="B17629" i="1"/>
  <c r="E17631" i="1"/>
  <c r="B17631" i="1"/>
  <c r="E17632" i="1"/>
  <c r="B17632" i="1"/>
  <c r="E17633" i="1"/>
  <c r="B17633" i="1"/>
  <c r="E17634" i="1"/>
  <c r="B17634" i="1"/>
  <c r="E17635" i="1"/>
  <c r="B17635" i="1"/>
  <c r="E17636" i="1"/>
  <c r="B17636" i="1"/>
  <c r="E17637" i="1"/>
  <c r="B17637" i="1"/>
  <c r="E17638" i="1"/>
  <c r="B17638" i="1"/>
  <c r="E17639" i="1"/>
  <c r="B17639" i="1"/>
  <c r="E17641" i="1"/>
  <c r="B17641" i="1"/>
  <c r="E17640" i="1"/>
  <c r="B17640" i="1"/>
  <c r="E17642" i="1"/>
  <c r="B17642" i="1"/>
  <c r="E17643" i="1"/>
  <c r="B17643" i="1"/>
  <c r="E17644" i="1"/>
  <c r="B17644" i="1"/>
  <c r="E17645" i="1"/>
  <c r="B17645" i="1"/>
  <c r="E17646" i="1"/>
  <c r="B17646" i="1"/>
  <c r="E17647" i="1"/>
  <c r="B17647" i="1"/>
  <c r="E17648" i="1"/>
  <c r="B17648" i="1"/>
  <c r="E17649" i="1"/>
  <c r="B17649" i="1"/>
  <c r="E17650" i="1"/>
  <c r="B17650" i="1"/>
  <c r="E17651" i="1"/>
  <c r="B17651" i="1"/>
  <c r="E17652" i="1"/>
  <c r="B17652" i="1"/>
  <c r="E17653" i="1"/>
  <c r="B17653" i="1"/>
  <c r="E17654" i="1"/>
  <c r="B17654" i="1"/>
  <c r="E17656" i="1"/>
  <c r="B17656" i="1"/>
  <c r="E17655" i="1"/>
  <c r="B17655" i="1"/>
  <c r="E17657" i="1"/>
  <c r="B17657" i="1"/>
  <c r="E17658" i="1"/>
  <c r="B17658" i="1"/>
  <c r="E17659" i="1"/>
  <c r="B17659" i="1"/>
  <c r="E17660" i="1"/>
  <c r="B17660" i="1"/>
  <c r="E17661" i="1"/>
  <c r="B17661" i="1"/>
  <c r="E17662" i="1"/>
  <c r="B17662" i="1"/>
  <c r="E17663" i="1"/>
  <c r="B17663" i="1"/>
  <c r="E17664" i="1"/>
  <c r="B17664" i="1"/>
  <c r="E17665" i="1"/>
  <c r="B17665" i="1"/>
  <c r="E17666" i="1"/>
  <c r="B17666" i="1"/>
  <c r="E17667" i="1"/>
  <c r="B17667" i="1"/>
  <c r="E17668" i="1"/>
  <c r="B17668" i="1"/>
  <c r="E17669" i="1"/>
  <c r="B17669" i="1"/>
  <c r="E17670" i="1"/>
  <c r="B17670" i="1"/>
  <c r="E17671" i="1"/>
  <c r="B17671" i="1"/>
  <c r="E17672" i="1"/>
  <c r="B17672" i="1"/>
  <c r="E17673" i="1"/>
  <c r="B17673" i="1"/>
  <c r="E17674" i="1"/>
  <c r="B17674" i="1"/>
  <c r="E17675" i="1"/>
  <c r="B17675" i="1"/>
  <c r="E17676" i="1"/>
  <c r="B17676" i="1"/>
  <c r="E17677" i="1"/>
  <c r="B17677" i="1"/>
  <c r="E17678" i="1"/>
  <c r="B17678" i="1"/>
  <c r="E17679" i="1"/>
  <c r="B17679" i="1"/>
  <c r="E17680" i="1"/>
  <c r="B17680" i="1"/>
  <c r="E17681" i="1"/>
  <c r="B17681" i="1"/>
  <c r="E17683" i="1"/>
  <c r="B17683" i="1"/>
  <c r="E17682" i="1"/>
  <c r="B17682" i="1"/>
  <c r="E17684" i="1"/>
  <c r="B17684" i="1"/>
  <c r="E17685" i="1"/>
  <c r="B17685" i="1"/>
  <c r="E17686" i="1"/>
  <c r="B17686" i="1"/>
  <c r="E17687" i="1"/>
  <c r="B17687" i="1"/>
  <c r="E17688" i="1"/>
  <c r="B17688" i="1"/>
  <c r="E17689" i="1"/>
  <c r="B17689" i="1"/>
  <c r="E17690" i="1"/>
  <c r="B17690" i="1"/>
  <c r="E17691" i="1"/>
  <c r="B17691" i="1"/>
  <c r="E17692" i="1"/>
  <c r="B17692" i="1"/>
  <c r="E17693" i="1"/>
  <c r="B17693" i="1"/>
  <c r="E17694" i="1"/>
  <c r="B17694" i="1"/>
  <c r="E17695" i="1"/>
  <c r="B17695" i="1"/>
  <c r="E17696" i="1"/>
  <c r="B17696" i="1"/>
  <c r="E17697" i="1"/>
  <c r="B17697" i="1"/>
  <c r="E17698" i="1"/>
  <c r="B17698" i="1"/>
  <c r="E17699" i="1"/>
  <c r="B17699" i="1"/>
  <c r="E17700" i="1"/>
  <c r="B17700" i="1"/>
  <c r="E17701" i="1"/>
  <c r="B17701" i="1"/>
  <c r="E17702" i="1"/>
  <c r="B17702" i="1"/>
  <c r="E17703" i="1"/>
  <c r="B17703" i="1"/>
  <c r="E17704" i="1"/>
  <c r="B17704" i="1"/>
  <c r="E17705" i="1"/>
  <c r="B17705" i="1"/>
  <c r="E17706" i="1"/>
  <c r="B17706" i="1"/>
  <c r="E17707" i="1"/>
  <c r="B17707" i="1"/>
  <c r="E17708" i="1"/>
  <c r="B17708" i="1"/>
  <c r="E17709" i="1"/>
  <c r="B17709" i="1"/>
  <c r="E17710" i="1"/>
  <c r="B17710" i="1"/>
  <c r="E17711" i="1"/>
  <c r="B17711" i="1"/>
  <c r="E17712" i="1"/>
  <c r="B17712" i="1"/>
  <c r="E17713" i="1"/>
  <c r="B17713" i="1"/>
  <c r="E17714" i="1"/>
  <c r="B17714" i="1"/>
  <c r="E17715" i="1"/>
  <c r="B17715" i="1"/>
  <c r="E17716" i="1"/>
  <c r="B17716" i="1"/>
  <c r="E17717" i="1"/>
  <c r="B17717" i="1"/>
  <c r="E17718" i="1"/>
  <c r="B17718" i="1"/>
  <c r="E17719" i="1"/>
  <c r="B17719" i="1"/>
  <c r="E17720" i="1"/>
  <c r="B17720" i="1"/>
  <c r="E17721" i="1"/>
  <c r="B17721" i="1"/>
  <c r="E17723" i="1"/>
  <c r="B17723" i="1"/>
  <c r="E17722" i="1"/>
  <c r="B17722" i="1"/>
  <c r="E17724" i="1"/>
  <c r="B17724" i="1"/>
  <c r="E17725" i="1"/>
  <c r="B17725" i="1"/>
  <c r="E17726" i="1"/>
  <c r="B17726" i="1"/>
  <c r="E17727" i="1"/>
  <c r="B17727" i="1"/>
  <c r="E17728" i="1"/>
  <c r="B17728" i="1"/>
  <c r="E17729" i="1"/>
  <c r="B17729" i="1"/>
  <c r="E17730" i="1"/>
  <c r="B17730" i="1"/>
  <c r="E17731" i="1"/>
  <c r="B17731" i="1"/>
  <c r="E17732" i="1"/>
  <c r="B17732" i="1"/>
  <c r="E17733" i="1"/>
  <c r="B17733" i="1"/>
  <c r="E17734" i="1"/>
  <c r="B17734" i="1"/>
  <c r="E17735" i="1"/>
  <c r="B17735" i="1"/>
  <c r="E17736" i="1"/>
  <c r="B17736" i="1"/>
  <c r="E17737" i="1"/>
  <c r="B17737" i="1"/>
  <c r="E17738" i="1"/>
  <c r="B17738" i="1"/>
  <c r="E17739" i="1"/>
  <c r="B17739" i="1"/>
  <c r="E17740" i="1"/>
  <c r="B17740" i="1"/>
  <c r="E17741" i="1"/>
  <c r="B17741" i="1"/>
  <c r="E17742" i="1"/>
  <c r="B17742" i="1"/>
  <c r="E17743" i="1"/>
  <c r="B17743" i="1"/>
  <c r="E17744" i="1"/>
  <c r="B17744" i="1"/>
  <c r="E17745" i="1"/>
  <c r="B17745" i="1"/>
  <c r="E17746" i="1"/>
  <c r="B17746" i="1"/>
  <c r="E17747" i="1"/>
  <c r="B17747" i="1"/>
  <c r="E17749" i="1"/>
  <c r="B17749" i="1"/>
  <c r="E17748" i="1"/>
  <c r="B17748" i="1"/>
  <c r="E17750" i="1"/>
  <c r="B17750" i="1"/>
  <c r="E17751" i="1"/>
  <c r="B17751" i="1"/>
  <c r="E17752" i="1"/>
  <c r="B17752" i="1"/>
  <c r="E17753" i="1"/>
  <c r="B17753" i="1"/>
  <c r="E17754" i="1"/>
  <c r="B17754" i="1"/>
  <c r="E17755" i="1"/>
  <c r="B17755" i="1"/>
  <c r="E17756" i="1"/>
  <c r="B17756" i="1"/>
  <c r="E17757" i="1"/>
  <c r="B17757" i="1"/>
  <c r="E17758" i="1"/>
  <c r="B17758" i="1"/>
  <c r="E17759" i="1"/>
  <c r="B17759" i="1"/>
  <c r="E17760" i="1"/>
  <c r="B17760" i="1"/>
  <c r="E17761" i="1"/>
  <c r="B17761" i="1"/>
  <c r="E17762" i="1"/>
  <c r="B17762" i="1"/>
  <c r="E17763" i="1"/>
  <c r="B17763" i="1"/>
  <c r="E17764" i="1"/>
  <c r="B17764" i="1"/>
  <c r="E17765" i="1"/>
  <c r="B17765" i="1"/>
  <c r="E17767" i="1"/>
  <c r="B17767" i="1"/>
  <c r="E17766" i="1"/>
  <c r="B17766" i="1"/>
  <c r="E17768" i="1"/>
  <c r="B17768" i="1"/>
  <c r="E17769" i="1"/>
  <c r="B17769" i="1"/>
  <c r="E17770" i="1"/>
  <c r="B17770" i="1"/>
  <c r="E17771" i="1"/>
  <c r="B17771" i="1"/>
  <c r="E17772" i="1"/>
  <c r="B17772" i="1"/>
  <c r="E17773" i="1"/>
  <c r="B17773" i="1"/>
  <c r="E17774" i="1"/>
  <c r="B17774" i="1"/>
  <c r="E17775" i="1"/>
  <c r="B17775" i="1"/>
  <c r="E17776" i="1"/>
  <c r="B17776" i="1"/>
  <c r="E17777" i="1"/>
  <c r="B17777" i="1"/>
  <c r="E17778" i="1"/>
  <c r="B17778" i="1"/>
  <c r="E17779" i="1"/>
  <c r="B17779" i="1"/>
  <c r="E17780" i="1"/>
  <c r="B17780" i="1"/>
  <c r="E17781" i="1"/>
  <c r="B17781" i="1"/>
  <c r="E17782" i="1"/>
  <c r="B17782" i="1"/>
  <c r="E17783" i="1"/>
  <c r="B17783" i="1"/>
  <c r="E17784" i="1"/>
  <c r="B17784" i="1"/>
  <c r="E17785" i="1"/>
  <c r="B17785" i="1"/>
  <c r="E17786" i="1"/>
  <c r="B17786" i="1"/>
  <c r="E17787" i="1"/>
  <c r="B17787" i="1"/>
  <c r="E17788" i="1"/>
  <c r="B17788" i="1"/>
  <c r="E17789" i="1"/>
  <c r="B17789" i="1"/>
  <c r="E17790" i="1"/>
  <c r="B17790" i="1"/>
  <c r="E17791" i="1"/>
  <c r="B17791" i="1"/>
  <c r="E17792" i="1"/>
  <c r="B17792" i="1"/>
  <c r="E17793" i="1"/>
  <c r="B17793" i="1"/>
  <c r="E17794" i="1"/>
  <c r="B17794" i="1"/>
  <c r="E17795" i="1"/>
  <c r="B17795" i="1"/>
  <c r="E17796" i="1"/>
  <c r="B17796" i="1"/>
  <c r="E17797" i="1"/>
  <c r="B17797" i="1"/>
  <c r="E17798" i="1"/>
  <c r="B17798" i="1"/>
  <c r="E17799" i="1"/>
  <c r="B17799" i="1"/>
  <c r="E17800" i="1"/>
  <c r="B17800" i="1"/>
  <c r="E17801" i="1"/>
  <c r="B17801" i="1"/>
  <c r="E17802" i="1"/>
  <c r="B17802" i="1"/>
  <c r="E17803" i="1"/>
  <c r="B17803" i="1"/>
  <c r="E17804" i="1"/>
  <c r="B17804" i="1"/>
  <c r="E17805" i="1"/>
  <c r="B17805" i="1"/>
  <c r="E17807" i="1"/>
  <c r="B17807" i="1"/>
  <c r="E17806" i="1"/>
  <c r="B17806" i="1"/>
  <c r="E17808" i="1"/>
  <c r="B17808" i="1"/>
  <c r="E17809" i="1"/>
  <c r="B17809" i="1"/>
  <c r="E17810" i="1"/>
  <c r="B17810" i="1"/>
  <c r="E17811" i="1"/>
  <c r="B17811" i="1"/>
  <c r="E17812" i="1"/>
  <c r="B17812" i="1"/>
  <c r="E17813" i="1"/>
  <c r="B17813" i="1"/>
  <c r="E17814" i="1"/>
  <c r="B17814" i="1"/>
  <c r="E17815" i="1"/>
  <c r="B17815" i="1"/>
  <c r="E17816" i="1"/>
  <c r="B17816" i="1"/>
  <c r="E17818" i="1"/>
  <c r="B17818" i="1"/>
  <c r="E17817" i="1"/>
  <c r="B17817" i="1"/>
  <c r="E17819" i="1"/>
  <c r="B17819" i="1"/>
  <c r="E17820" i="1"/>
  <c r="B17820" i="1"/>
  <c r="E17821" i="1"/>
  <c r="B17821" i="1"/>
  <c r="E17822" i="1"/>
  <c r="B17822" i="1"/>
  <c r="E17823" i="1"/>
  <c r="B17823" i="1"/>
  <c r="E17824" i="1"/>
  <c r="B17824" i="1"/>
  <c r="E17825" i="1"/>
  <c r="B17825" i="1"/>
  <c r="E17826" i="1"/>
  <c r="B17826" i="1"/>
  <c r="E17827" i="1"/>
  <c r="B17827" i="1"/>
  <c r="E17828" i="1"/>
  <c r="B17828" i="1"/>
  <c r="E17829" i="1"/>
  <c r="B17829" i="1"/>
  <c r="E17830" i="1"/>
  <c r="B17830" i="1"/>
  <c r="E17831" i="1"/>
  <c r="B17831" i="1"/>
  <c r="E17832" i="1"/>
  <c r="B17832" i="1"/>
  <c r="E17833" i="1"/>
  <c r="B17833" i="1"/>
  <c r="E17834" i="1"/>
  <c r="B17834" i="1"/>
  <c r="E17835" i="1"/>
  <c r="B17835" i="1"/>
  <c r="E17836" i="1"/>
  <c r="B17836" i="1"/>
  <c r="E17837" i="1"/>
  <c r="B17837" i="1"/>
  <c r="E17838" i="1"/>
  <c r="B17838" i="1"/>
  <c r="E17839" i="1"/>
  <c r="B17839" i="1"/>
  <c r="E17840" i="1"/>
  <c r="B17840" i="1"/>
  <c r="E17841" i="1"/>
  <c r="B17841" i="1"/>
  <c r="E17842" i="1"/>
  <c r="B17842" i="1"/>
  <c r="E17843" i="1"/>
  <c r="B17843" i="1"/>
  <c r="E17844" i="1"/>
  <c r="B17844" i="1"/>
  <c r="E17845" i="1"/>
  <c r="B17845" i="1"/>
  <c r="E17846" i="1"/>
  <c r="B17846" i="1"/>
  <c r="E17847" i="1"/>
  <c r="B17847" i="1"/>
  <c r="E17848" i="1"/>
  <c r="B17848" i="1"/>
  <c r="E17849" i="1"/>
  <c r="B17849" i="1"/>
  <c r="E17850" i="1"/>
  <c r="B17850" i="1"/>
  <c r="E17851" i="1"/>
  <c r="B17851" i="1"/>
  <c r="E17852" i="1"/>
  <c r="B17852" i="1"/>
  <c r="E17853" i="1"/>
  <c r="B17853" i="1"/>
  <c r="E17854" i="1"/>
  <c r="B17854" i="1"/>
  <c r="E17855" i="1"/>
  <c r="B17855" i="1"/>
  <c r="E17856" i="1"/>
  <c r="B17856" i="1"/>
  <c r="E17857" i="1"/>
  <c r="B17857" i="1"/>
  <c r="E17858" i="1"/>
  <c r="B17858" i="1"/>
  <c r="E17859" i="1"/>
  <c r="B17859" i="1"/>
  <c r="E17860" i="1"/>
  <c r="B17860" i="1"/>
  <c r="E17861" i="1"/>
  <c r="B17861" i="1"/>
  <c r="E17862" i="1"/>
  <c r="B17862" i="1"/>
  <c r="E17863" i="1"/>
  <c r="B17863" i="1"/>
  <c r="E17864" i="1"/>
  <c r="B17864" i="1"/>
  <c r="E17865" i="1"/>
  <c r="B17865" i="1"/>
  <c r="E17866" i="1"/>
  <c r="B17866" i="1"/>
  <c r="E17867" i="1"/>
  <c r="B17867" i="1"/>
  <c r="E17868" i="1"/>
  <c r="B17868" i="1"/>
  <c r="E17869" i="1"/>
  <c r="B17869" i="1"/>
  <c r="E17871" i="1"/>
  <c r="B17871" i="1"/>
  <c r="E17870" i="1"/>
  <c r="B17870" i="1"/>
  <c r="E17872" i="1"/>
  <c r="B17872" i="1"/>
  <c r="E17873" i="1"/>
  <c r="B17873" i="1"/>
  <c r="E17874" i="1"/>
  <c r="B17874" i="1"/>
  <c r="E17875" i="1"/>
  <c r="B17875" i="1"/>
  <c r="E17876" i="1"/>
  <c r="B17876" i="1"/>
  <c r="E17877" i="1"/>
  <c r="B17877" i="1"/>
  <c r="E17878" i="1"/>
  <c r="B17878" i="1"/>
  <c r="E17879" i="1"/>
  <c r="B17879" i="1"/>
  <c r="E17880" i="1"/>
  <c r="B17880" i="1"/>
  <c r="E17881" i="1"/>
  <c r="B17881" i="1"/>
  <c r="E17882" i="1"/>
  <c r="B17882" i="1"/>
  <c r="E17883" i="1"/>
  <c r="B17883" i="1"/>
  <c r="E17884" i="1"/>
  <c r="B17884" i="1"/>
  <c r="E17886" i="1"/>
  <c r="B17886" i="1"/>
  <c r="E17885" i="1"/>
  <c r="B17885" i="1"/>
  <c r="E17887" i="1"/>
  <c r="B17887" i="1"/>
  <c r="E17888" i="1"/>
  <c r="B17888" i="1"/>
  <c r="E17889" i="1"/>
  <c r="B17889" i="1"/>
  <c r="E17890" i="1"/>
  <c r="B17890" i="1"/>
  <c r="E17891" i="1"/>
  <c r="B17891" i="1"/>
  <c r="E17892" i="1"/>
  <c r="B17892" i="1"/>
  <c r="E17893" i="1"/>
  <c r="B17893" i="1"/>
  <c r="E17894" i="1"/>
  <c r="B17894" i="1"/>
  <c r="E17895" i="1"/>
  <c r="B17895" i="1"/>
  <c r="E17896" i="1"/>
  <c r="B17896" i="1"/>
  <c r="E17897" i="1"/>
  <c r="B17897" i="1"/>
  <c r="E17898" i="1"/>
  <c r="B17898" i="1"/>
  <c r="E17899" i="1"/>
  <c r="B17899" i="1"/>
  <c r="E17900" i="1"/>
  <c r="B17900" i="1"/>
  <c r="E17901" i="1"/>
  <c r="B17901" i="1"/>
  <c r="E17902" i="1"/>
  <c r="B17902" i="1"/>
  <c r="E17903" i="1"/>
  <c r="B17903" i="1"/>
  <c r="E17904" i="1"/>
  <c r="B17904" i="1"/>
  <c r="E17905" i="1"/>
  <c r="B17905" i="1"/>
  <c r="E17906" i="1"/>
  <c r="B17906" i="1"/>
  <c r="E17907" i="1"/>
  <c r="B17907" i="1"/>
  <c r="E17908" i="1"/>
  <c r="B17908" i="1"/>
  <c r="E17909" i="1"/>
  <c r="B17909" i="1"/>
  <c r="E17910" i="1"/>
  <c r="B17910" i="1"/>
  <c r="E17911" i="1"/>
  <c r="B17911" i="1"/>
  <c r="E17912" i="1"/>
  <c r="B17912" i="1"/>
  <c r="E17913" i="1"/>
  <c r="B17913" i="1"/>
  <c r="E17914" i="1"/>
  <c r="B17914" i="1"/>
  <c r="E17915" i="1"/>
  <c r="B17915" i="1"/>
  <c r="E17916" i="1"/>
  <c r="B17916" i="1"/>
  <c r="E17917" i="1"/>
  <c r="B17917" i="1"/>
  <c r="E17918" i="1"/>
  <c r="B17918" i="1"/>
  <c r="E17919" i="1"/>
  <c r="B17919" i="1"/>
  <c r="E17920" i="1"/>
  <c r="B17920" i="1"/>
  <c r="E17921" i="1"/>
  <c r="B17921" i="1"/>
  <c r="E17922" i="1"/>
  <c r="B17922" i="1"/>
  <c r="E17923" i="1"/>
  <c r="B17923" i="1"/>
  <c r="E17924" i="1"/>
  <c r="B17924" i="1"/>
  <c r="E17925" i="1"/>
  <c r="B17925" i="1"/>
  <c r="E17926" i="1"/>
  <c r="B17926" i="1"/>
  <c r="E17927" i="1"/>
  <c r="B17927" i="1"/>
  <c r="E17928" i="1"/>
  <c r="B17928" i="1"/>
  <c r="E17929" i="1"/>
  <c r="B17929" i="1"/>
  <c r="E17930" i="1"/>
  <c r="B17930" i="1"/>
  <c r="E17931" i="1"/>
  <c r="B17931" i="1"/>
  <c r="E17932" i="1"/>
  <c r="B17932" i="1"/>
  <c r="E17933" i="1"/>
  <c r="B17933" i="1"/>
  <c r="E17934" i="1"/>
  <c r="B17934" i="1"/>
  <c r="E17935" i="1"/>
  <c r="B17935" i="1"/>
  <c r="E17936" i="1"/>
  <c r="B17936" i="1"/>
  <c r="E17937" i="1"/>
  <c r="B17937" i="1"/>
  <c r="E17938" i="1"/>
  <c r="B17938" i="1"/>
  <c r="E17939" i="1"/>
  <c r="B17939" i="1"/>
  <c r="E17940" i="1"/>
  <c r="B17940" i="1"/>
  <c r="E17942" i="1"/>
  <c r="B17942" i="1"/>
  <c r="E17941" i="1"/>
  <c r="B17941" i="1"/>
  <c r="E17943" i="1"/>
  <c r="B17943" i="1"/>
  <c r="E17944" i="1"/>
  <c r="B17944" i="1"/>
  <c r="E17945" i="1"/>
  <c r="B17945" i="1"/>
  <c r="E17946" i="1"/>
  <c r="B17946" i="1"/>
  <c r="E17947" i="1"/>
  <c r="B17947" i="1"/>
  <c r="E17948" i="1"/>
  <c r="B17948" i="1"/>
  <c r="E17949" i="1"/>
  <c r="B17949" i="1"/>
  <c r="E17950" i="1"/>
  <c r="B17950" i="1"/>
  <c r="E17951" i="1"/>
  <c r="B17951" i="1"/>
  <c r="E17952" i="1"/>
  <c r="B17952" i="1"/>
  <c r="E17953" i="1"/>
  <c r="B17953" i="1"/>
  <c r="E17954" i="1"/>
  <c r="B17954" i="1"/>
  <c r="E17955" i="1"/>
  <c r="B17955" i="1"/>
  <c r="E17956" i="1"/>
  <c r="B17956" i="1"/>
  <c r="E17957" i="1"/>
  <c r="B17957" i="1"/>
  <c r="E17958" i="1"/>
  <c r="B17958" i="1"/>
  <c r="E17959" i="1"/>
  <c r="B17959" i="1"/>
  <c r="E17960" i="1"/>
  <c r="B17960" i="1"/>
  <c r="E17961" i="1"/>
  <c r="B17961" i="1"/>
  <c r="E17962" i="1"/>
  <c r="B17962" i="1"/>
  <c r="E17963" i="1"/>
  <c r="B17963" i="1"/>
  <c r="E17964" i="1"/>
  <c r="B17964" i="1"/>
  <c r="E17965" i="1"/>
  <c r="B17965" i="1"/>
  <c r="E17966" i="1"/>
  <c r="B17966" i="1"/>
  <c r="E17967" i="1"/>
  <c r="B17967" i="1"/>
  <c r="E17968" i="1"/>
  <c r="B17968" i="1"/>
  <c r="E17969" i="1"/>
  <c r="B17969" i="1"/>
  <c r="E17970" i="1"/>
  <c r="B17970" i="1"/>
  <c r="E17971" i="1"/>
  <c r="B17971" i="1"/>
  <c r="E17972" i="1"/>
  <c r="B17972" i="1"/>
  <c r="E17973" i="1"/>
  <c r="B17973" i="1"/>
  <c r="E17974" i="1"/>
  <c r="B17974" i="1"/>
  <c r="E17975" i="1"/>
  <c r="B17975" i="1"/>
  <c r="E17976" i="1"/>
  <c r="B17976" i="1"/>
  <c r="E17977" i="1"/>
  <c r="B17977" i="1"/>
  <c r="E17978" i="1"/>
  <c r="B17978" i="1"/>
  <c r="E17979" i="1"/>
  <c r="B17979" i="1"/>
  <c r="E17980" i="1"/>
  <c r="B17980" i="1"/>
  <c r="E17981" i="1"/>
  <c r="B17981" i="1"/>
  <c r="E17982" i="1"/>
  <c r="B17982" i="1"/>
  <c r="E17983" i="1"/>
  <c r="B17983" i="1"/>
  <c r="E17984" i="1"/>
  <c r="B17984" i="1"/>
  <c r="E17985" i="1"/>
  <c r="B17985" i="1"/>
  <c r="E17986" i="1"/>
  <c r="B17986" i="1"/>
  <c r="E17987" i="1"/>
  <c r="B17987" i="1"/>
  <c r="E17988" i="1"/>
  <c r="B17988" i="1"/>
  <c r="E17989" i="1"/>
  <c r="B17989" i="1"/>
  <c r="E17990" i="1"/>
  <c r="B17990" i="1"/>
  <c r="E17991" i="1"/>
  <c r="B17991" i="1"/>
  <c r="E17992" i="1"/>
  <c r="B17992" i="1"/>
  <c r="E17993" i="1"/>
  <c r="B17993" i="1"/>
  <c r="E17994" i="1"/>
  <c r="B17994" i="1"/>
  <c r="E17995" i="1"/>
  <c r="B17995" i="1"/>
  <c r="E17996" i="1"/>
  <c r="B17996" i="1"/>
  <c r="E17997" i="1"/>
  <c r="B17997" i="1"/>
  <c r="E17998" i="1"/>
  <c r="B17998" i="1"/>
  <c r="E17999" i="1"/>
  <c r="B17999" i="1"/>
  <c r="E18000" i="1"/>
  <c r="B18000" i="1"/>
  <c r="E18001" i="1"/>
  <c r="B18001" i="1"/>
  <c r="E18002" i="1"/>
  <c r="B18002" i="1"/>
  <c r="E18003" i="1"/>
  <c r="B18003" i="1"/>
  <c r="E18004" i="1"/>
  <c r="B18004" i="1"/>
  <c r="E18005" i="1"/>
  <c r="B18005" i="1"/>
  <c r="E18006" i="1"/>
  <c r="B18006" i="1"/>
  <c r="E18007" i="1"/>
  <c r="B18007" i="1"/>
  <c r="E18008" i="1"/>
  <c r="B18008" i="1"/>
  <c r="E18009" i="1"/>
  <c r="B18009" i="1"/>
  <c r="E18010" i="1"/>
  <c r="B18010" i="1"/>
  <c r="E18011" i="1"/>
  <c r="B18011" i="1"/>
  <c r="E18012" i="1"/>
  <c r="B18012" i="1"/>
  <c r="E18013" i="1"/>
  <c r="B18013" i="1"/>
  <c r="E18014" i="1"/>
  <c r="B18014" i="1"/>
  <c r="E18015" i="1"/>
  <c r="B18015" i="1"/>
  <c r="E18016" i="1"/>
  <c r="B18016" i="1"/>
  <c r="E18017" i="1"/>
  <c r="B18017" i="1"/>
  <c r="E18018" i="1"/>
  <c r="B18018" i="1"/>
  <c r="E18019" i="1"/>
  <c r="B18019" i="1"/>
  <c r="E18020" i="1"/>
  <c r="B18020" i="1"/>
  <c r="E18021" i="1"/>
  <c r="B18021" i="1"/>
  <c r="E18022" i="1"/>
  <c r="B18022" i="1"/>
  <c r="E18023" i="1"/>
  <c r="B18023" i="1"/>
  <c r="E18024" i="1"/>
  <c r="B18024" i="1"/>
  <c r="E18025" i="1"/>
  <c r="B18025" i="1"/>
  <c r="E18026" i="1"/>
  <c r="B18026" i="1"/>
  <c r="E18027" i="1"/>
  <c r="B18027" i="1"/>
  <c r="E18029" i="1"/>
  <c r="B18029" i="1"/>
  <c r="E18028" i="1"/>
  <c r="B18028" i="1"/>
  <c r="E18030" i="1"/>
  <c r="B18030" i="1"/>
  <c r="E18031" i="1"/>
  <c r="B18031" i="1"/>
  <c r="E18032" i="1"/>
  <c r="B18032" i="1"/>
  <c r="E18033" i="1"/>
  <c r="B18033" i="1"/>
  <c r="E18034" i="1"/>
  <c r="B18034" i="1"/>
  <c r="E18035" i="1"/>
  <c r="B18035" i="1"/>
  <c r="E18036" i="1"/>
  <c r="B18036" i="1"/>
  <c r="E18037" i="1"/>
  <c r="B18037" i="1"/>
  <c r="E18038" i="1"/>
  <c r="B18038" i="1"/>
  <c r="E18040" i="1"/>
  <c r="B18040" i="1"/>
  <c r="E18039" i="1"/>
  <c r="B18039" i="1"/>
  <c r="E18042" i="1"/>
  <c r="B18042" i="1"/>
  <c r="E18041" i="1"/>
  <c r="B18041" i="1"/>
  <c r="E18043" i="1"/>
  <c r="B18043" i="1"/>
  <c r="E18044" i="1"/>
  <c r="B18044" i="1"/>
  <c r="E18046" i="1"/>
  <c r="B18046" i="1"/>
  <c r="E18045" i="1"/>
  <c r="B18045" i="1"/>
  <c r="E18047" i="1"/>
  <c r="B18047" i="1"/>
  <c r="E18048" i="1"/>
  <c r="B18048" i="1"/>
  <c r="E18050" i="1"/>
  <c r="B18050" i="1"/>
  <c r="E18049" i="1"/>
  <c r="B18049" i="1"/>
  <c r="E18051" i="1"/>
  <c r="B18051" i="1"/>
  <c r="E18052" i="1"/>
  <c r="B18052" i="1"/>
  <c r="E18053" i="1"/>
  <c r="B18053" i="1"/>
  <c r="E18054" i="1"/>
  <c r="B18054" i="1"/>
  <c r="E18055" i="1"/>
  <c r="B18055" i="1"/>
  <c r="E18056" i="1"/>
  <c r="B18056" i="1"/>
  <c r="E18057" i="1"/>
  <c r="B18057" i="1"/>
  <c r="E18058" i="1"/>
  <c r="B18058" i="1"/>
  <c r="E18059" i="1"/>
  <c r="B18059" i="1"/>
  <c r="E18060" i="1"/>
  <c r="B18060" i="1"/>
  <c r="E18061" i="1"/>
  <c r="B18061" i="1"/>
  <c r="E18062" i="1"/>
  <c r="B18062" i="1"/>
  <c r="E18063" i="1"/>
  <c r="B18063" i="1"/>
  <c r="E18064" i="1"/>
  <c r="B18064" i="1"/>
  <c r="E18065" i="1"/>
  <c r="B18065" i="1"/>
  <c r="E18066" i="1"/>
  <c r="B18066" i="1"/>
  <c r="E18067" i="1"/>
  <c r="B18067" i="1"/>
  <c r="E18068" i="1"/>
  <c r="B18068" i="1"/>
  <c r="E18069" i="1"/>
  <c r="B18069" i="1"/>
  <c r="E18070" i="1"/>
  <c r="B18070" i="1"/>
  <c r="E18071" i="1"/>
  <c r="B18071" i="1"/>
  <c r="E18072" i="1"/>
  <c r="B18072" i="1"/>
  <c r="E18073" i="1"/>
  <c r="B18073" i="1"/>
  <c r="E18074" i="1"/>
  <c r="B18074" i="1"/>
  <c r="E18075" i="1"/>
  <c r="B18075" i="1"/>
  <c r="E18076" i="1"/>
  <c r="B18076" i="1"/>
  <c r="E18077" i="1"/>
  <c r="B18077" i="1"/>
  <c r="E18078" i="1"/>
  <c r="B18078" i="1"/>
  <c r="E18079" i="1"/>
  <c r="B18079" i="1"/>
  <c r="E18080" i="1"/>
  <c r="B18080" i="1"/>
  <c r="E18081" i="1"/>
  <c r="B18081" i="1"/>
  <c r="E18082" i="1"/>
  <c r="B18082" i="1"/>
  <c r="E18083" i="1"/>
  <c r="B18083" i="1"/>
  <c r="E18084" i="1"/>
  <c r="B18084" i="1"/>
  <c r="E18085" i="1"/>
  <c r="B18085" i="1"/>
  <c r="E18086" i="1"/>
  <c r="B18086" i="1"/>
  <c r="E18087" i="1"/>
  <c r="B18087" i="1"/>
  <c r="E18088" i="1"/>
  <c r="B18088" i="1"/>
  <c r="E18089" i="1"/>
  <c r="B18089" i="1"/>
  <c r="E18090" i="1"/>
  <c r="B18090" i="1"/>
  <c r="E18091" i="1"/>
  <c r="B18091" i="1"/>
  <c r="E18092" i="1"/>
  <c r="B18092" i="1"/>
  <c r="E18093" i="1"/>
  <c r="B18093" i="1"/>
  <c r="E18094" i="1"/>
  <c r="B18094" i="1"/>
  <c r="E18095" i="1"/>
  <c r="B18095" i="1"/>
  <c r="E18096" i="1"/>
  <c r="B18096" i="1"/>
  <c r="E18097" i="1"/>
  <c r="B18097" i="1"/>
  <c r="E18098" i="1"/>
  <c r="B18098" i="1"/>
  <c r="E18099" i="1"/>
  <c r="B18099" i="1"/>
  <c r="E18100" i="1"/>
  <c r="B18100" i="1"/>
  <c r="E18101" i="1"/>
  <c r="B18101" i="1"/>
  <c r="E18102" i="1"/>
  <c r="B18102" i="1"/>
  <c r="E18103" i="1"/>
  <c r="B18103" i="1"/>
  <c r="E18104" i="1"/>
  <c r="B18104" i="1"/>
  <c r="E18105" i="1"/>
  <c r="B18105" i="1"/>
  <c r="E18106" i="1"/>
  <c r="B18106" i="1"/>
  <c r="E18107" i="1"/>
  <c r="B18107" i="1"/>
  <c r="E18108" i="1"/>
  <c r="B18108" i="1"/>
  <c r="E18109" i="1"/>
  <c r="B18109" i="1"/>
  <c r="E18110" i="1"/>
  <c r="B18110" i="1"/>
  <c r="E18111" i="1"/>
  <c r="B18111" i="1"/>
  <c r="E18112" i="1"/>
  <c r="B18112" i="1"/>
  <c r="E18113" i="1"/>
  <c r="B18113" i="1"/>
  <c r="E18114" i="1"/>
  <c r="B18114" i="1"/>
  <c r="E18115" i="1"/>
  <c r="B18115" i="1"/>
  <c r="E18116" i="1"/>
  <c r="B18116" i="1"/>
  <c r="E18117" i="1"/>
  <c r="B18117" i="1"/>
  <c r="E18118" i="1"/>
  <c r="B18118" i="1"/>
  <c r="E18119" i="1"/>
  <c r="B18119" i="1"/>
  <c r="E18120" i="1"/>
  <c r="B18120" i="1"/>
  <c r="E18121" i="1"/>
  <c r="B18121" i="1"/>
  <c r="E18122" i="1"/>
  <c r="B18122" i="1"/>
  <c r="E18123" i="1"/>
  <c r="B18123" i="1"/>
  <c r="E18124" i="1"/>
  <c r="B18124" i="1"/>
  <c r="E18125" i="1"/>
  <c r="B18125" i="1"/>
  <c r="E18126" i="1"/>
  <c r="B18126" i="1"/>
  <c r="E18127" i="1"/>
  <c r="B18127" i="1"/>
  <c r="E18128" i="1"/>
  <c r="B18128" i="1"/>
  <c r="E18129" i="1"/>
  <c r="B18129" i="1"/>
  <c r="E18130" i="1"/>
  <c r="B18130" i="1"/>
  <c r="E18131" i="1"/>
  <c r="B18131" i="1"/>
  <c r="E18132" i="1"/>
  <c r="B18132" i="1"/>
  <c r="E18133" i="1"/>
  <c r="B18133" i="1"/>
  <c r="E18134" i="1"/>
  <c r="B18134" i="1"/>
  <c r="E18135" i="1"/>
  <c r="B18135" i="1"/>
  <c r="E18136" i="1"/>
  <c r="B18136" i="1"/>
  <c r="E18137" i="1"/>
  <c r="B18137" i="1"/>
  <c r="E18138" i="1"/>
  <c r="B18138" i="1"/>
  <c r="E18139" i="1"/>
  <c r="B18139" i="1"/>
  <c r="E18140" i="1"/>
  <c r="B18140" i="1"/>
  <c r="E18141" i="1"/>
  <c r="B18141" i="1"/>
  <c r="E18142" i="1"/>
  <c r="B18142" i="1"/>
  <c r="E18143" i="1"/>
  <c r="B18143" i="1"/>
  <c r="E18144" i="1"/>
  <c r="B18144" i="1"/>
  <c r="E18145" i="1"/>
  <c r="B18145" i="1"/>
  <c r="E18146" i="1"/>
  <c r="B18146" i="1"/>
  <c r="E18147" i="1"/>
  <c r="B18147" i="1"/>
  <c r="E18148" i="1"/>
  <c r="B18148" i="1"/>
  <c r="E18149" i="1"/>
  <c r="B18149" i="1"/>
  <c r="E18150" i="1"/>
  <c r="B18150" i="1"/>
  <c r="E18151" i="1"/>
  <c r="B18151" i="1"/>
  <c r="E18152" i="1"/>
  <c r="B18152" i="1"/>
  <c r="E18153" i="1"/>
  <c r="B18153" i="1"/>
  <c r="E18154" i="1"/>
  <c r="B18154" i="1"/>
  <c r="E18155" i="1"/>
  <c r="B18155" i="1"/>
  <c r="E18156" i="1"/>
  <c r="B18156" i="1"/>
  <c r="E18157" i="1"/>
  <c r="B18157" i="1"/>
  <c r="E18158" i="1"/>
  <c r="B18158" i="1"/>
  <c r="E18159" i="1"/>
  <c r="B18159" i="1"/>
  <c r="E18160" i="1"/>
  <c r="B18160" i="1"/>
  <c r="E18161" i="1"/>
  <c r="B18161" i="1"/>
  <c r="E18162" i="1"/>
  <c r="B18162" i="1"/>
  <c r="E18163" i="1"/>
  <c r="B18163" i="1"/>
  <c r="E18164" i="1"/>
  <c r="B18164" i="1"/>
  <c r="E18165" i="1"/>
  <c r="B18165" i="1"/>
  <c r="E18166" i="1"/>
  <c r="B18166" i="1"/>
  <c r="E18167" i="1"/>
  <c r="B18167" i="1"/>
  <c r="E18168" i="1"/>
  <c r="B18168" i="1"/>
  <c r="E18169" i="1"/>
  <c r="B18169" i="1"/>
  <c r="E18170" i="1"/>
  <c r="B18170" i="1"/>
  <c r="E18171" i="1"/>
  <c r="B18171" i="1"/>
  <c r="E18172" i="1"/>
  <c r="B18172" i="1"/>
  <c r="E18173" i="1"/>
  <c r="B18173" i="1"/>
  <c r="E18174" i="1"/>
  <c r="B18174" i="1"/>
  <c r="E18175" i="1"/>
  <c r="B18175" i="1"/>
  <c r="E18176" i="1"/>
  <c r="B18176" i="1"/>
  <c r="E18177" i="1"/>
  <c r="B18177" i="1"/>
  <c r="E18178" i="1"/>
  <c r="B18178" i="1"/>
  <c r="E18179" i="1"/>
  <c r="B18179" i="1"/>
  <c r="E18180" i="1"/>
  <c r="B18180" i="1"/>
  <c r="E18181" i="1"/>
  <c r="B18181" i="1"/>
  <c r="E18182" i="1"/>
  <c r="B18182" i="1"/>
  <c r="E18183" i="1"/>
  <c r="B18183" i="1"/>
  <c r="E18184" i="1"/>
  <c r="B18184" i="1"/>
  <c r="E18185" i="1"/>
  <c r="B18185" i="1"/>
  <c r="E18186" i="1"/>
  <c r="B18186" i="1"/>
  <c r="E18187" i="1"/>
  <c r="B18187" i="1"/>
  <c r="E18188" i="1"/>
  <c r="B18188" i="1"/>
  <c r="E18189" i="1"/>
  <c r="B18189" i="1"/>
  <c r="E18190" i="1"/>
  <c r="B18190" i="1"/>
  <c r="E18191" i="1"/>
  <c r="B18191" i="1"/>
  <c r="E18192" i="1"/>
  <c r="B18192" i="1"/>
  <c r="E18193" i="1"/>
  <c r="B18193" i="1"/>
  <c r="E18194" i="1"/>
  <c r="B18194" i="1"/>
  <c r="E18195" i="1"/>
  <c r="B18195" i="1"/>
  <c r="E18196" i="1"/>
  <c r="B18196" i="1"/>
  <c r="E18197" i="1"/>
  <c r="B18197" i="1"/>
  <c r="E18198" i="1"/>
  <c r="B18198" i="1"/>
  <c r="E18199" i="1"/>
  <c r="B18199" i="1"/>
  <c r="E18200" i="1"/>
  <c r="B18200" i="1"/>
  <c r="E18201" i="1"/>
  <c r="B18201" i="1"/>
  <c r="E18202" i="1"/>
  <c r="B18202" i="1"/>
  <c r="E18203" i="1"/>
  <c r="B18203" i="1"/>
  <c r="E18204" i="1"/>
  <c r="B18204" i="1"/>
  <c r="E18205" i="1"/>
  <c r="B18205" i="1"/>
  <c r="E18206" i="1"/>
  <c r="B18206" i="1"/>
  <c r="E18207" i="1"/>
  <c r="B18207" i="1"/>
  <c r="E18208" i="1"/>
  <c r="B18208" i="1"/>
  <c r="E18209" i="1"/>
  <c r="B18209" i="1"/>
  <c r="E18210" i="1"/>
  <c r="B18210" i="1"/>
  <c r="E18211" i="1"/>
  <c r="B18211" i="1"/>
  <c r="E18212" i="1"/>
  <c r="B18212" i="1"/>
  <c r="E18213" i="1"/>
  <c r="B18213" i="1"/>
  <c r="E18214" i="1"/>
  <c r="B18214" i="1"/>
  <c r="E18215" i="1"/>
  <c r="B18215" i="1"/>
  <c r="E18216" i="1"/>
  <c r="B18216" i="1"/>
  <c r="E18217" i="1"/>
  <c r="B18217" i="1"/>
  <c r="E18218" i="1"/>
  <c r="B18218" i="1"/>
  <c r="E18219" i="1"/>
  <c r="B18219" i="1"/>
  <c r="E18220" i="1"/>
  <c r="B18220" i="1"/>
  <c r="E18221" i="1"/>
  <c r="B18221" i="1"/>
  <c r="E18222" i="1"/>
  <c r="B18222" i="1"/>
  <c r="E18223" i="1"/>
  <c r="B18223" i="1"/>
  <c r="E18224" i="1"/>
  <c r="B18224" i="1"/>
  <c r="E18225" i="1"/>
  <c r="B18225" i="1"/>
  <c r="E18226" i="1"/>
  <c r="B18226" i="1"/>
  <c r="E18227" i="1"/>
  <c r="B18227" i="1"/>
  <c r="E18228" i="1"/>
  <c r="B18228" i="1"/>
  <c r="E18229" i="1"/>
  <c r="B18229" i="1"/>
  <c r="E18230" i="1"/>
  <c r="B18230" i="1"/>
  <c r="E18231" i="1"/>
  <c r="B18231" i="1"/>
  <c r="E18232" i="1"/>
  <c r="B18232" i="1"/>
  <c r="E18233" i="1"/>
  <c r="B18233" i="1"/>
  <c r="E18234" i="1"/>
  <c r="B18234" i="1"/>
  <c r="E18235" i="1"/>
  <c r="B18235" i="1"/>
  <c r="E18236" i="1"/>
  <c r="B18236" i="1"/>
  <c r="E18237" i="1"/>
  <c r="B18237" i="1"/>
  <c r="E18238" i="1"/>
  <c r="B18238" i="1"/>
  <c r="E18239" i="1"/>
  <c r="B18239" i="1"/>
  <c r="E18240" i="1"/>
  <c r="B18240" i="1"/>
  <c r="E18241" i="1"/>
  <c r="B18241" i="1"/>
  <c r="E18242" i="1"/>
  <c r="B18242" i="1"/>
  <c r="E18244" i="1"/>
  <c r="B18244" i="1"/>
  <c r="E18243" i="1"/>
  <c r="B18243" i="1"/>
  <c r="E18245" i="1"/>
  <c r="B18245" i="1"/>
  <c r="E18246" i="1"/>
  <c r="B18246" i="1"/>
  <c r="E18247" i="1"/>
  <c r="B18247" i="1"/>
  <c r="E18248" i="1"/>
  <c r="B18248" i="1"/>
  <c r="E18249" i="1"/>
  <c r="B18249" i="1"/>
  <c r="E18250" i="1"/>
  <c r="B18250" i="1"/>
  <c r="E18251" i="1"/>
  <c r="B18251" i="1"/>
  <c r="E18252" i="1"/>
  <c r="B18252" i="1"/>
  <c r="E18253" i="1"/>
  <c r="B18253" i="1"/>
  <c r="E18254" i="1"/>
  <c r="B18254" i="1"/>
  <c r="E18255" i="1"/>
  <c r="B18255" i="1"/>
  <c r="E18256" i="1"/>
  <c r="B18256" i="1"/>
  <c r="E18257" i="1"/>
  <c r="B18257" i="1"/>
  <c r="E18258" i="1"/>
  <c r="B18258" i="1"/>
  <c r="E18259" i="1"/>
  <c r="B18259" i="1"/>
  <c r="E18260" i="1"/>
  <c r="B18260" i="1"/>
  <c r="E18261" i="1"/>
  <c r="B18261" i="1"/>
  <c r="E18262" i="1"/>
  <c r="B18262" i="1"/>
  <c r="E18263" i="1"/>
  <c r="B18263" i="1"/>
  <c r="E18264" i="1"/>
  <c r="B18264" i="1"/>
  <c r="E18265" i="1"/>
  <c r="B18265" i="1"/>
  <c r="E18266" i="1"/>
  <c r="B18266" i="1"/>
  <c r="E18267" i="1"/>
  <c r="B18267" i="1"/>
  <c r="E18268" i="1"/>
  <c r="B18268" i="1"/>
  <c r="E18269" i="1"/>
  <c r="B18269" i="1"/>
  <c r="E18270" i="1"/>
  <c r="B18270" i="1"/>
  <c r="E18271" i="1"/>
  <c r="B18271" i="1"/>
  <c r="E18272" i="1"/>
  <c r="B18272" i="1"/>
  <c r="E18273" i="1"/>
  <c r="B18273" i="1"/>
  <c r="E18274" i="1"/>
  <c r="B18274" i="1"/>
  <c r="E18275" i="1"/>
  <c r="B18275" i="1"/>
  <c r="E18276" i="1"/>
  <c r="B18276" i="1"/>
  <c r="E18277" i="1"/>
  <c r="B18277" i="1"/>
  <c r="E18279" i="1"/>
  <c r="B18279" i="1"/>
  <c r="E18278" i="1"/>
  <c r="B18278" i="1"/>
  <c r="E18280" i="1"/>
  <c r="B18280" i="1"/>
  <c r="E18281" i="1"/>
  <c r="B18281" i="1"/>
  <c r="E18282" i="1"/>
  <c r="B18282" i="1"/>
  <c r="E18283" i="1"/>
  <c r="B18283" i="1"/>
  <c r="E18284" i="1"/>
  <c r="B18284" i="1"/>
  <c r="E18285" i="1"/>
  <c r="B18285" i="1"/>
  <c r="E18286" i="1"/>
  <c r="B18286" i="1"/>
  <c r="E18287" i="1"/>
  <c r="B18287" i="1"/>
  <c r="E18288" i="1"/>
  <c r="B18288" i="1"/>
  <c r="E18289" i="1"/>
  <c r="B18289" i="1"/>
  <c r="E18290" i="1"/>
  <c r="B18290" i="1"/>
  <c r="E18291" i="1"/>
  <c r="B18291" i="1"/>
  <c r="E18292" i="1"/>
  <c r="B18292" i="1"/>
  <c r="E18294" i="1"/>
  <c r="B18294" i="1"/>
  <c r="E18293" i="1"/>
  <c r="B18293" i="1"/>
  <c r="E18295" i="1"/>
  <c r="B18295" i="1"/>
  <c r="E18296" i="1"/>
  <c r="B18296" i="1"/>
  <c r="E18297" i="1"/>
  <c r="B18297" i="1"/>
  <c r="E18298" i="1"/>
  <c r="B18298" i="1"/>
  <c r="E18299" i="1"/>
  <c r="B18299" i="1"/>
  <c r="E18300" i="1"/>
  <c r="B18300" i="1"/>
  <c r="E18301" i="1"/>
  <c r="B18301" i="1"/>
  <c r="E18302" i="1"/>
  <c r="B18302" i="1"/>
  <c r="E18303" i="1"/>
  <c r="B18303" i="1"/>
  <c r="E18304" i="1"/>
  <c r="B18304" i="1"/>
  <c r="E18305" i="1"/>
  <c r="B18305" i="1"/>
  <c r="E18306" i="1"/>
  <c r="B18306" i="1"/>
  <c r="E18307" i="1"/>
  <c r="B18307" i="1"/>
  <c r="E18308" i="1"/>
  <c r="B18308" i="1"/>
  <c r="E18309" i="1"/>
  <c r="B18309" i="1"/>
  <c r="E18310" i="1"/>
  <c r="B18310" i="1"/>
  <c r="E18311" i="1"/>
  <c r="B18311" i="1"/>
  <c r="E18312" i="1"/>
  <c r="B18312" i="1"/>
  <c r="E18313" i="1"/>
  <c r="B18313" i="1"/>
  <c r="E18314" i="1"/>
  <c r="B18314" i="1"/>
  <c r="E18315" i="1"/>
  <c r="B18315" i="1"/>
  <c r="E18316" i="1"/>
  <c r="B18316" i="1"/>
  <c r="E18317" i="1"/>
  <c r="B18317" i="1"/>
  <c r="E18318" i="1"/>
  <c r="B18318" i="1"/>
  <c r="E18319" i="1"/>
  <c r="B18319" i="1"/>
  <c r="E18320" i="1"/>
  <c r="B18320" i="1"/>
  <c r="E18321" i="1"/>
  <c r="B18321" i="1"/>
  <c r="E18322" i="1"/>
  <c r="B18322" i="1"/>
  <c r="E18323" i="1"/>
  <c r="B18323" i="1"/>
  <c r="E18324" i="1"/>
  <c r="B18324" i="1"/>
  <c r="E18325" i="1"/>
  <c r="B18325" i="1"/>
  <c r="E18326" i="1"/>
  <c r="B18326" i="1"/>
  <c r="E18327" i="1"/>
  <c r="B18327" i="1"/>
  <c r="E18328" i="1"/>
  <c r="B18328" i="1"/>
  <c r="E18329" i="1"/>
  <c r="B18329" i="1"/>
  <c r="E18330" i="1"/>
  <c r="B18330" i="1"/>
  <c r="E18331" i="1"/>
  <c r="B18331" i="1"/>
  <c r="E18332" i="1"/>
  <c r="B18332" i="1"/>
  <c r="E18333" i="1"/>
  <c r="B18333" i="1"/>
  <c r="E18334" i="1"/>
  <c r="B18334" i="1"/>
  <c r="E18335" i="1"/>
  <c r="B18335" i="1"/>
  <c r="E18336" i="1"/>
  <c r="B18336" i="1"/>
  <c r="E18337" i="1"/>
  <c r="B18337" i="1"/>
  <c r="E18338" i="1"/>
  <c r="B18338" i="1"/>
  <c r="E18339" i="1"/>
  <c r="B18339" i="1"/>
  <c r="E18340" i="1"/>
  <c r="B18340" i="1"/>
  <c r="E18341" i="1"/>
  <c r="B18341" i="1"/>
  <c r="E18342" i="1"/>
  <c r="B18342" i="1"/>
  <c r="E18343" i="1"/>
  <c r="B18343" i="1"/>
  <c r="E18344" i="1"/>
  <c r="B18344" i="1"/>
  <c r="E18345" i="1"/>
  <c r="B18345" i="1"/>
  <c r="E18346" i="1"/>
  <c r="B18346" i="1"/>
  <c r="E18347" i="1"/>
  <c r="B18347" i="1"/>
  <c r="E18348" i="1"/>
  <c r="B18348" i="1"/>
  <c r="E18349" i="1"/>
  <c r="B18349" i="1"/>
  <c r="E18350" i="1"/>
  <c r="B18350" i="1"/>
  <c r="E18351" i="1"/>
  <c r="B18351" i="1"/>
  <c r="E18352" i="1"/>
  <c r="B18352" i="1"/>
  <c r="E18353" i="1"/>
  <c r="B18353" i="1"/>
  <c r="E18354" i="1"/>
  <c r="B18354" i="1"/>
  <c r="E18355" i="1"/>
  <c r="B18355" i="1"/>
  <c r="E18356" i="1"/>
  <c r="B18356" i="1"/>
  <c r="E18357" i="1"/>
  <c r="B18357" i="1"/>
  <c r="E18358" i="1"/>
  <c r="B18358" i="1"/>
  <c r="E18359" i="1"/>
  <c r="B18359" i="1"/>
  <c r="E18360" i="1"/>
  <c r="B18360" i="1"/>
  <c r="E18361" i="1"/>
  <c r="B18361" i="1"/>
  <c r="E18362" i="1"/>
  <c r="B18362" i="1"/>
  <c r="E18363" i="1"/>
  <c r="B18363" i="1"/>
  <c r="E18364" i="1"/>
  <c r="B18364" i="1"/>
  <c r="E18365" i="1"/>
  <c r="B18365" i="1"/>
  <c r="E18366" i="1"/>
  <c r="B18366" i="1"/>
  <c r="E18367" i="1"/>
  <c r="B18367" i="1"/>
  <c r="E18368" i="1"/>
  <c r="B18368" i="1"/>
  <c r="E18369" i="1"/>
  <c r="B18369" i="1"/>
  <c r="E18370" i="1"/>
  <c r="B18370" i="1"/>
  <c r="E18371" i="1"/>
  <c r="B18371" i="1"/>
  <c r="E18372" i="1"/>
  <c r="B18372" i="1"/>
  <c r="E18373" i="1"/>
  <c r="B18373" i="1"/>
  <c r="E18374" i="1"/>
  <c r="B18374" i="1"/>
  <c r="E18375" i="1"/>
  <c r="B18375" i="1"/>
  <c r="E18376" i="1"/>
  <c r="B18376" i="1"/>
  <c r="E18377" i="1"/>
  <c r="B18377" i="1"/>
  <c r="E18378" i="1"/>
  <c r="B18378" i="1"/>
  <c r="E18379" i="1"/>
  <c r="B18379" i="1"/>
  <c r="E18381" i="1"/>
  <c r="B18381" i="1"/>
  <c r="E18380" i="1"/>
  <c r="B18380" i="1"/>
  <c r="E18382" i="1"/>
  <c r="B18382" i="1"/>
  <c r="E18383" i="1"/>
  <c r="B18383" i="1"/>
  <c r="E18384" i="1"/>
  <c r="B18384" i="1"/>
  <c r="E18385" i="1"/>
  <c r="B18385" i="1"/>
  <c r="E18386" i="1"/>
  <c r="B18386" i="1"/>
  <c r="E18387" i="1"/>
  <c r="B18387" i="1"/>
  <c r="E18388" i="1"/>
  <c r="B18388" i="1"/>
  <c r="E18389" i="1"/>
  <c r="B18389" i="1"/>
  <c r="E18390" i="1"/>
  <c r="B18390" i="1"/>
  <c r="E18391" i="1"/>
  <c r="B18391" i="1"/>
  <c r="E18392" i="1"/>
  <c r="B18392" i="1"/>
  <c r="E18393" i="1"/>
  <c r="B18393" i="1"/>
  <c r="E18394" i="1"/>
  <c r="B18394" i="1"/>
  <c r="E18395" i="1"/>
  <c r="B18395" i="1"/>
  <c r="E18396" i="1"/>
  <c r="B18396" i="1"/>
  <c r="E18397" i="1"/>
  <c r="B18397" i="1"/>
  <c r="E18398" i="1"/>
  <c r="B18398" i="1"/>
  <c r="E18399" i="1"/>
  <c r="B18399" i="1"/>
  <c r="E18400" i="1"/>
  <c r="B18400" i="1"/>
  <c r="E18401" i="1"/>
  <c r="B18401" i="1"/>
  <c r="E18402" i="1"/>
  <c r="B18402" i="1"/>
  <c r="E18403" i="1"/>
  <c r="B18403" i="1"/>
  <c r="E18404" i="1"/>
  <c r="B18404" i="1"/>
  <c r="E18405" i="1"/>
  <c r="B18405" i="1"/>
  <c r="E18406" i="1"/>
  <c r="B18406" i="1"/>
  <c r="E18407" i="1"/>
  <c r="B18407" i="1"/>
  <c r="E18408" i="1"/>
  <c r="B18408" i="1"/>
  <c r="E18409" i="1"/>
  <c r="B18409" i="1"/>
  <c r="E18410" i="1"/>
  <c r="B18410" i="1"/>
  <c r="E18411" i="1"/>
  <c r="B18411" i="1"/>
  <c r="E18412" i="1"/>
  <c r="B18412" i="1"/>
  <c r="E18413" i="1"/>
  <c r="B18413" i="1"/>
  <c r="E18414" i="1"/>
  <c r="B18414" i="1"/>
  <c r="E18415" i="1"/>
  <c r="B18415" i="1"/>
  <c r="E18416" i="1"/>
  <c r="B18416" i="1"/>
  <c r="E18417" i="1"/>
  <c r="B18417" i="1"/>
  <c r="E18418" i="1"/>
  <c r="B18418" i="1"/>
  <c r="E18419" i="1"/>
  <c r="B18419" i="1"/>
  <c r="E18420" i="1"/>
  <c r="B18420" i="1"/>
  <c r="E18422" i="1"/>
  <c r="B18422" i="1"/>
  <c r="E18421" i="1"/>
  <c r="B18421" i="1"/>
  <c r="E18423" i="1"/>
  <c r="B18423" i="1"/>
  <c r="E18424" i="1"/>
  <c r="B18424" i="1"/>
  <c r="E18425" i="1"/>
  <c r="B18425" i="1"/>
  <c r="E18426" i="1"/>
  <c r="B18426" i="1"/>
  <c r="E18427" i="1"/>
  <c r="B18427" i="1"/>
  <c r="E18428" i="1"/>
  <c r="B18428" i="1"/>
  <c r="E18429" i="1"/>
  <c r="B18429" i="1"/>
  <c r="E18430" i="1"/>
  <c r="B18430" i="1"/>
  <c r="E18431" i="1"/>
  <c r="B18431" i="1"/>
  <c r="E18432" i="1"/>
  <c r="B18432" i="1"/>
  <c r="E18433" i="1"/>
  <c r="B18433" i="1"/>
  <c r="E18434" i="1"/>
  <c r="B18434" i="1"/>
  <c r="E18435" i="1"/>
  <c r="B18435" i="1"/>
  <c r="E18436" i="1"/>
  <c r="B18436" i="1"/>
  <c r="E18437" i="1"/>
  <c r="B18437" i="1"/>
  <c r="E18438" i="1"/>
  <c r="B18438" i="1"/>
  <c r="E18439" i="1"/>
  <c r="B18439" i="1"/>
  <c r="E18440" i="1"/>
  <c r="B18440" i="1"/>
  <c r="E18441" i="1"/>
  <c r="B18441" i="1"/>
  <c r="E18442" i="1"/>
  <c r="B18442" i="1"/>
  <c r="E18443" i="1"/>
  <c r="B18443" i="1"/>
  <c r="E18444" i="1"/>
  <c r="B18444" i="1"/>
  <c r="E18445" i="1"/>
  <c r="B18445" i="1"/>
  <c r="E18446" i="1"/>
  <c r="B18446" i="1"/>
  <c r="E18447" i="1"/>
  <c r="B18447" i="1"/>
  <c r="E18448" i="1"/>
  <c r="B18448" i="1"/>
  <c r="E18449" i="1"/>
  <c r="B18449" i="1"/>
  <c r="E18450" i="1"/>
  <c r="B18450" i="1"/>
  <c r="E18451" i="1"/>
  <c r="B18451" i="1"/>
  <c r="E18452" i="1"/>
  <c r="B18452" i="1"/>
  <c r="E18453" i="1"/>
  <c r="B18453" i="1"/>
  <c r="E18454" i="1"/>
  <c r="B18454" i="1"/>
  <c r="E18455" i="1"/>
  <c r="B18455" i="1"/>
  <c r="E18456" i="1"/>
  <c r="B18456" i="1"/>
  <c r="E18457" i="1"/>
  <c r="B18457" i="1"/>
  <c r="E18458" i="1"/>
  <c r="B18458" i="1"/>
  <c r="E18459" i="1"/>
  <c r="B18459" i="1"/>
  <c r="E18460" i="1"/>
  <c r="B18460" i="1"/>
  <c r="E18461" i="1"/>
  <c r="B18461" i="1"/>
  <c r="E18462" i="1"/>
  <c r="B18462" i="1"/>
  <c r="E18463" i="1"/>
  <c r="B18463" i="1"/>
  <c r="E18464" i="1"/>
  <c r="B18464" i="1"/>
  <c r="E18465" i="1"/>
  <c r="B18465" i="1"/>
  <c r="E18466" i="1"/>
  <c r="B18466" i="1"/>
  <c r="E18467" i="1"/>
  <c r="B18467" i="1"/>
  <c r="E18468" i="1"/>
  <c r="B18468" i="1"/>
  <c r="E18469" i="1"/>
  <c r="B18469" i="1"/>
  <c r="E18470" i="1"/>
  <c r="B18470" i="1"/>
  <c r="E18471" i="1"/>
  <c r="B18471" i="1"/>
  <c r="E18472" i="1"/>
  <c r="B18472" i="1"/>
  <c r="E18473" i="1"/>
  <c r="B18473" i="1"/>
  <c r="E18474" i="1"/>
  <c r="B18474" i="1"/>
  <c r="E18475" i="1"/>
  <c r="B18475" i="1"/>
  <c r="E18476" i="1"/>
  <c r="B18476" i="1"/>
  <c r="E18477" i="1"/>
  <c r="B18477" i="1"/>
  <c r="E18478" i="1"/>
  <c r="B18478" i="1"/>
  <c r="E18479" i="1"/>
  <c r="B18479" i="1"/>
  <c r="E18480" i="1"/>
  <c r="B18480" i="1"/>
  <c r="E18481" i="1"/>
  <c r="B18481" i="1"/>
  <c r="E18482" i="1"/>
  <c r="B18482" i="1"/>
  <c r="E18483" i="1"/>
  <c r="B18483" i="1"/>
  <c r="E18484" i="1"/>
  <c r="B18484" i="1"/>
  <c r="E18485" i="1"/>
  <c r="B18485" i="1"/>
  <c r="E18486" i="1"/>
  <c r="B18486" i="1"/>
  <c r="E18487" i="1"/>
  <c r="B18487" i="1"/>
  <c r="E18488" i="1"/>
  <c r="B18488" i="1"/>
  <c r="E18489" i="1"/>
  <c r="B18489" i="1"/>
  <c r="E18490" i="1"/>
  <c r="B18490" i="1"/>
  <c r="E18491" i="1"/>
  <c r="B18491" i="1"/>
  <c r="E18492" i="1"/>
  <c r="B18492" i="1"/>
  <c r="E18493" i="1"/>
  <c r="B18493" i="1"/>
  <c r="E18494" i="1"/>
  <c r="B18494" i="1"/>
  <c r="E18495" i="1"/>
  <c r="B18495" i="1"/>
  <c r="E18496" i="1"/>
  <c r="B18496" i="1"/>
  <c r="E18497" i="1"/>
  <c r="B18497" i="1"/>
  <c r="E18498" i="1"/>
  <c r="B18498" i="1"/>
  <c r="E18499" i="1"/>
  <c r="B18499" i="1"/>
  <c r="E18500" i="1"/>
  <c r="B18500" i="1"/>
  <c r="E18501" i="1"/>
  <c r="B18501" i="1"/>
  <c r="E18502" i="1"/>
  <c r="B18502" i="1"/>
  <c r="E18503" i="1"/>
  <c r="B18503" i="1"/>
  <c r="E18504" i="1"/>
  <c r="B18504" i="1"/>
  <c r="E18505" i="1"/>
  <c r="B18505" i="1"/>
  <c r="E18506" i="1"/>
  <c r="B18506" i="1"/>
  <c r="E18507" i="1"/>
  <c r="B18507" i="1"/>
  <c r="E18508" i="1"/>
  <c r="B18508" i="1"/>
  <c r="E18509" i="1"/>
  <c r="B18509" i="1"/>
  <c r="E18510" i="1"/>
  <c r="B18510" i="1"/>
  <c r="E18511" i="1"/>
  <c r="B18511" i="1"/>
  <c r="E18512" i="1"/>
  <c r="B18512" i="1"/>
  <c r="E18513" i="1"/>
  <c r="B18513" i="1"/>
  <c r="E18514" i="1"/>
  <c r="B18514" i="1"/>
  <c r="E18515" i="1"/>
  <c r="B18515" i="1"/>
  <c r="E18516" i="1"/>
  <c r="B18516" i="1"/>
  <c r="E18517" i="1"/>
  <c r="B18517" i="1"/>
  <c r="E18518" i="1"/>
  <c r="B18518" i="1"/>
  <c r="E18519" i="1"/>
  <c r="B18519" i="1"/>
  <c r="E18520" i="1"/>
  <c r="B18520" i="1"/>
  <c r="E18521" i="1"/>
  <c r="B18521" i="1"/>
  <c r="E18522" i="1"/>
  <c r="B18522" i="1"/>
  <c r="E18523" i="1"/>
  <c r="B18523" i="1"/>
  <c r="E18524" i="1"/>
  <c r="B18524" i="1"/>
  <c r="E18525" i="1"/>
  <c r="B18525" i="1"/>
  <c r="E18526" i="1"/>
  <c r="B18526" i="1"/>
  <c r="E18527" i="1"/>
  <c r="B18527" i="1"/>
  <c r="E18528" i="1"/>
  <c r="B18528" i="1"/>
  <c r="E18529" i="1"/>
  <c r="B18529" i="1"/>
  <c r="E18530" i="1"/>
  <c r="B18530" i="1"/>
  <c r="E18531" i="1"/>
  <c r="B18531" i="1"/>
  <c r="E18532" i="1"/>
  <c r="B18532" i="1"/>
  <c r="E18533" i="1"/>
  <c r="B18533" i="1"/>
  <c r="E18534" i="1"/>
  <c r="B18534" i="1"/>
  <c r="E18535" i="1"/>
  <c r="B18535" i="1"/>
  <c r="E18536" i="1"/>
  <c r="B18536" i="1"/>
  <c r="E18537" i="1"/>
  <c r="B18537" i="1"/>
  <c r="E18538" i="1"/>
  <c r="B18538" i="1"/>
  <c r="E18539" i="1"/>
  <c r="B18539" i="1"/>
  <c r="E18540" i="1"/>
  <c r="B18540" i="1"/>
  <c r="E18541" i="1"/>
  <c r="B18541" i="1"/>
  <c r="E18542" i="1"/>
  <c r="B18542" i="1"/>
  <c r="E18543" i="1"/>
  <c r="B18543" i="1"/>
  <c r="E18544" i="1"/>
  <c r="B18544" i="1"/>
  <c r="E18545" i="1"/>
  <c r="B18545" i="1"/>
  <c r="E18546" i="1"/>
  <c r="B18546" i="1"/>
  <c r="E18547" i="1"/>
  <c r="B18547" i="1"/>
  <c r="E18548" i="1"/>
  <c r="B18548" i="1"/>
  <c r="E18550" i="1"/>
  <c r="B18550" i="1"/>
  <c r="E18549" i="1"/>
  <c r="B18549" i="1"/>
  <c r="E18551" i="1"/>
  <c r="B18551" i="1"/>
  <c r="E18552" i="1"/>
  <c r="B18552" i="1"/>
  <c r="E18553" i="1"/>
  <c r="B18553" i="1"/>
  <c r="E18554" i="1"/>
  <c r="B18554" i="1"/>
  <c r="E18555" i="1"/>
  <c r="B18555" i="1"/>
  <c r="E18556" i="1"/>
  <c r="B18556" i="1"/>
  <c r="E18557" i="1"/>
  <c r="B18557" i="1"/>
  <c r="E18558" i="1"/>
  <c r="B18558" i="1"/>
  <c r="E18559" i="1"/>
  <c r="B18559" i="1"/>
  <c r="E18560" i="1"/>
  <c r="B18560" i="1"/>
  <c r="E18561" i="1"/>
  <c r="B18561" i="1"/>
  <c r="E18562" i="1"/>
  <c r="B18562" i="1"/>
  <c r="E18563" i="1"/>
  <c r="B18563" i="1"/>
  <c r="E18564" i="1"/>
  <c r="B18564" i="1"/>
  <c r="E18565" i="1"/>
  <c r="B18565" i="1"/>
  <c r="E18566" i="1"/>
  <c r="B18566" i="1"/>
  <c r="E18567" i="1"/>
  <c r="B18567" i="1"/>
  <c r="E18568" i="1"/>
  <c r="B18568" i="1"/>
  <c r="E18569" i="1"/>
  <c r="B18569" i="1"/>
  <c r="E18570" i="1"/>
  <c r="B18570" i="1"/>
  <c r="E18571" i="1"/>
  <c r="B18571" i="1"/>
  <c r="E18572" i="1"/>
  <c r="B18572" i="1"/>
  <c r="E18573" i="1"/>
  <c r="B18573" i="1"/>
  <c r="E18574" i="1"/>
  <c r="B18574" i="1"/>
  <c r="E18575" i="1"/>
  <c r="B18575" i="1"/>
  <c r="E18576" i="1"/>
  <c r="B18576" i="1"/>
  <c r="E18577" i="1"/>
  <c r="B18577" i="1"/>
  <c r="E18578" i="1"/>
  <c r="B18578" i="1"/>
  <c r="E18579" i="1"/>
  <c r="B18579" i="1"/>
  <c r="E18580" i="1"/>
  <c r="B18580" i="1"/>
  <c r="E18581" i="1"/>
  <c r="B18581" i="1"/>
  <c r="E18582" i="1"/>
  <c r="B18582" i="1"/>
  <c r="E18583" i="1"/>
  <c r="B18583" i="1"/>
  <c r="E18584" i="1"/>
  <c r="B18584" i="1"/>
  <c r="E18585" i="1"/>
  <c r="B18585" i="1"/>
  <c r="E18587" i="1"/>
  <c r="B18587" i="1"/>
  <c r="E18586" i="1"/>
  <c r="B18586" i="1"/>
  <c r="E18588" i="1"/>
  <c r="B18588" i="1"/>
  <c r="E18589" i="1"/>
  <c r="B18589" i="1"/>
  <c r="E18590" i="1"/>
  <c r="B18590" i="1"/>
  <c r="E18591" i="1"/>
  <c r="B18591" i="1"/>
  <c r="E18593" i="1"/>
  <c r="B18593" i="1"/>
  <c r="E18592" i="1"/>
  <c r="B18592" i="1"/>
  <c r="E18595" i="1"/>
  <c r="B18595" i="1"/>
  <c r="E18594" i="1"/>
  <c r="B18594" i="1"/>
  <c r="E18596" i="1"/>
  <c r="B18596" i="1"/>
  <c r="E18597" i="1"/>
  <c r="B18597" i="1"/>
  <c r="E18598" i="1"/>
  <c r="B18598" i="1"/>
  <c r="E18599" i="1"/>
  <c r="B18599" i="1"/>
  <c r="E18600" i="1"/>
  <c r="B18600" i="1"/>
  <c r="E18601" i="1"/>
  <c r="B18601" i="1"/>
  <c r="E18602" i="1"/>
  <c r="B18602" i="1"/>
  <c r="E18603" i="1"/>
  <c r="B18603" i="1"/>
  <c r="E18604" i="1"/>
  <c r="B18604" i="1"/>
  <c r="E18605" i="1"/>
  <c r="B18605" i="1"/>
  <c r="E18606" i="1"/>
  <c r="B18606" i="1"/>
  <c r="E18607" i="1"/>
  <c r="B18607" i="1"/>
  <c r="E18608" i="1"/>
  <c r="B18608" i="1"/>
  <c r="E18609" i="1"/>
  <c r="B18609" i="1"/>
  <c r="E18610" i="1"/>
  <c r="B18610" i="1"/>
  <c r="E18611" i="1"/>
  <c r="B18611" i="1"/>
  <c r="E18612" i="1"/>
  <c r="B18612" i="1"/>
  <c r="E18613" i="1"/>
  <c r="B18613" i="1"/>
  <c r="E18614" i="1"/>
  <c r="B18614" i="1"/>
  <c r="E18615" i="1"/>
  <c r="B18615" i="1"/>
  <c r="E18616" i="1"/>
  <c r="B18616" i="1"/>
  <c r="E18617" i="1"/>
  <c r="B18617" i="1"/>
  <c r="E18618" i="1"/>
  <c r="B18618" i="1"/>
  <c r="E18619" i="1"/>
  <c r="B18619" i="1"/>
  <c r="E18621" i="1"/>
  <c r="B18621" i="1"/>
  <c r="E18620" i="1"/>
  <c r="B18620" i="1"/>
  <c r="E18622" i="1"/>
  <c r="B18622" i="1"/>
  <c r="E18623" i="1"/>
  <c r="B18623" i="1"/>
  <c r="E18624" i="1"/>
  <c r="B18624" i="1"/>
  <c r="E18625" i="1"/>
  <c r="B18625" i="1"/>
  <c r="E18626" i="1"/>
  <c r="B18626" i="1"/>
  <c r="E18627" i="1"/>
  <c r="B18627" i="1"/>
  <c r="E18628" i="1"/>
  <c r="B18628" i="1"/>
  <c r="E18629" i="1"/>
  <c r="B18629" i="1"/>
  <c r="E18630" i="1"/>
  <c r="B18630" i="1"/>
  <c r="E18631" i="1"/>
  <c r="B18631" i="1"/>
  <c r="E18633" i="1"/>
  <c r="B18633" i="1"/>
  <c r="E18632" i="1"/>
  <c r="B18632" i="1"/>
  <c r="E18634" i="1"/>
  <c r="B18634" i="1"/>
  <c r="E18635" i="1"/>
  <c r="B18635" i="1"/>
  <c r="E18636" i="1"/>
  <c r="B18636" i="1"/>
  <c r="E18637" i="1"/>
  <c r="B18637" i="1"/>
  <c r="E18638" i="1"/>
  <c r="B18638" i="1"/>
  <c r="E18639" i="1"/>
  <c r="B18639" i="1"/>
  <c r="E18640" i="1"/>
  <c r="B18640" i="1"/>
  <c r="E18641" i="1"/>
  <c r="B18641" i="1"/>
  <c r="E18642" i="1"/>
  <c r="B18642" i="1"/>
  <c r="E18643" i="1"/>
  <c r="B18643" i="1"/>
  <c r="E18644" i="1"/>
  <c r="B18644" i="1"/>
  <c r="E18645" i="1"/>
  <c r="B18645" i="1"/>
  <c r="E18646" i="1"/>
  <c r="B18646" i="1"/>
  <c r="E18647" i="1"/>
  <c r="B18647" i="1"/>
  <c r="E18648" i="1"/>
  <c r="B18648" i="1"/>
  <c r="E18649" i="1"/>
  <c r="B18649" i="1"/>
  <c r="E18650" i="1"/>
  <c r="B18650" i="1"/>
  <c r="E18651" i="1"/>
  <c r="B18651" i="1"/>
  <c r="E18652" i="1"/>
  <c r="B18652" i="1"/>
  <c r="E18653" i="1"/>
  <c r="B18653" i="1"/>
  <c r="E18654" i="1"/>
  <c r="B18654" i="1"/>
  <c r="E18656" i="1"/>
  <c r="B18656" i="1"/>
  <c r="E18655" i="1"/>
  <c r="B18655" i="1"/>
  <c r="E18657" i="1"/>
  <c r="B18657" i="1"/>
  <c r="E18658" i="1"/>
  <c r="B18658" i="1"/>
  <c r="E18659" i="1"/>
  <c r="B18659" i="1"/>
  <c r="E18660" i="1"/>
  <c r="B18660" i="1"/>
  <c r="E18661" i="1"/>
  <c r="B18661" i="1"/>
  <c r="E18662" i="1"/>
  <c r="B18662" i="1"/>
  <c r="E18663" i="1"/>
  <c r="B18663" i="1"/>
  <c r="E18664" i="1"/>
  <c r="B18664" i="1"/>
  <c r="E18665" i="1"/>
  <c r="B18665" i="1"/>
  <c r="E18666" i="1"/>
  <c r="B18666" i="1"/>
  <c r="E18667" i="1"/>
  <c r="B18667" i="1"/>
  <c r="E18668" i="1"/>
  <c r="B18668" i="1"/>
  <c r="E18669" i="1"/>
  <c r="B18669" i="1"/>
  <c r="E18670" i="1"/>
  <c r="B18670" i="1"/>
  <c r="E18671" i="1"/>
  <c r="B18671" i="1"/>
  <c r="E18672" i="1"/>
  <c r="B18672" i="1"/>
  <c r="E18673" i="1"/>
  <c r="B18673" i="1"/>
  <c r="E18674" i="1"/>
  <c r="B18674" i="1"/>
  <c r="E18675" i="1"/>
  <c r="B18675" i="1"/>
  <c r="E18676" i="1"/>
  <c r="B18676" i="1"/>
  <c r="E18677" i="1"/>
  <c r="B18677" i="1"/>
  <c r="E18678" i="1"/>
  <c r="B18678" i="1"/>
  <c r="E18679" i="1"/>
  <c r="B18679" i="1"/>
  <c r="E18680" i="1"/>
  <c r="B18680" i="1"/>
  <c r="E18681" i="1"/>
  <c r="B18681" i="1"/>
  <c r="E18682" i="1"/>
  <c r="B18682" i="1"/>
  <c r="E18683" i="1"/>
  <c r="B18683" i="1"/>
  <c r="E18684" i="1"/>
  <c r="B18684" i="1"/>
  <c r="E18685" i="1"/>
  <c r="B18685" i="1"/>
  <c r="E18686" i="1"/>
  <c r="B18686" i="1"/>
  <c r="E18687" i="1"/>
  <c r="B18687" i="1"/>
  <c r="E18688" i="1"/>
  <c r="B18688" i="1"/>
  <c r="E18689" i="1"/>
  <c r="B18689" i="1"/>
  <c r="E18690" i="1"/>
  <c r="B18690" i="1"/>
  <c r="E18691" i="1"/>
  <c r="B18691" i="1"/>
  <c r="E18692" i="1"/>
  <c r="B18692" i="1"/>
  <c r="E18693" i="1"/>
  <c r="B18693" i="1"/>
  <c r="E18694" i="1"/>
  <c r="B18694" i="1"/>
  <c r="E18695" i="1"/>
  <c r="B18695" i="1"/>
  <c r="E18696" i="1"/>
  <c r="B18696" i="1"/>
  <c r="E18697" i="1"/>
  <c r="B18697" i="1"/>
  <c r="E18698" i="1"/>
  <c r="B18698" i="1"/>
  <c r="E18699" i="1"/>
  <c r="B18699" i="1"/>
  <c r="E18700" i="1"/>
  <c r="B18700" i="1"/>
  <c r="E18701" i="1"/>
  <c r="B18701" i="1"/>
  <c r="E18702" i="1"/>
  <c r="B18702" i="1"/>
  <c r="E18703" i="1"/>
  <c r="B18703" i="1"/>
  <c r="E18704" i="1"/>
  <c r="B18704" i="1"/>
  <c r="E18705" i="1"/>
  <c r="B18705" i="1"/>
  <c r="E18706" i="1"/>
  <c r="B18706" i="1"/>
  <c r="E18707" i="1"/>
  <c r="B18707" i="1"/>
  <c r="E18708" i="1"/>
  <c r="B18708" i="1"/>
  <c r="E18709" i="1"/>
  <c r="B18709" i="1"/>
  <c r="E18710" i="1"/>
  <c r="B18710" i="1"/>
  <c r="E18711" i="1"/>
  <c r="B18711" i="1"/>
  <c r="E18712" i="1"/>
  <c r="B18712" i="1"/>
  <c r="E18713" i="1"/>
  <c r="B18713" i="1"/>
  <c r="E18714" i="1"/>
  <c r="B18714" i="1"/>
  <c r="E18715" i="1"/>
  <c r="B18715" i="1"/>
  <c r="E18716" i="1"/>
  <c r="B18716" i="1"/>
  <c r="E18717" i="1"/>
  <c r="B18717" i="1"/>
  <c r="E18718" i="1"/>
  <c r="B18718" i="1"/>
  <c r="E18719" i="1"/>
  <c r="B18719" i="1"/>
  <c r="E18720" i="1"/>
  <c r="B18720" i="1"/>
  <c r="E18721" i="1"/>
  <c r="B18721" i="1"/>
  <c r="E18722" i="1"/>
  <c r="B18722" i="1"/>
  <c r="E18724" i="1"/>
  <c r="B18724" i="1"/>
  <c r="E18723" i="1"/>
  <c r="B18723" i="1"/>
  <c r="E18725" i="1"/>
  <c r="B18725" i="1"/>
  <c r="E18726" i="1"/>
  <c r="B18726" i="1"/>
  <c r="E18727" i="1"/>
  <c r="B18727" i="1"/>
  <c r="E18728" i="1"/>
  <c r="B18728" i="1"/>
  <c r="E18729" i="1"/>
  <c r="B18729" i="1"/>
  <c r="E18730" i="1"/>
  <c r="B18730" i="1"/>
  <c r="E18732" i="1"/>
  <c r="B18732" i="1"/>
  <c r="E18731" i="1"/>
  <c r="B18731" i="1"/>
  <c r="E18733" i="1"/>
  <c r="B18733" i="1"/>
  <c r="E18734" i="1"/>
  <c r="B18734" i="1"/>
  <c r="E18735" i="1"/>
  <c r="B18735" i="1"/>
  <c r="E18736" i="1"/>
  <c r="B18736" i="1"/>
  <c r="E18737" i="1"/>
  <c r="B18737" i="1"/>
  <c r="E18738" i="1"/>
  <c r="B18738" i="1"/>
  <c r="E18739" i="1"/>
  <c r="B18739" i="1"/>
  <c r="E18740" i="1"/>
  <c r="B18740" i="1"/>
  <c r="E18741" i="1"/>
  <c r="B18741" i="1"/>
  <c r="E18742" i="1"/>
  <c r="B18742" i="1"/>
  <c r="E18743" i="1"/>
  <c r="B18743" i="1"/>
  <c r="E18744" i="1"/>
  <c r="B18744" i="1"/>
  <c r="E18745" i="1"/>
  <c r="B18745" i="1"/>
  <c r="E18746" i="1"/>
  <c r="B18746" i="1"/>
  <c r="E18747" i="1"/>
  <c r="B18747" i="1"/>
  <c r="E18748" i="1"/>
  <c r="B18748" i="1"/>
  <c r="E18749" i="1"/>
  <c r="B18749" i="1"/>
  <c r="E18750" i="1"/>
  <c r="B18750" i="1"/>
  <c r="E18751" i="1"/>
  <c r="B18751" i="1"/>
  <c r="E18753" i="1"/>
  <c r="B18753" i="1"/>
  <c r="E18752" i="1"/>
  <c r="B18752" i="1"/>
  <c r="E18754" i="1"/>
  <c r="B18754" i="1"/>
  <c r="E18755" i="1"/>
  <c r="B18755" i="1"/>
  <c r="E18756" i="1"/>
  <c r="B18756" i="1"/>
  <c r="E18757" i="1"/>
  <c r="B18757" i="1"/>
  <c r="E18758" i="1"/>
  <c r="B18758" i="1"/>
  <c r="E18759" i="1"/>
  <c r="B18759" i="1"/>
  <c r="E18760" i="1"/>
  <c r="B18760" i="1"/>
  <c r="E18761" i="1"/>
  <c r="B18761" i="1"/>
  <c r="E18762" i="1"/>
  <c r="B18762" i="1"/>
  <c r="E18763" i="1"/>
  <c r="B18763" i="1"/>
  <c r="E18765" i="1"/>
  <c r="B18765" i="1"/>
  <c r="E18764" i="1"/>
  <c r="B18764" i="1"/>
  <c r="E18766" i="1"/>
  <c r="B18766" i="1"/>
  <c r="E18767" i="1"/>
  <c r="B18767" i="1"/>
  <c r="E18768" i="1"/>
  <c r="B18768" i="1"/>
  <c r="E18769" i="1"/>
  <c r="B18769" i="1"/>
  <c r="E18771" i="1"/>
  <c r="B18771" i="1"/>
  <c r="E18770" i="1"/>
  <c r="B18770" i="1"/>
  <c r="E18772" i="1"/>
  <c r="B18772" i="1"/>
  <c r="E18773" i="1"/>
  <c r="B18773" i="1"/>
  <c r="E18774" i="1"/>
  <c r="B18774" i="1"/>
  <c r="E18775" i="1"/>
  <c r="B18775" i="1"/>
  <c r="E18776" i="1"/>
  <c r="B18776" i="1"/>
  <c r="E18777" i="1"/>
  <c r="B18777" i="1"/>
  <c r="E18778" i="1"/>
  <c r="B18778" i="1"/>
  <c r="E18779" i="1"/>
  <c r="B18779" i="1"/>
  <c r="E18780" i="1"/>
  <c r="B18780" i="1"/>
  <c r="E18781" i="1"/>
  <c r="B18781" i="1"/>
  <c r="E18782" i="1"/>
  <c r="B18782" i="1"/>
  <c r="E18783" i="1"/>
  <c r="B18783" i="1"/>
  <c r="E18784" i="1"/>
  <c r="B18784" i="1"/>
  <c r="E18785" i="1"/>
  <c r="B18785" i="1"/>
  <c r="E18786" i="1"/>
  <c r="B18786" i="1"/>
  <c r="E18787" i="1"/>
  <c r="B18787" i="1"/>
  <c r="E18788" i="1"/>
  <c r="B18788" i="1"/>
  <c r="E18789" i="1"/>
  <c r="B18789" i="1"/>
  <c r="E18790" i="1"/>
  <c r="B18790" i="1"/>
  <c r="E18791" i="1"/>
  <c r="B18791" i="1"/>
  <c r="E18792" i="1"/>
  <c r="B18792" i="1"/>
  <c r="E18793" i="1"/>
  <c r="B18793" i="1"/>
  <c r="E18794" i="1"/>
  <c r="B18794" i="1"/>
  <c r="E18795" i="1"/>
  <c r="B18795" i="1"/>
  <c r="E18796" i="1"/>
  <c r="B18796" i="1"/>
  <c r="E18798" i="1"/>
  <c r="B18798" i="1"/>
  <c r="E18797" i="1"/>
  <c r="B18797" i="1"/>
  <c r="E18799" i="1"/>
  <c r="B18799" i="1"/>
  <c r="E18800" i="1"/>
  <c r="B18800" i="1"/>
  <c r="E18801" i="1"/>
  <c r="B18801" i="1"/>
  <c r="E18802" i="1"/>
  <c r="B18802" i="1"/>
  <c r="E18803" i="1"/>
  <c r="B18803" i="1"/>
  <c r="E18804" i="1"/>
  <c r="B18804" i="1"/>
  <c r="E18805" i="1"/>
  <c r="B18805" i="1"/>
  <c r="E18806" i="1"/>
  <c r="B18806" i="1"/>
  <c r="E18807" i="1"/>
  <c r="B18807" i="1"/>
  <c r="E18808" i="1"/>
  <c r="B18808" i="1"/>
  <c r="E18809" i="1"/>
  <c r="B18809" i="1"/>
  <c r="E18810" i="1"/>
  <c r="B18810" i="1"/>
  <c r="E18811" i="1"/>
  <c r="B18811" i="1"/>
  <c r="E18812" i="1"/>
  <c r="B18812" i="1"/>
  <c r="E18813" i="1"/>
  <c r="B18813" i="1"/>
  <c r="E18814" i="1"/>
  <c r="B18814" i="1"/>
  <c r="E18815" i="1"/>
  <c r="B18815" i="1"/>
  <c r="E18816" i="1"/>
  <c r="B18816" i="1"/>
  <c r="E18817" i="1"/>
  <c r="B18817" i="1"/>
  <c r="E18818" i="1"/>
  <c r="B18818" i="1"/>
  <c r="E18819" i="1"/>
  <c r="B18819" i="1"/>
  <c r="E18820" i="1"/>
  <c r="B18820" i="1"/>
  <c r="E18821" i="1"/>
  <c r="B18821" i="1"/>
  <c r="E18822" i="1"/>
  <c r="B18822" i="1"/>
  <c r="E18823" i="1"/>
  <c r="B18823" i="1"/>
  <c r="E18824" i="1"/>
  <c r="B18824" i="1"/>
  <c r="E18825" i="1"/>
  <c r="B18825" i="1"/>
  <c r="E18827" i="1"/>
  <c r="B18827" i="1"/>
  <c r="E18826" i="1"/>
  <c r="B18826" i="1"/>
  <c r="E18828" i="1"/>
  <c r="B18828" i="1"/>
  <c r="E18829" i="1"/>
  <c r="B18829" i="1"/>
  <c r="E18830" i="1"/>
  <c r="B18830" i="1"/>
  <c r="E18831" i="1"/>
  <c r="B18831" i="1"/>
  <c r="E18832" i="1"/>
  <c r="B18832" i="1"/>
  <c r="E18833" i="1"/>
  <c r="B18833" i="1"/>
  <c r="E18834" i="1"/>
  <c r="B18834" i="1"/>
  <c r="E18835" i="1"/>
  <c r="B18835" i="1"/>
  <c r="E18836" i="1"/>
  <c r="B18836" i="1"/>
  <c r="E18837" i="1"/>
  <c r="B18837" i="1"/>
  <c r="E18838" i="1"/>
  <c r="B18838" i="1"/>
  <c r="E18839" i="1"/>
  <c r="B18839" i="1"/>
  <c r="E18840" i="1"/>
  <c r="B18840" i="1"/>
  <c r="E18841" i="1"/>
  <c r="B18841" i="1"/>
  <c r="E18842" i="1"/>
  <c r="B18842" i="1"/>
  <c r="E18843" i="1"/>
  <c r="B18843" i="1"/>
  <c r="E18844" i="1"/>
  <c r="B18844" i="1"/>
  <c r="E18845" i="1"/>
  <c r="B18845" i="1"/>
  <c r="E18846" i="1"/>
  <c r="B18846" i="1"/>
  <c r="E18847" i="1"/>
  <c r="B18847" i="1"/>
  <c r="E18848" i="1"/>
  <c r="B18848" i="1"/>
  <c r="E18849" i="1"/>
  <c r="B18849" i="1"/>
  <c r="E18850" i="1"/>
  <c r="B18850" i="1"/>
  <c r="E18851" i="1"/>
  <c r="B18851" i="1"/>
  <c r="E18852" i="1"/>
  <c r="B18852" i="1"/>
  <c r="E18853" i="1"/>
  <c r="B18853" i="1"/>
  <c r="E18854" i="1"/>
  <c r="B18854" i="1"/>
  <c r="E18855" i="1"/>
  <c r="B18855" i="1"/>
  <c r="E18856" i="1"/>
  <c r="B18856" i="1"/>
  <c r="E18857" i="1"/>
  <c r="B18857" i="1"/>
  <c r="E18859" i="1"/>
  <c r="B18859" i="1"/>
  <c r="E18858" i="1"/>
  <c r="B18858" i="1"/>
  <c r="E18860" i="1"/>
  <c r="B18860" i="1"/>
  <c r="E18861" i="1"/>
  <c r="B18861" i="1"/>
  <c r="E18862" i="1"/>
  <c r="B18862" i="1"/>
  <c r="E18863" i="1"/>
  <c r="B18863" i="1"/>
  <c r="E18864" i="1"/>
  <c r="B18864" i="1"/>
  <c r="E18865" i="1"/>
  <c r="B18865" i="1"/>
  <c r="E18866" i="1"/>
  <c r="B18866" i="1"/>
  <c r="E18867" i="1"/>
  <c r="B18867" i="1"/>
  <c r="E18868" i="1"/>
  <c r="B18868" i="1"/>
  <c r="E18869" i="1"/>
  <c r="B18869" i="1"/>
  <c r="E18870" i="1"/>
  <c r="B18870" i="1"/>
  <c r="E18872" i="1"/>
  <c r="B18872" i="1"/>
  <c r="E18871" i="1"/>
  <c r="B18871" i="1"/>
  <c r="E18873" i="1"/>
  <c r="B18873" i="1"/>
  <c r="E18874" i="1"/>
  <c r="B18874" i="1"/>
  <c r="E18875" i="1"/>
  <c r="B18875" i="1"/>
  <c r="E18876" i="1"/>
  <c r="B18876" i="1"/>
  <c r="E18878" i="1"/>
  <c r="B18878" i="1"/>
  <c r="E18877" i="1"/>
  <c r="B18877" i="1"/>
  <c r="E18879" i="1"/>
  <c r="B18879" i="1"/>
  <c r="E18880" i="1"/>
  <c r="B18880" i="1"/>
  <c r="E18881" i="1"/>
  <c r="B18881" i="1"/>
  <c r="E18882" i="1"/>
  <c r="B18882" i="1"/>
  <c r="E18883" i="1"/>
  <c r="B18883" i="1"/>
  <c r="E18884" i="1"/>
  <c r="B18884" i="1"/>
  <c r="E18885" i="1"/>
  <c r="B18885" i="1"/>
  <c r="E18886" i="1"/>
  <c r="B18886" i="1"/>
  <c r="E18887" i="1"/>
  <c r="B18887" i="1"/>
  <c r="E18888" i="1"/>
  <c r="B18888" i="1"/>
  <c r="E18889" i="1"/>
  <c r="B18889" i="1"/>
  <c r="E18890" i="1"/>
  <c r="B18890" i="1"/>
  <c r="E18891" i="1"/>
  <c r="B18891" i="1"/>
  <c r="E18892" i="1"/>
  <c r="B18892" i="1"/>
  <c r="E18893" i="1"/>
  <c r="B18893" i="1"/>
  <c r="E18894" i="1"/>
  <c r="B18894" i="1"/>
  <c r="E18895" i="1"/>
  <c r="B18895" i="1"/>
  <c r="E18896" i="1"/>
  <c r="B18896" i="1"/>
  <c r="E18897" i="1"/>
  <c r="B18897" i="1"/>
  <c r="E18898" i="1"/>
  <c r="B18898" i="1"/>
  <c r="E18899" i="1"/>
  <c r="B18899" i="1"/>
  <c r="E18900" i="1"/>
  <c r="B18900" i="1"/>
  <c r="E18901" i="1"/>
  <c r="B18901" i="1"/>
  <c r="E18902" i="1"/>
  <c r="B18902" i="1"/>
  <c r="E18903" i="1"/>
  <c r="B18903" i="1"/>
  <c r="E18904" i="1"/>
  <c r="B18904" i="1"/>
  <c r="E18905" i="1"/>
  <c r="B18905" i="1"/>
  <c r="E18906" i="1"/>
  <c r="B18906" i="1"/>
  <c r="E18907" i="1"/>
  <c r="B18907" i="1"/>
  <c r="E18908" i="1"/>
  <c r="B18908" i="1"/>
  <c r="E18909" i="1"/>
  <c r="B18909" i="1"/>
  <c r="E18910" i="1"/>
  <c r="B18910" i="1"/>
  <c r="E18911" i="1"/>
  <c r="B18911" i="1"/>
  <c r="E18912" i="1"/>
  <c r="B18912" i="1"/>
  <c r="E18913" i="1"/>
  <c r="B18913" i="1"/>
  <c r="E18914" i="1"/>
  <c r="B18914" i="1"/>
  <c r="E18915" i="1"/>
  <c r="B18915" i="1"/>
  <c r="E18916" i="1"/>
  <c r="B18916" i="1"/>
  <c r="E18917" i="1"/>
  <c r="B18917" i="1"/>
  <c r="E18918" i="1"/>
  <c r="B18918" i="1"/>
  <c r="E18919" i="1"/>
  <c r="B18919" i="1"/>
  <c r="E18920" i="1"/>
  <c r="B18920" i="1"/>
  <c r="E18921" i="1"/>
  <c r="B18921" i="1"/>
  <c r="E18922" i="1"/>
  <c r="B18922" i="1"/>
  <c r="E18923" i="1"/>
  <c r="B18923" i="1"/>
  <c r="E18924" i="1"/>
  <c r="B18924" i="1"/>
  <c r="E18925" i="1"/>
  <c r="B18925" i="1"/>
  <c r="E18926" i="1"/>
  <c r="B18926" i="1"/>
  <c r="E18927" i="1"/>
  <c r="B18927" i="1"/>
  <c r="E18928" i="1"/>
  <c r="B18928" i="1"/>
  <c r="E18929" i="1"/>
  <c r="B18929" i="1"/>
  <c r="E18930" i="1"/>
  <c r="B18930" i="1"/>
  <c r="E18932" i="1"/>
  <c r="B18932" i="1"/>
  <c r="E18931" i="1"/>
  <c r="B18931" i="1"/>
  <c r="E18933" i="1"/>
  <c r="B18933" i="1"/>
  <c r="E18934" i="1"/>
  <c r="B18934" i="1"/>
  <c r="E18935" i="1"/>
  <c r="B18935" i="1"/>
  <c r="E18936" i="1"/>
  <c r="B18936" i="1"/>
  <c r="E18937" i="1"/>
  <c r="B18937" i="1"/>
  <c r="E18938" i="1"/>
  <c r="B18938" i="1"/>
  <c r="E18939" i="1"/>
  <c r="B18939" i="1"/>
  <c r="E18940" i="1"/>
  <c r="B18940" i="1"/>
  <c r="E18941" i="1"/>
  <c r="B18941" i="1"/>
  <c r="E18942" i="1"/>
  <c r="B18942" i="1"/>
  <c r="E18943" i="1"/>
  <c r="B18943" i="1"/>
  <c r="E18944" i="1"/>
  <c r="B18944" i="1"/>
  <c r="E18945" i="1"/>
  <c r="B18945" i="1"/>
  <c r="E18946" i="1"/>
  <c r="B18946" i="1"/>
  <c r="E18947" i="1"/>
  <c r="B18947" i="1"/>
  <c r="E18948" i="1"/>
  <c r="B18948" i="1"/>
  <c r="E18949" i="1"/>
  <c r="B18949" i="1"/>
  <c r="E18950" i="1"/>
  <c r="B18950" i="1"/>
  <c r="E18951" i="1"/>
  <c r="B18951" i="1"/>
  <c r="E18952" i="1"/>
  <c r="B18952" i="1"/>
  <c r="E18953" i="1"/>
  <c r="B18953" i="1"/>
  <c r="E18954" i="1"/>
  <c r="B18954" i="1"/>
  <c r="E18955" i="1"/>
  <c r="B18955" i="1"/>
  <c r="E18956" i="1"/>
  <c r="B18956" i="1"/>
  <c r="E18957" i="1"/>
  <c r="B18957" i="1"/>
  <c r="E18958" i="1"/>
  <c r="B18958" i="1"/>
  <c r="E18959" i="1"/>
  <c r="B18959" i="1"/>
  <c r="E18960" i="1"/>
  <c r="B18960" i="1"/>
  <c r="E18961" i="1"/>
  <c r="B18961" i="1"/>
  <c r="E18962" i="1"/>
  <c r="B18962" i="1"/>
  <c r="E18963" i="1"/>
  <c r="B18963" i="1"/>
  <c r="E18964" i="1"/>
  <c r="B18964" i="1"/>
  <c r="E18965" i="1"/>
  <c r="B18965" i="1"/>
  <c r="E18966" i="1"/>
  <c r="B18966" i="1"/>
  <c r="E18967" i="1"/>
  <c r="B18967" i="1"/>
  <c r="E18968" i="1"/>
  <c r="B18968" i="1"/>
  <c r="E18969" i="1"/>
  <c r="B18969" i="1"/>
  <c r="E18970" i="1"/>
  <c r="B18970" i="1"/>
  <c r="E18971" i="1"/>
  <c r="B18971" i="1"/>
  <c r="E18972" i="1"/>
  <c r="B18972" i="1"/>
  <c r="E18973" i="1"/>
  <c r="B18973" i="1"/>
  <c r="E18974" i="1"/>
  <c r="B18974" i="1"/>
  <c r="E18975" i="1"/>
  <c r="B18975" i="1"/>
  <c r="E18976" i="1"/>
  <c r="B18976" i="1"/>
  <c r="E18977" i="1"/>
  <c r="B18977" i="1"/>
  <c r="E18978" i="1"/>
  <c r="B18978" i="1"/>
  <c r="E18979" i="1"/>
  <c r="B18979" i="1"/>
  <c r="E18980" i="1"/>
  <c r="B18980" i="1"/>
  <c r="E18981" i="1"/>
  <c r="B18981" i="1"/>
  <c r="E18982" i="1"/>
  <c r="B18982" i="1"/>
  <c r="E18983" i="1"/>
  <c r="B18983" i="1"/>
  <c r="E18984" i="1"/>
  <c r="B18984" i="1"/>
  <c r="E18985" i="1"/>
  <c r="B18985" i="1"/>
  <c r="E18986" i="1"/>
  <c r="B18986" i="1"/>
  <c r="E18987" i="1"/>
  <c r="B18987" i="1"/>
  <c r="E18988" i="1"/>
  <c r="B18988" i="1"/>
  <c r="E18989" i="1"/>
  <c r="B18989" i="1"/>
  <c r="E18990" i="1"/>
  <c r="B18990" i="1"/>
  <c r="E18991" i="1"/>
  <c r="B18991" i="1"/>
  <c r="E18992" i="1"/>
  <c r="B18992" i="1"/>
  <c r="E18993" i="1"/>
  <c r="B18993" i="1"/>
  <c r="E18994" i="1"/>
  <c r="B18994" i="1"/>
  <c r="E18995" i="1"/>
  <c r="B18995" i="1"/>
  <c r="E18996" i="1"/>
  <c r="B18996" i="1"/>
  <c r="E18997" i="1"/>
  <c r="B18997" i="1"/>
  <c r="E18998" i="1"/>
  <c r="B18998" i="1"/>
  <c r="E18999" i="1"/>
  <c r="B18999" i="1"/>
  <c r="E19000" i="1"/>
  <c r="B19000" i="1"/>
  <c r="E19001" i="1"/>
  <c r="B19001" i="1"/>
  <c r="E19002" i="1"/>
  <c r="B19002" i="1"/>
  <c r="E19003" i="1"/>
  <c r="B19003" i="1"/>
  <c r="E19004" i="1"/>
  <c r="B19004" i="1"/>
  <c r="E19005" i="1"/>
  <c r="B19005" i="1"/>
  <c r="E19006" i="1"/>
  <c r="B19006" i="1"/>
  <c r="E19007" i="1"/>
  <c r="B19007" i="1"/>
  <c r="E19008" i="1"/>
  <c r="B19008" i="1"/>
  <c r="E19009" i="1"/>
  <c r="B19009" i="1"/>
  <c r="E19010" i="1"/>
  <c r="B19010" i="1"/>
  <c r="E19011" i="1"/>
  <c r="B19011" i="1"/>
  <c r="E19012" i="1"/>
  <c r="B19012" i="1"/>
  <c r="E19013" i="1"/>
  <c r="B19013" i="1"/>
  <c r="E19014" i="1"/>
  <c r="B19014" i="1"/>
  <c r="E19015" i="1"/>
  <c r="B19015" i="1"/>
  <c r="E19016" i="1"/>
  <c r="B19016" i="1"/>
  <c r="E19017" i="1"/>
  <c r="B19017" i="1"/>
  <c r="E19018" i="1"/>
  <c r="B19018" i="1"/>
  <c r="E19019" i="1"/>
  <c r="B19019" i="1"/>
  <c r="E19020" i="1"/>
  <c r="B19020" i="1"/>
  <c r="E19021" i="1"/>
  <c r="B19021" i="1"/>
  <c r="E19022" i="1"/>
  <c r="B19022" i="1"/>
  <c r="E19023" i="1"/>
  <c r="B19023" i="1"/>
  <c r="E19024" i="1"/>
  <c r="B19024" i="1"/>
  <c r="E19025" i="1"/>
  <c r="B19025" i="1"/>
  <c r="E19026" i="1"/>
  <c r="B19026" i="1"/>
  <c r="E19027" i="1"/>
  <c r="B19027" i="1"/>
  <c r="E19028" i="1"/>
  <c r="B19028" i="1"/>
  <c r="E19029" i="1"/>
  <c r="B19029" i="1"/>
  <c r="E19030" i="1"/>
  <c r="B19030" i="1"/>
  <c r="E19031" i="1"/>
  <c r="B19031" i="1"/>
  <c r="E19032" i="1"/>
  <c r="B19032" i="1"/>
  <c r="E19033" i="1"/>
  <c r="B19033" i="1"/>
  <c r="E19034" i="1"/>
  <c r="B19034" i="1"/>
  <c r="E19035" i="1"/>
  <c r="B19035" i="1"/>
  <c r="E19036" i="1"/>
  <c r="B19036" i="1"/>
  <c r="E19037" i="1"/>
  <c r="B19037" i="1"/>
  <c r="E19038" i="1"/>
  <c r="B19038" i="1"/>
  <c r="E19039" i="1"/>
  <c r="B19039" i="1"/>
  <c r="E19040" i="1"/>
  <c r="B19040" i="1"/>
  <c r="E19042" i="1"/>
  <c r="B19042" i="1"/>
  <c r="E19041" i="1"/>
  <c r="B19041" i="1"/>
  <c r="E19043" i="1"/>
  <c r="B19043" i="1"/>
  <c r="E19044" i="1"/>
  <c r="B19044" i="1"/>
  <c r="E19045" i="1"/>
  <c r="B19045" i="1"/>
  <c r="E19046" i="1"/>
  <c r="B19046" i="1"/>
  <c r="E19047" i="1"/>
  <c r="B19047" i="1"/>
  <c r="E19048" i="1"/>
  <c r="B19048" i="1"/>
  <c r="E19049" i="1"/>
  <c r="B19049" i="1"/>
  <c r="E19050" i="1"/>
  <c r="B19050" i="1"/>
  <c r="E19051" i="1"/>
  <c r="B19051" i="1"/>
  <c r="E19052" i="1"/>
  <c r="B19052" i="1"/>
  <c r="E19053" i="1"/>
  <c r="B19053" i="1"/>
  <c r="E19054" i="1"/>
  <c r="B19054" i="1"/>
  <c r="E19055" i="1"/>
  <c r="B19055" i="1"/>
  <c r="E19056" i="1"/>
  <c r="B19056" i="1"/>
  <c r="E19057" i="1"/>
  <c r="B19057" i="1"/>
  <c r="E19058" i="1"/>
  <c r="B19058" i="1"/>
  <c r="E19059" i="1"/>
  <c r="B19059" i="1"/>
  <c r="E19060" i="1"/>
  <c r="B19060" i="1"/>
  <c r="E19061" i="1"/>
  <c r="B19061" i="1"/>
  <c r="E19062" i="1"/>
  <c r="B19062" i="1"/>
  <c r="E19063" i="1"/>
  <c r="B19063" i="1"/>
  <c r="E19064" i="1"/>
  <c r="B19064" i="1"/>
  <c r="E19065" i="1"/>
  <c r="B19065" i="1"/>
  <c r="E19066" i="1"/>
  <c r="B19066" i="1"/>
  <c r="E19067" i="1"/>
  <c r="B19067" i="1"/>
  <c r="E19068" i="1"/>
  <c r="B19068" i="1"/>
  <c r="E19069" i="1"/>
  <c r="B19069" i="1"/>
  <c r="E19070" i="1"/>
  <c r="B19070" i="1"/>
  <c r="E19071" i="1"/>
  <c r="B19071" i="1"/>
  <c r="E19072" i="1"/>
  <c r="B19072" i="1"/>
  <c r="E19073" i="1"/>
  <c r="B19073" i="1"/>
  <c r="E19074" i="1"/>
  <c r="B19074" i="1"/>
  <c r="E19075" i="1"/>
  <c r="B19075" i="1"/>
  <c r="E19076" i="1"/>
  <c r="B19076" i="1"/>
  <c r="E19077" i="1"/>
  <c r="B19077" i="1"/>
  <c r="E19078" i="1"/>
  <c r="B19078" i="1"/>
  <c r="E19079" i="1"/>
  <c r="B19079" i="1"/>
  <c r="E19080" i="1"/>
  <c r="B19080" i="1"/>
  <c r="E19081" i="1"/>
  <c r="B19081" i="1"/>
  <c r="E19082" i="1"/>
  <c r="B19082" i="1"/>
  <c r="E19083" i="1"/>
  <c r="B19083" i="1"/>
  <c r="E19084" i="1"/>
  <c r="B19084" i="1"/>
  <c r="E19085" i="1"/>
  <c r="B19085" i="1"/>
  <c r="E19086" i="1"/>
  <c r="B19086" i="1"/>
  <c r="E19087" i="1"/>
  <c r="B19087" i="1"/>
  <c r="E19088" i="1"/>
  <c r="B19088" i="1"/>
  <c r="E19089" i="1"/>
  <c r="B19089" i="1"/>
  <c r="E19090" i="1"/>
  <c r="B19090" i="1"/>
  <c r="E19091" i="1"/>
  <c r="B19091" i="1"/>
  <c r="E19092" i="1"/>
  <c r="B19092" i="1"/>
  <c r="E19093" i="1"/>
  <c r="B19093" i="1"/>
  <c r="E19094" i="1"/>
  <c r="B19094" i="1"/>
  <c r="E19095" i="1"/>
  <c r="B19095" i="1"/>
  <c r="E19096" i="1"/>
  <c r="B19096" i="1"/>
  <c r="E19097" i="1"/>
  <c r="B19097" i="1"/>
  <c r="E19098" i="1"/>
  <c r="B19098" i="1"/>
  <c r="E19099" i="1"/>
  <c r="B19099" i="1"/>
  <c r="E19100" i="1"/>
  <c r="B19100" i="1"/>
  <c r="E19101" i="1"/>
  <c r="B19101" i="1"/>
  <c r="E19102" i="1"/>
  <c r="B19102" i="1"/>
  <c r="E19103" i="1"/>
  <c r="B19103" i="1"/>
  <c r="E19104" i="1"/>
  <c r="B19104" i="1"/>
  <c r="E19105" i="1"/>
  <c r="B19105" i="1"/>
  <c r="E19106" i="1"/>
  <c r="B19106" i="1"/>
  <c r="E19107" i="1"/>
  <c r="B19107" i="1"/>
  <c r="E19108" i="1"/>
  <c r="B19108" i="1"/>
  <c r="E19109" i="1"/>
  <c r="B19109" i="1"/>
  <c r="E19110" i="1"/>
  <c r="B19110" i="1"/>
  <c r="E19111" i="1"/>
  <c r="B19111" i="1"/>
  <c r="E19112" i="1"/>
  <c r="B19112" i="1"/>
  <c r="E19113" i="1"/>
  <c r="B19113" i="1"/>
  <c r="E19114" i="1"/>
  <c r="B19114" i="1"/>
  <c r="E19115" i="1"/>
  <c r="B19115" i="1"/>
  <c r="E19116" i="1"/>
  <c r="B19116" i="1"/>
  <c r="E19117" i="1"/>
  <c r="B19117" i="1"/>
  <c r="E19118" i="1"/>
  <c r="B19118" i="1"/>
  <c r="E19119" i="1"/>
  <c r="B19119" i="1"/>
  <c r="E19120" i="1"/>
  <c r="B19120" i="1"/>
  <c r="E19121" i="1"/>
  <c r="B19121" i="1"/>
  <c r="E19122" i="1"/>
  <c r="B19122" i="1"/>
  <c r="E19123" i="1"/>
  <c r="B19123" i="1"/>
  <c r="E19124" i="1"/>
  <c r="B19124" i="1"/>
  <c r="E19125" i="1"/>
  <c r="B19125" i="1"/>
  <c r="E19126" i="1"/>
  <c r="B19126" i="1"/>
  <c r="E19127" i="1"/>
  <c r="B19127" i="1"/>
  <c r="E19128" i="1"/>
  <c r="B19128" i="1"/>
  <c r="E19129" i="1"/>
  <c r="B19129" i="1"/>
  <c r="E19130" i="1"/>
  <c r="B19130" i="1"/>
  <c r="E19131" i="1"/>
  <c r="B19131" i="1"/>
  <c r="E19132" i="1"/>
  <c r="B19132" i="1"/>
  <c r="E19133" i="1"/>
  <c r="B19133" i="1"/>
  <c r="E19134" i="1"/>
  <c r="B19134" i="1"/>
  <c r="E19135" i="1"/>
  <c r="B19135" i="1"/>
  <c r="E19136" i="1"/>
  <c r="B19136" i="1"/>
  <c r="E19137" i="1"/>
  <c r="B19137" i="1"/>
  <c r="E19138" i="1"/>
  <c r="B19138" i="1"/>
  <c r="E19139" i="1"/>
  <c r="B19139" i="1"/>
  <c r="E19140" i="1"/>
  <c r="B19140" i="1"/>
  <c r="E19141" i="1"/>
  <c r="B19141" i="1"/>
  <c r="E19142" i="1"/>
  <c r="B19142" i="1"/>
  <c r="E19143" i="1"/>
  <c r="B19143" i="1"/>
  <c r="E19144" i="1"/>
  <c r="B19144" i="1"/>
  <c r="E19145" i="1"/>
  <c r="B19145" i="1"/>
  <c r="E19146" i="1"/>
  <c r="B19146" i="1"/>
  <c r="E19147" i="1"/>
  <c r="B19147" i="1"/>
  <c r="E19148" i="1"/>
  <c r="B19148" i="1"/>
  <c r="E19149" i="1"/>
  <c r="B19149" i="1"/>
  <c r="E19150" i="1"/>
  <c r="B19150" i="1"/>
  <c r="E19151" i="1"/>
  <c r="B19151" i="1"/>
  <c r="E19152" i="1"/>
  <c r="B19152" i="1"/>
  <c r="E19153" i="1"/>
  <c r="B19153" i="1"/>
  <c r="E19154" i="1"/>
  <c r="B19154" i="1"/>
  <c r="E19155" i="1"/>
  <c r="B19155" i="1"/>
  <c r="E19156" i="1"/>
  <c r="B19156" i="1"/>
  <c r="E19157" i="1"/>
  <c r="B19157" i="1"/>
  <c r="E19158" i="1"/>
  <c r="B19158" i="1"/>
  <c r="E19159" i="1"/>
  <c r="B19159" i="1"/>
  <c r="E19160" i="1"/>
  <c r="B19160" i="1"/>
  <c r="E19161" i="1"/>
  <c r="B19161" i="1"/>
  <c r="E19162" i="1"/>
  <c r="B19162" i="1"/>
  <c r="E19163" i="1"/>
  <c r="B19163" i="1"/>
  <c r="E19164" i="1"/>
  <c r="B19164" i="1"/>
  <c r="E19165" i="1"/>
  <c r="B19165" i="1"/>
  <c r="E19166" i="1"/>
  <c r="B19166" i="1"/>
  <c r="E19167" i="1"/>
  <c r="B19167" i="1"/>
  <c r="E19168" i="1"/>
  <c r="B19168" i="1"/>
  <c r="E19169" i="1"/>
  <c r="B19169" i="1"/>
  <c r="E19170" i="1"/>
  <c r="B19170" i="1"/>
  <c r="E19171" i="1"/>
  <c r="B19171" i="1"/>
  <c r="E19172" i="1"/>
  <c r="B19172" i="1"/>
  <c r="E19173" i="1"/>
  <c r="B19173" i="1"/>
  <c r="E19174" i="1"/>
  <c r="B19174" i="1"/>
  <c r="E19175" i="1"/>
  <c r="B19175" i="1"/>
  <c r="E19176" i="1"/>
  <c r="B19176" i="1"/>
  <c r="E19177" i="1"/>
  <c r="B19177" i="1"/>
  <c r="E19178" i="1"/>
  <c r="B19178" i="1"/>
  <c r="E19179" i="1"/>
  <c r="B19179" i="1"/>
  <c r="E19180" i="1"/>
  <c r="B19180" i="1"/>
  <c r="E19181" i="1"/>
  <c r="B19181" i="1"/>
  <c r="E19182" i="1"/>
  <c r="B19182" i="1"/>
  <c r="E19183" i="1"/>
  <c r="B19183" i="1"/>
  <c r="E19184" i="1"/>
  <c r="B19184" i="1"/>
  <c r="E19185" i="1"/>
  <c r="B19185" i="1"/>
  <c r="E19186" i="1"/>
  <c r="B19186" i="1"/>
  <c r="E19187" i="1"/>
  <c r="B19187" i="1"/>
  <c r="E19188" i="1"/>
  <c r="B19188" i="1"/>
  <c r="E19189" i="1"/>
  <c r="B19189" i="1"/>
  <c r="E19190" i="1"/>
  <c r="B19190" i="1"/>
  <c r="E19191" i="1"/>
  <c r="B19191" i="1"/>
  <c r="E19192" i="1"/>
  <c r="B19192" i="1"/>
  <c r="E19193" i="1"/>
  <c r="B19193" i="1"/>
  <c r="E19194" i="1"/>
  <c r="B19194" i="1"/>
  <c r="E19195" i="1"/>
  <c r="B19195" i="1"/>
  <c r="E19196" i="1"/>
  <c r="B19196" i="1"/>
  <c r="E19197" i="1"/>
  <c r="B19197" i="1"/>
  <c r="E19198" i="1"/>
  <c r="B19198" i="1"/>
  <c r="E19199" i="1"/>
  <c r="B19199" i="1"/>
  <c r="E19200" i="1"/>
  <c r="B19200" i="1"/>
  <c r="E19201" i="1"/>
  <c r="B19201" i="1"/>
  <c r="E19202" i="1"/>
  <c r="B19202" i="1"/>
  <c r="E19203" i="1"/>
  <c r="B19203" i="1"/>
  <c r="E19204" i="1"/>
  <c r="B19204" i="1"/>
  <c r="E19205" i="1"/>
  <c r="B19205" i="1"/>
  <c r="E19206" i="1"/>
  <c r="B19206" i="1"/>
  <c r="E19207" i="1"/>
  <c r="B19207" i="1"/>
  <c r="E19208" i="1"/>
  <c r="B19208" i="1"/>
  <c r="E19209" i="1"/>
  <c r="B19209" i="1"/>
  <c r="E19210" i="1"/>
  <c r="B19210" i="1"/>
  <c r="E19211" i="1"/>
  <c r="B19211" i="1"/>
  <c r="E19212" i="1"/>
  <c r="B19212" i="1"/>
  <c r="E19213" i="1"/>
  <c r="B19213" i="1"/>
  <c r="E19214" i="1"/>
  <c r="B19214" i="1"/>
  <c r="E19215" i="1"/>
  <c r="B19215" i="1"/>
  <c r="E19216" i="1"/>
  <c r="B19216" i="1"/>
  <c r="E19217" i="1"/>
  <c r="B19217" i="1"/>
  <c r="E19218" i="1"/>
  <c r="B19218" i="1"/>
  <c r="E19219" i="1"/>
  <c r="B19219" i="1"/>
  <c r="E19220" i="1"/>
  <c r="B19220" i="1"/>
  <c r="E19221" i="1"/>
  <c r="B19221" i="1"/>
  <c r="E19222" i="1"/>
  <c r="B19222" i="1"/>
  <c r="E19223" i="1"/>
  <c r="B19223" i="1"/>
  <c r="E19224" i="1"/>
  <c r="B19224" i="1"/>
  <c r="E19225" i="1"/>
  <c r="B19225" i="1"/>
  <c r="E19226" i="1"/>
  <c r="B19226" i="1"/>
  <c r="E19227" i="1"/>
  <c r="B19227" i="1"/>
  <c r="E19228" i="1"/>
  <c r="B19228" i="1"/>
  <c r="E19229" i="1"/>
  <c r="B19229" i="1"/>
  <c r="E19230" i="1"/>
  <c r="B19230" i="1"/>
  <c r="E19231" i="1"/>
  <c r="B19231" i="1"/>
  <c r="E19232" i="1"/>
  <c r="B19232" i="1"/>
  <c r="E19233" i="1"/>
  <c r="B19233" i="1"/>
  <c r="E19234" i="1"/>
  <c r="B19234" i="1"/>
  <c r="E19235" i="1"/>
  <c r="B19235" i="1"/>
  <c r="E19236" i="1"/>
  <c r="B19236" i="1"/>
  <c r="E19237" i="1"/>
  <c r="B19237" i="1"/>
  <c r="E19238" i="1"/>
  <c r="B19238" i="1"/>
  <c r="E19239" i="1"/>
  <c r="B19239" i="1"/>
  <c r="E19240" i="1"/>
  <c r="B19240" i="1"/>
  <c r="E19241" i="1"/>
  <c r="B19241" i="1"/>
  <c r="E19242" i="1"/>
  <c r="B19242" i="1"/>
  <c r="E19243" i="1"/>
  <c r="B19243" i="1"/>
  <c r="E19245" i="1"/>
  <c r="B19245" i="1"/>
  <c r="E19244" i="1"/>
  <c r="B19244" i="1"/>
  <c r="E19246" i="1"/>
  <c r="B19246" i="1"/>
  <c r="E19247" i="1"/>
  <c r="B19247" i="1"/>
  <c r="E19248" i="1"/>
  <c r="B19248" i="1"/>
  <c r="E19249" i="1"/>
  <c r="B19249" i="1"/>
  <c r="E19250" i="1"/>
  <c r="B19250" i="1"/>
  <c r="E19251" i="1"/>
  <c r="B19251" i="1"/>
  <c r="E19252" i="1"/>
  <c r="B19252" i="1"/>
  <c r="E19253" i="1"/>
  <c r="B19253" i="1"/>
  <c r="E19254" i="1"/>
  <c r="B19254" i="1"/>
  <c r="E19255" i="1"/>
  <c r="B19255" i="1"/>
  <c r="E19256" i="1"/>
  <c r="B19256" i="1"/>
  <c r="E19257" i="1"/>
  <c r="B19257" i="1"/>
  <c r="E19258" i="1"/>
  <c r="B19258" i="1"/>
  <c r="E19259" i="1"/>
  <c r="B19259" i="1"/>
  <c r="E19260" i="1"/>
  <c r="B19260" i="1"/>
  <c r="E19261" i="1"/>
  <c r="B19261" i="1"/>
  <c r="E19262" i="1"/>
  <c r="B19262" i="1"/>
  <c r="E19263" i="1"/>
  <c r="B19263" i="1"/>
  <c r="E19264" i="1"/>
  <c r="B19264" i="1"/>
  <c r="E19265" i="1"/>
  <c r="B19265" i="1"/>
  <c r="E19267" i="1"/>
  <c r="B19267" i="1"/>
  <c r="E19266" i="1"/>
  <c r="B19266" i="1"/>
  <c r="E19268" i="1"/>
  <c r="B19268" i="1"/>
  <c r="E19269" i="1"/>
  <c r="B19269" i="1"/>
  <c r="E19270" i="1"/>
  <c r="B19270" i="1"/>
  <c r="E19271" i="1"/>
  <c r="B19271" i="1"/>
  <c r="E19272" i="1"/>
  <c r="B19272" i="1"/>
  <c r="E19273" i="1"/>
  <c r="B19273" i="1"/>
  <c r="E19274" i="1"/>
  <c r="B19274" i="1"/>
  <c r="E19275" i="1"/>
  <c r="B19275" i="1"/>
  <c r="E19276" i="1"/>
  <c r="B19276" i="1"/>
  <c r="E19277" i="1"/>
  <c r="B19277" i="1"/>
  <c r="E19278" i="1"/>
  <c r="B19278" i="1"/>
  <c r="E19279" i="1"/>
  <c r="B19279" i="1"/>
  <c r="E19280" i="1"/>
  <c r="B19280" i="1"/>
  <c r="E19281" i="1"/>
  <c r="B19281" i="1"/>
  <c r="E19282" i="1"/>
  <c r="B19282" i="1"/>
  <c r="E19283" i="1"/>
  <c r="B19283" i="1"/>
  <c r="E19284" i="1"/>
  <c r="B19284" i="1"/>
  <c r="E19285" i="1"/>
  <c r="B19285" i="1"/>
  <c r="E19286" i="1"/>
  <c r="B19286" i="1"/>
  <c r="E19287" i="1"/>
  <c r="B19287" i="1"/>
  <c r="E19288" i="1"/>
  <c r="B19288" i="1"/>
  <c r="E19289" i="1"/>
  <c r="B19289" i="1"/>
  <c r="E19290" i="1"/>
  <c r="B19290" i="1"/>
  <c r="E19291" i="1"/>
  <c r="B19291" i="1"/>
  <c r="E19292" i="1"/>
  <c r="B19292" i="1"/>
  <c r="E19293" i="1"/>
  <c r="B19293" i="1"/>
  <c r="E19294" i="1"/>
  <c r="B19294" i="1"/>
  <c r="E19295" i="1"/>
  <c r="B19295" i="1"/>
  <c r="E19296" i="1"/>
  <c r="B19296" i="1"/>
  <c r="E19297" i="1"/>
  <c r="B19297" i="1"/>
  <c r="E19298" i="1"/>
  <c r="B19298" i="1"/>
  <c r="E19299" i="1"/>
  <c r="B19299" i="1"/>
  <c r="E19300" i="1"/>
  <c r="B19300" i="1"/>
  <c r="E19301" i="1"/>
  <c r="B19301" i="1"/>
  <c r="E19302" i="1"/>
  <c r="B19302" i="1"/>
  <c r="E19303" i="1"/>
  <c r="B19303" i="1"/>
  <c r="E19304" i="1"/>
  <c r="B19304" i="1"/>
  <c r="E19305" i="1"/>
  <c r="B19305" i="1"/>
  <c r="E19306" i="1"/>
  <c r="B19306" i="1"/>
  <c r="E19307" i="1"/>
  <c r="B19307" i="1"/>
  <c r="E19308" i="1"/>
  <c r="B19308" i="1"/>
  <c r="E19309" i="1"/>
  <c r="B19309" i="1"/>
  <c r="E19310" i="1"/>
  <c r="B19310" i="1"/>
  <c r="E19311" i="1"/>
  <c r="B19311" i="1"/>
  <c r="E19312" i="1"/>
  <c r="B19312" i="1"/>
  <c r="E19313" i="1"/>
  <c r="B19313" i="1"/>
  <c r="E19314" i="1"/>
  <c r="B19314" i="1"/>
  <c r="E19315" i="1"/>
  <c r="B19315" i="1"/>
  <c r="E19316" i="1"/>
  <c r="B19316" i="1"/>
  <c r="E19317" i="1"/>
  <c r="B19317" i="1"/>
  <c r="E19318" i="1"/>
  <c r="B19318" i="1"/>
  <c r="E19319" i="1"/>
  <c r="B19319" i="1"/>
  <c r="E19320" i="1"/>
  <c r="B19320" i="1"/>
  <c r="E19321" i="1"/>
  <c r="B19321" i="1"/>
  <c r="E19322" i="1"/>
  <c r="B19322" i="1"/>
  <c r="E19323" i="1"/>
  <c r="B19323" i="1"/>
  <c r="E19324" i="1"/>
  <c r="B19324" i="1"/>
  <c r="E19325" i="1"/>
  <c r="B19325" i="1"/>
  <c r="E19326" i="1"/>
  <c r="B19326" i="1"/>
  <c r="E19327" i="1"/>
  <c r="B19327" i="1"/>
  <c r="E19328" i="1"/>
  <c r="B19328" i="1"/>
  <c r="E19329" i="1"/>
  <c r="B19329" i="1"/>
  <c r="E19330" i="1"/>
  <c r="B19330" i="1"/>
  <c r="E19331" i="1"/>
  <c r="B19331" i="1"/>
  <c r="E19332" i="1"/>
  <c r="B19332" i="1"/>
  <c r="E19333" i="1"/>
  <c r="B19333" i="1"/>
  <c r="E19334" i="1"/>
  <c r="B19334" i="1"/>
  <c r="E19335" i="1"/>
  <c r="B19335" i="1"/>
  <c r="E19336" i="1"/>
  <c r="B19336" i="1"/>
  <c r="E19337" i="1"/>
  <c r="B19337" i="1"/>
  <c r="E19338" i="1"/>
  <c r="B19338" i="1"/>
  <c r="E19339" i="1"/>
  <c r="B19339" i="1"/>
  <c r="E19340" i="1"/>
  <c r="B19340" i="1"/>
  <c r="E19341" i="1"/>
  <c r="B19341" i="1"/>
  <c r="E19342" i="1"/>
  <c r="B19342" i="1"/>
  <c r="E19343" i="1"/>
  <c r="B19343" i="1"/>
  <c r="E19344" i="1"/>
  <c r="B19344" i="1"/>
  <c r="E19345" i="1"/>
  <c r="B19345" i="1"/>
  <c r="E19347" i="1"/>
  <c r="B19347" i="1"/>
  <c r="E19346" i="1"/>
  <c r="B19346" i="1"/>
  <c r="E19348" i="1"/>
  <c r="B19348" i="1"/>
  <c r="E19349" i="1"/>
  <c r="B19349" i="1"/>
  <c r="E19350" i="1"/>
  <c r="B19350" i="1"/>
  <c r="E19352" i="1"/>
  <c r="B19352" i="1"/>
  <c r="E19351" i="1"/>
  <c r="B19351" i="1"/>
  <c r="E19353" i="1"/>
  <c r="B19353" i="1"/>
  <c r="E19354" i="1"/>
  <c r="B19354" i="1"/>
  <c r="E19355" i="1"/>
  <c r="B19355" i="1"/>
  <c r="E19356" i="1"/>
  <c r="B19356" i="1"/>
  <c r="E19358" i="1"/>
  <c r="B19358" i="1"/>
  <c r="E19357" i="1"/>
  <c r="B19357" i="1"/>
  <c r="E19359" i="1"/>
  <c r="B19359" i="1"/>
  <c r="E19360" i="1"/>
  <c r="B19360" i="1"/>
  <c r="E19361" i="1"/>
  <c r="B19361" i="1"/>
  <c r="E19362" i="1"/>
  <c r="B19362" i="1"/>
  <c r="E19363" i="1"/>
  <c r="B19363" i="1"/>
  <c r="E19364" i="1"/>
  <c r="B19364" i="1"/>
  <c r="E19365" i="1"/>
  <c r="B19365" i="1"/>
  <c r="E19366" i="1"/>
  <c r="B19366" i="1"/>
  <c r="E19367" i="1"/>
  <c r="B19367" i="1"/>
  <c r="E19368" i="1"/>
  <c r="B19368" i="1"/>
  <c r="E19369" i="1"/>
  <c r="B19369" i="1"/>
  <c r="E19370" i="1"/>
  <c r="B19370" i="1"/>
  <c r="E19371" i="1"/>
  <c r="B19371" i="1"/>
  <c r="E19372" i="1"/>
  <c r="B19372" i="1"/>
  <c r="E19373" i="1"/>
  <c r="B19373" i="1"/>
  <c r="E19374" i="1"/>
  <c r="B19374" i="1"/>
  <c r="E19375" i="1"/>
  <c r="B19375" i="1"/>
  <c r="E19376" i="1"/>
  <c r="B19376" i="1"/>
  <c r="E19377" i="1"/>
  <c r="B19377" i="1"/>
  <c r="E19378" i="1"/>
  <c r="B19378" i="1"/>
  <c r="E19379" i="1"/>
  <c r="B19379" i="1"/>
  <c r="E19380" i="1"/>
  <c r="B19380" i="1"/>
  <c r="E19381" i="1"/>
  <c r="B19381" i="1"/>
  <c r="E19382" i="1"/>
  <c r="B19382" i="1"/>
  <c r="E19383" i="1"/>
  <c r="B19383" i="1"/>
  <c r="E19384" i="1"/>
  <c r="B19384" i="1"/>
  <c r="E19385" i="1"/>
  <c r="B19385" i="1"/>
  <c r="E19387" i="1"/>
  <c r="B19387" i="1"/>
  <c r="E19386" i="1"/>
  <c r="B19386" i="1"/>
  <c r="E19388" i="1"/>
  <c r="B19388" i="1"/>
  <c r="E19389" i="1"/>
  <c r="B19389" i="1"/>
  <c r="E19390" i="1"/>
  <c r="B19390" i="1"/>
  <c r="E19391" i="1"/>
  <c r="B19391" i="1"/>
  <c r="E19392" i="1"/>
  <c r="B19392" i="1"/>
  <c r="E19393" i="1"/>
  <c r="B19393" i="1"/>
  <c r="E19394" i="1"/>
  <c r="B19394" i="1"/>
  <c r="E19395" i="1"/>
  <c r="B19395" i="1"/>
  <c r="E19396" i="1"/>
  <c r="B19396" i="1"/>
  <c r="E19397" i="1"/>
  <c r="B19397" i="1"/>
  <c r="E19398" i="1"/>
  <c r="B19398" i="1"/>
  <c r="E19399" i="1"/>
  <c r="B19399" i="1"/>
  <c r="E19400" i="1"/>
  <c r="B19400" i="1"/>
  <c r="E19401" i="1"/>
  <c r="B19401" i="1"/>
  <c r="E19402" i="1"/>
  <c r="B19402" i="1"/>
  <c r="E19403" i="1"/>
  <c r="B19403" i="1"/>
  <c r="E19404" i="1"/>
  <c r="B19404" i="1"/>
  <c r="E19405" i="1"/>
  <c r="B19405" i="1"/>
  <c r="E19406" i="1"/>
  <c r="B19406" i="1"/>
  <c r="E19407" i="1"/>
  <c r="B19407" i="1"/>
  <c r="E19408" i="1"/>
  <c r="B19408" i="1"/>
  <c r="E19409" i="1"/>
  <c r="B19409" i="1"/>
  <c r="E19410" i="1"/>
  <c r="B19410" i="1"/>
  <c r="E19412" i="1"/>
  <c r="B19412" i="1"/>
  <c r="E19411" i="1"/>
  <c r="B19411" i="1"/>
  <c r="E19413" i="1"/>
  <c r="B19413" i="1"/>
  <c r="E19414" i="1"/>
  <c r="B19414" i="1"/>
  <c r="E19415" i="1"/>
  <c r="B19415" i="1"/>
  <c r="E19416" i="1"/>
  <c r="B19416" i="1"/>
  <c r="E19417" i="1"/>
  <c r="B19417" i="1"/>
  <c r="E19418" i="1"/>
  <c r="B19418" i="1"/>
  <c r="E19419" i="1"/>
  <c r="B19419" i="1"/>
  <c r="E19420" i="1"/>
  <c r="B19420" i="1"/>
  <c r="E19421" i="1"/>
  <c r="B19421" i="1"/>
  <c r="E19422" i="1"/>
  <c r="B19422" i="1"/>
  <c r="E19423" i="1"/>
  <c r="B19423" i="1"/>
  <c r="E19424" i="1"/>
  <c r="B19424" i="1"/>
  <c r="E19425" i="1"/>
  <c r="B19425" i="1"/>
  <c r="E19426" i="1"/>
  <c r="B19426" i="1"/>
  <c r="E19427" i="1"/>
  <c r="B19427" i="1"/>
  <c r="E19428" i="1"/>
  <c r="B19428" i="1"/>
  <c r="E19429" i="1"/>
  <c r="B19429" i="1"/>
  <c r="E19430" i="1"/>
  <c r="B19430" i="1"/>
  <c r="E19431" i="1"/>
  <c r="B19431" i="1"/>
  <c r="E19432" i="1"/>
  <c r="B19432" i="1"/>
  <c r="E19433" i="1"/>
  <c r="B19433" i="1"/>
  <c r="E19434" i="1"/>
  <c r="B19434" i="1"/>
  <c r="E19435" i="1"/>
  <c r="B19435" i="1"/>
  <c r="E19436" i="1"/>
  <c r="B19436" i="1"/>
  <c r="E19437" i="1"/>
  <c r="B19437" i="1"/>
  <c r="E19438" i="1"/>
  <c r="B19438" i="1"/>
  <c r="E19439" i="1"/>
  <c r="B19439" i="1"/>
  <c r="E19440" i="1"/>
  <c r="B19440" i="1"/>
  <c r="E19441" i="1"/>
  <c r="B19441" i="1"/>
  <c r="E19442" i="1"/>
  <c r="B19442" i="1"/>
  <c r="E19443" i="1"/>
  <c r="B19443" i="1"/>
  <c r="E19444" i="1"/>
  <c r="B19444" i="1"/>
  <c r="E19445" i="1"/>
  <c r="B19445" i="1"/>
  <c r="E19446" i="1"/>
  <c r="B19446" i="1"/>
  <c r="E19447" i="1"/>
  <c r="B19447" i="1"/>
  <c r="E19448" i="1"/>
  <c r="B19448" i="1"/>
  <c r="E19449" i="1"/>
  <c r="B19449" i="1"/>
  <c r="E19450" i="1"/>
  <c r="B19450" i="1"/>
  <c r="E19451" i="1"/>
  <c r="B19451" i="1"/>
  <c r="E19452" i="1"/>
  <c r="B19452" i="1"/>
  <c r="E19453" i="1"/>
  <c r="B19453" i="1"/>
  <c r="E19454" i="1"/>
  <c r="B19454" i="1"/>
  <c r="E19455" i="1"/>
  <c r="B19455" i="1"/>
  <c r="E19456" i="1"/>
  <c r="B19456" i="1"/>
  <c r="E19457" i="1"/>
  <c r="B19457" i="1"/>
  <c r="E19459" i="1"/>
  <c r="B19459" i="1"/>
  <c r="E19458" i="1"/>
  <c r="B19458" i="1"/>
  <c r="E19460" i="1"/>
  <c r="B19460" i="1"/>
  <c r="E19461" i="1"/>
  <c r="B19461" i="1"/>
  <c r="E19462" i="1"/>
  <c r="B19462" i="1"/>
  <c r="E19463" i="1"/>
  <c r="B19463" i="1"/>
  <c r="E19464" i="1"/>
  <c r="B19464" i="1"/>
  <c r="E19465" i="1"/>
  <c r="B19465" i="1"/>
  <c r="E19466" i="1"/>
  <c r="B19466" i="1"/>
  <c r="E19467" i="1"/>
  <c r="B19467" i="1"/>
  <c r="E19468" i="1"/>
  <c r="B19468" i="1"/>
  <c r="E19469" i="1"/>
  <c r="B19469" i="1"/>
  <c r="E19470" i="1"/>
  <c r="B19470" i="1"/>
  <c r="E19471" i="1"/>
  <c r="B19471" i="1"/>
  <c r="E19472" i="1"/>
  <c r="B19472" i="1"/>
  <c r="E19473" i="1"/>
  <c r="B19473" i="1"/>
  <c r="E19474" i="1"/>
  <c r="B19474" i="1"/>
  <c r="E19475" i="1"/>
  <c r="B19475" i="1"/>
  <c r="E19476" i="1"/>
  <c r="B19476" i="1"/>
  <c r="E19477" i="1"/>
  <c r="B19477" i="1"/>
  <c r="E19478" i="1"/>
  <c r="B19478" i="1"/>
  <c r="E19479" i="1"/>
  <c r="B19479" i="1"/>
  <c r="E19480" i="1"/>
  <c r="B19480" i="1"/>
  <c r="E19481" i="1"/>
  <c r="B19481" i="1"/>
  <c r="E19482" i="1"/>
  <c r="B19482" i="1"/>
  <c r="E19483" i="1"/>
  <c r="B19483" i="1"/>
  <c r="E19484" i="1"/>
  <c r="B19484" i="1"/>
  <c r="E19485" i="1"/>
  <c r="B19485" i="1"/>
  <c r="E19486" i="1"/>
  <c r="B19486" i="1"/>
  <c r="E19487" i="1"/>
  <c r="B19487" i="1"/>
  <c r="E19488" i="1"/>
  <c r="B19488" i="1"/>
  <c r="E19489" i="1"/>
  <c r="B19489" i="1"/>
  <c r="E19490" i="1"/>
  <c r="B19490" i="1"/>
  <c r="E19491" i="1"/>
  <c r="B19491" i="1"/>
  <c r="E19492" i="1"/>
  <c r="B19492" i="1"/>
  <c r="E19493" i="1"/>
  <c r="B19493" i="1"/>
  <c r="E19494" i="1"/>
  <c r="B19494" i="1"/>
  <c r="E19495" i="1"/>
  <c r="B19495" i="1"/>
  <c r="E19496" i="1"/>
  <c r="B19496" i="1"/>
  <c r="E19497" i="1"/>
  <c r="B19497" i="1"/>
  <c r="E19498" i="1"/>
  <c r="B19498" i="1"/>
  <c r="E19499" i="1"/>
  <c r="B19499" i="1"/>
  <c r="E19500" i="1"/>
  <c r="B19500" i="1"/>
  <c r="E19501" i="1"/>
  <c r="B19501" i="1"/>
  <c r="E19502" i="1"/>
  <c r="B19502" i="1"/>
  <c r="E19503" i="1"/>
  <c r="B19503" i="1"/>
  <c r="E19504" i="1"/>
  <c r="B19504" i="1"/>
  <c r="E19505" i="1"/>
  <c r="B19505" i="1"/>
  <c r="E19506" i="1"/>
  <c r="B19506" i="1"/>
  <c r="E19507" i="1"/>
  <c r="B19507" i="1"/>
  <c r="E19508" i="1"/>
  <c r="B19508" i="1"/>
  <c r="E19509" i="1"/>
  <c r="B19509" i="1"/>
  <c r="E19511" i="1"/>
  <c r="B19511" i="1"/>
  <c r="E19510" i="1"/>
  <c r="B19510" i="1"/>
  <c r="E19512" i="1"/>
  <c r="B19512" i="1"/>
  <c r="E19513" i="1"/>
  <c r="B19513" i="1"/>
  <c r="E19514" i="1"/>
  <c r="B19514" i="1"/>
  <c r="E19515" i="1"/>
  <c r="B19515" i="1"/>
  <c r="E19516" i="1"/>
  <c r="B19516" i="1"/>
  <c r="E19517" i="1"/>
  <c r="B19517" i="1"/>
  <c r="E19518" i="1"/>
  <c r="B19518" i="1"/>
  <c r="E19519" i="1"/>
  <c r="B19519" i="1"/>
  <c r="E19520" i="1"/>
  <c r="B19520" i="1"/>
  <c r="E19521" i="1"/>
  <c r="B19521" i="1"/>
  <c r="E19522" i="1"/>
  <c r="B19522" i="1"/>
  <c r="E19523" i="1"/>
  <c r="B19523" i="1"/>
  <c r="E19524" i="1"/>
  <c r="B19524" i="1"/>
  <c r="E19525" i="1"/>
  <c r="B19525" i="1"/>
  <c r="E19526" i="1"/>
  <c r="B19526" i="1"/>
  <c r="E19527" i="1"/>
  <c r="B19527" i="1"/>
  <c r="E19528" i="1"/>
  <c r="B19528" i="1"/>
  <c r="E19529" i="1"/>
  <c r="B19529" i="1"/>
  <c r="E19530" i="1"/>
  <c r="B19530" i="1"/>
  <c r="E19531" i="1"/>
  <c r="B19531" i="1"/>
  <c r="E19532" i="1"/>
  <c r="B19532" i="1"/>
  <c r="E19533" i="1"/>
  <c r="B19533" i="1"/>
  <c r="E19534" i="1"/>
  <c r="B19534" i="1"/>
  <c r="E19535" i="1"/>
  <c r="B19535" i="1"/>
  <c r="E19536" i="1"/>
  <c r="B19536" i="1"/>
  <c r="E19537" i="1"/>
  <c r="B19537" i="1"/>
  <c r="E19538" i="1"/>
  <c r="B19538" i="1"/>
  <c r="E19539" i="1"/>
  <c r="B19539" i="1"/>
  <c r="E19540" i="1"/>
  <c r="B19540" i="1"/>
  <c r="E19541" i="1"/>
  <c r="B19541" i="1"/>
  <c r="E19542" i="1"/>
  <c r="B19542" i="1"/>
  <c r="E19543" i="1"/>
  <c r="B19543" i="1"/>
  <c r="E19544" i="1"/>
  <c r="B19544" i="1"/>
  <c r="E19545" i="1"/>
  <c r="B19545" i="1"/>
  <c r="E19546" i="1"/>
  <c r="B19546" i="1"/>
  <c r="E19547" i="1"/>
  <c r="B19547" i="1"/>
  <c r="E19548" i="1"/>
  <c r="B19548" i="1"/>
  <c r="E19549" i="1"/>
  <c r="B19549" i="1"/>
  <c r="E19550" i="1"/>
  <c r="B19550" i="1"/>
  <c r="E19551" i="1"/>
  <c r="B19551" i="1"/>
  <c r="E19552" i="1"/>
  <c r="B19552" i="1"/>
  <c r="E19553" i="1"/>
  <c r="B19553" i="1"/>
  <c r="E19554" i="1"/>
  <c r="B19554" i="1"/>
  <c r="E19555" i="1"/>
  <c r="B19555" i="1"/>
  <c r="E19556" i="1"/>
  <c r="B19556" i="1"/>
  <c r="E19557" i="1"/>
  <c r="B19557" i="1"/>
  <c r="E19558" i="1"/>
  <c r="B19558" i="1"/>
  <c r="E19559" i="1"/>
  <c r="B19559" i="1"/>
  <c r="E19560" i="1"/>
  <c r="B19560" i="1"/>
  <c r="E19561" i="1"/>
  <c r="B19561" i="1"/>
  <c r="E19562" i="1"/>
  <c r="B19562" i="1"/>
  <c r="E19563" i="1"/>
  <c r="B19563" i="1"/>
  <c r="E19564" i="1"/>
  <c r="B19564" i="1"/>
  <c r="E19565" i="1"/>
  <c r="B19565" i="1"/>
  <c r="E19566" i="1"/>
  <c r="B19566" i="1"/>
  <c r="E19567" i="1"/>
  <c r="B19567" i="1"/>
  <c r="E19568" i="1"/>
  <c r="B19568" i="1"/>
  <c r="E19569" i="1"/>
  <c r="B19569" i="1"/>
  <c r="E19570" i="1"/>
  <c r="B19570" i="1"/>
  <c r="E19571" i="1"/>
  <c r="B19571" i="1"/>
  <c r="E19572" i="1"/>
  <c r="B19572" i="1"/>
  <c r="E19573" i="1"/>
  <c r="B19573" i="1"/>
  <c r="E19574" i="1"/>
  <c r="B19574" i="1"/>
  <c r="E19575" i="1"/>
  <c r="B19575" i="1"/>
  <c r="E19576" i="1"/>
  <c r="B19576" i="1"/>
  <c r="E19577" i="1"/>
  <c r="B19577" i="1"/>
  <c r="E19578" i="1"/>
  <c r="B19578" i="1"/>
  <c r="E19579" i="1"/>
  <c r="B19579" i="1"/>
  <c r="E19580" i="1"/>
  <c r="B19580" i="1"/>
  <c r="E19581" i="1"/>
  <c r="B19581" i="1"/>
  <c r="E19582" i="1"/>
  <c r="B19582" i="1"/>
  <c r="E19583" i="1"/>
  <c r="B19583" i="1"/>
  <c r="E19584" i="1"/>
  <c r="B19584" i="1"/>
  <c r="E19585" i="1"/>
  <c r="B19585" i="1"/>
  <c r="E19586" i="1"/>
  <c r="B19586" i="1"/>
  <c r="E19587" i="1"/>
  <c r="B19587" i="1"/>
  <c r="E19588" i="1"/>
  <c r="B19588" i="1"/>
  <c r="E19589" i="1"/>
  <c r="B19589" i="1"/>
  <c r="E19590" i="1"/>
  <c r="B19590" i="1"/>
  <c r="E19591" i="1"/>
  <c r="B19591" i="1"/>
  <c r="E19592" i="1"/>
  <c r="B19592" i="1"/>
  <c r="E19593" i="1"/>
  <c r="B19593" i="1"/>
  <c r="E19594" i="1"/>
  <c r="B19594" i="1"/>
  <c r="E19595" i="1"/>
  <c r="B19595" i="1"/>
  <c r="E19596" i="1"/>
  <c r="B19596" i="1"/>
  <c r="E19597" i="1"/>
  <c r="B19597" i="1"/>
  <c r="E19598" i="1"/>
  <c r="B19598" i="1"/>
  <c r="E19599" i="1"/>
  <c r="B19599" i="1"/>
  <c r="E19600" i="1"/>
  <c r="B19600" i="1"/>
  <c r="E19601" i="1"/>
  <c r="B19601" i="1"/>
  <c r="E19602" i="1"/>
  <c r="B19602" i="1"/>
  <c r="E19603" i="1"/>
  <c r="B19603" i="1"/>
  <c r="E19604" i="1"/>
  <c r="B19604" i="1"/>
  <c r="E19605" i="1"/>
  <c r="B19605" i="1"/>
  <c r="E19606" i="1"/>
  <c r="B19606" i="1"/>
  <c r="E19607" i="1"/>
  <c r="B19607" i="1"/>
  <c r="E19608" i="1"/>
  <c r="B19608" i="1"/>
  <c r="E19609" i="1"/>
  <c r="B19609" i="1"/>
  <c r="E19610" i="1"/>
  <c r="B19610" i="1"/>
  <c r="E19611" i="1"/>
  <c r="B19611" i="1"/>
  <c r="E19612" i="1"/>
  <c r="B19612" i="1"/>
  <c r="E19613" i="1"/>
  <c r="B19613" i="1"/>
  <c r="E19614" i="1"/>
  <c r="B19614" i="1"/>
  <c r="E19615" i="1"/>
  <c r="B19615" i="1"/>
  <c r="E19616" i="1"/>
  <c r="B19616" i="1"/>
  <c r="E19617" i="1"/>
  <c r="B19617" i="1"/>
  <c r="E19618" i="1"/>
  <c r="B19618" i="1"/>
  <c r="E19619" i="1"/>
  <c r="B19619" i="1"/>
  <c r="E19620" i="1"/>
  <c r="B19620" i="1"/>
  <c r="E19621" i="1"/>
  <c r="B19621" i="1"/>
  <c r="E19622" i="1"/>
  <c r="B19622" i="1"/>
  <c r="E19623" i="1"/>
  <c r="B19623" i="1"/>
  <c r="E19624" i="1"/>
  <c r="B19624" i="1"/>
  <c r="E19625" i="1"/>
  <c r="B19625" i="1"/>
  <c r="E19626" i="1"/>
  <c r="B19626" i="1"/>
  <c r="E19627" i="1"/>
  <c r="B19627" i="1"/>
  <c r="E19628" i="1"/>
  <c r="B19628" i="1"/>
  <c r="E19629" i="1"/>
  <c r="B19629" i="1"/>
  <c r="E19630" i="1"/>
  <c r="B19630" i="1"/>
  <c r="E19631" i="1"/>
  <c r="B19631" i="1"/>
  <c r="E19632" i="1"/>
  <c r="B19632" i="1"/>
  <c r="E19633" i="1"/>
  <c r="B19633" i="1"/>
  <c r="E19634" i="1"/>
  <c r="B19634" i="1"/>
  <c r="E19635" i="1"/>
  <c r="B19635" i="1"/>
  <c r="E19636" i="1"/>
  <c r="B19636" i="1"/>
  <c r="E19637" i="1"/>
  <c r="B19637" i="1"/>
  <c r="E19638" i="1"/>
  <c r="B19638" i="1"/>
  <c r="E19639" i="1"/>
  <c r="B19639" i="1"/>
  <c r="E19640" i="1"/>
  <c r="B19640" i="1"/>
  <c r="E19641" i="1"/>
  <c r="B19641" i="1"/>
  <c r="E19643" i="1"/>
  <c r="B19643" i="1"/>
  <c r="E19642" i="1"/>
  <c r="B19642" i="1"/>
  <c r="E19644" i="1"/>
  <c r="B19644" i="1"/>
  <c r="E19645" i="1"/>
  <c r="B19645" i="1"/>
  <c r="E19647" i="1"/>
  <c r="B19647" i="1"/>
  <c r="E19646" i="1"/>
  <c r="B19646" i="1"/>
  <c r="E19649" i="1"/>
  <c r="B19649" i="1"/>
  <c r="E19648" i="1"/>
  <c r="B19648" i="1"/>
  <c r="E19650" i="1"/>
  <c r="B19650" i="1"/>
  <c r="E19651" i="1"/>
  <c r="B19651" i="1"/>
  <c r="E19652" i="1"/>
  <c r="B19652" i="1"/>
  <c r="E19653" i="1"/>
  <c r="B19653" i="1"/>
  <c r="E19654" i="1"/>
  <c r="B19654" i="1"/>
  <c r="E19655" i="1"/>
  <c r="B19655" i="1"/>
  <c r="E19656" i="1"/>
  <c r="B19656" i="1"/>
  <c r="E19657" i="1"/>
  <c r="B19657" i="1"/>
  <c r="E19658" i="1"/>
  <c r="B19658" i="1"/>
  <c r="E19659" i="1"/>
  <c r="B19659" i="1"/>
  <c r="E19660" i="1"/>
  <c r="B19660" i="1"/>
  <c r="E19661" i="1"/>
  <c r="B19661" i="1"/>
  <c r="E19662" i="1"/>
  <c r="B19662" i="1"/>
  <c r="E19663" i="1"/>
  <c r="B19663" i="1"/>
  <c r="E19664" i="1"/>
  <c r="B19664" i="1"/>
  <c r="E19665" i="1"/>
  <c r="B19665" i="1"/>
  <c r="E19666" i="1"/>
  <c r="B19666" i="1"/>
  <c r="E19667" i="1"/>
  <c r="B19667" i="1"/>
  <c r="E19668" i="1"/>
  <c r="B19668" i="1"/>
  <c r="E19669" i="1"/>
  <c r="B19669" i="1"/>
  <c r="E19670" i="1"/>
  <c r="B19670" i="1"/>
  <c r="E19671" i="1"/>
  <c r="B19671" i="1"/>
  <c r="E19672" i="1"/>
  <c r="B19672" i="1"/>
  <c r="E19673" i="1"/>
  <c r="B19673" i="1"/>
  <c r="E19674" i="1"/>
  <c r="B19674" i="1"/>
  <c r="E19675" i="1"/>
  <c r="B19675" i="1"/>
  <c r="E19676" i="1"/>
  <c r="B19676" i="1"/>
  <c r="E19677" i="1"/>
  <c r="B19677" i="1"/>
  <c r="E19678" i="1"/>
  <c r="B19678" i="1"/>
  <c r="E19679" i="1"/>
  <c r="B19679" i="1"/>
  <c r="E19680" i="1"/>
  <c r="B19680" i="1"/>
  <c r="E19681" i="1"/>
  <c r="B19681" i="1"/>
  <c r="E19682" i="1"/>
  <c r="B19682" i="1"/>
  <c r="E19683" i="1"/>
  <c r="B19683" i="1"/>
  <c r="E19684" i="1"/>
  <c r="B19684" i="1"/>
  <c r="E19685" i="1"/>
  <c r="B19685" i="1"/>
  <c r="E19686" i="1"/>
  <c r="B19686" i="1"/>
  <c r="E19687" i="1"/>
  <c r="B19687" i="1"/>
  <c r="E19688" i="1"/>
  <c r="B19688" i="1"/>
  <c r="E19689" i="1"/>
  <c r="B19689" i="1"/>
  <c r="E19690" i="1"/>
  <c r="B19690" i="1"/>
  <c r="E19691" i="1"/>
  <c r="B19691" i="1"/>
  <c r="E19692" i="1"/>
  <c r="B19692" i="1"/>
  <c r="E19693" i="1"/>
  <c r="B19693" i="1"/>
  <c r="E19694" i="1"/>
  <c r="B19694" i="1"/>
  <c r="E19695" i="1"/>
  <c r="B19695" i="1"/>
  <c r="E19696" i="1"/>
  <c r="B19696" i="1"/>
  <c r="E19697" i="1"/>
  <c r="B19697" i="1"/>
  <c r="E19698" i="1"/>
  <c r="B19698" i="1"/>
  <c r="E19699" i="1"/>
  <c r="B19699" i="1"/>
  <c r="E19700" i="1"/>
  <c r="B19700" i="1"/>
  <c r="E19701" i="1"/>
  <c r="B19701" i="1"/>
  <c r="E19702" i="1"/>
  <c r="B19702" i="1"/>
  <c r="E19703" i="1"/>
  <c r="B19703" i="1"/>
  <c r="E19704" i="1"/>
  <c r="B19704" i="1"/>
  <c r="E19705" i="1"/>
  <c r="B19705" i="1"/>
  <c r="E19706" i="1"/>
  <c r="B19706" i="1"/>
  <c r="E19707" i="1"/>
  <c r="B19707" i="1"/>
  <c r="E19708" i="1"/>
  <c r="B19708" i="1"/>
  <c r="E19709" i="1"/>
  <c r="B19709" i="1"/>
  <c r="E19710" i="1"/>
  <c r="B19710" i="1"/>
  <c r="E19711" i="1"/>
  <c r="B19711" i="1"/>
  <c r="E19712" i="1"/>
  <c r="B19712" i="1"/>
  <c r="E19713" i="1"/>
  <c r="B19713" i="1"/>
  <c r="E19714" i="1"/>
  <c r="B19714" i="1"/>
  <c r="E19715" i="1"/>
  <c r="B19715" i="1"/>
  <c r="E19716" i="1"/>
  <c r="B19716" i="1"/>
  <c r="E19717" i="1"/>
  <c r="B19717" i="1"/>
  <c r="E19718" i="1"/>
  <c r="B19718" i="1"/>
  <c r="E19719" i="1"/>
  <c r="B19719" i="1"/>
  <c r="E19720" i="1"/>
  <c r="B19720" i="1"/>
  <c r="E19721" i="1"/>
  <c r="B19721" i="1"/>
  <c r="E19722" i="1"/>
  <c r="B19722" i="1"/>
  <c r="E19723" i="1"/>
  <c r="B19723" i="1"/>
  <c r="E19724" i="1"/>
  <c r="B19724" i="1"/>
  <c r="E19725" i="1"/>
  <c r="B19725" i="1"/>
  <c r="E19726" i="1"/>
  <c r="B19726" i="1"/>
  <c r="E19727" i="1"/>
  <c r="B19727" i="1"/>
  <c r="E19728" i="1"/>
  <c r="B19728" i="1"/>
  <c r="E19729" i="1"/>
  <c r="B19729" i="1"/>
  <c r="E19730" i="1"/>
  <c r="B19730" i="1"/>
  <c r="E19731" i="1"/>
  <c r="B19731" i="1"/>
  <c r="E19732" i="1"/>
  <c r="B19732" i="1"/>
  <c r="E19733" i="1"/>
  <c r="B19733" i="1"/>
  <c r="E19734" i="1"/>
  <c r="B19734" i="1"/>
  <c r="E19735" i="1"/>
  <c r="B19735" i="1"/>
  <c r="E19736" i="1"/>
  <c r="B19736" i="1"/>
  <c r="E19737" i="1"/>
  <c r="B19737" i="1"/>
  <c r="E19738" i="1"/>
  <c r="B19738" i="1"/>
  <c r="E19739" i="1"/>
  <c r="B19739" i="1"/>
  <c r="E19740" i="1"/>
  <c r="B19740" i="1"/>
  <c r="E19741" i="1"/>
  <c r="B19741" i="1"/>
  <c r="E19742" i="1"/>
  <c r="B19742" i="1"/>
  <c r="E19743" i="1"/>
  <c r="B19743" i="1"/>
  <c r="E19744" i="1"/>
  <c r="B19744" i="1"/>
  <c r="E19745" i="1"/>
  <c r="B19745" i="1"/>
  <c r="E19746" i="1"/>
  <c r="B19746" i="1"/>
  <c r="E19747" i="1"/>
  <c r="B19747" i="1"/>
  <c r="E19748" i="1"/>
  <c r="B19748" i="1"/>
  <c r="E19749" i="1"/>
  <c r="B19749" i="1"/>
  <c r="E19750" i="1"/>
  <c r="B19750" i="1"/>
  <c r="E19751" i="1"/>
  <c r="B19751" i="1"/>
  <c r="E19752" i="1"/>
  <c r="B19752" i="1"/>
  <c r="E19753" i="1"/>
  <c r="B19753" i="1"/>
  <c r="E19754" i="1"/>
  <c r="B19754" i="1"/>
  <c r="E19755" i="1"/>
  <c r="B19755" i="1"/>
  <c r="E19756" i="1"/>
  <c r="B19756" i="1"/>
  <c r="E19757" i="1"/>
  <c r="B19757" i="1"/>
  <c r="E19758" i="1"/>
  <c r="B19758" i="1"/>
  <c r="E19759" i="1"/>
  <c r="B19759" i="1"/>
  <c r="E19760" i="1"/>
  <c r="B19760" i="1"/>
  <c r="E19762" i="1"/>
  <c r="B19762" i="1"/>
  <c r="E19761" i="1"/>
  <c r="B19761" i="1"/>
  <c r="E19763" i="1"/>
  <c r="B19763" i="1"/>
  <c r="E19764" i="1"/>
  <c r="B19764" i="1"/>
  <c r="E19765" i="1"/>
  <c r="B19765" i="1"/>
  <c r="E19766" i="1"/>
  <c r="B19766" i="1"/>
  <c r="E19767" i="1"/>
  <c r="B19767" i="1"/>
  <c r="E19768" i="1"/>
  <c r="B19768" i="1"/>
  <c r="E19769" i="1"/>
  <c r="B19769" i="1"/>
  <c r="E19770" i="1"/>
  <c r="B19770" i="1"/>
  <c r="E19771" i="1"/>
  <c r="B19771" i="1"/>
  <c r="E19772" i="1"/>
  <c r="B19772" i="1"/>
  <c r="E19773" i="1"/>
  <c r="B19773" i="1"/>
  <c r="E19774" i="1"/>
  <c r="B19774" i="1"/>
  <c r="E19775" i="1"/>
  <c r="B19775" i="1"/>
  <c r="E19776" i="1"/>
  <c r="B19776" i="1"/>
  <c r="E19777" i="1"/>
  <c r="B19777" i="1"/>
  <c r="E19778" i="1"/>
  <c r="B19778" i="1"/>
  <c r="E19779" i="1"/>
  <c r="B19779" i="1"/>
  <c r="E19780" i="1"/>
  <c r="B19780" i="1"/>
  <c r="E19781" i="1"/>
  <c r="B19781" i="1"/>
  <c r="E19782" i="1"/>
  <c r="B19782" i="1"/>
  <c r="E19783" i="1"/>
  <c r="B19783" i="1"/>
  <c r="E19784" i="1"/>
  <c r="B19784" i="1"/>
  <c r="E19785" i="1"/>
  <c r="B19785" i="1"/>
  <c r="E19786" i="1"/>
  <c r="B19786" i="1"/>
  <c r="E19787" i="1"/>
  <c r="B19787" i="1"/>
  <c r="E19788" i="1"/>
  <c r="B19788" i="1"/>
  <c r="E19789" i="1"/>
  <c r="B19789" i="1"/>
  <c r="E19790" i="1"/>
  <c r="B19790" i="1"/>
  <c r="E19791" i="1"/>
  <c r="B19791" i="1"/>
  <c r="E19792" i="1"/>
  <c r="B19792" i="1"/>
  <c r="E19793" i="1"/>
  <c r="B19793" i="1"/>
  <c r="E19794" i="1"/>
  <c r="B19794" i="1"/>
  <c r="E19795" i="1"/>
  <c r="B19795" i="1"/>
  <c r="E19796" i="1"/>
  <c r="B19796" i="1"/>
  <c r="E19797" i="1"/>
  <c r="B19797" i="1"/>
  <c r="E19798" i="1"/>
  <c r="B19798" i="1"/>
  <c r="E19799" i="1"/>
  <c r="B19799" i="1"/>
  <c r="E19800" i="1"/>
  <c r="B19800" i="1"/>
  <c r="E19801" i="1"/>
  <c r="B19801" i="1"/>
  <c r="E19802" i="1"/>
  <c r="B19802" i="1"/>
  <c r="E19803" i="1"/>
  <c r="B19803" i="1"/>
  <c r="E19804" i="1"/>
  <c r="B19804" i="1"/>
  <c r="E19805" i="1"/>
  <c r="B19805" i="1"/>
  <c r="E19806" i="1"/>
  <c r="B19806" i="1"/>
  <c r="E19807" i="1"/>
  <c r="B19807" i="1"/>
  <c r="E19808" i="1"/>
  <c r="B19808" i="1"/>
  <c r="E19809" i="1"/>
  <c r="B19809" i="1"/>
  <c r="E19810" i="1"/>
  <c r="B19810" i="1"/>
  <c r="E19811" i="1"/>
  <c r="B19811" i="1"/>
  <c r="E19812" i="1"/>
  <c r="B19812" i="1"/>
  <c r="E19813" i="1"/>
  <c r="B19813" i="1"/>
  <c r="E19814" i="1"/>
  <c r="B19814" i="1"/>
  <c r="E19815" i="1"/>
  <c r="B19815" i="1"/>
  <c r="E19816" i="1"/>
  <c r="B19816" i="1"/>
  <c r="E19817" i="1"/>
  <c r="B19817" i="1"/>
  <c r="E19818" i="1"/>
  <c r="B19818" i="1"/>
  <c r="E19819" i="1"/>
  <c r="B19819" i="1"/>
  <c r="E19820" i="1"/>
  <c r="B19820" i="1"/>
  <c r="E19821" i="1"/>
  <c r="B19821" i="1"/>
  <c r="E19822" i="1"/>
  <c r="B19822" i="1"/>
  <c r="E19823" i="1"/>
  <c r="B19823" i="1"/>
  <c r="E19824" i="1"/>
  <c r="B19824" i="1"/>
  <c r="E19825" i="1"/>
  <c r="B19825" i="1"/>
  <c r="E19826" i="1"/>
  <c r="B19826" i="1"/>
  <c r="E19827" i="1"/>
  <c r="B19827" i="1"/>
  <c r="E19828" i="1"/>
  <c r="B19828" i="1"/>
  <c r="E19829" i="1"/>
  <c r="B19829" i="1"/>
  <c r="E19830" i="1"/>
  <c r="B19830" i="1"/>
  <c r="E19831" i="1"/>
  <c r="B19831" i="1"/>
  <c r="E19832" i="1"/>
  <c r="B19832" i="1"/>
  <c r="E19833" i="1"/>
  <c r="B19833" i="1"/>
  <c r="E19834" i="1"/>
  <c r="B19834" i="1"/>
  <c r="E19835" i="1"/>
  <c r="B19835" i="1"/>
  <c r="E19836" i="1"/>
  <c r="B19836" i="1"/>
  <c r="E19837" i="1"/>
  <c r="B19837" i="1"/>
  <c r="E19838" i="1"/>
  <c r="B19838" i="1"/>
  <c r="E19839" i="1"/>
  <c r="B19839" i="1"/>
  <c r="E19840" i="1"/>
  <c r="B19840" i="1"/>
  <c r="E19841" i="1"/>
  <c r="B19841" i="1"/>
  <c r="E19842" i="1"/>
  <c r="B19842" i="1"/>
  <c r="E19843" i="1"/>
  <c r="B19843" i="1"/>
  <c r="E19844" i="1"/>
  <c r="B19844" i="1"/>
  <c r="E19845" i="1"/>
  <c r="B19845" i="1"/>
  <c r="E19846" i="1"/>
  <c r="B19846" i="1"/>
  <c r="E19847" i="1"/>
  <c r="B19847" i="1"/>
  <c r="E19848" i="1"/>
  <c r="B19848" i="1"/>
  <c r="E19849" i="1"/>
  <c r="B19849" i="1"/>
  <c r="E19850" i="1"/>
  <c r="B19850" i="1"/>
  <c r="E19851" i="1"/>
  <c r="B19851" i="1"/>
  <c r="E19852" i="1"/>
  <c r="B19852" i="1"/>
  <c r="E19853" i="1"/>
  <c r="B19853" i="1"/>
  <c r="E19854" i="1"/>
  <c r="B19854" i="1"/>
  <c r="E19855" i="1"/>
  <c r="B19855" i="1"/>
  <c r="E19856" i="1"/>
  <c r="B19856" i="1"/>
  <c r="E19857" i="1"/>
  <c r="B19857" i="1"/>
  <c r="E19858" i="1"/>
  <c r="B19858" i="1"/>
  <c r="E19859" i="1"/>
  <c r="B19859" i="1"/>
  <c r="E19860" i="1"/>
  <c r="B19860" i="1"/>
  <c r="E19861" i="1"/>
  <c r="B19861" i="1"/>
  <c r="E19862" i="1"/>
  <c r="B19862" i="1"/>
  <c r="E19863" i="1"/>
  <c r="B19863" i="1"/>
  <c r="E19864" i="1"/>
  <c r="B19864" i="1"/>
  <c r="E19865" i="1"/>
  <c r="B19865" i="1"/>
  <c r="E19866" i="1"/>
  <c r="B19866" i="1"/>
  <c r="E19867" i="1"/>
  <c r="B19867" i="1"/>
  <c r="E19868" i="1"/>
  <c r="B19868" i="1"/>
  <c r="E19869" i="1"/>
  <c r="B19869" i="1"/>
  <c r="E19870" i="1"/>
  <c r="B19870" i="1"/>
  <c r="E19871" i="1"/>
  <c r="B19871" i="1"/>
  <c r="E19872" i="1"/>
  <c r="B19872" i="1"/>
  <c r="E19873" i="1"/>
  <c r="B19873" i="1"/>
  <c r="E19874" i="1"/>
  <c r="B19874" i="1"/>
  <c r="E19875" i="1"/>
  <c r="B19875" i="1"/>
  <c r="E19876" i="1"/>
  <c r="B19876" i="1"/>
  <c r="E19877" i="1"/>
  <c r="B19877" i="1"/>
  <c r="E19878" i="1"/>
  <c r="B19878" i="1"/>
  <c r="E19879" i="1"/>
  <c r="B19879" i="1"/>
  <c r="E19880" i="1"/>
  <c r="B19880" i="1"/>
  <c r="E19881" i="1"/>
  <c r="B19881" i="1"/>
  <c r="E19882" i="1"/>
  <c r="B19882" i="1"/>
  <c r="E19883" i="1"/>
  <c r="B19883" i="1"/>
  <c r="E19884" i="1"/>
  <c r="B19884" i="1"/>
  <c r="E19885" i="1"/>
  <c r="B19885" i="1"/>
  <c r="E19886" i="1"/>
  <c r="B19886" i="1"/>
  <c r="E19887" i="1"/>
  <c r="B19887" i="1"/>
  <c r="E19888" i="1"/>
  <c r="B19888" i="1"/>
  <c r="E19889" i="1"/>
  <c r="B19889" i="1"/>
  <c r="E19890" i="1"/>
  <c r="B19890" i="1"/>
  <c r="E19891" i="1"/>
  <c r="B19891" i="1"/>
  <c r="E19892" i="1"/>
  <c r="B19892" i="1"/>
  <c r="E19893" i="1"/>
  <c r="B19893" i="1"/>
  <c r="E19894" i="1"/>
  <c r="B19894" i="1"/>
  <c r="E19895" i="1"/>
  <c r="B19895" i="1"/>
  <c r="E19896" i="1"/>
  <c r="B19896" i="1"/>
  <c r="E19897" i="1"/>
  <c r="B19897" i="1"/>
  <c r="E19898" i="1"/>
  <c r="B19898" i="1"/>
  <c r="E19899" i="1"/>
  <c r="B19899" i="1"/>
  <c r="E19900" i="1"/>
  <c r="B19900" i="1"/>
  <c r="E19901" i="1"/>
  <c r="B19901" i="1"/>
  <c r="E19902" i="1"/>
  <c r="B19902" i="1"/>
  <c r="E19903" i="1"/>
  <c r="B19903" i="1"/>
  <c r="E19904" i="1"/>
  <c r="B19904" i="1"/>
  <c r="E19905" i="1"/>
  <c r="B19905" i="1"/>
  <c r="E19906" i="1"/>
  <c r="B19906" i="1"/>
  <c r="E19907" i="1"/>
  <c r="B19907" i="1"/>
  <c r="E19908" i="1"/>
  <c r="B19908" i="1"/>
  <c r="E19909" i="1"/>
  <c r="B19909" i="1"/>
  <c r="E19910" i="1"/>
  <c r="B19910" i="1"/>
  <c r="E19911" i="1"/>
  <c r="B19911" i="1"/>
  <c r="E19912" i="1"/>
  <c r="B19912" i="1"/>
  <c r="E19913" i="1"/>
  <c r="B19913" i="1"/>
  <c r="E19914" i="1"/>
  <c r="B19914" i="1"/>
  <c r="E19915" i="1"/>
  <c r="B19915" i="1"/>
  <c r="E19916" i="1"/>
  <c r="B19916" i="1"/>
  <c r="E19917" i="1"/>
  <c r="B19917" i="1"/>
  <c r="E19918" i="1"/>
  <c r="B19918" i="1"/>
  <c r="E19919" i="1"/>
  <c r="B19919" i="1"/>
  <c r="E19920" i="1"/>
  <c r="B19920" i="1"/>
  <c r="E19921" i="1"/>
  <c r="B19921" i="1"/>
  <c r="E19922" i="1"/>
  <c r="B19922" i="1"/>
  <c r="E19923" i="1"/>
  <c r="B19923" i="1"/>
  <c r="E19924" i="1"/>
  <c r="B19924" i="1"/>
  <c r="E19925" i="1"/>
  <c r="B19925" i="1"/>
  <c r="E19926" i="1"/>
  <c r="B19926" i="1"/>
  <c r="E19927" i="1"/>
  <c r="B19927" i="1"/>
  <c r="E19928" i="1"/>
  <c r="B19928" i="1"/>
  <c r="E19929" i="1"/>
  <c r="B19929" i="1"/>
  <c r="E19930" i="1"/>
  <c r="B19930" i="1"/>
  <c r="E19931" i="1"/>
  <c r="B19931" i="1"/>
  <c r="E19932" i="1"/>
  <c r="B19932" i="1"/>
  <c r="E19933" i="1"/>
  <c r="B19933" i="1"/>
  <c r="E19934" i="1"/>
  <c r="B19934" i="1"/>
  <c r="E19935" i="1"/>
  <c r="B19935" i="1"/>
  <c r="E19936" i="1"/>
  <c r="B19936" i="1"/>
  <c r="E19937" i="1"/>
  <c r="B19937" i="1"/>
  <c r="E19938" i="1"/>
  <c r="B19938" i="1"/>
  <c r="E19939" i="1"/>
  <c r="B19939" i="1"/>
  <c r="E19940" i="1"/>
  <c r="B19940" i="1"/>
  <c r="E19941" i="1"/>
  <c r="B19941" i="1"/>
  <c r="E19942" i="1"/>
  <c r="B19942" i="1"/>
  <c r="E19943" i="1"/>
  <c r="B19943" i="1"/>
  <c r="E19944" i="1"/>
  <c r="B19944" i="1"/>
  <c r="E19945" i="1"/>
  <c r="B19945" i="1"/>
  <c r="E19946" i="1"/>
  <c r="B19946" i="1"/>
  <c r="E19947" i="1"/>
  <c r="B19947" i="1"/>
  <c r="E19948" i="1"/>
  <c r="B19948" i="1"/>
  <c r="E19949" i="1"/>
  <c r="B19949" i="1"/>
  <c r="E19950" i="1"/>
  <c r="B19950" i="1"/>
  <c r="E19951" i="1"/>
  <c r="B19951" i="1"/>
  <c r="E19952" i="1"/>
  <c r="B19952" i="1"/>
  <c r="E19953" i="1"/>
  <c r="B19953" i="1"/>
  <c r="E19954" i="1"/>
  <c r="B19954" i="1"/>
  <c r="E19955" i="1"/>
  <c r="B19955" i="1"/>
  <c r="E19956" i="1"/>
  <c r="B19956" i="1"/>
  <c r="E19957" i="1"/>
  <c r="B19957" i="1"/>
  <c r="E19959" i="1"/>
  <c r="B19959" i="1"/>
  <c r="E19958" i="1"/>
  <c r="B19958" i="1"/>
  <c r="E19960" i="1"/>
  <c r="B19960" i="1"/>
  <c r="E19961" i="1"/>
  <c r="B19961" i="1"/>
  <c r="E19962" i="1"/>
  <c r="B19962" i="1"/>
  <c r="E19963" i="1"/>
  <c r="B19963" i="1"/>
  <c r="E19964" i="1"/>
  <c r="B19964" i="1"/>
  <c r="E19965" i="1"/>
  <c r="B19965" i="1"/>
  <c r="E19966" i="1"/>
  <c r="B19966" i="1"/>
  <c r="E19967" i="1"/>
  <c r="B19967" i="1"/>
  <c r="E19968" i="1"/>
  <c r="B19968" i="1"/>
  <c r="E19969" i="1"/>
  <c r="B19969" i="1"/>
  <c r="E19970" i="1"/>
  <c r="B19970" i="1"/>
  <c r="E19971" i="1"/>
  <c r="B19971" i="1"/>
  <c r="E19972" i="1"/>
  <c r="B19972" i="1"/>
  <c r="E19973" i="1"/>
  <c r="B19973" i="1"/>
  <c r="E19974" i="1"/>
  <c r="B19974" i="1"/>
  <c r="E19975" i="1"/>
  <c r="B19975" i="1"/>
  <c r="E19976" i="1"/>
  <c r="B19976" i="1"/>
  <c r="E19977" i="1"/>
  <c r="B19977" i="1"/>
  <c r="E19978" i="1"/>
  <c r="B19978" i="1"/>
  <c r="E19979" i="1"/>
  <c r="B19979" i="1"/>
  <c r="E19980" i="1"/>
  <c r="B19980" i="1"/>
  <c r="E19981" i="1"/>
  <c r="B19981" i="1"/>
  <c r="E19982" i="1"/>
  <c r="B19982" i="1"/>
  <c r="E19983" i="1"/>
  <c r="B19983" i="1"/>
  <c r="E19984" i="1"/>
  <c r="B19984" i="1"/>
  <c r="E19985" i="1"/>
  <c r="B19985" i="1"/>
  <c r="E19986" i="1"/>
  <c r="B19986" i="1"/>
  <c r="E19987" i="1"/>
  <c r="B19987" i="1"/>
  <c r="E19988" i="1"/>
  <c r="B19988" i="1"/>
  <c r="E19989" i="1"/>
  <c r="B19989" i="1"/>
  <c r="E19990" i="1"/>
  <c r="B19990" i="1"/>
  <c r="E19991" i="1"/>
  <c r="B19991" i="1"/>
  <c r="E19992" i="1"/>
  <c r="B19992" i="1"/>
  <c r="E19993" i="1"/>
  <c r="B19993" i="1"/>
  <c r="E19994" i="1"/>
  <c r="B19994" i="1"/>
  <c r="E19995" i="1"/>
  <c r="B19995" i="1"/>
  <c r="E19996" i="1"/>
  <c r="B19996" i="1"/>
  <c r="E19997" i="1"/>
  <c r="B19997" i="1"/>
  <c r="E19998" i="1"/>
  <c r="B19998" i="1"/>
  <c r="E19999" i="1"/>
  <c r="B19999" i="1"/>
  <c r="E20000" i="1"/>
  <c r="B20000" i="1"/>
  <c r="E20001" i="1"/>
  <c r="B20001" i="1"/>
  <c r="E20002" i="1"/>
  <c r="B20002" i="1"/>
  <c r="E20003" i="1"/>
  <c r="B20003" i="1"/>
  <c r="E20004" i="1"/>
  <c r="B20004" i="1"/>
  <c r="E20005" i="1"/>
  <c r="B20005" i="1"/>
  <c r="E20006" i="1"/>
  <c r="B20006" i="1"/>
  <c r="E20007" i="1"/>
  <c r="B20007" i="1"/>
  <c r="E20008" i="1"/>
  <c r="B20008" i="1"/>
  <c r="E20009" i="1"/>
  <c r="B20009" i="1"/>
  <c r="E20010" i="1"/>
  <c r="B20010" i="1"/>
  <c r="E20011" i="1"/>
  <c r="B20011" i="1"/>
  <c r="E20012" i="1"/>
  <c r="B20012" i="1"/>
  <c r="E20013" i="1"/>
  <c r="B20013" i="1"/>
  <c r="E20014" i="1"/>
  <c r="B20014" i="1"/>
  <c r="E20015" i="1"/>
  <c r="B20015" i="1"/>
  <c r="E20016" i="1"/>
  <c r="B20016" i="1"/>
  <c r="E20017" i="1"/>
  <c r="B20017" i="1"/>
  <c r="E20018" i="1"/>
  <c r="B20018" i="1"/>
  <c r="E20019" i="1"/>
  <c r="B20019" i="1"/>
  <c r="E20020" i="1"/>
  <c r="B20020" i="1"/>
  <c r="E20021" i="1"/>
  <c r="B20021" i="1"/>
  <c r="E20022" i="1"/>
  <c r="B20022" i="1"/>
  <c r="E20023" i="1"/>
  <c r="B20023" i="1"/>
  <c r="E20024" i="1"/>
  <c r="B20024" i="1"/>
  <c r="E20025" i="1"/>
  <c r="B20025" i="1"/>
  <c r="E20026" i="1"/>
  <c r="B20026" i="1"/>
  <c r="E20027" i="1"/>
  <c r="B20027" i="1"/>
  <c r="E20028" i="1"/>
  <c r="B20028" i="1"/>
  <c r="E20029" i="1"/>
  <c r="B20029" i="1"/>
  <c r="E20030" i="1"/>
  <c r="B20030" i="1"/>
  <c r="E20031" i="1"/>
  <c r="B20031" i="1"/>
  <c r="E20032" i="1"/>
  <c r="B20032" i="1"/>
  <c r="E20033" i="1"/>
  <c r="B20033" i="1"/>
  <c r="E20034" i="1"/>
  <c r="B20034" i="1"/>
  <c r="E20035" i="1"/>
  <c r="B20035" i="1"/>
  <c r="E20036" i="1"/>
  <c r="B20036" i="1"/>
  <c r="E20037" i="1"/>
  <c r="B20037" i="1"/>
  <c r="E20038" i="1"/>
  <c r="B20038" i="1"/>
  <c r="E20039" i="1"/>
  <c r="B20039" i="1"/>
  <c r="E20040" i="1"/>
  <c r="B20040" i="1"/>
  <c r="E20041" i="1"/>
  <c r="B20041" i="1"/>
  <c r="E20042" i="1"/>
  <c r="B20042" i="1"/>
  <c r="E20043" i="1"/>
  <c r="B20043" i="1"/>
  <c r="E20044" i="1"/>
  <c r="B20044" i="1"/>
  <c r="E20045" i="1"/>
  <c r="B20045" i="1"/>
  <c r="E20046" i="1"/>
  <c r="B20046" i="1"/>
  <c r="E20047" i="1"/>
  <c r="B20047" i="1"/>
  <c r="E20048" i="1"/>
  <c r="B20048" i="1"/>
  <c r="E20049" i="1"/>
  <c r="B20049" i="1"/>
  <c r="E20050" i="1"/>
  <c r="B20050" i="1"/>
  <c r="E20051" i="1"/>
  <c r="B20051" i="1"/>
  <c r="E20052" i="1"/>
  <c r="B20052" i="1"/>
  <c r="E20053" i="1"/>
  <c r="B20053" i="1"/>
  <c r="E20054" i="1"/>
  <c r="B20054" i="1"/>
  <c r="E20055" i="1"/>
  <c r="B20055" i="1"/>
  <c r="E20056" i="1"/>
  <c r="B20056" i="1"/>
  <c r="E20057" i="1"/>
  <c r="B20057" i="1"/>
  <c r="E20058" i="1"/>
  <c r="B20058" i="1"/>
  <c r="E20059" i="1"/>
  <c r="B20059" i="1"/>
  <c r="E20060" i="1"/>
  <c r="B20060" i="1"/>
  <c r="E20061" i="1"/>
  <c r="B20061" i="1"/>
  <c r="E20062" i="1"/>
  <c r="B20062" i="1"/>
  <c r="E20063" i="1"/>
  <c r="B20063" i="1"/>
  <c r="E20064" i="1"/>
  <c r="B20064" i="1"/>
  <c r="E20065" i="1"/>
  <c r="B20065" i="1"/>
  <c r="E20066" i="1"/>
  <c r="B20066" i="1"/>
  <c r="E20067" i="1"/>
  <c r="B20067" i="1"/>
  <c r="E20068" i="1"/>
  <c r="B20068" i="1"/>
  <c r="E20069" i="1"/>
  <c r="B20069" i="1"/>
  <c r="E20070" i="1"/>
  <c r="B20070" i="1"/>
  <c r="E20071" i="1"/>
  <c r="B20071" i="1"/>
  <c r="E20072" i="1"/>
  <c r="B20072" i="1"/>
  <c r="E20073" i="1"/>
  <c r="B20073" i="1"/>
  <c r="E20074" i="1"/>
  <c r="B20074" i="1"/>
  <c r="E20075" i="1"/>
  <c r="B20075" i="1"/>
  <c r="E20076" i="1"/>
  <c r="B20076" i="1"/>
  <c r="E20077" i="1"/>
  <c r="B20077" i="1"/>
  <c r="E20078" i="1"/>
  <c r="B20078" i="1"/>
  <c r="E20079" i="1"/>
  <c r="B20079" i="1"/>
  <c r="E20080" i="1"/>
  <c r="B20080" i="1"/>
  <c r="E20081" i="1"/>
  <c r="B20081" i="1"/>
  <c r="E20082" i="1"/>
  <c r="B20082" i="1"/>
  <c r="E20083" i="1"/>
  <c r="B20083" i="1"/>
  <c r="E20084" i="1"/>
  <c r="B20084" i="1"/>
  <c r="E20085" i="1"/>
  <c r="B20085" i="1"/>
  <c r="E20086" i="1"/>
  <c r="B20086" i="1"/>
  <c r="E20087" i="1"/>
  <c r="B20087" i="1"/>
  <c r="E20088" i="1"/>
  <c r="B20088" i="1"/>
  <c r="E20089" i="1"/>
  <c r="B20089" i="1"/>
  <c r="E20090" i="1"/>
  <c r="B20090" i="1"/>
  <c r="E20091" i="1"/>
  <c r="B20091" i="1"/>
  <c r="E20092" i="1"/>
  <c r="B20092" i="1"/>
  <c r="E20093" i="1"/>
  <c r="B20093" i="1"/>
  <c r="E20094" i="1"/>
  <c r="B20094" i="1"/>
  <c r="E20095" i="1"/>
  <c r="B20095" i="1"/>
  <c r="E20096" i="1"/>
  <c r="B20096" i="1"/>
  <c r="E20097" i="1"/>
  <c r="B20097" i="1"/>
  <c r="E20098" i="1"/>
  <c r="B20098" i="1"/>
  <c r="E20099" i="1"/>
  <c r="B20099" i="1"/>
  <c r="E20100" i="1"/>
  <c r="B20100" i="1"/>
  <c r="E20101" i="1"/>
  <c r="B20101" i="1"/>
  <c r="E20102" i="1"/>
  <c r="B20102" i="1"/>
  <c r="E20103" i="1"/>
  <c r="B20103" i="1"/>
  <c r="E20104" i="1"/>
  <c r="B20104" i="1"/>
  <c r="E20105" i="1"/>
  <c r="B20105" i="1"/>
  <c r="E20106" i="1"/>
  <c r="B20106" i="1"/>
  <c r="E20107" i="1"/>
  <c r="B20107" i="1"/>
  <c r="E20108" i="1"/>
  <c r="B20108" i="1"/>
  <c r="E20109" i="1"/>
  <c r="B20109" i="1"/>
  <c r="E20110" i="1"/>
  <c r="B20110" i="1"/>
  <c r="E20111" i="1"/>
  <c r="B20111" i="1"/>
  <c r="E20112" i="1"/>
  <c r="B20112" i="1"/>
  <c r="E20113" i="1"/>
  <c r="B20113" i="1"/>
  <c r="E20114" i="1"/>
  <c r="B20114" i="1"/>
  <c r="E20115" i="1"/>
  <c r="B20115" i="1"/>
  <c r="E20116" i="1"/>
  <c r="B20116" i="1"/>
  <c r="E20117" i="1"/>
  <c r="B20117" i="1"/>
  <c r="E20118" i="1"/>
  <c r="B20118" i="1"/>
  <c r="E20119" i="1"/>
  <c r="B20119" i="1"/>
  <c r="E20120" i="1"/>
  <c r="B20120" i="1"/>
  <c r="E20121" i="1"/>
  <c r="B20121" i="1"/>
  <c r="E20122" i="1"/>
  <c r="B20122" i="1"/>
  <c r="E20123" i="1"/>
  <c r="B20123" i="1"/>
  <c r="E20124" i="1"/>
  <c r="B20124" i="1"/>
  <c r="E20125" i="1"/>
  <c r="B20125" i="1"/>
  <c r="E20126" i="1"/>
  <c r="B20126" i="1"/>
  <c r="E20127" i="1"/>
  <c r="B20127" i="1"/>
  <c r="E20128" i="1"/>
  <c r="B20128" i="1"/>
  <c r="E20129" i="1"/>
  <c r="B20129" i="1"/>
  <c r="E20130" i="1"/>
  <c r="B20130" i="1"/>
  <c r="E20131" i="1"/>
  <c r="B20131" i="1"/>
  <c r="E20132" i="1"/>
  <c r="B20132" i="1"/>
  <c r="E20133" i="1"/>
  <c r="B20133" i="1"/>
  <c r="E20134" i="1"/>
  <c r="B20134" i="1"/>
  <c r="E20135" i="1"/>
  <c r="B20135" i="1"/>
  <c r="E20136" i="1"/>
  <c r="B20136" i="1"/>
  <c r="E20137" i="1"/>
  <c r="B20137" i="1"/>
  <c r="E20138" i="1"/>
  <c r="B20138" i="1"/>
  <c r="E20139" i="1"/>
  <c r="B20139" i="1"/>
  <c r="E20140" i="1"/>
  <c r="B20140" i="1"/>
  <c r="E20141" i="1"/>
  <c r="B20141" i="1"/>
  <c r="E20142" i="1"/>
  <c r="B20142" i="1"/>
  <c r="E20143" i="1"/>
  <c r="B20143" i="1"/>
  <c r="E20144" i="1"/>
  <c r="B20144" i="1"/>
  <c r="E20145" i="1"/>
  <c r="B20145" i="1"/>
  <c r="E20146" i="1"/>
  <c r="B20146" i="1"/>
  <c r="E20147" i="1"/>
  <c r="B20147" i="1"/>
  <c r="E20148" i="1"/>
  <c r="B20148" i="1"/>
  <c r="E20149" i="1"/>
  <c r="B20149" i="1"/>
  <c r="E20150" i="1"/>
  <c r="B20150" i="1"/>
  <c r="E20151" i="1"/>
  <c r="B20151" i="1"/>
  <c r="E20152" i="1"/>
  <c r="B20152" i="1"/>
  <c r="E20153" i="1"/>
  <c r="B20153" i="1"/>
  <c r="E20154" i="1"/>
  <c r="B20154" i="1"/>
  <c r="E20155" i="1"/>
  <c r="B20155" i="1"/>
  <c r="E20156" i="1"/>
  <c r="B20156" i="1"/>
  <c r="E20157" i="1"/>
  <c r="B20157" i="1"/>
  <c r="E20158" i="1"/>
  <c r="B20158" i="1"/>
  <c r="E20159" i="1"/>
  <c r="B20159" i="1"/>
  <c r="E20160" i="1"/>
  <c r="B20160" i="1"/>
  <c r="E20161" i="1"/>
  <c r="B20161" i="1"/>
  <c r="E20162" i="1"/>
  <c r="B20162" i="1"/>
  <c r="E20163" i="1"/>
  <c r="B20163" i="1"/>
  <c r="E20164" i="1"/>
  <c r="B20164" i="1"/>
  <c r="E20165" i="1"/>
  <c r="B20165" i="1"/>
  <c r="E20166" i="1"/>
  <c r="B20166" i="1"/>
  <c r="E20167" i="1"/>
  <c r="B20167" i="1"/>
  <c r="E20168" i="1"/>
  <c r="B20168" i="1"/>
  <c r="E20169" i="1"/>
  <c r="B20169" i="1"/>
  <c r="E20170" i="1"/>
  <c r="B20170" i="1"/>
  <c r="E20171" i="1"/>
  <c r="B20171" i="1"/>
  <c r="E20172" i="1"/>
  <c r="B20172" i="1"/>
  <c r="E20173" i="1"/>
  <c r="B20173" i="1"/>
  <c r="E20174" i="1"/>
  <c r="B20174" i="1"/>
  <c r="E20176" i="1"/>
  <c r="B20176" i="1"/>
  <c r="E20175" i="1"/>
  <c r="B20175" i="1"/>
  <c r="E20177" i="1"/>
  <c r="B20177" i="1"/>
  <c r="E20178" i="1"/>
  <c r="B20178" i="1"/>
  <c r="E20179" i="1"/>
  <c r="B20179" i="1"/>
  <c r="E20180" i="1"/>
  <c r="B20180" i="1"/>
  <c r="E20181" i="1"/>
  <c r="B20181" i="1"/>
  <c r="E20182" i="1"/>
  <c r="B20182" i="1"/>
  <c r="E20183" i="1"/>
  <c r="B20183" i="1"/>
  <c r="E20184" i="1"/>
  <c r="B20184" i="1"/>
  <c r="E20185" i="1"/>
  <c r="B20185" i="1"/>
  <c r="E20186" i="1"/>
  <c r="B20186" i="1"/>
  <c r="E20187" i="1"/>
  <c r="B20187" i="1"/>
  <c r="E20188" i="1"/>
  <c r="B20188" i="1"/>
  <c r="E20189" i="1"/>
  <c r="B20189" i="1"/>
  <c r="E20190" i="1"/>
  <c r="B20190" i="1"/>
  <c r="E20191" i="1"/>
  <c r="B20191" i="1"/>
  <c r="E20192" i="1"/>
  <c r="B20192" i="1"/>
  <c r="E20193" i="1"/>
  <c r="B20193" i="1"/>
  <c r="E20194" i="1"/>
  <c r="B20194" i="1"/>
  <c r="E20195" i="1"/>
  <c r="B20195" i="1"/>
  <c r="E20196" i="1"/>
  <c r="B20196" i="1"/>
  <c r="E20198" i="1"/>
  <c r="B20198" i="1"/>
  <c r="E20197" i="1"/>
  <c r="B20197" i="1"/>
  <c r="E20199" i="1"/>
  <c r="B20199" i="1"/>
  <c r="E20200" i="1"/>
  <c r="B20200" i="1"/>
  <c r="E20201" i="1"/>
  <c r="B20201" i="1"/>
  <c r="E20202" i="1"/>
  <c r="B20202" i="1"/>
  <c r="E20203" i="1"/>
  <c r="B20203" i="1"/>
  <c r="E20204" i="1"/>
  <c r="B20204" i="1"/>
  <c r="E20205" i="1"/>
  <c r="B20205" i="1"/>
  <c r="E20206" i="1"/>
  <c r="B20206" i="1"/>
  <c r="E20207" i="1"/>
  <c r="B20207" i="1"/>
  <c r="E20208" i="1"/>
  <c r="B20208" i="1"/>
  <c r="E20209" i="1"/>
  <c r="B20209" i="1"/>
  <c r="E20210" i="1"/>
  <c r="B20210" i="1"/>
  <c r="E20211" i="1"/>
  <c r="B20211" i="1"/>
  <c r="E20212" i="1"/>
  <c r="B20212" i="1"/>
  <c r="E20213" i="1"/>
  <c r="B20213" i="1"/>
  <c r="E20214" i="1"/>
  <c r="B20214" i="1"/>
  <c r="E20215" i="1"/>
  <c r="B20215" i="1"/>
  <c r="E20216" i="1"/>
  <c r="B20216" i="1"/>
  <c r="E20218" i="1"/>
  <c r="B20218" i="1"/>
  <c r="E20217" i="1"/>
  <c r="B20217" i="1"/>
  <c r="E20219" i="1"/>
  <c r="B20219" i="1"/>
  <c r="E20220" i="1"/>
  <c r="B20220" i="1"/>
  <c r="E20221" i="1"/>
  <c r="B20221" i="1"/>
  <c r="E20222" i="1"/>
  <c r="B20222" i="1"/>
  <c r="E20223" i="1"/>
  <c r="B20223" i="1"/>
  <c r="E20224" i="1"/>
  <c r="B20224" i="1"/>
  <c r="E20225" i="1"/>
  <c r="B20225" i="1"/>
  <c r="E20226" i="1"/>
  <c r="B20226" i="1"/>
  <c r="E20227" i="1"/>
  <c r="B20227" i="1"/>
  <c r="E20228" i="1"/>
  <c r="B20228" i="1"/>
  <c r="E20229" i="1"/>
  <c r="B20229" i="1"/>
  <c r="E20230" i="1"/>
  <c r="B20230" i="1"/>
  <c r="E20231" i="1"/>
  <c r="B20231" i="1"/>
  <c r="E20232" i="1"/>
  <c r="B20232" i="1"/>
  <c r="E20233" i="1"/>
  <c r="B20233" i="1"/>
  <c r="E20234" i="1"/>
  <c r="B20234" i="1"/>
  <c r="E20235" i="1"/>
  <c r="B20235" i="1"/>
  <c r="E20236" i="1"/>
  <c r="B20236" i="1"/>
  <c r="E20237" i="1"/>
  <c r="B20237" i="1"/>
  <c r="E20238" i="1"/>
  <c r="B20238" i="1"/>
  <c r="E20239" i="1"/>
  <c r="B20239" i="1"/>
  <c r="E20240" i="1"/>
  <c r="B20240" i="1"/>
  <c r="E20241" i="1"/>
  <c r="B20241" i="1"/>
  <c r="E20242" i="1"/>
  <c r="B20242" i="1"/>
  <c r="E20243" i="1"/>
  <c r="B20243" i="1"/>
  <c r="E20244" i="1"/>
  <c r="B20244" i="1"/>
  <c r="E20245" i="1"/>
  <c r="B20245" i="1"/>
  <c r="E20246" i="1"/>
  <c r="B20246" i="1"/>
  <c r="E20247" i="1"/>
  <c r="B20247" i="1"/>
  <c r="E20248" i="1"/>
  <c r="B20248" i="1"/>
  <c r="E20249" i="1"/>
  <c r="B20249" i="1"/>
  <c r="E20250" i="1"/>
  <c r="B20250" i="1"/>
  <c r="E20251" i="1"/>
  <c r="B20251" i="1"/>
  <c r="E20252" i="1"/>
  <c r="B20252" i="1"/>
  <c r="E20253" i="1"/>
  <c r="B20253" i="1"/>
  <c r="E20254" i="1"/>
  <c r="B20254" i="1"/>
  <c r="E20255" i="1"/>
  <c r="B20255" i="1"/>
  <c r="E20256" i="1"/>
  <c r="B20256" i="1"/>
  <c r="E20257" i="1"/>
  <c r="B20257" i="1"/>
  <c r="E20258" i="1"/>
  <c r="B20258" i="1"/>
  <c r="E20259" i="1"/>
  <c r="B20259" i="1"/>
  <c r="E20260" i="1"/>
  <c r="B20260" i="1"/>
  <c r="E20261" i="1"/>
  <c r="B20261" i="1"/>
  <c r="E20262" i="1"/>
  <c r="B20262" i="1"/>
  <c r="E20263" i="1"/>
  <c r="B20263" i="1"/>
  <c r="E20264" i="1"/>
  <c r="B20264" i="1"/>
  <c r="E20265" i="1"/>
  <c r="B20265" i="1"/>
  <c r="E20266" i="1"/>
  <c r="B20266" i="1"/>
  <c r="E20267" i="1"/>
  <c r="B20267" i="1"/>
  <c r="E20268" i="1"/>
  <c r="B20268" i="1"/>
  <c r="E20269" i="1"/>
  <c r="B20269" i="1"/>
  <c r="E20270" i="1"/>
  <c r="B20270" i="1"/>
  <c r="E20271" i="1"/>
  <c r="B20271" i="1"/>
  <c r="E20272" i="1"/>
  <c r="B20272" i="1"/>
  <c r="E20273" i="1"/>
  <c r="B20273" i="1"/>
  <c r="E20274" i="1"/>
  <c r="B20274" i="1"/>
  <c r="E20275" i="1"/>
  <c r="B20275" i="1"/>
  <c r="E20276" i="1"/>
  <c r="B20276" i="1"/>
  <c r="E20277" i="1"/>
  <c r="B20277" i="1"/>
  <c r="E20278" i="1"/>
  <c r="B20278" i="1"/>
  <c r="E20279" i="1"/>
  <c r="B20279" i="1"/>
  <c r="E20280" i="1"/>
  <c r="B20280" i="1"/>
  <c r="E20281" i="1"/>
  <c r="B20281" i="1"/>
  <c r="E20282" i="1"/>
  <c r="B20282" i="1"/>
  <c r="E20283" i="1"/>
  <c r="B20283" i="1"/>
  <c r="E20284" i="1"/>
  <c r="B20284" i="1"/>
  <c r="E20285" i="1"/>
  <c r="B20285" i="1"/>
  <c r="E20286" i="1"/>
  <c r="B20286" i="1"/>
  <c r="E20287" i="1"/>
  <c r="B20287" i="1"/>
  <c r="E20288" i="1"/>
  <c r="B20288" i="1"/>
  <c r="E20289" i="1"/>
  <c r="B20289" i="1"/>
  <c r="E20290" i="1"/>
  <c r="B20290" i="1"/>
  <c r="E20291" i="1"/>
  <c r="B20291" i="1"/>
  <c r="E20292" i="1"/>
  <c r="B20292" i="1"/>
  <c r="E20293" i="1"/>
  <c r="B20293" i="1"/>
  <c r="E20294" i="1"/>
  <c r="B20294" i="1"/>
  <c r="E20295" i="1"/>
  <c r="B20295" i="1"/>
  <c r="E20296" i="1"/>
  <c r="B20296" i="1"/>
  <c r="E20297" i="1"/>
  <c r="B20297" i="1"/>
  <c r="E20298" i="1"/>
  <c r="B20298" i="1"/>
  <c r="E20299" i="1"/>
  <c r="B20299" i="1"/>
  <c r="E20300" i="1"/>
  <c r="B20300" i="1"/>
  <c r="E20301" i="1"/>
  <c r="B20301" i="1"/>
  <c r="E20302" i="1"/>
  <c r="B20302" i="1"/>
  <c r="E20303" i="1"/>
  <c r="B20303" i="1"/>
  <c r="E20304" i="1"/>
  <c r="B20304" i="1"/>
  <c r="E20305" i="1"/>
  <c r="B20305" i="1"/>
  <c r="E20306" i="1"/>
  <c r="B20306" i="1"/>
  <c r="E20307" i="1"/>
  <c r="B20307" i="1"/>
  <c r="E20308" i="1"/>
  <c r="B20308" i="1"/>
  <c r="E20310" i="1"/>
  <c r="B20310" i="1"/>
  <c r="E20309" i="1"/>
  <c r="B20309" i="1"/>
  <c r="E20311" i="1"/>
  <c r="B20311" i="1"/>
  <c r="E20312" i="1"/>
  <c r="B20312" i="1"/>
  <c r="E20313" i="1"/>
  <c r="B20313" i="1"/>
  <c r="E20314" i="1"/>
  <c r="B20314" i="1"/>
  <c r="E20315" i="1"/>
  <c r="B20315" i="1"/>
  <c r="E20316" i="1"/>
  <c r="B20316" i="1"/>
  <c r="E20317" i="1"/>
  <c r="B20317" i="1"/>
  <c r="E20318" i="1"/>
  <c r="B20318" i="1"/>
  <c r="E20319" i="1"/>
  <c r="B20319" i="1"/>
  <c r="E20320" i="1"/>
  <c r="B20320" i="1"/>
  <c r="E20321" i="1"/>
  <c r="B20321" i="1"/>
  <c r="E20322" i="1"/>
  <c r="B20322" i="1"/>
  <c r="E20323" i="1"/>
  <c r="B20323" i="1"/>
  <c r="E20325" i="1"/>
  <c r="B20325" i="1"/>
  <c r="E20324" i="1"/>
  <c r="B20324" i="1"/>
  <c r="E20326" i="1"/>
  <c r="B20326" i="1"/>
  <c r="E20327" i="1"/>
  <c r="B20327" i="1"/>
  <c r="E20328" i="1"/>
  <c r="B20328" i="1"/>
  <c r="E20329" i="1"/>
  <c r="B20329" i="1"/>
  <c r="E20330" i="1"/>
  <c r="B20330" i="1"/>
  <c r="E20331" i="1"/>
  <c r="B20331" i="1"/>
  <c r="E20332" i="1"/>
  <c r="B20332" i="1"/>
  <c r="E20333" i="1"/>
  <c r="B20333" i="1"/>
  <c r="E20334" i="1"/>
  <c r="B20334" i="1"/>
  <c r="E20335" i="1"/>
  <c r="B20335" i="1"/>
  <c r="E20336" i="1"/>
  <c r="B20336" i="1"/>
  <c r="E20337" i="1"/>
  <c r="B20337" i="1"/>
  <c r="E20338" i="1"/>
  <c r="B20338" i="1"/>
  <c r="E20339" i="1"/>
  <c r="B20339" i="1"/>
  <c r="E20340" i="1"/>
  <c r="B20340" i="1"/>
  <c r="E20341" i="1"/>
  <c r="B20341" i="1"/>
  <c r="E20342" i="1"/>
  <c r="B20342" i="1"/>
  <c r="E20343" i="1"/>
  <c r="B20343" i="1"/>
  <c r="E20344" i="1"/>
  <c r="B20344" i="1"/>
  <c r="E20345" i="1"/>
  <c r="B20345" i="1"/>
  <c r="E20346" i="1"/>
  <c r="B20346" i="1"/>
  <c r="E20347" i="1"/>
  <c r="B20347" i="1"/>
  <c r="E20348" i="1"/>
  <c r="B20348" i="1"/>
  <c r="E20349" i="1"/>
  <c r="B20349" i="1"/>
  <c r="E20350" i="1"/>
  <c r="B20350" i="1"/>
  <c r="E20351" i="1"/>
  <c r="B20351" i="1"/>
  <c r="E20352" i="1"/>
  <c r="B20352" i="1"/>
  <c r="E20353" i="1"/>
  <c r="B20353" i="1"/>
  <c r="E20354" i="1"/>
  <c r="B20354" i="1"/>
  <c r="E20355" i="1"/>
  <c r="B20355" i="1"/>
  <c r="E20356" i="1"/>
  <c r="B20356" i="1"/>
  <c r="E20357" i="1"/>
  <c r="B20357" i="1"/>
  <c r="E20358" i="1"/>
  <c r="B20358" i="1"/>
  <c r="E20359" i="1"/>
  <c r="B20359" i="1"/>
  <c r="E20360" i="1"/>
  <c r="B20360" i="1"/>
  <c r="E20361" i="1"/>
  <c r="B20361" i="1"/>
  <c r="E20362" i="1"/>
  <c r="B20362" i="1"/>
  <c r="E20363" i="1"/>
  <c r="B20363" i="1"/>
  <c r="E20364" i="1"/>
  <c r="B20364" i="1"/>
  <c r="E20365" i="1"/>
  <c r="B20365" i="1"/>
  <c r="E20366" i="1"/>
  <c r="B20366" i="1"/>
  <c r="E20367" i="1"/>
  <c r="B20367" i="1"/>
  <c r="E20368" i="1"/>
  <c r="B20368" i="1"/>
  <c r="E20369" i="1"/>
  <c r="B20369" i="1"/>
  <c r="E20371" i="1"/>
  <c r="B20371" i="1"/>
  <c r="E20370" i="1"/>
  <c r="B20370" i="1"/>
  <c r="E20372" i="1"/>
  <c r="B20372" i="1"/>
  <c r="E20373" i="1"/>
  <c r="B20373" i="1"/>
  <c r="E20374" i="1"/>
  <c r="B20374" i="1"/>
  <c r="E20375" i="1"/>
  <c r="B20375" i="1"/>
  <c r="E20376" i="1"/>
  <c r="B20376" i="1"/>
  <c r="E20377" i="1"/>
  <c r="B20377" i="1"/>
  <c r="E20378" i="1"/>
  <c r="B20378" i="1"/>
  <c r="E20379" i="1"/>
  <c r="B20379" i="1"/>
  <c r="E20380" i="1"/>
  <c r="B20380" i="1"/>
  <c r="E20381" i="1"/>
  <c r="B20381" i="1"/>
  <c r="E20382" i="1"/>
  <c r="B20382" i="1"/>
  <c r="E20383" i="1"/>
  <c r="B20383" i="1"/>
  <c r="E20384" i="1"/>
  <c r="B20384" i="1"/>
  <c r="E20385" i="1"/>
  <c r="B20385" i="1"/>
  <c r="E20386" i="1"/>
  <c r="B20386" i="1"/>
  <c r="E20387" i="1"/>
  <c r="B20387" i="1"/>
  <c r="E20388" i="1"/>
  <c r="B20388" i="1"/>
  <c r="E20389" i="1"/>
  <c r="B20389" i="1"/>
  <c r="E20391" i="1"/>
  <c r="B20391" i="1"/>
  <c r="E20390" i="1"/>
  <c r="B20390" i="1"/>
  <c r="E20392" i="1"/>
  <c r="B20392" i="1"/>
  <c r="E20393" i="1"/>
  <c r="B20393" i="1"/>
  <c r="E20394" i="1"/>
  <c r="B20394" i="1"/>
  <c r="E20395" i="1"/>
  <c r="B20395" i="1"/>
  <c r="E20396" i="1"/>
  <c r="B20396" i="1"/>
  <c r="E20397" i="1"/>
  <c r="B20397" i="1"/>
  <c r="E20398" i="1"/>
  <c r="B20398" i="1"/>
  <c r="E20399" i="1"/>
  <c r="B20399" i="1"/>
  <c r="E20400" i="1"/>
  <c r="B20400" i="1"/>
  <c r="E20401" i="1"/>
  <c r="B20401" i="1"/>
  <c r="E20402" i="1"/>
  <c r="B20402" i="1"/>
  <c r="E20403" i="1"/>
  <c r="B20403" i="1"/>
  <c r="E20404" i="1"/>
  <c r="B20404" i="1"/>
  <c r="E20405" i="1"/>
  <c r="B20405" i="1"/>
  <c r="E20406" i="1"/>
  <c r="B20406" i="1"/>
  <c r="E20407" i="1"/>
  <c r="B20407" i="1"/>
  <c r="E20408" i="1"/>
  <c r="B20408" i="1"/>
  <c r="E20409" i="1"/>
  <c r="B20409" i="1"/>
  <c r="E20410" i="1"/>
  <c r="B20410" i="1"/>
  <c r="E20411" i="1"/>
  <c r="B20411" i="1"/>
  <c r="E20412" i="1"/>
  <c r="B20412" i="1"/>
  <c r="E20413" i="1"/>
  <c r="B20413" i="1"/>
  <c r="E20414" i="1"/>
  <c r="B20414" i="1"/>
  <c r="E20415" i="1"/>
  <c r="B20415" i="1"/>
  <c r="E20416" i="1"/>
  <c r="B20416" i="1"/>
  <c r="E20417" i="1"/>
  <c r="B20417" i="1"/>
  <c r="E20418" i="1"/>
  <c r="B20418" i="1"/>
  <c r="E20419" i="1"/>
  <c r="B20419" i="1"/>
  <c r="E20420" i="1"/>
  <c r="B20420" i="1"/>
  <c r="E20421" i="1"/>
  <c r="B20421" i="1"/>
  <c r="E20422" i="1"/>
  <c r="B20422" i="1"/>
  <c r="E20423" i="1"/>
  <c r="B20423" i="1"/>
  <c r="E20424" i="1"/>
  <c r="B20424" i="1"/>
  <c r="E20425" i="1"/>
  <c r="B20425" i="1"/>
  <c r="E20426" i="1"/>
  <c r="B20426" i="1"/>
  <c r="E20427" i="1"/>
  <c r="B20427" i="1"/>
  <c r="E20428" i="1"/>
  <c r="B20428" i="1"/>
  <c r="E20429" i="1"/>
  <c r="B20429" i="1"/>
  <c r="E20430" i="1"/>
  <c r="B20430" i="1"/>
  <c r="E20431" i="1"/>
  <c r="B20431" i="1"/>
  <c r="E20432" i="1"/>
  <c r="B20432" i="1"/>
  <c r="E20433" i="1"/>
  <c r="B20433" i="1"/>
  <c r="E20434" i="1"/>
  <c r="B20434" i="1"/>
  <c r="E20435" i="1"/>
  <c r="B20435" i="1"/>
  <c r="E20436" i="1"/>
  <c r="B20436" i="1"/>
  <c r="E20437" i="1"/>
  <c r="B20437" i="1"/>
  <c r="E20438" i="1"/>
  <c r="B20438" i="1"/>
  <c r="E20439" i="1"/>
  <c r="B20439" i="1"/>
  <c r="E20440" i="1"/>
  <c r="B20440" i="1"/>
  <c r="E20441" i="1"/>
  <c r="B20441" i="1"/>
  <c r="E20442" i="1"/>
  <c r="B20442" i="1"/>
  <c r="E20443" i="1"/>
  <c r="B20443" i="1"/>
  <c r="E20444" i="1"/>
  <c r="B20444" i="1"/>
  <c r="E20445" i="1"/>
  <c r="B20445" i="1"/>
  <c r="E20446" i="1"/>
  <c r="B20446" i="1"/>
  <c r="E20447" i="1"/>
  <c r="B20447" i="1"/>
  <c r="E20448" i="1"/>
  <c r="B20448" i="1"/>
  <c r="E20449" i="1"/>
  <c r="B20449" i="1"/>
  <c r="E20450" i="1"/>
  <c r="B20450" i="1"/>
  <c r="E20451" i="1"/>
  <c r="B20451" i="1"/>
  <c r="E20452" i="1"/>
  <c r="B20452" i="1"/>
  <c r="E20453" i="1"/>
  <c r="B20453" i="1"/>
  <c r="E20454" i="1"/>
  <c r="B20454" i="1"/>
  <c r="E20455" i="1"/>
  <c r="B20455" i="1"/>
  <c r="E20456" i="1"/>
  <c r="B20456" i="1"/>
  <c r="E20457" i="1"/>
  <c r="B20457" i="1"/>
  <c r="E20458" i="1"/>
  <c r="B20458" i="1"/>
  <c r="E20459" i="1"/>
  <c r="B20459" i="1"/>
  <c r="E20460" i="1"/>
  <c r="B20460" i="1"/>
  <c r="E20462" i="1"/>
  <c r="B20462" i="1"/>
  <c r="E20461" i="1"/>
  <c r="B20461" i="1"/>
  <c r="E20463" i="1"/>
  <c r="B20463" i="1"/>
  <c r="E20464" i="1"/>
  <c r="B20464" i="1"/>
  <c r="E20465" i="1"/>
  <c r="B20465" i="1"/>
  <c r="E20466" i="1"/>
  <c r="B20466" i="1"/>
  <c r="E20467" i="1"/>
  <c r="B20467" i="1"/>
  <c r="E20468" i="1"/>
  <c r="B20468" i="1"/>
  <c r="E20469" i="1"/>
  <c r="B20469" i="1"/>
  <c r="E20470" i="1"/>
  <c r="B20470" i="1"/>
  <c r="E20471" i="1"/>
  <c r="B20471" i="1"/>
  <c r="E20472" i="1"/>
  <c r="B20472" i="1"/>
  <c r="E20473" i="1"/>
  <c r="B20473" i="1"/>
  <c r="E20474" i="1"/>
  <c r="B20474" i="1"/>
  <c r="E20475" i="1"/>
  <c r="B20475" i="1"/>
  <c r="E20476" i="1"/>
  <c r="B20476" i="1"/>
  <c r="E20477" i="1"/>
  <c r="B20477" i="1"/>
  <c r="E20478" i="1"/>
  <c r="B20478" i="1"/>
  <c r="E20479" i="1"/>
  <c r="B20479" i="1"/>
  <c r="E20480" i="1"/>
  <c r="B20480" i="1"/>
  <c r="E20481" i="1"/>
  <c r="B20481" i="1"/>
  <c r="E20482" i="1"/>
  <c r="B20482" i="1"/>
  <c r="E20483" i="1"/>
  <c r="B20483" i="1"/>
  <c r="E20484" i="1"/>
  <c r="B20484" i="1"/>
  <c r="E20485" i="1"/>
  <c r="B20485" i="1"/>
  <c r="E20486" i="1"/>
  <c r="B20486" i="1"/>
  <c r="E20487" i="1"/>
  <c r="B20487" i="1"/>
  <c r="E20488" i="1"/>
  <c r="B20488" i="1"/>
  <c r="E20489" i="1"/>
  <c r="B20489" i="1"/>
  <c r="E20490" i="1"/>
  <c r="B20490" i="1"/>
  <c r="E20491" i="1"/>
  <c r="B20491" i="1"/>
  <c r="E20492" i="1"/>
  <c r="B20492" i="1"/>
  <c r="E20493" i="1"/>
  <c r="B20493" i="1"/>
  <c r="E20494" i="1"/>
  <c r="B20494" i="1"/>
  <c r="E20495" i="1"/>
  <c r="B20495" i="1"/>
  <c r="E20496" i="1"/>
  <c r="B20496" i="1"/>
  <c r="E20497" i="1"/>
  <c r="B20497" i="1"/>
  <c r="E20498" i="1"/>
  <c r="B20498" i="1"/>
  <c r="E20499" i="1"/>
  <c r="B20499" i="1"/>
  <c r="E20501" i="1"/>
  <c r="B20501" i="1"/>
  <c r="E20500" i="1"/>
  <c r="B20500" i="1"/>
  <c r="E20502" i="1"/>
  <c r="B20502" i="1"/>
  <c r="E20503" i="1"/>
  <c r="B20503" i="1"/>
  <c r="E20504" i="1"/>
  <c r="B20504" i="1"/>
  <c r="E20505" i="1"/>
  <c r="B20505" i="1"/>
  <c r="E20506" i="1"/>
  <c r="B20506" i="1"/>
  <c r="E20507" i="1"/>
  <c r="B20507" i="1"/>
  <c r="E20508" i="1"/>
  <c r="B20508" i="1"/>
  <c r="E20509" i="1"/>
  <c r="B20509" i="1"/>
  <c r="E20510" i="1"/>
  <c r="B20510" i="1"/>
  <c r="E20511" i="1"/>
  <c r="B20511" i="1"/>
  <c r="E20512" i="1"/>
  <c r="B20512" i="1"/>
  <c r="E20513" i="1"/>
  <c r="B20513" i="1"/>
  <c r="E20514" i="1"/>
  <c r="B20514" i="1"/>
  <c r="E20515" i="1"/>
  <c r="B20515" i="1"/>
  <c r="E20516" i="1"/>
  <c r="B20516" i="1"/>
  <c r="E20517" i="1"/>
  <c r="B20517" i="1"/>
  <c r="E20518" i="1"/>
  <c r="B20518" i="1"/>
  <c r="E20519" i="1"/>
  <c r="B20519" i="1"/>
  <c r="E20520" i="1"/>
  <c r="B20520" i="1"/>
  <c r="E20521" i="1"/>
  <c r="B20521" i="1"/>
  <c r="E20522" i="1"/>
  <c r="B20522" i="1"/>
  <c r="E20523" i="1"/>
  <c r="B20523" i="1"/>
  <c r="E20524" i="1"/>
  <c r="B20524" i="1"/>
  <c r="E20525" i="1"/>
  <c r="B20525" i="1"/>
  <c r="E20526" i="1"/>
  <c r="B20526" i="1"/>
  <c r="E20527" i="1"/>
  <c r="B20527" i="1"/>
  <c r="E20528" i="1"/>
  <c r="B20528" i="1"/>
  <c r="E20529" i="1"/>
  <c r="B20529" i="1"/>
  <c r="E20530" i="1"/>
  <c r="B20530" i="1"/>
  <c r="E20531" i="1"/>
  <c r="B20531" i="1"/>
  <c r="E20532" i="1"/>
  <c r="B20532" i="1"/>
  <c r="E20533" i="1"/>
  <c r="B20533" i="1"/>
  <c r="E20534" i="1"/>
  <c r="B20534" i="1"/>
  <c r="E20535" i="1"/>
  <c r="B20535" i="1"/>
  <c r="E20536" i="1"/>
  <c r="B20536" i="1"/>
  <c r="E20537" i="1"/>
  <c r="B20537" i="1"/>
  <c r="E20538" i="1"/>
  <c r="B20538" i="1"/>
  <c r="E20539" i="1"/>
  <c r="B20539" i="1"/>
  <c r="E20540" i="1"/>
  <c r="B20540" i="1"/>
  <c r="E20541" i="1"/>
  <c r="B20541" i="1"/>
  <c r="E20542" i="1"/>
  <c r="B20542" i="1"/>
  <c r="E20543" i="1"/>
  <c r="B20543" i="1"/>
  <c r="E20544" i="1"/>
  <c r="B20544" i="1"/>
  <c r="E20545" i="1"/>
  <c r="B20545" i="1"/>
  <c r="E20546" i="1"/>
  <c r="B20546" i="1"/>
  <c r="E20547" i="1"/>
  <c r="B20547" i="1"/>
  <c r="E20548" i="1"/>
  <c r="B20548" i="1"/>
  <c r="E20549" i="1"/>
  <c r="B20549" i="1"/>
  <c r="E20550" i="1"/>
  <c r="B20550" i="1"/>
  <c r="E20551" i="1"/>
  <c r="B20551" i="1"/>
  <c r="E20552" i="1"/>
  <c r="B20552" i="1"/>
  <c r="E20553" i="1"/>
  <c r="B20553" i="1"/>
  <c r="E20554" i="1"/>
  <c r="B20554" i="1"/>
  <c r="E20555" i="1"/>
  <c r="B20555" i="1"/>
  <c r="E20556" i="1"/>
  <c r="B20556" i="1"/>
  <c r="E20557" i="1"/>
  <c r="B20557" i="1"/>
  <c r="E20558" i="1"/>
  <c r="B20558" i="1"/>
  <c r="E20559" i="1"/>
  <c r="B20559" i="1"/>
  <c r="E20560" i="1"/>
  <c r="B20560" i="1"/>
  <c r="E20561" i="1"/>
  <c r="B20561" i="1"/>
  <c r="E20562" i="1"/>
  <c r="B20562" i="1"/>
  <c r="E20563" i="1"/>
  <c r="B20563" i="1"/>
  <c r="E20564" i="1"/>
  <c r="B20564" i="1"/>
  <c r="E20565" i="1"/>
  <c r="B20565" i="1"/>
  <c r="E20566" i="1"/>
  <c r="B20566" i="1"/>
  <c r="E20567" i="1"/>
  <c r="B20567" i="1"/>
  <c r="E20568" i="1"/>
  <c r="B20568" i="1"/>
  <c r="E20569" i="1"/>
  <c r="B20569" i="1"/>
  <c r="E20570" i="1"/>
  <c r="B20570" i="1"/>
  <c r="E20571" i="1"/>
  <c r="B20571" i="1"/>
  <c r="E20572" i="1"/>
  <c r="B20572" i="1"/>
  <c r="E20573" i="1"/>
  <c r="B20573" i="1"/>
  <c r="E20574" i="1"/>
  <c r="B20574" i="1"/>
  <c r="E20575" i="1"/>
  <c r="B20575" i="1"/>
  <c r="E20576" i="1"/>
  <c r="B20576" i="1"/>
  <c r="E20577" i="1"/>
  <c r="B20577" i="1"/>
  <c r="E20578" i="1"/>
  <c r="B20578" i="1"/>
  <c r="E20579" i="1"/>
  <c r="B20579" i="1"/>
  <c r="E20580" i="1"/>
  <c r="B20580" i="1"/>
  <c r="E20581" i="1"/>
  <c r="B20581" i="1"/>
  <c r="E20582" i="1"/>
  <c r="B20582" i="1"/>
  <c r="E20583" i="1"/>
  <c r="B20583" i="1"/>
  <c r="E20584" i="1"/>
  <c r="B20584" i="1"/>
  <c r="E20585" i="1"/>
  <c r="B20585" i="1"/>
  <c r="E20586" i="1"/>
  <c r="B20586" i="1"/>
  <c r="E20587" i="1"/>
  <c r="B20587" i="1"/>
  <c r="E20588" i="1"/>
  <c r="B20588" i="1"/>
  <c r="E20589" i="1"/>
  <c r="B20589" i="1"/>
  <c r="E20590" i="1"/>
  <c r="B20590" i="1"/>
  <c r="E20591" i="1"/>
  <c r="B20591" i="1"/>
  <c r="E20592" i="1"/>
  <c r="B20592" i="1"/>
  <c r="E20593" i="1"/>
  <c r="B20593" i="1"/>
  <c r="E20595" i="1"/>
  <c r="B20595" i="1"/>
  <c r="E20594" i="1"/>
  <c r="B20594" i="1"/>
  <c r="E20596" i="1"/>
  <c r="B20596" i="1"/>
  <c r="E20597" i="1"/>
  <c r="B20597" i="1"/>
  <c r="E20598" i="1"/>
  <c r="B20598" i="1"/>
  <c r="E20599" i="1"/>
  <c r="B20599" i="1"/>
  <c r="E20600" i="1"/>
  <c r="B20600" i="1"/>
  <c r="E20601" i="1"/>
  <c r="B20601" i="1"/>
  <c r="E20602" i="1"/>
  <c r="B20602" i="1"/>
  <c r="E20603" i="1"/>
  <c r="B20603" i="1"/>
  <c r="E20604" i="1"/>
  <c r="B20604" i="1"/>
  <c r="E20605" i="1"/>
  <c r="B20605" i="1"/>
  <c r="E20606" i="1"/>
  <c r="B20606" i="1"/>
  <c r="E20607" i="1"/>
  <c r="B20607" i="1"/>
  <c r="E20608" i="1"/>
  <c r="B20608" i="1"/>
  <c r="E20609" i="1"/>
  <c r="B20609" i="1"/>
  <c r="E20610" i="1"/>
  <c r="B20610" i="1"/>
  <c r="E20611" i="1"/>
  <c r="B20611" i="1"/>
  <c r="E20612" i="1"/>
  <c r="B20612" i="1"/>
  <c r="E20613" i="1"/>
  <c r="B20613" i="1"/>
  <c r="E20614" i="1"/>
  <c r="B20614" i="1"/>
  <c r="E20615" i="1"/>
  <c r="B20615" i="1"/>
  <c r="E20616" i="1"/>
  <c r="B20616" i="1"/>
  <c r="E20617" i="1"/>
  <c r="B20617" i="1"/>
  <c r="E20618" i="1"/>
  <c r="B20618" i="1"/>
  <c r="E20619" i="1"/>
  <c r="B20619" i="1"/>
  <c r="E20621" i="1"/>
  <c r="B20621" i="1"/>
  <c r="E20620" i="1"/>
  <c r="B20620" i="1"/>
  <c r="E20622" i="1"/>
  <c r="B20622" i="1"/>
  <c r="E20623" i="1"/>
  <c r="B20623" i="1"/>
  <c r="E20624" i="1"/>
  <c r="B20624" i="1"/>
  <c r="E20625" i="1"/>
  <c r="B20625" i="1"/>
  <c r="E20626" i="1"/>
  <c r="B20626" i="1"/>
  <c r="E20627" i="1"/>
  <c r="B20627" i="1"/>
  <c r="E20628" i="1"/>
  <c r="B20628" i="1"/>
  <c r="E20629" i="1"/>
  <c r="B20629" i="1"/>
  <c r="E20630" i="1"/>
  <c r="B20630" i="1"/>
  <c r="E20631" i="1"/>
  <c r="B20631" i="1"/>
  <c r="E20632" i="1"/>
  <c r="B20632" i="1"/>
  <c r="E20633" i="1"/>
  <c r="B20633" i="1"/>
  <c r="E20634" i="1"/>
  <c r="B20634" i="1"/>
  <c r="E20635" i="1"/>
  <c r="B20635" i="1"/>
  <c r="E20636" i="1"/>
  <c r="B20636" i="1"/>
  <c r="E20637" i="1"/>
  <c r="B20637" i="1"/>
  <c r="E20638" i="1"/>
  <c r="B20638" i="1"/>
  <c r="E20639" i="1"/>
  <c r="B20639" i="1"/>
  <c r="E20640" i="1"/>
  <c r="B20640" i="1"/>
  <c r="E20641" i="1"/>
  <c r="B20641" i="1"/>
  <c r="E20642" i="1"/>
  <c r="B20642" i="1"/>
  <c r="E20644" i="1"/>
  <c r="B20644" i="1"/>
  <c r="E20643" i="1"/>
  <c r="B20643" i="1"/>
  <c r="E20645" i="1"/>
  <c r="B20645" i="1"/>
  <c r="E20646" i="1"/>
  <c r="B20646" i="1"/>
  <c r="E20647" i="1"/>
  <c r="B20647" i="1"/>
  <c r="E20648" i="1"/>
  <c r="B20648" i="1"/>
  <c r="E20649" i="1"/>
  <c r="B20649" i="1"/>
  <c r="E20650" i="1"/>
  <c r="B20650" i="1"/>
  <c r="E20651" i="1"/>
  <c r="B20651" i="1"/>
  <c r="E20652" i="1"/>
  <c r="B20652" i="1"/>
  <c r="E20653" i="1"/>
  <c r="B20653" i="1"/>
  <c r="E20654" i="1"/>
  <c r="B20654" i="1"/>
  <c r="E20655" i="1"/>
  <c r="B20655" i="1"/>
  <c r="E20656" i="1"/>
  <c r="B20656" i="1"/>
  <c r="E20657" i="1"/>
  <c r="B20657" i="1"/>
  <c r="E20658" i="1"/>
  <c r="B20658" i="1"/>
  <c r="E20659" i="1"/>
  <c r="B20659" i="1"/>
  <c r="E20660" i="1"/>
  <c r="B20660" i="1"/>
  <c r="E20661" i="1"/>
  <c r="B20661" i="1"/>
  <c r="E20662" i="1"/>
  <c r="B20662" i="1"/>
  <c r="E20663" i="1"/>
  <c r="B20663" i="1"/>
  <c r="E20664" i="1"/>
  <c r="B20664" i="1"/>
  <c r="E20665" i="1"/>
  <c r="B20665" i="1"/>
  <c r="E20666" i="1"/>
  <c r="B20666" i="1"/>
  <c r="E20667" i="1"/>
  <c r="B20667" i="1"/>
  <c r="E20668" i="1"/>
  <c r="B20668" i="1"/>
  <c r="E20669" i="1"/>
  <c r="B20669" i="1"/>
  <c r="E20670" i="1"/>
  <c r="B20670" i="1"/>
  <c r="E20671" i="1"/>
  <c r="B20671" i="1"/>
  <c r="E20672" i="1"/>
  <c r="B20672" i="1"/>
  <c r="E20673" i="1"/>
  <c r="B20673" i="1"/>
  <c r="E20674" i="1"/>
  <c r="B20674" i="1"/>
  <c r="E20675" i="1"/>
  <c r="B20675" i="1"/>
  <c r="E20676" i="1"/>
  <c r="B20676" i="1"/>
  <c r="E20677" i="1"/>
  <c r="B20677" i="1"/>
  <c r="E20679" i="1"/>
  <c r="B20679" i="1"/>
  <c r="E20678" i="1"/>
  <c r="B20678" i="1"/>
  <c r="E20680" i="1"/>
  <c r="B20680" i="1"/>
  <c r="E20681" i="1"/>
  <c r="B20681" i="1"/>
  <c r="E20682" i="1"/>
  <c r="B20682" i="1"/>
  <c r="E20683" i="1"/>
  <c r="B20683" i="1"/>
  <c r="E20684" i="1"/>
  <c r="B20684" i="1"/>
  <c r="E20685" i="1"/>
  <c r="B20685" i="1"/>
  <c r="E20686" i="1"/>
  <c r="B20686" i="1"/>
  <c r="E20687" i="1"/>
  <c r="B20687" i="1"/>
  <c r="E20688" i="1"/>
  <c r="B20688" i="1"/>
  <c r="E20689" i="1"/>
  <c r="B20689" i="1"/>
  <c r="E20690" i="1"/>
  <c r="B20690" i="1"/>
  <c r="E20691" i="1"/>
  <c r="B20691" i="1"/>
  <c r="E20692" i="1"/>
  <c r="B20692" i="1"/>
  <c r="E20693" i="1"/>
  <c r="B20693" i="1"/>
  <c r="E20694" i="1"/>
  <c r="B20694" i="1"/>
  <c r="E20695" i="1"/>
  <c r="B20695" i="1"/>
  <c r="E20696" i="1"/>
  <c r="B20696" i="1"/>
  <c r="E20697" i="1"/>
  <c r="B20697" i="1"/>
  <c r="E20698" i="1"/>
  <c r="B20698" i="1"/>
  <c r="E20700" i="1"/>
  <c r="B20700" i="1"/>
  <c r="E20699" i="1"/>
  <c r="B20699" i="1"/>
  <c r="E20701" i="1"/>
  <c r="B20701" i="1"/>
  <c r="E20702" i="1"/>
  <c r="B20702" i="1"/>
  <c r="E20703" i="1"/>
  <c r="B20703" i="1"/>
  <c r="E20704" i="1"/>
  <c r="B20704" i="1"/>
  <c r="E20705" i="1"/>
  <c r="B20705" i="1"/>
  <c r="E20706" i="1"/>
  <c r="B20706" i="1"/>
  <c r="E20707" i="1"/>
  <c r="B20707" i="1"/>
  <c r="E20708" i="1"/>
  <c r="B20708" i="1"/>
  <c r="E20709" i="1"/>
  <c r="B20709" i="1"/>
  <c r="E20710" i="1"/>
  <c r="B20710" i="1"/>
  <c r="E20711" i="1"/>
  <c r="B20711" i="1"/>
  <c r="E20712" i="1"/>
  <c r="B20712" i="1"/>
  <c r="E20713" i="1"/>
  <c r="B20713" i="1"/>
  <c r="E20714" i="1"/>
  <c r="B20714" i="1"/>
  <c r="E20715" i="1"/>
  <c r="B20715" i="1"/>
  <c r="E20716" i="1"/>
  <c r="B20716" i="1"/>
  <c r="E20717" i="1"/>
  <c r="B20717" i="1"/>
  <c r="E20718" i="1"/>
  <c r="B20718" i="1"/>
  <c r="E20719" i="1"/>
  <c r="B20719" i="1"/>
  <c r="E20720" i="1"/>
  <c r="B20720" i="1"/>
  <c r="E20721" i="1"/>
  <c r="B20721" i="1"/>
  <c r="E20722" i="1"/>
  <c r="B20722" i="1"/>
  <c r="E20723" i="1"/>
  <c r="B20723" i="1"/>
  <c r="E20724" i="1"/>
  <c r="B20724" i="1"/>
  <c r="E20725" i="1"/>
  <c r="B20725" i="1"/>
  <c r="E20726" i="1"/>
  <c r="B20726" i="1"/>
  <c r="E20728" i="1"/>
  <c r="B20728" i="1"/>
  <c r="E20727" i="1"/>
  <c r="B20727" i="1"/>
  <c r="E20729" i="1"/>
  <c r="B20729" i="1"/>
  <c r="E20730" i="1"/>
  <c r="B20730" i="1"/>
  <c r="E20731" i="1"/>
  <c r="B20731" i="1"/>
  <c r="E20732" i="1"/>
  <c r="B20732" i="1"/>
  <c r="E20733" i="1"/>
  <c r="B20733" i="1"/>
  <c r="E20734" i="1"/>
  <c r="B20734" i="1"/>
  <c r="E20735" i="1"/>
  <c r="B20735" i="1"/>
  <c r="E20736" i="1"/>
  <c r="B20736" i="1"/>
  <c r="E20737" i="1"/>
  <c r="B20737" i="1"/>
  <c r="E20738" i="1"/>
  <c r="B20738" i="1"/>
  <c r="E20739" i="1"/>
  <c r="B20739" i="1"/>
  <c r="E20740" i="1"/>
  <c r="B20740" i="1"/>
  <c r="E20741" i="1"/>
  <c r="B20741" i="1"/>
  <c r="E20742" i="1"/>
  <c r="B20742" i="1"/>
  <c r="E20743" i="1"/>
  <c r="B20743" i="1"/>
  <c r="E20744" i="1"/>
  <c r="B20744" i="1"/>
  <c r="E20745" i="1"/>
  <c r="B20745" i="1"/>
  <c r="E20746" i="1"/>
  <c r="B20746" i="1"/>
  <c r="E20747" i="1"/>
  <c r="B20747" i="1"/>
  <c r="E20748" i="1"/>
  <c r="B20748" i="1"/>
  <c r="E20749" i="1"/>
  <c r="B20749" i="1"/>
  <c r="E20750" i="1"/>
  <c r="B20750" i="1"/>
  <c r="E20751" i="1"/>
  <c r="B20751" i="1"/>
  <c r="E20752" i="1"/>
  <c r="B20752" i="1"/>
  <c r="E20753" i="1"/>
  <c r="B20753" i="1"/>
  <c r="E20754" i="1"/>
  <c r="B20754" i="1"/>
  <c r="E20755" i="1"/>
  <c r="B20755" i="1"/>
  <c r="E20756" i="1"/>
  <c r="B20756" i="1"/>
  <c r="E20757" i="1"/>
  <c r="B20757" i="1"/>
  <c r="E20758" i="1"/>
  <c r="B20758" i="1"/>
  <c r="E20759" i="1"/>
  <c r="B20759" i="1"/>
  <c r="E20760" i="1"/>
  <c r="B20760" i="1"/>
  <c r="E20761" i="1"/>
  <c r="B20761" i="1"/>
  <c r="E20762" i="1"/>
  <c r="B20762" i="1"/>
  <c r="E20763" i="1"/>
  <c r="B20763" i="1"/>
  <c r="E20764" i="1"/>
  <c r="B20764" i="1"/>
  <c r="E20765" i="1"/>
  <c r="B20765" i="1"/>
  <c r="E20766" i="1"/>
  <c r="B20766" i="1"/>
  <c r="E20767" i="1"/>
  <c r="B20767" i="1"/>
  <c r="E20768" i="1"/>
  <c r="B20768" i="1"/>
  <c r="E20769" i="1"/>
  <c r="B20769" i="1"/>
  <c r="E20770" i="1"/>
  <c r="B20770" i="1"/>
  <c r="E20771" i="1"/>
  <c r="B20771" i="1"/>
  <c r="E20772" i="1"/>
  <c r="B20772" i="1"/>
  <c r="E20773" i="1"/>
  <c r="B20773" i="1"/>
  <c r="E20774" i="1"/>
  <c r="B20774" i="1"/>
  <c r="E20775" i="1"/>
  <c r="B20775" i="1"/>
  <c r="E20776" i="1"/>
  <c r="B20776" i="1"/>
  <c r="E20777" i="1"/>
  <c r="B20777" i="1"/>
  <c r="E20778" i="1"/>
  <c r="B20778" i="1"/>
  <c r="E20779" i="1"/>
  <c r="B20779" i="1"/>
  <c r="E20780" i="1"/>
  <c r="B20780" i="1"/>
  <c r="E20781" i="1"/>
  <c r="B20781" i="1"/>
  <c r="E20782" i="1"/>
  <c r="B20782" i="1"/>
  <c r="E20783" i="1"/>
  <c r="B20783" i="1"/>
  <c r="E20784" i="1"/>
  <c r="B20784" i="1"/>
  <c r="E20785" i="1"/>
  <c r="B20785" i="1"/>
  <c r="E20786" i="1"/>
  <c r="B20786" i="1"/>
  <c r="E20787" i="1"/>
  <c r="B20787" i="1"/>
  <c r="E20788" i="1"/>
  <c r="B20788" i="1"/>
  <c r="E20789" i="1"/>
  <c r="B20789" i="1"/>
  <c r="E20791" i="1"/>
  <c r="B20791" i="1"/>
  <c r="E20790" i="1"/>
  <c r="B20790" i="1"/>
  <c r="E20792" i="1"/>
  <c r="B20792" i="1"/>
  <c r="E20793" i="1"/>
  <c r="B20793" i="1"/>
  <c r="E20794" i="1"/>
  <c r="B20794" i="1"/>
  <c r="E20795" i="1"/>
  <c r="B20795" i="1"/>
  <c r="E20796" i="1"/>
  <c r="B20796" i="1"/>
  <c r="E20797" i="1"/>
  <c r="B20797" i="1"/>
  <c r="E20798" i="1"/>
  <c r="B20798" i="1"/>
  <c r="E20799" i="1"/>
  <c r="B20799" i="1"/>
  <c r="E20800" i="1"/>
  <c r="B20800" i="1"/>
  <c r="E20801" i="1"/>
  <c r="B20801" i="1"/>
  <c r="E20802" i="1"/>
  <c r="B20802" i="1"/>
  <c r="E20803" i="1"/>
  <c r="B20803" i="1"/>
  <c r="E20804" i="1"/>
  <c r="B20804" i="1"/>
  <c r="E20805" i="1"/>
  <c r="B20805" i="1"/>
  <c r="E20806" i="1"/>
  <c r="B20806" i="1"/>
  <c r="E20807" i="1"/>
  <c r="B20807" i="1"/>
  <c r="E20808" i="1"/>
  <c r="B20808" i="1"/>
  <c r="E20809" i="1"/>
  <c r="B20809" i="1"/>
  <c r="E20810" i="1"/>
  <c r="B20810" i="1"/>
  <c r="E20811" i="1"/>
  <c r="B20811" i="1"/>
  <c r="E20812" i="1"/>
  <c r="B20812" i="1"/>
  <c r="E20814" i="1"/>
  <c r="B20814" i="1"/>
  <c r="E20813" i="1"/>
  <c r="B20813" i="1"/>
  <c r="E20815" i="1"/>
  <c r="B20815" i="1"/>
  <c r="E20816" i="1"/>
  <c r="B20816" i="1"/>
  <c r="E20817" i="1"/>
  <c r="B20817" i="1"/>
  <c r="E20818" i="1"/>
  <c r="B20818" i="1"/>
  <c r="E20819" i="1"/>
  <c r="B20819" i="1"/>
  <c r="E20820" i="1"/>
  <c r="B20820" i="1"/>
  <c r="E20821" i="1"/>
  <c r="B20821" i="1"/>
  <c r="E20822" i="1"/>
  <c r="B20822" i="1"/>
  <c r="E20823" i="1"/>
  <c r="B20823" i="1"/>
  <c r="E20824" i="1"/>
  <c r="B20824" i="1"/>
  <c r="E20825" i="1"/>
  <c r="B20825" i="1"/>
  <c r="E20826" i="1"/>
  <c r="B20826" i="1"/>
  <c r="E20827" i="1"/>
  <c r="B20827" i="1"/>
  <c r="E20828" i="1"/>
  <c r="B20828" i="1"/>
  <c r="E20829" i="1"/>
  <c r="B20829" i="1"/>
  <c r="E20830" i="1"/>
  <c r="B20830" i="1"/>
  <c r="E20831" i="1"/>
  <c r="B20831" i="1"/>
  <c r="E20832" i="1"/>
  <c r="B20832" i="1"/>
  <c r="E20833" i="1"/>
  <c r="B20833" i="1"/>
  <c r="E20834" i="1"/>
  <c r="B20834" i="1"/>
  <c r="E20835" i="1"/>
  <c r="B20835" i="1"/>
  <c r="E20836" i="1"/>
  <c r="B20836" i="1"/>
  <c r="E20837" i="1"/>
  <c r="B20837" i="1"/>
  <c r="E20838" i="1"/>
  <c r="B20838" i="1"/>
  <c r="E20839" i="1"/>
  <c r="B20839" i="1"/>
  <c r="E20840" i="1"/>
  <c r="B20840" i="1"/>
  <c r="E20841" i="1"/>
  <c r="B20841" i="1"/>
  <c r="E20842" i="1"/>
  <c r="B20842" i="1"/>
  <c r="E20843" i="1"/>
  <c r="B20843" i="1"/>
  <c r="E20844" i="1"/>
  <c r="B20844" i="1"/>
  <c r="E20845" i="1"/>
  <c r="B20845" i="1"/>
  <c r="E20846" i="1"/>
  <c r="B20846" i="1"/>
  <c r="E20847" i="1"/>
  <c r="B20847" i="1"/>
  <c r="E20848" i="1"/>
  <c r="B20848" i="1"/>
  <c r="E20849" i="1"/>
  <c r="B20849" i="1"/>
  <c r="E20850" i="1"/>
  <c r="B20850" i="1"/>
  <c r="E20851" i="1"/>
  <c r="B20851" i="1"/>
  <c r="E20852" i="1"/>
  <c r="B20852" i="1"/>
  <c r="E20853" i="1"/>
  <c r="B20853" i="1"/>
  <c r="E20854" i="1"/>
  <c r="B20854" i="1"/>
  <c r="E20855" i="1"/>
  <c r="B20855" i="1"/>
  <c r="E20856" i="1"/>
  <c r="B20856" i="1"/>
  <c r="E20857" i="1"/>
  <c r="B20857" i="1"/>
  <c r="E20858" i="1"/>
  <c r="B20858" i="1"/>
  <c r="E20859" i="1"/>
  <c r="B20859" i="1"/>
  <c r="E20860" i="1"/>
  <c r="B20860" i="1"/>
  <c r="E20861" i="1"/>
  <c r="B20861" i="1"/>
  <c r="E20862" i="1"/>
  <c r="B20862" i="1"/>
  <c r="E20863" i="1"/>
  <c r="B20863" i="1"/>
  <c r="E20864" i="1"/>
  <c r="B20864" i="1"/>
  <c r="E20865" i="1"/>
  <c r="B20865" i="1"/>
  <c r="E20866" i="1"/>
  <c r="B20866" i="1"/>
  <c r="E20867" i="1"/>
  <c r="B20867" i="1"/>
  <c r="E20868" i="1"/>
  <c r="B20868" i="1"/>
  <c r="E20869" i="1"/>
  <c r="B20869" i="1"/>
  <c r="E20870" i="1"/>
  <c r="B20870" i="1"/>
  <c r="E20871" i="1"/>
  <c r="B20871" i="1"/>
  <c r="E20872" i="1"/>
  <c r="B20872" i="1"/>
  <c r="E20873" i="1"/>
  <c r="B20873" i="1"/>
  <c r="E20874" i="1"/>
  <c r="B20874" i="1"/>
  <c r="E20875" i="1"/>
  <c r="B20875" i="1"/>
  <c r="E20877" i="1"/>
  <c r="B20877" i="1"/>
  <c r="E20876" i="1"/>
  <c r="B20876" i="1"/>
  <c r="E20878" i="1"/>
  <c r="B20878" i="1"/>
  <c r="E20879" i="1"/>
  <c r="B20879" i="1"/>
  <c r="E20880" i="1"/>
  <c r="B20880" i="1"/>
  <c r="E20881" i="1"/>
  <c r="B20881" i="1"/>
  <c r="E20882" i="1"/>
  <c r="B20882" i="1"/>
  <c r="E20883" i="1"/>
  <c r="B20883" i="1"/>
  <c r="E20884" i="1"/>
  <c r="B20884" i="1"/>
  <c r="E20885" i="1"/>
  <c r="B20885" i="1"/>
  <c r="E20886" i="1"/>
  <c r="B20886" i="1"/>
  <c r="E20887" i="1"/>
  <c r="B20887" i="1"/>
  <c r="E20888" i="1"/>
  <c r="B20888" i="1"/>
  <c r="E20889" i="1"/>
  <c r="B20889" i="1"/>
  <c r="E20890" i="1"/>
  <c r="B20890" i="1"/>
  <c r="E20891" i="1"/>
  <c r="B20891" i="1"/>
  <c r="E20893" i="1"/>
  <c r="B20893" i="1"/>
  <c r="E20892" i="1"/>
  <c r="B20892" i="1"/>
  <c r="E20894" i="1"/>
  <c r="B20894" i="1"/>
  <c r="E20895" i="1"/>
  <c r="B20895" i="1"/>
  <c r="E20896" i="1"/>
  <c r="B20896" i="1"/>
  <c r="E20897" i="1"/>
  <c r="B20897" i="1"/>
  <c r="E20898" i="1"/>
  <c r="B20898" i="1"/>
  <c r="E20899" i="1"/>
  <c r="B20899" i="1"/>
  <c r="E20900" i="1"/>
  <c r="B20900" i="1"/>
  <c r="E20901" i="1"/>
  <c r="B20901" i="1"/>
  <c r="E20902" i="1"/>
  <c r="B20902" i="1"/>
  <c r="E20903" i="1"/>
  <c r="B20903" i="1"/>
  <c r="E20904" i="1"/>
  <c r="B20904" i="1"/>
  <c r="E20905" i="1"/>
  <c r="B20905" i="1"/>
  <c r="E20906" i="1"/>
  <c r="B20906" i="1"/>
  <c r="E20907" i="1"/>
  <c r="B20907" i="1"/>
  <c r="E20908" i="1"/>
  <c r="B20908" i="1"/>
  <c r="E20909" i="1"/>
  <c r="B20909" i="1"/>
  <c r="E20910" i="1"/>
  <c r="B20910" i="1"/>
  <c r="E20911" i="1"/>
  <c r="B20911" i="1"/>
  <c r="E20912" i="1"/>
  <c r="B20912" i="1"/>
  <c r="E20913" i="1"/>
  <c r="B20913" i="1"/>
  <c r="E20914" i="1"/>
  <c r="B20914" i="1"/>
  <c r="E20915" i="1"/>
  <c r="B20915" i="1"/>
  <c r="E20916" i="1"/>
  <c r="B20916" i="1"/>
  <c r="E20917" i="1"/>
  <c r="B20917" i="1"/>
  <c r="E20918" i="1"/>
  <c r="B20918" i="1"/>
  <c r="E20919" i="1"/>
  <c r="B20919" i="1"/>
  <c r="E20920" i="1"/>
  <c r="B20920" i="1"/>
  <c r="E20921" i="1"/>
  <c r="B20921" i="1"/>
  <c r="E20922" i="1"/>
  <c r="B20922" i="1"/>
  <c r="E20923" i="1"/>
  <c r="B20923" i="1"/>
  <c r="E20924" i="1"/>
  <c r="B20924" i="1"/>
  <c r="E20926" i="1"/>
  <c r="B20926" i="1"/>
  <c r="E20925" i="1"/>
  <c r="B20925" i="1"/>
  <c r="E20927" i="1"/>
  <c r="B20927" i="1"/>
  <c r="E20928" i="1"/>
  <c r="B20928" i="1"/>
  <c r="E20930" i="1"/>
  <c r="B20930" i="1"/>
  <c r="E20929" i="1"/>
  <c r="B20929" i="1"/>
  <c r="E20931" i="1"/>
  <c r="B20931" i="1"/>
  <c r="E20932" i="1"/>
  <c r="B20932" i="1"/>
  <c r="E20933" i="1"/>
  <c r="B20933" i="1"/>
  <c r="E20934" i="1"/>
  <c r="B20934" i="1"/>
  <c r="E20935" i="1"/>
  <c r="B20935" i="1"/>
  <c r="E20936" i="1"/>
  <c r="B20936" i="1"/>
  <c r="E20937" i="1"/>
  <c r="B20937" i="1"/>
  <c r="E20938" i="1"/>
  <c r="B20938" i="1"/>
  <c r="E20939" i="1"/>
  <c r="B20939" i="1"/>
  <c r="E20940" i="1"/>
  <c r="B20940" i="1"/>
  <c r="E20941" i="1"/>
  <c r="B20941" i="1"/>
  <c r="E20942" i="1"/>
  <c r="B20942" i="1"/>
  <c r="E20943" i="1"/>
  <c r="B20943" i="1"/>
  <c r="E20944" i="1"/>
  <c r="B20944" i="1"/>
  <c r="E20945" i="1"/>
  <c r="B20945" i="1"/>
  <c r="E20946" i="1"/>
  <c r="B20946" i="1"/>
  <c r="E20947" i="1"/>
  <c r="B20947" i="1"/>
  <c r="E20948" i="1"/>
  <c r="B20948" i="1"/>
  <c r="E20949" i="1"/>
  <c r="B20949" i="1"/>
  <c r="E20950" i="1"/>
  <c r="B20950" i="1"/>
  <c r="E20951" i="1"/>
  <c r="B20951" i="1"/>
  <c r="E20952" i="1"/>
  <c r="B20952" i="1"/>
  <c r="E20953" i="1"/>
  <c r="B20953" i="1"/>
  <c r="E20954" i="1"/>
  <c r="B20954" i="1"/>
  <c r="E20955" i="1"/>
  <c r="B20955" i="1"/>
  <c r="E20956" i="1"/>
  <c r="B20956" i="1"/>
  <c r="E20957" i="1"/>
  <c r="B20957" i="1"/>
  <c r="E20958" i="1"/>
  <c r="B20958" i="1"/>
  <c r="E20959" i="1"/>
  <c r="B20959" i="1"/>
  <c r="E20960" i="1"/>
  <c r="B20960" i="1"/>
  <c r="E20961" i="1"/>
  <c r="B20961" i="1"/>
  <c r="E20962" i="1"/>
  <c r="B20962" i="1"/>
  <c r="E20963" i="1"/>
  <c r="B20963" i="1"/>
  <c r="E20964" i="1"/>
  <c r="B20964" i="1"/>
  <c r="E20965" i="1"/>
  <c r="B20965" i="1"/>
  <c r="E20966" i="1"/>
  <c r="B20966" i="1"/>
  <c r="E20967" i="1"/>
  <c r="B20967" i="1"/>
  <c r="E20968" i="1"/>
  <c r="B20968" i="1"/>
  <c r="E20969" i="1"/>
  <c r="B20969" i="1"/>
  <c r="E20970" i="1"/>
  <c r="B20970" i="1"/>
  <c r="E20971" i="1"/>
  <c r="B20971" i="1"/>
  <c r="E20972" i="1"/>
  <c r="B20972" i="1"/>
  <c r="E20973" i="1"/>
  <c r="B20973" i="1"/>
  <c r="E20974" i="1"/>
  <c r="B20974" i="1"/>
  <c r="E20975" i="1"/>
  <c r="B20975" i="1"/>
  <c r="E20976" i="1"/>
  <c r="B20976" i="1"/>
  <c r="E20977" i="1"/>
  <c r="B20977" i="1"/>
  <c r="E20978" i="1"/>
  <c r="B20978" i="1"/>
  <c r="E20980" i="1"/>
  <c r="B20980" i="1"/>
  <c r="E20979" i="1"/>
  <c r="B20979" i="1"/>
  <c r="E20981" i="1"/>
  <c r="B20981" i="1"/>
  <c r="E20982" i="1"/>
  <c r="B20982" i="1"/>
  <c r="E20983" i="1"/>
  <c r="B20983" i="1"/>
  <c r="E20984" i="1"/>
  <c r="B20984" i="1"/>
  <c r="E20985" i="1"/>
  <c r="B20985" i="1"/>
  <c r="E20986" i="1"/>
  <c r="B20986" i="1"/>
  <c r="E20987" i="1"/>
  <c r="B20987" i="1"/>
  <c r="E20988" i="1"/>
  <c r="B20988" i="1"/>
  <c r="E20989" i="1"/>
  <c r="B20989" i="1"/>
  <c r="E20990" i="1"/>
  <c r="B20990" i="1"/>
  <c r="E20991" i="1"/>
  <c r="B20991" i="1"/>
  <c r="E20992" i="1"/>
  <c r="B20992" i="1"/>
  <c r="E20993" i="1"/>
  <c r="B20993" i="1"/>
  <c r="E20994" i="1"/>
  <c r="B20994" i="1"/>
  <c r="E20995" i="1"/>
  <c r="B20995" i="1"/>
  <c r="E20996" i="1"/>
  <c r="B20996" i="1"/>
  <c r="E20997" i="1"/>
  <c r="B20997" i="1"/>
  <c r="E20999" i="1"/>
  <c r="B20999" i="1"/>
  <c r="E20998" i="1"/>
  <c r="B20998" i="1"/>
  <c r="E21000" i="1"/>
  <c r="B21000" i="1"/>
  <c r="E21001" i="1"/>
  <c r="B21001" i="1"/>
  <c r="E21002" i="1"/>
  <c r="B21002" i="1"/>
  <c r="E21003" i="1"/>
  <c r="B21003" i="1"/>
  <c r="E21004" i="1"/>
  <c r="B21004" i="1"/>
  <c r="E21005" i="1"/>
  <c r="B21005" i="1"/>
  <c r="E21006" i="1"/>
  <c r="B21006" i="1"/>
  <c r="E21007" i="1"/>
  <c r="B21007" i="1"/>
  <c r="E21008" i="1"/>
  <c r="B21008" i="1"/>
  <c r="E21009" i="1"/>
  <c r="B21009" i="1"/>
  <c r="E21010" i="1"/>
  <c r="B21010" i="1"/>
  <c r="E21011" i="1"/>
  <c r="B21011" i="1"/>
  <c r="E21012" i="1"/>
  <c r="B21012" i="1"/>
  <c r="E21013" i="1"/>
  <c r="B21013" i="1"/>
  <c r="E21014" i="1"/>
  <c r="B21014" i="1"/>
  <c r="E21015" i="1"/>
  <c r="B21015" i="1"/>
  <c r="E21016" i="1"/>
  <c r="B21016" i="1"/>
  <c r="E21017" i="1"/>
  <c r="B21017" i="1"/>
  <c r="E21018" i="1"/>
  <c r="B21018" i="1"/>
  <c r="E21019" i="1"/>
  <c r="B21019" i="1"/>
  <c r="E21020" i="1"/>
  <c r="B21020" i="1"/>
  <c r="E21021" i="1"/>
  <c r="B21021" i="1"/>
  <c r="E21022" i="1"/>
  <c r="B21022" i="1"/>
  <c r="E21023" i="1"/>
  <c r="B21023" i="1"/>
  <c r="E21024" i="1"/>
  <c r="B21024" i="1"/>
  <c r="E21025" i="1"/>
  <c r="B21025" i="1"/>
  <c r="E21026" i="1"/>
  <c r="B21026" i="1"/>
  <c r="E21027" i="1"/>
  <c r="B21027" i="1"/>
  <c r="E21028" i="1"/>
  <c r="B21028" i="1"/>
  <c r="E21029" i="1"/>
  <c r="B21029" i="1"/>
  <c r="E21030" i="1"/>
  <c r="B21030" i="1"/>
  <c r="E21031" i="1"/>
  <c r="B21031" i="1"/>
  <c r="E21032" i="1"/>
  <c r="B21032" i="1"/>
  <c r="E21033" i="1"/>
  <c r="B21033" i="1"/>
  <c r="E21034" i="1"/>
  <c r="B21034" i="1"/>
  <c r="E21035" i="1"/>
  <c r="B21035" i="1"/>
  <c r="E21036" i="1"/>
  <c r="B21036" i="1"/>
  <c r="E21037" i="1"/>
  <c r="B21037" i="1"/>
  <c r="E21038" i="1"/>
  <c r="B21038" i="1"/>
  <c r="E21040" i="1"/>
  <c r="B21040" i="1"/>
  <c r="E21039" i="1"/>
  <c r="B21039" i="1"/>
  <c r="E21041" i="1"/>
  <c r="B21041" i="1"/>
  <c r="E21042" i="1"/>
  <c r="B21042" i="1"/>
  <c r="E21043" i="1"/>
  <c r="B21043" i="1"/>
  <c r="E21044" i="1"/>
  <c r="B21044" i="1"/>
  <c r="E21045" i="1"/>
  <c r="B21045" i="1"/>
  <c r="E21046" i="1"/>
  <c r="B21046" i="1"/>
  <c r="E21047" i="1"/>
  <c r="B21047" i="1"/>
  <c r="E21048" i="1"/>
  <c r="B21048" i="1"/>
  <c r="E21049" i="1"/>
  <c r="B21049" i="1"/>
  <c r="E21050" i="1"/>
  <c r="B21050" i="1"/>
  <c r="E21051" i="1"/>
  <c r="B21051" i="1"/>
  <c r="E21052" i="1"/>
  <c r="B21052" i="1"/>
  <c r="E21053" i="1"/>
  <c r="B21053" i="1"/>
  <c r="E21054" i="1"/>
  <c r="B21054" i="1"/>
  <c r="E21055" i="1"/>
  <c r="B21055" i="1"/>
  <c r="E21056" i="1"/>
  <c r="B21056" i="1"/>
  <c r="E21057" i="1"/>
  <c r="B21057" i="1"/>
  <c r="E21058" i="1"/>
  <c r="B21058" i="1"/>
  <c r="E21059" i="1"/>
  <c r="B21059" i="1"/>
  <c r="E21060" i="1"/>
  <c r="B21060" i="1"/>
  <c r="E21061" i="1"/>
  <c r="B21061" i="1"/>
  <c r="E21062" i="1"/>
  <c r="B21062" i="1"/>
  <c r="E21063" i="1"/>
  <c r="B21063" i="1"/>
  <c r="E21064" i="1"/>
  <c r="B21064" i="1"/>
  <c r="E21065" i="1"/>
  <c r="B21065" i="1"/>
  <c r="E21066" i="1"/>
  <c r="B21066" i="1"/>
  <c r="E21067" i="1"/>
  <c r="B21067" i="1"/>
  <c r="E21068" i="1"/>
  <c r="B21068" i="1"/>
  <c r="E21069" i="1"/>
  <c r="B21069" i="1"/>
  <c r="E21070" i="1"/>
  <c r="B21070" i="1"/>
  <c r="E21071" i="1"/>
  <c r="B21071" i="1"/>
  <c r="E21072" i="1"/>
  <c r="B21072" i="1"/>
  <c r="E21073" i="1"/>
  <c r="B21073" i="1"/>
  <c r="E21074" i="1"/>
  <c r="B21074" i="1"/>
  <c r="E21075" i="1"/>
  <c r="B21075" i="1"/>
  <c r="E21076" i="1"/>
  <c r="B21076" i="1"/>
  <c r="E21077" i="1"/>
  <c r="B21077" i="1"/>
  <c r="E21078" i="1"/>
  <c r="B21078" i="1"/>
  <c r="E21079" i="1"/>
  <c r="B21079" i="1"/>
  <c r="E21080" i="1"/>
  <c r="B21080" i="1"/>
  <c r="E21081" i="1"/>
  <c r="B21081" i="1"/>
  <c r="E21082" i="1"/>
  <c r="B21082" i="1"/>
  <c r="E21083" i="1"/>
  <c r="B21083" i="1"/>
  <c r="E21084" i="1"/>
  <c r="B21084" i="1"/>
  <c r="E21085" i="1"/>
  <c r="B21085" i="1"/>
  <c r="E21086" i="1"/>
  <c r="B21086" i="1"/>
  <c r="E21087" i="1"/>
  <c r="B21087" i="1"/>
  <c r="E21088" i="1"/>
  <c r="B21088" i="1"/>
  <c r="E21089" i="1"/>
  <c r="B21089" i="1"/>
  <c r="E21090" i="1"/>
  <c r="B21090" i="1"/>
  <c r="E21091" i="1"/>
  <c r="B21091" i="1"/>
  <c r="E21092" i="1"/>
  <c r="B21092" i="1"/>
  <c r="E21093" i="1"/>
  <c r="B21093" i="1"/>
  <c r="E21094" i="1"/>
  <c r="B21094" i="1"/>
  <c r="E21095" i="1"/>
  <c r="B21095" i="1"/>
  <c r="E21096" i="1"/>
  <c r="B21096" i="1"/>
  <c r="E21097" i="1"/>
  <c r="B21097" i="1"/>
  <c r="E21098" i="1"/>
  <c r="B21098" i="1"/>
  <c r="E21099" i="1"/>
  <c r="B21099" i="1"/>
  <c r="E21100" i="1"/>
  <c r="B21100" i="1"/>
  <c r="E21101" i="1"/>
  <c r="B21101" i="1"/>
  <c r="E21102" i="1"/>
  <c r="B21102" i="1"/>
  <c r="E21103" i="1"/>
  <c r="B21103" i="1"/>
  <c r="E21104" i="1"/>
  <c r="B21104" i="1"/>
  <c r="E21105" i="1"/>
  <c r="B21105" i="1"/>
  <c r="E21106" i="1"/>
  <c r="B21106" i="1"/>
  <c r="E21107" i="1"/>
  <c r="B21107" i="1"/>
  <c r="E21108" i="1"/>
  <c r="B21108" i="1"/>
  <c r="E21109" i="1"/>
  <c r="B21109" i="1"/>
  <c r="E21110" i="1"/>
  <c r="B21110" i="1"/>
  <c r="E21111" i="1"/>
  <c r="B21111" i="1"/>
  <c r="E21112" i="1"/>
  <c r="B21112" i="1"/>
  <c r="E21113" i="1"/>
  <c r="B21113" i="1"/>
  <c r="E21114" i="1"/>
  <c r="B21114" i="1"/>
  <c r="E21115" i="1"/>
  <c r="B21115" i="1"/>
  <c r="E21116" i="1"/>
  <c r="B21116" i="1"/>
  <c r="E21117" i="1"/>
  <c r="B21117" i="1"/>
  <c r="E21118" i="1"/>
  <c r="B21118" i="1"/>
  <c r="E21119" i="1"/>
  <c r="B21119" i="1"/>
  <c r="E21120" i="1"/>
  <c r="B21120" i="1"/>
  <c r="E21121" i="1"/>
  <c r="B21121" i="1"/>
  <c r="E21122" i="1"/>
  <c r="B21122" i="1"/>
  <c r="E21123" i="1"/>
  <c r="B21123" i="1"/>
  <c r="E21124" i="1"/>
  <c r="B21124" i="1"/>
  <c r="E21125" i="1"/>
  <c r="B21125" i="1"/>
  <c r="E21126" i="1"/>
  <c r="B21126" i="1"/>
  <c r="E21127" i="1"/>
  <c r="B21127" i="1"/>
  <c r="E21128" i="1"/>
  <c r="B21128" i="1"/>
  <c r="E21129" i="1"/>
  <c r="B21129" i="1"/>
  <c r="E21130" i="1"/>
  <c r="B21130" i="1"/>
  <c r="E21131" i="1"/>
  <c r="B21131" i="1"/>
  <c r="E21132" i="1"/>
  <c r="B21132" i="1"/>
  <c r="E21133" i="1"/>
  <c r="B21133" i="1"/>
  <c r="E21134" i="1"/>
  <c r="B21134" i="1"/>
  <c r="E21135" i="1"/>
  <c r="B21135" i="1"/>
  <c r="E21136" i="1"/>
  <c r="B21136" i="1"/>
  <c r="E21137" i="1"/>
  <c r="B21137" i="1"/>
  <c r="E21138" i="1"/>
  <c r="B21138" i="1"/>
  <c r="E21139" i="1"/>
  <c r="B21139" i="1"/>
  <c r="E21140" i="1"/>
  <c r="B21140" i="1"/>
  <c r="E21141" i="1"/>
  <c r="B21141" i="1"/>
  <c r="E21142" i="1"/>
  <c r="B21142" i="1"/>
  <c r="E21143" i="1"/>
  <c r="B21143" i="1"/>
  <c r="E21144" i="1"/>
  <c r="B21144" i="1"/>
  <c r="E21145" i="1"/>
  <c r="B21145" i="1"/>
  <c r="E21146" i="1"/>
  <c r="B21146" i="1"/>
  <c r="E21147" i="1"/>
  <c r="B21147" i="1"/>
  <c r="E21148" i="1"/>
  <c r="B21148" i="1"/>
  <c r="E21149" i="1"/>
  <c r="B21149" i="1"/>
  <c r="E21150" i="1"/>
  <c r="B21150" i="1"/>
  <c r="E21151" i="1"/>
  <c r="B21151" i="1"/>
  <c r="E21152" i="1"/>
  <c r="B21152" i="1"/>
  <c r="E21153" i="1"/>
  <c r="B21153" i="1"/>
  <c r="E21154" i="1"/>
  <c r="B21154" i="1"/>
  <c r="E21155" i="1"/>
  <c r="B21155" i="1"/>
  <c r="E21156" i="1"/>
  <c r="B21156" i="1"/>
  <c r="E21157" i="1"/>
  <c r="B21157" i="1"/>
  <c r="E21158" i="1"/>
  <c r="B21158" i="1"/>
  <c r="E21159" i="1"/>
  <c r="B21159" i="1"/>
  <c r="E21160" i="1"/>
  <c r="B21160" i="1"/>
  <c r="E21161" i="1"/>
  <c r="B21161" i="1"/>
  <c r="E21162" i="1"/>
  <c r="B21162" i="1"/>
  <c r="E21163" i="1"/>
  <c r="B21163" i="1"/>
  <c r="E21164" i="1"/>
  <c r="B21164" i="1"/>
  <c r="E21165" i="1"/>
  <c r="B21165" i="1"/>
  <c r="E21166" i="1"/>
  <c r="B21166" i="1"/>
  <c r="E21167" i="1"/>
  <c r="B21167" i="1"/>
  <c r="E21168" i="1"/>
  <c r="B21168" i="1"/>
  <c r="E21169" i="1"/>
  <c r="B21169" i="1"/>
  <c r="E21170" i="1"/>
  <c r="B21170" i="1"/>
  <c r="E21171" i="1"/>
  <c r="B21171" i="1"/>
  <c r="E21172" i="1"/>
  <c r="B21172" i="1"/>
  <c r="E21173" i="1"/>
  <c r="B21173" i="1"/>
  <c r="E21174" i="1"/>
  <c r="B21174" i="1"/>
  <c r="E21175" i="1"/>
  <c r="B21175" i="1"/>
  <c r="E21176" i="1"/>
  <c r="B21176" i="1"/>
  <c r="E21177" i="1"/>
  <c r="B21177" i="1"/>
  <c r="E21178" i="1"/>
  <c r="B21178" i="1"/>
  <c r="E21179" i="1"/>
  <c r="B21179" i="1"/>
  <c r="E21181" i="1"/>
  <c r="B21181" i="1"/>
  <c r="E21180" i="1"/>
  <c r="B21180" i="1"/>
  <c r="E21182" i="1"/>
  <c r="B21182" i="1"/>
  <c r="E21183" i="1"/>
  <c r="B21183" i="1"/>
  <c r="E21184" i="1"/>
  <c r="B21184" i="1"/>
  <c r="E21185" i="1"/>
  <c r="B21185" i="1"/>
  <c r="E21186" i="1"/>
  <c r="B21186" i="1"/>
  <c r="E21187" i="1"/>
  <c r="B21187" i="1"/>
  <c r="E21188" i="1"/>
  <c r="B21188" i="1"/>
  <c r="E21189" i="1"/>
  <c r="B21189" i="1"/>
  <c r="E21190" i="1"/>
  <c r="B21190" i="1"/>
  <c r="E21191" i="1"/>
  <c r="B21191" i="1"/>
  <c r="E21192" i="1"/>
  <c r="B21192" i="1"/>
  <c r="E21193" i="1"/>
  <c r="B21193" i="1"/>
  <c r="E21194" i="1"/>
  <c r="B21194" i="1"/>
  <c r="E21195" i="1"/>
  <c r="B21195" i="1"/>
  <c r="E21196" i="1"/>
  <c r="B21196" i="1"/>
  <c r="E21197" i="1"/>
  <c r="B21197" i="1"/>
  <c r="E21198" i="1"/>
  <c r="B21198" i="1"/>
  <c r="E21199" i="1"/>
  <c r="B21199" i="1"/>
  <c r="E21200" i="1"/>
  <c r="B21200" i="1"/>
  <c r="E21201" i="1"/>
  <c r="B21201" i="1"/>
  <c r="E21202" i="1"/>
  <c r="B21202" i="1"/>
  <c r="E21203" i="1"/>
  <c r="B21203" i="1"/>
  <c r="E21204" i="1"/>
  <c r="B21204" i="1"/>
  <c r="E21205" i="1"/>
  <c r="B21205" i="1"/>
  <c r="E21206" i="1"/>
  <c r="B21206" i="1"/>
  <c r="E21207" i="1"/>
  <c r="B21207" i="1"/>
  <c r="E21208" i="1"/>
  <c r="B21208" i="1"/>
  <c r="E21209" i="1"/>
  <c r="B21209" i="1"/>
  <c r="E21210" i="1"/>
  <c r="B21210" i="1"/>
  <c r="E21211" i="1"/>
  <c r="B21211" i="1"/>
  <c r="E21212" i="1"/>
  <c r="B21212" i="1"/>
  <c r="E21213" i="1"/>
  <c r="B21213" i="1"/>
  <c r="E21214" i="1"/>
  <c r="B21214" i="1"/>
  <c r="E21215" i="1"/>
  <c r="B21215" i="1"/>
  <c r="E21217" i="1"/>
  <c r="B21217" i="1"/>
  <c r="E21216" i="1"/>
  <c r="B21216" i="1"/>
  <c r="E21218" i="1"/>
  <c r="B21218" i="1"/>
  <c r="E21219" i="1"/>
  <c r="B21219" i="1"/>
  <c r="E21220" i="1"/>
  <c r="B21220" i="1"/>
  <c r="E21221" i="1"/>
  <c r="B21221" i="1"/>
  <c r="E21222" i="1"/>
  <c r="B21222" i="1"/>
  <c r="E21223" i="1"/>
  <c r="B21223" i="1"/>
  <c r="E21224" i="1"/>
  <c r="B21224" i="1"/>
  <c r="E21225" i="1"/>
  <c r="B21225" i="1"/>
  <c r="E21226" i="1"/>
  <c r="B21226" i="1"/>
  <c r="E21227" i="1"/>
  <c r="B21227" i="1"/>
  <c r="E21228" i="1"/>
  <c r="B21228" i="1"/>
  <c r="E21229" i="1"/>
  <c r="B21229" i="1"/>
  <c r="E21230" i="1"/>
  <c r="B21230" i="1"/>
  <c r="E21231" i="1"/>
  <c r="B21231" i="1"/>
  <c r="E21232" i="1"/>
  <c r="B21232" i="1"/>
  <c r="E21233" i="1"/>
  <c r="B21233" i="1"/>
  <c r="E21234" i="1"/>
  <c r="B21234" i="1"/>
  <c r="E21235" i="1"/>
  <c r="B21235" i="1"/>
  <c r="E21236" i="1"/>
  <c r="B21236" i="1"/>
  <c r="E21237" i="1"/>
  <c r="B21237" i="1"/>
  <c r="E21238" i="1"/>
  <c r="B21238" i="1"/>
  <c r="E21239" i="1"/>
  <c r="B21239" i="1"/>
  <c r="E21240" i="1"/>
  <c r="B21240" i="1"/>
  <c r="E21241" i="1"/>
  <c r="B21241" i="1"/>
  <c r="E21242" i="1"/>
  <c r="B21242" i="1"/>
  <c r="E21243" i="1"/>
  <c r="B21243" i="1"/>
  <c r="E21244" i="1"/>
  <c r="B21244" i="1"/>
  <c r="E21245" i="1"/>
  <c r="B21245" i="1"/>
  <c r="E21246" i="1"/>
  <c r="B21246" i="1"/>
  <c r="E21247" i="1"/>
  <c r="B21247" i="1"/>
  <c r="E21248" i="1"/>
  <c r="B21248" i="1"/>
  <c r="E21249" i="1"/>
  <c r="B21249" i="1"/>
  <c r="E21250" i="1"/>
  <c r="B21250" i="1"/>
  <c r="E21251" i="1"/>
  <c r="B21251" i="1"/>
  <c r="E21252" i="1"/>
  <c r="B21252" i="1"/>
  <c r="E21253" i="1"/>
  <c r="B21253" i="1"/>
  <c r="E21254" i="1"/>
  <c r="B21254" i="1"/>
  <c r="E21255" i="1"/>
  <c r="B21255" i="1"/>
  <c r="E21256" i="1"/>
  <c r="B21256" i="1"/>
  <c r="E21257" i="1"/>
  <c r="B21257" i="1"/>
  <c r="E21258" i="1"/>
  <c r="B21258" i="1"/>
  <c r="E21259" i="1"/>
  <c r="B21259" i="1"/>
  <c r="E21260" i="1"/>
  <c r="B21260" i="1"/>
  <c r="E21262" i="1"/>
  <c r="B21262" i="1"/>
  <c r="E21261" i="1"/>
  <c r="B21261" i="1"/>
  <c r="E21263" i="1"/>
  <c r="B21263" i="1"/>
  <c r="E21264" i="1"/>
  <c r="B21264" i="1"/>
  <c r="E21265" i="1"/>
  <c r="B21265" i="1"/>
  <c r="E21266" i="1"/>
  <c r="B21266" i="1"/>
  <c r="E21267" i="1"/>
  <c r="B21267" i="1"/>
  <c r="E21268" i="1"/>
  <c r="B21268" i="1"/>
  <c r="E21269" i="1"/>
  <c r="B21269" i="1"/>
  <c r="E21270" i="1"/>
  <c r="B21270" i="1"/>
  <c r="E21271" i="1"/>
  <c r="B21271" i="1"/>
  <c r="E21272" i="1"/>
  <c r="B21272" i="1"/>
  <c r="E21273" i="1"/>
  <c r="B21273" i="1"/>
  <c r="E21274" i="1"/>
  <c r="B21274" i="1"/>
  <c r="E21275" i="1"/>
  <c r="B21275" i="1"/>
  <c r="E21276" i="1"/>
  <c r="B21276" i="1"/>
  <c r="E21277" i="1"/>
  <c r="B21277" i="1"/>
  <c r="E21278" i="1"/>
  <c r="B21278" i="1"/>
  <c r="E21279" i="1"/>
  <c r="B21279" i="1"/>
  <c r="E21280" i="1"/>
  <c r="B21280" i="1"/>
  <c r="E21281" i="1"/>
  <c r="B21281" i="1"/>
  <c r="E21282" i="1"/>
  <c r="B21282" i="1"/>
  <c r="E21283" i="1"/>
  <c r="B21283" i="1"/>
  <c r="E21284" i="1"/>
  <c r="B21284" i="1"/>
  <c r="E21285" i="1"/>
  <c r="B21285" i="1"/>
  <c r="E21286" i="1"/>
  <c r="B21286" i="1"/>
  <c r="E21287" i="1"/>
  <c r="B21287" i="1"/>
  <c r="E21288" i="1"/>
  <c r="B21288" i="1"/>
  <c r="E21289" i="1"/>
  <c r="B21289" i="1"/>
  <c r="E21290" i="1"/>
  <c r="B21290" i="1"/>
  <c r="E21292" i="1"/>
  <c r="B21292" i="1"/>
  <c r="E21291" i="1"/>
  <c r="B21291" i="1"/>
  <c r="E21293" i="1"/>
  <c r="B21293" i="1"/>
  <c r="E21294" i="1"/>
  <c r="B21294" i="1"/>
  <c r="E21295" i="1"/>
  <c r="B21295" i="1"/>
  <c r="E21296" i="1"/>
  <c r="B21296" i="1"/>
  <c r="E21297" i="1"/>
  <c r="B21297" i="1"/>
  <c r="E21298" i="1"/>
  <c r="B21298" i="1"/>
  <c r="E21299" i="1"/>
  <c r="B21299" i="1"/>
  <c r="E21300" i="1"/>
  <c r="B21300" i="1"/>
  <c r="E21301" i="1"/>
  <c r="B21301" i="1"/>
  <c r="E21302" i="1"/>
  <c r="B21302" i="1"/>
  <c r="E21303" i="1"/>
  <c r="B21303" i="1"/>
  <c r="E21304" i="1"/>
  <c r="B21304" i="1"/>
  <c r="E21305" i="1"/>
  <c r="B21305" i="1"/>
  <c r="E21306" i="1"/>
  <c r="B21306" i="1"/>
  <c r="E21307" i="1"/>
  <c r="B21307" i="1"/>
  <c r="E21308" i="1"/>
  <c r="B21308" i="1"/>
  <c r="E21309" i="1"/>
  <c r="B21309" i="1"/>
  <c r="E21310" i="1"/>
  <c r="B21310" i="1"/>
  <c r="E21311" i="1"/>
  <c r="B21311" i="1"/>
  <c r="E21312" i="1"/>
  <c r="B21312" i="1"/>
  <c r="E21313" i="1"/>
  <c r="B21313" i="1"/>
  <c r="E21314" i="1"/>
  <c r="B21314" i="1"/>
  <c r="E21315" i="1"/>
  <c r="B21315" i="1"/>
  <c r="E21316" i="1"/>
  <c r="B21316" i="1"/>
  <c r="E21317" i="1"/>
  <c r="B21317" i="1"/>
  <c r="E21318" i="1"/>
  <c r="B21318" i="1"/>
  <c r="E21319" i="1"/>
  <c r="B21319" i="1"/>
  <c r="E21320" i="1"/>
  <c r="B21320" i="1"/>
  <c r="E21321" i="1"/>
  <c r="B21321" i="1"/>
  <c r="E21323" i="1"/>
  <c r="B21323" i="1"/>
  <c r="E21322" i="1"/>
  <c r="B21322" i="1"/>
  <c r="E21324" i="1"/>
  <c r="B21324" i="1"/>
  <c r="E21325" i="1"/>
  <c r="B21325" i="1"/>
  <c r="E21326" i="1"/>
  <c r="B21326" i="1"/>
  <c r="E21327" i="1"/>
  <c r="B21327" i="1"/>
  <c r="E21328" i="1"/>
  <c r="B21328" i="1"/>
  <c r="E21329" i="1"/>
  <c r="B21329" i="1"/>
  <c r="E21330" i="1"/>
  <c r="B21330" i="1"/>
  <c r="E21331" i="1"/>
  <c r="B21331" i="1"/>
  <c r="E21332" i="1"/>
  <c r="B21332" i="1"/>
  <c r="E21333" i="1"/>
  <c r="B21333" i="1"/>
  <c r="E21334" i="1"/>
  <c r="B21334" i="1"/>
  <c r="E21336" i="1"/>
  <c r="B21336" i="1"/>
  <c r="E21335" i="1"/>
  <c r="B21335" i="1"/>
  <c r="E21337" i="1"/>
  <c r="B21337" i="1"/>
  <c r="E21338" i="1"/>
  <c r="B21338" i="1"/>
  <c r="E21339" i="1"/>
  <c r="B21339" i="1"/>
  <c r="E21340" i="1"/>
  <c r="B21340" i="1"/>
  <c r="E21341" i="1"/>
  <c r="B21341" i="1"/>
  <c r="E21342" i="1"/>
  <c r="B21342" i="1"/>
  <c r="E21343" i="1"/>
  <c r="B21343" i="1"/>
  <c r="E21344" i="1"/>
  <c r="B21344" i="1"/>
  <c r="E21345" i="1"/>
  <c r="B21345" i="1"/>
  <c r="E21346" i="1"/>
  <c r="B21346" i="1"/>
  <c r="E21348" i="1"/>
  <c r="B21348" i="1"/>
  <c r="E21347" i="1"/>
  <c r="B21347" i="1"/>
  <c r="E21349" i="1"/>
  <c r="B21349" i="1"/>
  <c r="E21350" i="1"/>
  <c r="B21350" i="1"/>
  <c r="E21351" i="1"/>
  <c r="B21351" i="1"/>
  <c r="E21352" i="1"/>
  <c r="B21352" i="1"/>
  <c r="E21353" i="1"/>
  <c r="B21353" i="1"/>
  <c r="E21354" i="1"/>
  <c r="B21354" i="1"/>
  <c r="E21355" i="1"/>
  <c r="B21355" i="1"/>
  <c r="E21356" i="1"/>
  <c r="B21356" i="1"/>
  <c r="E21357" i="1"/>
  <c r="B21357" i="1"/>
  <c r="E21358" i="1"/>
  <c r="B21358" i="1"/>
  <c r="E21359" i="1"/>
  <c r="B21359" i="1"/>
  <c r="E21360" i="1"/>
  <c r="B21360" i="1"/>
  <c r="E21361" i="1"/>
  <c r="B21361" i="1"/>
  <c r="E21362" i="1"/>
  <c r="B21362" i="1"/>
  <c r="E21363" i="1"/>
  <c r="B21363" i="1"/>
  <c r="E21364" i="1"/>
  <c r="B21364" i="1"/>
  <c r="E21365" i="1"/>
  <c r="B21365" i="1"/>
  <c r="E21366" i="1"/>
  <c r="B21366" i="1"/>
  <c r="E21367" i="1"/>
  <c r="B21367" i="1"/>
  <c r="E21368" i="1"/>
  <c r="B21368" i="1"/>
  <c r="E21369" i="1"/>
  <c r="B21369" i="1"/>
  <c r="E21370" i="1"/>
  <c r="B21370" i="1"/>
  <c r="E21371" i="1"/>
  <c r="B21371" i="1"/>
  <c r="E21372" i="1"/>
  <c r="B21372" i="1"/>
  <c r="E21373" i="1"/>
  <c r="B21373" i="1"/>
  <c r="E21374" i="1"/>
  <c r="B21374" i="1"/>
  <c r="E21375" i="1"/>
  <c r="B21375" i="1"/>
  <c r="E21376" i="1"/>
  <c r="B21376" i="1"/>
  <c r="E21377" i="1"/>
  <c r="B21377" i="1"/>
  <c r="E21378" i="1"/>
  <c r="B21378" i="1"/>
  <c r="E21379" i="1"/>
  <c r="B21379" i="1"/>
  <c r="E21380" i="1"/>
  <c r="B21380" i="1"/>
  <c r="E21381" i="1"/>
  <c r="B21381" i="1"/>
  <c r="E21382" i="1"/>
  <c r="B21382" i="1"/>
  <c r="E21383" i="1"/>
  <c r="B21383" i="1"/>
  <c r="E21384" i="1"/>
  <c r="B21384" i="1"/>
  <c r="E21385" i="1"/>
  <c r="B21385" i="1"/>
  <c r="E21386" i="1"/>
  <c r="B21386" i="1"/>
  <c r="E21387" i="1"/>
  <c r="B21387" i="1"/>
  <c r="E21388" i="1"/>
  <c r="B21388" i="1"/>
  <c r="E21389" i="1"/>
  <c r="B21389" i="1"/>
  <c r="E21390" i="1"/>
  <c r="B21390" i="1"/>
  <c r="E21391" i="1"/>
  <c r="B21391" i="1"/>
  <c r="E21392" i="1"/>
  <c r="B21392" i="1"/>
  <c r="E21393" i="1"/>
  <c r="B21393" i="1"/>
  <c r="E21394" i="1"/>
  <c r="B21394" i="1"/>
  <c r="E21395" i="1"/>
  <c r="B21395" i="1"/>
  <c r="E21396" i="1"/>
  <c r="B21396" i="1"/>
  <c r="E21397" i="1"/>
  <c r="B21397" i="1"/>
  <c r="E21398" i="1"/>
  <c r="B21398" i="1"/>
  <c r="E21399" i="1"/>
  <c r="B21399" i="1"/>
  <c r="E21400" i="1"/>
  <c r="B21400" i="1"/>
  <c r="E21401" i="1"/>
  <c r="B21401" i="1"/>
  <c r="E21402" i="1"/>
  <c r="B21402" i="1"/>
  <c r="E21403" i="1"/>
  <c r="B21403" i="1"/>
  <c r="E21404" i="1"/>
  <c r="B21404" i="1"/>
  <c r="E21405" i="1"/>
  <c r="B21405" i="1"/>
  <c r="E21406" i="1"/>
  <c r="B21406" i="1"/>
  <c r="E21407" i="1"/>
  <c r="B21407" i="1"/>
  <c r="E21409" i="1"/>
  <c r="B21409" i="1"/>
  <c r="E21408" i="1"/>
  <c r="B21408" i="1"/>
  <c r="E21410" i="1"/>
  <c r="B21410" i="1"/>
  <c r="E21411" i="1"/>
  <c r="B21411" i="1"/>
  <c r="E21412" i="1"/>
  <c r="B21412" i="1"/>
  <c r="E21413" i="1"/>
  <c r="B21413" i="1"/>
  <c r="E21414" i="1"/>
  <c r="B21414" i="1"/>
  <c r="E21415" i="1"/>
  <c r="B21415" i="1"/>
  <c r="E21416" i="1"/>
  <c r="B21416" i="1"/>
  <c r="E21417" i="1"/>
  <c r="B21417" i="1"/>
  <c r="E21418" i="1"/>
  <c r="B21418" i="1"/>
  <c r="E21420" i="1"/>
  <c r="B21420" i="1"/>
  <c r="E21419" i="1"/>
  <c r="B21419" i="1"/>
  <c r="E21421" i="1"/>
  <c r="B21421" i="1"/>
  <c r="E21422" i="1"/>
  <c r="B21422" i="1"/>
  <c r="E21423" i="1"/>
  <c r="B21423" i="1"/>
  <c r="E21424" i="1"/>
  <c r="B21424" i="1"/>
  <c r="E21425" i="1"/>
  <c r="B21425" i="1"/>
  <c r="E21426" i="1"/>
  <c r="B21426" i="1"/>
  <c r="E21427" i="1"/>
  <c r="B21427" i="1"/>
  <c r="E21428" i="1"/>
  <c r="B21428" i="1"/>
  <c r="E21429" i="1"/>
  <c r="B21429" i="1"/>
  <c r="E21430" i="1"/>
  <c r="B21430" i="1"/>
  <c r="E21431" i="1"/>
  <c r="B21431" i="1"/>
  <c r="E21432" i="1"/>
  <c r="B21432" i="1"/>
  <c r="E21433" i="1"/>
  <c r="B21433" i="1"/>
  <c r="E21434" i="1"/>
  <c r="B21434" i="1"/>
  <c r="E21435" i="1"/>
  <c r="B21435" i="1"/>
  <c r="E21436" i="1"/>
  <c r="B21436" i="1"/>
  <c r="E21437" i="1"/>
  <c r="B21437" i="1"/>
  <c r="E21438" i="1"/>
  <c r="B21438" i="1"/>
  <c r="E21439" i="1"/>
  <c r="B21439" i="1"/>
  <c r="E21440" i="1"/>
  <c r="B21440" i="1"/>
  <c r="E21441" i="1"/>
  <c r="B21441" i="1"/>
  <c r="E21442" i="1"/>
  <c r="B21442" i="1"/>
  <c r="E21443" i="1"/>
  <c r="B21443" i="1"/>
  <c r="E21444" i="1"/>
  <c r="B21444" i="1"/>
  <c r="E21445" i="1"/>
  <c r="B21445" i="1"/>
  <c r="E21446" i="1"/>
  <c r="B21446" i="1"/>
  <c r="E21447" i="1"/>
  <c r="B21447" i="1"/>
  <c r="E21448" i="1"/>
  <c r="B21448" i="1"/>
  <c r="E21449" i="1"/>
  <c r="B21449" i="1"/>
  <c r="E21450" i="1"/>
  <c r="B21450" i="1"/>
  <c r="E21451" i="1"/>
  <c r="B21451" i="1"/>
  <c r="E21452" i="1"/>
  <c r="B21452" i="1"/>
  <c r="E21453" i="1"/>
  <c r="B21453" i="1"/>
  <c r="E21454" i="1"/>
  <c r="B21454" i="1"/>
  <c r="E21455" i="1"/>
  <c r="B21455" i="1"/>
  <c r="E21456" i="1"/>
  <c r="B21456" i="1"/>
  <c r="E21457" i="1"/>
  <c r="B21457" i="1"/>
  <c r="E21458" i="1"/>
  <c r="B21458" i="1"/>
  <c r="E21459" i="1"/>
  <c r="B21459" i="1"/>
  <c r="E21460" i="1"/>
  <c r="B21460" i="1"/>
  <c r="E21461" i="1"/>
  <c r="B21461" i="1"/>
  <c r="E21462" i="1"/>
  <c r="B21462" i="1"/>
  <c r="E21463" i="1"/>
  <c r="B21463" i="1"/>
  <c r="E21464" i="1"/>
  <c r="B21464" i="1"/>
  <c r="E21465" i="1"/>
  <c r="B21465" i="1"/>
  <c r="E21466" i="1"/>
  <c r="B21466" i="1"/>
  <c r="E21467" i="1"/>
  <c r="B21467" i="1"/>
  <c r="E21468" i="1"/>
  <c r="B21468" i="1"/>
  <c r="E21469" i="1"/>
  <c r="B21469" i="1"/>
  <c r="E21470" i="1"/>
  <c r="B21470" i="1"/>
  <c r="E21471" i="1"/>
  <c r="B21471" i="1"/>
  <c r="E21472" i="1"/>
  <c r="B21472" i="1"/>
  <c r="E21473" i="1"/>
  <c r="B21473" i="1"/>
  <c r="E21474" i="1"/>
  <c r="B21474" i="1"/>
  <c r="E21475" i="1"/>
  <c r="B21475" i="1"/>
  <c r="E21476" i="1"/>
  <c r="B21476" i="1"/>
  <c r="E21477" i="1"/>
  <c r="B21477" i="1"/>
  <c r="E21478" i="1"/>
  <c r="B21478" i="1"/>
  <c r="E21479" i="1"/>
  <c r="B21479" i="1"/>
  <c r="E21480" i="1"/>
  <c r="B21480" i="1"/>
  <c r="E21481" i="1"/>
  <c r="B21481" i="1"/>
  <c r="E21482" i="1"/>
  <c r="B21482" i="1"/>
  <c r="E21483" i="1"/>
  <c r="B21483" i="1"/>
  <c r="E21484" i="1"/>
  <c r="B21484" i="1"/>
  <c r="E21485" i="1"/>
  <c r="B21485" i="1"/>
  <c r="E21486" i="1"/>
  <c r="B21486" i="1"/>
  <c r="E21487" i="1"/>
  <c r="B21487" i="1"/>
  <c r="E21488" i="1"/>
  <c r="B21488" i="1"/>
  <c r="E21489" i="1"/>
  <c r="B21489" i="1"/>
  <c r="E21490" i="1"/>
  <c r="B21490" i="1"/>
  <c r="E21491" i="1"/>
  <c r="B21491" i="1"/>
  <c r="E21492" i="1"/>
  <c r="B21492" i="1"/>
  <c r="E21493" i="1"/>
  <c r="B21493" i="1"/>
  <c r="E21494" i="1"/>
  <c r="B21494" i="1"/>
  <c r="E21495" i="1"/>
  <c r="B21495" i="1"/>
  <c r="E21496" i="1"/>
  <c r="B21496" i="1"/>
  <c r="E21497" i="1"/>
  <c r="B21497" i="1"/>
  <c r="E21498" i="1"/>
  <c r="B21498" i="1"/>
  <c r="E21499" i="1"/>
  <c r="B21499" i="1"/>
  <c r="E21500" i="1"/>
  <c r="B21500" i="1"/>
  <c r="E21501" i="1"/>
  <c r="B21501" i="1"/>
  <c r="E21502" i="1"/>
  <c r="B21502" i="1"/>
  <c r="E21503" i="1"/>
  <c r="B21503" i="1"/>
  <c r="E21504" i="1"/>
  <c r="B21504" i="1"/>
  <c r="E21505" i="1"/>
  <c r="B21505" i="1"/>
  <c r="E21506" i="1"/>
  <c r="B21506" i="1"/>
  <c r="E21507" i="1"/>
  <c r="B21507" i="1"/>
  <c r="E21508" i="1"/>
  <c r="B21508" i="1"/>
  <c r="E21509" i="1"/>
  <c r="B21509" i="1"/>
  <c r="E21510" i="1"/>
  <c r="B21510" i="1"/>
  <c r="E21511" i="1"/>
  <c r="B21511" i="1"/>
  <c r="E21512" i="1"/>
  <c r="B21512" i="1"/>
  <c r="E21513" i="1"/>
  <c r="B21513" i="1"/>
  <c r="E21514" i="1"/>
  <c r="B21514" i="1"/>
  <c r="E21515" i="1"/>
  <c r="B21515" i="1"/>
  <c r="E21516" i="1"/>
  <c r="B21516" i="1"/>
  <c r="E21517" i="1"/>
  <c r="B21517" i="1"/>
  <c r="E21518" i="1"/>
  <c r="B21518" i="1"/>
  <c r="E21519" i="1"/>
  <c r="B21519" i="1"/>
  <c r="E21520" i="1"/>
  <c r="B21520" i="1"/>
  <c r="E21521" i="1"/>
  <c r="B21521" i="1"/>
  <c r="E21522" i="1"/>
  <c r="B21522" i="1"/>
  <c r="E21523" i="1"/>
  <c r="B21523" i="1"/>
  <c r="E21524" i="1"/>
  <c r="B21524" i="1"/>
  <c r="E21525" i="1"/>
  <c r="B21525" i="1"/>
  <c r="E21526" i="1"/>
  <c r="B21526" i="1"/>
  <c r="E21527" i="1"/>
  <c r="B21527" i="1"/>
  <c r="E21528" i="1"/>
  <c r="B21528" i="1"/>
  <c r="E21529" i="1"/>
  <c r="B21529" i="1"/>
  <c r="E21530" i="1"/>
  <c r="B21530" i="1"/>
  <c r="E21531" i="1"/>
  <c r="B21531" i="1"/>
  <c r="E21532" i="1"/>
  <c r="B21532" i="1"/>
  <c r="E21533" i="1"/>
  <c r="B21533" i="1"/>
  <c r="E21534" i="1"/>
  <c r="B21534" i="1"/>
  <c r="E21535" i="1"/>
  <c r="B21535" i="1"/>
  <c r="E21536" i="1"/>
  <c r="B21536" i="1"/>
  <c r="E21537" i="1"/>
  <c r="B21537" i="1"/>
  <c r="E21538" i="1"/>
  <c r="B21538" i="1"/>
  <c r="E21539" i="1"/>
  <c r="B21539" i="1"/>
  <c r="E21540" i="1"/>
  <c r="B21540" i="1"/>
  <c r="E21541" i="1"/>
  <c r="B21541" i="1"/>
  <c r="E21542" i="1"/>
  <c r="B21542" i="1"/>
  <c r="E21543" i="1"/>
  <c r="B21543" i="1"/>
  <c r="E21544" i="1"/>
  <c r="B21544" i="1"/>
  <c r="E21545" i="1"/>
  <c r="B21545" i="1"/>
  <c r="E21546" i="1"/>
  <c r="B21546" i="1"/>
  <c r="E21547" i="1"/>
  <c r="B21547" i="1"/>
  <c r="E21548" i="1"/>
  <c r="B21548" i="1"/>
  <c r="E21549" i="1"/>
  <c r="B21549" i="1"/>
  <c r="E21550" i="1"/>
  <c r="B21550" i="1"/>
  <c r="E21551" i="1"/>
  <c r="B21551" i="1"/>
  <c r="E21552" i="1"/>
  <c r="B21552" i="1"/>
  <c r="E21553" i="1"/>
  <c r="B21553" i="1"/>
  <c r="E21554" i="1"/>
  <c r="B21554" i="1"/>
  <c r="E21555" i="1"/>
  <c r="B21555" i="1"/>
  <c r="E21556" i="1"/>
  <c r="B21556" i="1"/>
  <c r="E21557" i="1"/>
  <c r="B21557" i="1"/>
  <c r="E21558" i="1"/>
  <c r="B21558" i="1"/>
  <c r="E21559" i="1"/>
  <c r="B21559" i="1"/>
  <c r="E21560" i="1"/>
  <c r="B21560" i="1"/>
  <c r="E21561" i="1"/>
  <c r="B21561" i="1"/>
  <c r="E21562" i="1"/>
  <c r="B21562" i="1"/>
  <c r="E21563" i="1"/>
  <c r="B21563" i="1"/>
  <c r="E21564" i="1"/>
  <c r="B21564" i="1"/>
  <c r="E21565" i="1"/>
  <c r="B21565" i="1"/>
  <c r="E21566" i="1"/>
  <c r="B21566" i="1"/>
  <c r="E21567" i="1"/>
  <c r="B21567" i="1"/>
  <c r="E21568" i="1"/>
  <c r="B21568" i="1"/>
  <c r="E21569" i="1"/>
  <c r="B21569" i="1"/>
  <c r="E21570" i="1"/>
  <c r="B21570" i="1"/>
  <c r="E21571" i="1"/>
  <c r="B21571" i="1"/>
  <c r="E21572" i="1"/>
  <c r="B21572" i="1"/>
  <c r="E21573" i="1"/>
  <c r="B21573" i="1"/>
  <c r="E21574" i="1"/>
  <c r="B21574" i="1"/>
  <c r="E21575" i="1"/>
  <c r="B21575" i="1"/>
  <c r="E21576" i="1"/>
  <c r="B21576" i="1"/>
  <c r="E21577" i="1"/>
  <c r="B21577" i="1"/>
  <c r="E21578" i="1"/>
  <c r="B21578" i="1"/>
  <c r="E21579" i="1"/>
  <c r="B21579" i="1"/>
  <c r="E21580" i="1"/>
  <c r="B21580" i="1"/>
  <c r="E21581" i="1"/>
  <c r="B21581" i="1"/>
  <c r="E21582" i="1"/>
  <c r="B21582" i="1"/>
  <c r="E21583" i="1"/>
  <c r="B21583" i="1"/>
  <c r="E21584" i="1"/>
  <c r="B21584" i="1"/>
  <c r="E21585" i="1"/>
  <c r="B21585" i="1"/>
  <c r="E21586" i="1"/>
  <c r="B21586" i="1"/>
  <c r="E21587" i="1"/>
  <c r="B21587" i="1"/>
  <c r="E21588" i="1"/>
  <c r="B21588" i="1"/>
  <c r="E21590" i="1"/>
  <c r="B21590" i="1"/>
  <c r="E21589" i="1"/>
  <c r="B21589" i="1"/>
  <c r="E21591" i="1"/>
  <c r="B21591" i="1"/>
  <c r="E21592" i="1"/>
  <c r="B21592" i="1"/>
  <c r="E21593" i="1"/>
  <c r="B21593" i="1"/>
  <c r="E21594" i="1"/>
  <c r="B21594" i="1"/>
  <c r="E21595" i="1"/>
  <c r="B21595" i="1"/>
  <c r="E21596" i="1"/>
  <c r="B21596" i="1"/>
  <c r="E21597" i="1"/>
  <c r="B21597" i="1"/>
  <c r="E21598" i="1"/>
  <c r="B21598" i="1"/>
  <c r="E21599" i="1"/>
  <c r="B21599" i="1"/>
  <c r="E21600" i="1"/>
  <c r="B21600" i="1"/>
  <c r="E21601" i="1"/>
  <c r="B21601" i="1"/>
  <c r="E21602" i="1"/>
  <c r="B21602" i="1"/>
  <c r="E21603" i="1"/>
  <c r="B21603" i="1"/>
  <c r="E21604" i="1"/>
  <c r="B21604" i="1"/>
  <c r="E21605" i="1"/>
  <c r="B21605" i="1"/>
  <c r="E21606" i="1"/>
  <c r="B21606" i="1"/>
  <c r="E21607" i="1"/>
  <c r="B21607" i="1"/>
  <c r="E21608" i="1"/>
  <c r="B21608" i="1"/>
  <c r="E21609" i="1"/>
  <c r="B21609" i="1"/>
  <c r="E21610" i="1"/>
  <c r="B21610" i="1"/>
  <c r="E21611" i="1"/>
  <c r="B21611" i="1"/>
  <c r="E21612" i="1"/>
  <c r="B21612" i="1"/>
  <c r="E21613" i="1"/>
  <c r="B21613" i="1"/>
  <c r="E21615" i="1"/>
  <c r="B21615" i="1"/>
  <c r="E21614" i="1"/>
  <c r="B21614" i="1"/>
  <c r="E21616" i="1"/>
  <c r="B21616" i="1"/>
  <c r="E21617" i="1"/>
  <c r="B21617" i="1"/>
  <c r="E21618" i="1"/>
  <c r="B21618" i="1"/>
  <c r="E21619" i="1"/>
  <c r="B21619" i="1"/>
  <c r="E21620" i="1"/>
  <c r="B21620" i="1"/>
  <c r="E21621" i="1"/>
  <c r="B21621" i="1"/>
  <c r="E21622" i="1"/>
  <c r="B21622" i="1"/>
  <c r="E21623" i="1"/>
  <c r="B21623" i="1"/>
  <c r="E21624" i="1"/>
  <c r="B21624" i="1"/>
  <c r="E21625" i="1"/>
  <c r="B21625" i="1"/>
  <c r="E21626" i="1"/>
  <c r="B21626" i="1"/>
  <c r="E21627" i="1"/>
  <c r="B21627" i="1"/>
  <c r="E21628" i="1"/>
  <c r="B21628" i="1"/>
  <c r="E21629" i="1"/>
  <c r="B21629" i="1"/>
  <c r="E21630" i="1"/>
  <c r="B21630" i="1"/>
  <c r="E21631" i="1"/>
  <c r="B21631" i="1"/>
  <c r="E21632" i="1"/>
  <c r="B21632" i="1"/>
  <c r="E21633" i="1"/>
  <c r="B21633" i="1"/>
  <c r="E21634" i="1"/>
  <c r="B21634" i="1"/>
  <c r="E21635" i="1"/>
  <c r="B21635" i="1"/>
  <c r="E21636" i="1"/>
  <c r="B21636" i="1"/>
  <c r="E21637" i="1"/>
  <c r="B21637" i="1"/>
  <c r="E21638" i="1"/>
  <c r="B21638" i="1"/>
  <c r="E21639" i="1"/>
  <c r="B21639" i="1"/>
  <c r="E21640" i="1"/>
  <c r="B21640" i="1"/>
  <c r="E21641" i="1"/>
  <c r="B21641" i="1"/>
  <c r="E21642" i="1"/>
  <c r="B21642" i="1"/>
  <c r="E21643" i="1"/>
  <c r="B21643" i="1"/>
  <c r="E21644" i="1"/>
  <c r="B21644" i="1"/>
  <c r="E21645" i="1"/>
  <c r="B21645" i="1"/>
  <c r="E21646" i="1"/>
  <c r="B21646" i="1"/>
  <c r="E21647" i="1"/>
  <c r="B21647" i="1"/>
  <c r="E21648" i="1"/>
  <c r="B21648" i="1"/>
  <c r="E21649" i="1"/>
  <c r="B21649" i="1"/>
  <c r="E21650" i="1"/>
  <c r="B21650" i="1"/>
  <c r="E21651" i="1"/>
  <c r="B21651" i="1"/>
  <c r="E21652" i="1"/>
  <c r="B21652" i="1"/>
  <c r="E21653" i="1"/>
  <c r="B21653" i="1"/>
  <c r="E21654" i="1"/>
  <c r="B21654" i="1"/>
  <c r="E21655" i="1"/>
  <c r="B21655" i="1"/>
  <c r="E21656" i="1"/>
  <c r="B21656" i="1"/>
  <c r="E21657" i="1"/>
  <c r="B21657" i="1"/>
  <c r="E21658" i="1"/>
  <c r="B21658" i="1"/>
  <c r="E21659" i="1"/>
  <c r="B21659" i="1"/>
  <c r="E21660" i="1"/>
  <c r="B21660" i="1"/>
  <c r="E21661" i="1"/>
  <c r="B21661" i="1"/>
  <c r="E21662" i="1"/>
  <c r="B21662" i="1"/>
  <c r="E21663" i="1"/>
  <c r="B21663" i="1"/>
  <c r="E21664" i="1"/>
  <c r="B21664" i="1"/>
  <c r="E21665" i="1"/>
  <c r="B21665" i="1"/>
  <c r="E21666" i="1"/>
  <c r="B21666" i="1"/>
  <c r="E21667" i="1"/>
  <c r="B21667" i="1"/>
  <c r="E21668" i="1"/>
  <c r="B21668" i="1"/>
  <c r="E21669" i="1"/>
  <c r="B21669" i="1"/>
  <c r="E21670" i="1"/>
  <c r="B21670" i="1"/>
  <c r="E21671" i="1"/>
  <c r="B21671" i="1"/>
  <c r="E21672" i="1"/>
  <c r="B21672" i="1"/>
  <c r="E21673" i="1"/>
  <c r="B21673" i="1"/>
  <c r="E21674" i="1"/>
  <c r="B21674" i="1"/>
  <c r="E21675" i="1"/>
  <c r="B21675" i="1"/>
  <c r="E21676" i="1"/>
  <c r="B21676" i="1"/>
  <c r="E21677" i="1"/>
  <c r="B21677" i="1"/>
  <c r="E21678" i="1"/>
  <c r="B21678" i="1"/>
  <c r="E21679" i="1"/>
  <c r="B21679" i="1"/>
  <c r="E21680" i="1"/>
  <c r="B21680" i="1"/>
  <c r="E21681" i="1"/>
  <c r="B21681" i="1"/>
  <c r="E21682" i="1"/>
  <c r="B21682" i="1"/>
  <c r="E21683" i="1"/>
  <c r="B21683" i="1"/>
  <c r="E21684" i="1"/>
  <c r="B21684" i="1"/>
  <c r="E21685" i="1"/>
  <c r="B21685" i="1"/>
  <c r="E21686" i="1"/>
  <c r="B21686" i="1"/>
  <c r="E21687" i="1"/>
  <c r="B21687" i="1"/>
  <c r="E21688" i="1"/>
  <c r="B21688" i="1"/>
  <c r="E21689" i="1"/>
  <c r="B21689" i="1"/>
  <c r="E21690" i="1"/>
  <c r="B21690" i="1"/>
  <c r="E21691" i="1"/>
  <c r="B21691" i="1"/>
  <c r="E21692" i="1"/>
  <c r="B21692" i="1"/>
  <c r="E21693" i="1"/>
  <c r="B21693" i="1"/>
  <c r="E21694" i="1"/>
  <c r="B21694" i="1"/>
  <c r="E21695" i="1"/>
  <c r="B21695" i="1"/>
  <c r="E21696" i="1"/>
  <c r="B21696" i="1"/>
  <c r="E21697" i="1"/>
  <c r="B21697" i="1"/>
  <c r="E21698" i="1"/>
  <c r="B21698" i="1"/>
  <c r="E21699" i="1"/>
  <c r="B21699" i="1"/>
  <c r="E21700" i="1"/>
  <c r="B21700" i="1"/>
  <c r="E21701" i="1"/>
  <c r="B21701" i="1"/>
  <c r="E21703" i="1"/>
  <c r="B21703" i="1"/>
  <c r="E21702" i="1"/>
  <c r="B21702" i="1"/>
  <c r="E21704" i="1"/>
  <c r="B21704" i="1"/>
  <c r="E21705" i="1"/>
  <c r="B21705" i="1"/>
  <c r="E21706" i="1"/>
  <c r="B21706" i="1"/>
  <c r="E21707" i="1"/>
  <c r="B21707" i="1"/>
  <c r="E21708" i="1"/>
  <c r="B21708" i="1"/>
  <c r="E21709" i="1"/>
  <c r="B21709" i="1"/>
  <c r="E21710" i="1"/>
  <c r="B21710" i="1"/>
  <c r="E21711" i="1"/>
  <c r="B21711" i="1"/>
  <c r="E21712" i="1"/>
  <c r="B21712" i="1"/>
  <c r="E21713" i="1"/>
  <c r="B21713" i="1"/>
  <c r="E21714" i="1"/>
  <c r="B21714" i="1"/>
  <c r="E21715" i="1"/>
  <c r="B21715" i="1"/>
  <c r="E21716" i="1"/>
  <c r="B21716" i="1"/>
  <c r="E21717" i="1"/>
  <c r="B21717" i="1"/>
  <c r="E21718" i="1"/>
  <c r="B21718" i="1"/>
  <c r="E21719" i="1"/>
  <c r="B21719" i="1"/>
  <c r="E21720" i="1"/>
  <c r="B21720" i="1"/>
  <c r="E21721" i="1"/>
  <c r="B21721" i="1"/>
  <c r="E21722" i="1"/>
  <c r="B21722" i="1"/>
  <c r="E21723" i="1"/>
  <c r="B21723" i="1"/>
  <c r="E21724" i="1"/>
  <c r="B21724" i="1"/>
  <c r="E21725" i="1"/>
  <c r="B21725" i="1"/>
  <c r="E21726" i="1"/>
  <c r="B21726" i="1"/>
  <c r="E21727" i="1"/>
  <c r="B21727" i="1"/>
  <c r="E21728" i="1"/>
  <c r="B21728" i="1"/>
  <c r="E21729" i="1"/>
  <c r="B21729" i="1"/>
  <c r="E21730" i="1"/>
  <c r="B21730" i="1"/>
  <c r="E21731" i="1"/>
  <c r="B21731" i="1"/>
  <c r="E21732" i="1"/>
  <c r="B21732" i="1"/>
  <c r="E21733" i="1"/>
  <c r="B21733" i="1"/>
  <c r="E21734" i="1"/>
  <c r="B21734" i="1"/>
  <c r="E21735" i="1"/>
  <c r="B21735" i="1"/>
  <c r="E21736" i="1"/>
  <c r="B21736" i="1"/>
  <c r="E21737" i="1"/>
  <c r="B21737" i="1"/>
  <c r="E21738" i="1"/>
  <c r="B21738" i="1"/>
  <c r="E21739" i="1"/>
  <c r="B21739" i="1"/>
  <c r="E21740" i="1"/>
  <c r="B21740" i="1"/>
  <c r="E21741" i="1"/>
  <c r="B21741" i="1"/>
  <c r="E21742" i="1"/>
  <c r="B21742" i="1"/>
  <c r="E21743" i="1"/>
  <c r="B21743" i="1"/>
  <c r="E21744" i="1"/>
  <c r="B21744" i="1"/>
  <c r="E21745" i="1"/>
  <c r="B21745" i="1"/>
  <c r="E21746" i="1"/>
  <c r="B21746" i="1"/>
  <c r="E21747" i="1"/>
  <c r="B21747" i="1"/>
  <c r="E21748" i="1"/>
  <c r="B21748" i="1"/>
  <c r="E21749" i="1"/>
  <c r="B21749" i="1"/>
  <c r="E21750" i="1"/>
  <c r="B21750" i="1"/>
  <c r="E21751" i="1"/>
  <c r="B21751" i="1"/>
  <c r="E21752" i="1"/>
  <c r="B21752" i="1"/>
  <c r="E21753" i="1"/>
  <c r="B21753" i="1"/>
  <c r="E21754" i="1"/>
  <c r="B21754" i="1"/>
  <c r="E21755" i="1"/>
  <c r="B21755" i="1"/>
  <c r="E21756" i="1"/>
  <c r="B21756" i="1"/>
  <c r="E21757" i="1"/>
  <c r="B21757" i="1"/>
  <c r="E21758" i="1"/>
  <c r="B21758" i="1"/>
  <c r="E21759" i="1"/>
  <c r="B21759" i="1"/>
  <c r="E21760" i="1"/>
  <c r="B21760" i="1"/>
  <c r="E21761" i="1"/>
  <c r="B21761" i="1"/>
  <c r="E21762" i="1"/>
  <c r="B21762" i="1"/>
  <c r="E21763" i="1"/>
  <c r="B21763" i="1"/>
  <c r="E21764" i="1"/>
  <c r="B21764" i="1"/>
  <c r="E21765" i="1"/>
  <c r="B21765" i="1"/>
  <c r="E21766" i="1"/>
  <c r="B21766" i="1"/>
  <c r="E21767" i="1"/>
  <c r="B21767" i="1"/>
  <c r="E21768" i="1"/>
  <c r="B21768" i="1"/>
  <c r="E21769" i="1"/>
  <c r="B21769" i="1"/>
  <c r="E21770" i="1"/>
  <c r="B21770" i="1"/>
  <c r="E21771" i="1"/>
  <c r="B21771" i="1"/>
  <c r="E21772" i="1"/>
  <c r="B21772" i="1"/>
  <c r="E21773" i="1"/>
  <c r="B21773" i="1"/>
  <c r="E21774" i="1"/>
  <c r="B21774" i="1"/>
  <c r="E21775" i="1"/>
  <c r="B21775" i="1"/>
  <c r="E21776" i="1"/>
  <c r="B21776" i="1"/>
  <c r="E21777" i="1"/>
  <c r="B21777" i="1"/>
  <c r="E21778" i="1"/>
  <c r="B21778" i="1"/>
  <c r="E21779" i="1"/>
  <c r="B21779" i="1"/>
  <c r="E21780" i="1"/>
  <c r="B21780" i="1"/>
  <c r="E21781" i="1"/>
  <c r="B21781" i="1"/>
  <c r="E21782" i="1"/>
  <c r="B21782" i="1"/>
  <c r="E21784" i="1"/>
  <c r="B21784" i="1"/>
  <c r="E21783" i="1"/>
  <c r="B21783" i="1"/>
  <c r="E21785" i="1"/>
  <c r="B21785" i="1"/>
  <c r="E21786" i="1"/>
  <c r="B21786" i="1"/>
  <c r="E21787" i="1"/>
  <c r="B21787" i="1"/>
  <c r="E21788" i="1"/>
  <c r="B21788" i="1"/>
  <c r="E21789" i="1"/>
  <c r="B21789" i="1"/>
  <c r="E21790" i="1"/>
  <c r="B21790" i="1"/>
  <c r="E21791" i="1"/>
  <c r="B21791" i="1"/>
  <c r="E21792" i="1"/>
  <c r="B21792" i="1"/>
  <c r="E21793" i="1"/>
  <c r="B21793" i="1"/>
  <c r="E21794" i="1"/>
  <c r="B21794" i="1"/>
  <c r="E21795" i="1"/>
  <c r="B21795" i="1"/>
  <c r="E21796" i="1"/>
  <c r="B21796" i="1"/>
  <c r="E21797" i="1"/>
  <c r="B21797" i="1"/>
  <c r="E21798" i="1"/>
  <c r="B21798" i="1"/>
  <c r="E21799" i="1"/>
  <c r="B21799" i="1"/>
  <c r="E21800" i="1"/>
  <c r="B21800" i="1"/>
  <c r="E21801" i="1"/>
  <c r="B21801" i="1"/>
  <c r="E21802" i="1"/>
  <c r="B21802" i="1"/>
  <c r="E21803" i="1"/>
  <c r="B21803" i="1"/>
  <c r="E21804" i="1"/>
  <c r="B21804" i="1"/>
  <c r="E21805" i="1"/>
  <c r="B21805" i="1"/>
  <c r="E21806" i="1"/>
  <c r="B21806" i="1"/>
  <c r="E21807" i="1"/>
  <c r="B21807" i="1"/>
  <c r="E21808" i="1"/>
  <c r="B21808" i="1"/>
  <c r="E21809" i="1"/>
  <c r="B21809" i="1"/>
  <c r="E21810" i="1"/>
  <c r="B21810" i="1"/>
  <c r="E21811" i="1"/>
  <c r="B21811" i="1"/>
  <c r="E21812" i="1"/>
  <c r="B21812" i="1"/>
  <c r="E21813" i="1"/>
  <c r="B21813" i="1"/>
  <c r="E21814" i="1"/>
  <c r="B21814" i="1"/>
  <c r="E21815" i="1"/>
  <c r="B21815" i="1"/>
  <c r="E21816" i="1"/>
  <c r="B21816" i="1"/>
  <c r="E21817" i="1"/>
  <c r="B21817" i="1"/>
  <c r="E21818" i="1"/>
  <c r="B21818" i="1"/>
  <c r="E21819" i="1"/>
  <c r="B21819" i="1"/>
  <c r="E21820" i="1"/>
  <c r="B21820" i="1"/>
  <c r="E21821" i="1"/>
  <c r="B21821" i="1"/>
  <c r="E21822" i="1"/>
  <c r="B21822" i="1"/>
  <c r="E21823" i="1"/>
  <c r="B21823" i="1"/>
  <c r="E21824" i="1"/>
  <c r="B21824" i="1"/>
  <c r="E21825" i="1"/>
  <c r="B21825" i="1"/>
  <c r="E21826" i="1"/>
  <c r="B21826" i="1"/>
  <c r="E21828" i="1"/>
  <c r="B21828" i="1"/>
  <c r="E21827" i="1"/>
  <c r="B21827" i="1"/>
  <c r="E21829" i="1"/>
  <c r="B21829" i="1"/>
  <c r="E21830" i="1"/>
  <c r="B21830" i="1"/>
  <c r="E21831" i="1"/>
  <c r="B21831" i="1"/>
  <c r="E21832" i="1"/>
  <c r="B21832" i="1"/>
  <c r="E21833" i="1"/>
  <c r="B21833" i="1"/>
  <c r="E21834" i="1"/>
  <c r="B21834" i="1"/>
  <c r="E21835" i="1"/>
  <c r="B21835" i="1"/>
  <c r="E21836" i="1"/>
  <c r="B21836" i="1"/>
  <c r="E21837" i="1"/>
  <c r="B21837" i="1"/>
  <c r="E21838" i="1"/>
  <c r="B21838" i="1"/>
  <c r="E21839" i="1"/>
  <c r="B21839" i="1"/>
  <c r="E21841" i="1"/>
  <c r="B21841" i="1"/>
  <c r="E21840" i="1"/>
  <c r="B21840" i="1"/>
  <c r="E21842" i="1"/>
  <c r="B21842" i="1"/>
  <c r="E21843" i="1"/>
  <c r="B21843" i="1"/>
  <c r="E21844" i="1"/>
  <c r="B21844" i="1"/>
  <c r="E21845" i="1"/>
  <c r="B21845" i="1"/>
  <c r="E21846" i="1"/>
  <c r="B21846" i="1"/>
  <c r="E21847" i="1"/>
  <c r="B21847" i="1"/>
  <c r="E21848" i="1"/>
  <c r="B21848" i="1"/>
  <c r="E21849" i="1"/>
  <c r="B21849" i="1"/>
  <c r="E21850" i="1"/>
  <c r="B21850" i="1"/>
  <c r="E21851" i="1"/>
  <c r="B21851" i="1"/>
  <c r="E21852" i="1"/>
  <c r="B21852" i="1"/>
  <c r="E21853" i="1"/>
  <c r="B21853" i="1"/>
  <c r="E21854" i="1"/>
  <c r="B21854" i="1"/>
  <c r="E21855" i="1"/>
  <c r="B21855" i="1"/>
  <c r="E21856" i="1"/>
  <c r="B21856" i="1"/>
  <c r="E21857" i="1"/>
  <c r="B21857" i="1"/>
  <c r="E21859" i="1"/>
  <c r="B21859" i="1"/>
  <c r="E21858" i="1"/>
  <c r="B21858" i="1"/>
  <c r="E21860" i="1"/>
  <c r="B21860" i="1"/>
  <c r="E21861" i="1"/>
  <c r="B21861" i="1"/>
  <c r="E21862" i="1"/>
  <c r="B21862" i="1"/>
  <c r="E21863" i="1"/>
  <c r="B21863" i="1"/>
  <c r="E21865" i="1"/>
  <c r="B21865" i="1"/>
  <c r="E21864" i="1"/>
  <c r="B21864" i="1"/>
  <c r="E21866" i="1"/>
  <c r="B21866" i="1"/>
  <c r="E21867" i="1"/>
  <c r="B21867" i="1"/>
  <c r="E21868" i="1"/>
  <c r="B21868" i="1"/>
  <c r="E21869" i="1"/>
  <c r="B21869" i="1"/>
  <c r="E21870" i="1"/>
  <c r="B21870" i="1"/>
  <c r="E21871" i="1"/>
  <c r="B21871" i="1"/>
  <c r="E21872" i="1"/>
  <c r="B21872" i="1"/>
  <c r="E21873" i="1"/>
  <c r="B21873" i="1"/>
  <c r="E21874" i="1"/>
  <c r="B21874" i="1"/>
  <c r="E21875" i="1"/>
  <c r="B21875" i="1"/>
  <c r="E21876" i="1"/>
  <c r="B21876" i="1"/>
  <c r="E21877" i="1"/>
  <c r="B21877" i="1"/>
  <c r="E21878" i="1"/>
  <c r="B21878" i="1"/>
  <c r="E21879" i="1"/>
  <c r="B21879" i="1"/>
  <c r="E21880" i="1"/>
  <c r="B21880" i="1"/>
  <c r="E21881" i="1"/>
  <c r="B21881" i="1"/>
  <c r="E21882" i="1"/>
  <c r="B21882" i="1"/>
  <c r="E21883" i="1"/>
  <c r="B21883" i="1"/>
  <c r="E21884" i="1"/>
  <c r="B21884" i="1"/>
  <c r="E21885" i="1"/>
  <c r="B21885" i="1"/>
  <c r="E21886" i="1"/>
  <c r="B21886" i="1"/>
  <c r="E21887" i="1"/>
  <c r="B21887" i="1"/>
  <c r="E21888" i="1"/>
  <c r="B21888" i="1"/>
  <c r="E21889" i="1"/>
  <c r="B21889" i="1"/>
  <c r="E21890" i="1"/>
  <c r="B21890" i="1"/>
  <c r="E21891" i="1"/>
  <c r="B21891" i="1"/>
  <c r="E21892" i="1"/>
  <c r="B21892" i="1"/>
  <c r="E21893" i="1"/>
  <c r="B21893" i="1"/>
  <c r="E21894" i="1"/>
  <c r="B21894" i="1"/>
  <c r="E21895" i="1"/>
  <c r="B21895" i="1"/>
  <c r="E21896" i="1"/>
  <c r="B21896" i="1"/>
  <c r="E21897" i="1"/>
  <c r="B21897" i="1"/>
  <c r="E21898" i="1"/>
  <c r="B21898" i="1"/>
  <c r="E21899" i="1"/>
  <c r="B21899" i="1"/>
  <c r="E21900" i="1"/>
  <c r="B21900" i="1"/>
  <c r="E21901" i="1"/>
  <c r="B21901" i="1"/>
  <c r="E21902" i="1"/>
  <c r="B21902" i="1"/>
  <c r="E21903" i="1"/>
  <c r="B21903" i="1"/>
  <c r="E21904" i="1"/>
  <c r="B21904" i="1"/>
  <c r="E21906" i="1"/>
  <c r="B21906" i="1"/>
  <c r="E21905" i="1"/>
  <c r="B21905" i="1"/>
  <c r="E21907" i="1"/>
  <c r="B21907" i="1"/>
  <c r="E21908" i="1"/>
  <c r="B21908" i="1"/>
  <c r="E21909" i="1"/>
  <c r="B21909" i="1"/>
  <c r="E21910" i="1"/>
  <c r="B21910" i="1"/>
  <c r="E21911" i="1"/>
  <c r="B21911" i="1"/>
  <c r="E21912" i="1"/>
  <c r="B21912" i="1"/>
  <c r="E21913" i="1"/>
  <c r="B21913" i="1"/>
  <c r="E21914" i="1"/>
  <c r="B21914" i="1"/>
  <c r="E21915" i="1"/>
  <c r="B21915" i="1"/>
  <c r="E21916" i="1"/>
  <c r="B21916" i="1"/>
  <c r="E21917" i="1"/>
  <c r="B21917" i="1"/>
  <c r="E21918" i="1"/>
  <c r="B21918" i="1"/>
  <c r="E21919" i="1"/>
  <c r="B21919" i="1"/>
  <c r="E21920" i="1"/>
  <c r="B21920" i="1"/>
  <c r="E21921" i="1"/>
  <c r="B21921" i="1"/>
  <c r="E21922" i="1"/>
  <c r="B21922" i="1"/>
  <c r="E21923" i="1"/>
  <c r="B21923" i="1"/>
  <c r="E21924" i="1"/>
  <c r="B21924" i="1"/>
  <c r="E21925" i="1"/>
  <c r="B21925" i="1"/>
  <c r="E21926" i="1"/>
  <c r="B21926" i="1"/>
  <c r="E21927" i="1"/>
  <c r="B21927" i="1"/>
  <c r="E21928" i="1"/>
  <c r="B21928" i="1"/>
  <c r="E21929" i="1"/>
  <c r="B21929" i="1"/>
  <c r="E21930" i="1"/>
  <c r="B21930" i="1"/>
  <c r="E21931" i="1"/>
  <c r="B21931" i="1"/>
  <c r="E21932" i="1"/>
  <c r="B21932" i="1"/>
  <c r="E21933" i="1"/>
  <c r="B21933" i="1"/>
  <c r="E21934" i="1"/>
  <c r="B21934" i="1"/>
  <c r="E21935" i="1"/>
  <c r="B21935" i="1"/>
  <c r="E21936" i="1"/>
  <c r="B21936" i="1"/>
  <c r="E21937" i="1"/>
  <c r="B21937" i="1"/>
  <c r="E21938" i="1"/>
  <c r="B21938" i="1"/>
  <c r="E21939" i="1"/>
  <c r="B21939" i="1"/>
  <c r="E21940" i="1"/>
  <c r="B21940" i="1"/>
  <c r="E21941" i="1"/>
  <c r="B21941" i="1"/>
  <c r="E21942" i="1"/>
  <c r="B21942" i="1"/>
  <c r="E21943" i="1"/>
  <c r="B21943" i="1"/>
  <c r="E21944" i="1"/>
  <c r="B21944" i="1"/>
  <c r="E21945" i="1"/>
  <c r="B21945" i="1"/>
  <c r="E21946" i="1"/>
  <c r="B21946" i="1"/>
  <c r="E21947" i="1"/>
  <c r="B21947" i="1"/>
  <c r="E21948" i="1"/>
  <c r="B21948" i="1"/>
  <c r="E21949" i="1"/>
  <c r="B21949" i="1"/>
  <c r="E21950" i="1"/>
  <c r="B21950" i="1"/>
  <c r="E21951" i="1"/>
  <c r="B21951" i="1"/>
  <c r="E21952" i="1"/>
  <c r="B21952" i="1"/>
  <c r="E21953" i="1"/>
  <c r="B21953" i="1"/>
  <c r="E21954" i="1"/>
  <c r="B21954" i="1"/>
  <c r="E21955" i="1"/>
  <c r="B21955" i="1"/>
  <c r="E21956" i="1"/>
  <c r="B21956" i="1"/>
  <c r="E21957" i="1"/>
  <c r="B21957" i="1"/>
  <c r="E21958" i="1"/>
  <c r="B21958" i="1"/>
  <c r="E21959" i="1"/>
  <c r="B21959" i="1"/>
  <c r="E21960" i="1"/>
  <c r="B21960" i="1"/>
  <c r="E21961" i="1"/>
  <c r="B21961" i="1"/>
  <c r="E21962" i="1"/>
  <c r="B21962" i="1"/>
  <c r="E21963" i="1"/>
  <c r="B21963" i="1"/>
  <c r="E21964" i="1"/>
  <c r="B21964" i="1"/>
  <c r="E21965" i="1"/>
  <c r="B21965" i="1"/>
  <c r="E21966" i="1"/>
  <c r="B21966" i="1"/>
  <c r="E21967" i="1"/>
  <c r="B21967" i="1"/>
  <c r="E21968" i="1"/>
  <c r="B21968" i="1"/>
  <c r="E21969" i="1"/>
  <c r="B21969" i="1"/>
  <c r="E21970" i="1"/>
  <c r="B21970" i="1"/>
  <c r="E21971" i="1"/>
  <c r="B21971" i="1"/>
  <c r="E21972" i="1"/>
  <c r="B21972" i="1"/>
  <c r="E21973" i="1"/>
  <c r="B21973" i="1"/>
  <c r="E21974" i="1"/>
  <c r="B21974" i="1"/>
  <c r="E21975" i="1"/>
  <c r="B21975" i="1"/>
  <c r="E21976" i="1"/>
  <c r="B21976" i="1"/>
  <c r="E21977" i="1"/>
  <c r="B21977" i="1"/>
  <c r="E21978" i="1"/>
  <c r="B21978" i="1"/>
  <c r="E21980" i="1"/>
  <c r="B21980" i="1"/>
  <c r="E21979" i="1"/>
  <c r="B21979" i="1"/>
  <c r="E21981" i="1"/>
  <c r="B21981" i="1"/>
  <c r="E21982" i="1"/>
  <c r="B21982" i="1"/>
  <c r="E21983" i="1"/>
  <c r="B21983" i="1"/>
  <c r="E21984" i="1"/>
  <c r="B21984" i="1"/>
  <c r="E21985" i="1"/>
  <c r="B21985" i="1"/>
  <c r="E21986" i="1"/>
  <c r="B21986" i="1"/>
  <c r="E21987" i="1"/>
  <c r="B21987" i="1"/>
  <c r="E21988" i="1"/>
  <c r="B21988" i="1"/>
  <c r="E21989" i="1"/>
  <c r="B21989" i="1"/>
  <c r="E21990" i="1"/>
  <c r="B21990" i="1"/>
  <c r="E21991" i="1"/>
  <c r="B21991" i="1"/>
  <c r="E21992" i="1"/>
  <c r="B21992" i="1"/>
  <c r="E21993" i="1"/>
  <c r="B21993" i="1"/>
  <c r="E21994" i="1"/>
  <c r="B21994" i="1"/>
  <c r="E21995" i="1"/>
  <c r="B21995" i="1"/>
  <c r="E21997" i="1"/>
  <c r="B21997" i="1"/>
  <c r="E21996" i="1"/>
  <c r="B21996" i="1"/>
  <c r="E21998" i="1"/>
  <c r="B21998" i="1"/>
  <c r="E21999" i="1"/>
  <c r="B21999" i="1"/>
  <c r="E22000" i="1"/>
  <c r="B22000" i="1"/>
  <c r="E22001" i="1"/>
  <c r="B22001" i="1"/>
  <c r="E22002" i="1"/>
  <c r="B22002" i="1"/>
  <c r="E22003" i="1"/>
  <c r="B22003" i="1"/>
  <c r="E22004" i="1"/>
  <c r="B22004" i="1"/>
  <c r="E22005" i="1"/>
  <c r="B22005" i="1"/>
  <c r="E22006" i="1"/>
  <c r="B22006" i="1"/>
  <c r="E22007" i="1"/>
  <c r="B22007" i="1"/>
  <c r="E22008" i="1"/>
  <c r="B22008" i="1"/>
  <c r="E22009" i="1"/>
  <c r="B22009" i="1"/>
  <c r="E22010" i="1"/>
  <c r="B22010" i="1"/>
  <c r="E22011" i="1"/>
  <c r="B22011" i="1"/>
  <c r="E22012" i="1"/>
  <c r="B22012" i="1"/>
  <c r="E22013" i="1"/>
  <c r="B22013" i="1"/>
  <c r="E22014" i="1"/>
  <c r="B22014" i="1"/>
  <c r="E22015" i="1"/>
  <c r="B22015" i="1"/>
  <c r="E22016" i="1"/>
  <c r="B22016" i="1"/>
  <c r="E22017" i="1"/>
  <c r="B22017" i="1"/>
  <c r="E22018" i="1"/>
  <c r="B22018" i="1"/>
  <c r="E22019" i="1"/>
  <c r="B22019" i="1"/>
  <c r="E22020" i="1"/>
  <c r="B22020" i="1"/>
  <c r="E22021" i="1"/>
  <c r="B22021" i="1"/>
  <c r="E22022" i="1"/>
  <c r="B22022" i="1"/>
  <c r="E22023" i="1"/>
  <c r="B22023" i="1"/>
  <c r="E22024" i="1"/>
  <c r="B22024" i="1"/>
  <c r="E22025" i="1"/>
  <c r="B22025" i="1"/>
  <c r="E22026" i="1"/>
  <c r="B22026" i="1"/>
  <c r="E22027" i="1"/>
  <c r="B22027" i="1"/>
  <c r="E22028" i="1"/>
  <c r="B22028" i="1"/>
  <c r="E22029" i="1"/>
  <c r="B22029" i="1"/>
  <c r="E22030" i="1"/>
  <c r="B22030" i="1"/>
  <c r="E22031" i="1"/>
  <c r="B22031" i="1"/>
  <c r="E22032" i="1"/>
  <c r="B22032" i="1"/>
  <c r="E22034" i="1"/>
  <c r="B22034" i="1"/>
  <c r="E22033" i="1"/>
  <c r="B22033" i="1"/>
  <c r="E22035" i="1"/>
  <c r="B22035" i="1"/>
  <c r="E22036" i="1"/>
  <c r="B22036" i="1"/>
  <c r="E22037" i="1"/>
  <c r="B22037" i="1"/>
  <c r="E22038" i="1"/>
  <c r="B22038" i="1"/>
  <c r="E22039" i="1"/>
  <c r="B22039" i="1"/>
  <c r="E22040" i="1"/>
  <c r="B22040" i="1"/>
  <c r="E22041" i="1"/>
  <c r="B22041" i="1"/>
  <c r="E22042" i="1"/>
  <c r="B22042" i="1"/>
  <c r="E22043" i="1"/>
  <c r="B22043" i="1"/>
  <c r="E22044" i="1"/>
  <c r="B22044" i="1"/>
  <c r="E22045" i="1"/>
  <c r="B22045" i="1"/>
  <c r="E22046" i="1"/>
  <c r="B22046" i="1"/>
  <c r="E22047" i="1"/>
  <c r="B22047" i="1"/>
  <c r="E22048" i="1"/>
  <c r="B22048" i="1"/>
  <c r="E22049" i="1"/>
  <c r="B22049" i="1"/>
  <c r="E22050" i="1"/>
  <c r="B22050" i="1"/>
  <c r="E22051" i="1"/>
  <c r="B22051" i="1"/>
  <c r="E22052" i="1"/>
  <c r="B22052" i="1"/>
  <c r="E22053" i="1"/>
  <c r="B22053" i="1"/>
  <c r="E22054" i="1"/>
  <c r="B22054" i="1"/>
  <c r="E22055" i="1"/>
  <c r="B22055" i="1"/>
  <c r="E22056" i="1"/>
  <c r="B22056" i="1"/>
  <c r="E22057" i="1"/>
  <c r="B22057" i="1"/>
  <c r="E22059" i="1"/>
  <c r="B22059" i="1"/>
  <c r="E22058" i="1"/>
  <c r="B22058" i="1"/>
  <c r="E22060" i="1"/>
  <c r="B22060" i="1"/>
  <c r="E22061" i="1"/>
  <c r="B22061" i="1"/>
  <c r="E22062" i="1"/>
  <c r="B22062" i="1"/>
  <c r="E22063" i="1"/>
  <c r="B22063" i="1"/>
  <c r="E22064" i="1"/>
  <c r="B22064" i="1"/>
  <c r="E22065" i="1"/>
  <c r="B22065" i="1"/>
  <c r="E22066" i="1"/>
  <c r="B22066" i="1"/>
  <c r="E22067" i="1"/>
  <c r="B22067" i="1"/>
  <c r="E22068" i="1"/>
  <c r="B22068" i="1"/>
  <c r="E22069" i="1"/>
  <c r="B22069" i="1"/>
  <c r="E22070" i="1"/>
  <c r="B22070" i="1"/>
  <c r="E22071" i="1"/>
  <c r="B22071" i="1"/>
  <c r="E22072" i="1"/>
  <c r="B22072" i="1"/>
  <c r="E22073" i="1"/>
  <c r="B22073" i="1"/>
  <c r="E22074" i="1"/>
  <c r="B22074" i="1"/>
  <c r="E22075" i="1"/>
  <c r="B22075" i="1"/>
  <c r="E22076" i="1"/>
  <c r="B22076" i="1"/>
  <c r="E22077" i="1"/>
  <c r="B22077" i="1"/>
  <c r="E22078" i="1"/>
  <c r="B22078" i="1"/>
  <c r="E22080" i="1"/>
  <c r="B22080" i="1"/>
  <c r="E22079" i="1"/>
  <c r="B22079" i="1"/>
  <c r="E22081" i="1"/>
  <c r="B22081" i="1"/>
  <c r="E22082" i="1"/>
  <c r="B22082" i="1"/>
  <c r="E22083" i="1"/>
  <c r="B22083" i="1"/>
  <c r="E22084" i="1"/>
  <c r="B22084" i="1"/>
  <c r="E22085" i="1"/>
  <c r="B22085" i="1"/>
  <c r="E22086" i="1"/>
  <c r="B22086" i="1"/>
  <c r="E22087" i="1"/>
  <c r="B22087" i="1"/>
  <c r="E22088" i="1"/>
  <c r="B22088" i="1"/>
  <c r="E22089" i="1"/>
  <c r="B22089" i="1"/>
  <c r="E22090" i="1"/>
  <c r="B22090" i="1"/>
  <c r="E22091" i="1"/>
  <c r="B22091" i="1"/>
  <c r="E22093" i="1"/>
  <c r="B22093" i="1"/>
  <c r="E22092" i="1"/>
  <c r="B22092" i="1"/>
  <c r="E22094" i="1"/>
  <c r="B22094" i="1"/>
  <c r="E22095" i="1"/>
  <c r="B22095" i="1"/>
  <c r="E22096" i="1"/>
  <c r="B22096" i="1"/>
  <c r="E22097" i="1"/>
  <c r="B22097" i="1"/>
  <c r="E22098" i="1"/>
  <c r="B22098" i="1"/>
  <c r="E22099" i="1"/>
  <c r="B22099" i="1"/>
  <c r="E22100" i="1"/>
  <c r="B22100" i="1"/>
  <c r="E22101" i="1"/>
  <c r="B22101" i="1"/>
  <c r="E22102" i="1"/>
  <c r="B22102" i="1"/>
  <c r="E22103" i="1"/>
  <c r="B22103" i="1"/>
  <c r="E22104" i="1"/>
  <c r="B22104" i="1"/>
  <c r="E22105" i="1"/>
  <c r="B22105" i="1"/>
  <c r="E22106" i="1"/>
  <c r="B22106" i="1"/>
  <c r="E22107" i="1"/>
  <c r="B22107" i="1"/>
  <c r="E22108" i="1"/>
  <c r="B22108" i="1"/>
  <c r="E22109" i="1"/>
  <c r="B22109" i="1"/>
  <c r="E22110" i="1"/>
  <c r="B22110" i="1"/>
  <c r="E22111" i="1"/>
  <c r="B22111" i="1"/>
  <c r="E22112" i="1"/>
  <c r="B22112" i="1"/>
  <c r="E22113" i="1"/>
  <c r="B22113" i="1"/>
  <c r="E22114" i="1"/>
  <c r="B22114" i="1"/>
  <c r="E22115" i="1"/>
  <c r="B22115" i="1"/>
  <c r="E22116" i="1"/>
  <c r="B22116" i="1"/>
  <c r="E22117" i="1"/>
  <c r="B22117" i="1"/>
  <c r="E22118" i="1"/>
  <c r="B22118" i="1"/>
  <c r="E22119" i="1"/>
  <c r="B22119" i="1"/>
  <c r="E22120" i="1"/>
  <c r="B22120" i="1"/>
  <c r="E22121" i="1"/>
  <c r="B22121" i="1"/>
  <c r="E22122" i="1"/>
  <c r="B22122" i="1"/>
  <c r="E22123" i="1"/>
  <c r="B22123" i="1"/>
  <c r="E22124" i="1"/>
  <c r="B22124" i="1"/>
  <c r="E22125" i="1"/>
  <c r="B22125" i="1"/>
  <c r="E22126" i="1"/>
  <c r="B22126" i="1"/>
  <c r="E22127" i="1"/>
  <c r="B22127" i="1"/>
  <c r="E22128" i="1"/>
  <c r="B22128" i="1"/>
  <c r="E22129" i="1"/>
  <c r="B22129" i="1"/>
  <c r="E22130" i="1"/>
  <c r="B22130" i="1"/>
  <c r="E22131" i="1"/>
  <c r="B22131" i="1"/>
  <c r="E22132" i="1"/>
  <c r="B22132" i="1"/>
  <c r="E22134" i="1"/>
  <c r="B22134" i="1"/>
  <c r="E22133" i="1"/>
  <c r="B22133" i="1"/>
  <c r="E22135" i="1"/>
  <c r="B22135" i="1"/>
  <c r="E22136" i="1"/>
  <c r="B22136" i="1"/>
  <c r="E22137" i="1"/>
  <c r="B22137" i="1"/>
  <c r="E22138" i="1"/>
  <c r="B22138" i="1"/>
  <c r="E22139" i="1"/>
  <c r="B22139" i="1"/>
  <c r="E22140" i="1"/>
  <c r="B22140" i="1"/>
  <c r="E22141" i="1"/>
  <c r="B22141" i="1"/>
  <c r="E22142" i="1"/>
  <c r="B22142" i="1"/>
  <c r="E22143" i="1"/>
  <c r="B22143" i="1"/>
  <c r="E22144" i="1"/>
  <c r="B22144" i="1"/>
  <c r="E22145" i="1"/>
  <c r="B22145" i="1"/>
  <c r="E22146" i="1"/>
  <c r="B22146" i="1"/>
  <c r="E22147" i="1"/>
  <c r="B22147" i="1"/>
  <c r="E22148" i="1"/>
  <c r="B22148" i="1"/>
  <c r="E22149" i="1"/>
  <c r="B22149" i="1"/>
  <c r="E22150" i="1"/>
  <c r="B22150" i="1"/>
  <c r="E22151" i="1"/>
  <c r="B22151" i="1"/>
  <c r="E22152" i="1"/>
  <c r="B22152" i="1"/>
  <c r="E22153" i="1"/>
  <c r="B22153" i="1"/>
  <c r="E22154" i="1"/>
  <c r="B22154" i="1"/>
  <c r="E22155" i="1"/>
  <c r="B22155" i="1"/>
  <c r="E22156" i="1"/>
  <c r="B22156" i="1"/>
  <c r="E22157" i="1"/>
  <c r="B22157" i="1"/>
  <c r="E22158" i="1"/>
  <c r="B22158" i="1"/>
  <c r="E22159" i="1"/>
  <c r="B22159" i="1"/>
  <c r="E22160" i="1"/>
  <c r="B22160" i="1"/>
  <c r="E22161" i="1"/>
  <c r="B22161" i="1"/>
  <c r="E22162" i="1"/>
  <c r="B22162" i="1"/>
  <c r="E22163" i="1"/>
  <c r="B22163" i="1"/>
  <c r="E22164" i="1"/>
  <c r="B22164" i="1"/>
  <c r="E22165" i="1"/>
  <c r="B22165" i="1"/>
  <c r="E22166" i="1"/>
  <c r="B22166" i="1"/>
  <c r="E22167" i="1"/>
  <c r="B22167" i="1"/>
  <c r="E22168" i="1"/>
  <c r="B22168" i="1"/>
  <c r="E22169" i="1"/>
  <c r="B22169" i="1"/>
  <c r="E22170" i="1"/>
  <c r="B22170" i="1"/>
  <c r="E22171" i="1"/>
  <c r="B22171" i="1"/>
  <c r="E22172" i="1"/>
  <c r="B22172" i="1"/>
  <c r="E22173" i="1"/>
  <c r="B22173" i="1"/>
  <c r="E22174" i="1"/>
  <c r="B22174" i="1"/>
  <c r="E22175" i="1"/>
  <c r="B22175" i="1"/>
  <c r="E22176" i="1"/>
  <c r="B22176" i="1"/>
  <c r="E22177" i="1"/>
  <c r="B22177" i="1"/>
  <c r="E22178" i="1"/>
  <c r="B22178" i="1"/>
  <c r="E22179" i="1"/>
  <c r="B22179" i="1"/>
  <c r="E22180" i="1"/>
  <c r="B22180" i="1"/>
  <c r="E22181" i="1"/>
  <c r="B22181" i="1"/>
  <c r="E22182" i="1"/>
  <c r="B22182" i="1"/>
  <c r="E22183" i="1"/>
  <c r="B22183" i="1"/>
  <c r="E22184" i="1"/>
  <c r="B22184" i="1"/>
  <c r="E22185" i="1"/>
  <c r="B22185" i="1"/>
  <c r="E22186" i="1"/>
  <c r="B22186" i="1"/>
  <c r="E22187" i="1"/>
  <c r="B22187" i="1"/>
  <c r="E22188" i="1"/>
  <c r="B22188" i="1"/>
  <c r="E22189" i="1"/>
  <c r="B22189" i="1"/>
  <c r="E22190" i="1"/>
  <c r="B22190" i="1"/>
  <c r="E22191" i="1"/>
  <c r="B22191" i="1"/>
  <c r="E22192" i="1"/>
  <c r="B22192" i="1"/>
  <c r="E22193" i="1"/>
  <c r="B22193" i="1"/>
  <c r="E22194" i="1"/>
  <c r="B22194" i="1"/>
  <c r="E22195" i="1"/>
  <c r="B22195" i="1"/>
  <c r="E22196" i="1"/>
  <c r="B22196" i="1"/>
  <c r="E22197" i="1"/>
  <c r="B22197" i="1"/>
  <c r="E22198" i="1"/>
  <c r="B22198" i="1"/>
  <c r="E22199" i="1"/>
  <c r="B22199" i="1"/>
  <c r="E22200" i="1"/>
  <c r="B22200" i="1"/>
  <c r="E22201" i="1"/>
  <c r="B22201" i="1"/>
  <c r="E22202" i="1"/>
  <c r="B22202" i="1"/>
  <c r="E22203" i="1"/>
  <c r="B22203" i="1"/>
  <c r="E22204" i="1"/>
  <c r="B22204" i="1"/>
  <c r="E22205" i="1"/>
  <c r="B22205" i="1"/>
  <c r="E22206" i="1"/>
  <c r="B22206" i="1"/>
  <c r="E22207" i="1"/>
  <c r="B22207" i="1"/>
  <c r="E22208" i="1"/>
  <c r="B22208" i="1"/>
  <c r="E22209" i="1"/>
  <c r="B22209" i="1"/>
  <c r="E22210" i="1"/>
  <c r="B22210" i="1"/>
  <c r="E22211" i="1"/>
  <c r="B22211" i="1"/>
  <c r="E22212" i="1"/>
  <c r="B22212" i="1"/>
  <c r="E22213" i="1"/>
  <c r="B22213" i="1"/>
  <c r="E22214" i="1"/>
  <c r="B22214" i="1"/>
  <c r="E22215" i="1"/>
  <c r="B22215" i="1"/>
  <c r="E22216" i="1"/>
  <c r="B22216" i="1"/>
  <c r="E22217" i="1"/>
  <c r="B22217" i="1"/>
  <c r="E22218" i="1"/>
  <c r="B22218" i="1"/>
  <c r="E22219" i="1"/>
  <c r="B22219" i="1"/>
  <c r="E22220" i="1"/>
  <c r="B22220" i="1"/>
  <c r="E22221" i="1"/>
  <c r="B22221" i="1"/>
  <c r="E22222" i="1"/>
  <c r="B22222" i="1"/>
  <c r="E22223" i="1"/>
  <c r="B22223" i="1"/>
  <c r="E22224" i="1"/>
  <c r="B22224" i="1"/>
  <c r="E22225" i="1"/>
  <c r="B22225" i="1"/>
  <c r="E22226" i="1"/>
  <c r="B22226" i="1"/>
  <c r="E22228" i="1"/>
  <c r="B22228" i="1"/>
  <c r="E22227" i="1"/>
  <c r="B22227" i="1"/>
  <c r="E22229" i="1"/>
  <c r="B22229" i="1"/>
  <c r="E22230" i="1"/>
  <c r="B22230" i="1"/>
  <c r="E22231" i="1"/>
  <c r="B22231" i="1"/>
  <c r="E22232" i="1"/>
  <c r="B22232" i="1"/>
  <c r="E22233" i="1"/>
  <c r="B22233" i="1"/>
  <c r="E22234" i="1"/>
  <c r="B22234" i="1"/>
  <c r="E22235" i="1"/>
  <c r="B22235" i="1"/>
  <c r="E22236" i="1"/>
  <c r="B22236" i="1"/>
  <c r="E22237" i="1"/>
  <c r="B22237" i="1"/>
  <c r="E22238" i="1"/>
  <c r="B22238" i="1"/>
  <c r="E22239" i="1"/>
  <c r="B22239" i="1"/>
  <c r="E22240" i="1"/>
  <c r="B22240" i="1"/>
  <c r="E22241" i="1"/>
  <c r="B22241" i="1"/>
  <c r="E22242" i="1"/>
  <c r="B22242" i="1"/>
  <c r="E22243" i="1"/>
  <c r="B22243" i="1"/>
  <c r="E22244" i="1"/>
  <c r="B22244" i="1"/>
  <c r="E22245" i="1"/>
  <c r="B22245" i="1"/>
  <c r="E22246" i="1"/>
  <c r="B22246" i="1"/>
  <c r="E22247" i="1"/>
  <c r="B22247" i="1"/>
  <c r="E22248" i="1"/>
  <c r="B22248" i="1"/>
  <c r="E22249" i="1"/>
  <c r="B22249" i="1"/>
  <c r="E22250" i="1"/>
  <c r="B22250" i="1"/>
  <c r="E22251" i="1"/>
  <c r="B22251" i="1"/>
  <c r="E22252" i="1"/>
  <c r="B22252" i="1"/>
  <c r="E22253" i="1"/>
  <c r="B22253" i="1"/>
  <c r="E22254" i="1"/>
  <c r="B22254" i="1"/>
  <c r="E22255" i="1"/>
  <c r="B22255" i="1"/>
  <c r="E22256" i="1"/>
  <c r="B22256" i="1"/>
  <c r="E22257" i="1"/>
  <c r="B22257" i="1"/>
  <c r="E22258" i="1"/>
  <c r="B22258" i="1"/>
  <c r="E22259" i="1"/>
  <c r="B22259" i="1"/>
  <c r="E22260" i="1"/>
  <c r="B22260" i="1"/>
  <c r="E22261" i="1"/>
  <c r="B22261" i="1"/>
  <c r="E22262" i="1"/>
  <c r="B22262" i="1"/>
  <c r="E22263" i="1"/>
  <c r="B22263" i="1"/>
  <c r="E22264" i="1"/>
  <c r="B22264" i="1"/>
  <c r="E22265" i="1"/>
  <c r="B22265" i="1"/>
  <c r="E22266" i="1"/>
  <c r="B22266" i="1"/>
  <c r="E22267" i="1"/>
  <c r="B22267" i="1"/>
  <c r="E22268" i="1"/>
  <c r="B22268" i="1"/>
  <c r="E22269" i="1"/>
  <c r="B22269" i="1"/>
  <c r="E22270" i="1"/>
  <c r="B22270" i="1"/>
  <c r="E22271" i="1"/>
  <c r="B22271" i="1"/>
  <c r="E22272" i="1"/>
  <c r="B22272" i="1"/>
  <c r="E22273" i="1"/>
  <c r="B22273" i="1"/>
  <c r="E22274" i="1"/>
  <c r="B22274" i="1"/>
  <c r="E22275" i="1"/>
  <c r="B22275" i="1"/>
  <c r="E22276" i="1"/>
  <c r="B22276" i="1"/>
  <c r="E22277" i="1"/>
  <c r="B22277" i="1"/>
  <c r="E22278" i="1"/>
  <c r="B22278" i="1"/>
  <c r="E22279" i="1"/>
  <c r="B22279" i="1"/>
  <c r="E22280" i="1"/>
  <c r="B22280" i="1"/>
  <c r="E22281" i="1"/>
  <c r="B22281" i="1"/>
  <c r="E22282" i="1"/>
  <c r="B22282" i="1"/>
  <c r="E22283" i="1"/>
  <c r="B22283" i="1"/>
  <c r="E22284" i="1"/>
  <c r="B22284" i="1"/>
  <c r="E22285" i="1"/>
  <c r="B22285" i="1"/>
  <c r="E22286" i="1"/>
  <c r="B22286" i="1"/>
  <c r="E22287" i="1"/>
  <c r="B22287" i="1"/>
  <c r="E22288" i="1"/>
  <c r="B22288" i="1"/>
  <c r="E22289" i="1"/>
  <c r="B22289" i="1"/>
  <c r="E22290" i="1"/>
  <c r="B22290" i="1"/>
  <c r="E22291" i="1"/>
  <c r="B22291" i="1"/>
  <c r="E22292" i="1"/>
  <c r="B22292" i="1"/>
  <c r="E22293" i="1"/>
  <c r="B22293" i="1"/>
  <c r="E22294" i="1"/>
  <c r="B22294" i="1"/>
  <c r="E22295" i="1"/>
  <c r="B22295" i="1"/>
  <c r="E22296" i="1"/>
  <c r="B22296" i="1"/>
  <c r="E22297" i="1"/>
  <c r="B22297" i="1"/>
  <c r="E22298" i="1"/>
  <c r="B22298" i="1"/>
  <c r="E22299" i="1"/>
  <c r="B22299" i="1"/>
  <c r="E22300" i="1"/>
  <c r="B22300" i="1"/>
  <c r="E22301" i="1"/>
  <c r="B22301" i="1"/>
  <c r="E22302" i="1"/>
  <c r="B22302" i="1"/>
  <c r="E22303" i="1"/>
  <c r="B22303" i="1"/>
  <c r="E22304" i="1"/>
  <c r="B22304" i="1"/>
  <c r="E22305" i="1"/>
  <c r="B22305" i="1"/>
  <c r="E22306" i="1"/>
  <c r="B22306" i="1"/>
  <c r="E22307" i="1"/>
  <c r="B22307" i="1"/>
  <c r="E22308" i="1"/>
  <c r="B22308" i="1"/>
  <c r="E22309" i="1"/>
  <c r="B22309" i="1"/>
  <c r="E22310" i="1"/>
  <c r="B22310" i="1"/>
  <c r="E22311" i="1"/>
  <c r="B22311" i="1"/>
  <c r="E22312" i="1"/>
  <c r="B22312" i="1"/>
  <c r="E22313" i="1"/>
  <c r="B22313" i="1"/>
  <c r="E22314" i="1"/>
  <c r="B22314" i="1"/>
  <c r="E22315" i="1"/>
  <c r="B22315" i="1"/>
  <c r="E22316" i="1"/>
  <c r="B22316" i="1"/>
  <c r="E22317" i="1"/>
  <c r="B22317" i="1"/>
  <c r="E22318" i="1"/>
  <c r="B22318" i="1"/>
  <c r="E22319" i="1"/>
  <c r="B22319" i="1"/>
  <c r="E22320" i="1"/>
  <c r="B22320" i="1"/>
  <c r="E22321" i="1"/>
  <c r="B22321" i="1"/>
  <c r="E22322" i="1"/>
  <c r="B22322" i="1"/>
  <c r="E22323" i="1"/>
  <c r="B22323" i="1"/>
  <c r="E22324" i="1"/>
  <c r="B22324" i="1"/>
  <c r="E22325" i="1"/>
  <c r="B22325" i="1"/>
  <c r="E22326" i="1"/>
  <c r="B22326" i="1"/>
  <c r="E22327" i="1"/>
  <c r="B22327" i="1"/>
  <c r="E22328" i="1"/>
  <c r="B22328" i="1"/>
  <c r="E22329" i="1"/>
  <c r="B22329" i="1"/>
  <c r="E22330" i="1"/>
  <c r="B22330" i="1"/>
  <c r="E22331" i="1"/>
  <c r="B22331" i="1"/>
  <c r="E22332" i="1"/>
  <c r="B22332" i="1"/>
  <c r="E22333" i="1"/>
  <c r="B22333" i="1"/>
  <c r="E22334" i="1"/>
  <c r="B22334" i="1"/>
  <c r="E22335" i="1"/>
  <c r="B22335" i="1"/>
  <c r="E22336" i="1"/>
  <c r="B22336" i="1"/>
  <c r="E22338" i="1"/>
  <c r="B22338" i="1"/>
  <c r="E22337" i="1"/>
  <c r="B22337" i="1"/>
  <c r="E22339" i="1"/>
  <c r="B22339" i="1"/>
  <c r="E22340" i="1"/>
  <c r="B22340" i="1"/>
  <c r="E22341" i="1"/>
  <c r="B22341" i="1"/>
  <c r="E22342" i="1"/>
  <c r="B22342" i="1"/>
  <c r="E22343" i="1"/>
  <c r="B22343" i="1"/>
  <c r="E22344" i="1"/>
  <c r="B22344" i="1"/>
  <c r="E22345" i="1"/>
  <c r="B22345" i="1"/>
  <c r="E22346" i="1"/>
  <c r="B22346" i="1"/>
  <c r="E22347" i="1"/>
  <c r="B22347" i="1"/>
  <c r="E22348" i="1"/>
  <c r="B22348" i="1"/>
  <c r="E22350" i="1"/>
  <c r="B22350" i="1"/>
  <c r="E22349" i="1"/>
  <c r="B22349" i="1"/>
  <c r="E22351" i="1"/>
  <c r="B22351" i="1"/>
  <c r="E22352" i="1"/>
  <c r="B22352" i="1"/>
  <c r="E22353" i="1"/>
  <c r="B22353" i="1"/>
  <c r="E22354" i="1"/>
  <c r="B22354" i="1"/>
  <c r="E22356" i="1"/>
  <c r="B22356" i="1"/>
  <c r="E22355" i="1"/>
  <c r="B22355" i="1"/>
  <c r="E22357" i="1"/>
  <c r="B22357" i="1"/>
  <c r="E22358" i="1"/>
  <c r="B22358" i="1"/>
  <c r="E22359" i="1"/>
  <c r="B22359" i="1"/>
  <c r="E22360" i="1"/>
  <c r="B22360" i="1"/>
  <c r="E22361" i="1"/>
  <c r="B22361" i="1"/>
  <c r="E22362" i="1"/>
  <c r="B22362" i="1"/>
  <c r="E22363" i="1"/>
  <c r="B22363" i="1"/>
  <c r="E22364" i="1"/>
  <c r="B22364" i="1"/>
  <c r="E22365" i="1"/>
  <c r="B22365" i="1"/>
  <c r="E22366" i="1"/>
  <c r="B22366" i="1"/>
  <c r="E22367" i="1"/>
  <c r="B22367" i="1"/>
  <c r="E22368" i="1"/>
  <c r="B22368" i="1"/>
  <c r="E22369" i="1"/>
  <c r="B22369" i="1"/>
  <c r="E22370" i="1"/>
  <c r="B22370" i="1"/>
  <c r="E22371" i="1"/>
  <c r="B22371" i="1"/>
  <c r="E22372" i="1"/>
  <c r="B22372" i="1"/>
  <c r="E22373" i="1"/>
  <c r="B22373" i="1"/>
  <c r="E22374" i="1"/>
  <c r="B22374" i="1"/>
  <c r="E22375" i="1"/>
  <c r="B22375" i="1"/>
  <c r="E22376" i="1"/>
  <c r="B22376" i="1"/>
  <c r="E22377" i="1"/>
  <c r="B22377" i="1"/>
  <c r="E22378" i="1"/>
  <c r="B22378" i="1"/>
  <c r="E22379" i="1"/>
  <c r="B22379" i="1"/>
  <c r="E22380" i="1"/>
  <c r="B22380" i="1"/>
  <c r="E22381" i="1"/>
  <c r="B22381" i="1"/>
  <c r="E22382" i="1"/>
  <c r="B22382" i="1"/>
  <c r="E22383" i="1"/>
  <c r="B22383" i="1"/>
  <c r="E22384" i="1"/>
  <c r="B22384" i="1"/>
  <c r="E22385" i="1"/>
  <c r="B22385" i="1"/>
  <c r="E22386" i="1"/>
  <c r="B22386" i="1"/>
  <c r="E22387" i="1"/>
  <c r="B22387" i="1"/>
  <c r="E22388" i="1"/>
  <c r="B22388" i="1"/>
  <c r="E22390" i="1"/>
  <c r="B22390" i="1"/>
  <c r="E22389" i="1"/>
  <c r="B22389" i="1"/>
  <c r="E22391" i="1"/>
  <c r="B22391" i="1"/>
  <c r="E22392" i="1"/>
  <c r="B22392" i="1"/>
  <c r="E22393" i="1"/>
  <c r="B22393" i="1"/>
  <c r="E22395" i="1"/>
  <c r="B22395" i="1"/>
  <c r="E22394" i="1"/>
  <c r="B22394" i="1"/>
  <c r="E22396" i="1"/>
  <c r="B22396" i="1"/>
  <c r="E22397" i="1"/>
  <c r="B22397" i="1"/>
  <c r="E22398" i="1"/>
  <c r="B22398" i="1"/>
  <c r="E22399" i="1"/>
  <c r="B22399" i="1"/>
  <c r="E22400" i="1"/>
  <c r="B22400" i="1"/>
  <c r="E22401" i="1"/>
  <c r="B22401" i="1"/>
  <c r="E22402" i="1"/>
  <c r="B22402" i="1"/>
  <c r="E22403" i="1"/>
  <c r="B22403" i="1"/>
  <c r="E22404" i="1"/>
  <c r="B22404" i="1"/>
  <c r="E22405" i="1"/>
  <c r="B22405" i="1"/>
  <c r="E22406" i="1"/>
  <c r="B22406" i="1"/>
  <c r="E22407" i="1"/>
  <c r="B22407" i="1"/>
  <c r="E22408" i="1"/>
  <c r="B22408" i="1"/>
  <c r="E22409" i="1"/>
  <c r="B22409" i="1"/>
  <c r="E22410" i="1"/>
  <c r="B22410" i="1"/>
  <c r="E22411" i="1"/>
  <c r="B22411" i="1"/>
  <c r="E22412" i="1"/>
  <c r="B22412" i="1"/>
  <c r="E22413" i="1"/>
  <c r="B22413" i="1"/>
  <c r="E22414" i="1"/>
  <c r="B22414" i="1"/>
  <c r="E22415" i="1"/>
  <c r="B22415" i="1"/>
  <c r="E22416" i="1"/>
  <c r="B22416" i="1"/>
  <c r="E22417" i="1"/>
  <c r="B22417" i="1"/>
  <c r="E22418" i="1"/>
  <c r="B22418" i="1"/>
  <c r="E22419" i="1"/>
  <c r="B22419" i="1"/>
  <c r="E22420" i="1"/>
  <c r="B22420" i="1"/>
  <c r="E22421" i="1"/>
  <c r="B22421" i="1"/>
  <c r="E22422" i="1"/>
  <c r="B22422" i="1"/>
  <c r="E22423" i="1"/>
  <c r="B22423" i="1"/>
  <c r="E22424" i="1"/>
  <c r="B22424" i="1"/>
  <c r="E22425" i="1"/>
  <c r="B22425" i="1"/>
  <c r="E22426" i="1"/>
  <c r="B22426" i="1"/>
  <c r="E22427" i="1"/>
  <c r="B22427" i="1"/>
  <c r="E22428" i="1"/>
  <c r="B22428" i="1"/>
  <c r="E22429" i="1"/>
  <c r="B22429" i="1"/>
  <c r="E22430" i="1"/>
  <c r="B22430" i="1"/>
  <c r="E22431" i="1"/>
  <c r="B22431" i="1"/>
  <c r="E22432" i="1"/>
  <c r="B22432" i="1"/>
  <c r="E22433" i="1"/>
  <c r="B22433" i="1"/>
  <c r="E22434" i="1"/>
  <c r="B22434" i="1"/>
  <c r="E22435" i="1"/>
  <c r="B22435" i="1"/>
  <c r="E22436" i="1"/>
  <c r="B22436" i="1"/>
  <c r="E22437" i="1"/>
  <c r="B22437" i="1"/>
  <c r="E22438" i="1"/>
  <c r="B22438" i="1"/>
  <c r="E22439" i="1"/>
  <c r="B22439" i="1"/>
  <c r="E22440" i="1"/>
  <c r="B22440" i="1"/>
  <c r="E22441" i="1"/>
  <c r="B22441" i="1"/>
</calcChain>
</file>

<file path=xl/sharedStrings.xml><?xml version="1.0" encoding="utf-8"?>
<sst xmlns="http://schemas.openxmlformats.org/spreadsheetml/2006/main" count="134648" uniqueCount="44163">
  <si>
    <t>事件分析名称</t>
  </si>
  <si>
    <t>标题</t>
  </si>
  <si>
    <t>倾向性</t>
  </si>
  <si>
    <t>来源网站</t>
  </si>
  <si>
    <t>链接地址</t>
  </si>
  <si>
    <t>媒体类别</t>
  </si>
  <si>
    <t>发布时间</t>
  </si>
  <si>
    <t>摘要</t>
  </si>
  <si>
    <t>ts.21cn.com 10.1</t>
  </si>
  <si>
    <t>负面</t>
  </si>
  <si>
    <t>聚投诉</t>
  </si>
  <si>
    <t>论坛</t>
  </si>
  <si>
    <t>2019/10/11 23:59:38</t>
  </si>
  <si>
    <t>本人是租客，4月6号签的合同，付了6＋1房租和押金，房东后续没收到公司房租，强制要求我们搬出，联系公司已空无一人，和房东商量了我们出原来房租的一半继续租房居住，我们在原来的基础上多出了4125。</t>
  </si>
  <si>
    <t>2019/10/11 23:54:08</t>
  </si>
  <si>
    <t>2019年10月份，忘记几号了，那天我下载了一个借钱软件叫分期通，我注册了个账号，也实名认证了，我点了立即借款后，要我开通会员才可以，开通会员要249元，我也没多想就开通了，结果还要我下载其他借款软件，我不想借了，想要退款，非得上传申请三个借钱软件申请不成功的图片，才能退款，我又打了分期通的客服电话，结果没用，我就把这个软件卸载了，过了几天我想下载就找不到了。</t>
  </si>
  <si>
    <t>2019/10/11 23:53:19</t>
  </si>
  <si>
    <t>6000153******11来分期不给协商。</t>
  </si>
  <si>
    <t>2019/10/11 23:51:52</t>
  </si>
  <si>
    <t>陕西通联支付,易宝支付北京分公司,易宝支付。</t>
  </si>
  <si>
    <t>2019/10/11 23:49:19</t>
  </si>
  <si>
    <t>宜信普惠没有通过我本人，给我的好友，单位打电话，损坏名誉，希望有关人员能够处理。</t>
  </si>
  <si>
    <t>2019/10/11 23:48:41</t>
  </si>
  <si>
    <t>上海你我贷金融信息服务有限公司，你我贷平台泄露个人隐私，恶意骚扰他人，诬陷他人借款，假借他人信息利用短信对其恐吓威胁，不断骚扰我身边亲朋好友，社会不宁，百姓不安，已截图保留证据去扫黑办举报。</t>
  </si>
  <si>
    <t>2019/10/11 23:47:46</t>
  </si>
  <si>
    <t>投诉人裴先生投诉对象庆乐淘涉诉金额540元问题类型诉求类型投诉详情本人在庆乐淘网站卖出一个游戏账号金额为270元交易成功后本人提现，被告知提现失败冻结我270元钱，找到在线客服告诉我我自己操作失误要求重置相同的钱来解冻我充值270元后再次冻结，说我没有多充值零头给她们，他们不承认要求4在冻结的540元的基础上再4倍充值，该行为严重欺骗消费者。</t>
  </si>
  <si>
    <t>2019/10/11 23:46:16</t>
  </si>
  <si>
    <t>投诉人戴女士投诉对象甜甜圈涉诉金额10000元问题类型诉求类型投诉详情甜甜圈平台首先是高炮平台其次还款当天下午2点就说逾期了打通讯录说欠钱不还不知道哪里来的底气要你五分钟还没不还就顺着通讯录打电话口气嚣张跋扈本人承诺今天会处理根本不听必须五分钟处理好希望有关部门重视这些现象这些不是黑恶势力是什么。</t>
  </si>
  <si>
    <t>2019/10/11 23:46:05</t>
  </si>
  <si>
    <t>投诉人张先生投诉对象钱站,华夏银行涉诉金额1000元问题类型诉求类型投诉详情钱站合同金额1330到账金额1000每个月还595这明显忽悠人了。</t>
  </si>
  <si>
    <t>2019/10/11 23:45:00</t>
  </si>
  <si>
    <t>兴业银行信用卡委托第三方催收对我非法催收，态度恶劣，而且各种恐吓，因为特殊情况不能让家里人知道，然后就拿上门威胁我，并且说如果上门以后警察会直接抓人，并且还要掏本金三四倍的上门费，我本金一万五说我最少还要掏四万五的上门费还有罚息和诉讼费，并且说如果上门一次找不到我人的话就给我报网络追逃上传网络通缉，完全套路贷的催收方式，我跟他们说分期还款，他们不同意，而且还说如果上门对我家人造成任何损失他们不负责，这完完全全就是暴力催收的典型案例，我多次联系兴业银行投诉无果，希望有关部门能帮忙制止这种非法行为！。</t>
  </si>
  <si>
    <t>2019/10/11 23:44:58</t>
  </si>
  <si>
    <t>本人于，2019年8月17日上午9:29，在这个来分期这个平台借800元，结果到账26700元，当时我给客服打电话，一直打一直不接，后面下午打通了，跟客服协商，叫我先还有一单4400元，结果我还5085元，几个小时时间叫要这么高的服务费，我一个月工资才3000来块，我哪里还的起，我实在是没有能力偿还了，还没有到还款时间就打电话，还款的那一天就一直打电话骚扰我，还到处泄露我个人信息，请有人管管这平台吗。</t>
  </si>
  <si>
    <t>中性</t>
  </si>
  <si>
    <t>2019/10/11 23:43:44</t>
  </si>
  <si>
    <t>本人于6月份入住淘集集，7月份提现第一笔金额到10月份还没有到账，客服回复是超过规定时间不保时，更是让人觉得不稳，满怀期待的以为能赚到人生的第一桶金，没想到只有数字却不见钱，说好的淘+1呢。</t>
  </si>
  <si>
    <t>2019/10/11 23:41:01</t>
  </si>
  <si>
    <t>投诉人 郭先生        投诉对象  钱站        涉诉金额  1 500 元    问题类型    诉求类型投诉详情  借1000利息800在抢钱吗 必须打击??爆通讯录 恐吓 威胁</t>
  </si>
  <si>
    <t>2019/10/11 23:40:17</t>
  </si>
  <si>
    <t>投诉人余闯余投诉对象蜂鸟众包涉诉金额15元问题类型诉求类型投诉详情手忙脚乱的不小心点到了，就点送达了一个个单才5.8元扣款就扣15不公平。</t>
  </si>
  <si>
    <t>2019/10/11 23:40:15</t>
  </si>
  <si>
    <t>本人于2019年9月份在玖富万卡APP上借款，分12期还款，因个人原因于11日当晚22：40分在玖富万卡APP上手动还款，多次在玖富万卡APP上手动操作总是还款失败，因玖富万卡系统原因可能引起个人征信及罚金问题，希望玖富万卡于以解决。</t>
  </si>
  <si>
    <t>2019/10/11 23:37:32</t>
  </si>
  <si>
    <t>投诉人何先生投诉对象环球黑卡涉诉金额299元问题类型诉求类型投诉详情住是平台授信而非第三方嫁接信用额，每月使用信用额，下月还款，没有利息，可是我的信用度很好，连银行信用卡都给出的20万的固定信用额，他们无法审批通过，这个我认了，毕竟可能审核纬度不同，可是全国出现的这样的黑卡持卡人高达几万人甚至几十万人，全部没有拿到信用额！这也算了，没有信用额，提供其他服务也可以，可是他们里面的服务全部都要收服务费，而且商品或者服务价格比市场一样甚至更贵，现在平台搞了好多网贷金融进驻平台，打算忽悠我们用网贷消费，有点诱导性忽</t>
  </si>
  <si>
    <t>2019/10/11 23:36:55</t>
  </si>
  <si>
    <t>投诉人李先生投诉对象360借条涉诉金额33351元问题类型诉求类型投诉详情以前刚逾期时，360借条电话威胁说，没钱还就爆通讯录找人还，那时候我也说如果你们觉得能找到人还钱了，就别再来找我了，不过最近看到360频繁发信息说要往户籍地发催收涵，之前本人也多次联系360客服，要求协商或停止催收，等待本人还清信用卡后再来还他们，不是不想还，而是欠的太多没法全部还只能一家一家的来，如果360借条觉得想早点收回本金，请减免利息等费用，只还本金，可分期的话，我将尽快优先处理。</t>
  </si>
  <si>
    <t>2019/10/11 23:36:35</t>
  </si>
  <si>
    <t>自称是受广发银行委托处理我的信用卡欠款问题，，说让我全款处理我的信用卡，说再不处理逾期就把我案子交到调查组，说要到我家里去找我做调查，说要到我的工作单位调查我，，我说我不是不还款，我没有全款的能力，能不能先还一部分，他态度及其恶劣说不行，，明天上午11点处理不到位，就去我家，去我单位还有律师函，，中午1点左右给我打来电话说有人一直给她电话，接通了电话就开始凶我妈说，开除她，让她上不了了班，1点10几分我当时就给广发银行打电话说了这个情况，，暂停催收，我提供了催收人员的座机号码和手机号码，我给催收人员打电话打</t>
  </si>
  <si>
    <t>2019/10/11 23:36:11</t>
  </si>
  <si>
    <t>本人在月光侠分期申请了一笔贷款，结果到账4000多一点，典型高利贷砍头息，在本人不知情的情况下扣了900多所谓的担保费。</t>
  </si>
  <si>
    <t>2019/10/11 23:34:13</t>
  </si>
  <si>
    <t>当天只是在跟顾客聊价格，交易都是在拼多多产生，客户表示是学生老师会经常购买本店商品，方便交流添加客服微信，客户正常在10月3日在拼多多下单5本，10月5日又通过微信联系在拼多多下单2本，两笔交易都是通过拼多多这个平台进行的交易的，这边也是刚接触电商有些规则不太了解，这次了解了拼多多不允许，我们会遵守拼多多相关规定，继续经营好店铺，还有我们也在积极维护拼多多的口碑，不出售任何盗版商品，这个处罚确实太重了，难以承担缴纳这么多保证金，希望拼多多可以撤销处罚，我们也会引以为戒。</t>
  </si>
  <si>
    <t>2019/10/11 23:32:15</t>
  </si>
  <si>
    <t>投诉人孟先生投诉对象平安普惠涉诉金额20000元问题类型诉求类型投诉详情当时和工作人员协商，把给孩子买奶粉的钱都凑起来还完了本金还多还了好几万，现在又恶意催收诉讼。</t>
  </si>
  <si>
    <t>2019/10/11 23:29:09</t>
  </si>
  <si>
    <t>投诉人 李先生        投诉对象  拼多多        涉诉金额  1 730 元    问题类型    诉求类型投诉详情  商家不给退款 拼多多一直说给答复 客服介入时间已经过了还不给我解决 商家说支持验机 7无理由退款 一直没有得到消费者该有的权益</t>
  </si>
  <si>
    <t>2019/10/11 23:29:04</t>
  </si>
  <si>
    <t>投诉人童先生投诉对象信用飞涉诉金额2500元问题类型诉求类型投诉详情信用飞借款2500三月分期到账2000直接砍头息500每月还840已经还了一期才发现不对劲剩余两期还我500保险费我分期还正规利息本金。</t>
  </si>
  <si>
    <t>2019/10/11 23:27:36</t>
  </si>
  <si>
    <t>上门殴打老人家，到医院恐吓我家病人，骚扰我同事扰乱我的生活。</t>
  </si>
  <si>
    <t>2019/10/11 23:26:43</t>
  </si>
  <si>
    <t>投诉人李文明投诉对象瑞银信涉诉金额5000元问题类型诉求类型投诉详情2018.8.20顾客到店消费五千元客户用的瑞银信POS机刷卡消费五千元小票已出，本来应该实时到账一直到2019.10.11日五千元货款都未到账中间多次联系瑞银信400客服到目前为止，瑞银信公司没有人出面解决。</t>
  </si>
  <si>
    <t>2019/10/11 23:26:08</t>
  </si>
  <si>
    <t>投诉人魏女士投诉对象融360,爱消贷,开心兔,薪e贷,转转呗,酷花花,应急贷涉诉金额5000元问题类型诉求类型投诉详情融360.平台借款多次，扣除高额砍头息，本人要求归还部分利息，请平台能够尽快联系我协商处理。</t>
  </si>
  <si>
    <t>2019/10/11 23:25:48</t>
  </si>
  <si>
    <t>投诉人艾文韬投诉对象钱包易贷涉诉金额4822元问题类型诉求类型投诉详情8400，砍头息1200，致使本人及亲朋蒙受重大损失，我有意还清所有借款，但必须解决我的诉求。</t>
  </si>
  <si>
    <t>2019/10/11 23:24:34</t>
  </si>
  <si>
    <t>多次使用百度地图导航服务多次在未知地区导向逆行路段，还有往海里导航的问题造成多次在不熟悉的路段违章抓拍，要求百度地图承担错误导航方向所有的违章罚款，以下截图位置导航提示向左前方行驶结果左前方道路是反向车道实际路线是右前方行驶，在该处因导航指路错误发生驾驶人违章城市道路路口倒车被抓拍扣12分，要求百度地图承担该条违章罚款。</t>
  </si>
  <si>
    <t>2019/10/11 23:24:21</t>
  </si>
  <si>
    <t>在浦东机场诱导办理的凯行商旅卡，消费1000元送1000，当时感觉是官方的，就相信了，说买了这卡就可以以最低的价格抵扣机票，但是实际上需要一次抵扣几十块，而且机票比外面平台还贵，所以就一直不知道找哪里可以退款，打电话给他们也不处理，说了很废话，就是不退款，希望咱们平台调查处理，谢谢！。</t>
  </si>
  <si>
    <t>2019/10/11 23:24:12</t>
  </si>
  <si>
    <t>投诉人 欧志鹏        投诉对象  米米罐        涉诉金额  1 800 元    问题类型    诉求类型投诉详情  借款1800收了300会员费用 一个月后还款2480 套路贷 砍头利息</t>
  </si>
  <si>
    <t>2019/10/11 23:22:55</t>
  </si>
  <si>
    <t>投诉人亚凯投诉对象造艺科技,新生支付涉诉金额299元问题类型诉求类型投诉详情好几个朋友在聚富分期上借款时，都碰到过虚构合同私自扣钱，说了给处理一直不处理，欺诈行为严重，网上的投诉量也多是这种问题。</t>
  </si>
  <si>
    <t>2019/10/11 23:22:38</t>
  </si>
  <si>
    <t>在钱站平台借款，合同显示借款2600元期限三个月，分三期还，每期还1230.99元，三期就是3692.97元，3692.97-2600=1092.97元，这利息已很明显远远超出三分六息，已违反国家法律，而更可悲的是在按下确认借款合同后，借款额度又变成2000元，但每期依然是1230.99元还款，三期总还款还是3692.97元，即借2000元，三个月内共须还1692.97元利息，天哪！这等高利贷谁能承受，望有关部门管一管，不再让更多人相当受害。</t>
  </si>
  <si>
    <t>2019/10/11 23:22:10</t>
  </si>
  <si>
    <t>违法高利贷，砍头息，借3000到账1950六天期，第五天就开始催收。</t>
  </si>
  <si>
    <t>2019/10/11 23:21:10</t>
  </si>
  <si>
    <t>投诉人亚凯投诉对象造艺科技涉诉金额299元问题类型诉求类型投诉详情无缘无故扣取我银行卡余额，没有任何短信提醒，扣费短信没有任何关于扣款方的信息情况，我并没有与这个公司有任何的业务往来，&amp;lt;br&amp;gt;好几个朋友在聚富分期上借款时，都碰到过虚构合同私自扣钱，说了给处理一直不处理，欺诈行为严重，网上的投诉量也多是这种问题。</t>
  </si>
  <si>
    <t>2019/10/11 23:20:38</t>
  </si>
  <si>
    <t>不停骚扰本人周边的同事，朋友，家人，言语恐吓，威胁，到处破坏本人名誉，甚至半夜连续多次打骚扰电话，家里老人已被吓的连夜送进医院，立刻停止催收和骚扰，并道歉！！。</t>
  </si>
  <si>
    <t>2019/10/11 23:20:26</t>
  </si>
  <si>
    <t>光大银行股份有限公司苏州分行，联合新橙优品，苏州分行提供放款上征信，3000分6期，砍头息600，每月罚息百分之百，也就是本息翻倍，且并没有任何条件告知，此种欺瞒欺诈高额逾期费和砍头息，就是蛇鼠一窝。</t>
  </si>
  <si>
    <t>2019/10/11 23:20:10</t>
  </si>
  <si>
    <t>爱又米公司涉及虚假宣传，夸大会员效果，欺骗用户骗取199元会员费，还不予退款。</t>
  </si>
  <si>
    <t>2019/10/11 23:20:00</t>
  </si>
  <si>
    <t>从晚上9点左右开始自动还款！但就是还不进去！一直提示卡余额不足！但我卡里是有钱的！。</t>
  </si>
  <si>
    <t>2019/10/11 23:19:01</t>
  </si>
  <si>
    <t>滴滴出行的高级管理层人员，目前滴滴司机的生存环境非常恶劣,很多租车跑的滴滴司机都在巨亏,希望你们不要盲目用不断扩张司机这种手段来达到提高盈利和打压竞争对手的策略,这是非常非常愚蠢的,水能载舟也能覆舟这个道理估计你们是明白的,目前各区域内各行业的乘车人员并没有增加,而司机却是每天不断在增加,滴滴出行在平台上永久不断招募司机而订单却没有增加,这就造成了大量司机长时间要等候订单，流水也越来越少,这让广大滴滴司机如何生存,希望滴滴出行高级管理层能够重视这个问题,滴滴出行滴滴司机实际都是一家人,按企业性质来说滴滴司机</t>
  </si>
  <si>
    <t>2019/10/11 23:18:23</t>
  </si>
  <si>
    <t>畅捷支付为轻周转发放贷款并提供支付通道本人请求第四期进行减免，销帐处理。</t>
  </si>
  <si>
    <t>2019/10/11 23:17:54</t>
  </si>
  <si>
    <t>我是一位外科护士，去年因投资失败，欠了不少的贷款，其中就包括蚂蚁借呗，花呗，借呗还得只剩本金14500，花呗剩一千多这样子，因自己工资被其它银行代扣，暂时还不上款项，蚂蚁金服催收就使用暴力催收，威胁上门，暴打科室电话，辱骂我科室工作人员，使我们无法正常工作，我爱人本是医院职工，前两个月被迫离职，刚换了新单位，又暴打他新单位120急救电话，天理何在，是我欠的支付宝欠款，屡次骚扰我爱人，使他也无法安心工作，本人已经跟催收沟通过了，说明本人现在目前的情况，不但没有用还变本加厉！我的工作是救死扶伤，生命为本，这样暴</t>
  </si>
  <si>
    <t>2019/10/11 23:16:11</t>
  </si>
  <si>
    <t>渤海银行成都分行作为第三方支付平台，给黑彩网站提供不正规支付行为，底下证据确凿，忘有关部门调查。</t>
  </si>
  <si>
    <t>2019/10/11 23:16:03</t>
  </si>
  <si>
    <t>去年借款16600元，到账也没有16600，现在已经还款一年多了还有10706.85元没还，仔细看了下详情才知道有个保费8987.24元，保费还有利息，真不知道什么保费能是借款金额一半多，仔细算了下借款16600元，总还款28551.64元，还没有算当初扣了到账费用加起来也得3万了，这也太高的利息了，现在已还款17844.6元，已还够本金了，请求能不能减少利息，不然真的压力太大了没法还款了。</t>
  </si>
  <si>
    <t>2019/10/11 23:15:31</t>
  </si>
  <si>
    <t>投诉达内沈阳达内科技有限公司，一开始我是以招工作的去的然后那边就让我去面试，在面试途中开始骗我，说现在属于公司内部招人，公司内部培训，培训完考核然后可以在本公司上班然后说公司这边也帮你安排去别的公司去上班，然后开始忽悠我什么试用期4000－6000工资，转正后6000－8000我们这边有很多人，被忽悠了，让我们贷款啥的，说这都好挣，到时候就会回来钱，一想工资能挣得挺高还给安排工作，第一次给我们推的工作全都是破烂工作，人家还不一定能用我们，工资2000左右，然后又开始心灵鸡汤，现在我因为没有办法偿还贷款，现在</t>
  </si>
  <si>
    <t>2019/10/11 23:11:48</t>
  </si>
  <si>
    <t>没有通知本人，直接拨打联系人电话，频繁电话骚扰，严重影响家人，朋友的工作，生活。</t>
  </si>
  <si>
    <t>2019/10/11 23:11:41</t>
  </si>
  <si>
    <t>投诉人杨先生投诉对象拇指下款,海南圣云可网络科技有限公司涉诉金额298元问题类型诉求类型投诉详情拇指下款无缘无故分两天两次扣除银行卡内钱共计298.5元扣款单位新生-海南圣云可网络科技有限公司先要求退还恶意扣除款项。</t>
  </si>
  <si>
    <t>2019/10/11 23:11:32</t>
  </si>
  <si>
    <t>本人在填写了一下资料，结果弹出开通免密支付，我以为是还款的时候自动划扣，没想到这是个套路，直接把钱划走了，后来我就返回手机页面后，怎么都找不到这个聚富分期app了，事后才知道被骗了，打电话给客服，客服就让先撤诉，再退钱，上网看了一下，根本不退钱，这是他们习惯用的方法。</t>
  </si>
  <si>
    <t>投诉人李杰投诉对象天天贷涉诉金额1000元问题类型诉求类型投诉详情写的还款1000，到账金额才700，7天到期，还款1005，如此高的利息怎么还会存在，希望做出合理解释，本人已上岸，希望该平台尽快联系处理。</t>
  </si>
  <si>
    <t>2019/10/11 23:10:50</t>
  </si>
  <si>
    <t>恶意骚扰我家人，恐吓上门，导致我现在每天晚上睡不了，去医院检查怀疑我患了忧郁症，请求他们停止骚扰家人和公司。</t>
  </si>
  <si>
    <t>2019/10/11 23:10:32</t>
  </si>
  <si>
    <t>网贷平台爱又米，推出A+会员，对消费者及用户进行钓鱼，购买会员与否和是否能够成功借款毫无干系，本人购买了A+会员月余，未得到过任何权益，要求爱又米方退还会员费199元遭拒。</t>
  </si>
  <si>
    <t>2019/10/11 23:10:02</t>
  </si>
  <si>
    <t>投诉人钟先生投诉对象捷信金融涉诉金额0元问题类型诉求类型投诉详情捷信消费金融有限公司天天打我电话找人，都说了不认识这个人了，还天天打。</t>
  </si>
  <si>
    <t>2019/10/11 23:09:43</t>
  </si>
  <si>
    <t>通过给你花平台，借到你我贷借款，手动还款尝试了一天，从早上9点开始，截止到2019年10月11日19点50，手动还款一直操作不了，怎么回事。</t>
  </si>
  <si>
    <t>最近挺着急用钱的，所以申请了几个网贷，虽然下载了几个网贷，但是感觉利息都太高，所以都卸载了，今天不知道为什么银行卡莫名其妙的扣了一笔199元的费用，经查询是这个叫宏萨，信息科技有限公司扣的，我在百度上查了，有不少人都被这个公司给扣费了，因为申请网贷需要银行卡认证，我虽然申请了，但是我都没有借款，就连app都已经卸载了，没有产生借款，为什么还要扣费。</t>
  </si>
  <si>
    <t>2019/10/11 23:07:52</t>
  </si>
  <si>
    <t>投诉人童女士投诉对象捷信金融涉诉金额0元问题类型诉求类型投诉详情欠款人我并不认识经解释多次但是捷信还是一直电话骚扰，对我的生活工作造成困扰。</t>
  </si>
  <si>
    <t>2019/10/11 23:06:09</t>
  </si>
  <si>
    <t>我从2018年7月份注册蜂鸟众包，开始兼职跑单，虽然是兼职的但是风雨无阻，每天都在跑，2018年7月昆山没有蜂鸟众包是点我达，但是单子还是蜂鸟的单子，一直到2018年11月份昆山没有点我达了本人就一直跑蜂鸟，跑单中都是按平台的规定操作的，虽然每天跑的不多十几单，但是我从来没有间过，可以查本人的跑单记录，直到2019年10月11日早上我和往常一样刷脸开工，打开蜂鸟app一看限制接单，还是永久的我就郁闷了，作为一个老骑手，跑了一年多了，都是按平台的要求操作的，健康证都是在昆山第四人民医院办理的，说我没通过系统调</t>
  </si>
  <si>
    <t>2019/10/11 23:05:16</t>
  </si>
  <si>
    <t>2019年10月11号在工贸家电，创维以客户答谢会，主持人夸大其词的宣讲，还让我们看京东的价格，京东根本就没有成交量，误导我3999元购买了食材净化器，赠送了海尔空气净化器和创维破壁机和一对枕头，回来查看官网都没有标准定价，我要求退款退货。</t>
  </si>
  <si>
    <t>2019/10/11 23:05:07</t>
  </si>
  <si>
    <t>请在中午12左右打我电话，今年九月份在贵公司的掌上商店借款3000元，扣除700多转让费，，由于上个月资金出现问题没还上，现要求取消不合理利息，还我账户上的本金3000元，本人有还款意向。</t>
  </si>
  <si>
    <t>2019/10/11 23:05:00</t>
  </si>
  <si>
    <t>中国银联替国家严厉禁止的7/14高炮分期还提供违法支付，全部都是中国银联扣的款，多次收取高利贷。</t>
  </si>
  <si>
    <t>2019/10/11 23:04:32</t>
  </si>
  <si>
    <t>投诉人王先生投诉对象米多点涉诉金额1000元问题类型诉求类型投诉详情借款到帐1000元，一个月还1428元，借的时候没有还款计划，下款了才知道10天还1期，共3期，算下来1400多，今天刚逾期，上午接了催收电话说下午发了工资处理，中午休息没接上电话，下午13：30分联系上后让1分钟内处理，不然暴我通讯录，说了下午会处理也暴我通讯录，骚扰我家人朋友。</t>
  </si>
  <si>
    <t>2019/10/11 23:04:18</t>
  </si>
  <si>
    <t>投诉人肖先生投诉对象小花钱包涉诉金额10000元问题类型诉求类型投诉详情第一，本人于小花借款借入10000元，分12期，应还总额为12907.97，按照央行规定的等额本息法，以及法律支持的24%年化，一万元借款利息为1347.15，可见小花借款已严重超过法律规定，第二，本人计划提前结清借款，可在还款页面却被要求支付高额不知名费用872.57元，严重违反法律规定，第三，借款目前已还一期，未有逾期，且首期还款额高达1700多元，而借款本金只恢复了800多元，高额高标收费，因此，要求小花钱包协助我提前结清借款本金</t>
  </si>
  <si>
    <t>2019/10/11 23:04:02</t>
  </si>
  <si>
    <t>利息和各种费用太高了，严重超过国家规定利率，借2万元要还3万2元。</t>
  </si>
  <si>
    <t>2019/10/11 23:02:41</t>
  </si>
  <si>
    <t>本人于2019年8月借款5000元，分了6期，每期还款933.31元，因深陷高利贷套路贷，第一期逾期一天就给家里人打电话，造成家人跟本人心里极大压力，父亲因为这个已经住院，本人已经报案，现在协商还本金，利息无法承担，如果后续继续骚扰或者威胁，我相信警方会进行处理。</t>
  </si>
  <si>
    <t>2019/10/11 23:01:40</t>
  </si>
  <si>
    <t>投诉人田广投诉对象易到用车涉诉金额458元问题类型诉求类型投诉详情本人是易到的车主，去年的订单的车费全部在易到系统里至今一直不给提现，金额是458.01元。</t>
  </si>
  <si>
    <t>2019/10/11 23:01:28</t>
  </si>
  <si>
    <t>投诉人张先生投诉对象有赞涉诉金额0元问题类型诉求类型投诉详情我在他家咨询一款剃须刀直接就说你不要买！然后就开始骂人！骂好几十分钟！还扬言叫我等着！。</t>
  </si>
  <si>
    <t>2019/10/11 23:01:16</t>
  </si>
  <si>
    <t>投诉人 童先生        投诉对象  月光侠分期        涉诉金额  1 200 元    问题类型    诉求类型投诉详情  借6000 三期 直接砍头息1200 到账4800 每个月还2070 利息高至1400 而且不能取消下款 退头息1200 我只还本金</t>
  </si>
  <si>
    <t>2019/10/11 23:00:41</t>
  </si>
  <si>
    <t>造艺平台催收人员蛮不讲理，骚扰恐吓，和黑社会没分别。</t>
  </si>
  <si>
    <t>2019/10/11 23:00:20</t>
  </si>
  <si>
    <t>投诉人李先生投诉对象小鹿情感涉诉金额5000元问题类型诉求类型投诉详情失恋是一件很痛苦的事&amp;nbsp;可他们却利用人们心理弱点&amp;nbsp;欺骗别人的钱财和感情&amp;nbsp;我的服务没有到位&amp;nbsp;承诺只是空口无凭&amp;nbsp;他们说什么是什么说好的服务一个也没到位&amp;nbsp;只是在敷衍&amp;nbsp;推脱责任重大我一定要为自己维权&amp;nbsp;不想再继续受骗下去&amp;nbsp;我希望可以退回我的钱款&amp;nbsp;并且赔礼道歉&amp;nbsp;问题没解决结果怪罪到我头上&amp;nbsp;并且给出的方案一个也行不通&amp;nbsp;我不再相</t>
  </si>
  <si>
    <t>2019/10/11 22:59:28</t>
  </si>
  <si>
    <t>在2019年9月我在钱站申请了一笔10000元贷款，由于本人近期出现资金临时周转的问题没能按时还款，同时发现借款合同上面的借款金额为13200，跟当初签订的贵司借出10000元数额不符；，前期已与自称贵司告知还款客服人员本人情况并告知钱到账就会还，但近几天依然收到自称贵司的员工的催款电话，并涉嫌贵司人员骚扰本人联系人打了不下十个骚扰电话，已严重影响他们的正常生活，涉嫌侵犯本人名誉权，要求停止骚扰并对他们做出道歉！另外强烈要求贵司对上述借款合同里的数额跟实际不符的现象作出解释！并且希望贵司正面商量双方相对合理</t>
  </si>
  <si>
    <t>2019/10/11 22:59:13</t>
  </si>
  <si>
    <t>涉诉金额4000元问题类型诉求类型投诉详情因本人接款多乾分期借款，在资金紧张想保通讯录的情况下一直在续期，续期金额都超过借款本金了，今日由于确实无能力续期，协商没能得到处理，下午一直在电话，短信骚扰，在傍晚时候在还款日当天傍晚多乾分期直接爆我通讯录，并恶意侮辱，恐吓，威胁，通讯录亲朋好友，我的借款时间一起都不到半月，结果砍头息加续期金额已经远远超出借款到账本金，现要求多乾分期销账，至于退还这种高利贷公司基本没希望，销账停止催收。</t>
  </si>
  <si>
    <t>2019/10/11 22:59:05</t>
  </si>
  <si>
    <t>投诉人郑女士投诉对象万惠投资管理有限公司,智享贷涉诉金额2100元问题类型诉求类型投诉详情及贷智享贷，2100借款，实际到账1600，一个月利息高达500余要求协商还款销账，这边不解决银监会投诉。</t>
  </si>
  <si>
    <t>2019/10/11 22:58:49</t>
  </si>
  <si>
    <t>投诉人司着云投诉对象微信支付涉诉金额8468元问题类型诉求类型投诉详情本人开商店的，用微信小微商户收款被冻结提现，提供收据并用商铺公章盖过了，申诉两次都不让我提现全计8468.7。</t>
  </si>
  <si>
    <t>2019/10/11 22:58:34</t>
  </si>
  <si>
    <t>投诉人陈女士投诉对象玖富万卡涉诉金额40000元问题类型诉求类型投诉详情借4万，还的时候光利息就要3万多，这完全是利息高百分百了，利息太高，请有关部门负责人彻底清理整治这类高利贷产品，不要给这些贷款的产品打广告了，受害者太多了，本来就是冒得钱才借钱的怎么越借越多，利息高得吓人，哪些打广告的是收了这些网贷平台的什么好处………………………………………………………………………………………………………………………………………………………………………………………………………………。</t>
  </si>
  <si>
    <t>2019/10/11 22:58:00</t>
  </si>
  <si>
    <t>,好易贷,杭州市民卡涉诉金额3000元问题类型诉求类型投诉详情本人在趣花分期内的好易贷中借款3000元，却只到账2100元，有900砍头息，而且期限只有6天，现在要求协商处理。</t>
  </si>
  <si>
    <t>2019/10/11 22:57:02</t>
  </si>
  <si>
    <t>投诉人郑发宏先生投诉对象拼多多涉诉金额100000元问题类型诉求类型投诉详情我并没有引导给客户在别的平台交易问题，都可以看聊天记录的,我并没有引导客户。</t>
  </si>
  <si>
    <t>2019/10/11 22:56:29</t>
  </si>
  <si>
    <t>对非客户朋友的人进行骚扰还必须让我给出合理的解释，影响到我的正常生活，早上中午开店非常忙一直进行骚扰，说不给出合理的解释就骚扰到底，难道现在的这些借贷平台都这么嚣张吗，希望能借此平台好好的整治整治！。</t>
  </si>
  <si>
    <t>2019/10/11 22:54:53</t>
  </si>
  <si>
    <t>又不是我借的钱，逾期了，电话一直打到我这来骚扰，而且态度及其不好，经常骂架，真的烦，搞错了是要负责任的。</t>
  </si>
  <si>
    <t>2019/10/11 22:52:29</t>
  </si>
  <si>
    <t>造艺科技下面携趣网络技术上海有限公司扣取不知名费用，299元，消费者毫无知情权，欺诈行为请快速处理。</t>
  </si>
  <si>
    <t>2019/10/11 22:52:21</t>
  </si>
  <si>
    <t>360借条没有额度了，界面出现其他贷款公司平台提示注册信息，涉嫌套路贷。</t>
  </si>
  <si>
    <t>2019/10/11 22:51:59</t>
  </si>
  <si>
    <t>投诉人 王先生        投诉对象  盼达用车        涉诉金额  1 000 元    问题类型    诉求类型投诉详情  说了尽快安排退款 盼达就是这样理解的尽快退款？到底多久能退给句话 我还等着当生活费</t>
  </si>
  <si>
    <t>2019/10/11 22:51:48</t>
  </si>
  <si>
    <t>投诉人 庄先生        投诉对象  你我贷        涉诉金额  5 500 元    问题类型    诉求类型投诉详情  骚扰，恐吓无法正常找工作。未经同意私自修改转卖借款人信息。要求重罚，消帐</t>
  </si>
  <si>
    <t>2019/10/11 22:51:13</t>
  </si>
  <si>
    <t>2017年我买的一张豪华多功能遥控取暖大茶几，被德邦物流弄丢失了，现在都快2020年了都还没有收到货，之前打德邦电话一直说处理也没有处理，现在他么干脆不回复了，作为一家上市公司这样的垃圾！2017年发货的时候德邦都还没有上市，现在上市了都不赔偿，害的我快递费和保价费花了几百块，保价费也出了，保价3000多的桌子现在德邦就一直不回复了！！把德邦的这种骗子的手法告诉大家！！公之于众！曝光曝光！。</t>
  </si>
  <si>
    <t>2019/10/11 22:51:05</t>
  </si>
  <si>
    <t>网商银行催收电话，说要上门，还要去单位核实情况，我已经给还进去部分，但他们非说要上门。</t>
  </si>
  <si>
    <t>2019/10/11 22:51:04</t>
  </si>
  <si>
    <t>还未逾期就进行暴力催收，阴阳合同，高利贷，砍头息，威胁我！请立即对该催收人员做出处罚，给我道歉，赔偿！。</t>
  </si>
  <si>
    <t>2019/10/11 22:50:41</t>
  </si>
  <si>
    <t>本人用广发银行信用卡多年，财智金跟额度加利息一共欠了44000多，之前一直有按时还款，可是在今年2月份的时候被骗了，直接导致我从7月份开始逾期，在逾期后也一直有跟银行卡中心沟通，希望能把账单重新分期，可是银行一直不愿意，要求我先还一半，剩下的给多10天左右的时间，可是我现在真的没办法一下子还清，银行还说要联系本人的父母，我也一再跟银行说父母帮不了我，加上父母已经老了，身体不好，我自己欠的债自己来慢慢还，希望银行能理解，能帮我的账单重新分期来还，本人一直有强烈的还款意愿。</t>
  </si>
  <si>
    <t>2019/10/11 22:50:37</t>
  </si>
  <si>
    <t>借款3000.到账2540.79.三期还款3760.33.要求按正常贷款利息退还款项，提供结清证明。</t>
  </si>
  <si>
    <t>2019/10/11 22:49:44</t>
  </si>
  <si>
    <t>投诉人赵先生投诉对象钱站涉诉金额1200元问题类型诉求类型投诉详情1.本人在钱站上面借款1200元，分3个月偿还，每个月本金含利息需要还689.68元人民币，利息总额869.04元人民币，利率高达289.68%,本人发现合同为阴阳合同，利率产出国家标准，要求取消放贷，打客服电话客服说讲放贷的钱存入绑定的银行卡里，我按要求存入卡里，未做扣款，再次联系客服沟通，客服回复只能按照合同分期，。</t>
  </si>
  <si>
    <t>投诉人吴先生投诉对象及货涉诉金额1500元问题类型诉求类型投诉详情及货爆通讯录，每天骚扰我的朋友家人，对他们的生活造成了很大的影响。</t>
  </si>
  <si>
    <t>2019/10/11 22:49:01</t>
  </si>
  <si>
    <t>投诉人王先生投诉对象及贷涉诉金额3000元问题类型诉求类型投诉详情及贷违规搭售保险在我不知情的情况下在易安保险购买了一份人生意外险，这明显欺诈消费者行为，。</t>
  </si>
  <si>
    <t>2019/10/11 22:48:23</t>
  </si>
  <si>
    <t>在捷信上的借款结清后希望把捷信金融app账户彻底注销清除我的记录和解绑银行卡，打客服电话客服说无法注销账户。</t>
  </si>
  <si>
    <t>2019/10/11 22:47:58</t>
  </si>
  <si>
    <t>因未确实遇到困难，想还款，协商分期，对方不同意，通过短信威胁，恐吓，打电话威胁，恐吓，并且打电话骚扰家人。</t>
  </si>
  <si>
    <t>2019/10/11 22:46:59</t>
  </si>
  <si>
    <t>没有逾期过，每次还款都扣利息费，高达每期还款的三分之一的钱，这样十二期还完不得借贷4500利息2000多，比高利贷还黑，就这样的网贷平台还是央行征信认证企业，服务态度也差，说联系投诉人结果十个小时没有联系是不是等48个个小时后直接强制结案。</t>
  </si>
  <si>
    <t>2019/10/11 22:46:40</t>
  </si>
  <si>
    <t>本人于玖富上借款10000元分12期，玖富万卡APP上面10000元的分期借款，到账金额13010元，合同金额13010元然后玖富方面已保费形势，到账后立即划扣3010元的保费，还款总额1358.04元，已经超过合同约定的8.2%年化率利率，现要求玖富方面退还保费，或者按借款金额的年化率利率收取利息继续借款，如果不同意按合同约定年化利率分期还款要求提前结清借款。</t>
  </si>
  <si>
    <t>投诉人黄女士投诉对象造艺科技涉诉金额200元问题类型诉求类型投诉详情申请注册绑定银行卡后无故被扣款200，查询到携趣信息科技和造艺科技为同家公司，现要求给个说法。</t>
  </si>
  <si>
    <t>2019/10/11 22:46:09</t>
  </si>
  <si>
    <t>朋友去年在捷信金融现金贷办理了一笔分期贷款总额24000当时客服跟我说的是可以分39期还款她告诉我利息不高在法律规定内，我办理了，我偿还了10个月每个月还款1337.39元，在2018年年底我打算一次性还完贷款时才看到还需要偿还22375元，想问问捷信你们当时说的提前还款是不收取任何利息以及费用的，还有你们的客服服务费用是怎么回事，我一直积极的跟你们沟通为什么还威胁恐吓以及骚扰我的家人朋友，你们在没经过同意的时候把合同转交给外包让他们威胁恐吓我甚至拿我家人的性命威胁，你们觉得真的怕是吗。</t>
  </si>
  <si>
    <t>2019/10/11 22:45:14</t>
  </si>
  <si>
    <t>本人于10月11日下午4点多接到一个单子由桐乡到杭州萧山机场，出发前已告知乘车人需要支付高速费用，乘车人同意，在晚6点多时将客人送到，产生费用，210加上高速费用60，总计270元，后经过多个小时乘客依然未支付，滴滴平台也未按照规定进行垫付，滴滴平台是在欺诈司机嘛，说的2小时内会进行垫付未进行垫付，只知道收取提成，不办事。</t>
  </si>
  <si>
    <t>2019/10/11 22:43:15</t>
  </si>
  <si>
    <t>投诉人王先生投诉对象造艺科技涉诉金额150元问题类型诉求类型投诉详情上海造艺于2019年9月23日早上7点16分左右，未经允许私自从银行卡账号内扣除150元人民币，且毫不知情，事情发生后通过一些平台找到该公司，且与该公司客服管理人员沟通并确认该公司扣除了资金。</t>
  </si>
  <si>
    <t>2019/10/11 22:43:06</t>
  </si>
  <si>
    <t>投诉人李先生投诉对象及货涉诉金额2800元问题类型诉求类型投诉详情在及贷平台的引流下借的钱都是高利息还款费用，希望平台解释一下，给个说法。</t>
  </si>
  <si>
    <t>2019/10/11 22:42:17</t>
  </si>
  <si>
    <t>借款四千，保费交1180，还款5400多，你这算高利贷嘛。</t>
  </si>
  <si>
    <t>2019/10/11 22:41:19</t>
  </si>
  <si>
    <t>朋友在捷信金融借款14000元.分27期还款.每期还款金额981.53元.目前已还22期.共还21593.66元.还款金额已超出了本金多利息.现提前结清还需要还4101.56元.已多还了7500元.严重属于高利贷行为.现在要求协商结清销账。</t>
  </si>
  <si>
    <t>2019/10/11 22:40:54</t>
  </si>
  <si>
    <t>之前不知道下款后才知道的，已经归还一期，利息高的可怕，远高于36%，借8000一年，但是前三个月就要还一万多，这简直是火箭炮啊。</t>
  </si>
  <si>
    <t>2019/10/11 22:40:30</t>
  </si>
  <si>
    <t>投诉人吴先生投诉对象及贷涉诉金额2600元问题类型诉求类型投诉详情表哥因为出了点事故10月7日在及贷的智享贷平台借款2600，事后到账实际金额为2340，而智享贷平台显示需在11月23日前还款总金额2730，打电话给客服，那边回复说购买了vip理财计划，但我表示在借款前并未告知，且没有相关提示，借款前我有特意看过合同，里面也并未说明什么计划的费用，故意隐瞒条款，存在欺诈行为。</t>
  </si>
  <si>
    <t>2019/10/11 22:40:23</t>
  </si>
  <si>
    <t>沃钱包,易借,大兴安岭农村商业银行,永安保险，本人于2019年2月28日下午在沃钱包里的易借借款14000元，放款方是大兴安岭农村商业银行，共分为六期还款，但是该平台未经过本人允许私自捆绑销售永安保险的人身意外险共计六份，每单保费118元，本人于今年8月将第六期还清，共计还款14996.16元，其中合同中规定的利息是285.38元，但是却没有保险费用这一项，本人已经在永安保险的官网上查到了这六个保单的信息，共计保费708.96元，现在要求退还708元保费，否则本人将继续向银监局和银保监会举报投诉直至追回经济</t>
  </si>
  <si>
    <t>2019/10/11 22:40:06</t>
  </si>
  <si>
    <t>交通银行,交通银行信用卡,交通银行信用卡中心，你好，我要举报交通银行，我之前在交通银行这里办了一张两万元的信用卡，由于个人原因导致失业了一段时间，信用卡的欠款没有及时还清，但我并没有打算一直拖欠，因为自己能力有限，家里父母年纪大了也还在外地打工，无能力帮我偿还，本人找了一份工资还不错的工作想着自己赚钱还清，但是从8月份开始交通银行的催收人员开始频繁的给我打电话，我一开始是可以理解的，毕竟人家也是工作，我这边也在凑钱，但是越来越过分的是银行催收人员不停的给我打骚扰电话，我因为工作的原因没有及时接听，就开始给我</t>
  </si>
  <si>
    <t>2019/10/11 22:39:43</t>
  </si>
  <si>
    <t>造艺科技虚构合同私自扣钱说了给我处理一直不处理我要维权。</t>
  </si>
  <si>
    <t>我在9月25号左右申请的钱站2000元借款，迟迟没下款，10月2号通知我银行卡绑卡失败，需要重新换卡绑定，我绑完卡以后马上放款了，不过利息跟之前得大不一样，开始签订的是600块钱的利息，到账后我去app查合同显示我贷款2660，分三期，共还3800多块，实际银行卡到账。</t>
  </si>
  <si>
    <t>2019/10/11 22:38:38</t>
  </si>
  <si>
    <t>本人充值100元dou+推广后被封号，要求退款客服拖延时间，，抖音app没有自动退款操作！不方便联系客服，要求尽快处理退款事宜！随时联系158******85。</t>
  </si>
  <si>
    <t>2019/10/11 22:38:23</t>
  </si>
  <si>
    <t>捷信金融公司员工以自己业务不足为由，请学生刷单，请学生帮忙刷单拿到业绩提成，并承诺不会对本人有任何影响，现在却出现购买商品的贷款，并要求帮忙刷单的人偿还贷款，贷款一月一期，共24期，每期偿还590.3元人民币，本金加利息合计14167.2元，高额的费用加利息学生怎么承担的起。</t>
  </si>
  <si>
    <t>2019/10/11 22:37:47</t>
  </si>
  <si>
    <t>本人8月10号在如期分期申请了一笔贷款6800元，分12期，共要还8075.85元，其中就有砍头息952元的深圳凤凰木网络有限公司代扣，还有一笔204元汇信融资担保福建有限公司代扣，请求通过聚投诉平台告知如期分期退还砍头息1156元，并停止骚扰恐吓。</t>
  </si>
  <si>
    <t>2019/10/11 22:37:45</t>
  </si>
  <si>
    <t>投诉人褚先生投诉对象汇信天下,天下无赖涉诉金额4300元问题类型诉求类型投诉详情本人在汇信天下借得多笔款项，有的已经线下还款，而贵公司侵犯个人隐私，根据第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t>
  </si>
  <si>
    <t>2019/10/11 22:36:25</t>
  </si>
  <si>
    <t>借款25000元，每期还款1241.91元，实际还款是1241.94*36=44709.84元，总利息44709.84-25000=19709.84元，利息为19709.84除以25000乘以2再乘以100%，那么就等于19709.84/25000=0.7883936，0.7883936*2=1.5767872，1.5767872*100%=157.67872%，实际借款利率为157.67872%，远超过国家利率红线36%，这是很明显的高利贷，以还款10期，1241.94*10=12414元，一次性结清还需</t>
  </si>
  <si>
    <t>2019/10/11 22:35:08</t>
  </si>
  <si>
    <t>合同上仔细写明一次性还清不收取利息，为什么现在还完全款还要多出利息费。</t>
  </si>
  <si>
    <t>2019/10/11 22:34:20</t>
  </si>
  <si>
    <t>投诉人 何先生        投诉对象  宜人贷        涉诉金额  30 000 元    问题类型    诉求类型投诉详情  有这样收取费用的吗？国家不是有规定这样的服务费不能收取的吗？利率请求算一下是否合理？</t>
  </si>
  <si>
    <t>2019/10/11 22:33:52</t>
  </si>
  <si>
    <t>恶意扣款，299，上一次投诉明明说三个工作日说退款到现在都没有退款，完全没有一点信誉度。</t>
  </si>
  <si>
    <t>2019/10/11 22:33:32</t>
  </si>
  <si>
    <t>我朋友在捷信平台借款后还不起高额利息，捷信就雇佣了当地的黑社会催收打电话进行恐吓。</t>
  </si>
  <si>
    <t>2019/10/11 22:33:05</t>
  </si>
  <si>
    <t>恶意骚扰通讯录里的好友，恐吓本人，严重影响我的生活。</t>
  </si>
  <si>
    <t>2019/10/11 22:33:02</t>
  </si>
  <si>
    <t>借款6000，实际下款6000，合同在下款后变更为12000多，利息都是本金的一倍多了，现在我已经按时还清了该换的本金加三期的利息，请给我结清。</t>
  </si>
  <si>
    <t>2019/10/11 22:32:35</t>
  </si>
  <si>
    <t>已经还了4期3165.68，现在本人深陷套路贷，剩余的572.71元无力清偿，申请客服销账，工作也没有了，实在无力清偿，逼迫我也没有办法了，希望平台帮帮我，感谢。</t>
  </si>
  <si>
    <t>2019/10/11 22:32:08</t>
  </si>
  <si>
    <t>借款利息太高，借款10000，12个月还下来13665，希望调整还款利息。</t>
  </si>
  <si>
    <t>2019/10/11 22:31:48</t>
  </si>
  <si>
    <t>在造艺平台借款后，找客服协商问题，客服语言上的侮辱骂，态度恶劣。</t>
  </si>
  <si>
    <t>2019/10/11 22:30:56</t>
  </si>
  <si>
    <t>投诉人戚恩顺戚投诉对象今日头条,抖音,鲁班涉诉金额20000元问题类型诉求类型投诉详情8月底申请退保证金，当时后台显示3周退款，现在6周过去了，还在审核。</t>
  </si>
  <si>
    <t>2019/10/11 22:30:38</t>
  </si>
  <si>
    <t>本人被人以投资为名义到一个叫yabo的非法博彩网站上投资，因一时冲昏头脑，先后通过扫码支付4000元，爱农驿站提供清算.，第三方支付业务公司不得向证券，期货，博彩等机构提供支付结算业务，金融机构客户身份识别和客户身份资料及交易记录保存管理办法，作为有牌照的支付公司没有履行国家相关法律规定，要求第三方支付平台机构撤回资金，根据，国发2011年38号文，和银发办的35号文，文件都明确提出国内任何交易公司都不能给T，第19条规定，支付机构应当建立健全风险准备金制度和交易赔付制度，并对不能有效证明因客户原因导致的资</t>
  </si>
  <si>
    <t>2019/10/11 22:30:15</t>
  </si>
  <si>
    <t>在微博借款平台逾期了几天，给他们说明了这几天发工资后进行还款，结果天天电话骚扰辱骂威胁，更是爆了我的通讯录，对我的亲朋好友也进行了恐吓，w骚扰。</t>
  </si>
  <si>
    <t>2019/10/11 22:29:39</t>
  </si>
  <si>
    <t>本人于去年借你我贷8000元，历经十个月，截止今年9月已经还进去9200元，实在再无力还下去，希望你我贷能够减免剩下的未还金额，且今日第十一期到期，还未逾期的情况，一天接到了十几通催款电话以及短信，这实属不该是一家上市公司该有的作为，1、未经借款人本人允许，拨打借款人通讯录内的亲人或者好友电话并进行多次骚扰，2、通过微信、短信等方式恐吓、威胁借款人或者通讯录亲友及家人、；3、借款人逾期后每日催收电话超过3个以上；4、借款人逾期后催收来电不在上午8:00-下午9:00时间段；5、曝光借款人个人信息；6、到借款</t>
  </si>
  <si>
    <t>2019/10/11 22:28:34</t>
  </si>
  <si>
    <t>私自爆通讯录侵犯个人隐私，损害了个人名声，造成了严重的影响。</t>
  </si>
  <si>
    <t>2019/10/11 22:28:14</t>
  </si>
  <si>
    <t>欺骗老人，骗取老人七千销售夸大其词！虚假广告，家里老人被坑蒙上道购买产品，机器上的厂家地址不是创维厂址。</t>
  </si>
  <si>
    <t>2019/10/11 22:27:35</t>
  </si>
  <si>
    <t>百度有钱花这段时间又每天电话骚扰，今天打了三个电话，之前百度第三方催收明明说好的我还完，月份一笔逾期就可以了，不找百度法务部处理，现在又言而无信要我把，月份第二笔逾期的也还完，百度老在晚上很晚的时候打电话，打扰本人休息，希望百度对第三方催收作出整改，否则本人不排除找银保监会和中国互联网金融协会一直投诉，直到百度催收整改为止！！！！！。</t>
  </si>
  <si>
    <t>2019/10/11 22:26:43</t>
  </si>
  <si>
    <t>捷信业务人员私下改动合同，让高额利息转变成个种服务费。</t>
  </si>
  <si>
    <t>2019/10/11 22:26:11</t>
  </si>
  <si>
    <t>因平安信用卡无故给本人2万4的额度降低之3000元，导致本人逾期3个月，本人手里有几块几十块，都还进去，可是平安的催收一直骚扰我单位，我亲戚朋友，导致我失业在之前我的电话一直正常包括到现在，我给平安打电话协商，平安的客服告诉我这些事他们不管，我只希望协商分期还款，停止骚扰我朋友领导及家人。</t>
  </si>
  <si>
    <t>2019/10/11 22:25:23</t>
  </si>
  <si>
    <t>要求退还两笔贷款的砍头保费，如不同意后续会投诉上海银监会保监局。</t>
  </si>
  <si>
    <t>2019/10/11 22:25:17</t>
  </si>
  <si>
    <t>本人待业阶段被人以投资为名义到名为yabo的非法博彩平台使用扫码先后扫了1300元，第三方支付业务公司不得向证券，期货，博彩等机构提供支付结算业务，金融机构客户身份识别和客户身份资料及交易记录保存管理办法，作为有牌照的支付公司没有履行国家相关法律规定，要求第三方支付平台机构撤回资金，根据，国发2011年38号文，和银发办的35号文，文件都明确提出国内任何交易公司都不能给T，第19条规定，支付机构应当建立健全风险准备金制度和交易赔付制度，并对不能有效证明因客户原因导致的资金损失及时现行赔付，保障客户合法的权益</t>
  </si>
  <si>
    <t>2019/10/11 22:24:45</t>
  </si>
  <si>
    <t>国家明确规定了不可以货款给学生，造艺app还私下放款校园货。</t>
  </si>
  <si>
    <t>2019/10/11 22:23:17</t>
  </si>
  <si>
    <t>投诉人 徐先生        投诉对象  蜂鸟众包        涉诉金额  10 元    问题类型    诉求类型投诉详情  商家出餐慢订单超时 超时配送。平台申诉还不成功</t>
  </si>
  <si>
    <t>2019/10/11 22:22:56</t>
  </si>
  <si>
    <t>本人在拍拍贷借款1万4千元每月还款1584.82元，！现在发现提前还清需要1万9元多！！！具体看图！因为联系不到拍拍贷工作人员！怕逾期暴力催收，所以本人已经还到第8期了！总结：我借了1万4千元想提前还清还是要1万9希望得到合理的解释这利息根本不合法现在提前结清还要7900多！朋友推荐聚投诉，希望有用吧！。</t>
  </si>
  <si>
    <t>2019/10/11 22:21:51</t>
  </si>
  <si>
    <t>投诉人岳先生投诉对象木度男装旗舰店,淘宝,天猫涉诉金额60元问题类型诉求类型投诉详情天猫店铺卖残次品要求换货.对方收到货却迟迟不给发货这样的店铺留他只能破坏天猫的口碑要求天猫严惩。</t>
  </si>
  <si>
    <t>2019/10/11 22:21:49</t>
  </si>
  <si>
    <t>安徽中融法律服务有限公司乱发信息，扭曲事实真相，虚增债务信息，拍拍贷涉嫌高利贷砍头息，泄密客户信息不断进行短信电话骚扰恐吓，希望有关部门看到并严肃处理。</t>
  </si>
  <si>
    <t>2019/10/11 22:20:58</t>
  </si>
  <si>
    <t>投诉人吴先生投诉对象及贷涉诉金额5000元问题类型诉求类型投诉详情及贷平台本金已还清，利息要求按照国家规定给，客服不协商，态度还不好，没有办法，只有投诉了。</t>
  </si>
  <si>
    <t>2019/10/11 22:20:54</t>
  </si>
  <si>
    <t>投诉人亚凯投诉对象海南圣云可网络科技有限公司,新生支付涉诉金额299元问题类型诉求类型投诉详情你们凭什么无缘无故扣我卡里的钱，我跟你们没有任何的业务往来与合作，而且扣取银行卡的短信没有任何关于你们公司的信息。</t>
  </si>
  <si>
    <t>2019/10/11 22:20:18</t>
  </si>
  <si>
    <t>实在不给回复，就马上上报成都或当地金融管理局或其他司法部门处理。</t>
  </si>
  <si>
    <t>2019/10/11 22:20:07</t>
  </si>
  <si>
    <t>本人待业阶段被人以投资为名义到名为yabo的非法博彩平台使用扫码先后扫了骗500元，第三方支付业务公司不得向证券，期货，博彩等机构提供支付结算业务，金融机构客户身份识别和客户身份资料及交易记录保存管理办法，作为有牌照的支付公司没有履行国家相关法律规定，要求第三方支付平台机构撤回资金，根据，国发2011年38号文，和银发办的35号文，文件都明确提出国内任何交易公司都不能给T，第19条规定，支付机构应当建立健全风险准备金制度和交易赔付制度，并对不能有效证明因客户原因导致的资金损失及时现行赔付，保障客户合法的权益</t>
  </si>
  <si>
    <t>2019/10/11 22:19:52</t>
  </si>
  <si>
    <t>新橙优品代扣失败，本人主动还款，本期要还663元，扣了513元，还有150元没有扣，还款页面卡住了，一直显示正在还款中，打客服电话失联，既不主动扣款也无法主动还款操作，明天就会对本人征信造成严重损害，请求贵平台帮助我解决此难题。</t>
  </si>
  <si>
    <t>2019/10/11 22:19:25</t>
  </si>
  <si>
    <t>跟捷信消费金融平台根本没有任何业务来往，新办的卡，就每天接到电话骚扰，这种行为是真的烦。</t>
  </si>
  <si>
    <t>2019/10/11 22:19:20</t>
  </si>
  <si>
    <t>本人今年6月份在恒易贷借款14068,实际到账12000,打电话过去问客服这2068是什么费用，客服说是给借款人的服务费！这是明显的砍头息，高利贷！想扣多少扣多少，都是平台自己说了算！。</t>
  </si>
  <si>
    <t>2019/10/11 22:18:48</t>
  </si>
  <si>
    <t>借了马上金融两万的本金，必须分24期还，利息高达9000，每月还款日推迟就会电话骚扰，还会骚扰通讯录里的电话先已还了12000多，还有17000未还，现已无能力还款，请求帮助。</t>
  </si>
  <si>
    <t>2019/10/11 22:18:36</t>
  </si>
  <si>
    <t>投诉人张光明投诉对象广发银行信用卡涉诉金额0元问题类型诉求类型投诉详情以前打电话要求注销未使用账户，客服说注销了，今天打了一份征信，还在。</t>
  </si>
  <si>
    <t>2019/10/11 22:18:30</t>
  </si>
  <si>
    <t>应临时接到下半年加班通知时间紧及想自习英语，报名第二天提出退费申请，但对方一直拖，并联系不上退款主要负责人，同意后咨询是否全额退款及时间也不回复，问最开始接待我的人他说要走程序，到现在问还要好久才可以走完才说主要负责人离职了，先主要负责人跟我说按照协议要百分之十五的手续费，，违约，我在报名第二天才收到此协议，报名前咨询时也没有提到此协议及相关内容，课程服务费在报名当天，跟我说课程还没有开始让我下了一个软件里面有以前的课让我自己看，等课程开始在这个软件里上课我就那一次登录看了一点在申请退款了就卸了，分期，报名</t>
  </si>
  <si>
    <t>2019/10/11 22:18:09</t>
  </si>
  <si>
    <t>之前使用过几次众行用车的服务，缴纳了599的押金，后来打算退押金的时候提示绑定的银行卡过期，一时就没在意，前一阵子突然想起这上边还有一笔押金，所以重新绑定银行卡申请退还押金，结果几天了一直在审核中，我最后一次用车已经好几个月了，不存在未处理违章的问题，打客服也无人听。</t>
  </si>
  <si>
    <t>2019/10/11 22:17:52</t>
  </si>
  <si>
    <t>涉及商品为：标为苏宁自营-苏宁超市发货时间为：尽快发货1:假冒苏宁自营名称，发货时间标记含糊不清，让人混淆为常规的苏宁自营次日达，2:实际上全天未发货，退款也找不到人退！系统也不能自动拦截退款，苏宁客服告知不存在负责该商品的客服，也就是只能坐等超时退款。</t>
  </si>
  <si>
    <t>2019/10/11 22:17:39</t>
  </si>
  <si>
    <t>投诉人郭先生投诉对象钱站涉诉金额2021元问题类型诉求类型投诉详情钱站贷款高利贷，收取所谓服务费，贷款本金1200元，分期3个月，需要还款1910元左右，3个月利息710，年利息达到了夸张的200%，这不是高利贷什么是高利贷，10月11号还款日，客服早上9点多打来电话，要求10点之前还款，理由是需要做账，并且告知下午6点不还当做逾期，我再次确认了客服的话，并做了录音，客服再次表示下午6点不还算逾期，要求钱站退还所有违规利息，并且针对今日催收不合法问题做出道歉，录音上传不了，需要可另外提供，转文字转述不清晰。</t>
  </si>
  <si>
    <t>2019/10/11 22:17:23</t>
  </si>
  <si>
    <t>10月11日，深圳市乐刷科技有限公司员，来我公司推销使用乐刷的POS，当时和我说刷150元，送450元，有600元有银行卡里，可用于抵扣刷卡的手续费，每次抵扣的多少钱不一定，手续费率从600元里抵扣一部分，自己出一部分，结果刷卡后，600元不在银行卡，在app里，还是提现券，3元一张的200张，并且还有有效期的，微信联系业务员，业务员不回复，这属于虚假宣传，及欺骗行为，按照法律法规，业务员在售卖产品时，应向消费者说明产品真实情况，希望乐刷公司处理一下，退还本人的150元。</t>
  </si>
  <si>
    <t>2019/10/11 22:16:54</t>
  </si>
  <si>
    <t>朋友被欺骗解决不了，诱导误导消费者进入，在聚福上，隐藏风险评估代扣字眼，速度还回299元，客服解决不了只有投诉，。</t>
  </si>
  <si>
    <t>2019/10/11 22:15:07</t>
  </si>
  <si>
    <t>本人待业阶段以到名为网络投资的名义到名为yabo的非法博彩平台使用扫码先后扫了7326元，第三方支付业务公司不得向证券，期货，博彩等机构提供支付结算业务，金融机构客户身份识别和客户身份资料及交易记录保存管理办法，作为有牌照的支付公司没有履行国家相关法律规定，要求第三方支付平台机构撤回资金，根据，国发2011年38号文，和银发办的35号文，文件都明确提出国内任何交易公司都不能给T，第19条规定，支付机构应当建立健全风险准备金制度和交易赔付制度，并对不能有效证明因客户原因导致的资金损失及时现行赔付，保障客户合法</t>
  </si>
  <si>
    <t>2019/10/11 22:14:52</t>
  </si>
  <si>
    <t>投诉人杨庆凯投诉对象平安普惠涉诉金额9000元问题类型诉求类型投诉详情具体聊天记录太多了，只能发九张吧，总而言之平安普惠催款无所不用其极吧，各种套路都可以用，以二次贷为借口催你还款。</t>
  </si>
  <si>
    <t>2019/10/11 22:14:43</t>
  </si>
  <si>
    <t>借3000，还5000的高利贷，多次打电话骚扰我身边的亲人，朋友。</t>
  </si>
  <si>
    <t>2019/10/11 22:13:24</t>
  </si>
  <si>
    <t>1.因为信任阿里巴巴，相信信用分的评价，才对卖家大意的;2.卖家在闲鱼上卖的是17年的苹果电脑，承诺发17的电脑，但是收到的是08年的电脑，不值200元的电脑，卖给我1250元，给我造成了损失，3.请平台对她进行处罚，我想与她积极沟通，但是她一直不回复，迫不得已才来举报投诉她4.电脑撕去白色的膜是黑色的，绝不是近几年的款式，她承诺说发的货与详情页介绍的一致，但实际上差距非常大。</t>
  </si>
  <si>
    <t>2019/10/11 22:13:18</t>
  </si>
  <si>
    <t>投诉人 周先生        投诉对象  及贷        涉诉金额  13 500 元    问题类型    诉求类型投诉详情  贷款13500 本金莫名其妙成了15000多。还多了人身意外险 请给出合理解释并消除所加费用 还轰炸联系人，，</t>
  </si>
  <si>
    <t>2019/10/11 22:12:32</t>
  </si>
  <si>
    <t>海尔云贷,重庆海尔小额贷款有限公司,宝付支付,中国银联,中银保险,51公积金管家，2018年11月通过51公积金中介平台向旗下51金海贷，合同中显示按月等额还款，但实际到账金额金额为11295元由宝付支付放款，砍头息为705元且事先不知情，现已归还10期共计11347.2元由中银支付扣款，现在我要求扣除砍头息剩余本金➕正常利息进行归还，烦尽快处理。</t>
  </si>
  <si>
    <t>2019/10/11 22:12:09</t>
  </si>
  <si>
    <t>支付宝与网络赌博游戏有支付业务，明知道是违法行为仍然可以支付宝充值。</t>
  </si>
  <si>
    <t>2019/10/11 22:11:59</t>
  </si>
  <si>
    <t>捷信金融多次打电话来骚扰，欠款人我并不认识经解释多次但是平台还是已经每天有人打电话给我，对我的生活工作造成困扰。</t>
  </si>
  <si>
    <t>2019/10/11 22:10:03</t>
  </si>
  <si>
    <t>本人是大一新生，想在课余时间找个兼职，找到了一份兼职送外卖的工作，然后在饿了么工作人员的引导下在拍拍贷上面分期3980元购买了一辆电动车，但是在我还款两次之后发现，利息加上所谓的风险保障金竟然要1400元，而且合同里并没有提到这些。</t>
  </si>
  <si>
    <t>2019/10/11 22:09:39</t>
  </si>
  <si>
    <t>好几个朋友在聚富分期上借款时，都碰到过虚构合同私自扣钱，说了给处理一直不处理，欺诈行为严重，网上的投诉量也多是这种问题。</t>
  </si>
  <si>
    <t>2019/10/11 22:09:13</t>
  </si>
  <si>
    <t>我应滴滴平台要求办理双证，合规司机，竟然四个小时都没给派单，走到哪也不给派单，这是要逼死人的节奏啊上午一个半小时给了一个长单，然后又给了一个单，之后剩下的时间一单都没给，我们要吃饭，这个平台怎么这么狠心黑心，这是欺诈司机，骗子嘛，有没有相关部门出来关心一下滴滴司机，整顿一下这个平台，私家车接单都比我们双证合规司机多，流水比我们高，他们给无证单证不合规司机派单，怎么保障乘客安全，路上万一出了事故，谁来保障双方的利益，这么大的隐患，难道就没有平台关吗，派了长单之后就没单了，这是什么狗屁派单逻辑！！。</t>
  </si>
  <si>
    <t>2019/10/11 22:08:51</t>
  </si>
  <si>
    <t>阿里巴巴1688,昆山市巴城镇落花衣社服装商行，本人于2019年9月21再阿里巴巴旗下电商昆山市巴城镇落花衣社服装商行购买815元的衣服，于买家沟通多次，说应该大概9.23号到，23号没到又说24号到，24号没到我去问商家为何还没有到，商家开始对我恶言相向，此后我就没有问过商家任何问题了，直到25号安能物流打电话说到河北邯郸市了，可以自己去提取，但是我写的地址并不在邯郸市，是在邯郸下面的镇上，安能物流那边说如果不能自取的话转到镇上需要多收30元的物流费，转接到我镇上还需要再2/3天的时间，我当时购买时候商家</t>
  </si>
  <si>
    <t>2019/10/11 22:08:50</t>
  </si>
  <si>
    <t>本人于2019年6月借款6000元，分12期偿还，已还款1360元，年利率61%，远高于国家规定，希望有关部门处理。</t>
  </si>
  <si>
    <t>2019/10/11 22:08:33</t>
  </si>
  <si>
    <t>昨天已还一个账单，今天到期账单无法及时还款，要求申请延期还款，2/3天，客服联系不上。</t>
  </si>
  <si>
    <t>2019/10/11 22:07:48</t>
  </si>
  <si>
    <t>投诉人 冉先生        投诉对象  58好借        涉诉金额  285 元    问题类型    诉求类型投诉详情  己经骚扰到我的家人了。这几天才有工资发的。逾期9天了。希望别再给我家人打电话</t>
  </si>
  <si>
    <t>2019/10/11 22:07:41</t>
  </si>
  <si>
    <t>本人待业阶段被以投资名义到名为yabo的非法博彩平台使用扫码先后28276元，第三方支付业务公司不得向证券，期货，博彩等机构提供支付结算业务，金融机构客户身份识别和客户身份资料及交易记录保存管理办法，作为有牌照的支付公司没有履行国家相关法律规定，要求第三方支付平台机构撤回资金，根据，国发2011年38号文，和银发办的35号文，文件都明确提出国内任何交易公司都不能给T，第19条规定，支付机构应当建立健全风险准备金制度和交易赔付制度，并对不能有效证明因客户原因导致的资金损失及时现行赔付，保障客户合法的权益，支付</t>
  </si>
  <si>
    <t>2019/10/11 22:07:30</t>
  </si>
  <si>
    <t>投诉人张光明投诉对象尚诚消费金融涉诉金额0元问题类型诉求类型投诉详情2019年7月10号，未经本人允许，查询个人征信，为高利贷公司提供非法信息。</t>
  </si>
  <si>
    <t>2019/10/11 22:07:08</t>
  </si>
  <si>
    <t>本人浏览网页时被弹出的广告所吸引，在万博这个平台进行了投资交易，本以为是国家合法购彩机构，后经朋友介绍才发现是境外非法博彩公司，发现是这些支付公司作为第三方交易平台，麻烦帮我讨回无故损失的金额，对本人造成巨大的经济损失，《中华人民共和国刑法》第二百八十七条之二：，明知他人利用信息网络实施犯罪，为其犯罪提供互联网接入、服务器托管、网络存储、通讯传输等技术支持，或者提供广告推广、支付结算等帮助，情节严重的，处三年以下有期徒刑或者拘役，并处或者单处罚金，单位犯前款罪的，对单位判处罚金，并对其直接负责的主管人员和其</t>
  </si>
  <si>
    <t>2019/10/11 22:02:40</t>
  </si>
  <si>
    <t>投诉人李先生投诉对象苏宁涉诉金额7500元问题类型诉求类型投诉详情苏宁第三方催收人员对我个人进行人格侮辱，爆我通讯录，威胁我爸妈，扬言报警都不怕，我跟苏宁协商多次没有用，请问天理何在，我是逾期了，但我承担逾期该有的责任，凭什么你们可以辱骂我，我请求你们苏宁来起诉我，我会把你们第三方辱骂我的录音，威胁我爸妈的短信，骚扰我亲朋好友的证据拿出来！我欠了钱，你们可以起诉我，但是你们没有资格辱骂威胁我亲朋好友！还有要让我还钱，你们得先赔偿我的精神，名誉损失，向我爸妈，还有所有的亲戚朋友道歉！不然只有走法律程序，你们苏</t>
  </si>
  <si>
    <t>2019/10/11 22:02:10</t>
  </si>
  <si>
    <t>本人待业阶段被以投资为名义到名为yabo的非法博彩平台使用扫码先后3260，第三方支付业务公司不得向证券，期货，博彩等机构提供支付结算业务，金融机构客户身份识别和客户身份资料及交易记录保存管理办法，作为有牌照的支付公司没有履行国家相关法律规定，要求第三方支付平台机构撤回资金，根据，国发2011年38号文，和银发办的35号文，文件都明确提出国内任何交易公司都不能给T，第19条规定，支付机构应当建立健全风险准备金制度和交易赔付制度，并对不能有效证明因客户原因导致的资金损失及时现行赔付，保障客户合法的权益，支付网</t>
  </si>
  <si>
    <t>2019/10/11 22:00:11</t>
  </si>
  <si>
    <t>在2019年10月10日在上海淇毓信息科技有限公司，的360借条APP上借款10000元，下款的时候说需要缴纳500元保险费用，之后又冻结，在缴纳3000元解冻费用，之后又说需要缴纳1500元验资费用，之后又冻结，需要缴纳3000元，解冻账号，之后有需要缴纳5000元的验资费用，说最后会全部退还的，最后又说需要1000元的验资费用，说可以下款了，居然最后还说需要缴纳5000元流水费用，我无法认同再缴纳5000元流水费用，要求必须马上终止借款流程，退还我之前缴纳的所有费用用12500元，APP上的客户说无法终</t>
  </si>
  <si>
    <t>2019/10/11 21:59:35</t>
  </si>
  <si>
    <t>注册了钱站APP，显示额度3000，然后申请了3000元的借款，10月5日上午未到账，电话联系客服表示已经不需要这笔借款，未到账前申请取消，但是客服说只有钱到账后才能取消借款，钱到账后24小时可以申请取消借款，但是要收取借款金额+合同金额百分之三的违约金，我表示同意，电话打完后当天10时40分左右收到3000元，我立即拨打客服电话申请取消借款，并于10月5日当日转入3200元，好了，故事开始了，然后芳芳才告诉我，我确实和之前和客服说好的，因此让我继续等待处理，，我表示之前已经跟客服协商过，只收取违约金，芳芳</t>
  </si>
  <si>
    <t>2019/10/11 21:58:52</t>
  </si>
  <si>
    <t>本人在提前结清整理借款平台清单过程中，发现怡借利息远高于36%，家人要求退还！而在核对银行账单中发现，宝付支付为违法高利贷怡借违规提供支付渠道，公然凌驾于国家法律之上，不把银监会等相关国家主管机构放在眼里，要求一并追责！怡借具体借款如下2017年11月21日借款1275，已还款1560，按最高红线36%计算，只需还1296.7。</t>
  </si>
  <si>
    <t>2019/10/11 21:58:22</t>
  </si>
  <si>
    <t>近日平台监测到贵店存在诱导非官方交易行为，即主动诱导拼多多用户，或接受用户的要求，通过非拼多多官方渠道进行交易或收付款，或者实施其他提高交易风险、可能损害消费者合法权益的类似行为，本次违规会话编号：244132，极大提高了消费者的交易风险，也严重损害了平台的利益，现平台根据《诱导非官方交易处理规则》之规定对贵店采取临时限制提现措施，为了控制交易风险，如您希望继续经营店铺，请在收到本站内信通知之日起三天内，以书面形式向平台承诺不再实施诱导非官方交易行为，并主动补缴店铺保证金10万元，书面承诺提交方式及保证金补</t>
  </si>
  <si>
    <t>2019/10/11 21:58:17</t>
  </si>
  <si>
    <t>本人在网上被人诱骗以做兼职，赚流水等理由被人拉进兼职群，以购买彩票方式赚取佣金，后来才知道是非法赌博平台，希望能帮忙退回被骗的钱。</t>
  </si>
  <si>
    <t>2019/10/11 21:57:55</t>
  </si>
  <si>
    <t>1月11借款9900，到账后立马扣除1400的管理费，现在没月还款912.98，已经还了9期，剩余3期如果再还，利息高的可怕，扣除的管理费又是什么，明显的砍头息。</t>
  </si>
  <si>
    <t>2019/10/11 21:57:31</t>
  </si>
  <si>
    <t>投诉人 刘先生        投诉对象  招商银行信用卡        涉诉金额  11 000 元    问题类型    诉求类型投诉详情  投诉三次无果 我已与银行协商联系 但是暴力催收爆通讯录一直在继续 群发短信 对我工作和生活造成严重影响</t>
  </si>
  <si>
    <t>2019/10/11 21:57:13</t>
  </si>
  <si>
    <t>阴阳合同，乱扣费，扣掉了我296，我都不知道签约那个app。</t>
  </si>
  <si>
    <t>2019/10/11 21:54:50</t>
  </si>
  <si>
    <t>尊敬的领导，您辛苦了，相信这不是有关华尔街英语的第一件投诉，特将信息梳理如下：一、华尔街英语相关信息1、机构：南京华尔街英语金鹰世界中心分校2、地址：江苏省南京市建邺区应天大街888号金鹰世界购物中心7楼F722-1商铺二、学员相关信息1、学习目标：L5-L13，（本人认为必须退全款，本人也相信，国家相关部门将会保护消费者利益），第一份合同自2019-03-13至2021-06-12,后级别变更为L7-L15，合同编号：NJ03N00111L16-L20，续学合同自2021-06-13至2023-09-12</t>
  </si>
  <si>
    <t>2019/10/11 21:53:24</t>
  </si>
  <si>
    <t>投诉人 孙女士        投诉对象  世联金融        涉诉金额  60 000 元    问题类型    诉求类型投诉详情  本人在世联金融贷款60000 但是签合同时金额是67200 分24期 每期还3606.4 已经还了17期 以前就打过骚扰电话 还发轰炸短信 给通讯录打各种骚扰电话 就在10月10号晚上7点30分给我打电话 说话不好听 我们俩骂了起来 接着在8点左右 给我的通讯录开始打骚扰电话 给他们发轰炸短信 请问有没有人能管他们</t>
  </si>
  <si>
    <t>2019/10/11 21:52:44</t>
  </si>
  <si>
    <t>本人于2019年4月借款15000，实际到账12626.45，是从虚拟账户提现到我的中信卡上，借款合同我都看不到，分6期偿还，已还款12036.04，年利率55%，远高于国家规定，希望有关部门处理。</t>
  </si>
  <si>
    <t>2019/10/11 21:52:00</t>
  </si>
  <si>
    <t>到账2000元，一个月后要还2300，逾期一天82元，这不是高利贷吗，为什么写2个能联系人，贷上钱骚扰我通讯里所有人，连我打过的所有手机号，这个贷上钱都要去骚扰别人。</t>
  </si>
  <si>
    <t>2019/10/11 21:51:53</t>
  </si>
  <si>
    <t>我在19年2月份在微信的钱包易贷里借了8400，之前一直按时还款，但从8月份起，因为工作突然没了，导致一直还不上，今天还发信息到我联系人手机上，导致我名誉受损。</t>
  </si>
  <si>
    <t>2019/10/11 21:51:43</t>
  </si>
  <si>
    <t>搜狗借款，写着低利息，实际上各种管理费，提前还款不免利息，几个合同，套路贷，要求平台给我减免利息，我一次性还清，不然我拒不处理。</t>
  </si>
  <si>
    <t>2019/10/11 21:50:56</t>
  </si>
  <si>
    <t>投诉人曾女士投诉对象捷信金融涉诉金额32000元问题类型诉求类型投诉详情我2018年1月贷32000，每个月1052，分57期。</t>
  </si>
  <si>
    <t>2019/10/11 21:49:59</t>
  </si>
  <si>
    <t>投诉人金女士投诉对象TutorABC涉诉金额4900元问题类型诉求类型投诉详情本人于2019年3月份购买tutorABC课程，价格29691元，当时报着必学好的决心，但是上课过程中老师讲的毫无章法，每节课内容都连不上，老师讲课内容就是跟着念念讲义，根本就学不到东西，更甚至有老师全程低头，给学生上课时心不在焉，低头做别的事情，跟班主任反应并没有得到解决的方法，答应我从新赠送我一节课也没有赠送，然后我要求退费，他说退不了，因为牵连征信贷款，中途几个月一直没上课却还要交费，后来我的家庭出现好多状况，家人生病，交不</t>
  </si>
  <si>
    <t>2019/10/11 21:48:16</t>
  </si>
  <si>
    <t>因为报名成功后，中和教育未给出任何保障收据，所以持有怀疑，并且因为工作原因没有太多时间学习，所以申请退款，对方拒绝退款并且态度强硬。</t>
  </si>
  <si>
    <t>2019/10/11 21:47:57</t>
  </si>
  <si>
    <t>我8月底在钱站平台借一千三个月需要还两千元这个不是高利贷吗。</t>
  </si>
  <si>
    <t>2019/10/11 21:47:47</t>
  </si>
  <si>
    <t>逾期前，主动跟客服和催收联系过，并取得谅解，但是还继续打爆通讯录，，我的很少通话的朋友，一个上午就接到10多个催收电话啊！诉求：请停止恶意催收且骚扰同事朋友。</t>
  </si>
  <si>
    <t>2019/10/11 21:45:10</t>
  </si>
  <si>
    <t>在玖富万卡借了两笔，本金是4300，现一笔3300已还11期，已还金额4400，第二笔1000，已还10期，已还金额1120，总金额5520，已超出本金部分，现希望聚投诉联系玖富客服，尽快联系我协商剩余还款部分。</t>
  </si>
  <si>
    <t>2019/10/11 21:44:45</t>
  </si>
  <si>
    <t>前两年在外地旅游，想换手机，就到了手机店，后来被手机店店员骗着办理了即有分期手机贷，贷了一款银灰色苹果6，但是贷完之后合同缺显示苹果6s这是第一个欺骗，第二个我当时是办理十二月分期，结果合同变成24月，这是第二个欺骗，第三，本金5800元我早已经还清另加利息都已经还了很多总还可有一万多块钱，但是他依旧没有给我结清，一直到现在利息越来越多，而且还经常爆通讯录，冒充法院，公检等国家政府部门，先后骚扰我的家人朋友不下三十个导致我名誉扫地，第四，曾多次无奈向即有工作人员索要当初骗我的那家手机店联系方式客服不给，客服</t>
  </si>
  <si>
    <t>2019/10/11 21:43:30</t>
  </si>
  <si>
    <t>，7岁，户口已经于2017年迁出深圳，社保系统在2017和2018年未扣费情况下，于2019年9月27日误扣费371.64元，请退回。</t>
  </si>
  <si>
    <t>2019/10/11 21:41:15</t>
  </si>
  <si>
    <t>投诉人严先生投诉对象小花钱包涉诉金额50000元问题类型诉求类型投诉详情小花钱包百度显示所属公司并不存在，与之关联的上属管理公司经营业务范围没有可从事金融贷款业务，小花钱包却一直从事网络贷款业务，且存在阴阳合同，砍头息，高利贷，暴力催收，泄露贷款人个人信息等问题，忘有关部门即使处理。</t>
  </si>
  <si>
    <t>2019/10/11 21:40:05</t>
  </si>
  <si>
    <t>想脱离以贷养贷，我想结清所有欠款重新做人，没有不还款，之前确实没钱小橘猫的客服也很理解给了我22天的缓存期，但是对于提前还款确总是不给任何减免，10000元分12期需还款连本带利一共要还13700多，提前还款一分不少，目前逾期22天，我愿易承担逾期费用，在此公证公开谈判说明提前还款以及应该有的利息，该平台以任何手段打扰我家人和朋友都在在此公开，无法协商我回会再向上起诉，希望可以在这里公开透明解决问题，我绝不回避。</t>
  </si>
  <si>
    <t>2019/10/11 21:40:01</t>
  </si>
  <si>
    <t>投诉人郭先生投诉对象91极速购涉诉金额20000元问题类型诉求类型投诉详情本人在该平台借款多次，该平台利用虚拟的手机交易非法套路贷借款2000到账1600十天后还款2000。</t>
  </si>
  <si>
    <t>2019/10/11 21:39:26</t>
  </si>
  <si>
    <t>立刻出行共享汽车平台已无车使用，申请退回押金数月无果，该公司客服电话永远无人接听状态不同时段多次拨打电话也一直没有接通，现请求退回押金499元。</t>
  </si>
  <si>
    <t>2019/10/11 21:38:53</t>
  </si>
  <si>
    <t>本人在360借条借有款项4800元，每月还款478元，现已逾期近10天左右，因自己家里特殊情况发生，未能及时还款，但是欠债还钱，天经地义，我并非恶意拖欠，但360每天电话催收，电话催收时态度恶劣，并带有侮辱性语言，言语恶毒、嘲讽！并且到我工作单位上门催收，严重影响工作，但他们的暴力催收给我的生活和工作造成严重影响，现要求给与合理说法偿严重影响工作后的经济损失！！！！！！！！！。</t>
  </si>
  <si>
    <t>2019/10/11 21:38:31</t>
  </si>
  <si>
    <t>本人在白条分期申请贷款，结果银行卡被白条分期私自扣除249元的会员费，在软件内退款无果，现请白条分期尽快退还本人的会员费。</t>
  </si>
  <si>
    <t>2019/10/11 21:38:24</t>
  </si>
  <si>
    <t>从8月16号来来回回协商了9月27号一天给玖富客服打电话，一直这样来回的协商金额，我实在没办法了同意了借款38200，还有一笔金额4500的客服没权限的是12848.86，一会说是余额不足，来来回回接近2个月了真的太累，，十一放假回来9号我联系客服给我又算了个金额，专员联系我又算了一个金额，我现在的诉求是按27号没扣款的金额12848.86加4500的一笔平台没办法计算的结算。</t>
  </si>
  <si>
    <t>2019/10/11 21:38:23</t>
  </si>
  <si>
    <t>投诉人沈女士投诉对象小花钱包,小花涉诉金额900元问题类型诉求类型投诉详情逾期二天，催收打电话过来态度极差，暴力催收，发恐吓短信给本人和联系人，协商还款没用，还扬言要给通讯录所有联系人打电话，根本不把法律看眼里，严重影响本人生活。</t>
  </si>
  <si>
    <t>2019/10/11 21:37:45</t>
  </si>
  <si>
    <t>投诉人张女士投诉对象现金巴士涉诉金额500元问题类型诉求类型投诉详情逾期费用高达一天10元，由于本人最近遇到困难，资金紧张，想跟你们协商还款事项。</t>
  </si>
  <si>
    <t>2019/10/11 21:37:31</t>
  </si>
  <si>
    <t>投诉人梁女士投诉对象马上金融涉诉金额2700元问题类型诉求类型投诉详情马上金融说我跟我老公诈骗，我老公还没有逾期的时候就给我语音信箱留言，说我跟我老公诈骗，也不给我老公分期，给我的精神上受到很大的创伤！说今天晚上12点不还钱，就要上门来我家！。</t>
  </si>
  <si>
    <t>2019/10/11 21:37:03</t>
  </si>
  <si>
    <t>投诉人于先生投诉对象钱站,华夏银行涉诉金额2600元问题类型诉求类型投诉详情到账1000元，合同显示借了1330元，第一期还本金1100多元，还有两期600多要还，总计要还2400左右，搞阴阳合同。</t>
  </si>
  <si>
    <t>2019/10/11 21:36:15</t>
  </si>
  <si>
    <t>10月11日了，一直没收到，问客服也一直拖沓，已经耽误了我使用，奶粉已经不适合我宝宝这个月龄喝了，望平台帮忙解决，谢谢。</t>
  </si>
  <si>
    <t>2019/10/11 21:35:53</t>
  </si>
  <si>
    <t>投诉人陶女士投诉对象外贸信托涉诉金额0元问题类型诉求类型投诉详情没贷款。</t>
  </si>
  <si>
    <t>2019/10/11 21:35:14</t>
  </si>
  <si>
    <t>本人于2019.8.22日在现金巴士借款1000，后面点进去看准备一次性还全款的时候发现逾期费用既然高达140元。</t>
  </si>
  <si>
    <t>2019/10/11 21:34:24</t>
  </si>
  <si>
    <t>分期乐委托外包催收公司，窃取客户通讯录转卖给第三方催收公司，威胁骚扰无关联系人，要求联系人承担连带法律责任，要求停止骚扰威胁，请联系客户本人电话，不然将诉诸法律，分期乐侵害公民信息，要求给出合理解释承担法律责任。</t>
  </si>
  <si>
    <t>2019/10/11 21:34:01</t>
  </si>
  <si>
    <t>以前在捷信平台借的款，因为经常打电话骚扰，电话还打到单位去，还跟老板打电话，颜面扫地，后来换了号码才没打了。</t>
  </si>
  <si>
    <t>2019/10/11 21:33:54</t>
  </si>
  <si>
    <t>尊敬的领导，您辛苦了，相信这不是有关华尔街英语的第一件投诉，特将信息梳理如下：一、华尔街英语相关信息1、机构：南京华尔街英语金鹰世界中心分校2、地址：江苏省南京市建邺区应天大街888号金鹰世界购物中心7楼F722-1商铺二、学员相关信息1、学习目标：L5-L13，（本人认为必须退全款，本人也相信，国家相关部门将会保护消费者利益），第一份合同自2019-03-16至2021-06-15,后级别变更为L7-L15，合同编号：NJ03N00122L16-L20，续学合同自2021-07-16至2023-10-15</t>
  </si>
  <si>
    <t>2019/10/11 21:31:19</t>
  </si>
  <si>
    <t>结果从来也没见过一个银行一天时间收取快500的利息费，而且还在账单里没有体现是还了款后发现少了很多。</t>
  </si>
  <si>
    <t>2019/10/11 21:31:17</t>
  </si>
  <si>
    <t>借2500还3395.30还有个625块钱的游戏豆不知道是什么。</t>
  </si>
  <si>
    <t>2019/10/11 21:30:46</t>
  </si>
  <si>
    <t>前几天朋友找我借钱，说在及贷平台借款5000元在正常还款第三期的情况下，就冻结了，要求全额还款，哪里去搞钱。</t>
  </si>
  <si>
    <t>2019/10/11 21:29:24</t>
  </si>
  <si>
    <t>投诉人田女士投诉对象新浪微博涉诉金额110元问题类型诉求类型投诉详情本人微博账号：田佳灵-紫竹，年费会员2020年9月28日到期，在会员账号使用期间内，还未到期的情况下，账号无故被停用。</t>
  </si>
  <si>
    <t>2019/10/11 21:29:03</t>
  </si>
  <si>
    <t>8月25日本人在聚富分期上注册帐户，想贷款，在注册时，要先评估信用出额度，，这是第一部，要出额度必需评估，然后一帮卡，就扣款了，贷款额度什么的啥多没。</t>
  </si>
  <si>
    <t>本人共计在壹心分期借款5000元，实际到账3650元，已经偿还1275元，因个人原因希望协商还款实际到账金额与国家法定利率！连连支付为其提供放款与扣款业余！。</t>
  </si>
  <si>
    <t>2019/10/11 21:28:38</t>
  </si>
  <si>
    <t>本人在拍拍贷借款3000多，分期了12期，目前还剩2期没换，由于最近资金周转困难，导致借款逾期4天，早上和下午接到拍拍贷催收人员电话，问我晚上10点钟能不能还款，我说商量一下还款，他说他不管，让我必须晚上10点钟以前还款，不然让我后果自负，要轰炸我电话及通讯录联系人。</t>
  </si>
  <si>
    <t>2019/10/11 21:27:57</t>
  </si>
  <si>
    <t>投诉人宋女士投诉对象贷上钱包涉诉金额2000元问题类型诉求类型投诉详情向贷上钱借款2千一个月,已还清2061.33元.现被催收600元小秘书费用,及每天20元的违约金，合计900.借款2000元,一个月还2600,超出国家支持的利息范围.且未曾享受该秘书服务业务,属变相收取费用.联系客服，回复费用为第三方收取，后又称“您在我司只是部分还款，并未结清！”前后矛盾，请相关部门约束该违规行为，请处理该笔不合理费用！。</t>
  </si>
  <si>
    <t>2019/10/11 21:27:32</t>
  </si>
  <si>
    <t>前几天朋友在马上金融上贷款，因为继续资金很急，要不然谁做网贷，就是因为银行资金当日到不了款，没想到这个更加慢。</t>
  </si>
  <si>
    <t>2019/10/11 21:26:44</t>
  </si>
  <si>
    <t>投诉人于先生投诉对象钱站涉诉金额2700元问题类型诉求类型投诉详情9月19借钱站1000元到账，现在看合同借本金是1330元，第一期扣我本金加罚金1100多元，还有两期600多要还，总计借1000，要还2300多元，钱站搞阴阳合同，严重违反金融规定，打客服查本金说我接了2000元，不处理此事可以起诉到法院，第二期具不还款。</t>
  </si>
  <si>
    <t>2019/10/11 21:26:35</t>
  </si>
  <si>
    <t>还没有逾期之前就打电话给客服说因为最近资金有点紧张，麻烦帮我开通下延期还款，但是客服说是系统自动开通，人工开不了，我想说非得要逾期了才要来和你们协商开通吗。</t>
  </si>
  <si>
    <t>2019/10/11 21:26:33</t>
  </si>
  <si>
    <t>我想注销app账户，平台简介当中注明了两种注销方式，前面是邮箱，后面是电话，我打电话过去，客服人员不给注销让我自己去发邮件！。</t>
  </si>
  <si>
    <t>2019/10/11 21:26:20</t>
  </si>
  <si>
    <t>快闪卡贷借款15000元，实际到账13000元，分期6月每个月还款3000多元，年息高达77%，远超国家利率规定，涉及砍头息及高利贷，委托贵平台对平台对超额利息予以退款！。</t>
  </si>
  <si>
    <t>2019/10/11 21:26:10</t>
  </si>
  <si>
    <t>及贷经常网络电话骚扰身边的人，恐吓家属朋友，几百块钱翻的利息吓人。</t>
  </si>
  <si>
    <t>2019/10/11 21:25:58</t>
  </si>
  <si>
    <t>zh*****8@21cn.com邮箱2013年之前所有的邮件莫名不见了。</t>
  </si>
  <si>
    <t>2019/10/11 21:25:55</t>
  </si>
  <si>
    <t>涉嫌还款未销账，暴力催收，骚扰！辱骂！违造法院！虚传传票！。</t>
  </si>
  <si>
    <t>2019/10/11 21:25:49</t>
  </si>
  <si>
    <t>当时和我们说入职买五险一金，前两个月保护绩效500，底薪是2500.当时面试人事男的姓姚的和我们说的，每个星期加班一天加班费100。</t>
  </si>
  <si>
    <t>2019/10/11 21:25:40</t>
  </si>
  <si>
    <t>由于本人生意失败，资金链断裂，申请减免利息，只归还剩余的本金。</t>
  </si>
  <si>
    <t>2019/10/11 21:25:03</t>
  </si>
  <si>
    <t>通过非法手段，盗取我个人信息，并加以恐吓威胁，发送骚扰威胁短信。</t>
  </si>
  <si>
    <t>2019/10/11 21:24:49</t>
  </si>
  <si>
    <t>水莲金条借款15000元砍头息3000.到账12000元，每月扣1428元，这个月因为阑尾炎加肾结石住院才恢复工作所以导致逾期，可是这个催收人员不但不接受还要威胁打通讯录和群发短信，请求聚投诉做主处理并且退还本人给扣的3000元砍头息。</t>
  </si>
  <si>
    <t>2019/10/11 21:24:42</t>
  </si>
  <si>
    <t>借1800到账1170，6天到期要还1806.48元。</t>
  </si>
  <si>
    <t>2019/10/11 21:24:40</t>
  </si>
  <si>
    <t>填写完资料直接下款，不知道利息还款期限，什么都不知道就下款了，打客服电话没人接。</t>
  </si>
  <si>
    <t>2019/10/11 21:24:11</t>
  </si>
  <si>
    <t>在美团上青岛喜尊客商务酒店评分4.5，宣传照片里面环境还比较好，所以我就订了两个月以后的房间三天，下单了之后看见评论区300多条评论，200多条差评，房间里面会有墙皮脱落，蟑螂，被子会有霉味等等一系列难以忍受的问题，酒店网上的照片与现实完全不符，所以我申请退款，下单不到半个小时，但是酒店不愿意退款，说订单无法取消，这让我无法理解，为什么不给我退，入住是在两个月以后，下单不到半个小时，为什么不给退?。</t>
  </si>
  <si>
    <t>2019/10/11 21:24:07</t>
  </si>
  <si>
    <t>堂哥因手头紧，下载聚福钱包贷款的时候，平台在用户不知情的情况下，但是软件的界面并没有明确标出评估费用，没经过本人同意恶意扣款，此行为已经涉嫌盗窃，，这种事项网上已有多人投诉，希望能彻底根除。</t>
  </si>
  <si>
    <t>2019/10/11 21:23:56</t>
  </si>
  <si>
    <t>捷信员工在放款前不说明有保险费用的事，等下款后被收取保险费才知晓，存在欺诈行为。</t>
  </si>
  <si>
    <t>2019/10/11 21:22:52</t>
  </si>
  <si>
    <t>立借借款4000，借款12期，前三期还款5350高利贷，剩下9期每月还款50，前三期基本还完，我已还一期，我愿意一次性还清，并付300元利息，请平台帮忙投诉。</t>
  </si>
  <si>
    <t>2019/10/11 21:22:37</t>
  </si>
  <si>
    <t>在来分期商城购买的行车记录仪，购买回来安装上之后，行车记录仪就发烧，烧怀了，然后联系维修，邮寄过去之后说不在保修范围，我说退款，他们都不退款，我还是分期的，。</t>
  </si>
  <si>
    <t>2019/10/11 21:22:06</t>
  </si>
  <si>
    <t>及货app以购买会员才可以下款为借口收取高额费用赚利息。</t>
  </si>
  <si>
    <t>2019/10/11 21:21:36</t>
  </si>
  <si>
    <t>本人在9月23日申请的贷款4000元左右，实际到账3000.，分3期，下款前没出具每期要还多少，下了款才出的帐单，利息高的吓人，实际到手3000.得还5360多，这是什么概念，打平台电话不通，希望钱站跟我联系，降息提前结清，不处理，就不还了，这个远超国家保护，你要爆通讯录，就爆，这么高的我是不会还的，协商还本金。</t>
  </si>
  <si>
    <t>2019/10/11 21:20:44</t>
  </si>
  <si>
    <t>投诉人 房女士        投诉对象  省呗        涉诉金额  200 元    问题类型    诉求类型投诉详情  最近比较困难 暂时资金周转不过来 然后这两天还不了 一直联系省呗的客服 联系不到 没想到连一个人工客服电话都没有？ 敢说是正规的？ 然后在微信发信息没想到一直不回我 不知道什么意思</t>
  </si>
  <si>
    <t>2019/10/11 21:20:39</t>
  </si>
  <si>
    <t>朋友在借款后才知道，还有项担保费，这样变相收费不合国家规定的，希望造艺公司改善一下。</t>
  </si>
  <si>
    <t>2019/10/11 21:20:33</t>
  </si>
  <si>
    <t>图一：借款3000元人民币，分三期还款，每期还款1580.46元人民币，一共4741.38元人民币图二：借款1499元人民币，分三期还款，每期还款922.25元人民币，一共还款2766.75人民币利息严重超出国家规定的，希望有关部门严惩高利贷，别让更多人受累。</t>
  </si>
  <si>
    <t>2019/10/11 21:20:31</t>
  </si>
  <si>
    <t>新橙优品借款20000元，实际到账18000元，分期6个月，每个月要还4400多元，年利息近100%，远超国家法定3倍，且平台主动还款一直失败，故意导致逾期罚息，涉及套路贷，请严查！严查！严查！。</t>
  </si>
  <si>
    <t>2019/10/11 21:20:19</t>
  </si>
  <si>
    <t>客服不能给我处理，告知客服对初六结果不满意，然后关闭我的投诉。</t>
  </si>
  <si>
    <t>2019/10/11 21:20:01</t>
  </si>
  <si>
    <t>在2019年4月13号签订了一份米粉销售协议合同，按合同规定乙方交纳2万元人民币质保金给甲方，甲方向乙方每拿一次货就退还5000元质保金给乙方，然而在2019年6月6日甲方向乙方拿了一次货，但甲方在收到乙方的货后，乙方要求甲方按约定退回质保金时，甲方却无任何理由直接拒绝退还质保金，乙方在追讨过程中一段时间后，甲方直接拒接乙方电话，直到现在也不接电话，目前有一些网络贴吧在发布甲方在多地也存在不退还质保金行为，因此找到贵平台，能帮助我们追回我们自己的2万元质保金，免受无辜的损失！由于我们公司是个很小的米粉加工厂</t>
  </si>
  <si>
    <t>2019/10/11 21:19:15</t>
  </si>
  <si>
    <t>本人在壹心分期平台两次，因为深陷套路贷，已无力偿还，心力交瘁，希望平台能够本金销账，请求协商处理。</t>
  </si>
  <si>
    <t>2019/10/11 21:19:06</t>
  </si>
  <si>
    <t>和几盒茶叶以外就没有别的吃的了怎么会有蟑螂。</t>
  </si>
  <si>
    <t>2019/10/11 21:19:01</t>
  </si>
  <si>
    <t>滴滴平台客服对顾客投诉的问题故意敷衍的态度引起很大的反感，希望滴滴平台可以改善一下。</t>
  </si>
  <si>
    <t>2019/10/11 21:18:39</t>
  </si>
  <si>
    <t>借款5万元，分12期还款，每期本金连利息还5000多，已还2期！剩下10期没还！前几天我想把剩下未还的一次性提前还清，但还呗还是硬要收我每期利息总额共计5万零几百元，特此投诉还呗，要求只收取剩下本金，利息免除，谢谢！。</t>
  </si>
  <si>
    <t>2019/10/11 21:18:15</t>
  </si>
  <si>
    <t>砍头息，曝力催收，曝通讯录，骚扰家人，电话骚扰很多次。</t>
  </si>
  <si>
    <t>2019/10/11 21:17:53</t>
  </si>
  <si>
    <t>借款实际到帐27000，合同是32000，十二期还款后要巴41400，阳合同，砍头息，高利贷。</t>
  </si>
  <si>
    <t>2019/10/11 21:17:46</t>
  </si>
  <si>
    <t>聚投诉平台您好：通过广告宣传了解到还呗软件，之前额度已使用完，现在已归还本金15327.22，不够我本人正常生活，之前四处借钱还网上的贷款，现在有外债20万左右，已无力再偿还贷款。</t>
  </si>
  <si>
    <t>2019/10/11 21:17:37</t>
  </si>
  <si>
    <t>投诉人徐玉飞投诉对象17056385008涉诉金额1200元问题类型诉求类型投诉详情在58上看到一个二手助力车就加微信在他那里下单发了两百块定金，几天后物流说东西快到了，叫把剩下的尾款结了，我就发了一千过去给他们财务了&amp;nbsp;&amp;nbsp;然后东西没到&amp;nbsp;&amp;nbsp;&amp;nbsp;后面还说还要付四百块木板费，我没给，然后叫他们退款&amp;nbsp;&amp;nbsp;&amp;nbsp;说等半个月才能退&amp;nbsp;&amp;nbsp;&amp;nbsp;后面没消息了。</t>
  </si>
  <si>
    <t>2019/10/11 21:17:22</t>
  </si>
  <si>
    <t>马上金融冒充国家人员打电话恐吓威胁通讯录上的联系人。</t>
  </si>
  <si>
    <t>2019/10/11 21:17:14</t>
  </si>
  <si>
    <t>本人在网上被人诱骗以做兼职，赚流水等理由被人拉进兼职群，以购买彩票方式赚取佣金，后来才知道是非法赌博平台，和支付清算协会沟通得知第三方支付业务应审核客户的相关信息，第三方支付公司不得向证券、期货、博彩等机构提供支付结算业务，通过中国人民银行，中国银联，和支付清算协会沟通得知，第三方支付业务应审核客户的相关信息，第三方支付公司不得向证券、期货、博彩等机构提供支付结算业务，作为有牌照的支付公司没有履行国家相关法律法规要求，为违法违规机构平台提供支付结算通道，即产生了洗钱的嫌疑，希望聚投诉工作人员能够联系，要求第</t>
  </si>
  <si>
    <t>2019/10/11 21:17:05</t>
  </si>
  <si>
    <t>小象优品对我的通讯录进行骚扰，对我的通讯录里的人员形成严重的生活骚扰，在严重打击这种套路贷的时候他们还这么猖狂，我联系了一些被小象优品爆通讯录的人准备向国家信访办进行投诉！像这种害人的网贷早日清除掉！。</t>
  </si>
  <si>
    <t>2019/10/11 21:16:37</t>
  </si>
  <si>
    <t>10月11日，7月2号的货款还没收到，加上15天自动到账，等于将近4个月的货款还没到，很明显恶意拖欠商家货款，我一个女人，怀着孕每天辛苦的打包，一天赚100来块，本金还是跟朋友借来的，虽然对于这个无良的平台老板来说，4万块不够他吃一顿饭，可是对于我一个女人来说，这4万块我可以养孩子，希望聚投诉可以帮忙我这个平凡的女人，拿回我的辛苦钱，我预产期10月25号，马上要生了，还得养孩子，求求你们了！还有这个平台很狡猾，本来平台每次提现都有显示日期的，结果8月底说是提现版本改革，把每次提现的日期全部改成提现单号，看不</t>
  </si>
  <si>
    <t>2019/10/11 21:14:54</t>
  </si>
  <si>
    <t>平台借款14000，分24期还，要还利息24072，每个月还1003元，现在以还15045。</t>
  </si>
  <si>
    <t>2019/10/11 21:14:29</t>
  </si>
  <si>
    <t>投诉人夏先生投诉对象票据宝涉诉金额30000元问题类型诉求类型投诉详情与题主问题相同，强制复投，无法取出。</t>
  </si>
  <si>
    <t>2019/10/11 21:13:37</t>
  </si>
  <si>
    <t>贷款每月12号还款，在没有到期，也没有逾期的情况下，爆了我的通讯录，骚扰我以及身边的人。</t>
  </si>
  <si>
    <t>2019/10/11 21:13:21</t>
  </si>
  <si>
    <t>8月27日，经朋友介绍了解了一个培训机构，后面加了太原达内老师的电话了解了一下，说28号是达内的17周年庆，有什么的毕业学生回去，还有企业领导的见面会，然后就是问了28号能不能过去，我说看时间吧，后面又打电话问，能不能过去，我说看时间，能的话过去，28号过去了，本来是抱着一种去了解的情况，说的是9.30就开了，到了下午才开了这个，上午了解了一下这个学费分期，我的另一个朋友说估计不能办分期，然后达内的老师说试一试，问我们要的身份证要去打印，说了有三天的时间可以考虑，，和家里人商量说不弄贷款，赶紧把这个贷款退了</t>
  </si>
  <si>
    <t>2019/10/11 21:12:28</t>
  </si>
  <si>
    <t>一个从小玩到大的朋友经常跟我说起在捷信公司借的几千块钱，每次还没到还款日就进行催收，天天打骚扰电话，搞的很烦。</t>
  </si>
  <si>
    <t>2019/10/11 21:11:59</t>
  </si>
  <si>
    <t>9月13号，因贷上钱逾期一天，我做出承诺，逾期那天一定还，结果，3点就给我朋友打骚扰电话，威胁我朋友说恶意包庇。</t>
  </si>
  <si>
    <t>2019/10/11 21:11:51</t>
  </si>
  <si>
    <t>我将钱站上的欠款全部结清后，联系钱站人工客服要求注销我在钱站上的个人帐户信息进行销户，被钱站平台的客服人员告知我要提供个人手持身份证照片和身份证正反面才能给我办理，并且还要等35天之后，钱站这种要求极其过分和荒诞，注销账户需要我提供的都是个人最重要且敏感的信息，一旦泄露对我个人的财产或者其他方面会造成很大的影响和损失，因此我拒绝提供并且一直致电钱站平台客服要求立即注销本人账户，在此，我希望贵平台能帮助我联系并督促钱站平台注销本人的所有个人账户信息并最终进行销户，保护本人的权益不受到影响。</t>
  </si>
  <si>
    <t>2019/10/11 21:11:08</t>
  </si>
  <si>
    <t>投诉人王先生投诉对象约单涉诉金额320元问题类型诉求类型投诉详情约推拿，但是都是机器人，不回复，而且一直充钱是无底洞，。</t>
  </si>
  <si>
    <t>2019/10/11 21:10:41</t>
  </si>
  <si>
    <t>本人淘宝开店新手，在2019年7月份上传宝贝售卖，不料刚上传宝贝还没一天，就收到淘宝的处罚消息，判断卖家大量或全店出售假冒、盗版商品的处罚消息，违规编号14686883955，2019年7月8日被通知店铺因涉嫌售假，已被扣除假货违规24分及以上，信息为：您的店铺因涉嫌出售假冒商品，，已被假货扣除24分及以上，或自然年内2次假货处罚及以上，将依据淘宝规则进行保证金罚没，您此次保证金罚没金额为2500元，罚没金额根据您的店铺强制保证金额度计算，一件产品没买，就被淘宝扣除24分，罚款2500元。</t>
  </si>
  <si>
    <t>2019/10/11 21:10:28</t>
  </si>
  <si>
    <t>是不是后台强大，投诉了都没用了！到底怎样才可以停止骚扰！。</t>
  </si>
  <si>
    <t>2019/10/11 21:10:25</t>
  </si>
  <si>
    <t>me的软件，下载后没有任何扣款提示直接扣了我818元。</t>
  </si>
  <si>
    <t>2019/10/11 21:09:56</t>
  </si>
  <si>
    <t>前几天一个朋友因为资金短缺在及贷公司贷款，但是平台虚假宣传，前面没提示说要收费，等到要放款的时候才显示要收取高额的通过费才能放款。</t>
  </si>
  <si>
    <t>2019/10/11 21:09:26</t>
  </si>
  <si>
    <t>投诉人 翟先生        投诉对象  拍拍贷        涉诉金额  0 元    问题类型    诉求类型投诉详情  没有在本平台借钱 却一直处于骚扰模式 骚扰家人 还私自联系家人要钱</t>
  </si>
  <si>
    <t>2019/10/11 21:09:19</t>
  </si>
  <si>
    <t>以上三个网贷平台公司暴力催收，侵犯借款人的名誉权，隐私权&amp;nbsp;年利率远高出国家规定的范围，希望相关部门管管这种不合理的高利贷，帮帮我们穷苦人。</t>
  </si>
  <si>
    <t>2019/10/11 21:09:12</t>
  </si>
  <si>
    <t>本人于2019年8月22日在宜人贷app上借款88000元，现已还款1个月，近期家里遇到困难，实在无力偿还宜人贷的高额利息金额，已经给宜人贷客服打过电话申请协商还款，但客服告知我需要偿还117333.33元，借款88000，使用不到两个月，需要偿还29333.33元的利息，客服告知可以申请减免，但是需要我提供负债20万以上的凭证，于是我整理了自己负债的凭证，已经远超20万，并且发送给宜人贷官方邮箱，客服电话在昨日中午给我打了一次，我没接到，等了一天没有再联系我，今天下午，我主动联系宜人贷客服，咨询还款事宜，</t>
  </si>
  <si>
    <t>2019/10/11 21:08:28</t>
  </si>
  <si>
    <t>平安信用卡非法获取个人通讯录，催收人员每天去电骚扰我电话联系人亲属等，要求平等协商还款日期，不得继续骚扰亲属。</t>
  </si>
  <si>
    <t>2019/10/11 21:08:14</t>
  </si>
  <si>
    <t>招联金融给通讯录不相关人员发短信打电话骚扰，使他人无法正常工作生活。</t>
  </si>
  <si>
    <t>2019/10/11 21:06:59</t>
  </si>
  <si>
    <t>恶意拨打通讯录，并威胁非欠款人，态度极其恶劣，骂人，侮辱人格，行为已经构成犯法。</t>
  </si>
  <si>
    <t>2019/10/11 21:06:34</t>
  </si>
  <si>
    <t>滴滴出行不派女乘客单给我，我是一名五千多单的五星司机，投诉率为零，平台为什么不派女乘客单给我，九月二十八号我以经投诉一次了，当时解决了问题，两天都有女乘客单，但就两天，两天过后又不派女乘客单给我，滴滴公司就是这样处理问题的吗，打电话客服一直说我账号没问题，那我想问问是什么问题，滴滴公司安排的课我都有上，接到乘客不该说的话我也不说，希望平台处理解决。</t>
  </si>
  <si>
    <t>2019/10/11 21:06:27</t>
  </si>
  <si>
    <t>我是海风教育代理商，因存在各种各样的问题，三个月结束以后终止了合作，在原本合同中保证金事5日之内退还，但已经超期多天以流程正在走为由，尚未退还。</t>
  </si>
  <si>
    <t>2019/10/11 21:05:48</t>
  </si>
  <si>
    <t>弟弟被骗几十万网贷于银行欠款，家里卖了房子车库帮还款半年前主动进线支付宝客服，询问是否有欠款有我们还，但客服拒绝查询！我们倾家荡产还清了银行贷款，银行也帮助减免利息违约金！但国庆前借呗催收打电话过来，弟弟主动沟通，有催收工作人员答应可以减免分期，第二天又出尔反尔导致母亲听到受不了压力进了医院，目前还在医院里抢救！现在跟客服，催收沟通协商都没有结果，催收态度恶劣，依然催收，弟弟心里崩溃，母亲受不了总想结束生命，只能求助。</t>
  </si>
  <si>
    <t>2019/10/11 21:05:47</t>
  </si>
  <si>
    <t>2345立即贷公司，借款砍头息，高于国家法定界限，我要投诉到底，还我多余的利息。</t>
  </si>
  <si>
    <t>2019/10/11 21:04:46</t>
  </si>
  <si>
    <t>进行暴力催收，在我手机能打通的情况下，轰炸我的通讯录。</t>
  </si>
  <si>
    <t>2019/10/11 21:04:06</t>
  </si>
  <si>
    <t>表哥前几天在上海造艺网络技术有限公司百事普惠APP，填写了资料，没有享受到他们所谓的评估服务，而且扣费的协议不清不楚，10月10号下午无故扣款298.5，打客服电话，说是退款期限在两个月内，丝毫没有诚意退款，这不就是硬吞了吗。</t>
  </si>
  <si>
    <t>2019/10/11 21:03:55</t>
  </si>
  <si>
    <t>我在9月28号下了宜人贷APP他们业务员诱导我放款，给我终止，没有终止成功，到款119000，但写的本金150000多，我要求退还本金。</t>
  </si>
  <si>
    <t>2019/10/11 21:03:13</t>
  </si>
  <si>
    <t>根据计算2019年7月22号借款5000元，远远超过国家规定的36%而且还不能提前还款。</t>
  </si>
  <si>
    <t>2019/10/11 21:02:45</t>
  </si>
  <si>
    <t>投诉人 张先生        投诉对象  造艺科技,百事普惠        涉诉金额  299 元    问题类型    诉求类型投诉详情  联系他们客服就以各种理由推脱。说了一堆乱七八糟的东西</t>
  </si>
  <si>
    <t>2019/10/11 21:01:26</t>
  </si>
  <si>
    <t>投诉人 沈先生        投诉对象  交易猫        涉诉金额  950 元    问题类型    诉求类型投诉详情  仲裁客服处理不当 弄的我现在 钱号都没了 请聚投诉还我公道</t>
  </si>
  <si>
    <t>2019/10/11 21:00:58</t>
  </si>
  <si>
    <t>10月2日，借好易贷平台3000元，实际到账2100元，付款方为杭州市民卡有限公司，砍头息高达900元，周期为6天，实属高利贷，第一周期为10月8日到期，还款日当天该公司催收人员威胁爆通讯录，无奈只好先还费用360元，第二天继续威胁，由于本人家中有事无法周转在各种威胁恐吓下本人只能继续先还款300元，现在本人感觉人身安全受到了威胁，严重藐视国家法律暴力催收，现需要协商消账，并且催收人员方面道歉。</t>
  </si>
  <si>
    <t>2019/10/11 21:00:33</t>
  </si>
  <si>
    <t>本人应急用钱在爱白条上借款1800，借了有7天还没下款，现在要求取消借款，听说借1800要还2700多，现在要求取消借款。</t>
  </si>
  <si>
    <t>2019/10/11 21:00:04</t>
  </si>
  <si>
    <t>转我在转转卖了正常卖东西，与买家同城交易，买家确定收货，转转不打款，说订单有问题，也不解决，要求转转从新打款。</t>
  </si>
  <si>
    <t>2019/10/11 20:59:22</t>
  </si>
  <si>
    <t>为经借款人同意恶意骚扰通讯录，且带有威胁字眼。</t>
  </si>
  <si>
    <t>2019/10/11 20:59:13</t>
  </si>
  <si>
    <t>对啊网没有退还我未学习的学费，我也没有换课需求！。</t>
  </si>
  <si>
    <t>2019/10/11 20:58:50</t>
  </si>
  <si>
    <t>投诉人程女士投诉对象拼多多涉诉金额7690元问题类型诉求类型投诉详情拼多多罚款不合理，平时非公休日，罚款了我们的，我们都认款罚交了！今次是国庆节公休7天，快递是服务行业，不全休，也是轮休，导致我们有一小部分货揽收了在他们仓库没有发出，结果拼多多连没有延误的订单一起罚款了7690元我去快递理论,他们回复:国庆国家是休7天的,快递是轮休,人手不足,只帮我们发了大部分货,只有一小部分在他们仓库没有分包发出,他们愿意出证明盖章，他们承诺，如果以后非公休假，如果延误了24小时以上，罚款全额帮我们交，恳请今次别罚我们的</t>
  </si>
  <si>
    <t>2019/10/11 20:58:42</t>
  </si>
  <si>
    <t>在未告知本人情况下，群发催收短信给我通讯录联系人，对本人生活造成不便。</t>
  </si>
  <si>
    <t>2019/10/11 20:58:17</t>
  </si>
  <si>
    <t>恶意扣款299元不予退还，望平台帮助处理追回万分感谢！。</t>
  </si>
  <si>
    <t>2019/10/11 20:58:10</t>
  </si>
  <si>
    <t>在滴滴客服反馈了个问题，因为不方便拒接电话后连续拨打骚扰。</t>
  </si>
  <si>
    <t>2019/10/11 20:57:57</t>
  </si>
  <si>
    <t>投诉人温先生投诉对象白领贷涉诉金额2700元问题类型诉求类型投诉详情本人仔白领贷借款2700元，借款前被扣了一个称是平台服务费的500多的手续费，说明全部还款后会退回账户，8月还款的时候，他们平台还款出现了问题，一直还款失败，导致逾期，然后联系客服，让他代扣，他没没这种功能，态度不好就算了，让我加了一个微信，说从他那还款，添加过后发现，是让转账给一个私人的账户，我没理会，还是通过从App尝试还款，9月还款日到了，App还款又出问题，还款失败，导致逾期，第二天，立刻爆了通讯录，给我好友，好友通知我才知道，都爆</t>
  </si>
  <si>
    <t>2019/10/11 20:56:53</t>
  </si>
  <si>
    <t>中信信用卡15000//由于生意失败一时还不上，现在说停息分期不行，我每月还600－700//.可钱还进了，欠的金额越来越多，还经常打电话扰骚，恐吓，希望有关部门处理。</t>
  </si>
  <si>
    <t>2019/10/11 20:55:59</t>
  </si>
  <si>
    <t>投诉人 岳女士        投诉对象  小当家        涉诉金额  1 100 元    问题类型    诉求类型投诉详情  联系不到客服 不知道电话也没办法还款 后天逾期</t>
  </si>
  <si>
    <t>2019/10/11 20:55:00</t>
  </si>
  <si>
    <t>以虚拟商品的方式让大家购买来收取利息，根本没有任何实物，这根本就是砍头息，要求必须退还。</t>
  </si>
  <si>
    <t>2019/10/11 20:54:04</t>
  </si>
  <si>
    <t>阴阳合同，借款4000，到账4000，合同本金为6280，以6280计算利息。</t>
  </si>
  <si>
    <t>2019/10/11 20:53:13</t>
  </si>
  <si>
    <t>捷信业务员自己讲解之需要还利息1000元，本金和利息已经还完了，其他没说过的服务费及其他的一切费用拒绝支付。</t>
  </si>
  <si>
    <t>2019/10/11 20:52:36</t>
  </si>
  <si>
    <t>今天还款期还没有逾期就接到了十几二十个电话，因为工资发放原因要延迟到20号左右在还，客服说不是他们处理，骚扰电话已经严重影响了我的生活，请立刻停止骚扰，如果不停止骚扰我将报警处理。</t>
  </si>
  <si>
    <t>2019/10/11 20:52:35</t>
  </si>
  <si>
    <t>投诉人李玉敏投诉对象捷信金融涉诉金额25000元问题类型诉求类型投诉详情本人在捷信金融平台申请25000元借款，实际到手23000元，另外2000元由捷信办理贷款人员收取，现本人正在进行正常还款，希望捷信平台退还收取的2000元并作出道歉，或者在借款本金里减免2000元及超过法定利率的利息。</t>
  </si>
  <si>
    <t>2019/10/11 20:52:33</t>
  </si>
  <si>
    <t>本人于2019年9月1日在你我贷申17500元借款，分12期，前三期每期还款3295元后9期每期还款1545元已还1期，剩余11期，因利率过高无力偿还，请求减免息费，一次还清。</t>
  </si>
  <si>
    <t>2019/10/11 20:52:07</t>
  </si>
  <si>
    <t>一家黑心公司！骗钱集团！不通知情况下直接扣取你的费用。</t>
  </si>
  <si>
    <t>2019/10/11 20:51:33</t>
  </si>
  <si>
    <t>我拼车去一个地方是19块，去的时候是这个价，回来却一现在变成了40块！滴滴我每个月都得花1500左右，头一次拼车遇到这样的事！客服不作为，只是机械系道歉，有什么用，滴滴霸王条款！要求彻底解决这个问题，以后不要再碰到。</t>
  </si>
  <si>
    <t>2019/10/11 20:51:08</t>
  </si>
  <si>
    <t>自由魔卡APP的六便士，以买卡为借口收取高额砍头息，我在9月13号借款2000元收取540元会员卡费，28天后到期还款2060元，等于28天利息600元，从8月份起，借款2次了，付出的利息远远超过本金，现在已无力偿还，自由魔卡给高利贷提供平台，畅捷支付给高利贷提供支付通道，已保留到账信息，银行扣款等资料近一步像12315，扫黑办，银监会投诉。</t>
  </si>
  <si>
    <t>2019/10/11 20:51:01</t>
  </si>
  <si>
    <t>堂妹在及贷借款6000，到账5200，阴阳合同变相赚取利息，触犯国家法律规定。</t>
  </si>
  <si>
    <t>2019/10/11 20:50:12</t>
  </si>
  <si>
    <t>利用百事普惠APP注册，然后收取评估费用，在注册用户不知情的情况下，推出一个小银卷，点了也没提示扣钱，生成了评估报告，而且APP中写了贷款匹配不成功会退了评估费，打电话给客服态度特别不好，而且以各种理由推脱不退。</t>
  </si>
  <si>
    <t>2019/10/11 20:49:14</t>
  </si>
  <si>
    <t>本人于2018年12月借款20000，分12期偿还，已还款20574.43，年利率55%，远高于国家规定，希望有关部门处理。</t>
  </si>
  <si>
    <t>本人在厚本金融借了10000元...到账时就七八千...当时我就和客服说了我不要了，客服说不行已经放款了...算了我也每期按时还款...可就在上个月我登陆厚本金融app已经登陆不进去了....后来客服打我电话让我存到银行卡...我就存进去了，可这个月我就没存进去了，app也登陆不起来..我也不放心....后来平台就骚扰我家人，打电话给我朋友...打电话骚扰我...恐吓我...。</t>
  </si>
  <si>
    <t>2019/10/11 20:48:42</t>
  </si>
  <si>
    <t>麦子借款借了一万，到账不足一万，但一共要还一万六千左右，本人已经还了九千，客服说还有五千多没还，由于实在无力尝还，麦子借款请了黑恶势力恐吓我，说要报复父母！要求麦子借款取消逾期费，逾期费已经好几百，要求只还本金。</t>
  </si>
  <si>
    <t>2019/10/11 20:48:14</t>
  </si>
  <si>
    <t>腾讯游戏:王者荣耀:本人一直遵守游戏规则，并未出现违规现象，游戏中死亡0-3-2次，就被系统误判扣除信誉积分6分，就算打比赛职业玩家也不能无敌不死亡几次吧，反馈游戏客服冠冕堂皇回复，请求相关部门给予处理，退回被扣信誉积分，谢谢！。</t>
  </si>
  <si>
    <t>2019/10/11 20:47:33</t>
  </si>
  <si>
    <t>本人在一只船教育的诱导下于2019年10月9号缴纳了6980元的学费，1、招生老师在了解我的基本情况后，回复说我的条件符合报考国家一级消防工程师证书，然后以优惠打折活动快到期为由，让我尽快在微店购买课程；2、我从多方面，其他学校招生老师，我的同学，国家一消报考条件，了解到，我的条件其实不符合报考条件，再次跟招生老师确认，还是一口回复我报名没问题，还跟我说今年国家取消工作证明审核，3、在我交完费用当晚我要求退课，报名老师就暗示我退课就得扣钱并且还会拖延退款时间，没办法本人只好先接受降档退差价，而后我再次要求退</t>
  </si>
  <si>
    <t>2019/10/11 20:47:21</t>
  </si>
  <si>
    <t>本人在普惠快信办理8400元贷款，实际到手8000元，分12期进行偿还，每期还945.34元，现已还2期，如果按合同进行偿还，一共需要还11344.08元，贷款利率远超国家法定利率，希望平台进行相应的减免或者只偿还本金。</t>
  </si>
  <si>
    <t>2019/10/11 20:47:17</t>
  </si>
  <si>
    <t>投诉人李女士投诉对象造艺科技涉诉金额328元问题类型诉求类型投诉详情在用户不知情的情况下直接盗刷银行卡的钱此行为恶劣要求给出合理解释。</t>
  </si>
  <si>
    <t>2019/10/11 20:47:12</t>
  </si>
  <si>
    <t>在滴滴平台上叫车因临时有事让司机在目的地等待了几分钟，司机就责怪我当误他挣钱语气不太友好。</t>
  </si>
  <si>
    <t>2019/10/11 20:47:03</t>
  </si>
  <si>
    <t>去年年底去淘宝买了4300买了一台戴尔笔记本商家号称原装正品假一赔十，今年一直都没怎么用，前几天坏了，拿去戴尔维修店去维修，维修店的人说我的笔记本是翻新机内存条早就被换了不给保修，上淘宝网一看商家的网店已经不在了，打淘宝的客服电话，客服要我提供什么第三方证明，完全一副不理睬的样子，受理的结果直接是完成，我感觉作为消费者一点知情权，选择权和公平交易权都没有，一台电脑4000多，还好当时有拍下来虽然有点模糊，第二张图就是维修店的人拆下来的内存条的图片，很明显就是镁光的内存条，作为一个跨国公司一点担当都没有，早晚</t>
  </si>
  <si>
    <t>2019/10/11 20:46:08</t>
  </si>
  <si>
    <t>下载拇指下款，直接扣款150元，打客服电话都是一些狗在说话，不给退款，而且说我只要卡还有钱还要继续扣款，这是什么垃圾公司啊。</t>
  </si>
  <si>
    <t>2019/10/11 20:45:09</t>
  </si>
  <si>
    <t>投诉人杜先生投诉对象好易借涉诉金额12240元问题类型诉求类型投诉详情好易借app借款为高利贷：通过好易借app借款9000元，期限为360天，但是在前三个月就需要还清本金加利息10215元，利率已远超国家规定利率，除利息1215元外，另外还违规收取担保费810元、融资管理费1215元，共计2025元。</t>
  </si>
  <si>
    <t>2019/10/11 20:44:46</t>
  </si>
  <si>
    <t>投诉人杨先生投诉对象学慧网涉诉金额698元问题类型诉求类型投诉详情我本想报名考大专，但是我交了学费之后还是登录不了他有让我交钱。</t>
  </si>
  <si>
    <t>2019/10/11 20:44:27</t>
  </si>
  <si>
    <t>造艺科技平台存在欺诈行为，款项没下来就强制扣除299的费用，虚假内容前面没显示，违法行为，要求处理。</t>
  </si>
  <si>
    <t>2019/10/11 20:44:22</t>
  </si>
  <si>
    <t>悦如公寓押金退还至其悦如公众号中，2019年9月9日申请提现至今2019年10月11日20时42分审核未通过，其提现页面展示"申请提现成功后20个工作日到账"，按其所说此时审核通过最迟也需要到11月初才能拿到押金，其公众号提供客服一直多个分机没人接听，询问租房时分配的"公寓管家"至今也没有任何回复。</t>
  </si>
  <si>
    <t>2019/10/11 20:44:18</t>
  </si>
  <si>
    <t>回复态度比较急燥，问题一直不解决天天打骚扰电话。</t>
  </si>
  <si>
    <t>2019/10/11 20:44:16</t>
  </si>
  <si>
    <t>投诉人孟先生投诉对象六便士涉诉金额2000元问题类型诉求类型投诉详情六便士砍头息严重借2000捆绑买540会员严重超过国家利率本人有意愿按照正常利息还款。</t>
  </si>
  <si>
    <t>2019/10/11 20:43:57</t>
  </si>
  <si>
    <t>投诉人蔡先生投诉对象宜贷分期涉诉金额4720元问题类型诉求类型投诉详情高利贷，借款3000分了20天。</t>
  </si>
  <si>
    <t>2019/10/11 20:43:41</t>
  </si>
  <si>
    <t>投诉人申先生投诉对象平安普惠融资担保有限公司,平安普惠调解室,上海陆金所互联网金融股份有限公司涉诉金额125000元问题类型诉求类型投诉详情2018年2月以来，平安普惠以中国平安的名义多次向我发送短信，客服电话推销其消费备用金，这属于向社会群众推销高息贷款，一直以来比较反感，2019年2月27日被其客服电话人民诱导下载平安普惠APP，通过这个软件向上海陆金所互联网金融股份有限公司借款125000元，分12个月还，每月还款时才发现每月还款12089元中包含高额服务费保险费担保费等，还了4个月以后发现个人财务困</t>
  </si>
  <si>
    <t>2019/10/11 20:43:24</t>
  </si>
  <si>
    <t>上海瀚银信息科技有限公司作为持证第三方支付机构，自2019年初至今，非法为彩票返利网站提供支付通道，该公司这种违法行为，严重损害了人民权益，请相关部门严查，还百姓公道。</t>
  </si>
  <si>
    <t>2019/10/11 20:43:03</t>
  </si>
  <si>
    <t>投诉人李先生投诉对象海南圣云可网络科技有限公司涉诉金额248元问题类型诉求类型投诉详情10月10晚上下载了APP借款，今天显示扣费248元，在我不知知道的情况下乱扣费。</t>
  </si>
  <si>
    <t>2019/10/11 20:42:25</t>
  </si>
  <si>
    <t>马上金融借款3000元分3个月还，合同上却写的是借款4200元，期间还过1000元但app上却看不到任何明细与还款记录。</t>
  </si>
  <si>
    <t>2019/10/11 20:41:50</t>
  </si>
  <si>
    <t>投诉人李先生投诉对象小赢卡贷涉诉金额15000元问题类型诉求类型投诉详情我于2018年12月11号向小赢卡贷申请了一笔15000元的贷款，申请下来后就用了，到了还款日才发现利率不是年化百分之八，且测算远超国家规定，如今已还九期，共还了15267元，且还有三期4968.53元未还，请求帮助这个利率是多少，按法律法规我还应还多少钱，特别请求帮助。</t>
  </si>
  <si>
    <t>2019/10/11 20:41:33</t>
  </si>
  <si>
    <t>高利贷暴力催收没有经过本人同意给我的家人朋友打电话私自调查我的个人隐私给我的心理造成严重伤害。</t>
  </si>
  <si>
    <t>2019/10/11 20:41:26</t>
  </si>
  <si>
    <t>投诉人曾先生投诉对象畅捷支付,芒果筹,经周转涉诉金额2800元问题类型诉求类型投诉详情本人在轻周转芒果筹申请借款2800元到账2800元，8天一期，共四期，每期还1022元，现已还款三期共3066元，本人多次使用，早已归还了多余的利息和本金，畅捷支付属于为高利贷支付平台放款，属于违法因为，现在实在无力偿还最后一期，要求减免最后一期，结清处理，本人联系经周转芒果筹平台多次无果，甚至按时还款还被标注逾期，本人使用该产品4次银行卡里一直有钱9月开始不主动扣款线下还款后一直显示逾期并且罚息一直再涨。</t>
  </si>
  <si>
    <t>2019/10/11 20:41:06</t>
  </si>
  <si>
    <t>及贷扣除所谓保费，记录将近60%，要求退还保费，利率合理，强制行为就不管了。</t>
  </si>
  <si>
    <t>2019/10/11 20:40:44</t>
  </si>
  <si>
    <t>投诉人王先生投诉对象来分期,趣店,百信银行,新网银行涉诉金额8198元问题类型诉求类型投诉详情我在来分期平台借款6800元，分12期，借款后需要还款8198元，利息高达1400元，经过核算，年化三十多，并且不能提前还款，如果提前还需要还一年利息，并且每个月还款前几天就电话骚扰不断提醒还款，恶心的不行，新网银行、百行，来分期联合高利贷，坑害普通人，要求降低利率，返还多余利息，赔礼道歉，咱们继续，通过各个渠道继续投诉举报，互金，银监会，工商，咱们继续。</t>
  </si>
  <si>
    <t>2019/10/11 20:40:22</t>
  </si>
  <si>
    <t>投诉人曹先生投诉对象拉卡拉支付涉诉金额666元问题类型诉求类型投诉详情拉卡拉支付违规为高利贷钱嗖嗖提供支付业务，年利率高达800%，严重逾越了国家红线，并且拉卡拉从中谋取暴利，希望贵司退还非法所得。</t>
  </si>
  <si>
    <t>2019/10/11 20:40:08</t>
  </si>
  <si>
    <t>电话骚扰家人，暴力催收，骚扰亲朋好友，电话轰炸。</t>
  </si>
  <si>
    <t>2019/10/11 20:39:28</t>
  </si>
  <si>
    <t>投诉人颜先生投诉对象月光侠分期涉诉金额3000元问题类型诉求类型投诉详情阴阳合同，3000到帐2280。</t>
  </si>
  <si>
    <t>2019/10/11 20:38:52</t>
  </si>
  <si>
    <t>微信商户码借我朋友收个款，我朋友是开酒吧，他的商户码当时没有办呢，借我的商户用下的。</t>
  </si>
  <si>
    <t>2019/10/11 20:38:47</t>
  </si>
  <si>
    <t>投诉人蔡女士投诉对象北京恒昌涉诉金额60000元问题类型诉求类型投诉详情北京恒昌就是高利贷还暴力催收，客服人员态度恶劣，声称第二天要爆打通讯录电话，已经打过联系人电话，我本人电话又没失联这么骚扰我联系电话暴力催收，利息收那么高嗨这么逼迫，剩余的钱必须给我个答复，那个客服必须开除，难道逼死人才算可以么……有困难你也不能这么侮辱人吧，这是合法催收么，简直是暴力催收…。</t>
  </si>
  <si>
    <t>2019/10/11 20:38:28</t>
  </si>
  <si>
    <t>投诉人宋女士投诉对象我来数科涉诉金额1500元问题类型诉求类型投诉详情我来数科借1500，还1900，分12期还，还了9期，还剩3期没还，1号开始逾期，逾期开始就不停的催收，爆通讯录，对我亲人朋友各种电话骚扰，还群发短信，还去加我朋友们微信，现在对我朋友们生活影响很大，希望不要在骚扰我朋友他们了。</t>
  </si>
  <si>
    <t>2019/10/11 20:37:43</t>
  </si>
  <si>
    <t>投诉人田先生投诉对象百万钱包涉诉金额12000元问题类型诉求类型投诉详情百万钱包乱收费，不让提前结清贷款，提前结清要收取一年的全部利息费用，算下来利息年化高达100%以上，完全是非法高利贷一样，期间多次协商处理结清问题，不给取消不合理收费，要求必须立刻停止骚扰，赔礼道歉，调整利息费用，取消不合理收费，尽快办理提前结清。</t>
  </si>
  <si>
    <t>2019/10/11 20:37:40</t>
  </si>
  <si>
    <t>在不需要借款的情况下不停地换各种电话号码拨打过来，严重影响我的正常生活。</t>
  </si>
  <si>
    <t>2019/10/11 20:37:15</t>
  </si>
  <si>
    <t>我朋友17年在捷信平台借了4500，后来没能力还了，捷信平台就雇佣了当地的社会人员打电话进行恐吓，说要上门催收。</t>
  </si>
  <si>
    <t>2019/10/11 20:37:03</t>
  </si>
  <si>
    <t>非法获取通讯录，且未经过本人允许拨打，已经打过客服电话告知15号处理欠款。</t>
  </si>
  <si>
    <t>2019/10/11 20:36:52</t>
  </si>
  <si>
    <t>投诉人魏先生投诉对象卡卡贷涉诉金额2500元问题类型诉求类型投诉详情此平台涉嫌高利率和砍头息，我6月27号在此平台贷款了2500分三个月还每个月还905.83，己经是属于高利贷了能接受，但在我不知情的情况下恶意使用我信息扣款299元，我咨询了卡卡贷客服回复我的保险费，到帐2500-299砍头息=2201，这样严重侵犯我的权益了，也不符合国家标准的百分之24。</t>
  </si>
  <si>
    <t>2019/10/11 20:36:26</t>
  </si>
  <si>
    <t>投诉人张杰投诉对象即有分期涉诉金额10000元问题类型诉求类型投诉详情本人在即有分期借款五千元分24期还款当时未看到明显合同表示利息多少现在每期还款近四百元已经还了22期了经多次协商无结果本月本人资金周转困难联系即有分期客服协商晚些天还款一开始客服答应了后来又有催收人员联系我告知我十三号之前不还款就联系家人贵公司收着我那么高的利息本人资金周转困难不是不还晚几天还款逾期费用我承担这久不行，况且我应该也每个月支付好几十的贵公司所谓的无忧还款权益包请贵公司在中午十二点到一点或者下午五点左右联系本人在贵公司备注的电</t>
  </si>
  <si>
    <t>2019/10/11 20:36:11</t>
  </si>
  <si>
    <t>本人信用良好，一直使用招联平台，从来没有逾期，这个利息越来越高，开始0.3，现在0.8几了，要求恢复原利率，退还多余利息！杀熟杀得厉害，不恢复原利率，退还多余利息，我就不还款了！堂堂大公司怎么也这么瞎搞！。</t>
  </si>
  <si>
    <t>2019/10/11 20:36:08</t>
  </si>
  <si>
    <t>投诉人黄女士投诉对象创客工具箱涉诉金额0元问题类型诉求类型投诉详情淘宝账户被人恶意标记，重要的是我根本不知情，完全在不知情情况下被标记，严重侵犯我的账号隐私，破坏了我的账号正常使用。</t>
  </si>
  <si>
    <t>2019/10/11 20:36:00</t>
  </si>
  <si>
    <t>投诉人王女士投诉对象宁波有缘信息技术有限公司,北京花千树信息有限公司涉诉金额20888元问题类型诉求类型投诉详情我的诉求是要求撤销合同全额退款，三倍赔偿，并且赔偿往来路费！理由如下：1、2019.10.8世纪佳缘来电说有男士非常适合我这类型的女士，并详细介绍了男士情况，表示需要让我去店内审核我的身份证和毕业证，诱导我去店铺，去之前压根没提任何费用，在店内把我拉到一间特别小没有窗户的房间，关门不开空调很闷热，在里面进行长达3个多小时忽悠，这时店内销售提出看价格选择服务档次，款不仅没有作出详细清晰的解释说明采用</t>
  </si>
  <si>
    <t>2019/10/11 20:35:47</t>
  </si>
  <si>
    <t>投诉人喻先生投诉对象天猫超市涉诉金额9元问题类型诉求类型投诉详情买回来的火鸡面，4包都漏气了。</t>
  </si>
  <si>
    <t>我之所以公开这个还款记录，并不是我想赖账，而是我还款24期以后，我才发现除了本金和利息，还有个其他费用，竟然要还本金+利息+费用，一共315516.85元，我想问问，这到底算不算变相的高利贷，我一直都没有发现这个贷款的具体扣费，其业务员推荐的时候也没有告知其多余的部分是什么费用，直到还款至今天我之所以公示，就是要求在我还清本金的基础上协商终止剩下12期的还款金额，其在我拿到款项之前就扣了不知道什么情况的服务费6000元，实际只拿到194000元，之后我还发现这个是个保单贷，但是办理人员当时什么都没有告知，也</t>
  </si>
  <si>
    <t>2019/10/11 20:35:24</t>
  </si>
  <si>
    <t>朋友在及货借款时平台要求购买黄金会员，在不经同意下强制购买，收取高额砍头息费用，现要求取消借款订单。</t>
  </si>
  <si>
    <t>2019/10/11 20:33:59</t>
  </si>
  <si>
    <t>几个朋友在马上消费金融贷过款，都经历过平台冒充银行及法院，已涉嫌触犯法律，手段多恶劣行为，态度也恶劣，为了催收不择手段，什么方法都用的出来，必须处理。</t>
  </si>
  <si>
    <t>2019/10/11 20:33:55</t>
  </si>
  <si>
    <t>月光侠分期，恐吓，威胁，打通讯录，群发通讯短信，侵犯个人隐私，在扫黑除恶钱站月光侠分期依然顶风作案，请聚投诉严格处理这个黑心平台。</t>
  </si>
  <si>
    <t>2019/10/11 20:33:42</t>
  </si>
  <si>
    <t>造艺科技注册即绑定银行卡恶意扣款收取所谓注册审核费用，违法收取费用。</t>
  </si>
  <si>
    <t>2019/10/11 20:33:10</t>
  </si>
  <si>
    <t>投诉人申先生投诉对象畅金服务,吴柏杰,魏晓妃涉诉金额3300元问题类型诉求类型投诉详情本人2号通过短信链接下载了畅金服务，由于当时本人缺钱，看到上面可以借出大额，就认证了哪知道认证成功后直接下款到我卡里，当我反应过来的时候，看到是大高炮，3300到账1980，收我1300的砍头息，由于本人国庆节期间家中有事没能还上，本人于6日进行了展期一次1650，10日到期自己没有周转过来只好继续展期展期一天费用高达400元，11日早上催收的又开始催了，完全不把人当回事说话态度及其恶劣，在这打黑扫恶环境中既然如此藐视国家</t>
  </si>
  <si>
    <t>2019/10/11 20:31:51</t>
  </si>
  <si>
    <t>投诉人黄女士投诉对象鸿飞担保涉诉金额800元问题类型诉求类型投诉详情钱从银行卡划走，没有经同意就划钱，还没有反映过来钱就不见了，电话号码是空号！。</t>
  </si>
  <si>
    <t>2019/10/11 20:31:47</t>
  </si>
  <si>
    <t>投诉人胡女士投诉对象松紧贷涉诉金额10440元问题类型诉求类型投诉详情本人于2018年11月借款10440元，实际到账9000元，分12期偿还，已还款9171.93，年利率61%，远高于国家规定，希望有关部门处理。</t>
  </si>
  <si>
    <t>2019/10/11 20:31:43</t>
  </si>
  <si>
    <t>投诉人 屈先生        投诉对象  悦如公寓        涉诉金额  4 100 元    问题类型    诉求类型投诉详情  房东要收回房子，悦如平台不管，刚交了房租</t>
  </si>
  <si>
    <t>2019/10/11 20:31:19</t>
  </si>
  <si>
    <t>近期资金，苏宁金融贷款未按时还款，一位工作人员男士，电话催收直呼其名，态度恶劣，及其强势，基本没有与我协商的说辞，说我就是没钱，我告诉他我会打电话去苏宁消费金融客服电话协商还款，对方直说打电话也没有，最后还是反馈在他那里，根本就是没有协商余地，直接说要联系我的第三方联系人核实我的个人情况，以及让当地苏宁消费金融工作人员上门，如果不是遇到了困难，谁愿意逾期，我承认我是逾期还款违约在先，但你们也得相互理解尊重一下，本着一个解决问题的态度来沟通，就你们这个催收的态度我真的会以为你们是黑社会的，请不要话语之间诋毁和</t>
  </si>
  <si>
    <t>2019/10/11 20:31:02</t>
  </si>
  <si>
    <t>本人于轻周转芒果筹借款2800元，8天一期4期共需要还款4088元，实属高利贷，多次使用早已经归还多余利息，现资金不足无法归还最后一期，要求销账处理。</t>
  </si>
  <si>
    <t>2019/10/11 20:31:01</t>
  </si>
  <si>
    <t>因为之前生意投资失败，导致血本无归跟他们说明情况，所以我知道欠债还钱，天经地义，是我不对确实还款压力过大，导致逾期情况，催收方十分生硬，如果不及时处理还款，他们说怎么样怎么样。</t>
  </si>
  <si>
    <t>2019/10/11 20:30:13</t>
  </si>
  <si>
    <t>滴滴公司要求早上到下午完成8单就给奖励，总单量跑到35单应该奖励80元结果平台说我有作弊订单一分奖励没给，好多司机都是跑够了35单就显示有作弊订单，要求公司给个解释。</t>
  </si>
  <si>
    <t>说是贷款其实是个骗钱组织被骗有一万二左右，联系不到人，客服不理人，打电话没有号码。</t>
  </si>
  <si>
    <t>2019/10/11 20:30:09</t>
  </si>
  <si>
    <t>我们在速卖通有一单总金额$45美元的订单，选择发无忧标准物流，当时申报的是1.8kg，在线报价是272元，但是货物到仓库后，他们称重的结果显示是10.73kg，这个差别很大，他们也没有告知我们具体收费金额就把货物发掉了，之后物流公司未经同意就直接从帐户扣款$157美元，我们了解过不同的发货渠道价格都比他们的收费低一半。</t>
  </si>
  <si>
    <t>2019/10/11 20:29:13</t>
  </si>
  <si>
    <t>直接叫申请，申请之前还没有显示要手续费600元客服还联系不到。</t>
  </si>
  <si>
    <t>2019/10/11 20:28:18</t>
  </si>
  <si>
    <t>让绑银行卡，然后就扣款了，说申请不通过可以申请退款，然后截图给他了没用，后来连app都直接打不开了，下载也不知道去哪里找。</t>
  </si>
  <si>
    <t>2019/10/11 20:28:16</t>
  </si>
  <si>
    <t>从10月9日一直恶意骚扰，恐吓酒店前台座机号码，催收自称是帮你贷平台的工作人员，说是我欠帮你贷平台四千多块钱，但是本人并没有在此平台借过钱，而且本人也不在此酒店上班，帮你贷平台一直电话轰炸了三天三夜，白天电话骚扰，晚上放恐怖声音，现要求帮你贷平台给出合理的解释，停止催收，道歉。</t>
  </si>
  <si>
    <t>2019/10/11 20:28:14</t>
  </si>
  <si>
    <t>投诉人彭女士投诉对象云南泛亚普惠涉诉金额50500元问题类型诉求类型投诉详情利用包装费来贷款，，说利息很低的，不过要交一点包装费，然后让我填写自己的信息，还有他们发给我的包装的信息，写完之后过了半个小时就说已经审核完成了，因为我当时提交的银行有问题，所以他们说要我提交我自己的身份证正反面和银行卡照片，还有需要交借款金额，的百分之三十的认证金，当时没有说清楚，所以我用别的银行卡转的，结果说认证失败，那我说不借了，把这个钱还给我，结果他们经理说这个钱被冻结了，不借的话我交的钱和放款的钱都拿不回来，然后我又去借了</t>
  </si>
  <si>
    <t>2019/10/11 20:27:56</t>
  </si>
  <si>
    <t>2019.10.10在机场时工作人员拦下我说办卡免费只是要充1880，我在办理的时候问了工作人员是否可以直接用这1880买机票，工作人员也向我保证可以用，结果我买机票时才发现1880只可以每次抵基建费，试问这1880我需要做多少次飞机，工作人员完全没有介绍清楚，说的承诺也是虚假的，完全是在误导我办卡。</t>
  </si>
  <si>
    <t>2019/10/11 20:27:45</t>
  </si>
  <si>
    <t>本人因暂时资金周转不开，向小花钱包借款2000元，实际到账1000元，分10期，每期应还312.62元，到还款日，小花钱包催收人员打骚扰电话谩骂家人，威胁我，严重影响了我的个人生活及家庭，本人现已就此事向当地派出所报案，并报请相关单位进行处理，希望能给出个合理公平的处理结果，希望平台进行道歉并赔偿。</t>
  </si>
  <si>
    <t>2019/10/11 20:27:31</t>
  </si>
  <si>
    <t>投诉人田先生投诉对象360借条涉诉金额2500元问题类型诉求类型投诉详情借了2000还了一期剩1500涨到2500我怎么还。</t>
  </si>
  <si>
    <t>2019/10/11 20:27:30</t>
  </si>
  <si>
    <t>6月7日借款2000元，到账1500分三期，，每期还779元，共还了2337元，一个月利息合计837元，6月30日借款2500，到账1875，分三期。</t>
  </si>
  <si>
    <t>2019/10/11 20:27:06</t>
  </si>
  <si>
    <t>马上金融泄露信息，催收人员暴力威胁人身安全，要求停止这种行为。</t>
  </si>
  <si>
    <t>2019/10/11 20:26:44</t>
  </si>
  <si>
    <t>表哥在去年4月份在捷信金融借款3000元，分期42个月每月还款1317.86元，现已归还17个月，共计金额22403.62元，让微信客服人员计算提前还款得到的是仍需还款本金22538.0元，17个月本金才还了7462元本金，却归还了74941.62元的利息及其他费用，切借款前也未告知是等额本金，还是等额本息，不知道这种贷款公司是如何在我国现行法律下做大做强的，要求解决消费者的问题，上次投诉一次无果，再帮他投诉一次，希望能解决。</t>
  </si>
  <si>
    <t>2019/10/11 20:24:41</t>
  </si>
  <si>
    <t>9月22日，租联动云共享汽车开回到宝丽花园附近的路边划线停车位停车说我违反规定停放，妨碍其它车辆或行人通行，图片红色箭头的位置就是停车位的划线，我停在白色小车的那个位置上，因为隔时间，不能拍摄当场的证据。</t>
  </si>
  <si>
    <t>2019/10/11 20:24:14</t>
  </si>
  <si>
    <t>本人想投诉苹果商店不给予退款，原因如下，本人小孩儿今年7岁，在使用我苹果手机时候下载老虎机，进行游戏，在这之后购买了两笔游戏道具，总共12元，当时我进行了申请退款，谈的也给我原路退回了款项，之后孩子总是玩我手机，并且在我不知情的情况下，购买了将近350块钱的游戏道具，，所以我才知道这个事情，去查了，但是当我再次进行报告问题，并且申请退款时，被拒绝，说我的申请退款不在申请范围内，我联系了他们的客服，第一天打电话时，他们没有给我处理，也没给我下发案例编号，在我第二次打电话去的时候，他们要我反复的告知他们我的id</t>
  </si>
  <si>
    <t>2019/10/11 20:22:11</t>
  </si>
  <si>
    <t>恶意爆通讯录对生活造成很大的困扰，发律师函费用过高。</t>
  </si>
  <si>
    <t>2019/10/11 20:21:37</t>
  </si>
  <si>
    <t>及贷平台毫无制度，以前做销售卖车的时候的一个客户借的钱一直没还，结果催收骚扰电话天天打到我这来，影响我的生活。</t>
  </si>
  <si>
    <t>2019/10/11 20:21:19</t>
  </si>
  <si>
    <t>本人钱站app申请贷款，批复额度3000元，共三期贷款利率明显超过法律规定的年化36%。</t>
  </si>
  <si>
    <t>2019/10/11 20:20:06</t>
  </si>
  <si>
    <t>本人因母亲疾病住院无力偿还欠款于2019年8月协商还款，协商从9月起每月20号归还浦发银行2500元，五年内还清，单因母亲突然病情恶化，没能及时还款，但我也还了500，，希望再次协商还款，不要在逼我了，逼死我钱你们也收不到了。</t>
  </si>
  <si>
    <t>2019/10/11 20:19:16</t>
  </si>
  <si>
    <t>本人在万惠及贷上借款20000，实际到账17514，扣除了2486元所谓的保险费，还款要还24900多，算了一下年利率高达60％以上。</t>
  </si>
  <si>
    <t>2019/10/11 20:18:05</t>
  </si>
  <si>
    <t>黄某某在拍拍贷欠款逾期，不还钱又不关我事，拍拍贷三天两头打电话让我去告知对方，问题我跟对方根本就不熟，早已告知催收人员，谁欠的款找欠款人！我没义务替你们拍拍贷去找这个欠款人，拍拍贷催收人员还一直打我的电话，要我去告知欠款人，这种行为已经严重影响我的日常生活！作为拍拍贷公司人家随便填写我的号码做为联系人有核实吗，别人欠钱凭什么要我承担后果，希望平台帮我解决这个拍拍贷催收问题，停止骚扰，道歉！。</t>
  </si>
  <si>
    <t>2019/10/11 20:17:43</t>
  </si>
  <si>
    <t>前两天跟同时一起出差因滴滴司机开车过慢导致延迟到站，车票作废，从新买票，本来15分钟能到的，路上就他的车最慢，跟他说过了赶时间坐车，就是不听，故意的，我不知道是因为什么，司机却一直很慢很慢的开，没有一辆车比他慢，请给我一个合理的赔偿，滴滴快车客服说会给合理解释，。</t>
  </si>
  <si>
    <t>但是负责这个单的大地时贷工作人员给我扣款2次5000一共10000元整，那么为什么大地时贷工作人员给我扣款10000元。</t>
  </si>
  <si>
    <t>2019/10/11 20:17:21</t>
  </si>
  <si>
    <t>在本月因急事借款，结果拒不协商还款，6天时间900的高额利息，一点协商解决不给，还要挟说全款3000没有就处理利息900，延期。</t>
  </si>
  <si>
    <t>2019/10/11 20:16:49</t>
  </si>
  <si>
    <t>美团点评,美团外卖,北京三快信息科技有限公司,北京三快科技有限公司，10月6日在美团到店就餐，进屋隐约一股臭味，没在意，就餐时喝了一口大酱汤臭的几就没喝了，上吐下下泻，并且客服糊弄用户不给与赔偿。</t>
  </si>
  <si>
    <t>2019/10/11 20:16:46</t>
  </si>
  <si>
    <t>这个催收还甘愿给我当证人！中银消费的贷款请给个合理解释。</t>
  </si>
  <si>
    <t>2019/10/11 20:16:22</t>
  </si>
  <si>
    <t>本人在拍拍贷借款6000元，实际还款8159.88元，总利息2159.88元，实际利率超过央行规定的百分之24，高达百分之35.998，实属高利贷，而且协议中明确每月还款530.28元，实际每期还款679.99元，所以本人申请借款无效，本人只需还款本金即可，本人已经还款四期共计金额2719.96元，所以只需再还3280.04元即可。</t>
  </si>
  <si>
    <t>2019/10/11 20:14:42</t>
  </si>
  <si>
    <t>刚刚我付款的其中一个商家来电，说4个订单只有一个订单是他们的，其它3个不是，当初问客服只告诉了我这一个，我也没有多问，第一个也是他们告诉我的，为什么后面就不能说了呢，反正拼多多现在就咬着不是实际订单账号不正面回答，钱是我支付宝里面付的，以商品交易成功的借口拒绝处理：处理专员态度十分恶劣，骂我傻子。</t>
  </si>
  <si>
    <t>2019/10/11 20:14:28</t>
  </si>
  <si>
    <t>投诉人于女士投诉对象侯龙飞涉诉金额15000元问题类型诉求类型投诉详情平台您好：本人承诺以下所述均属真实内容，如有虚假愿承担法律责任；2018年6月份左右认识侯龙飞，时间并没有多久之后该人称自己要买车开口向我借钱，每天不断频繁给我发借钱的信息，可以说达到骚扰的程度，当时该人各种说好话，还承诺说按照银行贷款付我利息并信誓旦旦说2018年年底归还，后来因个人经济状况超级差，向其讨要这15000元，但是此人不仅把我微信拉黑了，把我电话也拉黑了，我换号拨打电话，只要听到我的声音就把电话挂了。</t>
  </si>
  <si>
    <t>2019/10/11 20:13:36</t>
  </si>
  <si>
    <t>投诉人徐女士投诉对象畅捷支付涉诉金额2800元问题类型诉求类型投诉详情本人在轻周转芒果筹申请借款2800元到账2800元，8天一期，共四期，每期还1022元，现已还款三期共3066元，多次使用，早已归还了多余的利息，畅捷支付属于为高利贷支付平台放款，属于违法因为，现在实在无力偿还最后一期，要求减免最后一期，结清处理。</t>
  </si>
  <si>
    <t>2019/10/11 20:12:36</t>
  </si>
  <si>
    <t>投诉人 庄先生        投诉对象  超好花        涉诉金额  1 000 元    问题类型    诉求类型投诉详情  超好花已经到期快1个月了 始终找不到还款方式 百度客服电话也打不通 希望超好花工作人员主动联系我</t>
  </si>
  <si>
    <t>2019/10/11 20:12:34</t>
  </si>
  <si>
    <t>暴力催收，并且还不肯协商还款，多次与第三方催收和客服沟通无果。</t>
  </si>
  <si>
    <t>2019/10/11 20:12:25</t>
  </si>
  <si>
    <t>投诉人 柳先生        投诉对象  松紧贷        涉诉金额  1 000 元    问题类型    诉求类型投诉详情  逾期一天我马上还款了 然后就开始辱骂威胁。听你们解释</t>
  </si>
  <si>
    <t>2019/10/11 20:12:04</t>
  </si>
  <si>
    <t>9月30号，因有一张优惠卷一天没用就到期，想用一下，然后没提现成功，现在一直不能提现。</t>
  </si>
  <si>
    <t>2019/10/11 20:11:04</t>
  </si>
  <si>
    <t>投诉人曹女士投诉对象wxid_eb9w9q0wo96g22涉诉金额2400元问题类型诉求类型投诉详情卖黄牛票，在她处付了定金之后，说不满意可以全额退款，然后想要退款，一直拖延时间，现在信息不回复，个人被骗金额2400元，一共有5个人，总共1万2。</t>
  </si>
  <si>
    <t>2019/10/11 20:10:40</t>
  </si>
  <si>
    <t>投诉人刘先生投诉对象六便士涉诉金额2000元问题类型诉求类型投诉详情自由魔卡app里的六便士，以买会员卡收取高额砍头息，本人在9月12日借款2000元支付540元会员费.现在因为资金暂时周转不开，要求协商延缓几天还款。</t>
  </si>
  <si>
    <t>2019/10/11 20:09:07</t>
  </si>
  <si>
    <t>经过我几个朋友的跟我说，聚福钱包在没有本人的允许下私自扣费，在投诉他们之后有客服联系说给退款，让先把投诉取消，然后把投诉取消已经过了半个月钱还没有给退还到卡里，要求立即退款，，在网上看到好多人也是这种情况，那不是黑平台了。</t>
  </si>
  <si>
    <t>2019/10/11 20:08:26</t>
  </si>
  <si>
    <t>微粒贷未经过本人允许，私自获取本人的通过记录，对通讯过的电话骚扰，严重影响到他人的生活与工作，而且被骚扰人身体不好，国家明令禁止不得联系本人以为的联系人，。</t>
  </si>
  <si>
    <t>2019/10/11 20:07:59</t>
  </si>
  <si>
    <t>马上金融消费贷款，给我20000的额度，我用了7000，分15期还款，催收人员说替我张嘴给他们借，挂完电话就给朋友们联系了，11期正常还款，都是提前一两天提前用app还，马上金融催收打电话，说出我两个朋友的姓名，非要让我给朋友借钱还他们，如果不好意思借，催收人员说，替我张嘴给他们借，挂完电话就给朋友们联系了，还有朋友的联系方式不知道他们在某种渠道得来的，你们这是什么性质了，前几天还有个催收的，说我在不还钱，直接移交到外包处理，外包就上门催收，我家里有困难还不上，你们可以找我本人，我也说过愿意承担。</t>
  </si>
  <si>
    <t>2019/10/11 20:07:42</t>
  </si>
  <si>
    <t xml:space="preserve">投诉人 王先生        投诉对象  得仕        涉诉金额  4 699 元    问题类型    诉求类型投诉详情  0****************4 200 0****************0 300 0****************5 500 0****************5 499 0****************5 200 0****************2 700 0****************0 500 这些为个别订单。 </t>
  </si>
  <si>
    <t>2019/10/11 20:07:33</t>
  </si>
  <si>
    <t>工号24228，浦发银行催收人员及若干，另有女声若干，工号不详，日均致电8个以上，从早上9点到晚20:00，换不同人打催收电话，以威胁紧急联系人，单位领导，各种心理侮辱为主，严重干扰了日常工作生活，每次致电平均15分钟以上，如果本人表示希望不要再骚扰，希望换时间打电话的要求下，马上换另一个人打电话，问同样的问题再联系15分钟，我是欠钱了，还款意愿真诚，还款资本和筹款渠道如实汇报，在等待卖房过程中降价出售，同时筹借亲友，但诸多催收根本不接受，每天问我家人是谁，我领导是谁，并索要电话联系让亲友还钱，简直毫无逻辑</t>
  </si>
  <si>
    <t>2019/10/11 20:07:21</t>
  </si>
  <si>
    <t>投诉人刘先生投诉对象造艺科技涉诉金额299元问题类型诉求类型投诉详情绑完银行卡在我不知情的情况下扣我299元，客服联系不到，要求退还我299元，我会保留证据继续投诉至12315，银监会。</t>
  </si>
  <si>
    <t>2019/10/11 20:06:56</t>
  </si>
  <si>
    <t>今天是还款日，结果app无法主动还款，无奈之下于今日下午3点存入足够款项至还款银行卡，但是一直没有自动扣款，然后7点半发消息来说还款失败，并且从早上到晚上一直联系不上客服，严重怀疑恶意让我逾期，然后收取高额逾期费，并且导致征信逾期，同时还要恶意催收，造成严重影响。</t>
  </si>
  <si>
    <t>2019/10/11 20:06:50</t>
  </si>
  <si>
    <t>投诉人吴先生投诉对象小浦优客涉诉金额296元问题类型诉求类型投诉详情被扣款时间2019-10-11早上9.04分打电话联系不到他们。</t>
  </si>
  <si>
    <t>2019/10/11 20:06:47</t>
  </si>
  <si>
    <t>投诉人 兰先生        投诉对象  造艺科技        涉诉金额  299 元    问题类型    诉求类型投诉详情  豹子贷恶意扣款299元，请求退款。。。谢谢聚投诉</t>
  </si>
  <si>
    <t>2019/10/11 20:06:40</t>
  </si>
  <si>
    <t>ji好易借，我借款5500，分12期，还款8000，利息高就不说了，前面3期一共要还7500，后面9期每个月大约只需要还60元的利息，期间有两个月还款日当天疯狂给我打电话骚扰催收，我说了几次稍微宽限一天时间，我正在筹钱，客服就是不肯，说是下午16点前不还就等着，后面没还上，当天晚上就疯狂爆我通讯录，骚扰我的家人，还把我同事电话打了个遍，这还没完，逾期每天多收利息80元，给他们客服打电话协商无果，不还就骚扰通讯录里的人，实在是太不要脸了，给我的工作以及生活造成了严重的影响，还发生两次。</t>
  </si>
  <si>
    <t>2019/10/11 20:06:17</t>
  </si>
  <si>
    <t>投诉人 陈女士        投诉对象  中邮消费金融        涉诉金额  9 400 元    问题类型    诉求类型投诉详情  希望只还本金分期5个月还清 之前就已经投诉过 也跟客服表达了自己的经济能力 配合提供了征信报告 可是没有协商的余地 要求一次性还才能还本金 但是本人现在确实困难 望谅解 跟刚刚的催收也解释了自己的难处 可是对方不听 非得要求一次性 还说要去找我爸妈的电话说要起诉我 我父母是清楚的人家是农民没有经济来源 也没义务给我还款 麻烦贵公司</t>
  </si>
  <si>
    <t>韦博英语至今未发完八月份所欠薪资，个人认为，只要该法人旗下还有品牌还处于盈利状态，就应该对事态负责到底，不要钻了法律的漏洞。</t>
  </si>
  <si>
    <t>2019/10/11 20:06:12</t>
  </si>
  <si>
    <t>我是做化妆品，日用品百货的，主要以批发为主，在拼多多上有店铺，一般都在微信上成交，可是个人收款码收款总是上限，我就在QQ上找到了一个叫中原支付的人给我办理了一个聚合码，就是小精灵商户通APP的，他把我的信息，银行卡，手机号都绑定上了，说第二天款就到了，上面也有商家信息，叫西安雁塔区琼楼玉服装店，我就用那个码来收钱了，毕竟APP都是可以信任的，而且收到钱，APP也会提醒，上面的信息也是我的，可是我十月三号收到的钱迟迟不到账，一直到今天也没有收到，给我办理商家的人说我资金冻结了，我就想联系客服看看到底是什么原因</t>
  </si>
  <si>
    <t>2019/10/11 20:05:47</t>
  </si>
  <si>
    <t>本人在该平台5400元，先已还2600，还有3600多未还，这次还款日是10.4号，逾期六天，我之前有跟改平台协商过，家里确实出了点事情拿不出来这笔钱，等发工资第一时间还清，而他们就刚刚给我打电话说要打我紧急联系人，让他们帮我凑钱，我说了又不是联系不到我本人或者我不还，我有还款意识，但这位女催收员说要找我亲戚帮我借钱，我怎么说都不行，而且我紧急联系人放的是我母亲，如果因为他们的催收导致母亲病情加重，那又有谁来承担这个责任，上次也是就因为我逾期一天就各种威胁和恐吓，这次不投诉是不行了，希望有关部门高度重视这种</t>
  </si>
  <si>
    <t>2019/10/11 20:05:14</t>
  </si>
  <si>
    <t>客人乘坐滴滴，客人到达目的地不付钱，平台也不垫付，司机端自己承担高速费，油费，伤不起。</t>
  </si>
  <si>
    <t>2019/10/11 20:04:37</t>
  </si>
  <si>
    <t>我朋友2017年在马上平台借了6000块钱，后来因为投资失败还不起高额利息的债务，后平台方一直打电话轰炸催收，还寄那种纸质的法律告知函去借款人乡里的村委会，性质恶劣。</t>
  </si>
  <si>
    <t>2019/10/11 20:04:24</t>
  </si>
  <si>
    <t>投诉人 杨先生        投诉对象  永恒优享        涉诉金额  1 300 元    问题类型    诉求类型投诉详情  永恒优享高利贷 借650八天还939利息接近三百 借了三次 每次1300还款1878 利息都给了一千多了 现在实在还不起 借钱还的一期一千多 还在催还款 威胁 逾期费一天50还不起 求助</t>
  </si>
  <si>
    <t>2019/10/11 20:03:49</t>
  </si>
  <si>
    <t>滴滴公司办理人证审核需要多久，已经快一个半月了，一直在初审，初审，初审，请问到底有没有审核，车证1个月都拿下来了，就算人证需要3个月也应该通知审核结果嘛。</t>
  </si>
  <si>
    <t>2019/10/11 20:03:27</t>
  </si>
  <si>
    <t>投诉人 郑先生        投诉对象  点点回收        涉诉金额  3 000 元    问题类型    诉求类型投诉详情  恶意催收，态度恶劣。不要求协商及时间节点。乱发信息给通讯录。利率高。造成生活困扰。</t>
  </si>
  <si>
    <t>2019/10/11 20:03:13</t>
  </si>
  <si>
    <t>我是美团骑手，那么辛苦的血汗钱都坑，打电话给美团客服说钱退不了，在美团申诉通过，但是不退钱。</t>
  </si>
  <si>
    <t>2019/10/11 20:03:00</t>
  </si>
  <si>
    <t>投诉人 李先生        投诉对象  招商银行信用卡        涉诉金额  35 000 元    问题类型    诉求类型投诉详情  招商银行信用卡中心爆通讯录，影响别人生活</t>
  </si>
  <si>
    <t>2019/10/11 20:02:47</t>
  </si>
  <si>
    <t>投诉人缑先生投诉对象交易猫涉诉金额671元问题类型诉求类型投诉详情2019年10月9日我在交易猫购买了绝地求生的一个账号交易成功之后与2019年10月11日我去登录该账号发现密码错误我试了无数遍！最后我发现我的邮箱绑定的这个账号已经不存在！我的一个朋友通过steam手机助手发现10月11日有人登录并玩了此号！我保证没有第二人知道密码！明显被人找回！客服没有人回答没有人出面解决！联系卖家卖家看到信息并未给回复！我希望给我们消费者一个交待！。</t>
  </si>
  <si>
    <t>2019/10/11 20:02:17</t>
  </si>
  <si>
    <t>于2008年注册唯品会并购买商品，退货后钱返回唯品会“钱包”，现在查询已经全部清零，客服查不到手机对应的账号并说是今年1月1日才注册的。</t>
  </si>
  <si>
    <t>2019/10/11 20:01:03</t>
  </si>
  <si>
    <t>5173平台冻结我资金2019年10月11号.我想通过5173平台购买一个价值1100元的账号.我充值成功后平台提示我的资金被冻结了.于是我打电话求助客服.客服说冻结我资金是因为我一个交易已经完成的订单.当时买家提出申诉我没有协助处理,之前并没有人告诉我我的5173被冻结了.我完全在无知的情况下充进了我的5173账号1100元现金,充值完成后他们以我没有协助处理为由冻结了我的1100元现金不予解除冻结。</t>
  </si>
  <si>
    <t>2019/10/11 20:00:49</t>
  </si>
  <si>
    <t>APP隐瞒高息，在客户不知情的情况下提现到客户银行账户，欺诈，隐瞒，在客户反应后竟然要求私下返回其账户，私下解决，实际到账2100元,5天后归还3517.26，高息不处天理难容。</t>
  </si>
  <si>
    <t>2019/10/11 20:00:27</t>
  </si>
  <si>
    <t>2019年8月23日现金巴士借款1000元，平台放款前收取了前期砍头息98元，实际到账902元，现在逾期了十来天，逾期费用加本金要还1200多，打电话来威胁我不还就让我爸妈还，我讲了15号发工资就还，有逾期费我也认了，现金巴士得理不饶人非要打通讯录暴力催收。</t>
  </si>
  <si>
    <t>2019/10/11 19:59:52</t>
  </si>
  <si>
    <t>使用过后，没有逾期记录，每次按时还款，冻结额度之后一直不能使用。</t>
  </si>
  <si>
    <t>2019/10/11 19:59:28</t>
  </si>
  <si>
    <t>借款4000分期12算一下需要还5446.2一年利息要一千多，打电话给客服让他算一下12期还款总利息他说三百多利息，其他的费用是管理费，超过国家规定了吧。</t>
  </si>
  <si>
    <t>2019/10/11 19:59:25</t>
  </si>
  <si>
    <t>投诉人 王先生        投诉对象  拍拍贷,中融法律服务有限公司        涉诉金额  1 800 元    问题类型    诉求类型投诉详情  盗取个人信息，群发文件给个人生活带来不便</t>
  </si>
  <si>
    <t>2019/10/11 19:59:08</t>
  </si>
  <si>
    <t>骚扰不断，已经严重影响到工作生活了，高利息高坎头，超过了国家法定标准，做出处罚，赔款道歉。</t>
  </si>
  <si>
    <t>2019/10/11 19:58:23</t>
  </si>
  <si>
    <t>等本等息年利率高达61.7%不符合国家标准，望将超出标准的利息从接下来的剩余还款额中减掉逾期三天打通讯录中非紧急联络人电话。</t>
  </si>
  <si>
    <t>2019/10/11 19:58:07</t>
  </si>
  <si>
    <t>暴力催收，侵犯公民信息，要求对现金巴士处罚并道歉和制止违法违规行为。</t>
  </si>
  <si>
    <t>2019/10/11 19:57:50</t>
  </si>
  <si>
    <t>近期因为资金周转不过来，给钱站电话，想进行协商还款或者延期还款，钱站根本不理直接就是不行，银行都可以申请延期还款，你们比银行还厉害吗，而且阴阳合同，高手续费，利息。</t>
  </si>
  <si>
    <t>2019/10/11 19:56:15</t>
  </si>
  <si>
    <t>好易贷高利贷平台，借款3000元，六天时间，实际到账2100元，六天利息高达900元，。</t>
  </si>
  <si>
    <t>2019/10/11 19:55:41</t>
  </si>
  <si>
    <t>买的考拉严选尿不湿，因为信任考拉，第一次买考拉品牌里的工厂店出得尿不湿，来了以后拆开有很大的火油味道，印刷相似味道，用到宝宝的屁股，并且很容易造成红屁股的，客服让我晒晒，这种质量也可以拿出来么，这样大的异味大人都受不了，还能给孩子用，提出退货退款，客服拒绝，退一步说一份4包，哪怕退3包也不行。</t>
  </si>
  <si>
    <t>2019/10/11 19:55:20</t>
  </si>
  <si>
    <t>投诉人 齐先生        投诉对象  万达贷        涉诉金额  3 000 元    问题类型    诉求类型投诉详情  万达贷在可以联系到本人的情况下 骚扰通讯录好友 有截图为证</t>
  </si>
  <si>
    <t>2019/10/11 19:54:43</t>
  </si>
  <si>
    <t>本人因个人原因卷入网贷圈以贷还贷，想彻底上岸，小象平台一共借款共32000元借款一年利息高达11520，在未逾期前一直打客服电话和在平台人工客服协商提前还款并减免一定程度利息，均被拒绝，在逾期后还不肯协商并人工电话通知一分都不会少，逾期5天并要150的逾期费用，还骚扰我的朋友以及家人，请不要给我说什么现在逾期不予处理什么的，平台人工我10月3号协商还款日10月5号，电话人工态度恶劣。</t>
  </si>
  <si>
    <t>2019/10/11 19:53:26</t>
  </si>
  <si>
    <t>投诉人刘先生投诉对象掌众金服涉诉金额600元问题类型诉求类型投诉详情借款钱需要购买黑卡，说白了就是变相砍头息。</t>
  </si>
  <si>
    <t>2019/10/11 19:53:24</t>
  </si>
  <si>
    <t>本人在青岛乐意花网贷借款平台借款10000元分12期偿还，每月还1239.2元，这样12期下来总共应还14870.4元，年利率接近50％，已超国家规定属于高利贷，本人已还8期，还有4期未还，因最近资金出现问题，这会儿暂时还不起，第9期已逾期，我一直都有还款意愿，并没有说不还，可是平台催收人员到处发短信说我不还手，还爆我通讯录骚人亲朋好友，说朋友欠我钱，严重影响我生活与个工作，并且对我亲朋好友完成困扰。</t>
  </si>
  <si>
    <t>2019/10/11 19:52:35</t>
  </si>
  <si>
    <t>投诉人 彭女士        投诉对象  用钱宝        涉诉金额  3 000 元    问题类型    诉求类型投诉详情  一天四五个电话催。爆通讯录发短信，恐吓通讯录人员，。造成了生活很大的困扰</t>
  </si>
  <si>
    <t>2019/10/11 19:52:26</t>
  </si>
  <si>
    <t>黄某某在拍拍贷欠款逾期，不还钱又不关我事，拍拍贷三天两头打电话让我去告知对方，问题我跟对方根本就不熟悉，早已告知平台，谁欠的款找欠款人，今天催收人员居然更离谱，轰炸我的手机号，骂我以及家人还扬言不还钱天天轰炸我的手机号码，搞得我精神奔溃，第一我没义务替拍拍贷去找这个欠款人，第二作为拍拍贷公司人家随便填写我的号码做为联系人有核实吗，别人欠钱凭什么要我承担后果，希望平台帮我解决这个拍拍贷催收问题，停止骚扰，道歉！。</t>
  </si>
  <si>
    <t>2019/10/11 19:52:05</t>
  </si>
  <si>
    <t>投诉人李先生投诉对象浦发信用卡涉诉金额20000元问题类型诉求类型投诉详情有事来找我！查我经济开销！来源！明明在还款，差2.30万，非要一次性要我还款，逼迫，我已经每天不吃饭了，还要我怎样！我死了好不好，成天传些传票威胁我家人，威胁我，工作又被你们搞丢了，我现在又拿什么还，浦发！我真的很想骂你们！！！！来找我！来！！。</t>
  </si>
  <si>
    <t>2019/10/11 19:50:53</t>
  </si>
  <si>
    <t>我朋友在小赢卡贷借钱，在我不知情的情况下留了我的联系电话，现在他不还钱，小赢卡贷天天给我打电话，我一直很配合，帮忙通过电话，微信等方式联系我朋友，但是他不接电话也不回微信，我现在没别的方式联系他了，已经把这个情况反馈给小赢卡贷的客服，但是小赢卡贷还是一天好几次的给我打电话进行骚扰，我现在诉求就是，谁欠钱找谁去，不要再对我进行骚扰了！！！。</t>
  </si>
  <si>
    <t>2019/10/11 19:49:59</t>
  </si>
  <si>
    <t>衣服穿不到一月，没有8次，严重起球，联系卖家不给处理，要求退全款。</t>
  </si>
  <si>
    <t>2019/10/11 19:49:34</t>
  </si>
  <si>
    <t>及贷贷款19500，实际到账17075.76，没有任何人给我解释，当在我自己查到一个保险单号后打去保险公司咨询，易安保险在3个工作日左右就把保费退还了给我，客服还直截了当的给我说如果继续逾期会联系我周边的人，就是暗示我爆通讯录，我也明确告诉他，如果打了除我以外的人的电话是属于软暴力催收是违法的，客服却说，打让周边的人提醒我还款，这个是可以的，只要每天打不超过3个电话，今天打电话咨询客服综合年化，客服告诉我他们是按照apr的算法，不是中国互联网金融协会会员，后来又改口说是，我就说，我在每个月都有还入相应本金的</t>
  </si>
  <si>
    <t>2019/10/11 19:49:25</t>
  </si>
  <si>
    <t>本人在不知的情况下被扣款199元，就绑定个银行卡，没有选定任何协议，未经本人允许，私自扣除，要求退还。</t>
  </si>
  <si>
    <t>2019/10/11 19:49:12</t>
  </si>
  <si>
    <t>主动联系客服讲了逾期原因，，商量能不能等两天发工资，然后客服电话过来强硬要求我还款，后来加了微信，还说过时催收，什么有效催收我想说公司的人培训了吗，第一我没有改变我的联系方式，，第二我没有恶意逃避欠款，，我是主动联系放款方。</t>
  </si>
  <si>
    <t>2019/10/11 19:47:51</t>
  </si>
  <si>
    <t>套路贷款在本人不知情的情况下套路购买了一份个人意外险，实际借款本金26500，总还款金额需还37420.92.利息高达10920.92.。</t>
  </si>
  <si>
    <t>写ⅤIP可以免广告，但是还是有广告，虽然不是经常推但还是很烦。</t>
  </si>
  <si>
    <t>2019/10/11 19:47:41</t>
  </si>
  <si>
    <t>我还的时候极速达和拒必陪是从我微信零钱里面扣的钱，为什么我的银行卡钱到账之后也扣掉极速达和拒必陪的钱。</t>
  </si>
  <si>
    <t>2019/10/11 19:46:11</t>
  </si>
  <si>
    <t>造艺网络技术有限公司旗下一款名叫百事普惠APP上申请贷款，当时书面上根本没提到要钱买报告。</t>
  </si>
  <si>
    <t>2019/10/11 19:45:58</t>
  </si>
  <si>
    <t>本人2019年9月9日在钱站申请了2000元，合同上却是2660元，实际到账只有2000元，分三期还，每期要还986.67元，利息超过法定利息太多了。</t>
  </si>
  <si>
    <t>2019/10/11 19:45:39</t>
  </si>
  <si>
    <t>10月11日晚间，因为资金紧张，我在闲鱼发布订单，卖出我自用的微信卡包里的家乐福电子余额900，因为急用钱，挂牌低价818元卖出，很快有买家联系，拍下付款，我把电子卡余额通过微信转赠给卖家后，卖家确认收货，此时交易完成，可我去支付宝里看余额却是0，打开一看，有个818的冻结，理由是用于买家可能提起的交易维权保障，我打了9510222咨询了半个小时，客服反复就是说要冻结72小时，我给他说，你冻结的理由是用于买家可能提起的交易维权保障，那我让买家给你们出具权益已经得到完全保障的说明，以及声明放弃后续的维权权利，</t>
  </si>
  <si>
    <t>2019/10/11 19:44:32</t>
  </si>
  <si>
    <t>投诉人黄先生投诉对象带上钱涉诉金额1400元问题类型诉求类型投诉详情虚拟游戏币，变相收费，2000一月收取500元虚拟游戏币，爆通讯录，电话威胁。</t>
  </si>
  <si>
    <t>2019/10/11 19:44:14</t>
  </si>
  <si>
    <t>但是商家侵犯了我作为中国公民的消费者权益，对我精神上造成了严重伤害。</t>
  </si>
  <si>
    <t>2019/10/11 19:44:11</t>
  </si>
  <si>
    <t>投诉人盘先生投诉对象淘宝闲鱼涉诉金额23元问题类型诉求类型投诉详情把我钢化膜弄掉了，把手机后面乱贴搞不掉的东西，把我手机还原了又没有帮我激活回来，说好的邮费全免，结果邮费到付，又不能评价服务，闲鱼客服又不管，投诉无门！。</t>
  </si>
  <si>
    <t>2019/10/11 19:43:24</t>
  </si>
  <si>
    <t>合同格式不规范，违约金部分不统一，扣款过高，难以理解。</t>
  </si>
  <si>
    <t>2019/10/11 19:43:17</t>
  </si>
  <si>
    <t>信而富购买的两个产品，实际就是高额的砍头息，本人要求退货并且退款。</t>
  </si>
  <si>
    <t>2019/10/11 19:43:15</t>
  </si>
  <si>
    <t>违规编号：152******41违规时间：2019-10-09。</t>
  </si>
  <si>
    <t>2019/10/11 19:43:14</t>
  </si>
  <si>
    <t>投诉人朱女士投诉对象前海锐步商业保理深圳有限公司涉诉金额598元问题类型诉求类型投诉详情前海锐步商业保理，产品在我有贷款需求时，加我微信号，说我复合对方放贷资质，要开通会员才能放款，业务员推荐我开598的中级会员就行，开通会员后，放款提现，结果不能提现，又要我开通高级会员，后面查他们就是这样骗人钱，希望能给我退款。</t>
  </si>
  <si>
    <t>2019/10/11 19:42:28</t>
  </si>
  <si>
    <t>本人在2019年10月上2日，在贷上钱上借了2500元一个月还款的！到现在10天了，想提前还款，显示了要还3200元，有一个强制买游戏金币的625元的，想要协商还本金和利息！。</t>
  </si>
  <si>
    <t>2019/10/11 19:41:48</t>
  </si>
  <si>
    <t>时光分期催收人员恶意扭曲我和他协商半个月的还款时间，逾期是我不对，但我这是遇到了资金链断裂的问题，已经找到银行做了房屋抵押贷款解决资金链的问题，但由于国庆节银行放假节后上班才处理的，我也和催收好好的说明了我目前的问题，他一口咬定了说我就是不还钱，我没有还款意愿，我说我这边也在积极的想办法来解决问题，但是需要协商还款的时间，他态度很不好在自顾自话的说了他知道了，我就是不还钱，他按照自己的方式来处理这个问题后直接把电话挂掉，希望能通过聚投诉平台联系到时光分期的平台客服人员，协商还款时间，我并不是催收口中的不还钱</t>
  </si>
  <si>
    <t>2019/10/11 19:41:44</t>
  </si>
  <si>
    <t>本人由于工作原因导致信用卡逾期这几个月一直有还款，但是银行催收人员给本人以及朋友打电话，还发送虚假法务人员电话。</t>
  </si>
  <si>
    <t>2019/10/11 19:40:46</t>
  </si>
  <si>
    <t>投诉人 陈女士        投诉对象  月月有钱        涉诉金额  1 600 元    问题类型    诉求类型投诉详情  在月月有钱申请了1600 实际只到账了1200不到 砍头息 每7天还424 一个月还清 也就是要还一千六百多 现在已还872 我会还本金加国家规定的利息 其余的不要再来烦我 不然我投诉到底</t>
  </si>
  <si>
    <t>2019/10/11 19:40:44</t>
  </si>
  <si>
    <t>一个认识的朋友在该公司有借贷，因为该公司扣款次数用完导致还款失败，该公司便疯狂打周边打到我这里，并且语言辱骂，并语言威胁恐吓，现在国家严打黑除恶，这种暴力催收就应该被取缔。</t>
  </si>
  <si>
    <t>10月11日中午起，02195559的一个男士开始疯狂的对本人的通讯录内存有的所有联系人打电话进行骚扰催款，家人朋友老板同事无一幸免，甚至打到了妈妈的同事那里，既然花了，我是独立民事行为人，从未逃避过还款义务，没有任何人存在连带责任，此催收人员肆意对拨打电话的任何人透漏本人欠款金额数字，家庭住址，工作单位，违反了催收公约，已经造成了对本人的名誉侵权以及精神和经济上的损害。</t>
  </si>
  <si>
    <t>2019/10/11 19:40:36</t>
  </si>
  <si>
    <t>投诉人 朱先生        投诉对象  宏萨信息科技        涉诉金额  296 元    问题类型    诉求类型投诉详情  宏萨科技有限公司无故扣款296元。在我本人不知情得情况下扣除费用。</t>
  </si>
  <si>
    <t>2019/10/11 19:37:42</t>
  </si>
  <si>
    <t>未与本人联系，直接发威胁，恐吓内容给工作单位，盗取本人个人信息！本金只有两千多多，却要求我还五千多！。</t>
  </si>
  <si>
    <t>2019/10/11 19:37:17</t>
  </si>
  <si>
    <t>投诉人 夏先生        投诉对象  既有分期        涉诉金额  1 762 元    问题类型    诉求类型投诉详情  昨天早上申请的即领用。1762元！现在都还没放款。还款上面却显示1763，没放款就涨利息</t>
  </si>
  <si>
    <t>2019/10/11 19:37:07</t>
  </si>
  <si>
    <t>本人在整理借款平台清单过程中，发现现金借款平台利息远高于36%，家人要求退还！而在核对银行账单中发现，宝付支付和广州银联网络支付为高利贷现金借款违规提供支付渠道，公然凌驾于国家法律之上，不把银监会等相关国家主管机构放在眼里，要求一并追责！对现金借款具体说明第一笔：2017年9月27号本金2000，已还款2272，，若按最高红线36%计算，只需还2090.44，，应退还181.56第二笔：2017年11月2号本金2000，已还款2272，应退还181.56，两笔合计363.12。</t>
  </si>
  <si>
    <t>2019/10/11 19:35:23</t>
  </si>
  <si>
    <t>本人在御剑飞行平台借款3500，到账2100，砍头息1400，5天到期归还3517.26，超过国家正常利息几千倍，以前是上海华瑞银行为这种高利贷提供支付通道，现在通过私人转账，如合理要求得不到解决，下一步将走银监，公安，经侦。</t>
  </si>
  <si>
    <t>2019/10/11 19:35:12</t>
  </si>
  <si>
    <t>今天银行卡莫名其妙被扣了296，上午发起一笔199扣款没成功，下午刚到账扣了296，致电小浦客服扣款到底是多少钱答：296，我问为什么还有一笔199的订单他说不清楚，但是我联系银行银行那边显示两笔都是宏萨信息科技有限公司，在质问客服，客服表示只负责接电话不清楚具体事宜，让我把问题反馈到一个手机号码上，我表示私人手机号码不靠谱，希望提供公公司性质的联系方式，对方表示没有，连起码的公众号也没有，对客户的很多疑问不能给出合理解释，没有一点正规公司的处理流程，，客服态度极其恶劣，我表示不认同这笔扣款，客服直接挂电话</t>
  </si>
  <si>
    <t>2019/10/11 19:33:58</t>
  </si>
  <si>
    <t>恒昌公司通过所谓的第三方公司，黑社会暴力催收，恐吓，威胁家人生命及财产安全且合同金额与实际借款金额不符。</t>
  </si>
  <si>
    <t>2019/10/11 19:33:03</t>
  </si>
  <si>
    <t>农行信用卡逾期了，现在只能每个月慢慢还，请允许分期还款。</t>
  </si>
  <si>
    <t>2019/10/11 19:32:16</t>
  </si>
  <si>
    <t>并没有输入银行密码就直接扣款，说是查个人风险评估，而且扣款完还需要扣别的所谓套餐才能下款，就是骗子骗钱的。</t>
  </si>
  <si>
    <t>2019/10/11 19:32:10</t>
  </si>
  <si>
    <t>突然被深圳市恒富创融科技有限公司分两次划扣走银行卡内168元，每次划扣走84元，来短信显示是被一个钱橙无忧的网贷平台以什么查征信名义划走,但是本人并无相关任何操作，然后多次拨打客服，，均无人接听，这是摆明了欺诈国家公民钱，盗取个人信息，请钱橙无忧给我一个合理的解释并退款，否则我将收集所有证据正式向公安举报。</t>
  </si>
  <si>
    <t>2019/10/11 19:31:28</t>
  </si>
  <si>
    <t>钱橙无忧未经用户允许，私自划扣用户卡里的钱，给本人造成资金损失，要求退款。</t>
  </si>
  <si>
    <t>2019/10/11 19:31:22</t>
  </si>
  <si>
    <t>投诉人 刘先生        投诉对象  立借        涉诉金额  10 500 元    问题类型    诉求类型投诉详情  怎么不可以取消，典型高利贷</t>
  </si>
  <si>
    <t>2019/10/11 19:30:50</t>
  </si>
  <si>
    <t>本人希望尽快解决车位问题，因为当时购房属于强制捆绑车位购房。</t>
  </si>
  <si>
    <t>2019/10/11 19:30:27</t>
  </si>
  <si>
    <t>涉诉金额183元问题类型诉求类型投诉详情强买强卖，因为买错码和写错地址，没发货也不能退款，发货了也不能退款，客服只说让我慢慢等，等到什么时候，而且还无缘无故给我降额度，提不了现，啥意思，让我联系商家客服，一个机器人回复，怎么退款。</t>
  </si>
  <si>
    <t>2019/10/11 19:29:53</t>
  </si>
  <si>
    <t>投诉人 欧阳先生        投诉对象  微粒贷        涉诉金额  1 000 元    问题类型    诉求类型投诉详情  电话骚扰 威胁恐吓 滥用第三方信息 骚扰亲友</t>
  </si>
  <si>
    <t>2019/10/11 19:28:30</t>
  </si>
  <si>
    <t>投诉人 余先生        投诉对象  腾讯        涉诉金额  0 元    问题类型    诉求类型投诉详情  好友铺助验证不符合 铺助要求是好友微信绑定支付功能 结果铺助失败</t>
  </si>
  <si>
    <t>2019/10/11 19:27:48</t>
  </si>
  <si>
    <t>该公司催收无法无天毫无法律意识，动不动就暴通讯录群发信息，根本不听客户解释，很多人都有还款意愿但被暴通讯录之后有多少人失去工作，很多人就破罐子破摔了，都是被那些黑心的催收害的，不给我一个说法本人将向互联网金融协会和扫黑除恶办和市长热线讨要说法，绝不向黑心的催收低头。</t>
  </si>
  <si>
    <t>2019/10/11 19:27:06</t>
  </si>
  <si>
    <t>找在线客服看客服说司机个人行为帮你取消订单。</t>
  </si>
  <si>
    <t>2019/10/11 19:27:03</t>
  </si>
  <si>
    <t>换绑期为24h，过后用换绑的手机号登入游戏中发现是空号，我买的最贵客服服务，收钱贼快，要服务时候就装死，换绑后手机无消息提示！现在就是钱财和号两空！。</t>
  </si>
  <si>
    <t>2019/10/11 19:26:53</t>
  </si>
  <si>
    <t>投诉人孙占伟投诉对象钱站涉诉金额1509元问题类型诉求类型投诉详情打电话骚扰我的家人跟朋友，我已经跟钱站的工作人员协商这个月15号还钱，未经我允许打爆了我的电话本，严重的影响我的生活。</t>
  </si>
  <si>
    <t>2019/10/11 19:26:41</t>
  </si>
  <si>
    <t>自从改成口碑值后我在城区热点区域有时候还是调度去的一两个小时不接单已经成为常态，刚开始不理解后来我知道了，原来优享新优享早就口碑值了，人家的出行分服务分都比我们高出很多，现在车多单少我只能在早晚高峰时段接几单，或者空放到没有车的地方才能接单，原因就是我的服务分出行分永远跟不上优享车了，因为他们改的早我改的晚了，现在单少的时候优先派给优享，单多的时候优享来不及做剩下的才轮到我，这样的口碑值不公平，我要求改回以前的服务分，或者帮我的口碑值出行分跟服务分加到跟优享一样高，滴滴一直倡导的公平公正应该体现到我们每一位</t>
  </si>
  <si>
    <t>2019/10/11 19:26:33</t>
  </si>
  <si>
    <t>9月4号在豆豆钱借款10000，到账后立刻扣去899元，分6期，每期应还款1946.67元，总需还11680元，目前已借款一个月7天，逾期7天应还2057元，之前跟客服要求提前还款，那边要求我还11790.35，提前结清还要我支付后续的利息，跟客服联系，他们那边踢皮球，把问题推给其他部门，就是不肯算清楚1790.35元的利息费用怎么计算和处理，催收部门恶性骚扰亲朋好友，已经严重影响生活，要求停止骚扰，提前结清扣除后续不合法的利息费用，退还砍头息899元并销账。</t>
  </si>
  <si>
    <t>2019/10/11 19:26:23</t>
  </si>
  <si>
    <t>投诉人余女士投诉对象苏宁易购涉诉金额3299元问题类型诉求类型投诉详情特意在国庆期间10.1号买了台冰箱3299元，打的广告是“国庆保价”，以为国庆价格是最优惠的，没想到10.11号发现降价100元了，到手价3199元，并不知道什么时候降的，找客服补差价说是超过7天补不了，客服说“国庆保价”的意思说国庆7天之内价格有变补差价，那和普通的7天价保的规定是一样的，不是误导消费者，虚假广告吗。</t>
  </si>
  <si>
    <t>2019/10/11 19:25:09</t>
  </si>
  <si>
    <t>投诉人 徐女士        投诉对象  卡牛信用管家        涉诉金额  8 000 元    问题类型    诉求类型投诉详情  今日开始群发短信暴力催收 已经严重影响到我的生活 声誉</t>
  </si>
  <si>
    <t>2019/10/11 19:24:33</t>
  </si>
  <si>
    <t>不停的骚扰我的通讯录，威胁恐吓我的家人威胁恐吓我的朋友辱骂他人，语言攻击，并且言明要人身攻击。</t>
  </si>
  <si>
    <t>2019/10/11 19:23:03</t>
  </si>
  <si>
    <t>微信群里有个人说可以刷单赚钱，不用交任务费用，然后我就试了一下，说先垫付立马转给你，我就付款了，结果以各种理由推脱，说还要完成几个任务才可以一次推给你，当时我就感觉上当了，他们把自己的二维码给我扫，而且金额少的几百，多的几千，我之前扫了个900的，后面还有几千的金额，我拒绝了，但是一直以各种理由拒绝退款给我。</t>
  </si>
  <si>
    <t>2019/10/11 19:22:52</t>
  </si>
  <si>
    <t>朋友在该平台贷款没贷下来还被扣款，已联系平台，客服认为扣299元是，合理合法的，因为有一个“合同”，但在人民银行查信征是免费的，你这个扣钱就是乱收费，在国家法律上这是违法的，而且还在网上看好多人已经都被坑过。</t>
  </si>
  <si>
    <t>2019/10/11 19:22:43</t>
  </si>
  <si>
    <t>由账号铜板街打款20000.00万人民币，7秒后，即2018年12月4号，2、然后每月还款1749.03元人民币，典型的高利贷+砍头息，同时在之后的1月4号，对我进行恐吓+骚扰，并且进行威胁！3、我愿为我说的每一句话的真实性负法律责任！。</t>
  </si>
  <si>
    <t>2019/10/11 19:22:37</t>
  </si>
  <si>
    <t>通过使用店立方APP的二维码收款50809.19元后，一直不给提现，联系客服说是资金被冻结了，要提资料才能解冻提现，从2019年6月29日开始一直不断的根据客服要求尽可能的提供各种证明材料，但是还是说证明材料不够，后来次数多了干脆一直不回复了，后通过给我注册开通店立方这个APP的区域经理，一直处理三个多月了也是没结果，每次问都是说第三方支付平台风控冻结了，还没处理完，追问是哪个第三方支付平台冻结的也不告知我，冻结的正式文件也没有，什么时候能处理完成也不知道。</t>
  </si>
  <si>
    <t>2019/10/11 19:22:33</t>
  </si>
  <si>
    <t>骚扰通讯录，拒不停止，挑衅有关部门监管，知法犯法。</t>
  </si>
  <si>
    <t>2019/10/11 19:22:29</t>
  </si>
  <si>
    <t>交通银行之前爆我家里父母通信录，还有朋友亲戚打了个遍，后来还有催收进行威胁，这就是赤裸裸的软暴力，在就是发邮件过来冒充法院说是起诉我认为到庭接收审批，我打交通银行信用卡中心的电话也投诉过这些问题，也没有得到解决。</t>
  </si>
  <si>
    <t>2019/10/11 19:21:52</t>
  </si>
  <si>
    <t>丰巢快递柜超24小时取件码失效，需要微信扫码开柜，微信丰巢公众号扫码后仍然无法取出，这事必须给个说法，耽误人二十多分钟时间，客服电话也无法打通。</t>
  </si>
  <si>
    <t>2019/10/11 19:21:05</t>
  </si>
  <si>
    <t>本人移动家用网络断网三个月，曾打10086申请维修无果，再打10080五次以上申诉，移动方多次答应我上门维修至今还没修复。</t>
  </si>
  <si>
    <t>2019/10/11 19:20:28</t>
  </si>
  <si>
    <t>投诉该公司疯狂打周边，暴力催收，并辱骂借贷者周边好友。</t>
  </si>
  <si>
    <t>2019/10/11 19:19:03</t>
  </si>
  <si>
    <t>投诉人 皮先生        投诉对象  盈盈有钱        涉诉金额  650 元    问题类型    诉求类型投诉详情  盈盈有钱逾期了一天 一天打十几个电话 不停的催不停的催 晚上八点还在打</t>
  </si>
  <si>
    <t>2019/10/11 19:18:46</t>
  </si>
  <si>
    <t>投诉人方先生投诉对象我来贷涉诉金额1136元问题类型诉求类型投诉详情已多次致电客服并承诺本月20日一次还清欠款，我来贷还是继续用电话不停骚扰，目前已还完本金，请平台立即停止骚扰，。</t>
  </si>
  <si>
    <t>2019/10/11 19:17:01</t>
  </si>
  <si>
    <t>只是点开黑卡先查看一下详情，结果直接跳转支付宝页面，由于是脸部识别付款，所以现在希望能有客服人员联系我，谢谢。</t>
  </si>
  <si>
    <t>2019/10/11 19:16:54</t>
  </si>
  <si>
    <t>阴阳合同，借2000，确实2800的借款合同。</t>
  </si>
  <si>
    <t>2019/10/11 19:16:42</t>
  </si>
  <si>
    <t>借1000，合同显示1500，三期要还1580多，高利贷，而且app的借款记录都看不到了，忽悠谁呢。</t>
  </si>
  <si>
    <t>2019/10/11 19:16:16</t>
  </si>
  <si>
    <t>10月15日处理，还是没完没了不分时间不分地点，一天不下十遍电话骚扰轰炸</t>
  </si>
  <si>
    <t>2019/10/11 19:15:01</t>
  </si>
  <si>
    <t>投诉人 魏女士        投诉对象  创客工具箱        涉诉金额  0 元    问题类型    诉求类型投诉详情  本来也是一单一结的做了莫名其妙给我打标 说我用各种方式骗取商家钱 什么鬼啊 过分了啊</t>
  </si>
  <si>
    <t>2019/10/11 19:14:55</t>
  </si>
  <si>
    <t>拼多多为境外非法赌博平台提供收款，洗黑钱，我被诱导充值了12000，要求拼多多为我退款，找出商家，不然为商家做庇护，要求商家退款，道歉，及时与我沟通，要求拼多多及时处理，回复我，已经拖了3天了。</t>
  </si>
  <si>
    <t>2019/10/11 19:13:44</t>
  </si>
  <si>
    <t>廖记棒棒鸡上爬着多只不知名的大飞虫，售货员也不管，在一边玩手机，前几天吃的廖记棒棒鸡不新鲜，可能是有飞虫的原因。</t>
  </si>
  <si>
    <t>2019/10/11 19:13:16</t>
  </si>
  <si>
    <t>我在携程金融目前剩余借款共计约8000元左右，之前从无逾期或违约，每期必按时归还，但携程平台未提供有效沟通渠道并且未提供有效沟通渠道和方法，今年九月份我因恶性肿瘤术后恢复检查与治疗需要资金周转，一时资金紧张，想与平台沟通延期还款方案并冻结我账户贷款金额，但携程平台未提供有效沟通渠道，并且未提供有效沟通渠道和方法，在逾期后收取逾期罚息，但不给任何沟通与说明的机会，今天更是单方面告知我要发律师函要求归还全部贷款，试问，我借款的时候平台为什么态度那么好，我长期履约的行为你们不见，遇到困难怎么就那么刁难客户呢，我只</t>
  </si>
  <si>
    <t>2019/10/11 19:13:05</t>
  </si>
  <si>
    <t>自称玖富万卡平台催收工作人员态度恶劣，辱骂，嘲讽，问姓名和工号拒绝告知！而且是每天都会打电话骚扰，号码还是每天变化归属地，而且每天打电话自称的单位不同，问名字和工号拒绝告知！想请问。</t>
  </si>
  <si>
    <t>2019/10/11 19:12:54</t>
  </si>
  <si>
    <t>孩子今年10月2日在觅乐旗舰店拍了一双攀岩鞋，10月5日晚上放晚自习回家10:19分取件到家后试穿了一下觉得不合脚当晚10:38分联系了卖家讲了情况，卖家也同意退货，在10:46分点击退货，因为是晚上快11点，所以安排在第二天快递小哥来收的件，但是店家在收到商品时说鞋底磨损严重拒收了，还拍了照片发来看，照片上看感觉像穿过的鞋，但是孩子确实没有穿过只是试了一下，第二天6:30就去学校读书了要到晚上十点多才回家，只前卖家拒收时孩子也没有跟我提起就自己处理了上传了一些照片，第二天才提起这事，我看了一下孩子跟客服的</t>
  </si>
  <si>
    <t>2019/10/11 19:10:18</t>
  </si>
  <si>
    <t>浙江鸿安融资租赁有限公司无故扣除我卡里的钱。</t>
  </si>
  <si>
    <t>2019/10/11 19:10:13</t>
  </si>
  <si>
    <t>由于工作不稳定，经济来源有限导致逾期了，水莲金条催收方严重骚扰借款人与借款人的亲朋好友，给借款人造成了严重的精神伤害，还有人性吗。</t>
  </si>
  <si>
    <t>2019/10/11 19:09:24</t>
  </si>
  <si>
    <t>电话骚扰、威胁恐吓、暴力催收、高利贷、恐吓。</t>
  </si>
  <si>
    <t>2019/10/11 19:08:31</t>
  </si>
  <si>
    <t>平安普惠陆金服车主贷借款15万，到账14.5万，36期，已经还了15.2万，目前没有钱还款了，逾期，未经过我同意每天催收到通讯录电话，骚扰我家人朋友，请停止骚扰，我本金已经还完，请平台处理。</t>
  </si>
  <si>
    <t>2019/10/11 19:08:15</t>
  </si>
  <si>
    <t>.2019年9月29号我致电钱站客服，询问情况，他们说我合同上是4500的本金，我到账只有3000多的部分是这个费那个费，他们自己客服都说不清楚，我就跟客服讲协商解决，合理部分我还，不合理部分让他们减免，他们说上报，有工作人员联系我，一直到6号该还款了都没有人联系我，就没及时还掉，逾期第一天有发信息给我催收，第二天没有，第三天电话来了，态度很不好，我还是说出我的要求，没人理会，中间几天我继续联系客服要协商，第四天打了我朋友电话，今天电话132******57来一个自称工号055549钱站的工作人员说来处理，</t>
  </si>
  <si>
    <t>2019/10/11 19:07:32</t>
  </si>
  <si>
    <t>因为看见很多用过钱站的用户说，个人隐私被钱站恶意泄露，每天都有很多骚扰电话跟骚扰短信，所以现在想注销账户，把个人信息从钱站删除掉，打电话给客服，客服一直说等二十五个工作日后，但是我怕个人信息被钱站恶意收集。</t>
  </si>
  <si>
    <t>2019/10/11 19:07:28</t>
  </si>
  <si>
    <t>投诉人彭红斌习惯了投诉对象钱站,华夏银行涉诉金额1000元问题类型诉求类型投诉详情因为最后一期！实在无能为力了！今天迫于催收压力还了50元！希望减免后续钱款。</t>
  </si>
  <si>
    <t>2019/10/11 19:06:56</t>
  </si>
  <si>
    <t>快递丢件没有联系寄件人，今天打客服询问，客服不处理告知一个收件网点的客服电话，今天打了俩电话都没有处理，。</t>
  </si>
  <si>
    <t>2019/10/11 19:06:50</t>
  </si>
  <si>
    <t>投诉人汪女士投诉对象去哪儿涉诉金额545元问题类型诉求类型投诉详情您好，投诉去哪儿网恶意更换用户登录账户信息，致使消费账单逾期，且服务态度恶劣，恶意泄露用户信息，理由如下：1、4月8号使用账户175******49进行机票购买，去哪儿网后台显示购买账户是189******76,去哪儿网后台信息是错误的，因为189的号码自2017年11月26号在电信营业厅注销后，并未在去哪儿网上进行任何登录，且175的账户从2017年12月28号在设备上一直使用至今，一直有订单和交易记录，将此情况反馈给去哪儿网客服，一直无法</t>
  </si>
  <si>
    <t>2019/10/11 19:06:30</t>
  </si>
  <si>
    <t>暴力催收，拨打通讯录电话，威胁我，说要上门催收，并且没有协商的余地，暂时在工地，没有发工资，利息非常高，当时借款有砍头息。</t>
  </si>
  <si>
    <t>2019/10/11 19:06:19</t>
  </si>
  <si>
    <t>温州艮源网络信息科技有限公,广州幻玲网络科技有限公司,温州巨瑞网络科技有限公司，农业银行：62****************520190624，-684温州艮源网络信息科技有限公20190616。</t>
  </si>
  <si>
    <t>2019/10/11 19:06:12</t>
  </si>
  <si>
    <t>利息高点可以接受，还款后遇急事借不出来，你知道有多难受吗，又不是没还款，也没被你们电话轰炸，第一次还款晚了两天，第二次准时还上，一个多月一直显示综合评分不足，问客服电话你们有说没有，只能线上问答。</t>
  </si>
  <si>
    <t>2019/10/11 19:05:31</t>
  </si>
  <si>
    <t>我来贷平台，暴力催收，拔打通讯录，打电话恐吓，到处乱发告知书。</t>
  </si>
  <si>
    <t>2019/10/11 19:04:56</t>
  </si>
  <si>
    <t>朋友在马上消费金融借了2000块，分三期还总共2600多，超过国家法律规定的利息属于高利贷。</t>
  </si>
  <si>
    <t>2019/10/11 19:04:23</t>
  </si>
  <si>
    <t>10月6日在上海市嘉定区安亭镇，日月光伯爵湾小区8楼1单元103室A房间，晚上入住时发现床垫上都是蟑螂卵，拍了照片并让蛋壳销售到现场，打客服电话反馈要求换房被告知要交30%的违约金，于是要求退房，被告知退房押金1620元不退，对方给我的解决方案是换床垫并杀虫，我不接受，现在我的要求是退房，并不接受扣我押金这一说法。</t>
  </si>
  <si>
    <t>2019/10/11 19:03:52</t>
  </si>
  <si>
    <t>10月11日，登录佰仟APP还显示第30期逾期，逾期费用费用和本金达到还有800多，本人现在严重声明，本人于2016年2月4日，本人在佰仟本金只借款7000元，而至今还款金额早已超出借款当时的本金，已还款1万3千800多，是本金的一倍，还显示没还完！！！！还款利息居然和本金持平！可想而知！利息远远超出国家法律规定的底线！，现如今已懂用法律的武器保护自己！！！维护自己应有权益不受侵害！！！，已在正规法律援助咨询下{包括公安机关的咨询帮助下}，充分掌握证据情况下{合同借款金额，还款期限，已还金额，已还期限等等全</t>
  </si>
  <si>
    <t>2019/10/11 19:03:17</t>
  </si>
  <si>
    <t>投诉人区女士投诉对象我来数科涉诉金额10000元问题类型诉求类型投诉详情我来贷，现改名我来数科，本人逾期10月份贷款1133.3元，我下午在开会未能接听电话，然后此山西太原的我来贷外包催收电话在未经本人允许，而且在本人主动联系外包催收电话以及我来贷协商情况下，依旧暴力催收电话，打爆本人通信录，还威胁本人不还款再进一步行动……本人不是恶意欠款，12期一共需要还款13899.6元，借款10000元，利息高达3899.6元，已经还了5期，逾期利息150元/天。</t>
  </si>
  <si>
    <t>2019/10/11 19:03:08</t>
  </si>
  <si>
    <t>在美团生活费上借了8000元，现有1100元逾期，因为经济上有困难，说了发工资还，一直电话骚扰，最后还爆通讯录，严重影响生活，借钱是迫于无奈，也没说不还。</t>
  </si>
  <si>
    <t>2019/10/11 19:02:52</t>
  </si>
  <si>
    <t>拼多多为境外非法赌博平台提供收款，还不处理，我要求退款，道歉，找出商家，封号对商家，请拼多多平台提供商家，积极处理，拼多多一直拖延时间。</t>
  </si>
  <si>
    <t>2019/10/11 19:02:38</t>
  </si>
  <si>
    <t>滴滴司机故意多绕路以加油费为借口收取额外的加油费，滴滴平台难道就不管理这样的情况吗。</t>
  </si>
  <si>
    <t>2019/10/11 19:00:40</t>
  </si>
  <si>
    <t>造艺科技阴阳协议隐藏扣款选项，诱导消费，诱导用户银行授权，授权额度高。</t>
  </si>
  <si>
    <t>2019/10/11 19:00:16</t>
  </si>
  <si>
    <t>投诉人 张先生        投诉对象  安庆盛通信息科技服务有限公司,人人花        涉诉金额  288 元    问题类型    诉求类型投诉详情  私自扣款 我都什么都没确认就收到扣款通知！！</t>
  </si>
  <si>
    <t>2019/10/11 18:59:57</t>
  </si>
  <si>
    <t>产品参数也是两瓶洗发水！客服居然不承认！一直推脱！一问就是让我等，找了三个客服又想好借口了。</t>
  </si>
  <si>
    <t>2019/10/11 18:59:53</t>
  </si>
  <si>
    <t>本人于2019年6月10号在U钱包上借款10000元，分12期归还，实际到账12537.47元，但随即就转出2537.47元，不知是何费用，过一会又转出501.48，相当于我本人只有9498.52元，但是显示我的借款金额是12537.47元，而且每期还款1207.57*12=14490.84元，等同于我借到收9498.52元但是需要还14490.84元，利息已经远超过国家规定，本人已无力偿还，希望聚投诉平台维权，要求退回多余利息以及扣取的多余的不明费用。</t>
  </si>
  <si>
    <t>2019/10/11 18:59:22</t>
  </si>
  <si>
    <t>自动扣款，原因不明，，，信息泄露，不懂扣的什么。</t>
  </si>
  <si>
    <t>2019/10/11 18:58:41</t>
  </si>
  <si>
    <t>及贷变相收取高额砍头息，借款3000元，以学堂会员名义变相收取279元手续费，分6期每期还款，每期609.34，总共需要还款3656.04，实际到手3000。</t>
  </si>
  <si>
    <t>2019/10/11 18:56:43</t>
  </si>
  <si>
    <t>涉诉金额3000元问题类型诉求类型投诉详情贷款多次砍头息非常严重，要求退回，否则银监会投诉。</t>
  </si>
  <si>
    <t>借款1900，实际要还2457.08元，昨天到期，逾期一天，十几个电话过来，我很清楚的说了给我最近两三天我处理好，谁能没个急的时候，每一会换个不同的人打电话，受不了骚扰我就说先还点证明我态度，还了200当利息进去，刚刚还接到第三方电话，说现在他们负责，马上联系我家人，我真呵呵了，不说利息砍头问题，法治社会，那么肆无忌惮么。</t>
  </si>
  <si>
    <t>2019/10/11 18:56:24</t>
  </si>
  <si>
    <t>投诉人 刘先生        投诉对象  海纳百川        涉诉金额  1 800 元    问题类型    诉求类型投诉详情  恐吓，恶语中伤，爆通讯录，发辱骂短信。情节十分恶劣。</t>
  </si>
  <si>
    <t>2019/10/11 18:55:39</t>
  </si>
  <si>
    <t>暴力催收，威胁恐吓，严重影响到了我的生活和工作，如果爆通迅录，丢了工作，影响我的家庭，一分都不会还。</t>
  </si>
  <si>
    <t>2019/10/11 18:55:33</t>
  </si>
  <si>
    <t>贷款专员不明确说明利息，同时在24小时内合同未生效不让取消。</t>
  </si>
  <si>
    <t>2019/10/11 18:55:26</t>
  </si>
  <si>
    <t>投诉人颜先生投诉对象鸿飞担保涉诉金额400元问题类型诉求类型投诉详情鸿飞担保恶心扣款，本人一点都不知情的情况下。</t>
  </si>
  <si>
    <t>2019/10/11 18:55:10</t>
  </si>
  <si>
    <t>1、高利贷，砍头息2、无限骚扰加威胁；3、多次骚扰家人。</t>
  </si>
  <si>
    <t>2019/10/11 18:54:54</t>
  </si>
  <si>
    <t>7月13日在现金巴士借款1000元，到账即扣除188元，实际到账812元，每月还363还三期，利息过高。</t>
  </si>
  <si>
    <t>2019/10/11 18:54:43</t>
  </si>
  <si>
    <t>我很想了解省呗是怎么得到我手机上通录电话的。</t>
  </si>
  <si>
    <t>2019/10/11 18:54:06</t>
  </si>
  <si>
    <t>用车，我不知道这个要拖到什么时候，所有的理由都是骗人的，希望和平处理退押金一事儿，每个人的耐心是有限的。</t>
  </si>
  <si>
    <t>2019/10/11 18:53:35</t>
  </si>
  <si>
    <t>我在该平台借款10000元分12期还，但由于收款银行卡号错误钱并没有到账，联系借款专员他说，银行卡号不能修改了，借款已经生效，需要支付2000元的解冻费用，还说每月还得必须按时还款，不还款就要上征信，现在账号也给我冻结了，我希望有关部门能给予处理，谢谢！。</t>
  </si>
  <si>
    <t>2019/10/11 18:53:09</t>
  </si>
  <si>
    <t>9月22号白条还款到期，我在20号还了款，当时钱扣了也提示我还款成功了我就没管了，直到今天10月11号我登上京东才看到我的还款逾期了，打客服电话告诉我说那次还款失败了，由于我京东金融绑定的手机号已经不用了，他们只通过京东金融绑定的手机号通知我而没有通过京东绑定的手机号，我并没有收到还款失败的通知，现在要我还几十块的逾期费没关系，征信问题怎么解决。</t>
  </si>
  <si>
    <t>2019/10/11 18:52:38</t>
  </si>
  <si>
    <t>我表哥前几天在及贷贷款金额16000，到账14000多，这是什么息，超过国家规定了，这完全就是踩法律红线，，高额的费用让他接受不了。</t>
  </si>
  <si>
    <t>2019/10/11 18:50:46</t>
  </si>
  <si>
    <t>捷信高利贷借30000还61000多，什么服务费高达15000，都超过国家红线的年利率36%，而且一逾期每天20—30个电话过来，暴通讯录。</t>
  </si>
  <si>
    <t>2019/10/11 18:49:33</t>
  </si>
  <si>
    <t>前面4日已经付过一笔2900给借贷宝品台了。</t>
  </si>
  <si>
    <t>2019/10/11 18:49:25</t>
  </si>
  <si>
    <t>有用分期，借6100分18期还款，每期还款620元，已经还了16期，总共还了9920元，现在确实因为经济困难还不上了，也不是故意逾期的，但是有用分期的催收人员今天给我同事打电话，威胁恐吓说我用同事的号码借钱的，并恐吓说最后两期不要我还了，让我做好请律师的准备，说他们直接法院起诉，上一期逾期没两天，他们就群发通讯录了，这一次我承认逾期时间是挺长的，但是确实有困难还不上并不是故意逾期，可是有用的催收人员不理会我的协商还款直接就打电话给通讯录好友各种威胁恐吓，说实话，有用分期也算是高利贷了，我已经还完了本金，而且</t>
  </si>
  <si>
    <t>2019/10/11 18:49:06</t>
  </si>
  <si>
    <t>北京恒昌公司软暴力催收，冒充公检法到处拨打通讯录电话，进行轰炸，现在已经报警，并明天委托律师事务所准备起诉维护权利。</t>
  </si>
  <si>
    <t>2019/10/11 18:48:51</t>
  </si>
  <si>
    <t>一天拨打我4次电话，导致工作及基本生活无法正常进行，态度极其恶劣，欠钱是不假，但是请用合法正规的方式，不是说威胁什么户籍所在地，要联系村委，说不还钱就让我等着吧，现在人精神状态很不好，如果真的把人逼上绝路，不要以为是网络电话打来就找不到你，请合法正规的催收，上午及下午5点是上班时间请不要再骚扰我。</t>
  </si>
  <si>
    <t>2019/10/11 18:48:46</t>
  </si>
  <si>
    <t>说了今天会一次性结清又说什么账户高风险不让结，我没还进去又到处打电话给我亲戚朋友，那干脆去法院问我要好了。</t>
  </si>
  <si>
    <t>2019/10/11 18:48:34</t>
  </si>
  <si>
    <t>昨天早上派单1.8公里，离乘客又点远，怕短时间赶不到，就发信息问需要等待一会。</t>
  </si>
  <si>
    <t>2019/10/11 18:48:33</t>
  </si>
  <si>
    <t>在借呗借了3000元，分6期共3322元，利息高昂；在还了一期553元后，希望提前结清，但是还呗要求支付全部利息，也就是即使借了3000元一个月就还清，还是要还3322元，已经严重超出国家规定利率。</t>
  </si>
  <si>
    <t>2019/10/11 18:48:10</t>
  </si>
  <si>
    <t>投诉人 杨女士        投诉对象  小黑鲨        涉诉金额  0 元    问题类型    诉求类型      投诉详情  小黑鲨暴力催收，恶意骚扰通讯录，辱骂本人</t>
  </si>
  <si>
    <t>2019/10/11 18:46:51</t>
  </si>
  <si>
    <t>在马上app借款是5000，但是合同上写的借款金额有8000分12期，每期还1379，后面还不起了他们就爆通讯录辱骂亲朋好友发短信威胁。</t>
  </si>
  <si>
    <t>2019/10/11 18:46:21</t>
  </si>
  <si>
    <t>招商银行信用卡总额六千有几次逾期，不给予最低还款，多次联系招商银行请求最低还款，承担罚息，依然得不到回复，现招商银行恶意泄露本人银行卡信息给第三方，任由第三方上门骚扰我的家人，给对方去电对方表示自己并不是招商银行的人，上门骚扰家人时也不让拍照，给的律师函也有涂改痕迹。</t>
  </si>
  <si>
    <t>2019/10/11 18:45:31</t>
  </si>
  <si>
    <t>由于银行卡丢失已经在补办已挂失冻结由于是货款卡必须的同号卡的一周左右时间！来分期就不依不饶的一天电话几百个！你说我就差你300来块钱！还有3期就结束了！我我有必要拖你这300来块钱不！这几天花呗和中邮都在逾期中！几百块钱又不好问朋友拿！你觉得有意思不来分期！你在打电话干嘛的你看我给你换不还！利息高不说！服务态度太差了！还了那么多期！你们客服我是没打进去过！。</t>
  </si>
  <si>
    <t>2019/10/11 18:45:30</t>
  </si>
  <si>
    <t>逾期一天在我不知情的情况下私自把我个人信息发到我通讯录联系人那里，对方催讨人员气焰嫉妒嚣张，无视国家规定！在微信里几次发语音威胁！。</t>
  </si>
  <si>
    <t>2019/10/11 18:45:28</t>
  </si>
  <si>
    <t>熊猫分期7天还一次款利息太高打电话骚扰现在打包给催收公司不断骚扰希望有关部门帮助了解下熊猫分期。</t>
  </si>
  <si>
    <t>2019/10/11 18:45:00</t>
  </si>
  <si>
    <t>10月11日，乐刷pos机的业务员向我推销并办理了乐刷支付pos机，其中的app“快POS”要交150元购买600元的提现优惠券，当时业务员己向我说明了600元的优惠券规则，说是没有时间限制的，购买之后才知道只有三个多月的有效期，到2019年1月19日，当时跟业务员说我们服装店每个月刷不了几笔，这个优惠券有效期短而且几乎是用不上，办理之后联系了业务员说是不能退，再问就不搭理我了，和乐刷客服电话4007779068联系，一直占线，语音提示要一直等待，而我现在就是想注销pos机并要求退还150元，而业务员在知情</t>
  </si>
  <si>
    <t>2019/10/11 18:44:55</t>
  </si>
  <si>
    <t>拍拍贷催收骚扰周边行为，无视监管，因本人经营问题出现资金短缺，在本人未失联并且不断小额还款过程中，爆我通讯录，在申请时我提供的紧急联系人为我认可可以联系人员，但是拍拍贷现在联系到很多我的朋友和家人，并且对这些无辜人士进行电话骚扰，并且在电话骚扰中明确提出，请对方催促吕明还款，如吕明未还款会继续不停拨打电话直到吕明还款，并且多次变换号码拨打，让无辜人士无法屏蔽骚扰来电，在我本人和催款客服沟通中，客服并不听取我的任何话语，只是粗暴的问有钱还没有，没钱还就爆通讯录然后就挂机，并且我的朋友并没有和拍拍贷有任何关系，</t>
  </si>
  <si>
    <t>2019/10/11 18:44:37</t>
  </si>
  <si>
    <t>造艺科技平台催收人员冒充律师打电话威胁恐吓通讯录上的联系人。</t>
  </si>
  <si>
    <t>2019/10/11 18:44:30</t>
  </si>
  <si>
    <t>投诉人 王先生        投诉对象  钱站,华夏银行        涉诉金额  1 600 元    问题类型    诉求类型投诉详情  钱站借2600到手2000 分三期还，没期要还1230元。远超国家利息。高利贷这个</t>
  </si>
  <si>
    <t>2019/10/11 18:44:13</t>
  </si>
  <si>
    <t>利息和各种费用太高了，严重超过国家规定利率，借20000万元要还40000元。</t>
  </si>
  <si>
    <t>2019/10/11 18:43:46</t>
  </si>
  <si>
    <t>商品已明确表明不支持七天无理由退货，买家以买错了色号，看错了色号，不喜欢为由申请退款，严重违背七天无理由退货原则，被我拒绝后，买家再次申请，恶心说明我假冒品牌，我拒绝了，买家申请小二介入，小二判定卖家赢，却仍要退款退货，再无其他渠道可走，只能填写地址。</t>
  </si>
  <si>
    <t>2019/10/11 18:43:05</t>
  </si>
  <si>
    <t>弟弟及货分期做过两次贷款，第一次贷2000元，20天还款3288元已经还清，由于以贷养贷，又进行了第二次借款，金额3000元。</t>
  </si>
  <si>
    <t>2019/10/11 18:42:57</t>
  </si>
  <si>
    <t>96869号段涉诉金额0元问题类型诉求类型投诉详情‭，看了很多都说是骚扰，推销等，希望相关部门对其进行处理。</t>
  </si>
  <si>
    <t>2019/10/11 18:42:41</t>
  </si>
  <si>
    <t>因个人原因导致逾期几天，但逾期费用过高，希望新橙的能协商减免第一期逾期费用。</t>
  </si>
  <si>
    <t>2019/10/11 18:42:21</t>
  </si>
  <si>
    <t>想协商还款事宜，但是联系不上催收，不要骚扰本人通讯录。</t>
  </si>
  <si>
    <t>2019/10/11 18:41:51</t>
  </si>
  <si>
    <t>套路贷，贷款10000元，到账8000，让还12000多。</t>
  </si>
  <si>
    <t>2019/10/11 18:41:06</t>
  </si>
  <si>
    <t>消除本人到账单你们自动提现的第一时间我已经在平台反馈。</t>
  </si>
  <si>
    <t>2019/10/11 18:40:46</t>
  </si>
  <si>
    <t>周周花花，借了1000元，到账700，分四期偿还，已经偿还三期，算上逾期费用我一共还了810元，明天最后一期到期，我已经没有能力处理账单了。</t>
  </si>
  <si>
    <t>2019/10/11 18:40:05</t>
  </si>
  <si>
    <t>投诉人 覃先生        投诉对象  阳光便利店,云闪付        涉诉金额  5 000 元    问题类型    诉求类型投诉详情  云闪付为不法分子提供支付通道，请求退款！</t>
  </si>
  <si>
    <t>2019/10/11 18:40:01</t>
  </si>
  <si>
    <t>借款金额2500元，到账金额1375元利息1125元，借款期限5天。</t>
  </si>
  <si>
    <t>京东客服态度非常恶劣，提交交易纠纷单一个月了，还没给我处理，华硕商家态度非常不好，京东一直不给我处理，华硕笔记本商家虚假宣传，京东管都不管，一点都不负责，华硕商家使用骗取手段骗消费者购买他们的商品，我这里有证据。</t>
  </si>
  <si>
    <t>2019/10/11 18:38:02</t>
  </si>
  <si>
    <t>目前在360借条有两笔借款，本金是11200元，12期共需还12355元，现在已经还款2408元，待还款9947元，其中本金9016元，利息931元，现在希望提前还清，却仍然要支付全部的利息，非常不合理，希望平台帮助和360借条协商减免利息。</t>
  </si>
  <si>
    <t>2019/10/11 18:37:14</t>
  </si>
  <si>
    <t>几天都不给处理.再不给处理就去报警处理了.取消借款。</t>
  </si>
  <si>
    <t>2019/10/11 18:36:39</t>
  </si>
  <si>
    <t>高利贷砍头息暴力催收在没有经过本人允许的情况下给我的家人朋友打骚扰电话群发短信给我的正常生活造成严重伤害本人要求给我的精神损失作出赔偿。</t>
  </si>
  <si>
    <t>2019/10/11 18:36:22</t>
  </si>
  <si>
    <t>投诉人宫女士投诉对象光大信用卡涉诉金额8000元问题类型诉求类型投诉详情我已经还了一部分资金，现在我工作的时候光大银行信用卡催收部门对我的联系人进行骚扰。</t>
  </si>
  <si>
    <t>2019/10/11 18:36:01</t>
  </si>
  <si>
    <t>投诉人张先生投诉对象新中付支付涉诉金额128元问题类型诉求类型投诉详情新中付支付POS隐瞒消费条款强制扣取保证金，刷卡自动扣除所谓手续费128元，未曾告知消费者，宣传说明也没明确扣费金额。</t>
  </si>
  <si>
    <t>2018年应该四月份通过电话报名了升学教育机构的自考大专，交了5200多的分期学费，后面在视频弄了开学典礼，后面一直没有报考过，现在不需要了想退款，当时的招生老师却不理睬，因为没有需要，且没有报考过，想着退费，下面是我分期付款的图片，现想让升学教育退还当时的学费。</t>
  </si>
  <si>
    <t>2019/10/11 18:34:41</t>
  </si>
  <si>
    <t>我是一个使用支付宝的商家，原本做批发零售生意，在今年的3月份注册的支付宝号：ag******2账户使用10天后由于有个客户因为货的问题报案，导致我的账户被冻结到现在，司法已经在上个月就处理好了，同案件的其他合作的几家支付宝商户都提交了资料可以使用支付宝了，原本冻结11w都已经正常使用福建万饰集网络科技有限公司，账户：aa*******0两个账户都正常恢复了使用权，接着电话在打就已经打不进去了，语音提示违法操作，现如今解决了报案的客户纠纷问题，支付宝应当正常给我们使用权，在进出货的资金被卡在ag******2</t>
  </si>
  <si>
    <t>2019/10/11 18:34:34</t>
  </si>
  <si>
    <t>我老婆18年4月份接到捷信公司电话说有一个13000元的消费额度可以使用，国家怎么可以让这种垃圾平台来做法律的擦边球。</t>
  </si>
  <si>
    <t>2019/10/11 18:33:56</t>
  </si>
  <si>
    <t>朋友2017年在捷信平台借的4500，到账只有3800，不知道是收的手续费还是什么费用，后来因为资金短缺逾期了之后还委托第三道催收，爆通讯录，还要联系当地黑社会人员恐吓说要上门过来捉人。</t>
  </si>
  <si>
    <t>2019/10/11 18:33:33</t>
  </si>
  <si>
    <t>就在这上面聊天完全透明，你们进行过人身安全威胁。</t>
  </si>
  <si>
    <t>2019/10/11 18:33:28</t>
  </si>
  <si>
    <t>闪电借款旗下掌buy里面购买财神卡才能借款，还没开始借，闪电借款就关闭通道，下架业务，客服联系不到，明显的欺诈行为，我要投诉。</t>
  </si>
  <si>
    <t>2019/10/11 18:32:55</t>
  </si>
  <si>
    <t>捷信打电话让办贷款，然后稀里糊涂就办了，说利息很低，然后给分了54期，贷了4万，说是可以提前还款，一个月还1505，还了8个月后提前还款还要39500，高利息，逾期了不到一个月骚扰电话打了上百个，还好几个人上本人居住地挨家挨户打听，宣传说我贷款不还，请有关部门查查为何高利贷会这么猖狂。</t>
  </si>
  <si>
    <t>2019/10/11 18:32:17</t>
  </si>
  <si>
    <t>你我贷一直打电话骚扰我们公司的同事，恶意辱骂恐吓，骚扰，我们公司没有人欠他们钱，但是你我贷每天都连续骚扰，还打电话给我们公司的客户，跟我们公司员工的家人，这个已经严重影响了我们公司正常营业，已经把我们所有门店电话，店里员工的手机都打过了。</t>
  </si>
  <si>
    <t>2019/10/11 18:31:44</t>
  </si>
  <si>
    <t>非法读取我个人信息，将我个人信息泄露，骚扰朋友。</t>
  </si>
  <si>
    <t>2019/10/11 18:31:13</t>
  </si>
  <si>
    <t>不显示总已还款金额和总代还款金额，消费者无法了解自己的还款情况及还款进度，更无法计算还款是否出了问题，更无法一次结清，希望能总结出一个总账单包括全部借款金额和全部已还款金额还有全部代还款金额，和总利息金额，协商提前还款利息方案，提供一个渠道一次提前结清。</t>
  </si>
  <si>
    <t>2019/10/11 18:30:31</t>
  </si>
  <si>
    <t>我有急用&amp;amp;nbsp;在网商贷&amp;amp;nbsp;贷了二万块钱，然后让我交600块钱工本费&amp;amp;nbsp;后来发现我卡号错了一个数字又让我交3000解冻费，说交了就出款，然后我交了3000以后她又说没备注解冻费三个字，让我重新交一下，我又交了3000，最后又让我交798的各种费用，交了以后又说我卡有问题让我交4500保险费，我这才发现我被骗了，这六千多都是我借的，因为我等着这两万块钱去救命，所以我才到处去凑，好不容易把这六千多块钱凑齐了&amp;amp;nbsp;现在又让我交4500，这分明就是骗子嘛。</t>
  </si>
  <si>
    <t>2019/10/11 18:30:20</t>
  </si>
  <si>
    <t>本人卡号62*************6浦发信用卡一直正常使用，卡额度16000，贵行给了我10万万用金，我以为和信用卡使用规则一样，就借了出来，开始没有发现，后来我看到利息那么高，正规银行利息怎么那么高，希望贵行退我我的违约金和高额利息，给个合理解释，希望尽快解决，给我们消费者一个解释，以下证据为部分贵行扣款凭证，需要补充随时我可以补充！谢谢。</t>
  </si>
  <si>
    <t>2019/10/11 18:29:30</t>
  </si>
  <si>
    <t>网络信息技术有限公司委托第三方青岛公司联系我关于在享换机租的苹果x手机到期还款原因，本人在支付宝租啦一部苹果x，倒是由于支付宝无法产生贷扣费用，享换机委托第三方公司向我催收，但是我要求第三方公司把享换机公司的在银行开设的公司账户账号提供给我转账，对方只提供了所谓的支付宝公账账户，无法提供他们公司的账户，所以没有办法转款，委托第三方公司就使用享换机公司提供给他们的我通讯录电话进行暴力催款，骚扰我的通讯录，影响我的正常生活，而且威胁我个人，。</t>
  </si>
  <si>
    <t>2019/10/11 18:29:02</t>
  </si>
  <si>
    <t>交通银行信用卡中心崔收已严重影响了我的正常生活，无法正常工作，心神不安，扰乱电话一天十几个，。</t>
  </si>
  <si>
    <t>2019/10/11 18:28:51</t>
  </si>
  <si>
    <t>豆豆钱今年三月份借的五万，12期，一个月还5040，已经还了六期三万多了，现在实在还不起了，想晚一点还，就电话一个接一个打，还恐吓我说不还钱就去我家告诉所有人，恐吓威胁我，不还就打爆通讯录，去家里找我家人，已经对我生活带来了严重影响，我要追究责任。</t>
  </si>
  <si>
    <t>2019/10/11 18:28:36</t>
  </si>
  <si>
    <t>投诉人章女士投诉对象PPMoney,及贷涉诉金额13000元问题类型诉求类型投诉详情本人在及贷申请分期13000元，分12期，首期还款1759.34，后面每期还款1447.34元，总还款17680.08元，合同借款年利率是16.482%，实际还款利率高达57%左右，虚假广告，要求退还多还进去的利息部分。</t>
  </si>
  <si>
    <t>2019/10/11 18:28:33</t>
  </si>
  <si>
    <t>我在招联金融贷款逾期了，现在没有能力还款跟他们催收方协商还款无果，一直电话骚扰辱骂和威胁、恐吓、泄露个人信息已经严重影响到个人生活。</t>
  </si>
  <si>
    <t>2019/10/11 18:28:12</t>
  </si>
  <si>
    <t>帮朋友投诉一条马上金融平台涉嫌高利贷，非法砍头息，借款6000元，总共要还8000多，分12期，这利息合法。</t>
  </si>
  <si>
    <t>在我工作的时候，建行信用卡催收中心骚扰我的联系人。</t>
  </si>
  <si>
    <t>2019/10/11 18:28:08</t>
  </si>
  <si>
    <t>9月6日下单截止到10月2日兑现失败，但至今扔未退款。</t>
  </si>
  <si>
    <t>2019/10/11 18:27:36</t>
  </si>
  <si>
    <t>爱分期严重影响到我的生活，多次群发催收图片给我的亲朋好友，还严重恐吓我。</t>
  </si>
  <si>
    <t>2019/10/11 18:26:37</t>
  </si>
  <si>
    <t>本人今年在钱站借款7500到账5000分六期还款总金款8150客服收2500是担保费明明就是高利贷。</t>
  </si>
  <si>
    <t>2019/10/11 18:26:35</t>
  </si>
  <si>
    <t>每天都这样不停地骚扰，我都不敢接电话，请帮忙解决，谢谢谢谢。</t>
  </si>
  <si>
    <t>2019/10/11 18:26:07</t>
  </si>
  <si>
    <t>投诉人李先生投诉对象钱站涉诉金额3000元问题类型诉求类型投诉详情在钱站借了2000元三个月要还3167合同上写这3000元现在我还了一期了第二期逾期了他们不停的骚扰我的家人以及朋友我希望钱站停止对我家人的骚扰和修改利率协商还款。</t>
  </si>
  <si>
    <t>2019/10/11 18:25:28</t>
  </si>
  <si>
    <t>128G版本，承诺9月20日起按顺序发货，最晚三周发完，如今已过去三周，且无任何发货动态，期间多次联系客服投诉，均无法有效解决，多次联系客服无法给出具体期限，一直说安排尽快发货，要求我更换颜色或者退货，我不接受客服提出的无理建议，当初知道备不到货为什么购买界面设置绿色，希望通过投诉绿森方面能专人联系我，并且马上把我的手机完成发货并补偿。</t>
  </si>
  <si>
    <t>2019/10/11 18:25:18</t>
  </si>
  <si>
    <t>投诉人张先生投诉对象浦发信用卡涉诉金额100000元问题类型诉求类型投诉详情尊敬的浦发银行、中信银行，欠钱不还是我的不对，但我并没有逃避，也积极的主动打电话跟你们协商，你们也确实给了我还款方案，但我目前没有能力按你们要求还款，当然也不是我想还多少就多少，希望你们也理解客户，如果不是投资失败，不是我现在把能借的都借了，家里人能帮的都帮了，谁愿意欠债呢，有能力处理的时候我都处理了，陆续都交了一年多的违约金和利息，现在已经到了山穷水尽的时候了，面对你们的催收、恐吓，生活无法得到安宁，最后失去工作更加无法偿还，积极</t>
  </si>
  <si>
    <t>2019/10/11 18:24:04</t>
  </si>
  <si>
    <t>本人使用交通银行信用卡一直正常还款！最近本人查征信时发现有一次逾期，逾期金额71元故本人致电交通银行信用卡中心，问怎么会有71元逾期记录的，他们说我们有邮件告知你，我就问他怎么没有电话或短信告诉我一下的，他们说这个需要客户开通，我就想了你上我征信之前为什么不明确告知，我不查还不知道有逾期，我一直别瞒在鼓里，而且客服居然说你可以找律师！我说我无法和你沟通，我要求转投诉部，他居然来了句我就是投诉部！后我又联系交通银行信用卡中心反应问题，工号36080姓官的客服也自称自己是投诉部的，而且态度非常差！然后我打其他客</t>
  </si>
  <si>
    <t>2019/10/11 18:23:12</t>
  </si>
  <si>
    <t>投诉人田先生投诉对象宜人贷涉诉金额4800元问题类型诉求类型投诉详情宜人贷爆我通讯录，损害个人名义，要求停止暴力催收！。</t>
  </si>
  <si>
    <t>2019/10/11 18:23:04</t>
  </si>
  <si>
    <t>因去年出了很很严重的事情导致资金不足，同时导致卡逾期，但期间一直和银行在协商还款，本人也没失去联系，银行第三方工作人员天天打朋友的电话，这几天甚至还打村委的电话，说还上门找父母，工作人员态度也很强势，如果家人因这个出了问题谁负责，请银行直接和我联系，强烈停止各种催收！欠在还钱天经地义，但没必要牵扯到家人！谁不是父母生的！银行给出解释！我打电话确认过是招商银行第三方的。</t>
  </si>
  <si>
    <t>2019/10/11 18:22:55</t>
  </si>
  <si>
    <t>本人于2017年11月份购买了山西珠琳浙华置业有限公司开发的＂三千渡二期，双水岸＂楼盘，1.当时售楼部告知楼房是2梯4户，而现在看到的是2梯8户，4.签商品房买卖合同时，售楼部工作人员告知顾客此合同为房管局统一起草拟订，无需多看，后期发现合同内所有条款都偏向开发商，并无任何条款保护消费者利益。</t>
  </si>
  <si>
    <t>2019/10/11 18:22:31</t>
  </si>
  <si>
    <t>恶意扣款，以个人风险报告名义扣款299，直接从银行卡扣除。</t>
  </si>
  <si>
    <t>我再三给招商银行客服说我母亲癌症才动手术，不要联系我的家属，我电话都能打通，今天给我打了电话过后又给我家属打电话，造成我母亲目前病情加重！医生都反复强调我母亲的病不能动气，而且有规定在联系的上本人的情况下不能拨打联系人电话，。</t>
  </si>
  <si>
    <t>2019/10/11 18:22:29</t>
  </si>
  <si>
    <t>恶意拨打通讯录，并威胁非欠款人，态度极其恶劣。</t>
  </si>
  <si>
    <t>2019/10/11 18:22:25</t>
  </si>
  <si>
    <t>逾期四天，群发我通讯录催账信息！连续电话催收我通讯录亲朋好友！。</t>
  </si>
  <si>
    <t>2019/10/11 18:21:40</t>
  </si>
  <si>
    <t>本人在来分期平台算是老客户了，购买过几次物品以及借款从未有过逾期之类的问题！可是每当还款日当天来分期平台就接二连三的给我致电！一次两次我可以理解为提醒我还款，避免逾期，可这个平台从早上一直到晚上都在打，而且还是反反复复隔三五分钟都是一个人在拨打！请问贵平台我逾期了吗，你们这种行为已经严重的影响到了我工作以及生活！很多次我接起电话想问候你们十八代，可我还是忍了！另外说到打电话催款的勤快，我想问问我哪里信用综合评估不通过，从五月份开始下单到现在偶尔一试，每一次都是信用综合评分不足！请问作为这个平台的老顾客了，我</t>
  </si>
  <si>
    <t>2019/10/11 18:21:28</t>
  </si>
  <si>
    <t>投诉人陈蓓辉投诉对象中信银行信用卡涉诉金额88000元问题类型诉求类型投诉详情本人信用卡从2016年因为生病，期间两年一共往卡里还了大概20000左右的费用中间有外包催收不断骚扰恐吓甚至阻拦上班多次找过银行银行协商银行态度恶劣17年第一次去协商希望银行可以分期协商无果最后离开当时那个接应我的工作人员在我离开以后把我电话拉黑19年8.26日再去银行协商碰到的还是同一个工作人员说的费用都是天价（都有录音）告诉我总欠款一共18万就算扣除掉利息还要归还96000+3000（诉讼费）但是无法提供具体清单明细告诉我要明</t>
  </si>
  <si>
    <t>2019/10/11 18:20:58</t>
  </si>
  <si>
    <t>因为做生意失败，从今年3月份开始信用卡逾期，期间和第三方催收人员协商过分期还款，但是非要让我先还4000多块钱才能办理分期，因为当时没有收入，所以没有协商成功，上个月刚把工作稳定，最近又在和郑州的催收部门协商，非让我分3期还完，一个月要还8500，超出本人的还款能力范围，因为我父母年龄大了都闲在家里，生活费都靠我自己，父亲每个月医药费还得1000多，我想协商分6期还，对方一直不同意，所以想请求光大银行信用卡中心能考虑一下我的实际情况，多分几期还款。</t>
  </si>
  <si>
    <t>2019/10/11 18:20:20</t>
  </si>
  <si>
    <t>刚才客服给我打电话，说我逾期，我问我本金是多少，利息是多少，借了14700我还都一年多了，我说打算一次性还清，要不然利息太高，客服态度恶劣，说提前还款也必须交，我大概算了一下我借款14700分48期还完，每月还478.24。</t>
  </si>
  <si>
    <t>2019/10/11 18:19:47</t>
  </si>
  <si>
    <t>投诉人梁先生投诉对象北银消费金融有限公司涉诉金额463元问题类型诉求类型投诉详情北银消费金融有限公司打电话过来，态度恶劣，而且语气带有威胁性质，说什么时候还钱，委托第三方公司打电话过来。</t>
  </si>
  <si>
    <t>2019/10/11 18:19:44</t>
  </si>
  <si>
    <t>pos机刷卡冻结，客服要各种资料，能提供的早就已经提供，现在打第二遍电话来要我客户的隐私资料，即便我是客户我也不给手持，有点太过分了吧，说什么观察风控180天，况且连具体原因都不说直接给我冻结一百八十天，让我找客户要隐私资料换做任何一个人都给补了。</t>
  </si>
  <si>
    <t>2019/10/11 18:19:33</t>
  </si>
  <si>
    <t>投诉人 吴先生        投诉对象  农业银行        涉诉金额  25 元    问题类型    诉求类型投诉详情  中国农业银行严重侵犯消费者权益 无故克扣消费者银行卡的余额 没有说明克扣的原因 没有通知 一直克扣 无视相关的法律法规 严重影响合规合法市场秩序</t>
  </si>
  <si>
    <t>2019/10/11 18:19:29</t>
  </si>
  <si>
    <t>投诉人王先生投诉对象民生银行信用卡涉诉金额7600元问题类型诉求类型投诉详情民生银行委托第三方催收公司冒充公检法人员限制我出行并把信息发到我父母手机，对他们造成精神恐吓，本人父母年近六旬，我今天打电话过去问他们是哪家公司不给予告知，态度恶劣并多次挂断电话。</t>
  </si>
  <si>
    <t>2019/10/11 18:18:24</t>
  </si>
  <si>
    <t>取消分期不合法，未经授权的第三方随意披露个人隐私，损害名誉，爆通讯录。</t>
  </si>
  <si>
    <t>2019/10/11 18:17:51</t>
  </si>
  <si>
    <t>逾期一天要有25块钱的逾期费，利息也是不符合国家规定，在能联系到我的情况下，恶意打我的联系人，对我造成了骚扰。</t>
  </si>
  <si>
    <t>2019/10/11 18:17:29</t>
  </si>
  <si>
    <t>360为谋取利润推广三无游戏产品，使我损失2100元，全国受害者多的去，360应该担起责任，为此买单。</t>
  </si>
  <si>
    <t>2019/10/11 18:17:25</t>
  </si>
  <si>
    <t>投诉人计女士投诉对象豆豆钱涉诉金额12000元问题类型诉求类型投诉详情因个人原因豆豆钱逾期六天联系客服主管协商过几天还客服还一直打电话工作时间不停的打接了电话态度恶劣还问你是不是不还了都说了过几天就还就说不行我说不是不还就晚几天一直说我这里有录音你是确定不还了是吧还威胁要爆我通讯录要给我亲戚朋友公司打电话给我通讯录打电话还威胁我朋友不还就一直打我有个朋友是个孕妇已经打扰了她的正常生活，我已经说了很多遍我不是不还是最近真的没有钱晚几天就还而且12期都已经第五期了要是想不还早就不还了一直记录都良好头一次宽限两天</t>
  </si>
  <si>
    <t>2019/10/11 18:17:13</t>
  </si>
  <si>
    <t>玖富万卡借款9100元，在申请借款过程中发现不对劲，马上找人工客服要求取消借款，在与客服交谈过程中，说取消会影响下一次借款之类的话题，交谈了一个小时未给解决，也未直接告知需要打全国服务热线，总之就是拖延时间，大概一小时后借款到账了，客服以借款到账为由，不予取消，说我未打客服电话去取消联系人工客服不算，还说款已到账可以正常使用，我自己点开提前还清借款，结果需要付约600元客服说是《服务费。</t>
  </si>
  <si>
    <t>2019/10/11 18:16:27</t>
  </si>
  <si>
    <t>你好！我的情况是：当时找的中介弄得，贷了17500，中介收了百分之十得手续费；还了个月共6000，因为因为当时自己做生意，没做起来，银行贷款，信用卡，网贷，还起来相当吃力，后来就逾期了，后来都协商还款，现在才把银行信用卡理清，万卡这边协商很多次了，刚开始叫我按照app还款，而且他们系统四月给我发的消息是总欠款一万左右，希望他们也能向其他网贷减免到比本金多一点就行。</t>
  </si>
  <si>
    <t>2019/10/11 18:15:45</t>
  </si>
  <si>
    <t>购买的会员都是拒绝的，客服根本联系不到，只有在线机器人。</t>
  </si>
  <si>
    <t>2019/10/11 18:15:07</t>
  </si>
  <si>
    <t>暴力催收，电话辱骂，而且骂的特别难听，主要针对家人辱骂，短信轰炸…。</t>
  </si>
  <si>
    <t>2019/10/11 18:14:53</t>
  </si>
  <si>
    <t>投诉人吕先生投诉对象嗨学网涉诉金额4998元问题类型诉求类型投诉详情嗨学网，培训课程的服务合同应当是双方达成一致意见签订的，但在实际情况中，很多学员包括我都是先交了学费再和机构补签的合同，学员并不清楚退款的条件，再者机构提供的合同绝大部分都是固定的格式合同，合同条款对机构一方比较有利，消费者并没有修改的权力，在这种情况下签订合同对消费者是非常不公平的，一直在强调据就几个名额了，我不知不觉上当，开始说能退，有流程，走过程，走着走着就说不能退，什么协议，什么政策，我全然不知，自设霸王条款。</t>
  </si>
  <si>
    <t>2019/10/11 18:13:46</t>
  </si>
  <si>
    <t>本人办理浦发银行信用卡正常使用已经五六年时间,一直以来都是按时还款,2016年我办理了浦发信用卡给我299000的万用金分期业务,至今已经按时还款30多期,剩余一两期就还款结束,，因本人结婚后一直没有小孩2016年开始跟妻子到上海九院做试管婴儿,花费10来万元,，我们往返于南京上海之间导致自己工资不稳定,，,所以恳请浦发银行根据本人实际情况给予利息减免,。</t>
  </si>
  <si>
    <t>2019/10/11 18:13:42</t>
  </si>
  <si>
    <t>投诉人王战伟投诉对象有钱花涉诉金额42000元问题类型诉求类型投诉详情我在百度有钱花尊享贷借了42000元，期限两年，利息说是0.02%，结果款到账，结果成了借款42000，每月还2472.75元，还款两年。</t>
  </si>
  <si>
    <t>2019/10/11 18:12:38</t>
  </si>
  <si>
    <t>网贷并没有逾期没有到期，打电话骂人恐吓说由于他们平台违规下架提前暴力催收恐吓辱骂。</t>
  </si>
  <si>
    <t>2019/10/11 18:12:35</t>
  </si>
  <si>
    <t>我已经跟催收方说了现在经济确认困难，用每月工资还一部分，但你们还是一天打很多次电话，每一个打来都要问相同问题，我也要回答相同问题，严重影响工作生活，你们这种催收方式会把我工作催没的。</t>
  </si>
  <si>
    <t>2019/10/11 18:12:09</t>
  </si>
  <si>
    <t>投诉人李先生投诉对象美团生活费涉诉金额1500元问题类型诉求类型投诉详情美团生活费骚扰借款人通讯录所有人群发短信伪造律师函高利贷。</t>
  </si>
  <si>
    <t>2019/10/11 18:11:53</t>
  </si>
  <si>
    <t>投诉人梁女士投诉对象水莲金条涉诉金额12000元问题类型诉求类型投诉详情暴力催收，骚扰通讯录好友，甚至加他们微信骚扰他们，还隐藏合同，根本查不到合同，根据国家工信部《规范》指出，金融借贷基本业务功能必要的信息包括手机号码、账号信息、身份信息、银行账户信息、个人征信信息、紧急联系人信息、借贷交易记录等不得获取我们的通讯录信息也不允许你们骚扰恐吓我的通讯录的好友。</t>
  </si>
  <si>
    <t>2019/10/11 18:11:48</t>
  </si>
  <si>
    <t>投诉人蒋先生投诉对象点点通涉诉金额1358元问题类型诉求类型投诉详情到期了不扣款给的链接也登不上去客服电话也打不通请尽快联系我发我手动还款链接不然产生利息不是我的原因。</t>
  </si>
  <si>
    <t>2019/10/11 18:11:17</t>
  </si>
  <si>
    <t>投诉人张女士投诉对象贷上钱,二郎神涉诉金额3000元问题类型诉求类型投诉详情9月通过贷上钱平台借款二郎神产品，并不知情是砍头息高利贷，3000只到账了2100，通过银行卡转账，之后还第三期的时候，平台暂停了二郎神产品的还款通道，还不上钱，发现是高利贷，就一直想联系这边解决问题，但贷上钱不承认是自己的问题，说是第三方，他们只负责推荐，让自行联系二郎神，二郎神平台就一直骚扰联系人，并且威胁要爆通讯录，一直不停骚扰，说是不能免除高利贷，因为贷上钱收了很高的费用。</t>
  </si>
  <si>
    <t>2019/10/11 18:10:56</t>
  </si>
  <si>
    <t>小花钱包涉嫌聘请第三方催收公司发短信恐吓要挟我，要骚扰我的通讯录并使用我的头像发彩信骚扰通讯录里的人。</t>
  </si>
  <si>
    <t>2019/10/11 18:10:38</t>
  </si>
  <si>
    <t>本人7月8号在东方尚学入职，9月初因为公司拖欠工资离职，到现在为止公司只发了7月和8月基本工资，7月和8月加班费绩效和新人保护一直没发，加班费一天100元，每个星期加1天，一个月就4天，就400元，因为7月8号入职，7月份加班费是200元，新人保护是500元，7月没有开单，8月开3单，合计大概1800元左右一直没发。</t>
  </si>
  <si>
    <t>2019/10/11 18:09:54</t>
  </si>
  <si>
    <t>真的只是出事了没有钱，也没有恶意拖欠，打电话也接了，钱也去借了，我没借到，就说我骗去款项，要去我家里要寄律师函，我说那我就只能报警处理了，之前一直按时还款，收取了很多不明真相的费用，我都有证据截图，不是不还，只是暂时没钱，家里人要是被你们气出好歹，这就是不是钱的问题了，之前他们说要还，我但凡身上有一点钱都还进去了，还说我没有还款意愿，整套都是威胁恐吓。</t>
  </si>
  <si>
    <t>2019/10/11 18:08:21</t>
  </si>
  <si>
    <t>和客服沟通分期还款，让我找专员，专员就二个选择起诉或还全款，不接受其他，只要没处理就群发短信给亲朋好友。</t>
  </si>
  <si>
    <t>2019/10/11 18:08:17</t>
  </si>
  <si>
    <t>客服以及平台明文写着收到货两个工作日给予退款的，平台给我回了电话告诉我收到的商品调扣是剪了的，所以还要等他们验鞋的真假才能给我办理！这么大的平台睁眼说瞎话。</t>
  </si>
  <si>
    <t>2019/10/11 18:08:14</t>
  </si>
  <si>
    <t>投诉人李先生投诉对象交易猫涉诉金额245元问题类型诉求类型投诉详情在交易猫上买了一个账号投了保险，说如果在期限内账号被找回全额赔偿，结果真的被找回了去理赔理赔客服会以各种理由巨不赔偿，又要你报警拿到回执编号又要你自己去游戏官方找证据，这现实么，这样的行为实在是欺骗行为！。</t>
  </si>
  <si>
    <t>2019/10/11 18:07:46</t>
  </si>
  <si>
    <t>投诉人胡女士投诉对象交通银行信用卡涉诉金额0元问题类型诉求类型投诉详情每半个小时2个骚扰电话，严重影响生活工作，这样更无法好好挣钱还卡。</t>
  </si>
  <si>
    <t>2019/10/11 18:07:44</t>
  </si>
  <si>
    <t>购买游戏账号还没确认收货就已经被找回了，客服一直不回消息。</t>
  </si>
  <si>
    <t>2019/10/11 18:07:41</t>
  </si>
  <si>
    <t>在闪银被人盗号借了两笔钱，一个叫什么哼哼，一个叫什么瞬瞬，跟客服打电话协商，说不可能，然后这边服务费很高，一个月500多，望平台给我一个明确的说法…。</t>
  </si>
  <si>
    <t>2019/10/11 18:07:07</t>
  </si>
  <si>
    <t>本人在10月10日下午3:51分接到自称美的客服的电话139****3781，邀请前往参加所谓的“美的老客户答谢会”，5点51分收到邀约短信，由于确实是老客户又出于对美的的信任，晚上七点左右前去，然而答谢会实际目的是推销他的净水器，型号MRO1790B-400G，空气净化器在网上查到是200多，而他们宣传说要2360块，此间存在虚假宣传误导消费者的行为，在卖场宣传的时候净水器的网络商城展示的价格为6998，在微信美的会员的净水器中搜索该产品标价为6998，但美的线上同类产品只有2400左右，而且销售的时候没</t>
  </si>
  <si>
    <t>2019/10/11 18:06:51</t>
  </si>
  <si>
    <t>购买书柜产品质量问题，发给客服不及时回复和处理。</t>
  </si>
  <si>
    <t>2019/10/11 18:06:19</t>
  </si>
  <si>
    <t>给我推销了一张机场的VIP卡，当时介绍订票便宜，并且能享受全国部分机场的贵宾厅服务，充值1500元好像加送200元，后面发现办卡有《VIP贵宾客户服务协议》也没有看见，本想联系开卡人员给退卡，说了两句话后就不理我了。</t>
  </si>
  <si>
    <t>2019/10/11 18:06:14</t>
  </si>
  <si>
    <t>每天增加利息，每天发信息打电话给我骚扰我家里人，。</t>
  </si>
  <si>
    <t>2019/10/11 18:06:11</t>
  </si>
  <si>
    <t>2017年6月在微贷网用车辆抵押登记证书贷款85000，实际到账81566，现在已经提前结清，却扣着我的车辆登记证书，不归还，不给解押，还要收9000天价GPS费用，车辆从贷款到提前还款，从来没有微贷网工作人员说过这个GPS费用，现在提前结清却出来一个GPS的费用，这到底是一个什么样的公司。</t>
  </si>
  <si>
    <t>2019/10/11 18:06:03</t>
  </si>
  <si>
    <t>首先这个快递是顺丰进行专业包装而且收了包装费用，.那顺丰这样做以后我寄送几百斤石头是不可以按，明显就是不合理.现在损坏的茅台酒水市场批发，也不要求赔偿因为给我2000我都买不到这个东西。</t>
  </si>
  <si>
    <t>2019/10/11 18:06:02</t>
  </si>
  <si>
    <t>砍头利息小贷产品，借款1800砍头500多，7天一还，总共四期，订单当天就一直打电话催，且威胁还款。</t>
  </si>
  <si>
    <t>与晋城银行其协商还款，可是对方要求十个月不到的时间给我多算一万三到一万五的逾期费。</t>
  </si>
  <si>
    <t>2019/10/11 18:05:20</t>
  </si>
  <si>
    <t>因资金问题，现一共欠招联金融两千元，本期未还570元，现已断断续续再还款，招联金融却一而再再而三的骚扰通讯录的人，现在要求停止骚扰，不是没还，已经在陆续还清欠款，如若继续骚扰通讯录中的人，将报警处理。</t>
  </si>
  <si>
    <t>2019/10/11 18:04:46</t>
  </si>
  <si>
    <t>投诉人罗女士投诉对象贷款大师应急款涉诉金额1500元问题类型诉求类型投诉详情今天又接到贷款大师应急款的催收电话，第一次处理，已经把钱转过去，到现在没消帐，换了5个催收，今天更加过份的发短信给亲朋好友，让家人还款，请问我还要给多少次，现在因为短信导致生活乱七八糟，工作丢掉，把人也气的生病，不问好清红照白，不和我沟通问清楚，打电话就辱骂，骂了就开始四处骚扰，对此我也接受不了，已经向当地公安机关报案处理，希望平台能能把这些黑色网贷曝光，让网络金融好起来。</t>
  </si>
  <si>
    <t>2019/10/11 18:04:38</t>
  </si>
  <si>
    <t>投诉人杨帅军投诉对象新浪分期涉诉金额8900元问题类型诉求类型投诉详情本人在新浪分期借了8900块钱利息一年高达3000多块钱还了一期因经济出现复苏和他们协商发工资还他们不同意处处逼人骚扰我家人强烈要求协商走司法程序。</t>
  </si>
  <si>
    <t>2019/10/11 18:04:24</t>
  </si>
  <si>
    <t>投诉人冯女士投诉对象对啊网涉诉金额4510元问题类型诉求类型投诉详情在对啊网报名了自考，现在想退学，他们没有要给办理的意思，就是想让他们给我把钱退回来，然后把剩下的分期给我终止了。</t>
  </si>
  <si>
    <t>2019/10/11 18:02:52</t>
  </si>
  <si>
    <t>贷上钱收高额服务费，3200到账2500，然后我确实家里面遇到困难，接受了高额砍头息，但是不愿意协商，我是愿意还款的，暴力催收，爆通讯。</t>
  </si>
  <si>
    <t>2019/10/11 18:02:16</t>
  </si>
  <si>
    <t>一共三期要还4300多严重达到国家标准高利贷。</t>
  </si>
  <si>
    <t>2019/10/11 18:02:13</t>
  </si>
  <si>
    <t>八月份中信银行客服联系我办分期，当时我办了分期，然后又说我用卡记录很好，综合评分很高强烈推荐我升级白金卡，再保持良好用卡记录可以提额，我当时就升级了白金卡，九月份拿到了开卡，9.22号本人在没有接到任何通知的情况下拿信用卡消费，买单时发现卡不能使用，打电话给信用卡客服询问为什么，对方告知信用卡被限制了，建议本人养成良好的用卡习惯，后期会解除限制，我就纳闷了我信用卡一直都是正常使用没有出现一次逾期或者违规操作为什么你中信说限制就限制，客服告知我说什么综合评估所以限制的，我问什么时候能解除限制，对方也不明确答复</t>
  </si>
  <si>
    <t>2019/10/11 18:01:30</t>
  </si>
  <si>
    <t>我在闪银瞬瞬上的借款以及担保费都结清了，但是有一笔糯米商城白条一直没有给我结清，白条中的东西我并不需要，我决不承担这笔无理的费用，要求闪银瞬瞬将商城白条结清。</t>
  </si>
  <si>
    <t>2019/10/11 18:01:29</t>
  </si>
  <si>
    <t>借款2000要花500多买会员卡&amp;nbsp;&amp;nbsp;&amp;nbsp;这不就是变相砍头息吗&amp;nbsp;&amp;nbsp;&amp;nbsp;畅捷支付为高利贷砍头息提供支付通道&amp;nbsp;&amp;nbsp;&amp;nbsp;要求退回多余的费用。</t>
  </si>
  <si>
    <t>2019/10/11 18:01:03</t>
  </si>
  <si>
    <t>未经允许就强制扣费！就注册下没同意任何扣费！。</t>
  </si>
  <si>
    <t>2019/10/11 18:01:01</t>
  </si>
  <si>
    <t>你我贷平台暴力催收，态度恶略，威胁本人，本人决定要求依照国家法律对这个平台进行投诉了并且追究其刑事责任！既然威胁我干脆不还了，直接去法院吧，威胁恐吓的电话录音都有，连续两天的电话录音都有，至于你我贷的官方纯粹无作为，所以本人将直接上报公安部门对其进行依法起诉，追究其刑事责任。</t>
  </si>
  <si>
    <t>2019/10/11 18:00:47</t>
  </si>
  <si>
    <t>投诉人 王先生        投诉对象  皇马分期        涉诉金额  288 元    问题类型    诉求类型投诉详情  (特约)易宝支付直接刷我银行卡上的钱。我只是输入了一个验证码就被扣费了。强制性消费，扣除我银行卡里的钱</t>
  </si>
  <si>
    <t>2019/10/11 18:00:43</t>
  </si>
  <si>
    <t>突然被深圳市恒富创融科技有限公司分两次划扣走银行卡内168元，每次划扣走84元，来短信显示是被一个钱橙无忧的网贷平台以什么查征信名义划走,但是本人并无相关任何操作，然后多次拨打客服，，均无人接听，这是摆明了欺诈国家公民钱，盗取个人信息，我已向深圳龙岗公安报警处理，请钱橙无忧给我一个合理的解释并退款，否则我将收集所有证据正式向公安举报。</t>
  </si>
  <si>
    <t>2019/10/11 17:59:33</t>
  </si>
  <si>
    <t>本人实际借款1050周期8天，但实际借款合同金额为1550，由于本人无力偿还高利贷，现想协商还款实际本金和正常利息。</t>
  </si>
  <si>
    <t>2019/10/11 17:59:02</t>
  </si>
  <si>
    <t>退还我开通会员费用，借款失败不赔偿虚假宣传。</t>
  </si>
  <si>
    <t>2019/10/11 17:58:42</t>
  </si>
  <si>
    <t>，提供的临时额度当时可以分期12期免息，到现在签收20天，还花呗的时候发现需要把临时额度2698一次性还完，并没有给我分期，昨天晚上让vivo客服帮我查分期状态，客服说查不到，可以给我提供退货，今天我要退货了客服又说查到我并没有分期，还不给于退，这不是店大欺客吗，我现在就是想要个说法，实体店里买才2200，不能分期我何必在网上花2698去买，我是不是有病，虽说签收20天，但我一直很爱惜，并没有磕磕碰碰。</t>
  </si>
  <si>
    <t>2019/10/11 17:58:37</t>
  </si>
  <si>
    <t>投诉人 苏先生        投诉对象  小花钱包        涉诉金额  2 300 元    问题类型    诉求类型投诉详情  小花钱包外包催收方短信侮辱 暴力催收 请停止骚扰</t>
  </si>
  <si>
    <t>2019/10/11 17:57:53</t>
  </si>
  <si>
    <t>收取了我50滞纳金.因为是给我打了电话才知道所以我认了.。</t>
  </si>
  <si>
    <t>2019/10/11 17:57:40</t>
  </si>
  <si>
    <t>投诉人周健投诉对象玖富涉诉金额24000元问题类型诉求类型投诉详情玖富万卡利息太高了，协商解决还本金，一次性还完。</t>
  </si>
  <si>
    <t>2019/10/11 17:57:34</t>
  </si>
  <si>
    <t>投诉人冯先生投诉对象立借涉诉金额6500元问题类型诉求类型投诉详情立借平台6500三个月还款9000多这么高的利息不是高利贷是什么。</t>
  </si>
  <si>
    <t>2019/10/11 17:57:02</t>
  </si>
  <si>
    <t>本人在你我贷借款6000，还款9000，因为生病导致逾期还不上，期间多次遭到你我贷暴力催收恐吓本人，，多次拨打本人通讯录，至使本人丢了工作，还在没有联系本人的情况下，多次拨打联系人，甚至恶意通过本人身份证银行卡电话信息恶意冻结本人微信，我已经报警处理，举报到扫黑办，也会继续投诉到相关部门！。</t>
  </si>
  <si>
    <t>2019/10/11 17:57:00</t>
  </si>
  <si>
    <t>投诉人马先生投诉对象魔借涉诉金额888元问题类型诉求类型投诉详情爆通讯录，骚扰朋友及客户，严重毁谤借款人名誉权，害在客户无法做生意！。</t>
  </si>
  <si>
    <t>2019/10/11 17:56:35</t>
  </si>
  <si>
    <t>投诉人王先生投诉对象拉卡拉涉诉金额6400元问题类型诉求类型投诉详情本人2019年9月28日通过拉卡拉Q码服务收款八笔，共6400元，次日款项并未到账，联系客服，客服让提供资料证明，提交后，又让补交资料，反反复复先后共提交三次，每次都有新的要求，说给解决多日未兑现，非法占用个人资金多日，现要求返回涉及金额，并道歉，赔偿占用金额至今为止的利息！。</t>
  </si>
  <si>
    <t>2019/10/11 17:56:33</t>
  </si>
  <si>
    <t>投诉人李先生投诉对象活力花涉诉金额9189元问题类型诉求类型投诉详情活力花远超国家合法利息，变相收取高额服务费，借款9189，三个月总计要还10016，明显高利贷。</t>
  </si>
  <si>
    <t>2019/10/11 17:56:30</t>
  </si>
  <si>
    <t>投诉人范舒投诉对象给你花,51即刻有涉诉金额8700元问题类型诉求类型投诉详情借款8700到账八千七分十二个月还每月还款984已经还款九期无逾期最近经济问题实在无力偿还沟通15号发工资延期几天客服不同意九期已经偿还八千八元要求余下的三期调整利率偿还国家应有的利率百分之二十四八千七十二期多还款三千一百元严重的高利贷要求调整利率停止骚扰。</t>
  </si>
  <si>
    <t>2019/10/11 17:56:07</t>
  </si>
  <si>
    <t>互联网科技有限公司涉诉金额20000元问题类型诉求类型投诉详情本人于2019年6月11号从小花钱包APP借款2000元，分10期，每月应还2593.5元，实际还款总额24499元，但是因本人自己周转有问题，2019-10-9的款项无法按时还款，小花钱包对我进行暴利催收，群发侮辱短信给我通讯录的所有人，对本人生活和工作造成极大的影响。</t>
  </si>
  <si>
    <t>2019/10/11 17:56:05</t>
  </si>
  <si>
    <t>投诉人刘先生投诉对象通联支付,上海红发信息有限公司涉诉金额296元问题类型诉求类型投诉详情10月10号下午17：11分突然收到消费296元本人没有任何消费，卡一直只有本人在使用。</t>
  </si>
  <si>
    <t>2019/10/11 17:55:26</t>
  </si>
  <si>
    <t>每天骚扰的我不胜其烦，求求你们了帮我解决一下吧。</t>
  </si>
  <si>
    <t>2019/10/11 17:54:43</t>
  </si>
  <si>
    <t>投诉人 任先生        投诉对象  掌众金服,闪电借款        涉诉金额  180 元    问题类型    诉求类型投诉详情  借款前需要购买黑卡 变相砍头息 强烈要求退回多收费用</t>
  </si>
  <si>
    <t>2019/10/11 17:54:26</t>
  </si>
  <si>
    <t>涉诉金额3000元问题类型诉求类型投诉详情本人在安逸花有借过钱，之前感觉这个随借随还比较方便，后来就一直用，因为当时没工作，本想先用这个度过下，后来越用越久，这个利息也是非常的高，导致本人现在没有还款能力，本来和工作人员协商还款，他们催收人员一天打十几个骚扰电话，我逼你不是不还，只是暂时资金有问题无法还款，他们工作人员说不还钱直接打我通讯录叫别人还钱，暴打通讯录也是属于违法的，我希望可以制止这些暴力催收平台，国家规定是不能给无收入人员发放贷款，希望平台可以给予解决下。</t>
  </si>
  <si>
    <t>2019/10/11 17:53:39</t>
  </si>
  <si>
    <t>本人实际借款1430周期5天，但实际借款合同金额为2200，由于本人无力偿还高利贷，现想协商还款实际本金和正常利息。</t>
  </si>
  <si>
    <t>2019/10/11 17:52:31</t>
  </si>
  <si>
    <t>本人在贷上钱平台中布偶猫借款3000元实际到账2100元，分4期还款每期7天期限共一个月要还3096元，这完全是高利贷，本人患有严重的抑郁症，每天都要靠吃药控制病情，无力偿还如此高昂的利息借款，贷上钱布偶猫催收人员不断骚扰恐吓我要爆通讯录，群发我身份信息，这严重影响到我的正常生活，每天精神都收到催收人员的损害，加重抑郁症病情。</t>
  </si>
  <si>
    <t>2019/10/11 17:52:26</t>
  </si>
  <si>
    <t>由于本人资金链断裂一时还不上，平台不与协商直接爆通讯录，严重影响生活。</t>
  </si>
  <si>
    <t>2019/10/11 17:52:20</t>
  </si>
  <si>
    <t>北京恒昌公司恒易贷，借款1000，到账8000，合同显示11000，没到期之前，爆通讯录，骚扰加入，砍头息严重，催收威胁。</t>
  </si>
  <si>
    <t>2019/10/11 17:52:17</t>
  </si>
  <si>
    <t>高厉害，爆通讯录，骚扰朋友，协商还本金，说话不好听。</t>
  </si>
  <si>
    <t>2019/10/11 17:51:56</t>
  </si>
  <si>
    <t>在几个月前就解释过了，说了很多次和债务人没有联系，仍然一直发骚扰短信。</t>
  </si>
  <si>
    <t>2019/10/11 17:51:27</t>
  </si>
  <si>
    <t>本人欠款逾期有错，但是不应催收影响本人生活，每天催收电话大概7-8个，并且133******97这个催收使用私人号码联系，说苏宁任性付今天不还款就告知家人朋友，我要求告知工号以及姓名不作理会，我给出了我可以还款的日期也没得商量，我联系在线客服也联系不上，请苏宁金融解释这个人是你们的外包催收还是正式员工，据我了解没经过本人同意骚扰家人朋友是可以到12315举报投诉的，请苏宁金融作出回应！。</t>
  </si>
  <si>
    <t>2019/10/11 17:51:25</t>
  </si>
  <si>
    <t>本人于9月26号在钱站点击申请了一笔借款，然后10月4号借款到账，但是钱站没有任何工作人员指出我这金额一错误，期间一直电话或者线上客服联系钱站，均无法联系到，然后我要求取消借款，客服要求我把5000元加上合同金的3%充值到账户，我听成了合同金为6500元，其实为6650元，这是我的错误，我在到账日4号就马上充值到5195元到钱站账户，期间联系客服一直让我等待系统自动扣款，说3个工作日，就在刚才！终于打通了客服电话，可是客服居然跟我说取消借款的时效已经过了，按照她的意思，我只能按月还款，要为此付出3583元利</t>
  </si>
  <si>
    <t>2019/10/11 17:51:14</t>
  </si>
  <si>
    <t>本人仅注册钱橙无忧APP但未进行贷款，过后其APP未经本人允许进行扣费。</t>
  </si>
  <si>
    <t>2019/10/11 17:50:55</t>
  </si>
  <si>
    <t>支付宝借呗结清证明，还清已经两个多月了，结清证明一直开局不下来，客服那边只是说加急，已经40多个工作日了，没有一点消息。</t>
  </si>
  <si>
    <t>2019/10/11 17:50:39</t>
  </si>
  <si>
    <t>第一，本协商好的结果，出尔反尔的联系家人、同事及领导，对借款人造成了极大的不好的影响，现工作单位对我进行辞退处罚，完要求《一点分期》对借款进行赔偿及道歉处理，第四，总借款10200元，已还6432.96元，还有3767.04元未还，但平台及催收人员告知我还有6024.96未还，这个数据谁都能算出来，这样的情况不止在我一个人的身上出现，借款人要多还2257.92元，这已经大大的超出人行规定的年利率，没人管吗，第五，上午协商好，下午就爆通讯录，为什么，公司对我进行辞退，我一家靠我养活，我怎么办，第六，傍晚我主动</t>
  </si>
  <si>
    <t>2019/10/11 17:50:08</t>
  </si>
  <si>
    <t>之前投诉了一次，水莲金条一直刻意回避问题，再一次进行暴力催收，进行短信轰炸。</t>
  </si>
  <si>
    <t>2019/10/11 17:49:32</t>
  </si>
  <si>
    <t>今日头条委托的第三方都不协商，就要爆通讯录，今日头条涉嫌软暴力催收，倒卖个人信息！这是违法行为，如爆通讯录，我将报警处理，并投诉到证银监会，金融局，媒体曝光！。</t>
  </si>
  <si>
    <t>2019/10/11 17:48:24</t>
  </si>
  <si>
    <t>本人于2018年11月21日注册了淘集集商家店铺，缴纳了2000元保证金，2019年年初申请了退店，也按照淘集集平台要求填写好退店的资料，当时淘集集商家后台说的是会尽快处理，但是到现在我也没有收到淘集集的保证金，账号被注销了不能登陆，多次联系客服处理未果，淘集集那边没人回复，也没有后续。</t>
  </si>
  <si>
    <t>2019/10/11 17:46:19</t>
  </si>
  <si>
    <t>今日广发银行信用卡工作人员11437叶姓工作人员来电威胁我如无法及时还款将从明天开始有第三方催收人员天天上门进行催收，并给你的紧急联系人打电话进行催收特此投诉，若广发银行不当一回事我也不当一会事。</t>
  </si>
  <si>
    <t>2019/10/11 17:45:58</t>
  </si>
  <si>
    <t>展付通网络科技有限公司,铭信汇信息咨询公司,上海点佰趣，谎称一台机器998可以办理2万左右额度信用卡，三台2994可以办理8万以上信用卡，内部通道，下卡快，实际就是通过平常的网络渠道办理，根本达不到他们所说的要求，另外为了让消费者更加相信，还说刷够多少，返还服务费，，签有协议，实际根本就是白纸空文，达到要求后，根本不予退还，还进行各种狡辩。</t>
  </si>
  <si>
    <t>2019/10/11 17:45:25</t>
  </si>
  <si>
    <t>蟹老弟短信给的链接点进去无法登入还款，然后今天也没有自动扣款，客服也联系不上，他们平台的失误想让我逾期，请客服立马联系我还款。</t>
  </si>
  <si>
    <t>2019/10/11 17:44:31</t>
  </si>
  <si>
    <t>投诉银联扫码转账，本人被引诱到一个网站充值入金18万多，后来发现是网络赌博平台，并非正规的购彩网站，通过中国人民银行和支付清算协会沟通得知第三方支付业务应审核客户的相关信息，第三方支付公司不得向证券、期货、博彩等机构提供支付结算业务，为违法违规机构平台提供支付结算通道即产生了涉嫌洗钱的嫌疑，作为有牌照的支付公司没有履行国家相关法律法规要求，金融机构客户身份识别和客户身份资料及交易记录保存管理办法，等规定，切实履行反洗钱义务和识别客户身份的义务，希望有工作人员能够联系，要求第三方支付机构退回被扣款项。</t>
  </si>
  <si>
    <t>2019/10/11 17:43:16</t>
  </si>
  <si>
    <t>8月29日离职，截至目前十月份，两个月的新人保护期1000元，两个月加班费600加提成360，总共1960元。</t>
  </si>
  <si>
    <t>2019/10/11 17:43:08</t>
  </si>
  <si>
    <t>投诉人唐先生投诉对象有银票涉诉金额1736元问题类型诉求类型投诉详情借款140010天周期还款1736由于最近714全部套路，还款压力巨大。</t>
  </si>
  <si>
    <t>2019/10/11 17:42:13</t>
  </si>
  <si>
    <t>一天打了几十个电话，都不带停的，请尽快处理下可以。</t>
  </si>
  <si>
    <t>2019/10/11 17:42:12</t>
  </si>
  <si>
    <t>在我来数科通过通联支付平台借款总计5.2万，其中5400元为12期还款，其他4.66万为6期还款，现在要求提前结清欠款，但是与平台客服及人工客服沟通，均态度强硬要求支付全部利息，希望平台帮助协商减免利息。</t>
  </si>
  <si>
    <t>2019/10/11 17:42:10</t>
  </si>
  <si>
    <t>今天突然被告知微信号被打标狐狸，我自认没有做什么违法的事，也不存在欺诈他人的行为，请恢复我微信号的清白。</t>
  </si>
  <si>
    <t>2019/10/11 17:42:02</t>
  </si>
  <si>
    <t>我在转转平台出售一台黑解有锁的苹果xsmax手机一台，价格是4900跟买家谈好走验机服务，因为转转验机流程是有还原系统这一项目，所以我提前有联系客服备注我的手机属于黑解机不能还原系统，客服有说明发快递时加入小纸条说明我照做了，还说过黑解机是不会还原的，现在手机依然被质检人员还原后插卡无信号，致使买家退货，现在手机无法使用卖也卖不掉，联系客服一直推脱，下面有我发货时录制的视频和跟客服的聊天记录。</t>
  </si>
  <si>
    <t>2019/10/11 17:41:41</t>
  </si>
  <si>
    <t>10月10日，在青客公寓APP上申请退房，结果上面根本就没有3天无理由退房选项，问过“报修客服小宜-青客生活”,才知道3天无理由退房流程需要找销售房管员，与房管员进行沟通，要求执行青客公寓的三天无理由退房并解约，但是，青客房管员虽然说给退，可是却并没有说明到底什么时候退，迟迟不退，也并没有要我的支付宝账号和出示已经办理的证明，根据网上所查发现青客在其他地方风评很不好，觉得要钱非常费劲或者会不退；最后说钱20个工作日退还；现在2019.10.11日，青客APP上的退房申请还是没有。</t>
  </si>
  <si>
    <t>2019/10/11 17:41:37</t>
  </si>
  <si>
    <t>每天频繁的打电话给亲戚朋友手机通讯录打电话，包括今天还在给我打电话威胁我上门要钱，和派出所一块上门，还要去法院。</t>
  </si>
  <si>
    <t>2019/10/11 17:41:29</t>
  </si>
  <si>
    <t>本人近期经历了钱橙无忧借款平台的无理收费，和直接扣费以及扣费后未履行相应承诺等行为，本人在钱橙无忧注册时被无故扣款168元和128元且无无任何提示，后借款时该平台打出了审核不过关即退款，本人基于人与人之间的基本信任，点击了确认，但此平台直接跳过了密码支付，本人并未在此平台开通过免密支付，经等待后，该平台的审核一直处于第一阶段，人工客服又一直繁忙，审核不批，钱款不退，该平台大概是张以这种无赖的方式侵吞我等的财产，钱橙无忧侵犯了我等的合法权益，希望聚投诉平台能给我们一个合理的说法并追回我们损失的财产！。</t>
  </si>
  <si>
    <t>2019/10/11 17:41:08</t>
  </si>
  <si>
    <t>交通银行信用卡逾期，因最近生意失败加上最近生病周转能力不足逾期，本人有强烈还款意愿，曾经主动致电交通银行问能不能分手期想主动协商还款银行不愿意本人现在的的确确没有能力还款，希望银行能够分期或者每个月还一千块，今天银行开始一天追打几十个电话骚扰，未经同意骚扰我以前同事，给我名誉造成重大伤害，导致我病情加重，我将向银监会投诉，如再有骚扰将报警采取法律措施保护权益。</t>
  </si>
  <si>
    <t>2019/10/11 17:41:06</t>
  </si>
  <si>
    <t>之前就投诉过凡普信扣留属于我的那份合同，砍头息，暴力催收等问题，对方在贵平台没有正面回应我的诉求，反而是背后电话骚扰，威胁！对方要求结案，在平台规定的时间里，我的手机系统出现问题，对方得以结案！现在我再次投诉这个无法无天的黑暗公司！请平台听听电话录音！凡普信，你想通过这种非正常手段获取法律不允许的利益，我不管付出什么代价，都会和你们抗争到底！。</t>
  </si>
  <si>
    <t>2019/10/11 17:41:00</t>
  </si>
  <si>
    <t>本人借款到账1650，5天时间，但是甜甜圈平实际借条合同是3000，本人无力偿还高利贷利息，要求协商还实际借款本金加正常利息。</t>
  </si>
  <si>
    <t>2019/10/11 17:40:57</t>
  </si>
  <si>
    <t>投诉人姚女士投诉对象多宝分期涉诉金额5000元问题类型诉求类型投诉详情手机借钱里的多宝分期找不到app，无法还款。</t>
  </si>
  <si>
    <t>2019/10/11 17:40:56</t>
  </si>
  <si>
    <t>投诉人 杨先生        投诉对象  海纳百川        涉诉金额  1 000 元    问题类型    诉求类型投诉详情  高利贷暴力催收 泄露本人信息 发照片给朋友侮辱本人 处理不了就报警</t>
  </si>
  <si>
    <t>2019/10/11 17:40:52</t>
  </si>
  <si>
    <t>白条分期不知道怎么就扣了什么会员费，扣了249，我下载一看有一个什么购买记录，找他家客服也不给退，非让我去到他家推荐的平台借钱，我不借也不用，这是强制收费吗。</t>
  </si>
  <si>
    <t>2019/10/11 17:40:37</t>
  </si>
  <si>
    <t>办理了288的全球尊享套餐，短信出现故障，海南移动不给解决处理！霸王条款，收了288元的月租不给提供服务！客户态度极差，反映问题还没说完就挂电话！希望给出合理解释，退费或者恢复短信功能同时对涉事客服做出处罚！。</t>
  </si>
  <si>
    <t>2019/10/11 17:40:24</t>
  </si>
  <si>
    <t>打给单位单位还说要让我单位电话轰炸导致停止营业，。</t>
  </si>
  <si>
    <t>2019/10/11 17:39:49</t>
  </si>
  <si>
    <t>投诉人王星星投诉对象海南普德龙网络科技有限公司涉诉金额298元问题类型诉求类型投诉详情无缘无故从本人尾号为0168的建设银行账户里扣了298.5元。</t>
  </si>
  <si>
    <t>2019/10/11 17:39:18</t>
  </si>
  <si>
    <t>，本人被引诱到一个网站充值入金18万多，后来发现是网络赌博平台，并非正规的购彩网站，通过中国人民银行和支付清算协会沟通得知第三方支付业务应审核客户的相关信息，第三方支付公司不得向证券、期货、博彩等机构提供支付结算业务，为违法违规机构平台提供支付结算通道即产生了涉嫌洗钱的嫌疑，作为有牌照的支付公司没有履行国家相关法律法规要求，金融机构客户身份识别和客户身份资料及交易记录保存管理办法，等规定，切实履行反洗钱义务和识别客户身份的义务，希望有工作人员能够联系，要求第三方支付机构退回被扣款项。</t>
  </si>
  <si>
    <t>2019/10/11 17:39:03</t>
  </si>
  <si>
    <t>微粒贷私自打听我现工作单位及电话，自己承认且有录音证明……对我公司进行骚扰，打听我的隐私……对我造成恶劣影响，并且言语恶劣说就应该打听并打电话骚扰。</t>
  </si>
  <si>
    <t>2019/10/11 17:37:27</t>
  </si>
  <si>
    <t>老师不负责任导致错过报名时间，要求退款多次无果。</t>
  </si>
  <si>
    <t>2019/10/11 17:36:40</t>
  </si>
  <si>
    <t>我借款6.5万元，已经还了一年了，一共还了总金额3万多，现在还有5万多没还，我现在真的没有能力在还了，他们天天打电话催收，我说缓缓一段时间，最近还不了，他们一直催收，利息也太高了，我真的承受不了了。</t>
  </si>
  <si>
    <t>2019/10/11 17:35:42</t>
  </si>
  <si>
    <t>信用管家里面蓝莓金服，借2100，一个月还3000，和客服协商不同意减免高利贷部分，最后一期还要还700，现投诉，要求合法利息销账，好好和你们说不听，这里解决不了还有别的地方，扫黑办、公安局实名举报好几个了，不差你们一个。</t>
  </si>
  <si>
    <t>2019/10/11 17:35:38</t>
  </si>
  <si>
    <t>投诉人 杨先生        投诉对象  京东金融        涉诉金额  10 000 元    问题类型    诉求类型投诉详情  京东金融暴力催收，爆通讯录，骚扰他人。严重影响个人生活和工作</t>
  </si>
  <si>
    <t>2019/10/11 17:35:02</t>
  </si>
  <si>
    <t>我在闪银旗下的哼哼借了一笔2600元的借款。</t>
  </si>
  <si>
    <t>2019/10/11 17:34:18</t>
  </si>
  <si>
    <t>投诉人 林先生        投诉对象  微博借钱        涉诉金额  8 004 元    问题类型    诉求类型投诉详情  乱打通讯录电话 影响到个人生活 要求停止骚扰</t>
  </si>
  <si>
    <t>2019/10/11 17:34:05</t>
  </si>
  <si>
    <t>我的招商银行储蓄卡，在9月27日下午18点41分无故收到4861.35元扣款通知。</t>
  </si>
  <si>
    <t>2019/10/11 17:33:54</t>
  </si>
  <si>
    <t>投诉人贺先生投诉对象汇潮支付,王者钱包涉诉金额1153元问题类型诉求类型投诉详情投诉对象，我是一名退伍兵.因创业失败于2019年10月9日.在网贷平台看到王者钱包.被低息和分期两字所诱惑.抱着试一试的态度.填写了个人资料.然而在经过资料认证.头像认证.银行卡认证后进入审批环节后.两分钟下款1860元.当看到还款期限5天.利息1153后.试问在国家严打.整治阶段.为什么还存在这么高息平台.不知道背后要害多少家庭.又有多少向我这样的遭遇.敢怒不敢言.现在是法治社会.我也只是社会的普通一员.我只是把我们社会最底层</t>
  </si>
  <si>
    <t>2019/10/11 17:33:52</t>
  </si>
  <si>
    <t>前期客服和合同都没提及到提前还手机需要违约金，买断需要租满期在缴纳物品价值金额，太坑人了。</t>
  </si>
  <si>
    <t>2019/10/11 17:33:19</t>
  </si>
  <si>
    <t>1.在小花钱包申请贷款成功后长达将近一个月未安排打款，并且在放款期间就开始计算利息，2.贷款本金和签订合同金额不一致，比如提供照片中一个贷款11447元的借款，实际借款9000元，合同却是显示贷款11447元，总共这一笔还清高达12011.6元，月利率在0.062%，年利率在74.92%，3.贷款利率合同上利率在33%—34%，包含杂七杂八费用之类实际利率高达50%—60%以上，4.在逾期后本人发现还款还了好多期之后，本金还是有很多，再核算之后发现被套路贷之后进行协商，工作人员不理会并且威胁带恐吓言语不给与</t>
  </si>
  <si>
    <t>2019/10/11 17:32:46</t>
  </si>
  <si>
    <t>我没有说还，但是那边一直暴力催收，还我爆通讯录，搞得我亲朋好友都知道完了，希望他们停止骚扰，我有钱就会还上。</t>
  </si>
  <si>
    <t>2019/10/11 17:32:41</t>
  </si>
  <si>
    <t>投诉人王女士投诉对象有钱花涉诉金额7000元问题类型诉求类型投诉详情恶意恐吓暴力催收爆通讯录，损害我的名誉权，说话态度恶劣蛮横，要求做出赔偿我的名誉权精神损失。</t>
  </si>
  <si>
    <t>6月18日，我在广告中看到深圳市深圳市赢众通金融信息服务有限责任公司旗下网贷品牌手机APP：“小赢卡贷”可以用8%左右的低利息申请借款，就向其申请借款8000元，后被审核通过，然而对方并没有向我借款8000元，在APP里向我询问我有3万元的额度是否领取，在9月22日观看南通电视台报道新闻小伙贷款3.4万元，却要还1万多利息，我认为“额度”的意思是我一共在这个平台上可以借这么多钱，就点击确定，之后没多久3万元就打到我卡里了，我想取消不想借这么多钱，只想借8000元，却被告知不好取消，仍然要还清本金加利息一共4</t>
  </si>
  <si>
    <t>2019/10/11 17:32:38</t>
  </si>
  <si>
    <t>投诉人吝先生投诉对象侬要贷,上海两橙信息科技有限公司涉诉金额398元问题类型诉求类型投诉详情侬要贷平台未经允许扣取199元费用而且是扣取两次，侬要贷网络借款在借款认证过程用字眼以误导借款人，交了199元又以各种理由，手段导致放款不成功，第二天就直接拒绝放款，打电话给客服退还费用还要让我把身份证复印件、银行卡复印件邮寄给他摆明不退款，。</t>
  </si>
  <si>
    <t>2019/10/11 17:32:12</t>
  </si>
  <si>
    <t>在寺库奢侈品上买了一个MK的包，支付了1050元，用了才几天不到，包带就断裂，包里平时就放一个手机和钥匙并没有很重，随后跟寺库的客服反应，两次都是让我等消息，等电话，等他们反应问题，但是一直都未得到他们的联系，更不要说处理结果了，就是一直在赖皮一直在躲避，每次都是说些一样套路的话敷衍。</t>
  </si>
  <si>
    <t>2019/10/11 17:32:07</t>
  </si>
  <si>
    <t>退回砍头息按照国家规定利率来算，赔礼道歉停止催收。</t>
  </si>
  <si>
    <t>2019/10/11 17:31:52</t>
  </si>
  <si>
    <t>本人于2019年1月28日在信而富所谓的消费商城购买的墨镜。</t>
  </si>
  <si>
    <t>2019/10/11 17:30:13</t>
  </si>
  <si>
    <t>刚开始说是学费分期，后来发现是小额贷款，我就想让他们停止贷款，把我的学费全额退还，他们就找各种理由推脱，要么就是不回消息，我报名三天不想学要退学费是符合规定的，我没有上过一节课，他们就是不肯退还学费，还有那份报名表，我本人没有签字。</t>
  </si>
  <si>
    <t>2019/10/11 17:30:10</t>
  </si>
  <si>
    <t>取消本次账单利息，办个延期服务，不许继续骚扰家人。</t>
  </si>
  <si>
    <t>2019/10/11 17:29:53</t>
  </si>
  <si>
    <t>在钱站借款实际到账6000元，而合同金额为9360元，分六期还，每期还1600多，这不仅仅是砍头息，还是高利贷。</t>
  </si>
  <si>
    <t>2019/10/11 17:29:08</t>
  </si>
  <si>
    <t>投诉人尚先生投诉对象中国电信,贵州电信,电话邦涉诉金额0元问题类型诉求类型投诉详情电话邦，电信随便标记我的手机号为骚扰电话，导致我的手机号成为骚扰手机号。</t>
  </si>
  <si>
    <t>2019/10/11 17:28:49</t>
  </si>
  <si>
    <t>投诉人 孙先生        投诉对象  翼钱包        涉诉金额  20 000 元    问题类型    诉求类型投诉详情  自18年9月到19年2月相继贷款2万元 套路贷砍头息 714 暴力催收 要求退还砍头息 目前app还在放贷 8天借2000 砍头息 560 到期还款 2006 电话 80973746 希望有关部门给予封停 以免危害社会 希望在聚投诉平台得到帮助。</t>
  </si>
  <si>
    <t>2019/10/11 17:28:48</t>
  </si>
  <si>
    <t>本人在钱站借了1000块钱，分3期，每期要我还600多，这是高利贷嘛，我都认了，因为这两天周转困难，然后朋友答应我今天借钱给我，结果出了点事情，钱没及时还进去，钱站那边的催收人员就打电话来，我也接了，我好好的在那解释，他们倒好根本不听，还一直的打我电话，一个下午打了我5个电话，这样子我怎么正常上班，我没说不还钱，也没有不接电话，就这两天肯定还进去，他们倒好不停打电话。</t>
  </si>
  <si>
    <t>2019/10/11 17:27:08</t>
  </si>
  <si>
    <t>中信银行，雇用外包第三方，暴力催收，言语威胁。</t>
  </si>
  <si>
    <t>2019/10/11 17:26:22</t>
  </si>
  <si>
    <t>投诉人 王先生        投诉对象  你我贷        涉诉金额  3 000 元    问题类型    诉求类型投诉详情  冒充律师打电话给我恐吓我高利贷 砍头利 恐吓我</t>
  </si>
  <si>
    <t>2019/10/11 17:26:01</t>
  </si>
  <si>
    <t>不合法收取利息砍头袭并恶意骚扰短信轰炸亲朋好友。</t>
  </si>
  <si>
    <t>2019/10/11 17:25:48</t>
  </si>
  <si>
    <t>咸鱼买家退回的商品不是我寄过去的商品，商品被买家掉包，我出证明了，咸鱼小二仍然支持买家。</t>
  </si>
  <si>
    <t>2019/10/11 17:25:40</t>
  </si>
  <si>
    <t>代理没有违规的情况下，银盛后台私自关闭代理的后台，影响代理发展客户。</t>
  </si>
  <si>
    <t>2019/10/11 17:25:11</t>
  </si>
  <si>
    <t>在美团专送当骑手，辞职后专送众包都注册不了，打电话给客服得到的回应问我在职期间有没有和站长发生冲突，我这边没有，然后问他为什么注册不了，就抛开话题就说永久注册不了，注册不了也得给个原因吧，那没有辞职之前我的专送还可以送，现在连专送也进不去了。</t>
  </si>
  <si>
    <t>2019/10/11 17:24:57</t>
  </si>
  <si>
    <t>我本人多次在卡卡贷平台借钱，在我不知情的情况下扣会员费和保险费，我要求卡卡贷退还给我，，还有卡卡贷每次没有扣款成功会有50到100“扣失费”，就一两天利息哪有这么高，我希望卡卡贷给我一个说法，10月11日是我最后一期还款了，我希望卡卡贷平台尽快出来解决，把该退退还给我，我应该还的也会如数奉还。</t>
  </si>
  <si>
    <t>2019/10/11 17:24:29</t>
  </si>
  <si>
    <t>电话骚扰我的家人，恐吓，威胁，在协商好的情况下继续骚扰家人，导致家人无法正常生活，母亲更是身体出现问题，非常严重。</t>
  </si>
  <si>
    <t>2019/10/11 17:23:33</t>
  </si>
  <si>
    <t>投诉人宋先生投诉对象Wecash闪银,国美金融涉诉金额5000元问题类型诉求类型投诉详情本人于2019.10.1018:39误操作点击借款申请5000，分6期，想第一时间申请取消，发现在审核状态时订单就无法取消，联系客服要求申请取消无人回复，后订单直接进入待放款状态，于2019.10.1115:48分到账，查看后台无法提前结清借款，需先支付担保服务费363.00元及每期平均87.5的利息，诉求：本人归还借款本金5000，取消本次借款申请，并给予结清证明。</t>
  </si>
  <si>
    <t>2019/10/11 17:23:10</t>
  </si>
  <si>
    <t>本人因投资失败，在广发银行办理的分期未能按照银行要求足额还款，九月底广发银行安排催收人员爆我通讯录，骚扰我的家人和亲属，我父亲有严重的高血压，给他们骚扰的现在不能下床，饭也不能吃，并且他们还不停的骚扰我的亲属，打扰他们的生活。</t>
  </si>
  <si>
    <t>2019/10/11 17:22:48</t>
  </si>
  <si>
    <t>本人借款4000元，合同上显示金额5320元，分三期还完，总还款额7362.68元，利息居然达到了3362.68，你既然打款给我4000元，为什么在合同上写5320元呢，在国家明令禁止的情况下还顶风作案，还有明星代言，看了不少投诉，只是说解决，可是没有解决结果呢，我不要求别的，还款我也正常还，只是希望把合同中的1320元钱打给我，其他的我还能接受，这个不过分吧。</t>
  </si>
  <si>
    <t>2019/10/11 17:22:34</t>
  </si>
  <si>
    <t>多次打电话忽悠升级信用卡额度，并且不明确告诉客户信用卡年费，只说年消费20万信用卡费。</t>
  </si>
  <si>
    <t>2019/10/11 17:22:17</t>
  </si>
  <si>
    <t>YT9036211372133的快递，8号到江苏昆山后，第一次地址填错，未打电话给我就直接退回发货地，我联系卖家后，修改了地址，结果又分派错快递点，10号接到快递员电话通知，又重新发，10号晚，我打圆通客服，说是加急处理，之后我又打了昆山当地客服，也说加急处理，11号上午再打当地客服，变成让我耐心等待，再打圆通客服，也是加急，下午2点多再打当地客服，北边客服推给南边，南边推北边，末了，让我自己打圆通客服投诉，3点多打了，当时要求，到4点最起码告诉东西目前在哪，到了四点十分再打，客服又是加急，并且告诉我没答应</t>
  </si>
  <si>
    <t>2019/10/11 17:21:31</t>
  </si>
  <si>
    <t>平安普惠和平安一钱包都不给我改我的预留手机号码，平安普惠一直没有一个具体的理由说明我自己不能修改，我打算去一钱包改试试能不能关联到平安普惠，结果一钱包客服告知我有贷款不能更改，现在我不能登录账户导致我连最基本的查看贷款合同。</t>
  </si>
  <si>
    <t>2019/10/11 17:21:29</t>
  </si>
  <si>
    <t>投诉人邵女士投诉对象恒昌利通涉诉金额40000元问题类型诉求类型投诉详情高利贷合同金额大于实际本金，利息虚高，黑社会暴力催收！威胁，恐吓。</t>
  </si>
  <si>
    <t>2019/10/11 17:20:28</t>
  </si>
  <si>
    <t>投诉人 陆先生        投诉对象  你我贷        涉诉金额  701 元    问题类型    诉求类型投诉详情  你我贷不协商 直接轰炸我工作单位以及家人朋友 给生活造成极大影响</t>
  </si>
  <si>
    <t>2019/10/11 17:20:26</t>
  </si>
  <si>
    <t>爱用商城无故扣除客户贷款费用.变相的砍头息.致电客服多次问客服为什么要扣除这些费用.我本人都没有用到这些客服那边说就是这样的.我说以什么标准收这些客服那边一直没给个回复今天收到催款的人员跟他讲明这些原因以后他是不同部门的.那边是款项.款项借给你的多少钱就是多少钱.那我就请问爱用商城为什么要强制客户去支付这些费用而且借款期也是一个月而已.。</t>
  </si>
  <si>
    <t>2019/10/11 17:20:11</t>
  </si>
  <si>
    <t>广州银行信用卡app有个小广跨年礼包送一整年，的活动，本人是在18年12月成功报名参加，按活动规则每个月可以在app上领取礼包，然而在活动领取版块根本没有领取礼包的界面，广州银行虚假宣传骗客户，反馈情况后而且不处理，系统有问题长期如此也不见改进，本人参加活动期间连领取版块影子都看不到叫人怎样领，诉求1、返还活动里的积分和刷卡金2、改进APP系统正常性能。</t>
  </si>
  <si>
    <t>2019/10/11 17:19:45</t>
  </si>
  <si>
    <t>盛刷工作人员以办工商银行信用卡为名收了我408元，并说办不了信用卡退款，现在信用卡设办到也不退款。</t>
  </si>
  <si>
    <t>2019/10/11 17:19:43</t>
  </si>
  <si>
    <t>投诉人夏先生投诉对象绿森数码涉诉金额5602元问题类型诉求类型投诉详情9月19日下单预购的Iphone11绿色128G版本，承诺9月20日起按顺序发货，最晚10个工作日发完，如今已过去13个工作日，且无任何发货动态，期间多次联系客服投诉，均无法有效解决，且每次很难打通客服电话，至少每次打50个左右电话才能接通一次，商城在线人工客服每次排队500+以上，根本联系不上，现在居然多次要求我更换颜色或者退货，当初知道备不到货为什么购买界面设置绿色，希望通过投诉绿森方面能专人联系我，并且马上把我的手机完成发货，否则一</t>
  </si>
  <si>
    <t>2019/10/11 17:19:13</t>
  </si>
  <si>
    <t>投诉人张先生投诉对象Wecash闪银涉诉金额0元问题类型诉求类型投诉详情与客服沟通注销账号问题，客服一直不回应，一提到注销账号问题就不回复了！就算是一对多服务也能回应一下吧，十几分钟就回复了两条同样的询问信息！中途问为什么一提到注销账户就不回复，聊天框显示对方正在输入中，但是还是没有任何回应，客服最后干脆直接把转接机器人了！。</t>
  </si>
  <si>
    <t>2019/10/11 17:18:27</t>
  </si>
  <si>
    <t>兴业银行信用卡催收人员私自调查本人社保，然后天天到新公司骚扰本人上班，对本人在新公司上班，造成了很大的影响。</t>
  </si>
  <si>
    <t>2019/10/11 17:18:18</t>
  </si>
  <si>
    <t>本人在融360上的微贷网借款3000但是到账金额只有2400，被扣除了600块说是保费，已经还了2期一共2120，第三期还没还，但是今天被微贷网在未经许可的情况下被扣除了340元，要求在第三期的账单中扣除被砍头的600块，只还400的本金和利息。</t>
  </si>
  <si>
    <t>2019/10/11 17:17:59</t>
  </si>
  <si>
    <t>现金巴士违法收取砍头息，且逾期费用高达10元/天，要求减免逾期费协商处理。</t>
  </si>
  <si>
    <t>2019/10/11 17:17:41</t>
  </si>
  <si>
    <t>还款日上班时间，说着下班回去还账单，而且一直从来都没有过一次逾期，每次到还款日，还款日前一天就电话不停的骚扰，严重影响正常上班，来分期给个解释吧。</t>
  </si>
  <si>
    <t>2019/10/11 17:17:33</t>
  </si>
  <si>
    <t>本人于2019年7月14日在钱站app上借款2000。</t>
  </si>
  <si>
    <t>2019/10/11 17:17:21</t>
  </si>
  <si>
    <t>我来贷在没有解决问题的情况下将我的个人信息委托第三方进行催收！现在催收态度恶劣，骚扰家人！并且赤裸裸的进行威胁！强烈投诉这种行为。</t>
  </si>
  <si>
    <t>2019/10/11 17:16:38</t>
  </si>
  <si>
    <t>还了15期了，还剩3期，逾期了三天就开始爆通讯录，简直是暴力催收。</t>
  </si>
  <si>
    <t>2019/10/11 17:16:23</t>
  </si>
  <si>
    <t>投诉人 黄女士        投诉对象  拍拍贷        涉诉金额  5 000 元    问题类型    诉求类型投诉详情  辱骂 恐吓 偷取通讯录资料 对家人朋友有重大的影响</t>
  </si>
  <si>
    <t>2019/10/11 17:15:05</t>
  </si>
  <si>
    <t>投诉人 濮先生        投诉对象  闪银        涉诉金额  594 元    问题类型    诉求类型投诉详情  在闪银借款出了两个白条不购买还不能借款 要求闪银协商白条还款 抓紧处理</t>
  </si>
  <si>
    <t>2019/10/11 17:14:22</t>
  </si>
  <si>
    <t>强迫购买恶魔游戏豆，现在逾期了还收取高额利息费。</t>
  </si>
  <si>
    <t>2019/10/11 17:14:02</t>
  </si>
  <si>
    <t>网址赌博，私人的想怎么开就怎么开，先给你点甜头让你赢后来让你输的倾家荡产，。</t>
  </si>
  <si>
    <t>2019/10/11 17:13:40</t>
  </si>
  <si>
    <t>本人于2019年十月十日在拼多多平台购入airpods2耳机一副，第二日平台未经协商私自退款，客服不予任何明确答复，本人要求重新发货，平台给予处理。</t>
  </si>
  <si>
    <t>2019/10/11 17:13:23</t>
  </si>
  <si>
    <t>用闪电借款三年多了，最近因为资金周转问题，许多账单出现问题，现只能协商延期还款，该给的一定会给，只希望不要再像别的平台骚扰家人朋友，家人因为这些网贷已经引发心脏病住院了，只希望平台能够协商延期还款。</t>
  </si>
  <si>
    <t>2019/10/11 17:12:37</t>
  </si>
  <si>
    <t>这边真的遇到十分要紧的事情了，把材料邮寄出来吧。</t>
  </si>
  <si>
    <t>2019/10/11 17:11:58</t>
  </si>
  <si>
    <t>第一，每一次催收电话都会接，在开车的时候不方便接听，我会用编辑好的短信告知“在开车，稍后回复”，并没有拒接、拉黑情况，第二，因为陷入套路贷资金周转不开已和客服协商完毕，“银行贷款下来，第一时间还款”，但是没用，家人及同事还是会接到同样催收电话，第三，总借款6000元，还了一期2879.97元，剩余11期没还，金额为6540.03元，还款加上未还款项为9420元，多出来的3420元已过人行规定年利率，高利贷中的高利贷，这不受法律保护，触犯法律还敢骚扰及恐吓借款人及亲戚朋友，第四，短信所说，更换地址及工作单位，</t>
  </si>
  <si>
    <t>2019/10/11 17:11:56</t>
  </si>
  <si>
    <t>我不接电话是我不对，但是我早上八点到下午四点是工作时间，是制药行业，手机静音很正常吧，为了能尽快还你们钱，我还做了兼职下午十七点半到二十二点，做的服务员，能接电话，你敢晚上十一点打给我，我就敢接，我现在被劝说辞职，你就是你们想要的结果，我有还款意愿，只是我现在没钱，不能还最低，我上个月才一千九工资，你要我怎么活，还是想我自杀，一分钱也拿不到才开心，我有打回去，你们就是作息忙根本没人接。</t>
  </si>
  <si>
    <t>2019/10/11 17:11:09</t>
  </si>
  <si>
    <t>投诉人周先生投诉对象及贷涉诉金额7000元问题类型诉求类型投诉详情我再10月10日登录及贷后开通存管账户后，发现及贷的利息高达70%，4000元借款要还6400加580的信息费，所以没有借，但是今天系统自动给我借款了，连账单都出来了，我已向广州警方报警。</t>
  </si>
  <si>
    <t>2019/10/11 17:10:16</t>
  </si>
  <si>
    <t>去年在中银消费金融有一笔借款，分了12期，全部还清了，今天因为资金困难，又借了一笔15000，分了12期，但是现在资金周转不了没有钱还进去，一直在协商在一年之内一定还清欠款，但是那边的催收直接发信息威胁烂骂我，我现在要求他们给出合理的解释，群发照片，骂我不要脸，一直在协商却还受到攻击，我每天被他们的电话打的都要崩溃了，都不敢接。</t>
  </si>
  <si>
    <t>2019/10/11 17:09:46</t>
  </si>
  <si>
    <t>12月1日起，1未经借款人本人允许，打电话给通讯录里的亲人或好友，并进行多次骚扰的，2在上午八点至晚上九点时间段在打催收电话的，　　《中华人民共和国治安管理处罚法》第四十二条规定：，有下列行为之一的，处五日以下拘留或者五百元以下罚款；情节较重的，处五日以上十日以下拘留，可以并处五百元以下罚款：，写恐吓信或者以其他方法威胁他人人身安全的；，捏造事实诬告陷害他人，企图使他人受到刑事追究或者受到治安管理处罚的；，对证人及其近亲属进行威胁、侮辱、殴打或者打击报复的；，多次发送淫秽、侮辱、恐吓或者其他信息，干扰他人正</t>
  </si>
  <si>
    <t>2019/10/11 17:09:24</t>
  </si>
  <si>
    <t>投诉人黎凯投诉对象爱钱进,爱白条APP涉诉金额3900元问题类型诉求类型投诉详情爱白条借款2600三个月还款3900严重超出国家法律规定，完全属于高利贷，请求减免还款金额，一次性还款。</t>
  </si>
  <si>
    <t>2019/10/11 17:09:00</t>
  </si>
  <si>
    <t>造艺网络技术有限公司旗下一款名叫聚富分期APP上申请贷款，当时书面上根本没提到要钱买报告，也没提要钱买他们的产品，而且从头到尾都没任何提示小银卷是他们卖的产品，还在授权地方留有两个选择，一方面可以选择他们产品，来申请贷款，还一个选项才是我们填写勇来收款的银行卡，我自然选择勾选，第二天我从别处借来几百生活费，存放在银行卡里，过了十几分钟，突然就信息发来钱无缘无故被扣走299元，时间是16点10分，上海造艺和上海携趣信息科技盗刷我银行卡，胡乱扣费，简直让我无法接受，没有信息没有通知没有密码你们都能盗走我银行卡的</t>
  </si>
  <si>
    <t>2019/10/11 17:08:58</t>
  </si>
  <si>
    <t>投诉人姜先生投诉对象深圳博民快易贷涉诉金额600元问题类型诉求类型投诉详情博民快易贷，协商不妥，发短信恐吓威胁，因为国庆原因，工资推迟到周一，发了工资立刻还上，可他们催收人员还是威胁恐吓。</t>
  </si>
  <si>
    <t>2019/10/11 17:08:55</t>
  </si>
  <si>
    <t>投诉人 赵先生        投诉对象  大连保税区亚联财小额贷款有限公司        涉诉金额  10 000 元    问题类型    诉求类型投诉详情  软暴力催收 辱骂 并且不断骚扰家人及朋友</t>
  </si>
  <si>
    <t>2019/10/11 17:08:40</t>
  </si>
  <si>
    <t>在盈盈有钱下载的协融宝，申请了一笔款项2000元，等了几个小时，打电话叫我加客服QQ办理办理放款手续，问客服什么情况也不回复，电话也打不通，登陆协融宝才发现已经显示入款成功，可是我绑定的银行卡没有收到任何款项，确还要我还2658元，严重怀疑属于欺诈行为，请求平台能够帮我处理。</t>
  </si>
  <si>
    <t>2019/10/11 17:08:29</t>
  </si>
  <si>
    <t>捷信金融平台性质恶劣，雇佣第三方上门到乡里去，恐吓说跟书记一起找到乡里所在地去催收。</t>
  </si>
  <si>
    <t>2019/10/11 17:08:18</t>
  </si>
  <si>
    <t>10月11日，价格已变成259元，差价仍为110元，跟客服沟通后，客服表示活动差价不能补偿。</t>
  </si>
  <si>
    <t>2019/10/11 17:07:43</t>
  </si>
  <si>
    <t>投诉人孙女士投诉对象花花乐涉诉金额1500元问题类型诉求类型投诉详情今天有电话打过来，是手机号码，说我名字问是不是本人，说我在花花乐平台借款1500元让我还款马上，但是我从来没在这个平台上借过钱，对方还说我的出生年月，我说报警，对方说不还款报警是吧，那我就弄死你。</t>
  </si>
  <si>
    <t>2019/10/11 17:07:26</t>
  </si>
  <si>
    <t>因为真的资金周转困难导致逾期11天，15号才发工资，刚刚催收人员打电话说今天不还要寄律师函还要联系通讯录好友，本人已表明有还款意愿，希望能够协商，不要骚扰通讯录好友！。</t>
  </si>
  <si>
    <t>2019/10/11 17:07:01</t>
  </si>
  <si>
    <t>淘集集有欺诈和挪用资金，首先，行为人实施了欺诈行为，欺诈行为从形式上说包括两类，一是虚构事实，二是隐瞒真相，二者从实质上说都是使被害人陷入错误认识的行为，欺诈行为的内容是，在具体状况下，使被害人产生错误认识，并作出行为人所希望的财产处分，因此不管是虚构、隐瞒过去的事实，还是当下的事实与将来的事实，只要具有上述内容的，就是一种欺诈行为，目前淘集集私自扣留商家货款，迟迟不给提现，去询问催促，一直都是说正常，财务在加紧提现中，实际你们根本没有给我们提现，这是一种欺骗，聊天记录也保存了，现导致积压资金越来越多，直到</t>
  </si>
  <si>
    <t>2019/10/11 17:06:41</t>
  </si>
  <si>
    <t>本人因自己的原因困难，所以导致逾期，现在该平台已经存在暴力催收了，不停的给我打电话骚扰，而且还发信息来威胁恐吓，之前已经做过一次分期，之前一直给我家人打电话骚扰，已经对我的生活造成影响。</t>
  </si>
  <si>
    <t>2019/10/11 17:06:24</t>
  </si>
  <si>
    <t>投诉人 徐浩        投诉对象  同花顺        涉诉金额  0 元    问题类型    诉求类型投诉详情  一个叫同花顺的网络赌博平台，说要拉人进群</t>
  </si>
  <si>
    <t>2019/10/11 17:06:17</t>
  </si>
  <si>
    <t>移动无缘无故把我短信功能关停了，打客服也没用、要不是用了这么多年，我支付宝微信QQ。</t>
  </si>
  <si>
    <t>2019/10/11 17:06:14</t>
  </si>
  <si>
    <t>投诉人林华健先生投诉对象货拉拉涉诉金额1000元问题类型诉求类型投诉详情之前我去货拉拉广州分部去退押金，工作人员拿我身份证登记以后说14个工作日退回，我等了都好几个月了，我给广东总公司打电话说退押金的问题，总公司说没有退押金这回事，他那边说如果退还得再去分公司去一趟，而且无法提供广州货拉拉公司电话！我人在老家，过不去，这一切都是广州货拉拉工作人员失误导致，望解决！！！。</t>
  </si>
  <si>
    <t>2019/10/11 17:06:03</t>
  </si>
  <si>
    <t>钱伴公司年利率高达59.34％，超过国家法定的年利率35%之上，逾期一天立即拨打通讯录所有来电联系人以及户口所在地的村委会，事后有钱伴工作人员微信联系我还本金，期间恶意侮辱，联系我只说是钱伴工作人员并没有表明工作编号，催款人员知道我的详细信息，还有借款所签的担保公司本人完全不知情，担保费用如此之高，现向钱伴讨个说法。</t>
  </si>
  <si>
    <t>2019/10/11 17:05:58</t>
  </si>
  <si>
    <t>我已经投诉了好几次了，但是百联优力一直以商户失联为借口不给于先行赔付，因为国家有规定，不能给非法赌博平台提供支付渠道，但是百联优力却一直在违法行为，我希望聚投诉能帮我把联系百联优力追回我的损失，因为现在他们已经不管不顾，在继续我就直接投诉到北京人行营管部了。</t>
  </si>
  <si>
    <t>2019/10/11 17:05:47</t>
  </si>
  <si>
    <t>朋友在造艺旗下“百事普惠”app里申请借款，注册进去还没借款银行卡被扣取了299元，我给平台客服致电想要退回299元，被客服告知无法退回，说这是评估信用报告的服务费。</t>
  </si>
  <si>
    <t>2019/10/11 17:05:35</t>
  </si>
  <si>
    <t>本人在平安陆金所借款40000元，实际到账38800元，分36期，每期1700，总共要还61200元，多出22400元的费用，其中利息5360元，保险费6600元，服务费9216元，可当时并没有跟我说明有这两项高额的保险费和服务费用！！我目前已经偿还了27期45900元，超出本金7100元，由于遇到生意失败，也没有能力偿还剩余高额费用，现要求平安普惠重新计算利息，给出结清证明！。</t>
  </si>
  <si>
    <t>2019/10/11 17:05:00</t>
  </si>
  <si>
    <t>投诉人邓女士投诉对象淘手游涉诉金额362元问题类型诉求类型投诉详情已经11天了，客服仍然是没有处理的，他们说了这个订单会在11个工作日内，但是完全没有任何消息，现在已经过了11天了，他们的效率真的是有问题，还是故意不处理。</t>
  </si>
  <si>
    <t>2019/10/11 17:04:50</t>
  </si>
  <si>
    <t>开始在水象分期借款数次，每次水象分期都收取了大额砍头息。</t>
  </si>
  <si>
    <t>2019/10/11 17:04:40</t>
  </si>
  <si>
    <t>阳光出行乱扣钱，一个单子8月份的到了九月份来扣我的钱，当时车辆出现了故障无法为乘客服务，乘客电话也表示理解而并未投诉，到了九月份阳光出行直接从我账号内扣钱500元，我跟客服电话解释，申诉，客服态度也极为恶劣，申诉多次未果。</t>
  </si>
  <si>
    <t>2019/10/11 17:04:20</t>
  </si>
  <si>
    <t>非法合同，骗取老百姓利息，非法让老本性购买保险合同，要求法律制裁，，这种平台不应该存在，现在这个社会居然还有这种毒瘤，。</t>
  </si>
  <si>
    <t>2019/10/11 17:03:59</t>
  </si>
  <si>
    <t>本人于2017年3月26日前往尚德教育机构成都锦江分校区了解成人自考，尚德教育机构工作人员谎称政策改革自考报名已经截止了，再不报名以后就无法报名了，补录名额团购优惠，当时因为是要想要小学教师资格证，所以要先升大专学历，身上钱也不多，当天没打算报名，就是因为工作人员说已经截止不能报名了，我先全款4980元报名了尚德教育机构的汉语言文学移动1对1私教班，工作人员一再给我说之后就不能报名了，让我把小学教师资格证也报名了，但是因为钱不够，在工作人员的劝说下，我首付300元然后工作人员使用本人信息在百度钱包，分12期</t>
  </si>
  <si>
    <t>2019/10/11 17:03:50</t>
  </si>
  <si>
    <t>拍拍贷通过第三方盗取本人工作信息，通过多种途径邮件，打电话到本人工作的固话，短信进行催收，其行为造成严重影响；本人本金借1500元，至今利息加本金已超过三千元，其催收行为及其利率已属于无视国家监管；请拍拍贷停止所有骚扰行为，否则本人定必追究其法律责任。</t>
  </si>
  <si>
    <t>2019/10/11 17:03:49</t>
  </si>
  <si>
    <t>朋友在及贷上平台借款逾期后催收人员暴力催收，爆我朋友通讯录，电话威胁恐吓请严查。</t>
  </si>
  <si>
    <t>2019/10/11 17:03:03</t>
  </si>
  <si>
    <t>闪银超过国家利率，变相强制购买商品，套路贷。</t>
  </si>
  <si>
    <t>2019/10/11 17:03:00</t>
  </si>
  <si>
    <t>昨天在聚投诉上投诉，闪银客服有打电话给我，但是我表示我在忙，后续客服又打电话给我但是那个时候我还是在忙，我也很好生的和客服说我现在在忙，而且我和客服说的意思我一直觉得她不明白我在说什么，希望闪银再次给我回电。</t>
  </si>
  <si>
    <t>2019/10/11 17:02:47</t>
  </si>
  <si>
    <t>本人袁小清，四川宜宾人，因学历不高，想提升学历，在上网过程中了解了恒企公司，递交联系方式后，恒企客服与本人联系，对本人虚假宣传:读中专学历，易通过，每天花点儿时间便可，遂在微信以及qq上咨询，工作人员蛊惑本人，然后在无证视协议条款的情况下，签署了霸王条款，，本人在四川宜宾，而恒企工作人员却把本人的校区安排在了云南昆明，无法前往校区退款，本人未参加过任何考试，现因自身原因，以及工作环境无法，继续履行本人的契约精神，提出退学，以及中止贷款协议，在与公司人员提出退款解除协议是，恒企推三阻四，不给本人正面回应！退出</t>
  </si>
  <si>
    <t>2019/10/11 17:02:21</t>
  </si>
  <si>
    <t>捷信金融不停地换各种电话号码拨打过来让我在捷信货款，严重影响我的正常生活，希望以后不要再打电话过来。</t>
  </si>
  <si>
    <t>2019/10/11 17:02:05</t>
  </si>
  <si>
    <t>投诉人陈沛钿投诉对象聚福钱包涉诉金额299元问题类型诉求类型投诉详情之前扣款的短信不见了。</t>
  </si>
  <si>
    <t>2019/10/11 17:01:50</t>
  </si>
  <si>
    <t>投诉人王隆剑先生投诉对象浪里白条涉诉金额2000元问题类型诉求类型投诉详情已经无法正常的工作，生活，已经向单位提交了离职报告，高额的砍头息，本来就缺钱周转，越滚越大的账面空白，已经无力填补空缺了，彩虹白条：https://7w2.cn/hav9入口链接；浪里白条：http://www.62bd0w.cn/channel/2019101114495051656501入口链接，常用的催收手段，都在我这里用了，网贷不能碰，碰了就没有回头路。</t>
  </si>
  <si>
    <t>2019/10/11 17:01:24</t>
  </si>
  <si>
    <t>要求退款，并给我一个合理解释，并且给我赔偿，这个态度真的是太差了。</t>
  </si>
  <si>
    <t>2019/10/11 17:01:21</t>
  </si>
  <si>
    <t>借款2000,合同2800.阴阳合同，贷款3个月，共还款3000多，综合利率远超国家标准。</t>
  </si>
  <si>
    <t>2019/10/11 17:01:02</t>
  </si>
  <si>
    <t>2018年11月申请退款，至今仍没有退回，客服电话也打不通。</t>
  </si>
  <si>
    <t>2019/10/11 17:00:58</t>
  </si>
  <si>
    <t>投诉人 丁先生        投诉对象  小当家        涉诉金额  1 080 元    问题类型    诉求类型投诉详情  联系不到客服 网站也无法上 无法还款！希望小当家给个说法</t>
  </si>
  <si>
    <t>2019/10/11 17:00:57</t>
  </si>
  <si>
    <t>昨天夜里9点多，我预约了一个滴滴17块钱左右的订单，十多公里，44分收到滴滴司机接单，22:00准时到达接我，联系司机发送短消息，那边一直没回信息，立即联系司机，但没联系到，司机也没给我打电话，感觉他定位也在动，没敢继续打电话，害怕影响他开车来接我，，我在原地等了整整一个小时多5分钟，也没看到司机！，而且看到定位上越来越远了，这是不是被欺骗了，客服回应就说会对司机的账号进行影响，有什么用。</t>
  </si>
  <si>
    <t>2019/10/11 17:00:53</t>
  </si>
  <si>
    <t>班主任不能尽职尽责，学起来心累，不想再学此专业。</t>
  </si>
  <si>
    <t>9月29日孩子打开花椒直播看直播，主播122541618诱骗15岁孩子送礼物充值，充值1598元，花椒直播只承认退款1206元，剩下392元，要主播122541618退还的，她不拒绝退款。</t>
  </si>
  <si>
    <t>2019/10/11 17:00:39</t>
  </si>
  <si>
    <t>马上金融恶意加担保费，利息高过高利贷，请有关部门严查。</t>
  </si>
  <si>
    <t>2019/10/11 17:00:34</t>
  </si>
  <si>
    <t>现在我已还了本金和合理利息，希望聚投诉帮忙处理。</t>
  </si>
  <si>
    <t>2019/10/11 17:00:27</t>
  </si>
  <si>
    <t>包银消费金融包你贷开始银行打电话来说逾期一天了，我跟他说我一周之内会全部结清，目前公司周转资金还未到位，逾期后果我可以承担，你给我直接算逾期罚金就可以，我都能接受，况且征信一直没有逾期，信用状况良好，目前只是周转困难，并不是要拖很久不还，但是他们每天打几个电话催我还款，然后还爆我通讯录，打电话给我家人和朋友，还威胁我，我都说了我一周之内会全部结清掉，催收员就是不听，态度还很恶劣，我要求立即停止对我以及家人朋友的骚扰，并向我道歉，必须是态度恶劣的那位催收员向我道歉。</t>
  </si>
  <si>
    <t>2019/10/11 16:59:59</t>
  </si>
  <si>
    <t>投诉人 张先生        投诉对象  支付宝        涉诉金额  2 900 元    问题类型    诉求类型投诉详情  凭什么说我违规。乱搞。而且说我违规没关系。凭什么不让我给我申诉入口。不给我申诉入口就算了。打电话过去说。给我发申诉入口。结果刚刚挂电话。申诉入口发过来了。点进去还是没有。在打电话的时候已经没有了。这是我的财产你凭什么东结。而且打死联系不到客服。每次叫我按照提示进去申诉。申诉的地方根本就没有上传图片的入口。故意搞的。而且有时候进去说我的账</t>
  </si>
  <si>
    <t>2019/10/11 16:59:38</t>
  </si>
  <si>
    <t>11月10日，在点点平台借款15000元，平台在不知情的情况下搭售众安保险，保险费用高达2500元左右，已经还剩最后一期，催收人员言语威胁，提前打电话已经投诉过该问题，一直不给处理，现以逾期，让众安保险公司全额退保，点点平台也处理。</t>
  </si>
  <si>
    <t>2019/10/11 16:58:51</t>
  </si>
  <si>
    <t>在月光侠分期借款1800元三期还款2800，利息都去了1000元，变相收取砍头息！希望有关部门处理！退回违规收取的高利息担保费！。</t>
  </si>
  <si>
    <t>2019/10/11 16:58:39</t>
  </si>
  <si>
    <t>投诉人 孔先生        投诉对象  微粒贷        涉诉金额  70 000 元    问题类型    诉求类型投诉详情  我微粒贷逾期60天 我表明我有还款意愿 并且已经还款一部分 现在逾期30天 和微粒贷人员协商自己暂时没有那么多钱 第三方公司还是说要上门 家里有老人 怕有影响 希望可以协商</t>
  </si>
  <si>
    <t>2019/10/11 16:58:23</t>
  </si>
  <si>
    <t>，第三方催收还威胁要让我村里亲戚朋友都知道这事。</t>
  </si>
  <si>
    <t>2019/10/11 16:58:04</t>
  </si>
  <si>
    <t>滴滴出行在无告知情况下扣掉血汗钱330元，必须要处理，希望在这里能得到公平公正的待遇。</t>
  </si>
  <si>
    <t>2019/10/11 16:58:02</t>
  </si>
  <si>
    <t>高利息，借2300十天利息五百多，逾期5天就爆通讯录骚扰我家人朋友，没说不还他们，就是晚几天还，现在骚扰我家人让我家人都骂我，不让我回家，我现在有钱还了，骚扰我家人怎么算。</t>
  </si>
  <si>
    <t>2019/10/11 16:57:56</t>
  </si>
  <si>
    <t>上海造艺，百事普惠，强制收取我299元评估费用，在不知情的情况下从个人银行帐户中扣款299元，并且多次与该公司客服人员联系，没有表示可以退款，查询了很多投诉信息，该公司有涉嫌欺骗、套取公民信息擅自扣款个人帐户金额的行为，希望聚投诉可以重视起来。</t>
  </si>
  <si>
    <t>2019/10/11 16:57:51</t>
  </si>
  <si>
    <t>26日没有收到钱方好近的打款,但是已经显示划款成功,，问客服说需要申诉,提供的证明我都已经提供了,。</t>
  </si>
  <si>
    <t>2019/10/11 16:57:31</t>
  </si>
  <si>
    <t>投诉人 王高峰        投诉对象  来分期        涉诉金额  600 元    问题类型    诉求类型投诉详情  还款日当天 来分期公司进行疯狂电话轰炸 严重影响了我的个人生活 因为没有逾期 想问问来分期什么意思 来分期工作人员说完就挂断 不给机会问明白</t>
  </si>
  <si>
    <t>2019/10/11 16:57:25</t>
  </si>
  <si>
    <t>投诉人雷海刚投诉对象友缘网,附近约爱,友缘在线涉诉金额198元问题类型诉求类型投诉详情在最右上不小心点到下载，然后安装了一个叫附近约爱的软件，点进去有个提示点了一下就扣了198元，在我不知情的情况下扣了我198元，。</t>
  </si>
  <si>
    <t>2019/10/11 16:56:59</t>
  </si>
  <si>
    <t>投诉人王先生投诉对象招联金融涉诉金额10000元问题类型诉求类型投诉详情公司一直接到招联的骚扰电话，我上班才一个多月，招联金融就通过特殊的手段找到了我公司的电话！严重影响了我的工作，我现在无依无靠，就只能通过上班挣钱！借钱还钱天经地义，我没有想逃避责任，我想我上班就可以还清债务！生活不易！速求借款平台不要再骚扰公司了，我不会差平台一分钱的！想与平台协商解决。</t>
  </si>
  <si>
    <t>2019/10/11 16:56:49</t>
  </si>
  <si>
    <t>投诉人刘女士投诉对象小熊应急,卡神涉诉金额50元问题类型诉求类型投诉详情未能正常放款，联系不到客服电话退不了前期费用。</t>
  </si>
  <si>
    <t>2019/10/11 16:56:21</t>
  </si>
  <si>
    <t>本人在轻周转芒果筹借款多次，借款2100到账1400多，高利贷砍头息逾期费用高，已还清一期，现已无法还清深受高利贷伤害，请国家有关部门帮助，经查证，芒果筹平台公司由广东瑞利信息咨询服务有限公司改为广东惠君投资管理有限公司进行违法放贷，公司邮箱gs******3@163.com公司官方客服电话020-29842621。</t>
  </si>
  <si>
    <t>2019/10/11 16:55:37</t>
  </si>
  <si>
    <t>投诉人敦女士投诉对象微粒贷涉诉金额30000元问题类型诉求类型投诉详情这个月逾期了两天但是还款了，在7号突然骚扰我的家人，说我欠钱不还当老赖，并且进行了人身攻击和辱骂，我打客服电话反映情况，客服打不进去，8号接到催收电话威胁我不还款就要打到我单位，打给家人，并进行上门催收，告诉我现在必须一次性结清所有的欠款，我分期20期每月还3千块钱，利息是高了多少了，还扯什么银行终止了合同！！我觉得收费很不合理我也不是不还款在我逾期还款之后联系我的家人我觉得很不合情合理，居然现在还要让我一次性还款，每天电话都是10几个未</t>
  </si>
  <si>
    <t>2019/10/11 16:55:29</t>
  </si>
  <si>
    <t>本人与6月25日在现金巴士平台上借款1000元，分三个月还款，现已归还两期，胜于最后一期本金327元未还，到期后未收到短信提示，今天催收打电话要求还500元，逾期一天按10元计算。</t>
  </si>
  <si>
    <t>2019/10/11 16:55:15</t>
  </si>
  <si>
    <t>美团外卖商家侮辱消费者……商品问题让美团商家来取货，商家不来取货还侮辱消费者。</t>
  </si>
  <si>
    <t>2019/10/11 16:55:12</t>
  </si>
  <si>
    <t>严重黑社会行为，蛮不讲理，骚扰，高利贷！！。</t>
  </si>
  <si>
    <t>2019/10/11 16:55:08</t>
  </si>
  <si>
    <t>本人今年因资金困难，加上自己怀孕期，没有工作收入，一开始逾期主动打电话跟他们沟通过，暂时还不起，这个账我会还，一开始还几百几百的还，后来发现他们逾期利息一天天递增，后来爆我通讯录，给好多身边的人发信息打电话，真是气人！一天打几十个电话，现在逾期利息变成几千块，我是没辙了！望有关部门管管吧！如果有钱一定会还，请他们停止骚扰。</t>
  </si>
  <si>
    <t>2019/10/11 16:55:03</t>
  </si>
  <si>
    <t>本人在时光分期借款6000，分12期还款，利息高达2200元，现在因父亲心脏病住院需要协商处理，减免利息。</t>
  </si>
  <si>
    <t>2019/10/11 16:54:51</t>
  </si>
  <si>
    <t>买卖乐购进行暴利催收，并以恐吓、爆通讯录的方式进行暴利催收，要求买卖乐购停止对通讯里人员进行骚扰，并且对已经骚扰的人员进行道歉。</t>
  </si>
  <si>
    <t>投诉人 薛先生        投诉对象  小米钱包（高炮平台）        涉诉金额  1 800 元    问题类型    诉求类型投诉详情  催收工作人员恐吓，辱骂。未经本人允许，恐吓辱骂亲朋好友。</t>
  </si>
  <si>
    <t>2019/10/11 16:54:11</t>
  </si>
  <si>
    <t>当时办卡的时候可以说用卡里的钱买机票，现在拿出来使用，说是，不可以用，每次就只能用百分之三。</t>
  </si>
  <si>
    <t>2019/10/11 16:54:09</t>
  </si>
  <si>
    <t>该催收人员在能联系到本人的情况下，多次致电联系本人家人，谎称了解本人情况，多次告知该催收人员有事直接联系本人，还款态度积极，并要求20号还款，该催收人员执意联系本人家人。</t>
  </si>
  <si>
    <t>2019/10/11 16:53:51</t>
  </si>
  <si>
    <t>马上金融贷的安逸花，一共贷款是4800元，分12期每期还520元，利息高出国家规定%24，因为安逸可以循环用，我查了账单可是账单不详细，安逸花有逸逃避账单，我查的银行流水，我已经还了6444多了，已经超出安逸花对我6200元的额度了，因为逾期查不到额度，我看账单还完还6200多，这是套路贷我接受不了，因为今年外贸不景气我现在已经下岗了，没有能力偿还这么高的利息，我只会偿还国家允许的利息，。</t>
  </si>
  <si>
    <t>2019/10/11 16:53:31</t>
  </si>
  <si>
    <t>投诉人黄先生投诉对象国美涉诉金额12050元问题类型诉求类型投诉详情今年4，5月份，通过支付宝支付给国美平台约12050元，是赌博平台代充值的，现在查看了支付宝账单，想通过国美追回来这些订单的钱，但是国美给的理由就是虚拟充值不能追回来，我问他们是谁收的钱，也不能告诉我，其实就是国美博彩平台收钱牟利。</t>
  </si>
  <si>
    <t>2019/10/11 16:53:25</t>
  </si>
  <si>
    <t>转转损坏卖家手机，不提供开箱视频证据，态度恶劣。</t>
  </si>
  <si>
    <t>2019/10/11 16:53:15</t>
  </si>
  <si>
    <t>本人生意失败，微粒贷一时还不上，但他们不肯协商还款，不停打电话去本人工作的地方骚扰，严重影响了正常的工作。</t>
  </si>
  <si>
    <t>2019/10/11 16:53:02</t>
  </si>
  <si>
    <t>利息过高，严重骚扰通讯录联系人同一个联系人一小时打5次。</t>
  </si>
  <si>
    <t>2019/10/11 16:53:01</t>
  </si>
  <si>
    <t>中信信用卡圆梦金、新快线超额收取手续费、违约金，几个月就产生一万多的违约金，提前一次性结清也要收取手续费。</t>
  </si>
  <si>
    <t>2019/10/11 16:52:57</t>
  </si>
  <si>
    <t>特殊困难时期，老母亲也有心脏病，经不起你们折腾！。</t>
  </si>
  <si>
    <t>2019/10/11 16:52:42</t>
  </si>
  <si>
    <t>借款两笔共计30800，还款高达39181.16，合同中注明贷款利率为12%，阴阳合同，实际利率为27.2%，暴力催收让我无法正常生活，催收人员不予协商现在一直在打电话给我联系人让我的名誉受损收入损失。</t>
  </si>
  <si>
    <t>2019/10/11 16:52:40</t>
  </si>
  <si>
    <t>投诉人 杨先生        投诉对象  花月钱包        涉诉金额  1 500 元    问题类型    诉求类型投诉详情  存在砍头息 协调不成恐吓 侮辱本人 泄露个人信息</t>
  </si>
  <si>
    <t>2019/10/11 16:52:39</t>
  </si>
  <si>
    <t>投诉人 韩先生        投诉对象  钱站        涉诉金额  5 250 元    问题类型    诉求类型投诉详情  我在钱站借了一笔3000元的借款 合同上居然写着5250元 每期要还1780 严重超出国家利率 希望调整利率</t>
  </si>
  <si>
    <t>2019/10/11 16:52:15</t>
  </si>
  <si>
    <t>借款2000元&amp;nbsp;30天期限会员500元&amp;nbsp;到期还款2060元&amp;nbsp;砍头息严重&amp;nbsp;希望协商减免部分还款。</t>
  </si>
  <si>
    <t>2019/10/11 16:52:13</t>
  </si>
  <si>
    <t>已经还了一万一，还要我还八千多，请问利息合法吗，你们群发我照片的事情怎么算，伪造的立案通知书呢，我都有证据，请工作人员停止对我家人的骚扰，我通知法律途径进来还款。</t>
  </si>
  <si>
    <t>2019/10/11 16:52:10</t>
  </si>
  <si>
    <t>合同写借款1400实际到账1000，有400砍头息，每月还505，借款三期，年利率严重超过标准，已经接近三百，目前我1000元的本金利息已经还完，还有500多不知从何而来，严重的砍头息，高利贷，是我借钱那会有急用，但这不是你们作为高利贷，砍头息等违法分子的圈钱借口。</t>
  </si>
  <si>
    <t>2019/10/11 16:52:08</t>
  </si>
  <si>
    <t>中腾信催收人员打朋友家人电话，已经协商了还款，还是说就算是还了也要打电话骂朋友家人，态度极其恶劣，而且贷款利息高。</t>
  </si>
  <si>
    <t>2019/10/11 16:51:56</t>
  </si>
  <si>
    <t>自9月11日开始优惠券无法领取，一开始说账号没有，持续跟进一个月的处理情况，今天再次打客户被告知是风控，我想知道一个月前不能领取的时候为什么没有查出来是风控，还说我用手机刷优惠券，你们这是欺骗消费者。</t>
  </si>
  <si>
    <t>2019/10/11 16:51:38</t>
  </si>
  <si>
    <t>京东客服说不给发货，要求取消订单，说给10元补偿，本人不同意。</t>
  </si>
  <si>
    <t>2019/10/11 16:51:17</t>
  </si>
  <si>
    <t>快递包裹物流是苹果印字机，给苹果印字用的，客户赶着国庆前印苹果卖，快递23号到达客户附近网点以后一直没有派送，给顺丰企业总部投诉很多次无果，客户自己跑去网点找了几次都没找到这件快递，最后到28号顺丰快递才给这个快递找出来，然后才给客户送过去，客户说要退货了，然后我方联系客户说能不能不要退货，因为这个快递找到了，我方提出给客户答应赠送3个印版作为补偿才勉强答应不给我们退货，所以这3个印刷版给客户的补偿损失需要顺丰快递承担，180元一张印刷版，3张共计540元，如果客户之前要是退货，损失就更大，里面的印刷材料都</t>
  </si>
  <si>
    <t>2019/10/11 16:51:10</t>
  </si>
  <si>
    <t>自从办了信用卡之后频繁的有客服和业务员联系让我办理账单分期说会提额分期还款利息低，当时也不懂这些去年听信一个业务员的话就办理了分期结果发现每个月利息高达200-300无奈不敢逾期只能月月还款用卡两三年利息高达三四千。</t>
  </si>
  <si>
    <t>2019/10/11 16:50:29</t>
  </si>
  <si>
    <t>10月11日，仍然没有收到退款</t>
  </si>
  <si>
    <t>2019/10/11 16:50:19</t>
  </si>
  <si>
    <t>我要投诉三方支付公司为违规平台开通资金充值通道，本人被网页上的该平台的虚假广告诱惑，进入该平台注册账号，本来本人对这个平台还是有些疑虑的，但是看到有这么多三方支付公司给这个平台开通充值通道，下意识的就以为该平台是正规的，结果被该平台牢牢的套住，在之后的一段时间里我陆陆续续亏损了巨额钱款，直到家人制止，朋友也跟我说这种平台是违规的，国家早就禁止这种平台了，我多方咨询后，终于醒悟了过来，可如果不是这些三方支付公司都和这个违规平台有合作，我也不会这么深信不疑，我找到这些三方支付公司投诉的时候，他们也是对我敷衍了事</t>
  </si>
  <si>
    <t>2019/10/11 16:50:09</t>
  </si>
  <si>
    <t>不知道为什么扣了296元，我的卡密码被盗，要求退款并解释。</t>
  </si>
  <si>
    <t>2019/10/11 16:49:58</t>
  </si>
  <si>
    <t>造艺科技在用户不知情的情况下直接划走银行卡中的299元，找客服说是信用评估费用，但是软件的界面并没有明确标出评估费用，还不退款。</t>
  </si>
  <si>
    <t>2019/10/11 16:49:55</t>
  </si>
  <si>
    <t>捷信客服打电话说你可以在我们公司申请贷款40000元那个时候对利息本金都不了解就去办理了25000的贷款分了32期现在本金已还清还差利息，打典故协商客服能不能减免部分，高额利息实在承担不起，客服态度极差侮辱说还不起你当初借什么，实在可恶。</t>
  </si>
  <si>
    <t>2019/10/11 16:49:52</t>
  </si>
  <si>
    <t>钱站高利贷收取砍头息，两千块钱一个月需要还3750，超过国家标准，而且催收部门恶意骚扰家人朋友，已经造成严重影响。</t>
  </si>
  <si>
    <t>2019/10/11 16:49:46</t>
  </si>
  <si>
    <t>投诉人焦军军投诉对象尚德机构涉诉金额11760元问题类型诉求类型投诉详情2018年8月17报名了尚德机构行政管理黄金条款班，服务时间2018年8月17到2022年8月17，当时钱不够考虑期间经销售人员诱导下贷款了有钱花，当时说的不用考英语，后面才知道不考没有学位证，销售老师说每天说半个小时课程是两个多小时，客服打电话说你就是投诉到工商部门也没用也不会给你退，期间投诉很多平台没解决退费问题，恳求相关部门帮忙维权处理。</t>
  </si>
  <si>
    <t>2019/10/11 16:49:16</t>
  </si>
  <si>
    <t>我承认我欠了苏宁的钱虽然不多，我现在每个月的工资全被扣走，今天刚刚接了说是苏宁委托方的电话，说话那个口气我就觉得我已经是十恶不赦，的人，再说我还钱是给苏宁还你算干嘛的，还说加你微信说上门来，您来我欢迎我等你，再说一点我欠的是苏宁的钱跟你催收没有半毛钱关系。</t>
  </si>
  <si>
    <t>2019/10/11 16:49:00</t>
  </si>
  <si>
    <t>投诉人何先生投诉对象钱置宝涉诉金额3845元问题类型诉求类型投诉详情我在立借里的钱置宝下款借款2100元&amp;nbsp;，归还金额3067.2元，分期&amp;nbsp;32天，共4期&amp;nbsp;，每期751.8元，利息已经严重超出国家规定的标准,本人已经还款2期,共1503.6元，但从第3期开始，该app不能使用,不能还款，多次联系相关客服寻求，均联系不到，恶意导致逾期本人逾期，产生高额逾期费用，现在要求平台减免逾期费用以及利息，归还本金销帐，本人已经无力偿还高利贷,如果不依法减免并销帐,本人一定会拨打全国扫黑办电话</t>
  </si>
  <si>
    <t>2019/10/11 16:48:53</t>
  </si>
  <si>
    <t>投诉人 李女士        投诉对象  唯品会        涉诉金额  6 元    问题类型    诉求类型投诉详情  买了没几天该商品就降价了，要求对方补差价</t>
  </si>
  <si>
    <t>2019/10/11 16:48:49</t>
  </si>
  <si>
    <t>高炮，下款就扣30%砍头息，借款周期14天，要求退回不合法利息，以前是在去哪借上面有记录，现在记录全部没有了！！要求退回砍头息！！！！！。</t>
  </si>
  <si>
    <t>2019/10/11 16:48:37</t>
  </si>
  <si>
    <t>投诉人刘先生投诉对象滴滴出行涉诉金额100元问题类型诉求类型投诉详情2019年9月29日在我的滴滴出行账号中出现扣款，扣除快车司机余额100元，滴滴客服给出的解释我不认可，为什么不经过我同意就能随意扣钱，我即没有违反规定，也没有做出什么不对的事。</t>
  </si>
  <si>
    <t>2019/10/11 16:48:23</t>
  </si>
  <si>
    <t>还钱，我会还的，你们不要骚扰我家人，威吓我的方式让我还钱，谁没有个难处阿，没有难处找你们干嘛，你们催收的不要为了那所谓的一点佣金比死我，如果在这样，要求你们赔偿，。</t>
  </si>
  <si>
    <t>2019/10/11 16:48:14</t>
  </si>
  <si>
    <t>本来最后一期说好还款时间，结果天天各种冒充我同事和朋友就打电话过来骚扰我家人朋友，让我父母得病了，你觉得我要怎么做，有时候三更半夜骚扰，我在微信上有协商，结果又有人说来加我威胁。</t>
  </si>
  <si>
    <t>2019/10/11 16:48:07</t>
  </si>
  <si>
    <t>有人发短信说有账单没处理，也不知道哪里知道我的信息的，本人申明没有借过，然后微信给我app我打开后，只有一个还款金额，里面的认证自己也打不开，但显示的已经认证，绑定的银行卡也点不开，贷款记录也没有，整个app就只有一个还款的页面能动，刚才我打电话过去问他，他吼我，恐吓，他发的微信说平台名字更改，但是我问他原来平台叫什么名字，他就大吼让我去处理，现在扫黑除恶，还有这样的人。</t>
  </si>
  <si>
    <t>2019/10/11 16:47:18</t>
  </si>
  <si>
    <t>属于高利贷，侵犯个人隐私权，私自调查通讯录给亲朋好友打电话。</t>
  </si>
  <si>
    <t>2019/10/11 16:46:50</t>
  </si>
  <si>
    <t>于10.02在京东商城购买手机一部，京东对外宣传保价周期一个月。</t>
  </si>
  <si>
    <t>2019/10/11 16:46:44</t>
  </si>
  <si>
    <t>借款时要求购买黄金会员，本人并未同意，要求取消借款，取消高额砍头息。</t>
  </si>
  <si>
    <t>2019/10/11 16:46:36</t>
  </si>
  <si>
    <t>投诉人 刘文文先生        投诉对象  招联金融        涉诉金额  7 600 元    问题类型    诉求类型投诉详情  暴力催收</t>
  </si>
  <si>
    <t>2019/10/11 16:46:25</t>
  </si>
  <si>
    <t>本人与2019年1月份左右在u卡贷借款资金周转，借款9000元，分12期，每期需还11300多，共需还款13000多，利息4000多元，而且这个平台骚扰联系人，上次在协商还款一期以后，还打电话骚扰联系人，严重影响我的正常生活，还有这种高利贷平台的利率已经严重超出国家法定利率，而且客服态度相当厉害，说超没超出你不知道吗。</t>
  </si>
  <si>
    <t>2019/10/11 16:45:57</t>
  </si>
  <si>
    <t>在及贷平台贷款5000元，因为资金回笼，但是客服质量不行，我要，提前还款，客服让我一期一期按账单还，哪里来的这种规律，比银行还厉害些。</t>
  </si>
  <si>
    <t>2019/10/11 16:45:11</t>
  </si>
  <si>
    <t>暴力催收，威胁人身安全，还有信息泄露，要他们停止骚扰。</t>
  </si>
  <si>
    <t>2019/10/11 16:44:50</t>
  </si>
  <si>
    <t>本人8月份在钱站APP上申请的贷款，当时申请的是18000块钱，但是，合同上显示的23760，到账却是18000万块，而且还有服务费2568.37元，还有乙方的咨询服务费1562.48元，分了十二期，每期要换2490.01元，折合下来我要还30000多，借了两万，我要还30000多，利息这么高，比高利贷都要高，合同上写的是年化率27.1633%，希望有关部门能尽快解决这个问题，而且现在联名投诉这么多，为什么还是不见有能解决的呢，都是官方回复，一点用都没有。</t>
  </si>
  <si>
    <t>2019/10/11 16:44:44</t>
  </si>
  <si>
    <t>投诉人 杨女士        投诉对象  捷信金融        涉诉金额  10 000 元    问题类型    诉求类型投诉详情  捷信金融电话骚扰基本严重影响了日常生活。</t>
  </si>
  <si>
    <t>2019/10/11 16:44:43</t>
  </si>
  <si>
    <t>现金巴士逾期以后催收打电话威胁，让下午6点必须处理，已经表明了有还款意愿，还是不给协商，说今天不还后果自负，一直恐吓威胁我，电话我也录了音，他说什么也能听到，家里人身体也不好，不想他们被催收骚扰，只是一时间凑不出来钱，希望能够协商一下。</t>
  </si>
  <si>
    <t>2019/10/11 16:44:39</t>
  </si>
  <si>
    <t>投诉人王先生投诉对象蓝月涉诉金额1500元问题类型诉求类型投诉详情在游戏中改名没有限制，涉及敏感字眼，游戏中没有管理员。</t>
  </si>
  <si>
    <t>2019/10/11 16:44:18</t>
  </si>
  <si>
    <t>本人于2018年10月购买尚德机构行政管理专业黄金条款班，当时我只是在网上看到一个广告就被销售人员一直打电话，后来我和他们说没有钱。</t>
  </si>
  <si>
    <t>2019/10/11 16:44:07</t>
  </si>
  <si>
    <t>投诉人 雷先生        投诉对象  大道用车        涉诉金额  899 元    问题类型    诉求类型投诉详情  从去年年底开始大道用车就用不了 押金也不退 一直到现在杳无音讯</t>
  </si>
  <si>
    <t>2019/10/11 16:43:56</t>
  </si>
  <si>
    <t>侮辱，还说让我亲戚朋友都知道我是什么样的人，本来都说好了要还，还那样打我紧急联系人，威胁，说话难听，还说要告我，打我厂里，家里，户口所在地电话，催收。</t>
  </si>
  <si>
    <t>2019/10/11 16:43:00</t>
  </si>
  <si>
    <t>滴滴司机故意多绕路收取额外的车费，滴滴公司难道就不管理这样的情况吗，，明明可以几分钟到的路多绕了十几分钟，行为恶劣。</t>
  </si>
  <si>
    <t>2019/10/11 16:42:52</t>
  </si>
  <si>
    <t>欠你一钱块钱，几百块钱利息，现在资金困难，非得往死逼，十五号还上门，来吧！。</t>
  </si>
  <si>
    <t>2019/10/11 16:42:44</t>
  </si>
  <si>
    <t>本人于2019年7月1日卖了一套房子，8月27号过户给买方，当时到家了人和华夏城店店长张雪说大概15个工作日可以收齐450000按揭尾款，但直到9月27号一直收不到尾款，我到买方按揭银行查询，银行回复他们还未收到房产证，打他们公司4008121280投诉电话也是多方推脱，房子于9月10号已交付买方，但直到今天10月11日还未收到45万尾款……。</t>
  </si>
  <si>
    <t>2019/10/11 16:42:08</t>
  </si>
  <si>
    <t>因家中母亲生病，哥哥在马上消费金融借款，利息过高还不起，催收不停威胁，希望平台可以减免多余利息之还本金和国家规定的利息。</t>
  </si>
  <si>
    <t>2019/10/11 16:41:48</t>
  </si>
  <si>
    <t>投诉人王女士投诉对象小浦优客涉诉金额492元问题类型诉求类型投诉详情我个人已经不记得哪一天，或者究竟有没有注册下载过这个叫做“小浦优客”的app，突然在2019年10月9日晚19:30分收到银联短信，说什么我的报告已经生成，还扣除我296元什么报告费用，我从没有授权任何平台或个人为我出具任何形式类型的什么报告，就在我在黑猫投诉提交投诉后的2个小时，晚上9点多钟，这个小浦优客再一次私自盗刷银行卡内的296元，第二天，黑猫平台收到比平台的回复，说会有客服联系我解决，至今不再有任何消息。</t>
  </si>
  <si>
    <t>2019/10/11 16:41:42</t>
  </si>
  <si>
    <t>投诉人刘先生投诉对象58同城涉诉金额100元问题类型诉求类型投诉详情本人在2019年10月8日在58同城发布出租房源信息，58向我收取啦100的保证金，并且说下架帖子就退还保证金，到现在了还没有退款。</t>
  </si>
  <si>
    <t>2019/10/11 16:41:37</t>
  </si>
  <si>
    <t>微医保医疗险投保，故意隐瞒等待期，虚假宣传，故意不告诉投保人有等待期，等我2019年10月9日理赔的时候，以等待期为由，拒绝理赔。</t>
  </si>
  <si>
    <t>2019/10/11 16:41:25</t>
  </si>
  <si>
    <t>第二天不需要了借款了，又在我不知情的情况下自动放款了，跟客服联系不处理。</t>
  </si>
  <si>
    <t>2019/10/11 16:41:14</t>
  </si>
  <si>
    <t>投诉人余女士投诉对象国美易卡涉诉金额9900元问题类型诉求类型投诉详情在国内易卡5月10号借了一万，就让催收第三方爆我的通讯录，结果今天打电话客服。</t>
  </si>
  <si>
    <t>2019/10/11 16:40:51</t>
  </si>
  <si>
    <t>投诉人张吉东投诉对象邮储银行涉诉金额7000元问题类型诉求类型投诉详情客服打电话，说完给父母及爱人孩子打电话，父母本身就快70了，还有心脏病，我告诉他们直接找我就行，我电话24小时开机，不存在不接电话，如果有我会第一时间给回话，他们不依不饶，非要给父母打电话，我说打可以，万一出现任何后果，让他们承担，，一个女的，跟我一顿喊，说什么银行内部流程，这回没录音，但录音银行单方面肯定有，下回肯定录音，目的就是不让他们给父母打电话，万一犯心脏病了怎么办。</t>
  </si>
  <si>
    <t>2019/10/11 16:40:38</t>
  </si>
  <si>
    <t>投诉人王先生投诉对象神灯小贷涉诉金额1000元问题类型诉求类型投诉详情本人在神灯小贷借款1000元分为12个月每月还款100元已还6期，因个人原因第7期已逾期，目前催收人员用短信轰炸，电话骚扰，侮辱辱骂等方式在恶意骚扰我的亲朋好友，目前还款账单要求还款800元，单罚息就要200元，请问就这样怎么让人处理得了。</t>
  </si>
  <si>
    <t>2019/10/11 16:40:31</t>
  </si>
  <si>
    <t>投诉人李先生投诉对象一下科技有限公司,炫贵一下智能有限公司涉诉金额30000元问题类型诉求类型投诉详情2018年一下科技有限公司以发行贵族，方式在社会上获取钱财，并承诺持有时间满一年按一比五比例兑换，实时交易，回购！持有量满300枚，公司给缴纳五险，至今没有履行承诺！2019年6月底，公司公告股分配完毕，开放交易，2019年9月公司毁约说按投资金额的十分之一回购！至今未开放全面实时交易！。</t>
  </si>
  <si>
    <t>2019/10/11 16:40:19</t>
  </si>
  <si>
    <t>投诉人 刘宇尘        投诉对象  及贷        涉诉金额  1 069 元    问题类型    诉求类型投诉详情  在及贷借款11000元，分期12个月。强制购买课程，费用1609.5元。申请退还剩余的804元课程费用</t>
  </si>
  <si>
    <t>2019/10/11 16:40:00</t>
  </si>
  <si>
    <t>投诉人吴先生投诉对象新意花涉诉金额4900元问题类型诉求类型投诉详情本人因资金周转在信用管家上下载新意花小木钱包，前后一共借了两笔，第一笔2100第二笔2800，每笔一共四期，一个月还清，2100的需要还3000多，2800需要还4100，到还款的时候9月19号新意花app苹果验证失效，打不开app，上网搜的客服电话4008336200一直忙打不通，导致逾期，一直到今天有自称小木钱包工作人员联系我还款，重新下载软件，我看见有高额逾期费，我问他们逾期费怎么算，说只减免60%，因为他们公司的问题导致高额逾期费，</t>
  </si>
  <si>
    <t>2019/10/11 16:39:42</t>
  </si>
  <si>
    <t>借款前工作人员没说过这事，借款后才知道，这样变相收费不合国家规定的，请求造艺公司给个说法。</t>
  </si>
  <si>
    <t>2019/10/11 16:39:40</t>
  </si>
  <si>
    <t>上海风璇数据科技有限公司趣花钱平台以199元购买会员下款两次扣款，以拒就陪欺诈误导消费者，希望聚投诉平台能给与曝光免得更多人上当受骗，退还被骗取的会员费。</t>
  </si>
  <si>
    <t>2019/10/11 16:39:32</t>
  </si>
  <si>
    <t>信用管家神马借借了2625，三期还了2688，一个月已经还清本金还多加了几十块，还不知足，还想着要第四期的896的砍头息，第四期目前已经逾期，协商联系不到客服，现在催收狂轰滥炸联系人，客服联系不上，利息跟逾期费超级高到离谱，要求客服停止催收联系人，协商销账，。</t>
  </si>
  <si>
    <t>2019/10/11 16:39:18</t>
  </si>
  <si>
    <t>下载的来分期APP注册认证后给了30800的额度，在查看期间不小心点了我要贷款后就放款了，一共三笔放款，都是来自不同的金融机构，一笔10000元和一笔4900元是分12期还款，还有一笔是15900元是分24期还款，这些都没有提示，而且也没有输入交易密码环节，就是点击然后就直接放款了，而且最后一笔是定期贷款不可以提前还款，这几家贷款利息也是比较高的，利息是提前扣完了算的还款金额，就是借一天还也是按照12期和24期算的，不知道这样的操作算不算违法，希望得到解决。</t>
  </si>
  <si>
    <t>2019/10/11 16:39:16</t>
  </si>
  <si>
    <t>哼哼的催收在电话中辱骂本人！还骚扰本人通讯录中的朋友！并伪造人民法院判决！。</t>
  </si>
  <si>
    <t>2019/10/11 16:39:10</t>
  </si>
  <si>
    <t>你们的优化，就好了两天，我觉得够了，你们觉得两天就多了吧。</t>
  </si>
  <si>
    <t>2019/10/11 16:39:03</t>
  </si>
  <si>
    <t>23:45:42，本人在2019年8月20日在鑫时贷借款3000，经畅捷支付到账2100，砍头息900元，期限7天，到期展期一次910.5元，因为自己个人原因，到2019年10月10日已经展期8次，中间有杭州市民卡和海南普惠代扣几次实际已经支付7284元，本人已无力偿还高额利息贷款，要求平台给与销账。</t>
  </si>
  <si>
    <t>2019/10/11 16:38:49</t>
  </si>
  <si>
    <t>投诉人 王先生        投诉对象  快闪卡贷        涉诉金额  10 000 元    问题类型    诉求类型投诉详情  电话骚扰家人朋友 并对我朋友说交友需谨慎 我就不明白了 我欠你们公司的钱跟我交什么朋友有什么关系</t>
  </si>
  <si>
    <t>2019/10/11 16:38:21</t>
  </si>
  <si>
    <t>投诉人 陆女士        投诉对象  钱站,华夏银行        涉诉金额  3 元    问题类型    诉求类型投诉详情  借八千，写一万。还一万二。借了三笔，都是阴阳合同高利贷。</t>
  </si>
  <si>
    <t>2019/10/11 16:37:48</t>
  </si>
  <si>
    <t>以前跟你们沟通你们挺牛逼的怎么都不行，不能协商，现在爆我通信录了，害得我老婆天天跟我干仗，闹离婚的，，再这样下去我毛都没有。</t>
  </si>
  <si>
    <t>2019/10/11 16:37:45</t>
  </si>
  <si>
    <t>申请2000元借款，借款前无任何提示，借款后却实际到账1500元，500元变成的砍头息，分3期每期还款686.56元，合计还款2059.68元，实际砍头息各项费用559.68元，现以支付1373.12元，91买呗现已无法还款，客服电话等均失联，91买呗远超国家规定的利率，现要有按实际到账和国家规矩利率支付。</t>
  </si>
  <si>
    <t>2019/10/11 16:37:39</t>
  </si>
  <si>
    <t>然后我就通过拼多多支付通道充了1000块进去。</t>
  </si>
  <si>
    <t>2019/10/11 16:37:36</t>
  </si>
  <si>
    <t>立马进钱app借款2800，需分四期归还，归还金额4200，现欠款已经逾期，没有短信提醒，且app不能打开正常使用，客服联系不到电话永远都打不通。</t>
  </si>
  <si>
    <t>2019/10/11 16:37:19</t>
  </si>
  <si>
    <t>姓名：仇士雷/网查物流收件员收件手机：133******51，131******08，充值1000单中通快递单号，但是仇士雷以中通充值面单慢为由，一直未给我充值上，一直让我使用的是与他人一起共享的快递单，每当我问起什么时候给我自己的淘宝账号充值上快递面单余额，一直告知我说快了，后面用的也多了，索性就不问了，就一直使用的与他人一起共享的快递单，一直用到9月17日当时我的共享余额还有216单，仇士雷跟我说他没有钱了，叫我自己充单号，且保证一定会给我充值到我的淘宝账号上，不会让我使用与他人共享的中通快递面单，我问</t>
  </si>
  <si>
    <t>2019/10/11 16:37:18</t>
  </si>
  <si>
    <t>一个正规的纽约上市平台，催收不应该是不得骚扰无关的人吗，拍拍贷催收人员严重影响我的生活及身边的亲朋好友，忘有关部门进行审查。</t>
  </si>
  <si>
    <t>2019/10/11 16:37:14</t>
  </si>
  <si>
    <t>友信借款电子合同上显示是132500，而我实际到账只有90000，每个月还4287，36期。</t>
  </si>
  <si>
    <t>2019/10/11 16:37:06</t>
  </si>
  <si>
    <t>我于2019年10月初在北京闪银奇异科技有限公司旗下的闪银App平台申请了4620元的网络借款，当时的还款期限和利息按照合同约定为三期，11到次年1月每月还款1635.43元，共还款4906.29元，但是10月11日15：43分，闪银奇异未有任何通知的情况下违规扣除了我银行卡账户的500元现金，我随后到闪银APP查看相关扣款依据，APP上并无任何账目显示，随即通过扣款短信中的微信公众号向对方客服咨询，未获得任何回应，要求闪银官方做出解释，道歉并退回相应违规扣款。</t>
  </si>
  <si>
    <t>2019/10/11 16:37:01</t>
  </si>
  <si>
    <t>因为一些事故失去经济来源！马上消费金融非法高利贷利息还过高还不起！催收不停催还冒充律师威胁！联系客服想协商还款，结果根本没用，希望平台能帮忙解决这个问题。</t>
  </si>
  <si>
    <t>2019/10/11 16:36:51</t>
  </si>
  <si>
    <t>2.办理贷款是不予详细说明涉及到的高额担保费及担保服务费，只有在放款后才在APP还款页面显示，且需点开详细还款明细，3.在本人可以联系到的情况下，不予说明就骚扰其他联系人。</t>
  </si>
  <si>
    <t>2019/10/11 16:36:48</t>
  </si>
  <si>
    <t>12:46:46本人通过立借平台钱置宝申请借款2100元，每期八天，分四期还款，每期还款750元，利息已经严重超过国家规定，且存在砍头息问题，本人还款第三期时，还款通道出现问题导致无法还款，后续立借app也无法打开，且没人与我协商联系，导致现在逾期13天，巨额逾期费，本人现无力偿还高额逾期费用和高额利息，现在想立借方与我联系免除逾期费并减免利息进行还款，并给予销账，望立借方与我联系。</t>
  </si>
  <si>
    <t>2019/10/11 16:36:43</t>
  </si>
  <si>
    <t>我于7月21日在阿卡索销售人员的指引下https://www.acadsoc.com.cn/webnew/check/?ID=E1E656E33CB9C5B4网上支付6499元，购买了全年外教线上课堂套餐，本人通过销售人员微信名：Seven;，老师都是标准美音外教！可以购买的课程后第一天上课；，课程上到一半对面的老师就断网了，第二天上课又没有老师上课，期间上课的老师有些还非常的不专业，发音不准，课堂上做其他的事情，后本人找销售人员沟通，客服人员和销售人员回复并保证后期不会出现这样的情况；，也保证直到提供到满</t>
  </si>
  <si>
    <t>2019/10/11 16:36:34</t>
  </si>
  <si>
    <t>我在钱站借款2000元，合同上写的是2640元，实际到账只有2000元，每期需要还935元，利息太高了，现在已经还了两期，想要结清，但是利息太高，无力偿还，想协商解决。</t>
  </si>
  <si>
    <t>2019/10/11 16:36:30</t>
  </si>
  <si>
    <t>我表妹借了一笔微信微粒贷，办理了50000元，接到催收电话，东拼西凑借了15000还进去了，今天表妹割腕自杀家里人才知道这个事情，期间表妹多次被催收威胁，催收不知道哪里来的表妹领导的电话，跟表妹领导去电，导致现在表妹工作可能要丢了，今天我打那个催收员电话，就跟我说马上抓我表妹，我问他是不是微粒贷公司的，他和我说是的，然后后续我打客服电话，客服确告知我他们不清楚，为什么会有手机号码联系我，后来那个催收员不停用软件发送验证码短信轰炸我，期间我打过银监会电话，银监会表示不受理小贷，后来又有另一个催收给我来电，说他</t>
  </si>
  <si>
    <t>2019/10/11 16:36:23</t>
  </si>
  <si>
    <t>中国邮政储蓄银行贵州铜仁分行&amp;amp;nbsp;公司领导及同事多次包庇员工拖欠欠款恶意不处理，&amp;amp;nbsp;&amp;amp;nbsp;截止今天已拖欠652天，&amp;amp;nbsp;&amp;amp;nbsp;&amp;amp;nbsp;在此期间多次逃避多次拉黑电话及微信&amp;amp;nbsp;&amp;amp;nbsp;，死不承认&amp;amp;nbsp;&amp;amp;nbsp;该公司领导及同事多次替员工打掩护&amp;amp;nbsp;&amp;amp;nbsp;&amp;amp;nbsp;该员工多次告知公司拖欠工资&amp;amp;nbsp;导致其多次答应还钱但不还&amp;amp</t>
  </si>
  <si>
    <t>2019/10/11 16:36:18</t>
  </si>
  <si>
    <t>当时还款金额是越还越少，每个月连本带息一起减，款项一下就发现合同不对劲，还款是每个月固定的3434.86元，并且多了一个砍头息14285.71元，这个不能接受，借款75000第4天要求一次性结清，就要还110000左右，这是什么高利息。</t>
  </si>
  <si>
    <t>2019/10/11 16:36:13</t>
  </si>
  <si>
    <t>投诉人 胡先生        投诉对象  （特约）中归        涉诉金额  2 454 元    问题类型    诉求类型投诉详情  莫名其妙扣走银行卡的钱，连个信息都没有！</t>
  </si>
  <si>
    <t>2019/10/11 16:36:04</t>
  </si>
  <si>
    <t>米米罐APP是北京焱晨科技有限公司名下的短期714借款APP，盗取个人隐私信息恶意骚扰本人及家人朋友持续半年之久。</t>
  </si>
  <si>
    <t>2019/10/11 16:35:21</t>
  </si>
  <si>
    <t>2018年催生了很多推荐股票的机构和个人，通过微信群、QQ群、在线视频讲课的方式，可以讲授一些股票的知识，提高个人选股技巧，然后我在7月1号的时候，被拉进去了一个金股讲坛的微信群，里面的老师是叫唐城，他会让我没去1234TV的这个APP里面听课，每天早上会有大盘分析，盘中分析跟收盘分析，但是一起讲课的并不是他，而是他的老师及朋友，有3个人一个是晓龙，一个是老马，一个是军哥，时间一直在持续，他们后面整了一个叫做智慧堂的群，报名了的人才可以参加，说可以得到更详细的指导，在8月10多号的时候，老师们说最近行情不好</t>
  </si>
  <si>
    <t>2019/10/11 16:34:52</t>
  </si>
  <si>
    <t>还款当天就爆通讯录，逾期一天就给亲属打电话，砍头息！。</t>
  </si>
  <si>
    <t>2019/10/11 16:34:47</t>
  </si>
  <si>
    <t>马上金融平台上的贷款以霸王凭证的形式违规收取砍头息，利率远超国家法定利率红线，要求予以协商，退还违规砍头息。</t>
  </si>
  <si>
    <t>2019/10/11 16:34:39</t>
  </si>
  <si>
    <t>投诉人 刘女士        投诉对象  用钱宝        涉诉金额  554 元    问题类型    诉求类型投诉详情  用钱宝故意关闭还款通道 让我们逾期 还威胁我们家人</t>
  </si>
  <si>
    <t>2019/10/11 16:34:33</t>
  </si>
  <si>
    <t>去年上旬因周转困难..无奈找小贷公司办理贷款.因为当时着急用钱小贷公司给我办理了阳光钱袋业务..先不说小贷公司收取的服务费很高.霸王条款必须要写.不然不给办理.就阳光钱袋这个业务在我本人不知情的情况下给我上了保险.而且时候要求退保.客服要求必须还请贷款..请问做贷款也要上保险么?那么我请问保险谁，捆绑保险黑心网贷坑人无数.必须给我一个说法。</t>
  </si>
  <si>
    <t>2019/10/11 16:32:53</t>
  </si>
  <si>
    <t>捷信上的商品贷，在2019年10月份已经结清，以后没有借款需求，希望把捷信金融app账户彻底注销，清除我的记录和解绑银行卡，在捷信金融app上没有找到注销操作按钮，打客服电话客服说无法注销账户，，，按照一般的网贷是可以的，你捷信就格外不一样。</t>
  </si>
  <si>
    <t>2019/10/11 16:32:09</t>
  </si>
  <si>
    <t>邀请注册可以用车，按照平台要求使用，现在全成都没有车可以用，最后一次用车结束后的20天，也就是9.15号，提出申请退押金，20天已经过去了，没什么作为，客服电话也没人接通。</t>
  </si>
  <si>
    <t>2019/10/11 16:31:52</t>
  </si>
  <si>
    <t>由于马上消费金融催收冒充公检法，马上消费一直不予解决，并且安排催收多次威胁恐吓，骚扰家人，甚至通讯录，今日收到短信，查到本人隐私，甚至明确告知要骚扰家人，同事，公司。</t>
  </si>
  <si>
    <t>2019/10/11 16:31:28</t>
  </si>
  <si>
    <t>非法获取用户预留紧急联系人以外通讯中其它联系人，侵犯个人隐私。</t>
  </si>
  <si>
    <t>2019/10/11 16:31:13</t>
  </si>
  <si>
    <t>点融网及其不要脸，要注销账号客服电话打不通，打通了说不归这个部门管，我注销个账号有那么困难么，魔借、点融说借、u钱包都注销掉，这种垃圾公司越少越好。</t>
  </si>
  <si>
    <t>2019/10/11 16:30:57</t>
  </si>
  <si>
    <t>在及贷平台合作机构智享贷借款1700元，以保险名义扣除头息306元，逾期第一天罚息高达51元，以短信方式威胁，骚扰通讯录联系人，，行为恶劣，完全不按照合同来。</t>
  </si>
  <si>
    <t>2019/10/11 16:30:51</t>
  </si>
  <si>
    <t>我是在彩票室打工的，早上7点左右朋友在店里玩刮刮乐，给我转了3笔钱直接给我冻结了，我只是个打工的没什么一直不解冻我微信。</t>
  </si>
  <si>
    <t>2019/10/11 16:30:46</t>
  </si>
  <si>
    <t>滴滴出行分公司不帮当地滴滴司机办理个人网约车营运证，我们在交通运输管理局详细咨询过，交通局是可以为我们办理个人的证，但是需要滴滴公司出示相关授权文件。</t>
  </si>
  <si>
    <t>2019/10/11 16:30:05</t>
  </si>
  <si>
    <t>是这样，我老公今天收到一条信息，说他欠钱不还，要把他资料移交到相关部门，而且还打电话恐吓，但是我老公根本没借这笔钱，我给他们打电话她连他们借款平台是什么名字都说不出来，就说是万象财务，而且说他们贷款非常方便，用别人的身份证也可以贷款，我已经保留了录音，希望赶紧让他们停止骚扰，把我老公的信息移出去，171******25就是这个骚扰电话，我有录音有截图，明显就是不合法，就算贷款也需要人脸识别，他们说他们什么也不需要，身份证就可以，而且是什么时间贷的款什么时间还款他都说不上来，明显就是骗子，希望赶紧下架此产品，</t>
  </si>
  <si>
    <t>2019/10/11 16:29:44</t>
  </si>
  <si>
    <t>借5000八个月还7600左右，还完不给开结清证明，希望乐意花退回超过国家规定的利息然后开结清证明。</t>
  </si>
  <si>
    <t>2019/10/11 16:29:38</t>
  </si>
  <si>
    <t>都沟通好了&amp;nbsp;&amp;nbsp;&amp;nbsp;你们捷信爱这样是吧出尔反尔&amp;nbsp;&amp;nbsp;&amp;nbsp;我希望你们停止一切电话和信息&amp;nbsp;&amp;nbsp;&amp;nbsp;对我做出赔偿费。</t>
  </si>
  <si>
    <t>2019/10/11 16:29:00</t>
  </si>
  <si>
    <t>本人于在信用管家申请一笔3000元贷款，由神马借通过畅捷支付发放，实际到账2625，7天每期共分4期还款，每期还款896元，共计还款3584，实为砍头贷，年化利率达到百分之四百多，远超过国家规定的百分之三十六的红线，逾期费用20天就翻一翻！要求神马借客服主动联系，调整利率，进行销账！。</t>
  </si>
  <si>
    <t>2019/10/11 16:28:47</t>
  </si>
  <si>
    <t>朋友在造艺科技平台想借点钱，结果身份信息还有银行卡绑定是填了，但这是作为贷款前必填的信息吧，填这些是为了贷款借款者都是冲着贷款去填的这些信息，结果弄了个扣费协议在里面，这不是偷换概念。</t>
  </si>
  <si>
    <t>2019/10/11 16:28:19</t>
  </si>
  <si>
    <t>今天收到短息说要查封我的QQ和微信，然后留了个电话说还款后解封，，后面有人加我QQ说准备起诉我，让我联系宏正咨询-黄辉185******10，结果我看到和短息的负责人一样的电话号码，这是既当爹又当妈了啊，感情还是这批非法催收人员。</t>
  </si>
  <si>
    <t>2019/10/11 16:28:07</t>
  </si>
  <si>
    <t>前两天跟朋友一起打车，车辆到达后我门说明中途有人下车，而司机说我叫的是拼车不提供这个服务，因为不常打车也不知道这项所谓的拼车概念，只能选择取消订单，司机当时就不高兴，甩脸子给我，语言粗犷，蛮横无理，。</t>
  </si>
  <si>
    <t>2019/10/11 16:27:55</t>
  </si>
  <si>
    <t>2016年3月份在平安服务人员打电话问需要贷款，问完利息怎么算，不会超过正常银行利息，后面办完之后感觉利息高，在沟通之后，刚好又需要钱，就使用了，在用过程中每月还款期到前几日都有客服人员打电话催款，最近由于生意出现问题，资金链断裂，客服人员电话不断搔扰，甚至打到我的家人那里，在解决还款之前，我要求查合同和还款记录，客服人员答应还款之后会安排人员，还完之后就一直推脱时间，现在一直不处理，请监管人员给予平安普惠严厉打击。</t>
  </si>
  <si>
    <t>2019/10/11 16:27:45</t>
  </si>
  <si>
    <t>投诉人胡女士投诉对象宜信普惠涉诉金额62594元问题类型诉求类型投诉详情1，宜信公司收取高额砍头息手续费、阴阳合同，暴力催收，请有关部分彻查，2，今年1月份，我有通过宜信平台的本地门店进行贷款签约，当时门店人员告知利息不多一分多点，所以也没有太注意，且当时门店没有给我正式合同我到现在也不知道合同金额具体是多少！只给了还款提醒函，函上每期还款1738.71，期数36期，还款总金额将达62593.56，但我实际到账金额只有35000，这与还款函上的剩余未还本金严重不符，3，当时不太懂年利率这一方面的，现在咨询下</t>
  </si>
  <si>
    <t>2019/10/11 16:27:44</t>
  </si>
  <si>
    <t>投诉人 江先生        投诉对象  月月有钱        涉诉金额  1 600 元    问题类型    诉求类型投诉详情  月月有钱高利贷，拒绝协商处理 对我言语辱骂</t>
  </si>
  <si>
    <t>2019/10/11 16:26:59</t>
  </si>
  <si>
    <t>投诉人 吴先生        投诉对象  及货        涉诉金额  2 100 元    问题类型    诉求类型投诉详情  强制性购买保险，并非亲戚自愿签字购买。要求退回亲戚的保险费用。</t>
  </si>
  <si>
    <t>2019/10/11 16:26:42</t>
  </si>
  <si>
    <t>投诉人李先生投诉对象贷上钱涉诉金额1081元问题类型诉求类型投诉详情贷上钱借3000要买第三方的服务下款，三个月变成要还4081.77，其中900是以购买荐职小秘书服务收的。</t>
  </si>
  <si>
    <t>2019/10/11 16:26:33</t>
  </si>
  <si>
    <t>2019年9月14日通过农行app在绿森商城购买iPhone11，在购买时订单页显示10个工作日发货，2019年10月9日为最后发货约定期限，经本人夜以继日与对方线上客服、客服电话、官方微博、贴吧等沟通反馈后仍无任何实质性作用，每次运用敷衍以及自动回复等话语反馈客户，既无法确切表示何时发货，又表明无法联系发货仓库，目前在绿森商城，对于iPhone11各个颜色仍显示货源充足状态，并陆续还存在客户下单，本人认为绿森平台存在虚假库存显示，属于欺诈客户行为，另外最近一次与绿森商城客服联系过程中，客服运用极其不专业，</t>
  </si>
  <si>
    <t>2019/10/11 16:26:32</t>
  </si>
  <si>
    <t>前几天，在聚投诉上跟你我贷进行协商，然后有客服电话过来，说帮我申请，然后一直没给我回复，最后直接催收过来恐吓威胁，我打电话给官方热线，说帮我反馈，打过几次，一直说有帮我反馈，然后还是催收打电话过来，威胁我进行还款，拨打我联系人，威胁爆通讯录，最后我几次拨打你我贷官方投诉热线，跟他们说明问题，催收还是来威胁恐吓，我跟催收说明已经跟官方沟通过了，催收说官方那边没用，刚才又沟通官方，官方说已经反馈，让我等电话。</t>
  </si>
  <si>
    <t>2019/10/11 16:26:23</t>
  </si>
  <si>
    <t>乱扣费，没经过同意！299元！已经多人上当受骗！要求退款，希望平台能打压，投诉问题，关闭该平台。</t>
  </si>
  <si>
    <t>2019/10/11 16:25:52</t>
  </si>
  <si>
    <t>投诉人 王先生        投诉对象  来分期        涉诉金额  3 500 元    问题类型    诉求类型投诉详情  利息高 客服处理不当 套路 只能还 不能用了</t>
  </si>
  <si>
    <t>2019/10/11 16:25:36</t>
  </si>
  <si>
    <t>本人2019年1月23号开始在玖富万卡贷款五笔，合计68000元，当时没有细看合同利息服务费等，每月按时还款，已经归还了13361.41,元，后来我看了一下我的还款总额，居然还要还108,827.94，这已经远远超过了法定利率！后来细看还款协议，就拿第一笔借款金额8800元来说，协商文件不仅有额度分期借款协议还有三方服务套餐消费协议，额度分期借款协议要求还款9810.62元，三方服务套餐消费协议又要求还款2659.63元！借问套餐消费金额从何而来又为什么要加上这笔费用！！多次致电玖富万卡客服协商还款事宜，他</t>
  </si>
  <si>
    <t>2019/10/11 16:25:14</t>
  </si>
  <si>
    <t>爆我通讯录，骚扰我家人，，，，，还我会还款的，你们有必要这样吗，谁没有难出，。</t>
  </si>
  <si>
    <t>2019/10/11 16:24:57</t>
  </si>
  <si>
    <t>马上消费金融因个人经济问题导致逾期欠款未处理，前后接到多次威胁恐吓电话，不得已更改手机号码，今日突然接到马上消费金融催收电话，自称通过个人身份证件在营业厅查询到名下实名电话，后致电中国移动客服，客服表示不是本人或者本人授权，中国移动不可能向其他人提供本人个人信息电话等，质问催收人员怎么取得我本人电话号码的，对方言辞闪烁，避重就轻，不承认是通过不正当途径获取，这难道不是认为泄露的。</t>
  </si>
  <si>
    <t>2019/10/11 16:24:51</t>
  </si>
  <si>
    <t>还款日期还没有到，而且从未逾期，客服人员提前催收并恶语相向，多次打电话骚扰，希望这位客服停止提前催收。</t>
  </si>
  <si>
    <t>2019/10/11 16:24:45</t>
  </si>
  <si>
    <t>催款人用不同的号码来一天不下8个电话的打还短信恐吓威胁，威胁亲朋好友，给家人照成不必要的麻烦，因为这个家人住院。</t>
  </si>
  <si>
    <t>2019/10/11 16:24:27</t>
  </si>
  <si>
    <t>苏宁金融因为本人逾期，2019年10月11号下午，催收威胁把我的个人借款信息隐私公布到户口村委会，将严重影响到本人的声誉，希望苏宁道歉，并立即停止第三方的恶意暴力催收。</t>
  </si>
  <si>
    <t>2019/10/11 16:23:21</t>
  </si>
  <si>
    <t>2019年10月2日开通联通与腾讯视频合作的腾讯视频免流业务，但是在使用过程中发现看腾讯视频依旧用的是本人手机套餐内流量，经过与联通及腾讯三方沟通于2019年10月9日解决此问题，因该业务需要激活但腾讯联通未告知我且订购成功的信息也未提示，，现已激活，但对于流量返还联通工作人员说其无权限至今未解决，打电话一直在推辞，现手机流量已经超过套餐量开始自动限速我无法观看视频。</t>
  </si>
  <si>
    <t>2019/10/11 16:23:17</t>
  </si>
  <si>
    <t>10月1日的时候，微信小号显示我登录异常，需要申请解封，但是我操作之后，发现并不能自助解封，后来联系微信客服，官方申诉问题，都是牛头不对马嘴的答复，根本就没有人工客服出来解决问题，我没有任何违规操作就把我的微信号停封了！主要是里面的财产都无法解决，导致我信用卡未还已经逾期，上报征信网，导致我的个人生活，个人信用受到了很大的影响！。</t>
  </si>
  <si>
    <t>2019/10/11 16:22:41</t>
  </si>
  <si>
    <t>中信信用卡现金分期，圆梦金，利息高手续费高还有违约金，存在霸王条款，还全款要扣违约金，还有已收的手续费不退，我强烈要求退回多收的钱，几个月时间手续费加违约金就扣了我几千块。</t>
  </si>
  <si>
    <t>2019/10/11 16:22:37</t>
  </si>
  <si>
    <t>欠费不停机，导致流量使用费用，高达到700多块，天价流量费，你们联通公司系统后台的问题，导致我欠费透支这么多钱，强烈要求撤销欠费账单，道歉，必须给合理的解释跟费用，不然我将投诉到底。</t>
  </si>
  <si>
    <t>2019/10/11 16:22:18</t>
  </si>
  <si>
    <t>投诉人王女士投诉对象享速钱包涉诉金额0元问题类型诉求类型投诉详情2019年10月11日下午大约3点多吧，虽然有点蒙但是因为前段时间我确实操作过一些网贷，就按照短信说的账号添加了微信，对方上来就问我电话号码尾号，我就怀疑，一个是我对享速钱包这个名字一点印象都没有，另外我想你连也电话号码都不知道，怎么会是平台客服。</t>
  </si>
  <si>
    <t>2019/10/11 16:22:00</t>
  </si>
  <si>
    <t>同一个地点，一个可以补充违章，这次就不行，还帮忙下车拿婴儿车，真不能做好事，是不是以后这个点的订单可以取消。</t>
  </si>
  <si>
    <t>2019/10/11 16:21:55</t>
  </si>
  <si>
    <t>10月8日，突然拼多多一纸通告，要求关店或缴纳十万元保证金；本人顿时就慌了，因为这个店铺真的是投入了本人所有的积蓄和心血；经过十几日的不眠不休，刚开始经常运转，每日单量也接近200单，每日盈利也接近1000元；本来就是看到该网站打着0元入住的旗号；所以才抱着试试的心态入住；但是目前平台扣留资金，及存货已经达到小十万元；而平台在这个时候突然要求缴纳十万元；实在有点土匪行为；同时要求提交书面承诺书；此承诺书本人理解为是日后扣走十万元做铺垫的；本人自8日以来，再者本人认为我并没有将拼多多流量引入其他平台，反而是将</t>
  </si>
  <si>
    <t>2019/10/11 16:21:39</t>
  </si>
  <si>
    <t>由于本人手机卡银行卡钱包集体丢失，出车祸，造成借款逾期，借款中心暴力催收，联系通讯录里联系人，造成借款人无法正常生活！家里人精神严重失常！。</t>
  </si>
  <si>
    <t>2019/10/11 16:21:24</t>
  </si>
  <si>
    <t>催收电话就是各种恐吓，直接爆公司领导手机，一天500多条短信注册信息，说明了我是大病后才无力偿还，说我谁不生个病，你生病就不用还款了，有钱治病，没钱还钱，首先我从来没有说不还钱，也没用用生病为借口躲避还钱，一天无数个电话轰炸，还了部分钱后，还说要法院，协警一起上门，还拍了门口照片，给公司办公电话打电话，这样我工作好不容易找到一个愿意收留身体不好的我的地方，要工作外没了，更无力偿还债务了，我知道欠钱不还不对，我也愿意协商，只是希望不要这样到处轰炸，工作没了，真的就要等着申请破产了。</t>
  </si>
  <si>
    <t>2019/10/11 16:21:16</t>
  </si>
  <si>
    <t>朝阳爱理财2018年4月份他们公司做活动说邀请一人给10元财迷卡，结果到现在都没有可以投资的项目整整拖了我一年半的时间，涉嫌金额8580元钱。</t>
  </si>
  <si>
    <t>2019/10/11 16:21:11</t>
  </si>
  <si>
    <t>这两天不停给我打电话给我家里打电话，已经严重影响到了我的工作，每天处在水深火热之中，要求暂停打电话骚扰。</t>
  </si>
  <si>
    <t>2019/10/11 16:21:00</t>
  </si>
  <si>
    <t>捷信公司业务员诱导客户捷信贷款的利息低，并且可以提前还款，但是实际情况是提前还款要违约金，并且需要还大量的管理费，为什么捷信公司可以不顾国家法律规定恶意的侵犯我们的隐私，爆我们的通讯录，已经给我的生活造成了极大影想，强烈要求平台下架。</t>
  </si>
  <si>
    <t>2019/10/11 16:20:54</t>
  </si>
  <si>
    <t>百事普惠私自扣款299，开始打电话给客服说十四天后可以退，现在过了一个月也不退，打电话给客服也不接。</t>
  </si>
  <si>
    <t>2019/10/11 16:20:28</t>
  </si>
  <si>
    <t>投诉人 梁伟超        投诉对象  白条分期        涉诉金额  249 元    问题类型    诉求类型投诉详情  购买后却分到别的平台，而且申请也退不到款。</t>
  </si>
  <si>
    <t>2019/10/11 16:20:13</t>
  </si>
  <si>
    <t>由于资金周转不过来，在马上金融填完资料可以申请1000元额度，分3个月还，当时没留意每个月还673.36元，就点击下款了，而且利息远远超过国家规定年利润，打APP客服电话想协商一次性还清销账，但客服电话一直打不通只有短信过来提醒现在希望可以给个合理的解决方案。</t>
  </si>
  <si>
    <t>2019/10/11 16:19:06</t>
  </si>
  <si>
    <t>出现擅自修改协议后，多次与商家在线客服沟通，均用“再次催促处理”为由应付，拖延时间不处理退会退款事宜，每次等在线客服都需要半个小时以上，电话也打不通。</t>
  </si>
  <si>
    <t>2019/10/11 16:18:57</t>
  </si>
  <si>
    <t>本人通过永恒优享，借款多次，每一次实际到账1300元，借款天数只有16天利息高达600多元，现在国家严禁高炮平台，本人已经没有能力承担非法高利贷利息和砍头息，还款日当天因为催收威胁迫不得已全额还款多次，现在要求退换砍头息和非法高利贷部分，约1800元，本人一定会通过各种手段维护自己权益！。</t>
  </si>
  <si>
    <t>2019/10/11 16:18:52</t>
  </si>
  <si>
    <t>投诉人 胡先生        投诉对象  多米贷        涉诉金额  8 867 元    问题类型    诉求类型投诉详情  因本人资金问题造成全面逾期 与该方工作人员协商还款 对方不给予协商 态度恶劣 要提交第三方外包 联系通讯录 帮我凑款</t>
  </si>
  <si>
    <t>2019/10/11 16:18:35</t>
  </si>
  <si>
    <t>深圳市及响科技有限公司还是骚扰我亲属朋友，向其泄露我个人隐私，损害我名誉，导致我无法再正常生活和工作，骚扰本人亲属好友，已经触犯法律，，必须要求平台关闭。</t>
  </si>
  <si>
    <t>2019/10/11 16:18:30</t>
  </si>
  <si>
    <t>我在还第八期的时候有于换手机号原因，给客服打电话客服给我一个对公账户让我转对公账户，当时我直接转了对公账户，但在第二天下午他们开始爆通讯录，发信息！。</t>
  </si>
  <si>
    <t>2019/10/11 16:18:18</t>
  </si>
  <si>
    <t>借10000，合同13000，利息高威胁爆通讯录，拒不协商。</t>
  </si>
  <si>
    <t>2019/10/11 16:18:17</t>
  </si>
  <si>
    <t>最近实在困难，这期账单逾期了几天，之前借款30000，还到现在只剩2000多欠款，跟客服说明情况为何一直咄咄逼人，各种恐吓威胁。</t>
  </si>
  <si>
    <t>2019/10/11 16:18:16</t>
  </si>
  <si>
    <t>还款日还款，算逾期，扣我违约金，没违约凭啥扣我钱。</t>
  </si>
  <si>
    <t>2019/10/11 16:17:59</t>
  </si>
  <si>
    <t>逾期几天时间后电话骚扰家人，催收时言语恶毒、嘲讽！。</t>
  </si>
  <si>
    <t>2019/10/11 16:16:53</t>
  </si>
  <si>
    <t>滴滴现在又开始坑人了，说什么单证不派单，可是接的单比我们合法车还多，现在坑我们合法车。</t>
  </si>
  <si>
    <t>2019/10/11 16:16:38</t>
  </si>
  <si>
    <t>客服恐吓我，在不还钱，依旧催收，现在两手还在发抖，之前家里老人被钱站恐吓高血压犯了，如果近期家里有人因为钱站催收恐吓，威胁致死，我将上访到底。</t>
  </si>
  <si>
    <t>2019/10/11 16:16:16</t>
  </si>
  <si>
    <t>投诉人徐女士投诉对象一点分期涉诉金额800元问题类型诉求类型投诉详情爆通讯录骚扰家里人严重影响工作生活。</t>
  </si>
  <si>
    <t>2019/10/11 16:16:14</t>
  </si>
  <si>
    <t>自从提交申请退还保证金一一月有余,完全满足立刻出行的，退保证金要求.但立刻出行,还是恶意不退换保证金,打通客服电话,客服承诺马上处理,如今还是没有退还保证金。</t>
  </si>
  <si>
    <t>2019/10/11 16:15:33</t>
  </si>
  <si>
    <t>18年5月在明德报名自考本科，由于盛世明德提供的模式跟之前咨询的不一样，需要每天花3小时在网络上听课，听完还要复习报考，学习不到十节课我发现这种模式负荷不了，在2018年11月跟客服咨询是否能退学退费，客服说退不了，也没有说可以换模式，老师就说现在转方式已经没有什么费用可以退了，我说我19年都没上课老师就说你没上但是直播一直都在播。</t>
  </si>
  <si>
    <t>2019/10/11 16:15:26</t>
  </si>
  <si>
    <t>你我贷给我公司的座机打了2天的骚扰电话，电话从早响到晚，导致我公司同事无法正常的工作，我和你我贷的催收人员想要协商，他们根本不给我时间，不和我好好协商，我又没说不还，可他们就一直给我的工作打电话，骚扰我公司，我最后也被公司开除了，害得我也丢了工作。</t>
  </si>
  <si>
    <t>2019/10/11 16:15:20</t>
  </si>
  <si>
    <t>造艺科技，捆绑借款人再以一个评估报告服务来恶意扣款用户钱财，未经许可下非法盗刷用户银行卡钱财。</t>
  </si>
  <si>
    <t>2019/10/11 16:14:41</t>
  </si>
  <si>
    <t>借款2万元，还3万，利息要1万元，逾期一天逾期费极高，简直就是高利贷。</t>
  </si>
  <si>
    <t>2019/10/11 16:14:37</t>
  </si>
  <si>
    <t>在本人并不知情的情况下，无缘无故盗取个人财产，。</t>
  </si>
  <si>
    <t>2019/10/11 16:14:23</t>
  </si>
  <si>
    <t>有紧急事件想与客服建议，客服一直不接电话，打了半天也没人接。</t>
  </si>
  <si>
    <t>2019/10/11 16:14:10</t>
  </si>
  <si>
    <t>之前的教训是不是都忘了，改善才能走的更长远。</t>
  </si>
  <si>
    <t>2019/10/11 16:13:53</t>
  </si>
  <si>
    <t>小七钱包为高利贷提供平台全部都是7天的借款平台，大量砍头息。</t>
  </si>
  <si>
    <t>2019/10/11 16:13:52</t>
  </si>
  <si>
    <t>本人于2019年7月26日当天注册淘集集商家平台，淘集集注册商家平台需提交押金2000元，当天退店，要求退款，今天是2019年10月11日了一直没有收到平台退回来的押金，电话，微信永远联系不上，微信平台也不受理，把我店铺也屏蔽了进不店铺了，02166690510这个号码是通的但一直没人接和02166690601，一直人工让我等每次都是10分钟以上都一直让我等浪费电话费。</t>
  </si>
  <si>
    <t>2019/10/11 16:13:33</t>
  </si>
  <si>
    <t>浦发银行客服中心，我打电话过去协商退还罚息和违约金，因为这些钱是在我本人不知情的情况下产生的，当时在医院住院，无法还款，可提供相关证明，并且我在咨询律师的情况下，是可以退还，客服专员告诉我不管你住院还是什么情况，不能退。</t>
  </si>
  <si>
    <t>2019/10/11 16:13:28</t>
  </si>
  <si>
    <t>投诉人裴先生投诉对象存钱柜涉诉金额3600元问题类型诉求类型投诉详情信用管家里面的存钱柜现改名金钱保，触犯国家法律的高利贷借2625还3600&amp;nbsp;4X7天的周期，已经还款2700余元，今收到非法催收短信希望聚投诉平台处理，严惩某些为高利贷保驾护航的机构。</t>
  </si>
  <si>
    <t>2019/10/11 16:13:24</t>
  </si>
  <si>
    <t>给通讯录所有人发短信，未经允许爆通讯录，希望平台给我一个解释。</t>
  </si>
  <si>
    <t>2019/10/11 16:12:47</t>
  </si>
  <si>
    <t>本人12月7日在江苏南通广创手机连锁卖场办理手机服务，工作人员说给我办一张随机附赠的合约手机卡，并且交100，送700元话费，合约两年，但是并没有提及任何关于橙分期的内容，并且我也没有收到下方的客服告知书，与招联消费金融有限公司也没有签下任何协议，当时的签字是以实名认证手机卡为由提供，要求提供银行卡也是同样的理由，工作人员从始至终都没有提到过橙分期及贷款协议，希望能给我一个合理的解释。</t>
  </si>
  <si>
    <t>2019/10/11 16:12:46</t>
  </si>
  <si>
    <t>10月12日，联系客服拒绝帮我取消订单，并在10月11打电话称其有我通讯录，必须支付利息否则会给通讯录所有人打电话。</t>
  </si>
  <si>
    <t>2019/10/11 16:12:35</t>
  </si>
  <si>
    <t>造艺科技捆绑式误导消费者入圈，再以一个评估报告服务来恶意扣款用户钱财，未经许可下非法盗刷用户银行卡钱财，所谓的评估费无非就是一个借口，哪么借钱还需要先收评估费。</t>
  </si>
  <si>
    <t>2019/10/11 16:12:12</t>
  </si>
  <si>
    <t>投诉人 张先生        投诉对象  花薪        涉诉金额  3 000 元    问题类型    诉求类型投诉详情  真的高利贷，还恐吓我。跟他们说了什么时候还，还经常打电话来骚扰</t>
  </si>
  <si>
    <t>建设银行信用卡逾期，有好几次不是因为我的原因导致我逾期，现已还清不给退罚息及违约金，客服什么情况也不说明直接拒绝，服务态度很差，现要求退换所有账单的罚息及违约金。</t>
  </si>
  <si>
    <t>2019/10/11 16:11:52</t>
  </si>
  <si>
    <t>19年三月份借的及贷，还了三千多了，分一年还，现在没有钱他们就信息发遍我的通讯录所有人，严重骚扰了我家的生活，我要求立刻停止骚扰，并对我进行道歉，利息还高。</t>
  </si>
  <si>
    <t>2019/10/11 16:11:47</t>
  </si>
  <si>
    <t>随手记最后一期忘记一天还款，随意爆我通讯录，态度恶劣，客服不解决问题，随意敷衍，跟随手记客服聊天记录不能截屏，希望能有一个处理意见！。</t>
  </si>
  <si>
    <t>2019/10/11 16:11:41</t>
  </si>
  <si>
    <t>美团金融欠款，每天催收电话打进公司，亲朋好友都受到其骚扰，本人工作生活收到严重影响。</t>
  </si>
  <si>
    <t>2019/10/11 16:11:29</t>
  </si>
  <si>
    <t>本人于2017年5月23日在捷信金融借款34000元，分33期还款，每期1960.36.到今天2019年10月11日已还款28期，共还54890.08元，远远超过国家规定利率，提前还款竟还需要还款7357.26元希望捷信金融马上终止合同并给出结清证明！。</t>
  </si>
  <si>
    <t>2019/10/11 16:11:08</t>
  </si>
  <si>
    <t>多次申请提前还款，客服不处理，重庆的电话每天几十次的骚扰家人和朋友，严重影响工作，。</t>
  </si>
  <si>
    <t>2019/10/11 16:10:57</t>
  </si>
  <si>
    <t>，目前本人已经归还逾期金额和罚息，可京东金融催收还是天天打电话逼我还全额，我说暂时没钱，几天就能还完，可对方还是威胁我说，不还全额就打电话到我村委会，你们京东已经罚息了。</t>
  </si>
  <si>
    <t>2019/10/11 16:10:36</t>
  </si>
  <si>
    <t>突然点到这个软件贷款，却出了一个个人评估，当时是没有提示要钱的，就绑定了银行卡号码，后面今天菜发现钱被扣了299元，上个月都没有信息，今天才发现，我想请问一下你有什么资格扣我银行卡号的钱。</t>
  </si>
  <si>
    <t>2019/10/11 16:10:08</t>
  </si>
  <si>
    <t>美团生活费，上个月逾期半个月还了，这个月秒还了，其它用户征信不好，逾期两个月你们美团都能给人家12000的额度，还放款给人家了，我这就逾期半个月还上了，这个月还秒还了，你们就不给放款了，什么意思。</t>
  </si>
  <si>
    <t>2019/10/11 16:10:01</t>
  </si>
  <si>
    <t>没借马上消费金融的每天打电话发信息来骚扰我，我打电话过去查了也没欠款，什么鬼平台，乱处理。</t>
  </si>
  <si>
    <t>2019/10/11 16:09:52</t>
  </si>
  <si>
    <t>本人现在确实还不了全额每个月都有还款，平安银行恐吓本人让去当地派出所自首，还给本人朋友打电话。</t>
  </si>
  <si>
    <t>投诉人张先生投诉对象微贷网涉诉金额57700元问题类型诉求类型投诉详情客服还打电话辱骂，态度极其差，一直都是正常还款，期间还不停到处定位找我车，从未给我联系过，请给出合理解释，还有每次上调利率，不按照合同约定执行，随意调息，如果给不出合理处理方式和解释，将提起诉讼，法律维权。</t>
  </si>
  <si>
    <t>2019/10/11 16:09:08</t>
  </si>
  <si>
    <t>9.11日退回，要求注销设备，自己去银行办理，承诺15工作日内注销！截止2019月10月11号超过时效两天。</t>
  </si>
  <si>
    <t>2019/10/11 16:09:01</t>
  </si>
  <si>
    <t>投诉人 刘先生        投诉对象  涨盈普惠        涉诉金额  1 500 元    问题类型    诉求类型投诉详情  涨盈普惠借款1500扣款240元 利息之高前所未见。</t>
  </si>
  <si>
    <t>2019/10/11 16:08:59</t>
  </si>
  <si>
    <t>安逸花暴力催收，骚扰亲朋好友，辱骂通讯录联系人，现在国庆刚过全国都在扫黑除恶，这家公司顶峰作案无视国家法律法规，现在要求停止违法行为，我已经上报银监会，如果继续违法行为本人会上报中央政法委长安利剑投诉涉黑违法行为！。</t>
  </si>
  <si>
    <t>2019/10/11 16:08:22</t>
  </si>
  <si>
    <t>前些日子生孩子，早产40多天，实在借不到了。</t>
  </si>
  <si>
    <t>2019/10/11 16:07:51</t>
  </si>
  <si>
    <t>利率过高，霸王条款，提前还款还要付其他金额。</t>
  </si>
  <si>
    <t>2019/10/11 16:07:16</t>
  </si>
  <si>
    <t>借趣花暴力催收，骚扰亲朋好友，辱骂通讯录联系人，现在国庆刚过全国都在扫黑除恶，这家公司顶峰作案无视国家法律法规，现在要求停止违法行为，我已经上报银监会，如果继续违法行为本人会上报中央政法委长安利剑投诉涉黑违法行为！。</t>
  </si>
  <si>
    <t>2019/10/11 16:07:11</t>
  </si>
  <si>
    <t>投诉人 张修琳        投诉对象  玖富万卡        涉诉金额  32 800 元    问题类型    诉求类型投诉详情  非法集资 恶意欺诈 阴阳合同 威胁 恐吓 故意让别人逾期</t>
  </si>
  <si>
    <t>2019/10/11 16:06:33</t>
  </si>
  <si>
    <t>2018年分期3800元借款，期中已经还了1100多，后来不久因为特殊情况逾期，招联金融平台涉嫌非法高利贷，接着催收公司人员一直暴力催收，骚扰我朋友和家人将近一年，到现在没有给予说法，一直不断发短信给我和家人，朋友威胁，平台涉嫌违法高利贷暴力催收，请平台给予公正合理的解决。</t>
  </si>
  <si>
    <t>2019/10/11 16:06:30</t>
  </si>
  <si>
    <t>019年8.20号在阿里巴巴平台潮州市枫溪区灰楼陶瓷厂购买一套价值300元的餐具，一共28件，餐具存在质量问题，同时少发我一个汤碗，第一时间联系商家，我的要求补发我一个少的汤碗，更换质量有问题的餐具，商家一直不给解决，之后承认质量有问题，，先是要补偿我钱，我没同意，之后答应给我换，让我先垫付运费，之后又不同意了！之后投拆到阿里，在我证据都有的情况下，阿里小二和卖家一伙，坑害消费者的权益，小二让我找物流公司提供签收证明，确实当时少了一个碗，并要盖上们物流公司的章，但是当时我要验收时，壹米滴答的物流员拒绝验收，</t>
  </si>
  <si>
    <t>2019/10/11 16:06:28</t>
  </si>
  <si>
    <t>2019年9月11日在唯品会购买哈森短靴一双，标价1498元，折后224，但是第一次穿就出现了靴子侧面暗扣脱落，联系唯品会客服，客服回复24小时回电，但是24小时回电结果为，暂时在等供应商回复，不能处理，回复电话只是为了不超过时效，次日，再次回复，称可以退货再买，但是不能换货，要求补差价，唯品会拒绝，后再次回电，称可以维修，但需要22个工作日，我认为，此短靴唯品会仍在线销售，没有库存的观点不成立，应给我换货，如果非要我重新购买，应由唯品会承担差价，维修22个工作日的说法过长，这是一双单靴，22个工作日以后就</t>
  </si>
  <si>
    <t>2019/10/11 16:05:53</t>
  </si>
  <si>
    <t>利息太高了，想借助贵平台跟此软件协商处理此事。</t>
  </si>
  <si>
    <t>2019/10/11 16:05:41</t>
  </si>
  <si>
    <t>在周周花花借过好多次，利息越借越高，借3000一个月还5000多，我不想逾期也不想强制我只想协商减免还款都这么困难。</t>
  </si>
  <si>
    <t>2019/10/11 16:05:33</t>
  </si>
  <si>
    <t>2019年10月11号11：51未经过本人同意私自盗刷我银行卡里199元。</t>
  </si>
  <si>
    <t>2019/10/11 16:05:30</t>
  </si>
  <si>
    <t>共借款5000元，到账6500元之后直接扣取1500元保费，实际还款按照6500元还款，计算后利率超过国家保护的24%。</t>
  </si>
  <si>
    <t>2019/10/11 16:05:17</t>
  </si>
  <si>
    <t>九月份在抖音上看到了卡牛的广告，就点进去正好要还信用卡，就开始申请借款，借了9000审核通过了.9月10号早上提示借款成功后到账9000，到账后卡牛通过工商银行直接扣了1350的服务费和450的押金，当时很纳闷怎么借款的时候没有明显的展示在我面前要是这样我肯定不借啊，当时就联系了他们客服他们客服，要求全款退不贷款了，结果客服说服务费退不了，我说没服务哪里来的服务费，然后僵持到了现在，实在没办法了，希望平台给予帮助如果平台说是合理的我们会按时缴纳贷款，而且逾期一天扣费100，得二天扣了39不知道他们的这个收费</t>
  </si>
  <si>
    <t>2019/10/11 16:05:03</t>
  </si>
  <si>
    <t>投诉人 吴先生        投诉对象  马上消费金融        涉诉金额  6 000 元    问题类型    诉求类型投诉详情  恶意不间断骚扰 还加微信骚扰 扫黑除恶怎么还有这种催收 马上消费金融不是所谓的正规平台吗？</t>
  </si>
  <si>
    <t>2019/10/11 16:05:02</t>
  </si>
  <si>
    <t>投诉人 瞿先生        投诉对象  拼多多        涉诉金额  100 元    问题类型    诉求类型投诉详情  拼多多虚假宣传，故意推送链接砍价，后期砍价砍不掉，虚假宣传，存在骗人行为且自己转发消息给我的朋友，马上要成功了突然不能砍了，严重影响了我的个人生活和朋友的关系，如不能给一个说法，会向消费者协会和打假平台继续投诉</t>
  </si>
  <si>
    <t>2019/10/11 16:04:51</t>
  </si>
  <si>
    <t>9月24日结清，但是至今保费退还了无音信多次人保客服客服反馈多次让我耐心等待，现信用卡还款日即将到期，请大家帮助我即时追回人保财险退保费用。</t>
  </si>
  <si>
    <t>2019/10/11 16:04:46</t>
  </si>
  <si>
    <t>投诉人刘先生投诉对象中国移动,江苏移动涉诉金额0元问题类型诉求类型投诉详情手机号号本想过户，，不给过户，造成损失，。</t>
  </si>
  <si>
    <t>2019/10/11 16:04:11</t>
  </si>
  <si>
    <t>2019/10/11 16:03:53</t>
  </si>
  <si>
    <t>应为这几我确实是没钱还款而且我也有说我我过几天就还款让后不知道什么原因他那边打不通我电话就疯狂给我家里人打电话一直骚扰我家人。</t>
  </si>
  <si>
    <t>2019/10/11 16:03:31</t>
  </si>
  <si>
    <t>投诉人李女士投诉对象上海指贝网络科技有限公司涉诉金额26800元问题类型诉求类型投诉详情在9.26号前邮箱收到*做兼职的，后来就加了QQ:751374594，之前一直没做，他天天发信息找我，9.26号正好空闲就了解了一下，后面他给我加了一个公众号:800859793，给我看了一下他们兼职的要求，我当时就信以为他们是一家正规的*公司，也有营业执照，也*查到这家公司的资料，之后就相信了，开始要求客服派任务给我，第一单刷了100，很快佣金就返给了我5元，完成后问我还有时间接单不，正好我空闲就再接了，第二次任务是要</t>
  </si>
  <si>
    <t>2019/10/11 16:03:30</t>
  </si>
  <si>
    <t>1月20日，因在网上领取了华尔街英语的试读U盘，故就近预约到金茂华尔街领取，基本上轮番上阵的劝说每个人都跟我聊，让我好好学，我从一开始就表明没有钱，现在学费都还着费劲，而且我还要租房子，生活，自己养活自己，又听得课程老师在那里一直说然后就莫名其妙的又签了一份续约合同，接待，全程就没有说起领取试读，只是介绍起学习环境来，一顿天花乱坠的狂轰滥炸，夸得天上有地下无，刚好，本人自己也想自我升级，学习多一点技能，就在老师的洗脑下签了第一份合同，共七个级别，学习时间是从18年2月到19年10月20日，因本人工资不高，在</t>
  </si>
  <si>
    <t>2019/10/11 16:03:13</t>
  </si>
  <si>
    <t>投诉人郭先生投诉对象Wecash闪银涉诉金额1200元问题类型诉求类型投诉详情闪银app内的闪贷至尊借款，借了1200分3个月还款，每个月还424.24元.合计还款1272.72元.今天是还款日，进去还款发现莫名其妙逾期了好几笔，其中有拒必赔，征信保，极速达，等几项款项，而且还直接在银行卡里面扣了一笔其他什么费用，也无体现！这不就是变相收取砍头息吗，扣了款也无任何记录，这样的借款平台真是坑死人啊！希望得到帮助，谢谢！。</t>
  </si>
  <si>
    <t>2019/10/11 16:03:02</t>
  </si>
  <si>
    <t>到账11600.在不知道的情况下转走1600.说是什么服务费,实际到手10000，但利息却按11600元计算！每月还款1132.如果这样算的话实际还款要13584加1600等于15000多了！我还了几个月发觉不对，就开始不还了，月光侠分期当时借款的是2800元，显示分3个月还款，但没有有说多少钱一个月，在这里我想说的是当时我提交资料后月光侠分期的app就闪退了，就下在不了，没过多久2800也到了！但我不知道原来每月要还1400.我知道的话我才不借，3个月利息1400，但也没办法他们平台不承认他们app有问题</t>
  </si>
  <si>
    <t>2019/10/11 16:02:58</t>
  </si>
  <si>
    <t>发短信恐吓威胁我，伤及我个人隐私及名誉，要求立刻道歉并联系我本人。</t>
  </si>
  <si>
    <t>2019/10/11 16:02:36</t>
  </si>
  <si>
    <t>投诉人江先生投诉对象玖富万卡涉诉金额17300元问题类型诉求类型投诉详情实际到款金额11000元合同总还款金额17300元，希望玖富平台能协商还款，在国家规定标准范围类已经还完本金和利息，希望协商还款金额并销账，禁止第三方催收人员与本人联系。</t>
  </si>
  <si>
    <t>2019/10/11 16:02:28</t>
  </si>
  <si>
    <t>因投资失败，导致招商银行信用卡逾期，未能及时还款，一直有跟客服联系，每个月也一直保持有还款，昨天接到自称招商银行法务部一位女士电话，态度及其恶劣，而且沟通内容有挑衅的口气，并且今天时间家里人又同时接到自称法务部电话，说我自己态度不好，有钱不还！我想知道招商银行就是这么编造事实然后强加给我，变成我不想还钱，不还钱的吗。</t>
  </si>
  <si>
    <t>2019/10/11 16:02:11</t>
  </si>
  <si>
    <t>类似于pos机第三方软件用于还个人信用卡，以便解决个人信用卡资金周转紧张的一个平台！2019年5月6下午14点50分，刷本人信用卡9856元提现到本人储蓄卡上，短信提醒刷卡成功，等了十几分钟直到最后都没到帐，登陆汇收宜查看交易成功，但资金不到帐，联系客服电话一直是没人接听，百度才知道很多人也和我一样的，我觉得这就是汇收宜平台恶意扣押客户资金并转入自己的平台，希望聚投诉尽快处理，万分感谢。</t>
  </si>
  <si>
    <t>2019/10/11 16:01:40</t>
  </si>
  <si>
    <t>本人于2019.10.5日在好易贷app借款3000元，实际到账2100，平台称需要扣除900元服务费，借款周期7天，根据法律规定此以服务放为幌子的砍头息属于违法行为，远远高于国家法律规定的利息，且在我还款日当天多次打电话催收，第三方支付平台为易宝支付有限公司。</t>
  </si>
  <si>
    <t>2019/10/11 16:00:49</t>
  </si>
  <si>
    <t>借6000元12个月要还8090元严重超出国家法定利息标准，已经还了本金6740元协商销账天天电话骚扰。</t>
  </si>
  <si>
    <t>2019/10/11 16:00:20</t>
  </si>
  <si>
    <t>由于资金周转困难导致无法还款，但是中邮公司频繁电话骚扰，甚至还群发短信。</t>
  </si>
  <si>
    <t>2019/10/11 16:00:10</t>
  </si>
  <si>
    <t>投诉人汪刚投诉对象拼多多涉诉金额2232元问题类型诉求类型投诉详情8月23号的时候点了朋友给的一个链接，让付款2232元，说把钱冲进去，就能赚到钱，当时没想那么多，冲进去就没了，没想到被骗了，我到10月1号才反应过来，并找到拼多多客服帮忙处理这个问题，没想到他们一而再再二三的敷衍我，从1号拖到现在11号，现在我就想尽快退回我的钱，作出处理，我不想再这样无休止的等下去了。</t>
  </si>
  <si>
    <t>2019/10/11 16:00:02</t>
  </si>
  <si>
    <t>国家规定网贷平台不得在借款中提前收取服务费，所谓服务费必须算成借款本金，要求松紧贷平台退还先扣取得服务费。</t>
  </si>
  <si>
    <t>2019/10/11 15:59:02</t>
  </si>
  <si>
    <t>本人在办理一点车抵押贷款前，反复和该公司工作人员确认，是否有砍头息及其他费用，其公司人员均明确表示没有费用，相关证据可提供，此前评估车辆贷款及到账金额64000&amp;amp;nbsp;，但是一直到到账后才发现到账金额为5万多，该公司人员说1万多为前置利息，我反问为什么此前问了那么多次都说没有砍头息，本人前后陆续还款接近4万元，由于家庭遭遇套路贷，并且本人在将本人报警及相关病例等文件发送给该公司工作人员之后，也同意协商去还款，该工作人员不讲道理，暴力催收，不联系本人，去直接联系其他人，并且恐吓威胁，无所不用，无奈</t>
  </si>
  <si>
    <t>2019/10/11 15:59:00</t>
  </si>
  <si>
    <t>投诉人满先生投诉对象云南信托,信而富涉诉金额2100元问题类型诉求类型投诉详情在信而富借款金额并没有直接到达银行卡，而是直接强制性购买物品，显示是24小时到账，合同上面也写着到达银行卡，但是直接强制购买到期还需要还这部分钱，云南信托就是这样通过信而富平台赚取高额利息而富友支付为他们提供第三方交易渠道！。</t>
  </si>
  <si>
    <t>2019/10/11 15:58:31</t>
  </si>
  <si>
    <t>蜜瓜钱包违规收取砍头息，高利贷，暴力催收，爆通讯录，言语辱骂恐吓等等，是国家严厉打击的金融套路贷。</t>
  </si>
  <si>
    <t>2019/10/11 15:58:12</t>
  </si>
  <si>
    <t>投诉人潘先生投诉对象捷信金融涉诉金额10000元问题类型诉求类型投诉详情陆陆续续钱已经还了8000多，然后再让我还11000元，现在电话打来说让我在浙江宁波准备好，什么起诉啊。</t>
  </si>
  <si>
    <t>2019/10/11 15:57:45</t>
  </si>
  <si>
    <t>投诉人崔先生投诉对象立借涉诉金额6500元问题类型诉求类型投诉详情昨天立借平台打电话过来，说借6500，一个月还8100，还是减免了利息，给两天时间考虑，不还就爆通讯录，和立借平台浪费了3天时间，给的处理结果就是，要么还，要么爆通讯录！没办法，只能还，希望平台能够帮忙解决这个问题。</t>
  </si>
  <si>
    <t>2019/10/11 15:57:16</t>
  </si>
  <si>
    <t>10月3日，我们5人在大理租车环洱海，提前在携程上租的通顺汽车租赁有限公司的车，一天的费用原价498元，但是路上不小心开进路边，撞到了车头，首先是租车行联系了修车行叫了一个师傅过来，师傅联系了保险公司，然后联系了警察过来报案，修车行公司叫了吊车和拖车，说这两个费用需要我们自己先垫费1400元，携程的下单界面是这么写的：1500元以上都不用赔付租车行说法：5000元以下30%，5000－10000元40%车辆折损费+100%误工费，修车行师傅预估修理费用6000元，预计修理时间18天，原因是国庆放假，汽车没有</t>
  </si>
  <si>
    <t>2019/10/11 15:57:10</t>
  </si>
  <si>
    <t>投诉人胡女士投诉对象莱神园涉诉金额2300元问题类型诉求类型投诉详情无订单编号，资金冻结迅速，实名认证了就因为一个卡号填错，冻结我的所有平台资金，并且解冻必须充值与冻结资金一样的钱，请求把钱退回原主账号。</t>
  </si>
  <si>
    <t>2019/10/11 15:57:07</t>
  </si>
  <si>
    <t>双证优享司机，一点单都没有，经常坐几个小时才来一单，一天到晚10几个小时，才200多块钱！！真的心累，当初滴滴出行平台说好的，倾向派单呢！！！！！。</t>
  </si>
  <si>
    <t>2019/10/11 15:57:00</t>
  </si>
  <si>
    <t>需要买一本《前端架构：从入门到微前端》的纸质书，。</t>
  </si>
  <si>
    <t>2019/10/11 15:56:59</t>
  </si>
  <si>
    <t>美团金融威胁借款人，我是借款了，我也在上班努力挣钱还款，你们搞成这样，威胁去我们公司，谁还有心情还钱。</t>
  </si>
  <si>
    <t>2019/10/11 15:56:57</t>
  </si>
  <si>
    <t>米米罐,青岛路力软件,青岛融科汇智科技有限公司，和青岛融科汇智科技有限公司为其提供支付通道要求退还我3个月高额利息，因为周转借款米米罐app，很多次了，从来没有逾期，借款1500，砍头息多550，28天周期，利息严重超过国家规定，查银行扣款和打款记录，是青岛路力软件，和青岛融科汇智科技有限公司为其提供支付通道，要求退还我3个月高额利息！。</t>
  </si>
  <si>
    <t>2019/10/11 15:56:48</t>
  </si>
  <si>
    <t>还款日当天未逾期中腾信提醒还款人员，就开始暴力催收，扬言自己是催债的，要求本人要半个小时内处理，否则暴打通讯录联系人，告知今天未逾期属于正常还款日，晚一点点会处理，对方就开始侮辱恐吓，并且说要拨打联系人让联系人帮我还，问是否是中腾信要求这样做，为何有我联系人信息，言就是公司授权，就是收债的，告会通过聚投诉投诉中腾信，泄露我个人信息，涉及暴力催收，对方言随便投诉，根本不当一回事，还说可以提供录音给我投诉，这种行为无法无天，已经致电中腾信客服投诉，客服人员根本不当一回事，工作人员还通过手机号码给本人和联系人发短</t>
  </si>
  <si>
    <t>2019/10/11 15:56:20</t>
  </si>
  <si>
    <t>系典型的714超高利贷非法平台，在借款人填写完了资料之后，在未取得借款人同意的情况下，直接强制下款，借款3500元，实际到账2187元，还款需要还款3517元，第二，平安银行系国家大型商业银行，竟然为该高利贷平台提供放款渠道，天理难容！第四，全部的银行记录如下图所示，我要求平安银行向我提供“花月钱包”阿里花商户的全部信息，包括但不限于该平台实体公司名称、注册地址、法人信息等，届时我将向“阿里花”商户注册地警方、监管部门举报，并退还我多支付的息费，并作出赔偿，如平安银行不作为，我将继续向银监会、中国互联网金融</t>
  </si>
  <si>
    <t>2019/10/11 15:56:14</t>
  </si>
  <si>
    <t>经朋友介绍，说45个工作日中医理疗师能下来，办了2个证书5000元，中途多次询问都回复办着呢，从来不正面回答问题，也不给说法，110个工作日才下来，邮费到付，态度很恶劣，就说给你办没办下来吧。</t>
  </si>
  <si>
    <t>2019/10/11 15:55:57</t>
  </si>
  <si>
    <t>本人今日向蜜瓜钱包借款2200元本来一开始信息显示是借款十天，利息才七块，结果申请好以后说是有人工审核，我电话没有接到，钱款却由汇潮支付有限公司转入1430，然后蜜瓜钱包说我的2200借款已到账，跟我借款的时候显示的信息完全不一样，砍了高额利息，信息费，我借2200元他只打给我1430，中间差了要八百块了而且才七天，等于一天就要一百的利息，这不是高利贷是什么，而且客服也加不上，既不能撤销退款又不能协商，希望平台能帮我联系下，把这个钱原路返还，按银行正常日利息归还。</t>
  </si>
  <si>
    <t>2019/10/11 15:55:56</t>
  </si>
  <si>
    <t>中信银行催收人员，未经允许，到单位，给单位打电话，还每天不停的给我打电话，，7月中旬，我尝试自己还款的时候，他们给我把卡锁了，。</t>
  </si>
  <si>
    <t>2019/10/11 15:55:55</t>
  </si>
  <si>
    <t>投诉人杨先生投诉对象拉卡拉涉诉金额10400元问题类型诉求类型投诉详情逾期一天，正在四处筹集资金，早上起来就和拉卡拉客服沟通过，说明这两天会尽快还款，先还了身上仅有的200元，结果中午直接打了我父母的电话，吓得我母亲在工地就打电话问我情况，我告知我母亲正在筹集资金还款，结果拉卡拉催收不停拨打我母亲电话威胁催款，态度恶劣。</t>
  </si>
  <si>
    <t>2019/10/11 15:55:52</t>
  </si>
  <si>
    <t>我的交通银行信用卡总额度是8000之前还了4000，剩下的这4000我是每个月按最低还款还的，后来逾期了170天，显示还有4900多我我刚问客服客服说利息是安总欠款4000算的我然后的话就是4000*170*0.00005=38元.，不就是全部的嘛我可她们还是显示有4900多为还，我跟客户说了我是工资发的不及时所以导致欠款的，你觉得这800能解决问题吗我意思是我恶意拖欠。</t>
  </si>
  <si>
    <t>2019/10/11 15:55:43</t>
  </si>
  <si>
    <t>还款当天不消停的打电话催收，基本半小时一个小时打一次，有时候接着接着打，钱还进去了就不让用了，希望能恢复额度能借出来用一下。</t>
  </si>
  <si>
    <t>2019/10/11 15:55:21</t>
  </si>
  <si>
    <t>投诉人曾先生投诉对象快钱支付涉诉金额9200元问题类型诉求类型投诉详情本人在2019年8月12日在英雄花小额平台借款2500元、到帐金额1625元，借款期限5日、一共展期10次，共展期10次每次利息877.5元，第十一本息共结清2002.5元，共付利息8275，均由财付通支付科技有限公司、易宝支付、镇江陈洋网络科技有限公司、合利宝、快钱支付清算信息有限公司第三方支付平台为714高利贷提供的违规操作！现要求英雄花和以上提供第三方支付平台退回违规收取多出人民银行规定外的高利和砍头息，如果不作出回应本人将把所有数</t>
  </si>
  <si>
    <t>2019/10/11 15:55:14</t>
  </si>
  <si>
    <t>因本人经营问题出现资金短缺，在本人未失联并且不断小额还款过程中，爆我通讯录，在申请时我提供的紧急联系人为我认可可以联系人员，但是拍拍贷现在联系到很多我的朋友和家人，并且对这些无辜人士进行电话骚扰，并且在电话骚扰中明确提出，请对方催促吕明还款，如吕明未还款会继续不停拨打电话直到吕明还款，并且多次变换号码拨打，让无辜人士无法屏蔽骚扰来电，在我本人和催款客服沟通中，客服并不听取我的任何话语，只是粗暴的问有钱还没有，没钱还就爆通讯录然后就挂机，并且我的朋友并没有和拍拍贷有任何关系，现在我在未还款完成前，拍拍贷不断骚</t>
  </si>
  <si>
    <t>2019/10/11 15:55:07</t>
  </si>
  <si>
    <t>4万块钱36期每月还2080，年化利率百分之55，已还22期还剩十四期要求按照国家规定百分之二十四年化率偿还。</t>
  </si>
  <si>
    <t>2019/10/11 15:54:49</t>
  </si>
  <si>
    <t>投诉人 杨先生        投诉对象  民生银行        涉诉金额  0 元    问题类型    诉求类型投诉详情  我很久就没有联系过此人了 之前民生银行一直打电话 说没联系了 还打 现在一直发短信 烦人</t>
  </si>
  <si>
    <t>2019/10/11 15:54:48</t>
  </si>
  <si>
    <t>银行信用卡第三方不知道从哪里找到我现在老公的电话，和他女儿的电话不停的打，我都说了尽力还款，她们却还是说些乱七八糟的话，又说上门来催收，又说来我工作的单位，我说来单位催收我没有工作了怎么还钱，她们说管不了那么多，而且我已经打电话到当地的银行协商还款了，本地的银行都同意了，催收却不同意，她们这强盗行为就没人管吗。</t>
  </si>
  <si>
    <t>2019/10/11 15:54:37</t>
  </si>
  <si>
    <t>2019年9月30于京东商城购买的手机，因逢国庆假期出游，系统自动默认签收，国庆节后回来申请退款客服以超时为由拒绝退款，说可以换，后要求换颜色又被拒，说只能换一摸一样的。</t>
  </si>
  <si>
    <t>2019/10/11 15:54:18</t>
  </si>
  <si>
    <t>投诉人陈女士投诉对象360借条涉诉金额5500元问题类型诉求类型投诉详情本人陈启琴在360借条借有款项5500元，现已逾期8天，因自己家里特殊情况发生，未能及时还款，但是欠债还钱，天经地义，我现在一直在努力的赚钱还360借条，本来打算给同事借钱还得，因360借条催收打电话给了同事，连亲戚朋友都躲着我，希望360借条能停止催收。</t>
  </si>
  <si>
    <t>2019年6月27借款700，到账455元，从7月份开始续期至今，光续期费用已达3400多元，利息以及费用实在太高，负担不起了，续期截图都上传了，希望程咬金能给予销账！。</t>
  </si>
  <si>
    <t>2019/10/11 15:54:17</t>
  </si>
  <si>
    <t>暴力催收，到处打电话威胁，恐吓，严重造成家人精神失常。</t>
  </si>
  <si>
    <t>2019/10/11 15:53:54</t>
  </si>
  <si>
    <t>现在315期间他们还敢骚扰通讯录里的人，国家规定借款是本人的事情，只可以联系本人，但是他们公司一直在骚扰与欠款无关的人，麻烦聚投诉工作人员着重处理，拍拍贷委托的第三方催款电话07566288885、07566288887连续恶意骚扰联系人，态度恶劣，言语辱骂，无视国家相关规定，请严查。</t>
  </si>
  <si>
    <t>2019/10/11 15:53:18</t>
  </si>
  <si>
    <t>注册软件后显示有2万额度;然后到软件钱包里面;取现要支付工本费1000元;然后没有支付;到下午就突然发短信说合同开始生效;打开就要开始还款，问客服客服只说让看合同;最后没办法只能付1000工本费取现;结果付钱后取现一直不到账;客服直接就说让看银行卡信息是不填错;注册的时候明明都是对的;突然就错了，然后钱被冻结了;客服又说让支付4000元;不退款不取消合同;说不先解冻就没法退款;。</t>
  </si>
  <si>
    <t>广州志能信息科技有限公司</t>
  </si>
  <si>
    <t>21CN</t>
  </si>
  <si>
    <t>新闻</t>
  </si>
  <si>
    <t>2019/10/11 15:53:16</t>
  </si>
  <si>
    <t>2019/10/11 15:53:08</t>
  </si>
  <si>
    <t>英孚教育课程霸王条款，17999元24个月，一个月内发现上课和之前销售说的完全不符，根本学不到东西！申请退款后，售后说我超过14天了，要扣除4500元~但是我一个月都没有上几节课，要扣4500.之前办理分期的时候，说有钱花是教育贷款，没有额外利息，办完分期后居然后1000多的利息，强烈要求全额退款..课程安排太不合理了，我要自己学，然后在上课，上课就30分钟，然后一节课下来根本没有什么收获，真的太吃力了~。</t>
  </si>
  <si>
    <t>2019/10/11 15:52:57</t>
  </si>
  <si>
    <t>伪劣产品，商家还在扯皮，我投诉，不解决，不撤诉。</t>
  </si>
  <si>
    <t>2019/10/11 15:52:45</t>
  </si>
  <si>
    <t>今天催收来电话，说有款项逾期了，我说要还款，约定了下午两点联系，说好的，到了三点还没有联系，我拨打回去，电话关机，拨打客服，转告后回电，我不认可，表示只有这一种办法，不然就联系我家人，我告诉她，家里人岁数大了，有心脏病，高血压，不能联系。</t>
  </si>
  <si>
    <t>2019/10/11 15:52:37</t>
  </si>
  <si>
    <t>投诉人武女士投诉对象平安普惠涉诉金额10000元问题类型诉求类型投诉详情平安普惠，频繁骚扰，恶意侮辱，非法盗取个人信息，以骚扰工作单位威胁还款，本人也打电话亲自核实有电话录音证实！并有经本人核实属平安普惠的辱骂电话为证！。</t>
  </si>
  <si>
    <t>2019/10/11 15:52:20</t>
  </si>
  <si>
    <t>投诉人 黄先生        投诉对象  招联金融        涉诉金额  700 元    问题类型    诉求类型投诉详情  招联金融恶意p图，群发骚扰短信。冒充司法安监发送恐吓短信。本人承诺还款，且有还款意愿。但是催收电话态度恶劣。并且电话及短信骚扰本人亲属联系人。</t>
  </si>
  <si>
    <t>2019/10/11 15:52:18</t>
  </si>
  <si>
    <t>投诉人傅先生投诉对象微粒贷涉诉金额31000元问题类型诉求类型投诉详情微粒贷四月份上门沟通，达成协议，说让我等待协商结果，五个多月过去了没有任何反应，现在换了家催收公司继续催收，无视之前的沟通结果，电话轰炸，对我个人工作生活造成严重影响，在我有意处理的时候，微粒贷无视，现在我短时间没能力处理的情况下，微粒贷电话轰炸。</t>
  </si>
  <si>
    <t>2019/10/11 15:52:04</t>
  </si>
  <si>
    <t>大连中通分拨中心有限公司我多次联系无人接电话。</t>
  </si>
  <si>
    <t>投诉人李女士投诉对象洋钱罐涉诉金额1038元问题类型诉求类型投诉详情因本人生病住院导致逾期，现金借款爆通讯录，打电话给亲戚朋友，态度恶劣，要求几点几点还款，这是家人发给我的催收电话！。</t>
  </si>
  <si>
    <t>2019/10/11 15:51:55</t>
  </si>
  <si>
    <t>钱橙无忧app本是贷款中介，用户注册平台确强制性让用户购买个人风险自检评估报告，app里面根本没有介绍这个费用，骗子平台，没提示就直接扣掉168元，要求立即退款！。</t>
  </si>
  <si>
    <t>2019/10/11 15:51:02</t>
  </si>
  <si>
    <t>及贷上次就冒充法院的人恐吓本人和家人，并没有道歉和解释，最近不停地骚扰联系人。</t>
  </si>
  <si>
    <t>2019/10/11 15:50:29</t>
  </si>
  <si>
    <t>广发银行信用卡催收暴力威胁如不在规定时间还款，直接拨打我父亲我朋友的电话，我还款最低还款后，来电称我需要要求处理全款，态度恶及，在和她们客服沟通了解后，说不需要还全款，此行为欺诈消费者属实。</t>
  </si>
  <si>
    <t>2019/10/11 15:50:28</t>
  </si>
  <si>
    <t>平台下的存钱柜申请借款3000元，当时合同表明借款期限为4期，后来还款实际为7天一期，3000元的实际借款期限为28天，每期还款金额为1024元，4期累计还款4096元，已经远远高于国家规定的24%-36%的利率，已经达到了违法高利贷的标准！且存钱柜频繁变更名称，，有故意逃避国家打击的嫌疑！本人现已还清3期，累计还款金额为3072元，已经超过本金，最后一期希望协商还款，希望以合理利率销账结清，请速与我联系！。</t>
  </si>
  <si>
    <t>2019/10/11 15:49:53</t>
  </si>
  <si>
    <t>投诉人 逯先生        投诉对象  玖富万卡        涉诉金额  7 000 元    问题类型    诉求类型投诉详情  利率太高，阴阳合同超过国家规定的法律规定</t>
  </si>
  <si>
    <t>2019/10/11 15:49:10</t>
  </si>
  <si>
    <t>群发消息，威胁恐吓，逾期3天各种威胁，解释了在给一点时间，无法协商。</t>
  </si>
  <si>
    <t>2019/10/11 15:48:55</t>
  </si>
  <si>
    <t>到手只有1200元，开了一张2000多的合同。</t>
  </si>
  <si>
    <t>2019/10/11 15:48:45</t>
  </si>
  <si>
    <t>买家昨天晚上在未付款的情况下问是否可以发货，在我们回复他需要的型号是要2到3天才能发货的情况下执意付款，算好时间后在第二天的早上申请未按规定时间发货，我们打电话过去被挂断并且加入黑名单，淘宝也不理睬，不予协商修改，因淘宝最多只能赔偿100元，此买家故意拍1000元的货物，大批淘宝卖家遇到此类问题，都向淘宝反映都无果，也找不到淘宝人工客服。</t>
  </si>
  <si>
    <t>2019/10/11 15:48:28</t>
  </si>
  <si>
    <t>因本人交通事故摊上了法院官司法，农行立刻锁了本人正常使用达十几年的信用卡。</t>
  </si>
  <si>
    <t>2019/10/11 15:48:26</t>
  </si>
  <si>
    <t>财付通微信充值无理由扣我500元，点击不了消费详情。</t>
  </si>
  <si>
    <t>2019/10/11 15:48:24</t>
  </si>
  <si>
    <t>维信金科旗下豆豆钱不仅收取砍头息而且利息也高没办法急用钱咱也得求人啊，维信金科旗下豆豆钱不仅收取砍头息而且利息也高没办法急用钱咱也得求人啊 十月一号当天因为放假要出去玩需要一笔资金我就在豆豆钱平台申请了借款 当时平台也没提示什么节假日不放款什么的 然后我看没下款我也没着急 等着他们客服上班了我在打电话质询 没想到客服这一拖就是十多天 每天都是在给我催促加急 一点结果都没有 他们客服千篇一律让我有耐心 我耐心个锤子 我等十多天了我还耐心 我要求取消订单也不行 要求帮忙催一下放款也不行 总拿工作日当借口 那我还</t>
  </si>
  <si>
    <t>2019/10/11 15:48:18</t>
  </si>
  <si>
    <t>投诉人向女士投诉对象小花钱包涉诉金额3000元问题类型诉求类型投诉详情在小花平台，借款四千，实际到账三千，额外的利息也很高，而且，盗取了通讯录的所有联系人资料，群发短信说我欠了3000块。</t>
  </si>
  <si>
    <t>投诉人 汪女士        投诉对象  韵达快递        涉诉金额  100 元    问题类型    诉求类型投诉详情  多次主动致电不配送快件 一天拖一天 4号已经显示在派件 至今未收到回复 联系派送的工作人员敷衍 一拖在拖。联系客服说帮忙查询也是至今未给答复</t>
  </si>
  <si>
    <t>2019/10/11 15:48:17</t>
  </si>
  <si>
    <t>使用过趣花手机贷多次，一开始都是大额分期的，后来变成了单期一个月，利息高达30%，到账后直接扣取的费用，要求趣花手机贷退还不合法利息！！最后一次2600元的借款，到手1900左右，还款2676，请退回砍头息！！。</t>
  </si>
  <si>
    <t>2019/10/11 15:47:37</t>
  </si>
  <si>
    <t>提现还有12一直审核的，现在11左右提现不了，不知道app是不是跑路了，客服从来都加不了，没有任何途径联系。</t>
  </si>
  <si>
    <t>2019/10/11 15:47:29</t>
  </si>
  <si>
    <t>合利宝无故未经过本人知晓情况下，私自扣款用途不明。</t>
  </si>
  <si>
    <t>2019/10/11 15:46:38</t>
  </si>
  <si>
    <t>借款两千，合同却写3960，说是什么服务费，管理费，之前催收打电话威胁恐吓我家人，朋友，导致家里老人卧病在床，这边要求钱站给出合理合法的解释。</t>
  </si>
  <si>
    <t>2019/10/11 15:45:55</t>
  </si>
  <si>
    <t>最后一次上当再也不相信app了希望聚投诉帮帮忙万分感谢。</t>
  </si>
  <si>
    <t>2019/10/11 15:45:27</t>
  </si>
  <si>
    <t>我正常做海鲜产品生意的，莫名奇妙把我支付宝账户封杀了，说我非法操作，请问我非法什么操作了。</t>
  </si>
  <si>
    <t>2019/10/11 15:45:09</t>
  </si>
  <si>
    <t>恶意扣款299元，希望获得赔偿并不再发生此情况。</t>
  </si>
  <si>
    <t>2019/10/11 15:44:49</t>
  </si>
  <si>
    <t>被引诱到一个网站充值入金18万多，后来发现是网络赌博平台，并非正规的购彩网站，通过中国人民银行和支付清算协会沟通得知第三方支付业务应审核客户的相关信息，第三方支付公司不得向证券、期货、博彩等机构提供支付结算业务，为违法违规机构平台提供支付结算通道即产生了涉嫌洗钱的嫌疑，作为有牌照的支付公司没有履行国家相关法律法规要求，金融机构客户身份识别和客户身份资料及交易记录保存管理办法，等规定，切实履行反洗钱义务和识别客户身份的义务，希望有工作人员能够联系，要求第三方支付机构退回被扣款项。</t>
  </si>
  <si>
    <t>2019/10/11 15:44:26</t>
  </si>
  <si>
    <t>在大众点评预定酒店，可是到达酒店被告知超时无法入住。</t>
  </si>
  <si>
    <t>2019/10/11 15:44:14</t>
  </si>
  <si>
    <t>投诉人韩超投诉对象京东商城涉诉金额4980元问题类型诉求类型投诉详情商家虚假宣传有腰部和臀部按摩气垫功能，被发现后死不承认，然后在网上宣传里偷偷把这两项功能删除，投诉多次京东专员一直以电话接不通为由不沟通，然后以发错货为由让我接受更换及退货，该商品一直在出售且现在也没有腰部和臀部按摩功能，京东专员强硬解释说这就是发错货，只要商家给你加上这个功能就不算虚假宣传，可是我买的这个型号根本就没这个功能，商家各型号产品也未见之前宣传的功能，。</t>
  </si>
  <si>
    <t>2019/10/11 15:43:49</t>
  </si>
  <si>
    <t>莫名其妙被扣199这个贷款公司真垃圾都他妈的是套路。</t>
  </si>
  <si>
    <t>2019/10/11 15:43:48</t>
  </si>
  <si>
    <t>恶意扣款，扣款一次扣两次，我配送订单过程中有两个订单快超时了，当时比较着急误点了其中一个送达，就是说看错了以送达的订单，然后说我违规扣款15，然后又说我欺诈扣款10快。</t>
  </si>
  <si>
    <t>2019/10/11 15:43:34</t>
  </si>
  <si>
    <t>微信商户违规冻结资金，无法提现，微信商户投诉维持原判，不给退回资金。</t>
  </si>
  <si>
    <t>2019/10/11 15:43:33</t>
  </si>
  <si>
    <t>投诉人 林先生        投诉对象  造艺科技        涉诉金额  299 元    问题类型    诉求类型投诉详情  这个软件扣我钱，急用钱包。上次投诉答应给我退，到现在没退。</t>
  </si>
  <si>
    <t>2019/10/11 15:43:29</t>
  </si>
  <si>
    <t>投诉人赵女士投诉对象唯品会涉诉金额192元问题类型诉求类型投诉详情本人9月9日购买687元三件商品服装，因为是孕妇目前已经9个半月了，所以买的商品都没有试穿，全新、商标都在，前两天网站又降价促销降价商品都有降价，299元现在239元销售，309元降价为187元销售，两件商品近200的差价，跟客服联系，客服不予受理，因此想再次投入，希望能解决，补差价或者退货重买，因为我买的时候已经怀孕8个半月，商品并未试穿，不影响二次售卖，希望能给予特殊申请。</t>
  </si>
  <si>
    <t>2019/10/11 15:43:18</t>
  </si>
  <si>
    <t>拍拍贷，各种打我电话，又不是我借的款，找我干啥，有些电话骚扰拦截都拦截不了，还来威胁我！已经严重打扰我的正常生活，要求道歉！。</t>
  </si>
  <si>
    <t>2019/10/11 15:43:03</t>
  </si>
  <si>
    <t>易宝支付平台从来没听说过也没什么交易擦肩平台也没注册过的就要给我回复给我赔偿。</t>
  </si>
  <si>
    <t>2019/10/11 15:42:45</t>
  </si>
  <si>
    <t>11月8日，在宜人贷借款80000元，最后发现合同上显示是89800，想问这些多出来的是什么，我也没到账，当时分了36期，每期还款金额是3494.51元，合计三年下来还款金额是125802.18‬元，除去本金80000元，多还45802.36元，10月11日沟通提前还款，客服说还需要还37232.25，不接受协商。</t>
  </si>
  <si>
    <t>2019/10/11 15:42:24</t>
  </si>
  <si>
    <t>投诉人余先生投诉对象交通银行涉诉金额10889元问题类型诉求类型投诉详情我的交通银行信用卡额度是9000.现在催收打电话给我让我当天必须处理一万1.如果不处理那就寄律师函到我的家庭住址,户籍地址,单位地址三个地方.并且每天都打电话到我的单位骚扰我.导致我现在无法正常上班.并且跟我说要派他们的工作人员到我的单位地址来找我,让我去他们公司签订还款协议.他说他的工号是a224896.深圳交通银行信用卡中心的.说自己是司法部的人.。</t>
  </si>
  <si>
    <t>2019/10/11 15:42:15</t>
  </si>
  <si>
    <t>投诉人刘女士投诉对象魔借涉诉金额3000元问题类型诉求类型投诉详情骚扰家人，雇其他催收公司人员进行人身威胁。</t>
  </si>
  <si>
    <t>2019/10/11 15:42:00</t>
  </si>
  <si>
    <t>今天给我发了这样一条短信，你好，现针对逾期客户个人账号进去审查阶段，将对微信、QQ暂时封号处理，若检测到私自解封账号并且达到最多限制次数，存在风险客户将进行永久封号。</t>
  </si>
  <si>
    <t>2019/10/11 15:41:56</t>
  </si>
  <si>
    <t>投诉人杨女士投诉对象拼多多涉诉金额10元问题类型诉求类型投诉详情我9.24日购一套男士运动套装，二十八日晚上收到货，十月一日上身穿，十月三日衣服肩膀前胸，后背起毛，联系商家，商家让退货，咨询运费，商家答复有运费险，衣服发走后货款到了，运费却被平台取消了，打电话给官方说是等专员处理，第二天直接APp直接一条消息说不能确定是商家的问题，那你意思你就能确定是消费者问题了吗，我又给官方打电话要求电话回访我，下午又收到一条信息，还是一样的说辞！电话也没打！你不给我打电话核实，你自己想想责任就在消费着了吗。</t>
  </si>
  <si>
    <t>2019/10/11 15:41:55</t>
  </si>
  <si>
    <t>投诉人何女士投诉对象汇通租赁涉诉金额60000元问题类型诉求类型投诉详情汇通租赁有限公司上门催收债务，并要求一次性结清所有还款，因为当时办的车辆抵押贷款，因为银行卡丢失问题，又因为失业状态，逾期了三个月，没有按时打卡还钱，公司催收人员上门催收，并要求强制收回车辆，我要他们给一个月的时间全部结清，他们强制要求收回车辆并走司法程序。</t>
  </si>
  <si>
    <t>2019/10/11 15:41:50</t>
  </si>
  <si>
    <t>投诉人肖女士投诉对象拍拍贷涉诉金额4530元问题类型诉求类型投诉详情举报拍拍贷违法套路贷高利贷暴力催收行为1.剩余未还4500多，已经多次与拍拍贷客服主动协商，暂时经济周转不开，后面努力赚钱可以慢慢结清，如果一次性提前结清压力太大没有减免负担很大没办法解决全部，这是在我主动找平台商量的第一步，并没有躲着或者是逃匿，2.协商时多次提到被拍拍贷平台暴力催收，严重影响亲朋好友生活和工作，严重侵犯个人隐私以及名誉，3.拍拍贷的综合年利率超过国家规定的24%，借款8000元，每月还906.12元，总共需还10873元</t>
  </si>
  <si>
    <t>2019/10/11 15:41:33</t>
  </si>
  <si>
    <t>投诉人李先生投诉对象你我贷涉诉金额35000元问题类型诉求类型投诉详情现在到处都是电话，严重影响到我的正常生活，恐吓，辱骂我及我家人，造成我家人现在严重精神失常。</t>
  </si>
  <si>
    <t>2019/10/11 15:41:31</t>
  </si>
  <si>
    <t>投诉人万女士投诉对象掌众金服涉诉金额2200元问题类型诉求类型投诉详情商城今日到期，昨天给客服打电话说不能续期，看有的可以分期，好像逾期后才能，因本人原因需到月底30号才可还款，分期也可以，不要求还本金这些诉求，能续期那就续期，分期就分期，如若都不能，给大概一个礼拜时间也行，真的非常感谢！。</t>
  </si>
  <si>
    <t>2019/10/11 15:41:00</t>
  </si>
  <si>
    <t>投诉人胡女士投诉对象钱站,华夏银行涉诉金额28000元问题类型诉求类型投诉详情因本人借了28000千元的贷款，借的时候确定28000元，下款成功一看合同变成36900，明显的套路贷，我是冲着雷佳音这个代言人才相信你们钱站平台，我以为正规网贷，你们利用雷佳音引诱我们借款，然后下款额度和合同上不符合，挂着羊头卖狗肉，你们良心何在。</t>
  </si>
  <si>
    <t>2019/10/11 15:40:59</t>
  </si>
  <si>
    <t>投诉人张先生投诉对象支付宝涉诉金额2900元问题类型诉求类型投诉详情凭什么说我违规。</t>
  </si>
  <si>
    <t>2019/10/11 15:40:57</t>
  </si>
  <si>
    <t>投诉转达，一直不回处理，打客服电话几次无人接听，在线客服，投诉后一直排队，没链接成功过。</t>
  </si>
  <si>
    <t>2019/10/11 15:40:46</t>
  </si>
  <si>
    <t>投诉人李女士投诉对象微粒贷涉诉金额1200元问题类型诉求类型投诉详情昨天已经投诉过。</t>
  </si>
  <si>
    <t>投诉人林女士投诉对象友信涉诉金额57000元问题类型诉求类型投诉详情我在友信借款110000元，分36期，每期还款5344元，但是合同借款金额为167000元，实际才到账110000元，涉嫌巨额砍头息，这个月因为自身原因晚还款半天，逾期费竟然收取668.4元，还款金额5334已经存进还款APP，但是因为晚半天还是收取了668.4的逾期费用，而且按照每天134元递增，再收取高昂利息的基础上再违规收取砍头息及高昂逾期费完全无视法律法规。</t>
  </si>
  <si>
    <t>2019/10/11 15:40:30</t>
  </si>
  <si>
    <t>10月9日，本人通过微信公众号“滇医通”预约2019年10月11日15时云南昆明医科大学第一附属医院运动医学科专家门诊蔡国锋医生，抵达医院后被告知，蔡国锋医生因个人失误无法会诊。</t>
  </si>
  <si>
    <t>2019/10/11 15:40:29</t>
  </si>
  <si>
    <t>投诉人吴先生投诉对象借贷宝涉诉金额1950元问题类型诉求类型投诉详情由于本人操作失误，借款人已按时还款，我忘记消帐导致逾期一天，现在消账，平台向借款人索要100元逾期管理费才能消账，并对其进行催收。</t>
  </si>
  <si>
    <t>2019/10/11 15:40:27</t>
  </si>
  <si>
    <t>投诉人历先生投诉对象拍拍贷涉诉金额14000元问题类型诉求类型投诉详情不是不还是没钱还给家里人打电话暴力催收。</t>
  </si>
  <si>
    <t>2019/10/11 15:40:08</t>
  </si>
  <si>
    <t>投诉人王女士投诉对象360借条涉诉金额315元问题类型诉求类型投诉详情剩下300多完全够多出的利息，我要求销账，不停联系骚扰我家人，连续骚扰有2个多月有余，要求停止骚扰。</t>
  </si>
  <si>
    <t>2019/10/11 15:39:38</t>
  </si>
  <si>
    <t>投诉人摆先生投诉对象360借条涉诉金额1元问题类型诉求类型投诉详情360借条莫名其妙用网络电话多次骚扰通讯录。</t>
  </si>
  <si>
    <t>2019/10/11 15:39:10</t>
  </si>
  <si>
    <t>我在钱站上面借了三千，分三期，到账三千，结果第一期要还1800，我还进去之后发现不对劲，一看我三期都要还1800-1900，找客服协商我说用了一个月我提前结清，客服让我全部归还，加上之前还的第一期，一共要还5500多，借三千三个月一共要还5500多，这已经不是高利贷了，简直就是超力贷，我已经在我居住地派出所咨询了，说是套路贷，我现在到网上投诉，就是为了让国家有关部门，让更多人知道，朗朗乾坤之下我们国家还有这些藏污纳垢的东西，希望国家能管一管，这种高利贷和古代封建王朝的印子钱有什么区别！。</t>
  </si>
  <si>
    <t>2019/10/11 15:39:05</t>
  </si>
  <si>
    <t>本人于2013左右在招商银行信用卡办理一张额度5000信用卡，后面因为按时还款额度直接提升43000并且给了50000临时额度，15年因为生意投资失败，还款能力不足，和招商协商还款不肯导致逾期，期间陆陆续续一共还款了将近12万多，中间招行收入罚息滞纳金就将近3到4万，招行临时额度收取滞纳金方式明显过高，但是当时因为生意问题没有细想，卡于15年左右还完注销，近日朋友微信回复可以向招行申请返还部分罚息并且今日已经到账，我昨天向招行投诉，今日招行02138834600工号C02女客服回复电话，态度极其恶劣，说怀疑</t>
  </si>
  <si>
    <t>2019/10/11 15:38:49</t>
  </si>
  <si>
    <t>买门面不到12个小时，由于种种原因，然后有欺骗性子不想买门面了，想退但是不给退定金。</t>
  </si>
  <si>
    <t>2019/10/11 15:38:43</t>
  </si>
  <si>
    <t>本人于2017年就开始使用闪银，从未有过一笔逾期，本月因涉及公司开资时间调整，所以还是用自己仅有的2800元还了瞬瞬，想着再周转出来还哼哼，谁知道瞬瞬套路，直接身无分文，无法还款哼哼，昨晚借了200元还是第一时间还入哼哼，所以现在剩余2600元本期无法还清，希望贵公司能看到本人的还款意愿，对本期哼哼开启延期服务并停止骚扰！请速与我联系！。</t>
  </si>
  <si>
    <t>2019/10/11 15:38:33</t>
  </si>
  <si>
    <t>我从昨天下午开始，在app多次操作主动还款，都没能成功还款，上个月也是同样手段造成我逾期一天，收取我高额逾期费用！我的诉求有2点，2.把上个月的逾期费用135.44退还给我。</t>
  </si>
  <si>
    <t>2019/10/11 15:38:27</t>
  </si>
  <si>
    <t>每个人都会遇到困难的时候，与交通银行信用卡催收部，沟通申请分期还款，催收部不同意，要求几点几点之前必须还一部分，因为现在确实经济困难希望将欠款部分做分期处理，每个月处理一部分，催收部咄咄逼人，多次威胁联系亲戚朋友和单位造成工作不保，不是不还钱，只是遇到困难申请分期还款，非得逼的单位亲戚朋友都知道，这种软暴力催收，可能就是催收的极个别的人，希望银行能够给出合理的方案，并且停止骚扰亲戚朋友以及本人，每天晚上八九点钟还多次打电话骚扰，希望能停止骚扰。</t>
  </si>
  <si>
    <t>2019/10/11 15:38:24</t>
  </si>
  <si>
    <t>本人因为前段时间投资失败被骗，欠广发银行信用卡总额120000，本期最低要还70000多，逾期未还，期间广发信用卡催收人员多次打电话我也接听了，我一直强调说我对账单有异议，为什么银行要对我限额，不给账单分期，每期的账单都比总额度还高，银行也一直没给我一个确切的答案，只说是银行系统自动核实，当时我也是迫于压力在高利贷平台借了10000还进去，扣掉负额，可用余额还剩5000多，期间客服不停给我打电话，要我取现出来再还进去，多次取现再还就冲抵了所谓的账面上的5万多最低还款，今天接到广发催收部门的电话要求我把700</t>
  </si>
  <si>
    <t>2019/10/11 15:38:18</t>
  </si>
  <si>
    <t>退车还要交车价百分之十的费用，提车还收5000的服务费。</t>
  </si>
  <si>
    <t>2019/10/11 15:38:14</t>
  </si>
  <si>
    <t>借款2000到账1200，手续费800，逾期一天扣款160。</t>
  </si>
  <si>
    <t>2019/10/11 15:38:10</t>
  </si>
  <si>
    <t>2018年10月9日申请贷款10000元，借款合同中约定借款年利率10.3%，利息为541.18元，截至目前，已经累计还款12705元，竟然还有1期1155.96元账单需要偿还，如果偿还，远远高于国家法定借款利率24%，经过查询，发现借款10000元，有2900元服务费和500多元保险费，收取服务费和保险费属于国家法定禁止的行为，累计也超过了法定利率24%的规定，因此按照法定借款利率24%，请求消除该笔账单，返还300元。</t>
  </si>
  <si>
    <t>2019/10/11 15:37:59</t>
  </si>
  <si>
    <t>本人在贷上钱分别借到2000和2500元，逾期15天，需还款6000多，，这15天我通讯录的电话号码被打了好多遍，严重影响我朋友的正常生活，请停止骚扰拨打他们电话，规划平台。</t>
  </si>
  <si>
    <t>2019/10/11 15:37:51</t>
  </si>
  <si>
    <t>投诉人陶先生投诉对象深圳光华普惠,嗨钱网涉诉金额8400元问题类型诉求类型投诉详情一天打七八个骚扰电话，暴力催收，还款不销账，恐吓爆通讯录。</t>
  </si>
  <si>
    <t>2019/10/11 15:37:48</t>
  </si>
  <si>
    <t>投诉人肖先生投诉对象壹心分期涉诉金额2100元问题类型诉求类型投诉详情壹心分期，高利贷，砍头息，借款2100元，秒扣575元，多次借款实在无力承担这么高的利息了，请协商解决。</t>
  </si>
  <si>
    <t>2019/10/11 15:37:24</t>
  </si>
  <si>
    <t>投诉人肖伟投诉对象钱站涉诉金额3000元问题类型诉求类型投诉详情8.28号钱站借款3000元分3个月还，合同上却写的是借款4200元，期间还过100元，但app上却看不到任何明细与还款记录，未经本人许可，通讯录已经被打爆，严重骚扰家人，并威胁。</t>
  </si>
  <si>
    <t>2019/10/11 15:36:54</t>
  </si>
  <si>
    <t>投诉人王女士投诉对象蒋心涉诉金额4000元问题类型诉求类型投诉详情性质恶劣。</t>
  </si>
  <si>
    <t>2019/10/11 15:36:52</t>
  </si>
  <si>
    <t>00:37:58我在立借里的钱置宝下款借款3500元，每期1251.81元，利息已经严重超出国家规定的标准,本人已经还款1期,1251.81元，但从第二期开始，通过该平台app还款,以及支付宝账户均无法还款，多次联系相关客服，均未有任何效果，恶意导致逾期本人逾期，产生高额逾期费用，现在要求平台减免逾期费用以及利息，归还本金销帐，本人已经无力偿还高利贷,如果不依法减免并销帐,本人一定会拨打全国扫黑办电话举报。</t>
  </si>
  <si>
    <t>2019/10/11 15:36:37</t>
  </si>
  <si>
    <t>投诉人金先生投诉对象六便士,自由魔卡涉诉金额2062元问题类型诉求类型投诉详情六便士审批额度2000，先支付会员费540，到账2000，一个月还2062，本人已经无力还款，希望六便士能协商处理，本人在六便士借过好几次款了。</t>
  </si>
  <si>
    <t>2019/10/11 15:36:29</t>
  </si>
  <si>
    <t>投诉人廖女士投诉对象捷信金融涉诉金额0元问题类型诉求类型投诉详情捷信消费金融有限公司天天打我公司电话找人，都说了没有这个人了，还天天打。</t>
  </si>
  <si>
    <t>2019/10/11 15:36:22</t>
  </si>
  <si>
    <t>投诉人吕女士投诉对象招联金融涉诉金额8900元问题类型诉求类型投诉详情招联公司群发本人通讯录是客观的存在的事实，恶意骚扰我朋友，造成朋友工作受影响！并且招联未提前与本人联络沟通欠款适宜！群发通讯录好友的目的是曝光本人欠款信息，并且向本人心里施加压力！故此，要求当事人务必向本人赔偿！昨天投诉一次，招联说会给我回复，截止目前仍然在骚扰我朋友，并没有和我联系。</t>
  </si>
  <si>
    <t>2019/10/11 15:35:53</t>
  </si>
  <si>
    <t>今借到平台存在大量阴阳合同，暴力催收，砍头息，言语辱骂恐吓，爆通讯录的做法。</t>
  </si>
  <si>
    <t>2019/10/11 15:35:17</t>
  </si>
  <si>
    <t>投诉人司吉钢投诉对象有钱花涉诉金额3000元问题类型诉求类型投诉详情通讯录暴露，电话挨个打，几秒钟一个不同的电话。</t>
  </si>
  <si>
    <t>2019/10/11 15:35:12</t>
  </si>
  <si>
    <t>投诉人王先生投诉对象360借条涉诉金额0元问题类型诉求类型投诉详情我一直借到360借条的催收电话，第一我没借钱第二谁给他们勇气对我大呼小叫第三如果再给我打电话我不建议报警。</t>
  </si>
  <si>
    <t>2019/10/11 15:35:08</t>
  </si>
  <si>
    <t>首先投诉及贷催收，我明确表明还款后，威胁恐吓12点不还款直接联系通讯录，已投诉及贷客服，至今不回复，称已经回复我，再投诉及贷高利贷，合同28000.及贷收取高额服务费，保费，砍头息，变相提高合同利率，我致电客服利息问题，客服言24到36是国家承认保护的，我想请问国家什么时候保护承认24以上的利率了，现要求及贷与我就上诉问题提供解决方案，退还保费等不合理费用，修改合同利率，我要一个合理的答复。</t>
  </si>
  <si>
    <t>2019/10/11 15:35:05</t>
  </si>
  <si>
    <t>2017年9月17日在你我金融公司贷款6千元，实际到账5988.02RMB，分期6期，前三期正常还款共3692.66RMB，在第四期还款日出现逾期，客服打电话给我说你我金融公司活动为帮助客户缓解还款压力，把后续三期的还款金融分6期进行，我同意了，可是我不知道这又变成了一个新的借款合同，这个合同没有资金流转，就光是把所以逾期费用再延期还款，可是这个合同的金额比我逾期金额高出66%，此后在2018年3月至7月期间共计还款2649.95元RMB，我一直找客服结清，可是客服一直让我再处理两千余元才能结清，且期间我因</t>
  </si>
  <si>
    <t>非法倒卖承兑汇票涉案金额达到上百亿，先后举报两次为什么就没有下文了呢，如果八里庄派出所处理不了可以上报刑警队和经侦科啊，为什么每次都是不了了之呢，这个公司经营项目为技术推广服务的一个公司为什么可以倒卖金融票据，这是违法经营和非法结算，这种违法犯罪公司为何能生存那么久没有被法办，交子行科技先后在，西安，太原，北京都有窝点，大量招聘业务员全国大肆收售银行承兑涉案金额巨大。</t>
  </si>
  <si>
    <t>2019/10/11 15:34:59</t>
  </si>
  <si>
    <t>本人于2019年9月14日下午16时05分帮助朋友在去哪儿网进行购买了由湖南中铁国际旅行社有限公司为供应商的韶山一日游，因下单后一直未有导游联系我方，也未曾确认订单，朋友决定自行出发，故于2019年18时16分提交了退款，在我提交退款后，供应商于19时27分拒绝了我的退款申请，于19时33分于我朋友进行了联系确认行程，我方明确表示已在对方确认订单前申请退款，但对方安排了平台客服与我联系，告知我无法退款，并且声称供应商也受到了损失，我在对方确认订单前发起的退款，凭什么被驳回，对方一没有确认订单，二没有联系我方</t>
  </si>
  <si>
    <t>2019/10/11 15:34:52</t>
  </si>
  <si>
    <t>投诉人祝梁森先生投诉对象成都誉财教育咨询有限公司涉诉金额24600元问题类型诉求类型投诉详情2018年11月在锦江区人民东路6号四川航空广场1单元4层成都誉财会计咨询有限公司报名专科、本科学历提升培训，并在机构的安排下贷款缴纳24600元，报名时公司承诺交钱包过、不需考试，但其向教育局咨询了解到不会有交钱包过、不需考试的学历提升培训，该公司属于虚假宣传，要求该公司退费被拒。</t>
  </si>
  <si>
    <t>2019/10/11 15:33:40</t>
  </si>
  <si>
    <t>本人在拍拍贷借款16000，分9期还款，总共本金加利息20000多，现在还了8期，这次是最后一期，因为这几个月家里有些事情花了很多钱，手头特别紧，在这最后一期陆续还了700多进去，还差1660未还清，请求延缓几天还款。</t>
  </si>
  <si>
    <t>2019/10/11 15:33:12</t>
  </si>
  <si>
    <t>投诉人吴女士投诉对象尚城消费金融涉诉金额0元问题类型诉求类型投诉详情群发信息电话骚扰，对通讯录好友造成严重困扰。</t>
  </si>
  <si>
    <t>2019/10/11 15:33:11</t>
  </si>
  <si>
    <t>请蓝店公司不要故意拖延提现到账时间，让商户正常拿到辛苦赚来的血汗钱，2019年5月8日提交的提现申请，一直到今天10月11日了还没有打款。</t>
  </si>
  <si>
    <t>2019/10/11 15:33:06</t>
  </si>
  <si>
    <t>投诉人欧阳先生投诉对象钱站涉诉金额7400元问题类型诉求类型投诉详情本人在2019年8月11日在钱站APP借款4000元人民币，一共分三个月还，当时也是别人教我操作的，在第一个月还了2543多元，现在看一下三个月一共要还7400多元，合同金额就写的7400多，我打电话客服说要提前结清，等来的回答却是提前结清也需要归还7400多元，我借款4000元，三个月还7800多元试问谁能接受，这种高利贷无法偿还，现在只想提前结清归还钱站APP本金和基本利息消除账户。</t>
  </si>
  <si>
    <t>2019/10/11 15:32:55</t>
  </si>
  <si>
    <t>中信信用卡一天打电话进行催收骚扰.已经对我生活和工作造成了极大的困扰.希望停止骚扰.并道歉。</t>
  </si>
  <si>
    <t>2019/10/11 15:32:40</t>
  </si>
  <si>
    <t>投诉人张昆投诉对象速金服,钱站涉诉金额1000元问题类型诉求类型投诉详情在2019年9月10号由于资金周转不过来，在安卓软件市场下载&amp;nbsp;速金服APP&amp;nbsp;当时填完资料可以申请1000元额度，分3个月还，当时没留意每个月还673.36元，就点击下款了，实际到账1000元，但合同借款本金1980.不合理的合同，10月9号还第一期，打APP客服电话想协商一次性还清销账，但客服电话一直没人接&amp;nbsp;客服电话4000039266&amp;nbsp;&amp;nbsp;现在逾期两天了&amp;nbsp;每天逾期费75.19&amp;</t>
  </si>
  <si>
    <t>2019/10/11 15:32:26</t>
  </si>
  <si>
    <t>投诉人 魏女士        投诉对象  分期乐        涉诉金额  440 元    问题类型    诉求类型投诉详情  工资拖延不发没办法及时还款 希望能延期还款 协商解决</t>
  </si>
  <si>
    <t>2019/10/11 15:32:19</t>
  </si>
  <si>
    <t>投诉人李女士投诉对象微信涉诉金额0元问题类型诉求类型投诉详情微信被人恶意的冻结，还有人冒充微信客服，给我发短信。</t>
  </si>
  <si>
    <t>2019/10/11 15:31:50</t>
  </si>
  <si>
    <t>投诉人白条京东白条投诉对象京东金融涉诉金额4000元问题类型诉求类型投诉详情京东白条未经允许私自拨打我公司座机多次，10月10至10月11日多次拨打公司电话，造成本人已被公司开除处理，要求京东白条当面致歉，给个说法。</t>
  </si>
  <si>
    <t>2019/10/11 15:31:46</t>
  </si>
  <si>
    <t>今年7月份通过朋友知道的小象优品，借款8900，手续费3200，已经还了一期，第二期逾期9天，每天给我家人朋友打电话，严重影响了我的日常生活，客服说话态度特别特别的差，我现在家人，同事都知道了，工作也丢了。</t>
  </si>
  <si>
    <t>2019/10/11 15:31:40</t>
  </si>
  <si>
    <t>投诉人蓝晓春女士投诉对象英孚教育涉诉金额12999元问题类型诉求类型投诉详情下单前：2019年9月6日我打开百度翻译的时候，看到每日跟读这个就点了进去，点进去后就是英孚教育的广告，而且是退不出来的，必须输入手机号码后才能退出，我很和气的跟她们说我说上了课该我付的课时费我愿意承担，我就无心的输了电话号码，确实也是最近有想提高英语水平的想法，否则也就不会输入电话号码，接着中午就有英孚教育的销售人员，打电话给我咨询，聊得还挺久的，说的非常好，天花乱坠的说英孚是奥运会官方培训语言，说英孚不但给我们学员有学习的过程，</t>
  </si>
  <si>
    <t>2019/10/11 15:31:17</t>
  </si>
  <si>
    <t>投诉人邱先生投诉对象微粒贷,微众银行涉诉金额55000元问题类型诉求类型投诉详情因为个人经济问题，当时微粒贷逾期快九十天，然后发信息给我现在的手机号，当时原来那个手机掉了，然后我主动联系微众银行，并于当日还款3000元，承诺9.20号还款两万元，剩下的做分期，当时，微众银行已经同意协商，然后我于20号还款两万元，然后微粒贷的工作人员并未与我协商剩下的分期事宜，今天打电话，跟我说然后还一半还欠的金额，就是三万元的一半，并告诫我，说我失联，没法联系我，要起诉我，剩下的金额并未与我协商，客服态度很恶劣，这是说一套</t>
  </si>
  <si>
    <t>2019/10/11 15:31:07</t>
  </si>
  <si>
    <t>投诉人刘先生投诉对象点心货,点心贷涉诉金额375元问题类型诉求类型投诉详情退保险费，直接扣款，黑的很，麻烦帮处理一下，直接退。</t>
  </si>
  <si>
    <t>2019/10/11 15:31:04</t>
  </si>
  <si>
    <t>在明确告知可以对欠款进行处理的条件下，仍然给联系人拨打骚扰电话进行骚扰，钱站这么明显一个高利贷的非法放贷公司，国家相关部门已经出台文件禁止对欠款人的联系人进行骚扰。</t>
  </si>
  <si>
    <t>2019/10/11 15:30:53</t>
  </si>
  <si>
    <t>投诉人张女士投诉对象平安涉诉金额34000元问题类型诉求类型投诉详情平安银行从来没有一个客服的电话打过来，从我语气开始都是各种催债电话都是各种催债公司各种进行暴力催收进行言语攻击，并且从逾期开始，它的利息，竟然涨了有一万块钱。</t>
  </si>
  <si>
    <t>2019/10/11 15:29:46</t>
  </si>
  <si>
    <t>本人下载新意花小木钱包，借款2800元，分四期还，一个月要还4100元，实属高利贷，还款日无法还款，客服也联系不上，导致被逾期，产生高额逾期费用，希望平台尽快联系本人，协商还款事宜……客服联系方式：4008336200。</t>
  </si>
  <si>
    <t>2019/10/11 15:29:28</t>
  </si>
  <si>
    <t>投诉人高先生投诉对象中国银联涉诉金额1043元问题类型诉求类型投诉详情银联无缘无故扣款未有交易详细账单要求退款。</t>
  </si>
  <si>
    <t>2019/10/11 15:29:21</t>
  </si>
  <si>
    <t>阳光安心贷的客服，我已经跟你们联系了，你们不给我app链接还款，是你们的原因而不是我，，还打我通讯录电话，，利息减免原来的，后面多少还多少，不要威胁，对公更是不可能，，打通讯录严重影响了我的生活。</t>
  </si>
  <si>
    <t>2019/10/11 15:28:16</t>
  </si>
  <si>
    <t>拍拍贷老是无辜骚扰发短信，我并没有欠他们钱，老是发一些律师的威胁恐吓电话。</t>
  </si>
  <si>
    <t>2019/10/11 15:28:12</t>
  </si>
  <si>
    <t>几年前朋友在捷信贷款，留的我的电话，早就还清了，捷信时不时还是会打电话来，现在每天都打电话，太影响生活了。</t>
  </si>
  <si>
    <t>2019/10/11 15:28:11</t>
  </si>
  <si>
    <t>于2018年10月份在买的二手车，总车款是34000，付了一万，两万四做的贷款，做的时候说还款够一年后，可以一次性还清，然后是每月949的月供，还到现在正好是一年，现想要一次性还清，打客服电话咨询怎么还，被告知当前欠款金额为21000，那还了一年的钱还的是啥，反馈要借款合同，说是当初借款金额是21000，GPS费用2100，商业险费用2800，当初保险是车贩子说什么合同问题，保险需要在他那上，商业险是平安银行的，费用是单独给的，为什么会提现在借款合同里，这是车贩子和做贷款的合伙搞鬼，还是美利车的套路贷。</t>
  </si>
  <si>
    <t>2019/10/11 15:28:09</t>
  </si>
  <si>
    <t>立马进钱里面的呆呆苞，借2800,已经还了三期各1022.4元，已经还够本金利息，要求立即销账，减免最后一期费用。</t>
  </si>
  <si>
    <t>2019/10/11 15:28:05</t>
  </si>
  <si>
    <t>投诉人查先生投诉对象拍拍贷涉诉金额1000元问题类型诉求类型投诉详情才逾期几天就开始暴利催收，打骚扰电话，影响我的正常生活。</t>
  </si>
  <si>
    <t>2019/10/11 15:28:02</t>
  </si>
  <si>
    <t>投诉人张先生投诉对象浦发信用卡涉诉金额75000元问题类型诉求类型投诉详情本人在2017年办理浦发信用卡，在17年办理了一比45000的万用金分36期。</t>
  </si>
  <si>
    <t>2019/10/11 15:27:59</t>
  </si>
  <si>
    <t>投诉人 武女士        投诉对象  浦发信用卡        涉诉金额  7 833 元    问题类型    诉求类型投诉详情  当时账单到期了 联系过客服说在外地可延长三天时间 可是从这开始以后每天无数个电话进行打电话 而且不是浦发银行的 态度极其恶劣 已经影响到我的生活 要求处理</t>
  </si>
  <si>
    <t>2019/10/11 15:27:32</t>
  </si>
  <si>
    <t>试用三天，今天无缘无故就扣了我微信178块钱。</t>
  </si>
  <si>
    <t>2019/10/11 15:26:57</t>
  </si>
  <si>
    <t>此号码是我老婆的，在家带孩子，当初听到10086打电话过来，说号码开了一个28的语音套餐，现在可以送200分钟的免费通话，，10086客服说带本人身份证去总营业厅终止活动；问了几次，都说直接去就能办了；结果今天孩子放家里睡觉，跑去营业厅，工作人员：可以终止，需要缴纳赠送的语音后面的费用，说是按照1毛9一分钟计算，大概300块，才能终止，不然无法处理，只能等到活动到期后，关闭才行，这个期间不能更改套餐；现在我老婆话费用不到，需要开点流量的套餐，改不了，终止活动要交钱，这是不是在抢劫，只能打给其他移动的号码使用</t>
  </si>
  <si>
    <t>2019/10/11 15:26:29</t>
  </si>
  <si>
    <t>今年7月份通过朋友知道的新浪分期，借款8900，手续费3200，已经还了一期，第二期逾期9天，每天给我家人朋友打电话，严重影响了我的日常生活，客服说话态度特别特别的差，我现在家人，同事都知道了，工作也丢了。</t>
  </si>
  <si>
    <t>2019/10/11 15:26:17</t>
  </si>
  <si>
    <t>兴业搜狐联名卡真坑，我收到了兴业银行的信用卡，激活了就扣了我168块钱的搜狐视频会员钱，当时办卡业务员也没有告知我，现在直接给我扣了钱，1、取消本人兴业银行信用卡捆绑的搜狐会员年费。</t>
  </si>
  <si>
    <t>2019/10/11 15:25:52</t>
  </si>
  <si>
    <t>小赢卡贷有一笔借款逾期，我愿意付逾期费，也说了具体几号会还款。</t>
  </si>
  <si>
    <t>2019/10/11 15:25:49</t>
  </si>
  <si>
    <t>美团生活费诱导我添加他们微信公众号以后就盗取了我微信通讯录用户，在我借款逾期1天以后就骚扰我的微信通讯录好友，本人在家里有亲人去世以后资金就周转不过来了，不知道为什么自己的微信通讯录都能被美团生活费盗取。</t>
  </si>
  <si>
    <t>2019/10/11 15:25:43</t>
  </si>
  <si>
    <t>本人在趣惠买平台用了小趣白条，以商城专卖的名义到手735，8天要还1050，利息300多，变相的高利贷，而且还款日当天任何渠道还款失败，该平台没有人工，导致我逾期，还的钱也被别家的扣了，现在无力偿还，每天机器人骚扰我，要求停止骚扰，月底发工资有能力的话还上本金，一了百了，如果打我联系人，骚扰我通讯录，一分钱不还，同时将会各大投诉平台投诉！。</t>
  </si>
  <si>
    <t>2019/10/11 15:25:36</t>
  </si>
  <si>
    <t>投诉人林先生投诉对象小黑鲨涉诉金额3700元问题类型诉求类型投诉详情借款3000，一个月分三期10天一期共要还3700，第一期还1699.8，第二期还1020，俩次还款共计2719.8，现在本人暂时失业在家已无力支付高昂违规利率，协商中如有恐吓威胁不合法的情况存在，本人将保留证据投稿各新媒体与金融机构。</t>
  </si>
  <si>
    <t>2019/10/11 15:25:28</t>
  </si>
  <si>
    <t>因为个人原因导致信用卡逾期，并且不允许分期还款，今天又来短信说我无视国法！好大的帽子给我扣上了！现在希望招商银行可以让我分期还款，有钱谁也不想逾期！。</t>
  </si>
  <si>
    <t>2019/10/11 15:24:53</t>
  </si>
  <si>
    <t>请看看宜人贷藐视国家的态度，和他们的行为，国家的机构是他们开的，好的，我要求给我合理的解释对于工作人员这种威胁恐吓做出解释。</t>
  </si>
  <si>
    <t>2019/10/11 15:24:23</t>
  </si>
  <si>
    <t>本人因最近生活出现问题，曾主动给两家公司协商，天天打朋友电话，冒充公检法发虚假文件给联系人，给本人造成严重的精神困扰，特在此投诉，平台给予解释，。</t>
  </si>
  <si>
    <t>2019/10/11 15:24:14</t>
  </si>
  <si>
    <t>投诉人 张先生        投诉对象  （特约）杭州伟福科技有限公司的        涉诉金额  299 元    问题类型    诉求类型投诉详情  此公司恶意强制扣款。必须严肃处理，退回本人本金299元</t>
  </si>
  <si>
    <t>2019/10/11 15:23:59</t>
  </si>
  <si>
    <t>投诉人任女士投诉对象中金支付涉诉金额8525元问题类型诉求类型投诉详情中金支付为714高炮提供支付渠道，客服人员也不受理我的投诉，我也不知道到底是哪一些公司扣了我的钱，希望可以帮我解决20190106-807.2中金支付20190119-400中金支付20190124-804.668中金支付20190126-400中金支付20190126-400中金支付20190221-1009.1中金支付20190225-3090中金支付20190321-1614.56中金支付。</t>
  </si>
  <si>
    <t>2019/10/11 15:23:52</t>
  </si>
  <si>
    <t>投诉人王先生投诉对象交易猫涉诉金额45000元问题类型诉求类型投诉详情交易成功，不发款不发货，客服还不理人，两天了一句话都不说。</t>
  </si>
  <si>
    <t>2019/10/11 15:23:23</t>
  </si>
  <si>
    <t>031169112870我要报警，我需要一个合理的解释。</t>
  </si>
  <si>
    <t>2019/10/11 15:23:15</t>
  </si>
  <si>
    <t>2019年10月10日接到苏宁易购客服电话和短信说10月10日晚上7:00有一个新老客户回馈活动，有礼品答谢客户，由于我是苏宁忠实客户，家里电器产品几乎都是在苏宁购买的，正好那天要到苏宁购买小厨宝，便去参加了答谢会，到中山广场苏宁易购，签到领卡进入二楼会场后却是一个产品销售会，重点销售食材清洗机、破壁机，会上不允许客户相互交流，也不允看手机，之后，一个自称是苏宁某部门的夏经理将中国食品污染的严重性与癌症的发生率紧密联系起来大势宣讲，夸大清洗机食材除污除菌率，误导客户，回家后上网查资料，无论是惠而浦官网，还是</t>
  </si>
  <si>
    <t>2019/10/11 15:22:03</t>
  </si>
  <si>
    <t>骚扰通讯录，电话威胁，打扰正常生活！！！！。</t>
  </si>
  <si>
    <t>10.8号中午手机突然跳激活页面，提示激活不了必须要更新到最新系统，告知必须如果想使用必须要更新最新的苹果系统，回电态度很强势，你的手机是你出现故障了，如果你想继续使用那就必须更新系统，我估计手机界也只有你苹果公司敢这么欺压消费者了吧，我会用自媒体的形式联络呗你们欺压的消费者曝光你们，起诉你们！。</t>
  </si>
  <si>
    <t>2019/10/11 15:21:54</t>
  </si>
  <si>
    <t>12月1日起，1未经借款人本人允许，打电话给通讯录里的亲人或好友，并进行多次骚扰的，2在上午八点至晚上九点时间段在打催收电话的。</t>
  </si>
  <si>
    <t>2019/10/11 15:21:27</t>
  </si>
  <si>
    <t>在快闪卡贷于5月份借了一笔贷款，分6期每期还款2407元，9月13号账单逾期，经协商于今天10月11号还款，上午跟催收人员联系还款事宜，希望减免逾期费，但是催收不同意，然后就金额问题一直在协商，我打算还2450，但是催收说最少2500，然后就一直在协商，原本是打算把逾期费都去掉的，所以跟催收说你去点之后我中午就还进来，但是一直没有达成一致，因为我只有2400多，连吃饭钱都没有留，然后催收一直不依不饶要求我2点之前必须处理进来，不然就爆我通讯录，然后威胁我款2500，金额不少，时间不给，然后我就说我现在没有这</t>
  </si>
  <si>
    <t>2019/10/11 15:21:21</t>
  </si>
  <si>
    <t>投诉人 侯女士        投诉对象  平安银行        涉诉金额  1 000 元    问题类型    诉求类型投诉详情  因为资金问题 平安银行信用卡的钱就每次还的比较少 然后昨天就一直暴力催收 恐吓 我也没说不还 也还进去了一些 我说剩下的这两天还进去 催收员直接说不行 还要立案 要到家里去要钱 还问我在不在家里 就算是银行也没有这个权利吧 也没说一分钱没有还 这种暴力催收烧扰 应该好好整治</t>
  </si>
  <si>
    <t>2019/10/11 15:21:10</t>
  </si>
  <si>
    <t>投诉人郑先生投诉对象申通快递涉诉金额0元问题类型诉求类型投诉详情邮件已经到滦县部了，每次都要等到下午六点派送。</t>
  </si>
  <si>
    <t>2019/10/11 15:20:57</t>
  </si>
  <si>
    <t>系统上说20个工作日到账，现在都两个月了还没到账。</t>
  </si>
  <si>
    <t>2019/10/11 15:20:49</t>
  </si>
  <si>
    <t>2019年10月7日凌晨3点左右，在我不知情的情况下，被人恶意注册开通易智付；2019年10月7日凌晨3点半左右，我在中国建设银行开设的银行账户，卡号:62****************8，先后两次共4000元被盗刷转入易智付第三方平台消费，当时，本人的手机、银行卡均在身边，开通易智付和银行转账的验证码本人没有提供给任何人。</t>
  </si>
  <si>
    <t>2019/10/11 15:20:48</t>
  </si>
  <si>
    <t>阴阳合同，借2000到账2000,合同3000，砍头。</t>
  </si>
  <si>
    <t>2019/10/11 15:20:15</t>
  </si>
  <si>
    <t>高额砍头息，借款期限三天实际两天，三天利息318，借款当天下午两点之前没还款就开始辱骂骚扰家人，昨天已经给亲人好友打电话骂了一遍，接通电话直接就开始骂人！暴力催收！我还进去的利息已经超过本金，请停止暴力催收！结清账单！。</t>
  </si>
  <si>
    <t>2019/10/11 15:20:13</t>
  </si>
  <si>
    <t>京东外包第三方公司一直骚扰我的父母，威胁恐吓发彩信，还款后仍继续骚扰我的父母，多次侮辱我，我问京东客服在哪她说三千块钱都不还我配吗。</t>
  </si>
  <si>
    <t>2019/10/11 15:19:43</t>
  </si>
  <si>
    <t>投诉人刘女士投诉对象拍拍贷涉诉金额8000元问题类型诉求类型投诉详情拍拍贷利息过高，还爆通讯录，骚扰我的通讯录里的好友，还恐吓我。</t>
  </si>
  <si>
    <t>2019/10/11 15:19:17</t>
  </si>
  <si>
    <t>胖胖有米未经用户同意强行放款，页面上也没有联系方式，想联系都没办法，借款2500元，到账只有1300元，5天就要还2520.71元，明显的高利贷，超过国家正常利息几千倍，兴业银行无视央行下发的严禁第三方支付平台为违法企业提供支付业务的规定，并对这种套路贷商家进行支付业务的支付属于协助犯罪行为，现在要求按本金销账处理，如不解决，下一步将向银监，公安，经侦等单位投诉。</t>
  </si>
  <si>
    <t>2019/10/11 15:18:35</t>
  </si>
  <si>
    <t>小赢卡贷能联系上我还打电话给我朋友骚扰我身边的人，我说了不是不还是有困难，又不是联系不上我，你就随便打我身边朋友的电话。</t>
  </si>
  <si>
    <t>2019/10/11 15:18:27</t>
  </si>
  <si>
    <t>投诉人刘先生投诉对象Wecash闪银涉诉金额3000元问题类型诉求类型投诉详情我借了三千块钱，没看清原来是阴阳和同，3个月利息179.13元，加上480元的担保费，3个月我要还179.13元的利息，每个月也就是59.71元，为加上每个月60元的担保费，年化率达到了960%。</t>
  </si>
  <si>
    <t>2019/10/11 15:18:21</t>
  </si>
  <si>
    <t>宝付支付平台不审核资质，为高炮平台提供支付渠道，本人核对流水时，发现被宝付支付扣款金额高达三万多，宝付支付平台给出相应解释，并退还相应金额，不要推脱，尽快解决问题，后续还会通过其他途径投诉。</t>
  </si>
  <si>
    <t>2019/10/11 15:17:37</t>
  </si>
  <si>
    <t>投诉人许开玲投诉对象小赢卡贷涉诉金额15000元问题类型诉求类型投诉详情一直打电话催，在能联系到我的情况下直接打紧急联系人电话，还问我怎么样有没有朋友催你赶紧还了，没有的话是看来力度不够，那我继续打电话，也拒绝沟通协商，一直说他们的利息符合规定，但我算一了一下有超过相关规定。</t>
  </si>
  <si>
    <t>2019/10/11 15:17:13</t>
  </si>
  <si>
    <t>投诉人王先生投诉对象联动优势,趣惠买涉诉金额1000元问题类型诉求类型投诉详情9月25通过安卓应用宝下载趣惠买借款1000需要购买1050的商品然后趣惠买回收打款7358天后需还款1050本人偿还不了高利息希望聚投诉整治这个新型高利贷平台。</t>
  </si>
  <si>
    <t>2019/10/11 15:17:04</t>
  </si>
  <si>
    <t>食品安全问题堪忧，下架商家商品，拿出食品安全检测报告。</t>
  </si>
  <si>
    <t>2019/10/11 15:17:01</t>
  </si>
  <si>
    <t>投诉后，没人处理，恶意催收，变本加厉，爆通讯录，恐吓家人，自称黑社会，有录音，打算报警处理。</t>
  </si>
  <si>
    <t>2019/10/11 15:16:54</t>
  </si>
  <si>
    <t>距离上次投诉已经9个月了，滴滴、小蓝仍没有出台补偿方案，之前滴滴客服以广州没有滴滴的共享单车为由拖延，现滴滴的青桔单车已覆盖广州，再次联系客服被告知没有解决方案。</t>
  </si>
  <si>
    <t>2019/10/11 15:16:48</t>
  </si>
  <si>
    <t>电话骚扰，辱骂，短信轰炸，请注意他联系的时间段，有录音，懂上传，只好传图片。</t>
  </si>
  <si>
    <t>2019/10/11 15:16:45</t>
  </si>
  <si>
    <t>投诉人任女士投诉对象快钱支付涉诉金额83822元问题类型诉求类型投诉详情这些都是我的银行卡扣款，通过快钱支付这个支付通道的，很多是714高炮平台，不经我允许就代扣，但是快钱支付不受理我的投诉，希望通过聚投诉可以解决这个问题20190123-999快钱20190201-1500快钱20190202-2119快钱20190203-3000快钱20190203-2517.5快钱20190209-3000快钱20190214-2119快钱20190214-2119快钱20190214-1600快钱20190217-</t>
  </si>
  <si>
    <t>2019/10/11 15:16:27</t>
  </si>
  <si>
    <t>提示1、您涉嫌使用他人证件提交认证，与身份认证需持本人证件的规定不符；2、系统判定为存在安全问题的其他情况。</t>
  </si>
  <si>
    <t>2019/10/11 15:16:16</t>
  </si>
  <si>
    <t>投诉人沙海投诉对象花薪涉诉金额4700元问题类型诉求类型投诉详情花薪平台发放高利贷，借4700前要交400左右的积分费，逾期8天要还5300。</t>
  </si>
  <si>
    <t>2019/10/11 15:16:08</t>
  </si>
  <si>
    <t>本人因为前段时间投资失败被骗，欠浦发银行信用卡本期29000的账单，逾期未还，期间浦发信用卡催收人员多次打电话我也接听了，我一直强调说我对账单有异议，故意把我全额账单和最低还款为相同金额，银行也一直没给我一个确切的答案，只说是银行系统自动核实，从9月中旬开始每天我都接到好多个催收我还款的电话，期间也是不停地给我亲友打电话，逼的我没办法从别的网贷平台借了8000还进去，昨天我没接到电话，今天就不停的给我亲友打电话，我今天接到电话时就说要求我3个小时内还全款，不还全款就会请户籍本地的分公司派人员到我工作、住址核</t>
  </si>
  <si>
    <t>2019/10/11 15:15:40</t>
  </si>
  <si>
    <t>投诉人韩先生投诉对象京东金融涉诉金额7100元问题类型诉求类型投诉详情京东金条逾期金额不到7100，其中三千多超过33天，催收公司以京东金融名义要求我归还全部款项，每天一个号码，地址不定期更换，协商先还一半多点，对方不同意，说不还清就要走法律程序，我说如果协商不成功的话，那就按照你们该走的流程走，然后在我电话畅通的情况下，拨打我公司电话，老板电话，家人电话，身边的朋友电话，说我电话一直打不通，冒充各地部门，骚扰我的老板，朋友，家人！添加朋友的微信，恐吓身边的朋友，对公司的运行，工作，生活造成巨大的影响，试问</t>
  </si>
  <si>
    <t>2019/10/11 15:15:28</t>
  </si>
  <si>
    <t>中邮消费金融无法无天，用不明身份人员用此电话02022367350反复骚扰本人单位和联系人，已收集相关证据提交扫黑办对国家扫黑除恶严厉打击的暴力催收进行立案。</t>
  </si>
  <si>
    <t>2019/10/11 15:15:23</t>
  </si>
  <si>
    <t>因本人跟朋友合作做生意投资的钱被骗光，现暂时没有能力处理全部欠款，已经在筹借当中了，而且已经上门催收，拨打了村里人的电话，不是有意不还钱，现在是手里一有点钱我就还进去，因家里母亲身体不好，爷爷奶奶年龄都80以上了，希望银行能不要去上门催收，怕家里人承受不了，现在家里已经是承受不住了，我已经在积极筹款还钱了！希望银行能妥善处理下，我怕后续在上门家里会发生什么事情，给点时间让我安心的去筹钱，。</t>
  </si>
  <si>
    <t>2019/10/11 15:14:58</t>
  </si>
  <si>
    <t>投诉人郭女士投诉对象马上消费金融涉诉金额0元问题类型诉求类型投诉详情本人正在上班，然后连续好几个电话打进来告诉我谁谁谁欠钱，当时我正在办理业务，旁边还有同事看着，然后当时不方便我就挂了，挂了之后又立马打过来，连续打了好几个，所以我说你们这平台是怎么回事，当事人欠钱你们不联系当事人，只会骚扰联系人，烦不烦，我欠你们钱了吗，天天骚扰打给我有什么意思，有关部门必须给我个解释！。</t>
  </si>
  <si>
    <t>2019/10/11 15:14:40</t>
  </si>
  <si>
    <t>后结婚，在未做好准备的情况下迎来了自己的第一个宝宝，丈夫大学刚毕业，无存款，自己在怀孕期间也没有工作，现有宝宝要抚养，生活已非常拮据，再加上借款突然降额，一时之间根本还不上，绝对没有不还的意思，且近期已向亲朋好友借款两万多元还入京东金条，实在是没有能力及时偿还债务，，却遭到暴力催收，威胁恐吓，爆打通讯录亲朋好友的电话，且上班期间一直遭到第三方催收骚扰，如今更是要找上门来催收，请问如果我上班一直被骚扰，那我还要不要上班了呢，不上班就更没有钱还了，看着欠款页面的利息飙升，心理负担特别大，经常心不在焉的了。</t>
  </si>
  <si>
    <t>2019/10/11 15:14:39</t>
  </si>
  <si>
    <t>申诉不成功，无法换绑，实名认证找不回，客服电话没人接。</t>
  </si>
  <si>
    <t>2019/10/11 15:14:16</t>
  </si>
  <si>
    <t>投诉人邓先生投诉对象即有分期,即有生活,即有钱包涉诉金额13000元问题类型诉求类型投诉详情即有分期纯属高利贷套路贷，借款14000实际到账13000多吧，分期30，已还27期，每期868，因为逾期一天就马上暴打通讯录好友，本来我就是认了这笔账给自己人生一个警告，殊不知自逾期开始每天暴力催收，本人并不是失联，每天都能联系到我本人，还未经借款人骚扰无关人员，甚至冒充公检法打电话户口所在地以及亲朋好友暴力催收骚扰，现在本人已经还够本金以及利息有多，拒不还款，你即有分期认为自己公司是正规的或者合法的，就正式来起诉</t>
  </si>
  <si>
    <t>2019/10/11 15:13:53</t>
  </si>
  <si>
    <t>投诉人张先生投诉对象米条联盟涉诉金额2000元问题类型诉求类型投诉详情本人急需用钱，文中这个人在米条联盟借钱给我，然后打完借条之后说要收取费用，而且不借款也不给取消借条，联系米条联盟客服联系不到，客服公众号是空号，放款方不放款还要我转账给他，不转说让我等着逾期，严重怀疑平台串通某些人合伙欺瞒用户。</t>
  </si>
  <si>
    <t>2019/10/11 15:13:29</t>
  </si>
  <si>
    <t>利息翻倍，未减免因个人原因,高利贷，贷3000还5700。</t>
  </si>
  <si>
    <t>2019/10/11 15:13:17</t>
  </si>
  <si>
    <t>在9月30号时候，我骑行hellbike单车停放在公司门口，还是属于正常区域，在10月11时候，再次骑行，变成超出调度范围，同时我再这个之前充值的会员卡，结果他们自己随意修改调度范围，导致我这边要被收费。</t>
  </si>
  <si>
    <t>2019/10/11 15:12:16</t>
  </si>
  <si>
    <t>51公积金盗取用户通讯录等信息给高利贷平台进行高利放贷，望有关部门严查51公积金为高利贷平台导流并非法获取用户隐私的违法形为。</t>
  </si>
  <si>
    <t>投诉人 单先生        投诉对象  立借,深圳市广盛行小额贷款        涉诉金额  6 000 元    问题类型    诉求类型投诉详情  立借借了六千元 分期12期 但是前三期基本就全部还完了 剩下的九期还66元 换算下来简直就是高利贷 我要求减免利息 我一次性结清</t>
  </si>
  <si>
    <t>2019/10/11 15:12:12</t>
  </si>
  <si>
    <t>玖富万卡借款16000，竟然要还30759.06，其中竟然有什么费用分期，说成所谓的保险费用，金额达到12249.8。</t>
  </si>
  <si>
    <t>2019/10/11 15:11:42</t>
  </si>
  <si>
    <t>无缘无故扣我199元，还不用支付密码，没有短信通知，今天才发现的，要求退款，凭什么扣我的钱。</t>
  </si>
  <si>
    <t>2019/10/11 15:11:36</t>
  </si>
  <si>
    <t>投诉人张先生投诉对象肥猫贷涉诉金额2000元问题类型诉求类型投诉详情肥猫贷，借款2000到账1400，我每期都有正常续期或还款算上当天6天一期，今天到期，也没有说不还款，我只说还得等一会，上来就开始骂人，每期续期300算当天是3天时间，续期600算当天是6天时间，9月6日开始使用到现在早就已经还够本金，希望可以让其给我道歉，或者减免最后一张是他们的电话。</t>
  </si>
  <si>
    <t>2019/10/11 15:11:17</t>
  </si>
  <si>
    <t>本人18年因为资金问题向你我贷借款了9000元，然而到今年还完时我发现一年时间还款总额竟达到14000多，一年时间利息竟高达5000多元，我不知道你我贷是怎么操作的，你还是正规公司，可干的事却是高利贷公司所为，之前我一直顾着还款没有细算，当我这两天看到还款订单是我真是后怕，前三期账单都有较大金额的平台使用费，总金额高达1500左右，然后每个月还有贷后管理费，和利息，利息我认，但是那么大金额的平台使用费和贷后管理费你们是以什么理由收的，我始终搞不清楚这一年你们是怎么巧立名目把我这5000元收去的，你我贷公司虚</t>
  </si>
  <si>
    <t>2019/10/11 15:11:07</t>
  </si>
  <si>
    <t>没有经过我同意随便扣款，都不知道干什么了就扣款。</t>
  </si>
  <si>
    <t>2019/10/11 15:10:54</t>
  </si>
  <si>
    <t>投诉人 李先生        投诉对象  有钱花        涉诉金额  596 元    问题类型    诉求类型投诉详情  本人因资金问题没能及时还款 导致逾期 百度金融 度小满外包第三方催收 不停打电话骚扰本人 私自拨打本人通讯录好友电话 骚扰透露本人欠款信息 群发短信到我通讯录好友 现在本人名誉受损 影响本人正常工作生活</t>
  </si>
  <si>
    <t>2019/10/11 15:10:23</t>
  </si>
  <si>
    <t>投诉人张先生投诉对象掌众金服涉诉金额3280元问题类型诉求类型投诉详情逾期一天被催收威胁还款，想协商一下也用了两年了之前从来没有逾期过，最近资金确实有问题，家里人身体也不好，请不要暴力催收，请尽快处理谢谢。</t>
  </si>
  <si>
    <t>2019/10/11 15:09:42</t>
  </si>
  <si>
    <t>因本人近期资金周转不过来，导致欠款还不上，并不是恶意拖欠，拍拍贷已经严重违法暴力催收，本人不明白拍拍贷是如何窃取用户隐私的，已经曝光通讯录了，近两天陆陆续续有好友收到骚扰电话，请立刻停止你这种流氓的行为。</t>
  </si>
  <si>
    <t>2019/10/11 15:09:41</t>
  </si>
  <si>
    <t>听人们都在说信用卡逾期全额还款以后可以申请退信用卡罚息违约金，甚至有的朋友已经退还了信用卡罚息违约金，我与建行信用卡客服联系多次，信用卡客服都拒绝退还信用卡罚息违约金。</t>
  </si>
  <si>
    <t>2019/10/11 15:08:51</t>
  </si>
  <si>
    <t>投诉人 宗立静        投诉对象  毒APP        涉诉金额  1 024 元    问题类型    诉求类型投诉详情  之前给我说可以退款 现在不给退。一直不解决</t>
  </si>
  <si>
    <t>2019/10/11 15:08:26</t>
  </si>
  <si>
    <t>因为工司拖欠了工资所以支付宝花呗有逾期，中途一直有还，然后支付宝要求全额还款不给分期，打客服电话和在线客服都不给解决，只威胁说要电话崔收。</t>
  </si>
  <si>
    <t>2019/10/11 15:08:19</t>
  </si>
  <si>
    <t>投诉人何女士投诉对象英孚教育涉诉金额17999元问题类型诉求类型投诉详情当时办理的时候，销售顾问一直强迫办理！还让贷款，后来知晓是网贷！然后我才办理一个月，要扣我4500！都没有上几节课，完全就是霸王条款啊.....真的都好无语！啥也没有学到，4500没有了，而且他的课程根本没有推销时候说的那样....完全学不到东西！要求全额退款…。</t>
  </si>
  <si>
    <t>2019/10/11 15:07:58</t>
  </si>
  <si>
    <t>由于本人经营不善，欠支付宝钱，现已无力一次偿还，希望支付宝给条活路，能协商还款……催收人员动不动就是要发资料到户籍公安局，要拍卖父母老房子⋯我想说的是我绝对是想要还款的，只是弄的最后导致我我不到工作，更是无力还款了，相信这也不是你们想要的结果吧。</t>
  </si>
  <si>
    <t>2019/10/11 15:07:47</t>
  </si>
  <si>
    <t>逾期一天不直接暴力催收，对我亲朋好友进行骚扰。</t>
  </si>
  <si>
    <t>2019/10/11 15:07:05</t>
  </si>
  <si>
    <t>9月29日，在广东省东莞市温塘油站斜对面美宜佳超市门口，被套路办理了一台汇付天下pos机，业务员先是打着办理信用卡的幌子，诱导我告诉他相关资料，填写完身份证信息录入，接着说办理信用卡需要下载他们的手机app和微信公众号，紧接着其中一个业务员说公司为申请办理他们银行信用卡的客户免费赠送一台pos机，很好用，不需要任何费用，手机上还拿出温塘完美销售店员和他的合影照给我看，说这是他们刚刚办理信用卡的客户，也免费赠送了一台pos机，说着另一个业务员就走到马路对面小车里拿了一台pos机过来，跟我说办理他们银行信用卡需</t>
  </si>
  <si>
    <t>2019/10/11 15:06:55</t>
  </si>
  <si>
    <t>10月20日，一年保修期，截止目前提交投诉时间仍在保修期内，无售后服务，现提交以下投诉:一，售后服务区别对待，按照网易云音乐商城提供的售后程序发现，有些订单可申请售后，有些订单不能申请售后，购买时产品本身提供保修卡，其上注明一年保修，但现在无处联系售后，二，商城客服为自动回复型，无法准确回答问题，反复询问仍是自动回复，产品说明书提供的售后电话，拨打五分钟整仍无人接听，三，网易云音乐官方客服撰写的售后专栏文章，下有三千多条客户反映售后无法得到保障的问题，但仍无官方做出回应。</t>
  </si>
  <si>
    <t>2019/10/11 15:06:41</t>
  </si>
  <si>
    <t>投诉人栾先生投诉对象国美易卡涉诉金额0元问题类型诉求类型投诉详情联系国美易卡客服要求注销账号，国美金融客服008以不符合注销条件为由，拒绝注销。</t>
  </si>
  <si>
    <t>2019/10/11 15:06:13</t>
  </si>
  <si>
    <t>百度有钱花委托第三方公司骚扰我的家人亲戚朋友。</t>
  </si>
  <si>
    <t>2019/10/11 15:06:03</t>
  </si>
  <si>
    <t>投诉人田先生投诉对象华夏银行信用卡涉诉金额1635元问题类型诉求类型投诉详情本人确实有华夏信用卡逾期的情况，但是我已多次和华夏银行取得联系进行协商以及说明自己的情况，自己确实经济紧张，但很愿意处理此事，谁都不愿意逾期，每个月工资不高，仅剩的几百元都给还进去了，但还是在第二天出现这样的骚扰，这个北京座机是华夏银行第三方委托机构的，从刚开始逾期华夏就刚这些自称工作人员的的委托机构联系，这些人也只是一味的催收，根本不听我说的话，刚开始一个男的和女的还挺好，可他们这每次都是不同的座机和不同的人，每次都需要我详细的说</t>
  </si>
  <si>
    <t>2019/10/11 15:05:10</t>
  </si>
  <si>
    <t>点点给我通讯录的朋友家人打电话对我造成了困扰。</t>
  </si>
  <si>
    <t>2019/10/11 15:05:09</t>
  </si>
  <si>
    <t>投诉人白先生投诉对象马上消费金融涉诉金额247元问题类型诉求类型投诉详情马上金融欺诈，客服专员领导不管不问，视而不见听而不闻，说好停止，没想到又打电话变相换人名要，从247变成648，，呵呵！是不是聚投诉不行了。</t>
  </si>
  <si>
    <t>2019/10/11 15:05:08</t>
  </si>
  <si>
    <t>下款后要还高额的手续费，已经超过了规定的利率，还款数额与借款合同严重不符合。</t>
  </si>
  <si>
    <t>2019/10/11 15:05:03</t>
  </si>
  <si>
    <t>逾期三个月但我每个月有还几百几十和一千多的，昨天就有人用私人电话和私人微信给我发信息说要开庭……我当时看到吓到的死。</t>
  </si>
  <si>
    <t>2019/10/11 15:04:45</t>
  </si>
  <si>
    <t>恐吓威胁，电话骚扰，乱打通讯录电话，望贵台严肃处理，严厉打击暴力行为，此马上消费金融平台来电号码多变无从分晓。</t>
  </si>
  <si>
    <t>2019/10/11 15:04:37</t>
  </si>
  <si>
    <t>投诉人张先生投诉对象交通银行,广州洞苑网络科技有限公司,御剑飞行,上海华瑞银行涉诉金额3500元问题类型诉求类型投诉详情御剑飞行未经用户同意强行放款，页面上也没有联系方式，想联系都没办法，借款3500元，到账只有2100元，6天就要还3520.71元，平台客服一直无法联系上，明显的高利贷啊，超过国家正常利息几千倍，交通银行及上海华瑞银行无视央行下发的严禁第三方支付平台为违法企业提供支付业务的规定，并对这种套路贷商家进行支付业务的支付属于协助犯罪行为，现在要求按本金销账处理，如不解决，下一步将向银监，公安，经</t>
  </si>
  <si>
    <t>2019/10/11 15:04:29</t>
  </si>
  <si>
    <t>投诉人张先生投诉对象京东金融涉诉金额600元问题类型诉求类型投诉详情分期把货退了，钱直接还完了，分期钱退了，服务费不退，货都不要了，为啥还有服务费。</t>
  </si>
  <si>
    <t>2019/10/11 15:04:23</t>
  </si>
  <si>
    <t>我朋友欠的小花钱包，中午开始骚扰我的生活短信验证码200多一直不停必须让他们道歉，，。</t>
  </si>
  <si>
    <t>2019/10/11 15:04:22</t>
  </si>
  <si>
    <t>投诉人 肖先生        投诉对象  安庆盛通科技信息有限公司        涉诉金额  288 元    问题类型    诉求类型投诉详情  在客户不知道的情况下扣费</t>
  </si>
  <si>
    <t>2019/10/11 15:04:10</t>
  </si>
  <si>
    <t>10月3日，在转转验机平台购买了1台16g苹果6plus，价格799元，验机费用39元，申请第一次，要我提供机器序列号等，提供了，说是资料不全，拒绝售后。</t>
  </si>
  <si>
    <t>2019/10/11 15:04:07</t>
  </si>
  <si>
    <t>为什么我投诉这么多次都没反应，逾期一天就要一百五十块钱，是抢银行吗，而且女催收说不还就联系亲戚朋友，有意思吗，我还了两百块钱，还说延期，可延期把逾期费也给我算进去，是什么意思，还有如果敢打身边朋友的话，我一分都不会还，我还会报警，不是威胁你们，逾期费一天要一百五十几块钱。</t>
  </si>
  <si>
    <t>2019/10/11 15:04:03</t>
  </si>
  <si>
    <t>一直打电话，在能联系到自己的情况下也一直打紧急联系人电话，还说再不还就加大力度打，拒绝协商。</t>
  </si>
  <si>
    <t>2019/10/11 15:03:51</t>
  </si>
  <si>
    <t>因为本月延期发工资所以暂时无力偿还你我贷的贷款，在能联系本人的情况下你我贷的催收人员在未经本人同意下，派三方公司，多次致电公司及家人，辱骂，恐吓，以禁锢人身自由的言论对本人进行恐吓！并使本人无法正常工作！说自己是邯郸当地的三方公司，金铭酒吧的工作人员，要去追踪车辆位置，带两车人来公司！已对我工作产生了严重影响！本人已报警。</t>
  </si>
  <si>
    <t>2019/10/11 15:03:44</t>
  </si>
  <si>
    <t>投诉人佩瑄女士投诉对象苹果公司,苹果电脑涉诉金额12500元问题类型诉求类型投诉详情1苹果产品质量太差，18年买的MacBookpro，仅一年内返厂两次，尤其是这次主板坏了，起因在于突然电脑关机开机，每隔10分钟，根本无法正常工作使用，2经过和维修人员电话，了解主板问题非人为造成而是产品质量不过关，因为这样的情况除非把机器拿火上烤否则只可能是质量问题，3因为主板更换导致上面的硬盘也要全部换掉，里面所有的信息数据以及系统全部都没有了，我是金融从业者，里面的数据系统非常重要，这个问题导致了我的工作严重受影响，包</t>
  </si>
  <si>
    <t>2019/10/11 15:03:03</t>
  </si>
  <si>
    <t>电话骚扰家人朋友爆我通讯录，要求马上停止电话骚扰，解释道歉。</t>
  </si>
  <si>
    <t>2019/10/11 15:01:51</t>
  </si>
  <si>
    <t>本人用微粒贷快一年了，一直按期还款，最近两个月家里出了变故，导致逾期，所有欠款也只剩两期，共3000多元，这几天在封闭培训，手机有时不能及时接听电话，催收人员短信说几点不处理就联系单位家人，逾期是我个人不对，但因为催收人员恶意催收的问题，导致工作丢失，断了收入，还处理怎么借款。</t>
  </si>
  <si>
    <t>2019/10/11 15:01:41</t>
  </si>
  <si>
    <t>分两次借款5000，借款金额共10000第一笔款项约定解出6个月退款，本人到期申请退款，从2018年11月到2019年10月款项还未成功退出，第二比款项在2018年5月加入，后因前一笔款项迟迟不退故申请紧急退款，历经多月退款进度仅为百分之一，后到期申请正常退款，从2019年4月申请正常退款至2019年10月，历时半年，退款进度仅为百分之18，退款进度极为缓慢。</t>
  </si>
  <si>
    <t>2019/10/11 15:01:29</t>
  </si>
  <si>
    <t>投诉人付先生投诉对象贷上钱涉诉金额1000元问题类型诉求类型投诉详情带上钱客服联系了还款，故意留十来块不扣，叠加利息，联系客服也没人管，索要金豆高利息。</t>
  </si>
  <si>
    <t>2019/10/11 15:01:12</t>
  </si>
  <si>
    <t>本人应该在2019年10月9日还款1143.94，逾期2日，本人深知逾期是不对的行为，但早前投资失利导致负债，本人也有努力工作去偿还债务，但工资是每个月15号，所以未能有多余闲置资金去周转还钱，但该公司以无法联系我为由不断以短信和微信以不文明用语对我滋扰和侮辱，后来我致电投诉该公司催收人员用语不礼貌，但并没有起效，反而不文明用语继续进行。</t>
  </si>
  <si>
    <t>2019/10/11 15:00:57</t>
  </si>
  <si>
    <t>私教课因搬家所以需要退款一节课280一共买了10节课，上了1节课剩余9节课，2019年8月5日提交的姓名，银行卡，身份证的所有信息，要求退款，直到9月20日还没有退款，打电话找不到人，私教教练微信总是推脱我，联系店面电话联系不上，微信和私教教练催了一下他给我一个私教经理姓朱，朱经理答应我10月8日给我打款如未打款通州万达金吉鸟健身店面负责给我打款，9月20到10月8日期间本人没有打扰过他们，10月8日当天打电话给朱经理，朱经理说：他没有在北京在老家，10月9日回北京给我操作，10月9日打电话朱经理关机，店面</t>
  </si>
  <si>
    <t>2019/10/11 15:00:23</t>
  </si>
  <si>
    <t>投诉人周先生投诉对象我来数科涉诉金额6440元问题类型诉求类型投诉详情本人之前在我来贷平台，有一笔逾期后尾款未还款项目，后经我来贷的债务委托公司，催收，协商一致免除部分逾期费用，以6440元结案，东莞市诚誉商务信息咨询有限公司已给了结清证明，还款当天已将证明发给我来贷平台请求销账结案，现已还款20多天，我来贷一直未给与结案销账，之前我来贷平台说3到5个工作日可以销账，后来每次打电话过去询问都说要再等等，过几天打电话又是这个结果。</t>
  </si>
  <si>
    <t>2019/10/11 15:00:15</t>
  </si>
  <si>
    <t>哆咪黑卡刚绑定卡号，输入第2次验证码就被划走199，页面也没有注明。</t>
  </si>
  <si>
    <t>2019/10/11 15:00:04</t>
  </si>
  <si>
    <t>由于我肺结核复发住院一段时间，花了不少钱，没有及时还款，我打电话跟浙商银行信用卡中心沟通了不下十次，他们催收一直恐吓说起诉，打联系人通讯录电话，这样有个好的方案出来解决问题，停止恐吓动作！。</t>
  </si>
  <si>
    <t>2019/10/11 14:59:50</t>
  </si>
  <si>
    <t>一共两次借款，第一次借7000，分12个月总共还款9516.6元每期还款793.05，两份合同613.78+179.27第二次借款6000，分24个月总共还款10999.44元，每期458.31，两份合同293.85+164.46之前不懂借贷，借款也没看利息，也看不懂，还过几期后觉得越还越多，两次借款都有砍头息，而且阴阳合同，希望接住聚投诉平台协商减免部分利息还款。</t>
  </si>
  <si>
    <t>2019/10/11 14:59:39</t>
  </si>
  <si>
    <t>我们公司申请了很久一直没退，也没有告诉我们具体怎么操作，现在找不到对接人了，一直不退审核特别慢，还有从8月份申请的发票结算，到现在10月份了。</t>
  </si>
  <si>
    <t>2019/10/11 14:59:06</t>
  </si>
  <si>
    <t>投诉人蔡先生投诉对象汇收宜涉诉金额9993元问题类型诉求类型投诉详情2019年8月27号使用宜商城，提现9993一直不到账，之前投诉也无人理会，无人处理，要求立即提现到账！。</t>
  </si>
  <si>
    <t>2019/10/11 14:58:59</t>
  </si>
  <si>
    <t>投诉人李女士投诉对象有用无忧涉诉金额7000元问题类型诉求类型投诉详情这个贷款我用了七千还了一万六千块钱他还骚扰电话，让我还，还威胁我的家人和朋友，天天打电话威胁我。</t>
  </si>
  <si>
    <t>2019/10/11 14:58:55</t>
  </si>
  <si>
    <t>网贷平台旗下催收部门使用呼死你对就职公司电话实施电话骚扰，设置五分钟打一次电话，导致公司电话不能正常使用。</t>
  </si>
  <si>
    <t>2019/10/11 14:58:51</t>
  </si>
  <si>
    <t>交通银行信用卡逾期，因为家庭经济出现状况，我又刚生完孩子上不了班，因为过几个月我就能上班了，所以跟交通银行协商还款方式，希望分期之后这几个月少还一些，之后有钱可以多还或者全还，交通银行不同意，说要走流程，让我一次性还清，我说走流程可以，征信拉黑也可以，但是我真的目前没有还款能力，交通银行还是不同意，一直打电话给我，你们内部既然都已经有解决方案了，不听我的，打电话给我无非是让我同意你们的方案吧，既然都不听我的情况，那还一遍一遍的给我打电话干嘛。</t>
  </si>
  <si>
    <t>2019/10/11 14:58:45</t>
  </si>
  <si>
    <t>投诉人蔡女士投诉对象汇潮支付,大布鲁涉诉金额1500元问题类型诉求类型投诉详情我后面查到了我是通过短信推送链接下载的大布鲁平台app,下载链接http://dxw.so/hCKz5l，在下载完平台后，提交了基本资料后，大布鲁平台显示资料通过审核，正在放款到银行卡，不能取消，强制放款1500元，实际到账1050元，不能取消，借款前没有任何提示需要收费的项目，没有借款合同，放款单位为湖南吕秀信息科技有限公司，第三方支付通道为汇潮支付，请聚投诉平台协助处理。</t>
  </si>
  <si>
    <t>2019/10/11 14:58:36</t>
  </si>
  <si>
    <t>各种利息和服务费，都不知道这些费用从何而来。</t>
  </si>
  <si>
    <t>2019/10/11 14:58:10</t>
  </si>
  <si>
    <t>9月28号曹雨晴来我们市场代办农行信用卡，其间又直接办了个移联商通pos机，，中间刷了二笔150+196承诺3-7天不下卡退回储蓄卡内，现在已过去十多天，电话不接微信不回。</t>
  </si>
  <si>
    <t>2019/10/11 14:57:32</t>
  </si>
  <si>
    <t>投诉人何娜投诉对象明世教育涉诉金额7980元问题类型诉求类型投诉详情明世教育:当时咨询的时候说是教育分期，后来被误导做了培训贷，以至于不学习都还要继续还培训贷，另外看了纸质的合同以后和家庭情况还有里面霸王条约，姑而不签协议并要求退款你们一而在而三的推脱，现在要求你们在我未签协议下退款并解除培训贷而你们一直不敢正面回答，这是为什么，你们当时也没有跟我说过不学习也要还培训贷，当时我要知道是培训贷打死我都不会同意的。</t>
  </si>
  <si>
    <t>2019/10/11 14:56:42</t>
  </si>
  <si>
    <t>2019年10月8日早6点20，在使用苹果钱包充值市政交通一卡通时，第一次充值20元立即扣了款，但未到账，第二次充值20元后到账，24小时内第一次误扣的款项未退回银行卡。</t>
  </si>
  <si>
    <t>2019/10/11 14:56:40</t>
  </si>
  <si>
    <t>该平台存在严重的系统漏洞，有些用户利用该平台使用一些不正规手段。</t>
  </si>
  <si>
    <t>2019/10/11 14:56:23</t>
  </si>
  <si>
    <t>我在拍拍贷借款，18500元，已经用很久，以前也从来没有逾期，最近因家里出现重大变故，所以有一笔92的还款逾期了一天，逾期利息高达26元，还不停的爆我通讯录，严重顺拐我名誉，影响我的正常生活，求有关部门帮忙维权，要么协商分期还本金，要么我一分不还，等着走法律程序。</t>
  </si>
  <si>
    <t>2019/10/11 14:56:10</t>
  </si>
  <si>
    <t>投诉人韩女士投诉对象MY钱包涉诉金额3038元问题类型诉求类型投诉详情因为个人原因还款逾期一天，逾期费不能减免不说，我也解释了今天晚上会还上，催收人员直接威胁我，几点几点之前不还爆通讯录联系人，公布我的身份信息，希望此平台给我一个公道而且借款除去利息，还有服务费是什么意思，请问my公司是有多大的后台，催收说话都这么硬，我欠款从没有不还过，每个平台催收都很客气，我也很配合，这家公司的催收简直了，报警都不怕了，还有没有王法了。</t>
  </si>
  <si>
    <t>2019/10/11 14:56:09</t>
  </si>
  <si>
    <t>投诉人汪先生投诉对象现金巴士涉诉金额1000元问题类型诉求类型投诉详情自2017年因生意出问题，被铺天盖地的网贷广告所诱惑，步入了网贷深渊，自此在一直在现金巴士上借款，我也知道这样下去不行，后多方求助，和网贷平台沟通还款，已经慢慢觉得生活还是有光明的，但是今天接到现金巴士电话，告诉我逾期5天了，并且逾期费用高达60元，如果下雨5点前不能还款，将告知手机通讯录联系人，这笔借款单一共借款1000元，为期1个月，放款之前需要用其他明目收取98元的杂费，相当于实际借款902元，但是却需要还款1030元。</t>
  </si>
  <si>
    <t>2019/10/11 14:55:57</t>
  </si>
  <si>
    <t>说好交付费1188包开网店装修指导课程营业推广，说好交付费1188包开网店装修指导课程营业推广 一个星期上了16个产品后服务人员态度太差理论几句之后就告诉我要和我终止合作，我要求退款，不回信息，没任何反应。</t>
  </si>
  <si>
    <t>2019/10/11 14:55:39</t>
  </si>
  <si>
    <t>借几千块钱分三个月，就快600的利息，并且提前结清不减免利息。</t>
  </si>
  <si>
    <t>2019/10/11 14:55:35</t>
  </si>
  <si>
    <t>从钱站9月申请18000借款，现在还未到第一期还款日期申请提前还款，发现需要偿还25000，借款18000，不到一个月还款25000，并且合同上写着23000多，本人不为难平台愿意支付合理的利息和费用给平台，18000，加上利息一个月愿意给1000以下的费用，现在多出7000的费用太离谱，如果平台不予理会和解决，本人将通过法律途径或者报警处理！。</t>
  </si>
  <si>
    <t>2019/10/11 14:55:28</t>
  </si>
  <si>
    <t>本人于去年在华夏信财贷款24期，7万元，每月还款4513元，已还了9期！先经核算后发现该贷款实际利率已经达到46%违反国家规定的最高36%，虽然我是签了合同但是该合同已经超出国家标准，我有权要求退回多余利息！业务员说如果不按时还款照样支付罚息！现我要求必须按国家要求支付利息！在修改之前不能影响我的征信！。</t>
  </si>
  <si>
    <t>2019/10/11 14:55:11</t>
  </si>
  <si>
    <t>2019.8.13晚，我到达烟台蓬莱机场，准备乘坐飞机去往西安，据当时工作人员所说使用会员卡，折扣机票仅需200元上下，过了安检后，有所谓工作人员拦下我说需要检查机票信息是否正确，因为我长期需要西安烟台之间飞，据当时工作人员所说“使用会员卡，折扣机票仅需200元上下”，且购买其他机票也可抵扣至少两百元，此外可以享受机场的贵宾休息室，然而中秋假期我联系客服人员订购机票，发现所能给出的折扣与当时承诺大相径庭，昨晚我联系工作人员退卡，工作人员说此卡不予退，并且使用时折扣是递减的，我跟工作人员要他们公司官网，被告知</t>
  </si>
  <si>
    <t>2019/10/11 14:55:03</t>
  </si>
  <si>
    <t>3月报名后，没有专人及时跟进主动维护，都是自己问，也没有所谓什么班主任的有效跟进服务，要求退费，可迟迟不予解决，一直没人管没人问，烦请办理退费！。</t>
  </si>
  <si>
    <t>2019/10/11 14:54:54</t>
  </si>
  <si>
    <t>投诉人郑先生投诉对象小浦优客涉诉金额199元问题类型诉求类型投诉详情为什么没提示就私自扣款扣了199，要不是买东西的时候看了下都不知道有扣款。</t>
  </si>
  <si>
    <t>2019/10/11 14:54:48</t>
  </si>
  <si>
    <t>教育咨询有限公司原办公室，广州市天河区林和西路9号1224室，签订了西安电子科技大学教育服务合同，其中服务方苏博，缴费时老师通过诱导与其合作的平台-海米管家，办理分期付款，共12期，每期还款983.33元人民币，办理过程都是由老师进行，无需本人参与，拍照也表示是学校需求，且并未提前告知重庆爱海米科技的还有一个名字叫“重庆海尔小额贷款有限公司”，而且在苏博教育机构的老师上传教育培训合同到海米管家APP上之前，无法查看海米管家上的这些所谓的借款合同，征信授权书，培训机构没有告知让查看或确定这些所谓的合同，是不知</t>
  </si>
  <si>
    <t>2019/10/11 14:54:40</t>
  </si>
  <si>
    <t>投诉人余女士投诉对象你我贷涉诉金额665元问题类型诉求类型投诉详情2018年9月27日在融360你我贷秒借，申请一笔6600元贷款，分期12期，1.2期还款1156.64*2=2313.28，后10期每期还款665.6，本人最近确实困难，剩下最后一期665.6暂时归还不了，催收多次与我联系，我跟她说给我时间解决，但催收一直咄咄逼人，工号0335，现在我要拒绝还款。</t>
  </si>
  <si>
    <t>2019/10/11 14:54:36</t>
  </si>
  <si>
    <t>投诉人张先生投诉对象掌众金服涉诉金额3285元问题类型诉求类型投诉详情一直在用闪电借款因为最近资金问题不得已逾期，有还款的意愿，结果逾期一天就被打电话骚扰催收，催收不给协商，希望平台可以协商一下，20号发工资马上就还上。</t>
  </si>
  <si>
    <t>2019/10/11 14:54:25</t>
  </si>
  <si>
    <t>投诉人黄女士投诉对象众安保险涉诉金额625元问题类型诉求类型投诉详情一、在小赢卡贷借款时，平台在申请时违规将借款合同与保险合同捆绑到一起，二、客户在操作借款时，操作页面无明显提示需购买保险，且保险费用从借款利息中扣除，关于保险合同的被保人、保障条款、生效时间等一概不知情，三、本人得知名下有2笔众安保险的保单，本人要求保险公司依法立刻退还相关保险费用，注：相关证据图片后面全部附上如不解决，将进一步向12378保监会投诉到底曝光到底。</t>
  </si>
  <si>
    <t>2019/10/11 14:54:19</t>
  </si>
  <si>
    <t>本人在现金巴士借了五笔借款分别是1500，1500，1500，1000，1000。</t>
  </si>
  <si>
    <t>2019/10/11 14:54:16</t>
  </si>
  <si>
    <t>群发短信骚然，对个人声誉造成不可估量的影响。</t>
  </si>
  <si>
    <t>2019/10/11 14:54:12</t>
  </si>
  <si>
    <t>投诉人 季先生        投诉对象  平安银行        涉诉金额  19 215 元    问题类型    诉求类型投诉详情  平安外包催收 暴力催款 搞得我全家不安宁</t>
  </si>
  <si>
    <t>2019/10/11 14:54:11</t>
  </si>
  <si>
    <t>投诉人王先生投诉对象钱站涉诉金额7000元问题类型诉求类型投诉详情钱站持续骚扰通讯，各种电话、短信骚扰，各种威胁、辱骂！。</t>
  </si>
  <si>
    <t>2019/10/11 14:54:07</t>
  </si>
  <si>
    <t>带人说是去赚点生活费，平台是合法的，后来才发现是赌博，可惜晚了。</t>
  </si>
  <si>
    <t>2019/10/11 14:53:59</t>
  </si>
  <si>
    <t>2019/10/11 14:53:46</t>
  </si>
  <si>
    <t>本人于2019年8月7日受江苏鼎云尚文化传媒有限公司业务员的电话及短信邀请到丽水东方宾馆参加被告举办的“vx餐饮外卖发布会”，现场工作人员说他们得到了腾讯公司授权的微信小程序注册及开发业务，公开课介绍说微信小程序的关键词具有唯一性，也就是别人注册了后，其它任何个人或单位都不能再注册，不能重复名称,一旦注册成功，关键词可永久使用，所以本人现场咨询了“丽水烘焙”是否被注册了，能不能抢注到，承诺缴纳永久使用费用可以终身零抽成，零配送费，有后台联系的专门配送人员，今年还会来我们丽水市建立站点，现场过来指导，帮我们商</t>
  </si>
  <si>
    <t>2019/10/11 14:53:44</t>
  </si>
  <si>
    <t>我在宜人贷借款本金5万，合同金额为58823.54元，，自借款起我已向宜人贷还款17期，每期2952.11元，合计50185.87元，，根据我在宜人贷的贷款协议，一次性还清贷款，费用为本期应还+剩余本金+提前还款违约金，我18期应还金额为2952.11元，根据计算我的一次性还款金额为2952.11+，宜人贷要求还的金额为19828.91元，其中本金16792.84元，我认为不合理，也不合法，宜人贷也拒不协商，我要求宜人贷调整我的一次性还款金额。</t>
  </si>
  <si>
    <t>2019/10/11 14:53:39</t>
  </si>
  <si>
    <t>投诉人 刘先生        投诉对象  天猫：nike官方旗舰店,NIKE耐克        涉诉金额  499 元    问题类型    诉求类型投诉详情  在天猫耐克官方旗舰店买了两双鞋子 其中一双大了穿不了当天就退了 重拍了另一双。退走时鞋盒是完好的 卖家收到后说鞋盒坏了不给退 鞋子是完好无损的，多次沟通不给解决。淘宝小二介入直接驳回我们的退款请求。世风日下这种行为不就是强买强卖吗 还有王法吗？请给我们老百姓主持公道 不能因为他是大品牌就这样 我们也不过分 就</t>
  </si>
  <si>
    <t>2019/10/11 14:53:01</t>
  </si>
  <si>
    <t>本人于2019年1月19号租用首汽旗下租车品牌gofun出行服务，租用车辆，于2019年1月20号出险，报保险，之后事故于2019年9月12号结案，相关垫付费用，已经打入首汽租金有限公司成都分公司；之后曾3次致电首汽客服，均未给出确切的费用退还时间，一拖再拖，严重侵犯了本人的权益，望管理局追查，还给消费者一个满意的答复！。</t>
  </si>
  <si>
    <t>2019/10/11 14:52:57</t>
  </si>
  <si>
    <t>在立借平台的大麦游借款，2100到账1500多，现在债务爆发，已经缴纳续期费1100多元，明天到期，无力还款，已在当地公安立案其他高利贷平台，要求处理！。</t>
  </si>
  <si>
    <t>2019/10/11 14:52:15</t>
  </si>
  <si>
    <t>投诉人 李先生        投诉对象  人人贷        涉诉金额  15 000 元    问题类型    诉求类型投诉详情  人人贷借款1.5万 没用上 想提前还款 还全部收取所有利息 不合理 而且拒绝</t>
  </si>
  <si>
    <t>2019/10/11 14:52:03</t>
  </si>
  <si>
    <t>额度7100，实际到账5100不到，砍头息1400元，逾期手续费达到200多一天，利息实在太高，协商还款只限当天，如果没有还进去就开始采取所谓第三方行动。</t>
  </si>
  <si>
    <t>2019/10/11 14:51:47</t>
  </si>
  <si>
    <t>投诉人唐先生投诉对象京东金融涉诉金额3900元问题类型诉求类型投诉详情京东金融白条催收客服未经本人允许骚扰通讯录，恐吓威胁！希望京东金融做出处理！。</t>
  </si>
  <si>
    <t>2019/10/11 14:51:32</t>
  </si>
  <si>
    <t>打电话给客服申请解冻被告知无法解冻只能注销。</t>
  </si>
  <si>
    <t>2019/10/11 14:51:15</t>
  </si>
  <si>
    <t>9.28通过华为钱包微信支付充值北京市政交通一卡通50元，没有到账，显示收款方为黑狗科技，但是客服电话却打不通。</t>
  </si>
  <si>
    <t>2019/10/11 14:50:59</t>
  </si>
  <si>
    <t>我投诉这个账户是高利贷放款账户，兴业银行陶艳平，贷款平台是一休哥，在国家严打期间竟然还敢放款，借款4500到账2520，5天以后还款4500，赤裸裸的高利贷，希望银行出面调解，本金及合法利息我都可以还。</t>
  </si>
  <si>
    <t>2019/10/11 14:50:54</t>
  </si>
  <si>
    <t>投诉人黄女士投诉对象蚂蚁借呗涉诉金额14500元问题类型诉求类型投诉详情协商解决借呗花呗逾期，而不是客服推诿扯皮。</t>
  </si>
  <si>
    <t>2019/10/11 14:50:24</t>
  </si>
  <si>
    <t>我的快手账号用QQ号注册的，绑定的手机号两年前就不用了，去年重置手机系统后登录不了快手，申诉换绑定手机号一直不成功，打客服询问告诉我资料提供不对，我的快手号是实名认证的，我提供了我的身份证照片，手持身份证照片，人脸识别，都不能证明账号是我的，就必须要精确到注册地点和注册时间还有常登录地点，否则就不能证明账号是我自己的，申诉就不通过，我都注册四五年了，谁还能回想起来具体的时间，我需要快手官方给我个解释，请问是不是我提供了我的身份证还不能证明我是我本人。</t>
  </si>
  <si>
    <t>2019/10/11 14:50:22</t>
  </si>
  <si>
    <t>宏萨科技有限公司无故扣款296元，打对方电话对方说我在他们平台下载过一个名为小浦优客app里面签署了一份协议，协议内容里涉及扣款项目，在我本人不知情得情况下扣除费用，我觉得非常不合理，而且其中很多不合理的条件。</t>
  </si>
  <si>
    <t>2019/10/11 14:50:19</t>
  </si>
  <si>
    <t>由于本人手机卡银行卡钱包集体丢失，人在外地无法赶回来，造成借款逾期，借款中心暴力催收，联系通讯录里联系人，造成借款人无法正常生活！利息高！。</t>
  </si>
  <si>
    <t>2019/10/11 14:50:12</t>
  </si>
  <si>
    <t>一、在小赢卡贷借款时，平台在申请时违规将借款合同与保险合同捆绑到一起，二、客户在操作借款时，操作页面无明显提示需购买保险，且保险费用从借款利息中扣除，关于保险合同的被保人、保障条款、生效时间等一概不知情，三、本人得知名下有2笔众安保险的保单，本人要求保险公司依法立刻退还相关保险费用，注：相关证据图片后面全部附上如不解决，将进一步向12378保监会投诉到底。</t>
  </si>
  <si>
    <t>2019/10/11 14:49:57</t>
  </si>
  <si>
    <t>投诉人 王女士        投诉对象  钱站,华夏银行        涉诉金额  1 000 元    问题类型    诉求类型投诉详情  明明是一千合同确是一千三百多 借一千还一千八百多着比高利贷还黑啊</t>
  </si>
  <si>
    <t>2019/10/11 14:49:33</t>
  </si>
  <si>
    <t>本人在及贷及分期贷款10000元12期还每期还1206元已结清9期，第十期于8月20号因本人出现紧急情况没办法还上。</t>
  </si>
  <si>
    <t>2019/10/11 14:49:30</t>
  </si>
  <si>
    <t>本人在来这分期借款2000，结果发现每周要还820还4周共计3300元，现在本人已经还了2周共计1600剩余部分要求协商销账。</t>
  </si>
  <si>
    <t>2019/10/11 14:48:51</t>
  </si>
  <si>
    <t>云闪付为非法赌博网站及平台提供第三房充值通道，被诱骗充值后来发现是网络赌博平台，通过了解得知并非正规的购彩网站，是有后台操控的一个违法平台，另外通过中国人民银行和支付清算协会沟通得知第三方支付业务应审核客户的相关信息，第三方支付公司不得向证券、期货、博彩等机构提供支付结算业务，根据银行流水查到资金是通过先锋支付公司支付的，以二维码支付以及在线银联支付方式，作为有牌照的支付公司没有履行国家相关法律法规要求，为违法违规机构平台提供支付结算通道，即产生了洗钱的嫌疑，金融机构客户身份识别和客户身份资料及交易记录保存</t>
  </si>
  <si>
    <t>2019/10/11 14:48:03</t>
  </si>
  <si>
    <t>投诉人王先生投诉对象安徽图乐网络科技有限公司涉诉金额8600元问题类型诉求类型投诉详情安徽图乐网络科技有限公司经营范围并没有网贷业务，但是该公司2018年12月从事网贷业务。</t>
  </si>
  <si>
    <t>2019/10/11 14:47:54</t>
  </si>
  <si>
    <t>拍拍贷联系轰炸紧急联系人，还自动偷取本人更新后的通讯录去轰炸联系人，劝告工作人员无果后，变本加厉，威胁家人朋友和本人:信不信你以后生活不下去，让你的家人朋友全都知道。</t>
  </si>
  <si>
    <t>2019/10/11 14:47:44</t>
  </si>
  <si>
    <t>投诉人连女士投诉对象钱站涉诉金额2197元问题类型诉求类型投诉详情本人总共有两笔贷款，每月10号为还款日，10号当天上午就开始打催促还款短信，我以为卡里面的钱款是足够的，没多理会，因为从未逾期过，直到11号收到短信说两笔其中有一笔2000的贷款逾期了，应还金额为2197.77，逾期一天利息就高达快200块钱，打客服电话说明情况，客服说贷后部门会跟我联系协商利息问题，之后一直等不到有人和我联系，第二次又打了客服电话，说贷后部门会一到三个工作日与我联系，唯一的办法就是等，我说现在已经逾期一天了，那接下来三天如果</t>
  </si>
  <si>
    <t>2019/10/11 14:47:22</t>
  </si>
  <si>
    <t>投诉人 陈先生        投诉对象  宏萨信息科技        涉诉金额  296 元    问题类型    诉求类型投诉详情  莫名其妙扣了296元 怎么扣的钱扣的什么钱 都不知道了也没短信 写理财 从来不买理财产品</t>
  </si>
  <si>
    <t>2019/10/11 14:47:19</t>
  </si>
  <si>
    <t>360暴力催收，每天数十个电话轰炸，找黑社会吓唬人，这种公司不让他们下架，天理难容，希望你们重视，我已经告诉他具体的时间还钱了，他们每天不同的人打电话催收，。</t>
  </si>
  <si>
    <t>2019/10/11 14:46:27</t>
  </si>
  <si>
    <t>本人自微粒贷开启多年以来,一直有良好的信用借还记录,从6千额度上升到14万额度，进入2019年后,由于本人工作和家庭发生一些意外，经济上出现困难导致逾期现象时有发生,但本人都在事后尽力偿还,由于生活实在越来越困难，我多次主动找微粒贷协商能否在12期的基础上放宽到36期进行还款，但都被拒绝了,微粒贷循环使用这么多年以来,光从我身上赚的利息都超7万了,逾期3天就采取电话轰炸,信息骚扰等手段进行追款，一点活路余地都没有，逾期超3天后雇佣第三方人员进行恐吓、威逼、上门等手段并抛出最后极限还款日,一切后果自负等暴力手</t>
  </si>
  <si>
    <t>2019/10/11 14:46:18</t>
  </si>
  <si>
    <t>催收态度极其恶劣，让我丢失工作，我现在只能赚一点还一点，给我开个延期吧，用了闪银这么久了，没想到你们把人往死路上逼。</t>
  </si>
  <si>
    <t>2019/10/11 14:45:47</t>
  </si>
  <si>
    <t>投诉人严军投诉对象你我贷涉诉金额234元问题类型诉求类型投诉详情希望能协商推迟到16号还款，停止电话骚扰催收。</t>
  </si>
  <si>
    <t>2019/10/11 14:45:30</t>
  </si>
  <si>
    <t>投诉人 马先生        投诉对象  百事普惠        涉诉金额  449 元    问题类型    诉求类型投诉详情  10月3日分别被 百事普惠和拇指下款APP 签约账户扣款299元和250元 名为评估费 但贷款并未成功 而且两比扣款发生在对方同一账户</t>
  </si>
  <si>
    <t>2019/10/11 14:45:26</t>
  </si>
  <si>
    <t>天天打电话骚扰我轰炸我的通讯录而且用个人手机加我微信给我发信息前几个月都打到我的客户哪里去了直接让我损失这单生意。</t>
  </si>
  <si>
    <t>2019/10/11 14:45:18</t>
  </si>
  <si>
    <t>因为家里出了事，工作调动导致工资没有发放，所以逾期了，之前客服也有打电话一直都是协商，我也同意，我把身上能有的都还上了，现在还欠1000元，我从来没有拒绝还款过，上个星期有个自称是高级催收部的打电话给我爸，说让家里人准备好，要上门催收，家里还有上了年纪的老人，吓的都去医院，今天又打电话过来说已经到我家了。</t>
  </si>
  <si>
    <t>2019/10/11 14:45:16</t>
  </si>
  <si>
    <t>我在钱站共借款5114元，从无逾期或违约，每期必按时归还，但钱站平台未提供有效沟通渠道在逾期后不仅收取每天高昂的逾期罚息，肆意拨打我亲友电话，还对我和我亲友不断骚扰，讽刺，而且索要回拨电话一律不给，今年九月份我因恶性肿瘤术后恢复检查与治疗需要资金周转，一时资金紧张，想与平台沟通延期还款方案并冻结我账户贷款金额，但钱站平台未提供有效沟通渠道，在逾期后不仅收取每天高昂的逾期罚息，肆意拨打我亲友电话，还对我和我亲友不断骚扰，讽刺，而且索要回拨电话一律不给，试问，我借款的时候为什么态度那么好，复借还主动邀请我，我长</t>
  </si>
  <si>
    <t>2019/10/11 14:45:15</t>
  </si>
  <si>
    <t>恐吓，无视法律，觉得他们的催收人员视法律如粪土，希望有关部门重视，并且对我进行信息轰炸等极端违法手段。</t>
  </si>
  <si>
    <t>2019/10/11 14:45:13</t>
  </si>
  <si>
    <t>由于本人手机卡银行卡钱包集体丢失，人在外地无法赶回来，造成借款逾期，借款中心暴力催收，联系通讯录里联系人，造成借款人无法正常生活！利息罚息高的离谱！。</t>
  </si>
  <si>
    <t>2019/10/11 14:45:08</t>
  </si>
  <si>
    <t>因我老公在招联金融平台上借款，借款我本人不知，直到有一天接到电话说他没有及时还款已经逾期，我告知对方联系上他我会告知他，在今年2月份他就离开家里，不和父母与我联系，我告知她他如果接我电话我会跟他说对方开始说要我为了小孩着想，我没有太在意就说会告诉他，招联客服每天几个电话，我都接，因为我不想让别人一直不停的打电话给我，给我造成困扰，我一直以为只要我好好说他们应该可以理解，但是事情越来越不对，我只要接电话每天好几个必打，我不接电话每天也是三四个，直到今天一个杭州号码打来，我接听之后她说是招联的人，要我催我老公还</t>
  </si>
  <si>
    <t>2019/10/11 14:44:29</t>
  </si>
  <si>
    <t>别人借网贷，一直骚扰我，以前是电话骚扰，今天是短信骚扰，一直不断，不是说不要骚扰别人吗。</t>
  </si>
  <si>
    <t>2019/10/11 14:44:27</t>
  </si>
  <si>
    <t>合同上写明借款11520元，放款放11520元，但马上以保费的名义划走4220元，实际到手7300元，还款却按11520元的本金利息来还款。</t>
  </si>
  <si>
    <t>2019/10/11 14:44:06</t>
  </si>
  <si>
    <t>投诉人李先生投诉对象钱站涉诉金额5876元问题类型诉求类型投诉详情第一次贷了2000元，分两期，结果到第一时全还了，2897元，利息897元，第二次贷了2000元，分三期，每期还1192.66共还了3577.98利息共1577.98元，第三次借款4000，合同上写5320元，到账4000元，每期大约还2620，三期共需还大约7860，利息，大约3860元。</t>
  </si>
  <si>
    <t>2019/10/11 14:44:04</t>
  </si>
  <si>
    <t>涉诉金额259元问题类型诉求类型投诉详情重复扣款找不到客服逾期恶意骚扰建议永封。</t>
  </si>
  <si>
    <t>2019/10/11 14:43:58</t>
  </si>
  <si>
    <t>投诉人陆先生投诉对象钱伴涉诉金额1100元问题类型诉求类型投诉详情在和前一个专员好好沟通的情况下10号晚上换了一个女的上来就是诽谤恐吓我而且不肯好好沟通一直恶意诽谤侮辱我恶意骗贷希望贵方做出解释处罚并且好好协商。</t>
  </si>
  <si>
    <t>2019/10/11 14:43:43</t>
  </si>
  <si>
    <t>买家退货原因是根本就没有和家人沟通，导致家人不同意买这个货物，结果就拒签的事情，等于买家买这个货物来回逗着玩呢，我们发出去运费1000多，退回来运费1073元，退回来运费得有买家承担，客户咨询我们大概几天能到货，我给客户的回答说5-6天左右，结果天猫客服处理的结果就是支持客户，让所有的运费都我承担，另外货物退回来货物也坏了，我们找谁去说理，难道我们做个淘宝客服，也要去学习好法律知识，去研究这些啊。</t>
  </si>
  <si>
    <t>2019/10/11 14:43:34</t>
  </si>
  <si>
    <t>投诉人 李先生        投诉对象  造艺科技        涉诉金额  299 元    问题类型    诉求类型投诉详情  我什么都没干 贷款也没批 就扣了我299元</t>
  </si>
  <si>
    <t>2019/10/11 14:43:27</t>
  </si>
  <si>
    <t>之前分别借给朋友几万块钱，结果他家出了点状况，不能及时还我，导致逾期，这段时间我家里91岁老人去世，第三方机构天天打电话，发短信骚扰我以及家人，还发什么通告函，还要上门，严重影响到我和家人的生活，谁也不想逾期，金额又不是很多，我和朋友都在想办法解决问题，希望有关部门规范一下流程。</t>
  </si>
  <si>
    <t>2019/10/11 14:43:22</t>
  </si>
  <si>
    <t>投诉人朱帅投诉对象月光侠分期涉诉金额2310元问题类型诉求类型投诉详情我再月光侠分期借了一笔钱借款3300元实际到账2310元，我已经还了1期1150元，由于该公司收取了高额砍头息第二期已经逾期，我要求与该公司协商还款到账金额，但是遭到拒绝，只有通过聚投诉来解决，该公司扣除了1100多元的服务费已经严重违反我国法律，并请有关部门给予调查。</t>
  </si>
  <si>
    <t>2019/10/11 14:43:14</t>
  </si>
  <si>
    <t>购买了会员不能借款连客服都找不到，请求退款。</t>
  </si>
  <si>
    <t>2019/10/11 14:42:28</t>
  </si>
  <si>
    <t>由于本人工作原因，导致资金出现问题，暂时无法及时还款，在本人完全不知情的情况下，你我贷平台电话骚扰本人的亲朋好友，导致朋友们都受影响了。</t>
  </si>
  <si>
    <t>2019/10/11 14:42:14</t>
  </si>
  <si>
    <t>在某培训机构学习，学校因未完成相关的学习服务退还我一部分学费，此学费在有钱花app当中减去，这个培训机构已经将钱归还于有钱花公司，但有钱花公司还要求我还款六百多利息，我共贷款23800现减去9800还有贷款14000，现在有钱花公司表示加利息我还需归还11471，询问有钱花公司为何扣我的贷款六百多不经过本人同意也不告知本人，有钱花与此培训机构合作贷款不下几万人平均每人2~3万。</t>
  </si>
  <si>
    <t>2019/10/11 14:42:09</t>
  </si>
  <si>
    <t>投诉人倪女士投诉对象贷上钱,水象分期涉诉金额2560元问题类型诉求类型投诉详情要求贷上钱将涉及的超利贷产品所违规收取的费用进行退还，退还涉及砍头息，水象分期特别多。</t>
  </si>
  <si>
    <t>2019/10/11 14:41:56</t>
  </si>
  <si>
    <t>投诉人薛先生投诉对象上海东方尚学培训中心涉诉金额3400元问题类型诉求类型投诉详情我们于7.8号入职上海东方尚学合肥分公司位置在新地中心C坐25楼当时和我们说入职买五险一金，前两个月保护绩效500，底薪是2500.当时面试人事男的姓姚的和我们说的，每个星期加班一天加班费100每个月20号准时发工资但是实际上并没有在8月20号公司没发也没做出解释一直到9.2号发了基本工资提成和加班费没发，如果今天下班前还是不能给我解决工资问题，我会继续全面投诉，直接拨打市长热线，去劳动局告东方尚学！。</t>
  </si>
  <si>
    <t>2019/10/11 14:41:37</t>
  </si>
  <si>
    <t>投诉人林鸿先生投诉对象马上消费金融涉诉金额1000元问题类型诉求类型投诉详情因工资跟换日期发了，上次跟客户协商过可以月底还，现在找催收人员催收，态度恶劣，还说要告知公司，让我没工作做。</t>
  </si>
  <si>
    <t>2019/10/11 14:41:06</t>
  </si>
  <si>
    <t>投诉人朱晓龙投诉对象乐客独角兽涉诉金额9800元问题类型诉求类型投诉详情乐客独角兽以帮助创业的名义在抖音直播引流到微信群内进行讲课从而欺诈消费者说原价12800，现在只需要9800，就十个名额，结果我后续了解到他们用这个方法已经欺诈了多名消费者，我也是其中一员我是上班族这么多钱还是贷款出来的，家里人都不知道，现在一下子欠了这么多钱都不知道怎么办，我们这些被欺诈的人都无处去申诉听说你们平台可靠，只能抱着试一试的心态前来寻求帮助，帮帮我们，网上还有很多和我一样的受害者，他们都陷入迷茫9800的名额一大堆，根本就</t>
  </si>
  <si>
    <t>2019/10/11 14:40:49</t>
  </si>
  <si>
    <t>最近查看银行流水，被天津通融通国际保理公司扣取了29250的费用，疑似为714高炮平台扣款通道，联系不上公司，请聚投诉予以曝光并联系上商户，谢谢。</t>
  </si>
  <si>
    <t>2019/10/11 14:40:32</t>
  </si>
  <si>
    <t>首先，我信用卡逾期3天我自己根本不知道，我没收到任何短信今天催收打电话来，我才知道自己逾期，然后才收到逾期短信客服直接要求我还全款我很郁闷的是，我难道不能还一半。</t>
  </si>
  <si>
    <t>2019/10/11 14:40:18</t>
  </si>
  <si>
    <t>由于本人手机卡银行卡钱包集体丢失，人在外地无法赶回来，造成借款逾期，借款中心暴力催收，联系通讯录里联系人，造成借款人无法正常生活！。</t>
  </si>
  <si>
    <t>2019/10/11 14:39:37</t>
  </si>
  <si>
    <t>借款20000元但合同金额为28292元，服务费占到帐本金的41.46％，如此高额服务费掩盖高利息变相砍头息，增加了借款人负担综合年利率高达48.62％完完全全违反合同法第二百条和互联网金融协会关于规范整顿现金贷业务的通知。</t>
  </si>
  <si>
    <t>2019/10/11 14:39:32</t>
  </si>
  <si>
    <t>因资金周转不开，家里母亲又生病，导致信用卡逾期，全额26300，最低还款6605.3，今天12:00前已经按银行短信提示还款够6605.3最低还款，但催收的刚刚以186******24上海电话威胁不全额处理欠款就上门催收，目前老人生病在老家住院，欠款也在配合银行还款，现在催收人员直接安排上门，请平台给与帮助，谢谢！。</t>
  </si>
  <si>
    <t>2019/10/11 14:38:48</t>
  </si>
  <si>
    <t>投诉人李邦军投诉对象点融网,魔借涉诉金额7000元问题类型诉求类型投诉详情1借款途中没有确认借款就已经借款成功，连利息都没看到！&amp;lt;br&amp;gt;2借款7000，到账7000，平台说我借款8500，按照8500还款！&amp;lt;br&amp;gt;3第二期开始要结清，每次还款都欺骗我说下次帮我申请减免，可以减免&amp;lt;br&amp;gt;4骚扰通讯录联系人，电话很多，态度很爱啊，骂人，发短信息&amp;lt;br&amp;gt;5一共9期，还了6期1025，借款7000。</t>
  </si>
  <si>
    <t>2019/10/11 14:38:27</t>
  </si>
  <si>
    <t>我借1万块钱，等额本息分12期还，利息收取3659.6元，已经超出合同规定和国家规定。</t>
  </si>
  <si>
    <t>2019/10/11 14:38:25</t>
  </si>
  <si>
    <t>循环借贷带人入坑，付出大量利息后还款困难，客服诱导还1000，平台来操作循环贷，利息加高未告知，从此更还不起，2019年10月起更换了新的催收公司，采用暴力催款，雇人一天打500多个电话至借款人公司，对他人造成恶意骚扰，影响公司正常工作。</t>
  </si>
  <si>
    <t>2019/10/11 14:38:07</t>
  </si>
  <si>
    <t>求平台给予处理一下，按揭的手机还了半年了，我让平台一次还清，平台不予理会。</t>
  </si>
  <si>
    <t>2019/10/11 14:37:54</t>
  </si>
  <si>
    <t>浦发银行雇佣第三方恐吓骚扰通讯录人员，恐吓威胁无关人员，属于黑恶性质，并发来照片威胁和向无关人员发送钓鱼信息，意欲何为，貌似不惧怕法律，再次说明拒绝第三方利益集团介入，直接与银行协商，本人已还一万于元，钱肯定一分不少的要还，但是目前确实困难之极，请求停止骚扰和罚息罚金。</t>
  </si>
  <si>
    <t>2019/10/11 14:37:49</t>
  </si>
  <si>
    <t>太平洋保险公司对员工极其不负责，以虚假信息招人，叫人被应聘人员自行投保后转正，转正后3个月不安实际情况下放区域客户，使被应聘人员无法开展工作，后自行投诉到太平洋保险公司95500客服要求上报以及进一步跟进该人员应有的最基本诉求，可是客服以及太平洋保险公司一直推脱，请国家相关机构以及监督机构跟进此问题。</t>
  </si>
  <si>
    <t>2019/10/11 14:37:45</t>
  </si>
  <si>
    <t>当时买了的打印机找顺丰帮忙从驻马店运到武汉，由于产品特殊性，特意买了保险，十月九日晚上到的时候我们当场拆开发现打印机上漏的全是黑墨，随即就把快递小哥叫回来了，前后不过几分钟而已，然后快递人员就说有保险可以赔付的，后来联系客服工作人员，给到的结果就是拖延让等待回复，等了三天，真不知道要等到什么时候，打印机我们还要着急使用，已经很影响我们公司的工作了，希望借助此平台能够帮我尽快解决！。</t>
  </si>
  <si>
    <t>2019/10/11 14:37:39</t>
  </si>
  <si>
    <t>中信银行信用卡，使用之前都是正常还款，前几个月因为创业失败资金断裂，无能力偿还，中信委托方联系让还款2000，说中信银行可以给消除产生的利息7000，其中每个月滞纳金和利息一共达到接近每个月2000元，，待按照要求换上以后，就把我微信拉黑，并且每个月让支付这样的利息和违约金每月接近2000元继续还款，和银行多次联系不上，每过十天半个月就有中心委托方电话恐吓，威胁，说起诉，不让出门，要我命之类的话，并且恶意联系街道办事处的党员代表还有目前工作企业的财务，说一些不实际并且恶意损伤人格的话，要求中信银行，停止每月</t>
  </si>
  <si>
    <t>2019/10/11 14:36:47</t>
  </si>
  <si>
    <t>本人自从拥有了浦发银行信用卡，一直使用的很好，从未逾期过，之前借款300000的万用金，也都是正常还款，从来没有逾期或者不还的情况，现在万用金只有30000多元未还，由于个人经营不善，导致个人经济出现问题，为了按时偿还该行贷款，从个人和其他平台进行贷款，但由于利息太高，不断循环逐渐有点力不从心，所以我希望浦发银行可以给我复借万用金的资格，还清其他借款，我每个月的经济收入足够偿还万用金的本金和利息，我现在家里有刚满月的孩子，还有有皮肤病的父亲，如果不能偿还其他贷款，利息循环下去我将面临家庭和个人崩溃的危险，希</t>
  </si>
  <si>
    <t>2019/10/11 14:35:36</t>
  </si>
  <si>
    <t>之前在来分期借款，已经还完，从来没有逾期，现在来分期app上面显示有借款额度，但是每次都是借款失败，咨询客服次次都说隔段时间在试，快一年了，想要注销账号需要的证件又是一大堆，现在我需要来分期给我一个明确的解释。</t>
  </si>
  <si>
    <t>我丈夫因为没发工资微粒贷逾期3天打我电话让我通知，我通知了我们说尽快今天处理好催熟一定要4点半处理并且威胁不处理直接打亲戚朋友电话上门催收已经报警，准备用自己维权！。</t>
  </si>
  <si>
    <t>2019/10/11 14:35:34</t>
  </si>
  <si>
    <t>投诉人汪先生投诉对象小浦优客涉诉金额296元问题类型诉求类型投诉详情直接扣款，恶意扣款，希望可以退款，我什么都没用，还扣我钱。</t>
  </si>
  <si>
    <t>2019/10/11 14:35:30</t>
  </si>
  <si>
    <t>投诉人杨女士投诉对象渝万竞技工会,斗鱼直播平台涉诉金额10000元问题类型诉求类型投诉详情本人于2019年7月18日加入斗鱼直播平台渝万竞技工会，到目前直播状况越来越差，并放弃直播，但渝万竞技工会不同意退会，请求解决，退出斗鱼直播平台渝万竞技工会。</t>
  </si>
  <si>
    <t>2019/10/11 14:34:58</t>
  </si>
  <si>
    <t>2019/10/11 14:34:28</t>
  </si>
  <si>
    <t>玖富万卡借款5000元，到账只有5000元，合同居然显示本金是5317.45，很明显的和中国人民保险同流合污捆绑销售所谓的保险费，现在要求退回不知名保费，作出解释。</t>
  </si>
  <si>
    <t>2019/10/11 14:34:17</t>
  </si>
  <si>
    <t>美团小白盒收银软件！需要去年10月到现在的带有财务公章的打款明细！客服一再推脱！不给明细！我是法人！需要在法院用到这些东西！。</t>
  </si>
  <si>
    <t>2019/10/11 14:33:51</t>
  </si>
  <si>
    <t>并无借贷情况，不停地换各种电话号码拨打过来，严重影响我的正常生活，希望以后不要再打电话过来。</t>
  </si>
  <si>
    <t>2019/10/11 14:33:42</t>
  </si>
  <si>
    <t>高利贷，借5500元3个月需要还款7100。</t>
  </si>
  <si>
    <t>2019/10/11 14:33:38</t>
  </si>
  <si>
    <t>本人因：2019.6.5——日向深圳市即有分期网贷平台借款1600元零花钱，现如今让本人还款2165，本人觉得是高利贷，现如今即有分期，打骚扰电话到本人，家里面进行恐吓，然后，很过分的是，催款人，变本加厉，直接发恐吓短信到，我家中，未婚妻，手机里面，短信恐吓内容就是以法院明义，要起诉，然后没有过几天，恐吓内容就这点重要，对方以法院明义，要发电子邮件，到。</t>
  </si>
  <si>
    <t>2019/10/11 14:33:13</t>
  </si>
  <si>
    <t>由于个人原因生意失败，导致招联金融无法按时还款造成逾期状态，现遭到招联金融方暴力催收，电话骚扰亲朋好友，已严重影响本人生活，现要求立即停业骚扰。</t>
  </si>
  <si>
    <t>2019/10/11 14:33:04</t>
  </si>
  <si>
    <t>投诉人李女士投诉对象安庆盛通信息科技服务有限公司,人人花涉诉金额90元问题类型诉求类型投诉详情app上显示有笔代扣费1毛钱，但是实际扣了90元，在我不知情的情况扣的，实属欺骗。</t>
  </si>
  <si>
    <t>2019/10/11 14:33:03</t>
  </si>
  <si>
    <t>投诉人崔先生投诉对象我来数科涉诉金额10000元问题类型诉求类型投诉详情钱已经转账支付宝，一直不销账，投诉处理还款，还一直打电话催收，请相关部门处理，不然会一直投诉到底，不承担逾期费。</t>
  </si>
  <si>
    <t>2019/10/11 14:32:56</t>
  </si>
  <si>
    <t>10月10日，办理进度一直卡在撤单中，且客服联系电话永远打不通，秉着一车一卡的原则，我现在也不能以其它渠道再去申请etc设备，现对于这种强买强卖并拖延履行交易的行为进行投诉。</t>
  </si>
  <si>
    <t>2019/10/11 14:32:51</t>
  </si>
  <si>
    <t>我配偶在小米金融有6000多逾期了，然后小米金融取消了分期，每天按41000多计算利息，主动跟他们协商愿意结清减免一部分罚息，对方拒绝并表示会按催收流程走，要求他去法院诉讼，对方也不同意，现在一直耗着无法处理。</t>
  </si>
  <si>
    <t>2019/10/11 14:32:23</t>
  </si>
  <si>
    <t>9000元服务费一个月2百多提前还款，还要收后期的服务费，9000千，2个提前还款都要还多还1650元等于10650，2月利息要1650，变相的收费，。</t>
  </si>
  <si>
    <t>2019/10/11 14:32:16</t>
  </si>
  <si>
    <t>10月3日，我于10月一号主动还款，系统重复扣费两次，多次联系客服人员处理无果，多扣的费用至今未归还</t>
  </si>
  <si>
    <t>2019/10/11 14:32:04</t>
  </si>
  <si>
    <t>投诉人张先生投诉对象浙江航天电子信息科技有限公司涉诉金额150000元问题类型诉求类型投诉详情航天信息股份有限公司作为持证第三方支付机构，自2019年初至今，非法为彩票返利网站提供支付通道，该公司这种违法行为，严重损害了人民权益，请相关部门严查，还百姓公道！。</t>
  </si>
  <si>
    <t>2019/10/11 14:31:46</t>
  </si>
  <si>
    <t>投诉人谢先生投诉对象好运金,信用管家涉诉金额3000元问题类型诉求类型投诉详情于2019年9月14日借款3000元，实际到账2250元，砍头息750元，已准时还款三期，已还2400多了还款金额高于到账金额，最后一期无力还款，在此期间家人不堪压力，数次自残，已经和公安机关反映情况，但联系不到好运金和信用管家，现要求协商销帐，否则若家人出现生命危险，必然刑事起诉！收。</t>
  </si>
  <si>
    <t>2019/10/11 14:30:59</t>
  </si>
  <si>
    <t>投诉人李女士投诉对象平安普惠涉诉金额320000元问题类型诉求类型投诉详情从寿险，财险，到普惠！平安普惠利用“电子签名”误区疯狂为了利用互联网技术提高合同签订效率，我国引入了“电子签名”技术，并于2005年颁布了《中华人民共和国电子签名法》，为电子签名引入的活动愈演愈烈，其主要方法如下：方法一“偷换概念”：将签名人首次在手机APP上的手写签名图像，当做“电子签名”用于电子合同，随后通过普惠控制的电子合同签订平台伪造一份电子签名数字证书，或将手写签名图像发送给电子签名认证机构，颁发一份电子签名数字证书，来证明</t>
  </si>
  <si>
    <t>2019/10/11 14:30:58</t>
  </si>
  <si>
    <t>投诉人张先生投诉对象小立助手,立借涉诉金额8840元问题类型诉求类型投诉详情本人在立借app借款6500元还款为12期，一期为一个月，2019年10月1号是第一期还款日，本人在还款第一期时候因网络信号不好，不慎操作失误，将还款第一期3184元还成了全部还款8840元，多还进去5656元！随后多次联系相关客服商家，要求退款，按照借款一个月支付本金跟合法利息，最后商家给出方案只给我退292.56元，这明显就是坑人黑网贷一点人性化都没有，相当于借款6500元用了一个月还进去8840元，本人强烈要求按照年化利率24</t>
  </si>
  <si>
    <t>2019/10/11 14:30:45</t>
  </si>
  <si>
    <t>投诉人程女士投诉对象招联金融涉诉金额1198元问题类型诉求类型投诉详情我在招联金融共借款12300元，从无逾期或违约，每期必按时归还，但招联金融平台未提供有效沟通渠道在逾期后肆意拨打我联系人电话，并对我和我家人同事不断骚扰，讽刺，今年九月份我因恶性肿瘤术后恢复检查与治疗需要资金周转，一时资金紧张，想与平台沟通延期还款并冻结我账户贷款金额，但招联金融平台未提供有效沟通渠道，在逾期后肆意拨打我联系人电话，并对我和我家人同事不断骚扰，讽刺，试问，我借款的时候为什么态度那么好，我长期履约的行为你们不见，遇到困难怎么</t>
  </si>
  <si>
    <t>2019/10/11 14:29:55</t>
  </si>
  <si>
    <t>客服致电有暴力措施、恐吓！态度极其恶劣，还说找当地人员上门。</t>
  </si>
  <si>
    <t>2019/10/11 14:29:35</t>
  </si>
  <si>
    <t>10月10日，还款金额是870元，由于银行卡问题，逾期一天，现居然多出135元的罚款，有什么逾期利息，逾期罚息还有什么逾期违约金。</t>
  </si>
  <si>
    <t>2019/10/11 14:29:16</t>
  </si>
  <si>
    <t>投诉人靳先生投诉对象造艺科技涉诉金额598元问题类型诉求类型投诉详情上海造艺网络技术有限公司旗下百世惠普、拇指下款两款APP于2019年10月4日上午9点35分分别从我银行卡扣款299元，总计598元，联系客服也得不到妥善处理，复制粘贴一堆官方说辞，我知道客服可能没太大权限，请求@造艺科技能管事的人可以尽快处理。</t>
  </si>
  <si>
    <t>2019/10/11 14:29:04</t>
  </si>
  <si>
    <t>从小当家借款三期，每期还款700多，现在已还2期，就剩最后1期，现在想提前还款结清，但APP一直上不去，客服也联系不上，希望小当家给个说法。</t>
  </si>
  <si>
    <t>2019/10/11 14:28:53</t>
  </si>
  <si>
    <t>本人通过来分期APP被导流到购分期APP，购分期在我注册申请贷款是自动签订了购买会员的协议，并且自动绑定了免密支付，随后从我的银行卡中自行扣除199元，说是VIP会员费，我就纳闷了，我是来申请借款的，怎么就给我买了会员啊，跟客服沟通，客服说会员可以申请贷款，如果5家以上平台拒了，才给退会员费。</t>
  </si>
  <si>
    <t>2019/10/11 14:28:47</t>
  </si>
  <si>
    <t>我问下这保险证费和客户服务费对我们有什么用。</t>
  </si>
  <si>
    <t>2019/10/11 14:28:15</t>
  </si>
  <si>
    <t>类似于pos机以百分之59加3的手续费作为第三方软件可以刷个人信用卡，以便解决个人信用卡资金周转紧张的一个平台，本人2019年5月10号通过平台刷6450元钱，到个人工商银行卡截止今天2019年10月11号这笔钱还未到账，多次联系客服一直推辞钱会到账，截止到现在5多月时间过去了，打客服电话接了电话还是钱会到账再就不说话了，平台现在登录进去交易信息和提款纪录什么都没有了欺骗消费者，只能通过此平台投诉望处理，谢谢。</t>
  </si>
  <si>
    <t>2019/10/11 14:27:27</t>
  </si>
  <si>
    <t>2019/10/11 14:26:50</t>
  </si>
  <si>
    <t>以前不知道有这些投诉的时候，他们天天轰炸我通讯录打我联系人，发短信威胁我联系人，把我照片到处发，那个时候我已经被他们搞精神崩溃，想跳楼也有过，想自死也有过，根本就是过一天算一天，通讯录亲朋好友天天被他们威胁，然后别人找我麻烦，各种各样的问我，自己根本就是过一天算一天，今年315出来，他们好不容易就停止了骚扰威胁恐吓，没想到今天又慢慢的进行开始变相威胁，怎么跟他沟通，然后抱着无所谓的态度，对方就把我资料到处发亲朋好友，发给别人，拿我的手机号码到处注册，拿我哥的手机号码到处注册一些贷款各方面的东西，还有联系人，</t>
  </si>
  <si>
    <t>2019/10/11 14:26:34</t>
  </si>
  <si>
    <t>本人2019.9.15在随手记福贷贷款12000元，到手马上扣2280元，要求退还这些砍头息2280方可正常还款，后面我在进行一次1400才发现没有那个选项扣什么服务费那么多，下款才更改这不符合，处于变相欺骗，。</t>
  </si>
  <si>
    <t>2019/10/11 14:26:06</t>
  </si>
  <si>
    <t>集体投诉，我们分别去平安普惠分公司的柜台办理了这份贷款，在办理贷款中，没有说过会收取平台服务费，也没有告知捆绑一份保险，只是说是跟深圳平安普惠小额贷款有限公司雁塔分公司产生借款合同，当时只签了一张纸质版的借款合同，跟现在APP上发给我的电子版借款合同内容不符，且借款合同和保单的上没有我的任何签名，申请，但是额度22万，实际到账21万4，砍头息6000，现在已还款23万多，还有88900多未还，但是利息只显示2500多，其中就包含了服务费和保费，，就跟业务员要当时办理的借款合同，业务员一直拖到现在也没有给我，</t>
  </si>
  <si>
    <t>2019/10/11 14:24:53</t>
  </si>
  <si>
    <t>被宜人万花以贷款资金被冻结，原因说我银行卡号填错了，款没有到账可是有了还款账单。</t>
  </si>
  <si>
    <t>2019/10/11 14:24:36</t>
  </si>
  <si>
    <t>多乐优品app借款三次，30天每次，10天还一次，一共索取第三方服务费共计450乘以3等于1350元，早就还的超出本息，要求只还应该还的钱！！！把三次费用都记录，只偿还剩下所得！！！。</t>
  </si>
  <si>
    <t>2019/10/11 14:24:27</t>
  </si>
  <si>
    <t>投诉人黄俊秋投诉对象小浦优客涉诉金额296元问题类型诉求类型投诉详情没经过我同意在我的银行卡扣了296块钱。</t>
  </si>
  <si>
    <t>2019/10/11 14:24:24</t>
  </si>
  <si>
    <t>本人在2019年7月4日在新橙优品平台借款5000元，新橙优品平台借款成功后，在借款人不知情情况下以借款人购买保险费方式强制盗扣保险费500元，保险公司为新流保险代理有限公司，本人诉求退回500元保险费。</t>
  </si>
  <si>
    <t>2019/10/11 14:24:22</t>
  </si>
  <si>
    <t>一天拨打五六个电话，隔一个小时一个催收电话，严重干扰了正常的生活和工作，还发短信进行上门催收。</t>
  </si>
  <si>
    <t>2019/10/11 14:24:21</t>
  </si>
  <si>
    <t>上海汇潮支付有限公司作为持证第三方支付机构，自2019年初至今，非法为彩票返利网站提供支付通道，该公司这种违法行为，严重损害了人民权益，请相关部门严查，。</t>
  </si>
  <si>
    <t>2019/10/11 14:24:06</t>
  </si>
  <si>
    <t>招联金融软暴力催收，逾期了跟催收协商好还款日期，换了一个催收继续爆通讯录，到处给通讯录好友打电话说我逾期多少多少，麻烦通知一下本人还款，招联金融软暴力催收真的是出了名的吗。</t>
  </si>
  <si>
    <t>2019/10/11 14:23:56</t>
  </si>
  <si>
    <t>说了在上班，不能打接电话，还继续打来，还说接个电话的时间都没有，索要我老板的电话，说她来打电话给我老板，说让我老板给时间我接打电话，再怎么说她也算是个客服，说话这么冲，这个客服是想让我丢了工作吗，以为她自己是什么啊！真的太气人了，上个月因为接打电话已经被扣了四百多了，本来工资就低，还这样，还让人活吗，我的身份证正反面复印件和贫困证明还有一样什么资料来的，我也不太清楚了，就是说准备这三个证明就可以做分期了，后来第二天打来说要把第一期的还了才可以做分期，就是一下子拿不出这么多钱才申请做分期的，现在又这样搞，看还</t>
  </si>
  <si>
    <t>2019/10/11 14:22:55</t>
  </si>
  <si>
    <t>打电话骚扰联系人，威胁，恶意爆通讯录，严重影响通讯录生活。</t>
  </si>
  <si>
    <t>实际计算就是5天半，利息竟然达到1200元了，怎么允许这么强盗的平台到处进行诱骗百姓借款这么高利息的钱呢，还有汇潮支付为高利贷提供支付通道也改严查，不要让毒瘤蔓延。</t>
  </si>
  <si>
    <t>2019/10/11 14:22:14</t>
  </si>
  <si>
    <t>本人因生病住院，导致没有及时还款，信用卡逾期，现在招商银行信用卡中心第三方催收，一直不停打电话，我目前已经还了三分之二了，还有5502没有还完，第三方催收一直打电话，我正在找朋友借钱还上去，不方便接电话，我知道欠款是不对的，我也非常想要尽快还上所以欠款，但也要有一个过程不是吗，一直以来我都有很明确的还款意愿，不然也不会还进去三分之二。</t>
  </si>
  <si>
    <t>2019/10/11 14:22:04</t>
  </si>
  <si>
    <t>投诉人刘紫庆投诉对象分期乐涉诉金额143元问题类型诉求类型投诉详情希望平台给我两天时间，停止骚扰，给我两天时间周转。</t>
  </si>
  <si>
    <t>2019/10/11 14:21:49</t>
  </si>
  <si>
    <t>借款平台，整个一个月4期的账单所产生的利息高达550元，完全属于高利贷，本人深陷套路贷，现已经借无可借，面临债务全面爆发，希望聚投诉能帮忙退回砍头息，钱小咖平台公司为:北京无相创利科技有限公司。</t>
  </si>
  <si>
    <t>2019/10/11 14:21:01</t>
  </si>
  <si>
    <t>第三方催债公司用呼死你软件一连打了本人4.5个电话，本人父亲当时就在旁边跟催债公司说了半个月就还你们可以不。</t>
  </si>
  <si>
    <t>2019/10/11 14:20:46</t>
  </si>
  <si>
    <t>国美易卡晚了一天还款，把我通讯录里边电话打爆了，所有人都知道我有欠款，影响我个人朋友圈，必须要给我个说法，我的电话也被打爆了。</t>
  </si>
  <si>
    <t>2019/10/11 14:20:21</t>
  </si>
  <si>
    <t>新橙优品黑势力！最主要的是新橙优品到还款时根本没有任何电话或短信通知，没有提醒还款通知！也没电话通知本人，逾期几个小时就爆通讯录炸电话！这是什么行为，恶意骚扰侵犯公民隐私权！一分钟都没有短信就200多条！。</t>
  </si>
  <si>
    <t>2019/10/11 14:19:29</t>
  </si>
  <si>
    <t>然后第九天的时候一个电话打过来让我还款每日10元逾期费。</t>
  </si>
  <si>
    <t>2019/10/11 14:19:17</t>
  </si>
  <si>
    <t>今天中午睡醒后发现该公司莫名其妙扣我296，我从未与该公司签订任何协议以及购买任何产品，该公司此举属于偷款行为！。</t>
  </si>
  <si>
    <t>2019/10/11 14:19:13</t>
  </si>
  <si>
    <t>我之前用钱在钱站上借了1000块钱，第一次还款，还款当天疯狂打电话让我还，说下午几点就不差账了，还是咋的，现在这是第二期，10号还款，我昨晚就忘记还款了，今天早上我刚准备要还的时候发现利息。</t>
  </si>
  <si>
    <t>2019/10/11 14:18:38</t>
  </si>
  <si>
    <t>我在这个平台正常借还款，上个月我想借800忽然跟我说没过，没有一次逾期过给我来了个90天的审核时间，去年给我来个30天我也忍了。</t>
  </si>
  <si>
    <t>2019/10/11 14:18:23</t>
  </si>
  <si>
    <t>本人在17年申请了一张招商银行信用卡，在今年年初以前一直保持良好还款记录，因为个人原因遇到困难资金紧张导致六张信用卡全部逾期，我现在已经正常工作有固定收入，而且我也跟所有银行协商过我每个月都会还款，而且招商银行这边我最近这几个月每个月还款都是在3000元以上，并没有存在恶意拖欠，但是招商银行还是把我的资料卖给其他催收公司，在本月5号的时候一个男的催收员给我打电话辱骂我不要脸以及侮辱我的父母是牛是马，当时这个催收员态度很强硬我没有配合他工作然后就威胁我说要打电话给我们村委，在6号的时候又给我回电说已经打电话到</t>
  </si>
  <si>
    <t>2019/10/11 14:18:15</t>
  </si>
  <si>
    <t>投诉人 李女士        投诉对象  弹棉花        涉诉金额  2 500 元    问题类型    诉求类型投诉详情  要骚扰通讯录 爆通讯录 高利砍头息 请做出处罚</t>
  </si>
  <si>
    <t>2019/10/11 14:17:37</t>
  </si>
  <si>
    <t>本人曲小琳，因投资失败，欠下民生信用卡20000余元，多次有民生信用卡联系遭到拒绝，恐吓本人，本人跟有意愿还款，希望跟银行协商本人可以承受的金额，希望聚投诉帮助我谢谢。</t>
  </si>
  <si>
    <t>2019/10/11 14:17:13</t>
  </si>
  <si>
    <t>合利宝无视国家法律法规！为714高炮提供支付通道！顶风作案、还我血汗钱！。</t>
  </si>
  <si>
    <t>2019/10/11 14:16:55</t>
  </si>
  <si>
    <t>投诉人缪先生投诉对象微粒贷涉诉金额40000元问题类型诉求类型投诉详情微粒贷外包催收人员不停骚扰本人单位以威胁，对本人造成极大影响，本人保留所有录音等证据提起上诉及报警处理。</t>
  </si>
  <si>
    <t>2019/10/11 14:16:37</t>
  </si>
  <si>
    <t>本人再钱站上借了一笔20000贷款，分的36期，今天到期还第2期，由于经济受限，钱站客服打电话让我2点还款，我跟她说明情况可能要延期3天，客服态度就变得很差，说什么还不了就打你通讯录电话，我们不打贷后人员也会拨打你通讯录电话的，我想说的是我没说不还，这个月经济遇到点困难，周一钱就转过来了，到时候我就还进去，但是还没逾期你们就说这样的话会不会太过份了！。</t>
  </si>
  <si>
    <t>2019/10/11 14:16:25</t>
  </si>
  <si>
    <t>10月5号，我在上面买了个mac的口红，还没发货因为我不想要了，就跟客服说退款，当时口红是卖家发货到平台，已经退回去了，然后星期五前几天又说今天星期一能到，我今天去问，又是说，国庆节后才能退款，现在国庆节都过去好几天了 还在推脱 在网上看到很多同样的案例 也是他们心心app拖着不退款，一直到现在，一直推迟敷衍，第一次答应我说三到五天退款到账，到了第五天，我去问，又说在催财务了，然后又说星期五能到账，然后星期五前几天又说，今天星期一能到，我今天去问，又是说，国庆节后才能退款，现在国庆节都过去好几天了。</t>
  </si>
  <si>
    <t>2019/10/11 14:15:55</t>
  </si>
  <si>
    <t>投诉人杨玉君投诉对象平安普惠涉诉金额1500元问题类型诉求类型投诉详情平安普惠第三方委托人，暴力催收，打通讯录，骂人！。</t>
  </si>
  <si>
    <t>投诉人 崔先生        投诉对象  酷宝支付        涉诉金额  11 099 元    问题类型    诉求类型投诉详情  均为在我不知情的情况下被盗刷的四笔订单。</t>
  </si>
  <si>
    <t>2019/10/11 14:15:41</t>
  </si>
  <si>
    <t>投诉人史先生投诉对象宏萨上海科技有限公司涉诉金额296元问题类型诉求类型投诉详情银行短信显示pos机消费296元我点进去看了一下是什么特约宏萨上海科技有限公司扣的款问题是我都没有在这消费就给我自动扣了这不是盗刷吗。</t>
  </si>
  <si>
    <t>2019/10/11 14:15:36</t>
  </si>
  <si>
    <t>，语气威胁并询问借款人个人隐私信息家属信息工作信息等等侵犯个人资料。</t>
  </si>
  <si>
    <t>2019/10/11 14:14:52</t>
  </si>
  <si>
    <t>利息超过国家法定范围，且是短期高息，第一次借1950到账，还款时需要还3003，利息是1053，以此类推，一个月反反复复利息就超过10000了，国家允许的吗，且催收一大早就电话信息不断！这样的平台国家不管。</t>
  </si>
  <si>
    <t>2019/10/11 14:14:50</t>
  </si>
  <si>
    <t>本人于2019年在快贷宝平台导流的麻辣贷多次申请贷款，平台直接扣除百分之三十本金作为捆绑销售可以理解为砍头息，之后在聚投诉平台进行投诉，在本人还款完毕后麻辣贷客服致电本人，商议退回百分之十费用并达成一致，本人当时加了客服微信，微信人员一直推脱是由第三方退款，退款渠道正在修复为由骗人，请聚投诉平台协助联系解决。</t>
  </si>
  <si>
    <t>2019/10/11 14:14:14</t>
  </si>
  <si>
    <t>希望贵行能退回我的每月高额利息及违约金，本人名下在你行的是消费信用卡，请问贵行消费信用卡怎么会有那么高的利息及违约金，又不是贷款怎么会收利息，希望贵行给个合理的解释，退回你们收取我的额外利息及违约金！上传的只是一部分你们扣款的凭证，希望贵行尽快解决，给个合理的解释，谢谢。</t>
  </si>
  <si>
    <t>2019/10/11 14:14:00</t>
  </si>
  <si>
    <t>钱已经还了，还群发骚扰好友，而且我又不是恶意欠款，而是一时周转不过来才会造成逾期。</t>
  </si>
  <si>
    <t>2019/10/11 14:13:40</t>
  </si>
  <si>
    <t>逾期以后一直暴通讯，恶意威胁还款，协商解决不了。</t>
  </si>
  <si>
    <t>2019/10/11 14:13:14</t>
  </si>
  <si>
    <t>近期我有朋友接到中国移动的推送短信，可以办理新和家庭套餐99元档三折的优惠，折后仅需要29元即可，并且已经办理成功，而我拨打中国移动的服务电话10086被告知，有此项优惠服务，但是我不可以办理，只因为我的话费每月是可以达到99元标准的，而我的朋友每个月只有30元左右的话费，我不能理解为什么给与一个不需要优惠的人优惠服务，而真正需要得到优惠人却无法办理，我和我朋友及广大群众同属普通人，不享受额外特殊待遇，为何会区别待遇，国家一再提出关于移动通信降费问题，既然中国移动有此项优惠服务，为何不公开让消费者自主选择，</t>
  </si>
  <si>
    <t>2019/10/11 14:13:00</t>
  </si>
  <si>
    <t>故意让我逾期，逾期一天利息100块，这种典型的套路贷，这种比714还要恐怖的平台国家现在严厉打击还威胁催收。</t>
  </si>
  <si>
    <t>2019/10/11 14:12:45</t>
  </si>
  <si>
    <t>现金巴士平台恶意催收，逾期费高昂，催收人员恶语伤人，语言恐吓。</t>
  </si>
  <si>
    <t>2019/10/11 14:12:39</t>
  </si>
  <si>
    <t>本人于2019年6月28日向钱站提出人民币33000元的贷款申请，结果只到账25000，钱站签阴阳合同，分期12个月总共需要还它们41500.08元，其中还不包括首期收取的两项服务费3567.18元+2170.11元=5737.29，期间，多次协商只还本金加合法利息，但钱站客服人员拒不协商，态度恶劣，对本人进行短信以及电话骚扰，更是爆通讯录骚扰我的朋友和家人，恳请聚投诉平台监督处理此事，钱站已经迫害太多人，借款人会在毫不知情的情况下被签下阴阳合同，打着合法利率的幌子实际确实超高利息，还有可耻的明星代言，这些</t>
  </si>
  <si>
    <t>2019/10/11 14:12:12</t>
  </si>
  <si>
    <t>由于本人手机银行卡钱包集体丢失，人在外地无法赶回来，造成借款逾期，借款中心暴力催收，联系通讯录中联系人，造成借款人无法正常工作生活！。</t>
  </si>
  <si>
    <t>2019/10/11 14:11:38</t>
  </si>
  <si>
    <t>希望平台解决还在我不知情的情况下帮买众安保险。</t>
  </si>
  <si>
    <t>2019/10/11 14:11:30</t>
  </si>
  <si>
    <t>本人曲小琳，因投资失败，欠下光大银行信用卡45000元，多次与光大信用卡协商还款事情，遭到拒绝，本人一个人可承受750还款，很有意愿想还款，可是因本人经济情况有限，希望跟银行协商，请聚投诉帮助我谢谢。</t>
  </si>
  <si>
    <t>2019/10/11 14:11:17</t>
  </si>
  <si>
    <t>您好，本人的确再美团借了生活费，因资金周转不过来逾期了3天，就三天！美团生活费那边没有联系本人！我就直接收到不知名人员进行恐吓威胁及谩骂！为什么不联系我就直接找来那些奇怪的人来恐吓威胁我，！莫名其妙，请贵平台严格控制一下美团生活费的催收行为！欠钱还钱是应该的，但这样的威胁恐吓影响了我生活，我搞不懂为什么有问题不能好好沟通。</t>
  </si>
  <si>
    <t>2019/10/11 14:11:05</t>
  </si>
  <si>
    <t>捷信金融暴力催收，之前电话联系说好一个月之后还款并且申请减免，结果时间未到不停地骚扰当事人及朋友公司，现联系到当事人威胁本人说要上门并且起诉，当事人回复可以，结果电话挂断就去骚扰其公司，并且害当事人被开除，希望有关部门介入调查这样一个欺瞒消费者的公司。</t>
  </si>
  <si>
    <t>2019/10/11 14:11:01</t>
  </si>
  <si>
    <t>投诉人张先生投诉对象得仕涉诉金额9900元问题类型诉求类型投诉详情上海得仕股份有限公司作为持证第三方支付机构，自2019年初至今，非法为彩票返利网站提供支付通道，该公司这种违法行为，严重损害了人民权益，请相关部门严查，还百姓公道。</t>
  </si>
  <si>
    <t>2019/10/11 14:10:24</t>
  </si>
  <si>
    <t>，当天未扣款，第二天告知逾期且多了一百多的利息。</t>
  </si>
  <si>
    <t>2019/10/11 14:10:20</t>
  </si>
  <si>
    <t>10月13日被找回，找客服理赔，态度极差，不愿意按照保单做出赔偿，选择拖延处理，在最后告知我没有证据是卖家找回，不赔钱了，我不管卖家怎么找回，我只要我得到应有的赔付而不是收取高额保单后不赔钱，我是弄租号的，在5173购买了20多个账号，以前也有被找回的情况，但都是赔偿了，不知道这次客服是故意刁难还是不愿意理赔，让我去微信公众号在腾讯客服申请最近有没有被找回的记录，但是腾讯客服那边早就不在提供，客服分明是故意刁难。</t>
  </si>
  <si>
    <t>2019/10/11 14:10:12</t>
  </si>
  <si>
    <t>最近因为生意不太好账务全面逾期，资金周转不开，你我贷无休止的打电话，曝光我的通讯录，和客服协商月底还款也不行，依旧我行我素，邮箱收到几个照片律师函都是假的，因为被垃圾短信删除没有截图下来，但是我觉得这些都是违法的。</t>
  </si>
  <si>
    <t>2019/10/11 14:10:02</t>
  </si>
  <si>
    <t>本人2018年9月再机蜜租手机4999元&amp;nbsp;&amp;nbsp;已经全部还完&amp;nbsp;然后我选择续租然后没有告知前面还的金额全部作废&amp;nbsp;要从新还续租的费用&amp;nbsp;&amp;nbsp;但是他原来的合同上面全部价格是4999元&amp;nbsp;现在不连上前面已经还了的钱&amp;nbsp;&amp;nbsp;这算了下全部要8000多&amp;nbsp;我4000多买的电话&amp;nbsp;为什么全部还完要8000多&amp;nbsp;&amp;nbsp;谁的钱是大风刮来的&amp;nbsp;&amp;nbsp;&amp;nbsp;这凭什么还过的钱不算&amp;nbsp;&amp;nbsp;这电话</t>
  </si>
  <si>
    <t>2019/10/11 14:09:29</t>
  </si>
  <si>
    <t>投诉人杨军投诉对象汇潮支付,一秒陛下涉诉金额2207元问题类型诉求类型投诉详情汇潮支付为714高利贷一秒陛下提供支付通道，高利贷砍头息。</t>
  </si>
  <si>
    <t>2019/10/11 14:09:22</t>
  </si>
  <si>
    <t>不协商并威胁拨打通讯录电话和公司电话态度也不好。</t>
  </si>
  <si>
    <t>2019/10/11 14:08:42</t>
  </si>
  <si>
    <t>与万卡客服商量好的还款金额，还了4笔后到最后一笔未扣款的情况下万卡客服居然说要多加200元，这是客服私下要加的吗，为什么商量好的还款金额到第二天又要多200呢，烦请聚投诉帮忙看看万卡这是变相收取费用吗。</t>
  </si>
  <si>
    <t>2019/10/11 14:08:10</t>
  </si>
  <si>
    <t>信用管家里的存钱柜后改名为金钱保涉嫌高利贷，借款3000实际到账2625分4期还款每期8天还款895块多。</t>
  </si>
  <si>
    <t>2019/10/11 14:07:53</t>
  </si>
  <si>
    <t>让我丢了工作自己找了一份送外卖的工作，自己不是不还，我现在只有赚一点还一点，他们天天给我父母给我亲戚给我以前的同事打电话骚扰恐吓，我的工作丢了，精神恍惚。</t>
  </si>
  <si>
    <t>2019/10/11 14:07:40</t>
  </si>
  <si>
    <t>并未使用他们的车辆，退保证金，一直不退，客服也不接电话，也没有车用。</t>
  </si>
  <si>
    <t>2019/10/11 14:07:12</t>
  </si>
  <si>
    <t>之前按时还款了就冻结我的账户跟我玩套路吗现在逾期几天就开始暴力催收使用不合法的手段吗。</t>
  </si>
  <si>
    <t>2019/10/11 14:06:38</t>
  </si>
  <si>
    <t>松紧带就差两期了，但是我资金出现问题，他们用暴力还让我还款，他们这网贷是高利息，我就是想不用还利息，让我晚点还。</t>
  </si>
  <si>
    <t>2019/10/11 14:05:52</t>
  </si>
  <si>
    <t>微信莫名其妙被创客工具箱打标成“狐狸”，明明没干什么事儿，请立马解除打标。</t>
  </si>
  <si>
    <t>2019/10/11 14:05:40</t>
  </si>
  <si>
    <t>投诉人王舒投诉对象天津龙行天下商务服务有限公司涉诉金额1500元问题类型诉求类型投诉详情本人2017.8.10在丽江机场被骗办了龙行天下卡，两年来一直没用过，前天跟客服打过电话说要退款，昨天打过两次电话，今天打过一次电话一直推托不给退款。</t>
  </si>
  <si>
    <t>2019/10/11 14:05:01</t>
  </si>
  <si>
    <t>投诉玖富万卡，年利率超高，套路贷，阴阳合同，各种方式催收恐吓，催收态度极其恶劣，恐吓威胁人，各种调查，本金4400，12期每期498你自己算下这还是国家规定范围之内吗，天天给我打电话催收恐吓我还联合当地催收给我打电话，如果说你合法那么我请你起诉我，我支持政府法院让我还多少我还多少，我也不是故意躲债我每次都积极配合你们，你们做了什么，我家人年纪大了出了事你负责，还找当地人调查我，你要不可以来我家，咱报警你来抓我都可以，第一我没有故意躲债，是你们工作人员态度极其恶劣催收爆通讯录我们肯定不会相信你们也根本没用你们</t>
  </si>
  <si>
    <t>2019/10/11 14:04:52</t>
  </si>
  <si>
    <t>借款2000元实际下款1300元，周期6天，到期需还款2000元。</t>
  </si>
  <si>
    <t>2019/10/11 14:04:26</t>
  </si>
  <si>
    <t>本人于2018奶奶7月在上海维信荟智金融科技有限公司旗下平台豆豆钱借款10000元，在10000元到账的同时，当天私自扣取了399元，该支付的利息都支付了，该还的本金也还了，请立即退还此笔司机扣款部分。</t>
  </si>
  <si>
    <t>2019/10/11 14:04:21</t>
  </si>
  <si>
    <t>今天接到一条短信，接到传唤短信以后，我要求工作人员向我发他的姓名和警官编号，他并没有给我发送，所以我怀疑这是中国光大银行催收人员非法冒充公安机关向我发送的传唤短信，已经严重扰乱我的工作和生活，让我不能正常工作生活。</t>
  </si>
  <si>
    <t>2019/10/11 14:04:08</t>
  </si>
  <si>
    <t>本人在2019年8月31号于信用管家平台的神马借产品借款2625元，还款为四期，每一期为八天，每一期还款为895元，也就是说借款2625元32天连本带息需要还3584元，除去本金2625元利息就959元，属于高利贷黑网贷，不合法！本人目前已经还了前三期还款2688元，在还款第三期前后联系过客服要求销账，支付合法利息但是均没结果，所以投诉要求尽快销账！。</t>
  </si>
  <si>
    <t>2019/10/11 14:04:03</t>
  </si>
  <si>
    <t>投诉人 史先生        投诉对象  中国联通        涉诉金额  100 元    问题类型    诉求类型投诉详情  服务态度极其恶劣 不回答客户问题 口齿不清晰 恶意挂机</t>
  </si>
  <si>
    <t>2019/10/11 14:03:59</t>
  </si>
  <si>
    <t>我从9月9号开始最后一次通过天天贷借款2000元到账1400元，6天一期，中间续期费用超过3000元，当时放款是由富友支付放款的，超过国家利率太多，中间并恐吓轰炸通讯录，我这边也已经报警处理，希望富友支付也能一起联合，并作出道歉，销账，弥补损失。</t>
  </si>
  <si>
    <t>2019/10/11 14:03:58</t>
  </si>
  <si>
    <t>多次解释最近出了点状况，最迟等2019年10月21准时还款，可是小花钱包不听解释，未经本人允许爆通讯录，给通讯录好友打电话，群发消息，还说要把我照片和人品群发。</t>
  </si>
  <si>
    <t>2019/10/11 14:03:55</t>
  </si>
  <si>
    <t>11月9日在拼多多平台，富贵鸟杰帝尼专卖店购买了一件XL男装衣服，该店以4周年庆、巅峰盛惠、狂欢降价，原价107元，仅售29.9元的字样促销，今天上午收到货发现成衣尺码有严重问题，本人身高175cm，体重72公斤，XL的衣服上身竟然衣长只到腹部，用尺一量衣长竟然只有65cm，完全不能穿，衣服长度上身效果与卖家的商品图完全不符，再次检查衣服发现是假冒富贵鸟的三元产品，且做工粗糙，布料也是劣质布料，与卖家沟通无效，公然售卖假冒的伪劣产品，欺诈消费者，要求拼多多平台对该卖家关闭处罚，提供该卖家的具体身份信息，以便</t>
  </si>
  <si>
    <t>2019/10/11 14:03:38</t>
  </si>
  <si>
    <t>投诉人陈先生投诉对象喜鹊快贷涉诉金额15000元问题类型诉求类型投诉详情喜鹊快贷和他们催收协商不通现在不和协商了没有经过当事人同意就打通讯录电话和通讯录里人员发信息。</t>
  </si>
  <si>
    <t>2019/10/11 14:03:32</t>
  </si>
  <si>
    <t>本人在去年4月份在捷信金融借款3000元，分期42个月每月还款1317.86元，现已归还17个月，共计金额22403.62元，让微信客服人员计算提前还款得到的是仍需还款本金22538.0元，17个月本金才还了7462元本金，却归还了74941.62元的利息及其他费用，切借款前也未告知是等额本金，还是等额本息，不知道这种贷款公司是如何在我国现行法律下做大做强的。</t>
  </si>
  <si>
    <t>2019/10/11 14:03:23</t>
  </si>
  <si>
    <t>10月4日，只给我销了一笔小额的账单，现在目前还有一笔大额的账单还没有给我销账，我多次联系到么么钱包的客服，客服只说把情况上报，等待核实处理，可是我迟迟没有等来处理结果，然后催收人员前几天还能回复我的微信，今天中午也不回复我微信了，我现在请求该平台按照规矩给我销账，借款人还了款之后迟迟不给销账，这属于不正当的违法行为，这让我好不容易凑上来的钱就打水漂了。</t>
  </si>
  <si>
    <t>2019/10/11 14:03:12</t>
  </si>
  <si>
    <t>本人于2019年9月23日到上海唯一视觉旅拍普吉岛门店拍摄婚纱照，9月24日一天拍摄结束后付清所有拍摄费用共计：11499元，全部费用已经全部付清，至今已过半月，但并未拿到一张拍摄照片，联系门店，门店工作人员告知联系上海唯一视觉总部，而上海唯一视觉又告知联系拍摄门店，就这样把我当皮球踢，门店工作人员也是一直敷衍了事，拖欠我们总计204张拍摄底片，请工商部门为我核实处理此事，要求上海唯一视觉公司归还我本人所有拍摄底片，照片拍摄结束半个月，余款拍摄当天结束后就全部付清，不知道为什么不给我们底片，是后面还要增加费</t>
  </si>
  <si>
    <t>2019/10/11 14:03:08</t>
  </si>
  <si>
    <t>在钱老哥心意转借款，到帐2800元，借的时候我看分4期，结果是7天一期，一个月下来总共要还4089.6元，因还第二期时App还不了款导致现在产生逾期费，在我还第三期时当逾期费给扣掉了！现在已经还完三期共3068元，己超过本金268元，现在平台显示居然还有二期共计2254元！我已无力偿还，要求尽快销账！。</t>
  </si>
  <si>
    <t>2019/10/11 14:02:52</t>
  </si>
  <si>
    <t>闪付通借贷利息超过国家标准，且借贷时间短，借款2000到账1280.借款3000到账1920，五次共收取利息4680元，现要求退还费用，愿意给取国家认可得利息并注销账号！。</t>
  </si>
  <si>
    <t>2019/10/11 14:02:46</t>
  </si>
  <si>
    <t>这破鞋，这做工，防盗扣，商标都没有，鉴定过也是假货。</t>
  </si>
  <si>
    <t>2019/10/11 14:02:30</t>
  </si>
  <si>
    <t>合同写的实际利率11.3%每个月还288.26。</t>
  </si>
  <si>
    <t>2019/10/11 14:02:17</t>
  </si>
  <si>
    <t>本人7月因资金周转，在钱站上借款20000元，开始并不察觉到利息和服务费是一笔如此庞大的金额，现在算下来，20000元要还33000多，恐怕无力继续偿还，请协助解决利息及服务费一事，已偿还三期，望后面期数的偿还金额予以调整。</t>
  </si>
  <si>
    <t>到账8万，业务员收取4000多，说是行规，实际到手7.6万，主要是同一期账单，还款金额居然还越来越多，请给出合理解释，下图结清金额7.4万为9月9日还款截图，并附上与客服人员聊天记录。</t>
  </si>
  <si>
    <t>2019/10/11 14:01:50</t>
  </si>
  <si>
    <t>2019/10/11 14:01:25</t>
  </si>
  <si>
    <t>马上金融用了2年多，每次提现违规收取费用，费率远远超过国家法定利率。</t>
  </si>
  <si>
    <t>2019/10/11 14:00:43</t>
  </si>
  <si>
    <t>铜钱罐贷款APP借款3500元，实际到账2254.4元，六天后需还款3524.5元，逾期费用245/天，且催收态度恶劣，威胁爆通讯录！希望平台规范利率，和谐协商还款计划。</t>
  </si>
  <si>
    <t>投诉人周先生投诉对象滴滴出行涉诉金额0元问题类型诉求类型投诉详情注册地更改后服务分变1分影响接单预约单也抢不了强烈要求改回注册地无锡。</t>
  </si>
  <si>
    <t>2019/10/11 14:00:35</t>
  </si>
  <si>
    <t>点点通网站进不去，客服电话也打不通，我共打了有20个电话，都是暂时无法接通，现在也还不了款，导致逾期，借款1900。</t>
  </si>
  <si>
    <t>2019/10/11 14:00:23</t>
  </si>
  <si>
    <t>您尾号5862卡10月11日13:33快捷支付支出。</t>
  </si>
  <si>
    <t>2019/10/11 14:00:04</t>
  </si>
  <si>
    <t>本人由于欠了交通银行信用卡4900元，因为家庭成员病重，造成资金短缺，一时还不上规定余额，交通银行信用卡就每天电话轰炸，非法读取我手机通讯录，然后电话轰炸我父母与同事和朋友，每次打电话来我都接，说是缓一缓，而且我每个月都有还钱进去，交通银行信用卡，就是要电话轰炸，还通过邮箱发送假案件来恐吓，。</t>
  </si>
  <si>
    <t>2019/10/11 13:59:23</t>
  </si>
  <si>
    <t>信而富平台利用购物变相收取高利贷！而且这些购物的东西都没有寄来，所以要求退还这些费用，现在因为深缠这个高利平台，导致我生活工作严重影响，现在还有一笔250多还未还清，已经没有资金周转了，催收人员还咄咄逼人！现在希望通过聚投诉帮我追回被信而富非法收取的费用。</t>
  </si>
  <si>
    <t>2019/10/11 13:59:11</t>
  </si>
  <si>
    <t>立刻出行不按履约在提交申请退押金规定的5-10个工作日后退款，现在过了几个月了，严重欺骗广大消费者权益，请有关部门主持公道！。</t>
  </si>
  <si>
    <t>2019/10/11 13:58:33</t>
  </si>
  <si>
    <t>10月6号通过短信链接，下载了蜜瓜分期，借款金额2200元，实际到账金额1430元，砍头息高达770元！支付通道为汇潮支付，借款期限为6天，需还款2207.92元，这和之前315曝光的714套路贷高利贷毫无区别，利率也远超国家规定。</t>
  </si>
  <si>
    <t>2019/10/11 13:57:44</t>
  </si>
  <si>
    <t>账单逾期一天，上午打电话说好近两日会处理欠款，就刚刚在未经过我同意的情况下，爆我通讯录，和通讯录内亲友联系，你们公司既然做到了这一步，已经严重损害了我的个人名誉，影响到了我的正常工作生活，要求贵公司给出合理的解释，并做出赔偿，如果不能达到满意，我将通过法律程序维护我的合法权益。</t>
  </si>
  <si>
    <t>2019/10/11 13:57:33</t>
  </si>
  <si>
    <t>我是收件人，货物送到当天我们发现有异样，结果后面物流拆包，经鉴定，货物已完全损坏，不能使用，我多次跟发货物流点沟通处理，他们一直没回复如何处理。</t>
  </si>
  <si>
    <t>2019/10/11 13:57:25</t>
  </si>
  <si>
    <t>投诉人 任女士        投诉对象  来花花        涉诉金额  2 000 元    问题类型    诉求类型投诉详情  我不是不还钱 他非要爆我通讯录 对我造成了影响</t>
  </si>
  <si>
    <t>2019/10/11 13:57:07</t>
  </si>
  <si>
    <t>暴力催收，恐吓，我有偿还意向和能力，只是这种催收形式让我很不安全和压力。</t>
  </si>
  <si>
    <t>2019/10/11 13:56:31</t>
  </si>
  <si>
    <t>本人于2019年9月2日在如期分期上申请了20000元借款，借款方为晋商消费金融，每期还款1979.37元，但借款成功后又额外扣除了600元的担保费用，10月11日凌晨又由天下信用通过宝付支付直接在我银行卡里划扣了2800元的风险评估费用，相当于我借了20000元到手只有16600元，但总还款额达到了23752.44元，严重超过了国家规定的息费标准，打电话与客服沟通给出的回复是借款都要扣，不能退还，你要是觉得不合理可以不借，或者下次借款注意，借款合同上面并没有写需要砍头息，委托授权合同里也没写评估费用是多少</t>
  </si>
  <si>
    <t>2019/10/11 13:56:05</t>
  </si>
  <si>
    <t>投诉人王女士投诉对象光大银行信用卡中心涉诉金额22000元问题类型诉求类型投诉详情由于本人手机银行卡钱包集体丢失，人在外地无法赶回来，造成借款逾期，无法进行分期，银行直接给还款额提升，造成现在卡片无法继续使用！。</t>
  </si>
  <si>
    <t>2019/10/11 13:56:00</t>
  </si>
  <si>
    <t>投诉人 张先生        投诉对象  贷上钱        涉诉金额  4 500 元    问题类型    诉求类型投诉详情  贷上钱以买游戏豆为由收取高额贷款费用 逾期了费用翻了好多 不停打通讯录骚扰家人朋友 。</t>
  </si>
  <si>
    <t>2019/10/11 13:54:50</t>
  </si>
  <si>
    <t>投诉人马先生投诉对象你我贷涉诉金额2200元问题类型诉求类型投诉详情上海你我贷天天打电话给客户家人骚扰家人，到手快7000，一年利息就要3000，属于高利贷，客户现在还款超级超级困难，跟上海你我贷协商还款，剩下3期2200说减免90，居然还是系统减的，我简直呵呵了。</t>
  </si>
  <si>
    <t>2019/10/11 13:54:13</t>
  </si>
  <si>
    <t>支付宝支付成功后，跳出页面出现错误，查不到在该网站上有订单的任何信息，已与lasenza客服沟通，并未有任何订单成功的记录，希望支付宝能及时退款，谢谢。</t>
  </si>
  <si>
    <t>2019/10/11 13:54:12</t>
  </si>
  <si>
    <t>投诉人 郭晓东        投诉对象  钱站,华夏银行        涉诉金额  1 300 元    问题类型    诉求类型投诉详情  钱站阴阳合同，贷款合同1300 下款1000</t>
  </si>
  <si>
    <t>2019/10/11 13:54:06</t>
  </si>
  <si>
    <t>河北石家庄德邦物流黑社会性质蓄谋恶意非法私拆发货方货物经过尊敬的聚投诉领导您好！耽误您点儿时间请了解发货方在德邦物流发货中所遇到的事件经过，态度蛮横霸道完全一付黑社会的嘴脸，期间发货方反复多次向德邦总部投诉单号问题已反馈等待相关领导处理，2019年8月23日下午16:15发货方通过德邦物流石家庄裕华方村营业部发往陕西延安货物2件，德邦取货员说只负责拉货不能报运费价格，并告知具体运费价格第二天，德邦物流货运单号：4647071462019年8月24日早晨6:53德邦石家庄方村营业部在未报运费价格，未征得发货方</t>
  </si>
  <si>
    <t>2019/10/11 13:54:00</t>
  </si>
  <si>
    <t>联动优势辽宁10：8号恶意扣款几十笔13539元，本人莫名其妙储蓄卡，联动优势这种违法盗刷行为希望平台帮助我把我的救命钱追回来。</t>
  </si>
  <si>
    <t>2019/10/11 13:53:16</t>
  </si>
  <si>
    <t>因家里遇到点事情导致逾期了一个月，都说了下个月全部还清偏偏你们不干还骚扰联系人。</t>
  </si>
  <si>
    <t>2019/10/11 13:53:05</t>
  </si>
  <si>
    <t>分期乐利息已超过国家红线，36%，用所谓最低还款诱使用户，二次向广发银行借款，其行为十分可耻，我已不准备继续还款，目前利息带本金已还了22042.77，查询后竟然还有12869.41要还，还不算几次无奈最低还款后被转嫁的部分，刚接到催熟人员信息，威胁骚扰我通讯录！为了还款起早贪黑，接不上电话没回复，就要骚扰我家人！。</t>
  </si>
  <si>
    <t>2019/10/11 13:52:14</t>
  </si>
  <si>
    <t>小花钱包冒出银联群发信息给我通讯录亲朋好友，给我以及我亲朋好友造成了很大的影响，请严肃处理，请小花钱包停止这样的行为！。</t>
  </si>
  <si>
    <t>2019/10/11 13:51:53</t>
  </si>
  <si>
    <t>每天发信息，打电话给亲戚，家里人，家里人已经快奔溃了。</t>
  </si>
  <si>
    <t>2019/10/11 13:51:36</t>
  </si>
  <si>
    <t>投诉人 邢侥        投诉对象  拍拍贷        涉诉金额  3 000 元    问题类型    诉求类型投诉详情  爆通讯录，暴力催收，恐吓，侮辱，利息高！</t>
  </si>
  <si>
    <t>2019/10/11 13:50:41</t>
  </si>
  <si>
    <t>5月24日，7月22日两次通过闪电借款APP借款各5135元，随后系统自动转到他们平台的掌众商城然后让购买产品，再低价回收，本人两次借款收到的借款实际到账金额均为4108元，按照日利率0.1%计算，50天的利息为205.4元，该平台实则为高利贷平台，聚投诉上对此投诉很多，该平台不作为，无视国家法律，本人多次致电联系，均不承认利率不合规，在逾期不到一天，能联系到本人的情况下，爆本人通讯录，暴力催收，逾期费用为159.19元，毫无依据！借款合同本人查看，法定代表人没有签字没有盖章，根据《中华人民共和国合同法》第</t>
  </si>
  <si>
    <t>2019/10/11 13:50:17</t>
  </si>
  <si>
    <t>本人在小黑鲨贷款APP借了3500元一个月分三期10天一期，总还款要4300元，一个月利息高达800元，本人无力偿还要求协商减少利息，刚才客服来电协商要求还全款3970元，只愿意减330元，也远超过国家利率，本人没有那么多钱，要求在减少还款金额，客服不同意，要求先还第一期，本人希望全额还款要求在减免金额到3650元，谢谢请跟进！谢谢，支付机构是汇潮支付有限公司，麻烦跟进！。</t>
  </si>
  <si>
    <t>2019/10/11 13:50:09</t>
  </si>
  <si>
    <t>希望聚投诉跟有关部门帮我要回被扣的钱，查封这个坑人的平台。</t>
  </si>
  <si>
    <t>2019/10/11 13:49:57</t>
  </si>
  <si>
    <t>投诉人 余勇祥        投诉对象  桔子理财        涉诉金额  19 000 元    问题类型    诉求类型投诉详情  桔子理财 欺诈消费者 霸王条款 占用客户资金流三天 踢皮球 推卸责任 详细情况 第一天我充值桔子理财19000 我发现余额不可用 然后看见条款应合规 存管账户余额第二天才使用 我认了 因为自己没有注意 第二天 发现余额可使用 提现规则明明有实时到账选项 为啥我没有 问题来了 我开始找客服 客服以我新用户为由 说没有这个选项 后咨询人</t>
  </si>
  <si>
    <t>2019/10/11 13:49:53</t>
  </si>
  <si>
    <t>去花花7月15号借款2000，到账1400！砍头息变相捆绑保险600！！在本人不知情的情况下！现在已经还款4期1394！由于本人无力偿还，现在要求退换保险费，在国家规定的利率内本金销账，请贵平台帮帮我。</t>
  </si>
  <si>
    <t>2019/10/11 13:49:46</t>
  </si>
  <si>
    <t>好分期可借总金额6100，借了4750，要还将近1万元左右，已经还了2600，还剩6392，严重超出国家利率，现要求调整，全部还款。</t>
  </si>
  <si>
    <t>2019/10/11 13:49:38</t>
  </si>
  <si>
    <t>投诉人刘女士投诉对象信用钱包涉诉金额15000元问题类型诉求类型投诉详情放款15000九个月利息几千块。</t>
  </si>
  <si>
    <t>2019/10/11 13:49:12</t>
  </si>
  <si>
    <t>投诉人王女士投诉对象微贷网涉诉金额3000元问题类型诉求类型投诉详情由于本人手机银行卡钱包集体丢失，人在外地无法赶回来，造成借款逾期，借款中心暴力催收，联系通讯录中联系人，造成借款人无法正常工作生活！。</t>
  </si>
  <si>
    <t>2019/10/11 13:48:39</t>
  </si>
  <si>
    <t>投诉人徐先生投诉对象清华大学涉诉金额0元问题类型诉求类型投诉详情清华大学你说你是名校，我承认百年名校，但是你们学校走出的人才好像不是人才都是对社会有害的，我举个列子唉，清华大学曾经走出了名为唐阳的企业家，现在做现金巴士网贷平台，可是这个平台高利贷祸害人民，你们清华大学就是这么教育人才，应试教育到底还有什么存在的必要，请聚投诉给清华大学反馈我的这个问题，他们邮箱为xx*k@tsin*hua.edu.cn。</t>
  </si>
  <si>
    <t>小花钱包，高利贷，本金已经还完，也还了相应利息，还在暴力催收。</t>
  </si>
  <si>
    <t>2019/10/11 13:48:05</t>
  </si>
  <si>
    <t>借款8900，分12期，每期1008.67，只是手续费就高达3204，真正的高利贷，希望做出道歉，调整利率，销账。</t>
  </si>
  <si>
    <t>2019/10/11 13:47:50</t>
  </si>
  <si>
    <t>斗鱼渝万竞技公会不让友好退会，强制退会需要我赔偿1万元。</t>
  </si>
  <si>
    <t>2019/10/11 13:47:48</t>
  </si>
  <si>
    <t>本人之前由于急用钱，在钱站app上借了3000元，现在已经还了3100多了，但是看合同是改为了我借4500，我觉得我被套路贷了。</t>
  </si>
  <si>
    <t>2019/10/11 13:47:31</t>
  </si>
  <si>
    <t>8月在凹凸共享车用车，还车之后手机问题关机，没有收到违章短信，客服说违期费用200元一天，找第三份处理违章。</t>
  </si>
  <si>
    <t>2019/10/11 13:47:11</t>
  </si>
  <si>
    <t>骗我说刷卡说可以退回没退回，喜欢退钱这个公司真的好坑人。</t>
  </si>
  <si>
    <t>2019/10/11 13:46:59</t>
  </si>
  <si>
    <t>投诉人 钟先生        投诉对象  信而富        涉诉金额  1 084 元    问题类型    诉求类型投诉详情  一直在骚扰.到底有没有人管一下呢？你要家破人亡？要说上门砍死人有没有法律的。一直骚扰我家里人。我跟你协商说不是不还说过几天。一点时间都不给你们平台是这样的吗</t>
  </si>
  <si>
    <t>2019/10/11 13:46:19</t>
  </si>
  <si>
    <t>本人9月18号下的单，10月6号兑现失败，至今未退款！希望聚投诉能帮到我~谢谢！！。</t>
  </si>
  <si>
    <t>2019/10/11 13:45:58</t>
  </si>
  <si>
    <t>2019.10.11中午12点照常到楼下中百罗森青城荟店购买午餐，买了二份盒饭，热好了，回到办公室用餐过程中，发现盒饭里有块红色的东西，仔细一下，一块小塑料，塑料有点熔，明显是加热过的，顿时胃里翻江倒海，全部吐了，中百罗森号称中央食堂，卫生就是这样的吗，真是无良商家，这么硬的塑料，真是太危险了，要求商家给说法，赔偿个人损失，及时整改，改善服务和食品卫生。</t>
  </si>
  <si>
    <t>2019/10/11 13:45:21</t>
  </si>
  <si>
    <t>聚富分期私自扣款，上次已经举报过了，说撤销就退款，结果没有退款。</t>
  </si>
  <si>
    <t>2019/10/11 13:44:22</t>
  </si>
  <si>
    <t>投诉人王先生投诉对象上海宏萨信息科技有限公司涉诉金额199元问题类型诉求类型投诉详情个人不知情的情况下被私自扣款客服说什么信息服务费不予退款。</t>
  </si>
  <si>
    <t>2019/10/11 13:43:57</t>
  </si>
  <si>
    <t>借款7100，砍头息2000元，然后逾期利息高的离谱，七百六逾期两天到840，协商说延期还款还要暴力催收，威胁恐吓说什么后果自负，就算是我投诉也没有用，敢借给我就有办法让我还。</t>
  </si>
  <si>
    <t>2019/10/11 13:43:37</t>
  </si>
  <si>
    <t>我要注销玖富万卡，一切都按照app提示操作了，最后也注销申请成功了，但是短信就提示我说万卡尊敬的用户，您在万卡申请的账户注销未通过，失败原因："userId不能为空！。</t>
  </si>
  <si>
    <t>2019/10/11 13:43:35</t>
  </si>
  <si>
    <t>在网上APP商店看评论，软件会故意逾期，我现在只想注销账号，打电话让我卸载APP。</t>
  </si>
  <si>
    <t>2019/10/11 13:43:30</t>
  </si>
  <si>
    <t>投诉人龙女士投诉对象豆豆钱涉诉金额1200元问题类型诉求类型投诉详情贷款7300分期6期每个月还款1421，远超出国家规定的利息，还收砍头利息，我5月贷款一笔扣了499元，7月贷一笔扣我399元，我打客服每个解释都不一样，。</t>
  </si>
  <si>
    <t>2019/10/11 13:43:19</t>
  </si>
  <si>
    <t>投诉人王先生投诉对象小浦优客涉诉金额199元问题类型诉求类型投诉详情没在平台办理扣费业务，2019年10月11日乱扣199元。</t>
  </si>
  <si>
    <t>本人借贷美团生活费因为现在资金紧张，暂时无法还款，也愿意接受相关法律裁决！但是美团催收人员，言语中带有恐吓，催收员直接在不联系我本人的情况下，这侵犯了我个人隐私权，本人也从无同意过此行为！不清楚这是不是代表美团行为！要求美团解释！。</t>
  </si>
  <si>
    <t>2019/10/11 13:43:17</t>
  </si>
  <si>
    <t>贷款7300分期6期每个月还款1421，远超出国家规定的利息，还收砍头利息，我5月贷款一笔扣了499元，7月贷一笔扣我399元，我打客服每个解释都不一样，。</t>
  </si>
  <si>
    <t>2019/10/11 13:42:40</t>
  </si>
  <si>
    <t>2019/10/11 13:42:18</t>
  </si>
  <si>
    <t>黑网贷要求严惩，暴力催收，恐吓我，扬言要爆通信录。</t>
  </si>
  <si>
    <t>2019/10/11 13:42:11</t>
  </si>
  <si>
    <t>玖富万卡APP借款9000元，需还款15000元！年利息高达56%,远超国家规定的24%！。</t>
  </si>
  <si>
    <t>2019/10/11 13:42:04</t>
  </si>
  <si>
    <t>结果今天是第11个工作日了，还没发货！距离下单时间今天是第19天了！尝试过和绿森电话客服以及在线商城客服催单，然而无果希望安排发货！。</t>
  </si>
  <si>
    <t>2019/10/11 13:41:30</t>
  </si>
  <si>
    <t>打电话给我说可以借款，等我买了黑卡，说额度抢光了，这不是骗人吗。</t>
  </si>
  <si>
    <t>2019/10/11 13:41:15</t>
  </si>
  <si>
    <t>放款8400到账后马上扣款1000多砍头息。</t>
  </si>
  <si>
    <t>2019/10/11 13:41:14</t>
  </si>
  <si>
    <t>时光分期，叫催收人员进行骚扰电话，恐吓威胁说要上门追杀我。</t>
  </si>
  <si>
    <t>2019/10/11 13:40:43</t>
  </si>
  <si>
    <t>商家朋友说我的淘宝账号和微信被打标了狐狸，但我在淘宝上买东西，没有恶意退款，没有骗过别人一分钱，怎么可以随意打标呢，我要求查出是哪个商家打的标，并解除打标。</t>
  </si>
  <si>
    <t>2019/10/11 13:40:39</t>
  </si>
  <si>
    <t>投诉人 凡先生        投诉对象  东风本田        涉诉金额  200 000 元    问题类型    诉求类型投诉详情  东风本田汽车，害人。汽车无故抛锚在十字路口</t>
  </si>
  <si>
    <t>2019/10/11 13:39:52</t>
  </si>
  <si>
    <t>小象优品颜值卡之前借款已还清，剩最后一期1800逾期3天，无力偿还，协商10月底发工资还清最后一期借款，小象优品在能联系上我本人的情况下，不仅骚扰紧急联系人，还暴力催收，打我所有通讯录好友家人的电话骚扰。</t>
  </si>
  <si>
    <t>2019/10/11 13:39:32</t>
  </si>
  <si>
    <t>百度有钱花威胁辱骂家人，利用暴力催收威胁还款，投诉几次未解决问题，需要我提供证明，我现在提供了，请你们立刻解决好。</t>
  </si>
  <si>
    <t>2019/10/11 13:39:20</t>
  </si>
  <si>
    <t>我总借款额度2000，却有一个2900的跟一个760的借款，这是为什么，然后我还有600多的额度。</t>
  </si>
  <si>
    <t>2019/10/11 13:38:14</t>
  </si>
  <si>
    <t>普惠快信以买手机的名义套现，天天打电话暴力催收，导致家人朋友无法正常生活，发短信威胁，要求他们停止打电话暴力催收，道歉！。</t>
  </si>
  <si>
    <t>2019/10/11 13:37:48</t>
  </si>
  <si>
    <t>拍拍贷疑似套路贷，催收人员恐吓暴力催收，我只欠了拍拍贷，没有别的网贷。</t>
  </si>
  <si>
    <t>2019/10/11 13:37:46</t>
  </si>
  <si>
    <t>未经本人同意，无故盗刷银行卡里的钱，希望通过贵平台可以拿到一个合理的解释以及退款处理。</t>
  </si>
  <si>
    <t>2019/10/11 13:37:33</t>
  </si>
  <si>
    <t>之前他们的客服给我打电话，我也讲过了，但是今天早上有一个说是随行付的，跟他说有事还一直打，之前把我的通讯录我还没找他们呢，再打电话过来我立马报警。</t>
  </si>
  <si>
    <t>2019/10/11 13:36:46</t>
  </si>
  <si>
    <t>问客服客服说除了利息还有贷款管理费和服务费还有灵活还款服务包，这些费用和利息加起来合同总费用高达31088元。</t>
  </si>
  <si>
    <t>2019/10/11 13:36:41</t>
  </si>
  <si>
    <t>投诉人 周先生        投诉对象  费用        涉诉金额  296 元    问题类型    诉求类型投诉详情  未经同意扣款 请尽快解决问题的 要求全额退款</t>
  </si>
  <si>
    <t>2019/10/11 13:36:31</t>
  </si>
  <si>
    <t>10月10日，下载过宏萨旗下的小浦优客，按照流程输入自己的个人信息及卡号，但是不合适，没有发生借款，然后卸载了，今天10月11号中午12:05分被扣款199元，查询后知道扣款放是宏萨。</t>
  </si>
  <si>
    <t>2019/10/11 13:36:07</t>
  </si>
  <si>
    <t>投诉人 孟先生        投诉对象  美团网和58网        涉诉金额  5 000 元    问题类型    诉求类型投诉详情  经常会打电话骚扰家人和朋友；威胁人身安全。</t>
  </si>
  <si>
    <t>2019/10/11 13:34:49</t>
  </si>
  <si>
    <t>由于本人手机银行卡钱包集体丢失，人在外地无法赶回来，造成借款逾期，借款中心暴力催收，联系通讯录中联系人，造成借款人无法正常工作生活！服务费贵的离谱！。</t>
  </si>
  <si>
    <t>2019/10/11 13:33:51</t>
  </si>
  <si>
    <t>2019年8月21日下载该软件发现是高利贷平台当时立马删除，当时填写信息的时候不知道扣款项目！说是购买什么个人评测！国家还免费一年两次检查个人征信报告！你收费299吧后面卡里你陆陆续续扣走200，第一次50，第二次一百，第三次50！我也没用你们任何服务！后面在黑猫投诉还有聚投诉的集体投诉都未任何联系本人回应处理！现在快两个月了请处理。</t>
  </si>
  <si>
    <t>2019/10/11 13:33:25</t>
  </si>
  <si>
    <t>本人借钱包易贷款项7000，到手6000，砍头息被砍了1000，要求钱包易贷抹去砍头息不听，不合理沟通，并且私自骚扰本人亲朋好友，威胁私发本人个人信息，严重受到影响，本人已经在聚投诉投诉多回，可依然置之不理，现在钱包易贷属于套路贷，砍我砍头息，逾期一天50元。</t>
  </si>
  <si>
    <t>2019/10/11 13:33:21</t>
  </si>
  <si>
    <t>本人是一个联通老用户啊号卡已经超过10年以上网龄，因故被局方停机后最初联系客服告知携带身份证件到自有营业厅办理开机业务，到了营业厅后工作人员告知此号在9月27号在手厅上开通一个自动充值业务导致无法重新开机，因此号码绑定了很多业务，当时联系客服说反馈后台解决48小时以内会回复，至今已经超过时间不予办理，每次去电10010都说在催促，因为号码无法开机已经导致快递无法签收，银行不能转账，要种损失到个人利益，希望聚投诉官方能重视协助处理，十分感谢！。</t>
  </si>
  <si>
    <t>2019/10/11 13:32:19</t>
  </si>
  <si>
    <t>后来我问了客服，客服说，不能骑同一辆车，让我以后骑车之前先查订单这辆车有没有骑过，！！！！！！首先，我并没有私占车辆，如果不是扣除三分，我根本不知道我骑了同一辆车，1、从哈罗单车开放的最开始我就骑哈罗单车了，很长时间，并不是新开的帐户，！我已经附上我的骑行订单，完全可以看出我一天骑行数次，仅仅3次骑行了同一辆车就说我私占的话是多么的可笑和无知，而且我一般用车都是从单位到家里，简单的两点一线，骑到同一辆车的机率很大，2、我上班、出行都是骑的单车，每天至少2次，从单位到家里或者从家里到单位，仅仅在10月8号、9</t>
  </si>
  <si>
    <t>2019/10/11 13:32:04</t>
  </si>
  <si>
    <t>很长时间了，从2019*3*15融360下架后就没有记录，客服也没有主动联系，以前贷过两次，全部结清，而且还是高额的砍头息，必须购买他们产品，贷款2000实际到账1000多，现在半年多了有说还有一次没还，然后我这里也看不到记录，就凭借着她的片面之词，而且挂掉电话后就开始把通讯录里的所有人的电话都打一遍，然后还威胁说不还钱就坐牢，闹得家人都不好过。</t>
  </si>
  <si>
    <t>2019/10/11 13:31:27</t>
  </si>
  <si>
    <t>10月10日，拍拍贷向陈**母亲发送催收短信，，短信内容开头是陈**您好，此短信是向债务人本人发送的，为何要给其母亲发送，2、短信内容包含有案件已上报司法系统正式通过审核，报案文书和相关函件已发送，其母亲有高血压和心脏病，看到短信后惊吓不已，精神几近崩溃，3，10月10日下午，我和短信预留联系电话131******48联系，对方告知我其为广东某律所，陈**现在已经涉嫌犯罪，欠款本金4300，还过几期后未再还款，现在我反映问题如下：1、此催收短信内容是否合规，2、刑法193条的相关司法解释，是否是欠款金额20</t>
  </si>
  <si>
    <t>2019/10/11 13:31:24</t>
  </si>
  <si>
    <t>开通苏宁SUPER会员以后，不能购买商品，一直提示销售火爆，联系客服一直是您好，选购的商品由于销售非常火爆，如果您的朋友成功抢购到真的是太幸运了，建议您可以稍后试下，同时不要频繁操作，可以看看其他优惠活动的商品，既然苏宁不需要我这个消费者，我希望苏宁退还我开通SUPER会员的费用，我注销帐号算了！第一次在贵方投诉后，苏宁客服打了个电话过来，草草的问了下，然后没影子了，国庆在外游玩，以为事情解决了，谁知道今天购物带是这样，苏宁真的是太不负责了！。</t>
  </si>
  <si>
    <t>2019/10/11 13:31:00</t>
  </si>
  <si>
    <t>申请退款，退款速度太慢，快点退给我我有急用谢谢！。</t>
  </si>
  <si>
    <t>2019/10/11 13:29:59</t>
  </si>
  <si>
    <t>投诉人 苗先生        投诉对象  宏萨信息科技        涉诉金额  296 元    问题类型    诉求类型投诉详情  不知道怎么就扣了296元。任何提醒都没有。</t>
  </si>
  <si>
    <t>2019/10/11 13:29:34</t>
  </si>
  <si>
    <t>我在钱站借了13000.元，六个月还清，钱站连本带利要求我还一万九千多元，我已还了一万六千多，还欠三千多未还，现在由于我无偿还能力，身体欠佳，钱站常期打骚扰电话，和与通迅录朋友打电话骚扰，他已属于高利贷，本人要求钱站停止骚扰，与通迅录打电话。</t>
  </si>
  <si>
    <t>2019/10/11 13:29:28</t>
  </si>
  <si>
    <t>本人于2019年8月9日申请期待科技公司期待合伙人20000元，分12期，其中产生家里服务费2600元，每月还款1949.74元，目前已还一期1949.74+1300元，目前希望可以协商还款一次性还清，愿意承担法律规定的利息…请期待科技联系我，客服电话打不进去，在线说会有人联系我，目前没有联系，已经逾期2天。</t>
  </si>
  <si>
    <t>2019/10/11 13:29:02</t>
  </si>
  <si>
    <t>9月27日于转转平台购买用户寄卖的苹果X手机一台10月9日出现显示异常，申请售后质保维修转转售后专员经审核同意，便按要求回寄服务商维修10月10日服务商签收，10月11日提示服务商拒保联系客服，客服回复手机内屏碎了属于人为损坏本人未有人为损坏，且手机外观完好，要求转转提供原始转转验机视频证明验机报告的真实性，排除手机售卖前便存在此质量问题，转转拒绝且拒保不予维修。</t>
  </si>
  <si>
    <t>2019/10/11 13:28:48</t>
  </si>
  <si>
    <t>交通银行信用卡账单到期，因本人出现特殊情况，和交通银行催收部员工工号218834沟通延期还款事项，对方态度及其恶劣，带有侮辱，威胁，恐吓，骚扰等方式不给我任何延期机会，在我主动和她协商延期还款时间及方式的时候她不听我任何解释，逼我12点之内必须还进去，否则就打电话给亲朋好友索要，语言方式逼我像其它地方借贷还款l。</t>
  </si>
  <si>
    <t>2019/10/11 13:28:36</t>
  </si>
  <si>
    <t>砍头息，高利，威胁短信，我已付清本金，合法利。</t>
  </si>
  <si>
    <t>2019/10/11 13:28:21</t>
  </si>
  <si>
    <t>借款2800，还款要4000多已经还了3000，第四期系统没办法还款导致逾期从逾期第一天起就一直反馈，联系不上客服，app也一度登陆不上去，一直收到短信顺会有专人联络，但是没有，今天登陆上去才看到5号客服回复，减免40%的逾期费，没有人电话联系我协商，要支付宝还款的时候也提示支付宝账号异常，现在我想协商直接销账，还款金额已经超过本金。</t>
  </si>
  <si>
    <t>2019/10/11 13:28:01</t>
  </si>
  <si>
    <t>2500到账1350四天要求还款2500利息比高利贷还高利贷。</t>
  </si>
  <si>
    <t>2019/10/11 13:27:59</t>
  </si>
  <si>
    <t>投诉人 孟先生        投诉对象  上海富友,天天贷        涉诉金额  1 219 元    问题类型    诉求类型投诉详情  6月15日在天天贷借款4000 实际到账2800 7天到期需还款4019.6 7天利息1219 要求退还砍头息1200 不处理继续向上级举报</t>
  </si>
  <si>
    <t>2019/10/11 13:27:30</t>
  </si>
  <si>
    <t>9月9日他人通过支付宝给我转账4057元，花呗扣除逾期金额909元，花呗欠款结清，借呗扣除3147元，显示还有欠款15000+，今天10月11日打开借呗发现欠款总额涨到17000+了，还以为系统有延迟，就还了500，现在还有欠款16600+，我就想知道间隔了一个月怎么会涨这么多。</t>
  </si>
  <si>
    <t>2019/10/11 13:27:23</t>
  </si>
  <si>
    <t>现在已经一个月了投诉很多次了京东物流一直无人处理。</t>
  </si>
  <si>
    <t>2019/10/11 13:27:04</t>
  </si>
  <si>
    <t>原先在爱奇艺上的优智借借款，上个月找不到了，还款不了，优智借催收打朋友电话暴力催收，对本人造成很坏影响！盗取本人信息打朋友电话，对个人隐私造成极大伤害，同时爱奇艺难道只管赚钱，客服一问三不知，也不管，难道放在爱奇艺上面的不是爱奇艺的他.们就不用负责了吗。</t>
  </si>
  <si>
    <t>2019/10/11 13:26:59</t>
  </si>
  <si>
    <t>投诉人马晓野投诉对象天天拍车涉诉金额5000元问题类型诉求类型投诉详情我于2019年9月15日将一台车通过天天拍车北京朝阳店出卖交易已经过合同期到目前为止还没有退5000交易押金！。</t>
  </si>
  <si>
    <t>2019/10/11 13:26:41</t>
  </si>
  <si>
    <t>9月20日在立借app申请借款13000元，当时急需资金点了分六期归还，账单出来后感觉利息太高，六个月总利息是8840元，借款又无法取消，资金当天下午两点多到账，今天咨询客服想按照国家规定利率提前结清全部欠款，客服不同意，希望立借按国家规定利率收取利息，我一次性结清借款。</t>
  </si>
  <si>
    <t>2019/10/11 13:26:30</t>
  </si>
  <si>
    <t>投诉人伍先生投诉对象马上金融涉诉金额3600元问题类型诉求类型投诉详情我是马上金融来钱花老客户，用了三四年，之前每个月14号还款3600左右，并且有循环额度，还完了还可以借，我这几年从来没有逾期过，这个月突然发现无缘无故额度被冻结了，14号就要还款了，没有循环额度我还款有困难，恳求来钱花恢复我的额度，谢谢了。</t>
  </si>
  <si>
    <t>2019/10/11 13:26:26</t>
  </si>
  <si>
    <t>投诉人王女士投诉对象中国银行涉诉金额36000元问题类型诉求类型投诉详情由于手机银行卡钱包身份证全体丢失，人在外地无法赶回来，现手机恢复使用，发现信用卡欠费不是原来应该还款金额，已经升级到23000元并且无法进行分期，在APP主页面也没有清晰条款显示啥样的可以分期。</t>
  </si>
  <si>
    <t>2019/10/11 13:26:09</t>
  </si>
  <si>
    <t>投诉人隋全琪投诉对象淘手游涉诉金额1508元问题类型诉求类型投诉详情买的三国杀oppo账号三天之内被找回,附带找回人的个人信息。</t>
  </si>
  <si>
    <t>2019/10/11 13:25:47</t>
  </si>
  <si>
    <t>我于2018年9月28日和2018年12月12日两次在，平台，分别两次购买20000多元油卡，2018年9月28日购买的订单号是：2****************0；2018年12月12日购买的订单号是：2****************1，油卡购买后不给予充值，后来说分期退款，退款了一期后就不给予退款，我多次给客服发信息也不回复，也未做如何回应。</t>
  </si>
  <si>
    <t>2019/10/11 13:24:08</t>
  </si>
  <si>
    <t>本人于前几年在赫美微贷申请快贷一笔20000万的资金，总还款3万多块，分36期偿还，本人于2018年提前把本金还清，也支付了他们的提前还款的相关利息，直到最近一周，本人一直收到来自一家叫中国对外经济贸易信托公司的催收人员打电话来骚扰我，宣称不他们是受别人委托对我进行催收，不把钱还清，要对我不客气，拿我父母的命。</t>
  </si>
  <si>
    <t>2019/10/11 13:23:55</t>
  </si>
  <si>
    <t>，借款金额1400元，实际到账金额1402元，支付通道为汇潮支付，借款期限为6天，利息高达600.06元！这和之前315曝光的714套路贷高利贷毫无区别，利率也远超国家规定，唯一还款通道是支付宝，收款方为聚合支付。</t>
  </si>
  <si>
    <t>2019/10/11 13:22:33</t>
  </si>
  <si>
    <t>总共利息967元，这样高额的利息直接是讹诈，不是我不愿还这一千元，只是这样的高额利息实在是让人无法接受，我要求降低利息或只还本金，希望聚投诉的领导们能重视，给穷苦老百姓一线生机。</t>
  </si>
  <si>
    <t>2019/10/11 13:21:33</t>
  </si>
  <si>
    <t>投诉人祖先生投诉对象爱又米涉诉金额200元问题类型诉求类型投诉详情虚假宣传没有任何服务申请退款客服拒绝退款这么大平台不会退款么。</t>
  </si>
  <si>
    <t>2019/10/11 13:21:32</t>
  </si>
  <si>
    <t>玖富，收取高额分期砍头息，我从上面借了26,982.56,实际到帐17600，却发现出来了一大堆合同，共计金额30271，申请中未看到合同中贷款金额，审核通过后才发现利息如此之高，现在已无力偿还，很影响家庭生活，请聚投诉给予法律支持，尽快让机构给一个合理的解释，血淋淋的高利贷公司。</t>
  </si>
  <si>
    <t>2019/10/11 13:21:11</t>
  </si>
  <si>
    <t>投诉人冯女士投诉对象拍拍贷涉诉金额800元问题类型诉求类型投诉详情因为家人生病住院，暂时没有周转开，有一个月未还款，但仍然积极接电话表达还款意愿，但是拍拍贷爆了通讯录，要求协商还款，给予一两天缓冲时间筹措资金。</t>
  </si>
  <si>
    <t>2019/10/11 13:20:57</t>
  </si>
  <si>
    <t>本人于7月15日在钱站借款2000元，当时借钱的时候没有合同，等钱到账后有份合同，上面显示我借了三千元，分的三期，一期1056元左右，算下来三期要还3200元，可我只收到了两千，我已经还了两期，金额达2100元多，本金已经还完，超出国家标准的年化24%是不用承担的，要求钱站销账，我只还我应该还的那部分。</t>
  </si>
  <si>
    <t>2019/10/11 13:20:18</t>
  </si>
  <si>
    <t>投诉人苗先生投诉对象新橙优品,天津金城银行涉诉金额3000元问题类型诉求类型投诉详情在新橙优品借了3000元，三期还，每个月还1165，利息过高已超出高利贷。</t>
  </si>
  <si>
    <t>2019/10/11 13:19:14</t>
  </si>
  <si>
    <t>2019-10-11日上午，因想找网贷平台贷款，无意中搜索到了分期通平台，进入了申请，然后无缘无故的就给扣了个什么会员费，而且还是扣了2次共。</t>
  </si>
  <si>
    <t>2019/10/11 13:19:13</t>
  </si>
  <si>
    <t>投诉人刘先生投诉对象贷上钱涉诉金额5042元问题类型诉求类型投诉详情资金出现问题暂时无力还款申请延期还款。</t>
  </si>
  <si>
    <t>2019/10/11 13:18:22</t>
  </si>
  <si>
    <t>三年前我刚20岁，年纪小被忽悠到平安保险公司上班，然后又买了一分人寿保险，我当时是想买理财的，毕竟年纪这么小，寿险也没用啊，现在三年了，最近生活压力特别大，这份保单我已经承担不起，我只要求把我的本金退还给我。</t>
  </si>
  <si>
    <t>2019/10/11 13:16:54</t>
  </si>
  <si>
    <t>投诉人王先生投诉对象趣管账,上海风璇数据科技有限涉诉金额69元问题类型诉求类型投诉详情上海风璇数据科技有限公司，旗下的趣管账APP，故意以网络贷款为由头，引诱需要资金周转的人下载他们的趣管账软件，当受害人按照趣管账的申请贷款步骤，填写完资料后，趣管账会弹出来一个会员办理的选项，会员分为299元，199元，以及99元的一个月会员体验卡，我为了能够借钱，就购买了一个99元的会员体验卡，优惠价是69元，但是购买会员之后，直接提示贷款申请审核未通过，然后趣管账就给我发了几张根本没什么用的其他平台的优惠卷，以及推荐一</t>
  </si>
  <si>
    <t>2019/10/11 13:16:35</t>
  </si>
  <si>
    <t>投诉人李先生投诉对象米米罐,联动优势涉诉金额10000元问题类型诉求类型投诉详情米米罐，多次借款，一个月借款1500，要买个类似保险的砍头息700多，还款还要还2000，要求退还3个月砍头息！。</t>
  </si>
  <si>
    <t>2019/10/11 13:16:29</t>
  </si>
  <si>
    <t>投诉人兰女士投诉对象升学教育涉诉金额9440元问题类型诉求类型投诉详情9月10日一个老师打电话叫我报名他们培训机构考研MPA，推荐西南医科大学的MPA专业非全日制教学，说对我考副主任医师有帮助，经我了解后发现MPA研究生学历对考副主任医师没有任何帮助，而且西南医科大学的MPA也是全日制的，事实与报名之前承诺的不符，所以我要求全额退款遭到拒绝。</t>
  </si>
  <si>
    <t>投诉人仇女士投诉对象顺分期涉诉金额1800元问题类型诉求类型投诉详情我已经还款了还说我没有还款要求我还款。</t>
  </si>
  <si>
    <t>2019/10/11 13:16:26</t>
  </si>
  <si>
    <t>融360,小鹅贷,小蜂鸟,快来花,要钱快,胜呗,随借随用,应急贷，本人今年3月因周转不通，无意中进入融360贷款进行周转，现在我主张融360中这些平台退还我砍头息共计3000元整，其中小鹅贷两次，借款3200元，期限15天，还款4000元，砍头息800元，小蜂鸟一次1200元，期限15天，还款1500元，砍头300元，快来花一次1200元，期限15天，还款1500元，砍头300元，要钱快一次1200元，期限15天，还款1500元，砍头300元，胜呗一次2000元，期限15天，还款2500元，砍头500元，随</t>
  </si>
  <si>
    <t>2019/10/11 13:15:47</t>
  </si>
  <si>
    <t>10.6号在京东采购1430.82物品，是京东自营的，原本7号就能收到，今天发现一件也没有收到，进入京东账户发现京东竟然没有原因的给取消订单了，取消的时候也没有告诉我，如果我不进入京东账户都不知道订单被取消了，我给客服打电话，京东客服说也不知道什么原因取消的，我购买的这些东西着急需要所以才在京东上买的自营得，所以现在投诉京东，已经耽误了我这边使用。</t>
  </si>
  <si>
    <t>2019/10/11 13:15:23</t>
  </si>
  <si>
    <t>10月8号下午3.20分要求退款.商家8号当天下午5点47分还是吧快递寄出.9号本人拒收要求退款.现在已经11号了打电话直接挂断或者正在通话中.。</t>
  </si>
  <si>
    <t>2019/10/11 13:15:19</t>
  </si>
  <si>
    <t>金猪金币说是可以换实物，可一到时间就说已兑换完毕，属虚假宣传，欺骗消费者！。</t>
  </si>
  <si>
    <t>2019/10/11 13:14:36</t>
  </si>
  <si>
    <t>投诉人 许先生        投诉对象  通联支付        涉诉金额  296 元    问题类型    诉求类型投诉详情  296元这个扣款是扣什么的，都没有消费。怎么突然又自动扣款？</t>
  </si>
  <si>
    <t>2019/10/11 13:13:44</t>
  </si>
  <si>
    <t>恶意扣费，在没经过我确认的情况下恶意扣费，打电话给客服说还要扣够299元，而且态度恶劣，要我提供身份证复印件.手持身份证照片复印件，才能退款，这个要求侵犯我的隐私权，而且扣费是在我没有同意的情况下一个中金金融通过银联扣的款。</t>
  </si>
  <si>
    <t>2019/10/11 13:13:43</t>
  </si>
  <si>
    <t>于2019年9月1日在玖富万卡平台借款10800元，实际到账16000元，中间4800元不翼而飞，还款的利息却是按照20800元计算，并且这4800元算入了我的欠款中，本人主动与玖富这边协商，把4800元莫名扣除款项打给我的账户，或者把还款的利息和还款金额修改为实际到账金额利息以实际到账金额重新计算，玖富这边迟迟不做回应，我表示了很明确的还款意愿，由于欠款和利息不对，联系后玖富这边迟迟不能给出具体答复，导致我的还款逾期，玖富威胁如果不还款将上报央行影响我的征信，我已表示出明确的还款意向，玖富无明确回复一直拖</t>
  </si>
  <si>
    <t>2019/10/11 13:13:24</t>
  </si>
  <si>
    <t>本人名下卡号62*************2建设信用卡，由于当时有临时额度，资金周转不过来导致逾期，逾期私聊贵行委托三方平台骚扰还款，收取高额违约金，目前已经全部结清，希望贵行能退换高额违约金，给个合理的解释，谢谢，本人现用手机号码为176******41，给个合理的解释，尽快解决，谢谢。</t>
  </si>
  <si>
    <t>2019/10/11 13:13:03</t>
  </si>
  <si>
    <t>嗨学网销售人员刚开始承诺学历不够可以带报名刚开始说1200元，后面又当面协商只收取900元带报名费，到报名的时间要收取2600到2700之间，我没有交就致电嗨学网客服，客服直接说嗨学网没有带报名的情况，给我退费，且只能退80%,不是我的问题为什么要我去承担20%，其次我在9月12号已经提供了银行卡号，说15个工作人退费到我的账户上，到10月11号已经超出15个工作日了还没退给我，今天又致电客服还让等等，请帮我处理这两个问题，谢谢。</t>
  </si>
  <si>
    <t>2019/10/11 13:12:58</t>
  </si>
  <si>
    <t>开店宝业务员给我说昨天刷299今天到账，结果今天给我说180天到账，都是口头承诺，刚出社会，想办理信用卡，结果被忽悠了，请公司严查给予解决。</t>
  </si>
  <si>
    <t>2019/10/11 13:12:22</t>
  </si>
  <si>
    <t>本人14年办了交通银行信用卡固定额度6000元，因信用卡记录良好，18年在交通银行借了一个好享贷2.4万，利息年化百分之18.至19年7月份，本人逾期3个月，总欠1.7万本金左右，现让本人还22000元，国家规定违约金利息不超2分，也就是每月最高340元，交通银行多次沟通未果，最近还冒通公安局打本人联系人电话。</t>
  </si>
  <si>
    <t>2019/10/11 13:12:16</t>
  </si>
  <si>
    <t>来分期商城所卖的苹果11手机，其价格本身就高于市场价格，市场价格是五千来块钱，在其商城卖的是6611元，不知道是根据依据来订价格，而且其分期价格也很高，咨询过客服得到的客服回复内容如下：，我们的价格都是商家正规提供的呢，价格以页面显示为准，。</t>
  </si>
  <si>
    <t>2019/10/11 13:12:12</t>
  </si>
  <si>
    <t>投诉人魏先生投诉对象带上钱涉诉金额4500元问题类型诉求类型投诉详情贷款2000元，和2500元，分别到账2000元，2500元，强制购买2次500元毫无用处的游戏豆，逾期一天，就爆通讯录，我的领导同事朋友都知道了，无心工作，本人可以还款本金和一个月利息，拒绝购买2次游戏豆1000元，如果同意可以加微信协商。</t>
  </si>
  <si>
    <t>2019/10/11 13:12:09</t>
  </si>
  <si>
    <t>未经过本人同意，给本人及其家属单位打电话，谎称本人同家属单位座机电话为第三方紧急联系人，严重影我的正常生活及工作。</t>
  </si>
  <si>
    <t>2019/10/11 13:12:03</t>
  </si>
  <si>
    <t>2019年10月10日早9点打催收电话给我，让我当日17点前还，不然要我好看，我给他说想办法晚上10点左右还，未理我，并给我说让我交三百多续期费，可以晚7天还，并在后续继续打我电话且发信息和微信说是我找难看，我给他说我会想办法还款，前提是不要再打我通讯录，挂完电话立马就打给我家人了，并威胁我家人让我还款。</t>
  </si>
  <si>
    <t>2019/10/11 13:12:00</t>
  </si>
  <si>
    <t>在抖音上面充值6元刷礼物，然后在微信里面直接扣费了518元，然后立马给客服打电话，客服说的让我在抖音里面做问题反馈就OK了，然后我做了反馈也一直都没有消息。</t>
  </si>
  <si>
    <t>2019/10/11 13:11:12</t>
  </si>
  <si>
    <t>投诉人黎先生投诉对象张茂凯涉诉金额300元问题类型诉求类型投诉详情此人专门做苹果id高利贷，因手头紧在他这借了300到手200块砍头息，到期还款后逾期了两天，我支付宝还了350给他，他反而不知足还要收我逾期费用150，然后我不同意就和他理论，结果他反而把我手机锁了变成砖头根本用不了，现在还群发手机通讯录信息污蔑我人格，我有他聊天记录和转账记录所有证据，望得到一个公平对待！支付宝账户&amp;nbsp;185******44&amp;nbsp;张茂凯&amp;nbsp;&amp;nbsp;qq号80054059。</t>
  </si>
  <si>
    <t>2019/10/11 13:10:35</t>
  </si>
  <si>
    <t>这是2016年5月多份闪电借款公司委托石家庄催收公司给我父母发的信息，让我母亲高血压犯了，导致鼻孔动脉血管爆了，在西安看病花了5000多，不算路费，不算吃住。</t>
  </si>
  <si>
    <t>2019/10/11 13:10:15</t>
  </si>
  <si>
    <t>钱站每天发威胁短信给我，我妈妈心脏病，卧病在床，医生说她时间不多，受不了刺激，借3000还5466，不是高利贷是什么，按照国家规定的利息会还，逾期每天200百元实在承担不起，请平台帮帮我，给我老母亲活命的机会。</t>
  </si>
  <si>
    <t>2019/10/11 13:09:55</t>
  </si>
  <si>
    <t>拼多多为网络赌博黑彩提供充值服务，提供违法土壤，我恳请公正的代言人聚投诉为我追回钱款，。</t>
  </si>
  <si>
    <t>2019/10/11 13:09:52</t>
  </si>
  <si>
    <t>本人电话丢失人在外地，回来补卡后发现有告知恐吓电话，还款金额由原来4800升级到10000元，违约金陆续加增！。</t>
  </si>
  <si>
    <t>2019/10/11 13:09:50</t>
  </si>
  <si>
    <t>玖富万卡APP借款29500元，需还款45660.6元！年利息高达56%,远超国家规定的24%！。</t>
  </si>
  <si>
    <t>本人八月十二号通过etc助手注销了etc，山东高速九月底给注销完成，但是一直到现在十月十一号etc助手迟迟不给更新数据，助手上面显示还是正常，十月二号咨询过他们一次让等两天，现在十一号了还是让等两天，扣款的时候挺积极，怎么注销的时候总是推三委四，就这态度活该那么多人注销。</t>
  </si>
  <si>
    <t>2019/10/11 13:09:40</t>
  </si>
  <si>
    <t>投诉人 严先生        投诉对象  有信魔盒        涉诉金额  120 元    问题类型    诉求类型投诉详情  在先花一亿元借款 因为填写的银行卡已经销户所以借款失败 但是有一百二十块的费用（有信魔盒）并没有按时退款 直到现在已经第三天了 客服电话空号或者一直打不通</t>
  </si>
  <si>
    <t>2019/10/11 13:09:34</t>
  </si>
  <si>
    <t>小树花花收取VIP费用只是推荐借款APP，申请退还VIP费用199还是上传所有推荐APP借款失败的截图才让退。</t>
  </si>
  <si>
    <t>2019/10/11 13:09:04</t>
  </si>
  <si>
    <t>2018年初分期乐公司给我打贷款电话，当时我正在车险公司工作，分期乐打电话说可以升级我之前的额度到7800当时，分期乐给我说了很多语速很快当时已经明确表示不需要，后来说这钱申请后提高额度，说是需要的时候在取，我就说可以，事后他直接给我办的贷款，还直接打我工资卡上，当时在做车险会给客户返现，以为是自己公司返现下来了，就借给同事了，随后让我还款我才知道，本来7800现在要还1万多，说是3000快的服务费，现在同事还款没跟上，分期乐就不断给家里打骚扰电话，还发短息威胁，希望解决。</t>
  </si>
  <si>
    <t>2019/10/11 13:08:50</t>
  </si>
  <si>
    <t>今天中午莫明其秒的收到一条扣除199块的信息，我都没操作过这笔操作，回看了一个扣款记录，显示扣款单位是宏萨上海信息科技有限公司，我本人根本没操作过这样的一个费用。</t>
  </si>
  <si>
    <t>2019/10/11 13:07:22</t>
  </si>
  <si>
    <t>投诉人何朋投诉对象米多点涉诉金额1000元问题类型诉求类型投诉详情本人已经在昨天和米多点协商还款，并把钱打到他们的账号，但是他们迟迟没有销账，今天还有催收打电话让还款，已对本人生活产生极大便。</t>
  </si>
  <si>
    <t>2019/10/11 13:06:59</t>
  </si>
  <si>
    <t>投诉人 孟女士        投诉对象  快易熊,易宝支付 ,合利宝,宝付支付        涉诉金额  1 831 元    问题类型    诉求类型投诉详情  5月15日在快易熊借款2500 实际到账1800 30天需要还款2573.5 30天利息700 6月150日借款3000 实际到账2030 30天到期还款3088 30天利息1058 现要求退还砍头息1800 不处理继续向12378 和中国人民银行举报</t>
  </si>
  <si>
    <t>2019/10/11 13:06:54</t>
  </si>
  <si>
    <t>本人没有收到扣款方《小浦优客》发的任何扣款信息，只收到银行方面发来的账户余额变动信息！《小浦优客》在未经过我本人的意愿下进行恶意扣款，是通过银行方面以及第三方快捷支付公司通联支付查询所知！《小浦优客》恶意扣款希望能予以退款处理！。</t>
  </si>
  <si>
    <t>2019/10/11 13:06:21</t>
  </si>
  <si>
    <t>51即刻有客服暴力催收，每天电话轰炸，我是要提前还款，但仍然收高额利息，高达年化百分之八十，1月11日借款23500，已经还了6595.66，还要我还21700多，三个月利息收取4800，还说自己不是高利贷！还恶意打电话威胁我的朋友！。</t>
  </si>
  <si>
    <t>2019/10/11 13:05:52</t>
  </si>
  <si>
    <t>闪电借款借款4100需要购买1100的黑卡，购买黑卡之后不放款，公众号客服一直排队中，要求立马退款。</t>
  </si>
  <si>
    <t>2019/10/11 13:05:50</t>
  </si>
  <si>
    <t>易鑫金融联合第三方诈取当事人保证金，为交保证金之前说是一家公司，易鑫金融承认一切符合要求，要求归还保证金时候联系不上易鑫金融，电话客服说他们公司不知道等等。</t>
  </si>
  <si>
    <t>2019/10/11 13:05:22</t>
  </si>
  <si>
    <t>本人因为事业几个月导致逾期兴业银行信用7000元卡三个月，想跟银行协商还款，可打电话来的第三方一直要求全额还款，而且还要发律师函，本人一直想协商我先还款2000，然后剩下的分期还款，可银行一直不肯，银行就不能人性化一定吗，我只是暂时事业经济困难，现在工作也基本落实了。</t>
  </si>
  <si>
    <t>2019/10/11 13:05:16</t>
  </si>
  <si>
    <t>但本人用卡现在自己开了实体店最近销售不是很好，导致压货资金周转不开，父母的钱一部投资没下来，剩下的钱全在我店里了，一直都还的挺好，知道上个月还不了，没有资金了，我也不是你还，只要有就就往前存一下！客服要求我还30000，但是我确实现在还不了这多多，我要求延期一下，她不给时间还让我必须，要是不还就给我父母打电话，上门，起诉我希望通过聚投诉平台合理协商相关金额，和我还款的时间！。</t>
  </si>
  <si>
    <t>2019/10/11 13:05:07</t>
  </si>
  <si>
    <t>天长工业学校一直以来都是好学校，可不知道怎么了，这几年学校风气越来越坏，蚯蚓事件，还有死三个人的传闻，不知道学校到底咋了，请聚投诉给天长工业学校校长亲自发封邮箱问问到底正规不正规这个学校。</t>
  </si>
  <si>
    <t>2019/10/11 13:04:51</t>
  </si>
  <si>
    <t>本人于10月7号在钱站旗下速金服APP申请了一笔2000元的贷款，没有到账，分3个月每期还款1140多，3个月要还款4400多，高利贷，有另个合同600多，高利贷，阴阳合同，本人现在不需要了，想取消，客服联系不上，希望跟进处理，帮我取消这笔贷款，取消放款！谢谢。</t>
  </si>
  <si>
    <t>2019/10/11 13:04:47</t>
  </si>
  <si>
    <t>投诉人张波投诉对象钱站,凡普金科集团,北京会牛科技涉诉金额19040元问题类型诉求类型投诉详情本人19年5月20号在钱站平台贷款14000元，合同上却显示我贷款19040元，实际到账14000元，请做出解释并退还剩余5040元。</t>
  </si>
  <si>
    <t>2019/10/11 13:04:43</t>
  </si>
  <si>
    <t>投诉人张先生投诉对象交通银行信用卡涉诉金额6000元问题类型诉求类型投诉详情交通银行信用卡电话每次拨打都是那种电子播报，然后在本人不知情的情况下爆本人通讯录，告知同事说失联了，诽谤，说要拿身份证去公安局刑侦队，对本人工作造成很大的影响。</t>
  </si>
  <si>
    <t>2019/10/11 13:04:06</t>
  </si>
  <si>
    <t>在省呗借了5000块钱，还款日是每月7日，截止到今日逾期4天，我说15日在还钱，今天就爆我通讯录，这个属不属于违法。</t>
  </si>
  <si>
    <t>2019/10/11 13:03:55</t>
  </si>
  <si>
    <t>投诉人 王先生        投诉对象  360借条        涉诉金额  0 元    问题类型    诉求类型投诉详情  高利贷骚扰，砍头息骚扰，短信骚扰。拒绝骚扰，删除个人信息</t>
  </si>
  <si>
    <t>2019/10/11 13:03:44</t>
  </si>
  <si>
    <t>10月9号进了钱橙无忧app，就点击申请了一下，感觉利息太高就卸载了，今天无故发来一天短信说是钱橙无忧扣了168元一笔钱，后来去银行卡里查了，确实已经扣费了，我要求该扣款的深圳市恒富创融科技有限公司退回该笔钱。</t>
  </si>
  <si>
    <t>2019/10/11 13:03:34</t>
  </si>
  <si>
    <t>借款12000元，分6期每期还款2180.12元，现已还2期，剩余4期，现在想提前还清全部借款，发现后续4期还要全额收取133.19+133.19+133.19+133.21=532.78的保费。</t>
  </si>
  <si>
    <t>2019/10/11 13:03:10</t>
  </si>
  <si>
    <t>10.11早上9.04收到一条银行卡扣款的短信，扣款296元，我找了银行的客服查询对方的客服电话，拨打了发现对方电话服务器异常，最后通过网上找的投诉的方式。</t>
  </si>
  <si>
    <t>2019/10/11 13:02:34</t>
  </si>
  <si>
    <t>开通会员，推荐的三个不下款，说好了退款不予以退款，请尽快退款。</t>
  </si>
  <si>
    <t>2019/10/11 13:02:23</t>
  </si>
  <si>
    <t>投诉人吴先生投诉对象钱站涉诉金额2200元问题类型诉求类型投诉详情逾期3天天被爆通迅录还说要上门p图片群发。</t>
  </si>
  <si>
    <t>2019/10/11 13:02:09</t>
  </si>
  <si>
    <t>投诉人李女士投诉对象拼多多涉诉金额100000元问题类型诉求类型投诉详情拼多多商家盗用我司图片低价销售在我司9月底就发起了投诉到至今无人处理，拼多多的知识产权平台是摆投吗，为何投诉无人处理，盗图的商家还在继续销售而且后台从投诉开始到现在一直是同一个状态咨询了客服说是会处理，可是一直并未处理。</t>
  </si>
  <si>
    <t>2019/10/11 13:01:44</t>
  </si>
  <si>
    <t>投诉人刘先生先生投诉对象借贷宝涉诉金额2000元问题类型诉求类型投诉详情在借贷宝打条后，出借方不给钱，要收取50元才给销账，找借贷宝客服，提供充足证据后，借贷宝官方不处理，推卸责任，出借人宋宝霞165******61&amp;nbsp;。</t>
  </si>
  <si>
    <t>2019/10/11 13:01:34</t>
  </si>
  <si>
    <t>投诉人李先生投诉对象民生银行信用卡涉诉金额16000元问题类型诉求类型投诉详情信用卡逾期，民生银行恶意轰炸通讯录并请第三方暴力催收。</t>
  </si>
  <si>
    <t>2019/10/11 13:01:10</t>
  </si>
  <si>
    <t>投诉人李洪乐投诉对象聚福钱包涉诉金额299元问题类型诉求类型投诉详情聚福钱包未经许可擅自扣掉客户银行卡299元报告费，要退款还要客户等14天才能申请退款，申请了退款客服不处理，还要客户再等15天，这种是恶意扣款，恶意拖欠客户退款，客户在该平台并未借款成功，请该平台尽快退还299元服务费，并作出道歉。</t>
  </si>
  <si>
    <t>2019/10/11 13:01:05</t>
  </si>
  <si>
    <t>投诉人侯先生投诉对象捷信金融涉诉金额0元问题类型诉求类型投诉详情天天打骚扰电话，影响本人正常生活，本人与该公司没有任何业务往来。</t>
  </si>
  <si>
    <t>2019/10/11 13:00:43</t>
  </si>
  <si>
    <t>今年因为急需用钱在信用钱包申请了8000，每个月还1128，分十二个月还，中共要还10160，严重超出国家利率，高达36%,还不能提前还款，已经还了一期，目前想全部还掉，不做分期，调整利率，只还本金。</t>
  </si>
  <si>
    <t>2019/10/11 13:00:15</t>
  </si>
  <si>
    <t>本人于2019年9月28日在升学教育购买了他们的套餐，后发现此平台教师说话吐字不清晰，教学水平差，达不到我的理想预期，于是第二天申请了退款，但是对方一直不给我退款，一直在那里拖延时间，还说除了他们谁都管不了这个事。</t>
  </si>
  <si>
    <t>2019/10/11 12:59:05</t>
  </si>
  <si>
    <t>我在助力钱包平台下载的四季钱庄借款，利息高的吓人，借款3500砍头息1050.7天内要还款3500.还款日登录不上还不了款一天逾期费350块，这样的平台怎么就投诉了几次也没人能查处，大家知道怎么投诉有效的也可以留言告诉我，。</t>
  </si>
  <si>
    <t>2019/10/11 12:58:37</t>
  </si>
  <si>
    <t>本人在马上消费金融因个人经济问题导致逾期欠款未处理，前后接到多次威胁恐吓电话，不得已更改手机号码，今日突然接到马上消费金融催收电话，自称通过我个人身份证件在营业厅查询到我名下实名电话，后我本人致电中国移动客服，客服表示不是本人或者本人授权，中国移动不可能向其他人提供本人个人信息电话等，质问催收人员怎么取得我本人电话号码的，对方言辞闪烁，避重就轻，不承认是通过不正当途径获取，要求马上消费金融对此事做出解释，如果涉及个人信息买卖，我本人保留依法追究法律责任的权利。</t>
  </si>
  <si>
    <t>2019/10/11 12:57:55</t>
  </si>
  <si>
    <t>投诉人 吴女士        投诉对象  玖富        涉诉金额  15 000 元    问题类型    诉求类型投诉详情  合同和贷款金额不符。收取高额服务费。利率太高。要求协商提前还款</t>
  </si>
  <si>
    <t>2019/10/11 12:56:43</t>
  </si>
  <si>
    <t>借2100，3个月还3100,高利贷，砍头，套路。</t>
  </si>
  <si>
    <t>2019/10/11 12:56:33</t>
  </si>
  <si>
    <t>投诉人吴女士投诉对象淘集集涉诉金额2000元问题类型诉求类型投诉详情淘集集故意拖延商家提现时间，然后可拖延保证金退款，9月1号申请的提现，已经一个多月了，一直无法体现成功，导致保证金一直无法退回！！。</t>
  </si>
  <si>
    <t>2019/10/11 12:56:19</t>
  </si>
  <si>
    <t>投诉人王先生投诉对象融360,微贷网涉诉金额3500元问题类型诉求类型投诉详情本人2019年1月22日从融360借款借微贷网3500元，现在查询流水才发现到账只有3080元，欺骗借款人！借款合同未写明有保险，却查到有780元的保费，请求处理！。</t>
  </si>
  <si>
    <t>2019/10/11 12:56:04</t>
  </si>
  <si>
    <t>及贷暴力催收，威胁通讯录联系人，造成生活困扰。</t>
  </si>
  <si>
    <t>2019/10/11 12:55:34</t>
  </si>
  <si>
    <t>赌博平台，服务差，客服还不给评论，叫处理，不管。</t>
  </si>
  <si>
    <t>2019/10/11 12:55:10</t>
  </si>
  <si>
    <t>5月4日，在淮安涟水机场取票的时候，机场的工作人员走到我身边，热心帮我办理取票，并跟我交谈起来，询问我每次的订票方式，然后推荐了这个卡，充值998元，卡内有1980，但是在当时他们说的是可以用卡内的钱购买机票，但后期购买机票的时候，才告知每次只能用几十块钱，而且还必须打电话订票，有时候还没人接，在网上一查，很多消费者有此类遭遇，后期联系推销人员要求退卡，不接电话，不回微信，直接将本人微信删了，截止目前一直寻求办法解决，但未果！希望贵平台能够帮忙处理本人诉求，不胜感激！！！也希望广大消费者引以为戒！。</t>
  </si>
  <si>
    <t>2019/10/11 12:54:31</t>
  </si>
  <si>
    <t>信用卡逾期，民生银行信用卡中心把号码给第三方处理，然后第三方恶意骚扰通讯录好友。</t>
  </si>
  <si>
    <t>2019/10/11 12:53:52</t>
  </si>
  <si>
    <t>投诉人 张先生        投诉对象  交通银行信用卡        涉诉金额  10 000 元    问题类型    诉求类型投诉详情  冒充司法机关恶意骚扰身边朋友。威胁。。。</t>
  </si>
  <si>
    <t>2019/10/11 12:53:50</t>
  </si>
  <si>
    <t>拍拍贷贷款11700元，分12期，每期还1287.27元，其利率已超过国家规定年利率24%，由于9月个人原因有事造成逾期，催收每天电话不停，联系本人，还将电话打到借款人单位，透露其借款信息，了解发工资情况，工资用在什么上面，爆期通讯录，本人明确告诉催收，爆通讯录一律不还，并要求催收对所报人员进行道歉，。</t>
  </si>
  <si>
    <t>2019/10/11 12:53:39</t>
  </si>
  <si>
    <t>投诉人 林女士        投诉对象  海信        涉诉金额  199 元    问题类型    诉求类型投诉详情  私自扣银行卡，未从公司借款，请处理谢谢。</t>
  </si>
  <si>
    <t>2019/10/11 12:53:10</t>
  </si>
  <si>
    <t>微贷网借款金额10100，实际到账9090，希望退回砍头息。</t>
  </si>
  <si>
    <t>2019/10/11 12:52:59</t>
  </si>
  <si>
    <t>投诉人袁海深投诉对象多次维修无效涉诉金额0元问题类型诉求类型投诉详情签约200兆光纤，实测100兆！他人签约100兆测速100-150兆！为什么我缴纳200兆光纤钱才用100兆的网络而且多次维修无果！光猫更换了还是一样，都测不上100以上！请求专业人士处理好问题！。</t>
  </si>
  <si>
    <t>2019/10/11 12:52:45</t>
  </si>
  <si>
    <t>网贷利息过高借2000一个月利息360元协商还款还暴通讯录。</t>
  </si>
  <si>
    <t>2019/10/11 12:52:04</t>
  </si>
  <si>
    <t>科技有限公司未经本人同意私自扣钱，我也未在该APP借过款，只注册过账号，莫名其妙就扣款，也不知道是什么费用，要求立即返还。</t>
  </si>
  <si>
    <t>2019/10/11 12:51:50</t>
  </si>
  <si>
    <t>本人被引诱到一个网站充值，后来发现是境外网络赌博平台，并非正规的购彩网站，根据中国人民银行和支付清算协会沟通得知第三方支付业务应审核客户的相关信息，第三方支付公司不得向证券、期货、博彩等机构提供支付结算业务，作为有牌照的支付公司没有履行国家相关法律法规要求。</t>
  </si>
  <si>
    <t>2019/10/11 12:50:03</t>
  </si>
  <si>
    <t>10月11日，然而10月11日联系退款时，客服说已经享受了月卡权益，不予退款！其实我就根本没有用过月卡权益，也没有享受过月卡权益！在此期间，一直等待退款退订月卡！但是拼多多以各种理由，拒绝退订，强行推送月卡！扣款不予退回！强烈要求退款，并取消月卡定制套餐。</t>
  </si>
  <si>
    <t>2019/10/11 12:49:59</t>
  </si>
  <si>
    <t>本人2019年年初申请贷款项目用作生意周转，批下来金额75000元，一直准时还款，没有逾期记录！每期还款金额为3431.41元，截止到现今已经还款7期，合共24019.87元，最近查看平台后吓一跳，平台APP显示我已还本金才12000元不到，！难道我每个月利息高达1500～1600元嘛，这样我感觉我是否合同有隐藏什么条约当时没有说清楚的，贷款时有说可以随借随还，但是现在的还款本金那么少我就看不懂了，另外普惠工作人员来电提醒还款态度非常可怕，动不动就跟我说要跟我所以亲朋好友了解我经济状况，！我没有逾期过的！！</t>
  </si>
  <si>
    <t>2019/10/11 12:48:37</t>
  </si>
  <si>
    <t>本人于2019年10月6日在nice平台购买了一双詹姆斯17白橙40.5码的篮球鞋，并于10月9日11点半左右签收，签收后我立刻检查商品状态，发现有破损瑕疵之后也立刻联系了客服，并要求退货退款，客服安排了专员与我联系，专员在10月11日联系我说有两种解决方案：一，我将这双有瑕疵的鞋子继续在他们平台重新出售，若不能通过查验，我用全新的价格购买到的鞋子因为他们查验不仔细，收到就有瑕疵破损，理应可以退货退款，而不是赔偿区区80元就了事，他们拒绝了我退货退款的要求，我不接受他们的提议，并要求nice平台给我退货退款</t>
  </si>
  <si>
    <t>2019/10/11 12:47:48</t>
  </si>
  <si>
    <t>虾米在线没有经过我同意就下款，取消也取消不了，客服电话也没有人接听，现在要求还款退账。</t>
  </si>
  <si>
    <t>2019/10/11 12:47:47</t>
  </si>
  <si>
    <t>物流状态一直在一个地方不变！客服8点联系我优先配送，其次等待无果，电联客服，告诉我站点3小时送达，又等待无果，现在还在等还在等，派送员在原地就是不动，我买的会员用来有更好的体验，反而会员不退，快递不给，实在让人气愤，误工俩天，共计475。</t>
  </si>
  <si>
    <t>2019/10/11 12:47:11</t>
  </si>
  <si>
    <t>和对方回答的内容并不匹配，但是并没有多在意，以为是别人系统自动回复的原因，但是问题越来越严重，就连别人发给我的信息也很古怪，在此期间，我发给一个同为珍爱会员的朋友，才发现信息别恶意修改，因此于2019年10月初向珍爱网客服进行投诉，给出的解释是我的账户出现异常，在没有任何告知的情况下恶意修改我发送的信息和别人发给我的所谓敏感信息，解锁会员信息作为会员服务的核心功能，我在不知情的状态下被珍爱网屏蔽了，与此同时发给我信息的会员也没告知我账户异常的问题，我认为作为一个消费者我的权益，以及其他和我联系的会员的权益被</t>
  </si>
  <si>
    <t>2019/10/11 12:46:46</t>
  </si>
  <si>
    <t>本人通过立借平台钱置宝申请借款2100元，每期八天，分四期还款，每期还款750元，利息已经严重超过国家规定，且存在砍头息问题，现在本人还款第二期时，还款通道又出现问题导致无法还款，后续立借app也无法打开，且没人与我协商联系，导致现在逾期，有人催收，而且逾期费用不予免除，本人现无力偿还高额逾期费用和高额利息，现在想立借方与我联系免除逾期费并减免利息进行还款，并给予销账，望立借方与我联系。</t>
  </si>
  <si>
    <t>2019/10/11 12:46:33</t>
  </si>
  <si>
    <t>投诉人 黄女士        投诉对象  聚福钱包        涉诉金额  299 元    问题类型    诉求类型投诉详情  软件自动扣款 拨打客服态度强硬不愿意退回，</t>
  </si>
  <si>
    <t>2019/10/11 12:46:23</t>
  </si>
  <si>
    <t>当初借了四万多出来根本没有利息这么多的提醒。</t>
  </si>
  <si>
    <t>2019/10/11 12:46:11</t>
  </si>
  <si>
    <t>中国农业银行您尾号1612账户10月09日16:47完成网银在线交易人民币-127.20，余额21362.48。</t>
  </si>
  <si>
    <t>2019/10/11 12:45:58</t>
  </si>
  <si>
    <t>投诉人 王先生        投诉对象  中腾信        涉诉金额  2 906 元    问题类型    诉求类型投诉详情  中腾信自身还款系统出问题 并且威胁要联系第三方对我进行催收 我早上八点看到银行卡余额没少 便开始自助还款一直支付失败 打他们客服一直联系不到人 结果中午直接给我发一个这样的信息 中腾信太厉害了 况且我并没有逾期</t>
  </si>
  <si>
    <t>2019/10/11 12:45:52</t>
  </si>
  <si>
    <t>投诉人 郑先生        投诉对象  芒果筹        涉诉金额  1 700 元    问题类型    诉求类型投诉详情  轻周转 芒果筹这个app 那时候放款2800 我已经归还3期 每期1028元 然后9月29日最后一期 app打不开 客服电话没人接 到现在有人联系我 说我恶意骗贷 要求我归还 1700.6元！ 我问他们要app的链接 对方提供已经失效的app连接 然后要求我支付宝给他们转账 如果不转 要轰炸我电话 并打我通讯录跟通话详单的电话！</t>
  </si>
  <si>
    <t>2019/10/11 12:45:50</t>
  </si>
  <si>
    <t>光大银行催收，严重影响我的生活，到处加我微信好友，QQ好友，说我怎么怎么了，电话每天都不停的，现在我工作也丢了，父母也不怎么待见我了，我跟她们协商根本就不听。</t>
  </si>
  <si>
    <t>2019/10/11 12:45:18</t>
  </si>
  <si>
    <t>信息技术有限公司于2019年10月11日上午11：57在没有任何通知和前提下无故扣款。</t>
  </si>
  <si>
    <t>打客服客服承诺返费但截止到现在还是停机每天打3通客服催促就是不解决。</t>
  </si>
  <si>
    <t>2019/10/11 12:44:59</t>
  </si>
  <si>
    <t>恶意扣款，注册app恶意免密支付，我没有使用任何服务过了几个小时扣了我69元，客服也没用人接。</t>
  </si>
  <si>
    <t>2019/10/11 12:44:42</t>
  </si>
  <si>
    <t>投诉人张先生投诉对象瀚银科技涉诉金额170000元问题类型诉求类型投诉详情上海瀚银信息科技有限公司作为持证第三方支付机构，自2019年初至今，非法为彩票返利网站提供支付通道，该公司这种违法行为，严重损害了人民权益，请相关部门严查，还百姓公道。</t>
  </si>
  <si>
    <t>2019/10/11 12:44:32</t>
  </si>
  <si>
    <t>首先得承认自己的错误，导致逾期，只能再此向水莲金条借款方致歉，还有就是希望水莲金条能够协商还款时间及金额，本人生意失败资金断裂，现在确实无条件还款，强调一下，再此不是投诉，毕竟是我逾期在先，错在我，大家的目的都是还钱，我也不是拒还耍赖，水莲金条借了10000，还了3183了，还欠10476.9，分十二期还款借款后显示13期，希望催收人员不要骚扰到家人朋友暴力催收，如果骚扰到无故第三人，给本人和他人造成困扰，本人愿意向扫黑办公案部门反映，也希望贵公司能让一个素质好的工作人员与我进行协商谢谢！希望贵平台跟进！谢</t>
  </si>
  <si>
    <t>2019/10/11 12:44:25</t>
  </si>
  <si>
    <t>淘集集三个月的提现货款一直没有回款，导致我们现在已经没有资金偿还供货商的货款！两个店铺总共提现货款是152641元，导致我以及家人已经无法正常生活了，给孩子的奶粉钱已经没有了，全部家当压进去了，而且还有大部分贷款也无法偿还了。</t>
  </si>
  <si>
    <t>2019/10/11 12:43:13</t>
  </si>
  <si>
    <t>投诉人张亮投诉对象贷上钱涉诉金额6100元问题类型诉求类型投诉详情没有确认订单，直接强行放款。</t>
  </si>
  <si>
    <t>2019/10/11 12:42:41</t>
  </si>
  <si>
    <t>本人于2019年9月28申请了一个拉卡拉Q码收款业务，然后办完之后就考虑到会不会到账，就自己扫码付了几笔全部都正常到账了，第二天就放心的拿去使用了，结果当天9月29日一共收了6笔钱，有三笔是直接到账结算到银行卡了，另外三笔到账了但是没有结算到银行卡，后来问客服怎么回事，客服说我这个异常，需要暂缓结算，让我提供本人的身份证正反面已经手持身份证，还有一个手持交易说明的照片，这些东西已经严重威胁到我的个人隐私了，但是为了这个钱，我还是听他们的把资料提交上去了，结果还是不给结算，请相关部门解决一下。</t>
  </si>
  <si>
    <t>2019/10/11 12:42:39</t>
  </si>
  <si>
    <t>汇潮支付,双辽市春天支农小额贷款有限公司,支付宝,金鸡下蛋，汇潮支付为其提供放款渠道还款渠道是由支付宝提供自动跳转周边商户，还款日当天暴力催收，各种威胁，本人出于无奈已延期还款四次，一共1200元，支付宝停止为此商户提供还款渠道聚投诉要是解决不了，我会继续像银监会和金融服务办，扫黑办等机构继续投诉，本人从推广链接下载的双辽市春天支农小额贷款有限公司产品金鸡下蛋，到手金额1400，六天后还款2000，汇潮支付为其提供放款渠道，还款渠道是由支付宝提供自动跳转周边商户，还款日当天暴力催收，各种威胁，本人出于无奈已</t>
  </si>
  <si>
    <t>2019/10/11 12:42:26</t>
  </si>
  <si>
    <t>好像是9月22号，接到客服电话称，3天后退保证金，10月10日前注销完成，但现在客服电话打不进，微信平台客服什么都不知道。</t>
  </si>
  <si>
    <t>2019/10/11 12:42:15</t>
  </si>
  <si>
    <t>抖音身份认证，，身份证号被别人邦了，，自己邦不上了，，怎么办。</t>
  </si>
  <si>
    <t>2019/10/11 12:42:09</t>
  </si>
  <si>
    <t>在闪管家借款900付凭证227实际到款673，之前还暴力催收今天自动平台扣我银行卡1321元，打电话给客服客服也不想说处理说借款利息就得还，可是高出了国家利息率，而且900到款673。</t>
  </si>
  <si>
    <t>2019/10/11 12:41:42</t>
  </si>
  <si>
    <t>借款2625元，七天还一期，一共四期，汇聚支付为其提供支付服务，每期还款895.58总共要还3582.32，利息957.32，已经超过法定利息十多倍，本人已经还了三期，已经还清本金加合理的利息共计2686.74元，今天与其协商还款，客服威胁恐吓催收爆通讯录，希望国家给予黑恶势力严厉打击，客服电话其实就是信用管家的客服:029-6368-3967。</t>
  </si>
  <si>
    <t>2019/10/11 12:41:35</t>
  </si>
  <si>
    <t>我也积极配合银行催收和催收说过实际情况，有能力的情况下也在积极还款，银行换了3波催收公司，第一个是上海的，我一直积极配合，第二是南京的，南京的催收公司在没有联系我本人的情况下，直接联系我朋友爱人，我没有不接银行电话，在没有和我沟通的情况下直接报通讯录，第三个是在本地的号码，给我爱人和我打电话，威胁上面催收，根据2011年商业银行信用卡业务监督管理办法，第七十条规定，我请浦发银行同我平等协商，我有还款意愿，没有恶意不还，银行催收电话我也没有逃避不接，是确实还款能力出现问题，希望银行能停息挂账，让我欠款办理分期</t>
  </si>
  <si>
    <t>2019/10/11 12:41:26</t>
  </si>
  <si>
    <t>10.7日点的借款，10.8日到款感觉不对，借口4000到账5210元过后又扣了1210元，我就分文未动赶紧联系才知道要收取保费，借款4000需要保费1210，投诉后称提前还款会退多余的钱金额是。</t>
  </si>
  <si>
    <t>2019/10/11 12:41:16</t>
  </si>
  <si>
    <t>投诉人 张亚亚        投诉对象  师大教育        涉诉金额  7 200 元    问题类型    诉求类型投诉详情  我根本就听不懂，也学不会。不想乱花钱以后我也不学了</t>
  </si>
  <si>
    <t>2019/10/11 12:40:58</t>
  </si>
  <si>
    <t>光大银行，现在每天无数次打电话，到处加我微信好友，qq好友，父母哪儿每天无数个电话。</t>
  </si>
  <si>
    <t>2019/10/11 12:40:52</t>
  </si>
  <si>
    <t>入驻他们平台的时候，他们平台介绍和提现三天个工作日到账，打她平台的电话要么没人接，要么就是一拖再拖。</t>
  </si>
  <si>
    <t>2019/10/11 12:40:31</t>
  </si>
  <si>
    <t>闪电借款借款时捆绑销售所谓黑卡权益，借款2000元要先购买500元黑卡才能借款，相当于变相砍头息，综合年化率远远超过了36%，另外宝付支付为本次黑卡销售违规提供支付通道。</t>
  </si>
  <si>
    <t>2019/10/11 12:40:24</t>
  </si>
  <si>
    <t>信息科技有限公司未来同意盗刷账户199元，要求给予退款。</t>
  </si>
  <si>
    <t>2019/10/11 12:40:15</t>
  </si>
  <si>
    <t>拼多多客服每次都说核实，核实，每次都说三天给我个回复，半个月过去了，一个电话都没收到，拖了半个月不给解决退款。</t>
  </si>
  <si>
    <t>2019/10/11 12:40:03</t>
  </si>
  <si>
    <t>我因经济问题拖欠兴业银行信用卡7500元整，之后兴业银行不断打电话催收，变本加厉，恐吓起诉，之后又通过不正当手段查到我对象单位电话，严重骚扰我对象正常工作，欠的钱肯定是要还，请采取正常手段！。</t>
  </si>
  <si>
    <t>2019/10/11 12:39:55</t>
  </si>
  <si>
    <t>平安i贷逾期七天，因离婚原因，目前无力偿还，但没有拒绝偿还，有钱会第一时间还进去，和平安协商多次无效，于是拨打我的家人，朋友电话。</t>
  </si>
  <si>
    <t>2019/10/11 12:38:44</t>
  </si>
  <si>
    <t>在微贷贷款4000元实际到款3520，分三期每期还款1413，要求退保。</t>
  </si>
  <si>
    <t>2019/10/11 12:38:42</t>
  </si>
  <si>
    <t>强制从银行卡划扣所谓服务费，多次联系客服，各种搪塞，并诱导二次消费。</t>
  </si>
  <si>
    <t>2019/10/11 12:38:10</t>
  </si>
  <si>
    <t>无人工客服，app无法进入人工客服咨询，电话也无人工客服咨询。</t>
  </si>
  <si>
    <t>2019/10/11 12:37:55</t>
  </si>
  <si>
    <t>投诉人母先生投诉对象王者钱包涉诉金额1860元问题类型诉求类型投诉详情王者钱包，高利贷，在他们平台借1860元，实际到账一千三百多，扣了几百的砍头息，然后只有几天的还款期限，却需要还款3013.2元，借了1860元，到账扣了砍头息，还要还3012元为什么还有这种套路的高利贷呢，借款也没有任何合同，请求严厉打击高利贷平台！！！。</t>
  </si>
  <si>
    <t>2019/10/11 12:37:43</t>
  </si>
  <si>
    <t>在朋友亲戚面前抬不起头，平台必须做出解释，以及销账。</t>
  </si>
  <si>
    <t>2019/10/11 12:36:59</t>
  </si>
  <si>
    <t>我借了17000元钱，我还了快7000多，可是最后他们说还要我还两万多块，我说我最多最后只能在给他们一万二千块钱，他们不同意，最后一直协商不下，他们又打电话到我工作地方造成我的困扰，一希望能停止对我工作单位进行骚扰，这是犯法的。</t>
  </si>
  <si>
    <t>浦发打电话强行做分期，这是你们银行该有的利息吗。</t>
  </si>
  <si>
    <t>2019/10/11 12:36:53</t>
  </si>
  <si>
    <t>在给你花钱平台中钱米多点借2000，到账1500，一个月后还2039.违反国家法律规定，本人要求按国人家法律规定一分不少并按时偿还欠款。</t>
  </si>
  <si>
    <t>2019/10/11 12:35:38</t>
  </si>
  <si>
    <t>本人在网络上被以投资赚钱的名义注册网站充值支付，后来才知道是非法赌博平台，和支付清算协会沟通得知第三方支付业务应审核客户的相关信息，第三方支付业务公司不得向证券，期货，博彩等机构提供支付结算业务，通过中国人民银行，中国银联，和支付清算协会沟通得知，第三方支付业务应审核客户的相关信息，第三方支付业务公司不得向证券，期货，博彩等机构提供支付结算业务，作为有牌照的支付公司没有履行国家结算通道的义务，即产生了非法洗钱的嫌疑，金融机构客户身份识别和客户身份资料及交易记录保存管理办法，要求退款！订单金额:1000.00</t>
  </si>
  <si>
    <t>2019/10/11 12:35:31</t>
  </si>
  <si>
    <t>买了黑卡，退黑卡一直在推脱，希望退了黑卡……。</t>
  </si>
  <si>
    <t>2019/10/11 12:35:16</t>
  </si>
  <si>
    <t>打电话给客服反应，说是当时借款时的日利率，包括了这些服务费保险费管理费。</t>
  </si>
  <si>
    <t>2019/10/11 12:34:59</t>
  </si>
  <si>
    <t>我于2016年夏季接触到达飞云贷，当时业务员上门办理，业务员说是办理信用卡，前五天免利息，我当时做生意想着急用钱的时候可以用几天，就这样我开始步入了达飞云贷的陷阱里，从此噩梦般的生活开始了，我从2016年10月份用了一万块钱至今没有还清达飞云贷设的套路贷里，刚开始他们的利息还能接受，后来一步一步变本加厉，直到现在的服务包，利息，质保金，让我越来越还不动，每个月利息不等，最少得时候一万元本金，利息六百多，遇上本金到期这个月一万元本金就的还一千块钱的利息，质保金：一万元质保金是两千，在你掏不起质保金的时候，业务</t>
  </si>
  <si>
    <t>2019/10/11 12:34:41</t>
  </si>
  <si>
    <t>投诉人景先生投诉对象微贷网,多米贷涉诉金额5000元问题类型诉求类型投诉详情2019年7月10日在微博平台上的多米贷借款5000元，期限3个月，每月还1766.67元，总金额为5300元，10月10日银行对账才发现7月份向该平台申请贷款5000元实际到账4250，借款提交时间：2019071016:55，打电话给客服永远打不通，借款利率按国家规定应以实际到账的本金为准，借4250，还5300多米贷借贷利率已超过国家规定最高36%,要求退回高额砍头息，我要求多米贷赔偿所砍头息750及其产生的利息，要求新浪微博</t>
  </si>
  <si>
    <t>2019/10/11 12:34:34</t>
  </si>
  <si>
    <t>一直都在和你们协商处理，但是你们一直不为我处理，现在已经逾期4个月，本金是13000元，可是现在利息和违约金加上已经到达14330元。</t>
  </si>
  <si>
    <t>2019/10/11 12:34:20</t>
  </si>
  <si>
    <t>盱眙海恒信息技术有限公司,沧州明睿通电子科技有限公司。</t>
  </si>
  <si>
    <t>2019/10/11 12:33:54</t>
  </si>
  <si>
    <t>投诉人魏女士投诉对象时光分期涉诉金额5900元问题类型诉求类型投诉详情时光分期高利贷，多次恶意骚扰通讯录，暴力催收，恐吓侮辱我的通讯录朋友，致使我名誉扫地，颜面尽失，朋友也因他们恶意骚扰愤怒以至于拿我问罪，让我想死……我借了5900，一共12笔，还上了6笔账单，每一笔账单668.6元，一共还上了4011.6元，但是现在还有4011.6的金额要还，也就是说他们借5000多要还3000多的利息，这利息太高了，不能承受！本人今年因为不慎被朋友拐带陷入套路贷被害了30多万，所以资金出现了缺口，正在努力挣钱偿还，无奈</t>
  </si>
  <si>
    <t>2019/10/11 12:33:47</t>
  </si>
  <si>
    <t>从今年4.24开始在：程咬金借款，app借款到现在最少有20借款了，每次砍头息加上7天期限还款已经撑不住逾期了。</t>
  </si>
  <si>
    <t>2019/10/11 12:33:30</t>
  </si>
  <si>
    <t>借款本金19000，当初手头紧张，捷信客服打电话过来，让我贷款，利息低，还款24期，可是，打给我款后，3个月就变成了30期，已经还了28428，实在是拿不出来钱了，前两天自称是捷信工作人员，在没经过家里人同意的情况下，私自强行去我老家，拿着我的照片，说是我2017年贷了19000没还，只是一直和我家里人说借了他们公司19000咱没说，咋没说我还了多少钱啊！还拿着我妈的手机给我打电话，说还不上，要起诉我，恐吓我妈，本来我妈身体不好，现在更加严重，如果家里人有啥事情，我不用捷信公司起诉，我要起诉捷信，害我妈身体</t>
  </si>
  <si>
    <t>2019/10/11 12:33:17</t>
  </si>
  <si>
    <t>最后一期由于资金问题，没有还上，骚扰家人朋友，发这种信息！可耻至极！。</t>
  </si>
  <si>
    <t>2019/10/11 12:33:12</t>
  </si>
  <si>
    <t>借款前需要850元购买会员卡，后期还要215手续费，逾期费用过高。</t>
  </si>
  <si>
    <t>2019/10/11 12:32:11</t>
  </si>
  <si>
    <t>投诉人李先生投诉对象中信银行信用卡涉诉金额100000元问题类型诉求类型投诉详情没用新快线和圆梦金之前，客服天天打电话引诱使用，说利息低，使用了之后发现本金在减少的情况下，利息一分没少，最高年化超过国家法定的利息。</t>
  </si>
  <si>
    <t>2019/10/11 12:32:10</t>
  </si>
  <si>
    <t>分期猫app里有个购分期，点入注册，刚刚下载购分期app就自动扣除299元会员费，我只是注册时输入过银行卡号，并没授权自动扣款，这是不是抢劫了。</t>
  </si>
  <si>
    <t>2019/10/11 12:32:09</t>
  </si>
  <si>
    <t>投诉人谢先生投诉对象浦发金服涉诉金额40100元问题类型诉求类型投诉详情我在浦发金服上贷款让我交了四万多，说二个小时到款，现在过去了十几个小时了，款也没到。</t>
  </si>
  <si>
    <t>2019/10/11 12:31:19</t>
  </si>
  <si>
    <t>昨天急用钱下载了豹子贷，看到没给额度就卸载了，今天刚收到短信扣款50元，我搜了百度，后续还有扣款，现在银行卡不敢放钱，怕他再给我扣款。</t>
  </si>
  <si>
    <t>2019/10/11 12:31:08</t>
  </si>
  <si>
    <t>电话协商一概不理，爆通讯录，影响了我的生活和工作。</t>
  </si>
  <si>
    <t>2019/10/11 12:30:49</t>
  </si>
  <si>
    <t>投诉人李先生投诉对象滴滴出行涉诉金额10000元问题类型诉求类型投诉详情2019年9月29日在威海接到滴滴快车订单时被运营执法扣车，专员说由于我是烟台牌照在威海，所以损失我自己负责，但是在今年8月份我来到威海开始接单时，提前打电话问过客服外地牌照问题，客服给出的是可以享受本地所有政策，现在事出了滴滴不管了，第一我是为你们滴滴平台服务中被扣车，所以我可以享受政策，第二既然你们给我派单就承认我在你们平台是合规的。</t>
  </si>
  <si>
    <t>2019/10/11 12:30:28</t>
  </si>
  <si>
    <t>会处理，因为资金没周转过来，造成逾期就开始爆通讯录，停止联系，会想办法处理。</t>
  </si>
  <si>
    <t>非法爆我通讯录、还威胁恐吓、对我亲朋好友造成困扰。</t>
  </si>
  <si>
    <t>2019/10/11 12:30:27</t>
  </si>
  <si>
    <t>我说过我只会多还你们业务员当初给我讲解的利息1000元，本金我已经还完了，还有今天打电话来并为解决问题，反而觉得全是我的原因，其他没和我说过的服务费及其他的一切费用我拒绝支付，在处理不好我会投诉到银监会，让所有人都来看看你们是怎么忽悠顾客的，强加费用的，前面的我不知道为什么没法追加投诉，几天了一直没有解决。</t>
  </si>
  <si>
    <t>2019/10/11 12:30:02</t>
  </si>
  <si>
    <t>本人于2019年9月16日在月光侠分期平台借款实际到账1800元，但咨询客服之后客服告诉我借款金额为2400元，其中服务费为600元，现分三期还款，每期应还957.79元，三期总共应还2873.37元，本人认为此平台涉嫌高利贷，望有关部门帮帮忙，给我一个说法，谢谢！。</t>
  </si>
  <si>
    <t>2019/10/11 12:29:31</t>
  </si>
  <si>
    <t>马上消费金融公司，催收部门人员对我进行威胁恐吓，获取我的身份证信息其言要对我进行村委，网络曝光，让我身败名裂，臭名远扬，我想知道这样的事情国家是否允许，暴力催收是否合法，如果暴力催收是合法的，我愿意承担所有责任，目前已让我有重度抑郁症，我希望马上消费金融，安逸花，能给我一个合理的解释！所有详情看以下图片：。</t>
  </si>
  <si>
    <t>2019/10/11 12:28:57</t>
  </si>
  <si>
    <t>微众银行微粒贷爆通讯录，已打电话到单位，今天上午打电话给单位以及领导，我本人电话一直正常使用，不是走法律程序吗，我都没有存过我领导电话你们竟然能找到！骚扰到单位了！请微众银行解释！是想通过骚扰单位及领导恐吓威胁本人还款是吗。</t>
  </si>
  <si>
    <t>2019/10/11 12:28:56</t>
  </si>
  <si>
    <t>本人于2019'9.8日在玖富借款3000实际到账2268元。</t>
  </si>
  <si>
    <t>2019/10/11 12:28:49</t>
  </si>
  <si>
    <t>我借款7000元不到一个星期，需要提前结清，需要还9300，协商还款年利率24%以内的也不能协商，霸王条款高利贷。</t>
  </si>
  <si>
    <t>2019/10/11 12:27:57</t>
  </si>
  <si>
    <t>用钱宝借款3000，6个月还款3600，高利贷，最后一期了，逾期两天轰炸通讯录，群发短信，恐吓我，每天几十条电话，通讯录好友也是，每天几十条骚扰。</t>
  </si>
  <si>
    <t>2019/10/11 12:27:50</t>
  </si>
  <si>
    <t>投诉人张先生投诉对象京东物流涉诉金额65元问题类型诉求类型投诉详情10.1号德州发到江苏的快递，10.2济南京东快递没有通知的情况下私自发到付退回，产生65运费，京东快递没有电话通知了解的情况下私自退回货物费用让客户买单，涉及单号：JDVA00813179724快递没有电话通知私自到付发回货物单号JDVA00814851412。</t>
  </si>
  <si>
    <t>2019/10/11 12:27:45</t>
  </si>
  <si>
    <t>本人9月23日收到短信推广，点进去后是来花花平台，因急用钱，没注意借2000需要扣掉600的砍头息，期间因到期日，催收打电话过来说中午12点前必须处理，不然就按流程打通讯录电话，如果不能全款处理就给600续期5天！最好因为怕催收骚扰到家人，支付了600续期5天，到10月3日，现已经续期几期！下款渠道为汇潮支付，还款通道为支付宝聚合支付，望支付宝杜绝此等通道，据了解汇潮支付一直为类似来花花平台系列提供放款渠道，该平台的公司为双辽市春天支农小额贷款有限责任公司，不知道有多少人已经深陷其中。</t>
  </si>
  <si>
    <t>2019/10/11 12:27:20</t>
  </si>
  <si>
    <t>违反电商法，没有消费的劵，必须要退款，客服不理会，不给退款。</t>
  </si>
  <si>
    <t>2019/10/11 12:27:15</t>
  </si>
  <si>
    <t>平安普惠工作人员骚扰，恐吓，停止骚扰赔偿损失。</t>
  </si>
  <si>
    <t>2019/10/11 12:27:10</t>
  </si>
  <si>
    <t>交通银行信用卡中心工号11197姓李的员工，中午十一点半后交通银行信用卡来电跟我告知欠款事项说不还款就起诉我，还叫我不用说话，听他讲，讲完要我答应接受被起诉的条件，说我不能满足他说的条件就不用还钱了，还说我想还钱都不可能了不管我是不是困难，一点都听不进我说的话和真实情况。</t>
  </si>
  <si>
    <t>2019/10/11 12:27:03</t>
  </si>
  <si>
    <t>12000，最低还款，每月收取281-300，百分之％0.05严重超过，并且客服主管使用软暴力。</t>
  </si>
  <si>
    <t>2019/10/11 12:26:58</t>
  </si>
  <si>
    <t>我以前告诉催收我工作没时间接电话，只有下班才能接，它们骚扰我的家人，扰乱了他们的正常生活。</t>
  </si>
  <si>
    <t>2019/10/11 12:25:33</t>
  </si>
  <si>
    <t>9月28号下午五点多，一个叫李萍的世纪佳缘客服给我打电话，先跟我讲了很多要防范普通区的骗子之类的话，如对方所从事的工作很可能是骗你的，你只要交了2580元就能保证对方的靠谱度，身份、工作等各种条件都是经过严格把关的，是真的，后来她引导我加了她的微信，给我发了两张帅哥照，说他们条件好，工作好，父母都是工薪阶层，问我有没有眼缘，可以给我介绍，她一开始连“金钻牵线”这一名称都没有告诉我，她推荐给我的业务是类似于一对一的介绍对象的服务，我觉得便宜，就交了，谁知第二天才有一个工号为5423的红娘给我打电话，讲这其实是</t>
  </si>
  <si>
    <t>2019/10/11 12:25:25</t>
  </si>
  <si>
    <t>闪银奇异平台上的多米金融贷款以霸王凭证的形式违规收取砍头息，利率远超国家法定利率红线，要求予以协商，退还违规砍头息。</t>
  </si>
  <si>
    <t>2019/10/11 12:24:55</t>
  </si>
  <si>
    <t>投诉人 黄雅丽        投诉对象  分期花呗        涉诉金额  30 000 元    问题类型    诉求类型投诉详情  虚假页面虚假广告。没有联系方式没有客服。页面属于瘫痪。要求处理个人信息解绑账号</t>
  </si>
  <si>
    <t>2019/10/11 12:24:46</t>
  </si>
  <si>
    <t>投诉人黄先生投诉对象及贷涉诉金额1300元问题类型诉求类型投诉详情及贷催收脑子有问题，我由于工作原因逾期10天，和催收协商还款，催收不同意，在和我能联系到的情况下爆我通讯录，威胁，恐吓我的家人父母，我的母亲已经被气病，已经对我造成影响，现在要求那个催收给我道歉，停止骚扰，我会处理逾期，否则我一分都不还，还会想相关部门举行举报，后果自负。</t>
  </si>
  <si>
    <t>2019/10/11 12:24:32</t>
  </si>
  <si>
    <t>本人把本月账单的钱还进去，他还在那边骚扰我。</t>
  </si>
  <si>
    <t>2019/10/11 12:24:17</t>
  </si>
  <si>
    <t>本人17年在马上消费金融按揭一部手机，分12期归还，还了8期之后因我工作调外地工作，我就想到提前还款，找到当时给我办理分期的业务员说必须向公司申请才能提前还款，两天后业务员告诉我欠款共计2940多，当时因工作调动原因我给我业务员3000现金，他说他给我从后台还清，因工作调动手机号也换了，前几天打了一份征信，说我逾期48个月，成黑户了，我去当地找马上消费金融办事处，现已经撤出本地区，没有了，业务员也联系不上了，我通过马上金融官网联系方式，和客服沟通了几天，今天给我回复，欠款需要还清，逾期的征信不给予上报处理，</t>
  </si>
  <si>
    <t>2019/10/11 12:23:43</t>
  </si>
  <si>
    <t>我借了一千块钱，没看清原来是阴阳和同，3个月利息65元，加上180元的担保费，3个月我要还240元的利息，3个月1000元上65元，年利息23％我可以接受，加上180就是960％年利息，没有这么坑的网站。</t>
  </si>
  <si>
    <t>2019/10/11 12:23:26</t>
  </si>
  <si>
    <t>拍拍贷竟然给我寄律师函，要求平台下降，血淋淋的高利贷。</t>
  </si>
  <si>
    <t>2019/10/11 12:21:26</t>
  </si>
  <si>
    <t>借款5000到账3500，分三期还每月还要还将近两千，砍头息，高利贷，虚假合同催收的还暴力恐吓。</t>
  </si>
  <si>
    <t>2019/10/11 12:20:30</t>
  </si>
  <si>
    <t>投诉人 吴先生        投诉对象  现金巴士        涉诉金额  1 000 元    问题类型    诉求类型投诉详情  现金巴士现已逾期三天望减免30逾期费 砍头息就算了</t>
  </si>
  <si>
    <t>2019/10/11 12:20:27</t>
  </si>
  <si>
    <t>需要‭分期还款，共分60期，现在负债太多，需要一段时间缓解，款项我一定会还，但是需要分期，望批准。</t>
  </si>
  <si>
    <t>2019/10/11 12:20:26</t>
  </si>
  <si>
    <t>暴力催收，爆通讯录，恶心骚扰，对朋友家人造成困扰，请求停止骚扰道歉。</t>
  </si>
  <si>
    <t>2019/10/11 12:19:59</t>
  </si>
  <si>
    <t>投诉人 李女士        投诉对象  宜信普惠        涉诉金额  53 000 元    问题类型    诉求类型投诉详情  高额的服务费。借53000每个月还2735己还18个月。然后现在想一次性结清还要还49266。</t>
  </si>
  <si>
    <t>2019/10/11 12:19:43</t>
  </si>
  <si>
    <t>10.3号在交易猫购买第一单60q币，一直不发货第二天买了30q币依旧不发货。</t>
  </si>
  <si>
    <t>2019/10/11 12:19:41</t>
  </si>
  <si>
    <t>本人在手机借钱里的多宝分期借款4000元分三期，每一期是十天还款1732.83元，远远超出国家费率36%利息，远远超过国家法律规定的年化率，明显已经超过国家法律支持的年化率，现要求多宝分期停止骚扰，并做出销账结清处理，要求手机借钱APP道歉协助处罚高利贷违法行为。</t>
  </si>
  <si>
    <t>2019/10/11 12:19:30</t>
  </si>
  <si>
    <t>本人在翼钱包平台几次借款1800元实际到账1300，到期由于资金紧张延期7天多次收取470的续期费。</t>
  </si>
  <si>
    <t>2019/10/11 12:19:10</t>
  </si>
  <si>
    <t>在及贷平台合作机构智享贷借款1700元，以保险名义扣除头息306元，逾期第一天罚息高达51元，以短信方式威胁，骚扰通讯录联系人。</t>
  </si>
  <si>
    <t>2019/10/11 12:18:52</t>
  </si>
  <si>
    <t>所以我打电话给他们客服，客服转个圈有回去让骂我的人处理。</t>
  </si>
  <si>
    <t>2019/10/11 12:18:28</t>
  </si>
  <si>
    <t>投诉人 张先生        投诉对象  平安银行信用卡中心        涉诉金额  7 000 元    问题类型    诉求类型投诉详情  平安银行信用卡催收人员暴力 恐吓我和家人 已经严重的影响我家人正常生活工作</t>
  </si>
  <si>
    <t>2019/10/11 12:18:14</t>
  </si>
  <si>
    <t>在2019年9月10号由于资金周转不过来，在安卓软件市场下载，当时填完资料可以申请1000元额度，分3个月还，当时没留意每个月还673.36元，就点击下款了，实际到账1000元，但合同借款本金1980.不合理的合同，10月9号还第一期，打APP客服电话想协商一次性还清销账，但客服电话一直没人接。</t>
  </si>
  <si>
    <t>疯狂骚扰公司，搞到个个责备，工作可能也不保了。</t>
  </si>
  <si>
    <t>2019/10/11 12:17:46</t>
  </si>
  <si>
    <t>前些年，因不可抗拒的风险造成了支付宝的逾期，从芝麻信用分620多直接掉到了430多，前些年就还了，现在的芝麻分每个月涨一分，之前致电客服说花呗还了还可以正常使用，结果呢，每个月涨一分，打客户电话打不通，对我生活造成了一些影响，望处理！！！。</t>
  </si>
  <si>
    <t>2019/10/11 12:17:29</t>
  </si>
  <si>
    <t>现在想一次性还清告诉我还不了，因为我之前借过1200元一次性还清过一次，只能给一次免费用的机会，现在想一次性还清必须支付相应的费用，包含服务费600多，高额风险费1600多，我都想一次性还清了还有什么高额风险费，你们能不能正当的处理一下高额风险费，别异想天开可以吗，我只付我应该付的费用，该还多少就是多少，其他费用一律不还，而且客服态度强硬恶略，告诉我愿意去哪告都不怕，我现在多余一分钱不花，告诉我机会只有一次，你们这么高的利息还有脸说出来，。</t>
  </si>
  <si>
    <t>2019/10/11 12:16:09</t>
  </si>
  <si>
    <t>在我不知情的情况下，以信用报告的名义私自扣走我银行卡296元，望处理！。</t>
  </si>
  <si>
    <t>2019/10/11 12:15:44</t>
  </si>
  <si>
    <t>因家中突发变故，致使无法按时还款，接到自称小花钱包工作人员电话，在未协商还款事项的情况下，该工作人员要求13:00前还款，否则将拨打骚扰我的手机联系人。</t>
  </si>
  <si>
    <t>2019/10/11 12:15:34</t>
  </si>
  <si>
    <t>钱站,通联支付,华夏银行股份有限公司北京分公司,爱钱进,北京会牛科技有限公司,北海数科信息技术有限公司，通联支付为其提供支付渠道华夏银行为其提供存管账户，如此涉黑平台，在中央大力倡导扫黑除恶环境下依然生存，破坏正常金融秩序，请监管部门大力打击不法平台，还社会和谐安定，本人在贷款平台钱站借款实际到账1000元，分三期偿还，每期偿还635.94元，实际还款1800多元，已远远超出国家法定利率，通联支付为其提供支付渠道，华夏银行为其提供存管账户，如此涉黑平台，在中央大力倡导扫黑除恶环境下依然生存，破坏正常金融秩序</t>
  </si>
  <si>
    <t>2019/10/11 12:14:47</t>
  </si>
  <si>
    <t>强制要求你买保险，不买不行，变相砍头息，希望相关部门管管。</t>
  </si>
  <si>
    <t>2019/10/11 12:14:44</t>
  </si>
  <si>
    <t>小来信背后是上海通华网络小贷，借款3000，到账秒扣607.5，实际到账金额2392.5。</t>
  </si>
  <si>
    <t>2019/10/11 12:14:33</t>
  </si>
  <si>
    <t>时光分期催收人员在我本人不知情的情况下联系本人母亲。</t>
  </si>
  <si>
    <t>2019/10/11 12:14:18</t>
  </si>
  <si>
    <t>本人从未在期待金融有过借款，但是却收到标题为期待金融的催款信息，说本人严重逾期，要求尽快处理，要求加微信联系处理，请问这应该是属于zha，要求期待金融核实后处理回复，所谓的客服联系方式在上传的附件图片里。</t>
  </si>
  <si>
    <t>2019/10/11 12:14:05</t>
  </si>
  <si>
    <t>当时急用钱也没注意到合同，今天突然发现合同本金竟然是7229，而且之前几期也一直都是还款日当天就死命打电话骚扰，从早上一直到晚上。</t>
  </si>
  <si>
    <t>2019/10/11 12:13:56</t>
  </si>
  <si>
    <t>投诉人李先生投诉对象微享加涉诉金额39元问题类型诉求类型投诉详情给了额度感觉有用，买了会员直接告诉近期借款纯在危险！无语！！！客服电话永远没人接。</t>
  </si>
  <si>
    <t>2019/10/11 12:13:41</t>
  </si>
  <si>
    <t>委托的当地催收公司多次冒充国家机关，以挂号信的方式寄到我的户籍所在地，严重骚扰我的家人，对我的名誉造成极大的损害，期间还冒充律师和法院的人通过短信的方式对我进行恐吓，且拒接我的分期还款诉求，电话多次骚扰我的家人，现在我的生活已经被他们扰乱，每天活在恐慌之下，我要求立即停止这种行为，并听我协商还款事宜。</t>
  </si>
  <si>
    <t>2019/10/11 12:13:21</t>
  </si>
  <si>
    <t>借2300一个月要还2900这是什么利息，还打电话威胁要爆通讯录。</t>
  </si>
  <si>
    <t>2019/10/11 12:13:20</t>
  </si>
  <si>
    <t>从小当家借款三期，每期还款800多，现在已还2期，就剩最后1期，现在想提前还款结清，但APP一直上不去，客服也联系不上，希望小当家给个说法。</t>
  </si>
  <si>
    <t>2019/10/11 12:13:07</t>
  </si>
  <si>
    <t>投诉人张先生投诉对象苏宁易购涉诉金额10000元问题类型诉求类型投诉详情我们2019年4月开始退店，5月26日有完结交易，系统提示是约10个工作日，到10月11但是一直都卡在完结未结算费用环节，。</t>
  </si>
  <si>
    <t>2019/10/11 12:12:46</t>
  </si>
  <si>
    <t>投诉人蒋先生投诉对象来分期涉诉金额838元问题类型诉求类型投诉详情来分期高利贷套路贷款，借838元，期限1月，还款1500元，天天打骚扰电话无数。</t>
  </si>
  <si>
    <t>2019/10/11 12:12:45</t>
  </si>
  <si>
    <t>被闪银催收骚扰怕了，砍头息，威胁！！！前两天接到我接派出所电话说放高利贷的落网了，我想着闪银这种平台还没有倒，公安和媒体需要证据的也可以联系我！整日做噩梦。</t>
  </si>
  <si>
    <t>2019/10/11 12:12:32</t>
  </si>
  <si>
    <t>本人在即有分期零花钱贷了1400，由于家里出事导致上两个月没怎么上班，一时之间还不上，希望通过平台与其协商还款。</t>
  </si>
  <si>
    <t>2019/10/11 12:12:16</t>
  </si>
  <si>
    <t>绑定银行卡全过程没有一分钟就收到扣费199的信息，如果要退还249会员费必须得去申请他们推荐的高利贷，诱导用户付费过后一拖再拖直到用户自己放弃的无耻公司。</t>
  </si>
  <si>
    <t>2019/10/11 12:10:39</t>
  </si>
  <si>
    <t>图一借款合同中甲方:韩继丰，微信公众号:米条联盟实名认证用户兼放款财务人员，本人按其所讲流程在米条联盟完成操作流程，甲方韩继丰也确认了借款合同，但后续所借款项并未通过任何支付方式，渠道给与我，想找他询问，才发现已将本人删除，后与把我推荐给韩继丰客服联系，客服讲跟他没关系，辱骂我后也同样将我删除，发现韩继丰在米条联盟打了一张空借条，假借条后:第一时间提供证据与米条联盟联系，唯一官方客服QQ是空号，两天时间在米条联盟平台留言咨询，均为得到回应，请南京白秋网络科技有限旗下设立的米条联盟公众号客服人员，速与本人取得</t>
  </si>
  <si>
    <t>2019/10/11 12:09:58</t>
  </si>
  <si>
    <t>维信卡卡贷延迟一直不放款从9月16号一直到今天10月11号未放款，忽悠我办理会员，办理了也没结果，违规收取风险评估费，联系说会加急处理，一直未处理，要不速度放款，要不取消订单！。</t>
  </si>
  <si>
    <t>2019/10/11 12:09:46</t>
  </si>
  <si>
    <t>催收人员不停拨打骚扰单位电话，并宣称要公布我的工作地点，严重违反了国家规定，希望能做出改变。</t>
  </si>
  <si>
    <t>无缘无故被扣款，客服联系不到，通联支付说是小浦优客扣的，但是打电话打不通。</t>
  </si>
  <si>
    <t>2019/10/11 12:09:30</t>
  </si>
  <si>
    <t>投诉人 李先生        投诉对象  玖富        涉诉金额  6 000 元    问题类型    诉求类型投诉详情  高利贷阴阳合同借6000还11400。。</t>
  </si>
  <si>
    <t>2019/10/11 12:08:45</t>
  </si>
  <si>
    <t>一直都在和你们协商处理，可是你们一直不为我处理，现在已经逾期4个月，外包一直在给我打电话。</t>
  </si>
  <si>
    <t>2019/10/11 12:08:17</t>
  </si>
  <si>
    <t>借款4300，还款6800，超高利息，超过国家年化利息太多，。</t>
  </si>
  <si>
    <t>2019/10/11 12:08:11</t>
  </si>
  <si>
    <t>中腾信借款5万元与实际合同写金额想2万多，借了36期已经还了19期本金还完现在还要求我还3万多，而且私自用我的银行卡进行支付还妄自想要更改我银行卡的登陆密码这已经涉嫌犯罪…就是以下此号码所有者进行盗用我的银行卡。</t>
  </si>
  <si>
    <t>2019/10/11 12:07:32</t>
  </si>
  <si>
    <t>2018年10月由于资金紧张，接触了融360借款平台，刚开始开始借了两个小借款，借1500到账1200，2000到账1600，2500到账2000，借款期只有14天，前前后后用借了几十个，到期后资金周转不开，开始以贷养贷，截止2019年3月13号把所有的借款还清，国家打击高利贷砍头息后，融360，现在他们两家平台把我的还款历史账单全部消除了看不了，请相关部门协助调查打击这些高利贷砍头息，扣除正常的利息，退回被强制砍掉的砍头息，恢复我的还款历史账单，去哪借，融360这么大的平台，为这些非法高利贷砍头息小平台提</t>
  </si>
  <si>
    <t>2019/10/11 12:07:20</t>
  </si>
  <si>
    <t>诉求：1.京东无理由退货2.京东上们检测，并出具第三方机构检测报告论证人为因素导致坏损检测报告。</t>
  </si>
  <si>
    <t>2019/10/11 12:06:31</t>
  </si>
  <si>
    <t>投诉人石女士投诉对象淘宝客服涉诉金额28元问题类型诉求类型投诉详情本人在淘宝上购买的牛奶，让人心寒的不是商家，是淘宝，1号就发货了3号就到达当地，一直到10号晚上才告诉我放到我们那边的菜鸟驿站，说是由于国庆期间快递多忘记分了，快递员表示理解我要退款，会联系业务员，我也在昨天下午打电话淘宝投诉说的很清楚，所有的事情，一个牛奶到今天就是11天，保质期21天，出厂也要个5.6天，难道要我5.6天喝完所有妈，3号显示签收，5.6号时我也联系商家说我没收到取件码，商家表示反馈，我说了我要去外地，一直到8号左右我说退款</t>
  </si>
  <si>
    <t>2019/10/11 12:06:25</t>
  </si>
  <si>
    <t>联系不上客服，app也不能登陆，还不了款，希望客服马上与我联系并处理还款。</t>
  </si>
  <si>
    <t>2019/10/11 12:06:19</t>
  </si>
  <si>
    <t>app无法还款，导致恶意逾期，不给减免逾期费，高利贷。</t>
  </si>
  <si>
    <t>2019/10/11 12:06:04</t>
  </si>
  <si>
    <t>投诉人 李先生        投诉对象  即有分期        涉诉金额  793 元    问题类型    诉求类型投诉详情  网络高利贷暴力催收 骚扰家人朋友 望有关部门帮忙 实在受不了了 压力太大</t>
  </si>
  <si>
    <t>2019/10/11 12:06:03</t>
  </si>
  <si>
    <t>我在无意间下载了购分期的app就让我输入电话号码和银行卡号，我连密码都没有填就从我卡里扣了299，想打个电话问清楚连客服电话都没有，里面显示的客服都是机器人的，这几天跟他们沟通就是不把钱退我，要求他们得到应有的惩罚，最好让他们下架不要再祸害其他人了。</t>
  </si>
  <si>
    <t>2019/10/11 12:06:02</t>
  </si>
  <si>
    <t>非法爆我通讯录、骚扰我亲戚朋友、还发短信威胁、。</t>
  </si>
  <si>
    <t>2019/10/11 12:05:34</t>
  </si>
  <si>
    <t>暴力催收，侮辱亲朋好友，轰炸式拨打亲朋好友电话，这样的催收会逼死人的。</t>
  </si>
  <si>
    <t>2019/10/11 12:04:47</t>
  </si>
  <si>
    <t>平台乱扣钱，未经本人同意自动从我卡里扣钱，声称什么服务费，一分钱没借到，还扣被人钱，强盗行为。</t>
  </si>
  <si>
    <t>2019/10/11 12:04:43</t>
  </si>
  <si>
    <t>工作人员说全额付清也要加利息不减免，利息高的吓人，借款时候并没有给我看利息多少，借完才能看，导致我下单之后利息高的吓人，我很气愤，为什么全额付清，还要把12期的利息都给付给我来贷，分12期。</t>
  </si>
  <si>
    <t>2019/10/11 12:04:10</t>
  </si>
  <si>
    <t>提示开通北京雅酷时空信息交换技术有限公司支付平台。</t>
  </si>
  <si>
    <t>2019/10/11 12:04:05</t>
  </si>
  <si>
    <t>此平台涉嫌高利贷，借款1300，还款1999.41，时间5天，超出国家利率，协商不行，电话骚扰，侮辱诽谤，给我生活带来巨大的影响，家人因为此事情住院了，希望国家为我讨回一个公道。</t>
  </si>
  <si>
    <t>2019/10/11 12:03:47</t>
  </si>
  <si>
    <t>上个月我工资还没有发，叫宽限几天，然而催收各种威胁，说打通讯录。</t>
  </si>
  <si>
    <t>2019/10/11 12:03:38</t>
  </si>
  <si>
    <t>一直打电话给豆豆钱客服协商想分期还款，催收不同意，让我一次性结清，早上打电话说要债权转让给其他小贷公司，要我额外支付比本金高出很多倍的利息，还说不同意就要打官司，司法起诉我，我一直有还款意愿，只是现在资金出现问题，之前爆我通讯录，工作也丢了，亲朋好友哪里也借不到钱，我现在就想上班慢慢来还这笔钱，希望聚投诉平台可以维持正义。</t>
  </si>
  <si>
    <t>2019/10/11 12:03:32</t>
  </si>
  <si>
    <t>本人在小黑鲨贷款APP借了3500元一个月分三期10天一期，总还款要4300元，一个月利息高达800元，本人无力偿还要求协商减少利息，刚才客服来电协商要求还全款3970元，只愿意减330元，也远超过国家利率，本人没有那么多钱，要求在减少还款金额，客服不同意，要求先还第一期，本人希望全额还款要求在减免金额到3650元，谢谢请跟进！。</t>
  </si>
  <si>
    <t>2019/10/11 12:02:44</t>
  </si>
  <si>
    <t>财付通帮助高利贷平台小黑鲨违规扣款，平台恶意骚扰威胁。</t>
  </si>
  <si>
    <t>2019/10/11 12:02:21</t>
  </si>
  <si>
    <t>投诉人刘先生投诉对象滴滴出行涉诉金额0元问题类型诉求类型投诉详情我早上上班，打车卡的快车，司机发的一段文字，我不是很能理解，我明明打的是快车，不是拼车，他说让我取消，他说车上还有人，让我取消订单，但是我取消要扣钱的，并不是我的责任，凭什么我承担，而且还不打电话说，后来发文字辱骂‘嘲讽、司机不道歉，我就去消费者协会投诉，投诉满意为止！！！。</t>
  </si>
  <si>
    <t>2019/10/11 12:02:11</t>
  </si>
  <si>
    <t>本人在上海造艺旗下“百事普惠”app里申请借款，当时界面显示要支付299元小银券，由于是第一次申请在不清楚平台条款并且平台也未做出说明的情况下，点了小银券，当时银行卡没有足够的余额，所以没扣，也没发短信，等到卡里有足够的余额，随即银行卡被扣取了299元，我给平台客服致电想要退回299元，被客服告知无法退回，说这是评估信用报告的费用，这就是在客户不知情的状况下妥妥的恶意扣款，钻消费者的空子，跟强盗并无两样。</t>
  </si>
  <si>
    <t>2019/10/11 12:02:09</t>
  </si>
  <si>
    <t>投诉人陈先生投诉对象拼多多涉诉金额47000元问题类型诉求类型投诉详情这只是一部分，还有很多总共涉及4万多，拼多多给洗黑钱。</t>
  </si>
  <si>
    <t>2019/10/11 12:02:06</t>
  </si>
  <si>
    <t>没下款打电话取消订单，直接账户秒到，取消不掉。</t>
  </si>
  <si>
    <t>10月12日还钱，平安普惠，敲诈钱，举报</t>
  </si>
  <si>
    <t>2019/10/11 12:02:05</t>
  </si>
  <si>
    <t>上个月10号返厂到珠海，期间打过电话问处理进度，30号没有告知我的情况下把我的手机寄修成都，国庆期间我打电话过去才知道这么个情况，我就想知道既然你们没有这个能力去处理，为什么要最开始就让我寄到珠海去，而且珠海是魅族的总部，总部都没有办法处理的吗。</t>
  </si>
  <si>
    <t>2019/10/11 12:01:05</t>
  </si>
  <si>
    <t>南京玉恒公司跑路了，我是房东，想收回房屋，有人说不可以，只能找玉恒讨说法……。</t>
  </si>
  <si>
    <t>2019/10/11 12:00:50</t>
  </si>
  <si>
    <t>上海维信荟智金融科技有限公司豆豆钱，在APP平台一共借款55000元，分三笔12期还款，已经归还金额51197，最初借款都有砍头息，再加上利息偏高导致后面还款压力过大，后期还要还款16000多，逾期没还款，就爆通讯录，还群发短信到我通讯录，侵犯了隐私，请相关部门处理该案件，还打电话到我公司找我还款，态度恶劣，要求道歉，取消征信问题，降低还款金额，只归还本金。</t>
  </si>
  <si>
    <t>2019/10/11 12:00:42</t>
  </si>
  <si>
    <t>现在协商一次性结清，他们不肯降低息费，借了28000，已经还了8期，共计12900多，现在结清还要我还22600多，他们不肯降低息费，打他们客服就是一一推脱，他们自己的人都说提前结清他们有提成，现在他们一天推一天就是拖着不给处理，还把所有责任推到我身上，我现在要求和它们协商降低一次性结清费用控制在24%左右。</t>
  </si>
  <si>
    <t>2019/10/11 12:00:29</t>
  </si>
  <si>
    <t>隔三差五就会收到借了呗网贷平台的电话，问认识刘志强吗，我根本不认识这个人，也不清楚为什么有我的电话号，反复说不认识也不行，，我已经报警并记录，但是警方也没有好的措施，我想问下：对待这样的行为，怎么办，你不去找欠钱的人，反过来辱骂骚扰我们这些不知道怎么回事的人，还恐吓辱骂，没天理王法了吗。</t>
  </si>
  <si>
    <t>2019/10/11 12:00:18</t>
  </si>
  <si>
    <t>宜人贷，利息高，砍头息，逾期一天后罚息500多，打电话给家人！借了8万5！要还15万多。</t>
  </si>
  <si>
    <t>2019/10/11 12:00:11</t>
  </si>
  <si>
    <t>指上旅行贷款，3000实际到账2100，而且合同上面写的是一个月一期，后来变成一个月4期，每期还款730，因资金问题，第一期归还给支付宝个人账户200，变相给我变成延期，然后第一期逾期后才收到平台提醒，直接联系我的家人，朋友，干预到正常那个生活，现在工作没法去了，家人也不敢见面，暴力催收，让我整个人都失去了活下去的意义，要求必须给我家人，朋友道歉，并且修改利息！！！！。</t>
  </si>
  <si>
    <t>2019/10/11 12:00:03</t>
  </si>
  <si>
    <t>我在平安易贷贷款，一个平安易贷的业务经理说我需要掏包装费的十个点，审核通过后先给他打1500元，他要交给财务说，1500保证金钱就会到账我没有交1500块钱，然后我就把他删除了，但是钱也没有到账我需不需要每月还款。</t>
  </si>
  <si>
    <t>2019/10/11 12:00:00</t>
  </si>
  <si>
    <t>最近一段时间由于身体原因，资金大量用在周转上，情况十分特殊，闪银所属的哼哼瞬瞬给予延期处理，对方打电话热风冷嘲，态度蛮横，该公司本就有一时困难导致的延期账单服务，为什么不给予执行呢，有录音为证，本来身体欠佳，再加上恐吓，我真是身心难以承受，我绝不推脱属于自己的责任，也烦请你们理解不要恐吓暴力催收给予延期。</t>
  </si>
  <si>
    <t>2019/10/11 11:59:51</t>
  </si>
  <si>
    <t>去年在银谷普惠办理贷款一笔50000，当时业务员告诉利息1分7，8左右，额度也告诉我的是50000，由于当时家里有急事，也太过相信所谓的大公司不会套路，签完合同后也是没有给到纸质合同给我，业务员就说每期的还款在放款卡上扣，就在前几天在我了解到国家法律规定综合年化不得超过百分之24后，才去通过熟人找到了合同，合同金额是68422.86，而实际到我手是50000，分24期，每期还3242.67，现在已还到第11期，这是属于典型的国家静止并打击的砍头息，高利贷行为，现在暂停还款，希望得到合理的解决。</t>
  </si>
  <si>
    <t>2019/10/11 11:59:27</t>
  </si>
  <si>
    <t>海尔消费金融有限公司没有给出合理的解决方式。</t>
  </si>
  <si>
    <t>2019/10/11 11:58:53</t>
  </si>
  <si>
    <t>投诉人 于先生        投诉对象  交易猫        涉诉金额  700 元    问题类型    诉求类型投诉详情  有证据 有视频 给客服发了 好几个 客服要证据要了好几次 证据发了 客服直接把钱退回</t>
  </si>
  <si>
    <t>2019/10/11 11:58:24</t>
  </si>
  <si>
    <t>投诉人王先生投诉对象你我贷涉诉金额504元问题类型诉求类型投诉详情你我贷暴力催收，骚扰第三方，态度恶劣，最后一期账单，昨天到期，给客服说今天处理了，死活不让，让立马处理，还威胁打遍我所有通讯录。</t>
  </si>
  <si>
    <t>2019/10/11 11:57:37</t>
  </si>
  <si>
    <t>借款本金3300实际到账2708.需还共计3600，签合同并无看到此协议，现要求减免或者补齐本金。</t>
  </si>
  <si>
    <t>2019/10/11 11:57:31</t>
  </si>
  <si>
    <t>，7天后还款1200元，因为顺鑫抹除手机导致无法还款，10月10日协商还款本金解锁，10月11日还款本金720希望解锁，可财务却说本金只能销账不能解锁，解锁还差800元，不肯解锁。</t>
  </si>
  <si>
    <t>2019/10/11 11:56:11</t>
  </si>
  <si>
    <t>商家以无货为由更换货品，配送商品与订单金额差异巨大，投诉商家后客服驳回申请。</t>
  </si>
  <si>
    <t>2019/10/11 11:56:01</t>
  </si>
  <si>
    <t>你我贷我借款8000，已经还了6837.93，平台却显示我还有4033.95未还款，！我贷款我认账，但是利息也是要在合理的范围之内啊！这样算是高利贷吧。</t>
  </si>
  <si>
    <t>2019/10/11 11:55:38</t>
  </si>
  <si>
    <t>本人从未申请安亿花平台的网贷，却收到借款申请通过的短信，请问是否有人盗用信息。</t>
  </si>
  <si>
    <t>2019/10/11 11:55:34</t>
  </si>
  <si>
    <t>投诉人 田女士        投诉对象  安亿花        涉诉金额  198 元    问题类型    诉求类型投诉详情  欺诈 各种借口不退 就是骗子 随意扣款 霸王条款</t>
  </si>
  <si>
    <t>2019/10/11 11:55:29</t>
  </si>
  <si>
    <t>退还押金，我还是个学生恳请退还押金，1000块钱虽说不多，可对我们这些学生来说，这一千块就是一个月的生活费伙食费，现在也不知道如何向家里交代，押金就停滞在那里不给退还，请求退还押金，企业在社会上立足的根据就是信誉，消费者对企业的信任比什么都重要，希望不要失信于社会，谢谢。</t>
  </si>
  <si>
    <t>2019/10/11 11:55:24</t>
  </si>
  <si>
    <t>本人与9月3日在山东海联装饰材料的诱导下签订非法合同，支付货款，后来回家才发现被套路，不发货也不退款，直接前些天才告诉我在生产发货，耽误了一个月时间左右，后发现已经多人上当，现在寻求同样受骗者和各大媒体进行曝光。</t>
  </si>
  <si>
    <t>2019/10/11 11:55:18</t>
  </si>
  <si>
    <t>借款之前ｕ钱包没有告之有额外费用，借款确认后也不提供借款合同，刚开始在不知情，未经允许下，胡乱扣保险501.48，就算需要催收，无论是银行还是网贷所有催收短信只能针对本人，完成属于泄漏泄露个人信息，请做出个合理的解释不然这事没完。</t>
  </si>
  <si>
    <t>2019/10/11 11:54:37</t>
  </si>
  <si>
    <t>巨额利息，年利率高达59%！！！要求相关部门严查！。</t>
  </si>
  <si>
    <t>2019/10/11 11:54:34</t>
  </si>
  <si>
    <t>现在想用滴滴打车，但是看到去年打了车，到现在这个费用都在没取消，我记得当时是给了费用的，但是过了这么久了，确实忘了当时给的现金还是手机支付的。</t>
  </si>
  <si>
    <t>2019/10/11 11:54:29</t>
  </si>
  <si>
    <t>聚投诉工作人员你们好，我叫许**，电话1379077****，于2019年9月27号至9月28两天期间，，拼多多平台商户利用拼多多为博彩*提供资金支付通道本身第三方支付就要审核客服的相关信息，第三方支付不得向博彩，证劵期货等提供制度清算业务，作为有牌照的支付公司没有履行国家的法律要求，为违法提供支付通道，作为上市公司对于不良商家不作为拼多多给*博彩*提供充值服务，虚假交易订单号，希望拼多多正面回复，第一时间只能在这里麻烦聚投诉工作人员跟进反馈一下，要求商户退款，被人引诱到一个*充值入金，盈利后平台以系统无法</t>
  </si>
  <si>
    <t>2019/10/11 11:53:52</t>
  </si>
  <si>
    <t>投诉人宋先生投诉对象侬要贷网贷平台涉诉金额398元问题类型诉求类型投诉详情这个软件我我下载过两次，一共扣了我两次费用，每次都扣199，希望能追回我的损失。</t>
  </si>
  <si>
    <t>2019/10/11 11:53:50</t>
  </si>
  <si>
    <t>投诉人缪女士投诉对象玖富涉诉金额50397元问题类型诉求类型投诉详情2019年7月16日在玖富万卡借款70000元24期当时因为创业失败急用钱没注意就直接借款了还了3期总金额15049.74元后发现还欠金额105348.10元24期每期要还5016.58元一共要还120397.92元借款有利息产生是正常的但是玖富万卡的利息已经是变相高利息高利贷创业失败后资金已经十分困难无法承担如此高额利息恳请聚投诉平台帮忙，让玖富万卡做出最大力度的减免，若方案合适能承受，我一定第一时间还款。</t>
  </si>
  <si>
    <t>2019/10/11 11:53:32</t>
  </si>
  <si>
    <t>投诉人谭先生投诉对象新浪分期,新浪支付涉诉金额2880元问题类型诉求类型投诉详情本人于2019年8月11日在新浪分期上申请借款，至今两个月，刚好明天第二期还款日，今天电话联系客服，跟客服说明原因找亲戚朋友借钱来还贷，要求提前结清减免后续利息，结果电话客服叫我跟在线客服协商，但是跟在线客服协商时，在线客服一口咬定不与减免，叫我继续享受分期，我真要享受他们这所谓的分期我还找你协商什么，请贵平台帮忙联系新浪分期，我是确实有困难，想早点脱离网贷这坑，有主动还款意愿，希望他们能适当减免。</t>
  </si>
  <si>
    <t>2019/10/11 11:53:25</t>
  </si>
  <si>
    <t>投诉人 赵先生        投诉对象  钱站,华夏银行        涉诉金额  3 000 元    问题类型    诉求类型投诉详情  我在钱站借款3000 合同上4200 我已经还完本金加国家规定利息 还在骚扰 恐吓 有图片 自己看 比高利贷还要高 希望 严惩</t>
  </si>
  <si>
    <t>2019/10/11 11:53:16</t>
  </si>
  <si>
    <t>充多多购买的网易一卡通，联系客服要求退货退款，对方不同意，要求退货退款，账单消除。</t>
  </si>
  <si>
    <t>2019/10/11 11:53:08</t>
  </si>
  <si>
    <t>12:02:15本人于2019年3.31日在微贷网的多米贷中借款3400元，近期调取个人银行流水时，才发现实际只到账2822元，砍头息竟然扣掉了518.同时查询到本人名下保单中有一个新疆前海联合财产保险股份有限公司的保单，查询后发现是微贷网上借款时投保的，查阅了借款合同，并未在合同中发现写有保险字样的协议，投保人是微贷公司，更特别的是根据我的资料查询出来的保单，里面的被保人竟然是空白，没有我的名字，变成公司保险了，扣我的钱购买保险我自己名下没有任何投保记录，退还多扣我的钱，客服说退还砍头息一直没退一直拖延时</t>
  </si>
  <si>
    <t>2019/10/11 11:52:57</t>
  </si>
  <si>
    <t>收到万达发出的短信，说要起诉，想协商解决，目前经济困难。</t>
  </si>
  <si>
    <t>2019/10/11 11:52:34</t>
  </si>
  <si>
    <t>在本人电话畅通的情况下爆通讯录，360公司就可以凌驾在法律之上，暴力催收吗。</t>
  </si>
  <si>
    <t>2019/10/11 11:52:14</t>
  </si>
  <si>
    <t>投诉人 谭先生        投诉对象  支付宝        涉诉金额  799 元    问题类型    诉求类型投诉详情  就扫了一个二维码 然后莫名其妙被花呗支付扣款了799元 现已报警 反馈给支付宝方面说到时候只能自己还掉花呗 后面没办法 在支付宝中申请了保险理赔 没几分钟就发来结果 告知我无法理赔</t>
  </si>
  <si>
    <t>2019/10/11 11:52:11</t>
  </si>
  <si>
    <t>我已经明确表示明天进行还款，但是他们不同意。</t>
  </si>
  <si>
    <t>2019/10/11 11:52:08</t>
  </si>
  <si>
    <t>信息科技有限公司未经我允许私自从我工商银行账上划走199元，要求退款，不接受无缘故的扣款。</t>
  </si>
  <si>
    <t>2019/10/11 11:52:06</t>
  </si>
  <si>
    <t>百事普惠app上申请借款，填写资料绑定银行卡，结果没有成功就卸载了！没想到就被扣了50块钱！希望能退回，谢谢。</t>
  </si>
  <si>
    <t>2019/10/11 11:51:55</t>
  </si>
  <si>
    <t>逾期费200，晚上系统维护，无法还款，要求客服给解释，官方客服一直无人接电话，只有催收打电话让还款，解释说公司就是这样规定的，你找客服没用，现在让你还钱你就得还，不停打电话骚扰，威胁说按流程给亲朋好友打电话，逾期费不给解释清楚只要求还清本金+利息+逾期费，，现在要求官方给出逾期费的合理之处以及道歉和补偿损失，催收电话135******75。</t>
  </si>
  <si>
    <t>2019/10/11 11:51:36</t>
  </si>
  <si>
    <t>投诉人 李先生        投诉对象  Wecash闪银        涉诉金额  6 000 元    问题类型    诉求类型投诉详情  实在压力大。还不起了，希望平台能够协商一下</t>
  </si>
  <si>
    <t>2019/10/11 11:51:23</t>
  </si>
  <si>
    <t>在小花钱包的分期贷款，由于资金原因逾期2天未还，催收人员威胁爆通讯录，要找单位，亲朋催收，是不想给欠款人过滤了吗。</t>
  </si>
  <si>
    <t>2019/10/11 11:51:09</t>
  </si>
  <si>
    <t>本人在招联金融有一笔贷款，因为本人前几个月身体原因没上班，导致没收入，款项逾期，我本着好好协商的态度接听催收电话，哪知道催收不但态度恶劣，而且上来就说威胁联系家人单位，就算我说下午还款也不行，这是协商吗，每次都是打着友好协商的幌子，上来就各种威胁，这样有意思吗。</t>
  </si>
  <si>
    <t>2019/10/11 11:50:29</t>
  </si>
  <si>
    <t>借款实力到账1000元，可是合同上却写着1690元，而且还电话威胁要骚扰我的家人亲朋好友。</t>
  </si>
  <si>
    <t>2019/10/11 11:50:13</t>
  </si>
  <si>
    <t>投诉人 施先生        投诉对象  交通银行        涉诉金额  0 元    问题类型    诉求类型投诉详情  请别再打电话给我，骚扰我，影响我工作了。</t>
  </si>
  <si>
    <t>2019/10/11 11:49:51</t>
  </si>
  <si>
    <t>还剩最后三期每一期还款348元最后三期共计1044元。</t>
  </si>
  <si>
    <t>2019/10/11 11:49:40</t>
  </si>
  <si>
    <t>借款15000元，分24期，每期1225元，应还款25800，可本人却实际总还款29400.多还款3600元，玖富工作人员却还坚称利率合规，诉求退还多还的3600元。</t>
  </si>
  <si>
    <t>2019/10/11 11:49:36</t>
  </si>
  <si>
    <t>京东白条总未还金额2038.96元，本人近期因经济问题无力偿还，并且已经逾期。</t>
  </si>
  <si>
    <t>2019/10/11 11:49:35</t>
  </si>
  <si>
    <t>上一年的时候申请银码头，结果未经过我的允许扣了我299元，刚才看到这样的情况可以投诉退款，希望能追回。</t>
  </si>
  <si>
    <t>2019/10/11 11:49:29</t>
  </si>
  <si>
    <t>这个公司是拼多多代运营，我的店铺交给他们打理，签了1个月的合同1500，工作人员帮我弄，我给了他子账号后，他给弄了三天左右，只是上架2款商品，增加几个访客再也没动静，他发的方案都没有执行，就给店铺加了几个访客，然后跟他说话再也不理，9月23号定的，到现在10.10号也不回话，我报警当地110，110给他打电话，他说是回家结婚去了，但是此人如果真结婚，婚期早就定了，那么9.23号运营了三天，剩下的应该交接给别人而不是不理睬，我跟他微信说话，这个人从来不理我，不回复，相当于1500白交了，口口声声帮代运营结果却</t>
  </si>
  <si>
    <t>2019/10/11 11:49:19</t>
  </si>
  <si>
    <t>恶意骚扰通讯录好友，对本人名誉造成严重损失！。</t>
  </si>
  <si>
    <t>2019/10/11 11:49:10</t>
  </si>
  <si>
    <t>我借了1400，还款2000，我现在总共还款了2600。</t>
  </si>
  <si>
    <t>2019/10/11 11:49:05</t>
  </si>
  <si>
    <t>本人买房去银行打征信发现有一笔2019年3月27号在一家叫“重庆两江新区盛际小额贷款有限公司”的52300借款，并且是分17期按月还，我经过多方查找才知道是京东金条的借款，更可笑的是，我京东金条的总额度才36000，哪里有52300的借款，并且我欠金额只有22040元，我2019年3月27日只借款10000元，并且已经还清，跟客服沟通，客户认为他们这样做是对的，并没有做错，本人在实在没有把办法的情况下，特来投诉，忘能沟通史被投诉方申请取消投诉方的虚假征信记录。</t>
  </si>
  <si>
    <t>2019/10/11 11:48:59</t>
  </si>
  <si>
    <t>投诉人梁先生投诉对象现金巴士涉诉金额1300元问题类型诉求类型投诉详情高利贷，砍头息，恐吓，客服不与协商，一天十块钱利息。</t>
  </si>
  <si>
    <t>2019/10/11 11:48:55</t>
  </si>
  <si>
    <t>1、本人十几年前使用原手机号码申请了网易邮箱，目前邮箱本人正在正常使用；而原使用的号码现已通过通讯商二次放号后由他人使用了，本人的邮箱安全面临严重威胁，亟待解决！2、目前本人已经提供了现有账号密码，身份证证件号码，身份证照片，注册手机号码，常用使用地，大致注册日期等；3、经过多次申请，都无法通过申诉验证，，没有明确成功更改安全手机号的流程，仅仅只是获取一堆个人私密信息，而且没有人工客服，涉嫌套取个人隐私；4、申诉过程中恶意引导用户使用网易其它产品，而且其它账号申诉区别对待，比如网易游戏账号、VIP邮箱账号、</t>
  </si>
  <si>
    <t>2019/10/11 11:47:51</t>
  </si>
  <si>
    <t>2019年1月11号借款4500，目前已还清4588.56，还剩1529.52。</t>
  </si>
  <si>
    <t>2019/10/11 11:47:03</t>
  </si>
  <si>
    <t>一个叫奇美科技，一个叫惠民益贷，二个电话暴力骚扰的网络高利贷，说让放贷人员私下加微信转账放贷，。</t>
  </si>
  <si>
    <t>2019/10/11 11:46:59</t>
  </si>
  <si>
    <t>1.忽悠付费后才签合同，没有自主选择，被迫消费，2.合同中的条款与红娘说的保证的情况不一致，这是欺诈，欺骗我签合同，签订合同后红娘就不再和我联系，说好的手里有资源帮忙介绍，可是后续就没有进展了，而且说按我提供给她的信息每天进行推荐，可是推荐的人选和要求匹配度极低，百合售后打电话问使用情况，不只一次反应此问题，但是没有解决，昨天再打电话的时候我说要申请取消服务，对方售后说这不归她们管理，让我和之前联系我缴费的人员联系，发微信给之前的百合人员，对方不回复，但是她的微信朋友圈却一直在更新，希望可以通过平台尽快帮忙</t>
  </si>
  <si>
    <t>2019/10/11 11:46:58</t>
  </si>
  <si>
    <t>2019年10月10号申请米米罐金额1000，当时前期需要购买征信报告费用300不到，我没支付，我勾选到期支付，次日到账1000，还款是下月9号，账单显示需要还款1523元，其中1000利息是30，剩下的493是征信报告金额，前期买需要支付300不到，后面就要支付493。</t>
  </si>
  <si>
    <t>2019/10/11 11:46:36</t>
  </si>
  <si>
    <t>并且赔偿当事人损失在本人没有任何操作的情况下，在本人没有任何操作的情况下 扣款299元 多次投诉 最后客服打电话来告诉退款299 要求撤诉 撤诉以后 依旧没有退款 我看到平台上很多人都有这种情况 强烈要求严惩银小借这样的APP 并且赔偿当事人损失在本人没有任何操作的情况下 扣款299元 多次投诉 最后客服打电话来告诉退款299 要求撤诉 撤诉以后 依旧没有退款 我看到平台上很多人都有这种情况 强烈要求严惩银小借这样的APP 并且赔偿当事人损失。</t>
  </si>
  <si>
    <t>2019/10/11 11:46:04</t>
  </si>
  <si>
    <t>我的兴业信用卡逾期三个多月，卡片额度为3万，由于逾期，所以现在总欠款大约3万6千元，前前后后也还了差不多两万元，其中上个月还了1万5，现在银行那边还泄漏给了第三方，两个不同的催收公司联系我，有一家是说给我减免，只还本金2万8，我9月份还了1万5，还剩余1万3千元，由于我能力有限所以拖欠到至今，这几天又有其他的催收部门给我来电说要还钱，让我还2万1，之前的减免不能给了，我现在只想他们银行履行减免承诺，让我还剩余的1万3！银行客服电话打了也没用，只会推给催收公司！希望总行那边给我来个电话直接协商！银行明明说可协</t>
  </si>
  <si>
    <t>2019/10/11 11:45:07</t>
  </si>
  <si>
    <t>已经和豆豆钱客服沟通，说好第二天回复，现在豆豆钱客服不跟进。</t>
  </si>
  <si>
    <t>2019/10/11 11:45:05</t>
  </si>
  <si>
    <t>投诉人 于先生        投诉对象  平安普惠        涉诉金额  150 000 元    问题类型    诉求类型投诉详情  利息隐瞒 利息非常高 我感受到上当受骗欺负老百姓 骚扰催收，还款前不断打电话催收 骚扰通讯录里的亲人和朋友 哪个位组织个集体起诉 与我联系我也参与</t>
  </si>
  <si>
    <t>2019/10/11 11:44:53</t>
  </si>
  <si>
    <t>助八借app上申请借款，填写资料绑定银行卡，结果没有成功就卸载了！没想到晚上就被扣了33块钱！希望能退回，谢谢。</t>
  </si>
  <si>
    <t>2019/10/11 11:44:10</t>
  </si>
  <si>
    <t>投诉人 孔孔秀琴        投诉对象  捷信金融        涉诉金额  18 300 元    问题类型    诉求类型投诉详情  捷信第三方公司打电话说要上我村里调查 起诉我 先跟我说一声别到时候出了什么事 还告诉我下午不给她打电话就直接去村里 第三方公司怎么那么牛逼那 还敢上门黑社会啊你 希望第三方公司不要在打电话给我 我跟捷信协商就行了</t>
  </si>
  <si>
    <t>2019/10/11 11:43:54</t>
  </si>
  <si>
    <t>投诉人 边女士        投诉对象  达龙云电脑        涉诉金额  39 元    问题类型    诉求类型投诉详情  协商一下退款 我这充值了没法用 玩游戏效果太差</t>
  </si>
  <si>
    <t>2019/10/11 11:42:37</t>
  </si>
  <si>
    <t>钱端APP利用招商银行做宣传，理财到期不赔付。</t>
  </si>
  <si>
    <t>2019/10/11 11:42:33</t>
  </si>
  <si>
    <t>原畅快车贷现改名畅快&amp;nbsp;&amp;nbsp;&amp;nbsp;本人借快款4000元分12期还&amp;nbsp;&amp;nbsp;合同上利率是月利率0.75%&amp;nbsp;&amp;nbsp;&amp;nbsp;但是收取了1232的管理费&amp;nbsp;&amp;nbsp;&amp;nbsp;&amp;nbsp;分摊到6个月收取&amp;nbsp;&amp;nbsp;&amp;nbsp;现在我还了6期&amp;nbsp;&amp;nbsp;&amp;nbsp;还的金额是3330元&amp;nbsp;&amp;nbsp;&amp;nbsp;但是app显示只还了本金不到两千元&amp;nbsp;&amp;nbsp;其他都是利息&amp;nbsp;&amp;nbsp;&amp;nbsp;</t>
  </si>
  <si>
    <t>2019/10/11 11:42:09</t>
  </si>
  <si>
    <t>超过了7日不允许退学，提出霸王条约，刚开始说帮我申请，申请又变成了要走流程要花些时间，然后又变成了无理由退学，不符合协议要求，后面又让我降班，今天又让我交百分之25的注册费才能退学。</t>
  </si>
  <si>
    <t>2019/10/11 11:42:06</t>
  </si>
  <si>
    <t>10月1日，我在聚福钱包申请借款，注册好以后，聚福钱包平台第一步让我评估信用，平台里有两个选项，第一个选项是小银卷支付，第二个选项是现金支付，当时我选的是小银卷支付，完成评估后我的银行卡里被无故扣走299元，聚福钱包利用信用评估的方法，误导消费者并产生费用，多次向该平台申请退款无结果！聚福钱包客服要求先撤诉，截图发给他们，在经过审核才能退款，审核时间也没有明确的工作日期限，希望聚投诉能给消费者维权！。</t>
  </si>
  <si>
    <t>2019/10/11 11:42:03</t>
  </si>
  <si>
    <t>投诉人 刘女士        投诉对象  拍拍贷        涉诉金额  10 000 元    问题类型    诉求类型投诉详情  想一次性还款，不给协商，不按正常利息算。威胁走催收流程。爆通讯录。</t>
  </si>
  <si>
    <t>2019/10/11 11:41:53</t>
  </si>
  <si>
    <t>快闪卡贷，恶意修改还款日期，第一个月是16号还款，第二个月是15号还款，这个月是14号就要还款，逾期一天罚50，爆通讯录。</t>
  </si>
  <si>
    <t>2019/10/11 11:41:33</t>
  </si>
  <si>
    <t>声称广州银行信用卡中心恶意骚扰个人及个人工作生活等方面并涉及还款金额虚报夸大要求本人还款，涉及金额与银行查询后不一样。</t>
  </si>
  <si>
    <t>2019/10/11 11:41:27</t>
  </si>
  <si>
    <t>10月4日在360同城帮二手优品购买一台手机，使用过程中发现手机质量问题，现已经寄回换货处理，但客服一直不予理会，恶意拖延时间，没有及时处理该问题，也没有寄回新手机给我使用。</t>
  </si>
  <si>
    <t>2019/10/11 11:40:32</t>
  </si>
  <si>
    <t>聚富分期当时申请的时候有个信用评估，到我当时用的是白条，也不知道他提前会扣款，页面上也没有说明，然后过了几天突然收到条短信，说我被聚富分期扣了100元，然后我就给客服打电话，说让我申请5个贷款，并且不通过才会给我退，这不是连环套路贷么，并且不通过才会退款，，好，我忍了，我后来去申请的时候都没有窗口了，，退也没办法退，这不是睁眼说瞎话么，现在求给我个解释，并做出赔偿，不然我会投诉到底，。</t>
  </si>
  <si>
    <t>2019/10/11 11:40:29</t>
  </si>
  <si>
    <t>自从去年购买过该公司产品后一直变着号码打过来骚扰，每次都以了解情况为主，推销产品为次，甚至一直推销自称专业的营养师，顾问，很烦，每次都口口声声说已经删除了我的信息或会帮我备注不再致电，三天两头就打电话来，烦不烦啊，产品没效果就算了，还一直骚扰人。</t>
  </si>
  <si>
    <t>2019/10/11 11:40:22</t>
  </si>
  <si>
    <t>在上海拍拍贷借款4240元，分9期，正常还款5期，前三期分别630多，后两期560多，先逾期4期，要求偿还3600多，工作人员和我联系可以免除逾期费用，按每期560.27还完最后4期，共2241.08元，现出尔反尔，要我还2850元才能结清，请问这就是你们工作人员的态度吗，还发信息骚扰我家人，你们这算什么，不是你们有录音，我也有，你们工作人员之前是怎么和我说的，我这都有录音。</t>
  </si>
  <si>
    <t>2019/10/11 11:39:35</t>
  </si>
  <si>
    <t>，本人于4月9号借款14322.55元人民币，但是合同上写的是19040.00元人民币，实际到账却是14322.55元人民币，高达将近5000元的砍头息，，而且每期需要还1978.66元人民币，总计需要还23744.04元人民币，这是明目张胆的无视国家法律进行高额砍头息高利贷，该还的钱和正常利息我一点不会差，但是其余高额的砍头息利息我不会支付，在此我要求钱站去除不合法的利息，调整至合法还款钱数。</t>
  </si>
  <si>
    <t>2019/10/11 11:39:17</t>
  </si>
  <si>
    <t>不停的电话，语气凶狠，一说什么就开始辱骂，到底还有没有人管了！爆通讯录侵犯隐私！投诉了都没用！严重影响生活！！。</t>
  </si>
  <si>
    <t>2019/10/11 11:38:27</t>
  </si>
  <si>
    <t>今协商还款只还本金，拍拍贷之前一直恶意打电话给亲戚朋友，如果拍拍贷可以协商还本金加微信wang1106503798.。</t>
  </si>
  <si>
    <t>2019/10/11 11:38:21</t>
  </si>
  <si>
    <t>借款本金明明是28300元，为什么合同上借款本金是49700元，这是变相收费，我只借了28300元，为什么要我还58400元，。</t>
  </si>
  <si>
    <t>2019/10/11 11:38:16</t>
  </si>
  <si>
    <t>未经过我的允许，直接扣了我银行卡里面的299元，分了三次扣的，也不退给我。</t>
  </si>
  <si>
    <t>2019/10/11 11:38:08</t>
  </si>
  <si>
    <t>在今年3月份的时候在SOR祛痘普宁连锁店做了祛痘然后在小乔优选app平台分期了2次，金额为14962元，利息费用为962.58元，合计15924.58元，每期都按时还款，9月的时候平台也不知道app出现了什么问题钱还不进，我怕影响我的信誉，联系商家跟客服然后全数按客服跟商家引导转到指定的账户结清款项了，点开app显示我逾期了……联系客服不回复，商家说只能等，现通过聚投诉进行投诉，希望得到帮助，谢谢！。</t>
  </si>
  <si>
    <t>2019/10/11 11:38:04</t>
  </si>
  <si>
    <t>本人在2016年12月25号用个人保险线单在我们当地平安公司带了6万元的款，贷了36期，现已还了31期，当时六万元到账了58000元，剩余的两千说是扣除的服务费，我也知道，当时他们也在强调说款项会越还越少，可到现在一分也没少，而且最近我才知道每月还进来的2863元当中有好几百元的服务费和保险费，我就想知道为什么要从我们身上扣除保险费来给平安普惠获得利益呢，还有每个月的服务费，给我服务什么了，这都是不合法权益的，我现在严重投诉他们平台多收的服务费还有保险费，强烈要求他们公司给我退保费。</t>
  </si>
  <si>
    <t>2019/10/11 11:37:37</t>
  </si>
  <si>
    <t>投诉人董女士投诉对象捷信金融涉诉金额60000元问题类型诉求类型投诉详情本人于2018年5月4号在捷信金融贷款60000，分60期每期还1862，到现在已经还了17期还了31000多，现在提前还款还要还50000多，等于才还了9000的本金，利息高达22000多，太可怕了，如果按期还得还110000多，已经完全打乱了我的正常生活，想请你们平台帮帮我。</t>
  </si>
  <si>
    <t>2019/10/11 11:37:28</t>
  </si>
  <si>
    <t>本人在先花一亿元借款2000元，收取前期测评费360元，然后放款到第三方存管江西银行，要求5天内必须提现，但是由于本人此卡片已经注销，竟然放款成功，但钱我根本没拿到，存于第三方账户，说此账户里面有钱，绑定卡片就不能在app解绑更换，需要填写申请表，拍照拍身份证拍本人，还有截图再递给先花一亿元由其转给银行，弄完说要7到15个工作日，那也就是说这个钱我还没拿到就被撤销了，我前面被砍了360测评费白花了，我跟客服说这弄完不白费了嘛，要不撤回款项，她说撤回不了，但是5天内不提现就会取消借款，这钱就回去了，我换绑都得</t>
  </si>
  <si>
    <t>2019/10/11 11:37:26</t>
  </si>
  <si>
    <t>投诉人 刘先生        投诉对象  百事惠普        涉诉金额  50 元    问题类型    诉求类型投诉详情  恶意扣除我银行卡50元。本人不知情，马上给我退款！！！！！</t>
  </si>
  <si>
    <t>2019/10/11 11:37:15</t>
  </si>
  <si>
    <t>7月份在钱站app上申请了一笔2000元贷款，今天无意间发现这个中吉担保竟然与这个高利贷公司合作。</t>
  </si>
  <si>
    <t>2019/10/11 11:37:11</t>
  </si>
  <si>
    <t>首先，我承认我在京东白条的账单逾期比较久这是我错在先是我的责任，但是我真的不是恶意去拖欠，我在这里给京东金融说一声对不起，我也知道逾期这么久对我的严重性，催收人员联系我之后我也一直在想办法去筹钱尽快把逾期拖欠部分尽快还清，但是由于我上班的公司资金出了问题，影响了我还款，经过几次协商京东金融不能抱着协商跟相互理解的态度一直在给我施压，现在京东金融外包催收以上门了解情况为由打电话威胁我，他们将会协同我村委会还有公安一起到我家了解情况，要求我全额偿还所有账单，可是我现在身上连生活费都没有，连生存都传在困难，我现在</t>
  </si>
  <si>
    <t>2019/10/11 11:37:07</t>
  </si>
  <si>
    <t>招联金融滥用司法机关名义进行催收，损害国家机关形象。</t>
  </si>
  <si>
    <t>2019/10/11 11:36:54</t>
  </si>
  <si>
    <t>6月21日提交1000元押金退款申请，平台显示要等待15个工作日，8月1日客服说会进行加急处理，并且可以在APP里看到加急处理的状态，但是这么多天过去里，押金仍然没有退款，在APP里也没有加急处理的状态，盼达出行的客服明显在进行敷衍，已经三个月了一直不给退款！。</t>
  </si>
  <si>
    <t>2019/10/11 11:36:43</t>
  </si>
  <si>
    <t>王者钱包借款1240元5天利息高达768元。</t>
  </si>
  <si>
    <t>2019/10/11 11:36:36</t>
  </si>
  <si>
    <t>投诉人 彭先生        投诉对象  你我贷        涉诉金额  1 800 元    问题类型    诉求类型投诉详情  协商减免后还款。催收直接删除了联系方式。差不多快半个月了。账单也没消除。也没结清。问客服。客服说还需要把剩下的结清才能够消除账单。</t>
  </si>
  <si>
    <t>2019/10/11 11:36:33</t>
  </si>
  <si>
    <t>钱站借款到账2000元，合同金额却是3260元，多出1260元作何解释，同时还款日当天短信电话多次骚扰，逾期一天却是60多的逾期费，真是黑心高利贷，然而宝付支付跟华夏银行为其提供放款收款通道，要求赔偿不合理费用！。</t>
  </si>
  <si>
    <t>2019/10/11 11:36:31</t>
  </si>
  <si>
    <t>2019-9月因为缺钱所以借了360借条，第一次使用没看清提前还款要收取12期的利息，这属于高利贷了，还到现在早就应该还好了，后续因为实在紧缺，借了一些，也都按时还了，现在想提前全部结清，调整利率。</t>
  </si>
  <si>
    <t>投诉人俞先生投诉对象火影帮涉诉金额1919元问题类型诉求类型投诉详情套路贷，高额砍头息，高额利息，虚假宣传，借款1900才到账1387。</t>
  </si>
  <si>
    <t>2019/10/11 11:36:25</t>
  </si>
  <si>
    <t>，每月还款3403目前为止已经还款27期从未逾期，去年钱站工作人员打电话过来让我提前结清借款说只需还3万左右就可结清了，当时没有结清又还了一年多还了快四万块，现在还差九个月到期我想结清什么服务费利息加起来还要两万五千多，多次联系他们客服解决问题推托，该平台变向收取服务费用，高利率其实就是砍头息。</t>
  </si>
  <si>
    <t>2019/10/11 11:36:14</t>
  </si>
  <si>
    <t>投诉人全女士投诉对象小牛在线涉诉金额5435元问题类型诉求类型投诉详情本人于2019年6月24日购买小牛在线优享牛三个月可转产品，现已到期，平台一直以帮撮合转让为由，无期限转让，是不是没有人购买我就一直无法回款。</t>
  </si>
  <si>
    <t>2019/10/11 11:36:03</t>
  </si>
  <si>
    <t>于10月7日晚上交易一笔38930款未到账，联系代理商，代理商说晚上11点到12点交易的要T2到账，10月9号的时候到账15258.87，联系到服务商，就是关联商户轧差，轧差后的金额就是15258.87，问他们两万多去哪里了，他们就回复说查不到！这也太夸张了，我严重怀疑瑞银信变相坑商户的钱，因为涉案金额比较大，本人比较着急，请求帮忙加急处理，谢谢！。</t>
  </si>
  <si>
    <t>2019/10/11 11:35:41</t>
  </si>
  <si>
    <t>速想购,挖财财米,湖南贝佰网络信息科技有限，本人通过微信公众号速想购借款金额3000，分3个月还款，每个月还1220.8，总计是3662.4，利息高达662.4，其中300多元是捆绑销售保险，超出国家规定合规利息，现还最后一期无力偿还，想协商还款，请聚投诉帮忙解决。</t>
  </si>
  <si>
    <t>2019/10/11 11:35:33</t>
  </si>
  <si>
    <t>本人于18年1月借了马上金融19000，分24期还款，前期一共还了14期，每期约1475，后因工作问题逾期，逾期后马上金融各种电话骚扰，恐吓，辱骂本人及家人，。</t>
  </si>
  <si>
    <t>2019/10/11 11:34:07</t>
  </si>
  <si>
    <t>豹子贷,上海造艺网络科技,造艺网络科技,银码头，不经过同意直接扣钱，而且还不退款，找客服也没用。</t>
  </si>
  <si>
    <t>2019/10/11 11:34:05</t>
  </si>
  <si>
    <t>投诉人周女士投诉对象我来贷涉诉金额1200元问题类型诉求类型投诉详情每天发信息，打电话骚扰我的亲人朋友，恐吓威胁我。</t>
  </si>
  <si>
    <t>2019/10/11 11:33:53</t>
  </si>
  <si>
    <t>催收公司添加个人微信，利用个人信息恐吓威胁。</t>
  </si>
  <si>
    <t>2019/10/11 11:33:42</t>
  </si>
  <si>
    <t>投诉人张先生投诉对象咖回收涉诉金额3500元问题类型诉求类型投诉详情本人于9月14号双方通过添加咖回收的姚启元微信，通过微信方式拍照，录制是频双方确认没问题的情况下，当着顺丰快递员的面寄出，并且以3500元的回收价格回收，对方先支付了1500元，在收到电脑后以各种无理理由进行压价不支付尾款，不按之前对本人承诺的价格付款，欺骗诱导客户，套路，回收惯用套路，希望有关监管部门能管一管，并且帮忙要回尾款，这种行为已经侵犯到了我个人利益，谢谢本平台，。</t>
  </si>
  <si>
    <t>2019/10/11 11:33:33</t>
  </si>
  <si>
    <t>1.由于个人原因导致百度有钱花逾期，期间承诺过还款，但是由于款项被浦发及招联金融强制划扣，无法正常还款，现威胁恐吓上第三方催收，2.现预计10-15左右工资到账能处理部分欠款，希望百度有钱花能帮忙协商还款，本人是有意愿还款的，只是现在经济实力无法一次性结清3.当时办理有钱花的时候提示该额度为循环额度，但是实际还款却并非循环，百度方面虚假广告，误导消费者。</t>
  </si>
  <si>
    <t>2019/10/11 11:32:59</t>
  </si>
  <si>
    <t>和信非法打爆通信录联系人，至家父心脏病发做入院抢救，和信贷年利率高达57.1%希望政府介入停止骚扰。</t>
  </si>
  <si>
    <t>2019/10/11 11:32:58</t>
  </si>
  <si>
    <t>高利贷，借款4200，还款6000多，恐吓，辱骂亲戚。</t>
  </si>
  <si>
    <t>2019/10/11 11:32:26</t>
  </si>
  <si>
    <t>合同金额82900，到手金额55000，已还35480.25每月还款2729.25，因为无力尝还，家里已经出面协商结清，并且擅自爆本人通讯录骚扰周围人及工作单位，已至本人辞退，强烈要求停止骚扰并赔偿，并协商偿还本金，。</t>
  </si>
  <si>
    <t>2019/10/11 11:31:46</t>
  </si>
  <si>
    <t>3月23日，在凡普信借款45000元，最后发现合同上显示是72600，想问这些多出来的是什么，我也没到账，当时分了36期，第一期还款金额是2114.59元，剩余35期每期是2390.15元，合计三年下来还款金额是85769.84‬元，除去本金45000元，多还40769.84元，10月11日沟通提前还款，客服说还需要还37069.34，不接受协商。</t>
  </si>
  <si>
    <t>2019/10/11 11:31:43</t>
  </si>
  <si>
    <t>好借易卡管家未经本人同意的情况下，任由他人在我本人不知情的情况下，单凭本人身份证号，交钱查询本人网贷情况，严重影响本人日常生活工作，请好借易卡管家立刻停止他人查询本人网贷情况。</t>
  </si>
  <si>
    <t>2019/10/11 11:31:42</t>
  </si>
  <si>
    <t>本人在小花钱包借款55000元，累计还款共接近10万元，高利贷，砍头息，逾期一天就爆通讯录，各种给亲朋好友打电话，辱骂亲朋好友，暴力催收，骚扰，先想申请一次性还款，还合法利息，一直联系不到客服，之前客服说好的协商解决也一直没有解决，恳请平台帮忙解决！本人本着愿意归还欠款和合法利息的意愿主动请求协商！而不事暴力催收，侵犯他人隐私，损害他人名誉！。</t>
  </si>
  <si>
    <t>2019/10/11 11:30:54</t>
  </si>
  <si>
    <t>来自025-69071838的第三方催款公司的中信信用卡一直打电话。</t>
  </si>
  <si>
    <t>2019/10/11 11:30:36</t>
  </si>
  <si>
    <t>投诉人 刘先生        投诉对象  微博借钱        涉诉金额  15 000 元    问题类型    诉求类型投诉详情  希望能好好协商还款，欠债还钱天经地义。我希望能好好协商，而不是威胁上门这些</t>
  </si>
  <si>
    <t>2019/10/11 11:30:30</t>
  </si>
  <si>
    <t>未经本人允许私自扣除看病资金，本金也显示有还款记录。</t>
  </si>
  <si>
    <t>2019/10/11 11:30:24</t>
  </si>
  <si>
    <t>三个月内联系接到三次捷信消费金融有限公司的催收电话态度恶劣，今天又接到找一个叫王锦伟的男性，来电号码为0731-82700056，之前的忘了，有保留录音，对于这个情况本人表示很无语，之前就无缘无故有收到捷信公司的催收电话，但是本人又没有在捷信办过任何贷款，凭什么一而再再而三的骚扰。</t>
  </si>
  <si>
    <t>2019/10/11 11:30:08</t>
  </si>
  <si>
    <t>借1800，三个月连本带息3000，开始看不到还款协议，钱下来后让还这么多，到还款日APP又打不开，不知道咋还。</t>
  </si>
  <si>
    <t>2019/10/11 11:29:16</t>
  </si>
  <si>
    <t>本人因工资发放时间推迟到15号，之前都是和招联协商还款时间！前几期都是16号还款！对方也是理解帮忙备注！今天一个女催收态度恶劣说宽限期2天叫嚣着后天中午12点款！不然怎么怎么！我每期协商还款是不还了还是怎么了！轮得到你一催收来威胁骚乱，最可笑之前一个电话她说是机器人！那我提出协商还款时间机器人电话还可以回答我话，叫和催收协商！你牛逼吹得这么有水平，之前在还款下骚扰家人我都么追究！这次怎么又要威胁骚扰是吗！不报警不银监会投诉看来是不行！。</t>
  </si>
  <si>
    <t>2019/10/11 11:29:09</t>
  </si>
  <si>
    <t>客服你们好，我叫张倩，是一个开超市的，2019年3月初发现微信零钱被无故冻结，微信里边还有8082元没法提现，这是我进货的钱无缘无故给我冻结，我寻求微信客服很多次都没有解决这个问题，我也不知道是什么原因冻结我的资金，我一个开超市的也不容易，我想请求你们帮我解决，拜托你们了。</t>
  </si>
  <si>
    <t>2019/10/11 11:29:08</t>
  </si>
  <si>
    <t>投诉人 林女士        投诉对象  拍拍贷        涉诉金额  4 000 元    问题类型    诉求类型投诉详情  拍拍贷利息就是高利贷。欠160，四天后200多国家允许了么。</t>
  </si>
  <si>
    <t>2019/10/11 11:29:05</t>
  </si>
  <si>
    <t>你我货催收，打电话威胁要上征信，早上打电话都说下午处理，还要打通讯录，说上征信了，微信支付宝都不能用，态度凶很。</t>
  </si>
  <si>
    <t>2019/10/11 11:29:01</t>
  </si>
  <si>
    <t>拍拍贷现在无视国家法律太厉害了，还上门第三方催收，呵呵！来吧！我就先问问你们总裁胡宏辉有那么大权力吗，上门来吧！还恐吓，非得往死里逼，可以，来吧！上门吧！还重复投诉，呵呵！钱不还了，老懒怎么了。</t>
  </si>
  <si>
    <t>2019/10/11 11:28:55</t>
  </si>
  <si>
    <t>投诉人 高女士        投诉对象  微粒贷        涉诉金额  16 000 元    问题类型    诉求类型投诉详情  微粒贷私自将本人微信号冻结三次 威胁恐吓 严重影响正常生活</t>
  </si>
  <si>
    <t>2019/10/11 11:28:36</t>
  </si>
  <si>
    <t>本人10月10日在去哪儿网下单订了厦门宸洲洲际酒店，共860元，早上去酒店办理入住说没房，我就跟酒店客服联系，要求取消订单，酒店客服说要打电话去哪儿网协商，如果对方同意就可以取消，我电话联系去哪儿网，去哪儿推脱说酒店不同意取消，所以无法取消，我都没办理入住，怎么不能取消。</t>
  </si>
  <si>
    <t>2019/10/11 11:28:19</t>
  </si>
  <si>
    <t>当时说房子押一付一，合同起签一年，住满三个月退押金，在我们交过房租押金之后，还有管理费一天一块一次交清365元，然后让我们签一个公众号平台，叫应花分期，只是说这个平台每个月按时扣房租的，比较方便，当时并不知道是贷款的，办理完之后才知道，诱导我办理这个业务，我以为是分期付款给公寓的公司，他们也不讲清楚，实际上，是从应花分期一次性贷款付清了公寓的房租，每个月实际上是付钱给应花分期这个贷款公司，公寓的中介公司以我的名义他们一次性拿到了全部的房租住满三个月后因要换地方发展，找他们退房子退押金，他们说合同期未到，提前</t>
  </si>
  <si>
    <t>2019/10/11 11:28:18</t>
  </si>
  <si>
    <t>高利贷利息，要求协商利息，已经超出国家规定利息。</t>
  </si>
  <si>
    <t>2019/10/11 11:27:12</t>
  </si>
  <si>
    <t>停止对本人申请期间未提供过的联系人进行骚扰，对本人前几次已经还了的所谓购物额度给我寄过来，借2000一个月的利息最少560元，其中有500元是所谓的购物，但是我从来都没有收到过任何物品。</t>
  </si>
  <si>
    <t>2019/10/11 11:27:04</t>
  </si>
  <si>
    <t>投诉人 方亮        投诉对象  钱站,华夏银行        涉诉金额  6 000 元    问题类型    诉求类型投诉详情  借6000块 合同上却是7980 然后问客服还说是什么首期服务费还有担保费 加起来分六期要还11000出头</t>
  </si>
  <si>
    <t>2019/10/11 11:27:01</t>
  </si>
  <si>
    <t>本人于2019年4月10日在快闪卡贷操作了一笔贷款，那么我请问凭什么我出钱买的保险受益对象是快闪卡贷，保险内容就是万一我还不起款，保险公司可以赔偿快闪卡贷，合计需偿还金额为14443.26元，6个月合计利息为4342.1元，远超过国家规定的一年36%利息！，本人已经偿还5期，剩最后一期，致电客服要求减免协商，态度恶劣！！要求道歉，减免所谓的保险费，拒绝套路贷！！！。</t>
  </si>
  <si>
    <t>2019/10/11 11:26:55</t>
  </si>
  <si>
    <t>云闪付为正信在线提供充值通道，请求退回钱财。</t>
  </si>
  <si>
    <t>2019/10/11 11:26:23</t>
  </si>
  <si>
    <t>货拉拉去年我充值388元.之后我消费了113元.还有275元在货拉拉APP上.我想退钱.但是没有退钱的窗口.只能拨打客服电话进行退款.但是对方说不可以退.今年我在微信公众号.联系承诺3天可以退现在是改变了20工作日退.说话不算数.而且就像小黄单车一样.如果平台倒闭了.APP的钱就要不回来了.而且金额都是大金额.可以充值10000元.消费几十块钱.到时候公司倒闭了拿钱走人了怎么办.。</t>
  </si>
  <si>
    <t>2019/10/11 11:26:22</t>
  </si>
  <si>
    <t>9月26日拍下，9月28日商家点击发货，但是一直到10月8日都没有物流运转信息，10月8日申请退款并对商家进行未按约定时间发货投诉，当天淘宝小二就进行了处理，投诉结果：不成立，投诉定性：缺货/发不了货/拒绝发货-凭证无法核实商家存在违规。</t>
  </si>
  <si>
    <t>2019/10/11 11:26:15</t>
  </si>
  <si>
    <t>本人于9月24日在上海造艺旗下“百事普惠”app里申请借款，当时界面显示要支付299元小银券，由于是第一次申请在不清楚平台条款并且平台也未做出说明的情况下，点了小银券，我给平台客服致电想要退回300元，被客服告知无法退回，说这是评估信用报告的费用，这就是在客户不知情的状况下妥妥的恶意扣款，钻消费者的空子，跟强盗并无两样。</t>
  </si>
  <si>
    <t>2019/10/11 11:25:58</t>
  </si>
  <si>
    <t>借款2200已经还了2500还要我还五百多，要求销账。</t>
  </si>
  <si>
    <t>胖胖有米高利贷套路贷，借款1300，还款2500，借款5天，属于典型高利贷套路贷，并且天天都有什么胖胖有米的乱七八糟的骚扰电话，已经生活都打乱了。</t>
  </si>
  <si>
    <t>2019/10/11 11:25:50</t>
  </si>
  <si>
    <t>因资金周转困难新至尊逾期第四天，催收人员打电话要求必须中午12点还款，说不按这个时间还钱会有什么后果自己心里清楚，我问她是什么后果，她就说自己心里清楚，后果自己承担，我说我不知道什么意思，问催收到底是什么后果，催收一直只说心里清楚就行了什么的，我最后问了一句，你是不敢说出来是吗，她说，对，我就是不敢说，然后就把我电话挂了，态度极其恶劣，本人答应今天还款，只是希望能晚一点处理，便遭到这样威胁。</t>
  </si>
  <si>
    <t>2019/10/11 11:25:27</t>
  </si>
  <si>
    <t>借贷宝平台充当高利贷的保护伞，一周借贷，借一万到手7000，一周后还10000，这个不是高利贷是什么，这只是一部分，利息交了都不知道多少了，如果要证据，我有支付宝的转账记录都有，借贷宝帮这些高利贷催收，当保护伞。</t>
  </si>
  <si>
    <t>2019/10/11 11:25:15</t>
  </si>
  <si>
    <t>投诉人 李女士        投诉对象  海纳百川        涉诉金额  2 000 元    问题类型    诉求类型投诉详情  海纳百川威胁恐吓 未经他人允许 泄漏他人隐私信息</t>
  </si>
  <si>
    <t>2019/10/11 11:25:00</t>
  </si>
  <si>
    <t>10月10日是我的还款期，因为客户款未能即使到账，我未能当天按时还款，11日早上开始，小赢卡贷每一个小时一个电话进行催收，不听取任何解释，并威胁立刻联系紧急联系人以及上报征信，我要求多给一点时间的诉求，小赢卡贷根本不理会，只会宽限1个小时，工作人员言语恶劣，胁迫以及威逼，同时电话中也换人进行催收，我并没有恶意不还款，之前也正常还款，只是这次出现问题，逾期第一天的早上就收到了这样不停骚扰，不给人喘息的时间，一个小时一次电话，让人无法忍受。</t>
  </si>
  <si>
    <t>2019/10/11 11:24:41</t>
  </si>
  <si>
    <t>现金巴士,微额速达集团有限公司,杭州汉云金融信息服务有限公司，现金巴士在到期后并没有提供相应还款链接，造成逾期后每日20的逾期费用，我已经还清当期费用，但是该公司人员还不依不饶，要求还清逾期费用，并且一再威胁骚扰我家人。</t>
  </si>
  <si>
    <t>2019/10/11 11:23:50</t>
  </si>
  <si>
    <t>打开支付宝查看退款时，发现该App未按实际价格退款。</t>
  </si>
  <si>
    <t>2019/10/11 11:23:49</t>
  </si>
  <si>
    <t>违法高利贷，利用贷款人员急需用钱的心理，强制购买虚拟货币，并要求现金还款，借款2500,一个月需还3200,并暴力催收，打遍通讯录以及通话记录，这种通过费用，直接或间接为“虚拟货币”提供账户开立、登记、交易、清算、结算等产品或服务，是严重违法的，希望有关部门不要充当保护伞，为我们这些深受违法套路贷高利贷的人做主。</t>
  </si>
  <si>
    <t>2019/10/11 11:23:40</t>
  </si>
  <si>
    <t>及贷高利贷平台，2018年12月借了7600元，分12期还，总共需要还10598.33元，利息2998.33元，年利率已经达到百分之39了，总共还了9期共计金额7801.9元，已经超过本金，近期频繁电话短信恶意骚扰我家人和以前公司的同事和领导，电话联系催收人员，说必须还完全部剩下三期，态度强硬，请平台查明真相，如果本金没还清是我的不对，已经超过本金，还恶意催收，发威胁短信给家人和朋友，严重影响了生活和工作。</t>
  </si>
  <si>
    <t>2019/10/11 11:23:37</t>
  </si>
  <si>
    <t>洋钱罐借钱隐藏利息太高了，我已经还了4千多块却显示已还本金800不到。</t>
  </si>
  <si>
    <t>2019/10/11 11:23:31</t>
  </si>
  <si>
    <t>借贷上钱2000元，用一个月，要还2700多，爆通讯录，骚扰家人和朋友。</t>
  </si>
  <si>
    <t>2019/10/11 11:23:18</t>
  </si>
  <si>
    <t>客服电话打不通，微信客服联系不上，语言暴力催收，电话骚扰。</t>
  </si>
  <si>
    <t>2019/10/11 11:22:57</t>
  </si>
  <si>
    <t>通过信用管家引流在91买呗借款2000元，实际到账1500元，，2期，每10天1期，30天为借款周期，基本还够本金，现已无力尝还第3期，希望客服能联系我协商归还本金及一定的利息做销账处理。</t>
  </si>
  <si>
    <t>2019/10/11 11:22:52</t>
  </si>
  <si>
    <t>本人由于被360借条短视频误导以为借款是按天算钱，提前还款不要利息。</t>
  </si>
  <si>
    <t>2019/10/11 11:22:03</t>
  </si>
  <si>
    <t>10月10号当天，系统升级，自动划扣失败，第二天逾期，加收100块逾期费用，你这是来抢钱了吧。</t>
  </si>
  <si>
    <t>2019/10/11 11:22:01</t>
  </si>
  <si>
    <t>投诉人 徐家繁        投诉对象  宝付支付        涉诉金额  500 元    问题类型    诉求类型投诉详情  贷上钱DSQ科技高利贷，砍头息，作出处罚</t>
  </si>
  <si>
    <t>2019/10/11 11:21:36</t>
  </si>
  <si>
    <t>实际下款3万，本金，每期还款1966一共24期一共还款金额47184，除去3万本金，17184的利息，什么服务费，当天就扣除一万左右。</t>
  </si>
  <si>
    <t>2019/10/11 11:21:29</t>
  </si>
  <si>
    <t>交通银行委托催收公司用违规短信平台发送违规短信，给本人和家人造成骚扰，每天都发。</t>
  </si>
  <si>
    <t>2019/10/11 11:21:12</t>
  </si>
  <si>
    <t>最近因生意失败欠下一大笔钱！同时也导致在闪银逾期了两天！客服打电话过来催款说中午十二点必须处理掉，我说现在身上没钱，给我几天时间！客服直接拒绝，并威胁我说我这是拒绝还款，接下来产生的所有后果都有本人承担，包括爆通讯录等！电话我全程录音。</t>
  </si>
  <si>
    <t>2019/10/11 11:21:10</t>
  </si>
  <si>
    <t>捷信真的是黑心的高利贷，本金一共65000，我已偿还7万多，现在提前结清还要偿还63000元，骚扰恐吓电话是一个接一个，难道中国的法律就没办法制裁捷信公司吗，这捷信公司简直就是黑社会，希望平台能公平公正的来对待。</t>
  </si>
  <si>
    <t>2019/10/11 11:20:51</t>
  </si>
  <si>
    <t>投诉人马先生投诉对象白金钱包涉诉金额2000元问题类型诉求类型投诉详情嗨钱网资方西藏微众金融各种电话骚扰威胁，嗨钱网还款通道出现问题，导致不能还款，西藏微众金融要求线下转账，什么白金钱包app还款，我没在你白金钱包借过钱，为什么要在白金钱包还，还要求线下转账，等你们嗨钱什么时候恢复我在哪里借的，在哪里还，已经去公安局做了笔录，如果再有恶意骚扰，举办到底。</t>
  </si>
  <si>
    <t>2019/10/11 11:20:40</t>
  </si>
  <si>
    <t>闪电借款，太黑了，购买黑卡1230，刚刚看还上征信，这样的平台太黑了吧，还5230，一共1600快利息一个月，连分期都没有。</t>
  </si>
  <si>
    <t>2019/10/11 11:20:09</t>
  </si>
  <si>
    <t>本人在招联金融分期借款还剩几期，但因为个人大病一场入院手术后，经济十分困难，借款逾期，招联金融催收人员多次威胁恐吓爆通讯录，侵犯隐私，本人多次投诉，要求停止恶劣催收行为，仍然出现，这样子的催收行为非常恶劣，是涉黑涉恶的行为，要求马上停止违规催收行为，协商延期还款。</t>
  </si>
  <si>
    <t>2019/10/11 11:19:46</t>
  </si>
  <si>
    <t>投诉人王女士投诉对象新橙优品,天津金城银行,新流保险代理涉诉金额6000元问题类型诉求类型投诉详情借了2次3000元都收取了300元砍头息，利息超过国家标准3000三个月还3790.第二次3000元6个月3978元。</t>
  </si>
  <si>
    <t>2019/10/11 11:19:45</t>
  </si>
  <si>
    <t>10月10日，已经绑定了邮政银行的银行卡，并自动扣款，但直至下午17时11分，并未进行自动带扣款，随后立即手动还款，但却显示还款失败，系统正在自动带扣中，以防银行卡存在问题，立即重新绑定新的合作的银行卡，之后又尝试若干次，直至11日凌晨，造成逾期，逾期一天，并将逾期信息上传征信系统，马上去滴滴金融平台进行手动还款，几次都未成功，其间将相关情况上传滴滴金融微信公众号，至今无答复，绑定银行客服查询到银行卡无异常，且可以进行转账汇款，网上也有多名用户反映平台无法手动还款，希望滴滴金融尽快处理此事，并消除我的不良信</t>
  </si>
  <si>
    <t>2019/10/11 11:19:42</t>
  </si>
  <si>
    <t>投诉人 刘先生        投诉对象  招商银行信用卡        涉诉金额  11 000 元    问题类型    诉求类型投诉详情  群发短信 态度恶略 变相侮辱人 故意让我说不还钱</t>
  </si>
  <si>
    <t>2019/10/11 11:19:27</t>
  </si>
  <si>
    <t>胡乱任由他人打标我微信，经过我同意没有，，连申诉的权利都没有，微信就是我的私人微信，怎么就成骗子了，骗了什么，有本事提供证据，严肃投诉创客工具箱，，怎么会有这样的软件，。</t>
  </si>
  <si>
    <t>2019/10/11 11:19:04</t>
  </si>
  <si>
    <t>在国美易卡的借款完成还款，找客服要求注销，客服以我之前申请的时候授权国美查询我的征信记录，比银行还霸道我办个信用卡银行也查询啊，之后我要注销信用卡，银行都不敢说不给吧。</t>
  </si>
  <si>
    <t>2019/10/11 11:18:59</t>
  </si>
  <si>
    <t>本人于2019年9月10日向钱站旗下平台速金服借款1000元，分三个月还款，1000元三个月还款1800余元，阴阳合同，高额手续费，10月10日为还款日，由于个人原因没能及时还款，于2019年10月11日0：35分主动还款，但银行卡已经扣款，平台还款不更新，资金在账户钱包，不能取出也不销账，现在本人怀疑速金服平台，恶意导致客户逾期，收取高额逾期费用，手动还款，钱扣了，先本人怀疑，平台故意导致客户逾期，以便收取高额费用。</t>
  </si>
  <si>
    <t>2019/10/11 11:17:58</t>
  </si>
  <si>
    <t>本人由于2019年，8月5日在买单侠平台借款6600元分6期还款完每期还款1461元，由于近期没钱.买单侠公司天天电话威胁我说打爆我的通迅录，把我在买单侠的借款合同发给我的亲朋好那去，我说现在暂时没有钱，我一有钱就处理了，希望贵平台帮我沟通一下！。</t>
  </si>
  <si>
    <t>2019/10/11 11:17:44</t>
  </si>
  <si>
    <t>我在捷信借款三万元整，分期45期，每期应还1424，现已如期还38期总计54112元整，欠七期还要还款9984元，已超出国家规定利息，电话骚扰已经影响到正常生活，求组织给我做主。</t>
  </si>
  <si>
    <t>2019/10/11 11:17:41</t>
  </si>
  <si>
    <t>逾期一期催收私自查询我总代款金额并且还跟亲属说，打电话并且恐吓说总代款45000到时候要还9万。</t>
  </si>
  <si>
    <t>2019/10/11 11:17:01</t>
  </si>
  <si>
    <t>本人于2019.7.13日向优亿金融借款3000元，分四期，分期数不可更改，现每期还款966元，共还3864，根据计算利率高于国家规定，现希望退还高于国家规定的利息，若符合国家规定利率，本人在此道歉，但请给与明确的利率解释。</t>
  </si>
  <si>
    <t>2019/10/11 11:16:44</t>
  </si>
  <si>
    <t>投诉人 黄理奎        投诉对象  易到用车        涉诉金额  1 000 元    问题类型    诉求类型投诉详情  易到用车是骗子公司！！诱导我们充值不归还。而且又打不了车。帐号也登不上去。</t>
  </si>
  <si>
    <t>2019/10/11 11:16:17</t>
  </si>
  <si>
    <t>刚才快闪卡贷所谓信贷主管给我打电话催收所谓的借款，其实就是被以保险费名义扣除的2000元砍头息和2000元利息，借款10000元到账8000元，居然用所谓保险费为砍头部分正名，并且8000元六个月要2000元利息，而且该主管也承认我到账只有8000元，问他要工号居然说没有工号，明显的是催收，还说我是骗贷，请问我还了到账的8000元是属于骗贷的吗，被砍头部分2056元逾期一个月的利息就变成了1056元，属于典型高利贷套路贷，暴力催收爆通讯录也被说成了正常，而且还说我是失联了，失联了能打通我电话吗，现强烈要求停</t>
  </si>
  <si>
    <t>2019/10/11 11:16:06</t>
  </si>
  <si>
    <t>还款已经还完了，利息太高，还要催收，没有人协商。</t>
  </si>
  <si>
    <t>2019/10/11 11:15:59</t>
  </si>
  <si>
    <t>本人今年5月30日在你我贷APP贷款3000元，分12期还，前两期合还714.87元，后十期合还264.87元，账单不合理，前两期就已经归还了账单将近一半，后十期还是收取全部账单的利息，涉及高利贷，现在已经还清三期，如今经济出现问题，之前联系过客服同意延期，结案后又继续催收，还打电话给紧急联系人。</t>
  </si>
  <si>
    <t>2019/10/11 11:15:57</t>
  </si>
  <si>
    <t>投诉人 李先生        投诉对象  指上旅行        涉诉金额  3 000 元    问题类型    诉求类型投诉详情  借款3000到账2100 分4期还每期772 七天为一期 ，现在已还三期支付宝还转了260元 合计还了2576 最后一期逾期了 现在打电话给平台协商还最后一期 平台不于协商 还不听的骚扰我通讯录好友以及家人 ！希望聚投诉帮我解决一下</t>
  </si>
  <si>
    <t>2019/10/11 11:15:52</t>
  </si>
  <si>
    <t>本人服务分99分，滴龄6百天，跑了78千单，今天既然给我来个热力地区3小时不派一单。</t>
  </si>
  <si>
    <t>2019/10/11 11:15:45</t>
  </si>
  <si>
    <t>本人10号中午收到银行短信通知无卡消费524.71元，本人当日并无该数额还款项便查询交易名细，得知特约中归这机构扣走该笔款，该机构扣走该款并未作出任何用途去向解释。</t>
  </si>
  <si>
    <t>2019/10/11 11:15:38</t>
  </si>
  <si>
    <t>因刚换了工作，工资还没下发下来，中间有两个月的空档期，逾期后，积极与中信银行信用卡中心沟通，昨天绑定的手机停机后，中信银行工作人员未经过我的同意，直接联系家人朋友，在手机停机前，我已经给中信银行信用卡中心的催收人员说过我的工作号码可以联系到我，如果说我没有告知你们联系我的家人朋友，我都可以理解，但我已经提前告知后，你们未经过我同意，我也没有故意拖欠还款，你们还联系我的家人，对我造成了不良的影响，所以要求停止催收人员继续骚扰我的家人，刚才已经致电过中信银行信用卡中心协商今天内处理欠款，但前提是你们停止对我身边</t>
  </si>
  <si>
    <t>2019/10/11 11:15:01</t>
  </si>
  <si>
    <t>在小蒲优客APP上注册后填完认证资料没贷款，在没任何提示和通知情况下过了几天就扣了296块。</t>
  </si>
  <si>
    <t>2019/10/11 11:14:14</t>
  </si>
  <si>
    <t>10月2号下午5点从呼兰河口湿地公园打车到柏悦星城，收我158元，严重超过预估价格。</t>
  </si>
  <si>
    <t>2019/10/11 11:13:55</t>
  </si>
  <si>
    <t>投诉人姜鹏投诉对象平安普惠涉诉金额7000元问题类型诉求类型投诉详情本人在平安普惠贷款逾期，催收发下图短信给我的通信联系人，我的联系人基本发遍了，近日又开始发信息给我的亲友，说要起诉我，但是这个信息却没有发给我。</t>
  </si>
  <si>
    <t>2019/10/11 11:13:40</t>
  </si>
  <si>
    <t>昨天来信息说10点来电解释：到现在杳无信息。</t>
  </si>
  <si>
    <t>2019/10/11 11:13:14</t>
  </si>
  <si>
    <t>借贷4500每期还四百多，还了两期还有4500，每期还四百多都扣一百好几十的利息，比高利贷还黑，与贷款显示的九百多利息差距太大，而且还不让别人截图投诉。</t>
  </si>
  <si>
    <t>2019/10/11 11:13:07</t>
  </si>
  <si>
    <t>暴力催收，在能联系本人情况下，未经本人同事，暴通录，威胁恐吓。</t>
  </si>
  <si>
    <t>2019/10/11 11:13:04</t>
  </si>
  <si>
    <t>6月份在现金巴士借款2000元，分3个月还款，审核通过发现需要缴纳一笔298的费用才可以下款，实际借款1700还款2180，国家早已经明令禁止借款砍头息，现金巴士违规放贷，不具备放款资质，本人已经还款两期，现在希望还本金处理！提供结清证明！。</t>
  </si>
  <si>
    <t>2019/10/11 11:12:52</t>
  </si>
  <si>
    <t>投诉人 蒋女士        投诉对象  U钱包        涉诉金额  1 400 元    问题类型    诉求类型投诉详情  催收 导致情绪不稳定 情绪不稳定 停止催收</t>
  </si>
  <si>
    <t>2019/10/11 11:12:45</t>
  </si>
  <si>
    <t>本人在闪银上借了一笔2800元，现在想要一次性结清，协商还本金销账百万钱包未经过我同意骚扰我联系人，我只是现在资金紧张，推迟点我肯定会还的。</t>
  </si>
  <si>
    <t>2019/10/11 11:12:35</t>
  </si>
  <si>
    <t>美团网以无理要求私自克扣商家结算金额，该笔订单，订单号：26****************0，，有实际付款，美团有收到客人的房费，但拒绝支付给商家结算款，也不通知商家，私自扣款。</t>
  </si>
  <si>
    <t>2019/10/11 11:12:11</t>
  </si>
  <si>
    <t>拍拍贷上门介入，好，来吧！你也不用十五等结果，直接来吧！威胁我，呵呵！来吧！一而再再而三威胁，好棒！记住有种你就来，谁不来谁是孙子。</t>
  </si>
  <si>
    <t>2019/10/11 11:11:53</t>
  </si>
  <si>
    <t>于2019年7月28日申请现金巴士2000元借款，，该公司强制性收取298元会员费才能申请成功，且多次与客服沟通减免砍头息以及超过国家法律规定高额利息，均未处理，导致本人借款逾期，现借款每天逾期费用20元，我申请的借款实际到账金额只有1700元，按照该公司的说法现在需还款2712元，距离借款时间75天，借款1700元需还2712元，这不是超过国家法定贷款利息吗，要求减免为何客服不予处理，且催收人员如此猖狂，国家法律明确规定不允许收取砍头息等违法放贷行为，为何现金巴士公司可以顶风作案，我的诉求很简单，本人可以</t>
  </si>
  <si>
    <t>2019/10/11 11:11:49</t>
  </si>
  <si>
    <t>投诉人周先生投诉对象世联金融涉诉金额22000元问题类型诉求类型投诉详情当时我姑妈贷了21万左右，结果下来１９万左右的，当时世联金融的业务员办理贷款时收取了办理费用当时拿走了18000元的，因为现在处理的应经超出了国家规定的利率了，和业务员说的不一致的，还有昨天接到催收说是武汉的一家律所的律师已起诉我姑妈了，意思已经快开庭了，还对我本人进行攻击辱骂，给我的家人发布了骚扰短信，现已对我姑妈本人的人格遭到了众创本人处于精神抑郁当中我们没有不偿还，也想偿还但是催收的说拒接协商处理，还伪造了征信的范文，里面的签字都</t>
  </si>
  <si>
    <t>2019/10/11 11:11:42</t>
  </si>
  <si>
    <t>本人在微代网借款3000分三期到帐2500已结清，第二笔5000分六期到帐4500已还2期第三笔1000到帐900，严重违反国家规定砍头息，开始没注意银行流水近前几天因个人需要查了银行流水才知道到帐金额不对，每笔借款都存在砍头息，给客服打电话说是前两笔分别买了500元保险，第三笔是游戏币，而我自己根本不知道有保险这个事，APP上也没有标明，为了证明，我又在APP上借了一笔3800，实际到帐3800也没有扣我的钱，是不是最国家严打你们才不敢再扣，多次和平台协商要求退回扣款或者按实际到帐金额还款，对方不同意，其</t>
  </si>
  <si>
    <t>2019/10/11 11:11:41</t>
  </si>
  <si>
    <t>因想继续学习英语，特在2018年7月24日在华尔街英语公园前中心报了两年的学习课程，途中大概九月份因资金问题想要退学，中心告知退学的话还得交一万多学费，当时还得还学费贷款，是中心与百度花公司合作的，现在2019年9月份打电话申请退学退费，被告知退学的话没有学费可以退，还得继续交贷款，这让我有点怀疑，，虽然我是贷款的，换个角度要是我没贷款，全款交的学费，要是半路退学岂不是学费退不了，现在怀疑中心的合同，退费条款欺骗消费者，也是无路可走才要投诉。</t>
  </si>
  <si>
    <t>2019/10/11 11:11:32</t>
  </si>
  <si>
    <t>催收人员态度非常恶劣，为经过我允许拨打联系人，把我欠款和逾期事透露，严重影响生活，不能正常生活，我在朋友面前都不能抬头。</t>
  </si>
  <si>
    <t>2019/10/11 11:11:29</t>
  </si>
  <si>
    <t>1.小米金融在官方未任何通知的情况下，将个人通讯录提供给第三方催收公司，侵犯个人隐私，2.在本人有还款意愿，但由于目前公司拖欠工资，暂时无法还款，预计10月15日才能处理，但第三方催收不问缘由，强迫恐吓必须半小时内还清，并威胁要爆个人通讯录，完全不给协商的机会。</t>
  </si>
  <si>
    <t>2019/10/11 11:11:20</t>
  </si>
  <si>
    <t>已和客服协商过还款时间，但仍每天打电话逼迫提前还款，怀疑只是为了撤诉而没有为客户解决问题。</t>
  </si>
  <si>
    <t>2019/10/11 11:10:39</t>
  </si>
  <si>
    <t>我借款7800，还了5个月，现在提前还款需要还一万零六百，什么高利贷我也不明白，之前投诉一直说联系我，也并没有联系我，而且我注册手机已经掉了，不知道怎么联系客服，这个费用分期是什么东西一直没搞明白，现在强烈觉得玖富万卡是骗我们强制分期这么久。</t>
  </si>
  <si>
    <t>2019/10/11 11:10:38</t>
  </si>
  <si>
    <t>由于嗨钱网原因，导致还款不销账，所以协商app修复之后还款，资方不断电话骚扰，辱骂，恐吓。</t>
  </si>
  <si>
    <t>2019/10/11 11:10:14</t>
  </si>
  <si>
    <t>中国银联替国家严厉禁止的7/14高炮分期还提供违法支付，多次收取高利贷。</t>
  </si>
  <si>
    <t>2019/10/11 11:10:04</t>
  </si>
  <si>
    <t>58同城你们的工作单位邀请一遍就行了为何要邀请好几遍，烦不烦，我就问你们这件事唉，请向我道歉。</t>
  </si>
  <si>
    <t>2019/10/11 11:09:56</t>
  </si>
  <si>
    <t>首先闪银催收直接上来就开骂，并且发短信威胁我的通讯录人员，而且我也表示过今天会去处理账单，还依旧不依不饶，你们竟然不想要钱又何必打电话过来呢，想和你们协商你们不愿意协商。</t>
  </si>
  <si>
    <t>2019/10/11 11:09:48</t>
  </si>
  <si>
    <t>599是一个代还信用卡的软件，10.10日注册使用，代还13000首先扣148.9的手续费，10.11日扣了手续费，马上取消后面的还款操作，并且禁止账号登陆，要求马上退还我的钱！。</t>
  </si>
  <si>
    <t>2019/10/11 11:09:47</t>
  </si>
  <si>
    <t>本人在误在贷上钱上借款4000元，要求分三期还款，每期要求还款1814.12，三期算下来就要求还款5442.36，在第一期的时候我就要求协商还款，结果贷上钱公司利用外催公司暴力催收，每隔两小时打电话一次，并且言语威胁如果不还，曝光所有信息，然后电话通知每位亲友，帮助还款，敢问贷上钱公司，现在国家正在大力打击高利贷，暴力催收，是谁给你们这么大的权力，置国家法律于不顾，恳请聚投诉平台跟进此事，协助解决，我愿意归还，本金以及合理的利息。</t>
  </si>
  <si>
    <t>2019/10/11 11:09:29</t>
  </si>
  <si>
    <t>第二个月才发现要每月多还360元的加速放款费，客服打电话来说只需扣两个合计720元第三个月就不用扣了，但是这样4000块算上每期120左右的利息。</t>
  </si>
  <si>
    <t>2019/10/11 11:09:14</t>
  </si>
  <si>
    <t>投诉人劳先生投诉对象中信银行信用卡涉诉金额0元问题类型诉求类型投诉详情中信信用卡app无法查看历史借款还款记录，请求恢复手机app还款，查询历史账单，查询已还款明细等，不得任何形式骚扰本人及通讯录成员。</t>
  </si>
  <si>
    <t>2019/10/11 11:09:13</t>
  </si>
  <si>
    <t>今年五月份的时候就分开借了总计3笔，当时钱宽裕就一次性还了3个月的！上个月资金就出现了问题，一时半会没解决到！我跟贵公司也表明了目前的情况！我说晚几天也不同意，今天在早上发信息到我朋友哪里这个朋友并不是紧急联系人！这已经频繁的骚扰我的个人隐私！损坏我个人名誉，声誉！这是在侮辱我，还我名誉，声誉！停止骚扰，给我道歉！这个我会依法追究此事！。</t>
  </si>
  <si>
    <t>2019/10/11 11:09:00</t>
  </si>
  <si>
    <t>投诉人陈先生投诉对象尚德机构涉诉金额9800元问题类型诉求类型投诉详情尚德机构老师讲课有错误，与宣传不符，夸大宣传。</t>
  </si>
  <si>
    <t>2019/10/11 11:08:56</t>
  </si>
  <si>
    <t>本人七月中旬到乐刷公司跟他们经理当面签署了乐刷收款二维码代理的合作协议，由于他们公司盖章需要走流程，再给我寄过来，当时我就在上面签了字，盖了公章，过了一个月之后再问他们回复还在走流程未盖章，九月中旬再问的时候，他们工作人员回复却说我没有把合作协议寄过去，我说我是去公司当面签的，工作人员回复我说查一下，之后就没有了下文，这是其一，之后过了半个月问他们的工作人员，工作人员回复说还在走流程，过了一个月之后再问，他们回复还在走流程未盖章，九月中旬再问的时候，他们工作人员回复却说我没有把合作协议寄过去，我说我是去公司</t>
  </si>
  <si>
    <t>投诉人文先生投诉对象拍拍贷,及贷涉诉金额32000元问题类型诉求类型投诉详情本人于2018年10月在拍拍贷借款18200元，及贷14000元，已经正常还款10期，给我家人和朋友打电话，骚扰！后面还给我发恐吓威胁短信过来！给我生活造成严重影响！其中拍拍贷利息远高处国家规定利息！还收取额外服务费！及贷借款14000实际到账12200元！这两笔我都正常还款10期，本金和国家规定的利息都已经还上，现在他们每天都电话短信骚扰！我的工作也没有了！给我的家庭和生活带来了严重的伤害！。</t>
  </si>
  <si>
    <t>2019/10/11 11:08:52</t>
  </si>
  <si>
    <t>一直给公司前台打电话，扰乱公司正常工作秩序，不协商还款。</t>
  </si>
  <si>
    <t>2019/10/11 11:07:46</t>
  </si>
  <si>
    <t>投诉人 周先生        投诉对象  工商银行        涉诉金额  7 000 元    问题类型    诉求类型投诉详情  我想知道你要方便是怎么得到我的通讯录的。要求银行方面给出解释和赔偿。</t>
  </si>
  <si>
    <t>2019/10/11 11:07:08</t>
  </si>
  <si>
    <t>投诉人 刘先生        投诉对象  宝付支付        涉诉金额  70 000 元    问题类型    诉求类型投诉详情  2018年12月份在网贷平台贷款。（特约）宝付支付为714高炮提供支付通道。现在要求此平台退还我的血汗钱！</t>
  </si>
  <si>
    <t>2019/10/11 11:06:57</t>
  </si>
  <si>
    <t>要求分期乐暂时停止对我本人和我家人和我通讯录的催收，本人还在上班，受到了严重的催收影响，都快被逼疯了，我也承诺了一发工资马上还上，请求不要再打电话骚扰了！。</t>
  </si>
  <si>
    <t>2019/10/11 11:06:08</t>
  </si>
  <si>
    <t>10月8日，手机邮寄至售后维修，售后以边框磕碰为由，，甚至我严重怀疑根本没打开手机检测故障原因，在保修期内就拒绝保修，然后，付费维修，本人系中南大学研究生在读，手机一次也没有摔过，本为手机本身质量问题导致手机故障，作为消费者，我要找回属于我的合法权益，魅族售后故意推脱维修责任，行为已经违反国家的售后三包法律，我投诉魅族售后无作为，推卸责任！！！。</t>
  </si>
  <si>
    <t>2019/10/11 11:05:39</t>
  </si>
  <si>
    <t>投诉人 周先生        投诉对象  东亚银行        涉诉金额  5 000 元    问题类型    诉求类型投诉详情  东亚银行催收爆我通讯录。我想知道银行方面是怎么获取我通讯录的。</t>
  </si>
  <si>
    <t>2019/10/11 11:05:23</t>
  </si>
  <si>
    <t>投诉人 段女士        投诉对象  Wecash闪银,哼哼,瞬瞬        涉诉金额  2 500 元    问题类型    诉求类型      投诉详情  闪银里哼哼和瞬瞬逾期10天左右 已告知委托方过些天发工资就处理 没有不还的意思 还是每天都打电话骚扰让先还一笔 天天开会有的时候接不到就换着区号打</t>
  </si>
  <si>
    <t>2019/10/11 11:05:19</t>
  </si>
  <si>
    <t>招联金融暴力催收，因为身体原因，在一笔笔分开还，催收人员就发恐吓短信。</t>
  </si>
  <si>
    <t>2019/10/11 11:05:05</t>
  </si>
  <si>
    <t>布丁小贷委托第三方公司不停拨打其他人电话骚扰，并胡乱编造谎言，骚扰内容及电话均有录音并可以提供，多次投诉无果，现要求换人协商并保证本人及通话簿信息的安全，如果继续骚扰本人将不会进行协商并通过合法手段处理。</t>
  </si>
  <si>
    <t>2019/10/11 11:04:52</t>
  </si>
  <si>
    <t>我是一名大学生，不小心贷了网贷，但是他们明知道大学生没有收入来源还是借钱给了我们大学生，到后面我经济跟不上没能及时还，结果他们一直催我，我解释给他们了，但是他们还是一直催，我也没有逃避任何一个责任，也没逃避他们找我，但是他们威胁我说联系家人，发律师函，如果再这样下去我一个大学生会肯定会受不了做出什么伤害自己的事情，所以希望他们不要一直催我，大学里的压力够大的了，到时候谁也说不定自己会一直好好的。</t>
  </si>
  <si>
    <t>2019/10/11 11:04:24</t>
  </si>
  <si>
    <t>现金巴士催收人员对我进行侮辱，恐吓，暴力催收，把我的信息给第三方，骚扰我通讯录的好友。</t>
  </si>
  <si>
    <t>2019/10/11 11:04:21</t>
  </si>
  <si>
    <t>我办理了几个分享号码，都是绑定了我的生意上的交易平台账号，用来接收验证码短信的！上个月还可以正常接收短信，这个月就没法接收短信了！官网查询了余额并没有欠费，还有余额，为什么会停掉短信功能！打客服电话完全没人接，觉得就是为了骗钱的！如果无法处理，我将采取法律手段进行处理赔偿损失！。</t>
  </si>
  <si>
    <t>2019/10/11 11:04:17</t>
  </si>
  <si>
    <t>因为国庆，公司财务处会延迟两三天发工资，实在暂时周转不开，请求给我宽限几天的时间，工资发了，马上还上去，谢谢。</t>
  </si>
  <si>
    <t>2019/10/11 11:04:16</t>
  </si>
  <si>
    <t>在交易猫购买账号，由于卖家原因取消交易，但却退款失败没有收到退款。</t>
  </si>
  <si>
    <t>2019/10/11 11:03:42</t>
  </si>
  <si>
    <t>投诉人黄先生投诉对象拉卡拉支付,拉卡拉,拉卡拉金融涉诉金额2557元问题类型诉求类型投诉详情2019年07月03号，本人农行卡被盗刷，显示对方为拉卡拉支付有限公司，本人无此交易，没有输入密码也没有收到任何短信，，电话询问，农行和银联都查到交易，拉卡拉竟然查不到交易，并且表示查询到了也不能追回款项，也不能告知盗刷人的户名和卡号，不可理解。</t>
  </si>
  <si>
    <t>2019/10/11 11:03:40</t>
  </si>
  <si>
    <t>在苏宁易购开的店铺，经营不好，店铺申请了关闭，2019年4月份申请的关闭店铺，一直到20196年10月份一直压着保证金不给退，多次联系苏宁易购客服，各种理由推卸，联系招商经理说不是他负责，来回踢皮球，一直到10月11号也没有给处理，这种黑平台希望能够给与曝光，完全不符合平台规则。</t>
  </si>
  <si>
    <t>2019/10/11 11:03:39</t>
  </si>
  <si>
    <t>之前催收威胁恐吓让我去报警已经报警国庆期间已经立案，今天又被暴力威胁，客服推推搡搡，记者已经来电了解情况，现在准备曝光，砍头息，暴力催收等等，有录音截图等等，还上征信警方都说高利贷砍头息不上征信谢谢。</t>
  </si>
  <si>
    <t>2019/10/11 11:03:36</t>
  </si>
  <si>
    <t>迅付沪快,豹子贷,上海造艺网络科技,上海米萤商务咨询有限公司，注册APP后要求输入银行卡号，然后就是无故扣款，要求退款并道歉。</t>
  </si>
  <si>
    <t>2019/10/11 11:03:20</t>
  </si>
  <si>
    <t>本人在小花钱包一共借款4000元，每笔扣款都多扣除将近200，扣除的最后一笔都没有短信通知，可用额度都没算进去，客服说这是利息和服务费，当初借款的时候利息和服务费已经算进去了，现在每笔多扣这将近200哪里去了，我算了一下借款4000还清要7000多，麻烦让小花钱包解释一下！。</t>
  </si>
  <si>
    <t>查大数据显示系统繁忙稍后再试，使我二次交钱，并且告诉我不予退还缺钱就把钱改成60，交两次钱什么意思，我做贷款做了10来年了让我查大数据看一下说明书。</t>
  </si>
  <si>
    <t>2019/10/11 11:03:01</t>
  </si>
  <si>
    <t>本人2019年10月10日在钱站申请1000元借款，需要还3个月，每个月635，一共1900多，利息太高，我想撤销，联系不上客服，打客服电话都是语音没有人工，望平台给处理。</t>
  </si>
  <si>
    <t>2019/10/11 11:02:51</t>
  </si>
  <si>
    <t>投诉人 李先生        投诉对象  及贷        涉诉金额  18 000 元    问题类型    诉求类型投诉详情  威胁我，频繁给我单位打电话 让我丢掉工作</t>
  </si>
  <si>
    <t>2019/10/11 11:02:45</t>
  </si>
  <si>
    <t>app异常导致还不了款，出现恶意逾期费，客服态度不能减免，高利贷。</t>
  </si>
  <si>
    <t>2019/10/11 11:02:44</t>
  </si>
  <si>
    <t>随意轰炸通讯录，恐吓身边亲戚朋友，高额利息，。</t>
  </si>
  <si>
    <t>2019/10/11 11:02:38</t>
  </si>
  <si>
    <t>前几月用于周转借了二千多，第一月已经还上，第二月因问题逾期了三天，一天加十元多，今天一直打电话骚扰，威胁要爆通讯录，威胁家人朋友，还要雇佣催收公司催收，最近周转困难，又不是不还，停止骚扰和威胁，几天后会还的，这段时间请不要他再骚扰我，撤销这几天的逾期费用，本金和利息会一定给的。</t>
  </si>
  <si>
    <t>2019/10/11 11:02:14</t>
  </si>
  <si>
    <t>4号打电话说半个月还，否则上门介入，我说我不确定，我刚上班，你们就一直问，今天又打了！问15号看结果否则介入，好，你这样说的话，我不还了！你来吧，上门吧！看是你死还是我死，怕你。</t>
  </si>
  <si>
    <t>2019/10/11 11:02:06</t>
  </si>
  <si>
    <t>惠民益贷，网络高利贷暴力电话骚扰，每天打电话让去借高利贷，纯网络高利贷，自己的软件都没有，让放贷人员私自添加微信转账，。</t>
  </si>
  <si>
    <t>2019/10/11 11:01:55</t>
  </si>
  <si>
    <t>本人在搜狗借钱借款3000元，分3期还款，因本人资金周转困难，于今年本台打来电话协商还款问题，平台一直要求中午12点以前还款，我要求今天晚上以前还款，而我并没有同意将所有好友联系方式给予该平台。</t>
  </si>
  <si>
    <t>2019/10/11 11:01:53</t>
  </si>
  <si>
    <t>我是九月二号由于资金周转暂时在蟹老弟借款4000元，实际到账金额2800多，分两期，每一期还款2020元，远远高于实际到账金额，第一期九月十七号还款2020元，第二期是10月二号还款2020，可是APP出现问题不能及时还款，现在已经逾期九天了，我不是不还，是一直没有办法还款，期间多次试图联系客服都联系不上，期间总是骚扰电话，但都不是人工的，各种威胁要联系我的通讯录所有好友，我不是故意拖欠别不还，是没有还款渠道，所以我想通过这个平台帮我解决一下。</t>
  </si>
  <si>
    <t>2019/10/11 11:01:48</t>
  </si>
  <si>
    <t>叉叉IPA精灵,叉叉助手,广州游顺网络科技有限公司，购买了好几笔叉叉助手年卡永久卡，其中最新购买了叉叉助手平台永久卡2笔，最新一笔7月12购买后叉叉就倒闭了，申请退款2个多月一直不给处理，简直就是欺诈。</t>
  </si>
  <si>
    <t>2019/10/11 11:01:21</t>
  </si>
  <si>
    <t>要求嗨学给予退费！本人2019年9月20日通过嗨学APP购买了“至尊领航无忧班”，推荐课程的工作人员说按照要求听课可以通过考试，当我听课的时候，发现主讲老师的口音我听不了，说的不是普通话，我是个东北人，听不明白南方口音，我也是没有办法，课程是交费后才可听，这个问题挺致命的，我很难过，我尊重老师，没有别的意思，嘴里像是含着东西，我得猜他在说什么，我购买课程是为了通过老师的讲解更好的去理解，不能总猜老师在说什么，我几乎把音量调至100，但还是不行，耳朵很难受，我也请嗨网的工作人员理解，但是就是不给退费，我现在的</t>
  </si>
  <si>
    <t>2019/10/11 11:00:57</t>
  </si>
  <si>
    <t>投诉人 杨先生        投诉对象  超盟金服        涉诉金额  124 000 元    问题类型    诉求类型投诉详情  本人 反馈 超盟金服勾结 违法商户 盗刷 我的钱财 本人一共支付124000 元 本人多次通过超盟金服电话联系 一直得不到任何回复</t>
  </si>
  <si>
    <t>2019/10/11 11:00:41</t>
  </si>
  <si>
    <t>要求交通银行停止对我家人的骚扰，我并没有不接电话，为何无故跳开我联系我家里面人，还叫我父母发身份证照片，我并不是不还款，只是五月份车祸资金链断裂，不接受协商还款可以，请理解停止对我家人的骚扰。</t>
  </si>
  <si>
    <t>2019/10/11 11:00:33</t>
  </si>
  <si>
    <t>我来贷更改为我来数科没有通知，导致找不到app还款，逾期3天收取200逾期费用，要求减免逾期费200，工作人员态度强硬，威胁如不还就打家人朋友电话。</t>
  </si>
  <si>
    <t>2019/10/11 10:59:48</t>
  </si>
  <si>
    <t>投诉人 彭先生        投诉对象  现金巴士        涉诉金额  1 000 元    问题类型    诉求类型投诉详情  现金巴士暴力催收，骚扰朋友 家人，辱骂 威胁借款人</t>
  </si>
  <si>
    <t>2019/10/11 10:59:25</t>
  </si>
  <si>
    <t>2019年8月在珍爱网注册过，会经常接到珍爱的客服电话，那个卢老师就各种游说我还是说我没钱，红娘又说这是为自己一辈子的幸福投资，这点不算什么，各种举例，各种看照片看报纸，各种不让走，一句一句慢慢攻破内心防线，密闭空间呆久了精神上有一定考验，显然我没有经得住考验，最后刷卡13000，借呗3000，，要求到线下实体店，8月16日这天早上10.00到的，是一个叫卢老师的接待了我，并把我带到一个密闭的小房间里，开始各种聊，问存款多少，有没有信用卡，额度多少，是否有车，给自己买过最贵的礼物多少钱等等，又聊了一些感情经</t>
  </si>
  <si>
    <t>2019/10/11 10:58:55</t>
  </si>
  <si>
    <t>本人于2018年12月在51平台上借款12000元，现已还款12216元，已还完本金，51平台利率是没有问题，但是在服务费和管理费上做了手脚，我从来没有和他们签过什么服务费协议，也不知道有个什么安心服务管理费，而且协议里收费没有取费标准，只有金额，我认为这是变相的高利贷，现要求协商还款。</t>
  </si>
  <si>
    <t>2019/10/11 10:58:40</t>
  </si>
  <si>
    <t>立借平台在借款人不知情的情况下，公司自己定下了离奇的分期还款额度，使年息远远超过了国家规定的36%，达到了144%以上的年息，我也找过催收方协商还款几次，话没说完就被对方挂了电话，我要求立借公司催收方立刻停止对我通讯录里亲朋好友的骚扰，协商还款！。</t>
  </si>
  <si>
    <t>2019/10/11 10:58:33</t>
  </si>
  <si>
    <t>让开具结清证明，2019年9月30日打客服开结清证明到今天还没有给开具，每次给客服打电话都解决不了，完了她们转接她们主管也是让等待。</t>
  </si>
  <si>
    <t>2019/10/11 10:57:57</t>
  </si>
  <si>
    <t>在小浦优客平台注册了填写了个人信息绑定了银行卡号没有办理任何借款贷款。</t>
  </si>
  <si>
    <t>2019/10/11 10:57:07</t>
  </si>
  <si>
    <t>投诉人位女士投诉对象钱包易贷涉诉金额1000元问题类型诉求类型投诉详情本人已经承诺会处理款项，而且断断续续有处理，钱包易贷催收人员，威胁去查单位信息，打电话核实个人情况，谁也不愿意有钱不处理，让你们催收天天烦，爆通讯录。</t>
  </si>
  <si>
    <t>2019/10/11 10:56:49</t>
  </si>
  <si>
    <t>闪银至尊没有给我打电话，就给我通讯录好友打电话。</t>
  </si>
  <si>
    <t>2019/10/11 10:56:40</t>
  </si>
  <si>
    <t>时光分期,融360,北京融科君展信息技术有限公司，借款6000元砍头息到账不到6000，分12期每期679需还8156.4超过36%年息，陷入校园贷套路中，后原子贷换了马甲继续放贷，现搜集资料已投诉，诉求：协商提前结清免除超额利息，砍头息目前已搜集资料，望聚投诉转达，望相关平台妥善解决。</t>
  </si>
  <si>
    <t>2019/10/11 10:56:37</t>
  </si>
  <si>
    <t>投诉人 林先生        投诉对象  Wecash闪银        涉诉金额  3 000 元    问题类型    诉求类型投诉详情  一来就买东西。强制购买。借款就必须购买，。</t>
  </si>
  <si>
    <t>2019/10/11 10:56:29</t>
  </si>
  <si>
    <t>被51人品贷恶意催收多次，期间我收到过中腾信的催收电话，但是目前中腾信没有继续来电，51人品贷继续骚扰，且语气态度很差。</t>
  </si>
  <si>
    <t>2019/10/11 10:55:57</t>
  </si>
  <si>
    <t>小黑鲨app借款3500元，10天一期，一共三期，首期归还除1166.67元本金之外还有额外费用风险评测费720元人民币，第二期，第三期正常归还本金，本人诉求提前销账，风险评测费用减免。</t>
  </si>
  <si>
    <t>2019/10/11 10:55:36</t>
  </si>
  <si>
    <t>华夏信用卡中心委外催收，未经本人同意联系本人通讯录联系人，要求停止骚扰催收，本人承诺10月20号之前全额一次还款，已和客服沟通承诺还款事宜。</t>
  </si>
  <si>
    <t>2019/10/11 10:55:26</t>
  </si>
  <si>
    <t>招行信用卡委托催收人员爆通讯录，打村委会电话，对我生活影响极大，导致无法正常生活，要求招行信用卡中心回复电话协商还款。</t>
  </si>
  <si>
    <t>2019/10/11 10:55:08</t>
  </si>
  <si>
    <t>现在资金出现问题望交通银行有关部门介入一下，你们客服人员太霸道了只是电话0315-2816751。</t>
  </si>
  <si>
    <t>2019/10/11 10:54:40</t>
  </si>
  <si>
    <t>平台借款两次，第一笔2019.5.9日，本金27000元，每月还款3059,12期，已还4期12000多元，剩余8期还要还款24000多元！！每月还款金额包括本金及公司收取所谓的月费，就是变相的高额利息，共需还款36708，年化率约合30%，！！！！第二笔2019.4.10日，本金10000元，每月还款1004元，分12期，共需还款12000元，年化率约合17%多，远超国家标准利率，每笔贷款合同内标注的利息很低，实际还款就出现各种服务费等，典型的虚假合同、阴阳合同，变相收取高额利息，还款日前几天就不断机器人</t>
  </si>
  <si>
    <t>2019/10/11 10:54:30</t>
  </si>
  <si>
    <t>本人车辆在北京4S购买的保险，2017年5月在天津出险，双方50%责任，发生出险后本人立即拨打95518报案，人保公司安排理赔员没有到现场确认，在本人明确表示要求去4S店修理情况下，竟然私自把本人车辆拖至修理厂修理，造成严重修理质量问题，多次投诉但都遭到人保推诿扯皮，问题至今没有得到解决。</t>
  </si>
  <si>
    <t>2019/10/11 10:54:29</t>
  </si>
  <si>
    <t>本人生意失败，包银金融有7000多元还没能还，要求协商处理，但包银金融催收打电话到本人单位威胁，电话号码是：‭152。</t>
  </si>
  <si>
    <t>2019/10/11 10:54:23</t>
  </si>
  <si>
    <t>平台借款，上面写的购买300元黑卡，才能借款1200元，我购买了300元黑卡，但是借款借不了，要求退还300元。</t>
  </si>
  <si>
    <t>2019/10/11 10:54:21</t>
  </si>
  <si>
    <t>在大学期间创业，通过名校贷贷款两万多分两年还，平台收取4800咨询费，到手一万多点，后期我一次性把近一年的费用全部还清，我的咨询费到今天拖欠两年没有给我，客服说我有一次逾期四个小时，所以4800的咨询费不会给我的，名校贷就是这么欺负学生的吗。</t>
  </si>
  <si>
    <t>2019/10/11 10:54:13</t>
  </si>
  <si>
    <t>本人资金断了，逾期协商处理，不肯，雇佣第三方暴力催收，电话危险派人去本人住处村里，工作单位，派出所，联系本人通讯录里面的亲戚朋友叫他们还款，这是第三方电话。</t>
  </si>
  <si>
    <t>2019/10/11 10:53:39</t>
  </si>
  <si>
    <t>微信客服电话难以打通，我想还是来这里麻烦你们帮忙解决一下。</t>
  </si>
  <si>
    <t>2019/10/11 10:53:28</t>
  </si>
  <si>
    <t>有钱花客服自己打电话给我，说会有人给我打电话协商，结果他们没人给我打典故，还发信息，找我。</t>
  </si>
  <si>
    <t>2019/10/11 10:53:10</t>
  </si>
  <si>
    <t>现金巴士借款1000，周期一个月，扣除砍头息118元，实际到手只有882元，还款需还1030元，利息太高，最近资金紧张无力偿还，催收拒不接受协商还款，并且威胁爆通讯录，逾期费用已达270元，要求该平台销账。</t>
  </si>
  <si>
    <t>2019/10/11 10:52:50</t>
  </si>
  <si>
    <t>投诉人邹先生投诉对象期待科技涉诉金额5000元问题类型诉求类型投诉详情借5000元，直接扣调800元，到账4200，每期还款接近500元，一共12期，我也不知道为什么要扣什么800元的服务费，现在暂停还款了，然后打电话威胁我爆我通讯录，发短信威胁恐吓，希望能得到处理。</t>
  </si>
  <si>
    <t>2019/10/11 10:52:49</t>
  </si>
  <si>
    <t>购买了黑卡之后下不了款、一直显示额度抢光、既然放不了款为什么还要付前期费用。</t>
  </si>
  <si>
    <t>2019/10/11 10:52:37</t>
  </si>
  <si>
    <t>投诉人陈先生投诉对象维信金科,维信现贷,豆豆钱涉诉金额1899元问题类型诉求类型投诉详情1、豆豆钱虚增借贷金额：1499元，说是担保费用，国家明确规定不得虚增借贷资金，望退还！2、被恶意逾期，还款日打开服务器维护，希望你们心里有点数，国家明确了“套路贷”定义，你们是知法犯法，3、逾期日利率3.6%，年化1347.69%，你们是疯了吗，4、麻烦停止短信恐吓，骚扰借款人以外的联系人是违法的，你们这么喜欢知法犯法，5、我已经报警了，希望你们心里有点数，态度友好点，态度强硬也没啥好处。</t>
  </si>
  <si>
    <t>2019/10/11 10:52:32</t>
  </si>
  <si>
    <t>投诉人刘先生投诉对象钱站涉诉金额1200元问题类型诉求类型投诉详情逾期6天，没通知本人爆我通讯录，骚扰我的家人，立刻马上停止这种行为，本人22号发工资，协商22号还款！。</t>
  </si>
  <si>
    <t>2019/10/11 10:52:20</t>
  </si>
  <si>
    <t>利息高，跟客服协商威胁恐吓，骚扰电话天天不断。</t>
  </si>
  <si>
    <t>2019/10/11 10:51:47</t>
  </si>
  <si>
    <t>投诉人余先生投诉对象钱站涉诉金额5070元问题类型诉求类型投诉详情本人在钱站里面借了3000元，到账3000元，在我不只知道的情况下，合同里面需要还5070元，已经超过了国家规定的年化率，已经还款一期1724.2元，由于本人无力还款，第二期只还了200元，前一天就有短信催款，我也在短信里面回复了，后面就每天打电话催款，威胁我，把我的资料提交信息部，让信息部的工作人员联系我的亲戚朋友，让他们帮我想办法，我每天都在努力工作赚钱，也想尽快赚钱还清，但催收人员平凡催收，已经影响我的生活和工作，让我每天恐慌，希望停止</t>
  </si>
  <si>
    <t>2019/10/11 10:51:32</t>
  </si>
  <si>
    <t>人人贷旗下好分期平台严重高利贷，与合同还款金额不同，要求退还多余利息，降低后期利息，借款3100分9期要还3900，年利率已到55。</t>
  </si>
  <si>
    <t>分期乐电话骚扰、并对通讯录好友电话骚扰、严重影响正常生活。</t>
  </si>
  <si>
    <t>2019/10/11 10:51:25</t>
  </si>
  <si>
    <t>本人于2019.1.5在趣花分期借款8000元，到账后马上扣除899元会员费。</t>
  </si>
  <si>
    <t>2019/10/11 10:51:21</t>
  </si>
  <si>
    <t>本人在2019年10月10日中午12点54分购买了一瓶，瓶装凉茶，在购买之后发现生产日期是2019年10月10日23:30分。</t>
  </si>
  <si>
    <t>2019/10/11 10:50:55</t>
  </si>
  <si>
    <t>在你我贷借款14000元，不到一个月想提前结清，结果需要还18000，与客服协商无果，国家规定年利率36%，现在我的年利率达到了400%以上。</t>
  </si>
  <si>
    <t>2019/10/11 10:50:24</t>
  </si>
  <si>
    <t>本人因周转需要小额贷款，下载了分期通，一开始显示可以贷款，于是我申请了，但是它需要我缴纳249元的会员费，我之后支付了却发现申请入口没了，但是这些贷款软件依然需要所谓的服务费，而且从分期通里并未成功下款，也没有客服回复这件事情。</t>
  </si>
  <si>
    <t>2019/10/11 10:50:19</t>
  </si>
  <si>
    <t>贷上钱平台借2500一个月后让还3200，利息高的吓人不在合法范围内，由于当时自己也没有注意这些，就借了，由于自己生病了，一段时间没有上班，工资没发的少，逾期2天爆我暴力催收，爆我通讯录，骂我公司的人，害我工作也丢了，请严查。</t>
  </si>
  <si>
    <t>2019/10/11 10:50:10</t>
  </si>
  <si>
    <t>国通星驿违法为赌博平台提供第三方充值平台并成功，中国银联,和支付清算协会沟通得知第三方支付业务应审核客户的相关信息,第三方支付业务公司不得向证券，期货,博彩等机构提供支付结算业务，因朋友介绍，本人2019年8月份到10月份期间通过云闪付支付充值到网络黑平台上，本以为通过中国银联正规线上支付是正规机构，后来才知道是非法黑平台，通过中国人民银行，中国银联,和支付清算协会沟通得知，第三方支付业务应审核客户的相关信息,第三方支付业务公司不得向证券，期货,博彩等机构提供支付结算业务，作为有牌照的支付公司没有履行国家结</t>
  </si>
  <si>
    <t>2019/10/11 10:49:53</t>
  </si>
  <si>
    <t>投诉人张先生投诉对象捷信金融涉诉金额3000元问题类型诉求类型投诉详情都沟通好了&amp;nbsp;&amp;nbsp;&amp;nbsp;你们捷信爱这样是吧出尔反尔&amp;nbsp;&amp;nbsp;&amp;nbsp;我希望你们停止一切电话和信息&amp;nbsp;&amp;nbsp;&amp;nbsp;对我做出赔偿费。</t>
  </si>
  <si>
    <t>2019/10/11 10:49:27</t>
  </si>
  <si>
    <t>本人7月16号在给你花app上申请了一笔月光侠分期贷款，借款金额是6063元，分三个月还款，每期还款两千多，实际到账只有4700元，是高利贷砍头息，本人已经还款两期，还款金额4209元，现在债务爆发，无力偿还如此高的高利贷，现在希望协商还款，本金加上合适的利息，我将继续投诉到银监会和中国互联网金融平台！。</t>
  </si>
  <si>
    <t>2019/10/11 10:48:59</t>
  </si>
  <si>
    <t>此平台采用新型的高利贷模式，本人在平台借款239000.要分12期，总共的手续费需要8604元，这样按利息算，比高利贷还高出不少，还不能提前终结合同，本人了解到这样的情况后，在钱没有到账之前打电话要求平台终止这次交易，平台不予受理。</t>
  </si>
  <si>
    <t>2019/10/11 10:48:38</t>
  </si>
  <si>
    <t>投诉人林先生投诉对象小赢卡贷涉诉金额350元问题类型诉求类型投诉详情一大早就打电话来恐吓，骂人，有录音，还要爆通讯录，说下午还款还不让了，。</t>
  </si>
  <si>
    <t>2019/10/11 10:48:21</t>
  </si>
  <si>
    <t>杭州乐客科技以创业项目收取会员费，说保证能挣钱，结果上一个别的公司都不收费的项目。</t>
  </si>
  <si>
    <t>2019/10/11 10:48:03</t>
  </si>
  <si>
    <t>拍了农行绿森商城苹果11，迟迟不发货，后来申请退款，介绍说72小时退款，到现在已经过了时间，也不退，也没退款。</t>
  </si>
  <si>
    <t>2019/10/11 10:47:52</t>
  </si>
  <si>
    <t>投诉人李女士投诉对象淘宝商家涉诉金额2000元问题类型诉求类型投诉详情淘宝平台商家恶意拒绝退款！！！购买的头套过敏！只有这一家！已经退货给商家！商家拒绝退款！吊牌什么都在！商家恶意诋毁！恶意拒绝退款！！！说有脑油味！本人试戴两次都是奇痒无比！！！对我健康造成了危害！并且在七天无理由退货范围内！。</t>
  </si>
  <si>
    <t>2019/10/11 10:47:50</t>
  </si>
  <si>
    <t>9.4号天猫的tcl冰箱旗舰店有个免单的活动，活动是0点前1分钟内付款的订单订单号14位相加最小的前200名中奖，但是tcl冰箱旗舰店弄虚作假，不想履行承诺当时的补贴，故意没有列入其中，投诉tcl店铺虚假宣传，现在要求tcl冰箱旗舰店按照当时的活动规则，恢复本人的免单。</t>
  </si>
  <si>
    <t>商业保理有限公司,北京天下卡友教育科技有限公司,北京盛世骄阳投资管理有限公司，您好！我和我老公与2017年到2018年通过安投融，我是一名全职宝妈没有工作，全靠丈夫几千块的工资过活，这些钱很多都是向亲戚朋友借的，家里还有小孩和四个父母要赡养，加上父亲今年生意失败，欠外债一百八十多万，亲戚债主每天上门要债，让我们的生活已经没办法继续了！中安融金，债主可以用非法的手段逼迫我们还钱，为什么我通过正规的法律途径却无法将他们制裁，我们现在生活非常困难，孩子不能去上幼儿园，父亲生病吃药一个月都要上千元，难道真的要逼得我</t>
  </si>
  <si>
    <t>2019/10/11 10:47:34</t>
  </si>
  <si>
    <t>白条催收员添加本人工作微信，给我工作造成很大困扰，并发信息威胁恐吓，上门拜访。</t>
  </si>
  <si>
    <t>2019/10/11 10:47:23</t>
  </si>
  <si>
    <t>投诉人谭先生投诉对象平安普惠涉诉金额0元问题类型诉求类型投诉详情平安惠普的工作人员和律师对本人家庭工作造成严重的困扰，我的一个朋友没有经过本人的允许把我的电话泄露给平安惠普，之后平安惠普对我进行套路聊天，我作为朋友进行配合了解情况，现在和债务人已经不再联系可还是对我骚扰并要求我来偿还请问你们是根据哪条法律让我来承担的工作人员再没有任何证据情况下咬定说是这钱跟我有关系说用你们把中国的法律当做什么了，工作人员除了让我还款以外对本人恶心诽谤恐吓破坏本人工作家庭社会和谐有录音，请平安惠普工作人员给本人联系，逾期后果</t>
  </si>
  <si>
    <t>2019/10/11 10:47:07</t>
  </si>
  <si>
    <t>南京荣冉企业管理有限公司,南京乾沅祥和投资管理有限公司。</t>
  </si>
  <si>
    <t>2019/10/11 10:46:53</t>
  </si>
  <si>
    <t>本人9月28号在白条分期借钱，让交249元会员费，绑定银行卡后自动扣除，里面全是砍头息之类的app，没有用也不敢用，特要求退款。</t>
  </si>
  <si>
    <t>2019/10/11 10:46:50</t>
  </si>
  <si>
    <t>左右钱包存在砍头息，显示2200，下款1430，而且是客服说能提额，按照他的操作来，可以后台优化，通过虾米在线加了我微信，然后说需要在其他平台申请提额，结果下款之后说处理不了。</t>
  </si>
  <si>
    <t>2019/10/11 10:46:49</t>
  </si>
  <si>
    <t>投诉人 符先生        投诉对象  360借条        涉诉金额  6 000 元    问题类型    诉求类型投诉详情  360借条逾期8天，非恶意逾期。一天给我打十几个电话。根本不管我现在合不合适接电话。恶语相向。今天因为手机故障无法开机就爆我通讯录。听我朋友说态度十分恶劣。侵犯我隐私。</t>
  </si>
  <si>
    <t>2019/10/11 10:46:22</t>
  </si>
  <si>
    <t>小浦优客下载了他们平台填写手机号注册了绑定了银行卡。</t>
  </si>
  <si>
    <t>2019/10/11 10:45:53</t>
  </si>
  <si>
    <t>投诉人朱先生投诉对象嗨钱网涉诉金额2600元问题类型诉求类型投诉详情我已经还款了，到现在也没收到电话和信息给我入账，这逾期会影响征信我需要维权。</t>
  </si>
  <si>
    <t>2019/10/11 10:45:52</t>
  </si>
  <si>
    <t>投诉人 赵先生        投诉对象  人人贷        涉诉金额  10 000 元    问题类型    诉求类型投诉详情  本人借款正常还款。今日还款日，没有处理。有人打电话过来，催我处理。威胁我2点之前处理。不处理继续打电话。老子就12点之前处理。 阴阳合同的事情我现在要问一下。你们不搞我。我都想不起来投诉你们。</t>
  </si>
  <si>
    <t>2019/10/11 10:45:37</t>
  </si>
  <si>
    <t>总行程25.5公里，首汽客服给出3元每公里，没有一个网约车是这种，，就算高速费我出9元钱，，25.5*2元+9元是多多少钱，他打车前预估是45元，后来又收到74元。</t>
  </si>
  <si>
    <t>2019/10/11 10:45:26</t>
  </si>
  <si>
    <t>恶意发送侮辱信息，群发短信，进行骚扰，恐吓。</t>
  </si>
  <si>
    <t>2019/10/11 10:45:17</t>
  </si>
  <si>
    <t>实际借款35000，到账能使用的也是35000，但是借款金额变成了49900，24个月每月要还2780.46元，明显的高利贷，阴阳合同，要求按35000元还款，调整不超过24%的年利率。</t>
  </si>
  <si>
    <t>2019/10/11 10:44:47</t>
  </si>
  <si>
    <t>我作为联系人，不是我欠你们的，这样炸我，我一定维权到底！再不停止必然去起诉！。</t>
  </si>
  <si>
    <t>2019/10/11 10:44:21</t>
  </si>
  <si>
    <t>我只是贷款人的紧急联系人，并非贷款人，宜人贷恶意骚扰，短信及外地电话轰炸，对我的生活造成很大的影响，希望相关部门能严格控制这种行为。</t>
  </si>
  <si>
    <t>2019/10/11 10:44:16</t>
  </si>
  <si>
    <t>投诉人蒋先生投诉对象购分期涉诉金额199元问题类型诉求类型投诉详情没有提到这个199然后绑定一小会就扣钱了我也没看见任何支付页面。</t>
  </si>
  <si>
    <t>2019/10/11 10:43:55</t>
  </si>
  <si>
    <t>兴盛优选/湖北川合食品有限公司/长沙乡村伙伴食品有限公司-川合，购买的10月5日生产的豆奶存在胀包问题且封口技术不过关不敢食用，厂家电话一直没人接，兴盛平台400客服就一个人工拔打多次后未处理好投诉，要求厂家提供生产资质，要求兴盛优选完善售后投诉工作。</t>
  </si>
  <si>
    <t>2019/10/11 10:43:08</t>
  </si>
  <si>
    <t>投诉人 姚先生        投诉对象  微贷网        涉诉金额  1 400 元    问题类型    诉求类型投诉详情  微贷网线下催收，恐吓家人，骚扰家人。借款2000，只给1400。三个月要还两千多。高利贷，砍头息。</t>
  </si>
  <si>
    <t>2019/10/11 10:42:46</t>
  </si>
  <si>
    <t>本人因为家里出点事导致资金周转不开，多次跟催收沟通全部是要求还全额款项，目前账单逾期4000由于之前不知道可以自定义还款导致账单累计目前累计账单导致无法一次性还清，出账单也不可以自定义所以希望贵公司能及时联系我协商一下还款问题。</t>
  </si>
  <si>
    <t>2019/10/11 10:42:30</t>
  </si>
  <si>
    <t>你我贷最后一期了！今天逾期一天！刚催收打电话威胁我12点前还款，不然群发侮辱短信！让我亲戚朋友们都知道我欠钱！这俩天确实没钱还，才出院回家！请给俩天时间不要把人逼人绝路好吗。</t>
  </si>
  <si>
    <t>2019/10/11 10:42:06</t>
  </si>
  <si>
    <t>多次微现金借款,砍头息高达10000多,20190913又借一次,到账1824,分4期还,每期还609，共计2436,利息高达612,已还3期,还款金额已超本金,没有追究之前多收的砍头息,现在还要威胁催收。</t>
  </si>
  <si>
    <t>2019/10/11 10:41:23</t>
  </si>
  <si>
    <t>投诉人 张文军        投诉对象  钱站,华夏银行        涉诉金额  1 780 元    问题类型    诉求类型投诉详情  借款1330，还将近1800，纯属高利贷</t>
  </si>
  <si>
    <t>2019/10/11 10:41:05</t>
  </si>
  <si>
    <t>我来贷涉嫌高利贷，我现在有条件一次还清欠款，今天11日到期736.65元，我主动还款提示银行卡代扣额度或次数已达上限，我及时联系客服，客服说每天最多只能点还款三次，超过就不能还款，无论有没有还款，我说我要一次性还清，客服态度差，说每天只能还三次，今天到期也不能还，必须给我一个解决办法，我现在要求一次性能还清，必须给我结清证明。</t>
  </si>
  <si>
    <t>2019/10/11 10:40:56</t>
  </si>
  <si>
    <t>群发信息，高利息，骚扰我家人，一直未做出处理。</t>
  </si>
  <si>
    <t>2019/10/11 10:40:47</t>
  </si>
  <si>
    <t>每月还款金额为1359元，本人早已归还够本金有余，到最后一期时，我来贷居然逾期利息高达300元一天，并无相关计算利息依据，随口就直接说300元一天，这和高利贷有什么区别，远远高于了国家规定的利息不得高于年百分之三十六的，本人要求拒绝归还这不合法的部分。</t>
  </si>
  <si>
    <t>2019/10/11 10:40:43</t>
  </si>
  <si>
    <t>十点钟打电话十一点看不到钱你的朋友圈就等着吧，我在你我贷平台借了11000用了十个月我还进去12100多了。</t>
  </si>
  <si>
    <t>2019/10/11 10:40:18</t>
  </si>
  <si>
    <t>投诉人 陈先生        投诉对象  Wecash闪银,闪闪花        涉诉金额  1 050 元    问题类型    诉求类型投诉详情  联系不上客服 没有客服电话 公众号一直维护</t>
  </si>
  <si>
    <t>2019/10/11 10:39:47</t>
  </si>
  <si>
    <t>一秒陛下存在砍头息，显示2200，下款1430，而且是客服说能提额，按照他的操作来，可以后台优化，通过虾米在线加了我微信，然后说需要在其他平台申请提额，结果下款之后说处理不了。</t>
  </si>
  <si>
    <t>2019/10/11 10:39:40</t>
  </si>
  <si>
    <t>我在小花钱包上接了1.8万元人民币分12期还款。</t>
  </si>
  <si>
    <t>2019/10/11 10:39:31</t>
  </si>
  <si>
    <t>2018年，借款，期间因身体原因住院半年多，现在暴力催收，骚扰公司同事，威胁公司领导，导致本人离职。</t>
  </si>
  <si>
    <t>2019/10/11 10:39:25</t>
  </si>
  <si>
    <t>投诉人 王女士        投诉对象  龙分期        涉诉金额  0 元    问题类型    诉求类型投诉详情  暴力催收 进行电话短信骚扰</t>
  </si>
  <si>
    <t>2019/10/11 10:39:24</t>
  </si>
  <si>
    <t>本人于十月二日，十月三日在携程网上预定酒店，一共六间，不巧赶上携程国庆假期系统故障，导致房间无法确认也无法取消，由于是闪住订单，携程现在承认是自己系统故障导致的酒店订单未确认情况下无法取消，却霸王条款要求消费者先付费无入住的订单，然后再返钱到携程账户，我并不认可这个处理方式，要求携程取消错误订单，并做出相应赔偿与道歉。</t>
  </si>
  <si>
    <t>2019/10/11 10:39:01</t>
  </si>
  <si>
    <t>投诉人 郑先生        投诉对象  掌众金服        涉诉金额  3 043 元    问题类型    诉求类型投诉详情  我的闪电借款到期了 犹豫工作变动的原因 希望闪电给予时间 利息降低</t>
  </si>
  <si>
    <t>2019/10/11 10:38:54</t>
  </si>
  <si>
    <t>投诉人 向先生        投诉对象  小浦优客        涉诉金额  296 元    问题类型    诉求类型投诉详情  小铺优客2019年10月10日 不经本人同意就扣了296元</t>
  </si>
  <si>
    <t>2019/10/11 10:38:50</t>
  </si>
  <si>
    <t>投诉人何女士投诉对象宙斯钱包涉诉金额7000元问题类型诉求类型投诉详情10月3号在网站上下载的APP，提现3000到账只有1800，还款期限5天，还款金额3009.86，前一天就来催收，我4天逾期1440元的利息费，还要发短信恐吓我的家人https://zsqb.nn1n.com/m.html#/landpage-third?channel_code=dx01宙斯钱包的网站链接。</t>
  </si>
  <si>
    <t>2019/10/11 10:38:23</t>
  </si>
  <si>
    <t>投诉人曾先生投诉对象现金巴士涉诉金额0元问题类型诉求类型投诉详情不联系本人，非法发信息到亲人手机号码，盗取手机号码群发，性质恶劣。</t>
  </si>
  <si>
    <t>2019/10/11 10:38:22</t>
  </si>
  <si>
    <t>投诉人关女士投诉对象哥斯拉涉诉金额2300元问题类型诉求类型投诉详情本人在哥斯拉平台的一笔借款8.17号到期，当天在登陆app进行还款时，一直无法还款，app出现闪退，商户账户不匹配等原因，导致我无法主动进行还款，拨打了客服电话，均无人接听，在app上联系了客服，无人回复，现在已经逾期两个多月，app早就已经无法验证，没有任何客服人员联系我进行还款，硬生生的被拖着高额的逾期费，希望有关部门能治理，还我一个公道，谢谢。</t>
  </si>
  <si>
    <t>2019/10/11 10:38:14</t>
  </si>
  <si>
    <t>投诉人张先生投诉对象卡牛信用管家涉诉金额2625元问题类型诉求类型投诉详情本人在2019年8月31号于信用管家的神马借这款产品借款2625元，还款期限为四期每一期为8天，每一期还款896元，四期连本带息需要还款3584元，也就是说借款2625元32天，利息就959元！属于典型高利贷，如今本人已经偿还了前三期，已经还了2688元，在还第三期时候就联系过客服，表示销账，因为利息太高，不合法，只能按照合法利息支付，但是客服一直不给处理销账，已经过去很多天了，一直处于逾期，而且滞纳金一直在涨，希望相关商家尽快处理销</t>
  </si>
  <si>
    <t>2019/10/11 10:38:03</t>
  </si>
  <si>
    <t>投诉人肖先生投诉对象信而富,中金支付,云南信托涉诉金额2600元问题类型诉求类型投诉详情收取高额砍头息借款1300强制要求购买199-212元不等的虚拟物品实际到账1000-1100元不等还款金额1300多购买的物品没有看到实物都是虚拟物品，不给激活码过期之后才和我说激活码，现要求平台退还总共411元购物砍头息，若平台觉得我提供的图片以及证词不全的话我可以继续提供，还可以叫其他受害者一起集体提供。</t>
  </si>
  <si>
    <t>2019/10/11 10:37:28</t>
  </si>
  <si>
    <t>投诉人林涵投诉对象oppo,广东欧珀移动有限公司涉诉金额3000元问题类型诉求类型投诉详情OPPOR9SPLUS使用仅1年就出现不断重启，无法使用，不管什么维修店，都是回复说这款机子特有的硬件毛病，无法修复。</t>
  </si>
  <si>
    <t>2019/10/11 10:37:24</t>
  </si>
  <si>
    <t>投诉人张先生投诉对象带上钱涉诉金额2500元问题类型诉求类型投诉详情砍头息，高利贷，骚扰通讯录，以游戏豆作为幌子变相为砍头息。</t>
  </si>
  <si>
    <t>2019/10/11 10:37:22</t>
  </si>
  <si>
    <t>投诉人邵先生投诉对象海纳百川涉诉金额2100元问题类型诉求类型投诉详情砍头息超利贷年利率百分之4000骚扰通讯录暴力催收敲诈勒索恐吓。</t>
  </si>
  <si>
    <t>2019/10/11 10:37:14</t>
  </si>
  <si>
    <t>10月5日，本人通过闲鱼软件添加了一个卖苹果手机的商家，因本人有需求购入一件苹果XS，便与其取得了联系，看其qq空间全是收获和发货的视频与截图，我并未怀疑，随即便下单了一部苹果XS，当时其告诉我说需支付80元定金，完后通过圆通快递货到付款1800元即可，当时商家承诺7天无理由退货，10月8日下午我在菜鸟驿站取到了快递，后回家激活后发现是安卓系统的高仿苹果机，我随即便与商家联系，其只是称发个视频看看后便再无消息，随即我查看了当时发件时的快递员，打电话时被告知是空号，与圆通快递公司联系问可否帮忙冻结货款，其称这</t>
  </si>
  <si>
    <t>2019/10/11 10:37:09</t>
  </si>
  <si>
    <t>易宝支付,智付电子支付有限公司,国付宝信息科技有限公司，第八条中明确指出支付机构不得为金融机构，以及从事融资、理财、货币兑换等金融业务的其他机构开立支付账户，这三个平台已经严重违反了人民银行的规定，我被星辰团伙诱骗到通天外汇黑平台炒股指期货，通天外汇的官网是：http://cremornefx.com，出、入金的网址是cremornefx，从我的银行流水帐清楚看到，我的资金到了智付电子支付有限公司、易宝支付有限公司、国付宝信息科技有限公司，被上述公司分别转入深圳华银网络科技有限公司、济南凌基商贸有限公司、北</t>
  </si>
  <si>
    <t>2019/10/11 10:36:36</t>
  </si>
  <si>
    <t>本人在2月份借了小赢卡贷10000元，已经还了7期，共计8078.77.但是工作已经辞职，暂时没有偿还能力，今天开始逾期，跟催收人员说过几天才行，又不是恶意不还，就开始威胁辱骂和威胁爆通讯录，现要求小赢卡贷停止违法催收，进行利率调整为国家法定利率百分之24,否则就向当地银监会和市长热线进行投诉，再不行就我就将证据整理，到你们当地法院进行维权。</t>
  </si>
  <si>
    <t>2019/10/11 10:36:18</t>
  </si>
  <si>
    <t>投诉人吴女士投诉对象北京派尔德教育科技有限公司涉诉金额3880元问题类型诉求类型投诉详情交费两小时内要求退费，不予退，被质疑后才说考不过明年还可以接着看他们的老课件进行学习，交费前对课时进行欺瞒，没有告知课件有限期距离考试时间11月份只剩两个月的学习时间，被质疑后才说，考不过明年还可以接着看他们的老课件进行学习！考点重点政策不断变化，让我接着看老资料，并且在北京消防官网上不能查到对方的相关资质，本人对对方的资质及水平严重怀疑，收费老师说帮我处理让我等着，我等了一个月，找他微信经常不回复，后面我自己打电话到他</t>
  </si>
  <si>
    <t>2019/10/11 10:36:15</t>
  </si>
  <si>
    <t>投诉人简女士投诉对象掌众金服涉诉金额630元问题类型诉求类型投诉详情闪电借款收取砍头息黑神卡630，第一天下款失败，第二天显示额度以抢完，就是不下款，联系电话客服就让去公众号找人工客服，公众号客服一直排队好几百号。</t>
  </si>
  <si>
    <t>2019/10/11 10:35:51</t>
  </si>
  <si>
    <t>投诉人帅女士投诉对象及贷涉诉金额730元问题类型诉求类型投诉详情本人于2019年5月10日在PPmoney上面借了5730元，实际到账5000元，分6期每个月还款1126.9元，利息严重超了国家规定的标准，属于高利贷，逾期一天就打爆通讯录外加恐吓，现要求改公司退还砍头息，调整利率，提前结清贷款并且销账。</t>
  </si>
  <si>
    <t>2019/10/11 10:35:32</t>
  </si>
  <si>
    <t>投诉人曹先生投诉对象兴业银行信用卡涉诉金额5000元问题类型诉求类型投诉详情之前忘记还款，五千多元逾期三个月，兴业银行第三方外包公司打电话过来要求还款7000多，一次还清，银行把我个人资料透露给外包公司，骚扰亲人朋友。</t>
  </si>
  <si>
    <t>2019/10/11 10:35:27</t>
  </si>
  <si>
    <t>9月11日，在唯品会平台退货商品，被该平台快递员将包裹丢失至今，却拒绝退款赔偿。</t>
  </si>
  <si>
    <t>2019/10/11 10:33:58</t>
  </si>
  <si>
    <t>投诉人 张先生        投诉对象  蚂蚁钱庄        涉诉金额  1 103 元    问题类型    诉求类型投诉详情  欠2100还了1000了 我说有钱就给威胁我打通讯录 借2100到手1500</t>
  </si>
  <si>
    <t>2019/10/11 10:33:43</t>
  </si>
  <si>
    <t>因资金周转出现问题，逾期了几天，一直对我进行催收骚扰，暴力催收，希望停止暴力催收，宽限几天。</t>
  </si>
  <si>
    <t>2019/10/11 10:33:41</t>
  </si>
  <si>
    <t>投诉人牛帅投诉对象马上花涉诉金额3300元问题类型诉求类型投诉详情接到马上花催收电话，我没在该平台有任何借款，让其提供借款信息，合同等，催收人员没有任何可以提供的，App也提供不了。</t>
  </si>
  <si>
    <t>2019/10/11 10:33:34</t>
  </si>
  <si>
    <t>连连支付不作为，连连支付电话无人联系我，万贯街也无人联系我，这就是连连支付处理的方式吗，当初吸了这么多受害人的血，现在就要推脱了吗，能不能拿点诚意出来跟受害人协商，最起码你也得给我个电话吧。</t>
  </si>
  <si>
    <t>2019/10/11 10:32:44</t>
  </si>
  <si>
    <t>已经开车很久到达乘客上车地方后等待很久后，乘客竟然没有任何联系就取消了订单，导致我不光绕路等待还迟到，被公司扣钱，要求嘀嗒出行道歉并赔偿订单金额。</t>
  </si>
  <si>
    <t>2019/10/11 10:32:35</t>
  </si>
  <si>
    <t>微粒贷的催收人员态度极差，一来就叫我必须马上处理，我已经答应了今天会处理，他还说我恶意拖欠，打电话给我亲戚朋友，爆我通讯录。</t>
  </si>
  <si>
    <t>2019/10/11 10:32:10</t>
  </si>
  <si>
    <t>投诉人周先生投诉对象豆豆钱涉诉金额52元问题类型诉求类型投诉详情之前和豆豆钱相关人员协商好还款1042元，由于账单一直没处理好，显示逾期，所以平台又扣了我51.86，要求立即退还！。</t>
  </si>
  <si>
    <t>2019/10/11 10:31:56</t>
  </si>
  <si>
    <t>在玖富万卡贷款15200元，36期竟然要还31608元，多还16408元，竟然比本金还要多，玖富万卡小蓝卡签订阴阳合同，分两笔还款，一笔376.18元，一笔502.04元。</t>
  </si>
  <si>
    <t>2019/10/11 10:31:55</t>
  </si>
  <si>
    <t>本人手机号185******74因经济来源问题与微粒贷协商解决问题，微粒贷，不与本人协商，多次发短信威胁！上门催收！要求协商。</t>
  </si>
  <si>
    <t>2019/10/11 10:31:40</t>
  </si>
  <si>
    <t>2019年10月11日上午9点多，通联支付_宏萨，信息科技有限公司，在本人不知情的情况下，没有以任何形式联系本人，未经本人允许私自扣款296元。</t>
  </si>
  <si>
    <t>2019/10/11 10:31:35</t>
  </si>
  <si>
    <t>提前还款仍然需要还全部利息，致电客服无效，希望能够按照实际使用额度付息。</t>
  </si>
  <si>
    <t>2019/10/11 10:31:19</t>
  </si>
  <si>
    <t>投诉人 梁杰        投诉对象  银生宝        涉诉金额  5 000 元    问题类型    诉求类型投诉详情  合同到期后，经双方同意解约。银生宝一直迟迟不肯退款5000元保证金</t>
  </si>
  <si>
    <t>2019/10/11 10:31:15</t>
  </si>
  <si>
    <t>本人被人骗去积蓄，经济已破产，目前打零工为生，多次致电该行协商还款事宜，该行完全不协商，泄露个人隐私完全依靠第三方威胁恐吓催收，骚扰无关人员，给通讯录无关人员发送快递信息意图何为。</t>
  </si>
  <si>
    <t>2019/10/11 10:31:14</t>
  </si>
  <si>
    <t>3月23日，在恒易贷借款46957元，最后发现合同上显示是79034，想问这些多出来的是什么，我也没到账，当时分了36期，第一期还款金额是2399.79元，剩余35期每期是2528.89元，合计三年下来还款金额是90910.94‬元，除去本金46957元，多还43953.94元。</t>
  </si>
  <si>
    <t>2019/10/11 10:31:07</t>
  </si>
  <si>
    <t>在马蜂窝平台上定了9月19日广州飞北京的机票，机票价格1834元，但收到供应商的发票仅有112元，后致电马蜂窝客服，从9月24日至今已经半个月，仍然没有解决，以至于错过报销时间，要求马蜂窝补足差价，并补偿在此期间耽误的工作时间和精力成本。</t>
  </si>
  <si>
    <t>2019/10/11 10:31:00</t>
  </si>
  <si>
    <t>服装面料问题严重，全棉面料换成晋通面料，天差地别。</t>
  </si>
  <si>
    <t>2019/10/11 10:30:42</t>
  </si>
  <si>
    <t>实际上每5天一期，每期864元，不到一个月分期下来利息高达1620元，当前已还完一期，第二期还款日软件就已经没法登入了，短信一直提醒逾期…等他们催收电话时，和他们沟通还本金加合理利息清账，但对方态度强硬，不予协商，并威胁将进入下一步流程，我想请问，在国家正在严打不合理网贷的当下，到底是什么后台让这些高炮公司还在顶风作案，并毫不畏惧，我们并没有恶意不还钱，只是对方软件平台不正规，我们发现问题并要求沟通解决的情况下，对方依然蛮横强硬，丝毫没有协商余地，请问，谁给了这样的高炮平台勇气和自信，今天求助贵聚投诉平台，</t>
  </si>
  <si>
    <t>2019/10/11 10:30:24</t>
  </si>
  <si>
    <t>近期多次与律师接触，没来这边投诉，发现好几个投诉都被你们悄悄的给结案了，说出来真是好笑，你们违规为黑平台提供资金结算，还厚脸皮的推脱责任，你们的好日子快到头了，最近讯付信息，随行付的，多家支付公司违规资金结算的案子法院已判下来了，这边的律师也准备材料开始接手我这边的案子。</t>
  </si>
  <si>
    <t>2019/10/11 10:28:51</t>
  </si>
  <si>
    <t>在闲鱼平台购买宠物猫，接回后检测出有猫杯状病毒感染，因咨询医生未告知感染猫咪可终身携带病毒且该病毒有极强的传染性遂在卖家的催促下当晚予以确认，向闲鱼平台投诉卖家要求介入处理闲鱼拒绝，要求闲鱼对卖家的虚假宣传及违规销售有传染病活体的行为进行管理，闲鱼客服再次以闲鱼系个人交易平台为由婉拒，我对此深感愤怒及无奈！作为平台，闲鱼有义务对平台进行管理保障其规范性，对活体宠物的发布有义务进行更严格的审核，并且对有恶劣行为的卖家给予公平公正的管控，而不是推脱敷衍，推卸责任！。</t>
  </si>
  <si>
    <t>2019/10/11 10:28:49</t>
  </si>
  <si>
    <t>一大早就被扣了296打电话跟客服说退不了款说征信服务费退不了。</t>
  </si>
  <si>
    <t>2019/10/11 10:28:44</t>
  </si>
  <si>
    <t>提现300元国庆前提现，现在还没到账有点坑吧也没人处理。</t>
  </si>
  <si>
    <t>2019/10/11 10:28:29</t>
  </si>
  <si>
    <t>因最近投资失败，资金出现问题，现申请全部账单分期。</t>
  </si>
  <si>
    <t>2019/10/11 10:28:28</t>
  </si>
  <si>
    <t>本人患有心脏病，之前已经报警立案，已经开始走法律程序，昨天有宜人贷催收拼命打电话，导致本人心脏病复发，今天早晨又打，想问宜人贷借款平台你们要逼死人，出了人命才罢休吗。</t>
  </si>
  <si>
    <t>2019/10/11 10:27:55</t>
  </si>
  <si>
    <t>5500贷款，下款瞬间扣走1080，说是充了什么会员，给那边打电话那边推脱卡牛的问题，给卡牛打电话没人接，申请的时候压根就没说有什么会员什么的，钱我一分没动，不行咱就上法院。</t>
  </si>
  <si>
    <t>2019/10/11 10:27:41</t>
  </si>
  <si>
    <t>投诉人 严先生        投诉对象  你我贷        涉诉金额  4 894 元    问题类型    诉求类型投诉详情  计算下来借3600 一年要还4894.08 要多还1千多 如果按照年化10.8%的话 应该是4000左右 现在要多还这么多 。承诺年利率10.8% 现在年利率已经远远超过这个利率了</t>
  </si>
  <si>
    <t>2019/10/11 10:26:41</t>
  </si>
  <si>
    <t>本人在马上消费金融旗下产品安逸花申请循环贷，总金额5159元，期间一直正常使用，连app都并未通知，对账号进行锁定，无法消费和提现，我不同意，要求安逸花方恢复可使用额度，解锁我的账户！今年又被你们的假客服骗了，资金实在周转不过来，影响我的正常生活，希望贵公司解锁我的账户。</t>
  </si>
  <si>
    <t>2019/10/11 10:26:36</t>
  </si>
  <si>
    <t>暴力催收，完全没有服务不知道服务费怎么产生的，非法收取高额利息，伙同支付公司随意扣费，故意造成逾期，一天80的逾期费。</t>
  </si>
  <si>
    <t>2019/10/11 10:26:28</t>
  </si>
  <si>
    <t>大手钱包阴阳合同下款1500秒扣460的手续费，分两期每期815还款，本人因无力偿还高利贷恳请聚投诉介入处理，我希望协商偿还本金并销账处理，我已经还款815元。</t>
  </si>
  <si>
    <t>2019/10/11 10:26:21</t>
  </si>
  <si>
    <t>能不能给条活路，我知道借了是我不对，现在唯有死感觉才能是解脱了，已经还不起了，利息高的吓人，已经违法了啊，你们没点良心吗，借款20000，12期，差不多要赔27800，人都被逼死了啊。</t>
  </si>
  <si>
    <t>2019/10/11 10:25:48</t>
  </si>
  <si>
    <t>平安易贷不知道哪里了解到本人的电话号码等相关信息，这几天不分时段机器电话骚扰我，介绍贷款消息。</t>
  </si>
  <si>
    <t>2019/10/11 10:24:39</t>
  </si>
  <si>
    <t>能协商就协商，继续骚扰我选择报警，就这样吧！。</t>
  </si>
  <si>
    <t>2019/10/11 10:24:33</t>
  </si>
  <si>
    <t>这个书包我是九月中旬买的预售款，说是9.30之后发货，30号我看了下改成10.10_10.3发货，但是我以为国庆节我想想就算了，可是刚刚看了下又改成10.31之后了，欺骗消费者吗。</t>
  </si>
  <si>
    <t>2019/10/11 10:24:30</t>
  </si>
  <si>
    <t>投诉人 刘先生        投诉对象  京东金融        涉诉金额  2 800 元    问题类型    诉求类型投诉详情  暴力催收 严重骚扰通讯录联系人 是有欠款 但不是不还 是暂时没有那么多钱还不了 电话几分钟一个一天几十个电话是什么意思嘛</t>
  </si>
  <si>
    <t>2019/10/11 10:24:24</t>
  </si>
  <si>
    <t>暴力催收，言语辱骂，利息高的吓人，还威胁我要联系通讯录，要求海纳百川停止骚扰。</t>
  </si>
  <si>
    <t>2019/10/11 10:24:23</t>
  </si>
  <si>
    <t>投诉人蒋女士投诉对象米多点涉诉金额2000元问题类型诉求类型投诉详情在给你花借2000，到账1500，一个月后还2000多，因为资金不够选择了续期，续期金额一个礼拜304，已经连续续了三个礼拜，续期费用都快超过了本金，要求合理协商还款。</t>
  </si>
  <si>
    <t>2019/10/11 10:24:11</t>
  </si>
  <si>
    <t>投诉人 沈先生        投诉对象  小花钱包        涉诉金额  4 000 元    问题类型    诉求类型投诉详情  各种催收 电话轰炸。恐吓 骚扰朋友亲戚。家人</t>
  </si>
  <si>
    <t>2019/10/11 10:23:51</t>
  </si>
  <si>
    <t>10月9日早上已经协商好12号还款，银行却不断打电话发信息发信息给家里人进行催收。</t>
  </si>
  <si>
    <t>2019/10/11 10:23:32</t>
  </si>
  <si>
    <t>平安普惠雇佣外包催收集团对本人进行短信恐吓、威胁、引诱再次贷款进行套路贷！对本人及家庭造成严重影响！希望有关部门对该催收集团及个人进行查处！停止骚扰赔礼道歉。</t>
  </si>
  <si>
    <t>2019/10/11 10:23:30</t>
  </si>
  <si>
    <t>及贷催收人员态度恶劣，恐吓威胁！私自盗取信息，扬言要问候亲友及群发散播本人贷款信息，私自帮我像亲友借钱！对我精神造成极大损害！。</t>
  </si>
  <si>
    <t>2019/10/11 10:23:27</t>
  </si>
  <si>
    <t>本人于三个月前在快闪卡贷APP借款17000，属于赤裸裸的高利贷，现在本人已经无法承担此笔账务，要求快闪卡贷协商还款事宜，退还莫名其妙被捆绑的保险，不然将继续投诉到保监会以及其他平台，在我未知情未签字未授权的情况下已我名义购买了保险！。</t>
  </si>
  <si>
    <t>2019/10/11 10:23:24</t>
  </si>
  <si>
    <t>本人想投诉成都市成华区双庆路10号华润大厦25层英孚教育培训中心一、因为想提高个人的英语水平，2018年12月5号决定后报名了英孚教育为期两年的高级经典课程，学费为22999元，在顾问的推荐下办理了第三方-百度钱包的教育分期贷款，签订协议时首次支付了2300元，剩余的20699元办理了24期的免息分期贷款，每期还款862.45元，出要退款后客服和顾问才告知有30天内无条件退款提供格式条款的一方当事人违反合同法第三十九条第一款关于提示和说明义务的规定，导致对方没有注意免除或者限制其责任的条款，对方当事人申请撤</t>
  </si>
  <si>
    <t>2019/10/11 10:23:14</t>
  </si>
  <si>
    <t>捷信公司真是太黑心了，我借了四万了还了三万六还要我还三万九，国家怎么有这样黑心公司存在啊，我要公司给我哦一个合理解释。</t>
  </si>
  <si>
    <t>本人银行卡昨天无故被此公司扣款296，上网查询了下应该是小浦优客扣款。</t>
  </si>
  <si>
    <t>2019/10/11 10:23:00</t>
  </si>
  <si>
    <t>早晨接到闪银瞬瞬外包催收公司互连众信的来电，催收员态度很不友好，在本人愿意积极沟通处理的情况下，依旧口气很冲。</t>
  </si>
  <si>
    <t>2019/10/11 10:22:54</t>
  </si>
  <si>
    <t>汇潮支付为6天高炮王者钱包提供第三方支付！！要求协商还款！！。</t>
  </si>
  <si>
    <t>2019/10/11 10:22:47</t>
  </si>
  <si>
    <t>收到无数次360借款的短信，这次刚好缺钱周转，注册完还说第一次免息，有免息券，我就借了10000，想着把信用卡还了在套出来就把这个钱还了，免不免息算着顶多十几块钱吧，最后一看要还10000＋600，一进一出就600利息，我要投诉360借款，希望能解决。</t>
  </si>
  <si>
    <t>2019/10/11 10:21:51</t>
  </si>
  <si>
    <t>尊敬的各位工作人员，你们好！我是淘宝店铺的店主，，我是1688一件代发，1688供应商也有正规品牌授权书，按照淘宝要求申诉后，上传材料后申诉当天就出结果了，说“根据您的账户行为综合判定申诉不成立”，找了淘宝客服，按照客服的要求又重新给了货品为正品的证据说帮我反馈，但是第二天又是系统消息无法二次申诉，而且没有再次申诉的机会，请黑猫投诉的工作人员帮帮我，明明我卖的是正品，却被这样冤枉，真是无处说理去了，如果还需要什么进货凭证请告知我，我会补充，期待给予我公正的评判，谢谢！，涉嫌订单50多个，保密单号只能填写4个</t>
  </si>
  <si>
    <t>2019/10/11 10:21:49</t>
  </si>
  <si>
    <t>在易贷分期借款，易贷分期让在借贷宝打欠条，借2000实际到帐1200，本人没钱了和他们协商还本金，他们也同意了，最后还了1200，然后他们还要300才销帐，本人实在没钱了就给他们转了60，他们还不销帐，还威胁恐吓我。</t>
  </si>
  <si>
    <t>2019/10/11 10:21:48</t>
  </si>
  <si>
    <t>欠款之事不直接和本人沟通，骚扰家人，恐吓家人，欠款5千元讲成1万，把我家人恐吓一次又一次，骚扰一次又一次，对我造成严重影响，请马上惩治这些恶劣催收，直接联系本人。</t>
  </si>
  <si>
    <t>2019/10/11 10:21:45</t>
  </si>
  <si>
    <t>天行VPN专业版,上海昆奥网络科技有限公司，购买该公司的一款APP&amp;nbsp;服务之后，因为无法达到预期的使用效果，便向该公司提出申请退款，而该公司承诺退款至今未履行退款承诺，从该公司设置的自动回复邮件可见：还有非常多的消费者向该公司提出退款申请。</t>
  </si>
  <si>
    <t>2019/10/11 10:21:02</t>
  </si>
  <si>
    <t>打电话催收恶意辱骂、威胁恐吓啊、分分钟爆通讯录！砍头息、下课之后才看到！恶意欺骗！。</t>
  </si>
  <si>
    <t>2019/10/11 10:21:01</t>
  </si>
  <si>
    <t>2019/10/11 10:20:43</t>
  </si>
  <si>
    <t>活力花催收人员侵犯个人隐私，骚扰朋友，逾期利息太高，电话恐吓。</t>
  </si>
  <si>
    <t>2019/10/11 10:20:08</t>
  </si>
  <si>
    <t>投诉人杨先生投诉对象钱程无忧涉诉金额168元问题类型诉求类型投诉详情app浏览页点击未输入银行密码就扣费了，一共扣了240多，申请了14天没下款，客服退回81，其余的钱客服说是服务费，存在虚假宣传和欺骗行为。</t>
  </si>
  <si>
    <t>2019/10/11 10:19:56</t>
  </si>
  <si>
    <t>打电话说要通知我亲朋好友都知道我借钱！已经轰炸我电话5天了，精神快崩溃了！！。</t>
  </si>
  <si>
    <t>2019/10/11 10:19:22</t>
  </si>
  <si>
    <t>10月9日，自称玖富集团旗下的玖富金融的微信客服联系说可以提供贷款，半小时后客服说申请通过2万元，让我到app进行提现，提现时提示权限不足，客服说是会员制，需要缴纳会员费用，费用缴纳后会返还到app账户，然后我先缴纳598元开通中级会员，提现时说中级名额已用完，又要我开通高级会员，客服语音通话，说我的账户受到银行风控，无法下款，需要缴纳贷款金额的20%，即4000元作为保证金，保证金走完银行流水后也会返还到app账户，我说我没那么多钱，客服就让我先转2000元，接着我按客服提供的账号转了2000元，在此期间</t>
  </si>
  <si>
    <t>2019/10/11 10:19:11</t>
  </si>
  <si>
    <t>借款5000，6个月赔清，每个月要赔1433，总得要赔8598元，人都要被逼疯了，光利息就要3598。</t>
  </si>
  <si>
    <t>2019/10/11 10:18:52</t>
  </si>
  <si>
    <t>投诉人 钱女士        投诉对象  万惠及贷        涉诉金额  3 749 元    问题类型    诉求类型投诉详情  怎么会有这种人呐 猖狂呢 厉害了 说我欠你钱 你倒是来找我拿啊</t>
  </si>
  <si>
    <t>2019/10/11 10:18:38</t>
  </si>
  <si>
    <t>给公司打骚扰电话！已经影响正常工作，马上要被辞退！。</t>
  </si>
  <si>
    <t>2019/10/11 10:18:27</t>
  </si>
  <si>
    <t>2019/10/11 10:18:13</t>
  </si>
  <si>
    <t>去年5月在有信重庆门店办理一笔贷款，当时业务员告诉我利息比信用卡高一点由于自己也不懂就办理了，合同金额134000，实际到账90000，分36期，每期还款4298.68，前几天打电话咨询了有信客服，他告诉我，他们是一个贷款服务平台，贷款的话需要一次性收取服务费，根据国家法律规定利息也好，服务费也好，总和不能超过年利率百分之24，现在我已经还了16期差不多7万，还需要还20期也就是8万多，意思就是我借90000块每期都有还相应的本金，36期利息就是64752.48，这不是高利贷是什么，打着服务费的幌子实际到账</t>
  </si>
  <si>
    <t>2019/10/11 10:17:51</t>
  </si>
  <si>
    <t>本人于2017.12.23借款50000元，实际到账43250元，而分六期还款50000元，利率严超国家规定的高利贷36%的红线，实至名归的高利贷公司，作为一家上市公司，居然靠高利贷营生，至国家法律不顾，现要求返还我超过及法律规定的超24%的部分非法利息1600.5元，而昨天看我另外一笔24000元的借款，在到账的当天，拉卡拉在未经我同意的情况下，私自扣了150元，咨询他们说是购买的保险，请问拉卡拉公司购买保险为什么是扣我的款，另外在2018.7.6扣取了1021.14元，2018.7.28扣取了369元，</t>
  </si>
  <si>
    <t>小花钱包催收请问谁给你们的权利随便曝光个人隐私。</t>
  </si>
  <si>
    <t>2019/10/11 10:17:35</t>
  </si>
  <si>
    <t>被车撞了，人还在医院，协商出院后还款，不同意，说十二点前不还就发视频给亲朋好友。</t>
  </si>
  <si>
    <t>2019/10/11 10:17:21</t>
  </si>
  <si>
    <t>投诉人 林女士        投诉对象  易到用车        涉诉金额  0 元    问题类型    诉求类型投诉详情  易到用车申请开发票，一直处理中。客服电话打不通</t>
  </si>
  <si>
    <t>2019/10/11 10:16:50</t>
  </si>
  <si>
    <t>2019年9月16日抢前5名TCL电视的半价的活动，当时活动规则的第五条写着：半价订单的创建日期，需要在活动开始的时候或之后，活动开始的时候是9.16号0点，也就是创建时间需0点之后，但是名单所公示的全部是0点之前创建的订单，注意我不是说的付款时间，是下单时间也就是创建时间，要求苏宁履行承诺,诚实守信的重新出具当时规则的名单或者旺旺发给本人。</t>
  </si>
  <si>
    <t>2019/10/11 10:16:43</t>
  </si>
  <si>
    <t>在厦门机场遇到民航联盟业务员，当时办卡说购买会员1980，赠送3000的卡里现金，总额5000，可以用于实际购买机票，高铁，酒店的，全额抵扣，我还不放心特地问，是比如订单费用1000，就直接抵扣1000，支付0元是吗，得到确切回复才办的卡，甚至说通过民航联盟代订机票酒店是全网最低价，结果使用的时候对比携程价格发现，普通酒店都贵几十，四五星酒店更是贵了两三百一晚，这样就算了，预订酒店一分钱都没有的抵扣，要自己额外全额支付，机票一张也就抵扣了32元钱，我充值的1980，得预订60张机票才抵扣的完，这不是忽悠人是</t>
  </si>
  <si>
    <t>2019/10/11 10:16:27</t>
  </si>
  <si>
    <t>在2019.4月马上消费金融公司与我签订的随借随还5年的合同，里面有一条说改公司有权变更额度跟期限，当时签合同说的循环额度到2024年，我今天特意打客服问了合同的期限，还是到2024年，现在不让提现，消费，客服解释说系统评估综合评分不足，让客服给个评估的标准，没有逾期过，其他平台没有逾期过，征信没有逾期过，，用什么标准来评估，一直说没办法解决，让客服给我寄合同，一直强调问我要合同干嘛用，最后说反馈上去，我自己签的合同我不能看。</t>
  </si>
  <si>
    <t>2019/10/11 10:16:13</t>
  </si>
  <si>
    <t>投诉人 谭蒙        投诉对象  钱站,华夏银行        涉诉金额  2 600 元    问题类型    诉求类型投诉详情  欺诈消费者，阴阳合同。高额砍头息。这种公司明显的欺诈行为法律何在？</t>
  </si>
  <si>
    <t>2019/10/11 10:15:57</t>
  </si>
  <si>
    <t>投诉人侯科投诉对象国美易卡涉诉金额1026元问题类型诉求类型投诉详情威胁爆通讯录，添加我微信说的，现在无力还款，就要威胁爆通讯。</t>
  </si>
  <si>
    <t>2019/10/11 10:15:36</t>
  </si>
  <si>
    <t>今天到期未逾期，客服就要求一定几点钟前还款，如果没还就说要打电话给家人。</t>
  </si>
  <si>
    <t>2019/10/11 10:15:13</t>
  </si>
  <si>
    <t>2019年8月19号本人在聚福分期注册过账号，想借钱但审核没通过，我就卸载了这个软件，但是不到半个小时左右他们就从我卡里扣了299元，打电话给客服他们先给我说要八个借款软件借款失败的截图，后来一直打电话这个数降到4个截图，然后再14个工作日后才退款，但是过了这么长时间就是没有退款，希望该公司为这事儿承担责任，立即退款，也希望他们得到相应的惩罚，因为之前不知道还能投诉这事儿，手机里的扣款短信不小心被删了，但是本人说话句句属实，还请予以处理。</t>
  </si>
  <si>
    <t>2019/10/11 10:15:09</t>
  </si>
  <si>
    <t>拍拍贷暴力催收，恐吓上门，请第三来历不明电话暴通信录，影响个人名誉。</t>
  </si>
  <si>
    <t>2019/10/11 10:15:00</t>
  </si>
  <si>
    <t>投诉人黄先生投诉对象尚德机构涉诉金额6780元问题类型诉求类型投诉详情本人于2019年10月6日晚上19点，在推销员诱导说：“有一个优惠助学金”2019年10月6号，最后一天过期下匆匆报名，当时我没那么多钱，只用支付宝扫码支付方式支付了678元现金作为首付，于是业务员帮我再第三方贷款平台上申请6102元贷款分9期的方式报名的，用第二天考虑到自己经济实力不允许，有可能导致后面分期可能还不上的情况下，就跟他们对接的业务员申请退费结果尚德一再拒绝办理退费，我在他们没有开课的时候就申请退费的，却被告知不能退费说什么</t>
  </si>
  <si>
    <t>2019/10/11 10:14:30</t>
  </si>
  <si>
    <t>投诉人王先生投诉对象信汇支付涉诉金额450元问题类型诉求类型投诉详情九月18投诉了，提供给了资料给广东信汇，但是至今没有消息，客服态度很差，不理会不处理，包庇商户为赌博平台提供充值渠道。</t>
  </si>
  <si>
    <t>2019/10/11 10:14:25</t>
  </si>
  <si>
    <t>要求直接与中信银行工作人员对话，拒绝与第三方对话，，第三方仗着自己非银行人员态度恶劣，还说自己不是银行的，管不了那么多，我个人联系中信银行信用卡中心多次，电话均未能接通，因此，只能求助此平台，希望银行信用卡中心的员工联系本人，而不是所谓的第三方，第三方因为利益关系无不用其极。</t>
  </si>
  <si>
    <t>2019/10/11 10:14:20</t>
  </si>
  <si>
    <t>投诉人 游女士        投诉对象  你我贷        涉诉金额  184 元    问题类型    诉求类型投诉详情  一个企业做的是良心。那么请问你我贷的良心了？都让狗吃了吧？先不说利息合不合规定。国家什么时候允许你们爆通讯录。如果不是只有184块 我会以死来捍卫。来爆料这个平台 唤起你们的良知 赚钱是重要，可是你们是喝着别人的血在赚钱 我是一个小市民。说的话不太会有人在意。你我贷 别为了点钱把人都逼上绝路 差你们3期你们需要这样爆么？然道前面的钱白还了。</t>
  </si>
  <si>
    <t>2019/10/11 10:14:18</t>
  </si>
  <si>
    <t>到建行大厅由磁条卡换芯片卡不同意保留原号码，办理之前咨询了95533客服说是可以办理的，几个月前有同事也办理了，我去了工作人员说不能办理，要报新卡，老卡绑定了房贷和其他业务非常麻烦，而且95533说了可以办理也有同事办理了，为什么我就办理不了。</t>
  </si>
  <si>
    <t>2019/10/11 10:13:44</t>
  </si>
  <si>
    <t>投诉人贺女士投诉对象小树时代,龙分期涉诉金额2700元问题类型诉求类型投诉详情在龙分期借款2700，本月以还款联系不上客服已经逾期客服赶紧销账。</t>
  </si>
  <si>
    <t>2019/10/11 10:13:42</t>
  </si>
  <si>
    <t>不停轰炸公司电话，搞到全公司谴责，每个人都问干什么。</t>
  </si>
  <si>
    <t>2019/10/11 10:13:34</t>
  </si>
  <si>
    <t>家里老人2018年8月经由介绍，加入大连牛银会员，当时牛银的政策是以消费返积分返现的形式回馈会员，2018年10月就自己擅自改变模式，说返现形式不符合国家法律规定，改成了走数字货币的形式，返的积分不再直接兑现，而是推出所谓的SCC海参链虚拟数字货币，之后又推出必须先花钱买车票，才能把自己的SCC提出来，到现在SCC在交易所里一路狂跌，好多人买车票都是10几块钱，现在却跌到了1毛钱都不到，牛银还一直鼓吹会涨，来稳定会员情绪，这与之前牛银的领导所宣传的都不一样，存在虚假宣传，而且牛银还推卸责任，会员积分转成SC</t>
  </si>
  <si>
    <t>2019/10/11 10:12:55</t>
  </si>
  <si>
    <t>投诉人宋先生投诉对象微信支付涉诉金额1500元问题类型诉求类型投诉详情我自己开的建材店，本来生意就很差，外地进货的人都是信用卡之类的，但是我的小店不支持信用卡，他们就告诉我，可以开个微信商户，就可以较低的费率给我付款，我就同意了，两天总共支付了5笔，前两天都能自动到账，最后一天付的1500款项一直没有到账，我过了两天才发现，联系客服，都是填写一大堆资料，但是根本无人处理，我的客户说是公司财务那边转账，先后在下班时间下午17:00和17:47各收到100和500两笔款项，我看到违约处理记录是10月4日下午13</t>
  </si>
  <si>
    <t>2019/10/11 10:12:18</t>
  </si>
  <si>
    <t>投诉详情：在大人不知情情况下，未成年充值游戏卡，要求退款。</t>
  </si>
  <si>
    <t>2019/10/11 10:11:57</t>
  </si>
  <si>
    <t>投诉人 张先生        投诉对象  带上钱        涉诉金额  5 500 元    问题类型    诉求类型投诉详情  不合理的套路产品 莫名其妙多个游戏币购买</t>
  </si>
  <si>
    <t>拍拍贷恶意爆通讯录，打电话恐吓亲戚家人，，，现在希望停止。</t>
  </si>
  <si>
    <t>2019/10/11 10:11:42</t>
  </si>
  <si>
    <t>来分期暴力催收，还款当天几十个电话不停的骚扰，逾期一天就开始威胁要爆通讯录，联系人，没人要故意逾期，这么骚扰实在受不了。</t>
  </si>
  <si>
    <t>2019/10/11 10:11:31</t>
  </si>
  <si>
    <t>造艺科技，百事普惠捆绑式误导消费者入圈！！再以一个评估报告服务来恶意扣款用户钱财，！！未经许可下非法盗刷用户银行卡钱财！！！他所谓的299我根本没有点过，过了一段时间，百事普惠私自从我个人银行账户里扣款！！！希望可以尽快退款299元！！！。</t>
  </si>
  <si>
    <t>2019/10/11 10:11:30</t>
  </si>
  <si>
    <t>2018年买了四张蟹券，去年预约提货提不到，还是十一月初期联系客服说不能再提货，让我明年再来提货，今年在微信公众号看全都预约满了，今巴蟹业在京东商场的店铺已经关闭了，我懵逼了，这不是欺骗消费者吗。</t>
  </si>
  <si>
    <t>2019/10/11 10:11:24</t>
  </si>
  <si>
    <t>几次打电话给我，我问能不能减免利息，一句话就是说你是不是不想还了，是不是没钱，句句就是讽刺，我本来想处理的，但是法务部的工作人员实在感觉瞧不起，我不要求结案，非得逼我说结案，一言不合直接挂电话，我都怀疑是不是招商银行的鸿运人员，还是外包第三方的人员。</t>
  </si>
  <si>
    <t>2019/10/11 10:10:47</t>
  </si>
  <si>
    <t>，2017年通过捷信公司的手机分期平台购置了一款苹果手机，正常还款了8个月时间，因2018年陈磊出现的意外住进医院，所以耽误了还款，在此期间捷信公司的员工每天电话，私人短信对我姐进行轰炸，我姐说了已经离婚，但是对方就是不停的骚扰，恐吓，语言的辱骂，我姐现在都有忧郁症了，我简单的提供一些证据，录音，短信，我会交给相关执法部门。</t>
  </si>
  <si>
    <t>2019/10/11 10:10:29</t>
  </si>
  <si>
    <t>我在宜信公司贷款，这两天暴力催收，打电话免息问题一直不处理，一直催收，导致本人家庭问题纠纷，可以考虑提前结清，如果再骚扰亲戚朋友，本人将追究责任，。</t>
  </si>
  <si>
    <t>2019/10/11 10:09:18</t>
  </si>
  <si>
    <t>我于10月6号在该平台借款1166元，平台公告处写着工作日内24小时借款会放款至提现银行卡。</t>
  </si>
  <si>
    <t>2019/10/11 10:09:09</t>
  </si>
  <si>
    <t>6.1号早上9点30在哈喽出行预约顺风车订单，只有一人乘坐，出发从苏州到上海浦东机场.电话里和司机沟通大约10点到达，实际中途去拉了其他2名乘客绕路，中途一直沟通快要到了，到达时间是11点20.接到我以后再明确告知飞机快迟到的情况下，中途绕路送了其他乘客，导致飞机延误，不仅无法回家参加妹妹婚礼，而且导致来回机票，路费损失，家人在机场等待浪费大量时间金钱，哈喽顺风车在接到我投诉的情况下，依然让我确认收货打款，并且从1-11号的投诉一直无人处理。</t>
  </si>
  <si>
    <t>2019/10/11 10:09:08</t>
  </si>
  <si>
    <t>2019年9月29日收到在唯品会购买的皮衣，价格1103元，2019年10月10日发现唯品会该皮衣价格大幅下降为998元，短期内如此巨大幅度的浮动，其价格制定是存在问题的，联系客服处理，客服人员先说不提供差价补偿，后来又说帮助联系解决，过一会儿又说不提供补偿，答复反复无常，令人无法接受，因此投诉。</t>
  </si>
  <si>
    <t>2019/10/11 10:09:03</t>
  </si>
  <si>
    <t>我在6月22号入住熊猫公寓，签合同时交了五千块钱押金，三个月之后在9月22号当天满租退房，工作人员承诺七个工作日内退还五千元押金。</t>
  </si>
  <si>
    <t>2019/10/11 10:08:54</t>
  </si>
  <si>
    <t>2019/10/11 10:08:44</t>
  </si>
  <si>
    <t>现金借款利息高，晚还一天违约金高，还随意打通讯录骚扰别人。</t>
  </si>
  <si>
    <t>2019/10/11 10:08:42</t>
  </si>
  <si>
    <t>因本人出现了意外情况，到账信用卡逾期降了额度，是我的错，我也在周转了，可是现在这个社会，人都太现实了，更不不会借钱给你，要是你家出现了问题只会在那看热闹，更不不会帮助你，所以我希望平安银行信用卡，能给我协商还款，办理分期，帮助我度过难关吧，我用卡也有好几年时间了，没有一次逾期，要不是最近出现了意外，也不会如此，本人诚恳的希望贵行，给我时间，解决问题，欠债还钱天经地义，希望贵行。</t>
  </si>
  <si>
    <t>2019/10/11 10:08:41</t>
  </si>
  <si>
    <t>10.7日在石榴快贷的平台上借款2000.实际到账1100.。</t>
  </si>
  <si>
    <t>2019/10/11 10:08:37</t>
  </si>
  <si>
    <t>MY钱包强制读取通讯录家人朋友信息，强制收取平台担保费，今天是逾期第一天，我并未表示不还款，协商延期几天，催收人员打电话发短信加微信限定时间还款，威胁说他们有我通讯录名单，超过时间就爆通讯录，现在还有这么嚣张直接说爆通讯录的平台。</t>
  </si>
  <si>
    <t>2019/10/11 10:08:33</t>
  </si>
  <si>
    <t>一直在打电话骚扰我，本人因为工资更换到月底，就一直再扰我，打电话给公司领导，给父母。</t>
  </si>
  <si>
    <t>2019/10/11 10:08:28</t>
  </si>
  <si>
    <t>被盗刷了，本人无这几次消费，已经打印详单，报警处理了。</t>
  </si>
  <si>
    <t>2019/10/11 10:07:56</t>
  </si>
  <si>
    <t>投诉人 张志愿        投诉对象  河南移动        涉诉金额  2 000 元    问题类型    诉求类型投诉详情  移动资费和处理方式不当。没有及时解决问题</t>
  </si>
  <si>
    <t>2019/10/11 10:07:52</t>
  </si>
  <si>
    <t>本人欠银行3万多，已经还了4万多，可是银行雇佣的催收公司天天打电话威胁，给联系人亲朋好友甚至之前的公司打电话继续索要高额的利息，本人已经无力还，利息太多了，并且催收公司态度太恶略了，要求停止骚扰，让银行直接跟我联系。</t>
  </si>
  <si>
    <t>2019/10/11 10:07:46</t>
  </si>
  <si>
    <t>掌众金服闪电借款，借款时提示购买财神黑卡1440元，购买后借款限制，要求快速退款。</t>
  </si>
  <si>
    <t>2019/10/11 10:07:44</t>
  </si>
  <si>
    <t>骚扰，害人的，报警了，平台解决不了就报警处理。</t>
  </si>
  <si>
    <t>2019/10/11 10:07:27</t>
  </si>
  <si>
    <t>网贷平台小黑鲨，工商主体浙江温州敏驿科技有限公司，借款3500还款4200+，拒绝协商还款，汇潮支付为其提供放款通道，小黑鲨催收恐吓威胁借款及其通讯录联系人，并口气强硬不怕警察，针对小黑鲨高利平台已向温州信访办致电投诉，针对暴力催收已向户籍地警方、来电地上海警方广州警方，来电手机归属地四川绵阳警方报警。</t>
  </si>
  <si>
    <t>2019/10/11 10:07:20</t>
  </si>
  <si>
    <t>投诉银生宝把我的联系方式给商家，商家让我人民银行撤诉后给我退款，银生宝作为第三方支付公司，没有保证我的权益，让骗子得逞。</t>
  </si>
  <si>
    <t>2019/10/11 10:07:18</t>
  </si>
  <si>
    <t>借款4000多到账2800，每期还款1000多，第三期开始App崩溃无法正常登陆及还款，打客服电话无人接听，多次尝试也没任何人沟通联系导致现在逾期费用超高，并且催收拨打联系人电话进行轰炸暴力催收，现在要求相关方作出合理解释及道歉，并消账单。</t>
  </si>
  <si>
    <t>2019/10/11 10:07:03</t>
  </si>
  <si>
    <t>投诉人 谭先生        投诉对象  月光侠分期        涉诉金额  2 600 元    问题类型    诉求类型投诉详情  到账2600合同显示每月还款1175 APP上却要每月还款1300多。明显的欺诈行为！</t>
  </si>
  <si>
    <t>2019/10/11 10:06:22</t>
  </si>
  <si>
    <t>2018年9月17日9点左右，我在大理机场办理值机，然后一个穿制服的工作人员上前询问我要去哪里，我说回普洱，然后她问我我的机票哪里买的，我说我在淘宝上买的，她说我们公司也卖机票，可以找她办理，她就介绍说只要充值1680元的会员卡，卡里就有3000，他们另外赠送了1320元给我，可以享受快速登记机，全国机场无限次贵宾厅服务，充值的1680元可以抵扣机票款，亲戚朋友都能使用，终身有效，我想在哪里买机票都是买，就用微信付款办理了龙行天下会员卡，然后一直没有使用，到了今天我订机票客服人员问我用什么方式支付，我说用卡</t>
  </si>
  <si>
    <t>2019/10/11 10:06:19</t>
  </si>
  <si>
    <t>下载了app，要求绑定银行卡，生成报告，未经同意私自扣款，也并没有提到服务费，也没有表明服务费的价格。</t>
  </si>
  <si>
    <t>2019/10/11 10:05:31</t>
  </si>
  <si>
    <t>停止骚扰我通讯录好友停止爆我通讯录里的通话详单，不要到处加我朋友微信群发短信，我刚刚换工作了，钱会还上的时间长一点而已，银监会我也投诉了。</t>
  </si>
  <si>
    <t>2019/10/11 10:05:23</t>
  </si>
  <si>
    <t>10月11日，我想提前结清，保费加上利息一共要还36607.90元，两天的时间差不多要还9000多的利息费，我要投诉这个平台，让更多的人知道，我要维护我的资金和合法权益。</t>
  </si>
  <si>
    <t>2019/10/11 10:05:22</t>
  </si>
  <si>
    <t>本人投诉交通银行及其委托的第三方催收公司恐吓持卡人家庭成员，强迫、恐吓、诱导对我本人及家庭成员进行暴力催收，2017年离开公司出来自己接水电安装工做靠着朋友有点工程做经济还能一直保持良好的还款情况，随着小孩的出生经济压力剧增，工作量又减少，2019年5月渐渐的资金无法周转就向网上借了贷款给还了信用卡但网贷无法还得上就爆通讯录家人或朋友连工作都没有了跟朋友亲戚借也借不到钱了连最低还款都无能为力直到现在无法支撑下去从而导致交通银行信用卡9月3日出现了暂时逾期的情况，已知现在这种情况接工不稳定了就做起了兼职送外卖</t>
  </si>
  <si>
    <t>2019/10/11 10:04:29</t>
  </si>
  <si>
    <t>投诉人黄女士投诉对象普惠分期涉诉金额298元问题类型诉求类型投诉详情说已经签约成功&amp;nbsp;&amp;nbsp;但是要买一份他们家的一份298的众安保险&amp;nbsp;然后就可以下款成功了&amp;nbsp;&amp;nbsp;第一次付的收款二维码付不了&amp;nbsp;&amp;nbsp;又重新给我发了一遍&amp;nbsp;我付了之后客服立马把额我们撤回&amp;nbsp;说发错了二维码&amp;nbsp;&amp;nbsp;然后说退款给我&amp;nbsp;&amp;nbsp;但是后面就联系不到客服了&amp;nbsp;&amp;nbsp;打客服电话是关机。</t>
  </si>
  <si>
    <t>2019/10/11 10:04:23</t>
  </si>
  <si>
    <t>闪电借款高利贷，借款2900需要买卡实际下款2050，逾期费超高，暴力催收。</t>
  </si>
  <si>
    <t>2019/10/11 10:04:22</t>
  </si>
  <si>
    <t>微博借钱还款，7000多元，逾期一晚上，逾期费200多，跟高利贷有什么区别。</t>
  </si>
  <si>
    <t>2019/10/11 10:04:04</t>
  </si>
  <si>
    <t>逾期利息太高，存在高利贷，我只想还本金和借款利息。</t>
  </si>
  <si>
    <t>2019/10/11 10:03:59</t>
  </si>
  <si>
    <t>投诉人 仇栋        投诉对象  爱又米        涉诉金额  199 元    问题类型    诉求类型投诉详情  短信忽悠 欺骗消费办会员 结果办好会员东西买不了 借款也借不了</t>
  </si>
  <si>
    <t>2019/10/11 10:02:38</t>
  </si>
  <si>
    <t>小当家APP无法登陆，网页也无法链接，还款日不自动划扣，也无法主动还款，我是有主动还款的心，可小当家平台让用户恶意逾期，请恢复APP使用，方便我们销账，如果因为平台自身问题导致逾期，催收骚扰到我的通讯录，一律报警处理，我从来没打算过逾期，利息高于国家规定我也认了，只想快点结清远离这种高利贷平台，请尽快处理。</t>
  </si>
  <si>
    <t>2019/10/11 10:02:25</t>
  </si>
  <si>
    <t>最近通过微客平台里面的一个贷款软件，借了一笔款，下来才发现2000元要求一周内分2期还3000，现在我这边已经报警处理，希望支付宝平台，微信平台能够协助，不要再让这些人出来害人了。</t>
  </si>
  <si>
    <t>2019/10/11 10:01:38</t>
  </si>
  <si>
    <t>投诉人沈女士投诉对象钱罐子涉诉金额10000元问题类型诉求类型投诉详情借出5000元，需要偿还近6000，合同也并没有注明利率4.13是月息，按4.13月息算，年利率高达50%，要求退还国家规定的24%以外的利息，逾期3天利息吓人，跟催款人说协商一次结清，直接跟我说没有协商的余地，你利率已经超过正规的贷款利率了，属于高炮，而且态度还很差的说话，有什么资格说威胁和难听话给听。</t>
  </si>
  <si>
    <t>2019/10/11 10:00:34</t>
  </si>
  <si>
    <t>这才11号就扣了32g流量，真夸张，找客服理论还挂我电话，不理睬我，公司大就这么不讲理吗。</t>
  </si>
  <si>
    <t>2019/10/11 10:00:19</t>
  </si>
  <si>
    <t>投诉人 邓女士        投诉对象  卡友支付旗下的信付通        涉诉金额  1 995 元    问题类型    诉求类型投诉详情  10月3号刷的钱不到账 找客服处理都是推来推去 爱理不理，问了几天了 话也不回 无缘无故押扣客户的钱</t>
  </si>
  <si>
    <t>2019/10/11 09:59:45</t>
  </si>
  <si>
    <t>本人于2019年8月24日全部还清蚂蚁借呗的500元借款，2019年10月向蚂蚁借呗的客服申请开具贷款结清证明，但是蚂蚁借呗的合作机构江苏银行未开具结清证明以及征信未显示“结清”，支付宝客服说已上报一直让我等，由于我买房需要贷款，合同上有限制日期，不然将会有巨额违约金，我的贷款申请已经提交到银行，就差这一项贷款结清证明，请支付宝借呗合作银行江苏银行将贷款结清证明发到我邮箱56******7@qq.com。</t>
  </si>
  <si>
    <t>2019/10/11 09:59:04</t>
  </si>
  <si>
    <t>投诉人 翟先生        投诉对象  京东商城        涉诉金额  1 998 元    问题类型    诉求类型投诉详情  我十一在京东买的儿童上下铺的床 七号看物流 一下降价300多 和商家协商补差价 商家不给补 然后和他说退货 联系了京东 京东说给解决 退款 9号物流来了 我拒收 商家让我出物流费 然后京东又给我解决 最后让我出运费 真的很生气 而且京东专员说话也不好听 七天无理由退货</t>
  </si>
  <si>
    <t>2019/10/11 09:58:23</t>
  </si>
  <si>
    <t>投诉人寻克运投诉对象苹果公司涉诉金额253元问题类型诉求类型投诉详情2019年10月11号凌晨0：24我通过苹果商店下载使用Videoleap使用，软件打开后告知提供三天免费使用时间，并需要选择意向订阅时间，条款中告知如果试用后不需要订阅可以在软件试用期结束前24小时内取消订阅不会造成扣费，我当时选了一年，但一分钟后直接收到苹果的扣款消息，并没有经过试用期就直接扣费了，9：43分开始我电话联系苹果客服告知情况，37分钟的沟通时间里，苹果初级客服升级到高级客服都告知无法申请退款，且不提供拒绝退款的原因，因为已</t>
  </si>
  <si>
    <t>2019/10/11 09:57:42</t>
  </si>
  <si>
    <t>投诉人何女士投诉对象海纳百川app涉诉金额0元问题类型诉求类型投诉详情高利贷砍头息的海纳百川，给我通讯录里的人发信息，发我的个人资料。</t>
  </si>
  <si>
    <t>2019/10/11 09:57:24</t>
  </si>
  <si>
    <t>主动还款了多扣了我银行卡钱要求今天之内退款。</t>
  </si>
  <si>
    <t>2019/10/11 09:57:19</t>
  </si>
  <si>
    <t>各种骚扰电话影响本人生活，还爆通讯录，严重侵犯本人隐私！希望能停止骚扰！。</t>
  </si>
  <si>
    <t>2019/10/11 09:56:20</t>
  </si>
  <si>
    <t>恒易贷当初借款实际到账10000元，合同金额确写11428.57元，每个月10号还款日需要还1103.14元，还款日当天，就让催收打电话，发微信，态度很差，在我接电话跟他们协商的同时，还打给我的朋友，我有承诺还款日当日内还进去，但是app上不让还，他们客服的工作时间是早上9点至晚上7点，我在下午六点半左右存了足够金额，并在他们下班之前联系他们微信催收和官方客服，通知他们扣款，均不理人，晚上八点半，恒易贷系统发短信提示我扣款失败，，结果造成我逾期，第二天要多收取100逾期费，严重高出正常利息，而且我之所以会逾</t>
  </si>
  <si>
    <t>2019/10/11 09:55:45</t>
  </si>
  <si>
    <t>投诉人江女士投诉对象联动优势,白条分期,上海潮牌涉诉金额249元问题类型诉求类型投诉详情之前投诉并没有任何回应！现在重新投诉一个月了！9月6号下载填好资料以后显示有3000额度要充会员费！249！结果推荐的都是第三方其中也有714这种平台！我并没有用会员里面任何一个项目！在黑猫投诉说联系我等到现在了也没联系！扣款方是上海潮牌信息科技有限公司！这家公司弄的这种很多！打客服电话让我申请5家以上都失败才可以退款！或者14天以后申请！这样并不公平！截图均是9月6号截图！现在APP我打不开了！请你们主动联系我退款！。</t>
  </si>
  <si>
    <t>2019/10/11 09:55:41</t>
  </si>
  <si>
    <t>借款4000，到账2600，砍头息，高利贷，刚到还款日，上午就开始催收电话，第三方公司轰炸，影响正常上班工作，然后又威胁家人，爆通讯录，此严重伤害了我的工作，我的父母，希望能得到解决。</t>
  </si>
  <si>
    <t>2019/10/11 09:55:29</t>
  </si>
  <si>
    <t>接不到单，在热区也难得接到单，而且接单距离很远。</t>
  </si>
  <si>
    <t>2019/10/11 09:54:26</t>
  </si>
  <si>
    <t>本人去年11月从读秒钱包借款5000元，分期12期，实际到手只有4000元，该平台出现砍头息现象，根据相关规定，所有借款以实际到借款人手中金额为借款金额，不得以收取咨询费，以及手续费等变相手法收取费用，该平台的借款利率已经超过国家规定的年化利率，并且借款合同的还款金额与借款人实际还款金额并不符，目前已经偿还9期还款总金额以达5172.95元，如继续偿还剩下3期该平台利率已超过国家规定利率，借款人有权拒绝还款，3.如该平台有有利证据，请该平台通过司法渠道向我追讨余下欠款。</t>
  </si>
  <si>
    <t>2019/10/11 09:54:17</t>
  </si>
  <si>
    <t>情况已经说明，上门，去找我父母，那就去医院找吧！我父母有三长两短，我也不活了！。</t>
  </si>
  <si>
    <t>2019/10/11 09:53:43</t>
  </si>
  <si>
    <t>未经过本人同意，直接扣除卡里296元，也没人通知扣款。</t>
  </si>
  <si>
    <t>2019/10/11 09:53:41</t>
  </si>
  <si>
    <t>注销账户为什么要手持身份证，这样不是又把资料给你们了。</t>
  </si>
  <si>
    <t>2019/10/11 09:53:28</t>
  </si>
  <si>
    <t>今天一早就接到交通银行信用卡中心021-50700558的电话，催收员，催收员还不停的说我说了要投诉他，他还继续说，没有丝毫骚扰到我的歉意，还觉得自己非常有理，好像我必须配合他调查，回答他各种问题一样，简直不把国家政策放眼里，态度非常恶劣，也不自报家门，等问了才说是交行的，说有个人留的亲属电话是我的，大概是他欠了信用卡钱，现在问我和他关系，能不能联系他，我已经明确告知我很早以前认识的一个人，但是没有任何关系，更不是什么亲属，都好几年没联系了，也联系不到，不要打我电话，你们当时也没和我本人核实过我和他什么关系</t>
  </si>
  <si>
    <t>2019/10/11 09:53:27</t>
  </si>
  <si>
    <t>电话一直不断并且威胁骚扰家人，希望能好好处理祸不及家人。</t>
  </si>
  <si>
    <t>2019/10/11 09:52:50</t>
  </si>
  <si>
    <t>保证金1000元进入平台以后邀我进入一个文案群，于昨晚文案群发布的信息忽然出现失误，只因在群里问一句是否没有了。</t>
  </si>
  <si>
    <t>2019/10/11 09:52:14</t>
  </si>
  <si>
    <t>赣州宜信普惠网贷公司使用阴阳合同，欺骗借款人收取高额利息，如今借款人无力承担，家庭破裂，妻离子散，该公司拒绝减免不合法的利息，并任然坚持暴力催款。</t>
  </si>
  <si>
    <t>2019/10/11 09:52:01</t>
  </si>
  <si>
    <t>投诉人 邢先生        投诉对象  青岛瑞祥天下融资租赁有限公司        涉诉金额  27 000 元    问题类型    诉求类型投诉详情  借款合同3万。下款2.7万。每个月还1457.34元，还3年。高利息。因为手头紧没钱偿还逾期16天私自把车拖走。要求一次结清。还收违约金。车内还有急用的东西。打电话骚扰亲朋好友。影响正常生活。</t>
  </si>
  <si>
    <t>2019/10/11 09:51:33</t>
  </si>
  <si>
    <t>拍拍贷太黑心了，昨天忘记还款，今天上线一看，92块的分期，逾期一天居然26块手续费，请求聚投诉帮忙维权，话不多说，有图有真相。</t>
  </si>
  <si>
    <t>2019/10/11 09:51:10</t>
  </si>
  <si>
    <t>本人于2019年1月28日诊断出结核性脑膜炎、较为严重。</t>
  </si>
  <si>
    <t>2019/10/11 09:51:06</t>
  </si>
  <si>
    <t>本人于2019.10.07在虫虫快借借款3000元合同期限5天，实际到账1650元，砍头息1350元，，巨额砍头息本人无力偿还那么多，希望虫虫快借和金银钱包能够协商偿还避免造成双方的损失。</t>
  </si>
  <si>
    <t>2019/10/11 09:50:54</t>
  </si>
  <si>
    <t>逾期了两天，就各种爆通讯录，还催收公司打电话，私人电话骚扰，还不是官方客服提醒。</t>
  </si>
  <si>
    <t>2019/10/11 09:50:12</t>
  </si>
  <si>
    <t>在钱站借款6000元到账5000最后每期还款1208元，分6期还一共要还7248元，给客服打电话问为什么借款6000元确到账5000元，而合同上写借款6600元，那我借款6600元，为何只到账5000元，剩余的钱去哪了，这不还是变相的在收取砍头息，钱站就是一个吸人血的机器，天天说是合法合规，到底是哪里合法合规，到账5000半年时间就要换7248元之多，希望钱站官方给一个合理的解释，不要给人逼得跳楼之后再来解决这件事情。</t>
  </si>
  <si>
    <t>2019/10/11 09:49:58</t>
  </si>
  <si>
    <t>送件员没打电话没发短信直接放到店铺内并未提示快件破损第一天打客服电话号码说两个小时内有专员联系。</t>
  </si>
  <si>
    <t>2019/10/11 09:49:36</t>
  </si>
  <si>
    <t>投诉人王女士投诉对象拍拍贷涉诉金额1376元问题类型诉求类型投诉详情拍拍贷高利贷，打骚扰电话，爆通讯录，影响到我的生活。</t>
  </si>
  <si>
    <t>2019/10/11 09:49:24</t>
  </si>
  <si>
    <t>我的身份证号码被前妻使用于唯品会实名认证，我曾致电唯品会2次人工客服要求对我的身份证信息解除。</t>
  </si>
  <si>
    <t>2019/10/11 09:49:11</t>
  </si>
  <si>
    <t>闪电借款担保中心不购买无法借款，购买完成后还需要继续购买财神黑卡才能完成借款，本次担保中心花费705元，，财神黑卡花费960元后无法完成借款，平台承诺无法完成借款，全额退款，担保中心金额按时还款，全额退款，本次由于借款不成功，联系客服，没人，客服电话无人处理，现在要求退还担保中心金额1899，财神黑卡金额960，合计2859元，之前自己智商低下，因为借款花费的各种财神黑卡金额，各种高息不再要求退还，只要求此次退还本人花费合计2859元，以后远离网贷。</t>
  </si>
  <si>
    <t>2019/10/11 09:49:10</t>
  </si>
  <si>
    <t>10月10号在下单前有详细咨询长城宽带官网在线客服，客服不提及宽带安装费用，只说套餐100M使用费用548一年，10号下午长城宽带官方客服回电和我确认订单时也没有提及宽带安装费用问题，今天上午安装师傅问我要399的安装费用，安装未果，要求退款。</t>
  </si>
  <si>
    <t>2019/10/11 09:48:52</t>
  </si>
  <si>
    <t>信而富连和中金支付，云南信托搞非法支付，收取砍头息，虚假购物。</t>
  </si>
  <si>
    <t>2019/10/11 09:48:10</t>
  </si>
  <si>
    <t>本人于闪电借款借款2100元，50天到期应还2205元，到实际到账只有1800多，扣除了一个什么黑卡的费用。</t>
  </si>
  <si>
    <t>2019/10/11 09:48:02</t>
  </si>
  <si>
    <t>以推荐贷款方式，乱扣服务费，多次要求贵平台退款。</t>
  </si>
  <si>
    <t>2019/10/11 09:47:05</t>
  </si>
  <si>
    <t>9月14号在神州租车租赁轿车一辆，为期一天，之后没有任何联系，10月11日突然从我的工资卡扣款700说是有违章，但是期间我未收到任何短信和电话通知，导致我自始至终未知违章的事情，现在突然扣钱，实在太过分，请其立刻退换所扣钱款，他们自己去处理违章，谢谢！。</t>
  </si>
  <si>
    <t>2019/10/11 09:46:35</t>
  </si>
  <si>
    <t>9月26日借，5天还款1139，远超国家规定，且存在泄露我个人信息的情况，很多人都是以虾米在线平台为由，问我是否需要提额等等。</t>
  </si>
  <si>
    <t>2019/10/11 09:46:26</t>
  </si>
  <si>
    <t>这是他们公司名称地址，手机号为:176******75。</t>
  </si>
  <si>
    <t>2019/10/11 09:46:22</t>
  </si>
  <si>
    <t>投诉人王女士投诉对象钱伴涉诉金额5000元问题类型诉求类型投诉详情快贷催收拨打本人电话，恐吓，吓唬人，催收不合法，我们不是不还，给我们时间，对吧！我觉得就多给一天时间是可以的吧！拨打通讯录，今天波达克，记住了，马上起诉。</t>
  </si>
  <si>
    <t>2019/10/11 09:46:21</t>
  </si>
  <si>
    <t>投诉人梅先生投诉对象翼支付,甜橙金融,随意借涉诉金额15000元问题类型诉求类型投诉详情翼支付随意借还款日无任何提醒，客服给出的解释是系统短信提醒出现关键词错误，，且系统出现严重错误，主动还款时一直提示密码为空导致无法还款，造成本人多笔账单均逾期一天，直到第二天收到催收电话的时候才直到自己已逾期，由于翼支付平台系统出错所导致的问题对本人征信造成了严重影响，连带还被扣除高利率的逾期罚款，而客服连一句道歉的话都没有！要求平台尽快解决这个问题，撤销问题征信。</t>
  </si>
  <si>
    <t>2019/10/11 09:46:06</t>
  </si>
  <si>
    <t>无力偿还，协商无果，叫我报警，叫我曝光媒体，对方态度强硬威胁我要轰炸爆我的通讯录，杭州市民卡有限公司和海南易联普惠有限公司提供支付通道。</t>
  </si>
  <si>
    <t>2019/10/11 09:45:53</t>
  </si>
  <si>
    <t>我女儿因患抑郁症导致工作丢失，前期联系过微粒贷说明情况，目前无力还款，我的存款用于给女儿治病，女儿表示情况好转后找到工作立马还款，可微粒贷一直电话骚扰不断，一天能打几十个，并发信息威胁，导致我女儿病情复发，今天早上还在不停的打电话并威胁会上门催收，请相关部门能监督并管理一下此类暴力催收，不要把人往死路上逼，本人已经在筹款，如再骚扰或者威胁，我女儿有什么意外，我将把微粒贷告到底！。</t>
  </si>
  <si>
    <t>2019/10/11 09:45:45</t>
  </si>
  <si>
    <t>今天早上醒来打开正准备去还打开就发现这两个要多还50块钱一天晚上多这么多利息。</t>
  </si>
  <si>
    <t>2019/10/11 09:45:29</t>
  </si>
  <si>
    <t>投诉人李先生投诉对象中国联通郑州分公司涉诉金额0元问题类型诉求类型投诉详情中国联通郑州分公司某工作人员私自查询我个人信息并记录我身份证信息给到给到第三方，，导致第三方用户籍地址，家人等威胁我，给我拨打电话的号码已截图。</t>
  </si>
  <si>
    <t>2019/10/11 09:44:52</t>
  </si>
  <si>
    <t>投诉人 戴坤        投诉对象  贷上钱        涉诉金额  2 580 元    问题类型    诉求类型投诉详情  贷上钱威胁我 说一小时之内不还款就联系我家里人 我现在身上真的没钱还 要过两天才有钱 我想跟他们协商还款</t>
  </si>
  <si>
    <t>2019/10/11 09:43:39</t>
  </si>
  <si>
    <t>绿色手机，网页上承诺最晚3周发货，到了时间毫无动静，打了客户，感觉是在敷衍了事，明显是在欺骗！。</t>
  </si>
  <si>
    <t>2019/10/11 09:43:27</t>
  </si>
  <si>
    <t>共借款14万元，借款到2018年9月和2019年4月，相继到期，但是剩余本金14万一直没有收到，中间的利息和违约金也没再给我们，我们现在生活非常困难，家里人现在再外面租房子住，外面还欠了亲戚朋友也有20几万，他们都催的非常急。</t>
  </si>
  <si>
    <t>2019/10/11 09:43:22</t>
  </si>
  <si>
    <t>然后和客服打电话联系协商还款也没有办法还进得去。</t>
  </si>
  <si>
    <t>2019/10/11 09:42:42</t>
  </si>
  <si>
    <t>投诉人韩先生投诉对象唯品会涉诉金额94元问题类型诉求类型投诉详情当所有平台都在执行保障客服利益的保价协议时，唯品会，玩出了第八天不保价这个套路，手段低级，打电话给客服，2019年10月11号上午9：10左右这个自称工号86978的态度超级差，用唯品会很多年了，一家老小衣服都在上面买，但是商品质量越来越差，客服态度越来越差。</t>
  </si>
  <si>
    <t>2019/10/11 09:42:21</t>
  </si>
  <si>
    <t>中腾信从还款当天，就开始对我朋友，家人，单位进行骚扰，我之前从没有逾期过，只是近几天资金周转不开，与其协商，过几天还款，而且该公司有阴阳合同，并且，本人没有合同，利息过高，共到账10万元，服务费收取了一万多，利息三年要三万多块，也就是8万多，收3万多的利息，我与其协商，没有得到良好的解决，还辱骂我，一直不听我讲话，还说，不听我讲话，怎么了，我需要得到道歉，希望有人能与我协商还款，而不是暴力催还，而且我自始至终没有说过不还两个字，他却自说自话，说我不还，对我，我的朋友，家人，同事的工作生活，都造成了严重影响。</t>
  </si>
  <si>
    <t>2019/10/11 09:42:18</t>
  </si>
  <si>
    <t>未经允许，非法泄露个人借贷信息给通讯录联系人，侵犯个人隐私，给本人名誉照成损害，请停止一切非法催收，已保留证据，维护自身合法权益。</t>
  </si>
  <si>
    <t>2019/10/11 09:42:03</t>
  </si>
  <si>
    <t>投诉人 苏先生        投诉对象  掌众金服        涉诉金额  130 元    问题类型    诉求类型投诉详情  借款700 要提前购买财神黑卡 请马上退还给我</t>
  </si>
  <si>
    <t>2019/10/11 09:42:00</t>
  </si>
  <si>
    <t>高利贷威胁恐吓他人，盗取用户信息，骚扰通讯录。</t>
  </si>
  <si>
    <t>2019/10/11 09:41:47</t>
  </si>
  <si>
    <t>今天收到一条信息说叫我把款项转至一个账号上，这种情况下我不会相信的，还有请你们停止这样的催收，给我一个星期时间，我会将款项还至app，如果再这样频繁催收，我们走司法途径。</t>
  </si>
  <si>
    <t>2019/10/11 09:40:28</t>
  </si>
  <si>
    <t>达飞云贷就是属于高利贷的一种，暴力催收，爆通讯录，他们什么事都做的出来，，让你所有的家人朋友都知道，你们这是在我不知情的情况下侵犯我的隐私，我会追究你的法律责任的。</t>
  </si>
  <si>
    <t>2019/10/11 09:40:26</t>
  </si>
  <si>
    <t>已经影响到本人生活工作，已经有了轻生的念头，不处理就等下一跳新闻吧。</t>
  </si>
  <si>
    <t>2019/10/11 09:39:14</t>
  </si>
  <si>
    <t>投诉人石女士投诉对象石榴快袋,汇潮支付涉诉金额3000元问题类型诉求类型投诉详情我借鹅3000元，到账1650元，还款的时候要还3000元，而且10月11号到期，催收说中午十一点之前不还，爆通讯录。</t>
  </si>
  <si>
    <t>2019/10/11 09:39:03</t>
  </si>
  <si>
    <t>投诉人韩先生投诉对象钱站涉诉金额2100元问题类型诉求类型投诉详情八月份钱站贷款3000，钱站私自吧合同改成5100.放款到银行卡里也是三千，现在我两个月已经还了3500，第三期钱站还逼我还款，发短信催，一天打二十多个电话，还发短信说要骚扰我身边的人，把我的生活都给我打乱了，这个世界还有没有公德心，钱站你为什么要私自修改合同，为什么下款三千三个月让还五千多。</t>
  </si>
  <si>
    <t>2019/10/11 09:38:17</t>
  </si>
  <si>
    <t>投诉人李先生投诉对象哪吒聚宝涉诉金额2540元问题类型诉求类型投诉详情2019年10月9日上午11点注册了他们平台，提交了信息之后直接显示一个贷款申请中，我也不知道申请的是多少钱，然后我就想找客服取消，但是app里面没有客服电话，也不知道该怎么办，我慌忙的去app里面查看，到账1625元，三天时间要还2540元，三天服务费900之多，那个时候联系客服里面就有电话了，但是关机，11号早上我再次打那个客服电话，但是一直没人接，微信客服不加，QQ客服不说话。</t>
  </si>
  <si>
    <t>2019/10/11 09:37:28</t>
  </si>
  <si>
    <t>2018年11月18日实付3204元以8.9者购买3600优卡套餐，没有支付三个月，就无法充值。</t>
  </si>
  <si>
    <t>2019/10/11 09:36:53</t>
  </si>
  <si>
    <t>本人在2018年12月10日申请点融的贷款5000元给我扣了一个保险费用348元，说我被法院执行导致我两个客户终止了我的合作。</t>
  </si>
  <si>
    <t>2019/10/11 09:36:45</t>
  </si>
  <si>
    <t>本人在给你花上的米多点借款2000元，实际到账1500元，借款一个月却要还2039元，米多点扣除了500元高额砍头息，现要求联系本人协商归还合理利息及本金。</t>
  </si>
  <si>
    <t>2019/10/11 09:35:59</t>
  </si>
  <si>
    <t>立借贷款平台已经超出国家规定利率，而且恶意骚扰伴有恐吓威胁。</t>
  </si>
  <si>
    <t>2019/10/11 09:35:16</t>
  </si>
  <si>
    <t>贷上钱我们不是不还，真的这次真困难，希望在多给予一天时间，我觉得贷上钱会拨打通讯录所有电话，他们说的是联系人，每家平台我觉得联系人都只会留两到三个。</t>
  </si>
  <si>
    <t>2019/10/11 09:35:07</t>
  </si>
  <si>
    <t>快闪卡贷严重的高利贷砍头息，现剩下的4000元为被砍头部分和高利息，根据法律可不予归还，现被砍头部分2056元逾期一个月利息居然变成3406元，如此的高利贷已属于非法套路贷了，强烈要求监管部门侧查并打击快闪高利贷砍头息暴力催收爆通讯录骚扰，并要求快闪卡贷进行销账和提供结清证明并消除本人的不良征信影响。</t>
  </si>
  <si>
    <t>2019/10/11 09:35:00</t>
  </si>
  <si>
    <t>一直跟银行协商还款一直达电话但是银行一直不肯还逼这我全还。</t>
  </si>
  <si>
    <t>2019/10/11 09:34:08</t>
  </si>
  <si>
    <t>网上买了幸福西饼的蛋糕，快递员在蛋糕交接的时候，双手拖住蛋糕，客户手握住蛋糕绳，，快递员松手后，蛋糕绳子太松，导致蛋糕直接掉在地上了，由于摔坏了，选择了拒收，与厂家联系，不给退钱蛋糕摔坏的原因分析：1.蛋糕没包装好，导致绳子散架2.快递员坚持称说是客户拿到活结处，导致蛋糕散架，我认为该理由不成立，首先，拿到活结导致蛋糕绳松开，只能在拿到蝴蝶结的尾部一根绳的时候才会导致蛋糕绳散架，但是这种情况下，蛋糕根本不可能提起来，而且这种姿势明显不对，快递员却没有提醒用户，就直接将蛋糕脱手，导致蛋糕摔在地上。</t>
  </si>
  <si>
    <t>2019/10/11 09:33:50</t>
  </si>
  <si>
    <t>深圳世联金融违规收取砍头息，暴力催收，骚扰通讯录好友家人，群发催收信息！本人于2017年9月申请6万元借款，但是签合同时被强行要求签署一份67200元的借款合同，后来在本人征信报告上显示的也是67200元，但是本人有银行流水为证，只实际到账6万元，现已还款21期。</t>
  </si>
  <si>
    <t>2019/10/11 09:33:48</t>
  </si>
  <si>
    <t>2019年10月7日属于国家规定的高速免费通行，平时我习惯走高速ETC通道，但是10月7日走高速过ETC通道时扣了我高速费，希望有关部门退回相关费用。</t>
  </si>
  <si>
    <t>2019/10/11 09:33:27</t>
  </si>
  <si>
    <t>本人通过手机借钱APP平台上申请了多宝分期的借款，借款4000元分四期每期15天，一期居然要还1599.25元，合计还款6397元利息等费用居然超过本金50%，远远超过国家法律规定的年化率，本人现已还款4797.75元，本金还清后已经多出797.75元的费用，明显已经超过国家法律支持的年化率，手机借钱对平台出借方没有严格审查，居然让这样的高利贷进入，放任不管，现要求多宝分期停止骚扰，并做出销账结清处理，要求手机借钱APP道歉协助处罚高利贷违法行为。</t>
  </si>
  <si>
    <t>2019/10/11 09:32:53</t>
  </si>
  <si>
    <t>投诉人 徐正        投诉对象  微享加        涉诉金额  240 元    问题类型    诉求类型投诉详情  本人用手机在网络上操作信用贷款 在不知情的情况下被强制保险扣走我240元</t>
  </si>
  <si>
    <t>2019/10/11 09:32:35</t>
  </si>
  <si>
    <t>大清早的还在开会就打电话来了，第一个没接，又来第二个，说清未还款原因之后直接问什么时候还，不还的话就联系我家人和朋友，有可能也会考虑上门催收，说了这段时间资金周转不过来，能周转过来我早就还了。</t>
  </si>
  <si>
    <t>2019/10/11 09:32:32</t>
  </si>
  <si>
    <t>投诉人徐先生投诉对象北京肯特瑞基金快赎业务涉诉金额10983元问题类型诉求类型投诉详情利用京东平台肯特瑞小金库网银平台私自扣款，套用做流水名义诈取他钱财转入另一个邮政账户。</t>
  </si>
  <si>
    <t>2019/10/11 09:32:22</t>
  </si>
  <si>
    <t>投诉人郑广投诉对象闪掌柜涉诉金额1219元问题类型诉求类型投诉详情闪掌柜通过开通闪白条方式，发放贷款，实为砍头息，借款一千元一个月，第二天闪白条扣129元，仍需支付1030元本息，综合利率超过国家规定36%，且闪白条逾期利息过高，难以接受。</t>
  </si>
  <si>
    <t>2019/10/11 09:32:08</t>
  </si>
  <si>
    <t>用管家里的石头管家原哈密分期借款3000元，通过畅捷支付3000，七天还一期，一共四期，每期还款1027，总共要还4108，利息高达1108，本人已经还了三期，共计3000多块钱，对我家人威胁恐吓催收，希望国家给予黑恶势力严厉打击。</t>
  </si>
  <si>
    <t>2019/10/11 09:31:50</t>
  </si>
  <si>
    <t>本人在牛人有品平台借款2200.实际到账只有1584元严重违法砍头息，15天为一期还款1122元2期还清，因砍头息太高无力承担，要求平台按实际到账+国家规定合法利率结清借款！。</t>
  </si>
  <si>
    <t>2019/10/11 09:31:45</t>
  </si>
  <si>
    <t>投诉人 樊洋扬        投诉对象  钱站        涉诉金额  590 元    问题类型    诉求类型投诉详情  骚扰我。轰炸我电话。给我打电话我说话了他们装哑巴，不处理事情。有木有相关部门能管一下，</t>
  </si>
  <si>
    <t>2019/10/11 09:31:40</t>
  </si>
  <si>
    <t>本人因个人资金紧张在及贷申请了一笔贷款，截止到8月份还够11期，还剩最后一期，客服不作为，电话骚扰，还威胁发什么律师函，本来想着钱到位就还给及贷，但期间总是不间断的骚扰，再者砍头息加利息已经远远超出了国家规定，现在要求平台撤销账单，本人工作期间不接电话，如有需要请加微信，同手机号，别到时一说就联系不上我。</t>
  </si>
  <si>
    <t>2019/10/11 09:31:36</t>
  </si>
  <si>
    <t>投诉人乔女士投诉对象拍拍贷涉诉金额0元问题类型诉求类型投诉详情从原来就开始威胁恐吓短信发给我，让我五天之内还款，不还就恐吓，就起诉，你们的人就这点作为么，现在说要寄律师函，原来就已经爆了我通讯录，行为话语特别不好，你觉得你们这样就不怕有人告你们么，你们已经影响到我工作跟生活，我连钱都挣不了，被你们毁了。</t>
  </si>
  <si>
    <t>2019/10/11 09:31:34</t>
  </si>
  <si>
    <t>拍拍贷借款两万只是用一两天提前还款居然要还23299元。</t>
  </si>
  <si>
    <t>2019/10/11 09:31:30</t>
  </si>
  <si>
    <t>昨天晚上20:01被莫名其妙扣了296元、我就去查资料、一路查到了这个小铺优客、可我根本没用过这个app、扣钱没有任何消息的、也不用我的密码、乱收费。</t>
  </si>
  <si>
    <t>2019/10/11 09:31:15</t>
  </si>
  <si>
    <t>昨天到还款日，下午5点左右把款项存卡，新浪有借app无法主动还款，然后打玖富客服电话，说是晚上八点扣款，结果等了一晚上没有扣款，今天显示逾期，打客服电话无法接通。</t>
  </si>
  <si>
    <t>2019/10/11 09:31:10</t>
  </si>
  <si>
    <t>在网络平台填写贷款信息时，被告知输入验证码，输入完毕竟然扣掉我银行卡里的299元钱，这属于欺骗消费者，如果事先明确告知填写信息会被扣款，那么我相信谁都不会上当受骗的。</t>
  </si>
  <si>
    <t>2019/10/11 09:31:00</t>
  </si>
  <si>
    <t>信用管家里的大宝钱包，借1500，到账号扣去383，分两期没15天还款一次，最后一次应资金问题逾期了，现在要结清账单，手动还款失败，客服也没有，希望大宝钱包客服跟我联系，协商还款，消除账单。</t>
  </si>
  <si>
    <t>2019/10/11 09:30:52</t>
  </si>
  <si>
    <t>请华夏信用卡中信第三方停止骚扰催收，我要和信用卡中心协商分期还款。</t>
  </si>
  <si>
    <t>2019/10/11 09:30:48</t>
  </si>
  <si>
    <t>本人2018年11月7日在及贷平台借款，在不知情的情况下被及贷平台合作的易安保险扣款1767元，用于购买个人意外险，且事后也未接到任何形式的通知，根据保险法第十五条规定，保险合同成立后，投保人可以解除保险合同的规定，本人现在郑重要求易安保险公司全额退还本人的保费。</t>
  </si>
  <si>
    <t>2019/10/11 09:30:27</t>
  </si>
  <si>
    <t>投诉人逄金奇投诉对象掌众金服,闪电借款涉诉金额2400元问题类型诉求类型投诉详情闪电借款我花了400元买财神黑卡。</t>
  </si>
  <si>
    <t>2019/10/11 09:30:15</t>
  </si>
  <si>
    <t>打电话给客服说的利率也没有算清楚到底是多少。</t>
  </si>
  <si>
    <t>2019/10/11 09:29:56</t>
  </si>
  <si>
    <t>两笔1100，每笔都扣100的费用，超出合理利息。</t>
  </si>
  <si>
    <t>2019/10/11 09:28:53</t>
  </si>
  <si>
    <t>爱上街商城,7天贷,酷街,贷上钱,宝付支付。</t>
  </si>
  <si>
    <t>2019/10/11 09:28:42</t>
  </si>
  <si>
    <t>投诉人 张明明        投诉对象  中邮消费金融        涉诉金额  2 800 元    问题类型    诉求类型投诉详情  打电话过来威逼还款 态度恶劣 还扬言不还款怎么滴怎么滴 每次让还款的人都不一样 全是网络电话和私人号码 要求加强管理 并道歉</t>
  </si>
  <si>
    <t>2019/10/11 09:28:33</t>
  </si>
  <si>
    <t>投诉人潘先生投诉对象淘宝闲鱼涉诉金额19元问题类型诉求类型投诉详情在咸鱼上给小孩买了个陀螺！商品标题写着是原厂库存所以低价促销，然后买前资讯了卖家，问是不是正品！卖家说是的然后再买的！也截图了和卖家确认是不是一样，结果收到货以后完全就是假货做工粗糙，外观乱七八糟，然后去找卖家，他承认了是假货！用了正品的包装和1：1仿的，要求退货商家还要求我出运费，投诉到咸鱼官方无果。</t>
  </si>
  <si>
    <t>2019/10/11 09:28:27</t>
  </si>
  <si>
    <t>联通说办卡免费用3个月后面自动销号，我一查发现假的合约一年，卡也是别人的，，，，。</t>
  </si>
  <si>
    <t>2019/10/11 09:27:20</t>
  </si>
  <si>
    <t>上次我已经申请了一个投诉申请，客服说过完十月一帮我处理，为什么到现在都没有收到退款通知。</t>
  </si>
  <si>
    <t>2019/10/11 09:27:16</t>
  </si>
  <si>
    <t>刚刚突然打电话过来，我想和催收协商一下，可是催收根本不听，直接说今天处理不了，我们这边就通知你的亲戚朋友和公司单位给你还，这是不是有点过分了。</t>
  </si>
  <si>
    <t>2019/10/11 09:27:11</t>
  </si>
  <si>
    <t>投诉人 颜女士        投诉对象  贷上钱        涉诉金额  2 500 元    问题类型    诉求类型投诉详情  本人因贷上钱套路贷深陷不以 以借5期，自身财产已被套路得差不多了 ，现已无力偿还高额的砍头息， 希望平台调整为法律规定的还款金额</t>
  </si>
  <si>
    <t>2019/10/11 09:27:00</t>
  </si>
  <si>
    <t>等放款算一下年息综合竟然高达54%，简直就是高利贷中的高利贷，后面提前还但是竟然收取本息32875元，需求要求玖富万卡退回超过国家规定的利息，取消最后一笔还款，以及取缔玖富的广告，他们的钱都是找银行借的怎么可能比银行更低了，由于本人并不熟悉银行金融规则，导致去玖富借款也未核算年息，政府国家不能姑息这样的高利贷企业，并且还堂而皇之的要上市。</t>
  </si>
  <si>
    <t>2019/10/11 09:26:51</t>
  </si>
  <si>
    <t>由于办理房贷急需开具结清证明，其他银行都很快就开具了证明，只有天津银行拖了4天了，联系客服就只说加急，办理房贷十万火急，请求平台帮助。</t>
  </si>
  <si>
    <t>2019/10/11 09:26:50</t>
  </si>
  <si>
    <t>投诉人吴先生投诉对象宜人万花涉诉金额30000元问题类型诉求类型投诉详情急需用钱下载了宜人万花的贷款APP，银行卡验证通过资料通过后额度是三万，后面下款时说我银行卡卡号填错要我先支付借款金额的20%解除骗贷风险才能下款，不交钱借款还需要照常还款，可钱根本没到账，他说还会上征信还会法律起诉我，刚开始被误导我还真以为是我填错银行卡号，可一说要交钱让我明白了这是空手套白狼的套路，前面银行卡是验证通过不可能会填错的，私自修改合同信息，我在此要求：撤销我申请的借款订单，因为钱根本没到账，对此行为向我公开道歉，删除AP</t>
  </si>
  <si>
    <t>2019/10/11 09:26:49</t>
  </si>
  <si>
    <t>10月10日，宝付支付连续扣款10笔。没有原因。</t>
  </si>
  <si>
    <t>2019/10/11 09:26:26</t>
  </si>
  <si>
    <t>担保费太高，借5000分12期还，每月要还502，加上担保费780。</t>
  </si>
  <si>
    <t>2019/10/11 09:26:08</t>
  </si>
  <si>
    <t>蜜瓜钱包下款1430，6天就要还款2207元，利息高达770元，汇潮支付还为其提供支付渠道，要求立即协商销账。</t>
  </si>
  <si>
    <t>2019/10/11 09:26:04</t>
  </si>
  <si>
    <t>本人在10月10日晚突然收到扣款短信，内容显示百度服务扣款，问题是我没用过这样的软件怎么会扣钱呢，然后我打电话询问一下银行，银行回复我说是还呗通过百度服务扣款，然后还呗回复说他们没有扣过。</t>
  </si>
  <si>
    <t>2019/10/11 09:26:00</t>
  </si>
  <si>
    <t>9月29号晚上在农行app里的绿森数码商城购买的苹果手机，10月7号下午四点申请退款，说好72小时内退款到账，本人是全额付款，不是信用卡付款，打电话客服只说在办理退款，时间都超出72小时了！这不是在骗人吗！。</t>
  </si>
  <si>
    <t>2019/10/11 09:25:15</t>
  </si>
  <si>
    <t>借钱，客服告诉我最高可以借二十万，我问他我借九万要多少利，他告诉我一分左右，因为急需用钱我就借了，借了之后才发现36期总还款要十六万多，我真的崩溃了，刚借出来还是把它还了，结果提前一次性还清就要十一万九千多，没钱还不了，用了一期还了四千七百多，我想还是找钱一次性还清了，结果一看总还款比上一次才少了两千多，我还了四千多了，为什么才少两千多呢！我现在想死的心都有了。</t>
  </si>
  <si>
    <t>2019/10/11 09:25:04</t>
  </si>
  <si>
    <t>还款日期每个月11日，因为工资发放时间为每月15日，新橙优品年综合利虑已经过36%了，所以更改日日期，协商。</t>
  </si>
  <si>
    <t>2019/10/11 09:24:43</t>
  </si>
  <si>
    <t>借款4000，合同显示5320的金额，还款3期，每期还款2458。</t>
  </si>
  <si>
    <t>2019/10/11 09:24:37</t>
  </si>
  <si>
    <t>贷上钱以强制购买游戏豆才能借款，贷上钱客服说是第三方收取的费用，请问第三方是谁，是什么公司。</t>
  </si>
  <si>
    <t>2019/10/11 09:24:29</t>
  </si>
  <si>
    <t>高利贷公司壹心分期安排两个催收以电话加微信还有短信方式催收，严重影响我的生活并对我的精神状况造成严重伤害，并且现在还威胁我转第三方催收爆我通讯录，希望聚投诉平台帮忙处理此事。</t>
  </si>
  <si>
    <t>2019/10/11 09:23:44</t>
  </si>
  <si>
    <t>约单APP，充值金额不能退，诚意金需要锁定一个月，反复沟通后，统一退款，但扣除10%手续费，另外，需要3-7个工作日才能到账，网络上该公司的投诉较多，也请相关部门核实，该公司是否存在违规行为。</t>
  </si>
  <si>
    <t>2019/10/11 09:23:34</t>
  </si>
  <si>
    <t>卡牛秒贷,卡牛信用管家,列银权益,易宝支付，本人在2019年10月9日在卡牛瑞贷借款6500元，当时借款看了利息还能接受，谁知道在11号上午放款6500元后自动秒扣了1300元，，这样的话利息就很夸张了，已经超过了国家法律规定的年利率36%，就是高利贷了！现要求平台退回扣除不合理的费用！本人就不在追究法律责任。</t>
  </si>
  <si>
    <t>2019/10/11 09:23:11</t>
  </si>
  <si>
    <t>投诉人 季女士        投诉对象  百世快递        涉诉金额  700 元    问题类型    诉求类型投诉详情  9月13日发的快递 至今10月11日仍没有收到。快递员于9月16日私自签收 与快递员联系至今没有给予答复。不知道邮件现在身在何处</t>
  </si>
  <si>
    <t>2019/10/11 09:22:26</t>
  </si>
  <si>
    <t>本金一万八，现已还10期，已还2万多，家里有事临时周转不开，跟催收说延缓几天，催收威胁恐吓要骚扰我通讯录联系人我公司领导，你我贷的利息已超36%了吧，这个人骚扰。</t>
  </si>
  <si>
    <t>2019/10/11 09:21:41</t>
  </si>
  <si>
    <t>闪银至尊3笔账单目前逾期了，用了闪银3年100多个账单，给了他们无数利息最近因工资晚发，钱周转不过来，一直暴力催收，骚扰联系人对本人的工作生活造成了极大的影响再继续暴力催收将报警已经跟客服讲了10月16号还上还是不停骚扰我请给出合理解释！。</t>
  </si>
  <si>
    <t>2019/10/11 09:21:36</t>
  </si>
  <si>
    <t>本人于2019.10.10号支付宝被限制收款.付款部分功能.我根据提示提交凭证但多次被撤回来.客服也联系不上.打电话也没人工.支付宝平台也联系不上人工.说说这160.这160是我在qq上做单.然后给的佣金.可见图一和图二.图一是我做好单交单给他审核.可见他说合格了.然后要收款.收款是支付宝.所以才有了这160的转账记录.但我多次提交这些凭证.客服审核都说不足.我想联系客服又联系不到.我希望支付宝客服人员能跟我联系.我能提交所以凭证.因为支付宝被限制.钱也在里面都用不了.对我生活造成了影响.我希望能给我解除.</t>
  </si>
  <si>
    <t>2019/10/11 09:21:32</t>
  </si>
  <si>
    <t>投诉人沈先生投诉对象叮当钱包涉诉金额24000元问题类型诉求类型投诉详情还不起了。</t>
  </si>
  <si>
    <t>2019/10/11 09:20:57</t>
  </si>
  <si>
    <t>汇潮支付为左右钱包高利贷提供支付渠道，下款1430元，6天就要还2207元，利息高达770元，恶意的高利贷，要求立即协商销账。</t>
  </si>
  <si>
    <t>2019/10/11 09:19:09</t>
  </si>
  <si>
    <t>投诉人 樊先生        投诉对象  升学教育        涉诉金额  13 960 元    问题类型    诉求类型投诉详情  我于10月9日报名深圳升学教育。缴纳2094贷款11866。共计13960元。后来发现没有资料提供。自己也没有钱了。父母更加不支持。经过微信多次交涉一直推诿。就是不给退。要求解除协议。退回相关款目。共计13960元</t>
  </si>
  <si>
    <t>2019/10/11 09:18:57</t>
  </si>
  <si>
    <t>小浦优客，上海宏萨乱扣我银行卡费用296，没有事先经过本人同意，也没用过他们的收费服务，仅仅注册了他们的平台和绑定了银行卡，要求退款道歉！网上有很多人都中招了！总涉案金额巨大！请处严惩！。</t>
  </si>
  <si>
    <t>2019/10/11 09:18:47</t>
  </si>
  <si>
    <t>介绍说购买490元黑卡、可以下款2800元、可是购买后下不了款。</t>
  </si>
  <si>
    <t>2019/10/11 09:17:49</t>
  </si>
  <si>
    <t>今天是还款日，APP无法主动还款，联系不到客服，若造成逾期，本人不承担后果，请客服人员主动与我联系，进行还款。</t>
  </si>
  <si>
    <t>2019/10/11 09:17:32</t>
  </si>
  <si>
    <t>已经多次威胁要联系我的通讯录，带有恐吓的色彩直接说了一句要联系我周边的人，在几点内必须处理还款，我有钱还我会逾期吗，还有之前投诉的利息过高你们一直不处理，已经超过国家规定了，如果你们联系了我的通讯录上面的人我就有权利去起诉你们盗取我的隐私，坚决维权到底，百度有钱花难道无视国家法律法规的存在。</t>
  </si>
  <si>
    <t>2019/10/11 09:16:33</t>
  </si>
  <si>
    <t>投诉人李先生投诉对象立借涉诉金额10000元问题类型诉求类型投诉详情立借变相高利贷，借一万在前三个月就要还完所有利息与本金，严重超过国家规定的利率范围，本人已还一起约5000元，先要求全部结清本金外加500元利息！如立借继续置之不管本人会向公安机关报案，以及当地法院起诉！。</t>
  </si>
  <si>
    <t>2019/10/11 09:15:30</t>
  </si>
  <si>
    <t>2019年八月一号在武汉租了一个合租房，签合同为期一年，押一付三，因个人工作原因去了洪湖，与房东协商好了退房，扣除百分之200的违约金，还需退我1130元，承诺15天到30天退款，结果过了一个多月，一直打电话找公司的人，开始承诺十月八号跟我处理，到了八号打电话问又说九号处理，到了今天电话都不接，希望有人可以管一管这种坑蒙拐骗的公司。</t>
  </si>
  <si>
    <t>2019/10/11 09:15:09</t>
  </si>
  <si>
    <t>我在豆豆钱上有逾期2058元，催收人员有多次提醒我还款，我没有及时还进去是我的问题，我也多次表明想协商延期还款几天，确实因为最近出了点事，也多次说明发了工资就还，确实因为国庆的原因，工资延迟还没发下来，不给任何协商的机会，说马上走流程取消我的所有分期，要全额还款，还要赔偿，确实是我做的不对，我也没有任何拒绝还款，电话也都接了。</t>
  </si>
  <si>
    <t>2019/10/11 09:14:13</t>
  </si>
  <si>
    <t>由于本人公司无法按时发工资，导致我逾期了，闪银催收不停的打我电话，爆我身份证信息，还要扬言打公司电话催收，先要求下个月中旬一次性还清。</t>
  </si>
  <si>
    <t>2019/10/11 09:13:52</t>
  </si>
  <si>
    <t>涉诉金额1343元问题类型诉求类型投诉详情好分期平台贷款，到期还款1343.33元，逾期一天罚息105.03元，无视国家规定范围，顶风作案！着实可恨。</t>
  </si>
  <si>
    <t>2019/10/11 09:12:54</t>
  </si>
  <si>
    <t>投诉人柴先生投诉对象钱秘,牛帮涉诉金额436元问题类型诉求类型投诉详情通过推广员在兼职平台发任务，诱导用户充值返利虚假宣传，与实际不符这是推广员的微信投资436就提现了十几块钱然后账号就被平台禁止登录了。</t>
  </si>
  <si>
    <t>2019/10/11 09:12:45</t>
  </si>
  <si>
    <t>借贷宝平台联合出借人大量明目张胆地进行套路贷，高利贷，，五天，六天，七天，砍头息30%等，并非法泄露个人信息恶意催收等违法犯罪行为，希望相关部们联合公安部尽早查处借贷宝这个套路平台！。</t>
  </si>
  <si>
    <t>2019/10/11 09:12:38</t>
  </si>
  <si>
    <t>，我是着急用钱需要贷款，后来有个人加微信说他有个业务是以我的名义买车，然后处理了变成钱，给我下款，我当时过不去，他说交押金就可以办理，后来就以各种理由让我交钱，半年多了，没有下款，总共36000万多。</t>
  </si>
  <si>
    <t>2019/10/11 09:12:34</t>
  </si>
  <si>
    <t>投诉人王女士投诉对象民生银行,民生信用卡涉诉金额20000元问题类型诉求类型投诉详情我因为周转困难民生信用卡逾期了三个月中间陆陆续续每个月还了一点进去，有多少还多少，之后打电话民生信用卡协商分期还款客服说分期不了让我跟他们法务部协商，经沟通之后让我一次全款还清就给我减免1700.22元，还完全款之后减免协议也签了法务部催收上报民生银行说流程大概一到三个月，结果第二天无理由被驳回。</t>
  </si>
  <si>
    <t>2019/10/11 09:12:19</t>
  </si>
  <si>
    <t>阴阳合同，合同写明是33000元，实际到账25000元，每个月还3484*12=41808，利率高达67%，还存在暴力催收。</t>
  </si>
  <si>
    <t>2019/10/11 09:11:12</t>
  </si>
  <si>
    <t>该工商银行田林县支行某个领导天天委托信贷部员工林霞和另一个员工小张多次进行违规上门暴力恐吓上门催收。</t>
  </si>
  <si>
    <t>2019/10/11 09:11:02</t>
  </si>
  <si>
    <t>本人和家人一直在积极商讨如何还清欠款，父母为此都忧心忡忡，二老常年体弱多病，当初知道我的事儿几乎坚持不住，经过一段时间的缓和已经慢慢冲淡了不少，但经过昨天百度有钱花工作人员极尽威吓的催收语气，造成他们精神又极度紧张起，睡不好，吃不下，本人一直和百度有沟通，努力表达还款的意愿，但百度有钱花这边和你协商，那边就突然打电话到家里进行语言威吓，最初我都做好最坏打算了，我都四十好几的人了，我个人欠的钱，本来应该由我自己全权承担的，可是父母家人没有放弃我，在他们的帮助和劝说下，我才积极面对还款，家里也没有更多的钱来帮助</t>
  </si>
  <si>
    <t>2019/10/11 09:10:57</t>
  </si>
  <si>
    <t>投诉人周女士投诉对象阿波罗儿童摄影涉诉金额66元问题类型诉求类型投诉详情首先打着16周年庆活动，优惠大大，厂家这次不挣钱，先一直问套餐的价格，店家一直说价格没出来，不过这次活动力度最大，是宣传推广作用，不赚钱，等他们活动开始了，让他们把套餐价位发过来看看，他们一直说忙，没时间，要自己去店里看，自己订套餐，去店里一看套餐比之前给自己的套餐还更有捆绑意识，以前没活动半价，全家福也就1600，现在半折和全家福差不多的要2999，可以拍两次，有效期3年，之前问过五折的有没有适合两个宝宝一起拍的，说有，可是今天进店一</t>
  </si>
  <si>
    <t>2019/10/11 09:10:35</t>
  </si>
  <si>
    <t>本人在融360的时光分期贷款6000元，分期12期，每一期归还678，12期共还款8136利率超出了银行利息的红线，本人已经还满10期，共计7080元，本金早已经还够，并且利息按着银行利率最高的百分之36的利率也已经超出了，本人要求时光分期销账！。</t>
  </si>
  <si>
    <t>2019/10/11 09:09:23</t>
  </si>
  <si>
    <t>投诉人钟先生投诉对象小米金融涉诉金额48984元问题类型诉求类型投诉详情本人在小米金融上有多笔借款，一共48984.6元，因为个人原因欠多个平台的资金，现在无办法一次性还款，希望贵公司能停止罚息，可以延长分期……。</t>
  </si>
  <si>
    <t>2019/10/11 09:08:43</t>
  </si>
  <si>
    <t>在不知情的情况下随意扣我银行卡里面298元，要求退还。</t>
  </si>
  <si>
    <t>2019/10/11 09:06:42</t>
  </si>
  <si>
    <t>投诉人李先生投诉对象用钱宝涉诉金额5000元问题类型诉求类型投诉详情这种骗人的的借钱平台就应该下架，不要在祸害群众了。</t>
  </si>
  <si>
    <t>2019/10/11 09:06:11</t>
  </si>
  <si>
    <t>投诉人刘先生投诉对象上海店宝宝涉诉金额890元问题类型诉求类型投诉详情刚开始买了1780元高级套餐，店还没有开起来，我想要退款，就扣我一半的钱，还说要退只能退一半，刚开始的时候不是这么说的啊，我要求全额退款，希望聚投诉平台帮帮我，这是他们退给我一半的钱，还有一半还没有退回来谢谢。</t>
  </si>
  <si>
    <t>2019/10/11 09:05:03</t>
  </si>
  <si>
    <t>砍头息2000到账1400.由汇潮支付有限公司进行合作放款，现在要求合理解释，并返还之前利息，本金处理。</t>
  </si>
  <si>
    <t>2019/10/11 09:03:43</t>
  </si>
  <si>
    <t>新意花小木钱包为明令禁止严厉打击的网络套路贷，中金支付违规为该平台提供支付渠道。</t>
  </si>
  <si>
    <t>2019/10/11 09:03:33</t>
  </si>
  <si>
    <t>在玖富万卡借款5000分36期还已经还款13个月了，每期还款288.89元，现在未还金额居然还有6644.69我想问问我还了13个月的钱现在比我的本金还要高。</t>
  </si>
  <si>
    <t>2019/10/11 09:03:30</t>
  </si>
  <si>
    <t>投诉人 周女士        投诉对象  招联金融        涉诉金额  700 元    问题类型    诉求类型投诉详情  说了这段时间有困难 给我几天时间 现在整天轰炸我的亲朋好友 各种威胁！辱骂！</t>
  </si>
  <si>
    <t>2019/10/11 09:03:07</t>
  </si>
  <si>
    <t>说好的一个月1739.47却前两个月变3548.47。</t>
  </si>
  <si>
    <t>2019/10/11 09:03:01</t>
  </si>
  <si>
    <t>投诉人李先生投诉对象点点通涉诉金额1135元问题类型诉求类型投诉详情2019年7月11日在点点通贷款平台贷款2500元实际入账2250元，250元是会员费，分3期每期还款1135元，还剩最后一期，这两天平台无法打开运行，今天最后一天还款，客服电话只有进入平台也才能看到，无法联系客服。</t>
  </si>
  <si>
    <t>2019/10/11 08:59:36</t>
  </si>
  <si>
    <t>投诉人 张先生        投诉对象  蜂窝钱包        涉诉金额  1 100 元    问题类型    诉求类型投诉详情  借1100元到手704元，期限只有6天。只有客服电话189******50</t>
  </si>
  <si>
    <t>2019/10/11 08:59:10</t>
  </si>
  <si>
    <t>在玖富万卡APP上申请贷款，在APP操作下，在不知情的情况下购买内含有人保个人贷款保险条款，且后来发现购买的保险保障金额大于贷款金额，并且了解到个人贷款是不应含有任何保险条款的，所以现要求中国人民财产保险公司退保费，共计人民币961元，近日多次打电话给中国人民财产保险公司客服电话，客服人员都说找专员进行沟通，可是都是没有结果的等待，希望中国人民财产保险公司重视每一个客户的建议。</t>
  </si>
  <si>
    <t>2019/10/11 08:58:31</t>
  </si>
  <si>
    <t>立借催收单位通知我还款我并没有说不还，我说了我工资未发，等我工资发了就会还，他们直接爆我通讯录，我希望对方能好好考虑一下这个事情，如果你们再爆我通讯录，我会直接去当地公安局报案。</t>
  </si>
  <si>
    <t>2019/10/11 08:57:53</t>
  </si>
  <si>
    <t>小浦优客在毫无通知的情况下私自扣款296元。</t>
  </si>
  <si>
    <t>2019/10/11 08:57:40</t>
  </si>
  <si>
    <t>本人于在信用管家申请一笔3000元贷款，由神马借通过畅捷支付发放，实际到账2625，7天每期共分4期还款，每期还款896元，共计还款3584，实为砍头贷，年化利率达到百分之四百多，远超过国家规定的百分之三十六的红线，本人已经按期还款前俩期，由于信用管家被有关部门调查，导致第三期无法自动扣款和主动扣款，本人主动联系客服，客服电话无法接通，导致逾期，逾期费用20天就翻一翻！要求神马借客服主动联系，调整利率！。</t>
  </si>
  <si>
    <t>2019/10/11 08:57:05</t>
  </si>
  <si>
    <t>发现逾期之后本人全额结清，并不是故意逾期，现在征信里面有个关注，打电话让取消一直推脱，踢皮球。</t>
  </si>
  <si>
    <t>2019/10/11 08:56:27</t>
  </si>
  <si>
    <t>要求联动优势退款，赔偿，道歉！而且是通过几十次交易，可见存在多大的漏洞。</t>
  </si>
  <si>
    <t>2019/10/11 08:56:02</t>
  </si>
  <si>
    <t>投诉人 陈女士        投诉对象  雷风行        涉诉金额  49 元    问题类型    诉求类型投诉详情  调度停车乱收取费用49元，押金也不能退还</t>
  </si>
  <si>
    <t>2019/10/11 08:54:37</t>
  </si>
  <si>
    <t>借款5000连本带利要还6700多，已还6个月，还有6个月，现在要求一次性结清本金，减免手续费利息。</t>
  </si>
  <si>
    <t>2019/10/11 08:54:28</t>
  </si>
  <si>
    <t>由于去了一趟老家一段时间内接不到单，滴滴出行分天天扣，现在只剩下不到5分，在热单区根本听不到单，要求滴滴给于恢复，谢谢！。</t>
  </si>
  <si>
    <t>2019/10/11 08:53:28</t>
  </si>
  <si>
    <t>早上六点无缘无故扣款，我想请问你们是怎么通过银行卡扣款的！！！要求解除任何无故扣款协议，扣钱总得有个东西出来吧，钱拿了什么也没得到！抓紧退款处理。</t>
  </si>
  <si>
    <t>2019/10/11 08:53:20</t>
  </si>
  <si>
    <t>实在抱歉，通过这个方式来找你们平台，我昨天有期账单到期，因为资金周转问题没有及时处理，请求给予一天处理时间，我今天下午6点前会处理好，一早就去找你们平台客服进行沟通，但是得到结果只是自动回复，希望平台给予一个明确的消息，我今天下午6点前会处理好，不希望去联系我亲人朋友。</t>
  </si>
  <si>
    <t>2019/10/11 08:52:46</t>
  </si>
  <si>
    <t>本人于2019年10月9号在美图e钱包借款9500，分六期，利息1709.98，借款时没有验证身份，下款时间久，中间想取消，被告知无法取消，下款后，并不是所宣传的日息0.04%，且我第二日想要还款，却是还全部的利息，最重要的是，还款失败，我银行卡余额充足，不知道为什么，给我一期分两笔，只扣了一百多，剩下的还款失败，再继续电还款无任何响应！严重欺骗消费者！我不是不还钱！确让我无法还！不能理解为什么要走线下还款！我申诉维权！。</t>
  </si>
  <si>
    <t>2019/10/11 08:52:32</t>
  </si>
  <si>
    <t>苏宁任性付，催收态度恶劣、嚣张恐吓威胁联系人、群发威胁短信……。</t>
  </si>
  <si>
    <t>2019/10/11 08:50:23</t>
  </si>
  <si>
    <t>本人在融360借的玖富万卡，本人一直还款从未逾期，已经还了七期，9.30号第八期我还款的钱打到卡里结果平台只扣了一部分，剩下的钱没扣，我去融360平台点还款显示账单已还清，系统原因让我逾期，因为我那张中国银行卡还有别的贷款平台扣款第二天钱被别的平台扣了，我觉得这不是我个人原因造成的逾期，要求给个合理解决，以前都是一次性扣款，而且利息高的吓人，要求还合法利息，当时卡里有足够的钱没扣，还有我在融360借款显示本金借款5700在玖富平台显示本金是265.01*24就是6360.24我本金只借了5700啊，我上传的</t>
  </si>
  <si>
    <t>2019/10/11 08:50:19</t>
  </si>
  <si>
    <t>本人现在办房贷征信不过关，查了才知道是因为来分期的贷款必须还清才行，但是本人的5个订单都不能提前还款，恳请来分期把订单更改为可以提前结清的账单，利息我会一分不少的还完，谢谢。</t>
  </si>
  <si>
    <t>2019/10/11 08:48:40</t>
  </si>
  <si>
    <t>还款金额三千三百五，其中六百多显示游戏充值。</t>
  </si>
  <si>
    <t>2019/10/11 08:48:33</t>
  </si>
  <si>
    <t>投诉人李先生投诉对象多宝分期,手机借钱涉诉金额2000元问题类型诉求类型投诉详情本人在手机借钱APP借款2000，分三期还，10天为一期，每期还款866.37，总还款为2599.11，2019年9月27日还第一期，本人于26日10点50分转入银行卡3000元，然后上APP主动还款，操作多次还款失败，，联系客服人员后要求我线下转账还款，我说我不放心线下还款，客服便威胁我说是我恶意拖欠借款不还，每天电话和信息不断的来骚扰。</t>
  </si>
  <si>
    <t>2019/10/11 08:48:29</t>
  </si>
  <si>
    <t>信息科技有限公司发生快捷支付扣款，人民币296.00，无故扣款人民币296元，在我不知情的情况下，要求退款！。</t>
  </si>
  <si>
    <t>2019/10/11 08:47:48</t>
  </si>
  <si>
    <t>请工商银行查看中国人民银行公告〔2015〕第43号，非银行支付机构网络支付业务管理办法以及《非银行支付机构网络支付业务管理办法》条款释义的第二条，第十条，第三十七条，第四十六条规定，请看附件截图，对宝付支付通过银联渠道划扣我工商银行卡资金，支付机构和银行是否都需要我的直接授权！请工商银行注意办法释义的第二条适用范围，第十条类似业务，第三十七条授权，银行的责任，第四十六条执行时间是2016年7月1日。</t>
  </si>
  <si>
    <t>2019/10/11 08:47:44</t>
  </si>
  <si>
    <t>3000多元的贷款会收取1000多元的砍头息，而且暴力催收本人及本人的家人朋友，一天好多个电话，严重影响本人和家人朋友的正常生活，会在明后天处理掉这次借款，希望立即停止骚扰。</t>
  </si>
  <si>
    <t>2019/10/11 08:47:18</t>
  </si>
  <si>
    <t>当时在2019年5月通过网上寻找兼职，一个朋友介绍了兼职平台给我，我进入兼职平台后浏览了一番，在充值做任务的过程中看到有银联支付，且各大第三方支付公司都支持，本以为有正规的支付牌照接口是国家的合法兼职平台，从2019年4月24日到现在2019年6月28日一共通过广东汇卡商务服务有限公司充值投进去有人民币38200元，后来在2019年7月5号本人到该平台进行做兼职任务时，申请结算报酬，但是确不能出款，这时我马上查阅相关资料并咨询律师，这时才得知是违法博彩平台，通过中国人民银行，中国银联，和支付清算协会沟通得知</t>
  </si>
  <si>
    <t>2019/10/11 08:47:05</t>
  </si>
  <si>
    <t>后端与我联系过了，原因也都说清楚了，但是催收人员一直给我打电话，言语恐吓，说联系我的村委会，催收人员态度极差。</t>
  </si>
  <si>
    <t>2019/10/11 08:46:45</t>
  </si>
  <si>
    <t>于8月29日在花转转申请到账2800实还4088、前期一直正常还款，到了第三期9月22日由于他们App原因还款各种失败，反馈客服也没有解决，客服电话打不通，逾期费每天50增加，客服电话打通了反应还不上款有逾期，然而客服说这是不归他管，我有录音！直到昨天才有人联系我，协商不成功，客服说逾期费减不了必须还！已经还了两期了！现在只想还本金销账，他们电话：4008336200----052382502451。</t>
  </si>
  <si>
    <t>2019/10/11 08:45:31</t>
  </si>
  <si>
    <t>砍头息，需要协商解决还款，催收电话恶劣！！！。</t>
  </si>
  <si>
    <t>2019/10/11 08:44:27</t>
  </si>
  <si>
    <t>银行卡未限额，无法主动还款，现导致逾期一天，而且一天就100，因为不是自己原因，不愿意承担这种责任。</t>
  </si>
  <si>
    <t>2019/10/11 08:44:04</t>
  </si>
  <si>
    <t>工作人员采用侮辱谩骂我的家人朋友的方式进行催收要求米多点依法对我的精神损失作出赔偿并且向我及我的家人朋友进行道歉。</t>
  </si>
  <si>
    <t>2019/10/11 08:43:36</t>
  </si>
  <si>
    <t>如题，阴阳合同，前期与客服有过沟通处理，却没方法处理，也只是随便敷衍了事，而不是我莫名其妙又挨摆一道等会回头又上事务所找陪聊，既耗时间又是钱的，事情如下：本人在u钱包平台借款一万元整到账，在还款过程之中发现我的借款本金为一万两千多元，u钱包客服告诉我这是u钱包平台特色，自己平台没钱要去其他地方借钱给我，所以多出两千多元，这就是平台应收取的手续费！，放贷还要四天之久，这个还不能取消贷款，到账后我还不能退换，这里我打个比方，在这个平台借钱我借十万元我是不是连本带息还十五万元，我本怀着欠债还钱天经地义，按照对应的</t>
  </si>
  <si>
    <t>2019/10/11 08:42:57</t>
  </si>
  <si>
    <t>上海乾管家APP网贷，实际是一款高利贷产品！协议上的深圳公司已经注销，每次还款对方账户都是不一样的小吃店！情况实为可疑！借款5000到手5000，每周还383.33，共需还几十周！！现已经还了7000有余，该平台打电话过来要求我再还款！电话里对家人进行恐吓和辱骂！在明知和我取得联系的情况下，竟然还爆我的通讯录！！最近更是用垃圾短信骚扰！！现希望有关部门严厉彻查这家公司！！要求对方停止一切骚扰！！并要求下架！！太猖狂了！！。</t>
  </si>
  <si>
    <t>2019/10/11 08:40:39</t>
  </si>
  <si>
    <t>高利贷，砍头息，没话说了，，，，，，，，，，，，。</t>
  </si>
  <si>
    <t>2019/10/11 08:39:16</t>
  </si>
  <si>
    <t>投诉人李女士投诉对象钱站涉诉金额3000元问题类型诉求类型投诉详情钱站借款3000，每月还款1790左右，三个月共还款5370！利息2370！而且串改合同，根本就不显示借款本金，故意写高本金！黑心高利贷当天还款日就微信骚扰暴力催收！而且钱站不合法，每次都要重新下载该app，都不是认证的app，都要反复验证才能下载到，可见心虚的厉害，已举报扫黑办聚投诉，两期共还款3580，足够销账！你们威胁就威胁，国家有办法整顿你们。</t>
  </si>
  <si>
    <t>2019/10/11 08:39:05</t>
  </si>
  <si>
    <t>投诉人申院红投诉对象拍拍贷,万达普惠涉诉金额10000元问题类型诉求类型投诉详情拍拍贷，万达普惠，你我贷还有达飞云贷，利息都特别高罚息更是高的惊人，暴力催收一天几十个电话，接电话吧就是限你在几点前还款，不然就怎么怎么滴，不接电话吧是爆通讯录，你们已经严重的影响了我的生活，还有侵犯我的隐私，我会依法追究法律责任。</t>
  </si>
  <si>
    <t>2019/10/11 08:38:43</t>
  </si>
  <si>
    <t>投诉人郑先生投诉对象贷上钱涉诉金额4500元问题类型诉求类型投诉详情之前因为是在着急用钱在贷上钱申请了贷款，一笔2000元一笔2500元，但是2次申请需要一个500元和一个750元的购物才能贷到钱，而且购物只是幌子，没有任何的服务和实物，虽然不是砍头息但是借款2000元28天期限还款就要2560元！！！收取高额费用，申请退换所谓的购物金额，并且宝付为代扣单位！！只要求退换所谓购物费用！还有我已有笔2000的贷款逾期一天要收取22元的一天逾期费，也高于国家标准了，估计今天要开始骚扰我并且看去投诉很多贷上钱的暴</t>
  </si>
  <si>
    <t>投诉人王先生投诉对象滴滴出行涉诉金额0元问题类型诉求类型投诉详情滴滴公司派单倾斜，单子接不到，单子接的太少了。</t>
  </si>
  <si>
    <t>2019/10/11 08:37:58</t>
  </si>
  <si>
    <t>投诉人裴女士投诉对象钱站涉诉金额5000元问题类型诉求类型投诉详情在钱站借了5000元钱，合同上却写着9000多，贷款三个月等于光利息就要付4000多，利息太高了还不起了。</t>
  </si>
  <si>
    <t>2019/10/11 08:37:17</t>
  </si>
  <si>
    <t>我从上面借了18000到账只有11000还要还20587.72。</t>
  </si>
  <si>
    <t>2019/10/11 08:37:02</t>
  </si>
  <si>
    <t>投诉人 钟先生        投诉对象  来分期        涉诉金额  40 元    问题类型    诉求类型投诉详情  还款日当天 无限打电话几分钟一个 打了几十个。</t>
  </si>
  <si>
    <t>2019/10/11 08:36:46</t>
  </si>
  <si>
    <t>买的时候明明承诺返还799元现金，现在只有虚拟币，而且还什么都不用。</t>
  </si>
  <si>
    <t>2019/10/11 08:35:33</t>
  </si>
  <si>
    <t>本人于2019年9月1日借款1000元，强制性扣除VIP费用188元，由于最近工作忙以及资金原因逾期十天，每天逾期费10元，已经超出国家法定范围，并且不断骚扰本人想要延期也不予协商，是名副其实的套路贷，放款方为上海中谷小金金融信息服务有限公司，支付方为通联支付，现要求退回会员费188元，停止对本人的骚扰。</t>
  </si>
  <si>
    <t>2019/10/11 08:34:17</t>
  </si>
  <si>
    <t>投诉人刘先生投诉对象斗牛士涉诉金额7000元问题类型诉求类型投诉详情10月10号开始恶意电话轰炸爆我通讯录里威胁我家庭9月27号借3500到账1800还款7000多从10号开始起初发短信我试过协商偿还本金可是人家根本不理你别人只要收回来一个这已经是回了很多本了所以只有投诉报警才能取得更好的解决方案求斗牛士给一个解释。</t>
  </si>
  <si>
    <t>2019/10/11 08:32:49</t>
  </si>
  <si>
    <t>涉诉金额6000元问题类型诉求类型投诉详情借款5000元，分期六个月还款，利息将近2000元，严重高利贷公司，暴通讯录，恐吓威胁，精神收到损失，已经上报公安局，银监会，中国互联网金融平台，现在公安已经开始打击。</t>
  </si>
  <si>
    <t>2019/10/11 08:31:43</t>
  </si>
  <si>
    <t>钱水艇一开始未经同意，擅自在银行卡扣了168信息费，后来本人再交148服务费，但已经过了差不多一个月，仍没有贷款结果，要求公司全额退还两笔费用。</t>
  </si>
  <si>
    <t>2019/10/11 08:30:28</t>
  </si>
  <si>
    <t>投诉人 宋女士        投诉对象  钱站        涉诉金额  2 000 元    问题类型    诉求类型投诉详情  本金2000分三期还 一期1300 三期下来将近还了2000来块</t>
  </si>
  <si>
    <t>2019/10/11 08:29:29</t>
  </si>
  <si>
    <t>我一开始不相信的后面我就没理随便回个消息后面她开始欺骗消费者，她依然强迫我去办银行卡去分期贷款学历提升，之后我就去办银行卡回来叫我填一些资料也就是贷款的信息，每个月的还款期是7号目前逾期4天已经扣我102.的违约金。</t>
  </si>
  <si>
    <t>2019/10/11 08:28:57</t>
  </si>
  <si>
    <t>骚扰我通讯录好友，本身就是违法平台，顶风作案！。</t>
  </si>
  <si>
    <t>2019/10/11 08:26:42</t>
  </si>
  <si>
    <t>应该是还款日，我来贷给我打了电话告诉我在昨天必须处理完，昨天晚上下了火车我就去存钱了，大概是九点多，因为第一天的话没有收取逾期费，我来贷客服说只要把钱存到银行卡里等着扣款就可以了，但是我存了晚上12点多的时候，一看没有扣款，我就很不理解，我又不是银行卡里没有钱，他们不扣款，为什么要收取我的逾期费，昨天晚上银行卡明明余额重组，今天早上我看有逾期费300了，我怕他们把钱扣除，我又转到了微信里。</t>
  </si>
  <si>
    <t>2019/10/11 08:26:15</t>
  </si>
  <si>
    <t>9月22日23日，从我个人帐户中扣除金额合计299元</t>
  </si>
  <si>
    <t>2019/10/11 08:25:57</t>
  </si>
  <si>
    <t>立借借款8500元，写着12月还清实则3个月就偿还完毕，并附带超高费用，因经受不住压力现已还清一期，现想本金加500元利息销账。</t>
  </si>
  <si>
    <t>2019/10/11 08:25:50</t>
  </si>
  <si>
    <t>本人于2019年7月4日在盼达用车app申请退款押金，到目前2019年10月11日为止已经超过承诺的30日退款日期三个月，盼达公司迟迟不退，而且我一次也没有使用过，中途多次打电话客服无果，用帮我提交申请、等待15日等各种理由敷衍搪塞我，成都消费者协会让我联系重庆进行投诉，但是每次下班时间重庆消费者协会无人接听电话，投诉无门。</t>
  </si>
  <si>
    <t>2019/10/11 08:25:39</t>
  </si>
  <si>
    <t>钱站借1000，分三个月还要还到1800元，。</t>
  </si>
  <si>
    <t>2019/10/11 08:24:25</t>
  </si>
  <si>
    <t>美约先说试用三天，然后突然无提醒强行续费一年。</t>
  </si>
  <si>
    <t>2019/10/11 08:23:45</t>
  </si>
  <si>
    <t>10月11日，早上七点多就还款，还是还款失败，现在我要求，给我重新按照国家法律标准的费率给我重新测算还款金额，我只还我实际到账的欠款本金，和法律允许的利息，至于其他不合法的不在接受，郑重申明，并非我本人恶意欠款，我可以提供我的银行卡账号流水，所以因此产生的逾期费用，滞纳金，本人一概不负责，在这期间如果贵公司还有不当操作，恶意骚扰我的联系人。</t>
  </si>
  <si>
    <t>2019/10/11 08:22:21</t>
  </si>
  <si>
    <t>已经陆续还款，竟然还上门骚扰年迈父母，还能不能让人活了。</t>
  </si>
  <si>
    <t>2019/10/11 08:19:57</t>
  </si>
  <si>
    <t>不知不觉中都给扣费了流氓公司！看浏览了一下这公司经常这么干。</t>
  </si>
  <si>
    <t>2019/10/11 08:17:50</t>
  </si>
  <si>
    <t>拇指下款、百世惠普这两个APP是一家公司的，百世惠普是他们主要的APP，拇指下款可能是换了张皮，申请贷款后被拒了，然后过了一两天后突然从银行卡各扣了299，共扣了598元，打电话给客服要求退款，被百般刁难，还要将身份证正反复印件、手持身份证相片黑白复印件，订单复印件等邮寄到上海市浦东新区乳山路98号1号楼5楼前台，等他们长时间的审核，5-10工作日审核，然后5-10工作日联系退款，最后再等7-14工作日到账，说白了就是想让你嫌麻烦而放弃，时间拖得久了就可以各种理由不退款。</t>
  </si>
  <si>
    <t>2019/10/11 08:16:39</t>
  </si>
  <si>
    <t>本人在9月25号在钱伴借了25000元，借的时候没看见有服务费，借完后发现前两期需要归还高达3800元的服务费，这就是变相的利息，已经还了一期，因为本人多头借贷，无力偿还，现在要求钱伴一次性结清，减免后续的服务费与利息。</t>
  </si>
  <si>
    <t>2019/10/11 08:16:25</t>
  </si>
  <si>
    <t>银行卡从来没绑定什么连连支付，百付宝，为什么卡里的钱分别被，连连支付快捷支付北京好还科技有限公司刷走1254.64、百付宝​快捷支付北京好还科技有限公司。</t>
  </si>
  <si>
    <t>2019/10/11 08:16:21</t>
  </si>
  <si>
    <t>之前投诉京东金融之后，他就把我金条借款功能关闭，我以为他要慢慢恢复，一等就三个月，一直关闭，我信用卡，支付宝借呗，花呗等其他金融平台都能正常使用，一直正常还款，从未逾期，保持良好信用，但京东金融无故关闭我的金条借款功能，实在是欺压，希望能给我恢复借款功能！。</t>
  </si>
  <si>
    <t>2019/10/11 08:15:21</t>
  </si>
  <si>
    <t>本人因被人误导，于6月份在微粒贷借款10万元，投资了一个不靠谱的金融项目，先项目被套牢，资金有进无出，疑似被骗，在加上公司业绩不景气，工资每月也不能按时发放，导致微粒贷不能按时还款，微粒贷借十万，现以还两期，还剩九万多为还，我希望能与微粒贷银行直接协商还款，能给予我一定的时间上的宽裕，在此不胜感激。</t>
  </si>
  <si>
    <t>2019/10/11 08:13:32</t>
  </si>
  <si>
    <t>投诉人 朱先生        投诉对象  肥猫贷暴力催收，催收电话恶劣。        涉诉金额  1 400 元    问题类型    诉求类型投诉详情  暴力催收，催收电话进行骚扰，而且很恶劣。</t>
  </si>
  <si>
    <t>2019/10/11 08:13:00</t>
  </si>
  <si>
    <t>请工商银行帮助查询附件截图银行卡号的宝付快捷支付的开通日期！是开通日期！不是首笔交易日期！请提供开通宝付快捷支付时的绑卡验证码！。</t>
  </si>
  <si>
    <t>2019/10/11 08:08:56</t>
  </si>
  <si>
    <t>到账没多久立马收取一千的费用，借一万，到账九千，还款一万三千多，。</t>
  </si>
  <si>
    <t>2019/10/11 08:08:12</t>
  </si>
  <si>
    <t>砍头息，不接受合理的协商还款调整！！！催收电话态度恶劣。</t>
  </si>
  <si>
    <t>2019/10/11 08:05:22</t>
  </si>
  <si>
    <t>本人在分期乐平台有逾期，其实不想逾期的，实在是周转不开，因为之前国庆的问题，工资发的比较晚，会延迟两三天，所以我希望平台可以再给我几天的宽限时间，等工资发了，我马上还上去，我希望平台不要打电话给我，因为在上班确实不方便接电话，另外也请不要去骚扰我的联系人，谢谢。</t>
  </si>
  <si>
    <t>2019/10/11 08:03:16</t>
  </si>
  <si>
    <t>投诉人 胡先生        投诉对象  MY钱包        涉诉金额  4 253 元    问题类型    诉求类型投诉详情  砍头息 高利贷 每天利息100多 要求只还本金</t>
  </si>
  <si>
    <t>2019/10/11 08:00:27</t>
  </si>
  <si>
    <t>今天早上，不知道什么原因就被这个叫什么中归，还款的给扣钱了，又没有联系方式又没有电话的，搞不清楚什么情况，希望能帮忙处理下。</t>
  </si>
  <si>
    <t>2019/10/11 07:54:24</t>
  </si>
  <si>
    <t>变更合同日期，变更合同日期，变更合同日期，变更合同日期。</t>
  </si>
  <si>
    <t>2019/10/11 07:54:15</t>
  </si>
  <si>
    <t>购买体脂称得时候会过平台承诺三个月内全额退款，结果一年多了还没有退。</t>
  </si>
  <si>
    <t>2019/10/11 07:54:01</t>
  </si>
  <si>
    <t>借款强制购买保险，之前一直不知情，还请已经很久了才看到！要求退保，退还责任金及道歉！。</t>
  </si>
  <si>
    <t>2019/10/11 07:53:17</t>
  </si>
  <si>
    <t>投诉人 康先生        投诉对象  石头管家        涉诉金额  3 000 元    问题类型    诉求类型投诉详情  石头管家跟存钱柜 两个黑平台 贷款时显示绑定银行卡 没绑定成功两个就下款了 两个各贷了3000一共6千 一共八千 这种高额的利息不想承担 存钱柜以还清 石头管家还剩两期 本人要求销账 否则本来报警处理 本身高利贷就属于严重违法的 石头管家催收人员恐吓威胁本人 对自己的生活造成了不好的影响 本人将拿起法律的武器来保护自己。</t>
  </si>
  <si>
    <t>2019/10/11 07:52:50</t>
  </si>
  <si>
    <t>本人8月23日在新意花小木钱包借款2100元，分四期每期8天还款，每期766元，本人已还1500多元，后面两期实在无力偿还，家里人也知道且报警处理，准备协商本金还款，但是该平台客服一直联系不上！打电话打不通，app反馈没应答，只有16号和24号还款日一个电话，不协商，叫联系客服，进入死循环！！看着日益增长的逾期费用，并且app无法还款，感觉遇到套路贷，等着费用增加到一定程度再来催收！！请贵平台帮忙联系新意花，本人承诺还款本金和合法的利息！支付通道为畅捷支付，谢谢～。</t>
  </si>
  <si>
    <t>2019/10/11 07:52:36</t>
  </si>
  <si>
    <t>自由魔卡APP的六便士，以买卡为借口收取高额砍头息，我在9月12号借款2000元收取540元会员卡费，28天后到期还款2060元，等于28天利息600元，从五月份起，借款5-6次了，付出的利息远远超过本金，现在已无力偿还，自由魔卡给高利贷提供平台，畅捷支付给高利贷提供支付通道，已保留到账信息，银行扣款等资料近一步像12315，扫黑办，银监会投诉。</t>
  </si>
  <si>
    <t>2019/10/11 07:49:04</t>
  </si>
  <si>
    <t>但是唯品会的暴力催收说会给我父母朋友打电话暴力催收。</t>
  </si>
  <si>
    <t>2019/10/11 07:48:52</t>
  </si>
  <si>
    <t>在快闪卡贷借款7000元，实际到账5964.砍头息1036，后来才知道这1036是购买人保保险，问题本人不知道，没签署过购买合同，也没保险的人和我联系，前几天查了下才知道保险期间为一个月，国家可是规定借贷不能捆绑保险的，分6期每期还1404多，远超国家法定利率，已还5期7020元，剩余一期要求要么清帐，要么把保险费用退还！。</t>
  </si>
  <si>
    <t>2019/10/11 07:47:10</t>
  </si>
  <si>
    <t>本人申明，本人以下说的每一句话全部事实！不存在任何虚假及编造，并且本人愿意为自己的言行付出法律代价本人在如期分期借款12000元，分期12个月，每月还款1197.54.共计还款14370.2，利息占19%.但是如期分期在我本人不知情的情况下，分别在9月及10月扣了所谓的担保费与风险评估费！费用为363及1694这两个内容在借款时完全没有体现！并且我相信如期分期一定会说合同是这么写的！但是！贵公司的协议是故意起草的那么隐蔽吗，贵公司既然有APP为什么在APP借款时不完全显示出来呢，非要这样偷鸡摸狗呢！这是变现</t>
  </si>
  <si>
    <t>2019/10/11 07:45:57</t>
  </si>
  <si>
    <t>只是注册了今日花呗，也没有在他那贷过款，今天早上无故就收到扣款短信，在本人不知情，没有同意付款的情况下钱就没了。</t>
  </si>
  <si>
    <t>2019/10/11 07:45:50</t>
  </si>
  <si>
    <t>不知道什么原因，通过易宝支付刷走了，没原因，没订单，不知道收款人。</t>
  </si>
  <si>
    <t>2019/10/11 07:44:40</t>
  </si>
  <si>
    <t>在手机上看到的一个兼职，没想到要交钱，后来发现不妥就申请退款，岂知互相推磨，要20天左右才能退。</t>
  </si>
  <si>
    <t>2019/10/11 07:43:34</t>
  </si>
  <si>
    <t>本人因资金周转借了两笔，1笔2100元.已经剩最后一期1笔2800元，未还款客服联系不上，不知道如何还款，网站反馈信息无人联系，导致一直逾期，希望能够协商尽快还款结清。</t>
  </si>
  <si>
    <t>2019/10/11 07:42:56</t>
  </si>
  <si>
    <t>高利贷，借704元，还款1100元，6天400的利息。</t>
  </si>
  <si>
    <t>2019/10/11 07:42:32</t>
  </si>
  <si>
    <t>拍拍贷涉嫌冒充公检执法，群发假公告恐吓家人，频繁电话，短信骚扰家人，爆通讯录骚扰。</t>
  </si>
  <si>
    <t>2019/10/11 07:41:55</t>
  </si>
  <si>
    <t>泄露我的个人信息！天天给我发上百条验证码！。</t>
  </si>
  <si>
    <t>2019/10/11 07:36:42</t>
  </si>
  <si>
    <t>爱又米逾期天天发邮件和消息，要求停催，月底三十号还。</t>
  </si>
  <si>
    <t>2019/10/11 07:36:16</t>
  </si>
  <si>
    <t>已经投诉过一次，已经给周周花花对公账号转过钱，还继续催收，还款，借3000还5000多，已经协商还款3500，还不销账。</t>
  </si>
  <si>
    <t>2019/10/11 07:35:54</t>
  </si>
  <si>
    <t>早上六点半发现招商银行无故被扣款709.20元人民币，扣款方是马上消费金融，我从未下载、使用过此产品，也未在之前或者之后收到任何短信提示。</t>
  </si>
  <si>
    <t>2019/10/11 07:33:24</t>
  </si>
  <si>
    <t>拇指下款恶意扣款299元，请求退款，谢谢造艺科技有限公司。</t>
  </si>
  <si>
    <t>2019/10/11 07:32:52</t>
  </si>
  <si>
    <t>暴力催收，高利息，未逾期爆通讯录，逾期一天让还两期账单。</t>
  </si>
  <si>
    <t>2019/10/11 07:28:59</t>
  </si>
  <si>
    <t>本人2017年2月借了玖富叮当钱包2万元整.当时根本也不会算利率.而且当时玖富宣传说自己的利息低什么什么的.一共分了48期.每期1416.67元.说实话，我已经还了32期了.结果一看还有2万多要还.脑袋一下就炸了.赶紧拿计算器算了一下.借两万。</t>
  </si>
  <si>
    <t>2019/10/11 07:27:40</t>
  </si>
  <si>
    <t>冒充公安执法，以个人名义群发立案通告恐吓短信，涉嫌暴力催收！。</t>
  </si>
  <si>
    <t>2019/10/11 07:24:54</t>
  </si>
  <si>
    <t>滴滴出行的夜间卡投诉率本身是按照接单数量跟乘客的好评来提升跟下降的，而我的账号在10月5号之前平均每天可以接十几单，每单乘客都给我好评，而投诉率却不下降，10月5号到10月9号之间每天只接一两单投诉率有下降，但是昨天10月10号我接了三单，而且乘客也给了我好评，今天早上起来我却发现投诉率突然多了2个百分点，我昨天也就是找客服人员说一下这个投诉率的问题，和咨询了一下订单为什么最近这么少，今天的投诉率就突然升高这么多，滴滴公司很明显在认为做这样的事情，司机师傅的投诉率不是电脑自动计算的，而是根据客服人员的心情来</t>
  </si>
  <si>
    <t>2019/10/11 07:21:04</t>
  </si>
  <si>
    <t>借款3500到账2450，砍头息1050，分3期还款每期还1225.27，。</t>
  </si>
  <si>
    <t>2019/10/11 07:20:48</t>
  </si>
  <si>
    <t>卖家201910.7日发货揽收，后期又说丢了要赔偿我10.10日从新发货用原来订单号，这能叫做按约定时间发货吗，淘宝天猫商家居然判定我投诉失败，赤裸裸的不顾及消费者权益。</t>
  </si>
  <si>
    <t>2019/10/11 07:19:37</t>
  </si>
  <si>
    <t>我在卡牛瑞贷平台于8月10日贷款9000，收取砍头息1080，实际到账7920，在10月10号，逾期一天，要求收取逾期费483.60。</t>
  </si>
  <si>
    <t>2019/10/11 07:16:32</t>
  </si>
  <si>
    <t>本人在速金服借了1000还2000这么高的利息没人处理没人管吗。</t>
  </si>
  <si>
    <t>2019/10/11 07:16:28</t>
  </si>
  <si>
    <t>投诉人 李先生        投诉对象  中信银行信用卡中心        涉诉金额  25 000 元    问题类型    诉求类型投诉详情  在不通知的情况下，降低我的信用卡额度，</t>
  </si>
  <si>
    <t>2019/10/11 07:12:17</t>
  </si>
  <si>
    <t>当时说免费使用3天，扣费乱扣，也没经过本人同意，而且一扣就是一年。</t>
  </si>
  <si>
    <t>2019/10/11 07:10:07</t>
  </si>
  <si>
    <t>投诉人陆女士投诉对象平安普惠涉诉金额2600元问题类型诉求类型投诉详情9月因家里人生病偿还能力有限，造成逾期，平安普惠催款人员不停骚扰，爆通讯录，恐吓，后来工作人员通过微信加我爱人，了解情况，协商还款问题说可以申请减免政策10.11两个月的还款，工作人员承诺后台操作已经落实到位，但是APP里还显示逾期，到10.10号一直反复询问这个事情，工作人员保证已经落实到位，现在还是有不少人短信电话骚扰。</t>
  </si>
  <si>
    <t>2019/10/11 07:09:07</t>
  </si>
  <si>
    <t>使用拉卡拉Q码收款营业额没打到我银行卡无故失踪打电话过去说是冻结在没通知的前提下这个不叫冻结应该是叫做盗用或者挪用资金，店铺没给出任何提示无缘无故关闭收款照成2019年9月24日无法营业要求做出赔偿，不管是冻结还是要关闭我的店铺收款都应该有通知才对啊。</t>
  </si>
  <si>
    <t>2019/10/11 07:08:06</t>
  </si>
  <si>
    <t>本人去年九月当时急用钱，经人介绍在畅快车贷借款做了车抵贷，合同金额78732，实际到手61080，还有GPS费用，签合同后看到还款表每个月要还2900多元，36期还清后利息是本金的一半了，利息实在太高，还了10期之后，本人经济出现了困难，逾期之后偷偷把车私自开走连通知都没有，分公司说现在结清剩下的才给车，我还要还53000多，咨询律师后，你们无权私自将车偷偷开走，就算走法律程序，也是按照实际到手金额来协商，现要求公司出来协商还款，尽早解决事情，我真不明白我这10期还的将近三万块钱是什么，白还了吗，你们这种套</t>
  </si>
  <si>
    <t>2019/10/11 07:07:33</t>
  </si>
  <si>
    <t>7月11日没经的我同意直接下款1000元，第二天开始还款每天227元，最后一天238元，共7天还了1600，每天都还款还是会接到他们的电话骚扰。</t>
  </si>
  <si>
    <t>2019/10/11 07:06:51</t>
  </si>
  <si>
    <t>每期还款，总借利息照付，利息不减，额外收取多种不必要服务费，要求取消不必要服务费，调整未还金额利息。</t>
  </si>
  <si>
    <t>2019/10/11 07:03:03</t>
  </si>
  <si>
    <t>投诉人 赵女士        投诉对象  助财通        涉诉金额  199 元    问题类型    诉求类型投诉详情  恶意扣款，软件打不开了 不退款垃圾软件 随意扣费恶心人</t>
  </si>
  <si>
    <t>2019/10/11 06:55:32</t>
  </si>
  <si>
    <t>本人9月19日在维信卡卡贷申请了笔两万元的贷款，审核通过并等待放款，一直到今天10月11日共22天仍然没有下款成功，要还的信用卡马上到还款日，请给我个解释并立刻到账。</t>
  </si>
  <si>
    <t>2019/10/11 06:54:34</t>
  </si>
  <si>
    <t>返现服务费几个月不能提现，一直显示系统升级中。</t>
  </si>
  <si>
    <t>2019/10/11 06:51:07</t>
  </si>
  <si>
    <t>投诉人 王先生        投诉对象  天津房地产集团有限公司        涉诉金额  70 000 元    问题类型    诉求类型投诉详情  天房世纪天和丽园（二期）限价房，地下停车场（公建人防设施）强制捆绑出售，延期不能使用</t>
  </si>
  <si>
    <t>2019/10/11 06:48:07</t>
  </si>
  <si>
    <t>投诉人 李先生        投诉对象  新橙优品,光大银行        涉诉金额  12 000 元    问题类型    诉求类型投诉详情  12000借款，实际到账10500元。六个月还清，一个月得还2767.19元。</t>
  </si>
  <si>
    <t>2019/10/11 06:44:08</t>
  </si>
  <si>
    <t>我公司用开店宝智能pos机作为收银的pos机，10月6日全天收款72000多元，应该在10月8日返款至我单位账户，但截止目前未到账，联系客服，给予的答复一直都是已经拨款成功，但我单位银行账户并未收到款项，而开店宝也不协助调查该笔款项的去向。</t>
  </si>
  <si>
    <t>2019/10/11 06:42:20</t>
  </si>
  <si>
    <t>违规提供高利贷砍头息，向当地信访办投诉举报。</t>
  </si>
  <si>
    <t>2019/10/11 06:38:49</t>
  </si>
  <si>
    <t>上海微额速达旗下现金巴士融时期5天，每天20元费用，不与减免，放款前强制支付280元费用2000元分三期还款！！！望现金巴士能减免超出国家标准的逾期费用！！！。</t>
  </si>
  <si>
    <t>2019/10/11 06:38:43</t>
  </si>
  <si>
    <t>投诉人余先生投诉对象首信易支付涉诉金额24100元问题类型诉求类型投诉详情本人一月份通过收到一个陌生手机号码发送的链接，显示网上赚钱的方法，点进去显示是个大支付机构支持的合法博彩网站，现已得知是违法境外平台，损失惨重，分文未果，现已后悔至极，经过银联和发卡行查询收单机构为：易智付科技，有限公司，提供支付通道的支付机构我将用尽方法举报，如果协商处理我的损失我将不不会对其进行主管部门检举，作为国内拥有合法牌照的支付机构应当有监管责任，先诉求你们帮忙追回损失。</t>
  </si>
  <si>
    <t>2019/10/11 06:34:44</t>
  </si>
  <si>
    <t>本人2017年由于自己周转困难，达飞云贷业务员上面推荐达飞产品由此开始借贷，3月一还本金，月息加服务包费用合计1600元左右，断断续续用到了现在2019年十月还在用，利息以还将近4万多，达飞云贷不能分期还款本金，每月还利息压力实在太大，有说他利息服务包已经超出国家规定标准，我又怎么办呢！谁能告诉我呢！。</t>
  </si>
  <si>
    <t>2019/10/11 06:31:32</t>
  </si>
  <si>
    <t>投诉人余先生投诉对象京东金融,网银在线涉诉金额4400000元问题类型诉求类型投诉详情本人现在怀疑京东涉嫌替违法境外赌博平台洗黑钱，现已掌握部分证据准备去人民银行检举了，拖了快一个月不处理，现在每天都在拖延，推卸责任，一开始推给中国银联，现在又推给杉德支付，订单号经银联及发卡行查询确属于京东旗下网银在线的交易，现在京东方不愿承认，作为世界五百强企业这种客服服务真是不知说什么好，20190120156030982236280；商户订单号&amp;nbsp;20190120129030982813088；商户订单号&amp;n</t>
  </si>
  <si>
    <t>2019/10/11 06:26:55</t>
  </si>
  <si>
    <t>我从2018年5月份至上月，在百度有钱花平台借款从未出现逾期或违约，每期必按时还款，九月份因个人身体不佳，医生说可能肿瘤复发，需要治疗，治疗费用巨大，不得已只得申请延期归还，但百度有钱花平台无法提供延期服务或相关指导，而且直到今天，有钱花App的客服入口都常常无法应答，百度催收电话为机器人录音系统，也无法给予帮助，我也在还款日到来时努力还款了一部分，但我的通讯录依然被爆，并不是亲属的人也被骚扰，我借款的事被通讯录里很多朋友或往来客户知道，我请问，这不是恶意公开个人信息是什么，我强烈要求百度有钱花停止对我通讯</t>
  </si>
  <si>
    <t>2019/10/11 06:24:18</t>
  </si>
  <si>
    <t>今年4月1号在钱包易贷上申8500元贷款，结果下款之后直接扣除1120.38砍头息，实际到账只有7379.62元，贷款前没有任何说明，而且还有十二期保险维护费每期212.50，加上利息总共要还11446.44，，请问这个保险是怎么来的，贷款的时候并没有说明，总共还款超过年利率百分之36。</t>
  </si>
  <si>
    <t>2019/10/11 06:19:51</t>
  </si>
  <si>
    <t>2019－07－12与2019－08－11连连支付为微品分期分别入账3000元，2019－09－10连连支付为微品分期入账2300元，微品分期于2019－07－12收取砍头息570元，事先并未说明，，后续平台说无砍头息了，所以续借，但是2019－09－10还款3832.95，3000元用款一个月，实际利率%333.18，按国家法定利率计算，3000元一个月，36%最高一个月利息为90元，本人收到平台借款3000－570+3000+2300=7730元，本人共还款3049.95+3832.95=6882.9，</t>
  </si>
  <si>
    <t>2019/10/11 06:04:01</t>
  </si>
  <si>
    <t>逾期一天，一百没了，一共借了500.，平台显示借了600，真无语了，太不是人了。</t>
  </si>
  <si>
    <t>2019/10/11 05:55:55</t>
  </si>
  <si>
    <t>本人于2019年四月份向阳光保险贷款16.5万元，前5期正常还款，近两月由于经济困难未能按时还款导致逾期，开始阳光保险对我进行了上门催收两次未果，后辱骂，经投诉后有所改变，最近又雇佣催收外包公司进行电话骚扰，并对本人通讯录联系人进行骚扰，望阳光保险能够进行正当手段进行催收，或者可以起诉本人进行追回贷款，停止暴力催收。</t>
  </si>
  <si>
    <t>2019/10/11 05:50:35</t>
  </si>
  <si>
    <t>第一天利息需要给300第五天利息需要给1080，而且全部还清需要交3088我只借了2008最后却要还3088元。</t>
  </si>
  <si>
    <t>2019/10/11 05:16:31</t>
  </si>
  <si>
    <t>本人与2019年8月11日在钱站填写资料申请贷款，当时平台显示额度为2000元，并申请贷款，到下款后却显示要还款三期，每期还款1192.67，顾查看合同发现钱站以本人名义贷款3400元，并强行扣除其中1400元，并未有任何通知本人的一切行为，现以还款一期，本人要求平台更改合同，并调整利率，或把收取的手续费做出合理解释。</t>
  </si>
  <si>
    <t>2019/10/11 05:14:51</t>
  </si>
  <si>
    <t>本人于8月份同时在贷上钱借款两笔贷款:第一笔借款2000，期限30天还款2500，8月份还完于9月份再借后还第二笔借款的第一期。</t>
  </si>
  <si>
    <t>2019/10/11 05:12:58</t>
  </si>
  <si>
    <t>本人10月7日在好易贷平台上申请了一笔3000元的借款，到账2100，砍头900，而且期限仅仅6天，放款支付渠道为易宝支付，本人认为这已经涉及高利贷，是国家明令禁止的违法行为，现要求在本人按照合法利率偿还本金和利息的情况下，销账。</t>
  </si>
  <si>
    <t>2019/10/11 05:10:59</t>
  </si>
  <si>
    <t>10月11日，在趣惠买买了一个1050元所谓的进口锅，买完就发现他扣的是白条，并不是卡里的钱，而且不发货，只能转售，转售只返还735元，并且要在八天后还款1050元，而且联系不上客服，这简直是赤裸裸的抢劫，本人已报警，并把相关信息提供给了警方，并在扫黑办也进行备案，本人要求双倍反还扣我315元，并向我道歉。</t>
  </si>
  <si>
    <t>2019/10/11 04:26:33</t>
  </si>
  <si>
    <t>中经油马虚假宣传，充值3000送1500，用不到几次就无法使用，食物金额也不能退款，现在要求退款。</t>
  </si>
  <si>
    <t>2019/10/11 04:26:00</t>
  </si>
  <si>
    <t>逾期罚息每天十元在当初借款的时候根本就没有标注，现在却要多还几百块。</t>
  </si>
  <si>
    <t>2019/10/11 04:24:11</t>
  </si>
  <si>
    <t>投诉人赵先生投诉对象淘宝网涉诉金额0元问题类型诉求类型投诉详情您的账户存在处罚或限权记录，为保证相关记录的完整性，账户永久无法注销，购物也不能买，因为很急郿使用过这个账号了，之前使用的时候也没有任何违规记录，这两天突然想起来还有这个账号，就像把它注销了，以免以后不必要的麻烦，我去淘宝的账户体检中心提示我没有任何违规操作，我的账号，使用权不在我手里，注销权也不在了吗。</t>
  </si>
  <si>
    <t>2019/10/11 04:23:32</t>
  </si>
  <si>
    <t>在我不之情的情况下扣走了我银行卡的296元，到底是什么费用。</t>
  </si>
  <si>
    <t>2019/10/11 04:17:38</t>
  </si>
  <si>
    <t>我在拼多多一个洗护店购买24瓶发膜，由于商家单号问题，我不能使用，所以要求退款，起先商家是不情愿退款，而且威胁说退款不了，之后让我申请退款，我申请了以后，不知道怎么回事明明申请的是仅次退款因为货还没有发出来，没有揽收，就被拦截回去了，不知道怎么回事拼多多平台就自动介入，后面问了是商家故意搞动作，拼多多说会在一个工作日之内处理，可是到现在都多少时间了，没有处理，而且我要投诉商家态度差明明没有发货还想搞我钱，强买强卖，现在干脆货也不发，钱也不退了，问拼多多就支行说专员在处理，处理到什么时候拼多多就是跟商家一伙的</t>
  </si>
  <si>
    <t>2019/10/11 04:15:21</t>
  </si>
  <si>
    <t>以购买游戏币为理由，其实是高利贷，贷过好几次，现在还不上了，利息比本金还多好几倍了。</t>
  </si>
  <si>
    <t>2019/10/11 04:05:29</t>
  </si>
  <si>
    <t>现在完全找不到人，退款都找不到地方退款，没有操作的地方。</t>
  </si>
  <si>
    <t>2019/10/11 03:56:07</t>
  </si>
  <si>
    <t>本人从去年11月12日起到现在确实没有还款进去，这点我承认，如果不是特别困难没人会不正常还款，而且也也多次跟对方商量，都无果招商信用卡中心雇佣什么第三公司私自透露个人全部信息，而且还找到单位上班的地方闹事，要求必须还50%，因为我没在门口在里边有事电话怎么说都不行，而且他们自称拿着招商介绍信工作证，我要求他们把介绍信工作中发给我看下，但是以各种理由拒绝，而且态度一次比一比强硬，我的生命已经收到威胁，欠钱还钱天经地义，但是也得保证人不被你们弄死。</t>
  </si>
  <si>
    <t>2019/10/11 03:45:11</t>
  </si>
  <si>
    <t>2019年10月11凌晨两点左右，我看QQ新闻的时候看到了关于处处的广告，随手下载安装，进去之后看到有零元领3天vip，但是需要开通支付宝免密支付，我按照操作开通免密支付之后，这个软件弹出一个窗口，我下意识点击，结果支付宝显示两三次次扣费成功，分别是两次九十九块和一次六十九块，充值了应用里的道具和vip，北京友缘在线网络科技股份有限公司自动扣费，要求退款。</t>
  </si>
  <si>
    <t>2019/10/11 03:29:16</t>
  </si>
  <si>
    <t>叉叉IPA精灵,叉叉助手,广州游顺网络科技有限公司，于2018年12月19日在叉叉ipa精灵官网上通过支付宝购买了叉叉ipa精灵永久卡，发生后续问题平台关闭，且发出退款问卷公告，加群参加了问卷调退款,本人于2019年7月18号日填写的退款问卷到今天2019年10月11日,整个两个半月！无受理消息，也无客户回应，中间我尝试联系QQ客服,客服根本不予理会，这是叉叉IPA精灵自己的问题，不应该顾客买单，现申请全额退款.本次申请为集体投诉我相信肯定有很多相通遭遇的用户,因为今天看叉叉的QQ群都加爆了,48个群这中间</t>
  </si>
  <si>
    <t>2019/10/11 03:27:30</t>
  </si>
  <si>
    <t>投诉人 李先生        投诉对象  小鹿情感        涉诉金额  5 000 元    问题类型    诉求类型投诉详情  被小鹿情感骗取信任 本来说好课程根据私人订制结果只是敷衍了事 随时电话咨询 服务根本没有做到 说什么余款未交清 服务会卡着 我的天 我交了五千 连应有的服务都没有 我还会傻到交剩下的 说好挽回感情 结果只是几句话 说是帮你 却把我越帮越抑郁 越帮越乱 我到底图什么呢 话这几千块受罪吗 我要求退款</t>
  </si>
  <si>
    <t>2019/10/11 03:26:29</t>
  </si>
  <si>
    <t>周周花花借款1500，一个月利息539.太高利息，属于国家禁止的砍头息，现在要求正常利息结算。</t>
  </si>
  <si>
    <t>2019/10/11 03:20:23</t>
  </si>
  <si>
    <t>于2018年12月19日在叉叉ipa精灵官网上通过支付宝购买了叉叉ipa精灵永久卡，发生后续问题平台关闭，且发出退款问卷公告，加群参加了问卷调退款,本人于2019年7月18号日填写的退款问卷到今天2019年10月11日,整个两个半月！无受理消息，也无客户回应，中间我尝试联系QQ客服,客服根本不予理会，这是叉叉IPA精灵自己的问题，不应该顾客买单，现申请全额退款.本次申请为集体投诉我相信肯定有很多相通遭遇的用户,因为今天看叉叉的QQ群都加爆了,48个群这中间有3000人群,2000人群500人群,都加到了快5</t>
  </si>
  <si>
    <t>2019/10/11 03:17:04</t>
  </si>
  <si>
    <t>本人在信用管家借钱里面的聚宝来贷款1900，，实际到账1378，每7天为一周期，什么优惠券根本就用不上，本人已还款2期1263.65。</t>
  </si>
  <si>
    <t>2019/10/11 03:15:25</t>
  </si>
  <si>
    <t>去年在京东商城买的今巴蟹，今年想提货老是约满状态，提不了货，这个券当时说有效期是三年，不知是不是倒闭了，请京东退款。</t>
  </si>
  <si>
    <t>2019/10/11 03:15:14</t>
  </si>
  <si>
    <t>投诉人 余女士        投诉对象  拼多多        涉诉金额  20 000 元    问题类型    诉求类型投诉详情  想退货找不到商家。客服不帮忙解决。投诉无门。</t>
  </si>
  <si>
    <t>2019/10/11 03:11:01</t>
  </si>
  <si>
    <t>本人是一位土建施工员，因为喜欢打牌，输了不少钱，为了还朋友钱，就在闪银app上借了好几次钱，前几次都借了及时还了，没有逾期，有一次逾期3天，就打了很多个电话，接了一个，语气态度很不好，说让我中午12点之前还上，不然就把我手拿身份证的照片发到我的通讯录每个人那里，我说态度这么不好，我就百度一下闪银app，投诉的很多，而且收取砍头息跟高额利息，要想借钱就必须购买游戏点卷或者vip产品，不然不会给放款，而且逾期了利息高的吓人，打两个以上就会接到，因为老是用不同的座机号码打，打不通电话就给我手机发几百条骚扰短信，有</t>
  </si>
  <si>
    <t>2019/10/11 03:06:41</t>
  </si>
  <si>
    <t>2019年3月25日整存宝开始提现，到2019年10月11日。</t>
  </si>
  <si>
    <t>2019/10/11 02:50:25</t>
  </si>
  <si>
    <t>利息已超过最大36%，要求退还超出部分，要不然法院起诉。</t>
  </si>
  <si>
    <t>2019/10/11 02:47:32</t>
  </si>
  <si>
    <t>钱站借款1000元，分期3个月，合同却显示1690元，利息远超出国家规定利率，请钱站平台给出一个合理的解决方案。</t>
  </si>
  <si>
    <t>2019/10/11 02:46:00</t>
  </si>
  <si>
    <t>在软件看到哆咪黑卡就看了下，没提示直接就扣了199会员费，强行开通vip，请求退款！。</t>
  </si>
  <si>
    <t>2019/10/11 02:38:56</t>
  </si>
  <si>
    <t>投诉人李先生投诉对象宏萨科技涉诉金额296元问题类型诉求类型投诉详情无端扣掉别人银行卡里的钱，没有任何通知，。</t>
  </si>
  <si>
    <t>2019/10/11 02:37:55</t>
  </si>
  <si>
    <t>2019.10.10号下午2点多银行卡被盗刷1254元，在不知情的情况下，银行卡也没有绑定什么连连支付，就被连连支付把钱扣走。</t>
  </si>
  <si>
    <t>2019/10/11 02:33:55</t>
  </si>
  <si>
    <t>2019年10月10日接到自称是格力专卖店工作人员打过来的电话，详细的说出了我之前购买并在哪里安装了格力空调，说今天晚上格力有一个答谢老客户的感谢会，参会有个榨汁机送，我想着家里有就想拒绝的随口问下什么榨汁机我家里有榨汁机了，电话那头说就是厂家搞的一个答谢老客户的活动图个人气，没事来看看不花钱的，然后发四点左右发个信息过来里面有详细的地址，我看是在专卖店里就打算去看看，首先是自称为格力店的工作人员小刘给我们大概介绍了下今晚的活动，具体的也没说就说有很多礼品送出，接着就是介绍10月25-27号有个家电狂欢节，</t>
  </si>
  <si>
    <t>2019/10/11 02:33:01</t>
  </si>
  <si>
    <t>在钱站借个1000分3期，每期要完635x3=1905元，有图有根据，可以随时来查名，希望有关部门能出面帮协调。</t>
  </si>
  <si>
    <t>2019/10/11 02:32:47</t>
  </si>
  <si>
    <t>2019.10.10号10点左右被百付宝盗刷一笔458元，不知情的情况下，卡里的钱被刷走。</t>
  </si>
  <si>
    <t>2019/10/11 02:30:51</t>
  </si>
  <si>
    <t>深圳亿博盛金融有限公司,深圳亿博盛金融服务有限公司,深圳前海亿博盛融资租赁有限公司，本来在深圳亿博盛汽车登记证书抵押贷款了7万元&amp;nbsp;分24期还款每期金额4076&amp;nbsp;现在剩最后三四期&amp;nbsp;&amp;nbsp;本金八千多元&amp;nbsp;因为这几个月手头经常周转不开，每期可能都会逾期几天，上月最久逾期了一个月但是一直跟他们客服有沟通&amp;nbsp;发来了信息基本秒回&amp;nbsp;昨天下午两点还告诉他们车款会晚点钱到帐就转过去，六点多钟的时候发了个信息我说车辆以收回！当时就懵了朋友借车回增城了，他钱包及个人的</t>
  </si>
  <si>
    <t>2019/10/11 02:27:13</t>
  </si>
  <si>
    <t>投诉人 刘先生        投诉对象  友缘在线        涉诉金额  267 元    问题类型    诉求类型投诉详情  诱导开通免密支付功能，直接通过支付宝扣款</t>
  </si>
  <si>
    <t>2019/10/11 02:26:49</t>
  </si>
  <si>
    <t>上当注册学生贷款受骗后，支付宝还冻结我的资金，。</t>
  </si>
  <si>
    <t>2019/10/11 02:25:33</t>
  </si>
  <si>
    <t>还款期到，银行卡钱够还款多次失败，强行逾期。</t>
  </si>
  <si>
    <t>2019/10/11 02:23:53</t>
  </si>
  <si>
    <t>第一次昨晚很早就睡，没发现，今天看电影到凌晨多还没睡，我去拼多多里查看都没有这几个订单，也找不到，，，要求拼多多官方尽快给个解释以及退还我的损失。</t>
  </si>
  <si>
    <t>2019/10/11 02:23:46</t>
  </si>
  <si>
    <t>未经本人同意的情况下，私自从我银行卡划扣299元，说是评估费用，页面上明面上根本没有显示299元这回事，这是欺诈。</t>
  </si>
  <si>
    <t>2019/10/11 02:22:01</t>
  </si>
  <si>
    <t>投诉人 李先生        投诉对象  信而富        涉诉金额  1 552 元    问题类型    诉求类型投诉详情  欺骗消费者，不给发货</t>
  </si>
  <si>
    <t>2019/10/11 02:21:25</t>
  </si>
  <si>
    <t>投诉人张女士投诉对象即有分期涉诉金额12900元问题类型诉求类型投诉详情本人在2017年5月在即有分期贷款15000元分了24期每期还930高额贷，还完了24期他们私自改为30期，我要求退还多给的钱12900元。</t>
  </si>
  <si>
    <t>2019/10/11 02:16:45</t>
  </si>
  <si>
    <t>开店宝支付旗下员工在我不知道的情况下盗刷我298元，我联系他他说办刷卡机的钱，我用不着刷卡机，没想过办理刷卡机！请求退款！。</t>
  </si>
  <si>
    <t>2019/10/11 02:16:23</t>
  </si>
  <si>
    <t>首先是有电话冒充360借条客服人员，说要办理注销学生贷款事宜，加了QQ，后面上当了，已经报警，走头无路联系360借条平台，商量无果，提前还钱也不能取消利息，本来上当受骗金额挺多的，还要面临高额利息，作为刚毕业的学生来说，走头无路。</t>
  </si>
  <si>
    <t>2019/10/11 02:13:40</t>
  </si>
  <si>
    <t>该平台为网络赌博平台，涉及金额比较大，情节恶劣。</t>
  </si>
  <si>
    <t>2019/10/11 02:10:42</t>
  </si>
  <si>
    <t>不联系当事人，已爆通讯录的方式进行恐吓威胁。</t>
  </si>
  <si>
    <t>2019/10/11 02:10:08</t>
  </si>
  <si>
    <t>本人2018年5月6日在玖富借款43000，每月自动扣款，2019年9月因家庭变故未有余钱导致扣款失败，查看账单时，发现总代还还需要还款69000，与客服交涉未果客服坚持利率未超过百分之36，通过计算年利率发现均超过法律规定范围，达到惊人的70%，本人要求玖富交涉协商还款实际到账本金，和到账本金正常百分之24实际年利率利息，下面为计算的年利率总本金＝2185×48＝104880总利息＝104880-43000＝61880总利率＝61880➗43000＝144%年利率＝144%➗4＝36%这是名义年利率。</t>
  </si>
  <si>
    <t>2019/10/11 02:09:26</t>
  </si>
  <si>
    <t>本人于去年在钱进家借了五千块钱，之前一直能正常还款但这个月却还款失败。</t>
  </si>
  <si>
    <t>2019/10/11 02:04:54</t>
  </si>
  <si>
    <t>投诉人万国政投诉对象360借条涉诉金额6100元问题类型诉求类型投诉详情总是有原因才逾期的又不是不还，有钱有办法也不会去向这种借，但360这种做法是不是顶风作案还是国家在听之任之，我们就不得而知了，投拆七百多也没见有关部门出来管管，我只想说如果他们合法的请颁发营业执照好吗。</t>
  </si>
  <si>
    <t>2019/10/11 02:04:31</t>
  </si>
  <si>
    <t>投诉人郝先生投诉对象宜人贷涉诉金额57000元问题类型诉求类型投诉详情当年急用钱，看着电视剧中的情节，听到的宜人贷，想着用用看吧，就下了APP，申请到一半时，还是感觉高了利息，接下来就是一顿电话，说是利息会看情况而定，下来，可以不用，我就继续申请了，后来确实急用钱，还是没忍住，借了四万，合同就是四万七千多，还有加上各种费用，一共五万七千要换，确实很高，现在还了16期了，也快还完本金了，感觉亏得慌，而且每到快还款的时候，会接到全国各地的电话，说是到期记得还款请鉴别一下这算不算高利贷。</t>
  </si>
  <si>
    <t>2019/10/11 02:03:20</t>
  </si>
  <si>
    <t>交通银行,华夏银行,民生银行,浦发银行,光大银行。</t>
  </si>
  <si>
    <t>2019/10/11 02:02:33</t>
  </si>
  <si>
    <t>我目前有困难还不上，钱我会还，利息太高了，套路了，高利贷，希望捷信不要骚扰我家人。</t>
  </si>
  <si>
    <t>2019/10/11 02:01:51</t>
  </si>
  <si>
    <t>黑心软件，一声不响的撤走，申请一个月了的押金不退，电话不接，投诉12315就像踢皮球一样，这么多人的案件没人管，国家白样你们了，老百姓白指望你们了，。</t>
  </si>
  <si>
    <t>2019/10/11 02:00:30</t>
  </si>
  <si>
    <t>投诉人李女士投诉对象上海乔融医分期涉诉金额11800元问题类型诉求类型投诉详情医分期APP无法扣款，短信又发信息给我，存在征信问题，。</t>
  </si>
  <si>
    <t>2019/10/11 01:57:43</t>
  </si>
  <si>
    <t>投诉人张先生投诉对象壹钱包涉诉金额2478元问题类型诉求类型投诉详情本人被平安付科技有限公司，于2019年10月8号15点16分，未经允许，无辜扣费2478元，不知去向！要求返还！本人都没有听说过平安付这个公司，更谈不到和这个公司有任何金钱往来，无故扣款，必须说清楚，道歉，返还现金。</t>
  </si>
  <si>
    <t>2019/10/11 01:48:47</t>
  </si>
  <si>
    <t>我10月7号在钱站那借了1000，没有明说什么时候下款我以为当天就下了，谁知道拖到现在还没下我也不想借了，当天有事我就想先贷一下谁知道这么慢，最主要的我每天接到不下10个各个平台的贷款电话和短信看了网上平了钱站的，都说是他们故意买卖客人的个人信息，我知道我网贷不好，可是他这样做我很烦每天上班就是接到几个电话，我也说了我不需要了，现在打钱站客服电话都打不通，不知道的以为他们要倒闭了，我只要给我一个说好。</t>
  </si>
  <si>
    <t>2019/10/11 01:43:08</t>
  </si>
  <si>
    <t>投诉人 徐震        投诉对象  特约中意        涉诉金额  2 000 元    问题类型    诉求类型投诉详情  恶意扣款 每个月扣款 必须给出解释并退还钱</t>
  </si>
  <si>
    <t>2019/10/11 01:40:12</t>
  </si>
  <si>
    <t>因本人目前资金周转困难，不得已申请延期，之前在闪银一直还款积极，无逾期记录，这两天接到瞬瞬催收电话，让我借钱还款，我争取了意见，也在努力当中，催收电话说2小时内还不了就骚扰我家人协助还款，我觉得没必要，如果我真困难早还清了，骚扰家人反而让大家不愉快不是吗，欠钱还钱天经地义，我不是老赖，要是工资款拿到手，就还上了，特此申请延期处理，骚扰我可以，不要骚扰家人朋友，逾期费用本人愿意承担，希望贵公司能够体谅。</t>
  </si>
  <si>
    <t>2019/10/11 01:38:34</t>
  </si>
  <si>
    <t>借款2800元分四次还款，还款金额高达4201.6元。</t>
  </si>
  <si>
    <t>2019/10/11 01:36:07</t>
  </si>
  <si>
    <t>本人于2019年9月4日在钱站填写信息申请贷款，当时申请就后悔了，第二天联系钱站客服要求取消但联系不上，钱站第三天还是第四天才放款，他们通过华夏银行存管转卡实际到账2000元，合同上写的2660元，3期偿还带本金3600元，严重超过国家法定年利率，他们完全藐视国家法律，这不是阴阳合同高利贷是什么！钱站高利贷公司，暴我通讯录损害我个人名声！本人要求钱站恢复正常利息，并停止爆我通讯录等侵犯隐私的违法行为，否则本金我都不会还的！。</t>
  </si>
  <si>
    <t>2019/10/11 01:35:00</t>
  </si>
  <si>
    <t>投诉人 梁立信        投诉对象  小花钱包        涉诉金额  8 800 元    问题类型    诉求类型投诉详情  逾期几天开始爆通信录和群发信息亲朋好友都</t>
  </si>
  <si>
    <t>2019/10/11 01:31:56</t>
  </si>
  <si>
    <t>投诉人熊先生投诉对象速金服,凡普金科涉诉金额1905元问题类型诉求类型投诉详情我于2019.9.10日在速金服借款一千元整，分三个月，实际到银行卡一千元整，今日还款给我自动扣款我才知道，每个月实际还款635，三个月总还款1905！！！合同金额显示1870，虚假合同，放款一千，实际三个月总还款1905，利息高达370%，比国家规定利息多出十倍不止，我要求还款合法利息，当时第一次借的时候审核未通过截图我都有！正常贷款促进国家发展，这种高利贷吸血贷只能让国家内部掏空！祸害年轻一代，国家迟早会出现问题！！！放款当天</t>
  </si>
  <si>
    <t>2019/10/11 01:30:16</t>
  </si>
  <si>
    <t>自由魔卡为高利贷六便士提供平台，六便士借款2000元，日期为30天，到期归还2060元，但是之前要收取540元会员费，但是并无实际会员内容，不交540元不下款，也就是借1460元，30天归还2060元，严重超出国家标准，现在本人有还款意愿，要求协商。</t>
  </si>
  <si>
    <t>2019/10/11 01:28:49</t>
  </si>
  <si>
    <t>打单位电话，暴力催收，破坏个人声誉，电话骚扰。</t>
  </si>
  <si>
    <t>2019/10/11 01:27:57</t>
  </si>
  <si>
    <t>上海造艺，聚福钱包，强制收取我299元评估费用10月1日自称工作人员联系协商退款，但是目前并没有退，虚假承诺，骗取聚投诉结案，此投诉并非重复，请聚投诉审核，谢谢。</t>
  </si>
  <si>
    <t>2019/10/11 01:25:54</t>
  </si>
  <si>
    <t>杉德支付为境外网络赌博平台提供充值通道，现今网络赌博泛滥，和这些第三方支付公司的违法提供充值通道有着不可推卸的责任！就因为这个充值支付通道，也许会让很多人妻离子散家破人亡！望有关部门严查！。</t>
  </si>
  <si>
    <t>2019/10/11 01:25:06</t>
  </si>
  <si>
    <t>在我本人未注册云闪付时，他人在没有输入支付密码和支付验证码的情况下，绑定了我的银行卡，还用pos机刷走了我卡中的钱，希望银联能给予赔偿。</t>
  </si>
  <si>
    <t>2019/10/11 01:24:14</t>
  </si>
  <si>
    <t>10月11日被盗号，转走账面上1000多，还借用我妈的名义，抢了很多别人的红包，转走钱款，但事发以后，无法找到城信ＡＰＰ的客服，并且没有合理解决事情。</t>
  </si>
  <si>
    <t>2019/10/11 01:23:14</t>
  </si>
  <si>
    <t>2019年8月26日在钱站借了1600块钱，分三期要还2953.69元，这相当于要还一半的钱，我希望能调整到国家的利息，不然这样的太吓人了，再多的钱也还不起啊。</t>
  </si>
  <si>
    <t>2019/10/11 01:22:03</t>
  </si>
  <si>
    <t>借款1400元，分11期偿还，已还款1339.53元，年利率58%，远高于国家规定，望有关部门处理。</t>
  </si>
  <si>
    <t>2019/10/11 01:21:29</t>
  </si>
  <si>
    <t>拼多多替永发棋牌收取非法赌博资金&amp;nbsp;&amp;nbsp;&amp;nbsp;支付宝也没出现停止商家收款，拼多多为网络赌博平台提供资金渠道，本身第三方支付就需要审核客户的相关信息，第三方支付不得向博彩，证券期货等提供制度清算业务，以前也出现过这样的事，还不好好解决！如果拼多多对这个事多严谨一点，就不会出现那么多的问题，也不会出现这种投诉，你们是网络博彩的帮凶，害人害己，如果没有你们这个渠道帮助网络博彩，不知道有多少人没受伤害，我自己即将要做手术的钱都弄完了，拼多多你们的工作人员要给我一个交代，不要踢球踢给别的，还有这</t>
  </si>
  <si>
    <t>2019/10/11 01:19:42</t>
  </si>
  <si>
    <t>卡里的钱突然就没了，给银行打电话，银行说9月10号两点多被刷了一笔1254.64元，联联支付快捷支付北京好还科技有限公司，第二笔458.99元百付宝​快捷支付北京好还科技有限公司。</t>
  </si>
  <si>
    <t>2019/10/11 01:18:34</t>
  </si>
  <si>
    <t>我在苏宁易购买了一台手机！就在这几天买的！未过退换期！因为销售人员的无理导致错过了七天无理由！但是换货时间还没过！苏宁门店一直推脱找苹果售后！说给他们没关系！针对苏宁门店的说法苹果官方是不承认的！在经销商所购买的产品出现质量问题！经销商应当负责任！而不是一再的推脱说去苹果售后找检测！这是说不通的、苹果接线人说了在经销商购买的符合三包法规定的商品！其退换货要找经销商！经销商说找售后！这是不符合三包法的！属于推脱责任，首先这属于一种自我免责！故意刁难消费者！其次门店人员态度很恶劣对我又吼又叫的。</t>
  </si>
  <si>
    <t>2019/10/11 01:17:59</t>
  </si>
  <si>
    <t>你我贷催收工作人员多次不停电话骚扰本人和通讯录，并群发短信到通讯录骚扰家人和朋友，发送本人身份证和相片及捏造诋毁我的短信给通讯录！对本人生活及名誉造成非常大影响，要求平台停止恶意催收！并公开道歉和给予赔偿个人名誉损失！否则坚决不处理欠款！并用法律途径去维权的权利！。</t>
  </si>
  <si>
    <t>2019/10/11 01:14:30</t>
  </si>
  <si>
    <t>在钱站借款2660，实际到账2000，分三个月还清，合同显示借款2660，每月还款929.51元，已涉嫌高利贷，恳请聚投诉跟进，协商还款，只还本金2000元跟利息，申请时也没有告知有服务费，否则我将上报央行跟公安机关。</t>
  </si>
  <si>
    <t>2019/10/11 01:14:02</t>
  </si>
  <si>
    <t>朋友在拍拍贷借款后，留我的电话为紧急联系人，拍拍贷伪装成律师事务所打电话说我和那位朋友被起诉，并威胁我必须出庭不然我的征信将会受到影响。</t>
  </si>
  <si>
    <t>2019/10/11 01:10:05</t>
  </si>
  <si>
    <t>2019年9月9日、9月10日在贷上钱APP上面贷了两笔钱，第一笔是借款金额显示是2500元可是到手才2000元，一个月期限要还2560元，第二笔是借款金额显示是3000元可是到手才2500元，一个月期限要还3097.5，他上面显示所为的购物金额我是什么多没有得到的，变向收取费用，黑网贷，高利贷，砍头息，还款日当天逾期一天就被爆通讯录，亲戚朋友被骚扰，对我产生严重影响。</t>
  </si>
  <si>
    <t>2019/10/11 01:09:37</t>
  </si>
  <si>
    <t>这次的投诉，本人心平气和，绝不奢望和抱有幻想你们平台改进派单，挺好的，你们的派单挺好的，没问题，多派给上次那个前保险杠完全脱落的电瓶车，挺好的，我无所谓，也不想跑了，我现在只有一个要求，把收的平台费按一定比例退给我，因为你们不办事，我的要求就这一个，真的，你们不用改进，这样挺好的，多骗点新人进来继续坑，我这边真的不麻烦你们改进派单了，真的，退钱吧。</t>
  </si>
  <si>
    <t>2019/10/11 01:07:51</t>
  </si>
  <si>
    <t>我支付宝明明已经实名认证了很久了，故意拖着不给我打款。</t>
  </si>
  <si>
    <t>2019/10/11 01:07:28</t>
  </si>
  <si>
    <t>7月份申请提现的货款到现在还没有审核，问人工客服只会一直说已经反馈了，客服说已经登记了，到现在一分钱都没有收到，今天去催，还是说已经反馈了，问具体打款日期不说，60，现在90天了还没有收到打款，加上最近的17天订单，一共压了100多天了，投入总金额50万左右，现在每天都被银行催债，材料厂每天上门要账，平台根本不管商家的死活，如再不到账，将寻找法律跟媒体曝光协助！请立即返还货款！。</t>
  </si>
  <si>
    <t>2019/10/11 01:07:22</t>
  </si>
  <si>
    <t>支付宝和拼多多平台利用自身条件为网络非法赌博平台，提供收款服务已报警。</t>
  </si>
  <si>
    <t>2019/10/11 01:06:15</t>
  </si>
  <si>
    <t>投诉人薛女士投诉对象深圳市维特国际英语涉诉金额8000元问题类型诉求类型投诉详情培训机构设置不公平退款障碍，严重违反《消法》规定属于违法合同第一次是美团9.9元体验课过去体验英语课的，结果到了门店反而是给我们推销课程，根本没有体验课，最后耐不住销售员天花乱坠的描述就觉得可以签订合同，合同内容明显不公平，甲方一旦开始上课只能退还全款的25%-贷款利息费-赠送课程原有市值费用，所以最终只要交钱上了课，能拿回的只有全款的不到25%，！交钱容易退钱难，社会乱象，培训机构无权对退费设置障碍！！培训费缴了就不能退，或者</t>
  </si>
  <si>
    <t>2019/10/11 01:05:56</t>
  </si>
  <si>
    <t>1330块钱的额度，然后就一直没去借，直到28号去申请，一直没放款，到10月8号才放款，现在10月23号就要还第一笔钱了，1330的额度，借下来到帐1000块钱，分三期，结果三期加起来要还1962块钱，这比高利贷还高利贷，我一直都有还钱，但是现在这个整整多了差不多一半的钱，实在是顶不住这样的利息啊。</t>
  </si>
  <si>
    <t>2019/10/11 01:05:46</t>
  </si>
  <si>
    <t>本人分别在玖富万卡平台借款三笔，一共下款金额为37100元，后经查询发现合同内涵盖解释不通的合同费用，三期合同费用共计23001元，已超出借款本金的一半还不止，经对账单的仔细核算发现该平台借款年利率均已超出国家规定范围，望有关部门仔细核查，避免还有更多人被阴阳合同所坑害。</t>
  </si>
  <si>
    <t>2019/10/11 01:02:05</t>
  </si>
  <si>
    <t>投诉人 马先生        投诉对象  借贷宝        涉诉金额  30 000 元    问题类型    诉求类型投诉详情  借贷宝借款30041逾期一天 逾期管理费1621 按百分之五 收取 协议上是逾期一至七天 按百分之一收取 打客服电话 客服说他们公司 有好几版协议 不是按我签的协议来算 是按他们说的协议来算 典型的霸王条款</t>
  </si>
  <si>
    <t>2019/10/11 01:01:49</t>
  </si>
  <si>
    <t>还款日当天登录app还款，故意扣款失败，第二天加收100高额费用，要求予以处罚，影响自己征信问题，必须给予解释和撤销处理。</t>
  </si>
  <si>
    <t>2019/10/11 01:00:15</t>
  </si>
  <si>
    <t>投诉人 杨先生        投诉对象  小米贷款        涉诉金额  6 500 元    问题类型    诉求类型投诉详情  小米优贷利息根本不是所写的月利率17 希望给予帮助</t>
  </si>
  <si>
    <t>2019/10/11 00:59:15</t>
  </si>
  <si>
    <t>额度使用不了，恶意冻结额度，有额度不能提现，不能循环使用。</t>
  </si>
  <si>
    <t>2019/10/11 00:59:11</t>
  </si>
  <si>
    <t>欠中信银行信用卡一万，2019年10月10日晚上十一点多去骚扰我的妈妈，我妈妈五十多岁了，身体也不好，大半夜的，的确现在我资金出了问题，暂时还不上，但平时1000，五百，两百，一百我都在还，有多的钱都在还，难道真的要这样逼死人了才停止嘛，人都有困难的时候，何必做得那么绝，竟然上门威胁，还欺骗性的骗我的家人开门！我妈妈直接给我说太丢脸了，不想活了！万一有个三长两短我也不活了，我爸爸去世得早，和妈妈相依为命，如果我妈有个三长两短，我写遗书也要让我的亲人去中信银行讨回公道。</t>
  </si>
  <si>
    <t>2019/10/11 00:56:41</t>
  </si>
  <si>
    <t>投诉人张先生投诉对象众网小贷涉诉金额3520元问题类型诉求类型投诉详情本人于挖财信用卡看到低利息的众网小贷，接入口，申请了一笔贷款，众网小贷硬性绑定购买保险，收取砍头息后下款实际到手3520元，并且每个月收取2次利息，而且从未提供借款协议，还款通道也不提供，下款之后app也没有，到了还款日就让我通过微信还款，本人看到还款计划的高额利息和砍头息部分，拒绝并且找客服提出异议，不给于解决，本人立刻打电话到重庆市金融办投诉寻求帮助，众网小贷隔天打给我说让我取消投诉，并且帮我更改还款计划和利息，消除砍头息部分，本人都</t>
  </si>
  <si>
    <t>2019/10/11 00:56:19</t>
  </si>
  <si>
    <t>本人于2019年4月12号通过快闪卡贷贷款15000元，实际到账只有12626.45元，每期需还3009元，一共要还18054元，等于实际到账12626.45元，6个月利息及保险费用共计5428元，绝对的高利贷！！审核通过后放款马上被扣除了2220元以及153.55元的中国人民财产保险的保费，，，打电话申请退保后，被告知要提前结清借款，并且支付一笔不小的费用，可现在越想越不对劲，国家有规定贷款必须要买保险的吗，反倒此等变相砍头息、捆绑销售保险却违反了国家明令禁止的砍头息捆绑销售保险的法律法规，并且快闪卡贷还</t>
  </si>
  <si>
    <t>2019/10/11 00:54:21</t>
  </si>
  <si>
    <t>我在好易贷上借款3000到账21007⃣️天，今天到期实在没那么多钱还上去，客服打电话来我给她协商可客服说的没得商量，态度很不好，要求减免砍头息和逾期一天以上高额费用。</t>
  </si>
  <si>
    <t>2019/10/11 00:52:13</t>
  </si>
  <si>
    <t>投诉人刘先生投诉对象平安普惠涉诉金额100000元问题类型诉求类型投诉详情投诉平安普惠，陆金所，爆通讯录，不间断电话轰炸严重干扰正常生活，捆绑销售保险，收服务费变相抬高贷款利息，app显示即使加上服务费是3812元，但每月本息要还4573元，。</t>
  </si>
  <si>
    <t>2019/10/11 00:52:01</t>
  </si>
  <si>
    <t>平台您好：在你我贷平台借款6600元，分12期，一期，二期，需要还款1572.7剩余10期每期需还582.7。</t>
  </si>
  <si>
    <t>2019/10/11 00:47:54</t>
  </si>
  <si>
    <t>内容一，好易借平台借款6500，实际需要还款8970元，是否符合国家相关利率规定，内容二，强制收取融资管理费，担保费，但是无法提供相关费用发票，是否偷税漏税，内容三，无法查看当时借款合同，理由和原因是保障出借人权利，那么被出借人合法权利如何保障，内容四，分十二期还款，第一期还款日期在借款后的第三天，第二期第三期还款总数超过本金的费用，还款期限和金额是否合理，还款日当天还未逾期就电话骚扰，干扰了借款人的正常工作，内容五，在该平台费用还未结清的情况下，推荐其他平台贷款，是否存在诱导行为，请求查处该平台，是否存在</t>
  </si>
  <si>
    <t>2019/10/11 00:47:29</t>
  </si>
  <si>
    <t>投诉人陈先生投诉对象21cn邮箱涉诉金额0元问题类型诉求类型投诉详情用了很久的邮箱，原来用作保密邮箱，很久没打开，现在急用接受保密邮件却强制连接到天翼邮箱，账号记得密码忘记了却没有忘记密码后的补救选项，如何解决?。</t>
  </si>
  <si>
    <t>2019/10/11 00:46:20</t>
  </si>
  <si>
    <t>尊敬的聚投诉领导，尊敬的各位朋友大家好，本人姓端，从事银行工作，在2019年10月9日下午3点54分，接到拍拍贷委托的第三方催收机构，一位女专员自称是某某某律师事务所，询问我是否认识一个名叫朱旺的，本人告知是我多年不联系的朋友，因本人从事银行工作，对其身份表示怀疑，问其身份，对方一再表明是拍拍贷委托的律师事务所，当我让其出示律师证件的时候，其催收人员威胁我说让我带着我多年未联系的朋友到公安局投案自首，并多次恐吓威胁我说如果我不进行转告，将会面临什么样的责任，我随即询问第三方催收人员，我有什么义务帮其告知，其</t>
  </si>
  <si>
    <t>2019/10/11 00:43:44</t>
  </si>
  <si>
    <t>10月5号收到快递，其中有一件换货，7号收到，吊牌都未摘，连三天都没两件风衣均降价！！客服一直在打太极，也不退，说不同活动，商品均在7天之内，别的平台都可以退差价，为什么唯品会不退。</t>
  </si>
  <si>
    <t>2019/10/11 00:43:33</t>
  </si>
  <si>
    <t>银行卡被无故扣走296元，去客服查询是被小浦优客扣走的。</t>
  </si>
  <si>
    <t>2019/10/11 00:43:22</t>
  </si>
  <si>
    <t>昨天2019年10月10日接到东莞市高埗镇嘉荣商场电话，称年终答谢新老会员活动，现场参加活动送礼品，结果是一个九阳ro612航天技术净水器的推广活动，商家先洗脑，通过一些水质检测实验说自来水对身体健康有害，后饥饿营销，我当时未察觉，结果回家回味过来不对劲，网上也查到不少几乎如出一辙的骗局，我想挽回损失，退货退款，商品还在商场准备快递回老家，可原样全部退还，回家查看苏宁和天猫显示暂不销售，京东显示销售但没销售和评价信息，而且用墨水骗局忽悠顾客，希望平台能够介入，我要退款！净化器是用3999买的，各送了一台空气</t>
  </si>
  <si>
    <t>2019/10/11 00:41:30</t>
  </si>
  <si>
    <t>北京百度网讯科技有限公司连续无缘无故扣费，想联系客服取消，但是找不到客服。</t>
  </si>
  <si>
    <t>2019/10/11 00:40:47</t>
  </si>
  <si>
    <t>投诉人黄先生投诉对象喵下贷涉诉金额1300元问题类型诉求类型投诉详情本人于10月9日急需资金在网站搜索打开喵下贷网页链接地址后借款1300百块，借款成功后才发现是高利贷而且没有客服联系方式借款金额1300到期5天需还款1999.41元，利息远超过国家利率标准本人愿意归还本金及合理贷款早日销账。</t>
  </si>
  <si>
    <t>2019/10/11 00:39:57</t>
  </si>
  <si>
    <t>投诉人谢女士投诉对象小赢卡贷,众安保险涉诉金额1155元问题类型诉求类型投诉详情本人前后在小赢卡贷分别申请了4笔贷款，但是小赢卡贷和众安保险公司使用不正当手段强迫、引诱和限制本人订立保险合同，强制搭售、捆绑销售保险是属于违法违规的行为，严重侵害本人的合法权益，这种违法违规的行为必须要依法严厉处罚！现本人要求小赢卡贷和众安保险公司立即停止相关保单并退回合计1155元的保费！本人也将会向其他有关部门投诉！。</t>
  </si>
  <si>
    <t>2019/10/11 00:39:28</t>
  </si>
  <si>
    <t>年9.30我在温江区大南街苏宁易购买了一台苹果手机.没过几天出了问题、到现在也还没过她们所承诺书的七天无理由15天质量问题退货后这个时间！然而我的手机刚刚好在这个时候出现了问题、结果门店拒不承认、苹果官网说这种情况应该找经销商履行他们义务三包服务！而他们却说应该去找苹果！这明显侵犯了消费人权益法！他们作为经销商！我在他们那消费的！他们不能全部无责.而门道态度之差！买的时候一个态度完了又是一个态度！我要投诉他们门店希望得到处罚、就算我换不了手机我也希望得到一个合理的解释喝态度。</t>
  </si>
  <si>
    <t>2019/10/11 00:37:45</t>
  </si>
  <si>
    <t>投诉人于女士投诉对象拍拍贷涉诉金额12900元问题类型诉求类型投诉详情平台您好：在拍拍贷上的借款，现如期已还包括利息基本上快结清，但是还有剩余，我已因高息网贷负债累累。</t>
  </si>
  <si>
    <t>2019/10/11 00:37:44</t>
  </si>
  <si>
    <t>投诉人范国强投诉对象拍拍贷涉诉金额283元问题类型诉求类型投诉详情还款一天都是还款失败，专门换了银行卡还是还款失败现在已经逾期征信有影响，客服找不到，电话打通让输入身份证号输完后对方自己挂掉。</t>
  </si>
  <si>
    <t>2019/10/11 00:37:04</t>
  </si>
  <si>
    <t>投诉人李先生投诉对象欢兽实业有限公司,淘集集涉诉金额56987元问题类型诉求类型投诉详情入驻合同写明15天打款的，提现后100天不打款，图片红箭头→的是7月份提现的都没打款，100天了。</t>
  </si>
  <si>
    <t>2019/10/11 00:36:15</t>
  </si>
  <si>
    <t>,马上消费金融涉诉金额0元问题类型诉求类型投诉详情正常还款后，出现溢缴款，查了一下也并未多扣款，提取不出来，客服不作为，爱答不理，无法继续借款，希望尽快解决。</t>
  </si>
  <si>
    <t>2019/10/11 00:33:50</t>
  </si>
  <si>
    <t>投诉人吴先生投诉对象维信金科涉诉金额650元问题类型诉求类型投诉详情维信卡卡贷无缘无故乱扣钱没发信息告知，还款帐单也也没有告知。</t>
  </si>
  <si>
    <t>2019/10/11 00:33:11</t>
  </si>
  <si>
    <t>因为资金不够想周转一下点进去但是一分钱没有借到今天发工资还无缘无故的被你们扣钱你们换位思考一下如果是你自己你会咋样我打电话咨询打了多少都不接我不接受如何道歉还有解释，希望你们可以在12小时之内给我解决如果你们不想解决我会通知警察处理就这样解不解决你们自己决定。</t>
  </si>
  <si>
    <t>2019/10/11 00:32:38</t>
  </si>
  <si>
    <t>2017年借的款项，合同金额具体是多少忘了，当时是以中航的名义打款36714.43元到银行卡，随即又以中腾的名义扣除11714.43元的手续费用，实际到我账上金额是25000元，分36期每期还款1219.62元，到现在连续准时还款26期，合计还款金额31710.12元，上个月由于资金出现了困难导致逾了期，在跟催收方沟通的情况下还爆了我通讯录，严重骚扰了我身边的亲人朋友，影响了我得工作和生活，要赖账的话我干嘛要连续准时还款26期，差10期就还完了又必要这样做吗，实际到账25000元，实际还款31710.12元</t>
  </si>
  <si>
    <t>2019/10/11 00:32:18</t>
  </si>
  <si>
    <t>在8月放暑假的时候，在微博上看到了你我贷发的借钱可以送爱奇艺会员广告，利息只有10％左右，经不住微博里的诱惑，申请了8000元的贷款，当时想着一个月几百块慢慢还就完了也没有压力，谁知道利息无限逼近36％，一个月竟然要还1900余元，第一个月还款后已经没有了生活费，第二个月已经逾期一天，前两个月每个月高达1200的服务费，身为大学生的我实在抗不下去了，今天发现教育部已经严令禁止向大学生贷款，而你我贷在申请时并没有询问我是否为大学生，诱惑我去点击同意借款，我承认我高估了我的还款行为，但是这样残害大学生的行为真的</t>
  </si>
  <si>
    <t>2019/10/11 00:31:47</t>
  </si>
  <si>
    <t>本人于2019年7月在豆豆钱借款10000元，分6期偿还，已还款1946.67元，年利率56%，远高于国家规定，望有关部门处理。</t>
  </si>
  <si>
    <t>2019/10/11 00:31:28</t>
  </si>
  <si>
    <t>我的京东白条因资金周转问题逾期30多天，现在已经把逾期部分还清，剩余部分因之前做了分期，打算每个月按账单金额还，这样自己无压力，现在外包催收让我一次性把剩余未出的账单金额全部还清，各种威胁上门之类的话，一次性还清对我来说压力较大，我只能每个月按账单金额还款。</t>
  </si>
  <si>
    <t>2019/10/11 00:30:27</t>
  </si>
  <si>
    <t>本人马鹤萁4月份签约智远兄弟传媒有限公司现在跟公司协商退款无果本人家里孩子是聋哑人需要换助听器协商3500元已经7天不给我结果啦说退款到现在微信不回语音不接电话不接希望聚投诉帮助协查协助追回工资和设备电脑所交的押金.。</t>
  </si>
  <si>
    <t>2019/10/11 00:30:20</t>
  </si>
  <si>
    <t>本人因房贷马上要网签了希望来分期能够让我提前结清贷款，可以付全部利息，只希望能结清贷款，给结清证明，消除征信，帮忙尽快处理，谢谢，比较着急。</t>
  </si>
  <si>
    <t>本人车将贷还完两个月后就联系了当时给我办理抵押的公司说还完贷款了他们也查询了确实还完了！然后他们说要我把身份证复印件和还完车贷的银行卡邮寄到吉林省松原市具体位置不记得了但是，我现在一直保留着这个顺丰的快递单号，他们说办理完了会给我邮寄回来！之后过了两三个月了一直没收到回复，我就给她们的这个号码04382221232打电话突然发现电话打不通了！打了很多天都无法打通，我有给以前查询车贷的两个电话分别是043181100480，043181100479发现也是打不通！我的车绿本还没收到怎么办！想了很长时间的办法新</t>
  </si>
  <si>
    <t>2019/10/11 00:29:15</t>
  </si>
  <si>
    <t>投诉人 周琎先生        投诉对象  怪兽充电        涉诉金额  20 元    问题类型    诉求类型投诉详情  今日下午七点半借的充电宝 到凌晨十二点七分归还 扣除费用二十元</t>
  </si>
  <si>
    <t>2019/10/11 00:28:39</t>
  </si>
  <si>
    <t>2016年12月20日借款金额为18000元。</t>
  </si>
  <si>
    <t>2019/10/11 00:28:01</t>
  </si>
  <si>
    <t>委托方，说已经起诉我了，威胁恐吓我，我要告他们。</t>
  </si>
  <si>
    <t>2019/10/11 00:27:53</t>
  </si>
  <si>
    <t>平台您好：在51信用卡平台上借过6笔借款，其中已还清两笔包括高息，现在还有四笔欠款本金是16000元，我现在已经还款9707.84。</t>
  </si>
  <si>
    <t>2019/10/11 00:27:33</t>
  </si>
  <si>
    <t>使用聚富钱包的过程中，有一个评估流程，说是根据评估推荐贷款机构，我并没有在该平台贷款，莫名其妙被扣299元。</t>
  </si>
  <si>
    <t>2019/10/11 00:27:03</t>
  </si>
  <si>
    <t>本人于2019年7月4日在钱站上面借款3000元，分3期还款，每期还1616.07元，以还2期，还款金额为3232.14元，最后一期于2019年10月4日还款！，后面看到合同，合同上面写着借款金额4800元！，并且在逾期第五日联系通讯录！暴力催收！恐吓！。</t>
  </si>
  <si>
    <t>2019/10/11 00:25:59</t>
  </si>
  <si>
    <t>本人并没有送人头，队友一直不支援，对面一直抓我，导致我死了五次，但是并不是主动送人头，游戏中，一个队友煽动其他人一起举报我，害我被扣了七分，不能正常游戏，希望立即处理。</t>
  </si>
  <si>
    <t>2019/10/11 00:25:16</t>
  </si>
  <si>
    <t>借26000一年和下来要还36000....还有什么服务费、砍头息....比高利贷还高利贷年化达到60以上希望能处理一下。</t>
  </si>
  <si>
    <t>2019/10/11 00:20:45</t>
  </si>
  <si>
    <t>本人多年前使用了交通银行信用卡2900元，多次打电话去要求减息，又6千变1万多现在变2万多了！本人实在没有这偿还能力了！投诉他们乱收费。</t>
  </si>
  <si>
    <t>2019/10/11 00:20:02</t>
  </si>
  <si>
    <t>本人于2019年5月在信用钱包借款4000元，分6期偿还，已还款3146.4元，年利率59%，远高于国家规定，望有关部门处理。</t>
  </si>
  <si>
    <t>2019/10/11 00:19:28</t>
  </si>
  <si>
    <t>投诉人郭先生投诉对象友缘在线涉诉金额168元问题类型诉求类型投诉详情打着0元购的旗号要求开通免密支付，开通之后在没有告知的情况下自动扣款。</t>
  </si>
  <si>
    <t>2019/10/11 00:15:37</t>
  </si>
  <si>
    <t>暴力骚扰我的家人，并且威胁恐吓，如果不严肃处理的话我讲报警处理。</t>
  </si>
  <si>
    <t>2019/10/11 00:14:10</t>
  </si>
  <si>
    <t>投诉人马先生投诉对象钱水艇涉诉金额604元问题类型诉求类型投诉详情扣钱之后没反应希望退钱回来乱扣款希望返还给个解释。</t>
  </si>
  <si>
    <t>2019/10/11 00:11:15</t>
  </si>
  <si>
    <t>2019/10/11 00:10:40</t>
  </si>
  <si>
    <t>一直提现一直不到账，试了很多次，刚充三十块钱进去然后就提现不了，坑比软件。</t>
  </si>
  <si>
    <t>2019/10/11 00:09:44</t>
  </si>
  <si>
    <t>处处app说是0元支付试用三天，但是我付款后发现花呗被扣款了，扣了两笔，一次69元，一次99元，我觉得这属于强迫消费，我不知道对方用什么方式开启支付宝免密付款，而且也应该试用期到了以后再付款。</t>
  </si>
  <si>
    <t>2019/10/11 00:09:42</t>
  </si>
  <si>
    <t>投诉人王先生投诉对象借贷宝涉诉金额2000元问题类型诉求类型投诉详情借贷宝出借人宋宝霞，‭165&amp;nbsp;0699&amp;nbsp;5661‬，打了欠条，没有放款，也不销账，现在平台催收我了，我现在要求他销账，停止催收，如果有证据放款给我了，我没有还逾期了，可以起诉我，我等着。</t>
  </si>
  <si>
    <t>2019/10/11 00:09:27</t>
  </si>
  <si>
    <t>投诉人胡先生投诉对象中国银联,思普纳照明电器有限公司涉诉金额7476元问题类型诉求类型投诉详情银联发来一条消费短信，我查账户被刷了一笔4996.5元，短信提醒猜998元，我立马打银联电话，一直无人接听，我就想不通没有密码怎么能把钱刷出去，我需要一个合理的解释。</t>
  </si>
  <si>
    <t>2019/10/11 00:08:13</t>
  </si>
  <si>
    <t>投诉人张先生投诉对象尚德机构涉诉金额14800元问题类型诉求类型投诉详情2019年10月6日下午1点，在尚德机构销售人员介绍下加入行政管理专本连读14800班，介绍人介绍2.5年及3年拿证，并且不考英语数学，发来的尚德机构材料供我参考，资料显示跟介绍人说的一致，入学后当天发现考试科目数量不对考试年限不对，并且考试项目有英语，当天询问销售人员，回答说政策改了，或者换专业，我联系班主任退学，班主任未立即回我，就拖到一天半2019年10月8号凌晨1点我在尚德app上发起售后，售后于2019年10月10日拒绝我的退</t>
  </si>
  <si>
    <t>2019/10/11 00:07:33</t>
  </si>
  <si>
    <t>我与店家联系，一直不给答复，也不给退货，2号买的，这都好多天了，我要求退货也好几天了，也不处理。</t>
  </si>
  <si>
    <t>2019/10/11 00:05:40</t>
  </si>
  <si>
    <t>本人分别于2017年11月借款50000元，分24期偿还，2018年10月借款19000,分12期偿还，2019年3月借款9500元，分12期偿还，年利率分别为32.35%，50.76%，50.81%，远高于国家规定，希望有关部门处理。</t>
  </si>
  <si>
    <t>2019/10/11 00:05:27</t>
  </si>
  <si>
    <t>入口，点进去就要手机号注册，注册之后要支付24.9元才能查询个人征信信息，我就支付了，然后就要实名认证之后才能获取信用报告，我就填写身份证号码和姓名，可是提示我的账户信息已注销，所以这份报告就没有成功获取，希望该方退款。</t>
  </si>
  <si>
    <t>2019/10/11 00:05:04</t>
  </si>
  <si>
    <t>投诉人 曹女士        投诉对象  小花钱包        涉诉金额  2 元    问题类型    诉求类型投诉详情  对家人进行电话恐吓 编造谎言欺骗家人 录音都有 对通讯录进行短信电话轰炸 越这样进行暴力骚扰越不可能解决任何问题！</t>
  </si>
  <si>
    <t>2019/10/11 00:04:28</t>
  </si>
  <si>
    <t>本人在轻周转9月11号，申请借款2800元到账2800元，8天一期，共四期，每期还1022元，现已还款3066元，还剩一期900多元，畅捷支付属于高利贷支付平台放款，属于违法因为，所以请求减免最后一期，现在中央三令五申要扫黑除恶，现在这样的公司还存在，已经无力偿还这种吸血的高利贷公司，如不减免，或有暴力催收定向当里公安机关报案，拨打全国扫黑除恶专线，这种高利贷公司已经让许多人妻离子散，好多人被他们逼到失去生命。</t>
  </si>
  <si>
    <t>2019/10/11 00:04:08</t>
  </si>
  <si>
    <t>聚投诉平台您好：因个人意识差之前陷入套路贷，四处借钱还了违法网贷平台，已负债累累，无法正常生活，本人于2019年5月25日在松紧贷平台借款5800元，分12期每期还款566.15，现已还2264.6，家庭条件不好，已想尽一切办法，因欠款太多确实无法偿还剩余欠款。</t>
  </si>
  <si>
    <t>2019/10/11 00:03:09</t>
  </si>
  <si>
    <t>填完资料后审核，因为之前绑的卡里没钱，今天转了几百进去，没过一会就被成都安睿旺蜀*科技有限公司无故扣了198元，申请的时候也没任何提示要扣钱，明显就是欺诈行为，要求立刻退钱。</t>
  </si>
  <si>
    <t>2019/10/11 00:01:05</t>
  </si>
  <si>
    <t>投诉人 杨女士        投诉对象  智行        涉诉金额  90 元    问题类型    诉求类型投诉详情  有雨国庆父母回家 在智行购买俩张火车票 原本应收取198 却收取了236 由于某些原因 改签了 却又收取40元 人工服务也是机器人 说了会在15个工作日退回 迟迟不退款</t>
  </si>
  <si>
    <t>2019/10/11 00:00:41</t>
  </si>
  <si>
    <t>暴力催收，打电话骚扰家人，半夜三更给我发上百条骚扰短信，希望给予帮助。</t>
  </si>
  <si>
    <t>2019/10/10 23:58:10</t>
  </si>
  <si>
    <t>投诉人程女士投诉对象钱站涉诉金额20000元问题类型诉求类型投诉详情钱站客服刚开始说可以帮我申请减免，然后一次性结清尾款，结完一共还14000多，让我先把逾期的还掉，才可以申请结清尾款，然后我把逾期的两千多先还进去后，在去找这个钱站的工作人员去结清后面的尾款，就一直联系不上人，微信也不回了！打去钱站客服热线，他们接电话说没收到我这个申请减免的文件！。</t>
  </si>
  <si>
    <t>2019/10/10 23:57:37</t>
  </si>
  <si>
    <t>本人于2017年在七贷分期贷了三万五块钱，实际到账两万五，现在要求我还27万，在此期间不断的电话短信骚扰我身边的亲戚朋友，已经严重影响到了我的生活！。</t>
  </si>
  <si>
    <t>2019/10/10 23:57:01</t>
  </si>
  <si>
    <t>强制分期，不能协商还款，提前还和到期还利息一样高。</t>
  </si>
  <si>
    <t>2019/10/10 23:55:28</t>
  </si>
  <si>
    <t>充值了，不能转换视频格式，而且客服也不理，软件非常差。</t>
  </si>
  <si>
    <t>2019/10/10 23:53:11</t>
  </si>
  <si>
    <t>投诉人 肖先生        投诉对象  安逸花（跃吉科技）        涉诉金额  25 元    问题类型    诉求类型投诉详情  云闪付消费一笔一千，早就还清。还在一直扣利息 总共利息25</t>
  </si>
  <si>
    <t>2019/10/10 23:53:02</t>
  </si>
  <si>
    <t>2，同时收完砍头息的前提下，仍然需还9950，共计需要还款10545元，利息合计10545-7905=2640元，年化利率为达到33.4%，严重超过国家标准24%，无视国法，公然挑衅国家权威，需要你给出合理的解释，并作出赔偿，否则将会继续投诉！。</t>
  </si>
  <si>
    <t>2019/10/10 23:52:15</t>
  </si>
  <si>
    <t>水莲金条app借款10000元利息高于国家利息。</t>
  </si>
  <si>
    <t>2019/10/10 23:51:58</t>
  </si>
  <si>
    <t>聚投诉平台您好：我是一名高息网贷受害者，从朋友那里得知可以求助于平台，我在马上金融平台贷了3000元，一共需要还3949.29，现已还2194.05我不知道网贷的危害所以四处借钱还高息网贷，现基本上无法正常生活。</t>
  </si>
  <si>
    <t>2019/10/10 23:50:50</t>
  </si>
  <si>
    <t>投诉人何女士投诉对象58同城涉诉金额370元问题类型诉求类型投诉详情我在58上发布招聘信息，然后有人发我信息叫我应聘，我一步一步按要求做，到最后要求交钱，说会退，一次又一次，最后我不愿意交了，不交前面的就不退。</t>
  </si>
  <si>
    <t>2019/10/10 23:50:37</t>
  </si>
  <si>
    <t>平安信用卡第三方暴力催收，不和持卡人联系，暴力骚然原单位同事，2分钟之内打10-20个骚扰电话，本人这边留有骚扰的证据。</t>
  </si>
  <si>
    <t>2019/10/10 23:48:35</t>
  </si>
  <si>
    <t>2019年10月10日13:00左右，本人到成都市成华区昭觉寺南路440号延长壳牌昭觉寺路加油站加油，在询问加油人员近期会员有无加油优惠活动时，出现一位非加油站点人元现场地推人员想我推销招商银行etc业务，在我拒绝后又对我说有一个名为众享云店的app软件加油有优惠活动，且告知我优惠力度比较大，我就问他怎么个优惠情况，他便拿出自己手里给我看上边加油的优惠具体情况，确实各大加油站都出现在上边且价格较加油站要便宜7-9毛不等.我就说那可以注册一个，但是他说首次注册必须要先交付360元费用开通店主，以后终身享用优惠</t>
  </si>
  <si>
    <t>2019/10/10 23:45:42</t>
  </si>
  <si>
    <t>，本人在2019年8月20日在鑫时贷借款3000，经畅捷支付到账2100，砍头息900元，期限7天，到期展期一次910.5元，因为自己个人原因，到2019年10月10日已经展期8次，实际已经支付7284元，本人已无力偿还高额利息贷款，要求平台退还利息费用并做销账处理。</t>
  </si>
  <si>
    <t>2019/10/10 23:45:36</t>
  </si>
  <si>
    <t>我9月11号就发布退款了，客服说的20个工作日就可以了但是一直未到，而且中途给客服打过几次电话都不接，希望领导能帮忙处理一下，感谢！。</t>
  </si>
  <si>
    <t>2019/10/10 23:44:53</t>
  </si>
  <si>
    <t>然后微信催，有没有说不还，还发短信暴力催收。</t>
  </si>
  <si>
    <t>2019/10/10 23:41:56</t>
  </si>
  <si>
    <t>钱站阴阳合同，变相高利贷，借5000块6个月还7600多。</t>
  </si>
  <si>
    <t>2019/10/10 23:41:40</t>
  </si>
  <si>
    <t>投诉人魏先生投诉对象滴滴出行涉诉金额1200元问题类型诉求类型投诉详情滴滴平台客服对顾客反馈的问题故意敷衍的态度让引起很大的反感，希望滴滴平台可以关注下，，，客服都不当回事，这种大平台怎么会有这种情况，本来服务行业的宗旨就是把服务做好，才能更长久，希望得到改善。</t>
  </si>
  <si>
    <t>2019/10/10 23:41:13</t>
  </si>
  <si>
    <t>本人在你我贷贷款5000元，因其高利贷无力偿还，你我贷不降利息，反而对我暴力催收加威胁，什么要移交到我户籍所在地，什么送征信报告等等！对我造成严重影响！不是不偿还，是现在真的无力偿还，如果不是走投无路谁会借钱呢，欠钱不对，但是没有不偿还，并且前面五期我都是提前还款的！。</t>
  </si>
  <si>
    <t>2019/10/10 23:38:36</t>
  </si>
  <si>
    <t>已协商按年化24多还款，人人贷要求借款人与友信支付签订不合法不平等不客观不合理的保密协议，拖延借款人还款，经过长达五个月的时间不断反馈按合理合法的基础上提前还款，，9月27日下午六点半左右接到人人贷所谓的这么“精明，”的客服主管的电话表示同意按9月26日协商的方案再还15000元结清，这个金额的构成是:剩下的本金12450元加上按年化24多的利率算的利息2550元，共再还15000元结清，我同意，后面客服主管又打了个电话说需要签订保密协议，由于我不知道这个保密协议的具体内容是怎样的，就说先发过来看一下，到当</t>
  </si>
  <si>
    <t>2019/10/10 23:38:13</t>
  </si>
  <si>
    <t>今天是我在拍拍贷借款的还款日，白天一直没顾上还钱，晚上我还钱的时候还了好多次他们都发短信说扣款失败，我换了张还款卡又还了好几次还是还款失败，我怀疑拍拍贷是故意让我还不进去让我逾期。</t>
  </si>
  <si>
    <t>2019/10/10 23:37:51</t>
  </si>
  <si>
    <t>平台您好：因自己对网贷没概念，用了多笔网贷，现已负债累累，无力偿还，请求平台给予帮助，我在新橙优品平台借了3000元贷款，分六期，每期的还款金额是691.8，一共需要偿还4150.8元，现已偿还2767.2，现在确实没有办法了，希望通过聚投诉平台帮助我，减免剩余两期的欠款。</t>
  </si>
  <si>
    <t>2019/10/10 23:37:07</t>
  </si>
  <si>
    <t>MAKA软件诱导消费者试用三天会员，之后在无明确条款的情况下，强制续费高级会员，从微信绑定的银行卡中擅自扣除328元，而在试用会员时并未以明确条款提示消费者将会自动续费。</t>
  </si>
  <si>
    <t>2019/10/10 23:36:20</t>
  </si>
  <si>
    <t>我本人因为工作繁忙，账单忘记了还款，平安普惠i贷就电话攻势，不停的打电话，严重影响我正常工件，甚至骚扰我的朋友，他们的生活，身心。</t>
  </si>
  <si>
    <t>2019/10/10 23:36:16</t>
  </si>
  <si>
    <t>这买家退回运费十元，我们己经小额打扣十元给买家，拼多多平台一声不吭扣商家十五元。</t>
  </si>
  <si>
    <t>2019/10/10 23:36:08</t>
  </si>
  <si>
    <t>叉叉倒闭了给了个退款表，填了退款表半年了也没信，给个说法谢谢。</t>
  </si>
  <si>
    <t>2019/10/10 23:36:03</t>
  </si>
  <si>
    <t>在及货借款后以还清款的情况下催收人员还继续短信和打电话的形式骚扰我的日常生活。</t>
  </si>
  <si>
    <t>2019/10/10 23:35:58</t>
  </si>
  <si>
    <t>8月31号退的房，9月23号还没退下来，后面又说6-7个工作日退款，9月30号联系说8号退款，10月8号联系说月初退押金人比较多10号之前退到账户上，今天上午打电话说48小时处理，刚打电话又说48小时处理，打电话给客服，客服说他们只记录，不管理，也不给出解决方案，现诉求公司平台给出合理解释，押金压这么长时间寓意何为，给出相应赔偿，8号打了上海市工商管理局，如果现在还不处理，是不是青客公寓资金出问题了，请求媒体曝光。</t>
  </si>
  <si>
    <t>2019/10/10 23:33:58</t>
  </si>
  <si>
    <t>本人通过信用管家下载去花花，申请3500元，实际到账2450元，1050元为保险费用，本人并未收到任何电子或书面保单，也未有保险人员与我联系，这1050元纯属高额砍头息，本人已还5期，共3000多元，还剩一期，实在无力偿还，希望在贵平台的帮助下减免利息销账。</t>
  </si>
  <si>
    <t>2019/10/10 23:33:01</t>
  </si>
  <si>
    <t>朋友在马上金融借了3000块钱，平台为了几千块就不择手段，不断骚扰家人朋友，居委会，各种打电话，跟他们说了一定会处理，还是照样去骚扰，毁坏名誉，恶劣至极。</t>
  </si>
  <si>
    <t>2019/10/10 23:32:48</t>
  </si>
  <si>
    <t>投诉人 范文华先生        投诉对象  掌众金服        涉诉金额  15 000 元    问题类型    诉求类型投诉详情  借款一万五分六期还，砍头息800。一个月还得还二千九百六十元。。利息超过国家规定标准。</t>
  </si>
  <si>
    <t>2019/10/10 23:31:40</t>
  </si>
  <si>
    <t>投诉人杨先生投诉对象钱站,华夏银行涉诉金额5840元问题类型诉求类型投诉详情借款到账3500分三期还款近6000。</t>
  </si>
  <si>
    <t>2019/10/10 23:31:06</t>
  </si>
  <si>
    <t>在马上金融借款后该公司人员称有一部分钱是以货款通过费的形式购买了游戏币，再以游戏币的形式发放到银行卡欺诈了借款人。</t>
  </si>
  <si>
    <t>2019/10/10 23:30:31</t>
  </si>
  <si>
    <t>及贷平台那些多年不联系的客户欠款，打到我这来，我让其把电话发给我，拒绝给，并持续性的向我催收，搞错了。</t>
  </si>
  <si>
    <t>2019/10/10 23:29:49</t>
  </si>
  <si>
    <t>本人2019年10月6日申请豆豆钱3500元，2019年10月10日到账3500元，随后收到中金支付担保扣款280元整，打图片上的联系方式空号，因是晚上所以打豆豆钱的客服电话人工服务休息时段，没有明白这是什么担保款项，和豆豆钱没有任何关系啊，所以我要投诉中金支付，赔偿我的损失！。</t>
  </si>
  <si>
    <t>2019/10/10 23:26:45</t>
  </si>
  <si>
    <t>我服务了四年，真的不知道为啥这么狠心，这四年我风里来雨里去，从没埋怨过什么，都是第一时间送餐，我也要挣钱养家糊口，，可这次账户被拉黑，我找了领导，人家也不理会我，让我去找其他的领导，一个领导一个领导我都找遍了，我每天出去累死累活跑十六个小时，只为美团服务，可换来的就是让人寒心的结局，况且取消单子也不是我取消的，顾客取消不想送了我有啥办法，就算全部是我的错，可我已经很认真的给你们保证了，我以后好好跑单，不会再有这样的事情发生了，你可以看我以后的行动，为何领导从不拿我们骑手当回事。</t>
  </si>
  <si>
    <t>2019/10/10 23:26:10</t>
  </si>
  <si>
    <t>投诉人童明投诉对象造艺科技涉诉金额299元问题类型诉求类型投诉详情造艺科技捆绑式误导消费者入圈，再以一个评估报告服务来恶意扣款用户钱财，未经许可下非法盗刷用户银行卡钱财，违法行为恶劣。</t>
  </si>
  <si>
    <t>2019/10/10 23:25:39</t>
  </si>
  <si>
    <t>借款一万五分六个月还每月还款3068比高利贷还高利贷。</t>
  </si>
  <si>
    <t>2019/10/10 23:25:37</t>
  </si>
  <si>
    <t>十一之前统计的7，8，9三个月分润也没给，5，6两个月份的分润和奖励都没有发放！请乐刷法人和下属机构尽快统计发放！。</t>
  </si>
  <si>
    <t>2019/10/10 23:24:39</t>
  </si>
  <si>
    <t>每天起早贪黑在线十五六个小时，但是平台却不公平，不管是在高峰期，订单热区，单多车少的地方它们都不派单给我，一等就是要等一两小时派一单给我，已经成规律了，每天都这样，和客服反应，她们只会说账号正常，请耐心等待！问他们系统有没有给我匹配PK过订单，她们就扯东扯西，每个客服都是在骗人，一样忽悠我们司机，好几个朋友都是跑滴滴的，但他们就好接单，他们服务分97，我们一起出车，我每天比他们多跑三四个小时，但他们的单量和流水每天都是我的两三倍，平常在高铁站或商场旁等单二三十张车，他们接单走了都不派单给我，反正得等足个把小</t>
  </si>
  <si>
    <t>2019/10/10 23:24:17</t>
  </si>
  <si>
    <t>在钱站旗下速金服平台申请一笔贷款，逾期了一天多收了将近两百块，超级高利贷，今天收到了很多催收的短信和恐吓的机器人电话，凑了一天凑到了本金1154元，一共还了1180元，剩下的真的凑不出来了，希望能够放我一马，这期给销账吧，不要再骚扰我或者骚扰家人，谢谢了。</t>
  </si>
  <si>
    <t>2019/10/10 23:23:19</t>
  </si>
  <si>
    <t>投诉人 杨先生        投诉对象  贷上钱        涉诉金额  4 081 元    问题类型    诉求类型投诉详情  协商减免利息 借到手3000 一个月要还4000多？？？实在还不起了</t>
  </si>
  <si>
    <t>2019/10/10 23:23:18</t>
  </si>
  <si>
    <t>本人在网上被人诱骗以做兼职，赚流水等理由被人拉进兼职群，以购买彩票方式赚取佣金，后来才知道是非法赌博平台，和支付清算协会沟通得知第三方支付业务应审核客户的相关信息，第三方支付公司不得向证券、期货、博彩等机构提供支付结算业务，通过中国人民银行，中国银联，和支付清算协会沟通得知，第三方支付业务应审核客户的相关信息，第三方支付公司不得向证券、期货、博彩等机构提供支付结算业务，作为有牌照的支付公司没有履行国家相关法律法规要求，为违法违规机构平台提供支付结算通道，即产生了洗钱的嫌疑，金融机构客户身份识别和客户身份资料</t>
  </si>
  <si>
    <t>2019/10/10 23:22:59</t>
  </si>
  <si>
    <t>本人2017年11月在珠海和信普惠借款6万元，借款成功后10几天才到账，本人期间多次打电话给客服，一直拖拖拉拉，要取消贷款也不行，还款时候利息这10几天没到账也收取，这属于霸王条款，不合规，以前还款时催收都是态度很好，有时困难时会允许延迟四天，但是那个被和信辞退后，换了一个就态度非常恶劣，还款日10号就必须10号，否则通知通讯录里联系人还。</t>
  </si>
  <si>
    <t>2019/10/10 23:21:13</t>
  </si>
  <si>
    <t>这个贷款软件属于群发短信给我所有通讯录，给我造成严重影响，这种高利贷砍头息真的不管吗，威胁不说还群发骚扰，这种真的是合法的手段吗，下面图片是短信里的电话号码，根本不敢打，打了也是被辱骂，哎....。</t>
  </si>
  <si>
    <t>2019/10/10 23:21:07</t>
  </si>
  <si>
    <t>本人借本金22000，到账金额，合同写借款24640，资金到账24640，几秒就扣所谓的服务费2640，利息高于国家标准，催收员群发带本人信息的催收信息，群发通讯录好友，恶意诋毁本人信誉，本人已经还了15期，共21500，欠本金500，希望协商减免不合理的高额利率，清账。</t>
  </si>
  <si>
    <t>2019/10/10 23:20:50</t>
  </si>
  <si>
    <t>本人在2017年11月16日在深圳宝安西乡尚德机构在推销人员昨晚的诱导团购减费，只剩最后一天欺骗情况下，督促犹豫学员办理入学，办理过程中，推销员过程讲的跟211，985所谓的名校有合作，可以报名这些名校，推荐含金量高的自考，还说到时候考不上都会全额退款，全额退款要交延保费，同时直接电脑操作，教导我手机办理与他们合作方，咖啡易融贷款分期，直接专本连读，贷款16000，连合同都没给我看，也没给我一份，直接就给我办理了，交了几个月发现，尚德机构根本不是正规机构，根本就没有与名校合作过，没相信也没继续学，他们合作的</t>
  </si>
  <si>
    <t>2019/10/10 23:20:37</t>
  </si>
  <si>
    <t>1.催收人员打电话至单位，单位同事接到电话后告知会转告，并要求请勿多次打电话，影响其工作，催收人员威胁同事表示不转告将派人上门闹事，后又告诉同事，如果我不接电话将一直骚扰，并表示，我同事可以直接拨打110，他们不怕警察，多次骚扰电话，导致单位收入损失2.同事将号码告知催收人员后，催收人员直接进行电话短信轰炸，，系统显示本金为2483元,实际到账1986.4元，逾期109天，逾期费用为了2159.96元。</t>
  </si>
  <si>
    <t>2019/10/10 23:20:19</t>
  </si>
  <si>
    <t>本人于7月10号在如期分期申请借款2W，通过后到账2W，然后直接扣掉2100元，平台违规收取高额砍头息。</t>
  </si>
  <si>
    <t>2019/10/10 23:19:34</t>
  </si>
  <si>
    <t>投诉人肖女士投诉对象钱站涉诉金额27000元问题类型诉求类型投诉详情还款日前一星期找客服说暂时无法还让他们备注一下，没有备注还款日当天就开始电话催收，第二天电话和短信一起催收，第三天打电话来就要我的支付宝账户要求加微信，要找我联系人借钱，并且开始打通讯录和通话记录所有联系人，一天给我来了几十个电话和短信，并且晚上也打电话，手机没办法录音，给我打电话一直恐吓我借款金额为2.5万一笔，和7千元一笔，合同却写成2.9万多个9千多一笔，所还利息已经超过国家规定利率！。</t>
  </si>
  <si>
    <t>2019/10/10 23:19:22</t>
  </si>
  <si>
    <t>及货在借款前不说明收取费用的问题，借款后才知道要出服务费，变相欺诈借款人。</t>
  </si>
  <si>
    <t>2019/10/10 23:19:18</t>
  </si>
  <si>
    <t>投诉人于女士投诉对象小赢卡贷涉诉金额13000元问题类型诉求类型投诉详情平台您好：因为个人意识差用了诸多网贷平台，小赢卡贷其中之一，曾经有过一笔借款逾期半天，该平台客服打电话威胁说马上告知家长，当时怕父母知道，四处借钱第二天上午把该笔借款还了，我在该平台借过三笔款，其中另外两笔已经还清了，最后这一笔剩余三期，我已负债累累，无力偿还，请求平台给予帮助。</t>
  </si>
  <si>
    <t>2019/10/10 23:18:46</t>
  </si>
  <si>
    <t>投诉人欧阳女士投诉对象光大银行,平安保险集团涉诉金额4000元问题类型诉求类型投诉详情借贷搭售保险，在不知情况下给我的借贷捆绑保险，保险没有通知我，没有电话，短信，纸质保单，没有签名！根据银监会《关于政治银行业金融机构不规范经营的通知》第一款第五条：不得借贷搭售，银行业金融机构不得在发放贷款或以其他方式提供融资时强制捆绑，搭售理财，保险，基金等金融产品。</t>
  </si>
  <si>
    <t>2019/10/10 23:17:59</t>
  </si>
  <si>
    <t>投诉人陈先生投诉对象读秒钱包涉诉金额3200元问题类型诉求类型投诉详情我在读秒钱包借了5000，还了三期总共1800，后面因资金困难，逾期，现在逾期费差不多接近我要归还的剩下的本金了。</t>
  </si>
  <si>
    <t>2019/10/10 23:17:16</t>
  </si>
  <si>
    <t>02月20日，借款17000元，分12期，每期还款1926.56元，付款方为玖富万卡合作方潍坊银行，每期手续费为442.25元，合计5307元，名义上年化利率为8.7%，实际年化利率约为61%2、2019年03月22日，借款2100元，分12期，每期还款237.98元，付款方为玖富万卡APP提现，每期手续费为53.51元，合计642.12元，其中以1元手续费为由混淆视听以代替收取高额“保险费”，现要求一次性结清全部借款，并按照国家相关法律法规减免相关手续/服务费用。</t>
  </si>
  <si>
    <t>2019/10/10 23:15:18</t>
  </si>
  <si>
    <t>本人2019年2月8日、2019年7月4日分别在豆豆钱申请了4800元和6000元的贷款，但是豆豆钱和永安财产保险公司在本人并不知情的情况下强制搭售、捆绑销售保险，本人要求豆豆钱和永安财产保险公司立即退回399元和499元的保费！本人也将会向其他有关部门投诉！。</t>
  </si>
  <si>
    <t>2019/10/10 23:14:43</t>
  </si>
  <si>
    <t>本人于20188年5月在钱站借款85600元，分36期偿还，已还款59319.87元，年利率35.99%，远高于国家规定，望有关部门处理。</t>
  </si>
  <si>
    <t>2019/10/10 23:13:37</t>
  </si>
  <si>
    <t>马上消费金融强制性收取借款人的担保费用，属于不合法的行为。</t>
  </si>
  <si>
    <t>2019/10/10 23:13:18</t>
  </si>
  <si>
    <t>投诉人王女士投诉对象你我贷涉诉金额26165元问题类型诉求类型投诉详情本人于2018年向你我贷申请10600借款，期限一年，下款后需要还14339元，而且前两期还有双倍砍头息已经超过国家法定利息，由于被网贷套路导致逾期，于2019年7月，又借了一笔8700，一年要还11826.32，前两期也有双倍砍头息，现暂时无法偿还，并不是我不还，而且我也没有拒绝还款，我只是晚还了，但我现在无法偿还高额利息，你我贷拒绝协商，催收人员未经我允许情况下拨打我通讯录里的联系人，盗取我手机信息，图片，并发短信辱骂，威胁，恐吓还说</t>
  </si>
  <si>
    <t>2019/10/10 23:13:05</t>
  </si>
  <si>
    <t>然后早上九点他让我发了一张现在的段位截图我发完之后他说安排好了，我是昨天凌晨两点半下的单 然后早上九点他让我发了一张现在的段位截图我发完之后他说安排好了 然后我又等了半天结果没人上线我就问他他就再也没有理过我也不取消订单。</t>
  </si>
  <si>
    <t>2019/10/10 23:10:38</t>
  </si>
  <si>
    <t>,双辽市春天支农小额贷款有限责任公司,聚合公司，app金鸡下蛋，通过它们短信推荐，下载了该软件，借款过程中显示2000元，实际到账1400元，6天利息600元，没有明确的告知的情况下，到账1400元，而且延期费用高昂，请求国家查处这种高利贷公司，放款方汇潮支付，还款方聚合支付，为高利贷收发款，在建国70周年还有这样的公司，其心可诛。</t>
  </si>
  <si>
    <t>2019/10/10 23:10:33</t>
  </si>
  <si>
    <t>晖韵信息科技公司,利信美贸公司,创柏商贸有限公司,符豪贸易公司,丰新益贸,鑫乘实业发展公司,伦丰汽车销售公司,云闪付，云闪付为这些不法分子通红支付通道，请求退款！。</t>
  </si>
  <si>
    <t>2019/10/10 23:09:44</t>
  </si>
  <si>
    <t>及货平台在客户不同意的情况下就群发客户信息对客户造成很大的负面影响。</t>
  </si>
  <si>
    <t>2019/10/10 23:09:14</t>
  </si>
  <si>
    <t>三无产品，假货，假冒联想品牌电脑，欺骗消费者来获取暴利。</t>
  </si>
  <si>
    <t>2019/10/10 23:08:54</t>
  </si>
  <si>
    <t>2019年10月3日在玖富万卡上申请了一比22200元的借款，注意:我的额度只有22200，一直都在审核中，10月8日突然从有短信提醒pos消费12900元，非本人操作，后来查看了玖富APP，是放款了22200元，但是还款需要38176.31元，多方询问后才知道，扣除的12900元是什么贷款保费，我就是因为没钱才借钱，而且借的是22200元，，放款确是35100，其中12900元压根就没在我任何知情的情况下直接扣走，收到短信才知道，被吓得要死，谁会借款22000元，还去支付一个12900的保费，除此之外，玖</t>
  </si>
  <si>
    <t>2019/10/10 23:08:33</t>
  </si>
  <si>
    <t>钱站，要求注销账号，账号已经还请，这个非法的套路贷，迟早都要死。</t>
  </si>
  <si>
    <t>2019/10/10 23:07:22</t>
  </si>
  <si>
    <t>我及贷逾期一天，及贷工作人员打我通讯录，希望贵平台严打暴力催收，作出道歉，必须给我道歉。</t>
  </si>
  <si>
    <t>2019/10/10 23:05:21</t>
  </si>
  <si>
    <t>马上金融平台故意让客户逾期不同意协商，赚取高额的逾期费用。</t>
  </si>
  <si>
    <t>2019/10/10 23:04:54</t>
  </si>
  <si>
    <t>闪银及贷转对公还款后未得到处理仍被催收，客服处理不恰当，这种问题从来没听说过，你们是喜欢打电话。</t>
  </si>
  <si>
    <t>2019/10/10 23:04:44</t>
  </si>
  <si>
    <t>早上扣除了296元我也投诉了倒是挺好最后把钱退回来了结果你又来条短信这是啥意思，推荐的平台根本不能用！这是我银行卡里没钱有钱是不是你们又要扣款。</t>
  </si>
  <si>
    <t>2019/10/10 23:03:44</t>
  </si>
  <si>
    <t>9月1号打电话说我还了4千多的我就不欠你们的。</t>
  </si>
  <si>
    <t>2019/10/10 23:03:36</t>
  </si>
  <si>
    <t>已还清本金，逾期为利息，利息超过国家规定，暴力催收，未经允许骚扰通讯联系人，群发借贷信息，短信威胁。</t>
  </si>
  <si>
    <t>2019/10/10 23:03:18</t>
  </si>
  <si>
    <t>图片还有好多，只能上传9张，投诉详情等下补充进来。</t>
  </si>
  <si>
    <t>2019/10/10 23:03:05</t>
  </si>
  <si>
    <t>借款1000元要扣250元会员担保费，借50天到期要还1050元，就等于借1000元50天要还1300，我逾期了2天，第一天逾期费就要多收45元，第二天就要多收10元，还每天都打电话给我，我说迟两天还，最迟到15号还清，又打电话给我家人，我要求停止骚扰我家人，道歉，赔偿，退还超高利息。</t>
  </si>
  <si>
    <t>2019/10/10 23:02:32</t>
  </si>
  <si>
    <t>,富友支付,贷上钱,安心猪涉诉金额20000元问题类型诉求类型投诉详情今年在贷上钱平台的引流下借了这几个高利贷，全部结清了，还款续期费用高达2万多，可以提供流水和截图，希望给个说法，否则联系今日说法等法制单位，和这几个公司所在地的派出所报警。</t>
  </si>
  <si>
    <t>2019/10/10 23:01:23</t>
  </si>
  <si>
    <t>原本应急在你我贷借款9000元分十二期偿还，因为多个网贷爆发，丢失工作，无力偿还，后发现你我贷利率过高，前两期还款2144.60元，后十期还款794.6元，远超国家规定的36%的红线，遂想提前结清，逾期前几天主动找你我贷协商还款，被告知等待专员联系，期间积极和你我贷联系，确一直没有合理的处理结果，今逾期一天，遭受催收人员暴力催收，威胁恐吓，想要提前结清，被告知必须还第一期之后才可以申请，在提出提前结清的要求后仅仅使用一个月的前提下，确要提前偿还高达一千三百多手续费和管理费的变相利息，以及你我贷暴力催收，恐吓</t>
  </si>
  <si>
    <t>2019/10/10 23:00:36</t>
  </si>
  <si>
    <t>2019年10月3日在玖富万卡上申请了一比22200元的借款，注意:我的额度只有22200，一直都在审核中，10月8日突然从有短信提醒pos消费12900元，非本人操作，后来查看了玖富APP，是放款了22200元，但是还款需要38176.31元，，放款确是35100，其中12900元在我根本不知情的情况下直接扣走，收到短信才知道，被吓得要死，谁会借款22000元，还去支付一个12900的保费，这是违规操作！&amp;lt;br&amp;gt;后续联系客服，说只能走对公账户还款然后冲账，或者是提前结清还款35335.85元，</t>
  </si>
  <si>
    <t>2019/10/10 23:00:34</t>
  </si>
  <si>
    <t>投诉人唐先生投诉对象达龙云电脑涉诉金额99元问题类型诉求类型投诉详情排队过于慢，不给予不设有退款通道，本人承诺从未使用过虚拟货币一分一毫，39元拼团会员和另外50元会员支付重叠，不退还39拼团支付，不询问，不退款，直接购买虚拟货币，消费窗口系统不完善，不值得使用，！！！。</t>
  </si>
  <si>
    <t>2019/10/10 23:00:18</t>
  </si>
  <si>
    <t>及货平台私自改借款合同变相收取保险费用赚取不正当的利息收入。</t>
  </si>
  <si>
    <t>2019/10/10 22:59:26</t>
  </si>
  <si>
    <t>在闪银上面借款要求开通存管账户几天后被扣了一笔122.58元的费用，查询到是第三方中金支付扣的款，联系到中金的客服说是闪银扣的，还款并没有这笔账单，联系闪银的客服两天无果。</t>
  </si>
  <si>
    <t>2019/10/10 22:59:02</t>
  </si>
  <si>
    <t>本人名字：昝利，光大银行卡号：62*************0，10月8号被联动优势辽宁科技有限公司盗刷扣款：26笔合计盗刷金额：12958元，卡一直本人在正常使用，都不知道怎么被盗刷了，忘尽快处理退回款项，并道歉做出相应的处罚和赔偿。</t>
  </si>
  <si>
    <t>2019/10/10 22:58:53</t>
  </si>
  <si>
    <t>当天放款5000，想立马还进去，结果要还6544，这不是高利贷是什么，你们相关人员也给我打过电话，协商不了，要我全部结清，然后给我退，我怎么相信，拿什么让我相信，你们这保费我承认给，但是你们不应该私自打款我的账号，然后立马全部扣完，如果我是一期一期的给，我愿意，但是你们全部吧我保费扣了，我提前还钱还还不了，这我不认可，你们借我的5000我一分没动，当然了，那1500保费我也是不会还的，如果你们是真心想协商，就给我个答复，不要让我打保险公司，我是不会打的，我是在你们玖富万卡借的，你们必须给我一个解决方案，我会</t>
  </si>
  <si>
    <t>2019/10/10 22:58:06</t>
  </si>
  <si>
    <t>希望平台和有关部门能制止捷信公司这种骚扰！捷信公司简直就是高利贷平台公司，问题利息高得离谱不说，还天天打电话骚扰我通讯录的朋友，通讯录里面的每一个人每天不下于接到捷信公司骚扰电话几十个，有些联系比较频繁的亲戚和朋友每天要接到上百个捷信公司的骚扰电话，这样让别人怎么正常生活和工作，希望有关部门能制止一下，给我们老百姓一个公道。</t>
  </si>
  <si>
    <t>2019/10/10 22:57:41</t>
  </si>
  <si>
    <t>本人在9月10日在新意花借款4000元，到账2800元，资金提供通道为畅捷支付，八天一期分四期，每期1022元，现已归还三期3066元，扣款方为中金支付，本人由于今年受到套路贷影响，资金出现很大问题，无力再承担额外高额费用，加上9月18日新意花软件无法正常还款且联系不到客服，由于软件不能正常使用造成逾期，进行过一次投诉，顺便协商本息还款，客服协商3200元，本息销账，但是由于当时软件无法正常进行还款，客服说后期会有客服可以进行协商沟通还款，目前无法正常联系到客服协商还款。</t>
  </si>
  <si>
    <t>2019/10/10 22:57:35</t>
  </si>
  <si>
    <t>在没有任何提示下扣除卡里299元，也没有提示为什么要支付这299元，在推荐平台点开的.APP还没下载就叫我绑定银行卡，一直误导我，发了好几条验证码，绑定好了才显示要下载APP，就收到了银行发来的扣款信息，钱打到了杭州伟福科技有限公司，购分期APP下载好了，才知道买了个什么会员。</t>
  </si>
  <si>
    <t>2019/10/10 22:57:31</t>
  </si>
  <si>
    <t>投诉人吕先生投诉对象你我贷涉诉金额8000元问题类型诉求类型投诉详情本人在借贷还款两月后，由于资金问题，未能及时还上，对方在不通知本人的情况下将本人通讯录全部曝光，并辱骂威胁，制造虚假法院传单等信息。</t>
  </si>
  <si>
    <t>个人贷款12300，目前发现总还款金额18404万，多出了6104，同时软件上居然还明目张胆写着年利率36%，公然挑衅国家红线，目前没有逾期，害怕催收，希望能得到合理答复，将利率进行调整。</t>
  </si>
  <si>
    <t>2019/10/10 22:56:18</t>
  </si>
  <si>
    <t>据2019年8月30号，下载了聚富分期，填好资料后莫名扣除我299元，说评估报告，当时我联系客服，客服就说，14个工作日退款，这都快2个月了，联系客服天天推，希望不要再让其他人受害了，不止一次扣我钱。</t>
  </si>
  <si>
    <t>本人于你我贷平台嘉卡贷以及加贷分别借款14400和3200元，实际到家14400、3200，加贷以及还了3期1700+，剩余9*320=2880，这样整个利息就是嘉卡贷5100+、加贷利息1380+，已经超过国家允许的合规利息，于今天下午联系客服申请提前结清，并提出减去剩余利息，客服人员安排专员不给减免，搞不懂这提前结清都不行，还要求强买强卖么，本人债务全面爆发，如果不能减免，本人实在无力偿还，一切按照国家法律法规处理好了。</t>
  </si>
  <si>
    <t>2019/10/10 22:55:16</t>
  </si>
  <si>
    <t>在没有逾期的情况下马上金融恶意电话骚扰威胁恐吓通讯录上的联系人。</t>
  </si>
  <si>
    <t>2019/10/10 22:55:00</t>
  </si>
  <si>
    <t>我朋友在闪银平台借款，过几天才看到一条由中归代购的所谓服务费，并不知道闪银逾期，到晚上10点左右发现即将逾期，去取款机存入1000元准备还款，11点30左右，并非闪银app所告知的0-4点，一直显示代扣失败，检查银行卡余额，10月10号致电客服人员，对方说换卡可以，换了一张交通银行卡，依旧显示检查银行卡余额，明明交通银行卡余额足够还款，再次致电闪银客服，他们说我卡没有开通网银转账快捷支付，本人支付宝，微信都可以用这张卡代扣支付，感觉对方故意制造逾期，这种及其恶劣的非法行为必须打击。</t>
  </si>
  <si>
    <t>2019/10/10 22:53:57</t>
  </si>
  <si>
    <t>机器人客服说让申诉，能提供的材料，包括小票都提供了，但是每次申诉都不通过，每次打95017让输入商户号，输完直接挂电话。</t>
  </si>
  <si>
    <t>2018年10月份，接到vipjr课程顾问的销售电话接触到了这个平台，一开始并不是很了解，考虑期间，课程顾问提出先试课，当时也是为了孩子能够学好英语，秉着尝试的心理上了两节体验课，到现在为止上了10个月课之后，并没有达到预期的效果，外教参差不齐，学习期间，该机构没有任何跟踪服务，拨打客服电话提建议没有任何反馈，后来孩子上课也不太重视，不想再学，于是在今年9月份我们对此机构提出要求终止课程，才知道不可以退课，当时签合同的时候课程顾问主要只提醒了我两点：按时上课、提前约课，如果不满意1个月内退课不收取任何费用，</t>
  </si>
  <si>
    <t>2019/10/10 22:53:46</t>
  </si>
  <si>
    <t>投诉人陈先生投诉对象任性分期涉诉金额198元问题类型诉求类型投诉详情该平台套路很深，不管有没有借钱先收取198元的所谓“会员费”且直接扣款，我没借到钱要求退款，打了四五次电话按照他们的要求也提供了截图了，却被一位自称是客服专员的人称，要马上退款只能退70%，要退全款要3到7个工作日的审核通过后才退款，天啊，我要是3到7个工作日审核不通过了不是又要重新申请这个本是我的钱，真是个好大的坑啊，最后我只要求这个客服专员先给我审核我的198元钱可不可以，你要3到7个工作日还我钱我也认了，你别3到7个工作日又说审核这不</t>
  </si>
  <si>
    <t>2019/10/10 22:53:36</t>
  </si>
  <si>
    <t>本人2019年9月18号，在恒信易贷平台贷款10000元，分十二期，通过平台审核完以后，在9月25号通过平台工作人员小张，在他的指导下，首先交了会员费596，说交了会员费贷款才能提现到银行卡，并承诺会员费会返还我平台的钱包帐户上的，交了会员费后，开始提现，提现过程中，钱提不出来，说是银行卡卡号错误，这时平台工作人员小张说比较麻烦，要到银行去处理，并且要交2500元的押金，说是银行要押金担保，在他的要求下交了2500，并把转帐截图交给他，过了一会又以银行需要你有能力偿还贷款能力，向他提供的帐号转帐2868，然</t>
  </si>
  <si>
    <t>2019/10/10 22:52:21</t>
  </si>
  <si>
    <t>714高炮，违法套路贷骗我钱财，态度不好，真的是无法无天。</t>
  </si>
  <si>
    <t>2019/10/10 22:50:09</t>
  </si>
  <si>
    <t>投诉人李刚投诉对象及货涉诉金额1300元问题类型诉求类型投诉详情在明知学校学生无还款能力下还货款给在校学生赚黑心钱。</t>
  </si>
  <si>
    <t>2019/10/10 22:49:44</t>
  </si>
  <si>
    <t>3000分三期，到账2400，逾期两个月，滞纳金翻倍到6000，现在需要还款，但6000是觉得不可能还的，如要协商直接联系136******82，结清后必须快速提供结清证明。</t>
  </si>
  <si>
    <t>2019/10/10 22:49:36</t>
  </si>
  <si>
    <t>投诉人覃先生投诉对象钱站,私房钱站涉诉金额1000元问题类型诉求类型投诉详情赔偿,作出处罚曹先生发起投诉2019-10-1022:24:10本来是没钱就去钱站平台借钱的，本来是借1330到账1000我想问下330去哪了，借了1000分三期，一期就是还598一共x3期等于1800远远超出银监局规定的24和36,借1000分三期就还1788哦，一共利息800反正我现在也没钱，不调整，我就一直投诉，公平的本金利息我可以后面挣到钱还，但是这么高，我现在也没钱没能力还，希望钱站看到后处理，给我回电话，给我回电话,给我</t>
  </si>
  <si>
    <t>2019/10/10 22:49:28</t>
  </si>
  <si>
    <t>于10月4日申请了哼哼，顺顺两笔借款共2000元，然后购买了200块钱的征信保，下款的时候只下了1800并且账单并没有显示征信保，本人以为跟之前一样下款的时候已经扣掉了征信保，然而今日APP，突然刷出来账单说征信保没有还逾期了，然而昨天我在APP上都还没有看见征信保这个账单未还根本没有这个账单，由于逾期我早上已经还了这个账单，现在我要求退还支付的200块钱，这是已经下款时扣掉了的账单导致二次还款，这种客服出错的问题，应该赔偿损失，但是都推脱责任，只有在这里投诉了。</t>
  </si>
  <si>
    <t>2019/10/10 22:49:19</t>
  </si>
  <si>
    <t>10月4日下载了app，要求绑定银行卡，生成报告，在10月10日下午未经同意私自扣款，也并没有提到服务费，也没有表明服务费的价格，希望投入能得到及时的处理，贴吧里也有很多人都被这样骗了。</t>
  </si>
  <si>
    <t>2019/10/10 22:49:09</t>
  </si>
  <si>
    <t>你好，我在轻周转分了4期借款一期7天一共4期app借了4200砍头息砍到到账2800，现在一直逾期状态，现在都涨到7000多了，一个账单一天罚金50多，4个就是200多，无力承担下去了，我可以还本金2800和国家规定的利率还款吗。</t>
  </si>
  <si>
    <t>2019/10/10 22:48:43</t>
  </si>
  <si>
    <t>2919年9月11日在钱站app上借款2000元，当时额度也只有2000，我就想着全部借出来，通过审核后要确认借款，我点了之后然后放款中，发现金额变成了1500，合同里面却显示借款2000，三个月却要还款2800多将近3000块，这不是阴阳合同是什么，我要求按照合同上的年利率22收利息，或者退还我本金500块。</t>
  </si>
  <si>
    <t>2019/10/10 22:48:13</t>
  </si>
  <si>
    <t>这个叫广州欧福科技有限公司不知道为什么稀里糊涂的从我卡里扣除了202块钱。</t>
  </si>
  <si>
    <t>2019/10/10 22:47:58</t>
  </si>
  <si>
    <t>本人于2017年10月在钱站借款129600元，实际到账120000元，分36期偿还，已还款122950.08元，年利率37.34%，远高于国家规定，望有关部门处理。</t>
  </si>
  <si>
    <t>2019/10/10 22:46:26</t>
  </si>
  <si>
    <t>我是10月10日下载的普惠分期，填写了资料，后来看没什么用就删除APP了，现在扣298.5元了，平台上只能填写整数，所以填了298元！而且他们的协议写的不阴不阳，这样扣下去什么时候是头，据说还要扣，典型的欺诈和隐藏消费，我也没用他们借款平台。</t>
  </si>
  <si>
    <t>2019/10/10 22:45:55</t>
  </si>
  <si>
    <t>本人在ｕ钱包上借款一万元，借款之前的协议上除了利息没有写明任何其它费用，但是在借款到账后要还的金额无故多出一笔一千多的费用即砍头息，并且没有借款合同，联系不到客服，投诉一次但ｕ钱包方面没有联系本人，要求ｕ钱包返还砍头息，调整利率到合法范围，并提供借款合同。</t>
  </si>
  <si>
    <t>2019/10/10 22:45:32</t>
  </si>
  <si>
    <t>借贷宝催收威胁爆通讯录，还要让我以贷养贷，想毁了很多人建议关闭借贷宝催收部门。</t>
  </si>
  <si>
    <t>2019/10/10 22:44:57</t>
  </si>
  <si>
    <t>投诉人熊瑞投诉对象马上消费金融涉诉金额3400元问题类型诉求类型投诉详情马上消费金融平台在利息上阴阳变相收取还款服务费。</t>
  </si>
  <si>
    <t>2019/10/10 22:43:57</t>
  </si>
  <si>
    <t>由于客服一直打电话催收很影响我的生活，因工作原因资金出现问题，该找的都找了也借不到钱，想申请延期还款，本人还是有很大的还款意愿的。</t>
  </si>
  <si>
    <t>2019/10/10 22:43:37</t>
  </si>
  <si>
    <t>投诉人于女士投诉对象维信金科涉诉金额11000元问题类型诉求类型投诉详情聚投诉平台您好：因无力还该网贷平台的贷款请求帮助，该平台申请每笔借款的时候都有直接扣除399元成为保单的费用。</t>
  </si>
  <si>
    <t>2019/10/10 22:42:42</t>
  </si>
  <si>
    <t>微信名称李勇老师冒充其他平台老师私自联系我，泄露个人信息，要求该老师出来向我道歉，希望贵公司给出合理解决方案。</t>
  </si>
  <si>
    <t>2019/10/10 22:42:38</t>
  </si>
  <si>
    <t>朋友在造艺科技借款的时候，身份信息还有银行卡绑定是填了，但这是作为贷款前必填的信息吧，我填这些是为了贷款，，我们消费者都是冲着贷款去填的这些信息，结果你弄了个扣费协议在里面，这不是偷换概念，你们就是利用们消费者不会百分百认真看协议去钻这个空子，有本事你去统计一下你们有多少客户被扣了这个钱之后去找你们讨回的，有多少被扣了钱之后当什么都没发生继续贷款的。</t>
  </si>
  <si>
    <t>2019/10/10 22:42:26</t>
  </si>
  <si>
    <t>投诉人魏先生投诉对象微信支付涉诉金额1270元问题类型诉求类型投诉详情17年10月至今，保护模式开启，无法提现和交易，资料提交后客服重复回复！。</t>
  </si>
  <si>
    <t>2019/10/10 22:42:08</t>
  </si>
  <si>
    <t>投诉人林先生投诉对象投诉编号：CN1349930涉诉金额1000元问题类型诉求类型投诉详情一年前，因为关系不错，此人用我信息涉及网络赌博，涉及不止一次，用名字注册，有盈利后找我拿卡号，当时给了，第一次他提现我用支付宝转给他，并说明不要用我信息，第二次又来，于是我没转给他，金额大致为1000左右！一年后，通过非法渠道寻得我的信息，投诉我的公司以及我，造成不良的反映，被投诉的我，第一时间与投诉方进行了处理，由于对方无法给出证明具体金额，便协商以800结束这件事情，经过再三确认的！几个小时后，他又威胁我接着给钱，</t>
  </si>
  <si>
    <t>2019/10/10 22:41:57</t>
  </si>
  <si>
    <t>本人培训机构开课前，本人因不可抗拒的理由向培训机构提出退学退费退款申请的，我希望培训机构根据约定扣除手续费，再予以退还剩余的费用。</t>
  </si>
  <si>
    <t>2019/10/10 22:41:43</t>
  </si>
  <si>
    <t>投诉人黄女士投诉对象海风教育涉诉金额29328元问题类型诉求类型投诉详情9月9日向海风教育工作人员申请退款，合同承诺在5个工作日内退款，但申请后工作人员说要15--20个工作日才能完成退款，到现在已经19个工作日了，工作人员却已催进度推脱。</t>
  </si>
  <si>
    <t>2019/10/10 22:40:54</t>
  </si>
  <si>
    <t>投诉人马女士投诉对象民生银行信用卡涉诉金额11000元问题类型诉求类型投诉详情我女儿因患抑郁症被原单位辞退，目前还在养病中没有还款能力，我的存款及退休金全部用来给女儿看病，之前女儿病情有好转主动与民生银行协商，说明未还款情况，待找到工作买上还款，可民生银行不理睬依旧让还款，最近民生银行旗下鸿鼎泰石公司没完没了打电话发信息骚扰并威胁我女儿，导致我女儿受刺激抑郁症重新发作，请求相关部门能严厉打击一下这种仗着银行的势力进行暴力催收的团伙，也请银监会领导能关注民生银行披着正轨的外衣干着违法勾当的银行，不要把人往死路</t>
  </si>
  <si>
    <t>2019/10/10 22:40:53</t>
  </si>
  <si>
    <t>本人在及贷app借款13200，需要还款17304.19，以前不懂费率不知道属不属于高利贷，以前也合作过几次，现在感觉利息很高，高利贷差不多了，借款后因为投资失败，导致现在无法还上每期还款，及贷公司开始不停骚扰我通讯录亲朋好友，短信通知我和我通讯录亲朋好友明天还要叫人去找我父母，公公婆婆，儿子女儿，不知道干什么，以前我也在他们平台借款过几次都按约定还款了，这次因为投资失败，暂时实在还不上，就不能让我缓缓了吗，现在亲朋好友都知道了，也没人愿意和我合作生意了，所以我决定不用和你们协商去了，我要去上班了，不要再去</t>
  </si>
  <si>
    <t>2019/10/10 22:40:22</t>
  </si>
  <si>
    <t>恶意扣费296元，在我不知情的情况下扣费，这侵犯了我的个人隐私，并没事先通知，希望宏萨信息科技有限公司。</t>
  </si>
  <si>
    <t>2019/10/10 22:39:48</t>
  </si>
  <si>
    <t>投诉人秦载麟投诉对象拍拍贷恐吓，威胁，骚扰涉诉金额557元问题类型诉求类型投诉详情拍拍贷骚扰电话好友，并电话家人高利贷催收，态度差，影响极恶劣。</t>
  </si>
  <si>
    <t>2019/10/10 22:39:25</t>
  </si>
  <si>
    <t>投诉人 张先生        投诉对象  极速password Box        涉诉金额  0 元    问题类型    诉求类型投诉详情  高利贷。电话恐吓，短信侮辱，骚扰家人朋友</t>
  </si>
  <si>
    <t>2019/10/10 22:38:21</t>
  </si>
  <si>
    <t>及货平台在借款人不知情的情况下曝光借款人通讯录严重影响了亲朋好友的日常生活。</t>
  </si>
  <si>
    <t>2019/10/10 22:37:57</t>
  </si>
  <si>
    <t>智行火车票以隐藏废票的名义隐藏了我的历史购票，记录，且事前并未得到用户的同意，以至于实习路费无法报销，更重要的是，联系不上其相关人工客服，以至于事情无法得到有效解决。</t>
  </si>
  <si>
    <t>2019/10/10 22:37:53</t>
  </si>
  <si>
    <t>投诉人记先生投诉对象国泰产险涉诉金额10元问题类型诉求类型投诉详情买家退货时间均在7天之内，也在确认收货之前申请的退货退款，不知道为什么拒赔原因，退货物流信息没有问题，还找不到保险客服，无法咨询情况，故投诉。</t>
  </si>
  <si>
    <t>2019/10/10 22:37:29</t>
  </si>
  <si>
    <t>本人在浏览网页时突然弹出乐盈国际娱乐的广告，在无知和广告的诱导下进入游戏，后发现这是个赌博黑平台，所有的积蓄都已经输光，还欠下了高额的贷款现在我非常后悔当时的举动，经过网银查询时得知是通过汇潮支付的，私自拿公司的账户为博彩平台提供支付通道导致本人被骗170000元，根据《非银行支付机构网络支付业务管理办法》第十七条：，支付机构应当综合客户类型、身份核实方式、交易行为特征、资信状况等因素，建立客户风险评级管理制度和机制，并动态调整客户风险评级及相关风险控制措施，本人在充值时未得到任何的提醒，根据《中华人民共和</t>
  </si>
  <si>
    <t>2019/10/10 22:36:59</t>
  </si>
  <si>
    <t>石家庄闵嘉广告有限公司，三亚榆苏商贸有限,山西恒维广告有限公司,天津欧宜家居装饰有限公司，投诉四家公司为336彩票，网址c3588.com网站提供充值入口，帮赌博网站提供银行卡接受转账，网站黑了我的血汗钱，不给提款，希望国家严惩处。</t>
  </si>
  <si>
    <t>2019/10/10 22:36:35</t>
  </si>
  <si>
    <t>185******16，及一个固话都是你我贷人员或者其委托的外包公司，1.我刚更换新单位，他们通过非法途径查询到公司，2.持续不断打公司座机号码及其他部门电话，影响公司工作运转，并且辱骂接电话的同事们，宣传欠款事情，对公司和个人造成极其恶劣影响，3.公司同事说要报警处理，他们人员满不在乎。</t>
  </si>
  <si>
    <t>2019/10/10 22:36:19</t>
  </si>
  <si>
    <t>在2019年10月8号被联动优势辽宁扣费13000，昝利本人身份证号：5****************2伍晓兰一张光大银行卡，伍晓兰本人身份证号：5****************8详情请看图片两张卡号因为被盗刷，所以都去银行补了新卡。</t>
  </si>
  <si>
    <t>2019/10/10 22:35:57</t>
  </si>
  <si>
    <t>我哥哥一直是闪银app借款老用户，还款信誉良好，但是于本月7号申请一笔借款，金额为2200元，到今天为止一直不到账，但是前期费用已生成账单，共分为两笔，每笔为125元，本人从使用闪银借款以来，从未超过3个小时就会放款，但是这次一直未放款，请闪银给出解释，并撤销前期费用账单，这种欺诈行为已经构成违法，。</t>
  </si>
  <si>
    <t>2019/10/10 22:33:05</t>
  </si>
  <si>
    <t>有限公司乱扣用户款项，，，欺诈行为，严重违法，这种情况只有投诉。</t>
  </si>
  <si>
    <t>2019/10/10 22:32:35</t>
  </si>
  <si>
    <t>马上消费金融阴阳合同欺诈借款人恶意提高利息，找平台客服解决问题客服不理会。</t>
  </si>
  <si>
    <t>2019/10/10 22:31:56</t>
  </si>
  <si>
    <t>无良拼多多商家莎羡女装旗舰店售假并虚假宣传，找拼多多平台投诉平台不管！该商品不是金丝绒，商家写金丝绒，收到货是长袖，图片却是七分袖！！找拼多多平台投诉快一个月，平台维护商家不予处理无良商家！！现在本人希望贵投诉平台帮助要求拼多多官方严格处理无良商家，下架商品。</t>
  </si>
  <si>
    <t>2019/10/10 22:31:50</t>
  </si>
  <si>
    <t>投诉人单先生投诉对象通联支付上海宏萨信息技术有限公司涉诉金额296元问题类型诉求类型投诉详情通联支付上海宏萨信息技术公司在2019.10.10号15:36分，在我不知道任何原因的情况下，无故扣款尾号8259工商银行卡296元，余额20.68元，是何原因导致该公司如此猖狂随便扣别人的款，导致我这张卡都不敢用，怕又被随便扣，这种严重侵害受害者的行为，我希望宏萨公司官方能给个说明。</t>
  </si>
  <si>
    <t>2019/10/10 22:31:05</t>
  </si>
  <si>
    <t>投诉人吕女士投诉对象钱站,华夏银行涉诉金额2000元问题类型诉求类型投诉详情高利贷，阴阳合同，华夏银行为其开通管存，逾期第一天80几的违约金。</t>
  </si>
  <si>
    <t>2019/10/10 22:30:24</t>
  </si>
  <si>
    <t>本人通过助理钱包APP里面的好运金借款，现助理钱包已经下架好运金只能通过还款找到好运金，好运金年化率已经严重超过国家标准，属于违法高利贷，应不受法律保护，本人借款本金2250元28天分4期，每期7天还款772.48元，现已还款2317.44元，本人认为已经还清本金及合理的利息，现要求好运金做出销账和结清证明。</t>
  </si>
  <si>
    <t>2019/10/10 22:30:10</t>
  </si>
  <si>
    <t>从17年10月份至今，微信支付一直是保护模式，客服也是重复的回答，我自己的钱无法提现和交易。</t>
  </si>
  <si>
    <t>2019/10/10 22:30:05</t>
  </si>
  <si>
    <t>三，地下车位转让合同注明交付使用日期为2018年，延期交付使用是否给予赔偿，四，若车位一直不予交付，是否可以申请退款并赔付损失。</t>
  </si>
  <si>
    <t>2019/10/10 22:30:02</t>
  </si>
  <si>
    <t>借3000，合同金额为本金3740，实际到账2000，另外钱站的催收人员录音和微信聊天记录我都有，如有媒体需要采访，我愿意提交这些证据资料。</t>
  </si>
  <si>
    <t>2019/10/10 22:29:57</t>
  </si>
  <si>
    <t>我在闪电借款借的4600元，是需要买九百多元的黑卡才能借款到账的，10月7号到了还款日因为暂时还不上，逾期费已经有599元，并且在这期间，催收电话在上班期间不停骚扰，严重影响了正常的工作和休息。</t>
  </si>
  <si>
    <t>2019/10/10 22:29:37</t>
  </si>
  <si>
    <t>2019.9.26日于APP上购买火车票五张，因购票方向选择错误，于火车站站台办理退票后，该app未退还12306扣除退票手续费应该退还的170元。</t>
  </si>
  <si>
    <t>2019/10/10 22:29:20</t>
  </si>
  <si>
    <t>给我的家人爸妈朋友同事单位打电话说我在360网贷平台欠款，还说已经法院起诉我了，这样给我的生活带来了很大的影响，，我的领导也找我谈话了，说我这样会影响单位的，让我先离职等处理完再来上班，这对我的影响太大了，我都没有办法好好的生活了，还有亲戚朋友都给我打电话问我怎么了欠钱，360网贷打电话让我联系你说法院起诉你了，让你马上还钱，所以我要起诉360网贷平台，赔偿我的损失的精神损失费误工费等。</t>
  </si>
  <si>
    <t>2019/10/10 22:29:09</t>
  </si>
  <si>
    <t>贝生活APP诱导借贷，贝贝APP我的下方有一个金融服务—然后点进去我下载了个贝生活APP，我以为是贝贝购物官方的借贷平台，结果这是通过爬虫技术整合的借贷平台，里面的不是贝贝的，而是马上金融，我下载登录安逸花，果然是马上金融股份公司的，这种就是欺诈消费者，马上金融平台提供放款渠道，真的是坑。</t>
  </si>
  <si>
    <t>2019/10/10 22:28:12</t>
  </si>
  <si>
    <t>前几天在网上买的电动车着急用，结果发货了一直就显示已接单，之后物流就没更新了，催了也没用，太慢了，着急着用。</t>
  </si>
  <si>
    <t>2019/10/10 22:27:44</t>
  </si>
  <si>
    <t>被卖手机的地方套路，我是移动用户应为每个月电话费有300多，说可以免费领取一个手机，就去了，然后说要下载一个网贷然后每个月从里面扣除几十元，会直接又变成话费，所以相信了，结果后来告诉可以贷款2万，分24期，利息低，当时就借了，结果借了以后才知道，借2万，需要还3万5千多，现在开始没有能力还了，所以想请聚投诉帮帮我，他们的利息已经超过国家规定利息了。</t>
  </si>
  <si>
    <t>2019/10/10 22:27:39</t>
  </si>
  <si>
    <t>且购买房屋时捆绑销售的车位时至今日仍未交付使用，而车位协议中写明车位交付日期为2018年12月1日。</t>
  </si>
  <si>
    <t>2019/10/10 22:27:11</t>
  </si>
  <si>
    <t>闪银平台恶意电话短信骚扰通讯录上的朋友对生活造成了很大影响。</t>
  </si>
  <si>
    <t>2019/10/10 22:25:39</t>
  </si>
  <si>
    <t>已经还清及贷公司欠款，这家公司喋喋不休一直说没收到账，希望政府部门能够帮助，电话打爆，还要上门来要钱，什么破平台。</t>
  </si>
  <si>
    <t>2019/10/10 22:25:10</t>
  </si>
  <si>
    <t>买家以买小了要求退货退款，地址发错了，退回来空包裹，物流官方上连个电话都没有，给拼多多每次的打电话询问回复都是说让耐心等待，我打电话问申通的客服，人家根本没有这个网点，这个货是怎么寄过去的，买家联系不上，明摆着就是一个空包，给拼多多每次的打电话询问，回复都是说让耐心等待，商家申诉，说3到5个工作日给回复，还没给商家回话，买家恶意退款，都是平台漏洞引起的，商家竟然连驳回退款的权利都没有。</t>
  </si>
  <si>
    <t>2019/10/10 22:24:50</t>
  </si>
  <si>
    <t>饿了么有意包庇商家恶意不发货虚假宣传，导致我在点餐当中非常不愉快！。</t>
  </si>
  <si>
    <t>2019/10/10 22:24:15</t>
  </si>
  <si>
    <t>宜人贷借款催收打电话恶意骚扰，明明已经协商好，结果没过多久就开始盗取我的通讯录，给我的家人朋友不停的打电话各种骚扰，几十遍的这么打，已经严重影响我家人朋友的生活。</t>
  </si>
  <si>
    <t>2019/10/10 22:24:10</t>
  </si>
  <si>
    <t>本来是没钱就去钱站平台借钱的，本来是借2660到账却是2000，我想问下660去哪了，借了2000分三期，一期就是还986.67一共x3期等于2960.01,远远超出银监局规定的24和36,借2000分三期就还2960哦，一共利息960,反正我现在也没钱，不调整，我就一直投诉，公平的本金利息我可以后面挣到钱还，但是这么高，我现在也没钱没能力还，希望钱站看到后处理，给我回电话，给我回电话,给我回解决方案的电话,不要再推脱。</t>
  </si>
  <si>
    <t>2019/10/10 22:23:20</t>
  </si>
  <si>
    <t>我和老公一起报了京华网校执业药师的课程，我们没有相关专业的学历，报考老师各种忽悠报名，说报考不上退费的，结果通知我们一会儿要去湖北考，一会儿又要去广西考，我们感觉太不靠谱了，就提出退款，培训学校的老师承诺7-21日退款，结果等了1个多月都杳无音信，几个老师跟我们打太极，就是迟迟不退款，一万多对于我们月薪不到3000的工薪阶层来说不是小数目，恳请有关部门的帮助，跪谢！。</t>
  </si>
  <si>
    <t>2019/10/10 22:23:00</t>
  </si>
  <si>
    <t>造艺平台在不经过借款人同意的情况下私自从银行卡里扣款。</t>
  </si>
  <si>
    <t>2019/10/10 22:21:51</t>
  </si>
  <si>
    <t>，中腾信还是暴力催收，骚扰我亲戚朋友，国家管管。</t>
  </si>
  <si>
    <t>2019/10/10 22:20:58</t>
  </si>
  <si>
    <t>培训机构开课前，学生因不可抗拒的理由向培训机构提出退学退费退款申请的，培训机构根据约定扣除手续费，再予以退还剩余的费用。</t>
  </si>
  <si>
    <t>2019/10/10 22:20:30</t>
  </si>
  <si>
    <t>投诉人孙女士投诉对象维信金科,卡卡贷涉诉金额9500元问题类型诉求类型投诉详情本人于2019年9月13号申请卡卡贷并审核通过，网上客服说1-7个工作日到账，打电话给客服又说15个工作日到账让我耐心等待，直到10月10号到第15个工作日依旧没收到款，在此期间我打了无数电话，回复就是加急催促，但没有任何结果！我申请的是信用卡代还，已经给我造成严重影响！希望相关给我一个明确道歉并放款！。</t>
  </si>
  <si>
    <t>2019/10/10 22:20:13</t>
  </si>
  <si>
    <t>投诉人杨先生投诉对象久富万卡涉诉金额2017元问题类型诉求类型投诉详情白天在上班没时间晚上下班吃好饭就可以手动还款一直还款失败联系客服电话打不通在线客服等待人数400多一直没等到我今天到期应该还2017.36我往卡里存了2100，明天逾期我希望尽快解决取消我的逾期费用撤销我的逾期征信问题。</t>
  </si>
  <si>
    <t>2019/10/10 22:20:11</t>
  </si>
  <si>
    <t>8500借了3个月利息有700多，年利率高达36%，而且不知为什么签了20个合同，本人并不知情。</t>
  </si>
  <si>
    <t>2019/10/10 22:20:10</t>
  </si>
  <si>
    <t>还没有经过本人同意就从银行卡扣钱了，还没有反应过来钱就不见了，这样太过份了！。</t>
  </si>
  <si>
    <t>2019/10/10 22:19:36</t>
  </si>
  <si>
    <t>投诉人 易女士        投诉对象  安亿花        涉诉金额  198 元    问题类型    诉求类型投诉详情  平台以推荐借款软件收取会员费 而且会员费申请退款也退不了</t>
  </si>
  <si>
    <t>2019/10/10 22:19:32</t>
  </si>
  <si>
    <t>本人用浦发银行信用卡已经很多年了，一直是按时还款，用卡很愉快，积分很多，前年我又在该银行贷款了万用金，解决了我当时的燃眉之急，一直用卡很好，按时还款，在今年4月份，我投资失败，导致还款压力，但一直在想办法，最近在打官司，现在目前确实没有偿还能力，我这个月刚去公交公司应聘，现在在开公交车，想有多少还多少，想等官司有结果了，就全部还上，但最近平凡收到银行催债电话，不敢不接，开车又不能接，接了就是恐吓，说要户口本，身份证，两张照片，要起诉我，整天带着这种心情工作，会出交通事故，我是离婚的，当时办卡的时候留的是前夫</t>
  </si>
  <si>
    <t>2019/10/10 22:19:08</t>
  </si>
  <si>
    <t>投诉人李坤投诉对象宏萨信息科技涉诉金额296元问题类型诉求类型投诉详情未经同意私自划款，无缘无故化我296块钱，要求退款，赔偿，道歉。</t>
  </si>
  <si>
    <t>2019/10/10 22:19:06</t>
  </si>
  <si>
    <t>投诉人 裴先生        投诉对象  海象理财        涉诉金额  9 965 元    问题类型    诉求类型投诉详情  海象理财一年多不返款，没有任何说明。现在无人管</t>
  </si>
  <si>
    <t>2019/10/10 22:18:59</t>
  </si>
  <si>
    <t>乱扣取新人费，没这清楚新人费没从还款里另算，这种强加行为属于欺诈，非法行为，希望重视这个问题，。</t>
  </si>
  <si>
    <t>2019/10/10 22:18:54</t>
  </si>
  <si>
    <t>本人在2019年一月在淘宝网购买一台魅途导航显示屏，当时有个部件看起来有过烙铁痕迹，问卖家是否修过，卖家没有正面回应，现在这个部件在九月出现问题，十月联系卖家，卖家承认质保返修，先后以:已与买家沟通和时间久了不支持为借口，拒绝承担二次拆装费用。</t>
  </si>
  <si>
    <t>2019/10/10 22:18:23</t>
  </si>
  <si>
    <t>本人2018年4月2号在给你花平台申请了恒易贷10000.合同写的是一万一千多.实际到帐10000！这明显的欺骗消费者，到帐金额以合同金额不符合！现我已还5个月支到10月2号因为生活中遇到困难导致逾期！现在爆我通讯录、威胁我家人、还在晚上骚扰！希望有关部门尽快解决。</t>
  </si>
  <si>
    <t>2019/10/10 22:17:06</t>
  </si>
  <si>
    <t>去年11月在豆豆借款27000元，打款时莫名扣除了1100元所谓的会员费，每月还款2753元，还款日扣款失败还会增加100多的费用，利息也明显高出国家利息，还有最后两个月的还款强烈要求退还会员费和高出的利息，一切按照国家标准的规定来。</t>
  </si>
  <si>
    <t>2019/10/10 22:16:58</t>
  </si>
  <si>
    <t>投诉人窦女士投诉对象众安保险涉诉金额700元问题类型诉求类型投诉详情众安保险在不知情的时候为我做出投保，本人不知情，要发票没有，已请律师。</t>
  </si>
  <si>
    <t>2019/10/10 22:16:56</t>
  </si>
  <si>
    <t>本人失业了，暂时确实没办法，之前一直准时还的，可是玖富万卡的工作人员说要爆通讯录！我问过公安经侦部门了，爆通讯录是违法的！只能报警处理！。</t>
  </si>
  <si>
    <t>2019/10/10 22:16:48</t>
  </si>
  <si>
    <t>乱扣费，没经过本人同意！299元！已经多上上当受骗！要求退款！，一看这个平台大多数都有这个问题，这个网贷存在欺诈行为。</t>
  </si>
  <si>
    <t>2019/10/10 22:16:31</t>
  </si>
  <si>
    <t>钱站上借款5000分六期，每期应还926.67，已还两期，当下没钱还进去导致逾期15天，本本金820.76.利息42.23，合同写着贷款综合年化成本28.7236%已超出法定利率标准，，按每月还款金额算年综合利率达到37.44%更是违法。</t>
  </si>
  <si>
    <t>2019/10/10 22:16:30</t>
  </si>
  <si>
    <t>买的小孩羽绒服，9天就降价百分之二十几，客服告诉我活动价不支持补差价，我就请问了，你们唯品会哪件商品不是活动价，我买的时候也是活动价，天猫都有15天的价格保护期，你们居然告诉我活动价不能补差价。</t>
  </si>
  <si>
    <t>2019/10/10 22:15:44</t>
  </si>
  <si>
    <t>投诉人 关先生        投诉对象  天津房地产集团有限公司        涉诉金额  60 000 元    问题类型    诉求类型投诉详情  开发商强制售卖底下车位，请求退款无果。。。。</t>
  </si>
  <si>
    <t>2019/10/10 22:15:21</t>
  </si>
  <si>
    <t>有限公司,中国工商银行杭州延中支行涉诉金额676000元问题类型诉求类型投诉详情监管机构金融局领导好，各位媒体朋友网友大家好，中国工商银行第三方易商新程公司易商金融的车贷，我于2019年07月29签订购车合同，首付款35800，按业务员说法，挂牌购置税等加起来一万，首付款25800，可是我从头至尾未见到合法合理，合规正式的金融合同，我从头至尾签订的都是几十张空白合同，无甲方的任何签字盖章，等车都提出来一周了，才发现这么深一个坑，打工商银行信用卡客服几次，客服一再确定，这个车贷的信用卡是两笔贷款，一笔5800</t>
  </si>
  <si>
    <t>2019/10/10 22:15:15</t>
  </si>
  <si>
    <t>本人于2018.11月间被达内科技以招聘的名义来到该公司，后来莫名其妙被搞成培训，他们的工作人员用我的身份证开金融消费贷款还绑定我本人的建行卡，到2019.3月学完都没推荐过工作，我本人依然没有找到工作，却要面对近2万元的债务，本人已无力承担，深感绝望。</t>
  </si>
  <si>
    <t>2019/10/10 22:14:43</t>
  </si>
  <si>
    <t>所有绑定银行卡，还款验证，均通过新浪支付完成，现要求一次结清全部借款；并减免相应的手续/服务费用，1、颜值卡9400元，分3期，每期还款3415.34元，名义年化36，实际年化66.46.2、颜值卡6000元，分6期，每期还款1180元，放款方账号为小象优品合作付款方上海宝付网络科技有限公司，每期每期手续费180元，合计1080元，放款方为深圳市赢众通金融信息服务有限责任公司，每期手续费90元，合计270元。</t>
  </si>
  <si>
    <t>2019/10/10 22:14:05</t>
  </si>
  <si>
    <t>经多次投诉众安，对方均不处理实际存在问题，并且心存侥幸！今日就《银保监开展银行保险机构侵害消费者权益乱象整治》通知一则再次进行投诉，并且多头举报头，本人再次声明，本人一生都没有任何意愿购买众安保险，并且在从8月至今投诉的6份保单，没有一份是本人知情同意购买的！众安保险不仅限制消费者自由选择权益，强制消费者在借款过程中购买保险，否则无法办理借款，将投保过程嵌入网络借贷流程，混淆消费者，经多次投诉从8月至今10月，推脱责任，态度恶劣消极，处理时效沉长！本人再次借聚投诉平台进行投诉，如再进行拖延，只有采取法律手段</t>
  </si>
  <si>
    <t>2019/10/10 22:13:48</t>
  </si>
  <si>
    <t>在马上消费金融旗下产品安逸花申请循环贷，总金额3550元，期间一直正常使用，连app都并未通知，对账号进行锁定，无法消费和提现，不同意，要求安逸花方恢复可使用额度，解锁账户！，这种事为什么其他的平台可以，你这个就不行，还口口声声说大平台。</t>
  </si>
  <si>
    <t>2019/10/10 22:13:46</t>
  </si>
  <si>
    <t>投诉人 余先生        投诉对象  爱钱进        涉诉金额  1 000 元    问题类型    诉求类型投诉详情  借了几天才到账 到账1000 合同写1330 分三期一共将近叫还1500 借不起 希望可以退他1000中止合同</t>
  </si>
  <si>
    <t>2019/10/10 22:12:51</t>
  </si>
  <si>
    <t>盗取我通讯录，违背315的主题，给好多我手机里的联系人打电话，并且还说派律师警察来抓我。</t>
  </si>
  <si>
    <t>2019/10/10 22:11:57</t>
  </si>
  <si>
    <t>造艺科技旗下平台恶意扣款，国庆节前投诉，答应给我退款，这已经10号了，还没收到钱，这不是欺骗吗。</t>
  </si>
  <si>
    <t>2019/10/10 22:11:56</t>
  </si>
  <si>
    <t>发送上门暴力催收信息给我亲朋好友，对本人父母家人带来极大恐慌，对本人朋友造成极大困扰，使本人无法正常生活，利息明显超过国家标准带有诱导信息，还不同意协商解决，平台收取2000元购物费用完全不存在，也给不了消费信息，各种套路，希望有关部门严格管控打击非法行为，本人愿意积极配合。</t>
  </si>
  <si>
    <t>2019/10/10 22:10:45</t>
  </si>
  <si>
    <t>前前后后因为没钱还款，还到今天才还了16期，每期还2135.6元，加上捷信金融在逾期的时候各种一元一元的扣款，扣了我240元，催收公司天天有人打电话给我，要起诉我，要告我，还要上门什么的，所以我的第一个想通过平台传达的就是，请停止这一切威胁恐吓骚扰的行为，之前的手机号不用，一直没法登录软件，今天更换了手机号登录了APP，上面提示还需要还43835元，我想请捷信公司的工作人员算一下，我还了34408，再还43835，我一共还78243，我如果这两天还了钱，就相当于19个月贷款8万，我要向你们公司支付利息282</t>
  </si>
  <si>
    <t>2019/10/10 22:10:10</t>
  </si>
  <si>
    <t>表哥在及贷平台借款了几千块钱，结果刚刚才看到学堂会员费，10.28晚上申请，29中午下款，但没有说到学堂会员费这一说，消费者根本不知道有会员费，就给扣了，借款时间一年，除了该有的利息以外，这个362.5元属于砍头息，这属于欺诈，希望有关部门严查，退回这个所谓的学堂会员费，给消费者一个公道，，，，这种费用之前不说明就是欺诈行为。</t>
  </si>
  <si>
    <t>2019/10/10 22:09:11</t>
  </si>
  <si>
    <t>投诉人罗先生投诉对象滴滴出行涉诉金额500元问题类型诉求类型投诉详情10月9日下午突然收到滴滴短信说我在9月28日诱导乘客线下交易并且app马上扣了我两天所有的血汗500元并且没有申诉界面，注意平时所有判罚都有申诉界面这次没有只是说有疑问找客服，因为上车点禁停路段乘客说好的就到然后两三分钟后不知道什么原因乘客取消了订单，然后我又继续听单过一会没有订单就收车了因为午饭都没吃&amp;nbsp;，一般我是我两点过后都会收车吃午饭当天鬼使神差跑到你三点多，到了10月9日下午4时平台发短信说我诱导乘客线下交易罚款500元&amp;</t>
  </si>
  <si>
    <t>2019/10/10 22:08:27</t>
  </si>
  <si>
    <t>小蓝卡涉嫌阴阳合同，我借21700到账金额也是21700，合同金额为37000，分36期还需要还45000多，希望能跟你们协商提前还款，给付年化利率不超过国家支持的24%的利息和本金，并给销账处理。</t>
  </si>
  <si>
    <t>2019/10/10 22:08:05</t>
  </si>
  <si>
    <t>闪银app恶意爆通讯录，电话短信骚扰恐吓通讯录上的联系人。</t>
  </si>
  <si>
    <t>2019/10/10 22:07:44</t>
  </si>
  <si>
    <t>客服让我转到对公账户！！！！然后我让客服把我的逾期金额等发给我，老人也没跟我说必须还清才给我重置密码让我登录！，就是不给我重置密码！4、我想知道聚投诉的作用是什么，里边我看了所有高利贷的投诉全部都是不了了之，这个平台到底是一个投诉平台还是一个用来吐槽的平台。</t>
  </si>
  <si>
    <t>2019/10/10 22:07:42</t>
  </si>
  <si>
    <t>收到一条期待金融的短信说我贷款逾期让我加微信处理。</t>
  </si>
  <si>
    <t>2019/10/10 22:07:34</t>
  </si>
  <si>
    <t>投诉人 王先生        投诉对象  天津房地产集团有限公司        涉诉金额  70 000 元    问题类型    诉求类型投诉详情  强制捆绑车位，且至今未移交车位。明显违约，希望政府机构还百姓公道。</t>
  </si>
  <si>
    <t>2019/10/10 22:07:12</t>
  </si>
  <si>
    <t>投诉人李女士投诉对象升学教育涉诉金额6580元问题类型诉求类型投诉详情我于今年2019年8月报名了升学教育，想着学习一下，提升学历，咨询的时候说有专人给安排课程什么的，听着觉得还可以，就报名了，可是，后来看的时候，没有任何人包括所谓的班主任来说，你应该怎么学，没有计划，没有材料，没有课程，所谓的课表真的是没用的，除了开学典礼我看了后，其他的都没有看过，后来，就不想学了，毕竟我刚进入工作，工资只有一点点，每月除了还花呗还要还学贷，有点伤不起了，想要退学，结果不是不能退，可是条件简直可怕！！我一开始还没想明白，</t>
  </si>
  <si>
    <t>2019/10/10 22:06:22</t>
  </si>
  <si>
    <t>钱伴年利率高达36%，属于高利贷，提前还款才减几十块，并且最多以我本人名义最多签了86个借款合同，本人不知情，要求减免利息提前还款以及对86个借款合同做出合理的解释。</t>
  </si>
  <si>
    <t>2019/10/10 22:05:46</t>
  </si>
  <si>
    <t>本人有一张兴业银行的信用卡，之前一直正常使用和还款，今年女儿生意失败后，家里的钱用来还债，致使信用卡逾期3个月，后我致电兴业银行客服，外包催收人员告诉我说需要按照月份还款，于是每个月我按照月份还款，到10月4号的时候，外包突然来电说我没有还钱需要全额还款，我说我一直在还，没有不还，外包言语激烈，不断威胁恐吓，致使本人突发脑梗送医，至今仍在医院接受治疗，后委托我女儿处理此事，外包人员就开始威胁我女儿必须全部还清，10月7日外包人员上门讨要，说必须还清，没有协商的可能，说我涉嫌信用卡犯法，要逮捕我，本人信用卡经</t>
  </si>
  <si>
    <t>2019/10/10 22:05:45</t>
  </si>
  <si>
    <t>直接下款，都不经过本人同意就下款，还找不到客服，通过现金速递下载金元宝，金元宝里下载的御剑飞行。</t>
  </si>
  <si>
    <t>2019/10/10 22:05:27</t>
  </si>
  <si>
    <t>2019年10月8日临晨儿2时31分，我银行账号被盗刷2987.00元。</t>
  </si>
  <si>
    <t>2019/10/10 22:05:18</t>
  </si>
  <si>
    <t>投诉人 刘女士        投诉对象  御剑飞行        涉诉金额  3 500 元    问题类型    诉求类型投诉详情  高额贷款 只是提交了资料 不用审核 直接就给我下款了 取消不了 借款3500 实际到账2100 五天后还款 利息高达1400 联系不到客服 没有客服电话 黑心网贷 要求停止</t>
  </si>
  <si>
    <t>2019/10/10 22:05:15</t>
  </si>
  <si>
    <t>造艺科技欺诈客户，私下改掉借款合同，触犯了国家规定，阴阳合同要求退还。</t>
  </si>
  <si>
    <t>2019/10/10 22:04:45</t>
  </si>
  <si>
    <t>捷信分期本金19000元，分期30期，本金已还完，利息太高，多还了一万八千元，算下来多还二万元，利息实在太高，打客服申请结清，客服态度恶劣，不给结清，本人已请律师，。</t>
  </si>
  <si>
    <t>2019/10/10 22:04:39</t>
  </si>
  <si>
    <t>京东物流显示派送中，等待了一下午，迟迟不派送，待我本人主动打电话询问告诉我派送不了了，为什么不跟我提前告知呢，商果之后改到了当天9点派送，又是久久不派送，京东物流现在服务差，随意更改派送时间，想送就送不想送就不送，这是一款3C产品，待我本人验收的，等了一天实在让人气愤，希望贵公司严肃处理本事件！不要让在你家办的会员的消费者享受的待遇还不如街边小店一样。</t>
  </si>
  <si>
    <t>2019/10/10 22:04:13</t>
  </si>
  <si>
    <t>车位延期交付，开发商和物业都不解决，希望赔付损失。</t>
  </si>
  <si>
    <t>2019/10/10 22:03:45</t>
  </si>
  <si>
    <t>借款2000元，有砍头息，实际到账1240，要求七天之后还款2008元，希望有关部门能够查处套路贷公司。</t>
  </si>
  <si>
    <t>2019/10/10 22:03:24</t>
  </si>
  <si>
    <t>而显示已经借了1000块，银行卡里面也没有这笔资金，还要我还款，，，这种情况之前就有人投诉，没想到还有这种问题。</t>
  </si>
  <si>
    <t>2019/10/10 22:02:33</t>
  </si>
  <si>
    <t>我在九月二十九日首付了明世教育的大专，首付了299元，接着报名那个老师给我推了一个叫小雨点的分期公众号，我一看这不是和网贷那些app一样的吗，心里产生了疑问那个老师一味和我解释说这是教育分期贷，国家扶持的，还给我发了一份她帮我填写的学员报名表和学员协议，她说这个是合同，签名也是她签的，她说过两天就会寄过来，可是后面我资料审核没过，她第二天又给我推了京东白条和一个其他的app，，说这个分期通过率很高，试了不行再帮我申请退费，我还是没弄好，刚开始的时候她说要填完这个分期才算报名成功，我看捣鼓了一天都还弄不了，，</t>
  </si>
  <si>
    <t>2019/10/10 22:02:13</t>
  </si>
  <si>
    <t>本人陈少钦，2018年我的儿子玩我的手机，不知道哪里点击的，下载到贪玩游戏旗下的游戏单机西游，现在叫梦幻战歌，不知道我儿子怎么点的去年一年总共充值了5263元，当时我也没发现手机里有这款游戏，儿子每天都在玩我的手机，我的苹果id是绑定银行卡支付宝的，本人平时也没有注意到银行卡的余额变动，也没有短信提醒，直到今年本人生病了去医院要刷卡，才发现去年一共被我儿子充值到这个公司5263元，由于本人现在生病了很严重，一下子没有了经济来源，急需用钱，我恳求游戏公司给我退款，恳求社会人士帮帮我，我儿子才7岁，搞不懂一个7</t>
  </si>
  <si>
    <t>2019/10/10 22:01:35</t>
  </si>
  <si>
    <t>投诉人 廖先生        投诉对象  带上钱        涉诉金额  6 400 元    问题类型    诉求类型投诉详情  以游戏豆为由 变相收取费用 所为的高利贷</t>
  </si>
  <si>
    <t>2019/10/10 22:01:21</t>
  </si>
  <si>
    <t>本人在查询信用卡账单时发现2019年7月10日、7月26日和7月28日在一个名为中国移动正智通讯的未知商户发生的一些异常消费共计九笔总金额共计人民币51500元，本人确认1.本人对于在该商户发生的交易行为并不清楚，3.本人并不知晓熟悉该商户的实际状况也从未通过任何形式授权该商户的扣款行为，发现交易账单异常后已向相关银行提交消费异议处理，但在未出结果前银行建议我先按照正常还款或者向涉事第三方支付平台投诉处理，我于10月9日向该商户的结算机构深圳市超盟金服技术信息服务有限公司的客服电话提交了投诉，但是对方拒不受</t>
  </si>
  <si>
    <t>2019/10/10 22:01:11</t>
  </si>
  <si>
    <t>我表姐在造艺科技豹子贷里申请贷款，点的立即借款结果扣了50，过了一天卡里有钱了就又扣了249，总共299，到现在四天还在审核，根本不能借款，在线客服排队总是断线重排，电话打不通，还充值了什么小银券，刚扣了50的时候，我就想取消订单，结果根本就没有这个入口，找在线客服就是排队，排到天荒地老，结果过一天在我不知情的情况下又扣了249，说是借款不成功可以退款，可是这审核都还没过，，这种很明显的欺诈行为，之前她投诉的没结果，。</t>
  </si>
  <si>
    <t>2019/10/10 22:00:54</t>
  </si>
  <si>
    <t>借3笔钱共12500块钱分12期还，利息高达4496，怎么不去抢呢，强烈要求重新调整利息。</t>
  </si>
  <si>
    <t>2019/10/10 22:00:16</t>
  </si>
  <si>
    <t>投诉人 崔女士        投诉对象  爱白条        涉诉金额  3 200 元    问题类型    诉求类型投诉详情  因家里父亲有脑血拴 现在身体仍在恢复期 打电话威胁恐吓 家里老人身体实在受不了 已经威胁到家人的精神跟身体健康</t>
  </si>
  <si>
    <t>2019/10/10 21:59:50</t>
  </si>
  <si>
    <t>本人从17年4月开始从闪银奇异上借款，总共还清76笔了，金额都有七八万了，另外，今年一月本人还在闪银奇异下属的百万钱包借款15000元，到账后就被闪银扣了2340元的砍头息，实际使用金额12360元，分12期每期还款1506.93元，还清的话总计18000多元，这远超36％的利息了，本人还了7期了，上月在聚投诉和北京互联网金融投诉平台上投诉百万钱包高利贷、砍头息，官方一直没有回复，现在本人投诉闪银和其下属百万钱包，退还76笔超出国家规定利息的金额，退还本人被收取的各种名义的砍头息。</t>
  </si>
  <si>
    <t>2019/10/10 21:59:47</t>
  </si>
  <si>
    <t>每月10日还款，没有逾期就开始打电话催，然后晚上8点就打电话到联系人那里。</t>
  </si>
  <si>
    <t>2019/10/10 21:59:41</t>
  </si>
  <si>
    <t>及货平台多次冒充国家人员电话，短信恐吓威胁，造成严重的影响。</t>
  </si>
  <si>
    <t>2019/10/10 21:58:58</t>
  </si>
  <si>
    <t>总共借了2笔我来贷，第一笔借14500要还19779，合同年利率显示8.5%，实际上高达36%，属于高利贷，第二笔借25000要还30138，合同利率11.17%，实际上20%，借款合同显示可以提前还款，但实际上没有提前还款的选项。</t>
  </si>
  <si>
    <t>2019/10/10 21:58:52</t>
  </si>
  <si>
    <t>事情经过：本人在2019年10月5日晚约优信二手车销售人员到家里看车，销售人员说咱们家车就一个优信服务费没有其他费用在就是车款，还有落户提档过户都有啦等，我觉得不错商议啦价格看中一辆车，随后我要购车合同还有贷款还有费用清单合同，他说我们优信是大平台没有什么问题，你先交费用才能看见合同，随后我缴纳8000他说说预售款，也没有给我收据，随后给我看啦一下合同，过户上牌600多等多项收费项目，这与销售容易所说不符合，，当日我说我不贷款了，我说我先考虑考虑全款，回头帮我研究价格，10月6号显示车辆下架，，我联系销售退</t>
  </si>
  <si>
    <t>2019/10/10 21:58:51</t>
  </si>
  <si>
    <t>投诉人 黄先生        投诉对象  拿下钱包        涉诉金额  1 000 元    问题类型    诉求类型投诉详情  本在北京想就拿信息科技有限公司(简称拿下钱包)共计借1000到账800，8次。7天要1015要求退款砍头息1000元</t>
  </si>
  <si>
    <t>2019/10/10 21:58:34</t>
  </si>
  <si>
    <t>投诉人颜先生投诉对象汇潮支付涉诉金额15300元问题类型诉求类型投诉详情汇潮支付公司为714高炮小贷公司提供支付渠道，经查是违反国家规定的小贷公司，汇潮支付公司是合作商户，也是扣款第三方公司，本人一共8笔、8笔为300-2000不等的7天砍头息、，本人要求汇潮支付公司严查商户放贷资质，并要求汇潮支付退还我8笔非法利息和砍头息，！。</t>
  </si>
  <si>
    <t>2019/10/10 21:58:28</t>
  </si>
  <si>
    <t>马上消费金融在本人还款5000多不到十天继续催收并且直接越过本人去联系借款人户籍地居委会，释义恶意毁坏借款人声誉。</t>
  </si>
  <si>
    <t>2019/10/10 21:58:15</t>
  </si>
  <si>
    <t>1月29日，在宜信普惠借款62823.93元,实际到账金额只有4万元,分36个月还，每月还2086.65元,现无力偿还.现在和宜信普惠协商还款还本金，他们不同意,不接受我的协商，每天都以找不到我为理由,来骚扰我的联系人和公司,在此想问一下国家对这种存在严重的砍头息信贷公司给予支持的空间吗。</t>
  </si>
  <si>
    <t>2019/10/10 21:58:13</t>
  </si>
  <si>
    <t>本人经营手机零售配件，乐刷在我不知情的情况下，以账号异常风控为理由，冻结2019年10月6号至2019年10月10号客户在本店消费支付于乐刷收款码货款17371元，客户支付扣款已经成功，但乐刷冻结货款一直不到账，望贵司给予商户处理方案，体恤商户营业需要资金周转之不便，快速处理。</t>
  </si>
  <si>
    <t>2019/10/10 21:56:46</t>
  </si>
  <si>
    <t>今日花呗平台在2019年10月8日凌晨未经本人同意，私自从本人私人账户分3批次扣款299元，这属于典型盗刷，非法占有罪，。</t>
  </si>
  <si>
    <t>2019/10/10 21:56:29</t>
  </si>
  <si>
    <t>我从安卓机器换到苹果手机，也是一样的微信号登陆，没有角色，你凭什么不让我玩，还限制我手机，不解决麻烦把我充的钱都退给我。</t>
  </si>
  <si>
    <t>2019/10/10 21:54:19</t>
  </si>
  <si>
    <t>投诉人 巩女士        投诉对象  小浦优客        涉诉金额  296 元    问题类型    诉求类型投诉详情  小浦优客无故扣款296 要求立刻返还。。。</t>
  </si>
  <si>
    <t>2019/10/10 21:53:49</t>
  </si>
  <si>
    <t>投诉人王先生投诉对象国银盛达,柠檬金服,河南省和平车行有限公司涉诉金额49791元问题类型诉求类型投诉详情被深圳市国银盛达融资担保公司代偿了根本没有和该公司有任何业务。</t>
  </si>
  <si>
    <t>投诉人谭先生投诉对象马上消费金融涉诉金额3000元问题类型诉求类型投诉详情马上金融申请时显示总共要还额度跟申请成功显示要还额度不一样，反映的问题几个月不解决，问题不解决，晚一天没还，电话几分钟一个！，客服像是摆设一样，来了问题不解决。</t>
  </si>
  <si>
    <t>2019/10/10 21:53:46</t>
  </si>
  <si>
    <t>投诉人 考先生        投诉对象  360借条        涉诉金额  20 500 元    问题类型    诉求类型投诉详情  360 恶意多次 骚扰通讯录联系人 已经快半年多了 。严重影响到了身边朋友及个人的正常生活</t>
  </si>
  <si>
    <t>2019/10/10 21:53:30</t>
  </si>
  <si>
    <t>10月17日还款，9天，依旧变相砍头息，重点9期利息高达1700多，现在真的没有人做主吗！后悔没删除APP，如此高利真的合法吗，它说它年利率是35.04%，那么多多出来的钱是什么，你到底服务了我什么，而且自动下款，天理不容，我一定会告到底！追究到底，如若没用，我将不惜一切代价。</t>
  </si>
  <si>
    <t>2019/10/10 21:53:03</t>
  </si>
  <si>
    <t>快闪在超过晚上九点以后群发信息骚扰联系人，引起不必要的恐慌！造成极其恶劣的影响。</t>
  </si>
  <si>
    <t>2019/10/10 21:52:33</t>
  </si>
  <si>
    <t>投诉人 周女士        投诉对象  拼多多        涉诉金额  100 元    问题类型    诉求类型投诉详情  10月10日参加拼多多天天领现金，转发了几十个好友，可以提现100块钱，但是拼多多给我发了一天有效期的100块钱优惠券。客服告知账户异常，但是我在转发给好友的时候并没有系统提示，在成功之后却出现这样的事，客服说三个工作日处理，优惠券一天过期，客服也不处理，不答复。这是暗箱操作，不透明，欺骗客户！</t>
  </si>
  <si>
    <t>2019/10/10 21:51:53</t>
  </si>
  <si>
    <t>钱站的老友计划今天借款11032元后未打款到当时提供的银行卡，而且不告知本人直接把款项从APP上直接分几笔全部扣完，同时完全不告知扣的是什么费用，只有一个账单，我之前钱站的借款有一笔总数还余6080.28元的借款还未换还，就算是扣掉这笔借款，也还应该剩下。</t>
  </si>
  <si>
    <t>2019/10/10 21:51:09</t>
  </si>
  <si>
    <t>本人在2019年9月11日在新意花app中的小木钱包借款4000元，实际当时到账2800元，32天共需还款4000多元，现在已经还了三期3070元，实在无力承担，最后一期协商处理。</t>
  </si>
  <si>
    <t>2019/10/10 21:50:25</t>
  </si>
  <si>
    <t>我堂哥于2019.9月1号申请的及贷app贷款19236元，作为资金周转，总还款金额达23723.52元，分期12月，现资金充足想提前结清贷款以免多付利息，于客服人员电话沟通无果，答复说app没有这一选项不予处理，没有谁的钱是大风，这样属于强制行为，涉嫌违法，。</t>
  </si>
  <si>
    <t>2019/10/10 21:50:05</t>
  </si>
  <si>
    <t>在黔江武陵山机场宣传，着急赶飞机，宣传人穿工作制服，以为在机场不会受骗，销售员说充1880得一张会员卡，并送1000元，钱可以买机票，但是事实只能抵扣50选燃油钱，有效期为一年，一年得坐多少飞机才能赚回来，是不可能的。</t>
  </si>
  <si>
    <t>2019/10/10 21:48:25</t>
  </si>
  <si>
    <t>今天通过微信公众号百万大鹅申请到百万钱包-小百信用贷15000元，其中分12期偿还，放款方为湖北消费金融借款需要缴纳2340元担保费用，对于担保费，根据国家法律法规中规定，按照风险最高的比例收取，年费率为本金的3.42%，而且这已经是最高的标准，但现在此次贷款中明确的担保费却超出国家规定4.6倍，请平台给我一个明确的依据，为什么收取超出国家规定这么多的担保费，如果给不了明确说明我只能认为此项收费为变相砍头息，那只能通过银监会解决此事。</t>
  </si>
  <si>
    <t>2019/10/10 21:48:19</t>
  </si>
  <si>
    <t>希望聚投诉可以协助我们，给我们一个合理解释，谢谢可。</t>
  </si>
  <si>
    <t>2019/10/10 21:46:36</t>
  </si>
  <si>
    <t>平台派单系统不公平，一天在线10多个小时才3.单，这样完全吃不上饭啊。</t>
  </si>
  <si>
    <t>2019/10/10 21:45:47</t>
  </si>
  <si>
    <t>投诉人 毛女士        投诉对象  幸福叮咚        涉诉金额  1 500 元    问题类型    诉求类型投诉详情  如附件图片所示的具体说明，还有截图证明。</t>
  </si>
  <si>
    <t>2019/10/10 21:45:45</t>
  </si>
  <si>
    <t>，其中强制购买保险，不买就不实施借款变相收取999点砍头息，同时还需每月缴纳112元的担保费，本人请求返还担保费以及保险费用。</t>
  </si>
  <si>
    <t>2019/10/10 21:45:40</t>
  </si>
  <si>
    <t>5月份的时候被一直打骚扰电话洗脑，说这边是学习效果会很好，最近也在搞活动，分期付款的话是百度有钱花利息不高，后来交了一千块的首付剩下的钱却是用一个听都没听过的融分期进行贷款分期，后面回去才发现利息高达将近五千而且每期除了利息还有上百的服务费，现在强烈要求退款，我到十月了是一节课都没上，前面联系过我几次，后面管都不管我。</t>
  </si>
  <si>
    <t>2019/10/10 21:45:08</t>
  </si>
  <si>
    <t>前几天在滴滴出行一辆车，车辆到达后我门说明中途有人下车，而司机说我叫的是拼车不提供这个服务，因为不常打车也不知道这项所谓的拼车概念，只能选择取消订单，司机当时就不高兴，甩脸子给我，然后轰的一声把车开出去三四米，我老婆是一名待产孕妇，吓了一跳，这还不算完，他竟然停在那辱骂我，譬如草泥马这类的语言，骂完开车扬长而去，一会我竟收到了扣款短信，我就联系滴滴要求他们让司机给我道歉，并且退还车费，而滴滴的不作为让我更生气，客服说当晚十点会有专人联系我，到目前为止还没有联系，退款也无进展，这就是问题的经过，这个问题里钱不</t>
  </si>
  <si>
    <t>2019/10/10 21:43:57</t>
  </si>
  <si>
    <t>一个叫捷豹金融工号为0083的人跟我打电话说贷款要查看银行流水才能放贷，说他会有验证码发送要我接受，我接受到没一会我银行卡里的钱就被划走了，我收到雅酷时空快捷支付划去我银行卡里的钱，接着酷宝支付也划走我银行卡1000，一共划走我银行卡里3000，后面说要银行卡里有3000才能放贷以及还回之前划去的3000，我就说我不贷了需把我划去的钱返回，他说要银行卡里有3000才能返回被他划去的钱，让我在银行卡里存3000，后面我就问酷宝支付属于哪个的，他说是属于他们公司旗下的，到下午4点多打他电话就已经设置拒接了，我已</t>
  </si>
  <si>
    <t>2019/10/10 21:43:26</t>
  </si>
  <si>
    <t>投诉人 李先生        投诉对象  带上钱        涉诉金额  5 670 元    问题类型    诉求类型投诉详情  要求退还额外多余的游戏币之类的金额（利息）</t>
  </si>
  <si>
    <t>2019/10/10 21:43:23</t>
  </si>
  <si>
    <t>晚上9点还在拨打我的通讯录，不明白你们后台是有多硬，若是正规合法的平台为什么不承认偷取用户通讯录，我不是故意赖账，去法院起诉，该还的我一定还，不该还的我一分也不会给。</t>
  </si>
  <si>
    <t>2019/10/10 21:42:54</t>
  </si>
  <si>
    <t>7月26日，在恒易贷借款21806.4元，最后发现合同上显示是26400，想问这些多出来的是什么，我也没到账，当时分了36期，第一期还款金额是926.56元，第二期还款1196.67元，剩余34期每期是1196.67元，合计三年下来还款金额是42810.01元，除去本金21806.4元，多还21003.61元，10月1日沟通提前还款，当时除了我还第一期跟第二期的2123.23元外，还让我还款将近26000元，10月11日本来说一次还清扣款，我在10月10日晚点开app时发现还款金额又显示的是每月还款金额非一</t>
  </si>
  <si>
    <t>2019/10/10 21:42:52</t>
  </si>
  <si>
    <t>我借款可以承担利息，但是保险费和服务费为什么需要我自己承担，这是不合理的，而且保险费和服务费高于利息，是不是可以认为在变相的收取费用。</t>
  </si>
  <si>
    <t>2019/10/10 21:42:50</t>
  </si>
  <si>
    <t>上海造艺有限公司利用聚福钱包这个软件划走我银行卡中200元，但是他的软件让我们上传他们推荐出来的5家借款平台借款失败信息才能退款，而且推荐出来的其中一家借款平台还让我们继续支付评估费用。</t>
  </si>
  <si>
    <t>2019/10/10 21:42:26</t>
  </si>
  <si>
    <t>投诉人陈威投诉对象民航通涉诉金额998元问题类型诉求类型投诉详情在，厦门高崎机场办理，已经2年了，因为之前工作繁忙，一直忘了弄，后来用了几次，优惠后的金额比网上购买还要高，之前办理的时候说可以免30-300，然而国内怎么飞都是免最低的30元，优惠后还是超出市价。</t>
  </si>
  <si>
    <t>2019/10/10 21:41:13</t>
  </si>
  <si>
    <t>不知道怎么就扣款了，后来查了通联支付，才知道是小浦优客扣了。</t>
  </si>
  <si>
    <t>2019/10/10 21:40:08</t>
  </si>
  <si>
    <t>9月11日在钱站借款1330元，实际到账1000元，存在砍头息300，阴阳合同，本期账单逾期1个小时，不是故意逾期的，因为有事耽搁了一个小时就把账单还了，逾期利息也支付了，可是出现了一个高额的违约金100元，找客服协商请求减免违约金，客服说帮我反馈，反馈之后没有工作人员联系我，说是要1―3个工作日，可是催收一直没有停，该还的本金利息都还了，100元的违约金不能接受，希望工作人员能尽快处理我的请求。</t>
  </si>
  <si>
    <t>2019/10/10 21:39:56</t>
  </si>
  <si>
    <t>借款是应急周转！这几个月生意不好资金周转不过来找了贷上钱借了几次，到今天又是还款日利息不合法套路贷，500一笔酒店权益包，游戏币等等，根本就是利息！2000一个月期限利息560，但是这个利息是不是该退还给我了！这么高的利息。</t>
  </si>
  <si>
    <t>2019/10/10 21:39:46</t>
  </si>
  <si>
    <t>九月二十二号七点左右吃饭时在饭店用支付宝扫码租用了一个充电宝，八点左右离开饭店并到柜台归还了充电宝，支付宝并没有显示有未完成订单，结果今天十月十日晚上七点左右收到支付宝通知被扣费99元。</t>
  </si>
  <si>
    <t>2019/10/10 21:39:07</t>
  </si>
  <si>
    <t>在澳门皇冠网站，输了很多，后来发现了他们的猫腻，里面赌博的玩法应有尽有，现在很后悔，由于其服务器很可能在境外，赌博的时候不是实时监控的，有延迟，而且开牌的时候突然黑屏或者闪屏，我手机上有很多通过微信，支付宝，银行卡支付的记录。</t>
  </si>
  <si>
    <t>2019/10/10 21:38:21</t>
  </si>
  <si>
    <t>老是被骚扰，希望尽快处理！我相信百世快递对于哪个快递员在使用我的电话很容易查出来！。</t>
  </si>
  <si>
    <t>2019/10/10 21:38:14</t>
  </si>
  <si>
    <t>从早到晚一天打几十个电话骚扰我，上接电话影响我工作了。</t>
  </si>
  <si>
    <t>2019/10/10 21:37:51</t>
  </si>
  <si>
    <t>在车保网10月1曰购买l瓶原装日产防冻液，已经过了十天未见商家发货。</t>
  </si>
  <si>
    <t>2019/10/10 21:36:53</t>
  </si>
  <si>
    <t>我在10月10号下载宙斯钱包，提交资料有3000额度，点击借款后到账金额只有1800，砍头息高达1200元，还款期限只有5天，纯属高利贷行为，现要求按到账本金结清账单。</t>
  </si>
  <si>
    <t>2019/10/10 21:36:45</t>
  </si>
  <si>
    <t>维信卡卡贷，砍头息，乱收费，违规操作，远远高于合法利息。</t>
  </si>
  <si>
    <t>2019/10/10 21:36:41</t>
  </si>
  <si>
    <t>投诉人孙先生投诉对象马上消费金融涉诉金额1000元问题类型诉求类型投诉详情逾期罚息超出国家合法利息，不到1000块的本金10天利息就两百，20天利息400块，就是利滚利，高利贷，对这个罚息收费坚决不接受，不合法的利息坚决不交，国家规定的合法范围之内的利息我一定都会交，还有每天几十个催款电话不断轰炸，希望聚投诉重点查处，杜绝这种平台，严厉打击，。</t>
  </si>
  <si>
    <t>2019/10/10 21:36:10</t>
  </si>
  <si>
    <t>通过去哪借款app申请的，已经成功还款2期，现在找不到入口还款了，苹果手机。</t>
  </si>
  <si>
    <t>2019/10/10 21:36:09</t>
  </si>
  <si>
    <t>投诉人叶强先生投诉对象张家界宝中旅行社有限责任公司涉诉金额1500元问题类型诉求类型投诉详情1.该旅行社在进入张家界国际森林公园存在强行消费，我们组团交了团费，进入景区，导游有让我们每个人交690的服务费，说包含电梯费，索道费，晚上演出费用，不管需不需要都要交这个钱，晚上演出基本没有人看，钱是不退的，旅客没有选则，如果不交就进不去景区，2.该旅行社由于导游人员不足，在进入天门山景区那天怀疑找到的当地人充当导游，滥竽充数，而且找到新导游在登山前让买个人交90或者180的服务费，说是登山电梯费及玻璃栈道的鞋套费</t>
  </si>
  <si>
    <t>2019/10/10 21:35:54</t>
  </si>
  <si>
    <t>，在2019/9/17，17:34分，本人付费2880元，付费之前我问对方合同是寄过来我手签吗，对方肯定回答说是，付费之后只发给我一份电子合同，问题答非所问服务态度不理不睬，故意以各种理由搪塞跳过，不回答解决问题，不断的推迟，合同条款说明模糊，导致无法准确判断对方是否做出相关服务，合同条款无法得到有效执行，运营方式与付费前的约定方式不匹配，存在误导，欺骗消费者行为，要求全额退款2880元，1.付费后我问对方什么时候推广，对方说马上推广！几分钟内访客暴涨，是虚假流量，流量来源唯一，没有丝毫价值意义2.合同条约</t>
  </si>
  <si>
    <t>2019/10/10 21:35:53</t>
  </si>
  <si>
    <t>我的支付宝无缘无故被限制了收款，头一天短信收到，说恢复正常了，第二天就不能收款了！我是特别店主，10年的淘宝店铺！买家下单一直没有办法付款！之前都是正常的，无缘无故被限制！请支付宝告诉我，我的支付宝连交易记录都是没有！哪里来的违规！。</t>
  </si>
  <si>
    <t>2019/10/10 21:35:52</t>
  </si>
  <si>
    <t>在国家规定下马上金融还在学校放网货给在大学生，这种风气应该严厉打击。</t>
  </si>
  <si>
    <t>2019/10/10 21:35:16</t>
  </si>
  <si>
    <t>我表姐在及贷借款两次，第一次15000元，利率高出国家年利率36%，拒不退还多出的违法高利，第二次15000元，在不知情情况下非法从银行卡扣除所谓担保费用2200元，且拒不退还！她现在要求这2200元你们既然说合法，那么一个多月前跟你电话沟通时已经要求你们提供工商认可的增值税发票，好拿着发票去工商等职能部门举报，，费用也不退还，居然发票也拒不提供！！，用了这么久的老平台，现在真的让她心寒，别人都是老客户越优惠，这种情况真的是恶劣，。</t>
  </si>
  <si>
    <t>2019/10/10 21:35:12</t>
  </si>
  <si>
    <t>本人于2018年1月30日申请20000元借款共36期共需偿还33169元，一直未有逾期，2019年10月10日为第20期还款日，并未逾期，因工作要求不允许携带手机，未接到电话，催收私自发送短信至我的朋友家人，造成恶劣影响，催收人员恐吓侮辱本人，请做出解释，本人拥有证据包括电话录音及短信证明，将中止还款，并会进一步起诉，以维护自己的合法权益！。</t>
  </si>
  <si>
    <t>2019/10/10 21:34:38</t>
  </si>
  <si>
    <t>捷信消费金融有限公司,深圳捷信信驰咨询有限公司，于今天下午6点左右拔打4000273004进行质问要求捷信公司对拒绝与当事人授权委托的代理人进行有效沟通的行为提岀理由，遭遇到蒋姓女客服（工号73179）撒泼式的流氓服务，本人接受连女士的授权委托，涉诉单号点击链接欺诈消费，聚投诉-21CNhttps://ts.21cn.com/tousu/show/id/1304618?from=singlemessage，连女士也多次通过电话与及聚投诉网站向捷信公司阐述了本人的代理权限，由于捷信公司拒绝与代理人进行有效沟通</t>
  </si>
  <si>
    <t>2019/10/10 21:32:10</t>
  </si>
  <si>
    <t>投诉人游先生投诉对象兴业银行信用卡涉诉金额13000元问题类型诉求类型投诉详情我兴业银行有欠款但是我也有还款，兴业银行外包第三方催债公司不仅骚扰我，还将我家人的所有联系方式都查到了，家人一点隐私都没有，如果这样已经构成了侵犯家人隐私的权利，他们的电话号码换了也是他们的自由，你们如果非法查我家人任何信息那我也会捍卫我的权利。</t>
  </si>
  <si>
    <t>2019/10/10 21:32:04</t>
  </si>
  <si>
    <t>2019年10月10号19：16从360借款上面借网贷4000元2019年10月10号21：08还款进去利息显示647.88元两个小时时间不到4000元产生647的利息，这属于比高利贷还要高的利息了。</t>
  </si>
  <si>
    <t>2019/10/10 21:30:43</t>
  </si>
  <si>
    <t>因为资金问题逾期了，马上和客服沟通协商不出逾期费，客服语言恶劣，破口骂人。</t>
  </si>
  <si>
    <t>2019/10/10 21:30:38</t>
  </si>
  <si>
    <t>中间有些事情导致号码欠费停机没有使用，这几天发现成空号了，本人不在老家，这个号用了有7年了，回一次家也确实不方便，希望有折中的办法。</t>
  </si>
  <si>
    <t>2019/10/10 21:30:01</t>
  </si>
  <si>
    <t>绿森数码不按承诺日期发货，多次沟通提醒其早日发货，对方置之不理，纯属故意推迟发货，客服联系不上，并且不提供任何服务，不会进行任何的处理，现已超过承诺最晚发货时间，对方依旧不发，无良商家，没有任何信誉。</t>
  </si>
  <si>
    <t>2019/10/10 21:29:42</t>
  </si>
  <si>
    <t>我儿子不小心点看他爸的花椒直播看了一下，里面突然蹦出来一个什么1598礼包，儿子没都想就点了一下，要输入指纹锁，儿子也没多想，就输入了一下，结果等一分钟微信上面就收到1598扣款成功的消息，儿子接着看不知道怎么又把花椒币送出去了，现在要求他们退款，花椒直播只承认退1200元，说是剩下钱扣手续费了，我需要公道，要全款退还。</t>
  </si>
  <si>
    <t>2019/10/10 21:29:41</t>
  </si>
  <si>
    <t>投诉人 张先生        投诉对象  拼多多        涉诉金额  200 元    问题类型    诉求类型投诉详情  拼多多虚假宣传，微信很多朋友发领红包的转发，显示可以领200元微信红包，然后让很多朋友帮忙领取以后，发现根本没有红包，只是诱导消费者消费的优惠券而已，很多朋友都受到了欺骗，要求尽快妥善处理给予回复，虚假宣传诱导消费者消费，要求道歉以及赔偿！</t>
  </si>
  <si>
    <t>2019/10/10 21:29:36</t>
  </si>
  <si>
    <t>骚扰威胁还说要网络仲裁我，借了4000块30天要还7000多，还出了个购物900这是啥东西，简直就是高利贷，阴阳合同，希望有关部门严厉打击。</t>
  </si>
  <si>
    <t>2019/10/10 21:28:49</t>
  </si>
  <si>
    <t>叫车，由于滴滴平台的系统问题，定位不准，最后司机很长时间才找到，并且最后按个人支付，向客服反应，客服全程表示是我个人原因造成的，推卸责任，后承认是平台问题，要求解决，滴滴不给解决让我自己找单位协商，你平台的问题凭什么让我自己找单位协商去，这种问题就属于除了事就到处推脱责任，不负责任行为，。</t>
  </si>
  <si>
    <t>2019/10/10 21:27:13</t>
  </si>
  <si>
    <t>突然收到百度服务扣款的短信，致电银行询问情况说是还呗扣的钱，我就奇怪没用过还呗怎么会扣钱。</t>
  </si>
  <si>
    <t>投诉人 王先生        投诉对象  K e p p        涉诉金额  19 元    问题类型    诉求类型投诉详情  非本人同意自动扣款，软件已经卸载一个多月</t>
  </si>
  <si>
    <t>2019/10/10 21:26:41</t>
  </si>
  <si>
    <t>我在斐讯官网参加0购买了一个0元购活动花了1999元购买了一台扫地机器人，按照斐讯说的这1999会在一年之内返现给我，可是就这返了两次之后就再也没有给我返过。</t>
  </si>
  <si>
    <t>2019/10/10 21:26:01</t>
  </si>
  <si>
    <t>绑定了两张储蓄卡，要解绑一张，无法解除绑定非默认的储蓄卡。</t>
  </si>
  <si>
    <t>2019/10/10 21:25:36</t>
  </si>
  <si>
    <t>第三方催收不管什么规定时间不还就对我家人进行骚扰。</t>
  </si>
  <si>
    <t>2019/10/10 21:24:56</t>
  </si>
  <si>
    <t>展鸿科技,铜花花,借老弟,金牛牛,汇潮支付，我在金牛牛借款2500元提前扣除749元到账1751元，铜花花借款2000元扣除700元到账1300元借老弟借款2000元扣除700元到账1300元，他们每次都是在还款日的上午就开始催收，他们催收不要紧可是我在上班不能总拿着手机吧，我也要干活呀，只要他们打电话我没接到就开始用爆通讯录的手段来威胁我，9月的一天我在开会手机放在工作的地方了没有接到电话，他们就给我爱人打电话我爱人因为上班不想跟他们多说什么就说我们已经分开了，不联系了结果催收张嘴就骂，电话录音我一直保存</t>
  </si>
  <si>
    <t>2019/10/10 21:24:33</t>
  </si>
  <si>
    <t>之前下载了小浦优品，今天被宏萨信息科技有限公司，恶意扣费296元，在我不知情的情况下扣费，这侵犯了我的个人隐私，并没事先通知，希望宏萨信息科技有限公司，注册手机号可能是173******83也有可能是156******73。</t>
  </si>
  <si>
    <t>2019/10/10 21:23:44</t>
  </si>
  <si>
    <t>本人于2017年开始使用安逸花，9000多额度，前两个月突然给冻结了，还了好几期了一直提不出来，很多资金就挪不出来了，用了两年多从来没有逾期过一次，昨天第一次今天打电话过来说明天处理，本以为今天能够发工资，可是工资日给调到了20号，希望可以协商20号发工资一定给还上，也算是安逸花的老客户了，从来没有违约过，这次是真的资金困难，最近家里女朋友怀孕了，家里父母身体也不好，希望不要骚扰家人，本人承诺20号发一工资马上还，希望不要暴力催收，骚扰家里人通讯录的朋友，最近真的太难了，希望安逸花平台能够考虑一下放我一马。</t>
  </si>
  <si>
    <t>2019/10/10 21:23:23</t>
  </si>
  <si>
    <t>本人之前在世纪佳缘网站注册会员交费后陆陆续续接到世纪佳缘红娘的推销电话，之后约见去了广州维多利广场A座16楼的门店，安排接见的红娘是谢老师，引导交流什么的红娘工作变成了我不主动提问所以没有去打听关心这个进度…基于这样的服务，一开始谢老师说的那些会员期间并未提及安排相亲见面，会员见面后也没有提供相应的服务，期间各种聊，也说了个人基本情况，然后开始给照片看说是他们的男会员，各个条件都很好，很优质，而且都是符合我的择偶要求，奔着结婚来的这里，你挑挑看喜欢哪个，我给你介绍一下会员的情况…如果喜欢的，后续老师会教你怎</t>
  </si>
  <si>
    <t>2019/10/10 21:21:36</t>
  </si>
  <si>
    <t>投诉人魏先生投诉对象马上消费金融涉诉金额3000元问题类型诉求类型投诉详情朋友在马上金融借了3000块钱，平台为了几千块就不择手段，不断骚扰家人朋友，居委会，各种打电话，跟他们说了一定会处理，还是照样去骚扰，毁坏名誉，恶劣至极。</t>
  </si>
  <si>
    <t>2019/10/10 21:21:25</t>
  </si>
  <si>
    <t>又事晚到了点让司机等了几分钟，司机说话态度就不太友好。</t>
  </si>
  <si>
    <t>2019/10/10 21:20:38</t>
  </si>
  <si>
    <t>2018年4月份吧本人在平安普恵上借款12500元，每期扣款1千多，显示还要还3千7百多，感觉像个无底洞怎么还也还不完了，打电话问客服，问他我总共还了多少钱，他说不知道，现在的平安普惠APP都看不到你还了多少期多少钱，扣款时分批扣各种保险费，希望平台给予解决，这样的黑心高利贷公司不倒，天理何在！。</t>
  </si>
  <si>
    <t>2019/10/10 21:20:19</t>
  </si>
  <si>
    <t>去年申请过两笔快贷都正常使用，今年到期后都已还款，额度为0，差点造成资金链断裂，为了好自己的信用，搞的近期资金异常紧张！！这两天出现了额度61100，但是无法贷出，恳请建行帮帮忙，恢复可贷金额，一年！一年就行！一定按时还款，缓解资金压力！万分感激！！。</t>
  </si>
  <si>
    <t>2019/10/10 21:20:15</t>
  </si>
  <si>
    <t>本人于2018年12月在玖富万卡借款4100元，分12期还清，每期463元，合计需还款5600左右目前已还9期合计4200多元，还需还款1400元。</t>
  </si>
  <si>
    <t>2019/10/10 21:19:58</t>
  </si>
  <si>
    <t>今天10号属于正常还款日，今天内还款都不算逾期吧，而中腾信催收人员从早上就开始微信催收，然后中午电话催收加威胁，并声称上门催讨，下午又短信威胁，本人并无不还款的意愿，现已于今日内还款，却招到如此恶意催收，本人身心已受到极度恐慌，已严重影响工作及家庭，希望聚投诉方面能妥善处理，严查中腾信暴力催收！。</t>
  </si>
  <si>
    <t>2019/10/10 21:19:42</t>
  </si>
  <si>
    <t>从来没有开通过京东帐号的情况下突然收到京东支付扣费的短信，现在是可以胡乱扣钱的社会吗。</t>
  </si>
  <si>
    <t>2019/10/10 21:19:35</t>
  </si>
  <si>
    <t>本人在淘集集申请开店通过，由于货源问题，无法继续经营，真怀疑淘集集到底是什么样的公司，在这里希望可以得到据投诉的帮助。</t>
  </si>
  <si>
    <t>2019/10/10 21:17:58</t>
  </si>
  <si>
    <t>朋友在及贷贷款9000元，其中强制销售捆绑保险1500元，年利率高达146%，远超国家规定年利率36%的红线，催收人员威胁不按照他们要求还款就要把我的信息交给第三方催收，骚扰亲戚朋友的正常生活，他现在堵得了忧郁症，你们真的是害死人。</t>
  </si>
  <si>
    <t>2019/10/10 21:17:50</t>
  </si>
  <si>
    <t>好易贷国庆节期间依然发放高利贷，借款2100，6天后归还3000，短短6天利息高达900元，远超国家规定利率，现本人经济困难，还不上如此高额利息，希望平台给予反馈予以协商。</t>
  </si>
  <si>
    <t>2019/10/10 21:17:47</t>
  </si>
  <si>
    <t>都不知道怎么回事，显示扣了我299评估费，因为就银行卡余额不足所以扣了100元。</t>
  </si>
  <si>
    <t>2019/10/10 21:17:34</t>
  </si>
  <si>
    <t>开始说可以送个盛POS机给我用，说不用押金，激活费298元，只要一年内刷满十万那298会自动返还到银行卡，等我刷满了十万，那298没有返还到银行卡，业务员联系不上，微信也被他拉黑了，现要求全额返还激活费298元。</t>
  </si>
  <si>
    <t>2019/10/10 21:16:21</t>
  </si>
  <si>
    <t>啥也没违规，就是在一个认识十多年的老朋友群里，互相骂骂架，也没有违规就给我封了8天。</t>
  </si>
  <si>
    <t>2019/10/10 21:16:15</t>
  </si>
  <si>
    <t>投诉人凌先生投诉对象YOHOBUY有货涉诉金额31元问题类型诉求类型投诉详情系统给我取消订单把我的钱赔给商家说我恶意砍价我辛辛苦苦砍的。</t>
  </si>
  <si>
    <t>2019/10/10 21:16:08</t>
  </si>
  <si>
    <t>在捷信上的商品贷，在2019年10月份已经结清，以后没有借款需求，希望把捷信金融app账户彻底注销，清除我的记录和解绑银行卡，在捷信金融app上没有找到注销操作按钮，打客服电话客服说无法注销账户。</t>
  </si>
  <si>
    <t>2019/10/10 21:16:00</t>
  </si>
  <si>
    <t>本人因为家里奶奶病重！母亲也生病，没法工作！所以失去经济来源！马上消费金融利息还过高还不起！催收不停催还冒充律师威胁！希望减免还本金！。</t>
  </si>
  <si>
    <t>2019/10/10 21:15:56</t>
  </si>
  <si>
    <t>2、催收威胁，给还款人以及朋友造成一定影响，还在电话里说如果不还款，继续给你的朋友打电话！，10月10日催收人和平台一共给还款人打了三个电话，间隔时间分别是一分钟和三分钟，在还款人没接到的情况下，催款人竟然给我的朋友，下午给我打通电话了，还在电话里说“如果不还款，继续给你的朋友打电话！”。</t>
  </si>
  <si>
    <t>2019/10/10 21:15:37</t>
  </si>
  <si>
    <t>10月10日下午16：19：25分收到建设银行扣费短信，扣费296元。</t>
  </si>
  <si>
    <t>2019/10/10 21:15:29</t>
  </si>
  <si>
    <t>投诉人张女士投诉对象360借条涉诉金额26000元问题类型诉求类型投诉详情360高额利息，提前结清不免利息。</t>
  </si>
  <si>
    <t>2019/10/10 21:15:18</t>
  </si>
  <si>
    <t>投诉人牧先生投诉对象中腾信涉诉金额15000元问题类型诉求类型投诉详情借款15000，要还26000，分24期，目前以还11期，提前10天每天发信息提示还款，这个没有问题，但是还款单日从早上开始不停电话，各种地方号码不停打，没办法才屏蔽，不知道是我理解的不对还是催收人员不懂当日是什么情况，因为上个月要求看到合同，顾没有理睬，迟了2天还是还了，因为发信息打电话联系我的朋友了，甚至爆我的家庭住址，我觉得作为“客户”，我要求看到合同不过分，这个月依然如此，我还是要求看到合同，催收人员告诉怪我不截屏保存合同，依旧没</t>
  </si>
  <si>
    <t>2019/10/10 21:15:14</t>
  </si>
  <si>
    <t>投诉人爱女士投诉对象爱又米涉诉金额199元问题类型诉求类型投诉详情本人在三月份开了a+会员费199今天联系客服说拒不退款，开了a+会员但是一点用都没有联系客服也解决不了问题，麻烦退回199谢谢！爱又米公司这么做本来不合法。</t>
  </si>
  <si>
    <t>2019/10/10 21:14:02</t>
  </si>
  <si>
    <t>投诉人杨先生投诉对象滴滴出行涉诉金额1000元问题类型诉求类型投诉详情滴滴现在又开始骗人了，说什么单证不派单，可是接的单比我们合法车还多，现在坑我们合法车，一天7.8个小时，10几个小时了，就派几单。</t>
  </si>
  <si>
    <t>2019/10/10 21:13:46</t>
  </si>
  <si>
    <t>提前还款要收取高额费用，还九千多元本金要加多二千多元的各项费用，等同于强收高额利息，要求提前结清所有费用减免，。</t>
  </si>
  <si>
    <t>2019/10/10 21:13:33</t>
  </si>
  <si>
    <t>投诉人肖先生投诉对象微博借钱涉诉金额12500元问题类型诉求类型投诉详情微博借钱12500元每期还款3458.33元共六期，利息高达每期375元，联系不上微博借钱客服，与催收人员协商两天后还款，催收人员第二天就爆破通讯录，威胁恐吓我家人让我还款，甚至说拍卖我家里的家产达到要款目的，因为我工资还没法，协商后爆破通讯录导致我家里人心里受到伤害，我起诉催收人员的这种行为，给我和我的家人造成了不可磨灭的精神损失，想请催收人员停止骚扰并做出道歉，必要做出精神损失费的赔偿，不然这个钱还了也无法弥补家人心理受到的伤害。</t>
  </si>
  <si>
    <t>2019/10/10 21:12:55</t>
  </si>
  <si>
    <t>马上app在客户不同意的情况下强制收取服务费和担保费。</t>
  </si>
  <si>
    <t>东莞市轻奢维体健身房第二次无缘无故关门，老板跑路</t>
  </si>
  <si>
    <t>2019/10/10 21:12:40</t>
  </si>
  <si>
    <t>东莞市轻奢维体健身有限公司,东莞市轻奢维体健身有限公司，位于东莞市莞城街道旗峰路万科中心2栋东莞轻奢维体健身会所，本人于7月2日份缴保证金1580元作为保证金加入会员，办理一年有效期健身卡，8月20号该健身房以修电闸为由停业2天，其中未发布任何公告，于8月28日宣布破产，会员无法，只得举报公安，晚上在公安公证下老板徐毅保证退还会员损失钱款，然8月29日早晨变卦拒绝退还我们损失钱款，宣称继续营业，营业至9月中旬又开始无故关门停业，负责人联系不上，第二次无故停业至今已1月有余；该健身房自6月到8月骗取一百多人充</t>
  </si>
  <si>
    <t>2019/10/10 21:12:32</t>
  </si>
  <si>
    <t>投诉人宋俊超投诉对象钱站,华夏银行涉诉金额2000元问题类型诉求类型投诉详情钱站延迟放款，费用利息超高，拨打客服电话要求撤单要收手续费，合同日期8号，9号放款，却要求6号还款，现在申请一次性结清工作人员直接挂电话不予理会！！，还开始爆通讯录，严重影响本人生活，钱站不管，投诉到底！！！不行就起诉！！！。</t>
  </si>
  <si>
    <t>2019/10/10 21:12:28</t>
  </si>
  <si>
    <t>声称拿喇叭在本人家门催收到工作单位催收！多次言语污蔑！。</t>
  </si>
  <si>
    <t>2019/10/10 21:11:59</t>
  </si>
  <si>
    <t>使用滴滴平台订车，平台拒不提供行程单，一定是乱收费，这样属于欺诈消费者行为，所有消费，消费者本人有权利知道扣费的详情，但是这明显是欺诈，以前也有人投诉过。</t>
  </si>
  <si>
    <t>2019/10/10 21:11:53</t>
  </si>
  <si>
    <t>6月2日，在微博钱包借款18000元，分6期，每月还款3538.76元，已还4期，6个月1.8万本金利息高达3232.56元，2019年7月5日，在微博钱包借款9000元，分6期，每月还款1769.38元，已还4期，4笔借款本金46200元，6个月下来总还款需54504.84元，，我申请提前还款，还不支持，用提醒我按时还款，请问相关部门，这平台这样做合法嘛，平台这样做有相关部门处理吗。</t>
  </si>
  <si>
    <t>2019/10/10 21:11:42</t>
  </si>
  <si>
    <t>时光分期原有叫一刻单期，融360提供平台合谋赚取费用，以强迫性购买东西高额费用谋利，借款为15天，7天，要求退我多余的费用2018年10.24，1508.62砍头息300，2018年10.26，1505.91砍头息300，2018年10.28，1508.91砍头息300，2018年10.30，1005.75砍头息200，2018年11.02，1205.91砍头息200，2018年11.05，1508.62砍头息300，2018年11.07，1208.62砍头息200，2018年11.17，1007.89砍头</t>
  </si>
  <si>
    <t>2019/10/10 21:11:32</t>
  </si>
  <si>
    <t>豹子贷恶意扣款299，请求退款，请尽快退款。</t>
  </si>
  <si>
    <t>2019/10/10 21:10:59</t>
  </si>
  <si>
    <t>9月21日通过审核下款41000，一直银行处理中，直至今天依然不下款，每次客服都只会说耐心等待或者已经加急，可是毫无效果，app上何时放款写着最快当天下款，下单成功后1-2个工作日放款，而周末及节假日放款吗里明确写明节假日全部正常放款。</t>
  </si>
  <si>
    <t>2019/10/10 21:10:47</t>
  </si>
  <si>
    <t>投诉人崔女士投诉对象钟楼区南大街震泰武术培训工作室涉诉金额5480元问题类型诉求类型投诉详情本人在2018年10月13日当天在荆川小学隔壁荆川老年活动中心二楼，精武培训报名，为两年的期限，金额为5480元，当时活动为：满一年后不上可退款3000元，并在签定合同上要求工作人员手写“满一年不上可退3000元”并加公章，同年改名为钟楼区南大街震泰武术培训工作室，并搬之江苏省常州市钟楼区劳动西路12号金谷大厦四楼，继续上课，后发现该机构整个暑期不履行一周5次课时只有一周三次课时，整体气氛五武术中武德等，而且新老生混</t>
  </si>
  <si>
    <t>2019/10/10 21:10:05</t>
  </si>
  <si>
    <t>今这个贴我本不想发，但是闪送部分客服服务确实垃圾不敢恭维，作为一个闪送员骑手当自己在闪送平台遇到问题进行反馈时闪送客服一是否定不承认二是话都不说直接拉黑结束聊天，我的号并非主观因素被引起禁闭进行问题反应反而身为闪送员客服你们不给协助解决就直接结束聊天这是闪送公司教出来的服务吗。</t>
  </si>
  <si>
    <t>2019/10/10 21:10:01</t>
  </si>
  <si>
    <t>投诉人 谷先生        投诉对象  交运巴士        涉诉金额  192 元    问题类型    诉求类型投诉详情  退票不退款 而且看不到退款进度</t>
  </si>
  <si>
    <t>2019/10/10 21:09:59</t>
  </si>
  <si>
    <t>投诉人修先生投诉对象洋钱罐涉诉金额13584元问题类型诉求类型投诉详情本人于1月在洋钱罐申请了一笔10000元的借款分期12期目前已还8期刚刚查看借款发现借款利率高达了35.84%借款合同利息仅只有770元其他均为服务费现在国家明令禁止收取除利息以外的服务费及相关费用先要求退还所收取的服务费及相关费用按合同所写的7.77%利率及使用期限提前结清欠款。</t>
  </si>
  <si>
    <t>2019/10/10 21:08:14</t>
  </si>
  <si>
    <t>打电话去联通客服想要更改只保留来电显示套餐，但是被告知无法更改，套餐已经下架，并和我说8元4g全国流量王套餐适合我，但是下单时发现只支持新用户没有老用户选项，工信部明确规定所有套餐不得区分对待新老用户，要求更改套餐为8元4g全国流量王套餐，并且是线上更改，没有时间去线下，也不公平，凭什么新用户就可以直接办理，老用户就要跑到号码归属地还得去营业厅更改，人在外地工作不方便去号码归属地，也不方便出去办理。</t>
  </si>
  <si>
    <t>2019/10/10 21:08:08</t>
  </si>
  <si>
    <t>投诉人杨勇投诉对象拍拍贷涉诉金额22000元问题类型诉求类型投诉详情暴力恐吓催收，每天几十个电话给我亲戚朋友，害的我现在走投无路，工作也没了，多次威胁恐吓我的家人，请你们帮帮我吧，管管这个平台，真的无法无天了，我又不是不还，每个月的钱都还完了，还是不依不饶，多次威胁我的父母，我相信有不少人已经受了拍拍贷的毒害，钱我一定归还，请严厉惩罚拍拍贷，下架所有厂品，别再坑害更多的中国年轻人，谢谢你们帮帮我。</t>
  </si>
  <si>
    <t>9月11日，本人丁镜之在张家界荷花机场办理登机时，被机场工作人员拦住推销民航通VIP卡，说是充值1698元，赠送3300元，实际到账4998，全部可用于买机票，并要求下载民航通app,并推销说比其他app便宜，下次买机票就可以使用，返程时使用民航通app才发现，每次买机票只能从总金额里扣除30-40元，且票价并不比其他app便宜，咨询工作人员都是含糊其辞，并且在该app中看不到自己的余额，在此想通过贵平台申请退款，希望聚投诉可以帮助解决！。</t>
  </si>
  <si>
    <t>2019/10/10 21:07:49</t>
  </si>
  <si>
    <t>投诉人马先生投诉对象钱站,华夏银行涉诉金额2650元问题类型诉求类型投诉详情两个合同第一个8月28日申请1320元实际到账1000元，并且分3期还款，每期还468.33元，第二个合同借款9月27日申请1330元实际到账1000元，并且也是分三期还款，每期要还533.96元！！！砍头息高利贷啊！！！。</t>
  </si>
  <si>
    <t>2019/10/10 21:07:44</t>
  </si>
  <si>
    <t>投诉人彭先生投诉对象平安银行涉诉金额10000元问题类型诉求类型投诉详情我办理了一张平安信用卡，一直用卡正常，但是最近由于不可抗拒因素信用卡不能操作还款，现在信用卡被冻结了，我申请恢复开通信用卡，但是被平安信用卡拒绝，请求聚投诉帮忙沟通，谢谢。</t>
  </si>
  <si>
    <t>2019/10/10 21:06:47</t>
  </si>
  <si>
    <t>在国庆节期间逾期两天，催收本人两部手机有一部拉在单位，催收多次电话骚扰侮辱我老婆，并威胁要去学校找我儿子。</t>
  </si>
  <si>
    <t>2019/10/10 21:06:46</t>
  </si>
  <si>
    <t>10月10号下午7点收到一条1069131317720的信息，信息提示中金支付提醒我鸿飞担保从我储蓄卡扣除999元，留下的维信金科热线，也打不通，银行卡无故被扣钱却找不到原因，希望处理。</t>
  </si>
  <si>
    <t>2019/10/10 21:06:30</t>
  </si>
  <si>
    <t>投诉人马先生投诉对象马上消费金融涉诉金额4000元问题类型诉求类型投诉详情马上消费金融多次电话、短信骚扰，本人均有短信截图，录音，可随时调查，冒充公检法，对借款人造成了不良影响，希望平台能有个解释，真的是相当恶劣。</t>
  </si>
  <si>
    <t>2019/10/10 21:06:21</t>
  </si>
  <si>
    <t>点融魔借雇用黑社会恐吓我说上门收钱，之前明明给点融魔借客服说我家里的情况！家里老人身体都有疾病！真不知道他们是要钱还是要命，再说我刚刚生完孩子，得了抑郁症怎么办，如果家里没出现困难谁愿意拖那么久，如果出了人命他们才愿意，那可以！。</t>
  </si>
  <si>
    <t>2019/10/10 21:06:14</t>
  </si>
  <si>
    <t>盗取用户个人隐私，不停拨打骚扰电话！故意恐吓以及威胁他人，本人不承认但是垃圾公司一直不同意沟通具体情况，并且态度恶劣，骚扰本人电话通讯录，以及盗取他人隐私，我一直表明我还钱，但是违约金部分我不会付，因为本人在国庆期间，并没有收到任何提醒，但是你们公司一直以我之前还款为由，说我故意不还款，你们有短信通知，但是本来未接收到，一直与这种垃圾公司沟通，我在没收到提醒的情况下，与公司沟通违约金的产生，本人不承认，但是垃圾公司一直不同意沟通具体情况，并且态度恶劣，骚扰本人电话通讯录，以及盗取他人隐私，不代表你们发了，就</t>
  </si>
  <si>
    <t>2019/10/10 21:06:07</t>
  </si>
  <si>
    <t>及货app在客户不知情况的下私自曝光客户的信息，导致被电话骚扰。</t>
  </si>
  <si>
    <t>2019/10/10 21:05:21</t>
  </si>
  <si>
    <t>投诉人曲先生投诉对象昆明鼎详金融涉诉金额111800元问题类型诉求类型投诉详情2019年10月9号他们公司通过电话问我需不需要贷款，我说需要然后他们让我加他们的QQ号，之后他们给我说他们是一个信用包装公司，给我发了一些贷款的内容让我看，我看了之后他们推荐了我一个APP让我再注册，注册完之后他们发给我一些不是我本人的资料让我填写在APP的申请资料上，我填写完之后让我提交申请，提交完之后他们公司开始审核，没过一会告诉我审核通过了，接下来是放款，说款项已经下发到APP之中，但是需要提款码验证才能提现，之后我再qq</t>
  </si>
  <si>
    <t>2019/10/10 21:05:11</t>
  </si>
  <si>
    <t>上来问要电话号码，没有给，删了微信，重新加，却骂人。</t>
  </si>
  <si>
    <t>2019/10/10 21:04:41</t>
  </si>
  <si>
    <t>投诉人 徐先生        投诉对象  钱橙无忧        涉诉金额  703 元    问题类型    诉求类型投诉详情  未经同意私自扣款。钱澄无忧严重欺诈贷款人</t>
  </si>
  <si>
    <t>2019/10/10 21:04:39</t>
  </si>
  <si>
    <t>2019年4月至今，共计在同程上借款6次，每次都被收取了砍头息，美名其曰是借款提速包，但是实际上就就是砍头息，六次都是199，希望平台能够返还，违规收取砍头息美名其曰所谓增值服务费，难道不是砍头息么，砍头息”是给借款人放贷时，以收取费用的名义先从本金里面扣除一部分钱，这使得借款人实际到手金额减少，这是高利贷变相提升利率的一种方式，别说我是自愿的，我是被强迫的，想借你们的钱，必须购买，不购买就借款失败，这是自愿。</t>
  </si>
  <si>
    <t>2019/10/10 21:03:32</t>
  </si>
  <si>
    <t>2019年10月10日17时10分左右我从中窑社区门口用支付宝解锁一辆哈罗助力车车号，当我想让客服帮我把多余超时的钱退回时客服表示：需要付法律责任，骑行至民族侨附近锁车，18时左右再次解锁车号，同一辆哈罗单车骑行至中窑社区门口同一地点锁车，多次锁车未果，系统提示要还车到蓝色区域，后我又把电动车骑行到蓝色区域，并且周围有很多哈罗电动车停放，在次多次还车系统还提示不在区域，这个时候我又联系哈罗客服，希望他们能帮我还车并附上我的车号以及周围有很多哈罗助力车的照片都是现场拍摄，客服表示不看图片是否有多少辆哈罗助力车</t>
  </si>
  <si>
    <t>2019/10/10 21:03:28</t>
  </si>
  <si>
    <t>太恐怖分子了，现在的新中国，现在的黑社会，务农真的生不了。</t>
  </si>
  <si>
    <t>2019/10/10 21:03:15</t>
  </si>
  <si>
    <t>下订单要求缴纳诚意金，缴纳后需要30天才退回，并且扣除30%为手续费，退回的金额还不能提现。</t>
  </si>
  <si>
    <t>2019/10/10 21:02:36</t>
  </si>
  <si>
    <t>催收员与本人多次沟通达成一至，我的借款按时还款到9月份，余下的几期减免平帐，至今没有平帐，催收员也联系不上。</t>
  </si>
  <si>
    <t>2019/10/10 21:02:12</t>
  </si>
  <si>
    <t>投诉人 周女士        投诉对象  你我贷        涉诉金额  6 700 元    问题类型    诉求类型投诉详情  高利贷 暴利催收 已经严重影响我的生活以及家人</t>
  </si>
  <si>
    <t>2019/10/10 21:02:04</t>
  </si>
  <si>
    <t>2019/10/10 21:01:46</t>
  </si>
  <si>
    <t>9月5日，本人在一个嗨包的APP平台上借款，当时并不知道知道它存在砍头息，高利息，说是借款3500元，可是由谭高网络放款，到手只有2170元，6天到期，明显高利贷，还款日打电话我要求还款，我要求协商还本金和国家认可的利息，可是平台不愿意协商，要求必须还3500多，威胁我说要给家里人打电话，然后又发信息来威胁还款，在逾期9天后，现在网络平台要求还款7000多了，2019年9月11日开始，我就开始接到嗨包的骚扰短信，因为全是网络电话发送信息，都是让加QQ:1662564252这个号码，收账电话是：130****</t>
  </si>
  <si>
    <t>2019/10/10 21:01:09</t>
  </si>
  <si>
    <t>玖富万卡高利贷，阴阳合同，将分期费用写成本金进款但实际并未到账，利率远超国家规定36%，骇人听闻。</t>
  </si>
  <si>
    <t>2019/10/10 21:01:05</t>
  </si>
  <si>
    <t>投诉人马先生投诉对象招联金融涉诉金额6000元问题类型诉求类型投诉详情不要再往单位打电话了影响到单位正常工作跟催收的协商他就不理跟本沟通不了。</t>
  </si>
  <si>
    <t>2019/10/10 21:01:04</t>
  </si>
  <si>
    <t>投诉人黄女士投诉对象捷信金融涉诉金额30000元问题类型诉求类型投诉详情本人捷2016年11月份接触了捷信现金贷贷了3000块钱分了45期前面7期都是1259.8第八期开始每个月1274.8现在已经还了35期了总共还了44513还剩10期还要还11469.6，总共加起来要还55982.6除掉本金30000剩下的全是利息，之前也是一直没有注意有这么高的利息，希望捷信能给个合理的解释，下一步会继续到银监局投诉。</t>
  </si>
  <si>
    <t>2019/10/10 21:00:51</t>
  </si>
  <si>
    <t>6月4日，本人在钱站app借款20000元，分12期还款，实际到账20000元，9月4日进行第三期还款时发现合同金额27200元。</t>
  </si>
  <si>
    <t>2019/10/10 21:00:15</t>
  </si>
  <si>
    <t>在翼支付甜橙借钱周转了笔几千的借款，由于家庭原因导致逾期了几天，暴力催收、电话骚扰紧急联系人以外的通话记录中的多名联系人。</t>
  </si>
  <si>
    <t>微粒贷在可以联系本人的情况下，并且第三方催收公司已加我的微信协商还款，但是这个情况下仍然违法获取工作单位领导的电话，骚扰领导，还有我的住房租户的电话，这些联系人的电话都没有在贷款时登记过，甚至我自己都没有联系电话，他们是怎么获取的，并向同事朋友泄露我的贷款信息，导致本人可能失业更加无力偿还！甚至伪造法律文件，盖广告公司的章说是法律通知书，还说自己合法合规，我愿意协商还款，并承诺尽快还清，但是每天都还在暴力催收，骚扰我的联系人，并威胁要上门催收！我多次跟客服沟通，仍不能解决，我宁愿走法律程序！该还的一分不少！</t>
  </si>
  <si>
    <t>2019/10/10 20:59:51</t>
  </si>
  <si>
    <t>投诉人李珊删投诉对象滴滴出行涉诉金额0元问题类型诉求类型投诉详情滴滴平台客服对顾客反馈的问题故意敷衍的态度让引起很大的反感，希望滴滴平台可以关注下。</t>
  </si>
  <si>
    <t>2019/10/10 20:59:33</t>
  </si>
  <si>
    <t>https://yyfq-app.yqmen.com/commission/index.html?appName=yyfq&amp;channelid=63。</t>
  </si>
  <si>
    <t>2019/10/10 20:58:44</t>
  </si>
  <si>
    <t>投诉人 夏俊男        投诉对象  钱站        涉诉金额  800 元    问题类型    诉求类型投诉详情  钱站贷后人员威胁恐吓我，我害怕极了。逾期贷款是我的错，但是为什么要恐吓我。</t>
  </si>
  <si>
    <t>2019/10/10 20:58:06</t>
  </si>
  <si>
    <t>我表哥是跑滴滴的，前几天早上派单2.8公里，因为是直行线，学校禁区，只能一直往东走，离乘客越来越远，而且到乘客有7个红绿灯，我怕10分钟赶不到，就发信息问需要等待一会，滴滴派单太远，经常有乘客距离太远取消订单行为，难道作为车主问下都不行，问一下就是取消订单，意思是非要跑个一段路再被取消才行，什么逻辑思维，这样搞的话谁还愿意跑，别人打滴滴肯定是想越快越好，谁愿意等呢，这样搞平台只会越来越多人投诉。</t>
  </si>
  <si>
    <t>2019/10/10 20:57:09</t>
  </si>
  <si>
    <t>投诉人马先生投诉对象乐家易付涉诉金额50000元问题类型诉求类型投诉详情浙江航天电子信息产业有限公司作为第三方支付平台，为赌博网站提供支付，希望尽快处理。</t>
  </si>
  <si>
    <t>2019/10/10 20:56:24</t>
  </si>
  <si>
    <t>充值vip，按照APP操作无效，服务不到位，无法退款。</t>
  </si>
  <si>
    <t>2019/10/10 20:55:44</t>
  </si>
  <si>
    <t>2019年6月份，在郑州市金水区瀚海晴洲小区租的房子，押一付三，交了3836元房租押金，退房以后根据管家说的步骤提现，押金一直未到账。</t>
  </si>
  <si>
    <t>2019/10/10 20:54:49</t>
  </si>
  <si>
    <t>投诉人万先生投诉对象钱橙无忧涉诉金额168元问题类型诉求类型投诉详情钱橙无忧app本是贷款中介，用户注册平台确强制性让用户购买个人风险自检评估报告，app里面根本没有介绍这个费用，骗子平台。</t>
  </si>
  <si>
    <t>2019/10/10 20:54:12</t>
  </si>
  <si>
    <t>属于最近国家重点打击的714！借款1000到账800，其余200以强制购物收取！而且物品全部都是三无劣质产品，本人从18年开始一共借款14次，共2800元的砍头息！已经远远超过本次未还款的金额，现在本人希望短贷王公司退还我多出的砍头息，315事发之后，360平台下架了短贷王，但违法的罪证不可能被轻易抹除！我已经找到了大部分之前还款截图，以及1年来所有的银行流水。</t>
  </si>
  <si>
    <t>2019/10/10 20:53:31</t>
  </si>
  <si>
    <t>本人于9.30号，通过拼多多支付的200元，结果发现通过拼多多支付却查不到单号，当天就去找客服退款，当时给我登记3天给我反馈，结果过了3天我又去找，又给我登记，又说3天，后面我不记得几号又去找，又要等3天，我已经没有耐心了，贵平台就这么处理问题的吗，另外有个专员对待客户根本不听客户说什么，大声朝我说话，我已经投诉了，贵平台必须给我道歉退款，和解释，否则我必定拿起法律的武器！一切说的话我都有截图，跟你们客服聊天的截图，必要时我会放出来。</t>
  </si>
  <si>
    <t>2019/10/10 20:53:10</t>
  </si>
  <si>
    <t>及货平台恶意让客户还不了款导致逾期，从中赚取高额逾期费。</t>
  </si>
  <si>
    <t>2019/10/10 20:52:44</t>
  </si>
  <si>
    <t>在其平台借了8000根国任保险捆绑销售扣了749元对保险费还了2期，根据国家工信部《规范》指出金融借贷基本业务功能必要的信息包括手机号码、账号信息、身份信息、银行账户信息、个人征信信息、紧急联系人信息、借贷交易记录等 不得获取我们的通讯录信息 也不允许你们骚扰恐吓我的通讯录的好友，参考法条《规定》第25条第一款，第31条跟《规定》法条地26条，第28条，第32条明文规定年利率24%～36%属于自愿支付，法院不干预，不愿支付费用也不会支持出借人要求借款人支付，但次公司负责人对此不认可，你们合同写着8.5%的年</t>
  </si>
  <si>
    <t>2019/10/10 20:51:00</t>
  </si>
  <si>
    <t>招商银行信用卡我是欠钱没错，我不是不还，是真的没有能力，你们一天天这么逼得还群发短信恐吓我家人真的好嘛，我的家人身体不好只求你别骚扰他们，有什么事冲我来，钱是我借的，欠也是我在欠，我也被你们逼得快抑郁症了，只求你们给我点时间。</t>
  </si>
  <si>
    <t>2019/10/10 20:50:52</t>
  </si>
  <si>
    <t>本人有一张交通信用卡，在9月10还款日，因为名下3张卡片，统一在9月5还款了，结果还款交通的还错到别的行了，造成逾期，逾期长达8天时间，交通银行一方没有给我做个任何提醒，在逾期第八天有工资人员才给我打电话说我逾期，反馈客服处理一下无效，造成征信问题，本人有过错，难道银行一方一直不提醒就没有错嘛，希望工作人员处理问题，白天接电话不方便，需要在中午12点30到一点联系，下午六点以后联系。</t>
  </si>
  <si>
    <t>2019/10/10 20:50:48</t>
  </si>
  <si>
    <t>9月27日我弟淘宝账号被陌生人诱导给那个人后，然后那个人用我弟的账号开了淘宝店然后违反了《淘宝规则》支付宝账号被冻结了，然后10月8日晚我就发现我的淘宝账号被永久查封支付宝也被冻结了，根本不可能存在我是淘宝卖家然后违反《淘宝规则》这种可能，而且我的账号在这期间也没有与任何客服所说的淘宝买家联系过。</t>
  </si>
  <si>
    <t>2019/10/10 20:50:27</t>
  </si>
  <si>
    <t>投诉人王先生投诉对象欣和,葱伴侣涉诉金额20元问题类型诉求类型投诉详情本人于8月份在菜市场购买欣和旗下葱伴侣豆瓣酱，10月10号打开发现豆瓣酱底部有很多蛆虫，还有很多白色小点，现在恶心呕吐，要求平台给出相应解释，道歉，以及赔偿。</t>
  </si>
  <si>
    <t>2019/10/10 20:50:13</t>
  </si>
  <si>
    <t>在使用建设银行手机app的时候，看到建设银行手机银行有个现金分期，下面有一处红字提示办理现金分期可以提升固定额度，没有按提示的那样调高额度，建设银行的这种做法引诱，误导，侵犯信用卡用户的合法权益，这样的银行能立足十只可耻，没有带头为国家做出点范和榜样。</t>
  </si>
  <si>
    <t>2019/10/10 20:50:10</t>
  </si>
  <si>
    <t>通过云闪给网彩平台充值了不少资金，受损了14万，肯求云闪付帮我追回血汗钱。</t>
  </si>
  <si>
    <t>2019/10/10 20:49:47</t>
  </si>
  <si>
    <t>因家里有事导致一个多月没有还钱，能不能拜托你们不要骚扰联系人，承诺十一月一定把它全部还掉，搞的别人怎么看，到处打电话乱说，态度极差。</t>
  </si>
  <si>
    <t>2019/10/10 20:49:41</t>
  </si>
  <si>
    <t>本人于9月8日在钱伴app申请了一笔6000元的借款，这期查询账单还款发现借款6000元6个月需要还款7079，国家规定的借款除去利息以外不得违规收取借款服务费以及保险，现要求给出合理解释并免除服务费办理结清全部欠款。</t>
  </si>
  <si>
    <t>2019/10/10 20:49:38</t>
  </si>
  <si>
    <t>还没报名的时候特殷勤，说什么时候都可以找她，晚上9点多的时候还打电话问我不报名是还有什么顾虑，我跟她说不想报了要退费，她就说已经报名了不能退，要我给她一个正当的理由，说我接受不了这个贷款可以用京东白条和花呗，请问有什么区别吗。</t>
  </si>
  <si>
    <t>2019/10/10 20:48:45</t>
  </si>
  <si>
    <t>本人借支付宝网商贷50000元，一直信用良好，按时还款，后来因为生意失败亏了很多钱，资金链一下子断了，暂无力偿还一直逾期了2个月，今天接到他们催收电话，问家庭成员联系方式，我说有问题直接联系我，不需要他们联系方式，催收在电话里还套取家人联系方式，有通话录音为证！投诉网商银行未经允许，私自读取通讯录！。</t>
  </si>
  <si>
    <t>2019/10/10 20:48:42</t>
  </si>
  <si>
    <t>我来贷逾期两天9号还了欠款，今天催收来电话软暴力恐吓我，我说还了，他说我没有还，又让我从新还一笔，我昨天下午明明已经还过了，今天又让我还，我又还一笔多扣了我300元是利息，我给客服打电话投诉，客服说让我打流水把金额300给我退回来，我问他手机可以吗，他说可以，让我去app交涉，我去app，我去app后客服人员刁难我说让用电脑流水审核，我没有电脑，而且我多次问他们要流水做什么。</t>
  </si>
  <si>
    <t>2019/10/10 20:48:30</t>
  </si>
  <si>
    <t>苏宁任性付催收人员说不怕我们的投诉，还说我们投诉只是为了推延还款，晚上八点后一直对我的家人进行骚扰，口气非常恶劣，态度及其差。</t>
  </si>
  <si>
    <t>2019/10/10 20:48:12</t>
  </si>
  <si>
    <t>本人于2018年11月在重庆市涪陵某超市办理了一张联通大王卡，今天查余额，发现以下问题：1.账户下莫名多出一张副卡，副卡号码185******17，打此副卡号码一直提示为关机状态，2.办理业务时业务员承诺每月20元包无限流量，实际为每月19元基本费，另外加20元包40G流量，每月一共缴费45元，3.资费看不懂，看不懂，打客服电话人工客服一直无人接听，投诉要求：查询副卡办理的所有单据及视频截图，严惩相关责任人员，向本人道歉，修改资费。</t>
  </si>
  <si>
    <t>2019/10/10 20:47:44</t>
  </si>
  <si>
    <t>马上消费金融爆通讯录威胁恐吓好友，投诉多次未得到改善，这种违法行为什么时候才能得到改善。</t>
  </si>
  <si>
    <t>2019/10/10 20:47:30</t>
  </si>
  <si>
    <t>投诉人 曹女士        投诉对象  悦如公寓        涉诉金额  3 835 元    问题类型    诉求类型投诉详情  9.22交了三个月房租 悦如公寓倒闭收购没有给房东钱 房东过来收房 去悦如公寓要钱不与处理</t>
  </si>
  <si>
    <t>2019/10/10 20:46:50</t>
  </si>
  <si>
    <t>投诉人黄先生投诉对象新浪分期涉诉金额20300元问题类型诉求类型投诉详情年化利率高达36％，现个人经济出现问题无还款能力，更承受不了高利贷，想通过亲友凑钱还款，一次性提前还清本金，减免后续利息，但对方客服不予协商，硬是不肯减免后续利息，意思就是强收高利息，欺负消费者。</t>
  </si>
  <si>
    <t>我表姐在及贷平台借了5000，12期，月还556.67，第8期逾期较久，因欠款太多，和工作人员协商减免违约金，工作人员说可以减免，就先存了300，几天后再存剩下256.67的时候联系不到这个工作人员了，又换人跟我联系，说无法减免，现在还256.67进去也只是还了利息，系统优先偿还利息违约金，今天有工作人员打电话，接通不说话随后就收到恐吓短信，，这种属于欺诈行为。</t>
  </si>
  <si>
    <t>2019/10/10 20:45:27</t>
  </si>
  <si>
    <t>本人于2018年10月16号在广东省深圳市龙岗区升学教育营业点，经升学工作人员推荐办理了百度有钱花App教育贷款分期5870元，课程为:华南农业大学-行政管理专科零基础保障班，到2019年6月份还款后还剩余额加逾期利息1996.32元因本人工作地点变更为河南，不再前往广东深圳参加自考，所以遂联系升学方面要求取消余下1996.32元的未还款项，到升学方面以协议形式推诿拒绝取消，所以才投诉。</t>
  </si>
  <si>
    <t>2019/10/10 20:44:58</t>
  </si>
  <si>
    <t>利用网络科技诱导未成年人进行大额消费，在明知网络有漏洞的情况下依然运行，造成我家庭受到巨大财产损失，至今没有解决我的问题。</t>
  </si>
  <si>
    <t>2019/10/10 20:44:38</t>
  </si>
  <si>
    <t>投诉人 王吉锐        投诉对象  利息高 暴力催款        涉诉金额  40 000 元    问题类型    诉求类型投诉详情  利息高的吓人 2万七的消费额度 给我办了一个分期 就变成欠款八万多了 并且不给出合理的账单解释 还暴力催款 恐吓 骚扰恐吓家人</t>
  </si>
  <si>
    <t>2019/10/10 20:44:28</t>
  </si>
  <si>
    <t>投诉人陈先生投诉对象苏宁任性付涉诉金额9300元问题类型诉求类型投诉详情催收人员对我家人进行骚扰，一直不停的骚扰，还对我进行污蔑。</t>
  </si>
  <si>
    <t>2019/10/10 20:44:03</t>
  </si>
  <si>
    <t>一共借款2万元，分12期还款，第一期和第二期一共还了总欠款本金的一半差不多，，目前已经还了4期了，一共还了13073.08元，还有8期未还，因资金出现周转困难，现在出现逾期第11天了，对方催收态度恶劣，我明确表明再给予几天时间，一定会处理，对方态度傲慢且给予我定义为“老赖”！做为上市大公司，发房收取高额贷款利息且催收员工素质低下，请贵平台明查，给予严肃处理！。</t>
  </si>
  <si>
    <t>九江政府明确回复可以办理个人道路运输证，滴滴平台说看当地政府政策，运管天天路上抓滴滴，抓到罚款一万，电话滴滴平台说抓到了怎么办，滴滴回复有专人联系被抓司机处理问题，但已经有好多司机被抓滴滴不管不问，滴滴平台就是欺诈司机，好多滴滴私家车主要求滴滴平台配合滴滴私家车主办理个人道路运输证。</t>
  </si>
  <si>
    <t>2019/10/10 20:43:44</t>
  </si>
  <si>
    <t>投诉人武先生投诉对象百事普惠,上海造艺涉诉金额299元问题类型诉求类型投诉详情前段时间下载了上海造艺网络技术有限公司百事普惠APP，填写了资料，没有享受到他们所谓的评估服务，而且扣费的协议不清不楚，10月10号下午无故扣款298.5，打客服电话，说是退款期限在两个月内，丝毫没有诚意退款。</t>
  </si>
  <si>
    <t>2019/10/10 20:43:23</t>
  </si>
  <si>
    <t>有录音，客服回复时咬牙切齿，态度恶劣，推卸责任，并且不听客户说的话，一直抢话，并且未经同意主动挂电话。</t>
  </si>
  <si>
    <t>2019/10/10 20:43:18</t>
  </si>
  <si>
    <t>投诉人李先生投诉对象买单侠分期涉诉金额1500元问题类型诉求类型投诉详情逾期三天36快一共一期就600不到一天百分之二一年不算利息都翻几番了。</t>
  </si>
  <si>
    <t>2019/10/10 20:43:09</t>
  </si>
  <si>
    <t>未到期就暴力催收，要求一定要在他规定的时间内还款。</t>
  </si>
  <si>
    <t>现金巴士下款砍头息，协商不成，催收人员威胁爆通讯录，并且晚上八点还在打电话，严重影响生活。</t>
  </si>
  <si>
    <t>2019/10/10 20:43:08</t>
  </si>
  <si>
    <t>投诉人陈辉投诉对象瓜子二手车涉诉金额110000元问题类型诉求类型投诉详情我本人于2019年8月在瓜子二手车平台购买了一台吉利博越汽车，在购买两个月之后，卖方与瓜子二手车平台迟迟无法将车辆的购置税完税证明提供给我，之后我在国家电子税务局中查询此车辆的购置税缴纳记录，发现是空白的，我怀疑此车辆并没有按照国家法律法规缴纳车辆购置税，瓜子二手车违法将此车源进行平台上架销售，现请求聚投诉平台，能督促瓜子二手车平台提供此台车辆购置税完税证明或完税编号，以此证明其所销售车辆的合法性！。</t>
  </si>
  <si>
    <t>2019/10/10 20:42:34</t>
  </si>
  <si>
    <t>滴滴司机故意多绕路收取额外的车费，滴滴公司难道就不管理这样的情况吗。</t>
  </si>
  <si>
    <t>2019/10/10 20:40:58</t>
  </si>
  <si>
    <t>投诉人刘女士投诉对象美团,钱袋宝涉诉金额12元问题类型诉求类型投诉详情在美团进行绑定银行卡购买美团会员时被美团钱袋宝乱扣钱。</t>
  </si>
  <si>
    <t>2019/10/10 20:40:20</t>
  </si>
  <si>
    <t>顾客乘做网约车后拒绝付款，找客服解决问题，客服不理会。</t>
  </si>
  <si>
    <t>2019/10/10 20:39:59</t>
  </si>
  <si>
    <t>投诉人代先生投诉对象恒易贷涉诉金额1094元问题类型诉求类型投诉详情还款日当天不能还款，还款日前三天就电话短信不停骚扰，还款日当天都联系家里人，甚至还有催收人员主动要求加微信，严重影响用户，之前晚上八点多都扣款，现在下午三点多都不扣，故意让客户逾期，然后第二天开始加收一百逾期费，罚息远远高于法律规定红线，希望有关部门处置这种挂羊头卖狗肉坑蒙拐骗的害群之马！。</t>
  </si>
  <si>
    <t>2019/10/10 20:39:38</t>
  </si>
  <si>
    <t>借款9300，分12期还，每期还款金额1054，总还金额高达12648，远远超出国家法定金额诉求。</t>
  </si>
  <si>
    <t>2019/10/10 20:39:23</t>
  </si>
  <si>
    <t>3月28日，中国互联网金融协会发布的《互联网金融逾期债务催收自律公约，：债务催收对象应符合法律法规有关要求，不得骚扰无关人员，从业机构无法与债务人取得联系时，为恢复与债务人联系，方可与债务人事先约定的联系人进行联系，催收人员不得向债务人外的其他人员透露债务人负债、逾期、违约等个人信息，法律法规另行规定的情形除外。</t>
  </si>
  <si>
    <t>2019/10/10 20:39:19</t>
  </si>
  <si>
    <t>本人已在2019年2月份的时候向该公司还款，至今未给我销账，导致现在该公司的App还在从我的银行卡扣款。</t>
  </si>
  <si>
    <t>2019/10/10 20:39:04</t>
  </si>
  <si>
    <t>投诉人朱女士投诉对象微贷网涉诉金额3000元问题类型诉求类型投诉详情本人在微贷网平台借钱，审核通过后下款3000元，变相扣除了600元，实到账2400元，，本人当时不了解所谓的利率，账单显示每期还款552.5元，分6期，但是借完款以后才发现每期要还利息13元，运营管理费39.5元，目前已还一期，实际年化率已经接近36%，与合同严重不符合，超过国家年息24%，现要求微贷网商免去未还期数服务费，利息，归还扣除的600元钱，一次结清，如果协商无果，本人将继续举报至全国消协，互金会，贷款公司所在地信访、金融办、工商</t>
  </si>
  <si>
    <t>2019/10/10 20:38:10</t>
  </si>
  <si>
    <t>本人于2019年7月初在新橙优品借款3000元，实际到账只有2000多块，被砍头，而且新橙优品没有提供借款相应合同以及协议，应该是违规操作，现在本人已经还款两期，每期1165元，共计2330元，现在要求协商还款，补齐本金，加上国家合理，合法，合规的利息。</t>
  </si>
  <si>
    <t>2019/10/10 20:36:49</t>
  </si>
  <si>
    <t>1、接到自称是北京无忧催收工作人员的电话，反馈我在国美有借款逾期不还，要求我偿还欠款，转账至私人账户，但与国美核实，国美反馈未与此公司合作2、催收人员，态度之嚣张，闻所未闻！，报警不错，还威胁恐吓我。</t>
  </si>
  <si>
    <t>2019/10/10 20:36:40</t>
  </si>
  <si>
    <t>嗨钱网以系统升级为由，官网无法正常还款导致逾期，在嗨钱网的要求下，已经将桥还给资方西藏微众，三期已经按时还完，但是一直未销账，也没有提供结清证明。</t>
  </si>
  <si>
    <t>2019/10/10 20:35:54</t>
  </si>
  <si>
    <t>购买的5斤百香果，大小一共发47个，多少斤没称，坏果发毛发霉变质39个，找到商家说次果属于正常……严重和卖家介绍不相符。</t>
  </si>
  <si>
    <t>2019/10/10 20:34:38</t>
  </si>
  <si>
    <t>本人于2018年4月9日和2018年6月2日分别从平安普惠APP借款4500元和4500元，合计借款金额9000元整，由于近几个月本人失去资金来源，导致普惠I贷逾期，普惠就不停打电话催款，并且恐吓本人以及骚扰本人家人，之前本人在普惠APP还可以看到借款明细和还款明细，现在已经看不到，并且每次的还款金额中除了本金和利息外还包含有服务管理费和保险费，那么本人想知道我既然北扣除了保险费那我的保单号和所投保的范围是什么以及被扣除的服务管理费服务的内容是那些，暂且不说普惠的利息是否符合国家规定，但就被扣的保险费和管理</t>
  </si>
  <si>
    <t>2019/10/10 20:34:30</t>
  </si>
  <si>
    <t>我在2019年9月21日20:18左右租用一辆联动云公司的共享汽车，在22:12左右发生剐蹭，然后联系客服，客服说让我这边报保险，我这边先垫付，等保险公司把钱转账给他们，他们就会退回给我，当天晚上我垫付了一千块钱，第二天22号保险公司就已经把钱转给联动云了，可是联动云迟迟不退钱，每次打电话催促都是说帮我联系专人尽快处理，基本天天都在打电话催促，基本每次都是这样说，上传的图片分别是：我垫付给对方的转账截图，保险公司转账给联动云的截图，我多次打电话给联动云公司催促的截图，以及申请退款进度截图。</t>
  </si>
  <si>
    <t>2019/10/10 20:34:15</t>
  </si>
  <si>
    <t>在国家明文规定不下款给学生的情况下，却电话诱使学生贷款在学生没有还款能力还下款，还不上后就电话轰炸父母，，但是现在的学生又经不住诱惑，钱不够用的时候就会去搞，不想后果，结果就中了套路。</t>
  </si>
  <si>
    <t>2019/10/10 20:33:15</t>
  </si>
  <si>
    <t>本人在拍拍贷借了一笔钱，分十二期每期应还金额是206元，第十一期逾期四天，被爆通讯录，客服打电话没一点素质！希望监管能帮我们维权处理，要不是因为真的困难，谁愿意206元逾期！。</t>
  </si>
  <si>
    <t>2019/10/10 20:32:39</t>
  </si>
  <si>
    <t>家里小孩下载好分期竟然未经正规审核就批了两笔贷款，一笔600，一笔2100，还了第一笔412.75，第二笔549.32，事后家人发现要一次性还清欠款时，发现好分期的高额利息还包括手续费等一系列费用，提前还得扣除剩余接下来每个月的利息，现我家里可以一次性还清剩余本金，违反和无理的费用我们拒绝支付，并且销账清除个人信息，提供销账证明，勿再打扰。</t>
  </si>
  <si>
    <t>2019/10/10 20:32:36</t>
  </si>
  <si>
    <t>表姐因资金问题逾期后马上找平台商议减免违约金协商不成功，还要是要求一次性还完本金加高额利息。</t>
  </si>
  <si>
    <t>2019/10/10 20:32:13</t>
  </si>
  <si>
    <t>赌徒，家人要求销户或冻结额度，平台不同意，逾期暴力催收，高额利息。</t>
  </si>
  <si>
    <t>2019/10/10 20:32:09</t>
  </si>
  <si>
    <t>本人一直没有开通过任何招商银行的任何有关银行金融产品却当地招商也不知道有没有，却无辜收到到账短信，却不是一次两次，到底是什么意思！。</t>
  </si>
  <si>
    <t>2019/10/10 20:31:54</t>
  </si>
  <si>
    <t>本人于十月八号在月光侠分期借款一笔2600额度的订单，点提现了才发现2600元的借款分三个月一共要还款3800多元，如不取消放款以后本人也会根据法律规定投诉月光侠分期涉嫌高利贷行为。</t>
  </si>
  <si>
    <t>2019/10/10 20:31:27</t>
  </si>
  <si>
    <t>新橙优品砍头息套保费马甲，多次反馈要求合法合理地还款，均遭到拒绝，客服态度恶劣并遭到暴力催收，在2019年5月6日申请了一笔3000元，实际到账2500元，下款时才告知每月还1253.45元，联系客服反馈利息不合理，客服说保险费，问客服是意外险吗，客服说不是意外险，如果可以提供借款人的死亡证明就可以不用还，自从2019年5月23日家人知道此事后，多次联系反馈合法合理地还款，均遭到拒绝并受到客服的侮辱和暴力催收，欠债还钱天经地义，现要求合法合理地还款。</t>
  </si>
  <si>
    <t>2019/10/10 20:31:23</t>
  </si>
  <si>
    <t>本人因忘记还款，拍拍贷工作人员问我什么时候能处理，我做出承诺凌晨12点之前处理完成，拍拍贷工作人员威胁说不处理好，会打爆通讯录，我说你在威胁我，然后第二通电话，工作人员：xxx，你刚才辱骂工作人员，然后直接挂断电话，拨打非法获取的通讯录内电话。</t>
  </si>
  <si>
    <t>2019/10/10 20:31:03</t>
  </si>
  <si>
    <t>我堂哥7月在及贷贷款19890元，实际到账18000元，放款时在不知情下捆绑销售华泰保险，扣除1890元的高额保费，要求及贷和华泰保险退回保费1890元.，客服处理不了又不回复，一直推脱。</t>
  </si>
  <si>
    <t>2019/10/10 20:30:41</t>
  </si>
  <si>
    <t>需要全额退款，开通属于误操作，已经在第一时间转伟个人卖家，账号有记录，全额退款4900日元。</t>
  </si>
  <si>
    <t>2019/10/10 20:29:11</t>
  </si>
  <si>
    <t>我在珠海同华路18号盘子古艺中国风摄影拍摄了1299元的套餐写真，并且看起来拍摄的也不错，拍了3套衣服，拍完之后就告诉我后天就可以过来选照片了，我也是非常的开心的，之后就是我选照片的时候，我的套餐，里面是选17张照片，但是就在选照片的时候，这家影楼删照片删到65张就开始拖延时间，说剩下的照片都拍的挺好看的，可以多选一些照片和相框啊，因为拍的照片不错所以就有些心动，随后对方又说可以给我优惠的价格，借款条款日利息是多少我自己根本就没了解清楚他就帮我操作，也是经不住别人的劝，并且工作人员还一直说摄影师拍的照片这么</t>
  </si>
  <si>
    <t>2019/10/10 20:29:04</t>
  </si>
  <si>
    <t>投诉人刘先生投诉对象拼多多涉诉金额2095元问题类型诉求类型投诉详情在周一早上已经与拼多多客服反馈，本人由于疏忽被拼多多商家的二维码损失2095元。</t>
  </si>
  <si>
    <t>2019/10/10 20:29:00</t>
  </si>
  <si>
    <t>投诉人马女士投诉对象平安普惠涉诉金额2500元问题类型诉求类型投诉详情平安普惠委托的第三方催收在本人接听电话的情况下骚扰通讯录好友，辱骂欠款人。</t>
  </si>
  <si>
    <t>2019/10/10 20:28:47</t>
  </si>
  <si>
    <t>投诉人 彭先生        投诉对象  美团金融        涉诉金额  14 000 元    问题类型    诉求类型投诉详情  说我拒接电话，胡说八道。电话除了上班不方便接电话外我一直都有接。居然说我拒接电话。诽谤。还给我发这种短信 威胁 恐吓。现在被你们搞得神经衰弱。睡眠质量下降。</t>
  </si>
  <si>
    <t>2019/10/10 20:28:09</t>
  </si>
  <si>
    <t>投诉人刘女士投诉对象及贷涉诉金额800元问题类型诉求类型投诉详情及贷，变相高利贷，已经跟客服多次协商，要么退还违规部分，要么直接销账，但是客服不予处理，群发通讯录，说要起诉我，然后，通讯录有人回复又辱骂通讯录联系人，现要求公司销账的同时出面道歉，恶意拨打通讯录，辱骂，暴力催收本身已违法，本人也讲继续向有关部门投诉，谢谢。</t>
  </si>
  <si>
    <t>2019/10/10 20:28:07</t>
  </si>
  <si>
    <t>投诉人胡先生投诉对象爱又米涉诉金额199元问题类型诉求类型投诉详情误导消费者开通会员，结果会员开通后与描述不符，并没有享受到描述的服务，还说可以退款，结果开通之后给的是满减红包，毫无用处。</t>
  </si>
  <si>
    <t>2019/10/10 20:27:13</t>
  </si>
  <si>
    <t>诱导未成年人进行大额消费，在知道管理有疏忽漏洞还继续运行。</t>
  </si>
  <si>
    <t>2019/10/10 20:26:51</t>
  </si>
  <si>
    <t>投诉人李女士投诉对象翼支付涉诉金额8300元问题类型诉求类型投诉详情1.在翼支付借了一笔钱，还在还剩8千多，犹豫出现意外状况，没有能力还钱，之前已经与客服说明情况沟通，后续逾期，翼支付的催收人员，爆通讯录，每天打几十个电话，暴力催收，我在窗口单位，不能接听电话，我前期就主动联系了客服人员，有记录，有通话录音，后续翼支付允许催收把我信息挂在他们网站上，我身份证照片，还p了文字，把我所有信息全部泄露了，这件事，对我的家庭，我的生活，工作，造成极大的伤害，对我精神造成极大打击，全国扫黑除恶，他们还这样允许催收犯法</t>
  </si>
  <si>
    <t>2019/10/10 20:26:29</t>
  </si>
  <si>
    <t>投诉人高先生投诉对象钱站,华夏银行涉诉金额14000元问题类型诉求类型投诉详情借款14000元六个月需要5600元的利息得知利息高我就给客服打电话处理钱我也没用现在还在等待客服处理。</t>
  </si>
  <si>
    <t>2019/10/10 20:25:58</t>
  </si>
  <si>
    <t>投诉人王女士投诉对象及货涉诉金额1400元问题类型诉求类型投诉详情及货apo利息高过国家规定，变相砍头像息，协商无果希望平台给个说法。</t>
  </si>
  <si>
    <t>2019/10/10 20:24:59</t>
  </si>
  <si>
    <t>投诉人熊先生投诉对象滴滴出行涉诉金额50元问题类型诉求类型投诉详情我表哥是开滴滴的，因为一些原因要到外地去，因改了一下注册地，服务分被重置了，服务分对一名滴滴司机那就是命，没有任何提示说改地址会掉分，改完后一下掉25分，导致现在一整天下来也接不到单，就算空车配合平台调度都接不到，希望恢复服务分，然后在修改地址应该设提示，这样的情况使得他每天很忧郁，这个不调整好那他就连饭都没吃的了。</t>
  </si>
  <si>
    <t>2019/10/10 20:24:32</t>
  </si>
  <si>
    <t>投诉人 龙先生        投诉对象  宏萨（上海）信息科技有限公司（广西）,宏萨信息科技        涉诉金额  296 元    问题类型    诉求类型投诉详情  宏萨（上海）信息科技有限公司（广西）小浦优客扣款296元。。我自己都不知情。也没有享受到任何服务，隔了1天多突然扣款。这个公司的平台真的是无法无天？？凭什么扣我钱？这样扣钱还敢存银行？要求退款</t>
  </si>
  <si>
    <t>2019/10/10 20:24:03</t>
  </si>
  <si>
    <t>暴力催收，实在太困难了，威胁，对生活已经造成了困扰，工作也不能工作了，家庭也破碎了，协商本金还款不同意暴力催收，实在太困难了，威胁，对生活已经造成了困扰，工作也不能工作了，家庭也破碎了，协商本金还款不同意暴力催收，实在太困难了，威胁，对生活已经造成了困扰，工作也不能工作了，家庭也破碎了，协商本金还款不同意暴力催收，实在太困难了，威胁，对生活已经造成了困扰，工作也不能工作了，家庭也破碎了，协商本金还款不同意。</t>
  </si>
  <si>
    <t>2019/10/10 20:23:23</t>
  </si>
  <si>
    <t>投诉人刘先生投诉对象街兔电单车涉诉金额17元问题类型诉求类型投诉详情我在街兔刚进驻本地后，马上使用并购买了骑行卡，前几次骑行都非常方便，还车点很多，直到今天，我发现我前几天可以停的位置被告知不在还车点，我才发现他们减少了很多还车点，必须要我支付调度费，可是按照之前的还车点，我没有停错位置，为什么街兔修改减少了还车点，不告知，还车点大量减少导致我根本没办法用他们的共享电单车，这些为什么不提前告知，甚至开开通骑行卡前，也没有相关的通知，我现在已经无法使用该app的电单车，我的要求如下，第一，我的骑行卡还有几次没</t>
  </si>
  <si>
    <t>2019/10/10 20:22:35</t>
  </si>
  <si>
    <t>本来最近资金上就有点紧，8号还款，我13号开工资，想挺几天在还，，再加上之前确实事忘了8号还款，再上去一看逾期费一天就一百，，逾期俩天有点承担不起了，还有就是骚扰我家人。</t>
  </si>
  <si>
    <t>2019/10/10 20:22:15</t>
  </si>
  <si>
    <t>由于最近资金周转困难，喜鹊快贷逾期两天，被暴力催收，恐吓，爆通讯录，未经本人同意泄露个人贷款信息。</t>
  </si>
  <si>
    <t>2019/10/10 20:21:35</t>
  </si>
  <si>
    <t>714高炮暴力催收，爆通讯录，砍头息，套路贷严重影响家庭生活，下附app连接https://xiangyouqian.ninghaicx.com/generalize/d.html。</t>
  </si>
  <si>
    <t>2019/10/10 20:21:30</t>
  </si>
  <si>
    <t>这已是和你们签订的第二年的年租合同了，且合同正在履约期内，到下年才到期，你们这种做法是不合理的，更是有悖于常理和违法的，因为1、我是合规合法年租居住，且租房合同在履约期内，2、即使房源有问题、为什么你们还往外出租，你们本身这瞒着租户把问题房源还往外出租的行为本身就是欺骗消费者的行为，3、即使是违规房源，为什么不早通知，至少提前一个月告知，我好找下一个房源，你们这些临时通知两天后让搬走，又有谁能接受，我白天工作，周末才有时间，而今天10号，13号是周末，谁能在搬走的当天立马找到下一个住所，4、即使我利用工作时</t>
  </si>
  <si>
    <t>2019/10/10 20:21:21</t>
  </si>
  <si>
    <t>投诉人敏女士投诉对象腾讯游戏涉诉金额0元问题类型诉求类型投诉详情微信有绑定身份证的登王者不能实名认证登和平精英被限制说我是未成年每天游戏都会被限制30多岁氪金玩家怎么就未成年了。</t>
  </si>
  <si>
    <t>2019/10/10 20:20:49</t>
  </si>
  <si>
    <t>在闪电借款借了2300今天到期，要归还2415块短信显示逾期一天要103块，前期买了500的黑卡用了好多次了，一直按时还款的，因上个月住院20多天没有上班资金困难，现在手上实在没钱想协商延期60天处理。</t>
  </si>
  <si>
    <t>2019/10/10 20:20:23</t>
  </si>
  <si>
    <t>例如:借款5000，按6900收取利息，借5000半年还款7124.71元。</t>
  </si>
  <si>
    <t>2019/10/10 20:19:29</t>
  </si>
  <si>
    <t>滴滴司机为了多挣钱故意绕道投诉到公司无人理会。</t>
  </si>
  <si>
    <t>2019/10/10 20:19:20</t>
  </si>
  <si>
    <t>2019年5月在今日头条开户鲁班账户缴纳一万推广费两万保证金，到6月份的时候账户就开始不让推广，我就不打算继续做了，申请退店的时候才发现系统提示要最后一笔订单完成三个月以后，等到九月申请退店，头条发邮件说要签终止协议，现在终止协议已经发给今日头条北京公司并且已经签收，当时说签了协议1-2周退款，现在都已经两周了，还是没有退款，希望能通过聚投诉帮助解决谢谢。</t>
  </si>
  <si>
    <t>2019/10/10 20:19:04</t>
  </si>
  <si>
    <t>只拿到6000的费用，到现在都还90000多了，剩下我不能再还了，服务费收走8000多，每个月2000多的本金利息600多！！。</t>
  </si>
  <si>
    <t>2019/10/10 20:18:54</t>
  </si>
  <si>
    <t>恶意催收，辱骂，恐吓我，暴打我通讯录好友，现在又群发短信说要上门，泄露我个人隐私！我已经报警处理中！我要求赔偿！希望尽快解决！。</t>
  </si>
  <si>
    <t>2019/10/10 20:18:38</t>
  </si>
  <si>
    <t>在本人不知情的情况下，从本人工商银行卡扣款296元，请归还款项，并做出道歉。</t>
  </si>
  <si>
    <t>2019/10/10 20:18:36</t>
  </si>
  <si>
    <t>松紧贷，额度18000，结果写着本金是20880，到账了20880，一分钟不到就扣走了2880，说是什么服务费，我只认额度，到账额度，因经济困难，债务缠身，还到第9期的时候已经无力偿还，本金已经还完，还剩3期，实在没有办法了，就打电话给客服说明情况，客服不予理睬，后来导致逾期，在此期间，也想过很多办法来还债，但是周转不开也借不到钱了，期间也遭到了催收，一开始接到两个催收的短信和电话，他们的态度很好，也跟他们说明了自己的情况，也让他们备注下帮我反馈，后来10月份的时候换了催收，态度非常不好，我也说明了情况，但</t>
  </si>
  <si>
    <t>2019/10/10 20:18:23</t>
  </si>
  <si>
    <t>投诉人 项明明        投诉对象  盼达用车        涉诉金额  1 000 元    问题类型    诉求类型投诉详情  变相融资。回复的永远是官方说辞。帮你加急。从上次投诉到今天都过去十几二十天了。还在加急。做的一些什么勾当。挂牌融资公司。希望相关政府部门去审查一下。</t>
  </si>
  <si>
    <t>2019/10/10 20:18:11</t>
  </si>
  <si>
    <t>违法限制个人资金！！！！！！！！！！！！！！！！！！！！。</t>
  </si>
  <si>
    <t>2019/10/10 20:17:59</t>
  </si>
  <si>
    <t>龙行天下，每次只能抵扣部分金额，虚假宣传，希望把我充值的1680元退环给我，谢谢。</t>
  </si>
  <si>
    <t>2019/10/10 20:17:14</t>
  </si>
  <si>
    <t>下午四点左右下单的，下单后了解到续充只能直接充值进入游戏不能玩家自己慢慢充值，然后我叫卖家取消订单，取消订单后，退款失败现在已经3小时多了，我记着用钱续充，劳请客服尽快处理此事谢谢。</t>
  </si>
  <si>
    <t>2019/10/10 20:16:49</t>
  </si>
  <si>
    <t>我信用卡逾期确实是的不对，但是平安银行这样恐吓，暴力催收，已经严重影响了我的生活和名誉。</t>
  </si>
  <si>
    <t>2019/10/10 20:16:28</t>
  </si>
  <si>
    <t>闪电借款利息超出合法范围，借1190，已还400，三个月后仍需还1639.5，希望和平台协商还款，归还剩余的790元然后销账。</t>
  </si>
  <si>
    <t>2019/10/10 20:15:25</t>
  </si>
  <si>
    <t>我在贷上钱APP上借款为期一周的2000元借款，审批额度2500元，最后发放到银行账户的只有2000元，却要求偿还2500元贷款，该公司人员称其中500元没有发放到用户的银行账户，而是以贷款通过费的形式购买了游戏豆，再以游戏豆的形式发放到了用户的APP账户，也就是说，这500元并没有转账到我的银行账户上，再让我自主选择购买游戏币，而是被该公司代币的形式作为贷款发放给了我，并要求我以现金形式还款，在此过程中，该公司涉嫌违法收取高额贷款通过费用，直接或间接为“虚拟货币”提供账户开立、登记、交易、清算、结算等产品</t>
  </si>
  <si>
    <t>2019/10/10 20:14:58</t>
  </si>
  <si>
    <t>投诉人梁先生投诉对象用钱宝涉诉金额450元问题类型诉求类型投诉详情前天已经在聚投诉协商好结果用钱宝不守信用继续p图发短信电话轰炸骚扰我家人朋友。</t>
  </si>
  <si>
    <t>2019/10/10 20:14:53</t>
  </si>
  <si>
    <t>在松紧贷借款10000元，阴阳合同写的是11600元，分12期，每期还1132元，已经还了8期，另外支付宝还了500元，共计还了9556元，因家庭变故已经还不上第9期，催收语言恐吓，谩骂，扬言爆通讯录好友，让我失去工作，希望松紧贷给个说法！。</t>
  </si>
  <si>
    <t>2019/10/10 20:14:37</t>
  </si>
  <si>
    <t>投诉人张先生投诉对象滴滴出行涉诉金额50元问题类型诉求类型投诉详情滴滴平台毫无人权，乱扣服务分毫不负责，这种情况已经有不少人投诉了，可是还是没有解决，只是草草了事，希望重视这个问题。</t>
  </si>
  <si>
    <t>2019/10/10 20:13:59</t>
  </si>
  <si>
    <t>投诉人石茜投诉对象浦发信用卡涉诉金额0元问题类型诉求类型投诉详情去年9月份在申请一家网贷的时候被套路进去了，2天的时间被骗25600元，最重要的是这里面有一部分是刷的信用卡，也报警了，警察也立案了，但是时间过去一年都没有消息，去年下半年真的可以用一蹶不振来形容，后来浦发信用卡逾期了3个月，每天都心惊胆战啊，过完年开始就开始振作，就为了把信用卡的钱还上，因为去年用的万用金一直是分期的，加上逾期违约金，3月份一下子就还了2万多，真的，之前是多亏了导游这个职业，不然这么多钱我真的不知道怎么还，因为这个原因，也跟老</t>
  </si>
  <si>
    <t>2019/10/10 20:13:52</t>
  </si>
  <si>
    <t>投诉人 王先生        投诉对象  飞猪        涉诉金额  378 元    问题类型    诉求类型投诉详情  预定的时候清清楚楚写着一天44元 当时要是现金马上付款也是44元 结果选择信用住 账单还有六十多的 五十多的 没有44的 飞猪现在就是态度非常恶劣 预定面页显示的价格不算 他们可以随时涨价 账单出来你必须付 不付就算违约扣芝麻信用分</t>
  </si>
  <si>
    <t>2019/10/10 20:12:58</t>
  </si>
  <si>
    <t>投诉人房先生投诉对象月光侠涉诉金额3900元问题类型诉求类型投诉详情今年9月14日在月光侠分期借了2600分三期还，后来发现利息实在吓人，每个月都要还1297.02，三期共还3891.06，简直就是超级高利贷，现在我已经失业无力承担高额利息，希望平台能尽早和我协商解决，时间久了我怕我都还不起了，我也不想做老赖。</t>
  </si>
  <si>
    <t>2019/10/10 20:12:45</t>
  </si>
  <si>
    <t>投诉人唐女士投诉对象融360,你我贷涉诉金额9000元问题类型诉求类型投诉详情本人通过融360app申请你我贷借款9000分期12期，期面1500一期3期过后908一期，现在起已经还了9期，因众多网贷平台爆发，深陷泥潭之中，无力偿还。</t>
  </si>
  <si>
    <t>2019/10/10 20:12:24</t>
  </si>
  <si>
    <t>50000的贷款，扣了砍头息，每期还要额外收取440的费用，利息也一样收，按本金和利息我已经还够了………黑网贷投诉有用吗。</t>
  </si>
  <si>
    <t>2019/10/10 20:11:33</t>
  </si>
  <si>
    <t>小花钱包不断的频繁骚扰我，对我生活造成了影响！并且我不是借款人！。</t>
  </si>
  <si>
    <t>2019/10/10 20:11:12</t>
  </si>
  <si>
    <t>投诉人张先生投诉对象马上消费金融涉诉金额5000元问题类型诉求类型投诉详情一个朋友在马上金融借了5000，到账只有4200，非法砍头息，前面又没有说清楚，性情恶劣。</t>
  </si>
  <si>
    <t>2019/10/10 20:10:28</t>
  </si>
  <si>
    <t>投诉人李女士投诉对象王者钱包涉诉金额2008元问题类型诉求类型投诉详情王者钱包还款日当天暴力催收，威胁恐吓爆通讯录，APP显示23点59前还款催收白天恐吓威胁，要求道歉，王者钱包高利贷，砍头息，2008.8到账1240，5天一周期，利率严重超过国家规定，况且本人并没有逾期或者拒还款，女催威胁6点不还爆通讯录，要求该平台给说法，APP显示的23点59分前还款是欺骗吗。</t>
  </si>
  <si>
    <t>2019/10/10 20:10:01</t>
  </si>
  <si>
    <t>投诉人钱先生投诉对象及贷涉诉金额30000元问题类型诉求类型投诉详情说话难听爆通讯录提及父母以及个人人格。</t>
  </si>
  <si>
    <t>2019/10/10 20:09:35</t>
  </si>
  <si>
    <t>虚假宣传低利率！高额的利息，一天打好多电话催，逾期费用随便定，客服说200一天！。</t>
  </si>
  <si>
    <t>2019/10/10 20:09:06</t>
  </si>
  <si>
    <t>投诉人 张女士        投诉对象  国美易卡        涉诉金额  2 400 元    问题类型    诉求类型投诉详情  爆通讯录到我亲戚那里 年纪大了恐吓她。被吓到了。请不要恐吓人家 毕竟年龄大了 吓出事情谁负责？我不是不还也不是恶意拖欠。只是最近资金出现问题还不上 有钱自然就回还 你们上征信的平台还恐吓我家人。还是不是正规的了？</t>
  </si>
  <si>
    <t>2019/10/10 20:08:55</t>
  </si>
  <si>
    <t>投诉人李李祖裕投诉对象平安银行涉诉金额56000元问题类型诉求类型投诉详情点击的时候以为是测试额度，借款须知上也没说明不使用的情况下也要固定扣每期手续费。</t>
  </si>
  <si>
    <t>2019/10/10 20:07:40</t>
  </si>
  <si>
    <t>万惠及贷变相收取高额息费以及暴力催收，性质恶劣的网贷必须要根除，希望平台能严查，。</t>
  </si>
  <si>
    <t>2019/10/10 20:06:37</t>
  </si>
  <si>
    <t>10月10日，有一笔恒易贷分期还款866.79元，029-6363017恒易贷全国客服电话，工作人员验证了我的手机验证码和身份证后说我需还款895元，只有通过人工处理才能还款成功的，或者就等着逾期吧，并叫我加了微信，巜人工处理018》的微信，人工处理018:说系统维护中，只能把钱转入指定账户《南京烟筒花科技有限公司》的帐户上，钱转出了后，我发现有问题找到了95713恒易货的客服电话，说不是公司的，我才发现上当了。</t>
  </si>
  <si>
    <t>2019/10/10 20:06:12</t>
  </si>
  <si>
    <t>2000元借一个月，目前第三天想提前还款，发现500元的手续费，不合法。</t>
  </si>
  <si>
    <t>2019/10/10 20:06:04</t>
  </si>
  <si>
    <t>10月9日，我在整理账单时发现，6月5日晚8时19分，我的贷款已到账123400元，与此同时，有43400元被友信划扣用于购买了中国人民保险的个人借款保证保险，这份保险友信的工作人员从未与我提及，我也未在保险单上签字，事后也未接到任何形式的通知，根据保险法的第十五条规定，保险合同成立后，投保人可以解除保险合同。</t>
  </si>
  <si>
    <t>投诉人 牛先生        投诉对象  恒昌利通        涉诉金额  1 369 元    问题类型    诉求类型投诉详情  未到还款日恶意催收，态度嚣张，威胁恐吓。</t>
  </si>
  <si>
    <t>2019/10/10 20:05:48</t>
  </si>
  <si>
    <t>在泰康人寿买的保险，过期了2天就不给复效，中途未收到任何提醒。</t>
  </si>
  <si>
    <t>2019/10/10 20:04:54</t>
  </si>
  <si>
    <t>上次跟客服沟通说这几天处理，因本人昨天刚周转过来的资金就被其他平台扣掉了现在刚刚工作这个月实在周转困难处理不了想协商到下个月10号处理，本人非常有意愿还款，今天催收又打电话过来催收了，本人和催收沟通不了，因为催收说话不靠谱，强烈要求客服和催收人员沟通好期间不要电话骚扰，省得我下次又来反馈投诉！因本人注册的130这个号码已停用，有问题请联系188******72。</t>
  </si>
  <si>
    <t>2019/10/10 20:04:49</t>
  </si>
  <si>
    <t>投诉人 欧波        投诉对象  付临门支付        涉诉金额  9 999 元    问题类型    诉求类型投诉详情  费率私自调。没接到通知。打客服电话也没反应</t>
  </si>
  <si>
    <t>2019/10/10 20:04:16</t>
  </si>
  <si>
    <t>在本人不知道且与对方无任何业务往来的情况下盗取本人卡内296元。</t>
  </si>
  <si>
    <t>2019/10/10 20:02:29</t>
  </si>
  <si>
    <t>36%，年利率在24-36之间，借款人有权拒绝还款，出借人不得以法院胜诉方式要求借款人还款，跟平台进行沟通，然后不停的骚扰恐吓到我的朋友跟家人，不能协商还款，年利率超过国家规定，暴力催收，爆我通讯录，泄露我的债务信息，要求赔偿，停止骚扰恐吓，我爸有精神上的病，要是旧病复发，我就跟你们走法律途径到底。</t>
  </si>
  <si>
    <t>2019/10/10 20:02:22</t>
  </si>
  <si>
    <t>交通银行信用卡一直还款记录良好，8月份从2万5的额度降到2千，资金循环不过来，周转不开，无力偿还，还继续电话跟我说这不是耽误时间吗，言辞上一直说我不还款，还不让给我打电话，我根本就没有这样的意思，把我的情况全盘跟家人说威胁恐吓我家人说12点前不还就要起诉我，那我想问一句，是不是12点起诉我，我12点就要去法院，在没有逾期前打了02195559说明情况，对方直接挂了，也不给我转，因为骚扰电话很多，就没接，后来也积极与银行取得联系，也说明了自身情况，想协商还款方案，但是银行不予协商，在2019年10月10日早上</t>
  </si>
  <si>
    <t>2019/10/10 20:02:17</t>
  </si>
  <si>
    <t>2017年8月，当时我去应聘她跟我说我能力不够需要培训上岗，培训期间有1000块钱补助在此期间他们也会给我一些单子让我赚钱，培训出来后直接在他们公司上班一个月6000，后边我觉得不对想要退她们刚开始跟我说行过几天就给我弄，后边又说已经超过一个月不能退，而且当时他们给我说的学费是7600贷款却是19800，他们所说的补助也是让我们再去百度有钱花上去贷款，明知道我是没有工作的情况下让我带那么多钱。</t>
  </si>
  <si>
    <t>2019/10/10 20:01:43</t>
  </si>
  <si>
    <t>今日宏萨信息科技无故盗刷人民币296元，此前与该公司并无交易往来，请求退款并消除本人账户信息。</t>
  </si>
  <si>
    <t>2019/10/10 20:01:25</t>
  </si>
  <si>
    <t>投诉人 高尚        投诉对象  （特约）中智        涉诉金额  690 元    问题类型    诉求类型投诉详情  在我为知情情况下连续扣款，且未有扣款理由。</t>
  </si>
  <si>
    <t>2019/10/10 20:00:59</t>
  </si>
  <si>
    <t>未经过本人允许擅自扣款，退款退不了，打客服电话客服用其他话搪塞我，。</t>
  </si>
  <si>
    <t>2019/10/10 20:00:40</t>
  </si>
  <si>
    <t>在马上金额旗下的安逸花产品借款：5000元，每个月20号还款，这次还款我的银行卡出现了问题，存进去的钱不停的会被扣光，这些我都可以提供凭证，和这个平台合作过不止一次了，现在却给我的联系人打电话，给我爸妈打电话，这种行为我不能认同，我都说了可以还上，还要打电话。</t>
  </si>
  <si>
    <t>2019/10/10 20:00:12</t>
  </si>
  <si>
    <t>我于2019年7月25日在钱站平台借款13000块钱，当初推广客服告诉我，借款正常还款一个月过后就能选择结清，结清金额在12000元左右，不收违约金，我明明只借了13000，现在本金变为17680元，这就是变相的高利贷，并且在我正常还款一月之后，我联系钱站工作人员说打算结清，告诉我需要17000元才能结清，我期间还了一期1830元，这等于是我两个月时间不到，13000需要还18830元，这不是高利贷这是什么，现在我要求按照之前钱站推广人员给我说的金额要求结清。</t>
  </si>
  <si>
    <t>2019/10/10 19:59:44</t>
  </si>
  <si>
    <t>我招联金融逾期五十多天，最初我手机号码跟换果招联金融联系过我联系人，但是我在和他们客服已经报备过我的新手机号码已经不低于三次了，最初还联系我本人，我也把我的情况和他们催收说过了，我招联从16年我就开始使用，一直没有逾期过，今年年初我出现经济状况，生意倒闭，在八月的时候招联突然关闭了我可借额度，我没有办法在去借款，因为每次我都是还了在借出来，在给别人，也就是说每个月我都还近千的利息，八月后我实在无力偿还，可是招联的催收部门每天给我联系人发信息，说我逾期多少钱，上全国是信任，终身限制等信息，却不联系我本人，只联</t>
  </si>
  <si>
    <t>2019/10/10 19:59:31</t>
  </si>
  <si>
    <t>北京爱农驿站科技服务有限公司,汇潮支付,乐家易付,浙江航天电子信息产业有限公司,百联优力,得仕，和支付清算协会得知第三方支付业务应审核客户的相关信息，第三方支付业务公司不得向证券，期货，博彩等机构提供支付结算业务，本人在上网期间加入一个投资群，说有稳定投资，我看充值都是通过云闪付中国银联有安全保障，就开始跟着他们投资，后来发现是非法赌博网站，网站为吉祥坊，网址为www.wellbetking.org，本人在此期间损失惨重，资金都是家里贷款得来，现在家人精神崩溃随时会出事，请求退款赔偿，具体的几家支付公司为汇</t>
  </si>
  <si>
    <t>2019/10/10 19:59:09</t>
  </si>
  <si>
    <t>投诉人 潘先生        投诉对象  支付宝        涉诉金额  93 元    问题类型    诉求类型投诉详情  支付宝，违法限制个人资金提现。！！！！！！！！！！！！！</t>
  </si>
  <si>
    <t>2019/10/10 19:58:48</t>
  </si>
  <si>
    <t>我在2019年7月17日在你我贷的嘉卡贷借款10800元，实际到账10800，但是要还14682.12元，已超出国家规定年利率百分之24，现在已经还款两期，因利息太高申请协商偿还本金被拒，还有一堆管理费和服务费。</t>
  </si>
  <si>
    <t>2019/10/10 19:55:57</t>
  </si>
  <si>
    <t>而且当天借当天还而且一天的利息是300五天就是1080元，一次结清就要还3088元就借了2008却要还3088。</t>
  </si>
  <si>
    <t>2019/10/10 19:54:59</t>
  </si>
  <si>
    <t>投诉人史女士投诉对象平安普惠涉诉金额180000元问题类型诉求类型投诉详情高利贷贷款18万36期利息10万多强加保险费。</t>
  </si>
  <si>
    <t>2019/10/10 19:54:37</t>
  </si>
  <si>
    <t>投诉人郭先生投诉对象上海东方尚学培训中心涉诉金额13000元问题类型诉求类型投诉详情自2018年9月起东方尚学培训机构开始拖欠员工工资，至今年7月二次入职之后越发严重，现在工资不发成为了常态，问人事及领导询问工资发放情况，开始还能找一大堆借口来拖欠，现在直接是什么借口都不找，公司就是不发你钱，7，8，9月，三个月发了2500块钱搞得像是施舍一样，还有一万余工资未发放，7月份工资拖欠快两个月时间，请问公司领导，员工给你打工卖命，你却让员工草都没有吃，还要员工像狼一样拼命。</t>
  </si>
  <si>
    <t>2019/10/10 19:54:25</t>
  </si>
  <si>
    <t>与合作商户一起砍头息，高利贷违法行为，对消费者服务态度恶劣，不合理处理由合作商户造成的征信污点问题！。</t>
  </si>
  <si>
    <t>2019/10/10 19:53:33</t>
  </si>
  <si>
    <t>朋友在滴滴出行平台上借款2000元，平均三天就会接到滴滴出行的电话打到我这里来，口气不好，态度恶劣，又不是我欠你们平台的钱，搞的像黑社会一样的。</t>
  </si>
  <si>
    <t>冒充银行工作人员给家人打电话，恶意诋毁本人，给我造成很大的心理伤害，客服永远没有解决，只会打电话来威胁，狡辩。</t>
  </si>
  <si>
    <t>2019/10/10 19:52:56</t>
  </si>
  <si>
    <t>投诉人 张女士        投诉对象  拍拍贷        涉诉金额  8 800 元    问题类型    诉求类型投诉详情  拍拍贷高利息。8800分18期，算算利息还是相当高的。</t>
  </si>
  <si>
    <t>2019/10/10 19:52:53</t>
  </si>
  <si>
    <t>本人之前因为经济问题，相继在我来贷借款了20000元，20000元，4500元，在借款合同中显示的利率与实际还款的利率严重不符，合同上的利率远低于实际还款利率，实际利率已远超国家规定利率，因为实在无法承担如此高额利率，联系客服想要提前结清欠款，客服却说提前还款仍需全额支付利息，这明显不符合国家法律规定，希望聚投诉平台协助沟通减免其他费用，允许提前结清欠款。</t>
  </si>
  <si>
    <t>2019/10/10 19:52:52</t>
  </si>
  <si>
    <t>高利贷借1000合同显示1330还款1404.99利息太高请调整。</t>
  </si>
  <si>
    <t>2019/10/10 19:51:59</t>
  </si>
  <si>
    <t>投诉人 王先生        投诉对象  大鹅购        涉诉金额  3 800 元    问题类型    诉求类型投诉详情  砍头息，爆通讯录，谩骂，威胁，恐吓联系人。</t>
  </si>
  <si>
    <t>2019/10/10 19:50:57</t>
  </si>
  <si>
    <t>前段时间已经投诉过，一直都不给处理，也不给回复，问题推来推去，当初放款的时候也没见你们这么严谨，赶紧把事情解决掉，等了这么多天，你们平台就是这么处理问题的吗。</t>
  </si>
  <si>
    <t>2019/10/10 19:50:01</t>
  </si>
  <si>
    <t>本人2016年在祈福南湾半岛购入一套洋房，当时感觉这里的环境很好，销售又说有楼吧往返广州，而且班次好，车程45分钟，票价8元单程，觉得很合理，之后在2019年10月7日突然收到通知楼吧已承包给别的巴士公司经营，而且票价升了一倍，去广州单程要15元，对于我们这些经常来回广州的人，是一个不少的负担，况且升价也没有依据，也没提前跟业主开会通知，希望聚投诉能跟进，给我们业主一个公平的结果。</t>
  </si>
  <si>
    <t>2019/10/10 19:49:19</t>
  </si>
  <si>
    <t>发信息骚扰我的家人同事导致我丢了工作，还冒充公检法人员恐吓我要坐牢，从没说过不还款。</t>
  </si>
  <si>
    <t>2019/10/10 19:48:34</t>
  </si>
  <si>
    <t>10月10日，催熟人员加微信并且声称明日直播催收全过程，以恐吓威胁的方式来逼迫我！我已经承诺12号之前处理款项！但是催收人员却说直播催收过程！我在此之前也有过承诺10号处理，但是9号我朋友的钱晚上还了花呗，由于也是风控花呗不能扫码支付，所以套不出来！只能在淘宝以刷单的形式套取！我已经说的很明白，中间只需要一天的时间！催收人员以恐吓威胁的方式来逼迫，并且说11号上午10点直播全过程，我逾期是不对，但是这种作为违法违规！我已经做出承诺！。</t>
  </si>
  <si>
    <t>2019/10/10 19:48:26</t>
  </si>
  <si>
    <t>威胁我，我现在很怕，准备去公安局报警，刚才一个男的催收打电话过来说明天陪我玩，恐吓我说没人管我，你们这一个月都在给我电话，我有那个电话是没有接听的，你们几乎每天都在给我打电话，说要明天陪我好好玩。</t>
  </si>
  <si>
    <t>2019/10/10 19:48:23</t>
  </si>
  <si>
    <t>本人在你我贷借款3000元，分十二期，每期302.55，以还10期，本来跟客服人员协商好提前结清只需要450元就可以，但是一直没有扣款，知道今天下午逾期之后一直给我打电话，骚扰本人以及本人的家人朋友，泄露个人隐私，希望聚投诉对你我贷严肃处理，这样的平台就是在扰乱社会秩序。</t>
  </si>
  <si>
    <t>2019/10/10 19:48:14</t>
  </si>
  <si>
    <t>已经归还两期，只剩最后一期，实在承担不起，希望协商还款销账。</t>
  </si>
  <si>
    <t>2019/10/10 19:48:00</t>
  </si>
  <si>
    <t>投诉人 张先生        投诉对象  现金巴士        涉诉金额  1 500 元    问题类型    诉求类型投诉详情  现金巴士暴力催收 恐吓侮辱通讯录联系人 高额逾期费一天15元 不肯协商减免 现要求停止骚扰 本金加合理利息销账 还继续骚扰就报警处理</t>
  </si>
  <si>
    <t>2019/10/10 19:47:29</t>
  </si>
  <si>
    <t>本人在2018年12月28日向点融金融申请借款1万元，每月还款1195元，借款期限12个月，总还款14340元，远超国家利率标准，。</t>
  </si>
  <si>
    <t>2019/10/10 19:47:14</t>
  </si>
  <si>
    <t>正在打电话期间，突然重启，无法强制关机，直到电池电量耗尽，检查后原因是因为主板虚焊，供电不足，本质原因是OPPO公司使用了一批质量有问题的主板，导致大量用户出现此类情况，现要求厂家召回问题机型，并妥善处理好主板问题。</t>
  </si>
  <si>
    <t>2019/10/10 19:47:10</t>
  </si>
  <si>
    <t>，期限6天，还款2800元，现申请退回多收利息，因App登陆不进去，由厦门绿勤斯贸易有限公司代为收款。</t>
  </si>
  <si>
    <t>2019/10/10 19:47:01</t>
  </si>
  <si>
    <t>因为找工作期间的资金压力较大的原因，所以拖欠，在催收人员联系上我之后我也积极的还款，将拖欠部分全部结清，而催收人员在我还清所有逾期部分的情况下不能抱着协商和相互理解的态度对我一直逼压，以上门了解情况为由，威胁我他们将会协同村委会，公安一起去我老家了解情况，可是我现在身上还剩200元需要生活一个月，生存都存在压力如何能还清，如果他们上门催收以农村现在的环境来说将对我的家庭造成一下伤害：①对我父母造成很大的伤害，在农村老家这种影响会跟随一辈子，②对尚未结婚的我来说，可能一辈子抬不起头，一辈子都毁在这上面了，③成</t>
  </si>
  <si>
    <t>2019/10/10 19:46:00</t>
  </si>
  <si>
    <t>投诉人徐伟伟投诉对象联城易贷涉诉金额5000元问题类型诉求类型投诉详情一直让交押金不放款，先交了1000元服务费，又交了4000元改资料费，然后说银行把我账户锁定了，让我再交6000元回档，然后问客服要账号，客服也一直不说话不理我，感觉被骗了，现在账户里面有24000元也提不了现，希望你们尽快帮忙处理，帮忙追回我的损失，谢谢！！看到结果后，如果结果不满意然我就去报警。</t>
  </si>
  <si>
    <t>2019/10/10 19:45:55</t>
  </si>
  <si>
    <t>工作人员扬言把信息已经卖给第三方了，让第三方要账公司到单位拉横幅要帐，小区要钱贴标语，我真的不知道这种公司是那个官员给撑腰，宜信普惠面临倒闭，阴阳合同，那个官员分不清现在扫黑除恶专项行动嘛，还要顶着冒险为这种坑人的公司撑腰，卖给第三方催账公司，合法吗，请你们宜信公司！！！请不要骚扰我！！！我已经报警了，各种骚扰我！！！骚扰通讯录的电话号码全部乱打！！！电话号码：，5384‬换着电话来骚扰！！！你们为什么不征求我的意见能知道我的通讯录而且还要乱打！。</t>
  </si>
  <si>
    <t>2019/10/10 19:44:01</t>
  </si>
  <si>
    <t>，10月10日发现该商品由原来1299一降价到887，短时间内差价412元，10月1日快递送货收到货，7天无理由也要到10月8日可以退货，10号发现商品降价，客服同意退货，不找差价，短时间内降价超过三分之一，让人无法接受，觉得是恶意欺诈。</t>
  </si>
  <si>
    <t>2019/10/10 19:43:59</t>
  </si>
  <si>
    <t>投诉人顾先生投诉对象拉卡拉支付涉诉金额20000元问题类型诉求类型投诉详情拉卡拉在6月份恶意冻结我的商户资金，解释为交易异常，第一，拉卡拉并不是监管执法部门，无权冻结我的资金第二，拉卡拉要求我提供涉及商业和个人隐私材料，提供后仍然百般刁难，已经构成侵权。</t>
  </si>
  <si>
    <t>2019/10/10 19:43:45</t>
  </si>
  <si>
    <t>资金紧张导致逾期未还，拍拍贷催收每人一天5.6个以上的电话打我给我通讯录里的好多人，还威胁我要把我的手持身份证照片群发我的通讯录，本想着这个月发了工资还进去的，现在这种情况没办法接受。</t>
  </si>
  <si>
    <t>2019/10/10 19:43:43</t>
  </si>
  <si>
    <t>2019年10月10日18:27通联支付上海宏萨在没有通知本人，未经本人同意的情况下，恶意扣除我银行卡上的钱，一共296元，要求尽快退钱给我。</t>
  </si>
  <si>
    <t>2019/10/10 19:43:25</t>
  </si>
  <si>
    <t>中信信用卡催收！此人自称中信银行法务部门！给我邮寄过律师函！现在又开始在我工作期间打电话骚扰我！最过分的是开始骚扰我的家人！给我家人发短信！打电话！而且时间是在晚上七点多钟！请问这是银行吗。</t>
  </si>
  <si>
    <t>2019/10/10 19:43:13</t>
  </si>
  <si>
    <t>车主邦和中国建设银行虚假广告，诱导用户办理建行etc，找车主邦发放优惠券，车主邦，拒不履行承诺，叫我找中国建设银行，我打电话找中国建设银行，中国建设银行又推给车主邦。</t>
  </si>
  <si>
    <t>2019/10/10 19:42:51</t>
  </si>
  <si>
    <t>51金钱贷违规收取逾期费用，高于银行标准逾期一天的情况下采用电话暴力催收，通过微信言语恐吓。</t>
  </si>
  <si>
    <t>2019/10/10 19:42:39</t>
  </si>
  <si>
    <t>本人于9月25在网教通公共版上通过抽奖抽得铅笔盒一个。</t>
  </si>
  <si>
    <t>2019/10/10 19:42:00</t>
  </si>
  <si>
    <t>未接听到任何工作人员电话，在可以联系到本人得情况下委托第三方准备上门催收，因国庆放假，本应十号上班的工资，财务未及时发放工资，导致账单逾期，在未接听到京东金融工作人员的电话情况下，不知身份的第三方要挟上门催收，并且说明已经发送通知函到本人所在村委会，更有不明情况的向第三方以及第三方以外的人员泄露个人资料，通讯信息以及个人信息！涉及金额是白条以及金条总欠款！。</t>
  </si>
  <si>
    <t>2019/10/10 19:41:45</t>
  </si>
  <si>
    <t>由于本人最近资金很紧张，就逾期两三天他们公司催收部每天二三个电话对我就行狂轰乱炸，还对我本人就行侮辱，而且我还跟他们门店说明情况了，他们还不依不饶的，态度极其恶劣。</t>
  </si>
  <si>
    <t>2019/10/10 19:41:42</t>
  </si>
  <si>
    <t>新橙优品变相收取砍头息，在新橙优品借款1万元，在不知情的情况下收取1000元保险费，实际到账9000元，分六期还款每月还款2210元，远远超过了国家规定利率，事实为高利贷，违法。</t>
  </si>
  <si>
    <t>2019/10/10 19:41:13</t>
  </si>
  <si>
    <t>就因为之前投诉一次.这回还完钱就不让我用了，我提前三天就还了，居然还套路我，放心吧！给我解开吧！不会投诉你们了，前期费用我也不要了，帮忙借开就行，谢谢工作人员，不会再投诉了。</t>
  </si>
  <si>
    <t>2019/10/10 19:40:52</t>
  </si>
  <si>
    <t>8月27日在新意花app里的小木钱包申请一笔借款每一期8天需还款1022.4元，已还款2期，共2044.8元，9月20号到期的第三期，新意花app出现问题无法还款，客服联系不上，持续10几天无法正常还款且联系不上，期间各种被骗和还款不销账的消息到处都是，很多人在聚投诉平台投诉此事，本人也在20号在公众号还款第三期，小木钱包客服拒不承认，但如果不是内部人员的话谁会知道我在该平台借款，现在逾期费用已叠加到3786元，10月9日有自称新意花小木钱包的工作人员联系我让我连逾期费用一起偿还，且态度恶劣，今日已经爆我通</t>
  </si>
  <si>
    <t>2019/10/10 19:40:15</t>
  </si>
  <si>
    <t>于2019年4月26日签订了《犀牛云-产品服务购买合同》，合同约定两项收费项目共计68000元，其中包括：1.，乙方广告服务套餐服务价值62500元；2.，待网站为我司设计完毕，由于该公司内部原因，后续无法进行推广，故双方协商退款，由于网站设计完毕，本公司不追求此网站是否价值5500元，但按照合同约定，剩余62500元，应原数退回，但对方却巧立名目，说还要扣除6980/年，2年共13960元的产品费，所谓产品费是指他们后台、域名、服务器、维护费用等，对方也承认在签订合同时，这些都是赠送的，可是退款时，却违反</t>
  </si>
  <si>
    <t>2019/10/10 19:38:58</t>
  </si>
  <si>
    <t>投诉人刘女士投诉对象御剑飞行涉诉金额3500元问题类型诉求类型投诉详情御剑飞行app自动下款2100，5天期限要还3517这个app在填完审批资料后，直接给我银行卡转账2100，而且还款期限只有5天，需要还款3517.26，5天的利息居然超过1400，拒绝承担不合理的费用，愿意把2100还给他们。</t>
  </si>
  <si>
    <t>2019/10/10 19:37:53</t>
  </si>
  <si>
    <t>本人于20180117在惠州是惠城区云山西路凯宾斯基友信普惠申请一笔贷款60000，当时客服与业务和我说的我通过的金额是6万的没有任何服务费的，2019.10.10致电友信普惠4006909666,申请提前结清，客服告知提前还款仍需41199.28元，询问客服解释说当时是有一笔三万多的服务费一次性扣除的，所以我的贷款本金是91200的，但是本人银行卡实际到账是只有6万元整的，请问这是属于变相的砍头息吗，根据中华人民共和国《合同法》第二百条，借款的利息不得预先在本金中扣除，利息预先在本金中扣除的，应当按照实际</t>
  </si>
  <si>
    <t>2019/10/10 19:37:43</t>
  </si>
  <si>
    <t>我在招商银行办理有一张信用卡，因近期几个月工资没有发，导致资金不足还不上此信用卡，期间银行客服联系过我，我也有说明并非恶意逾期，并且在此期间有过小额还款，在我和银行协商的时候，我提出可以分期还，但是银行客服霸王条款，硬是让我一次性还完，并告知我现在加上本金一共需要偿还7000多，之后银行并未与我进行协商还款事宜，如今招商银行委派第三方催收公司进行催收，催收手段是软暴力，其中包括发假传票、假公文，并电话恐吓上门催收涉嫌欺骗和恐吓等行为！在我逾期的几个月里，利息和违约金就产生了1000多，本金才6000，和高利</t>
  </si>
  <si>
    <t>2019/10/10 19:37:40</t>
  </si>
  <si>
    <t>利息太高借1000合同上显示1300还款1718。</t>
  </si>
  <si>
    <t>2019/10/10 19:37:09</t>
  </si>
  <si>
    <t>中金支付无故扣款408元，多次拨打中金支付电话无人接，九月份已投诉，至今无解决方案。</t>
  </si>
  <si>
    <t>2019/10/10 19:36:15</t>
  </si>
  <si>
    <t>这种借款模式就等于强制购买会员卡才能借款变相收取高额利息。</t>
  </si>
  <si>
    <t>2019/10/10 19:35:33</t>
  </si>
  <si>
    <t>凡普金科第一，合法合规，那么请问，我借款55000元，合同金额为何是87100元，那么多出来的32100元哪里去了，第二，请提供合法合规的相关放贷资质第三，国家有关规定，变相收取的手续费，服务费，咨询服务费以及保险费，全部计入利息，故，你平台的年利率已远远超出了36%。</t>
  </si>
  <si>
    <t>2019/10/10 19:35:02</t>
  </si>
  <si>
    <t>4000元有800是保险费，我本人认为这保险费太贵了，要求退还。</t>
  </si>
  <si>
    <t>2019/10/10 19:34:19</t>
  </si>
  <si>
    <t>投诉人孙女士投诉对象www.edutouraustralia,微信,公众号名为澳大利亚教育资讯涉诉金额1000元问题类型诉求类型投诉详情这家游学机构连学校名字都不肯提供，要求付全款，怀疑是否有资质，并且最后拒不退还定金，还无理要求个人信息。</t>
  </si>
  <si>
    <t>2019/10/10 19:33:49</t>
  </si>
  <si>
    <t>我在恒易贷借款，于2019年10月9日到期还款，10月10日接到恒易贷官方电话要求还款，准备去还款时，发现恒易贷app已无法打开，无法还款，造成我的逾期罚款，且涉及征信问题，要求恒易贷公司做出合理解释和赔偿。</t>
  </si>
  <si>
    <t>2019/10/10 19:33:31</t>
  </si>
  <si>
    <t>投诉人谢女士投诉对象腾讯财付通涉诉金额200元问题类型诉求类型投诉详情无缘无故被扣款200元，查了银行app，显示的是微信转账，但是在微信没有任何记录，而且本人确定以及肯定自己并没有消费。</t>
  </si>
  <si>
    <t>2019/10/10 19:32:52</t>
  </si>
  <si>
    <t>7月14日，共12期，每期还款金额为3071.65元，共还款36859.8元，综合年利率达到64%，该平台以收取服务费为由变相收取利息，根据互联网金融风险专项整治工作领导小组办公室、P2P网贷风险专项整治工作领导小组办公室共同发布的《关于规范整顿“现金贷”业务的通知》明确规定，不得撮合或变相撮合不符合法律有关利率规定的借贷业务;禁止从借贷本金中先行扣除利息、手续费、管理费、保证金，以及设定高额逾期利息、滞纳金、罚息等，小象优品平台以收取高额服务费为由，实际变相收取高额的利息，还款日当日，在因工作家庭突然困难</t>
  </si>
  <si>
    <t>2019/10/10 19:32:47</t>
  </si>
  <si>
    <t>投诉人蓝冬梅女士投诉对象360借条涉诉金额2800元问题类型诉求类型投诉详情他们骚扰恐吓我家人朋友带来的负面情绪影响导致我对生活消极有轻生的念头。</t>
  </si>
  <si>
    <t>2019/10/10 19:32:27</t>
  </si>
  <si>
    <t>投诉人陈女士投诉对象蚂蚁金呗涉诉金额10900元问题类型诉求类型投诉详情蚂蚁金呗恶意放款，在App注册填写个人资料后在本人未同意的情况下借款3500元，实际到账2000元，期限也5天，利息费用极高，到期后因app登陆不上且联系不到客服导致逾期，逾期后收取3500的预期费用，严重违法国家相关法律，且蚂蚁金呗泄露本人个人资料，不法分子自称为蚂蚁金呗平台客服要求转账还款，本人因此损失3900元，现要求蚂蚁金呗退还本人多还的5500元及损失的3900元，并销毁本人个人资料信息。</t>
  </si>
  <si>
    <t>2019/10/10 19:32:21</t>
  </si>
  <si>
    <t>10月10日晚6点01分，一个名叫上海宏萨信息科技有限公司的，从我卡里无缘无故扣了296块钱，没有任何短信提示，支付通道是通联支付，请贵平台联系一下，这是个啥情况。</t>
  </si>
  <si>
    <t>2019/10/10 19:32:17</t>
  </si>
  <si>
    <t>投诉人陈三妹投诉对象立刻出行涉诉金额499元问题类型诉求类型投诉详情8月22日申请退保证金499元，一直未退还，电话打不通。</t>
  </si>
  <si>
    <t>2019/10/10 19:31:57</t>
  </si>
  <si>
    <t>投诉人周先生投诉对象速金服涉诉金额3600元问题类型诉求类型投诉详情本人在速金服借款3000需还3600，已经高出国家贷款利率标准，属于高利贷，本人只愿还本金。</t>
  </si>
  <si>
    <t>2019/10/10 19:31:05</t>
  </si>
  <si>
    <t>在京东第三方店铺国通石油买了两张石油卡，十月不能用了，卖家无正当理由不退款，要求严惩卖家国通石油公司，处理京东平台。</t>
  </si>
  <si>
    <t>2019/10/10 19:30:47</t>
  </si>
  <si>
    <t>投诉人敖世浪投诉对象优信二手车涉诉金额15000元问题类型诉求类型投诉详情1.我于2017年底在优信分期购买一辆雪佛兰科鲁兹车辆，当时车辆总价54800元，选择首付是10%当时付款5480元，优信截止目前未提供合同，后我登录APP查看才得知贷款变成6万元，比实际多出1万余元，2.因销售宣传说1年之后了过户，超过1年后我多次联系致电优信客服，开始逃避，现联系却说万过户需购买优信车险才可过户，综上，我要求优信退回我多支付的贷款1万余元及承担车辆过户所有费用，共计：15000元。</t>
  </si>
  <si>
    <t>2019/10/10 19:30:41</t>
  </si>
  <si>
    <t>投诉人李女士投诉对象中信银行信用卡,中信银行涉诉金额8000元问题类型诉求类型投诉详情因家庭原因遇到困难，现目前无法正常还款，导致中信信用卡逾期8000元，中信银行工作人员打电话到单位，影响个人在职工作，后期可能导致无法继续工作！母亲身患癌晚期家里已经陷入困境！中信银行是想把人往死里逼吗。</t>
  </si>
  <si>
    <t>2019/10/10 19:30:14</t>
  </si>
  <si>
    <t>投诉人 武女士        投诉对象  捷信金融        涉诉金额  8 000 元    问题类型    诉求类型投诉详情  自称律师的人打电话说明天上门。不还就代理捷信起诉会让我赔2-3倍违约金。说我合同诈骗。然后说会有人去找村长支书去我家了解情况。收集证据。我一直都有和捷信说现在实在没有能力。现在有了抑郁症。希望捷信可以不要造成父母的担心。加重我病情。可以分开还。但是捷信一直出尔反尔。希望捷信打电话给我。我拒绝你们上门。或者可以找法院走正常程序。而不是自</t>
  </si>
  <si>
    <t>2019/10/10 19:30:00</t>
  </si>
  <si>
    <t>本人约5月份与建设银行总行信用卡部协商还款36期，每期约3300元，共11万2千，包括广东分行一廖姓经理（9月28表示愿意帮助看能否二次分期，但国庆后他表示已经对案件失去管理权限）江门总行一黄姓经理（由8月到10月都表示不可能分期），也于今天和老婆儿子到江门分行请求原谅和机会，但无法同意……以及接听回复无数批次的第三方电话，本人打工大货车司机，常常在开车途中，实在崩毁，由于这两年家里发生很多事情，岳父入院手术，儿子多次住院，生意失败亏钱外，也被人骗了几万元……有一朋友借我4万元，在5到8月期间，忙于还4万元</t>
  </si>
  <si>
    <t>2019/10/10 19:28:44</t>
  </si>
  <si>
    <t>涉诉金额10000元问题类型诉求类型投诉详情本人在安逸花中有16000元额度，一直正常使用，本月额度被冻结，不能使用，本月账单近万元，无力偿还，希望安逸花可以账单进行下分期或者恢复我的账号正常使用。</t>
  </si>
  <si>
    <t>2019/10/10 19:28:37</t>
  </si>
  <si>
    <t>半夜三更本人银行卡遭遇盗刷，请求银联为我追回，证据在图片里面。</t>
  </si>
  <si>
    <t>2019/10/10 19:28:23</t>
  </si>
  <si>
    <t>催收员威胁，恐吓，冒充法务部，进行催收，不还钱就要我坐牢，用不法渠道添加微信，发威胁，恐吓，。</t>
  </si>
  <si>
    <t>2019/10/10 19:27:25</t>
  </si>
  <si>
    <t>就在今天收到10月8日的一单处罚单，但是经过我自己的查询并没有违规送达，蜂鸟众包系统提示违规送达，申诉了以后也失败了，提前送达不存在的，因为在点送达之前我是已经联系顾客开门取餐了，送完以后才点的送达，没在定位送达的话，顾客的定只能定位到金东新村，详细的几栋几单元定位不详细，我点送达的位子就是顾客下单，以及需要送达的位子，但是蜂鸟众包系统判定我违规送达，申诉还失败，每一单都是骑手辛苦跑的希望得到帮助。</t>
  </si>
  <si>
    <t>2019/10/10 19:27:17</t>
  </si>
  <si>
    <t>平安普惠每个月还没到还款日就开始打电话催存钱到银行卡里了，如果不接电话还乱打我联系人的电话！本人每个月还款日为13号，但是基本每个月8号或者9号就开始打电话骚扰我了，又没逾期凭什么总催我还款，希望聚投诉帮忙解决。</t>
  </si>
  <si>
    <t>2019/10/10 19:27:08</t>
  </si>
  <si>
    <t>多次发信息威胁我，我并非本人，现生活完全被打扰。</t>
  </si>
  <si>
    <t>2019/10/10 19:26:29</t>
  </si>
  <si>
    <t>2017年借了趣花分期7600，分期6期，每期1487.4，每期手续费288，最后一期手续费292.5，最后一期逾期几天打电话威胁上门，朋友那边也骚扰，一直到现在没给还，平台没把催收工作人员交出来道歉，在趣花分期借了好多次，利息早就够还7600几个本金了，截止近期债务转给扬海资产，本金告诉我已经还了7400多，还有2000多，现在天天骚扰威胁，要求销账，赔偿多支付的利息，平台解决不了，那咱们走法律程序，多给的我没找你们平台要，现在你倒过来找我所要利息，冠冕堂皇的说是本金，你们怎么那么好意思。</t>
  </si>
  <si>
    <t>2019/10/10 19:25:39</t>
  </si>
  <si>
    <t>垃圾滴滴平台，操控，不派单，不在他们平台买的车，倾斜派单，几个小时不派单，欺诈司机，垃圾平台。</t>
  </si>
  <si>
    <t>2019/10/10 19:24:48</t>
  </si>
  <si>
    <t>投诉人 孙先生        投诉对象  花薪        涉诉金额  1 997 元    问题类型    诉求类型投诉详情  非法获取通讯录 暴力催收通讯录 打电话对我照成工作家人的影响</t>
  </si>
  <si>
    <t>2019/10/10 19:24:42</t>
  </si>
  <si>
    <t>投诉人肖先生投诉对象淘宝闲鱼涉诉金额210元问题类型诉求类型投诉详情闲鱼购买到的打印机使用不了，无法退款退货，工作人员给我开了一个二次维权通道客服电话联系让我上传打印机无法使用凭证视频，本人一一上传了，结果过了4到5小时后，系统再次提示卖家票数过多维权失败，然后本人又打电话去闲鱼热线，闲鱼客服跟我说这单卖家得票多无法再次处理，卖家描述说打印机买回去就能使用，结果买回来却不能使用，联系卖家，卖家让我弄墨管，打印机我也不懂怎么去修，卖家怎么说我就怎么做，过程还给卖家拍照、拍视频，然而花了一天时间去弄还是没弄好，</t>
  </si>
  <si>
    <t>2019/10/10 19:24:01</t>
  </si>
  <si>
    <t>投诉人郑辉投诉对象哆咪黑卡涉诉金额299元问题类型诉求类型投诉详情注册哆咪黑卡时绑定银行卡，发送过来一个验证码，输入验证码被扣款299元，未经允许乱扣费，要求退款。</t>
  </si>
  <si>
    <t>2019/10/10 19:23:49</t>
  </si>
  <si>
    <t>投诉人李东旭投诉对象平安普惠涉诉金额550元问题类型诉求类型投诉详情因为本人资金周转困难导致逾期10天，平安工作人员加我微信二话不说直接说要爆我通讯录说要帮我找朋友借钱，藐视国家法律，语气极差，导致对我朋友直接的伤害性骚扰，也对本人精神生活上带来了巨大的影响，希望给本人及本人朋友一个合理解释极道歉。</t>
  </si>
  <si>
    <t>2019/10/10 19:23:48</t>
  </si>
  <si>
    <t>投诉人 唐先生        投诉对象  上海易搜小额贷款有限公司        涉诉金额  10 000 元    问题类型    诉求类型投诉详情  贷款后至今没有合同，利息2.5分，</t>
  </si>
  <si>
    <t>2019/10/10 19:23:42</t>
  </si>
  <si>
    <t>投诉人刘步云投诉对象淄博国韵兴辰贸易有限公司,瀚银科技涉诉金额10850元问题类型诉求类型投诉详情商户拒不发货，我用的云闪付支付的收款机构是上海瀚银，希望平台能跟进一下我的事项。</t>
  </si>
  <si>
    <t>2019/10/10 19:22:50</t>
  </si>
  <si>
    <t>投诉人李先生投诉对象顺丰速运涉诉金额139元问题类型诉求类型投诉详情错误收取费用，单号不是我的一周未给出答复要求对快递员进行处罚。</t>
  </si>
  <si>
    <t>2019/10/10 19:22:31</t>
  </si>
  <si>
    <t>七月份在滴滴打车平台借款1000元，事后一个月想还款，主动致电给中邮消费，咨询能否主动还款，一次性还清，结果中邮客服回答不能主动还款，不支持一次性结清，由于本人确实经济困难，农业信用卡现在逾期三个多月了，不能一次性结清中途每到还款时都主动跟中邮消费致电，我绑定的卡是农业卡，现在信用卡已经逾期了，只能各自还一点，一部分，我预先把钱存进去，提醒中邮代扣，现中邮已经代扣两个至三个月了，这个月，前几天由于手里摔坏原因，加上在乡下，不能操作，一百块零一毛没能及时还，事后第二天中邮消费致电我，提醒还款，我说在乡下手里坏</t>
  </si>
  <si>
    <t>2019/10/10 19:22:29</t>
  </si>
  <si>
    <t>本人在爱又米有两笔订单，一笔本金7000，收取了866.68的砍头息，一笔本金1881元，砍头息，228元均是以强制保险费的名义收取的砍头息，综合利率远超百分之36，属于违规超高利贷，希望能减掉所有的违规利息！！。</t>
  </si>
  <si>
    <t>2019/10/10 19:22:11</t>
  </si>
  <si>
    <t>投诉人汪女士投诉对象卡卡贷涉诉金额6000元问题类型诉求类型投诉详情有沟通协商还款问题，但发同样信息给通讯录里所有人，造成对其他不相干人员的骚扰。</t>
  </si>
  <si>
    <t>2019/10/10 19:22:03</t>
  </si>
  <si>
    <t>投诉人张女士投诉对象51金钱贷涉诉金额0元问题类型诉求类型投诉详情我在51金钱贷贷款16400，每月9日还款，因为昨天我向相关部门反应情况，暂停还款，在逾期一天的情况下，51金钱贷使用多个号码不间断打电话进行暴力催收。</t>
  </si>
  <si>
    <t>2019/10/10 19:21:37</t>
  </si>
  <si>
    <t>投诉人宣先生投诉对象交通银行,交通银行信用卡涉诉金额718元问题类型诉求类型投诉详情交通银行信用卡逾期，现阶段是真的困难，不是故意拖欠，但是这交行根本没人性的，不停打原先上班过公司的电话，亲朋好友电话，中国这么多银行最无良最没道德心的就属交通银行了。</t>
  </si>
  <si>
    <t>2019/10/10 19:21:29</t>
  </si>
  <si>
    <t>投诉人叶女士投诉对象小花钱包涉诉金额4305元问题类型诉求类型投诉详情在小花钱包借了一笔款，现在资金周转困难暂时没换上，逾期两天，就开始发信息骚扰，泄露个人隐私身份证号码，还要群发，欠账还钱我能理解，今天早上有接到电话，我说这两天还，她也不说话就直接挂了电话，然后就开始发这种软暴力催收信息，我相信有很多朋友跟我一样深受其害，看到投诉他们都不敢回复，难道国家法律规定的都没有用了么，希望聚投诉能给予帮助，帮帮我们这些深受其害的人，每天被闹的鸡群不宁的。</t>
  </si>
  <si>
    <t>2019/10/10 19:21:19</t>
  </si>
  <si>
    <t>从2018年到现在，在现金巴士申请贷款每月一次，刚开始收取利息是一个月98的加速费，因为一直资金困难周转不开，每月还上再借出来，最近三个月，现金巴士的审核加速费用突飞猛涨，借款1000元，扣款188加速费，后期还款还有利息，本人现在在家家庭主妇，没有工作，实在无力承担，希望和现金巴士协商，这几个月的砍头息就超过借款的一半了。</t>
  </si>
  <si>
    <t>2019/10/10 19:21:07</t>
  </si>
  <si>
    <t>2019.09.15日借款21390元，实际到账13500元整，借款到账时跟客服协商取消贷款，客服同意；18日下午借款还是到账了13500元整，19号20号多次联系客服，然后他们领导协商来叫我在APP内提前结清贷款21399.49元，就在9月20号东凑西凑然后按着app接清，协商总数13905元，多还款金额7494.49元会在5个工作日退到我的银行账号，至今尚未退还，每天联系客服，客服都在说叫我耐心等待，他们无处理权限，都已经21天至今未退还我的钱，跪求你们退还我的钱，这个钱是东凑西凑来的，我天天睡不着，饭</t>
  </si>
  <si>
    <t>2019/10/10 19:20:49</t>
  </si>
  <si>
    <t>投诉人唐先生投诉对象找靓机涉诉金额6999元问题类型诉求类型投诉详情我9月1号在找靓机购买的99新iPhoneXSMax256G深空灰国行移动4G,联通4G,电信4G，手机9月3号早上八点到货，然后到10点我就拆箱，把手机拿到手机店买了手机壳，又贴了手机膜，毕竟第一买这么贵的手机，比较珍惜，使用到9月28号下午，上班期间，发现手机壳里有点灰，然后就把手机拿出来准备擦一下，然后就发现手机有个缝里面还有灰，弄不出来，之后我就去找客服问，照片发了过去，客服居然质问我能不能正常使用，问我生活工作环境是否灰尘粉尘较多</t>
  </si>
  <si>
    <t>2019/10/10 19:20:17</t>
  </si>
  <si>
    <t>小赢卡贷催收人员暴力催收，在可以联系我的情况下又联系父母，而且还用我的家人孩子威胁我，，不停的打电话给我，态度恶劣。</t>
  </si>
  <si>
    <t>2019/10/10 19:19:58</t>
  </si>
  <si>
    <t>投诉人李先生投诉对象贷上钱涉诉金额2000元问题类型诉求类型投诉详情高利贷接2000换2480严重高利贷请求处理。</t>
  </si>
  <si>
    <t>2019/10/10 19:19:47</t>
  </si>
  <si>
    <t>贷款不明白，放款速度过快，明显与第二方的内部操作，在无证视贷款详情的情况下签订了贷款协议，自身权益受到侵犯！现想中止协议。</t>
  </si>
  <si>
    <t>2019/10/10 19:19:23</t>
  </si>
  <si>
    <t>投诉人 尧女士        投诉对象  360借条        涉诉金额  1 200 元    问题类型    诉求类型投诉详情  360一直打电话给通讯录里面的人进行骚扰</t>
  </si>
  <si>
    <t>2019/10/10 19:08:35</t>
  </si>
  <si>
    <t>投诉人戴女士投诉对象360金融涉诉金额7900元问题类型诉求类型投诉详情遭遇电信诈骗导致在该平台借款，等反应过来想提前还款却仍要12个月的利息，与客服沟通后迟迟未有处理电话。</t>
  </si>
  <si>
    <t>2019/10/10 19:03:09</t>
  </si>
  <si>
    <t>投诉人 刘先生        投诉对象  贷上钱        涉诉金额  5 000 元    问题类型    诉求类型投诉详情  借了4000一个月还5300？这么高的利息。请问那个恶魔游戏币是干嘛用的？</t>
  </si>
  <si>
    <t>2019/10/10 18:37:02</t>
  </si>
  <si>
    <t>当时到账19110之后，又扣除了4410元，4、保费本人没有使用，却加入了我每期还款额中，费劲周折了解到客服电话，客服态度恶劣，对于保费的事情也没作出合理解释，5、网贷平台提供的客服电话并不是实际电话号码。</t>
  </si>
  <si>
    <t>2019/10/10 18:31:32</t>
  </si>
  <si>
    <t>花转转,樱桃小借,广州伊升信息科技有限公司，借款2800，分8天一个周期还4期，单期金额1022.4总计要还4089.6元超过本金以及利息了！后花转转APP根本就处理不了也还不上款，已造成逾期，费用一天就50元，且客服电话多次无人接听！刚刚有催收打电话来要求处理！平台原因造成逾期逾期费也要我还，请问这是什么道理！！！已经还了三期，并已在平台多次借款，金额远超本金及利息了，现要求花转转平台销账处理并停止催收！说了报警投诉催收一点也不怕，客服电话4008336200。</t>
  </si>
  <si>
    <t>2019/10/10 18:29:52</t>
  </si>
  <si>
    <t>投诉人李先生投诉对象分期乐涉诉金额60000元问题类型诉求类型投诉详情利息不合理，推荐套路贷，以贷养贷，循环利息过高，逾期后打电话恐吓骚扰家人。</t>
  </si>
  <si>
    <t>2019/10/10 18:29:41</t>
  </si>
  <si>
    <t>投诉人张先生投诉对象蛋壳公寓涉诉金额400元问题类型诉求类型投诉详情租房时，9.4号签的合同，销售人员说好400渠道费在7-14个工作日发放，至今不给，一直在拖延，。</t>
  </si>
  <si>
    <t>2019/10/10 18:29:08</t>
  </si>
  <si>
    <t>投诉人陈先生投诉对象小赢卡贷涉诉金额2200元问题类型诉求类型投诉详情小赢卡贷从逾期第一天就疯狂打电话，一天一二十个，我又不是没接电话，而且都是换全国各地的号码打过来，告知一下我知道就行了，有必要一天到晚电话骚扰不停吗，我就剩下最后一期，金额也才2200，资金紧张说缓几天就给他们还进去，也没有恶意逃避和拖欠，你们真的是做到这个份上让客户狠反感。</t>
  </si>
  <si>
    <t>2019/10/10 18:28:22</t>
  </si>
  <si>
    <t>中邮循环贷逾期2天就上征信，一点也不给缓冲时间！威胁恐吓催收。</t>
  </si>
  <si>
    <t>2019/10/10 18:27:56</t>
  </si>
  <si>
    <t>投诉人徐文林投诉对象滴滴出行涉诉金额0元问题类型诉求类型投诉详情上车就告知司机赶时间去面试，20多分钟的路程开成了50多分钟，路上又不堵车现要求滴滴出行给个合理解。</t>
  </si>
  <si>
    <t>2019/10/10 18:27:44</t>
  </si>
  <si>
    <t>被引诱到一个网站充值入金5万多，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为违法违规机构平台提供支付结算通道，即产生了洗钱的嫌疑，金融机构客户身份识别和客户身份资料及交易记录保存管理办法，等规定，切实履行反洗钱义务和识别客户身份的义务，希望有工作人员能够联系，要求第三方支付机构退回被扣款项。</t>
  </si>
  <si>
    <t>2019/10/10 18:27:27</t>
  </si>
  <si>
    <t>借款1000元人民币，合同写1400元人民币。</t>
  </si>
  <si>
    <t>2019/10/10 18:27:25</t>
  </si>
  <si>
    <t>朋友的信用卡一直给我在用，现在我出事故了没钱处理每个月都有处理一点，现在客服很强硬，一直打我朋友老婆的电话说不解决一直打。</t>
  </si>
  <si>
    <t>2019/10/10 18:27:16</t>
  </si>
  <si>
    <t>本人在美团生活费.借钱，借了21000元分12期还款，已还一期，目前逾了2期未还，因本人目前资金都投资做生意了，货款一时收不回来；我主动联系美团工作人员协商还款，可美团的催款人员非要我于2019年10月10日17点还款，我未能按时还款，该工作人员就威胁我，说要联系我的亲朋好友爆我的资料，并且还要把我的个人资料爆料到我居住地的网上，请聚投诉帮忙协调，让美团对我家人朋友立刻暂停骚扰，停止对我个人爆料的威胁，请聚投工作人员帮忙让美团把我资料提交到法院起诉，我不想再被美团使用软暴力催款恐吓威胁，对我家人朋友造成生活</t>
  </si>
  <si>
    <t>2019/10/10 18:27:06</t>
  </si>
  <si>
    <t>因为父亲脑梗，家里经济困难，导致本人招联金融迟还四天，招联金融天天给父亲打电话造成严重骚扰，对父亲病情恢复有极大影响！。</t>
  </si>
  <si>
    <t>2019/10/10 18:26:14</t>
  </si>
  <si>
    <t>对我家人发一些不堪的信息，打电话骚扰我，对我进行恐吓。</t>
  </si>
  <si>
    <t>2019/10/10 18:26:01</t>
  </si>
  <si>
    <t>投诉人陈先生投诉对象广州银联网络支付,中国银联,银联电子支付涉诉金额828元问题类型诉求类型投诉详情10月9号上午登录工行手机银行客户端，发现被广东银联分公司莫名其妙的扣钱了，一个个打电话去询问结果中国银联告诉我广东银联分公司不是他们的下属机构，从银行到相关公司，一个个打电话去询问，结果中国银联告诉我广东银联分公司不是他们的下属机构，不是你下属机构怎么挂你牌子，开展你的业务的，还堂而皇之的从银行系统里面调取客户银行卡进行扣款，要求公司把钱还给我！拒绝踢皮球从发起投诉到现在，当事人一直没有联系过我。</t>
  </si>
  <si>
    <t>2019/10/10 18:25:50</t>
  </si>
  <si>
    <t>马上消费金融群发恐吓短信，并且私自盗用通讯录讯息对我朋友客户进行频繁骚扰，并恐吓他人，态度及其恶劣，并且在短信中恶意屏蔽关键字，想要蒙混钻空子，身为法制社会的现在，社会中具有这样的公司及旗下公司人员，对我的朋友及家人造成了非常恶劣的影响，希望有关部门可以重视起来，对于这种公司和人员就该严惩，。</t>
  </si>
  <si>
    <t>2019/10/10 18:24:25</t>
  </si>
  <si>
    <t>投诉人郑先生投诉对象斗鱼渝万竞技涉诉金额10000元问题类型诉求类型投诉详情我不想做主播了，不给我友好退会，还要我强制退会要1万元。</t>
  </si>
  <si>
    <t>2019/10/10 18:24:16</t>
  </si>
  <si>
    <t>银行卡出现故障，申请变更还款日期，延迟三个工作日还款，停止骚扰。</t>
  </si>
  <si>
    <t>2019/10/10 18:23:27</t>
  </si>
  <si>
    <t>投诉人周先生投诉对象快闪卡贷涉诉金额7000元问题类型诉求类型投诉详情快闪卡贷存在严重套路带，砍头息，高利贷，借款7000，到手只有5000多，分期6个月，到期总要还将近9000多，年利率达到百分之一百多，我还找到跟我情况一模一样的受害人，希望解决。</t>
  </si>
  <si>
    <t>2019/10/10 18:23:13</t>
  </si>
  <si>
    <t>被引诱到一个网站充值入金7万多，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为违法违规机构平台提供支付结算通道，即产生了洗钱的嫌疑，金融机构客户身份识别和客户身份资料及交易记录保存管理办法，等规定，切实履行反洗钱义务和识别客户身份的义务，希望有工作人员能够联系，要求第三方支付机构退回被扣款项。</t>
  </si>
  <si>
    <t>2019/10/10 18:23:11</t>
  </si>
  <si>
    <t>在及贷平台借款19800元，稀里糊涂一个确定按钮就被告知同意钱小秘学堂会员服务合同；本金变为22671元。</t>
  </si>
  <si>
    <t>2019/10/10 18:22:26</t>
  </si>
  <si>
    <t>投诉人徐超投诉对象及货涉诉金额0元问题类型诉求类型投诉详情客户欠款，打到我这来，我向贵平台解释清楚的情况下还持续性的向我催收。</t>
  </si>
  <si>
    <t>2019/10/10 18:22:23</t>
  </si>
  <si>
    <t>投诉人宫先生投诉对象宏萨信息科技涉诉金额296元问题类型诉求类型投诉详情今天中午两点多被宏萨上海科技有限公司无故扣款296元。</t>
  </si>
  <si>
    <t>2019/10/10 18:21:07</t>
  </si>
  <si>
    <t>贷上钱借了2000一个月还2560，还有一个2000的没点借钱就自动下单，七天让我还2500，还打恐吓电话爆通讯录。</t>
  </si>
  <si>
    <t>2019/10/10 18:20:51</t>
  </si>
  <si>
    <t>投诉人徐超投诉对象马上消费金融涉诉金额34元问题类型诉求类型投诉详情在本有的利息上收取还款服务费和寿险服务费。</t>
  </si>
  <si>
    <t>2019/10/10 18:20:33</t>
  </si>
  <si>
    <t>你好，我在钱橙无忧平台被他们无理收费，乱收费，无缘无故收费，自动扣除我银行卡里的钱，欺骗我的钱。</t>
  </si>
  <si>
    <t>2019/10/10 18:20:31</t>
  </si>
  <si>
    <t>投诉人范先生投诉对象贷上钱涉诉金额6200元问题类型诉求类型投诉详情贷上钱以购买游戏豆为由高额利息已还款多次利息早已远远超过本金高额的利息已无力承担最后一次还款催收人员多次威胁并私自拨打本人通讯录口出狂言威胁他人后经投诉又拨打本人通讯录好言相劝让亲朋好友联系我叫我还款，虽态度改善但已对本人名誉造成严重损坏现又群发短信给通讯录好友说我在逃已对本人工作造成严重影响领导已告知即将劝退，对此造成的损失和伤害非常巨大，身心也收到严重影响，希望有关部门引起重视。</t>
  </si>
  <si>
    <t>2019/10/10 18:20:28</t>
  </si>
  <si>
    <t>投诉人毕先生投诉对象青岛和信普惠金融公司涉诉金额3000元问题类型诉求类型投诉详情10月2号到期前催收还款我说等过了国庆节到了8号我答应11号还款结果在9号打我通讯录联系人暴力催收并且对我进行辱骂打电话给我联系人进行骚扰并且用短信轰炸我对象。</t>
  </si>
  <si>
    <t>2019/10/10 18:20:15</t>
  </si>
  <si>
    <t>马上消费金融冒充银行及法院，已涉嫌触犯法律，手段多恶劣行为，为了催收不择手段，什么方法都用的出来，必须处理。</t>
  </si>
  <si>
    <t>2019/10/10 18:19:43</t>
  </si>
  <si>
    <t>投诉人莫先生投诉对象聚福钱包涉诉金额299元问题类型诉求类型投诉详情未经同意就扣款！没服务还拒不退款，要求退还款项299元。</t>
  </si>
  <si>
    <t>2019/10/10 18:19:36</t>
  </si>
  <si>
    <t>投诉人喻先生投诉对象月光侠分期,钱站,爱钱进涉诉金额3300元问题类型诉求类型投诉详情月光侠分期收取高额砍头息，合同金额3300元，实际到账2310元，高达990元砍头息，分三期本人已经还了两期2326.65元，偿还金额已经大于实际到账金额，是典型的阴阳合同砍头息行为；同时对通讯录好友进行骚扰谩骂，本人能提供通话录音，现本文要求月光侠分期停止暴力催收行为，调整利息去除砍头息，以实际到账的2310元为准，做销账处理。</t>
  </si>
  <si>
    <t>2019/10/10 18:19:07</t>
  </si>
  <si>
    <t>3月份建行将本人信用卡毫无提醒的情况下额度从三万降为一万本人也继续还款中，之后资金周转困难导致逾期，每个月也在尽最大努力凑着还着钱，客服电话也一直接着，没有找不到人，7月16号接客服说今天存进2000，接下去她再继续联系我，我还了后过两三个月也没联系，倒是三天两头打电话去单位说不还钱就起诉我，本人也没打算不还钱，可这一个月就将近2000的利息我怎么还也还不完啊，8月打电话给客服希望协商分期还款，客服说会有专员联系，十月客服才回电话说跟分行协商，打电话给分行，分行说要协商什么，他们没办过，本人想协商也没办法协</t>
  </si>
  <si>
    <t>2019/10/10 18:18:50</t>
  </si>
  <si>
    <t>由于出差几天忘记带备用手机，贷上钱在逾期第一天则拨打我通讯录里面的非紧急联系人，现强烈要求贷上钱向打过我们通讯录里面的人道歉！！！。</t>
  </si>
  <si>
    <t>2019/10/10 18:18:34</t>
  </si>
  <si>
    <t>北京恒昌公司雇用暴力催收公司在我有能力还款的前提下，对我及家人，朋友，家人单位进行了多人多次的电话骚扰，电话中对我百般污辱，并诽谤我吸毒，欠债跑路，并且调戏个别女性朋友，我母亲被骚扰的血压升高，已经起不了床了，我爱人单位也不堪骚扰，北京恒昌公司的无理暴力催收已令我们全家精神几乎崩溃，严重影响了我家人及朋友的正常生活，这种恶劣行为必须严惩。</t>
  </si>
  <si>
    <t>2019/10/10 18:18:07</t>
  </si>
  <si>
    <t>投诉人温灵飞投诉对象捷信金融涉诉金额40000元问题类型诉求类型投诉详情捷信公司套路贷，高利贷，暴力催收导致我家属精神异常，年利率68%还口口声声说合理合法合规，此乃高利贷，吃人不吐骨头普天之下莫非王土，请问贵公司置中国的法律法规语何处…。</t>
  </si>
  <si>
    <t>2019/10/10 18:18:06</t>
  </si>
  <si>
    <t>投诉人顾先生投诉对象贷上钱涉诉金额5000元问题类型诉求类型投诉详情我一直和催收积极联系，协商还款问题，但是催收还是打电话给我联系人。</t>
  </si>
  <si>
    <t>2019/10/10 18:17:43</t>
  </si>
  <si>
    <t>我于2017年4月13日办理的民生信用卡，起初额度三万元，这几年经济稳定额度也没有下降，我从来没有逾期，频繁使用，让你们银行尝到了甜头，如果我天天抱着电话和你们不停说我想我说的只有空话，因为电话占用了我很多工作时间，保安接口就说对呀，这样的人啊，要是欠我钱我打的他地上动不了，就你这样的，打不死你，打电话的说我手机号码被放在百度网 89178招商网等这些平台上了，叫我赶紧联系客服删除， 事情大概就是这样，我想说的是，民生银行真的是黑社会吗，现在我经济衰弱了，逾期也不是我想看到的，我从来没说不还你们的钱，钱肯定</t>
  </si>
  <si>
    <t>2019/10/10 18:17:39</t>
  </si>
  <si>
    <t>9月15日，本人在抖音上看到玖富万卡广告，因新奇看了一下，过两天在本人卡上打了22800块钱，本人咨询后知道是玖富借的款，本人不需要这笔钱一直要求提前结清，但各种理由不让我提前结清，经与客服联系，在聚投诉投诉等各种方式后终于肯让我提前结清，而且与客服协商后结清一期，的后让我还21200元，在app上结清本金后剩余的达到他们提供的对公账号上，还按照他们的要求申请冲账，并给他们提供票据等所有结清证据，说让我等五个工作日，他们帮我冲账，之后玖富app上的保费会自动生成结清，但已经过了将近半个月，他们还不帮我冲账，</t>
  </si>
  <si>
    <t>2019/10/10 18:17:34</t>
  </si>
  <si>
    <t>滴水贷委托三方对本人进行骚扰并进行人生攻击侮辱，恐吓，要求依法追责，作公开道歉并进行赔偿，希望能彻底根治这个问题，。</t>
  </si>
  <si>
    <t>2019/10/10 18:17:25</t>
  </si>
  <si>
    <t>银行卡岀现故障，无法还款，申请还款日期可以变更，。</t>
  </si>
  <si>
    <t>2019/10/10 18:17:09</t>
  </si>
  <si>
    <t>投诉人祝女士投诉对象新浪有借,大锤财务,中银消费金融涉诉金额6000元问题类型诉求类型投诉详情本人于中银消费金融有一笔借款，因家人生病，收入锐减，导致逾期了3期，现罚息利息已经滚到6000多，催收联系本人，一直以来我态度非常好，让告知对公账户，也没告知，现在本人失业，只能对这个款项做分期处理，今天自称是大锤法务部的人电话来，我明确说明星期二有人微信我，我在联系，对方说并没有人加微信，称对方不是新浪有借的，我说那我要跟中银消费金融核实情况，我明确跟这个大锤的说了我要分期处理，但是催收说我如果每个月处理几百块就</t>
  </si>
  <si>
    <t>2019/10/10 18:17:08</t>
  </si>
  <si>
    <t>借了20000，还了六个月还了9000，前几天在聚投诉投诉后叫我直接把后面分期的高利息算进去一起结清，还要还21000，还打电话发信息威胁恐吓。</t>
  </si>
  <si>
    <t>2019/10/10 18:16:49</t>
  </si>
  <si>
    <t>投诉人亚先生投诉对象和信涉诉金额2800元问题类型诉求类型投诉详情8号到期还款，但是由于资金紧张不足无法按时还款已跟打电话的人说明情况，也明确15号左右一定还款！但是他们开始暴打电话和联系人~严重影响生活！和精神压力！。</t>
  </si>
  <si>
    <t>2019/10/10 18:16:24</t>
  </si>
  <si>
    <t>豆豆钱利息不合法，借钱必须要买保险才放款，保险费900，到账一次性扣除，每月还有第三方代扣担保费，要求调整利息，归还保险费用。</t>
  </si>
  <si>
    <t>2019/10/10 18:16:18</t>
  </si>
  <si>
    <t>胡乱扣费，都不知道怎么回事，钱都扣了,app都不知道怎么下载。</t>
  </si>
  <si>
    <t>2019/10/10 18:14:37</t>
  </si>
  <si>
    <t>投诉人 鲜先生        投诉对象  交通银行信用卡        涉诉金额  2 668 元    问题类型    诉求类型投诉详情  信用卡逾期两个月 这个月账单刚出昨天就给我打电话 我说要等15号发工资 说不行 今天必须处理 还让我把生活费还进去 之后又一直让我找人借钱 昨天一大早八点多就开始打电话 一天打了七八个 严重干扰了我的生活 网贷也不过如此吧 银行的催收都是这个样子嘛</t>
  </si>
  <si>
    <t>2019/10/10 18:14:33</t>
  </si>
  <si>
    <t>投诉人李俊投诉对象滴滴出行涉诉金额0元问题类型诉求类型投诉详情夜里我预约了一个滴滴的订单，收到滴滴司机接单说会准时到达接我，没想到的是，我在原地等了半个多小时后司机电话关机了打不通。</t>
  </si>
  <si>
    <t>2019/10/10 18:14:15</t>
  </si>
  <si>
    <t>投诉人戴先生投诉对象拍拍贷涉诉金额2200元问题类型诉求类型投诉详情不停骚扰亲戚朋友暴力催款，现在又来恐吓。</t>
  </si>
  <si>
    <t>2019/10/10 18:14:11</t>
  </si>
  <si>
    <t>投诉人韩女士投诉对象马上消费金融涉诉金额815元问题类型诉求类型投诉详情马上金融没有与我本人联系，直接联系通信录亲友造谣恐吓！请加强平台管理！。</t>
  </si>
  <si>
    <t>2019/10/10 18:12:54</t>
  </si>
  <si>
    <t>投诉人卢先生投诉对象梧州乐沧贸易有限公司涉诉金额1050元问题类型诉求类型投诉详情客服让我向这个卡里转钱。</t>
  </si>
  <si>
    <t>2019/10/10 18:12:34</t>
  </si>
  <si>
    <t>高利贷，爆通讯录，暴力催收，希望停止骚扰！。</t>
  </si>
  <si>
    <t>2019/10/10 18:12:11</t>
  </si>
  <si>
    <t>投诉人廖新象投诉对象恒昌利通涉诉金额11000元问题类型诉求类型投诉详情本人于今年7月3号借款11000元，于八月三号到帐8323元，分十二期还，每期要还1053元，高利贷，暴力催收。</t>
  </si>
  <si>
    <t>2019/10/10 18:12:06</t>
  </si>
  <si>
    <t>朋友在平台借4200块，实际到账只有3500，逾期一天就打爆通讯录而且逾期费用高达568元。</t>
  </si>
  <si>
    <t>2019/10/10 18:12:00</t>
  </si>
  <si>
    <t>投诉人杨女士投诉对象即有分期涉诉金额8000元问题类型诉求类型投诉详情17年再既有分期现金贷款8800元实际到账8000元，每月还款1183，还款时间9个月，首次还款日为12月26日，之后因为一些原因最后三个月的贷款产生未能及时还款导致逾期，之后不断受到催收，骚扰，打电话给家人，发快递等，父母知道后借钱，在2018年12月左右帮我把剩余3个月的1188还上，但是还上之后合同只显示还款两个月的，还剩下一个月+罚息1510未还！3000元三个月逾期费高达1500不止！！之后就未还该比款项，之后一年内该公司还是不</t>
  </si>
  <si>
    <t>2019/10/10 18:11:58</t>
  </si>
  <si>
    <t>投诉人 袁先生        投诉对象  造艺科技,聚福分期        涉诉金额  299 元    问题类型    诉求类型投诉详情  聚福分期注册即绑定银行卡 恶意扣款299元所谓注册审核费用 收费违法！</t>
  </si>
  <si>
    <t>2019/10/10 18:11:11</t>
  </si>
  <si>
    <t>投诉人 王元鹤        投诉对象  小浦优客        涉诉金额  296 元    问题类型    诉求类型投诉详情  无缘无故扣我农业银行卡296元。希望小浦优客能给我一个说法。</t>
  </si>
  <si>
    <t>2019/10/10 18:10:15</t>
  </si>
  <si>
    <t>我的淘宝账号好多年了，之前都没刷单，但是我不知道为什么被创客工作箱打标为降权号。</t>
  </si>
  <si>
    <t>2019/10/10 18:10:10</t>
  </si>
  <si>
    <t>聚福钱包在没有本人的允许下私自扣费，在投诉他们之后有客服联系说给我退款，让我先把投诉取消，然后本人把投诉取消已经过了半个月钱还没有给我退还到卡里，我要求立即退款，。</t>
  </si>
  <si>
    <t>2019/10/10 18:09:57</t>
  </si>
  <si>
    <t>投诉人向先生投诉对象苏宁金融涉诉金额20000元问题类型诉求类型投诉详情本人在苏宁金融先后借了两次款，被强制收取保险费，切保险费用奇高，第一次借款10000元，直接扣除保险费730元，第二次借款10000元直接扣除保险费730元，我们只是借款，却被强制购买永安保险人身意外险，为什么就只能买永安保险，为什么只能买人身意外险。</t>
  </si>
  <si>
    <t>2019/10/10 18:09:37</t>
  </si>
  <si>
    <t>投诉人宋女士投诉对象碧桂园涉诉金额50000元问题类型诉求类型投诉详情2019年中秋节放假，我去惠州几个楼盘看了房，自知资金不足短期内并没有办法买房，到了碧桂园星钻看时，楼盘销售员说可以先交2万元保留优惠，等决定买的时候可以享受按揭99折，赠送三年物业费、全屋家电，国庆期间又有另一个销售员发微信告诉我说马上楼层也要没有了，要保留楼层还需要再交3万元，我告诉他我的资金不够，他说可以贷款；我说我首付的资金也没有，他说可以做首付贷；我说我现在是已婚，因为老公并不同意买房，她说可以办一个假离婚证；我说没有离婚协议书</t>
  </si>
  <si>
    <t>2019/10/10 18:09:35</t>
  </si>
  <si>
    <t>百事普惠恶意扣款，无故扣款，还说明没有扣完后续还会在扣款，卡里面都不敢放钱了，打电话联系客服问原因态度恶劣。</t>
  </si>
  <si>
    <t>2019/10/10 18:09:26</t>
  </si>
  <si>
    <t>投诉人瑄先生投诉对象超盟金服,乐刷涉诉金额33309元问题类型诉求类型投诉详情使用超盟金服收款钱被冻结，超盟金服说是乐刷冻结的资金，乐刷又让找超盟金服一直踢皮球，也申诉了，按要求提交的资料，营业执照，机打小票，店内营业照片都齐全，就是不给结算资金。</t>
  </si>
  <si>
    <t>2019/10/10 18:08:57</t>
  </si>
  <si>
    <t>堂哥因资金周转不过来导致还款逾期，今天接到催收电话对方态度极其恶劣，一点协商的余地都没有。</t>
  </si>
  <si>
    <t>2019/10/10 18:08:20</t>
  </si>
  <si>
    <t>刚注册绑定银行卡，扣了四次钱，依次是168.228.148.81，没有任何提示，直接扣款，乱收费，全额退还，希望不在有人上当。</t>
  </si>
  <si>
    <t>2019/10/10 18:07:26</t>
  </si>
  <si>
    <t>由于资金周转不开在闪电借款平台借了款，后来一直是还了又借这样的方式借款，严重违反国家法律！要求退还砍头息，只履行国家规定利息与本金，希望国家的平台能维护一下我们的权益！。</t>
  </si>
  <si>
    <t>2019/10/10 18:06:26</t>
  </si>
  <si>
    <t>激活后我等了一会都没到账他跟我说是到机器的账户上刷满88万或一年后可以退。</t>
  </si>
  <si>
    <t>2019/10/10 18:06:13</t>
  </si>
  <si>
    <t>美利车金融暴力催收，恐吓，侮辱！不合法车贷！。</t>
  </si>
  <si>
    <t>2019/10/10 18:06:11</t>
  </si>
  <si>
    <t>投诉人韩女士投诉对象360借条涉诉金额786元问题类型诉求类型投诉详情360借条没有联系本人就联系通信录亲友造谣。</t>
  </si>
  <si>
    <t>2019/10/10 18:06:04</t>
  </si>
  <si>
    <t>本人在小花钱包有俩笔借款，一笔于10.8号到期，因为个人原因未能还款，导致逾期，客服工作人员给我来电，要求还款，我未能按时还款10号中午打电话来威胁，如果不还款，就爆通讯录，发短信骚扰等各种催收手段。</t>
  </si>
  <si>
    <t>2019/10/10 18:05:39</t>
  </si>
  <si>
    <t>钱站高利贷借款3千，实还5400利息太高，1千利息高达750一个月。</t>
  </si>
  <si>
    <t>2019/10/10 18:05:37</t>
  </si>
  <si>
    <t>花了三千多买的手机，没有任何的操作，突然间无限重启变砖头，上网查询发现好多人反应这个型号的手机都存在这个问题，可见这不是个例，肯定是厂家方面的问题，希望oppo厂家能给予解决，不然以后信誉方面都会受到影响。</t>
  </si>
  <si>
    <t>2019/10/10 18:05:36</t>
  </si>
  <si>
    <t>恶意骚扰家人'家人同事'导致家人负担太大'无法正常工作'。</t>
  </si>
  <si>
    <t>2019/10/10 18:04:51</t>
  </si>
  <si>
    <t>我是美团外卖合作商家，本店活动内容总是被美团后台工作人员擅自更改，并不通知，导致我多笔亏本卖出，反馈多次客服无反应，推卸责任，说国庆后第一个工作日给我答复，到现在一点反应没有，美团这样是不是属于欺压商家为了自己赚钱。</t>
  </si>
  <si>
    <t>2019/10/10 18:04:41</t>
  </si>
  <si>
    <t>当日还款还不行，还得你们客服来规定时间还款。</t>
  </si>
  <si>
    <t>2019/10/10 18:04:25</t>
  </si>
  <si>
    <t>什么鬼有用分期老电话骚扰，恐吓家人，我听借款人说是高利息，一直电话骚扰我，我不是欠款人，要求有用分期道歉，停止骚扰，赔偿精神损失，否则报警。</t>
  </si>
  <si>
    <t>2019/10/10 18:04:20</t>
  </si>
  <si>
    <t>我在淘宝购买了屏风，商家安排安装，安装工人安装时说墙不平，所墙以下面会有缝隙，让我找装修公司！我同意了并给了他验证码！今日我找到了装修公司领导三人对墙面，地面和棚面进行了实际测量，用红外线显示并没有问题！我再次找淘宝说明情况，告知不是墙的问题，希望能给再次处理！淘宝说给邮寄个木条让自己处理，我坚持要商家处理，因为我自己不会弄！，商家告诉我再量屏风上下尺寸，量完后上下尺寸差了一厘米，商家说上面窄靠上了，下面更不会靠不上，我不知道什么原因，问安装时工人为什么会下面靠不上，淘宝说他们工人是雇的专业工人，工人说是墙</t>
  </si>
  <si>
    <t>2019/10/10 18:04:15</t>
  </si>
  <si>
    <t>投诉人 王先生        投诉对象  美团金融        涉诉金额  9 000 元    问题类型    诉求类型投诉详情  多次与他们沟通协商，还款，不要暴力催收。一直都是暴力催收</t>
  </si>
  <si>
    <t>2019/10/10 18:04:14</t>
  </si>
  <si>
    <t>京东白条催收部，因为家里妈妈白血病，岳母肝癌晚期，造成经济困难，现母亲去世，医药费还在募捐，而京东白条再本人再三说明情况后，其催收部人员仍然冒充国家司法人员，声称本人已被起诉，对其亲友进行恶意辱骂催收，甚至威胁上门！。</t>
  </si>
  <si>
    <t>2019/10/10 18:04:08</t>
  </si>
  <si>
    <t>2019年9月5号在维信金科旗下的一款豆豆钱贷款，2019年9月5号借款4000扣除风险评估费实际到款3601，次日9月6号在次借款4000在扣除风险评估费399实际到到账3601，9月7号借款3000扣除风险评估的400实际到账2600，每次扣款都是一个鸿飞担保的扣钱，风险评估费跟鸿飞担保有什么关系，3笔借款总11000实际到账9800，分12期还款总14700，合同上的还款金额跟实际还款金额不一致，在不知情的情况下笔笔扣除担保费，存在阴阳合同，主动还款不成功导致逾期费100元，银行卡明明有足够的钱还款，</t>
  </si>
  <si>
    <t>2019/10/10 18:02:38</t>
  </si>
  <si>
    <t>尊敬客服，我不知道我为什么违约了提现失败第一次开通不明白那里收款不当；都是做小本生意帮自家卖花生油：全国各地朋友都会帮忙介绍卖：收款都是从朋友的朋友发给顾客的：自己还在网上卖护肤品生活品：在这里我也不太会操作：营业执照都是家人的，实在不明白我的钱为什么就在微信收款商业版提现不出来，现在都不敢用微信收款商业码了，把钱冻结了也没有提示，希望在聚投诉能帮帮我。</t>
  </si>
  <si>
    <t>2019/10/10 18:02:11</t>
  </si>
  <si>
    <t>唯品金融～唯品花～恶意造谣毁谤，对我构成严重骚扰，没有诚信，必须赔偿我精神损失费，这月账单人为跟我强加到上月账单里，都反复跟唯品金融客服反馈过多次我目前的情况，但该客服不处理问题，还不理人，骚扰电话不断，严重扰民，本人承诺，最近确实有困难，等我熬过这段时间，一定立马还上的，做人诚信最重要，只要是人，都会有遇到困难的时候！。</t>
  </si>
  <si>
    <t>2019/10/10 18:01:34</t>
  </si>
  <si>
    <t>刚下载，没有显示扣费条款，刚绑定卡直接扣了99块钱，什么都没做，要求全部退还，黑心商家，防止他人上当受骗。</t>
  </si>
  <si>
    <t>2019/10/10 18:00:16</t>
  </si>
  <si>
    <t>平安普惠套路贷！保险费，管理费是什么回事！。</t>
  </si>
  <si>
    <t>2019/10/10 18:00:13</t>
  </si>
  <si>
    <t>你们继续骚扰，最快24小时内我会报警，跟警方备案，别以为人人都不懂法，你们群发消息就已经构成了软暴力催收行为，你们有一个算一个，谁发布的谣言都要付法律责任，觉得我咋片那就起诉我，发这些催收消息能起到什么作用，24小时之内我会去公安局备案，你们硬暴力软暴力皆可，现在严惩网贷平台，我看你们能玩出什么花样。</t>
  </si>
  <si>
    <t>2019/10/10 17:59:40</t>
  </si>
  <si>
    <t>9月3号晚上上了第一节课，上课感觉很不好，当天晚上要求哒哒退款，直到10.10号，哒哒一直没退款，一直承诺说9-16个工作日退款，可是到目前为止已经超过16个工作日了，仍然没有退款，打电话给客服，他们一直说我们会催的，哒哒英语给消费者的感受就是欺骗，大家千万不要再上当受骗了。</t>
  </si>
  <si>
    <t>2019/10/10 17:59:19</t>
  </si>
  <si>
    <t>该公司为境外网络博彩行业提供聊天通道，一次次的帮助网络博彩坑害广大的中国同胞，完全违背了我国2019净网行动的宗旨，希望网络公安机关能介入该公司，该公司也许是这个境外网络博彩的股东之一。</t>
  </si>
  <si>
    <t>2019/10/10 17:58:27</t>
  </si>
  <si>
    <t>本人于今年2月在马上金融网贷6000元，以还8期最近遇到困难，导致未按时还款，最近接到区号025和028自称马上金融催收，威胁立刻还款，不还就继续电话骚扰，在不还就打爆通讯录所有亲人朋友，骚扰他们让她们替你还，对于这种软暴力催收国家今年严打时早就不允许，我就想问是谁给你马上金融这么大胆气，我这边有亲友提供的录音！准备报警，然后等着和你马上金融走司法程序，和你死磕到底！再次警告犹豫你方不当暴力催收产生的后果需要你们全部承担。</t>
  </si>
  <si>
    <t>2019/10/10 17:58:11</t>
  </si>
  <si>
    <t>投诉人李女士投诉对象苏宁金融涉诉金额5000元问题类型诉求类型投诉详情苏宁任性付催收，疯狂换号骚扰，并且骂我父母，没有人性，疯狂骚扰，上来就说我家人死了让我回去看看！本人家庭出现变故，希望苏宁给我宽限一下，如果我是骗子我没必要前面一直还款后面逾期，真的是被逼上绝路了，求求贵公司不要这么威胁我了，我真的心力交瘁了，心理压力太大了，我只要好转了肯定会还款，你们也是上市的大公司，法律夜不外乎人情啊，请你们宽限一下。</t>
  </si>
  <si>
    <t>2019/10/10 17:58:06</t>
  </si>
  <si>
    <t>投诉人朱照于投诉对象宏萨信息科技涉诉金额296元问题类型诉求类型投诉详情乱扣费，骗钱，2019.10月10号16.56分在我账户上扣走296元，要求归还。</t>
  </si>
  <si>
    <t>2019/10/10 17:57:52</t>
  </si>
  <si>
    <t>你有用分期想怎么玩我都陪你，别以为人都是吓大的。</t>
  </si>
  <si>
    <t>2019/10/10 17:56:37</t>
  </si>
  <si>
    <t>8月21日寄回货物，申请退货退款注销etc，说好45天处理完，结果一直不处理，联系客服一直不给确切回复。</t>
  </si>
  <si>
    <t>2019/10/10 17:56:01</t>
  </si>
  <si>
    <t>投诉人汪先生投诉对象美团点评涉诉金额80元问题类型诉求类型投诉详情电影订票，没有合理改签按钮，改签按钮在广告处。</t>
  </si>
  <si>
    <t>2019/10/10 17:55:37</t>
  </si>
  <si>
    <t>投诉人刘先生投诉对象厚本钱包涉诉金额3000元问题类型诉求类型投诉详情厚钱包APP无法使用，客服电话是空号。</t>
  </si>
  <si>
    <t>2019/10/10 17:54:42</t>
  </si>
  <si>
    <t>投诉人张女士投诉对象白条分期涉诉金额249元问题类型诉求类型投诉详情截图了，说不符合退款，推送太多，都不能用，要求退款。</t>
  </si>
  <si>
    <t>2019/10/10 17:53:22</t>
  </si>
  <si>
    <t>不想做直播了想退会，他说退不了，他说强制退会要，10000元。</t>
  </si>
  <si>
    <t>2019/10/10 17:53:13</t>
  </si>
  <si>
    <t>投诉人任女士投诉对象恒易融,北京恒昌涉诉金额5000元问题类型诉求类型投诉详情恒昌公司催收恶意骚扰家人朋友，不听解释，到处乱说话，以我名义去找人要钱！。</t>
  </si>
  <si>
    <t>2019/10/10 17:53:04</t>
  </si>
  <si>
    <t>投诉人闫先生投诉对象我来贷涉诉金额2000元问题类型诉求类型投诉详情群体信息骚扰朋友，辱骂威胁，并群发信息嘲讽。</t>
  </si>
  <si>
    <t>2019/10/10 17:52:52</t>
  </si>
  <si>
    <t>投诉人张女士投诉对象省呗涉诉金额2700元问题类型诉求类型投诉详情暴力催收</t>
  </si>
  <si>
    <t>2019/10/10 17:52:47</t>
  </si>
  <si>
    <t>因本人喜欢购彩，看见短信推广进入一个叫ku娱乐城的博彩平台购彩，先后通过京东金融支付6000元，云闪付支付14500元，收单机构均为爱农驿站，现在中奖无法提现，客服电话为国外号码无法拨打，联系人工客服结果把我的账号锁定了，才知道上当受骗了，该博彩不是国家正规购彩平台，通过中国人民银行和支付清算协会沟通得知第三方支付业务应审核客户的相关信息，第三方支付公司不得向证券、期货、博彩等机构提供支付结算业务，据了解招聘客服人员透露该博彩平台总部位于菲律宾，作为有牌照的支付公司没有履行国家相关法律法规要求，而且该平台还</t>
  </si>
  <si>
    <t>2019/10/10 17:51:27</t>
  </si>
  <si>
    <t>投诉人谢先生投诉对象友信涉诉金额218270元问题类型诉求类型投诉详情上海友信贷款是没有告知利率，说要签字后合同打印了就可看到，签字是没有看合同的，忽悠签字，在门店柜台的手写板上签的字，当时也拍照后就说在手写板上签字，结果签好后才告知利率，实际到账金额为130000元，合同金额为187000元，分36期还款，每期6063.07元，期间电话联系说我和人人贷贷的，我一开始都是友信门店办理，也没有说什么人人贷，即使他们说有合同其实合同我们都是忽悠我们在手写板上签字后才打印出来看内容的，我们现在有一个友信维权群，里</t>
  </si>
  <si>
    <t>2019/10/10 17:50:54</t>
  </si>
  <si>
    <t>投诉人宋先生投诉对象招联金融涉诉金额1000元问题类型诉求类型投诉详情电话骚扰，一天就那两句话给他们讲，他们这边都不带听的电话直接挂掉。</t>
  </si>
  <si>
    <t>2019/10/10 17:50:29</t>
  </si>
  <si>
    <t>暴力催收，恐吓，威胁，打骚扰电话，泄露信息。</t>
  </si>
  <si>
    <t>2019/10/10 17:50:18</t>
  </si>
  <si>
    <t>态度非常恶劣，打电话说话超级难听，利息太高。</t>
  </si>
  <si>
    <t>2019/10/10 17:50:00</t>
  </si>
  <si>
    <t>骚扰联系人，骚扰不相关人员，造成严重的社会影响，说话恐吓语气，银行将个人信息给第三方，第三方非法获取不相关联系人电话号码并骚扰，之前我非常有诚意的去协商，对方就是不协商，只给立即还钱一条路，如果我能还上，我不会拖欠你们一分钱，打电话根本不是协商，就是还钱，让第三方去骚扰不相关人员达到目的就是银行的解决方法么。</t>
  </si>
  <si>
    <t>2019/10/10 17:49:58</t>
  </si>
  <si>
    <t>要求贵公司停止对家人的威胁恐吓，严重骚扰家人。</t>
  </si>
  <si>
    <t>2019/10/10 17:49:50</t>
  </si>
  <si>
    <t>每一次借款到账均收取100到500元不等砍头息，取名信用凭证，国家以明令禁止。</t>
  </si>
  <si>
    <t>2019/10/10 17:49:03</t>
  </si>
  <si>
    <t>我要退货退款，商家不给处理，淘宝客服也不给处理，但是淘宝网上却没有退货窗口，无法填写物流单号，还是无法退货退款，在这期间一共联系了8次，淘宝客服和电话客服。</t>
  </si>
  <si>
    <t>2019/10/10 17:48:15</t>
  </si>
  <si>
    <t>投诉人攻女士投诉对象支付宝涉诉金额3000元问题类型诉求类型投诉详情本人今天早上10:33分接到02180396534和02180396932&amp;nbsp;&amp;nbsp;或133******92的号码在冒充支付宝员工，请求支付宝核实这三个号码是不是本公司的员工，如果以上号码不是该公司的员工请求该公司报警处理。</t>
  </si>
  <si>
    <t>2019/10/10 17:48:08</t>
  </si>
  <si>
    <t>宜人贷恶意催收，狂打电话和短信致本人前同事和领导，导致本人被迫离职，导致本人收入全无。</t>
  </si>
  <si>
    <t>2019/10/10 17:47:26</t>
  </si>
  <si>
    <t>，在一直跟本人有联系有沟通的情况下，骚扰我亲属好友，骚扰方式有打电话以及发短信，本人因家庭突发严重问题导致暂时没有还款能力，也主动积极跟深圳市及响科技有限公司联系，并且协商沟通处理，该公司也有工作人员跟我保持微信联系，电话我都有接听，有时候在工作无法正常接听电话，打回头都是空号，请问该公司不能有正规合法的工具进行联络吗，可是深圳市及响科技有限公司还是骚扰我亲属朋友，向其泄露我个人隐私，损害我名誉，导致我无法再正常生活和工作，骚扰本人亲属好友，已经触犯法律，属于暴力催收，我会跟我所有的亲属朋友说明，接到你们的</t>
  </si>
  <si>
    <t>2019/10/10 17:47:09</t>
  </si>
  <si>
    <t>在分期鸭贷款下款3000元，共28天还完，分四期，每期1233，共需还款4932，减去本金需要1932元，利息实属构成高利贷，到还款日APP打不开故意让人逾期产生高额的逾期费希望能处理。</t>
  </si>
  <si>
    <t>2019/10/10 17:46:45</t>
  </si>
  <si>
    <t>恶意催收，发恐吓信息，天天电话轰炸，严重影响家人生活。</t>
  </si>
  <si>
    <t>2019/10/10 17:46:03</t>
  </si>
  <si>
    <t>下款后不经本人同意就扣了个什么保险费399，每个月到还款日也没有提醒，逾期一天就加收100的逾期费，下款5500变相砍头息399，加加收逾期费3个月还里6180多，。</t>
  </si>
  <si>
    <t>2019/10/10 17:45:37</t>
  </si>
  <si>
    <t>投诉人马先生投诉对象钱站,华夏银行涉诉金额3020元问题类型诉求类型投诉详情本人因无钱医治在钱站借款到帐2000元，分三期总共要还3020元，这符合国家的利率规定吗，而且逾期一天就恐吓、辱骂、爆通讯录、要上门等等手段十分毒辣，外包催收更是完全黑社会性质,请有关部门核查！。</t>
  </si>
  <si>
    <t>2019/10/10 17:45:32</t>
  </si>
  <si>
    <t>上海2345网络科技有限公司，与立即贷，强制客户消费，借贷必须购买会员，每次300余元，一共使用24次，而立即贷，已经撇清关系，会员费由上海2345网络科技有限公司进行退付。</t>
  </si>
  <si>
    <t>2019/10/10 17:44:52</t>
  </si>
  <si>
    <t>投诉人 吴女士        投诉对象  滴水贷,重庆希岸滴水贷        涉诉金额  32 000 元    问题类型    诉求类型投诉详情  骚扰家人 电话轰炸 骚扰当地派出所 严重我的家人的正常生活 之前八期都有在处理 现在确实资金不到位 有协商解决 但是这面第三方还在不停骚扰</t>
  </si>
  <si>
    <t>2019/10/10 17:44:23</t>
  </si>
  <si>
    <t>1、被业务员骗了150，给了一堆券，而且现在费率也涨了，这些事我就不说了，很生气，损失了150元，2、要求注销乐刷，但是必须180天无交易才能注销，明显是霸王条款。</t>
  </si>
  <si>
    <t>2019/10/10 17:44:13</t>
  </si>
  <si>
    <t>投诉人 杜女士        投诉对象  钱站,华夏银行        涉诉金额  5 000 元    问题类型    诉求类型投诉详情  恐吓威胁亲友，私自联系亲友，威胁恐吓亲友</t>
  </si>
  <si>
    <t>2019/10/10 17:44:09</t>
  </si>
  <si>
    <t>投诉人 朱先生        投诉对象  石头管家        涉诉金额  1 000 元    问题类型    诉求类型投诉详情  已经归还了本金3000 剩下的最后一期实在是没办法了</t>
  </si>
  <si>
    <t>自从换了手机号，一直捷信消费金融给我打电话，一开始问，我是张云燕吗，我说不是，然后认识吗，不认识，每天都打好几个，不同的座机号，最近几天，每天一个，问完你是谁谁谁吗，我说不是，一直不听我说啥，一直自言自语，有什么活动云云，我就不理他，他说完了，问没什么需要吗。</t>
  </si>
  <si>
    <t>2019/10/10 17:43:07</t>
  </si>
  <si>
    <t>我在贷上钱借了四千，却要还五千四，第一期到，因为碰到套路贷，给逼的没有办法了，和他们协商说好了还本金，还前两期，我借钱把前两期都还了，现在盯着我要最后一期，不断骚扰我身边朋友和单位，弄得我快失业了。</t>
  </si>
  <si>
    <t>2019/10/10 17:42:48</t>
  </si>
  <si>
    <t>本人被网页上的该平台的虚假广告诱惑，然后被诱导注册账号，刚开始以为这是一个正规的彩票平台，因为本人也经常去彩票店买彩票，平台里面的开奖跟彩票站的一样，所以以为是正规平台彩票站，虽然对这个平台还是有些疑虑的，但是看到有这么多支付公司给这个平台开通充值通道，之后就以为该平台是正规的，结果被这个平台给套住了，在之后的一段时间里我陆陆续续亏损了巨额钱款，直到家人制止，朋友也跟我说这种平台是违规的，我后来也在网上查了国家早就禁止这种网络平台了，所以我在这请求聚投诉能为我主持公道要求中国建设银行立即冻结广州叶商商贸部银</t>
  </si>
  <si>
    <t>2019/10/10 17:41:44</t>
  </si>
  <si>
    <t>浦发银行的各位，大家好，我来这里反应情况是因为银行外包公司打扰到我以及我家人的正常生活了，在这里我跟大家说声对不起，欠银行的钱是我不对，没有理性合理的消费，导致入不敷出，造成不能及时还款，我不是不还款，只是由于怀孕生产的原因，辞了工作，没了经济来源，导致了拖欠，现在外包公司每天打电话，就是要还钱，一次性还完十万，还各种恐吓，如果我有能力一次性还款十万，那也就不会造成现在这样的情况了，更伦不到外包公司来催款，在这里我请求能与银行协商还款，而不是外包公司，我每个月也都在还款，虽然金额达不到银行要求，但这也是我还</t>
  </si>
  <si>
    <t>2019/10/10 17:41:33</t>
  </si>
  <si>
    <t>在京东商城购买的京东与国通石油合作的京通卡，余额还有2291，在9月10日发起交易纠纷后说是15个工作日解决，但现在一个月过去了，京东还是不闻不问，期间国通客服已经联系不上，联系京东客服，又让我找国通客服，互相踢皮球，玩弄消费者，京东客服的回复是让我们等，但又不说不出要等多长时间，这样的处理态度太恶劣了，店大欺客，我就是要退款！退款！退款！就有这么难吗。</t>
  </si>
  <si>
    <t>2019/10/10 17:41:29</t>
  </si>
  <si>
    <t>我在捷信贷了25000还了36000分了33期每月还1515.16还剩10期没还，现在捷信让我一次性偿还11000我没能力偿还，当地的捷信工作人员告诉我，如果我在不一次性偿还就给我转交给外收后果自负，今天我主动给捷信客服联系我跟你们谈看看能不能给我减免到最低，他说已经给外包管了，帮2019年10月10日下午3点25你们外包给我打暴利催收电话恐吓我，刚开始说让我还钱我说一下拿不出来11000块他问我能拿出多少我说如果给我减免到百分之20到30的这些钱，完事他说叫我给他5000块钱这个事情就解决了，我不相信他说</t>
  </si>
  <si>
    <t>2019/10/10 17:41:28</t>
  </si>
  <si>
    <t>我之前被亲人叫到广西赔了好多钱，借了招联金融的钱逾期一年了，期间我也想过还钱，可是借的钱都还了还是有很多，由于社会阅历太低和欠钱数额较大，我一直想还但总是不敢面对现实，最终我鼓起勇气在上个月27号找了一份工作想好好上班还债，没想到今天，催收居然给我新单位老板打了电话，老板当时把电话都给我了，脸色非常不好，最后不得已我和老板坦白了，他说考虑下明天给我答复，借的钱我一定会还，可是这样的催收实在让我压力很大对我也造成了很大损失，希望可以帮我处理一下。</t>
  </si>
  <si>
    <t>2019/10/10 17:40:12</t>
  </si>
  <si>
    <t>这不是我，不知道为什么骚扰我，给我发短信什么意思。</t>
  </si>
  <si>
    <t>2019/10/10 17:39:36</t>
  </si>
  <si>
    <t>本人因家里有事，周转不开，导致蚂蚁花呗，借呗逾期，我想还款，但一次性还不了那么多，一个自称是支付宝客服的男人给我打电话协商让我3个月还完，然后我就照他们说的做了，现在还没过10几天又换了一个自称支付宝客服的人不认账，说必须让我全额还款，要不就雇佣当地人上我家来。</t>
  </si>
  <si>
    <t>2019/10/10 17:39:34</t>
  </si>
  <si>
    <t>宜人贷在没经过我同意的情况下，威胁我父母为我还款，语言恶略，恐吓。</t>
  </si>
  <si>
    <t>2019/10/10 17:39:29</t>
  </si>
  <si>
    <t>本人是2018年9月份，被尚德机构老师一直打电话以各种理由说服下，被他们所诱骗成功报名，我的教育机构是这样收费，总共14800，一开始，支付宝付款1480，最后尚德给我申请分期付款，总共18期，每个月740，总共贷了13320，今年8月，因为我个人原因，无法再继续学习，找他们，一开始不愿意，最后同意了，说扣我3700，退11100给我，我同意了，可是我实际收款，6660，这是什么，一直推卸给贷款机构，贷款机构打了13320给他们，最后我收到了只有6660，这合理嘛，意味着，尚德扣了我8140，他们说没有的事</t>
  </si>
  <si>
    <t>2019/10/10 17:39:06</t>
  </si>
  <si>
    <t>投诉人刘先生投诉对象宏萨信息科技涉诉金额296元问题类型诉求类型投诉详情要求该公司退款，道歉。</t>
  </si>
  <si>
    <t>2019/10/10 17:39:05</t>
  </si>
  <si>
    <t>图片上显示我已经在2019年8月15日还清了借款，但是时隔这么久了闪银方面依旧说我有逾期让我还清，但是app里面并没有，请闪银把订单拿出来我愿意结清，如果没有请给我一个合理的解释，并且把我的征信信息给处理了谢谢，显示我逾期那么多天严重影响我的征信。</t>
  </si>
  <si>
    <t>2019/10/10 17:38:45</t>
  </si>
  <si>
    <t>本人因平板闪屏9/20在京东维修，京东说要换屏保证原厂正品，修好和之前的一样，费用490，9/28号收到平板屏幕模糊有重影，用一会机身发烫，京东说没修好，要重新维修，10/3京东打电话说修好了，当天会寄出，一直没收到，10/5号我又打电话催促，给出的回复还是当天会寄出，也是迟迟未收到，10/8号收到平板根本就没修还是和9/28号收到的平板一样模糊有重影，机身发烫，给京东打电话置之不理，希望京东能退款。</t>
  </si>
  <si>
    <t>2019/10/10 17:38:29</t>
  </si>
  <si>
    <t>2019年9月份因为资金无法还全款，我把最低还款金额1750看成1650造成逾期，在2019年10月10日徽商银行催收人员给我打电话催款，没有提醒，打电话直接说外访上门，打家里人电话，上午我还了个2000的最低还款后，又补齐了全款，下午催收人员还在给我打电话要求还款，态度及其恶劣！还是要我现在的地址，进行威胁恐吓上门，爆通讯录！希望能严肃处理！为什么我还全款之后还要继续威胁恐吓我。</t>
  </si>
  <si>
    <t>2019/10/10 17:37:57</t>
  </si>
  <si>
    <t>投诉人 杜先生        投诉对象  招联好期待        涉诉金额  22 000 元    问题类型    诉求类型投诉详情  招联好期贷无辜多出电信合约机 无人告知 要求给出合理解释 尽快处理！！！ 请聚投诉平台给我发一下银监会投诉的链接 谢谢</t>
  </si>
  <si>
    <t>2019/10/10 17:37:33</t>
  </si>
  <si>
    <t>获取提现密码，之后提现出现个种问题归结于你本身征信问题，各种理由其劝说你刷征信让你100%通过为名再获取更大利益，请跟我一样想贷款的人一定要前车之鉴，强烈要求退款，退我的500元，请求加以严惩。</t>
  </si>
  <si>
    <t>2019/10/10 17:37:19</t>
  </si>
  <si>
    <t>投诉人蔡女士投诉对象马上消费金融涉诉金额4500元问题类型诉求类型投诉详情马上消费金融借款之前表示利息是14到36，但是借到手一律是36，根本就是欺骗消费者。</t>
  </si>
  <si>
    <t>2019/10/10 17:36:58</t>
  </si>
  <si>
    <t>投诉人王先生投诉对象通联支付,宏萨信息科技涉诉金额296元问题类型诉求类型投诉详情通联支付－宏萨。</t>
  </si>
  <si>
    <t>2019/10/10 17:36:53</t>
  </si>
  <si>
    <t>投诉人崔先生投诉对象立借涉诉金额6500元问题类型诉求类型投诉详情今下午收到电话，说减免费用，借6500一个月要收1500块，还说已经减免了，不减免就要接受3个月2500的利息，请问下，这利息和费用谁能接受，这方案谁能接受。</t>
  </si>
  <si>
    <t>2019/10/10 17:36:44</t>
  </si>
  <si>
    <t>爆我通讯录，骚扰亲朋好友，乱发短信，给我生活完成困扰了。</t>
  </si>
  <si>
    <t>2019/10/10 17:35:59</t>
  </si>
  <si>
    <t>投诉人廖女士投诉对象厦门市蓝尚信息科技有限公司，简称“蓝店”涉诉金额2607元问题类型诉求类型投诉详情蓝店无良商家，提现一直不到账，拖了快两个月。</t>
  </si>
  <si>
    <t>2019/10/10 17:35:57</t>
  </si>
  <si>
    <t>投诉人冯先生投诉对象肥猫贷,呗呗分期,金鸡下蛋涉诉金额2000元问题类型诉求类型投诉详情网络借贷714高炮平台肥猫贷以及其平台的呗呗分期，金鸡下蛋等存在严重的套路贷，砍头息等现象，借款2000，实际到账1400，到期还2000，催收还建议借款人进行续期，续期一次3天300元，且其催收在还款当日便强行要求中午12点必须处理，借款人近期已多次续期，续期金额足够借款到账的本金，但借款人与平台协商结清依旧无果，欠债还钱，天经地义，但是714高炮吃相实在太难看，为什么会贷款，就是资金周转不开了，可是714在你没钱的时</t>
  </si>
  <si>
    <t>2019/10/10 17:34:51</t>
  </si>
  <si>
    <t>投诉人周先生投诉对象玖富叮当涉诉金额37000元问题类型诉求类型投诉详情玖富万卡高利贷，阴阳合同，变相砍头息，本人现有三笔欠款：①借款21000元合同写36334.84元，分36期还，每期还款1213.33元，共要还43678.88元，已还25期共30333.25元，还需还11期共13345.63元，经核算，本人于玖富的三笔借贷实际年化高达55.85%－58.63%，作为互联网金融服务平台排名前10的玖富，借款年化利率高出近国家规定的36%一倍，望相关部门可以重视调节，严惩非法网贷公司的种种劣迹，现诉求如下</t>
  </si>
  <si>
    <t>2019/10/10 17:33:59</t>
  </si>
  <si>
    <t>今天骚扰一天了，跟他们说，我今天之内会处理完，处理完了，还在骚扰，还电话威胁我。</t>
  </si>
  <si>
    <t>2019/10/10 17:33:39</t>
  </si>
  <si>
    <t>我额度4297分十二期循环贷到现在一期之前的还三四百到现在就要还差不多900块钱。</t>
  </si>
  <si>
    <t>2019/10/10 17:33:33</t>
  </si>
  <si>
    <t>投诉人李女士投诉对象亿电通共享充电,微信支付涉诉金额60元问题类型诉求类型投诉详情投诉亿电通共享充电在本人使用完充电宝后不予结束充电，多收取我54元，本人在微信支付中使用的该产品的充电服务，该平台电话打不通联系不到客服希望客服尽快联系我退款。</t>
  </si>
  <si>
    <t>2019/10/10 17:33:18</t>
  </si>
  <si>
    <t>如果我任何一个朋友亲人收到拍拍贷的电话骚扰，有有权保留我的个人权益。</t>
  </si>
  <si>
    <t>2019/10/10 17:33:03</t>
  </si>
  <si>
    <t>投诉my钱包还没到还款日一天发三条信息过来催款，又不是不还，发一条人家也看得到了。</t>
  </si>
  <si>
    <t>2019/10/10 17:32:40</t>
  </si>
  <si>
    <t>本人手机号166******86一直收不到短信验证码，短彩信功能不能正常使用。</t>
  </si>
  <si>
    <t>2019/10/10 17:32:37</t>
  </si>
  <si>
    <t>3月15日，《中华人民共和国合同法》第二百条规定，借款的利息不得预先在本金中扣除，利息预先在本金中扣除的，应当按照实际借款数额返还借款并计算利息，该通知的关于大力加强互联网保险业务管理部分指出不得违规捆绑销售，不得使用强制勾选、默认勾选等方式销售保险，2011年12月2日，《关于依法妥善审理民间借贷纠纷案件促进经济发展维护社会稳定的通知》要求出借人将利息预先在本金中扣除的，应当按照实际借款数额返还借款并计算利息，是否存在从贷款本金中先行扣除利息、手续费、管理费、保证金或设定高额逾期利息、滞纳金、罚息等行为，</t>
  </si>
  <si>
    <t>2019/10/10 17:32:11</t>
  </si>
  <si>
    <t>投诉人寇先生投诉对象钱站,爱钱进涉诉金额1000元问题类型诉求类型投诉详情本人借款1000，未看清借款分期的利息，后面逾期2天就有钱站暴力催收，我进入平台发现，上面没有借款金额，分3期每期596还款，我当时借款1000，我分的3期，我发现借1000分3期，要还1800这太吓人了利息，但是这平台还款是自动扣我银行卡里的钱，本人现在扣了2期，借1000还1200已经偿还了利息，最后596不是该有的。</t>
  </si>
  <si>
    <t>2019/10/10 17:31:52</t>
  </si>
  <si>
    <t>投诉人钟先生投诉对象拍拍贷涉诉金额4000元问题类型诉求类型投诉详情利息太高，忘记一天还款就35元的罚息，借了4000元，6个月需要还款快800块钱利息。</t>
  </si>
  <si>
    <t>2019/10/10 17:31:35</t>
  </si>
  <si>
    <t>高利贷，还有砍头息，利息太高还不起，一直爆通讯录，亲戚朋友的电话每天十多个一直打，严重影响我的生活，真的是想把人逼死吗。</t>
  </si>
  <si>
    <t>2019/10/10 17:30:22</t>
  </si>
  <si>
    <t>投诉人余女士投诉对象招联金融涉诉金额4554元问题类型诉求类型投诉详情逾期两期，催收恶劣，每天不停的打电话，发信息，还冒充公检法人员恐吓我要坐牢，从没说过不还款。</t>
  </si>
  <si>
    <t>2019/10/10 17:30:12</t>
  </si>
  <si>
    <t>投诉人胥女士投诉对象牛人有品,牛人有品催收方涉诉金额800元问题类型诉求类型投诉详情和牛人有品催收方协商好的时间，等我处理好了就联系她，可对方未在协商时间内遵守约定，不断打电话骚扰，严重影响我的成效。</t>
  </si>
  <si>
    <t>2019/10/10 17:30:10</t>
  </si>
  <si>
    <t>投诉人张女士投诉对象快手小店/富金沙金涉诉金额128元问题类型诉求类型投诉详情家人在快手看直播，买了一条项链，收到货时是断的，第一时间发给我咨询解决办法，我引导了很久才找到的店铺客服，结果加微信沟通如下：1、商家表示不是自己的问题，是我们恶意为之，有悖常理，消费者受到了污蔑，2、服务态度欠缺，没有一点解决问题的态度，不解决问题，第一时间就是推诿，3、为什么申请退款的订单无法查看，难道就这样欺骗年纪大的消费者吗，4、要求退货退款，快手平台改善商城的质量！5、无论店家有多少粉丝，是怎么收获的粉丝，都希望能做一个</t>
  </si>
  <si>
    <t>2019/10/10 17:29:32</t>
  </si>
  <si>
    <t>投诉人姜先生投诉对象宏萨信息科技涉诉金额296元问题类型诉求类型投诉详情我不知道这个公司是什么，但是无缘无故扣我钱！就是违法行为。</t>
  </si>
  <si>
    <t>2019/10/10 17:29:29</t>
  </si>
  <si>
    <t>受害人，盗取受害人的个人信息，根据国家法律法规已严重违法，现如今打黑除恶的形势下还敢这么严重，我已把录音截图等证据提交给公安局打黑除恶办，警察这边现已立案，如后期还有以下行为，警察这边开展侦查。</t>
  </si>
  <si>
    <t>2019/10/10 17:29:00</t>
  </si>
  <si>
    <t>今年7月份开始没有回款，网信没有说法，网信没有回应，网信赶紧还钱，我们受害者要团结，为自己讨回公道。</t>
  </si>
  <si>
    <t>2019/10/10 17:28:42</t>
  </si>
  <si>
    <t>审核慢，退还本钱128，不能恶意扣款，要求要严格了，。</t>
  </si>
  <si>
    <t>2019/10/10 17:28:10</t>
  </si>
  <si>
    <t>手续费超出了我现在的还款能力.借1000，三个月还1800左右.。</t>
  </si>
  <si>
    <t>2019/10/10 17:27:46</t>
  </si>
  <si>
    <t>本来是想小额贷款用于资金周转但是它用银行卡错误让我转6000才能修改卡号，之后又以各种理由骗取钱财，说这样才能贷款成功。</t>
  </si>
  <si>
    <t>2019/10/10 17:27:27</t>
  </si>
  <si>
    <t>两单坑骗我600，希望能帮我追回，避免有更多的受害者。</t>
  </si>
  <si>
    <t>2019/10/10 17:25:55</t>
  </si>
  <si>
    <t>本人在没有接到任何通知的情况下拿信用卡消费，买单时发现卡不能使用，打电话给信用卡客服询问为什么，对方告知信用卡被限制了，建议本人养成良好的用卡习惯，后期会解除限制，我就纳闷了我信用卡一直都是正常使用没有出现一次逾期或者违规操作为什么你中信说限制就限制，客服告知我说什么综合评估所以限制的，我问什么时候能解除限制，对方也不明确答复最后说什么反馈问题来敷衍我，请你们想象下现在年轻的消费者出行购物基本都是无现金支付的时代，在不知情也没有接到任何通知的情况下拿着信用卡邀请一帮朋友吃饭，买单时才知道信用卡明明有额度却被</t>
  </si>
  <si>
    <t>2019/10/10 17:25:41</t>
  </si>
  <si>
    <t>我是饿了么兼职骑手，在2019年10月8号饿了么给我指派单要求送餐，当时我也有接受此任务马上就到店取餐，事情经过：但是当我在00:22到店后商家那边还未出餐，多次询问回复说很快最终在00:34分才出餐，在这个期间就已经浪费派送时间12分钟，因为我们是兼职骑手手上肯定还有自己专用商家的货物因此在这个时间也会耽误8分钟左右，等我在商家取餐完成在送专用商家货物的时候商家就很暴躁的打电话威胁如果不及时送到客户取消订单所有责任要我们承担，还带一些辱骂词语，当时我也有回复商家这个责任我肯定不会承担，但是我会按时送到客户</t>
  </si>
  <si>
    <t>2019/10/10 17:24:26</t>
  </si>
  <si>
    <t>在我不知道的情况下从我银行卡扣款，要求退款。</t>
  </si>
  <si>
    <t>2019/10/10 17:24:09</t>
  </si>
  <si>
    <t>投诉人何先生投诉对象小米金融涉诉金额80000元问题类型诉求类型投诉详情小米金融平台现在无法查询借款记录！只有还款计划！暴力催收且骚扰家人朋友……给我生活带来了很大的影响！希望这边给出一个合理处理方案……停止骚扰……。</t>
  </si>
  <si>
    <t>2019/10/10 17:24:06</t>
  </si>
  <si>
    <t>投诉人王先生投诉对象苏宁消费金融,苏宁金融涉诉金额8000元问题类型诉求类型投诉详情因为个人原因，无力偿还债务，催收人员打电话骚扰，致电单位电话，不直接致电给我或者发短信给我，严重影响我的工作，现在正在努力赚钱，欠款我一直记着，并没有说不还，10月9日打电话给我说我拒不偿还债务，还要我先还5000才能给我安排分期还款，10月10日打电话三次，和我同事说我在苏宁上买的东西，办的分期，要找我。</t>
  </si>
  <si>
    <t>2019/10/10 17:23:42</t>
  </si>
  <si>
    <t>态度恶劣，暴力催收，虚假宣传，发布虚假信息给我朋友，说我骂我朋友，现在对我的生活造成很不好的影响，。</t>
  </si>
  <si>
    <t>2019/10/10 17:23:40</t>
  </si>
  <si>
    <t>教学视频看不了反馈几个月没有得到解决，申请退学费大半年了没有结果，联系人一直在推脱给另一个人。</t>
  </si>
  <si>
    <t>2019/10/10 17:23:29</t>
  </si>
  <si>
    <t>没有经过我的同意给我扣一万八的保费，能退吗，不退天天投诉，还等什么结清了才退，你跟玖富一伙的吧坑人高利贷不退保费，我一分钱不会多还。</t>
  </si>
  <si>
    <t>2019/10/10 17:23:23</t>
  </si>
  <si>
    <t>还给我说什么五分钟查账的时候不到马上打电话。</t>
  </si>
  <si>
    <t>2019/10/10 17:23:16</t>
  </si>
  <si>
    <t>宏萨信息科技有限公司无故扣除我296元，我要求还反。</t>
  </si>
  <si>
    <t>2019/10/10 17:22:34</t>
  </si>
  <si>
    <t>时光分期,国美金融,国美在线金融,宝付支付,天津银行,51公积金管家,银盈通支付，时光分期原名原子贷，属于北京融科君展信息技术有限公司旗下产品，，2019年9月通过51公积金中介平台借款5000元合同中显示按月等额还款，实际到账金额5000元由银盈通支付放款，现已归还一期624.9元由宝付支付扣款，经查实在今年315国家查处违规贷款中，时光分期隶属融360，时光分期并无放贷资质，现要求提前结清销账，竟然仍要归还5590.68元，即2个月不到利息已经达1215.7元，远超国家标准，根据与时光分期即原子贷客服的</t>
  </si>
  <si>
    <t>2019/10/10 17:22:18</t>
  </si>
  <si>
    <t>上海墨灿网络科技有限公司工商执照注册号/统一社会信用代码91310105MA1FW3LD56该公司的多多进宝app，，我的佣金突然无法提现，9.27号我还提现了，但是后面就不让我提现了，提现的时候出现，10分钟之内到账，结果微信没有反应，佣金也不变，我就是一名宝妈，想着从家里带孩子能做份兼职，但是辛辛苦苦一直推广商品，现在2000多无法提现我真的很恐慌。</t>
  </si>
  <si>
    <t>2019/10/10 17:22:08</t>
  </si>
  <si>
    <t>8月23日，由于嗨钱网APP不能进行充值还款，由西藏微众进行银行代扣，但是嗨钱网APP上仍然显示逾期，后我又进行银行转款2638元到嗨钱网所留银行账户江西汇通，然而第二期嗨钱网仍然显示逾期，并出现逾期费用，经过先期扣款1440元，两期自动扣款5100.27，加上我自动还款2638元，我已还款9178.27元，在9月23日西藏微众金融服务有限公司在未经过本人同意的情况下再次对我银行卡进行恶意扣款2949.27元，在我多次反映后，嗨钱网将责任推脱给西藏微众金融服务公司，我多次打电话发邮件从9月25号一直反映到1</t>
  </si>
  <si>
    <t>2019/10/10 17:22:05</t>
  </si>
  <si>
    <t>收取服务费，高利息，高利贷，暴力催收，恐吓，威胁，侵犯隐私权。</t>
  </si>
  <si>
    <t>2019/10/10 17:21:54</t>
  </si>
  <si>
    <t>7月1日起，淘集集应该结算货款183249.75，一直拖延不予结算，商户入驻时承诺结算时间为T+1,按照约定流程早就应该清算，现淘集集单方违约一直不予结算，现要求清偿货款！。</t>
  </si>
  <si>
    <t>2019/10/10 17:21:50</t>
  </si>
  <si>
    <t>投诉人潘文斗投诉对象小浦优客涉诉金额296元问题类型诉求类型投诉详情10月10日下午被小浦优客扣取了296元，打电话给他们说是查征信费用，我都没操作过。</t>
  </si>
  <si>
    <t>2019/10/10 17:21:46</t>
  </si>
  <si>
    <t>投诉人邹先生投诉对象佰仟金融涉诉金额50000元问题类型诉求类型投诉详情上次我在平台上投诉过一次，他们说过几天打电话给我跟我商量处理一下，我就一直没有接到过电话，这次直接发要我50000,我分期手机才5000多还了6000-7000。</t>
  </si>
  <si>
    <t>2019/10/10 17:21:25</t>
  </si>
  <si>
    <t>投诉人李先生投诉对象众安保险涉诉金额420元问题类型诉求类型投诉详情众安保险联合小赢卡贷在不知情的情况下购买贷款保险，小赢卡贷2018年9.30日贷款日期，中途今年五月份致电众安保险要求退还保险保费420元，对方客服答复贷款结清可以退还保费，本人已于今年9月份还清了贷款，致电众安保险客服答复保险到期不能退款，这个就有疑问了，众安保险一开始说保险一旦生效就不能退，后来说结清可以退，现在本人结清了还是不能退！这个保险公司感觉完全没有诚信可言！。</t>
  </si>
  <si>
    <t>2019/10/10 17:21:12</t>
  </si>
  <si>
    <t>投诉人陈女士投诉对象你我贷涉诉金额758元问题类型诉求类型投诉详情你我贷高利贷，暴力催收，天天电话辱骂我，并且爆我通讯录在电话里骚扰我朋友和家人，短信群发造谣我诈翩，你我贷简直就是黑社会地痞流氓！！！图中的两号码都是你我贷的催收人员电话，天天骚扰我辱骂我害我现在不敢接电话，希望有关部门处理这个你我贷，它简直目无王法。</t>
  </si>
  <si>
    <t>2019/10/10 17:20:55</t>
  </si>
  <si>
    <t>投诉人邢先生投诉对象掌众金服,闪电借款涉诉金额2730元问题类型诉求类型投诉详情闪电借款严重骚扰，一天不下10个电话！爆我通讯录！严重砍头息！多次借款，砍头息都是本金的几倍！年利率高达144%以上！电话威胁恐吓，本人已经录音！已经向经侦部门反映！接下来就向法院起诉。</t>
  </si>
  <si>
    <t>2019/10/10 17:20:00</t>
  </si>
  <si>
    <t>投诉一：9月10号在天猫超市下了一千七百多的一个订单6****************9，显示次日送达，等了一个星期未发货，客户说系统卡单仓库没收到让我退单再重新下，系统问题为什么需要客户承担，僵持十几天均未解决，我认了，按照客服要求在9月21号重新下了订单6****************9，但第二个订单依旧不发货，客服又说是系统卡单，这次我投诉到了消协，中间客服一直消极对待不处理，还说我投诉了消协会有消协处理，等到9月27号发现第一个订单开始发货了，中间经历了17天！投诉二：9月22号和订单是因为10号</t>
  </si>
  <si>
    <t>2019/10/10 17:19:59</t>
  </si>
  <si>
    <t>大约2019年8月24日在南宁吴圩机场因排队托运行李的人较多，而离关闭安检的时间即将到，为了赶时间到服务台询问时，被在机场服务台着机场工作服的人员游说办事民航联盟总统卡交1980元，卡里就会变5000元，以后购机票时可以直接从卡里支付，想到经常要乘坐航班，就办了一张卡，但在我购机票时才发现每次购票只能折扣约30元，根本没能用其工作人员所说的购票直接用总统卡里的钱，而且机票也没有一些平台便宜，存在夸大和虚假宣传，要求退款。</t>
  </si>
  <si>
    <t>2019/10/10 17:19:37</t>
  </si>
  <si>
    <t>招联金融不与本人协商直接与家人联系，影响个人生活，我要起诉至当地银监会，。</t>
  </si>
  <si>
    <t>2019/10/10 17:18:26</t>
  </si>
  <si>
    <t>多宝分期借6000平均每15天还款一次，现已还款7194元整，从第三期开始已无法自己还款，只能私下转账处理，感觉很不安全，并且无法联系到客服，除了转账以外其他不管，现在已经除本金外多还了1194元，希望能协商撤账。</t>
  </si>
  <si>
    <t>2019/10/10 17:18:11</t>
  </si>
  <si>
    <t>本人弟弟在瓜子二手车购买车辆，现在公司倒闭，外欠几十万，家里想帮忙提前还款，就拨打电话问是否可以结清，是否有减免，再次拨打，转内部投诉部门，告诉我这是金融的事情让金融解决，但一直没有回复。</t>
  </si>
  <si>
    <t>2019/10/10 17:17:59</t>
  </si>
  <si>
    <t>我上网咨询服务完后，微信加我好友我，我同意后对我嘲讽，删除微信后我手机就一直就收到验证码信息。</t>
  </si>
  <si>
    <t>2019/10/10 17:17:56</t>
  </si>
  <si>
    <t>投诉人方先生投诉对象花转转,畅捷支付涉诉金额2842元问题类型诉求类型投诉详情本人于2019年8月11日和8月24日，在不知情的情况下被蒙蔽付高额利息，第一次11号到账2170元还款3100元，第二次到账2800还款4088元，在这种情况下我找到花转转平台客服所留电话，半个多月一直无法打通，想协商还款也一直无法在app上操作，平台期间并无联系我本人，每天逾期费用50多元一直在增加，这种恶意造成借款人无法协商还款，不联系本人的情况下随意拨打骚扰借款人通讯录亲朋好友，否则报警处理！平台电话4008336200。</t>
  </si>
  <si>
    <t>2019/10/10 17:17:55</t>
  </si>
  <si>
    <t>投诉人姜先生投诉对象微博借钱,融信涉诉金额960元问题类型诉求类型投诉详情本人2018年12月6号通过微博借钱申请了一笔8000元的借款，共计分6期还款，每期本金加利息1573.33元，但是结清的时候却是支付了全部6期的利息共计1440，而实际享受分期不足两月，贷款利息远超国家规定的利息，现要求微博借钱放返还我提前结清4期所支付的利息。</t>
  </si>
  <si>
    <t>2019/10/10 17:17:23</t>
  </si>
  <si>
    <t>投诉人胡女士投诉对象宏萨信息科技涉诉金额296元问题类型诉求类型投诉详情2019年10月10日14时27分，宏萨，信息科技有限公司在未通知我本人且未经过本人同意情况下恶意扣款296元，要求退款并道歉解释！。</t>
  </si>
  <si>
    <t>2019/10/10 17:17:19</t>
  </si>
  <si>
    <t>2019年4月6日鄂尔多斯尹金霍国际机场候机厅易航商务航空销售人员推销畅享卡，承诺购卡1680元返1320元，贵宾卡3000钱2年有效！今后通过易航买机票直接用卡上的钱，用完继续优惠，贵宾携家属共同免费享受全国各大机场的优惠机票和贵宾室服务，后来了解购买机票根本就没有销售人员说的优惠，仅优惠30～50元，而且卡内余额3000元也是用不了的，每一次只能抵消几十元我一年也不坐飞机出行几次，如果不是销售人员宣传不实，绝不会花1680元购买这种贵宾卡！要求退款退卡！。</t>
  </si>
  <si>
    <t>2019/10/10 17:17:08</t>
  </si>
  <si>
    <t>利息非常高，协商还本金没同意，客服说话态度非常恶劣。</t>
  </si>
  <si>
    <t>2019/10/10 17:16:57</t>
  </si>
  <si>
    <t>今年4月份优信优卡开始就不充值油卡了，说公司系统出现问题了，说5月14号可以修复，5月14系统开始充值不了优卡，说充值繁忙，一直到5月26号系统提示6月30号公司要重组，然后又推到九月15开始，到现在也没有正常充值，客服电话没人接听，公众号也关闭，这是要骗大家的钱跑路了，希望贵公司帮助大家解决问题。</t>
  </si>
  <si>
    <t>2019/10/10 17:16:10</t>
  </si>
  <si>
    <t>10月5日国庆节期间的上午10点04分，我接到平安银行委托方的催收电话028-68815770，在电话里该公司人员恐吓我，不谈具体协商还款的事宜，只问我人在哪里，声称要安排人来找我，问其找我做什么也不明说，口气存在威胁的语气，之后侮辱我“欠一屁眼债，无能”的词汇，我被激怒后骂了她几句，然后她在电话里咒我死父母，并且说我办信用卡消费的钱是用来给我父母料理后事所有，我父亲早年出事故死亡，她却在电话里诅咒我母亲，后来向平安银行投诉后，银行推卸责任，声称骂我的公司是外包公司广东德律信用管理股份有限公司，与他们无关，</t>
  </si>
  <si>
    <t>2019/10/10 17:15:14</t>
  </si>
  <si>
    <t>恶意扣费，又没有提示，评估要收费，审核还要扣费，。</t>
  </si>
  <si>
    <t>2019/10/10 17:15:08</t>
  </si>
  <si>
    <t>投诉人关先生投诉对象立借,深圳市大地信通担保有限公司涉诉金额11440元问题类型诉求类型投诉详情立借伙同深圳市大地信通担保公司联合故意造成借款逾期，立借公司对逾期人采取措施为打遍通讯录联系人，对本人及家人朋友带来严重困扰，同时大地信通担保公司随意晚上扣费，账单也不显示减少，本人支撑不住每日通讯录每天给打个遍的压力，只能偿还高额利息及逾期费，希望贵平台12315及中国互联网金融协会的各位帮忙处理一下，现已公安局备案。</t>
  </si>
  <si>
    <t>2019/10/10 17:15:05</t>
  </si>
  <si>
    <t>我于10月7日申请你我贷借款6700元整，现在我想提前还款，但是你我贷告知我，还是需要按照他们给我算的，这才几天啊，就要多还2000元。</t>
  </si>
  <si>
    <t>2019/10/10 17:15:01</t>
  </si>
  <si>
    <t>希望合理解决此欠款，把阴阳合同弄好了，来协商合理还款。</t>
  </si>
  <si>
    <t>2019/10/10 17:14:55</t>
  </si>
  <si>
    <t>投诉人海先生投诉对象期待科技涉诉金额2724元问题类型诉求类型投诉详情之前由于个人工作变动及投资失败等原因，导致期待科技贷款逾期，总借款5000，分6期，每期还款907.75元，归还三期后，无力偿还，此违约金高于结算后，贷款的综合费用远超法律允许范围，现投诉诉求为，减免违约金，按照法律允许范围内金额还款。</t>
  </si>
  <si>
    <t>2019/10/10 17:14:48</t>
  </si>
  <si>
    <t>投诉人张先生投诉对象来分期涉诉金额0元问题类型诉求类型投诉详情今天是最后还款日就给我打了不下十个电话严重扰乱我的工作，我问下是不是有每天不得超过三次催的电话。</t>
  </si>
  <si>
    <t>2019/10/10 17:14:43</t>
  </si>
  <si>
    <t>投诉人王先生投诉对象我来金科涉诉金额14000元问题类型诉求类型投诉详情我来贷，威胁借款人，骚扰借款人，已经告知遇到点事还款有困难。</t>
  </si>
  <si>
    <t>2019/10/10 17:14:41</t>
  </si>
  <si>
    <t>投诉人 黄建晓        投诉对象  美团金融        涉诉金额  9 400 元    问题类型    诉求类型投诉详情  泄漏我隐私。爆我通讯录名单 暴力催收 骚扰我通讯录</t>
  </si>
  <si>
    <t>2019/10/10 17:14:31</t>
  </si>
  <si>
    <t>51人品贷暴力催收，一天10几个电话骚扰我！并骚扰我的同事！因我被诈骗20万！并主动协商，但是51不同意！威逼恐吓！让我无法工作！爆我通讯录，！。</t>
  </si>
  <si>
    <t>2019/10/10 17:13:59</t>
  </si>
  <si>
    <t>投诉人刘先生投诉对象爱钱进涉诉金额3000元问题类型诉求类型投诉详情我在钱站贷款到账3000元，还款时却要6000元，说是里面有服务费，要还的钱太多了，不合理，和钱站工作人员无法协商，跟他们没逾期的时候工作人员往上面推，逾期的时候工作人员说他们这无法决定，我要求免除服务费只还本金和利息还有停止骚扰。</t>
  </si>
  <si>
    <t>2019/10/10 17:13:53</t>
  </si>
  <si>
    <t>投诉人贺先生投诉对象玩彩网涉诉金额160500元问题类型诉求类型投诉详情赌博网站的所有网址，前面朋友介绍说是投资，结果是赌博网站。</t>
  </si>
  <si>
    <t>2019/10/10 17:12:55</t>
  </si>
  <si>
    <t>投诉人 林先生        投诉对象  买买乐购        涉诉金额  900 元    问题类型    诉求类型投诉详情  我还款了 买买乐还是骚扰我 严重影响我的个人工作生活，要求做出赔偿。</t>
  </si>
  <si>
    <t>2019/10/10 17:12:43</t>
  </si>
  <si>
    <t>投诉人李先生投诉对象玖富涉诉金额18000元问题类型诉求类型投诉详情退我保费18000，还说结清了才退我现在都没钱还款，我不需要什么保费能不能退给我呀，借了31000分24期还53000我怎么还这利息也太高了点，保费退我还可以，当时我都没主意保费是要算在里面的，结果打款来直接给我扣掉，退保费18000不退的话我真没有钱一期一期或者提前结清款项，现在只能逾期了等有钱了才还，退了一万八保费我还是照样可以每期每期的还！因为我这几个月都没多少工资。</t>
  </si>
  <si>
    <t>2019/10/10 17:12:11</t>
  </si>
  <si>
    <t>吓扣款，假合同，打电话骚扰我爸妈，一定要严惩严惩。</t>
  </si>
  <si>
    <t>2019/10/10 17:12:03</t>
  </si>
  <si>
    <t>我预订了三晚，因行程有变在咨询酒店后在美团上退订了一晚，之后订单就处于异常状态，无法完成订单，返现也不能申请，美团表示申请退款后订单就不算完成，且在活动页面有写明申请退款就不能参加返现，后来又说他们后台规则里是这么写的，这不是骗人未遂敷衍我吗，最后又开始申明因为我申请退款所以订单并没有完成，我只退了一晚那两晚的钱不是照付了吗，而且作为一个平台他既然有支持我退一晚房费的选项，就说明我这个操作是合理的，现在又说我申请退款属于违约，我觉得这是在我不知情的情况下强行给我安插罪名。</t>
  </si>
  <si>
    <t>2019/10/10 17:11:56</t>
  </si>
  <si>
    <t>同一笔帐总一天扣两次，重复扣款，找不到客服。</t>
  </si>
  <si>
    <t>2019/10/10 17:11:41</t>
  </si>
  <si>
    <t>拍拍贷一直经营违法高利贷砍头息很早本人已经还清账单，希望有关部门严厉打击要求拍拍贷退还除合法合规利息之外的所有违法所得。</t>
  </si>
  <si>
    <t>2019/10/10 17:11:36</t>
  </si>
  <si>
    <t>我堂哥在安逸花借款为2300元，其中每期还款中包含灵活还款服务费为20元，分为12期，这样的话多出240，比违约金还要高，就算没有违约按时还款，全部还完以后还多出来240元，跟违约情况还是一样的！，等于说这种平台只要借了款就要强制的多出高额的费用跟利息。</t>
  </si>
  <si>
    <t>2019/10/10 17:11:32</t>
  </si>
  <si>
    <t>捷越联合逾期了，不经我同意骚扰我通讯录联系人，严重影响我的正常生活，借了8万多合同还款计划总额是13万多，就是超高高利贷，要求国家严惩捷越这种高利贷工商，证据后继会做补充。</t>
  </si>
  <si>
    <t>2019/10/10 17:11:30</t>
  </si>
  <si>
    <t>，当时有两笔收款，显示已到账，加油人员认为支付成功，提现转账时不能正常转账！多次联系微信客服，没有明确答复！新建的微信收款账号主要是对外加油收付款用，收款码哪个客户都可以扫码支付的，我们也没有办法甄别对方是否违规，只能看收款成功后，就认为收到钱了！和微信客服沟通，给我的理由是违反支付协议，但我很不明白，作为收款方，如果对方有过错为什么不追究他们，或者不能支付成功，现在显示对方收款成功了，不能提现，我们既损失了商品又损失金钱！很不理解！希望聚投网能帮我沟通处理！。</t>
  </si>
  <si>
    <t>2019/10/10 17:10:16</t>
  </si>
  <si>
    <t>说好的有问题直接打客服电话，结果，客服那个态度哦，真是不想说了都。</t>
  </si>
  <si>
    <t>2019/10/10 17:10:02</t>
  </si>
  <si>
    <t>投诉人胡女士投诉对象立借涉诉金额12000元问题类型诉求类型投诉详情前期并没有说明三期还这么多，只是说可以分12期还。</t>
  </si>
  <si>
    <t>2019/10/10 17:09:49</t>
  </si>
  <si>
    <t>杭州美团外卖公司因审核管理问题，让不良商户使用虚假信息，利用我的营业执照和食品许可证非法上线美团外，现在我没法上线，已经多次联系美团商家客服，都没有给我处理好，现在这个外卖店铺还在美团外卖平台上，商家都不存在了，之前美团客服承诺我这边市场经理2日内会处理，现在已经过去一个月了块，电话都么有接到一个，该非法商家在美团的店面叫：朱哥凉皮，法人叫朱品一。</t>
  </si>
  <si>
    <t>2019/10/10 17:09:43</t>
  </si>
  <si>
    <t>上午11:54通过滴滴出行打车，结束订单并支付成功后，在支付宝页面任然有未支付订单，联系支付宝方客服后，支付宝称订单是滴滴发起的，如有未支付订单也是滴滴发起的，该订单金额和已支付订单金额一致，时间一致，滴滴出行师傅一致的情况下，滴滴出行客服仍称是其他订单，截止目前滴滴未处理该订单，未避免影响我支付宝信用，请滴滴尽快给予处理方案。</t>
  </si>
  <si>
    <t>2019/10/10 17:09:35</t>
  </si>
  <si>
    <t>投诉人丁景投诉对象拍拍贷涉诉金额0元问题类型诉求类型投诉详情首先，我并没有在所谓的拍拍贷借款过，拍拍有短信过来要我协商还款，我严重该平台有敲诈勒索的行为，骗钱的行为！请给我解释。</t>
  </si>
  <si>
    <t>2019/10/10 17:09:33</t>
  </si>
  <si>
    <t>投诉人 邹先生        投诉对象  信用星球,信用飞        涉诉金额  2 000 元    问题类型    诉求类型投诉详情  本人于2018年7月至10月 2019年5月至9月 多次从信用星球平台借款 每次都有砍头息金额400元左右 名曰保险费 实际就是砍头息 现已查明信用星球是信用飞旗下产品 为一个叫做 上海晓涂网络科技有限公司的产品 包括该公司信息 现在要求退还我所有违规收取的利息 费用 尽快与我取得联系</t>
  </si>
  <si>
    <t>2019/10/10 17:09:28</t>
  </si>
  <si>
    <t>因投资失败不能按时还款，信用卡中心违规催收骚扰家人及朋友，并谎称是律师事务所人员进行催收。</t>
  </si>
  <si>
    <t>2019/10/10 17:09:22</t>
  </si>
  <si>
    <t>投诉人 周先生        投诉对象  九州ETC        涉诉金额  0 元    问题类型    诉求类型投诉详情  占用车牌 无法办理etc 打电话客服说无注销功能</t>
  </si>
  <si>
    <t>2019/10/10 17:08:59</t>
  </si>
  <si>
    <t>朋友在及贷平台借的5000块钱，因为一些原因还不起这高额利息的贷款，超过一个月之后平台就雇佣当地社会人员进行上门催收，用红字在墙上些还钱等各种非法行为。</t>
  </si>
  <si>
    <t>2019/10/10 17:08:36</t>
  </si>
  <si>
    <t>投诉人陈先生投诉对象豹子贷,上海造艺网络科技,造艺网络科技,银码头涉诉金额200元问题类型诉求类型投诉详情什么没点没任何理由自动从银行卡扣我钱，太霸道条款。</t>
  </si>
  <si>
    <t>2019/10/10 17:08:22</t>
  </si>
  <si>
    <t>暴力恶意骚扰家人，朋友，同事，经协商，表面同意，其后并未遵守，持续恶意重伤。</t>
  </si>
  <si>
    <t>2019/10/10 17:08:16</t>
  </si>
  <si>
    <t>客服还是口气很差，阴阳怪气的爆出我老婆名字，我工作地址，住宅地址，威胁我不还就对这些个人隐私采取措施，之后我立马打客服电话进行投诉，客服也明确表明这工作人员的做法不对，我和客服表示要这位工作人员给我进行道歉，客服已经受理，我也表明在道歉之前不会进行任何还款操作，客服说会及时处理，如果没有任何人给我回复，我不会还款，以后如果因为这个产生的所有不良后果，都要求恒易贷承担，如果造成我征信有任何问题，我保留恒易贷经济赔偿的权利。</t>
  </si>
  <si>
    <t>2019/10/10 17:08:15</t>
  </si>
  <si>
    <t>投诉人金女士投诉对象宜人贷涉诉金额68000元问题类型诉求类型投诉详情本人在宜人贷平台贷款6万8，到账金额只有6万，直接扣了8000，本人现在已经偿还了69997.可是还有3万多要偿还，总共加起来要还10万，本人现在无力偿还，要求平台减免利息。</t>
  </si>
  <si>
    <t>马上消费公司工作人员加我微信协商还款，在微信上同意还款3000结清账单，国庆放假过后公司给我打结清证明，我9月底按要求还款3000，但到现在公司那边还在打电话给我，催我还款，还说公司不可能给我结清，这难道不是欺骗消费者，不是披着合法的外衣做非法的事，这难道不是他们公司的套路，先骗你还款，后面的天天打电话给你及家人，害得我家人不堪其扰，现在我只想让他们给我个解释，以及结清证明发过来。</t>
  </si>
  <si>
    <t>2019/10/10 17:08:08</t>
  </si>
  <si>
    <t>本人在小黑鲨借款3500元，但还款10天一期要求共还款4300元，第一期还款1950元，该平台主体公司——温州敏驿网络科技有限公司因个人资金暂时遇到问题，催收来电后与之沟通协商，尽快处理，并且强调给所有亲戚朋友打电话，造成影响概不负责，催收电话——020-62355170.本人并没有拒绝偿还，只是协商处理，但是遭到通讯录，亲友信息各方面威胁！在此，本人要求不要再让这个催收跟我联系，请小黑鲨客服与我直接联系，所涉及款项，我们会约定处理，目前此催收已打电话通知我的联系人！现在要求协商还款，请跟进！。</t>
  </si>
  <si>
    <t>2019/10/10 17:07:44</t>
  </si>
  <si>
    <t>借了12000，还了3期发现砍头息和阴阳合同，一个月本金才400多却一个月要还1千，这样还不是高利贷，想提前又要还完非法的高利息，我是不会还非法部分的。</t>
  </si>
  <si>
    <t>2019/10/10 17:07:09</t>
  </si>
  <si>
    <t>贷上钱公司砍头息违法放贷，逾期暴力催收，骚扰朋友，生活不得安宁整个人都得郁抑症了。</t>
  </si>
  <si>
    <t>2019/10/10 17:06:47</t>
  </si>
  <si>
    <t>提前没说明要报告生产费！都填写好了过了10天才扣款的！说什么三方服务费！。</t>
  </si>
  <si>
    <t>2019/10/10 17:06:43</t>
  </si>
  <si>
    <t>借2500到账2000分三期还款一个月差不多还1500，爆通讯录加亲朋好友微信已经严重影响了生活，请处理！。</t>
  </si>
  <si>
    <t>2019/10/10 17:06:40</t>
  </si>
  <si>
    <t>投诉人 林鸿鸿        投诉对象  爱又米        涉诉金额  1 500 元    问题类型    诉求类型投诉详情  暴力催收，态度恶劣。之前说话月底还，有不算话。</t>
  </si>
  <si>
    <t>2019/10/10 17:06:23</t>
  </si>
  <si>
    <t>在顾客没投诉的情况下滴滴平台工作人员乱判说系统判定接乘客迟到，人工核实判责成立，扣服务2分。</t>
  </si>
  <si>
    <t>2019/10/10 17:06:11</t>
  </si>
  <si>
    <t>分期乐高利贷，恶意盗取亲友信息，骚扰亲友并恶意诽谤我名声，趁我住院期间，利用网路电话频繁骚扰亲友。</t>
  </si>
  <si>
    <t>2019/10/10 17:06:06</t>
  </si>
  <si>
    <t>15年澳洲联邦银行业务员向我推销乐富pos机并收取800元押金，并承诺退货退款，并以澳洲联邦银行被收购更名齐鲁银行为由拒绝退款。</t>
  </si>
  <si>
    <t>2019/10/10 17:05:57</t>
  </si>
  <si>
    <t>本人使用来付吧app，进行信用卡还款操作，软件上显示还款失败，然后信用卡没有还款成功，还款金额也没有退回到支付银行卡里，找该软件客服，一直不给予解决方案！。</t>
  </si>
  <si>
    <t>2019/10/10 17:05:56</t>
  </si>
  <si>
    <t>当时美团收银系统的推销员推销时误导宣传，让我以为要上美团就只能购买美团系统，并说购买系统后会没有需要购买的费用，7月12日购买了之后，在我店铺装修期间，陆续又有其他的美团业务员过来推销产品，那时候才知道美团分开三个公司，收银一个，美团点评一个，美团外卖一个，说我只购买了收银系统，其他还要收费，美团点评还要3600的年费，美团外卖还要收1000的保证金，当时我就提出了退款申请，自从我7月12日付款了之后，收银系统和小白盒都不在我手里，还在美团公司手里，，九月份有客服给了电话我问了退款原因，之后到现在都没有回音</t>
  </si>
  <si>
    <t>2019/10/10 17:05:44</t>
  </si>
  <si>
    <t>没坐车也有订单费用，请问平台是什么情况，请有关部门及时介入调查，是客服处理错了。</t>
  </si>
  <si>
    <t>2019/10/10 17:05:23</t>
  </si>
  <si>
    <t>10月三日账单我十月一号提前还款，但是系统重复扣费，联系客服多次无人处理。</t>
  </si>
  <si>
    <t>2019/10/10 17:05:00</t>
  </si>
  <si>
    <t>汇潮支付为高炮王者钱包提供第三方支付！！要求协商还款！！。</t>
  </si>
  <si>
    <t>2019/10/10 17:04:45</t>
  </si>
  <si>
    <t>商家承诺2019年10月15日前发出赠品，我这边自己咨询的时候，又告知预计11月，反馈也只是以为推脱尽快发，也没有确定时间，要求商家按照承诺时间发出，或者我这边自己购买，商家给我报销。</t>
  </si>
  <si>
    <t>2019/10/10 17:04:34</t>
  </si>
  <si>
    <t>马上金融未经客户允许强行购买寿险收取服务费，行为恶劣。</t>
  </si>
  <si>
    <t>2019/10/10 17:04:31</t>
  </si>
  <si>
    <t>产品质量问题，现在挂着投诉，不让师傅进行提现操作，已经三四天了。</t>
  </si>
  <si>
    <t>2019/10/10 17:04:16</t>
  </si>
  <si>
    <t>未经本人允许私自联系通讯录上联系人，在不清楚对方身份前，透露本人个人信息！并对本人身誉造成影响！私自通过非法手段查询公司同事电话并对我同事进行电话骚扰！一天打无数个电话催收给通讯录联系人打无数个电话造成骚扰给我的家人带来了巨大的心理恐慌和压力现我已经有抑郁表现，360的所作所为已经对我造成精神和身体的双重打击希望平台可以本着协商的态度解决这件事，并且对我的损坏我的声誉作出相应补救。</t>
  </si>
  <si>
    <t>2019/10/10 17:03:58</t>
  </si>
  <si>
    <t>投诉对象：上海你我贷互联网金融信息有限公司1.你我贷在融360中声称年化利率为12%，且在融360和你我贷APP均无法查询合同，管理费和其他费用小字体显示，在后期才发现，2.下款时按照35.95%名义年利率就行总费用确定，3.还款时，第一期收费总费用1752.49元整，第二期收取1752.49元整，3-12期分别10008.49元整，实际综合资金成本108%，超过国家红线3倍，4.催收人员在联系到我本人的情况下联系我紧急联系人和同事，严重影响我的工作，违反2017年12月1日印发并实施的《关于规范整顿“现金</t>
  </si>
  <si>
    <t>2019/10/10 17:03:57</t>
  </si>
  <si>
    <t>你家利息好低啊！借800逾期34天利息200多。</t>
  </si>
  <si>
    <t>2019/10/10 17:03:56</t>
  </si>
  <si>
    <t>投诉人宋女士投诉对象你我贷涉诉金额5000元问题类型诉求类型投诉详情恶意骚扰我家人，朋友，给他们造成了严重的生活影响！。</t>
  </si>
  <si>
    <t>2019/10/10 17:03:47</t>
  </si>
  <si>
    <t>投诉人张女士投诉对象马上消费金融涉诉金额4600元问题类型诉求类型投诉详情本人在马上消费金融借款4600多，逾期两天，但是催收部说不行是不是没有能力还款，不想还款，因为有特殊情况今天确实还不了，希望给我五天时间我想全额还款，但是催收部说不行，必须今天还款，如果不还要打家人朋友的电话，诱导我说“是不是没有能力还款，不想还款”我说不是不还希望给我五天时间我把剩下余款全部还清。</t>
  </si>
  <si>
    <t>2019/10/10 17:03:41</t>
  </si>
  <si>
    <t>信息科技有限公司未经本人同意，盗刷银行卡，情节恶劣！！！通联支付为其提供支付通道，大家都来认清这个公司。</t>
  </si>
  <si>
    <t>2019/10/10 17:03:22</t>
  </si>
  <si>
    <t>2019年9月8日我在立借平台App借款6500元，当时不绑卡看不见利息，绑卡看见利息，钱已打进银行卡，我联系了在线客服，客服说借款无法取消，我想到被坑了算了，没想到这月经济很老火，已经无力偿还，跟家人坦白了，坦白后找立借协商6500用了一个月，我一次清还清，还他6800，对方不接受，要求还9035，投诉后一次性还清可以还8600多，我钱拿不出那么多，并且这个利息的确无法接受，之后我与他们平台一直协商不了必须让我按合同还，真是变态的高利贷，我手机24小时开机从来没关过机，他们公司打的每通电话我都接了，在线客</t>
  </si>
  <si>
    <t>2019/10/10 17:02:57</t>
  </si>
  <si>
    <t>投诉人徐超投诉对象及货涉诉金额2000元问题类型诉求类型投诉详情及货平台在借款前不明细说好服务费，借款成功后直接收取费用。</t>
  </si>
  <si>
    <t>2019/10/10 17:02:52</t>
  </si>
  <si>
    <t>催收人员辱骂，家人，还一直都很牛逼的态度，还说砍头息是合理的，你们真牛逼，高利贷还这么理直气壮，还给群发消息，严重侵犯个人隐私，公司的400电话都是空号，你们真的很牛逼。</t>
  </si>
  <si>
    <t>2019/10/10 17:02:24</t>
  </si>
  <si>
    <t>无视国家法律法规！为715高炮提供支付平台！恶意扣除198元费用。</t>
  </si>
  <si>
    <t>2019/10/10 17:02:06</t>
  </si>
  <si>
    <t>微众银行催代人员恐吓我和我的家人，我打电话跟客服商量好的，好久还，可是这些人每天用电话时刻打个不停。</t>
  </si>
  <si>
    <t>2019/10/10 17:02:03</t>
  </si>
  <si>
    <t>投诉人邱先生投诉对象及贷涉诉金额1000元问题类型诉求类型投诉详情借款1200，实际到账1000，分三个月还，前两期还了将近900，还有一期要还500多，年利率200%以上，现逾期了群发短信通讯录好友，打电话投诉回访就放下一句话不处理继续骚扰。</t>
  </si>
  <si>
    <t>2019/10/10 17:01:36</t>
  </si>
  <si>
    <t>投诉人邹先生投诉对象有用分期涉诉金额24912元问题类型诉求类型投诉详情天天骚扰我的通讯录，发信息，打电话骚扰我们的家人朋友，利息超出正常标准。</t>
  </si>
  <si>
    <t>2019/10/10 17:01:30</t>
  </si>
  <si>
    <t>今日中午我中国银行的卡显示被广发银行广东分公司pos机扣款436.31元，但是我本人并不知情，也没有去消费这笔钱。</t>
  </si>
  <si>
    <t>2019/10/10 17:01:08</t>
  </si>
  <si>
    <t>投诉人金女士投诉对象豆豆钱涉诉金额8000元问题类型诉求类型投诉详情9月26号豆豆钱联系本人说保险费会退还，承诺5到7个工，今天10月10号，客服联系不上，直到今天没有人处理。</t>
  </si>
  <si>
    <t>2019/10/10 17:01:04</t>
  </si>
  <si>
    <t>投诉人郭先生投诉对象智享贷涉诉金额1600元问题类型诉求类型投诉详情智享贷申请贷款1600，一个月后还款1648，可实际到账只有1312，变相扣取砍头息288元，说什么是信用成为计划课程费，现在跟客服沟通没有结果，说必须还清.因为这样所以现没有还，导致逾期一天就增加48元逾期费用。</t>
  </si>
  <si>
    <t>2019/10/10 17:00:41</t>
  </si>
  <si>
    <t>拍拍贷委托第三方进行威胁恐吓，骚扰我的戚朋好友。</t>
  </si>
  <si>
    <t>2019/10/10 17:00:35</t>
  </si>
  <si>
    <t>投诉人李先生投诉对象交易猫涉诉金额400元问题类型诉求类型投诉详情我在交易猫出售EA游戏账号，在交易成功48小时候后分润失败，提示我绑定的支付宝账号未实名认证，经确认本人支付宝账号已经实名认证过，不知道为何会出现此问题。</t>
  </si>
  <si>
    <t>2019/10/10 17:00:19</t>
  </si>
  <si>
    <t>目前据说嗨钱暴雷出事我只能等嗨钱或者警方处理通知，我不认可第三方资方这种恐吓手段所谓征信拉黑爆通讯录之类。</t>
  </si>
  <si>
    <t>2019/10/10 16:59:56</t>
  </si>
  <si>
    <t>信息科技有限公司乱扣费用，请求一个说法，并处理退款。</t>
  </si>
  <si>
    <t>2019/10/10 16:59:28</t>
  </si>
  <si>
    <t>投诉人 赵女士        投诉对象  钱站,华夏银行        涉诉金额  3 990 元    问题类型    诉求类型投诉详情  砍头息 不合理服务费 借3990到手3000分三期 每期一千六百多 合计还款五千多 各种名义收费 利息高的吓人 客服强调符合国家法律规定</t>
  </si>
  <si>
    <t>2019/10/10 16:59:26</t>
  </si>
  <si>
    <t>投诉人蒋先生投诉对象王者钱包涉诉金额3000元问题类型诉求类型投诉详情借款利息太高，不符合法定利率，就是高利贷。</t>
  </si>
  <si>
    <t>2019/10/10 16:59:23</t>
  </si>
  <si>
    <t>小象优品在借款人逾期三天而且在能联系到本人的情况下，曝光借款人通讯录，导致借款人名誉受损！！。</t>
  </si>
  <si>
    <t>2019/10/10 16:59:20</t>
  </si>
  <si>
    <t>投诉人 邓先生        投诉对象  马上消费金融        涉诉金额  7 000 元    问题类型    诉求类型投诉详情  对我亲属进行轰炸，并轰炸我酒店前台电话！</t>
  </si>
  <si>
    <t>2019/10/10 16:59:10</t>
  </si>
  <si>
    <t>打电话过来一直套路引诱我说出不想还款的意思。</t>
  </si>
  <si>
    <t>2019/10/10 16:58:34</t>
  </si>
  <si>
    <t>投诉人王孝成投诉对象你我贷涉诉金额1000元问题类型诉求类型投诉详情非法报通讯录，恐吓，骂人的，客服不处理。</t>
  </si>
  <si>
    <t>2019/10/10 16:58:26</t>
  </si>
  <si>
    <t>投诉人陈先生投诉对象聚福钱包,造艺科技,信用管家涉诉金额400元问题类型诉求类型投诉详情聚福钱包在用户不知情的情况下直接划走我银行卡中一次299元一次99元收到信息后当晚立刻打电话给客服客服说是信用评估费用但是软件的界面并没有明确标出评估费用，没经过本人同意恶意扣款此行为已经涉嫌盗窃，强烈要求该平台立刻退还被扣的钱款400元。</t>
  </si>
  <si>
    <t>2019/10/10 16:58:25</t>
  </si>
  <si>
    <t>催收人员催收过程中辱骂本人，恐吓我爆通讯录一直打我电话不停的催收严重影响了我的生活。</t>
  </si>
  <si>
    <t>2019/10/10 16:58:11</t>
  </si>
  <si>
    <t>我于2019.10.9号购买了一件加拿大鹅的羽绒服，由于决定年底出国，所以自己买，想把订单退了，客服跟我说可以七天无理由退货，不让我退订单，我都没收到货为什么不能退。</t>
  </si>
  <si>
    <t>2019/10/10 16:57:54</t>
  </si>
  <si>
    <t>投诉人崔先生投诉对象王者钱包涉诉金额2008元问题类型诉求类型投诉详情王者钱包5天借款期限，到账1240元，实际还款2008元，在电话威胁通讯录的情况下已经支付768元延期费用，诉求：退回768元延期费用后，本金+合法利息。</t>
  </si>
  <si>
    <t>2019/10/10 16:57:53</t>
  </si>
  <si>
    <t>信用管家蓝莓金服非法放高利贷，远远超过国家规定利率，本人借款2100，十天一期，每期还款975.1元，一共还了两期，共还款1946.7元，最后一期已经无力偿还，和蓝莓金服协商还款，按照国家规定利率还款销账，蓝莓金服不肯协商解决，本人保留向上级部门投诉的权利，必要时向公安机关报案的权利。</t>
  </si>
  <si>
    <t>2019/10/10 16:57:46</t>
  </si>
  <si>
    <t>本人于2019年5月14日和6月10日在点点APP平台分12期借款2.4万元，其中金额3956.44元为众安保险费，未经本人同意且不知情情况下未经本人允许同意和签字强制捆绑购买！，,点点和众安保险没有按2005年4月1日起施行的《中华人民共和国电子签名法》第三章相关要求开展电子签名所有协议和电子化通讯都须以亲笔签名和电子记录进行确认，根据《中华人民共和国电子签名法》第十一条第3款明确提出：“所有协议和电子化通讯都须以亲笔签名和电子记录进行确认”,点点和众安保险没有按2005年4月1日起施行的《中华人民共和国</t>
  </si>
  <si>
    <t>2019/10/10 16:57:43</t>
  </si>
  <si>
    <t>投诉人 王先生        投诉对象  小浦优客        涉诉金额  296 元    问题类型    诉求类型投诉详情  注册时没有说明有前置费用 然后注册好账号 认证银行卡后告知是需要收取前置费用 然后今天扣除我296元他们所谓的服务费 而且是没有经过允许的情况下 客服电话态度蛮横 后面就说随便你说 他不说话了 其次一直强调他们明确有过这个说法 说我不符合退款条件 我注册以后发现是中介平台立刻删除app 并且取消 没有做过任何一笔操作。</t>
  </si>
  <si>
    <t>2019/10/10 16:57:42</t>
  </si>
  <si>
    <t>投诉人邹先生投诉对象畅捷支付,有鱼粮涉诉金额3000元问题类型诉求类型投诉详情本人于2019年4月至2019年7月底期间通过有鱼粮平台借款9次每次3000到账2250砍头息750经查实均为畅捷支付第三方支付平台提供的支付渠道为砍头息高利贷助纣为虐现要求此两家平台之间核实并且来与我协商。</t>
  </si>
  <si>
    <t>2019/10/10 16:57:37</t>
  </si>
  <si>
    <t>投诉人周先生投诉对象飞猪涉诉金额220元问题类型诉求类型投诉详情本人不知情情况下我明明清楚自己买的是12号车票，然后我昨天看了一下车票，车次已经开了那里显示是8号的车票已经开走了，我确定买的是12号的之前买的也没跳说是8号的车票我也不知情，本来家庭就不富裕一年才舍得回一次家难道就打水漂嘛，联系客服态度恶劣不给解决事情，我要求退款。</t>
  </si>
  <si>
    <t>2019/10/10 16:57:31</t>
  </si>
  <si>
    <t>投诉人尹先生投诉对象马上消费金融涉诉金额3000元问题类型诉求类型投诉详情马上金融广告承诺五年内一次申请无限次数取现，循环额度，现直接还完就不给借，所谓的无限次数就是借多次还要交超次提现费，现要求把我额度恢复放款。</t>
  </si>
  <si>
    <t>投诉人陈先生投诉对象京东金融涉诉金额15000元问题类型诉求类型投诉详情我配偶在京东有金条借款逾期，已经主动打电话给京东金融谈结清，京东金融提出套路条件，要我们先还款在提供街道的困难文件申请减免，申请不一定通过，我又不是低保户，只是生意出了问题资金周转不了，还是外地人，去哪开证明文件，这样刁难，还一定要先还款，这套路666。</t>
  </si>
  <si>
    <t>2019/10/10 16:57:23</t>
  </si>
  <si>
    <t>投诉人徐超投诉对象滴滴出行涉诉金额0元问题类型诉求类型投诉详情滴滴公司派单不公平，单子都给优享车了，现在快车司机生存都是问题了，希望滴滴公司能合理解决问题。</t>
  </si>
  <si>
    <t>2019/10/10 16:57:14</t>
  </si>
  <si>
    <t>本人在洋钱罐平台有一笔借款，第二期还款计划已逾期8天，处于违约状态，本来打算结清，但是平台提供的还款金额里面产生了一个所谓的债务管理费，200多元，本人认为不合理，违约金超出国家法律上限，涉嫌违法，在双方签订的合同里面有提到债务管理费的问题，但是打有括号，超出法律规定上限，借款人有权拒付，为解决这个问题，本人两次主动拨打平台电话，要求客服最债务管理费的金额作出解释，客服均回复没有权限帮借款人解释，无法计算所产生的债务管理费的来源。</t>
  </si>
  <si>
    <t>2019/10/10 16:56:56</t>
  </si>
  <si>
    <t>投诉人陈女士投诉对象钱伴涉诉金额8000元问题类型诉求类型投诉详情钱伴催收人员打电话威胁我，我本着跟他解决的态度说话，他不仅态度恶劣还辱骂我。</t>
  </si>
  <si>
    <t>2019/10/10 16:56:03</t>
  </si>
  <si>
    <t>投诉人宋玉龙投诉对象拉卡拉Q码涉诉金额6320元问题类型诉求类型投诉详情2019年10月8日用拉卡拉q码收款，我5号左右通过代理办理了拉卡拉Q码收款，就将我营业收款中的6320元冻结没给我提现，那时代理说只要身份证，银行卡，手机号就能办理很简单，资金是时时到账，可是两天过去还没收到款，之后我的账号店铺无效，之后找客服处理，让我提供了身份证，和手持身份证照片，我是摆地摊的，这几天家里一直下雨我怎么拍我出摊的视频，一直没有说什么时候还我钱的问题，那6320元钱都是我自己的血汗钱，平台没有给予通知或提示就直接把我</t>
  </si>
  <si>
    <t>2019/10/10 16:55:48</t>
  </si>
  <si>
    <t>闪银暴力催收对私人生活产生严重影响一天拨打几十个逼迫你造成精神压力巨大请求聚投诉介入处理。</t>
  </si>
  <si>
    <t>投诉人尹女士投诉对象及贷涉诉金额2000元问题类型诉求类型投诉详情骚扰不停，完全没有道德的群发，盗取用户通讯录，并群发短信亲友进行骚扰，严重影响生活，这样的行为不制止，就经常有平台效仿，然后就是恶性循环。</t>
  </si>
  <si>
    <t>2019/10/10 16:55:02</t>
  </si>
  <si>
    <t>首先我作为银盛支付旗下点付POS机代理商，对这个公司很失望，当时客户要非押金机，结果机子拿到了押金机，后面联系售后解绑，重新换上了非押金机，但是也刷198押金，我今天联系，说那198押金不能退客户，凭什么不退客户，客户没有用押金机，凭什么不退给客户，既然不退客户押金，为什么不反我这台押金机的钱，客户现在强烈要求退还押金，不然投诉举报，做为代理商，我对这个公司很失望，真的很失望！要求公司退还客户198押金，尽快处理！我是中间代理商。</t>
  </si>
  <si>
    <t>2019/10/10 16:54:50</t>
  </si>
  <si>
    <t>使用商家收款码无法提现，我到底违反了什么，你们扣住我的3万块货款不给我们提现，手续费你们也扣了，我们违反什么了，，3万块我们一家人的伙食费，小叔子癌症还在医院躺着，现在2个小孩开学了交不起学费，你们为什么扣着我们的血汗钱啊，为什么啊，现在孩子没有交学费，还在家里呆着，我们吃不起饭，小叔子没有钱治病，客户追债上门，为什么不给我们提现，我现在很想不开，我很想跳楼，想一死了结这个世界，再见吧，我好痛苦，活着好累。</t>
  </si>
  <si>
    <t>2019/10/10 16:54:41</t>
  </si>
  <si>
    <t>及贷群发短信软暴力催收产生了不好的影响，现在要求及贷停止对债权人的骚扰，并且道歉。</t>
  </si>
  <si>
    <t>2019/10/10 16:54:21</t>
  </si>
  <si>
    <t>投诉人 刘先生        投诉对象  钱站,华夏银行        涉诉金额  2 000 元    问题类型    诉求类型投诉详情  啥情况？借2000要还接近3000？这么高利息滴吗？</t>
  </si>
  <si>
    <t>2019/10/10 16:53:57</t>
  </si>
  <si>
    <t>今天中午无缘无故被扣了296元，我根本不知道这296元是干什么的，他就给我扣了。</t>
  </si>
  <si>
    <t>2019/10/10 16:53:43</t>
  </si>
  <si>
    <t>投诉人王先生投诉对象魔借涉诉金额10000元问题类型诉求类型投诉详情借款10000元，到账8000元，打电话咨询客服，客服态度强硬，说是我自己借的，就要让我们自己承受。</t>
  </si>
  <si>
    <t>2019/10/10 16:53:34</t>
  </si>
  <si>
    <t>投诉人陈先生投诉对象顺丰速运涉诉金额4300元问题类型诉求类型投诉详情我10月9号买的手机邮寄回来，由于住的地方不是派送范围，填的朋友地址，朋友现不在家，我跟顺丰人员说我到店内自取，我去店里签收拆开拿出来后顺丰人员和我说要身份证，我家离派送点有十公里，我提供订单手机号和信息也不行，现场服务人员态度恶劣，我打电话投诉从中午两点到晩上四五点，客服人员只说会跟进，从来不解决问题，需要拿身份证自取我出门又不告诉我，现在签收拆包了才说，我想退款，店主也说我拆包签收了无质量问题不关他事，顺丰人员的意思是把责任问题全推给</t>
  </si>
  <si>
    <t>2019/10/10 16:53:25</t>
  </si>
  <si>
    <t>本人信用卡逾期，在8月份已已按照光大银行信用卡官方客服打来的电话95595的要求进行还了款，10月9日下午16：10接到一个085185958156的电话，说是光大银行的的委托方，说是本人信用卡逾期问题未处理，要求本人全额还款60000元，本人10月11日的账单是9400元，于是本人打官方电话95595电话，客服却推诿不处理，却给了一个电话085186821302叫本人联系光大银行信用卡用中心当地的工作人员，在10月9日和10月10日早上本人打了两次，电话都无法接通，被设置了呼叫留言，今天早上又接到了085</t>
  </si>
  <si>
    <t>2019/10/10 16:52:49</t>
  </si>
  <si>
    <t>您好，淘集集平台已经拖欠货款3个月之久，每次联系客服都是敷衍了事，都是说在处理，在催促，一直不予处理，让商家一直等，这样让商家根本无法正常经营，谢谢。</t>
  </si>
  <si>
    <t>2019/10/10 16:52:27</t>
  </si>
  <si>
    <t>投诉人王先生投诉对象宜人贷涉诉金额34376元问题类型诉求类型投诉详情本人于2018年5月11日在宜人贷平台借款9万元，合同金额105368元，总共需要还款118364元，分24期，已经还了17期，总共还了83847元，现在因为工作以及家庭问题，实在无力偿还每月4911元的贷款，恳请与平台协商延期还款，但是平台客服说不能协商，只能当日还款。</t>
  </si>
  <si>
    <t>2019/10/10 16:52:21</t>
  </si>
  <si>
    <t>投诉人刘先生投诉对象马上消费金融涉诉金额800元问题类型诉求类型投诉详情在京东金融申请马上金融产品，已经使用两年了从未逾期，这个月由于工资延迟发放导致逾期，明确和客服表示还款意向，还是被要求几点之前必须还款，否则后果自负，态度恶略，根本不听人讲话，自己讲完直接挂掉电话，我这都已经录音。</t>
  </si>
  <si>
    <t>2019/10/10 16:52:12</t>
  </si>
  <si>
    <t>2019年10元10日12；12分，本人工商银行无缘无故被南京苏宁易付宝网络科技有限公司备付金集中存管户收取481.19元，本人发现第一时间联系工商查取流水，工商银行的客服让我这边咨询苏宁易购客服核实处理，这边联系苏宁易购客服后又让我这边联系工商银行客服查询流水信息，本人诉求很简单，无非是要回本人损失的481.19元，这笔订单并不是本人消费，现怀疑苏宁易付宝乱扣取费用，麻烦给我一个合理解释，并且赔偿本人损失，谢谢。</t>
  </si>
  <si>
    <t>投诉人查先生投诉对象民航通涉诉金额1980元问题类型诉求类型投诉详情2019年5月03下午2点在重庆江北机场值机时，一位自称是民航通的工作人员过来向我推销贵宾卡，说预交1980元送3000元，并说明以后购买机票就可以用这卡上的4980元，直到2019年10月10号，我用民航联盟购买机票时该金额只能用于抵扣小部分金额，并不能购买机票，由于当时本人已经购买机票着急起飞，并没有做太多询问，在此期间没有乘坐任务航班直到现在我有事需要回到重庆，才发现民航联盟利用虚假信息误导消费者消费，这是明显的虚假推销，恳请平台帮忙</t>
  </si>
  <si>
    <t>2019/10/10 16:52:10</t>
  </si>
  <si>
    <t>10月6号在豹子贷里申请贷款，点的立即借款结果扣了我50，过了一天卡里有钱了就又扣了我249，总共299，到现在四天还在审核，根本不能借款，在线客服排队总是断线重排，电话打不通，还充值了什么小银券，刚扣了50的时候，我就想取消订单，结果根本就没有这个入口，找在线客服就是排队，排到天荒地老，结果过一天在我不知情的情况下又扣了249，说是借款不成功可以退款，可是我这审核都还没过，。</t>
  </si>
  <si>
    <t>2019/10/10 16:51:58</t>
  </si>
  <si>
    <t>投诉人尹女士投诉对象滴滴出行涉诉金额100元问题类型诉求类型投诉详情滴滴出行不发放奖励，怀疑有一订单有作弊，我已报备，也电话给平台说明没有作弊行为，更何况车上装有滴滴公司配备的桔视记录仪可供回看查实，但是公司客服告诉我平台专员是人工核查，那请问贵公司给我们安装记录仪意义何在，请聚投诉给我这个无辜的人讨还一个公道改善态度才能更好的完善平台，我要投诉核查专员却无门，请问我还可以找谁说理去。</t>
  </si>
  <si>
    <t>2019/10/10 16:51:54</t>
  </si>
  <si>
    <t>之前被套路了就不多说了，我要求这四单贷款变更为可以一次性提前还款，利息什么的也不用你减免，我也知道你们来分期没有减免，我在这里再次申请修改为可以一次性提前还清，我还款后销账结清。</t>
  </si>
  <si>
    <t>2019/10/10 16:51:43</t>
  </si>
  <si>
    <t>你我贷砍头息，前两期把所有利息都拿走了，已经超过年化36％利息，并且必须要还了3期才能一次性结清，要是把前三期还完，就已经把所有利息都还了，那提前还款还有什么用。</t>
  </si>
  <si>
    <t>2019/10/10 16:51:19</t>
  </si>
  <si>
    <t>投诉人沈先生投诉对象现金巴士涉诉金额188元问题类型诉求类型投诉详情19年7月28号在现金巴士借了一笔1000元的借款，放款到银行账户的时候，被收取砍头息188元，实际本金为812元，本人已在八月份及九月份还款364+363为727，还剩下一期10月28号363，这个利息已经超过国家法定利率，已与客服协商未果，本人有还款意愿，请求退还188砍头息，余下账单本人将提前结清，此后如遇暴力催收，本人将收集证据提交当地公安机关。</t>
  </si>
  <si>
    <t>2019/10/10 16:50:59</t>
  </si>
  <si>
    <t>投诉人于2019.10.8办理汇付天下智慧管家收款码，商户号：3****************8；商户简称*，莒县嘉利电脑销售部；2019.10.8-2019.10.10总共收款13笔，总计3339.99元，本人在汇付天下咨询总部客服，他们总部说是下面服务商不给提现，下面服务商说是总部不给提现，就这样互相推诿也没有解决方案，希望本网站给予曝光，督促他们完善服务，并恢复帐号给予提现。</t>
  </si>
  <si>
    <t>2019/10/10 16:50:50</t>
  </si>
  <si>
    <t>投诉人林女士投诉对象恒慧融涉诉金额97900元问题类型诉求类型投诉详情这个平台严重严重怀疑是高炮借款合同上的借款金额是97860.34实际到账金额55730.91但是还款是一个月3269*36个月我试问下这个的网贷是属于多少利息呢当然我可以提供银行流水和还款记录。</t>
  </si>
  <si>
    <t>2019/10/10 16:50:25</t>
  </si>
  <si>
    <t>未经本人同意无缘无故扣款，要求马上尽快退款。</t>
  </si>
  <si>
    <t>2019/10/10 16:50:22</t>
  </si>
  <si>
    <t>投诉人吴先生投诉对象及贷涉诉金额100元问题类型诉求类型投诉详情一直骚扰总是做一些奇奇怪怪的事情而且很没礼貌。</t>
  </si>
  <si>
    <t>2019/10/10 16:50:17</t>
  </si>
  <si>
    <t>投诉人梁女士投诉对象钱站涉诉金额2000元问题类型诉求类型投诉详情爆通讯录，并且辱骂家人朋友，加朋友家人微信。</t>
  </si>
  <si>
    <t>2019/10/10 16:50:07</t>
  </si>
  <si>
    <t>投诉人 张先生        投诉对象  中腾信        涉诉金额  33 000 元    问题类型    诉求类型投诉详情  中腾信工作人员 对我进行恐吓威胁 三个人上门 还给我发了一个视频 对我进行恐吓</t>
  </si>
  <si>
    <t>2019/10/10 16:49:29</t>
  </si>
  <si>
    <t>借款2000块到账1500一个月后还2039，要求利息合理化，合理利息的情况下消帐！。</t>
  </si>
  <si>
    <t>2019/10/10 16:49:14</t>
  </si>
  <si>
    <t>在国家明文规定不下款给学生的情况下，却电话诱使学生贷款在学生没有还款能力还下款，还不上后就电话轰炸父母。</t>
  </si>
  <si>
    <t>2019/10/10 16:48:43</t>
  </si>
  <si>
    <t>蛋壳不告知是贷款月付分期，现在不退定金，涉嫌欺诈，金融贷款，要求退还定金。</t>
  </si>
  <si>
    <t>2019/10/10 16:48:22</t>
  </si>
  <si>
    <t>我上次投诉的时候说给我改，让我等几天到时候打电话给我解决一直没收到电话，现在又瞎搞。</t>
  </si>
  <si>
    <t>2019/10/10 16:48:02</t>
  </si>
  <si>
    <t>信息科技有限公司的扣款296元的信息，上网一查，是因为之前下载过小浦优客的App，注册过网银信息，想申请贷款，后来没有申请下来就卸载了，今天在我不知情的情况下扣了我296元，所以我要求无条件退款。</t>
  </si>
  <si>
    <t>2019/10/10 16:47:59</t>
  </si>
  <si>
    <t>我是上海出租车司机，六月十一日02：27分，我在首汽约车《的士联盟》平台接到一个单子，从上海市静安区陈家宅路23号，全程一百公里左右打表金额:457+50元的过桥费总共507元，到达目的地后乘客假装付款，趁我不注意下车潜逃，我第一时间给首汽约车《的士联盟》客服打电话，客服承诺：他们会帮我处理这件事，而且有专门的专员给我联系，他们承诺如果十五个工作日内还是没能帮我追回车费，在这之后我也是多次给首汽约车《的士联盟》平台客服打电话，询问进度，他们的客服专员还是一味的推脱会帮我尝试催款，电话我都打了十几二十个，他们</t>
  </si>
  <si>
    <t>2019/10/10 16:47:48</t>
  </si>
  <si>
    <t>投诉人陈女士投诉对象分期乐涉诉金额700元问题类型诉求类型投诉详情分期乐一句话不说就到处打电话说我逾期爆我通讯录暴力催收请问你这种不顾借款人信誉那我信誉没了还会还钱吗。</t>
  </si>
  <si>
    <t>2019/10/10 16:47:18</t>
  </si>
  <si>
    <t>群发短信，恶意拨打通讯录，高额利息，2500还3600多，态度极差，不存在协商。</t>
  </si>
  <si>
    <t>2019/10/10 16:47:04</t>
  </si>
  <si>
    <t>本人因工资调整为月底发工资，导致无法按时还款，但他们还是暴力催收导致公司领导知道这件事，希望我两天处理问题，不然就离职。</t>
  </si>
  <si>
    <t>2019/10/10 16:46:44</t>
  </si>
  <si>
    <t>投诉人兰女士投诉对象卡牛信用管家涉诉金额3800元问题类型诉求类型投诉详情我是用信用卡贷的，说有3500的额度，结果只有三千一百多，我问了下这算是砍头息，借了三千五百块，这上面却显示我要还三千八百多，这个我要怎么还，还联系不到客服，请给予处理。</t>
  </si>
  <si>
    <t>2019/10/10 16:45:58</t>
  </si>
  <si>
    <t>投诉人洪先生投诉对象阿里巴巴网络技术有限公司涉诉金额0元问题类型诉求类型投诉详情在告知客服拒绝的情况下，客服一直在让我上传个人信息，和人脸识别。</t>
  </si>
  <si>
    <t>2019/10/10 16:45:41</t>
  </si>
  <si>
    <t>我于2018年1月份和该公司贷款不到4万，按18个月还，每月要还3309.05元，合计要将近6万，这是什么样的利率?还有2月还完了，现在没钱了，对方要起诉我现在算明白账了，有钱也不想还了当时也不给我合同，只给我一份自己按手印的还款单子就这样还要起诉我?。</t>
  </si>
  <si>
    <t>2019/10/10 16:45:27</t>
  </si>
  <si>
    <t>投诉人黄先生投诉对象钱橙无忧涉诉金额168元问题类型诉求类型投诉详情本人和诸位同仁近期经历了钱橙无忧借款平台的无理收费，和直接扣费以及扣费后未履行相应承诺等行为，本人在钱橙无忧注册时被无故扣款168元且无无任何提示，后借款时该平台打出了审核不过关即退款，本人基于人与人之间的基本信任，点击了确认，但此平台直接跳过了密码支付，本人并未在此平台开通过免密支付，经等待后，该平台的审核一直处于第一阶段，人工客服又一直繁忙，审核不批，钱款不退，该平台大概是张以这种无赖的方式侵吞我等的财产，钱橙无忧侵犯了我等的合法权益，</t>
  </si>
  <si>
    <t>2019/10/10 16:45:21</t>
  </si>
  <si>
    <t>投诉人尹先生投诉对象马上消费金融涉诉金额5000元问题类型诉求类型投诉详情我朋友在安逸花上借的5000块钱，因为出了事故出了不少钱，平台高额利息加逾期费用已经还不起，就天天打骚扰电话给他，轰炸，行为严重骚扰。</t>
  </si>
  <si>
    <t>2019/10/10 16:45:14</t>
  </si>
  <si>
    <t>投诉人张先生投诉对象深圳普惠快信涉诉金额1000元问题类型诉求类型投诉详情投诉一个月的问题到今天没有一个人给我解决，现在又开始编造假信息来威胁恐吓我，死去吧，老子在家坐等你到来。</t>
  </si>
  <si>
    <t>2019/10/10 16:44:35</t>
  </si>
  <si>
    <t>柯基贷，你是不要脸到家了！本金已经还完！你打电话给我家人说我借了五万！你给我拿出证据来！去年我借了6000！你们收取手续费1200实际到账就4800，我已还了十期6800！剩下两期，我今天工资没发！你们就诽谤！骚扰无辜人员！不好意思！我已报警！所有证据都有保留！望有关部门重视！协商直接销账！感谢！。</t>
  </si>
  <si>
    <t>2019/10/10 16:44:14</t>
  </si>
  <si>
    <t>投诉人陈先生投诉对象中邮消费金融涉诉金额3000元问题类型诉求类型投诉详情中邮，你是要利息还是要本金，都要的话那就在等等，我近期出国工作，都要的话，等我从国外回来，要是只要本金的话，明天给你处理好，剩下的俩月如期还上，。</t>
  </si>
  <si>
    <t>2019/10/10 16:43:34</t>
  </si>
  <si>
    <t>投诉人李先生投诉对象小浦优客涉诉金额296元问题类型诉求类型投诉详情小浦优客app申请借款，按步骤填写资料，然后最后要求绑定银行卡，绑定完成就开始审批，过了一个小时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</si>
  <si>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2019/10/10 16:43:31</t>
  </si>
  <si>
    <t>合同金额16000元，到账14000多元，看不到贷款合同，放款金额与贷款金不符！高利贷，必须投诉。</t>
  </si>
  <si>
    <t>2019/10/10 16:42:50</t>
  </si>
  <si>
    <t>上海科技有限公司涉诉金额296元问题类型诉求类型投诉详情我的银行卡不知道怎么回事就被扣款296元，上个月就扣了两次，没太在意，今天又扣了。</t>
  </si>
  <si>
    <t>投诉人吴女士投诉对象微贷网涉诉金额10000元问题类型诉求类型投诉详情电话骚扰不断暴力催收轰炸电话我这面一直有还款当前逾期也在协商解决这面还在威胁。</t>
  </si>
  <si>
    <t>2019/10/10 16:42:47</t>
  </si>
  <si>
    <t>今天早上一个海南海口自称是融360的员工，打电话给我，说符合他们的贷款要求，能贷1万到5万额度，要我加一个融360下款部的QQ号，并且说不收取任何费用，然后我加了，套出了我的个人信息和银行卡信息，拟定了一个合同，发现这是个阴阴合同，要求我先缴纳，10个月的利息和本金才能放款，并且说如果不履约，要求法院投诉我，我不知道这个是不是真正的融360工作人员，希望给我一个说法。</t>
  </si>
  <si>
    <t>2019/10/10 16:42:45</t>
  </si>
  <si>
    <t>投诉人陈女士投诉对象拍拍贷涉诉金额900元问题类型诉求类型投诉详情拍拍贷暴力催收到处打我通讯录电话请问你们怎么非法获取的这样子骚扰。</t>
  </si>
  <si>
    <t>2019/10/10 16:42:41</t>
  </si>
  <si>
    <t>投诉人黄先生投诉对象富友支付涉诉金额1636元问题类型诉求类型投诉详情2019年9月30日收到富友支付1636.5到我银行卡，我上网百度了下，看到这个上海富友支付服务公司，是和很多网贷公司关联的，网上很多人都被这个富友支付无故在银行卡扣款。</t>
  </si>
  <si>
    <t>2019/10/10 16:42:31</t>
  </si>
  <si>
    <t>我最近确实生意倒闭，家里没钱，我只是说缓缓一段时间，我也没说不还，他们打电话都接，现在爆我通讯录跟亲朋好友说联系不到我。</t>
  </si>
  <si>
    <t>2019/10/10 16:42:22</t>
  </si>
  <si>
    <t>投诉人张坤投诉对象恒易贷涉诉金额12000元问题类型诉求类型投诉详情高利贷让我十分痛苦，我好累呀！真的好累呀！不想活了。</t>
  </si>
  <si>
    <t>2019/10/10 16:42:14</t>
  </si>
  <si>
    <t>投诉人赵女士投诉对象凡普信涉诉金额5000元问题类型诉求类型投诉详情存在阴阳合同，高利贷，暴力催收。</t>
  </si>
  <si>
    <t>2019/10/10 16:41:45</t>
  </si>
  <si>
    <t>投诉人徐超投诉对象马上消费金融涉诉金额2400元问题类型诉求类型投诉详情马上消费金融一大早就电话骚扰，接第一个电话中就明确回答了不需要借款，还一直打电话。</t>
  </si>
  <si>
    <t>2019/10/10 16:41:40</t>
  </si>
  <si>
    <t>投诉人吕先生投诉对象爱钱进涉诉金额2755元问题类型诉求类型投诉详情我在钱站贷款到账1300元，还款时却要2275元，说是里面有服务费，要还的钱太多了，不合理，和钱站工作人员无法协商，我要求只还本金和利息。</t>
  </si>
  <si>
    <t>2019/10/10 16:41:28</t>
  </si>
  <si>
    <t>逾期费一天过高，一天15元，威胁恐吓我要催收。</t>
  </si>
  <si>
    <t>2019/10/10 16:41:21</t>
  </si>
  <si>
    <t>投诉人张先生投诉对象蚂蚁金服涉诉金额7000元问题类型诉求类型投诉详情本人在16年开通了蚂蚁金服的借呗和花呗，此后每一期都按时还款，直到今年9月份，因为单位资金周转困难，已经连续拖欠两个月的工资，因为家里人都是这个单位的职工，所以导致了逾期造成了还款困难！因为职工人数过多迫于压力单位申请了贷款，本来告诉我们过完十一可以发工资结果仍然没有动静一直拖欠到现在，单位承诺近几天就会发工资，本来单位答应的今天结果又拖了时间，所以早晨没有还成款项，后果就是收到了支付宝催收电话，并且爆了我的通讯录，本人很有还款诚意，并不</t>
  </si>
  <si>
    <t>2019/10/10 16:41:17</t>
  </si>
  <si>
    <t>滴滴出行自从今年起，为了推销电瓶车，采取恶意手段倾斜派单，本人多次投诉后，开始限制本人的派单，几个小时接不到订单的情况数不胜数，就在10月5日晚7点多，如皋市益寿路无宁海路交叉路口发生交通事故，一辆电瓶车撞伤路人，并且电瓶车的整个前保险杠自然脱落，试问，这种车的技术成熟了吗，纯油汽车在德国经历了多少年技术才成熟的，你一个电瓶车除了省钱，还能有什么，你还打电话给我销售电瓶车，骗我做合规司机，你这样限制我的服务分和派单，你们这么做的目的到底是什么，请给全南通市的滴滴司机一个交代，电瓶车的安全性能到底是怎么回事！</t>
  </si>
  <si>
    <t>2019/10/10 16:41:10</t>
  </si>
  <si>
    <t>投诉人夏女士投诉对象万达普惠涉诉金额9000元问题类型诉求类型投诉详情自称是万达普惠的委托方说是律师行的在正常联系完我的情况下又把电话打到我家人那里去说要给我寄律师函反正是怎么严重怎么说。</t>
  </si>
  <si>
    <t>2019/10/10 16:40:41</t>
  </si>
  <si>
    <t>本人于2019年9月26日在随手记APP贷款五千元，分十二期归还，每期归还502.08元，总计归还6024.97元，但是，到账五千元，扣掉了250元的还款保障金，以及750元的会员权益费，客服反馈说是客户同意后才扣的，我提出质疑是不是借款时强制购买所谓的还款保障金以及会员权益费，由于对法律这块不熟悉，不知道这算不算变相强制收取费用，APP内不容许截屏，客服的回答我是用另外一部手机拍的视频。</t>
  </si>
  <si>
    <t>2019/10/10 16:40:40</t>
  </si>
  <si>
    <t>投诉人沈先生投诉对象白条分期涉诉金额249元问题类型诉求类型投诉详情白条分期app，一步步注册，说是贷款额度5000，点确定就能下款，莫名其妙的就扣了249会员费，额度没有也没下款，还给你推荐一堆平台，找客服退款说是申请五个贷款不通过就给退，等你发了五个截图给他们，他们你用了风险评估不给退，我的分析，第一，风险评估是他们app自己跳转的扣完钱之后，然后给我推荐一些特别高利息的一些网贷平台，让我在里面选择贷款，打客户电话客服说他们只是网贷推荐平台，不是下款平台，只会推荐一下网贷的平台让我自己选择，我提出来让他</t>
  </si>
  <si>
    <t>2019/10/10 16:40:35</t>
  </si>
  <si>
    <t>投诉人胡女士投诉对象马上金融安逸花涉诉金额0元问题类型诉求类型投诉详情已经用安逸花有差不多两年时间，一直没有关心这个灵活还款包，每月要多还几十块，也没有什么作用，取消还不知道怎么取消，已经还了要两年了，客服电话没有人工服务，直到最近一次借款，突然收到一条信息，亚太财险的保单号，我没有买保险，是重来没买过的，我认为这是一个不合理的问题，请安逸花官方给予回复，我要求保单取消，灵活还款包取消。</t>
  </si>
  <si>
    <t>2019/10/10 16:39:31</t>
  </si>
  <si>
    <t>投诉人翁先生投诉对象平安银行信用卡涉诉金额13000元问题类型诉求类型投诉详情平安银行信用卡，因资金周转困难，逾期一个多月，通过手机短信，微信发以下信息给我。</t>
  </si>
  <si>
    <t>2019/10/10 16:39:29</t>
  </si>
  <si>
    <t>滴滴司机为赚外面快钱故意绕路多收取钱，投诉到公司无人理会。</t>
  </si>
  <si>
    <t>2019/10/10 16:39:02</t>
  </si>
  <si>
    <t>投诉人尹俊投诉对象还呗涉诉金额31000元问题类型诉求类型投诉详情尊敬的平台你好，我因为前段时间资金转不过来，在还呗这个平台借了31000元，前段时间一直都在还，现在跟他们商量利息可不可以少一点，他们说不可能是你自己愿意承担呢，前1期我还了2931.35第二期逾期了几天结果叫我还3487.58，多起来了556，你们钱有这种好挣吗，三万一分12期现在他们叫我还38018，我想问问他们这叫不叫高利贷，，而且天天打电话短信骚扰，一直不停，现在导致我把原来的电话号码用不了，无法做生意，还恐吓我，。</t>
  </si>
  <si>
    <t>2019/10/10 16:38:20</t>
  </si>
  <si>
    <t>光大银行卡10月7号至8号无故被联动优势辽宁科技有限公司扣款盗刷：16438元，怎么盗刷的都不知道，现要求盗刷公司退款，并作出解释。</t>
  </si>
  <si>
    <t>2019/10/10 16:38:16</t>
  </si>
  <si>
    <t>这就算了，还没有逾期就电话短信频繁骚扰！要求提前结清。</t>
  </si>
  <si>
    <t>2019/10/10 16:38:15</t>
  </si>
  <si>
    <t>5月份保单售后，至今10月份一直说没有配件为理由一拖再拖不处理！。</t>
  </si>
  <si>
    <t>2019/10/10 16:37:42</t>
  </si>
  <si>
    <t>我投诉及贷长时间没有回应，他们老是过几天催我一次过几天催我一次，实在是身心疲惫了，我都已经和他们的工作人员说好了为什么他们还是过几天就换一个人催我。</t>
  </si>
  <si>
    <t>2019/10/10 16:37:32</t>
  </si>
  <si>
    <t>马上消费金融现金贷利息过高，之前联系客服协商答应了一次性结清减免部分违约金和利息，但是后来又拒不履行承诺，一点信誉度都没有，各种平台谁还会去贷款。</t>
  </si>
  <si>
    <t>2019/10/10 16:36:51</t>
  </si>
  <si>
    <t>在现金巴士借款十多次，每次都以会员卡的形式收取砍头息，借款1500元，到账1300余元，一个月还款1500多元，明显超过国家法律规定，现要求退还十多次砍头息，合计约1600余元，合法利息每期都已经支付，必须退还违法所得。</t>
  </si>
  <si>
    <t>2019/10/10 16:36:38</t>
  </si>
  <si>
    <t>小花钱包不经本人允许私自爆通迅录，我已经跟他们说了十五号开支再还，可他们还爆通迅录。</t>
  </si>
  <si>
    <t>2019/10/10 16:36:25</t>
  </si>
  <si>
    <t>分期乐平台电话骚扰我的亲人好友，暴力催收，请马上停止骚扰。</t>
  </si>
  <si>
    <t>2019/10/10 16:36:10</t>
  </si>
  <si>
    <t>投诉人胡先生投诉对象小羽分期,小羽白卡涉诉金额1200元问题类型诉求类型投诉详情小羽分期借1800元实际到账仅1200，借款时间7天实际仅5天多，比714高炮还有过之无不及，另外，APP上写的还款最后日期为2019.10.1013点左右，但今天早上8点多就把我手机给锁住了，导致我无法还款，故意造成借款人逾期，并且微信客服无人回应，目前我的iPhone无法使用，严重影响到了正常的工作和生活，现在我也无法打开手机截取APP上在账单截图，后续我甚至还可能遭到对方的骚扰和通讯录轰炸。</t>
  </si>
  <si>
    <t>2019/10/10 16:36:09</t>
  </si>
  <si>
    <t>投诉人周先生投诉对象京东金融,京东白条涉诉金额7062元问题类型诉求类型投诉详情逾期我已经还款了，但是后期要求我全部还款，剩下部分是分期还款但是催收不同意协商，依旧电话轰炸，以上门做威胁。</t>
  </si>
  <si>
    <t>在拍拍贷上，借13,320，剩余9001未还，逾期七天，因个人生意上有点困难。</t>
  </si>
  <si>
    <t>2019/10/10 16:36:08</t>
  </si>
  <si>
    <t>投诉人 黄先生        投诉对象  及贷        涉诉金额  2 000 元    问题类型    诉求类型投诉详情  提高还清本额还需支持其他费用。想一次性还清本金希望减免利息。，平台处理一下，谢谢</t>
  </si>
  <si>
    <t>2019/10/10 16:35:53</t>
  </si>
  <si>
    <t>投诉人刘先生投诉对象联通易借涉诉金额1900元问题类型诉求类型投诉详情本人在该平台借款10000，已还款三期，第四期由于投资失败负债累累，资金断裂，银行贷款也无法还清，还款当天就给该平台客服告知当前情况，客服没有处理，后期逾期交催收，该催收天天拿户籍核实等软暴力方式来威胁我，我一直在和他协商，但是无果，之前投诉后他与我联系，要求我撤诉协商，我就撤诉了，并且当天还款300元，还差1600多，该催收为了完成任务，天天微信不断拿户籍地，联系人核实，征信等等方式来威胁我，搞得我现在身心疲惫，本来之前找了一家银行做贷</t>
  </si>
  <si>
    <t>2019/10/10 16:35:46</t>
  </si>
  <si>
    <t>逾期，暴力催收，爆了通讯录，单位电话，微信。</t>
  </si>
  <si>
    <t>2019/10/10 16:35:22</t>
  </si>
  <si>
    <t>7月9日到帐，分6期还款，每期663.19元，已还2期1326.38元，目前逾期3天，被暴力催收，恐吓，被暴通讯录，对我的工作生活造成极大影响，在国家严打高利贷，扫黑除恶的大环境下，如此明目张胆！。</t>
  </si>
  <si>
    <t>2019/10/10 16:35:00</t>
  </si>
  <si>
    <t>投诉人王女士投诉对象钱包易贷涉诉金额5000元问题类型诉求类型投诉详情暴力催收，甚至发短信到亲朋好友那里，电话和短信轰炸。</t>
  </si>
  <si>
    <t>2019/10/10 16:34:53</t>
  </si>
  <si>
    <t>投诉人陈先生投诉对象微信支付涉诉金额4508元问题类型诉求类型投诉详情冻结我资金，说我交易异常也就算了，处罚我除退款外的资金权限也就算了，现在退款也不给我退，这个是什么意思，处罚出了，还要限制我退款，我这边资金链已经断了，钱又拿不出来，现在都快揭不开锅了都，打电话去整天开个电脑人工接听，申诉又说维持原判，也不跟我说需要什么资料怎么解决。</t>
  </si>
  <si>
    <t>2019/10/10 16:34:26</t>
  </si>
  <si>
    <t>免费试用三天，哪有自动扣费的！自动被扣费298。</t>
  </si>
  <si>
    <t>2019/10/10 16:34:04</t>
  </si>
  <si>
    <t>投诉人韩女士投诉对象及贷涉诉金额6000元问题类型诉求类型投诉详情及贷公司到处在我通讯录发这种信息，骚扰电话，高利贷，希望平台帮我。</t>
  </si>
  <si>
    <t>2019/10/10 16:34:01</t>
  </si>
  <si>
    <t>投诉人郑女士投诉对象宜人贷涉诉金额189770元问题类型诉求类型投诉详情在宜人贷借款99400元，合同总还款金额148700元，加上利息需要还189770元，已还34期，134368，按照国家规定利息也还够了，打电话给客服协商，客服一直给绕圈，还给我同事打电话说是我们当地济宁银行的工作人员，在这省略几千字。</t>
  </si>
  <si>
    <t>2019/10/10 16:33:55</t>
  </si>
  <si>
    <t>投诉人沈先生投诉对象白条分期涉诉金额249元问题类型诉求类型投诉详情看到发短信过来，说白条分期同意下款，刚好最近需要资金，就下载了他们的平台白条分期，然后注册账号，最后到借款这步，里面写着交所谓199的会员费就可以拿3000额度的借款金，我扣完钱之后，然后给我推荐一些特别高利息的一些网贷平台，让我在里面选择贷款，打客户电话客服说他们只是网贷推荐平台，不是下款平台，只会推荐一下网贷的平台让我自己选择，我提出来让他们退会员费，他们说无法退还，只有在5家平台上借款，如果都拒贷的情况下才能申请退款，问题是他们推荐的</t>
  </si>
  <si>
    <t>2019/10/10 16:33:47</t>
  </si>
  <si>
    <t>今天总是有很多车商给打电话进行骚扰，严重影响了生活。</t>
  </si>
  <si>
    <t>2019/10/10 16:33:40</t>
  </si>
  <si>
    <t>10月10日，与卡卡贷在线客服联系，没有解决任何问题就直接断线。</t>
  </si>
  <si>
    <t>2019/10/10 16:33:29</t>
  </si>
  <si>
    <t>一连三天了天天给我打电话骚扰，都说了我不认识某某，还不停的打，说什么系统自动拨的，我去你妈的。</t>
  </si>
  <si>
    <t>2019/10/10 16:33:21</t>
  </si>
  <si>
    <t>打快车，来的是专车，预估32，实际47，虽然就十几块钱，但是这样强制消费让人特别不爽，这跟司机无关，属于平台问题，大平台更加需要改善，才能更加完美，希望投诉平台督促一下。</t>
  </si>
  <si>
    <t>2019/10/10 16:32:58</t>
  </si>
  <si>
    <t>投诉人吴女士投诉对象用钱宝涉诉金额708元问题类型诉求类型投诉详情前两期都是按时还的，最后一期已经跟对方协商好11号可以结清了，还威胁我说打爆我通讯录，一天打好几通电话骚扰我，还逼我向别人借钱，还打电话给我父母，还说女孩子家不想别人都知道你贷款什么什么的，总之就是威逼。</t>
  </si>
  <si>
    <t>2019/10/10 16:32:42</t>
  </si>
  <si>
    <t>在说好的双方都有合同下借款6000元，结果到账5400元，平台还不给借款合同。</t>
  </si>
  <si>
    <t>2019/10/10 16:32:35</t>
  </si>
  <si>
    <t>本人把拍拍贷本金欠款已经还完，利息方面高得吓人已经是达到高利贷，当时说还完后可以减免一部分利息但是现在又说我还有贷款未还，还经常不通知我情况下骚扰我联系人，要求拍拍贷停止骚扰。</t>
  </si>
  <si>
    <t>2019/10/10 16:32:05</t>
  </si>
  <si>
    <t>滴滴出行虚假宣传！说可以月入过万！时间自由！我就去租了一台车跑滴滴，结果5个小时没有单！一天收入70！这样怎么可以月入过万。</t>
  </si>
  <si>
    <t>2019/10/10 16:31:59</t>
  </si>
  <si>
    <t>投诉人吴女士投诉对象拍拍贷涉诉金额4753元问题类型诉求类型投诉详情2018年11月8号借款4753元，分12期，每期还477.49元，合计：5729.88元，利息非常高，已经还完11期了，最后一期2019年10月8号当天银行卡有点问题，晚上回去才想起来，刚好是超过了1分钟，APP就显示我本期要还502.79元，需要支付逾期费用25.3元，我已把当期的自定义还完了，请平台销账，并把当前的贷款调整利率~！。</t>
  </si>
  <si>
    <t>2019/10/10 16:31:58</t>
  </si>
  <si>
    <t>1.现金巴士违法经营高利贷套路贷，现在面临国家公安部门打击，狗急跳墙暴力催收，3.因为有关部门打击现金巴士APP苹果商店下架，逾期费用高达每天几十元4.要求去掉多余费用，抓捕相关人员5.现金巴士需要偿还本人之前多期借款所扣除的违法砍头息，每期150多元，合计1500余元，合理利息每期已经支付，现在必须偿还违法砍头息所得，6.要求现金巴士立即销账处理，停止骚扰，否则本人将依法报警处理。</t>
  </si>
  <si>
    <t>2019/10/10 16:31:53</t>
  </si>
  <si>
    <t>投诉人王女士投诉对象上海维信荟智金融科技有限公司,维信金科,卡卡贷涉诉金额30000元问题类型诉求类型投诉详情维信卡卡贷借款利率过高，还威胁说要上门骚扰，恐吓借款人！。</t>
  </si>
  <si>
    <t>2019/10/10 16:30:58</t>
  </si>
  <si>
    <t>有一个四川的号今天给我打电话说我优钱花有额度让我关注微信公众号小安人工关注以后让我开通会员我开通完以后一个都不能下款我现在要求赔偿为啥。</t>
  </si>
  <si>
    <t>2019/10/10 16:30:57</t>
  </si>
  <si>
    <t>投诉人 周女士        投诉对象  小象优品        涉诉金额  998 元    问题类型    诉求类型投诉详情  骚扰家人 暴力催收 侮辱人格 高利息</t>
  </si>
  <si>
    <t>2019/10/10 16:30:46</t>
  </si>
  <si>
    <t>朋友打车去一个地方是38块，去的时候是这个价，到达目的地后滴滴司机强制性收取加油钱滴滴霸王条款，要求滴滴平台给个说法。</t>
  </si>
  <si>
    <t>2019/10/10 16:30:44</t>
  </si>
  <si>
    <t>自称是国美金融的，说某某填了我作为紧急联系人，我在广东工作，某某是湖南的，说是联系不上贷款的人就一直打我电话，态度极其差，扰乱了我的生活和工作。</t>
  </si>
  <si>
    <t>2019/10/10 16:29:49</t>
  </si>
  <si>
    <t>变相服务费管理费，保险费用，实际利率超过36%。</t>
  </si>
  <si>
    <t>高利贷，变相利息收取服务费.客服态度恶劣.提前还款不给减免.还说一直符合国家规定！。</t>
  </si>
  <si>
    <t>2019/10/10 16:29:38</t>
  </si>
  <si>
    <t>我以前100分的滴滴账户，结果被别人恶意注销！现在只有80分，要求滴滴公司恢复我的账号原有服务分！。</t>
  </si>
  <si>
    <t>2019/10/10 16:29:15</t>
  </si>
  <si>
    <t>暴力催收，私自拨打手里联系人，给本人造成了名誉伤害。</t>
  </si>
  <si>
    <t>2019/10/10 16:29:00</t>
  </si>
  <si>
    <t>投诉人 张先生        投诉对象  捷信手机分期        涉诉金额  2 500 元    问题类型    诉求类型投诉详情  我有钱我不用你们催我会还给你们 但是你们也别太逼人太甚 爆我通讯录 态度也不好</t>
  </si>
  <si>
    <t>2019/10/10 16:28:54</t>
  </si>
  <si>
    <t>百川推客帮他推荐人奖励却不发放，这种能走远吗。</t>
  </si>
  <si>
    <t>2019/10/10 16:28:52</t>
  </si>
  <si>
    <t>投诉人张先生投诉对象中信银行涉诉金额20000元问题类型诉求类型投诉详情频繁骚扰亲朋好友，和本村干部，影响本人正常生活。</t>
  </si>
  <si>
    <t>而且每个月还款算起来已经够这个服务费和利息了年利率都达到百分之三十二了，这样都没人管管吗。</t>
  </si>
  <si>
    <t>2019/10/10 16:28:45</t>
  </si>
  <si>
    <t>爆我通讯录，通讯录群发信息，威胁，高利贷，砍头息。</t>
  </si>
  <si>
    <t>2019/10/10 16:28:44</t>
  </si>
  <si>
    <t>投诉人 王先生        投诉对象  中金支付        涉诉金额  5 000 元    问题类型    诉求类型投诉详情  强行扣款 非本人签订任何扣款协议 直接强行扣款 必须全额退款给我 已经报警</t>
  </si>
  <si>
    <t>2019/10/10 16:28:38</t>
  </si>
  <si>
    <t>投诉人王姝投诉对象小花钱包涉诉金额3617元问题类型诉求类型投诉详情小花钱包不停拨打本人及好友电话，群发通讯录人员还威胁发照片，要求停止骚扰亲朋好友家人，停止群发短信，如果发本人照片违反国家法律，应严肃处理予以重罚。</t>
  </si>
  <si>
    <t>2019/10/10 16:28:37</t>
  </si>
  <si>
    <t>我爱人之前在北京宜信公司宜人贷平台通过手机借款，已经还了近2年，对于一个人要养一家人，我苦不堪言，我自己肝硬化，一直吃药，每天工作十几个小时，我申请还剩下本金，那边自称宜人贷工作人员，换着电话，不停地打，说今天5点前不还就被起诉，要打官司，我工作不得安宁，家庭不得安生，望平台帮助，望有关部门调查。</t>
  </si>
  <si>
    <t>2019/10/10 16:28:36</t>
  </si>
  <si>
    <t>办理etc的时候选择的是保证金办理，上面写着只要激活了设备就能够返还保证金，结果激活以后自己开通了会员权益，客服说90内可以取消会员权益，我在小程序里面也没有找到取消会员权益这个选项，现在我要求取消会员权益返还我的保证金。</t>
  </si>
  <si>
    <t>2019/10/10 16:28:13</t>
  </si>
  <si>
    <t>投诉人 韩女士        投诉对象  浦发信用卡        涉诉金额  1 800 元    问题类型    诉求类型投诉详情  浦发信用卡工作人员你们好 因为近两个月资金问题无法正常还款 希望协商一下还款时间 不要催收我的家人谢谢了</t>
  </si>
  <si>
    <t>2019/10/10 16:28:11</t>
  </si>
  <si>
    <t>我表哥与5月18号在安逸花借款2000元，分12期还款，安逸花强制加入所谓的灵活还款和短信包每月还款244.93元，年利率达到46.958%，比高利贷的36%还高，，从6月至9月已经还款980元，现在提前结清竟然还要还1500元，用4个月不到，，，反正他现在也不想还了，要我跟朋友一起投诉这个平台，必须调整利率，或者减免一次性还清，其他的胡乱的费用也就算了。</t>
  </si>
  <si>
    <t>2019/10/10 16:28:06</t>
  </si>
  <si>
    <t>本人2019年10月06日从12306网站购买了北京南到上海虹桥的G3次列车，时间是14：00-18：28，因为12306中间站不开放售票，只开放始发站到终点站的票，虽然本人是从济南出发去上海，但是还是买了北京南到上海的票，因为返程高峰，道路拥堵导致赶不上列车，在14点之前就打电话告诉12306客服赶不上列车，并协商改签或退票，客服回答不予改签或者退票，本人并未取票和坐车，却枉枉花费553元人民币，12306网站存在不合理化和售票方案不合理等问题,客服也表示理解消费者苦衷但是仍不给改签或退票，导致消费者花冤</t>
  </si>
  <si>
    <t>2019/10/10 16:27:43</t>
  </si>
  <si>
    <t>本人原智行账号186******51,目前已注销此手机号，换了新的手机号，在智行只能验证码登录，我登录不了，不能销户，这样的话重新获得我原手机号的用户便能获得我原智行账号上的所有乘车人的身份证号等信息，另外在网页上也看到许多与我一样问题的小伙伴，我们都遇到智行火车票客户端无法修改或者注销登录手机号，有违工信部《电信和互联网用户个人信息保护规定》，第九款第四条规定：“电信业务经营者，互联网信息服务提供者在用户终止使用电信服务或者互联网信息服务后，应当停止对用户个人信息的收集和使用，并为用户提供注销号码或账号的</t>
  </si>
  <si>
    <t>2019/10/10 16:27:07</t>
  </si>
  <si>
    <t>我在宜人贷贷款6万元，分36期，但合同金额是84985.83元，至今已还19期，已还金额53938.25元，其中包括逾期一晚的逾期费用306元，信息咨询费24475.92，36期总还款金额102448.79，宜人贷高昂的利息和逾期费，以及砍头息，已还19期，剩余还款金额还需还款48508.86元，但实际的本金只剩下6061.75元，但是平台每天打电话骚扰我，骚扰我老公，让我们借钱来还款，一次性结清还需要我还总额41633.9元，那么这是多高的利息啊，那么我前期还款全部都是利息吗，希望相关部门尽快处理这样的黑</t>
  </si>
  <si>
    <t>2019/10/10 16:27:01</t>
  </si>
  <si>
    <t>投诉人赵女士投诉对象平安惠普涉诉金额8000元问题类型诉求类型投诉详情请联系我请联系我请联系我请联系我请联系我。</t>
  </si>
  <si>
    <t>投诉人王耀志投诉对象Wecash闪银涉诉金额850元问题类型诉求类型投诉详情最近资金周转不到，催收电话一直不停，未与本人联系就打电话给我父母！本人想协商申请延期处理，催收人却态度恶劣，催收手机号发短信有客服电话：022-60537161打过去却是空号！希望闪银瞬瞬能给开个延期，延期费跟逾期费用愿意承担。</t>
  </si>
  <si>
    <t>2019/10/10 16:26:42</t>
  </si>
  <si>
    <t>投诉人路女士投诉对象天猫超市,天猫涉诉金额0元问题类型诉求类型投诉详情10月8日凌晨天猫超市粮油活动199-50，购买了四袋大米，其中一袋没有生产日期。</t>
  </si>
  <si>
    <t>2019/10/10 16:26:41</t>
  </si>
  <si>
    <t>结果每期都得还2000多，我已经还了两期了，两期加在一起4000多块我想本金也已经还清了吧，这一期也是最后一期资金困难，多家欠款无力偿还所以想协商还款，但是联系不到你们客服这是其一，其二利息真的太高了我接受不了，欠钱还钱天经地义，但是我借多少还多少，现在已经逾期了，给个合理的方法我会处理。</t>
  </si>
  <si>
    <t>2019/10/10 16:26:27</t>
  </si>
  <si>
    <t>本人在恒易贷APP上贷款16949.15元，实际到帐15188元，分12期还，每月13号为还款日，9月12号我主动还款APP页面还不了款，打恒易货客服电话客服表示银行卡存足还款金额平台会自动扣款，9月13号本人卡内有足额金额但平台没扣款，9月13号晚7点平台显示我逾期而且又主动还不了款。</t>
  </si>
  <si>
    <t>2019/10/10 16:26:21</t>
  </si>
  <si>
    <t>此平台借款3000一个月，却被扣掉了500元。</t>
  </si>
  <si>
    <t>2019/10/10 16:25:48</t>
  </si>
  <si>
    <t>朝花夕拾冒用其他朝夕情感咨询的名称，进行虚假宣传，欺诈钱财，通过微信添加了假的山东济宁朝夕的咨询，三人合谋骗取钱财，让我误以为是朝夕情感，缴了费用，今早想退费怎么也退不了，还在我申请退费后，硬是制定所谓的方案，然后各种借口不肯退，欲强买强卖。</t>
  </si>
  <si>
    <t>2019/10/10 16:25:34</t>
  </si>
  <si>
    <t>及贷扣除所谓保费，记录将近60%，要求退还保费，利率合理，客服不处理，只有投诉。</t>
  </si>
  <si>
    <t>2019/10/10 16:25:23</t>
  </si>
  <si>
    <t>左右钱包借款1800到账才1170元6天，还没到还款时间就不断发信息来就算了。</t>
  </si>
  <si>
    <t>2019/10/10 16:25:19</t>
  </si>
  <si>
    <t>借1000，还1800利息高也算了，三天不放款，客服联系上，要求取消借款。</t>
  </si>
  <si>
    <t>2019/10/10 16:25:08</t>
  </si>
  <si>
    <t>投诉人施先生投诉对象招商银行信用卡涉诉金额4300元问题类型诉求类型投诉详情之前逾期3个月，因为资金链断裂负债累累，我也没说我故意不还钱，你们银行委托催收人员打电话软暴力催收威胁上门，说提交材料起诉我，好大的官威，如果上门导致我名誉受损，我将采取保留证据直接寄给银监局处理，你们银行最终也只是要钱而已，要嘛好好协商还款。</t>
  </si>
  <si>
    <t>2019/10/10 16:24:36</t>
  </si>
  <si>
    <t>协商还款，已经换了最低还款要求协商处理剩下的296。</t>
  </si>
  <si>
    <t>2019/10/10 16:24:22</t>
  </si>
  <si>
    <t>客服服务不周，回访电话一直没有，这个平台是怎么做的。</t>
  </si>
  <si>
    <t>2019/10/10 16:24:18</t>
  </si>
  <si>
    <t>投诉人继鹏先生投诉对象小花钱包涉诉金额20000元问题类型诉求类型投诉详情借款一共四笔共20000元，第一笔借款9799实际到账8600，其余三笔均有很高的手续费平均每借1000就有将近200的手续费，20000借款手续费大概在2600左右，四笔借款至今已还本金加利息9434.12，但是小花钱包显示本人还款6300，就是说抛开天价手续费，仅这9434.12的利息就高达3134.12元，本人协商还小花钱包本金减去少许手续费共8000元。</t>
  </si>
  <si>
    <t>2019/10/10 16:24:03</t>
  </si>
  <si>
    <t>2019年2月我在赣州黄金机场乘坐飞机，取票大厅的销售人员她穿着机场工作人员制服向我我推销龙行管家的卡，说是充1680元就送1320元，卡里有3000元可以订购飞机票，当钱花，可以免费享受vip通道及vip候机室，还说办了这个卡就可以享受他们订票优惠，1人购卡全家使用，含保险含税比哪里订票都便宜很说很多人都定了，我当时带着孩子想想挺好的就办了，签字的时候根本就没有让我确认合同里的条款，支付后就直接给了我一张龙行管家的金色卡，后来我用这张卡订机票的时候才发现，里面的3000只能抵掉每次订票的一点点票款，最多几</t>
  </si>
  <si>
    <t>2019/10/10 16:23:16</t>
  </si>
  <si>
    <t>投诉人王先生投诉对象新橙优品涉诉金额3000元问题类型诉求类型投诉详情新橙优品借款3000，放款后擅自扣除300元保险费，实际借款2700元，每期663.2元分六期，总还款3979元，年化率94.8%，现已还款前两期1326元，本人要求修改账单金额，按照法律规定最高年化36%，一次性结清剩余本金+利息合计1617元。</t>
  </si>
  <si>
    <t>2019/10/10 16:23:14</t>
  </si>
  <si>
    <t>从8月4号申请的退店，平台提示9.27之前完成审核，到现在积木10月10号还没有完成，联系客服一直在敷衍。</t>
  </si>
  <si>
    <t>2019/10/10 16:22:50</t>
  </si>
  <si>
    <t>8月份用于周转借了三千多，第一月已经还上，第二月因问题逾期了三天，一天加十元多，今天一直打电话骚扰，威胁要爆通讯录，威胁家人朋友，还要雇佣催收公司催收，最近周转困难，又不是不还，停止骚扰和威胁，几天后会还的。</t>
  </si>
  <si>
    <t>2019/10/10 16:22:39</t>
  </si>
  <si>
    <t>我于2019-10-9，下午三点多发送了一条信息出去，结果就被移动关闭了短信功能，此信息并没有任何违规，也没有存在群发的操作，我身为移动的VIP客户，每个月消费这么多钱，现在把我的短信功能关闭了，导致我工作收不到验证码无法登录系统，银行转账收不到验证码，快递也收不到信息。</t>
  </si>
  <si>
    <t>2019/10/10 16:22:22</t>
  </si>
  <si>
    <t>提前还款，客服让我一期一期按账单还，脑子有病吗。</t>
  </si>
  <si>
    <t>2019/10/10 16:22:01</t>
  </si>
  <si>
    <t>本人和诸位同仁近期经历了钱橙无忧借款平台的无理收费，和直接扣费以及扣费后未履行相应承诺等行为，本人在钱橙无忧注册时被无故扣款168元且无无任何提示，后借款时该平台打出了审核不过关即退款，本人基于人与人之间的基本信任，点击了确认，但此平台直接跳过了密码支付，本人并未在此平台开通过免密支付，经等待后，该平台的审核一直处于第一阶段，人工客服又一直繁忙，审核不批，钱款不退，该平台大概是张以这种无赖的方式侵吞我等的财产，钱橙无忧侵犯了我等的合法权益，希望聚投诉平台能给我们一个合理的说法并追回我们损失的财产！。</t>
  </si>
  <si>
    <t>2019/10/10 16:21:34</t>
  </si>
  <si>
    <t>申请延期，客服态度差，言语威胁，暴力催收，差评！！！！！。</t>
  </si>
  <si>
    <t>借款8000，分期十二期，已还10期，高额利息及滞纳金，马上消费金融未做出任何处理及解释，一直变换第三方公司发短信骚扰恐吓，现收到立案短信，望聚投诉平台监督督促马上消费金融公司做出合理解释及处理。</t>
  </si>
  <si>
    <t>2019/10/10 16:21:29</t>
  </si>
  <si>
    <t>明明没借过，发短信来说要来我家办点事，打电话回过去说我借的钱，说要来我家。</t>
  </si>
  <si>
    <t>2019/10/10 16:21:13</t>
  </si>
  <si>
    <t>快闪卡贷借款10000，实到8000多，收取砍头息1500多，分六期，每期还款2006元，总共要还12000多，已还三期，上个月第四期资金链断裂，发工资要到15号，打客服电话是否能协商账单日延后几天，也在聚投诉上投诉过，要求停止罚息，没人来沟通过，今天连续接到快闪卡贷催收电话，辱骂亲人，壕无人性，父母年纪大了，受不了刺激，身体出现问题，我肯定要追究快闪卡贷的责任。</t>
  </si>
  <si>
    <t>2019/10/10 16:21:05</t>
  </si>
  <si>
    <t>6月份，瑞银信一个代理承诺一万55的费率，不加3，交了298的押金，办理一个瑞银信POS机，一直用着挺好，直到9月份一个客户找才发现实际扣费率是65！那次刷卡67000，扣了435.5！回头我找业务员，告诉我直接机构调的，多的钱也不给他，没办法，不能退！费率涨可以，但是！你为什他提前告知一声，这样背地跳高费率，要不是客户找，我还蒙在鼓里！9.29号我找了客服，到今天，至少3.4次，客服答应反馈给代理管理部门，但是一直到现在，业务联系过我一次，态度依然蛮横，就告诉不能退，爱找找吧！刚刚我又找应用在线客服，给我</t>
  </si>
  <si>
    <t>2019/10/10 16:21:03</t>
  </si>
  <si>
    <t>本人因微信上被骗，用支付宝扫码买了一双鞋，第二天早上就打电话要去拼多多客服退款，结果客服一直以专员正在处理为由，从30号一直到现在，未给退款解决。</t>
  </si>
  <si>
    <t>2019/10/10 16:20:55</t>
  </si>
  <si>
    <t>及贷违规搭售保险，保险公司接到要求退款的电话已经数天仍未处理。</t>
  </si>
  <si>
    <t>2019/10/10 16:19:56</t>
  </si>
  <si>
    <t>本人因生意失败，欠下多个平台的网贷，全部都是7天14天占多，一直苦苦维持了快一年，现在实在维持不了了，欠的平台里面，就有wecash闪银里的三个小贷，，闪银每次借贷都需要服务费，借一千也是一次300，利息早超本金，说这些也就是反应个情况，钱是我自愿借的，怨不得别人，朋友打电话说每天都有好多人打电话问我要钱，一人做事一人当我只是希望闪银能够合法催收，不要骚扰我的联系人。</t>
  </si>
  <si>
    <t>2019/10/10 16:19:40</t>
  </si>
  <si>
    <t>及贷每个月等息本金还款，后面的每个月的利息和手续费依旧按照全额本金来计算，手续费加利息名义综合费率百分之36，实则为利滚利高利贷，综合实际费率达到百分之60！《中国人民银行关于取缔地下钱庄及打击高利贷行为的通知》中规定：民间个人借贷利率由借贷双方协商确定，但双方协商的利率不得超过中国人民银行公布的金融机构同期、同档次贷款利率，我在与及贷公司协商无果的情况下，暴力催收，进行辱骂我的行为，甚至威胁我个人人身安全！进行短信轰炸我！进行短信轰炸我！进行短信轰炸我！进行短信轰炸我！短信轰炸疯狂骚扰我的通讯录联系人，致</t>
  </si>
  <si>
    <t>前几天在苏州游玩的时候，去逛街，4个大人加一个小孩，叫车以后，司机接单后提示3分钟能到地方，等了一会儿手机提示司机已到达，周围发现没有车，就致电司机，提示通话中，以为司机在联系我们，就等待，过了3分钟还是没有来电，再次去电还是通话中，累计去电三次都是通话中，最后接通以后，对方说在出口处，让走过去，几人找到出口地后看到司机与2人在聊天，我们几人上车后，对方跟朋友说先送单了，上车以后，司机说4个大人1个小宝宝算5个人，不能打车，让我们重新叫车，申请通融一下，对方说不可以，我们就下车了同意再叫别的车，我们刚下车，</t>
  </si>
  <si>
    <t>2019/10/10 16:19:38</t>
  </si>
  <si>
    <t>2018.10.1向超级现金侠借款2000元，还款2640元，周期14天，收取本人640费用，拉卡拉为其提供支付通道，2019.10.10向拉卡拉反馈此事，拉卡拉不受理本人问题，现请聚投诉出面协调处理本人问题，拉卡拉必须协助我追回640元的高额利息，否则我带上资料，向人民银行指控拉卡拉非法行为记账日。</t>
  </si>
  <si>
    <t>2019/10/10 16:19:35</t>
  </si>
  <si>
    <t>中原消费金融，本人逾期无力偿还贷款，发送虚假所谓立案短信给联系人，由此对本人及家人造成的影响等你们上门来的时候我会好好跟你们算清楚！。</t>
  </si>
  <si>
    <t>2019/10/10 16:19:15</t>
  </si>
  <si>
    <t>自称小米金融委托方，客户以积极协商全额还款，已多次骚扰和威胁客户.本次还扬言投诉对他没有影响，请相关部门查处是否小米金融公司可以不择手段威胁恐吓骚扰客户.另外，小米金融公司投诉从未有反馈信息.这和催收人员扬言投诉没影响如出一辙.02987960435自称张先生关于此次及前述事实，客户方将追究到底.。</t>
  </si>
  <si>
    <t>2019/10/10 16:19:00</t>
  </si>
  <si>
    <t>投诉人徐超投诉对象滴滴出行涉诉金额0元问题类型诉求类型投诉详情昨天早上派单1.8公里，因为是学校禁区，只能一直走，离乘客越来越远，就发信息说滴滴派单太远，经常有乘客距离太远取消订单行为，难道问一下就是取消订单。</t>
  </si>
  <si>
    <t>2019/10/10 16:18:49</t>
  </si>
  <si>
    <t>因目前经济困难，暂时实在无法还上美团生活费的欠款，已经提前联系过美团方的客服，客服也表示理解我现在的处理，并声明不会暴力催收，后面也跟催收有短信沟通过，也说明了相关的情况，本人也表明后面经济好转一些了会把钱欠款还上，相关的合法逾期费用及利息也会一并还上，然而美团还是无视监管，一直暴力催收，每天都是轰炸十几个电话过来，且电话号码没有一个是重复，短信也是一直不停的发过来！昨天还短信过来说要联系无关人员协助处理还款，变相说明要我爆通讯录！对于美团这种暴力催收的行为，本人表示严重的谴责以及抗议，并保留进一步向相关部</t>
  </si>
  <si>
    <t>2019/10/10 16:18:11</t>
  </si>
  <si>
    <t>2019年10月8号我在赣州机场正准备搭乘飞往宁波的航班，去打印登机牌的时候，取票机器有穿工作服的男性服务员上前帮我打印了登机牌，随后带我到旁边的工作台跟我说现在可以免费办理会员卡，我以为是机场的什么活动，跟我说卡是免费开通的，关注一个公众号就行，让我扫描他手里卡上的二维码，随后拿起我的身份证帮我操作，随后和我说只要预存1998送3000的机票费用，用来抵扣机票钱，还说在这个公众号买机票比网上订票更便宜，那个费用可以直接购买机票，不用我出其他费用，我看是机场的工作人员觉得可信，然后就微信付款了，之后我等机的</t>
  </si>
  <si>
    <t>2019/10/10 16:17:49</t>
  </si>
  <si>
    <t>涉诉金额5000元问题类型诉求类型投诉详情本金已还完！咨询律师发现利率已经超过国家规定的年利率不合法！质疑！随后质询客服说搭售保险，未曾看过保险内容！是否合规！暴力催收依旧没有停止骚扰！贵公司给出解释！不解答我会报警处理暴击催收高利贷，银保监会投诉！抗战到底！。</t>
  </si>
  <si>
    <t>2019/10/10 16:17:14</t>
  </si>
  <si>
    <t>本人还款金额早已超过本金金额，但是利息实在比高利贷还高，本人实在无力承担，钱站就开始骚扰本人同事轰炸本人通讯录亲戚朋友，侮辱诽谤本人，严重影响本人正常生活，实在不甚其扰，希望停止侵害。</t>
  </si>
  <si>
    <t>2019/10/10 16:17:04</t>
  </si>
  <si>
    <t>投诉人 龙冲        投诉对象  马上消费金融        涉诉金额  2 200 元    问题类型    诉求类型投诉详情  有马上消费金融人员致电第三方亲属电话。态度不好，老人心脏不好。不想在接电话，否则银监会，21cn 媒体投诉。</t>
  </si>
  <si>
    <t>2019/10/10 16:16:23</t>
  </si>
  <si>
    <t>投诉人吴女士投诉对象米钞多涉诉金额3000元问题类型诉求类型投诉详情这两天天有实名电话打过来说我欠米钞多APP，打开APP根本没有借款记录。</t>
  </si>
  <si>
    <t>2019/10/10 16:16:08</t>
  </si>
  <si>
    <t>投诉人李先生投诉对象及贷涉诉金额15333元问题类型诉求类型投诉详情及贷公司，高利贷，收取手续费，平台费，远超国家规定费率，而且，及贷公司伪造假合同，图1.2为谢谢本人真实借款金额，图3为及贷公司伪造借款合同，现在要求退还相关费用！。</t>
  </si>
  <si>
    <t>2019/10/10 16:15:53</t>
  </si>
  <si>
    <t>担保费比利息还高，这是明着把高利息转移在担保费上，这是明着把高利息转移在担保费上 对此问题我表示非常不满 4000元分期3个月 还款本金加利息加担保费和利息要840元 总超出银行正常利率及担保费用，我有权追回担保费用！希望黑猫平台能扫黑除恶！”。</t>
  </si>
  <si>
    <t>2019/10/10 16:15:44</t>
  </si>
  <si>
    <t>本人于借的芒果筹实际到账2800元，账单分为4期，每期8天一次每次账单金额1022元，账单总额达到了4000元，远超国家规定利息属于砍头息型高利贷范围，如今本人负债累累，已无力偿还最后一期，希望最后一期予以销账处理，前面借过两回的高利息我也不讨要了。</t>
  </si>
  <si>
    <t>2019/10/10 16:15:39</t>
  </si>
  <si>
    <t>投诉人朱女士投诉对象58金融涉诉金额3600元问题类型诉求类型投诉详情和58催收人员以及客服多次协商沟通强调我会还款，每次催收都威胁说要联系家人和朋友同事，稍微有点钱就想还点58那边又不干非要全款还！！！现在居然威胁家中老人说她的后人被起诉了拿钱换人，之前58催收也威胁过我本人说随时可以搞我！！我觉得人这辈子哪个不遇到点真正的麻烦，我从来没说过不还也不是恶意拖欠不还逾期所产生的利息只要在国家规定范围内我都承认，一天无数次催收还有＋微信威胁，现在居然骚扰我家中没有文化的父母！！！这种行为最可耻，，希望停止，不</t>
  </si>
  <si>
    <t>2019/10/10 16:15:37</t>
  </si>
  <si>
    <t>本人电话可以打通，催收人员拨打第三方，并骚扰，在平台借款1万5左右已经还款1万7了，还要在还6千多，比法定利率还要高，并换个说法是买保险的，那如果按照他们的说法，那是不是到期过后，退还我的保费那。</t>
  </si>
  <si>
    <t>2019/10/10 16:15:22</t>
  </si>
  <si>
    <t>本人因生意投资失败，导致招商银行信用卡逾期3个月不到，欠下信用卡债务，因生活条件困难，刚刚就业，本人非常有意愿跟招商银行信用卡协商还款，招商银行信用卡催收部门一直要本人全额还款，本人实在无法一次性支付全额，望招商银行信用卡信用卡中心给我一个个性化的36期或者24期分期还款协议。</t>
  </si>
  <si>
    <t>2019/10/10 16:15:04</t>
  </si>
  <si>
    <t>麦子金服套路贷，借21800，实际到账19838，扣了1962，分36期每月还973.97，已经还了快2年，还了22401.31元。</t>
  </si>
  <si>
    <t>2019/10/10 16:14:46</t>
  </si>
  <si>
    <t>投诉人 陆先生        投诉对象  多米贷        涉诉金额  500 元    问题类型    诉求类型投诉详情  多米贷3000实际只到账2600 高额砍头息 然后在一直保持联系情况下 不肯协商 催收威胁恐吓爆通讯录 骚扰家人朋友</t>
  </si>
  <si>
    <t>2019/10/10 16:14:39</t>
  </si>
  <si>
    <t>分期乐老是骚扰我，说了不是我使用的，非要我处理，本人早就报警了，希望别烦我了，有问题请催收人员提供你们的证件以及凭证，我交给警方，警方让怎么处理怎么处理。</t>
  </si>
  <si>
    <t>2019/10/10 16:14:18</t>
  </si>
  <si>
    <t>投诉人张先生投诉对象钱站涉诉金额8000元问题类型诉求类型投诉详情钱站高利贷阴阳合同，砍头息，签约和放款金额不一样。</t>
  </si>
  <si>
    <t>2019/10/10 16:14:04</t>
  </si>
  <si>
    <t>本人在小象优品2018-12-4单号338959012498221916164借款10000元，每期还款1133X12期，每期手续费300元，12期手续费共3600元，年利息高于国家标准，属于高利贷，现在要求协商减免利息，结清全部还款！无法提前结清欠款，要求给予减免超过国家年息部分.本人2019-4-26情侣卡单号259475530794579066887。</t>
  </si>
  <si>
    <t>2019/10/10 16:13:02</t>
  </si>
  <si>
    <t>借款6100到账4700多，分3期还款，共还款6300多，严重砍头息。</t>
  </si>
  <si>
    <t>2019/10/10 16:12:59</t>
  </si>
  <si>
    <t>在进行充值之后恶意冻结资金，然后客户要求解冻必须充值双倍金额，但是仍然冻结，已冻结3600余元在该平台，达到立案标准，现在请求该平台解除账号冻结退还资金。</t>
  </si>
  <si>
    <t>2019/10/10 16:12:57</t>
  </si>
  <si>
    <t>到处泄露个人信息，经常有借贷宝推荐过去的网贷电话及微信骚扰。</t>
  </si>
  <si>
    <t>2019/10/10 16:12:56</t>
  </si>
  <si>
    <t>10月10日15时07分接到021-95561的电话，客服说有279000元的备用金可以使用，没有讲明开通了之后，额度不使用的情况下不用还款和手续费，在开通了之后，收到短信写明每月还款金额，本人发现不对劲，立即打客服电话，才知道一旦开通，不使用备用金每月也要还款本金和支付利息，本人投诉银行业务员没有讲明此情况，误导性的让客户开通了备用金，每月要支付大额的利息，要求银行取消这项办理的业务。</t>
  </si>
  <si>
    <t>2019/10/10 16:12:49</t>
  </si>
  <si>
    <t>但是前不久我的小孩拿着手机玩游戏，我以为类似于QQ游戏是不用充值的，但是直到后面我的银行卡的钱少了很多，后面查看，才知道卡里面的钱通过支付宝充值到了900彩票网平台，据我所知900彩票网在中国是不合法的，但是银联是合法的，可是支付宝作为为900彩票网平台提供资金充值渠道，折让我遭受了不明不白的损失，如果我不及时发现，会有更多资金通过支付宝流入900彩票网平台，让我遭受更多损失，现在钱是退不回来了，但是支付宝这样的做法实在是有害于明，请求云闪付撤销对900彩票网平台的资金支持，并且能够取消对900彩票网平台的</t>
  </si>
  <si>
    <t>2019/10/10 16:12:32</t>
  </si>
  <si>
    <t>投诉人 夏女士        投诉对象  京东金融        涉诉金额  6 000 元    问题类型    诉求类型投诉详情  如图所示，京东金融伪造法院短信。01065612368 是司法拍卖号码， 不会发送这些内容</t>
  </si>
  <si>
    <t>2019/10/10 16:12:05</t>
  </si>
  <si>
    <t>投诉人 李女士        投诉对象  小浦优客        涉诉金额  296 元    问题类型    诉求类型投诉详情  在不知情的情况下扣除银行卡上296元 大写：贰佰玖拾陆元整</t>
  </si>
  <si>
    <t>2019/10/10 16:11:59</t>
  </si>
  <si>
    <t>忽悠和误导我办理POS机，声称POS机是免费的，我多次询问是否免费或有什么费用或条件，业务员说完全免费，收到机子后，业务人员指导说首刷298激活，在不知情的情况下刷了298元，刷完后资金一直未到账，询问才知道是押金，要刷满88万后才能退回！而且，激活指导手册上，只字未提押金事宜，完全是一步步误导客户办理POS机，坚决要求马上退还298元，我退还POS机！。</t>
  </si>
  <si>
    <t>2019/10/10 16:11:26</t>
  </si>
  <si>
    <t>投诉人王女士投诉对象唯品会涉诉金额22元问题类型诉求类型投诉详情9月18日下单在唯品会上买的两件衣服和一双鞋，不到一个月时间降价了，衣服和鞋共降价22元。</t>
  </si>
  <si>
    <t>2019/10/10 16:11:12</t>
  </si>
  <si>
    <t>投诉人 孙明        投诉对象  聚福钱包        涉诉金额  100 元    问题类型    诉求类型投诉详情  聚福钱包乱扣费。，打客服电话还不给退希望退还我的100元</t>
  </si>
  <si>
    <t>2019/10/10 16:11:09</t>
  </si>
  <si>
    <t>目前手头没有钱，协调还款不行，只剩三期未还，骚扰父亲及朋友。</t>
  </si>
  <si>
    <t>2019/10/10 16:10:44</t>
  </si>
  <si>
    <t>投诉人李先生投诉对象瀚银科技涉诉金额36120元问题类型诉求类型投诉详情本人浏览网页时，被弹窗兼职信息吸引，至非法网站，新宝IIIvip.xinbao66.net，，平台客服向本人提供自称稳赚不赔、适合学生做的彩票计划，在诱导下进行了充值及购买彩票，造成资金巨大亏损，今发现该平台为违法平台，且平台账号被禁用，无法登陆，目前悔之晚矣，对我本人和家庭造成了巨大影响，现请求贵公司在祖国70周年华诞之际，协助追回退款，严惩非法平台。</t>
  </si>
  <si>
    <t>2019/10/10 16:10:35</t>
  </si>
  <si>
    <t>投诉人 沈先生        投诉对象  借了呗        涉诉金额  1 000 元    问题类型    诉求类型投诉详情  一接电话就满嘴喷粪，侮辱我家人。态度恶劣</t>
  </si>
  <si>
    <t>2019/10/10 16:10:33</t>
  </si>
  <si>
    <t>投诉人王先生投诉对象360借条涉诉金额10000元问题类型诉求类型投诉详情360借条泄露我的个人信息给委托的外包公司，然后进行暴力催收。</t>
  </si>
  <si>
    <t>2019/10/10 16:10:06</t>
  </si>
  <si>
    <t>51人品贷虚假营销，虚假宣传，诱导用户下载使用，又不给放款，故意破坏用户大数据，要求解释道歉赔偿。</t>
  </si>
  <si>
    <t>2019/10/10 16:09:25</t>
  </si>
  <si>
    <t>投诉人吴女士投诉对象投诉水莲金条涉诉金额10000元问题类型诉求类型投诉详情我于2019年2月16日通过融360平台向智莲科技-水莲金条借款10000元，到账10000元，秒扣2000元，实际到账8000元，贷完经计算才发现利息、咨询服务费等综合年化利率高达35%以上，远高于国家规定的最高利率红线24%，请聚投诉协调相关单位调查并督促平台整改，降低贷款利率，维护金融秩序，维护借款人的合法权益，另外，现申请按照低于国家规定最高利率24%来算，请监管单位协助沟通调解。</t>
  </si>
  <si>
    <t>2019/10/10 16:09:12</t>
  </si>
  <si>
    <t>投诉人王先生投诉对象浪白条涉诉金额0元问题类型诉求类型投诉详情网址:http://vcqug.cn/yei07P高利贷垃圾短信广告骚扰。</t>
  </si>
  <si>
    <t>2019/10/10 16:08:58</t>
  </si>
  <si>
    <t>投诉人邵先生投诉对象平安银行信用卡涉诉金额18000元问题类型诉求类型投诉详情这就是平安银行的催收，用下三滥的手段威胁恐吓我，畜生！猪狗不如！威胁我家人！威胁我没关系，别搞我家人！停止一切骚扰，不要再做蛋糕，寄快递上门！。</t>
  </si>
  <si>
    <t>2019/10/10 16:08:23</t>
  </si>
  <si>
    <t>投诉人宋女士投诉对象掌众金服涉诉金额10000元问题类型诉求类型投诉详情闪电根据本人身份证号私自查询本人其他隐私信息，并且拨打前公司电话进行骚扰，明确告诉本人已经离职不在单位的情况下依旧对前公司进行骚扰，并且群发通讯录和联系人，对朋友进行骚扰，并对我进行言语威胁并且想套取前公司地址进行上门威胁。</t>
  </si>
  <si>
    <t>2019/10/10 16:07:34</t>
  </si>
  <si>
    <t>投诉人昝女士投诉对象联动辽宁科技有限公司涉诉金额12958元问题类型诉求类型投诉详情光大银行卡10月8号无源无故被：联动优势辽宁科技有限公司扣款：12958元。</t>
  </si>
  <si>
    <t>2019/10/10 16:07:19</t>
  </si>
  <si>
    <t>投诉人聂先生投诉对象找靓机涉诉金额1649元问题类型诉求类型投诉详情我从找靓机app平台看了一款99新的苹果7售价为1650元，我已下单，但是再申请找靓机的分期付款，审核不通过，我就咨询客服，结果前后也就3分钟，平台强制把我的订单给关闭了，导致我没有办法购买此手机，但是我下了一款1999的此成色手机后订单等了几十分钟也没关闭，我下单就代表了合同成立，而平台随意给我取消订单给，即使给关闭订单也该给个时间截止，同样的订单1650元的3分钟就给我关闭了，而1990的半小时都不关闭是什么原因导致的，我怀疑平台虚假交</t>
  </si>
  <si>
    <t>2019/10/10 16:07:12</t>
  </si>
  <si>
    <t>投诉人王先生投诉对象支付宝,米米罐涉诉金额1724元问题类型诉求类型投诉详情以下是本人多次向米米罐平台借贷，产生的砍头息，而砍头息由支付宝提供支付通道，现要求你支付宝协助我将砍头息追讨回来，网贷平台借款平台公司名借款金砍头息交易时间砍头息砍头息支付通道米米罐北京焱晨科技有限公司150020180227199支付宝米米罐北京焱晨科技有限公司150020180327199支付宝米米罐北京焱晨科技有限公司150020180426199支付宝米米罐北京焱晨科技有限公司170020180525199支付宝米米罐北京焱</t>
  </si>
  <si>
    <t>2019/10/10 16:07:11</t>
  </si>
  <si>
    <t>投诉人唐先生投诉对象恒易贷涉诉金额36000元问题类型诉求类型投诉详情多次沟通一直推诿，使用手机APP及电脑均不能提前还款，使用多种方式阻止提前还款，且所谓的手续费过高，等同于砍头息。</t>
  </si>
  <si>
    <t>2019/10/10 16:06:46</t>
  </si>
  <si>
    <t>投诉人杨先生投诉对象万达普惠涉诉金额300元问题类型诉求类型投诉详情万达普惠催收简直太嚣张，打电话骚扰家人，而且我的家人已经给他说明原因。</t>
  </si>
  <si>
    <t>2019/10/10 16:06:45</t>
  </si>
  <si>
    <t>投诉人胡先生投诉对象360借条涉诉金额8700元问题类型诉求类型投诉详情360借条，未经本人允许，暴力催收，打电话威胁我亲戚朋友。</t>
  </si>
  <si>
    <t>2019/10/10 16:05:55</t>
  </si>
  <si>
    <t>投诉人王女士投诉对象招商银行，上海明云融资租赁涉诉金额362元问题类型诉求类型投诉详情本人的招商银行借记卡，于今日下午14点39分，被无故划扣一笔款项，显示上海明云融资租赁，但本人并未跟这个公司有任何资金往来，请银行这边给予合理说法，这样用卡安全太没有保护了，要求退还全部资金。</t>
  </si>
  <si>
    <t>2019/10/10 16:05:35</t>
  </si>
  <si>
    <t>投诉人周先生投诉对象小赢卡贷涉诉金额37956元问题类型诉求类型投诉详情本人在小赢卡贷贷款53791元，分12期去还，第6期因资金周转问题出现逾期2天，第一天来电催收我说不是我恶意拖欠，能不能缓几天，我想想办法尽快把钱还上，但对方的态度非常的恶略，根本不给商量的机会，换各种网络虚拟号码不停的引导我去借钱，还不停的骚扰我的家人，严重影响我正常的工作及生活。</t>
  </si>
  <si>
    <t>2019/10/10 16:05:23</t>
  </si>
  <si>
    <t>小富商城涉诉金额500元问题类型诉求类型投诉详情特约小富商城无缘无故扣我500块。</t>
  </si>
  <si>
    <t>2019/10/10 16:05:19</t>
  </si>
  <si>
    <t>因本人遇到实际的困难，跟中信多次沟通且有事实经济困难的证明，反复强调要与总行沟通，催收还是一次次的打电话骚扰，强烈要求与总行沟通。</t>
  </si>
  <si>
    <t>2019/10/10 16:05:02</t>
  </si>
  <si>
    <t>投诉人梁女士投诉对象51人品涉诉金额1500元问题类型诉求类型投诉详情骚扰通讯，影响家人正常通讯生活疯狂骚扰发信息打电话骚扰通讯录。</t>
  </si>
  <si>
    <t>2019/10/10 16:03:48</t>
  </si>
  <si>
    <t>投诉人范先生投诉对象信用管家,神马借,畅捷支付涉诉金额3577元问题类型诉求类型投诉详情本人于8月25日在信用管家申请一笔3000元贷款，由神马借通过畅捷支付发放，实际到账2625，7天每期共分4期还款，每期还款896元，共计还款3584，实为砍头贷，年化利率达到百分之四百多，远超过国家规定的百分之三十六的红线，本人已经按期还款前俩期，由于信用管家被有关部门调查，导致第三期无法自动扣款和主动扣款，本人主动联系客服，客服电话无法接通，导致逾期，逾期费用20天就翻一翻，现有神马借客服主动联系我要求我通过支付宝支</t>
  </si>
  <si>
    <t>2019/10/10 16:03:46</t>
  </si>
  <si>
    <t>投诉人马吉庆投诉对象百度地图涉诉金额16元问题类型诉求类型投诉详情不给我开具发票，联系人工客服找不到。</t>
  </si>
  <si>
    <t>2019/10/10 16:03:28</t>
  </si>
  <si>
    <t>投诉人刘女士投诉对象微信支付涉诉金额2191元问题类型诉求类型投诉详情申请的微信小微收款码一共收了四天钱，加起来也没收多少钱，提现权限就被关闭，所有收款都合情合理请求开通提现通道。</t>
  </si>
  <si>
    <t>2019/10/10 16:03:20</t>
  </si>
  <si>
    <t>投诉人梁先生投诉对象山高房金涉诉金额90元问题类型诉求类型投诉详情山高房金这个平台忽悠人，说了邀请30人300块钱，然后客服说具体以页面显示为准，我页面显示的是90块钱，然后红包就发了我12块钱。</t>
  </si>
  <si>
    <t>2019/10/10 16:03:16</t>
  </si>
  <si>
    <t>投诉人庞先生投诉对象拍拍贷涉诉金额4400元问题类型诉求类型投诉详情本人于2019年10月10日在“上海拍拍贷”app上的“还信用卡”功能上还信用卡，上午10点47分操作的，当时绑定的储蓄卡扣款成功但是信用卡未到账，随即登陆拍拍贷app查询，还款记录提示“退款中”，打客服电话说很快就可以退款，直到下午15点50还没有退回来，打电话又敷衍说给反馈，但是我的信用卡今天已经是最后还款日，因前期有大额消费，手头资金非常紧张，没有闲余资金还信用卡，我也是拍拍贷用户，之前也有过逾期半天的情况立即加收所谓的催收费之类的各</t>
  </si>
  <si>
    <t>2019/10/10 16:03:12</t>
  </si>
  <si>
    <t>投诉人李先生投诉对象通联支付涉诉金额296元问题类型诉求类型投诉详情通联支付在我不知情的情况下。</t>
  </si>
  <si>
    <t>2019/10/10 16:03:05</t>
  </si>
  <si>
    <t>事后拼多多在未经过本人的同意下，擅自更改优惠券使用规则并且拒绝发货，已经违反了《中华人民共和国合同法》第三条[平等原则]，第五条[公平原则]当事人应当遵循公平原则确定各方的权利和义务，第六条[诚实信用原则]当事人行使权利、履行义务应当遵德诚实信用原则，[依合同履行义务原则]依法成立的合同，对当事人具有法律约束力，消费者在购买商品或者接受服务时，有权获得质星保障、价格合理、计量正确等公平交易条件，有权拒绝经营者的强制交易行为，第五十五条经营者提供商品或者服务有欺诈行为的，应当按照消费者的要求增加赔偿其受到的损</t>
  </si>
  <si>
    <t>2019/10/10 16:02:42</t>
  </si>
  <si>
    <t>投诉人王女士投诉对象百弗,百弗全球英语涉诉金额8560元问题类型诉求类型投诉详情2019年9月19日在西安小寨百弗报了大学英语六级一对一的课，报班时承诺因为是一对一的课程，老师上课时间由学生来定，但在2019年9月21日要求上课时，该机构以老师调休为理由未给安排上任何的课，但该机构的Sunny以及财务以15天安全期已经过了为由，不给予任何退款，至今未上过任何一节六级课，并且在签订合同时Sunny也从未提到过15天安全期并且在多次向Sunny要合同Sunny均未给，至今一节六级课也没上过，要求退款，确不给退。</t>
  </si>
  <si>
    <t>2019/10/10 16:02:33</t>
  </si>
  <si>
    <t>投诉人薛先生投诉对象现金巴士涉诉金额1000元问题类型诉求类型投诉详情本人是现金巴士老用户以前都是按时归还借款时借1000元到账820元有180元砍头息这次因为出了点事而导致逾期期间接到过两次来自广州的催收电话第一次协商未果今天再次接到威胁我要让我生活不得安宁要爆我通讯录我跟她说明情况想协商对方不予理睬让我后果自负！现在国家扫黑除恶这么厉害真的还有这么嚣张的公司在吗，再出什么因为暴力催收引起的社会事件现金巴士敢承担这个责任吗！。</t>
  </si>
  <si>
    <t>2019/10/10 16:02:31</t>
  </si>
  <si>
    <t>投诉人刘先生投诉对象微信涉诉金额9663元问题类型诉求类型投诉详情我的小微商户在8月份被腾讯公司冻结里面的资金也冻结了取不出来，腾讯没有给我任何提示就把我账号和资金冻结了，现在已经快两个月了一点消息没有，打客服电话就说我的账户涉嫌违规操作，要我申诉，我申诉了但是维持原判，腾讯到底要控制我的资金多久，难道就这样无限期的冻结着吗，这些都是血汗钱，我希望腾讯能给我个解释到底我哪里违规操作，钱啥时候能出来。</t>
  </si>
  <si>
    <t>2019/10/10 16:02:19</t>
  </si>
  <si>
    <t>投诉人李先生投诉对象交易猫涉诉金额216元问题类型诉求类型投诉详情10月8号下午买了号，至今为止没有验号，客服一个字没回复过我搞的我以为自己上了假网站，今天要求退货，人工告诉我说连退货也要等着，翻来覆去就是您等通知。</t>
  </si>
  <si>
    <t>2019/10/10 16:02:00</t>
  </si>
  <si>
    <t>投诉人石女士投诉对象拍拍贷涉诉金额15000元问题类型诉求类型投诉详情逾期一天就是25块多的罚息，每天都几十个催收电话，还爆我通讯录，给我父母打电话威胁，还发信息威胁，我通讯录都打了个遍，还各种辱骂，然后app上完全看不到我的还款额度，都不知道自己还了多少，明明额度才15000却说我欠17000，app上面还款里面显示是优选贷，我不明白拍拍贷跟优选贷是同一款吗。</t>
  </si>
  <si>
    <t>2019/10/10 16:01:56</t>
  </si>
  <si>
    <t>投诉人李先生投诉对象交易猫涉诉金额950元问题类型诉求类型投诉详情买家恶意仲裁已经换绑了成功还不取消客服不作为。</t>
  </si>
  <si>
    <t>2019/10/10 16:01:49</t>
  </si>
  <si>
    <t>投诉人朱先生投诉对象Wecash闪银涉诉金额600元问题类型诉求类型投诉详情本人闪银逾期，今天下午催收接了，我说晚上还，催收说必须5点前，不然爆通讯录，我说晚上才有钱，催收很牛的说那我现在开始催收，言下之意就是爆通讯录，请问这是否贵公司的一贯手段。</t>
  </si>
  <si>
    <t>2019/10/10 16:01:47</t>
  </si>
  <si>
    <t>投诉人陈先生投诉对象中国人民保险集团涉诉金额2356元问题类型诉求类型投诉详情中国人民财产保险股份有限公司违规违法捆绑销售保险，本人从未在该公司买过保险，却被查到名下有该公司五单保险，本人并不知晓这几份保险是从什么时候开始买的，本人在贷款时并未被告知有捆绑保险这一项业务，也没有看见保险合同，而且本人并不知情也没有签字，一直到目前为止也没收到过该保险公司以任何形式告知本人，买过这五份保险以及保险内容，必定收集证据向保监会投诉其违规行为以及向职能部门举报其违法行为。</t>
  </si>
  <si>
    <t>2019/10/10 16:01:46</t>
  </si>
  <si>
    <t>微信商户码不能提现，而且不告诉具体解冻时间。</t>
  </si>
  <si>
    <t>投诉人吴女士投诉对象投诉融360平台涉诉金额8000元问题类型诉求类型投诉详情我于2019年6月13日通过融360平台向时光分期-一刻分期借款8000元，贷完经计算才发现利息、咨询服务费等综合年化利率高达35%以上，远高于国家规定的最高利率红线24%，请聚投诉协调相关单位调查并督促平台整改，降低贷款利率，维护金融秩序，维护借款人的合法权益，另外，现申请按照低于国家规定最高利率24%来算，请监管单位协助沟通调解。</t>
  </si>
  <si>
    <t>2019/10/10 16:01:24</t>
  </si>
  <si>
    <t>投诉人雷女士投诉对象中腾信涉诉金额24000元问题类型诉求类型投诉详情聚投诉官方你好，我于2018年通过卡卡贷合作平台中腾信借款24000，分18期还款，每期账单是2054，截止到2019年10月份，我已经总共还了12期了，还款总金额是2054*12=24648，我深知平台借款给用户是应该收取利息的，但是截图如下，平台上显示结清金额是11967.07，故和平台协商只要求我还7000元整，而且只给我的还款有效时间是3天，诚意何在，我咨询过律师，为了双方可以私下协商，让我归还2分的利息5760，希望中腾信公司双</t>
  </si>
  <si>
    <t>2019/10/10 16:01:23</t>
  </si>
  <si>
    <t>投诉人明少芳投诉对象借钱包涉诉金额1750元问题类型诉求类型投诉详情2019年9月1号，我在UC浏览器弹出链接http://h5.haogho.cn/51?t=WxH96NDF下载注册了借钱包网贷app，借款金额5000，借期6天，到期还款5030，可是最后只到账3250，可是要还5030，而且软件线上还不了，要求线下还，这是砍头息，请求聚投诉协商借钱包，去掉砍头息1750按正常利息24个点还款，共计还款3310元，处罚借钱包砍头息。</t>
  </si>
  <si>
    <t>2019/10/10 16:00:21</t>
  </si>
  <si>
    <t>投诉人李先生投诉对象现金巴士涉诉金额3000元问题类型诉求类型投诉详情借3000砍头息300，逾期一个多月涨到3600，协商还本金跟法定利息不同意，希望处理。</t>
  </si>
  <si>
    <t>2019/10/10 16:00:17</t>
  </si>
  <si>
    <t>投诉人李先生投诉对象小伍钱包涉诉金额1700元问题类型诉求类型投诉详情本人在小伍钱包借款1700元第三期还款由于资金问题没有及时还款第二天先后有俩名催收人员联系我上来就说你怎么还不还紧接着挂断就去联系我父母第二个女催收人员语速快到不行直接不给我说话机会我就是想说我今天下午处理有这么难。</t>
  </si>
  <si>
    <t>2019/10/10 16:00:07</t>
  </si>
  <si>
    <t>有个肖什么文的人在你我贷有一笔逾期贷款，联系人写的是我的号码跟名字，可我根本不认识这个人是谁，我是做图文的，名片发的很多，你我贷客服混淆事实，无论如何解释根本不听。</t>
  </si>
  <si>
    <t>2019/10/10 15:59:59</t>
  </si>
  <si>
    <t>因为身体原因之前一直跟催收人员也说了，周五联系先还部分，但不知道为什么还老是给我打电话，还群发短信，而且我来贷本来利息就超过36%，年利率都要达到60了。</t>
  </si>
  <si>
    <t>2019/10/10 15:59:55</t>
  </si>
  <si>
    <t>投诉人宋先生投诉对象国通石油储油卡涉诉金额1878元问题类型诉求类型投诉详情2018年12月份通过JD商城购买国通石油储值卡6480元，每月要求只能兑换600元的油费，截止到2019年9月份剩余1878元无法兑换，始终提示“系统错误：PC021_01”，拨打国通石油客服联系不上，JD客服反馈国通石油系统升级无期限，请求商家出面处理，谢谢；。</t>
  </si>
  <si>
    <t>2019/10/10 15:59:51</t>
  </si>
  <si>
    <t>投诉人 王先生        投诉对象  时光分期        涉诉金额  3 000 元    问题类型    诉求类型投诉详情  打电话恐吓 辱骂 说要来泼油漆 没有客服电话</t>
  </si>
  <si>
    <t>2019/10/10 15:59:19</t>
  </si>
  <si>
    <t>在京东自营买的电线不发货，商家打电话说不发货，让取消订单，一直觉着京东发货挺快的，现在一直拖着不发货，影响使用。</t>
  </si>
  <si>
    <t>2019/10/10 15:59:16</t>
  </si>
  <si>
    <t>但是软件的界面并没有明确标出评估费用，没经过本人同意恶意扣款，此行为已经涉嫌盗窃，强烈要求该平台立刻退还被扣的钱款299元。</t>
  </si>
  <si>
    <t>2019/10/10 15:59:11</t>
  </si>
  <si>
    <t>投诉人张先生投诉对象交易猫涉诉金额13000元问题类型诉求类型投诉详情交易猫迟迟不给答复，说好七天内给个答复，今天第七天一点结果都没有。</t>
  </si>
  <si>
    <t>2019/10/10 15:59:02</t>
  </si>
  <si>
    <t>我上次就找你们说了我要还款但是利息罚金太多我无力承受，我要是不还我会主动找你们。</t>
  </si>
  <si>
    <t>2019/10/10 15:58:38</t>
  </si>
  <si>
    <t>投诉人王先生投诉对象360借条涉诉金额10000元问题类型诉求类型投诉详情360委托第三方外包公司，打包通讯录，骚扰恐吓亲戚朋友，暴力催收，影响我的生活，发短信侮辱我。</t>
  </si>
  <si>
    <t>2019/10/10 15:58:27</t>
  </si>
  <si>
    <t>平安普惠i贷，利息高的吓人，还了那么久还没还清，又附加保险费用，不知保险费用是有什么作用，要求平安普惠公司把多还的利息退回。</t>
  </si>
  <si>
    <t>2019/10/10 15:58:16</t>
  </si>
  <si>
    <t>马上消费金融，爆通讯录好友，威胁恐吓好友！投诉多次未得到改善！国家规定只有联系不上当事人才能联系紧急联系人，而他们缺一天五六个电话骚扰亲人朋友！这种违法行为什么时候才能得到改善！希望尽快解决问题！给出合理解释。</t>
  </si>
  <si>
    <t>2019/10/10 15:58:08</t>
  </si>
  <si>
    <t>请问我两点多玩了一局游戏，因为有电话所以挂机扣分了，但是三点多我游戏在线嘛。</t>
  </si>
  <si>
    <t>2019/10/10 15:58:03</t>
  </si>
  <si>
    <t>投诉人李先生投诉对象呗呗分期涉诉金额1800元问题类型诉求类型投诉详情714高炮，暴力催收，恐吓，严重影响家庭和工作。</t>
  </si>
  <si>
    <t>2019/10/10 15:57:42</t>
  </si>
  <si>
    <t>本人于2019年7月18日加入斗鱼直播平台渝万竞技工会，到目前直播状况越来越差，并放弃直播，但渝万竞技工会不同意退会，请求解决，退出斗鱼直播平台渝万竞技工会。</t>
  </si>
  <si>
    <t>2019/10/10 15:57:39</t>
  </si>
  <si>
    <t>天天打电话骚扰，一天打好多，跟他说明白了还是打电话骚扰。</t>
  </si>
  <si>
    <t>2019/10/10 15:57:38</t>
  </si>
  <si>
    <t>投诉人陈钒投诉对象卡卡贷涉诉金额5100元问题类型诉求类型投诉详情卡卡贷逾期前，主动跟客服和催收联系过，并取得谅解，但是还继续打爆通讯录，，我的很少通话的朋友，一个上午就接到10多个催收电话啊！诉求：请停止恶意催收且骚扰同事朋友。</t>
  </si>
  <si>
    <t>2019/10/10 15:57:34</t>
  </si>
  <si>
    <t>本人2017年在平安普惠借款一万二，为什么越还越多，现在居然要还一万五千多，现在还了都超出本金差不多都快一万多了。</t>
  </si>
  <si>
    <t>2019/10/10 15:57:11</t>
  </si>
  <si>
    <t>9月10号从信用管家平台中的有盈好贷借款三千元，实际到帐二千二百五拾元，砍头息七百五十元，由易宝支付提供支付通道，现希望由平台与对方协商还款。</t>
  </si>
  <si>
    <t>使用中邮消费金融两年多，是个正规良心的借贷平台，缓解了我的经济状况，在此非常感谢，不给任何余地说不可能，这是一个普通工作人员的特权吗，良好履约了两年多，上月28日还款日由于资金状况不良，实在无能力偿还当期欠款7200元，所以出现逾期，截止今日偿还了一小部分，剩余6500，个人深知逾期的影响，也在积极协商，希望把总共剩余未还金额重新规划还款计划，多次致电无果，昨天来电的男催收工作人员一开始客气，后来乃至今天恶意诱导，说我恶意拖欠，无视我的请求，说没办法协商，如果不还直接交给法务部走流程就是了，屡屡恶意诱导本人</t>
  </si>
  <si>
    <t>2019/10/10 15:56:54</t>
  </si>
  <si>
    <t>投诉人 李女士        投诉对象  微粒贷        涉诉金额  1 200 元    问题类型    诉求类型投诉详情  我这个月逾期几天。但是每个月都改还。工作人员连续俩天发微信加我。恐吓我联系当地派出所。还群发家人亲戚。打电话。我没有添加。只是删除。</t>
  </si>
  <si>
    <t>2019/10/10 15:56:52</t>
  </si>
  <si>
    <t>投诉人张女士投诉对象英孚教育涉诉金额17999元问题类型诉求类型投诉详情英孚教育课程霸王条款，利用网上贷款哄骗学员报名，不予退课退款，1、依照《消费者权益保护法》和《合同法》相关规定，英孚英语培训不准学员中途退学的条款，属于单方免责的格式条款，也就是所谓的霸王性条款，加重了消费者的负担，排除了消费者的权益，免除自身责任，应属于无效条款，英孚应制定退费办法和标准，向社会公告后执行，并在招生收费时履行告知义务，学员中途退学的应按照课时比例退费，学员因为自身原因导致无法或不愿履行合同的，可以要求解除合同，退还相应</t>
  </si>
  <si>
    <t>2019/10/10 15:56:48</t>
  </si>
  <si>
    <t>9月25日，因为小孩生病，在99下款王上面下载了金鸡下蛋，通过前两次下款失败，本来不想去借，后面客服说可以申请，就申请下来，到账1400，五天后要还2000，上午没到就开始打电话骚扰，不给协商，目前已经还了6期，每期300，已经还了1800，麻烦聚投诉平台帮我联系，不要再次还款了，实在是无能为力。</t>
  </si>
  <si>
    <t>2019/10/10 15:56:35</t>
  </si>
  <si>
    <t>投诉人马先生投诉对象捷信金融,捷信信驰咨询服务公司涉诉金额34000元问题类型诉求类型投诉详情2019年，7月因为要买车，经过朋友介绍认识一个捷信消费贷工作人员，说我可以办理34000元现金贷业务，利息很低一年就2000多块，因为当时相信朋友也就没看合同，然后还了10期才发现分期数51期，一期1758多，10期累积还了17000多，我打捷信客服电话沟通全部还清，她们说全部还要在还3万多，我才意识到被骗了，咨询律师和相关机构，说可以走司法程序，但是捷信一直不和我走司法程序一直拖着，3天两头派人，骚扰我，然后过</t>
  </si>
  <si>
    <t>2019/10/10 15:56:06</t>
  </si>
  <si>
    <t>投诉人连能平百事普惠投诉对象百事普惠涉诉金额250元问题类型诉求类型投诉详情通过app对借款人，要求299征信费，第一次提供的里面没有钱可以免费做出来，但是这个东西没有用我从来没有用过，那天卡里面有250直接秒扣掉！借款平台后续扣，属于欺骗乱扣费！。</t>
  </si>
  <si>
    <t>2019/10/10 15:55:52</t>
  </si>
  <si>
    <t>投诉人姜先生投诉对象达飞云贷涉诉金额20000元问题类型诉求类型投诉详情达飞云贷催收态度恶劣极其嚣张，刚刚打电话给我我说我不是本人，要求还钱，大口骂人侮辱本人及其身边家人，明确表示不要在打电话不是侧门，还继续打电话骚扰，！威逼利诱还说要上门，让我去死！挂了电话让给他转红包，说不催了，想要消停日子就给他转好处费！垃圾高利贷！砍头息，让客服联系我给你们发送截图看看这个催收的恶劣嘴脸！你会说话做人吗，要求停止催收，道歉，改善服务！如果这件事情不得到解决本人将继续投诉银监会以及黑猫投诉，新浪微博等媒体曝光！回电尾号</t>
  </si>
  <si>
    <t>2019/10/10 15:55:50</t>
  </si>
  <si>
    <t>投诉人 张女士        投诉对象  钱站        涉诉金额  1 900 元    问题类型    诉求类型投诉详情  这钱站智障，乱打通讯录电话，乱催收，恐吓</t>
  </si>
  <si>
    <t>2019/10/10 15:55:20</t>
  </si>
  <si>
    <t>投诉人田军投诉对象平安人寿保险涉诉金额0元问题类型诉求类型投诉详情打平安寿险电话，工作人员态度嚣张，侮辱人格。</t>
  </si>
  <si>
    <t>2019/10/10 15:55:07</t>
  </si>
  <si>
    <t>投诉人徐女士投诉对象微信支付涉诉金额200元问题类型诉求类型投诉详情5月12号，给我妈妈发了个红包，钱扣了，但最近发现她微信账单为今年无记录余额为零要求核实原因。</t>
  </si>
  <si>
    <t>2019/10/10 15:54:59</t>
  </si>
  <si>
    <t>本人老婆因个人原因未还中国银行信用卡欠款，中国银行催收人员打电话骚然我，未果后打电话到本人单位办公室污蔑我，现强烈要求中国银行给予解决并道歉消除影响，该欠款未用于家庭支出，也未用于生产经营，作为与这笔钱无关人员。</t>
  </si>
  <si>
    <t>2019/10/10 15:54:57</t>
  </si>
  <si>
    <t>逾期2万，由于前几个月出车祸无力偿还信用卡，催收人员每天打电话骚扰我爸妈，还要去我岳父岳母家走访，还打村委电话，搞得我现在都不敢出门。</t>
  </si>
  <si>
    <t>本人在贷上钱借钱通过以后借款的利息是2500块钱一个月利息750元，而且，在高利息的情况下逾期第一天就打通讯录电话进行骚扰，一定要严厉处罚，一共2项借款，共4500元本金，利息是1125。</t>
  </si>
  <si>
    <t>2019/10/10 15:54:22</t>
  </si>
  <si>
    <t>投诉人 陈女士        投诉对象  花财        涉诉金额  5 000 元    问题类型    诉求类型投诉详情  骂人。爆通讯录，吓唬。骂的可难听了。关键今天还款，我上午没有还就给我爆通讯录。打电话骂人</t>
  </si>
  <si>
    <t>2019/10/10 15:54:17</t>
  </si>
  <si>
    <t>信而富变相收取砍头息，2000要买四五百的东西，实际购买后从未发货！月息早已超出国家规定，在第一次投诉后要求撤诉后处理，但实际14个工作日过去并未处理！我有当时客服回答我的录音！高额砍头息还是上市公司。</t>
  </si>
  <si>
    <t>2019/10/10 15:54:00</t>
  </si>
  <si>
    <t>投诉人范女士投诉对象广发银行涉诉金额17971元问题类型诉求类型投诉详情本人持有广发信用卡多年，一直按时还款，直到今年7月份，实在没钱无力偿还，所以逾期了！本人联系过广发信用卡中心希望协商分期还款，信用卡中心人不予处理，催收第三方要求我必须全额还，还胁威我年迈的父母，我一直表示还款意愿，可信用卡客服不处理，第三方催收人员咄咄逼人，强烈希望信用卡中心人员处理协商分期还款！。</t>
  </si>
  <si>
    <t>2019/10/10 15:53:40</t>
  </si>
  <si>
    <t>投诉人刘先生投诉对象淘宝闲鱼涉诉金额55元问题类型诉求类型投诉详情现在急钱交手术费打开支付宝才知道限制支付功能。</t>
  </si>
  <si>
    <t>2019/10/10 15:53:11</t>
  </si>
  <si>
    <t>招联金融催收部门，通过网络电话，手机号码改号等，打电话去我公司多次进行骚扰。</t>
  </si>
  <si>
    <t>2019/10/10 15:53:04</t>
  </si>
  <si>
    <t>投诉人张先生投诉对象王者钱包涉诉金额2000元问题类型诉求类型投诉详情借款2000到账1210元，还款2000，催收直接威胁下午四点前不还，直接爆通讯录，并且直接说出联系人名单威胁，且未到app约定偿还时间，现要求偿还本金消账。</t>
  </si>
  <si>
    <t>2019/10/10 15:52:40</t>
  </si>
  <si>
    <t>投诉人熊先生投诉对象给你花涉诉金额10000元问题类型诉求类型投诉详情亲朋好友都爆打通讯录，说了有什么直接联系本人，不能联系亲朋好友，给你花这样做是不人道。</t>
  </si>
  <si>
    <t>2019/10/10 15:52:33</t>
  </si>
  <si>
    <t>我在安逸花的分期还款逾期一天，因客观原因需要延期几天还款，不同的号码不同的催收人员不断打电话给我进行无效沟通，在我表达还款意愿后，直接挂断了电话，然后再换其他人进行催收，无法进行有效沟通，请停止无休止的电话催收或骚扰家人朋友，有效沟通协商还款事宜！。</t>
  </si>
  <si>
    <t>2019/10/10 15:52:26</t>
  </si>
  <si>
    <t>投诉人黄浩投诉对象宏萨信息科技涉诉金额296元问题类型诉求类型投诉详情卡里无缘无故被盗扣296元，没有任何解释注明的扣费！。</t>
  </si>
  <si>
    <t>2019/10/10 15:52:24</t>
  </si>
  <si>
    <t>投诉人周先生投诉对象招联金融涉诉金额4920元问题类型诉求类型投诉详情招联金融天天威胁我和我的家人，爆我家里人的个人隐私信息，招联金融盗取我个人信息，及我家人的个人信息。</t>
  </si>
  <si>
    <t>2019/10/10 15:52:14</t>
  </si>
  <si>
    <t>四川新网银行股份有限公司不知道哪个平台的乱扣我银行卡的钱，现要求退款。</t>
  </si>
  <si>
    <t>2019/10/10 15:52:05</t>
  </si>
  <si>
    <t>分期金融银煜您好，因您拖欠你我贷平台的款项，且通知24小时内没有达成有效协商，案件已上报司法系统正式通过审核，报案文书和相关函件已经发送，将于11号上征信系统，如有疑问，请联系186******18，退订回T。</t>
  </si>
  <si>
    <t>2019/10/10 15:51:56</t>
  </si>
  <si>
    <t>逾期两天跟客服沟通申请延期还款，口头答应给我时间，可是每隔半小时就打电话催，还一直打电话，这样的情况导致我精神崩溃无力还款，说了我会还我就一定会还，到时候我不还可以起诉我。</t>
  </si>
  <si>
    <t>2019/10/10 15:51:40</t>
  </si>
  <si>
    <t>长城宽带即将到期，之前使用宽带网速很不稳定，所有不想在用了！七月9号联系长城宽带，七月十号长城宽带工作人员来把大麦盒子拿走，但是承诺说是两个月会退费，中间联系过长城客服，盒子工作人员确实交到公司了，说是三个月内退，现在已经三个月了，打客服电话客服只说是记录，让负责退费的工作人员和我联系，然后等几天都等不到电话，在打电话还是一样的答复！给不了准确时间！就这样一直无限期拖延，糊弄消费者！。</t>
  </si>
  <si>
    <t>2019/10/10 15:51:37</t>
  </si>
  <si>
    <t>前两天还未到还款日就开始疯狂打电话催收，一天好几个，今天是还款日，从早到晚，打了无数次电话让我马上还，拜托，我还没有逾期，你影响了我的正常生活啊，我还要不要上班啊，我要是今天逾期，你这样催收我无所谓啊，还没逾期啊大哥！！！！你影响到我的生活了！！！！请你停止未逾期就开始疯狂影响我生活的打电话！！！不管是今天还是以后，而且，逾期一天就是一百的逾期费，你们是吸血鬼吗。</t>
  </si>
  <si>
    <t>2019/10/10 15:51:04</t>
  </si>
  <si>
    <t>投诉人 鄢志明先生        投诉对象  兴业银行        涉诉金额  12 000 元    问题类型    诉求类型投诉详情  没有经过本人同意就报通讯录 给我的工作和生活造成严重影响 有点轻微的抑郁症</t>
  </si>
  <si>
    <t>2019/10/10 15:51:01</t>
  </si>
  <si>
    <t>投诉人彭路投诉对象微品分期,连连支付涉诉金额3000元问题类型诉求类型投诉详情微品分期借款3000元一个月到期还款3800元逾期一天打电话侮辱本人并扬言打爆本人通讯录亲友电话催收电话02160634619。</t>
  </si>
  <si>
    <t>2019/10/10 15:50:54</t>
  </si>
  <si>
    <t>还款前说明了还款后立刻解冻不套路，可是还款之后不给使用了，诱导客户。</t>
  </si>
  <si>
    <t>2019/10/10 15:50:10</t>
  </si>
  <si>
    <t>用了一天半的小微商户就给冻结了，手续费都扣了，不给提现，申诉维持原判，客服联系不到，希望聚投诉帮忙处理一下，谢谢。</t>
  </si>
  <si>
    <t>2019/10/10 15:49:52</t>
  </si>
  <si>
    <t>https://www.vvic.com,搜款网，搜款网平台产品承诺一件代发退现承诺，由于客户不喜欢导致发生退货，搜款网开始找虚假理由搪塞说商品没有吊牌影响二次销售，不予退款，后经核实商品吊牌均在，并不影响二次销售违背退货原则的情况下搜款网还是拒绝退款。</t>
  </si>
  <si>
    <t>2019/10/10 15:48:59</t>
  </si>
  <si>
    <t>来钱快,淘豆分期,杭州广剑网络科技有限公司，“”来钱快”是个借款推荐平台，平台内“淘豆分期”在没有任何提示的情况下，从绑定银行卡扣款199元会员费，并且沟通不推荐。</t>
  </si>
  <si>
    <t>2019/10/10 15:48:47</t>
  </si>
  <si>
    <t>投诉人楼先生投诉对象及贷,ppmoney涉诉金额38000元问题类型诉求类型投诉详情ppmoney骚扰我家人总归借30000只到账28000分期两年要还款48000多，你说这什么利息还骚扰我家里人必须给个处理结果。</t>
  </si>
  <si>
    <t>2019/10/10 15:48:35</t>
  </si>
  <si>
    <t>网络赌博，这个平台是赌博平台还得我输了4万多。</t>
  </si>
  <si>
    <t>2019/10/10 15:48:20</t>
  </si>
  <si>
    <t>发送威胁短信，骚扰我和我的家人，并且打电话都带侮辱性词语，还是要杀人。</t>
  </si>
  <si>
    <t>2019/10/10 15:47:56</t>
  </si>
  <si>
    <t>分期乐窃取客户手机通讯录信息，非法转卖给第三方，委托外包公司涉黑人员威胁无关联系人，威逼联系人承认是客户父母，并称要联系人承担法律责任，要求停止骚扰，道歉，不然将以侵害公民信息诉诸法律，给我父母家人赔偿精神损失费。</t>
  </si>
  <si>
    <t>我于2019年2月10日向洋钱罐平台借贷20000元分12期还款，贷完经计算才发现利息、咨询服务费等综合年化利率高达35%以上，远高于国家规定的最高利率红线24%，请聚投诉协调相关单位调查并督促平台整改，降低贷款利率，维护金融秩序，维护借款人的合法权益，另外，现申请按照低于国家规定最高利率24%来算，请监管单位协助沟通调解。</t>
  </si>
  <si>
    <t>2019/10/10 15:47:34</t>
  </si>
  <si>
    <t>本人于2019年10月8日下载app任性分期，注册过程绑定银行卡恶意扣款198元，联系客服，要求申请多家贷款，都拒绝后可以退款，全部申请后，提交退款资料，退款申请被拒绝，再次拨打人工客服，无人接听，再次提交审核失败截图，app显示不通过，个人认为，此平台存在恶意扣款现象，同时平台不提供借款服务，只提供其他平台，在本人不知情的前提下，发生扣款，有欺诈行为。</t>
  </si>
  <si>
    <t>集体投诉发起人0次专题累计访问量0件有效投诉量0件有效解决量0%有效解决率投诉对象评分问题类型诉求类型投诉详情本人于2019年10月8日下载app任性分期，注册过程绑定银行卡恶意扣款198元，联系客服，要求申请多家贷款，都拒绝后可以退款，全部申请后，提交退款资料，退款申请被拒绝，再次拨打人工客服，无人接听，再次提交审核失败截图，app显示不通过，个人认为，此平台存在恶意扣款现象，同时平台不提供借款服务，只提供其他平台，在本人不知情的前提下，发生扣款，有欺诈行为。</t>
  </si>
  <si>
    <t>2019/10/10 15:47:13</t>
  </si>
  <si>
    <t>我在你们平台借还有5.6次，逾期当时打电话跟催收客服解释过星期天财务不在，星期一打钱，星期天下午你们打电话给公司老板，讲的我一塌糊涂，让我被公司开除，也许你们会讲不过换工作罢了，可是社会上对刑释人员的工作是多麻烦，知道我当时为了可以进公司花了多少精力，物力，就是因为逾期你们2天，就是因为你们催收告诉老板你们是公捡法的人，导致我工作没了，我投诉的目的不是为了道歉啥，我只想问，凭什么，在就是告诉你们掌众金服的这带血的馒头吃多了会有报应的，记牢，我以前跟你们客服聊过，别扯淡别的东西，钱逾期费我可以给你们，但是工作</t>
  </si>
  <si>
    <t>2019/10/10 15:47:08</t>
  </si>
  <si>
    <t>我在云创意申请了一笔借款，申请2000元，实际到账1325元，款项我早都还完了，他们还继续找我要高额的利息，暴力催收，暴打通讯录，侮辱我，我投诉到广州合利宝支付公司，投入了一个月也没有结果，客服只是在敷衍，一个月了还说提交给后台，他们根本就不管，我现在实在无力偿还，催收人员天天骂我，我已经还完钱了。</t>
  </si>
  <si>
    <t>2019/10/10 15:46:35</t>
  </si>
  <si>
    <t>2019.09.13候补从淄博到菏泽的火车票，截止兑现时间为2019.09.23号6.00，我在截止兑现时间之前就退了单，一直到现在也没退款。</t>
  </si>
  <si>
    <t>2019/10/10 15:45:48</t>
  </si>
  <si>
    <t>投诉人韩先生投诉对象小浦优客涉诉金额296元问题类型诉求类型投诉详情2019年10月10日14点27分小浦优客通过通联支付在没经过本人授权扣除银行卡296元，联系客服说是什么信用报告的费用，我也没授权他们操作，客服一直强调说是我授权的还说都有写什么合同之类的，我根本没看到。</t>
  </si>
  <si>
    <t>2019/10/10 15:45:32</t>
  </si>
  <si>
    <t>以为每个月交一点钱来学习没钱交时候就终止学费分期，我也咨询过律师了没有签合同不受合同条款约束。</t>
  </si>
  <si>
    <t>京东第三方外包公司催收，轰炸似的给之前注册的手机号打电话176******75，因客服回复满意所以直接撤销了投诉，但是客服说让催收公司停止催收，协商按月分期还款。</t>
  </si>
  <si>
    <t>2019/10/10 15:45:12</t>
  </si>
  <si>
    <t>快贷还没到期，到期日当天一直打电话，还没逾期呢，如果逾期了说打电话，能理解，就算逾期了，也愿意承担一切后果，但是记住了拨打通讯录了，马上起诉你们。</t>
  </si>
  <si>
    <t>2019/10/10 15:44:50</t>
  </si>
  <si>
    <t>本人号码很难打进来，没接到态度恶劣，暴力催收，家人亲友遭到严重骚扰恐吓辱骂，还威胁亲友要联系他们公司，。</t>
  </si>
  <si>
    <t>2019/10/10 15:44:29</t>
  </si>
  <si>
    <t>我一个之前朋友在拍拍贷贷了一笔款，我与我这个朋友已经没有联系了，拍拍贷天天给我打电话一天打了好多遍，这已经构成严重的骚扰了，对我的生活带来了很多麻烦，我在单位接到拍拍的催收电话，我的同事和领导都认为我欠贷款不还，给我的个人声誉带来了很多负面影响，我希望拍拍贷不要再给我打电话，国家现在有明文规定一天超过三个电话催收就已经构成骚扰了，最主要的我还不欠你们钱。</t>
  </si>
  <si>
    <t>2019/10/10 15:44:18</t>
  </si>
  <si>
    <t>投诉人刘女士投诉对象上汽通用汽车金融涉诉金额4989元问题类型诉求类型投诉详情本人在2018年6月购买了一辆汽车在上汽通用金融公司贷的款，贷款时间为36个月，到至今还款16个月，每个月归还3203.3元如今想提前还款，结果要喊支付4989.28元的手续费，比实际给的剩下的20个月总费用还要多，如果3203.3×20等于64066他却要我还67398.07要求减免或取消手续费！简直不合情理打电话给客服，告诉我们都是这样。</t>
  </si>
  <si>
    <t>2019/10/10 15:43:20</t>
  </si>
  <si>
    <t>投诉人黄女士投诉对象浦发银行,浦发信用卡涉诉金额3000元问题类型诉求类型投诉详情因浦发暴力催收，恐吓导致被单位辞退，任由第三方催收为非作歹，每天电话不断，一直骚扰家人。</t>
  </si>
  <si>
    <t>2019/10/10 15:43:14</t>
  </si>
  <si>
    <t>小黑鲨高利贷利用其他费用骗去利息，本身借款是3500，分三期一期十天，第一期就要1988逾期一天利息就要29.16，要求小黑鲨协商本人还款以本金3500和国家要求利率来还，否则将起诉该平台按照法院执行来还款。</t>
  </si>
  <si>
    <t>2019/10/10 15:43:00</t>
  </si>
  <si>
    <t>本人于2019年9月12日在信用管家平台申请有盈好贷3000元贷款，时间为一个月，三期，到账扣除750元，实际到账2250元，每十天还一期，现已还清两期，每期偿还1029.1元，剩余第三期明日到期，申请修改利率，按国家规定偿还利息，否则将向扫黑除恶办及银监会举报。</t>
  </si>
  <si>
    <t>2019/10/10 15:42:44</t>
  </si>
  <si>
    <t>投诉人陈女士投诉对象拍拍贷涉诉金额4000元问题类型诉求类型投诉详情拍拍贷司法诉讼科加我微信让我还钱，我没说不还，只是现在实在没钱，我说只要有钱了就会一点点还进去，他说我这样涉嫌欺诈。</t>
  </si>
  <si>
    <t>2019/10/10 15:42:23</t>
  </si>
  <si>
    <t>投诉人施先生投诉对象714涉诉金额2000元问题类型诉求类型投诉详情高利贷，很高很高。</t>
  </si>
  <si>
    <t>2019/10/10 15:42:10</t>
  </si>
  <si>
    <t>投诉人程先生投诉对象360借条涉诉金额2000元问题类型诉求类型投诉详情一直用360借条从未逾期！还完却不能用！没有任何通知！存在欺骗消费者！。</t>
  </si>
  <si>
    <t>2019/10/10 15:41:19</t>
  </si>
  <si>
    <t>一天超过3个电话，并且都是我本人接听说明目前情况，客户工号306125人员态度恶劣。</t>
  </si>
  <si>
    <t>2019/10/10 15:41:11</t>
  </si>
  <si>
    <t>前夫的妈妈办了一张广发信用卡，填写了我电话和我家里人电话，跟前夫离婚一年了，我和我家里人都不断被所谓的广发信用卡催收部分骚扰，天天打电话来骚扰！请聚投诉给我解决这个问题！让广发催收部停止对我和我家里人的骚扰！。</t>
  </si>
  <si>
    <t>2019/10/10 15:41:05</t>
  </si>
  <si>
    <t>投诉人黄女士投诉对象柯基贷卡分期涉诉金额680元问题类型诉求类型投诉详情十月一给你打电话你告诉我十号发工资能还，挺大岁数我不想搞你，一会打了自己主动在松紧软件上还了，过了六点你看我怎么搞你就行了哦，反过来威胁我了是吗，没发，我上来就给你十天时间，我告诉你黄萌，过了五点我开始搞你，至于你想做什么，你随便这是柯基贷今天给我发的信息由电话号码150******31发送柯基贷我告诉你钱不还了！咱们公安局见。</t>
  </si>
  <si>
    <t>2019/10/10 15:41:00</t>
  </si>
  <si>
    <t>信用管家钱咖分期，高利贷，借3500，还4650，砍头息1150，客服商量减免态度强硬，要求返还利息。</t>
  </si>
  <si>
    <t>2019/10/10 15:40:45</t>
  </si>
  <si>
    <t>本人于8.26在信用管家申请一笔3000元贷款，由神马借通过畅捷支付发放，实际到账2625，7天每期共分4期还款，每期还款896元，共计还款3584，实为砍头贷，年化利率达到百分之四百多，远超过国家规定的百分之三十六的红线，本人已经按期还款前俩期，由于信用管家被有关部门调查，导致第三期无法自动扣款和主动扣款，本人主动联系客服，客服电话无法接通，导致逾期，逾期费用20天就翻一翻，现有神马借客服主动联系我要求我通过支付宝支付剩下的2期和高额逾期费并且否认客服电话无法接通和还款，都上新闻的事都能抵赖，逾期本来就他</t>
  </si>
  <si>
    <t>2019/10/10 15:40:21</t>
  </si>
  <si>
    <t>本人不知情，今天打电话咨询迅付客服已经确认是造艺科技扣的。</t>
  </si>
  <si>
    <t>2019/10/10 15:40:16</t>
  </si>
  <si>
    <t>平台乱扣费，平台上写着给推荐借款产品，如果借不到款可以退还费用，但是现在没借到款平台不给退费用，而且我选的是用券并不是银行卡扣款，系统自动从我绑定的银行卡把钱扣了，而且给客服打电话居然说没有查到我注册的手机号。</t>
  </si>
  <si>
    <t>2019/10/10 15:40:09</t>
  </si>
  <si>
    <t>投诉人邓先生投诉对象小花钱包涉诉金额20000元问题类型诉求类型投诉详情非法获取用户信息以及通讯录名单及通话记录，骚扰轰炸恐吓他人，以及高额的高利贷款，前期利息是以正常利息，但是后期莫名提高到每1000/500+的利息，实属超额。</t>
  </si>
  <si>
    <t>2019/10/10 15:39:46</t>
  </si>
  <si>
    <t>投诉人 毛先生        投诉对象  钱橙无忧        涉诉金额  597 元    问题类型    诉求类型投诉详情  借口不成，被恶意扣掉597元。。。。。。</t>
  </si>
  <si>
    <t>2019/10/10 15:39:37</t>
  </si>
  <si>
    <t>投诉人李女士投诉对象浦发银行涉诉金额0元问题类型诉求类型投诉详情信用卡有逾期，用个人手机号骚扰家人，请部门联系解决，否则我报警处理。</t>
  </si>
  <si>
    <t>2019/10/10 15:39:32</t>
  </si>
  <si>
    <t>2019年10月4号本人在玖富万卡申请11000元应急，由于2小时左右申请款迟迟不到，本人就打客服电话取消申请下款，客服人员说1到3个工作日才能取消，次日2019年10月5日玖富万卡在我取消申请的情况下强行将14330元打入我的卡中，本人申请款额11000元，由于对方阴阳合同多打款3330元说是额外保费，并且加入申请款11000元中按14330结算，经过电话客服协商对方给了个账号要我打款11000元进去后愿意撤销我在玖富万卡上的还款订单，先跟我说要手机银行转账，后来说不行要我去银行超级柜台跨行对公转账，本人</t>
  </si>
  <si>
    <t>2019/10/10 15:39:12</t>
  </si>
  <si>
    <t>在信而富借款的金额无实际到账金额不符，借款268元，并没有直接到达银行卡，而是直接砍的高利息，显示是24小时到账，合同上面也写着到达银行卡，可是并没有到达银行卡。</t>
  </si>
  <si>
    <t>2019/10/10 15:39:05</t>
  </si>
  <si>
    <t>投诉人沈女士投诉对象360借条涉诉金额6000元问题类型诉求类型投诉详情未经本人同意，爆通讯录，骚扰亲友，造成很大的困扰，。</t>
  </si>
  <si>
    <t>2019/10/10 15:38:32</t>
  </si>
  <si>
    <t>投诉人张先生投诉对象银泓信息科技有限公司涉诉金额10000元问题类型诉求类型投诉详情工商银行信用卡委托方，威胁我上门，暴力催收。</t>
  </si>
  <si>
    <t>2019/10/10 15:38:05</t>
  </si>
  <si>
    <t>用钱宝委托青岛海树资产管理公司威胁恐吓我，使我身心俱疲，暴力催收，。</t>
  </si>
  <si>
    <t>2019/10/10 15:37:48</t>
  </si>
  <si>
    <t>借款本金:5000元合同金额9600元，远远超过36%这已经达到92%。</t>
  </si>
  <si>
    <t>2019/10/10 15:37:44</t>
  </si>
  <si>
    <t>前海财险和my钱包勾结非法盈利，三个月的交通意外险高达600元，且没有经过本人签字授权的情况下私自给本人投保，私自划扣本人卡上的600元，给前海打了好几遍电话一直不处理，平台也拒不退保，希望有关部门核实，处理这样的违法平台和保险公司。</t>
  </si>
  <si>
    <t>2019/10/10 15:37:39</t>
  </si>
  <si>
    <t>投诉人肖先生投诉对象京东金融涉诉金额3100元问题类型诉求类型投诉详情我在京东白条逾期了30多天，然后他们说外包出去，第三方催收人员上门催收，我打电话协商，说先处理逾期部分，怎么都协商不下来，非要我全部还款，我现在真的没有办法全额还，我主动在解决这个问题，先还一部分，但是为什么非要逼我这么紧，上门影响会有多大，给我造成的影响。</t>
  </si>
  <si>
    <t>2019/10/10 15:37:18</t>
  </si>
  <si>
    <t>因为资金困难没凑齐钱，今天准备还了一条逾期费用多了一百多，不是恶意拖欠希望减免逾期费用，今天早上一直短信威胁，，希望聚投诉监督协商减免逾期费用，有还款意愿。</t>
  </si>
  <si>
    <t>2019/10/10 15:37:06</t>
  </si>
  <si>
    <t>飞贷APP，贷款2万，要还将近8千的利息，而合作银行的年利率是8%，远远超出合同利息，从中收取高额费用，我已经还了18900多，跟客服协商，在本金的基础上多还1-2千，不同意还受到威胁，请求相关部门给予关注，严惩这些吸血平台，解救水深火热中和我同样困惑的人。</t>
  </si>
  <si>
    <t>2019/10/10 15:36:36</t>
  </si>
  <si>
    <t>我于2018年6月15日和2018年4月7日分别向51人品贷借贷30000和20000元，贷完经计算才发现利息、咨询服务费等综合年化利率高达35%以上，远高于国家规定的最高利率红线24%，请聚投诉协调相关单位调查并督促平台整改，降低贷款利率，维护金融秩序，维护借款人的合法权益，另外，现申请按照低于国家规定最高利率24%来算，请监管单位协助沟通调解。</t>
  </si>
  <si>
    <t>2019/10/10 15:36:23</t>
  </si>
  <si>
    <t>投诉人吕女士投诉对象招联金融涉诉金额8900元问题类型诉求类型投诉详情我最近遇到诈骗，导致自身经济困难，招联金融，骚扰紧急联系人，每天电话联系，造成我朋友正常工作都受到影响，现要求赔礼道歉，停止骚扰我朋友，不然我会一直投诉到底。</t>
  </si>
  <si>
    <t>2019/10/10 15:36:13</t>
  </si>
  <si>
    <t>投诉人顾女士投诉对象拇指下款涉诉金额299元问题类型诉求类型投诉详情提交材料后未经授权，私自开通免密支付，扣取299元评估费用。</t>
  </si>
  <si>
    <t>2019/10/10 15:35:26</t>
  </si>
  <si>
    <t>9月23号下午18点40分在温州新一医新院区接到一单到状元派出所单，被运管查车扣车了，我就打电话给滴滴客服报备了，滴滴客服说48小时会有专员跟我联系，在第二天11点去运管部门做笔录同时滴滴有电话联系过我，当时叫我不用担心，说滴滴这边会跟我处理好的，罚款也不需要我一分钱的，我现在要做的就是等运管打电话给我拿车就可以了，事情现在已经过去快二十天了，滴滴那边，运管那边也没有一个电话联系我。</t>
  </si>
  <si>
    <t>2019/10/10 15:35:24</t>
  </si>
  <si>
    <t>投诉人吕先生投诉对象现金借款涉诉金额3000元问题类型诉求类型投诉详情本人2019年8月6号在洋钱罐借款分期6个月借款3000，9月5号还了1363，现在还需要还2300，这利息太高了，跟客服申请延期还款，说不行，然后催收打电话说，挂了电话就马上爆通讯录，让亲戚朋友都知道，我就想知道这就是你们的合法催收，我也没有说不还，我专门找客服商量，就延期5天，还打电话说走流程爆通讯录，。</t>
  </si>
  <si>
    <t>2019/10/10 15:35:06</t>
  </si>
  <si>
    <t>微信收款商业版没有任何提示冻结我的钱，第二天我看银行账户结算没到账才进微信里面看，显示交易异常，提现权限已被关闭，我又没有用收款码参与违法犯罪的事情，打电话客服不处理，申诉不给过，这都是我自己的钱，冻结的钱已经严重影响我的生活开支！！！我只想把我的钱拿出来，我不用微信支付的任何产品都可以！！！。</t>
  </si>
  <si>
    <t>2019/10/10 15:34:59</t>
  </si>
  <si>
    <t>有限公司签订的房屋租赁合同于2019年8月5日到期，我们在当天与纳什天津河西区办公室办理完交接手续，纳什空间拒绝退还押金，说公司资金有问题，需要三个月，我们当即不同意要起诉，后经多方沟通协商1个月后支付6000元，剩下的11月份支付完成，可是我们的理解让步换来的却是欺骗，拖延，对方公司员工频繁离职，到现在也未接到回复电话怎么解决，022-58318888，请平台帮助我们要求纳什空间尽快退还押金款项。</t>
  </si>
  <si>
    <t>2019/10/10 15:34:58</t>
  </si>
  <si>
    <t>由于不可抗力原因导致的逾期，恢复自由后马上与银行进行协商，结果招商银行不但雇佣第三方催收，还拒绝协商，索要高额利息，完全属于高利贷行为。</t>
  </si>
  <si>
    <t>2019/10/10 15:34:48</t>
  </si>
  <si>
    <t>投诉人董先生投诉对象叉叉助手,叉叉IPA精灵涉诉金额216元问题类型诉求类型投诉详情叉叉助手停运，说找客服退款，结果按照要求填了一堆东西过了好几个月也没退。</t>
  </si>
  <si>
    <t>2019/10/10 15:34:31</t>
  </si>
  <si>
    <t>投诉人林女士投诉对象拍拍贷涉诉金额2000元问题类型诉求类型投诉详情拍拍贷屡次群发短信给亲朋好友，以致导致打扰生活工作，经常以恐吓的形式打电话发短信给亲朋好友，严重影响生活工作。</t>
  </si>
  <si>
    <t>2019/10/10 15:34:20</t>
  </si>
  <si>
    <t>投诉人 戴先生        投诉对象  贷上钱        涉诉金额  2 700 元    问题类型    诉求类型投诉详情  逾期一天 没有接到电话，就一直给通讯录到处打 ，骚扰家人朋友同事 ，还随意增加费用 ，给他们客服电话 了 也一直不回电 继续骚扰</t>
  </si>
  <si>
    <t>2019/10/10 15:34:17</t>
  </si>
  <si>
    <t>松紧贷暴力催收；高利贷；轰炸朋友；短信验证码轰炸，本人因公司拖欠工资无法偿还，与其沟通再宽限几日，谁知松紧贷轰炸我通讯录，对我及家人朋友生活带来困扰，。</t>
  </si>
  <si>
    <t>2019/10/10 15:33:26</t>
  </si>
  <si>
    <t>因个人原因，导致马上消费金融逾期，催收人员态度恶劣，威胁恐吓我要爆通讯录，暴力催收，之前就联系客服进行投诉，客服不作为，说催收是交由第三方，跟他们没有关系，他们并没有提供通讯录联系人信息给第三方，至今也没有回访电话！试问，如果没有这些通讯录联系人信息，那么第三方催收又是通过何种途径获得呢，本人也很明确的跟客服沟通过，现在遇到困难还款有困难，谁都有遇到困难的时候吧，这是要把人给逼死吗，之前还说可以协商现在直接就不让协商了，态度那么强硬，没逾期之前我就联系客服了，客服直接不让协商，半小时之内多次电话轰炸。</t>
  </si>
  <si>
    <t>2019/10/10 15:33:24</t>
  </si>
  <si>
    <t>催收联系不与协商，威胁爆通讯录，言语过激说要劈图给通讯录群发，国庆严打刚过，这么快就复苏了吗。</t>
  </si>
  <si>
    <t>2019/10/10 15:33:19</t>
  </si>
  <si>
    <t>卡里有钱，但是不管怎么还都还不进去，前几次没截图，这次我截图了，这是故意要我一直逾期下去吗。</t>
  </si>
  <si>
    <t>2019/10/10 15:33:10</t>
  </si>
  <si>
    <t>还款日为10号，10号一大早就开始电话轰炸式催收，10号12点钟的时候说限半小时内还款，然后威胁爆通讯录。</t>
  </si>
  <si>
    <t>2019/10/10 15:33:09</t>
  </si>
  <si>
    <t>高利贷，逾期就开始给通讯录里的人打电话，影响人的生活。</t>
  </si>
  <si>
    <t>2019/10/10 15:33:08</t>
  </si>
  <si>
    <t>投诉人杨女士投诉对象深圳宝安区好未来大厦AMD涉诉金额599元问题类型诉求类型投诉详情热点资讯弹出虚假广告误导消费者，对方客服虚报手机品牌，夸大其词，对方客服电话133******44，无人接听，当时打电话说手机是华为的，货到付款，对方商家的ID:020k288196。</t>
  </si>
  <si>
    <t>2019/10/10 15:33:06</t>
  </si>
  <si>
    <t>投诉人刘女士投诉对象招商银行信用卡涉诉金额61000元问题类型诉求类型投诉详情已经和银行客服说明过情况，父母在和周围亲戚朋友筹款卖房等行为都在想办法及时能还款，你们招商银行催款部三番五次的电话不断打来恐吓威胁要起诉我，说什么协商减免都是不可能的事，如何如何要起诉我，让我坐牢等一些词语，还说一些侮辱性词语，还不还的上想不想的出办法是你的事，我们就问你12点之前能不能解决，不能就等着起诉坐牢。</t>
  </si>
  <si>
    <t>2019/10/10 15:33:01</t>
  </si>
  <si>
    <t>没有经过本人同意的情况下扣款299.一直不知道在哪里处理，今天找到扣款明细打电话客服咨询是上海造艺通过迅付支付扣款299.不要在违反国家法律。</t>
  </si>
  <si>
    <t>2019/10/10 15:32:55</t>
  </si>
  <si>
    <t>我们欠贵公司六千多，每个月虽然缓几天才还款，但是都是按时还款，这个月逾期25天，因为这月确实有困难，导致无能力偿还，跟催收部商量这个月15号之前肯定可以还款，而且可以全额还款，但是包银消费金融不同意，说今天晚上要爆通讯录，要我提前跟亲朋家人说这个事，请问这算不算是威逼利诱，我只需要五天时间就可以，多还两期，或者全额还款都行，我借了48000，分36期还款，已经还了快6万，总还款金额是将近9万块钱，我没有这个能力去还这么大笔钱，希望贵公司给我一个合理解释，给我一个能在我还款能力的情况下，解决这个问题！。</t>
  </si>
  <si>
    <t>2019/10/10 15:32:27</t>
  </si>
  <si>
    <t>投诉人陈女士投诉对象捷信金融涉诉金额0元问题类型诉求类型投诉详情威胁我，要上门，这么高的利息，还能生存请解决。</t>
  </si>
  <si>
    <t>2019/10/10 15:31:58</t>
  </si>
  <si>
    <t>投诉人杨先生投诉对象聚富分期涉诉金额299元问题类型诉求类型投诉详情当时承诺不下款退钱现在找不到退钱入口。</t>
  </si>
  <si>
    <t>2019/10/10 15:31:48</t>
  </si>
  <si>
    <t>10月3号必要平台购入一款水粉霜，下单时颜色选错，在发货前联系平台更换颜色，平台客服表示到货后拒收商品，平台联系商家重新发货，按平台要求操作后，10号来电表示无法更换，需要重新下单，当时购买使用的优惠券无法补偿，换句话说，重新下单需支付原价，无法按折后价格购买。</t>
  </si>
  <si>
    <t>2019/10/10 15:31:07</t>
  </si>
  <si>
    <t>投诉人劳女士投诉对象微品分期涉诉金额2953元问题类型诉求类型投诉详情微品分期，逾期第二天打紧急联系人和部分通讯录里的朋友，我已短信告知15号发工资就归还，还在不断骚扰，对我生活造成严重影响，021那个为她们的电话，借2300一个月还2950多，也好意思。</t>
  </si>
  <si>
    <t>2019/10/10 15:30:40</t>
  </si>
  <si>
    <t>投诉人吴女士投诉对象好易借涉诉金额10000元问题类型诉求类型投诉详情2019.07.12从好易借平台申请了10000元的借款，已经还了2期，总额差不多有9000块了，今天第三期到期还要还3300多，好吧，高利贷我也认了，谁让我借了，后面还有9期111块的，竟然说我4点如果不处理，他就要交给催收部门，然后明天要开始联系我的紧急联系人，然后还要付一天100块什么的利息，登录APP，要设置这个设置那个，我什么隐私都没有，电话的访问权限都在他那里，我需要给个说法又打电话啦，这是要逼死人才甘愿吗还有没有人管了。</t>
  </si>
  <si>
    <t>2019/10/10 15:30:27</t>
  </si>
  <si>
    <t>投诉人满女士投诉对象展业达人钱包涉诉金额14400元问题类型诉求类型投诉详情我之前就算过费用！律师说的费用高！我协商八千全部还完！展业达人又换催收平台！不同意！非说我借款一共一万八！又开始骚扰其他朋友！而且我朋友新换的号码都知道！然后骚扰！还打电话威胁说的上门催收！一直再骚扰别人！我想知道这些平台都是这样完成不合理的债务要款的吗，打电话态度很恶劣！就是这个电话一直再骚扰别人！。</t>
  </si>
  <si>
    <t>2019/10/10 15:30:24</t>
  </si>
  <si>
    <t>投诉人洪新超投诉对象你我贷涉诉金额5000元问题类型诉求类型投诉详情希望阻止你我贷平台暴力催收，威胁恐吓我，我的生活受到严重困扰，担心自己身败名裂，自寻短见。</t>
  </si>
  <si>
    <t>2019/10/10 15:30:17</t>
  </si>
  <si>
    <t>同程艺龙订酒店事后开局纸质发票时收取快递费，不合理。</t>
  </si>
  <si>
    <t>2019/10/10 15:30:02</t>
  </si>
  <si>
    <t>捷信公司业务员诱导客户捷信贷款的利息低，并且可以提前还款，但是实际情况是提前还款要违约金，并且需要还大量的管理费，为什么捷信公司可以不顾国家法律规定恶意的侵犯我们的隐私，爆我们的通讯录，借款23000，每期1300.29，我已经换了24期，28000多。</t>
  </si>
  <si>
    <t>2019/10/10 15:29:46</t>
  </si>
  <si>
    <t>国美易卡网贷平台涉嫌除了利息外，额外一次性收取费用，利息额外的费用与页面显示的利息金额完全相同，让人误以为就是利息，可是在借款的同时页面显示一个额外购买的东西金额显示也是451.2，当时以为就是三个月的利息所以就勾选了，不勾选借不了款，现在等于是借了7520元三个月要还利息加捆绑消费总计902.4，我要求相关部门严厉打击强制额外收取他人费用，还穷苦百姓一个公道。</t>
  </si>
  <si>
    <t>2019/10/10 15:29:39</t>
  </si>
  <si>
    <t>投诉人刘先生投诉对象蚂蚁借呗涉诉金额18500元问题类型诉求类型投诉详情有钱肯定会还，谁都不想当老赖，深陷网贷泥潭之中，工作人员各种骚扰，恐吓，已经严重影响到我的生活了，有钱自然会还，都说了宽限我时间，利息也飞涨，本金都是问题还要还利息，那也要容我时间，催收人员态度非常恶劣，还威胁我要上门还需要我付差旅费。</t>
  </si>
  <si>
    <t>2019/10/10 15:29:29</t>
  </si>
  <si>
    <t>投诉人陈先生投诉对象Wecash闪银涉诉金额1000元问题类型诉求类型投诉详情只是注册过，没有在里面借款而显示已经借了1000块，银行卡里面也没有这笔资金，还要我还款打客服电话没人接线上客服也没人处理。</t>
  </si>
  <si>
    <t>2019/10/10 15:29:26</t>
  </si>
  <si>
    <t>投诉人廖先生投诉对象贷上钱涉诉金额3510元问题类型诉求类型投诉详情贷上钱高利贷、暴力催收！本人于2019年9月2日在贷上钱借款，实际到账金额2500元，捆绑销售游戏豆购物金额750元，10月2日到期就共要还款3250元，属于高利贷借款，现逾期8天，还款金额已经要3510元，高额的逾期费用、超高的砍斗息，逾期过程中因暂时无还款能力，平台不予协商，直接爆通讯录，打给我父母、姐姐、堂哥、同事、朋友并多次骚扰，威胁并说已给我村委会寄送催款单，本人有把真实情况和平台沟通说明，自己借的款也愿意承担费用，甚至为了免骚挠</t>
  </si>
  <si>
    <t>2019/10/10 15:29:14</t>
  </si>
  <si>
    <t>投诉人周女士投诉对象兴业银行涉诉金额20000元问题类型诉求类型投诉详情本人由于创业失败暂时无力清偿兴业银行信用卡欠款但是兴业银行雇佣身份不明人员对本人进行恐吓骚扰并且通过非法手段获取本人通话记录骚扰亲戚朋友对本人造成困扰并且所谓的第三方就跟黑社会公司一样威胁要到村委会通知说我欠款要到我老家说我欠款现本人拒绝与任何第三方黑社会公司联系并且拒绝任何没有提前通知到本人的上门骚扰如果没有提前通知经过本人的允许上门做出对本人安全名誉有损的事本人会维护自己的权益现只与兴业银行的本级客服协商还款事宜拒绝任何第三方联系并</t>
  </si>
  <si>
    <t>2019/10/10 15:29:05</t>
  </si>
  <si>
    <t>投诉人何先生投诉对象现金巴士涉诉金额700元问题类型诉求类型投诉详情高利贷，砍头惜，恐吓，群发，p图，骚扰高利贷，砍头惜，恐吓，群发，p图，骚扰高利贷，砍头惜，恐吓，群发，p图，骚扰。</t>
  </si>
  <si>
    <t>2019/10/10 15:28:55</t>
  </si>
  <si>
    <t>投诉人赵女士投诉对象豹子贷涉诉金额299元问题类型诉求类型投诉详情在豹子贷申请贷款，结果给我出了一份评估报告，稀里糊涂扣了298.5的费用，平台上明确写着付了费用会给推荐借款平台，如果贷款申请不成功可以全额退款，但是现在款没下来平台拒不给退款。</t>
  </si>
  <si>
    <t>2019/10/10 15:28:44</t>
  </si>
  <si>
    <t>投诉人李先生投诉对象宏萨信息科技涉诉金额296元问题类型诉求类型投诉详情该公司于2019年10月10号下午14时46分从本人银行卡自动扣款296元，本人完全不知情，更不知道这个公司，连扣款说明也没有，从未在这个公司下购买任何东西，要求该公司给个合理的解释并全额退款。</t>
  </si>
  <si>
    <t>2019/10/10 15:28:17</t>
  </si>
  <si>
    <t>投诉人莫先生投诉对象乐意花涉诉金额10000元问题类型诉求类型投诉详情本人于2018年11月10号资金周转，向乐意花平台申请借款10000元，当时很着急没有看清具体的还款内容，如今每个月要换1239.2元，已经还了10期，总还款金额为12392元，还剩下两期，共计待还款金额为2478.4元，国家规定的利息为年利率36%，乐意花已经达到了48.7%，已超过国家规定的利息，现剩下两期要求销账，并将多余款利息退回本人。</t>
  </si>
  <si>
    <t>2019/10/10 15:28:09</t>
  </si>
  <si>
    <t>本人于2019年9月4号在及贷里面的智享贷里面借款，1000元，当时借款并没有出现扣200砍头息，直至审核通过，打款以后才发现被扣了200砍头息，逾期一天利息30，这是国家严打的高利贷，及贷还如此猖狂，替高利贷提供平台，宝付支付为其提供违法扣款。</t>
  </si>
  <si>
    <t>2019/10/10 15:28:05</t>
  </si>
  <si>
    <t>投诉人陈先生投诉对象立借涉诉金额0元问题类型诉求类型投诉详情立借不出结果，不给注销账号，去联系客服没有任何实质性效果，客服只会复制粘贴，而且不回复。</t>
  </si>
  <si>
    <t>2019/10/10 15:28:00</t>
  </si>
  <si>
    <t>投诉人徐女士投诉对象中腾信涉诉金额50000元问题类型诉求类型投诉详情暴力催收，乱打联系人电话，骂人，一直在骚扰。</t>
  </si>
  <si>
    <t>2019/10/10 15:27:52</t>
  </si>
  <si>
    <t>投诉人吴先生投诉对象贷上钱涉诉金额2000元问题类型诉求类型投诉详情贷上钱平台以十五天反馈注销为由拒绝客服提出的加急办理注销账户，坚决不给客户办理注销账户，而且强迫客户购买保险。</t>
  </si>
  <si>
    <t>2019/10/10 15:27:41</t>
  </si>
  <si>
    <t>投诉人朱先生投诉对象交通银行信用卡涉诉金额5000元问题类型诉求类型投诉详情之前在交通银行信用卡中心办理分期借款,交通银行委托云南信托基金办理分期业务承诺每月还款.在2019年7月份之后扣款方不再是云南信托机构.并收取高额手续费,正常每月3日还款772元.由于更换了还款机构并不知情的情况下产生了逾期还款.至今每月扣款金额最少扣取金额801.37元至少值814.7元,高额利息。</t>
  </si>
  <si>
    <t>2019/10/10 15:27:34</t>
  </si>
  <si>
    <t>投诉人王源投诉对象掌众金服涉诉金额1260元问题类型诉求类型投诉详情闪电借款暴力催收，刚逾期，他们不协商，发信息说我不协商。</t>
  </si>
  <si>
    <t>2019/10/10 15:27:31</t>
  </si>
  <si>
    <t>你我贷砍头息，阴阳合同，借款有疑问，停止侵扰，做出合理解释。</t>
  </si>
  <si>
    <t>2019/10/10 15:26:56</t>
  </si>
  <si>
    <t>投诉人梅女士投诉对象捷信金融涉诉金额10000元问题类型诉求类型投诉详情本人于2018年6月13日在捷信金融公司贷了20000元，截止到2019年8月13日每期还款998.48元还了十四期，仔细看了下还有十六期要还，这样总的算下来利息就要还差不多一万多，这不是高利贷吗，所以本人从2019年9月13日开始就没还了，捷信公司就天天打我的电话和我父母兄弟姐妹和我朋友的电话，一天打十多个，严重影响了我的生活和个人的名声，今天还给我朋友发信息说要上门拜访，我实在是忍无可忍了，望捷信公司停止对我和家人及朋友的电话骚扰，</t>
  </si>
  <si>
    <t>2019/10/10 15:26:00</t>
  </si>
  <si>
    <t>073181841748此电话经常骚扰我，我不是欠债人，经常打电话骚扰我，态度很不好，有时还辱骂我，现在已严重影响了我正常生活，请一定要严肃处理。</t>
  </si>
  <si>
    <t>2019/10/10 15:25:48</t>
  </si>
  <si>
    <t>投诉人黎先生投诉对象招联金融涉诉金额22100元问题类型诉求类型投诉详情招联金融由于没有协商好，发这种邮件给我，欠你们的钱我会处理，我想请问，我这样就犯法了，还需邀公安机关莱抓我，上次招联金融也是这样群发消息。</t>
  </si>
  <si>
    <t>2019/10/10 15:25:31</t>
  </si>
  <si>
    <t>投诉人蒋笑弟投诉对象展鸿科技涉诉金额1800元问题类型诉求类型投诉详情没到期就打爸妈电话就开始骂人续期先给了300块就一天时间，续期走的还是支付宝转过去才知道不是公司账户而是消费类，高利贷到手1200需要还1500，到期时间2天。</t>
  </si>
  <si>
    <t>2019/10/10 15:25:26</t>
  </si>
  <si>
    <t>投诉人郑先生投诉对象信用飞涉诉金额800元问题类型诉求类型投诉详情信用飞在客户不知情的情况下搭售保险，并未提供实际的保险服务，以及保单号，变相收取砍头息。</t>
  </si>
  <si>
    <t>2019/10/10 15:25:19</t>
  </si>
  <si>
    <t>信息科技有限公司涉诉金额296元问题类型诉求类型投诉详情无缘无故被宏萨。</t>
  </si>
  <si>
    <t>2019/10/10 15:25:18</t>
  </si>
  <si>
    <t>京东白条前两天打电话我说的是15号发工资可以还一部分，但是今天就给我委外催收了，催收态度也不行，强行让我全额还款，我要能全额还款我还用逾期吗，跟他说了我的家庭条件让他不要骚扰我精神病的母亲，非要坚持给她打电话落实情况，折磨她的精神，跟他说了情况还是这样，我也是服了，你们委外了就任她们胡作非为吗。</t>
  </si>
  <si>
    <t>2019/10/10 15:23:39</t>
  </si>
  <si>
    <t>本人于2019年七月份以来，陆续在程咬金借款多达6此，最后一次借款是在9月28在程咬金借款2500元，实际到账：1798元，砍头息702元，借款周期为七天！！通过杭州市民卡有限公司提现到银行卡，收取713元，通过杭州市民卡有限公司收取，利息远远超过国家法律规定36%利息，套路贷，本人借款多次，早已还够本金，现要求销账协商处理！！！！程咬金借款是：国金，征信有限公司旗下产品，联系电话0755-2377715，公司地址:广州省深圳市福田区福华三路168号深圳国际商会中心809；杭州市民卡有限公司：注册地位于浙江</t>
  </si>
  <si>
    <t>2019/10/10 15:23:37</t>
  </si>
  <si>
    <t>投诉人孙先生投诉对象我来数科涉诉金额6000元问题类型诉求类型投诉详情1.我8月份有协商过，不协商2.多次恐吓，威胁通讯录，造成朋友困扰，损害个人名誉3.短信威胁，不提供公司名称工号4.要求协商一次还款。</t>
  </si>
  <si>
    <t>2019/10/10 15:23:31</t>
  </si>
  <si>
    <t>投诉人戴先生投诉对象掌众金服涉诉金额9200元问题类型诉求类型投诉详情闪电借款在国家打黑扫恶这么严重的状态下，从2017年使用闪电借款，共周转124111元被闪电以各种名义收取砍头息，达到20%左右，在国家明文规定禁止收取砍头息的情况下依然继续收取砍头息，并且收取高额滞纳金，这两次协商解决的时候总有中国银行发送验证信息。</t>
  </si>
  <si>
    <t>2019/10/10 15:22:37</t>
  </si>
  <si>
    <t>投诉人李先生投诉对象好易贷涉诉金额3147元问题类型诉求类型投诉详情逾期一天费用，180，到期不能协商，借款3000到手2100.到期当天打电话，威胁不出来转催收，沟通几次无果。</t>
  </si>
  <si>
    <t>2019/10/10 15:22:12</t>
  </si>
  <si>
    <t>投诉人 翟崇阳        投诉对象  国银盛达        涉诉金额  3 099 元    问题类型    诉求类型投诉详情  买房贷款批不下 .贷款下不来. 我都不知道是给谁做的担保</t>
  </si>
  <si>
    <t>2019/10/10 15:22:02</t>
  </si>
  <si>
    <t>暴力催收，恐吓威胁，电话轰炸，爆通讯录，泄露个人信息，严重影响个人的工作和生活，停止持续的电话轰炸，骚扰通讯录，才能工作还款。</t>
  </si>
  <si>
    <t>2019/10/10 15:21:50</t>
  </si>
  <si>
    <t>10/6晚上下单，10/10到货，发现商品降价，十天半个月倒不会说什么，一周内还不给补差价。</t>
  </si>
  <si>
    <t>2019/10/10 15:21:00</t>
  </si>
  <si>
    <t>我通过借贷宝平台借款，打好七天的欠条，利率为年利率百分之24，但实际现在借款为高利贷，7天利息为百分之30，二个月时间，实际使用本金四万左右，但还款已经达到十几万，早已经还够本金，最后一期，我每家还了一部分利息，以后拒绝还款，但仍然在催收，甚至部分借款人我已还清最后一期本金的情况下，仍然不销账，而借贷宝收取每天百分之五的高额逾期管理费！！客服一直在说协商，但目前为止未有一家协商解决，我要求借贷宝免除高利贷的逾期管理费，并且已还清本金的要求销账，否则我将要陆续向银监会，315等各种部门继续投诉！！。</t>
  </si>
  <si>
    <t>2019/10/10 15:20:44</t>
  </si>
  <si>
    <t>投诉人陈先生投诉对象来分期涉诉金额37元问题类型诉求类型投诉详情来分期，还款日当天平均一小时一个电话从早上9点左右到晚上7点左右催收电话不断，还款日当天不算预期吧，然后昨天有一单忘还了我知道这个责任在于我，但是从早上9点卡是到下午14点30，5个小时里面打了20个催收电话这就是不是很过分上班的地方都问我为什么这么多电话，我都没接，要证据有一条录音，打过去全是空号，官方的客服电话打不通，是不是来分期倒闭了，36块钱哇哦。</t>
  </si>
  <si>
    <t>2019/10/10 15:20:43</t>
  </si>
  <si>
    <t>投诉人李女士投诉对象小浦优客涉诉金额296元问题类型诉求类型投诉详情小浦优客在我毫不知情的情况下，私自扣取本人银行卡296元，现要求小浦优客退还扣取款项。</t>
  </si>
  <si>
    <t>2019/10/10 15:20:33</t>
  </si>
  <si>
    <t>万惠及贷曝光通讯录、群发短信给亲戚朋友、严重违法，。</t>
  </si>
  <si>
    <t>2019/10/10 15:20:21</t>
  </si>
  <si>
    <t>借了27700.到账的时候无缘无故多出20000元多费用，钱到账后感觉不对，想一次结清，打客服电话半天没人接，难道这种高利就没人管了吗，支持合理借贷，这种完全就是骗人一个电话也不回访，也不问清客户，直接到账，有好多不明不白的客服也不给于解释，这钱借的糊里糊涂，希望聚投诉给予帮助，聚投诉谢谢你了。</t>
  </si>
  <si>
    <t>2019/10/10 15:19:59</t>
  </si>
  <si>
    <t>投诉人郑女士投诉对象分期乐涉诉金额6000元问题类型诉求类型投诉详情分期乐获取通讯录信息爆了我不止一个通讯录分期乐大言不惭的说他们不会爆通讯录第一给我解释第二请马上停止别弄的撕破脸。</t>
  </si>
  <si>
    <t>2019/10/10 15:19:24</t>
  </si>
  <si>
    <t>投诉人何女士投诉对象钱站,华夏银行涉诉金额3000元问题类型诉求类型投诉详情到账3000，每个月还款1478.66元，高额利息。</t>
  </si>
  <si>
    <t>2019/10/10 15:18:51</t>
  </si>
  <si>
    <t>投诉人黄先生投诉对象交通银行信用卡委托方涉诉金额15000元问题类型诉求类型投诉详情由于本人生意失败，造成信用卡逾期，已跟客服说明会尽快把钱补上，这几天收到委托第三方的人员电话骚扰亲朋好友，已严重影响本人生活，要求其马上停上骚扰，道歉。</t>
  </si>
  <si>
    <t>2019/10/10 15:18:50</t>
  </si>
  <si>
    <t>还款时间还没到期逾期！从早上打电话打到晚，都说不要打了拼命打，骚扰nmb。</t>
  </si>
  <si>
    <t>2019/10/10 15:18:48</t>
  </si>
  <si>
    <t>砍头息，借1000实际到账810，并且逾期利息很高，一天10元。</t>
  </si>
  <si>
    <t>2019/10/10 15:18:46</t>
  </si>
  <si>
    <t>对欠款人恶意骚扰，每天无数电话，催收人员以上征信，打电话联系通讯录为由恐吓欠款人，说话态度恶劣，无法正常沟通，平台以逾期为由收取高额利息。</t>
  </si>
  <si>
    <t>2019/10/10 15:18:38</t>
  </si>
  <si>
    <t>我今天还了全部款项，我说协商免掉逾期费用144，今天下午直接给我扣掉，请退还一天逾期100的费用。</t>
  </si>
  <si>
    <t>2019/10/10 15:18:06</t>
  </si>
  <si>
    <t>前段时间在佑佑分期借了1500到账1000，因为软件卸载了联系不到工作人员，今天我接电话说一会看看，领导找我开会，结果没几分钟爆我通讯录爆了几个家人的号，还发短信侮辱恐吓，给我生活带来严重困扰，强烈谴责这种行为，要求道歉！逾期费给涨了400，最后要求他给减掉了，还了1500.02。</t>
  </si>
  <si>
    <t>2019/10/10 15:17:16</t>
  </si>
  <si>
    <t>本人在拍拍贷借款18000元整，分12期，每期需要还1809,12元，总需还款21709,44元，截止已还款11期19900.32元，由于本人目前家庭经济困难，妻子这个月要生了现在连几百块奶粉钱都没了~由于网贷催收导致没了工作~信用卡也已超90天加未还~生活压力巨大，已经无力偿还剩余最后一期账单，恳请拍拍贷公司给予结清款账单，本人有一直还款，实在是压力巨大已无力承担，确实无法再拿出一千多还清账单，希望拍拍贷公司能把我的借款账单销账，万分感激~。</t>
  </si>
  <si>
    <t>2019/10/10 15:17:10</t>
  </si>
  <si>
    <t>投诉人 黄女士        投诉对象  有钱花        涉诉金额  14 000 元    问题类型    诉求类型投诉详情  要求减免罚息，改善服务质量，争取早点解决。</t>
  </si>
  <si>
    <t>2019/10/10 15:16:51</t>
  </si>
  <si>
    <t>信用卡，白金分期卡，E招贷逾期后，外包催收与我协商还款，按照他们要求还8成以后才能协商，并已做到，然后他们给我的减免不给我协商，直接给我一个金额，与客服多次反应，让银行内部人员与我协商，但每次得到的反馈都是外包催收人员与我沟通，让他们提供与银行老师的沟通证明，他们也没法提供，但是实在是经济困难，没法履行外包催收给我的协商的金额，以白金卡为例，60000的额度，其中3万分12期，已经还款多期的本金+分期手续费，逾期之前已还本金7986+利息，逾期之后又还55200，按照他们说法逾期以后，全额结清，他们减免了2</t>
  </si>
  <si>
    <t>2019/10/10 15:16:29</t>
  </si>
  <si>
    <t>我有一笔闪银的借款于国庆节期间到期的，在此期间未收到任何提醒的短信及电话，节后收到电话时才知道，跟闪银客服沟通做减免和违约的撤销，打了两次电话都说帮忙登记上，会有工作人员跟我联系，一直到现在都没有人跟我联系，打客服打了一天也打不通，催收的人说他没有权限帮我申请减免，还说还款日是不应该他们提醒的，说给我打电话都没收我电话费，现请求闪银客服处理我的问题，申请减免违约金和罚息，并撤销征信影响。</t>
  </si>
  <si>
    <t>2019/10/10 15:16:15</t>
  </si>
  <si>
    <t>本人在10月3日在小眯花借款2000元，到账1300，要在10月6号还款2100，借款4天费用800，今天10号却要还款3540，3540，望聚投诉为我主持公道一个越南号码打电话和发短信，请看图片，，催收人员每天催收好几次，威胁和侮辱字样，费用太高，压力太大，本人精神恍惚，已有轻生念头，望聚投诉为我主持公道，一个越南号码打电话和发短信，请看图片。</t>
  </si>
  <si>
    <t>2019/10/10 15:16:01</t>
  </si>
  <si>
    <t>无休止的打电话真的很烦谁家没有点事啊动不动就拿征信说话服了催收一直打电话严重影响到我生活了。</t>
  </si>
  <si>
    <t>2019/10/10 15:15:36</t>
  </si>
  <si>
    <t>投诉人李先生投诉对象卡卡贷涉诉金额2307元问题类型诉求类型投诉详情十月二号还款，滥用特约还款权限导致卡被锁定，造成后期无法还款逾期，收取高额逾期费用，同时APP限制还款，有蓄意制造逾期之嫌，客服多次沟通还款无果，造成个人信用污点，伴有催收骚扰恐吓，滥用还款金额，盗刷不明无理费用899元，造成预存还款额不足加剧逾期情况。</t>
  </si>
  <si>
    <t>2019/10/10 15:15:32</t>
  </si>
  <si>
    <t>投诉人叶君投诉对象银魂之刃,上海赤月信息技术有限公司涉诉金额6元问题类型诉求类型投诉详情与广告上面说的不相符，没有上线送vip也没有送满5星英雄。</t>
  </si>
  <si>
    <t>2019/10/10 15:15:30</t>
  </si>
  <si>
    <t>分期乐窃取客户手机通讯录信息，非法转卖给第三方，委托外包公司涉黑人员威胁无关联系人，威逼联系人承认是客户父母，并称要联系人承担法律责任，要求停止骚扰，道歉，不然将以侵害公民信息诉诸法律。</t>
  </si>
  <si>
    <t>2019/10/10 15:14:55</t>
  </si>
  <si>
    <t>本人因生意失败致使微粒贷欠款一直没有还款，在和微粒贷多次沟通分期还款不同意的前提下，微粒贷三天两头往我工作单位打电话，致使本人在单位受到很大压力，如果再继续骚扰下去，本人工作也会随着骚扰而失业，希望微粒贷停止暴力催收，拿出协商诚意。</t>
  </si>
  <si>
    <t>2019/10/10 15:14:54</t>
  </si>
  <si>
    <t>涉诉金额299元问题类型诉求类型投诉详情上海跃吉公司名下的拇指下款，10月4号我注册绑卡了，然后5号早上收到短信扣费299充值了啥小银卷，我钱没接到自己还扣299进去，我要求直接退款这299，5号当天打电话给客服打了几次全是同一个男的接了，只会说你别急，您看看我们推荐的app，一直重复这句话，我发火了才给我说我们公司退款是要流程的，我要交啥身份证复印件，我现在不想交我害怕自己个人资料泄露，请直接退款，谢谢。</t>
  </si>
  <si>
    <t>2019/10/10 15:14:47</t>
  </si>
  <si>
    <t>投诉人陈女士投诉对象交易猫涉诉金额65元问题类型诉求类型投诉详情10月8日晚9点43分，我在交易猫平台的创造与魔法游戏货币金币售出，具体方式为：买家在拍卖行挂一个指定物品，定价为要购买金币的数额，截图给卖家，卖家前去拍卖行，拍下指定物品，金币便会转移到买家账户，买家当时指定物品为苹果，售价1000金币，我拍下苹果，随后发货，紧接着被买家仲裁，买家声称没有收到货币，我提供了拍卖的整个过程录屏，和，游戏官方客服查询到的，我角色当时的金币支出及购买情况，但交易猫仲裁客服要求提供，与买家角色id交易时的当面录屏，我</t>
  </si>
  <si>
    <t>2019/10/10 15:13:05</t>
  </si>
  <si>
    <t>但是一直都看不到借款合同，也不清楚利息的利率是怎么计算的，电话联系马上金融，一直东拉西扯问我为什么要看合同，我就是想看看我自己的借款合同，希望有关平台给我出具我当时借款时的借款合同。</t>
  </si>
  <si>
    <t>2019/10/10 15:12:50</t>
  </si>
  <si>
    <t>投诉人尹俊投诉对象快闪卡贷涉诉金额8000元问题类型诉求类型投诉详情我借了8000分期6个月，打到卡上就被扣了，870元，我也不知道是什么钱，现在要我还14500。</t>
  </si>
  <si>
    <t>2019/10/10 15:12:39</t>
  </si>
  <si>
    <t>喜团小程序上架WAISTMEUP商品，开团购价格很低，下单后随即咨询品牌方，品牌方回复未授权任何商家在喜团平台售卖，我随后就发起退款申请，7月至今未收到货，且平台客服以各种理由拖延拒绝退款。</t>
  </si>
  <si>
    <t>2019/10/10 15:12:29</t>
  </si>
  <si>
    <t>投诉人 戴先生        投诉对象  滴滴出行        涉诉金额  50 元    问题类型    诉求类型投诉详情  要求滴滴出行退还扣我的50元辛苦钱！！！</t>
  </si>
  <si>
    <t>2019/10/10 15:12:05</t>
  </si>
  <si>
    <t>投诉人宋先生投诉对象兴业银行涉诉金额16000元问题类型诉求类型投诉详情兴业银行聘用身份不明人员对本人暴力催收言语威胁电话里让本人注意点别在路上出什么事家里人不知道这是黑社会的语言吧并且通过非法手段获取本人的通话记录骚扰亲戚朋友不停地在语言威胁说要到村委会通知说我欠款要到本人老家去说我欠款并且我要求来我家之前必须电话提前告知但是对方说不会再给我打电话我问对方是那个公司的一直支支吾吾的不说说不需要告诉我是那个公司的这是合法的吗，本人现在拒绝所有所谓的第三方黑社会公司联系本人如果没有经过本人允许私闯民宅做出对本</t>
  </si>
  <si>
    <t>2019/10/10 15:11:47</t>
  </si>
  <si>
    <t>本人于2019年7月18日加入斗鱼直播平台渝万竞技工会，到目前直播状况越来越差，并放弃直播，但渝万竞技工会不同意退会，请求解决，退出斗鱼直播平台渝万工会。</t>
  </si>
  <si>
    <t>2019/10/10 15:11:26</t>
  </si>
  <si>
    <t>打电话暴力催收，恐吓我！不停的骚扰，一直打电话！。</t>
  </si>
  <si>
    <t>2019/10/10 15:11:23</t>
  </si>
  <si>
    <t>我前段时间因生病住院失业了，导至在广发银行的信用卡逾期，出院后我也主动打电话客服要求协商还款，这几天一个本地坐机一直打电话，我也给他说明了我的情况，我请求他们分3次，或几次还清，她们不同意，说要代派出所民警去我村委会找我妈，和我家里人些打电话威胁，现在我妈都气住院了，我从来就没说过不还，我只是现目前经济出现了一点问题，协商都不给我，要把人逼死才停吗，她们就这样天天打电话威胁我，我精神都快崩溃了，。</t>
  </si>
  <si>
    <t>2019/10/10 15:11:05</t>
  </si>
  <si>
    <t>2019年年初在阿卡索报名了一年的外教课，4088元，顾问比较着急，直接网上转账，也没有给我看合同，也没有收据，什么都没有的情况下开课，并且第二天上课有问题再问课程顾问，就各种推卸责任，3月份外教有些问题想反馈，联系课程顾问，未回复，再后来直接改了备注名字，知道已经离职，这期间一直到现在半年的时间，没有接到任何一个回访电话，在网上投诉以后才有一个顾问加我，说是了解到我的需求是更换顾问，非常恼火，申请退费，半个月的时间一直在各种推卸责任，一直说向上反馈，但是并未有任何回复，每次打投诉电话都是模棱两可，现在就是</t>
  </si>
  <si>
    <t>2019/10/10 15:10:32</t>
  </si>
  <si>
    <t>五千块借款要还8600多六个月，合同上的多出来的费用不知道哪里来的，根据个人了解钱站到现在坑的客户到现在个人投诉，12315投诉加起来最起码有三万人，网上的投诉都解决不了，北京的公司就是厉害些吗，我只想正常的还款你这个服务费➕利息都已经超过百分之五十了。</t>
  </si>
  <si>
    <t>2019/10/10 15:09:54</t>
  </si>
  <si>
    <t>高额逾期费用，高额利息，之前有一期未到还款期限就电话轰炸，言语人生攻击。</t>
  </si>
  <si>
    <t>2019/10/10 15:09:32</t>
  </si>
  <si>
    <t>骚扰我通讯录联系人，给我通讯录联系人发短信，利息不合法，过高的利息，不满意。</t>
  </si>
  <si>
    <t>2019/10/10 15:09:30</t>
  </si>
  <si>
    <t>2017年9月捷信贷款25000还了两年32678.16元，提前还款还需12341.69打客服询问利息为什么这么高，客服回答里面包括乱七八糟的费用一大堆，完完全全的高利贷，欺骗消费者。</t>
  </si>
  <si>
    <t>2019/10/10 15:09:20</t>
  </si>
  <si>
    <t>本人19年7月23号在交易猫平台买的王者荣耀帐号，7月27号被卖家找回，然后申请平台仲裁，不知道交易猫怎么判断的，判我失败，然后交易成功，事后我找交易猫，交易猫就提供了卖家信息，让我去中国广州仲裁委员会仲裁卖家，我去仲裁要求我实名认证，现在已经过去两个多月了，实名还在审核中，这太假了，要求交易猫赔偿我的损失，因为完全是交易猫平台仲裁判我失败整出来的事，这是他们平台的责任，为啥要我承担。</t>
  </si>
  <si>
    <t>2019/10/10 15:09:14</t>
  </si>
  <si>
    <t>投诉人 梁女士        投诉对象  及贷        涉诉金额  9 200 元    问题类型    诉求类型投诉详情  侮辱这都商量好了该这样发朋友圈骂我吗？好多条我都删了更难听</t>
  </si>
  <si>
    <t>2019/10/10 15:09:07</t>
  </si>
  <si>
    <t>真是太让人气愤了，我的交通银行两天没有登录，里面有2万多块钱，等我再登录上去看的时候被一个叫做联动优势辽宁账号：8*************4，的盗刷了27530元，让人感觉到不安全，强烈要求退款，赔偿，给我造成了极大的损失，。</t>
  </si>
  <si>
    <t>2019/10/10 15:09:00</t>
  </si>
  <si>
    <t>投诉人曲先生投诉对象现金巴士涉诉金额500元问题类型诉求类型投诉详情现金巴士高利贷砍头息，借款还要以加速放款为理由借款1000元收取118的会员费，期限一个月，不购买会员就无法放款，现在要求退还四次每次118会员费，否则投诉到底，绝不妥协。</t>
  </si>
  <si>
    <t>2019/10/10 15:08:18</t>
  </si>
  <si>
    <t>信息科技有限公司在本人不知情的情况下，恶意从本人银行卡划扣296元，希望归还款项并道歉。</t>
  </si>
  <si>
    <t>2019/10/10 15:08:17</t>
  </si>
  <si>
    <t>投诉人李先生投诉对象好易贷涉诉金额3000元问题类型诉求类型投诉详情借款3000实际到账2100六天后要还3014.7典型的714高炮。</t>
  </si>
  <si>
    <t>2019/10/10 15:08:16</t>
  </si>
  <si>
    <t>当时被另家公司骗去贷款，还收了2500元中介费用，合同上是79000实际到账60000元，分36期还，每期还2559元，现在已经还款27期，共计70200元.我觉得是高利贷。</t>
  </si>
  <si>
    <t>2019/10/10 15:07:38</t>
  </si>
  <si>
    <t>无卡异地消费，未经本人盗刷本人中国银行卡的钱，共计972.62元。</t>
  </si>
  <si>
    <t>2019/10/10 15:06:56</t>
  </si>
  <si>
    <t>投诉人李先生投诉对象盼达用车涉诉金额929元问题类型诉求类型投诉详情本人在盼达用车租用车辆，与2019年10月5日正式申请退还押金，多次致电盼达客服，盼达工作人员态度恶劣以尽快审核待审核通过后15个工作日退还推脱，要求盼达用车给出合理解释并给出明确退押金时间，相关监管部门严格监管，不要让消费者维权无门。</t>
  </si>
  <si>
    <t>2019/10/10 15:06:55</t>
  </si>
  <si>
    <t>本人因为家中出事，没有办法按时还在小象优品借的剩余款项，打电话跟小象优品希望能沟通一个有效的解决办法，但小象优品仍然爆光个人信息，骚扰通讯录好友，给我的生活和工作造成很大的影响，让我没办法安心工作也给家人和朋友造成了伤害。</t>
  </si>
  <si>
    <t>2019/10/10 15:06:48</t>
  </si>
  <si>
    <t>交通银行雇用不法分子去我们单位闹事，第一次遇到这样的事情，很久以前就和交通银行信用卡中心说了自己现在处境，大阅兵一过，又遭到暴力催收，还去单位，上一次电话打到人事科，试问工作丢了，是不是他们负责任，而且去我们单位不是一次两次了，投诉也不是第一次，似乎没有实质性的改变。</t>
  </si>
  <si>
    <t>2019/10/10 15:06:46</t>
  </si>
  <si>
    <t>投诉人唐先生投诉对象平安银行,平安普惠,平安信用卡涉诉金额68000元问题类型诉求类型投诉详情因本人经经济出现状况，导致无法及时还款，家人老人家没有工作，无法提供资金，上门催收，威胁寄送律师信，爆所有手机通讯录，且委托第三方利用晚上休息时间拨打家人电话及我的电话，用威胁的口语威胁我及其家人，恐吓我家里的老人家致其疾病发作，住院，委托当地村支书天天上门要我解决问题！。</t>
  </si>
  <si>
    <t>2019/10/10 15:06:31</t>
  </si>
  <si>
    <t>投诉人韦女士投诉对象乐游商旅涉诉金额256元问题类型诉求类型投诉详情本人在9月1日订了两张高铁票，然后退票，乐游商旅规定的时间是三到十五天，可至今一个多月，总是找借口推迟。</t>
  </si>
  <si>
    <t>2019/10/10 15:06:24</t>
  </si>
  <si>
    <t>投诉人吴女士投诉对象微博金融涉诉金额12000元问题类型诉求类型投诉详情暴力催收利息高的超出正常范围希望给出一个合理的解释这面都有在处理并且逾期所产生的利息也在承担这面还在不断的威胁恐吓。</t>
  </si>
  <si>
    <t>2019/10/10 15:06:23</t>
  </si>
  <si>
    <t>投诉人李先生投诉对象联动优势涉诉金额19123元问题类型诉求类型投诉详情联动优势辽宁10月8号无缘无故扣款，这种行为严重违法犯罪，希望平台给我申冤追回我的钱！谢谢！。</t>
  </si>
  <si>
    <t>2019/10/10 15:06:18</t>
  </si>
  <si>
    <t>我于10月7日在找靓机平台回收一个金色iphone8手机，当时顺丰快递上门取件，拍照，同时我在寄出前同样拍照，证明屏幕无划痕，且在回收前在三里屯苹果店检测屏幕无色差，无坏点，找靓机给的回收价格为1699元，但是找靓机收到手机后拍照说手机屏幕有划痕，有色差压低价格，对于这种不诚信的行为，要求做出赔偿。</t>
  </si>
  <si>
    <t>2019/10/10 15:06:15</t>
  </si>
  <si>
    <t>分期通骗人，开通vip直接扣款，退款审核慢。</t>
  </si>
  <si>
    <t>2019/10/10 15:05:56</t>
  </si>
  <si>
    <t>交通银行信用卡欠款4900元，每个月都有还，但是交通银行信用卡每天几十个电话轰炸，前脚刚接完，后脚家里亲戚朋友又接到，还恐吓家里人，威胁，还有就是交通银行信用卡非法读取本人通讯录电话，。</t>
  </si>
  <si>
    <t>2019/10/10 15:05:24</t>
  </si>
  <si>
    <t>投诉人陈女士投诉对象聚富分期涉诉金额299元问题类型诉求类型投诉详情这个聚富分期随意扣款误导消费客服不予受理，泄露个人信息。</t>
  </si>
  <si>
    <t>2019/10/10 15:04:57</t>
  </si>
  <si>
    <t>投诉人 王女士        投诉对象  丽人荟        涉诉金额  6 000 元    问题类型    诉求类型投诉详情  一直被打骚扰电话，态度也很不好。一直不停的打电话</t>
  </si>
  <si>
    <t>2019/10/10 15:04:53</t>
  </si>
  <si>
    <t>因前公司员工在拍拍贷有逾期，疯狂拨打我公司电话骚扰，在被告知该员工已离职后，还是不间断地拨打电话骚扰，严重影响我公司正常办公，经上次投诉后，打电话过来通知说不再打电话骚扰，结果还是一直不间断拨打我公司电话，希望拍拍贷给予合理解释，停止该违法行为，并道歉，赔偿因此给我公司带来的损失。</t>
  </si>
  <si>
    <t>2019/10/10 15:04:21</t>
  </si>
  <si>
    <t>投诉人徐志海投诉对象应急通道涉诉金额5000元问题类型诉求类型投诉详情借款3000，到手只有1700，由于资金周转不过来，借款多次，利息都不知道给了多少，现在我要求他们赔偿我的砍头利息，且投诉他们他们就威胁爆通讯录，态度恶劣！。</t>
  </si>
  <si>
    <t>2019/10/10 15:04:14</t>
  </si>
  <si>
    <t>投诉人俞先生投诉对象nice好赞涉诉金额3444元问题类型诉求类型投诉详情2019年10月3日在nice上购买一双鞋子，页面显示48小时内发货，如今一个星期过去迟迟不发货，期间多次催足客服，客服前2天回复仓库已发等快递揽件，这几天说是在仓库排队等发出，问题是我在10月9号买的同一款鞋子今天10号上午已经收到货，今天上午10号又买了一双，下午已发货，以此推断出根本不存在快递揽件慢和仓库发货需要排队的问题，要求nice告知真实不发货原因并且退款处理。</t>
  </si>
  <si>
    <t>2019/10/10 15:03:49</t>
  </si>
  <si>
    <t>该软件说收取报告费用后能够给予贷款匹配服务，然而在收取我的费用后，APP里面一直显示系统升级中，请耐心等待，并且已经过了一周的时间，期间联系客服联系不上，联系客服后并不能解决该问题，并告知我费用不能退回。</t>
  </si>
  <si>
    <t>2019/10/10 15:03:48</t>
  </si>
  <si>
    <t>投诉人黄先生投诉对象建设银行信用卡委托第三方暴力催收涉诉金额13000元问题类型诉求类型投诉详情由于本人生意失败，造成信用卡逾期，但已跟客服说明会尽快找钱还上，最近几天都接到有委托第三方人员打电话骚扰亲朋好友，已严重影响本人的生话，希望其马上停止骚扰道歉。</t>
  </si>
  <si>
    <t>2019/10/10 15:03:26</t>
  </si>
  <si>
    <t>投诉人岑女士投诉对象海尔消费金融涉诉金额4000元问题类型诉求类型投诉详情短信用私人号码发来，没有工号，没有部门名称，要我联系他撤案，他是谁，短信内容提及到法律问题，但是请你们海尔消费金融外包的催收专业一点，说的话完全就像是没有法律知识的恶意催收，说我涉嫌欺诈，说这些话之前请看看期间我有没有还过款！完全就是恐吓要求还款！。</t>
  </si>
  <si>
    <t>2019/10/10 15:03:24</t>
  </si>
  <si>
    <t>投诉人刘先生投诉对象小米贷款涉诉金额11000元问题类型诉求类型投诉详情本人在小米贷款欠债本期应还1800元左右，但是由于一些原因逾期了4天，请求催收人员给点时间，被催收人员恐吓爆通讯录。</t>
  </si>
  <si>
    <t>2019/10/10 15:03:21</t>
  </si>
  <si>
    <t>投诉人黄纯泉投诉对象恒易融涉诉金额64000元问题类型诉求类型投诉详情本人于2018年8月获得恒易融贷款审批通过，申请额度4.5万元分24期还清，到账4.5万元，砍头息未告知未许可直接从银行账户立扣2300余元，后期电子合同64000余元！每月还款2900余元，截止2019年9月已还14期42000余元，全部还清要还近8万元！费率明显高出国家规定，多次与平台客服联系电话均无法接通！催收人员不给出解释且态度恶劣、经常使用威胁性语言！要求返还砍头息、停止威胁、按国家规定范围内费率偿还！。</t>
  </si>
  <si>
    <t>2019/10/10 15:02:22</t>
  </si>
  <si>
    <t>9月25日玖富万卡客服打电话表示，自动还款失败是我个人问题，该公司在今年6月之后停止自动扣款，主动还款一直正常，，玖富万卡恶意修改合同，不遵从合同流程，直接导致逾期5000元，十几天增长近1000元。</t>
  </si>
  <si>
    <t>2019/10/10 15:02:10</t>
  </si>
  <si>
    <t>当时购买的文件付费后，次月自动扣费，之前也没有提示自动扣费。</t>
  </si>
  <si>
    <t>2019/10/10 15:01:32</t>
  </si>
  <si>
    <t>投诉人杨女士投诉对象阿尔法信涉诉金额30000元问题类型诉求类型投诉详情2019年8月14日经吴文国，介绍，有一个阿尔法平台，做数字货币，被邀请进阿尔法群，在群中每天群主在下午和晚上指导大家大指定的时间购买指定的货币，如果按照他的指导策略购买都可以盈利，资金在第二天可以提现，但是我进群后只提出一次240元，就不能提现了，平台说是以后改为第三天提现，但是在8月19日突然平台关闭，群主退主，再也无法联系，导致损失资金30000余元。</t>
  </si>
  <si>
    <t>2019/10/10 15:01:17</t>
  </si>
  <si>
    <t>投诉人叶先生投诉对象钱站涉诉金额4000元问题类型诉求类型投诉详情高利贷，逾期一天利息居然一百块钱。</t>
  </si>
  <si>
    <t>2019/10/10 15:01:05</t>
  </si>
  <si>
    <t>投诉人解先生投诉对象中国银行涉诉金额9000元问题类型诉求类型投诉详情本人解玉聪在2013年2分丢失身份证一张,立刻到发证机构挂失补办当时并未登报挂失，本人郑重承诺并未在中国银行办理任何信用卡并且信息除本人身份证外所有信息与本人不符，在此期间本人多次与中国银行联系要求处理此问题并恢复本人信用问题，银行的回复直是不好处理没法处理导致本人无法贷款买房对本人生活产生严重影响本人投诉内部人员严重失职和此银行安全体质不健全要求恢复本人信用，望政府帮助一下谢谢并未实际解决间题本人与上述中国银行在“潍坊鑫诚司法鉴定所”已</t>
  </si>
  <si>
    <t>2019/10/10 15:00:51</t>
  </si>
  <si>
    <t>投诉人 赵宇涵        投诉对象  你我贷        涉诉金额  350 元    问题类型    诉求类型投诉详情  七月份在你我贷第二次借款4000 这个月9号应还350 因为特殊原因希望协商到明天晚上之前还款 希望停止骚扰</t>
  </si>
  <si>
    <t>2019/10/10 15:00:16</t>
  </si>
  <si>
    <t>2019年5月24日在新橙优品APP借款5000元，不知什么原因实际到账只有4200元，APP按照等额本息计算出每月1153元，一共要还6期，现在本人发现年化利息居然超过150%，属违法高利贷，本人目前已还4期，每次都按时偿还，但该平台经常无法正常还款，主动发起代扣经常不成功，导致我有一期逾期一天，估计是想恶意收取高额逾期费用，如果因为这个导致本人征信有逾期记录，一定收集证据向监管部门举报投诉，借款为银行放款利息又远超国家规定年利率，要求给予解释，目前本人已还的金额已超过实际收到的本金加按24%年化利率计算</t>
  </si>
  <si>
    <t>投诉人于先生投诉对象招联金融涉诉金额1500元问题类型诉求类型投诉详情冒用身份群发信息。</t>
  </si>
  <si>
    <t>2019/10/10 14:59:53</t>
  </si>
  <si>
    <t>王者钱包利息太高，汇潮支付提供支付通道，要求协商还款。</t>
  </si>
  <si>
    <t>2019/10/10 14:59:46</t>
  </si>
  <si>
    <t>投诉人张先生投诉对象招联金融涉诉金额1800元问题类型诉求类型投诉详情招联客服为了不让消费者注销招联做出虚假承诺，大玩文字游戏，以至于消费者在招联金融借款，然而等消费者借了款之后，并没有得到他们的承诺，。</t>
  </si>
  <si>
    <t>2019/10/10 14:59:32</t>
  </si>
  <si>
    <t>拍拍贷逾期费用一个星期，一共借了一千左右，逾期费用高达20多，你们的逾期费用是怎么计算的，你们必须给我一个解释，还有以前逾期费用你们也要给我个说法。</t>
  </si>
  <si>
    <t>2019/10/10 14:59:22</t>
  </si>
  <si>
    <t>投诉人 王先生        投诉对象  Wecash闪银        涉诉金额  4 300 元    问题类型    诉求类型投诉详情  4300到账3500 还款4700 还不起还可以借闪银平台其他贷款涉嫌套路贷 高利贷 这种产品应该下架 摆明了就是吸血鬼</t>
  </si>
  <si>
    <t>2019/10/10 14:58:22</t>
  </si>
  <si>
    <t>本人在今年1月至5月期间，在网上QQ群被人诱骗以做兼职，赚流水等理由被人拉进兼职群，说以购买彩票方式赚取佣金，后来才知道是非法赌博平台，通过中国人民银行，中国银联，和支付清算协会沟通得知，第三方支付业务应审核客户的相关信息，第三方支付公司不得向证券、期货、博彩等机构提供支付结算业务，作为有牌照的支付公司没有履行国家相关法律法规要求，为违法违规机构平台提供支付结算通道，即产生了洗钱的嫌疑，金融机构客户身份识别和客户身份资料及交易记录保存管理办法，等规定，切实履行反洗钱义务和识别客户身份的义务，希望聚投诉工作人</t>
  </si>
  <si>
    <t>2019/10/10 14:58:16</t>
  </si>
  <si>
    <t>投诉人朱女士投诉对象银盛支付涉诉金额598元问题类型诉求类型投诉详情10月8号银盛公司业务员虚假宣传，说是POS机费率0.38%，实际费率收我0.65%，与推销给我时收的事实不符合，我自己本身就有0.5%的刷卡机，因为他说他这个刷卡机是0.38%费率我才办的，之后今天刷了一笔6080.8元一笔1000元都是收我0.65%的费率，费率比我本身有的刷卡机高我是绝对不会办理的，我现在要求银盛公司退还我押金，机子我退还他们，希望能帮解决，谢谢。</t>
  </si>
  <si>
    <t>2019/10/10 14:58:11</t>
  </si>
  <si>
    <t>本人在2019年8月24日下午5点接到嗨学网老师171******15的电话，自称是我在嗨学网报的一级消防师课程的班主任，之后了解到并不是班主任老师，只是推销课程的，这是典型的欺骗，，在我并无授意的情况下查看我的后台信息和电话，，在谈话中那个老师问我的学习时间，我说一般是晚上7点到11点，他说这样学不完，然后让我参加升级的班型，在开通了班型以后发现几点问题：1.课程按照升班时间到考试时间，根本学不完，当时平台老师根本没有提醒；2.我研究了协议，协议完全是霸王条款，协议中要求观看时长不得低于85%，和你们当时</t>
  </si>
  <si>
    <t>2019/10/10 14:57:40</t>
  </si>
  <si>
    <t>投诉人高先生投诉对象我来数科涉诉金额2266元问题类型诉求类型投诉详情在我来数科，借款2万元分12期，每月还款2266.6，总共还款27199.2元，算下来已经超出国家规定的利息范畴，属于高利贷，因此投诉返还多收的钱，而且一次逾期2天，2266.6元没按时还上，要收300元罚息。</t>
  </si>
  <si>
    <t>2019/10/10 14:57:26</t>
  </si>
  <si>
    <t>投诉人李女士投诉对象麦子金服涉诉金额7200元问题类型诉求类型投诉详情本人多次借款还款情况一直良好，其中一笔结清欠款中有过一次逾期，就不给退还咨询费，觉得很不合理，来聚投诉投诉希望能够退还给我咨询费，保证剩余欠款按时还款。</t>
  </si>
  <si>
    <t>2019/10/10 14:57:19</t>
  </si>
  <si>
    <t>我用身份证开房为什么我的信息会泄露出去，我即没有违法乱纪但信息泄露给我的隐私造成很大的困扰，我需要一个合理的解释。</t>
  </si>
  <si>
    <t>2019/10/10 14:57:17</t>
  </si>
  <si>
    <t>王者钱包违规高利贷！客服态度恶劣，威胁还款！！借款1240，借时未显示借款期限，下款后只有5天！要还2008.8！！前期高达768！！要求协商还款，客服不允，威胁爆通讯录！！要求道歉，现只愿归还到账的1240！。</t>
  </si>
  <si>
    <t>2019/10/10 14:57:08</t>
  </si>
  <si>
    <t>投诉人黄先生投诉对象京东商城涉诉金额0元问题类型诉求类型投诉详情本人19年初购买京东plus会员，无法下单京东商城手机类的商品，客服不退款，也不恢复账号使用功能！霸王条款要求京东恢复账号，退plus会员费用。</t>
  </si>
  <si>
    <t>2019/10/10 14:57:05</t>
  </si>
  <si>
    <t>投诉人李先生投诉对象钱站涉诉金额3200元问题类型诉求类型投诉详情钱站借款3200元，实际到账2000元，已经还完2期，每期还款1121.62，合计已还款2245元，现在仍要我还款1122元，我实际到账只有2000元，前期与客服沟通说我不借了，借的款退给你们，客服说他们决定不了，询问借款3200，实际到账2000元怎么回事，客服说是保证金，借钱时要扣除1200元，这是变相的砍头息，我已还完借款，也有钱还但不想当冤大头。</t>
  </si>
  <si>
    <t>2019/10/10 14:56:21</t>
  </si>
  <si>
    <t>账单逾期两天，对方催收人员态度不好，恐吓借款人，协商推迟一天还款对方不予理睬，还是一直恐吓催收，进行电话骚扰，打电话给平台客户投诉协商，平台客户不予协商，平台不管催收人员暴力催收。</t>
  </si>
  <si>
    <t>2019/10/10 14:56:08</t>
  </si>
  <si>
    <t>投诉人张先生投诉对象Wecash闪银涉诉金额1500元问题类型诉求类型投诉详情闪银这个高利贷公司真是不要脸了！上次投诉为了让我撤销投诉说后面几期不恶意收费，结果投诉一撤销继续恶意收费并且催收更黑社会了，直接暴力催收，恶意拨打通讯录！这种网络接连爆出的高利贷平台怎么还没下架，在打击黑社会的形式下，这些人还顶风作案！闪银砍头息跟714是一模一样，催收是比714更黑，客服说话当放屁三番五次骗人！。</t>
  </si>
  <si>
    <t>2019/10/10 14:55:55</t>
  </si>
  <si>
    <t>投诉人邱伟投诉对象Wecash闪银涉诉金额146元问题类型诉求类型投诉详情在闪银哼哼申请借款，借一千一个月要求强制购物，一件牙膏55，确认订单却是146，商品110，运费20，包装费16，下单后提示申请借款失败，购物订单也不知道在哪取消，找不到订单，就算不能取消也不知道怎么还款，问客服，客服也不回。</t>
  </si>
  <si>
    <t>2019/10/10 14:55:44</t>
  </si>
  <si>
    <t>本人前段时间手头紧，在网上申请了贷款，但是没有申请下来，还私自从银行卡里扣钱。</t>
  </si>
  <si>
    <t>2019/10/10 14:55:06</t>
  </si>
  <si>
    <t>向我索要4000元解冻，当我是傻子吗，那家贷款公司是这样的，真过份。</t>
  </si>
  <si>
    <t>2019/10/10 14:54:47</t>
  </si>
  <si>
    <t>最近交通银行信用卡逾期，不是我不还，我也想还，可是上个月出现变故，目前手上没有钱，恳请交通银行帮忙做分期24个月处理，可以按照国家规定收取利息，也联系过你们，我是做生意亏钱了，并不是有钱不还，恳请交通银行帮忙处理，万分感谢！。</t>
  </si>
  <si>
    <t>2019/10/10 14:54:39</t>
  </si>
  <si>
    <t>客服电话：40003088001.虚假宣传，页面显示日息0.04%，相当于年化14.6%，以此为背景，本人轻醒微博官方旗下借钱平台进行借款，并以实际年化利息54%进行还款，且应减去前期已支付费用）法释[2015]18号，造成损失10993.9元整，由于费用无法协调导致本人逾期费用支付合计209.07元，总额11202.97元整，2.下款时按照36.00%名义年利率就行总费用确定，3.分期还款，每期支付的利息，未减去已经支付的本金，造成实际综合资金成本54%.4.多次联系官方4000308800解决，未果，5</t>
  </si>
  <si>
    <t>2019/10/10 14:54:15</t>
  </si>
  <si>
    <t>上个月9.9日在速金服借款1000元.这个月九号还款,.由于他客户端没有苹果端口,所以只能等他们自己划扣.结果他们不自动还款，划款失败，导致我逾期，本人无力承担，并且积极还款，所以想速金服高抬贵手，帮我减免逾期费，剩下正常还款。</t>
  </si>
  <si>
    <t>2019/10/10 14:54:14</t>
  </si>
  <si>
    <t>自称联系当地公安机关立案,并夸张说打了79个电话,，我基本上每个电话都接,因为我公司创业失败,无论是银行信用卡的或是供应商朋友都让他们非常着急,，深表歉意,都会尽量接他们电话一个个向他们解释,表达我的还款意愿，;而向这种第三方催收公司为了催收拿抽成,不折手段、恐吓、冒充国家公检法想方设法恶意催收实在是太过份，这只会让问题击化，破坏国家公检法形象以外并不会解决任何问题；，因此强烈建议有关部门严肃查处这类第三方催收组织；。</t>
  </si>
  <si>
    <t>2019/10/10 14:53:52</t>
  </si>
  <si>
    <t>在景程旅游v平台购买沃德美美容spa2个套餐，事后发现存在如下问题，坚决要求退款：1、约了2次都预约不上，店家表示顾客爆满，能约上的都是工作日很不便利的时间；2、店家表示店铺在装修，经营地点改在旁边的酒店，一个房间接待好几位客户，担心消费体验大打折扣；3、团购说明上写的男女通用，但店家因为地点改了，表示暂不接待男宾，这在事前并无说明，存在虚假/误导宣传。</t>
  </si>
  <si>
    <t>2019/10/10 14:53:37</t>
  </si>
  <si>
    <t>给本人征信造成止付影响只能强行注销！信用卡强行销卡。</t>
  </si>
  <si>
    <t>2019/10/10 14:53:30</t>
  </si>
  <si>
    <t>我在交通银行信用卡逾期了，从第一期逾期的时候我就主动打客服电话说明了情况，从头到尾都没说过不还款，只是需要银行给点时间缓一缓，9月30号信用卡中心给我打电话，因为上班手机铃声调成静音没接到电话，后来信用卡中心工作人员加我微信和QQ联系我，说我涉嫌恶意拖欠，欺诈，说在当天七点前不处理一起最低额就报警什么的，因为我现在的情况真的很困难，收入只能保障正常日常生活开销，我就跟工作人员说能不能帮忙申请减免违约金和利息，工作人员说可以，一在担保保证说只要我还钱进去了，就可以减免费用，说什么材料都准备好了，就等我还款进去</t>
  </si>
  <si>
    <t>2019/10/10 14:53:23</t>
  </si>
  <si>
    <t>投诉人 金先生        投诉对象  新橙优品        涉诉金额  3 000 元    问题类型    诉求类型投诉详情  恐吓骚扰我的母亲和姐姐。我欠钱是不对 有罚息也可以理解。可笑的是什么 app金额显示总计还款4000余元 客服来电开口就是还五千一次性结清 请问这是开玩笑吗？不断用语言威胁我母亲 致使我母亲担惊受怕 使我姐姐担惊受怕</t>
  </si>
  <si>
    <t>2019/10/10 14:53:02</t>
  </si>
  <si>
    <t>现在真的没钱还，每期还394，乘下两期，现在还要还1400，这利息吓人。</t>
  </si>
  <si>
    <t>2019/10/10 14:52:41</t>
  </si>
  <si>
    <t>本人在来米巴士借款2次，且他们收取高额的砍头利息费用，我现在要求他们退回我一部分费用，且他们以其他公司正规牌照退款为由，如果正规牌照退款，他们也可以退款为由，来隐藏不给退款的意思，我想问正规牌照公司会允许收取高额的砍头利息费用吗。</t>
  </si>
  <si>
    <t>2019/10/10 14:52:03</t>
  </si>
  <si>
    <t>9月在店内购买卡，推荐给朋友拼团一共购买6张，跟客服沟通截图如下，说不要月租，但是每个月都收取了，找商家，商家搪塞言是抵扣，可是当时并没有写明，找拼多多维权，客服一直说要挂电话，解决不了，说在详情写了抵扣，可是并没写，商家在昨天我沟通后，自己下架了商品，重新上传了连接，希望可以公证的解决。</t>
  </si>
  <si>
    <t>2019/10/10 14:51:34</t>
  </si>
  <si>
    <t>本人经营一家超市，上个月9月24号用超盟金服的收款码收钱，被冻结了块6万，打电话给超盟金服客服一直推脱责任，说是乐刷冻结的资金，打电话给乐刷，乐刷说只能找超盟金服，超盟金服又不给处理。</t>
  </si>
  <si>
    <t>2019/10/10 14:51:28</t>
  </si>
  <si>
    <t>从未办理过省呗,自从2019年7月份开始不间断在银行卡号62****************3卡中扣去费用811.37和814.7和772.04元共计2300元,还可能继续扣费.因为此卡专门用于各类还款,导致房贷/车贷和平安贷款扣款余额不足,导致逾期以及产生违约费用.希望平台能够尽快处理并处理。</t>
  </si>
  <si>
    <t>2019/10/10 14:51:06</t>
  </si>
  <si>
    <t>因为本人于三月份左右有过一次手头紧，导致当时花呗借呗逾期，但当时有跟支付宝客服反映沟通的，然而因为我逾期，该支付宝花呗就取消了我分期还款的资格，导致后来新账加旧账，每月都要还款，还要生活和带孩子，确实困难重重，现又遭遇小米贷款套路贷，这段时间是我最难得时候，为何你们这些个放款软件啥的，都要这样针对我们当事人啊，人都有遇到困难的时候，为什么老是再别人最困难的时候～让其全额还款或者是取消分期还款的资格，我支付宝黄金会员以前657，现在给我降到498，你们咋这样啊！跟土匪似的，现在都啥年代了，暑假期间，还多次骚扰</t>
  </si>
  <si>
    <t>2019/10/10 14:50:23</t>
  </si>
  <si>
    <t>招商银行手机客户端内的高德打车以系统调试为由，使部分获得活动优惠券的客户长达一个多月发单失败，许多前期活动获取的优惠券都因此过期，多次电话联系招商和高德两家客服均无果！而与此同时间段内，没有参加活动获取到优惠券的其他客户却可以通过招商银行手机客户端里的高德打车正常发单，足以见得是这两家故意针对此前参加活动的客户做出了屏蔽的拙劣行为！。</t>
  </si>
  <si>
    <t>2019/10/10 14:50:12</t>
  </si>
  <si>
    <t>投诉人 王先生        投诉对象  美约APP        涉诉金额  298 元    问题类型    诉求类型投诉详情  在用户不知情的情况下 自动续订298元开通会员 根本没有任何提醒 未经用户核实直接续订 这种行为让我无法理解</t>
  </si>
  <si>
    <t>2019/10/10 14:49:56</t>
  </si>
  <si>
    <t>借款2100，分四期七天一期，已还三期2300.4，超出本金200元，要求最后一期销账！。</t>
  </si>
  <si>
    <t>2019/10/10 14:48:37</t>
  </si>
  <si>
    <t>投诉人 冯方琪先生        投诉对象  造艺科技        涉诉金额  299 元    问题类型    诉求类型投诉详情  造艺科技，聚富分期。要求退款299造艺科技，聚富分期。要求退款299造艺科技，聚富分期。要求退款299造艺科技，聚富分期。要求退款299造艺科技，聚富分期。要求退款299造艺科技，聚富分期。要求退款299</t>
  </si>
  <si>
    <t>2019/10/10 14:48:35</t>
  </si>
  <si>
    <t>本人2018年因资金需求使用百度有钱花平台的尊享贷业务，当时借资为2万元还款居然要还3万1千多，每月等额还款，年利率明显高出国家法定利息，等借款了之后才发现宜人贷收取高额服务费高达6000多元及平台担保费，我就不明白我什么享受了什么高级服务需要这么贵的服务费，这明摆着就是套路贷款顾名思义就是变相收取高额利息，谋取暴利。</t>
  </si>
  <si>
    <t>2019/10/10 14:48:12</t>
  </si>
  <si>
    <t>爱玩斗地主app里面的地主跑酷游戏是个赌博的游戏，里面有很多买分卖分的，游戏方为了利益故意放任不管，并且和某些人一起欺诈消费者！。</t>
  </si>
  <si>
    <t>2019/10/10 14:47:39</t>
  </si>
  <si>
    <t>逾期了6天就涨了43元的利息，申请的时候本就扣了300的什么保证金，太黑了，客服态度恶劣，本来想还的听到那种语气必须过来投诉。</t>
  </si>
  <si>
    <t>2019/10/10 14:47:23</t>
  </si>
  <si>
    <t>辱骂，爆通讯录，暴力催收辱骂联系人要求做出处罚，下架该产品。</t>
  </si>
  <si>
    <t>暴力催收，恐吓，骚扰家人！停止这一切违法行为。</t>
  </si>
  <si>
    <t>2019/10/10 14:47:13</t>
  </si>
  <si>
    <t>本人因为是学生的原因放暑假暂时没有收入来源京东逾期两个月，开学准备协商还款，但是京东直接雇佣第三方催收公司威胁要求必须下午四点前还款，让我找家里人要钱，不然威胁我要上门催收，本人本着积极还款的想法，先还了100表达诚意，依旧进行骚扰，现在对我的学习和生活造成十分大的影响，我要求京东方面出面道歉并且和我协商沟通还款时间。</t>
  </si>
  <si>
    <t>2019/10/10 14:46:40</t>
  </si>
  <si>
    <t>已经偿还一期金额为2639.97元，本人愿承担剩余本金以及五百元利息，希望能做销账处理，请聚投诉尽快联系该贷款平台。</t>
  </si>
  <si>
    <t>2019/10/10 14:46:25</t>
  </si>
  <si>
    <t>本人于2016年6月18日在北京快跑信息科技有限公司旗下小猪短租网预订了389元一晚的住房，当天联系房东然后房东告知由于房屋设备条件需要我申请退款，于是我们当时重新预定了别的酒店并当时就联系小猪平台办理退款事宜，全部沟通过后马上取消订单，最多半个小时完全不影响他们正常营业，结果告知扣了全额房款，简直就是霸王条款平台，，完全不管消费者的权益，平台没有任何一点提醒的义务，只会推卸责任，我们没有入住，而且跟房东小猪平台都有过电话沟通，但依旧被全额扣费，我们没有入住办理了取消平台却强制我们消费扣费，还不退款给我。</t>
  </si>
  <si>
    <t>2019/10/10 14:46:11</t>
  </si>
  <si>
    <t>一共借款四万，还了十四期了，一期是1470多，一共还了20500多了，现在打算明年一月份一次还清，11月12月正常还款，也就是说到一月份我一共还了24000,.结清还需要36000多，合着说四万用一年两万的利息。</t>
  </si>
  <si>
    <t>2019/10/10 14:45:43</t>
  </si>
  <si>
    <t>投诉人张先生投诉对象钱站涉诉金额1330元问题类型诉求类型投诉详情下图附有合同内容，实际借款为1000元，但是下面却写着1330元，前期投诉结果却是钱站给出的回复却是：根据评资给出的借款合同，要求钱站重新修改利率及修改合同中的借款数额。</t>
  </si>
  <si>
    <t>2019/10/10 14:45:32</t>
  </si>
  <si>
    <t>小象优品群发信息给手机通讯录对本人造成骚扰。</t>
  </si>
  <si>
    <t>2019/10/10 14:45:25</t>
  </si>
  <si>
    <t>我的逾期案件我要协商还款，现在资金困难，并且我刚还了七百元以示我有还款意愿并非像催收人员所说的骗工作人员不想还款啊什么的。</t>
  </si>
  <si>
    <t>2019/10/10 14:45:22</t>
  </si>
  <si>
    <t>本人于2019年2019年9月24日误点开该公司旗下众鑫玩卡系列御剑飞行APP违法套路贷APP，申请借款2100元，后发现此平台为国家违法平台后，遂与9月24日-29日间向客服申请取消交易皆以失败告终，29日后至今该APP客服恶意以伪造海外电话骚扰要求归还3500元，为防止恶性事件发生本人于2019年9月29日及10月3日分别转账2000元、1500元至该APP私人财务账户，但客服仍以利息为由不断敲诈勒索，恶言相对，骚扰不断，严重影响本人正常工作生活，望相关部门尽快取缔该违法平台，避免恶性事件发生。</t>
  </si>
  <si>
    <t>2019/10/10 14:44:44</t>
  </si>
  <si>
    <t>在交易猫购买的一个QQ号码为帐号的红警OL游戏帐号，买来还没开始上号，卖家加我QQ催我尽快确认收货，好让他马上拿到钱，但因为没有改掉帐号全部资料，我也就没有确认收货，下午五点钟帐号就显示让人举报被冻结了QQ帐号，也就是游戏账号，因为卖家有购买不找回保险，我这里也还没有确认收货，所以我马上申请仲裁，仲裁来来回回七八天了，最后我这里显示要我提供QQ安全中心里面的卖家申诉记录，我帐号已经让卖家找回去了，我本人根本已经登入不上去帐号了，还要我提供记录，交易猫自己都提供不了的，我一个小玩家能提供吗，投诉交易猫仲裁还有</t>
  </si>
  <si>
    <t>2019/10/10 14:44:14</t>
  </si>
  <si>
    <t>未经过本人同意，私人调查本人的社保，而且之前投诉过一次，原因是电话打不停，现在就开始私自调查本人的社保，我想请问，现在拿什么来保护消费者的隐私和权益。</t>
  </si>
  <si>
    <t>2019/10/10 14:43:31</t>
  </si>
  <si>
    <t>非常暴力的催收，每天骚扰超过3个电话，一直打不停，都还没逾期就爆通讯录，永远没人接听，手机应用商店搜索：花财APP，好几个月一直显示：该应用内部优化，暂不提供下载，花财催收提供的客服热线：4008620003，语音没提示是花财公司的，客服接了电话，态度很差，直接挂断，在线咨询花财客服，永远没人回答。</t>
  </si>
  <si>
    <t>2019/10/10 14:43:25</t>
  </si>
  <si>
    <t>捷信金融客服说话强硬催收骚扰联系人拨打单位电话影响我正常工作上班人际交往给我造成负面影响。</t>
  </si>
  <si>
    <t>2019/10/10 14:43:24</t>
  </si>
  <si>
    <t>因最后一期还款日提前了两天，结果完成逾期，后跟新橙工作人员联系，取得协商结果900块能处理结清，然后工作人员要求我还对公账户，但我多次致电客服询问对公账户，客服都是稍后发给我，但是我一直都没收到过！现在有称新橙优品工作人员联系我，说900不能结清，说我26号没处理，试问一直没给我对公账户，我怎么处理，现在工作人员还把问题赖我头上来！什么叫做协商！当初900元能结清也是新橙工作人员给我开的价，我同意了，然后要求还对公，现在怎么却不遵守承诺，还反咬我一口！超过900元结清我不能接受！一定投诉到底！怎么协商就怎么</t>
  </si>
  <si>
    <t>2019/10/10 14:43:10</t>
  </si>
  <si>
    <t>投诉人 沙先生        投诉对象  捷信金融        涉诉金额  22 000 元    问题类型    诉求类型投诉详情  我在捷信分期贷了2万2千元 分36期现在还了2万3千多 还要我还2万1千万 实在无力偿还 利息太高了 而且每天发电话给我身边的人 还请外包公司 恐吓我 每天一直给我父母打电话 因为我不懂 所以寻求帮助</t>
  </si>
  <si>
    <t>2019/10/10 14:42:44</t>
  </si>
  <si>
    <t>我在国美易卡有两比借款逾期一个逾期2天一个逾期3天逾期滞纳金一个20多一个50多，你们是怎么计算的，这和高利贷有区别的，希望你们给我一个解释，不解释我拒接还款，还有以前我逾期交的逾期滞纳金你们也给我解释一下。</t>
  </si>
  <si>
    <t>2019/10/10 14:41:32</t>
  </si>
  <si>
    <t>一笔借三万，利息5000多，服务费还收22000，一笔借了一万，利息1900，服务费收7500，高利贷，要求销账。</t>
  </si>
  <si>
    <t>2019/10/10 14:41:26</t>
  </si>
  <si>
    <t>2019/10/10 14:41:22</t>
  </si>
  <si>
    <t>已与该平台催收人员协商还款时间，该平台催收恶语中伤，辱骂本人。</t>
  </si>
  <si>
    <t>2019/10/10 14:41:10</t>
  </si>
  <si>
    <t>明天的套路贷，借2000元到账1450元时间15天，到期以后续期一次15天500元，续期一天80块，太坑人了。</t>
  </si>
  <si>
    <t>2019/10/10 14:41:09</t>
  </si>
  <si>
    <t>指上旅行借款目前逾期一天中，还有两期未还需协商还款，无法联系到客服人员。</t>
  </si>
  <si>
    <t>2019/10/10 14:40:39</t>
  </si>
  <si>
    <t>逾期，未能按时还款每天超过国家规定催收电话，短信威胁，因工作原因未能接电话，就发短信威胁，未经允许泄露信息给三方。</t>
  </si>
  <si>
    <t>2019/10/10 14:40:37</t>
  </si>
  <si>
    <t>我以前被人忽悠，办理了捷信消费金融有限公司的贷款，那是四年前的事情了，后来赶紧还清了，从上个月开始，不知道为什么经常打电话骚扰我，我从来没有接电话，每次打骚扰电话我都拒接，并且拉黑和删除记录，她们用很多号码分别打电话！今天又打骚扰电话给我，我想到了投诉，所以没有删掉电话记录，已经截图了。</t>
  </si>
  <si>
    <t>2019/10/10 14:40:15</t>
  </si>
  <si>
    <t>9月10日在手机借钱申请了6000元钱，2个月时间就要还9592，利息严重超过国家相关规定标准，要求本金加合理利息结清销账。</t>
  </si>
  <si>
    <t>2019/10/10 14:39:37</t>
  </si>
  <si>
    <t>10月10日，事情愈演愈烈，其催收人员联系拨打单位电话，态度恶劣，骚扰单位正常办公，并对我个人声誉造成不良影响，我拨打95555客服电话，仍然无人解决此事，而催收部门第一时间得知我投诉一事，却仍然骚扰。</t>
  </si>
  <si>
    <t>2019/10/10 14:38:59</t>
  </si>
  <si>
    <t>贷款4000元，上边写着利息一共360元，按照还款计划需要总还款5005.95元，逾期一天，我因资金没到账，需要今天晚点还款，协商无果，今天一共接到四次以上催收电话，我都有录音，且电话内威胁恐吓我，一个小时内不还款要打爆我通讯录，每个人打一遍，还要p图群发，对于这样的暴力催收，恐吓借款人，我要求立马停止违法行为，要求减免违法利息，我需要按照正常合理的利息来进行结清！。</t>
  </si>
  <si>
    <t>2019/10/10 14:37:55</t>
  </si>
  <si>
    <t>投诉人余先生投诉对象交易猫涉诉金额500元问题类型诉求类型投诉详情账号被找回，客服不理，用ai一直敷衍，让找卖家他说我是要报警吗。</t>
  </si>
  <si>
    <t>2019/10/10 14:37:38</t>
  </si>
  <si>
    <t>本人系大学生，在分期乐借款，现在要提前还款，但是分期乐只支持微信支付了，由于微信单笔联系限额为10000所以我无法支付，只能一个个还款，但是那样无法享受费用减免，我要求商家变更支付方式并快速处理。</t>
  </si>
  <si>
    <t>2019/10/10 14:37:07</t>
  </si>
  <si>
    <t>京东委托方，本人逾期，京东委托方联系到我之后就说要起诉我，联系我的朋友。</t>
  </si>
  <si>
    <t>2019/10/10 14:36:25</t>
  </si>
  <si>
    <t>本人没有在拍拍贷申请过贷款，我妻子就没有拍拍贷APP账户，我妻子银行卡也没有收到任何机构放的款，但一直就有催收电话打进来，催收电话骚扰着一大家人，和我不同时间段接到全国各个地方打来的催收电话，这种状态一直持续到现在，仍然还在继续，现在家庭成员总共5人都接到催收电话，最过分的是河北沧州一个号码，打过来还侮辱人，咒骂人，不希望再有那么多的催收电话来骚扰我的妻子以及我的家人。</t>
  </si>
  <si>
    <t>2019/10/10 14:36:21</t>
  </si>
  <si>
    <t>我在优信二手车买的二手车成交价是193300元整，我首付19330，GPS费用1800，服务费7000，我首付一共3.06万，现在月供5008，总欠款不包括利息还有203981，我后来再三逼问他们自己也说不清楚是什么费用，后来说是资产管理费，存在明显的隐瞒，现在是我真真切切买这辆车所花费的贷款居然比车价高出小三万，首付付了三万多，到头来贷款金额比车价都高了，主要是合同上多出来个技术服务费284470，这个技术服务费从一开始就没说有这个费用，但是出现在合同里，签合同的时候销售只追着让我签，说抓紧时间，没必要看</t>
  </si>
  <si>
    <t>2019/10/10 14:36:12</t>
  </si>
  <si>
    <t>9月11号扣两笔款共412元，9月23号已按相关退款流程提交资料，10月8号打电话给服务，态度极差，现退款还没有收到。</t>
  </si>
  <si>
    <t>2019/10/10 14:36:07</t>
  </si>
  <si>
    <t>由于本人家庭情况出现问题准备退保报险，报险费已经交满两年多了，去保险公司询问退保，按照合同交满两年就可以退回全部保金，已经交满十年，分的红利从开始就没看到过，现在退保还不按合同办事，其中两份报险已经交满十年一共交了23400元说退保只能退8000多元，这简直是坑人，骗保，请求贵公司给个说法，当时签订的合同没有法律效果。</t>
  </si>
  <si>
    <t>2019/10/10 14:35:56</t>
  </si>
  <si>
    <t>钱通均为七天的周期，每笔借款都有砍头息，希望易宝严肃处理。</t>
  </si>
  <si>
    <t>2019/10/10 14:35:48</t>
  </si>
  <si>
    <t>中信银行信用卡的“行动时贷”，还有最后三期还完，前面21期从来没逾期，但是家人长癌症了，近期无力偿还，行动时贷还款当天与客服协商延期，客服说无权利处理，要求减免利息还剩余本金，或者最后三期延期处理，或者最后三期分期成多期处理，三个方案哪一个都可以。</t>
  </si>
  <si>
    <t>2019/10/10 14:35:20</t>
  </si>
  <si>
    <t>10月9日我与转转上的买家联系好将我的二手电脑5000元转让给买家，买家在转转支付了款项，我按照约定将电脑送到买家指定位置，然后买家验货，在转转平台确认收货，但是转转平台直接将资金冻结，说是资金异常，我和买家都没办法解决，和平台客服多次沟通得不到解决，希望通过聚投诉平台来和转转平台协商。</t>
  </si>
  <si>
    <t>2019/10/10 14:34:59</t>
  </si>
  <si>
    <t>宜信普惠，电话骚扰，网络高利贷，说什么有信用卡就可以下款，还说让专员加我微信，可以给我放贷。</t>
  </si>
  <si>
    <t>2019/10/10 14:34:23</t>
  </si>
  <si>
    <t>我是蜂鸟众包的一名兼职骑手，饿了么平台无缘无故限制永久接单，也没有顾客或者商家投诉，为什么限制永久接单。</t>
  </si>
  <si>
    <t>2019/10/10 14:34:03</t>
  </si>
  <si>
    <t>投诉人 刘先生        投诉对象  美团金融        涉诉金额  1 800 元    问题类型    诉求类型投诉详情  冒充国家工作人员恐吓，暴力催收，爆通讯录</t>
  </si>
  <si>
    <t>2019/10/10 14:33:44</t>
  </si>
  <si>
    <t>半夜1点多莫名其妙被特约中归连续多次扣款，金额20到500不等，没有签约过特约中归，不知钱款去向，希望可以如数归还，不然会走法律程序进行维权。</t>
  </si>
  <si>
    <t>2019/10/10 14:33:25</t>
  </si>
  <si>
    <t>本人系大学生，在国美易卡借款12000，我现在要提前还款，但是却没有那个操作页面，询问客服，客服置之不理只回复：按app提示还款，然后只能一个一个地还款且仍然还要承担利息，我要求其减去我的利息，我会提前还完所有借款本金。</t>
  </si>
  <si>
    <t>2019/10/10 14:33:11</t>
  </si>
  <si>
    <t>上个月已经协商好还本金结清，我也有录音，聊天截图，现在又接到电话继续让还款，说我被工作人员骗了，下面是协商好的截图，我也给金融办打电话了，下面是截图证据。</t>
  </si>
  <si>
    <t>2019/10/10 14:33:00</t>
  </si>
  <si>
    <t>投诉人 王先生        投诉对象  京东金融        涉诉金额  2 202 元    问题类型    诉求类型投诉详情  京东白条逾期10天就要求还全款。还发通告函要起诉。还要上门。希望客服给出合理解释。不要暴力催收</t>
  </si>
  <si>
    <t>2019/10/10 14:32:59</t>
  </si>
  <si>
    <t>投诉人 黄先生        投诉对象  百川推客        涉诉金额  100 元    问题类型    诉求类型投诉详情  以欺诈方式骗用户推广身边朋友 同事后不执行奖励金。欺骗欺诈</t>
  </si>
  <si>
    <t>2019/10/10 14:32:11</t>
  </si>
  <si>
    <t>催收辱骂欠款方以及暴力催收欠款方，每半个小时就来电话，行为恶劣，这种产品没有资格上市！。</t>
  </si>
  <si>
    <t>2019/10/10 14:31:42</t>
  </si>
  <si>
    <t>投诉人 隗先生        投诉对象  拍拍贷        涉诉金额  2 200 元    问题类型    诉求类型投诉详情  天天打电话给我家人和朋友，还轰炸机 真牛逼啊？</t>
  </si>
  <si>
    <t>2019/10/10 14:31:28</t>
  </si>
  <si>
    <t>贵公司在短信群发骚扰我通讯录，请立即停止，否则依法追究法律责任。</t>
  </si>
  <si>
    <t>2019/10/10 14:31:16</t>
  </si>
  <si>
    <t>因为已经很久的事情，所以没有具体去银行打流水，实际到账多少，但明显和合同不一样的金额，当时记得是贷款25000元，分36期还，每月还1301.52元，按36期需要还46854.72元，快要接近翻一倍了，我现在已经还了22125.84元，请相关部门严查。</t>
  </si>
  <si>
    <t>2019/10/10 14:31:04</t>
  </si>
  <si>
    <t>本人在2019年10月8日下午13点多的时候准备去租来电的充电宝！因为看到了他们出来的新功能刷脸就可以租充电宝了，然后就准备体验一下，但是后面发现要押金100，所以我就退出了，转而用支付宝扫码租充电宝，因为支付宝可以免押金！10月9日无意间发现在微信里面有个扣费记录，来电扣了我100押金！我没有收到任何消费提醒！然后我就进入来电的个人中心准备把押金退了，但是发现根本就没有显示有这100押金！然后我咨询他们人工客服，他们人工客服没有查询到我8号在他们微信公众号有租充电宝的记录！还说他们没有收到这100押金！更</t>
  </si>
  <si>
    <t>2019/10/10 14:30:29</t>
  </si>
  <si>
    <t>在刷宝助手app上分别用三个手机号注册了账号，且分别购买了298元、86元、1元的机器人助手各三台，共计1155元，以下购买截图只有一个1元是当时用的家人的支付宝付款的，故没附上，，之后没过多久，发现提现无法到账，直至最后app无法打开，一直显示紧急修复中，而且用户的QQ群，微信群均被解散！客服说是被黑客侵入了，系统正在修复，叫安心等待，可是从事发时间到今天已经一个月时间了，系统还是老样子，无法登入，提示紧急修复中，烦请客服帮忙给处理一下，谢谢。</t>
  </si>
  <si>
    <t>2019/10/10 14:30:24</t>
  </si>
  <si>
    <t>-160062****************6，当时他们第三方支付要我通过易宝给我打款的信息我也给他们提供了。</t>
  </si>
  <si>
    <t>2019/10/10 14:30:09</t>
  </si>
  <si>
    <t>因为我工资打卡时间发生了改变，所以近5期内与还款时间发生了冲突出现了逾期，并且我已于客服沟通申请更改还款日期，客服不予理睬，催收人员在催收期间出现了，暴力催收态度恶劣，在我电话可以打通的情况下骚扰家人，骚扰我通讯录里的朋友造成了影响，并且我在聚投诉上进行了投诉而对方任何反应都没有依然如此。</t>
  </si>
  <si>
    <t>2019/10/10 14:29:50</t>
  </si>
  <si>
    <t>交通银行信用卡催收部的是黑社会吗，跟他说了等会还整天啰啰嗦嗦，明明说今天下午4点。</t>
  </si>
  <si>
    <t>2019/10/10 14:29:42</t>
  </si>
  <si>
    <t>投诉人 樊女士        投诉对象  宝付支付        涉诉金额  9 379 元    问题类型    诉求类型投诉详情  以下是我的银行卡扣款记录，请帮帮我。2019/6/18 -457.88 宝付支付2019/6/17 -1086.4 宝付支付2019/6/12 -2510 宝付支付2019/6/10 -1606.4 宝付支付2019/6/10 -424.88 宝付支付2019/6/9 -1606.4 宝付支付2019/6/3 -424.88 宝付支付</t>
  </si>
  <si>
    <t>2019/10/10 14:29:34</t>
  </si>
  <si>
    <t>本人是一个农村出来的，在城市工作，一次是通过加入的一个兼职群里面，有一个人添加了我，然后说赚钱，一个星期最少可以赚100多，完全可以放心，这样给我说，给我链接下载地址，我按照他的要求进行了几次充值，第一次是7.31号我连续充值了，他说放那，自动反，过了差不多一个星期，继续让我充值，各种方法说服我，因为一次次充值我发现有点不对，对方肯定查觉到了，由于本人没有见过什么大的世面，后面他说登录下，让我过两天在看，后面我怕被骗，晚上半夜登录发现上面钱不在，给他微信发信息，因为4000对于我来说是一笔很大数字，微信已被</t>
  </si>
  <si>
    <t>2019/10/10 14:29:13</t>
  </si>
  <si>
    <t>2018年九月份智富车贷贷款61000.利息1.1，每个月还款2684元，已经远远超出利息1.1，还了12期后，要求提前还款，被告知还需还55000元，GPS费用3000多元，强制购买保险费1800多，每个月还要收取一百多的服务费。</t>
  </si>
  <si>
    <t>2019/10/10 14:29:07</t>
  </si>
  <si>
    <t>中归,信而富,云南信托涉诉金额338元问题类型诉求类型投诉详情信而富强制捆绑消费必须购买虚拟物品，只退一期虚拟卡，不退其它的。</t>
  </si>
  <si>
    <t>2019/10/10 14:29:03</t>
  </si>
  <si>
    <t>投诉人李女士投诉对象魔借涉诉金额10000元问题类型诉求类型投诉详情本人于2018年10月借款8000元，分12期还，可是APP显示借款一万，现在已经还了11期，共还款10274元，魔借存在阴阳合同，请魔借回复。</t>
  </si>
  <si>
    <t>2019/10/10 14:28:58</t>
  </si>
  <si>
    <t>投诉人姜先生投诉对象名校白领贷涉诉金额140000元问题类型诉求类型投诉详情当时申请的十万元借款，客服给我打电话说收取一个什么费用两万元，到账八万元，分36期还款，可资金数额已经达到十四万元了，我现在已经还了25个月了，每期还款4068.59元，我现在已还完金额是101714.75元了，远超过贷款额度了，这是高利息，我申请维权，之间有一天逾期就开始骚扰我的家人，我家还有病人，现在被这个钱弄的家破人亡了现在婚也离了，父亲还有重病，我申请法律援助。</t>
  </si>
  <si>
    <t>2019/10/10 14:28:55</t>
  </si>
  <si>
    <t>投诉人虞先生投诉对象爱又米涉诉金额3800元问题类型诉求类型投诉详情本人系大学生，爱又米打着不给学生借款的名义仍然把借款对象瞄准学生，对我进行恐吓催收；我联系其停止增加我的逾期费用，我会提前还清所有本金但是一直联系不上客服，我要求其减去我所有的利息，我要提前还款本金。</t>
  </si>
  <si>
    <t>2019/10/10 14:28:53</t>
  </si>
  <si>
    <t>投诉人赵女士投诉对象友信涉诉金额30000元问题类型诉求类型投诉详情阴阳合同，高利贷，在未逾期情况下暴力催收，言语恶略，无视法律，随便拨打联系人电话，要求还合理的利息，停止暴力催收，道歉。</t>
  </si>
  <si>
    <t>2019/10/10 14:28:35</t>
  </si>
  <si>
    <t>投诉人 刘女士        投诉对象  钱站        涉诉金额  10 000 元    问题类型    诉求类型投诉详情  成都凡普金科。茂业中心C座。黑心企业。钱站利率高，阴阳合同。对内部员工更是黑心。动不动就是扣你绩效。管理根本就没有宣导到位不说。一句话就能扣你15%绩效。连续几单 一个员工一个月绩效就没了。只有自己走人。真的不知道这种垃圾公司怎么还能生存的。难道就是靠这种高利贷养活？黑了借款用户的钱 还要去黑内部员工的血汗钱。</t>
  </si>
  <si>
    <t>2019/10/10 14:27:40</t>
  </si>
  <si>
    <t>10月9日，联动优势辽宁乱扣款，从本人交通银行扣取16748元人民币，希望平台通知商家，协助尽快处理！。</t>
  </si>
  <si>
    <t>2019/10/10 14:27:37</t>
  </si>
  <si>
    <t>投诉人张坤投诉对象恒易普惠涉诉金额12000元问题类型诉求类型投诉详情恶意扣除砍头息，让我的日子没有办法生活，真累，感觉生活好累，不想活了。</t>
  </si>
  <si>
    <t>2019/10/10 14:27:33</t>
  </si>
  <si>
    <t>投诉人马女士投诉对象苏宁金融涉诉金额1600元问题类型诉求类型投诉详情本人之前多次与苏宁金融客服沟通过，希望能高抬贵手，宽限一下，本人家庭出现变故，自己带着两个孩子，并且母亲之前一直在住院治病，现在本人暂时没有收入，希望苏宁给我宽限一下，任性贷借款一万九千元，已还将近一万八千元，如果我是骗子我没必要还剩一千多本金了才赖账，真的是被逼上绝路了，求求贵公司不要这么威胁我了，我真的心力交瘁了，心理压力太大了，我只要好转了肯定会还款，你们也是上市的大公司，法律夜不外乎人情啊，剩的不多了请你们宽限一下。</t>
  </si>
  <si>
    <t>2019/10/10 14:27:24</t>
  </si>
  <si>
    <t>投诉人余鸿杰投诉对象招联金融涉诉金额5800元问题类型诉求类型投诉详情多次致电骚扰政府部门办公电话与本人单位办公电话，不愿意与我协商还款事宜！。</t>
  </si>
  <si>
    <t>2019/10/10 14:26:32</t>
  </si>
  <si>
    <t>由于现在家里出现了重大的经济困难，全家人的温饱都成了问题，目前逾期了，暂时还不上，也和客服人员说明了我的情况也提供了相关证明，表示以后会慢慢还，会还完的，不会赖账，可对方催收人员就粗暴对待，不听解释，威胁要群发我身份证手持照片给我通讯录所有人，还侵犯我隐私权查询本人淘宝购买记录，威胁，恐吓，P图，爆本人的手机通讯录，骚扰家人亲戚朋友同事，给本人和家人亲戚朋友同事造成严重伤害，为此本人被迫离开了公司，导致全家人生活无着落走投无路，这份工作是仅有的保障全家人生活的来源，本在在此请求政府主持公道对他们进行处理，本</t>
  </si>
  <si>
    <t>2019/10/10 14:26:31</t>
  </si>
  <si>
    <t>投诉人范女士投诉对象淘集集涉诉金额150000元问题类型诉求类型投诉详情我们是从去年11月份开始做淘集集，一共入驻了5个店铺，2018年之前提现半个月到账，可是一直还是不到账，几百块的提现到账很快，上万的就一直是财务审核状态，我们商家投诉无门，现在别提卖一单我们能赚多少钱了，现在是连本都给我们吞了，无良平台。</t>
  </si>
  <si>
    <t>2019/10/10 14:26:06</t>
  </si>
  <si>
    <t>借款3000到账2700还3400，还款日当晚10点操作还款，第二天就打电话加微信恐吓骚扰！希望聚投诉公平处理暴力催收高利贷！。</t>
  </si>
  <si>
    <t>2019/10/10 14:26:04</t>
  </si>
  <si>
    <t>投诉人秦先生投诉对象拍拍贷,曹操贷涉诉金额8000元问题类型诉求类型投诉详情伪造律师函，疯狂骚扰，各种威胁，骚扰亲朋好友。</t>
  </si>
  <si>
    <t>2019/10/10 14:25:57</t>
  </si>
  <si>
    <t>投诉人 董先生        投诉对象  嘉联支付        涉诉金额  99 元    问题类型    诉求类型投诉详情  刷满20笔消费 押金还是不能退，要求退还</t>
  </si>
  <si>
    <t>2019/10/10 14:25:52</t>
  </si>
  <si>
    <t>投诉人洪先生投诉对象联动发卡涉诉金额355元问题类型诉求类型投诉详情购买的卡付款后充值显示一个月前已经被充值，联系卖家不予处理，投诉订单后平台不予处理，切查询不到投诉订单了。</t>
  </si>
  <si>
    <t>2019/10/10 14:25:43</t>
  </si>
  <si>
    <t>投诉人张女士投诉对象省呗涉诉金额2700元问题类型诉求类型投诉详情客服不通事理频频电话骚扰微信骚扰qq骚扰让我及我的家人感到困惑。</t>
  </si>
  <si>
    <t>2019/10/10 14:25:39</t>
  </si>
  <si>
    <t>投诉人李先生投诉对象网易云音乐商城涉诉金额199元问题类型诉求类型投诉详情耳麦存在质量问题。</t>
  </si>
  <si>
    <t>2019/10/10 14:25:36</t>
  </si>
  <si>
    <t>安逸花乱收费，都收取了息费了，但在我不知情的情况下，又还收取了寿险计划服务费、灵活还款包服务费、超次取款手续费，为什么这样子，我都还款了好多个月了，要求取消其他费用，赔偿以前乱收取的费用。</t>
  </si>
  <si>
    <t>2019/10/10 14:25:32</t>
  </si>
  <si>
    <t>还款日当天，电话骚扰不断，影响正常生活与工作，上午才投诉的，下午一点到亮点之间，骚扰电话不断，今天是还款日，并没有逾期，再次声明，没有逾期，影响了正常生活与工作，被投诉放：公司名称：天津趣分期科技有限公司法定代表人：罗敏登记机关：天津市滨海新区市场和质量监督管理局住所：天津生态城动漫中路126号动漫大厦B1-4层-22.向中国互联网金融协会举报：网址：https://jubao.nifa.org.cn/ipnifa/index.html。</t>
  </si>
  <si>
    <t>2019/10/10 14:25:08</t>
  </si>
  <si>
    <t>投诉人马先生投诉对象格力空调,大中电器涉诉金额10000元问题类型诉求类型投诉详情空调安装外机未固定，使用材料上弄虚作假，膨胀螺丝粗细不同，欺诈消费者，另外收了延长管费用后又收取排水管费用。</t>
  </si>
  <si>
    <t>2019/10/10 14:24:54</t>
  </si>
  <si>
    <t>10月4日，我在工作的时候跳出了一个彩票网站,被里面的客服诱导，欺骗进行充值的时候是通过中国银联线上支付,以为是正规彩票机构,后来才知道是非法赌博平台，通过中国人民银行,中国银联,和支付清算协会沟通得知第三方支付业务应审核客户的相关信息,第三方支付业务公司不得向证券,期货，博彩等机构提供支付结算业务，作为有牌照的支付公司没有履行国家结算通道的义务,即产生了非法洗钱的嫌疑，金融机构客户身份识别和客户身份资料及交易记录保存管理办法，国发2011年38好文,和银发办的35号文，文件都明确提出国内任何交易公司都不能</t>
  </si>
  <si>
    <t>2019/10/10 14:24:13</t>
  </si>
  <si>
    <t>快易花逾期我承认，也和你们平台说了15号发工资全部解决，我尽快在解决中间也还了一部分，早上10点多一个电话，今天一点半不还，直接爆紧急联系人，和通讯录。</t>
  </si>
  <si>
    <t>2019/10/10 14:24:01</t>
  </si>
  <si>
    <t>投诉人施先生投诉对象钱站涉诉金额3000元问题类型诉求类型投诉详情钱站阴阳合同，合同上写的借款本金2660元，实际到账只有2000元。</t>
  </si>
  <si>
    <t>2019/10/10 14:23:54</t>
  </si>
  <si>
    <t>投诉人黄先生投诉对象小赢卡贷涉诉金额0元问题类型诉求类型投诉详情一天不停地电话轰炸，关键是我本人又不债务人，莫名其妙的第三方！。</t>
  </si>
  <si>
    <t>2019/10/10 14:23:50</t>
  </si>
  <si>
    <t>投诉人华先生投诉对象立借涉诉金额6500元问题类型诉求类型投诉详情本人于-2019年9月9号公报手机注册了立借借贷平台当时审核好快通过率极高，有了6500额度三期要还9100当时我已经多次同对方客服沟通协商取消不需要了取消对方一直不同意取消电话也无回应多次沟通无果好快钱也直接打到了本人银行卡⋯现在到了时间就开始恶意催收也不给予解决方案。</t>
  </si>
  <si>
    <t>2019/10/10 14:23:34</t>
  </si>
  <si>
    <t>投诉人赵先生投诉对象捷信金融涉诉金额2500元问题类型诉求类型投诉详情每次打电话都和他们客客气气的说，越是这样，那些催收的，越是得寸进尺！就不到2500块钱，不是不还，现在家里老人岳父生病住院，一天好几千，我说等出院了缓缓就把欠款结了，那态度狂到没边了，说已经到了我老家，准备去找我父母，行，我父母要是被你们骚扰出个好歹来，我就和你们捷信死磕到底，请求聚投诉给予解决处理，谢谢！！。</t>
  </si>
  <si>
    <t>2019/10/10 14:23:14</t>
  </si>
  <si>
    <t>投诉人罗先生投诉对象新橙优品涉诉金额3000元问题类型诉求类型投诉详情借款3000，分三个月还，每个月还款1253.45，年利率达到101%，协商不成，现在逾期罚息更是惊人可怕，三个月也达到百分百的地步，不是高利贷还能是什么，各种电话骚扰，爆通讯录。</t>
  </si>
  <si>
    <t>2019/10/10 14:22:13</t>
  </si>
  <si>
    <t>投诉人袁涛投诉对象卡卡贷涉诉金额60000元问题类型诉求类型投诉详情在维信5卡卡贷上借款都有五六万了，光光保险费都收了我五六千了，这是典型的砍头息啊，我申请退回。</t>
  </si>
  <si>
    <t>2019/10/10 14:21:48</t>
  </si>
  <si>
    <t>投诉人穆建刚投诉对象拍拍贷涉诉金额8000元问题类型诉求类型投诉详情恐吓威胁，不同意协商，利息高，骚扰频繁，希望可以协商。</t>
  </si>
  <si>
    <t>2019/10/10 14:20:43</t>
  </si>
  <si>
    <t>第一次借贷5万还一年5400，还可以接受，第二次借贷11000，其中发了一个信托保险，以后是还款后有还，同意了，后面仔细看要还15400，没有延期的情况下哦，想要提前还，一次性要换14500，等于就是借10天，多还3500，比高利贷还高，有关部门得查下了。</t>
  </si>
  <si>
    <t>拉卡拉刚开始用的第三天，第一天和第二天扫码300左右均次日到账，确实如业务员所说当时拉卡拉的平台系统确实不需要上传营业执照资料就给本人开通了，事后本人才得知拉卡拉的这种行为在市场上相当普遍，属于重大违法行为，严重干扰金融秩序，冻结180天以上！哪家协议会如此不合道理发生以下情况时，甲方有权采取暂缓乙方全部或部分交易资金结算至少180天以上、中止乙方扫码支付业务受理等措施：……甲方有合理理由认定交易存在可疑之处，或有合理根据怀疑乙方违反本协议或有欺诈行为。恶意冻结还把我店铺给关了，商户号也是无效的，流水，拉卡</t>
  </si>
  <si>
    <t>2019/10/10 14:20:39</t>
  </si>
  <si>
    <t>阴阳合同，高利贷，贷款3万，分36期，每月还1521，不到还款日电话轰炸。</t>
  </si>
  <si>
    <t>2019/10/10 14:20:28</t>
  </si>
  <si>
    <t>投诉人吴女士投诉对象掌众金服涉诉金额5600元问题类型诉求类型投诉详情闪电借款APP，可用额度显示5600元，结果显示无信用额度，必须要强制680元购买他的一个财神黑卡才可以下款，等于就是一个砍头息，到账5600元，50天还5880元，等于借款到账5600，50天利息是：960元，利率高的吓人，请平台退回这680元的砍头息~！。</t>
  </si>
  <si>
    <t>2019/10/10 14:20:22</t>
  </si>
  <si>
    <t>投诉人孙先生投诉对象首汽约车涉诉金额64元问题类型诉求类型投诉详情9月27一笔定单17点04分卓美艺术出发到友谊路乘客下车地点不能停太久就让乘客下车支付完成定单不能打通客人电话联系客服3次以上不给解决。</t>
  </si>
  <si>
    <t>2019/10/10 14:20:13</t>
  </si>
  <si>
    <t>投诉人刘静投诉对象展业达人涉诉金额9000元问题类型诉求类型投诉详情频繁骚扰，恐吓，威胁我不还钱就去单位家里，我只是债务人的朋友，还要闹到我家破人亡，请求处理，道歉，赔偿损失。</t>
  </si>
  <si>
    <t>2019/10/10 14:20:03</t>
  </si>
  <si>
    <t>投诉人左先生投诉对象钱站,华夏银行涉诉金额5000元问题类型诉求类型投诉详情2019年6月在钱站APP借款5000元，，对方称很多人都这样说但好一段时间平台都没处理，让我赶紧处理还款，当时借款信息显示:分六期，每期还款940.24元，于是借款，7月13接到钱站还款提醒信息时发现还款金额改为每期1659.84元，共还款金额为9954左右，借款合同显示借款9400元，客服称他们的利息是符合国家国定的，我说我不用了，我把当时借的5000还进去，客服称不行，如要提前一次性还清，他备注申请处理，让我等回复，随即有人打</t>
  </si>
  <si>
    <t>2019/10/10 14:19:34</t>
  </si>
  <si>
    <t>投诉人于沛投诉对象信用星球涉诉金额1600元问题类型诉求类型投诉详情砍头息做出解释，调整还款金额。</t>
  </si>
  <si>
    <t>2019/10/10 14:19:22</t>
  </si>
  <si>
    <t>圆通快递广东省深圳市振兴路公司,闲鱼平台商家id：tb741101460，我在闲鱼上看见一个商家发布一天出售：苹果xs，max的信息，我和商家沟通走平台，商家说只支持货到付款，走圆通快递，我问商家是不是苹果系统的真机，如果不是真机我不会要的，商家承诺我说是真机，如果不是可以退的，商家说要先付运费，我付了，我心想二手苹果手机应该商家不会骗我，结果等到了货后，包裹打开后，又有一层手机包装，发货方要求付过款后才能打开手机包装，我付款后打开包装发现手机不是像商家说的一样是真的苹果手机，后面的盖子也是塑料的，而且系统</t>
  </si>
  <si>
    <t>2019/10/10 14:19:17</t>
  </si>
  <si>
    <t>借花钱app在我绑定银行卡后不知情的情况下从我卡中盗刷198。</t>
  </si>
  <si>
    <t>2019/10/10 14:19:05</t>
  </si>
  <si>
    <t>投诉人 张女士        投诉对象  小哇卡贷        涉诉金额  1 000 元    问题类型    诉求类型投诉详情  已像客服说明情况 可是电话还是不断</t>
  </si>
  <si>
    <t>2019/10/10 14:18:57</t>
  </si>
  <si>
    <t>投诉人池芳辉投诉对象徐闻新供销天合置业有限公司涉诉金额283246元问题类型诉求类型投诉详情我去年在徐闻中学对面看了一个楼盘天润清华园，当然被销售人员忽悠了说我意向要买的那套房子快起好了，隔了个把月她又跟我说房子已经起好了，当时我就信了，然后从广州回去，回去一看才知道被骗了，正在起基础，然后她她又想方设法地让我把首期交了，当时我也信了，我就交了首期，当时加上那些什么综合管理费一共交了283246元，签完合同第二天我就回来广州了，隔了几天她又以各式各样的方式说我的银行流水过不了呀，要花点钱给人家银行啊好处费这</t>
  </si>
  <si>
    <t>2019/10/10 14:18:56</t>
  </si>
  <si>
    <t>投诉人谢先生投诉对象合肥派来贷涉诉金额0元问题类型诉求类型投诉详情从8号开始合肥派来贷对我进行电话骚扰说要求xx人还钱我已经明确告知我不认识该人他们依然不停打电话来对我进行骚扰每次使用不同电话号码包括但不限于‭，66824015‬/‭18529441220‬/‭15606534358‬/‭。</t>
  </si>
  <si>
    <t>2019/10/10 14:18:46</t>
  </si>
  <si>
    <t>投诉人钟先生投诉对象立即出行涉诉金额499元问题类型诉求类型投诉详情广州无车可用，押金申请退了，没有人通知也没有退款，联系不上客服，疑似卷款跑路。</t>
  </si>
  <si>
    <t>2019/10/10 14:17:09</t>
  </si>
  <si>
    <t>我曾投诉过一次，滴滴客服来电话说了一些，您的投诉我们已经知道了会反馈给平台以后改观的虚头巴脑的话，对我的服务分问题和花钱办证和没有办证以及外地牌照不合规司机的派单顺序问题，根本不能给出明确正面的回答，但是在投诉期间呢单量和流水都会有上扬，在我默认结案之后马上又是几个小时没有单子。</t>
  </si>
  <si>
    <t>2019/10/10 14:16:56</t>
  </si>
  <si>
    <t>小花钱包，威胁恐吓，恶意催收不说，还了款还乱发短信。</t>
  </si>
  <si>
    <t>投诉人 李先生        投诉对象  国美易卡        涉诉金额  3 000 元    问题类型    诉求类型投诉详情  国美美借（现国美易卡）贷款存在砍头息现象。要求返还所有砍头息。不排除诉讼方式追讨</t>
  </si>
  <si>
    <t>2019/10/10 14:16:53</t>
  </si>
  <si>
    <t>在2018年3月在玖富万卡贷款41600元，实际到账也忘记了多少元，这个先不说，但分24期还款，每月还2669.28元，总数需要还64062.72元，现在请相关部门严查，我现在也已经还了48047.04元，现在要求终止继续还款！因为我本金已还清。</t>
  </si>
  <si>
    <t>2019/10/10 14:16:25</t>
  </si>
  <si>
    <t>我在2019年8月14日在立借贷款平台借了6000元人民币，到了还款日第一期要还2879.97元，其中包括本金1800元+利息269.97元+其他810元，第三期要还2070.06元以后还每个月要还66.6元的利息这样算下去借6000元一年要还8159.94元其中利息加其他达到2159.94，严重超出国家法定利息，并且以其他作为利息掩饰。</t>
  </si>
  <si>
    <t>2019/10/10 14:16:08</t>
  </si>
  <si>
    <t>投诉人 宋女士        投诉对象  钱伴        涉诉金额  1 312 元    问题类型    诉求类型投诉详情  本人在钱伴有一笔借款 3600分3期 第一期已早早的关了款 第二期现在由于工资问题导致未能及时还款 钱伴是一个高额利息的平台 已超出国家法律保护 但我从未说过不还 然而催收不予协商 并且每天威胁我辱骂我恐吓我 严重影响了正常生活 希望可以做出改变</t>
  </si>
  <si>
    <t>2019/10/10 14:15:47</t>
  </si>
  <si>
    <t>他们家女催收也是绝了，打电话就冲你嗷嗷的说话，就跟黑社会一样，态度也特别差，让人听见就不想说话了，还老是骚扰我的联系人，真的烦到不行，请以后换个态度好的跟我沟通可以吗，也不要在骚扰我的紧急联系人，他们都想举报你们了。</t>
  </si>
  <si>
    <t>2019/10/10 14:15:21</t>
  </si>
  <si>
    <t>投诉人 李女士        投诉对象  给你花        涉诉金额  1 000 元    问题类型    诉求类型投诉详情  暴力催款骚扰亲朋好友，恐吓威胁不文明催款</t>
  </si>
  <si>
    <t>2019/10/10 14:15:08</t>
  </si>
  <si>
    <t>2019年4月在你我贷贷了17200元分12期需要还23000多，前三个月就还了一万，现在六个月总共还了近一万五，利息太高，现在在家人帮助下需要提前还清，计算一下借了六个月本金17200总共还23000元，利息费用太高，各种明目管理费服务费，希望可以协商解决，减免部分费用，我提前结清欠款。</t>
  </si>
  <si>
    <t>2019/10/10 14:14:52</t>
  </si>
  <si>
    <t>因为自己遇到困难确实无能力还款，但一直沟通都是说想法尽能力还，他们的催收不知道用什么手段获取的我的个人信息和单位电话每个都打电话骚扰，言语恶劣，严重影响了我和同事家人的正常生活，困苦不堪，希望帮我尽快处理，谢谢。</t>
  </si>
  <si>
    <t>2019/10/10 14:14:38</t>
  </si>
  <si>
    <t>投诉人 李女士        投诉对象  小花钱包        涉诉金额  3 000 元    问题类型    诉求类型投诉详情  小花钱包暴力催收 爆我通讯录 未经允许将他人信息泄露出去 还要威胁恐吓</t>
  </si>
  <si>
    <t>2019/10/10 14:14:18</t>
  </si>
  <si>
    <t>借款时要求购买黄金会员，本人并未同意，无意点入，要求取消借款，取消高额砍头息。</t>
  </si>
  <si>
    <t>2019/10/10 14:14:15</t>
  </si>
  <si>
    <t>本人2019年3月在你我贷平台借款5000元，年化率35.95%，现在已经还了7期，共4466元，提前5期现在要求提前结清，客服告诉我还需要还2193.8元，明显高于国家红线，现要求合理还款。</t>
  </si>
  <si>
    <t>2019/10/10 14:14:09</t>
  </si>
  <si>
    <t>就是注册了一下，接着就接到了，扣款信息，打回电话，还让去别的平台借钱。</t>
  </si>
  <si>
    <t>2019/10/10 14:14:03</t>
  </si>
  <si>
    <t>洛基英语以发展项目“口语侠”各地的代理为由，在没有签订合同的也没有任何产品发出的情况下，要求通过支付宝扫码缴纳3000元定金，还让我在三天之内补齐剩下的7000元，这是我的疑问如有异常也请相关部门可以彻查，仅提供可疑线索，后期沟通中我对他们的产品不满意，他们拒退定金，在我多次强调这种做法已经违反了消费者保护法时，依旧态度强硬，坚持强买强卖，我为了申诉又重新查看订单，发现付款时支付宝显示的交易名称却为“课程报名”，与代理完全不符，存在违规交易，他们所谓的公司规定仿佛已经不顾法律的约束，这种强买强卖的情况令人震</t>
  </si>
  <si>
    <t>2019/10/10 14:13:55</t>
  </si>
  <si>
    <t>投诉人 金先生        投诉对象  易宝支付        涉诉金额  500 000 元    问题类型    诉求类型投诉详情  20181119 -1510.520181125 -1510.520181126 -532.520181126 -150020181126 -150020181127 -250020181127 -150020181130 -1531.520181130 -1573.520181130 -180020181130 -1476.92</t>
  </si>
  <si>
    <t>2019/10/10 14:13:46</t>
  </si>
  <si>
    <t>砍头息客服不给出明确解释所有费用所有费用在我不知情的情况下扣除。</t>
  </si>
  <si>
    <t>2019/10/10 14:13:05</t>
  </si>
  <si>
    <t>3月31日报名之后因为时间调配问题没有参与过学习，9月通知报名考试的时候才点开之前发的课件进行浏览了一次，确定报名专业具体的考试时间和自己的工作安排出差时间冲突，没有办法参加考试，咨询班主任协调退款申请，但是老师在线回复时间慢，不解决重要问题，只是一味的说要自己克服学习困难之类的，提出退学退费问题，也是慎重考虑之后确实和自己目前的状态时间不相符合，老师不解决实际问题，当初报考的老师现在直接联系不到人，微信不回复，朋友圈屏蔽，登陆师大官网竟然说没有此用户，感觉受到了欺骗，班主任只能在app上联系，还大部分时间</t>
  </si>
  <si>
    <t>2019/10/10 14:12:10</t>
  </si>
  <si>
    <t>2019年9月15日下午两点，易宝支付从我工商银行卡内扣取49900元，我没有和佰聊机械租赁有限公司有任何账务往来，中间无短信通知，无支付密码，直接扣款给山东省聊城市佰聊机械租赁有限公司。</t>
  </si>
  <si>
    <t>2019/10/10 14:12:08</t>
  </si>
  <si>
    <t>投诉人 宋先生        投诉对象  捷信金融        涉诉金额  26 000 元    问题类型    诉求类型投诉详情  已经无力偿还过高的贷款。请有关部门及时处理。捷信金融公司已严重打扰我的正常生活。</t>
  </si>
  <si>
    <t>2019/10/10 14:12:06</t>
  </si>
  <si>
    <t>申请的时候对方没有经过我的意愿就给了3万的额度，然后还收取了我5000块钱的手续费，，然后才给了我下载APP的方法，，我看了一下，竟然要还60000，，这不是高利贷么，每个月还要收取高额度的手续费，，现在合同也变了，已经不在玖富名下了，，。</t>
  </si>
  <si>
    <t>2019/10/10 14:11:57</t>
  </si>
  <si>
    <t>本人与2019年10月9日6点左右收到耳机，那么我想问国家的消费要来干嘛《中华人民共和国消费者权益保护法》第24条和第25条中规定符合以下条件的可以七天内无条件退货：1、经营者提供的商品或者服务不符合质量要求的；2、没有国家规定和当事人约定的；3、符合法定解除合同条件的；4、经营者采用网络、电视、电话、邮购等方式销售商品，依照前款规定进行退货、更换、修理的，经营者应当承担运输等必要费用，在线下载或者消费者拆封的音像制品、计算机软件等数字化商品；，除前款所列商品外，其他根据商品性质并经消费者在购买时确认不宜退</t>
  </si>
  <si>
    <t>2019/10/10 14:11:33</t>
  </si>
  <si>
    <t>一天跑12个小时流水两百来块钱，一天只派几个单，大多数都是抢的，这样下去怎么做，车贷都还不起别说吃饭了。</t>
  </si>
  <si>
    <t>2019/10/10 14:11:02</t>
  </si>
  <si>
    <t>安逸花疯狂催收，恶意骚扰亲友，本人因伤身体原因，已告知情况，请求协商，但是催收人员恶意盗取亲友信息，恶意骚扰，。</t>
  </si>
  <si>
    <t>2019/10/10 14:11:00</t>
  </si>
  <si>
    <t>逾期了一两天就开始骚扰我的亲朋好友并发信息威胁恐吓我。</t>
  </si>
  <si>
    <t>2019/10/10 14:10:46</t>
  </si>
  <si>
    <t>投诉人 郭女士        投诉对象  信用飞        涉诉金额  3 000 元    问题类型    诉求类型投诉详情  信用飞变相收取砍头息高达660元 想到还清后一个月 一直催收660的保险费</t>
  </si>
  <si>
    <t>2019/10/10 14:10:25</t>
  </si>
  <si>
    <t>本人于2019年2月27日在玖富万卡借款15000元，分36期还清，前35期每期866.62元，最后一期866.59元，合计需还款31198.29元目前已还7期合计6066.34元，还需还款25131.95元，算下来息费在年化36%附近，每月本金416.67元，利息为450元，利息比本金还要高，本人无力偿还，现想一次性结清，请免除剩余息费，剩余本金为29/36*15000=12083.33元app内没有一次性结清的选项。</t>
  </si>
  <si>
    <t>2019/10/10 14:09:53</t>
  </si>
  <si>
    <t>但本人用卡时还是个大四实习期的学生，不太懂信用卡额度组成部分，原计划按照账单上的金额还款现在发现广发卡还有一个分期额度，现在消费额度和分期额度加在一起已经超出我预先的还款能力，本人致电客服但是客服不予协商！客服要求我还36546.12但账单上显示没有那么多，多出一千多块钱的利息和手续费，我不明白提前还款还要高额手续费，希望通过聚投诉平台合理协商相关金额，一次性还款结清免除剩余手续费和利息！。</t>
  </si>
  <si>
    <t>2019/10/10 14:09:31</t>
  </si>
  <si>
    <t>投诉人陈女士投诉对象中国南方航空涉诉金额14168元问题类型诉求类型投诉详情本人于9月初通过飞猪平台在南航旗舰店购买了明年一月份广州到清迈的往返机票，由于个人原因无法出行，9.17日在飞猪平台上申请退票，退票进程显示南航9.17日已经受理，并会在3-7个工作日内退款，但规定的时间到了，多次致电南航飞猪客服，以及南航旗舰店客服询问退款时间，飞猪南航确互相踢皮球，飞猪说南航不退款，南航说飞猪系统有问题，等再过两天致电南航，南航说一切以南航旗舰店客服回复为准，南航客服没有办法处理。</t>
  </si>
  <si>
    <t>2019/10/10 14:09:05</t>
  </si>
  <si>
    <t>投诉人梁先生投诉对象凡普金科集团有限公司涉诉金额33000元问题类型诉求类型投诉详情钱站逾期三天，一个西安电话爆通讯录，不停骚扰家人，态度非常猖獗！并且钱站贷款合同金额33000，实际到账25000元，高额砍头息，立即停止非法催收，希望有关部门严肃处理，打击非法放贷，非法砍头息，非法催收！本人后期继续投诉银监会，全国扫黑办智能化举报平台。</t>
  </si>
  <si>
    <t>2019/10/10 14:08:47</t>
  </si>
  <si>
    <t>自动贩卖机，买了一瓶6元的味全乳酸菌，关门后结账多扣了7元，显示多了一瓶7元咖啡。</t>
  </si>
  <si>
    <t>2019/10/10 14:07:49</t>
  </si>
  <si>
    <t>由于本人生产完没有多久，属于哺乳期，暂时没有工作，所以希望万达贷可以不要收取我的利息了，每个月1千多的利息实在是太高了，能否给我分期处理款项，愿意偿还，但是近期实在无能为力，分期处理可以还清，上班后若资金许可可以多还点或一次性还清。</t>
  </si>
  <si>
    <t>2019/10/10 14:06:54</t>
  </si>
  <si>
    <t>摇钱花由于卡的原因逾期一天，催收电话来我给回复下午处理，催收对我侮辱，然后联系我通讯录！。</t>
  </si>
  <si>
    <t>2019/10/10 14:06:41</t>
  </si>
  <si>
    <t>投诉人 黄女士        投诉对象  U钱包        涉诉金额  1 200 元    问题类型    诉求类型投诉详情  群发短信骚扰家里人 我这边说了会还还骚扰其他人</t>
  </si>
  <si>
    <t>2019/10/10 14:05:07</t>
  </si>
  <si>
    <t>今年7月9日在新橙优品平台借款5000元，到账之后被保险扣走500元，变相收取砍头息，实际每月要还1900多元，利息远远超过国家规定合理利息，现无力偿还最后一期账单，只能还本金加合理利息。</t>
  </si>
  <si>
    <t>2019/10/10 14:05:05</t>
  </si>
  <si>
    <t>2019年10月6日下午四点左右，我看小说的时候看到了关于处处的广告，随手下载安装，进去之后看到有零元领3天vip，但是需要开通支付宝免密支付，我按照操作开通免密支付之后，这个软件弹出一个窗口，我下意识点击，结果支付宝显示两次扣费成功，分别是九十九块和六十九块，充值了应用里的道具和vip，北京友缘在线网络科技股份有限公司自动扣费，要求退款。</t>
  </si>
  <si>
    <t>2019/10/10 14:04:57</t>
  </si>
  <si>
    <t>阴阳合同无故多收我300元服务费，希望退款。</t>
  </si>
  <si>
    <t>投诉人邱磊投诉对象牛帮,重庆余赚网络科技有限涉诉金额350元问题类型诉求类型投诉详情重庆余赚网络科技有限公司，官方公告打出举报商家私下交易，举报成功给双倍佣金，现在举报成功只给一次佣金，app平台现在还有给双倍佣金的公告。</t>
  </si>
  <si>
    <t>2019/10/10 14:04:51</t>
  </si>
  <si>
    <t>这个捷信公司，每隔一段时间就给我打骚扰电话，一打就连着很多天都打，拉黑也没用，因为他们的号码每次都不一样，已经严重影响了我的生活，希望捷信公司不要再给我打骚扰电话了。</t>
  </si>
  <si>
    <t>2019/10/10 14:04:37</t>
  </si>
  <si>
    <t>转转平台的租号玩，转转平台为能做到保证账号安全，现在出租的号由于租户非法操作，使用第三方软件，外挂导致游戏帐户永久封停冻结，既然转转平台收取了手续费，就有义务保证出租人账号安全，维护出租人的合法权益。</t>
  </si>
  <si>
    <t>2019/10/10 14:04:32</t>
  </si>
  <si>
    <t>天辰世纪二期捆绑销售买车位才能参加两室摇号，无奈只能任天房摆布，18年11月26日交房已晚交半年房，至今地下车库一直未启用，加起来车库已经晚一年半了未交付使用，谁能替我们老百姓做主。</t>
  </si>
  <si>
    <t>2019/10/10 14:04:13</t>
  </si>
  <si>
    <t>马上金融催收员，为了叫还款骂我说现在不还出门被车撞，还要把我照片发在网站上，本人强烈要求该催收员道歉并且下岗，本人已经报警了，要求马上金融给我个合理的解释。</t>
  </si>
  <si>
    <t>2019/10/10 14:03:29</t>
  </si>
  <si>
    <t>10月10日13点左右，无故从本人卡中划扣走972.62元。</t>
  </si>
  <si>
    <t>2019/10/10 14:03:22</t>
  </si>
  <si>
    <t>我当时借的时候看到的额度是11000，分期费用我也看到了，是两千多，因为我当时急用钱，大概一万左右，然后我申请了借款，然后钱到账后是8300元，不是11000元，而且当时马上还进去也是要还11000多元，现在我已经把8300元借款还清，所以要结清证明，分期服务费用是什么，还有就是现在每天都有给我打五六个电话，请停止你们的这种行为，更不去骚扰我的通讯录好友。</t>
  </si>
  <si>
    <t>2019/10/10 14:02:58</t>
  </si>
  <si>
    <t>因为手里的钱一直都没凑够，现在在提取公积金还款因为提取公积金需要时间和催收商量，16号左右还款，然后催收不同意，已给公司打电话曝光此事作为要挟必须还款，现在工作都快没有了拿什么还款，既然你们那么正规那就走司法程序。</t>
  </si>
  <si>
    <t>2019/10/10 14:02:32</t>
  </si>
  <si>
    <t>2018年12月11日在来分期借款2000元，每次按时还款，但是来分期每次还款日前就开始办理催收，打各种骚扰电话。</t>
  </si>
  <si>
    <t>2019/10/10 14:02:27</t>
  </si>
  <si>
    <t>好分期高利贷乱收费，隐藏高额服务费,银监会明确指出，严禁收取隐藏高额服务费用。</t>
  </si>
  <si>
    <t>2019/10/10 14:01:46</t>
  </si>
  <si>
    <t>9月26日，从壹心分期贷款2100元，实际到账1525，砍头575，支付通道易宝支付有限公司分2期还款，1期15天，每期1071元，共还2142元，严重超过国家法定利率，因本人债务爆发，无力继续偿还高利贷，可接受本金还款和偿还国家法定利息。</t>
  </si>
  <si>
    <t>2019/10/10 14:01:36</t>
  </si>
  <si>
    <t>2019年3月19日在新橙优品借款了3000元，通过光大银行放款，实际到账只有2540元，征信查一下是放款3000元，分两笔扣款，一笔是1013.4元，一笔是150元，，3个月总共需要还3490.32元，加上砍头息460元，相当于利息高达950.32元，年利率高达178%，这种高利贷平台居然可以是银行放款，在该平台借款了8000元，通过天津金城银行放款，实际到账只有7200元，到账秒扣800元砍头息，，六个月总共需要还10611.3元，加上砍头息800元，利息高达3411.3元，年利率达145%，目前已还3</t>
  </si>
  <si>
    <t>2019/10/10 14:01:10</t>
  </si>
  <si>
    <t>投诉人 张先生        投诉对象  钱站        涉诉金额  4 000 元    问题类型    诉求类型投诉详情  第一:借款3000元合同金额3990 第二:合同下方表格金额相加对不上 第三:还款期限是23:59 在未逾期的情况下暴力催收 影响我工作</t>
  </si>
  <si>
    <t>2019/10/10 14:00:49</t>
  </si>
  <si>
    <t>投诉人 熊女士        投诉对象  小花钱包        涉诉金额  4 000 元    问题类型    诉求类型投诉详情  暴力催收 暴打通讯录 威胁恐吓 短信轰炸</t>
  </si>
  <si>
    <t>2019/10/10 14:00:42</t>
  </si>
  <si>
    <t>签订一年合同每个月还款1776元，优卡白条守信2000元，一直主动还款至合同到期，其中优卡白条里面存有6000元一直没有充值，现在无法充值在线客服联系不了，客服电话也是停机，请求贵平台予以支持帮助找回，谢谢。</t>
  </si>
  <si>
    <t>2019/10/10 14:00:28</t>
  </si>
  <si>
    <t>2018年6月我们被朋友介绍去山东省滕州市佳辰通讯公司参加免费领手机活动，当时老板讲解说只做宣传推广就可以免费领手机一部，，我们信以为真，我领了一部vivox21，其他人领的有此品牌的，也有其它品牌的，并和公司签了一份手机团购合同，但到了下月初，有两家公司扣了我们银行卡里的钱，经我们去银行查询，原来被捷信消费金融有限公司和马上消费金融公司扣走了，我们直接向扣款公司打电话查询，结果告知我办了这两家公司的手机分期贷款，其中捷信公司2800多，分十期；马上公司3000多，分十二期，并且两家公司声称各给了我一部vi</t>
  </si>
  <si>
    <t>2019/10/10 14:00:00</t>
  </si>
  <si>
    <t>投诉人叶璐齐投诉对象wacom旭图专卖店,北京旭图商贸有限公司涉诉金额266元问题类型诉求类型投诉详情卖家退货不给退款。</t>
  </si>
  <si>
    <t>2019/10/10 13:59:59</t>
  </si>
  <si>
    <t>新橙优品分期6个月，前面2个月都按时还款，然后第三期昨天到期，因为假期回来太忙，而且也没有什么提醒，我都和他们说了今天下午之前处理，现在逾期一天他们不管三七二十一到处打我通讯录，已经打了很多个，包括亲戚和朋友，严重影响我的生活！！希望能处理这个问题，你们这样子打爆我通讯录，有什么好处。</t>
  </si>
  <si>
    <t>2019/10/10 13:58:40</t>
  </si>
  <si>
    <t>投诉人 刘先生        投诉对象  百事普惠        涉诉金额  100 元    问题类型    诉求类型投诉详情  注册后没贷款胡乱收费。我没同意就扣我银行卡的钱。要求退款</t>
  </si>
  <si>
    <t>2019/10/10 13:58:24</t>
  </si>
  <si>
    <t>10月7日中午下单的，下午就看到物流信息显示派送给品骏快递，过了两天，9日中午联系品骏快递，品骏快递说有单号，但是唯品会那边没有发货，联系唯品会的客服，那边说帮我催，10日中午又联系品骏快递和唯品会，依旧答复没发货，帮忙核实，买着送朋友的礼物，过了时间有何意义，请有关部门进行核查，又是不能退的商品，另外买多了又浪费，请协助处理，我希望要么今天退款要么今天能收到实物。</t>
  </si>
  <si>
    <t>2019/10/10 13:58:01</t>
  </si>
  <si>
    <t>新意花小木钱包借款到期APP打不开，后下载新的链接后APP无法还款，联系平台客服以及qq均无人响应，如今平台恢复正常但是因为平台自身原因导致的逾期费一直不消除导致后期无法还款，平台电话打了几十个，无人回应，APP客服留言丝毫不解决问题。</t>
  </si>
  <si>
    <t>2019/10/10 13:57:59</t>
  </si>
  <si>
    <t>借款1430，周期6天，还款2200，这是高利贷，怎么还不封。</t>
  </si>
  <si>
    <t>2019/10/10 13:57:50</t>
  </si>
  <si>
    <t>小米贷款，之前一次不知道怎么找到人工客服，说10号我可以还款，现在找不到人工，因为工作变故，所以想再延迟几天，'然后我打开app,再算了算，小米实际收取的日息是万分之6.5，还有服务费之类的，请先有这里作出解释，我应该还多就，我就还多少，请暂时不要打扰我通讯录的人，协商好我必定会还这个钱，因为欠债还钱，天经地义！请给我个解释！谢谢。</t>
  </si>
  <si>
    <t>2019/10/10 13:57:25</t>
  </si>
  <si>
    <t>恶意催收，非法使用个人信息，不断骚扰，态度恶劣，并进行人身威胁，费率极高借6000还8000，完全高利贷，建议关闭这个平台！。</t>
  </si>
  <si>
    <t>2019/10/10 13:56:43</t>
  </si>
  <si>
    <t>云闪付、瀚银科技等为这些不法分子提供违法支付通道，请求退款！。</t>
  </si>
  <si>
    <t>2019/10/10 13:56:27</t>
  </si>
  <si>
    <t>分期购买笔记本电脑一台首先去检测电脑的时候检测结果与购买不一致，写明的固态硬盘电脑内没有其次约定每月10号还款，从昨天起截止到刚才本人一共收到20余次骚扰电话催促还款，如果我再接到任何一个骚扰电话本人都将立刻停止还款并寻求有效途径解决问题直到对方停止骚扰并且赔礼道歉不接受任何推卸责任的说法，例如委托三方不知情或者系统自动播出无法控制等说辞！。</t>
  </si>
  <si>
    <t>2019/10/10 13:56:14</t>
  </si>
  <si>
    <t>本人于2019年10月09日在农行手机银行“生活”栏目下购买一部IPhone，，但是发现并非农行自有平台，而是第三方的绿森数码商城，且涉嫌消费误导，查看网上该绿森商城投诉多，以发货慢、退货退款慢投诉居多，所以申请退款，然而在农行手机银行操作退款之后只发来一条短信再无下文，点击客服那个按钮根本没有反应，打客服电话也不能转接人工，希望立刻退款，钱急用救命。</t>
  </si>
  <si>
    <t>2019/10/10 13:56:02</t>
  </si>
  <si>
    <t>向通信录无关用户拨打骚扰电话，谎称无关用户是紧急联系人！。</t>
  </si>
  <si>
    <t>2019/10/10 13:55:38</t>
  </si>
  <si>
    <t>投诉人 任先生        投诉对象  钱站        涉诉金额  3 000 元    问题类型    诉求类型投诉详情  借3000元分3期要求还4500元 现在还完款了 让客服注销账号 不给注销账户</t>
  </si>
  <si>
    <t>2019/10/10 13:55:37</t>
  </si>
  <si>
    <t>售后态度恶劣，还告知过保机器他们不承担风险。</t>
  </si>
  <si>
    <t>2019/10/10 13:55:30</t>
  </si>
  <si>
    <t>投诉人 柳先生        投诉对象  小花钱包        涉诉金额  10 000 元    问题类型    诉求类型投诉详情  暴力催收，骂人。威胁。同时给我朋友亲友打电话。给我发侮辱。恐吓类短信。</t>
  </si>
  <si>
    <t>2019/10/10 13:55:25</t>
  </si>
  <si>
    <t>2019年8月14日在试客联盟业务员的推介下交了3998元的网络推广年费，9月9日没有任何通知情况下平台发出终止合同的信息，问业务员也不知道！让等等！等了一个星期样子业务员说让再等一个月总部会退年费到平台账户里，一个月过去了再联系业务员就不反应了，qq不回信息，微信电话不接，怎么都不回应，！只能投诉！！希望聚投诉平台帮忙解决追回我的3998元。</t>
  </si>
  <si>
    <t>2019/10/10 13:55:14</t>
  </si>
  <si>
    <t>境外电话直接轰炸，严重影响本人生活和工作，要求作出处罚。</t>
  </si>
  <si>
    <t>2019/10/10 13:55:08</t>
  </si>
  <si>
    <t>在2017年6月东莞友信信贷借款13万，分36期还，实际到账13万，协议写着借款金额187500元和我实际收到款项不符，每月还款6067.72.按36期还款需要还218437.92，我要求停止继续还款，解除协议，因为我已经还清本金13万多！截止到现在一共还了163828.44元！请有关部门协助我！谢谢，从没有逾期过，有一次是还款日当天晚上，我还没有还款，打来电话的他对你态度恶劣，在我没有逾期的情况下，打我通讯录里面的电话通知对方我欠钱没有还，态度恶劣，还骂人，假如我逾期了，还得了吗，有限公司，地址：北京市朝</t>
  </si>
  <si>
    <t>2019/10/10 13:54:47</t>
  </si>
  <si>
    <t>非法骚扰恐吓，严重影响个人生活，影响工作！。</t>
  </si>
  <si>
    <t>2019/10/10 13:53:45</t>
  </si>
  <si>
    <t>小花钱包，我老婆用了很久，本期晚了2天，然后就群发短信！结果很严重，这个号码说他就不听就是要发！。</t>
  </si>
  <si>
    <t>2019/10/10 13:53:31</t>
  </si>
  <si>
    <t>天天快递投递员，不履行送货上门服务标准，协商不当出言伤人，，我爱人，母亲害怕不敢下楼取件，我下楼后与快递员发生言语矛盾，天天快递员以他在监狱服刑四年、外露纹身、语言等恐吓我。</t>
  </si>
  <si>
    <t>2019/10/10 13:53:09</t>
  </si>
  <si>
    <t>是怎么个情况，我是蜂鸟外卖骑手送世纪城展馆，那里面一直不让进顾客非要我送进去我说保安不然进他让我自己想办法给他送进去，就把电话挂了我手上还有其他单子，然后我又给他打电话他就挂，我等了有7-8分钟他还是不接电话我就报了顾客拒收过后他还打电话过来骂我说要投诉我，我也没有跟他发生语言冲突，就怎么个情况，餐我也退回去了，过后平台扣我款，不让说理由，不让申诉，找负责人，负责人让我打客服电话，客服电话接了就给我挂了，我也不知道这个钱就该扣我的嘛。</t>
  </si>
  <si>
    <t>2019/10/10 13:53:07</t>
  </si>
  <si>
    <t>因个人原因在闪银申请一笔借款1000元，平台提示我开户才能发放借款，且要发送验证码到我手机我点击了发送验证码输入验证码才能开户，最后我想想还是不开户了，因为平台存在变相收费砍头息要求用户一定要购买东西才能有金额借款，第二天我就收到平台发放的借款，可是我都没点击开户也没有进入最后的确认，平台私自发放借款，我要求钱退后消除账单。</t>
  </si>
  <si>
    <t>2019/10/10 13:52:56</t>
  </si>
  <si>
    <t>好分期平台虚假合同，高利贷乱收费，隐藏高额服务费，客服暴力催收。</t>
  </si>
  <si>
    <t>2019/10/10 13:52:53</t>
  </si>
  <si>
    <t>360借条已高利贷的形式对受害人进行放贷，当受害人无偿还时，使用恐吓。</t>
  </si>
  <si>
    <t>2019/10/10 13:52:42</t>
  </si>
  <si>
    <t>提现不到账，在线客服联系不上，客服也不回信息，提现2小时不到，黑平台，退款。</t>
  </si>
  <si>
    <t>2019/10/10 13:52:41</t>
  </si>
  <si>
    <t>连本带利9万多，还款压力大，电话分期被拒绝！。</t>
  </si>
  <si>
    <t>2019/10/10 13:52:22</t>
  </si>
  <si>
    <t>你好，我已经还了款了，但是他们第三方说什么一定要到我的户口所在地去，打电话给京东客服，客服也说帮我去处理这个事，但是一直没有处理，着急，而且第三人员还沟通不了，态度恶劣，。</t>
  </si>
  <si>
    <t>2019/10/10 13:52:18</t>
  </si>
  <si>
    <t>本人通过短信链接，下载了威力贷，借款1400元，实际到账也是1400元，借时并无任何提示，结果却要在6天后归还2000元，无客服电话联系，通过APP的在线客服联系，拒协商，拒提供电话，2.唯一还款通道是支付宝，收款方为聚合支付，1.威力贷是通过汇潮支付这个支付通道放款，经过核查，汇潮支付作为合作平台，有其来花花的主体公司和联系电话，但拒提供，继续参与违法行为，本人愿意归还本金和合法利息，希望通过平台解决问题3.威力贷拒提供客服联系电话，为此只有从第三方支付平台处取得联系方式。</t>
  </si>
  <si>
    <t>2019/10/10 13:51:29</t>
  </si>
  <si>
    <t>玖玖分期借款砍头息，并发威胁恐吓信息，现在国家正在扫黑除恶，这种催收方式应坚决组织，本人已将催收员信息报警立案！坚决抵制黑社会高利贷！。</t>
  </si>
  <si>
    <t>2019/10/10 13:51:09</t>
  </si>
  <si>
    <t>以学堂会员费形式增加贷款本金，现要求退回学堂会员费。</t>
  </si>
  <si>
    <t>2019/10/10 13:50:51</t>
  </si>
  <si>
    <t>今天还款日，从来没有逾期过，来分期平台已经打了十几个骚扰电话，给本人日常生活造成很大影响。</t>
  </si>
  <si>
    <t>2019/10/10 13:50:49</t>
  </si>
  <si>
    <t>本人想通过该平台贷款的绑定银行卡后就直接扣款然后发几个贷款平台给你自己申请根本贷不到款属于中介机构要求该公司全额退款。</t>
  </si>
  <si>
    <t>2019/10/10 13:50:24</t>
  </si>
  <si>
    <t>本人与2019年4月15日申请的钱包生活招财贷35000，到账35000砍头息4200元，随后在本人不知晓的情况下又扣除4237.88元，要求钱包生活退回扣除的4237.88元。</t>
  </si>
  <si>
    <t>2019/10/10 13:50:00</t>
  </si>
  <si>
    <t>马上金融都是按时还款，还款日当天给我来一个需要提前还清所有欠款，后面还让我上传消费证明来恢复分期，结果上传了不通过，现在每天10多个电话，我现在只能分期还款，额度冻结都可以。</t>
  </si>
  <si>
    <t>2019/10/10 13:49:35</t>
  </si>
  <si>
    <t>2019年10月10日10：42分在饿了么点了一个外卖，因为是饿了么的超级会员用了一个大额的红包，花了7.39元，选择好了预约送货时间为12：00，结果在11：46分的时候接到电话说饿了么订单已取消，我很奇怪我没有取消啊，我就打电话到商家，商家说是饿了么平台取消的，打电话到饿了么平台，客服人员告诉我因为我的收货地无法配送，我真的呵呵一笑，我的地址是公司，我天天在这里点外卖不只是我，我的同事也在这里点外卖，什么情况，我们中午十二点休息，之后半个小时的吃饭时间，现在你们把订单给我取消了，我在重新点已经来不及，所</t>
  </si>
  <si>
    <t>2019/10/10 13:49:31</t>
  </si>
  <si>
    <t>投诉人吴女士投诉对象自由魔卡,六便士涉诉金额2000元问题类型诉求类型投诉详情六便士砍头息严重借2000捆绑买540会员&amp;nbsp;&amp;nbsp;严重超过国家利率&amp;nbsp;明天10.11号还款协商减免一半会员费&amp;nbsp;本人有意愿还款&amp;nbsp;&amp;nbsp;超过还款时间来电协商&amp;nbsp;逾期费概不负责希望六便士尽快来电协商。</t>
  </si>
  <si>
    <t>2019/10/10 13:49:19</t>
  </si>
  <si>
    <t>于本人因家庭变故，导致借款逾期10天，普惠客服一天天打了30个电话，还发短信，说要冻结我名下的银行卡之类的，还要上门来，说有困难加工作人员，加上之后，我说协商还款，他们说要更改合同，好可以再借，完事把欠的钱还上，我不想再去借来，只会越来越多，而且借款里有各种保险，利息太高了，希望有关本门解决一下。</t>
  </si>
  <si>
    <t>2019/10/10 13:48:06</t>
  </si>
  <si>
    <t>我们在与凡普金科协商好12点还款，双方都答应，凡普金科催收人员后来反悔不同意，并给我的亲朋好友及之前工作单位打电话祈求添加我朋友微信，催收人员对我大吼大叫，对我对象大吼大叫，态度极其恶劣，而且发短信给别人说我欠钱不还躲债，这些都是我答应还款之后的，凡普工作人员对我的解释不合理，强烈要求对我的人格尊严、内心造成的伤害进行索赔！！。</t>
  </si>
  <si>
    <t>2019/10/10 13:48:04</t>
  </si>
  <si>
    <t>本人于2018年12月17日通过友信业务员在友信普惠办理了贷款，借款金额是6万，到账金额也是6万！8月份申请提前还款被告知说我的借款额度是91200，我一下子傻了，怎么变成91200了呢，跟客服沟通后说出来的31200是服务费！说如果提前还款得按照签约金额的91200来还，可是当初办理的时候想过提前还款这个问题的，反复问过业务员提前还款怎么还，业务员说提前还款是按照到账金额还剩下的本金，加点违约金！我还问过会不会有其它费用，业务员一再表示是按照到账金额的六万来还的，说到时候提前还款就按剩下的本金加点违约金就</t>
  </si>
  <si>
    <t>2019/10/10 13:48:00</t>
  </si>
  <si>
    <t>云闪付为非法赌博平台酷游娱乐提供充值通道，刻意隐藏收单机构及订单号，浙江航天电子信息产业《乐家支付》为赌博平台第三方支付结算平台，据我所知赌博在中国是不合法的，但是银联是合法的，可是云闪付作为银联旗下产品竟然为赌博平台提供资金充值渠道，云闪付这样的做法实在是有害于明，请求云闪付撤销对赌博平台的资金支持，并且能够取消对赌博平台的充值通道。</t>
  </si>
  <si>
    <t>2019/10/10 13:47:48</t>
  </si>
  <si>
    <t>闪银瞬瞬暴力催收我确实现在拿不出钱明确说最早12号最晚十六号还，催收态度极其恶劣威胁我走程序，你们本来就砍头息我延期费给的比本金都多我又不要求什么，我只是现在拿不出来，我要求道歉停催，如果没有我去银监投诉。</t>
  </si>
  <si>
    <t>2019/10/10 13:47:37</t>
  </si>
  <si>
    <t>时光分期逾期一天就各种电话短讯骚扰，本人上一年10月借款10000元，到目前为止已还12667元，剩最后一期希望协商还款，已经跟催收说了还款意愿，催收还各种恐吓联系亲朋好友！希望停止骚扰！。</t>
  </si>
  <si>
    <t>2019/10/10 13:46:47</t>
  </si>
  <si>
    <t>借款3258元三月还完，需还款3453.48，年利率24%！，但是需要额外支出500元保证金，变相砍头息，客服联系不上，要求取消保证金部分，这种方式属于不合理部分！谢谢。</t>
  </si>
  <si>
    <t>2019/10/10 13:46:33</t>
  </si>
  <si>
    <t>以查询个人征信为理由变相砍头息，盗刷银行卡。</t>
  </si>
  <si>
    <t>2019/10/10 13:46:28</t>
  </si>
  <si>
    <t>借贷宝私人放款周息百分之三十，而借贷宝催收人员只认借条金额，让我充值还款，还威胁我要爆通讯录。</t>
  </si>
  <si>
    <t>2019/10/10 13:46:26</t>
  </si>
  <si>
    <t>投诉人李先生投诉对象百事普惠涉诉金额299元问题类型诉求类型投诉详情3号注册，7号突然恶意扣款。</t>
  </si>
  <si>
    <t>2019/10/10 13:46:05</t>
  </si>
  <si>
    <t>没有使用服务，要求退费，告知我只能退费几百。</t>
  </si>
  <si>
    <t>2019/10/10 13:45:48</t>
  </si>
  <si>
    <t>暴力催收，侮辱辱骂借款人，威胁借款人，平台泄漏借款人信息，希望严惩，并道歉，并给出相应结清证明。</t>
  </si>
  <si>
    <t>2019/10/10 13:45:05</t>
  </si>
  <si>
    <t>只剩最后三期，资金紧张逾期三天，骚扰家人四处散发短信软暴力催收，紧急联系人在表明不想接听的情况下多次骚扰，就算我这边没接到你们电话，也不能使用逼迫手段进行催收吧，你们整一个就是黑社会，我紧急联系人就算冲你们凶了就打那么多骚扰电话给她有没有素质，我只有一个要求我要求这个号码的催收发短信给我紧急联系人道歉，欠你们的我都会还，逾期的这期我也还了，请你们做个人吧。</t>
  </si>
  <si>
    <t>2019/10/10 13:44:26</t>
  </si>
  <si>
    <t>而且也没有明确说明需要扣我本人298才能出报告.扣完后我看了平台的协议，说我要是借款失败可以退回.我申请借款都失败了，希望聚投诉能尽快帮我处理追回298,来借贷平台本身就是需要用钱才来借款的。</t>
  </si>
  <si>
    <t>2019/10/10 13:44:05</t>
  </si>
  <si>
    <t>我儿子在我不知情的情况下玩腾讯游戏《和平精英》误充值，2019年10月7日多次充值，总金额736.23元，打腾讯客服电话多次打不通，给腾讯客服反应至今未收到回复！希望尽快处理，尽快全额退款！。</t>
  </si>
  <si>
    <t>2019/10/10 13:43:58</t>
  </si>
  <si>
    <t>安徽华舰建设工程有限公司于2019年7月18日至8月30日期间拖欠四名工人一共35000元，不接电话，拒绝协商。</t>
  </si>
  <si>
    <t>2019/10/10 13:43:23</t>
  </si>
  <si>
    <t>投诉人晏女士投诉对象瓜子二手车涉诉金额102000元问题类型诉求类型投诉详情本人于2019年8月24日将车卖给瓜子二手车，和瓜子二手车签约，合约上写的是保卖车，而且45天内保证过户完，但是10月8日，仍未过户，瓜子二手车说得等待，当天下午五点多告诉我有人想买，但是过户时间不定，至少一周，接下来的两天，不管我打多少次电话，回复很少，10月9日说得等待，15天后。</t>
  </si>
  <si>
    <t>2019/10/10 13:43:00</t>
  </si>
  <si>
    <t>投诉人闫先生投诉对象优信二手车涉诉金额28447元问题类型诉求类型投诉详情我在优信二手车买的二手车成交价是193300元整，我首付19330，GPS费用1800，服务费7000，我首付一共3.06万，现在月供5008，总欠款不包括利息还有203981，我后来再三逼问他们自己也说不清楚是什么费用，后来说是资产管理费，存在明显的隐瞒，现在是我真真切切买这辆车所花费的贷款居然比车价高出小三万，首付付了三万多，到头来贷款金额比车价都高了，主要是合同上多出来个技术服务费284470，这个技术服务费从一开始就没说有这个</t>
  </si>
  <si>
    <t>2019/10/10 13:42:32</t>
  </si>
  <si>
    <t>本人于2017年10月、2018年9月、10月总计借款52800元，每期按时还款，已经结清5笔借款34600元，还有3笔借款也正在还，共计已还款54621.63元，按照平安普惠约定还得还款6421.87元，实在无力偿还，协商客服，他们不接受，我只能投诉了，他们的保险费，管理费，还有利息都不知道从何而来，按照国家规定的利息我一分不少的还，但是多余的真的没有能力，我希望能按照国家标准利益还款，我截取了部分还款记录，做了详细的还款记录视频。</t>
  </si>
  <si>
    <t>2019/10/10 13:42:14</t>
  </si>
  <si>
    <t>10月3日国庆节，我通过淘集集手机APP以全款购买了，256G内存6.5英寸全网通4G智能手机，于2019年10月6日收到手机，收到的手机完全与买的手机不是一样的而且没有任何票据，及产品说明，就是个三无产品，10月8号与平台商家沟通，商家完成没有人，之后给平台联系说明，平台说需要我退款才能帮我处理，给出意见，我按照平台要求写了理由还附上了图片，我对淘集集平台的感受：1.便宜都是表象，质量不能保证，2.欺骗消费者,是个骗人的平台3.质量不能保障，在线商家连接非常难，打电话给客服，让我点退货4.以反现模式吸引用</t>
  </si>
  <si>
    <t>2019/10/10 13:41:54</t>
  </si>
  <si>
    <t>本人于2019年，10月9日上午才看到一条由中归代购的所谓服务费，并不知道闪银逾期，到晚上10点左右发现即将逾期，去取款机存入1000元准备还款，11点30左右，并非闪银app所告知的0-4点，一直显示代扣失败，检查银行卡余额，10月10号致电客服人员，对方说换卡可以，本人换了一张交通银行卡，依旧显示检查银行卡余额，明明交通银行卡余额足够还款，再次致电闪银客服，他们说我卡没有开通网银转账快捷支付，本人支付宝，微信都可以用这张卡代扣支付，感觉对方故意制造逾期，一直推脱说人工无法干预还款，闪银公司变相砍头息，直</t>
  </si>
  <si>
    <t>2019/10/10 13:41:29</t>
  </si>
  <si>
    <t>已扣款却逾期，客服也没给出解决方案，只是一个劲的在哪里问你怎么不还钱。</t>
  </si>
  <si>
    <t>2019/10/10 13:41:22</t>
  </si>
  <si>
    <t>逾期两天后，催收暴力催收，语言威胁电话骚扰不断。</t>
  </si>
  <si>
    <t>2019/10/10 13:40:54</t>
  </si>
  <si>
    <t>我知道，逾期是我不对，因为最近资金紧张，跟客服协商还款，催收一直在暴力催收，威胁。</t>
  </si>
  <si>
    <t>2019/10/10 13:40:35</t>
  </si>
  <si>
    <t>按时打钱为什么要催收，中午睡觉打56个电话我是没按时还款还是咋了，每次打过来都是机器人说话也不管，为什么我是这期逾期了还是咋的钱已经打到卡上了，到时按时扣还就好了为什么要这样搞，我需要满意的答案否则呵呵。</t>
  </si>
  <si>
    <t>2019/10/10 13:40:18</t>
  </si>
  <si>
    <t>佰仟金融长期群发，拼图，电话骚扰，违法制造文书，严重影响家人正常生活，希望给出答复并停止骚扰。</t>
  </si>
  <si>
    <t>2019/10/10 13:40:08</t>
  </si>
  <si>
    <t>投诉人王女士投诉对象拍拍贷公司涉诉金额15000元问题类型诉求类型投诉详情本人在2018年在拍拍贷借了14000，前后还了5500，还剩8400多本金未还，今年拍拍贷要求我还款15000，我要求跟他们协商却一直不同意，8月份还伪造律师函，法律书等群发我通讯录，我跟上面的律师协商他说没有协商的余地让我等法律通知书，我就等着法院判多少我还多少，今天又收到了法律书，且是群发，严重影响了我的生活，我要求拍拍贷停止骚扰我的通讯录并跟我协商还款。</t>
  </si>
  <si>
    <t>2019/10/10 13:39:18</t>
  </si>
  <si>
    <t>急用钱，相信客服说可以借钱，借一期2000元到账1200元还2020元，还了一期可以继续借二期15000元，说其中一期的500元可以退回，二期到账15500元，急用钱就相信了，借了一期还了，借二期说我信用分不好，，要么等60天，要么办理信誉加分期还要再付钱操作才能借二期，我不同意了，让网站还我钱。</t>
  </si>
  <si>
    <t>2019/10/10 13:39:16</t>
  </si>
  <si>
    <t>投诉人 欧阳先生        投诉对象  小米贷款        涉诉金额  1 959 元    问题类型    诉求类型投诉详情  骚扰电话不断 电话中语带恐吓威胁 在我耐心沟通的情况下态度出奇恶劣 给我的工作和生活带来了不良影响</t>
  </si>
  <si>
    <t>2019/10/10 13:39:15</t>
  </si>
  <si>
    <t>2019/10/10 13:38:33</t>
  </si>
  <si>
    <t>按照约定只需在还款日当天还款即可没去理他下午5点36分开始打电话来说为什么还不还款，谁知道变本加厉在6点28分打电话过来态度更差连着换着号码打电话不过都按掉了，立即给客服打电话过去要求再次与我联系至今为接到苏宁方任何回复，客服每次都说3个工作日会给回复每隔三个工作日给苏宁客服打电话讨要说，我现在怀疑该员工是在苏宁金融授意情况下进行违法稍扰的，所以苏宁金融需要极力包庇该员工一个月时间都没有给出任何回复。</t>
  </si>
  <si>
    <t>2019/10/10 13:38:32</t>
  </si>
  <si>
    <t>最后一次协商后，平台同意以2500元本金还款，平台也有记录，处理到位后，平台莫名其妙的又放款下来，现在已经逾期3天，在平台总计借款3500使用了预计一个月，还了至少2万多，要求平台撤销账目。</t>
  </si>
  <si>
    <t>2019/10/10 13:38:21</t>
  </si>
  <si>
    <t>借款需要给一个风险评估服务，不想要就不给借，然后找客服要求注销，客服以我之前申请的时候授权国美查询我的征信记录，比银行还霸道我办个信用卡银行也查询啊，之后我要注销信用卡，银行都不敢说不给吧。</t>
  </si>
  <si>
    <t>2019/10/10 13:37:54</t>
  </si>
  <si>
    <t>再登录时，我的预定资格被取消！请妥善解决，我还要从新预定！谢谢。</t>
  </si>
  <si>
    <t>2019/10/10 13:37:42</t>
  </si>
  <si>
    <t>我不是借款人本人，这个平台老是骚扰我，严重影响我的生活，发送各种带有威胁性质的短信，还电话骚扰，对我进行威胁，这是该催收员电话：186******72　叫嚣让我去投诉，完全不怕，随便投诉，态度恶劣嚣张至极。</t>
  </si>
  <si>
    <t>2019/10/10 13:37:04</t>
  </si>
  <si>
    <t>好几个单号无法一一提供，全部是阴阳合同，合同写的与实际到账不符。</t>
  </si>
  <si>
    <t>2019/10/10 13:37:03</t>
  </si>
  <si>
    <t>及贷平台借了5000，12期，月还556.67，第8期逾期较久，因欠款太多，和工作人员协商减免违约金，工作人员说可以减免，就先存了300，几天后再存剩下256.67的时候联系不到这个工作人员了，又换人跟我联系，说无法减免，我现在还256.67进去也只是还了利息，系统优先偿还利息违约金，今天有工作人员打电话，接通不说话随后就收到恐吓短信，说把把好看的东西发送给其他人怎么怎么样，又加微信说是及贷平台，问号码是不是他们的，承认了，还说那个号码能联系到她，并且将我信息泄露给借款平台，随后就接到其他平台问我是不是刘丹</t>
  </si>
  <si>
    <t>2019/10/10 13:36:54</t>
  </si>
  <si>
    <t>之前在捷信分期了一个手机，但其实就是找人托关系手机换钱，后来家里有些困难就想着逾期一下，结果捷信金融每天能打四五十个电话，然后今天被爆通讯录给他们也打了三个电话，严重影响了我的正常生活，每天我在上班的时候他就开始打电话，每次都没接到，然后拿来手机一看，三十多个未接来电都是捷信额。</t>
  </si>
  <si>
    <t>2019/10/10 13:36:45</t>
  </si>
  <si>
    <t>本人本来是想通过该平台贷款的，填完相关资料绑定银行卡后就直接从卡里划扣299元，才发现该公司是中介公司本人也未贷到款，要求该公司全额退款。</t>
  </si>
  <si>
    <t>2019/10/10 13:36:23</t>
  </si>
  <si>
    <t>投诉人李先生投诉对象钱站涉诉金额4800元问题类型诉求类型投诉详情我2019年8月12号在钱站上借款3000元，分3期偿还，于2019年9月9日归还第一期，合同上归还4800，利息是三个月是1800元，年利率高达22.1683%，远超过银行利息，属于高利贷，而在第二期还款中，没有及时归还，他们打电话骚扰我家人，已经严重影响本人正常生活。</t>
  </si>
  <si>
    <t>2019/10/10 13:36:09</t>
  </si>
  <si>
    <t>和催收人员说明情况后催收人员不协商盗用本人儿子图片进行修改图片威胁本人！。</t>
  </si>
  <si>
    <t>2019/10/10 13:35:46</t>
  </si>
  <si>
    <t>本人于9月11日在安亿花申请借款时被扣198元会员费，我按照平台要求上传了8张借款失败截图了，一个月还不给我退款。</t>
  </si>
  <si>
    <t>2019/10/10 13:35:28</t>
  </si>
  <si>
    <t>逾期3天，也跟客服联系过！可是刚联系完就接到一个网络电话说准备好我们马上让你亲友帮你还！然后就四处发短信，打电话！如果不停止不道歉走法律程序处理后立马归还欠款！。</t>
  </si>
  <si>
    <t>2019/10/10 13:34:40</t>
  </si>
  <si>
    <t>投诉人 袁先生        投诉对象  广发银行信用卡        涉诉金额  200 000 元    问题类型    诉求类型      投诉详情  在不联系本人情况下，一直骚扰紧急联系人！</t>
  </si>
  <si>
    <t>2019/10/10 13:34:24</t>
  </si>
  <si>
    <t>平安普惠提前结清，已经全部结清，app还显示有账单需要还。</t>
  </si>
  <si>
    <t>2019/10/10 13:34:16</t>
  </si>
  <si>
    <t>建行信用卡逾期中，多次联系客服协商还款客服不与理会，本人因多方面原因造成资金短缺，希望与建行协商还款。</t>
  </si>
  <si>
    <t>2019/10/10 13:34:09</t>
  </si>
  <si>
    <t>8月买了他家的螃蟹卡，公四两母三两各4只，5号晚上到货均为带绳子一两多的螃蟹，最小一只带绳子52克，把照片发给客户说赔付20.我不同意要求全额退款，后客服说30.我说我去投诉了，然后电话打过来说赔40，说阿姨发错货，那我要求补发，还是不同意并让我去投诉，电话过后两分钟淘宝发来信息让我全然退款，但此时我不想退款解决，既然是发错货那么我要求补发，也不同意，之后发现店铺内有刷单，看晒图都是像素不一的照片，同一个买家秀多张照片绳子也是不一样，怀疑刷单，来诱导我们消费者被坑，严重涉嫌欺诈消费者，违反了《消费者权益保护</t>
  </si>
  <si>
    <t>2019/10/10 13:34:05</t>
  </si>
  <si>
    <t>投诉人 张先生        投诉对象  小米金融        涉诉金额  6 500 元    问题类型    诉求类型投诉详情  商量了过段时间还款 现在打电话到我们村里去了</t>
  </si>
  <si>
    <t>2019/10/10 13:33:52</t>
  </si>
  <si>
    <t>卖有问题的手机明明是主板的问题还不给退货欺骗祖国的花朵手机直接死机都开不了。</t>
  </si>
  <si>
    <t>2019/10/10 13:33:51</t>
  </si>
  <si>
    <t>的交易纠纷，暂时限制您的商品发布、支付宝余额支付和提现等功能，开通账号需要您处理好所有交易问题后，提供双方协商一致解决的阿里旺旺聊天举证号或退款支付宝交易号，申诉入口：请您进入卖家中心-体检中心--处罚记录--查看原因，点击我要申诉按钮进行申诉，如有疑问点击我有疑问进行咨询，凭证审核通过后账户恢复正常状态，如果逾期不申诉或申诉不成功,淘宝网将对账户做永久冻结,此处理适用于骗取他人财物处罚规则，规则链接，https://rule.taobao.com/detail-516.htm我店铺未与，淘宝已危及交易安全</t>
  </si>
  <si>
    <t>2019/10/10 13:33:47</t>
  </si>
  <si>
    <t>现在剩下最后一期1580.74这是高利贷吧。</t>
  </si>
  <si>
    <t>2019/10/10 13:32:59</t>
  </si>
  <si>
    <t>打电话恐吓我，严重影响到我的身心健康，还要抱我的通讯录。</t>
  </si>
  <si>
    <t>2019/10/10 13:32:42</t>
  </si>
  <si>
    <t>投诉人 侯先生        投诉对象  豆豆钱        涉诉金额  999 元    问题类型    诉求类型投诉详情  开始借款就先收会员费。999元。想让他们退还于我</t>
  </si>
  <si>
    <t>2019/10/10 13:31:53</t>
  </si>
  <si>
    <t>没有有钱贷的贷款，今天却收到了催收的电话，连续打了两个，还威胁我不还后果自负。</t>
  </si>
  <si>
    <t>2019/10/10 13:31:13</t>
  </si>
  <si>
    <t>钱站连续三天打电话给我家人，家里人现在自己不能正常生活了，而且钱站工作人员自己都说不会的，主要是我紧急联系人不是我母亲，现在知道了我母亲电话，读取了我的通讯录，希望做出解释，我问过工作人员，他们说没读取，没有读取怎么知道的，读取通讯录是违法的。</t>
  </si>
  <si>
    <t>2019/10/10 13:30:34</t>
  </si>
  <si>
    <t>本人于2019年12月在期待合伙人平台上借款9000元，到账扣除1200，再加上利息，已经严重高利，本人工作的上一任公司，几个月没有开工资，所以一直周转不开，已经找到新的工作，需要时间，目前暂无还款能力，希望借助贵平台能够帮助协商还款，暂停计息，停止催收。</t>
  </si>
  <si>
    <t>2019/10/10 13:30:02</t>
  </si>
  <si>
    <t>你我贷催收前段时间就给我通讯录里的人发短信说要在当天必须还款，不然直接来我家砸我家东西，恐吓我，我之前也投诉过，可是工作人员给我打电话并没有解决此事。</t>
  </si>
  <si>
    <t>2019/10/10 13:29:54</t>
  </si>
  <si>
    <t>投诉人 赵先生        投诉对象  支付宝        涉诉金额  91 元    问题类型    诉求类型投诉详情  一直上传一直通过不了 到这一步就被拒 客服也联系不上也没个人回答怎么处理 支付宝什么时候有这个霸王条款了</t>
  </si>
  <si>
    <t>2019/10/10 13:29:47</t>
  </si>
  <si>
    <t>我于18年10月在智富车贷质押车辆手续贷款，贷款金额为108000元，到手里只有98000元，而且贷款合同上的日期确是2016年7月29号，贷款公司的名字也变成了兵器装备集团财务有限公司了，盖的章也是后者，智富车贷的名字完全不见踪影，这纯粹的就是欺诈，我还了6期，每期还款4386.69元，于今年4月份我想提前还款，遭到贷款公司拒绝，称不可以提前还款，提前还款需要支付违约金加上本金，竟然达到11万多的惊人数字，我一气之下拒绝还款与其理论，今年8月贷款公司竟然把车偷走了，我给贷款公司客服打电话，态度及其嚣张恶劣</t>
  </si>
  <si>
    <t>2019/10/10 13:29:36</t>
  </si>
  <si>
    <t>因为个人原因还款耽误两天，逾期费高达两百块，客服电话没有人工接，找到可以接单人工的对话框告诉我，没有这个权限，希望此平台可以联系钱站有这类权限的人与我联系减免逾期费用谢谢。</t>
  </si>
  <si>
    <t>2019/10/10 13:29:03</t>
  </si>
  <si>
    <t>购买时买错签收时隔五分钟我们就联系了客服退货，，在不了解清楚事情真相前直接推卸责任给顾客，我觉得这种服务态度，原先的京东快递来电是直接送货上门，现在送货员全部是打电话让顾客下楼自己去拿，性质已经变了我强烈要求给出解释，同时也会致电消费者协会挽回自身利益，。</t>
  </si>
  <si>
    <t>2019/10/10 13:28:21</t>
  </si>
  <si>
    <t>投诉人 袁涛        投诉对象  钱橙无忧        涉诉金额  98 元    问题类型    诉求类型投诉详情  无意中被扣款98元，一直没有下款。望平台能给解决此事。</t>
  </si>
  <si>
    <t>2019/10/10 13:27:52</t>
  </si>
  <si>
    <t>阴阳合同，砍头息，要求协商减免砍头息的钱，按合理利率还款。</t>
  </si>
  <si>
    <t>2019/10/10 13:27:35</t>
  </si>
  <si>
    <t>投诉人 娜女士        投诉对象  带上钱        涉诉金额  8 000 元    问题类型    诉求类型投诉详情  贷上钱借两千元要购买500多元的游戏豆。我现在要求退还我游戏豆钱。所谓的游戏豆什么用都没有。我可以支付国家法定的利息</t>
  </si>
  <si>
    <t>2019/10/10 13:27:20</t>
  </si>
  <si>
    <t>在前几天和马上花说好的只还本金2800，因为资金不足，每天分期还款，还了700，还剩下2100，到最后要求我还款7300，协商不同意要求还款5000，4000，3000，我不同意，我说只能还款2800，发信息威胁爆我通讯录，给我亲朋好友打电话骂人，脏话连篇，已经严重影响到我生活，请及时解决，做出道歉。</t>
  </si>
  <si>
    <t>2019/10/10 13:26:21</t>
  </si>
  <si>
    <t>在平台有借款，已经还款一部分，剩余款项一直和该公司的工作人员做协商，并且一直都在还款，可是就这样情况下，他们却让第三方不法人员上门催收，联系客服人员，转到催收部门，竟然故意不理睬，直接挂掉电话，虽然有欠款但也要合法催收，更何况一直配合还款，并且同时都同时联系我，又乱又害怕，希望该公司正规专员同我协商，请聚投诉平台主持公道。</t>
  </si>
  <si>
    <t>2019/10/10 13:26:16</t>
  </si>
  <si>
    <t>，用宝贝支付的聚合码收钱，前面用的还不错都是立马到账，后来有三笔钱卡住了，单号为W2****************4。</t>
  </si>
  <si>
    <t>2019/10/10 13:25:36</t>
  </si>
  <si>
    <t>逾期多日未送货，客服投诉无果，9号显示签收，全程未接到任何电话，也不知道货在哪，凭什么签收。</t>
  </si>
  <si>
    <t>2019/10/10 13:25:30</t>
  </si>
  <si>
    <t>商品不到15天降价179-124=55元这么大个平台怎么这样玩。</t>
  </si>
  <si>
    <t>2019/10/10 13:25:09</t>
  </si>
  <si>
    <t>用钱宝APP外包催收公司暴力催收，泄露个人信息，将个人身份证号等信息群发给亲朋好友，以及恐吓我本人，多次跟他们平台反馈情况，平台不予处理，声称他们没办法管外包公司的事，种种行为已经对我的心理，精神还有生活造成很大的阴影以及影响。</t>
  </si>
  <si>
    <t>2019/10/10 13:24:52</t>
  </si>
  <si>
    <t>投诉人温金秋投诉对象易鑫车贷涉诉金额8000元问题类型诉求类型投诉详情易鑫车贷，高利贷，套路贷款，暴力催收，我于三个月前，在易鑫车贷用营业执照贷款110000元，每个月还款金额4200元左右、已还款一个月，目前因为资金链断裂，希望平台宽限些时日，也每次都和平台催收的人员说了事情详细经过、希望平台宽限一些时日，目前平台催收人员无声无息的去我老家归属地恶意催收，恐吓家里老人和亲戚，目前家里老人已被吓病！请求平台为我做主！。</t>
  </si>
  <si>
    <t>2019/10/10 13:24:51</t>
  </si>
  <si>
    <t>投诉人 周先生        投诉对象  天津房地产集团有限公司        涉诉金额  70 000 元    问题类型    诉求类型投诉详情  投诉卖房捆绑车位 且一直不交付 请政府做主</t>
  </si>
  <si>
    <t>2019/10/10 13:24:21</t>
  </si>
  <si>
    <t>通过信用管家app申请一款名为元宝宝的贷款，北京畅捷通支付技术有限公司(实际为畅捷支付）为其提供支付通道客服为元宝宝公司，怀疑是一家公司，实际到账2250元，分为4期，每期7天，每期费用高达771元，利息834元，属于典型的超利贷，套路贷。</t>
  </si>
  <si>
    <t>2019/10/10 13:24:13</t>
  </si>
  <si>
    <t>贷款1000元3个月要求还款2000多，利息真是高的离谱！。</t>
  </si>
  <si>
    <t>2019/10/10 13:24:12</t>
  </si>
  <si>
    <t>去年办理手机分期，逾期了，现在想处理协商还本金。</t>
  </si>
  <si>
    <t>2019/10/10 13:23:38</t>
  </si>
  <si>
    <t>投诉人葛超勇投诉对象中德银信投资有限公司,中德金控app涉诉金额82000元问题类型诉求类型投诉详情现已零零碎碎投资82,000元左右，余19年10月5号，APP平台打不开，打电话给中德银信投资有限公司，139******24，边回复说别人套用他们的公司营业执照。</t>
  </si>
  <si>
    <t>2019/10/10 13:23:20</t>
  </si>
  <si>
    <t>兴业银行信用卡，打电话叫我分期，我分期了，然后没逾期就把我卡冻结，结果我小工作室经营不善逾期了三四个月，期间我也还过几百几百的，今天打电话协商分期还款说银行已经外包给其他催收员，让我等电话和他们外包催收联系，我说我额度才一万，期间我也还过几百一千，现在要还10945.05元，说我分期了利息都算在里面，让我全额还款，利息也是一次性扣的，说不还款就开始让外包人员进行报案处理，钱我已经还了，希望给我个合理的解释，让我分期的是你们兴业银行信用卡中心客服，冻结卡的也是你们，全额还款也必须把分期的那些利息也还上，如果是</t>
  </si>
  <si>
    <t>2019/10/10 13:22:31</t>
  </si>
  <si>
    <t>打电话说今天还款日下午一点之前不还逾期费用400多，然后还说你就说有没有钱还等等。</t>
  </si>
  <si>
    <t>2019/10/10 13:21:27</t>
  </si>
  <si>
    <t>牛人有品由信用管家为其引流，畅捷支付为其开通通道，且牛人有品归属公司为网络科技公司，没有贷款类许可，非法放贷，上海馥岷信息科技有限公司法人名称王冰卿地址：上海市金山工业区亭卫公路6495弄168号5幢4楼1863室企业名称：上海奈罄网络科技有限公司法人名称：王冰卿地址：上海市崇明区长兴镇潘园公路1800号3号楼20764室(上海泰和经济发展区)王冰卿名下还有一个公司，暂未查询公司性质均为网络科技有限公司，从事网络通信行业，并放贷，本人在牛人有品借款1900，被砍头息，实际到账1368，因本人家庭困难，今日是</t>
  </si>
  <si>
    <t>2019/10/10 13:21:12</t>
  </si>
  <si>
    <t>本人这两天骑芒果电单车真是越骑越生气，无论我停在什么位置都说我停在非指定区域内，要加收我6块钱调度费，我骑行一公里不到收我9块钱，我把车停在芒果电单车专用停车位同样也收我6块钱调度费，本人怀疑芒果电单车是在变相收取费用，希望聚投诉工作人员对他们进行警告！严惩不良商家，把多收我的钱全部退给我，还我血汗钱！。</t>
  </si>
  <si>
    <t>2019/10/10 13:20:57</t>
  </si>
  <si>
    <t>佛山市顺德区艾魅斯电子商务有限公司,asppuer欧索普尔旗舰店，注册所有人是广东佛山的个人，并非德国公司，且注册时间是2016年，自己在德国注册一个商标如何能宣称20年德国专业品牌，使用中，声音远超人的说话声，描述却形容不超过说话声的50-80分贝，商家无真实检测报告噪声值，描述图片显示55分贝，实际远远大于此数值，描述重点提到48000转1600w，消费者会误认为功率高，转速大，效果好，实际上收货后才发现，是加热功率800w，搅拌功率800，而且使用过程中，一般是先加热至100度，再最高速搅拌，描述的1</t>
  </si>
  <si>
    <t>2019/10/10 13:20:54</t>
  </si>
  <si>
    <t>借款17500，还了三期之后发现，还款额度里面有高额的贷后管理费，实在无力偿还了只能逾期，逾期之后客服联系我还清一期在帮我复贷，我没做！之后他们就不停的骚扰亲戚朋友同事，那时候刚怀孕，弄得我失去了工作，最后就冒充律师事务所给我发了几个信息恐吓我，打击我，去了几次医院保胎，前两天又发了一个。</t>
  </si>
  <si>
    <t>2019/10/10 13:20:31</t>
  </si>
  <si>
    <t>12月24日的违章，半年前一直查不到的，就是后面突然就有了，本人工作在广州花都区，为了这事去花都区交管大队处理结果说无能为力，然后今年十月一号前去宁远县也说搞不了，还来句应该，没有关系！！这社会到底是怎么了，办个事怎么这么难。</t>
  </si>
  <si>
    <t>2019/10/10 13:20:16</t>
  </si>
  <si>
    <t>申请退费没人理我，直接没有客服，反正就是对退费问题是没有人负责的，说了好久了都没人联系我，电话都是他们单方面打给你，你也联系不到升学教育的人。</t>
  </si>
  <si>
    <t>2019/10/10 13:20:05</t>
  </si>
  <si>
    <t>趣惠买平台存在砍头息，变相的高利贷，他是以信用白条形式提供借款服务，借款1050，到账735，，要求立即联系我调整利率，协商本金加合法的利息进行还款，并提供结清证明。</t>
  </si>
  <si>
    <t>2019/10/10 13:19:41</t>
  </si>
  <si>
    <t>在交易猫卖号，交易成功了，钱不给我，提示分润失败，支付宝未实名，我以前都可以交易怎么就这次未实名，怀疑交易猫涉嫌欺诈行为，而且人工客服根本就没有，这么大的一个公司，客服都找不到，细思极恐。</t>
  </si>
  <si>
    <t>2019/10/10 13:19:27</t>
  </si>
  <si>
    <t>汇潮支付为714高炮台金银钱包开通支付通道！！！并且对方不停打电话骚扰！！！态度很不好！！！！。</t>
  </si>
  <si>
    <t>2019/10/10 13:19:20</t>
  </si>
  <si>
    <t>投诉人何先生投诉对象钱站涉诉金额40000元问题类型诉求类型投诉详情本人于2019.09.10在钱站app借款40000元，当时急着用钱没注意看合同，就直接借款了，现在回头发现合同写着借款52800元，分12期，每期5009.31元，算下来借款40000元，要还60111，现希望平台反馈到钱站官方，修改合同，调整利率，附借款到账截图，合同截图，每期还款金额截图。</t>
  </si>
  <si>
    <t>2019/10/10 13:18:50</t>
  </si>
  <si>
    <t>我要求减免，客服推脱！借款的时候也没有所谓的服务费啥的！我不是不还我希望通过协商全部还清，有啥推脱的！所谓的服务费不过是变相利息，远远超过国家规定！。</t>
  </si>
  <si>
    <t>2019/10/10 13:18:18</t>
  </si>
  <si>
    <t>当初在闪银借了1832元，由当时不懂，下款了，让我先还了300多门头息，资金断裂导致逾期了，现在想协商还本金，麻烦闪银的人看到了，联系我，186******09，真诚想处理，如若协商不了，我只能不还了，谢谢。</t>
  </si>
  <si>
    <t>2019/10/10 13:18:06</t>
  </si>
  <si>
    <t>投诉人刘先生投诉对象帮考网涉诉金额15810元问题类型诉求类型投诉详情本人父亲之前在帮考网购买了VIP消防考试课程是在天津市滨海新区于家堡新金融大厦24层负责的课程顾问黄春强178******04但在八月二十多号课程顾问给我父亲推荐私教班我们表示不需要但以查看条件为由并引导要了父亲的身份证银行卡并且还要取了验证码在咖啡易融上办理了分期说已签署合同但并没有收到任何合同并已明确拒绝不需要发现问题后便跟课程顾问联系说给解决退款但一直没有确切行动已经拖了一个多月要求退回原来的课程学习贷款取消。</t>
  </si>
  <si>
    <t>2019/10/10 13:17:54</t>
  </si>
  <si>
    <t>之前给分期乐反馈了，现在又给我来电话说要我明天下午三点之前处理，不然就要移交案件通知我的联系人，也就是爆我通讯录了，还给我发了恐吓短信，我之前一直都是按时还款的，分期乐这次就一点情面都不留，非得把我逼上绝路吗。</t>
  </si>
  <si>
    <t>2019/10/10 13:17:48</t>
  </si>
  <si>
    <t>我在钱站APP借了1000元已经还了2期现在还有一期4百多多没还，加起利息也是5百多，但是今天钱站扣了我3400元，这样不是太合理，我也在不知道的情况给扣了。</t>
  </si>
  <si>
    <t>2019/10/10 13:17:15</t>
  </si>
  <si>
    <t>投诉人 黄先生        投诉对象  转转        涉诉金额  188 元    问题类型    诉求类型投诉详情  手机邮寄到转转保卖平台 卖了之后还不给钱 装不懂 不知道 不给钱</t>
  </si>
  <si>
    <t>2019/10/10 13:16:58</t>
  </si>
  <si>
    <t>王者钱包违规高炮，借款1240时未显示借款期限，下款后只有5天时间！下款到账1240，6号借款，10号还款要还2008.8，收取768高额前期！！现协商还款到账本金部分1240！并消账！！！。</t>
  </si>
  <si>
    <t>2019/10/10 13:16:09</t>
  </si>
  <si>
    <t>向我通讯录群发P图，已经违法，恶意骚扰不相干的第三方人士，希望聚投诉能处理一下，钱包易贷这种行为已经违法。</t>
  </si>
  <si>
    <t>2019/10/10 13:15:51</t>
  </si>
  <si>
    <t>投诉人黄先生投诉对象4399游戏涉诉金额1100元问题类型诉求类型投诉详情首页我也说清楚不是啥好人，之前通过网络认识这个人，有过经济来往，所以比较信任，很久了&amp;amp;nbsp;&amp;amp;nbsp;最开始理由是银行卡解绑了&amp;amp;nbsp;&amp;amp;nbsp;手机号没用了&amp;amp;nbsp;&amp;amp;nbsp;后来是银行卡冻结&amp;amp;nbsp;&amp;amp;nbsp;再后来&amp;amp;nbsp;&amp;amp;nbsp;问&amp;amp;nbsp;&amp;amp;nbsp;说自己欠了网贷&amp;amp;nbsp;拿去还钱了，问题什么</t>
  </si>
  <si>
    <t>2019/10/10 13:15:23</t>
  </si>
  <si>
    <t>账单逾期第一天，从早上到现在连续拨打四次电话催收骚扰，我说今天一定会处理欠款账单的，反复以半小时或者十分钟内不处理欠款就拨打联系人、上报征信为由威胁恐吓，说了今天一定处理，在工作时间还各种电话骚扰，已经严重影响到了我的工作和生活，希望小赢卡贷给出一个合理的解释，现在提供暴力催收骚扰电话号码，025369071050,02569071301,02569071071，如有需要可提供电话录音。</t>
  </si>
  <si>
    <t>2019/10/10 13:15:12</t>
  </si>
  <si>
    <t>在360借条APP上填写了申请额度没有申请借款他们直接放款收取12期的利息我要求收回本金他们说是我自己申请的借款，可是我一直没有申请过借款这一步骤，当我看到卡里多了4800元后一查看360借条App已经借款给我，我直接还款还要九百多的利息，我找了他们的公证号要截图他们只给了我申请额度的截图，我要我申请借款的截图他们说没有，说什么他们的监控不是一直都在拍摄的，为什么有我申请额度的截图没有我申请借款额度的截图呢，这不是摆明了强买强卖吗！我就是相隔半个小时还款还要这么多的利息这是高利贷吗。</t>
  </si>
  <si>
    <t>2019/10/10 13:14:41</t>
  </si>
  <si>
    <t>投诉人 李先生        投诉对象  速金服,凡普信,凡普金科        涉诉金额  60 元    问题类型    诉求类型投诉详情  8号是我在速金服的还款日 我银行卡里余额充足 但速金服自动扣款失败导致我逾期 要求他们减免逾期费也不减免 结果扣了还不退回</t>
  </si>
  <si>
    <t>2019/10/10 13:14:39</t>
  </si>
  <si>
    <t>10月7号本人向聚投诉投诉招联金融严重打扰情况。</t>
  </si>
  <si>
    <t>2019/10/10 13:14:16</t>
  </si>
  <si>
    <t>投诉人何女士投诉对象雅思兰贷涉诉金额1900元问题类型诉求类型投诉详情10月6号晚上申请的雅思兰贷，提现1900到账只有1216元，而且在我不知道的情况下，要求退还多扣的费用，只还本金。</t>
  </si>
  <si>
    <t>2019/10/10 13:14:15</t>
  </si>
  <si>
    <t>使用一年没有任何逾期或者不还的，不知道什么原因直接给我降到0，请顺便给我说下原因，因本人这一个多月自身原因家里有点事资金很困难，特此希望能协商延期或者分期还款。</t>
  </si>
  <si>
    <t>2019/10/10 13:14:10</t>
  </si>
  <si>
    <t>各位工作人员大家好，今天投诉滴滴出行对预约单的不公平，本人跑滴滴48天，在这48天里有投诉过不公平派单，但是今天投诉的是预约单问题，我跑48天里一单预约单都抢不到，给客服打电话说是网络问题，我想问客服难道这48天里我的网络一直都不好吗，我用的是4G网路抢到预约单的师傅用的是5G吗，观察了这48天能看的出来，每天发往机场的预约单不少于20单每天都是固定的几个人能抢到单，我就想知道为什么就这么几个人能抢到单而其他人抢不到单，虽然我们出生农村文化低但是不傻，滴滴出行玩的什么猫腻你们自己心里清楚，只要是好的预约单没</t>
  </si>
  <si>
    <t>2019/10/10 13:14:06</t>
  </si>
  <si>
    <t>中金支付四川分公司在2019年10月10日下午19点期间，在我本人不知情的情况下从我农业银行卡上扣款，用于金融保险-生意批发，交易金额125.21元500元，我到农业银行网点查询该笔金额是用于网上消费转走的。</t>
  </si>
  <si>
    <t>2019/10/10 13:13:46</t>
  </si>
  <si>
    <t>本人于2019年9月6日在lc分期贷款app里的神马借借了3000元，分4期，每期需还1024多元，32天共需还4000多，比国家规定年利率高出百倍，并且第三期2019年9月30日开始无法主动还款和自动扣款，导致第三第四期出现逾期费用，逾期费用高达800元，客服电话无人接听。</t>
  </si>
  <si>
    <t>2019/10/10 13:13:44</t>
  </si>
  <si>
    <t>由于资金周转问题在猪福钱包贷款2000多元，每期780多，然而其却有高昂的砍头息，实际下款1500左右并且逾期一天利息高达60元，这里已还一期加逾期费高达800多元，在此要求按正常利率一次性本金结清剩下两期遭到拒绝并恐吓，请有关负责人尽快处理。</t>
  </si>
  <si>
    <t>2019/10/10 13:13:42</t>
  </si>
  <si>
    <t>上月底，我曾对天下信用汇信融资担保联合如期分期收取高额砍头息的高利贷行为发起投诉，要求退还两笔砍头费用，如期分期客户致电需结清投诉才能走流程退款，但最终如期分期并未履行承诺，在此我对这种行为给予强烈谴责！再次投诉！希望大家在遇到同样情况下能注意！并要求如期分期尽快退款！。</t>
  </si>
  <si>
    <t>2019/10/10 13:13:40</t>
  </si>
  <si>
    <t>辱骂本人联系人，对本人进行恐吓，人身攻击，辱骂他人，暴力催收。</t>
  </si>
  <si>
    <t>2019/10/10 13:13:38</t>
  </si>
  <si>
    <t>8月26日，9月10日，9月25日以每期2398.80元还款3期，还款总金额7196.4元，但是平台私自增加还款期数1期，金额为2398.80，如果按照对方的还款方式我需要还款总额为9595.2元，对方威胁恐吓，我的通讯录所有亲人朋友全都打电话骚扰，恐吓，故选择举报该平台，要求其撤销我的第四期还款。</t>
  </si>
  <si>
    <t>2019/10/10 13:13:23</t>
  </si>
  <si>
    <t>因为私事，需要开具结清证明，我充值尾款到豆豆钱对公账户，截止目前，依然没有到账，已经过了这个月的还款日期，豆豆钱催收部门暴力催收，无休止打电话，客服人员不作为，拖，拖，拖。</t>
  </si>
  <si>
    <t>2019/10/10 13:13:17</t>
  </si>
  <si>
    <t>投诉人 邝女士        投诉对象  安逸花（跃吉科技）        涉诉金额  2 500 元    问题类型    诉求类型投诉详情  安逸花严重影响了我的生活 我不是不还钱 而是我现在没有能力还</t>
  </si>
  <si>
    <t>2019/10/10 13:13:05</t>
  </si>
  <si>
    <t>1，樊登读书会搞差别待遇，其樊登读书会上海授权点官网承诺15天不满意可退费，但我现在因为误购只有7天，客服以上海才可以享有该权益，拒绝我退费。</t>
  </si>
  <si>
    <t>2019/10/10 13:13:02</t>
  </si>
  <si>
    <t>海尔消费金融违规催收爆打通讯录，影响我之前同事的正常工作和生活，同事非常反感要报警举报，现在要求停止骚扰催收，由于我工作原因上午8.30分到下午19.30分手机上交，无法接听电话，不是不接电话，。</t>
  </si>
  <si>
    <t>2019/10/10 13:12:41</t>
  </si>
  <si>
    <t>滴滴乱扣服务分，到达地点了等了20多分钟乘客下来了四个人四个行李箱乘客取消还扣我服务分。</t>
  </si>
  <si>
    <t>2019/10/10 13:12:28</t>
  </si>
  <si>
    <t>我在转转卖了东西，买家确定收货了，转转不打款，说我的订单号有风，打款失败，也不解决问题，要求转转重新打款。</t>
  </si>
  <si>
    <t>2019/10/10 13:12:11</t>
  </si>
  <si>
    <t>类似于pos机以百分之59加3手续费作为第三方软件可以还刷个人信用卡，以便解决个人信用卡资金周转紧张的一个平台！2019年8月28日早上10点29分，刷本人信用卡9700元提现到本人银行卡，短信提醒刷卡成功，等了二个小时我打电话给汇收宜客服，说三天一定会到帐，三天后在联系客服，说什么银行对资金掌控严格被抽查到了还要再等3到15个工作日，他们说15天左右会到账，谁知道15天过了还是没到账，后来再联系客服他们说已经在处理让我耐心等待月底之前一定会到，，9月30号上午我又打电话给客服说什么已经处理到尾声了就剩20</t>
  </si>
  <si>
    <t>2019/10/10 13:11:57</t>
  </si>
  <si>
    <t>10月7日，未经本人同意，擅自从我的银行卡里扣了299元，扣款公司是通联支付网络服务有限公司-上海携趣信息科技有限公司，我也曾与客服沟通，但是无用，我希望百事普惠能够返还299元，下图有他们扣款的详情。</t>
  </si>
  <si>
    <t>2019/10/10 13:11:55</t>
  </si>
  <si>
    <t>本人在蚂蚁金呗全额还款，对象不销账，不处理，非法冻结本人账户，对象电话05397773306。</t>
  </si>
  <si>
    <t>2019/10/10 13:11:41</t>
  </si>
  <si>
    <t>前期收取高额砍头息，逾期一天就产生327.5元高额逾期费，与催收人员协商还款日期，催收人员态度恶劣，侮辱恐吓，威胁我当天不还清就联系亲朋好友！希望客服与我联系协商还款日期，减免相应逾期费，并保证期间不骚扰本人及亲朋好友！。</t>
  </si>
  <si>
    <t>2019/10/10 13:11:16</t>
  </si>
  <si>
    <t>沟通找不到人，已挂逾期很久了，影响个人信用记录！。</t>
  </si>
  <si>
    <t>2019/10/10 13:11:14</t>
  </si>
  <si>
    <t>借款1300，7天还款1900，违法高利贷，暴力催收，冒充银行人员，骚扰通讯录朋友亲人，顶风作案。</t>
  </si>
  <si>
    <t>2019/10/10 13:10:54</t>
  </si>
  <si>
    <t>汇潮支付提供支付通道，王者钱包，5天要还2008，到账1240元，比高利贷都高出很多倍。</t>
  </si>
  <si>
    <t>2019/10/10 13:10:51</t>
  </si>
  <si>
    <t>8月21日，本人通过短信链接下了金鸡钱包app，借款前在app上有所了解，app上明确写明了借款1000元，借款期限7天，手续费98元，到账902元，觉得还能接受，于是申请了2000元，结果只到账了1220元，砍头息780元，借款期限也只有5天，发现了已经被套路贷了，8月26号被逼无奈续期了5天，续期费用780元，后续到期后，催收人员暴力催收，恐吓，威胁，还拨打电话，后陆续归还1200，已归还本金，希望通过聚投诉平台协商销账处理！。</t>
  </si>
  <si>
    <t>2019/10/10 13:10:17</t>
  </si>
  <si>
    <t>百度地图国庆集赞兑换小度音箱，集赞30个成功却不能兑换，一直火爆，连续3天准时去兑换都没换到，虚假宣传。</t>
  </si>
  <si>
    <t>2019/10/10 13:08:48</t>
  </si>
  <si>
    <t>自称招商银行的，现在银行都这么厉害啊，还能上门贴纸的，我说不还了吗，我连停息都没要求吧。</t>
  </si>
  <si>
    <t>2019/10/10 13:08:05</t>
  </si>
  <si>
    <t>9月底联系到客服说明问题，客服说会有工作人员回电，至今没有处理。</t>
  </si>
  <si>
    <t>2019/10/10 13:07:53</t>
  </si>
  <si>
    <t>该公司于2019年10月10号上午11时39分从本人银行卡自动扣款296元，本人从未在该公司购买任何产品和服务，要求该公司给个合理的解释并全额退款。</t>
  </si>
  <si>
    <t>2019/10/10 13:07:52</t>
  </si>
  <si>
    <t>我于2019年9月26日选择一诺情感公司挽回感情，购买情感挽回项目，并于2019年9月27日与该公司签订合同，我付完款一共3999元，然后签订微信合同，签订合同以后，给我分配了一个导师，这个导师叫澄邈，先是导师助理预约我和她通电话，一共57分钟，说和很多道理，并没有什么实质性帮助，一通电话1200元钱是这么好赚的吗，前两天和导师交流的还比较多，主要就是说我这里做的不对那里做得不好，但后来慢慢发现不是那么回事，全是大道理，但不切合我的实际情况，，结果就这个项目，中途几次人消失不见，不回消息长达一个多小时，大哥</t>
  </si>
  <si>
    <t>2019/10/10 13:07:51</t>
  </si>
  <si>
    <t>高利贷，利用保险放贷收取高额利息，还款收取手续费，服务费，管理费等不合法的费用，利息远超国家规定的最高年利率，还通过读取手机电话本电话骚扰家人朋友。</t>
  </si>
  <si>
    <t>2019/10/10 13:07:38</t>
  </si>
  <si>
    <t>本人于今年六月在快鱼分期借款2900，当时借款时一下扣了607，实际到账只有2293，我于10月10号已全还清，但现在账号无法注销，银行卡无法解绑，也没有客服电话，智能客服又解决不了，我担心我的资料在快鱼上暴露，这个平台完全欺骗消费者，不能保障消费者合法权益。</t>
  </si>
  <si>
    <t>2019/10/10 13:07:16</t>
  </si>
  <si>
    <t>借1000，合同上写着1330，要求整改，。</t>
  </si>
  <si>
    <t>2019/10/10 13:06:48</t>
  </si>
  <si>
    <t>我在唯品会买了件衣服，买的时候755，但是过了十几天降到了587，客服回复不能退差价，那我说申请退货重拍也被拒绝了，说最多只能赔偿20元唯品币，但是差价有168元，结果只能补20元，完全不合理。</t>
  </si>
  <si>
    <t>2019/10/10 13:06:39</t>
  </si>
  <si>
    <t>投诉人冯先生投诉对象闪银涉诉金额2600元问题类型诉求类型投诉详情接到自称是闪银催收的电话，态度很恶劣，拒绝我提出的合理诉求我试图找平台客服协商，无法打通电话。</t>
  </si>
  <si>
    <t>2019/10/10 13:06:15</t>
  </si>
  <si>
    <t>拼多多您的店铺小同学衣橱已退店成功，保证金2000.00元、货款34.79元、推广账户余额0.00元，已于2019-09-19至2019-09-26期间内打款至您绑定的银行账户，请及时查收，7天内您可以登陆拼多多商家后台查看退店进度及退款结果，之后我们将关闭贵店铺的登陆入口。</t>
  </si>
  <si>
    <t>2019/10/10 13:06:09</t>
  </si>
  <si>
    <t>银飞集团,工商银行内蒙古分行营业部明珠支行,内蒙古呼和浩特银飞集团，本人于2017年6月经人介绍在内蒙古呼和浩特市银飞集团办理贷款业务，当时业务人员告知我工商银行批款10万，会扣取前置利息，问我能否接受，我说可以，之让我签字，也没用给我看签字的合同内容，之后经过他们的安排，让我等待通知，7月告诉我说银行批款十万，每期还款2777.7元，实际到账56300元，此笔钱银飞集团直接打到我爱人的卡上，并且给了我一张还款卡，让我每期按时还款，与银飞集团告知我的严重不符，本人要求工商银行给与消除征信，停账结清处理。</t>
  </si>
  <si>
    <t>2019/10/10 13:06:01</t>
  </si>
  <si>
    <t>投诉人徐槟棋投诉对象国美易卡,国美分期,国美官微涉诉金额5000元问题类型诉求类型投诉详情昨天放款审核以前已经联系留言不要放款，但是在我留言后还是给我发短信说放款了，今天我要还清还不让提前还清，强制购买的250元服务费，加上700多的利息，加起来1000块了，，，我现在的要求就是联系我，给我结清，利息我也还你，要求现在结清，等不了分期。</t>
  </si>
  <si>
    <t>2019/10/10 13:06:00</t>
  </si>
  <si>
    <t>2019-10-09出售QQ号平台把我资料都给了买家，24小时后还不结单，咨询客服也没人理。</t>
  </si>
  <si>
    <t>2019/10/10 13:05:39</t>
  </si>
  <si>
    <t>投诉人 王先生        投诉对象  自由魔卡,六便士        涉诉金额  2 065 元    问题类型    诉求类型投诉详情  高利贷，催收，恐吓，还款了还催收。希望能销账</t>
  </si>
  <si>
    <t>2019/10/10 13:05:33</t>
  </si>
  <si>
    <t>9月11日，从壹心分期贷款2100元，实际到账1525，砍头575，支付通道为连连支付有限公司分2期还款，1期15天，每期1071元，共还2142元，严重超过国家法定利率，现已经偿还1期，因本人债务爆发，无力继续偿还高利贷，可接受本金还款和偿还国家法定利息。</t>
  </si>
  <si>
    <t>2019/10/10 13:04:50</t>
  </si>
  <si>
    <t>本人老公在金鸡钱包上借款2000，实际到账1200，到期要还款2000多，逾期费用每天100元，逾期后催收人员就开始骚扰通讯录联系人，逼迫我们每天要转账给她，不还就给通讯录打电话，现在已经陆陆续续还款2000多元了，已经远远超过到手金额1200元，但是催收人员仍然每天威胁恐吓我们及身边亲朋好友，汇潮支付为这种高利贷提供放款，扣款通道，助纣为虐欧，我们要求做销账处理，否则报警处理。</t>
  </si>
  <si>
    <t>航司给我讲说可以立即退款并退款原路返回，但智行一开始告诉我不能退票退款，在我的质问和提出证据后告诉我可以退票但退款要等航司通知，我告知智行航司那边告诉我可以立即退款，但智行说不行，强行扣押我的机票退款不给我，违反《中国民用航空旅客、行李国内运输规则》第二十三条，航班取消、提前、延误、航程改变或承运人不能提供原定座位时，旅客要求退票，始发站应退还全部票款，经停地应退还未使用航段的全部票款，均不收取退票费，这里没有涉及赔偿问题，但依据合同法规定应承担相应赔偿责任：第一百一十二条，当事人一方不履行合同义务或者履行</t>
  </si>
  <si>
    <t>2019/10/10 13:04:32</t>
  </si>
  <si>
    <t>提现一次限额1500收取高额手续费，现在是不到账账户还剩5165打电话客服每次都是催促就是不到账。</t>
  </si>
  <si>
    <t>2019/10/10 13:04:28</t>
  </si>
  <si>
    <t>本人最近一直被套路贷困扰，2019年7月25号和8月9号在壹心分期平台结果两笔借款，8月9号的借款是11号到的帐，均有高额砍头息，希望能给个合理的答复。</t>
  </si>
  <si>
    <t>2019/10/10 13:04:22</t>
  </si>
  <si>
    <t>投诉人乐女士投诉对象及贷涉诉金额1000元问题类型诉求类型投诉详情借款1000分期半年现在要还一千六百多投诉3次无果不搭理，每次都是随便敷衍，每次投诉后没有电话打来，却在平台回复说我电话联系不上。</t>
  </si>
  <si>
    <t>2019/10/10 13:04:20</t>
  </si>
  <si>
    <t>投诉人李丹丹投诉对象招联金融涉诉金额10000元问题类型诉求类型投诉详情招联金融公司委托催收公司对我个人及通讯录所有人进行骚扰，并对我通讯录所有人发送恐吓短信，现在我司领导已经收到短信，并对我进行处理，招联金融及委托的催收公司已经对我个人造成了严重的后果，并且催收公司冒充公检法对我通讯录里的所有人进行电话催收，给我的通讯录里的人员造成了骚扰！希望贵平台给予帮助谢谢。</t>
  </si>
  <si>
    <t>2019/10/10 13:04:19</t>
  </si>
  <si>
    <t>青客公寓没有丝毫信誉押金不退还且没有任何说法！要求立刻退还押金！。</t>
  </si>
  <si>
    <t>2019/10/10 13:04:13</t>
  </si>
  <si>
    <t>去年申请了个信用卡，一万的额度，每个月按时还最低还款额度，今年突然给降到2000，这个不提，每个月依然按照账单还最低还款，结果每天都打骚扰电话，说超额多少多少，刚刚打电话给人工，问了一下，信用没问题没逾期，就是不给解决，让我自己把号码拉黑名单，这银行也太垃圾了。</t>
  </si>
  <si>
    <t>本人逾期时间较长，目前需要处理之前欠款，只是逾期罚金远远超过国家法定费率。</t>
  </si>
  <si>
    <t>2019/10/10 13:03:49</t>
  </si>
  <si>
    <t>小花钱包的催收不给协商，态度极其恶劣，直接爆通讯录，发短信给亲朋好友，严重损害个人名誉，给本人生活带来很大的影响。</t>
  </si>
  <si>
    <t>投诉人王先生投诉对象爱钱进涉诉金额3750元问题类型诉求类型投诉详情协商还款日期、客服一直语音提示忙线挂断、根本联系不上、未逾期就多次打电话通知还款。</t>
  </si>
  <si>
    <t>2019/10/10 13:03:40</t>
  </si>
  <si>
    <t>现金巴士借款1000，到账1000，马上扣款188，实际到账812，存在强制购买会员188，例外还要收取快速信审费30，账户管理费42，利息费18，放款方是上海中谷小金金融信息服务有限公司，扣款方是通联支付。</t>
  </si>
  <si>
    <t>2019/10/10 13:03:31</t>
  </si>
  <si>
    <t>本人于去年11月通过新浪微博中推荐的你我贷申请借款借款时只显示利息，并没有所谓的服务费你我贷以收取服务费为由，变相收取高额利息本人已经还了13000左右已经归还的利息已经超出国家标准你我贷拒绝协商并且疯狂骚扰本人自己身边朋友，同事给本人带来不小损失请新浪微博新浪金融给本人解决问题。</t>
  </si>
  <si>
    <t>2019/10/10 13:03:24</t>
  </si>
  <si>
    <t>7月26日用了国美易卡，借款3900元，10月9日不想用了，想提前还款，显示无法提前结清。</t>
  </si>
  <si>
    <t>2019/10/10 13:03:21</t>
  </si>
  <si>
    <t>并且申请了额度，之后就没有使用了，本就是高利贷。</t>
  </si>
  <si>
    <t>2019/10/10 13:03:20</t>
  </si>
  <si>
    <t>跟此平台工作人员沟通一次性结清所有金额，还款过后拒不帮我结清联系不上此公司工作财务人员！9月份已还清所有金额不帮我入账造成2次逾期这样的公司没人管吗。</t>
  </si>
  <si>
    <t>2019/10/10 13:02:50</t>
  </si>
  <si>
    <t>投诉人蒿先生投诉对象我来数科涉诉金额6000元问题类型诉求类型投诉详情9.29日在我来数科申请6000元借款，9.30审核通过并开始计时计息，但是我从9.29日一直到10.10日一分钱借款没有收到，我一分钱也没收到，但我来数科平台却已经显示已放款，并开始计时计息，这是赤裸裸的欺诈！请我来数科给一个解释！提供9.29----10.9日银行交易明细截图。</t>
  </si>
  <si>
    <t>2019/10/10 13:02:27</t>
  </si>
  <si>
    <t>投诉人 赵先生        投诉对象  升学教育        涉诉金额  14 960 元    问题类型    诉求类型投诉详情  让贷款，现在没钱还了。。要求退费不给办理</t>
  </si>
  <si>
    <t>2019/10/10 13:02:17</t>
  </si>
  <si>
    <t>每次说几分钟，结果几小时，而且一直处理不了事情，明明就是下一位乘客捡到手机，确一直不联系到这个顾客，每次都用他们美团电话去联系，人家不接也是很正常啊，我索要他号码你们不给我理解，但是我让你们用其他电话联系一下就这么难吗。</t>
  </si>
  <si>
    <t>2019/10/10 13:02:01</t>
  </si>
  <si>
    <t>在钱站借款1000，合同上却显示借了1400元！分3期，一期要还500，逾期一天违约金100元，抢钱吗，投诉多次都没有用，客服态度恶劣，希望给予解释！。</t>
  </si>
  <si>
    <t>2019/10/10 13:01:33</t>
  </si>
  <si>
    <t>于京东购买公司和三方公司共同活动用的抱枕，错开了默认的抬头发票，，由于此次活动是由三方公司出资，要求以对方公司抬头发票，也就是我现在需开三方公司的发票才可以报销，但是京东客服给的回复是我前后提供的公司非同一家公司，无法重开，即使不是同一家公司也未见国家相关规定无法重开，纯属京东公司个人规定，因连带关系，现在我2千多元因为此事无法报销，再多次联系京东客服无果后，特此申诉。</t>
  </si>
  <si>
    <t>投诉人 王先生        投诉对象  233小游戏        涉诉金额  630 元    问题类型    诉求类型投诉详情  让客服给我解决我试玩游戏中的奖励问题 半天没人搭理 就是回了一句就是半天不见人 特别是其中一个叫冷咖啡的 更是服务态度超差 就没见回复过 每次都是机器回复你！</t>
  </si>
  <si>
    <t>2019/10/10 13:00:59</t>
  </si>
  <si>
    <t>已经造成生活上的影响，恶意的短信骚扰！给我带来身心伤害。</t>
  </si>
  <si>
    <t>2019/10/10 13:00:46</t>
  </si>
  <si>
    <t>本人在网上做代理做一些电脑组装和电脑配件零售，通常每天会有一个来自各地陌生人的收款，微信没有任何理由莫名扣押冻结我的资金，经过我多次向微信客服调节无效，并没有人工客服理会，经过几次申诉无效，所以希望聚投诉能帮忙解决。</t>
  </si>
  <si>
    <t>2019/10/10 13:00:23</t>
  </si>
  <si>
    <t>接不到单，就是在热区也难得接到单，而且接单距离很远。</t>
  </si>
  <si>
    <t>2019/10/10 13:00:18</t>
  </si>
  <si>
    <t>初九钱包，从微信公众号初九服务申请的，高利贷，套路贷，借2000到手1561,砍头息439,说是充值游戏币，7天要还2025，实在无力偿还能力，当时借，应该有些急事，没有办法，不得不借，借款也有几次，催收打电话，晚上10点，11点打电话，发短信吵扰。</t>
  </si>
  <si>
    <t>2019/10/10 13:00:12</t>
  </si>
  <si>
    <t>招联金融该公司简称客服人员说让我把本金还了就可以了，本金只有一万，后面把剩余的本金加利息11500还，还有三千多的的逾期费就给我减免了，从9月份到10月份还没给我消户……。</t>
  </si>
  <si>
    <t>2019/10/10 12:59:41</t>
  </si>
  <si>
    <t>还款日当日疯狂给我打电话，从早到晚，我已经沟通过，我当日会进行还款，却还是一直打。</t>
  </si>
  <si>
    <t>2019/10/10 12:58:53</t>
  </si>
  <si>
    <t>投诉人黄先生投诉对象中国银联,中国银联股份有限公司广东分公司专户16,工商银行涉诉金额528元问题类型诉求类型投诉详情本人中国工商银行账户于2019年10月10日凌晨02：13分及02：25分无声无息无故划扣485.1元和43.2，至中国银联广东分公司专户16，本人无这方面款项的相关欠款，亦没有收到任何扣款信息以及验证码，请还我一个公道！并给说法！。</t>
  </si>
  <si>
    <t>2019/10/10 12:58:33</t>
  </si>
  <si>
    <t>2017年分期购买的手机消费贷20000元，之后捷信的工作人员又多次打电话可以借五万元，再把上一笔没有结完的欠款扣除以后转账到了我的银行卡，三万多元，现在我已经还完了57561元，远远超过了本金。</t>
  </si>
  <si>
    <t>2019/10/10 12:58:01</t>
  </si>
  <si>
    <t>我因为工作定了两天宾馆，但是太吵了，当天晚上就离开了，第二天中午来退房，跟酒店确认只住了一晚，还有一天的费用退在哪里，服务员说没操作过，就找了美团经理，电话没有接通，并告诉我，只要我在美团申请金额他们都会同意，于是，我就点了部分金额退款写了一天的费用110，但是，退款就只退了我23，我问美团，他们说，扣了我89的优惠金额，首先这个优惠金额跟部分夜间退款金额不一致，如果少了，相当于优惠券，还说不能原路返回，首先我就不同意退款43.5，扣除一部分款可以理解，一下子扣了89，过分了，而且，什么赔付金用处也不大，也</t>
  </si>
  <si>
    <t>2019/10/10 12:57:14</t>
  </si>
  <si>
    <t>本人于2019-09-22在小黑鲨平台申请了一笔3500元的借款，10天一期，共三期，总共需还四千四百多，这是典型的高利贷，要求减免利息以及所谓的风险测评费，并结清借款。</t>
  </si>
  <si>
    <t>2019/10/10 12:57:00</t>
  </si>
  <si>
    <t>投诉人陈女士投诉对象小花钱包涉诉金额1229元问题类型诉求类型投诉详情小花钱包逾期，已经接电话解释清楚等工资发了还款，但是每天打无数个电话，发短信，微信各种催收，还给通讯录所有的亲戚好友打电话通知，导致当事人抑郁。</t>
  </si>
  <si>
    <t>2019/10/10 12:56:04</t>
  </si>
  <si>
    <t>好易借在我未逾期的情况下恶意拨打我紧急联系人，阴阳合同，收取的利息以360天收取，借款5500，实际3个月内需要还款总额7093元，钻法律漏洞，。</t>
  </si>
  <si>
    <t>2019/10/10 12:55:54</t>
  </si>
  <si>
    <t>高利贷，砍头息，借五千块三个月还一万多，而且到账才三千多，。</t>
  </si>
  <si>
    <t>2019/10/10 12:55:02</t>
  </si>
  <si>
    <t>投诉人李先生投诉对象快闪卡贷,阳光保险涉诉金额20000元问题类型诉求类型投诉详情本人7月上旬在快闪卡贷贷款20000人民币，天津金城银行放款，以办理阳光保险的保险业务收取1960砍头息，六个月每月还款4021.38元，利息高达4000多，严重超出国家规定利率，后续联系客服一直未处理，对本案相当敷衍。</t>
  </si>
  <si>
    <t>2019/10/10 12:54:26</t>
  </si>
  <si>
    <t>协商还款，本人承诺2019年10月30号还一半欠款，2019年11月底还清所有欠款。</t>
  </si>
  <si>
    <t>2019/10/10 12:54:11</t>
  </si>
  <si>
    <t>投诉人 梁女士        投诉对象  分期乐        涉诉金额  3 000 元    问题类型    诉求类型投诉详情  骚扰家人朋友，不停骚扰。。。。。。。。。。。。</t>
  </si>
  <si>
    <t>2019/10/10 12:53:31</t>
  </si>
  <si>
    <t>沃钱包居然允许这种产品上架，高利不说还不让提前还款，现要求提前还款减免利息。</t>
  </si>
  <si>
    <t>2019/10/10 12:53:28</t>
  </si>
  <si>
    <t>本人在闪电借款平台借款有两年多了，都是按时还款，从来没有俞期过，这次还是按时还款了，还了就借不下来了，害得我信用卡俞期，客气不处理，希望闪电借款给我一个合理解释。</t>
  </si>
  <si>
    <t>2019/10/10 12:53:17</t>
  </si>
  <si>
    <t>投诉人 廖土强        投诉对象  海信        涉诉金额  296 元    问题类型    诉求类型投诉详情  在不知情的情况下扣了我296块。希望相关负责人能够退回给我。</t>
  </si>
  <si>
    <t>2019/10/10 12:53:16</t>
  </si>
  <si>
    <t>360借条审核未通过，给我推广爱白条借3000分3期要还4800多，典型高利贷，360平台推广高利贷。</t>
  </si>
  <si>
    <t>2019/10/10 12:53:14</t>
  </si>
  <si>
    <t>不知道这公司是如何能肆意从他人账户未经允许就能做到私自扣款的。</t>
  </si>
  <si>
    <t>2019/10/10 12:52:35</t>
  </si>
  <si>
    <t>之前注销国美易卡这个平台他们客服跟我说已经申请过借款，今天在我还清后我联系客服要求注销，电话客服跟我说公司规定只要申请过就不可以注销，而且拒绝反馈，然后我找了在线客服，在线客服态度极差，在我说要求注销的时候他却跟我说不可以删除征信查询记录，不正面回答我的问题，后来才跟我说只要申请过就不可以注销，还跟我说是公司规定，国家工信部在2017年6月1号实施的《中华人民共和国网络安全法》第四十三条中明确规定，在用户终止服务后，为用户提供注销服务，可是这条规定在他们公司看来是不存在的，这种公司目无王法，我现在要求他们公</t>
  </si>
  <si>
    <t>2019/10/10 12:52:32</t>
  </si>
  <si>
    <t>孙吴县工商银行已办理ETC为名，骗取客户信息，办理ETC6个月迟迟看不见，ETC机器，。</t>
  </si>
  <si>
    <t>2019/10/10 12:52:28</t>
  </si>
  <si>
    <t>本人10月1号在钱站申请了1000元的贷款，软件显示放款中，直到10月9号才给迟迟给我放款，期间本人联系客服取消订单，一直没有处理，而且客服电话很长时间处于无人接听的状态，钱站私自修改合同，借1000块分三期一个月一期一共要还1477希望协商本人归还本金取消订单，并希望相关监督平台对钱站高利贷行为进行处置。</t>
  </si>
  <si>
    <t>2019/10/10 12:52:18</t>
  </si>
  <si>
    <t>衣柜简易布组装收纳现代简约单人出租房用布艺小塑料折叠宿舍衣橱https://c.tb.cn/h.eoCvfZ2?sm=a8a9fa，点击链接，再选择浏览器咑??；或椱ァ制这段描述$Vz7lYLqt85E$后到◇绹℡寳实物与买家图片严重不符。</t>
  </si>
  <si>
    <t>2019/10/10 12:52:13</t>
  </si>
  <si>
    <t>在360借款逾期12天，除了每天多次打本人电话以外，还爆通讯录联系家人和朋友。</t>
  </si>
  <si>
    <t>2019/10/10 12:51:46</t>
  </si>
  <si>
    <t>本人于2018年5月10日在平安普惠i贷借款4900元，日利率0.098很高了，但我不知道合同上的7100元是怎么来的，请平安普惠给我解释一下，保险费用2000多是怎么来的，一直都是正常还款，因这两月家里有事资金困难，不是故意逾期，请求协商平安普惠和光大这边延期两月还款。</t>
  </si>
  <si>
    <t>2019/10/10 12:51:22</t>
  </si>
  <si>
    <t>现金巴士高利贷，年利率百分之36，6月份借款还要以加速放款为理由借款1000元收取118的会员费，期限一个月，不购买会员就无法放款，现在要求退还118会员费，否则投诉到底，绝不妥协。</t>
  </si>
  <si>
    <t>2019/10/10 12:50:29</t>
  </si>
  <si>
    <t>我是淘宝卖家，支付宝突然异常，无法收款，拨打客服都是都是自动回复，没有一个合理解释，现在店铺每天处于一个无奈的状态，钱也收不到，支付宝解决不了，已经10天了。</t>
  </si>
  <si>
    <t>2019/10/10 12:50:01</t>
  </si>
  <si>
    <t>降权了，官方显示却是健康的，这是怎么回事呢。</t>
  </si>
  <si>
    <t>2019/10/10 12:49:57</t>
  </si>
  <si>
    <t>借贷50000合同写74900，实际到账50000！每期还款1982.88，需还48期，还款37期后，客服以可减免40%剩余还款套路我从新申请一笔16745的贷款，充抵第一笔未还的11期高利贷！第二笔贷款又要月还437元，还48期！。</t>
  </si>
  <si>
    <t>2019/10/10 12:48:41</t>
  </si>
  <si>
    <t>11个月了，押金还是没退，天天欺负我们普通的消费者。</t>
  </si>
  <si>
    <t>2019/10/10 12:46:43</t>
  </si>
  <si>
    <t>本人2019年9月10日在壹心分期借款，借款2100元，砍头575元。</t>
  </si>
  <si>
    <t>2019/10/10 12:46:42</t>
  </si>
  <si>
    <t>瑞紧豪科技公司,福建三明健翔纺织品有限公司,连云港护家网络科技有限公司,中国银联，为不法分子违规支付，金额不止这么多，截图很多，不一一上传，希望能追回一点。</t>
  </si>
  <si>
    <t>2019/10/10 12:46:07</t>
  </si>
  <si>
    <t>伪造律师函，疯狂暴力催收家人朋友，恐吓家人，电话一个接一个的打给家人轰炸疯狂骚扰，要逼死谁，我是不是说过有钱一定连本带利还，每个月还一些对我来说也不难，遇到难处没办法互相体谅是吗。</t>
  </si>
  <si>
    <t>2019/10/10 12:45:21</t>
  </si>
  <si>
    <t>投诉人孙先生投诉对象转转涉诉金额1000元问题类型诉求类型投诉详情转转说我涉嫌欺诈，我明明是面交的！买家都也提交云审核了，转转还是冻结我的钱！客服一直推推拖拖的，。</t>
  </si>
  <si>
    <t>2019/10/10 12:45:12</t>
  </si>
  <si>
    <t>京东商城未经本人同意，自动开通plus年会员续费！。</t>
  </si>
  <si>
    <t>2019/10/10 12:44:57</t>
  </si>
  <si>
    <t>我在飞贷借了16000！每次每个月没到还款日就天天打电话就算了，这是提醒我嘛！可以理解！前几天客服打电话给我说还款我说手上紧要几天行嘛，完全不给协商，我就没接电话！现在知道达州的人说是飞贷公司安排他来收账，态度很恶裂，并给我老公打电话说要弄我老公，这是在严重威胁我，我问他什么时候到，我好在家等他，他不告诉我，现在也不接电话了！让我别打电话给他，我还了1.2万了！现在让我还1万！你们公司协商展期不同意，现在要上门，你们打电话回拨从来都是打不通，我的家人以及我的人身安全严重收到威胁！我要求停止上门吹收，并给我道</t>
  </si>
  <si>
    <t>2019/10/10 12:44:04</t>
  </si>
  <si>
    <t>花转转平台借款2800元，分四期一共一个月时间还清，每期1022，后来请教专业人士得知年利率严重违规，属于高利贷，共4088，后来请教专业人士得知，年利率严重违规，属于高利贷。</t>
  </si>
  <si>
    <t>2019/10/10 12:43:20</t>
  </si>
  <si>
    <t>这款口红是正品，淘宝判定假货，并扣除24分以及扣除1500保证金，，我经过申诉把需要提供的发票证明都提供了但是还是申诉失败。</t>
  </si>
  <si>
    <t>2019/10/10 12:43:00</t>
  </si>
  <si>
    <t>在MY钱包借钱10月9号还款日！无力偿还！10月10早9点半接电话让我10点一定要还，我说下午还，他们直接说不行，一定要10点还！时间比较紧没借到钱10点又接到电话说11点要还不然直接爆通讯录！隔1小时联系2个人！说是帮我借钱还款！刚才11点过直接打电话骚扰我的父母！请停止！没有图片！。</t>
  </si>
  <si>
    <t>2019/10/10 12:42:09</t>
  </si>
  <si>
    <t>2019年10月8号银行卡被联动优势辽宁盗刷32笔共计15948元.。</t>
  </si>
  <si>
    <t>2019/10/10 12:41:52</t>
  </si>
  <si>
    <t>投诉人刘先生投诉对象虎鲸钱包,贷点花花,重庆前海韦恩科技有限公司,汇聚支付涉诉金额1005元问题类型诉求类型投诉详情本人于2019-1-14日通过虎鲸钱包app，申请一笔借款，额度1000元，借款周期为7天，到期后需还款1005.60元，借款时强制绑定购买黑马客权益卡300元方可放款，放款实际到账为700元。</t>
  </si>
  <si>
    <t>2019/10/10 12:41:42</t>
  </si>
  <si>
    <t>本人在京东没有任何借贷关系，星计划欠款中，星计划每天找私人公司暴力催收，并且骚扰我家人朋友，泄露隐私。</t>
  </si>
  <si>
    <t>2019/10/10 12:41:41</t>
  </si>
  <si>
    <t>本人因资金困难于2016年4月通过中介贷款公司向马上消费金融旗下安逸花贷款3000元，每月22号为还款日，但还了1614元之后，还有1386元未还，因本人资金问题无法还款和原账号手机号，手机号因欠费注销，但马上消费金融的催收人员以为我的183的手机号还继续用，多次发催收短信，同时他们还伪造公检法多次以公检法人员或者律师、警察名义发多次催收短信威胁我和我的家人，严重影响我的家人的生活，使之不得安宁，现请求有关政府机关单位彻底调查该公司，同时，要求贵司将这些催收人员解雇并要求道歉，同时要求他们停止催收，与我方进</t>
  </si>
  <si>
    <t>2019/10/10 12:41:07</t>
  </si>
  <si>
    <t>你们恒易贷三番五次的打我老婆单位电话什么意思，既然你们没有协商的余地你们可以通过正当的法律途径来解决啊，你们每次恶意骚扰算什么意思，有本事用你们实名制的电话打进来啊，每次和你们的通话录音我都有，律师我也咨询过，公安局我也备案过！家人朋友我也给打过招呼了，你们可以随便给我的家人朋友打电话，我正好没有证据呢，你们快点打！不打是我孙子！我是欠的不合法的高利贷，我会通过正当的法律途径来解决这件事情的！是你们没有诚意在先，麻烦再告诉一下你们的催收人员给自己后代积点德，坏事干多了会遭遇报应的！我老婆的工作要是让你们整失</t>
  </si>
  <si>
    <t>2019/10/10 12:40:42</t>
  </si>
  <si>
    <t>本人正常还款，想和期待科技协商处理还款计划，因为本人工资一万左右还款讲还2万元多，本人履约正常还款计划，协商处理临时额度能分期付款谢谢。</t>
  </si>
  <si>
    <t>2019/10/10 12:38:38</t>
  </si>
  <si>
    <t>本人现在资金不够，目前偿还不了欠款，有钱了第一时间和你们联系结清，现在多个平台都有逾期，并且他们把我的通讯录打了一个遍，希望你们能协商，别用这种暴力催收手段，能协商处理的平台，钱到了第一时间处理，不能协商处理的，钱到了我也会继续维护自己的权益，你们现在的软件，苹果手机已经进不去了，赶紧处理一下吧。</t>
  </si>
  <si>
    <t>2019/10/10 12:38:32</t>
  </si>
  <si>
    <t>投诉人 沈先生        投诉对象  钱站        涉诉金额  1 700 元    问题类型    诉求类型投诉详情  在钱站借款1000元 但合同显示1340元 到期要还1700 请问这是什么 是高息还是欺诈 钱站还委托催收人员爆我通讯录 爆过通讯录了还会还你钱吗 爆吧 我这边等着报警</t>
  </si>
  <si>
    <t>2019/10/10 12:38:22</t>
  </si>
  <si>
    <t>本人外卖小哥一名，跑外卖租的张飞充电的电池，用了半年，由于今年外卖行业凉了，要改行找工作了，就退了张飞充电的电池，押金是1500块钱，2019年10月6号申请的退款，截止到发贴仍然没到账，于是本人准备问下客服，结果电话怎么都打不进去，也打不通，由于有小黄车OFO难退押金的前车之鉴，所以我特别害怕，再加上联系不上客服，遂是心慌，在门店租车的时候收了2049元，500元电池月租费，49元保险费，保险属于强制收费，我说不要，店员说不行。</t>
  </si>
  <si>
    <t>2019/10/10 12:38:10</t>
  </si>
  <si>
    <t>我在美团生活费因为困难借了7000，原先一直在给违约金，后来因为支付困难，就间歇了一段时间没有归还，后来美团多次联系，我们回复现在困难，可否分期偿还本金，号称美团委托的什么律师事务所一直打电话，不同意分期付款，也不知道从哪里弄的公司电话，一直发信息给我们老板，家人同事，更有甚的是冒充我们当地的派出所打电话，经过核实，派出所未接收到信息，这种催收对我的生活工作造成很大影响，如果觉得欠钱不还可以走法律程序，但是有什么权利调查到公司电话，找到公司老板，如果因为这个事工作丢了责任谁付，希望停止骚扰，并且按照实际能力</t>
  </si>
  <si>
    <t>2019/10/10 12:37:50</t>
  </si>
  <si>
    <t>我上个月7号在国美易卡贷款6000元，在最近我都没有收到关于国美易卡的还款提醒，软件也没有推送我就给忘了，逾期三天国美也没有联系我，直到今天直接打了我母亲的电话，找到了我母亲的单位，说我贷款7200元，要还款，现在已经给我造成了很大的困扰。</t>
  </si>
  <si>
    <t>2019/10/10 12:37:10</t>
  </si>
  <si>
    <t>立借为高利贷套路贷提供平台，借六千元分十二期要还八千多，前三期就要还完所有本金还算了利息的，申请前并没有说分期前三期就要还所有本金，该平台总是推脱责任叫我们找资金方，这样的高利贷平台不应该存在。</t>
  </si>
  <si>
    <t>2019/10/10 12:36:58</t>
  </si>
  <si>
    <t>已经线下还款了，App里面的欠款还没处理，线下收完钱直接给我拉黑，。</t>
  </si>
  <si>
    <t>2019/10/10 12:36:39</t>
  </si>
  <si>
    <t>之前还款都有最低还款，最近因为经济压力大没还上，最近才还了10000，告诉我还欠33000，打客服说这3000是违约金，试问谁告诉我还有违约金这一说，银行也没通知客户有违约金，条款不透明，乱收取费用，要求退还3000。</t>
  </si>
  <si>
    <t>2019/10/10 12:35:51</t>
  </si>
  <si>
    <t>我不欠捷信的钱，可是天天给我打电话！他们那么恐怖的公司，谁敢借他们的钱！。</t>
  </si>
  <si>
    <t>2019/10/10 12:35:44</t>
  </si>
  <si>
    <t>瑞紧豪科技公司,连云港护家网络科技有限公司,福建三明健翔纺织品有限公司，违规支付，不止这个金额，截图太多，没法一一上传。</t>
  </si>
  <si>
    <t>2019/10/10 12:34:43</t>
  </si>
  <si>
    <t>中银消费金融的微博新易贷电话骚扰本人及通讯录的亲朋好友，严重影响大家的工作和生活，要求停止对其骚扰并道歉。</t>
  </si>
  <si>
    <t>2019/10/10 12:34:13</t>
  </si>
  <si>
    <t>投诉人林女士投诉对象优钱花,小安公众号,推借涉诉金额99元问题类型诉求类型投诉详情优钱花客服打电话说关注微信公众号帮助下款，关注之后，全程诱导性，目的只是为了充值99开通会员，说保证会成功借款，开通会员后我去申请贷款，他给我链接跳到别的app，都一直没有成功，优钱花app界面写明失败即可退款，公众号态度不好说退款渠道还没上线。</t>
  </si>
  <si>
    <t>2019/10/10 12:34:00</t>
  </si>
  <si>
    <t>云闪付为这些不法分子提供非法通道，请求退款。</t>
  </si>
  <si>
    <t>2019/10/10 12:33:20</t>
  </si>
  <si>
    <t>2019/10/10 12:33:11</t>
  </si>
  <si>
    <t>投诉人董先生投诉对象玖富万卡涉诉金额10000元问题类型诉求类型投诉详情玖富万卡利率太高、我想提前结清希望能减免点费用我已经还了七期每期还1133.27已经还了7932.89剩下五期还没还，剩余五期我想提请结清，减免点费用，玖富一定要我在APP上结清，还说他们的利率没超过百分之二十四，但我一期就还1133.27，12期就是13599.24，我才借一万，一年还，这年利率都在百分之三十五.九了，这么高的利率还说不超过年利率24，我只想提前结清，减免点费用，他们都不肯，这么吸血的嘛！。</t>
  </si>
  <si>
    <t>2019/10/10 12:32:12</t>
  </si>
  <si>
    <t>本人之前在玖富万卡APP上借款一万元，此前提交投诉申请之后，玖富万卡并未做出合理的解决方案，本人提出的合理要求也未被回复，本人要求合理支付本人应支付的借款，多余不合理的保费与服务费，本人坚持拒绝偿还。</t>
  </si>
  <si>
    <t>2019/10/10 12:31:43</t>
  </si>
  <si>
    <t>本人在豆豆钱借款3000元，借款时账单没有体现扣400元保险费，借款到账一周后在本人不知情情况下鸿飞担保转走本人400元，还款账单也没有显示有该款项，请求退回400元。</t>
  </si>
  <si>
    <t>2019/10/10 12:31:40</t>
  </si>
  <si>
    <t>钱橙无忧在我不知情的情况下扣除个人风险评估报告168元。</t>
  </si>
  <si>
    <t>2019/10/10 12:31:17</t>
  </si>
  <si>
    <t>10月8日起，不停拨打借款人登记公司电话，对公司业务开展造成严重影响，2019年10月10日，加微信号询问其情况，要求停止骚扰，结果该人竟说自己是快递公司。</t>
  </si>
  <si>
    <t>2019/10/10 12:31:05</t>
  </si>
  <si>
    <t>看上一个游戏账号，交易时不满意，双方同意关闭交易并退款，但现在关闭交易后一直显示退款失败，联系不上客服。</t>
  </si>
  <si>
    <t>2019/10/10 12:30:49</t>
  </si>
  <si>
    <t>本人于2019年9月8号在闪银旗下的闪豆申请了借款，但是前提必须购买茶叶高达276元才能获得1000借款资格，而且茶叶价格是那种十几块钱的廉价商品，实际就是变相收取前期费用，他们这是走个形式而已，我知道等下闪银平台肯定会说茶叶不关他们事，而且没有强制，其实他们就是变相强制购物而且最终茶叶的钱，也是落去他们自己口袋，他们只不过想要开脱而已，要求本金加合法利息费用，然后销账，况且之前高额的白条砍头息早已超过借款的金额好几倍了，昨天已经联系客服很多次，但是都联系不到，电话打过去就是空号，今天早上收到一个电话，但是</t>
  </si>
  <si>
    <t>2019/10/10 12:30:48</t>
  </si>
  <si>
    <t>利息太高，借5000砍头费扣了1800，然后利率在36%了，应该不符合国家利率吧，算是高利贷。</t>
  </si>
  <si>
    <t>2019/10/10 12:30:04</t>
  </si>
  <si>
    <t>每期822！无法联系到客服无法打开app没人联系我！。</t>
  </si>
  <si>
    <t>2019/10/10 12:30:03</t>
  </si>
  <si>
    <t>本人欠浦发银行信用卡14000都没逾期过，就这个月家里有先变故，首先自己刚离婚，又带着一个小该，目前又没工作，没能力一次性还款，多次与浦发银行催收员协商分期还款处理，但都被他们各种威胁语气恐吓，家里面老人也被他们催收员的恐吓语气气得住院，我就想问他们是要把人逼死才心安吗。</t>
  </si>
  <si>
    <t>2019/10/10 12:29:41</t>
  </si>
  <si>
    <t>宜人贷工作人员诱导借款且存在欺骗成分，存在阴阳合同，手机版合同与电脑版合同有出入，手机版合同上显示每期应还2614元，但当还款时却要还3205元，本人于还款日当天晚上23:40分登录平台APP进行手动还款，结果多次操作均提示无法操作，，导致本人逾期，罚息一下子409元，平台故障导致客户不能还款，硬要求客户承担高额罚息。</t>
  </si>
  <si>
    <t>2019/10/10 12:29:38</t>
  </si>
  <si>
    <t>招商外包催收冒充律师司法人员等，在本人有还款意愿的情况下，非法盗取个人运营商信息，给非紧急联系人打电话骚扰恐吓，多数是老人，现已住院，并且给公司打电话，现在工作也没了，更加没有能力去还款了！生活一塌糊涂啦已经！希望有人出面解决！。</t>
  </si>
  <si>
    <t>2019/10/10 12:28:36</t>
  </si>
  <si>
    <t>本人在现金巴士借款十余次，每次都要交什么好信费，超级会员费，共计1000多元，现在希望归还！。</t>
  </si>
  <si>
    <t>2019/10/10 12:28:26</t>
  </si>
  <si>
    <t>本人在一个股票交流群里认识一个“老师”，跟着他操作一段时间的股票后，他提出让我帮他在一个网站上充值帮他投票，于是我听信了这个，在“老师”的带单下输光了钱被踢出群我才发现被骗了，经过网上查询才发觉这是违规赌博网站，本人多次联系三方支付公司瀚银科技有限公司客服都不肯处理，在此希望能帮助追回资金，如果你们看到这条投诉不处理，本人将会到国家网信办举报中心继续举报，并报警处理，并且将瀚银科技，钱退不回来我会永远追到底，如没有让我满意的解释，12315我也会上报，和中国消费者保护协会上报，希望能给我一个合理的解释，本人</t>
  </si>
  <si>
    <t>2019/10/10 12:27:46</t>
  </si>
  <si>
    <t>本人在信用飞借款4000，要收我810的保险管理费，这很不合理希望退回保险费用。</t>
  </si>
  <si>
    <t>2019/10/10 12:26:27</t>
  </si>
  <si>
    <t>本人与招联公司有债务关系，因经济原因暂时逾期，2019年10月9日上午10点30分，招联公司向本人及其通讯录好友群发欠款告知短信，号码为，155******52，137******95,138******03,133******77，本人认为招联公司没有电话与本人联络，而是采用群发短信的不当催收手段催收欠款。</t>
  </si>
  <si>
    <t>2019/10/10 12:26:18</t>
  </si>
  <si>
    <t>钱站，高利息，借1000三个月还款1300多，本人要求还本金和正常利息。</t>
  </si>
  <si>
    <t>2019/10/10 12:26:03</t>
  </si>
  <si>
    <t>投诉人 刘先生        投诉对象  富友支付,快钱支付,广州银联网络支付        涉诉金额  150 000 元    问题类型    诉求类型投诉详情  2018年10月到2019年10月。还在为714高炮提供支付通道。累计还款超过25万元。无视国家法律法规！挑战国家！</t>
  </si>
  <si>
    <t>2019/10/10 12:25:51</t>
  </si>
  <si>
    <t>2019年9月20号下载聚福钱包试着申请贷款，过了几天被快捷通支付自动扣了299元，打电话给聚福钱包那边说三天内退回，结果现在十几天过去了也没退回，在聚福钱包的贷款也没贷成功。</t>
  </si>
  <si>
    <t>2019/10/10 12:25:21</t>
  </si>
  <si>
    <t>招商银行把我的信息泄露给星计划骚扰我的家人朋友，因为这个朋友不是太熟我只在申请招商银行信用卡的时候填了她的名字作为联系人，绝对没可能其他贷款公司有这样的信息，每天冒充京东金融发信息给我家人和朋友，对我名誉和隐私造成极大影响，希望处理。</t>
  </si>
  <si>
    <t>2019/10/10 12:25:16</t>
  </si>
  <si>
    <t>虫虫快借,金银钱包,海南易联普惠,杭州市民卡,汇潮支付,虫虫快借信息有限公司,金银钱包信息科技有限公司，本人于2019.10.07在虫虫快借借款3000元合同期限5天，实际到账1650元，砍头息1350元，2019.10.08在金银钱包借款3000元合同期限5天，实际到账也是1650元，砍头息1350元，其中在这期间海南易联普惠，杭州市民卡有限公司为高利贷虫虫快借提供储存和放款通道；汇潮支付有限公司为金银钱包提供储存和放款通道，巨额砍头息本人无力偿还那么多，希望虫虫快借和金银钱包能够协商偿还避免造成双方的损</t>
  </si>
  <si>
    <t>2019/10/10 12:25:05</t>
  </si>
  <si>
    <t>我上班忙没时间看视频，就说考试了叫我报名，九月份去考了，都不会！想退款，给班主任打电话发消息不接不回，实在给我打的烦回了一个电话，问他什么时候退，他就是拖，说走流程1个月，这不明显在拖吗。</t>
  </si>
  <si>
    <t>2019/10/10 12:24:57</t>
  </si>
  <si>
    <t>投诉人王先生投诉对象中金支付,鸿飞担保涉诉金额400元问题类型诉求类型投诉详情不知道为什么突然从我卡里扣400元走，请做出解释。</t>
  </si>
  <si>
    <t>2019/10/10 12:24:22</t>
  </si>
  <si>
    <t>期间打过不下4次电话给小鹏400热线，被告知在走流程，会催促，然而并没有人跟进，两个月过去了到现在也没有收到任何退款，也没有具体处理日期。</t>
  </si>
  <si>
    <t>2019/10/10 12:24:05</t>
  </si>
  <si>
    <t>微粒贷第三方威胁暴力催收严重影响我工作还钱，欠钱还钱天经地义，但是这种暴力催收严重影响工作，后面更没有钱还账。</t>
  </si>
  <si>
    <t>投诉人曾先生投诉对象联动优势涉诉金额5978元问题类型诉求类型投诉详情2019年10月8号被联动优势辽宁盗刷12笔共计5978元.。</t>
  </si>
  <si>
    <t>2019/10/10 12:23:23</t>
  </si>
  <si>
    <t>国庆前投诉京东金融帐号使用受限问题，京东金融很快给予了答复，大意是需要专员处理但是因为国庆可能需要到节后，国庆后确实处理了部分问题，其它两个帐号已可正常使用，但是189******75这个帐号仍然受到限制，请京东金融方面尽快恢复帐号正常使用，谢谢，图一为正常不受限帐号领券情况，图二为受限制帐号。</t>
  </si>
  <si>
    <t>2019/10/10 12:23:22</t>
  </si>
  <si>
    <t>本人于10号早上接到023开头的电话骚扰，早上三个小时打了五个电话，第一通电话已经作出明确回答，然后一个小时一个电话，我心情十分不好。</t>
  </si>
  <si>
    <t>2019/10/10 12:23:13</t>
  </si>
  <si>
    <t>本人于之前对于平安普惠车主贷收取高额保险费及服务费进行了投诉要求处理退保及退服务费问题，客服一直和我联系沟通并拒绝退保，后本人告知会继续维权下去，但是该公司咨诉处理员工，工号764111联系电话:181******68，告知肆意发布不实信息，要追究我们的法律责任，但是我们并没有发布不实信息，只是实话实说而已，该员工所说的内容对家人的心理造成了恐慌，并生气导致身体不适，我们只是一个手无寸铁的老百姓，维护自己的权利被变成了发布不实信息。</t>
  </si>
  <si>
    <t>2019/10/10 12:23:04</t>
  </si>
  <si>
    <t>在北京会牛科技旗下的产品一共借款7k，实际到账5800，再加上利息和手续费服务费，3个月内需一共还款1w，再看到合同时，曾打电话告诉客服，要取消贷款，可是被拒绝了，现在到了还款时间，迫于催收和爆通讯录的压力，已经还了1期，但是对于有逾期的情况，我本人已经在积极的配合进行了还款的商议，是希望服务员和利息调整的还款，无用后对我通讯录的人进行了群发短信和电话骚扰，对我本人声誉造成了严重的影响，也对我的人身安全造成了严重影响，对我的工作和家庭也造成了伤害。</t>
  </si>
  <si>
    <t>2019/10/10 12:22:44</t>
  </si>
  <si>
    <t>借款20000利息3000到提现的时候扣服务费3000，纯属套路贷。</t>
  </si>
  <si>
    <t>2019/10/10 12:22:36</t>
  </si>
  <si>
    <t>本人长期被套路贷困扰，借过壹心分期平台好几笔贷款。</t>
  </si>
  <si>
    <t>2019/10/10 12:22:28</t>
  </si>
  <si>
    <t>本打算通过网络借款的，结果他们打电话过来推荐聚富分期，我一分钱没有借到，当天就卸载了，没想到三天过去了还在我不知情的情况下，从我卡里直接扣除了了299元，网络上被这家公司盗取了上万用户，我已经多次追回无效，十一天前通过贵平台投诉，当天得到回应，但是久久只是回应，忽悠，难道你们上海造艺网络公司就是专门用你们的网络科技来坑害小百姓的，没文化不是我的错，你们这些有文化的人，不骗我们你们会饿死吧！请求有关部门严格处理。</t>
  </si>
  <si>
    <t>2019/10/10 12:22:09</t>
  </si>
  <si>
    <t>不给贷款本人打电话，骚扰亲友通讯录，暴力催收，恐吓威胁亲友！。</t>
  </si>
  <si>
    <t>2019/10/10 12:21:21</t>
  </si>
  <si>
    <t>在月光侠分期贷款已经5-6天了，还是一直显示放款中，打人工想讯问一下也打不通，想撤销贷款也撤销不了。</t>
  </si>
  <si>
    <t>2019/10/10 12:20:32</t>
  </si>
  <si>
    <t>本人于2018年11月从及贷APP借款20000元，分12期还，还至19年7月，共还8期，剩余本息4期，因家里生意失败导致无力还款，及贷工作人员联系时也有说明自身情况，但未曾想及贷将债权委拖给永启外包，永启外包以群发短信的方式发送侮辱性信息给亲朋好友，给本人的工作与生活带来了极大的困扰。</t>
  </si>
  <si>
    <t>2019/10/10 12:20:21</t>
  </si>
  <si>
    <t>之前想如期分期借款，之前都是自动扣款的，没有详细看里面的还款内容，之前逾期了，现在想结清，看了一下里面除了本金1666.67元和利息160元已在，还有一个技术服务费，每期240，打电话给深圳市前海如期科技有限公司的电话，客服说一直没有接到通知说有一个技术服务费，希望有关部门能尽快帮忙处理下，维护一下权益。</t>
  </si>
  <si>
    <t>2019/10/10 12:20:17</t>
  </si>
  <si>
    <t>宜信普惠贵州分公司工作人员协助我怎么完成总部调查，放款后合同签的九万多，实际到账六万多，逾期一天罚息四百多，跟他们协商无效，态度十分强硬，我说他们的罚息超过国家规定他们很嚣张的说国家也没喊我去他们那里借钱，我已经不知道还了多少罚息了，并且他们的工作人员还在打电话给我让我去借款，现在已经没有能力还款了然后他们还在继续利滚利，现在请求贵平台帮忙抵制这种高利贷公司。</t>
  </si>
  <si>
    <t>2019/10/10 12:20:14</t>
  </si>
  <si>
    <t>本人应资金需求，在闪银借款，借款5000，分期6个月，第一个月还941.45+363元的担保服务费，后面4期每期还款922.99，最后一期还款922.96，不合理收363的担保服务费，我想请问363服务费不算为利息吗，这个月还款日，本人资金不足，逾期了6天，滞纳金为55.37，如果按照5000元，36%利率一天的逾期费用是4.93元，何况我逾期金额是922.99，为什么6天逾期费用需要55.37，如得不到解决，投诉到银监会。</t>
  </si>
  <si>
    <t>2019/10/10 12:20:02</t>
  </si>
  <si>
    <t>信用管家登陆不了，然后导致我青春宝逾期，之前都是按时还的，还了两期，现在来个人加我微信，发了个我的账单，然后一个支付宝二维码，让我线下转账，然后说1点不还，上门暴力催收，爆通讯录，我说我知道你真的假的，直接把我拉黑了，现在就已经爆了我通讯录了，这么牛逼的么，我说我验证你真假，真的立马就还，她到好，不给余地，直接爆通讯录了！。</t>
  </si>
  <si>
    <t>2019/10/10 12:19:29</t>
  </si>
  <si>
    <t>4个月前点了快闪就到账7200，说是扣了手续费800，还了2期，一期还1608.55，最近因为资金周转实在不好！逾期一天就40！！你们钱这么好赚，怎么不去抢的呢！还发信息恐吓我！！！！！。</t>
  </si>
  <si>
    <t>2019/10/10 12:19:17</t>
  </si>
  <si>
    <t>月光侠客服威胁我要上门催收～～让我发定位～～还要给第三方外包～～钱站已经骚扰我的家人～～希望他们立即停止。</t>
  </si>
  <si>
    <t>2019/10/10 12:19:11</t>
  </si>
  <si>
    <t>本人在宜人贷的贷款，还款日是每个月的5号，每月还款3031，在逾期两天后逾期费高达390元，与宜人贷催收人员沟通后同意减免，诱导我还款3032后帮我把逾期费减免销账，到目前为止仍然没有减免，仍然显示逾期状态，并且每天逾期金额都在增加，请宜人贷公司给出解释，同时这么高的砍头息和利息服务费严重超过国家规定的利率范畴，属于非法经营的高利贷公司，难道国家扫黑除恶这么久也不管管这些非法高利贷公司吗，直接涉及到民生问题，扫黑除恶没有落实到基本实处，对普通老百姓而言没有任何帮助。</t>
  </si>
  <si>
    <t>2019/10/10 12:18:45</t>
  </si>
  <si>
    <t>被暴力催收，恐吓我的联系人，严重影响了联系人的日常生活。</t>
  </si>
  <si>
    <t>2019/10/10 12:17:12</t>
  </si>
  <si>
    <t>拼多多涉嫌联合网络赌博骗取钱财，通过拼多多商户骗取钱财然后不发货。</t>
  </si>
  <si>
    <t>2019/10/10 12:14:53</t>
  </si>
  <si>
    <t>投诉人 马先生        投诉对象  居家易贷        涉诉金额  2 900 元    问题类型    诉求类型投诉详情  居家易贷借款2900。实际到账2100。协商2500还款。还款后不销账，欺诈。</t>
  </si>
  <si>
    <t>2019/10/10 12:14:33</t>
  </si>
  <si>
    <t>拇指下款恶意扣费，不是在他们平台贷款，还要收299元费用，把个人信息到处去推荐，目前钱还没扣，要求解绑本人银行卡，停止扣费。</t>
  </si>
  <si>
    <t>2019/10/10 12:13:48</t>
  </si>
  <si>
    <t>恒易贷在上个月开始已经连续两个月，在还没逾期的情况下就骚扰借款人的家人，我作为借款人的家人已经不堪其扰，昨天是还款日，恒易贷又是气焰嚣张的给我拨打了多次电话要求我与借款人联系，要求借款人尽快还款，但是借款人根本没有逾期的情况下，就开始频繁对其家人骚扰，甚至恶意辱骂，说话极其难听，而且威胁恐吓！我觉得我的人身安全受到了威胁。</t>
  </si>
  <si>
    <t>2019/10/10 12:13:45</t>
  </si>
  <si>
    <t>提供代扣支付，代扣卡号：是由上海富友支付代扣的，本人代扣卡号：是62*************9是2019年3月16号，现在上海富友可以查到这项扣款记录，本人在微信上加了一个自称小额贷款公司，说是需要399验证平台费，平台费代扣了以后说是没有提供订单截图号，要求退款，给了一个申请退款网站到现在都没消息……说我是银行黑名单，退款失败……，责任由谁承担，现在不仅不退款，不贷款给我，而且还不退我的399平台验证费……其平台是真是假不清楚。</t>
  </si>
  <si>
    <t>2019/10/10 12:13:29</t>
  </si>
  <si>
    <t>投诉人徐女士投诉对象山东济宁朝夕情感咨询有限公司涉诉金额2300元问题类型诉求类型投诉详情通过微信添加了山东济宁朝夕的咨询人员，然后该人员推荐了一位杨老师，该老师给我打电话询问了相关咨询情况，之后诱导我进行付款，我说收入有限，又建议我分期，并说帮我申请余额延长服务，之后建议我使用支付宝花呗进行扫码付款，现付款后，今早想放弃便打电话那杨老师但是电话打不通，并且以各种缘由拖沿，再了解看到网络上有投诉他们公司的，现更加不想咨询了，还没有接受他们的服务，也没签合同，也没有发票，现要求该公司尽快全额退款。</t>
  </si>
  <si>
    <t>2019/10/10 12:13:19</t>
  </si>
  <si>
    <t>17年打电话给我办理业务，业务员说贷21000只还1000多的利息，我办理了之后，19年准备一次性还款发现还有16000，打电话问说办理了什么还款包，还有手续费，这和你门当初和我讲的不一样，然后每天打电话来，我叫你们联系给我办理业务的业务员，你们也不联系，一直骚扰，你们公司就是这样对待我们的，1000多变成16000，如果你们在打电话骚扰，法庭见，多次要求你们经理回电话，你们也不回，出了问题全是我们的责任了，你们的员工给我们办理讲解的，过后翻脸不认，还不处理好，我将会投诉到银监会，希望你们两天之内给我一个满</t>
  </si>
  <si>
    <t>2019/10/10 12:12:55</t>
  </si>
  <si>
    <t>辱骂，恐吓，要砍我全家，辱骂亲戚，侮辱人格。</t>
  </si>
  <si>
    <t>2019/10/10 12:12:05</t>
  </si>
  <si>
    <t>投诉人 金先生        投诉对象  你我贷        涉诉金额  2 000 元    问题类型    诉求类型投诉详情  在你我贷借款2000元。中介收取400元费用。分12期。要还4000多。因陷入套路贷导致无法还款。之后就进行了一系列的暴力催收。催收人员还进行了辱骂。威胁上门催收。一个高利贷平台哪来这么高的底气？现要求调整利率。本金还款。减去已经还款金额。禁止在骚扰通讯录任何人。不能再群发消息和拨打电话。必须修改还款金额。否则将与你们高利贷套路贷斗争到</t>
  </si>
  <si>
    <t>2019/10/10 12:11:46</t>
  </si>
  <si>
    <t>该公司利用低息策略引导本人下载APP，在未经本人签名授权的情况下强制下款，还本人公道维护和谐社会健康发展，谢谢，在下款未到账的情况下第一时间致电该公司客服终止操作未果，客服人员有意拖延时间导致下款到账，升级投诉处理告知不能处理，必须按照系统合同，显示金额还款，利息高达16948.27元，外加所谓1500元不知啥的费用，多次与平台协商处理此事不予解决，也表明本人会向相关部门投诉，该公司所谓最高处理部门的态度强硬不惧各司法机关，烦请各大司法部门及平台能严肃处理此事，还本人公道，维护和谐社会健康发展，谢谢！！！。</t>
  </si>
  <si>
    <t>2019/10/10 12:11:31</t>
  </si>
  <si>
    <t>本人没有不还款，按照要求都把账户余额给催款人员看了，身体实在不舒服，又加上在外面网络不好。</t>
  </si>
  <si>
    <t>2019/10/10 12:11:27</t>
  </si>
  <si>
    <t>去年11约在凡普信贷款45000，合同金额60800，分18期，每期还款3710.56，当时到我账上是60800，4分钟后扣走158000，由于平台打着合法合规合理的旗号误导我们，当时也不懂，在还了10期之后了解到这个是属于砍头息高利贷行为，现在暂停还款，希望还款利息在综合年化百分之24之内得以解决！。</t>
  </si>
  <si>
    <t>2019/10/10 12:11:08</t>
  </si>
  <si>
    <t>投诉人 王女士        投诉对象  期待科技        涉诉金额  500 元    问题类型    诉求类型投诉详情  一直骚扰。没有人回复。想不想解决问题。一直发短信。等两天了电话一个没打。发短信能解决问题？这样一分钱别想拿到。</t>
  </si>
  <si>
    <t>2019/10/10 12:11:04</t>
  </si>
  <si>
    <t>投诉人梁先生投诉对象交易猫涉诉金额21元问题类型诉求类型投诉详情交易猫商家标题内容和发货内容不一致，申请仲裁客服也不管，现在商家把标题都改了，客服以此为理由不给仲裁成功。</t>
  </si>
  <si>
    <t>2019/10/10 12:10:54</t>
  </si>
  <si>
    <t>我放在银行卡里面的钱被一个叫做上海嘉定通华小贷公司扣走了，扣走了2759元，但是我根本没有在他家做过什么业务，对这个公司很陌生，无缘无故在我的建设银行卡化扣了2759元，我想知道他们不知道我的密码和网上银行支付密码为什么会扣走我的钱，是不是建设银行卡里的钱都不安全，我想问问建设银行是什么原因。</t>
  </si>
  <si>
    <t>2019/10/10 12:10:50</t>
  </si>
  <si>
    <t>投诉人梁女士投诉对象豆豆钱涉诉金额600元问题类型诉求类型投诉详情协商好的说我结清尾款之后返我600块，9.30号达成的协议，说1-3个工作日返给我，到现在迟迟没有返给我，打电话找客服联系不上原来的客服，就让我等着，上次也是就说让等着，然后后来是她们客服自己搞错了，这次又这样，让协商的客服给我一个合理的解释，到底多久返钱。</t>
  </si>
  <si>
    <t>2019/10/10 12:10:39</t>
  </si>
  <si>
    <t>从来没有在平安普惠上借过钱，给我发信息说我借他们钱，要起诉我。</t>
  </si>
  <si>
    <t>2019/10/10 12:10:11</t>
  </si>
  <si>
    <t>涉诉金额0元问题类型诉求类型投诉详情我朋友在趣花分期借了钱在我并不知情的情况下留了我的联系号码，和对方说明我并不知道我朋友现在情况及联系不上后，依然电话骚扰不断并且用我的手机号恶意注册各种平台发验证码来轰炸我严重影响我的生活。</t>
  </si>
  <si>
    <t>2019/10/10 12:10:02</t>
  </si>
  <si>
    <t>2017年11月12日钱站贷款70000元，合同现实75600元，实际到账70000万，阴阳合同，第二份合同显示每个月要多还1000元的服务费，存在欺诈行为，每天骚扰电话5个以上，分3年还清，我从2019年10月1号70000本金已还清，多还1500元，剩余利息将近5万元，协商直接恐吓我，有截图通话记录号吗，银行流水一些证据，严重影响了我的生活和工作，我的工作也没有了、我请求有关部门尽快清除这些强盗，黑社会性质的网贷，利息已超过国家标准利率，超出百分之三百了，我已经没有生活来源了，我的家庭亲朋好友都被电话骚</t>
  </si>
  <si>
    <t>2019/10/10 12:09:58</t>
  </si>
  <si>
    <t>这几个月真是太困难了，真的是难这了，家里面出现点状况父亲住院了，造成没能及时还款，恳求中信银行信用卡中心来协商还款事宜。</t>
  </si>
  <si>
    <t>2019/10/10 12:09:13</t>
  </si>
  <si>
    <t>我被别人做为紧急联系人，钱包易贷催收联系我后，每次联系完挂完电活或者不接他们电话就直接短信验证码轰炸，官方客户反馈过2次均为处理。</t>
  </si>
  <si>
    <t>2019/10/10 12:09:11</t>
  </si>
  <si>
    <t>从盈盈有钱贷款上推荐到贷款猪下的多宝分期的款，今天到期然后还款一直失败。</t>
  </si>
  <si>
    <t>2019/10/10 12:08:58</t>
  </si>
  <si>
    <t>小浦优客app申请借款，绑定银行卡后没有通过，九月底申请的，今天十月十号九点十五分银行给我发信息扣了296元钱，我去银行查看交易信息，都没查到怎么支付的，十一点多小浦优客给我发信息扣了296元的服务费，中间停了十多天又扣我的钱。</t>
  </si>
  <si>
    <t>2019/10/10 12:08:52</t>
  </si>
  <si>
    <t>投诉人 杨女士        投诉对象  小当家        涉诉金额  1 000 元    问题类型    诉求类型投诉详情  之前接触过网贷平台最近都还了 只剩下小当家最后一期没还完 平台进不去 只想小当家客服联系我们我好还钱销帐 谢谢！</t>
  </si>
  <si>
    <t>2019/10/10 12:08:41</t>
  </si>
  <si>
    <t>投诉人涂先生投诉对象汇信天下涉诉金额8元问题类型诉求类型投诉详情充钱认证说是认证失败钱会退回，结果失败了钱是退回了，退回到他们APP的钱包，提现最少50块起，又叫我充钱进去凑够50再提现，你们看看，提现还要收取百分比➕1的手续费，那我那点钱还剩下多少了，这不是套路吗，不是钱多钱少的问题，一个人这点，十个百个千个万个呢，这种套路就是欺诈！气不过，还理直气壮！希望你们重视，也希望大家注意这种问题，谁的钱都不是大风刮来的，这态度比谁都硬，他这个平台就好像借条类型的，有出借人和借款人，利息之高就不用说了，从中收取暴</t>
  </si>
  <si>
    <t>2019/10/10 12:08:06</t>
  </si>
  <si>
    <t>在小浦优客上注册了个账号，手头紧想借笔钱，结果申请结果迟迟不出，有一天突然收到短信，小浦优客成功扣款，296元，客服电话打不通，要求赔偿296并且删除我在其平台的所有信息。</t>
  </si>
  <si>
    <t>2019/10/10 12:08:01</t>
  </si>
  <si>
    <t>借款一万三已经还款一万七，还要在还款在还一万，现在合同也看不见了，自从更新后一直都没见过合同，。</t>
  </si>
  <si>
    <t>2019/10/10 12:07:46</t>
  </si>
  <si>
    <t>本人在招联金融-好期贷有一笔贷款逾期7天，催收每天电话超过3个，并且威胁对我朋友家人进行告知还款，今天在能联系到我的情况下打第三方联系人电话骚扰我的家人！慌称联系不到我，后续再骚扰我会在互金会举报！后面上传录音！。</t>
  </si>
  <si>
    <t>2019/10/10 12:07:20</t>
  </si>
  <si>
    <t>民生银行信用卡外包催收，冒充国家公安人员给我打电话，叫我去派出所协助调查，结果发现关机，我家里有村委会开的证明，期间我有少部分还款，每个月1000-2000催收说我还1000有800是每个月的利息收入只有200是还款金额，我可以出利息，滞纳金我也不需要你们减免，只希望民生银行给我按照商业银行信用卡规则协商制定分期还款计划。</t>
  </si>
  <si>
    <t>2019/10/10 12:07:13</t>
  </si>
  <si>
    <t>反正我从2017年6月16号开始分期了一个2999的手机，哪时候他们说没有利息可最后我一共还了差不多7000。</t>
  </si>
  <si>
    <t>2019/10/10 12:07:00</t>
  </si>
  <si>
    <t>本人因资金需求在立借平台引流至钱置宝，借款2100元，一个月分4期，每期8天，每期还款金额766.8，还款总额3067.2元，因钱置宝方面原因，还款日在立借APP还款失败，导致逾期，目前已还款3403.2元，利息已经超出国家合法利息，本人要求退还部分超出国家合法利息的款项和逾期管理费。</t>
  </si>
  <si>
    <t>2019/10/10 12:06:55</t>
  </si>
  <si>
    <t>投诉人王先生投诉对象交易猫涉诉金额2300元问题类型诉求类型投诉详情出售商品不打款，说分润失败支付宝没有实名认证，纯粹的扯淡我支付宝明明早认证了用了好久了，以前打款也没事，这次不打款，提示交易成功了就是不打款。</t>
  </si>
  <si>
    <t>2019/10/10 12:06:47</t>
  </si>
  <si>
    <t>投诉人范先生投诉对象小花钱包涉诉金额1370元问题类型诉求类型投诉详情暴力催熟，态度差，拒绝协商！高利贷！随意冻结额度！。</t>
  </si>
  <si>
    <t>2019/10/10 12:06:08</t>
  </si>
  <si>
    <t>投诉人郁女士投诉对象先花一亿元涉诉金额1000元问题类型诉求类型投诉详情先花一亿元平台套路贷，变相砍头息，10天一周期还款，平台多次借款记录屏蔽，app查询不到过往交易记录，本人多次使用，变相收的高额利息已够还未还款金额，本人要求销账处理。</t>
  </si>
  <si>
    <t>2019/10/10 12:06:04</t>
  </si>
  <si>
    <t>通过链接下载金鸡下蛋，借款1400，周期五天，还款要还2000，续期100一天，支付方式为支付宝聚合支付，催收电话180******83，愿意偿还本金加合法利息并且销账。</t>
  </si>
  <si>
    <t>2019/10/10 12:05:58</t>
  </si>
  <si>
    <t>本人经营饭店，借了一笔中和农信借款i工50000元，还了块30000多了，现在还款困难，逾期罚息涨到8000多了，。</t>
  </si>
  <si>
    <t>2019/10/10 12:05:51</t>
  </si>
  <si>
    <t>不是我不还，只是还款一直失败，请客服尽快处理一下，请不要骚扰通讯录。</t>
  </si>
  <si>
    <t>并销卡，现在要求退还我所交利息，因本人现失业中并且需要入院治疗，客服人员已已经销卡为由，不退还之前交的大几千的利息。</t>
  </si>
  <si>
    <t>2019/10/10 12:05:10</t>
  </si>
  <si>
    <t>本人从未办理过拉卡拉支付公司的pos机，最近每隔几天就会接到推销电话，询问我关于pos机的问题，在我告知客服没有办理过后，客服说会反馈处理不再骚扰，但是依然电话不断，隔几天就有，甚至每天都打，严重影响了我的生活。</t>
  </si>
  <si>
    <t>2019/10/10 12:05:05</t>
  </si>
  <si>
    <t>公司电话拨0查号，接电话的人态度十分恶劣，我只是想找个人而已，不仅不查还言不让打电话，再打电话就拔线，态度十分嚣张，我不知道一个客服有什么能耐那样对待客服，我需要一个解释。</t>
  </si>
  <si>
    <t>2019/10/10 12:04:49</t>
  </si>
  <si>
    <t>投诉人 陈先生        投诉对象  有钱花        涉诉金额  4 000 元    问题类型    诉求类型投诉详情  由于资金困难没有及时还款 催款人员威胁我 如果我今天不按时还款就给我亲戚朋友 打电话 我说这个问题我的 骚扰我亲戚朋友是违法的 催款人员说我威胁他 还特别厉害的指责我</t>
  </si>
  <si>
    <t>2019/10/10 12:03:55</t>
  </si>
  <si>
    <t>第二张图电话号码刚刚打电话给我说下午两点之前不还款就逾期处理。</t>
  </si>
  <si>
    <t>2019/10/10 12:02:15</t>
  </si>
  <si>
    <t>投诉人 林先生        投诉对象  MY钱包        涉诉金额  2 117 元    问题类型    诉求类型投诉详情  群发我的资料给我的通讯录，辱骂，骚扰。简直是黑社会！</t>
  </si>
  <si>
    <t>2019/10/10 12:02:08</t>
  </si>
  <si>
    <t>本人向利信快捷金融借款85000元，实际到账65000元，一次性扣除服务费20000元，随后，利信公司虚高借款合同金额按照85000元要求我归还，目前我已经还清实际到账金额65000元，与利信公司协商还要求我归还37000元才能结清借款，按照合同法以及最高法院等文件规定，利信公司收取我高额的服务费、虚高借款合同金额是不合法的。</t>
  </si>
  <si>
    <t>2019/10/10 12:02:07</t>
  </si>
  <si>
    <t>哈罗出行APP扫码骑单车，提示车辆为故障车，无法骑行，且不同地区，不同车辆，手机使用的不同网络，不同客户端。</t>
  </si>
  <si>
    <t>2019/10/10 12:01:56</t>
  </si>
  <si>
    <t>投诉人 王先生        投诉对象  北极资产        涉诉金额  7 000 元    问题类型    诉求类型投诉详情  最近两天，开始爆通讯录 不友好 偷盗手机号同紫云路</t>
  </si>
  <si>
    <t>2019/10/10 12:01:42</t>
  </si>
  <si>
    <t>暴力催收已经是该平台的常用手段，轰炸通讯录已经严重影响到别人的生活，给本人造成很大的困扰，希望该平台稍微稍微人性化一点，不要使用这么暴力的手段，别一言不合就威胁电话，短信联系通讯录的朋友家人。</t>
  </si>
  <si>
    <t>2019/10/10 12:01:25</t>
  </si>
  <si>
    <t>投诉人昂先生投诉对象兴业银行信用卡涉诉金额30000元问题类型诉求类型投诉详情本人于2018年，被前任以在一起为由骗取金额50多万，因此经济能力出现问题，但是我也一直努力挣钱还兴业银行，一年多以来中间没有逾期过任何一次，每天只想着怎么去还款，打了两份工，后面有一份工作，公司经营不善倒闭了，我在努力重新找兼职工作，但是前两个月母亲打电话来，奶奶生病了，白血病，需要治疗，也需要人服侍，因此不能照顾我得孩子，父母照顾奶奶了，没人照顾我幼小的孩子，所以被逼无奈，只能回老家了，回来后，找了份司机工作，因此每一个还款日</t>
  </si>
  <si>
    <t>2019/10/10 12:01:19</t>
  </si>
  <si>
    <t>借款2800，分8天一个周期还4期，单期金额1022，总计要还4088元！利率远超国家标准！已经还1期x1022元，超过本金以及利息了！后花转转APP根本就处理不了也还不上款，已造成逾期，费用一天就50元，且客服电话多次无人接听！刚刚有催收打电话来要求处理！平台原因造成逾期又来催收，请问这是什么道理！！！现已还一期，并已在平台多次借款，金额远超本金及利息了，现要求花转转平台销账处理并停止催收！。</t>
  </si>
  <si>
    <t>2019/10/10 12:01:17</t>
  </si>
  <si>
    <t>国家规定不能违规骚扰通讯录，在昨天我通讯录里仍然有人收到短信。</t>
  </si>
  <si>
    <t>2019/10/10 12:01:02</t>
  </si>
  <si>
    <t>原投诉贴在https://ts.21cn.com/wap/show/id/1299238，经过沟通后，由当时寄件快递员帮我找维修，修不好则赔偿，于是由系统自动结案了，十几天过去了，今天再联系快递员已经关机无法联系上。</t>
  </si>
  <si>
    <t>2019/10/10 12:00:21</t>
  </si>
  <si>
    <t>2分36期还清每月5550元共计199800元！因为收入每月4000左右实在承担不了那么多还款，请浦发银行适当减免利息，调整还款方案！本人诚心诚意愿意协商还款。</t>
  </si>
  <si>
    <t>投诉人 叶健民        投诉对象  你我贷        涉诉金额  3 500 元    问题类型    诉求类型投诉详情  暴力催收，威胁要骚扰我。客服态度差。骚扰我身边朋友</t>
  </si>
  <si>
    <t>2019/10/10 12:00:05</t>
  </si>
  <si>
    <t>投诉人 谭女士        投诉对象  快鱼分期        涉诉金额  2 000 元    问题类型    诉求类型投诉详情  暴力催收，高利贷</t>
  </si>
  <si>
    <t>2019/10/10 11:59:27</t>
  </si>
  <si>
    <t>投诉人 罗先生        投诉对象  自由魔卡        涉诉金额  1 300 元    问题类型    诉求类型投诉详情  自由魔卡对我通讯录进行轰炸，违反职业道德</t>
  </si>
  <si>
    <t>2019/10/10 11:59:21</t>
  </si>
  <si>
    <t>没有逾期，还没有到还款日，就开始没完没了的打电话让还钱。</t>
  </si>
  <si>
    <t>2019/10/10 11:59:18</t>
  </si>
  <si>
    <t>说好的口碑值高优先派单，双证司机优先派单，听了滴滴公司的宣传去办理了双证结果单子都给那些无证的滴滴司机，双证司机却不派单。</t>
  </si>
  <si>
    <t>2019/10/10 11:58:26</t>
  </si>
  <si>
    <t>快鱼分期我借2400合同上扣190多服务费，但是实际到账1900多，违法砍头息，我看合同又出现保险费，银行到账信息里还有一百收费不明，联系不到客服只有公众号才可以，还要排很久，他们还泄露我个人信息，基本上每天都有虚拟号打来骚扰我，这种套路我要求修改合同，按实际借款1900多的计算利息，希望平台能及时联系并解决。</t>
  </si>
  <si>
    <t>2019/10/10 11:58:20</t>
  </si>
  <si>
    <t>一直拖着不下款都十五天了，刚开始说工作日两小时到账，交完一万一千块钱一直不下款。</t>
  </si>
  <si>
    <t>2019/10/10 11:57:43</t>
  </si>
  <si>
    <t>我这边想年前一次性还齐所有贷款，我跟拍拍拍协商，他们说不行，还要发我律师函。</t>
  </si>
  <si>
    <t>2019/10/10 11:57:21</t>
  </si>
  <si>
    <t>招联金融，借款29000，分12期，还剩最后2期，因经济收入断裂导致逾期，逾期7天，不是不还，是暂时没能力还，都已经还了10期了，催收人员威胁今天下午2点不还，要爆我通讯录，联系我家人同事朋友等等，典型的软暴力催收，给本人精神上造成严重的困扰，快崩溃了，恳求平台跟招联金融协商多给点时间。</t>
  </si>
  <si>
    <t>2019/10/10 11:57:14</t>
  </si>
  <si>
    <t>本人于2007贷款19000元，分30期，每期还款1219.6元，总还款为36570元，按此计算，年利率已达37%，因今年工作不稳定，后面几期已无力偿还，还欠6330元，要求捷信按24%年利率计算，剩余欠款无需偿还，期间捷信每天十几个电话催收，骚扰家人，今天还发了律师函，要求捷信妥善处理。</t>
  </si>
  <si>
    <t>2019/10/10 11:56:52</t>
  </si>
  <si>
    <t>投诉人翟先生投诉对象光大银行涉诉金额18000元问题类型诉求类型投诉详情信用卡逾期，被忽悠至分期，只因有事未还款还强行电话骚扰，去家里回防，不接电话也不对，接到电话就是去法院起诉，即然起诉了干嘛还要去家防就算打电话也是光大银行客服电话，也不能是用的扎骗电话。</t>
  </si>
  <si>
    <t>2019/10/10 11:56:35</t>
  </si>
  <si>
    <t>投诉人徐先生投诉对象招联金融涉诉金额120元问题类型诉求类型投诉详情就逾期了一天而已.逾期一天就上了征信我也啥都不说了.催收电话短信半个小时一个不间断的打.严重影响我正常上班.请问这是合法的吗.我上班不方便接电话.所以打来我就挂了.打算下班之后再处理.现在请你们立即停止.并做出道歉.不然这个钱我不会处理了.反正也上了征信.所有账单加起来可能也就几百块钱没处理了.这个事情没有解决.我一分钱也不会处理。</t>
  </si>
  <si>
    <t>2019/10/10 11:56:06</t>
  </si>
  <si>
    <t>投诉人宋晨燕投诉对象马上金融涉诉金额5200元问题类型诉求类型投诉详情我2018年在马上金融贷的安逸花，一共贷款是4800元，分12期每期还520元，利息高出国家规定%24，因为安逸可以循环用，我查了账单可是账单不详细，安逸花有逸逃避账单，我查的银行流水，我已经还了6444多了，已经超出安逸花对我6200元的额度了，因为逾期查不到额度，我看账单还完还6200多，这是套路贷我接受不了，因为今年外贸不景气我现在已经下岗了，没有能力偿还这么高的利息，我只会偿还国家允许的利息，。</t>
  </si>
  <si>
    <t>2019/10/10 11:56:02</t>
  </si>
  <si>
    <t>从18年6月开始还款已经还款11595，，。</t>
  </si>
  <si>
    <t>2019/10/10 11:55:57</t>
  </si>
  <si>
    <t>10月7日，通过白条分期app，一步步注册，说贷款额度5000元，在本人没有输入银行卡密码的情况下自动从卡里扣取249元购买VIP，操作后被扣249元，没有额度也没有下款，所谓推荐的一堆平台，也全是套路，打着贷款app的名义，干的是＊取会员费的推荐平台，一切行为都说明了该公司的欺＊行径，如果没有出现他们标示的额度，我想大多数*的人不会被＊249的VIP会员费，故在此提出投诉，并且希望相关执法机关能尽快调查，严查骗子公司，给广大网友一个交代。</t>
  </si>
  <si>
    <t>2019/10/10 11:55:55</t>
  </si>
  <si>
    <t>从未使用过安易借，甚至都是第一次听说，昨天接到催收电话让处理条款，今天又收到短信，我根本没用过，更别说收到钱了，还称要爆通讯录之类的威胁我！刚刚特意百度下载了一下安易借app，我的电话号是未注册过的，注册了上去看也没有借款信息！。</t>
  </si>
  <si>
    <t>2019/10/10 11:55:48</t>
  </si>
  <si>
    <t>本人在小象优品上借款8900本金，但利息却高达3204元，超高利息，目前已还过三期，现想一次性还清，但小象客服说无一次性还清，只能一期期操作本金利息照收。</t>
  </si>
  <si>
    <t>2019/10/10 11:55:47</t>
  </si>
  <si>
    <t>投诉人靖女士投诉对象聚富分期涉诉金额299元问题类型诉求类型投诉详情上海造艺网络科技有限公司在2019年9月30日本人未知情的情况下进行自动扣款，联系客服处理后，客服要求我将本人身份证正反面复印件及手持身份证照片邮寄到上海浦东新区上海造艺网络科技有限公司，并且客服表明若不邮寄拒绝退款，我认为这是一种不正当的退款流程，拒绝邮寄，希望该产品下架，不让更多的人去受到上海造艺网络科技有限公司的未知情扣款行为。</t>
  </si>
  <si>
    <t>2019/10/10 11:55:04</t>
  </si>
  <si>
    <t>10月09日，我司朋友多位朋友在杭州经济技术开发区哇噻地锅传奇小吃店，地址：浙江省杭州经济技术开发区万亚名城地下室125室，法人代表吴云贺，我们10月9日下午订单后，商家接单，但是后续在没有联系我方，就以订单完成，是既不退费用，又不送单，也没有电话联系我，说明情况，后续，我们个别朋友接到不知道是商家还是美团平台的多个骚扰电话，此商家到目前位置没有按照美团平台的流程操作，没有按照要求上传食品经营许可证和健康证等，此商家不是这一次出现这种霸王条款，在本年9月低我们也出现类型的情况，我们给美团反应后，美团并没有处</t>
  </si>
  <si>
    <t>2019/10/10 11:55:00</t>
  </si>
  <si>
    <t>9月9日在立借app上看到蜘蛛侠借款，实际是鸿运当头的马甲，立借为这个7天套路高利贷提供了导流入口，明面上写借4000元分3期还，实际到账2600元，7天就要还4000元，还款日立借app为了躲避责任，隐藏了蜘蛛侠的账单和还款借口，鸿运当头的催收人员私下联系我，给我发了他们鸿运当头的app，并威胁早上10点电话恐吓还不上款，就会打联系人电话，骚扰家人，这是赤裸裸的恐吓敲诈，本人受到威胁还款，感觉就是一帮黑社会在抢钱，不接受你们这种离谱的利息敲诈，请立即联系协商。</t>
  </si>
  <si>
    <t>2019/10/10 11:54:56</t>
  </si>
  <si>
    <t>投诉人张先生投诉对象汇潮支付涉诉金额1246元问题类型诉求类型投诉详情本人因一时情急，病急乱投医，于2019年10月6日通过王者钱包app借款2000，该公司通过汇潮支付向本人银行卡转入1246元，5天后还款2000，借了之后就非常后悔，但平台却无法取消！10月10日也就是今天联系本人让12:00之前还款，否则威胁恶意骚扰联系人且拨打其电话！这利息真是非常恐怖！已不是普通高利贷！本人也无力支付如此高昂的利息！真希望国家有关部门能去彻查！比高利贷平台不支持协商还款，本人只能来到聚投诉，希望聚投诉平台能帮助联系</t>
  </si>
  <si>
    <t>2019/10/10 11:54:43</t>
  </si>
  <si>
    <t>广州千佳鑫车队给了一个特殊要求我们每个月必须做够50单，当时也没有说做不到要求就把车给解绑，现在做不够既然把我车解绑，我要求换车队他那边死死地绑着我账号不给我解绑，然后有一次我自己把车绑了他公司又给我解绑了，这家车队这样做是为了什么，这样的车队绑我账号不给我转车队明摆着就是断人财路，首汽约车公司给出我合理的解释，为什么我要转车队打电话给你们客服不给我解决，说了对方车队不给我转了还说要我去跟他们商量。</t>
  </si>
  <si>
    <t>2019/10/10 11:54:26</t>
  </si>
  <si>
    <t>现金巴士高利贷，吃砍头息，新网银行为现金巴士提供违法放款，我在现金巴士借款三次1000元，每次实际只到账812元，套路收取188元会员费，本人现在要求平台退回三次会员砍头息费用，不退的话我就一直投诉下去！。</t>
  </si>
  <si>
    <t>2019/10/10 11:54:13</t>
  </si>
  <si>
    <t>本人9月因有事断了几天联系且无法使用手机导致微贷网多米贷当期账单逾期了，期间在联系不上本人的情况下拨打了我联系人通知我这点我认可，后期本人已恢复正常通讯可以联系到我的情况下当天催收打电话给我，现要求你们9月当期处理的催收人员给我通讯录受到骚扰的用户以及我本人道歉。</t>
  </si>
  <si>
    <t>2019/10/10 11:53:31</t>
  </si>
  <si>
    <t>10月10日了，也无退还押金，客服热线也一直打不通，交了499啊，一次都没用过，钱都是自己的血汗钱，辛辛苦苦赚回来的。</t>
  </si>
  <si>
    <t>2019/10/10 11:53:29</t>
  </si>
  <si>
    <t>投诉人 庄女士        投诉对象  及贷        涉诉金额  1 500 元    问题类型    诉求类型投诉详情  没有拿到钱，老是发信息，打电话，暴力催收</t>
  </si>
  <si>
    <t>2019/10/10 11:53:26</t>
  </si>
  <si>
    <t>投诉人梁女士投诉对象功夫贷涉诉金额2000元问题类型诉求类型投诉详情功夫贷早晨发信息威胁要打爆通讯录电话，然后果然收到朋友信息了，说接到骚扰电话。</t>
  </si>
  <si>
    <t>2019/10/10 11:52:14</t>
  </si>
  <si>
    <t>本人于2019.10.9日下午2点半至3点左右，在交易猫平台先后购买了2笔倩女账号，交易两笔金额2110元+1805元，客服验号后本人不满意订单便申请取消订单，但是取消订单以后退款一直显示退款失败。</t>
  </si>
  <si>
    <t>2019/10/10 11:52:03</t>
  </si>
  <si>
    <t>本人9月11号携程购买2张10月3号，萨拉热窝-卢布尔雅那的机票，10月1号晚上九点多携程发短信通知说航班取消；登陆携程网站看，提供三种方案可选择，1，不能改签；并且表示航班取消不是携程的原因，所谓的更上一级联系我说看到我已经买了票了，那么只能后续走理赔；无法再改签了，联系航司的联系方式为空，也就是说我无法联系航司10：00左右联系客服说帮忙改签，由于同航线只有1个航班直飞，改转机航班我也能接受，或者改到附近机场都行，客服表示他没有权限操作，需要上级联系我协商处理，11：00左右所谓的上级联系我说我的票只能</t>
  </si>
  <si>
    <t>2019/10/10 11:51:58</t>
  </si>
  <si>
    <t>投诉人 刘女士        投诉对象  京东        涉诉金额  789 元    问题类型    诉求类型投诉详情  3号款，到现在都不发货，整个装修都停下了。</t>
  </si>
  <si>
    <t>2019/10/10 11:51:30</t>
  </si>
  <si>
    <t>催收要爆我通信录，影响我的正常生活，请平台处理一下。</t>
  </si>
  <si>
    <t>2019/10/10 11:51:23</t>
  </si>
  <si>
    <t>浙江阿拉丁电子商务股份有限公司旗下爱上街APP，借款5000元，砍头息700元，550元，刚开始20天期限，到后来最多只能14、7天本人在爱上街平台使用接近一年半时间，借款三十多次累计支付砍头息近20000元，借款一次五千元购买手串需要550多元，十四天利息高达550多元，，315事发之后爱上街平台删除了所有借款记录，并转移借贷渠道到西瓜信用，我会继续对有关部门投诉，经查证浙江阿拉丁电子商务股份有限公司连放款资质都没有，完全属于违法行为，套路贷高利贷砍头息，希望能尽快联系我给出解决方案，看到很多跟我一样以贷</t>
  </si>
  <si>
    <t>2019/10/10 11:50:59</t>
  </si>
  <si>
    <t>最近因手里紧张没能及时还款，不是不还手里有钱我就还一点，但是还是不停的骚扰亲戚朋友。</t>
  </si>
  <si>
    <t>2019/10/10 11:50:30</t>
  </si>
  <si>
    <t>2019年10月10日为来分期还款日，今日从早上8时开始，截止上午11时39分，工作时间来点催缴电话超过4个，工作人员服务态度恶劣，为截止还款日电话骚扰不断，并且来分期利息已超出国家规定利率，并且申请时描述为可循环，实际情况为不可循环的套路贷款，收取高额利息，电话客服人员严重影响日常工作生活！！！来分期据投诉分析来看，经常不正当催缴，造成客户的生活受到严重影响，严重影响了工作以及生活！。</t>
  </si>
  <si>
    <t>2019/10/10 11:50:20</t>
  </si>
  <si>
    <t>本人10月3日于今借到极速借条向刘凡、霍科强打了两个欠条，金额分别为3000元，但实际到账2100元。</t>
  </si>
  <si>
    <t>2019/10/10 11:50:01</t>
  </si>
  <si>
    <t>拖欠商家货款已经超过三个多月，电话催，客服催，每次都是登记核实，尽快打款，都一个月过去了每次答复都一样，难道非要中央介入才出来处理提现，不喜欢看的登记核实处理这种答复，我们需要明确打款时间，明确打款方案。</t>
  </si>
  <si>
    <t>2019/10/10 11:49:55</t>
  </si>
  <si>
    <t>在可以联系到本人的情况下，电话暴力骚扰本人所在公司，影响本人所在公司正常工作，本人要求催收人员停止此类骚扰及违规违法行为。</t>
  </si>
  <si>
    <t>2019/10/10 11:49:26</t>
  </si>
  <si>
    <t>投诉人刘女士投诉对象快手直播平台客服涉诉金额887元问题类型诉求类型投诉详情本人从快手平台买的玉，是假货，说是无理由退货，联系客服，客服不给退，联系四五次快手直播平台客服，客服都说给解决，一直都没有人给解决，快手直播平台没有给客户的保障，即使有快手小黄车，买了东西，出现问题一样可以不予理睬！请给我一个说法。</t>
  </si>
  <si>
    <t>2019/10/10 11:49:25</t>
  </si>
  <si>
    <t>已经还了10期，一共还了差不多18000了，到帐金额不是15800，现在群发短信给通讯录，恐吓我亲朋好友。</t>
  </si>
  <si>
    <t>2019/10/10 11:49:21</t>
  </si>
  <si>
    <t>10月8号3点多的时候手机收到一堆的验证信息，然后莫名的银行卡上的钱被刷走了，因为我就建设卡有钱，两次刷走411和300共710元，。</t>
  </si>
  <si>
    <t>2019/10/10 11:48:52</t>
  </si>
  <si>
    <t>投诉人徐女士投诉对象360借条涉诉金额2000元问题类型诉求类型投诉详情本人近期因客观原因资金出现问题，这个月在360借条平台出现逾期6天的行为，逾期是我的不对，催收人员在我表达了还款时间需要宽限时，质疑我没有还款意愿，不断打断我不再让我表达，限定我1点之前必须还款，声称让我提供证件照和身份证等材料联系户籍地居委会，银行都没有提供证件去居委会这一规定，并且可以酌情进行宽限，上个月逾期几天我已经还上了，当时催收人员也是限定我时间还款，声称如果不还会对家人朋友进行催收，你们的催收电话号码是类似没有归属地的骚扰号</t>
  </si>
  <si>
    <t>2019/10/10 11:48:33</t>
  </si>
  <si>
    <t>今年5月份因搬新家需要迁宽带并到营业厅办理了移机业务，办完了业务后安装师傅告诉我新家所属的小区范围因开发商物业这边合同问题未入网暂时未能安装，并告知正常一个多月即可以办理，因家里需要用网我便联系电信客服咨询本人电线号码的宽带套餐合约更改或取消适宜，期间有电信客服联系我让我继续使用该电信宽带套餐并多等待一个多月，待小区电信网络进线入网，我就继续等待了，等了一个多月发现电信还没能入网，家里就装了中国移动的宽带，后续我也再次联系电信客服作取消或更改套餐，告知我可以降低资费为49一个月的套餐，这里并未提到我提前取消</t>
  </si>
  <si>
    <t>2019/10/10 11:48:24</t>
  </si>
  <si>
    <t>10月6日送达，至今10月10日都收不到货。多次投诉不给赔偿购物精神损失费。</t>
  </si>
  <si>
    <t>2019/10/10 11:48:15</t>
  </si>
  <si>
    <t>投诉人李先生投诉对象有钱花涉诉金额20000元问题类型诉求类型投诉详情之前都有接听催收方的来电，期间也自主还过小额欠款，毕竟自己因为工作和城市调换原因，产生了逾期，但是国庆以及前夕期间这个女人无限制的来电骚扰我和我的家人，自称百度有钱花的委托方，国庆前夕同一天我接到了他们三个人，两男一女的轮流来电，听话术内容可以知道是串通好的，假冒身份，联系居委会，调查个人名下私有信息等等全说出来了，还联系我家里谎称说一直联系不上我，在我主动联系过去后逼问下又说她刚接手资料没联系过我，我问其公司名字，地点，员工编号相关，通</t>
  </si>
  <si>
    <t>2019/10/10 11:48:12</t>
  </si>
  <si>
    <t>家里确实有事，需要延期还款，不同意就委托第三方暴力上门催收。</t>
  </si>
  <si>
    <t>2019/10/10 11:48:08</t>
  </si>
  <si>
    <t>投诉人刘女士投诉对象世联金融涉诉金额3606元问题类型诉求类型投诉详情我是17年通过朋友在我们这边办理的世联金融业务，24期办理前交了三千多费用，贷了67200,到账60000,明显的高利贷，砍头息！当时朋友说这个公司不上征信，而且有的给点利息，就销帐了，我的不仅上了征信，而且现在是最后一期了，做生意赔了，还不上了，天天打我电话，并且开始曝光我的通讯录！声音低沉生硬！就差最后一期了，你们至于这么逼迫吗，！我现在强烈要求给我清账，要求你们停止所有骚扰，给我朋友也好，亲戚也好，但凡是打过电话的，都给一一道歉，给</t>
  </si>
  <si>
    <t>2019/10/10 11:47:47</t>
  </si>
  <si>
    <t>投诉人周先生投诉对象卡牛信用管家涉诉金额952元问题类型诉求类型投诉详情本人因资金确实无法周转导致逾期，骚扰我通讯录好友要求立即停止对通讯录骚扰，是我欠的钱，有事找我，另外卡牛瑞贷纯粹的高利贷，放款时就进行砍头息，逾期一天150的超高逾期费用，根本无法承担。</t>
  </si>
  <si>
    <t>2019/10/10 11:47:42</t>
  </si>
  <si>
    <t>投诉人王女士投诉对象YY信用涉诉金额11000元问题类型诉求类型投诉详情本人在YY信用借款11000元，目前已还款8期共9093.36元，本金还应还款1906.64元，通过查看和核算每月利息及应还金额得知我目前仍需还款4546.68元，严重超出国家所规定正常范围，望有关部门进行调查核实！。</t>
  </si>
  <si>
    <t>2019/10/10 11:47:39</t>
  </si>
  <si>
    <t>10月8日晚上，22点27分，我在飞猪上买完海航机票，此时考虑退机票，但如果要收高额手续费，我就不退了，所以当时我希望查询退票手续费，2.我打电话给飞猪，一直是排队状况，无人工接听，3.我老公在别的平台买的同一航班的机票，已经打通电话，告知可以拦截订单，拦截成功就不需要产生费用，拦截失败则会出票4.此时飞猪APP上退票页面，没有显示退票费用，所以我认为没有费用，还在可以拦截订单的时段，别的平台在进入实质性退票流程前，都会弹出退票手续费提示框，，而在飞猪上往下点击后，竟然不显示退票手续费，6.终于打通飞猪客服</t>
  </si>
  <si>
    <t>2019/10/10 11:47:30</t>
  </si>
  <si>
    <t>9月15日，借款1050元，实际到账735元，周期八天，已还清，第二次9月30日借款1350元，实际到账945，周期八天，未处理已逾期，逾期期间电话骚扰恐吓，惠趣买不符合国家规定放贷，砍头息套路贷，要求平台严惩惠趣买套路贷平台，对未还款金额进行销账。</t>
  </si>
  <si>
    <t>2019/10/10 11:46:49</t>
  </si>
  <si>
    <t>10月10日，电话客服说会安排发货，在线客服说还不知道具体时间，绿森你们是这样办事办平台的吗?我要求赶紧给我发货，然后按照你们自己的承诺进行赔偿。</t>
  </si>
  <si>
    <t>2019/10/10 11:46:06</t>
  </si>
  <si>
    <t>8月21日通过信用管家app申请一款名为元宝宝的贷款，北京畅捷通支付技术有限公司(实际为畅捷支付）为其提供支付通道客服为元宝宝公司，怀疑是一家公司，实际到账2250元，分为4期，每期7天，每期费用高达771元，利息834元，属于典型的超利贷，套路贷。</t>
  </si>
  <si>
    <t>2019/10/10 11:45:53</t>
  </si>
  <si>
    <t>投诉人李先生投诉对象51人品涉诉金额3000元问题类型诉求类型投诉详情平台在能联系债务人情况下，爆通讯录骚扰，，。</t>
  </si>
  <si>
    <t>我于2018年11月21日在红娘忽悠下与青岛趣信科技有限公司签订合同，在2018年11月21日至2019年1月1日之间为我提供红娘牵线服务，我在他们公司填了表格，上面有明确的择偶要求，合同金额5000元，交钱以后各种推诿不接电话，在我多次上门催促下给我介绍了一个，见面以后男孩和他们事先跟我说的条件不符，也不符合我填表的要求，我说那就再介绍下一个，红娘回复说没合适的了，我打12315投诉过，工商工作人员说联系他们，红娘终于联系我说再给我介绍一个，这一次男孩的信息居然又是虚假的！！我填表要求本科，有房子，见面以</t>
  </si>
  <si>
    <t>2019/10/10 11:45:41</t>
  </si>
  <si>
    <t>之前投诉的恶意扣款问题说的因为放假会在国庆节后面到账。</t>
  </si>
  <si>
    <t>2019/10/10 11:45:33</t>
  </si>
  <si>
    <t>利息太高了，和宣传的完全不一样，只想还正常的利息，希望能得到答复。</t>
  </si>
  <si>
    <t>2019/10/10 11:45:00</t>
  </si>
  <si>
    <t>交易失败没退款，还显示退款失败，简直客服，又没有客服。</t>
  </si>
  <si>
    <t>2019/10/10 11:44:47</t>
  </si>
  <si>
    <t>催收过程中非法盗取通讯录联系人并骚扰通讯录联系人，而不是直接联系留存的紧急联系人，给本人造成了很大的困扰。</t>
  </si>
  <si>
    <t>2019/10/10 11:44:41</t>
  </si>
  <si>
    <t>投诉人 梁新杰        投诉对象  美约app        涉诉金额  298 元    问题类型    诉求类型投诉详情  一款名为 美约的app 不经过本人同意私自扣取费用</t>
  </si>
  <si>
    <t>2019/10/10 11:44:34</t>
  </si>
  <si>
    <t>信息科技在本人并不知情的情况下，自动从本人银行卡账户划款，导致本人资金周转出现问题，现要求宏萨信息科技做出解释并退还该笔莫须有款项。</t>
  </si>
  <si>
    <t>2019/10/10 11:44:10</t>
  </si>
  <si>
    <t>我老婆前年经别人介绍的，拿手机去办理的贷款，当时说的是正规银行贷款，可是办完以后才知道是什么，最近我老婆投资开了个店，手上资金周转不过来了，，世联金融就开始爆通讯录，打骚扰电话进行恐吓，我老婆身边的朋友，亲戚都接到了骚扰和吹收电话，我也在不定时的接电话，并且对我进行骚扰和恐吓。</t>
  </si>
  <si>
    <t>2019/10/10 11:44:05</t>
  </si>
  <si>
    <t>投诉人 黄先生        投诉对象  蛋壳公寓        涉诉金额  2 442 元    问题类型    诉求类型投诉详情  房子出问题，退费只退两千多，联系客服 客服直接叫我起诉，这不是坑消费者吗？</t>
  </si>
  <si>
    <t>2019/10/10 11:43:54</t>
  </si>
  <si>
    <t>投诉人 叶先生        投诉对象  交易猫        涉诉金额  1 000 元    问题类型    诉求类型投诉详情  购买支付宝付款，一直退款失败，找不到客服</t>
  </si>
  <si>
    <t>2019/10/10 11:43:40</t>
  </si>
  <si>
    <t>我不想在写几遍了，辱骂家人，威胁我，一直没有解决，投诉是不是没用了，有没有一个部门能快速合理的解决我的问题，如果你们解决不了，那我就给银监会打电话了，真服了，要钱速度快的很。</t>
  </si>
  <si>
    <t>暴力催收，恐吓，辱骂，只是逾期一天，扬言爆通讯录。</t>
  </si>
  <si>
    <t>2019/10/10 11:43:37</t>
  </si>
  <si>
    <t>捷信公司员工，给客户办理0首付的医美贷，举报给捷信客服，客服包庇员工违规。</t>
  </si>
  <si>
    <t>2019/10/10 11:43:04</t>
  </si>
  <si>
    <t>买家在本人这买了张卡保健卡，买家确定收货后，转转打款失败，说订单有风险，也不给我解决问题，也不给我钱，我要投诉转转平台！。</t>
  </si>
  <si>
    <t>2019/10/10 11:42:21</t>
  </si>
  <si>
    <t>本人欠中行信用卡钱，已被本地银行起诉至本地法院，现被中行催收暴力催收，骚扰前公司，扰乱人家公司正常工作，辱骂。</t>
  </si>
  <si>
    <t>2019/10/10 11:42:19</t>
  </si>
  <si>
    <t>本人于2016年10月在捷信的工作人员陪同下办理了22000的贷款，当时他们说的利率很低，也没有什么附加收费，到2019年10月为止，一共还了36期，总计还了40000多，去咨询律师，发现他们远远高于国家规定的%36的利率，请问这样是否合法，打电话给捷信客服，全部在推责任，到现在为止还是不能处理，请捷信客服给个说法，不然本人将走法律程序。</t>
  </si>
  <si>
    <t>2019/10/10 11:42:03</t>
  </si>
  <si>
    <t>高额服务费，暴力催收、骚扰我、客服语气非常恶劣！。</t>
  </si>
  <si>
    <t>2019/10/10 11:41:46</t>
  </si>
  <si>
    <t>捷信金融公司每天几十个电话骚扰，已经严重影响生活，给他们说打错了以后。</t>
  </si>
  <si>
    <t>2019/10/10 11:41:45</t>
  </si>
  <si>
    <t>平台因各种原因推迟退押金，联系客服只转诉问题。</t>
  </si>
  <si>
    <t>2019/10/10 11:41:19</t>
  </si>
  <si>
    <t>大王贷款中的缤纷大王贷借款2000，实际到账1400，砍头利息高达600，7天后需还2013，逾期费高达每天100，严重超过国家规定，希望聚投诉跟有关部门能处理，谢谢。</t>
  </si>
  <si>
    <t>2019/10/10 11:41:08</t>
  </si>
  <si>
    <t>2019年10月2号在天猫国际购买一只阿玛尼手表，买前没有说明不能开发票，称确定是正品！2019年10月8日收到货后联系天猫国际，开发票，称不能开发票，是海外物品，手表售后维修都必须是要正规发票的，而且物品是正规渠道的正品那肯定有发票的，现在导致我怀疑是仿品或天猫国际有偷税漏税的嫌疑！。</t>
  </si>
  <si>
    <t>2019/10/10 11:41:07</t>
  </si>
  <si>
    <t>2019年9月2日在贷上钱贷款2000元整，贷款后放款下来发现还款还另外有一个套餐400元需强制还款.我申请贷款时并没有开通任何套餐，这样我还款的时候就变成本金是2000+400合计2400本金整.加上利息120合计要还2520元，我先还了200元后发现逾期利息一样不会减少，这样到目前为止贷款37天利息已经超过百分之33.贷上钱客服现在要求我一次性还清而且对我通讯录好友家人进行催收.已严重影响到我的生活。</t>
  </si>
  <si>
    <t>2019/10/10 11:41:00</t>
  </si>
  <si>
    <t>新浪分期以紧急联系人为名，天天打电话说骚扰，暴力恐吓。</t>
  </si>
  <si>
    <t>2019/10/10 11:40:42</t>
  </si>
  <si>
    <t>投诉人 黄强伟        投诉对象  聚富分期        涉诉金额  150 元    问题类型    诉求类型投诉详情  注册了软件自动扣款流氓软件 盗取客户信息</t>
  </si>
  <si>
    <t>2019/10/10 11:40:32</t>
  </si>
  <si>
    <t>利息太高，还要服务费，刚申请的时候本着相信国美就进去了,借了9000，发现利息太高，还了5期，第6期迟还了，违约金就是50一天，这些我都能接受，逾期本就是我不对，可没必要在能联系我，并承诺还款的情况下，还打我通讯录电话！这种行为对我造成了精神上的伤害！我现在就是希望能提前还清，但是国美提前还款后期也是需要付所剩下期数的利息，我认为不合理，剩下的利息太高，本人没有这个能力负担，希望免息，合理化处理。</t>
  </si>
  <si>
    <t>2019/10/10 11:40:25</t>
  </si>
  <si>
    <t>无意中下了个app，该软件误导消费，在不知情的情况下每周扣款68元，要求退回扣款。</t>
  </si>
  <si>
    <t>2019/10/10 11:40:20</t>
  </si>
  <si>
    <t>1、本人57000元，招商银行无故违约，刷锅钱端2、坑爹招行还我血汗钱。</t>
  </si>
  <si>
    <t>2019/10/10 11:40:09</t>
  </si>
  <si>
    <t>合同不符合劳动法，要求员工强制加班，加班期间没有来扣除员工底薪，加班一个月500块钱加班费，严重违反劳动法。</t>
  </si>
  <si>
    <t>2019/10/10 11:39:27</t>
  </si>
  <si>
    <t>本人闲鱼交易沙画台，经买家核实拍下发货，提前说明是不包邮产品，没有描述的任何问题，已提交证据，买家现在拍下恶意退回，&amp;lt;br&amp;gt;闲鱼小二不看申诉评论，撩草处理结果，造成损失700元整。</t>
  </si>
  <si>
    <t>2019/10/10 11:39:22</t>
  </si>
  <si>
    <t>投诉人冯先生投诉对象优钱花涉诉金额99元问题类型诉求类型投诉详情优钱花客服打电话说关注微信公众号帮助下款，关注之后，小安公众号回复要开通会员协助下款，全程诱导性，目的只是为了开通会员，开通会员与没开通没有任何区别，那我为什么交费，要求退会员费用，会员推送的贷款平台都是之前试过没有审批下来的，客服还说让再试，被拒绝没多久还试，征信就是被你们这样子搞花的，下不来款就不要说协助下款，现在app都打不开，强烈要求退款，，。</t>
  </si>
  <si>
    <t>2019/10/10 11:39:07</t>
  </si>
  <si>
    <t>投诉人 张先生        投诉对象  豆豆钱        涉诉金额  0 元    问题类型    诉求类型投诉详情  豆豆钱年利率超过法律的规定的24% 还爆我通讯录骚扰我同事朋友 这不就是高利贷吗 还可以上征信</t>
  </si>
  <si>
    <t>2019/10/10 11:39:01</t>
  </si>
  <si>
    <t>10月9日，我这边早就在10月8日～9日当日，按时或提前将10月的款都还掉了，但是在10月10日接到多个电话和短信催收并恐吓说我已经逾期，并且会上传我的征信报告，造成我非常大的影响，而且无法正常工作及休息。</t>
  </si>
  <si>
    <t>2019/10/10 11:38:47</t>
  </si>
  <si>
    <t>浙江湖州057开头的电话，换号码不停通过电话微信骚扰，说明了本人不需要贷款，拒不理会，仍然不停来电，添加微信骚扰，对本人生活造成非常不便影响，忘停止无耻的骚扰行为！。</t>
  </si>
  <si>
    <t>2019/10/10 11:37:42</t>
  </si>
  <si>
    <t>我于10.9号预定了一家太原国豪商务酒店，在同程艺龙上面预定的，当时看见的是可以砍价，并且在第二天离店的时候可以返现，然后我就预定了让我的朋友帮我砍价，谁知道今天去领取的时候，说该订单已被销毁，我想知道是否存在虚假营销，欺骗我们消费者的心理，请给出合理的解释！。</t>
  </si>
  <si>
    <t>2019/10/10 11:37:06</t>
  </si>
  <si>
    <t>投诉人 郭先生        投诉对象  百事普惠        涉诉金额  299 元    问题类型    诉求类型投诉详情  恶意扣款，经与客服多次商量不退款。一直推。</t>
  </si>
  <si>
    <t>2019/10/10 11:36:49</t>
  </si>
  <si>
    <t>交易大话西游手游账号，交易失败了，退款显示失败，没有退钱给我。</t>
  </si>
  <si>
    <t>2019/10/10 11:36:34</t>
  </si>
  <si>
    <t>交钱后此营业所未提供该有的服务，健身房一直处于关门状态。</t>
  </si>
  <si>
    <t>2019/10/10 11:36:33</t>
  </si>
  <si>
    <t>借款7000，已还5500+还剩4000+这不是高利贷吗，而且我来贷恶意群发通讯录好友，已协商迟些还款还是暴力催收，拨打骚扰电话，群发信息。</t>
  </si>
  <si>
    <t>2019/10/10 11:36:19</t>
  </si>
  <si>
    <t>借款600实际到账488，到期还款605元，阴阳合同，砍头息。</t>
  </si>
  <si>
    <t>2019/10/10 11:36:17</t>
  </si>
  <si>
    <t>新橙优品平台借款成功后，在借款人不知情情况下以借款人购买保险费方式强制盗扣保险费700元。</t>
  </si>
  <si>
    <t>2019/10/10 11:36:09</t>
  </si>
  <si>
    <t>投诉人 雷先生        投诉对象  滴滴出行        涉诉金额  0 元    问题类型    诉求类型投诉详情  更改注册地址 服务分一下被降下来27分 之前81分 现在只剩54分 根本没办法接单子 滴滴也没说明改注册地会降服务分</t>
  </si>
  <si>
    <t>2019/10/10 11:35:18</t>
  </si>
  <si>
    <t>由于有事晚了两天还款，就遭到暴力催收，家里亲戚朋友遭到骚扰。</t>
  </si>
  <si>
    <t>2019/10/10 11:35:13</t>
  </si>
  <si>
    <t>本人名下招商信用卡一直正常使用1年半，今年9月突然被招商强制冻结卡片并收取违约金和高额的循环利息外加每个月10元的用卡安全费，本人并不知情，现在我已经筹到钱打算全款还清，联系招商银行信用卡客服一直在打马虎眼没有作为，每天不断有外包公司打电话让我还最低款，外加自称是招商风控部门和法务部打电话骚扰，不能解决问题，现在卡片被冻结针对高额违约金主动协商无用，再次收取违约金及利息，根据《人民银行信用卡》新规明确表明改滞纳金为违约金，协商收取，可是银行不协商直接收取，具有强制性，违约金竟然还按月复利收取，我用卡时并不知</t>
  </si>
  <si>
    <t>2019/10/10 11:34:41</t>
  </si>
  <si>
    <t>嘀嗒出行管理不完善混乱，已经开车很久到达乘客上车地方后等待很久后，乘客竟然没有任何联系就取消了订单，导致我不光绕路等待还迟到，被公司扣钱，要求嘀嗒出行道歉并赔偿订单金额27.9元。</t>
  </si>
  <si>
    <t>2019/10/10 11:34:21</t>
  </si>
  <si>
    <t>注销账号需要提供身份证完整号码，因为是在公众号内提供给客服，这样个人资料安全得不到保证，只能来找聚投诉找对方沟通，一样能让双方都满意！毕竟在聊天窗口内没有其他安全保障的情况下，发送自己的完整身份证号码很容易造成泄露，毕竟省呗公众号不止一个客服，基本自己发送过什么所有在职客服都能看到！，谁能保证所有客服中不会出现一两个泄露资料的呢。</t>
  </si>
  <si>
    <t>2019/10/10 11:34:19</t>
  </si>
  <si>
    <t>不停的骚扰，根本没协商，非说协商了，不联系本人联系其他人，如果聚投诉不管就投诉银监会。</t>
  </si>
  <si>
    <t>2019/10/10 11:34:11</t>
  </si>
  <si>
    <t>投诉人 张先生        投诉对象  来分期        涉诉金额  0 元    问题类型    诉求类型投诉详情  来分期利息超级高 还爆我通讯录 骚扰我朋友 这可以？借的时候还要风险保障费啥的 可以？年利率远远高于法律上的24%</t>
  </si>
  <si>
    <t>2019/10/10 11:34:04</t>
  </si>
  <si>
    <t>小象优品催收态度恶劣！并且赤裸裸的威胁拨打家人电话！态度十分恶劣！指定几点必须还！拨打家人电话！谁给你们的权力。</t>
  </si>
  <si>
    <t>2019/10/10 11:33:47</t>
  </si>
  <si>
    <t>2019年10月8号在合肥紫云路金源购物中心二楼海澜之家购物中心花398买了一件男士衣服，穿了一天衣服破了，前往商家，商家不退换也不维修，态度强硬。</t>
  </si>
  <si>
    <t>2019/10/10 11:33:38</t>
  </si>
  <si>
    <t>本人于2019年8月12日借款3400元2019年9月26日借款500元，，现在因资金收转方便想提前还款，却被告知要支付全部借款合同1年的利息费用我不能理解也没有任何法律依据，与客服沟通未果，现在此平台投诉希望能以合法合理的结果。</t>
  </si>
  <si>
    <t>2019/10/10 11:33:26</t>
  </si>
  <si>
    <t>但是并无恶意违规，淘宝官方查询正常，创客工具查询降权，请求给个合理解释，恢复账号。</t>
  </si>
  <si>
    <t>2018年9月，我从微粒贷借款本金33000元，但由于生意失败，家中发生刑事案件造成暂时无能力还款，但2019.10.10来短信称拟报案处理，我去电话询问情况，此次工作人员态度恶劣，推翻之前银行工作人员承诺，擅自挂我电话并拉黑我电话！。</t>
  </si>
  <si>
    <t>2019/10/10 11:33:25</t>
  </si>
  <si>
    <t>1.9月11日在火影帮借款1800元，然而仅到账1314元，首页上说是一个月期限，实际还款期限是15天为一期，，以为是分期付款，虚假宣传，诱导用户，每续期15天就要收取高达504元，借款利率已经超过国家符合利率，征信有限公司旗下产品，联系电话0755-2377715，公司地址:广州省深圳市福田区福华三路168号深圳国际商会中心809，4.我已经整理好所有资料，我要求还本金减掉砍头息及续费一期的费用销账，提供结清证明！。</t>
  </si>
  <si>
    <t>2019/10/10 11:33:24</t>
  </si>
  <si>
    <t>我要投诉拼多多三方支付公司为违规平台开通资金充值通道，本人被网页上的该平台的虚假广告诱惑，进入该平台注册账号，本来本人对这个平台还是有些疑虑的，但是看到有这么多三方支付公司给这个平台开通充值通道，下意识的就以为该平台是正规的，结果被该平台牢牢的套住，在之后的一段时间里我陆陆续续亏损了巨额钱款，直到家人制止，朋友也跟我说这种平台是违规的，国家早就禁止这种平台了，我多方咨询后，终于醒悟了过来，可如果不是这些三方支付公司都和这个违规平台有合作，我也不会这么深信不疑，我找到这些三方支付公司投诉的时候，他们也是对我敷</t>
  </si>
  <si>
    <t>2019/10/10 11:32:51</t>
  </si>
  <si>
    <t>本人在贷上钱平台布偶猫借款3000元，到账3000立马扣除900，实际到账金额2100元，分四期每期770多元，利率远高于国家规定，属于高利贷套路贷，本人正常还款2期之后，第3期账单并无人与我沟通，第4期账单也无人与我沟通，期间没有一个布偶猫平台的人员跟我联系说我逾期或者还款的问题，直至昨日突然有人给我打电话上来就说不还钱是什么意思是不是还不起等恶意中伤话语，当时我手机快没电了，我发了两遍短信告诉他我与贷上钱的借款处理完毕了如果有什么疑问加我微信和我沟通，该人员发短信辱骂我还威胁说找我妈聊天，当天他就与我妈</t>
  </si>
  <si>
    <t>2019/10/10 11:32:23</t>
  </si>
  <si>
    <t>非法获取通讯录联系人信息，频繁骚扰通讯录联系人。</t>
  </si>
  <si>
    <t>2019/10/10 11:31:30</t>
  </si>
  <si>
    <t>卖家出售的电脑桌与宝贝主图显示明显不一样，颜色，大小，明显欺诈，盗版，而且卖家还拿退货要要挟，说退货就要自己承担运费，这么大的东西，你商家与快递有合作，我们可没有，光快递费就赶上电脑桌费用了，明显的想让买家忍气吞声，卖家的这种行为明显助长了社会不良风气增加，加害人与人之间的信任，不利于社会长期的良性发展！！！。</t>
  </si>
  <si>
    <t>2019/10/10 11:31:19</t>
  </si>
  <si>
    <t>当日上午十一点左右打客服咨询itv业务，因为态度不好就给了差评，没隔多久一分钟内就收到三百多条短信轰炸。</t>
  </si>
  <si>
    <t>2019/10/10 11:31:14</t>
  </si>
  <si>
    <t>等放款算一下年息综合竟然高达54%，简直就是高利贷中的高利贷，一次2万后面提前还但是竟然收取本息28000多，另外一笔等额本息2万，实际还款30800，他们的钱都是找银行借的怎么可能比银行更低了，由于本人并不熟悉银行金融规则，导致去玖富借款也未核算年息，政府国家不能姑息这样的高利贷企业，并且还堂而皇之的要上市。</t>
  </si>
  <si>
    <t>2019/10/10 11:31:00</t>
  </si>
  <si>
    <t>贷款前app的利息和下款后的利息根本不一致，并且这个保证金是缴纳到麦子金服的另外一家子公司，现在我要求按照国家规定的年利率24来算我12000元的利息，我们并不是老赖只是想在不平等的条约面前来妥善的处理欠款。</t>
  </si>
  <si>
    <t>2019/10/10 11:30:58</t>
  </si>
  <si>
    <t>我在2017年6月18号刚刚出来到广东正好手机坏了就打算换，而且还到2019年9月28号那个APP才显示已还清我要投诉。</t>
  </si>
  <si>
    <t>2019/10/10 11:30:32</t>
  </si>
  <si>
    <t>之前已与闪银进行协商，并达成一致，但是，闪银官方并未履行协商结果，无任何措施，并多次电话骚扰。</t>
  </si>
  <si>
    <t>2019/10/10 11:30:09</t>
  </si>
  <si>
    <t>客服电话打了几十个了，回访电话也接到十来个就是没解决问题，每次都说让继续观察。</t>
  </si>
  <si>
    <t>2019/10/10 11:29:46</t>
  </si>
  <si>
    <t>平安信用卡和一个电销的我都不记得的什么贷款目前逾期，，最近本人和家人都遇到不同程度的困难，在我和家人遇到困境的时候，平安催收人员各种骚扰和威胁，不停要求你提供各种本人及家人的信息，做生意借亲朋的钱都赔进去，本人目前暂无能力偿还，刚刚找了份工作，收入稳定了肯定会慢慢偿还，不撒谎的说别的平台也有欠款逾期，只有平安骚扰我家人，平安能做大真是老天瞎了眼。</t>
  </si>
  <si>
    <t>2019/10/10 11:29:35</t>
  </si>
  <si>
    <t>投诉光大银行客服诱导办理分期，未说明手续费，后短信得知44460元分24期要收取8000元手续费情况下，打光大银行客服电话取消不予受理，并强制一次性收取手续费，被迫只能接受分期。</t>
  </si>
  <si>
    <t>2019/10/10 11:29:34</t>
  </si>
  <si>
    <t>深圳小银贷,广州来钱宝软件服务有限公司,畅捷支付,佛山市食蚁兽科技,支付宝，前面畅捷支付为高利贷深圳小银提供支付通道后面佛山市食蚁兽科技和支付宝账号提供收款渠道，小银贷为14天高炮，收取砍头利息，崔收态度差，自己公众号问题还不了款，也没客服联系，导致还不上，崔收还在骂，本身问题还搞得象我的问题，前面畅捷支付为高利贷深圳小银提供支付通道，后面佛山市食蚁兽科技和支付宝账号提供收款渠道，小银贷为14天高炮，收取砍头利息，到手800元，延期14天收取200多服务费，展期使用大半年多，已经归还金额是本金10多倍，要求</t>
  </si>
  <si>
    <t>2019/10/10 11:29:21</t>
  </si>
  <si>
    <t>1:楠楠??439o8g7m2:185******273:11****************0买家通过线下购买我一大润发购物卡我们同城面对面交易的，买家付款以后，转转打款失败，说我的订单有问题，也不给我解决问题，我要投诉平台！。</t>
  </si>
  <si>
    <t>2019/10/10 11:29:16</t>
  </si>
  <si>
    <t>买了2块肥皂和一个胡须刀，快递员放在自动快递柜的，我拿了以后打开里面有2块肥皂和一个自动胡须刀，我拿起胡须刀的盒子当时感觉怎么那么轻，打开一看，里面竟然是空的，第一时间跟客服反应，客服说帮我查，第二天就发我短信说仓库未少发，我继续和客服说，查了又是未少发，不给我退货。</t>
  </si>
  <si>
    <t>2019/10/10 11:29:10</t>
  </si>
  <si>
    <t>投诉人 王先生        投诉对象  小当家        涉诉金额  1 800 元    问题类型    诉求类型投诉详情  借款1800到账1500多 三期需要还2400 已还两期 还款金额超过借款金额太多</t>
  </si>
  <si>
    <t>退保证金交易在此期间购买9月25日拨打400客服电话，工作人员告知已经退款到银行结果迟迟未到账了截止目前拨打400已无人接听，对于该公司的行为作为消费者我深感被骗了现寻求聚投诉平台可以帮忙督促，并对于此次行为进行道歉以及按照国家规定进行补偿。</t>
  </si>
  <si>
    <t>2019/10/10 11:29:09</t>
  </si>
  <si>
    <t>爆通讯录泄露个人隐私骚扰生活威胁恐吓已经影响到我的生活。</t>
  </si>
  <si>
    <t>2019/10/10 11:28:51</t>
  </si>
  <si>
    <t>暴力催收，恐吓威胁要上门，爆通讯录，已经同意协商，协商未果后委托第三方威胁上门催收，。</t>
  </si>
  <si>
    <t>2019/10/10 11:28:47</t>
  </si>
  <si>
    <t>在我不知情的情况下私自扣款，今天交房租的钱。</t>
  </si>
  <si>
    <t>2019/10/10 11:28:45</t>
  </si>
  <si>
    <t>京东白条委托三方催收公司，泄露欠款人三方隐私，075533586427.这个欠钱的叫张海宇我姐帮他收过京东快递，还在电话里说出我姐家现住址威胁不给联系就上门找我姐、我就是想问问京东是不是黑社会，现在就要求京东删除我姐在这个张海宇账户里的个人信息。</t>
  </si>
  <si>
    <t>2019/10/10 11:28:38</t>
  </si>
  <si>
    <t>本人因近期经济出现问题，导致该平台借款逾期，该平台催收电话态度极其恶劣，污蔑本人就是赖账不还，并且一直威胁要爆我的通讯录，骚扰我的亲朋好友。</t>
  </si>
  <si>
    <t>2019/10/10 11:28:30</t>
  </si>
  <si>
    <t>别的我也不多说了，没说不还钱，只是现在没钱，非要一直打电话，不接你们收利息不就完了，还爆我通讯录，这事处理好了钱咋都好说处理不好一分钱不给，打电话也没的谈，发短信吧，不让我正常工作上班，有的时候没看到，这电话就直接打疯了，，可以的，朋友，这事你不处理好了，一分钱也拿不到，什么时候能好好谈了，发短信给我，你我贷我就不说你了，那个微品还发短信威胁我，失联用户，不就是爆我通讯录吗，你打吧，你牛逼，那个钱站没到还款日就开始爆打电话，这事处理好了钱咋都好说，处理不好一分钱不给，打电话也没的谈，发短信吧。</t>
  </si>
  <si>
    <t>2019/10/10 11:28:28</t>
  </si>
  <si>
    <t>读秒平台通过起诉，仲裁，我已经按照湖北省荆州市中级人民法院出据的执行通知书缴纳执行款，收到结案通知，读秒平台仍然在账上，还在涨利息和催收。</t>
  </si>
  <si>
    <t>2019/10/10 11:27:41</t>
  </si>
  <si>
    <t>未收到还款短信提示还款的情况下莫名的扣款，扣款后也没有还款成功信息，看到卡内有钱就自动扣款。</t>
  </si>
  <si>
    <t>2019/10/10 11:27:25</t>
  </si>
  <si>
    <t>阳光安心贷的催收敢威胁我，态度极差，自己app的问题，随意收取违约金，还牛逼哄哄，要求道歉，更改金额。</t>
  </si>
  <si>
    <t>2019/10/10 11:27:15</t>
  </si>
  <si>
    <t>信而富强制购物的款项减掉，先花一亿元的贷后管理费360元减掉，钱站是高利贷国家打不垮的大哥，不减利息绝不还款。</t>
  </si>
  <si>
    <t>2019/10/10 11:26:49</t>
  </si>
  <si>
    <t>10月6日，在天猫店铺“小米良米专卖店”购买产品：小米智能摄像机云台版，，颗粒物在玻璃内部，无法通过不拆机方式除去颗粒物，结合产品本身质量、产品包装、商家态度，我认为该商家售卖给我的产品为假冒伪劣产品，受上传体积限制，无法上传更清晰的证据，如有需要可以添加更清晰、多角度的视频证据。</t>
  </si>
  <si>
    <t>2019/10/10 11:26:33</t>
  </si>
  <si>
    <t>投诉人张先生投诉对象王者钱包涉诉金额1300元问题类型诉求类型投诉详情一不小心点了进去然后看到已经打款而且是高利贷雨天利息一千多接受不了要求降息。</t>
  </si>
  <si>
    <t>2019/10/10 11:25:51</t>
  </si>
  <si>
    <t>暴力催收、骚扰联系人、要求停止骚扰、态度很恶劣。</t>
  </si>
  <si>
    <t>2019/10/10 11:25:38</t>
  </si>
  <si>
    <t>华夏银行为牟取利益，提高借款人还款利率，勾结点点app、众安保险，通过点点进行放款，在合同里暗藏猫腻，强迫借款人购买众安保险，致使借款人还款利率高达35.9%，从而三方获利！借款人在点点申请6000元借款，暗中购买947.6元高额保险，要求借款人每月还款599.51元，共12个月，如此一来还款利率提高至35.9%！且，从被发现至今投诉了3个月，众安仍然煮熟的鸭子，嘴硬，一口咬定打勾☑️式销售保险不存在违规，购买保险无需告知，拒绝处理退款！敛财才是众安最大的目的！不义之财敛多了，怕是天要收了你众安！。</t>
  </si>
  <si>
    <t>2019/10/10 11:25:32</t>
  </si>
  <si>
    <t>广东缺钱么，两年前借的1500，一周或者14天还款1650，严重高利贷，现在暴力催收，催收人员在我告知他已经违法时表现的漠不关心，短信轰炸，爆通讯录，严重涉黑行为，在这里投诉过后我会继续打广东本地警方电话，不针对个人，针对缺钱么公司，让他们缺钱么把催收人员再揪出来。</t>
  </si>
  <si>
    <t>2019/10/10 11:25:26</t>
  </si>
  <si>
    <t>微信公众号服务号认证时需缴纳300元年费，结果我方提交的认证名称无法通过认证，需要修改名称，但是这名称是我方的品牌名，不可能修改，3天内未完成认证将做失败处理，工作人员给的解释是待我方后期补全材料后需再缴纳300元，我认为这种方式简直属于霸王条款，及其不合理，交了钱事情没办成却不退款！！！。</t>
  </si>
  <si>
    <t>2019/10/10 11:25:16</t>
  </si>
  <si>
    <t>喜欢不要一直退款失败，我们先付款你们不应该工作效率的提高吗。</t>
  </si>
  <si>
    <t>2019/10/10 11:24:58</t>
  </si>
  <si>
    <t>我反应的问题未解决用私人号打电话给我还服务态度差！。</t>
  </si>
  <si>
    <t>2019/10/10 11:24:45</t>
  </si>
  <si>
    <t>正常使用，正常购物，每期还款，账号突然被封。</t>
  </si>
  <si>
    <t>2019/10/10 11:24:37</t>
  </si>
  <si>
    <t>投诉人宋女士投诉对象同程提钱游涉诉金额1400元问题类型诉求类型投诉详情每次借款都正常还款，这次国庆节发工资延迟了，拖了几天，打电话辱骂我，骚扰我，我从来没说过不还，跟她说了发工资还，态度特别差，根本不听你说话，说他们不怕，让你去报警，别拿着鸡毛当令箭，这是他们的原话。</t>
  </si>
  <si>
    <t>2019/10/10 11:24:35</t>
  </si>
  <si>
    <t>投诉人 张先生        投诉对象  360借条        涉诉金额  5 000 元    问题类型    诉求类型投诉详情  非法获取通讯录联系人信息，频繁骚扰联系人</t>
  </si>
  <si>
    <t>2019/10/10 11:24:32</t>
  </si>
  <si>
    <t>我于2016年11月12日购入一台惠普光影精灵电脑，购入后使用至2019年5月份发现电池肿胀，导致触控板无法正常按下，经调查后发现电池肿胀原因是因为惠普公司bios系统出现问题，在电池充满电后未设置阀值导致电池充电时间过长引发鼓包，在调查前我并未收到任何来自惠普公司的通知提示我更新bios系统，按照《中华人民共和国消费者权益保护法》第三章第十九条规定：经营者发现其提供的商品或者服务存在缺陷，有危及人身、财产安全危险的，应当立即向有关行政部门报告和告知消费者，并采取停止销售、警示、召回、无害化处理、销毁、停止</t>
  </si>
  <si>
    <t>2019/10/10 11:24:31</t>
  </si>
  <si>
    <t>在中国银行聪明购商城，北京英龙华辰科技有限公司购买苹果11手机，因为商家长时间不发货，又不退款。</t>
  </si>
  <si>
    <t>2019/10/10 11:24:18</t>
  </si>
  <si>
    <t>借款8000，到账7918.11，在不知情情况下下一秒就被8*************1。</t>
  </si>
  <si>
    <t>2019/10/10 11:23:36</t>
  </si>
  <si>
    <t>阴阳合同，借4000元的合同变5000的合同变相高利贷，暴力搔扰。</t>
  </si>
  <si>
    <t>去年本人因生意失败遂欠下部分贷款包括拍拍贷在内的一些网贷，戒指今年7月份我已还完拍拍贷大部分借款及利息，但是从6月份开始我的资金就开始出现极度紧张的局面，6月初拍拍逾期大概三天并且我在答应他们下午可以还钱的情况下况且下午确实还了，他们仍旧肆意拨打通讯录对本人名誉已造成极大影响，这个月手上最后的钱也没有了，9月底手上的钱都已用于偿还家里债务，和拍拍贷商量能否延期一个账单，结果拍拍贷仍旧无视国家法规开始肆意拨打通讯录，并且每天都会打电话威胁借款人，每次方法都不一样，更有甚者让我马上带着身份证回家，因为他们的工作</t>
  </si>
  <si>
    <t>2019/10/10 11:23:07</t>
  </si>
  <si>
    <t>看这几天好多说你们卡里有钱不扣还爆通讯录的。</t>
  </si>
  <si>
    <t>2019/10/10 11:22:15</t>
  </si>
  <si>
    <t>有一款叫做小黄花的55高炮app放套路贷，登录进去以后随便点击几下未经同意以及签名，资金秒到账，刷一下到了1950，然后再次登录进去，让还款3000多元，而后联系app客服，联系不到，过了两个月，有一个自称小黄花的工作人员来要帐，并且威胁打爆本人通讯录，还要让本人出名，并且已经付出行动，本人通过银行核实到放款方为合利宝支付平台，合利宝支付平台客服多次推诿，拒不提供真实的商户信息。</t>
  </si>
  <si>
    <t>2019/10/10 11:22:13</t>
  </si>
  <si>
    <t>3期还完本金，8000要还10000，利率太高了。</t>
  </si>
  <si>
    <t>2019/10/10 11:22:12</t>
  </si>
  <si>
    <t>本人因创业需要，于2018.6.14向玖富叮当总台借款25000元作为创业资金，分24期还款，每期还款金额为1791.67元，目前已还14期，25083.38元，1.玖富叮当涉及阴阳合同，本人借款25000元实际到账25000元，，其中包括保障计划4271.69元，咨询服务费2916.99，网贷信息服务费6329.74元，以上费用都是本人借款前借款后很长时间所未知的费用，国家规定，任何以“服务费”“保证金”等理由的收费都是变相突破法定利率红线，应当依法不予支持，因本人本金已经还清，现要求玖富叮当平台终止所有</t>
  </si>
  <si>
    <t>2019/10/10 11:22:01</t>
  </si>
  <si>
    <t>下载分秒花，绑定银行卡准备借款，在不知情的情况下，被扣199元什么信用报告，不借可以退。</t>
  </si>
  <si>
    <t>2019/10/10 11:21:28</t>
  </si>
  <si>
    <t>从2017年开始就用现金巴士，一直还款良好，这次真的遇到困难了，无法正期还款，所以希望现金巴士给我提供一下延期还款，到月底，我不希望国家大庆期间咱们有什么不愉快，闹到别处去，希望贵平台帮忙转告一下，砍头息和每次借款之前必须购买99元的卡，要不不放款我不说了，现在只想要延期还款。</t>
  </si>
  <si>
    <t>2019/10/10 11:21:16</t>
  </si>
  <si>
    <t>隔半个小时打一次电话，一天打几十个电话，天天都是问那一句，每次我想解释都不听，直接挂掉。</t>
  </si>
  <si>
    <t>2019/10/10 11:20:19</t>
  </si>
  <si>
    <t>周转困难逾期第二天，我来贷催收人员打电话来表明今天确实还不了款，有意愿去协商延期一至两天还款，但是催收人员拒绝协商，并在挂电话后立马给我发威胁短信，逾期费用高的离谱不说，还各种威胁，借10000每期还1133.33，我已经还10期了，本金我早还清了，期间还多还了几次的300块逾期费用，现在资金周转问题想要延期几天你们这样对有还款意愿的客户，要是你们骚扰到我通讯录好友，我就维权到底！。</t>
  </si>
  <si>
    <t>2019/10/10 11:19:52</t>
  </si>
  <si>
    <t>投诉人 吴吴家安        投诉对象  蚂蚁金发,蚂蚁金服        涉诉金额  7 200 元    问题类型    诉求类型投诉详情  本人是先利息后本金。利息已经结清。欠本金。每个月都有还款。还天天发短信来威胁恐吓。还用本地陆丰人打电话给我爸。恐吓我爸爸</t>
  </si>
  <si>
    <t>2019/10/10 11:19:29</t>
  </si>
  <si>
    <t>未收到放款开始记息，要求解除合同不允许，订单超过24。</t>
  </si>
  <si>
    <t>2019/10/10 11:19:19</t>
  </si>
  <si>
    <t>2019年10月9号下午5点多的时候我正在用微信聊天突然手机先生无服务，我以为是我手机问题或则房子信号差，又是去外面找信号好的地方又是找朋友手机找手机卡，居然我卡插别的手机上也不行，后来打电话直接成空号了，问客服客服说给我上报，说也不知道原因，到现在我都没收到答复，我不知道我用了7年多的号说空号就给我空号了，问题我就一张手机卡，到现在别人都联系不到我，请移动给我个合理解释，请问你们移动想让谁使用就让谁使用，不让使用就直接成空号了吗。</t>
  </si>
  <si>
    <t>2019/10/10 11:18:54</t>
  </si>
  <si>
    <t>及贷催收人员暴力催收，态度恶劣，各种威胁恐吓。</t>
  </si>
  <si>
    <t>2019/10/10 11:17:45</t>
  </si>
  <si>
    <t>利息不合理，涉嫌套路贷，砍头息，我要求合理的利息。</t>
  </si>
  <si>
    <t>2019/10/10 11:17:39</t>
  </si>
  <si>
    <t>影响个人声誉，该平台还回复说没有用户的通讯录，那么请问除了紧急联系人意外的通讯录内的其他人怎么会接到催款电话020开头的来电。</t>
  </si>
  <si>
    <t>2019/10/10 11:17:05</t>
  </si>
  <si>
    <t>17年办的广发信用卡刚开始是11000的额度，这期间17年到19年3月份前我还的最低都是利息。</t>
  </si>
  <si>
    <t>2019/10/10 11:16:56</t>
  </si>
  <si>
    <t>因为违背家里意思，强行和前妻结婚，因为怀了孩子，不想无辜的生命为我们年轻人的放纵买单，我们一家三口出来过了，当时需要钱就借了滴滴金融，自称滴水贷，由于有工作所以按期还款，上个月因为家庭原因没工作了，媳妇跑了，自己带孩子，没脸回家预期了，我说请求给我时间我会还，因为已经还了3w还剩1w5平台根本不管也不看就认为我是故意拖欠认为我是老赖，直接窃取我通讯录信息和通话记录开始挨个骚扰，什么意思，我一个人自己带孩子还好赚钱，孩子没到上幼儿园的年纪，就因为孩子公司已经给我开除了，没有固定工资我只能想办法凑钱还你们，难道</t>
  </si>
  <si>
    <t>2019/10/10 11:16:54</t>
  </si>
  <si>
    <t>因为最近经济困难就逾期账单，平安银行信用卡外包，天天发信息骚扰家人和朋友，严重影响我的生活，要求直接同平安银行协商还款，停止骚扰，我的家人和朋友。</t>
  </si>
  <si>
    <t>2019/10/10 11:16:41</t>
  </si>
  <si>
    <t>海尔消费金融无端骚扰我及家人，并骚扰欠款人家人的单位，向单位宣扬欠款情况，给我及家人造成了很大的困扰，相关录音我这里有留存，如果不给予合理的解释，一定会投诉到底催收电话05365702955、186******50。</t>
  </si>
  <si>
    <t>2019/10/10 11:16:34</t>
  </si>
  <si>
    <t>本人在读秒平台有笔贷款，贷款金额4420.24元，已经偿还本金1820.16元，未偿还本金2600.08元，但由于系统显示需要偿还的本金及利息等费用，总计远超过未偿还本金的24%，现申请协商偿还未偿还部分本金，并在读秒app显示已结清该笔借款等字样，同时，不得以各种形式恐吓和骚扰本人及亲朋好友。</t>
  </si>
  <si>
    <t>2019/10/10 11:16:07</t>
  </si>
  <si>
    <t>暴力催收，态度蛮横，根本就不是解决问题的态度！并且还是私人号码，号称公司领导！解决问题就这样来解决来处理。</t>
  </si>
  <si>
    <t>2019/10/10 11:16:04</t>
  </si>
  <si>
    <t>不能协商还款，目前已经还了7500元，催收把我工作搞没了，我没有能力还了，。</t>
  </si>
  <si>
    <t>2019/10/10 11:15:59</t>
  </si>
  <si>
    <t>本人在9月5日在魔音钱包借款2200元，而实际到账1540元，其中660元以购物券形式扣去，畅捷支付付的1540元，看图支付凭证，还款日疯狂催款，说投诉客服说投诉就投诉，顶风作案，无视国法，畅捷支付提供支付平台，为高利贷提供便利，希望畅捷支付及时与魔音钱包商户协商，本人归还本金及合理利息。</t>
  </si>
  <si>
    <t>2019/10/10 11:15:46</t>
  </si>
  <si>
    <t>我270买一个游戏号，拍完了就等发号客服说因为账号密码错误交易失败然后说的是支付宝余额支付即时退款即时到账我10月9日下午1点拍的。</t>
  </si>
  <si>
    <t>2019/10/10 11:15:20</t>
  </si>
  <si>
    <t>本人在爱钱进旗下速金服借款1000元，实际到账1000元，合同上签署的是1300元，需要还款1800元，800多元的砍头息，接近本金金额，三个月按期还款，每个月需要还款635元，高利贷！速金服也就是爱钱进，无视国家法律法规，肆意更改合同，非法高利贷，现在要求按照国家法定利率协商还款，如果不处理我会继续投诉到银监会，或者起诉等手段来维护自身利益。</t>
  </si>
  <si>
    <t>2019/10/10 11:15:16</t>
  </si>
  <si>
    <t>民生银行无故锁卡，从来都没有逾期过，突然锁卡，影响正常使用。</t>
  </si>
  <si>
    <t>2019/10/10 11:15:01</t>
  </si>
  <si>
    <t>10月3日通过云闪付充值话费50元后显示充值成功但是话费一直不到账，后联系客服，客服让等两天给回电话，10月4日银联回电话说“系统”显示充值失败，款在5个工作日退回，10月9日联系银联银联说款在10月8日显示“退款成功”我说我没有收到，客服让我联系发卡行！那么我到现在还没有收到退款，款退到哪里去了，10月4日银联回电话说系统显示充值失败，款在5个工作日退回，10月9日联系银联银联说款在10月8日显示退款成功我说我没有收到，客服让我联系发卡行，第一为什么手机上显示充值成功你系统内部显示失败，既然充值失败是不是</t>
  </si>
  <si>
    <t>2019/10/10 11:14:59</t>
  </si>
  <si>
    <t>暴力催收，影响家人朋友单位，威胁恐吓，上门。</t>
  </si>
  <si>
    <t>2019/10/10 11:14:37</t>
  </si>
  <si>
    <t>投诉人陈先生投诉对象微品分期涉诉金额555元问题类型诉求类型投诉详情微品分期，下款2000，一个月要还2555，委托代收要522，明显变相收取高额利息，还款日当天他们客服有打电话给我，我说协商还款，把利率调整了，他们直接说，你不想还款就算了，没有协商没有调整利率，态度很恶劣，然后说你不还可以，我马上去爆你通讯录，把你征信拉黑，已经违法恐吓催收，利息已经超过国家合法利率了，我要求调整利率，我需要客服打我电话，和我道歉。</t>
  </si>
  <si>
    <t>2019/10/10 11:14:36</t>
  </si>
  <si>
    <t>微粒贷骚扰我联系人，泄露我个人信息严重影响我的名誉权。</t>
  </si>
  <si>
    <t>2019/10/10 11:14:23</t>
  </si>
  <si>
    <t>不到还款日就开始打电话催收，让还钱，不接电话，就继续打，利息高的吓人，借一万要还3000多。</t>
  </si>
  <si>
    <t>2019/10/10 11:13:55</t>
  </si>
  <si>
    <t>10月1日注册小浦优客，10月10日银行卡突然被扣款296元，之前并没有提示扣款，这是典型乱扣款，打了小浦优客的电话，态度不好不给予解决，现在要求退款296元。</t>
  </si>
  <si>
    <t>2019/10/10 11:13:53</t>
  </si>
  <si>
    <t>投诉人 崔先生        投诉对象  小花钱包        涉诉金额  40 000 元    问题类型    诉求类型投诉详情  小花钱包 借款40000 已经还了三期共13000多 如提前结清 还需要还 39000多 因周转逾期四天 遇到暴力催收 期间解释有还款意向 催收不听 跟他们沟通协商还款 也不行</t>
  </si>
  <si>
    <t>2019/10/10 11:13:34</t>
  </si>
  <si>
    <t>7月4号我在玖富万卡上借款，扣除一个保费7120，借到手的金额为19000，共分12期，每月要偿还金额为2675.13，算下来等于我要偿还3万多了，一年的利息要1万3左右了。</t>
  </si>
  <si>
    <t>2019/10/10 11:13:14</t>
  </si>
  <si>
    <t>济南银飞聚力有限公司利用其猪手机、现金魔盒等app，在互联网套路贷，用1000到2700本金以租借手机的名义，，每十天收取400～600的费用，其实就是国家明令禁止的714砍头息和套路贷，一年内套取本人82600元，期间如果有逾期，要收取每天90元滞纳金，并且暴力催收，现本人多方投诉和举报，要求济南银飞聚力有限公司退还砍头息和滞纳金，并且作出赔偿，因金额巨大，对本人生活造成很大伤害，所以会与套路贷斗争到底，直至对方公司被查！后续证据会提供给执法机构。</t>
  </si>
  <si>
    <t>2019/10/10 11:12:52</t>
  </si>
  <si>
    <t>本人16年10月份在捷信办理一部手机分期，当时还款是3个月，还清以后在17年陆续可以接到捷信打来的电话或者发送过来短信说本人被选为优质客户有一笔41000元的贷款可以使用，在17年7月分因为需要用钱申请了这笔贷款，当时是通过电话现在办理了我工作人员当时告诉我分54期还款压力小，每月还1493.73元，我记得这个1493.73只还了两个月，以后的每个月都是在还1508.73元已经还了22期共计33000多元，导致7月分捷信的借款没有按时偿还现已经逾期3个月，捷信终止了合同要求一次偿还38344.7元，打电话与</t>
  </si>
  <si>
    <t>2019/10/10 11:12:42</t>
  </si>
  <si>
    <t>9月12日，链家曾带我看房的经纪人联系我进行了指责和谩骂，责怪我没有在其处买房，刚开始我对其表示抱歉也肯定了她的付出，但该销售不依不饶，甚至通过文字对我进行诅咒和谩骂，对我的身心造成了严重的折磨，事发后我联系其官方电话进行投诉，随后便收到了该门店的多号码骚扰，围绕的问题还是为什么不在他们平台成交，还让我撤销投诉，因为影响他们的业绩，直到2019年9月18日我没有收到链家对于该问题的任何官方回应和解决方案，该事件已经影响了我正常的工作和生活，一想到这些谩骂和骚扰就会非常的焦虑，链家对于客户的信息没有完善的保密</t>
  </si>
  <si>
    <t>2019/10/10 11:12:36</t>
  </si>
  <si>
    <t>本人中国工商银行账户于2019年10月10日10点21分被无故划扣352.94元至中国银联广东分公司专户02，本人非常注重个人隐私及账户安全，并未向他人透露本人账户及密码，未点击过任何非法链接，也无房贷以外的其他任何欠款，为保护个人账户安全，恳请聚投诉查明本人账户多次无故被中国银联广东分公司划扣存款原因，本人将保留追究中国银联，广东分公司和中国工商银行法律责任的权利。</t>
  </si>
  <si>
    <t>2019/10/10 11:12:26</t>
  </si>
  <si>
    <t>立借平台高利贷，借5000三个月要求还款7000，逾期一天就骚扰联系人通讯录暴力催收。</t>
  </si>
  <si>
    <t>2019/10/10 11:12:03</t>
  </si>
  <si>
    <t>投诉人刘先生投诉对象达内涉诉金额30000元问题类型诉求类型投诉详情本人于2019年8月28号看到达内在招聘IT培训，于是过去面试，我的文化程度只有初中，他们一直在推销大数据，云计算课程，说课程有多么好，培训四个月安排就业，年薪40万，还说学费25800元，如果现在没钱可以申请分期，当时工作人员跟我是老乡，特别笼络，我也没太防备，就签了合同，的app,收取了短信验证，还跟我勾肩搭背，撑兄道弟地给我刷脸，当时他说是申请课程，并没有说是贷款，等到10月7号的时候我打开app一查，发现欠费30764.8，于是打电</t>
  </si>
  <si>
    <t>本人于2019年3月7号向人人贷借款9500元，当时看到说是正规平台，低利息，结果贷下来发现是阴阳合同，服务费太高了，还了6期，3065.34元，后期要还也还需还15434.80元，第七期，逾期一天，发现违约金就是100一天了，实在是太离谱了，不能接收，希望提前还完其他的本金能免息，免服务费，已经逾期3天，希望平台快点处理，不想自己的征信不好。</t>
  </si>
  <si>
    <t>2019/10/10 11:11:51</t>
  </si>
  <si>
    <t>催收电话打的不停，给平台协商没人处理，一天就是催收人员打电话，。</t>
  </si>
  <si>
    <t>2019/10/10 11:11:28</t>
  </si>
  <si>
    <t>在钱进平台借款，说好的是32640，但到账只有24000，问客服，说扣了手续费，手续费扣8000多，这不是砍头息是什么，而合同上还是32640,每个月要还三千三，还一年就是四万，到手二万四，却要还四万，已经远远超出了。</t>
  </si>
  <si>
    <t>2019/10/10 11:10:54</t>
  </si>
  <si>
    <t>被小优浦客恶意扣费2笔296元，而且无法找回，并且慌称是我们同意扣费的，现在要要求退回这比钱，！退款！退款！！！！！退款！退款！退款！退款！退款！退款！退款！退款！退款！退款！退款！退款！退款！退款！退款！退款！退款！退款！退款！退款！退款！退款！退款！退款！退款！退款！退款！退款！。</t>
  </si>
  <si>
    <t>2019/10/10 11:10:49</t>
  </si>
  <si>
    <t>2017年12月12买的，保修宣传保两年，现在没有过保卖家说我过保，说我买的时候他们保一年，要求我自己负责邮费和维修费，推地不出水，买来就光扫地，现在拖地发现拖地的拖布根本就是干的机器不出水。</t>
  </si>
  <si>
    <t>2019/10/10 11:10:44</t>
  </si>
  <si>
    <t>快易花转卖债券给平安普惠，平安普惠催收人员暴力催收，群发短信，望有关部门能够管管这群目无王法的黑心企业。</t>
  </si>
  <si>
    <t>2019/10/10 11:10:39</t>
  </si>
  <si>
    <t>本人于2019年7月9日于钱站平台实际借款3000元，，2019年9月9日于钱站平台实际借款1500元，本月由于个人原因未能及时偿还借款，期间积极主动联系钱站官方客服协商还款，并承诺在2019年10月10日当日下午5点前还款，遭受钱站催收人员恐吓电话催收，催收人员扬言要电话联系通讯录内每一名联系人借钱来帮我还款，在国家严厉打击“套路贷”，扫黑除恶构建和谐社会的背景下，仍然如此嚣张跋扈，希望相关部门可以彻查。</t>
  </si>
  <si>
    <t>2019/10/10 11:10:17</t>
  </si>
  <si>
    <t>我已经在昨天按照好易借的要求还款5600元销账，但今天好易借平台依然打我联系人电话骚扰，我要求好易借平台给我道歉。</t>
  </si>
  <si>
    <t>2019/10/10 11:10:16</t>
  </si>
  <si>
    <t>在MY钱包操作借款后账单里出现一条保险费用，对于保险合同、内容我一无所知，现在发现借款5000元最后加上保险费用3个月总共要还接近7000元，远远超过国家规定的利率，现在我的诉求是和MY钱包协商一次性还款，按照国家规定的正常利息我都能接受，但要退除这不明不白的保险费用！。</t>
  </si>
  <si>
    <t>2019/10/10 11:09:42</t>
  </si>
  <si>
    <t>逾期一天，打联系人各种侮辱，恐吓！一上午打十来个电话。</t>
  </si>
  <si>
    <t>2019/10/10 11:09:24</t>
  </si>
  <si>
    <t>12000额度，因逾期2个月多点，还款13000多，生活筒朴，现因个人身体原因无上班，生活压力大要求银行退还罚息。</t>
  </si>
  <si>
    <t>2019/10/10 11:09:20</t>
  </si>
  <si>
    <t>每天都过好打好多电话影响我的个人生活，天天威胁我，让我还款说不还的话就要打家里电话，打朋友的电话，没经过我的同意，他们凭什么打我的通讯录电话。</t>
  </si>
  <si>
    <t>2019/10/10 11:09:19</t>
  </si>
  <si>
    <t>钱站下款额度500，合同上写的是借款500，还款利率按850来算，合同上借850三个月还900左右，但实际下到银行卡的只有500，逾期一天100的逾期费，暂时第三期不还，等钱站来做出处理协商，已经还了本金了，利息不太会算，但是也应该够了。</t>
  </si>
  <si>
    <t>2019/10/10 11:09:01</t>
  </si>
  <si>
    <t>在钱置宝平台借款2100，已还本金2000多，现在剩最后一期，催收客服人员联系协商还款200，就可以结清借款，通过支付宝还款200，app。</t>
  </si>
  <si>
    <t>2019/10/10 11:09:00</t>
  </si>
  <si>
    <t>本人9月5日在钱站app借款1000实际到账1000元，合同金额是1330元分3期还款，每期468元，由于利息太高已逾期5天，逾期费100多元加逾期费用一起一共要还1500多元。</t>
  </si>
  <si>
    <t>2019/10/10 11:08:50</t>
  </si>
  <si>
    <t>9月19日，本人在烟台蓬莱机场乘坐19:40分飞往哈尔滨的航班，她们让我出示机票，随后问我多少钱买的机票，之后又说她们现在有个vip会员卡活动，用会员卡电话订票比我现在网上订的最低折扣票价还便宜至少几十元以上，不仅可以给自己买票，还可以给别人买票，全家出行的话很划算，她们说办卡还可以去国内合作的各大机场的贵宾接待室休息候机，并且提供免费的茶饮、报刊、还有专人代办安检等待遇，现在活动是往她们提供的VIP会员卡里冲1880元送1000元，卡里总价值是2880元可以用来订购全国机票并享受全国最低票价；她们说卡里的</t>
  </si>
  <si>
    <t>2019/10/10 11:08:42</t>
  </si>
  <si>
    <t>本人于9月10号在花转转樱桃小借平台借款2800元，也于当天通过畅捷支付打款成功，分8天一个周期还4期，单期金额1022，总计待还款4088元！利息远高于国家标准！属于实打实的高利贷！然而，我在9元18日第一期还款当天尝试还款了不下五次，app都显示提交成功，但并未扣费，无奈之际我于9月19日拨打了在线客服询问如何还款，客服让我加一个qq客服线下还款我接受了，随即我添加了这位客服，他给我一个链接填资料说半个小时内扣款，结果我填了三遍资料之后依然扣款不成功，随后这位客服再也没有回复过我，我继续拨打花转转公众号</t>
  </si>
  <si>
    <t>2019/10/10 11:08:16</t>
  </si>
  <si>
    <t>本人于2019年7月14日在立借平台中的喵贷吧借款2000元，由畅捷支付转账并实际到账1400元，且要求每七天归还513.72元，本人已经归还其中三期513.72元，合记1541元，已经远远高出1400本金，现要求提供结清证明并销账。</t>
  </si>
  <si>
    <t>2019/10/10 11:08:11</t>
  </si>
  <si>
    <t>还了款不入账，本人已经本金还完，请马上提供结清证明，还有利息高，强制砍头息。</t>
  </si>
  <si>
    <t>2019/10/10 11:08:07</t>
  </si>
  <si>
    <t>投诉人 杨叶        投诉对象  好易贷        涉诉金额  2 100 元    问题类型    诉求类型投诉详情  辱骂亲朋 暴力催收 接电话就骂 协商未果</t>
  </si>
  <si>
    <t>2019/10/10 11:07:55</t>
  </si>
  <si>
    <t>10月6日晚通过饿了么平台跑腿代购烫伤药，骑手送到后无法提供支付凭证或小票等，收取烫伤药膏费用96.8元，后经查询该款药膏为26.8元，多收取70元。</t>
  </si>
  <si>
    <t>2019/10/10 11:07:43</t>
  </si>
  <si>
    <t>刚买的鞋子，还没到货就降价这么多，这让消费者以后购物怎么保障，差太多了，要求赔偿100元，客服处理态度蛮横，赔付20唯品币是唯一协商的条件，主动断线。</t>
  </si>
  <si>
    <t>2019/10/10 11:07:42</t>
  </si>
  <si>
    <t>借款人民币44400元整，分24期，每期3182元，该公司当时宣传利率为年利率11.9%，刚开始不注意，还到后来发现还款的金额已经超过了本金的一半，后看明细发现我到账金额为44400，合同金额居然是68254.49才明白这是国家严打的砍头息，而且借款时并未看到该份合同，所以我不承认该份合同，要求按照44400执行，我已经还了21期的3182元，总金额66822元，已经还够本金及合法利息，现要求玖富停止对我的催收并给我结清借款。</t>
  </si>
  <si>
    <t>2019/10/10 11:07:37</t>
  </si>
  <si>
    <t>利息率为百分之三十六，还有保单费，每次取款之前需要缴纳保单费，导致到手金额与合同不符。</t>
  </si>
  <si>
    <t>2019/10/10 11:07:27</t>
  </si>
  <si>
    <t>微粒贷借款12000元，因自己被人骗，导致现在手上暂时没有资金，最近几日，微粒贷打电话不来不是响一两岁就断了就是刚刚接起就挂了，非要说我拒绝沟通，不接电话，而且，还给公司打电话，每天打老板电话200个，现在老板知道我的情况后，叫我把离职手续办了，这个月干完就不用来了，我想请问微粒贷，你把我工作都给我整没了，我怎么还你的钱啊。</t>
  </si>
  <si>
    <t>2019/10/10 11:07:08</t>
  </si>
  <si>
    <t>本人于2019年8月22日在51信用卡管家借款24000元，51信用卡管家黑心高利贷，利息先不说，服务费竟然高达6398.76元，高额的砍头息，服务费，第一期服务费2073.23元，见图一，第二期到第十二期服务费都是393.23元，多次致电51信用卡管家，客服尽然用虚拟号码给我回电，我多次要求用在中国银监会报备电话联系，但任没有答复，而且51信用卡催收人员冒充借款人本人进行大量的网搜，贩卖公民个人信息，冒充公检法，伪造律师函，请国家严重打击这样的高利贷公司，产品下架处理。</t>
  </si>
  <si>
    <t>2019/10/10 11:07:05</t>
  </si>
  <si>
    <t>我在2019年4月11日接到柳州市南城百货阳光100店电话通知参加一个抽奖活动，活动中被各种虚假宣传忽悠上当以4000元高价买下九阳JYW一RO612净水机，后发现不对，要求不要发货但卖方说不行，硬给我寄来安装后用不到两个月就不出水了，报修一个月无售后理我，我后来知道被店家骗了，要求厂家尽快找人维修，并且按该商品物价局核准价格赔我差价损失！。</t>
  </si>
  <si>
    <t>2018年11月12号本人信而富准备借300元，发现必须先购物消费才能借款，不小心点着了才知道这个砍头利息192元，后来借了300元加利息8＋，希望聚投诉平台给我讨个公道本人愿意还300元加8元利息，一共308元，多余的一份不还，192，当时没还，找了客服，他们说必须还不然上征信，我没借的钱为什么还，他们暴力，吓唬我，天天威胁打电话，通讯录也给我爆了，我气的没还，如今我打开才知道利息都好几百了，还让我还六百多，这就是高利贷，希望聚投诉平台给我讨个公道，本人愿意还300元加8元利息，一共308元，多余的一份不</t>
  </si>
  <si>
    <t>2019/10/10 11:06:55</t>
  </si>
  <si>
    <t>本人在营业网点申请贷款，被要求留了公司电话，说是要确认是否在填写所在单位的一个真实性，当时贷款金额3万块，分36期，合同本来填写为4.7万，每个月还款1564.，已经还了十几期，最近几个月因遇到问题无法周转，导致两期账单逾期，之前已经很南宁这边客服说明情况，最近有催收人员老是已核实资料为由频繁拨打公司电话，之前预留的电话只是本公司联系电话，并不是本人的工作电话，频繁拨打对公司运营已经有了些影响，希望宜信公司停止骚扰公司电话，并做出解释！！！。</t>
  </si>
  <si>
    <t>2019/10/10 11:06:53</t>
  </si>
  <si>
    <t>今天第一天逾期，你们打电话过来我也接了，说了晚上回处理好！可你们还是把通讯录打个遍，那我还能怎么办，不道歉我是不会在处理的，通讯录里电话你们也都骚扰了，第一天逾期就爆通讯录太无耻了。</t>
  </si>
  <si>
    <t>2019/10/10 11:06:21</t>
  </si>
  <si>
    <t>因为最近经济困难就逾期一期账单，平安银行信用卡外包，拒不接受协商还款，天天发信息骚扰家人和朋友，严重影响我的生活，要求直接同平安银行协商还款，停止骚扰，我的家人和朋友。</t>
  </si>
  <si>
    <t>2019/10/10 11:06:09</t>
  </si>
  <si>
    <t>2019.8.27在如期分期平台借款14200，放款后立马扣了所谓的担保费400多元，又于2019.10.10凌晨通过天下信用平台扣了我银行卡里1988元，咨询客服，说是风险评估费，询问为什么是这个金额，客服回复的话前后矛盾，有截图为证，一会说是5%的风险评估费，一会又说是9.5%的风险评估费，最后算下来金额还是不对，又说要以签约页面为准，我想查看当时签约页面，又说看不了，去看合同，里面又没有风险评估费这一项，莫名其妙就扣了我卡里1988，打平台投诉电话，跟app客服回复一样，说不出来理由，就说处理不了，没</t>
  </si>
  <si>
    <t>2019/10/10 11:06:04</t>
  </si>
  <si>
    <t>退款，终止所有的款项，要求赔理道歉，以及人身精神损失费。</t>
  </si>
  <si>
    <t>2019/10/10 11:05:46</t>
  </si>
  <si>
    <t>退款退了快一天了一直这样我怀疑交易猫有问题。</t>
  </si>
  <si>
    <t>2019/10/10 11:05:45</t>
  </si>
  <si>
    <t>今天逾期第一天逾期是我不对，但是我们今晚发工资，在你们明一早上班的时候就能看到我已经将债务处理过了，明明已经承诺出处理的时间了，但是还是威胁恐吓我不然就移交催收公司打我通讯录联系人，这通电话我有录音，客服人员亲口说出打我通讯录这段话，已经承诺处理日子并且态度友好积极配合，还强制要求不然就骚扰我的联系人。</t>
  </si>
  <si>
    <t>2019/10/10 11:05:35</t>
  </si>
  <si>
    <t>由于本人没看清误点了借钱，于是10000元没有在本人确认直接打入了账户，现在由于本人不需要用钱又不能及时还款，每个月产生的利息高的离谱，10000元的借款在六个月还清总共需要12000元左右，我只是一个靠自己生活过日子的普通人，这样无疑是想把我逼死造成人间悲剧。</t>
  </si>
  <si>
    <t>2019/10/10 11:05:30</t>
  </si>
  <si>
    <t>立借收取高额费用，8000元，3个月要多还3110多。</t>
  </si>
  <si>
    <t>2019/10/10 11:05:21</t>
  </si>
  <si>
    <t>不清楚的情况下被自动扣了299元，打过客服电话也不给退款。</t>
  </si>
  <si>
    <t>2019/10/10 11:05:20</t>
  </si>
  <si>
    <t>我在钱站一共借了九万元，现在已经总共还了十三万多，还是让我继续还钱，其中一个一万的我用的一个月给他们了1.4万，一个三万的用了半年没办法把车卖了管他们将近五万，同时还有个五万的已经还了22期了还了七万多了，他们无视法律害了中国几千万人毁了多少家庭，就这样投诉这么多次都无果。</t>
  </si>
  <si>
    <t>2019/10/10 11:05:00</t>
  </si>
  <si>
    <t>在我不知道情况下就私自扣款，希望能给我解释，退款。</t>
  </si>
  <si>
    <t>2019/10/10 11:04:34</t>
  </si>
  <si>
    <t>现金巴士用了两三年了，借款了几十次，前期都有一个188的砍头息，本身就是高利贷产品利息早就是本金的好几倍了，但是一直都觉得是自己主动借的也没有提出过赔偿销账之类的申请，但是这一次因为确实没钱了，逾期了四百多，催收打电话说不还款就直接走流程，什么时候还款，什么时候流程停止，现在都把爆通讯录说的这么清新脱俗么，这一次我要申请销账！。</t>
  </si>
  <si>
    <t>2019/10/10 11:04:12</t>
  </si>
  <si>
    <t>本人在拍拍贷上面借了一笔20900的钱，还了8期，还有4期无力偿还，跟其协商未果，所谓的律师事务所把伪造的律师函发的到处都是，造成本人婚姻破裂，精神抑郁症严重，跟拍拍贷说这事，推托第三方，安微中融法律服务公司不断骚扰本人。</t>
  </si>
  <si>
    <t>我们借款前合同里面没有提到如有事延误一到两个工作日还款的后果，现在他们好分期因为我在火车上不方便还款威胁我，要给我的紧急联系人打电话，我已经沟通过了晚上下火车立马还，他们不同意，中午就拿我信息上证信，预计一天除本金外多还121.68元简直高利贷一样，我承认违约一天，也愿意付违约金，但是金额124这不是高利贷吗。</t>
  </si>
  <si>
    <t>2019/10/10 11:03:54</t>
  </si>
  <si>
    <t>打电话骚扰我身边的人，对我及别人造成很严重的困扰，还发恐吓短信，暴力催收，催收人员言语相当恶劣，多次打通讯录，威胁恐吓我身边的人，造成言语上的侮辱。</t>
  </si>
  <si>
    <t>2019/10/10 11:03:49</t>
  </si>
  <si>
    <t>借款2700分9期还款，目前确实没钱还上，就频接电话，我就去看借款合同，总还款金额3413.53。</t>
  </si>
  <si>
    <t>2019/10/10 11:03:48</t>
  </si>
  <si>
    <t>1、服务极差发生事故后拨打事故救援，电话一直占线，拨打30分钟都打不通，工作人员说你服务条款之中写得很清楚，您选择用车之后，出现的爆胎都由我自己负责，跟两个朋友同时拨打，才打进去，打进去之后，客服说会有人员联系，让我保持电话畅通，一等就是半个小时都没人联系，打了电话又催了一遍，才有人联系，这是事故救援就如此拖沓，我发生的事故只是爆胎，爆胎停在路边等候也十分危险，万一是人命关天的交通事故，他们付得起责吗，2、车损严重、检修不到位众所周知，潘达用车损坏十分严重，但并无检修，同一辆车，车牌号渝AD39609，同一</t>
  </si>
  <si>
    <t>2019/10/10 11:03:37</t>
  </si>
  <si>
    <t>说是20个工作日退款，我是上个月5号退车，现在已经一个多月了，还没有给我退款，不知押金还没有退。</t>
  </si>
  <si>
    <t>2019/10/10 11:03:36</t>
  </si>
  <si>
    <t>本人由于资金跟不上，之前已跟贵公司协商每个月25号还款，每个月的还款记录贵公司应该也能看到，我不知道你们在哪里找的这种没有素质的低级外包催收公司，逾期3天罚息就50，罚息多少，本人愿意承担，就在刚才，贵公司的催收加我微信，一上来就各种威胁，打微信语音电话辱骂。</t>
  </si>
  <si>
    <t>2019/10/10 11:02:45</t>
  </si>
  <si>
    <t>网站咨询，多个销售跟进，销售语气一副质问的语气。</t>
  </si>
  <si>
    <t>2019/10/10 11:02:23</t>
  </si>
  <si>
    <t>一个朋友支付宝欠钱，天天骚扰我，使用软暴力态度极差，已经影响到我的正常工作生活，我已经录音，在这种扫黑除恶的大环境下还依然兴风作浪，希望相关部门引起重视严惩，要求对我做出道歉，要找就找当事人，停止骚扰其他人。</t>
  </si>
  <si>
    <t>2019/10/10 11:02:16</t>
  </si>
  <si>
    <t>我借了一千，分三期，每期要还五百多，就觉得不对劲去看了一下合同，合同上写着借的本金一千三百多，实际上只给我放款一千元本来，另外三百多哪去了，还有这合同里的服务费也是假的！我想钱站平台给我个说法！。</t>
  </si>
  <si>
    <t>2019/10/10 11:01:58</t>
  </si>
  <si>
    <t>威胁到这种地步，发这种信息，还让不让人活了。</t>
  </si>
  <si>
    <t>2019/10/10 11:01:37</t>
  </si>
  <si>
    <t>本人因资金困难导致卡卡贷逾期今天第三天，但是卡卡贷的催收今天一上午就给我打了6，7个电话，并且不予协商还款时间，必须要在他规定的时间还款，我想说又不是不还，那么逼人干什么，而且还一直威胁我说今天什么时间内不处理就联系家人，单位，亲朋好友，望平台管管。</t>
  </si>
  <si>
    <t>2019/10/10 11:01:30</t>
  </si>
  <si>
    <t>投诉人徐杰投诉对象玖富,蚂蚁超卡涉诉金额3700元问题类型诉求类型投诉详情八月份协商结清金额为2000多，十月份再次协商说需要还3700并列八月份至今都是按期还款，对提前结清金额无法认可，并且APP中显示我的账单已经结清，对方称服务费没有结清。</t>
  </si>
  <si>
    <t>2019/10/10 11:01:20</t>
  </si>
  <si>
    <t>投诉人 蒙先生        投诉对象  现金借款        涉诉金额  3 666 元    问题类型    诉求类型投诉详情  借款金额3000 分六期需要还3500多 前面两期就要差不多还完本金 由于是每个月10号才发工资 商议要求改为每期平均的还款额度 洋钱罐借款拒绝了 然后就是还款当天肯定钱就不够了 然后今天10号发工资了本来想还 一看居然多出来这么多管理费 说实话 这100多我买排骨它不香吗 这么黑还正规平台</t>
  </si>
  <si>
    <t>2019/10/10 11:01:12</t>
  </si>
  <si>
    <t>招联金融群发通讯录短信，进行恶意催收，爆通讯录，影响本人亲朋好友正常生活，态度恶劣。</t>
  </si>
  <si>
    <t>2019/10/10 11:00:43</t>
  </si>
  <si>
    <t>投诉人 岑先生        投诉对象  你我贷        涉诉金额  4 800 元    问题类型    诉求类型投诉详情  你我贷催收人威胁曝光个人资料和照片。</t>
  </si>
  <si>
    <t>2019/10/10 11:00:36</t>
  </si>
  <si>
    <t>是这样的，我在有个叫白条分期上可以贷款，但是还没申请就被扣了249会员费，当然这笔款我也通过聚投诉追回来了，但是这笔钱刚到我银行就被京东支付分4笔支付给了马上金融，都没经过本人的同意，我还是今天才知道的，我说钱退回来了却没看到钱。</t>
  </si>
  <si>
    <t>2019/10/10 11:00:15</t>
  </si>
  <si>
    <t>大白钱包1800砍头息500多元，人人快借2000砍头接近600元，我通过信访投诉两家公司都没有放贷资格，而且暴力催收，聚投诉帮我跟进一下，该公司砍头息的费用寓意何为，图片这里不上了，已经上给公司所在地的市场管理局和金融办，谢谢。</t>
  </si>
  <si>
    <t>2019/10/10 10:59:59</t>
  </si>
  <si>
    <t>在微品分期贷款2300元，三个月到期要还款3000多元，属于超级高利贷，要求微品分期调整利率本人只愿还款国家支持的利率，超出的一律不还。</t>
  </si>
  <si>
    <t>2019/10/10 10:59:49</t>
  </si>
  <si>
    <t>还呗显示1060多，到了公众号变成1340多，客服态度恶劣，拒绝解释，拒绝沟通，言辞激动不合情理，300元逾期一个月多收40多，严重超出国家标准，希望兴业消费金融给我个合理的解释。</t>
  </si>
  <si>
    <t>2019/10/10 10:59:37</t>
  </si>
  <si>
    <t>投诉人付先生投诉对象中程建教育涉诉金额6480元问题类型诉求类型投诉详情本人山西人，在2019年7月通过网络渠道了解到消防工程师考试，点击查询资格后中程建一个姓杨的老师打电话说我的条件可以参加消防工程师考试，不过需要通过代报名的方式报考消防工程师，随后加了我的微信，后来我了解到代报名可能会涉及违法并提出了这一疑问杨老师说这个不存在任何违法行为，并打着国家的旗号说要交2000元代报费，并保证肯定可以山西报名成功，之后我报了签约保障班，原价4980，优惠后4480，加代报费一共6480元，但报班之后才发现课程已</t>
  </si>
  <si>
    <t>2019/10/10 10:59:31</t>
  </si>
  <si>
    <t>万惠及贷ppmoney公司无视监管公然利用涉黑手段进行暴力催收，纠集涉黑人员采取恐吓威胁人身安全，诽谤诋毁个人声誉，假冒伪造公检法人员及文件等手段。</t>
  </si>
  <si>
    <t>2019/10/10 10:58:32</t>
  </si>
  <si>
    <t>本人在2月份的时候中银消费金融提前结清了700，APp上显示已经结清，也收到信息已经结清，几个月后接到催收的电话，说当时他们系统出了问题，扣不了款，导致本人逾期半年，还有收取滞纳金利息，导致本人征信逾期，一直要求中银处理我征信问题，中银拒绝处理，然后今天再次收到催收电话说我当时借的本金2000，已经还款1200，直到10月1号入账，催收要我马上还连利息11900元，还多次恐吓本人，这属于勒索行为，我已经报警，还投诉到相关部门！！！。</t>
  </si>
  <si>
    <t>2019/10/10 10:58:28</t>
  </si>
  <si>
    <t>2016年捷信金融给我打电话说我有一个现金贷33000，分期60个月，当初对捷信没有想太多，刚好那时候急用钱，就办理了，每月还款一千三百多，还了两年多，捷信给我又办理了一个分期，八千，每月还款五百多，还着还着我觉得不对，利息太高，33000分期60个月，我就要还比本金还多的利息，别说还有一个八千，捷信天天给我打电话，吓得我不敢接电话，抑郁了，我实在没有钱还了，我算了算33000我本金已经够了，还超出了，这两天又给我发邮件威胁我，恐吓我，给我吓得发抖，我怕我在抑郁，捷信利息太高，实在没有办法了，高额的利息让我</t>
  </si>
  <si>
    <t>2019/10/10 10:58:22</t>
  </si>
  <si>
    <t>10月8日开始，民生银行宁波分行的催收人员打了很多个电话，说我民生银行的信用卡有两期逾期，以前所办理的分期合同已经撤销，要我马上全额还款，总数为18万多，还要求我到宁波分行进行谈话如果不去，就到我单位和家里来，如一次性未能归还18万多的欠款，就报警，而后我打民生银行总部电话，客服明确跟我说虽然已逾期二期，但分期合同并未撤销，而且银行规定，只要在10月21日，挂完电话我回电给民生银行宁波分行催收人员，对方态度强硬，非要说合同已经撤销，还说民生银行总部的话完全没用，以宁波分行为准，还要求我到宁波分行进行谈话，如</t>
  </si>
  <si>
    <t>2019/10/10 10:58:02</t>
  </si>
  <si>
    <t>借出10000元，分六期需要偿还近11900，合同也并没有注明利率4.13是月息，按4.13月息算，年利率高达50%，要求退还国家规定的24%以外的利息。</t>
  </si>
  <si>
    <t>2019/10/10 10:57:59</t>
  </si>
  <si>
    <t>对我进行了人生安全的恐吓，各种威胁，手法如同黑社会。</t>
  </si>
  <si>
    <t>2019/10/10 10:57:49</t>
  </si>
  <si>
    <t>在去哪儿购买2019年9月15日洛阳龙门至苏州北G1976次火车，当时是抢票状态，因改为飞机出行随即取消订单，提示取消订单成功，昨天才发现9月15日早上七点半左右已经出票扣款，随即联系客服，但平台都是机器人客服，无法沟通解决，因此选择聚投诉维护自身权益。</t>
  </si>
  <si>
    <t>2019/10/10 10:57:37</t>
  </si>
  <si>
    <t>本人在豆豆钱贷款共26900元，分两次提现，第一次提现2万，未经本人同意维信金科直接划扣账户非法保费，我逾期一天还款额多收100，跟客服沟通，说是在银行扣费没成功有费用，请问一下这是不是变相收取高额罚息，8号工资没到账2008元没还，9号还款多收100，国家规定借款利率不得超过国家规定，不得强制贷款人购买多次非法保险，现要求豆豆钱合理合法安排利率，并且退还本人2次被强制购买非法保险费1798元和4次不合规收取的逾期费400元，，8号凌晨扣款，9号或者10号还钱就要多收100，这是高利贷的罚息吗。</t>
  </si>
  <si>
    <t>2019/10/10 10:57:30</t>
  </si>
  <si>
    <t>我母亲因周转在宜信借款，期间还款一直良好，近期由于国家政策调控，生意处于停滞状态，生活难以维继，在此情况下借款出现了短时间逾期，宜信公司便开始丧心病狂式地催收，对我母亲、家人、配偶、亲戚、朋友、老同事、老领导进行无下限地疯狂骚扰我母亲短短两个月瘦了十多斤，母亲已经退休，身体不好，在压力的折磨下日渐消瘦，日不能出，夜不能寐，以前每天跳广场舞锻炼身体，现在宜信对所有人都说我母亲是老赖，根本无颜出门，父亲有慢性病，常年需要打针吃药来维持生命，医药费高昂，负担极重！根本无力承担这种超高的利息，在我已与宜信工作人员友</t>
  </si>
  <si>
    <t>2019/10/10 10:57:27</t>
  </si>
  <si>
    <t>国庆前很他们协商还款金额为11500元，告知我国庆期间不能对公还款，国庆回来后告知我那个金额只保留3天，现在结清需要16500元，就一个国庆增加了我5000元的还款金额。</t>
  </si>
  <si>
    <t>2019/10/10 10:57:14</t>
  </si>
  <si>
    <t>我在平安普惠上面有借款一笔是2017年9月4日申请的一笔贷款金额为：20000元，分36期偿还，每月还936.42元，共需还33711.12元，已还25期共23410.5元，剩余的11期共10300.62元，我因2月份陷入了非法的高利贷小平台中发现是套路贷，经常收到恐吓威胁的催债电话，一开始还了快7万，无能为力才报警，警方已经立案，我还有很多大平台，现在警方要求我们分别跟大平台协商能否赔偿本金再加一点比银行高一点的利息给你们，我之前跟你们协商没同意，我现在已经还够本金并多出了3410.5元了，已经无力再还了</t>
  </si>
  <si>
    <t>2019/10/10 10:57:08</t>
  </si>
  <si>
    <t>2018年4月由于资金紧张，接触了融360借款平台，开始借了两个小借款，借款1000，到账800，1500到账1200，2000到账1600，2500到账2000，借款期只有14天，到期后资金周转不开，开始以贷养贷，截止2019年3月，315后，国家打击高利贷砍头息后，融360下架了这些小贷款平台，总共被砍头息35000元，在聚投诉上投诉了，融360客服回复说他们只是提供平台，让我撤销投诉，问题一直没有得到解决，现在深陷债务泥潭，再次投诉，请相关部门协助调查打击这些高利贷砍头息，扣除正常的利息，退回被强制砍</t>
  </si>
  <si>
    <t>2019/10/10 10:56:57</t>
  </si>
  <si>
    <t>本人于10月4号退房，但是电话咨询过去，第一次客服说等退款就行了，第二次说没有确认结算金额，已经5天过去了，我不电话询问退款进度，就没有人处理，明明管家跟我说结算好了，等退款就行了，客服也这么说，但是今天打电话过去，却是这样的情况，说还没有结算。</t>
  </si>
  <si>
    <t>2019/10/10 10:56:44</t>
  </si>
  <si>
    <t>交易失败之后就一直退款失败，我也不知道为什么，客服这边也联系不到。</t>
  </si>
  <si>
    <t>2019/10/10 10:56:34</t>
  </si>
  <si>
    <t>我在此品台贷款3000元分三期每期1030元，实际到账为2500元，最后一期由于个人原因，无法正常还款，对方开始暴力催收，各种骚扰电话，短信，诋毁个人，泄露个人隐私，打电话恐吓我，如不还款讲继续骚扰，电话号码为152******52这个平台还款没有正规渠道，需要个人去支付宝转账。</t>
  </si>
  <si>
    <t>2019/10/10 10:56:12</t>
  </si>
  <si>
    <t>本人在联通易借平台借款10000，分六期还款！每期还款1784元！因做生意亏本，资金周转困难，目前已经还款四期，本月第五期！还款时间为每月5号，因为资金周转困难，已经逾期四天！朋友已经答应今天下午6点能借钱给我还款，可是易借催收人员打电话告知一定要在11.30之前还，否则就爆通讯等等威胁还款，说话态度极端恶劣！请联通易借同意延长到10月10日18：00前还款！。</t>
  </si>
  <si>
    <t>2019/10/10 10:55:46</t>
  </si>
  <si>
    <t>本人在及贷借款35000元，分18期，已经还了8期，还剩27966.90元为还，现在想提前还款，他们收的利息高于国家百分之36的规定。</t>
  </si>
  <si>
    <t>2019/10/10 10:55:23</t>
  </si>
  <si>
    <t>借款600实际到账只有488，银行合同，28天却要还款605元。</t>
  </si>
  <si>
    <t>2019/10/10 10:55:21</t>
  </si>
  <si>
    <t>2019年9月30日16：04分，本人工行储蓄卡上被偷划扣10742.17元，办理了短信提醒但这笔钱没有短信提醒，通过app交易明细里查询，对方账户为中国银联股份有限公司广东分公司专户09，我给工行打电话，工行说银联扣款的，给银联打电话，银联电话老是繁忙接不进去，我就不明白，卡和密码都在我手里，银联凭什么就能从我工商银行卡里无声无息的扣款，最后问下银行这个“弱势群体”钱还能要回来吗，卡里的钱有保障不，还是离开柜台，概不负责。</t>
  </si>
  <si>
    <t>2019/10/10 10:55:18</t>
  </si>
  <si>
    <t>告诉我贷款6万通过，要我先交贷款金额的百分之五前期费用，钱没给我还显示要还款。</t>
  </si>
  <si>
    <t>2019/10/10 10:55:09</t>
  </si>
  <si>
    <t>我与2019年10月9日在卡牛瑞贷做了一笔借款5500元，今天在放款时，扣了我275和825两笔款项，打客服电话也无人接听。</t>
  </si>
  <si>
    <t>2019/10/10 10:55:07</t>
  </si>
  <si>
    <t>投诉人 吕女士        投诉对象  360借条        涉诉金额  3 500 元    问题类型    诉求类型投诉详情  上次投诉，360借条草草结案。并没有做出相应的解决方案。现在又使用虚假电话冒充本地电话，进行骚扰。请妥善处理。</t>
  </si>
  <si>
    <t>2019/10/10 10:55:01</t>
  </si>
  <si>
    <t>在未失去联系的情况下恐吓上门，要求协商还款！。</t>
  </si>
  <si>
    <t>2019/10/10 10:54:47</t>
  </si>
  <si>
    <t>我在随便借app上注册资料，按照提示填写银行卡账号和填写验证码后就被恶意扣款199元，我连钱都没借到就被扣款了，不知道扣的什么费用，注册时也未提示扣款明细。</t>
  </si>
  <si>
    <t>2019/10/10 10:54:43</t>
  </si>
  <si>
    <t>投诉人 郑先生        投诉对象  小花钱包        涉诉金额  7 000 元    问题类型    诉求类型投诉详情  我逾期一天多 有意愿和责任偿还 小花暴力催收发信息恐吓我 严重影响了我的正常生活和工作 希望聚投诉官方严惩小花的暴力催收行为</t>
  </si>
  <si>
    <t>2019/10/10 10:54:29</t>
  </si>
  <si>
    <t>投诉人 侬女士        投诉对象  现金巴士        涉诉金额  1 000 元    问题类型    诉求类型投诉详情  因个人资金周转不过来 在现金巴士无意逾期 后面有还款意向也没有人联系我减免逾期费用 就一直涨 打骚扰电话 非恶意逾期联系客服还态度不好 已经主动联系客服只要减免了立马就还进去</t>
  </si>
  <si>
    <t>2019/10/10 10:54:17</t>
  </si>
  <si>
    <t>宜人贷高利贷，逾期十天费用235，希望能管管。</t>
  </si>
  <si>
    <t>2019/10/10 10:54:14</t>
  </si>
  <si>
    <t>我使用交通信用卡已经四年，一直还款良好，最近经济困难出现逾期，银行雇佣第三方催收人员，态度不好，而且不给我时间借钱，对我造成严重精神伤害，我要求银行与我本人联系。</t>
  </si>
  <si>
    <t>2019/10/10 10:53:41</t>
  </si>
  <si>
    <t>在那笔欠款已还款的情况下，爱又米催款人员或许是由于投诉的缘故，对我进行恐吓，对我下达立案文书，并且拉黑我手机号，希望能处理。</t>
  </si>
  <si>
    <t>2019/10/10 10:53:38</t>
  </si>
  <si>
    <t>支付之后，客服发了截图，人就不见了，我很着急，最后，实在等不了，我要退款，不想购买了，客服出现了，结果，退款失败。</t>
  </si>
  <si>
    <t>2019/10/10 10:53:04</t>
  </si>
  <si>
    <t>投诉人薛先生投诉对象爱钱进,钱站,北京会牛科技,凡普金科集团公司涉诉金额7400元问题类型诉求类型投诉详情钱站申请借款虚假合同本人看见后第一时间联系客服，要求取消借款，他们不同意，3000元借款砍头息2400多元，严重超过国家规定的利息。</t>
  </si>
  <si>
    <t>2019/10/10 10:52:37</t>
  </si>
  <si>
    <t>平安普惠变相收费，阴阳合同，除去利息意外收取保险费，管理费，服务费，本人因工作原因资金链断裂，导致无法按时还款，暴通讯录，骚扰通讯录联系人，平安普惠客服来电沟通协商本人说明实际具体困难以后说退还保险费，最终还是没退，需要全额还款，我要求平安普惠退还不合理收费，或者司法解决这件事情。</t>
  </si>
  <si>
    <t>2019/10/10 10:51:57</t>
  </si>
  <si>
    <t>无法联系到2345即刻贷客服要求2345即刻贷联系本人协商还款。</t>
  </si>
  <si>
    <t>2019/10/10 10:51:52</t>
  </si>
  <si>
    <t>5月份在随手记因为资金问题借款了3000元，结果到账只有2500多，还款却要按照3000的本金来还款，跟客服沟通无果，选择逾期这笔费用，结果现在随手记的工作人员选择暴力催收，恐吓，说要上门怎样怎样的。</t>
  </si>
  <si>
    <t>2019/10/10 10:51:38</t>
  </si>
  <si>
    <t>到账1660，客服态度差，没有任何回应，我问客服本金多少，一直找借口不说，希望银监把这种贷款平台下架！黑心贷款！。</t>
  </si>
  <si>
    <t>2019/10/10 10:51:22</t>
  </si>
  <si>
    <t>10月9日扣款日，没有自动划扣成功，app链接也登陆不上，无法主动还款，现在app还是登陆不上，也不知道到底扣没扣，没人联系我。</t>
  </si>
  <si>
    <t>2019/10/10 10:51:12</t>
  </si>
  <si>
    <t>借款时在不知情的情况下被购买了众安保险，要求退保。</t>
  </si>
  <si>
    <t>2019/10/10 10:50:49</t>
  </si>
  <si>
    <t>投诉人白先生投诉对象顺金财富,顺金通涉诉金额20000元问题类型诉求类型投诉详情申请小额贷款后，顺金通要求我提交手续费，在被我拒绝后，借款合同依旧成立，同时有违约金，而我实际没有收到任何金额，希望能够撤销该阴阳合同。</t>
  </si>
  <si>
    <t>2019/10/10 10:50:33</t>
  </si>
  <si>
    <t>投诉人王女士投诉对象小哪吒涉诉金额2000元问题类型诉求类型投诉详情小哪吒app打不开，多次联系客服，电话不接，短信不回，恶意造成我逾期，希望客服尽快和我联系。</t>
  </si>
  <si>
    <t>2019/10/10 10:50:24</t>
  </si>
  <si>
    <t>天天打电话骚扰，我说还本金说不行，非得让我还三个月利息，要不就一直打电话骚扰。</t>
  </si>
  <si>
    <t>2019/10/10 10:50:22</t>
  </si>
  <si>
    <t>电话骚扰，胡乱发短信，发假文件，严重影响我个人生活。</t>
  </si>
  <si>
    <t>2019/10/10 10:50:18</t>
  </si>
  <si>
    <t>本人毫不知情，切未订购任何服务产品，之前并不知道宝付是什么，从银行卡中转账到宝付，个人信息收到严重威胁！。</t>
  </si>
  <si>
    <t>2019/10/10 10:49:51</t>
  </si>
  <si>
    <t>心心念念去新西兰旅游，冲着冰川和观星行程国庆报了同程的新西兰南北岛11日雪山飞机观星游，站不住脚不说还一直让你不停的举证，体验和感受极差，2和3其实就是本着既然你问我那我实事求是反馈的原则和你说并没有要求赔偿或者什么，还是在于售后的回答，说北岛和南岛的餐标都是18纽币，说大部分人住了我说的灵异房间后都表示没有什么不好，评分还挺高，都要求我给出菜色不好的照片和酒店不好的证据，三滴汗，难道我外出旅游不应该拍美好的风景和事物，而是要记录让人不开心的东西吗，，星星压根没看到还重复坐缆车上上下下，出去玩也不是一两次了</t>
  </si>
  <si>
    <t>2019/10/10 10:49:05</t>
  </si>
  <si>
    <t>在京东用白条买东西，由于欠钱太多没有及时处理导致逾期，跟京东白条这边已经说明情况，现在直接找第三方直接上门催收，。</t>
  </si>
  <si>
    <t>2019/10/10 10:48:59</t>
  </si>
  <si>
    <t>投诉人花先生投诉对象捷信金融涉诉金额0元问题类型诉求类型投诉详情打骚扰电话基本上一天一个能不能别打了</t>
  </si>
  <si>
    <t>2019/10/10 10:48:29</t>
  </si>
  <si>
    <t>有通话录音，上传不了，说了现在无能力，有钱一定还，还是威胁爆通讯了。</t>
  </si>
  <si>
    <t>2019/10/10 10:48:15</t>
  </si>
  <si>
    <t>投诉人李先生投诉对象华夏银行信用卡涉诉金额25000元问题类型诉求类型投诉详情华夏银行信用卡法律事务部早上给我以前单位和本人打骚扰电话，私自调查我的隐私，谎报金额，说是让我不得安宁，还在电话中说有本事就不要还钱等等之类的。</t>
  </si>
  <si>
    <t>2019/10/10 10:48:05</t>
  </si>
  <si>
    <t>在9月30号接到乘客并驶往目的地，乘客要求去他地接朋友由于多彩平台不能报备也没有变更目的地功能，又由于当时正在行车致电客服报备怕影视行驶安全，导致最后结束订单忘记报备，客服以订单金额不正常为由拒绝本单车费610元的提现。</t>
  </si>
  <si>
    <t>2019/10/10 10:47:23</t>
  </si>
  <si>
    <t>投诉人孙女士投诉对象快手电商涉诉金额9元问题类型诉求类型投诉详情快手电商广州表哥在直播间说付9.9运费送价值800元的平衡车，结果发来一块皂太能欺骗人了。</t>
  </si>
  <si>
    <t>2019/10/10 10:47:06</t>
  </si>
  <si>
    <t>我本人微粒贷有逾期，之前也协商还了好一部分钱，但微粒贷催收经常严重骚扰我及我家人，导致我工作丢失，这二天又开始严重骚扰我爱人单位及同事，一小时能打10个电话给我爱人单位很多同事，导致我爱人无法工作，失业。</t>
  </si>
  <si>
    <t>2019/10/10 10:46:31</t>
  </si>
  <si>
    <t>优信二手车公司承诺3天无理由退车，提车未超过48小时，变速箱故障，抛锚在路上，优信客服，不予以处理。</t>
  </si>
  <si>
    <t>2019/10/10 10:45:55</t>
  </si>
  <si>
    <t>易宝支付公司未审核合作商家，与变相收取砍头息高利贷的公司合作，为其提供支付渠道，在多笔交易中存在违规行为，超级马力贷借款平台以购买会员卡，变相收取砍头息，在购买会员后才可放款，偷换概念以规避监管部门的监管与处罚，本人将实名制举报畅捷通支付公司，以书面材料形式递交至央行北京总部。</t>
  </si>
  <si>
    <t>2019/10/10 10:45:46</t>
  </si>
  <si>
    <t>指上旅行复借第二次，借款到账3000元，但立码被扣900元，实际仅仅到账2100元，分期为1个月，10天一期，每期1030元，现在还了一期实在还不动了。</t>
  </si>
  <si>
    <t>2019/10/10 10:45:42</t>
  </si>
  <si>
    <t>要求解除质保金，既然要求我正常还款，为什么还要收我%15得质保金，不解除质保金，本人可以不还款，你们公司既然收取保险金，那就找保险公司去收款吧，两天了都没有处理好这个问题，造成逾期，好收费是吧，强烈谴责这种高利贷公司！。</t>
  </si>
  <si>
    <t>2019/10/10 10:45:05</t>
  </si>
  <si>
    <t>投诉人 胡先生        投诉对象  北京百度网讯科技有限公司,百度教育        涉诉金额  29 元    问题类型    诉求类型投诉详情  我没有与之交易也扣款，且绑定无法解除。简直是霸王条款。一单一扣公平交易才对。且服务相当差里面根本没有我们想要内容。</t>
  </si>
  <si>
    <t>2019/10/10 10:45:02</t>
  </si>
  <si>
    <t>9月20日0点拍下他家电视，过了大约半小时跟客服留言说先不发货，页面没有任何这方面提示扣运费，他们售后居然是天猫官方客服，官匪一家。</t>
  </si>
  <si>
    <t>2019/10/10 10:44:56</t>
  </si>
  <si>
    <t>本人在佰仟金融旗下的买买乐购贷款4100元，分12期，每期还498.1元，已还两期，感觉已经超出国家规定的年利率，其中每期要还本息外，还多出两项费用，客户服务费32.8元，渠道服务费53.32元，现在要求平台取消掉客户服务费渠道服务费，收取合理的本息，做个正规的平台，之前联系过客服说不可以取消，这不是属于变相的高利收费吗。</t>
  </si>
  <si>
    <t>2019/10/10 10:43:49</t>
  </si>
  <si>
    <t>微粒贷暴力催收，各种恐吓，还要骚扰身边人，各种沟通未果，因为资金问题，一时还不上，协调给三天时间处理不肯，还非要一小时之内还上，不还就各种威胁恐吓，还了大半数，只剩几千，又不是一直不还钱那种，还要各种搞事情恐吓。</t>
  </si>
  <si>
    <t>本人信用卡逾期，在8月份已已按照光大银行信用卡官方客服打来的电话95595的要求进行还了款，10月9日下午16：10接到一个085185958156的电话，说是光大银行的的委托方，说是本人信用卡逾期问题未处理，于是本人就打光大银行官方电话进行核实此事，要求本人全额还款，客服却推诿不处理，却给了一个电话085186821302叫本人联系光大银行信用卡用中心当地的工作人员，本人叫打了两次，电话都无法接通，被设置了呼叫留言，今天早上又接到了085185958156的电话，本人问其对方提供工号、姓名、公司名称去拒绝</t>
  </si>
  <si>
    <t>2019/10/10 10:43:15</t>
  </si>
  <si>
    <t>在自由魔卡提供的渠道六便士借款2000，期限为30天，却需要先支付540的会员购卡费，相当于变相砍头息，10月11日到还款期限，本人有意愿协商还款，希望聚投诉帮我联系六便士客服，尽快联系我协商还款。</t>
  </si>
  <si>
    <t>2019/10/10 10:42:57</t>
  </si>
  <si>
    <t>投诉人牛立为投诉对象现金借款涉诉金额2000元问题类型诉求类型投诉详情融360现金借款逾期一年一直联系不到客服要求联系本人。</t>
  </si>
  <si>
    <t>2019/10/10 10:42:42</t>
  </si>
  <si>
    <t>本金6338.87元，协商还本金，他们不同意，让还15000多，让我先换一部分，我不同意，我要求一次性还清本金。</t>
  </si>
  <si>
    <t>2019/10/10 10:42:10</t>
  </si>
  <si>
    <t>今年5月份接到一个自称来自凡普信贷的客服经理的引导下，在凡普信贷贷了4万块钱，另收17000元的服务费，合同贷款金额5.7万，实际到账4万，每月还款3176.07元，期限两年，综合年利率高达45.3%，利息实在太高，无力承担，致电客服要求按照国家规定36%调整利率无果，无法维权，请求协助按照国家规定调整利率，万分感谢。</t>
  </si>
  <si>
    <t>2019/10/10 10:42:05</t>
  </si>
  <si>
    <t>我申请的etc.不给我发货，然后申请取消，也说给我取消了，可是我去银行办理，说办不了，还有未取消的订单。</t>
  </si>
  <si>
    <t>2019/10/10 10:41:06</t>
  </si>
  <si>
    <t>租借是提示每天最多收费15元，实际收费24元，租凭页面无提示订单不能叠加，打客服电话才说，存在误导消费。</t>
  </si>
  <si>
    <t>2019/10/10 10:41:02</t>
  </si>
  <si>
    <t>涉诉金额500元问题类型诉求类型投诉详情我是借款人朋友，快贷天天电话骚扰，让我转告朋友还钱，两周前让我转告说还300多，今天打电话让我转告说1000多，还说本金300多，1000多是逾期费，这不是黑社会吗，还说让我帮忙还，我实在受不了了，说话口气牛逼，而且不给人说话的余地，你问她问题她自己都不清楚，就是恐吓威胁！。</t>
  </si>
  <si>
    <t>2019/10/10 10:40:55</t>
  </si>
  <si>
    <t>投诉人梁轶投诉对象通联支付涉诉金额296元问题类型诉求类型投诉详情被无故扣款296元不知情况，要求退还296元。</t>
  </si>
  <si>
    <t>2019/10/10 10:40:49</t>
  </si>
  <si>
    <t>本人在东莞，而贵方派人去我家乡，上门催收造成两位老人受到刺激，母亲本精神不好，她要卖掉她住房为儿子还债，，本人是一名公司法人，为国家纳税上百万，在经营中受到挫折，本人不愿意拖累亲朋好友，通过努力，本人事业现也开始有起色，——现亲朋好友都要借钱给我还帐，本人自尊心非常强，。</t>
  </si>
  <si>
    <t>2019/10/10 10:40:38</t>
  </si>
  <si>
    <t>投诉人 陈女士        投诉对象  分期乐        涉诉金额  15 000 元    问题类型    诉求类型投诉详情  正规公司，还说上门追债，每天发信息来恐吓</t>
  </si>
  <si>
    <t>2019/10/10 10:40:31</t>
  </si>
  <si>
    <t>居然天天给我带有恐吓性质的催收，什么叫提前通知家人朋友，变相的高利息，还那么牛哄哄，没得减免就没得商量。</t>
  </si>
  <si>
    <t>2019/10/10 10:40:16</t>
  </si>
  <si>
    <t>投诉人牛先生投诉对象东莞市轻奢维体健身有限公司,东莞市轻奢维涉诉金额1000元问题类型诉求类型投诉详情东莞市轻奢维体健身房第二次无缘无故关门，老板跑路。</t>
  </si>
  <si>
    <t>2019/10/10 10:39:44</t>
  </si>
  <si>
    <t>由于本人近段时间经济紧张，暂时没有还款，经与贵司方协商沟通延迟几天还款，贵司不同意协商！随意爆通讯录！威胁，恐吓！请贵司友好协商！立即停止恐吓，威胁！。</t>
  </si>
  <si>
    <t>2019/10/10 10:38:56</t>
  </si>
  <si>
    <t>本人于2019年8月20号和21号分别在贷上钱借款2笔，一笔为2000元人民币期限为30天还款2560元包含强制购买虚拟产品500元，第二笔借款本金2500元到账2500元期限30天还款3080元包含虚拟产品500元，逾期第一天和客服，催收部协商还款没有得到解决，然后就最近联系我的家人及亲戚朋友，事情已经到了这一步只能协商分期还款和借款本金和国家保护的利息，催收部的还强行叫我签网络仲裁协议，至于那些虚拟的游戏豆豆在APP，按照你们说是第三方收取的，请告诉我第三方公司名称和收费合同在哪里，我已经叫那些被你们骚</t>
  </si>
  <si>
    <t>2019/10/10 10:38:41</t>
  </si>
  <si>
    <t>在贷上钱借了俩笔欠款，一共合计4000，第一笔借款金额2000，到手1500，还款2700.第二笔借款4000，到手3000，分三期每期1747，由于资金不够，逾期后他们公司开始暴力催收现在已经开始短信群发骚扰家人朋友！我个人借款，私自爆我通讯录。</t>
  </si>
  <si>
    <t>2019/10/10 10:37:47</t>
  </si>
  <si>
    <t>以支付宝，淘宝号未实名为借口，不给钱，都是实名的，以前一直用的这个号，而且不止这一单，我还有好多单。</t>
  </si>
  <si>
    <t>2019/10/10 10:37:41</t>
  </si>
  <si>
    <t>非法催收，无法协商，欠款逾期已告知还款日期并可以承担逾期费用，平台还是电话骚扰家人朋友，说话态度恶劣，严重影响了我的工作以及生活，并电话里撒谎说当时预留朋友手机号码，以达到催收目的，打来电话不听本人说话诉求，严重违法违规，求整治。</t>
  </si>
  <si>
    <t>2019/10/10 10:37:38</t>
  </si>
  <si>
    <t>逾期一天客服打电话说不还款的话就联系我电话联系人，给我心里造成了不安，焦虑，黑恶势力的样子，看的到第三方电话。</t>
  </si>
  <si>
    <t>2019/10/10 10:37:33</t>
  </si>
  <si>
    <t>7月15日，本人通过贷上钱借款审核，贷上钱下款4000元，当天放款于本人中行卡，借款周期三期，每期一个月，每月还款1680.79元，共计还款5042.36元，其中三个月利息高达1042.36元，远远超过国家法定利息上限，其中app上显示的购物金额800元，本人从未在贷上钱有过任何购物行为，贷上钱也从未有过任何商品服务，此行为为高利息巧立名目，800元实属贷上钱收取的高利，本人已经还完了前两期每期1680.79元共计3361.58元，希望贷上钱官方与我取得联系并且协商还款，协商还剩余的本金以及符合国家法律规定</t>
  </si>
  <si>
    <t>2019/10/10 10:37:30</t>
  </si>
  <si>
    <t>投诉人 孙先生        投诉对象  我来贷        涉诉金额  10 000 元    问题类型    诉求类型投诉详情  还了7期 剩余本金6266多 合着我大半年才还了3800？现在恐吓家人</t>
  </si>
  <si>
    <t>2019/10/10 10:37:23</t>
  </si>
  <si>
    <t>投诉人 牛立为        投诉对象  钱师爷        涉诉金额  1 000 元    问题类型    诉求类型投诉详情  钱师爷逾期一年了一直联系不到客服无法还款</t>
  </si>
  <si>
    <t>2019/10/10 10:37:14</t>
  </si>
  <si>
    <t>9月29号我用菜鸟裹裹寄件，退的衣服裤子和鞋子，昨天卖家说收到货，但是就收到了卫衣，裤子和衣服没有收到，后面已问过客服，我把那些东西给他了没有给我答复，也打过电话给当时的快递员，但是一直不接我电话，要求给我回复到底什么情况，我退的东西去哪儿了，给个解释并继续完成发货！。</t>
  </si>
  <si>
    <t>2019/10/10 10:37:05</t>
  </si>
  <si>
    <t>滴滴公司派单不公平，快车司机接不到单，单子都给优享了，现在快车司机别说赚钱了，生存都是问题了，希望滴滴公司能合理解决问题！关注一下快车司机的难处！一个月下来连保险钱和彻底都不够！。</t>
  </si>
  <si>
    <t>2019/10/10 10:36:47</t>
  </si>
  <si>
    <t>请贵公司与我取得联系协商还款，协商好了，给我把那960黑卡一减，上次的我也就不说了！今日还款。</t>
  </si>
  <si>
    <t>2019/10/10 10:36:39</t>
  </si>
  <si>
    <t>好期贷天天打电话威胁我家人，骚扰我家人正常的生活，我父亲住院治疗期间，他们也不放过，我家人要是出现一点意外，我死也不会放过他们。</t>
  </si>
  <si>
    <t>2019/10/10 10:36:36</t>
  </si>
  <si>
    <t>微众银行微粒贷爆通讯录，此前已打电话到公司骚扰，说本人电话打不通，今天上午打电话给单位以及领导，也说打电话给我找不到本人！我本人电话一直正常使用，怎么就电话找不到本人，我也并没有接到你们任何来电，爆通讯录能不能找个好点的理由，我都没有存过我领导电话你们竟然能找到！这是第二次骚扰到单位了！请微众银行解释！是想通过骚扰单位及领导恐吓威胁本人还款是吗，刚打完电话就有催收的上门，这是第二次上门了！不是不还你们，你们走法律程序我没有意见，但是在没有联系本人情况下骚扰单位及领导就太过分了！。</t>
  </si>
  <si>
    <t>2019/10/10 10:36:28</t>
  </si>
  <si>
    <t>2019.10.9号我在交易猫买个号，犹豫卖家原因交易失败，资金显示：退款失败。</t>
  </si>
  <si>
    <t>2019/10/10 10:36:20</t>
  </si>
  <si>
    <t>在交易猫APP购买账号后，交易猫平台客服长时间未能联系到卖家，所以后来取消订单。</t>
  </si>
  <si>
    <t>2019/10/10 10:36:03</t>
  </si>
  <si>
    <t>借款10000，分12期每期还款1126.16元，服务费80元，总还款13593.92元，逾期一天以后，发送威胁短信，暴力催收，客服对我进行短信轰炸，短信验证码80多条，并在微信上发送威胁消息，上报在线客服两遍，要求微信客服道歉，电话客服不处理！！！今日上午客服致电不承认，有短信轰炸的事情。</t>
  </si>
  <si>
    <t>2019/10/10 10:35:57</t>
  </si>
  <si>
    <t>因为手机卡有问题，去移动营业厅换卡，告知我换卡业务免费，告知电话号码存在手机号上的没有，问移动公司说的这个不是强制办理，让移动公司取消，说取消不了必须好几个月后才能去取消。</t>
  </si>
  <si>
    <t>2019/10/10 10:35:44</t>
  </si>
  <si>
    <t>时光分期借款还有五天到期，他们的催收半夜十二点打电话给我，进行骚扰！登陆app还无法主动还款，那给我那么早打电话干啥。</t>
  </si>
  <si>
    <t>2019/10/10 10:35:37</t>
  </si>
  <si>
    <t>本人九月份在立借平台借款5000元，10月，8号为第一期还款日，晚上在平台点了还款，平台没扣钱造成逾期，逾期费用50，昨天一直联系他们客服，客服说找专人联系我，截止现在没有一个人联系，而且今天还接单催收电话，昨晚分两次各扣一千元，今天去平台还要还两千四百多。</t>
  </si>
  <si>
    <t>2019/10/10 10:35:25</t>
  </si>
  <si>
    <t>在说小二误判之前，整个事件来龙去脉必须说一下：1，卖家欺骗我，2，卖家出尔反尔，明明同意我运费到付，而且我替他考虑，选了便宜的德邦快递，他却在我寄出后，拒绝退款！3，东西签收了还想要再拿掉我的440元钱！首先卖家欺骗买家，明确表示锯条全新的，没用过，收到之后锯条明显使用痕迹，这是我退货的原因，也是问题的根源所在，虽然他说仅仅试用，但是锯条磨损特别严重，根本不是没有使用的状态，涉嫌欺骗，！于是我发起仅退款，有好几天时间供卖家来叫快递，因为牵扯到运费价钱问题，我不想掺和，并且和卖家说让他自己喊快递拿走，这样发件</t>
  </si>
  <si>
    <t>2019/10/10 10:35:16</t>
  </si>
  <si>
    <t>受诱导充值网站购买彩票，后发现为境外赌博网站，主要通过航天电子第三方支付造成损失18万左右。</t>
  </si>
  <si>
    <t>2019/10/10 10:35:08</t>
  </si>
  <si>
    <t>桔子分期催收人员在电话里辱骂~威胁要来家里讨账~给客服打电话沟通以后~让我把录音发给他们，他们有专人处理~可是录音发给他们以后他们不但没处理还说我电话打不通根本就没收到客服处理此事件的电话！十一长假过后有一个催收人员打电话来继续催收~态度非常恶劣！而且不承认有电话辱骂和威胁这件事了！请桔子分期的工作人员认真对待这件事！。</t>
  </si>
  <si>
    <t>2019/10/10 10:34:50</t>
  </si>
  <si>
    <t>本人实际借款到账只有4000元，分三期还款，确让一共还款5463.24，真不知道都怎么来的。</t>
  </si>
  <si>
    <t>2019/10/10 10:34:48</t>
  </si>
  <si>
    <t>我已经还了2期，加起来1800多，我只借了2000，现在他要求我还完这一期1754多，再销账，但是这样21天利息就高达1588以上，我最多接受本金加一百利息结清。</t>
  </si>
  <si>
    <t>2019/10/10 10:34:47</t>
  </si>
  <si>
    <t>已经跟活力花回访经理协商好，无缘无故爆我通讯录，请给个合理的回答。</t>
  </si>
  <si>
    <t>2019/10/10 10:34:23</t>
  </si>
  <si>
    <t>9月26日，由于情况特殊逾期一天就得300，，我及时跟官方沟通反应了我的情况，客户备注反馈领导，说有专员回电给解决退回逾期费，但是过去好多天没反应，于是又多次反应，官方的回复是已经加急处理，专员会联系我，就这样等到还第二笔的时候没见到专员给我解决，也就是说逾期反馈的问题不正视处理，就得理所当然支付逾期费，，一个忽悠解决问题的方式让借款人逾期支付没有人性的催收费，我来贷不择手段窃取联系人资料轮番的骚扰，全国各地的网络诈片骚扰电话纷纷而来，杀人不过头点地，欠债还钱天经地义，但是你们的违法手段摧残借款人不相干的人</t>
  </si>
  <si>
    <t>2019/10/10 10:34:15</t>
  </si>
  <si>
    <t>，说要10点半之前一定要处理，我说在忙，下午会处理，然后一直不挺我讲话，还威胁说后果一切自负，有录音为证。</t>
  </si>
  <si>
    <t>2019/10/10 10:32:44</t>
  </si>
  <si>
    <t>蟹老弟工作人员联系本人只愿意退还900元砍头息，本人十分不满但也不得不暂时接受，如不接受可能900也退不了，毕竟没投诉之前他们客服态度强硬一分不退，让我自己心里清楚，本人借款约12000元实际到账只有8500元左右。</t>
  </si>
  <si>
    <t>2019/10/10 10:32:34</t>
  </si>
  <si>
    <t>投诉人 张先生        投诉对象  我来贷        涉诉金额  12 890 元    问题类型    诉求类型投诉详情  变相收取高额催收费用。骚扰。威胁。恐吓！</t>
  </si>
  <si>
    <t>2019/10/10 10:32:19</t>
  </si>
  <si>
    <t>我在10.2号转转平台上买了一台二手外星人笔记本，是他们自营的，然后收到了，发现螺丝有拆卸痕迹，第一时间联系客服，然后客服回复说正常，因为要检查电池什么的，说让我用用看看有没有问题，7天内无理由退货，退回去的运费也能给我承担，然后我就信了，用了2天我感觉太卡，就申请退货了，谁知道寄回去的第三天，他们打电话说不能退，我当时就蒙了，说少了防伪码，少俩螺丝，我收到就没有防伪码，而且客服图片给我看了，那个少螺丝的地方根本就是2黑洞，根本看不出那俩洞是装螺丝的，我收到以为那里正常的，现在客服也不给解决，我只想讨回公道</t>
  </si>
  <si>
    <t>问题：1、充值到易到用车的资金无法叫车，该平台已没有可用车辆提供，无法享受服务，2、2019.8.28日使用该平台叫车后，结算资金并未使用账户余额，易到要求使用现金结算，属于欺诈，且通过在线投诉，承诺7工作日回复处理至今没有回复。</t>
  </si>
  <si>
    <t>2019/10/10 10:32:12</t>
  </si>
  <si>
    <t>捷信催收人员伪装银行人员给家人朋友打电话骚扰，而且未经允许查通话详单，骚扰未曾留个号码的联系人，导致生活受到严重影响。</t>
  </si>
  <si>
    <t>2019/10/10 10:31:35</t>
  </si>
  <si>
    <t>基本都是催收在联系本人，你我贷官方基本没有联系，就算联系了也未给出过正面的回应与解决方式，客服回应'就您之前提供的录音等信息贷后部门已核实工作人员无违规，致电联系人，联系人也不配合，并且不仅是爆了通讯录，还连通讯录上能爆的微信都在爆了，凌晨给与此事无关的人连续打了13个电话，将本人的借款与欠款情况肆意传播，根据国家相关规定不得爆催人的通讯录，催收时间在早八点到晚9点之间，每日催收电话不得超过3个，并且债权人也无权向他人透露借款人的借款信息，与个人信息，本人在你我贷平台借款10800，分12期归还完已归还10</t>
  </si>
  <si>
    <t>2019/10/10 10:31:04</t>
  </si>
  <si>
    <t>安徽中融法律服务有限公司未经本人允许私自群发所谓的律师函至本人通讯录所有联系人，请立即停止相关操作并作出明确道歉，你已侵犯本人合法权益，并且伪造合同，属于违法。</t>
  </si>
  <si>
    <t>2019/10/10 10:30:55</t>
  </si>
  <si>
    <t>希望协商还款800元销账手机不方便接听请加微信。</t>
  </si>
  <si>
    <t>2019/10/10 10:30:52</t>
  </si>
  <si>
    <t>本人于5月24在手机上下载了一个花呗宝借钱APP，我填写了一下基本信息，当时借钱没成功也没收到任何信息后我就把平台卸载了，可是在第二天早上起来发现手机收到扣款信息扣款299元，本人要求退款。</t>
  </si>
  <si>
    <t>2019/10/10 10:30:33</t>
  </si>
  <si>
    <t>投诉平安普惠公司不当催收，到处加我朋友微信，0755的电话一天十几个，因本人事出有因，造成了逾期，现要求停止骚扰，对于到处加我朋友微信的行为，要求平安普惠一个个的道歉，我这边尽快想办法还款。</t>
  </si>
  <si>
    <t>2019/10/10 10:30:09</t>
  </si>
  <si>
    <t>退款已经有将近一年了，到现在排队还有700多万，这要到猴年马月才能退款，客服电话是摆设，根本打不通的，我希望小黄车尽快处理退款，都不是有钱人，之前交押金也是信任，现在马路上小黄车一辆都少看到，拿了我们的钱，我们没有享受到权益，请尽快处理。</t>
  </si>
  <si>
    <t>2019/10/10 10:29:44</t>
  </si>
  <si>
    <t>服务费用太高，150个字，那么多字是要写小学作文吗，只要能把问题说清楚不就行了，字数限制是想让投诉量变少吗，万分感谢！！！！！！！！！！！！！！！！！！！！！！！。</t>
  </si>
  <si>
    <t>2019/10/10 10:29:25</t>
  </si>
  <si>
    <t>12月18日，交现金贰万元，实际未发生业务，平台从未使用，顺路直递电话直接打不通，后来通过别的渠道联系上顺路直递，一直在推脱。</t>
  </si>
  <si>
    <t>2019/10/10 10:29:07</t>
  </si>
  <si>
    <t>投诉人 解先生        投诉对象  分期乐        涉诉金额  4 000 元    问题类型    诉求类型投诉详情  分期乐催收人员暴力催收，恶意骚扰我联系人</t>
  </si>
  <si>
    <t>2019/10/10 10:29:00</t>
  </si>
  <si>
    <t>今年上半年遭遇一起网络诈骗导致信用卡逾期，自身生活也十分困难，该催收人员说出你想跳就跳吧这样的话，交通银行多次跟我致电催收，起初我也明确告知原因并愿意提受案回执，不知道是我碰巧没有接到交通银行协商部门的电话，还是因为其他原因，给我回电的都是催收部门，我明确告知我遭遇诈骗，身无分文，并愿意接受分期，但是需要等到下月10号左右工资到账，并在挂掉电话后给我的家属和户口所在村委会打电话，甚至在我表示绝望“跳楼”的想法后，该催收人员说出“你想跳就跳吧”这样的话。</t>
  </si>
  <si>
    <t>2019/10/10 10:28:28</t>
  </si>
  <si>
    <t>投诉人 于先生        投诉对象  现金巴士        涉诉金额  1 000 元    问题类型    诉求类型投诉详情  现金巴士高额砍头息，逾期利息过高。客服不能协商。要求该公司停止催收，取消逾期利息。停止催收。</t>
  </si>
  <si>
    <t>2019/10/10 10:27:30</t>
  </si>
  <si>
    <t>小赢钱包现在改为小赢摇钱花，十一期间逾期催收打来电话，要求这要求那不听说话把自己想说的说完还言语威胁恐吓，之后一些不当语言涉及到家人触及本人底线，现在一直拖着没处理，不是不处理逾期是想得到一个解释道歉，你们工作人员有什么资格说一些没用的话，有问题协商解决问题态度恶劣，高高在上，现在需要贵公司给予解释不可能被威胁恐吓以后我就把钱还了。</t>
  </si>
  <si>
    <t>2019/10/10 10:27:11</t>
  </si>
  <si>
    <t>结果以荐职小秘书服务购买为由又多收取600元。</t>
  </si>
  <si>
    <t>2019/10/10 10:26:17</t>
  </si>
  <si>
    <t>9月初接到一个上海移动号码的频繁骚扰，不分时间段的打我电话，每天起码几十个电话，在移动客服投诉多次，客服每次反馈的就是已经记录并上报，后续将继续监控，如果情况属实会做出相应措施，从9月份到10月份已经1个月过去，我每天都会被骚扰并且不管白天黑夜，根据国家工信部的规定，这就是恶意骚扰电话，运营商因该立即暂停该号码使用，移动公司不作为。</t>
  </si>
  <si>
    <t>2019/10/10 10:25:39</t>
  </si>
  <si>
    <t>投诉人 朱先生        投诉对象  你我贷        涉诉金额  0 元    问题类型    诉求类型投诉详情  已经有警官联系我了 这个事情他需要找我搜集资料 找我采访 记着我也联系好了 破罐子破摔了 所有的平台我都搞过 这次我就交给银监会还有聚投诉和警察处理 没想到你们还是继续的骚扰通讯录 如果觉得有用的话你们可以继续 没关系的</t>
  </si>
  <si>
    <t>2019/10/10 10:25:32</t>
  </si>
  <si>
    <t>10月8日在临沧机场悦程出行相关工作人员把我拦下来，宣传他们的卡说买机票优惠并且候机时可以免费享受贵宾厅等，结果交了1880，工作人员全程跟我宣传预存的钱以后买机票可以直接抵扣票款的，之后便安检候机了，然后在网上查看这个卡片信息发现多人对这个事情进行投诉才发现预存的费用只能抵扣机建费，我出了安检口找工作人员再次确认，他再三承诺是可以抵扣机票费用的，由于忙着登机就走了，第二天收到官方发来的信息，明确表明充值在卡里的钱只能抵扣机建费，跟当时的销售人员的说法完全不一致，跟销售人员微信沟通，询问退款事宜，结果回答需</t>
  </si>
  <si>
    <t>2019/10/10 10:25:14</t>
  </si>
  <si>
    <t>工商银行信用卡外包催收四川迪扬律师事务所在未通知本人的情况下打电话给我父亲，诽谤恐吓老人家，而且所用电话为网络电话，成都，长沙，邯郸各个地方的号码都有，而且打不通，多数电话为下班时间，晚上休息时间打来的不符合国家规定，今天凌晨本人已还清最低欠款，还在给我和我父亲打电话骚扰，我不知道工行的系统为什么不同步更新到催收，我还了钱还要被恐吓威胁！工行为何给催收如此大的权利，我欠的到底是工行的钱还是催收人员的。</t>
  </si>
  <si>
    <t>2019/10/10 10:25:09</t>
  </si>
  <si>
    <t>维信金科，强制借款人购买人身意外险，一千一百块的还款，逾期一天收100扣款失败违约金，无耻至极。</t>
  </si>
  <si>
    <t>2019/10/10 10:25:06</t>
  </si>
  <si>
    <t>本人在重庆九龙坡区杨家坪谢家湾华润大厦1801友信普惠公司用微粒贷额度秒贷了190000到手金额是181000，中间人还抽取了5%，每个月还8692.68，还了6期，还了51000多，结果本金才还27000多，而利息服务费占了还款金额的一般，分的36期，算下来总共要还360000多，没有到还款期就不停打电话，由于资金断链，他们又推荐一家恒昌公司贷，一袋还贷，现在还不起，又见我们花呗，借呗，微粒贷借，这样的公司为什么还冠冕堂黄的说是合法合规的！请贵平台给我们最好的答复，不需要统一的，一直的回复，谢谢。</t>
  </si>
  <si>
    <t>2019/10/10 10:24:54</t>
  </si>
  <si>
    <t>投诉人苏女士投诉对象东莞市轻奢维体健身有限公司,东莞市轻奢维涉诉金额1200元问题类型诉求类型投诉详情本人续费了一年的会员1200元，新卡未开始使用，被通知该健身房倒闭，该健身房以会继续营业为由拒不退款，但是现在该健身房已停止营业。</t>
  </si>
  <si>
    <t>2019/10/10 10:24:24</t>
  </si>
  <si>
    <t>小当家原小带鱼，我从一年前就开始用，从7天到14天.今年改为三期，自从我借款第一笔，生活质量就改变了，给小当家一起还了利息上万元，我也不要求很高，现在还有个3000的借款，最后一期，要求消账，不然我想尽一切办法去法院，网上投诉来维权。</t>
  </si>
  <si>
    <t>2019/10/10 10:23:52</t>
  </si>
  <si>
    <t>东莞市莞城街道兴塘社区旗峰路200号万科中心2号办公楼1301、1302室，一直没有开通卡，6月装修了一个月，8月开通卡后用了几次，在8月20日晚上就因为欠房租水电费被关电，一直直到8月29日才恢复营业，现于9月19日晚上突然再次关门停止营业，此前无通知无告知我们会员是什么情况，现无法联系到老板，电话号码：137******74这完全就是在欺骗消费者。</t>
  </si>
  <si>
    <t>2019/10/10 10:23:49</t>
  </si>
  <si>
    <t>我在聚福钱包上没经过验证就被扣了299，联系他们客服，他们各种应酬，不给退款，我要求他们退款，并赔偿。</t>
  </si>
  <si>
    <t>2019/10/10 10:23:35</t>
  </si>
  <si>
    <t>百世汇通本人无收到快递，快递也无放置在自提柜，百世没有派送，本人没有说要弃件，却以弃件虚假签收！至今已将近1个月，仍旧没人派送，也没人联系投诉到百世总部，客服联系后不以订单赔偿，反而一直称实际物品不值399拒绝赔偿，且没有下文！1百世汇通丢件2欺诈消费者，以用户弃件虚假签收3千方百计不按实际赔偿百世违反合同法，邮政法，消保法，依法处置！。</t>
  </si>
  <si>
    <t>2019/10/10 10:23:17</t>
  </si>
  <si>
    <t>现金巴士非法获取通讯录信息，暴力催收，辱骂我以及通讯录好友，材料我已经搜集好并准备提交给媒体，我会让你们付出代价的。</t>
  </si>
  <si>
    <t>2019/10/10 10:23:10</t>
  </si>
  <si>
    <t>而且现在下载回来app内也找不到自己所绑定的银行卡。</t>
  </si>
  <si>
    <t>2019/10/10 10:22:51</t>
  </si>
  <si>
    <t>本人因生意原因，导致欠款暂时还不上，但已经在努力赚钱还款，但苏宁第三方经常都是上班时间打电话过来一通辱骂，导致本人无法正常上班赚钱，我知道我欠款要还的，但请给我点时间，不要老骚扰家人，朋友，谢谢！。</t>
  </si>
  <si>
    <t>2019/10/10 10:22:43</t>
  </si>
  <si>
    <t>你我贷一直打电话骚扰我和我朋友，说我工作有什么用还不上钱，侮辱我，每次打电话不停的喊，我现在工作被他们弄丢了，一天几十个电话都在工作期间，还告诉我等着，要来家里找我，恐吓我的朋友，现在我无法工作生活了，求求你们帮帮我！。</t>
  </si>
  <si>
    <t>2019/10/10 10:22:31</t>
  </si>
  <si>
    <t>360借条，骚扰我家人，恐吓我母亲，我母亲身体有病，被他们吓的已经躺床上好几天了，又一直骚扰我妹妹，我一直都在接听你们的电话，还款意愿已经和你们表达清楚，希望你们尽快处理这件事，让我们过正常人的生活。</t>
  </si>
  <si>
    <t>2019/10/10 10:22:21</t>
  </si>
  <si>
    <t>本人在喜鹊快贷平台贷款一万四，已经还了11个月，本金为9112.5，，利息为1273.66，现在我想提前结清，居然还要我还11213.26，这坑人的平台！！利息惊人！国家怎么还让这种平台存活！。</t>
  </si>
  <si>
    <t>2019/10/10 10:22:07</t>
  </si>
  <si>
    <t>由于本人最近亲戚住院，资金出现周转问题，现恳求闪银能给我一个延期的机会，本人有很强烈的还款意识，无奈实在周转不开，今天已经开始逾期了，望尽快回复，尽快联系我解决，也请求催收人员不要拨打紧急联系人电话。</t>
  </si>
  <si>
    <t>2019/10/10 10:21:59</t>
  </si>
  <si>
    <t>警方的受案凭证，见附图1，为深圳市南岭派出所提供的报警回执，这是警方能提供的唯一的证据，关于我遇到的事情，我已经投诉了小赢卡贷很多次了，但其均未做出正面回应，，被骗金额约100W左右，其中包括各大银行，以及各种小额贷，我发现被骗后并于2019.4.23在深圳市南岭派出所报警，并拿到报警回执，该案件已经立案，本身自己这件事不能接受，还好在警方的安慰下，精神好了很多，我也把我发生的事情原委及报警记录回执给了小赢卡贷及其它银行，及小额贷公司，但是5月份之后小赢卡贷的相关催收人员便开始暴力催收，爆通讯录，威胁要去我</t>
  </si>
  <si>
    <t>2019/10/10 10:21:49</t>
  </si>
  <si>
    <t>投诉人王先生投诉对象交通银行信用卡涉诉金额28000元问题类型诉求类型投诉详情62*************8交通信用卡，因投资失败，加上家人生病，今年出现了几次逾期，但是都有还完，只是因为筹集资金太慢了，银行方面每次都是各种电话轰炸，给家人，朋友，单位座机跟单位同事，每天都能接到十几个，对正常的工作生活造成极大的压力，不胜其扰，跟客服沟通还款，客服不管，只要补充电话号码，进行美名曰核实情况的电话骚扰！！！！！！。</t>
  </si>
  <si>
    <t>2019/10/10 10:21:48</t>
  </si>
  <si>
    <t>之前看到立借推荐借款的短信，就下载了软件，填写了资料，几天后显示额度出来，我刚点击详情就显示放款中了，账单出来后傻眼了，7500本金6个月要还12600左右，打电话给客服也打不进去，怎么也联系不到该公司，我现在就想取消借款，或者把钱提前还款，一次性结清！。</t>
  </si>
  <si>
    <t>2019/10/10 10:21:43</t>
  </si>
  <si>
    <t>本人在淘集集6月份入驻3家店铺，共交保证金6000元，7月底已下架删除所有产品，在线客服也已经关闭，直到今天10月10号还没有收到一分淘集集渠道的货款，并且淘集集还不让退店，退店要求所有资金提现完毕，当时淘集集承诺的是T+30.现在都过了多少个月了，去了淘集集总部，当时已经承诺过29号给我打款，直到现在我还是没有收到一分钱，在大学期间做的淘集集平台，因为相信淘集集才到处借的钱，来抵货款，结果淘集集无限期的拖延货款，欺骗学生的血汗钱。</t>
  </si>
  <si>
    <t>2019/10/10 10:21:41</t>
  </si>
  <si>
    <t>本人于2019年6月份报名尚德，报名的是人力资源专本连读科目，当时报名的时候说最后一天，急于催促让我交钱，先交了定金2216元又教我贷款易融分期贷8864元但是秉着好好学习的态度，提升一下学历，当时答应的了不想学可以退款，24小时内，感觉有欺骗行为！我就发起售后，售后说不在工作日，24后我又发起了售后，售后说要扣25%注册费，报名全程没有任何说退款要扣25%注册费的，多次找尚德协商无果而且什么24小时退款什么7天退款在报名时只字未提，都是售后说后才知道的，全是踢皮球的态度，一拖再拖，完全不予受理，无奈之下找</t>
  </si>
  <si>
    <t>2019/10/10 10:21:37</t>
  </si>
  <si>
    <t>投诉人李友富投诉对象找靓机涉诉金额277元问题类型诉求类型投诉详情我在找靓机同时让平台回收1台崭新如初的玫瑰金国行32GiPhone7，出具报告说机身颜色不一致（订单显示黑色，真机实际玫瑰金色，因为找靓机将真机跟订单匹配搞混），购买渠道不一致（订单显示港版，真机实际国行，因为找靓机将真机跟订单匹配搞混），找靓机在没有沟通我的情况下，直接自动把对应港版的874元打给了我，回收了我国行的机器（估值1151元），下单成功后，收到2条平台跟顺丰快递合作的上门取件短信，但是平台跟找靓机APP都没有告知2个顺丰单号分别</t>
  </si>
  <si>
    <t>2019/10/10 10:21:23</t>
  </si>
  <si>
    <t>唯品会购物，货还未到降价，沟通补差价未果，。</t>
  </si>
  <si>
    <t>2019/10/10 10:21:07</t>
  </si>
  <si>
    <t>投诉人 张先生        投诉对象  易宝支付        涉诉金额  44 305 元    问题类型    诉求类型投诉详情  20190724 4,000.0020190723 75020190723 2,999.0020190722 2,500.0020190722 3,150.0020190719 4,000.0020190718 2,999.0020190718 2,500.0020190716 2,015.2020190715 2,600.0020</t>
  </si>
  <si>
    <t>2019/10/10 10:20:52</t>
  </si>
  <si>
    <t>畅捷通支付公司未审核合作商家，与变相收取砍头息高利贷的公司合作，为其提供支付渠道，在多笔交易中存在违规行为，信用计划借款平台以购买会员卡，收取备付金等变相收取砍头息，偷换概念以规避监管部门的监管与处罚，本人将实名制举报畅捷通支付公司，以书面材料形式递交至央行北京总部。</t>
  </si>
  <si>
    <t>2019/10/10 10:20:27</t>
  </si>
  <si>
    <t>我上次反应了年费与分期的问题后收到几个兴业银行信用卡的电话，但是没有解决任何问题，各种说法反应上去，时间过去两个月了，并没有解决我任何疑问和需求，而且将我信用卡冻结了，而后我打电话给兴业信用卡客服，一直都没有得到解决，我可以不用兴业银行信用卡，但我有权要回我三年年费，因为兴业银行信用卡业务员隐瞒欺骗消费者，这属于强制消费，分期工作人员避重就轻引导我借款分期，我可以还款，但我不接受提前还款招收利息手续费，在此投诉兴业银行信用卡客服及工作人员！。</t>
  </si>
  <si>
    <t>2019/10/10 10:20:13</t>
  </si>
  <si>
    <t>利息太高，还要服务费，刚申请的时候也不懂这些，本着相信国美，就进去了！！借了10000，1130✘12+200服务费，近4000的利息！家中困难，逾期几天是我不对，可没必要在能联系我，并承诺还款的情况下，多次打我通讯录电话！！这种行为对我造成了精神上的伤害！所以我诉求，在没有对我一个合理的解释和赔偿的前提下，最后一期我拒还！！！。</t>
  </si>
  <si>
    <t>2019/10/10 10:20:02</t>
  </si>
  <si>
    <t>每天都发信息恶意骚扰，明显是第三方催收公司发的，现要求停止这样的行为！。</t>
  </si>
  <si>
    <t>2019/10/10 10:19:45</t>
  </si>
  <si>
    <t>投诉人 沈先生        投诉对象  Wecash闪银        涉诉金额  500 元    问题类型    诉求类型投诉详情  闪银写着回复账号使用，实则为高利贷。套路</t>
  </si>
  <si>
    <t>2019/10/10 10:19:35</t>
  </si>
  <si>
    <t>我老婆于2019年四月左右在天津厚本金融办理贷款70000元，钱到账后又收取了砍头息，实际约核利息年利率30%多，每月扣款时间是15号，从2019年八月开始，有来自不同地区的所谓的客服电话，从每月十号就开始说逾期了扣款不成功，这是怎么回事，从来没有逾期，因为厚本内部问题导致逾期怎么办，我们现在要求返还砍头息，降低利息，停止后面不到还款日的催收，厚本等一些小额贷款是存在现实中的黑贷款公司，高利贷公司。</t>
  </si>
  <si>
    <t>2019/10/10 10:18:45</t>
  </si>
  <si>
    <t>因家庭突然出现变故，姐姐乳腺癌住院，母亲丙肝，需要治疗，本人又意外至小拇指截断，生意失败，导致信用卡逾期，一直要求协商，可是浦发银行直接委托第三方，结果现在第三方恶意扭曲事实，我从来都在积极处理欠款事实，从未逃避，可是第三方直接扭曲事实，说我逃避问题，并且到处联系我的亲戚朋友，造成严重伤害，并且浦发信用卡中心否认商业银行监管第七十条规定，讲没有这个相关规定，没有办法协商，并且我是成年的独立民事行为人，请浦发银行停止外围施压的方式，否则我将会把现在收集的证据，以及录音一并送到银监会投诉，希望贵行可以对第三方催</t>
  </si>
  <si>
    <t>2019/10/10 10:17:09</t>
  </si>
  <si>
    <t>本人于2019年06月至今信用卡逾期，本金5000元，至今利息是200左右，，并且已于2019年10月09日跟中信银行信用卡中信客服取得联系，并有意说明有意还款，但是催收部门，在之后的给我回电中并未有跟我协商的态度去处理该事情，对我进行大吼大叫，自己在那自说自话，说完便挂断我电话，完全不听我诉说，他们这样做完全侵犯公民的个人隐私，在那里大吵大闹，，违反了银行业金融机构外包风险管理第三章风险管理第十四条，合同或协议应当包括但不限于以下内容：第二条外包服务的保密性和安全性的安排，并且还警告我如果不还就要坐牢，然</t>
  </si>
  <si>
    <t>2019/10/10 10:16:56</t>
  </si>
  <si>
    <t>腾讯王卡客服屡次通过骚扰电话、短信推销套餐、提醒缴费，影响到日常生活。</t>
  </si>
  <si>
    <t>2019/10/10 10:15:53</t>
  </si>
  <si>
    <t>1、蚂蚁秒购APP、在页面用文字误导消费者返还比例百分百返，2、竞拍商品封顶、在竞拍页面明确标明封顶价格是870元、完全超出了平台的封顶价格、3、竞拍资格、如想在蚂蚁秒购得到竞拍权就要充钱换购平台的拍币才有用对商品进行竞拍，竞拍过程中平台纯在严重的弄虚作假、基本全部都是电脑人、怎样可以体现呢下面我描述一下：本人在竞拍时账号用的是儿子的头像、一个商品就用了2000元、拍币用完后我还在继续观察、才发现竞拍滚动窗口上还有我儿子的头像但是名字不是我的、这时想着上当受骗了、此时想着竞拍失败也无所谓反正平台要返还资金、</t>
  </si>
  <si>
    <t>2019/10/10 10:15:50</t>
  </si>
  <si>
    <t>没协商之前没打电话，协商看出还款意愿后，便拨打联系人，恶意败坏。</t>
  </si>
  <si>
    <t>2019/10/10 10:15:14</t>
  </si>
  <si>
    <t>小赢的催收人员威逼利诱我这边进行再次借钱来还这笔钱，我一直很耐心的说明我的情况，我现在是没有还款能力了，但现在是用房产证向银行做的抵押贷款打算先把当前的难关度过，国庆节是不批贷款的，我需要半个月的时间，但这位催收人员完全不理会，一直说我是恶意借款恶意不还钱，并扬言今天中午十二点不还就要联系我通讯录的所有人，让我身边的所有人都知道我欠钱不还，我已经在尽力的去做，也很清楚的告知了这位催收，她依旧不依不饶各种诋毁并且威胁不还钱就按照公司流程来走，我也告诉了她我作为欠款人在能联系上我并且我告知了她我的还款需要半个月</t>
  </si>
  <si>
    <t>2019/10/10 10:14:52</t>
  </si>
  <si>
    <t>钱站借款4000实际到账4000,分3期每期还款1973，合同本金却是5800，简直超高额利息，打电话客服，客服说等待工作人员3个工作，日内回电，本人要求归还合规的本金利息，工作人员非说是我不处理，还说10点半之前不处理就移交部门处理，然后就直接挂电话，先要求该公司马上处理并道歉，否则我只能报警并向互联金融去投诉解决问题，该我还的一分不少。</t>
  </si>
  <si>
    <t>2019/10/10 10:13:51</t>
  </si>
  <si>
    <t>网络套路贷款，借款3千，到账只有1900多，期限只有7天，后来还款时他们催收的说可以先续期，然后明天找他，他可以操作app改数据让我第二天还剩下的，我就听他的花了1050续期了，结果到了第二天他们电话就打不通了，微信也不回，等了好几天联系上了他们就不认了，还问我早干嘛去了！态度极其恶劣，还要求立马还钱，不还就打通讯录，捡重点的说app叫攒钱花，从微信公众号：小鸡送财：可以下载，客服电话是虚假的，几次还款的收款方叫马迎斌，还有个是昆明市盘龙区齐思来餐饮店（好像还有个是天弘基金管理有限公司），催收电话大多是网络</t>
  </si>
  <si>
    <t>2019/10/10 10:13:38</t>
  </si>
  <si>
    <t>本人在小黑鲨借款3500元，但还款10天一期要求共还款4300元，第一期还款1950元，该平台主体公司——温州敏驿网络科技有限公司因个人资金暂时遇到问题，催收来电后与之沟通协商，发工资后处理，并且强调给所有亲戚朋友打电话，造成影响概不负责，催收电话——020-62355170.本人并没有拒绝偿还，只是协商处理，但是遭到通讯录，请小黑鲨客服与我直接联系，所涉及款项，我们会约定处理，麻烦小黑社客服与我联系，16号所有分期款项，一次偿还，并且以费用合理。</t>
  </si>
  <si>
    <t>2019/10/10 10:13:26</t>
  </si>
  <si>
    <t>恶意骚扰联系人，严重威胁到联系人的身心健康，。</t>
  </si>
  <si>
    <t>2019/10/10 10:12:54</t>
  </si>
  <si>
    <t>借30000一年还50000，高利贷平台，希望有关部门关注，打击这种高利贷公司。</t>
  </si>
  <si>
    <t>2019/10/10 10:12:44</t>
  </si>
  <si>
    <t>都是经过宝付通道扣取的！不明不白的扣我的血汗钱！请帮帮我，希望宝付支付能配合我！20190220。</t>
  </si>
  <si>
    <t>2019/10/10 10:12:17</t>
  </si>
  <si>
    <t>一大早起来看到被扣款根本想不起来什么时候下载了这个软件最后还是被扣款。</t>
  </si>
  <si>
    <t>2019/10/10 10:11:46</t>
  </si>
  <si>
    <t>本人陆陆续续在这个平台借贷过多次，利息都已经还了上万，可是还是有没有还款完的阴阳合同，查看记录系统已经全部删除，本人在此说明:不会再还款0.01元钱，这个平台为非作歹，害人不浅，希望国家追根究底，问责这些背后犯罪分子，还我们广发群众一个说法，借款3100元到账2300，已还2400，本人已还完本金，要求平台销账，该平台利息非常不合理，要求以国家标准利息计算，而且逾期暴力催收，骚扰恐吓他人，以爆通讯录威胁他人还款，利息非常不合理，要求以国家标准利息计算，而且逾期暴力催收，骚扰恐吓他人，以爆通讯录威胁他人还款，</t>
  </si>
  <si>
    <t>2019/10/10 10:11:44</t>
  </si>
  <si>
    <t>位于东莞市莞城街道旗峰路万科中心2栋东莞轻奢维体健身会所，本人于6月13日份缴保证金600元作为保证金加入会员，办理一年有效期健身卡，8月20号该健身房以修电闸为由停业2天，其中未发布任何公告，于8月28日宣布破产，会员无法，只得举报公安，晚上在公安公证下老板徐毅保证退还会员损失钱款，然8月29日早晨变卦拒绝退还我们损失钱款，宣称继续营业，营业至9月中旬又开始无故关门停业，负责人联系不上，第二次无故停业至今已1月有余；该健身房自6月到8月骗取一百多人充值健身房卡，吸纳资金10万元以上，，其中该健身房还拖欠员</t>
  </si>
  <si>
    <t>2019/10/10 10:11:30</t>
  </si>
  <si>
    <t>账号购买失败后，交易猫一直显示退款失败，客服也只是机器人，一直让等待。</t>
  </si>
  <si>
    <t>2019/10/10 10:11:25</t>
  </si>
  <si>
    <t>我前天在钱站上申请了一笔3500元的贷款，由于利息太高接受不了，想取消订单，打客服电话一直打不通，希望钱站的工作人员能帮我把订单取消，。</t>
  </si>
  <si>
    <t>2019/10/10 10:10:12</t>
  </si>
  <si>
    <t>本人于2019年10月9日下午通过美团外卖点了一份芜湖“胡大老鸭粉丝汤”的鸭血粉丝汤，评论均系实话实说却被美团平台隐藏了重要照片，收到货物后觉得味道不佳且实物与图片严重不符，更过分的是这么劣质的产品商家居然返利要求好评，本着心疼浪费的钱又气不过商家的所作所为，给了商家差评，更没想到我在次日早晨收到商家回复，言语中恶意辱骂及威胁。</t>
  </si>
  <si>
    <t>2019/10/10 10:10:07</t>
  </si>
  <si>
    <t>04715690643这个电话号，已经严重侵犯个人隐私，根据治安管理条例，信用卡催收人员，是不允许向持卡人亲友，打电话，短信进行骚扰的，这个电话，不仅对本人骚扰，还打过本人都没有电话号码的以外的人进行骚扰，请兴业银行重视这个问题，如果还任由其电话骚扰，本人起诉该行，维护本人权益。</t>
  </si>
  <si>
    <t>2019/10/10 10:10:03</t>
  </si>
  <si>
    <t>本人2019年9月15日在喜鹊快贷上贷24000元整，到账金额是24000元，分1年，放款到账后看到合同金额变成30888元，每个月还款2719.73元，共分12个月，我的总还款金额是32636.8元，和客服沟通后告知是担保服务费，借款前并未说明有这项费用，已超过36%的年利率，利息跟服务费占比本金百分之五十以上，这就是高利贷套路贷啊，还请相关部门核查，目前借款人无法承担这么高利贷的利息，要求喜鹊快贷调整利息和服务费，提前一次性结清。</t>
  </si>
  <si>
    <t>2019/10/10 10:09:53</t>
  </si>
  <si>
    <t>北京海科融通支付公司下面代理商收了1500押金当初承诺机器不用把押金条给他们就会退还押金，现在出尔反尔不退还任何费用，海科融通作为一个支付公司就这样纵容下面代理商。</t>
  </si>
  <si>
    <t>2019/10/10 10:09:44</t>
  </si>
  <si>
    <t>买家通过线下购买了我的一张本地游泳健身年卡，买家确认收货以后，转转打款失败，说我的订单有风险，也不给我钱，也不解决问题。</t>
  </si>
  <si>
    <t>2019/10/10 10:09:26</t>
  </si>
  <si>
    <t>投诉人解先生投诉对象钱站涉诉金额2779元问题类型诉求类型投诉详情8月3日借款6800，出款后合同显示9248，6期总还款9579，年化达到80%以上，见附件。</t>
  </si>
  <si>
    <t>2019/10/10 10:08:27</t>
  </si>
  <si>
    <t>现请求减免我的费用并且退出我的押金并且注销我的账号。</t>
  </si>
  <si>
    <t>2019/10/10 10:07:40</t>
  </si>
  <si>
    <t>本人在2018年1月借微粒贷借款18000元，至19年4月累计偿还本息合计16100元，至五月开始因资金不足，出现逾期，至今累计欠款4990元，在欠款后，本人没有丧失还款意愿，积极筹措资金，并与客服保持联系，但微粒贷官方-微众银行，将本人资料交第三方催收公司，进行暴力催收，催收公司在与本人联系时，均用的虚拟号，且均为骚扰、推销电话，回拨时均为空号或无法接通，给本人发短信也不说明是哪家公司的，最近在可以联系到本人的情况下，不知如何获取的单位所有电话，肆意拨打单位所有电话进行骚扰，向陌生人泄露本人的信息，给公司</t>
  </si>
  <si>
    <t>2019/10/10 10:07:38</t>
  </si>
  <si>
    <t>严重影响本人生活工作，不是抱着解决问题的态度，要求合理协商，否则没办法处理，还影响生活工作。</t>
  </si>
  <si>
    <t>2019/10/10 10:07:36</t>
  </si>
  <si>
    <t>本人在快闪卡贷贷款金额8000元，强制性扣除保险费用784元，到手7216元，总共分为6期每期还款为1708.63，其年利率高达144%，高利贷还理由一大堆，盗取个人信息，阴阳合同。</t>
  </si>
  <si>
    <t>2019/10/10 10:07:33</t>
  </si>
  <si>
    <t>我与2019年2月五日在读秒上借了五千块钱，分12期，6号到账却只有4900.我还了大半年了，现在还要我还3752.08.我算了一下，如果我按他们这个还下去，也就是说我借4900，分12期，我要还出6743出去，这合法吗，希望对方给我说法，调整利率，停止爆我通讯录，协商解决。</t>
  </si>
  <si>
    <t>2019/10/10 10:06:50</t>
  </si>
  <si>
    <t>投诉人 蒋女士        投诉对象  拍拍贷        涉诉金额  9 100 元    问题类型    诉求类型投诉详情  在拍拍贷18年10月借了9100元 事实上到上个月为止我已经还了10期 实在是无力偿还 前三个月1200多 后7个月918元 早已偿还本金剩下的2期都是利息 希望拍拍贷立即停止骚扰我亲朋好友 不然另两笔借款一分钱不还</t>
  </si>
  <si>
    <t>2019/10/10 10:06:17</t>
  </si>
  <si>
    <t>本人每个月还款日是13号，每个月都按时还款，但是公司发薪日每个月的15号，到了13号前后经常有诸多不便，多次致电客服，客服都是态度比较强硬，希望贵司能对客户诉求体现出一个上市公司的大度，解决我们的合理基本诉求，谢谢。</t>
  </si>
  <si>
    <t>2019/10/10 10:06:00</t>
  </si>
  <si>
    <t>投诉人 王先生        投诉对象  高屋希克斯电子有限公司        涉诉金额  0 元    问题类型    诉求类型投诉详情  员工喝的水居然从马桶旁边引过来的？</t>
  </si>
  <si>
    <t>2019/10/10 10:05:58</t>
  </si>
  <si>
    <t>交通银行,交通银行信用卡,交通银行信用卡催收部，交通信用卡在与我一直保持联系的情况下，联系我单位领导电话，我认为债务是个人的，这样做法，只会令我失去工作更没有还款能力，。</t>
  </si>
  <si>
    <t>2019/10/10 10:05:19</t>
  </si>
  <si>
    <t>天誉国际金业有限公司虚假宣传，恶意喊单导致我严重亏损15万，多次联系平台想着友好协商处理，但是他们一直置之不理，还恶言相向，我已经走投无路所以才通过网络进行投诉。</t>
  </si>
  <si>
    <t>借款2万元整，实际到账1.5万元，说是700块保险4000多手续费！随手记有偷税漏税的嫌疑！而且暴力催收！。</t>
  </si>
  <si>
    <t>2019/10/10 10:05:10</t>
  </si>
  <si>
    <t>宣传购买黑卡可以借款，结果黑卡购买了几天了，一直没发用。</t>
  </si>
  <si>
    <t>2019/10/10 10:05:05</t>
  </si>
  <si>
    <t>包头市东河区畅行无忧信息咨询部,畅行无忧,舒心安达，2019年3月在包头市二里半机场有工作人员推销畅行无忧贵宾卡，宣称可以买到价格最优惠的机票，充值金额可购买机票，充值1780元可以赠送一千元，卡内金额可以随时使用，无限制，会员外其他人也可以使用购买机票，现在卡我自己没有使用，强烈要求退款！！！另外对于使用金额的限制，购卡合同里面也没有任何约定或者明显的提示性标识，销售人员的宣传和所签订的这份合同存在明显欺诈消费者之处，后来联系对方客服均无法接通或者没有回应，现通过投诉，希望问题能够得以解决，切实维护消费者</t>
  </si>
  <si>
    <t>2019/10/10 10:04:45</t>
  </si>
  <si>
    <t>去年欠交行7000元信用卡到现在已经还进去10000左右了，本月还款上月还款1000元本月还款530元利息滞纳金违约金每月在增高，要求协商停息分期还款立即停止对家人朋友的骚扰。</t>
  </si>
  <si>
    <t>2019/10/10 10:03:56</t>
  </si>
  <si>
    <t>下款转走800多砍头费用，逾期一天第一天早上8点就开始骚扰我。</t>
  </si>
  <si>
    <t>2019/10/10 10:03:41</t>
  </si>
  <si>
    <t>因为正在外面跟客服谈事情，所以想谈完客户之后再回客服电话协商并说明无法立即还款的原因，结果我说等会回个客服电话说不行，连协商时间都不行。</t>
  </si>
  <si>
    <t>2019/10/10 10:03:03</t>
  </si>
  <si>
    <t>10月10日开始，保留一切相关截图，作为后续补充证据8、目前经常骚扰的几个号，已经拉入，防骚扰，但是还是会有新的手机号重新打过来，9、我希望一次性解决问题，而不是一次又一次的被骚扰和防骚扰。</t>
  </si>
  <si>
    <t>2019/10/10 10:02:45</t>
  </si>
  <si>
    <t>投诉人鲁先生投诉对象宏萨信息科技,通联支付涉诉金额296元问题类型诉求类型投诉详情无缘无故被扣款！！！！根本没有委托他们扣款！！！。</t>
  </si>
  <si>
    <t>2019/10/10 10:02:37</t>
  </si>
  <si>
    <t>投诉人刘女士投诉对象拍拍贷涉诉金额0元问题类型诉求类型投诉详情公司爆通讯录，打电话威胁恐吓家人，假冒公检法给亲朋好友发律师函，泄漏个人信息，侵犯本人隐私。</t>
  </si>
  <si>
    <t>2019/10/10 10:02:33</t>
  </si>
  <si>
    <t>投诉人周先生投诉对象济南涧二新材料科技有限公司涉诉金额2600000元问题类型诉求类型投诉详情诱导充值，网络非法购买彩票，涉嫌网络赌博，额度特别大。</t>
  </si>
  <si>
    <t>2019/10/10 10:02:23</t>
  </si>
  <si>
    <t>投诉人唐胜军投诉对象快闪卡贷,光大银行涉诉金额7000元问题类型诉求类型投诉详情本人因资金周转需要，于2019年4月7日在快闪卡贷APP上借了一笔金额为7000元，由中国光大银行股份有限公司苏州分行发放7000元、实际到账5892.34元，借款分6期，每期应还1404.22元，每个月的利息高达422元，总共6期本金加利息就要还8460.32元，利息高达2506.05元，达到本金的43%左右！通过计算，该平台的借款年综合利率竟然高达84.15%，远远超过法定民间借贷年利率红线36%，属于十足的超级高利贷，套路</t>
  </si>
  <si>
    <t>2019/10/10 10:02:11</t>
  </si>
  <si>
    <t>借款人是本人的哥哥，本人是怀孕5个月的孕妇，经常在午休或上班期间接到北京宜信的骚扰电话，挂断还会一直再继续拨打，不止要接受催收电话的骚扰还要接受父母爷爷方的哭诉，严重影响到正常生活，父母皆为没什么文化的在老家务农的农民，爷爷87岁高龄，北京宜信多次以不同的电话号码打过来催款恐吓，经常在半夜或午休时段给父母打电话说走司法程序，到时会对我哥进行抓捕，将来对其孙子各种影响种种，对于不懂法律意识的父母来说是各种担惊受怕，而且87岁高龄的爷爷也经受不住太多的打击！无奈之下才会求助聚投诉平台。</t>
  </si>
  <si>
    <t>我当时把钱存入银行卡了，他们平台没扣款导致逾期，就扣掉了6000元的押金，。</t>
  </si>
  <si>
    <t>2019/10/10 10:02:04</t>
  </si>
  <si>
    <t>我16年10月在麦子金服白领贷借款15000元整，但是他们实际放款金额为12000元，说是以找咨询费形式扣除。</t>
  </si>
  <si>
    <t>2019/10/10 10:02:00</t>
  </si>
  <si>
    <t>立刻出行，押金无法退还，现在广州白云区一辆立刻出行的车都没有了。</t>
  </si>
  <si>
    <t>2019/10/10 10:01:46</t>
  </si>
  <si>
    <t>普惠及贷利息超高，非法暴力催收未果以后，私自获取借款人通讯录给通讯录内联系人发送信息，对本人生活以及工作造成严重影响。</t>
  </si>
  <si>
    <t>2019/10/10 10:01:45</t>
  </si>
  <si>
    <t>借款5300砍完头息之后利息加本金需要还9100。</t>
  </si>
  <si>
    <t>2019/10/10 10:01:39</t>
  </si>
  <si>
    <t>已经和豆豆钱的协商一次处理掉欠款，两个客服人员和我确认是4930，我处理完后，又说要继续补交，态度恶劣，甚至恐吓威胁，这个还是号称香港上市公司，过程中充满套路，私自扣我账户里的钱，骚扰通讯录无关人员。</t>
  </si>
  <si>
    <t>2019/10/10 10:01:28</t>
  </si>
  <si>
    <t>宙斯钱包砍头息，高利贷，1900的本金要还3000，协商2000后，还要200，然后又要500，现在又轰炸通讯录，乱发个人信息，身份证照片。</t>
  </si>
  <si>
    <t>2019/10/10 10:01:20</t>
  </si>
  <si>
    <t>投诉人潘先生投诉对象现代支付涉诉金额2000元问题类型诉求类型投诉详情我要投诉三方支付公司为违规平台开通资金充值通道，本人被网页上的该平台的虚假广告诱惑，进入该平台注册账号，本来本人对这个平台还是有些疑虑的，但是看到有这么多三方支付公司给这个平台开通充值通道，下意识的就以为该平台是正规的，结果被该平台牢牢的套住，在之后的一段时间里我陆陆续续亏损了巨额钱款，直到家人制止，朋友也跟我说这种平台是违规的，国家早就禁止这种平台了，我多方咨询后，终于醒悟了过来，可如果不是这些三方支付公司都和这个违规平台有合作，我也不</t>
  </si>
  <si>
    <t>2019/10/10 10:01:17</t>
  </si>
  <si>
    <t>投诉人张先生投诉对象小桔猫涉诉金额10000元问题类型诉求类型投诉详情按照国家规定的最高利率应为36%，但开始还款时发现账单为1133.33每期，共12期，总利息3596元，超过了最高利率的规定。</t>
  </si>
  <si>
    <t>2019/10/10 10:00:47</t>
  </si>
  <si>
    <t>昨晚18点28分被扣除了92.28元，扣款名义是。</t>
  </si>
  <si>
    <t>2019/10/10 10:00:24</t>
  </si>
  <si>
    <t>投诉人 周女士        投诉对象  钱站        涉诉金额  11 129 元    问题类型    诉求类型投诉详情  借款8000合同上写着10560 还款需要还款11100多 严重超出了国家标准</t>
  </si>
  <si>
    <t>2019/10/10 09:59:58</t>
  </si>
  <si>
    <t>申请办理时宣传邀请5人并激活将返现车主100元现金红包，当时承诺完成任务后立刻返现，被邀请人员在1月内激活有效，现在我邀请的车主已经全部开通完成几个月，一直未能返现，多次催促ETC官方客服人员时效，却以百般理由辩解，什么技术部门在修复，3-5个工作日会有人员答复，这都几个月过去了一点动静也没有，活动宣传时效是11个月内，贵方是在卡这个时间点吗，时间一到，一切作废！！！！，办理时要求先交纳的99元费用，承若是在开通激活后返回的，结果蓝牙设备一连接激活，机器设备就自动提示99元开通什么会员费用，不予返还，这简直</t>
  </si>
  <si>
    <t>2019/10/10 09:59:39</t>
  </si>
  <si>
    <t>投诉人 黄先生        投诉对象  安逸花（跃吉科技）,马上消费金融        涉诉金额  2 900 元    问题类型    诉求类型投诉详情  还款账单上显示还款金额低于实际还款 各种强制保险 服务费用</t>
  </si>
  <si>
    <t>2019/10/10 09:59:32</t>
  </si>
  <si>
    <t>10月26日，你们这没放款为什么就开始算还款时间呢，请客服解释一下，我这边打了几个电话也没人接，请贵平台帮助联系下。</t>
  </si>
  <si>
    <t>2019/10/10 09:59:28</t>
  </si>
  <si>
    <t>投诉人胡家诚投诉对象世纪天成涉诉金额2000元问题类型诉求类型投诉详情我是一名10月10日注册CSOL的新用户，10月10日早上消费2000余元为了抽一把霸主级别武器，本来是抽300幸运值可以直接获取这把武器，结果抽到280幸运值的时候网络连接中断，去官网一查发现是维护了，维护完之后可获得幸运值的道具已经下架了，花了2000元却没有得到自己想要的东西。</t>
  </si>
  <si>
    <t>2019/10/10 09:58:35</t>
  </si>
  <si>
    <t>星支付无缘无故冻结我4500元，10月1日我收钱没到账，把我账户冻结了，让我提交材料，我1号到现在不知提交了多少次了，一直让提交，不是以借口没收到材料，就是以材料不充足为由，现在钱也看不到了。</t>
  </si>
  <si>
    <t>2019/10/10 09:58:34</t>
  </si>
  <si>
    <t>京东白条每天暴力催收，而且还拨打通讯录号码，骚扰侮辱我的家人朋友，由于本人债务爆发，一下子不能及时还款，经与京东客服沟通，已同意协商还款，但第三方催收公司丧心病狂，暴打通讯录，我已向当地银监局举报，维权到底。</t>
  </si>
  <si>
    <t>2019/10/10 09:58:22</t>
  </si>
  <si>
    <t>51信用卡管家一个披着羊皮的狼的高利贷公司，借24000，利息服务费8000元，高利贷公司，国家为什么不打击这样的高利贷公司，催收人员冒充借款人本人进行大数据网搜，爆通讯录，让借款人名声扫地，高利贷公司。</t>
  </si>
  <si>
    <t>2019/10/10 09:58:12</t>
  </si>
  <si>
    <t>投诉人周先生投诉对象招联金融涉诉金额2000元问题类型诉求类型投诉详情这是发的短信内容：招联金融周玉林，你欠款拖欠一案，经核查逃避现象属实，报案文书已传真至当地公安部门，本案于10月11日之前正式以涉嫌金融欺骗立.案审核，于公安网上传立.案结果，限你于12小时内回电说明情况，详询qw0838qw，如立.案之前来电协商处理可撤销材料，电话是：601919223621757712100。</t>
  </si>
  <si>
    <t>2019/10/10 09:58:02</t>
  </si>
  <si>
    <t>投诉人陈秋萍女士投诉对象襄阳悦发网络科技有限公司涉诉金额3580元问题类型诉求类型投诉详情2019年8月5日我开了一个淘宝店，8月10一个旺旺名为zhu122539462的人找到了我，说她也是开店的，她的店铺名称为就喜欢你不喜欢我的样子，让我加个微信可以互相交流，加了之后，她就经常在自己的朋友圈发她店铺的经营情况，后来她就提到了自己的经营过程，然后给我分享了名为客服02的名片，让我去咨询，8月份有咨询但没合作，直到9月12日我去咨询了，客服淘宝精细化管理说她们这个是终身的，帮忙推广运营，上货，办理营业执照等</t>
  </si>
  <si>
    <t>2019/10/10 09:58:00</t>
  </si>
  <si>
    <t>2017年3月开始使用闪电借款APP，每期收取年利息36%的利息，50天借款还会变相收取25%高额利息！10月8日借款按期还款后，10月9日继续借款，8600的额度，先买所谓的黑卡，收取2150砍头息，结果不放款，提示额度抢光，10月10日早上继续提示额度抢光不放款，后与客服协商，退还2150砍头息，客服答复1-5个工作日退还，本人没同意，说打银监会投诉电话投诉后，中止和客服交流，现来聚投诉投诉该公司，需要退还该公司这几年收取的违法砍头息！附件图片，中间有过几次逾期，忘记还款，但是基本都在逾期后1-2天还款</t>
  </si>
  <si>
    <t>2019/10/10 09:57:34</t>
  </si>
  <si>
    <t>小蛙卡贷违反国家规定如下：民间借贷年利率不得超过36%，在国家法律规定下，依然顶风作案放高利贷，走法律的擦边球，小蛙卡贷名义年利率36%，实际年利率高达66.46%，利用普通人民不懂实际利率计算，这种高利贷平台已经严重影响现下年轻人的生活，建议协商调整每月还款利息，请银监部做好监督的责任，勿要贪污受贿，对目前普遍网贷问题视而不见，不协商处理将依法对平台起诉。</t>
  </si>
  <si>
    <t>2019/10/10 09:57:31</t>
  </si>
  <si>
    <t>投诉人 曾先生        投诉对象  民生银行信用卡        涉诉金额  1 001 元    问题类型    诉求类型投诉详情  民生工作人员说被盗刷不用还。后面打电话过来说不还产生征信问题。</t>
  </si>
  <si>
    <t>2019/10/10 09:57:14</t>
  </si>
  <si>
    <t>滴滴平台太坑了，所谓的口碑值越高越容易接单，我口碑值260多分，还比不过那些没有人证的230多分流水高，接的单子多，还所谓的办理人证收入更稳定，辛辛苦苦一天到头跑个一两百块，还不够油费饭钱，这么悻悻苦苦为滴滴平台服务乘客，得到的是这样的回报，打电话给客服要不就不接，要不就说优化，优化个鬼啊！滴滴平台太恶心，太不公平了！。</t>
  </si>
  <si>
    <t>2019/10/10 09:56:53</t>
  </si>
  <si>
    <t>一共还11559.96元！利息3000多元！马上赶上本金的一半了！逾期一天就电话威胁，短信轰炸！无法提前结清，提前结清利息不变！高利贷。</t>
  </si>
  <si>
    <t>2019/10/10 09:56:47</t>
  </si>
  <si>
    <t>无法销户，解绑卡，联系客户，态度极差，需要手持身份证，又无法保证拿这照片去干什么。</t>
  </si>
  <si>
    <t>2019/10/10 09:56:27</t>
  </si>
  <si>
    <t>他逾期利息一天是2.72%，已经超过了国家法律规定，还有砍头息，。</t>
  </si>
  <si>
    <t>2019/10/10 09:56:26</t>
  </si>
  <si>
    <t>投诉人周先生投诉对象济南涧二新材料科技有限公司涉诉金额2600000元问题类型诉求类型投诉详情通过网络，诱导客户充值买彩票，故意篡改彩票开奖信息，导致客户损失大量资金，为网络赌博提供收付款业务，要求查询资金流向，追回充值资金，存入银行：中国银行开户行网点：中国银行山东省分行济南分行泉城支行济南涧二新材料科技有限公司存入账号：213039269125中国银行对涉案公司进行账户冻结，退回所有资金。</t>
  </si>
  <si>
    <t>2019/10/10 09:56:13</t>
  </si>
  <si>
    <t>因个人资金问题，逾期共4天，可我一直积极跟客服协商还款时间，并承诺今日还款，但客服在我约定的还款日早上就开始不依不饶的非要交给催收部爆我通讯录联系人，态度恶劣，完全不讲道理。</t>
  </si>
  <si>
    <t>2019/10/10 09:56:02</t>
  </si>
  <si>
    <t>小米金融贷款平台不停发送催收信息，并且不停给亲朋好友拨打骚扰催收电话，侮辱，，，侮辱完了以后又开始更换他人继续骚扰催收，请平台给予帮助。</t>
  </si>
  <si>
    <t>2019/10/10 09:55:36</t>
  </si>
  <si>
    <t>泄露客户信息，客户电话一直无法接通，处理问题不当。</t>
  </si>
  <si>
    <t>2019/10/10 09:55:31</t>
  </si>
  <si>
    <t>欠款1W元，因暂时无回款，导致逾期1天，和出借方正在沟通，出借方是属于高利贷，借贷宝客服说到2点，如果不处理就要打通讯录，借贷宝只是个平台，所以恳求不暴力催收，道歉。</t>
  </si>
  <si>
    <t>2019/10/10 09:55:27</t>
  </si>
  <si>
    <t>健身房第二次无故关门，涉嫌圈钱，敲诈欺骗消费者。</t>
  </si>
  <si>
    <t>2019/10/10 09:55:11</t>
  </si>
  <si>
    <t>本人之前由于资金周转不过来在凡普金科旗下钱站申请五万贷款，后来由于资金链断裂导致逾期，在逾期后催收人员在明知本人父母有高血压和心脏病的情况下恶意骚扰本人父母，并从下午三点到晚上九点一直拨打骚扰本人手机通讯录所有联系人，借钱不还是本人的原因，也明确告诉过会想办法抓紧时间处理，但其催收人员对其通讯录联系人的骚扰性质是恶劣的，明确违反了催收规定，对给本人带来的影响和名誉损失是巨大的，催收手段是恶劣的，还有利息简直比高利贷还高，借五万元要还九万多，还有砍头息，逾期费竟然一天就五百，这是公然对抗国家有关法律和迫害因为</t>
  </si>
  <si>
    <t>2019/10/10 09:55:10</t>
  </si>
  <si>
    <t>物理偿还，希望给点时间，毕竟以前很多很多网贷，还有银行的，我一个一个来，她们让我爸妈在家等着，我父母都身体不好，我怕家里受不了。</t>
  </si>
  <si>
    <t>2019/10/10 09:55:06</t>
  </si>
  <si>
    <t>投诉人 方先生        投诉对象  滴滴公司        涉诉金额  100 元    问题类型    诉求类型投诉详情  半个小时多给司机派一单。这让司机师傅怎么跑。滴滴这是要饿死司机师傅们了，每次都说改善。可改善来改善去都是一个鸟样。这完全是赤裸裸的欺骗。</t>
  </si>
  <si>
    <t>2019/10/10 09:55:01</t>
  </si>
  <si>
    <t>10.4日19时于交易猫平台购买手游倩女幽魂的小米账号，通过平台与卖家签订了协议，并购买了账号被找回风险的保险服务，明明平台方有卖家的各种信息支付宝等等，却不帮我沟通挽回损失，也不给我理赔，平台方监管不周导致账号被找回却不承担责任不积极帮消费者挽回损失，还不理赔，所以我投诉交易猫，申请退款或者履行我的保险理赔服务。</t>
  </si>
  <si>
    <t>2019/10/10 09:54:50</t>
  </si>
  <si>
    <t>投诉人 曹女士        投诉对象  小花钱包        涉诉金额  2 元    问题类型    诉求类型投诉详情  短信电话轰炸家人 打电话进行威胁 说话态度严重过分</t>
  </si>
  <si>
    <t>2019/10/10 09:54:47</t>
  </si>
  <si>
    <t>投诉人徐先生投诉对象天猫商城,本博中煌专卖店涉诉金额2198元问题类型诉求类型投诉详情在2019年10月6号凌晨0点52分购买了一台按摩椅，此按摩椅详情页面标注了有顶腰部的功能，但是我收到货实际是没有这个功能，联系商家解决，商家说图片只是为了宣传，实际没有这个功能，这自己涉及了虚假宣传，后来要求退货退款，但是商家要我们自己承担退货运费，我们感觉不合理，虚假宣传误导消费者，为什么退货运费还要消费者承担，投诉的天猫平台，天猫包庇商家投诉不成立。</t>
  </si>
  <si>
    <t>2019/10/10 09:54:18</t>
  </si>
  <si>
    <t>群发我通讯录，威胁我要爆我通讯录，违规收取砍头息，现在毫无底线的威胁我，并且态度之恶劣，我希望及贷立即停止骚扰，然后调整好正规的利息，协商处理。</t>
  </si>
  <si>
    <t>2019/10/10 09:53:52</t>
  </si>
  <si>
    <t>招商银行委托江苏联创伟业律师事务所古律师负责协商我拖欠招商银行信用卡一事，该律师事务所古律师，在没有联系我本人的情况下，直接打单位电话，进行威胁、恐吓，说我单位不调解，要投诉、要求告知单位领导电话，并在我不知情的情况下私自联系单位领导，招商银行及江苏联创伟业事务所古律师的行为，对我的生活、工作造成了严重的影响，现要求，招商银行以及古律师恢复对我名誉上造成的影响。</t>
  </si>
  <si>
    <t>2019/10/10 09:53:37</t>
  </si>
  <si>
    <t>电话骚然我新公司的同事，不知道是从什么途径取得现公司的信息，恐吓我说要是不还可以，打电话给我公司的人，让他们筹钱帮我还，严重影响了我同事的正常生活，祸不及身边的人啊。</t>
  </si>
  <si>
    <t>2019/10/10 09:53:20</t>
  </si>
  <si>
    <t>365分期砍头息暴力催收，高利贷利息不合法。</t>
  </si>
  <si>
    <t>2019/10/10 09:53:08</t>
  </si>
  <si>
    <t>投诉人 李先生        投诉对象  瓜子二手车        涉诉金额  8 127 元    问题类型    诉求类型投诉详情  瓜子的严选车 检测报告 和实际车况 有多处不一致 至今不给解决问题，也不给开发票。</t>
  </si>
  <si>
    <t>2019/10/10 09:51:55</t>
  </si>
  <si>
    <t>您好！我叫方婷，目前家住龙华，职业是一名会计，因与深圳市英特教育培训中心存有争议，协商无果，只能寻求帮助，维护个人的合法权益，事情的原由是这样的：因个人工作需求，在网上联系深圳市英特教育培训中心，咨询时招生老师称有包过且可购买学士学位证书，因费用较高，当时本人并无选择，签订协议报名了自考会计学本科的教育培训，共计4980元，2019年7月，因本人发觉机构有以下原因：1、报名时只给收据，没有正常合法票据，，签订协议时也无一式两份给予协议书，要协议书时推脱没有签；2、老师经常更换人员，要咨询时找不到老师；3、交</t>
  </si>
  <si>
    <t>2019/10/10 09:51:52</t>
  </si>
  <si>
    <t>下载，2018年10月借款5万元整，放款方浙江民泰商业银行2018年10月8日到账借款金额45835.5元，，根据还款计划实行等额本息，分12期还款每期4349.29元；现该借款本人无借款合同的同时无法看到相应的借款合同，存在严重的砍头息和不知所谓的其他收费问题，通过阳光钱袋客服，得知该笔借款被强制购买4165元的保险由阳光保险集团的阳关信保意外险，打电话给客服要求退保，本人在网贷时并未被告知有捆绑保险这一项业务，也没有看见保险合同，而且本人并不知情也没有签字，目前已经向银保监会、中国互联网金融协会举报。</t>
  </si>
  <si>
    <t>2019/10/10 09:51:25</t>
  </si>
  <si>
    <t>急用钱包app注册后，显示需要我支付小银分看信用什么的，我就卸载了，然后过几天显示被扣了299元，希望能给我追回谢谢。</t>
  </si>
  <si>
    <t>2019/10/10 09:51:21</t>
  </si>
  <si>
    <t>立刻出行保证金条款明显说明最后一次使用车辆后的20天后15个工作日退还保证金，用车期间无任何违规，我这几个15天了，7月18日申请退还，如今10月9日了，打客户电话一直没人接，已经严重违反消费则条款条令。</t>
  </si>
  <si>
    <t>2019/10/10 09:51:09</t>
  </si>
  <si>
    <t>新航国际商务,深圳新航国际商务有限公司,深圳新航国际有限公司，销售人员在卖卡的时候并没有告诉我使用限制，只说卡中金额能够购买机票且比任何网站还要便宜好几十，但并没有说明一次只能抵扣100，属于诱导消费者，涉嫌消费欺诈，要求退款。</t>
  </si>
  <si>
    <t>2019/10/10 09:50:45</t>
  </si>
  <si>
    <t>总共借款6000已还6期，第七期因为资金暂时周转不开，想延期几天还款，不同意，威胁说今天11点之前不处理就要骚扰我联系人。</t>
  </si>
  <si>
    <t>2019/10/10 09:50:13</t>
  </si>
  <si>
    <t>投诉人熊先生投诉对象蚂蚁金服涉诉金额0元问题类型诉求类型投诉详情就是支付宝不知道怎么被限制了我们说要上传凭证的我也不知道凭证是什么样我传了些自己买的东西的截图传上去结果不行然后在传需要打人工客服打过去也是一样还是没有人工告诉我该怎么做。</t>
  </si>
  <si>
    <t>2019/10/10 09:49:46</t>
  </si>
  <si>
    <t>嗨包借款ap暴力催收，短信发送模糊字，骚扰家人朋友，收取砍头息。</t>
  </si>
  <si>
    <t>2019/10/10 09:49:36</t>
  </si>
  <si>
    <t>利息本金已还清，请求取消不合理的费用砍头息，请求销账。</t>
  </si>
  <si>
    <t>2019/10/10 09:49:22</t>
  </si>
  <si>
    <t>2017年底在骏潼二手车行签订购买一台一汽森雅s80，当时走的就是易鑫车贷，车架28000，首付8000，贷了36000左右，还了6期，一期还1167元，后面办理业务的没有把我大本抵押，我也没有给他，贷款我一直正常还着，后面他们三个人跑到我老家威胁我母亲，恐吓我母亲，最后我打电话叫他们来深圳解决，还了6期，6882+保险押金2000+金融手续费2000+首付8000+上门催收费3000+一次性还款36000=57882元！车价值28000，给我整出这么多费用！因为害怕他们又到老家威胁我老母亲所以只能妥协！。</t>
  </si>
  <si>
    <t>2019/10/10 09:49:10</t>
  </si>
  <si>
    <t>小象优品借款八千收取百分之十五的手续费，到账六千八，九起还每期还一千二百多，已经还了八期，因本人现在没有工作最后一期无力偿还，需要进行协商还款，望尽快联系。</t>
  </si>
  <si>
    <t>2019/10/10 09:49:00</t>
  </si>
  <si>
    <t>造艺科技旗下软件扣我钱，之前投诉了说给我退。</t>
  </si>
  <si>
    <t>2019/10/10 09:48:44</t>
  </si>
  <si>
    <t>国庆节以后每天早上下午进行电话骚扰还进行人身威胁。</t>
  </si>
  <si>
    <t>2019/10/10 09:47:43</t>
  </si>
  <si>
    <t>投诉人仇女士投诉对象我来数科涉诉金额16000元问题类型诉求类型投诉详情才逾期几天就收300、换了微信不能零钱还款也不通知，以前从来没有用银行卡还款，收了逾期费300催收说还不能申请减免，减免次数什么超了，300块钱谁规定的几天就收300块钱，我已经转了支付宝但是不给我销账，非要我补300,要求我来贷必须给我把账消了。</t>
  </si>
  <si>
    <t>2019/10/10 09:47:41</t>
  </si>
  <si>
    <t>暴力催收，给朋友打电话，发短信，骚扰，威胁，我现在让他们弄的工作都没有了，家也不敢回。</t>
  </si>
  <si>
    <t>2019/10/10 09:47:27</t>
  </si>
  <si>
    <t>借款700，五天还1000，续期两天150，已经连续续期好几次，电话协商告诉换老板之前全不算。</t>
  </si>
  <si>
    <t>2019/10/10 09:47:23</t>
  </si>
  <si>
    <t>交易失败，退款一直显示失败，退不出来，好几次了都。</t>
  </si>
  <si>
    <t>2019/10/10 09:46:40</t>
  </si>
  <si>
    <t>7月份我打去电话和拉卡拉协商还款，一次性还款后到现在10月份都没有消帐，打过去电话问，客服一直推脱。</t>
  </si>
  <si>
    <t>2019/10/10 09:45:27</t>
  </si>
  <si>
    <t>贷款都逾期无力偿还了，这是要我们命呀，请求给我打款。</t>
  </si>
  <si>
    <t>2019/10/10 09:45:26</t>
  </si>
  <si>
    <t>逾期7个小时，本息一并已还！并联系相关人员告知原因，宜信公司表示无果并收取高额逾期利息！。</t>
  </si>
  <si>
    <t>2019/10/10 09:44:52</t>
  </si>
  <si>
    <t>里面从2016年借款一共12次，包括单期和分期，在正常还款的情况下，从来没有逾期，现在不能再借了，从第一次借款700，一个月收取105利息，到最后一次借款11900，砍头收取会员费699，然后再每月还款1194，期间利息高达2441，即借11900，会员费加利息，一共还款了15050，现在要求趣花分期，退回我不合理的高利息，严重不符合国家规定的利息。</t>
  </si>
  <si>
    <t>2019/10/10 09:44:37</t>
  </si>
  <si>
    <t>2019年8月，本人在淮安涟水机场准备取票时，一女性工作人员，给我推销了一张机场的VIP卡，当时介绍订票便宜，并且能享受全国部分机场的贵宾厅服务，充值998元送1000元，后面发现实际与宣传不符而且没有任何的保障，由于我是当天办卡之后就要求退卡没有使用过，但被告知要等一个月，现在已经要两个月了，期间我多次电话询问无任何人给予回复，优惠后比其他平台订票还贵，本人要求退卡并退回剩余款项，谢谢。</t>
  </si>
  <si>
    <t>2019/10/10 09:43:45</t>
  </si>
  <si>
    <t>在能联系到我本人的情况下骚扰我的家人朋友且态度十分恶劣。</t>
  </si>
  <si>
    <t>2019/10/10 09:43:38</t>
  </si>
  <si>
    <t>投诉人刘女士投诉对象快钱-快易花,万达普惠涉诉金额1320元问题类型诉求类型投诉详情使用快易花有一年多了，借款大部分都结清了，利息及担保费都按时还款，现在资金困难，当前1320的借款剩余最后一期未还，已累计还款一千四百多，希望协商减免掉最后一期并清账。</t>
  </si>
  <si>
    <t>2019/10/10 09:43:26</t>
  </si>
  <si>
    <t>拍拍贷催收骚扰我家人给我的生活带来不便，而且我手机通讯录里根本没有被骚扰人的电话号码，他们是从哪得到的，非法获取?我在拍拍贷的借款在还款期间经常出现还款失败的提醒，哪怕我一天试十几遍不同时间他就是无法还款，导致逾期还要缴纳高额罚息，我就想问是不是故意的！！！。</t>
  </si>
  <si>
    <t>2019/10/10 09:43:02</t>
  </si>
  <si>
    <t>近期资金紧张，现在369借条上有个370多块钱逾期了，催收人员来电要求十点半之前务必还款，威胁说若查到账没还就要给我户籍地村委会发催收函，贵公司有什么权利这样做。</t>
  </si>
  <si>
    <t>2019/10/10 09:42:29</t>
  </si>
  <si>
    <t>新橙优品借款5000元人民币，逾期28天，罚息700，不知道这罚息是怎么算的，再者他们没联系过我本人，却发信息说多次催缴。</t>
  </si>
  <si>
    <t>2019/10/10 09:42:22</t>
  </si>
  <si>
    <t>门口摄像头专拍违停，30秒就算违停了，坑了大批车主。</t>
  </si>
  <si>
    <t>2019/10/10 09:41:50</t>
  </si>
  <si>
    <t>10月8日，我过了烟台机场安检后，就有一群机场柜台穿着机场制服的女孩子叫住我，问我几点的航班，去哪里还问我买的飞机票的价格，我回答之后，她说你的这个价格有点高了，以后通过我们的西部明珠vip卡，可以比任何网上如去哪儿网，携程网，飞猪购票价格都要有优惠！可以每次优惠至少70元，国内航空优惠价格70～300元不等，以购票金额大小抵扣，国际航空最高可以优惠800元！现在办卡有1880元送1000元的活动，充值1880元，里面有总额度2880元的金额，并且还在全国的机场都享受贵宾休息室！订票会从卡里面扣钱，但是自己</t>
  </si>
  <si>
    <t>2019/10/10 09:41:33</t>
  </si>
  <si>
    <t>2018.11.5百万钱包旗下小百贷借款10000元，实际到账8500.砍头息费用1500.分12期还款每期898.21.到现在已经还款11期。</t>
  </si>
  <si>
    <t>2019/10/10 09:41:30</t>
  </si>
  <si>
    <t>联系不到客服一直显示退款失败很急人啊啊啊啊啊啊啊。</t>
  </si>
  <si>
    <t>2019/10/10 09:41:18</t>
  </si>
  <si>
    <t>小赢卡贷中的小赢易贷高额利息借款30000分期12期需要还款41000多。</t>
  </si>
  <si>
    <t>2019/10/10 09:41:06</t>
  </si>
  <si>
    <t>本人在读秒贷款共3笔总计11500元，其中3笔金额为7500,2500,1500.，第一笔7500元贷款分为24期每期还款489.5元，其真实利率已超过国家要求，要求调整利率，道歉并解释。</t>
  </si>
  <si>
    <t>2019/10/10 09:41:05</t>
  </si>
  <si>
    <t>快捷通支付,成都安睿旺蜀网络科技有限公司,借花钱，借花钱app在我绑定银行卡后不知情的情况下从我卡中盗刷198。</t>
  </si>
  <si>
    <t>2019/10/10 09:40:47</t>
  </si>
  <si>
    <t>我2019年10月9号晚上在交易猫买了一个手游账号不太满意取消了订单，但是一直显示退款失败，问客服客服一直说款项系统升级，到现在我仍然没有收到退款，平台一直显示退款失败。</t>
  </si>
  <si>
    <t>2019/10/10 09:40:20</t>
  </si>
  <si>
    <t>你我贷公司再下午一点十五给我打电话说让我结案，说会申请停止催收，我结案后该公司就于下午五点十七分给我打电话要求还款，对于该公司出尔反尔的行为令人十分反感。</t>
  </si>
  <si>
    <t>2019/10/10 09:39:36</t>
  </si>
  <si>
    <t>工作人员过来推销此卡，口述充值1998赠3000抵扣机票使用，及享受VIP候机室，没有时间限制，并未出示合约范本及协议范本让查看，只在办理时要求我签字确认，到达后详细查看合约条款发现时间限制为一年期限，随即找了客服，客服一直在模糊当时推销情景，一直推托，这样模糊事实诱导销售的真心不能接受，打电话到售后客服，打了三天，每次都说有人售后会打电话联系我，一直没人打，今天再次拨打售后，售后说已经有回拨记录，是我手机问题没收到电话，一直在推托，敢问我的手机别人能打通。</t>
  </si>
  <si>
    <t>2019/10/10 09:38:52</t>
  </si>
  <si>
    <t>唯品会买了三件衣服，买完几天就降价了，联系客服，说不给返差价，就是在商场和淘宝买东西还有15天返差价呢，消协也有相关规定啊。</t>
  </si>
  <si>
    <t>2019/10/10 09:38:29</t>
  </si>
  <si>
    <t>微信莫名其妙就被给打标成了狐狸，是骗子的意思吗，也没有恶意退款，也没有差评，为什么被打标，请取消我的打标！。</t>
  </si>
  <si>
    <t>2019/10/10 09:37:48</t>
  </si>
  <si>
    <t>骚扰我通讯录，损坏名声，加微信方式告知我的联系人，让我不能正常生活。</t>
  </si>
  <si>
    <t>2019/10/10 09:37:13</t>
  </si>
  <si>
    <t>小花钱包，2016年开始使用，总额度21000元，前前后后借了很多次，从未试过逾期，最近的一笔借款12000元，app显示只能分21期还款，还款金额23000元，而且app显示借款的是23000元，还款也是23000元，；最近因为家里出现了点困难，未能按时还款，逾期第二天就开始收到恐吓催款，不能协商还款恶意催收，辱骂，未得到允许拨打通讯录电话，群发个人信息资料以对我精神造成损失，别家正规的app跟催收人员说明了情况也可以协商还款为何就是他们公司不能呢，而且利率也比小花的低很多，希望贵公司整顿一下催收部门，而</t>
  </si>
  <si>
    <t>2019/10/10 09:37:01</t>
  </si>
  <si>
    <t>还款日未逾期，客服打电话恐吓，威胁爆通讯录！。</t>
  </si>
  <si>
    <t>2019/10/10 09:36:42</t>
  </si>
  <si>
    <t>微信语音恐吓，然后说上门没有要不到的账，骗我去派出所报案。</t>
  </si>
  <si>
    <t>2019/10/10 09:36:32</t>
  </si>
  <si>
    <t>本人年初通过闪银平台在优智借进行了一笔借款，但是利率实在太过高，之前就还款问题与工作人员沟通过，达成还款时间约定，但是现在换了不同的工作人员，态度恶劣，逼迫我去借钱还款。</t>
  </si>
  <si>
    <t>2019/10/10 09:36:02</t>
  </si>
  <si>
    <t>6月底我接到了北京华夏翔博公司的电话，之前我有考虑过报考消防工程师，所以在咨询了一些信息后就报了名，报名费为4980，然后就给我推荐乐一个消防刘老师的微信协助我学习，一开始是说好有视频教学辅导，考前真题和绝命压题，可是他只给了一个视屏学习资料就没有其他的了，两个月内那个所谓的刘老师就只会问我学习到什么程度，一点辅导教学的东西都没有，期间还各种叫我推荐学员，在7月底的时候推荐我参加一个号称仅有50人参加的项目，说是可以保证考过拿证，我当时没有答应，然后过了不到半个月又跟我说绝命压题马上就要出了，要我交6800</t>
  </si>
  <si>
    <t>2019/10/10 09:35:33</t>
  </si>
  <si>
    <t>本人在51人品贷公司贷款3000元分期12期，第一期还款为525.7元，后面11期还款均为315.7元，平台的利率乃是伪利率并非国家要求的利率，现我要求作出调整利率，清算当月利息，作出销账，提供结清证明并解释伪造利率问题。</t>
  </si>
  <si>
    <t>2019/10/10 09:35:31</t>
  </si>
  <si>
    <t>就是施诈如果不查细看，就让卖家;鸿百纳家居专营店，在天猫施诈得逞，施诈卖家还敢讲什么发错货，正常非偷呃施诈的商家必有商德，一定会主动联系退换货或退款，正相反拒绝退款，拒绝退款的理由就是要我必须要更换退货选项为;，从我投诉到现在天猫都冇提我要求卖家退货退款事，天猫的处罚对行施诈的卖家是真处罚还是假处罚，69元A级锁与109元C级锁之间的差价是40元，天猫所谓处罚卖家32.7元实际是否是支持鼓励施诈卖家继续施诈，让行施诈卖家把这“原一文不值亳无防盗的A级锁”还能升值到76.3元，难不成今天天猫也沦为行施诈的温床</t>
  </si>
  <si>
    <t>2019/10/10 09:34:52</t>
  </si>
  <si>
    <t>本人于9月9号在闪管家借款1300元，平台收取了300元购买了会员卡，到账1300元，逾期第一天客服态度极度恶劣，本人没有不还的打算，只是工资过几天才发，客服威胁2小时内不处理就上交催收联系朋友爆通讯录，不接受任何理由协商，每天的逾期费高达38元。</t>
  </si>
  <si>
    <t>2019/10/10 09:34:29</t>
  </si>
  <si>
    <t>投诉人 舒先生        投诉对象  华夏银行信用卡        涉诉金额  50 000 元    问题类型    诉求类型投诉详情  暴力催收。和其协商向其解释原因不听，态度恶劣。威胁恐吓。02861101632</t>
  </si>
  <si>
    <t>买了不到半个月就降价一半，198购买的，现在只要不到130的价格就可以买到，并且不予退款。</t>
  </si>
  <si>
    <t>2019/10/10 09:34:04</t>
  </si>
  <si>
    <t>本人于2017年办了一张额度3000的信用卡，还有app里的贷款融e借本金17000，因家里出事导致还不上，因为种种原因三月份从医院辞职，但是这几天，工商银行委托第三方催收公司冒充法务部骚扰以前的单位，前同事微信告诉我说对方说是工商银行的，这几天天天骚扰医院，给工作带来不便，医院电话对病人，耽误医院的生命通道，不是你们这么拿来轰炸，你们催收让我坐牢是吧！说话特别嚣张，是你们银行给的权利是吗。</t>
  </si>
  <si>
    <t>2019/10/10 09:33:22</t>
  </si>
  <si>
    <t>2019/10/10 09:33:21</t>
  </si>
  <si>
    <t>第三方群发短信威胁恐吓爆通讯录，要求道歉销账。</t>
  </si>
  <si>
    <t>2019/10/10 09:33:13</t>
  </si>
  <si>
    <t>轻周转芒果筹高利贷砍头息，到账2800，一个月实际还款4088,现已还款三期3066，剩余实在无力偿还，请求予以销账，如骚扰家人和朋友报警处理，支付宝为高利贷开通还款通道！。</t>
  </si>
  <si>
    <t>2019/10/10 09:33:01</t>
  </si>
  <si>
    <t>没有经过我的允许，把我的手机号码，标记为骚扰电话，对我的生活造成了严重影响。</t>
  </si>
  <si>
    <t>2019/10/10 09:32:35</t>
  </si>
  <si>
    <t>，借款3000，表面上一个月实际7天一期，实际到账2100，已还款3期，最后一期要求协商还款，客服拒不协商威胁说走流程。</t>
  </si>
  <si>
    <t>2019/10/10 09:32:18</t>
  </si>
  <si>
    <t>我并未在支付宝有逾期，支付宝催收人员联系本人让本人转告欠款人还钱，本人已多次转告，后来支付宝又联系本人的家人朋友让其转告，严重侵害到本人的合法权益，请问支付宝催收人员是如何获取本人的最新号码和本人家人朋友的号码的呢。</t>
  </si>
  <si>
    <t>2019/10/10 09:32:08</t>
  </si>
  <si>
    <t>在闪银APP里面的哼哼和瞬瞬，借款7笔每笔借款1000元都有一笔199的担保凭证扣费，借款7笔有6笔199元扣费和一笔169元扣费，共计1363元，变相的砍头息，现在不准备在被他们套路下去了不在借了，在闪银里面借款都已经把利息和本金还了，现在要求退还这7笔凭证费这些不合法的扣款。</t>
  </si>
  <si>
    <t>2019/10/10 09:31:00</t>
  </si>
  <si>
    <t>借款15400到账后直接扣除770的服务费用。</t>
  </si>
  <si>
    <t>2019/10/10 09:30:26</t>
  </si>
  <si>
    <t>利率不符合国家标准，属于高利贷行业并且泄露个人隐私，报案应处理3年以内有期徒刑。</t>
  </si>
  <si>
    <t>2019/10/10 09:29:44</t>
  </si>
  <si>
    <t>投诉人张先生投诉对象白条分期涉诉金额249元问题类型诉求类型投诉详情以网贷名义骗取急需贷款的人，付款后只是进去它的AP,根本就没有申请,更别说额度,提供一个又一个的自己也可以下载的平台,让你自己继续去申请别的平台，都是绑定其他费用的,也就是是白条分期根本就不是一个贷款点,而且骗到你扣钱了,再让你自己又去下载而且还是平时你自己也可以下的,无需收费的平台，！！！！！&amp;lt;br&amp;gt;要求必须退款，道歉！。</t>
  </si>
  <si>
    <t>2019/10/10 09:29:32</t>
  </si>
  <si>
    <t>投诉人 熊女士        投诉对象  民生银行信用卡        涉诉金额  0 元    问题类型    诉求类型投诉详情  发与本人无关的信息和电话骚扰。对生活造成恶劣影响</t>
  </si>
  <si>
    <t>2019/10/10 09:29:09</t>
  </si>
  <si>
    <t>我在交易猫上买了一个cf号然后卖家不上线我就不买了，交易失败。</t>
  </si>
  <si>
    <t>2019/10/10 09:28:40</t>
  </si>
  <si>
    <t>拍拍贷上个月联系本人领导同事，对我工作造成严重影响，本人在贵平台投诉之后，拍拍贷没人理会，这个月继续骚扰领导同事，现在在公司已经无法立足，要求拍拍贷向领导同事打电话道歉，否则一毛钱也不会归还，还会带着证据去立案处理，被你们黑过了我也无所谓了，咱就一起死磕到底。</t>
  </si>
  <si>
    <t>2019/10/10 09:28:29</t>
  </si>
  <si>
    <t>在机场值机处给我介绍的，说比其他网络平台有优惠，事实贵几十元，冲进去的钱每次只能消费几十元，也没给我说明。</t>
  </si>
  <si>
    <t>2019/10/10 09:27:36</t>
  </si>
  <si>
    <t>191002-4*************3，已经退款其他均未处理191003-3*************5，1000以上是涉嫌的拼多多的单号和涉嫌金额，在10月1日10月2日10月3日网页游戏充值合计向拼多多平台商户付款11737.3元被骗，10月3日晚上向客服反馈要求拼多多冻结商家终止交易给我退款，10月5日下午专员联系我让我把相关的订单涉嫌金额通过邮件发送到拼多多邮箱，已经发送并称48小时内商家会联系和我协商，10月7日晚上收到一笔退款100.01元，10月8日早上向客服反馈并没有商家联系我，专员也</t>
  </si>
  <si>
    <t>2019/10/10 09:27:30</t>
  </si>
  <si>
    <t>从1号到现在我很有诚意的想解决事情，请帮忙联系现控达人与我进行协商还款，APP反馈也不行恶意让我逾期，产生的逾期费用本人不接受，现控达人故意不解决事情。</t>
  </si>
  <si>
    <t>2019/10/10 09:27:27</t>
  </si>
  <si>
    <t>钱伴工作人员上来就问我怎么回事，然后语气特别不好，还带有威胁的意思，对我已经完成骚扰了，通话内容我已经录音，必要我会走程序。</t>
  </si>
  <si>
    <t>2019/10/10 09:26:16</t>
  </si>
  <si>
    <t>本人在好易贷借款3000元不知道只有7天时间，，而且实际到账金额只有2100元，7天要还3014元，。</t>
  </si>
  <si>
    <t>2019/10/10 09:26:10</t>
  </si>
  <si>
    <t>民生银行很糟糕啊，我都在还款并且也打电话和银行沟通过，银行派外地号码骚扰我，威胁我，行为恶劣令人发指。</t>
  </si>
  <si>
    <t>2019/10/10 09:24:57</t>
  </si>
  <si>
    <t>客服打电话威胁，侮辱，态度极差，骚扰本人及通讯录。</t>
  </si>
  <si>
    <t>2019/10/10 09:24:33</t>
  </si>
  <si>
    <t>我家庭最近出了一些状况，老人住院一个多月，钱都花空了，欠捷信的钱2000多，不是不承认，也不是不还，我想缓过这阵子就把欠款处理了，他们在没和我联系的情况下，找到我老家的村委会，说我欠钱不还，还要去找我的父母，这钱是我花的，和我父母没关系，父母年老体弱，要是因为这事有个好歹，我保留起诉捷信公司的权利。</t>
  </si>
  <si>
    <t>2019/10/10 09:24:32</t>
  </si>
  <si>
    <t>快递派送期间，本人电话保持畅通，至今没有收到电话或短信通知。</t>
  </si>
  <si>
    <t>2019/10/10 09:24:13</t>
  </si>
  <si>
    <t>位于东莞市莞城街道旗峰路万科中心2栋东莞轻奢维体健身会所，本人于4月1日份缴保证金1380元作为保证金加入会员，办理一年有效期健身卡.7200的私教，8月20号该健身房以修电闸为由停业2天，其中未发布任何公告，于8月28日宣布破产，会员无法，只得举报公安，晚上在公安公证下老板徐毅保证退还会员损失钱款，然8月29日早晨变卦拒绝退还我们损失钱款，宣称继续营业，营业至9月中旬又开始无故关门停业，负责人联系不上，第二次无故停业至今已1月有余；该健身房自6月到8月骗取一百多人充值健身房卡，吸纳资金10万元以上，，其中</t>
  </si>
  <si>
    <t>2019/10/10 09:23:27</t>
  </si>
  <si>
    <t>交易猫迟迟不给退款，找过客服没有给出明确原因。</t>
  </si>
  <si>
    <t>2019/10/10 09:23:19</t>
  </si>
  <si>
    <t>本人有还款意愿，催收人员打电话给我问我多久处理，我说今天发薪水今天处理，催收人员态度极其恶劣说你拿什么处理，从头到尾一直重复把钱还进来，是不是不想还钱了，根本不听人说话。</t>
  </si>
  <si>
    <t>2019/10/10 09:23:13</t>
  </si>
  <si>
    <t>投诉人靳女士投诉对象升学教育涉诉金额16800元问题类型诉求类型投诉详情给我介绍的人说课程是9月16号开课，实际课程是8月份已经开课，我要求退款，一直说有售后人员给我联系处理，到现在还没有联系解决此事，找给我介绍课程的人他说已经提交售后，找班主任老师说这事不是他负责，现在一直拖着不处理，未退款！。</t>
  </si>
  <si>
    <t>2019/10/10 09:22:15</t>
  </si>
  <si>
    <t>2499刚买3个月，就漏液，花七百多换了屏六个月又是这样的问题，两次都是四十公分的床上掉下来就是这样，打电话售后说是我们的魅族手机不防摔，不防挤压，边框窄就容易有这样的问题，我想问下说是用的三星AMOLED屏幕，三星那些曲面屏无边框的手机怎么没有大批出现这样的问题，我再网上查了下AMOLED屏里面无液态何来漏液之说，明摆欺骗消费者，我想问下还有没有通过别的法律途径来告魅族公司，我要求这款手机做一个全公开的鉴别，到底是什么原因，如果这款手机不是因为设计缺陷怎么可能网上一搜索全是这样的。</t>
  </si>
  <si>
    <t>2019/10/10 09:22:05</t>
  </si>
  <si>
    <t>暴力催收，威胁恐吓联系人！你们的催收是不是倒闭了的小贷公司召来的，这个是银行做出的事。</t>
  </si>
  <si>
    <t>2019/10/10 09:22:00</t>
  </si>
  <si>
    <t>本人从2018年5月5日开始使用杭州盟蓄和杭州银圆信息旗下产品，一共借款7次，借款总额：5750还款总额7470，抵消冲账，扣除法定利息，要求退还1050元。</t>
  </si>
  <si>
    <t>2019/10/10 09:21:58</t>
  </si>
  <si>
    <t>2019-10-9日在交易猫购买一账号价值231元，付款行卖家不配合交易，只能取消订单，订单成功取消后交易猫退款一直失败，无任何理由说明，按交易猫描述支付宝余额支付退款是及时到账的，持续到现在款项仍未到达，无任何渠道联系到客服，无人处理。</t>
  </si>
  <si>
    <t>2019/10/10 09:21:53</t>
  </si>
  <si>
    <t>在国美易卡申请了账号，也没有任何账务，想注销我的账号和我的征信的查询记录，客服不处理，以无法注销无由拒绝注销！。</t>
  </si>
  <si>
    <t>2019/10/10 09:20:48</t>
  </si>
  <si>
    <t>购买账号交易失败，说支付宝余额付款立即退回到账户，交易猫却一直退款失败，这是不打算退钱了么，看网上好多一样的情况，交易猫这么坑钱猖狂没人管了么。</t>
  </si>
  <si>
    <t>2019/10/10 09:20:18</t>
  </si>
  <si>
    <t>本人于2017年5月份以1213块钱的首付分期了一部5999块钱的苹果手机，分24期，每期372.96块钱，连续分期了16期，就停止了还款，因为这已经高出了国家定的24%的利息，但马上金融一直到现在以电话骚扰、恐吓的方式还要我还2812.14块钱，实在没办法只好在此平台投诉，希望此平台能公正的处理这件事。</t>
  </si>
  <si>
    <t>2019/10/10 09:20:09</t>
  </si>
  <si>
    <t>投诉人 牛女士        投诉对象  网信理财        涉诉金额  89 000 元    问题类型    诉求类型投诉详情  从今年六月份钱款提出不到账 到期不还钱已经催了很多次了 催的人还钱快 不催就不还钱网信理财尽快还钱 否则就一直投诉客服不理人 也不说解决办法和进度 无期限等尽快给予答复 并还钱 请尽快还钱从今年六月份钱款提出不到账 到期不还钱已经催了很多次了 催的人还钱快 不催就不还钱网信理财尽快还钱 否则就一直投诉客服不理人 也不说解决办法和进度</t>
  </si>
  <si>
    <t>2019/10/10 09:19:39</t>
  </si>
  <si>
    <t>钱站阴阳合同高利贷，借1000元实际到账1000元，分3期，但合同显示1690元，每期要还500多，已还两期，本金已还完，希望钱站能给我个满意的解释，停止骚扰。</t>
  </si>
  <si>
    <t>2019/10/10 09:18:46</t>
  </si>
  <si>
    <t>王者钱包协商人员哪来的底气，借款3000元，到账1860元，5天后要总共要还3013.2元，这样的高利贷，套路贷，他们底气何来，希望平台帮忙处理一下，实在无能为力了！。</t>
  </si>
  <si>
    <t>2019/10/10 09:18:30</t>
  </si>
  <si>
    <t>投诉人 朱先生        投诉对象  枯木逢春,汇潮支付,广州合宝利        涉诉金额  832 元    问题类型    诉求类型投诉详情  借款832块钱，需支付1300。5天468块的利息。超恐怖利息，而且是不需要确认的。直接到银行卡，要求调整合理利息还款</t>
  </si>
  <si>
    <t>2019/10/10 09:18:18</t>
  </si>
  <si>
    <t>在马上金融逾期一天，从未逾期过这是第一次，由于工作问题工资延后了，催收来电话想要和他协商还款事宜，他让我联系客服，客服电话根本打不进，想要协商还款时间，麻烦联系。</t>
  </si>
  <si>
    <t>2019/10/10 09:18:13</t>
  </si>
  <si>
    <t>2018年11月8日本人马上金融借款3900分期6个月要还4314，已经还了2190元，后来发现这家网贷公司利息高，属于高利贷，我就停止还款了，到今天利息已经不合法的利息800多了，本人愿意协商还款，愿意承担国家规定的利息本金加利息2157元，多一份不还，严重影响我的个人生活，停止骚扰身边的朋友。</t>
  </si>
  <si>
    <t>2019/10/10 09:17:56</t>
  </si>
  <si>
    <t>小花钱包高利贷，利率超过正常标准，还款日为每月10号，好几次了，扣了款不销账，APP继续催收让我还款，利率高的吓死人也就算了，我每月按时还款，明明已经从我卡上扣钱了还要再让我还一遍，一年到头连个人工客服也没有，完全找不到人！高利贷部分合同上写的：服务费。</t>
  </si>
  <si>
    <t>2019/10/10 09:17:46</t>
  </si>
  <si>
    <t>巴中的助力车很多故障车停在街上为何还能扫码骑行，昨天下午6点多因事急我在通佛苑门口扫了3710364092车往西山大厦方向骑走，骑了不到50看见前方有车赶紧刹车发现车刹不了，又正好是下坡，情急之下我只好左转撞向别人的电瓶车才算停下，还好没发生大事，处理好后，我停了车付费报了障，就在旁边扫了另一辆3710440920车骑走，这辆车我是看到别人刚停下的，结果骑了100米的样子，在红军路处车子不怎么走了，我蹬车发现车还是不走，停下来看原来是链子掉了，我才想起是看到别人推过来停的，应该也是报过障的，既然是障碍车为什</t>
  </si>
  <si>
    <t>2019/10/10 09:17:25</t>
  </si>
  <si>
    <t>投诉人 曲女士        投诉对象  钱站,华夏银行        涉诉金额  31 000 元    问题类型    诉求类型投诉详情  严重砍头息，高利息，高额服务费，暴力催贷</t>
  </si>
  <si>
    <t>2019/10/10 09:16:47</t>
  </si>
  <si>
    <t>投诉人赵先生投诉对象北京极赞科技有限公司涉诉金额1174元问题类型诉求类型投诉详情本人于2019年9月26日14点13分，在“nice”购物平台购买了名为“村上隆*DORAEMON*UNIQLO联名SHORTSLEEVE2018年春夏款白色”的短袖，购买后，价格上下波动较大，发售价一百多元的短袖，价格飙升到1174元，溢价甚至高达数倍之多，严重引导了市场价格，违背了“nice”平台穿而不炒的宗旨，随即我便联系“nice”平台客服，平台客服以看私信为准的理由来拖延时间，期间我多次联系“nice”平台客服，并为</t>
  </si>
  <si>
    <t>2019/10/10 09:15:54</t>
  </si>
  <si>
    <t>2019/10/10 09:15:48</t>
  </si>
  <si>
    <t>本人之前在融360旗下的且贷且花借了2500元，砍头息500，实际到账2000元，周期15天！典型的714高炮，严重违反国家规定利率，而且催收人员态度极其恐怖，并且在我目前和孩子午休的时候打电话骚扰，真心让人无法忍受！！！我现在要求投诉！！希望对这些曾经的7，通过融360app看到的且贷且花贷款平台，然后在融360上面操作的贷款，该平台已强制购物的方式，借2500，需要购物500块钱产品，当然寄送的产品基本都收不到，在京东和天猫查询该平台售价500的产品，最多值30-70元，借款期限是15天，也就是到账20</t>
  </si>
  <si>
    <t>2019/10/10 09:15:37</t>
  </si>
  <si>
    <t>本人于2019年9月8日在信用管家的金钱保，借款2250元，分4期还，每期7天还款767.64，合计总共应还款3050，利息远超国家规定的合计利息，本人前三期总共已还2303，还款金额已经超出借款本金且还了一定利息，现本人要求最后一期协商还款，不然就向当地扫黑办实名举报。</t>
  </si>
  <si>
    <t>2019/10/10 09:15:35</t>
  </si>
  <si>
    <t>7月9日钱站借款3000，实到2600，分三期，前两期已还总额3300，希望关注并销账。</t>
  </si>
  <si>
    <t>2019/10/10 09:15:23</t>
  </si>
  <si>
    <t>本人在小浦优客看条款后，未继续操作后，无任何理由从我卡里扣除296元，希望对方退款，因为这是属于不合法的收取，毕竟没经过本人同意。</t>
  </si>
  <si>
    <t>2019/10/10 09:15:20</t>
  </si>
  <si>
    <t>该平台还款了不认账，早已经还清了现在继续骚扰我。</t>
  </si>
  <si>
    <t>2019/10/10 09:15:16</t>
  </si>
  <si>
    <t>前几个月开始就一直发不出短信，之前我也找客服反映了这个事情，客服跟我说给我反馈上去，没有人跟我联系，前几天我又再次找了移动客服反映这个事情，客服又跟我讲。</t>
  </si>
  <si>
    <t>2019/10/10 09:15:04</t>
  </si>
  <si>
    <t>我现在资金困难，马上金融催收工作人员暴力催收，_侮辱，什么态度，我现在资金苦难，不苦难早还了！能不能体谅一下啊！是不是聚投诉影响力不大了！。</t>
  </si>
  <si>
    <t>2019/10/10 09:14:40</t>
  </si>
  <si>
    <t>投诉人王先生投诉对象联动云租车涉诉金额500元问题类型诉求类型投诉详情我于9月20日到当地公安局处理违章，并在当日提交凭证，现已过去20日，大大超过了联动云给出的违章处理退款期限，顾发起此投诉。</t>
  </si>
  <si>
    <t>2019/10/10 09:14:32</t>
  </si>
  <si>
    <t>由于合伙生意破产，资金困难，广发银行信用卡逾期，额度只有5000；但是我每个月几百一千的都在还，但是现在他们告知我还有五千多没还，而且催收态度嚣张，威胁恐吓，我知道逾期是我的不对，但是我每个月都在积极的想办法处理，你给朋友打电话骚扰我朋友，不分时间。</t>
  </si>
  <si>
    <t>2019/10/10 09:14:17</t>
  </si>
  <si>
    <t>北京市政交通一卡通官网10月9日起无法登陆，继而无法查询充值记录等信息，请尽快恢复，建议手机app增加能查询充值历史记录的入口。</t>
  </si>
  <si>
    <t>2019/10/10 09:13:46</t>
  </si>
  <si>
    <t>下载了app，要求绑定银行卡，生成报告，未经同意私自扣款，也并没有提到服务费，也没有表明服务费的价格，希望投入能得到及时的处理，贴吧里也有很多人都被这样骗了。</t>
  </si>
  <si>
    <t>2019/10/10 09:13:39</t>
  </si>
  <si>
    <t>发卡方已经退还保证金，并回复已经注销完成，但是在重新申办的时候，还是提示“此车辆已在北京发行1发行有卡，发行方客服电话：010－96011”，现在问题是没办法申办，客服电话又排不上号，一个诉求：彻底清除信息。</t>
  </si>
  <si>
    <t>2019/10/10 09:13:36</t>
  </si>
  <si>
    <t>拍拍贷高利贷，逾期84元，几天时间要还款110，催收爆我通讯录，态度恶劣，爆我通讯录还要我还钱，不好意思！我早已经还够国家规定的本金和利息！拍拍贷有本事让你们催收把定位给我发过来！打烂他们这些催收的狗嘴！。</t>
  </si>
  <si>
    <t>2019/10/10 09:13:26</t>
  </si>
  <si>
    <t>投诉人 段先生        投诉对象  交易猫        涉诉金额  198 元    问题类型    诉求类型投诉详情  我是买家在交易猫买东西 交易失败后一直退款失败</t>
  </si>
  <si>
    <t>2019/10/10 09:13:06</t>
  </si>
  <si>
    <t>退还超高利息和砍头息费用，暴力催收导致工作丢失导致个人名誉颜面扫地，停止对我家人和朋友的骚扰和挑衅！。</t>
  </si>
  <si>
    <t>2019/10/10 09:12:31</t>
  </si>
  <si>
    <t>给客服打电话一点用都没有，联系客服说了没有用，说是我还了本金就给我结清，结果我还了还没有给我结清，说话不算数。</t>
  </si>
  <si>
    <t>2019/10/10 09:11:24</t>
  </si>
  <si>
    <t>因为一些家庭原因，导致信用卡逾期，和工作人员协商了，因工资发放延迟，导致不能履行当时的时间，在主动回拨工作人员的电话，但是工作人员却说让我联系信用卡中心，信用卡中心的却说她们也没法干涉，让我联系给我打电话的工作人员，你们这么来回推真的好吗，还有和我联系的工作人员，我已经和你明确的表明了我在工作期间有时忙不能接听电话，还每分钟一个，连着打四五个，就停止，我看到了回过去就来回推，而且工作人员还威胁说8号不处理就停卡，上门催收全款，我就想让银行工作人员联系我处理，不要一直在推脱，联系我的话，联系173尾数4537</t>
  </si>
  <si>
    <t>2019/10/10 09:10:44</t>
  </si>
  <si>
    <t>猴犀利，借款3800元，到手2746元，1200元的砍头息，按照猴犀利提供的电话去协商还款，但一直联系不上客服，催收电话如图一，催收短信所展示的客服电话停机，根本联系不上。</t>
  </si>
  <si>
    <t>2019/10/10 09:10:25</t>
  </si>
  <si>
    <t>10月9日下午在交易猫购买帐号，验号后不满意，取消交易，交易猫系统一直不退款，系统一直提示退款失败。</t>
  </si>
  <si>
    <t>2019/10/10 09:10:11</t>
  </si>
  <si>
    <t>拍拍贷催收人员，暴力催收，恶意冒充公检法，群发虚假开庭公告，对借款人的精神，名誉，造成了严重的损失！协商还款，催收人员没有任何诚意！。</t>
  </si>
  <si>
    <t>2019/10/10 09:10:07</t>
  </si>
  <si>
    <t>2019年4月17日办理入会，期间装修一个月，且多次以停电为由非正常营业，目前门店已关门停业，没有任何说法和赔偿。</t>
  </si>
  <si>
    <t>2019/10/10 09:09:52</t>
  </si>
  <si>
    <t>套路贷，要求宝付支付退还砍头，道歉，不退手续费本人将进一步投诉至12315平台。</t>
  </si>
  <si>
    <t>2019/10/10 09:09:03</t>
  </si>
  <si>
    <t>借款3次，有2次需要购买黑卡分别是126元和231元，而且2次的黑卡金额都不一样，我严重怀疑闪电借款平台欺诈消费者，放款方是玛瑙湾，我与客服沟通无数次，每次都啰嗦一大堆，最后还是没退还，请求聚投诉监督，要求退回砍头息，谢谢平台。</t>
  </si>
  <si>
    <t>2019/10/10 09:08:54</t>
  </si>
  <si>
    <t>10月9号在大众点评上22：03订了酒店的房间，后面临时有事去不了酒店22.30左右打电话给酒店说退房，酒店说让我自己在app上退，我说app上没有退款的选项，酒店说他那边也操作不了让我自己想办法，然后我又打给美团，美团接听不了，因为我早就跟酒店，美团都第一时间沟通了，一个不管我，另一个根本不接电话，app上也没有可以退款的操作。</t>
  </si>
  <si>
    <t>2019/10/10 09:08:03</t>
  </si>
  <si>
    <t>stores自动订阅然后扣取费用，找苹果就说不归她们管，让找第三方，第三方拒绝协商。</t>
  </si>
  <si>
    <t>2019/10/10 09:07:53</t>
  </si>
  <si>
    <t>上门催收开始对我妈妈造成伤害此事的捷信概不负责。</t>
  </si>
  <si>
    <t>2019/10/10 09:07:51</t>
  </si>
  <si>
    <t>10月6日在小花钱包借款3万元，后来一直显示在转账中，打客服电话一直没有人接，想取消借款取消不了，10月8日早上打通客服电话让客服给我取消借款，我不想借了，但是客服说如果不想借了，不去提现就自然取消了，10月8日下午5点左右，借款的3万块钱直接打入了我的银行卡，立马我就打客服电话告诉她我不想用这笔钱了，让她给我取消，但是客服告诉我可以提前还清欠款的，不过要等24小时以后，10月10日早上我打开小花钱包app准备去还这笔3万块钱的借款，可是上面显示我本金3万，利息3099.05，我一分钱没用，才两天，就要我还</t>
  </si>
  <si>
    <t>2019/10/10 09:07:47</t>
  </si>
  <si>
    <t>我不要求多的，逾期费太高了，去除这几天的逾期费我就还了这期。</t>
  </si>
  <si>
    <t>2019/10/10 09:07:02</t>
  </si>
  <si>
    <t>需要银行退还我一年的最低还款利息，协商一个多月了一直没结果。</t>
  </si>
  <si>
    <t>2019/10/10 09:06:08</t>
  </si>
  <si>
    <t>各大金融贷款平台公司利用抖音庞大流量群体进行贷款推广！众所周知，贷款链接是点一次就上一次大数据，其广告语:30000/50000等更是引诱资金短缺的人进行点击，而大家也都知道所有贷款都是看信用的，在银监会严管下的今日，什么熊花花，榕树借贷，新浪分期等广告铺天盖地，每耍几十个抖音视频你就可以看到一个贷款广告，我是一个过来人，希望抖音平台给用户一个绿色安全的体验环境，如果处理不当我会申请银监会介入处理！。</t>
  </si>
  <si>
    <t>2019/10/10 09:05:38</t>
  </si>
  <si>
    <t>拍拍贷在找不到当事人的情况下，多次长时间内进行骚扰，恐吓。</t>
  </si>
  <si>
    <t>2019/10/10 09:05:18</t>
  </si>
  <si>
    <t>本人于2019年8月8日在钱站借款3000元，到账以后查看合同，一共分3期还，每期1785元，大大超过合法年化率，且拒不协商，申请偿还本金，望聚投诉帮忙处理。</t>
  </si>
  <si>
    <t>2019/10/10 09:05:00</t>
  </si>
  <si>
    <t>借到10000，转头就扣掉1000，不经过我同意，逾期一天多收我100。</t>
  </si>
  <si>
    <t>2019/10/10 09:04:46</t>
  </si>
  <si>
    <t>跟很多受骗者情况如出一辙，怪自己被百度直通车业务员忽悠，说效果有多好多好，结果一点效果也没有，最可恨的是他们后台偷偷的不经过我的同意擅自调高每日推广费，这跟偷有区别吗我也是在1个月前申请退款，不知道几时可以退成功。</t>
  </si>
  <si>
    <t>2019/10/10 09:04:36</t>
  </si>
  <si>
    <t>健身房突然关门了，没有一个人出来告诉怎么了，联系上股东以后，股东与法人踢皮球，现在开始申请注销工商执照了，后面受害者创建了个群大家大大小小的金额加起来有三十多万。</t>
  </si>
  <si>
    <t>2019/10/10 09:04:17</t>
  </si>
  <si>
    <t>因为上个月工资到现在一直未发放下来，导致账单逾期，之前账单都有一直都及时处理的，就是这一期因为工资原因逾期了，和工作人员说明了情况，她让我去找朋友借，我找朋友借了，没借到，结果她和我说她去帮我和我朋友以及家里人借，之后就挂了电话，我有录音为证，我想请问，该公司就这样容忍下属暴力催收。</t>
  </si>
  <si>
    <t>2019/10/10 09:03:19</t>
  </si>
  <si>
    <t>说了要可以晚点吗对面一直威胁说要爆通讯录威胁家人。</t>
  </si>
  <si>
    <t>2019/10/10 09:03:02</t>
  </si>
  <si>
    <t>橘子分期说买了会员下款，现在我买了会员审核失败，现在要求橘子分期退我钱！！。</t>
  </si>
  <si>
    <t>2019/10/10 09:02:38</t>
  </si>
  <si>
    <t>在玖富万卡借款50000，到账50000，但合同金额64305，每月还款2139，合计要还到76968，现在已经还款18期，这利息要超出国家规定的很多吧，而且还有砍头息，虽然合同里标注是服务费、保险费，跟客服人员联系协商，刚开始态度很好，让我先还500，但是月还金额里不显示还500，我照客服的存在卡里，约定当日两点半扣款，但是到下午四点左右未扣款，我在百度上搜索看到，玖富万卡收取逾期费用500，但是没看明白是收取出借人的还是借款人的，这500是额外收取的，因为工作原因没接到客服来电，后来接到电话，我想问客服</t>
  </si>
  <si>
    <t>2019/10/10 09:01:26</t>
  </si>
  <si>
    <t>乱扣费，没经过本人同意！299元！已经多上上当受骗！要求退款！。</t>
  </si>
  <si>
    <t>2019/10/10 09:01:04</t>
  </si>
  <si>
    <t>佛山市南海区丹灶镇祈福南湾半岛小区，之前的楼巴是不收费的，现在突然收费，而且收费标准贵的离谱，估计已经超出物价局标准了！而且祈福南湾半岛的水费，物业费收费标准都是偏高的，希望小区能给出合理的解释，不然所有业主都会不妥协。</t>
  </si>
  <si>
    <t>2019/10/10 08:59:55</t>
  </si>
  <si>
    <t>借款15000，钱一到账自动扣除服务费用实在到手12660，分期12期每期还款1505等于还款总额为18060年利率高达50%。</t>
  </si>
  <si>
    <t>2019/10/10 08:59:29</t>
  </si>
  <si>
    <t>钱站网贷平台阴阳合同，还款费用不知从何而来，这种还款金额让老百姓无法承受，现在国家大力打压非法网贷，怎么还有这种让老百姓活不下去的平台，希望平台重视这种平台，给老百姓一条活路。</t>
  </si>
  <si>
    <t>2019/10/10 08:58:46</t>
  </si>
  <si>
    <t>时光分期平台管理费高的离谱！并且利息太高！跟客服联系反应诉求却无法解决！跟该公司内部人员协商好，今天协商明天却反悔，说没法解决，导致催收一直拨打骚扰电话！跟该公司内部人员沟通都有录音为证！解决方式为当期还款1500.后期每期还款1380.该公司答应了！第二天却反悔！可以提供录音。</t>
  </si>
  <si>
    <t>2019/10/10 08:58:39</t>
  </si>
  <si>
    <t>投诉人 周女士        投诉对象  钱站        涉诉金额  3 000 元    问题类型    诉求类型投诉详情  在钱站贷款3000 三个月利息1440 第一期还款说的是第三方收取 请问第三方是谁 并且威胁 不还钱就一次性还完4440 并联系家人</t>
  </si>
  <si>
    <t>2019/10/10 08:58:37</t>
  </si>
  <si>
    <t>爱剪极app直接自动订阅288，扣费以后从来没有使用过，申请退款不予处理，从未授权！。</t>
  </si>
  <si>
    <t>2019/10/10 08:58:29</t>
  </si>
  <si>
    <t>广发银行第三方催收机构严重扰民，私闯民宅恐吓老母亲，老母亲有精神忧郁症长期药物维持，2019年广发银行催收多次上公司扰民，导致我失业长达7个月之久，本人没有不还只是申请分期还本金遭到拒绝，高额的不合理的利息本人拒绝还款，现在02150830179又开始扰民了，还是广发银行信用卡中心指使的，希望广发信用卡中心可以正面解决这个事情，可以走法律程序，让法官来合理解决这个事情，我现在可以每个月分期还本金，但是一次性肯定是达不到这个要求的，希望平台可以抵制这样黑势力，和平解决。</t>
  </si>
  <si>
    <t>2019/10/10 08:57:40</t>
  </si>
  <si>
    <t>猫眼搞邀请一个人5元的欺诈活动，活动说明了邀请人就可以提现，结果不给提现。</t>
  </si>
  <si>
    <t>2019/10/10 08:57:35</t>
  </si>
  <si>
    <t>2018年7月报名缴纳学费，招生老师，未告知7天内可以无偿退款，当时我就觉得自己不适应，我就要退学，老师连哄带骗的，说自考比较简单，课程只有10门考试，每一节课只要二十分钟三十分钟左右，事实证明与其不相符，二是，一直长达一年的退学，老师，班主任，态度强硬一直不给予解决，每次都是说报名时间太长了，不给退费，每个人都像踢皮球，踢来踢去，完全不把别人当回事，事实，我在当地咨询一下教育局，自考都可以自己自学，完全不需要尚德报考课程，尚德的学费也高收费。</t>
  </si>
  <si>
    <t>2019/10/10 08:57:10</t>
  </si>
  <si>
    <t>打了客服电话以后，毫无效果，没有任何回访也不给予退保，银保监会已经明确规定保险销售不能捆绑网贷，这里还在明知故犯。</t>
  </si>
  <si>
    <t>因为自然灾害导致本期账单逾期，已经跟400官方电话多次沟通，从未说过拒绝还款！催收电话除紧急联系人外，爆我通讯详单，打给了我的客户，导致生意流失，这样操作，是想雪上加霜还是想让我回流资金还钱的，今天处理投诉的客服人员说他们有权利给孩子的老师打电话调查一下我的家庭情况，我父母早走，独生女没有兄弟姐妹，客服居然说是作孽，甚至打给了我孩子的老师！跟400电话投诉多次，今天处理投诉的客服人员说，他们有权利给孩子的老师打电话调查一下我的家庭情况，我父母早走，独生女没有兄弟姐妹，客服居然说是“作孽”！已经录音为凭！这种</t>
  </si>
  <si>
    <t>2019/10/10 08:56:31</t>
  </si>
  <si>
    <t>拼多多客服，客服敷衍，延迟不处理，至今已有十天，说是专员处理，但是每次客服都不一样，问几句，让等三四天，又问几句，又等几天。</t>
  </si>
  <si>
    <t>2019/10/10 08:55:47</t>
  </si>
  <si>
    <t>安逸花爆力催收，一句是最后一期了，不是不还，是这段时间真的没有，希望协商还款，或者延期！。</t>
  </si>
  <si>
    <t>2019/10/10 08:53:58</t>
  </si>
  <si>
    <t>在玖富万卡上看到钱站，为钱站导流，本来是没钱就去下载填资料看，本来是借2660到账却是2000，我想问下660去哪了，借了2000分三期，一期就是还986.67一共x3期等于2960.01，凭什么利息这么高而且和高利贷一样哦，远远超出银监局规定的24和36,借2000分三期就还2960哦，一共利息960,，我第一次遇到这样公司贷款的，变态噢，希望能在聚投诉这里得到公平的利息,反正我现在也没钱，不调整，我就一直投诉，公平的本金利息我可以后面挣到钱还，但是这么高，我现在也没钱没能力还，希望玖富万卡，钱站看到后处</t>
  </si>
  <si>
    <t>2019/10/10 08:53:48</t>
  </si>
  <si>
    <t>投诉人 李先生        投诉对象  东莞市轻奢维体健身有限公司,东莞市轻奢维        涉诉金额  1 308 元    问题类型    诉求类型投诉详情  老板圈完钱未作任何说明然后跑路。先无法联系到公司任何人。</t>
  </si>
  <si>
    <t>2019/10/10 08:53:40</t>
  </si>
  <si>
    <t>投诉人曹女士投诉对象捷信金融涉诉金额11000元问题类型诉求类型投诉详情借款3万分22期&amp;nbsp;要还45744&amp;nbsp;已还款35000这样&amp;nbsp;高利贷&amp;nbsp;随后他们找人上门催收&amp;nbsp;我说利息不合法&amp;nbsp;催收说明我们都是合法合理&amp;nbsp;我们是有服务费的时候&amp;nbsp;你不还钱我们就起诉你&amp;nbsp;上门之前我没有收到任何的消息&amp;nbsp;也没有提前通知我.&amp;nbsp;催收上门敲门&amp;nbsp;跟砸门一样&amp;nbsp;我妹妹吓哭&amp;nbsp;事后捷信还每天打妈妈电话&amp;nbsp;等等</t>
  </si>
  <si>
    <t>2019/10/10 08:53:32</t>
  </si>
  <si>
    <t>微粒贷因家里变故，逾期了，微粒贷暴力催收，伪造开庭证明，发短信威胁上门催收，正规银行和高利贷有啥区别。</t>
  </si>
  <si>
    <t>2019/10/10 08:53:00</t>
  </si>
  <si>
    <t>招联金融爆力催收，金额是没有多少，不是不还，是这段时间真的没有，协商还款，或者延期！。</t>
  </si>
  <si>
    <t>2019/10/10 08:52:55</t>
  </si>
  <si>
    <t>要求商家取消砍头费390元，如不取消我要走法律程序。</t>
  </si>
  <si>
    <t>2019/10/10 08:52:28</t>
  </si>
  <si>
    <t>本人在微贷贷款5000分三期一期1700多，第一期还完，第二期逾期了7天，不知道是外包还是什么威胁我，我不怕被爆了，微贷给我一个交代，别她妈不专业的人过来跟我谈，欠钱还钱天经地义，能跟我协商咱俩就好好的协商还款，好好的聊，态度那么恶劣，报警了。</t>
  </si>
  <si>
    <t>2019/10/10 08:51:15</t>
  </si>
  <si>
    <t>小遛单车不能还车，导致费用一直增加，电单车app软件上没有任何提示，简直是欺诈消费者。</t>
  </si>
  <si>
    <t>2019/10/10 08:50:09</t>
  </si>
  <si>
    <t>信而富砍头息，本人在信而富多次借款，每次借款都需要购买高额产品来激活额度，商品根本就是十几块钱的低档货，却被卖到两三百，甚至还有高达四五百的虚拟商品，要求退款费用，按照国际利率还款，还有中金支付为信而富收取砍头息，有种恳请聚投诉给予帮助解决。</t>
  </si>
  <si>
    <t>2019/10/10 08:50:05</t>
  </si>
  <si>
    <t>在失信区显示有我的信息截止到现在已经两个月了。</t>
  </si>
  <si>
    <t>2019/10/10 08:49:51</t>
  </si>
  <si>
    <t>，但是玖富万卡显示3次借款，多次拨打客服未接听，而且利息高的可怕，总借款7800元，需还款就得22000左右。</t>
  </si>
  <si>
    <t>2019/10/10 08:49:10</t>
  </si>
  <si>
    <t>每期还1123元，还第一期时工作人员说我在晚上十二点之前还上就不会逾期，只因资金上出了点问题，我在十一点四十左右开始还款的，可还款时由于我忘记了密码要重新修改，同一密码要输两遍，明明是一样的，可他们总显示说两次密码不一致，输了好多遍都是如此，一直等过了十二点后，我还是输的同一个密码，同样的方法，所以，我觉得他们是为了那点违约金有意而为之，谁都有困难的时候，这期由于家里出了点事，实在是没办法如期还款，他们就未经允许爆我通讯录里的每个人，有的家人和朋友打电话给我说一直被骚扰，天天打电话骚扰我，确实他们的电话我都</t>
  </si>
  <si>
    <t>2019/10/10 08:49:03</t>
  </si>
  <si>
    <t>2019年9月21号在聚富分期app上注册账号打算在他们平台贷款的，就填写了些资料，填写资料时也没看到需要评估报告费用，没想到直接扣了我299元！造艺科技提供违规支付通道，我就想说在我不知道的情况下可以乱扣我的钱吗，你们这是属于违法犯罪，联系客服都是一套一套的，说什么过14天才能退款，而且还需要注册你们推荐的几个借款app失败后才能退款！百般推脱，混淆概念，而且客服说不先结案就不退款，态度极其强硬，我就想知道这是谁给你们的勇气，让你们藐视国家法律法规，如果你们不退款，我会联合其他受害者继续向各大平台及上级政</t>
  </si>
  <si>
    <t>2019/10/10 08:48:54</t>
  </si>
  <si>
    <t>加钱抢票，到了约定时间点依然没抢到票，但是没有退之前加钱抢票的30元。</t>
  </si>
  <si>
    <t>2019/10/10 08:48:07</t>
  </si>
  <si>
    <t>上两天我在喵下贷借了1300百元，五天时间要还1999元，收取高额砍头息，协商只还本金和合法的利息，他们不同意，而且还爆通讯录，采用恐吓等方式骚扰我的家人。</t>
  </si>
  <si>
    <t>2019/10/10 08:47:56</t>
  </si>
  <si>
    <t>本人于2017年8月份，接维信平台客服推荐贷款服务，多次通过电话让本人贷款，当时因为需要资金周转，便像平台贷款21000分36期还款，没有考虑到利息和手续费已过好，现已还了18期了，按照合同金额21000分36期本金只需584，但是平台每个月需还1024.33元，是本金的将近两倍之多，高额的利息，现因本人家庭原因，已无法继续偿还剩余的金额，所以想通过聚投诉和平台协商还款剩余的金额！并调整利率！厦门催收人员经常上门骚扰，影响家人情绪，多次反应平台无法得到有效解决！。</t>
  </si>
  <si>
    <t>2019/10/10 08:46:56</t>
  </si>
  <si>
    <t>套路贷，准备留着额度应急，结果提交资料自动放款，打开一看3500元的借款，我只收到2100，五天归还，必须给个说法不然一分钱都不会归还马上报警，这属于骗贷！。</t>
  </si>
  <si>
    <t>2019/10/10 08:44:41</t>
  </si>
  <si>
    <t>电话恐吓，短信轰炸，还说派人过来要过来搞我，见到我要把我打一顿，现在扫黑也拿这种人没办法吗，。</t>
  </si>
  <si>
    <t>2019/10/10 08:44:38</t>
  </si>
  <si>
    <t>拼多多存在违反第三方支付，利用虚拟商品代付款，跟网站上的赌博网站有着相关等，紧半个月的时间被赌博网站骗了20300元，都是通过拼多多利用虚拟商品代付款的，商户也联系不上，要求拼多多平台退款赔偿。</t>
  </si>
  <si>
    <t>2019/10/10 08:44:33</t>
  </si>
  <si>
    <t>详情地址：东莞市莞城街道兴塘社区旗峰路200号万科中心2号办公楼1301、1302室，首次健身房关门在8月20日晚上就因为欠房租水电费被关电，一直直到8月29日才恢复营业，现于9月19日晚上突然再次关门停止营业，此前无通知无告知我们会员是什么情况，现无法联系到老板，法人谢搌博电话也是打不通：159******60。</t>
  </si>
  <si>
    <t>投诉人吕先生投诉对象交易猫涉诉金额743元问题类型诉求类型投诉详情在交易购买账号，购买时有投保，因非本人原因账号到手之前就已经被封停，符合交易猫保险理赔条件，而交易猫拒绝理赔，客服也不回应。</t>
  </si>
  <si>
    <t>2019/10/10 08:44:21</t>
  </si>
  <si>
    <t>投诉人 左丹阳        投诉对象  掌众金服        涉诉金额  3 600 元    问题类型    诉求类型投诉详情  联系不到客服，尝试多次联系协商还款无果。</t>
  </si>
  <si>
    <t>2019/10/10 08:43:44</t>
  </si>
  <si>
    <t>恒昌利通旗下的恒易贷，未到还款日开始疯狂骚扰借款人，并令旗下客服恐吓，威胁借款人，并订立虚假合同，实际金额比合同金额高四分之一，请问是什么勇气能让一家成立于北京市的公司都敢如此猖狂，视国家法律为无物，在国家扫黑除恶严打的今天仍然敢于利用如此黑恶手段迫害消费者，希望聚头诉能结合其他消费者投诉，向北京市公安局报警！。</t>
  </si>
  <si>
    <t>2019/10/10 08:42:43</t>
  </si>
  <si>
    <t>由于资金周转不开在闪电借款平台借了款！9500元每次借款都需要购买1600元左右的会员卡，也就是砍头息！到手9500元，期限是50天，还款9950元！这样的利息高的吓人并且无法承受！还款日是10月6号，由于近期经济极其紧张，所以准备10号发工资还款，并且和催收人员已经协商好，但是昨天闪电借款竟然骚扰我的亲朋好友！！已严重违反国家法律！！我要求闪电借款退还我的购买会员费用！！！。</t>
  </si>
  <si>
    <t>2019/10/10 08:42:36</t>
  </si>
  <si>
    <t>没有订阅就扣费！！！已经不是第一次了，我用其他账号登陆下载videoleap已经是免费会员，登陆自己账号后现在直接就扣钱！凭什么，我现在要求退费，不使用了！！！。</t>
  </si>
  <si>
    <t>2019/10/10 08:40:45</t>
  </si>
  <si>
    <t>你好，非常有幸能知道这个投诉平台，本人也是在钱站上借款2000元，虽然每期还款是985.73元，好像是我第二期逾期了一天，直接给我多加了一百块钱的逾期费，而且电话暴力催收，威胁恐吓，虽然我没有录音，但是其他网友也可以证实，他们都深有体会，在此，并退还各位网友多支付的合法以外的利息，谢谢，本人说话句句属实，若有虚假本人愿意承担法律责任。</t>
  </si>
  <si>
    <t>2019/10/10 08:40:42</t>
  </si>
  <si>
    <t>投诉人 席女士        投诉对象  安逸花        涉诉金额  716 元    问题类型    诉求类型投诉详情  逾期一天换进去不能再用了 然后这个月因为工资没到位 一天十几个骚扰电话 请停止 已经影响到我的生活</t>
  </si>
  <si>
    <t>2019/10/10 08:40:35</t>
  </si>
  <si>
    <t>浙江报喜鸟创业投资有限公司,口袋理财,富友支付,宝付支付,易宝支付,连连支付,通联支付,中移和包支付,联动优势，有品钱包，信用白条，现金白卡，现金在线，蓝领贷，极速现金侠对本人进行多头放贷，通过放款途径查到交集的企业为上海鱼耀金融信息服务有限公司，而背后利益链条涉及很多银行、监管部门、第三方支付机构、上市公司，报喜鸟为上市企业却控股714高炮，不法企业。</t>
  </si>
  <si>
    <t>2019/10/10 08:40:24</t>
  </si>
  <si>
    <t>本人于2019年9月14日在信用管家申请钱咖分期3500元，前3期的还款已还够本金与合法利息，现要求工作人员联系我协商处理并销账。</t>
  </si>
  <si>
    <t>2019/10/10 08:40:11</t>
  </si>
  <si>
    <t>在立借里下载导流的蜘蛛侠贷款，实际上是鸿运当头，下载后申请借款，一看利息太高了，就没打算借款，结果它自动打钱给我，，3000到账1950，我刚填完资料让审核，然后我一点进去看看通过的3000元要还多少利息，一看要那么多利息就没继续操作了，把app删了，但是它就直接就把1950元转到我的银行卡了，也没让我确定要贷款,没信息提醒，app删了我也找不到联系方式，后面还款日有人催我还款,而且需要我5天还款3000元，没有任何提示直接给我安排好贷款，未经过我我同意下款，而且需要支付1050利息，想联系客服申请取消也联</t>
  </si>
  <si>
    <t>2019/10/10 08:39:59</t>
  </si>
  <si>
    <t>我在捷信借款7万，到帐才5万，每期要还2450，请有关部门查查。</t>
  </si>
  <si>
    <t>2019/10/10 08:36:51</t>
  </si>
  <si>
    <t>投诉人 华先生        投诉对象  Wecash闪银        涉诉金额  790 元    问题类型    诉求类型投诉详情  要求闪银取消强制购物，取消担保费。否则后续还款我会走法律程序。</t>
  </si>
  <si>
    <t>2019/10/10 08:34:49</t>
  </si>
  <si>
    <t>民生银行信用卡爆我通迅录好友电话，曾发短信给我威胁恐吓，昨天下午打电话给我前公司老板进行骚扰，并打到公司前台影响前台客服工作，公司前台反馈民生银行催款人态度恶劣，影响工作，民生银行严重侵犯个人权益，很明显民生银行让外包公司进行催讨，请有关部门严惩民生银行信用卡中心，并对我道歉。</t>
  </si>
  <si>
    <t>2019/10/10 08:30:37</t>
  </si>
  <si>
    <t>本人上个月在闪银信用商城购物，后不需要该物品拒收快递，现快递已退回闪银，却仍然要求我支付款项，还说拒收要收取费用，闪银这是无视国家关于七天无理由退货的法律法规吗。</t>
  </si>
  <si>
    <t>2019/10/10 08:29:48</t>
  </si>
  <si>
    <t>下载了钱橙无忧注册时没有任何扣款提示，被一步步引诱到输入银行卡账号，因为之前我被其它的平台也这样套路过，所以在钱橙无忧注册绑定银行卡的时候就留一张里面没有多少余额的银行卡，谁知道第一次还是被扣了56块，我感觉不对立刻卸载，谁知道过来两天又从我银行卡分两次一起扣了112元，一起被乱扣了168元，这个骗子平台简直是无法无天，强烈要求退回我的钱。</t>
  </si>
  <si>
    <t>2019/10/10 08:28:03</t>
  </si>
  <si>
    <t>小霸王app放款收款来自兴业银行账户：陶艳平6****************6希望银行核实查询。</t>
  </si>
  <si>
    <t>2019/10/10 08:26:18</t>
  </si>
  <si>
    <t>拍拍贷高利贷高炮，借4000还6000，明显高利息，还在骚扰我，我要求拍拍贷给我赔礼道歉，销户，赔偿我10万！。</t>
  </si>
  <si>
    <t>2019/10/10 08:26:17</t>
  </si>
  <si>
    <t>我于2819年9月29日购买了一部全新未拆封的小米5x，于10月1日下午14时左右拆封激活，imei，找靓机平台收到后，反馈屏幕后盖均有划痕，有更换过电池，我跟他们说明情况，表示手机寄出前外观完好，电池未更换过，但是他们不予协商，只说按照他们的工程师检测的结果为准，但是我的手机已经被他们拆开过了，寄出前的回收价格是334，但是现在调成了286，现在我的手机也被拆机了，也无法再进行正规的售后保修了，我提出让第三方鉴定部门检测该手机，检测结果如为他们的责任，他们公司负责所有鉴定费用，检测结果为我的责任我负责全部</t>
  </si>
  <si>
    <t>2019/10/10 08:26:08</t>
  </si>
  <si>
    <t>因为逾期3天261块钱，省呗公司暴力催收，威胁恐吓我和我得家人，疯狂打我通讯录电话，并且我已经还款的前提下还侮辱我和我得家人。</t>
  </si>
  <si>
    <t>2019/10/10 08:25:14</t>
  </si>
  <si>
    <t>投诉人田先生投诉对象钱橙无忧涉诉金额316元问题类型诉求类型投诉详情本人需要小额贷款，在注册钱橙无忧软件后，按提示输入信息，绑定银行卡，然后在没有确认支付的情况下被恶意扣费两次168元，148元，两次收费都没有出现验证方式，本人也没有输入银行卡支付密码，但该软件恶意扣费，对本人造成很大困扰，本人强烈要求该平台退款，两次恶意扣费共316元。</t>
  </si>
  <si>
    <t>2019/10/10 08:24:48</t>
  </si>
  <si>
    <t>你们的优化，就好了两天，我觉得够了，你们觉得两天多了吧。</t>
  </si>
  <si>
    <t>2019/10/10 08:24:38</t>
  </si>
  <si>
    <t>19年6月份我在公众号申请齐鲁交通ETC设备后，4天左右以后发给我一个不是我车牌号的设备，联系发货人被告知是工作人员发错了，需要我退回这个设备，我按照工作人员给的地址发回去了，过了一个月的时间，我的设备迟迟没有收到货，我给400客服打电话客服跟我说我的设备也被寄错到别人那里去了，客服说给我反馈，期间我问客服能不能注销，我重新办理，被告知注销需要把设备寄回，我的设备我都无从知道在哪怎么寄回，一直到今天发帖已经过了三个月，期间我打过很多次客服电话每次都说给我反馈情况，让我耐心等候等等……这么长时间就这么点小问题</t>
  </si>
  <si>
    <t>2019/10/10 08:24:12</t>
  </si>
  <si>
    <t>曝光通讯录，骚扰亲友，恐吓亲友，私自联系亲友公司，对亲友造成影响。</t>
  </si>
  <si>
    <t>2019/10/10 08:23:49</t>
  </si>
  <si>
    <t>首先，我再次声明，我不是不还款，我只是现在困难，我会慢慢处理还款事宜的！其次每天不定时骚扰我，每天不就是电话不就是短信的，再有电话我在忙的时候，我没接到，后来给他回了，这个催收的跟我扯上一次的事件，上一次的事件我真是懒得说，懒得提，说上一个催收的，是故意制造那种情形骂我，骚扰我，还骚扰我朋友，本来吧，我感觉就算了就这样就行了，你可到好，又揪出来跟我在这说些没用的，现在不属于导致我个人声誉受损，我真是不想再去投诉了，这次我不会轻易解决的！又说我多大，怎么滴怎么滴，我真是一忍再忍，又给我发电子形式催收函！虚张声</t>
  </si>
  <si>
    <t>2019/10/10 08:21:08</t>
  </si>
  <si>
    <t>要求一个月需还3期糯米白条，一期为158，158*3=474.借款1530，请不要狡辩说商城白条是第三方平台与你们没有关系，有转账凭证作为依据，收款放就是闪银，所以请不要狡辩.现在诉求，退还不合理不合法的糯米白条金额，如果不能给个合理解决方案我会继续投诉，本来已经是最后一期还款了，但是这两天遇到闪银的暴力催收，所以一定要追究到底，要求闪银平台必须退还不合理不合法的金额！！另责成该平台整改，还广大穷苦的借贷人员一个说法。</t>
  </si>
  <si>
    <t>2019/10/10 08:20:24</t>
  </si>
  <si>
    <t>2018年11月左右点击了京东PLUS免费体验，无意之间点击自动续费，期间不知道被扣款，由于性格比较大咧咧，没有仔细查看信用卡账单，2019.10.10使用京东购买东西，发现有PLUS优惠，查看发现，2018年12月7日通过信用卡自动续费成为会员，可见我是并不知情，非自愿情况下成为会员，我要求退款，全额退款。</t>
  </si>
  <si>
    <t>2019/10/10 08:18:38</t>
  </si>
  <si>
    <t>新购买的油烟机用了不到一个月就出现烟管开裂现象，客服说烟管不在保修范围内，你家的产品质量问题为什么不在保修范围内，用时间长了也就算了，用了不到一个月你说的过去吗。</t>
  </si>
  <si>
    <t>2019/10/10 08:18:21</t>
  </si>
  <si>
    <t>借款3000，期限20天，每5天一期需还1230，共4920，利息高达1920！，要求做销账处理，并退回超出年化利率36%之多付利息。</t>
  </si>
  <si>
    <t>2019/10/10 08:16:28</t>
  </si>
  <si>
    <t>10月09日，扣款账单未见减少，故意少扣导致逾期费用的增加，至现在莫名其妙晚上扣款3000元，账单未见扣除，反而不停在增加，年化率远远超过国家规定，稍有不满意，通讯录内的朋友及家人就会莫名其妙接到骚扰电话，威吓通讯录的朋友，亲人，现已在各个平台反应，直至作出合理的解释和处理方法。</t>
  </si>
  <si>
    <t>2019/10/10 08:15:44</t>
  </si>
  <si>
    <t>由于近期资金遇到困难，要求给几天时间进行周转，不要给联系人打电话。</t>
  </si>
  <si>
    <t>2019/10/10 08:14:33</t>
  </si>
  <si>
    <t>8月份9月份每个月莫名扣了58元的增值业务费，增值业务是小沃科技TV平台，我从来没有听说过这个平台，不知道怎么会进行扣费，这跟强盗有什么区别，要不是今天早上打不通电话我还不知道被扣费，联通这种乱扣费的行为也不是一次两次了，必须严惩，否则继续投诉！！！！。</t>
  </si>
  <si>
    <t>2019/10/10 08:14:21</t>
  </si>
  <si>
    <t>新买的找靓机99新的手机，屏幕失效时间没过三天，客服不允退款，明明都符合条件。</t>
  </si>
  <si>
    <t>2019/10/10 08:12:41</t>
  </si>
  <si>
    <t>10.7日晚上在高铁管家购高铁票票，支付宝显示已经扣款成功，但是高铁管家上查不到订单信息，也没有收到短信，由于要赶行程，就又买了一张高铁票，后面联系客服联系不到，一直都是电脑，让提交事故订单，也没有反馈。</t>
  </si>
  <si>
    <t>2019/10/10 08:11:07</t>
  </si>
  <si>
    <t>当时借1000元上面显示三个月利息是1330的利息，当时觉得还可以就借了，谁知道合同上面显示我借1980，然后实际收到1000元，天呐三个月利息1000高利贷啊！为什么借款合同和我当时借款的时候不一样，他们这不是高利贷是什么，我反正不会还这么多，按正常利率来我接受，如果按这个合同来，我拒不接受！。</t>
  </si>
  <si>
    <t>2019/10/10 08:09:17</t>
  </si>
  <si>
    <t>投诉人朱女士投诉对象拍拍贷,河北拍拍贷贷后部,湖南永雄资产管理有限公司涉诉金额6000元问题类型诉求类型投诉详情枉顾事实，威胁恐吓把家中老人吓生病，本人目前有一笔借款逾期，总款项是6000元，每期679.79元，已还了7期，已还4758.53元，理应还有1241.47元，未归还，昨日2019.10.09日，拍拍贷一名自称河北拍拍贷贷后部的，我将问题提出，但对方没有解答多出费用问题，而是说要找第三方上门收全款，同时，在晚上8点半，先给未经本人同意允许擅自联系第三方人，同时在晚上近23点，联系我家中老人，并捏造</t>
  </si>
  <si>
    <t>2019/10/10 08:04:59</t>
  </si>
  <si>
    <t>2019/10/10 08:04:02</t>
  </si>
  <si>
    <t>我在钱站APP上接了钱，借款合同是39200。</t>
  </si>
  <si>
    <t>2019/10/10 08:00:53</t>
  </si>
  <si>
    <t>投诉人朱先生投诉对象恒昌贷款涉诉金额50000元问题类型诉求类型投诉详情已律师身份对通讯录多人进行恐吓希望立即停止这种行为。</t>
  </si>
  <si>
    <t>2019/10/10 07:59:17</t>
  </si>
  <si>
    <t>上面显示确认借款的时候是三个月1330的利息，我当时觉得可以，就接受了，谁知道确认借款了之后合同就变了672.69三个月要还2018，天呐你怎么不去死，一个月300多的利息，不是高利贷是什么，逾期一天你就收60多的利息，我不是不还，你们伪造合同欺骗借款人，这个利率我不接受。</t>
  </si>
  <si>
    <t>2019/10/10 07:56:09</t>
  </si>
  <si>
    <t>，借款时平台并没有出示合同，也没有说明利息，账单显示还要还五千多，这个利息已经严重超过国家法律范围，并且本人也负担不起，现要求好易借平台工作人员联系本人，进行协商还款，另外，今天是还款日，请不要私自联系本人亲朋好友，否则必将拿起法律武器，维权到底！。</t>
  </si>
  <si>
    <t>2019/10/10 07:54:56</t>
  </si>
  <si>
    <t>高利贷，无故收取手续费，到账三千五本人愿意加两百三千七结清账单，望解决。</t>
  </si>
  <si>
    <t>2019/10/10 07:53:52</t>
  </si>
  <si>
    <t>因购买优信二手车无故多出技术服务费申请退款。</t>
  </si>
  <si>
    <t>2019/10/10 07:53:40</t>
  </si>
  <si>
    <t>支付宝办理etc卡，放在小区外被盗刷，扣款不正常，拉入黑名单，账户有钱可以扣，没有可以通知本人什么途径如何操作，现在求救无门。</t>
  </si>
  <si>
    <t>2019/10/10 07:52:52</t>
  </si>
  <si>
    <t>钱站虚假合同，下款金额与合同金额严重不符，打客服电话不解决任何实际问题，多次投诉钱站均不与解决，要求聚投诉介入，钱站必须给出合理解决方案。</t>
  </si>
  <si>
    <t>2019/10/10 07:51:46</t>
  </si>
  <si>
    <t>投诉人 梁先生        投诉对象  交易猫        涉诉金额  550 元    问题类型    诉求类型投诉详情  几次找客服都说会解决 到后来有9次退款失败</t>
  </si>
  <si>
    <t>2019/10/10 07:51:17</t>
  </si>
  <si>
    <t>投诉人 张女士        投诉对象  东莞市轻奢维体健身有限公司,东莞市轻奢维        涉诉金额  1 580 元    问题类型    诉求类型投诉详情  2019年7月开年卡，9月份关门。按比例折算10月没用</t>
  </si>
  <si>
    <t>2019/10/10 07:50:51</t>
  </si>
  <si>
    <t>退单后金额一直不到账，智能客服一直是电脑，没个活人，。</t>
  </si>
  <si>
    <t>2019/10/10 07:50:41</t>
  </si>
  <si>
    <t>投诉人 杨许虎先生        投诉对象  深圳普惠快信        涉诉金额  6 000 元    问题类型    诉求类型投诉详情  催收公司一直电话不停 又没说不还一直催催催还威胁骚扰</t>
  </si>
  <si>
    <t>2019/10/10 07:48:28</t>
  </si>
  <si>
    <t>投诉人 赵先生        投诉对象  广州银联网络支付        涉诉金额  550 元    问题类型    诉求类型投诉详情  在本人不知道的情况下，无故扣款。请求退款。</t>
  </si>
  <si>
    <t>2019/10/10 07:47:22</t>
  </si>
  <si>
    <t>本人因为加入一个微信群、群里的人说能带着挣钱、就在一个平台上跟着他们买彩票、说是国家正规平台、只要跟着玩、每天固定盈利、要求我跟着投资去玩、结果后来才发现是赌博平台，我的钱都通过云闪付三方充值到的违法赌博平台！据我了解赌博平台在我国是不合法的、但是云闪付居然为赌博平台提供资金充值渠道，让我造成了大量的经济损失！这种做法云闪付实在有些助纣为虐！请求云闪付撤销对赌博平台的资金渠道支持！希望云闪付能够帮我追回黑心商家的赃款！退款！维护每个公民的权利！希望能得到中国银联的支持和帮助！要不每个被诱骗的人都会落到家破人</t>
  </si>
  <si>
    <t>2019/10/10 07:46:47</t>
  </si>
  <si>
    <t>昨天第一天正常服务分89分，今天突然服务分降成63分。</t>
  </si>
  <si>
    <t>2019/10/10 07:42:41</t>
  </si>
  <si>
    <t>我的交易猫各种绑定都正常，该实名认证的都认证了，就是不给退款，，一次能理解，这么多次退款失败，我想要一个解释，赶紧把钱退我。</t>
  </si>
  <si>
    <t>2019/10/10 07:41:19</t>
  </si>
  <si>
    <t>本人分别于2019年10月6日在王者钱包平台借款3000元，到账1860元，汇潮支付提供支付通道，贷款期限5天，砍头息高达1140元，今天是还款日，本人现已无力偿还高额利息，希望协商还款本金，本人愿意承担使用期间的正常国家保护利息，希望平台给于反馈帮助，打击此类高利贷。</t>
  </si>
  <si>
    <t>2019/10/10 07:41:12</t>
  </si>
  <si>
    <t>接不到单，在热区别很难接到单，而且每次接到单都是两三公里以外的。</t>
  </si>
  <si>
    <t>2019/10/10 07:41:02</t>
  </si>
  <si>
    <t>在交易猫买号，然后卖家不卖，然后交易失败，我支付宝余额支付的，说即时到账，然后一直提示退款失败.。</t>
  </si>
  <si>
    <t>2019/10/10 07:40:48</t>
  </si>
  <si>
    <t>u卡贷高利贷砍头息，看不到合同，联系不到客服。</t>
  </si>
  <si>
    <t>2019/10/10 07:39:18</t>
  </si>
  <si>
    <t>投诉人朱先生投诉对象你借我有,杭州市民卡涉诉金额2500元问题类型诉求类型投诉详情9月29号在你借我有平台借款2500元，借款期限15天，实际14天，到账只有1750元，750元以游戏券的形式发放，其实就是变相的高利贷，最近经济出现问题，没法还款，希望聚投诉能帮助协商还款。</t>
  </si>
  <si>
    <t>2019/10/10 07:38:59</t>
  </si>
  <si>
    <t>投诉人 王可新        投诉对象  钱站,华夏银行        涉诉金额  14 000 元    问题类型    诉求类型投诉详情  高利贷砍头息暴力催收换本金让还 需要手续费什么的</t>
  </si>
  <si>
    <t>2019/10/10 07:38:53</t>
  </si>
  <si>
    <t>投诉人陈先生投诉对象钱包商家涉诉金额100000元问题类型诉求类型投诉详情原钱包商家梅州市客户经理以2019年03月份到我饭店办扫码付为由，给我办理了一个收款牌叫我每天扫流水入钱包商家，一星期后诱导我办理贷款十万，结果下款十万后不到一小时就马上被扣回一万二千元费用，当天客户经理又上门要了我八千元费用，当时借款时并无明说，结果我还了三个，每月8791款，饭店经营不行，已无力还款，开始逾期后我才发现是套路贷，高息，砍头息，大额逾期费用，催收开始每天恶意轰炸我电话，微信，短信，侮辱我，导致我夫妻离婚，饭店倒闭，现</t>
  </si>
  <si>
    <t>2019/10/10 07:37:08</t>
  </si>
  <si>
    <t>于2017年9月22日贷款了15000还款至今已经约22500元了，扣去本金15000已经额外利息7000多了，当时年少无知不懂得一些东西现在仔细想想就发现当时很多细节都没有太多考虑，一时冲动两年的地狱，到现在18天的时间从800多应还已经翻翻到1600了，难道不是违法的嘛，对了，中间我发现有延期还款服务，一直没搞懂，后来天津那边的客服说可以延期什么的，我就以为是延期了，但是逾期了哈哈哈哈，而且官方给出的各种服务电话都打不进去人工可笑不，我要求退还无用的服务费！甚至于有一些服务费都是附加，要不然的话利息超多</t>
  </si>
  <si>
    <t>2019/10/10 07:37:00</t>
  </si>
  <si>
    <t>投诉人 董先生        投诉对象  首汽约车        涉诉金额  0 元    问题类型    诉求类型投诉详情  已联系客服，未能解决验证码收不到的问题。手机网络正常。</t>
  </si>
  <si>
    <t>2019/10/10 07:32:24</t>
  </si>
  <si>
    <t>借1000，分三期还，每期还364，逾期一天要10块，利息过高！还有最后一期，协商还款！。</t>
  </si>
  <si>
    <t>2019/10/10 07:29:03</t>
  </si>
  <si>
    <t>及贷公司工作人员，恶意打电话骂人，发信息侮辱和恐吓，给家人朋友发信息辱骂，不止一次的群发信息，说话难听，使得亲戚朋友之间造成误会和矛盾，之前还有更恶劣的话语，导致心灵收到伤害，本人无法接受，由于信息的话语太过于恶劣，朋友之间关系越来越紧张，希望能给一个公道和合理的解释！。</t>
  </si>
  <si>
    <t>2019/10/10 07:27:07</t>
  </si>
  <si>
    <t>一问退款失败就说是，系统升级，一问需要多久，又说不会很久，已经过去很长时间了，显示了几次退款失败，这么大一个平台，连自己系统升级需要多久都不知道，态度极其敷衍。</t>
  </si>
  <si>
    <t>2019/10/10 07:23:03</t>
  </si>
  <si>
    <t>10.6日晚上22:50在本人不知情的情况下银行卡扣款299元！这肯定是用户信息泄露！手机，银行卡都在本人手上，怎么可能出现pos消费！。</t>
  </si>
  <si>
    <t>2019/10/10 07:22:47</t>
  </si>
  <si>
    <t>投诉人 金先生        投诉对象  交易猫        涉诉金额  181 元    问题类型    诉求类型投诉详情  交易失败不退款 支付宝余额支付应该即时到账 但是一直显示退款失败 退款一直没到账</t>
  </si>
  <si>
    <t>2019/10/10 07:21:49</t>
  </si>
  <si>
    <t>借款3000，5月，以国家法定年息36计算，还款总额应为3108元，现金巴士以各种名目增加利息，如信审费，管理费等，加一起已超过国家法定利益，要求现金巴士退还已结清的借款多出利息，以及未结清借款按国家法定利益办事。</t>
  </si>
  <si>
    <t>2019/10/10 07:18:13</t>
  </si>
  <si>
    <t>租房子时，签一年租赁合同，价格为2090元/月，中途想要转租申请，自如App对外显示2630元/月，高出周边更好房源价格很多，导致无法对外转租出去，这不是逼迫租客办理退租吗。</t>
  </si>
  <si>
    <t>2019/10/10 07:17:07</t>
  </si>
  <si>
    <t>投诉人 范先生        投诉对象  我来贷        涉诉金额  15 700 元    问题类型    诉求类型投诉详情  暴力催收 骚扰通讯录 严重超出贷款利率 高额逾期费</t>
  </si>
  <si>
    <t>2019/10/10 07:15:28</t>
  </si>
  <si>
    <t>投诉人 郑先生        投诉对象  交易猫        涉诉金额  2 900 元    问题类型    诉求类型投诉详情  交易猫退款失败. 但是我支付宝的钱已经扣了 交易猫发来信息退款失败，</t>
  </si>
  <si>
    <t>2019/10/10 07:13:38</t>
  </si>
  <si>
    <t>投诉人 吴先生        投诉对象  松紧贷        涉诉金额  2 100 元    问题类型    诉求类型投诉详情  逾期一天！利息100多。骚扰，恐吓。呵呵</t>
  </si>
  <si>
    <t>2019/10/10 07:12:20</t>
  </si>
  <si>
    <t>及贷扣除所谓保费，记录将近60%，要求退还保费，利率合理。</t>
  </si>
  <si>
    <t>2019/10/10 07:12:05</t>
  </si>
  <si>
    <t>末经本人同意多次打电话到本人单位向单位透露本人债务金额严重影响单位工作运行影响个人生活！。</t>
  </si>
  <si>
    <t>2019/10/10 07:11:49</t>
  </si>
  <si>
    <t>10号钱站还款日，一大早还款，结果已经还款成功640那笔，APP又自动跳出来640这笔还款，以为没还上，结果又还了一次，导致另外一笔886没法还，请退回多还那笔640款项，才能还886这笔，高利息恐怖，弄得人都崩溃。</t>
  </si>
  <si>
    <t>2019/10/10 07:11:12</t>
  </si>
  <si>
    <t>还款当天不及时就暴力催收，开始爆通讯录，华夏信财在业界出名的暴力，语言恶毒，。</t>
  </si>
  <si>
    <t>2019/10/10 07:10:10</t>
  </si>
  <si>
    <t>退款失败五次没人处理，客服一直不在线，七点多还是不在线，永远都是机器回复。</t>
  </si>
  <si>
    <t>2019/10/10 07:10:04</t>
  </si>
  <si>
    <t>新意花小木钱包协商多次无果，客服打电话来都是说我们只负责提醒还款，不负责其他的，在新意花小木钱包借款多次，最后一次，最后一期要求协商还款，希望都能理解，你们平台是最后一期，所以选择协商，如果不能理解逾期也没办法了，就等着死账吧，希望聚投诉负责。</t>
  </si>
  <si>
    <t>2019/10/10 07:09:19</t>
  </si>
  <si>
    <t>投诉人 张先生        投诉对象  我来数科        涉诉金额  12 000 元    问题类型    诉求类型投诉详情  忘了还。逾期一天就300。典型的高利贷。吸血鬼。不停打电话骚扰</t>
  </si>
  <si>
    <t>2019/10/10 07:05:47</t>
  </si>
  <si>
    <t>还款不及时立即爆通讯录，影响正常生活和工作及人际交往，。</t>
  </si>
  <si>
    <t>2019/10/10 07:03:16</t>
  </si>
  <si>
    <t>因为最近家里出克点事情手上没有钱还款已经逾期一天希望和对方协商晚几天归还领解除高额逾期费用。</t>
  </si>
  <si>
    <t>2019/10/10 07:02:04</t>
  </si>
  <si>
    <t>说我欠钱不联系我反而直接骚扰我家人，贵公司有问题还是有人假借贵公司名义行骗。</t>
  </si>
  <si>
    <t>2019/10/10 07:00:51</t>
  </si>
  <si>
    <t>我因家里有事导致一个多月没有还钱，能不能拜托你们不要骚扰联系人，我承诺十一月一定把它全部还掉。</t>
  </si>
  <si>
    <t>2019/10/10 06:49:45</t>
  </si>
  <si>
    <t>8天时间就要还款1050元，APP客服无法沟通，远超出国家规定36%规定法律红线！现要求调整利率，协商本金+合法利息进行还款！。</t>
  </si>
  <si>
    <t>2019/10/10 06:44:54</t>
  </si>
  <si>
    <t>绑定银行卡直接扣款299元，霸王条款要求退款。</t>
  </si>
  <si>
    <t>2019/10/10 06:42:16</t>
  </si>
  <si>
    <t>本人通过网络链接接触到了喵下贷，当时写着到手1300，借完却发现6天后要还1999元，放款通道均为汇潮支付，此小贷利用砍头息手续费阴阳合同等不良手段诱导客户借款并从中牟取高额暴利，利息远远高于国家规定！！是妥妥的714吸血鬼高利贷！！而汇潮支付及支付宝为其提供放还款渠道，无疑是在助纣为虐！希望通过贵平台打击这些高炮小贷，本人愿意归还本金及合理利息！！！。</t>
  </si>
  <si>
    <t>2019/10/10 06:38:33</t>
  </si>
  <si>
    <t>跟我说的好好的七点半处理，五点钟开始狂打我爸电话，理都是你们的。</t>
  </si>
  <si>
    <t>2019/10/10 06:16:23</t>
  </si>
  <si>
    <t>投诉人 李先生        投诉对象  来分期        涉诉金额  25 000 元    问题类型    诉求类型投诉详情  操作系统自己突然默认这个一笔。利息太高18600两年利息7千多</t>
  </si>
  <si>
    <t>2019/10/10 06:12:18</t>
  </si>
  <si>
    <t>2019年10月6日在王者钱包借款1240元，到账金额也是1240，借款时间为5天，我看在聚投诉上已经有很多人投诉，希望聚投诉的工作人员尽快帮我们解决这个问题，像这种高利息的平台要日下架。</t>
  </si>
  <si>
    <t>2019/10/10 06:05:21</t>
  </si>
  <si>
    <t>利息太高，现在要提前还款，要求减免利息和其他费用。</t>
  </si>
  <si>
    <t>2019/10/10 05:51:03</t>
  </si>
  <si>
    <t>嘟嘟电话app，不充钱不能用，充钱后就打了一个电话以后一直系统繁忙打不出去电话。</t>
  </si>
  <si>
    <t>2019/10/10 05:39:41</t>
  </si>
  <si>
    <t>高昂的高利贷利息本人表示无能力并也偿还不起，借五万分45期，到期要还九万多！现在就算提前还款也需要支付一万三千多的利息，表示还不起这高昂的利息。</t>
  </si>
  <si>
    <t>2019/10/10 05:37:10</t>
  </si>
  <si>
    <t>投诉人 胡女士        投诉对象  你我贷        涉诉金额  9 000 元    问题类型    诉求类型投诉详情  你我贷也是够了 不是上市公司吗？不是低息吗？借9000 要多还三千多的利息 而且本金到手不到9000 分12期 一二期就是先还利息后面才是本金 逾期不还 就是打电话发信息 加你微信 催收公司人员换着来 然后就是拨打通讯录 影响正常作息和生活 真的是搞笑 还威胁 所以还了几期后 我就不想还了 除非你我贷公司只让偿还本金 而且偿还本金是包括</t>
  </si>
  <si>
    <t>2019/10/10 04:57:18</t>
  </si>
  <si>
    <t>开店宝业务员冒充浦发银行业务员，办理大额度信用卡为幌子，变相推销pops机，押金298，刷2笔反还，最后找不到人了。</t>
  </si>
  <si>
    <t>2019/10/10 04:56:23</t>
  </si>
  <si>
    <t>本人因资金链出现问题，急需资金周转，情急之下于2019年9月27日在贷上钱平台申请两笔贷款，但是在今天，查看还款日期时发现多出两笔500元的购物贷款，请问这两笔500元购物贷款是干嘛用的，我购物买了什么东西，我不是没钱还，只想搞清楚这两笔500元的购物货款是什么，有购物总有商品吧，请问你们把什么商品送到我手上了，什么时候给我的。</t>
  </si>
  <si>
    <t>2019/10/10 04:53:15</t>
  </si>
  <si>
    <t>投诉人王超投诉对象钱站涉诉金额24480元问题类型诉求类型投诉详情合同上借款24480，实际到账18000，要求补足借款或返还多缴的本息。</t>
  </si>
  <si>
    <t>2019/10/10 04:48:05</t>
  </si>
  <si>
    <t>我每期还款是333.96金额，他们公司出现了问题，每次还款要去支付宝转帐，然后备注手机号码和名字，我每期都备注了，但是他们每期都不消账，比方9月2号还款，还款了之后就怎么都联系不到客服去消账的，各位打电话，留言，在线客服都是找不到人的，电话是空号，留言没回复、转人工客服黄钻不到！到10月2号号还款的时候、自然就有催收联系你，各种恐慌、骚扰，爆通讯录之类的！各种暴力催收！告知他们上期金额已还，还没消账，需要消账了之后再还当期账单，客服就会各种威胁说，会通知工作人员处理，消账，但现在必须还了当期账单，不然催收会</t>
  </si>
  <si>
    <t>2019/10/10 04:47:07</t>
  </si>
  <si>
    <t>国家规定app都必须提供可注销选项，存了我的个人信息，想注销还不让。</t>
  </si>
  <si>
    <t>2019/10/10 04:36:06</t>
  </si>
  <si>
    <t>投诉人李女士投诉对象龙行天下涉诉金额1500元问题类型诉求类型投诉详情在机场被工作人员推销，说办理龙行天下黑金卡可以买全网最低机票，还能在优惠个9折，说冲1500送1500，总共3000元，可以直接抵扣机票，等我办完了之后，才发现，每次买机票只能抵扣10块钱，我一年坐4次飞机，算上龙行天下赠送的1500一共3000元，要坐300次飞机才能抵扣得完……150次飞机才能回本，来算算要多少年，37.5年，有些崩溃……最关键的是机票还没有全网最低，有的比飞猪的还贵了点，如果每次抵扣几百，能买到全网最低的机票我还能接</t>
  </si>
  <si>
    <t>2019/10/10 04:30:46</t>
  </si>
  <si>
    <t>投诉人郭先生投诉对象招联金融涉诉金额20720元问题类型诉求类型投诉详情2017年12月30日共计2笔借款人民币九千元，整，此后陆陆续续累计还款共计两万零七百二十元，有余，高额逾期利息还款处理半年芝麻分都没有恢复，导致支付宝好多功能无法正常使用，期间还有外包催收人员恶意催收，骚扰通讯录家人及朋友，导致名誉受损，现要求退还部分高额的逾期利息，恢复芝麻信用分！。</t>
  </si>
  <si>
    <t>2019/10/10 04:30:29</t>
  </si>
  <si>
    <t>投诉人唐先生投诉对象熊猫贷款涉诉金额100000元问题类型诉求类型投诉详情海南新浪爱问普惠科技有限公司的熊猫贷款App，，在没搞清楚状况的情况下，恶意攻击、恐吓、骚扰淘宝店铺，，甚至进入店铺的客户群内大肆宣扬、诽谤，影响极其恶劣，导致店铺损失巨大，该店铺注册身份证并非姜佳良，店铺要求该公司承担店铺损失，以及支付后续店铺重建经费，这段时间误工费，员工工资以及店铺囤货的经费等，店铺注册人实为:唐强，且店铺注册人从未注册熊猫贷款，与极速熊猫贷款中任何一个，店铺可以提供相关证明证实店铺注册人身份证信息，请平台对此事</t>
  </si>
  <si>
    <t>2019/10/10 04:24:50</t>
  </si>
  <si>
    <t>借款本金9100元，分12期，但是出了两份合同，一份本金为9100元，年利率百分之十10.3；另一份为2640，年利率为百分之十10.3，现每月还款1032元，已经还了10期，共计10320元。</t>
  </si>
  <si>
    <t>2019/10/10 04:19:50</t>
  </si>
  <si>
    <t>闪银方面每次都以担保凭证的形式收取不合理的砍头息，怀疑有偷税漏税的动机现要求闪银方面退还这些不合理的砍头息若协商失败。</t>
  </si>
  <si>
    <t>2019/10/10 04:17:48</t>
  </si>
  <si>
    <t>本人于2018年1月28日在广西南宁市广西白马恒骓林肯中心购买该汽车品牌林肯mkx，在2019年8月2日出现汽车质量问题，该4s店派拖车已拖至广西白马恒骓林肯中心维修，截止今天已经足足过去60多天，修车毫无进展！4s店也不给明确答复，该车出现问题是在汽车三包质保期内，也毫无赔偿说法，没有代步车用！4s店工作人员总是各种理由各种借口推脱修车进程！请问是不是你们林肯中国店大欺客，下一步我会去工商局投诉，再不行就起诉你们林肯中国！。</t>
  </si>
  <si>
    <t>2019/10/10 04:10:25</t>
  </si>
  <si>
    <t>投诉人黄先生投诉对象自由魔卡,信用计划涉诉金额2000元问题类型诉求类型投诉详情本人因资金周转需求在自由魔卡app里面的信用计划平台借款2000元，平台以加入会员购买会员需要支付备付金为借口，变相收取砍头息360元，实际借款所得其实为1640元，还款周期一个月应还为2050元，所加入的会员并无实际作用，只是作为平台变相收取砍头息的手段，这是赤裸裸的高利贷，通过新闻了解到这是一种非法高利贷行为，请求平台给予帮助！。</t>
  </si>
  <si>
    <t>2019/10/10 04:08:41</t>
  </si>
  <si>
    <t>我借2000元，到账1210元，还款的时候要还2000元，而且10月10号到期，催收说下午四点前不还，爆通讯录，并且说出我通讯录里人的姓名威胁，我说报警他说不怕。</t>
  </si>
  <si>
    <t>2019/10/10 04:01:41</t>
  </si>
  <si>
    <t>投诉人谢先生投诉对象支付宝涉诉金额3188元问题类型诉求类型投诉详情16年3月14号订了3间长沙酒店的房间，因为当初没有入住忘记取消，15号就扣款了3188块，什么酒店入住要这么贵，当初打电话支付宝客服，也不处理，导致4月9号花呗逾期要还款6000左右。</t>
  </si>
  <si>
    <t>2019/10/10 03:58:16</t>
  </si>
  <si>
    <t>汇潮支付,支付宝,肥猫贷,菜鸟有钱,展鸿科技,快捷通支付,春天支农小额贷款有限公司,威力贷,喵下贷，呗呗分期是通过快捷通支付有限公司通道放款菜鸟有钱直接通过支付宝通道转账到银行卡2.唯一还款通道是支付宝，收款方为聚合支付，本人通过短信链接，下载了肥猫贷，借款1400元，实际到账也是1400元，借时并无任何提示，结果却要在6天后归还2000元，菜鸟有钱和呗呗分期都是借款1200元，包括借款日还款日一起三天要还1500元无客服电话联系，通过APP的在线客服联系，拒协商，拒提供电话，1.肥猫贷是通过汇潮支付这个支</t>
  </si>
  <si>
    <t>2019/10/10 03:50:26</t>
  </si>
  <si>
    <t>今天在使用上海造艺*技术有限公司旗下的一款app豹子贷，在填资料时需要填银行卡，刚填完就扣了299元，希望能帮帮我怎么把钱退退回来，打他们客服也没用。</t>
  </si>
  <si>
    <t>2019/10/10 03:46:10</t>
  </si>
  <si>
    <t>投诉人马先生投诉对象钱水艇涉诉金额604元问题类型诉求类型投诉详情潜水艇&amp;nbsp;平台利用前期付款骗取金额然后到现在一个月了没有反应，客服电话是假压根没人接听，没通过，还有微信公从号也是假的&amp;nbsp;&amp;nbsp;&amp;nbsp;要求返还我的钱！！。</t>
  </si>
  <si>
    <t>2019/10/10 03:44:17</t>
  </si>
  <si>
    <t>在拼多多平台采购货物被卖家告知其账户资金被平台冻结，协商要求我退货退款，操作过程中被平台擅自介入，导致卖家无法操作退款，订单总金额7555.9元人民币。</t>
  </si>
  <si>
    <t>2019/10/10 03:38:41</t>
  </si>
  <si>
    <t>亚马逊日本站，开店扣除我4900日元，但是我都没有开店成功，也没有刊登任何产品，就要二次验证了，然后无法提供二次验证的资料，申请退店了，但是平台不给提供退店通道也没有退回4900元回到我的民生银行，联系客服说必须要进入日本客服才行，就再也没有任何回复了。</t>
  </si>
  <si>
    <t>2019/10/10 03:30:19</t>
  </si>
  <si>
    <t>投诉人陈先生投诉对象玖富,潍坊银行涉诉金额13600元问题类型诉求类型投诉详情2018年12月8日玖富app借款10000，一个月要还1133.26元，只有800多元是本金，并且不知道是潍坊银行放款，也没有见面签字按手印银行也没有通知我，而且一笔借款该平台搞2个阴阳合同，一个借款协议合同，一个费用分期合同，利息现在查看显示是费用分期，但是合同却是借款协议，实际到手只有10000元，由于错过了当天自动扣款时间，本人自己主动还款却只扣除了200多的费用分期，潍坊银行的本金没有扣除，导致本人19:00后无法还款，</t>
  </si>
  <si>
    <t>2019/10/10 03:25:19</t>
  </si>
  <si>
    <t>同一个东西还扣了两次，打得免费的幌子让开通免密支付直接扣钱。</t>
  </si>
  <si>
    <t>2019/10/10 03:24:46</t>
  </si>
  <si>
    <t>黑网贷，高利贷，砍头息，还款日当天就被爆通讯录，亲戚朋友被骚扰，对我产生严重影响。</t>
  </si>
  <si>
    <t>2019/10/10 03:20:36</t>
  </si>
  <si>
    <t>我在2019年10月9日于邯郸机场被坑办理了一张航行神州的黑金卡.刚一进去，就被穿着制服的工作人员叫住，她像我推出他们所谓的黑金会员卡，听着他们所说的一大堆，无非就是想要我去办理此卡，刚开始她没说要交钱到后来才说要交1380，我就犹豫了一下，后来他们又说了好久，说办理此卡后，以后坐飞机也更方便，说是民航一手票源，买票也比其它APP上买的票要便宜，而且激活后还有赠送的1000元代金券，相当于此卡一共有2380，以后买票可以直接抵扣，拥有此卡也可以直接去贵宾室休息，如果我的亲戚朋友也坐飞机的话，只要报上我的电话</t>
  </si>
  <si>
    <t>2019/10/10 03:17:50</t>
  </si>
  <si>
    <t>美团评价有客户可以匿名评价的选择，其实美团平台并没有给你保密，当你因为菜品质量差等差评时，商家其实连你的位置，你的手机号，都了解的清清楚楚，后续找客户扯皮甚至人生攻击！可见，客户的权益何在！要求美团平台给一个说法！给广大消费者一个说法！。</t>
  </si>
  <si>
    <t>2019/10/10 03:06:59</t>
  </si>
  <si>
    <t>投诉人 潘先生        投诉对象  北京有缘在线网络科技有限公司        涉诉金额  297 元    问题类型    诉求类型投诉详情  有缘网属于欺诈公司希望聚投诉给与严厉打击</t>
  </si>
  <si>
    <t>2019/10/10 03:04:20</t>
  </si>
  <si>
    <t>本人去年七月在贵平台申请到了一万三的额度，分12期已结清，期间由于个人原因，生意周转分几次贷出一年多从没有逾期不还的现象，这个月由于实在没有能力偿还与客服协商，推迟几天，催收人员便开始辱骂威胁恐吓，甚至一边给我打着电话一边给我父亲打电话，让他说话，说对面是你女儿，并且开始辱骂，说我是老赖不还钱等等，爆我通讯录导致我现在名誉受损，事后发微信说与我协商，从来开始多人打我电话我都说协商下缓两天肯定还上，从来没说过不还，现在通讯录爆完了，我父母也骂过了，工作也保不住了，本来欠钱就是得还的，但现在我没有能力偿还了，我</t>
  </si>
  <si>
    <t>2019/10/10 03:00:48</t>
  </si>
  <si>
    <t>本人于八月三十在快乐口袋高利贷平台借款2000,实际到账1400，7天还款2000，7天到期之后我这边由于资金紧张，一直没还上，刚到期的时候有客服联系过我，说你这边赶紧处理，总之态度特别不好，我就特别生气，还让我别用手机了，当时发了几十条短信验证码给我，后来特别生气就没然后后面一直没管，至到昨天平台又有人联系我，说我已经逾期了，我说我知道，最后他说让我还2500，我说我到时借了1400，我最多还1500，他说可以，让我转账，昨天加的微信，我问他平台没法转，他说没法，放心，我转过去就销账，至到今天我把1500</t>
  </si>
  <si>
    <t>2019/10/10 03:00:32</t>
  </si>
  <si>
    <t>可是申请退款后一直退款失败，钱回不来了，客服也联系不上。</t>
  </si>
  <si>
    <t>2019/10/10 02:57:51</t>
  </si>
  <si>
    <t>我10月10日凌晨在宙斯钱包APP上简单的填写了信息，在未经我同意的情况下强制下款1860，对方下款方叫黄庆勋账户尾号8318，借款期限5天，居然要还3017，麻烦聚投诉通知他们公司，我要求协商本金还款，否则一份不会还。</t>
  </si>
  <si>
    <t>2019/10/10 02:56:55</t>
  </si>
  <si>
    <t>本人报名了升学教育不到10几天就想退款了，结果升学教育一直拖着不给予退款，现在还自行取消退学申请，还说和广东财经大学有合作，根本就没有合作，课程安排也不合理，对我问得问题从来不正面回答总是跟我扯东扯西的，一个问题问了无数遍，连基本合同不合理都不知道，APP应用不流畅，还出现错误，还从来不承认自己的错误！这种机构真的是不应该存在的吧。</t>
  </si>
  <si>
    <t>2019/10/10 02:46:44</t>
  </si>
  <si>
    <t>乐客公司利用抖音分享所谓创业信息，诱导大众引流到微信，通过电话销售不断夸大宣传加入他们会员，收取高额会员费，本人自加入以来，发现ETC项目办的卡不是本地卡，接受度非常低，还有蓝v认证根本就不要代理费也能做，乐客公司只是发一些资料包自己观看，所谓的培训根本就是滥竽充数，也并没有专人培训，后来看了他们在平台上面做的虚假演讲，营造出极其容易成单的假象给我们创业者洗脑，培训内容简陋敷衍，现在慢慢清楚了这是一种拉人头的包装方式挣会员费！还是先交钱在签合同，从未提起不能退款，未开具任何发票涉及人员众多金额巨大，望平台给</t>
  </si>
  <si>
    <t>2019/10/10 02:46:22</t>
  </si>
  <si>
    <t>借贷了2650，下款只有2100，还款却要还3200多。</t>
  </si>
  <si>
    <t>2019/10/10 02:44:23</t>
  </si>
  <si>
    <t>因为我也注册过度小满金融，所以我打电话过去询问情况，却被辱骂和恐吓，我去度小满金融投诉，他们却说可能是以前的手机号主人没用了，我很奇怪我自己的手机号用了超过13年了，13年前就有网贷了。</t>
  </si>
  <si>
    <t>2019/10/10 02:42:33</t>
  </si>
  <si>
    <t>投诉人蹇先生投诉对象苏宁易购涉诉金额3990元问题类型诉求类型投诉详情2019年10月7号收到苏宁易购的邀请电话说10月7日下午13:30有个新老客户答谢会，还有抽奖，但由于家里之前买了苏宁易购家电就去了，到了桐乡苏宁店然而这是个产品销售会，重点销售净水器，之前还有一个空气净化器，自称苏宁易购的市场销售总监口若悬河将中国的水和空气说的一文不值，播放空气和水污染与肺癌肝癌的发生率密切联系的视频，然后是做实验，净水器的过滤水，市售纯净水和自来水，还测了水的DTS检测笔自来水200多因此自来水水质很不好，然后说此</t>
  </si>
  <si>
    <t>2019/10/10 02:42:13</t>
  </si>
  <si>
    <t>投诉人 陈女士        投诉对象  分期乐        涉诉金额  10 000 元    问题类型    诉求类型投诉详情  分期乐乱打电话去泄露我的隐私 骚扰我的朋友 严重影响到了我的生活 钱是我从2015借的 不知道都还多少了 利息超高 现在国家打击这么严还敢这么猖狂</t>
  </si>
  <si>
    <t>2019/10/10 02:31:51</t>
  </si>
  <si>
    <t>突然间就不能使用花呗购物，去店铺几家都不能使用花呗付款。</t>
  </si>
  <si>
    <t>2019/10/10 02:27:08</t>
  </si>
  <si>
    <t>以前就是冲着你们的广告来的，把原来的工作辞去，以前不是说好的月收入过万的吗，3个小时跑个300来块钱，300多现在能干嘛，车租150，电费80，所谓的月收入上万去哪里了，车租一个月4500，电费2400，一个月的流水就1.1w，1.2w除了7000块剩4000来，我的月入上万去哪了，时不时还强制要求司机去培训，请问我租车是干什么的，现在每天开机最少要等3个小时才派单，请问你们平台要求司机去考网络运输证有什么用，800一天，请问我们考了人证的是怎么倾斜派单，现在你们平台搞得我进退两难的，我的房贷是你们公司帮我</t>
  </si>
  <si>
    <t>2019/10/10 02:26:24</t>
  </si>
  <si>
    <t>我女朋友生病住院，急需钱治疗，后来考到购分期这个这个软件，就点下载，没想到刚点银行卡就被扣299元。</t>
  </si>
  <si>
    <t>2019/10/10 02:17:28</t>
  </si>
  <si>
    <t>投诉南宁市江南区白沙农贸市场旁的工地夜间施工，已经连续快五天了，都是半夜施工，搞得不得睡觉，本来家里有孕妇了平时都很注意休息了，可是这样不断的施工，真的受不了了，现在时间是2019年10月10日02:15分还在不断施工，白天不动，为什么就晚上施工呢，这样让人怎么睡觉休息。</t>
  </si>
  <si>
    <t>2019/10/10 02:13:55</t>
  </si>
  <si>
    <t>投诉人 杨女士        投诉对象  钱站        涉诉金额  8 000 元    问题类型    诉求类型投诉详情  我要投诉凡普金科砍头息。什么服务费？借8万。合同为什么出现121000。凡普金科真是正式高利贷。有什么资格p2p。我借8万你不按借款利息计算。还从121000万中收取利息。我现在就要公开你们。</t>
  </si>
  <si>
    <t>2019/10/10 02:08:46</t>
  </si>
  <si>
    <t>想协商还款，催收协商不了很难受，想和客服协商一下。</t>
  </si>
  <si>
    <t>2019/10/10 02:06:19</t>
  </si>
  <si>
    <t>10月6日滴滴平台判责工作人员乱判责，说系统判定接乘客迟到，人工核实，判责成立，扣服务分1分；10月8日乘客取消订单2单，巨龙酒店到遵义干部学院、金银新村到遵义医科大学第二附属医院，系统判定司机有责，滴滴平台判责工作人员人工核实，同样你们跟谁核实了，跟你们自己制定的规则主观臆断吧，对于这样的武断判责，作为滴滴司机不服，本司机一直以安全出行，和蔼乘车为宗旨，却受到滴滴平台的不公平对待，其实司机和平台之间是相互合作的客户关系，而乘客是司机和平台的共同客户，服务好乘客是司机和平台共同目标，只有由于平台判责工作人员</t>
  </si>
  <si>
    <t>2019/10/10 02:04:03</t>
  </si>
  <si>
    <t>阴阳合同、高利贷、砍头息、砍头息、,,,,,,,。</t>
  </si>
  <si>
    <t>2019/10/10 02:01:38</t>
  </si>
  <si>
    <t>投诉人 代女士        投诉对象  唯品花        涉诉金额  1 300 元    问题类型    诉求类型投诉详情  正常还款无逾期今天看莫名其妙就不能使用了</t>
  </si>
  <si>
    <t>2019/10/10 02:00:17</t>
  </si>
  <si>
    <t>在闲鱼上面搜索学脚本制作的，然后就找到了一个，我和我朋友就一起想找他学，然后他就建议加个Q，我扫的58是拜托他用心教我朋友的，另外360元是我找他订制软件的，结果一直拖，拖了几天后把我们两都给删了，闲鱼那边也把我们给拉黑了，我的360元投诉了，但是支付宝那边说不成立，我们都挣钱不简单，不能让这种骗子把闲鱼当做宣传，挂羊头卖狗肉，私下去骗人骗钱，其他人可能不晓得怎么举报，但是我们俩个还是懂的怎么举报他的，请支付宝冻结他的支付宝，让他回来找我们赔钱，我们才给他撤销。</t>
  </si>
  <si>
    <t>2019/10/10 01:59:09</t>
  </si>
  <si>
    <t>注册后要求交会费才能接单，一个星期过去了没一个单发布的，联系客服qq无人回复，今天直接APP进不去了，存在欺骗行为，要求退会员费298元。</t>
  </si>
  <si>
    <t>2019/10/10 01:54:45</t>
  </si>
  <si>
    <t>因为最近家里的愿意导致京东白条逾期了一个月多，可以把逾期的欠款还上但是催收打电话说必须全部还清。</t>
  </si>
  <si>
    <t>2019/10/10 01:52:33</t>
  </si>
  <si>
    <t>在交易猫想买个梦幻西游账号，结果商品实名了，取消交易，退款失败，连续几次了，以前都没出现这种情况。</t>
  </si>
  <si>
    <t>2019/10/10 01:51:51</t>
  </si>
  <si>
    <t>疑似与培训机构合作套路贷，借款金额20800人民币，分20期，利息高达6198.40人民币，在确认人本暂时无力偿还且未逾期情况下，本人曾联系平台客服申请延时还款，平台拒绝协商，并且骚扰恐吓家人，平台在未电话联系本人确认是否具备偿还能力且是自愿贷款还是被培训机构诱导的情况下快速放款，培训机构并未让我详细了解贷款相关协议，并且催促我快速填写相关信息。</t>
  </si>
  <si>
    <t>2019/10/10 01:51:32</t>
  </si>
  <si>
    <t>18:21:26购买付款的《猫和老鼠官方手游》账号，因不满意商品而交易失败，资金显示：退款失败。</t>
  </si>
  <si>
    <t>2019/10/10 01:50:51</t>
  </si>
  <si>
    <t>实际到账金额不是合同注明的2660元，只有2000元整，属于严重的欺骗行为，借款成功后才显示如此高额的利息，联系客服说要取消借款客服说没办法取消。</t>
  </si>
  <si>
    <t>2019/10/10 01:50:32</t>
  </si>
  <si>
    <t>虚假宣传，游戏内容和明星代言的实际内容不相符，导致个人充值消费。</t>
  </si>
  <si>
    <t>2019/10/10 01:50:08</t>
  </si>
  <si>
    <t>闪电借款借款前期需要购买黑卡，借款4000元，需要前期费用640元卡费，到账4000，还款4200元，变相的砍头息640，50天期限就要840元费用，太黑了。</t>
  </si>
  <si>
    <t>2019/10/10 01:44:44</t>
  </si>
  <si>
    <t>我在交易猫要买个梦幻西游账号，商品实名了，取消交易了，但是连续几次都退款失败，联系客服，排队200多个人等候半天，剩下一个人的时候又重新排队又是100多人，反复着循环，不知道广州交易猫是不是在逃避退款，还是吃了就不想还给买家了，在这里我只要求能退款给我，毕竟钱难挣，商品没有买，钱就没了。</t>
  </si>
  <si>
    <t>2019/10/10 01:40:56</t>
  </si>
  <si>
    <t>广告涉嫌误导诱导客户进行借款，利率不明确，霸王条款，涉嫌泄露个人隐私，供委托三方公司进行恐吓式催收，明知这样违法微博借钱却不制止，，本人是一个学生，因低利息0.04%，得红包等微博借钱广告词入坑，第一次借钱是4月份借了3000分六期每期还款590，前日问了客服每期90是如何组成的，客服说的是综合费用，，一直强调公司利率不会超过36%，但自己通过招商银行计算贵公司的利率高达59.9%中途反复借了多次差不多共15000左右，已还部分剩余9900多还没有还，前几天协商打算一次性还清希望能减免利息，客服回复的是公司</t>
  </si>
  <si>
    <t>2019/10/10 01:30:28</t>
  </si>
  <si>
    <t>投诉人 龙女士        投诉对象  美团点评,美团旅行        涉诉金额  278 元    问题类型    诉求类型投诉详情  当时预订酒店未入住因为行程有变 商家确认入住 后续跟我说美团会退款的 当时行程是十月五号入住十月七号离店 七号我并没有收到退款 到现在都没有</t>
  </si>
  <si>
    <t>2019/10/10 01:29:13</t>
  </si>
  <si>
    <t>在2019年8月30号扣出我299元，要贷款必须查我的报告，我不小心点了同意，莫名其妙从我卡里扣了299,我当时问客服，客服就说14天后退款，过了14天不退，就说上传借款失败的图片要审核，大概过了一周就说审核失败，联系客服就给我推时间，推到现在，我气不过希望惩罚他们，。</t>
  </si>
  <si>
    <t>2019/10/10 01:24:48</t>
  </si>
  <si>
    <t>被要求确权，已签，后续无进展，无法拿到退款，请求帮助。</t>
  </si>
  <si>
    <t>2019/10/10 01:24:29</t>
  </si>
  <si>
    <t>车辆损坏，无缘无故怪在我头上，而且提供不出来证据，让我提供未损坏车辆证据，让我自己想办法，工作人员态度恶劣，骂人，八百元非让我陪，重点是证据不明确，而车辆并非我损坏，一直不处理。</t>
  </si>
  <si>
    <t>2019/10/10 01:22:42</t>
  </si>
  <si>
    <t>投诉人 张先生        投诉对象  大王贷款        涉诉金额  3 100 元    问题类型    诉求类型投诉详情  一不小心点了一个网贷 结果是个高利贷</t>
  </si>
  <si>
    <t>2019/10/10 01:20:41</t>
  </si>
  <si>
    <t>深圳世联金融违规收取砍头息，本人于2017年11月14目申请10万元借款，24期，但是签合同时被强行要求签署一份112000元的借款合同，否则不放款，当时本人缺钱心切就签署了，后来在本人征信报告上显示的也是112000元，但是本人有银行流水为证，只实际到账10万元，并且到帐后立马又扣走3020元也不知扣的是什么费用，每月本息共还6010.67元，已还21期，现在本人因家中老母亲住院，经济一时紧张，已逾期25天未还，近几天又在打亲朋好友电话，今天，又彩信发来了法务函，本人要求按照合同利率和实际到帐金额，重新计</t>
  </si>
  <si>
    <t>2019/10/10 01:20:39</t>
  </si>
  <si>
    <t>从九月份开始，截止到十月八号，有多笔特约中智的自动扣款，扣款方显示是中金支付四川分公司，本人与中金支付没有过业务来往，不知道这些扣款的原因，要求中金支付给足解释，并退还款项！。</t>
  </si>
  <si>
    <t>2019/10/10 01:17:20</t>
  </si>
  <si>
    <t>投诉人 吴先生        投诉对象  造艺科技        涉诉金额  299 元    问题类型    诉求类型投诉详情  乱扣费，我都不知道怎么扣的 望退款不然走法律程序</t>
  </si>
  <si>
    <t>2019/10/10 01:16:02</t>
  </si>
  <si>
    <t>恶意扣款，客服电话态度恶劣一拖在拖，已经一个多月了，强烈要求退款，app申请借款，按步骤填写资料，然后最后要求绑定银行卡，绑定完成就开始审批，过了一个小时说是扣除299元个人信用报告费用，可是之前申请步骤并没有说明有这个费用，正规贷款也不应该有前期费用，涉嫌违规欺诈，因为不知道会有这种情况发生，申请过程没有截图，而且他也只是中介，扣取费用之后推荐几个app。</t>
  </si>
  <si>
    <t>2019/10/10 01:14:52</t>
  </si>
  <si>
    <t>我也没说不还，一天打我76个骚扰，还严重骚扰我家人朋友的正常生活。</t>
  </si>
  <si>
    <t>2019/10/10 01:11:06</t>
  </si>
  <si>
    <t>投诉人邱先生投诉对象微信,潮信注册人派1988涉诉金额8300元问题类型诉求类型投诉详情9月30日微信陌生人推荐刷单赚钱，被骗取8300元，一开始刷单提成和本金都退货，但最后两单本金8300元不退了，原因要联系先垫付3单才行。</t>
  </si>
  <si>
    <t>2019/10/10 01:08:41</t>
  </si>
  <si>
    <t>我没有借过这笔钱，之前也没有在融360上下载过安装过这个软件，但是我今天收到一条信息快来花，您的2926.18元订单已到期，请及时处理，如已处理请忽略.，随后又有催收电话要求还款，并且威胁要联系家人朋友.。</t>
  </si>
  <si>
    <t>2019/10/10 01:06:24</t>
  </si>
  <si>
    <t>以为我最近手头紧，申请了网贷小浦优客，但是没有申请下来该网贷就私自扣了我296元。</t>
  </si>
  <si>
    <t>2019/10/10 01:04:48</t>
  </si>
  <si>
    <t>借款1000，合同显示1400，逾期一天费用100，投诉一万多遍都没用。</t>
  </si>
  <si>
    <t>2019/10/10 01:03:02</t>
  </si>
  <si>
    <t>本人在去年2018年10月大四的时候在拍拍贷申请了1笔贷款，贷款金额8100元，分12期，每月还款894.08，12期需还总额10728.96元，年利率55.35%，；还款途中因无力偿还又继续借了2笔贷款，分别为1000元，分6期，每期还款877.9元，12期需还总额5267.4元，年利率59.31%，三次借款本金本金总额为13564元，计算得出总需还17356.32元，当时还是学生年少无知，现在计算之后才发现利息如此之高，计算得出的利率远远高于国家规定利率，现在已无力偿还，很影响家庭生活，希望该投诉能给予</t>
  </si>
  <si>
    <t>2019/10/10 01:01:59</t>
  </si>
  <si>
    <t>应用软件QQ里面的QQ看点携带大量广告，如“天天快报”只要误触点到就会自动下载。</t>
  </si>
  <si>
    <t>2019/10/10 01:00:43</t>
  </si>
  <si>
    <t>投诉人 郑先生        投诉对象  交易猫        涉诉金额  698 元    问题类型    诉求类型投诉详情  一直退款失败，不是说好交易失败马上到账吗</t>
  </si>
  <si>
    <t>2019/10/10 01:00:30</t>
  </si>
  <si>
    <t>在2017年4月的时候向星星钱袋借款四千元，还了手续费100以及两期的费用它们分别是413.33元和496.59元，由于当时还是在校学生，迫于经济能力有限造成了逾期没能及时还上，在逾期没多久，就接到了声称是星星钱袋的催收工作人员的恐吓、辱骂、爆通讯录给我亲朋好友发短信和打电话等方式进行暴力催收，还把我的逾期记录上传到了征信，后来有钱想要还的时候，但由于网络平台无法正常运行所以造成无法还款，现在想要还款，但由于过高的逾期费用无法承担得了，所以希望得到帮助。</t>
  </si>
  <si>
    <t>2019/10/10 01:00:18</t>
  </si>
  <si>
    <t>投诉人陈浩投诉对象杭州伟福科技有限公司涉诉金额199元问题类型诉求类型投诉详情没有经过本人同意在没有输入密码以及没有消费提示的情况下扣除本人199元个人财产，我要求全额退款，如果一直没有回应我会走法律程序维护个人权益，。</t>
  </si>
  <si>
    <t>2019/10/10 00:59:34</t>
  </si>
  <si>
    <t>停止骚扰亲戚朋友，搞得工作也没有了，家也不能回了。</t>
  </si>
  <si>
    <t>2019/10/10 00:57:24</t>
  </si>
  <si>
    <t>本人欠工商信用卡俩万逾期几个月现在变成俩万六千元，那个单号是我以前手机号，现在可以联系电话是134******30。</t>
  </si>
  <si>
    <t>2019/10/10 00:57:17</t>
  </si>
  <si>
    <t>借1000合同1330三个月要还1900多。</t>
  </si>
  <si>
    <t>2019/10/10 00:55:46</t>
  </si>
  <si>
    <t>投诉人李先生投诉对象斗牛士app涉诉金额3500元问题类型诉求类型投诉详情借款3500，周期5天，到账2100，还款需还3517。</t>
  </si>
  <si>
    <t>2019/10/10 00:53:51</t>
  </si>
  <si>
    <t>2019.2.26日本人银行卡无卡自助扣款3000元，扣款方显示特约宝付支付，宝付公司为714违法平台提供清算服务，知法犯法，希望宝付公司退还扣除的违法砍头息费用，近千元，麻烦宝付公司尽快给予解决！对于宝付公司和714合作也会向监管部门进行投诉举报！。</t>
  </si>
  <si>
    <t>2019/10/10 00:49:43</t>
  </si>
  <si>
    <t>借款3500，5天时间，到账2100，1400的利息，黑心贷。</t>
  </si>
  <si>
    <t>2019/10/10 00:48:45</t>
  </si>
  <si>
    <t>招联每天电话骚扰我，还打电话给我家人，恐吓暴力催收，我目前有困难还不上，和我协商只叫借钱解决，还打电话叫我家人还。</t>
  </si>
  <si>
    <t>2019/10/10 00:47:29</t>
  </si>
  <si>
    <t>电信拼多多支付宝微信提供虚拟账号扣款，希望严厉打击网络赌博。</t>
  </si>
  <si>
    <t>2019/10/10 00:45:53</t>
  </si>
  <si>
    <t>下载小浦优客app，填完资料生成了一个报告，我也没有发起借款就卸载了软件，今天突然扣我人民币296元。</t>
  </si>
  <si>
    <t>2019/10/10 00:42:37</t>
  </si>
  <si>
    <t>现金借款500&amp;nbsp;14她后还款570&amp;nbsp;严重高利贷宝付为其提供支付渠道一并投诉本人和他们没完。</t>
  </si>
  <si>
    <t>2019/10/10 00:41:56</t>
  </si>
  <si>
    <t>本人今年5月份左右接触到一个兼职服务，接二连三引诱我进行充值，现在了解到这个是赌博平台，都是通过拼多多平台进行充值的我需要拼多多平台给我退款。</t>
  </si>
  <si>
    <t>2019/10/10 00:41:12</t>
  </si>
  <si>
    <t>我要他们出具结清证明，并且停止对我以及亲戚朋友的骚扰。</t>
  </si>
  <si>
    <t>2019/10/10 00:41:00</t>
  </si>
  <si>
    <t>投诉人李先生投诉对象325棋牌涉诉金额130000元问题类型诉求类型投诉详情从19年3月份起，前后砸进去14万左右，在网上搜索说他们是电脑控制后台，我现在家也没了朋友也闹翻了，工作也没了，还欠了一屁股债，我要求他们退回我的钱，可以在我的记录里看冲了多少钱，我希望他们退回来，我现在已经感觉我活不下去了，我就想他们退回，引起有关部门重视，我觉得这个平台就不应该出现在我们的视野，希望有关部门重视，帮帮我们被他们害的人，也为了下一代能不要被这些祸害。</t>
  </si>
  <si>
    <t>2019/10/10 00:39:51</t>
  </si>
  <si>
    <t>闪银多米贷之前延期过两三次，这次想要申请延期在逾期第一天就打电话给客服了，客服说要反馈给催收人员，结果催收人员每次打电话都是1秒或者2秒就挂断了，今天逾期第四天了一直没有看到延期通道，到现在催收人员也没有再打电话，延期通道也没看见。</t>
  </si>
  <si>
    <t>2019/10/10 00:39:22</t>
  </si>
  <si>
    <t>因为这款产品和mac口红有近百分之70相似，论颜色论外观都很像，被系统信息层面判断售假，这款口红是9月份开始卖的到10月4日被查售卖63支，买家都是淘宝客推广的客源，顾客会有我设置的100元有优惠卷下单只需36元，这也算是一个吸引人的优惠政策，但是没有仔细看详情页的客户以为是mac口红，收到货说这只子弹头口红不是mac，我也是很冤枉，180元的mac口红卖36元可能吗！，其次我申诉后30分钟收到通知，因账户综合判断申诉不成立，，申诉证明要出示的发票，授权书，发票补发证明，1688网站代发截图以及1688代发</t>
  </si>
  <si>
    <t>2019/10/10 00:39:20</t>
  </si>
  <si>
    <t>投诉人 程先生        投诉对象  苏宁易购        涉诉金额  9 599 元    问题类型    诉求类型投诉详情  家人通过微信联系到所谓的朋友。让我进行付款刷单。显示是苏宁易购方收款。现要求这笔钱原路返还到支付宝账户中。</t>
  </si>
  <si>
    <t>2019/10/10 00:37:58</t>
  </si>
  <si>
    <t>我在立借里的钱置宝下款借款2100.00元，还款日联系客服协商，客服电话无人接听，也无人与我联系，现已逾期15天，仍然联系不上客服，也没有人联系本人。</t>
  </si>
  <si>
    <t>2019/10/10 00:37:04</t>
  </si>
  <si>
    <t>高额利息，要求赔偿，还有会员费，取消还款，暴力催款。</t>
  </si>
  <si>
    <t>2019/10/10 00:36:27</t>
  </si>
  <si>
    <t>2019/10/10 00:35:33</t>
  </si>
  <si>
    <t>投诉人 于先生        投诉对象  YOHOBUY有货         涉诉金额  40 000 元    问题类型    诉求类型投诉详情  八月份 在有货UFO平台上面出售鞋子 满足了200单可以全返手续费的 然后现在说在后台没查到登记了支付宝账号 不予返现</t>
  </si>
  <si>
    <t>2019/10/10 00:35:06</t>
  </si>
  <si>
    <t>投诉人 刘先生        投诉对象  钱站        涉诉金额  3 000 元    问题类型    诉求类型投诉详情  合同借款金额3990，到账3000。还4500左右。阴阳合同。</t>
  </si>
  <si>
    <t>2019/10/10 00:34:22</t>
  </si>
  <si>
    <t>要求拉卡拉退还不合理利息以及罚息，并撤销剩余罚息。</t>
  </si>
  <si>
    <t>2019/10/10 00:34:18</t>
  </si>
  <si>
    <t>投诉人张先生投诉对象你我贷涉诉金额12000元问题类型诉求类型投诉详情你我贷利息高，没经过我本人同意，私自给我通讯录打电话发信息，冒充律师事务所的律师，给我发假的律师函，当时贷款12000，到账9000多，一年十二期需要还款14000多元，远超正常利息，所以我一直都没还款，没有正常客服给我解决问题，始终是骚扰电话短信！。</t>
  </si>
  <si>
    <t>2019/10/10 00:33:40</t>
  </si>
  <si>
    <t>投诉人 李先生        投诉对象  阿里巴巴1688        涉诉金额  90 元    问题类型    诉求类型投诉详情  无良商家诱骗我取消线上退款后 不肯退款 货物已寄出签收 后走平台拒绝退款 平台申诉被打回 无法上述</t>
  </si>
  <si>
    <t>2019/10/10 00:32:31</t>
  </si>
  <si>
    <t>快鱼分期借4600扣了1050给我3550的，分六期还差不4900，逾期一天收我违约金40多一天，还爆通讯录，不正规网贷。</t>
  </si>
  <si>
    <t>2019/10/10 00:32:28</t>
  </si>
  <si>
    <t>买家恶意下单然后不要，要求我这边取消订单，发布商品时各种提示暗示缴纳保证金，我取消订单时候没有任何提示将扣除保证金，由于太晚客服下班，第二天一早联系客服说处理不了，会有电话给我处理结果，结果说半天意思还是自认倒霉，强烈要求退还我的保证金。</t>
  </si>
  <si>
    <t>2019/10/10 00:30:44</t>
  </si>
  <si>
    <t>19年10月2日我们店铺的客户从我店购买了商品，10月6日收到货后联系我们客服反馈说产品不是正品，我们客服就把厂家官方销售店铺图片发他了，告诉他如果怀疑产品质量可以直接联系厂家对比咨询，厂家那边会对产品给她一个说法的，就是因为发了一个厂家的店铺名称图片被拼多多提示导流，这也太冤了啊，产品是厂家生产的，客户担心产品质量肯定要去和厂家沟通，不能因为发了一个厂家店铺图片就判定我们是导流啊，我们是销售产品的肯定不是故意让客户去其他地方购买啊，发厂家图片的目的是让客户确认一下他买到的产品是厂家正品，就这样被定位导流交</t>
  </si>
  <si>
    <t>平台没借到款就开始收费，一直在审核20多天没结果。</t>
  </si>
  <si>
    <t>2019/10/10 00:30:16</t>
  </si>
  <si>
    <t>投诉人 于女士        投诉对象  拍拍贷        涉诉金额  494 元    问题类型    诉求类型投诉详情  我银行卡有足够的钱。但是总是提示扣款失败。我换了不同的银行卡也是一样。现在我拒绝支付逾期费用。不能记录是我恶意不还款</t>
  </si>
  <si>
    <t>2019/10/10 00:30:05</t>
  </si>
  <si>
    <t>投诉人苏先生投诉对象新中付支付涉诉金额128元问题类型诉求类型投诉详情店里来了个业务员自称光大银行员工说免费给办信用卡，然后拍身份证营业执照什么的弄完了说免费送一个刷卡机，得先激活刷129完了就到我绑定银行卡了现在才知道被骗了129刷给新中付了就给我返0.25信用卡也没办下来他只是网上给我申请的也没通过128.75就莫名其妙的被刷走了。</t>
  </si>
  <si>
    <t>2019/10/10 00:29:30</t>
  </si>
  <si>
    <t>提现速度太慢了，而且还没到账都过两个小时了，还没操作，有点慢，投诉下，给我回复就行，。</t>
  </si>
  <si>
    <t>2019/10/10 00:29:11</t>
  </si>
  <si>
    <t>我2017年在平安普惠贷款6万，分36期，每期还款2400多，从未逾期，已经还26期，每月还款日是6号，他们6号上午就给我通讯录打电话，后我和他们沟通后，他们承诺以后不逾期不会给朋友打电话，我于6号下午通过app还款成功，10月6号，因我没带手机，中午他们就开始给我朋友，亲戚打电话，加微信，说我贷款逾期了联系还款，6号中午3点多我回家看手机有未接电话，我赶紧回拨解释，我就没有还款，要求他们给通讯录录朋友解释道歉后才还款，他们从6号到9号换3个人和我协商，一边协商一边继续打通讯录，发微信骚扰朋友，我想了解一下</t>
  </si>
  <si>
    <t>2019/10/10 00:28:18</t>
  </si>
  <si>
    <t>在我本人没有违反任何相关法律规定下，无任何提醒，强制局方暂停服务我的手机卡，打电话咨询客服只可以知道已经被局方暂停，问其他一律不知道，本人使用远特手机卡，只是用来绑定网络游戏账号和必要时给游戏官方发送短信，其余时间都是处于关机状态，从来没有给其他号码发送过任何不良骚扰信息或打过电话，也请远特官方给出证据，我的诉求是：只需要将我的手机卡开启服务几分钟，让我将绑定在手机号码上的游戏账号解除即可，别无他求。</t>
  </si>
  <si>
    <t>2019/10/10 00:26:40</t>
  </si>
  <si>
    <t>站内信一直显示退款失败，订单信息一直显示退款中，但是钱一直没回到支付宝上。</t>
  </si>
  <si>
    <t>2019/10/10 00:25:56</t>
  </si>
  <si>
    <t>今年7月在立借借款12000元，当时下单时显示的分12期，总共需还款16320元，实际放款后发现其实前三期就要还15120.02，所谓的分12期根本就是假的！这样算下来年利率远远超过国家标准！是名副其实的高利贷！现已还10979.88元，要求调整利率！提前结清。</t>
  </si>
  <si>
    <t>2019/10/10 00:25:43</t>
  </si>
  <si>
    <t>布丁小贷公司催收人员暴力催收，骚扰我通讯录联系人，打我工作单位电话，在其暴力催收下让我失去了工作，布丁小贷利息远远超过国家规定利息，在其公司借款1500元，逾期后需还金额高达7000多元将近8000，对我，家人，朋友进行谩骂，威胁，望公司给说法，联系催收人员也不回复，不予以销账将采取司法措施，威胁行为将会依法追究责任。</t>
  </si>
  <si>
    <t>2019/10/10 00:25:15</t>
  </si>
  <si>
    <t>投诉人张女士投诉对象点融网涉诉金额10400元问题类型诉求类型投诉详情一个理财产品存了10000多元钱提现已经2个多月了只提出来600多元，还有一个产品最后剩下的36元钱，已经半年多了一直无法提现。</t>
  </si>
  <si>
    <t>2019/10/10 00:23:50</t>
  </si>
  <si>
    <t>于2019.10.9日还款，晚11点30左右APP操作还款，但是一直显示还款中，卡内余额充足，期间多次显示扣款失败，恶意产生逾期，请给一个说法。</t>
  </si>
  <si>
    <t>2019/10/10 00:21:32</t>
  </si>
  <si>
    <t>投诉人 李先生        投诉对象  交易猫        涉诉金额  144 元    问题类型    诉求类型投诉详情  购买账号：交易猫申请退款。 连续俩次退款失败。</t>
  </si>
  <si>
    <t>2019/10/10 00:20:43</t>
  </si>
  <si>
    <t>本人于2018年九月27号在乌鲁木齐优信二手车贷款五万元，业务员当时诱导我做了36期分期，原话是，贷款满一年后可以提前大额还款，平均一年是五千元利息，截止2019年九月27号我已还了十二个月贷款，每月还款是1781元，我已经还了21377元，现在我要大额还款要求把车过户到自己，他们业务员给我算完是还要还40000多，多出了5000元费用，，我现在怀疑他们存在欺骗消费者的违法行为，，请你们帮帮我。</t>
  </si>
  <si>
    <t>2019/10/10 00:20:07</t>
  </si>
  <si>
    <t>本人在我来贷去年借了一笔款5000元，分期12个月，每个月还502.3元，在此之前每个月都有按时归还，但在9月份开始遇到困难，一时无法按时还款，在微信中已和催收人员说明情况，让他宽限一下时间，等有钱立马还上，但没有想到催收人员未经过我允许，就群发信息说我欠款的事情到我通讯录里面的朋友，我是通过朋友发过来问我才知道，严重侵犯我个人隐私权和骚扰到别人，对我造成极大的伤害影响！导致声誉受损，我和他微信说起，催收人员不但不理会，不承认，还辱骂我，只能上此平台帮帮我，要求他们立即停止骚扰，赔偿道歉！。</t>
  </si>
  <si>
    <t>2019/10/10 00:17:45</t>
  </si>
  <si>
    <t>酷宝支付公司违规帮助非法平台提供充值通害得本人被骗27491元，希望酷宝公司帮助退回我的损失，。</t>
  </si>
  <si>
    <t>2019/10/10 00:14:28</t>
  </si>
  <si>
    <t>借8000元十八期要还120000元是不是高利贷。</t>
  </si>
  <si>
    <t>2019/10/10 00:13:36</t>
  </si>
  <si>
    <t>9月4日，我在佛山沙堤机场候机，有两位身穿机场制服的工作人员，向我推荐称花1380元办理“北京航行神州与您同行会员卡”，就能享受机票优惠及机场VIP服务，并称用他们的卡买机票，比所有网上的价格都便宜，卡里面的钱可以购买机票，当我办完卡以后，她才告诉我里面的钱只能在下次购买机票时只能部分扣款，每次购买机票比其他任何机票网站上便宜5%-10%，然后在30-300元之间划扣，由于当时急着登机，并没有详细了解，回来以后，我从网上发现，办理的“北京航行神州与您同行会员卡”属于欺骗行为，他们利用机场工作人员的身份虚假宣</t>
  </si>
  <si>
    <t>2019/10/10 00:13:11</t>
  </si>
  <si>
    <t>位于东莞市莞城街道旗峰路万科中心2栋东莞轻奢维体健身会所，本人于5月3日份缴1680元，加入会员，办理一年有效期健身卡，8月20号该健身房以修电闸为由停业2天，其中未发布任何公告，于8月28日宣布破产，会员无法，只得举报公安，晚上在公安公证下老板徐毅保证退还会员损失钱款，然8月29日早晨变卦拒绝退还我们损失钱款，宣称继续营业，营业至9月中旬又开始无故关门停业，负责人联系不上，第二次无故停业至今已1月有余；该健身房自6月到8月骗取一百多人充值健身房卡，吸纳资金10万元以上，，其中该健身房还拖欠员工工资2月有余</t>
  </si>
  <si>
    <t>2019/10/10 00:12:33</t>
  </si>
  <si>
    <t>黑蟹，发臭联系商家不认，一直说蒸熟后无法核实来敷衍，这样的螃蟹谁敢吃。</t>
  </si>
  <si>
    <t>2019/10/10 00:11:36</t>
  </si>
  <si>
    <t>投诉人刘女士投诉对象钱站,华夏银行涉诉金额75000元问题类型诉求类型投诉详情套路贷高利贷砍头息暴力催收威胁恐吓骚扰。</t>
  </si>
  <si>
    <t>2019/10/10 00:11:01</t>
  </si>
  <si>
    <t>本人借了5000分6期，一共还7500，合同本金写的6800，回来打电话问他们，他们说2500的服务费，我就问问服务费，你直接写呀，你写我本金6800干啥，明显阴阳合同，显得你们正规贷款利息低，还有我就问问你都服务我啥了要2500的服务费，你们是黑社会呀，告诉我去哪告也不怕，你们可真牛，咱们就按国家规定利息走，我不是欠钱不还的人，但是我也不是袁大头，让你们宰，你是要2500这么容易，说声服务费就完了，那你怎么不抢银行，或者收保护费，不到还款日期就开始催收打骚扰打电话，说自己是正规平台，来你给我算2500服务</t>
  </si>
  <si>
    <t>2019/10/10 00:10:20</t>
  </si>
  <si>
    <t>10月7日下午在唯品会购买的衣服，当时价格655.00，但隔天发现唯品会已将价格改为369.00，差价286.00，价格较购买时降了将近一半，购买的商品还是发货途中，未收到，与客服联系，客服说现在是活动价格，拒绝退差价，且最多只能提供20元的唯品券作为弥补，还说你提前2天购买了，虽然价格贵了些，但是也提前享受了，其他平台虽也经常有活动导致价格变动，但一个月内有相应的保价服务，而在唯品会上丝毫没有一点体现，作为一个消费者，针对唯品会这样的做法和理由实在难以接受，要求退还差价，还消费者一个公道。</t>
  </si>
  <si>
    <t>2019/10/10 00:10:18</t>
  </si>
  <si>
    <t>维信金科又叫维信卡卡贷，高额利息，会员费，和充值费用高1500元，利息很高，一共借了70500，一个30000每个个月500利息，太吓人了，还有300多的利息，借7万多要还9万多，这是严重的高利贷，还严重催款，打骚扰电话，恐吓我家人，严重骚扰我家人，吓唬我的加人，一天没有还款利息就一百多，这样严重让我无法生活，要求赔偿金额和退反高利息和会员费用，这是我见过最高的网贷，利息，每个月就是在还利息利息，一点也不合理，不道德。</t>
  </si>
  <si>
    <t>2019/10/10 00:10:00</t>
  </si>
  <si>
    <t>但是每笔借款都强制捆绑保险，金额多少我也记不清了，而且我算了一下活力花的利息加服务费年利率刚刚在35.99%，如果再购买保险就超过了国家规定的界限。</t>
  </si>
  <si>
    <t>2019/10/10 00:09:29</t>
  </si>
  <si>
    <t>约单app充值诚意金未注明扣押金期限、充值后未在醒目位置提示需要扣除服务费，自动接单的均为机器人，未在醒目位置提示押金不可提现。</t>
  </si>
  <si>
    <t>2019/10/10 00:09:10</t>
  </si>
  <si>
    <t>本人之前在先花一亿元平台借款，没想到有众安保险的投保记录，在本人不知情情况下，且投保人与被保人都是本人，变相的高额利息，之前联系过众安保险客服人员不给解决。</t>
  </si>
  <si>
    <t>2019/10/10 00:09:02</t>
  </si>
  <si>
    <t>2019年7月，从卡卡计平台引流推荐贷上钱，借款4800元，实际到账4000元，以金豆充值为名，变相收取砍头息800元，不购买无法下款，且游戏豆没有一点左右，并无关联任何游戏！协商本金还款，却不销账，说金豆无法消除！，逾期一天便通知家人亲友，威胁上门催款，爆通讯录！每天催收电话超级多，从来不听借款人诉求，只催促还款！我已经还了两期，游戏豆金额已还572元，本金已还3402元，第三期逾期一天，游戏豆竟然飙升至306元，现在要求退还前两期游戏豆费用，还上合法本金4000元，并提供结清证明！。</t>
  </si>
  <si>
    <t>2019/10/10 00:08:46</t>
  </si>
  <si>
    <t>9月18日，在得到商家开票的前提下，购买了6个网络监控摄像头，总计1178元，收到货后，第1次催商家开票，商家承约几天后开，过了几天，第2次、第3次催，商家答应开，商家失约一直没开，第4次催开票，又承约10月5号内开好发给我，到8号还没开，跟他联系开票的事，信息显示已读，但爱理不理，9号下午2点到晚上9点多一直跟商家联系，聊天当时就显示已读，7个小时一句话也没回复，东西买了20多天了，开票一次次失信，到后面理都不理，要求天猫严惩这种不守信用，没有诚信、出尔反尔、不守规矩的不良商家，还消费者一个好的购物环境，</t>
  </si>
  <si>
    <t>2019/10/10 00:07:50</t>
  </si>
  <si>
    <t>已经超过立刻出行承诺的退款周期，本人尚未收到退款，在此发出投诉，希望有关部门重视，保护消费者的个人财产安全。</t>
  </si>
  <si>
    <t>2019/10/10 00:07:31</t>
  </si>
  <si>
    <t>投诉人 李先生        投诉对象  融360        涉诉金额  20 000 元    问题类型    诉求类型投诉详情  18年借的很多融360的15天高炮 希望可以归还部分砍头息</t>
  </si>
  <si>
    <t>2019/10/10 00:06:09</t>
  </si>
  <si>
    <t>快速给我处理我要提前还款服务费务必给我去除，你们这服务费太高根本就是变相高利贷！务必给我解决处理。</t>
  </si>
  <si>
    <t>2019/10/10 00:03:37</t>
  </si>
  <si>
    <t>10月2日，本人工行储蓄卡上自动被划扣两笔，共计12200余元，由于没有交易短信提醒，直到10月9日晚通过工行APP查询才发现，通过和工行客服，银联，广东银联联系，确认扣款方名为上海优逸，本人与该企业从未有过借贷往来，该储蓄卡也未和第三方扣款机构绑定，对于此盗窃行为进行投诉，希望要求其退款道歉！。</t>
  </si>
  <si>
    <t>2019/10/10 00:01:54</t>
  </si>
  <si>
    <t>广东信汇支付违规帮助非法平台提供支付通道，本人被骗4890元。</t>
  </si>
  <si>
    <t>2019/10/10 00:01:51</t>
  </si>
  <si>
    <t>豹子贷恶意扣款了299元，请求退款，谢谢聚投诉。</t>
  </si>
  <si>
    <t>2019/10/10 00:01:43</t>
  </si>
  <si>
    <t>本人在期待科技贷款20000万，因生意倒闭，无法及时还款，导致逾期10个月，突然接到平安普惠的电话，说我在期待金融借款逾期严重，现转平安普惠，并起诉，上传征信，并且已到我户籍法院立案起诉，还发了彩信给我，说要我回本地法院立案庭登记报到，到时不到并以发传真，公示等手段传唤被告，我想问一下，现在新的借货催收，法院传票等，都有保护当事的隐私的职责，这种说法是否真实。</t>
  </si>
  <si>
    <t>2019/10/10 00:01:18</t>
  </si>
  <si>
    <t>陌单需要服务需要冲200诚意金，我没成交钱只能退到账户里不能提现，。</t>
  </si>
  <si>
    <t>2019/10/10 00:00:46</t>
  </si>
  <si>
    <t>巨额砍头息，以前不懂，申请的时候被砍头3300多以为是合法合规，现在知道这是违法行为。</t>
  </si>
  <si>
    <t>2019/10/10 00:00:38</t>
  </si>
  <si>
    <t>交易成功后不打款，说未实名认证，那为啥前面可以打款，这单不行，。</t>
  </si>
  <si>
    <t>2019/10/10 00:00:33</t>
  </si>
  <si>
    <t>逾期十个小时，利用虚拟电话爆打联系人，并威协联系人，不还马上爆通讯录，请51人品贷24小时内必须道歉，货款15310年还利息4500元，如果不道歉，下期后果自负。</t>
  </si>
  <si>
    <t>2019/10/09 23:59:44</t>
  </si>
  <si>
    <t>小花钱包逾期暴力催收，恐吓，爆通信录骚扰亲朋好友影响正常生活，贷款以“服务费”名称收取砍头息，利息计算高出国家规定，此平台属于高利贷。</t>
  </si>
  <si>
    <t>2019/10/09 23:59:24</t>
  </si>
  <si>
    <t>在借钱到账银行里面不到一分钟就有自称为豆豆钱客服人员人工服务来问钱到账没有、然后我说到账了、就挂了、等了快15分钟想了一下到账一下扣我1099元、实际到账13901元、一共借了15000元，一年要多还6000多、想着利率太高不借了钱退回去、我就打了那个自称客服人工服务电话说不借了把钱退回去然后客服说退回去一个小时以后可以重新借出来就不会扣1099元了、维说可以、然后就让我关注维信豆豆钱处理中心公众号找客服协商还钱的事、客服也同意退回就发了二维码给我两次入账退回了、过了24小时再去豆豆钱app上面看还款记录，</t>
  </si>
  <si>
    <t>2019/10/09 23:59:17</t>
  </si>
  <si>
    <t>看不到记录，有砍头息费用，要求平台退回不合法利息，否则，将通过互联网银监会和黑猫投诉，中国12315热线投诉。</t>
  </si>
  <si>
    <t>2019/10/09 23:56:25</t>
  </si>
  <si>
    <t>合同写的2172，到账1500，分三期，需要还款两千多，砍头息将近700，还款两期都才发现不对，后打客服电话永远无法转接，现在逾期每天最少二十个电话。</t>
  </si>
  <si>
    <t>2019/10/09 23:54:03</t>
  </si>
  <si>
    <t>宝付为违法套路贷平台提供扣款，本人银行卡于2019.3.13日有一笔宝付支付，为套路贷平台扣款1510.5元的支出信息，这笔款项砍头息达到百分之四十左右，现要求宝付支付公司违法扣除的砍头息部分，尽快给予退还！宝付公司合作714套路贷行为，会继续投诉举报信访给有关监管部门！。</t>
  </si>
  <si>
    <t>2019/10/09 23:52:59</t>
  </si>
  <si>
    <t>购买王者荣耀初始号之后，商家一直不发货，且拒绝退款，不发货还不退款，我的钱买空气吗，商家在线拒绝退款之后，还是不理人，坑钱的吗，还说申诉到底坑死人---已经购买其他账号了要求退款，并处罚这些恶意坑人的商人。</t>
  </si>
  <si>
    <t>2019/10/09 23:52:43</t>
  </si>
  <si>
    <t>佛山市三水区金地艺境天成售楼部颜丽萍女士，在售房时虚假营销以及隐瞒楼盘存在的问题，诱导客户签订认购书，欺骗客户说认购书是政府范本，事后找她退定金一直拖延。</t>
  </si>
  <si>
    <t>2019/10/09 23:52:13</t>
  </si>
  <si>
    <t>好分期，北京好还科技有限公司，额度为9100.实质放款为8000.到账银行为建行，砍头息，分12期为1万2千两百多，砍头息，高利性质！每期除了利息还收取高额服务费，逾期一天就多收一百多块钱，好可怕，阴阳合同，好分期，其实借出甲方，后来看了合同才知道是人人贷。</t>
  </si>
  <si>
    <t>2019/10/09 23:50:14</t>
  </si>
  <si>
    <t>被骗跟退款失败，找不到客服处理，被骗我自己傻，就不说什么了，退款失败连个原因都没有，客服也没有。</t>
  </si>
  <si>
    <t>2019/10/09 23:49:48</t>
  </si>
  <si>
    <t>短信和微信都发到亲友那了，说我不沟通，电话我都有接的，只有她说没我说的份。</t>
  </si>
  <si>
    <t>2019/10/09 23:49:12</t>
  </si>
  <si>
    <t>投诉人张先生投诉对象借贷宝涉诉金额200000元问题类型诉求类型投诉详情高利贷借1000到手600，一个星期，希望返还利息。</t>
  </si>
  <si>
    <t>2019/10/09 23:48:48</t>
  </si>
  <si>
    <t>马上金融App明文规定不下款给在校学生，却电话诱使在校学生贷款，并下高额利息，上次投诉没说明主要情况，电话沟通也未解决主要问题，在校学生没有还款能力还下款，一下还不上就要电话轰炸，还要打给父母，每个月都担惊受怕的，真的是受够这样的折磨了。</t>
  </si>
  <si>
    <t>2019/10/09 23:48:33</t>
  </si>
  <si>
    <t>我在支付宝提现到银行卡里再从银行卡提现到零钱通打算存起来，但是我只是想把我银行卡的钱存到微信的零钱通。</t>
  </si>
  <si>
    <t>2019/10/09 23:47:43</t>
  </si>
  <si>
    <t>第一张图里，本人在九月只充过一次话费100元，故在九月八号扣费之前，本人的账户余额应为115.85，其中九月八号后扣费33元，余额为82.85，按照山东移动的秋季活动，43元的月租有20元的赠费，那么十月八号扣费应为23元，那么十月九号我的余额应为82.85-23=59.85元，但实际上在第二张图中，本人实际的余额却只有37.75，且山东移动对此并没有做出解释，实属无缘故乱扣费。</t>
  </si>
  <si>
    <t>2019/10/09 23:46:12</t>
  </si>
  <si>
    <t>立借里面的钱置宝，高利贷，还款还不上，联系不上客服，借款2100，本金已经还了2060,协商再还款100元结清欠款，客服加了qq，后联系不上，导致严重逾期！非让我还200,催逼我还款，造成了巨大的逾期费用，而且利息已经超出百分之国家规定的百分之36年华利率，希望有关部门严查。</t>
  </si>
  <si>
    <t>2019/10/09 23:45:02</t>
  </si>
  <si>
    <t>今年六月，在美丽屋名下的一个叫美丽帮的软件上接单给他们干维修，风里来雨里去干了一个多月，一共3100多块钱，讨工资时，美丽屋说不关他事，他的业务已包给了一个叫北京鼎盈鑫建筑装饰工程有限公司的公司，而这公司却像是皮包公司，也拒绝付工资，感觉他俩公司是一伙的，我们这都有好几个人在这个叫美丽帮的软件上接单没拿到工资，希望有人能管管，别让更多人上当受骗！。</t>
  </si>
  <si>
    <t>2019/10/09 23:44:13</t>
  </si>
  <si>
    <t>滴滴出行九江分公司不帮当地滴滴司机办理个人网约车营运证，我们滴滴司机在九江市交通运输管理局详细咨询过，交通局是可以为我们办理个人原因镇，但是需要滴滴公司出示相关授权文件，因为滴滴出行九江分公司已和九江市当地的五家租赁公司签订了协议，需要我们挂靠他们签订协议的五家分公，把我们的私人车辆过户到他们设立的五家分公司其中任意一家，只有在这种情况下才会帮助我们办理网约车辆营运证，把原本属于我们私人的财产无情的变更成与滴滴出行签了协议分公司的财产，滴滴出行九江分公司与当地的五家租赁公司合谋坑害我们滴滴司机，滴滴出行在其</t>
  </si>
  <si>
    <t>2019/10/09 23:43:49</t>
  </si>
  <si>
    <t>10月9号在南京禄口机场候机时被海云端工作人员诱导消费，存入1980费用，本以为款项可以用来购买机票，最后发现费用只能用来抵扣机场建设费，而且还只能抵扣本人的机场建设费，并且完全没提及这个卡所附带的机场vip通道只有一年时间！在关键信息都没提及的情况下诱导消费。</t>
  </si>
  <si>
    <t>2019/10/09 23:43:25</t>
  </si>
  <si>
    <t>与恒企培训公司签订合同时，未正视合同条款，现因自身原因需要退款与解除网贷，，恒企公司以格式条款约束本人，格式条款令人无法接受，现投诉恒企，希望可以处理退款与解除网贷分期。</t>
  </si>
  <si>
    <t>2019/10/09 23:42:07</t>
  </si>
  <si>
    <t>投诉人张先生投诉对象飞鸽钱包涉诉金额100000元问题类型诉求类型投诉详情这几个产品利息高的离谱，七天借3000要1千的利息，希望国家有关部门核查宜人贷借款65000三年需要还10万多，不是高利贷是什么，拿着法律的空子说话，国家能不能管一管。</t>
  </si>
  <si>
    <t>2019/10/09 23:41:48</t>
  </si>
  <si>
    <t>本人在转转寄售平台购买一台苹果iPadPro11英寸，平台以标错价格为由，一直坚决不同意给本人安排发货以及推卸责任等问题，价格由卖家标定，转转平台也出了验机报告，也就代表转转平台认可该商品在寄售平台出售，，正好被本人拍下并履行了付款义务，订单生成即表示买卖合同生效，可如今平台却一直不同意安排发货，不履行寄售平台下单后24小时内发货等规定，这种行为属于严重违约，为维护本人的合法权益，本人诉求转转平台将交易商品及时安排发货，不接受转转平台提出的退款要求。</t>
  </si>
  <si>
    <t>2019/10/09 23:41:44</t>
  </si>
  <si>
    <t>订单一二，一直退款失败，金额分别是450+560，因为卖家截图而客服截图很多地方不一样我选择了拒绝交易，后面就不给退款，一直失败，完全找不到任何人工客服入口，包括电话都是机器人，而且，反馈了几个月都没消息，说是两天内处理，帮我600块的装备当地摊货发给玩家好几个月了也没处理，当时是我两套装备，我要卖的是比较差的，因为入手了一套比较好的，然后我去打怪穿着最好的去，要卖的放箱子了，两套装备属性都是不一样的，我的商品也说明了是什么属性，客服完全不看直接发货，也没和我确认，直接把我600多快的装备发给了别人，谁买的</t>
  </si>
  <si>
    <t>2019/10/09 23:41:26</t>
  </si>
  <si>
    <t>到手7000合同9310六个月要还13025。</t>
  </si>
  <si>
    <t>2019/10/09 23:41:19</t>
  </si>
  <si>
    <t>投诉人章先生投诉对象钱站涉诉金额5000元问题类型诉求类型投诉详情第一次在网贷平台借款，抱着试试看的想法，到钱站点了5000没细看合同操作好就退出钱站APP，第二天也没放款，打开看了下合同借款金额6600实际上是5000总还款额是7200左右，就联系客服取消贷款，客服就说没办法取消，要我没放款的情况下，叫我7200全额还款，就清账了，现在预期了每天发信息，要挟我不还就怎么怎么样，今天催收打我电话又来催我还，我说把我借5000合同上改成5000按法律许可的利息我马上还，催收一直说合同上就是5000我借的就是5</t>
  </si>
  <si>
    <t>2019/10/09 23:41:18</t>
  </si>
  <si>
    <t>乱扣取新人费，没这清楚新人费没从还款里另算。</t>
  </si>
  <si>
    <t>2019/10/09 23:41:09</t>
  </si>
  <si>
    <t>在信而富借款都必须先购买商品，购物成功后剩余额度才能用于贷款，而且购买的商品价格是正常市场价的十几倍，但是好歹有东西收取，但是借款30天必须购买的优先特权包388元，购买的同城旅游卡和特权包！均为中金支付收取！本人并未见到物品，实际为高额砍头息！只要求退还7月6月5月的，费用，其余的不追究，仅此而已、但信而富客服态度强硬，不予处理，并要求撤诉，除非退款否则继续投诉！黑猫投诉。</t>
  </si>
  <si>
    <t>2019/10/09 23:40:09</t>
  </si>
  <si>
    <t>投诉人雷先生投诉对象豆豆钱涉诉金额8000元问题类型诉求类型投诉详情电话恐吓，提到后果自负，爆通讯录，影响身边朋友。</t>
  </si>
  <si>
    <t>2019/10/09 23:39:50</t>
  </si>
  <si>
    <t>借款时间最长只有14天，短的只有7天，每次放款前都要扣除高额的砍头息，后来有一次仅仅是因为还款日前没来的及处理，遭到了他们外包的催收人员的恐吓，辱骂，并且爆破了本人通讯录，对我的生活和精神造成了极其恶劣的影响，，希望爱上街商城能正视自身的问题，给我一个满意的答复。</t>
  </si>
  <si>
    <t>2019/10/09 23:38:00</t>
  </si>
  <si>
    <t>因买家拼单成功，我正常发货，货物运输途中，买家以不想要，拍错为由，申请退款，以至于我向物流召回货物，货物还在返回运输途中，因买家的错误下单，和拼多多违法乱纪，错误的全额退款，依据法律规定，买家责任，就该买家承担的原则，由买家承担一切法律责任，和我的损失，拼多多以买家没有责任为由，全额退款给买家，严重违法犯罪，严重侵害了我个人人身权益，拼多多必须依法赔偿我个人所有损失，公开道歉。</t>
  </si>
  <si>
    <t>2019/10/09 23:36:45</t>
  </si>
  <si>
    <t>套路贷借2000到账1040，有15次，希望政府严查。</t>
  </si>
  <si>
    <t>2019/10/09 23:36:11</t>
  </si>
  <si>
    <t>投诉人 郑先生        投诉对象  交易猫        涉诉金额  349 元    问题类型    诉求类型投诉详情  我取消交易后 不给我退款显示交易失败 我找人工客服也没人理我</t>
  </si>
  <si>
    <t>2019/10/09 23:32:18</t>
  </si>
  <si>
    <t>本人借款3000元，合同显示还款金额3988，分三期，每一期需要换1330，但合同显示借款本金3750，标准的阴阳合同，高利贷，暴力催收。</t>
  </si>
  <si>
    <t>2019/10/09 23:31:46</t>
  </si>
  <si>
    <t>借款1000合同上变成1300多，总共要还1800多，分3期，后面每期还要收服务费160多。</t>
  </si>
  <si>
    <t>2019/10/09 23:31:15</t>
  </si>
  <si>
    <t>大家看看是不是阴阳合同高利贷借了5000合同上本金写的6800然后总共还7500，6期，打客服电话问他们这件事自己都说不清楚，告诉我2500服务费，我就想问问你都服务我啥了，要2500，你们是黑社会呀，还说去哪告不怕，我就问问2500，6个月，按国家利息算，你属不属于高利贷，还暴力催收，短信骚扰，我希望聚投诉给我解决，要不我就去国务院留言，不信搬不到你，你后台是有多硬，害了多少人了，心里没点数。</t>
  </si>
  <si>
    <t>2019/10/09 23:30:09</t>
  </si>
  <si>
    <t>豹子贷平台私自扣除我银行卡里150元，害我一天没钱吃饭，没路费上班，这里希望各部门严查，追回我的损失。</t>
  </si>
  <si>
    <t>2019/10/09 23:29:54</t>
  </si>
  <si>
    <t>广发信用卡固定额度8元，根本就没用过也就没当回事，今天翻开支付宝发现有个相互保自动扣款的账单是广发的，忽然想起来应该快还款了就进广发apo查看，结果让人意想不到是事情发生了，逾期了5天罚息30元，这简直就是高利贷中的高利贷综合年利率超出法定最高几率几百倍了。</t>
  </si>
  <si>
    <t>2019/10/09 23:29:15</t>
  </si>
  <si>
    <t>2018.06.26申请的立刻出行已交保证金499，2019.六月份申请退还押金，至今还未退还成功，客服也找了三四次，每次都是整处理中，耐心等候，很忽悠。</t>
  </si>
  <si>
    <t>2019/10/09 23:28:09</t>
  </si>
  <si>
    <t>本人于6月3日在点融网借款，借款之前点融网先下款24850元，一秒钟后又扣除了5900元，实际下款金额是18950元，分12期还款，每期还款2260元，他拒不承认还好之前的短信和通话我都有录音，亲友也都提供了电话号码，证明就是那个打我外婆电话催款的催收员，但是接下来请通过法律渠道不要使用如此龌龊的手段，国庆假期，电话短信设置拦截，没有接到点融网电话短信，之后在10月6日中午接到老人家电话，说点融网打电话要求她替我还钱，老人家是我外婆，87岁高龄，又糖尿病高血压，点融催收语气极差，对老人家进行恐吓威胁，本人马</t>
  </si>
  <si>
    <t>2019/10/09 23:26:27</t>
  </si>
  <si>
    <t>3月19日，从本人银行卡中，为套路贷扣款3524.5元，砍头息达百分之40左右，仅一笔导致本人无故损失1400元左右，现在要求宝付支付对于违法扣除的砍头息，进行原卡退还，宝付支付为714套路贷平台提供违法支付清算通道于2019年3月19日，从本人银行卡中，为套路贷扣款3524.5元，砍头息达百分之40左右，仅一笔导致本人无故损失1400元左右，现在要求宝付支付对于违法扣除的砍头息，进行原卡退还，同时就宝付支付对于合作的714商户，资质审核不严谨这一系列问题，会继续反馈到12363和央行监管部门！。</t>
  </si>
  <si>
    <t>2019/10/09 23:26:06</t>
  </si>
  <si>
    <t>如果玖富平台故意拖延时间，导致本人逾期记录，我将通过法律途径解决。</t>
  </si>
  <si>
    <t>2019/10/09 23:25:27</t>
  </si>
  <si>
    <t>这个月18号才发工资，分期乐七号还款，之前一直都是按时还的，由于这个月换了工作，导致逾期了，但是分期乐今天跟我老公打了电话，我家里面也我母亲也跟我说打了说有人要钱，母亲本来身体就不好，这次一听差点就进医院了，导致我家里我老公都知道这个事情了，分期乐我是一直按时还的，就这个月出了一点问题，难道就不能宽限一下吗。</t>
  </si>
  <si>
    <t>2019/10/09 23:24:02</t>
  </si>
  <si>
    <t>10月1日逾期，本人从未失联，电话一直保持畅通，并积极与催收人员沟通，招联第三方催收机构在未经本人允许的情况下，三番五次的骚扰与借款人无关人员不止一个，本人都没有被骚扰人员的联系电话，也没有上传过通讯录，我想问一下你们的催收机构人员是怎么查到被骚扰人电话的，已经对我本人名誉权以及个人隐私权和本人的生活造成严重危害，我希望你们机构能给解决这个问题，并提出合理的赔偿方案，国家三令五申不允许暴力催收，我看贵机构这是将国家的法律法规视若无物，还是说贵机构觉得自己可以在触犯法律的情况下能不被起诉到人民法院，根据相关法</t>
  </si>
  <si>
    <t>2019/10/09 23:24:00</t>
  </si>
  <si>
    <t>本人在申请哆咪黑卡信用贷，并没产生借贷行为，在本人不知情的情况下扣除了199元，要求返还扣除金额。</t>
  </si>
  <si>
    <t>2019/10/09 23:23:19</t>
  </si>
  <si>
    <t>投诉人 王女士        投诉对象  宝付支付        涉诉金额  1 000 元    问题类型    诉求类型投诉详情  麻烦尽快将我的款项退回来 并要求给我道歉</t>
  </si>
  <si>
    <t>2019/10/09 23:22:42</t>
  </si>
  <si>
    <t>本人曾因经济周转困难在小象优品借了两次贷款，分别为10000元和14000元，现每期还款分别为1133.33和1586.67，其中包含了手续费300元和420元，算下来12期的手续费分别为3600元5040元，这个年利率远远高于国家标准，询问客服是否可以提前还款，客服回答是可以提前还款但是利息仍需支付，这明显与国家法律规定不符！请求提前还款并免除剩余利息。</t>
  </si>
  <si>
    <t>2019/10/09 23:21:51</t>
  </si>
  <si>
    <t>由于本人7月3日被电信诈欺8000元，当晚就去当地派出所报案立案了，派出所做了备案之后就让我回家等待，等到现在也没有结果，导致自己的资金周转不开，虽然资金周转不开但是每个月关于分期乐的账单都如数还款，这个月以后就由于压力太大不能按时如数还款，希望聚投诉能帮我协商还款，减轻自己的还款压力，自己借的钱自己肯定得还，以往的账单不管多少钱我都想办法还进去，这个月真的压力太大了，希望分期乐能够和我协商处理，我也不说不还，我就是资金周转不开一下子拿不出来那么多钱，也希望分期乐的催收不要咄咄逼人，如果以前被炸取的那么多钱</t>
  </si>
  <si>
    <t>2019/10/09 23:21:27</t>
  </si>
  <si>
    <t>1.目前泰迪熊手机用户端和官方服务端存在数据不同步，2.官方申诉通道服务端数据库和中国通信研究院的号码推进组数据不同步，3.由于以上问题用户无法精准查询到那些号码被标记，4.工信部337号文件关于号码标记准确性政策，http://www.miit.gov.cn/n1146295/n1652858/n1652930/n3757020/c6466600/content.html，中国通信标准化协会要加快制定移动智能终端防骚扰技术要求、骚扰标记分类等骚扰电话治理相关标准，规范标记行为，鼓励各智能终端制造企业在手机</t>
  </si>
  <si>
    <t>2019/10/09 23:21:01</t>
  </si>
  <si>
    <t>本人微信在2019年9月23日被微信官方无故冻结我的微信支付功能，导致我现在无法使用该功能，并且我微信里面的资金无法使用，微信功能提示需要上传本人持身份证照片才能解冻，但由于我现在身份证遗失还未补办无法上传解冻，现在我急需使用微信里面的资金还信用卡但无法使用，现我要求微信官方解决并解释以下问题:第一、烦请微信官方解释为什么在我没有做任何违犯法律法规，违犯微信支付规则的操作，未自动操作要求官方冻结该功能的情况冻结我的微信支付功能及冻结我资金，且在冻结之前为什么没有事先告知或任何提示我，第二、我之前有在微信“帮</t>
  </si>
  <si>
    <t>2019/10/09 23:20:33</t>
  </si>
  <si>
    <t>私自更改银行卡号导致放款失败，还要我交百分之三十认证金，之前已经交了一千多，钱没收到还要我还款。</t>
  </si>
  <si>
    <t>2019/10/09 23:20:26</t>
  </si>
  <si>
    <t>本人在凡普金科旗下月光侠分期借款3300元，分3期还款，实际到账2310元，还款3460元，收取砍头息费1150元，严重超出国家法定利率，本人要求协商还款合理本息。</t>
  </si>
  <si>
    <t>2019/10/09 23:19:26</t>
  </si>
  <si>
    <t>2019.10.9日百川推客客服在群里发公告说下午平台更新活动规则，到晚上才能提现，谁知道更新完成以后我登录去看我发现我的450元不见了，然后我就去看明细结果我吓一跳，我的钱全部失效了，打电话联系到客服，客服微信被举报被封了，群也被封了，如果他们平台是正规的会被人举报吗，我不管他们平台正规还是不正规，替他们平台打工就要付钱对吧！我替他们平台邀请好友100人，结果借着更新抹掉所有奖励，我走投无路找到你们平台希望能帮我要回450元，万分感激，真的是打工拿不到工资呵呵！。</t>
  </si>
  <si>
    <t>2019/10/09 23:19:20</t>
  </si>
  <si>
    <t>投诉人 王女士        投诉对象  你我贷        涉诉金额  8 000 元    问题类型    诉求类型投诉详情  给我及我家人朋友打电话 威胁恐吓 说要上门找我 导致我现在都不敢出门 晚上也睡不踏实 对我的日常生活交友带来很大的影响</t>
  </si>
  <si>
    <t>2019/10/09 23:18:02</t>
  </si>
  <si>
    <t>投诉人 冯女士        投诉对象  马上消费金融        涉诉金额  0 元    问题类型    诉求类型投诉详情  马上金融催收工作人员打扰我的工作。也骚扰我的家人。上个月就害我丢了一份工作。现在又在我工作时间拨打电话。我也已经说明情况了。每天都五六个电话骚扰我家人。这是想逼死人嘛？</t>
  </si>
  <si>
    <t>2019/10/09 23:17:03</t>
  </si>
  <si>
    <t>10月2日到货，快递员没经过我同意就直接放在了快递柜，我拿出来看里面两瓶酒都是碎的，之后马上联系了京东客服，破损商品也全部退还给了京东的派送网点。</t>
  </si>
  <si>
    <t>2019/10/09 23:15:23</t>
  </si>
  <si>
    <t>借贷宝为民间高利贷提供平台，在借贷宝上打了欠条，没有收到借款，多次和客服投诉，客服均没有这么回应解决方案且推卸责任，逾期后，借贷宝平台恶意野蛮催收，轰炸通讯录联系人，现在要求借贷宝平台停止催收骚扰，如果也证据可以起诉我，借贷宝平台销账。</t>
  </si>
  <si>
    <t>2019/10/09 23:15:11</t>
  </si>
  <si>
    <t>投诉人苟先生投诉对象海纳百川涉诉金额487元问题类型诉求类型投诉详情百川推客推出邀新人有奖活动，然后我方根据他方规则去拉新人来赚取佣金，辛苦给推了一周的APP，本来说的周三结账，说系统升级，延迟一天，我也等了，想着这么大的公司，不可能不结账，然后周三晚上把我的数据全部清零，佣金全部不接算，我很吃惊，努力一周就得到这个回报。</t>
  </si>
  <si>
    <t>2019/10/09 23:14:47</t>
  </si>
  <si>
    <t>等工资发下来再还我不是一样要交逾期费用的吗，不能给我几天时间非要威逼利诱我现在借钱去还嘛。</t>
  </si>
  <si>
    <t>2019/10/09 23:14:27</t>
  </si>
  <si>
    <t>鱿鱼一袋，10月9日晚上在食用过程用发现食物发霉，要求按照国家食品安全法进行赔偿，联系客服之后回复我赔偿10元优惠券跟可以申请退款，由于本人怀孕31周了，对食品安全特别重视，所以这次并不希望草草了事。</t>
  </si>
  <si>
    <t>2019/10/09 23:14:12</t>
  </si>
  <si>
    <t>投诉人严先生投诉对象交易猫涉诉金额40元问题类型诉求类型投诉详情交易猫栽赃陷害，本人9月27日通过该平台出售一个网易邮箱账号，价格40元，当天便通过平台进行换绑，从那以后我便没有发送任何短信到网易，但是今天也就是10月9日晚上接到一个陌生电话说卖的号换绑失败了，让我配合换绑，我说可以，进平台操作，但是电话那边说不能在平台操作，加qq操作，我以为是骗子，便挂掉电话，结果没过几分钟就收到来自交易猫的站内信，就是图片里的那样，把我列为打黑除恶的对象，线索提交到公安机关，此行为已涉嫌恐吓，但是本人品行端正，绝不会对</t>
  </si>
  <si>
    <t>2019/10/09 23:14:11</t>
  </si>
  <si>
    <t>借款6000，实际到账4500，每期还款2200多，现要求全部结清4500元，请工作人员联系我微信，虚拟电话一律不接。</t>
  </si>
  <si>
    <t>2019/10/09 23:12:54</t>
  </si>
  <si>
    <t>9月16日提交后，至10月9日仍然没有退还保证金。已超过约定的10个工作日。要求相关部门督促退还。</t>
  </si>
  <si>
    <t>2019/10/09 23:12:16</t>
  </si>
  <si>
    <t>投诉弹个车霸王条约，满一年后在未通知到消费者情况下把车开车，还要另外收取各种不明费用，简直坑到极点。</t>
  </si>
  <si>
    <t>2019/10/09 23:12:04</t>
  </si>
  <si>
    <t>优乐美app，本人无订单，却收到声称客服的电话骚扰。</t>
  </si>
  <si>
    <t>2019/10/09 23:11:54</t>
  </si>
  <si>
    <t>在深圳窗口改签今天打电话给12306客服说已经退款了到现在退的钱一直没到我的账户上。</t>
  </si>
  <si>
    <t>2019/10/09 23:10:52</t>
  </si>
  <si>
    <t>大学期间，在一家电脑店做兼职，被骗的拿身份证，注册了一个工作电脑，后来电脑店跑路，惠今公司，就来催收我们电脑钱，一个网络旗舰店售价1500的平板电脑，折合他们的规则就是6000多，被迫无奈已经返还了1500的市价金额，惠今公司还在一直通过骚扰亲友，来暴力催收，今投诉重庆惠今科技有限公司，涉嫌欺诈和暴力催收。</t>
  </si>
  <si>
    <t>2019/10/09 23:10:43</t>
  </si>
  <si>
    <t>佛山祈福南湾半岛，是个第一眼就会让人爱上的地方！它真的很美！而且售楼部小姐姐指着未来规划图说，过几年就有地铁开通，离小区几分钟的路程，轻轨也快了，小区楼巴接驳广州佛山，半小时的生活圈，，，，，小姐姐的眉飞色舞，动情的介绍，看到了未来的美好生活就在眼前啊！虽然不在城区，没有出门就公交车，但它有小区楼巴接驳，而且价格合理，出行很方便，，，，，，，，直到这个月，楼巴忽然涨价到广州单程15，三条线涨幅均是原来的2倍，而且不能以现金支付，不能买月卡，在业主完全不知情的情况下，随意调高费用，不合情。</t>
  </si>
  <si>
    <t>2019/10/09 23:10:23</t>
  </si>
  <si>
    <t>这个月没办法按时还款，请求延期还款，手机尾号2024。</t>
  </si>
  <si>
    <t>2019/10/09 23:10:05</t>
  </si>
  <si>
    <t>投诉人林先生投诉对象交易猫涉诉金额8000元问题类型诉求类型投诉详情梦幻西游手游账号在交易猫上出售，未经本人允许交易猫泄露本人电话，账号莫名被盗，联系客服没有客服处理，也没有人工处理，账号被盗后还在交易猫上摆。</t>
  </si>
  <si>
    <t>2019/10/09 23:09:51</t>
  </si>
  <si>
    <t>本人于28号借款3000，实际到账1590，续一期1410，续一天300，在我连续续了好几期以后，从24号到今天，每天线下交易300，‭133。</t>
  </si>
  <si>
    <t>2019/10/09 23:07:55</t>
  </si>
  <si>
    <t>八月份在钱站借款2000元，现在每个月要还1048，还三个月，利息1000多，本人现在要求偿还本金和合理利息，国家除恶打黑形式严峻。</t>
  </si>
  <si>
    <t>2019/10/09 23:07:30</t>
  </si>
  <si>
    <t>逾期2天就说要在各社交平台散步本人照片及信息，他们有什么权利。</t>
  </si>
  <si>
    <t>2019/10/09 23:06:55</t>
  </si>
  <si>
    <t>投诉人 李先生        投诉对象  钱站,华夏银行        涉诉金额  2 960 元    问题类型    诉求类型投诉详情  阴阳合同 高利贷欺诈和诱导借款人 使经济困难的人越来越困难</t>
  </si>
  <si>
    <t>2019/10/09 23:06:19</t>
  </si>
  <si>
    <t>本人19年2月初从友信信贷贷款132500，在签署的时候并没有主动说明平台服务费，只是含混其次要求一并强制签署，霸王条款！而且每到还款日就电话骚扰，N个电话来威胁还骚扰到同事以及无辜的朋友，而且存在高利贷和套路贷：贷款13万2千5百元，实际到账金额只有8万8千元，平台费用多达4万4千5百元！但是实际还款是一共36期，每期金额在4293！计算下来已经超过了国家认可的贷款利息！这属于明显的高利贷套路贷，黑贷公司，不属于国家正规平台！要求停止还款！。</t>
  </si>
  <si>
    <t>2019/10/09 23:04:37</t>
  </si>
  <si>
    <t>总共借款借款24000，一份是15000，需要还21959.4，利息就是6959.4，目前已还本金10859.7，另外一个借款9000，还12839.53，利息就是3839.53，已还本金5299.8，两个款项加起来剩余本金7840.5，因为家里出现了事情，所以没有能力还全部款项，所以之前跟对方协商还本金，而且催收人员爆我通讯录已经严重影响我个人及我身边的人的隐私及日常生活，还申称自己是天胜律师事务所律师，自己作为律师就爆我通讯录吗，并且我本人是可以联系到的，现要求立即停止骚扰，并做出处罚和赔偿，并保持好的</t>
  </si>
  <si>
    <t>2019/10/09 23:04:21</t>
  </si>
  <si>
    <t>借款1000元，还款1800多，要求速金服撤销此次借款，还款本金，给我打款的是爱钱进科技有限公司。</t>
  </si>
  <si>
    <t>2019/10/09 23:03:28</t>
  </si>
  <si>
    <t>我在闪银开了一个账户.借了一笔钱，给我弄了一个砍头息，300多。</t>
  </si>
  <si>
    <t>2019/10/09 23:03:06</t>
  </si>
  <si>
    <t>微粒贷暴力催收多次拨打工作单位电话骚扰公司同事，且本人主动联络微粒贷客服未能解决。</t>
  </si>
  <si>
    <t>2019/10/09 23:01:54</t>
  </si>
  <si>
    <t>月光侠分期贷款利息高，借款2600元，三个月总共需要还款3938.28元，利率已经高于国家法律规定的，属于高利贷了，实际打款为2600元，但是合同却显示3458元，打款时间长，已经不需要用钱的时候致电客服却说不能取消申请。</t>
  </si>
  <si>
    <t>2019/10/09 23:01:52</t>
  </si>
  <si>
    <t>昨天及贷到期，因为个人原因暂时没能还款，今天早上9点开始一直打电话，然后就说11点之前处理，我说明了我的情况，说的下午去处理，他说你听不懂人话吗，叫你11点之前处理，听不懂人话吗，然后就开始一连串电话轰炸，然后给父母，朋友，同事，连续电话，各种座机，手机，图中的电话通讯录已经被我删了很多，有0571的，有025的，有0577的，有0311的，有028的，还有199的手机，还有156的手机，后面的短信也是他给我发的，说的还要继续。</t>
  </si>
  <si>
    <t>2019/10/09 23:01:22</t>
  </si>
  <si>
    <t>该平台，在用户不知情的情况下，自动扣款用户的银行卡钱，投诉并要求全额退款！。</t>
  </si>
  <si>
    <t>2019/10/09 23:00:35</t>
  </si>
  <si>
    <t>投诉人 李先生        投诉对象  通联支付        涉诉金额  1 700 元    问题类型    诉求类型投诉详情  非法扣款 扣款目的不明确这只是九月份的记录 可能之前还有扣款记录</t>
  </si>
  <si>
    <t>2019/10/09 23:00:17</t>
  </si>
  <si>
    <t>2019年9月26日下午14时20分，中金支付四川分公司在我本人不知情并且未同意的情况下从我的邮政储蓄卡扣除89.9元，我根本没有跟他签什么协议，不明白是怎么非法从我的卡里扣除的金额，导致我的贷款未能及时扣款，影响了我的信用，希望能得到妥善处理，并退还我的钱，希望得到道歉和保证以后不会随意扣款。</t>
  </si>
  <si>
    <t>2019/10/09 22:58:48</t>
  </si>
  <si>
    <t>要求结清本金2300元，商品购物就是高利贷，实借3000，到手2280元，需还三千，不多说，现要求偿还所有本金，请掌众金服的工作人员和我联系，催收电话等虚拟号码一利拦截谢谢，微信与我联系。</t>
  </si>
  <si>
    <t>2019/10/09 22:57:42</t>
  </si>
  <si>
    <t>2019.10.03号因资金周转下载了一个分期通APP贷款，填写完资料后显示可以贷款5000，当时就点了确认提示要手机验证码，我以为是绑定银行卡的验证码直接就打上去了，然后就短信显示扣了卡里的钱249元，当时就蒙了，钱还没贷到就先扣了我的钱，然后进入一个会员页面，当时我还以为是下一步指示就点开看了一下，什么东西都没有，钱也不能贷，感觉扣了我的钱也没做事，看到下面有个很小的字写着退款，说要满足条件就可以退，条件是三家推荐的平台拒签和没用过会员权利，后来才知道，只要是点过里面的报告就是用过了就不让退款，而且报告</t>
  </si>
  <si>
    <t>2019/10/09 22:56:46</t>
  </si>
  <si>
    <t>9月30日在优衣库微信官网上买了一件衣服，6天都没有发货问客服只说帮忙处理但是也没有处理，我就申请了退款，第一天没退，晚上我问客服客服说正在处理，第二天也没退问客服客服说明天可以退，第三天还是没有退，客服就一直说帮忙查，帮忙处理，但是根本没有处理。</t>
  </si>
  <si>
    <t>2019/10/09 22:56:30</t>
  </si>
  <si>
    <t>190819-3*************9，1890元2019081922001487820533068840。</t>
  </si>
  <si>
    <t>2019/10/09 22:55:10</t>
  </si>
  <si>
    <t>714套路贷，还我血汗钱，不还我要起诉你们，并报警。</t>
  </si>
  <si>
    <t>2019/10/09 22:54:36</t>
  </si>
  <si>
    <t>因前任未还交通银行信用卡的钱，对我这个紧急联系人进行了电话骚扰，后因为我的电话号码换了，进而对我的朋友电话骚扰，前任，我是联系不上了的，而且也无我无关，与我朋友无关。</t>
  </si>
  <si>
    <t>2019/10/09 22:53:38</t>
  </si>
  <si>
    <t>晚上22点50打电话，威胁恐吓，说当地催收上门催收警察抓我暂时经济困难没有偿还能力，一直不停的威胁。</t>
  </si>
  <si>
    <t>2019/10/09 22:53:15</t>
  </si>
  <si>
    <t>每天都被趣花分期的人打电话骚扰，原因是我认识的一个人在趣花分期上借了6000元钱，然后没及时还上，现在利滚利已经到了一万多，别人不愿意还这么高地利息，于是他们就不停地骚扰他的通讯录里的人，其中就有我，我也向他了解了一下，他也不是不愿意还钱，只是不愿意还那么高的利息，比本金都要高的利息，借6000还砍了不少头息，人家和你们协商了几个月了，愿意还本金和部分利息，或者你们走法律程序也可以，但是你们坚决不同意，必须要人家还比本金还要高的利息，还要一直利滚利到几十万，几百万，几千万，哦不，是逾期费，人家不愿意，你们就</t>
  </si>
  <si>
    <t>2019/10/09 22:52:34</t>
  </si>
  <si>
    <t>本人在一年前申请现金巴士，借了一千，到了以后要扣一笔砍头息。</t>
  </si>
  <si>
    <t>2019/10/09 22:51:53</t>
  </si>
  <si>
    <t>您好，今天下午刚拿到商品今晚八点活动降价，两件商品购买时分别是118和178。</t>
  </si>
  <si>
    <t>2019/10/09 22:51:13</t>
  </si>
  <si>
    <t>现要求偿还本金1800元，600多的砍头息我就不算了，当初在瞬瞬和哼哼借款2000元，以购物为由扣取600多手续费，现要求全部结清1800元本金，请微信联系我。</t>
  </si>
  <si>
    <t>2019/10/09 22:50:56</t>
  </si>
  <si>
    <t>我跟客服进行沟通工资没有发下来晚两天会偿还贷款。</t>
  </si>
  <si>
    <t>2019/10/09 22:50:45</t>
  </si>
  <si>
    <t>今天家里人跑去参加活动，昨天下午接到电话说老客户答谢会活动，抽奖送礼品，让我们去参加，抱着去看看的心态去了，先是抽奖，都是些不值钱的东西，后来说来了一个大区销售经理，来送大礼，拉上台一个懂洁空气净化器，看起来很一般，但是打着中央台幌子说东西好，卖4000多一台，但样子和二百多的一样，想查一下但是现场不让拍照也不让用手机查，然后大区经理就说给老客户送，但是又一直吊着你，最后拉上台一个在苏宁易购商场里标价六千多的净水器，又一顿死吹，然后说有兴趣买产品的留下，留下才能参加净化器抽奖，又说想抽奖的交一百块钱，不交可</t>
  </si>
  <si>
    <t>2019/10/09 22:49:26</t>
  </si>
  <si>
    <t>本人于18年由于经济问题在玖富接了一笔钱，已正常还款10期，所还金额早已超过了借款本金，最近由于家里事情较多，现经济比较紧张，希望能减免最后两期费用。</t>
  </si>
  <si>
    <t>2019/10/09 22:49:11</t>
  </si>
  <si>
    <t>工作人员忽悠三个月后可以提前还款，三个月后不仅还不了钱，还非法收取暴力信息。</t>
  </si>
  <si>
    <t>2019/10/09 22:49:10</t>
  </si>
  <si>
    <t>投诉人陈朝阳先生投诉对象苏宁易购涉诉金额2788元问题类型诉求类型投诉详情苏宁易购东西没有送到联系也不给退款服务态度差。</t>
  </si>
  <si>
    <t>2019/10/09 22:48:54</t>
  </si>
  <si>
    <t>本人去年借款19800元，放款公司尚诚消费金融，到今天已经向尚城消费金融还款15100元，页面提示还让我还10010.29，前段时间因为失业没有收入导致逾期，这个月我到处借钱，7号还了5500元，他们还是不停止他们的违法行为，各种骚扰朋友，家人，还以前上班的单位，打爆他们的座机，影响他们正常上班，利息还那么多，我说了慢慢还清，每个月按时还款，他们不给一点商量的余地，每天电话骚扰之前上班的单位，和同事。</t>
  </si>
  <si>
    <t>2019/10/09 22:48:21</t>
  </si>
  <si>
    <t>本人于2019年1月10日和2月19日在融360平台申请了贷上钱贷款，当时是融360推荐的，利息显示的是实际利息根本不一样，借2528元实际到账2000元，利息528元，期限15天，本人一共借了两次，两次共到账4000，却多还1056元，本人现在要求退还给我700元。</t>
  </si>
  <si>
    <t>2019/10/09 22:47:45</t>
  </si>
  <si>
    <t>外卖店家承诺可以开发票，并未限制金额，餐送到后发票开不出给商家打电话商家推脱说开不了。</t>
  </si>
  <si>
    <t>2019/10/09 22:47:16</t>
  </si>
  <si>
    <t>通过看直播时弹出一个网站，说充值返佣，后面才知道是博彩平台。</t>
  </si>
  <si>
    <t>2019/10/09 22:46:40</t>
  </si>
  <si>
    <t>在神州租车租了一辆萨沙特跑神州租车平台的专车，车子提来，公里数已经有20多万公里，跑车没跑几天车子就坏了，当时第一时间就联系了神州的客服，我问她修车的费用谁出，她说神州公司会出，所以车子就被拉到他们指定的修车厂，让我等车修好继续跑，结果等了半个多月车子都没有修好，然后我就跟他们提出说要退车，刚开始他们工作人员还给我算说退车能退8000多块，结果第二天就说车子坏了是我的原因要我负全责，可能退给我的钱都不够修车，太扯谈了，我感觉完全就是一个套路。</t>
  </si>
  <si>
    <t>2019/10/09 22:46:37</t>
  </si>
  <si>
    <t>本人被诱导在彩票网站充值，后发现不是国家指定网站，和支付清算协会沟通得知第三方支付业务应审核客户的相关信息，第三方支付公司不得向证券、期货、博彩等机构提供支付结算业务，在充值的过程中看到有银联支付，且各大第三方支付公司都支持，本以为有正规的支付牌照接口是国家的合法购彩平台，朋友了解情况后告诉我这是违法的境外赌博平台，但为时已晚，已经损失了巨额财产，通过中国人民银行，中国银联，和支付清算协会沟通得知，第三方支付业务应审核客户的相关信息，第三方支付公司不得向证券、期货、博彩等机构提供支付结算业务，作为有牌照的支</t>
  </si>
  <si>
    <t>2019/10/09 22:46:33</t>
  </si>
  <si>
    <t>接不到单，就是在热区也难得接到单，而且每次接到单都要开过去两三公里。</t>
  </si>
  <si>
    <t>2019/10/09 22:46:24</t>
  </si>
  <si>
    <t>西兰花高炮平台涉及砍头息，还款2000，实际到账1222.8。</t>
  </si>
  <si>
    <t>2019/10/09 22:46:23</t>
  </si>
  <si>
    <t>本人之前因为经济问题，相继在我来贷借款了3800元，5700元，22200元，10000元，10000元，6000元，在借款合同中显示的利率与实际还款的利率严重不符，合同上的利率远低于实际还款利率，实际利率已远超国家规定利率，因为实在无法承担如此高额利率，联系客服想要提前结清欠款，客服却说提前还款仍需全额支付利息，这明显不符合国家法律规定，希望聚投诉平台协助沟通减免其他费用，允许提前结清欠款。</t>
  </si>
  <si>
    <t>2019/10/09 22:46:03</t>
  </si>
  <si>
    <t>我的标已经到期，融金所不但不支付利息，连本金都不退，想问下这样的企业凭什么还能生存，还能去搞什么橙子汽车项目去欺骗更多的消费者，让更多的人上当受骗，难道监管部门也不管吗。</t>
  </si>
  <si>
    <t>2019/10/09 22:44:58</t>
  </si>
  <si>
    <t>投诉人陈浩投诉对象信用管家,91买呗涉诉金额2000元问题类型诉求类型投诉详情本人于信用管家里面的91买呗，借款2000元，实际到账1500元，还需要分3期还款，每期686.56，每期10天还款，超出了国家规定的利率，明确存在砍头息，也是国家不允许的，现在本人已经归还了1期，要求剩下2期进行协商销账结清处理,谢谢。</t>
  </si>
  <si>
    <t>2019/10/09 22:44:14</t>
  </si>
  <si>
    <t>之前申请了额度，根本没有点击再次确认，系统默认就放款中了。</t>
  </si>
  <si>
    <t>2019/10/09 22:43:40</t>
  </si>
  <si>
    <t>9月19日在农行绿森商城下单购买了iPhone，仍然没有发货，无客服多次沟通后无效，绿森商城无法给出准确发货时，这种行为已经构成了对消费者的欺诈，甚至已经涉嫌非法利用消费者的资金、非法集资，希望借助贵平台帮忙督促绿森商城立即发货，并按照规定补偿消费者。</t>
  </si>
  <si>
    <t>2019/10/09 22:43:11</t>
  </si>
  <si>
    <t>投诉人廖女士投诉对象天津铁航程商旅服务有限公司涉诉金额1880元问题类型诉求类型投诉详情在机场办理卡时，工作人员声称办理该公司卡可享受充值1998额外赠送1000的活动；该活动金额可以用于购买往后的出行机票费用，并未说明这是个基建代金劵；我询问过多次，都确认是可以用来购买机票的；当面激活绑定微信公众号的时候我一直无法收到验证码，等晚上回家我收到了短信提示，激活成功，然而额外提到这3000只是代金劵，用于抵消50的基金费的，这我算一下我要坐60次飞机才能用完，这不是坑人吗！办卡到现在没几天，卡一次也没用过，现</t>
  </si>
  <si>
    <t>2019/10/09 22:42:18</t>
  </si>
  <si>
    <t>我前面都是按期还款，由于孕晚期没工作，没有收入来源逾期了，但是从来没有不还款的意思，我说第二天处理，他们还没等我去处理就各种威胁，有钱花的工作人员要么不跟我沟通，要么各种恐吓威胁辱骂，威胁我家里人，对我身心还有家人，造成了很大的伤害。</t>
  </si>
  <si>
    <t>2019/10/09 22:42:06</t>
  </si>
  <si>
    <t>分期乐暴力催收，恶意骚扰联系人，恐吓威胁，且爆通讯录。</t>
  </si>
  <si>
    <t>2019/10/09 22:40:46</t>
  </si>
  <si>
    <t>投诉人 于兵        投诉对象  悦如公寓        涉诉金额  0 元    问题类型    诉求类型投诉详情  悦如公寓在房租未到期，把房子断电。。。。管家客服都联系不到</t>
  </si>
  <si>
    <t>2019/10/09 22:40:27</t>
  </si>
  <si>
    <t>投诉人 刘伟        投诉对象  拼多多        涉诉金额  100 元    问题类型    诉求类型投诉详情  拼多多天天拆红包活动 宣传的是给现金红包 实际给的优惠券 还是五百抵扣五十的大额券 怎么用？？</t>
  </si>
  <si>
    <t>2019/10/09 22:40:16</t>
  </si>
  <si>
    <t>又无法使用花呗了，支付宝当面花页面宣传是150元以内未开通花呗付款商家，都可以支持使用当面花，是每一笔都可以使用，但是至今为止，已经连续发生多次，符合条件的交易无法使用当面花的情况，支付宝有隐瞒当面花使用限制规则，并且有虚假宣传成分，误导消费者。</t>
  </si>
  <si>
    <t>现在催收的还可以用别人手机号去注册账号不停发验证短信来骚扰他们。</t>
  </si>
  <si>
    <t>2019/10/09 22:39:59</t>
  </si>
  <si>
    <t>扫黑除恶，深挖线索，联合打击，打击色情网站。</t>
  </si>
  <si>
    <t>2019/10/09 22:39:54</t>
  </si>
  <si>
    <t>本人在信用管家平台91买呗申请借款2000元，实际到账1500元，砍头息500元，分三期归还，每期10天，每期要还686.56，到期一共还款2059.68元！已超出国家规定利率！本人已归还两期，最后一期因实在无法偿还高额利息，想跟他们平台协商还款，放款方为武汉众邦银行，还有个服务方:浙江齐融金融信息服务有限公司，联系过客服，答应48小时内会有人联系我，到目前为止已经四五天了，没人联系我！！！。</t>
  </si>
  <si>
    <t>2019/10/09 22:39:26</t>
  </si>
  <si>
    <t>买了专车两年多了，一直不让升级专车，20多万的车一直烧油跑快车这谁遭得住，车贷都还不起了。</t>
  </si>
  <si>
    <t>2019/10/09 22:38:31</t>
  </si>
  <si>
    <t>支付宝余额支付，说是及时退款，9点到现在还没退成功。</t>
  </si>
  <si>
    <t>10月5号，他的app里1元钱的是开通的3天的会员，是我自愿支付的，北京友缘在线就是利用这个1元的便宜陷阱骗我开通了我支付宝免密自动扣费，然后又提示我激活一个功能，但是完全没有提示我是收费的，也没有提示我收费多少钱，就于，二次总共168元，该公司的app存在欺骗消费者，故意强制消费。</t>
  </si>
  <si>
    <t>2019/10/09 22:37:59</t>
  </si>
  <si>
    <t>投诉人谭先生投诉对象宜信涉诉金额150000元问题类型诉求类型投诉详情合同金额与实际到账金额不一致，收取高额服务费，。</t>
  </si>
  <si>
    <t>2019/10/09 22:37:43</t>
  </si>
  <si>
    <t>投诉人黄先生投诉对象自由魔卡,超级马力贷涉诉金额2000元问题类型诉求类型投诉详情本人在自由魔卡超级马力贷上借款2000元，在借款时需要购买500元会员卡，并且本人已经购买3次，共计1500，经新闻报道得知，这种行为属于违规砍头息行为，本人要求将贷款减免至1500元，本人再进行还款并销，依法追究这种高利贷非法收取会员费，并且会员无任何作用。</t>
  </si>
  <si>
    <t>2019/10/09 22:37:20</t>
  </si>
  <si>
    <t>打了欠条，没有放款，借贷宝投诉不处理，还野蛮催收，轰炸通讯录。</t>
  </si>
  <si>
    <t>2019/10/09 22:36:52</t>
  </si>
  <si>
    <t>，本人没在货上钱买过任何东西不知怎样得来购物金额400元，，要求协商还本金加利息，得不到合理解释我会在中国互联网金融协会举报和各种投诉。</t>
  </si>
  <si>
    <t>2019/10/09 22:36:47</t>
  </si>
  <si>
    <t>本人16年办理浦发信用卡，截止今年6月一直正常使用维护，18年6月底由于身体不适，在当地人民医院做了手术，在家休养了几个月未能上班，但还是借钱把浦发账单归还，由于今年家里事情较多，女儿也意外摔伤住院治疗，父亲患有严重胆结石，母亲车祸留下的后遗症，再加上本人在工地从事电焊行业，工资不及时，导致浦发信用卡于7月份逾期，这期间，本人一直尝试于浦发信用卡中心协商还款，但他们始终不接受，并交给第三方催收，现在催收电话一天十几个，甚至在未提前告知本人的情况下，去户籍地骚扰恐吓我父母，在家门口张贴欠款事宜，父母年事已大，</t>
  </si>
  <si>
    <t>2019年10月1日通过其他软件在百事普惠申请借款，按平台指引完成认证后借款失败，殊不知，却与百事普惠签订了一份299元评估费用，在前期认证时没有明确显示有评估费用，由于我银行卡开始只有100，就只扣了我100，今天我提现200后，扣除了我199元,我申请与百事普惠解除协议，请相关部门介入调查此类虚假套路公司！他严重侵犯了我们的利益，别的平台评估都是先收费，不收费根本不能评估，都是一目了然的，用户不想交这个钱就可以不评估，你们的既然一定要收钱为什么不说先收钱再评估?就想着等别人点了评估你们又不亏，别人银行卡</t>
  </si>
  <si>
    <t>2019/10/09 22:36:37</t>
  </si>
  <si>
    <t>10月6日，在武夷山机场被一名身着机场工作服的推销人员劝说购买航旅之家vip钻石卡，客服人员却说卡中的3000元只能每次分批抵扣，约几十元不等，不可一次性抵扣，办卡之前推销员说可以预存1680元，卡内赠送1320元，共3000元可用于购买机票时使用，在本人反复确认后，被推销员引领至休息室签字，可就在今日打电话给客服订机票时，客服人员却说，卡中的3000元只能每次分批抵扣，约几十元不等，不可一次性抵扣，且没有任何的所谓优惠价格，价格高于同于网站上的折扣价，本人在陈述机场推销员的原话后，客服以这是本人一面之词为</t>
  </si>
  <si>
    <t>2019/10/09 22:34:42</t>
  </si>
  <si>
    <t>已联系410-014-4888，客服认为扣299元是，合理合法的，因为有一个“合同”，但在人民银行查信征是免费的，你这个扣钱就是乱收费，在我国法律下，是违法的。</t>
  </si>
  <si>
    <t>2019/10/09 22:34:37</t>
  </si>
  <si>
    <t>本人于2019年9月22日在今日头条广告推广充值50元并推广广告，但审核并未通过，直至今日并未退款，今日头条已把我的账户中50元余额已清零，但我未收到退款，客服一直敷衍，没有客服电话，到最后不予理睬。</t>
  </si>
  <si>
    <t>2019/10/09 22:34:36</t>
  </si>
  <si>
    <t>点击进去注册借贷扣款银行卡信息，再不做任何通知情况下恶意扣除费用299，我并不需要这些服务，也没要求使用这些！要求退费，平台上连客服电话都没有，请协助退款。</t>
  </si>
  <si>
    <t>2019/10/09 22:33:53</t>
  </si>
  <si>
    <t>用钱宝爆亲友通讯录，发信息恐吓，群发律师函给通迅录好友，给亲朋好友造成困扰。</t>
  </si>
  <si>
    <t>2019/10/09 22:33:26</t>
  </si>
  <si>
    <t>在大麦网蹲周杰伦的票&amp;nbsp;不小心买错&amp;nbsp;马上联系客服&amp;nbsp;结果不让退&amp;nbsp;违法了消费者全国三包法则&amp;nbsp;网购产品七天无理由法则的要求即刻退款&amp;nbsp;什么霸王条款。</t>
  </si>
  <si>
    <t>2019/10/09 22:32:06</t>
  </si>
  <si>
    <t>因为卖家，账号，财付通注销不了，我选择了取消交易，接待客服给办理退款，之后找不到客服，交易失败，一直在退款中，联系不到客服，退款三次都失败一直在退款中，不晓得什么时候能退回来，还等着钱买别的东西呢。</t>
  </si>
  <si>
    <t>2019/10/09 22:31:22</t>
  </si>
  <si>
    <t>打着免息的名义，当你借完钱，要全年的利息，利息又那么高，本人被骗，在10月4日在360借条上借款35000元，借款12个月，并没有看到说提前还款需要偿还所有利息，于10月5日上午准备还款，却需要我支付12个月的利息，意识到被骗，联系客服人员居然和我打起了太极拳。</t>
  </si>
  <si>
    <t>2019/10/09 22:31:19</t>
  </si>
  <si>
    <t>投诉人 韩女士        投诉对象  Wecash闪银        涉诉金额  0 元    问题类型    诉求类型投诉详情  闪银工作人员你们好实在抱歉又一次麻烦你们 我已经和你们协商很多次 这个还款时间问题 真的是最近家里事情太多导致无法按时还款 并不是故意有钱不还 最晚20号我把闪银所有欠款处理掉 逾期费用一律承担 希望闪银工作人员再给我一次机会 谢谢麻烦联系我一下</t>
  </si>
  <si>
    <t>2019/10/09 22:30:32</t>
  </si>
  <si>
    <t>活动虚假，集卡活动18点开奖，一直得不到瓜分，等到领有红包了，一直没办法提现。</t>
  </si>
  <si>
    <t>2019/10/09 22:30:21</t>
  </si>
  <si>
    <t>个人资金短期周转需要，无意间下载了小浦优客贷款APP，要求注册填写个人信息及绑定银行卡后方可申请贷款，本人注册绑定后并未显示可以贷款，于是就再没有进行任何操作直接就卸载了App，第二天收到银行卡被莫名扣款的通知，app也登陆不了，客服电话也无法打通纯属欺诈行为，要求马上退还金额并赔偿。</t>
  </si>
  <si>
    <t>2019/10/09 22:29:35</t>
  </si>
  <si>
    <t>，价格没谈好买家就先拍下，取消订单扣了59保证金，说是退给买家了，买家说没收到，要求退还我保证金，平台这是恶意扣保证金。</t>
  </si>
  <si>
    <t>2019/10/09 22:29:03</t>
  </si>
  <si>
    <t>捷信利息太高，贷款一万正常还款9个月了每月588.41元，目前才还了本金2000多点，提前还款也多要求还三个月的利息无力偿还。</t>
  </si>
  <si>
    <t>2019/10/09 22:28:54</t>
  </si>
  <si>
    <t>10月8号，在交易猫上买了中国区礼品卡200元，然后过了一会儿，又下了一单，一共付款400元，可是因为一开始没看清楚，后面想取消定单，发现根本就取消不了了，我还未确定收货，前后付款时间还不到一小时，不是说7天无理由退货的吗，我这还不到一小时，就退不了了，问了客服，客服建议申请仲裁，可是那仲裁倒好，今天10月9号仲裁直接给我弄成交易成功了，一下子我400元打水漂了，我现在就只想退款，希望聚投诉能帮助我成功退款！十分感谢！。</t>
  </si>
  <si>
    <t>2019/10/09 22:28:39</t>
  </si>
  <si>
    <t>投诉人 张先生        投诉对象  淘手游        涉诉金额  590 元    问题类型    诉求类型投诉详情  提现没到账？？一直待操作，需要多久？给个回复下，打客服电话没人接0859 2251894</t>
  </si>
  <si>
    <t>2019/10/09 22:27:46</t>
  </si>
  <si>
    <t>投诉人黄先生投诉对象维信闪贷涉诉金额276元问题类型诉求类型投诉详情维信金科下面的维信闪贷私自从我银行卡里扣钱，我毫不知情的情况下钱就被扣了。</t>
  </si>
  <si>
    <t>2019/10/09 22:27:23</t>
  </si>
  <si>
    <t xml:space="preserve">投诉人 张欣怡        投诉对象  唯品会        涉诉金额  114 元    问题类型    诉求类型投诉详情  在唯品会9.26日 买的足球鞋 今天10.9日 发现降价了 降了114块钱 联系了客服 说不能补差价 我在另一个手机号买东西 就给我补差价了 并且告诉我 一个月之内都是可以补差价的 我那个手机号是金卡会员 这个是银卡会员 是歧视吗 来聚投诉就想讨回个公道 我用唯品会四年 我确实补过差价 怎么这次就说不行呢 就因为我会员不够吗 太欺负人了吧 </t>
  </si>
  <si>
    <t>2019/10/09 22:25:27</t>
  </si>
  <si>
    <t>微信不知被谁打标为狐狸，请给我一个合理的解释，还我清白，请为我主持公道，把狐狸标记给我清除！！！！！。</t>
  </si>
  <si>
    <t>2019/10/09 22:25:26</t>
  </si>
  <si>
    <t>想退款，打电话要商户订单号，输入了，但是退款不了。</t>
  </si>
  <si>
    <t>2019/10/09 22:24:18</t>
  </si>
  <si>
    <t>因本人家里出事了，从7月份开始没事做，导致开始逾期，每个月480元，最后4月应该是1800元左右，现在要还多1千多元！我现在有工作，但一时还不了，要求沟通还本金！。</t>
  </si>
  <si>
    <t>2019/10/09 22:24:07</t>
  </si>
  <si>
    <t>从交易猫上购买游戏账号后，由于卖家原因不卖了，交易猫没有退款给我，一直退款失败！。</t>
  </si>
  <si>
    <t>2019/10/09 22:23:31</t>
  </si>
  <si>
    <t>借款80000万，已经还款累计87000多，现在没能力偿还调解期间还说我需要还款50000多，借款。</t>
  </si>
  <si>
    <t>2019/10/09 22:22:40</t>
  </si>
  <si>
    <t>投诉人孟先生投诉对象平安普惠涉诉金额16000元问题类型诉求类型投诉详情工作人员态度差，借钱的时候不说保险，现在每次扣款分三次扣，保险，利息，服务费，今天好几个工作人员态度差，电话骚扰我，问工号也不说。</t>
  </si>
  <si>
    <t>2019/10/09 22:22:21</t>
  </si>
  <si>
    <t>冒充韵达填单员招聘人员，添加客服qq后让加群，客服让下载客服系统app后加另一个客服后微信加群收取129元，后转接另一个客服下载任务管理app后加群收取159元，收钱后踢群，客服承诺支付后有老师带领做新手任务返还支付的288元，后续那个老师没有发布新手任务，也不退款。</t>
  </si>
  <si>
    <t>2019/10/09 22:22:07</t>
  </si>
  <si>
    <t>投诉人余女士投诉对象平安普惠涉诉金额200000元问题类型诉求类型投诉详情本人18年7月初从平安普惠贷款20万，普惠业务再三告知利息是8.4厘，因为对平安的绝对信任，所以并没有在意还款明细，后来签字时看到有保险费和服务费，质问时说是合同一部分，不签字就无法拿到贷款，并且承诺这个费用不是太高，实在难以忍受普惠的还款电话骚扰并要求结清尾款，客服指导我操作还款，结果我才发现还款明细中每月1320的保险费，以及1520其他费用，仔细算下来：贷款20万，宗还款金额329220！利息一共接近13万！这不是高利贷是什么，</t>
  </si>
  <si>
    <t>2019/10/09 22:21:58</t>
  </si>
  <si>
    <t>高利贷，借2000还3000跟平台协商还款不同意，打电话威胁我家人朋友，对本人生活造成伤害。</t>
  </si>
  <si>
    <t>2019/10/09 22:21:26</t>
  </si>
  <si>
    <t>立刻出行退押金的承诺5-10个工作日退还，已经40个工作日了，一直不退，客服在申请退押金5个工作日告知已经在银行处理了，始终没有退回。</t>
  </si>
  <si>
    <t>2019/10/09 22:21:21</t>
  </si>
  <si>
    <t>投诉人卢女士投诉对象Wecash闪银涉诉金额2500元问题类型诉求类型投诉详情恶意催收，态度极其恶劣，威胁还款，骚扰到正常生活和工作，本人表明有还款意愿，最近资金紧张，申请延期，催收态度非常恶劣，乱打联系人，不给延期，要求平台立即停止催收，开通延期，本人有还款意愿，近期资金紧张，申请开通延期，瞬瞬和哼哼两笔。</t>
  </si>
  <si>
    <t>2019/10/09 22:20:48</t>
  </si>
  <si>
    <t>聚富分期在我不知情的情况下，私自扣银行卡里的钱，分多笔扣款，我的银行账号得不到保障。</t>
  </si>
  <si>
    <t>2019/10/09 22:18:14</t>
  </si>
  <si>
    <t>、以及公司领导同事，已严重影响到本人、朋友和同事的工作与生活.2、在本人要求不要电话骚扰公司领导后，还恐吓、威胁说要打电话给公司。</t>
  </si>
  <si>
    <t>2019/10/09 22:17:08</t>
  </si>
  <si>
    <t>投诉人颜先生投诉对象拍拍贷涉诉金额13272元问题类型诉求类型投诉详情2016年10月左右，我们要求列出还款本、息、利率、总额推算的清单发送给我们，我们将按照合同承诺比照国家要求还款，锐银信法律服务部寄发通知有恐吓家人老人行为。</t>
  </si>
  <si>
    <t>2019/10/09 22:16:49</t>
  </si>
  <si>
    <t>账号被找回一直就说这几句话，网易客服怎么会给我登陆ip.我打电话给网易人家根本不给登陆地址ip。</t>
  </si>
  <si>
    <t>2019/10/09 22:15:38</t>
  </si>
  <si>
    <t>我于2018年十月向龙分期平台借款1000元，到账800元，最后两个月由于手机更换，便通过支付宝还款，12期全部还完，但该平台app拒不销帐，还谎称7个工作日更新还款详情，已过去一个多月，还收取逾期费用。</t>
  </si>
  <si>
    <t>2019/10/09 22:15:16</t>
  </si>
  <si>
    <t>2019年4月买的健身卡和私教，私教还剩差不多二十多节课。</t>
  </si>
  <si>
    <t>2019/10/09 22:14:17</t>
  </si>
  <si>
    <t>投诉人 王先生        投诉对象  钱站,华夏银行        涉诉金额  7 800 元    问题类型    诉求类型投诉详情  到账4000要还7800多高利贷的高利贷</t>
  </si>
  <si>
    <t>2019/10/09 22:13:49</t>
  </si>
  <si>
    <t>蜜瓜钱包是手机短信推荐过来的链接，以前没接触过这些，后来朋友一看就说是违法的，说是什么高利贷，套路贷，714高炮，国家已经在严打了，怎么还会有这些顶风作案，胆大妄为的人还在做这些，朋友联系直接报警，我网上搜到这里可以投诉，我就先投诉。</t>
  </si>
  <si>
    <t>2019/10/09 22:12:58</t>
  </si>
  <si>
    <t>投诉人张璐璐先生投诉对象银兜钱涉诉金额592元问题类型诉求类型投诉详情小浦优客app申请借款，按步骤填写资料，然后最后要求绑定银行卡，绑定完成就开始审批，过了2天小时然后扣除我两次的296元个人信用报告费用，可是之前申请步骤并没有说明有这个费用，正规贷款也不应该有前期费用，涉嫌违规欺诈，因为不知道会有这种情况发生，申请过程没有截图，而且他也只是中介，扣取费用之后推荐几个app。</t>
  </si>
  <si>
    <t>2019/10/09 22:12:51</t>
  </si>
  <si>
    <t>投诉人 蒋远明        投诉对象  京东商城        涉诉金额  5 688 元    问题类型    诉求类型投诉详情  当年 到底是哪一年我就忘记了 我在京东买了一部三星s7edge， 因为后置摄像头的后屏无故破裂 造成了进水导致机体损坏。 当初包括三星和京东的售后都很牛逼。 现在根据现有的投诉 基本可以确认是产品本身的质量问题。我也不求赔偿什么的 只要求京东公开道歉即可。</t>
  </si>
  <si>
    <t>2019/10/09 22:12:15</t>
  </si>
  <si>
    <t>及货现金贷工作人员爆通讯录，骚扰无关人员泄露借款人隐私，该工作人员利用手机号180******16进行恐吓。</t>
  </si>
  <si>
    <t>2019/10/09 22:11:59</t>
  </si>
  <si>
    <t>北京会牛科技有限公司,凡普金科集团有限公司,钱站，本人在2019年9月10日在北京会牛科技有限公司经营的钱站APP平台借款4080元，实际到款只有3000元，在国家法律多次强调打击砍头息，非法变相收息高利贷的执法情况下，居然无法律肆虐妄为，是不是因为是北京的公司，在首都有保护伞才敢这样明目张胆，往国家执法机构，金融监督部门严查北京会牛科技有限公司及凡普金科集团有限公司。</t>
  </si>
  <si>
    <t>2019/10/09 22:11:55</t>
  </si>
  <si>
    <t>投诉人蒋先生投诉对象小浦优客涉诉金额296元问题类型诉求类型投诉详情未经本人同意直接扣钱当时就说绑定银行卡看看什么报告根本没谈什么扣钱。</t>
  </si>
  <si>
    <t>2019/10/09 22:11:46</t>
  </si>
  <si>
    <t>投诉人苏先生投诉对象乔融金服,医分期涉诉金额5300元问题类型诉求类型投诉详情上海乔融医分期让我还不上贷款让我逾期，客服电话打不过去，利息高，我贷款要一次环清他家不支使，到最后导致我现在还不上他家后台关了，我但心上征信，现在还款不知道上那还，今天还接到一个短信账号让我往那里打钱，我怕是个骗子，我想知道怎么能给我结清，能给我个说法。</t>
  </si>
  <si>
    <t>2019/10/09 22:10:54</t>
  </si>
  <si>
    <t>，他们只肯赔1000，相差太大，望帮忙解决！！。</t>
  </si>
  <si>
    <t>2019/10/09 22:09:25</t>
  </si>
  <si>
    <t>违法收取收取高额逾期费，费用远超国家规定标准，逾期费甚至"赶超"借款本金！同时委托第三方催债公司暴力催收，威胁，恐吓，骚扰！在国家严厉打击高利贷，套路贷等犯罪活动的风口下，作为一家上市公司，竟敢顶风作案！实在胆大包天！。</t>
  </si>
  <si>
    <t>2019/10/09 22:09:24</t>
  </si>
  <si>
    <t>我已经正常使用交通信用卡很多年，信用度很好，从没有拖欠款不还，信用度不好你们会给我那么高的贷款额度，后面发现是就算提前还款后续手续费照收的贷款，近期因为客观原因要晚几天还款，我就在早上主动打电话给客服要求协商还款，客服给我的回复是让我等待催收部门和我联系，在我再次要求下才给我登记，关于协商当天没有任何回复，第二天催收部门的人和我联系了，用的是类似骚扰电话的号码而不是银行的官方电话，因为我不知道是交通银行的电话所以没有接听，于是他们就给我家人单位打电话质问我为什么不借电话，如果我在工作没有接到电话，我会回拨过</t>
  </si>
  <si>
    <t>2019/10/09 22:08:50</t>
  </si>
  <si>
    <t>取消交易之后，资金问题显示退款失败，客服不予理睬，对服务态度点不满意居然点不了。</t>
  </si>
  <si>
    <t>2019/10/09 22:08:27</t>
  </si>
  <si>
    <t>平台承诺我们付款以后给我们推送符合条件的客户，结果推广过来的客户不符合条件，质量极差，而且不予退换，退换重重阻碍，困难重重，退换一个客户需要几天有的客户需要几个月，平台无法完成承诺跟约定的服务，客服态度蛮横，虚假宣传，怕这种平台是跟高利贷或者犯罪网贷平台合作的吧。</t>
  </si>
  <si>
    <t>2019/10/09 22:08:17</t>
  </si>
  <si>
    <t>左右钱包是手机短信推荐过来的链接，以前没接触过这些，后来朋友一看就说是违法的，说是什么高利贷，套路贷，714高炮，国家已经在严打了，怎么还会有这些顶风作案，胆大妄为的人做这些，朋友联系直接报警，我网上搜到这里可以投诉，我就先投诉。</t>
  </si>
  <si>
    <t>2019/10/09 22:06:47</t>
  </si>
  <si>
    <t>来分期骚扰通讯录好友，并且威胁恐吓通讯录好友。</t>
  </si>
  <si>
    <t>2019/10/09 22:06:42</t>
  </si>
  <si>
    <t>中国银联股份有限公司广东分公司专户02和03，不知道用什么手段于2019年9月15日下午2点非法盗刷我账户的资金，我银行卡，手机,网银盾都在自己身上，为什么还能把我账户的资金转走。</t>
  </si>
  <si>
    <t>2019/10/09 22:04:58</t>
  </si>
  <si>
    <t>交易猫客服在我发过去验证码之后，同意了买家取消交易的操作，导致我的号直接被盗。</t>
  </si>
  <si>
    <t>2019/10/09 22:04:25</t>
  </si>
  <si>
    <t>有人打电话告诉是捷信公司的外顾人员.要上门面谈.我在让其出示有效法律文件的时候提供不出来.打电话的时候竟然问我房子在哪.找他大哥和我说.我已经说过捷信公司给我解决了.还在冒名的说信捷公司的.难道公司大就可以雇佣黑社会吗.我现在已经让他们大哥心脏病已经犯了如果我出现什么状况我会留有书面材料状告你们的.你们的电话威胁短信我将有证据在手。</t>
  </si>
  <si>
    <t>2019/10/09 22:04:12</t>
  </si>
  <si>
    <t>我和催收说过2天会还的他不同意，挂了电话就爆通讯录，那个625块钱是什么费用都不知道。</t>
  </si>
  <si>
    <t>2019/10/09 22:04:08</t>
  </si>
  <si>
    <t>我一个朋友前几天跟我说收到一个贷款客户经理的电话说有一款银行的低利息产品专门针对公积金客户，因为我公积金比较高，我就去看了，结果那是一个中介公司居然给我点了一个闪银的网贷，结果这个闪银网贷公司第二天就是10月1号给我下了两笔款，一笔2176元，一笔1000元，第一笔分三个月还，一个月还766元，但10月2号要求我还款，一笔60元叫什么征信费，一笔169元哼哼担保费，一笔346.72元的新人担保白条凭证，他们平台没有一个电话，只有一个机器人工服务，完全没有办法交涉，我是不要这笔钱，但是直接放下了，又还不了，不</t>
  </si>
  <si>
    <t>2019/10/09 22:03:54</t>
  </si>
  <si>
    <t>9月26日开始，到今天为止，每天打2个骚扰电话，号码是02431040601，这个号码以加盟为由打电话给我，我跟他们说了，不加盟，别打电话了，但他们不听，继续每天20点50分到21点整打1到2个骚扰电话，响一声就挂，最后一次打骚扰电话时间是2019年10月9日20时52分，希望拨打骚扰电话的那个人停止恶意骚扰，并向我道歉，并且保证以后不会打骚扰电话。</t>
  </si>
  <si>
    <t>2019/10/09 22:03:53</t>
  </si>
  <si>
    <t>微信平台工作人员一直在扯皮，申诉好几次都是一样的答复。</t>
  </si>
  <si>
    <t>2019/10/09 22:03:35</t>
  </si>
  <si>
    <t>大手钱包借款平台以服务费会员费等方式在借款过程中变相收取砍头息，借款2000元，放款方为：深圳广盛行小额贷款公司，放款后马上从绑定银行卡卡中扣取596元，扣款方为：翰银-大手云金融公司，贷款期限为：15日，并且一再强调是本人自愿借款，他们合理合法，作为15天短期应急贷款，收取596元的服务费会员费，已经是变相的砍头息了，并且到期日不能主动还款，APP经常打不开，咨询其客服人员，客服人员态度恶劣，并且一再强调，是本人自愿借款，他们合理合法，试问在不会算利息而且应急周转的用户，怎么能算出其中已经形成的高利贷部分</t>
  </si>
  <si>
    <t>2019/10/09 22:03:12</t>
  </si>
  <si>
    <t>夜里8点40分，我预约了一个滴滴17块钱左右的订单，44分收到滴滴司机接单，21:00准时到达接我，我没搞懂啥意思，立即联系司机，但没联系到，司机也没给我打电话，感觉他定位也在动，没敢继续打电话，害怕影响他开车来接我，没想到的是，我在原地等了整整一个小时多5分钟，也没看到司机！！！并且司机离我100多公里了，完全是在骗我！！！立即在附近沿着公路拼命拦车，还好一个可爱的叔叔让我坐他的车送回来，这次我要投诉！投诉到底！难以想象大半夜多危险！下着雨！我认为滴滴必须把司机封号！然后补偿我这一小时在路边淋雨挨冻精神损</t>
  </si>
  <si>
    <t>2019/10/09 22:03:03</t>
  </si>
  <si>
    <t>2019年9月10号向钱站app借款5000元，实际收到5000元，合同金额6650元，分6期还，每期1508.21元现在需要提前还款，5000元借一个月，提前还款需要7242.33元！居然还说是合法利息，要求按照国家规定的利息支付提前还款的款项！不然一定投诉到底。</t>
  </si>
  <si>
    <t>2019/10/09 22:02:27</t>
  </si>
  <si>
    <t>手机被小孩拿来玩，在我不知情的情况下，充值了。</t>
  </si>
  <si>
    <t>2019/10/09 21:59:49</t>
  </si>
  <si>
    <t>这条消息群发我的通讯录，发了两次了，欠款是我个人，不包括我的通讯录吧！这是正规公司吗。</t>
  </si>
  <si>
    <t>2019/10/09 21:59:06</t>
  </si>
  <si>
    <t>本人在盈盈有钱借贷3600元，还款要5190元，因有一期困难，及时联系盈盈有钱客服说明情况，但客服不予理会，联系我通讯录的朋友，添加我朋友微信叫我还钱，本人又联系盈盈有钱客服，但催收还是不予理会，而且在未经本人同意情况下多次以小额数目金额扣款，我要求未经本人情况下扣除钱退还并且重新计算费用。</t>
  </si>
  <si>
    <t>2019/10/09 21:58:52</t>
  </si>
  <si>
    <t>因平台原因，强制逾期，登录不了，事后很久暴力催收，不支持app还款，强求用户线下转账，让资金无法得到保护。</t>
  </si>
  <si>
    <t>2019/10/09 21:57:22</t>
  </si>
  <si>
    <t>投诉人旷先生投诉对象滴滴出行涉诉金额1元问题类型诉求类型投诉详情因8月27号19点02分乘客要求要下车;然后被摄像头拍下罚款200元，滴滴客服一直拖了很久才给我处理到最后说没办法，9月21号20点42分在乘客定起点上客被交警现在开罚单200元，滴滴客服人员一直给我拖延时间途中我也多次给客服打电话询问，给出的结果都是耐心等待，到最后给我说没办法处理，平台不给我报销，难道乘客上下车被罚款的钱要我们司机的辛苦钱来出吗。</t>
  </si>
  <si>
    <t>2019/10/09 21:57:05</t>
  </si>
  <si>
    <t>小花钱包私自把我的隐私多次转给别人，致使暴力催讨，我有多少还多少，可他们多次把我的资料泄漏出去，电话恐吓，微信恐吓，短信轰炸，鼎泰鑫这种做法难道是法律所允许的吗。</t>
  </si>
  <si>
    <t>2019/10/09 21:56:42</t>
  </si>
  <si>
    <t>投诉人 张先生        投诉对象  百事普惠        涉诉金额  299 元    问题类型    诉求类型投诉详情  无故扣了我299完全，客服完全不理我。要维权</t>
  </si>
  <si>
    <t>2019/10/09 21:56:32</t>
  </si>
  <si>
    <t>不是本人操作，请求联系核实清楚款项支出用途！！！。</t>
  </si>
  <si>
    <t>2019/10/09 21:55:19</t>
  </si>
  <si>
    <t>投诉人邓先生投诉对象信用管家,元宝宝涉诉金额3000元问题类型诉求类型投诉详情信用管家元宝宝借款借款一个月本金3000总还款4096元7天还款一次，相当于714高炮。</t>
  </si>
  <si>
    <t>2019/10/09 21:53:50</t>
  </si>
  <si>
    <t>闪银平台在明知学生无还款能力的情况，还有意放款给学生，良心都被狗吃了。</t>
  </si>
  <si>
    <t>2019/10/09 21:53:45</t>
  </si>
  <si>
    <t>今年6.7.8月份在成都锦江区文化中心一楼锦图管咖啡生活上班，我是暑假工开学回来读书，八月份工资到现在还没有发。</t>
  </si>
  <si>
    <t>2019/10/09 21:53:26</t>
  </si>
  <si>
    <t>没有逾期，高利贷套路贷，未经允许拨打通讯录，。</t>
  </si>
  <si>
    <t>2019/10/09 21:53:10</t>
  </si>
  <si>
    <t>放款日9号到9号来还款app打不开，短信一直催逾期，app无来源下载，自动在我银行卡扣款本金加息逾期息费多余100多合同显示借2600多，实际到账2000分三期还每期1100多。</t>
  </si>
  <si>
    <t>2019/10/09 21:52:57</t>
  </si>
  <si>
    <t>时光分期,51公积金管家,银盈通支付,宝付支付，时光分期原名原子贷，属于北京融科君展信息技术有限公司旗下产品，，2019年9月通过51公积金中介平台借款5000元合同中显示按月等额还款，实际到账金额5000元由银盈通支付放款，现已归还一期624.9元由宝付支付扣款，经查实在今年315国家查处违规贷款中，时光分期隶属融360，时光分期并无放贷资质，现要求提前结清销账，竟然仍要归还5590.68元，即2个月不到利息已经达1215.7元，远超国家标准，根据合同第三条第二点提前还款手续费支付0元，所以我要求剩余本金</t>
  </si>
  <si>
    <t>借款到账后莫名其妙扣了我740元，查询显示是保险代理扣的。</t>
  </si>
  <si>
    <t>2019/10/09 21:52:26</t>
  </si>
  <si>
    <t>之前一直暴力催收，还使用侮辱性词汇，后我拒绝还款，现如今又主动打电话给我说可以协商还款，我也有想要还款的意愿，可是经过协商，根本就捷信公司单方面协商，捷信公司单方面给出我要还的金额，因为是电话通知我，所以第一我要核实是否是真实性，第二我觉得并不是有和我协商，，可是协商不成，现在又来电话频繁的骚扰到我，严重影响我的生活。</t>
  </si>
  <si>
    <t>2019/10/09 21:52:24</t>
  </si>
  <si>
    <t>投诉人龙先生投诉对象毛豆新车网涉诉金额9590元问题类型诉求类型投诉详情被骗下单退款无门叫天不应叫地不灵——老百姓被毛豆新车网欺诈欺凌无处讨说法维权2019年9月9号我家人接到毛豆新车网汉阳某实体店的销售人员接连不断的“热情”的电话邀约，前往店面了解相关购车事宜，原本只是去初步了解一下，然后再回来做决定，毕竟买车是件大事，却不料在毛豆相关销售人员种种所谓的“销售技巧”下，被晕头转向的忽悠得交了购车的定金，我多次在微信上询问催促对方，（通过微信电话、文字消息），每次得到的回复都是同样的 你放心好了，每次答复后</t>
  </si>
  <si>
    <t>2019/10/09 21:52:18</t>
  </si>
  <si>
    <t>本人用贵行信用卡也六七年时间，，期间也有分期，万用金也使用过，一直也基本都按时还款，在这期间贵行也给我提升额度，我感谢贵行，但由于我投资失败，导致欠几个银行和亲戚朋友的钱，再加与妻子离婚，对我整个人打击很大，自己扶养一个上小学的儿子，父母年迈七十，有高血压，心脏病一直在吃药挂针，生活暂时比较困难，所以造成贵行信用卡本金46500利息滞纳金现在合计49500我并非无故拖欠，第一，我没有不想还钱，欠债还钱理所当然，但是你们02162363965说一次性还清，如果我能一次性还清，我也不用再打电话说这事，第二，他们</t>
  </si>
  <si>
    <t>2019/10/09 21:52:16</t>
  </si>
  <si>
    <t>因为下单两笔订单未付款，被系统判断恶意，限制下单，淘宝人工电话客服给出的理由，让我重新注册账号使用但是我支付宝无法解绑，支付宝也无法重新注册，淘宝账号因为开过淘宝店铺无法注销，现在淘宝限制下单功能，无疑是影响我日常生活购物。</t>
  </si>
  <si>
    <t>2019/10/09 21:52:13</t>
  </si>
  <si>
    <t>马上金融利率高，催款人员爆通讯录，骚扰朋友，恐吓，这样即便有能力偿还，也是真的无力，并且费用天价。</t>
  </si>
  <si>
    <t>2019/10/09 21:51:59</t>
  </si>
  <si>
    <t>本人提前还清欠款后不给额度，要求京东金融恢复我之前的额度。</t>
  </si>
  <si>
    <t>2019/10/09 21:51:49</t>
  </si>
  <si>
    <t>小浦优客app申请借款，按步骤填写资料，然后最后要求绑定银行卡，绑定完成就开始审批，过了一个小时说是扣除296元个人信用报告费用，可是之前申请步骤并没有说明有这个费用，银行卡绑定到这种app，以后不知道还会不会被扣款，涉嫌违规欺诈。</t>
  </si>
  <si>
    <t>2019/10/09 21:50:55</t>
  </si>
  <si>
    <t>我要求协商还款，但是客服他们不肯还每天收50多逾期费，客服还威胁说过几天叫催收！威胁。</t>
  </si>
  <si>
    <t>2019/10/09 21:49:53</t>
  </si>
  <si>
    <t>取消订单号后给我发来消息说是退款失败，且联系不到客服。</t>
  </si>
  <si>
    <t>2019/10/09 21:49:38</t>
  </si>
  <si>
    <t>本人于2019年09月30日凌晨被不法分子通过建设银行审核漏洞，在本人不知情的情况下，绑定多个本人从未使用甚至从未听说过的第三方支付平台，盗刷我银行卡共十二笔交易，金额合计11721.01元，不法分子在绑定支付平台过程中，建设银行并未通过一系列审核方式证明为卡主本人操作，已经给我带来了巨大的经济损失，特此我要求建设银行对我的经济损失予以全额赔付。</t>
  </si>
  <si>
    <t>2019/10/09 21:49:08</t>
  </si>
  <si>
    <t>中信银行你能不能别骚扰我，还有我才走上社会没多长时间就算没钱，我借钱也没能力借，你给我发骚扰信息你觉得好玩吗，请你向我道歉，还有赔偿我100当做你骚扰我导致我觉得我穷很受伤的费用。</t>
  </si>
  <si>
    <t>2019/10/09 21:48:40</t>
  </si>
  <si>
    <t>从凡普信贷借了40000，但是归还的本金为54200，手续费14200，后期客服不停骚扰以老友计划为名义让签订新的合同，所借款项用来结清上笔合同，中间并未退回违规收取的14200的手续费，涉嫌阴阳合同。</t>
  </si>
  <si>
    <t>2019/10/09 21:47:55</t>
  </si>
  <si>
    <t>2019/10/09 21:47:32</t>
  </si>
  <si>
    <t>我朋友在闪银平台才借了几千块，平台就雇佣当地的社会人员上门来威逼恐吓他，让他生活费很不安，天天都躲在外面。</t>
  </si>
  <si>
    <t>2019/10/09 21:47:06</t>
  </si>
  <si>
    <t>本人及贷借款逾期3天，催收人员暴力催收，电话骚扰本人紧急联系人以外的好几位同事朋友，态度及其恶劣。</t>
  </si>
  <si>
    <t>投诉人 段先生        投诉对象  小象优品        涉诉金额  20 000 元    问题类型    诉求类型投诉详情  恶意催收，收取不合法利息高额砍头息。恶意骚扰联系人威胁恐吓</t>
  </si>
  <si>
    <t>2019/10/09 21:47:05</t>
  </si>
  <si>
    <t>通过闪银微信公众号还款3500了，半个月过去了闪银上还显示逾期，请闪银给个合理的解释并给出结清证明。</t>
  </si>
  <si>
    <t>2019/10/09 21:46:52</t>
  </si>
  <si>
    <t>逾期一天开始暴力催收后面联系家人，等我还上后要求把剩余款项提前结清，免除利息的时候又不再理睬。</t>
  </si>
  <si>
    <t>2019/10/09 21:46:46</t>
  </si>
  <si>
    <t>杉德支付,杉德支付黑龙江分公司,杉德支付上海分公司，我要投诉三方支付公司为违规平台开通资金充值通道本人被网页上的该平台的虚假广告诱惑，进入该平台注册账号，本来本人对这个平台还是有些疑虑的，但是看到有这么多三方支付公司给这个平台开通充值通道，下意识的就以为该平台是正规的，结果被该平台牢牢的套住，在之后的一段时间里我陆陆续续亏损了巨额钱款，直到家人制止，朋友也跟我说这种平台是违规的，国家早就禁止这种平台了，所以我在这请求聚投诉能为我主持公道通过中国人民银行，中国银联，和支付清算协会沟通得知，第三方支付业务应审核</t>
  </si>
  <si>
    <t>2019/10/09 21:46:41</t>
  </si>
  <si>
    <t>辛苦的帮他们推广了好几天得了三百多元佣金，本来应该今天提现的，结果无故的被清零了，推广花费了我很多时间和精力，还有推广费，一点理由都没有就这样清零了，这和骗子骗钱有什么区别。</t>
  </si>
  <si>
    <t>2019/10/09 21:46:32</t>
  </si>
  <si>
    <t>投诉人 李先生        投诉对象  交易猫        涉诉金额  120 元    问题类型    诉求类型投诉详情  取消交易后退款失败 找不到人工 现在就想知道我钱去哪了</t>
  </si>
  <si>
    <t>2019/10/09 21:45:59</t>
  </si>
  <si>
    <t>投诉人 倪先生        投诉对象  约单        涉诉金额  200 元    问题类型    诉求类型投诉详情  我需要服务说要诚意金 我充了两百冲的时候是可以退回原账户的 然后当天没有成交 我就申请删除这个服务 然后删不了 说有诚意金要等三十天 今天是三十天 现在是可以取消这个订单了 但是钱只能退回到约单账户取不出来 然后还从这两百元里又扣了三十块 这个完全不合理 不合法 这个软件就是骗子软件我希望能全额退款</t>
  </si>
  <si>
    <t>2019/10/09 21:45:14</t>
  </si>
  <si>
    <t>交易猫拍下，可是我取消交易，未确定发货，请求取消订单，客服同意，可是退款一直失败，至今未收到该退金额2100元整。</t>
  </si>
  <si>
    <t>2019/10/09 21:45:11</t>
  </si>
  <si>
    <t>投诉人 马先生        投诉对象  连连银通电子支付有限公司        涉诉金额  4 500 元    问题类型    诉求类型投诉详情  为黑彩提供第三方支付平台，存在洗黑钱行为</t>
  </si>
  <si>
    <t>2019/10/09 21:44:53</t>
  </si>
  <si>
    <t>投诉人周女士投诉对象淘宝网涉诉金额402元问题类型诉求类型投诉详情淘宝限制了我支付宝支付功能现在额想还款都没法还！今天朋友给我转账也那不回去咨询客服没人处理。</t>
  </si>
  <si>
    <t>2019/10/09 21:44:49</t>
  </si>
  <si>
    <t>拍拍贷现后悔已晚，因家庭原因经济来源有限，想与平台协商，钱站拍拍贷催收不同意协商，未经本人同意骚扰吓唬本人亲戚朋友，对人家庭造成严重恐慌困扰，家里现在不安宁，恳求相关领导调查钱站拍拍贷平台，还我们安宁。</t>
  </si>
  <si>
    <t>2019/10/09 21:44:42</t>
  </si>
  <si>
    <t>人身攻击、侮辱、讽刺、人格羞辱、暴力催收、没人性。</t>
  </si>
  <si>
    <t>2019/10/09 21:43:17</t>
  </si>
  <si>
    <t>投诉人曹先生投诉对象你我贷涉诉金额30044元问题类型诉求类型投诉详情各位聚投诉领导们你们好本人通过抖音视频了解你我贷借款平台广告，了解到你我贷平台低利率，无服务费，并于9月2号在此平台上借款22100元，分12期归还，但是于10月发现前三期需要每期还4161.17元，打你我贷客服告知，前三期每一期有2210元的平台服务费，共计6630元，收取30%的平台服务费，咨询客服，客服说在借款的时候都有费用明细说明，但是我们并没有看到此项说明，再一次咨询客服告知还款的时候有费用明细说明，平台客服给的说法每次都不一致</t>
  </si>
  <si>
    <t>2019/10/09 21:42:35</t>
  </si>
  <si>
    <t>闪银平台向借款人暴力催收，行为态度相当恶劣，要求停止催收，每天骚扰电话几十条，电话都打爆了，。</t>
  </si>
  <si>
    <t>2019/10/09 21:40:36</t>
  </si>
  <si>
    <t>投诉人 田先生        投诉对象  分期还呗        涉诉金额  288 元    问题类型    诉求类型投诉详情  有短信提示 没有电话提示为何扣款288元</t>
  </si>
  <si>
    <t>2019/10/09 21:39:53</t>
  </si>
  <si>
    <t>洛基英语承诺9月返还定金2000元，目前已返还10返2497.56元今天是10月9号，洛基英语方没有任何的回应，手机打不通，处理本次事件的王老师也联系不上王老师:134******92请看到本次投诉的相关负责人，速与我联系电话:132******21。</t>
  </si>
  <si>
    <t>2019/10/09 21:39:36</t>
  </si>
  <si>
    <t>小鹅袋高利贷砍头息深夜骚扰家人，本人并未借过几千元说我借了几千元，已报警处理。</t>
  </si>
  <si>
    <t>2019/10/09 21:39:34</t>
  </si>
  <si>
    <t>投诉人 温女士        投诉对象  云享分期        涉诉金额  199 元    问题类型    诉求类型投诉详情  云享分期 恶意扣款 客服说一定会给我退款 但是 每次打电话都说会有退款专员联系 打了7个电话都一样叫我等一个星期 现在都一个月了 也没有退款专员联系 软件也登不上去</t>
  </si>
  <si>
    <t>2019/10/09 21:39:14</t>
  </si>
  <si>
    <t>投诉人石女士投诉对象速金服涉诉金额1843元问题类型诉求类型投诉详情借了1000元，要还1800元，合同却显示借了1330元了。</t>
  </si>
  <si>
    <t>2019/10/09 21:39:05</t>
  </si>
  <si>
    <t>投诉人孙女士投诉对象小浦优客涉诉金额296元问题类型诉求类型投诉详情小浦优客app申请借款，按步骤填写资料，然后最后要求绑定银行卡，绑定完成就开始审批，过了一个小时说是扣除296元个人信用报告费用，可是之前申请步骤并没有说明有这个费用，正规贷款也不应该有前期费用，涉嫌违规欺诈，要求全额退还296元，并停止电话/短信骚扰。</t>
  </si>
  <si>
    <t>2019/10/09 21:38:53</t>
  </si>
  <si>
    <t>投诉人宋先生投诉对象及贷涉诉金额2800元问题类型诉求类型投诉详情上月借了2800百块钱。</t>
  </si>
  <si>
    <t>2019/10/09 21:38:49</t>
  </si>
  <si>
    <t>闪银平台对公还款后任然进行催收，不知道是客服没处理好还是什么，但是这种情况很恶劣，每天多余的骚扰很烦。</t>
  </si>
  <si>
    <t>2019/10/09 21:38:10</t>
  </si>
  <si>
    <t>闪银爆通讯录还上门威胁骚扰对日常生活构成了严重影响。</t>
  </si>
  <si>
    <t>2019/10/09 21:37:39</t>
  </si>
  <si>
    <t>投诉人洪先生投诉对象我来数科涉诉金额5000元问题类型诉求类型投诉详情我来贷群发信息，骚扰亲朋好友，损坏个人名誉，暴力催收。</t>
  </si>
  <si>
    <t>2019/10/09 21:37:17</t>
  </si>
  <si>
    <t>投诉人黄先生投诉对象钱站,华夏银行涉诉金额2000元问题类型诉求类型投诉详情钱站为什么那么牛，明明是高利贷，存在问题，违规的砍头息，希望银监会严查。</t>
  </si>
  <si>
    <t>2019/10/09 21:37:00</t>
  </si>
  <si>
    <t>投诉人 董女士        投诉对象  新浪分期,小象优品        涉诉金额  10 000 元    问题类型    诉求类型投诉详情  小象钱包 借4000 收到借款3393 还了8期 每期491 已经还了3928 胜于利息1900多 情侣卡 借4500 收到借款3823还了7期 每期552.9 3870 剩余利息2700多超过法定年化利率 同时未经本人允许发短信到所有通讯录好友 并诬陷我诈骗 已有多方电话录音及截图 现已向010-110北京公安及网警报警</t>
  </si>
  <si>
    <t>2019/10/09 21:36:47</t>
  </si>
  <si>
    <t>投诉人 李先生        投诉对象  交易猫        涉诉金额  365 元    问题类型    诉求类型投诉详情  交易猫不给退款，显示退款失败。</t>
  </si>
  <si>
    <t>2019/10/09 21:36:43</t>
  </si>
  <si>
    <t>投诉人黄先生投诉对象火影帮涉诉金额1500元问题类型诉求类型投诉详情2019年7月19日借款1600元，到账金额1168为期15天，到期续期480，截止2019年10月9号，续期五次，金额达到2400，支付宝转账3次，银行卡扣款两次，如今到期无力还款，催收人员暴力催收，使用短信轰炸机，短短一分钟收到上百条短信。</t>
  </si>
  <si>
    <t>2019/10/09 21:35:52</t>
  </si>
  <si>
    <t>本人在分期鸭借款平台借款3000元，分28天，共四期还款，每期还款1256元，利息共计2024元，确定为高利贷无疑，现已还至第三期，因本人最近资金紧张所以原本10月6日的还款日，今天准备还款，但APP打不开，客服也联系不到，望平台能够尽快帮我联系到分期鸭的客服，调整利息，本人愿一次结清除利息外的剩余借款，以免逾期时间再次延长。</t>
  </si>
  <si>
    <t>2019/10/09 21:35:50</t>
  </si>
  <si>
    <t>投诉人邓先生投诉对象立借涉诉金额8840元问题类型诉求类型投诉详情借款之前显示12期，利息也没说明，后面一看本金6500，还款8840元，分12期还前3期还款金额总计8190元，总利息高达2340元，还款当天没逾期就接到10个催收电话各种威胁。</t>
  </si>
  <si>
    <t>2019/10/09 21:35:00</t>
  </si>
  <si>
    <t>现金巴士逾期了，只借1000块钱还还了一期，第二期逾期后一天十块利息，利息太高了，跟他们还在协商中，但是催收在能够联系到本人的情况下还恶意骚扰通讯录，不是禁止爆通讯录等暴力催收行为吗。</t>
  </si>
  <si>
    <t>2019/10/09 21:34:51</t>
  </si>
  <si>
    <t>投诉人任先生投诉对象去花花,国安泰保险涉诉金额5400元问题类型诉求类型投诉详情6月29日去花花借款3000元，APP未提示要买保险，实际只到账2100元，强制扣除了900元保险费用。</t>
  </si>
  <si>
    <t>2019/10/09 21:34:45</t>
  </si>
  <si>
    <t>我一个朋友前次因资金紧张而导致逾期了两天还清欠款，结果封印三个月借款，希望能解除封，客服处理不了，接电话的时候态度还很恶劣，说不还钱还有道理了，。</t>
  </si>
  <si>
    <t>2019/10/09 21:34:37</t>
  </si>
  <si>
    <t>投诉人蒋先生投诉对象小浦优客涉诉金额268元问题类型诉求类型投诉详情在本人不知情的情况下扣款268元，要求退还268元。</t>
  </si>
  <si>
    <t>2019/10/09 21:34:10</t>
  </si>
  <si>
    <t>投诉人王先生投诉对象中信银行涉诉金额1101元问题类型诉求类型投诉详情为这些不法分子提供支付通道，请求退款！以下为部分截图！。</t>
  </si>
  <si>
    <t>2019/10/09 21:34:04</t>
  </si>
  <si>
    <t>唯品会请退差价我2019年10月7号下单，10月9号收到货，购买价值681.8元的伊芙丽大衣，10月9号就在我收到大衣的这一天，它就降价了！降了200多元，客服说商家活动正常浮动！不给补差价，短短两三天就降这么多实在不合理！联系在线客服也一直在推脱！遇到这种情况我就看了我9月22号牵收的另一订单里的商品降没降价，没想到也降价了，我买的时候70元，现在56元，我买了两条，也就是说这也存在着差价28元！大衣两天就降价，裙子半个月就降价，总共差价228元！作为唯品会老顾客，我难以接受！购物体验真的很糟心！希望聚投</t>
  </si>
  <si>
    <t>2019/10/09 21:32:31</t>
  </si>
  <si>
    <t>投诉人梁女士投诉对象小浦优客涉诉金额296元问题类型诉求类型投诉详情10月5日在小浦优客申请贷款填写资料银行卡没有提示回扣296元，今天10月9号，短信提示扣费296元，联系了客服说是个人征信报告费，申请退款。</t>
  </si>
  <si>
    <t>2019/10/09 21:32:06</t>
  </si>
  <si>
    <t>投诉人张先生投诉对象新意花涉诉金额2800元问题类型诉求类型投诉详情借4000到账2800想协商还款，我想和他们协商还款他们态度很强硬不肯。</t>
  </si>
  <si>
    <t>2019/10/09 21:32:01</t>
  </si>
  <si>
    <t>催收人员电话轰炸亲朋好友，客服态度极其恶劣，强烈要求停止电话骚扰。</t>
  </si>
  <si>
    <t>2019/10/09 21:31:06</t>
  </si>
  <si>
    <t>投诉人张女士投诉对象唯品会涉诉金额55元问题类型诉求类型投诉详情买的时候318元，今天刚收货价格就下降到了263元，和客服说，态度不好，不解决问题，复制的话说过来说过去的。</t>
  </si>
  <si>
    <t>2019/10/09 21:30:54</t>
  </si>
  <si>
    <t>投诉人许先生投诉对象立借涉诉金额6500元问题类型诉求类型投诉详情高利贷平台，借款6500圆，三个月要还9100圆，逾期一天，打电话恐吓，威胁，骚扰家人。</t>
  </si>
  <si>
    <t>2019/10/09 21:30:40</t>
  </si>
  <si>
    <t>投诉人孙先生投诉对象立借涉诉金额9000元问题类型诉求类型投诉详情我在立借app绑定完信用卡突然卡没了，我在进去显示正在放款中，我根本没有操作，多少钱多少利息我都不知道，我打电话给他们客服让他取消了，说取消不了，跟我说综合利18%还说收什么费用是总放款额的百分30具体是什么费用客服也没说清楚，我要求撤销我的借款请求，因为我根本没有操作，立借app自己后台操作取现。</t>
  </si>
  <si>
    <t>2019/10/09 21:30:24</t>
  </si>
  <si>
    <t>直是闪银app借款老用户，还款信誉良好，但是于本月7号申请一笔借款，金额为2200元，到今天为止一直不到账，但是前期费用已生成账单，共分为两笔，每笔为125元，本人从使用闪银借款以来，从未超过3个小时就会放款，但是这次一直未放款，请闪银给出解释，客服处理不好只有在这里投诉了，希望能得到结果。</t>
  </si>
  <si>
    <t>2019/10/09 21:30:21</t>
  </si>
  <si>
    <t>随便给手机联系人打电话，现在无力一次性还款要求减免利息并协商还款。</t>
  </si>
  <si>
    <t>2019/10/09 21:30:15</t>
  </si>
  <si>
    <t>投诉人黄先生投诉对象及贷涉诉金额6744元问题类型诉求类型投诉详情我现在要求提前洁清，减免应该减免的费用，扣除保险费用，保险费用涉及砍头息。</t>
  </si>
  <si>
    <t>2019/10/09 21:29:41</t>
  </si>
  <si>
    <t>滴滴不派单，宜兴分单子都给优享做了！快车司机接不到单子！。</t>
  </si>
  <si>
    <t>2019/10/09 21:29:31</t>
  </si>
  <si>
    <t>投诉人程先生投诉对象拍拍贷涉诉金额4500元问题类型诉求类型投诉详情在本人接听电话的情况下，仍使用爆通讯录的方式进行催收，在未整改的情况下，近期使用群发短信的方式对本人声誉造成极其恶劣的影响！。</t>
  </si>
  <si>
    <t>2019/10/09 21:28:50</t>
  </si>
  <si>
    <t>投诉人李先生投诉对象小浦优客涉诉金额296元问题类型诉求类型投诉详情未经同意，乱扣卡里钱，并未得到任何服务。</t>
  </si>
  <si>
    <t>2019/10/09 21:27:23</t>
  </si>
  <si>
    <t>朋友在闪银借钱后，闪银就一直电话骚扰我，完全影响了我的正常生活。</t>
  </si>
  <si>
    <t>2019/10/09 21:27:19</t>
  </si>
  <si>
    <t>表哥在闪银平台借的款，借的时候根本就没有说什么服务费，赶紧解决让我尽快还款并且逾期后果你们自己承担。</t>
  </si>
  <si>
    <t>2019/10/09 21:26:53</t>
  </si>
  <si>
    <t>投诉人张先生投诉对象Wecash闪银涉诉金额0元问题类型诉求类型投诉详情在闪银有过网贷然后把我个人征信信息的婚姻状态上报错误我是未婚给我搞成已婚现在买房贷款必须修改婚姻信息中国人民银行工作人员说只能找闪银改因为是他们给我搞错了的我打人工人工却说无法修改你们搞错信息为什么不能修改，打了无数次人工客服又叫我去办信用卡可以重新上报征信我为什么要办信用卡，况且我也办不下来信用卡是你们的错误导致我信息错了为什么要让我去办信用卡，之后人工说帮我反馈1到3个工作日处理从9月29号开始处理处理到10月9号处理了什么，打人工</t>
  </si>
  <si>
    <t>2019/10/09 21:26:04</t>
  </si>
  <si>
    <t>在携程预订了机票加酒店&amp;amp;amp;amp;nbsp;三亚亚特兰蒂斯酒店4晚9号入住13号退房&amp;amp;amp;amp;nbsp;，无限次畅游水世界及水族馆&amp;amp;amp;amp;nbsp;，链接里明确醒目写的是这样的标题&amp;amp;amp;amp;nbsp;今天下午到达酒店前台办理入住&amp;amp;amp;amp;nbsp;酒店人员通知我的订单携程是分开跟酒店预订了3个订单&amp;amp;amp;amp;nbsp;第一个9号入住10号退房&amp;amp;amp;amp;nbsp;不包含水世界及水族馆门票&amp;amp;am</t>
  </si>
  <si>
    <t>2019/10/09 21:24:32</t>
  </si>
  <si>
    <t>投诉人闵连投诉对象招联金融涉诉金额2800元问题类型诉求类型投诉详情2019年10月8日收到招联消费金融相关人员的短信，自己名下的贷款分期可以给予一定的减免，经过与相关工作人员微信协商后，一次对公转账2800元后，贷款账户做结清处理，对公转账后，相关工作人员违背承诺，不遵守协商约定，要求再次转账240元，才能给结清分期处理，当天转账前与招联消费金融工作人员通话协商约定好的，提供贫困证明，以及还款保证书，答应我还2800元就算结清，微信也再次确认了还款金额，对方也给予了相应的回复与确认，现在请对方遵守约定，给</t>
  </si>
  <si>
    <t>2019/10/09 21:23:23</t>
  </si>
  <si>
    <t>今天下午四点左右，在网商银行APP通过之前绑定的工商银行的卡转入5000，没想到余额没有增加，到工商银行的网银一看，5000已经扣下，我说我今天急用，客服说人为不能干涉，系统处理，然后我在网上查找解决的办法，发现很多转入失败的例子，而资金退回需要好多天，有的十天，有的一个月，于是我多次打客服电话，要求马上退回到卡上，而客服总是推脱，我知道这不可能是系统的问题，肯定是认为设置障碍，资金好挪作他用，请马上退回到卡上，否则造成的损失由网商银行加倍赔偿。</t>
  </si>
  <si>
    <t>2019/10/09 21:23:19</t>
  </si>
  <si>
    <t>你我贷平台，向在校大学生放非法校园贷，性质恶劣，这种行为必须渡劫。</t>
  </si>
  <si>
    <t>2019/10/09 21:23:07</t>
  </si>
  <si>
    <t>在平台借款2500元，借款期限15天到账只有1750元，750元以手续费的形式扣除，其实就是变相的高利贷，和平台无法协商降低利息。</t>
  </si>
  <si>
    <t>2019/10/09 21:23:00</t>
  </si>
  <si>
    <t>投诉人 宋先生        投诉对象  宝付支付,速金服        涉诉金额  1 233 元    问题类型    诉求类型投诉详情  已还款，未销账。如果再次点击还款，又需要再次充值。app余额的钱无法扣款。恶意不扣款，客服电话永远无法打通。导致恶意逾期，高额罚息。</t>
  </si>
  <si>
    <t>2019/10/09 21:22:59</t>
  </si>
  <si>
    <t>因为个人原因无力偿还协商只还二期本金和利息六百多都不行..催收，、严重影响正常工作生活、还随意爆通讯录打给朋友。</t>
  </si>
  <si>
    <t>2019/10/09 21:21:17</t>
  </si>
  <si>
    <t>联系不到客服很烦骗子公司希望大家别去交易猫了。</t>
  </si>
  <si>
    <t>2019/10/09 21:21:12</t>
  </si>
  <si>
    <t>永远打款中，永远打款失败，联系客服让换卡，换了还是这样。</t>
  </si>
  <si>
    <t>2019/10/09 21:21:05</t>
  </si>
  <si>
    <t>投诉人李先生投诉对象银生宝,中国银联涉诉金额10900元问题类型诉求类型投诉详情为境外非法赌博网站提供收款服务，要求追回我个人被骗财产半个月了，投诉银生宝的问题银生宝公司依然不处理，客服电话打不进去。</t>
  </si>
  <si>
    <t>2019/10/09 21:20:58</t>
  </si>
  <si>
    <t>北京学慧网络科技有限公司一再追问诱导报名考证，客服在一旁各种说辞影响了我的判断，交款3600元，第二天看到太多负面评论后申请退款，打电话给他们客服人员被各种搪塞为由推脱，说他们无法处理将由他们集团公司那边打电话回访处理，可是直到现在第十天了，还是没有给我回访打电话处理，再次打电话他们客服时说90个工作日退款，说我签订了协议，可是在协议里根本就没看到，这种处理非常不恰当，属于霸王条款，我无处接受！！请聚投诉平台严肃处理，谢谢！！。</t>
  </si>
  <si>
    <t>2019/10/09 21:20:47</t>
  </si>
  <si>
    <t>投诉人 张先生        投诉对象  信用钱包        涉诉金额  12 000 元    问题类型    诉求类型投诉详情  借款12000 需要还16320 赤裸裸高利贷 利息36%赤裸裸高利贷</t>
  </si>
  <si>
    <t>2019/10/09 21:20:13</t>
  </si>
  <si>
    <t>投诉人 马丁        投诉对象  还呗        涉诉金额  30 000 元    问题类型    诉求类型投诉详情  在还呗APP上借了款。现想提前还清借款，希望免除利息</t>
  </si>
  <si>
    <t>2019/10/09 21:20:08</t>
  </si>
  <si>
    <t>投诉人 吴先生        投诉对象  Wecash闪银        涉诉金额  2 000 元    问题类型    诉求类型投诉详情  北京闪银奇艺科技有限公司 贷1987的款 三个月加上新人担保金要还2500 利息高的可怕 前所未闻会有担保金 希望国家整治这些平台还我一个公平 本来就很困难了 现在这些平台更要压榨我们这些老百姓 我们都是中国人啊 为什么你们不给你们的同胞留一条后路呢 可能除了我还有其他人 都会付给这个平台新人担保金 既然是做贷款的 是一个正经</t>
  </si>
  <si>
    <t>2019/10/09 21:19:45</t>
  </si>
  <si>
    <t>本人于9月24日收到活力花给我发的还款信息。</t>
  </si>
  <si>
    <t>2019/10/09 21:19:36</t>
  </si>
  <si>
    <t>投诉人王先生投诉对象来这分期涉诉金额2000元问题类型诉求类型投诉详情本人在来这分期借款2000，结果发现每周要还820还4周共计3300元，现在本人已经还了2周共计1600剩余部分要求协商销账。</t>
  </si>
  <si>
    <t>2019/10/09 21:19:30</t>
  </si>
  <si>
    <t>投诉人丽女士投诉对象恒昌利通涉诉金额22650元问题类型诉求类型投诉详情从恒易贷贷了网贷22650实际到账没这么多，按12期还款的，还款日是每月8号到10号，之前有一次还款日当天打暴力催收辱骂电话，给平台打过投诉电话，当时恒易贷经理打电话说会给员工处罚，以后不会打类似的电话，现在又打类似电话，而且是晚上，给平台打电话没人接听，目前国家都对于高利贷网贷做出严厉的整顿了，恒易贷再这样，利息比国家规定的利息高很多，我分12期已经还10期了，这次是第十一期了，希望聚投诉能做出公平的一个处理方法，恒易贷的这种处理方式</t>
  </si>
  <si>
    <t>2019/10/09 21:19:25</t>
  </si>
  <si>
    <t>投诉人黄平投诉对象你我贷涉诉金额2100元问题类型诉求类型投诉详情按步骤填写资料申请借钱然后按要求绑定银行卡，绑定完成开始审批，申请步骤并没有说明会扣费嫌违规欺诈。</t>
  </si>
  <si>
    <t>2019/10/09 21:17:48</t>
  </si>
  <si>
    <t>投诉人王女士投诉对象浪小花涉诉金额2349元问题类型诉求类型投诉详情1、催收人员给我打电话，我已经接通并进行协商，虽然他们态度非常差，但我还是接了并作解释，但挂完电话后，又去骚扰我母亲！！！2、催收人员用微博号对我的的微博好友进行骚扰，我并不知情也没同意他们这样做！！3、多次主动联系浪小花客服，都没有得到妥善解决，浪小花客服居然没有贷后客服的联系方式。</t>
  </si>
  <si>
    <t>2019/10/09 21:16:24</t>
  </si>
  <si>
    <t>本人在北京nike专柜购买的正品鞋，在斗牛DoNew，app上找鉴定师鉴定，鉴定师没有理由就鉴定为假，问客服理由，态度恶劣，个人目前觉得此app不靠谱！而且钱花的冤枉，因为消费者花钱鉴定，最少要有知情权！鉴定完了啥也没有，严重怀疑鉴定师的能力，也怀疑和平台搞事情，只给在平台买的鞋鉴定为真，比如，有人只有一张图细节都没有，鉴定师就鉴定为真，十分的不靠谱！请客服鉴定师给出理由解释！。</t>
  </si>
  <si>
    <t>2019/10/09 21:16:18</t>
  </si>
  <si>
    <t>本人因陷入经济困境，目前无力偿还剩余欠款，京东催收多次对本人进行辱骂和暴力催收，逾期部分已还完，剩下2000元分期还款但催收人员不同意还威胁上门骚扰家人。</t>
  </si>
  <si>
    <t>2019/10/09 21:15:23</t>
  </si>
  <si>
    <t>投诉人 张先生        投诉对象  你我贷        涉诉金额  11 000 元    问题类型    诉求类型投诉详情  你我贷 借款8000 还款10890 超过36% 明目张胆高利贷</t>
  </si>
  <si>
    <t>2019/10/09 21:15:18</t>
  </si>
  <si>
    <t>本人分别于2016年6月7日向名校贷借款20000元，名校贷以咨询费为由扣除4000元，2016年11月14日借款1000元，名校贷同样以咨询费为由扣除200元，名为咨询费实为砍头息，本人逾期后提前结清贷款，但名校贷并未返还所扣款项，以逾期为由强行扣下，除上述情况，名校贷还存在为学生放贷的事实，其审核之简单，利息之高昂，催收之强硬，费用之不合理是直接导致众多学生深陷校园贷的罪魁祸首。</t>
  </si>
  <si>
    <t>2019/10/09 21:15:12</t>
  </si>
  <si>
    <t>你我贷平台非法催收威胁爆通讯录，行为恶劣，态度嚣张，生活带来很大的影响，。</t>
  </si>
  <si>
    <t>2019/10/09 21:14:35</t>
  </si>
  <si>
    <t>闪银让我朋友输个人信息绑定银行卡后直接从银行卡里扣款。</t>
  </si>
  <si>
    <t>2019/10/09 21:13:52</t>
  </si>
  <si>
    <t>下载videoleap软件,并告知试用三天不收费，但并未告知三天后自动扣其费用，在我未知的情况下，苹果商店却在我未确认付款的情况下恶意扣了我的费用，要求做退款处理。</t>
  </si>
  <si>
    <t>2019/10/09 21:12:46</t>
  </si>
  <si>
    <t>投诉人于特投诉对象绿森数码涉诉金额5574元问题类型诉求类型投诉详情我是2019年9月13日预售买的手机绿色的，我看到微博上别人9.18日买的都到货了是绿色的。</t>
  </si>
  <si>
    <t>2019/10/09 21:12:39</t>
  </si>
  <si>
    <t>投诉人刘先生投诉对象Wecash闪银涉诉金额0元问题类型诉求类型投诉详情前几天申请了闪银科技的一个产品，一直没有通过，原以为不会通过了，今天突然到账了3258，登陆app之后才发现除了要还本金和利息，还有500块的新人担保金，打电话联系人工客服，告诉他们首先根本不清楚还有保证金这回事，希望将这笔钱原路返回，但是对方根本不同意也不在乎，如果贷款有其他费用，应该在醒目的地方反复让顾客确认，而并不是用模棱两可的方式去蒙混。</t>
  </si>
  <si>
    <t>投诉人姚先生投诉对象拍拍贷涉诉金额3000元问题类型诉求类型投诉详情拍拍贷催收部门爆我通讯录，随意骚扰我的家人朋友，严重违反了《互联网金融逾期债务催收自律公约》中第三条互联网金融逾期债务催收的基本原则是遵纪守法、规范审慎、保护隐私、严格自律，从业机构开展债务催收业务时应自觉维护社会和谐稳定，不得违背法律法规和公序良俗，第十条从业机构应切实保护债权人、债务人及相关当事人隐私，不得非法泄露个人信息，不得采用非法手段或通过非法途径获取个人信息第十三条债务催收对象应符合法律法规有关要求，不得骚扰无关人员，第十六条催</t>
  </si>
  <si>
    <t>2019/10/09 21:12:16</t>
  </si>
  <si>
    <t>投诉人 赵先生        投诉对象  蚂蚁金服        涉诉金额  20 000 元    问题类型    诉求类型投诉详情  蚂蚁借呗委托第三方去老家威胁老人暴力催收</t>
  </si>
  <si>
    <t>2019/10/09 21:11:00</t>
  </si>
  <si>
    <t>让投资的投资，发布短信骚扰，说有超高收益，。</t>
  </si>
  <si>
    <t>2019/10/09 21:10:06</t>
  </si>
  <si>
    <t>1泄漏个人隐私，不经过本人同意，获取本人通讯录信息，2骚扰通讯录无关人员3对本人言语辱骂，及通讯录联系人进行辱骂诋毁，并以第二联系人的说辞，进行骚扰！4对本人，及通讯录联系人进行恐吓！5采用软件轰炸本人，以及本人通讯录联系人进行骚扰，严重影响到个人，及通讯录联系人的正常生活，导致本人被公司开除，失去经济来源，给本人日常生活带来严重影向，导致本人心里负担及大，几近崩溃边缘！8阴阳合同，14000的本来，合同金额18480元。</t>
  </si>
  <si>
    <t>2019/10/09 21:09:14</t>
  </si>
  <si>
    <t>我表哥在你我闪银平台贷款的8000块钱，到手只有7200,这种非法砍头息谁接受的了，非法行为，必须投诉，希望投诉平台打击这种网贷。</t>
  </si>
  <si>
    <t>2019/10/09 21:08:51</t>
  </si>
  <si>
    <t>酷宝支付,北京雅酷时空信息交换技术有限公司，我要投诉三方支付公司为违规平台开通资金充值通道本人被网页上的该平台的虚假广告诱惑，进入该平台注册账号，本来本人对这个平台还是有些疑虑的，但是看到有这么多三方支付公司给这个平台开通充值通道，下意识的就以为该平台是正规的，结果被该平台牢牢的套住，在之后的一段时间里我陆陆续续亏损了巨额钱款，直到家人制止，朋友也跟我说这种平台是违规的，国家早就禁止这种平台了，我多方咨询后，终于醒悟了过来，可如果不是这些三方支付公司都和这个违规平台有合作，我也不会这么深信不疑，我找到这些三</t>
  </si>
  <si>
    <t>2019/10/09 21:08:33</t>
  </si>
  <si>
    <t>借款5400被砍1300，7天还款期有，和平台沟通按国家规定利息还款，平台不肯协商。</t>
  </si>
  <si>
    <t>要求旅行社开发票，客服说没有电子发票，后又要求消费者加收税点。</t>
  </si>
  <si>
    <t>2019/10/09 21:08:22</t>
  </si>
  <si>
    <t>有高额砍头息，借2000实际到账为1400，为周期6天的套路贷高利贷，下款时并未显示出到账金额及时间让本人确认，直接强制打到本人银行卡，催缴还款时态度特别恶劣，严重影响本人及亲友正常生活及工作，以上app下款方均为汇潮支付，该公司为高利贷平台提供支付渠道！唯一还款通道为支付宝，收款方为聚合支付。</t>
  </si>
  <si>
    <t>2019/10/09 21:08:07</t>
  </si>
  <si>
    <t>本人分期乐贷款逾期，算上今天有两天，因国庆节导致工资迟发，我已在加紧处理，我用分期乐快两年了，从未逾期过，还望能够宽限一天的时间，我在10月10日当天一定处理好，因工作需要，希望不要有电话打进来，如看到希望备注一下，。</t>
  </si>
  <si>
    <t>2019/10/09 21:07:44</t>
  </si>
  <si>
    <t>位于东莞市莞城街道旗峰路万科中心2栋东莞轻奢维体健身会所，本人于7月2日份缴保证金1580元作为保证金加入会员，办理一年有效期健身卡，8月20号该健身房以修电闸为由停业2天，其中未发布任何公告，于8月28日宣布破产，会员无法，只得举报公安，晚上在公安公证下老板徐毅保证退还会员损失钱款，然8月29日早晨变卦拒绝退还我们损失钱款，宣称继续营业，营业至9月中旬又开始无故关门停业，负责人联系不上，第二次无故停业至今已1月有余；该健身房自6月到8月骗取一百多人充值健身房卡，吸纳资金10万元以上，，其中该健身房还拖欠员</t>
  </si>
  <si>
    <t>2019/10/09 21:06:17</t>
  </si>
  <si>
    <t>投诉人徐女士投诉对象京东商城涉诉金额600元问题类型诉求类型投诉详情刷单让我扫码登录，第三方用电脑登录我的账号，让我直接用手机付款，然后删除我的订单，没有退款。</t>
  </si>
  <si>
    <t>2019/10/09 21:05:03</t>
  </si>
  <si>
    <t>投诉人 毛女士        投诉对象  捷信金融        涉诉金额  63 000 元    问题类型    诉求类型投诉详情  因当时急用钱 捷信金融的业务管理员随之介绍这个平台 且说贵平台利息低怎么样 一直都在偿还中 也没有仔细算过 现在发现利息太高 压得已经喘不过气 继续拖下去 已经无力偿还了合同一 贷款3.7万元 还了21期了 贷了57期一期偿还1331.12 已经偿还了27953.52 提前还款仍然让偿还30032.76 这个月如果我提前还款 还款总</t>
  </si>
  <si>
    <t>2019/10/09 21:04:48</t>
  </si>
  <si>
    <t>未经过本人同意，没有任何录音，视频录像，本人亲笔签名，盖戳手指纹，就直接把本人身份证绑定未企业联系人，导致本人无法办理号码卡，多次联系联通服务厅，无法合适妥当处理好这件事，联通客服给出的解决方案是联系对方公司，奇怪的是身份被盗用，让我去哪里联系对方公司，联通客服态度强硬，恶劣，未能够帮客服妥善解决问题，还把问题丢会给客户！！！对此表示强烈的谴责！！期盼平台能够帮助一下普通老百姓。</t>
  </si>
  <si>
    <t>2019/10/09 21:04:45</t>
  </si>
  <si>
    <t>现金巴士平台逾期1000元一天10元费用，下款还买100元会员，拿国家法律当成儿戏，年利率36，支付宝才万分之五，像这样平台国家怎么不管，打电话给客服还是合理的，我真不知道那叫合理。</t>
  </si>
  <si>
    <t>2019/10/09 21:04:34</t>
  </si>
  <si>
    <t>投诉人田先生投诉对象优米多,哆咪黑卡涉诉金额299元问题类型诉求类型投诉详情骗我输入验证码其实是免密付款，扣了我&amp;nbsp;299元，让他们退款，他们不退。</t>
  </si>
  <si>
    <t>2019/10/09 21:03:59</t>
  </si>
  <si>
    <t>当时选了这个酒店说去玩的，后面玩的途中生病了，就改了行程，没去到酒店，当时在携程上都是不给退票的，我没有住酒店，反而给我扣取了房间的费用，要求一个合理的解释，没住酒店还扣费了，服务人员态度极其恶劣，希望平台能处理一下，谢谢。</t>
  </si>
  <si>
    <t>2019/10/09 21:03:07</t>
  </si>
  <si>
    <t>充会员卡不到3个月就不营业了，也不退压金，不处理问题，跑路了。</t>
  </si>
  <si>
    <t>2019/10/09 21:02:48</t>
  </si>
  <si>
    <t>投诉人 黄先生        投诉对象  路标网        涉诉金额  0 元    问题类型    诉求类型投诉详情  注销路标网（jc.chatm.com）账号，账号为155******88</t>
  </si>
  <si>
    <t>2019/10/09 21:01:57</t>
  </si>
  <si>
    <t>我借款7600，确把合同写成10300多，其中2200多都为保费，打款到账户为10300多，却被立马扣除2200，合同却变成10300多，希望他们能立即停止收取保费，退还已经收取的保费。</t>
  </si>
  <si>
    <t>2019/10/09 21:01:43</t>
  </si>
  <si>
    <t>投诉人 刘先生昌凡        投诉对象  立刻出行        涉诉金额  499 元    问题类型    诉求类型投诉详情  退还我的押金 现在没有车了 太欺骗我们消费群众了</t>
  </si>
  <si>
    <t>2019/10/09 21:01:39</t>
  </si>
  <si>
    <t>投诉人 潘先生        投诉对象  北京帮你玩科技有限公司        涉诉金额  1 750 元    问题类型    诉求类型投诉详情  购买的其龙珠云手机服务 其云手机多台运行下载速度只有50kb/s 运行一两个app就卡的不行 不具有该产品应有的流畅度和网络服务 后来直接无法打开进入 无法使用了</t>
  </si>
  <si>
    <t>2019/10/09 21:01:26</t>
  </si>
  <si>
    <t>在联动云租车认证信息，身份证软件认定错名字了，无法重新认证，没有客服解释。</t>
  </si>
  <si>
    <t>2019/10/09 21:01:24</t>
  </si>
  <si>
    <t>本人于9.25在米多点平台借款3000元，分4期还款，到账3000，实际还款却要5200多元，这个利息和合同不一致，远远超过国家规定的标准利率，我已经还了2期，余下的2500多元实在无力偿还，现要求协商还款合理的本金和利息。</t>
  </si>
  <si>
    <t>2019/10/09 21:00:16</t>
  </si>
  <si>
    <t>投诉人 王女士        投诉对象  微众银行,微粒贷        涉诉金额  7 989 元    问题类型    诉求类型投诉详情  04528091329 电话一直骚扰别人 导致别人无法正常生活</t>
  </si>
  <si>
    <t>2019/10/09 21:00:11</t>
  </si>
  <si>
    <t>借款三千分24期还需要还需要还五千五百多，典型的高利贷砍头息，借的时候没有任何提示需要支付服务费，借完就出来了。</t>
  </si>
  <si>
    <t>2019/10/09 20:59:46</t>
  </si>
  <si>
    <t>投诉人 吴先生        投诉对象  拍拍贷        涉诉金额  200 元    问题类型    诉求类型投诉详情  你一打电话过来就骂人 我接你电话干嘛 还威胁我说带人上门来收 这就是你们拍拍贷 你们真的很牛逼啊！厉害厉害 威胁 恐吓 电话轰炸 短信轰炸 还给我父母打电话 对我影响很大 知不知道 j</t>
  </si>
  <si>
    <t>2019/10/09 20:59:45</t>
  </si>
  <si>
    <t>本人因企业盗用个人信息登记企业联系人，未经本人同意，企业欠费导致本人身份证无法开通联通新卡，投诉后客服态度恶劣，明知道与我无关不处理，让我11月携号转网，或者去开移动和电信卡，我想问问联通客服就这个素质么。</t>
  </si>
  <si>
    <t>2019/10/09 20:59:44</t>
  </si>
  <si>
    <t>信用卡逾期一年，民生安排的调解员说是要了解情况问我现在的工作单位地址跟电话，担心他们会打电话去给现在的老板造成骚扰我还特意问会不会打电话，调解员口口声声说只要你不失联就不会，后面几天他们打电话因为其他原因没有接到，他就把电话打到我们老板那里去了，现在闹的工作也没了后面跟他沟通他口口声声说我骗他，然后让我去派出所处理这些事，问他什么事，他就说签什么协议，我不愿意他就再次把电话打给我的老板。</t>
  </si>
  <si>
    <t>下载迅捷视频转换器后使用，使用时弹出窗口提醒只有充会员才能继续使用，不然只能转换前五分钟，于是我充了88元会员，根据教程步骤依旧无法转换，现在需要全额退款，但找不到售后服务。</t>
  </si>
  <si>
    <t>2019/10/09 20:58:33</t>
  </si>
  <si>
    <t>爱又米A+会员虚假宣传，本人在申请取现无法通过后被爱又米提示告知开通A+会员可以通过借款。</t>
  </si>
  <si>
    <t>2019/10/09 20:58:31</t>
  </si>
  <si>
    <t>投诉人李先生投诉对象交易猫涉诉金额3000元问题类型诉求类型投诉详情在交易猫出租游戏账号被租号者开挂账号被封了十年&amp;nbsp;没有任何补偿&amp;nbsp;平台的上号器有很大的安全隐患&amp;nbsp;严重的侵害了我的权益。</t>
  </si>
  <si>
    <t>2019/10/09 20:58:16</t>
  </si>
  <si>
    <t>本人去年在你我贷借款9800，最后还剩三期未还，你我贷催收人员暴力，打电话说要爆通讯录，说要加大力度催收，给我的好友每天打电话，我均保留证据，请你了解一下国家相关规定，你的做法是否合法，关于欠款我也和你们公司沟通过了，既然你们一直逼迫，那么请走法律程序，我欠款不要脸，你一个催收天天打电话干着违法的事情你就要脸了。</t>
  </si>
  <si>
    <t>2019/10/09 20:57:11</t>
  </si>
  <si>
    <t>2019/10/09 20:56:39</t>
  </si>
  <si>
    <t>货款三个多月！迟迟不回款！一拖再拖！要求拖欠货款全部到账！。</t>
  </si>
  <si>
    <t>2019/10/09 20:56:22</t>
  </si>
  <si>
    <t>骗人！！！！要求退货退款！！！！！！！！！！。</t>
  </si>
  <si>
    <t>2019/10/09 20:56:21</t>
  </si>
  <si>
    <t>投诉人 胡先生        投诉对象  京东商城        涉诉金额  630 元    问题类型    诉求类型投诉详情  从8月底一直到现在都没修好？是不是一直没修？弄啥呢？换壳这么难？心态非常爆炸</t>
  </si>
  <si>
    <t>2019/10/09 20:55:33</t>
  </si>
  <si>
    <t>已超过国家正规利润分六个月还款，每个月还1285，还了4期了，剩下最后两期，这个月工资可能慢几天才发，所以想延期三天才还上。</t>
  </si>
  <si>
    <t>2019/10/09 20:55:05</t>
  </si>
  <si>
    <t>当时是5000加利息560多十二期，贷下来后有保险费，服务费总利息1800。</t>
  </si>
  <si>
    <t>2019/10/09 20:54:51</t>
  </si>
  <si>
    <t>前期收取高额砍头息，逾期一天就产生108高额逾期费，与催收人员协商还款日期，催收人员态度恶劣，侮辱恐吓，威胁我当天不还清就联系亲朋好友！希望客服与我联系协商还款日期，还款当日减免逾期费，并保证期间不骚扰本人及亲朋好友！。</t>
  </si>
  <si>
    <t>2019/10/09 20:54:25</t>
  </si>
  <si>
    <t>无故扣款，况且我个人没有宝付特约扣款授权，扣款提示消费，我并没有和宝付进行消费交易。</t>
  </si>
  <si>
    <t>2019/10/09 20:54:09</t>
  </si>
  <si>
    <t>本人2017年7月14日在广东南粤银行办理整形分期合同于2019年1月就截止结束了本人钱也早还完了之前打广东南粤银行叫处理前段时间他们打电话说处理好了叫我去查征信结果我昨天去了上边还是显示本人有一笔逾期已经逾期7个月了逾期金额是4002而且还显示2019年7月还在逾期，本人于2019年1月合同期满最后一笔还款早就还完了不知道哪里冒出来的那些逾期广东南粤银行一直说他们已经提交给资料了，我不知道是真是假反正我的征信还是逾期，现在因为这个逾期导致买房贷款什么都通过不了一直拖着已经严重影响到我的生活了希望赶紧帮我解</t>
  </si>
  <si>
    <t>2019/10/09 20:53:39</t>
  </si>
  <si>
    <t>本人因前期丈夫经商周转困难，向微粒贷借款40000万，后期生意失败，导致这笔资金逾期多日，本人表示歉意，本人刚刚休完产假才上班，就在昨日131******13号码打给本人和丈夫，对方不同意，昨天整整打了一下午电话到本人工作单位，上来就骂人，这对本人以及同事造成严重影响和伤害，并且目前本人已被单位辞退在看待业。</t>
  </si>
  <si>
    <t>2019/10/09 20:52:49</t>
  </si>
  <si>
    <t>投诉人 杜先生        投诉对象  借贷宝        涉诉金额  10 000 元    问题类型    诉求类型投诉详情  7天套路贷，砍头息，已还多期。已保存所有聊天记录，所有转账记录。</t>
  </si>
  <si>
    <t>2019/10/09 20:52:32</t>
  </si>
  <si>
    <t>没有经允许爆通讯录，骚扰亲戚朋友家人，通过短信方式进行恐吓威胁，对我生活工作造成了严重影响，要求微众银行对我进行赔礼道歉，消除影响，并解释清楚是用什么样的途径获取本人的通讯录，解释清楚借八万多，己经还了二万多，点解还要还七万多。</t>
  </si>
  <si>
    <t>投诉人张女士投诉对象拍拍贷涉诉金额0元问题类型诉求类型投诉详情朋友在他们平台借了钱，这也不管我什么事，我也告知他们我和借钱的人不熟，每天都给我打电话骚扰我，今天加逼着说我就是借钱的本人，然后进行辱骂什么的，我这个也上传不来图片，不然可以提供图片。</t>
  </si>
  <si>
    <t>2019/10/09 20:51:55</t>
  </si>
  <si>
    <t>投诉人杨先生投诉对象小浦优客涉诉金额296元问题类型诉求类型投诉详情我连小浦优客是什么app都不懂，就莫名其妙的被扣296元！！。</t>
  </si>
  <si>
    <t>2019/10/09 20:50:50</t>
  </si>
  <si>
    <t>腾讯qq里面私发红包无缘无故被别人抢走，抢走红包的不认识。</t>
  </si>
  <si>
    <t>2019/10/09 20:50:18</t>
  </si>
  <si>
    <t>根据《最高人民法院关于审理民间借贷案件适用法律若干问题的规定》第三十条的规定，若出借人一并主张逾期利息、违约金和其他费用，折算下来总计不能超过年利率的24%，对于超过的部分人民法院不予支持，即在一笔借贷中，无论约定何种费用，但总计金额不得超过按年利率24%的标准计算的利息，超过部分的无效，不受法律保护，从而对在民间借贷中，通过约定高额其它费用，规避利率限制的行为得到制止，本人于小花钱包平台分9笔借款五万元借款前不显示高额服务费，借款后显示借款本金六万四千元，这就是明目张胆的违反国家相关规定的砍头息，而这个砍</t>
  </si>
  <si>
    <t>2019/10/09 20:50:01</t>
  </si>
  <si>
    <t>投诉人 熊先生        投诉对象  超级玛丽        涉诉金额  1 500 元    问题类型    诉求类型投诉详情  超级高利贷，借款前期收500手续费。还款必须全额</t>
  </si>
  <si>
    <t>2019/10/09 20:49:55</t>
  </si>
  <si>
    <t>投诉人 范先生        投诉对象  小花钱包        涉诉金额  7 000 元    问题类型    诉求类型投诉详情  小花钱包暴力催收 换着号码连续骚扰 并威胁要群发短信给通讯录所有人 已对部分亲朋好友电话骚扰 对本人及本人好友造成困扰 已严重影响本人工作 面临失业 将没有经济来源 进行还款 此事已对本人造成严重心理负担 精神崩溃 已无法进行正常的工作和生活 每天忧心忡忡 先本人已经对来电产生惧怕 心理压力已经无法承担 精神一度崩溃 每天生活在惧怕之</t>
  </si>
  <si>
    <t>2019/10/09 20:49:40</t>
  </si>
  <si>
    <t>唯品会的品骏快递私自中途把客户的商品转给其他快递配送，客户拒绝签收商品，商品已经原路退回，并且查询退回的物流单号，唯品会已经签收，现要求唯品会退款，唯品会始终以未收到商品为借口拒绝退款！欺骗消费者！。</t>
  </si>
  <si>
    <t>2019/10/09 20:49:38</t>
  </si>
  <si>
    <t>被引诱到一个网站https://m.ixc333.com/index充值入金1万7千多，后来发现是网络赌博平台，并非正规的购彩网站，通过中国人民银行和支付清算协会沟通得知第三方支付业务应审核客户的相关信息，第三方支付公司不得向证券、期货、博彩等机构提供支付结算业务，为违法违规机构平台提供支付结算通道即产生了涉嫌洗钱的嫌疑，作为有牌照的支付公司没有履行国家相关法律法规要求，金融机构客户身份识别和客户身份资料及交易记录保存管理办法，等规定，切实履行反洗钱义务和识别客户身份的义务，希望有工作人员能够联系，要求第三</t>
  </si>
  <si>
    <t>2019/10/09 20:49:36</t>
  </si>
  <si>
    <t>投诉人王先生投诉对象中南置地南京区域公司涉诉金额299元问题类型诉求类型投诉详情微信公众号中南置地南京区域公司于2019年9月10日举办名为星座正名与上悦诗苑一起解锁被一黑万年的处女座留言点赞活动，文末留言可以获得第一名小爱同学第二名mac口红第三名罗马仕充电宝，本人通过邀请好友家人朋友为留言点赞，获得了第一名，活动截止时间为9.15日上午9点，到了截止时间，无人开奖，后台留言询问，无人回复，如今已经接近一个月依旧无人回复，期间公众号多次推文进行宣传，丝毫不受影响，活动举办讲究信用，公众号却用逃避的方式进行</t>
  </si>
  <si>
    <t>2019/10/09 20:49:31</t>
  </si>
  <si>
    <t>投诉人宋娥娥投诉对象武汉品质家装饰工程有限公司涉诉金额10000元问题类型诉求类型投诉详情1.收费项目无实际实施，装修公司敷衍了事，2019.7.7签订装修合同约定7月14开工，无人到场，言而无信！现在合同2个月已经到期，施工没完成，合同中收取高额的项目管理费和成品保护费，实际施工中项目经理从不主动汇报项目施工进度和安排，监理就出现一次再也没有出现，成品保护只在大门上贴满该公司的宣传膜，其它施工没有任何保护！！插座电线裸露在外等等，2.装修质量堪忧，反复否认施工缺陷，不按合同条款处理问题，总想拖延忽悠业主让</t>
  </si>
  <si>
    <t>2019/10/09 20:48:47</t>
  </si>
  <si>
    <t>网站账号，账号为82******7@qq.com。</t>
  </si>
  <si>
    <t>2019/10/09 20:48:29</t>
  </si>
  <si>
    <t>我于10月5号从左右钱包app借款2207元。</t>
  </si>
  <si>
    <t>2019/10/09 20:47:53</t>
  </si>
  <si>
    <t>月光侠分期，套路贷砍头息借款2200三个月还款3424。</t>
  </si>
  <si>
    <t>2019/10/09 20:47:21</t>
  </si>
  <si>
    <t>美团骑手超时配送2小时，打电话询问，骑手撒谎，被戳穿后大骂客户。</t>
  </si>
  <si>
    <t>2019/10/09 20:47:18</t>
  </si>
  <si>
    <t>投诉人 曾先生        投诉对象  微博借钱        涉诉金额  24 000 元    问题类型    诉求类型投诉详情  新浪借钱。轰通讯录。还骂通讯录的人是什么情况？是平台允许？</t>
  </si>
  <si>
    <t>2019/10/09 20:47:04</t>
  </si>
  <si>
    <t>未经允许情况下私自爆通讯录所有人，并威胁会致电工作单位，由于卡片遗失还在换卡不换号办理中，无法转账还款。</t>
  </si>
  <si>
    <t>2019/10/09 20:46:26</t>
  </si>
  <si>
    <t>投诉人 杜先生        投诉对象  ofo        涉诉金额  199 元    问题类型    诉求类型投诉详情  ofo小黄车退押金排队排了半年 从1480万排到了1450万 一年排60万个我是要排25年？？希望通过这个平台能让问题得到解决</t>
  </si>
  <si>
    <t>2019/10/09 20:45:49</t>
  </si>
  <si>
    <t>非法爆我通讯录，我看不到他们的单号，可以用我手机号码查到。</t>
  </si>
  <si>
    <t>2019/10/09 20:45:39</t>
  </si>
  <si>
    <t>申请借款时没有任何扣款提醒，晚上看到的这笔扣款。</t>
  </si>
  <si>
    <t>2019/10/09 20:45:28</t>
  </si>
  <si>
    <t>今天头条号无故被封，联系客服没有人搭理，至今不知道什么原因。</t>
  </si>
  <si>
    <t>2019/10/09 20:45:23</t>
  </si>
  <si>
    <t>此次贷款已还1800多还要让再还1110.77之前说给减免联系后客服不同意就让还上面的金额此金额还一直在增加。</t>
  </si>
  <si>
    <t>2019/10/09 20:45:10</t>
  </si>
  <si>
    <t>本人在中腾信借款6万元，现在只剩余6期，共24432元，到期日，中腾信一下午换4个催收，通过电话骚扰、短信威胁，以及不断添加微信好友威胁等方式，逼迫本人还款，如此高利贷还暴力催收，已经严重影响到本人的生活。</t>
  </si>
  <si>
    <t>2019/10/09 20:44:31</t>
  </si>
  <si>
    <t>本人于2017年12月，由于生意亏空，急需用钱，在甘肃省平凉市恒昌三农业务员的介绍下，于该公司办理了一笔贷款，在我媳妇名下，实际放款到我们银行卡27811元，合同金额为41275.2元，，实际还款每个月1940元，需要还24个月，，实际还款算下来，需要还46000多元，而且当时说好的每个月10号还款，还未到期，6号或7号就开始打电话催收，，而且毫无人性可讲，，直接扬言让我们爱咋办咋办，即使还款了还打电话辱骂，我如今只想要回我的血汗钱，多还的还给我，，有图片为证，他们套路贷，合同，实际还款，放款金额都不一致，</t>
  </si>
  <si>
    <t>2019/10/09 20:43:50</t>
  </si>
  <si>
    <t>投诉人 温女士        投诉对象  小浦优客        涉诉金额  296 元    问题类型    诉求类型投诉详情  未经过同意就扣款 我都卸载软件三天了 今天傍晚突然收到扣款信息 真的很气愤 是不是以后只要我卡里有钱就给我扣呢？ 太可怕了</t>
  </si>
  <si>
    <t>2019/10/09 20:43:32</t>
  </si>
  <si>
    <t>去年瑞银信业务员上门推荐办理pos机说好设备押金220一年返回，但是现在一年过去了自今未归还，多次联系客服都是不处理，每次都是说等，一个多月了连一个人回复都没有，联系他们很多次了。</t>
  </si>
  <si>
    <t>2019/10/09 20:43:11</t>
  </si>
  <si>
    <t>10月1日因资金困难，想向网贷平台申请贷款，注册小浦优客发现需缴纳296不知情费用，所以卸载，10月9日在不知任何情况下直接发生扣款，可笑的是客服说需完成基础认证并勾选同意才会发生扣款。</t>
  </si>
  <si>
    <t>2019/10/09 20:43:10</t>
  </si>
  <si>
    <t>在一网站上看到了一个叫小浦优客的借款类app，所以下载根据提示输入信息，看自己是否有额度！期间并未出现任何提示要提前缴费类似的字眼，过了几个小时后，突然收到验证的银行卡被小浦优客扣款296的消息，根据短信提示打上边的客服电话，，一直无人接听！希望平台能协助处理，立即退款！，现在app都打不开，根本联系不上app里的客服。</t>
  </si>
  <si>
    <t>2019/10/09 20:42:51</t>
  </si>
  <si>
    <t>招联好期贷，刚逾期就爆通讯录，吓唬身边亲戚朋友，一直发信息吓唬家人。</t>
  </si>
  <si>
    <t>2019/10/09 20:42:49</t>
  </si>
  <si>
    <t>交易猫客服说不能验号我就说取消交易，然后交易取消了没退钱，说退款失败。</t>
  </si>
  <si>
    <t>2019/10/09 20:42:42</t>
  </si>
  <si>
    <t>造艺科技旗下聚福分期合同私自扣钱，说了给处理，结果客服推三阻四，不处理，只有在这里投诉了。</t>
  </si>
  <si>
    <t>2019/10/09 20:42:33</t>
  </si>
  <si>
    <t>去年在中腾信贷款30000元，合同金额40000，打电话过去询问不理睬，说就是这样子，现在还款已快到本金，要求中腾信撤销不合理部分，并协商还款。</t>
  </si>
  <si>
    <t>2019/10/09 20:42:17</t>
  </si>
  <si>
    <t>投诉人 王逍        投诉对象  聚福钱包        涉诉金额  299 元    问题类型    诉求类型投诉详情  未经允许只说绑定银行卡，强行扣走299。说是检测费，推荐费，却没有贷款成功</t>
  </si>
  <si>
    <t>2019/10/09 20:41:59</t>
  </si>
  <si>
    <t>天天做十个小时，才100多快，养家糊口都在我身上，平台每天都恶意不给订单。</t>
  </si>
  <si>
    <t>2019/10/09 20:41:58</t>
  </si>
  <si>
    <t>本人一直用唯品会买东西，后来就开通了唯品花，从未逾期按时还款，今年因资金出现周转困难，导致逾期，无钱还款，欠债还钱，关键现在因特殊原因，困难无法还款，我立马就给客服打电话问期我按时还款为何冻结唯品花，导致我现在用不了资金周转不开，可以慢慢还，有钱一定会还清的，我现在只要有钱每天都会还点，但是他们还是催收，威胁我，还到处发送短信。</t>
  </si>
  <si>
    <t>2019/10/09 20:39:54</t>
  </si>
  <si>
    <t>之前和平安普惠工作人员协商表示后期工作了定会偿还这笔款，但在昨日和今日有位表示是受平安普惠委托方律师多次电话打本人和通讯录中的家人朋友，并将本人照片和本人信息群发，让本人受尽屈辱.，请问欠债还钱天经地义，但是这样的暴力催收还有没有法律在，现在不都是法制社会，既然称自己是委托方律师，可以去法院起诉我，这样的无耻手段难道都要让他延续下去吗。</t>
  </si>
  <si>
    <t>2019/10/09 20:39:48</t>
  </si>
  <si>
    <t>年利率高，不符合国家要求24%，应该要调整。</t>
  </si>
  <si>
    <t>2019/10/09 20:39:34</t>
  </si>
  <si>
    <t>自称呗呗纸尿裤客服的人打电话给我,说我之前在淘宝呗呗拉拉裤甲醛超标,很多消费者反映用过后孩子过敏,现在要通过理赔的途径双倍退款给我，因为最近孩子使用拉拉裤确实有过敏现象，对方说我购买拉拉裤和金额,还有核对地址都对，我没有怀疑，之后在其一步步的引导下微信诈骗，输入相关信息,支付宝收到18000元，客服说打多了，要还给他们，通过扫码4次，第一笔：4864.5,第二笔：4450.5第三笔：5899.5，第4笔：2794.5全部打过去，8月5号，客服引导下，从招联金融贷下3000，通过我的银行卡，再回到微信转账，有</t>
  </si>
  <si>
    <t>2019/10/09 20:38:57</t>
  </si>
  <si>
    <t>2019年10月5号在贷款平台上注册了账号要我填写手机号银行卡号，然后拒绝了，今天10月9号无缘无故扣了我银行卡的296，说什么生成报告的费用，注册的时候也没有说需要这笔费用，要求全额退款。</t>
  </si>
  <si>
    <t>2019/10/09 20:38:51</t>
  </si>
  <si>
    <t>投诉人杜先生投诉对象吹牛,吹牛云钱包涉诉金额200元问题类型诉求类型投诉详情吹牛app长时间无法提现余额时间长达数个月希望得到解决。</t>
  </si>
  <si>
    <t>2019/10/09 20:38:38</t>
  </si>
  <si>
    <t>2018年华夏银行一工作人员到本人办公室以赠送礼品为名推荐办理信用卡，本人就办了一张，过段时间该工作人员把办好的信用卡送来，并当场激活，还刷了2000元钱，本人平时不用信用卡，还了2000元钱后就收起来没用过，谁知今年9月26日收到短信，要求10月13日前还款679.6元，经联系客服才知道是年费，信用卡年费哪有这么多的，闻所未闻，该卡本人未用过，要求全额退还该年费。</t>
  </si>
  <si>
    <t>2019/10/09 20:37:54</t>
  </si>
  <si>
    <t>平安银行催收人员伪造法院开庭通知骚扰本人以及家人，给家人造成严重心里创伤，希望平安银行严肃处理，本人将到公安以及法院反应举报该违法行为。</t>
  </si>
  <si>
    <t>2019/10/09 20:36:53</t>
  </si>
  <si>
    <t>第一期2019年4月18号申请，3000元，到账2100元，还款金额共为980.32＋2287.40=3267.72已还清，存在900元砍头息，利息为1167.72，超出法律规定最大年利率36%以外的利息金额约978元第二期2019年7月22号申请，4100元，到账2870元，还款金额共为1435.32*3=4305.96，第二期逾期1天，逾期费用15.79元，2期已还，第3期还未还款，存在1230元砍头息，利息为1435.96，超出法律规定最大年利率以外的利息金额约1178元要求月光侠分期，将2期砍头息金</t>
  </si>
  <si>
    <t>2019/10/09 20:36:08</t>
  </si>
  <si>
    <t>中国银联股份有限公司广东分公司专户03，不知道用什么手段于2019年9月15日下午2点非法盗刷我账户的资金，我银行卡，手机,网银盾都在自己身上，为什么还能把我账户的资金转走。</t>
  </si>
  <si>
    <t>2019/10/09 20:36:06</t>
  </si>
  <si>
    <t>聚美优品账号不可以注销，但现在长期未使用，希望注销账号为82******7@qq.com的聚美优品账号。</t>
  </si>
  <si>
    <t>2019/10/09 20:34:58</t>
  </si>
  <si>
    <t>钱伴平台借款7000每期还987.78分9期，经过仔细计算超过年利率，24到36%之间不自愿下不予支付。</t>
  </si>
  <si>
    <t>2019/10/09 20:34:54</t>
  </si>
  <si>
    <t>造艺平台冒充公安机关人员暴力催收，态度恶劣。</t>
  </si>
  <si>
    <t>2019/10/09 20:34:34</t>
  </si>
  <si>
    <t>借了1000元分3期要1489元，逾期一天逾期费100一天，我已经还493元啊！这平台垃圾吧。</t>
  </si>
  <si>
    <t>2019/10/09 20:34:14</t>
  </si>
  <si>
    <t>本来协商还了一部分钱，今天未经本人允许去老家吓唬老人，非法催收，委托第三方。</t>
  </si>
  <si>
    <t>2019/10/09 20:33:33</t>
  </si>
  <si>
    <t>我一直用苏宁任性贷，做点小生意用，一直还款正常，没有逾期，可是我用钱的时候，苏宁任性贷一直是给我拒绝，评分不够，促使我周转紧张，我特别需要这笔钱，我也可以正常还款。</t>
  </si>
  <si>
    <t>被引诱到一个网站充值入金2万多，后来发现是网络赌博平台，并非正规的购彩网站，通过中国人民银行和支付清算协会沟通得知第三方支付业务应审核客户的相关信息，第三方支付公司不得向证券、期货、博彩等机构提供支付结算业务，为违法违规机构平台提供支付结算通道即产生了涉嫌洗钱的嫌疑，作为有牌照的支付公司没有履行国家相关法律法规要求，金融机构客户身份识别和客户身份资料及交易记录保存管理办法，等规定，切实履行反洗钱义务和识别客户身份的义务，希望有工作人员能够联系，要求第三方支付机构退回被扣款项。</t>
  </si>
  <si>
    <t>2019/10/09 20:32:20</t>
  </si>
  <si>
    <t>我堂哥在上海造艺平台借款，，款没借成结果百事普惠，强制收取299元评估费用，在不知情的情况下从的个人银行帐户中扣款299元，并且多次与该公司客服人员联系，没有向表示可以退款，查询了很多投诉信息，该公司有涉嫌欺骗、套取公民信息擅自扣款个人帐户金额的行为，希望聚投诉可以重视起来。</t>
  </si>
  <si>
    <t>2019/10/09 20:32:13</t>
  </si>
  <si>
    <t>点点客服爆我通讯录，态度恶虐，严重影响我的工作生活。</t>
  </si>
  <si>
    <t>2019/10/09 20:31:02</t>
  </si>
  <si>
    <t>使用滴滴打车，司机因为有宠物拒绝顾客上车还不取消订单导致我取消订单被罚款，问题出在公司身上，请给个合理解释。</t>
  </si>
  <si>
    <t>2019/10/09 20:30:28</t>
  </si>
  <si>
    <t>刚开始打来电话是以闪银奇异说我在上面借款5098我真实就在上面借款的然后要我验证一下卡还款验证，然后叫我跟他说验证码我就说了，最后看到在我卡上扣了两笔个分为5000一单，然后我就上银行卡ApP上看被直接刷走了，我就说为什么把我卡上钱涮走，他说只是隐身扣款还是会给我的但是我已经觉得不对劲了叫他还回来，他就说要提交说两小时后给我还回来，等我吃过晚饭我在打电话电话直接不通了，发信息能收到，他也不理人，请你们帮帮我，我是个正在做试管婴儿的妈妈家里已经没有钱了，要搞的家破人亡了。</t>
  </si>
  <si>
    <t>2019/10/09 20:29:46</t>
  </si>
  <si>
    <t>我已经还款了，买买乐购每天还在打电话过来骚扰还有我身边朋友。</t>
  </si>
  <si>
    <t>2019/10/09 20:29:26</t>
  </si>
  <si>
    <t>本人不知道什么时候注册过小浦优客，没有借款，只是注册一下，绑了银行卡，就没有操作，在2019年10月9号突然收到短信说什么扣款296元，什么报告生成，我没有获取报告，为什么要扣我的钱，要求退还我296元。</t>
  </si>
  <si>
    <t>2019/10/09 20:28:37</t>
  </si>
  <si>
    <t>10月5号莫名其妙转走我卡里的钱没有绑定任何软件没有泄露。</t>
  </si>
  <si>
    <t>2019/10/09 20:28:28</t>
  </si>
  <si>
    <t>9月27日上午，接到自称国泰人员电话，告知我，由于对方全责，故住院费用不予理赔，并让我撤案，我当时未同意，当天下午5点左右，又接到电话，说对方只有交强险，那么交强险是优于其他保险进行先行理赔的，需先理赔完交强险后，拿着分割单再找国泰理赔，并需要我上传补充资料及保险分割单，由于单位之前给我买过意外险，我拿着相关材料到平安理赔，不到5分钟，一万块已经打入我账户，该保险住院医疗理赔上限一万，与哈啰单车的国泰产险一样，国泰的医疗上限也是一万，我拿着平安提供的保险分割单，上传给那个自称是国泰人员提供给我的邮箱，然后就</t>
  </si>
  <si>
    <t>2019/10/09 20:28:15</t>
  </si>
  <si>
    <t>投诉对象：畅行怡兴商务服务有限公司被诱导消费地点：武汉天河机场投诉内容：2019.10.6日下午在自助取票机办理登机牌之后被旁边柜台工作人员，2）模糊优惠方式以及优惠力度只限购买机票时分次使用，叫住，出于礼貌行为以为她是机场的工作服务人员便耐心听她讲解，刚开始她讲解登机安检流程，但随后就说机场推出办理会员卡服务，充值1200送1200，可以直接拨打会员卡的电话订票，每次优惠几十到200不等，一次订票不能全部使用卡内余额，需要分次使用，本来存在疑问机票的优惠力度和购买机票非官方平台的安全性，但是她说这是在机场</t>
  </si>
  <si>
    <t>2019/10/09 20:28:02</t>
  </si>
  <si>
    <t>9月30日上午我在来伊份上海市金山区松溪路店买了89.53元的零食，准备下午出发旅游路上吃的，下午拆到一包来伊份的清香莲子，下午拆到一包来伊份的清香莲子 吃了一个 第二个咬了一口后看到有黑点 往里面一看全都是严重发霉的 下午就打了来伊份的官方投诉电话说让我加微信发发霉食品的照片 事后会有专门的负责人联系我 加了微信发了后说2个小时内会有人电话联系我 一直到第二天我又问了才有人联系我说她们店里都是一赔十解决 我说当时我在外地等我回上海再说 当天晚上我就肚子痛一直腹泻 我老公药店买了药吃 本来我就是在医院备孕期</t>
  </si>
  <si>
    <t>2019/10/09 20:27:27</t>
  </si>
  <si>
    <t>本人由于突发事件于16日才能发薪、联系钱站客服直接电话语音说忙线挂断、希望能够协商还款日期、本人工作原因只能中午12点至1点接触电话、如果回电请在这个时间段、另今日还不是还款日便多次给我致电让我还款、已经构成骚扰。</t>
  </si>
  <si>
    <t>2019/10/09 20:25:11</t>
  </si>
  <si>
    <t>本人家里换了个路由器，需要账户和密码，忘记了，所以打电话去10000，得知说我名下有个号码连续欠费11个月，153******54，已成黑名单，我号码之前在深圳罗湖泥岗办理，记得后面也去泥岗营业厅办理了销户，本人做金融贷款这行，知道手机号码欠费会上征信，所以也肯定会去销户，就算我有欠费，家里的宽带是我办理的，每个月缴费都是我在缴费，那么我欠费没办理，你们电信是不是得通知我处理，拖到现在快11个月没处理，本人近期要买房，若因为征信不通过，要起诉泥岗营业厅！去办理了注销，没给我注销！。</t>
  </si>
  <si>
    <t>2019/10/09 20:24:31</t>
  </si>
  <si>
    <t>完全不知道情况下，扣款900元，不知什么原因。</t>
  </si>
  <si>
    <t>2019/10/09 20:23:19</t>
  </si>
  <si>
    <t>投诉人 郭荣利        投诉对象  捷信金融        涉诉金额  30 000 元    问题类型    诉求类型投诉详情  借三万还六万 我都是按期还 现在无力偿还 我要求延期三个月还款 或者减免五期</t>
  </si>
  <si>
    <t>2019/10/09 20:23:02</t>
  </si>
  <si>
    <t>本人于2017年4月19日借了捷信35000元，分了26期，每期2158元，当时由于急用就借了这笔钱，然后一直正常还款，后期因为怀孕不上班逾期，但是逾期后每笔都有正常还款，还了只剩下4期，由于之前的号码业务更改换了手机号码忘记在app上更改，一直没有接到催收电话，直至2019.10.7家里奶奶来电话有个自称徐州法院的来家中来访，后我主动联系捷信更改了手机号码，希望工作人员联系到我这边处理案件，但是捷信客服说现在不归他们管，归催收人员，但是我算了一下利息，2158✖️26期，大概56108元，本金我只贷了35</t>
  </si>
  <si>
    <t>2019/10/09 20:22:36</t>
  </si>
  <si>
    <t>我的支付宝收款账号一直是实名认证的，交易猫却说我的收款账号未实名认证，要我实名认证后24小时后才能给我打款。</t>
  </si>
  <si>
    <t>2019/10/09 20:22:17</t>
  </si>
  <si>
    <t>为714套路贷提供支付渠道，想要回高于国家利息的钱。</t>
  </si>
  <si>
    <t>2019/10/09 20:22:15</t>
  </si>
  <si>
    <t>特约中归在本人不知情的情况下扣款，请立即停止侵害我个人权益的行为，并退款道歉！。</t>
  </si>
  <si>
    <t>2019/10/09 20:22:01</t>
  </si>
  <si>
    <t>投诉人林先生投诉对象信用星球,信用飞涉诉金额1400元问题类型诉求类型投诉详情你好，本人希望通过聚投诉平台进行调整利率和归还本金本人逾期这些天会承担偿还国家法定利率，请信用星球客服联系本人，联系本人协商之后还款。</t>
  </si>
  <si>
    <t>2019/10/09 20:21:48</t>
  </si>
  <si>
    <t>豆豆钱催收人员的暴力催收和爆通讯录，群发侮辱性短信等行为，导致客户不与我签订的订单并造成我现在无经济来源。</t>
  </si>
  <si>
    <t>2019/10/09 20:21:36</t>
  </si>
  <si>
    <t>2019年9月5号在钱站申请8000元6期贷款，到期还款12000+，将近5000元利息，利息这么高，和他们协商不成，要求调至合理范围，否则上诉到底。</t>
  </si>
  <si>
    <t>2019/10/09 20:21:07</t>
  </si>
  <si>
    <t>本人投诉得仕股份，持有金融牌照的正规公司为境外黑彩网站提供入款通道，本人于今年被骗充值，前后充值有数十万，现在已经亏光所以积蓄，走投无路之际经了解后才得知贵平台能帮忙挽回损失，这是本人查询了银联得到的得仕股份充值的订单号：0****************8，0****************4，0****************3，0****************1，0****************5，0****************5，0****************4。</t>
  </si>
  <si>
    <t>2019/10/09 20:21:02</t>
  </si>
  <si>
    <t>今天下午买的游戏号，看了下不满意要求取消交易，交易是取消了钱不给退，求处理下，谢谢，之前都是客服截图，今天卖家当客服截图，卖家截图肯定不行的，卖家会截图可能会截图不好的东西吗。</t>
  </si>
  <si>
    <t>2019/10/09 20:20:37</t>
  </si>
  <si>
    <t>13.8个小时了就自己抢的两个预约单一个实时单，叫人怎么活。</t>
  </si>
  <si>
    <t>2019/10/09 20:18:37</t>
  </si>
  <si>
    <t>投诉人 霍云        投诉对象  钱站        涉诉金额  2 000 元    问题类型    诉求类型投诉详情  钱站高利贷，阴阳合同，骚扰通讯录。不解决问题，真恶心。国家怎么不管这种不要脸的公司</t>
  </si>
  <si>
    <t>2019/10/09 20:17:18</t>
  </si>
  <si>
    <t>借款8900由于最近资金问题，未按时还款，对方就爆通讯录，好几个朋友打电话问我，说对方是小象优品的，我是不是借了套路贷。</t>
  </si>
  <si>
    <t>2019/10/09 20:16:59</t>
  </si>
  <si>
    <t>自从我光荣的成为滴滴双证合规司机后，收入一天不如一天，派单一天比一天少，我这是四点多就出车到晚上十一点多才回家，只能做2-3百元钱，不要说养家糊口了，连基本的车贷和电费都不够，最让人气愤的是黑车司机的生意越来越好，他们每天的流水都能七百多，而我们连一半都做不到，还每天累得像狗一样，我们这些所谓的双证司机在机场，车站，火车站都接不到单，这是为什么，我们需要一个合理的解释和及时的解决措施，我们拖不起了。</t>
  </si>
  <si>
    <t>2019/10/09 20:16:53</t>
  </si>
  <si>
    <t>本人因最近资金需求，在网上寻求贷款，下载一个可提供贷款的APP，上去之后，按提示填写信息，以为能借到钱，谁知填完之后要求先付服务费299元，于是本人未付并卸载了APP，谁知2日过后，聚富分期自动从本人账户扣款299元，本人于是准备重新下载APP，但是各个应用市场都无法下载到此APP，多方查询，得知这是一个黑平台，此行为属于恶意侵占，希望能及时退款。</t>
  </si>
  <si>
    <t>2019/10/09 20:16:14</t>
  </si>
  <si>
    <t>投诉人 赵先生        投诉对象  平安普惠        涉诉金额  6 000 元    问题类型    诉求类型投诉详情  多次拨打电话骚扰 威胁 骚扰朋友及家人贷款已经马上还完了 这期只是晚了几天 各种威胁 软暴力 对方号码为 189******27 151******66</t>
  </si>
  <si>
    <t>2019/10/09 20:16:06</t>
  </si>
  <si>
    <t>在2013年8月份在平安银行办的一笔57000元个人消费贷款，按照约定36期还款，目前账号状态为“结清”，但因上个月底去银行拉征信报告的时候显示有3条逾期，分别是2016年1月、2016年2月、2015年11月、金额分别是1783元、1783元、1788元，这3条逾期的造成都是晚一天还款，因本人当时上班发工资是17号，还款应是16号，但在办贷款的时候平安银行工作人员并未告知我如有晚一天还款的就会上征信报告对后期贷款就会有影响，导致我现在买房子的时候办不了贷款，我办的贷款也有给利息，但平安银行并未给我说明情况</t>
  </si>
  <si>
    <t>2019/10/09 20:15:52</t>
  </si>
  <si>
    <t>双证合规，司机接不到单，车贷还不起，生活都成问题！黑车有单，优享有单，就双证快车接不到单。</t>
  </si>
  <si>
    <t>2019/10/09 20:15:01</t>
  </si>
  <si>
    <t>本人在广告里点击下载米多点申请3000到账20002000多一个月内还3000多本人已经还了第二期了无力偿还剩下的利息要求米多点正常协商逾期一天40加上本金本人已经无力偿还要求协商本金两期我已经还了1794。</t>
  </si>
  <si>
    <t>2019/10/09 20:13:35</t>
  </si>
  <si>
    <t>您尾号1348的储蓄卡账户10月9日19时39分消费支出人民币296.00元,活期余额1308.44元。</t>
  </si>
  <si>
    <t>聚富分期恶意扣款299，请求扣款，谢谢聚投诉。</t>
  </si>
  <si>
    <t>2019/10/09 20:13:27</t>
  </si>
  <si>
    <t>因为我们是事业单位，国庆假期全校放假，单位财务也是放假状态，8号才开始上班所以本来9号工资发放的时间向后推迟1天，积极和中腾信的客服协调处理，得到的只是恐吓，然后说爆我通信录，骚扰我的联系人，期望可以得到合理的解释，如果这样的态度。</t>
  </si>
  <si>
    <t>2019/10/09 20:12:44</t>
  </si>
  <si>
    <t>我不想自动扣款，当时因为网卡一直点不进去自动扣款，现在后悔莫及，退我钱吧，大学生没钱了，。</t>
  </si>
  <si>
    <t>2019/10/09 20:12:40</t>
  </si>
  <si>
    <t>7月无车可用，8月申请退押金，现在10月还未退押金，3月充600送600，还有1200多余额。</t>
  </si>
  <si>
    <t>2019/10/09 20:12:02</t>
  </si>
  <si>
    <t>赔尝名誉与精神损失，对该平台做出严厉处罚，道赚，。</t>
  </si>
  <si>
    <t>2019/10/09 20:11:44</t>
  </si>
  <si>
    <t>投诉人张先生投诉对象借贷宝涉诉金额2000元问题类型诉求类型投诉详情借贷宝财务打了欠条不给放款卡条的，审核的时候不过风控，打了欠条又要支付68的检测费。</t>
  </si>
  <si>
    <t>2019/10/09 20:11:16</t>
  </si>
  <si>
    <t>没下款就打电话说取消，说不给取消！下款后协商还款不同意协商！还恶意催收！威胁辱骂家人有录音为证！。</t>
  </si>
  <si>
    <t>2019/10/09 20:11:05</t>
  </si>
  <si>
    <t>我在交易猫买问道手游游戏账号，因不满意而取消交易，取消订单后显示支付宝余额支付的既时到账，突然系统提示退款失败，到现在也迟迟没有退款给我。</t>
  </si>
  <si>
    <t>2019/10/09 20:10:52</t>
  </si>
  <si>
    <t>10月6日下午，在长治王村机场等候登机时，有一位穿着工作制服的人过来宣传易行商旅vip卡，当时她说充值1500元开卡，然后送500元一共2000元可用于购买机票，并且保证从此渠道购买的机票可以低于任何平台，然后还拿过来一张价目表，且上面的机票优惠程度明显大于其他网络平台，所以办了一张，但当我8号，打开指定程序订票的时候发现直接跳转到了同程旅游订票网址，且上网了解到每次的优惠程度只有几十，核算下来比网络购票还贵些，且原来的卡费需购五十多次机票才可以清还，当时推销员并没有说明这些内容，误导本人办卡，于是联系客服</t>
  </si>
  <si>
    <t>2019/10/09 20:10:19</t>
  </si>
  <si>
    <t>投诉人 柏先生        投诉对象  招联金融        涉诉金额  15 元    问题类型    诉求类型投诉详情  招联金融分期，提前还款要收违约金。等额本息还款</t>
  </si>
  <si>
    <t>2019/10/09 20:09:50</t>
  </si>
  <si>
    <t>平安普惠i贷上个月给我开通最低还款280元我已处理，说处理后账户不会理赔，还可以在审请一笔资金来处理逾期账单，我就处理了，他们说在10月份更换资金方给我解冻账户，需在10月中旬，可是今日账户发来短信说理赔！！！平安普惠不守承诺！！！肆意妄为！！望聚投诉能跟进处理下！！。</t>
  </si>
  <si>
    <t>2019/10/09 20:09:38</t>
  </si>
  <si>
    <t>领航融资租凭有限公司,武汉领航融资租凭有限公司，2019年2月找领航融资租凭有限公司，以一辆大众途观找他们贷款7万元，贷款3年，利息将近一个月1%，每月还款2800，已还将近25000.2019年9月29日打算提前结清本金还款，找他们沟通，他们说还要还65000元，还威胁说不还，你看着办，这只用了9月个利息，还款了将近25000元，我提前还，只用了9个月，利息也只有6000左右，我要提前结清剩余的本金45000元.。</t>
  </si>
  <si>
    <t>2019/10/09 20:09:26</t>
  </si>
  <si>
    <t>购买了八点的电影票，在未消费情况下联系影院，淘票票改签，都不同意，拒绝退款也拒绝改签，严重侵犯消费者利益，请聚投诉协助处理。</t>
  </si>
  <si>
    <t>2019/10/09 20:09:22</t>
  </si>
  <si>
    <t>云闪付为这些不法分子提供支付通道，请求退款！以下为部分截图！。</t>
  </si>
  <si>
    <t>2019/10/09 20:06:33</t>
  </si>
  <si>
    <t>在17年的时候，还款后就莫名其妙被冻结，并没有电话告知我的情况下，打电话给客服，态度恶劣就告知不可以用卡，那么是不是卡不可用了，钱也可以不还呢，我用的好好的卡凭什么要冻结，请帮我恢复用卡。</t>
  </si>
  <si>
    <t>2019/10/09 20:06:25</t>
  </si>
  <si>
    <t>光大银行信用卡委外第三方2019-10-8一大早联系我并且当时我说的很清楚2019-10-9下午2点半到3点之间会有工资发下来会先将2700逾期的处理掉，而且我也说的很明白我在地铁安检上班，打电话我会接不到，上班期间手机上交不允许带手机，发现未上交罚款500一次，2019-10-9我上晚班，两点上班手机上交不允许中间第三方打电话没接到电话，转眼就给我联系人打电话又变成总欠款多少多少，就不是说逾期2700处理掉了，说话跟放屁一样出尔反尔还发信息威胁我说是不是拒绝还款了，我当时说的很清楚上班不允许带手机已经明确</t>
  </si>
  <si>
    <t>2019/10/09 20:05:24</t>
  </si>
  <si>
    <t>本人想协商偿还本金，或者降低利率，催收停止骚扰。</t>
  </si>
  <si>
    <t>2019/10/09 20:05:17</t>
  </si>
  <si>
    <t>由于乘客目的地运管检查乘客又不取消订单，于是我就打电话问滴滴客服咋办，客服叫我自行取消订单结果我取消订单被公司扣了服务分。</t>
  </si>
  <si>
    <t>2019/10/09 20:05:03</t>
  </si>
  <si>
    <t>我在钱站申请的借款，好几天也不到账，他家利息太高，还有砍头息.我现在只想取消借款，客户说要等资金到卡里，然后扣我几个点违约费。</t>
  </si>
  <si>
    <t>2019/10/09 20:04:56</t>
  </si>
  <si>
    <t>今天是账单日还没到24时就开始暴力催收，侮辱通讯录好友。</t>
  </si>
  <si>
    <t>2019/10/09 20:04:36</t>
  </si>
  <si>
    <t>本人在闪银上借过两笔款，但其均属于变相高利贷，借款1300元，需要买200左右的商品，其伤情价值50元都不到，期限一个月，因为我账单到期，闪银瞬瞬和至尊借款暴力催收，肆意打通讯录电话，对我生活造成严重骚扰，希望聚投诉处理，谢谢。</t>
  </si>
  <si>
    <t>2019/10/09 20:04:06</t>
  </si>
  <si>
    <t>催收态度非常恶劣，而且利息极高，希望可以减免！。</t>
  </si>
  <si>
    <t>2019/10/09 20:03:58</t>
  </si>
  <si>
    <t>因个人微信有问题，还款日过去了四天，第四天客服打电话，期间正在忙，说了六点下班还上，期间客服多次打电话骚扰，态度极其恶劣，以征信威胁并用侮辱的语言和黑社会没什么两样，给本人造成了极大的伤害希望那个客服能道歉并承诺改善语气和态度。</t>
  </si>
  <si>
    <t>2019/10/09 20:03:42</t>
  </si>
  <si>
    <t>本人于2019年九月十日在51人品贷上信用借款24300元，分期六期，到期总共需要还26800，先不说利率高低是否合适，由于本人最近资金困难，逾期一天，家里正在帮忙筹集资金进行还款的情况下，51人品贷与本人联系时，本人告知近期困难情况，承诺过段时间还款，51催收工作人员语气恶劣，威胁本人不在2019年十月九日下午五点前还款，曝光本人通讯录，同时，10月9日下午16点左右，家人亲朋好友收到51人品贷的催收电话，这给本人的生活，工作带来极大的精神压力和影响，本人逾期有错在先，但本人未逃避或者拒接来电，同时也未逃</t>
  </si>
  <si>
    <t>2019/10/09 20:03:03</t>
  </si>
  <si>
    <t>以前我在一些购物平台上申请退款，都会退回来，然后我去百度搜了一下交易猫骗局，发现好多受骗客户都说交易猫骗钱和退款失败，评论区一片骂声，我现在很气愤，为什么我如此相信，却要这样对我，交易猫真的现在就是一个骗钱软件啊！我都想报警了！求聚投诉帮忙！！我很想让交易猫给我一个公道！麻烦聚投诉了！！谢谢??！。</t>
  </si>
  <si>
    <t>2019/10/09 20:03:00</t>
  </si>
  <si>
    <t>步行街西横街氿滨大道中路257号氿滨国际商业广场4楼411室，交了两年的会员费4000元，由于晚上太晚回家不方便，导致只有去了半年，有近一年半没去，多次与店家沟通，要求退款，店家各种理由推诿，我没去，现在生意失败导致债务高筑，要求店家出于人道主义协商退款，店家拒绝协商退款，不正面回应。</t>
  </si>
  <si>
    <t>2019/10/09 20:02:38</t>
  </si>
  <si>
    <t>在2019年4月16日在快闪卡贷平台贷款15000元，下款时实际到账12626.45元，被快闪卡贷平台已各种理由扣除2373.55元，还款分6期，每期却要还款3009元，相当于6个月要还5427.55元的利息，这样的利息年利率高达90%以上，离国家规定的最高年利率的36%超出太多，完全是高利贷，这让我背上了沉重的经济负担，我已经正常还款5个月，还款15045元，现被各种网贷套路其中难以抽身，希望退回砍头息协商销账。</t>
  </si>
  <si>
    <t>2019/10/09 20:02:36</t>
  </si>
  <si>
    <t>2019年1月份通过51积金柯基贷，贷款15000元分12期，每月还款1464.3元，款项到账立即扣除2068.5元，现已还8期，加砍头息共还了13781元，如还完全部账单，合计要还19638元，现要求减免砍头息。</t>
  </si>
  <si>
    <t>2019/10/09 20:02:33</t>
  </si>
  <si>
    <t>本人在小花钱包里借了钱，分期还款，最近逾期了，但是最近手头不宽裕，正想法凑钱还款，但是小花钱包的工作人员不听任何解释，要求在规定时间内必须还款，没有商量的余地，说话态度恶劣，说是要冻结我所有的银行卡的资金和去给所有贷款平台和银行让我没办法再次借钱，还没有我的同意，擅自读取本人通讯录的人员挨个挨个打电话说是要找我有钱的朋友帮我还钱！恶意的频繁的给我打电话进行语言攻击！希望小花钱包给我一个解释。</t>
  </si>
  <si>
    <t>2019/10/09 20:02:19</t>
  </si>
  <si>
    <t>投诉人 张先生        投诉对象  时光分期        涉诉金额  11 000 元    问题类型    诉求类型投诉详情  高利贷年利息达到36！ 高利贷！请求处罚他们</t>
  </si>
  <si>
    <t>2019/10/09 20:01:08</t>
  </si>
  <si>
    <t>小赢卡贷未经过本人同意把本人个人所有信息透漏给第三方公司，近几天一个自称小赢卡贷第三方公司天天爆打骚扰本人电话并且恐吓威胁本人，本人暂时实在无力偿还，也没工作，没收入来源，后期只能协商慢慢还进去，如果小赢卡贷还继续骚扰，本人一定维权到底，你们非法获取通讯录，暴力催收，已经违法，，为依法惩治侵犯公民个人信息犯罪活动，保护公民个人信息安全和合法权益，根据《中华人民共和国刑法》《中华人民共和国刑事诉讼法》的有关规定，违反国家有关规定，在履行职责、提供服务过程中收集公民个人信息的，属于刑法第二百五十三条之一第三款规</t>
  </si>
  <si>
    <t>2019/10/09 20:00:24</t>
  </si>
  <si>
    <t>10月5日注册小浦优客，看见要扣费就没操作了，18月9号19点36提示扣费296！联系客服要求退款，不退还把我电话拉黑了！强烈要求全款退还！明显的收前期！。</t>
  </si>
  <si>
    <t>2019/10/09 20:00:04</t>
  </si>
  <si>
    <t>存在诱导用户开通支付宝免密支付行为，之后在用户不知情情况下自动扣除费用。</t>
  </si>
  <si>
    <t>2019/10/09 19:59:45</t>
  </si>
  <si>
    <t>我借了10000元分12期每期要还1113.33元，再加上砍头息899元一共要还14258.96元，这样的利息合法吗。</t>
  </si>
  <si>
    <t>2019/10/09 19:59:40</t>
  </si>
  <si>
    <t>10.9日下午我看中了一个dnf的称号，我就拍下了，是12.30的样子拍下的，我一直叫客服发货，客服没有回应，我下午4点多就取消了订单一直没有给我退款，退款失败了两次，回去一看的买的那个订单买的称号在卖家店里已经是90元，可能是卖家觉得价格搞低了不划算就一直不发货。</t>
  </si>
  <si>
    <t>2019/10/09 19:59:34</t>
  </si>
  <si>
    <t>一问360借条才说只有前面1000元的利率是2毛9，想要提前还款就必须把全部的分期的利息也要还完，广告跟合同都没注明这些还有就是自从借了360借条以后，希望工商部门能够尽快的处理这些高利贷公司的不法行为。</t>
  </si>
  <si>
    <t>2019/10/09 19:59:09</t>
  </si>
  <si>
    <t>不退续保押金，要求必须在该4s店购买保险才退续保押金。</t>
  </si>
  <si>
    <t>微粒贷泄露我的信息给第三方，骚扰我的家人，现要求微粒贷停止对我的家人的骚扰威胁恐吓。</t>
  </si>
  <si>
    <t>2019/10/09 19:59:06</t>
  </si>
  <si>
    <t>8月14日，我通过钱站-月光侠在线借款，即合同金额3000元，但是实际到手被华夏银行扣走900元砍头息，实际到账金额为2100元，同时账单被分3期，每期还款金额为1051元，3个月后还款居然变为3152元，这简直就是高利贷，图2可以证明）华夏银行为黑心网贷提供非法资金存管渠道代扣砍头息，盗刷用户银行资金。</t>
  </si>
  <si>
    <t>2019/10/09 19:58:58</t>
  </si>
  <si>
    <t>造艺平台泄露个人隐私给高利货平台，被高利货电话骚扰。</t>
  </si>
  <si>
    <t>2019/10/09 19:58:43</t>
  </si>
  <si>
    <t>在不知情的情况下，恶意扣款296元，经查银行转账记录，说是上海宏萨扣款，买的理财产品，可是我根本就不知道这个事情，所以要求退款，否则我会报警。</t>
  </si>
  <si>
    <t>2019/10/09 19:58:22</t>
  </si>
  <si>
    <t>投诉人王先生投诉对象平安普惠涉诉金额453元问题类型诉求类型投诉详情没有逾期就一直打电话，最近经济紧张，已告知缓3－5天就处理账单，但是平安一直给朋友家人打电话骚扰，晚上8点还在打电话。</t>
  </si>
  <si>
    <t>2019/10/09 19:58:19</t>
  </si>
  <si>
    <t>我哥哥通过短信链接进去下载的这个软件滴滴分期，借款周期4天，两天1期，汇潮支付提供的放款渠道为什么滴滴下面有这种平台，必须拔出毒瘤，希望在这里可以解决问题，说是借款1200实际到账只有720，但是却要还款1200元！！！简直就是714高炮还高炮了！汇潮支付提供的放款渠道，为什么滴滴下面有这种平台，必须拔出毒瘤，希望在这里可以解决问题，。</t>
  </si>
  <si>
    <t>2019/10/09 19:57:40</t>
  </si>
  <si>
    <t>投诉人董先生投诉对象马上消费金融涉诉金额15000元问题类型诉求类型投诉详情每月定时还款，但有催收仍然来电，态度极其恶劣，开口就骂人，说是“龙城”催收，属于马上金融旗下，知晓我的姓名，身份证。</t>
  </si>
  <si>
    <t>2019/10/09 19:57:03</t>
  </si>
  <si>
    <t>投诉人权先生投诉对象狐狸影院涉诉金额110元问题类型诉求类型投诉详情本人受到手机网站广告诱惑点击进入狐狸影院，打开要求开通会员才能观看，陆续通过微信支付50元、30元、30元，开通所谓会员、黑金会员、紫钻会员。</t>
  </si>
  <si>
    <t>2019/10/09 19:56:44</t>
  </si>
  <si>
    <t>投诉人张女士投诉对象360借条涉诉金额4780元问题类型诉求类型投诉详情提前还款需要支付全部利息&amp;nbsp;就算我借款一分钟之后立刻还&amp;nbsp;并且注意事项标识不明显&amp;nbsp;故意让人忽略&amp;nbsp;玩文字游戏&amp;nbsp;贷款前后利息不一致盗取用户信息造成骚扰虚假宣传&amp;nbsp;宣传和实际贷款情况完全不一致我已提前结清借款&amp;nbsp;希望案件得到受理&amp;nbsp;做出赔偿&amp;nbsp;退还我息费780远&amp;nbsp;并且更改宣传内容和贷款界面的消息提示。</t>
  </si>
  <si>
    <t>2019/10/09 19:55:28</t>
  </si>
  <si>
    <t>投诉人柯女士投诉对象广西涉月商贸有限公司涉诉金额2700元问题类型诉求类型投诉详情网络营销，叫我汇钱，说有收益，都是套路啊。</t>
  </si>
  <si>
    <t>2019/10/09 19:55:15</t>
  </si>
  <si>
    <t>9月25日，下载百事普惠填写信息并开通快捷支付，后要求信用认证，页面并未显示需要扣除费用，确认后银行卡扣款299元，9月25日至今百事普惠并未为我提供任何服务，要求马上退款。</t>
  </si>
  <si>
    <t>2019/10/09 19:54:58</t>
  </si>
  <si>
    <t>个人订单还没有填写完成，然后就退出了，但是款还是下了，自己没有留意短信提醒，最后到了还款时间发现要还600元的金豆，我现在是正常利息可以接受，金豆600元不能接受。</t>
  </si>
  <si>
    <t>2019/10/09 19:54:47</t>
  </si>
  <si>
    <t>我在交易猫上买了640元的首充号，付款后客服过了老半天和我讲没有这款货了，需要补交160元，然后我就不要了，客服让我取消订单退款，结果就退款失败，连个说话的人都找不到，我只希望把款退回来，另外交易猫这种联系不到人的平台，让我体验很差很差！。</t>
  </si>
  <si>
    <t>2019/10/09 19:54:43</t>
  </si>
  <si>
    <t>在2019年9月25日接到一个过省的订单，去到目的地后修改了注册的城市看能不能在那里接个返程的订单，就设置了返程方向一路开回来，可第二天早上一觉醒来服务分居然变成了初始分80分，自己辛辛苦苦一分一分涨起来的100分服务分变成了初始分的80分，自己马上联系了滴滴出行客服，客服说不能改回来了，这个结果我非常不满意，修改注册城市那里根本就没有备注说明修改注册城市后有变动的服务分，请问一下这样有道理吗，摆明就是一个坑让我们不懂滴滴出行平台的一个问题所在，这根本就是一个系统漏洞，系统的问题，现在服务分低成这样，一天下</t>
  </si>
  <si>
    <t>2019/10/09 19:53:55</t>
  </si>
  <si>
    <t>到加油站问联动云客服说差3升油，补了5升油，回来车停到停车场没动，第二天结算竟然又差5.8升油，投诉也不给处理，只给发个短信，打电话问客户也处理不了，要么是你们客服说的差3升油有问题，要么你们油表有问题，应该跟消费者没关系呀，看你怎么处理了，。</t>
  </si>
  <si>
    <t>2019/10/09 19:53:42</t>
  </si>
  <si>
    <t>投诉人武先生投诉对象交易猫涉诉金额1056元问题类型诉求类型投诉详情交易猫上买的一个代充服务，我不想买了，取消订单了，交易猫说退款到账户，后来过了一会，直接给我一条退款失败的消息，欺骗消费者。</t>
  </si>
  <si>
    <t>2019/10/09 19:53:19</t>
  </si>
  <si>
    <t>态度过于恶劣，生怕运费跑了，要求道歉，整理内部。</t>
  </si>
  <si>
    <t>2019/10/09 19:53:13</t>
  </si>
  <si>
    <t>本人在2019.9.25借了平台7900元，借了12期，想现在提前还款，可是要支付1500多利息，要收取剩余分期利息，过份，太坑人了。</t>
  </si>
  <si>
    <t>2019/10/09 19:53:08</t>
  </si>
  <si>
    <t>投诉人李海霞投诉对象深圳国银盛达融资担保有限公司涉诉金额23000元问题类型诉求类型投诉详情深圳国银盛达融资担保有限公司乱上传征信，我在普惠快信上借3460每月还381还了12个月说我本金还欠7百多还有一个8000多和一万四千多都不知道咋个来的，我并没有与深圳国银盛达融资担保有限公司签订任何担保协议。</t>
  </si>
  <si>
    <t>2019/10/09 19:52:04</t>
  </si>
  <si>
    <t>我表哥在造艺科技平台想借点钱，结果身份信息还有银行卡绑定是填了，但这是作为贷款前必填的信息吧，填这些是为了贷款，，消费者都是冲着贷款去填的这些信息，结果你弄了个扣费协议在里面，这不是偷换概念。</t>
  </si>
  <si>
    <t>2019/10/09 19:51:54</t>
  </si>
  <si>
    <t>投诉人 陈长清        投诉对象  小浦优客        涉诉金额  296 元    问题类型    诉求类型投诉详情  它这个软件没有任何提前说明扣钱 我卸载了好几天了 今天突然发短信自己扣钱了</t>
  </si>
  <si>
    <t>2019/10/09 19:51:34</t>
  </si>
  <si>
    <t>及贷平台放款的时候把利息扣完了，还剩200块钱没还，跟他们协商好多次，借了几千块钱，还了块1万了，这样的高利贷，还暴力催收，我亲戚朋友都收到这样的短信了，。</t>
  </si>
  <si>
    <t>2019/10/09 19:51:00</t>
  </si>
  <si>
    <t>拼车去一个地方报价85块，到达目地后找理由收费120找客服投诉，客服说是我自己的问题，这么大的平台做这种事不怕败坏名声吗。</t>
  </si>
  <si>
    <t>2019/10/09 19:50:20</t>
  </si>
  <si>
    <t>2019/10/09 19:50:03</t>
  </si>
  <si>
    <t>骚扰，恐吓，不听解释，打通信好友，影响生活。</t>
  </si>
  <si>
    <t>2019/10/09 19:49:25</t>
  </si>
  <si>
    <t>下载平台以后，他们平台需要提供个人信用，于是就填写了资料，，平台并没有告知这份报告需要支付296元服务费，然后平台就生成了一个所谓的信用报告，但最后结果发现他们平台不是一个直接放款的APP，今天无缘无故就收到他们平台的扣款短信，完全属于欺诈，要求平台全额退还。</t>
  </si>
  <si>
    <t>2019/10/09 19:49:03</t>
  </si>
  <si>
    <t>小浦优客app申请借款，按步骤填写资料，然后最后要求绑定银行卡，绑定完成就开始审批，然后说是扣除296元个人信用报告费用，可是之前申请步骤并没有说明有这个费用，正规贷款也不应该有前期费用，然后我看到这个需要费用就退出了，并没有输入支付验证码，然后过了几个小时自动扣钱了。</t>
  </si>
  <si>
    <t>2019/10/09 19:48:28</t>
  </si>
  <si>
    <t>没过还款时间早上六点多就开始发信息，然后一直用高频电话不停骚扰，本来商品就贵，简直就是套路，app跟实际标出来的价格根本不一样，套路都是套路，后悔在这来分期买这商品，以后打死都不会在这平台买任何一件东西，希望有关部门管管这样的公司，如果逾期了他们的手段会更疯狂。</t>
  </si>
  <si>
    <t>2019/10/09 19:48:20</t>
  </si>
  <si>
    <t>投诉人黄先生投诉对象滴滴涉诉金额600元问题类型诉求类型投诉详情网约车驾驶证完成终审要多少工作日，我是梅州网约车车主，9月30日在滴滴上传了网约车驾驶证到现在快十天了，也没有完成终审，也无法联系客服。</t>
  </si>
  <si>
    <t>2019/10/09 19:47:16</t>
  </si>
  <si>
    <t>投诉人 陶先生        投诉对象  淘宝凯锐思旗舰店        涉诉金额  50 元    问题类型    诉求类型投诉详情  家里一共三只狗狗 雪纳瑞吃过狗粮之后一直呕吐 泰迪吃过之后也是一样呕吐 雪纳瑞比较严重现在躺在床上没一点精神 泰迪现在泪痕也很严重 之前吃别的牌子的狗粮没一点事 ！</t>
  </si>
  <si>
    <t>2019/10/09 19:46:34</t>
  </si>
  <si>
    <t>晚了两天就让我交230，之前就是因为他们暴力催收主动说减免，这次却变成了我的的错我要求的，搞笑，说要取消分期，这是威胁吗还有就是我前几天卡找不到了，微信绑定的晚了，晚了两天，他们一点都没得商量。</t>
  </si>
  <si>
    <t>2019/10/09 19:46:18</t>
  </si>
  <si>
    <t>一直在等微粒贷协商还款问题！但一直没有答复！天天接到第三方骚扰电话！还一直威胁我说有本事加微信发定位！想找我火拼！第三方一直还说不只要威胁恐吓我！还要揍我！第三方私自冻结我微信！我感觉我人生安全收到严重威胁！扫黑除恶居然还有那么猖狂的第三方暴利催收！还打着微众银行的名字出来做丑恶的事！和黑社会有啥区别！国家难道就管不了吗。</t>
  </si>
  <si>
    <t>2019/10/09 19:46:03</t>
  </si>
  <si>
    <t>黑心网贷及时雨假冒官方及时雨网贷平台营业，，借了2000期限是七天，实际到账1342，后来因逾期说让我还到手的钱就一定给销帐，我还了1400说销帐了就把我的微信删了！然后又发短信说还的不够，让我再还几百！所有的聊天记录我都有，希望聚投诉平台能够让这个假冒及时雨网贷平台做出合理的解释并且把帐销掉，最好给予处罚！。</t>
  </si>
  <si>
    <t>2019/10/09 19:45:35</t>
  </si>
  <si>
    <t>本人19年3月份从北京极速云科技有限公司旗下的极速借借款2万元，分12期加砍头600元共需还款24000元左右，放款方为汇盈，还款半年没有逾期，这个月还款日8号由于债务爆发无法偿还逾期1天，本以为正规平台如果出现这种情况无力偿还会协商甚至走正规法律途径解决，并且这个平台有保险代偿，结果逾期第一天也就是9号开始催收不停打给通话详单里亲戚朋友，并且诽谤捏造说我用他们的手机号码借款，如果不还会影响他们信用什么，催收也各种讽刺挖苦，在全国扫黑除恶的形势下，警方打击端掉这么多暴力催收组织，反而首都北京下面的公司这么暴</t>
  </si>
  <si>
    <t>2019/10/09 19:44:59</t>
  </si>
  <si>
    <t>因为本人着急用钱，在酷街借款5000元，14天一周期，在2017年到2018年借款30多次，砍头息20000多元，现投诉要求归还部分砍头息15000元，强烈投诉要求。</t>
  </si>
  <si>
    <t>2019/10/09 19:44:53</t>
  </si>
  <si>
    <t>重复投诉CN1327959，本人有正常办公上班时间，上班期间不可能随时接听电话，有时可能要加班到晚上7点后才能下班，但贷上钱在办公时间，不断使用网络电话致电给我，如果我不方便接电话，回复电话提示为“空号”，平台要拿出诚意来解决问题，勇于承认自己的违法行为，敢于承担相关的法律责任。</t>
  </si>
  <si>
    <t>2019/10/09 19:44:13</t>
  </si>
  <si>
    <t>信用应急,榕易借,金猴子,乐信优品,白鹿钱包。</t>
  </si>
  <si>
    <t>2019/10/09 19:43:42</t>
  </si>
  <si>
    <t>投诉人敖海超投诉对象工商银行,中国银联,快钱支付涉诉金额1000元问题类型诉求类型投诉详情我的工商银行卡在10月9日16:08分出现了9笔，一共1000元的盗刷交易，交易明细里写着对方账户为中国银联股份有限公司广东分公司专户，我给工行打电话，工行说银联扣款的，给银联打电话，银联说是快钱扣款的，而且快钱客服说在他们系统中看到我银行卡预留的手机号不是我来电的手机号，具体信息不给查看，我来电的手机号我敢100%保证是银行预留手机号，所以我充分怀疑，快钱公司涉嫌修改他人信息。</t>
  </si>
  <si>
    <t>2019/10/09 19:43:41</t>
  </si>
  <si>
    <t>原来在交易猫购买了一个游戏帐号，由于卖家迟迟未上线，所以交易猫客服自动取消订单，结果取消订单以后显示退款失败，钱没有打到我的帐户上。</t>
  </si>
  <si>
    <t>2019/10/09 19:42:52</t>
  </si>
  <si>
    <t>：东莞市莞城街道兴塘社区旗峰路200号万科中心2号办公楼1301、1302室，一直没有开通卡，6月装修了一个月，8月开通卡后用了几次，在8月20日晚上就因为欠房租水电费被关电，一直直到8月29日才恢复营业，现于9月19日晚上突然再次关门停止营业，此前无通知无告知我们会员是什么情况，现无法联系到老板，电话号码：137******74这完全就是在欺骗消费者。</t>
  </si>
  <si>
    <t>2019/10/09 19:42:15</t>
  </si>
  <si>
    <t>2019/10/09 19:42:09</t>
  </si>
  <si>
    <t>在壹心分期申请借款收取高额砍头息，典型套路贷，要求退还消账。</t>
  </si>
  <si>
    <t>2019/10/09 19:41:50</t>
  </si>
  <si>
    <t>投诉人潘利文投诉对象QQ骗子涉诉金额0元问题类型诉求类型投诉详情我上了QQ中一个送皮肤的当，把自己的微信号QQ号密码都给出去了，还解绑了我的手机号，绑成了骗子的手机号，10月六号给的这些信息，十月八号晚上就被改密码删好友了，微信再也登不上去，微信申诉只能通过好友，而好友全被骗子删除，无法通过好友验证，也无法撤回申诉，打人工客服电话永远都是机器人，一直让关注微信公众号，申诉邮件也一直发不到我这里，期间通过QQ安全中心改了几次密码，还冻结了微信账号，但是解冻需要绑定手机号，我的绑定的骗子的怎么弄，声纹锁也用不了</t>
  </si>
  <si>
    <t>2019/10/09 19:41:35</t>
  </si>
  <si>
    <t>在造诣艺借款后，正常还款的情况下造艺公司恶意打电话骚扰亲朋好友，造成生活上的困扰。</t>
  </si>
  <si>
    <t>2019/10/09 19:41:12</t>
  </si>
  <si>
    <t>投诉人徐先生投诉对象友缘在线涉诉金额168元问题类型诉求类型投诉详情未经过我的允许自动开启免密码支付导致付费成功，希望申请退款，谢谢！。</t>
  </si>
  <si>
    <t>2019/10/09 19:41:06</t>
  </si>
  <si>
    <t>解忧钱包，于2019年9月3日借2500到账1875元，6天一期，无法全额还款只能续期，每期续期费625元，已续期5期共计3125元，前面3期由江山昊牛网络科技公司收款，后面两期由支付宝转账，早已超过本金和利息，并且该平台暴力催收，言语辱骂，态度恶劣，实数黑社会行为。</t>
  </si>
  <si>
    <t>2019/10/09 19:40:51</t>
  </si>
  <si>
    <t>投诉人 韦先生        投诉对象  有钱花        涉诉金额  3 500 元    问题类型    诉求类型投诉详情  非法骚扰通讯录好友，并且威胁通讯录好友。语言恐吓。电话号为0591开头的</t>
  </si>
  <si>
    <t>2019/10/09 19:40:50</t>
  </si>
  <si>
    <t>因个人原因导致逾期未还款，但是本人已在逾期之前给小象优品平台打过电话，但是还给我的亲朋好友打电话，严重影响我的个人生活。</t>
  </si>
  <si>
    <t>2019/10/09 19:39:54</t>
  </si>
  <si>
    <t>在软件的申请贷款的页面特意提前看了，在问题界面里明确说明了未成功贷款的话不会收费，后贷款未成功，银行卡内钱款被划走，联系客服要求退回时，客服提出了在软件内根本没有写明的提供身份证彩色黑白复印件寄到对方公司等无理要求，并且在我问到“难道你给我出邮费吗，”这一问题的时候，客服人员只回答“给您带来不便了”，在我明确要求贷款未成功承诺会退回的、未经我允许私自划扣的费用时，客服除了提出软件上根本未说明过的复杂条件和推迟时间外，就是复读“等x个工作日内会有其他工作人员联系您”，现要求立刻退回我的钱。</t>
  </si>
  <si>
    <t>2019/10/09 19:39:16</t>
  </si>
  <si>
    <t>为了赚钱还这个网贷寝食难安，因为我家里面上有老要养，女朋友怀孕快可以生，只能告我一个扛这些生活，还给我天天乱收利息怎么还得清，停止乱滚利息，电话骚扰，恐吓，望聚头诉尽快处理。</t>
  </si>
  <si>
    <t>2019/10/09 19:38:58</t>
  </si>
  <si>
    <t>本人于2018年9月29日在天津市世纪宏丰货运公司寄出三个灭火器，本货物是退货，需要发往上海松江区，当时咨询该公司，工作人员承诺说可以发到上海该地址，所以才选择在这个物流发件，结果货物到上海，一不是松江区，是嘉定区；二还需要自提，收货方因距离远根本没办法取货，我们也积极找快递和其他物流公司，运费170多，超出了我们的预算，运费比货品都贵，打电话找物流负责人配合解决，态度特别恶劣，不解决问题，说是我们的问题，不负责派送，也不负责返还货品，这种情况实在是很过分，没有道歉，没有解释，也没有解决方案！！钱不在多少，</t>
  </si>
  <si>
    <t>2019/10/09 19:38:44</t>
  </si>
  <si>
    <t>投诉人 董女士        投诉对象  速金服        涉诉金额  0 元    问题类型    诉求类型投诉详情  还删了几条 这是什么情况 客服也联系不上 我没有申请过 为什么这么多短信 而且客服都特么的 斯了吗</t>
  </si>
  <si>
    <t>2019/10/09 19:38:38</t>
  </si>
  <si>
    <t>投诉人 邓先生        投诉对象  淘集集        涉诉金额  50 000 元    问题类型    诉求类型投诉详情  拖欠货款5万，没有约定时间付款。这些都是劳动人名辛苦钱，请平台一定要帮忙</t>
  </si>
  <si>
    <t>2019/10/09 19:38:21</t>
  </si>
  <si>
    <t>投诉人马丁投诉对象豆豆钱涉诉金额18400元问题类型诉求类型投诉详情本人在豆豆钱借款，现想提前还本金。</t>
  </si>
  <si>
    <t>2019/10/09 19:37:42</t>
  </si>
  <si>
    <t>2019/10/09 19:37:09</t>
  </si>
  <si>
    <t>随心go,蓝胖胖,青春宝,金猪钱包,树林分期。</t>
  </si>
  <si>
    <t>2019/10/09 19:37:03</t>
  </si>
  <si>
    <t>快速解决这事，减免利息，加强平台管理，客服服务态度素质，提升服务质量，。</t>
  </si>
  <si>
    <t>2019/10/09 19:36:57</t>
  </si>
  <si>
    <t>投诉人杨先生投诉对象小浦优客涉诉金额295元问题类型诉求类型投诉详情本人前几天申请网贷不记得是否登录过小浦优客app，10月9日晚6点30突然收到扣款信息，我在完全不知情的情况被扣掉295元，下载app也根本登录不上去！要求立刻归还所扣款项，因无法登录你们app所以要求你们立刻注销本人账号消毁本人个人信息。</t>
  </si>
  <si>
    <t>2019/10/09 19:35:59</t>
  </si>
  <si>
    <t>上海维信金融信息公司速贷扣了我8800远分三次，说是解冻费和保单费还有提现费，迟迟不给退款，。</t>
  </si>
  <si>
    <t>2019/10/09 19:35:55</t>
  </si>
  <si>
    <t>本人在闪银闪闪花花闪豆上借了1000元，实际上需要花276元强制购买东西,，因为资金紧张，现在想申请延期还款，并减去高额逾期费。</t>
  </si>
  <si>
    <t>2019/10/09 19:35:39</t>
  </si>
  <si>
    <t>我表哥前几天因为手头有点紧就通过聚福钱包App申请贷款，里面的小银分有个贷款资质审核，上传身份证银行卡，之后需要签了好几个协议，之后生成一份报告，打了电话才知道是小银分里面的一个协议，审核费用的，在填写资料时扣款协议隐藏太隐蔽，完全没注意到，觉得欺骗客户，没有给客服充分知情权，完全就是欺诈消费者，钻法律空子，希望平台能主持公道。</t>
  </si>
  <si>
    <t>2019/10/09 19:35:24</t>
  </si>
  <si>
    <t>对亲戚朋友同事造成困扰，各种爆通讯录，还威胁，还发法院传票，各种等。</t>
  </si>
  <si>
    <t>2019/10/09 19:35:12</t>
  </si>
  <si>
    <t>上午接到一个自称美团贷款的电话，问我是不是某某某朋友，我说联系不上，威胁如果某某某不还钱就会一直给本人来电，我警告再打电话就投诉后挂机，来电号码02066268673和03543297408。</t>
  </si>
  <si>
    <t>2019/10/09 19:33:44</t>
  </si>
  <si>
    <t>本人因生意周转，经营不善，用了交通银行信用卡固定额度5万多和好享贷14万多额度，尚欠15万多，因暂时失去偿还能力，但每月还了一点点钱，因多次和交通银行信用卡协商还款失败，交通银行信用卡把律师函交到南宁交通银行法务部，我到场签收了，并说明了现在暂时失去偿还能力，希望协商还款，说明了经济情况，但他们不同意，一定要我卖房卖车，来偿还他们的债务，我没有同意他们的行为，就恶意打电话给我爸妈，恐吓威协，逼迫我父母帮我还钱，我父母是农民，已经60多岁了，严重影响到他们生活，今天中午打电话给我，我要协商还款，他们不同意，下</t>
  </si>
  <si>
    <t>2019/10/09 19:33:38</t>
  </si>
  <si>
    <t>9月7号申请轻周转借款2800元，通过畅捷支付打款，每8天还一次1022元，4期32天要还近4100元，严重违反国家法律法规，现已还3100余元，申请销账！。</t>
  </si>
  <si>
    <t>2019/10/09 19:33:19</t>
  </si>
  <si>
    <t>投诉人张女士投诉对象上海金桥小额贷款公司,有钱花涉诉金额3元问题类型诉求类型投诉详情本人从10.5号冲他家这个网站下载的apphttp://mrw.so/5pAlHp，贷款30000元，又让我打了打了900块钱的款。</t>
  </si>
  <si>
    <t>2019/10/09 19:33:16</t>
  </si>
  <si>
    <t>说好推广好友实名红包迟迟不到，说晚上到然后清零，这完全就是欺骗消费者行为。</t>
  </si>
  <si>
    <t>2019/10/09 19:33:14</t>
  </si>
  <si>
    <t>滴滴司机故意绕到多跑路程收取额外面费用，找客服投诉迟迟没有回复。</t>
  </si>
  <si>
    <t>2019/10/09 19:33:10</t>
  </si>
  <si>
    <t>本人因被朋友骗了钱，导致招商银行信用卡逾期，逾期之后本人也一直协商，但是未果，招商银行催收人员一直暴力催收，骚扰亲朋好友，如果我丢失了工作，更加没有钱还你们，你们的钱我是一定会还的，麻烦给点时间，招商银行的信用卡是我第一张信用卡，一直以来我也是信用很好，从刚开始的3000额度，到后面你们给过我临时最高13万的额度。</t>
  </si>
  <si>
    <t>左右钱包借款2200，下款1400还2200多，还没到还款日就打电话催收，骚扰我生活，同时希望汇潮支付关闭其渠道不然我将采取法律途径，与其协商还款，其客服态度极其恶劣，现已立案，同时希望汇潮支付关闭其渠道，不然我将采取法律途径。</t>
  </si>
  <si>
    <t>2019/10/09 19:32:47</t>
  </si>
  <si>
    <t>8月14日，我通过月光侠在线借款，即合同金额3000元，但是实际到手却只有2100元，同时账单被分3期，每期还款金额为1051元，3个月后还款居然变为3152元，这简直就是高利贷，我的该笔借款不但存在砍头息，而且被月光分期的资金存管方盗刷了到手金额。</t>
  </si>
  <si>
    <t>2019/10/09 19:32:29</t>
  </si>
  <si>
    <t>今天中午在交易猫购买账号，购买后，客服联系不到卖家无法换绑，申请了退款，今天下午收到信息说退款失败，客服也都是机器人，联系不了人工客服询问，不清楚这笔钱退款失败后该如何处理。</t>
  </si>
  <si>
    <t>2019/10/09 19:32:06</t>
  </si>
  <si>
    <t>申请退店以“”商家账户中有未提现的可提现余额没有提现”为理由不给退店，但是余额已经在提现中且已经提现申请了有7天了，这样拖延退店可以吗，要求马上退店返回保证金。</t>
  </si>
  <si>
    <t>2019/10/09 19:31:52</t>
  </si>
  <si>
    <t>今天客服来电告知还款，已告知客服最晚19点前处理完成！客服告知没问题、在下午就爆我通讯录，给我私人生活带来巨大的骚扰、母亲被气住院、针对该问题必须严厉处理该员工、赔礼道歉！保留上诉权利！。</t>
  </si>
  <si>
    <t>2019/10/09 19:31:51</t>
  </si>
  <si>
    <t>钱站太恐怖了，爆我通讯录，把我通讯录里的人都骚扰了好几遍。</t>
  </si>
  <si>
    <t>2019/10/09 19:30:43</t>
  </si>
  <si>
    <t>分期乐，,期待合伙人，,你我贷,拍拍贷,安逸花，催收人员拒绝协商处理解决，对我采取通讯录爆光，对我声誉造成影响，对亲戚朋友同事生活造成影响，威胁恐吓，法院传票等暴力催收的违法行为。</t>
  </si>
  <si>
    <t>2019/10/09 19:30:34</t>
  </si>
  <si>
    <t>本人在现金借款借款5000元分六期还款已还两期共2098.18元，现已逾期，在逾期阶段催收人员在能联系到本人的情况下多次联系本人的单位和手机联系人，给本人造成了影响，甚至还逼我说出不愿意还款的意向，也有跟催收人员和客服人员沟通减免的问题都说不行，国家不管管吗，图片上的这个电话今天打过来说今天不还款要上报央行征信，这是威胁吗。</t>
  </si>
  <si>
    <t>2019/10/09 19:30:10</t>
  </si>
  <si>
    <t>投诉人薛先生投诉对象钱站,华夏银行涉诉金额1000元问题类型诉求类型投诉详情钱站用阴阳合同，隐形高利贷，威胁骚扰，一：喝合同下款金额不符，合同下款1600百元，打款只打了1000元阴阳合同，：二：分期三个月每月本金还544.13服务费1.60总还款561.89高利贷，算下来借1000三个月还1685.67百分之70的利息。</t>
  </si>
  <si>
    <t>2019/10/09 19:30:00</t>
  </si>
  <si>
    <t>本人是东航会员，日前用积攒很久的东航积分兑换了两张机票，但是因为收到行程单后发现票面金额是0元，财务无法报账，本人又因为是出公差，不可能自己出这差旅费，所以寻求退款，这明显是霸王条款，本人的积分是常年消费兑换的，又不是东航赠送的，实际上也是本人的收入之一，东航有什么资格不给退还，借贵平台反映此问题，希望能引起重视，及早处理，给本人一个合理的答复！。</t>
  </si>
  <si>
    <t>2019/10/09 19:29:59</t>
  </si>
  <si>
    <t>我在火影帮平台借2100元，当时是显示的一个月还本金利息，结果借款到账后看合同就是个15天的高炮平台了，请平台帮我沟通要求他们销账，不要再电话骚扰催收了。</t>
  </si>
  <si>
    <t>2019/10/09 19:29:29</t>
  </si>
  <si>
    <t>晖韵信息科技公司,利信美贸公司,创柏商贸有限公司,符豪贸易公司,丰新益贸,鑫乘实业发展公司,伦丰汽车销售公司，云闪付为不法分子提供支付渠道，请求退款！以下是部分截图！。</t>
  </si>
  <si>
    <t>2019/10/09 19:29:06</t>
  </si>
  <si>
    <t>投诉人徐女士投诉对象钱站,华夏银行涉诉金额3000元问题类型诉求类型投诉详情高利贷利息高砍头息暴力催收爆通讯录。</t>
  </si>
  <si>
    <t>2019/10/09 19:29:00</t>
  </si>
  <si>
    <t>小浦优客未经过我的同意，私自勾除我银行卡里的余额。</t>
  </si>
  <si>
    <t>2019/10/09 19:28:19</t>
  </si>
  <si>
    <t>借款4000/到账4000/还款5100:超不超过国家规定自己看了，逾期第一天就开始暴通讯录，各种宣传我借款，各种恐吓信息威胁，严重影响家人朋友的生活，还严重侵犯我的权利，平台名字还搜索不到了！再有电话骚扰，信息威胁，本人将录音跟截图上交律师！也忘聚投诉处理。</t>
  </si>
  <si>
    <t>2019/10/09 19:28:05</t>
  </si>
  <si>
    <t>投诉人韩先生投诉对象融营通信上海有限公司涉诉金额3000元问题类型诉求类型投诉详情我们公司用融营通信电销系统&amp;nbsp;电销系统一直出现问题，还拒不退款，我们上个月&amp;nbsp;实际使用时间一个月&amp;nbsp;只有十天，这个月&amp;nbsp;从十一一直到今天都不能使用，告知客户解决问题，从来都是不解决，一直推三阻四，先要求全额退款。</t>
  </si>
  <si>
    <t>2019/10/09 19:27:39</t>
  </si>
  <si>
    <t>利率太高了，高达百分之八十了，实在还不起了，希望和我们重新定制个合理的还款计划。</t>
  </si>
  <si>
    <t>2019/10/09 19:27:20</t>
  </si>
  <si>
    <t>本人于2017年在宜人贷借款6万元，分36期，总共需还款87870.24，现已还款26期，共计金额63461.84，因现在无收入，还要抚养一岁的孩子，无力还款，宜人贷催收也给亲友打电话，现在需要跟宜人贷协商只还本金和国家规定的法定利息。</t>
  </si>
  <si>
    <t>2019/10/09 19:27:19</t>
  </si>
  <si>
    <t>投诉人魏女士投诉对象平安普惠涉诉金额1800元问题类型诉求类型投诉详情2016年在平安普惠i贷借款一万元，一直还款到现在居然还欠1800多元，不知道哪里来的保险，每次扣款都有一部分保险费，我觉不合理所以三个月没有还款，后来平安还快递律师信，现在又说什么要追还什么保险借款，我觉得有必要给我一个合理的解释。</t>
  </si>
  <si>
    <t>2019/10/09 19:26:55</t>
  </si>
  <si>
    <t>本人给自己和老公也在轻奢维体健身房办了两张年卡，七月份开业八月份停电，现在更加不开门，该健身房恶意玩弄消费者，欺诈消费者，在钻法律漏洞，现要求该健身房给出处理方案。</t>
  </si>
  <si>
    <t>2019/10/09 19:26:41</t>
  </si>
  <si>
    <t>经询问小浦优客客服，在2019年9月16日有登陆小浦优客APP，在填写资料并不明确知情的情况下，填写了资料，后来平台并没有下款，之后删除APP，今日当初在小浦优客绑定的银行卡有资金进入，对方平台马上扣取款项，后询问对方客服，客服人员对于退款一事一直态度模糊，并明确提出如果投诉就等投诉后在处理。</t>
  </si>
  <si>
    <t>2019/10/09 19:26:23</t>
  </si>
  <si>
    <t>无缘无故扣款296元，没有任何欠款，就扣了我296元，能否投诉。</t>
  </si>
  <si>
    <t>2019/10/09 19:25:59</t>
  </si>
  <si>
    <t>投诉人韩先生投诉对象融营通信上海有限公司涉诉金额3000元问题类型诉求类型投诉详情我公司用的融营通信外呼系统，融营通信概不履行合同条款，上个月一个月我们实际外呼只有几天，更过分是从二十八号一直到如今都不能使用，要求退款，客服还告诉我不能退款&amp;nbsp;拒不承认&amp;nbsp;霸王条款。</t>
  </si>
  <si>
    <t>2019/10/09 19:25:53</t>
  </si>
  <si>
    <t>结算银行卡注销解绑无效，提现依旧到已经解绑的卡，无法到账！更换多张新银行卡提现无效依旧到之前注销解绑卡上，客服反馈问题10天不解决。</t>
  </si>
  <si>
    <t>2019/10/09 19:24:56</t>
  </si>
  <si>
    <t>51金柯贷逾期一天，在我承诺还款的情况下，擅自用我的手机号在各个信息平台登录验证，一天之内我的手机受到几百条验证信息轰炸，严重干扰了我的生活，已发信息到平台反映，但该催收我行我素，继续轰炸，还变本加厉扬言要骚扰我通讯录人员，这是在藐视法律顶风作案，在赤裸裸的践踏互联网金融公约！给社会制造极大的不稳定因素！。</t>
  </si>
  <si>
    <t>2019/10/09 19:24:40</t>
  </si>
  <si>
    <t>之前的教训是不是都忘了，大平台更应该做好本职工作才能走的更加远。</t>
  </si>
  <si>
    <t>2019/10/09 19:24:36</t>
  </si>
  <si>
    <t>2019年10月3日本人在高崎机场值机时，一位自称是民航通的工作人员过来向我推销贵宾卡，说预交1980元送3000元，以后购买机票就可以用这卡上的4980元，直到昨天我查看购买机票才知道，原来卡上4980元只能每次抵扣优惠的几十元，我联系到当时的工作人员要求退卡退款，本次购买机票所优惠的款民航通可以扣回，但她的态度非常强硬，这是明显的虚假推销，恳请平台帮忙解决！。</t>
  </si>
  <si>
    <t>2019/10/09 19:24:08</t>
  </si>
  <si>
    <t>8500自动给我分成12期，但是前三期也就是前三个月要还款10710，也就是前三个月26%的利息，折合年息104%，非常严重的变相阴阳合同。</t>
  </si>
  <si>
    <t>2019/10/09 19:23:26</t>
  </si>
  <si>
    <t>我的京东白条因资金周转问题逾期60多天，现在已经把逾期部分还清，剩余部分因之前做了分期，打算每个月按账单金额还，这样自己无压力，现在外包催收让我一次性把剩余未出的账单金额全部还清，各种威胁上门之类的话，一次性还清对我来说压力较大，我只能每个月按账单金额还款。</t>
  </si>
  <si>
    <t>2019/10/09 19:23:03</t>
  </si>
  <si>
    <t>2018年收到推广贷款信息为平安普惠，添加贷款员qq号贷款15000，平台审核通过已银行卡流水不足为由要求卡内余额不得低于借款金额百分之十方可下款，前后多次以银行卡第一次银联转账为由骗取15000后冻结其金额要求客服退款且被拉黑，经银行查明广州羽栅栏皮具有限公司多次以输入验证码为由划走卡内全部金额，其公司电话159******39。</t>
  </si>
  <si>
    <t>2019/10/09 19:22:53</t>
  </si>
  <si>
    <t>威胁恐吓，现在手头紧，和他们协商每个月还款，他们闲少威胁，让我等着，。</t>
  </si>
  <si>
    <t>2019/10/09 19:22:16</t>
  </si>
  <si>
    <t>小浦优客app申请借款，按步骤填写资料，然后最后要求绑定银行卡，绑定完成就开始审批，过了一个小时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</si>
  <si>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2019/10/09 19:22:09</t>
  </si>
  <si>
    <t>之前在10月7号闪银瞬瞬申请的时候一不小心点确认了，一直联系客服取消，一直联系不上，他们变像高利贷，1900一个月购物是310左右，征信保和其他100，到期还1957左右，一直到今天晚上才联系到客服，客服不给取消。</t>
  </si>
  <si>
    <t>停止骚扰，作出处罚，对本人工作生活造成极大的困扰，导致本人让公司强制辞退。</t>
  </si>
  <si>
    <t>2019/10/09 19:21:54</t>
  </si>
  <si>
    <t>我是买家，在交易猫购买游戏账号，由于卖家迟迟不配合换绑，我取消交易，等了好久才退款，我是支付宝余额支付的，本应按交易猫程序是即时到账，过了有半个小时交易猫来消息说，退款失败，我就想知道我的钱哪去了。</t>
  </si>
  <si>
    <t>2019/10/09 19:21:04</t>
  </si>
  <si>
    <t>4%本人现已无力承担如此高昂利息，要求减免部分金额。</t>
  </si>
  <si>
    <t>2019/10/09 19:20:47</t>
  </si>
  <si>
    <t>小浦优客app申请借款，按步骤填写资料，然后最后要求绑定银行卡，绑定完成就开始审批，可是之前申请步骤并没有说明有这个费用，正规贷款也不应该有前期费用，涉嫌违规欺诈，因为不知道会有这种情况发生，申请过程没有截图。</t>
  </si>
  <si>
    <t>2019/10/09 19:20:09</t>
  </si>
  <si>
    <t>我一个朋友因资金短缺，然后下载聚福钱包借款，然而并没有借到，还倒扣299，希望尽快还。</t>
  </si>
  <si>
    <t>2019/10/09 19:19:55</t>
  </si>
  <si>
    <t>投诉人 陆先生        投诉对象  今借到        涉诉金额  5 500 元    问题类型    诉求类型投诉详情  大额砍头息 第一期我还过了 现在第二期我希望只归还本金 借款人叫孙本伟</t>
  </si>
  <si>
    <t>2019/10/09 19:19:27</t>
  </si>
  <si>
    <t>利息太高了，我每月还749.57都还16个月了还剩10000，那前面还的钱都不算了吗。</t>
  </si>
  <si>
    <t>2019/10/09 19:19:12</t>
  </si>
  <si>
    <t>投诉人夏女士投诉对象现金借款涉诉金额1120元问题类型诉求类型投诉详情在洋钱罐现金借款，逾期了几天，之前有跟客服协商10号还款，今天几个催收人员打电话给我要求7点半前必须还款，否则打爆我的通讯录。</t>
  </si>
  <si>
    <t>2019/10/09 19:19:09</t>
  </si>
  <si>
    <t>本人于2017年11月辞职后与朋友来天津游玩，顺便看看在这边能不能找到什么合适的工作，当时在58同城上看到达内在招聘设计助理，于是便过去了面试，面试的时候HR说我经验不足，刚好他们有关于设计方面的课程培训，然后一直在推销她们的课程多么好，只要学习三个月就可以包分配高薪工作，而且学习期间的生活费还可以做项目挣取，在项目经理的带领下做几个项目每个月可以挣到一两千的外快，这样就不用当心生活问题，学习完课程后会解决就业问题，而且工资不低于4000元，还说学费19800元，后续工作后每个月工资有4000多只需还一千多</t>
  </si>
  <si>
    <t>2019/10/09 19:19:06</t>
  </si>
  <si>
    <t>本人是一名万达贷的借款者，受害人，本人于2019年多次在万达贷平台上操作借款，直到上次借款时才发现，他们的年利化率竟然达到了30%多，实在是匪夷所思，本人对此深恶痛绝，之前他们号称的万五，什么超低利率，我才去借的，实在是没有想到万达公司这么大，也是一个放高利贷的公司，本人实在是难以接受，请你们帮我解决这个问题，把违规收取的利息给我赔偿，谢谢！本人愿意为自己所说的一切付全部法律责任。</t>
  </si>
  <si>
    <t>2019/10/09 19:19:03</t>
  </si>
  <si>
    <t>投诉人 李鹏        投诉对象  造艺科技        涉诉金额  168 元    问题类型    诉求类型投诉详情  造艺公司合同欺诈借款人恶意收取手虚续费。</t>
  </si>
  <si>
    <t>2019/10/09 19:18:49</t>
  </si>
  <si>
    <t>一共三个订单，均为衣物，均为短期内购入，短期内大幅度降价，作为唯品会新买家，希望补足差价，退还差价。</t>
  </si>
  <si>
    <t>2019/10/09 19:18:44</t>
  </si>
  <si>
    <t>投诉人翁先生投诉对象多米贷涉诉金额1600元问题类型诉求类型投诉详情逾期6天，先是发信息恐吓，今晚直接打电话恐吓，不给协商机会，打完我爱人电话，又打电话给我，说我要是不配合，就拔打其他人电话，有录音。</t>
  </si>
  <si>
    <t>2019/10/09 19:18:32</t>
  </si>
  <si>
    <t>后来给官方客服打电话一直打不进去现在18天，费用多了400现要求取消这部分费用立马偿还进去本金，且本平台利率超过国家规定的百分之24后续我会根据24的手续费偿还。</t>
  </si>
  <si>
    <t>2019/10/09 19:18:16</t>
  </si>
  <si>
    <t>投诉人 郑先平        投诉对象  小象优品        涉诉金额  20 000 元    问题类型    诉求类型投诉详情  暴力催收，暴力骚扰通讯录。违法国家法律规定，将向扫黑部门举报</t>
  </si>
  <si>
    <t>2019/10/09 19:17:41</t>
  </si>
  <si>
    <t>由于资金周转不开在闪电借款平台借了款，后来一直是还了又借这样的方式借款，第一次借了800扣了100的黑卡，第二次借了1100,购买了300的黑卡会员，现在由于资金紧张逾期了两天，利息竟然60.5的高额利息，而且近两天催收人员，态度强硬又恶劣，还威胁，严重违反国家法律！希望国家的平台能维护一下我们的权益！。</t>
  </si>
  <si>
    <t>2019/10/09 19:17:32</t>
  </si>
  <si>
    <t>多点购物后要求退款，10100818的多点多名客服误导能够解决，告诉我们的电话139******48自称非门店人员，028--60153859长期无人接听，今天挂通后告知会联系多点客服，后来电告知多点客服答复无结果。</t>
  </si>
  <si>
    <t>2019/10/09 19:17:30</t>
  </si>
  <si>
    <t>本人于10月4号在某个APP上下载了这些高炮，借款2260，借款时根本不知道利息是多少，到了下款了才只有1300，砍头息900多7天，昨天到期有个电话从早上8点就开始打，催还款，本人只要求还本金及相对应的利息，拒绝协商，这些高炮平台说拒绝，说对我的通讯录进行轰炸，希望聚投诉能够帮忙，让其平台结束骚扰和对通讯录的轰炸，能协商只还本金及对应利息和有要求其平台进行赔偿。</t>
  </si>
  <si>
    <t>2019/10/09 19:17:05</t>
  </si>
  <si>
    <t>客服给我发了信息说在南京法院已经起诉我了，但是现在还是一直加我微信打电话骚扰，希望你们说到做到直接起诉。</t>
  </si>
  <si>
    <t>2019/10/09 19:16:59</t>
  </si>
  <si>
    <t>没有经过允许直接扣款，而且是银行卡直接提示。</t>
  </si>
  <si>
    <t>2019/10/09 19:16:30</t>
  </si>
  <si>
    <t>因为着急用钱，在钱金金网贷借款30多次，借款两千元，每次以买游戏会员形式扣除300元，714高炮砍头息之后我还款后，过了几个月竟然又一次在我银行卡扣款，在聚投诉投诉后追回钱款，现要求钱金金退还部分砍头息5000元作为赔偿。</t>
  </si>
  <si>
    <t>2019/10/09 19:15:49</t>
  </si>
  <si>
    <t>功夫英语宣传6个月学会英语，创建虚假案例诱导用户购买，本人早表明态度不认为功夫英语实用，但是官方仍使用我以前被洗脑的视频宣传，一直没有继续使用，只有3年时间，已经过去11个月了，浪费时间，令人心塞的产品！达不到官网宣传那些效果，要求退款。</t>
  </si>
  <si>
    <t>2019/10/09 19:14:37</t>
  </si>
  <si>
    <t>2019年9月23日我在折疯了海淘app购买了四件商品，有两件商品有质量问题，本人和朋友使用femfresh私处护理液感到痒和过敏；另一件自然乐园芦荟胶的气味明显与正品不符,非常刺鼻，并用在脸上导致严重过敏，商家提供了纳益其尔芦荟胶的报关单，出自2018年的山东烟台，与本订单2019年的时间和香港报关的地点严重不符。</t>
  </si>
  <si>
    <t>2019/10/09 19:14:35</t>
  </si>
  <si>
    <t>10月4日左右钱包借款，上面借款金额是2207元到账只有1430元砍头息800块，之前没注意，今天准备还款了发现到账少了这么多，完全属于高利贷套路贷，经济困难实在承担不起高额的套路头息，今天还款日，跟他们协商只偿还本金和利息，他们不同意后，就开始轰炸通讯录，，请聚投诉平台监督协商归还合理的本金和利息，停止轰炸通讯录并作出赔偿，不然只有通过法律途径解决维权了。</t>
  </si>
  <si>
    <t>2019/10/09 19:14:30</t>
  </si>
  <si>
    <t>东莞市轻奢维体健身房第二次无缘无故关门，老板跑路。</t>
  </si>
  <si>
    <t>2019/10/09 19:14:27</t>
  </si>
  <si>
    <t>于2018.5月做了一个买单侠的分期手机业务，于19年5月已还清！现在买房急需结清证明！。</t>
  </si>
  <si>
    <t>2019/10/09 19:14:01</t>
  </si>
  <si>
    <t>7月在及贷借款6000每月还1200合同显示本金6630年利率4.8%实际不止，还了一个月这个月实在没还上现在天天给我通讯录打电话发短信侮辱我恐吓我而且逾期费相当高，每期本金才1千快多点现在逾期10几天逾期费已经差不多150了。</t>
  </si>
  <si>
    <t>2019/10/09 19:13:57</t>
  </si>
  <si>
    <t>投诉人代先生投诉对象快钱支付涉诉金额900元问题类型诉求类型投诉详情为高利贷公司钱站，提供支付通道，要求退款。</t>
  </si>
  <si>
    <t>2019/10/09 19:13:39</t>
  </si>
  <si>
    <t>不要对家里的人进行骚扰和催收，欠你的钱我会还的。</t>
  </si>
  <si>
    <t>2019/10/09 19:12:45</t>
  </si>
  <si>
    <t>宜信贷借由说我可以借钱不还，骗我做网贷，还说我凭本事借钱，可以不还。</t>
  </si>
  <si>
    <t>2019/10/09 19:11:25</t>
  </si>
  <si>
    <t>借了网贷的我想大家肯定都是缺钱，我也想准时还款，我也一直找盆友借，我是没有接他们的电话，就今天开始就给我发这样的信息，威胁我，而且就一天的时间违约金就产生了，100块钱，我要求把违约金去除，我该还的钱我已经还了！！。</t>
  </si>
  <si>
    <t>2019/10/09 19:11:18</t>
  </si>
  <si>
    <t>顾客应临时有事取消了订单，滴滴公司不分清红造白直接扣我的分，罚我的款。</t>
  </si>
  <si>
    <t>2019/10/09 19:10:58</t>
  </si>
  <si>
    <t>去恒企教育报名但因事后母亲反对所以我们去找他们退款，15天给予的退款但现在找各种理由拖退款说什么班主任给退款收钱人明明是他们公却说班主任给予退款，然后他现在直接说不该退怂我们去贷款有钱花app来付总全款在学信网查了恒企教育是非学历自营的。</t>
  </si>
  <si>
    <t>2019/10/09 19:10:47</t>
  </si>
  <si>
    <t>借款13000元，分12期还款，客服说年利率不超过36%，至今我已经还款10期共14726.8元，今天用贷款计算器一算才知道时光分期利率远不止36%，按年利率36%计算，借款13000元分12期等额本息还款总应还金额为15672.72元，我已还14726.8元，现要求归还时光分期剩余的945.92元，时光分期给我消账，出具还清证明。</t>
  </si>
  <si>
    <t>2019/10/09 19:10:31</t>
  </si>
  <si>
    <t>小浦优客无辜扣款，打电话说合同上有写，是个人报告的钱，什么个人报告要这么多钱?卸载软件了还能把我银行卡的钱扣走，太厉害了。</t>
  </si>
  <si>
    <t>2019/10/09 19:09:58</t>
  </si>
  <si>
    <t>京东金融，把我信息透露给第三方，使我人身受到威胁，要求停止对我伤害，如果伤害能解决事情要法院公安局做什么，我在京东也一直有钱就还，京东看不到吗，这边一直恶意催收，我不可能一直守着手机等电话，我要工作还钱！。</t>
  </si>
  <si>
    <t>2019/10/09 19:09:47</t>
  </si>
  <si>
    <t>借了2200元到手3天就要还借款凭证钱199元还有什么其他的费用还完之后能剩1800元吧，这样的算不算砍头息。</t>
  </si>
  <si>
    <t>2019/10/09 19:07:30</t>
  </si>
  <si>
    <t>拼车去一个地方是19块，去的时候是这个价，回来却一现在变成了40块！滴滴我每个月都得花1500左右，头一次拼车遇到这样的事！客服不作为，只是机械系道歉，有什么用，滴滴霸王条款！要求退款！为了赚钱真的什么事都做的出来，这么大的平台做这种事不怕败坏名声那。</t>
  </si>
  <si>
    <t>2019/10/09 19:07:03</t>
  </si>
  <si>
    <t>新航国际商务,深圳新航国际商务有限公司,深圳新航国际有限公司，我2017年在阜阳西关机场办理了这张卡，当时说的是赠送金额而且机票有折扣，从办理到现在我没有享受到新航商旅公司所说的任何优惠！期间我打过客服电话想预约机票，结果价格比网上订票贵了近两倍，还是用会员卡折扣过的价格！我觉得这已经是欺骗消费者行为了！我将维护我的消费者权益！。</t>
  </si>
  <si>
    <t>2019/10/09 19:06:34</t>
  </si>
  <si>
    <t>逾期后接听过了你我贷的电话，后来两天由于工作原因没有接听到你我贷的电话，你我贷直接给我通讯录的亲朋好友打电话，进行电话骚扰，影响到了我的正常生活。</t>
  </si>
  <si>
    <t>2019/10/09 19:06:21</t>
  </si>
  <si>
    <t>多年不联系的客户欠款，打到我这来，我让其把电话发给我，拒绝给，并持续性的向我催收。</t>
  </si>
  <si>
    <t>2019/10/09 19:05:45</t>
  </si>
  <si>
    <t>投诉人 黄嗯        投诉对象  转转        涉诉金额  1 500 元    问题类型    诉求类型投诉详情  账号被永久封禁。钱压在平台。写个打款失败。人工客服叫我发送邮件。发过去也不处理。一直拖！！垃圾平台，还我钱。卸载</t>
  </si>
  <si>
    <t>2019/10/09 19:05:20</t>
  </si>
  <si>
    <t>本人账号在没有开通自动续费的情况下依然杯自动扣去费用。</t>
  </si>
  <si>
    <t>2019/10/09 19:04:42</t>
  </si>
  <si>
    <t>打电话辱骂用户，对用户进行欺骗，收取高额费用。</t>
  </si>
  <si>
    <t>2019/10/09 19:04:29</t>
  </si>
  <si>
    <t>投诉人 陈先生        投诉对象  拍拍贷        涉诉金额  2 000 元    问题类型    诉求类型投诉详情  上海拍拍贷使用虚假信息（如我是经侦等）多次骚扰我的家人！</t>
  </si>
  <si>
    <t>2019/10/09 19:03:59</t>
  </si>
  <si>
    <t>造艺平台期满借款人私下改写合同，从中赚取高额费用。</t>
  </si>
  <si>
    <t>2019/10/09 19:03:58</t>
  </si>
  <si>
    <t>投诉人卢女士投诉对象拍拍贷涉诉金额1000元问题类型诉求类型投诉详情拍拍贷爆个人通迅录，发我通迅录好友短信群发，严重侵犯我的私人权益。</t>
  </si>
  <si>
    <t>2019/10/09 19:03:45</t>
  </si>
  <si>
    <t>投诉人马先生投诉对象造艺科技涉诉金额299元问题类型诉求类型投诉详情造艺科技旗下的聚富分期恶意收取299元，信征查询费，要求退回299元，客服解决不了这个问题，只有在这里投诉了，希望能解决。</t>
  </si>
  <si>
    <t>2019/10/09 19:03:41</t>
  </si>
  <si>
    <t>暴力催收，电话轰炸，骚扰亲朋好友！过度打扰了我得生活！望停止此举动……。</t>
  </si>
  <si>
    <t>2019/10/09 19:03:28</t>
  </si>
  <si>
    <t>投诉人 王先生        投诉对象  立借        涉诉金额  6 500 元    问题类型    诉求类型投诉详情  借款6500元，实际到账6500元。三个月要还9100元。超过了国家允许的利息。我现在只还本金和应还的利息。</t>
  </si>
  <si>
    <t>2019/10/09 19:01:47</t>
  </si>
  <si>
    <t>根据我国《合同法》第200条明确规定“借款的利息不得预先在本金中扣除，利息预先在本金中扣除的，应当按照实际借款数额返还借款并计算利息，”再此，名校贷声称所扣除的部分费用作为保证金约束用户按时还款，在我国司法规定在借贷过程中不能有砍头息，，如果放款本金中是扣除还款保证金后，把剩余的部分打给借款人，属于变相的砍头息，涉嫌违法！希望有关部门重视起来，让他们退还咨询费。</t>
  </si>
  <si>
    <t>2019/10/09 19:01:40</t>
  </si>
  <si>
    <t>在聚富分期&amp;nbsp;操作&amp;nbsp;&amp;nbsp;无缘无故&amp;nbsp;被扣了299块&amp;nbsp;&amp;nbsp;要求退款。</t>
  </si>
  <si>
    <t>2019/10/09 19:01:14</t>
  </si>
  <si>
    <t>投诉人杨先生投诉对象东莞市轻奢维体健身有限公司,东莞市轻奢维涉诉金额1200元问题类型诉求类型投诉详情当时交了200订金然后那天朋友也办理一张年卡吧，转了2200元1200元一张年卡。</t>
  </si>
  <si>
    <t>2019/10/09 19:00:32</t>
  </si>
  <si>
    <t>投诉人方先生投诉对象王者钱包涉诉金额3100元问题类型诉求类型投诉详情本人保证所言属实，王者钱包app，通过相关平台app进行非法高利贷活动，5天借用1800元，利息费高达1100以上，远超国家规定年利率，借款人误点后打电话去取消订单，但是却要借款人强行完成订单，强行借贷，还进行各种威胁恐吓，对借款人进行威胁恐吓，影响公民日常生活，请相关网络监管部门尽快处理查封非法高利贷app！谢谢。</t>
  </si>
  <si>
    <t>2019/10/09 19:00:09</t>
  </si>
  <si>
    <t>莫名其妙从我银行卡里扣走296元，我并没有借款之类，只是打开看了一下，然后卸载了，今天就莫名扣我钱，要求退款。</t>
  </si>
  <si>
    <t>2019/10/09 18:59:26</t>
  </si>
  <si>
    <t>投诉人 朱先生        投诉对象  手机借钱        涉诉金额  5 843 元    问题类型    诉求类型投诉详情  借3700还5843 今天下午给我打电话说该还款了 说今天如果不还就联系亲戚朋友 一点余地都不给 这个利息高的吓人 要求调整利息</t>
  </si>
  <si>
    <t>2019/10/09 18:59:14</t>
  </si>
  <si>
    <t>我在交易猫购买的产品，应为卖家原因而交易失败，交易猫缺不退款，求求你们帮帮忙，我还是个学生。</t>
  </si>
  <si>
    <t>2019/10/09 18:58:38</t>
  </si>
  <si>
    <t>下载了闪银借款APP后，输入信息看看平台贷款额度和利息，就点了贷款评估，中间出现了一个页面是要同意新人担保，才能显示额度，我就点了，点完发现退出不了，返回不了，然而那时我并不想借钱，几分钟后显示借款3500成功，要扣掉500砍头息，实际到手3000要按3500算利息。</t>
  </si>
  <si>
    <t>2019/10/09 18:58:25</t>
  </si>
  <si>
    <t>投诉人李先生投诉对象小浦优客涉诉金额296元问题类型诉求类型投诉详情不知情情况下，直接扣除我卡中296元余额，并且客服电话根本打不通！套取信息，且涉嫌欺诈这部分钱款！。</t>
  </si>
  <si>
    <t>2019/10/09 18:58:17</t>
  </si>
  <si>
    <t>投诉人 冯先生        投诉对象  小花钱包        涉诉金额  98 元    问题类型    诉求类型投诉详情  暴力催收 乱发照片 一直给我朋友亲戚打电话 惊吓我还款</t>
  </si>
  <si>
    <t>2019/10/09 18:57:51</t>
  </si>
  <si>
    <t>滴滴欺骗我买车，现在车买了一天跑100多块钱，还要还车贷，你不缺司机你别要人啊，艹尼玛招那么多司机不给派单。</t>
  </si>
  <si>
    <t>2019/10/09 18:57:50</t>
  </si>
  <si>
    <t>我在浦发银行信用卡申请的万用金因为经济问题现在无力偿还，之前已经还款两年多的时间，现在因为没有收入，希望可以协商还款方式，但浦发银行迟迟没有回音。</t>
  </si>
  <si>
    <t>2019/10/09 18:57:45</t>
  </si>
  <si>
    <t>闪电借款逾期一天，催收人员协商还款，要求我下午两点前处理，我说这期的货款回得慢了点，要一两左右才能处理，她说不行，过时间就要催收，然后下午我的家人，朋友，以前的房东都受到恶意骚扰，请问这叫协商吗，我欠的钱你们骚扰我的家人朋友，请问这是合法的吗。</t>
  </si>
  <si>
    <t>2019/10/09 18:57:31</t>
  </si>
  <si>
    <t>从8月中旬就已经寄回所申请的退货商品，但是一直未收到退款，多次与客服交涉，也没有任何效果，回馈慢且无效，已经过去一个多月了，希望尽快将应该退款的钱给处理了。</t>
  </si>
  <si>
    <t>2019/10/09 18:56:59</t>
  </si>
  <si>
    <t>叉叉IPA精灵,叉叉助手,广州游顺网络科技有限公司，企业违规导致停顿整改，本人在苹果购买了半年的叉叉会员和永久的脚本➕安卓端永久会员永久脚本，总金额达560元人民币，企业停顿整改后已根据引导填写了退款信息资料，但是两三个月来一直没有处理，也没有相关人员提示引导，加入的QQ群禁言无法申诉，加的相关工作人员QQ也没有回复过，麻烦帮忙授予处理一下。</t>
  </si>
  <si>
    <t>2019/10/09 18:56:19</t>
  </si>
  <si>
    <t>借款1500，到账1050，欠债还钱天经地义，银行都有三天周转期，已经和客服协商好先还部分600元，等发10号工资再还，今天突然给通讯录所有人打电话发短信，包括同事还有客户，现在工作没办法开展，客户那里已经没法挽救，这样的损失谁来承担，我有在接电话，配合还款了，真的要把人逼到绝路才肯罢休吗，支付宝收款方为广东联度网络科技有限公司，支付宝官方也不管管吗。</t>
  </si>
  <si>
    <t>2019/10/09 18:56:13</t>
  </si>
  <si>
    <t>9月21日，本人看到重庆智必达家教群里陆老师发布的家教信息，发现其虽然是在这个群里发布家教信息，但其实则为尚辅堂家教公司的中介，之后我多次询问家长方断断续续有回话，但是都只是拖延，迟迟不给出具体时间，于是在10月8号，我认为被拖延很久了，我也在这上面浪费很多时间便详细问了家长，家长给出的回答是不知道有没有用，最近也并不想补，询问交完信息费后，该中介将家长联系方式给我，询问具体时间时，家长表示需要与孩子协商一下，当天便不再回我，其以时间过长理由认为是我的责任，周旋很久之后只答应反馈160，这与我当时所交费用2</t>
  </si>
  <si>
    <t>2019/10/09 18:56:09</t>
  </si>
  <si>
    <t>有限公司乱扣用户款项，强制购买评估费用，行为恶劣，违法行为。</t>
  </si>
  <si>
    <t>2019/10/09 18:54:52</t>
  </si>
  <si>
    <t>华夏保险伙同佰仟金融发放高利贷，贷款不准搭售保险吧。</t>
  </si>
  <si>
    <t>2019/10/09 18:54:51</t>
  </si>
  <si>
    <t>该平台说我卖假货给出处罚，并且没说我卖的什么东西，把我所有商品强制下架并且封店15天。</t>
  </si>
  <si>
    <t>2019/10/09 18:54:48</t>
  </si>
  <si>
    <t>我的逾期了，我在努力借钱，她就说我是老赖，说要给亲戚同事发信息，还语音侮辱我本人。</t>
  </si>
  <si>
    <t>2019/10/09 18:54:29</t>
  </si>
  <si>
    <t>我留的那个是我的银行卡号，我打114也查了，这家公司没登记。</t>
  </si>
  <si>
    <t>2019/10/09 18:54:03</t>
  </si>
  <si>
    <t>投诉人谭杰投诉对象小赢卡贷涉诉金额10000元问题类型诉求类型投诉详情因家中突发变故，造成资金紧张，致使无法按期还款，与小赢公司协商延期还款未果，借款本金10000元人民币，应还12期，共计需还款13599.32元人民币。</t>
  </si>
  <si>
    <t>2019/10/09 18:53:44</t>
  </si>
  <si>
    <t>本人在9月14日在来这分期借款2000元分四期还。</t>
  </si>
  <si>
    <t>2019/10/09 18:53:38</t>
  </si>
  <si>
    <t>本人15号开了工资就会还进去打了两天的客服电话也打不通催收人员态度太差。</t>
  </si>
  <si>
    <t>2019/10/09 18:53:35</t>
  </si>
  <si>
    <t>暴力催收，爆通讯录！希望立刻停止一切违法乱纪行为。</t>
  </si>
  <si>
    <t>2019/10/09 18:53:19</t>
  </si>
  <si>
    <t>资金短期内周转不过来，电话协商分期，平台不愿意，每天电话骚扰，发恐吓信息给亲朋好友，严重影响我的生活。</t>
  </si>
  <si>
    <t>2019/10/09 18:53:15</t>
  </si>
  <si>
    <t>我于10月5号从左右钱包app借款1800元，且砍头息到账时候1170元&amp;nbsp;6天&amp;nbsp;实际只有5天&amp;nbsp;利息达到630元，现我要求&amp;nbsp;左右钱包&amp;nbsp;和汇潮支付本金结清加适当合法合规利息。</t>
  </si>
  <si>
    <t>2019/10/09 18:53:13</t>
  </si>
  <si>
    <t>要求客服下午三点半来电进行回访！协商还款事宜。</t>
  </si>
  <si>
    <t>2019/10/09 18:51:58</t>
  </si>
  <si>
    <t>我朋友在滴滴金融滴水贷上借了5000块钱，昨天到期了，手动还款一直显示网络问题，系统问题导致现在逾期了一天，影响个人征信，联系客服未果，希望在这里能尽快解决问题。</t>
  </si>
  <si>
    <t>2019/10/09 18:51:48</t>
  </si>
  <si>
    <t>投诉人章女士投诉对象中银消费金融涉诉金额1750元问题类型诉求类型投诉详情近期是没钱，不是故意拖欠，用到现在没欠过你们，只是暂时变成这种情况了，再给点时间，我会结清的，拜托这期间不要再让第三方联系我了。</t>
  </si>
  <si>
    <t>投诉人利先生投诉对象立刻出行涉诉金额499元问题类型诉求类型投诉详情本人今天下载立刻出行apo缴纳押金499元，看到了无车可有，连开都没开，缴纳了499元，打客服电话无人接听，询问室友才知道立刻出行平台已经垮掉了，作为一个学生，400多块钱也是挺多的，不管平台是否经营不善，我觉得押金应该退还给我们，还我们消费者一个公道，而且我觉得既然平台经营不善已经垮掉了就应该取消充值入口，避免像我这样车都没用白白花了499元，况且什么服务都没享受到，还给我自己带来了烦恼。</t>
  </si>
  <si>
    <t>2019/10/09 18:51:46</t>
  </si>
  <si>
    <t>投诉人魏女士投诉对象分期乐涉诉金额1000元问题类型诉求类型投诉详情我都说了我会解决的我今天刚还了一部分我说剩下的在给我一段时间你们不肯我也不能去偷去抢吧。</t>
  </si>
  <si>
    <t>2019/10/09 18:51:42</t>
  </si>
  <si>
    <t>2019/10/09 18:51:31</t>
  </si>
  <si>
    <t>投诉人 张刚        投诉对象  纸上旅游app        涉诉金额  2 250 元    问题类型    诉求类型投诉详情  纸上旅行借款3000到账2250 7天还款772元 还款4期</t>
  </si>
  <si>
    <t>2019/10/09 18:51:17</t>
  </si>
  <si>
    <t>本人于2019年9月1日将本人车辆交给瓜子二手车直卖场，，收车的时候工作人员承诺，不会影响我的新车上牌和生活需要，但是直到今天迟迟不给过户，不到新车买了上不了牌照，临时牌照也不敢去办第三次，严重影响我的日常出行，我现在想马上要求瓜子二手车给我过户！。</t>
  </si>
  <si>
    <t>2019/10/09 18:51:01</t>
  </si>
  <si>
    <t>还阵阵有词说在合理的时间之内，时间没问题，电话多少个。</t>
  </si>
  <si>
    <t>2019/10/09 18:50:28</t>
  </si>
  <si>
    <t>2019/10/09 18:48:45</t>
  </si>
  <si>
    <t>本人于2018年9－10月份，在广东深圳因找工作因学历不高，缕缕被拒，遂即在深圳，升学教育经工作人员推荐办理百度有钱花APP教育分期贷款，但2019年初，因工作地点变更，无法继续在广东深圳参加自考，遂即与升学方面联系要求撤销余下款项，但遭到升学教育工作人员以协议形式推诿，本人并未学习升学课程，要求升学教育取消余下1996.32元款项。</t>
  </si>
  <si>
    <t>2019/10/09 18:48:14</t>
  </si>
  <si>
    <t>本人没有在小花钱包有任何借款，但不断接到电话及短信骚扰。</t>
  </si>
  <si>
    <t>2019/10/09 18:47:33</t>
  </si>
  <si>
    <t>投诉人刘先生投诉对象浦发信用卡涉诉金额46800元问题类型诉求类型投诉详情我是在2018年11月28日申请的浦发银行万用金，6万元，分期24期，到目前剩余15期，没有过逾期记录，每月按时还款，万用金用来购车了，本月1号银行的人给我打电话告知违规消费，需要让我一次性还清剩余的万金用额度，我跟银行说能不能缓和几天，太突然确实还不上，银行态度坚决，要求必须按照规定还款，今日银行已经给我的朋友、家人打了电话催收，我上网搜索了一下，万用金不得用于购房、股票、基金等消费，但是可以用来消费买车，浦发银行为什么要求我一次性</t>
  </si>
  <si>
    <t>投诉人任先生投诉对象拍拍贷涉诉金额1500元问题类型诉求类型投诉详情拍拍贷不停的骚扰我的亲戚朋友以及家人，逾期了也不是不还，为什么骚扰别人。</t>
  </si>
  <si>
    <t>2019/10/09 18:47:30</t>
  </si>
  <si>
    <t>邀请活动规则并没有说要求提供厂牌，推广也是邀请微信好友，结果系统不给提现，希望聚投诉能帮助追回提现金额，并在邀请活动规则出重新发布规则，不要误导广大用户。</t>
  </si>
  <si>
    <t>2019/10/09 18:47:05</t>
  </si>
  <si>
    <t>本人于9.11在抖音视频上看到你我贷的借款广告，吹嘘的什么低利息，无服务费，所以于9.12在榕树贷款平台上点了你我贷的借款，金额是5000元，但是借款之后，发现利息高的吓人，分12期还，要还6797元，本人10月8号想提前结清，打了他们客服电话，他们给到的理由是服务费要收取30%，加上利息是6545元，如果不还清，要上征信，本人只是一个普通的上班的，没有精力跟他们周旋，具体他们的通话录音我也已保留证据，不得已才提前还清他们的高额利息，恳请领导帮我做主，救救我们这些普通的小老百姓，本人愿意为自己所说的一切担负</t>
  </si>
  <si>
    <t>2019/10/09 18:46:15</t>
  </si>
  <si>
    <t>打电话来骂人还电话骚扰，家人朋友，用短信骚扰，。</t>
  </si>
  <si>
    <t>2019/10/09 18:46:11</t>
  </si>
  <si>
    <t>海尔消费金融女催收语言攻击，语言侮辱，还要打爆朋友圈，我骂她，是不对，但是她恐吓我，要告诉我的亲朋好友，。</t>
  </si>
  <si>
    <t>2019/10/09 18:46:07</t>
  </si>
  <si>
    <t>本人在兰州中川机场候机，在打印登机牌时，有一位“热心”的穿制服机场工作人员协助我打印登机牌后，为我推销龙腾出行的贵宾卡，当时因为赶飞机轻信购买，3.其他被套路的网友也都说买到的机票比网上打折机票贵很多，承诺：1.充值1680元后成为贵宾，而这1680元是可以用来购买机票，2.成为会员后可以享受全国各地机场的绿色通道、行李托运以及贵宾休息室不限次数，我再三询问是否是全国，他再三确认是，实际情况：1.充值的1680元并不能直接用来购买机票而是用抵扣的形式，几十元不等，经过多方考证如果买打折机票基本上只能35元从</t>
  </si>
  <si>
    <t>2019/10/09 18:45:54</t>
  </si>
  <si>
    <t>速金服App，借贷金额明明是1000，合同显示1300多，而利息非常高1000元贷款分三期每期要还600多。</t>
  </si>
  <si>
    <t>2019/10/09 18:45:16</t>
  </si>
  <si>
    <t>新浪分期逾期9天，这个月没发工资，和客服谈妥了，最后还是爆我通讯录，弄的我工作也丢了，朋友都打电话问怎么回事。</t>
  </si>
  <si>
    <t>2019/10/09 18:44:47</t>
  </si>
  <si>
    <t>在百度有钱花借款十万，第一次借，分半年还清，现在第二次，还到第九期了，由于经济困难了，正在努力还款，可是，催收，威胁，骚扰！。</t>
  </si>
  <si>
    <t>2019/10/09 18:44:28</t>
  </si>
  <si>
    <t>去年因生意周转在51人品贷上借款59400，分24期还款，每期还3247.2，但是第一期就以服务费为由还了6000多，每期按时还款，一直还了16期，前前后后还了52000多，因这个月生意失败，资金链断裂，无法及时还款造成逾期，第二天催收就打电话给我，我说明了现在的情况，不是恶意欠款不还，但是他们根本不听我解释，要我马上处理，说实在的能处理怎么可能逾期，有钱了立马还，然后就不停的打电话给我和我的通讯录联系人，加我微信骂我，对我威胁、恐吓、骚扰，他们这样对我造成了极大的伤害，严重影响了我的生活，造成我名誉上的伤</t>
  </si>
  <si>
    <t>2019/10/09 18:42:42</t>
  </si>
  <si>
    <t>交易订单失败，一直显示退款中，以前支付宝都是秒到账，这次连续两次退款失败，客服也一直繁忙。</t>
  </si>
  <si>
    <t>2019/10/09 18:42:32</t>
  </si>
  <si>
    <t>以前由于经济困难逾期，然我9月底主动提前结清，然后联系了客服，客服说的可以，然后我说申请减免可以不，她说不行，我想也可以，然后微信又和我说，可以减免几百，然后我答应处理了，等我处理完，过了一周我看系统，问客服，客服也不回消息，现在给我说，申请没过，然后处理。</t>
  </si>
  <si>
    <t>2019/10/09 18:42:24</t>
  </si>
  <si>
    <t>本人孙晋寿：第一次在捷信分期购买了一步手机以分期结清，偶然接了捷信金融机构电话说自治可以贷款9000，每个月还款668.75，本人于2016年10月分借款于2019年3月份逾期，以每个月还款660块钱计算660乘25个月就是1万6千多，后来和捷信客服沟通协商说都是服务费乱七八糟本人就没有还款，然后各种骚扰不说了，威胁，恐吓，上门骚扰上门随便打广告。</t>
  </si>
  <si>
    <t>2019/10/09 18:42:23</t>
  </si>
  <si>
    <t>造艺科技让我输入个人信息绑定银行卡没几分钟后就强行从卡中扣钱。</t>
  </si>
  <si>
    <t>2019/10/09 18:42:07</t>
  </si>
  <si>
    <t>一天不断的催收，没有事情可做吗，严重打扰别人的作息生活。</t>
  </si>
  <si>
    <t>2019/10/09 18:42:04</t>
  </si>
  <si>
    <t>本人在玖富万卡借款16000分24期，还了3期，剩余一次性还完，14000多的本金外加了3450的服务费，等于，借款16000，不到110天时间付了20500元，这难道不是高利贷，看到玖富这么多人投诉，你们公司不颜汗吗。</t>
  </si>
  <si>
    <t>2019/10/09 18:42:02</t>
  </si>
  <si>
    <t>在电话中使用暴力语言，对我家人进行威胁，对我个人进行恐吓，恶语。</t>
  </si>
  <si>
    <t>2019/10/09 18:41:51</t>
  </si>
  <si>
    <t>恶意让客户逾期一直没人联系，高额逾期费不减免让客户承担，说APP升级无法还款，APP上逾期费一直涨。</t>
  </si>
  <si>
    <t>2019/10/09 18:41:43</t>
  </si>
  <si>
    <t>8月26日合同写着一月内会退回保证金，现在都10月9号了，无法进行退店，电联平台客服一直推脱，联系QQ客服也是爱答不理的，希望尽快联系我处理退店！。</t>
  </si>
  <si>
    <t>2019/10/09 18:41:03</t>
  </si>
  <si>
    <t>10月9日申请御剑飞行app后，显示放款成功，待还款状态，但是银行卡内未收到款项，通过app内联系客服无果，客服甚至都不收集客户信息，就直接挂机，我只要求御剑飞行确认的确未放款，然后取消订单，款项未收到，app已经开始计算还款时间，阴阳合同。</t>
  </si>
  <si>
    <t>救命钱莫名其妙被宝付支付扣掉1305.都不知道是什么原因，请查清退款。</t>
  </si>
  <si>
    <t>2019/10/09 18:41:00</t>
  </si>
  <si>
    <t>冰箱有划痕，因此申请退换货，客服以通电为由，线上同意退货，线下不同意。</t>
  </si>
  <si>
    <t>2019/10/09 18:40:59</t>
  </si>
  <si>
    <t>本人在蜜瓜平台借款2800，实际到款只有1820，扣除了980的砍头息，期限为6天！！！严重违法国家的贷款利率！因无力偿还，现要求协商还款！。</t>
  </si>
  <si>
    <t>2019/10/09 18:40:03</t>
  </si>
  <si>
    <t>投诉人 俞先生        投诉对象  买单侠        涉诉金额  12 151 元    问题类型    诉求类型投诉详情  逾期然后群发我亲朋好友。造成了我名誉损失。我要求赔偿道歉</t>
  </si>
  <si>
    <t>2019/10/09 18:39:51</t>
  </si>
  <si>
    <t>用了这么久支付宝，从未逾期，就是近段时间因还了城市手机卡补办不了逾期，就扣分，而且每次也都是当月还清的。</t>
  </si>
  <si>
    <t>2019/10/09 18:39:36</t>
  </si>
  <si>
    <t>借款18000，砍头息百分之二十，还清以18000的贷款之后没有归还，。</t>
  </si>
  <si>
    <t>2019/10/09 18:39:27</t>
  </si>
  <si>
    <t>没有钱还债务，招商银行催收员便威胁我，还给我家人打电话说如果说我不马上还款，便找到我家去，加上开销，每个月仅剩的一点儿资金都存下来准备还钱用，但是招商银行那个催收员每天给我和我家人打电话真的让人受不了，催收员电话：131******73请聚投诉平台帮忙给个说法吧。</t>
  </si>
  <si>
    <t>2019/10/09 18:39:03</t>
  </si>
  <si>
    <t>主动泄漏身份证信息打电话侮辱家人叫其去借高利贷还钱。</t>
  </si>
  <si>
    <t>2019/10/09 18:38:50</t>
  </si>
  <si>
    <t>在没有提前通知本人的情况下银行就给我上了征信。</t>
  </si>
  <si>
    <t>2019/10/09 18:38:22</t>
  </si>
  <si>
    <t>贷款app，认证资料后并没有选择贷款，10月9日无缘无故被扣走296元，客服是一直通话中，没有任何验证直接扣款，希望得到解决。</t>
  </si>
  <si>
    <t>2019/10/09 18:38:10</t>
  </si>
  <si>
    <t>由于工资延迟发放，致使洋钱罐借钱未能按照预期还上，前期沟通延期还款未果，第二天便挨个电话骚扰家人，朋友，致使造成恶劣影响，介于本人并非恶意拖欠，平台暴力催收不顾及借款人实际情况，实属难以理解，呈请有关部门核实解决。</t>
  </si>
  <si>
    <t>2019/10/09 18:38:07</t>
  </si>
  <si>
    <t>本人9月8号在钱站借了3000块，合同金额却是6000块，分三期还每一期还大概2019元，三个月一共还了接近6000元，要求退还多余本金！！！不然一直投诉到底！所有信贷投诉量最大的一家公司，没必要再听其解释太多，作为一家在香港挂牌的被撤回的上市公司，哎真的是耻辱啊，希望有关部门介入调查，打击高利贷，维护正义。</t>
  </si>
  <si>
    <t>2019/10/09 18:36:14</t>
  </si>
  <si>
    <t>投诉人 杨先生        投诉对象  闪银,Wecash闪银        涉诉金额  2 438 元    问题类型    诉求类型投诉详情  156******47爆我通讯录 现在要求道歉别骚扰我 把逾期费取消 我就还款</t>
  </si>
  <si>
    <t>2019/10/09 18:35:45</t>
  </si>
  <si>
    <t>该公司在2019年10月4日突然无故扣费我银行卡里的金额299元，并且是在本人并不知情的情况下，利用豹子贷app盗取本人信息，以及银行卡免密支付的盗刷金额，造成本人经济损失，希望贵公司马上处理并退还资金，页面只显示可以进行贷款引导我绑定银行卡后自动扣除299元，我联系客服后，客服要求我必须在他们推荐的六家贷款平台都借款失败，并出具失败的证明才能退款，我的个人信用报告只有央行中国人民银行有权利查询，造艺科技出具的信用报告，我是否可以理解为严重的个人信息侵犯。</t>
  </si>
  <si>
    <t>2019/10/09 18:35:33</t>
  </si>
  <si>
    <t>本人在闪银借贷3500元，已上月24号到期！因为忘记还款日期，一直处于逾期状态，直到10.08号闪银催收人员联系我还款，我才知道逾期，由于该客服一直是短信提醒，被我手机屏蔽所有一直不知道到期，目前产生逾期费用140多元！要求闪银，减免逾期费用。</t>
  </si>
  <si>
    <t>投诉人 谢先生        投诉对象  微粒贷        涉诉金额  5 000 元    问题类型    诉求类型投诉详情  微粒贷暴力催收，辱骂欠款人。之前投诉要求道歉但是没人理睬。今天打电话说是道歉不可能，欠钱就该骂。真的没有人管么？</t>
  </si>
  <si>
    <t>2019/10/09 18:35:29</t>
  </si>
  <si>
    <t>停止电话骚扰和爆我通讯录，调整利率，我当时借的是一千元，可三个月后我要还出去一千四百多。</t>
  </si>
  <si>
    <t>2019/10/09 18:34:53</t>
  </si>
  <si>
    <t>我在立借里的钱置宝下款借款2450.00元，利息1128.4元，每期894.6元，超过法律规定利息，8元，本金已经还清，还剩一期要求销账，还款日联系客服协商，客服电话无人接听，在线客服回复已反馈商家，也无人与我联系，现已逾期，要求我还款943.60元，现要求平台将该部分费用减免并销账。</t>
  </si>
  <si>
    <t>2019/10/09 18:34:43</t>
  </si>
  <si>
    <t>10月4日完成的质检，到现在10月9日翼锋网也没有动静把回收的金钱给我。</t>
  </si>
  <si>
    <t>2019/10/09 18:34:33</t>
  </si>
  <si>
    <t>钱站APP，我记得自己试放款的时候好像没有这么高的利息，也没细看，到还款日了一看吓一跳，一共借贷2000元整分三期，一个月居然还1000多，要求降低年利息到24%。</t>
  </si>
  <si>
    <t>2019/10/09 18:34:18</t>
  </si>
  <si>
    <t>结果京东错分件没有按时送达当天下午客服打电话叫去当地买支架救急。</t>
  </si>
  <si>
    <t>2019/10/09 18:34:04</t>
  </si>
  <si>
    <t>投诉人甘先生投诉对象小浦优客涉诉金额296元问题类型诉求类型投诉详情小浦优客今晚扣除我银行卡296元！没经过我本人同意就扣钱！联系客服没人搭理！296没说就扣了！请贵平台帮忙处理！这个小浦优客平台已经下架！为什么还扣钱。</t>
  </si>
  <si>
    <t>2019/10/09 18:32:05</t>
  </si>
  <si>
    <t>以购买游戏豆为名义变相收取高额利息，借款2000元，一个月之后需要还2600多元。</t>
  </si>
  <si>
    <t>2019/10/09 18:32:00</t>
  </si>
  <si>
    <t>要各种本人的身份信息要自己寄去然后要很久审核时间。</t>
  </si>
  <si>
    <t>2019/10/09 18:31:57</t>
  </si>
  <si>
    <t>投诉人 王晓炜        投诉对象  中国联通        涉诉金额  14 000 元    问题类型    诉求类型投诉详情  被人骗了进入赌博平台 后发现中国联通为其提供充值方式 往退款</t>
  </si>
  <si>
    <t>2019/10/09 18:31:50</t>
  </si>
  <si>
    <t>爆通讯录，通讯录里的人全部接到了骚扰电话，要求找本人解决！骚扰电话，有侵害名誉权！要求停止！。</t>
  </si>
  <si>
    <t>2019/10/09 18:30:37</t>
  </si>
  <si>
    <t>他们完全是骗钱、一直骗我门、关门又开门、最后跑路。</t>
  </si>
  <si>
    <t>微贷网在我本人不知道的情况下把我的抵押车过户给他人。</t>
  </si>
  <si>
    <t>2019/10/09 18:30:28</t>
  </si>
  <si>
    <t>从开始在拍拍贷借了三千，后续每期都按时还款，没有过逾期，只因今年下半年生意失败导致资金全部赔完掉进了欠债的深渊，导致的现在雪上加霜还不起拍拍贷的尾款，之前拍拍贷只有工作人员打电话跟我协商还款事宜，我也很配合拍拍贷工作人员，有点钱就还一期，每次都尽自己最大能力还款，有次我手里就一百块钱了拍拍贷工作人员打电话来，，还加上拍拍贷委托的第三方给我打电话，最后无奈我把仅有的一百块钱也还进去了，我的意思并非我不还钱，是我生意做赔以后只好去打工挣钱养家，每个月杯水车薪就挣那么一点工资，还要照顾一家老小，父母常年有病，孩子</t>
  </si>
  <si>
    <t>2019/10/09 18:30:01</t>
  </si>
  <si>
    <t>投诉人乔女士投诉对象我来贷涉诉金额36000元问题类型诉求类型投诉详情我在我来贷，借款36000，已归还28000余多，觉得利息不合理，打擦边球，协商无果对方催收疯狂拨打我的手机家人的电话，甚至打我公司电话，同时十几个号码一起拨打，导致我公司财务部瘫痪，对我的工作造成严重的影响，现在需要对方做出解释给我合理的催收方式协商还款，协商不是逼迫不是威胁。</t>
  </si>
  <si>
    <t>1982.13以上2笔打客服电话说并未超过年利率的36，在35.9，我也在银行贷款计算器计算过，在年率36的情况下还款总额是7836.06跟1804.37，拍拍贷客服人员坚持说没超过规定年利率，对此表示不解，其二，在未经本人知情的情况下盗取通讯录的家人朋友信息轰炸，威胁，恐吓，给本人的生活造成了一定的困扰，而且是在本人有意还款及电话能接通却无未接来电情况下，对此拍拍贷工作人员说说是正常流程.每天无数骚扰电话的正常流程。</t>
  </si>
  <si>
    <t>2019/10/09 18:28:23</t>
  </si>
  <si>
    <t>小浦优客尊敬的用户您好，感谢您对小浦优客的支持，您的报告已经生成，，您已成功支付服务费296.0元整，如有疑问可拨打电话，太气人，希望有关部门介入，坚决取缔，减少受骗的人。</t>
  </si>
  <si>
    <t>2019/10/09 18:26:39</t>
  </si>
  <si>
    <t>这个平台是高利货，现在对我开始暴力催收和不停打我通信录里的电话号码。</t>
  </si>
  <si>
    <t>2019/10/09 18:26:32</t>
  </si>
  <si>
    <t>本人今天早上收到立借的催收电话，态度恶劣，语气狂妄。</t>
  </si>
  <si>
    <t>2019/10/09 18:26:21</t>
  </si>
  <si>
    <t>我作为一个借款人，因为手头上生意亏了客户跑路加上被骗现在欠了很多钱，现在亏的一无所有，导致贷款目前短时间内无法还款逾期，但及贷平台没给协商就爆通讯录，发短信威胁恐吓骚扰亲朋好友，根据法律相关规定这种行为也是属于违法，我知道欠债还钱天经地义，但发短信骚扰恐吓亲朋好友，盗取通讯录这种行为我希望及贷平台能立马停止，不然的话后续会一直收集证据保留追求相关负责任人法律责任。</t>
  </si>
  <si>
    <t>2019/10/09 18:25:43</t>
  </si>
  <si>
    <t>无缘无故就被从银行卡强制性扣费，要求退款，加强对平台的管理。</t>
  </si>
  <si>
    <t>2019/10/09 18:25:16</t>
  </si>
  <si>
    <t>投诉人张先生投诉对象及贷,智享贷涉诉金额440元问题类型诉求类型投诉详情PPmoneyAPP智享贷超高利率套路贷，变相砍头息，在我不知情的情况下强行购买一个什么套餐计划！多次协商无果！希望及贷能给个说法！事情解决之前我不会还款，逾期的后果由借款方负责。</t>
  </si>
  <si>
    <t>2019/10/09 18:25:14</t>
  </si>
  <si>
    <t>因滴滴司机开车过慢导致延迟到站车票作废，本来15分钟的路程开成了30分钟，路上又不堵车，每个去车站的人都是赶时间的司机却一直很慢很慢的开，现要求滴滴出行给个合理解释。</t>
  </si>
  <si>
    <t>2019/10/09 18:24:57</t>
  </si>
  <si>
    <t>交易不成功，显示订单失败，但是退款也不成功，也没有客服！！！！！。</t>
  </si>
  <si>
    <t>2019/10/09 18:24:50</t>
  </si>
  <si>
    <t>小木钱包借款2800分4期，7天一期，32天利息1000多，已还3期，本金已结清，多付200多利息，要求销账。</t>
  </si>
  <si>
    <t>2019/10/09 18:24:41</t>
  </si>
  <si>
    <t>很早之前在拉卡拉注册的账户需要注销掉实名资料，被客服要求提供身份证号码+身份证照片+人脸识别，我注册时就只填写了身份证号码，现在注销反而要我提供更多未上传过的个人资料！请问官方是脑子秀逗了吗，本来只是因为更换了手机号怕在该平台认证的身份信息不安全想要注销掉，，没成想只是绑定了身份证号码的账户想要注销掉还要我提供身份证正反面照片。</t>
  </si>
  <si>
    <t>2019/10/09 18:24:24</t>
  </si>
  <si>
    <t>本人在华夏信财宁德门店借款到帐60000，需还款9万多，现逾期几天联系不上本人一直与我老婆沟通，今天至电我老婆进行催款，对我老婆进行人身攻击和诅咒，问我老婆家里破产了，家里有人伤亡，我老婆很生气表示会去投诉，后来又打电话，我老婆表示现在在上班晚点联系，催收员说钱没还还上什么班不用上了，说要打我老婆单位电话，这种催收行为非常恶劣，要求做出处理和赔偿。</t>
  </si>
  <si>
    <t>2019/10/09 18:24:18</t>
  </si>
  <si>
    <t>及贷借7500担保费750智享贷一千砍头息200一个月归还，打客服客服说一会我买卡了，一会说我没买卡，说我享受到这个卡了，我都不知道这个是啥，就说我买卡了，问客服公司地址，一个客服一个地址，各种忽悠，及贷和智享贷两边踢皮球。</t>
  </si>
  <si>
    <t>2019/10/09 18:24:09</t>
  </si>
  <si>
    <t>投诉人 侯先生        投诉对象  小花钱包        涉诉金额  567 元    问题类型    诉求类型投诉详情  500块钱逾期2天爆通讯录，恐吓我。有什么意思</t>
  </si>
  <si>
    <t>2019/10/09 18:23:48</t>
  </si>
  <si>
    <t>投诉人赖先生投诉对象京东金融涉诉金额6000元问题类型诉求类型投诉详情2019年1??8号，本人京东账号被盗刷白条，9号我及时登录申请拦截不要派送，京东方面不理会，造成了重大金钱损失，现在霸王条款要我赔付，多次对我电话骚扰轰炸，假冒公检法给我发律师函，要求聚投诉平台对这类违法违纪事情做出调查。</t>
  </si>
  <si>
    <t>2019/10/09 18:23:46</t>
  </si>
  <si>
    <t>投诉人张女士投诉对象贷上钱涉诉金额4500元问题类型诉求类型投诉详情贷上钱本人借了一个2000，一个2500的，我购物了什么我怎么没看到购物品，你们这是非法收取砍头息利吧！如果要我还钱，这一千多我是不会给的，现在逾期了几天就涨了五百多什么服务费用明摆着就是高利贷我是不会给的。</t>
  </si>
  <si>
    <t>2019/10/09 18:23:41</t>
  </si>
  <si>
    <t>投诉人 董慧宗        投诉对象  山东高速集团电子收费中心,山东高速ETC        涉诉金额  0 元    问题类型    诉求类型投诉详情  个人车牌鲁GF7V73被不明注册ETC。使本车无法正常办理ETC，造成出行不便。恳请快速处理。</t>
  </si>
  <si>
    <t>2019/10/09 18:23:05</t>
  </si>
  <si>
    <t>投诉人 郭女士        投诉对象  交易猫平台        涉诉金额  100 元    问题类型    诉求类型投诉详情  在交易猫上买的号，取消订单后退款失败</t>
  </si>
  <si>
    <t>2019/10/09 18:23:02</t>
  </si>
  <si>
    <t>首付交了，各种问题刁难按揭，刚开始要求交付按揭手续费，后来已经找到楼盘合作银行按揭，需要四大银行拒签证明还打电话给华夏银行拒接我的按揭，怀疑有内幕交易，首付照收按揭刁难。</t>
  </si>
  <si>
    <t>2019/10/09 18:22:41</t>
  </si>
  <si>
    <t>6月26日为止，使用了一年半不到，电视突然无法开机，因一直在外地工作，一直到国庆节放假才回家，网上找到售后客服电话，客服安排了维修人员，售后派遣维修师傅联系我，简单说明情况，维修人员上门进行了检查，结果断定为主板烧坏需要付费更换，费用380元本人立刻上网搜索查询，发现小米电视4A，综上所诉，我有理由相信，小米电视4A49寸，存在设计缺陷。</t>
  </si>
  <si>
    <t>2019/10/09 18:22:02</t>
  </si>
  <si>
    <t>，逾期后跟催收说明了还款意愿，结果超过协商时间一个钟头，，没经过我同意就爆我通讯录，最恶心的是在线客服和电话客服都在互踢皮球，都说处理不了，只让我尽快还款，催收电话打过去没人接，我给催收发消息也没人回复。</t>
  </si>
  <si>
    <t>2019/10/09 18:21:46</t>
  </si>
  <si>
    <t>天天发短信威胁，私自获取用户信息，造成自己工作不变，更是对自己声誉造成影响，要是不处理，我将到银监会投诉，并报警处理，私自盗取用户信息，侵犯他人隐私。</t>
  </si>
  <si>
    <t>2019/10/09 18:21:11</t>
  </si>
  <si>
    <t>打快车，来的是专车，预估32，实际47，虽然就十几块钱，但是这样强制消费让人特别不爽，这跟司机无关，属于平台问题。</t>
  </si>
  <si>
    <t>2019/10/09 18:21:10</t>
  </si>
  <si>
    <t>在佰仟金融旗下买买乐购借了15000元，分12期还，每期要还1822元，最后一共要还21800多，我就想问问这算不算是高利贷，国家的规定可以收这么多的利息吗，我投诉了好几次就会打个电话叫我提前还款，我已经还了6个月10900多了，利息大部分已经给了我还差那么点利息吗，这6个月的利息就到了4000多，我会一直在各大平台投诉下去。</t>
  </si>
  <si>
    <t>2019/10/09 18:20:54</t>
  </si>
  <si>
    <t>商家拒接电话，欺骗消费者，存在二次发货，威胁我好评追平，投诉维权不管用，淘宝维权小二未经核实跟协商就批准处理，导致我损失1200多的金钱损失。</t>
  </si>
  <si>
    <t>2019/10/09 18:20:48</t>
  </si>
  <si>
    <t>八天一期，每期1022客服打不通，还款失败，导致逾期七天。</t>
  </si>
  <si>
    <t>2019/10/09 18:20:06</t>
  </si>
  <si>
    <t>申请借款，按步骤填写资料，然后最后要求绑定银行卡，绑定完成就开始审批，过了好几天了说是扣除296元个人信用报告费用，可是之前申请步骤并没有说明有这个费用，正规贷款也不应该有前期费用，涉嫌违规欺诈。</t>
  </si>
  <si>
    <t>2019/10/09 18:20:03</t>
  </si>
  <si>
    <t>欠款人本人失联，目前我家庭十分困难当我要求提前结清贷款要求减免时客服确告知不予减免，再三强调我的家庭困难目前他多家逾期想把这家处理了，叫还呗减免利息，却没有减免，我认为应当人性话的处理该事宜，且该平台变相收取会员费，以开通会员低息的条件诱惑客户开通会员，属变相砍头息的行为，要求给出一个合理的解释，并做出相应的减免。</t>
  </si>
  <si>
    <t>2019/10/09 18:19:54</t>
  </si>
  <si>
    <t>2019/10/09 18:19:45</t>
  </si>
  <si>
    <t>钱站阴阳合同，刚刚申请的时候是借款2000元利息600多分三期，等我今天打算还款变成每期要还1182元，共计3300多，借款2000元还款3600多元，利息赶上本金了，要求钱站解决问题。</t>
  </si>
  <si>
    <t>2019/10/09 18:19:24</t>
  </si>
  <si>
    <t>在智享贷的贷款由于资金周转困难逾期了几天就开始打电话辱骂借款人通讯录所有人群发短信，客服口口声声说资金不困难得时候解决而且免除利息。</t>
  </si>
  <si>
    <t>2019/10/09 18:19:01</t>
  </si>
  <si>
    <t>我10月3号从桂林寄东西到柳州，10月5号物流显示配送员正在配送中，可是今天已经是9号了，收不到包裹，也没有接到任何配送员的电话，打电话过去配送员都不接，打电话给百世快递接货网点现在也不接了，每次客服都这样说明显是在应付，根本不解决问题，请百世快递当地接货网点给我回电并且解决问题，，期间在7号、8号9号都给人工客服打过电话，他都说帮忙催一下，过后给我答复，每次客服都这样说，明显是在应付，根本不解决问题，请百世快递当地接货网点给我回电并且解决问题！！！。</t>
  </si>
  <si>
    <t>2019/10/09 18:18:39</t>
  </si>
  <si>
    <t>老板及股东在7月雇佣一批临时销售拉拢大量顾客，一个月后即关门，破产、重新营业、赔偿的说法不停变幻却从不正面回应消费者诉求，躲避消费者让我们置于无助之地，本人1580的年卡仅使用1个月，6000元的健身课仅签字上课2节。</t>
  </si>
  <si>
    <t>2019/10/09 18:18:16</t>
  </si>
  <si>
    <t>借款经过描述：3/19日在融资保填写借款信息，然后该平台分配了一个接待经理，说可以帮我申请贷款，我当时要求资金2万，分15期，3/19将身份证及信息给对方，对方让我试了几个借款平台，其中在钱包易贷上申请9000元，3/20钱包易贷下款9000元，然后又扣走了1186.29元的手续费，实际到手7813.71元，平台给我分了12期，每月还款964.68元，同时每个月的还款金额里还包含了180元的保险费，与之前说的金额完全不符，同时还收取了除了利息之外多达3349.29元的费用，两笔已收款项加上共计3349.29</t>
  </si>
  <si>
    <t>2019/10/09 18:18:07</t>
  </si>
  <si>
    <t>支付宝不给任何协商的机会态度很强硬威胁恐吓我不还款要带村长公安局上门。</t>
  </si>
  <si>
    <t>2019/10/09 18:18:03</t>
  </si>
  <si>
    <t>本人于2019年8月26日提交保证金退款的申请，直到今日都还没收到退款，根据协议是5-10个工作日退款，也就是应该在9月10日前退款的，至今已经过了一个半月还没退款，后来打客服电话一直不接，要么就是接通后不说话，现在APP还可以打开，但是全广州都显示无车可用，又不退还押金和余额，这完全是欺诈行为！请求平台协助维权！。</t>
  </si>
  <si>
    <t>2019/10/09 18:17:59</t>
  </si>
  <si>
    <t>投诉人 李先生        投诉对象  嗨钱网        涉诉金额  1 000 元    问题类型    诉求类型投诉详情  嗨钱砍头息 下款就扣钱 希望退回部分砍头息</t>
  </si>
  <si>
    <t>2019/10/09 18:17:57</t>
  </si>
  <si>
    <t>投诉人 刘先生        投诉对象  交易猫        涉诉金额  480 元    问题类型    诉求类型投诉详情  取消订单后说是秒退款，然后冒出个退款失败？联系客服就说让等？</t>
  </si>
  <si>
    <t>2019/10/09 18:17:55</t>
  </si>
  <si>
    <t>借了9600到账7400分十二期要还一万三千多我想知道你们这是怎么算利息的。</t>
  </si>
  <si>
    <t>2019/10/09 18:17:45</t>
  </si>
  <si>
    <t>投诉人周先生投诉对象中信银行信用卡涉诉金额9000元问题类型诉求类型投诉详情中信银行信用卡中心，今年无故冻结卡片，前段时间刚好失业，目前已工作，已经还不起全额还款，期间一直与中信银行信用卡协商分期还款，客服一直解决不了，望中信银行信用卡中心给我分期还款。</t>
  </si>
  <si>
    <t>2019/10/09 18:15:39</t>
  </si>
  <si>
    <t>半年交房租每个月两千，现在他们不交房东，公司不在了，打电话停机，找不到他们所在地。</t>
  </si>
  <si>
    <t>2019/10/09 18:14:59</t>
  </si>
  <si>
    <t>明明是交易平台是客服验号，现在却搞却让卖家自己发截图充当客服验号。</t>
  </si>
  <si>
    <t>2019/10/09 18:14:56</t>
  </si>
  <si>
    <t>百付宝多次扣款，不知为何原因，退还所有的款项。</t>
  </si>
  <si>
    <t>2019/10/09 18:14:43</t>
  </si>
  <si>
    <t>今日头条的身份证信息被他人占用，属于侵权行为，对我个人的头条号认证产生影响，要求彻查。</t>
  </si>
  <si>
    <t>2019/10/09 18:13:42</t>
  </si>
  <si>
    <t>投诉人 李先生        投诉对象  袋鼠口袋        涉诉金额  10 000 元    问题类型    诉求类型投诉详情  袋鼠口袋高额砍头息 14天2700到手1700多 多次借款希望退回砍头息的部分金额</t>
  </si>
  <si>
    <t>2019/10/09 18:13:29</t>
  </si>
  <si>
    <t>宝来钱柜,永州市夏尔网络科技有限公司,富友支付，在714平台申请贷款，说是开通VIP后可以成功贷款，部分是放款后被收取砍头息盗刷，总共费用2444元，具体如下：未经过我本人确认提取额度，直接放款到我绑定的还款卡中，三笔均有不同程度的砍头息，共计2444元，现要求上海富友支付将放款撤回，砍头息是违反国家规定的套路贷，希望有关部门彻查，中国银联无卡快捷支付业务专户我的个人信息如下，绝对真实，愿意承担法律责任。</t>
  </si>
  <si>
    <t>2019/10/09 18:13:26</t>
  </si>
  <si>
    <t>投诉人 杨先生        投诉对象  爱又米        涉诉金额  9 000 元    问题类型    诉求类型投诉详情  利息很高且收取担保费 希望赔付之前所付利息并降低之后利息</t>
  </si>
  <si>
    <t>2019/10/09 18:13:15</t>
  </si>
  <si>
    <t>京东金融欠款6800逾期，催收，恐吓，逾期对征信有影响我明白我都逾期了影响我有什么办法，目前怎么还，家里人也不挣钱就我一个人，一家几口，我跑外卖能跑多少，别家压我工资三个月了还不结我怎么还，催收还恐吓，我都明白说了，逾期金额，违约金照付，不是不认账，催什么催，但凡能还上让你催，我用这么久哪次让你催了，最近出了问题还不上只是暂时的催什么催，还恐吓。</t>
  </si>
  <si>
    <t>2019/10/09 18:13:06</t>
  </si>
  <si>
    <t>投诉人 郭先生        投诉对象  新橙优品        涉诉金额  3 000 元    问题类型    诉求类型投诉详情  借3000实际到账2700有砍头息 而且还款还是按3000还 一点都不合理 逾期11天 利息每天涨15，</t>
  </si>
  <si>
    <t>2019/10/09 18:13:02</t>
  </si>
  <si>
    <t>岳母信用卡逾期3万多，由于身体不便原因，把这件事全权交给我处理，每个月都还二千到三千，手里确实没有资金，这个月五号有客服联系我，对我说现在是月初，争取月底还百分之五十，我说可以，我说我肯定争取有钱我一定还，客服答复我得也非常好，我以为就等月底发工资再借一些把百分之五十还上，可是今天下午又有客服联系我，告诉我八号之前必须全部还齐，不然走法律途径，我说五号的时候已经和你们客服商讨完事了，让我月底还百分之五十，客服说这个案件已经交给他处理了，之前怎么说的和他没关系了，他说他是建设银行信审部门的，态度也不好，非常强</t>
  </si>
  <si>
    <t>2019/10/09 18:12:54</t>
  </si>
  <si>
    <t>投诉人 马志坚        投诉对象  平安普惠        涉诉金额  7 000 元    问题类型    诉求类型投诉详情  骚扰，恐吓，威胁，侮辱，伪造法律文件。手段卑鄙无耻。</t>
  </si>
  <si>
    <t>2019/10/09 18:12:49</t>
  </si>
  <si>
    <t>电话骚扰，微信骚扰，我目前真的没有还款能力，现在工作并没有工资，捐献几天不行吗。</t>
  </si>
  <si>
    <t>2019/10/09 18:12:22</t>
  </si>
  <si>
    <t>20.06下的单子客服不肯退款一直在敷衍拖。</t>
  </si>
  <si>
    <t>2019/10/09 18:11:40</t>
  </si>
  <si>
    <t>一直觉得现金巴士跟良心，也一直在用，用了很多次，以前都不收取任何前期，也没有高额的利息，后来现金巴士就变了，例如好信会员，，不知道买了多少次了，现在实属不能忍，只要求退回近期的三笔砍头息，并且借款需要延迟还款，以前的我可以不追究！谢谢，麻烦请聚投诉监督。</t>
  </si>
  <si>
    <t>2019/10/09 18:11:17</t>
  </si>
  <si>
    <t>这个比说话矛盾在这给我恐吓我你们到底给不给解释，。</t>
  </si>
  <si>
    <t>2019/10/09 18:11:06</t>
  </si>
  <si>
    <t>信用管家蓝莓金服高利贷，借款2100元一个月需还款3000多元，远超国家法定利率，十天一期，每期还款将近1000元，现在已归还1950元，联系蓝莓金服客服协商剩余本金加合理利息还款无果，态度强硬，现向贵平台进行投诉协商，如果蓝莓金服依旧无法给出合理的解决意见，本人将向银监会举报，报案。</t>
  </si>
  <si>
    <t>2019/10/09 18:10:36</t>
  </si>
  <si>
    <t>1.拍拍贷冒充法院判决书2.未经本人许可，骚扰家人及通讯录好友，5.冒充律师传达虚假开庭信息，告知去派出所领取法院传票，经确认，派出所并无此事！打电话告知去外地开庭，经法院确认，并无此事！并告知是虚假电话！有录音！6.连续几天要求贷款人去外地开庭，并说了开庭时间和地点！贷款人告知对方，确认法院无此事！对方则传达假的法院判决书，并要求贷款人去外地领取！有录音！7.协商还款期间，本人已经要求不要再骚扰家人和朋友，拍拍贷公司并未停止骚扰！展开。</t>
  </si>
  <si>
    <t>2019/10/09 18:09:46</t>
  </si>
  <si>
    <t>交通银行信用卡的催款人员暴力催收，一天几十个电话，打到你手机都无法使用！真是绝逼！打电话给客服，他们公然包庇！真的是可笑！希望能好好整顿这种不良风气！。</t>
  </si>
  <si>
    <t>2019/10/09 18:09:05</t>
  </si>
  <si>
    <t>借款金额2000元，三个月还款额度高达3700元，远远超过国家法定利息！要求钱站归还超出利息，并修改利率！。</t>
  </si>
  <si>
    <t>投诉人 杨凯        投诉对象  小象优品隶属于无锡源石云科技有限公司        涉诉金额  8 900 元    问题类型    诉求类型投诉详情  高利贷害死人， 年华率35.9。 实际年华102.5 等额还款。我要提前还清 还不可以 我之前付的利息算了 我我要提前还了 后面利息不要还了。我现在要加破人亡了 你们这些高利贷平台。太害人了。你让我们怎么活啊 你们真要不得。希望有关部门查实清楚。我不管你多少利息。我现在提前还掉 后面利息不要我还了行吗。</t>
  </si>
  <si>
    <t>2019/10/09 18:08:39</t>
  </si>
  <si>
    <t>钱站催收人员软威胁，还恶意提供私人信息给不明瘪三，加我微信，不敢加，请给出明确合理说法，明明高利贷还想怎么暴力恐吓催收。</t>
  </si>
  <si>
    <t>2019/10/09 18:08:32</t>
  </si>
  <si>
    <t>本人之前在借贷宝借款，已经还进去32万了，现在出借人找不到，借贷宝催收打电话侮辱，恐吓，因为本人已经报案，也找好了律师，给借贷宝客服打电话，客服推脱说不是他们的客服，刚刚催收又打电话，我直接让警察接，那女催收还恐吓警察，借款七天，扣百分之三十砍头息，目无王法。</t>
  </si>
  <si>
    <t>2019/10/09 18:07:26</t>
  </si>
  <si>
    <t>各种电话骚扰，疯狂打亲友电话，语言恶劣、威胁，亲友生活环境收到严重影响。</t>
  </si>
  <si>
    <t>2019/10/09 18:05:54</t>
  </si>
  <si>
    <t>因个人原因导致无法偿还贷上钱公司的贷款，望贵公司能够协商，再协商期间，贵公司请勿进行催收等行为。</t>
  </si>
  <si>
    <t>2019/10/09 18:05:21</t>
  </si>
  <si>
    <t>本人手机停用了很久导致了逾期并不知道，今天父亲收到了分期乐公司的电话，告知我逾期的事项，并且将我的所有贷款事宜全部告知了家人，本人并没有不还款的意思，也联系了客服表示要和打我家人电话的催收人员沟通，但并没有得到任何的回复，钱我会处理，请拨打通讯录的催收人员联系我，善后并解释拨打我通讯录的问题。</t>
  </si>
  <si>
    <t>2019/10/09 18:05:04</t>
  </si>
  <si>
    <t>申请10000，需还款11403.96，实际收款8000，恶意砍头息，。</t>
  </si>
  <si>
    <t>投诉人 赵先生        投诉对象  随手记        涉诉金额  4 000 元    问题类型    诉求类型投诉详情  有录音 还没逾期 给我打电话 态度 强硬 说 我加班来处理你这个事情来了 你咋的 说我 你tm期期逾期有意思吗 我说你那个眼睛看见我逾期了 还期期逾期了 就说不还 就按我们的程序走了 爆通讯录 上门啥的 求给说法</t>
  </si>
  <si>
    <t>2019/10/09 18:04:20</t>
  </si>
  <si>
    <t>本人在小黑鲨借款3次，第一次到账2000元，第二次到账3500元，第三次也是到账3500元，每次分三期还款，第一期还款三分之二，第二次和第三次还款金额一致，本人共收到小黑鲨款项2000+3500+3500共9000元，本人已还款1118.86+678.86+678.86+1959.86+1189.86+1189.86+1959.86共计8775.3本人深陷套路贷，生病失去工作，已无力偿还高利贷，愿500元还清本金，并且给与285元利息。</t>
  </si>
  <si>
    <t>2019/10/09 18:04:00</t>
  </si>
  <si>
    <t>2019/10/09 18:03:32</t>
  </si>
  <si>
    <t>本人在嗨钱网借了一笔4000元的贷款，但实际到账只有3200，本人于嗨钱网第一期已经还了，第二期嗨钱网只扣了一部分钱，剩下钱没扣我自己主动还款app出问题也还不了，并且第一第二期一直显示逾期现在第三笔也是逾期，嗨钱网每个月上面显示有服务费用每个月还1630多需要，后平台出问题，不要服务费，只还本金个利息即可，本人实际到账金额3200，按收款方年利率24%也就是利息是192平均每个月还1110多按国家利率，但是嗨钱网之前还完依然显示逾期的没有处理，后也不承认他们收取了超过国家利率的利息，催收电话不断，那人侮辱</t>
  </si>
  <si>
    <t>2019/10/09 18:02:51</t>
  </si>
  <si>
    <t>本息三百多，律师费和别的就1100多！我说了多少还些利息他们不同意。</t>
  </si>
  <si>
    <t>2019/10/09 18:02:27</t>
  </si>
  <si>
    <t>投诉人邵先生投诉对象广州银联网络支付,中国银联涉诉金额1200元问题类型诉求类型投诉详情1200块钱都是这零碎扣了这钱放银行卡如何让人放心。</t>
  </si>
  <si>
    <t>2019/10/09 18:02:05</t>
  </si>
  <si>
    <t>投诉人陈先生投诉对象钱站,钱站涉诉金额2000元问题类型诉求类型投诉详情我父母没有得罪你们钱站吧，这样做是不是有点过分了，你们有什么不爽的地方可以找我来，什么方式都行，能动手的话就尽量别bb。</t>
  </si>
  <si>
    <t>2019/10/09 18:01:06</t>
  </si>
  <si>
    <t>09月29日，由G320|长源果业西侧-上车点去往开化县|华埠汽车站的订单有线下交易行为，平台将依规定收取该订单预估金额2倍的信用违约金，共计314.08元，且暂停您在交通枢纽的服务15天，不能私下交易，乘客直接取消订单，然后我就走了回家了。</t>
  </si>
  <si>
    <t>2019/10/09 18:00:50</t>
  </si>
  <si>
    <t>投诉人 杨先生        投诉对象  安逸花（跃吉科技）        涉诉金额  7 600 元    问题类型    诉求类型投诉详情  安逸花app利息实在太高了 接受不了 希望赔偿之前所付利息</t>
  </si>
  <si>
    <t>2019/10/09 18:00:09</t>
  </si>
  <si>
    <t>砍头息骚扰电话通讯录联名举报小赢卡贷的骚扰。</t>
  </si>
  <si>
    <t>2019/10/09 17:59:03</t>
  </si>
  <si>
    <t>逾期一天要一百五十几，这是有多黑的平台，而且叫我延期也把延期费给我加进去，怎么不去抢银行呀，一点协商都不肯。</t>
  </si>
  <si>
    <t>2019/10/09 17:58:52</t>
  </si>
  <si>
    <t>本人实名举报信而富公司涉嫌套路贷，违规经营放贷业务，变相收取砍头息，每次借款前必须先购物，非常廉价的东西卖高价，云南信托公司也是其帮凶，还款期间，多次被业务员电话辱骂、侮辱，有录音和截图为证，并且多次打客服未果，对我现在造成的恶劣影响已经无法挽回，单位、亲戚朋友已经颜面尽失，在能联系到我的情况下，挨个拨打我的通讯录故意夸大其词诋毁我，可恶至极，国家扫黑除恶之际，如果信而富公司不在法外之地，希望一、立刻退还我的砍头息数笔，我把收到廉价的东西退给你们，二、两年来我个人付的利息已经远远高于本金，要求给我销账并且注</t>
  </si>
  <si>
    <t>投诉人 杨凯        投诉对象  你我贷-上海你我贷互联网金融信息服务有限        涉诉金额  8 500 元    问题类型    诉求类型投诉详情  高利贷害死人啊 我家里一家人被这些所有高利贷逼的没办法。利息以为9%，最后35.9% 太高了 实际102.5%。真的太高了 以前付了利息算了 我想办法提前全部还了 利息不要还了吧 我不要害我们了啊 要死人了你们， 有关部门一定要为我们做主 还我们公道。感激不尽</t>
  </si>
  <si>
    <t>2019/10/09 17:58:47</t>
  </si>
  <si>
    <t>拍拍贷，在能联系到我本人情况下恶意爆我通讯录，未经本人同意使用我第三方信息！欠款逾期980多，总欠款2800多，散布谣言说我欠他们一万多，使我名誉受到伤害！谁没遇到难处的时候，欠款我认，逾期是我自己的责任，没有失联，没有不接电话，凭什么散布谣言，爆我通讯录，家里老人80多岁，心脏不好高血压，气病了，你们承担吗，我在工作，也在想办法，你们骚扰我无法工作，骚扰我的家人名誉受损！谁还会借钱给我，杀人不过偿命，欠债还钱天经地义，我没有不还的意思，只是暂时难处！我要求立即停止骚扰我的家人和朋友！挽回名誉！道歉！。</t>
  </si>
  <si>
    <t>2019/10/09 17:58:31</t>
  </si>
  <si>
    <t>投诉人 徐先生        投诉对象  浙江农信        涉诉金额  2 400 元    问题类型    诉求类型投诉详情  账户有一万多只给转9000多 余下2400不让转</t>
  </si>
  <si>
    <t>2019/10/09 17:58:09</t>
  </si>
  <si>
    <t>投诉人 胡先生        投诉对象  快闪卡贷        涉诉金额  2 562 元    问题类型    诉求类型投诉详情  快闪卡贷在8月份的时候有逾期 后来还上了 今天查征信不信显示还是未还 8月份还暴力催收 态度极其恶劣 现在要求给我征信修复好 要求道歉</t>
  </si>
  <si>
    <t>2019/10/09 17:57:56</t>
  </si>
  <si>
    <t>投诉人徐女士投诉对象名校贷,白领金库涉诉金额27554元问题类型诉求类型投诉详情我于2019年07月18日在名校贷公益，APP所出示的借款合同及协议显示月利率为0.99%，每月应还2663.85元，但当借款下发到账户之后，才发现，我第一、第二个月每月需还借款5899.07元，剩下10个月每月需还借款2899.07元，共计40788.84元，远远超过了国家法律规定的借贷利率，目前我已还清前两个月的借款，但仍需向名校贷，就算现在一次性结清借款，仍然需要我归还27554.3元，其中还包含1826.92元提前还款补</t>
  </si>
  <si>
    <t>2019/10/09 17:57:46</t>
  </si>
  <si>
    <t>本人于8月下载了好分期借款APP，借款2000元分9期一共需要还2511，当月提前还款2511元，借2000元还2500属于高利贷了，而且还是提前还款都不给少，还了之后就被套路了，不能用了。</t>
  </si>
  <si>
    <t>2019/10/09 17:57:45</t>
  </si>
  <si>
    <t>交易猫购买明日之后账号，买家原因，取消交易，交易失败，不退款，退款失败了。</t>
  </si>
  <si>
    <t>2019/10/09 17:57:15</t>
  </si>
  <si>
    <t>投诉人 赵先生        投诉对象  钱站        涉诉金额  3 000 元    问题类型    诉求类型投诉详情  钱站3000 三个月让我还4500 我还了俩个月 以把本金加国家法定利息 还清 剩下一期 现在没钱还 也不想还了 他们高利贷 阴阳合同 3000本金 合同上4200 还恐吓我</t>
  </si>
  <si>
    <t>2019/10/09 17:57:14</t>
  </si>
  <si>
    <t>16:50:19这个时候账号被卖出的，结果17:51:34卖家就发起了仲裁，理由是他说账号会被官方删除，但是我列举了所有的证据证明是不会被删除的，期初交易猫仲裁承诺7个工作日处理，一切的噩梦从这里开始，经过了一个月都没有人处理，接着就是每天向客服反馈的艰辛道路，连续反馈了两个月，直接拖到了2019-10-09，4.我的账号2017年就在使用了是个人账号了，5.我已经问过游戏方在线客服和邮件客服，我的官测号不会被注销，也没办法向正式服转移。</t>
  </si>
  <si>
    <t>2019/10/09 17:57:10</t>
  </si>
  <si>
    <t>造艺科技,豹子贷,上海造艺公司旗下豹子贷,造艺科技，银行卡在不知情的情况下被恶意扣款299元，2019-09-27，上海造艺联系了我，说退款，到现在2019-10-9。</t>
  </si>
  <si>
    <t>2019/10/09 17:56:58</t>
  </si>
  <si>
    <t>本人2017年11月9号，通过爱又米借款3750元，如今已还款本金＋利息总计3853元，居然还有剩余2345元账单，总结一下:借款3750，他们共收取2281的服务费＋资金管理费。</t>
  </si>
  <si>
    <t>2019/10/09 17:56:35</t>
  </si>
  <si>
    <t>位于东莞市莞城街道旗峰路万科中心2栋东莞轻奢维体健身会所，本人于7月6日份缴保证金1580元作为保证金加入会员，办理一年有效期健身卡，8月20号该健身房以修电闸为由停业2天，其中未发布任何公告，于8月28日宣布破产，会员无法，只得举报公安，晚上在公安公证下老板徐毅保证退还会员损失钱款，然8月29日早晨变卦拒绝退还我们损失钱款，宣称继续营业，营业至9月中旬又开始无故关门停业，负责人联系不上，第二次无故停业至今已1月有余；该健身房自6月到8月骗取一百多人充值健身房卡，吸纳资金10万元以上，，其中该健身房还拖欠员</t>
  </si>
  <si>
    <t>2019/10/09 17:55:02</t>
  </si>
  <si>
    <t>投诉人 黄先生        投诉对象  贷上钱        涉诉金额  7 000 元    问题类型    诉求类型投诉详情  暴力催收，骚扰电话本联系人。砍头息。本人无力还款。</t>
  </si>
  <si>
    <t>2019/10/09 17:54:17</t>
  </si>
  <si>
    <t>本人因资金周转不过来，便在聚福钱包里面申请贷款，结果被扣取299评估费用，上面表示聚福钱包推荐的平台没有借款成功就会退款，现在聚福钱包不予退款，打客服电话各种拖拉推诿扯皮。</t>
  </si>
  <si>
    <t>2019/10/09 17:53:33</t>
  </si>
  <si>
    <t>投诉人吴先生投诉对象信用星球,信用飞涉诉金额1000元问题类型诉求类型投诉详情2019年8月5日在上海晓途网络科技有限公司，产品信用星球，借款1000元，被强制收取258元砍头息，以保险费和其他理由，在借款后，强制收取258元砍头息，2，晓途科技是否有金融放贷资质上不可知，是否是违法经营。</t>
  </si>
  <si>
    <t>2019/10/09 17:53:01</t>
  </si>
  <si>
    <t>8月份你们同意减免，让我一次性还清7000不到，后期的1700减免掉，不用在还，打电话给你客服，客服说不知道这个事情，让我和原催收的人员联系，都过了一个多月，我去那里联系，你们既然不知道这个事情，那我想问，催收的是怎么拿到的这个减免函的，没钱还的时候，你们逼我到处借了还，辱骂家人，恐吓家人，你们手段无所不用，还了以后你们连最起码的账都不销一下，请问你们是黑社会开的公司吗，现在我把这些所有还款记录，发到这里，让所有看看，你们到底是什么样的垃圾公司。</t>
  </si>
  <si>
    <t>2019/10/09 17:52:51</t>
  </si>
  <si>
    <t>2019年10月9日中午11:20分，接到一个自称米条联盟推广的号码，称可以在公众号，为我放一笔借款，因本人确实需要资金周转，就同意了，给了我一个客服QQ，客服核实了资料后，把我推给了财务QQ，财务让我在公众号，写了一张借条，链接交由他确认完成，但款项并未通过任何方式转赠与我，QQ还把我拉入黑名单，去咨询客服QQ态度恶劣，还谩骂与我，留的客服联系方式，搜索空号状态，钱没有到我账上，借条申请销毁，对方不同意，说3天到期不还就启用催收手段，，希望:南京白秋网络科技有限公司跟旗下所属公众号:，立即调查，停止对本人</t>
  </si>
  <si>
    <t>2019/10/09 17:52:44</t>
  </si>
  <si>
    <t>2019年10月5日在交易猫手游平台以730元购买了一拳超人游戏账号，次日卖家恶意申诉找回，在交易猫申请仲裁，提供了与一拳超人掌趣客服的聊天记录截图，交易猫仲裁客服一直认为聊天截图无法证实帐号是被申诉找回的，本人于10月9日报警于警务人员联系掌趣客服要求客服提供账号被找回记录，掌趣客服以玩家隐私为由拒不提供相关资料！两个平台公司注册电话无法接通，也没有专门的售后客服人员！导致买家经济损失无法追回！现对交易猫，掌趣两家投诉！无良平台无良客服，助长骗子的气焰！望贵平台能够帮助买家找回一个合理公正的处理方式！。</t>
  </si>
  <si>
    <t>2019/10/09 17:52:40</t>
  </si>
  <si>
    <t>在猎趣提现了，两三个月还没有到帐，客服电话打不通，客服没有理。</t>
  </si>
  <si>
    <t>2019/10/09 17:52:39</t>
  </si>
  <si>
    <t>该公司在2019年10月1日14点27分突然无故扣费我银行卡里的金额299元，并且是在本人并不知情的情况下，利用百事普惠app盗取本人信息，以及银行卡免密支付的盗刷金额，造成本人经济损失，希望贵公司马上处理并退还资金，页面只显示可以进行贷款引导我绑定银行卡后自动扣除299元，我联系客服后，客服要求我必须在他们推荐的六家贷款平台都借款失败，并出具失败的证明才能退款，我的个人信用报告只有央行中国人民银行有权利查询，造艺科技出具的信用报告，我是否可以理解为严重的个人信息侵犯。</t>
  </si>
  <si>
    <t>2019/10/09 17:52:21</t>
  </si>
  <si>
    <t>投诉人 王先生        投诉对象  易小借        涉诉金额  150 元    问题类型    诉求类型投诉详情  无缘无故的就被扣款 。真纳闷。希望帮帮忙。</t>
  </si>
  <si>
    <t>2019/10/09 17:52:18</t>
  </si>
  <si>
    <t>投诉人 杨先生        投诉对象  分期乐        涉诉金额  18 000 元    问题类型    诉求类型投诉详情  利息很高 希望给予修改并赔付 谢谢谢谢谢</t>
  </si>
  <si>
    <t>2019/10/09 17:52:10</t>
  </si>
  <si>
    <t>融360里面的爱分期又名好易借，砍头息，高利息，借款8000，合同说分12期还款，到账7280，前三期已还款8551，之后每期178，还不能自动扣款需要自己主动还款，还剩3期每期178未还，逾期100多天利息每期已经到2578，现还群发短信催收。</t>
  </si>
  <si>
    <t>2019/10/09 17:52:05</t>
  </si>
  <si>
    <t>依据合同规定，该公司应与9月份缴纳房租，但该公司至今仍未缴纳，联系人不接电话，公司电话无人接听处于跑路状态。</t>
  </si>
  <si>
    <t>2019/10/09 17:51:47</t>
  </si>
  <si>
    <t>位于东莞市莞城街道旗峰路万科中心2栋东莞轻奢维体健身会所，本人于7月4日份缴保证金1580元作为保证金加入会员，办理一年有效期健身卡，8月20号该健身房以修电闸为由停业2天，其中未发布任何公告，于8月28日宣布破产，会员无法，只得举报公安，晚上在公安公证下老板徐毅保证退还会员损失钱款，然8月29日早晨变卦拒绝退还我们损失钱款，宣称继续营业，营业至9月中旬又开始无故关门停业，负责人联系不上，第二次无故停业至今已1月有余；该健身房自6月到8月骗取一百多人充值健身房卡，吸纳资金10万元以上，，其中该健身房还拖欠员</t>
  </si>
  <si>
    <t>2019/10/09 17:51:44</t>
  </si>
  <si>
    <t>东莞轻奢维体健身房，2019.7月26开的卡，8月29号以水电原因关门，后面销售发信息给会员说老板拖欠员工工资，会员去到老板住处，保证承诺不会关门，现于9月19号晚上突然再次关门停止营业，无任何通知会员什么情况，更无法联系会员，，老师徐毅更是不回信息，电话一直不接，微信也不回，涉案会员金额大概20万，现请求维权。</t>
  </si>
  <si>
    <t>2019/10/09 17:51:41</t>
  </si>
  <si>
    <t>本人当时正上大学，在小树时代循环借款，且必须学生才能借款，陷入校园贷套路中，现搜集资料已投诉，诉求：全额退款利息，砍头息目前已搜集资料，望聚投诉转达，望相关平台妥善解决。</t>
  </si>
  <si>
    <t>2019/10/09 17:51:34</t>
  </si>
  <si>
    <t>因一笔一万5借款金额资金问题不能及时还款，上午10点借贷宝平台催收来电，告知必须下午2点前进行还款，协商晚两天还款不同意，无果后挂电，下午17点30就被借贷宝平台催收人员打电话威胁恐吓，说把我抓进警察局！！有人生没人养！是不是穷的还不起了！！等诸多难以入耳威胁用语，现投诉！！要求道歉并且对该平台作出处罚！此平台涉黑涉暴。</t>
  </si>
  <si>
    <t>2019/10/09 17:51:32</t>
  </si>
  <si>
    <t>章鱼TV直播,厦门章鱼互动网络科技有限公司，章鱼直播不让提现，明明很多方式提现，各种设置门坎，说微信封了。</t>
  </si>
  <si>
    <t>2019/10/09 17:51:18</t>
  </si>
  <si>
    <t>左右钱包借款2200，下款1400还2200多，与其协商还款，其客服态度极其恶劣，现已立案，同时希望汇潮支付关闭其渠道，不然我将采取法律途径。</t>
  </si>
  <si>
    <t>2019/10/09 17:51:12</t>
  </si>
  <si>
    <t>滴滴出行app实名认证后，使用永久注销功能，但不能清除实名认证与产品功能不符，投诉客服后一直拖延不处理，要求滴滴出行马上处理，停止侵犯用户信息权和隐私权的行为。</t>
  </si>
  <si>
    <t>2019/10/09 17:50:52</t>
  </si>
  <si>
    <t>因为本人给朋友从银行担保30万，朋友因病逝世，我一直在为朋友还款，经济出现问题，此信用卡又从9000额度降低至2000才出现还款问题，跟银行协商态度强硬必须全款，邻居告知，2019，嘴里并骂脏话，并张贴了假律师函，本人高血糖血压，如果我在家的不得被吓昏过去，法律明文规定讨债不得三人以上含三人，这种行为对我的生活，及隐私造成了很大的影响伤害，本人一直持协商态度还款，愿意分15期来处理款项，另外每天骚扰电话不下30个，移动公司有绿盾系统。</t>
  </si>
  <si>
    <t>2019/10/09 17:50:46</t>
  </si>
  <si>
    <t>齐鲁交通您好，您的车辆鲁B358QN，因客户证件过期或信息错误，根据监管规定中止业务，请更新证件信息导致扣费失败，请您至工商银行网点更新您的身份证证件信息，否则您将会被高速限制通行，如对您造成不便，深感抱歉，证件没有问题去银行问没有问题，真不知道问题出在哪里快解决。</t>
  </si>
  <si>
    <t>2019/10/09 17:50:32</t>
  </si>
  <si>
    <t>投诉人 张先生        投诉对象  智享贷        涉诉金额  0 元    问题类型    诉求类型投诉详情  借2400一个月到手2100 还不算利息 利息还要72 逾</t>
  </si>
  <si>
    <t>2019/10/09 17:50:28</t>
  </si>
  <si>
    <t>朋友前几天在聚富分期app上注册账号打算在他们平台贷款的，就填写了些资料，填写资料时也没看到需要评估报告费用，没想到直接扣了299元！造艺科技提供违规支付通道，你们这是属于违法犯罪，联系客服都是一套一套的，说什么过14天才能退款，而且还需要注册你们推荐的几个借款app失败后才能退款！百般推脱，混淆概念。</t>
  </si>
  <si>
    <t>汇潮支付有限公司</t>
  </si>
  <si>
    <t>2019/10/09 17:49:45</t>
  </si>
  <si>
    <t>2019/10/09 17:49:34</t>
  </si>
  <si>
    <t>我都把还款证明，app上结清证明发给工作人员了，问他什么公司的，一直没答复，还一直在骚扰。</t>
  </si>
  <si>
    <t>2019/10/09 17:49:31</t>
  </si>
  <si>
    <t>乱发广告，乱打电话！借过贵公司的高利贷都还清了，还骚扰没完没了是吧。</t>
  </si>
  <si>
    <t>2019/10/09 17:49:20</t>
  </si>
  <si>
    <t>日子都过不下去了希望贵公司能够协商还款不要再催了免除利息手续费让我能活下去。</t>
  </si>
  <si>
    <t>2019/10/09 17:49:10</t>
  </si>
  <si>
    <t>于去年借款爱又米的欠款，由于经济能力属实跟不上，协商还款时，爱又米法务采取恐吓，侮辱，威胁我家人，骚扰通讯录等各种过分的方式来暴力催还，严重影响我正常生活，虽然欠款已还清，但对我的影响非常大，希望平台能给我一个合理的解释。</t>
  </si>
  <si>
    <t>2019/10/09 17:48:47</t>
  </si>
  <si>
    <t>投诉人 石先生        投诉对象  平安普惠        涉诉金额  11 500 元    问题类型    诉求类型投诉详情  管理费 服务费 比利息都高 还了快2万了 现在还款金额显示8000多 还需要还3000多 剩下的钱 我是不会还了</t>
  </si>
  <si>
    <t>2019/10/09 17:48:44</t>
  </si>
  <si>
    <t>投诉人王先生投诉对象小浦优客涉诉金额296元问题类型诉求类型投诉详情小浦优客气app申请贷款，先填写要资料后，要求绑定银行卡，绑定之后需要扣钱，因为银行卡没有钱，所以退出后就删掉了小浦优客贷款的app，几天后就是10月9号15：31分扣款296元，涉嫌违规欺诈，要求全额退款道歉。</t>
  </si>
  <si>
    <t>2019/10/09 17:48:33</t>
  </si>
  <si>
    <t>物流信息显示10月3号到货，6号了还不派送导致里面鸡蛋变质了，投诉了才送，都坏了。</t>
  </si>
  <si>
    <t>2019/10/09 17:48:28</t>
  </si>
  <si>
    <t>健身房至今未开业，我们办卡没多久就说倒闭了。</t>
  </si>
  <si>
    <t>2019/10/09 17:48:22</t>
  </si>
  <si>
    <t>1，在不告知的情况下将我名下的车辆开走，车里的东西至今下落不明2，合同上写的金额是97000元，到账金额为87196.8元，一万的砍头息3，将我的车开走后，不是出售，而是私自使用，本人多次收到交通平台发来违章信息4，本人长时间多次与神州车闪贷客户联系沟通解决问题，可全都无回复无果5，本人想将车辆自己卖掉，人都找好了，可神州拒不配合，即不告知车在哪，也不配合解压过户，就将问题一直拖着，拒不处理。</t>
  </si>
  <si>
    <t>2019/10/09 17:48:04</t>
  </si>
  <si>
    <t>投诉人 廖彬吉        投诉对象  微信支付        涉诉金额  2 358 元    问题类型    诉求类型投诉详情  别人怎么投诉微信怎么处理 ，那我们才是最大的受害人 ，因为限制不处理 ，收入损失多少 ？现在很大的是影响了我的生活开支 ，微信不给个说法 ，直接拒绝 。报警也没用 ，</t>
  </si>
  <si>
    <t>2019/10/09 17:47:41</t>
  </si>
  <si>
    <t>本金7000除以1816超过国家规定36%，什么保险费都是幌子！！！打电话骚扰人，纯粹的高利贷。</t>
  </si>
  <si>
    <t>2019/10/09 17:47:30</t>
  </si>
  <si>
    <t>名校贷以所谓的咨询费扣掉了百分之20的借款额，现在已还请借款，名校贷不退还这笔费用，望有关部门打击刻借款平台，别让他们害了更多人！。</t>
  </si>
  <si>
    <t>2019/10/09 17:46:41</t>
  </si>
  <si>
    <t>而且催收人员打电话骚扰通讯录里的人，在电话里面说一些很难听的话，并且还拿我小孩说事，还威胁要上门找父母，找朋友进行拜访，如此恶劣的行为难道就是平安银行应有的催收态度吗。</t>
  </si>
  <si>
    <t>2019/10/09 17:46:36</t>
  </si>
  <si>
    <t>9月20日莫名扣了696元，不知道什么原因扣的，也联系不上客服，电话。</t>
  </si>
  <si>
    <t>2019/10/09 17:46:22</t>
  </si>
  <si>
    <t>本人2018年3月在百万钱包借款12000元，已经还了8期，提前结清竟然不允许，还是要收剩余手续费，简直就是霸王条款，高利贷，违背国家规定，客服态度恶劣。</t>
  </si>
  <si>
    <t>2019/10/09 17:46:19</t>
  </si>
  <si>
    <t>2019/10/09 17:46:10</t>
  </si>
  <si>
    <t>投诉人 胡女士        投诉对象  美团金融        涉诉金额  9 000 元    问题类型    诉求类型投诉详情  美团金融 暴力催收 恶意骚扰 今天在高速上开车去外地 中午接到电话说了这两天处理 美团的催收还是不停的打电话 用类似呼死你软件恶意骚扰 一个小时打了70个电话 害我高速上数次差点车祸 如果出了车祸 你们负不负责</t>
  </si>
  <si>
    <t>2019/10/09 17:46:03</t>
  </si>
  <si>
    <t>直播间误导消费者，只说加工产品不退换，但是做的尺寸不是常规尺寸却不给客户提前说明，申请退款只给退1500，要求赔偿确没诚意！。</t>
  </si>
  <si>
    <t>2019/10/09 17:45:43</t>
  </si>
  <si>
    <t>爆我电话通讯录，骚扰和我不相关的亲戚朋友家人。</t>
  </si>
  <si>
    <t>2019/10/09 17:45:22</t>
  </si>
  <si>
    <t>招联暴力催收，打电话来直接让我加微信共享位置，让我出门注意人家安全，还说现在不是还不还钱的问题，我就要整你，让我求着他还钱，更直接让我去投诉，骚扰我亲戚朋友，请问此等公司真的是没人管吗。</t>
  </si>
  <si>
    <t>2019/10/09 17:44:58</t>
  </si>
  <si>
    <t>今天手机刚开机就收到其客服或者其催收威胁电话。</t>
  </si>
  <si>
    <t>2019/10/09 17:44:48</t>
  </si>
  <si>
    <t>我多次申请协商还款对方就是不协商每天都是催收部门10多个电话严重影响了我的工作本来就日子艰难。</t>
  </si>
  <si>
    <t>2019/10/09 17:44:10</t>
  </si>
  <si>
    <t>这期逾期8天打我通讯录受不了压力才还得款，如果下次再暴力催收一分钱都不会还。</t>
  </si>
  <si>
    <t>2019/10/09 17:43:36</t>
  </si>
  <si>
    <t>本人在2017年5月向成都宜人贷营业部借款4.5万，实际到账金额4.5万，但宜人贷让我签了一个合同金额为63200的合同，竟然一次性收取了18200元的所谓的信息咨询服务费，总共36期我需要还75699.40元，已经大大超出国家规定的相关利息，目前我已还28期，还款金额58775.92，要求宜人贷减免不合理利息结清，并提供结清证明。</t>
  </si>
  <si>
    <t>2019/10/09 17:43:16</t>
  </si>
  <si>
    <t>威胁恐吓，群发通讯录，侮辱家里人，协商无果。</t>
  </si>
  <si>
    <t>2019/10/09 17:42:57</t>
  </si>
  <si>
    <t>本人借款1700元，实际到账1225多，已还款867元，现想协商500元还清，期间多次想联系平台，未能取得联系！！今天催收给我打电话，态度较差，根本不想处理解决！！本人希望通过聚投诉，协商还款本金加合理的费用解决！。</t>
  </si>
  <si>
    <t>2019/10/09 17:42:52</t>
  </si>
  <si>
    <t>本人在融360薪e贷借款多次扣除高额砍头息，现在要求归还扣款记录在图片上。</t>
  </si>
  <si>
    <t>2019/10/09 17:42:49</t>
  </si>
  <si>
    <t>拼多多自营品牌的旗舰店公司团队化运营主要销售腾讯游戏的外设产品，微信登录账户进行使用的，服务过程中买家会说的腾讯QQ，微信登录等相关字眼，由于了解平台规则客服基本都会规避类似敏感词出现，但是后台还是收到了《诱导非官方交易违规通知》的站内信，查看聊天记录后发现是一个玩家进行售后的时候要求客服赠送一个可以看电影的APP我们发了下载二维码，之前半年的服务过程中经常有遇到买家说自己手机系统导致游戏不好下载让发送游戏下载二维码的信息，类似问题我们在之前多次咨询过拼多多客服说的是尽量不要出现平台限制的违禁词等情况，但是</t>
  </si>
  <si>
    <t>2019/10/09 17:42:45</t>
  </si>
  <si>
    <t>我找客服是解决问题的不是敷衍我的，客服的服务态度引起我的严重不满意。</t>
  </si>
  <si>
    <t>10月8日下午，突然接到一个山西座机号码自称合肥拍拍贷的，问我认不认识一个叫张什么委的人，我说不认识，然后她各种纠缠，我就撂了电话，结果10月9日下午又用浙江的手机号给我打电话，让我给张什么委发短信催款，我说我不认识，她还继续纠缠让我发短信，然后我就撂了。</t>
  </si>
  <si>
    <t>2019/10/09 17:42:42</t>
  </si>
  <si>
    <t>投诉人 杨许虎先生        投诉对象  平安普惠        涉诉金额  6 000 元    问题类型    诉求类型投诉详情  我只希望能多给我几点 我一时半会凑不到那么多钱</t>
  </si>
  <si>
    <t>2019/10/09 17:42:35</t>
  </si>
  <si>
    <t>钱橙无忧贷款app在我不知情的情况下恶意从我银行卡里扣去所谓的vip服务费84元，我确定我没有点击任何购买服务，并且我手机没有接到任何该app的推送消息，我只是下载了app，填写了资料手机号，银行卡号等，没有额度我就退出了，app也删除了，我要求钱橙无忧贷款app删除我的资料，退回扣我的款项。</t>
  </si>
  <si>
    <t>2019/10/09 17:42:27</t>
  </si>
  <si>
    <t>本人在酷花花平台借款1000元，实际到账750元，平台要求7天一期还款250，总共要还1000元，利息为，我希望该平台与我协商将多出的利息退还给我，并消除高额利息的账单。</t>
  </si>
  <si>
    <t>2019/10/09 17:42:11</t>
  </si>
  <si>
    <t>我逾期我的不对！希望退还权益卡尝还债务！我在同程旅游提钱游中借款，借款中以我的信用评分不足为由让我购买79-199元不等的权益卡，明确违反国家的相关法律法规，年化利率高达百分之几百，实属高利贷中的高利贷！！后我联系客服要求对未激活的权益卡退款，客服讲只要发货就不得退还！，同程金服曾在新闻发布会上公开称未激活权益卡可退款。</t>
  </si>
  <si>
    <t>2019/10/09 17:42:10</t>
  </si>
  <si>
    <t>投诉人 李晓敏女士        投诉对象  分期通        涉诉金额  249 元    问题类型    诉求类型投诉详情  误导人家充值会员又偏各种理由不给退款 打电话提到相关退款问题都马虎应对 客服也是一样</t>
  </si>
  <si>
    <t>2019/10/09 17:42:00</t>
  </si>
  <si>
    <t>本人在现金巴士借款1000，，分三个月还，还了一期，现在第二期已经逾期5天，本来想和催收人员协商在明天之内还进来，不同意，只给到早上9点半。</t>
  </si>
  <si>
    <t>2019/10/09 17:41:56</t>
  </si>
  <si>
    <t>已经表明会归还，却依旧群发短信给通讯录好友。</t>
  </si>
  <si>
    <t>2019/10/09 17:41:54</t>
  </si>
  <si>
    <t>小浦优客在我不知情的情况下扣我296元，客服电话打不通，我现在什么情况都不知道！是给我发的短信通知！真的太不讲道理了！。</t>
  </si>
  <si>
    <t>2019/10/09 17:41:24</t>
  </si>
  <si>
    <t>投诉人 赖先生        投诉对象  现金巴士        涉诉金额  1 000 元    问题类型    诉求类型投诉详情  现金巴士借款1000块分期三个月。到账880。已经还款两期。高额逾期费用。催收恐吓威胁</t>
  </si>
  <si>
    <t>2019/10/09 17:40:20</t>
  </si>
  <si>
    <t>广州合力宝支付科技有限公司为714高炮有钱花花提供渠道，严重违法，如不处理我会向中国互联网金融，12337，12315等部门继续投诉。</t>
  </si>
  <si>
    <t>2019/10/09 17:39:59</t>
  </si>
  <si>
    <t>本人手机号码上月办理的，来分期经常打我电话骚扰问认识谁谁，欠他钱没还，我压根就不认识欠钱人，请停止骚扰……。</t>
  </si>
  <si>
    <t>2019/10/09 17:39:10</t>
  </si>
  <si>
    <t>投诉人 李先生        投诉对象  小赢卡贷        涉诉金额  15 457 元    问题类型    诉求类型投诉详情  利息太高，现在要提前还清欠款，减少利息！</t>
  </si>
  <si>
    <t>2019/10/09 17:38:53</t>
  </si>
  <si>
    <t>昨天下午打齐鲁交通客服电话4007907979反应ETC办理问题，齐鲁交通客服让我第二天上午八九点再打电话咨询解决，第二天上午打电话又告知我下午四五点再打电话咨询解决，下午打电话齐鲁交通客服又推翻了之前两次说法，告知我他们没法解决，后来又说让我等下帮我查查，然后电话就把电话挂断了，现在打电话已经打不通，无人接听或者直接挂断。</t>
  </si>
  <si>
    <t>2019/10/09 17:38:20</t>
  </si>
  <si>
    <t>贷款我说玩两天发工资还款，一个劲打电话我威胁我。</t>
  </si>
  <si>
    <t>2019/10/09 17:38:18</t>
  </si>
  <si>
    <t>2019/10/09 17:38:14</t>
  </si>
  <si>
    <t>希望退回给我超出国家标准的利息部分，希望平台通过。</t>
  </si>
  <si>
    <t>2019/10/09 17:37:48</t>
  </si>
  <si>
    <t>投诉人 杨女士        投诉对象  迪士尼,香港迪士尼        涉诉金额  1 090 元    问题类型    诉求类型投诉详情  霸王条款 只能买不能退 希望能解决一下？</t>
  </si>
  <si>
    <t>2019/10/09 17:35:59</t>
  </si>
  <si>
    <t>我父亲上月11号去世，我在家里呆了两个月没工作，还不上，一直电话骚扰，而且恐吓我家人。</t>
  </si>
  <si>
    <t>2019/10/09 17:35:58</t>
  </si>
  <si>
    <t>投诉人陈坚投诉对象南京市供电局,支付宝涉诉金额193元问题类型诉求类型投诉详情1.上半年在南京租住房时，签约了支付宝在线代扣电费业务，之后没有取消，10月9日凌晨又发生了一笔扣款，先需要回退该笔扣款操作2.支付宝侧强调，水电费缴纳服务不支持业务回退，这样的在线业务不提供回退十分不合理3.供电局一侧，强调需要我个人与被缴纳的户主协商，他们不参与处理，这是明显的推卸责任钱是南京供电局从我通过支付宝从我的账上扣除的，供电局作为收款方，居然说不参与处理，真是滑天下之大稽；堂堂一个世界五百强企业，提供的缴费代扣服务居</t>
  </si>
  <si>
    <t>2019/10/09 17:35:44</t>
  </si>
  <si>
    <t>欠款人不是我，干嘛欺负我的单位及同事，再说欠款又不是不还，一直在还一有就还只是多少的问题，又不是一分不动，暴力催收损坏别人名誉，侵权，要不停止催收我会报警并且起诉。</t>
  </si>
  <si>
    <t>2019/10/09 17:35:43</t>
  </si>
  <si>
    <t>不知道是什么公司，暴利催收，也不敢说是什么贷款。</t>
  </si>
  <si>
    <t>2019/10/09 17:35:41</t>
  </si>
  <si>
    <t>大概20分钟前本人从沿海赛洛城太康医院门口扫码一辆哈啰单车骑行至吴家山望丰村，落锁后显示费用11元。</t>
  </si>
  <si>
    <t>2019/10/09 17:35:37</t>
  </si>
  <si>
    <t>2019/10/09 17:35:12</t>
  </si>
  <si>
    <t>借了3700分六个月还，要接近1000利息服务费，逾期更是利滚利的翻。</t>
  </si>
  <si>
    <t>2019/10/09 17:35:10</t>
  </si>
  <si>
    <t>2019/10/09 17:34:56</t>
  </si>
  <si>
    <t>投诉人黄先生投诉对象浦发信用卡涉诉金额15000元问题类型诉求类型投诉详情最近发生了一些事情，导致现在没有能力一次性还完。</t>
  </si>
  <si>
    <t>2019/10/09 17:34:27</t>
  </si>
  <si>
    <t>升学教育花重金在百度投广告说自己是全国上市机构，诱导消费，虚假宣传。</t>
  </si>
  <si>
    <t>2019/10/09 17:34:26</t>
  </si>
  <si>
    <t>投诉人 王强民        投诉对象  360借条        涉诉金额  100 000 元    问题类型    诉求类型投诉详情  为什么钱没拿。有账单。还要我还钱。算利息。跟客服说取消说不能取消。就是要还</t>
  </si>
  <si>
    <t>2019/10/09 17:33:42</t>
  </si>
  <si>
    <t>本人于2019年二月宜人贷上借款78000元，还了半年多了，想一次性结清，APP提示还要还八万多，我看了下合同显示借款时合同金额是九万多，一共要还十四万多，提前还款还要违约金！！！。</t>
  </si>
  <si>
    <t>2019/10/09 17:33:25</t>
  </si>
  <si>
    <t>app现在无法打开，下载链接已经失效，造成无法还款。</t>
  </si>
  <si>
    <t>2019/10/09 17:33:23</t>
  </si>
  <si>
    <t>投诉人刘女士投诉对象拼多多涉诉金额0元问题类型诉求类型投诉详情本人在9月25日购买拼多多购物平台的月卡服务时，商品宣传说用户每个月有大额券可以领取，说明了领取要求，购买之后，进入大额券的领取界面，才发现每天分享三位好友之后，只是取得了大额券的抢购资格，每日100张，晚上8点开奖，获得概率微乎其微，这一系列宣传，用户在没有买月卡之前，完全不知道月卡宣传的所谓的福利里面，大额券的“获取频率”，相当于外面卖彩票的敢说花2元就能得500万吗，事实上只是花2元买到了获得大奖的可能概率，！我在发现这个问题后，与客服沟通</t>
  </si>
  <si>
    <t>2019/10/09 17:33:07</t>
  </si>
  <si>
    <t>下载迅捷视频转换器后使用，使用时弹出窗口提醒只有充会员才能继续使用，不然只能转换前五分钟且视频带有该收费软件水印，于是我充了88元会员，软件也没有说特殊的视频无法转换，现在需要全额退款，但找不到售后服务。</t>
  </si>
  <si>
    <t>2019/10/09 17:32:54</t>
  </si>
  <si>
    <t>一直是退款失败，然后就不给结果了，客服也联系不上。</t>
  </si>
  <si>
    <t>2019/10/09 17:32:46</t>
  </si>
  <si>
    <t>该平台因本人银行卡出现问题，导致逾期产生一天10元的利息。</t>
  </si>
  <si>
    <t>2019/10/09 17:31:56</t>
  </si>
  <si>
    <t>在还款日最后一天开始恶意骚扰受害人，并且当日在受害人筹款期间开始爆受害人通讯录，从昨天到今天又开始骚扰亲戚好友，以上种种贷上钱催收已经严重违法，给受害人名誉带来严重影响。</t>
  </si>
  <si>
    <t>2019/10/09 17:31:53</t>
  </si>
  <si>
    <t>被朋友坑害，替朋友巨额贷款，后来都是自己在偿还，7月份辞掉工作并得到一些补偿金，本着欠债还钱的态度，7月份与我来贷工作人员协商前提还本付息，工作人员同意我从9月份一次性结清所有本金，利息从9月开始无需偿还，我在9月份将5笔贷款的剩余本金汇入我来贷支付宝账号，并告知客服，对方却出尔反尔，说没有同意过提前还本，要求我仍然还清所有利息，在此之前，我已跟客服沟通，首先我来贷的年利率高达35.98%左右，超出了国家保护的民间借贷利率，相当于在打擦边球，其次，我在我来贷的贷款，有的把利息全部还掉了，最少的也还了20%以</t>
  </si>
  <si>
    <t>2019/10/09 17:31:24</t>
  </si>
  <si>
    <t>催收人员电话轰炸家人朋友，客服态度极其恶劣，强烈要求尽快解决问题。</t>
  </si>
  <si>
    <t>2019/10/09 17:30:19</t>
  </si>
  <si>
    <t>盼达用车不退押金，一个多月，多次打客服无果一直推脱。</t>
  </si>
  <si>
    <t>2019/10/09 17:29:23</t>
  </si>
  <si>
    <t>投诉人 冯女士        投诉对象  中腾信        涉诉金额  3 500 元    问题类型    诉求类型投诉详情  恶意群发短信，，电话骚扰。不给人喘气的机会！</t>
  </si>
  <si>
    <t>2019/10/09 17:28:49</t>
  </si>
  <si>
    <t>我发现卡里被无故扣钱，显示收款方为携趣信息科技，有限公司，但我打客服电话过去，对方却说是造艺科技，告诉我说是在拇指下款签订了什么合同，要扣除299，说余额不足，先扣50，我根本不知道这个东西，我认为这是诱骗，要求退款。</t>
  </si>
  <si>
    <t>2019/10/09 17:28:35</t>
  </si>
  <si>
    <t>投诉人张女士投诉对象中信银行信用卡涉诉金额2000元问题类型诉求类型投诉详情本人在中信银行办理信用卡，因资金紧张未能按时还款，但是逾期后，每个月都在最低还款三百左右，本应该再还五千，还了一年多还是四千，收取高额利息。</t>
  </si>
  <si>
    <t>2019/10/09 17:27:32</t>
  </si>
  <si>
    <t>因为工作原因没有接到催收电话，就爆通讯录，本人是她老公，本来想和此公司好好协商，到对方却冒充律师，不好好和解，误导本人去借钱还他公司，完全套路贷，还恐吓用网络工具进行无限制爆通讯录，还恐吓大律师涵。</t>
  </si>
  <si>
    <t>2019/10/09 17:26:57</t>
  </si>
  <si>
    <t>有一个075536343264的电话经常打我185******61的电话，找一个跟我没有关系的人，说他欠了钱，我说我不认识，对方态度还特别恶劣，我现在都已经怀孕六七个月了，这个事情已经严重影响到我的作息，影响到我的生活，希望管理部门能给解决一下，如果还继续影响我，我身体和胎儿受到什么伤害我肯定会让骚扰我的人负责的，谁欠钱找谁，找不到就报警，起诉，骚扰我干什么。</t>
  </si>
  <si>
    <t>2019/10/09 17:26:55</t>
  </si>
  <si>
    <t>投诉人 喻女士        投诉对象  魔借        涉诉金额  900 元    问题类型    诉求类型投诉详情  还款页面一直加载 进入不了还款 打客服电话也一直无人接听 卡内余额充足 请自动划扣 如产生逾期 属于贵方问题 特此在 聚投诉平台留证</t>
  </si>
  <si>
    <t>2019/10/09 17:26:46</t>
  </si>
  <si>
    <t>因为协商不下，他们多次电话骚扰我的亲戚朋友，导致我的生活混乱。</t>
  </si>
  <si>
    <t>2019/10/09 17:26:21</t>
  </si>
  <si>
    <t>投诉人纪先生投诉对象掌众金服涉诉金额1000元问题类型诉求类型投诉详情提前跟客服联系，请求延期，催收人员一天打好几个电话，要求立刻处理，否则爆通讯录群发短信。</t>
  </si>
  <si>
    <t>2019/10/09 17:26:09</t>
  </si>
  <si>
    <t>投诉人李女士投诉对象小绿人涉诉金额25元问题类型诉求类型投诉详情之前一直租用他们家的充电，按照正常逻辑思维，我在用完使用完以后正确的规划完以后是不是给了他们使用费就应该完毕订单，一直等到好几天以后我再次使用的时候，使用时间显示为0，但是多出了一项租用费，25块多钱，期间没有任何客服联系我也没有致电给我，然后就在账户里扣取了这么多钱我就不明白了，人家租用你的电池使用完毕也合理了，给了你费用，为什么还要多收一笔租用费，非常不合理，所有共享的东西包括电池和别的一些东西，都是只用归还并支付相应的使用费以后就算归还成</t>
  </si>
  <si>
    <t>2019/10/09 17:26:00</t>
  </si>
  <si>
    <t>2019/10/09 17:25:55</t>
  </si>
  <si>
    <t>投诉人 李权        投诉对象  交易猫        涉诉金额  174 元    问题类型    诉求类型投诉详情  卖号无意点到保险 看到之后马上去找客服取消保险 客服一直拖延 最后给我消息无法取消保险 购买保险立即执行 这是什么规定？ 你们保险是强制险吗？不不是吧 普通保险都有10天犹豫期 你们直接执行生效 无法取消 真是霸王条款 强烈投诉交易猫</t>
  </si>
  <si>
    <t>2019/10/09 17:25:38</t>
  </si>
  <si>
    <t>嘀嗒出行顺风车行程中未显示有人拼车，但车主绕道某村庄在不同地点各接了1人，行至目的地后也是先送这2人，导致我大巴3小时的路程，坐顺风车用了4.5小时，客服先告知车主违规，先说退款20%，随后说车主没有违规，拒绝赔偿，逻辑混乱，所谓的“拼车”选项为默认勾选，简直是霸王条款，现投诉3点：1.滴答出行APP中未显示拼车，实际却是拼车行程，完全是欺诈、虚假广告，2.霸王条款：本人未选择拼车，系统却默认拼车，作为服务类产品，体验极差，3.售后差劲，客服说法不一并拒绝赔偿，严重损害消费者利益。</t>
  </si>
  <si>
    <t>2019/10/09 17:25:33</t>
  </si>
  <si>
    <t>2019/10/09 17:25:26</t>
  </si>
  <si>
    <t>投诉人 周女士        投诉对象  飞猪        涉诉金额  585 元    问题类型    诉求类型投诉详情  本人在飞猪上买了一张从成都到曼谷的机票 下单错误 想要退票 要求飞猪给我退票 打电话给客服 一直推塘我说正在处理 要两小时后给我回复 愣是拖延了十二个小时 发了好几条信息过来说给我打了电话 一直没联系上我 问题是我一直处于良好的网络状态 信号满格 之后我再打电话进去 就是说我的票是不可退票不可退税的 我的机票是亚航的机票 所以也找了亚航的客服</t>
  </si>
  <si>
    <t>2019/10/09 17:24:59</t>
  </si>
  <si>
    <t>投诉人叶先生投诉对象光大银行信用卡中心涉诉金额1188元问题类型诉求类型投诉详情光大信用卡中心以我是银行优质客户诱导我办理其白金卡，此前电话中无提起任何白金卡年费相关话题，等到我激活卡后直接一次性收取年费1188元还没有任何短信提示，这属于故意诱骗隐瞒消费者，申请要求免除1188元年费。</t>
  </si>
  <si>
    <t>2019/10/09 17:24:56</t>
  </si>
  <si>
    <t>朋友在平台借一千块钱，要还2000多，还不停骚扰身边的亲朋好友，希望官网能够严厉打击这些黑网贷。</t>
  </si>
  <si>
    <t>2019/10/09 17:24:46</t>
  </si>
  <si>
    <t>2019年9月13日申请立刻出行保证金退款，至今未收到退款信息，立刻出行客服电话始终没有人接听。</t>
  </si>
  <si>
    <t>2019/10/09 17:24:28</t>
  </si>
  <si>
    <t>我的还款日期是11号，当初不想跟朋友知道我的困境就在招联金融借款，并同意协议，可是9号招联金融电话就爆通讯录，是我朋友接电话，具体内容就是我们是招联金融，这是我留的电话，请问能联系到我本人吗之类的话，之后我朋友直接挂了，我联系他呢客服，一直糊弄，现在朋友已经知道我在招联金融借款，另外招联金融客服在没有通过我同意的情况下就私自调出我留的紧急联系人电话，问我是不是尾号3383的，我不知道他们随意一个人员都有这么大权利吗，我已经不信任招联金融，他们客服一再要求我提供留的紧急电话全号，我不信任，所以想通过聚投诉解决</t>
  </si>
  <si>
    <t>2019/10/09 17:24:01</t>
  </si>
  <si>
    <t>爆通讯录、电话、短信群发朋友圈、恐吓、辱骂。</t>
  </si>
  <si>
    <t>2019/10/09 17:23:41</t>
  </si>
  <si>
    <t>本人由于资金出现问题，在9月4日一个叫四季钱庄的网贷平台借款2500元，实际到账1750元，7天利息750元，10号要求还款2500元自身实在无力还全款，最后2300元还款，由合利宝支付科技有限公司提供资金放款和收款平台，你们给黑网贷提供资金出入口，藐视国家法律，希望你们联系四季钱庄，退还除国家标准利息外的额外收费。</t>
  </si>
  <si>
    <t>2019/10/09 17:23:09</t>
  </si>
  <si>
    <t>10.8日在拼多多商家雪源印刷，下单了无纺布袋子，过了数小时卖家留言，此产品是定制让我退货，我没有理会，不知什么原因，今天卖家突然精神病了一样，打电话骚扰，发短信威胁，转达拼多多处理，回复很敷衍，完全不解决问题，一个购物平台卖家就能这么肆无忌惮随意辱骂客户吗。</t>
  </si>
  <si>
    <t>2019/10/09 17:23:06</t>
  </si>
  <si>
    <t>00:40:36小浦优客app申请借款，按步骤填写资料，绑定银行卡后过了一个小时说是扣除296元个人信用报告费用，可是之前申请步骤并没有说明有这个费用，正规贷款也不应该有前期费用，涉嫌违规欺诈，而且他也只是中介，莫名其妙扣了296，以下他发的短信，小浦优客尊敬的用户您好，感谢您对小浦优客的支持，您的报告已经生成，您已成功支付服务费296.0元整，如有疑问可拨打电话。</t>
  </si>
  <si>
    <t>2019/10/09 17:22:59</t>
  </si>
  <si>
    <t>不停的打电话骚扰我已经对我的工作和生活造成极大影响，我有诚意还款但是，他们总是不停的骚扰我我现在已经没有任何想法可以跟他们沟通了。</t>
  </si>
  <si>
    <t>2019/10/09 17:22:58</t>
  </si>
  <si>
    <t>恶意将我的个人信息卖给第三方，其中还有带有黑社会性质的。</t>
  </si>
  <si>
    <t>2019/10/09 17:22:47</t>
  </si>
  <si>
    <t>9月13日还款日，截止至此，本人已还67914元，因在此之前本人在他公司的信息有泄漏，有不明电话打过来让我把还款金额存进去他们扣，或者是转到他们指定的账户，，所以我不敢把钱存到银行卡，恰逢是中秋放假出游期间，忘了及时转进去，在这三天期间也没电话或是信息告知我未扣款成功，后来对方在16号，我上班的时候告知我，没有扣到这笔款，于是我立马就转了他们公司的对公，结果，对方还不停打过电话来说，还有逾期三天135元未还，我明确表示这个不是我恶意拖欠，是之前有过信息被泄漏的嫌疑不敢存钱进去代扣，对方还是不依不饶，在电话里</t>
  </si>
  <si>
    <t>2019/10/09 17:22:45</t>
  </si>
  <si>
    <t>闪银变相高利息，借钱之前变相收取高额服务费，什么加速宝审核卡欠款之前就扣了一部分钱，因为这个月15号才发工资还没还款，闪银委托催收就说必须今天处理，否则就走流程，联系通讯录和联系人，进行语言威胁，我会还款，借了我肯定会还，但是只能等到15号我发工资，这期间再骚扰我我也还不了，闪银再威胁或骚扰我的家人，爆我通讯录骚扰我的家人和朋友，我就只能报警。</t>
  </si>
  <si>
    <t>2019/10/09 17:22:41</t>
  </si>
  <si>
    <t>京东催收p孩子图片给通讯录的人到处乱发，简直就是黑势力，黑社会，并且到处打电话乱骂，京东这就是你们的手段，此事不解决，我投诉你们到底，并且投入到银监会，信访部，报警。</t>
  </si>
  <si>
    <t>2019/10/09 17:22:16</t>
  </si>
  <si>
    <t>更改姓名不成功，对公转账明细不说清，让还全款，催债的要上门。</t>
  </si>
  <si>
    <t>2019/10/09 17:21:44</t>
  </si>
  <si>
    <t>每天十几个电话骚扰，甚至一接电话就语言侮辱。</t>
  </si>
  <si>
    <t>2019/10/09 17:21:43</t>
  </si>
  <si>
    <t>2019/10/09 17:20:48</t>
  </si>
  <si>
    <t>2019/10/09 17:20:40</t>
  </si>
  <si>
    <t>光大银行工作人员委托三方人员进行暴力催收，威胁恐吓，要上门骚扰父母，。</t>
  </si>
  <si>
    <t>2019/10/09 17:20:21</t>
  </si>
  <si>
    <t>宝付支付涉嫌盗刷银行卡，请将734元予以退还，谢谢！。</t>
  </si>
  <si>
    <t>2019/10/09 17:20:13</t>
  </si>
  <si>
    <t>10月5号在苏宁易购买了一台松下冰箱，购买之前有和卖家确认过关于噪音问题，送货到家按照送货师傅的要求静置三小时后再通电，按要求时间通电后发现噪音有点大，和我原来的老冰箱没有什么区别，因为我是放在客厅，肯定是不能接受这样的声音的，所以向卖家申请七天无理由退换货，但是系统操作同意了，却另外信息我要求我撤消申请，原因是他们的页面只有同意选项，他们是被迫接受处理的，冰箱我已经通电了所以无法申请退货，那我不通电我怎么知道声音大小，购买之前商家又没有告知消费者通电了不能退换货，现在我有这个需求了你却说不能退了，如果提前</t>
  </si>
  <si>
    <t>投诉人宇先生投诉对象EVCARD涉诉金额1000元问题类型诉求类型投诉详情由于驾驶共享汽车违章，处理违章时改官方无法出示纸质行驶证导致无法处理以至于扣除押金1000元。</t>
  </si>
  <si>
    <t>2019/10/09 17:20:11</t>
  </si>
  <si>
    <t>本人目前经济困难，无力在本月还款，和客服沟通，协商延期还款1个月，望平台协商，我来贷基于以前记录，延时1个月。</t>
  </si>
  <si>
    <t>2019/10/09 17:20:06</t>
  </si>
  <si>
    <t>上海拍来贷高利贷公司暴力催收，严重骚扰家人朋友的正常生活，恐吓威胁我，我已经无心再正常生活了。</t>
  </si>
  <si>
    <t>2019/10/09 17:19:48</t>
  </si>
  <si>
    <t>2016年1月上大学那会，由于年少无知，不知轻重，就在校园代理的蛊惑下，在名校贷上借贷了5000块钱，分12期还清，当时代理并未提及预售咨询费，只是说要扣除百分之20的押金，还完以后归还，工作人员说没办法退，我不管怎么折腾，他只会为我的精神点赞，依然采取违规流程进行放款借款的利息不得预先在本金中扣除，利息预先在本金中扣除的，应当按照实际借款数额返还借款并计算利息。要怪就怪自己爱慕虚荣，到现在三年期间共在名校贷也就是现在的白领贷上累计借贷9万多块钱，名校贷共扣所谓的咨询费保证金将近1.8万，我还款总计近11万</t>
  </si>
  <si>
    <t>2019/10/09 17:19:21</t>
  </si>
  <si>
    <t>2019/10/09 17:18:58</t>
  </si>
  <si>
    <t>平安普惠暴力催收，每天打几十个电话过来，严重干扰正常工作生活，在电话里恐吓并称没钱还就不要找理由直接说，但是还是连着打电话，并且冒充经侦打电话，非法窃取通讯录资料，向第三方及家人朋友和工作单位打电话发短信透露负债信息，并发图威胁影响子女上学，强制清偿所有银行债务，永久拉黑征信等内容，视国家法律法规如无物，明目张胆非法窃取公民隐私，如此暴力催收，不解决之前什么都不用谈，必须严惩。</t>
  </si>
  <si>
    <t>2019/10/09 17:18:26</t>
  </si>
  <si>
    <t>兴业银行信用卡总额度2万6分期还款的，每次还款利息都好几百，打电话来说欠款总额3万6今天还了最低还款2200多，还过了扣的1800多，900免费，700多利息，如果不退刚刚扣我的1800多，就是拒绝还款，法院起诉判。</t>
  </si>
  <si>
    <t>2019/10/09 17:17:59</t>
  </si>
  <si>
    <t>投诉人吴先生投诉对象拍拍贷涉诉金额0元问题类型诉求类型投诉详情长沙拍拍贷公司调取客户通话详单，数十次骚扰来电，已明确告知并不认识借贷人，也无法转告，且多次工作人员告知过不要再来电，还一直来电骚扰，持续数月之久，已严重影响本人的生活和工作，烦请处理！而且该公司外呼平台使用手机号、固话号等作为外呼号码，不符合国家规定，且每次更换不同号码。</t>
  </si>
  <si>
    <t>2019/10/09 17:17:48</t>
  </si>
  <si>
    <t>逾期两天三更半夜的给我发信息骚扰我，给我朋友打电话影响他工作。</t>
  </si>
  <si>
    <t>2019/10/09 17:17:05</t>
  </si>
  <si>
    <t>一万八额度，每期手续费违约金滞纳金五百多，还天天打电话骚扰，你打电话了我还是一样多付滞纳金，一天很多个电话，银行难道不用遵守互联网催收公约吗。</t>
  </si>
  <si>
    <t>2019/10/09 17:17:02</t>
  </si>
  <si>
    <t>本人在秒购等贷款平台申请贷款，到账金额与还款金额不一致，都是砍头息，他们扣款的时候都是通过宝付支付平台扣取，给宝付反应了却都说跟商户没有合作了，跟他们没关系了，宝付平台这样是要跟这些收取砍头息的平台同流合污吗。</t>
  </si>
  <si>
    <t>2019/10/09 17:16:50</t>
  </si>
  <si>
    <t>本人于2019年10月九日早上九点在翼支付APP上面交了88块钱的电费，然后就一直没有到账，翼支付上面一直就显示处理中，不做任何的解释，找了他们的客服问什么原因他们也不说，要他们退款也说退不了，我就想问问难道我这钱就这样白白的掉了吗。</t>
  </si>
  <si>
    <t>2019/10/09 17:16:45</t>
  </si>
  <si>
    <t>投诉人潘先生投诉对象兴业银行信用卡涉诉金额5600元问题类型诉求类型投诉详情逾期兴业银行的个月，一直跟95566联系想找人联系协商还款问题迟迟不能解决问题，想找兴业银行寻求一个约定日子一次性还清的方式，望帮助。</t>
  </si>
  <si>
    <t>2019/10/09 17:16:13</t>
  </si>
  <si>
    <t>投诉人 王女士        投诉对象  创客工具箱        涉诉金额  0 元    问题类型    诉求类型投诉详情  总是说被降权，可是买家号怎么会被降权呢。这分明是恶意打标的</t>
  </si>
  <si>
    <t>2019/10/09 17:16:11</t>
  </si>
  <si>
    <t>本人18年中旬接触婚恋网认识一个女孩，通过几个月的交流并确定恋爱关系，后来这个女孩问我是否投资理财，每天有个几百元的收入，我想着投资理财可以做啊，就完全信任她，她一步一步指引我在那个网站上充值，跟她一起买的数字，我也搞不懂是什么理财，前3天是每天有收入500左右，但是到后来她叫我买的数字完全和那个网站上的不一样，就这样一次一次，一天一天的被她带入充值继续投资，当亏损到我无法再继续充值的时候她就对我不理不睬了，我想着可能她带着我亏损了心情也不好吧，就没有烦我，然后每天都是几句话随便敷衍我，现在想起来真是可笑，</t>
  </si>
  <si>
    <t>2019/10/09 17:15:57</t>
  </si>
  <si>
    <t>8000元，分期20期，每期还款408.44元，但是在还款过程中每期还款都需要支付一定的服务费，保险费以及利息！查询借款合同发现，借款总金额，分期信息利息包括服务费和保险费在合同中均没有明确列出！另外APP不能提前还款！请问保险费的目的是什么。</t>
  </si>
  <si>
    <t>2019/10/09 17:15:49</t>
  </si>
  <si>
    <t>因生意问题，导致资金链断裂，无法正常还款，一直就是身上有多少就尽量都还进去，并不是置之不理，但是现在拍拍贷却显示委外，无法还，因为一次性还不到那么多，之前就是有多少还多少，而今却无法还，经常群发给我通讯录，还有威胁恐吓的意思，希望能得到处理。</t>
  </si>
  <si>
    <t>2019/10/09 17:15:47</t>
  </si>
  <si>
    <t>今天收到银行卡扣款信息，自己从来不知道什么小铺优客，但被小铺优客直接扣了296元，打电话态度也不好。</t>
  </si>
  <si>
    <t>2019/10/09 17:15:23</t>
  </si>
  <si>
    <t>投诉人谢喜平投诉对象马上金融涉诉金额5000元问题类型诉求类型投诉详情本人没有欠马上金融贷款，天天来电话骚扰我影响我工作了没了没完的打电话给我非常遗憾。</t>
  </si>
  <si>
    <t>2019/10/09 17:15:17</t>
  </si>
  <si>
    <t>投诉人段先生投诉对象闪电借款,汇聚支付,掌众金服涉诉金额570元问题类型诉求类型投诉详情闪电借款平台变相以买会员形式的方式，强制购买会员，借款时非本人自愿非法自动扣款。</t>
  </si>
  <si>
    <t>2019/10/09 17:14:50</t>
  </si>
  <si>
    <t>投诉人林先生投诉对象小花钱包涉诉金额0元问题类型诉求类型投诉详情骚扰家人，轰炸手机，带有威胁的话语</t>
  </si>
  <si>
    <t>2019/10/09 17:14:44</t>
  </si>
  <si>
    <t>自8月份买来，电池一直用不了，要么充2天两夜，充不满，要么充了用不到5个小时，买家承诺的用2个星期根本不存在，售后5次，次次都是电池问题，最后卖家不处理，拉黑电话。</t>
  </si>
  <si>
    <t>2019/10/09 17:14:42</t>
  </si>
  <si>
    <t>2019年1月10号之前因为想提升个人学历在网上报的尚德机构专升本，他们有资料显示一个月上课不满意可以申请退款，我当年高考成绩就是本科，最后上的专科，由于大学学的英语教育专业，没上高数，有个尚德老师说2019年1月份再不报考以后都会有高数考科，我就报了，报了没几天我大学老师说我从2016年毕业可以直接考研，不用再升本，很多公司不承认我就向尚德提出了退款，不再继续学习，就跟他们班主任进行了协商，现在升本没什么含金量，很多公司不承认，我就向尚德提出了退款，不再继续学习，就跟他们班主任进行了协商，他们老师说在规定</t>
  </si>
  <si>
    <t>2019/10/09 17:14:33</t>
  </si>
  <si>
    <t>循环借款，陷入校园贷套路中，后原子贷换了马甲继续放贷，现搜集资料已投诉，诉求：全额退款利息，砍头息目前已搜集资料，望聚投诉转达，望相关平台妥善解决。</t>
  </si>
  <si>
    <t>2019/10/09 17:14:32</t>
  </si>
  <si>
    <t>大概是在2016年左右的时候在小马管家APP上充值1000元，一直没消费，近期才发现APP下载不了了，百度查才得知已经破产倒闭，但是钱不知道找谁退，因为时间太长了，没有相关充值记录，现在平台也登陆不上去了，无法提供相关截图。</t>
  </si>
  <si>
    <t>2019/10/09 17:14:29</t>
  </si>
  <si>
    <t>投诉人张先生投诉对象洲迹通科技公司,助借通涉诉金额198元问题类型诉求类型投诉详情申请之后就没有用过，结果当晚12点恶性扣款198元，要求退款，遭到拒绝，并提出下载其他8个软件，并提供借款不通过截图。</t>
  </si>
  <si>
    <t>2019/10/09 17:14:12</t>
  </si>
  <si>
    <t>投诉人 徐女士        投诉对象  杭州伟福科技有限公司        涉诉金额  299 元    问题类型    诉求类型投诉详情  没有申请借款 扣我的银行卡里的钱退款处理</t>
  </si>
  <si>
    <t>2019/10/09 17:12:48</t>
  </si>
  <si>
    <t>我在小象优品借了两笔借款，颜值卡8900元要还10726元，小象钱包26000元要还35360元，现在我已经还了各3期本金加利息11700左右了，现因个人原因要求能一次性结清借款，要求提供一次性结清加减免些利息方案，客服一直不给一次性结清减免利息，要我按月还款，最后还直接结束通话。</t>
  </si>
  <si>
    <t>2019/10/09 17:12:41</t>
  </si>
  <si>
    <t>催收人员自称是恒昌公司的催收部的，态度极为恶劣，在能打通我的电话情况下骚扰联系人，电话威胁，言语粗暴。</t>
  </si>
  <si>
    <t>2019/10/09 17:12:30</t>
  </si>
  <si>
    <t>本人在360共计借款20000余元，砍头前期5000余元，现要求小鹅贷，要钱快，租无忌，好钱包退回全部砍头利息。</t>
  </si>
  <si>
    <t>2019/10/09 17:12:22</t>
  </si>
  <si>
    <t>投诉人姚先生投诉对象国美易卡涉诉金额5850元问题类型诉求类型投诉详情9月25日用了国美易卡，借款5000+元，10月9日不想用了，想提前还款，显示无法提前结清，看了账单，还收了好多莫名其妙的增值权益服务费、账户管理费和信息服务费。</t>
  </si>
  <si>
    <t>2019/10/09 17:12:04</t>
  </si>
  <si>
    <t>骚扰我家人，暴力催收恐吓，要求停止催收，高额利息。</t>
  </si>
  <si>
    <t>2019/10/09 17:10:41</t>
  </si>
  <si>
    <t>投诉人陈先生投诉对象拍拍贷,钱站,捷信金融,小花钱包,51人品涉诉金额50000元问题类型诉求类型投诉详情有已经逾期的也有即将逾期的，麻烦不要再联系我跟家里人了，已经在准备卖房子了。</t>
  </si>
  <si>
    <t>2019/10/09 17:10:40</t>
  </si>
  <si>
    <t>投诉人 韦先生        投诉对象  现金巴士        涉诉金额  500 元    问题类型    诉求类型投诉详情  借款一千元，开始就扣掉200元。加上之前还的已经够了。催收还不沟通。</t>
  </si>
  <si>
    <t>2019/10/09 17:10:35</t>
  </si>
  <si>
    <t>本人在2019年10月6号晚上九点被盗用，安逸花额度1545元，联系客服是客服并不协助处理。</t>
  </si>
  <si>
    <t>2019/10/09 17:10:06</t>
  </si>
  <si>
    <t>本人于9月9号在升学教育报了教师资格证培训班，报名时培训机构没有告知30周岁以上学员拿到教师证后不能参加编制教师招聘考试，他们为了赚钱隐瞒事实随便招收学员，没有做到告知义务，报培训班本是为了能快速拿到教师证然后参加招聘考试，得知没有参考资格后要求他们退款遭拒，如果他们事先告知限龄情况本人不会选择参加培训。</t>
  </si>
  <si>
    <t>2019/10/09 17:10:02</t>
  </si>
  <si>
    <t>剩下2期，多次跟客服说过每月15号准时还款，客服也是同意15号还款、结果今天却被暴力催收，爆出个人所有信息、侮辱家人父母，拨打客服热线，换来的却是多次的辱骂侮辱。</t>
  </si>
  <si>
    <t>2019/10/09 17:10:00</t>
  </si>
  <si>
    <t>邀请人不给提现，一直提现失败，请给个理由！！！。</t>
  </si>
  <si>
    <t>2019/10/09 17:08:47</t>
  </si>
  <si>
    <t>小黑鱼科技负责放款，上海东瑞保险代理有限公司联合华夏人寿恶意收入费用，并提供不了保险合同，借2000块，以保险名义扣取500块高额砍头息，保险有反悔期，也不给退，国家也规定贷款不能跟保险挂钩，三家公司联合收取高额度砍头息，涉及套路贷，不把国家相关条例当回事，今天小黑鱼科技有联系我，说退9成，凭什么，我又不买，就算买我也有反悔期，联系华夏人寿，没一个能解决的，合同都提供不了，我买的什么保险，并未授权，请帮忙反馈其他部门取缔这三家公司。</t>
  </si>
  <si>
    <t>2019/10/09 17:08:36</t>
  </si>
  <si>
    <t>我在2017.8.1日在武汉厚本金融借款10万元，资金由广东南粤放款，实际银行卡到账101000元人民币，分36期还款、每期还款4550，还款止2019.8.1为止共24期共计人民币109200元，现在厚本金融倒闭被立案正查，我打电话与银行协商，银行却还要求我还款5万多元才算结清！这是典型压榨借款人，高利贷行为。</t>
  </si>
  <si>
    <t>2019/10/09 17:08:31</t>
  </si>
  <si>
    <t>2019年一月好易借平台借款6000元，砍头息540元，实际放款5460元，第一个月还款2677.5，第二个月还款1867.5，第三个月还款1867.5，也就是说前三个月就已经实际还款6412.5元，减去砍头息540元，实际还了利息952.5元，实际情况是借5460元用三个月还了1620元利息，另外每月还款日没接到电话催收就开始骚扰通讯录的人，我从网上也看到了很多相关投诉并没有效果，商家回复一个签约清晰明确就把大家都打发了，这个投诉我也没准备能收到什么效果，但我要表达我的态度，我不会再接你们电话，后续如果在</t>
  </si>
  <si>
    <t>2019/10/09 17:08:25</t>
  </si>
  <si>
    <t>我在10月8号下载了百事普惠APP，填写了资料后并没有达成服务，10月9号下午无故扣款299，完全是欺诈消费。</t>
  </si>
  <si>
    <t>2019/10/09 17:08:12</t>
  </si>
  <si>
    <t>说办公室的他一个同事做了一个月就跑了70多单，说外面很多人都做两三万，最差的也做1万多一个月，给我进行洗脑，暗示名额有限，说过几天就要涨到12800元钱，还说是好不容易给我申请下来的9800，说蓝V项目是个高爆发期，以后再做就没那么好做了，做他们给我说的这个所谓的抖音蓝v项目根本就不用交钱，后续的几个项目也都是别人做过一段时间的，市场饱和，并不好做。</t>
  </si>
  <si>
    <t>2019/10/09 17:07:45</t>
  </si>
  <si>
    <t>投诉人冯女士投诉对象马上消费金融涉诉金额1109元问题类型诉求类型投诉详情连协商机会都没有，天天打来，态度如此恶劣，还威胁本人，说不还就打给身边人，生活造成了困扰，对身边人造成了生活影响，侵犯隐私爆通讯录骚扰他人，逾期了就能让你们理所当然的去骚扰他人吗，太困扰了，看看一整天打来多少个电话了，我有说不还吗，有资金我会处理，天天轰炸我，真想各个平台投诉，态度真的恶劣，还用威胁的语气。</t>
  </si>
  <si>
    <t>2019/10/09 17:07:28</t>
  </si>
  <si>
    <t>利息明显高于国家标准，属于高利贷，原来有专门的唯网贷app，这几个月国家严查，唯网贷就用微信公众号和微信小程序继续经营。</t>
  </si>
  <si>
    <t>2019/10/09 17:07:12</t>
  </si>
  <si>
    <t>投诉人米先生投诉对象拼多多,微信支付涉诉金额2101元问题类型诉求类型投诉详情本人微信一共支付11次订单每次支付金额191元，支付后拼多多平台上没有任何订单，但是微信了的钱已经不见了！拼多多一直让等待回复！请平台严惩。</t>
  </si>
  <si>
    <t>2019/10/09 17:06:52</t>
  </si>
  <si>
    <t>本人在厚本金融贷款，到手金额跟合同金额相差二万多，这扣的二万多不是砍头息吗，也是违反国家法的的.在厚本贷款，是广东南粤银行放款，我根本没在广东南粤银行办贷款手续，但是广东南粤银行发信息要我还款，广东南粤银行伙同厚本金融跟客户签订阴阳合同，收取砍头息，严重违法，现在厚本被公安机关查了，广东南粤银行来找我要钱。</t>
  </si>
  <si>
    <t>2019/10/09 17:06:51</t>
  </si>
  <si>
    <t>本人2019年8月5日在钱站上借款10000元，到账后发现每月需要还款1413.33元，分12个月还清，合计需要还款16959.96元，实际年利率高达70％，严重超过合法的利率范围。</t>
  </si>
  <si>
    <t>2019/10/09 17:06:47</t>
  </si>
  <si>
    <t>建设银行冻结用了8年的信用卡，30万积分无法使用。</t>
  </si>
  <si>
    <t>2019/10/09 17:06:31</t>
  </si>
  <si>
    <t>闪银哼哼由于个人愿意逾期一个多礼拜，这逾期的一个多礼拜时间里我也主动联系过客服，，闪银哼哼催收一次都未联系过我，直接爆我通讯录，联系我朋友催收，这种解决问题方式是不能忍的，闪银违法放贷，涉嫌高利贷，每借一次要同时买个199元的白条凭证，利息另算的，，强烈要求退还违规收取的白条凭证199元的这笔钱，总共借闪银哼哼舜舜。</t>
  </si>
  <si>
    <t>2019/10/09 17:06:29</t>
  </si>
  <si>
    <t>2019.9.2向爱白条借款2500元，分三期，还款905.19元，合计共还款3754.37元，共收取本人费用合计1254.37元，现本人欠了很多网贷平台款项，我联系你司只处理本金与合法利息，请尽快联系本人处理，如未及时联系，款项将支配其他网贷平台。</t>
  </si>
  <si>
    <t>2019/10/09 17:05:34</t>
  </si>
  <si>
    <t>请有关部门处理，不行就银监会，这是什么第三方公司。</t>
  </si>
  <si>
    <t>2019/10/09 17:05:28</t>
  </si>
  <si>
    <t>金蔷薇高利贷套路贷，暴力催收，借款2500，实际到账1750，分28天，实际14天还清2500，到期暴力催收，恐吓，威胁。</t>
  </si>
  <si>
    <t>2019/10/09 17:05:21</t>
  </si>
  <si>
    <t>当地催收人员不容谈判，恐吓我，不容我去谈判还款，临时通知，就让抓紧还。</t>
  </si>
  <si>
    <t>2019/10/09 17:04:47</t>
  </si>
  <si>
    <t>本人自从申请成功etc助手之后，一直无法开发票，给平台打电话根本不解决问题。</t>
  </si>
  <si>
    <t>2019/10/09 17:04:44</t>
  </si>
  <si>
    <t>由于乘客目的地运管检查，无法前往，乘客又不取消订单，于是我就打电话问滴滴客服咋办，客服叫我自行取消订单然后申诉就可以了，结果我取消订单二次申诉都不让通过，气死了，所以只好借助贵平台讨回公道。</t>
  </si>
  <si>
    <t>2019/10/09 17:04:32</t>
  </si>
  <si>
    <t>小浦优客未经过本人同意自动扣款什么服务费296。</t>
  </si>
  <si>
    <t>2019/10/09 17:04:29</t>
  </si>
  <si>
    <t>朋友说用一下我的收款码，说一会有人给我转账然后让我转给他。</t>
  </si>
  <si>
    <t>2019/10/09 17:04:07</t>
  </si>
  <si>
    <t>本人上午收到上海199******80的号码发的一条信息说要去我家上门处理一些事情，让我在家等着，后来我用另外一个号码打电话给他，他说我急用钱逾期了，还发了一个链接给我，我一看逾期了，一个月了，本金3500，现在要还5500，我仔细回想了我9月初根本没有借过这个软件，而且还是3500，这么大的金额怎么可能没有印象，而且期限是一个礼拜，如果逾期了，那平台早就会发信息给我呀，而且app上面都没有我的资料，包括银行卡，点击还款也是支付宝还款，而且平台的电话打电话都停机了，是东北的号，我跟发信息给我的那个人说了我没</t>
  </si>
  <si>
    <t>2019/10/09 17:03:59</t>
  </si>
  <si>
    <t>借的时候有砍头息，还不停打电话给我，骚扰我家人。</t>
  </si>
  <si>
    <t>本人已经还了42000多了，希望减免利息，协商一次结清，本人已经被高利贷逼得卖房了，不要在催收了，借40000还67000多，利息太高了，真的无力偿还，希望帮忙处理一下。</t>
  </si>
  <si>
    <t>2019/10/09 17:03:49</t>
  </si>
  <si>
    <t>佑佑分期,钱有花,菜鸟有钱,呗呗分期,借贷宝,今借到,借据商行，爆通讯录，对通讯录里的人进行人身功击，威胁，恐吓，短信轰炸。</t>
  </si>
  <si>
    <t>2019/10/09 17:03:42</t>
  </si>
  <si>
    <t>投诉人王龙投诉对象平安普惠涉诉金额90000元问题类型诉求类型投诉详情本人于2018四月装修需要，从平安普惠申请贷款，当时主办业务杨女士说我的资产证明不多，平安普惠做不了，介绍我在位于咸阳市万达商业写字楼陆金所办事处去办理，说是平安公司子公司，都是一个系统，申请贷款，当时说我名下没有过多资产需要有个保险增加授信额度，因为不懂就同意了保险的说法，具体保险覆盖的时间多钱并未说明，最终服务费，最终签协议，填写申请，申请前不知道保险费每月都要扣，服务费具体总数多钱也不知道，因为没贷过款，加上工作人员特意交代，总公司</t>
  </si>
  <si>
    <t>2019/10/09 17:03:41</t>
  </si>
  <si>
    <t>投诉人龚先生投诉对象苏宁金融涉诉金额990元问题类型诉求类型投诉详情本人在苏宁金融先后借了两次款，被强制收取保险费，切保险费用奇高，第一次借款25000，直接扣除保险费750，我们只是借款，却被强制购买永安保险人身意外险，为什么就只能买永安保险，为什么只能买人身意外险。</t>
  </si>
  <si>
    <t>2019/10/09 17:03:38</t>
  </si>
  <si>
    <t>交费时说不喜欢随时退款，现在说退款了又要求说必须闭馆或重伤才能退费，而且还说要收取20%的手续费，扣费服装费和上的课程费用，我们只上了一次课，扣除一节课费用跟服装费我们可以接受，但是收取20%手续费我们不接受，我们交了6580元，扣初服装费和一节课的费用也最多580元，6000元是必须退的，不让全额退款都已经很不错了。</t>
  </si>
  <si>
    <t>2019/10/09 17:03:02</t>
  </si>
  <si>
    <t>信而富贷款平台收取砍头息，利息用的算下来超过国家规定的36%。</t>
  </si>
  <si>
    <t>2019/10/09 17:02:58</t>
  </si>
  <si>
    <t>本以为通过中国银联正规线上支付是正规彩票游戏机构，后来才知道是非法赌博平台，和支付清算协会沟通得知第三方支付业务应审核客户的相关信息，第三方支付业务公司不得向证券，期货，博彩等机构提供支付结算业务，通过中国人民银行，中国银联，和支付清算协会沟通得知，第三方支付业务应审核客户的相关信息，第三方支付业务公司不得向证券，期货，博彩等机构提供支付结算业务，作为有牌照的支付公司没有履行国家结算通道的义务，本人多次致电银联与银联商务两家机构，双方都有推卸责任，本人怀疑都有包庇不法商户之嫌疑，希望平台帮我跟进，若没有进展</t>
  </si>
  <si>
    <t>2019/10/09 17:02:08</t>
  </si>
  <si>
    <t>逾期罚息超出国家合法利息，不到1000块的本金10天利息就两百，20天利息400块，就是利滚利，高利贷，本人对这个罚息收费坚决不接受，不合法的利息坚决不交，国家规定的合法范围之内的利息我一定都会交，还有每天几十个催款电话不断轰炸，希望聚投诉重点查处，给我一个合理说法。</t>
  </si>
  <si>
    <t>2019/10/09 17:02:01</t>
  </si>
  <si>
    <t>投诉人 刘先生        投诉对象  钱伴        涉诉金额  14 000 元    问题类型    诉求类型投诉详情  减免一部分利息，还不起了，协商还款</t>
  </si>
  <si>
    <t>投诉人 查群        投诉对象  玖富        涉诉金额  24 100 元    问题类型    诉求类型投诉详情  不给保费 禁止我还款！我要求协商 造成我的一切后果的话……你们自己负责</t>
  </si>
  <si>
    <t>2019/10/09 17:01:59</t>
  </si>
  <si>
    <t>中邮消费金融打电话说我的一个什么朋友欠钱不还，这个所谓的朋友我都不认识，然后就要起诉我，我反打给中邮金融消费，他们态度恶劣，不给我解决问题。</t>
  </si>
  <si>
    <t>2019/10/09 17:01:53</t>
  </si>
  <si>
    <t>投诉人 韩先生        投诉对象  京东金融        涉诉金额  2 600 元    问题类型    诉求类型投诉详情  恶意催收 骚扰通讯录 暴力催收 每天不停的打电话</t>
  </si>
  <si>
    <t>2019/10/09 17:01:35</t>
  </si>
  <si>
    <t>投诉人梁先生投诉对象畅金服务涉诉金额3300元问题类型诉求类型投诉详情时间我忘记了，但是借款情况是这样的，我登陆了畅金服务填写了申请资料，一般借款平台会审核后有可借款额度，但是畅金服务就没有，直接审核完给我打了2064元，但需要还3300元，也无法还款无法撤销，这种我觉得属于强制性借款，侵犯我的知情权很恶劣！后来过了就好到了还款日后，app打不开了，删除了就再也没找回来，也没有工作人员联系我给链接我，就一直发短信吹收，但是就是没有链接，之后还把我的资料卖了出去，使得很多人打电话过来恐吓我还钱，使得我每天提心</t>
  </si>
  <si>
    <t>2019/10/09 17:01:22</t>
  </si>
  <si>
    <t>到账2800元，还块4000多元，逾期利息更高，现在要我还6000多元。</t>
  </si>
  <si>
    <t>2019/10/09 17:00:34</t>
  </si>
  <si>
    <t>开始逾期的时候现金巴士涉嫌暴力催收，导致我不想还款，但我现在想还款，现金巴士不跟我协商，我借款1500，顶多还1700，接受不了2250的还款。</t>
  </si>
  <si>
    <t>2019/10/09 16:59:48</t>
  </si>
  <si>
    <t>小牛科技旗下慧花花在每次借款时强行搭售大地意外保险，本人不知情！请退还借款10余次搭售的意外保险钱款。</t>
  </si>
  <si>
    <t>2019/10/09 16:59:47</t>
  </si>
  <si>
    <t>一直拖到今天，仍然不处理，客服总是拖拖，要不说，联系不到商户，要不就是一直不说话，作为一个持牌公司，就这样搪塞，我们不管什么商户不商户，商户都是你们业务员跑的，我们只是单纯的受害者，并且是通过你们支付公司吧我们钱划走的，所以我们只找你们支付公司，本人所述愿负法律责任，如果还是这样的不作为，将联系一批受害者去人民银行集体投诉。</t>
  </si>
  <si>
    <t>2019/10/09 16:59:41</t>
  </si>
  <si>
    <t>玖富与北京恒元公司不知有什么关系！反正现在软件上的合同跟他们所出的数据都不一样，不知究竟是要还钱去哪里好，那还了会不会销账！因本人欠款太多，无力偿还！提出分期还款，说不可以！拒绝！请问究竟怎么处理，你们也要回复一下顾客吧，这样子搞，你们给个说明！分期还款写个协议不是很简单的事，利息你照样收取就好了，有必要将人赶到绝路，希望你们取消仲裁的流程，还说不还，要提交法院，不是不还，只是写协议分期付款！请你们给一个好的回复！。</t>
  </si>
  <si>
    <t>2019/10/09 16:59:30</t>
  </si>
  <si>
    <t>每次都上课时间打电话，导致接不了电话，然后就各种群发给通讯录里的人，爆通讯录。</t>
  </si>
  <si>
    <t>2019/10/09 16:59:16</t>
  </si>
  <si>
    <t>正常退租之后，匠寓以公共环境恶劣为由，扣取150元房屋清扫费用，沟通未果，默许了，等搬离房间之后，匠寓中介开始在屋里找茬，诬陷我在墙面上钉钉子，以及损坏屋内灯泡，实际上入住时已经有钉子，灯泡住进去一个月就坏了，我自费换的新灯泡，此时匠寓员工对我说出侮辱性的话语，见聊天凭证，我上微博控诉了这个事情，由于匠寓受害者较多，这件事迅速形成热度，此时匠寓公司联系我，哄骗我说钉子和灯泡不用您负责，我只需要付100元的公共区域清扫费，还有一个柜子钱，在最后的通话中他们再次说出你们有什么证据证明不是你打的钉子，柜子受潮发霉</t>
  </si>
  <si>
    <t>2019/10/09 16:58:57</t>
  </si>
  <si>
    <t>自然堂旗舰店加入会员得礼盒的虚假活动，存在套取客户资料信息，加入会员后没有礼品，恶意套取客户信息，虚假活动，请取缔该商家。</t>
  </si>
  <si>
    <t>2019/10/09 16:58:29</t>
  </si>
  <si>
    <t>我在你我金融没有借过钱，今天收到的是说要告我，还要说准备失信资料，什么时候借的钱。</t>
  </si>
  <si>
    <t>2019/10/09 16:58:28</t>
  </si>
  <si>
    <t>我是一名学生在诺诺镑客平台借了30000元，到账24000，该公司承诺还款后退换6000，借款都是30000本金还款的，还款后找各种理由不退换，专门坑我们这些穷学生，希望贵平台出面帮忙解决。</t>
  </si>
  <si>
    <t>2019/10/09 16:58:22</t>
  </si>
  <si>
    <t>投诉人丁女士投诉对象向钱进涉诉金额300元问题类型诉求类型投诉详情莫名其妙收到向钱进的短信说欠款，可我根本不知道这个平台，我找到客服电话打过去询问，说我没有借款就不要管，我自己问有没有同样的情况，结果客服着急的说没有，你别管就行了，我帮不了你，然后就挂了，这是不是你们向钱进自导自演的，请给一个解释。</t>
  </si>
  <si>
    <t>2019/10/09 16:58:19</t>
  </si>
  <si>
    <t>深圳市升学文化传播有限公司霸王条款，虚假宣传，拒不退款。</t>
  </si>
  <si>
    <t>2019/10/09 16:57:46</t>
  </si>
  <si>
    <t>要求退机器退押金，商家退机器可以退押金不退！要求刷满58万人民币！而且机器已经不能正常使用，要求退机器退押金！。</t>
  </si>
  <si>
    <t>2019/10/09 16:57:45</t>
  </si>
  <si>
    <t>招联金融威胁我，说让我在家好好等着，用话语威胁恐吓，请核实，基本上天天发。</t>
  </si>
  <si>
    <t>2019/10/09 16:57:40</t>
  </si>
  <si>
    <t>本人于9月10号通过速金服申请一笔借款，到账2000元，合同金额后期显示为3740元，一共分三期偿还，总还款金额为3814.43元！3期总利息高达1814.43元！虚假阴阳合同！高额利息！都是不符合国家法律规定的！近期本人又检查出怀孕了，现在又是负债累累，这个利息本人实在无法偿还！都快有抑郁的倾向了！希望贵司高抬贵手与我协商提前结清欠款并减免部分利息！。</t>
  </si>
  <si>
    <t>2019/10/09 16:57:35</t>
  </si>
  <si>
    <t>交通银行真的是胆大包天了，这是想跟国家作对啊，我一边还钱还一边骚扰，我父亲正在上班，给我父亲接连打50多个电话，害得他差点在房顶上出意外，要是没个说法，我只好到银监会告了，8000块的额度，我还了3000多，现在还差7000多，你们不会算账吗，越还越多，国有国法，银行又怎样，交通银行是投诉最多，最乱的，钱可以还，但是你们这么嚣张下去，怕要垮台，欺压老百姓。</t>
  </si>
  <si>
    <t>2019/10/09 16:57:31</t>
  </si>
  <si>
    <t>平安普惠催款态度非常恶劣，还要打电话爆公司，家人等，并且让我借钱来还钱，无法沟通。</t>
  </si>
  <si>
    <t>2019/10/09 16:57:16</t>
  </si>
  <si>
    <t>9月10日，借2000，但要买什么540的卡，然后今天还款，还2060，名义上是借2000还2060看起来利息是60，但强迫买卡，这和砍头息有什么区别，等于借2000到手1500，一个月，还2060，这不是砍头息是什么，我要求退540买卡费。</t>
  </si>
  <si>
    <t>2019/10/09 16:57:15</t>
  </si>
  <si>
    <t>十月一号开始我邀请了五个人等于是奖励五十元。</t>
  </si>
  <si>
    <t>2019/10/09 16:56:50</t>
  </si>
  <si>
    <t>要求退还砍头息450元，通联支付为违规商户提供支付服务。</t>
  </si>
  <si>
    <t>2019/10/09 16:56:17</t>
  </si>
  <si>
    <t>在我本人可以联系上的情况，爆我通讯录，群发信息。</t>
  </si>
  <si>
    <t>2019/10/09 16:56:16</t>
  </si>
  <si>
    <t>投诉人 白先生        投诉对象  及贷平台        涉诉金额  16 000 元    问题类型    诉求类型投诉详情  合同金额16000元，到账14000多元</t>
  </si>
  <si>
    <t>2019/10/09 16:55:19</t>
  </si>
  <si>
    <t>大连冲学网络科技有限公司为第三方支付平台，到账3100，6天后需要还款1900，已付清，要求退还多收的利息1900元。</t>
  </si>
  <si>
    <t>2016年捷信客服打电话找我跟我说你可以在我们公司申请贷款40000元那个时候对利息本金都不了解就去办理了25000的贷款分了32期现在本金已还清还差利息，因为怀孕没有工作孩子出生有病住院资金紧张捷信利息太高。</t>
  </si>
  <si>
    <t>2019/10/09 16:54:42</t>
  </si>
  <si>
    <t>2018年12月4日在点点平台申请10000元借款分12期归还，现在是第10期还款，因为个人原因造成了逾期，点点催收人员打电话过来恐吓威胁加辱骂，并且要爆我通讯录，当时我给点点客服打电话沟通过三次，向点点公司客服恳请我会尽快处理欠款，并且积极的配合你们的工作包括随时接听电话，请不要拨打我亲友的电话，客服当时也答应转达给贷后人员，当时给客服打了三次电话，但是点点催收人员在我跟客服第二次沟通的同时拨打了我的通讯录亲友的电话，包括同事及客户的电话，一通的威胁恐吓，严重的影响了我的亲友正常的生活，对我个人造成了不可</t>
  </si>
  <si>
    <t>2019/10/09 16:54:41</t>
  </si>
  <si>
    <t>在钱站借款1000元借款成功以后显示借款1750元，750元为第三方偿还费用，每期还款金额为595.13元。</t>
  </si>
  <si>
    <t>2019/10/09 16:54:30</t>
  </si>
  <si>
    <t>群发短信骚扰我的亲朋好友，没啥说的，停止骚扰，有啥问题直接找我。</t>
  </si>
  <si>
    <t>2019/10/09 16:54:13</t>
  </si>
  <si>
    <t>我的账号使用了将近3年，并且有游戏充值累计7.8万元，并且账号里有我相册信息通讯录信息等重要信息，现要求贵公司撤销对我账号的冻结处罚，具体原因如此，账号在十几天前被盗走，期间盗号的人应该是对我账号进行过售卖、这是我听贵公司客服讲的、详细冻结原因我不知情，在我将账号申诉回来的第四天我登录账号发现账号被冻结，给客服打电话说我有过交易记录、因此将我账号冻结，我向贵公司要交易记录等证据贵公司作不能给予的回复，并且我讲本人可以出具证明账号是我本人的所有证据、但客服依旧不予解冻，我作为贵公司的手机用户3年、但现却遭受如</t>
  </si>
  <si>
    <t>2019/10/09 16:54:07</t>
  </si>
  <si>
    <t>深圳市升学文化传播有限公司霸王条款，拒不退款。</t>
  </si>
  <si>
    <t>2019/10/09 16:54:03</t>
  </si>
  <si>
    <t>借款3000分三期，每期10天，共还款3720，要求退还除国家法定利率外的多余钱款。</t>
  </si>
  <si>
    <t>2019/10/09 16:53:39</t>
  </si>
  <si>
    <t>融360平台酷卡高利贷套路贷，借款1500，实际到账1200，借款时间13天，打爆通讯录，已经失去生活的信心，希望国家重视。</t>
  </si>
  <si>
    <t>2019/10/09 16:53:35</t>
  </si>
  <si>
    <t>投诉人 廖女士        投诉对象  卡卡贷        涉诉金额  2 500 元    问题类型    诉求类型投诉详情  卡卡贷明知变相砍头息强行搭售保险 还误导用户 已经结清所有欠款 要求归还恶意扣除的砍头息以及保险费用 让他们提供借款合同也说没有</t>
  </si>
  <si>
    <t>2019/10/09 16:53:33</t>
  </si>
  <si>
    <t>因为个人生活变故，失业在家带娃，老公一个月工资3000多，总共债务两人有60多万，经过努力已经还了30多万，每个月能拿的出钱还的已经很有诚意归还给招商银行，我与其协商想停息还本，但是银行没同意，打电话催债甚至侮辱我们夫妻，要求工作人员给我们道歉，是不是实际经济情况可以由法院调查。</t>
  </si>
  <si>
    <t>2019/10/09 16:53:11</t>
  </si>
  <si>
    <t>淘集集副总裁moni，亲口承诺在9月30日之前结清货款，这些货款都是压了快4个月了，平台承诺的账期是T+1，证据也先不上传了，给你们留着面子，moni你的电话微信和聊天截图这些就暂时不公开了，给你们留着面子。</t>
  </si>
  <si>
    <t>2019/10/09 16:53:04</t>
  </si>
  <si>
    <t>在没有任何借款的情况下，卡里一有钱就瞎扣款。</t>
  </si>
  <si>
    <t>2019/10/09 16:52:32</t>
  </si>
  <si>
    <t>本行工作人员来电本人工作单位恶意诋毁，诽谤，诋毁本人，。</t>
  </si>
  <si>
    <t>2019/10/09 16:52:27</t>
  </si>
  <si>
    <t>在滴滴客服反馈了问题，因为没时间拒接电话后连续拨打骚扰，，，帮朋友投诉的，还要骚扰，之前接了一次电话的。</t>
  </si>
  <si>
    <t>2019/10/09 16:52:26</t>
  </si>
  <si>
    <t>金融机构客户身份识别和客户身份资料及交易记录保存管理办法，等规定，切实履行反洗钱义务和识别客户身份的义务，作为有牌照的银生宝公司没有履行国家相关法律法规要求。</t>
  </si>
  <si>
    <t>2019/10/09 16:52:20</t>
  </si>
  <si>
    <t>本人在网易旗下手游梦幻西游中消费10000多人民币，消费的游戏角色于2019.09.26被隔离，原因是涉及线下交易，隔离时间一个月或者充15000仙玉保释，然而此账号在隔离的近期一直是我自己在玩，目前绑定的手机也是我的，并不存在线下交易，梦幻西游内部应该也可以查询实情是否有异常登录，但在我多次申诉要求解除隔离或者减轻处罚力度后，游戏客服敷衍了事，在没有证据，没有仔细核查的情况下一直污蔑我涉及线下交易，对于这种对消费者无理处罚，强制消费的行为希望贵平台能帮忙协调曝光，为广发消费者提供警示！。</t>
  </si>
  <si>
    <t>2019/10/09 16:52:15</t>
  </si>
  <si>
    <t>本人因资金周转需要，于2019年4月21日在快闪卡贷APP上借了一笔金额为10000元，由中国光大银行股份有限公司苏州分行发放10000元、实际到账8417元，借款分6期，每期应还2006元，每个月的利息高达602元，总共6期本金加利息就要还12036元，，利息高达3619元，达到本金的43%左右！通过计算，改平台的借款年利率竟然高达84.15%，远远超过法定民间借贷年利率红线36%，属于十足的超级高利贷，我只希望借助平台帮我协商一下要求快闪卡贷官方归还超出国家规定的利息问题，希望在该平台投诉能帮我解决一下</t>
  </si>
  <si>
    <t>2019/10/09 16:52:05</t>
  </si>
  <si>
    <t>2019年7月11日下午23点左右，我玩手机的时候弹出广告，下载安装，进去之后免密支付之后，这个软件弹出一个窗口，自动扣费成功，99块，第二次在三个月后2019年10月9日没有任何通知的情况下北京友缘在线网络科技股份有限公司直接自动扣费99元，这和抢劫偷盗有什么区别！要求退款198元！要求流氓广告软件退钱！。</t>
  </si>
  <si>
    <t>2019/10/09 16:51:47</t>
  </si>
  <si>
    <t>该公司侵犯了个人权益，阴阳合同强行免密扣款愿给与该平台严利处理。</t>
  </si>
  <si>
    <t>2019/10/09 16:51:17</t>
  </si>
  <si>
    <t>于今年8月24日我哥在升学教育报的专本连读，考试培训的课程总计14960元，我哥初中没毕业，文化程度低，销售对其诱导称报名可以申请助学补助，深圳市升学文化传播有限公司，还利用我哥的身份信息向第三方贷款机构进行了贷款作为本次培训的费用，没有考虑到我哥是否能够偿还，这笔贷款据他们称是第三方支付给他们的，我们没有看到一分钱，但是我哥也已经偿还了一部分了，我知道这件事情之后联系机构退学退款，但是一直与我周旋，态度不积极，被告知退款要扣除注册费25%，我询问什么是注册费业务老师含糊其辞，说是升学教育机构帮我哥交的贷款</t>
  </si>
  <si>
    <t>2019/10/09 16:50:54</t>
  </si>
  <si>
    <t>腾讯微粒贷暴力催收，因各种原因导致逾期，微粒贷催收人员态度恶劣，到处打亲朋好友电话告知欠款行为，导致工作和生活造成严重影响，望聚投诉平台明查并打击暴力催收人员违法事实。</t>
  </si>
  <si>
    <t>2019/10/09 16:50:53</t>
  </si>
  <si>
    <t>猫眼平台虚假活动，邀请新人没人10元现金活动，商家不给钱，存在恶意虚假宣传，诱导别人使用，一共邀请得现金是220.8元，请立即退换给我，不诚信商家，应该关闭该平台，请有关部门介入处理。</t>
  </si>
  <si>
    <t>2019/10/09 16:49:40</t>
  </si>
  <si>
    <t>1.本人于2017年11月28日通过手机APP申请中腾信借款，通过APP显示借款金额为55000元，但实际借款合同金额为65927.77元，其中10927.77据合同显示该笔费用为咨询费，此举是否存在砍头息之嫌，其次，明明合同金额65927.77元，为何APP显示借款金额55000元，只有查看协议才能得知真实合同金额，此举明显存在误导客户之嫌，2.暴力催收，中腾信与小花钱包隶属于同一家公司，分别为每月9号、10号还款，且本人已经使用2年左右时间，期数36期已归还21期，但由于本人资金这段时间相对紧张，也多次</t>
  </si>
  <si>
    <t>2019/10/09 16:49:23</t>
  </si>
  <si>
    <t>我在闪银里借了2600块钱分了六个月，砍头息就扣了我好几百，就在刚刚催收给我打了电话威胁我今天如果不还的话就爆我通讯录打我联系人。</t>
  </si>
  <si>
    <t>2019/10/09 16:49:16</t>
  </si>
  <si>
    <t>珍爱网，在没有开通会员，页面设计看起来很多女孩子找你，一开通会员，全都基本都没有几个实名的，而且也都不理会人的，都是假的，都是打招呼的，根本没有真心为单身的人着想，只想人开通会员的套路。</t>
  </si>
  <si>
    <t>2019/10/09 16:48:37</t>
  </si>
  <si>
    <t>本人在洋钱罐上申请10000万借款，分12期，每期还款1024.但是合同显示年利率为百分之35.84超过国家合理百分之24，还款首期还款2320多还的这1296是什么费用。</t>
  </si>
  <si>
    <t>2019/10/09 16:48:22</t>
  </si>
  <si>
    <t>造艺科技网上一大批人被骗，你们为何如此嚣张，你们这样的公司为什么不被抓，公安怎么不处理，一定维权到底。</t>
  </si>
  <si>
    <t>2019/10/09 16:47:45</t>
  </si>
  <si>
    <t>未经本人同意恶意扣款200元，因银行卡余额不足还要扣99，都暂时不敢往那张银行卡存钱了，希望商家能退回欠款，希望平台能给予帮助。</t>
  </si>
  <si>
    <t>2019/10/09 16:47:14</t>
  </si>
  <si>
    <t>小牛科技旗下的惠花花和秒购，强行搭售大地意外保险，拒不赔偿，本人没有同意购买，请跟进！。</t>
  </si>
  <si>
    <t>2019/10/09 16:47:12</t>
  </si>
  <si>
    <t>融360平台普惠省高利贷套路贷，借款2500，到账2000，贷款时间实际13天，到期打爆通讯录，让我失去了生活的信心，希望国家还一个公道。</t>
  </si>
  <si>
    <t>2019/10/09 16:46:53</t>
  </si>
  <si>
    <t>本人15年开的店铺，到现在已有4个年头，中途有一年多时间没有运营，今年2019年8月份开始重新激活淘宝店铺，九月份打算开始运营，，好赶上10月国庆，但是店铺出现一个复核问题，然后本人实名到现在，一直没有通过，说我的账号存在安全风险问题，我想说我本人使用本人实名的为什么会这样，难道我身为一个店主的权益就没了吗，在此期间我也没上架商品，也没出售过任何商品。</t>
  </si>
  <si>
    <t>2019/10/09 16:46:37</t>
  </si>
  <si>
    <t>这还用说什么么，借了1000块，每个月还450多，服务费1块。</t>
  </si>
  <si>
    <t>2019/10/09 16:46:36</t>
  </si>
  <si>
    <t>一共借了5000块钱，已经还了10期了8期还了609一个月两期还了562加起来都还了5994，还一直催，今天一天打了这么多电话，投诉，必须投诉，态度不好本来想还现在不想了。</t>
  </si>
  <si>
    <t>2019/10/09 16:46:18</t>
  </si>
  <si>
    <t>本人自今年以来使用货拉拉数次，一共支付近400元的运费，由于近日需要报销，联系货拉拉客服后，两名客服人员均告知，由于我使用的是个人版APP下的订单，故无法开具发票，此行为已涉嫌偷税漏税！望相关部门予以处理为盼！。</t>
  </si>
  <si>
    <t>2019/10/09 16:46:15</t>
  </si>
  <si>
    <t>10月2日芸学教育销售以芸学教育机构能提供ACI中级国际注册心理咨询师培训和考试、通过率90%以上、全年历史最低价、证书可在他们机构挂靠等为由，诱导报名消费3580，而且我明确说了我的条件不符合报考条件，他们就说今年国家政策宽松就今年可以报名，多次劝说，可是要求拿出文字形式的国家政策时，他们自动忽略此问题，还说一直加班等我报名，我怕因为我加班，所以赶在下班前没问清楚，先转给他们了钱，报名后，无合同、无发票、无收据，后来以短信的形式发送网课账户，登录账户开课时需签开课协议，仔细看后觉得协议内容过于霸道，经网上</t>
  </si>
  <si>
    <t>2019/10/09 16:45:51</t>
  </si>
  <si>
    <t>投诉人 赵女士        投诉对象  首汽约车        涉诉金额  200 元    问题类型    诉求类型投诉详情  首汽约车之前充值了200元， 现在连续两天收不到验证码无法登陆进账号</t>
  </si>
  <si>
    <t>2019/10/09 16:45:40</t>
  </si>
  <si>
    <t>投诉人黄明投诉对象滴滴出行涉诉金额0元问题类型诉求类型投诉详情我找客服是解决问题的不是敷衍我的，工号7931客服的服务态度引起我的严重不满意。</t>
  </si>
  <si>
    <t>2019/10/09 16:45:26</t>
  </si>
  <si>
    <t>投诉人赵先生投诉对象淘宝网,广州远扬厨具涉诉金额2680元问题类型诉求类型投诉详情淘宝买到劣质产品，商家同意退款，把东西寄回去后各种理由不退款，淘宝作为一个第三方平台缺乏公平公正公开的态度，联系迟迟不给回复，导致我在淘宝买了东西东西没得到钱也被骗了，资金一时周转不开导致邮政银行信用卡逾期，由于淘宝不完善的客服体系对我造成经济损失及信用损失。</t>
  </si>
  <si>
    <t>2019/10/09 16:45:21</t>
  </si>
  <si>
    <t>交易失败后显示退款失败，然后一直不退款，我现在只要求交易猫退钱。</t>
  </si>
  <si>
    <t>2019/10/09 16:44:39</t>
  </si>
  <si>
    <t>于2019年10月9日于交易猫购买账号支付250元，交易过程中卖家要求填写什么投保60天才发货，重新填写他的手机号和他规定的字样后，订单自动确认交易成功，未收到任何发货信息，订单也无法申请仲裁，订单直接自动确认，，没有验证过程及仲裁过程！全程于交易猫游戏交易APP完成！！！而且删掉了我的qq交易猫没有处理问题。</t>
  </si>
  <si>
    <t>2019/10/09 16:44:27</t>
  </si>
  <si>
    <t>我在2019年10月9日向：“我注册了聚富分期，想看看自己的借款额度，跳转出界面绑定了银行卡，结果他自动扣款，说生成了一个风险评估，在消费者并不知情的情况下，我认为所有的消费都应该是经过本人的允许才能进行。</t>
  </si>
  <si>
    <t>2019/10/09 16:44:16</t>
  </si>
  <si>
    <t>借款2000多一点点，逾期扣除400利息加违约金。</t>
  </si>
  <si>
    <t>2019/10/09 16:44:11</t>
  </si>
  <si>
    <t>联系不上人工客户，打客服电话直接挂断！要求退款。</t>
  </si>
  <si>
    <t>2019/10/09 16:43:51</t>
  </si>
  <si>
    <t>说要上门找我爸妈，找我，让我现在有家都不敢回，。</t>
  </si>
  <si>
    <t>2019/10/09 16:43:45</t>
  </si>
  <si>
    <t>本人于2019年8月底在立借APP上申请借款5500元，申请之前说好是等额本息，然后在长时间的审核之后，在2019年9月初，款项打入我的账户，按照还款计划当中的前三期费用，包括本金、利息、以及平台所标示的其他费用，加起来已经超出本金，以及全部待还金额的年利率为36%，因觉还款计划不合理，本人到期未还款，便每天收到自称是立借委托方的电话，甚至立借的委托方已经打电话到我朋友的手机了，对我的生活造成严重影响，让我在两日之内提前还款6280元即可，即5500+5500×24%，借款时间未到一年，却按一年的利率计算款</t>
  </si>
  <si>
    <t>2019/10/09 16:43:41</t>
  </si>
  <si>
    <t>多次给浦发银行电话通过协商还款问题，由于个人资金周转不过来，多次自动电话沟通，浦发客服一直推脱到第三方，第三方每次打电话都是进行语言威胁和不愿意进行协商，每天换不同的人不同时段电话骚扰，我一直有说明我自身的处境和协商还款意愿和还款计划，第三方公司一直拖延时间，上海电话打到我手机上自称浦发总行没有到我个人协商情况，第三方也一直不协商还打电话骚扰身边的人。</t>
  </si>
  <si>
    <t>2019/10/09 16:43:33</t>
  </si>
  <si>
    <t>2019/10/09 16:43:25</t>
  </si>
  <si>
    <t>平安普惠已经将案件转交第三方处理，态度恶劣，还乱发信息说要去法院告我！我提议分期处理款项，但是说没有这种处理方式，说过了80天就没有这种处理方式，但是我是有意愿还款，她缺视而不见，希望处理这事的相关人员与我联系，协商分期还款事宜！签订合同协议！因本人欠款太多，只能分期还款，就算冻结我名下房产，我也根本没有，请问你们需要做到这个份上。</t>
  </si>
  <si>
    <t>2019/10/09 16:42:32</t>
  </si>
  <si>
    <t>投诉人 李女士        投诉对象  贷上钱        涉诉金额  2 500 元    问题类型    诉求类型投诉详情  一直打电话骚扰 发信息给我朋友们 ！威胁上门</t>
  </si>
  <si>
    <t>2019/10/09 16:42:27</t>
  </si>
  <si>
    <t>当初入驻开三云匠网的时候承诺我一年所接的单子赚取金额会超出3600，不会让我亏了，然而去年十月底缴纳会员费至今，一个单子都没，在网上和客服沟通，还说没有明确说明退费就不给退，意思就是我没有单子就是白充了会员费，我认栽就好了。</t>
  </si>
  <si>
    <t>2019/10/09 16:41:54</t>
  </si>
  <si>
    <t>融360平台快来花，高利贷套路贷，借款15天，借款1500，实际到账1200，属于典型的高利贷套路贷，打爆通讯录，行为可鄙，让我失去了正常的生活，希望国家重视。</t>
  </si>
  <si>
    <t>2019/10/09 16:41:45</t>
  </si>
  <si>
    <t>2015年3月24日借款20000实际到账16000，2016年4月19日全额还款累计28910.01元，综合年利率高达64.5%。</t>
  </si>
  <si>
    <t>2019/10/09 16:41:19</t>
  </si>
  <si>
    <t>2019年6月24日在卡牛瑞贷借款8000元，随后直接划扣960元，第二天联系要求全部还款，要我多还500多元，让我先还着，随后多次联系客服无法协商，要求我还款8400多元，严重超过国家利率，而且无法说清多扣的款项，无法提供发票，最后一次逾期后有客服问我还多少钱，我说按照国家最高利率还款2100，说我存上，但是没有销账，打我朋友电话毁坏我名誉，要求赔偿。</t>
  </si>
  <si>
    <t>2019/10/09 16:41:18</t>
  </si>
  <si>
    <t>投诉人 史先生        投诉对象  聚福钱包,造艺科技        涉诉金额  250 元    问题类型    诉求类型投诉详情  合同不明确，糊弄借款者。没经过本人同意恶意扣款，有故意盗刷嫌疑。望及时处理。</t>
  </si>
  <si>
    <t>2019/10/09 16:40:52</t>
  </si>
  <si>
    <t>说银行卡需要解冻然后坑了我2300元，然后就联系不到了。</t>
  </si>
  <si>
    <t>2019/10/09 16:40:36</t>
  </si>
  <si>
    <t>本人由于生意失败亏损导致美团生活费逾期暂时无法还上，美团催收人员恐吓要给亲朋好友打电话催款及群发短信，电话076938827870，这是我个人问题与其他人无关，望停止暴力行为。</t>
  </si>
  <si>
    <t>2019/10/09 16:39:03</t>
  </si>
  <si>
    <t>北京南站1.06分定单乘客定错位置导致地下停车场停车时间过长产生停车费3元乘客故意取消订单平台还判断我有责。</t>
  </si>
  <si>
    <t>2019/10/09 16:38:45</t>
  </si>
  <si>
    <t>豹子贷,上海造艺网络科技,造艺网络科技,银码头，无故扣款299，强烈要求做出合理解释，退款。</t>
  </si>
  <si>
    <t>2019/10/09 16:38:29</t>
  </si>
  <si>
    <t>申请借款，莫名其妙先扣了299，然后根本没有贷款下来。</t>
  </si>
  <si>
    <t>2019/10/09 16:38:25</t>
  </si>
  <si>
    <t>本人在51人品贷借了几笔借款，觉得利息很高，想提前结清，但是申请提前结清里面，有一个收费项目叫“各项费用”，这笔费用还不少，觉得这个收费不合理，我算了一下，按月还款总额和提前结清总额加上这比费用，相差无几，那我提前还款毫无意义，我只认未还款本金加当期利息，其他不认可。</t>
  </si>
  <si>
    <t>2019/10/09 16:37:45</t>
  </si>
  <si>
    <t>利息太高，和下款时不一样，还爆通讯录，还收个不知名的3百块，要求给个解释！。</t>
  </si>
  <si>
    <t>2019/10/09 16:37:36</t>
  </si>
  <si>
    <t>月初被女朋友在不知情的情况下用闪电借款，借款10000元，必须购买黑卡1410元，上次已经要求闪电借款注销账号，诉求退还黑卡购买费用和注销账号。</t>
  </si>
  <si>
    <t>2019/10/09 16:37:21</t>
  </si>
  <si>
    <t>在唯品会纤莉秀买了两件衣服，一共300多块钱，昨天刚收到货，今天就降价了，而且降了66块之多，找客服补差价，客服说补不了，让退货，都已经打开了，包装都扔了，没法退，这也太没诚信了，欺骗消费者，应该严厉打击唯品会这种行为。</t>
  </si>
  <si>
    <t>2019/10/09 16:35:36</t>
  </si>
  <si>
    <t>融360平台下利贝，高利贷套路贷，贷款15天，借2500，实际到账2000，借了5次，到期当天暴力催收，希望国家重视，现在连生活都没有勇气。</t>
  </si>
  <si>
    <t>2019/10/09 16:35:29</t>
  </si>
  <si>
    <t>本人在花转转借款多次，每次都有还，最近一次还不进去，联系客服不到，导致我逾期，花转转本身高利代，借4000，到账2800，，分4期，每期还1022.元，逾期1天费用68元，他平台还款导致我逾期的，也没调正，现在还天天打电话骚扰我跟家人朋友，希望停止骚扰，并销账，不然本人坚决报警，因本人借多次还的钱比本金多了好几倍，足以抵消剩下的3期。</t>
  </si>
  <si>
    <t>2019/10/09 16:35:02</t>
  </si>
  <si>
    <t>投诉人 房雨        投诉对象  点心贷        涉诉金额  2 300 元    问题类型    诉求类型投诉详情  点心贷不仅还款日当天用私人电话联系我 而且现在爆我通讯录给家人 威胁辱骂 我有录音 录音上说他已经联系了很多人 就我一个接通了 你们如果以后再敢打电话过来 我会一直投诉银监会 直到你们登上315 我还要投诉他的态度问题 他有严重的态度问题 完全不是一个小屁孩 。我现在想死的心都有了 以后有事联系176******16 别再爆我通讯录了 拨</t>
  </si>
  <si>
    <t>2019/10/09 16:34:30</t>
  </si>
  <si>
    <t>投诉人刘志龙投诉对象豹子贷,造艺科技涉诉金额299元问题类型诉求类型投诉详情未经本人同意恶意从银行卡中扣款，不退款就去银监会继续投诉,,本人完全不知情,就算收费一个风险评估要299,合理吗?而且我银行卡只有167扣150你们有这个权利吗?合法吗?根本就是恶意扣费吧。</t>
  </si>
  <si>
    <t>2019/10/09 16:34:26</t>
  </si>
  <si>
    <t>投诉人李先生投诉对象人人追涉诉金额25000元问题类型诉求类型投诉详情本人华夏银行信用卡逾期久了每月本人也在尽最大能力在还，多次跟对方联系分3年还款，但是对方不同意，委托北京人人追网络公司对我进行催收，调查我的隐私，还给我前单位不停的打骚扰电话，我更换联系方式都跟银行联系过，人人追不是公检法难道他们哪来的权利调查我的隐私。</t>
  </si>
  <si>
    <t>2019/10/09 16:33:24</t>
  </si>
  <si>
    <t>投诉人董女士投诉对象汇潮支付,金宝盆涉诉金额1900元问题类型诉求类型投诉详情汇潮支付为非法高利贷金宝盆提供放款渠道，到手本金1100，2天后还款1500，因其平台下架导致的逾期费用每天200，后催收言语辱骂并威胁要将我通讯录打遍，我已不堪其扰！汇潮支付为其提供放款渠道，实乃帮凶！。</t>
  </si>
  <si>
    <t>2019/10/09 16:32:48</t>
  </si>
  <si>
    <t>2019/10/09 16:32:45</t>
  </si>
  <si>
    <t>非常高利贷，砍头息，电话骚扰，电话打给亲朋好友，请立马停止骚扰。</t>
  </si>
  <si>
    <t>2019/10/09 16:32:38</t>
  </si>
  <si>
    <t>苏宁经营开店，由于平台流量太少，达不到效果，没达到预期销量，于6月1号申请退店，直到现在7月26号，还是商管审核第一步，页面显示说是15天之内处理，严重违背信用，涉嫌欺骗，另外投诉苏宁商管人员，拿工资迟迟不办事，审核店铺快两个月还不处理，这样的商管招多了公司迟早出事。</t>
  </si>
  <si>
    <t>2019/10/09 16:32:36</t>
  </si>
  <si>
    <t>几天在一家招联金融企业小额贷款有限公司，货款20000元，程序全办好，交600元工本费，然后他们要我交解冻费和诉讼费，3000元，后我不贷，要求退款，他们就不理我了。</t>
  </si>
  <si>
    <t>2019/10/09 16:32:35</t>
  </si>
  <si>
    <t>造艺科技豹子贷恶意扣款299元，请求退款，。</t>
  </si>
  <si>
    <t>2019/10/09 16:32:04</t>
  </si>
  <si>
    <t>投诉人黄依投诉对象天猫超市涉诉金额25元问题类型诉求类型投诉详情天猫超市承诺本人先垫快递费退回，后返还，联系天猫客服，登记了退运费25，说1到3工作日处理，现过去十天，都没到帐。</t>
  </si>
  <si>
    <t>2019/10/09 16:32:01</t>
  </si>
  <si>
    <t>之前在公司门口办理了一张电信卡，但是因为家里网络套餐的问题一直没有使用，时间长了卡就丢失了，一个月后给我通知说欠了90几块钱，然后由于没时间交费，拖到了下一个月，居然又给我扣了钱，我真的是醉了，都欠费了，流量电话丢无法使用，还继续扣费，这是个什么意思，简直就是黑心公司，太坏了。</t>
  </si>
  <si>
    <t>来电自称催收公司催款，金额2800多，有本人信息，身份证尾号，但是本人从未用过。</t>
  </si>
  <si>
    <t>2019/10/09 16:31:44</t>
  </si>
  <si>
    <t>我爱人徐玲玲被网贷坑了四十多万，现在整个家庭支离破碎，在宜信公司借三万分二十四期，每期还2450元！剩最后两期了，还不起了！不想还了！爱怎么着就怎么着！。</t>
  </si>
  <si>
    <t>2019/10/09 16:31:14</t>
  </si>
  <si>
    <t>泄露客户个人隐私，对其家人进行侮辱，威胁，电话短信骚扰，暴力催收。</t>
  </si>
  <si>
    <t>2019/10/09 16:31:07</t>
  </si>
  <si>
    <t>今天是我的还款日，因为资金上有问题一直在筹钱还款，她们客服就从早上打电话给我叫我4点以前还进去，各种说！！！必须现在还进去，还辱骂我的家人。</t>
  </si>
  <si>
    <t>2019/10/09 16:30:10</t>
  </si>
  <si>
    <t>1.我因资金问题2018年11月在及贷借款19000元，等本等息，12期，合同写的年化率百分之16.482，实际计算下来利息近七千，妥妥的高利贷阴阳合同，2.我已经投诉无数次，期间打了一个电话来，告知我他们合法利率，不给正常换国家规定利息和本金，而我已经用正常法律规定的利息方式进行计算，完全不对，2.我目前已还21609.06元，已还够本金利息，要求给我嚣张，多余部分不再还，若不解决，投诉银监会和当地监管部门。</t>
  </si>
  <si>
    <t>2019/10/09 16:29:46</t>
  </si>
  <si>
    <t>融360平台下的胜呗，高利贷套路贷，借款15天，前后借了6次，2500到账2000，前后贷款时间只有13天，属于典型的高利贷套路贷，无良催收，打爆通讯录，严重影响个人生活，希望国家重视，还民公道。</t>
  </si>
  <si>
    <t>2019/10/09 16:29:34</t>
  </si>
  <si>
    <t>未经本人同意恶意骚扰家人，态度恶劣，诽谤侮辱。</t>
  </si>
  <si>
    <t>2019/10/09 16:29:24</t>
  </si>
  <si>
    <t>迅付,金豹贷,上海造艺网络技术有限公司,上海跃吉网络科技有限公司，本人于2019年6月5日莫名其妙短信收到一个借钱app，点进去没有借款提交的资料后没有借款还把它删了，过两天收到短信扣费208，我希望迅付信息科技有限公司能个解释，退款就行，，只显示额度不放款，就是要骗取客服299元的评估费用，因余额不足，分别两天在没有经过本人同意的情况下，环迅支付擅自绑定本人光大银行卡扣除100元，如果不解决的话，本人将向中国银保监会提供扣款证据进行投诉！。</t>
  </si>
  <si>
    <t>2019/10/09 16:29:19</t>
  </si>
  <si>
    <t>流量超支了，短信提醒太慢，而且欠费后没停机，导致一直欠费，一扣就是300多，之前联系客服说返还也没处理到位，现在要求至少退回250话费，我还是个学生，哪有300多来交话费，希望你们能理解，如果未处理，将向工信部进一步申述，现在手机号码停机，打不通电话了，如果需要联系，加我微信191******75。</t>
  </si>
  <si>
    <t>2019/10/09 16:28:41</t>
  </si>
  <si>
    <t>投诉人陈先生投诉对象友信分期涉诉金额0元问题类型诉求类型投诉详情电话不停的骚扰，影响我正常上班，生活，我又没欠他们钱，别人留的一个紧急联系人，天天给我打电话。</t>
  </si>
  <si>
    <t>2019/10/09 16:28:05</t>
  </si>
  <si>
    <t>投诉人 吴女士        投诉对象  钱包易贷        涉诉金额  6 000 元    问题类型    诉求类型投诉详情  给家人群发短信骚扰，不停打电话。严重影响本人生活。由于手机出现问题，之前一直无法登陆。现不能一次性还款。请停止恶意骚扰群发短信。</t>
  </si>
  <si>
    <t>2019/10/09 16:27:44</t>
  </si>
  <si>
    <t>今天最后一天还款日还未逾期，因为之前那张建设银行卡没有使用了，前几期都是通过微信转账给财务还款的，这边已经和对方财务对接了还款事项，并表明现在正在开会，这女的暴力催收，电话轰炸。</t>
  </si>
  <si>
    <t>2019/10/09 16:27:13</t>
  </si>
  <si>
    <t>9月22日，在此之前的几天，我己经把钱存到银行卡里，23号一早，平台发来短信，说我逾期了，不但把我应该还的钱扣了，还扣掉了我逾期费用，我每月应还1800多元，结果因为宜人贷方面的原因说我逾期扣了我200多的逾期费，相当于逾期一天扣了10%以上的费用，我明明早早就存进卡里钱了，结果还逾期了，我当然不服，然后我联系了宜人贷客服，我：农行平台出故障了，你们扣不掉款，为什么算我逾期，后来，我再查宜人贷的APP，发现，他们把我的逾期记录删掉了，如果逾期责任在我，又为何在我投诉之后消除了逾期纪录，我查询我的还款流水，中</t>
  </si>
  <si>
    <t>2019/10/09 16:27:05</t>
  </si>
  <si>
    <t>投诉人刘先生投诉对象联通华盛涉诉金额4197元问题类型诉求类型投诉详情微信大王卡退款收件人手机这三个订单从退款到现在都已经快一个月了联系客服说处理一直拖拖拖，到现在不理人。</t>
  </si>
  <si>
    <t>2019/10/09 16:26:18</t>
  </si>
  <si>
    <t>小浦优客我都不知道是什么，突然间的一条信息扣我银行卡的钱了。</t>
  </si>
  <si>
    <t>2019/10/09 16:26:16</t>
  </si>
  <si>
    <t>10月7日，在玖富分期上申请贷款88600元，审核通过，到今天10号也没放款，也撤销不了，联系不到客服人员，也有还款计划，不知道昨回事。</t>
  </si>
  <si>
    <t>2019/10/09 16:25:59</t>
  </si>
  <si>
    <t>本人交行卡在10月3日需要还款，国庆期间回老家，不慎忘记归还，今天下午4点交通银行打电让我5点前必须还款，本人跟银行工作人员说明情况，需要时间筹备资金，工作人让我必须在5点前筹到1600元还款，我跟工作人员说我只能保证今天24点前还款，5点前我不能保证，工作员再次强调必须在5点前。</t>
  </si>
  <si>
    <t>2019/10/09 16:25:56</t>
  </si>
  <si>
    <t>前期农业银行信用卡暴力催收，反馈到农业银行信用卡中心，暴力催收反而有恃无恐，骚扰通讯录，这和黑社会会有什么区别，希望农业银行停止暴力违法行为。</t>
  </si>
  <si>
    <t>投诉人 张先生        投诉对象  Wecash闪银        涉诉金额  1 000 元    问题类型    诉求类型投诉详情  闪银放高利贷，借一千到账只有750。严重超出国家规定利率。在国家严厉打击扫黑除恶的时候还打电话恐吓</t>
  </si>
  <si>
    <t>2019/10/09 16:25:36</t>
  </si>
  <si>
    <t>投诉人 刘先生        投诉对象  马上消费金融        涉诉金额  2 100 元    问题类型    诉求类型投诉详情  本人因为资金出现问题 加上马上金融无故冻结账号 和马上金融平台协商等发工资再还款 马上金融平台不接受 一直电话骚扰 现已经影响到本人的一个日常工作</t>
  </si>
  <si>
    <t>2019/10/09 16:25:34</t>
  </si>
  <si>
    <t>因电话设置防骚扰，所有骚扰电话都打不进来，早上接到一个电话，说我之前投诉他们如何如何，我说请她在其他时间给我打电话，我不方便接听，还加我微信，问是哪个平台的也不说，不知道什么意思。</t>
  </si>
  <si>
    <t>2019/10/09 16:25:29</t>
  </si>
  <si>
    <t>辱骂客户并且提出无理有条款扣钱，洗手盆长蘑菇说租户用坏了必须配个新的，马桶盖租房的时候就是坏的一人陪一百五买个新马桶盖，墙面一人陪五十，公共区域卫生一人陪一百五各种费用！因为我们都是合租四个屋子总共是三室一厅，客厅被单独格出来了租出去了，我们走的时候已经打扫过一遍了，但是匠寓就说屋里脏，不给退押金，跟他们让你沟通他们说屋里我们搬进去之前都是新的就用过一年，必须要赔偿！他们员工还说他家狗都比我们住的干净！。</t>
  </si>
  <si>
    <t>2019/10/09 16:25:27</t>
  </si>
  <si>
    <t>1.借款总额：399元，到账300元，剩余被钱站扣走了，2.300元分3期，每期金额168左右，总金额504，年利率260%，3.逾期一天，罚息100元，高利贷、砍头息各个不重样，4.借款原因：创业失败导致没有资金，再加上没有注意还款时间，5.以上描述全部属于事实，能够提供详细证据，6.催收发短信开始威胁，本人愿意承担本金及合规利息，多余部分不会去偿还，7.钱站顶着法律的红线继续放高利贷，这样的公司我们举报也不受理，报警也没用，仍旧让他们肆无忌惮的威胁、暴力对待普通人。</t>
  </si>
  <si>
    <t>2019/10/09 16:25:23</t>
  </si>
  <si>
    <t>昨天转转平台中午验机完成后，显示验机报告已完成请检阅，我这里看不到，后来报告还是找在线客服要的，由于没验机报告页面我都不能选择买或者不买，三番五次找在线客服和打人工电话十几次，连续踢皮球不作为，目前状态:无人处理，钱货两空，客服来回踢皮球。</t>
  </si>
  <si>
    <t>2019/10/09 16:24:38</t>
  </si>
  <si>
    <t>就欠你几十，我现在没钱，我说了23号，你还威胁我，挺厉害的啊，这个钱老子不还了！来啊，都别活了！打吧，还不敢用真实号码，真以为我好欺负不懂法律，你不怕死记住我也不怕，大不了都死，。</t>
  </si>
  <si>
    <t>2019/10/09 16:24:15</t>
  </si>
  <si>
    <t>我要求退；他给了我个qq让我找他退；可加了没人理我。</t>
  </si>
  <si>
    <t>2019/10/09 16:24:09</t>
  </si>
  <si>
    <t>投诉人 吴鑫        投诉对象  Wecash闪银        涉诉金额  4 220 元    问题类型    诉求类型投诉详情  闪银高利贷，砍头息。3000三期砍头息加利息1220。</t>
  </si>
  <si>
    <t>2019/10/09 16:23:42</t>
  </si>
  <si>
    <t>因国庆假期逾期，周转不到钱，明天才开支催收今天威胁恐吓要打父母电话。</t>
  </si>
  <si>
    <t>2019/10/09 16:23:31</t>
  </si>
  <si>
    <t>前几天在唯品会自营买的电脑，刚收到货就打开了，结果一打开就看到这个电脑开机有名字还有开机密码，一看就是别人用过的，并且我无法正常使用，我第一时间联系唯品客服，让我等24小时回电，期间没有收到一个电话，随后我又多次找了在线客服，得到的回复都是24小时给我答案，已经拖几天了结果到现在还没有收到一个解释。</t>
  </si>
  <si>
    <t>2019/10/09 16:22:53</t>
  </si>
  <si>
    <t>个人使用闪银的哼哼和瞬瞬有6个月了，哼哼和瞬瞬借款一直变相授权砍头息，如借款1500元，需要购买199元白条凭证，本月国庆假期出去玩，没有接受到还款信息，导致到今天逾期3天，催收打电话来一定要今天还款，我先协商说今天或明天才有钱还款，闪银的哼哼和瞬瞬不同意，后面了解到闪银哼哼和瞬瞬有延期还款服务的，逾期后第8天可以交钱开启延期还款，闪银的哼哼和瞬瞬的也不同意，现在投诉申请开启延期还款，停止电话骚扰！。</t>
  </si>
  <si>
    <t>2019/10/09 16:21:58</t>
  </si>
  <si>
    <t>滴滴出行办理人证期间豁免期限一个月，审核说3到5天出结果，现在过去10几天还没反应，之前朋友投诉了的还没解决，帮他再投诉一次。</t>
  </si>
  <si>
    <t>2019/10/09 16:21:06</t>
  </si>
  <si>
    <t>他说他是民生银行外聘机构的，威胁我，恐吓我，要起诉我，我想跟他协商，他说协商不了，但是我给客服打电话，客服告诉我，是他们找的外聘结构，说可以协商，让我好好跟他说，但是外聘机构不与我协商，我有诚意还钱，不是故意拖欠，我要商还款。</t>
  </si>
  <si>
    <t>2019/10/09 16:20:51</t>
  </si>
  <si>
    <t>不停打骚扰电话，骚扰通讯录盗取信息，给工作单位打骚扰电话，影响正常工作。</t>
  </si>
  <si>
    <t>2019/10/09 16:20:36</t>
  </si>
  <si>
    <t>暴力催收，恶语相向，有录音，电话每天很多严重影响生活，恶意跋扈，！。</t>
  </si>
  <si>
    <t>2019/10/09 16:20:16</t>
  </si>
  <si>
    <t>2019/10/09 16:19:48</t>
  </si>
  <si>
    <t>投诉人黄女士投诉对象小黄车涉诉金额89元问题类型诉求类型投诉详情小黄车客服无限排队，不能排到，人工客服电话打不通，希望尽快退我余额。</t>
  </si>
  <si>
    <t>2019/10/09 16:19:45</t>
  </si>
  <si>
    <t>2019年7月尚德机构打电话来说有可以提升学历的方法，对方添加我为好友后，我问对方是自考还是全日制，对方说你先交钱，交了钱跟班主任沟通就好，而且北京大城市还不用考英语，可以拿到学士学位，一年拿证，考前押题通过率百分之85，不管哪里都得考英语才有学士学位，完全听不懂，最重要的是售后打完电话说我违背了协议，才知道售前的工作人员根本没有给我发过什么协议就交钱了。</t>
  </si>
  <si>
    <t>本人在2019年9月18日下午在闪银平台还款被重复扣款事后多次联系客服。</t>
  </si>
  <si>
    <t>2019/10/09 16:19:36</t>
  </si>
  <si>
    <t>转账支付功能突然被限制，这是婴儿用品上货的钱，申请解除限制。</t>
  </si>
  <si>
    <t>2019/10/09 16:19:15</t>
  </si>
  <si>
    <t>投诉人 袁子路        投诉对象  众泰        涉诉金额  0 元    问题类型    诉求类型投诉详情  众泰sr7未满三年，变速箱问题，不给保修</t>
  </si>
  <si>
    <t>2019/10/09 16:19:10</t>
  </si>
  <si>
    <t>中山市火炬开发区自来水有限公司，共2735元，请中山市火炬开发区自来水有限公司帮开一份没有收到钱款的文字证明，请帮盖贵司公章以此证明/没有收到2735元，请帮忙加急盖公章，谢谢！联系人。</t>
  </si>
  <si>
    <t>2019/10/09 16:18:46</t>
  </si>
  <si>
    <t>我因在360借条逾期，金额210，时间8天，就每天接到无数催款电话，威胁我还款，严重影响到我工作与生活，他们还给我通讯录好友打电话，严重损害个人名誉。</t>
  </si>
  <si>
    <t>2019/10/09 16:18:30</t>
  </si>
  <si>
    <t>投诉人索安先生投诉对象360借条,360借款涉诉金额20000元问题类型诉求类型投诉详情我在上海淇毓信息科技有限公司360借条贷款20000，让我签合同，签合同的时候没有写贷款不能取消，额度下来了，合同上显示的是不能取消贷款，我跟客服沟通，客服说取消不了，取消也行，但是我还是要还款，希望解决一下，联系方式176******76。</t>
  </si>
  <si>
    <t>2019/10/09 16:17:41</t>
  </si>
  <si>
    <t>还呗借款平台去年在客户借款时强制要求客户购买其会员资格，并承诺12个月后退还会员费，可到期后却拒绝退还，声称是客户自愿购买会员资格的，且无客服电话你，只能通过网络与其联系，并安排不同的人通过虚拟号码向客户推销要求向其借款，承诺借款后提升额度，可借款成功后却未做调整。</t>
  </si>
  <si>
    <t>2019/10/09 16:17:32</t>
  </si>
  <si>
    <t>投诉人李女士投诉对象恒易贷涉诉金额22000元问题类型诉求类型投诉详情暴力催收，今天给我单位打了4个电话，态度恶劣，无法正常沟通～严重影响我工作，谁能给我主持公道没有人解决我就会一直告，直到有人管，难道国家就你没有法了吗，领导现在要辞退我，我没有工作，无法生活，天理何在，谁能给我主持公道，没有人解决我就会一直告，直到有人管，难道国家就你没有法了吗。</t>
  </si>
  <si>
    <t>2019/10/09 16:17:13</t>
  </si>
  <si>
    <t>本想联系闪银客服进行投诉这个催收人员，暴力催收，凶狠吼人，威胁爆通讯录，还说我是不还钱，我要不还钱我还接他电话耐心和他解释那么多干嘛，但一直联系不上闪银客服投诉这个催收，只能求助聚投诉平台，一接电话就开始噼里啪啦一顿吼，我逾期是我的问题，但我并没有不还钱，也没有联系不上，更何况这笔钱我不是无偿使用，凭什么被人吼成这个样子。</t>
  </si>
  <si>
    <t>2019/10/09 16:17:12</t>
  </si>
  <si>
    <t>找第三方催款公司催款打骚扰电话，骚扰通讯录的人，骚扰工作单位电话。</t>
  </si>
  <si>
    <t>2019/10/09 16:17:01</t>
  </si>
  <si>
    <t>本人于2019年2月的春节无意间在网上看到珍爱网的广告并注册了珍爱网APP会员，在时隔几天后，收到珍爱网线下电话，一位自称陈老师的红娘要求我去门店进行实名认证，我告诉他我已经在网上交了300多的会员费并已经进行了实名认证和人脸认证，他说还需要带身份证去线下门店核实，而且看过我在网上的条件，这边有3个女孩子对我挺感兴趣，希望见一下，和我说的是全程免费，反复强调让我一定要去，如果不去会影响我的信用，之前办的会员也会失效，如果去了会认可我的会员身份，并在红娘推荐中排名靠前，如果女生同意会和她的红娘说等两者都满意再</t>
  </si>
  <si>
    <t>2019/10/09 16:16:57</t>
  </si>
  <si>
    <t>每次没到还款前就来电话，都是说外包公司的，不管他们的事，还叫我早点还款免的伤和气之类的话，反正也不正当。</t>
  </si>
  <si>
    <t>2019/10/09 16:16:46</t>
  </si>
  <si>
    <t>1.本人因资金需要向“我来贷”累计申请借款14000+14000+13000合计41000元，在偿还部分本金及利息之后发现平台还款本金未减少，利息高昂的情况，真实年利率高达66.4%，远高于国家36%年利率的规定，2.我于还款日前一周进行投诉要去按照合同利率执行否则不予还款，要客服跟我来协商，但是一直到我逾期都没有电话过来，导致我逾期，逾期利息高达300元，远高于同期中国人民银行的贷款利率的4倍，并以催收费为由让本人缴纳，3.本人主动于10.1期间再次向“我来贷”公司在线及电话客服反馈协商利息，告知有专员回</t>
  </si>
  <si>
    <t>2019/10/09 16:16:23</t>
  </si>
  <si>
    <t>投诉人 黄明        投诉对象  造艺科技        涉诉金额  150 元    问题类型    诉求类型投诉详情  上海造艺科技的豹子贷无故扣钱 注意诱导欺诈客户。</t>
  </si>
  <si>
    <t>2019/10/09 16:16:08</t>
  </si>
  <si>
    <t>借款两笔，以金豆充值为名，变相收取砍头息，不购买无法下款，逾期一天便通知家人亲友，威胁上门催款，威胁将借款金额发到户籍所在地，威胁冲裁借款人，每天催收电话四五个，从来不听借款人诉求，只催促还款。</t>
  </si>
  <si>
    <t>2019/10/09 16:16:02</t>
  </si>
  <si>
    <t>投诉人刘先生投诉对象华为商城,精灵盛典涉诉金额286元问题类型诉求类型投诉详情华为商城里面的游戏，以充值活动返利，欺骗玩家充值！&amp;amp;nbsp;充值后一直没有返利！存在欺骗玩家！强烈要求退款处理！！！。</t>
  </si>
  <si>
    <t>2019/10/09 16:15:36</t>
  </si>
  <si>
    <t>小象优品分期还款已逾期三天，因工资第二天到账，所以跟催收人员协商第二天还款，但是催收人员马上就骚扰你我的通讯录。</t>
  </si>
  <si>
    <t>2019/10/09 16:14:48</t>
  </si>
  <si>
    <t>投诉人覃女士投诉对象南宁Tata木门快环店涉诉金额3560元问题类型诉求类型投诉详情我于2019年8月25日在南宁Tata木门快环店一共订购了5扇门，3扇房间门+2扇卫生间门，总共花了11828块钱，当时卫生间门没有样板，看不到实际颜色，导购小邓说跟我选的房间门颜色相似差不多的，我想着既然相似差不多就买吧，等了50天，10月6日那天安装，因为是国庆假期当时不在家，我就跟安装师傅说安装好后拍照或者发视频给我看看效果，后面师傅就发给我看，不看不知道，一看吓一跳，这哪是什么相似差不多的颜色，房间门是混油烤漆门，乳</t>
  </si>
  <si>
    <t>2019/10/09 16:14:33</t>
  </si>
  <si>
    <t>投诉人 代兴润        投诉对象  小浦优客        涉诉金额  296 元    问题类型    诉求类型投诉详情  无良商家，恶意扣款，目无法纪，要求退款。</t>
  </si>
  <si>
    <t>2019/10/09 16:14:04</t>
  </si>
  <si>
    <t>投诉人 李女士        投诉对象  拍拍贷        涉诉金额  9 000 元    问题类型    诉求类型投诉详情  泄露贷款人信息，辱骂借款人及家属。恶意骚扰电话</t>
  </si>
  <si>
    <t>2019/10/09 16:13:42</t>
  </si>
  <si>
    <t>利息太高，有砍头息，服务费高，利息高，利息高，利息高。</t>
  </si>
  <si>
    <t>2019/10/09 16:13:24</t>
  </si>
  <si>
    <t>于2019年9月初办理退租，合同说明退租后电话联系该财务退押金，退租时中介将合同收走说交还财务核销后退押金，但至今无法联系上该公司任何工作人员，同时该公司并未倒闭还在继续出租房屋，110及工商局都无法解决问题，由于合同收走，经咨询上诉也可能失败，作为北漂女孩4700元对我来说不是小数目，还等着押金退还后去交下个月房租，却投诉无门，但租房公司却依然可以猖狂租房，辛苦解决，希望可退还全额押金，感谢。</t>
  </si>
  <si>
    <t>从9月5日开始接单，做小程序工作订单，约定金额6000元，开发首付4800元，尾款1200元，签单时客户经理承诺10个工作日完成，，结果拖拖拉拉，工作质量漏洞百出，总是在不断的修改，已经严重超过承诺日期，且后面联系不上他们技术和服务人员，技术退群威胁，服务人员态度恶劣，挂客户电话，拒绝沟通，但是期间修正小程序，进行提交后，催款倒是很积极，只要沟通必催款！！！服务商期间把小程序后台给错过，耽误两个工作日，修改小程序，忘记提交过，耽误一个工作日，还说就是这样，审核小程序提交好几次，总是有新的问题出现，旧的问题也</t>
  </si>
  <si>
    <t>2019/10/09 16:13:18</t>
  </si>
  <si>
    <t>投诉人彭关敏投诉对象联通易借,沃钱包,易借涉诉金额5500元问题类型诉求类型投诉详情联通易借在可以联系的到本人的情况下，非法获取通讯录，到处骚扰家人和联系人，态度非常恶劣，家里的老母亲被他烦的高血压上升已经住院了，另外一个朋友本来身体都不好，平台天天打电话给他，然后态度又很凶，搞得他也住院了，现在弄得我们生活都不正常，这样下去迟早会出人命，我已经尽力分期还给他们，都已经跟他说明了实际情况，但是一不还钱他们就开始骚扰，每个月都是这样。</t>
  </si>
  <si>
    <t>2019/10/09 16:13:14</t>
  </si>
  <si>
    <t>造艺科技平台早上六点在用户不知情的情况下，私自盗取银行存款，强制行为，客服不给解释。</t>
  </si>
  <si>
    <t>2019/10/09 16:13:02</t>
  </si>
  <si>
    <t>2019/10/09 16:12:37</t>
  </si>
  <si>
    <t>此号打过来说是想花钱包让我还款，然而我根本没有使用过。</t>
  </si>
  <si>
    <t>2019/10/09 16:12:36</t>
  </si>
  <si>
    <t>投诉人韩先生投诉对象拉卡拉涉诉金额75000元问题类型诉求类型投诉详情投诉单《投诉拉卡拉易分期产品违法放贷、套路贷、高利贷砍头息，非法催收》，编号：CN1305565，从未接到拉卡拉方面联系。</t>
  </si>
  <si>
    <t>2019/10/09 16:12:27</t>
  </si>
  <si>
    <t>投诉人 侯先生        投诉对象  豆豆钱        涉诉金额  2 210 元    问题类型    诉求类型投诉详情  短信骂电话哄，然后骚扰到我的公司朋友。一点素质都没有</t>
  </si>
  <si>
    <t>2019/10/09 16:12:25</t>
  </si>
  <si>
    <t>该借款属于砍头息高利贷，严重违反国家法律法规，要求协商还款。</t>
  </si>
  <si>
    <t>2019/10/09 16:12:22</t>
  </si>
  <si>
    <t>本人于10月3日晚上在闪银奇异申请一笔2000元闪贷借款，申请以后发现莫名有一笔220元的担保凭证费用，于是审核通过以后我没有签约，但是山银还是给我放款了，于是我致电闪银要求减免220元的担保凭证费用，但是客服态度强硬，说无法减免，并且这笔220元的费用是借款以后3天内就马上要一次性支付的，不是每个月和还款金额一起支付的，这个就是变向的砍头息，希望聚投诉平台能公正处理。</t>
  </si>
  <si>
    <t>2019/10/09 16:12:14</t>
  </si>
  <si>
    <t>交通银行信用卡逾期2个多月，1019年10月8日第三方来电催款号码：02388176906说是交行委托催款，我协商分期还款，要求必须全额，目前生意亏损家里也被掏空，自己努力在挣钱希望宽限一下时间未果，2019年10月9日第三方给我老家舅舅打电话威胁，后我父亲知道后主动打第三方电话咨询，第三方恐吓我父亲说2019年12月10日12点前不还钱就报户籍所在派出所抓我，还附有很多威胁性话语。</t>
  </si>
  <si>
    <t>2019/10/09 16:11:57</t>
  </si>
  <si>
    <t>在自己不知情的情况下扣的钱，银行卡里只要有钱他就扣，给客服打电话，态度特别不好，。</t>
  </si>
  <si>
    <t>2019/10/09 16:11:17</t>
  </si>
  <si>
    <t>前期电话沟通本金一万二，还掉了一万还需还款一万四，不给本人联系之后，一直打电话骚扰家人，高利贷态度恶劣，无视法纪。</t>
  </si>
  <si>
    <t>2019/10/09 16:10:51</t>
  </si>
  <si>
    <t>最近生病，最后一期100带点没还，拼命发消息，打电话，逾期费一天10块，高利贷，3天后在加100滞纳金。</t>
  </si>
  <si>
    <t>2019/10/09 16:10:46</t>
  </si>
  <si>
    <t>因资金需要，想贷款通过这个拇指下款平台，结果提交了信息就直接从银行卡里扣了钱，客服不在线电话无法联系。</t>
  </si>
  <si>
    <t>2019/10/09 16:10:22</t>
  </si>
  <si>
    <t>本人在次进行投诉到底，融360提供714平台快来花高利贷平台借款，本平台并不具备贷款资格，骗取本人砍头息将近2000多元一次就是1500到账就1200，14天后就要还1500多，之前也投诉多次无果持续投诉到底，三无产品投诉工商局，第三方支付富友投诉到12363，持续投诉到底硬碰，大家要维权的朋友可以联系我一起维权。</t>
  </si>
  <si>
    <t>2019/10/09 16:09:57</t>
  </si>
  <si>
    <t>同样的问题，直接自己后台扣款，都不经过当事人同意。</t>
  </si>
  <si>
    <t>2019/10/09 16:09:40</t>
  </si>
  <si>
    <t>投诉人 王女士        投诉对象  钱站,华夏银行        涉诉金额  2 600 元    问题类型    诉求类型投诉详情  要求停止骚扰并调整利息 联系不到客服 ！！</t>
  </si>
  <si>
    <t>2019/10/09 16:08:49</t>
  </si>
  <si>
    <t>高利贷高额服务费用，一半本金一半利息和服用费用，打电话协商提前结清，客服回答是无法减免，口口声声说我们是国家合法利率，最近了解到超过24利息都是不合法的，作为借贷人有权行驶本人该有的权利，追回之前已偿还过高的部分和减免余下未还款部分。</t>
  </si>
  <si>
    <t>2019/10/09 16:08:39</t>
  </si>
  <si>
    <t>本人向春娟4****************4，于2019年3月4日向焦作中旅银行股份有限公司旗下招财贷贷款48000元，贷款时业务员告知还款有三天的缓冲期，套路我贷款，在2019年4月、5月、7月我因患慢性肺源性心脏病住院导致没有办法在还款日还款，想着业务员跟我说过有三天的缓冲期，就在出院第一时间也就是还款日后三天还上了，谁知道还是上了征信，现在我向焦作中旅银行股份有限公司提起征信异议申诉：1.焦作中旅银行股份有限公司业务员存在误导套路行为导致给我造成无法挽回的损失2.我国《民法通则》第153条及《合同法</t>
  </si>
  <si>
    <t>2019/10/09 16:08:36</t>
  </si>
  <si>
    <t>今年1月份开始在我来贷平台借款，现在改名叫我来数科，每次借1万，分12个月，每月需还款1133，现在实在无法偿还高额利息，按照本金10000，12期，每月偿还1133，实际年利率高达61%，属于高利贷，本人也不是故意逾期骗贷，实在是没有能力还如此高额的利息，并且合同利率和实际还款金额差很远，有套路贷的嫌疑，我来贷客服不予理睬，一直强调他们是符合国家规定的，不提供解决方案。</t>
  </si>
  <si>
    <t>2019/10/09 16:08:16</t>
  </si>
  <si>
    <t>我从平台借的钱，为什么快钱支付清算信息有限公司从我银行卡扣走大额砍头息，我就想问问快钱支付和这些非法平台是怎么样的合作关系。</t>
  </si>
  <si>
    <t>2019/10/09 16:08:15</t>
  </si>
  <si>
    <t>投诉人范冬海投诉对象东莞市裕丰小额贷款有限公司,白条分期,富友支付涉诉金额299元问题类型诉求类型投诉详情本人于2019年6月18日看到白条分期发送的短信，说白条分期同意下款，刚好最近需要资金周转，就下载了APP，然后注册账号，最后到借款这步，里面写着交所谓299的会员费就可以申请借款，我扣完钱之后，然后给我推荐一些特别高利息的一些网贷平台，让我在里面选择贷款，打客户电话客服说他们只是网贷推荐平台，不是下款平台，只会推荐一下网贷的平台让我自己选择，我提出来让他们退会员费，他们说无法退还，只有在5家平台上申请</t>
  </si>
  <si>
    <t>2019/10/09 16:07:57</t>
  </si>
  <si>
    <t>2017年，从浦发银行借万用金本金约150000余元，后来因为自己投资失败，资金困难，算上信用卡大约本金是68000元未还，自己也想方设法的去还钱，每个月工资都还账依然还是产生了逾期，我从5月开始经常给客服打电话要求协商还款，能够给我出一个合理的还款方案，你们浦发银行一直给我拖着，没有一个人说不能协商，到今天10月9号，已经产生了10000多的利息跟罚金，现在还款总额已经到了87000元，这不是要人命么，不是不想还款，是请求你们给条活路，做一个分期方案，我一下子实在拿不这么多钱，我求你们浦发银行，能够给条活</t>
  </si>
  <si>
    <t>2019/10/09 16:07:51</t>
  </si>
  <si>
    <t>投诉人谢女士投诉对象钱站,华夏银行涉诉金额2000元问题类型诉求类型投诉详情钱站利息太高，三个月三期要多还1000多的利息，太啃爹了。</t>
  </si>
  <si>
    <t>2019/10/09 16:07:43</t>
  </si>
  <si>
    <t>你好，今天收到易借钱包的催收信息，没有易借钱包app，不知道是不是在别的app误操作了，但是从没有借过款，我也没有收到过钱，今天突然有人给我打电话说他们是第三方催收公司，让我加微信还款，我没给，还伪造借款记录，之后威胁我要曝我通讯录，这应该是严重信息泄露，要求严惩打击这种行为。</t>
  </si>
  <si>
    <t>2019/10/09 16:07:41</t>
  </si>
  <si>
    <t>银小借和急用钱包恶意扣款，打电话骂人，威胁，客服一直推辞，不处理，先扣299的评估费用，按照他们的退款流程，又扣100，客服说还差199，是因为银行卡余额不足，因为我故意把钱转走的，里面有钱了还会继续扣，都不敢继续使用这张卡了，处理问题的态度就是打电话骂人，威胁，性质极其恶劣。</t>
  </si>
  <si>
    <t>2019/10/09 16:07:38</t>
  </si>
  <si>
    <t>投诉人刘先生投诉对象北京万维互动网络科技有限公司涉诉金额43250元问题类型诉求类型投诉详情对方是网络广告公司，我方把广告费打给它，合同约定广告效果不满意可退还剩余广告费，结果不退。</t>
  </si>
  <si>
    <t>2019/10/09 16:07:36</t>
  </si>
  <si>
    <t>，滴滴默许司机多次恶意修改乘客订单目的地，情况异常恶虐，滴滴所谓的客服竟然能买司机编造故事，录音到现在估计还未有人听取，涉嫌联合欺诈，多次投诉无果，客服甚至到目前为止都搞不清状况，录音是录假的么，可见平台寄生大量黑司机，危害乘客利益，致客户利益与不顾！要求退回非法所得，并下架该司机，给出合理的道歉，之前就投诉的解决不了。</t>
  </si>
  <si>
    <t>2019/10/09 16:07:30</t>
  </si>
  <si>
    <t>9月26号订单到现在都不给解决，而且我的投诉也没有了，扣了我们的服务分然后自己什么都不知道，只知道把责任推到司机头上，10月8日一个订单，今天才出来，说乘客投诉我绕路，从徐州东站出来一直按照滴滴内置导航行驶，结果到徐海路了，修路，道路指示让绕行，我们跟着路标行驶，那个乘客也在车上看着，完了投诉我绕路，我都给解释了，还是没用，服务经理给我的回复，让我们报备，那你们在徐州的经理不知道把徐州的路况上报吗，附上照片，请有关部门跟进滴滴平台的不合理整我们投诉他们的司机。</t>
  </si>
  <si>
    <t>捷信，威胁我，恐吓我，冒充律师给我打电话，还要给我寄律师函，我有诚意还款，我想协商还款，他们不同意，。</t>
  </si>
  <si>
    <t>2019/10/09 16:07:29</t>
  </si>
  <si>
    <t>造艺科技通过豹子贷app的注册漏洞无故扣款，扣款前并未提醒且未说明，同时我也没收到所谓的评估报告也没有贷款。</t>
  </si>
  <si>
    <t>2019/10/09 16:06:30</t>
  </si>
  <si>
    <t>2019.10.02拨打10086充值话费200元，收到充值成功信息，但是电话仍处于被限制呼出状态，3号至9号之间多次联系10086仍然没有，一直推脱说催促后台处理。</t>
  </si>
  <si>
    <t>2019/10/09 16:06:11</t>
  </si>
  <si>
    <t>聚富分期扣款296元，转到永道小贷既不放款，又不能取消订单。</t>
  </si>
  <si>
    <t>2019/10/09 16:05:56</t>
  </si>
  <si>
    <t>本人名下美团金融款项由他人窃取信息盗用，本人也在与实际用款人调解，美团金融不反思平台审核漏洞，肆意骚扰恐吓通讯录好友，扬言要去坐牢，严重影响到本人及通讯录中所有人的正常生活。</t>
  </si>
  <si>
    <t>2019/10/09 16:05:53</t>
  </si>
  <si>
    <t>投诉天猫超市派送快递公司不派件，亲自去快递公司取件，无理要求，要求本人当场电话打的通，身份证复印件，本人不同意，店员开始说，因为我之前投诉物流慢等原因，所以要求这做，后又改口，说天猫要求每个人收件时都要身份证查看，打的通才给件，本人提供单号，收件联系人，姓名，地址等等祥细信息，去快递公司拿还是不能拿，必须要身份证，现场电话打的通，才给，物流公司擅改物流信息讲联系不上收件人，只响一次几十妙，就没联系，本人也多次反馈天猫客服，要求送驿站，也按天猫要求，提供了另一个号码，联系收件人。</t>
  </si>
  <si>
    <t>2019/10/09 16:05:42</t>
  </si>
  <si>
    <t>我在2019年5月2号在河南洛阳美乐乐家居，全款19907元购买了沙发，床，床垫，电视柜，茶几，衣柜，餐桌等家具，6月份有一批货到洛阳，我想等货全部到了一起送货安装，可每月问剩下的货都说是在跟进中，一直拖！最后的三件货，到9月份了迟迟发不出来，每次问工作人员都是再等等，正在跟进，9月14日实在等不了了就先把到的送货安装了，同时没到的床垫也换成了店里有现货的床垫，6-9月也网上打听了美乐乐，全国各地都有打了钱没货或者退款迟迟不到位报道，资金链出现问题了，可是10月初和洛阳工作人员联系才知道，洛阳门店因为欠房租</t>
  </si>
  <si>
    <t>2019/10/09 16:05:36</t>
  </si>
  <si>
    <t>投诉人王先生投诉对象聚福钱包涉诉金额299元问题类型诉求类型投诉详情我在2019年10月9日向：“我注册了聚富分期，想看看自己的借款额度，跳转出界面绑定了银行卡，结果他自动扣款，说生成了一个风险评估，在消费者并不知情的情况下，我认为所有的消费都应该是经过本人的允许才能进行。</t>
  </si>
  <si>
    <t>2019/10/09 16:04:37</t>
  </si>
  <si>
    <t>借款人希望协商还款，但是平安普惠不理会，继而进行暴力催收，委托不正当催收公司进行骚扰和辱骂，未经借款人同意，直接曝光借款人信息至所有非亲属联系人，和电话骚扰通讯录的全部亲朋好友，也不断打去前公司电话骚扰，扰乱借款人正常日常的生活……国家银监会明文规定违法的暴力催收……而且年利率高于36%，高利贷！！套路贷！！。</t>
  </si>
  <si>
    <t>2019/10/09 16:04:27</t>
  </si>
  <si>
    <t>本人借支付宝网商贷50000元，一直信用良好，按时还款，后来因为生意失败亏了很多钱，资金链一下子断了，暂无力偿还一直逾期了半年，之前有主动跟支付宝这边协商，每期尽量少还点，可是客服一直回复不行，不接受协商，最近几天，他们委托第三方公司来暴力催收威胁我家人，说在我家楼下等我，我赴约了，他们人却不在，过一段时间在打电话来说在哪里哪里你赶紧回来，不然就找你家人，还报出我父亲的名字威胁我，整的我整天提心吊胆的，工作也没有办法做了，这样简直就是要逼死我们…我们也不是不还确实没有一次性偿还的能力。</t>
  </si>
  <si>
    <t>2019/10/09 16:03:57</t>
  </si>
  <si>
    <t>2019.7.20向钱站借款1000元，7.22收款1000元，，借款本金显示1320元，分三期还款，第一期还467.89元，合计共还款1404.56元，借1000元，一共借90天，付出利息费用合计404.56元，这个公司真的是超级高利贷，现要求你司将不合法利息全部退还给我，你司残害了很多借款者，扰乱国家金融秩序，公然与国家金融法规对抗，我要向中央新闻联播提交资料播报你司放高利贷，现责令你司尽快与我沟通退还事项。</t>
  </si>
  <si>
    <t>2019/10/09 16:03:49</t>
  </si>
  <si>
    <t>闪银变相砍头息说什么担保服务凭证严重违反国家利率，本人在次进行投诉到底，已经反反复复投诉过之前说帮我反馈现在也没给答复，为其提供支付渠道的通联也一并进行12363投诉去。</t>
  </si>
  <si>
    <t>2019/10/09 16:03:26</t>
  </si>
  <si>
    <t>本人于2019年10月7日在京东下单买了个明基w1700m投影仪，收到后正常打开包装，放到卧室的床上投墙试用，发现声音太大，觉得有质量问题，便包装起来准备退货，于10月8日申请提交无理由退货服务，少一个塑料袋我都会说莫须有的东西就这么扣到消费者头上，今日取件人员上门取件，说前面板有明显划痕，拒绝退货，与客服投诉沟通后还是说无法退货，但这根本就不是我造成的，与我无关，前几天在京东买的东西总是出问题，已经投诉过了，结果继续购物又出现这个问题，难道别人的过错又需要我来承担，试问谁在床上放能刮坏投影仪那么硬塑料的尖</t>
  </si>
  <si>
    <t>2019/10/09 16:03:05</t>
  </si>
  <si>
    <t>京东白条的外包公司暴力催收，骚扰我的通讯录，以及影响了我本人的正常生活。</t>
  </si>
  <si>
    <t>2019/10/09 16:02:49</t>
  </si>
  <si>
    <t>给你花平台上的米多点借款2000元周期30天，实际到账1500，需还款2039元，同时本人接到多家贷款机构的电话和短信，合理怀疑平台泄露个人资料，我的诉求是支付合理借款利息销账并注销本人在平台的资料信息。</t>
  </si>
  <si>
    <t>2019/10/09 16:02:42</t>
  </si>
  <si>
    <t>购买账号，结果账号和说的不一样就取消购买结果退款现实退款失败。</t>
  </si>
  <si>
    <t>2019/10/09 16:02:21</t>
  </si>
  <si>
    <t>投诉人 杨先生        投诉对象  交易猫        涉诉金额  271 元    问题类型    诉求类型投诉详情  购买账号不喜欢 退款显示退款失败钱也没到</t>
  </si>
  <si>
    <t>2019/10/09 16:02:18</t>
  </si>
  <si>
    <t>拍拍贷,中国互联网协会,网络信贷服务业企业联盟,招商银行,纽约证券交易所,上海互联网金融行业协会，本人于2019年初在拍拍贷申请了一笔借款，金额12000，期限12个月，每期还款1263元，其中本金1000元，利息263元，该笔借款可提前还款，本人因个人原因准备提前结清该次借款，但提前结清需交7579元，相当于即便后面6个月不用，也要支付利息，如果这样算来，此次借款的利息严重超过国家要求的36%，属于违法行为！！！！作为上海互联网金融行业协会副会长单位，中国互联网金融协会成立会议暨第一次会员代表大会中当选理</t>
  </si>
  <si>
    <t>2019/10/09 16:02:08</t>
  </si>
  <si>
    <t>支付宝委托第三方说话态度不好，说我诈骗，我电话基本保持通话，只不过我欠款数额较大，一时没法还，刚才这个电话打过来我在忙就把电话挂了，她又打过来严重影响我工作。</t>
  </si>
  <si>
    <t>2019/10/09 16:02:05</t>
  </si>
  <si>
    <t>2019年9月30日早上8点36分，本人工商银行卡莫名被转走3730元，收款公司为中国银联股份有限公司广东分公司专户01，银行卡在本人手里，手机没有收到任何信息，钱就被转走了，太可怕了，资金安全完全没有保证，请工商银行和银行给予解释和处理！。</t>
  </si>
  <si>
    <t>2019/10/09 16:01:38</t>
  </si>
  <si>
    <t>还款叫做个人保险的610元账单，也就是砍头息，并查询不到保单号，，拒绝还款就恶意骚扰我家人朋友，并恐吓他们要上门找我，后果自负，连续打电话逼迫我还款这个砍头息。</t>
  </si>
  <si>
    <t>2019/10/09 16:01:32</t>
  </si>
  <si>
    <t>联通易借平台暴力催收，私自打通讯录电话，有恐吓威胁.。</t>
  </si>
  <si>
    <t>2019/10/09 16:01:24</t>
  </si>
  <si>
    <t>2019.10.2因资金周转下载该公司旗下百事惠普，按照流程填写信息后，让我弄一份风险评估报告，并没有注明要付款！随后就收到短信扣了银行卡内50元，本想着花钱买个教训，哪想到昨天10.3又无故扣除我249元！今天凌晨我给客服打电话要求退款，客服要我邮寄身份证复印件，以及手持身份证照片等资料！说是需要核实，可为什么扣款时候就不向我核实呢，狼子野心，昭然若揭！随后我在黑猫投诉上投诉了一下，今天打电话让我先结案，才能退款！这明显不合理，请政府帮我！附件是扣费信息，和银行卡扣费记录，客服处理不了，希望平台收到后快速</t>
  </si>
  <si>
    <t>2019/10/09 16:01:17</t>
  </si>
  <si>
    <t>私人手机号代表平台多次发短信威胁当事人，恐吓当事人！。</t>
  </si>
  <si>
    <t>2019/10/09 16:01:13</t>
  </si>
  <si>
    <t>沃钱包，联通易借在不知情的情况下搭售四分永安意外保险。</t>
  </si>
  <si>
    <t>2019/10/09 16:01:02</t>
  </si>
  <si>
    <t>东莞市轻奢维体健身房已挑战卡唯有欺骗办理年卡，7月开业，8月底就因欠房租被停电，现在已正常关门不营业。</t>
  </si>
  <si>
    <t>2019/10/09 16:00:46</t>
  </si>
  <si>
    <t>我是2018年七月份贷款买的车，当时稀里糊涂听了他们的话，免息贷款，当时就做了，可是后来还是扣了我9000多的利息，这个不说了，现在就说这次投诉的问题核心把，我目前逾期三期，是我家里出了点事情，逾期了3期，可是我上个月一有钱就还了一期进去了，剩下的2期我说了等我这个月16号发工资还，可是你们的工作人员对我什么态度恐吓我说要来拖我的车，又要我说我在什么地方，还要我去重庆法院，我真的搞不懂你们这么大的公司这点人情味没有妈吗，我不是恶意拖欠，我。</t>
  </si>
  <si>
    <t>2019/10/09 16:00:39</t>
  </si>
  <si>
    <t>乐信优品线上无法还款，线下还清本金，平台处理员不接受，借款2000到账1500，扣除500块高额服务费。</t>
  </si>
  <si>
    <t>2019/10/09 16:00:18</t>
  </si>
  <si>
    <t>投诉人易先生投诉对象麦子金服涉诉金额20000元问题类型诉求类型投诉详情本人在2018年2月24日向名校贷平台申请借款20000元成功后平台扣除20%的咨询费实际到账16000元，且该平台称在用户还完所有费用后所扣除的4000元会返还至借款账户，本人于2016年4月19日缴纳高额利息加本金一次性还清，该平台称无法返还其扣除的20%保证金，根据我国《合同法》第200条明确规定“借款的利息不得预先在本金中扣除，利息预先在本金中扣除的，应当按照实际借款数额返还借款并计算利息，”再此，名校贷声称所扣除的部分费用作为</t>
  </si>
  <si>
    <t>2019/10/09 15:59:59</t>
  </si>
  <si>
    <t>今天看短信发现对方10月4日在本人未知都情况下扣除我账户金额，本人要求对方立即退款到本人账户，并道歉，不然全网投诉！。</t>
  </si>
  <si>
    <t>2019/10/09 15:59:37</t>
  </si>
  <si>
    <t>借款钱先扣100作为审核，审核不通过就可以退款，最后没通过，电话客服后让寄身份证复印件，到上海什么地方，不知道什么意思。</t>
  </si>
  <si>
    <t>2019/10/09 15:58:21</t>
  </si>
  <si>
    <t>8号还款日，逾期一天，9号当天协商10日还款不同意，便拨打办公室电话，对办公人员进行傉骂。</t>
  </si>
  <si>
    <t>2019/10/09 15:58:01</t>
  </si>
  <si>
    <t xml:space="preserve">投诉人 陈林城先生        投诉对象  顺丰骑士        涉诉金额  103 元    问题类型    诉求类型投诉详情  平台抢一个订单26的 标志2.6公里 跑过去4-5公里 地址标志是南坑北路一条街都是 打电话商家 商家电话空号 收件人也是打不通的 打电话给平台 平台发电话来叫我打站点 站点叫我标异常 他取消 本来这样没事的 大不了不跑这平台了对吧 问题他要扣我3块保险 保证金100取不了 又打电话给平台 平台说处理不了 这是公司内部问题叫我打站里 </t>
  </si>
  <si>
    <t>2019/10/09 15:57:55</t>
  </si>
  <si>
    <t>本人在4月4日向松紧贷APP借款11600元，到账11600元，到账后立马扣除1600元砍头息，分期后总计12期每期还款1132.31元，总计还款达到15187.72，年利率达到51.8%,在逾期后催收人员多次爆通讯录，并威胁打电话要威胁家人搞我全家，有电话记录和电话录音为准，希望有关部门能为老百姓做主。</t>
  </si>
  <si>
    <t>2019/10/09 15:57:23</t>
  </si>
  <si>
    <t>投诉人 耿先生        投诉对象  来花花        涉诉金额  1 400 元    问题类型    诉求类型投诉详情  高利贷 带有威胁 请有关部门处理</t>
  </si>
  <si>
    <t>2019/10/09 15:57:03</t>
  </si>
  <si>
    <t>投诉人许女士投诉对象百事普惠涉诉金额299元问题类型诉求类型投诉详情在百事普惠申请贷款，此平台先获得客户信任，必须先付299元报告费，才能点击贷款，而且扣款是账户有钱立马扣费，扣款方为新生支付有限公司，咨询客服说14天以后会推荐四家贷款，若不成功可以退取299，但至今未推荐任何贷款，本人认为此平台就是获取个人信息以及299元报告费，现申诉追回299。</t>
  </si>
  <si>
    <t>投诉人于女士投诉对象玖富涉诉金额20290元问题类型诉求类型投诉详情借款到账11900，合同上却写借款20290擅自添加服务费，阴阳合同刚到账，打客服电话要求取消借款无人处理。</t>
  </si>
  <si>
    <t>投诉人祁先生投诉对象京东金融涉诉金额0元问题类型诉求类型投诉详情京东金融频繁电话骚扰威胁恐吓，还威胁说要把我家人怎么样。</t>
  </si>
  <si>
    <t>2019/10/09 15:56:50</t>
  </si>
  <si>
    <t>指上旅行贷款是3000实际到账2100，本来合同上面写的是一个月一期，后来变成一个月4期，本人无力偿还，现在一直骚扰家人，我还了2期以后，后面是逾期才提醒，逾期了以后直接开始骚扰家人，朋友。</t>
  </si>
  <si>
    <t>2019/10/09 15:56:06</t>
  </si>
  <si>
    <t>详情地址：东莞市莞城街道兴塘社区旗峰路200号万科中心2号办公楼1301、1302室，一直没有开通卡，6月装修了一个月，8月开通卡后用了几次，在8月20日晚上就因为欠房租水电费被关电，一直直到8月29日才恢复营业，现于9月19日晚上突然再次关门停止营业，此前无通知无告知我们会员是什么情况，现无法联系到老板，电话号码：137******74这完全就是在欺骗消费者。</t>
  </si>
  <si>
    <t>集体投诉发起人0次专题累计访问量0件有效投诉量0件有效解决量0%有效解决率投诉对象评分问题类型诉求类型投诉详情详情地址：东莞市莞城街道兴塘社区旗峰路200号万科中心2号办公楼1301、1302室，一直没有开通卡，6月装修了一个月，8月开通卡后用了几次，在8月20日晚上就因为欠房租水电费被关电，一直直到8月29日才恢复营业，现于9月19日晚上突然再次关门停止营业，此前无通知无告知我们会员是什么情况，现无法联系到老板，健身房老板：徐毅微信号：xuyi580230电话号码：137******74这完全就是在欺骗消</t>
  </si>
  <si>
    <t>2019/10/09 15:56:00</t>
  </si>
  <si>
    <t>在小米贷款上借款，本来说好是循环额度，但是按期还款后关闭了额度，给本人造成严重麻烦。</t>
  </si>
  <si>
    <t>2019/10/09 15:55:47</t>
  </si>
  <si>
    <t>投诉人刘先生投诉对象玖富涉诉金额20000元问题类型诉求类型投诉详情提前结清了贷款2000万元，结清证明只给了所谓服务费的2000多正面，我需要尽快提供征信上显示的本金结清证明。</t>
  </si>
  <si>
    <t>2019/10/09 15:55:46</t>
  </si>
  <si>
    <t>暴力催收！天理不容，做为法人代表！郑海清必须入狱谢罪！！！中华民族万岁！打倒兴业消费金融！兴业银行，特步，厦门商业有限公司，都是兴业消费金融的犯罪者！。</t>
  </si>
  <si>
    <t>2019/10/09 15:55:42</t>
  </si>
  <si>
    <t>本人通过朋友介绍2019年5月4号在51人品贷申请了10000，分6期第一期已还2241.67，已还第二期1741.67.已还第三期1741.67.已还第四期1741.67.第五期1759.80未还，第六期1741.67未还，总合计还款10967.43元，系统显示未还有3399.91元，本人一直都是按约还款，最近应工作调换，资金周转不过来，第5期未及时还款逾期了，本人查看合同都是个人的没有正规的借款合同，51人品贷每天电话，短信轰炸，没有协商余地，宽数几日遭到拒绝，直接用命令的口气下达，未经本人允许通过非法</t>
  </si>
  <si>
    <t>2019/10/09 15:55:09</t>
  </si>
  <si>
    <t>投诉人 刘川        投诉对象  今借到        涉诉金额  13 400 元    问题类型    诉求类型投诉详情  黄战借条金额1700到账金额1100。黄伟勇借条金额3000到账金额1950。谢明君借条金额3000到账金额1650。谢明君借条金额2000到账1300。谢亚飞借条金额2000到账金额1300。林涌借条金额1700到账1100。以上姓名都是平台出借人。本人由于精神压力导致生活无法自理。现阶段只想偿还本金加正常利息</t>
  </si>
  <si>
    <t>2019/10/09 15:55:08</t>
  </si>
  <si>
    <t>本人从盈盈有钱借款7500元人民币，分期12月还10221.8元，该公司客服从还款当天上午开始加微信骚扰，本人已经把本金全部还完，让协商减免利息一分都不肯协商，而且故意不予回复！后把该期大部分金额处理完成的情况下，该公司私自动用我的隐私，打爆我的通讯录，连家里的老人也打！家里老人本来岁数就打了，身体也不好！该行为严重影响了我的个人隐私和家庭安宁！后面接听电话协商减免利息，被催收大声呵斥威胁，客服也不予理会，让我联系催收协商，催收也一直威胁要走程序再次爆通讯录！。</t>
  </si>
  <si>
    <t>2019/10/09 15:55:06</t>
  </si>
  <si>
    <t>019年09月26日下午我因为急需资金注册了百事普惠，根据APP指示填写个人信息绑定银行卡后并未获得贷款额度，于是删除了该APP，次日凌晨银行短信通知扣除银行卡内299元，扣款商户为上海造艺*技术有限公司，清楚记得在填写资料时完全没有任何提示需要扣费的条款，只是用抵用券就行，如今APP全线下架，拨打客服电话那边也是拖延说什么过半个月才能申请退款，请出公正决断，这种行为应当杜绝，避免更多人受害！。</t>
  </si>
  <si>
    <t>2019/10/09 15:54:52</t>
  </si>
  <si>
    <t>投诉人陈女士投诉对象佰仟金融涉诉金额20000元问题类型诉求类型投诉详情本人因为在佰仟金融分期购买过手机，结清分期后，佰仟公司客服致电说可以办理大额分期一万元，未告知分期利息，直接下款，早在5月份，分期还剩两期，当时逾期，可是待我还款进去以后，直接楼扣了下一期，当中逾期部分未扣，一直造成更长逾期，当是一期就还580左右，但是逾期费用却高达350元，协商解决，佰仟公司没有给我任何解释，然后也没客服打来问，事隔两个月群发信息一两次、然后又没继续跟进，现在又群发信息，连带责任的亲人，收到很大惊吓！我希望佰仟金融给</t>
  </si>
  <si>
    <t>2019/10/09 15:54:51</t>
  </si>
  <si>
    <t>通过美团收银机销售人员张裕博在网上购买了一台收银机，但是货到后安装人员安装的时候我发现是旧的，所以当场我就要求他不安装了直接叫他把收银机带走，要求退款。</t>
  </si>
  <si>
    <t>2019/10/09 15:54:20</t>
  </si>
  <si>
    <t>南京移动公司在未经本人同意擅自送我服务，以送服务之名，捆绑消费者不得转网，交涉过后仍久不给出明确答复。</t>
  </si>
  <si>
    <t>2019/10/09 15:54:16</t>
  </si>
  <si>
    <t>我在该平台借款2100元，却遭到378元扣款，名义是什么成长学堂，强制扣款，希望相关部门严厉调查该平台，净化网络环境。</t>
  </si>
  <si>
    <t>2019/10/09 15:53:33</t>
  </si>
  <si>
    <t>不明原因扣款，请给出合理解释，不能给出合理解释，要求全额退款。</t>
  </si>
  <si>
    <t>2019/10/09 15:53:19</t>
  </si>
  <si>
    <t>这个电话显示呼和浩特凌峰高空作业队，但自称是兴业银行委托方，我怀疑我的个人信息泄露，还威胁我起诉，我说我不明白你的用意，我已经告诉他，我是本人，还在一再追问我身份信息，兴业银行，我多次和客服打电话，协商还款，我说明我的情况，我暂时只能按照我的还款能力还款，但是，银行一直未接受我的还款计划，如果银行起诉，我有权按照60期还款。</t>
  </si>
  <si>
    <t>2019/10/09 15:52:56</t>
  </si>
  <si>
    <t>投诉人孟女士投诉对象信汇支付涉诉金额1999元问题类型诉求类型投诉详情有自称是信用卡可以提现业务的工作人员联系我，在对方一番专业知识攻击下，我相信了，然后告诉我扫二维码失败三次就可以提额，第一次超额失败，第二次成功了，最终使我信用卡超额支付1999元，然后我要求退款，对方告诉我两小时会收到银行提额信息，我当时知道已经受骗，就联系不上这个人了，经查询交易都是到广东信汇的收单机构，广东信汇非法提供扫码支付服务，使我钱财被骗，而支付成功的消费产品都是假的，真实交易情况完全不存在，请广东信汇给我退款！。</t>
  </si>
  <si>
    <t>2019/10/09 15:52:35</t>
  </si>
  <si>
    <t>影响我正常生活秩序.在没有经过我同意下，暴力恐吓.。</t>
  </si>
  <si>
    <t>2019/10/09 15:52:19</t>
  </si>
  <si>
    <t>1.在卡牛信用管家app里申请的瑞贷网络贷款2.2019年9月6日到款当日一次性扣款2100元，这笔扣款并不知情，跟客服沟通，不肯退还3.2019年9月6日进账10500元，公司名称—深圳市随手科技有限公司客户交—000920190904.并于当日扣款2100元，公司名称—特约/随手卡牛借款5.总贷款10500元，一次性扣款2100元，待还本息11598.06，已还贷款1218.866.一共分为12期还款，已经还完第一期，还有11期，每期金额1054.37元7.现阶段是电话催收，催收电话185******2</t>
  </si>
  <si>
    <t>2019/10/09 15:52:12</t>
  </si>
  <si>
    <t>投诉人郭先生投诉对象信用钱包涉诉金额10000元问题类型诉求类型投诉详情本人于2019年8月在信用钱包借款10000元，分期9月，每月还款1411.11元，总还款额高达12699元，其高额利息早已超出国家年息36%的红线，，资金周转过来想要提前还款结清，但发现APP中并无此选项，联系客服电话一直无法接通，不知道是否是为了赚取利息没有这样的选项，希望相关公司能给与相应答复，调整为合法的利率！。</t>
  </si>
  <si>
    <t>2019/10/09 15:52:10</t>
  </si>
  <si>
    <t>尊敬的领导您好，我向您投诉广东省雷州市中国银行雷州支行，工作人员声称虽然信用卡已经激活，但仍然需要我用手机来处理后续事宜，该行的工作人员在工作能力和工作态度上均存在很大问题，在经过排队之后，大堂经理将我推给了经理，经理又将我推给了银行柜员，告知在柜台等待办理身份证核验，在经过等待之后，竟由我本人才想起需要取排号票，整个过程无一工作人员通知或指引，一番折腾下来才进入办事流程正轨，我在全国各地各行都没有遇到这种情况，十分荒诞，2.整个银行占地面积不小，却长期只开通一个柜台，我第一次见到作为一个县级市的支行，竟然</t>
  </si>
  <si>
    <t>2019/10/09 15:51:10</t>
  </si>
  <si>
    <t>好易贷app，存在阴阳合同，砍头息，催收员态度恶劣，多次骚扰联系人和通讯录，造成了极坏的影响！催收电话是199******01。</t>
  </si>
  <si>
    <t>2019/10/09 15:51:06</t>
  </si>
  <si>
    <t>不经同意恶意扣款还说没有扣够还要扣，希望给一个说法。</t>
  </si>
  <si>
    <t>投诉人 刘先生        投诉对象  小带鱼        涉诉金额  3 000 元    问题类型    诉求类型投诉详情  本人之前在小带鱼平台借款了很多次 每次都收取高额砍头息 本次投诉希望小带鱼退回高额砍头息 否则将投诉到底</t>
  </si>
  <si>
    <t>2019/10/09 15:51:04</t>
  </si>
  <si>
    <t>小通商城无故扣我520.15元，到现在我都不知道怎么回事，希望有关部门能帮助我把钱还回来。</t>
  </si>
  <si>
    <t>2019/10/09 15:49:31</t>
  </si>
  <si>
    <t>我在8月22号在毛豆新车网那交了1000订金后续付剩余金额，后来因为家里觉得利息太贵不如在4s那边买便宜很多，就退款撤单，本来很顺利，审批之后就可以了大概3到5天就行了，我本人非常生气，客服态度傲慢，等了快2个月都没解决1000快的事。</t>
  </si>
  <si>
    <t>2019/10/09 15:49:08</t>
  </si>
  <si>
    <t>本人于2019年05月30日通过融360向深圳万惠–及贷申请一笔借款9000元，12期，每月一期，总还款122245.01，其中利息为3245.01元，目前已还款4期，总金额为4229.01元，还剩余8期，其年化利率已远远超过国家法定标准，实为高利贷，现国家收紧并严惩网贷，本人身患疾病，负债累累，实在无法偿还如此高昂的利息，希望深圳万惠–及贷与我协商提前还款，并且减免部分金额！。</t>
  </si>
  <si>
    <t>2019/10/09 15:48:51</t>
  </si>
  <si>
    <t>交行信用卡逾期3天，接到交行催收电话，话术违规态度恶劣，并言语威胁，通知我家人告知情况，并且我当时预留银行电话是152******11，并未更新我的先用手机号码，交通银行是如何获取我的公民信息，并且是否获取我家人的信息，之前要求催收部门回电，一周时间一直也没有处理，并未得到妥善解决。</t>
  </si>
  <si>
    <t>2019/10/09 15:47:22</t>
  </si>
  <si>
    <t>投诉人 王女士        投诉对象  智行        涉诉金额  0 元    问题类型    诉求类型投诉详情  手机号不能注销 需要注销后绑定原来账号 希望得到解决</t>
  </si>
  <si>
    <t>2019/10/09 15:47:10</t>
  </si>
  <si>
    <t>到期日，没有逾期，一而再再而三的骚扰，催促，你提醒可以，但是你这样威胁恐吓，侮辱，是不对的。</t>
  </si>
  <si>
    <t>2019/10/09 15:47:01</t>
  </si>
  <si>
    <t>购买的大集供销宝二号287期，288期，290期，294期，329期，330期，331期等产品于2019年1月份到期，大集金服未能履行合同，延期至今未能兑付，严重违反合同，藐视国家的相关法律法规，使投资人受到损失，请有关部门介入维权，尽早归还我们血汗钱！！！！。</t>
  </si>
  <si>
    <t>2019/10/09 15:47:00</t>
  </si>
  <si>
    <t>投诉人 李先生        投诉对象  章鱼哥APP,章鱼精选APP        涉诉金额  200 元    问题类型    诉求类型投诉详情  第一次接触是 我们出租车 上推广 可以打车用滴滴优惠，充话费 美团 都优惠。 后来直接全部不能用了。 客服联系不上 还推荐了我老婆充值。 要求重罚。也不能提现。</t>
  </si>
  <si>
    <t>忘记还款了，也没短信提醒，今天打来电话，一看逾期一天，多收一百的逾期费用，要求退还。</t>
  </si>
  <si>
    <t>2019/10/09 15:46:37</t>
  </si>
  <si>
    <t>桂林机场有穿制服的工作人员说办理逸路通商旅卡购机票每次可以优惠50到300元，但实际上是没有优惠，而且现在逸路通公司的客服电话打不通，监督电话也欠费停机。</t>
  </si>
  <si>
    <t>2019/10/09 15:46:01</t>
  </si>
  <si>
    <t>我在王者钱包网贷平台上借了一笔借款，下款的时候是1240元，期限是五天，而五天后我要还款的时候才知道要还2008.8元，五天利息就要768.8元，这就是典型的高利贷，催收打电话还威胁恐吓我。</t>
  </si>
  <si>
    <t>2019/10/09 15:45:25</t>
  </si>
  <si>
    <t>投诉人钟游霞女士投诉对象拍拍贷涉诉金额20000元问题类型诉求类型投诉详情拍拍贷天天骚扰亲朋好友，利用虚假宣传恐吓我。</t>
  </si>
  <si>
    <t>2019/10/09 15:44:57</t>
  </si>
  <si>
    <t>小浦优客app申请借款，按步骤填写资料，然后最后要求绑定银行卡，绑定完成就开始审批，过了7.8天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</si>
  <si>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2019/10/09 15:44:48</t>
  </si>
  <si>
    <t>借款金额共计31000，已还14000，剩余本金14000，现在APP显示要还37654，第一次打电话一次还清28000，第二次第三次打电话一次还清31000！严重高额利息。</t>
  </si>
  <si>
    <t>2019/10/09 15:44:15</t>
  </si>
  <si>
    <t>恒昌恒易贷，没到还款日就催收，威胁拨打通讯录电话！。</t>
  </si>
  <si>
    <t>2019/10/09 15:43:54</t>
  </si>
  <si>
    <t>京东拼购--说商家疑似套利，冻结商家货款11w，要90天才能冻结，不让提现，后续货款还在增加--但是电话咨询具体原因，又说明不了哪里套利，也没有申诉途径。</t>
  </si>
  <si>
    <t>2019/10/09 15:43:39</t>
  </si>
  <si>
    <t>阴阳合同，高利贷，合同金额37391.56元，实际到账金额25000元，在第二个月是提出提前还款，对方要求必须还满三个月才能一次性结清，现在还满三个月了，本人提出按25000元本金的三个月利息归还，当初签订合同时，本人不想让家里人知道，宜信工作人员就找人给我办了一张电话卡，又找其他男工作人员冒充我老公接听的审核电话，审核通过后本人已经不想贷这笔钱了，在工作人员的游说下，勉强接受了这次放款，后来在第二个月还款时候，我爱人发现了我贷款的事情，并且从中发现了很多不合理的地方所以要求提前还款，但是宜信一直踢皮球，总</t>
  </si>
  <si>
    <t>2019/10/09 15:43:33</t>
  </si>
  <si>
    <t>投诉人张女士投诉对象你我贷涉诉金额3500元问题类型诉求类型投诉详情没联系我本人要求还款，却给我亲朋好友发送还款短信对我造成不良影响及困扰。</t>
  </si>
  <si>
    <t>2019/10/09 15:43:31</t>
  </si>
  <si>
    <t>投诉人王先生投诉对象米米罐涉诉金额2000元问题类型诉求类型投诉详情本人借米米罐两千到账一千五期限是一个月，我都用了两年了不知道给了他们多少利息，今天就逾期一天，他们催收要给我家里打电话，说帮我借钱，现在国家都在打黑除恶，这种暴力催收高利贷没人管吗。</t>
  </si>
  <si>
    <t>2019/10/09 15:43:02</t>
  </si>
  <si>
    <t>杭州淘美航空服务有限公司,上海迪尼国际旅行社有限公司，电话卖家上海迪尼酒店专营店，一直不给解决，让打飞猪客服解决，凌晨打了卖家客服10多个电话都不接，于是打飞猪客户，当晚一直打不通，第二天也未打通，导致我们四人凌晨1点还在大街上游荡，凌晨2点自己才找到住宿，整个过程对我们旅行体验产生了极其糟糕的体验，卖家和飞猪都未主动积极电话道歉及解决退赔事宜，诉求：飞猪和卖家道歉+退一赔三+精神损失！！！。</t>
  </si>
  <si>
    <t>2019/10/09 15:42:53</t>
  </si>
  <si>
    <t>天天n多个电话不停骚扰，都说了没钱了，我自己主动还了2000多，现在还有630实在没钱了，天天电话轰，威胁爆通讯录，通知村委会，通知亲朋好友，把名声搞臭，。</t>
  </si>
  <si>
    <t>2019/10/09 15:42:47</t>
  </si>
  <si>
    <t>投诉人 雷先生        投诉对象  小浦优客        涉诉金额  296 元    问题类型    诉求类型投诉详情  一号申请没钱就没继续申请，可今天却扣我钱</t>
  </si>
  <si>
    <t>2019/10/09 15:42:03</t>
  </si>
  <si>
    <t>投诉人张先生投诉对象闪银涉诉金额999元问题类型诉求类型投诉详情闪银，说购买商品放款，买了商品，说银行卡号不对，然后退款，一个月不给退。</t>
  </si>
  <si>
    <t>2019/10/09 15:41:06</t>
  </si>
  <si>
    <t>本人26岁，在广东东莞一家商务酒店做工程部主管，在今年八月份的时候，一位自称是董老师的红娘，给我打过好几次电话，问我是否单身，我说是的，问我是不是现在在找对象，然后他就说前两天有一个女孩子来到他们门面店，说那个女孩子非常适合我，问我要不要见一下那个女孩子，他就把那女孩子说的头头是道什么什么地贤惠一类的，当时呢，我就稀里糊涂的就把钱交了，大概过了十多天吧，他就安排我见了一个女孩子，根本就不是她说的那个人，而且他们夸大其词，说有80%的把握，后来又见了一个，那个人呢，我说见一下吧，当时他也没说要收费，我来到广东</t>
  </si>
  <si>
    <t>2019/10/09 15:41:02</t>
  </si>
  <si>
    <t>在拍拍贷借款，用了一段时间发现利率并未像其宣传所说的低利率，而是踩着国家红线年化利率％36，而且客服拒不承认，曲解概念！要求协商，提前还款减免息费！。</t>
  </si>
  <si>
    <t>2019/10/09 15:40:37</t>
  </si>
  <si>
    <t>本人在钱站借了两次，总共三千元，第一次两千，分三期还，一共还款三千二百多，第一期1224块，第二.三期1123.7，三期一共是3371.4，利息就是1300块，第二次借了一千，也是分三期，每期还636，三期一共是1908块，利息就是九百多，现在第一次借款我已经结清，第二次还有最后一期，还剩六百块，我不想还了，两期一共还乐1272.53，按照法律，一千块借两个月已经够了，剩下的第三期等于我就是白给他们的。</t>
  </si>
  <si>
    <t>2019/10/09 15:40:28</t>
  </si>
  <si>
    <t>本人于2019年02月17日通过融360向你我贷，秒借申请一笔借款5000元，12期，每月一期，总还款6794.88，其中利息为1794.88元，目前已还款7期，总金额为4273.68元，还剩余5期，其年化利率已远远超过国家法定标准，实为高利贷，现国家收紧并严惩网贷，本人目前身患疾病，负债累累，实在无法偿还如此高昂的利息，希望你我贷秒借与我协商提前还款，并且减免部分金额！。</t>
  </si>
  <si>
    <t>2019/10/09 15:39:58</t>
  </si>
  <si>
    <t>1.156******25这个号码已经不是之前的人使用，解释了很多次依然有催收电话、短信频繁骚扰，催收工作人员称你就是本人，装什么装，2.在2019年10月8日下午17：04分，催收电话打进，告知不是本人后，催收工作人员称“你就是本人，装什么装”，对此我表示很气愤！请给我一个合理的解释，如果对此行为不解释、不道歉、不处罚！我将直接投诉银保监会！还有我会报警！频繁骚扰我！。</t>
  </si>
  <si>
    <t>2019/10/09 15:39:43</t>
  </si>
  <si>
    <t>投诉人 胡江帆        投诉对象  趣花分期（手机贷）        涉诉金额  2 600 元    问题类型    诉求类型投诉详情  罚息高达100% 已经超过国家36% 与客服协商20号 还款 客服不同意</t>
  </si>
  <si>
    <t>2019/10/09 15:39:42</t>
  </si>
  <si>
    <t>本人在浦发银行一张信用卡，额度一万！由于个人遭遇套路贷，被骗了五十多万，这些都是亲人，朋友帮忙还的，上个月有给浦发还六百元进去，显示卡片冻结，没过几天，就显示一万多，这几天信用卡中心天天打电话到单位和联系人，严重影响了单位的秩序和我家人的心理摧残！我表示有意愿还款，和银行协商停卡分期还，银行就是不同意，催收电话平均一天十多个，多的时候二十多个！电话接起来业务员就开始各种讽刺挖苦，我想说谁都不愿意有钱不还，业务员还说了，银行是不会管你困难的，现在这样的状态我根本工作不了，心理已经崩溃了，我请求平台帮助我，请银</t>
  </si>
  <si>
    <t>2019/10/09 15:39:21</t>
  </si>
  <si>
    <t>本人于2018年12月3号资金周转，向乐意花平台申请借款10000元，当时很着急没有看清具体的还款内容，如今每个月要换1239.2元，已经还了10期，总还款金额为12392元，还剩下两期，共计待还款金额为2478.4元，国家规定的利息为年利率36%，乐意花已经达到了48.7%，要求见面超过国家规定的利息。</t>
  </si>
  <si>
    <t>2019/10/09 15:39:20</t>
  </si>
  <si>
    <t>公司雇佣我户籍所在地催收人员，对我及我的家人进行威胁恐吓，并对我说不还钱后果自负，我承诺11月15日之前一次性还清所欠欠款，催收人员借此对我说加收多倍违约金。</t>
  </si>
  <si>
    <t>2019/10/09 15:39:06</t>
  </si>
  <si>
    <t>欺诈，充值199.推送了一堆其他的贷款平台。</t>
  </si>
  <si>
    <t>2019/10/09 15:39:00</t>
  </si>
  <si>
    <t>我在2018年12月30日晚在银吉姆长兴利时广场店办理游泳私教课，起因是在前一日，以虚假课时诱使消费者报名缴费后拒不承认后因缴费后难约课，教练服务态度差，期间拖了3个月不给退款，现又胡乱扣除费用，严重侵害了消费者权益和利益，缴费后我一共上过3次课，每次上课都有记录证明，后因私教课难约，提前联系教练仍经常排不上课，最后因暑期学生档排不进课为由，该教练让我从6月延期到9月再来上课后，因该教练服务态度差，数次排不上课，我提出退款，提出退款后，教练以要扣除高额的退课手续费为由，阻止我退款，在报课之前，该教练未提及退</t>
  </si>
  <si>
    <t>2019/10/09 15:38:28</t>
  </si>
  <si>
    <t>借款1000元分3期还，每期要还600多元，可合同写1870元，，实际到账1000元，逾期一天费用高达60多元。</t>
  </si>
  <si>
    <t>2019/10/09 15:37:49</t>
  </si>
  <si>
    <t>省呗借款里，借了几万元现在才发现利率高利贷中原消费金融利率34.8，杭银消费35.98！并且省呗在app没升级之前并未显示借款利率！严重超过国家法定24利率！并且态度强硬，提前还款不减免利息要全额缴纳利息！赤裸裸吃人不吐骨头的毒瘤！要求提前还款减免息费！。</t>
  </si>
  <si>
    <t>2019/10/09 15:37:15</t>
  </si>
  <si>
    <t>我因为上班没时间玩所以把账号打算卖了谁知道他把我账号盗了还没付钱申诉好几次都是申诉不成功。</t>
  </si>
  <si>
    <t>2019/10/09 15:36:28</t>
  </si>
  <si>
    <t>投诉人 洪先生        投诉对象  佰仟金融 买买乐购        涉诉金额  7 000 元    问题类型    诉求类型投诉详情  佰仟金融 跟买买乐购 这边套路贷 坑害受害者 当初借款7000已经还款8770多了 还想叫我还款 而且他们的利率已经超出国家规定利率 现在开始对我实行软暴力恐吓 威胁</t>
  </si>
  <si>
    <t>2019/10/09 15:35:46</t>
  </si>
  <si>
    <t>二手车贷款，还有四个要一次性还清，办理过程中，公司恶意催收，恐吓，威胁骚扰通讯录。</t>
  </si>
  <si>
    <t>2019/10/09 15:35:32</t>
  </si>
  <si>
    <t>在重庆机场看到柜台工作人员咨询航班信息之后并推荐办卡，期间我询问工作人员这些钱是否可以用于购买机票，工作人员给我的答复是可以但是不能一次性用完，还说可以享受贵宾休息室服务，机票费也比其它平台低不少.正好想着回来我还需要乘机所以就准备办卡，后面我就用办的会员试试买票，余额不能用于抵扣机票钱，只能用于抵扣机建费.现在我想退掉这张卡。</t>
  </si>
  <si>
    <t>2019/10/09 15:35:29</t>
  </si>
  <si>
    <t>投诉人梅女士投诉对象淘宝网涉诉金额3799元问题类型诉求类型投诉详情承诺我无拆无修，8/15号买的，买回来感觉屏幕有点花不是很清晰，但是没有在意，因为自己还有一部三星手机，三星手机屏幕很好，以为自己看习惯了好屏幕不适应苹果的，今天想去卖了换新款手机，检查下来，换过屏幕和边框，换的还不是原厂屏幕，以下图片，听筒上面有很明显的一个东西，可以清晰看得到，边框边缘有白色边缘，正常的是没有，我不是恶心差评，我只是一个普通买家没必要来折腾，不胖我也不会这么久超过一个月才来反应，因为自己的确不懂，想去卖掉换新款才被检查出</t>
  </si>
  <si>
    <t>2019/10/09 15:35:13</t>
  </si>
  <si>
    <t>前几天下载了一个叫小浦优客的app，在上面注册了账号绑定了银行卡，当时显示要生成信用报告，我没同意，之后卸载了app，然而今天中午却有短信提示我在小浦优品有报告生成，未经本人同意确认私自从我银行卡扣除了296元。</t>
  </si>
  <si>
    <t>2019/10/09 15:34:43</t>
  </si>
  <si>
    <t>投诉人 何先生        投诉对象  上海造艺网络技术有限公司        涉诉金额  299 元    问题类型    诉求类型投诉详情  通联支付帮助携趣信息科技（上海）有限公司乱扣用户款项</t>
  </si>
  <si>
    <t>2019/10/09 15:34:24</t>
  </si>
  <si>
    <t>投诉人 田士栋        投诉对象  招联金融        涉诉金额  270 元    问题类型    诉求类型投诉详情  招联金融频繁骚扰 希望贵平台得以解决 有截图</t>
  </si>
  <si>
    <t>2019/10/09 15:34:20</t>
  </si>
  <si>
    <t>在我不知道的情况下扣款296元，要求全额退款，并道歉！。</t>
  </si>
  <si>
    <t>2019/10/09 15:34:07</t>
  </si>
  <si>
    <t>钱站明天才到期今天就给我打电话骚扰，严重影响我工作希望有关部门对钱站严查。</t>
  </si>
  <si>
    <t>2019/10/09 15:34:01</t>
  </si>
  <si>
    <t>暴力恐吓催收，侵犯肖像权，态度恶劣，暴力催收，国家扫黑除恶期间，还有如此黑社会行为。</t>
  </si>
  <si>
    <t>2019/10/09 15:33:04</t>
  </si>
  <si>
    <t>借款8000元，实际到账8000元，合同9920元，分6期偿还，每期偿还1853.03元，实际6期总偿还11118.18元，由于工作原因在还一期情况下，无力偿还第二期，导致逾期3天，在和钱站催收人员商量延后还款不成后，钱站催收人员直接群发短信给我的亲友，对我造成的精神上特大压力，希望钱站催收停止以下几点要求：1、禁止泄露个人隐私，群发短信给家人、朋友2、禁止骚扰通讯录无关人员3、以收取超高的服务费来掩盖高利息。</t>
  </si>
  <si>
    <t>2019/10/09 15:32:58</t>
  </si>
  <si>
    <t>当时贷款的时候说是用多久给多久的利息，现在想结清结果还得给30个月的，已经还了1万5千多了，还了一年多了。</t>
  </si>
  <si>
    <t>2019/10/09 15:32:25</t>
  </si>
  <si>
    <t>本人于2018.8.13到2019.9.22与悦如公寓签定的租房合同，从搬走到现在已经20多天了，至今押金未退，管家说离职了，官方客服没有人接电话，也没有人找我们说后续的处理安排。</t>
  </si>
  <si>
    <t>2019/10/09 15:32:14</t>
  </si>
  <si>
    <t>每天催收员用不同地区的手机、座机打电话无数次，因为国庆出门在外，在本人很清楚的告知他我回到家里立刻处理，正在高速上开车的情况下，催收人员不停的给我打电话，导致我无法专心开车与其他车辆发生擦挂，催收人员没有告知我工号、姓名等正常操作流程，在我的追问下依然不提供身份证明，严重的影响到我的正常工作以及骚扰到我的生活及安全健康。</t>
  </si>
  <si>
    <t>2019/10/09 15:31:56</t>
  </si>
  <si>
    <t>因为工作和身体原因，7月份时离职了，期间在找工作，经济困难，所以8月份时开始逾期了，与其过程中因找了份临时工作白天不能接电话，所以不知道光大打了电话联系的，，现在联系到了光大客服，客服人员态度相当恶劣，且同时有个本地号码说是外访催收的说要上门态度也很不好，并且光大客服人员在电话里各种恐吓说要让外访人和当地派出所警察上门催收，并且说叫通知自己的父母和亲朋，要去他们家里了解情况，什么告知我信用卡逾期了等等，在我解释就算是我逾期也是我本人的事情，不关他们的事情，客服还是各种威胁明其名曰了解情况必须去上门，间接的侮</t>
  </si>
  <si>
    <t>2019/10/09 15:31:54</t>
  </si>
  <si>
    <t>七天时间，百分之三十利息，第六天就开始催账，第七天必须中午十二点之前还，不还就骂你威胁你。</t>
  </si>
  <si>
    <t>本人与去年在线下通过朋友购买虚拟运营商朗玛移动购买一张电话卡，电话号码是：170******54，当时并未要求我实名认证，也没有进行过提醒，今年9月底时发现号卡停机，通过他们的微信公众号查询是需要提交实名认证才能恢复，于是联系他们的客服10032问需要怎么实名，可是他们说这个卡不是他们公司的个人用户卡，是内部卡，可是买的时候并没有告知我，他们不管，多次联系均是推脱，不理，我需要实名认证我的手机号，已经对我的生活造成了极大的困扰。</t>
  </si>
  <si>
    <t>2019/10/09 15:31:46</t>
  </si>
  <si>
    <t>本人于2019年02月17日通过融360向时光分期-一刻分期申请一笔借款8000元，12期，每月一期，总还款10898.89元，其中利息为2898.89元，目前已还款6期，总金额为5461.33元，还剩余6期5437.56元，其年化利率已远远超过国家法定标准，实为高利贷，现国家收紧并严惩网贷，本人负债累累，实在无法偿还如此高昂的利息，希望原子贷时光分期与我协商提前还款，并且减免部分金额。</t>
  </si>
  <si>
    <t>2019/10/09 15:31:08</t>
  </si>
  <si>
    <t>说一个月退款，然后就联系不到了，app也没人回复。</t>
  </si>
  <si>
    <t>2019/10/09 15:30:53</t>
  </si>
  <si>
    <t>在借花钱填写资料绑定银行卡后，在没有任何页面显示和提示的情况下自动扣除，让我感到很困惑，没有经本人允许恶意扣款，联系在线客服没有得到解决，希望通过此平台维护自己的利益。</t>
  </si>
  <si>
    <t>2019/10/09 15:30:30</t>
  </si>
  <si>
    <t>本人在招联金融借了2500元，因本人目前没有偿还能力，所以逾期28天，在此期间招联多次电话骚扰就不说了，还威胁我要联系我单位村委亲朋好友，导致我无法正常生活上班，无法全心工作还款，对我精神造成严重伤害！。</t>
  </si>
  <si>
    <t>2019/10/09 15:30:19</t>
  </si>
  <si>
    <t>东莞市轻奢维体健身有限公司,东莞市轻奢维体健身有限公司法人：谢搌博,东莞市轻奢维体健身有限公司老板徐毅，详情地址：东莞市莞城街道兴塘社区旗峰路200号万科中心2号办公楼1301、1302室，首次健身房关门在8月20日晚上就因为欠房租水电费被关电，一直直到8月29日才恢复营业，现于9月19日晚上突然再次关门停止营业，此前无通知无告知我们会员是什么情况，现无法联系到老板。</t>
  </si>
  <si>
    <t>2019/10/09 15:30:09</t>
  </si>
  <si>
    <t>这个月资金计划短缺，协商延后，催收不同意，未经本人同意爆我通讯录，打给朋友，家人，威胁。</t>
  </si>
  <si>
    <t>2019/10/09 15:29:55</t>
  </si>
  <si>
    <t>目前支付宝逾期三万多，一直电话催收，刚开始一天打好多电话直接导致无法进行工作，领导决定对我做出开除处理，后来就马上换新工作，每天节衣缩食，一天三顿烧饼，省下的钱还钱，打电话刚开始我一直积极协商希望给予一个长线分期，但是催收一直说不可能，还说当晚几点几点派出所要上门，之后打电话又说让收拾好行李，警察会立案抓人，给支付宝官方打电话合适是否是支付宝授权催收，支付宝官方一直不给予核实，而且催收打电话态度恶劣，一直引导我表示自己恶意拖欠，给我扣大帽子，恐吓、威胁，希望能通过贵平台给予处理，本人由于前期出现债务危机，但</t>
  </si>
  <si>
    <t>2019/10/09 15:29:32</t>
  </si>
  <si>
    <t>借款申请通过了，然后提现没有提现码，自己也没有让设置过提现码。</t>
  </si>
  <si>
    <t>2019/10/09 15:29:26</t>
  </si>
  <si>
    <t>虾米在线，借款3000，实际到账才一千八百多，但是还款期限只有四天，而且还款金额是3014，这明显就是高利贷，但是借款时候，他完全没有说明白，希望能下架这类产品。</t>
  </si>
  <si>
    <t>2019/10/09 15:29:17</t>
  </si>
  <si>
    <t>投诉人 张女士        投诉对象  达飞云贷        涉诉金额  80 000 元    问题类型    诉求类型投诉详情  利息太高 本金应该是两万多 还不上 现如今算上利息涨到八万多 逾期还款以各种骚扰电话催收 并威胁起诉借款人</t>
  </si>
  <si>
    <t>2019/10/09 15:28:56</t>
  </si>
  <si>
    <t>360借条恶意盗取公民信息，每天几个电话骚扰，还有人不断添加微信，请问是谁给你们的权利和勇气做这些违法的事情，要求立即停止骚扰，并道歉！否则我会用留存的证据以法律来维护自己的合法权益！。</t>
  </si>
  <si>
    <t>2019/10/09 15:28:42</t>
  </si>
  <si>
    <t>借款合同显示借款2660元，实际到账2000元，3个月还款3685.81元。</t>
  </si>
  <si>
    <t>2019/10/09 15:28:32</t>
  </si>
  <si>
    <t>济南快法务分公司，数次拨打本人手机号进行推销产品，在警告后依旧进行拨打骚扰，切期间对其公司投诉电话进行多次拨打，一直没有解决骚扰本人的问题，一直有电话进行拨打。</t>
  </si>
  <si>
    <t>2019/10/09 15:28:15</t>
  </si>
  <si>
    <t>在玖富借款协商结清，说话不算话，不信守承诺，故意不扣款导致再次产生费用！第一笔13300元，协商好还7585.63第二笔12100元，协商好还3447.49，由于客服的忽悠说明已经在APP提前结清还了4165.49，现在还说还有费用未结第三笔12600元，协商好还7822.46第四笔6500元，协商好还5732.49第五笔16500元，协商好还16125.119月26号与客服电话协商好五笔一共还40713.18元，9月30号再次打电话给客服申请结清扣款，10月2号客服致电给我说有2笔分别12100和1650</t>
  </si>
  <si>
    <t>2019.9月10日在电视上扫二维码给定制了银河奇异果vip优惠价格的0.99元的一个月的看银河vip电视业务，不成想今天10月9日上午时候看到微信被银河互联网电视有限公司给扣了30元的账单通知，随即联系他们客服要求退款，一口回绝不能退款，说是自动续费，这是在没有预先通知的情况下强制消费啊！要求全额退款！。</t>
  </si>
  <si>
    <t>2019/10/09 15:27:41</t>
  </si>
  <si>
    <t>9月16日，没有收到返款，电话95082一直联系不到客服。请帮忙处理，谢谢！</t>
  </si>
  <si>
    <t>2019/10/09 15:27:17</t>
  </si>
  <si>
    <t>拼多多商户违规为博彩平台收钱，欺诈消费者，付款之后什么东西都没有，直接是空气，希望要求退款，该网站网址是ssc.cc，也可以说是非法博彩网站。</t>
  </si>
  <si>
    <t>2019/10/09 15:27:14</t>
  </si>
  <si>
    <t>投诉人 周女士        投诉对象  小浦优客        涉诉金额  296 元    问题类型    诉求类型投诉详情  私自扣款。没问清楚直接扣了。连验证都没有</t>
  </si>
  <si>
    <t>2019/10/09 15:26:14</t>
  </si>
  <si>
    <t>利息太高了吧，只借三个月、几千块就几百块的息。</t>
  </si>
  <si>
    <t>2019/10/09 15:26:10</t>
  </si>
  <si>
    <t>喜鹊快贷催收人员没有按照国家法律法规是催收借款人，暴力催收给家人加微信发短信暴力要求赔偿道歉。</t>
  </si>
  <si>
    <t>2019/10/09 15:26:00</t>
  </si>
  <si>
    <t>今年九月中旬借龙虾分期四千只到账2850七天还4150逾期一天150我已经还了本金还来骚扰我的亲朋好友。</t>
  </si>
  <si>
    <t>2019/10/09 15:25:41</t>
  </si>
  <si>
    <t>投诉人尚女士投诉对象玖富涉诉金额6200元问题类型诉求类型投诉详情我在久富万卡上借款6200元的钱现在已经还款4440多了，可我看还款账单上还显示需还款6千多元&amp;nbsp;请问该平台这是不是高利贷，如不解决问题我会继续告倒底维护自己的合法权益。</t>
  </si>
  <si>
    <t>2019/10/09 15:25:02</t>
  </si>
  <si>
    <t>本人前期资金周转不周，相继在我来贷借款20000，10000，10000，7800现在想要提前还清贷款，联系客服却说提前还款也要一期一期手动还，不会减息，这不符合国家法律规定，且在借款过程中显示的利率与实际借款利率不符，询问过程中客服回答以app实际显示为准，实际利率均高于当时合同利率，希望聚投诉为我主持公道，让我来贷解决问题。</t>
  </si>
  <si>
    <t>2019/10/09 15:24:56</t>
  </si>
  <si>
    <t>2019.10.9在天猫苏宁易购官方旗舰店购买apple原装airpods蓝牙无线耳机，收到后发现苹果耳机是个瑕疵品，耳机缝隙处是错位的，还有污垢，然后又让我拿去售后检测，外观质量问题售后能检测出什么。</t>
  </si>
  <si>
    <t>2019/10/09 15:24:36</t>
  </si>
  <si>
    <t>借款三千，这阴阳合同，还完将近6000千了，希望钱站人员与我联系我愿意，我方愿意一次性还，但是目前这个利息我方一分不还，如果爆我通讯录，一毛钱也别指望要了。</t>
  </si>
  <si>
    <t>2019/10/09 15:24:25</t>
  </si>
  <si>
    <t>2019年9月3日在天天贷借款1000元，时到700元，由上海富友支付通道放款到账，9月15日和21日分别续期300元收款账户为江山昊牛网络科技有限公司，天天贷暴力催收，威胁，辱骂！希望给个说法！销账！。</t>
  </si>
  <si>
    <t>2019/10/09 15:24:24</t>
  </si>
  <si>
    <t>投诉人李思桐投诉对象捷泰贷涉诉金额7000元问题类型诉求类型投诉详情借款申请成功，然后没有提现码，不能提现，希望给出解决办法。</t>
  </si>
  <si>
    <t>2019/10/09 15:24:22</t>
  </si>
  <si>
    <t>我在平安普惠有一笔贷款，由于最近经济紧张，逾期未还，平安普惠开始暴力催收，打电话威胁我今天必须几点几点还进去，不然就爆我通话记录跟通讯录，还说是合同允许的，跟她说不是不还，让我缓一缓，最近有点太困难了，怎么说都不行，而且非说我贷款是给我朋友贷的，电话打我朋友那要钱。</t>
  </si>
  <si>
    <t>2019/10/09 15:23:52</t>
  </si>
  <si>
    <t>借款上征信什么的都懂，都是有难处才逾期未处理，但是天天暴力催收打家里人电话是什么问题，上个人征信的谁会一直不还啊，。</t>
  </si>
  <si>
    <t>2019/10/09 15:23:09</t>
  </si>
  <si>
    <t>暴力威胁，辱骂，暴力催收，诽谤，打电话过来一直说，一直说还钱，其他不说，你想解释不给你机会，不说话又说你逃避，一直打电话。</t>
  </si>
  <si>
    <t>2019/10/09 15:22:28</t>
  </si>
  <si>
    <t>蓝店商户平台，提现中949.6元未到账，还有1000元未提现，500元保证金！黑的是我们的血汗钱，要求马上全部提现到账！。</t>
  </si>
  <si>
    <t>2019/10/09 15:22:03</t>
  </si>
  <si>
    <t>商家联合翔哥物流伪造假签名，本人为收货，刷单没返款。</t>
  </si>
  <si>
    <t>2019/10/09 15:22:00</t>
  </si>
  <si>
    <t>投诉人 田士栋        投诉对象  招联金融        涉诉金额  270 元    问题类型    诉求类型投诉详情  大平台也爆通讯录吗？？？？没人管？上征信也这样吗</t>
  </si>
  <si>
    <t>2019/10/09 15:21:47</t>
  </si>
  <si>
    <t>10月8日，收到买家退货后，我们已处理消费者的退货退款，而且平台又扣除10元给消费者补偿退货运费了，而我们的货物也才几十元而已，也就是相当于买家一分钱不用出，平台就擅自从我们账户扣除40元给消费者，没有经过我们商家同意，其中扣除的30元补偿给消费者售后现金券实在不合理，而且我们一直是同意退货退款的，消费者野蛮无理投诉竟然还得到平台从我们账户扣除30元作为补偿，这样不是助长消费者胡作非为！我们已经多次联系平台反馈要求退回我们30元，但平台一直不处理！现在，我们强烈要求平台把扣除我们的30元退回给我们账户！。</t>
  </si>
  <si>
    <t>2019/10/09 15:21:06</t>
  </si>
  <si>
    <t>我之前在我主良缘APP上注册账号并开通了会员包月服务68元/月，后来2019年8月注销账号后还是每月自动扣取包月费用，在APP上找到了客服电话，多次拨打无效，按理说APP注销账号时如果在平台还有相关持续性业务应该提醒用户应取消后再进行注销操作，或者注销后自动解绑包月服务，此APP未做任何处理。</t>
  </si>
  <si>
    <t>2019/10/09 15:20:32</t>
  </si>
  <si>
    <t>投诉人 牛二        投诉对象  招联金融        涉诉金额  0 元    问题类型    诉求类型投诉详情  最近天天收到招联金融的骚扰电话 因为本人做快递的 客户很多 招联金融侵犯本人的隐私 每天打骚扰电话 让我给他找人 在打电话我就报警了 到国家扫黑部门投诉</t>
  </si>
  <si>
    <t>2019/10/09 15:20:29</t>
  </si>
  <si>
    <t>8月28日，在改机构8980元报名学习专升本市场营销专业，在报名老师那手续办完后，报名老师把我移交到班主任处，班主任制定学习计划是，发过来的文件里最下面有，1000助学金可以直接抵扣学费，当时申请时，班主任说学费是9980元，我交了8980元是已经抵扣过了，当时报名老师说的学费就是8980元，他们说法不一致，联系过同班同专业同学校的同学，他们的学费都是8980元，然后减去1000的助学金，所交学费7980元，之后和报名老师、班主任联系，相互推责任，问题一直得不到处理，2.这期间有打电话咨询过陕西教育局，教育</t>
  </si>
  <si>
    <t>2019/10/09 15:20:26</t>
  </si>
  <si>
    <t>本人在信用管家里申请了一个叫元宝宝的贷款，到账2625，一个月没到，已经还了2700了，还要还900，这几天老是有人打电话要求还款，典型的高利贷砍头息，希望有关部门介入调查，本人要求协商处理最后一期，加100利息，销账，不然本人也将持续收集资料向有关部门报案。</t>
  </si>
  <si>
    <t>2019/10/09 15:20:21</t>
  </si>
  <si>
    <t>投诉人李女士投诉对象深圳市随手科技有限涉诉金额2000元问题类型诉求类型投诉详情深圳市随手科技有限公司联合我来数科放高利贷，暴利催收，借款2笔都是5000元分12期第一期还款566.65元剩余11期每期还款566.65元已还11期6293.65元现剩余1期566.65元需还，第2笔也是借款5000，分12期已还9期金额5099.剩3期1899.95，利率合同约定年利率8.5％加之手续费各方面费用严重超出国家法律规定的24％–36％年利率在汇率计算器里算了下费率实际年费率高达62.38％已还的部分已经够支付平</t>
  </si>
  <si>
    <t>2019/10/09 15:20:14</t>
  </si>
  <si>
    <t>本人刘兰，2019年10月8日早上11点47分50秒到中行查询交易流水时发现，2019年10月8日早上8点34分57秒，消费1400元，交易地点财付通-微信零钱充值帐户，我当时我的银行卡，身份证，电话一直在我口袋里，我没有任何交易操作，也没有收到任何确认交易的短信验证码，直接就来了一个扣款1400元提醒，我的微信和财付通账号都无法找到这笔交易的交易记录，无法得知交易是和谁交易，交易的钱哪里去了，微信、财付通的客服电话永远都是强行要你和一个机器人进行弱智的循环打字，我这1400元根本就是不存在的交易，或者是财</t>
  </si>
  <si>
    <t>2019/10/09 15:19:56</t>
  </si>
  <si>
    <t>2019年9月7号收到显示器，正常使用中一直到9月12号未发现问题，开始京东售后同意上门取件进行售后/返修，过了半小时又打电话过来说我的显示器漏液不予保修，要求自己送售后或自己付费让京东维修，扯了好几天无果，10月9号打电话回复说申请了3次，都被三星那边拒绝，不予保修，但显示器并未送至三星方面检测，只是通过照片判断，根本无法证明为人为损坏，本人郑重承诺，保证安装显示器以后未进行挪动，房间里面相同位置以前放的显示器用了近10年仍未坏，环境没有问题，通过网络上，包括京东售后评价里，发现该品牌曲面显示器出现这种情</t>
  </si>
  <si>
    <t>2019/10/09 15:19:36</t>
  </si>
  <si>
    <t>未经过本人允许盗取银行卡资金，抓紧时间处理，18点前没处理，明天报警处理。</t>
  </si>
  <si>
    <t>2019/10/09 15:19:30</t>
  </si>
  <si>
    <t>本人于20184月份入职到6月份初一共欠费7100元工资，我孩子3个多月的时候生病住院求这个老板给工资也不给。</t>
  </si>
  <si>
    <t>2019/10/09 15:19:21</t>
  </si>
  <si>
    <t>账号被拼多多限制购买，我一直都是正常购物，最近不知道被限制够，联系拼多多客服，总是踢皮球，一会儿说更换网络试试，一会儿说更新一下APP.两个方法都试过了，还是不行。</t>
  </si>
  <si>
    <t>2019/10/09 15:18:34</t>
  </si>
  <si>
    <t>很早之前下载了小浦优客，并绑定了银行卡信息，之后没有任何使用就删除了软件，今天小浦优客突然把我卡上的296元给扣除，在我完全没有操作甚至没有APP的情况下，实属恶劣行为。</t>
  </si>
  <si>
    <t>2019/10/09 15:18:22</t>
  </si>
  <si>
    <t>投诉人王先生投诉对象汇金钱包,湖南易利升商务咨询有限公司,合支付,易才宏业保险经纪有限公司涉诉金额239元问题类型诉求类型投诉详情客服微信，诱导前期费用跟资料，联系客服电话177******73，一直不接电话，经过查询，为合支付扣款，扣款公司为易才宏业保险经纪有限公司，联系易才公司，，推诿说是第三方平台，并且变成买保险了，希望可以退回扣除金额，另外希望能有相关部门能处理避免更多人上当受骗。</t>
  </si>
  <si>
    <t>2019/10/09 15:18:17</t>
  </si>
  <si>
    <t>恶意修改借款合同，增加高额服务费，超过法律规定的利息。</t>
  </si>
  <si>
    <t>2019/10/09 15:17:56</t>
  </si>
  <si>
    <t>本人于去年11月在新浪微博中的你我贷借款11000，前两期每期还款1900多，后面10期每期1103，本人还了10期，快13000了，已经多还了快2000元，利息已经超过国家标准，本人与你我贷沟通你我贷拒绝沟通，本人要求你我贷给本人剩余两期销账，并且给本人道歉。</t>
  </si>
  <si>
    <t>2019/10/09 15:17:36</t>
  </si>
  <si>
    <t>投诉人 李先生        投诉对象  米多点        涉诉金额  2 000 元    问题类型    诉求类型投诉详情  本人在米多点借款1000元分四期每期7天 一共还了2000 已经属于超利贷 希望平台退回部分手续费</t>
  </si>
  <si>
    <t>2019/10/09 15:17:17</t>
  </si>
  <si>
    <t>投诉人 郭先生        投诉对象  搜狐畅游        涉诉金额  128 元    问题类型    诉求类型投诉详情  昨天10月8号晚游戏充值128元 元宝 没有到账</t>
  </si>
  <si>
    <t>2019/10/09 15:17:10</t>
  </si>
  <si>
    <t>钱站砍头息实际借款2000，合同写成2600多，借款时没有明确费用，借款后增加每月300多的服务费，高利贷借款2000，每月本息需要还款1200多，三个月实际还款高达3600多。</t>
  </si>
  <si>
    <t>2019/10/09 15:16:04</t>
  </si>
  <si>
    <t>收到货喝了下结果肚子弄的不舒服，然后我仔细看了下商家发过来的茶叶，保质期，刚收到看到包装挺好的也没在意，仔细看了下，客服说售后会处理，然后有一个女的打电话过来，就不说，说完没等我说话电话就挂了，我查了下，请工商严肃处理这件事，给消费者一个公道，按照法律规定十倍赔偿，处罚商家违法行为，产品标准号怎么什么都没有，卖三五产品还不承认。</t>
  </si>
  <si>
    <t>2019/10/09 15:16:01</t>
  </si>
  <si>
    <t>本人康振国，我的中信银行储蓄卡于2019年10月9日09：02被银联快捷支付平台支出人民币1000.00元，通过进入中信银行手机网银查询，发现是转给了腾安基金销售有限公司，而我遍查我的微信理财通，并未发现我有任何基金持仓，我想知道我的这笔钱是否还能找到并收回，并恳请有关部门对于第三方快捷支付加强管理。</t>
  </si>
  <si>
    <t>2019/10/09 15:15:45</t>
  </si>
  <si>
    <t>2018年6月8号我们公司北京奥力信国际知识产权服务有限公司带理注册四件商标，商标局初审通过以后于2019年8月16日往北京奥力信国际知识产权服务有限公司下发了答辩通知书，但是对方一直不承认收到过答辩通知书，商标局给予的信息和单号都显示对方已经签收，可由于我的答辩权没有交到原代理机构，所以不承认收到过答辩通知书，导致我们公司无法进行答辩，导致商标无效，所以请求退换之前的代理费2400并且我们后期要重新注册的损失4000元。</t>
  </si>
  <si>
    <t>2019/10/09 15:15:16</t>
  </si>
  <si>
    <t>本人借款2170，6天让还3500，协商不同意一天逾期费用高达1500，爆通讯录并发侮辱淫秽信息，扬言群发给身边所有人，请相关部分彻查此事，本人已在本地各级公安部门做好备案，准备将此事追究到底。</t>
  </si>
  <si>
    <t>2019/10/09 15:15:07</t>
  </si>
  <si>
    <t>龙行管家诱导消费者办卡，办卡时其承诺有三：1.充值2580元送1220元，会员卡内合共3800元，该金额可全部用来购买机票2.，可在一年内在其中国境内机场享受头等舱候机厅服务3.，通过龙行天下app购买机票，一直是全网最低价后来事实证明，以上三点承诺都无法兑现，都在误导消费者：1.，每次购买机票只能抵扣十元左右，要买380张机票才可以用完卡内余额2.，龙行管家的报价并非全网最低价因为以上原因向服务商提出退款无果，故此投诉。</t>
  </si>
  <si>
    <t>2019/10/09 15:14:53</t>
  </si>
  <si>
    <t>海王分期以商城优惠券的名义进行砍头息，到商城购物才知道名义上为商城额度，其实不能直接购物，只能对特定商品购物后进行返现，且周期漫长，属于变相砍头息，本人借款2次，第一次2019年7月9号借款2500元到账1775，砍头息725，分三期每十天还840，第二次借款4000元到账2840，砍头息1160分三期每十天还1447，就连借款单号都不给，本人因个人法律意识淡薄没有认清这一违法现状，通过多人打听海王分期这种行为属于违规收取砍头息，特在聚投诉平台投诉海王分期退还违规收取的商城金额1885元砍头息，在建设银行A</t>
  </si>
  <si>
    <t>9月18日通过51信用卡管家下载的周周花花，在此平台进行二次借款，当时确实是着急用钱办事，申请了3000额度的借款，以购买游戏点券方式30天的借款利息高达2000多元，易宝支付平台放款3000元，但是到期总共需要还5140，因经济原因有一天不慎逾期，逾期费用是60元，我自愿承担，但是如此高额利息，以购买游戏点券不合法方式收取的利息本人实在无力承担，希望可以协商还款，现在我已经还了2571元，去掉逾期的一天费用，属于还了2510元，本次协商还款销账后不会再申请，我也自愿承担合理的平台运营的费用和利息，投诉以后</t>
  </si>
  <si>
    <t>2019/10/09 15:14:50</t>
  </si>
  <si>
    <t>暴力催收，高利贷，利息高，直接往我家里寄啥催收函，侵犯我，威胁我。</t>
  </si>
  <si>
    <t>2019/10/09 15:14:49</t>
  </si>
  <si>
    <t>2019年9月3号在迅捷上买的vip会员半年包，在支付宝上支付48元，在10月1号在用手机号登陆发现又需要购买vip，判定不是会员，希望处理。</t>
  </si>
  <si>
    <t>2019/10/09 15:14:38</t>
  </si>
  <si>
    <t>借钱站5000.，5个月，借款看不到利率，直接要我还七千多，态度恶劣，直接盗取手机手机通讯录，给亲朋好友发骚扰信息和恐吓信息，已经严重干扰到我家人和朋友的正常生活。</t>
  </si>
  <si>
    <t>2019/10/09 15:14:36</t>
  </si>
  <si>
    <t>还有一个100元的自动扣费是什么不逾期不上征信的保证，上个月延期费用的催收费和逾期费205也请退给我。</t>
  </si>
  <si>
    <t>2019/10/09 15:14:07</t>
  </si>
  <si>
    <t>盗取通讯录信息，爆我通讯录，每天骚扰我的朋友家人，发短信！对他们的生活造成了很大的影响。</t>
  </si>
  <si>
    <t>2019/10/09 15:13:59</t>
  </si>
  <si>
    <t>本人在2019年2月15日在微贷网申请的名叫多米贷的网贷，之前并未查看合同，今天发现微贷网收取的高额管理费竟然比利息都要高！还款金额与费用不匹配！如图，本人要求协商一次性还清！。</t>
  </si>
  <si>
    <t>2019/10/09 15:13:58</t>
  </si>
  <si>
    <t>明明是借款三千还完将近六千，阴阳合同纯属高利贷，这种阴阳合同我接受不了，钱我不是不还，但是这种高利贷，我不认可，请前站人员与我联系。</t>
  </si>
  <si>
    <t>2019/10/09 15:13:56</t>
  </si>
  <si>
    <t>2019/10/09 15:13:50</t>
  </si>
  <si>
    <t>投诉人肖亚均女士投诉对象捷信金融涉诉金额34000元问题类型诉求类型投诉详情我在捷信金融公司借的分期代款34000元，以还34000元，还要叫我还35000多元，我愿还34000元所产生的利息，但还要叫我35000多元，有这么高的利息么，他们交给催收公司来收这个钱，并威协我不还就起诉我，我不可能与催收公司协商这个事，希望捷信公司的工作人员与我谈。</t>
  </si>
  <si>
    <t>2019/10/09 15:13:10</t>
  </si>
  <si>
    <t>在闪掌柜原闪管家借款18次每次收取294的高额砍头息，因为利息高只能借了还还了借，然后又套路了，希望能退还部分所谓的会员费砍头费，希望有关部门引起重视。</t>
  </si>
  <si>
    <t>2019/10/09 15:12:31</t>
  </si>
  <si>
    <t>投诉人 闫先生        投诉对象  多米贷        涉诉金额  7 000 元    问题类型    诉求类型投诉详情  多米贷逾期几天 跟他们说现在资金紧张 周转不过来 现在催收打电话过来直接恐吓要找我家里人 电话都有录音 如果我家里人收到威胁 我将会去法院起诉</t>
  </si>
  <si>
    <t>2019/10/09 15:12:05</t>
  </si>
  <si>
    <t>一直觉得现金巴士跟良心，也一直在用，用了很多次，以前都不收取任何前期，也没有高额的利息，后来现金巴士就变了，例如好信会员，，不知道买了多少次了，现在实属不能忍，只要求退回近期的三笔砍头息298+318+318，以前的我可以不追究！谢谢，麻烦请聚投诉监督。</t>
  </si>
  <si>
    <t>2019/10/09 15:09:48</t>
  </si>
  <si>
    <t>第一次说是评估报告，结果推荐的APP都不能用，第二次又扣了钱，居然说是因为有时间限制，这回连推荐都没有了。</t>
  </si>
  <si>
    <t>2019/10/09 15:09:43</t>
  </si>
  <si>
    <t>本人于2018年6月通过95137申请提前结清在中银消费金融的贷款，并按客服要求将钱存入指定银行账户，但该公司并未进行扣款操作，导致提前还款不成功扔按月扣款，直至2019年10月才发现，产生8000元利息，致电该公司，该公司称:在2018年6月申请电话中客服告知我需要在存款当日六点前再次致电该公司，但当时客服并未告知我，让该公司提供电话录音，该公司拒绝提供，希望通过贵平台督促该公司提供电话录音，以便分清责任把事情解决。</t>
  </si>
  <si>
    <t>2019/10/09 15:09:24</t>
  </si>
  <si>
    <t>投诉人 刘先生        投诉对象  钱站        涉诉金额  3 000 元    问题类型    诉求类型投诉详情  钱站高额利息 砍头 我被上当 每天打电话骚扰 还恐吓我会联系我家人 朋友 损坏我名誉 我希望他们停止骚扰我朋友家人 不要恐吓</t>
  </si>
  <si>
    <t>2019/10/09 15:09:13</t>
  </si>
  <si>
    <t>手机在质保期内不断出现发热警告，极度影响正常使用，送京东维修，，数天后，京东电话告知苹果官方不维修，说是拆改装过，需要维修费3700多元，超过商品原价值，要我向苹果询问原因，苹果客服告知：详细报告已邮件发给京东，不能告知本人，只能找维修方，而本人从未拆改装过手机，并且手机一直自用，从未借与他人，拒绝在质保期内的手机需另行花大笔资金进行维修，另：图片中是京东网上信息未更新，上述内容是根据与京东，苹果沟通内容据实描述。</t>
  </si>
  <si>
    <t>2019/10/09 15:08:48</t>
  </si>
  <si>
    <t>本人从去年就不间断接到找唐峰的平安银行短信，多次联系客服反应因无法提供此人信息客服根本就不理会，后再今年四月又有催收打电话我得到了此人信息联系客服告知与此人无任何关系不要再来骚扰，8月左右又电话来找此人后投诉客服回电称会反应以后不会再有了，还没消停几天今早又有电话打来了而且态度非常强硬，本人多次告知我不是她要找的人依然对我进行骚扰攻击。</t>
  </si>
  <si>
    <t>2019/10/09 15:08:16</t>
  </si>
  <si>
    <t>投诉人 兰先生        投诉对象  特约中智消费        涉诉金额  1 243 元    问题类型    诉求类型投诉详情  银行卡莫名其妙扣费了 以前还没注意到今天看银行交易记录才发现 我希望能得到一个合理的解释 扣费原因</t>
  </si>
  <si>
    <t>2019/10/09 15:07:50</t>
  </si>
  <si>
    <t>本人在百万钱包贷款16000，到账13500，扣掉2500，一年十二期还完，每期1607，一共19284，年利率超过百分之42.8，属于高利贷，不在国家规定范畴，所谓的2500担保费，不明不白，我让百万钱包给我提供这个担保费的收据发票，客服敷衍态度，一拖再拖，一个多月了还没解决问题，并且催收的，一天十几个电话，骚扰威胁，不能协商还款。</t>
  </si>
  <si>
    <t>2019/10/09 15:07:16</t>
  </si>
  <si>
    <t>月光侠暴力催收，曝光通讯录，客服不予协商，借款1750，一个月还款2570，高利贷。</t>
  </si>
  <si>
    <t>2019/10/09 15:07:10</t>
  </si>
  <si>
    <t>150******62用不了请联系150******55.协商还款，明天还款10.10还款。</t>
  </si>
  <si>
    <t>2019/10/09 15:07:04</t>
  </si>
  <si>
    <t>中金支付为信而富高利贷违规提供支付通道，现要求信而富返还我所有变相砍头息2399元。</t>
  </si>
  <si>
    <t>2019/10/09 15:06:47</t>
  </si>
  <si>
    <t>本人在支付宝，花呗里有一笔欠款，因经济问题一时间未能还上，今天马上即有人打电话到我的通信录朋友处，向我通信录朋友说我欠款的事，问我还款，支付宝花呗，很久没与我联系，查看了一下通信录保存的联系人记录，是六月份的，这次不清楚涉诉金额，所以上面的涉诉金额暂写0，1、投拆支付宝，花呗泄露用户隐私，把我通信录给了别人，侵犯我的隐私权人权。</t>
  </si>
  <si>
    <t>2019/10/09 15:06:23</t>
  </si>
  <si>
    <t>国美易卡没有提前通知还款日23:50的时候开始系统维护是无法还款的，而且在没有通知的情况下，直接加罚息高达150一天。</t>
  </si>
  <si>
    <t>2019/10/09 15:06:11</t>
  </si>
  <si>
    <t>本人在首放三千贷款，前两次按约支付高利贷利息，最后一次银行卡无法转入对方账户，不得已逾期，，后有自称催收人员主动打电话给我，要求还款，我要求对方提供对公账号，对方拒绝提供一直通过QQ骚扰，十一国庆节过后，对方恶意催收，给我通讯录朋友们群发催收恶意短信，又预图谋在半夜骚扰我通讯录朋友们，其行为已经涉嫌软暴力讨债犯罪属于黑社会性质犯罪，希望贵单位接到投诉，要求其立即停止骚扰，在通讯录朋友群道歉，并赔偿损失，催收人员手机130******87，QQ208674904。</t>
  </si>
  <si>
    <t>2019/10/09 15:06:08</t>
  </si>
  <si>
    <t>招商银行催收在没有经过我允许的情况下乱打公司电话，并且通过我QQ空间加我好友乱骂人，给我的家人朋友生活上造成严重的影响，并且招商银行催收使用私人手机号，私人微信进行威胁恐吓，我也给他们承诺过钱我会还要求减免他们也直接拒绝，他们的每一个电话我都有录音，在这里我希望与招商银行信用卡中心协商还款，而不是利用暴力催收的方式来催我还款。</t>
  </si>
  <si>
    <t>2019/10/09 15:05:53</t>
  </si>
  <si>
    <t>请垃圾宜信工作人员不要再联系我你们app我并没有使用也没有下载每天换着人不分时间场合轮番换着号码打不要再骚扰我了垃圾。</t>
  </si>
  <si>
    <t>2019/10/09 15:05:24</t>
  </si>
  <si>
    <t>11月1日，12月1日，和1月1日。还款日期是到账了才看的到 这不是坑人吗？</t>
  </si>
  <si>
    <t>2019/10/09 15:04:43</t>
  </si>
  <si>
    <t>事情发生在2017年12月，当时在浏览器阅读新闻时弹出一个棋牌的平台，冲了钱我才发觉这根本就是一个网络赌博的平台，钱就是通过北京利浩天雄新能源科技有限公司给他们转过去的。</t>
  </si>
  <si>
    <t>2019/10/09 15:04:33</t>
  </si>
  <si>
    <t>本人在淘集集平台7月1号提现的货款到今天10月9号，以前说T+30日周期，现在是三个月多了，一直迟迟不打款，反馈了给平台客服，也不给处理，总是在敷衍商家，请淘集集平台打款，还我们商家的血汗钱。</t>
  </si>
  <si>
    <t>2019/10/09 15:04:32</t>
  </si>
  <si>
    <t>给我打电话威胁恐吓，还要给我通讯录打电话，晚还款一天，是最近经济遇到困难，不是不还款，跟他们沟通说下午存进去都不行，他们客服说协议上写着可以拨打你的通话记录跟通讯录好友，禁止在打我通讯录电话，骚扰家人朋友，没说不还，告诉下午就存，给我朋友打电话都有录音，我朋友都告诉他们下午存，可是还是一一不放，还威胁我最后给我42分钟，谁没有困难，我都说了，一会的，一会的，下午就处理，有录音不会发。</t>
  </si>
  <si>
    <t>2019/10/09 15:03:36</t>
  </si>
  <si>
    <t>投诉人 管云媚        投诉对象  蛋壳公寓        涉诉金额  20 000 元    问题类型    诉求类型投诉详情  本人于10月5日入住蛋壳公寓 7日凌晨开始停电 直到9日早上我上班之前还没有解决 因为刚住进公寓 电表箱在哪儿都找不到 所以要求客服联系其他租客缴纳电费 但始终没有结果 投诉期间 座机可录音电话 态度良好 但是不解决问题只是反馈 只要不是座机电话 态度都及其恶劣 不断挂我电话 租约上明文规定不能饲养宠物 结果在停电期间不断在房间里传</t>
  </si>
  <si>
    <t>2019/10/09 15:02:40</t>
  </si>
  <si>
    <t>在钱站借款4000元分6期还，合同上却写着5280元。</t>
  </si>
  <si>
    <t>2019/10/09 15:01:45</t>
  </si>
  <si>
    <t>本人手机号未欠费停机，未设置黑名单，未设置拦截，但是催收人员骚扰家人说我的电话联系不上，说我的电话正在通话中，停机了，我的手机今天一直未收到宜人贷的来电提醒，也未收到短信提醒。</t>
  </si>
  <si>
    <t>2019/10/09 15:01:44</t>
  </si>
  <si>
    <t>在闪银的闪豆借款1000元，需要提前够买一个268元的购物费，才能通过，属于高额砍头息，已经买了好几次268产品，跟催收协商让减免让联系客服，客服电话又打不通，希望尽快处理还本来并赔偿上一期268购物费。</t>
  </si>
  <si>
    <t>2019/10/09 15:01:39</t>
  </si>
  <si>
    <t>投诉人尚女士投诉对象招联金融涉诉金额8418元问题类型诉求类型投诉详情本人已失业，跟招联金融协商还款，但是不理会，一直骚扰本人还有联系人！如果一只骚扰暴力催收，那就走法律程序解决。</t>
  </si>
  <si>
    <t>2019/10/09 15:01:30</t>
  </si>
  <si>
    <t>微粒贷逾期7天，因为资金周转问题需要宽限几天才能还款，可是微粒贷催收通过139邮箱发送短信说我电话不通，要求我今天四点前还清，不然就联系通讯录和单位核实情况，之前微粒贷已经打电话到单位影响了正常工作，差点丢了饭碗，现在跟催收协商宽限几天，15号之前处理完毕，可是对方完全不给协商余地。</t>
  </si>
  <si>
    <t>2019/10/09 15:00:55</t>
  </si>
  <si>
    <t>借款4000，一个月要还5200，暴力催收，套路贷，高利贷，不停电话骚扰，威胁全额还款否则联系第三方帮忙还，差点导致本人车祸，主体公司温州敏驿科技有限公司，注册地就是一个厂房宿舍，根本不是办公地点，当地温州信访办接收举报后已经去查看，要求我继续提高线索，今天催收电话改为广州02085659720，加我微信，不断要求我先撤销投诉才能协商，如果我撤销投诉他们反悔的话，我投诉无门。</t>
  </si>
  <si>
    <t>2019/10/09 15:00:39</t>
  </si>
  <si>
    <t>每天最少打30个电话过来，严重影响我的生活，催收人员态度非常恶劣，利息也对不上需要还的金额，属于高利贷形式了。</t>
  </si>
  <si>
    <t>2019/10/09 15:00:34</t>
  </si>
  <si>
    <t>信用钱包贷款利率过高，一天逾期3400，收200利息，还称36%的年化合法，不是今天逾期都不知道利息那么高，一天，还给我家人等打电话催收，太可怕了，严重影响我的生活，也不可以提前还款，还款利息也得正常还，太可怕了，申诉无门，app联系客服还各种跳线。</t>
  </si>
  <si>
    <t>2019/10/09 15:00:29</t>
  </si>
  <si>
    <t>投诉人周阳投诉对象新意花涉诉金额4800元问题类型诉求类型投诉详情新意花网贷逾期没有正常还款渠道导致产生高额逾期费用，客服形同虚设，要求结算我的费用。</t>
  </si>
  <si>
    <t>2019/10/09 14:59:28</t>
  </si>
  <si>
    <t>投诉人陈先生投诉对象蜜瓜钱包涉诉金额8000元问题类型诉求类型投诉详情违规放贷，高额利息，砍头息，借1400，还2200，申请前明明是一个月为期，申请后变成了6天。</t>
  </si>
  <si>
    <t>2019/10/09 14:59:24</t>
  </si>
  <si>
    <t>电话中多次提出让亲戚朋友帮我还款，说要电话威胁等语言！语言表达的意思，让我无法正常的工作和赚钱！本身欠款很多已经快还清了也在努力还钱，他们多次联系亲属其目的想让亲属朋友代偿，甚至说来上门等。</t>
  </si>
  <si>
    <t>2019/10/09 14:59:18</t>
  </si>
  <si>
    <t>2019年9月19日,经过与口碑业务员沟通,便申请开了两家店的开店通,当天下午付款,但是隔了能有30分钟,老总打电话说,其中一家店因为年底要关闭的原因,只能开一家店的,于是,联系口碑客服,要求退一家门店的,因为当天下午开的,服务并没有生效.我便要求退其一家店的开店通的款项,下午一个0571的电话打来说能退,但是过程比较复杂,让我等待回复,我便跟老总说明可退,但是需要等待流程,但是,2019年10月9日,我再次联系口碑客服,客服竟然说回应无法退款,这点让我十分怀疑,一个这么大的品牌,我本来是十分信任的和老板介</t>
  </si>
  <si>
    <t>2019/10/09 14:59:06</t>
  </si>
  <si>
    <t>借了5000，合同变成了借款7000，分三个月还，每个月还两千四百多。</t>
  </si>
  <si>
    <t>2019/10/09 14:59:03</t>
  </si>
  <si>
    <t>委托当地的催收人员多次对我人身威胁和攻击，发大量的短信骚扰我的家人，爆我的通讯录，要求立即停止，同意我的分期还款方案，并对我名誉进行声明道歉。</t>
  </si>
  <si>
    <t>2019/10/09 14:58:54</t>
  </si>
  <si>
    <t>5月14日借款1000元，收取砍头息180元6月14日借款1000元，收取砍头息180元7月14日借款1000元，收取砍头息180元8月13日借款2000元，收取砍头息360元9月8日借款1500元，收取砍头息270元10月8日借款2000元，收取砍头息360元在国家规定不许砍头息的情况下，还敢如此胡作非为，你们的利息，我借款，我付利息，没毛病，我也没挑你利息的错，但是你这种强制性的砍头息，捆绑销售，是完全不合法律法规的。</t>
  </si>
  <si>
    <t>2019/10/09 14:58:50</t>
  </si>
  <si>
    <t>2018年10月16日在曲靖安通汽车销售服务有限公司购买宝骏510汽车一辆，当时销售人员叫交续保押金，并承诺之后不在他们那购买保险可以退，现保险到期，不想在其购买。</t>
  </si>
  <si>
    <t>2019/10/09 14:58:49</t>
  </si>
  <si>
    <t>拍拍贷各种短信电话威胁恐吓，骚扰我通讯录电话严重影响个人声誉，利息乱来。</t>
  </si>
  <si>
    <t>2019/10/09 14:58:41</t>
  </si>
  <si>
    <t>投诉人 黎先生        投诉对象  多宝分期        涉诉金额  9 600 元    问题类型    诉求类型投诉详情  本来借2千3期结果出来的是6千4期 要还9600 ，2个月时间 已经还了一期 ，2期时间到了开始催收的来了</t>
  </si>
  <si>
    <t>2019/10/09 14:58:14</t>
  </si>
  <si>
    <t>贷上钱借款，借款2500，收600多砍头息。</t>
  </si>
  <si>
    <t>2019/10/09 14:58:03</t>
  </si>
  <si>
    <t>2018年12月16日在凡普信借款55000元，合同金额确是87100元，砍头息，分36期，每期还款金额2976.89元，现已还9期，发现利息非常高，就找业务员询问，结果业务员说门店已经全部撤掉，此项业务不归她们门店负责，只告诉我一句让我联系北京总部4008118006电话，但是联系人工后，客服又告诉我说他们没有负责人，也没有电话，只有客服人员，我想找负责人约谈能否降息，提前还款，但是没有人受理，所以我只能停止还款，而且每月还款日是16日，但是每月11日就从我卡里自动划扣了，按照实际用款的期限计算的话，只能</t>
  </si>
  <si>
    <t>2019/10/09 14:57:51</t>
  </si>
  <si>
    <t>2019年9月5日在my钱包，借款金额4000元整，分期三期还款，三期合计应还为金额4840元整，利息为360元+480元担保服务费，这利率远远超出了国家明文规定，这属于高利贷行为，我要求该贷款公司退还480元担保服务费，否则继续收集证据再向银监会投诉。</t>
  </si>
  <si>
    <t>2019/10/09 14:57:28</t>
  </si>
  <si>
    <t>第一个月4362.43元，后面11期每期3312.43元；信用卡代还本金25000，本人已经还款3期，目前需要一次性还清需要还52404.34元，用了3个月，已经还款20000多元，本人诉求是免除部分利息，同时小赢在放款合同里搭售了众安保险的金融服务险种，银保监会严禁保险公司销售金融借款类保险，希望众安保险能退回相关保费、如果小赢网金公司及众安保险不能处理本人诉求，本人将投诉至，互联网金融协会，12315、银保监会、深圳金融局、如果有必要本人将向深圳市人民法院起诉。</t>
  </si>
  <si>
    <t>2019/10/09 14:56:59</t>
  </si>
  <si>
    <t>又不是我借的钱凭什么电话轰炸我，严重影响我的工作。</t>
  </si>
  <si>
    <t>2019/10/09 14:56:40</t>
  </si>
  <si>
    <t>投诉人 张先生        投诉对象  易借,微粒贷,万达普惠,国美易卡        涉诉金额  5 000 元    问题类型    诉求类型投诉详情  本人通过联通沃钱包中易借平台。借款5000元整。分6期。每期还款900多。已还2期。最近实在没钱还了。我承认我欠钱不对。我也没说不还。只是时间问题。但是他们根本不予理会。再能联系到本人的情况下。疯狂骚扰我联系人。致使联系人无法工作。有钱了我会还的。目前真的没钱了。我也知道自己作的终归要自己承担。这些账我都认。目</t>
  </si>
  <si>
    <t>2019/10/09 14:56:29</t>
  </si>
  <si>
    <t>投诉人范火兵投诉对象好易借涉诉金额3000元问题类型诉求类型投诉详情暴力催收高利贷，分期付款不合规，乱打通讯录威胁我，，。</t>
  </si>
  <si>
    <t>2019/10/09 14:56:06</t>
  </si>
  <si>
    <t>投诉人王先生投诉对象广州万科公众号涉诉金额0元问题类型诉求类型投诉详情微信文章留言互动的蓝牙音箱https://mp.weixin.qq.com/s/cslMG-dap5oOyhZg0BGcIg一直没有发货，地址在公众号留言的有，文章留言里也有。</t>
  </si>
  <si>
    <t>2019/10/09 14:56:05</t>
  </si>
  <si>
    <t>投诉人况先生投诉对象交通银行催收部涉诉金额26000元问题类型诉求类型投诉详情催收部门一小时内打了几十个同事亲人电话，严重影响正常工作生活，交通银行催收部乱打电话。</t>
  </si>
  <si>
    <t>2019/10/09 14:55:46</t>
  </si>
  <si>
    <t>暴力催收一天十多个电话还说要轰炸通讯录为由多次要挟。</t>
  </si>
  <si>
    <t>2019/10/09 14:55:10</t>
  </si>
  <si>
    <t>微粒贷的第三方催收拿着本人的信息手机号胡乱注册APP,你们微粒贷坐视不管，是吧，希望客服给我回电话，如下就是证据，他们所作所为也是你们允许了的，我要求给个说法，影响到了手机的使用，电话轰炸也就罢了，还这么低级，。</t>
  </si>
  <si>
    <t>2019/10/09 14:55:09</t>
  </si>
  <si>
    <t>微贷骚扰联系人，爆通讯录，现在本人已失业！已还了好几期了，有钱会还的，但是一直骚扰联系人，在这样，我觉得可以不还了。</t>
  </si>
  <si>
    <t>投诉人 宋女士        投诉对象  Wecash闪银        涉诉金额  1 050 元    问题类型    诉求类型投诉详情  本人在闪银有一笔1000块钱的借款 砍头息接近200 这次逾期4天 逾期产生的费用20多块 但是从未有说过不还 工资未发放 要晚几天才能还上 昨天遭倒自称是客服的恐吓以及威胁 从来不予协商 被逼无奈投诉 过了一个小时闪银官方给我打过电话 态度很好并且协商了还款时间 并且帮我跟催收联系了 后来催收打来了电话说明了情况 我是上夜班</t>
  </si>
  <si>
    <t>2019/10/09 14:53:52</t>
  </si>
  <si>
    <t>长话短说，借款的时候不知道纯阴阳合同，合同上写的是7800，结果我一细算每期要还558.99分十二期等于13415.76和他们的费用不一致而且费用严种超限，望严格查处这种欺骗客服的不负责的行为。</t>
  </si>
  <si>
    <t>2019/10/09 14:53:50</t>
  </si>
  <si>
    <t>投诉人田士栋投诉对象招联金融涉诉金额270元问题类型诉求类型投诉详情由于资金垫付目前身无分文想协商还款日期不要天天骚扰恐吓打通讯录。</t>
  </si>
  <si>
    <t>具体因为什么也没有写，而且也不知道是那个商家举报的，举报了我也不知道因为什么，问客服客服也说没办法查出来。</t>
  </si>
  <si>
    <t>2019/10/09 14:53:42</t>
  </si>
  <si>
    <t>我只是注册了账号今天就收到了296的扣款消息，而且正规的贷款是不会有前期的，我希望小浦优客别昧着良心想想其他的黑网贷是怎么死的。</t>
  </si>
  <si>
    <t>兴业银行信用卡中心催收人员每天不停的恐吓家人。</t>
  </si>
  <si>
    <t>2019/10/09 14:53:37</t>
  </si>
  <si>
    <t>买家确认收货了，三个小时后钱没用到账，交易猫上卖的号还是在上架中。</t>
  </si>
  <si>
    <t>2019/10/09 14:53:36</t>
  </si>
  <si>
    <t>投诉人孙先生投诉对象钱站涉诉金额256470元问题类型诉求类型投诉详情本人于2019年7月11通过钱站APP申请了一笔本金为20000的贷款，8月正常还款，9月因特殊原因，在已告知缘由的情况下，协商处理，后工作人员多次恶意骚扰，谎称通过APP可再次申请，以还清当期欠款，申请过后，经核实，是不到账的，直接把所有款项全部结清，又多了近6000块钱的利息以及手续费，之前还的也全部不算了。</t>
  </si>
  <si>
    <t>2019/10/09 14:53:34</t>
  </si>
  <si>
    <t>我于2019年8月22日在居然之家坤泽店鼎赫家居购买法思哲家具一套，共计30000元，合同编号是10372019082200012，出现严重质量问题和违约，根据国家家具三包政策相关规定，我要求退货，商家拒绝退货，给出的解释是做工确实粗了，因为在我下单第二天，厂家被当地环保部分贴封条，只能晚上偷偷赶工，晚上光线不好，所以做的粗糙了，至于尺寸不合适，可以给我换一款，但是没有我喜欢的款式，坚持要求退货，居然之家商场协调说可以帮我退了沙发茶几，让我留下餐桌餐椅，或者给我全部退货但是我承担一部分运费，但是合同是一份合</t>
  </si>
  <si>
    <t>2019/10/09 14:53:20</t>
  </si>
  <si>
    <t>投诉人 李兆松        投诉对象  美团外卖        涉诉金额  20 元    问题类型    诉求类型投诉详情  中午订餐美图外卖送3个小时了还没有收到 给美团打电话说骑手出车祸 又说给送到了 但是到现在为止都没有收到外卖 现在中午饭也没吃 对于美团客服处理结果不满意 要求美团做出道歉以及相应赔偿</t>
  </si>
  <si>
    <t>2019/10/09 14:53:10</t>
  </si>
  <si>
    <t>投诉人 张先生        投诉对象  百事普惠        涉诉金额  299 元    问题类型    诉求类型投诉详情  没有下款就恶意扣费 说不下款不扣费 欺诈消费者</t>
  </si>
  <si>
    <t>2019/10/09 14:52:34</t>
  </si>
  <si>
    <t>由于暂时无法还款，协商晚些还款，协商不同意，一直暴力催收。</t>
  </si>
  <si>
    <t>2019/10/09 14:52:02</t>
  </si>
  <si>
    <t>也没有在他平台办理什么业务，客服电话打不通，本人要求对方立即退款到本人账户，并道歉，不然全网投诉！。</t>
  </si>
  <si>
    <t>2019/10/09 14:51:47</t>
  </si>
  <si>
    <t>，我还在投诉建议里留了协商申请，下午来个电话就是不可以，下午四点之前不处理，走程序，没说完就挂了，欠债还钱天经地义，真的不是不还，之前也用过好几次了，从来没有不还逾期，这次遇到困难就不能协商一下吗。</t>
  </si>
  <si>
    <t>小树时代骚扰本人通讯录及亲属朋友，非法短信群发，对本人名誉造成了很大的迫害，还让外包公司用各地电话骚扰本人以及朋友，小树时代砍头息严重，利息超过国家规定的利率，请求相关部门严查，如需配合，本人可以提供证据。</t>
  </si>
  <si>
    <t>2019/10/09 14:51:45</t>
  </si>
  <si>
    <t>本人在拼多多买了一双儿童鞋，穿上不到2天就开胶了，结过卖家以穿过不给退货！而后拼多多官方打电话过来也说了同样的话，拼多多客服态度恶劣，解决不了问题！卖家开店图片写的是开胶包退货！结果现在卖家和官方都不给解决！。</t>
  </si>
  <si>
    <t>2019/10/09 14:51:40</t>
  </si>
  <si>
    <t>借5500，12个月要还6919.77，高利贷非法收取高额服务费贷后管理费，暴力催收，骚扰通讯录，发恐吓短信，已经还了11期，还剩最后一期，本金利息都已经还够，剩下的非法服务费，贷后管理费要求减免！！还有骚扰通讯录道歉！！。</t>
  </si>
  <si>
    <t>2019/10/09 14:51:10</t>
  </si>
  <si>
    <t>投诉人 卢先生        投诉对象  好分期（北京微财科技有限公司）        涉诉金额  2 400 元    问题类型    诉求类型投诉详情  利息高，盗用信息，骚扰电话，骚扰家人。一天到晚电话轰炸不停</t>
  </si>
  <si>
    <t>2019/10/09 14:50:55</t>
  </si>
  <si>
    <t>无忧借贷，本人在9月4日借了1800元，实际到账1050元，砍头息750元，协商不成，催收暴力骚扰亲友，威胁我爸，让他发账单过来他不发。</t>
  </si>
  <si>
    <t>2019/10/09 14:50:35</t>
  </si>
  <si>
    <t>本人在10月4号在肇庆大旺高新开发区，大旺广场大昌龙超市买了三瓶日之选八宝粥，今天早上11点多开了一瓶吃到一半吃到石头，厂家电话一直打不通，去找了经营销处理问他厂家电话为什么打不通一直没给我答复，表示联系不到厂家。</t>
  </si>
  <si>
    <t>2019/10/09 14:50:32</t>
  </si>
  <si>
    <t>借款7500元6期需要还12000多元，未放款，找客服不让取消，希望帮我取消借款。</t>
  </si>
  <si>
    <t>2019/10/09 14:50:23</t>
  </si>
  <si>
    <t>因为资金紧张在今年3月份出现了逾期，本人一直在积极的借钱，刚逾期前几天天天都会打电话，不过不是人工客服是智能客服，我每个电话都有接，忽然有一天就爆了我通讯录，开始天天都有不同的人跟我说有一个360的打电话说我欠钱，但是从来没有给我打过，后来我就给360客服打电话投诉这个情况，客服说会给相关部门反映这个情况，第二天就有一个人给我打电话说是给我解决爆通讯录的问题，结果说了很多以后告诉我他们没有我的通讯录信息，不可能爆我通讯录的，这个事儿过了没多久，又群发短信，360借条给我的回馈还是说不存在爆通讯的情况，如果像</t>
  </si>
  <si>
    <t>2019/10/09 14:50:12</t>
  </si>
  <si>
    <t>暴力催收，超高利息，套路借款人逾期，侮辱人。</t>
  </si>
  <si>
    <t>2019/10/09 14:49:58</t>
  </si>
  <si>
    <t>本人被拉到一个网络兼职群，一直想在上班以外赚点外快，听他们说可以带人，稳赚不赔，看到上面可以用云闪付，支付宝支付以为有了安全保障，和支付清算协会沟通得知第三方支付业务应审核客户的相关信息，第三方支付业务公司不得向证券，期货，博彩等机构提供支付结算业务，云闪付居然为非法网络赌博网站提供第三方充值渠道，强烈要求云闪付停止为网络赌博提供第三方充值渠道，通过中国人民银行，中国银联，和支付清算协会沟通得知，第三方支付业务应审核客户的相关信息，第三方支付业务公司不得向证券，期货，博彩等机构提供支付结算业务，作为有牌照的</t>
  </si>
  <si>
    <t>2019/10/09 14:49:23</t>
  </si>
  <si>
    <t>投诉人 王先生        投诉对象  闪银        涉诉金额  2 400 元    问题类型    诉求类型投诉详情  什么担保费用要199 还有什么征信要60 还有个什么40 1200块钱一个月要还300多</t>
  </si>
  <si>
    <t>2019/10/09 14:49:04</t>
  </si>
  <si>
    <t>在闪银的闪豆借款1000元，需要提前够买一个268元的购物费，才能通过，属于高额砍头息！我已经多次购买268的产品，希望只还本金并赔偿上期购物费。</t>
  </si>
  <si>
    <t>2019/10/09 14:48:51</t>
  </si>
  <si>
    <t>今天早上一个私人号码打给我自称是京东的催收，而且说我欠款1000多，具体说了多少记不清了，但是我的账号是显示还785.24，他说不能分期必须全还，我说10号发工资就还逾期的部分，他说不行而且态度说话语气恶劣，然后要求我必须12点之前还，我说今天还不了，之后就威胁我说要上门还要带摄像人员，然后下午又反复打电话，我上班工作无法及时接听，希望可以停止骚扰或者恐吓，他的电话是下面截图里的133******15。</t>
  </si>
  <si>
    <t>2019/10/09 14:48:25</t>
  </si>
  <si>
    <t>苏宁催收骂我父母，没有人性，疯狂骚扰，今天又给我打了四个，上来就说我妈死了让我回去看看。</t>
  </si>
  <si>
    <t>2019/10/09 14:48:24</t>
  </si>
  <si>
    <t>投诉人 廖女士        投诉对象  猪八借（跃吉科技）        涉诉金额  299 元    问题类型    诉求类型投诉详情  以贷款为名 诱导绑定银行卡 直接扣款说是会员费没有提示 要求退款联系不到客服 要求退款 否则进一步投诉</t>
  </si>
  <si>
    <t>2019/10/09 14:48:06</t>
  </si>
  <si>
    <t>2019/10/09 14:47:45</t>
  </si>
  <si>
    <t>高额砍头息，线下收取费用，实际到账99000合同149000。</t>
  </si>
  <si>
    <t>2019/10/09 14:47:08</t>
  </si>
  <si>
    <t>四季钱庄借款3000元，实际到账2100元，延期费用1140元，到日还款app进不去，没有人联系，逾期11天，逾期费用高达3300元，客服联系，还没协商好就开始爆通讯录催收，要求只还本金，给我道歉。</t>
  </si>
  <si>
    <t>2019/10/09 14:47:03</t>
  </si>
  <si>
    <t>擅自扣除我银行卡的钱，请立刻归还296元！。</t>
  </si>
  <si>
    <t>2019/10/09 14:46:49</t>
  </si>
  <si>
    <t>1月份的快递显示的是韵达1保管，看下收件的地址都是错的，，近期10月份公司要用银行的U盾的时候才知道快递把U盾弄丢了，这边联系发件公司以他们公司内部规定时间为由拒不赔付，开户行在崇阳公司在武汉一去一回不要路费油费午餐费的呀。</t>
  </si>
  <si>
    <t>2019/10/09 14:45:50</t>
  </si>
  <si>
    <t>我在交易猫买了东西，卖家一直不在线，我就取消交易了，取消后显示退款失败，支付宝也没有收到这两笔退款。</t>
  </si>
  <si>
    <t>2019/10/09 14:45:41</t>
  </si>
  <si>
    <t>高利贷，借款2700元分三期还款4972.24，。</t>
  </si>
  <si>
    <t>2019/10/09 14:45:26</t>
  </si>
  <si>
    <t>翼钱包爆通讯录，该app1000元到账700元，周期8天，在国家打击高利贷套路贷的时候该平台依然顶风作案。</t>
  </si>
  <si>
    <t>2019/10/09 14:45:16</t>
  </si>
  <si>
    <t>投诉人高翔投诉对象你我贷涉诉金额600元问题类型诉求类型投诉详情本人的姐姐在你我贷有一笔贷款之前还款良好由于近期资金周转出现问题导致账单逾期但是并不是故意拖欠催收人员不予进行协商恶意拨打联系人电话造成不良影响希望平台停止催收与我进行协商还款事宜。</t>
  </si>
  <si>
    <t>2019/10/09 14:45:07</t>
  </si>
  <si>
    <t>本人去年开始因为资金周转在51人品贷贷款20000元，截止现在只剩下三期没还，最近实在是想不到办法，逾期一天后客服来电话要求必须今天还进去否则打电话给周边亲戚朋友，人都有困难的时候，我并不是不还，都说在想办法尽快，我想问下这家网贷公司的催收都是这种强硬态度吗，结款10000元12个月还款13327.96这个利率是否合法。</t>
  </si>
  <si>
    <t>2019/10/09 14:44:23</t>
  </si>
  <si>
    <t>51人品贷爆通讯录骚扰我家人和朋友，暴力催收，甚至还天天用不同的电话号码打电话辱骂我恐吓我，一打电话过来就骂我，搞的我不敢接电话，我不接电话他们就一直发短信恐吓我！！51人品贷简直就是地痞流氓！希望有关部门来处理这个51人品贷！简直目无王法，这些图里的号码都是51人品贷的催收，他们简直就是黑社会对我进行恐吓进行骚扰！！请有关部分引起重视！！！这个51人品贷简直就是败类！！。</t>
  </si>
  <si>
    <t>2019/10/09 14:44:19</t>
  </si>
  <si>
    <t>多宝分期，4000元两个月要求还款，6300多，半个月一还，远超国家标准，国家不是严打高炮贷款么，望调息。</t>
  </si>
  <si>
    <t>2019/10/09 14:43:44</t>
  </si>
  <si>
    <t>转转卡卷回收是骗子，都不要用转转了，回收后钱不给，骗老百姓钱，大家努力回复，让更多的人看到，不要让更多的人上当受骗。</t>
  </si>
  <si>
    <t>2019/10/09 14:43:38</t>
  </si>
  <si>
    <t>2019年7月18日借款平台，借款2500元，没想到到账实际金额1625元，5天后归还2500元，短短的5天利息高达975元，这就是高利贷啊！，畅捷作为第三方支付平台伙同套路贷高利贷公司违规提供链接，导致我被骗，现要求全额退款。</t>
  </si>
  <si>
    <t>2019/10/09 14:43:33</t>
  </si>
  <si>
    <t>暴力催收，态度恶劣，告诉他号码易主还一直骚扰。</t>
  </si>
  <si>
    <t>2019/10/09 14:43:32</t>
  </si>
  <si>
    <t>投诉人 高翔        投诉对象  马上消费金融        涉诉金额  4 000 元    问题类型    诉求类型投诉详情  本人的姐姐在马上消费金融有一笔贷款 之前还款良好 由于近期资金周转出现问题 导致账单逾期 但是并不是故意拖欠 催收人员不予进行协商 恶意拨打联系人电话 造成不良影响 希望平台停止催收 与我进行协商还款事宜</t>
  </si>
  <si>
    <t>2019/10/09 14:43:16</t>
  </si>
  <si>
    <t>以贷款app诱导客户绑定银行卡&amp;nbsp;未经同意直接扣款在他们app上也没有借款成功&amp;nbsp;打客服电话无人应答之后换了手机也找不到app要求还款&amp;nbsp;不然继续举报包括合作扣款商户。</t>
  </si>
  <si>
    <t>2019/10/09 14:43:15</t>
  </si>
  <si>
    <t>投诉人 张先生        投诉对象  捷信金融        涉诉金额  0 元    问题类型    诉求类型投诉详情  之前在捷信公司分期了一个手机 还完分期之后 每天都有三四个电话问我需不需要贷款 而且我已经明确的说明不需要贷款 请不要再给我打电话了 结果什么用没有 还是天天有捷信金融的骚扰电话</t>
  </si>
  <si>
    <t>2019/10/09 14:43:12</t>
  </si>
  <si>
    <t>立借花薪猫假意协商，撤诉后依然催收，态度恶劣。</t>
  </si>
  <si>
    <t>2019/10/09 14:42:58</t>
  </si>
  <si>
    <t>语言侮辱，高利贷，群发信息，骚扰通讯录，威胁恐吓，。</t>
  </si>
  <si>
    <t>2019/10/09 14:42:43</t>
  </si>
  <si>
    <t>因为my钱包平台逾期3天，它一天多一百块钱的逾期费用，一直爆通讯录，同事，朋友，到处电话。</t>
  </si>
  <si>
    <t>2019/10/09 14:42:38</t>
  </si>
  <si>
    <t>借款20000/每个月都还2106，已经还完11个月了，还差最后一期，想提前还款减免利息。</t>
  </si>
  <si>
    <t>2019/10/09 14:42:33</t>
  </si>
  <si>
    <t>尊敬的中信银行，本人欠信用卡及分期大概130000左右，我没有逃避，电话也正常使用也经常接到你们电话，也积极的和你们协商，欠钱还钱天经地义，欠的钱我一定会还的，用你们行的信用卡之前也没有逾期过，生意亏损加上我父亲身体不好，去老家后不保密个人隐私街坊邻居都询问怎么回事给我父母的精神、声誉、生活带来了很大的影响，就在昨天我父亲精神因承受不住导致心脏病复发，情况很不好，试问谁负起这个责任，停止再次去老家骚扰老人，如果下次老人有什么意外我真的承担不起，支持银行调查情况，随时可以跟我本人见面了解情况，我本着最大的诚意</t>
  </si>
  <si>
    <t>2019/10/09 14:42:05</t>
  </si>
  <si>
    <t>投诉人 李女士        投诉对象  唯品会        涉诉金额  558 元    问题类型    诉求类型投诉详情  派送员态度差。客服处理不当。叫派送员派送不派送 我跟他说了他说随便吧我高兴就好。态度极其恶劣</t>
  </si>
  <si>
    <t>2019/10/09 14:41:47</t>
  </si>
  <si>
    <t>催收人员电话威胁催收，本人已非常告知于10月10日20:00前还款，不用再催收，可是催收人员电话一直暴力催收威胁催收：大致内容如下：泼油漆，拎刀上门，绑架家人，爆通讯录以及怒骂本人出门被撞死等等恶言恶语，态度野蛮！。</t>
  </si>
  <si>
    <t>2019/10/09 14:41:25</t>
  </si>
  <si>
    <t>去年捷信打电话让办贷款，然后稀里糊涂就办了，说利息很低，然后给分了54期，贷了4万，说是可以提前还款，一个月还1505，还了8个月后提前还款还要39500，高利息，逾期了不到一个月电话打了几千个，骚扰我的父母还有我的朋友，今天还好几个人上本人居住地挨家挨户打听，宣传说我贷款不还，我要求捷信赔偿我的损失，名誉费，非法上门，超过三人，未经本人同意，说是律师，但没有任何证件，请有关部门查查为何高利贷会这么猖狂。</t>
  </si>
  <si>
    <t>2019/10/09 14:41:09</t>
  </si>
  <si>
    <t>PO201808270009合同从2018.8.27到2019.9.22，与9.13号搬走，至今押金未退.，何时再能体现遥遥无期，管家说离职了，官方客服没有人接电话，也没有人找我们说后续的处理安排。</t>
  </si>
  <si>
    <t>2019/10/09 14:41:03</t>
  </si>
  <si>
    <t>投诉人谭先生投诉对象造艺科技涉诉金额299元问题类型诉求类型投诉详情10月6号发现银行卡莫名被扣了299块钱，没有任何电话短信提示，后来打电话给通联支付才得知扣款平台是造艺旗下的聚富分期app，打给客服说是用于贷款前的个人信用评估，但我一直进行的是贷款操作，并没有同意进行信用评估，属于不合法的诱导欺骗，要求退款客服说要把寄身份证复印件寄过去，也是不合理的要求，希望通过平台要求聚富分期直接退款。</t>
  </si>
  <si>
    <t>2019/10/09 14:41:01</t>
  </si>
  <si>
    <t>近期由于本人生病，资金周转困难，逾期4天，特与贵司催收人员诚意协商延期还款，延期不等于不还，欠债还钱是应该的，本人从未拒还，5月份我母亲癌症手术已借了近二十万，本人近期也处在病中，无法正常工作，但已处在借钱极度困难的状态，特申请延期，法外还不外呼人情呢，但催收人员以会把我列入‘失信人员’不能乘坐高铁飞机等为由勒令明天必须还款，我能理解为这是催收人员的工作职责，但也希望贵司能和用户互相理解一下，我欠债我应该还，别把我逼到去借高利贷的地步，我不想一个坑没跳出又陷入另一个深坑。</t>
  </si>
  <si>
    <t>2019/10/09 14:40:44</t>
  </si>
  <si>
    <t>本人于2019年8月22日与瓜子二手车签订保卖协议，按照合同条款第7.9条规定，要求45天内完成车辆过户，已于2019年10月6日到达45天，本人已经多次和客服表示违约金是应该给的，但是我要的是45天内给我过户，腾指标，我又不是为了赚违约金，现新车已经到手很久，没有指标，没法落户，麻烦平台帮忙尽快帮忙解决处理，在此期间，曾多次与瓜子app人工客服和电话客服进行沟通，要求45天过户未能成功，现已超过时限，并且又多次进行沟通，瓜子表示，现确实已过45天，已经申请背户，但具体过户腾出指标时间不定，违约金每天100</t>
  </si>
  <si>
    <t>2019/10/09 14:39:29</t>
  </si>
  <si>
    <t>就逾期一天，我说了晚上或者明天还，一直骚扰我还威胁我，就是一个高利贷，逾期一天写着39实际逾期一天60的利息，我说了今晚或者明天还还威胁我4点不还炸我通讯录。</t>
  </si>
  <si>
    <t>2019/10/09 14:38:41</t>
  </si>
  <si>
    <t>贝贝APP我的下方有一个金融服务—然后点进去我下载了个贝生活APP，我以为是贝贝购物官方的借贷平台，结果这是通过爬虫技术整合的借贷平台，里面的不是贝贝的，而是马上金融，我下载登录安逸花，果然是马上金融股份有限公司的,而贝生活是属于杭州贝博科技有限公司的。</t>
  </si>
  <si>
    <t>2019/10/09 14:38:35</t>
  </si>
  <si>
    <t>本人由于刚换工作，资金困难，一天打好几个机器电话侮辱我，有意思吗，是不是非得闹得不可收拾才住手。</t>
  </si>
  <si>
    <t>2019/10/09 14:38:33</t>
  </si>
  <si>
    <t>近几个月由于资金周转困难导致玖富万卡逾期，有几个账单逾期时间比较长，在双方沟通下我把逾期几期账单处理完成，处理完成后的下一个账单目前由于实在无力偿还只是处理了200元钱，已经和催收人员说明情况，但是催收人员态度恶劣，表明六百多快钱还处理不了么，态度非常不好，希望玖富能端正催收人员态度，不要暴力催收。</t>
  </si>
  <si>
    <t>2019/10/09 14:38:21</t>
  </si>
  <si>
    <t>投诉人王先生投诉对象壹心分期涉诉金额12000元问题类型诉求类型投诉详情在壹心分期申请借款，套路贷收取高额砍头息，要求退还，消账。</t>
  </si>
  <si>
    <t>2019/10/09 14:38:12</t>
  </si>
  <si>
    <t>本人只有中国平安车险，并没有信用卡借款，19年10月9日接到我公司领导告诉我收到了你们催收的邮件，我表示震惊愤怒，给我造成的不良影响和严重侵犯了我的个人隐私权，请给我合理解释并赔偿精神损失。</t>
  </si>
  <si>
    <t>2019/10/09 14:38:08</t>
  </si>
  <si>
    <t>用过闪银很多次，每次都以打白条，征信保等方式变相砍头息，放款及砍头利息都可以从手机银行查到记录，如图，没有图片记录的我不追究，毕竟没有证据，但是下图这些砍头的利息希望退回我的账户，共1765元。</t>
  </si>
  <si>
    <t>2019/10/09 14:37:54</t>
  </si>
  <si>
    <t>投诉人施涛投诉对象盈盈有钱涉诉金额30000元问题类型诉求类型投诉详情该公司外包广州催收中心，属于黑社会性质，各种爆亲朋好友的电话，还骗别人说他是我的联系人，早就上过315舞台，仍然各种套路贷，危害我国的新的主力军，目前已还请本金和相关利息，其他黑钱还想全要跑路，我手里已经有大把被骚扰的录音，现70周年爆通讯录是合法的，嗯，可以抓捕该公司创始人，我会全力配合警方下面，看看家里有多少丧尽天良的金条。</t>
  </si>
  <si>
    <t>2019/10/09 14:37:49</t>
  </si>
  <si>
    <t>好分期借款已经还完了，想注销账号非常困难，客服让我提供手持身份的半身证还有身份证照片才能注销，我怕他们用我的照片做违法的事情，所以要求好分期注销我的账号。</t>
  </si>
  <si>
    <t>2019/10/09 14:37:39</t>
  </si>
  <si>
    <t>投诉人 郑女士        投诉对象  掌众金服        涉诉金额  870 元    问题类型    诉求类型投诉详情  闪电借款借款时捆绑销售所谓黑卡权益。相当于变相收费。</t>
  </si>
  <si>
    <t>2019/10/09 14:37:20</t>
  </si>
  <si>
    <t>本人因周转困难，2019年8月23日在现金巴士借款3000元，现金巴士收取砍头息398元所谓的会员费，每期还款1090元，这样砍头息，这样的逾期费用本人实在承担不了，希望聚投诉发挥媒体优势，让我们尽早脱离苦海！。</t>
  </si>
  <si>
    <t>2019/10/09 14:37:12</t>
  </si>
  <si>
    <t>，分6期第一期946.26剩余5期786.26，还了第五期由于有些客观原因，第六期没在还款日当天还款，联系过客服商量好给我时间，可后来还是进行骚扰，对我父母语言攻击，威胁我还款，对我生活造成了极大的影响，我已经还完4091元，要求销账道歉。</t>
  </si>
  <si>
    <t>2019/10/09 14:37:02</t>
  </si>
  <si>
    <t>变相砍头息服务费，贷款10000，到账9100多，3月还款10860，发短息侮辱，威胁。</t>
  </si>
  <si>
    <t>2019/10/09 14:36:38</t>
  </si>
  <si>
    <t>本人于2019年10月8日凌晨使用美团帮朋友订购7天酒店，后来到店后朋友身份证丢失，前台需要身份证入住，就造成了未入住成功，在酒店前台我就在美团上申请退款，一直到9号下午才打电话，中途美团有客服打电话问我情况，我说完后客服让我等待酒店人员回应退款，后来我打给7天酒店前台问美团有没有给你们打电话，酒店前台说今天一天都没有接到美团电话，我说美团给我回复是酒店方同意退款后我才能收到退款，我就一直等，结果系统直接给我变成了已入住，我想问美团我没入住就给我算入住了，后来我又给酒店打电话，前台直接把经理电话给我了，我和</t>
  </si>
  <si>
    <t>2019/10/09 14:35:53</t>
  </si>
  <si>
    <t>00:48:10进行了一笔购物，订单编号:101596953697，在京东领取了优惠券，最后订单提交的时候是0元，下单后，商家通过京东咚咚的聊天软件发来消息，说是由于工作人员操作失误把价格设置错误，让我取消订单补偿500京豆，然后我就致电给京东商城客服，投诉了这笔订单，结果京东客服以偏向商家的心态，也一样给出这样的答复，，我不同意这样的做法，客服说升级专员处理，结果投诉了一个月也没有结果，如果商家设置价格错误，那他的店应该也开不下去，为什么商家的店还能正常营业。</t>
  </si>
  <si>
    <t>2019/10/09 14:35:40</t>
  </si>
  <si>
    <t>本人今年三月份在安徽图乐网络科技有限公司的图乐贷APP借款8600，分12期还款，由于近期资金短缺造成本期逾期了，客服电话打了基本都是系统正忙，我手机一直24小时开机的，没有接到一个图乐贷的催收电话，他们直接爆通讯录，几天来通讯录已经被打个遍了，他们这样做难道真的不知道是违法行为吗，我已经开始保留证据了，到时候看看他们是怎么理解法律法规的，我要让他付出代价滴。</t>
  </si>
  <si>
    <t>2019/10/09 14:35:15</t>
  </si>
  <si>
    <t>9月13日退房，在走之前还能联系到管家，管家告知卫生必须打扫干净，不然押金无法正常退，合同标明10个工作日内退还押金共1600元，结果在昨天公众号通知说公司倒闭，随后加的管家和客户经理的微信直接将微信删除，去他们公司已人去楼空！都是打工族，不易，望能将押金退还。</t>
  </si>
  <si>
    <t>2019/10/09 14:35:09</t>
  </si>
  <si>
    <t>在我不知情，不认可的情况下，就扣款，我要求退保。</t>
  </si>
  <si>
    <t>2019/10/09 14:34:58</t>
  </si>
  <si>
    <t>借款一万元整实际放款八千整，需还款六个月每月1933点几，老友计划就是把您前面申请的那笔安照它的偿还金额剩下未还的，申请好友后全部结清上一笔，具体交易明细以及每月应还1933.几六个月一共一万一千多的明细，被它们直接掩盖掉了，然后余下没还的变成第二笔款项也就是9220几，现在还剩下的它按照老友计划还还剩9000多，至于实际到账八千为什么要还11000多我也不知道他们以什么方式或者借口变相收费，逾期期间不停打我家人电话恐吓，所谓的结清也只是分成12期归还第一期没有结清的钱。</t>
  </si>
  <si>
    <t>2019/10/09 14:34:52</t>
  </si>
  <si>
    <t>在京东白条用了一些钱，因为生意和家庭前段时间出现了重大变故造成了还款的逾期，每次客服人员来电话都表达了自己是一定要还的，原来的客服人员也都表示理解，虽然也催促尽快还但还是有素质的，这次京东委托的讨债公司的人员竟像是一个泼妇，业务水平没有侮辱人格和撒泼的本事不小，在交流中不失讨论如何归还欠款的问题而是对当事人极尽侮辱之能事，强烈要求对方停止骚扰赔礼道歉。</t>
  </si>
  <si>
    <t>2019/10/09 14:34:49</t>
  </si>
  <si>
    <t>投诉人 王先生        投诉对象  来分期        涉诉金额  3 500 元    问题类型    诉求类型投诉详情  利息太高 催收 不符合国家利率标准 还没到还款日电话就打爆了</t>
  </si>
  <si>
    <t>2019/10/09 14:34:47</t>
  </si>
  <si>
    <t>非法恐吓催收，多个号码全国各地号码轮番轰炸。</t>
  </si>
  <si>
    <t>2019/10/09 14:34:45</t>
  </si>
  <si>
    <t>浙江航天电子信息产业有限公司,乐家易付,北京琪瑞丰庆科技有限公司,广州松泽商贸有限公司,广州阳勇程贸易有限公司，和支付清算协会沟通得知第三方支付业务应审核客户的相关信息，第三方支付公司不得向证券、期货、博彩等机构提供支付结算业务，本人在网上被人诱骗以做兼职，赚流水等理由被人拉进兼职群，以购买彩票方式赚取佣金，后来才知道是非法赌博平台，通过中国人民银行，中国银联，和支付清算协会沟通得知，第三方支付业务应审核客户的相关信息，第三方支付公司不得向证券、期货、博彩等机构提供支付结算业务，作为有牌照的支付公司没有履行</t>
  </si>
  <si>
    <t>2019/10/09 14:34:35</t>
  </si>
  <si>
    <t>涉诉金额199元问题类型诉求类型投诉详情假借贷款app下款&amp;nbsp;绑定银行卡直接扣款&amp;nbsp;美曰其名会员费&amp;nbsp;绑卡的时候根本没提示&amp;nbsp;贷款也没借到&amp;nbsp;联系不到客服&amp;nbsp;退还费用&amp;nbsp;不然进一步投诉。</t>
  </si>
  <si>
    <t>2019/10/09 14:33:49</t>
  </si>
  <si>
    <t>卖家发送已被永久封停账号给买家，并且在买家及时申请仲裁后，卖家更改安全手机及密码收回账号，买家随即提供了相关证据，证明卖家收回账号，交易猫客服对买家提供的证据视而不见，睁眼胡说，胡乱仲裁。</t>
  </si>
  <si>
    <t>2019/10/09 14:33:04</t>
  </si>
  <si>
    <t>本人在2019年9月27打了深圳移动客服..客服把我的电话误办理停机.本人没有同意授权，到10月6日发现..到现在我已经多次去电深圳客服截止目前为止还没解决问题也没给我来电话..打一次客服就说等24小时..给我的生活造成的很大困扰..银行信用卡房贷马上逾期..因为接受不到验证码处理..所造成的后果对我是不可估量的...希望给我一个满意的答复..不是我本人的过失要要来承担后果...。</t>
  </si>
  <si>
    <t>2019/10/09 14:32:43</t>
  </si>
  <si>
    <t>讯联智付扣了我299元，款已退，下面有个扣款100他们说不是他们扣的，是凡普互金扣了我100元金额。</t>
  </si>
  <si>
    <t>2019/10/09 14:32:38</t>
  </si>
  <si>
    <t>请停止给我的亲戚朋友打电话发信息！造成任何后果，你们承担！。</t>
  </si>
  <si>
    <t>2019/10/09 14:32:24</t>
  </si>
  <si>
    <t>给家人不断打电话威胁催收，又要去家里催收，威胁家人安全，而且有砍头息，暴露个人信息，以前都是正常还款，没有过逾期情况，没有故意不还款和拖欠，只是家里出现变故，生意亏损，工作收入低的原因暂时还不上，我跟平台也说明情况了，钱我肯定要还，但是我的名誉和家人的名誉受损怎么算，要求停止暴力催收，以及给家人打电话，如果在继续暴力催收恐吓，我会留有利证据起诉！要求平台作出合理解释和行动！。</t>
  </si>
  <si>
    <t>2019/10/09 14:32:13</t>
  </si>
  <si>
    <t>听说ofo不给退押金，还上过热搜，但国庆那天赶着去看烟花实在没有车子骑，只碰到了ofo，一看是充值余额免押金，余额应该可以退的吧，想着打客服电话不是很方便吗，客服都很耐心，在北京的企业还是可信的吧，然鹅，电话根本打不通，好不容易打通之后，按了1立马被挂，呵呵，官网上标的诚信龙头企业，假的吧！！！。</t>
  </si>
  <si>
    <t>2019/10/09 14:32:11</t>
  </si>
  <si>
    <t>你们这边说的时候让我还1160多，我也就准备了那么多。</t>
  </si>
  <si>
    <t>2019/10/09 14:31:55</t>
  </si>
  <si>
    <t>投诉人肖先生投诉对象拇指下款涉诉金额299元问题类型诉求类型投诉详情拇指下款，没经过本人同意，扣299元！要求返还！。</t>
  </si>
  <si>
    <t>2019/10/09 14:31:54</t>
  </si>
  <si>
    <t>广东移动客户无法将主业务改成移动花卡业务，移动方解释为客户开通了副卡业务，必须要接受其他高资费套餐或者注销原有已使用副卡号码，副卡业务本已是一项独立的付费业务，与其他套餐不存在任何必然关联性，不应当捆绑销售，中国移动用捆绑销售的形式挟持老用户，不得更改套餐，强迫客户消费不合理套餐。</t>
  </si>
  <si>
    <t>2019/10/09 14:31:17</t>
  </si>
  <si>
    <t>申请了账号为“sc*********7@163.com”的网易邮箱，目前邮箱本人正在正常使用，2、目前本人已经提供了现有账号密码，身份证证件号码，身份证照片，，注册手机号码，常用使用地，大致注册日期等，，没有明确成功更改安全手机号的流程，仅仅只是获取一堆个人私密信息，而且没有人工客服，涉嫌套取个人隐私，4、申诉过程中恶意引导用户使用网易其它产品，而且其它账号申诉区别对待，比如网易游戏账号，VIP邮箱账号，涉嫌恶意引导消费5、苹果手机icloud账户与网易邮箱关联，而网易邮箱查看苹果公司发送的邮件需要手机验证</t>
  </si>
  <si>
    <t>2019/10/09 14:31:08</t>
  </si>
  <si>
    <t>买买乐购通过别人的通讯记录查看通讯记录里面联系人的电话进行骚扰。</t>
  </si>
  <si>
    <t>2019/10/09 14:30:59</t>
  </si>
  <si>
    <t>国银盛达,柠檬金服,河南省和平车行有限公司。</t>
  </si>
  <si>
    <t>2019/10/09 14:30:36</t>
  </si>
  <si>
    <t>投诉人 张女士        投诉对象  首放三千        涉诉金额  0 元    问题类型    诉求类型投诉详情  发信息骚扰亲朋好友 诅咒其家人，电话都是外地</t>
  </si>
  <si>
    <t>2019/10/09 14:30:25</t>
  </si>
  <si>
    <t>360虚假广告，希望相关部门取缔这家黑公司，太害人了。</t>
  </si>
  <si>
    <t>2019/10/09 14:30:22</t>
  </si>
  <si>
    <t>广西捷通高速科技股份有限公司的etc经常胡乱扣费，我车子停在家里半个月没开没上高速，突然收到扣费短信，我觉得很莫名其妙，之前也乱扣费一次，打他们公司客服投诉电话永远打不通，永远没有人接听，我想问，这种公司乱收费客服电话打不通的公司怎么能开下去，你们可以看看我的录屏跟他们发来的扣费短信，完全对不上，完全找不到他们胡乱扣费的通行记录。</t>
  </si>
  <si>
    <t>2019/10/09 14:30:20</t>
  </si>
  <si>
    <t>本人被骗入一个叫a9棋牌的app赌博网站，但是充值地方是拼多多商户，求官方给个说法，现在拼多多都赌博平台收资了吗，因为本人把账单删掉了，后来在电脑上调出来了，都在上面。</t>
  </si>
  <si>
    <t>2019/10/09 14:30:18</t>
  </si>
  <si>
    <t>投诉人 卢女士        投诉对象  招联金融        涉诉金额  1 200 元    问题类型    诉求类型投诉详情  招联金融暴力催收 我朋友被关在看守所贵公司联系不上他 一直打电话给我 说话语气恶劣 一天都要打好几十个要求停止催收 不要影响别人正常生活 烦请贵公司等我朋友出来了再商量还款之事</t>
  </si>
  <si>
    <t>2019/10/09 14:30:15</t>
  </si>
  <si>
    <t>阳光保险和快闪卡贷联合设计高额短期一个月的保单骗取保险！请求处理！我贷款居然给我强制买了一个所谓的交通意外险，6个月贷款期限，就1个月的保单！明显骗保行为！还威胁保险代偿！非自愿买的保险，搞这种套路出来，而且利息已经超过国家法定利率，都没人管的吗。</t>
  </si>
  <si>
    <t>2019/10/09 14:30:06</t>
  </si>
  <si>
    <t>蚂蚁金呗，放款收取砍头息，发送威胁短信，骚扰短信，给家人朋友和自己带来太多麻烦，这种短信太多了。</t>
  </si>
  <si>
    <t>2019/10/09 14:29:56</t>
  </si>
  <si>
    <t>投诉人 张先生        投诉对象  宝付支付        涉诉金额  30 000 元    问题类型    诉求类型投诉详情  宝付作为第三方支付平台 涉嫌违规套路高利贷公司</t>
  </si>
  <si>
    <t>2019/10/09 14:29:20</t>
  </si>
  <si>
    <t>投诉人蒋女士投诉对象京东金融涉诉金额3000元问题类型诉求类型投诉详情冒充京东金融，拒绝透露公司信息，骚扰正常生活，态度恶劣，情节十分严重，心虚不敢透露公司信息。</t>
  </si>
  <si>
    <t>2019/10/09 14:28:36</t>
  </si>
  <si>
    <t>京东金条借款3000，出了账单但是没有任何短信，电话，微信等方式提醒，只有到了逾期才会发出一条短信，而且就逾期一次9个小时不到一天就上征信，跟客服沟通过，客服表示就这样；不给予客户提醒提示谁知道要什么时候还款，何况银行信用卡还有三天缓冲期，你们不提醒，过了当天就上征信，你们的模式是完全有问题的，现在诉求是维护我的往期征信，否则投诉银监会。</t>
  </si>
  <si>
    <t>2019/10/09 14:28:10</t>
  </si>
  <si>
    <t>投诉人张女士投诉对象乐刷涉诉金额3251元问题类型诉求类型投诉详情10.7号用乐刷快捷支付刷了一笔3251.2元一直迟迟未到账我都快急死了信用卡已经刷到了但是钱还没到我的储蓄卡联系客服说没有交易成功留意银行有没有退回我问如果没有退回怎么办客服说要我自己打电话给发卡行是不是银行网络问题信用卡都入账了怎么会是银行问题我现在不需要赔偿我只想要我刷的钱退回给我现在信用卡已经算成账单了。</t>
  </si>
  <si>
    <t>2019/10/09 14:28:07</t>
  </si>
  <si>
    <t>投诉人史茂胜茂胜投诉对象小赢卡贷涉诉金额3313元问题类型诉求类型投诉详情非法在我账户重复扣款非法暴力催收违法高息平台经营资质有问题。</t>
  </si>
  <si>
    <t>2019/10/09 14:27:46</t>
  </si>
  <si>
    <t>贝生活APP诱导借贷，贝贝APP我的下方有一个金融服务—然后点进去我下载了个贝生活APP，我以为是贝贝购物官方的借贷平台，结果这是通过爬虫技术整合的借贷平台，里面的不是贝贝的，而是马上金融，我下载登录安逸花，果然是马上金融股份公司的。</t>
  </si>
  <si>
    <t>2019/10/09 14:27:01</t>
  </si>
  <si>
    <t>投诉人岳先生投诉对象聚福钱包涉诉金额250元问题类型诉求类型投诉详情本人在聚福钱包申请借款时，绑定银行卡号未经本人允许私自扣除银行卡余额。</t>
  </si>
  <si>
    <t>2019/10/09 14:26:55</t>
  </si>
  <si>
    <t>催收人员态度恶劣，电话威胁恐吓！骚扰亲戚朋友！。</t>
  </si>
  <si>
    <t>2019/10/09 14:26:42</t>
  </si>
  <si>
    <t>6月23日，从拍拍贷借款，每期还款一直很及时，可最近因资金出现问题，本期出现逾期，拍拍贷收取高额逾期费不说，暴力催收，我让其催收人员提供拍拍贷的委托催收证明出示不了，恼羞成怒，威胁恐吓！我同时对借款利率，还有高额的逾期费用提出异议，也给拍拍贷客服去过电话，都有录音为证，可拍拍贷不顾国家法律仍然爆通讯录，严重骚扰我的亲戚朋友，严重无视国家法律法规，侵犯个人隐私，电话回拨全部是空号，一个正规公司为什么还不敢正大光明的公布自己的电话，希望有关部门严惩拍拍贷！！！。</t>
  </si>
  <si>
    <t>2019/10/09 14:26:41</t>
  </si>
  <si>
    <t>投诉人 梁先生        投诉对象  京东金融        涉诉金额  7 000 元    问题类型    诉求类型投诉详情  因个人原因 造成白条逾期 本人在尽力弥补 但催收人员不与理解 语言恐吓 威胁上门取证</t>
  </si>
  <si>
    <t>2019/10/09 14:26:24</t>
  </si>
  <si>
    <t>一下点了高炮口子，还下款了，但是是超利贷，我只能承受本金及国家管控利率。</t>
  </si>
  <si>
    <t>2019/10/09 14:26:17</t>
  </si>
  <si>
    <t>今年8月在立借借款11000元，当时下单时显示的分12期，总共需还款14960，实际放款后发现其实前三期就要还13860，所谓的分12期根本就是假的！这样算下来年利率远远超过国家标准！是名副其实的高利贷！要求调整利率！。</t>
  </si>
  <si>
    <t>2019/10/09 14:26:06</t>
  </si>
  <si>
    <t>投诉人 孙先生        投诉对象  钱站,华夏银行        涉诉金额  8 000 元    问题类型    诉求类型投诉详情  高利贷纯属，利息比高利贷还要高。我不小心点了，说解除借款不要借。结果迟迟不给我操作。利息一天几百，比高利贷还要高</t>
  </si>
  <si>
    <t>2019/10/09 14:25:49</t>
  </si>
  <si>
    <t>本人于2017年在捷信金融借款15000现金贷，以前在捷信买过手机分期，觉得利息都还合理，可是后来用了现金贷贷了15000，分期21期，还了20期后发现共还了23000多，。</t>
  </si>
  <si>
    <t>2019/10/09 14:24:59</t>
  </si>
  <si>
    <t>来分期还款日当天不停催收，打着催收的幌子，恶意骚扰，严重影响我的生活！。</t>
  </si>
  <si>
    <t>2019/10/09 14:24:54</t>
  </si>
  <si>
    <t>阴阳合同，服务费太高，保障金太高，希望提前还免息。</t>
  </si>
  <si>
    <t>2019/10/09 14:24:21</t>
  </si>
  <si>
    <t>本人在2019年9月8号在轻周转平台芒果筹借款2800元，到账2800元，本次借款周期32天，每8天还款一次，每次1022.4元，借款2800元，32天的时间一共需要还款4089.6元，利息1200多元！这已经达到了高利贷，明显超出国家规定的合法合规的利息，本人已经按时还款了3期共计3067.2元，有保留所有的流水证据跟记录，本人现有实际困难，希望贵平台协商直接消除最后一期的账单，还有每到还款日就有021开头的电话威胁骚扰！本人跟家人已经鸡犬不宁了，希望贵平台能帮忙减免最后一期，本人不排除往其他更高一级的平</t>
  </si>
  <si>
    <t>2019/10/09 14:24:11</t>
  </si>
  <si>
    <t>淘集集恶意扣押货款，已经交易完成的订单未能按照合约及时打款，多次联系官方客服不予处理，各种理由拖欠恶意延迟打款，已经拖欠超过3个月的账目未曾打款，至今没有收到回款45000多，已经严重违法了合同签约条款，希望平台能协助处理下，他们这样明显的是故意拖延不给处理问题，一次又一次的被忽悠，请淘集集不要再忽悠人了。</t>
  </si>
  <si>
    <t>2019/10/09 14:24:09</t>
  </si>
  <si>
    <t>投诉人 孟坤飞        投诉对象  小花钱包        涉诉金额  500 元    问题类型    诉求类型投诉详情  暴力催收，透露个人隐私，威胁恐吓。具有黑社会性质。</t>
  </si>
  <si>
    <t>2019/10/09 14:24:06</t>
  </si>
  <si>
    <t>投诉人翟永淳投诉对象淘钱钱涉诉金额2460元问题类型诉求类型投诉详情本人投诉淘钱钱和之前支付平台合利宝支付快一个月，改平台依然不处理并在国庆后骚扰本人，本人使用该砍头息产品多次协商未果偿还金额2460，超出本金1200，咨询律师和报警后，拒绝继续换款，并要求该平台退还超出本金部分。</t>
  </si>
  <si>
    <t>2019/10/09 14:24:03</t>
  </si>
  <si>
    <t>在我都不知情的情况下扣我卡上的钱，要求退还。</t>
  </si>
  <si>
    <t>2019/10/09 14:23:41</t>
  </si>
  <si>
    <t>投诉人刘女士投诉对象小花钱包涉诉金额30000元问题类型诉求类型投诉详情小花钱包暴力催收，威胁爆通讯录，打电话骚扰家人，威胁恐吓，。</t>
  </si>
  <si>
    <t>2019/10/09 14:23:36</t>
  </si>
  <si>
    <t>在钱金金申请借款已购买游戏为由扣取高额砍头息要求退还。</t>
  </si>
  <si>
    <t>2019/10/09 14:23:13</t>
  </si>
  <si>
    <t>钱站是实打实的高利贷，借款2000每月需还款1100元，而且还暴力催收，骚扰联系人，希望贵平台能给予协商，停止骚扰联系人，并修改利率，谢谢~。</t>
  </si>
  <si>
    <t>2019/10/09 14:23:09</t>
  </si>
  <si>
    <t>大概12点半左右拿起手机查看下微信消息，发现零钱有一笔1000元莫名支出，于是查看微信账单，但是查不到这个订单，于是我就申诉被盗，但是反馈结果为非被盗，但是，我在无任何操作情况下确丢了1000元钱，但是我连给谁都不知道，图片上一个是零钱明细，一个是账单明细，零钱里面有一笔12.02分转账的1000元，在账单里查不到。</t>
  </si>
  <si>
    <t>2019/10/09 14:22:32</t>
  </si>
  <si>
    <t>贷款3000到账2200，收取了800的砍头息，每期还1060。</t>
  </si>
  <si>
    <t>2019/10/09 14:22:21</t>
  </si>
  <si>
    <t>然后申请借款一直显示今日额度已用完，客服说是10点之后申请。</t>
  </si>
  <si>
    <t>2019/10/09 14:22:12</t>
  </si>
  <si>
    <t>360借条给通讯录好友打电话进行骚扰，并且每天都打，已给我好友造成严重骚扰，线上签合同并没有把合同给我看，也没有详细说明利息，还有什么手续费，国家规定最高利息24%，请国家停止不良网贷继续骗老百姓的钱.请有关部门好好管理不良网贷平台，为什么不合法的平台可以肆无忌惮。</t>
  </si>
  <si>
    <t>2019/10/09 14:21:48</t>
  </si>
  <si>
    <t>事先申明：有用分期客服之前做过协商延后，天天发一些骚扰短信和我亲朋好友，说我恶意逃债，要起诉法院，请认清一个事实，我没说我不还，是你们说的，我也在筹集资金解决问题，如果你认为我不还，那就按你们所说，去法院起诉吧，我等法院找我，还有你们从未和我联系过，说找不到我，这不是睁着眼睛说瞎话吗，还有平台投诉感觉你们都不在乎，因为从未做此时做出过回复。</t>
  </si>
  <si>
    <t>2019/10/09 14:21:46</t>
  </si>
  <si>
    <t>投诉人 陈先生        投诉对象  小浦优客        涉诉金额  296 元    问题类型    诉求类型投诉详情  小浦优客未经本人同意私自扣款。说过出什么报告</t>
  </si>
  <si>
    <t>2019/10/09 14:21:26</t>
  </si>
  <si>
    <t>投诉人 成女士        投诉对象  新橙优品,晋中龙信互联网小额贷款有限公司        涉诉金额  3 000 元    问题类型    诉求类型投诉详情  此平台严重对我造成生活困扰 对我亲戚朋友造成骚扰 轰炸我通讯录 非法录取我通讯录</t>
  </si>
  <si>
    <t>2019/10/09 14:21:08</t>
  </si>
  <si>
    <t>因资金需求在钱站申请了贷款，合同写着33000，实际到帐25476，分12期等额本金加利息归还，每月3458.31，已还5期，一看居然还有23858没还，等于我还那么久全是利息，太吓人了，合同年利率写的27%，请问你这个年利率是怎么算的，超了几倍了，完全坑人，国家咋不管管这些害人的平台，还款当天都还没过，客服就打电话来催了一次又一次，说话一次比一次难听，真的是无语了，我不想还了，要想收钱按合同来……。</t>
  </si>
  <si>
    <t>2019/10/09 14:21:03</t>
  </si>
  <si>
    <t>在京东第三方卖家买药品，收到后跟之前的药品明显味道不同，条码也无法扫，在其他地方买都要扫的，然后申请京东专员介入，这一介入就是噩梦的开始，第一次打电话说产品无问题，专员说是真的，无需检测，他说真的就是真的，之后第二次我说我要继续维权，他说维权就要起诉我，我问起诉我什么，他回答侵犯他的话语权，之后强行关闭我的服务单，再之后近半年时间，没一个人来联系我，在线客服老说会专员联系我，这一忽悠了半年，在此我申请公开录音，专员威胁起诉我的录音，无人回应，现在的京东专员牛逼到这个地步，刘强东知道吗，买到假货维权就威胁起诉</t>
  </si>
  <si>
    <t>2019/10/09 14:20:56</t>
  </si>
  <si>
    <t>贷上钱以买高额游戏豆为通过费为由，收取高额通过费1100元，本人已报警来维护自己的合法权益，本人愿意协商还款本金加国家合理费率，否则本人将继续通过举报投诉来维护自己的权益，如果暴力催收，本人将拒绝偿还高利贷。</t>
  </si>
  <si>
    <t>2019/10/09 14:20:33</t>
  </si>
  <si>
    <t>本人在翼支付甜橙金融借款，因为资金周转不开，逾期8天，已经和他们工作人员讲好了，开工资会还上，但是。</t>
  </si>
  <si>
    <t>2019/10/09 14:20:14</t>
  </si>
  <si>
    <t>你我贷逾期一天，下午两点打电话过来催收并且恐吓我，我并非不还，只是跟他商量晚两天还，催收便恐吓我不在下午五点之前还便打电话骚扰亲友。</t>
  </si>
  <si>
    <t>2019/10/09 14:19:44</t>
  </si>
  <si>
    <t>推销办卡，没有说一次只能抵用50，存在欺诈消费者，不能购买婴儿票，向替我办理的人提出疑问时，他说公众号不够完善，让我给他微信转账，他给我买，他又不是机场，我凭什么转账给他帮我买，8月份向替我办理的人提出给我退款取消VIP卡，告诉我要10月份才行，到了10月份了，又说在走流程，11月份就能退下来了。</t>
  </si>
  <si>
    <t>2019/10/09 14:18:55</t>
  </si>
  <si>
    <t>还款失败！联系不上客户多次打客户电话联系不上担心余期想提前结清。</t>
  </si>
  <si>
    <t>2019/10/09 14:18:54</t>
  </si>
  <si>
    <t>本人在经周转芒果筹借款2800，实际到帐2800，期限32天，分4期还款每期还款1022，本金700，利息手续费322，9月20号第3期线上还不了款，客服也联系不上，按提示只能支付宝还款，结果少还了10元，也没短信提示少还10元，照样算我的逾期费用本金利和利息，再说少还了10元怎么算逾期费算1186，这合理吗，这根本就是套路，本人已还3期已经远超到帐金额，要求经周转芒果筹按国家标准利率结算。</t>
  </si>
  <si>
    <t>2019/10/09 14:18:01</t>
  </si>
  <si>
    <t>191009-4*************8191009-2*************3191009-3*************4191009-5*************6191009-4*************5191009-2*************6191004-6*************6191004-1*************7以上为部分订单号，共计14957元拼多多为赌博网站提供充值平台.联系拼多多在线人员未得到回复，，赌博网站网址8133dz.com。</t>
  </si>
  <si>
    <t>2019/10/09 14:17:38</t>
  </si>
  <si>
    <t>小花钱包，暴力催收，本人无拒绝还款，无不协商解决，承诺还款爆通讯录，群发消息，轰炸朋友手机，。</t>
  </si>
  <si>
    <t>2019/10/09 14:17:04</t>
  </si>
  <si>
    <t>自己不懂事犯了大错，在斗牛士和嗨包借款，借款分别是3500元，结果到账两个都是2170元，借款时间一周，归还时一个平台要求还款三千多，还款日当天因为工作忙没有注意到，结果还没逾期，就开始打我的家里人电话，同事朋友，所有通讯录，这两个平台已经属于高额利息，高利贷产品，现在无止境催收，谩骂威胁恐吓，还读取通讯录，把我的身份证号群发给别人，泄漏我的个人隐私，每天发短信都是谩骂和威胁，家里已经知道，后面会报警处理，下面是他们发来的短信还有发给我朋友的短信，希望聚投诉妥善处理，这件事情，我希望嗨包和斗牛士作出相对应的</t>
  </si>
  <si>
    <t>2019/10/09 14:16:52</t>
  </si>
  <si>
    <t>该软件～58好借app升级后，老是白屏，闪的快，截不了屏，打不开，卸载后重新安装也是这样的，耽误了我最后两期的还款，现在也看不到利息多少了！因本人最近又遭遇小米贷款套路贷，导致经济压力增大，暂时还款困难，但本人保证，等我这段时间～困难熬过去了，一定会如数返还，还望亲能理解，不要再跟我打骚扰电话！谢谢。</t>
  </si>
  <si>
    <t>2019/10/09 14:16:27</t>
  </si>
  <si>
    <t>因个人原因导致逾期，想这俩个月赶紧处理掉但是遇到短信恐吓，短信上有催收的微信，加了后就感觉自身人身安全根本没有保障。</t>
  </si>
  <si>
    <t>2019/10/09 14:16:24</t>
  </si>
  <si>
    <t>10月9日，过去10天还未到账，拨打12306进行查询，经查，钱已退回高铁管家，但是，我未收到钱，订单状态也未更新，另联系高铁管家客服，无人回复，无奈只能通过聚投诉，联系商家。</t>
  </si>
  <si>
    <t>2019/10/09 14:16:23</t>
  </si>
  <si>
    <t>在停车场经推广员介绍用了车主邦旗下的app，又说电价有优惠什么的,谁知道用完之后,去办理出场的时候,停车场工作人员告诉我,这款app不属于他们免停车场范围内.当时我就打了客服电话,客服说让我先把停车费交了,之后会有工作人员联系我,又说让我加什么群之类可以免停车费的,现在一直没回复,打他们客服电话一直在那里推搪,说我用之前没看清楚.，事实上他们的app绝大部分都没停车费优惠的,谁用谁倒霉.。</t>
  </si>
  <si>
    <t>2019/10/09 14:16:21</t>
  </si>
  <si>
    <t>分为12期还款，阳面合同是我借16000，12期，还款，每期1397元，合计16764，本金16000元，利息764元，但是他还有另外一份合同，是4676.92元，作为附加利息存在，分为十二期，合计应还4995.24元，这完全是附加利息，这附加利息和本应还的利息加起来高达5759.24，高达本金的35.99%，根据《最高人民法院关于审理民间借贷案件适用法律若干问题的规定》法释〔2015〕18号，第二十六条，借贷双方约定的利率未超过年利率24%，出借人请求借款人按照约定的利率支付利息的，人民法院应予支持，而且</t>
  </si>
  <si>
    <t>2019/10/09 14:15:56</t>
  </si>
  <si>
    <t>乱扣我服务费296，没经过我同意，突然间就收到这条扣钱信息。</t>
  </si>
  <si>
    <t>2019/10/09 14:15:46</t>
  </si>
  <si>
    <t>投诉人 刘先生        投诉对象  拼多多        涉诉金额  6 400 元    问题类型    诉求类型投诉详情  被博彩骗钱 全是拼多多收的钱。</t>
  </si>
  <si>
    <t>2019/10/09 14:15:39</t>
  </si>
  <si>
    <t>10月8号晚上买的，10月9号中午12点还没有客服联系换绑，想退款，结婚连退款按钮都没有，卖家那边也联系不到客服，现在的情况是卖家号和我的钱都被框在里面。</t>
  </si>
  <si>
    <t>2019/10/09 14:15:26</t>
  </si>
  <si>
    <t>不到一天时间打了5次电话，严重电话骚扰，对我生活造成极大影响！。</t>
  </si>
  <si>
    <t>2019/10/09 14:15:18</t>
  </si>
  <si>
    <t>在闪电借款借款2500元要购买300元黑卡买了黑卡缺显示借款失败。</t>
  </si>
  <si>
    <t>2019/10/09 14:15:16</t>
  </si>
  <si>
    <t>接到电话，自称是金融公司催收，威胁不还款就联系亲戚朋友，但是本人并未使用过借款平台，并且近两个月收到过两次天音移动公司旗下号码的类似骚扰电话，现在不是实名制吗，我想知道天音移动是个什么样的公司能够频繁给这种人提供服务。</t>
  </si>
  <si>
    <t>2019/10/09 14:14:42</t>
  </si>
  <si>
    <t>捷信公司每天骚扰我以前上班的公司，一直威胁我同事，冒充银行说我欠信用卡，恶意损坏我名誉。</t>
  </si>
  <si>
    <t>2019/10/09 14:14:22</t>
  </si>
  <si>
    <t>拼多多和支付宝为赌博平台提供充值渠道，希望能处理！。</t>
  </si>
  <si>
    <t>2019/10/09 14:14:09</t>
  </si>
  <si>
    <t>我来贷群发信息，骚扰亲朋好友，损坏个人名誉，暴力催收。</t>
  </si>
  <si>
    <t>2019/10/09 14:14:02</t>
  </si>
  <si>
    <t>未逾期的情况下，给我单位打电话，催我还款，已对我工作造成影响。</t>
  </si>
  <si>
    <t>2019/10/09 14:13:45</t>
  </si>
  <si>
    <t>投诉人王女士投诉对象中信银行,通联支付涉诉金额3000元问题类型诉求类型投诉详情本人从办理中信银行的信用卡开始，固定额度就是3000.一直没有调整过额度，收到的新卡，纸质信封上写的也是3000.而中信银行说我的固定额度是5000，问其什么时候改的，什么时候给我变得，客服人员说他们自己给我调的，没经过我的同意，我都没有用过，这不是欺诈嘛，用过两次中信银行的圆梦金，从2017年开始，就没有用过中信银行的信用卡，一直都是以最低还款的形式在还款，按照道理，再没有用的情况下，是越还越少吧，但是2018年8月份开始，账</t>
  </si>
  <si>
    <t>2019/10/09 14:13:43</t>
  </si>
  <si>
    <t>高利贷，借款11万3年要我还190000多，多次骚扰我何家人。</t>
  </si>
  <si>
    <t>2019/10/09 14:13:15</t>
  </si>
  <si>
    <t>我要求拍拍贷公司调整合理的利息，我贷了3500元，到期就要还4759.68元减掉借的3500元，12个月就要多还1259.68元。</t>
  </si>
  <si>
    <t>2019/10/09 14:13:11</t>
  </si>
  <si>
    <t>于9月14日在给你花平台提供的入口，在米多点申请了一笔金额为2000元的借款，实际到账却只有1500元，在本人不知情的情况下扣除了500元的砍头息，此事已经在本地执法部门备案，请平台尽快联系解决。</t>
  </si>
  <si>
    <t>2019/10/09 14:13:10</t>
  </si>
  <si>
    <t>聚富分期APP乱扣费，乱扣费，乱扣费，聚富分期乱扣费，。</t>
  </si>
  <si>
    <t>2019/10/09 14:13:08</t>
  </si>
  <si>
    <t>本人10月底的预产期，已经请假好几个月不上班，但是没有经济来源，所以信用卡造成逾期，本人也有给客服打过电话协商，但是中信银行一直委托第三方来暴力催收，打到我朋友那里，打到单位，我也有意愿来偿还，但是第三方恐吓，骚扰，还说要来我家，说话及其恶劣，我想通过聚投诉，和银行来协商怎么还款问题，还有减免利息。</t>
  </si>
  <si>
    <t>2019/10/09 14:12:59</t>
  </si>
  <si>
    <t>黑龙江大庆龙凤明道物业有限公司只收费不办事，小区道路不平整，晚上路灯都不亮，只知道收费，物业只会推脱。</t>
  </si>
  <si>
    <t>2019/10/09 14:11:44</t>
  </si>
  <si>
    <t>由于实在拿不出钱来还款，自己还是个学生，并且无收入，家庭困难父母均下岗无固定工作及收入，分期乐一直打电话到父母那里，本人也正在筹钱，现在想把这件事解决了，希望平台能够协商还款减免逾期费及服务费。</t>
  </si>
  <si>
    <t>2019/10/09 14:11:36</t>
  </si>
  <si>
    <t>还剩三期没还，现在失业了，你我贷就同我通讯录，那就这下就不用还了！。</t>
  </si>
  <si>
    <t>2019/10/09 14:10:28</t>
  </si>
  <si>
    <t>本人2018年7月2在51信用卡APP上申请了，中腾信旗下的“薪易贷”，借款总额度24000元，协议分18个月，每月9日还1899.74，每月本金1333.33元，每月利息561.60元，，合同上借款金额31200分18期要还34195.32，但是实际借款只到帐24000元.这就是所谓的阴阳合同！，本人咨询公安机关经侦总队，回复按照“现有到账24000”借款金额该，利息已经远远超出国家规定的24％合法年利率，涉及非法高利贷，本人从2018年8月9日至2019年9月9日已还款14期，现已还清1899.74*1</t>
  </si>
  <si>
    <t>2019/10/09 14:10:09</t>
  </si>
  <si>
    <t>因为资金问题，本期账单要延期2天还款，希望能通融一下。</t>
  </si>
  <si>
    <t>2019/10/09 14:09:12</t>
  </si>
  <si>
    <t>买家东西已经损坏了，商家拒收，有物流证明，有照片证明，之前也和客人说了损坏拒收，留言也提醒了。</t>
  </si>
  <si>
    <t>2019/10/09 14:08:50</t>
  </si>
  <si>
    <t>砍头750！！我还了2期最后1期打算协商给付合理利息，结果没有联系方式，希望聚投诉能转告！。</t>
  </si>
  <si>
    <t>2019/10/09 14:08:26</t>
  </si>
  <si>
    <t>投诉人黄先生投诉对象广发银行涉诉金额28000元问题类型诉求类型投诉详情广发信用卡雇佣外包催收人员，暴力催收，群发借款人借款信息给亲朋好友同事，暴力催收行为打电话给借款人亲戚朋友同事，威胁恐吓借款人家人亲戚朋友同事，一天几十个暴力催收电话，导致借款人失业，无法正常工作生活，走投无路，请平台核实严厉打击银行暴力催收行为。</t>
  </si>
  <si>
    <t>2019/10/09 14:08:09</t>
  </si>
  <si>
    <t>自称是宜信公司催收部门经理人催收电话显示为02160634213，且在催收过程中多次做出暴力催收行为，1、在能与本人取得联系的情况下，多次频繁骚扰本人亲属，好友，同事，违反催收自律公约：债务催收对象应符合法律法规有关要求，不得骚扰无关人员，催收人员应在恰当时间开展债务催收活动，不得频繁致电骚扰债务人及其他人员，2、电话骚扰本人周围亲属、好友、同事，并要求本人去以新的借款来偿还债务，甚至提示我借其他贷款还他的贷款，以贷还贷，本人明确回复我是成年人，债务因由自己清偿的情况下仍不停止，并要告知领导亲属同事好友此情</t>
  </si>
  <si>
    <t>2019/10/09 14:08:01</t>
  </si>
  <si>
    <t>投诉人张先生投诉对象天天贷涉诉金额2000元问题类型诉求类型投诉详情本人被天天贷套路到现在借2000到账1400七天还款2011协商还款不干没钱就叫续期费用都高达几千，现在要求今天1400处理，，不要就走法律程序报警处理曝光，，，。</t>
  </si>
  <si>
    <t>2019/10/09 14:07:47</t>
  </si>
  <si>
    <t>本人被借款广告欺骗，借款2500元，实际到账1420元，6天后归还2500元，短短6天利息高达1080元，这不是高利贷是什么，巨额额额砍头息，迫使我多次借贷，以贷养贷，要求平台及商户全额退款！并做出解释，同时我也会向更好机关监管部门反应此问题！。</t>
  </si>
  <si>
    <t>2019/10/09 14:07:16</t>
  </si>
  <si>
    <t>2019年10月6日晚上22.07分16秒从嘉兴南站出发到嘉兴学院梁林校区东门，派单接驾距离超过3公里，我取消订单判我有责，客服给不了合理解释，滴滴就是这么坑司机吗，同样的上车点，我在同样的地点接到的订单，为什么一个有责一个无责，别的司机和我在同样的位置接到的订单，为什么人家就是无责。</t>
  </si>
  <si>
    <t>2019/10/09 14:07:12</t>
  </si>
  <si>
    <t>有一天我缺钱，就下载了一个叫聚富分期的软件，他要求我填写银行卡，后来没贷款成功，我就拿卸载了，到10月8号，莫名就被扣了299，该平台未经消费者同意乱扣费，还有他们推荐的借钱软件利息都很高不说还借不到钱，还有只能借一次，等评估报告14天失效后在借，他又扣款299，感觉真的太坑了，这种垃圾软件为什么要存在，该平台是一个骗子平台，百事普惠，本以为下载了就能借钱了，结果登录注册等等，到最后明明有两个选项一个好像是小份银优惠，一个299评估价，我就点了小份银优惠，他也没显示要扣款299，等点了之后他订单就秒了，也不</t>
  </si>
  <si>
    <t>2019/10/09 14:07:07</t>
  </si>
  <si>
    <t>上海拍拍贷，年利率过高超过百分之50.纵容暴力催收，爆通讯录，催收发恐吓短信跟我本人和我的家人，到目前为止上海拍拍贷方面并未对此作出正面回应.。</t>
  </si>
  <si>
    <t>2019/10/09 14:06:42</t>
  </si>
  <si>
    <t>从未说过不还款！只是现在真的有困难还不上，但及贷第三方人员短信威胁恐，吓，今天更是群发通讯录亲友，如此一来我工作生活都严重受影响。</t>
  </si>
  <si>
    <t>2019/10/09 14:06:38</t>
  </si>
  <si>
    <t>本人于2018年9月9日在你我贷借款5500元整，当时也不会算利息，以为正规平台就正规利息，迄今计算，需要还款7474元，超过国家最高上限规定利息，需要多还款860元，希望你我贷平台能及时发现，及时纠正，根据《最高人民法院关于审理民间借贷案件适用法律若干问题的规定》法释〔2015〕18号，第二十六条，借贷双方约定的利率未超过年利率24%，出借人请求借款人按照约定的利率支付利息的，人民法院应予支持，而且我是等额本息还款，为何要以全部金额的利息偿还。</t>
  </si>
  <si>
    <t>2019/10/09 14:06:10</t>
  </si>
  <si>
    <t>我在贵平台投诉畅快车贷工作人员威胁恐吓以及畅快车贷收费太高等问题，一直未接到相关回复，处理态度非常敷衍。</t>
  </si>
  <si>
    <t>2019/10/09 14:05:56</t>
  </si>
  <si>
    <t>投诉人郑先生投诉对象天琥教育涉诉金额510元问题类型诉求类型投诉详情本人联系咨询“天琥设计”UI课程，对方销售人员告知2019年8月18日有“总监优惠日活动”，然后本人到达现场与总监沟通后，总监强制需本人缴费510元才可享受优惠，而查看后得知存在其它待缴费用，时效和所谓服务费，特此上述以上极度恶劣的消费欺诈行为，并伤害本人知情权，望有关部门及时处理，让本人得到相应退费，并解除本人其中的有效信息和未生效协议关系！。</t>
  </si>
  <si>
    <t>2019/10/09 14:03:05</t>
  </si>
  <si>
    <t>本人于2019年12月在松紧贷借款10000元，实际到账8400元，实际还款13584元，年利率远超国家允许的36%合法利息，本人已还9期，，现在有能力一次结清，之前还的9期已把本金还清，今天联系客服要求调整一次结清还款的利率，客服强硬表示不接受，说必须要按平台上结清的费率来算，这样看来不还是原先违法的利率么，本人一直按时还款，只要平台有诚意调整一次结清的费率并出具结清证明，本人方可接受。</t>
  </si>
  <si>
    <t>2019/10/09 14:01:44</t>
  </si>
  <si>
    <t>钱站旗下的月光侠，借款金额显示3750，到账只有2500，分3期，每期1294.06元，一共要还3882.18元，严重的高利贷砍头息，打不了客服电话，APP也下载不了，无法协商。</t>
  </si>
  <si>
    <t>2019/10/09 14:01:05</t>
  </si>
  <si>
    <t>商家和客人说了损坏拒收，并且有物流证明，有照片证明，有拒收物流信息，淘宝小二还是关闭系统，不支持商家。</t>
  </si>
  <si>
    <t>2019/10/09 14:00:54</t>
  </si>
  <si>
    <t>HLB1,飞猪宝涉诉金额6000元问题类型诉求类型投诉详情高利贷，砍头息，平台下款后砍头息，变成高利贷，到了还款日找问题不让还款，从别的平台借款以贷养贷，借款两千元实际到账1116元五天后归还2000元，多次借贷后，威胁恐吓还款，延期费用五天高达1000元，现要求飞猪宝平台，银联支付全额退款。</t>
  </si>
  <si>
    <t>2019/10/09 14:00:39</t>
  </si>
  <si>
    <t>我老婆在任买办理了一个分期、金额是22000元、分期19期、每期还款一千四百多、这个月刚逾期两天、当时签的合同只留了我的电话、直到昨天你们打电话到我家和亲戚的手机、她也不是不还、我也不知道你们是怎么有我亲戚的号码。</t>
  </si>
  <si>
    <t>2019/10/09 14:00:29</t>
  </si>
  <si>
    <t>未经许可，自己扣了所谓的查询费，请求返还费用，谢谢。</t>
  </si>
  <si>
    <t>2019/10/09 14:00:23</t>
  </si>
  <si>
    <t>每个月按时存卡里还款，他们不划扣，就说违约还款，暴力强制提前结清，而且一而再再而三的骚扰我的家人和朋友，之前4月份已经发生过一次了，为什么又这样。</t>
  </si>
  <si>
    <t>2019/10/09 14:00:15</t>
  </si>
  <si>
    <t>投诉人缪志辉投诉对象掌众金服涉诉金额6000元问题类型诉求类型投诉详情我借6000，到手4500，还款还9000多，还不起，暴力催收，轰炸电话，让我无法安眠，家人受到威胁，国家管吗。</t>
  </si>
  <si>
    <t>2019/10/09 14:00:13</t>
  </si>
  <si>
    <t>投诉人蒋女士投诉对象钱置宝,立借涉诉金额2600元问题类型诉求类型投诉详情9月22日还款期一直还不了款，银行卡支付一直不成功，也没有客服打电话或者短信，期间都没接到过电话，今天下午一点过一个人打电话来说是钱置宝的已经逾期16天了，恐吓必须还不然爆通讯录。</t>
  </si>
  <si>
    <t>2019/10/09 14:00:09</t>
  </si>
  <si>
    <t>投诉人 方女士        投诉对象  建设银行        涉诉金额  1 688 元    问题类型    诉求类型投诉详情  网银的钱被无故消费，强烈要求退还全部金额</t>
  </si>
  <si>
    <t>2019/10/09 14:00:07</t>
  </si>
  <si>
    <t>阴阳利息，可选服务费一千多，自己无法自主取消，而且每个月还款算起来已经够这个服务费和利息了，现在还每个月再加四十的灵活还款包，年利率都达到百分之三十二了，这样都没人管管吗。</t>
  </si>
  <si>
    <t>2019/10/09 14:00:02</t>
  </si>
  <si>
    <t>2019年3月至今，共计在同程上借款五次，每次都被收取了砍头息，美名其曰是借款提速包，但是实际上就就是砍头息，五次都是199，希望平台能够返还，违规收取砍头息美名其曰所谓增值服务费，难道不是砍头息么，砍头息”是给借款人放贷时，以收取费用的名义先从本金里面扣除一部分钱，这使得借款人实际到手金额减少，这是高利贷变相提升利率的一种方式，别说我是自愿的，我是被强迫的，想借你们的钱，必须购买，不购买就借款失败，这是自愿。</t>
  </si>
  <si>
    <t>2019/10/09 13:58:46</t>
  </si>
  <si>
    <t>本人在钱站贷了一笔款，分12期偿还，前面几期一直都是按期还款，最近一期由于资金紧张导致逾期，在10月8号的时候已经跟钱站那边的催收人员表明自己这几天就会处理好，那边不同意协商，前一秒还给我发短信调解，下一秒就爆我通讯录，还说我要是不处理好就加大力度催收，请问这个加大怎么理解，我现在不是不还，是过几天还，更何况钱站那边的利息高的要死，纯属高利贷，现在协商不成就爆我通讯里，还要我还全款，该还的我会还，但我逾期了也不至于用这种方式来胁迫，请给我一个合理的解释。</t>
  </si>
  <si>
    <t>2019/10/09 13:58:34</t>
  </si>
  <si>
    <t>还打电话威胁我，说要给家里打电话，态度十分恶劣，已经影响到我正常工作生活，希望能处理。</t>
  </si>
  <si>
    <t>2019/10/09 13:57:57</t>
  </si>
  <si>
    <t>2019/10/09 13:57:19</t>
  </si>
  <si>
    <t>投诉人尹女士投诉对象聚富分期涉诉金额299元问题类型诉求类型投诉详情自己根本就没有购买，莫名其妙的就给扣款了！然后打客服说，申请不成功就退款！到现在没退款！我不需要你们推荐了，只要把钱陪我就行！。</t>
  </si>
  <si>
    <t>2019/10/09 13:57:10</t>
  </si>
  <si>
    <t>协商还款，然后销账，如果聚投诉不行，银监会投诉。</t>
  </si>
  <si>
    <t>2019/10/09 13:57:09</t>
  </si>
  <si>
    <t>本人是中健银座健身北京丰台区千禧园的会员，每次买私教课，前台都让我在私教经理那里买，一共买了四次课，可是最后一次共24节课，私教没有给我录入系统，个人把钱给私吞了，我找他论理这件事，并让中健银座健身帮助协调，一直没有回应！所以，现在本人想以这种方式，让中健给我一个说法！要么把我24节课录入进去，要么把钱退还给我！。</t>
  </si>
  <si>
    <t>2019/10/09 13:56:06</t>
  </si>
  <si>
    <t>我在360借款借了4000元，分12期，这是第三期，因为这个月是实在没钱，398我只还了210，后面加上利息还差他们211，欠了11天，本想等到这个月发工资再一起还的，可是他不声不响的打电话给我的父母亲人，我也不知道他打了多少个，反正现在我的母亲，和姑父已经说接到了360的电话，说一天打了五六个，还说我再不还要把我怎么样，面对父母亲人的质问，我感觉承受了好大的压力，我错了，不该在360借钱，反正现在他们已经闹的人尽皆知了，我会问我家人要钱把这笔贷款一次还清，但是我希望你们能对我生活和对我家人生活造成的影响道</t>
  </si>
  <si>
    <t>2019/10/09 13:55:39</t>
  </si>
  <si>
    <t>http://m2.o2123.com/companyfa625f0216012423b97fbdd9f377f1db.php，希望此页面的内容及时删除，页面涉及个人信息，网站无投诉入口及联系方式。</t>
  </si>
  <si>
    <t>2019/10/09 13:55:25</t>
  </si>
  <si>
    <t>本人于在小象优品借款5次，当时也不会算利息，以为正规平台就正规利息，需要多还款，希望小象优品平台能及时发现，及时纠正，第一次是颜值卡借款5900元，需还款6960，超过国家最高上限规定利息580元第二次是情侣卡借款8900元，需还款10106，借贷双方约定的利率未超过年利率24%，出借人请求借款人按照约定的利率支付利息的，人民法院应予支持，而且我是等额本息还款，为何要以全部金额的利息偿还。</t>
  </si>
  <si>
    <t>2019/10/09 13:54:55</t>
  </si>
  <si>
    <t>本人于2019年7月1日在51人品贷借款17500元，分12期还，每期1841.58元，到今天2019年10月9号，已还3期，其中2期为1841.58元每期，头一期为3066.58元，总计6749.74元目前本人想要提前还款，51人品贷显示代还本金为13318.91元，点击提前还清，竟多出各项费用2713.73元，应还总额为16032.64元也就是在3个月的时间，本人一共需支付5282.38元的利息，非常不合理诉求减免各项费用5282.38元，并按照国家规定的利息支付剩余金额。</t>
  </si>
  <si>
    <t>2019/10/09 13:54:42</t>
  </si>
  <si>
    <t>因为家里出事导致上两个月没怎么上班，加上手机又坏了没联系上客服，现手机修好给客服打电话协商，客服说与催收不是一个部门没法协商，现希望借贵平台解决这个问题。</t>
  </si>
  <si>
    <t>2019/10/09 13:54:13</t>
  </si>
  <si>
    <t>循环借款，从9月开始还款后无法再借款，安逸花单方面终止合同，目前只能还款，无法借款，由于本人现在还款能力出现问题，每个月还3000以上很吃力，还不起了，电话联系客服，就我目前的总欠款，协商还款方式，我希望把还款期数延长，每个月还款的金额降低，客服回复不行，没办法延长，我不是不还，只是想延长时间，希望聚投诉的工作人员帮帮忙，非常感谢！。</t>
  </si>
  <si>
    <t>2019/10/09 13:54:08</t>
  </si>
  <si>
    <t>工商银行信用卡未发送还款信息，App也没有显示，然后被告知逾期，马上还上又加收了违约金，你们工商银行服务不到位是你们的问题，出了问题还要我负责，这合理吗。</t>
  </si>
  <si>
    <t>2019/10/09 13:53:26</t>
  </si>
  <si>
    <t>今天银行卡莫名其妙被扣了296元，问客服她说我10月1号注册了他们小浦优客App，那个296是什么信用报告的钱，我压根就没点同意，当时就把App卸载了，我现在连他们那个App从哪里下载都不知道，居然还扣我银行卡的钱。</t>
  </si>
  <si>
    <t>2019/10/09 13:53:04</t>
  </si>
  <si>
    <t>借1000到手700到期还续期300我已经续期好久了，打电话的时候态度好凶，我希望做出销账，。</t>
  </si>
  <si>
    <t>2019/10/09 13:52:51</t>
  </si>
  <si>
    <t>生意失败，这是个高利贷平台，砍头息900，3个月还10860，等于借10000，一月600多利息，多次电话骚扰家人，爸爸今天打电话不认我了，要我不要回家了，老婆找我离婚，现在马上家破人亡。</t>
  </si>
  <si>
    <t>2019/10/09 13:52:25</t>
  </si>
  <si>
    <t>在我本人没拒绝还款的情况下去骚扰我的通讯录。</t>
  </si>
  <si>
    <t>2019/10/09 13:51:47</t>
  </si>
  <si>
    <t>投诉人 田先生        投诉对象  拼多多        涉诉金额  200 元    问题类型    诉求类型投诉详情  没有什么只是要求该商户退款，一共五张订单</t>
  </si>
  <si>
    <t>2019/10/09 13:51:42</t>
  </si>
  <si>
    <t>投诉人叶先生投诉对象米米罐涉诉金额1500元问题类型诉求类型投诉详情高利贷，借1000还款1530元，已经无力偿还。</t>
  </si>
  <si>
    <t>2019/10/09 13:51:25</t>
  </si>
  <si>
    <t>投诉人姚先生投诉对象oppo,广东欧珀移动有限公司涉诉金额3500元问题类型诉求类型投诉详情手机用的好好的突然陷入元限重启，直至没电，充电后偶尔可以开启，然后又无限重启，手机内重要信息都没办法拷出来。</t>
  </si>
  <si>
    <t>2019/10/09 13:51:23</t>
  </si>
  <si>
    <t>投诉人孟女士投诉对象快闪卡贷涉诉金额0元问题类型诉求类型投诉详情本人9月11日申请的快闪卡贷，已经历时一个月了，没有审核结果，涉嫌以贷款为由盗取客户信息，多次联系客服推脱不能给出审核结果时间，与实际宣传根本不符。</t>
  </si>
  <si>
    <t>2019/10/09 13:50:52</t>
  </si>
  <si>
    <t>投诉人 黄先生        投诉对象  中国银联        涉诉金额  83 488 元    问题类型    诉求类型投诉详情  为赌博网站提供扫码支付 希望能退回一点</t>
  </si>
  <si>
    <t>2019/10/09 13:50:44</t>
  </si>
  <si>
    <t>款项是为朋友所借，朋友已经跑路，现在友信催收每天打电话，爆我通讯录，友信催收已经打到我单位了，对我工作造成严重影响，我面临着失业的危险，友信这是打算要我的命了吗，高额的利息和还款额，我已无力偿还，这么催收下去我只能等死了。</t>
  </si>
  <si>
    <t>2019/10/09 13:50:37</t>
  </si>
  <si>
    <t>有三笔分期12个月的借款，1笔8000已还8期，1笔8000已还6期，1笔5000已还8期，联系客服希望提前结清全部借款并销账，客服告知只能一笔笔还，先要求减免剩余利息，提前结清本金，同意支付合理利息。</t>
  </si>
  <si>
    <t>2019/10/09 13:50:23</t>
  </si>
  <si>
    <t>投诉尚德机构“虚假宣传，引导消费者”，销售人员当时让我办理课程时好话说尽，还诱导办理分期共交7900元，后因特殊情况实在经济和精力都压力太大，需要离京没办法申请退课退款，售后人员给我回电告诉我领导不同意，后来说给我再申请一下还是没有同意，再三说明情况后说可以退课退款，在沟通退款问题时，却告诉我在之前分期的时候在手机上同意了什么合同，合同上有写超过七天后不能退款，如退款有百分之十五的服务费和学习时长的费用，&amp;amp;nbsp;可是这个合同我压根儿都不知道，这严重侵犯了消费者的知情权，并且根据合同法规定，当事人</t>
  </si>
  <si>
    <t>2019/10/09 13:50:08</t>
  </si>
  <si>
    <t>9月30日办理，30下午时，该公司以国庆放假为由，开始不回任何信息，业务员不回信息，屏蔽我，公司APP也没有任何回复，客服电话更是无人接听，直到10月8日，该公司依然没有给出任何回复。</t>
  </si>
  <si>
    <t>2019/10/09 13:50:02</t>
  </si>
  <si>
    <t>投诉人杨先生投诉对象马上消费金融涉诉金额3500元问题类型诉求类型投诉详情因为家里出事情，导致上两个月没怎么上班，加上手机坏了，一时没联系到客服，现在联系客服客服说跟催收是两个部门没法协商，现在希望平台能帮忙解决下。</t>
  </si>
  <si>
    <t>2019/10/09 13:49:37</t>
  </si>
  <si>
    <t>本人于今年一月份在时光分期上进行借款，下款金额为12000元，分期共12期，目前已还7期，共还款金额为9515.8元，后查看总还款金额为16502.85，后面标注利息和费用4502.85元，此平台已严重超出国家规定范围，望有关部门进行调查验证。</t>
  </si>
  <si>
    <t>2019/10/09 13:49:18</t>
  </si>
  <si>
    <t>百事惠普app未经使用人允许恶意扣款银行卡存款金额，造成人生财产损失，不放心银行卡的使用，泄漏个人信息，刚注册这个平台，要求填写信息，注册后要求绑定银行卡电话卡，注册好之后没几天就收到银行卡都无缘无故的扣款，打电话联系银行客服，银行客服说是被带扣，询问银行代扣的平台，之后百事惠普下发短信联系百事惠普客服要求退款，未经使用人允许扣款，平白无故的被扣款，哪有这种霸王条款，其次很难保证个人信息不被泄漏，连银行卡都无缘无故的被扣款，很难保证个人信息在这个平台的信息不被泄漏，要求退款并强制注销个人信息，保护个人人生财</t>
  </si>
  <si>
    <t>2019/10/09 13:48:14</t>
  </si>
  <si>
    <t>10月3日，在淘宝网苏宁易购网购创维酷开65英寸4K超高清知能wifi，送到后，未经检查验收，送货员只说负责送货就离开，官网无具体联系方式，苏宁官方客户也未给安装售后电话，,又看到安装底座然后放到电视柜上面，并非难事，就拆箱检查，事目前结果:苏宁易购拒绝退货退款，官方旺旺回复补贴我50元人民币我希望苏宁给出答复1.苏宁易购官网买的电视，送到家后，消费者验收标准是什么，2.易购官网买的电视，是否一定要等到官方人员来安装，如果不是，那出了事，就是概不负责，消费者全程埋单，3.电视从出厂到消费者手里，几经周转，没</t>
  </si>
  <si>
    <t>2019/10/09 13:47:46</t>
  </si>
  <si>
    <t>投诉人何先生投诉对象马上消费金融涉诉金额650元问题类型诉求类型投诉详情我这边接了他们催收电话。</t>
  </si>
  <si>
    <t>2019/10/09 13:47:45</t>
  </si>
  <si>
    <t>投诉人刘君涵先生投诉对象创客工具箱涉诉金额100元问题类型诉求类型投诉详情我的淘定帐号给创客降权，为什么。</t>
  </si>
  <si>
    <t>2019/10/09 13:47:44</t>
  </si>
  <si>
    <t>投诉人颜先生投诉对象信汇支付涉诉金额10739元问题类型诉求类型投诉详情本人被赌博网站诱骗充值金额十几万后经过查询发现是广东信汇电子商务有限公司为违法赌博网站非法商户提供支付服务、大商户模式、商户信息虚假等问题，涉嫌为赌博网站洗黑钱等违法违纪行为，公司电话多次联系不上，现在此投诉。</t>
  </si>
  <si>
    <t>2019/10/09 13:47:00</t>
  </si>
  <si>
    <t>本人于2018年12月8日在你我贷申3000元借款，分12期，前三期每期还款525.75后9期每期还款30255已还9期，剩余3期，已还完本金3000元，因利率过高无力偿还，请求消账清单。</t>
  </si>
  <si>
    <t>2019/10/09 13:46:29</t>
  </si>
  <si>
    <t>本人在玖富万卡贷款手机APP借了两万，还了三个月，本金为2760.15；利息为804.28，利息已经很高了！出于借来急用利息可以理解，现在已经有能力全部偿还，结果申请提前结清还需要付四千多的利息，加起来还要还两万两千多，之前还了三个月的本金和利息加现在要还的，比我借的还多！！这太坑人了！这种贷款公司国家怎么还让他存活！再此投诉，在玖富万卡贷款手机APP借了两万，用三个月收我五千多的利息！！！。</t>
  </si>
  <si>
    <t>2019/10/09 13:45:56</t>
  </si>
  <si>
    <t>本人从2017年开始在来分期一直贷款，每期都是按时还款从未逾期，这两个月来本人没有工作，暂时失去了收入来源，我也有跟工作人员说明现在没工作，没说不还，我后期会还上去，但不是马上，来分期工作人员每天不断打电话骚扰本人跟无关的人员，一天最少打超过10个电话骚扰，并且恐吓威胁本人说爆通讯录还有上门，使本人人际关系受到严重影响，希望有关部门管管这种暴力催收的公司，难怪支付宝公司不跟这种暴力催收公司合作，就是一社会毒瘤，。</t>
  </si>
  <si>
    <t>2019/10/09 13:45:51</t>
  </si>
  <si>
    <t>九月中旬尝试协商一次性结清金额，然而到现在都没有解决，由于资金链断裂，暂时无法还款，我逾期是我不对，我承认，但至于逾期几个小时就逼着我还款还威胁说帮我打联系人电话借钱。</t>
  </si>
  <si>
    <t>2019/10/09 13:45:17</t>
  </si>
  <si>
    <t>130******11这个号码我是很多年以前在联通公司买的，当时不知道他们是用谁的户名开的，最近我跑了几次联通营业厅要求过户，并且要我找到原户名，还说要等5年后才能给我过户，但是当时我都不知道是谁的户开的，怎么找的到，麻烦贵平台帮我解决一下。</t>
  </si>
  <si>
    <t>2019/10/09 13:45:02</t>
  </si>
  <si>
    <t>投诉人石先生投诉对象升学教育涉诉金额8900元问题类型诉求类型投诉详情退款拖，也没有退款人对接，客服态度也不行。</t>
  </si>
  <si>
    <t>2019/10/09 13:44:57</t>
  </si>
  <si>
    <t>本人由于资金周转出现问题，在白银钱包，8月21日借款2000元实际到账1300元，周期6天26号还2000元，高额利息700元，由富友支付平台提供资金接入口，联系白银钱包客服协商还款不理，还暴力催收，现在联系不上对方，希望@聚投诉平台协助本人，联系对方，退还标准费率外的额外收费，现在国家扫黑除恶，否则我将追究到底。</t>
  </si>
  <si>
    <t>2019/10/09 13:43:23</t>
  </si>
  <si>
    <t>投诉人钦洁女士投诉对象小花钱包涉诉金额45000元问题类型诉求类型投诉详情暴力催收恐吓，威胁，让家人的工作生活受到影响，应为这个事让我外公生病住院，希望小花钱包受到处罚。</t>
  </si>
  <si>
    <t>2019/10/09 13:42:25</t>
  </si>
  <si>
    <t>本人在百万钱包借款16000元，到手16000元后马上扣除2500元，名曰担保费，所以实际到手13500元，分十二期还清，每期1607元，共19284元，我要求百万钱包给我提供担保费的发票和收据，对方一拖再拖，并且对我暴力催收，各种威胁。</t>
  </si>
  <si>
    <t>2019/10/09 13:42:19</t>
  </si>
  <si>
    <t>本人于2019年10月9日在大河票务网，预定两张许巍天津演唱会门票，购票后发现只是预定，出票时间未定，最终价格也未定，打客服退款说要收取10%手续费，诉求价格确定前全额退款，并对此种行为进行处罚整改！。</t>
  </si>
  <si>
    <t>2019/10/09 13:42:04</t>
  </si>
  <si>
    <t>借1300，6天还2000，还款日当天境外电话催收态度恶劣，威胁几点不处理就骚扰通讯录，无奈多次续期，已无力支付高额利息，汇潮支付违规为其提供放款渠道，要求对方与本人协商本来销账。</t>
  </si>
  <si>
    <t>2019/10/09 13:42:02</t>
  </si>
  <si>
    <t>投诉人 蔡女士        投诉对象  马上消费金融        涉诉金额  1 300 元    问题类型    诉求类型投诉详情  安逸花说好了 让我找人周转还了以后 账户可以提现 我还进去了 又不能提了 钱周转不开了 希望安逸花 把借款和消费开开</t>
  </si>
  <si>
    <t>2019/10/09 13:40:28</t>
  </si>
  <si>
    <t>投诉人 李先生        投诉对象  多宝分期        涉诉金额  3 700 元    问题类型    诉求类型投诉详情  一直还款失败。爆通讯录。一定要严打这样的组织。</t>
  </si>
  <si>
    <t>2019/10/09 13:39:55</t>
  </si>
  <si>
    <t>注册进去自动扣费，找人工服务没人处理，希望有关部门严速处理这些不良APP。</t>
  </si>
  <si>
    <t>2019/10/09 13:39:52</t>
  </si>
  <si>
    <t>莫名其妙扣费，完全不知道是什么钱，没有任何验证码！。</t>
  </si>
  <si>
    <t>2019/10/09 13:39:47</t>
  </si>
  <si>
    <t>投诉人李李云强投诉对象小浦优客涉诉金额296元问题类型诉求类型投诉详情小浦优客平台再未征得本人同意，在本人不知情的情况下恶意收费，拨打客服想退款客服态度恶劣，必须全额赔偿并做出相应的道歉，今早10点，我发现我银行卡突然支出296元，紧接着收到一条短信显示我购买了一份信用报告，并强制性扣费296元，在本人不知情的情况下，还未征得本人同意就从我卡里扣钱，这算是偷盗，使得我的银行卡信息得不到保障，必须全额退换，再以短信的方式道歉。</t>
  </si>
  <si>
    <t>2019/10/09 13:39:44</t>
  </si>
  <si>
    <t>10:53:42申请的你我贷秒啦的借款，5日正常下款7700元，2019年10月3日首次与你我贷公司4006808888电话沟通，告知其，本人有一次性还款意向，希望其减免部分服务费，由于本人在工作时间，并无法与之沟通，再次拨打4006808888电话，并告知其停止催收，协商还款，并无效果，之后该催收人员共计当天给我致电近20次，通话时长近1小时，且所述有明显言语威胁，并言语威胁本人，本人明确质问其催收代表个人还是你我贷公司，其明确表示其代表”你我贷公司”进行所谓合理催收，之后几天接到该人电话其就称呼我为不还</t>
  </si>
  <si>
    <t>2019/10/09 13:39:35</t>
  </si>
  <si>
    <t>在网上被骗了几万元，先后在很多平台贷款，因为是被骗的贷款的，合同也没注意看，又不敢和家里人说只能拆东墙补西墙，导致现在贷款严重还不上，和家里人说了，现在想办法一一在还，后面因为没有工作，又不敢和家里人说，只能拆东墙补西墙，导致现在贷款严重还不上，和家里人说了，现在想办法一一在还，但是玖富在协调期间，每天都电话催着还款，当时还款当时就来电话了，而且玖富的利息很高，一笔两万五，三年36期还清，总共需要还52000元，也就是说三年的利息有27000元，如果按他们的年利率36%，那我也应该是三年后统一还清利息和本金</t>
  </si>
  <si>
    <t>2019/10/09 13:39:34</t>
  </si>
  <si>
    <t>我说缓几天现在手里没有钱，然后催收直接给我说我不还钱我们就打你的紧急联络人。</t>
  </si>
  <si>
    <t>2019/10/09 13:39:01</t>
  </si>
  <si>
    <t>赌博网站伙同拼多多商户收赌博款项，拒不退款。</t>
  </si>
  <si>
    <t>2019/10/09 13:38:51</t>
  </si>
  <si>
    <t>微贷网催收人员在催收过程中对我进行恐吓威胁！让我在10月10号下午3点还款不还款就爆通讯录。</t>
  </si>
  <si>
    <t>2019/10/09 13:38:40</t>
  </si>
  <si>
    <t>投诉人刘先生投诉对象广发银行信用卡涉诉金额50600元问题类型诉求类型投诉详情我有一张广发银行信用卡，卡号：52*************6，额度46000，用卡近十年，从未有过逾期情况，但是在今年因为换了一个新工作，没想到新公司从4月签订劳动合同后，就一直没发工资和奖金，我也多次催促公司尽快发放，但是公司拖了又拖，且家里也发生了一些事情，根本没有多余资金周转，所以从今年7月开始到现在我逾期至今，其中广发银行多次联系，我也是告知实际情况，之后在九月份时候我和公司的劳资纠纷走劳动仲裁，现在还在进行中，同时与广</t>
  </si>
  <si>
    <t>2019/10/09 13:38:22</t>
  </si>
  <si>
    <t>期间偶尔会有第三方的催收人员来催款，那些人基本秉承不协商的态度，只要求全额还款，要本人直接还全款确实有压力，毕竟也不是一家机构欠款，期间也陆陆续续处理了其他的一些机构，因为我欠的都是银行，并没有任何所谓的网贷，而他们基本都是官方人员催收，都愿意协商分期还款，所以一直有在陆陆续续还，也还清了大部分了，但微粒贷每次都是第三方和我联系，且态度基本都极其恶劣，动不动就是辱骂我家人，，所以问题一直没有得到解决，只能说同样是银行，真的差距太大了，今天微粒贷第三方直接打电话到我单位，造成的其他影响我就不说了，欠的钱并不多</t>
  </si>
  <si>
    <t>2019/10/09 13:37:48</t>
  </si>
  <si>
    <t>女催收员打电话态度恶劣，辱骂，已全程录音，现要求平台给予处分并且道歉，否则就走法律程序吧，什么人啊嘴巴就跟吃了屎一样！。</t>
  </si>
  <si>
    <t>2019/10/09 13:37:41</t>
  </si>
  <si>
    <t>投诉人徐先生投诉对象造艺科技,百事普惠,快捷通支付涉诉金额299元问题类型诉求类型投诉详情登陆百事普惠，平台让我绑定收款银行卡后，在本人毫不知情的情况下银行卡被扣取299元，同时平台上一个放款显示也没有，属于恶意欺骗！要求该平台返还299元恶意扣费，同时并解除绑定我的银行卡快捷通支付服务有限公司为该平台恶意扣费违规提供支付通道！如若不然，本人将继续走其他投诉平台进行投诉，同时与银行投诉进行沟通，并通过联系12377网贷投诉平台电话来解决这个问题。</t>
  </si>
  <si>
    <t>2019/10/09 13:37:35</t>
  </si>
  <si>
    <t>投诉人 徐先生        投诉对象  新橙优品        涉诉金额  510 元    问题类型    诉求类型投诉详情  新橙优品 自家扣款一直失败 今天早上他们APP扣款还是失败后 手动支付宝还款成功后 下午又再次扣513.21元 重复扣款联系客服要7-15天 凭什么你们的错误 我买单 要求24小时内退款附上他们支付宝还款明细 后下午扣的 513.21元</t>
  </si>
  <si>
    <t>2019/10/09 13:37:23</t>
  </si>
  <si>
    <t>聚富分期APP乱扣费，不知情的情况下乱扣费，虚假宣传，乱扣费，虚假宣传。</t>
  </si>
  <si>
    <t>2019/10/09 13:37:13</t>
  </si>
  <si>
    <t>本人在洋钱罐平台借款10000，实际下款10000，已按时还款9期，金额为10512，目前平台显示仍需还款3期金额共计3072，逾期一天便开始骚扰本人通讯录及家人，已给本人工作、生活带来严重影响，经核算该平台年利率已高达67%，严重超出国家规定，望有关部门严查！。</t>
  </si>
  <si>
    <t>2019/10/09 13:37:10</t>
  </si>
  <si>
    <t>中原消费金融,采集公民信息，以及本人身份信息，视频认证信息，银行卡信息，要求注销账号，解绑银行卡，自己采集到的个人信息，打客服电话，根本接不通，一直让输入身份证号。</t>
  </si>
  <si>
    <t>2019/10/09 13:36:39</t>
  </si>
  <si>
    <t>本人从未跟深圳市国银盛达融资担保有限公司签订过任何合同，该公司就非法上传本人征信。</t>
  </si>
  <si>
    <t>2019/10/09 13:36:19</t>
  </si>
  <si>
    <t>在他们公司购买业务之前，业务员说各种可以发，各种好，购买套餐之后我发不出去，也收不到，让他们退也不让退，对我造成了很大的损失，一直说发送出去了，发送出去，但是我收不到，我也不知道什么情况。</t>
  </si>
  <si>
    <t>2019/10/09 13:35:30</t>
  </si>
  <si>
    <t>投诉人黄文艺投诉对象宜人货涉诉金额30000元问题类型诉求类型投诉详情本金30000元，已经还了9200元，逾期几天就暴力催收和恐吓！。</t>
  </si>
  <si>
    <t>2019/10/09 13:35:27</t>
  </si>
  <si>
    <t>投诉人于女士投诉对象圆通速递涉诉金额900元问题类型诉求类型投诉详情微信上买了一部手机，说是苹果8，但是收到货，验机的时候发现是安卓版的山寨机，联系客服人员，说是圆通快递那边出了问题，他们正在理赔，要到十五号才能退款，现在那边一直没有消息。</t>
  </si>
  <si>
    <t>2019/10/09 13:35:26</t>
  </si>
  <si>
    <t>在拼多多壹号卖家该店铺购买的iphonexr手机屏幕有坏点与暗点。</t>
  </si>
  <si>
    <t>2019/10/09 13:34:23</t>
  </si>
  <si>
    <t>2019年10月8日下午10点在玖富万卡进行主动还款，系统提示还款失败，然后拨打过4008101555的玖富客服电话咨询过原因，当时还款卡招商银行卡0618卡余额充足，，还款卡建设银行卡2657中也是余额充足，当时客服回复第二天凌晨系统会进行自动划扣，但是迟迟没有收到划扣短信，第二天2019年10月9日再次进行主动还款，期间更换银行卡3张，均未还款成功且无任何提示，再次致电电玖富客服得知第一次系统扣款失败且会在下午18点再次发起系统扣款，让我放心，并且已经进行加急处理，因为10月9日是最后一天还款日，过了就</t>
  </si>
  <si>
    <t>2019/10/09 13:34:20</t>
  </si>
  <si>
    <t>2019/10/09 13:34:11</t>
  </si>
  <si>
    <t>该借款平台利息过高不符合国家规定，借款时给的额度2200，但是到账却只有1430，6天时间就要还2207.92。</t>
  </si>
  <si>
    <t>本人在壹心分期平台借款三次，因为深陷套路贷，已经无力偿还，现在痛不欲生，希望平台能够放我一马，本金销账，请求速度联系处理。</t>
  </si>
  <si>
    <t>2019/10/09 13:32:14</t>
  </si>
  <si>
    <t>马上金融催收人员在10月9日催收期间威胁我于10月10日还款不还款就爆通讯录，催收态度及其恶劣！怎么沟通都不同意。</t>
  </si>
  <si>
    <t>2019/10/09 13:31:53</t>
  </si>
  <si>
    <t>我六号下的订单，七号送的，八号晚上收到的包裹，九号一看就降价，降一点我也认了，降价降了150多，联系客服说赔偿20块钱的唯品会币，六号到九号，就三天，收到货连一天都不到就降价，还特卖呢，亏我还经常在你们平台上买东西，在天猫淘宝上买的东西至少七天内还能给我退个差价，我这三天降价150，就给我赔20块钱的。</t>
  </si>
  <si>
    <t>2019/10/09 13:31:24</t>
  </si>
  <si>
    <t>国银盛达,柠檬金服,河南省和平车行有限公司，不知道怎么回事，上了征信，忘和我联系，187******72。</t>
  </si>
  <si>
    <t>2019/10/09 13:30:43</t>
  </si>
  <si>
    <t>我在捷信贷了26000元，贷了51期，还了18期，剩33期，每期1055.63元，总共还了19000元，我想提前还款可见还剩两万一千多元，那我本金只还四千块钱左右，那这一万多是属于利息吗，我打电话给捷信客服就各种理由解释，还说这一万多元是51期的利息，我才贷了18个月既然每个月都按51期的利息来收我费用，当时工作人员说的利息有多低多低，说的那么好，现在这不是高利贷是什么。</t>
  </si>
  <si>
    <t>2019/10/09 13:30:27</t>
  </si>
  <si>
    <t>融360平台小贷15天的强制购物多达20000多，弄虚作假，假冒伪劣产品，并未告知15天内申请退货，现在请融360协商退货。</t>
  </si>
  <si>
    <t>2019/10/09 13:30:25</t>
  </si>
  <si>
    <t>立借上的叮当想花借2600七天要还4000，属于高利贷。</t>
  </si>
  <si>
    <t>2019/10/09 13:30:14</t>
  </si>
  <si>
    <t>拇指白卡在套路客户填写个人信息后，未经本人允许，也没有任何提示下，私自扣款服务费，与客服沟通态度很不好，并声称只有借够8家贷款公司，并全部被拒，才给退款！现在这个平台还存在，没有放款权限，却引诱我们填写个人信息，就为骗取服务费用！这难道不违法吗。</t>
  </si>
  <si>
    <t>2019/10/09 13:30:12</t>
  </si>
  <si>
    <t>本人于2016年8月在合肥友信IFC门店线下用微粒贷贷款15000实际到账，要求友信客服现在提供当时合同，还款明细。</t>
  </si>
  <si>
    <t>2019/10/09 13:29:41</t>
  </si>
  <si>
    <t>2019.09.29我下载了百事普惠app，准备贷款，他要求我填写银行卡，后来没贷款成功，我就拿卸载了，到30号，莫名就被扣了299，该平台未经消费者同意乱扣费，还有他们推荐的借钱软件利息都很高不说还借不到钱，还有只能借一次，等评估报告14天失效后在借，他又扣款299，感觉真的太坑了，这种垃圾软件为什么要存在，该平台是一个骗子平台，百事普惠，本以为下载了就能借钱了，结果登录注册等等，到最后明明有两个选项一个好像是小份银优惠，一个299评估价，我就点了小份银优惠，他也没显示要扣款299，等点了之后他订单就秒了</t>
  </si>
  <si>
    <t>2019/10/09 13:29:13</t>
  </si>
  <si>
    <t>导致我口碑直底，不派单子，一天跑100多怎么生活。</t>
  </si>
  <si>
    <t>2019/10/09 13:28:45</t>
  </si>
  <si>
    <t>申请延期还款一个月，严重的高利贷弄得我都不知道怎么办请解答。</t>
  </si>
  <si>
    <t>2019/10/09 13:28:18</t>
  </si>
  <si>
    <t>借1400，6天还2000，还款当天，有人电话短信骚扰态度恶劣，威胁几点不还就骚扰通讯录，汇潮支付违规为其提供放款渠道，要求对方协商本金销账。</t>
  </si>
  <si>
    <t>2019/10/09 13:28:04</t>
  </si>
  <si>
    <t>本人因资金问题逾期一天就一直给我打电话，让我说没有还款意愿。</t>
  </si>
  <si>
    <t>2019/10/09 13:28:00</t>
  </si>
  <si>
    <t>9月初接到工商银行的催款电话告知不是本人，后致电客服要求禁止拨打我的号码，后到9月底再次有人拨打催款电话，我又一次打给客服告知并非本人要求处理此事，但今天今天还接到了该银行的催收电话，告知非本人，也不认识，其再三纠缠恐吓我问我地址扬言要来打我，严重的威胁我的生命安全，致电客服无果后来此投诉！。</t>
  </si>
  <si>
    <t>2019/10/09 13:27:59</t>
  </si>
  <si>
    <t>本人深陷高利贷，多个平台逾期，已无力支付牛人优品高额的利息费用，请求本金销账，请尽快联系。</t>
  </si>
  <si>
    <t>2019/10/09 13:27:02</t>
  </si>
  <si>
    <t>2019/10/09 13:26:48</t>
  </si>
  <si>
    <t>今天我去网点下载我的明细来看看，在9月27号两笔是在17:00:22，我都不知道发生什么事情，那时我辛辛苦苦赚回来的钱，麻烦请把我辛苦赚回来的钱退回给我，我还有老婆和孩子要养的。</t>
  </si>
  <si>
    <t>2019/10/09 13:26:08</t>
  </si>
  <si>
    <t>一直在等待催收联系商量延期事宜，结果一天联系不上，打客服客服也是爱理不理，他们是故意让我逾期好收取高额费用，望尽快处理！。</t>
  </si>
  <si>
    <t>2019/10/09 13:26:04</t>
  </si>
  <si>
    <t>点了提前送达却收不到商品，骑手不送，客服无作为，打电话理直气壮让我去电梯口取外卖，我说你放到进门桌子上，然后骑手挂了电话，我查看订单的时候就显示已送达，但是一直，整个下午都没收到商品，这种人能惯着他，你上班别人就不上班，之后申请售后，饿了么人工服务简直就是摆设，无作为，除了让你等就是等，真的不是这点钱的事情，骑手的这种恶劣行为、平台的不作为能让消费者满意。</t>
  </si>
  <si>
    <t>2019/10/09 13:25:55</t>
  </si>
  <si>
    <t>鲁班电商平台，申请退保证金，已经超过3周，时间过长，对平台失去信心，平台不给退款。</t>
  </si>
  <si>
    <t>2019/10/09 13:25:34</t>
  </si>
  <si>
    <t>本人于2019年9月8号通过立借APP一键申请青春宝贷款3000元，通过合利宝扣掉砍头息750元，实际到账2250元，还款周期28天，7天一还，每期还款770.37元，超过法定利率，本人已经偿还1期770.37元后，9月14日是第二期，由于没有接到还款电话和短信，导致忘了！今天有催收人员打电话要求还款才记起来，现要求立借青春宝尽快和本人联系协商还款。</t>
  </si>
  <si>
    <t>2019/10/09 13:24:30</t>
  </si>
  <si>
    <t>r9splus手机一年多，这两天突然频繁重启，网上查询才知道中了重启门，询问本地客服需更换主板一千元左右，手机本身新的也就几百块，请求相关部门查实给予解决。</t>
  </si>
  <si>
    <t>2019/10/09 13:23:59</t>
  </si>
  <si>
    <t>投诉人陈女士投诉对象叮当想花涉诉金额4500元问题类型诉求类型投诉详情叮当想花暴力催收，非法授权通讯录信息！骚扰！电话轰炸！。</t>
  </si>
  <si>
    <t>2019/10/09 13:23:54</t>
  </si>
  <si>
    <t>宝来钱柜,永州市夏尔网络科技有限公司,富友支付，在714平台申请贷款，说是开通VIP后可以成功贷款，部分是放款后被收取砍头息盗刷，总共费用24444元，上海富友支付服务股份有限公司2019-05-29，中国银联无卡快捷支付业务专户2019-05-26。</t>
  </si>
  <si>
    <t>2019/10/09 13:23:46</t>
  </si>
  <si>
    <t>蚂蚁借款阴阳合同，钱没打到我账号上要直接打到了他们软件的钱包里，我提现要交900元。</t>
  </si>
  <si>
    <t>2019/10/09 13:21:53</t>
  </si>
  <si>
    <t>本人在十月一日在小浦优客APP上按照要求填写个人资料，进行贷款申请，放我看到需要收取费用的时候，我停止资料填写并卸载该APP并没有同意该协议内容，但今天我收到银行卡被小浦优客扣款296元的短信通知，这完全是在本人不知情和没有同意协议的情况下的自行强制扣款，现望全额退款！！。</t>
  </si>
  <si>
    <t>2019/10/09 13:21:45</t>
  </si>
  <si>
    <t>拉卡拉的代理恶意关闭我店铺，资金也不到账了，找客服也不理，95016电话怎么是空号。</t>
  </si>
  <si>
    <t>2019/10/09 13:21:38</t>
  </si>
  <si>
    <t>本人是借款人的亲人，借款人出了意外，在他出了意外时候，我已经在跟你我贷客服交流，你我贷也有专员说了会去处理，上个月底，借款人情况好转，我又跟你我贷客服平台商量还款，我说欠款人病情平稳点了，我准备这月开始慢慢处理他的欠款，当时也有专员跟我联系说具体情况再交流，然后今天中午他的通讯录就遭到了骚扰，然后部分电话都是恶意威胁的口气，我已经让他们录音了，我当时从出事联系客服就说明我们不逃避债务，别去打扰他的朋友，你我贷至今仍进行恶意威胁恐吓的套路，。</t>
  </si>
  <si>
    <t>2019/10/09 13:21:10</t>
  </si>
  <si>
    <t>御剑飞行下款2000七天还3500，两次被迫展期已还3000，还继续催收。</t>
  </si>
  <si>
    <t>2019/10/09 13:21:00</t>
  </si>
  <si>
    <t>国泰保险旗舰店以，基于您的历史交易行为综合判断为由，拒绝赔付已经出单的运费险。</t>
  </si>
  <si>
    <t>2019/10/09 13:20:45</t>
  </si>
  <si>
    <t>通联支付扣费，商户名称深圳市小水滴计算系统扣费3500元。</t>
  </si>
  <si>
    <t>2019/10/09 13:20:34</t>
  </si>
  <si>
    <t>迅付-上海嵩汇商务咨询有限公司9-5日，在我不知情的情况下，在没任何提示也没任何操作情况下偷偷扣钱。</t>
  </si>
  <si>
    <t>2019/10/09 13:20:26</t>
  </si>
  <si>
    <t>360借条提前还款收取剩余期数利息，和客服沟通无果，坚持收取剩余期数全额利息，自己的合法权益受到侵犯。</t>
  </si>
  <si>
    <t>2019/10/09 13:20:15</t>
  </si>
  <si>
    <t>借款6500元，需还8752元左右，年利率超出24%。</t>
  </si>
  <si>
    <t>2019/10/09 13:20:09</t>
  </si>
  <si>
    <t>投诉人孙先生投诉对象百事普惠涉诉金额299元问题类型诉求类型投诉详情网贷APP百事普惠未经过本人同意的情况下，恶意从银行卡内扣款299元，贷款申请并没有成功，打客服电话要求退款，客服坚决不予退款，要求百事普惠退还从银行卡私自款的钱，聚福钱包APP，未经过本人同意的情况下，恶意从银行卡内扣款299元，百事普惠上海造艺网络科技，电话4000144888。</t>
  </si>
  <si>
    <t>2019/10/09 13:19:14</t>
  </si>
  <si>
    <t>10月8日，通过微贷网平台推荐下载钱橙无忧app借款，提交资料过程中，银行卡被要求扣款168元，因余额不足未扣款成功，后联系客服要求注销本人账户，客服说账户会在一周内注销，实属欺诈盗窃行为，要求平台退还被扣除的168元，并删除个人信息，解绑银行卡。</t>
  </si>
  <si>
    <t>2019/10/09 13:18:49</t>
  </si>
  <si>
    <t>投诉人 李先生        投诉对象  你我贷        涉诉金额  6 500 元    问题类型    诉求类型投诉详情  违法催收 恶意拨打通讯录好友电话 态度极其恶劣</t>
  </si>
  <si>
    <t>2019/10/09 13:18:46</t>
  </si>
  <si>
    <t>2019年6月才毕业在校期间被骗子诱惑推荐使用新网银行好人贷，骚扰我家人朋友！要求平台停息挂账！在校白户学生秒下款额度巨高寓意何为，期间不断骚扰！且不予以协商！！辱骂本人傻子白痴。</t>
  </si>
  <si>
    <t>2019/10/09 13:18:19</t>
  </si>
  <si>
    <t>前阵子急用钱，下载了钱橙无忧，结果今天扣了我2笔84元费用。</t>
  </si>
  <si>
    <t>2019/10/09 13:18:09</t>
  </si>
  <si>
    <t>借款2600第一次合同标明利息综合年利率25%，后期下款到账2000，分三期，每期还款1136，取消借款合同，需要多支付79.8元。</t>
  </si>
  <si>
    <t>2019/10/09 13:17:47</t>
  </si>
  <si>
    <t>由于工作情况的管理，平时早上8.30分到晚上18.30分这个时间段手机上交无法接听电话，及贷催收发短信爆我通讯录如图，严重影响了我的个人隐私信息和对身边的朋友造成了很大的影响，现要求停止骚扰催收，欠钱一定会还，如果还这样下去我会直接投诉到12315。</t>
  </si>
  <si>
    <t>2019/10/09 13:17:29</t>
  </si>
  <si>
    <t>本人一直正常使用，前面逾期两月，冻结卡了，我已经全额还清，请求恢复额度正常使用，保证以后不在逾期。</t>
  </si>
  <si>
    <t>2019/10/09 13:17:08</t>
  </si>
  <si>
    <t>10月5日上午，收到雅酷支付电话 以其他平台偿还利息为由，无故扣款，本人未曾消费。</t>
  </si>
  <si>
    <t>2019/10/09 13:16:32</t>
  </si>
  <si>
    <t>我已经要提前结清了，为什么要算后面的利息呢，提前结清难道不是结清剩余的本金吗，相当于我用了3个月的我得把12个月的利息给完吗。</t>
  </si>
  <si>
    <t>2019/10/09 13:16:30</t>
  </si>
  <si>
    <t>宝付支付尊敬的用户，您尾号5273的银行卡于10月09日成功付款100元，商户：深圳市友信汽车服务有限公司，订单号：4304286871，如非本人操作，请联系宝付客服热线021-68811008。</t>
  </si>
  <si>
    <t>2019/10/09 13:16:25</t>
  </si>
  <si>
    <t>说是会员费，结婚没经过同意直接从银行卡扣走了我的费用，欺骗客户。</t>
  </si>
  <si>
    <t>2019/10/09 13:16:11</t>
  </si>
  <si>
    <t>上个月失业了，又交了三个月房租，现在还在家待业，希望小米金融高抬贵手不要爆通讯录，不要通知亲朋好友。</t>
  </si>
  <si>
    <t>2019/10/09 13:15:58</t>
  </si>
  <si>
    <t>该公司因国庆节假日发布10月1至10月7的休息公告，本人于1号申请此笔贷款，一直联系app上的电话.打通联系人工，都被告知客服电话繁忙，联系不上该app的工作人员，如一直显示放款中，到十月底给我放款，岂不是刚下款就得还款，希望贵司的工作人员看到能联系我，取消借款或是放款，能让借款人有最基本的知情权。</t>
  </si>
  <si>
    <t>2019/10/09 13:15:42</t>
  </si>
  <si>
    <t>本人2019年9月在新橙优品借款3000元。</t>
  </si>
  <si>
    <t>2019/10/09 13:15:23</t>
  </si>
  <si>
    <t>滴滴出行在无告知情况下扣掉我跑滴滴血汗钱必须要处理，希望在这里能得到公正。</t>
  </si>
  <si>
    <t>2019/10/09 13:15:08</t>
  </si>
  <si>
    <t>从今年五月份开始在：程咬金借款，app借款到现在最少有八次借款了，每次砍头息加上7天期限还款已经撑不住逾期了。</t>
  </si>
  <si>
    <t>2019/10/09 13:14:27</t>
  </si>
  <si>
    <t>新橙优品于10.03主动转账结清.今日在无告知的情况下从我的卡中私自扣款2372.87元，经过银联于宝付支付确认由新橙优品扣款。</t>
  </si>
  <si>
    <t>2019/10/09 13:13:29</t>
  </si>
  <si>
    <t>在714平台申请贷款，说是开通VIP后可以成功贷款，部分是放款后被收取砍头息盗刷，总共费用2444元，中国银联无卡快捷支付业务专户2019-05-26。</t>
  </si>
  <si>
    <t>2019/10/09 13:12:45</t>
  </si>
  <si>
    <t>2019.10.8日我看见安心记加班有一个活动，邀请一个好友可以获得5元现金红包可提现，当时我觉得我认识很多的朋友，微信好友也多，我就参加了他们平台的活动，谁知道昨天下午邀请了20个，我提现50元，结果刚刚去看的时候提现失败，结果我问客服怎么回事，客服让我提供分享好友途径我也提交了，但是我提交完以后客服又让我提供我所邀请的好友的厂牌，我后来又问了我邀请的朋友要厂牌，我朋友说活动规则跟提现说明都没有提过要厂牌才能提现、希望你们平台能帮我讨回公道！567元人民币不是几十块，谢谢??。</t>
  </si>
  <si>
    <t>2019/10/09 13:12:44</t>
  </si>
  <si>
    <t>投诉人陈先生投诉对象携趣网络技术上海有限公司,通联支付,易小借,造艺技术,通联沪快涉诉金额299元问题类型诉求类型投诉详情2019年10月9日06:20:24从我建设银行卡号划走299元，到今天为止已经是扣我两次钱了。</t>
  </si>
  <si>
    <t>2019/10/09 13:12:42</t>
  </si>
  <si>
    <t>新生支付私自扣除我168元，分2次扣除，一次84，实在是太恶心了。</t>
  </si>
  <si>
    <t>2019/10/09 13:12:02</t>
  </si>
  <si>
    <t>8月11日，本人注册哪吒钱包，准备网络借款，当天资料审核未通过，但是哪吒钱包当时给了信用评估报告，因为所绑定的银行卡也没有钱，没有扣款行为，但再次登陆哪吒钱包查看信用评估报告，内容未见更新，后来与扣款短信中的电话客服进行沟通，对方已签过协议为由，不予退款。</t>
  </si>
  <si>
    <t>2019/10/09 13:11:49</t>
  </si>
  <si>
    <t>投诉人陈先生投诉对象重庆美团三快小额贷款有限公司涉诉金额1500元问题类型诉求类型投诉详情一直打电话。</t>
  </si>
  <si>
    <t>从我中国银行卡上无缘无故盗刷金额408.76银行查出来是个人电脑联机代理无卡操作转走我账户上的408.76。</t>
  </si>
  <si>
    <t>2019/10/09 13:11:18</t>
  </si>
  <si>
    <t>借款平台承诺日利率0.003％，下款后砍头息，借两千元，实际到账，1300元，到了还款日工作人员催收，辱骂，推迟还款期间，故意还不上款，然后操作别的平台以贷养贷多次！！。</t>
  </si>
  <si>
    <t>2019/10/09 13:11:11</t>
  </si>
  <si>
    <t>投诉人 蔡明娇        投诉对象  小浦优客        涉诉金额  296 元    问题类型    诉求类型投诉详情  小浦优客在我不知情的情况下扣我钱296，</t>
  </si>
  <si>
    <t>2019/10/09 13:11:06</t>
  </si>
  <si>
    <t>投诉人 杭先生        投诉对象  信用宝        涉诉金额  75 000 元    问题类型    诉求类型投诉详情  合同上面签定是75000元左右 实际到账52000元 高额砍头</t>
  </si>
  <si>
    <t>2019/10/09 13:10:47</t>
  </si>
  <si>
    <t>联系我的工作单位，严重影响工作，公司我已对本人做出警告。</t>
  </si>
  <si>
    <t>2019/10/09 13:10:35</t>
  </si>
  <si>
    <t>农业银行的卡莫名被网银在线扣钱了，根本没有过任何支付。</t>
  </si>
  <si>
    <t>2019/10/09 13:10:13</t>
  </si>
  <si>
    <t>本人在网上一次偶然接触到棋牌游戏当初是因为打发时间娱乐，玩游戏大厅里的捕鱼游戏就充值了50元钱，没有一分钟就没了不甘心又充值，从开始的50到最后成千上万的充值，每次充值都是不同的商家，支付宝充值显示收款方为拼多多平台商户，短暂两个月时间左右亏损数十万元、为什么这些涉赌杀猪盘平台可以大行其道的接入正规的支付通道，在这两个月游戏过程中发现拼多多平台商户为众多涉赌平台名称金贝、博贝、大发、通宝、招财猫、888电玩城、易发等等涉赌平台进行资金结算、我怀疑拼多多为涉赌杀猪盘涉嫌洗钱服务，2019净网行动严打网络犯罪的</t>
  </si>
  <si>
    <t>2019/10/09 13:09:52</t>
  </si>
  <si>
    <t>同程旅游里面有个钻石乐园，类似一元夺宝性质的，具有赌博性质的，要求给出解释，作退款补偿，不要跟我说是买玫瑰送钻石，我现在有5476个玫瑰，买的时候是100元100个，光移动电源兑换就需要3600个，相当于3600元，实际实物才一百不到。</t>
  </si>
  <si>
    <t>2019/10/09 13:09:46</t>
  </si>
  <si>
    <t>投诉人 李女士        投诉对象  网易云音乐商城        涉诉金额  119 元    问题类型    诉求类型投诉详情  客服答应可以拒收后退货 结果一直不处理导致快递拒收后无法寄回 第二次联系客服后说尽快处理 结果直接拒绝退货</t>
  </si>
  <si>
    <t>2019/10/09 13:09:04</t>
  </si>
  <si>
    <t>淘宝上购物显示未发货，但是物流已经发出，于是申请了退款，卖家就撤回了包裹.后来和卖家沟通了补了钱，要求正常配送就好，联系了发货网点，发货网点说包裹已经退回了配送不了，我又联系了收货网点，收货网点告知未接到任何让他们正常派送的电话和文件，包裹还在收货网点，并未装车发回，接着又联系了发货网点，也告知了这个情况，卖家也联系了中通快递出港处，，对方不核实情况就是很敷衍的告知退回了派送不了，我已多次告知包裹还在网点，但是都是被很敷衍的回复了，对这种不作为的行为希望能做出回复，并把事情积极解决了。</t>
  </si>
  <si>
    <t>2019/10/09 13:07:50</t>
  </si>
  <si>
    <t>本人和诸位同仁近期经历了钱橙无忧借款平台的无理收费，和直接扣费以及扣费后未履行相应承诺等行为，本人在钱橙无忧注册时被无故扣款168元且无无任何提示，后借款时该平台打出了审核不过关即退款，点击了确认，但此平台直接跳过了密码支付，本人并未在此平台开通过免密支付，经等待后，该平台的审核一直处于第一阶段，人工客服又一直繁忙，审核不批，钱款不退，该平台大概是张以这种无赖的方式侵吞我等的财产。</t>
  </si>
  <si>
    <t>2019/10/09 13:07:47</t>
  </si>
  <si>
    <t>7月份的时候，我和交通银行联系，因为刚工作，实在是还不上，所以协商每个月都会还款，等资金充足了些再一次性还清，银行当时已答应了，还承诺我可以减免利息，还告知我现在还款都是还的本金，然后在我还款2个月后，今天交通银行法务中心来信息说对我多次沟通无效，要报案处理，我回电咨询当时跟你们银行协商好的处理办法，银行也已经答应，为什么才过2个月又出尔反尔，我也不是没有进行还款，他说，现在不需要我处理还款了，只跟我交涉这么多，不要跟他提当时协商的东西，只让我配合后绪处理，，如果我现在可以全额还清，可以来电给他求他帮个忙撤</t>
  </si>
  <si>
    <t>2019/10/09 13:07:44</t>
  </si>
  <si>
    <t>投诉人 王先生        投诉对象  玖富        涉诉金额  12 000 元    问题类型    诉求类型投诉详情  暴力催收，不停的打电话骚扰。严重的高利贷，</t>
  </si>
  <si>
    <t>2019/10/09 13:07:28</t>
  </si>
  <si>
    <t>每天来电骚扰，严重影响工作与生活！！！！！！！！！！！。</t>
  </si>
  <si>
    <t>2019/10/09 13:07:13</t>
  </si>
  <si>
    <t>火影帮套路贷高利贷砍头息阴阳合同下款1600实际到账1168.合同明明说6个月，可实际上15天续期一次美其名曰打赏费448，已续期三次远远超过本金超过国家规定利率，已向相关部门报案，请退回非法收取的费用并销账，征信有限公司旗下产品，联系电话0755-2377715，公司地址:广州省深圳市福田区福华三路168号深圳国际商会中心809。</t>
  </si>
  <si>
    <t>2019/10/09 13:05:57</t>
  </si>
  <si>
    <t>借款10410元，合同约定扣除前期手续费1264元，结果强行扣除我2410元，相当于实际到账8000元，我要还11700元。</t>
  </si>
  <si>
    <t>2019/10/09 13:05:40</t>
  </si>
  <si>
    <t>没用就卸载了，10月9号莫名其妙来个信息，被自动扣款。</t>
  </si>
  <si>
    <t>2019/10/09 13:05:32</t>
  </si>
  <si>
    <t>起初信用额度3000元，由于用卡情况良好，额度逐步提升到了57000元，但是后来由于大环境的影响，生意越来越难做，最后以失败告终，于是就办了一笔分期，现在连分期未还的利息全部加起来，一共有65000块钱左右，这段时间银行的催收电话没有少打也没有少给忠告，银行说如果不能按时按量偿还，那就会按流程走会去法院起诉我去公安机关报案，昨天一个昆明的座机号码打过来，我接起来她就开骂，态度十分恶劣，在我接这通电话之前，他曾打到我家里面骚扰我的家人，还打到我们村委会，打到我老公那边的村委会到处宣传，毁坏我的名声，我现在连这</t>
  </si>
  <si>
    <t>2019/10/09 13:05:17</t>
  </si>
  <si>
    <t>本人在石榴分期上申请借款1000元，正在认证个人信息，在绑定银行卡的时候很正常的发了个验证码来，我就填了，谁知填了以后又来个短信，扣款288！。</t>
  </si>
  <si>
    <t>2019/10/09 13:04:59</t>
  </si>
  <si>
    <t>没借马上消费金融的每天打电话发信息来骚扰我，我打电话过去查了也没欠款。</t>
  </si>
  <si>
    <t>2019/10/09 13:04:40</t>
  </si>
  <si>
    <t>2019年9月18号通过翼锋网官网回收电脑CPU，6700K，9月21号翼锋网收到货品并完成了核对回收价格，今10月9号还是未收到打款，询问在线客服根本没人理我，商家承诺是5-7天打款。</t>
  </si>
  <si>
    <t>2019/10/09 13:04:37</t>
  </si>
  <si>
    <t>威胁，辱骂，暴力催收，诽谤，打电话过来一直说，一直说还钱，其他不说，你想解释不给你机会，不说话又说你逃避，一直打电话。</t>
  </si>
  <si>
    <t>2019/10/09 13:04:28</t>
  </si>
  <si>
    <t>你们公司工作人员给我打电话我表示会尽快处理，10月7日晚上朋友给我转了一次钱过来，但是我还没收到，也咨询过银行让耐心等待，也告知了你们工作人员，但是你们工作人员好像认定我不愿意处理还是什么的，让我提供银行转账记录图片，我想请问一下你们公司的工作人员让我提供这个出于什么，在我认知里这样的证明文件应该只有公安机关这样的单位才有资格要求我提供吧，请你们停止这样的行为，我们可以好好协商处理。</t>
  </si>
  <si>
    <t>2019/10/09 13:03:19</t>
  </si>
  <si>
    <t>平时基本上不用京东白条，买东西不小心使用了京东白条支付，一直不知道，且一直没有收到还款提醒，直到9月10日收到短信说已经逾期9天，收到短息立即还上，但已经对征信产生影响，无短信提醒导致征信产生影响希望贵司做好征信修复，谢谢！。</t>
  </si>
  <si>
    <t>2019/10/09 13:03:15</t>
  </si>
  <si>
    <t>在京东金融的京东金条贷了3000元，当天没有接到还款通知，账户里有钱也没有扣款成功，造成了逾期一天，而且还被河北幸福消费金融公司上报了逾期征信，在征信上显示贷了15000元，贷款方没有按照合同金额上报，而且还没有履行通知义务，贷款方应付主要责任，联系京东和河北幸福消费金融的两家公司客服，多次相互推诿扯皮，不给处理。</t>
  </si>
  <si>
    <t>2019/10/09 13:02:05</t>
  </si>
  <si>
    <t>贷款1100元分个月还9月27号申请到10月9号放款，10月22号就要还款，每期要713.59，三个月总还2200多，高利贷。</t>
  </si>
  <si>
    <t>2019/10/09 13:01:34</t>
  </si>
  <si>
    <t>不求别的，只求订单早日完成，账号被仲裁，也已解决。</t>
  </si>
  <si>
    <t>2019/10/09 13:01:18</t>
  </si>
  <si>
    <t>借款人逾期了是本人的原因，暂时资金周转困难，借款人于2019年10月15参与信阳市平桥区人民法院起诉宣判，借款人牵扯一起重大交通事故，钱都压在保险公司和医院了，货款暂时周转不开，借款人不是不还，不停的打的电话催收，借款人周边的亲戚朋友也接到催收电话了，在次转告货款平台，在次骚扰借款人家属，家属把所有的催收电话直接交到警方那边。</t>
  </si>
  <si>
    <t>2019/10/09 13:01:10</t>
  </si>
  <si>
    <t>百度有钱花催收人员在可以联系到本人的情况下私自联系了本人通讯录中的人员，并且催收人员致电恐吓本人上门暴力催收，威胁，辱骂，还爆我通讯录！在网上各种平台用我手机号码注册信息，每天很多推销电话，短信骚扰我，我不是不还，只是暂时还不上，这样已经影响到我的工作，让我怎么挣钱还呢。</t>
  </si>
  <si>
    <t>2019/10/09 13:00:53</t>
  </si>
  <si>
    <t>借一千块钱，要还2000多，这个是砍头利息了，还不停骚扰我身边的朋友跟家人，希望官网能够严厉打击这些黑网贷，贷上钱，钱站。</t>
  </si>
  <si>
    <t>2019/10/09 12:59:59</t>
  </si>
  <si>
    <t>平安普惠贷款隐瞒隐藏并强制收取高额保险费管理费投诉事宜，。</t>
  </si>
  <si>
    <t>2019/10/09 12:59:33</t>
  </si>
  <si>
    <t>去年10月在我来贷借款30000，今年8月提前还清借款，因为不堪催收之苦，为不让以贷养贷跟我来贷多次电话协商账户予以注销，对方已下载app拒绝以及只给注销资料不注销账户敷衍，对此我发很多次投诉均没有人帮忙协商解决，为了让自己远离网贷健康的生活，故而才会多次联系取消，如果我来贷不能满足我注销账户非注销资料以及让我继续以贷养贷，我会持续坚持继续投诉，我就一个简单诉求不想在以贷养贷，否则我会疯。</t>
  </si>
  <si>
    <t>2019/10/09 12:59:03</t>
  </si>
  <si>
    <t>本人长期手机分期都在捷信很多年了从来没有逾期过。</t>
  </si>
  <si>
    <t>2019/10/09 12:59:01</t>
  </si>
  <si>
    <t>国美易卡高利贷，合同我点击进去都看不了，借款9000元，还款13240元，超出年利率24%，希望调整利率。</t>
  </si>
  <si>
    <t>2019/10/09 12:58:46</t>
  </si>
  <si>
    <t>然后看到路边这车上写着“支付宝扫码骑车”，出于对支付宝的信任，没想其他的就扫码了，然后按提示充值了100元，扣款了但是车锁也没打开，车骑不了就开始计费，然后我就操作还车，从ofo余额扣了1元钱，充100元，为了把这个用不完的余额提现，我特意下载了ofo的app，今天上午联系他们的客服都联系不上，网上搜索发现同样遭遇，退款无门的人还有很多，特此投诉，希望有人可以管管这个事儿，要不也太给我们北京丢人了，图片有一张付款的是我自己的，另外附三张网上同样遭遇的，希望可以替天行道！。</t>
  </si>
  <si>
    <t>2019/10/09 12:58:11</t>
  </si>
  <si>
    <t>再不知情的情况下就被扣款了，扣款理由是查询信用报告的钱，短信内容删了，原本打算吃一堑长一智就算了，后来才知道有聚投诉这个平台。</t>
  </si>
  <si>
    <t>2019/10/09 12:58:00</t>
  </si>
  <si>
    <t>利息高得可怕，我上个月借了7000块钱，我只是急用借出来周转一下，我想提前还，还没有一个月就要我还一万多，一个月利息3000多呀，17年我借了25000还了我5万多，我受不了。</t>
  </si>
  <si>
    <t>2019/10/09 12:57:58</t>
  </si>
  <si>
    <t>投诉人刘先生投诉对象抱金猪,瑜伽熊涉诉金额2200元问题类型诉求类型投诉详情抱金猪旗下瑜伽熊借款3100元实际到账2200元800元高额砍头息，一个月两期还款15天一次，每期还款1599.8元，借款2200元一个月要还3199.6元，第二期本人因高额砍头息利息无力偿还瑜伽熊催收骚扰恐吓我家人，要求瑜伽熊客服与我联系协商还款！本人接受正常利息，不接受高炮高利贷。</t>
  </si>
  <si>
    <t>2019/10/09 12:57:33</t>
  </si>
  <si>
    <t>投诉人吕先生投诉对象好易贷,杭州市民卡涉诉金额3000元问题类型诉求类型投诉详情好易贷借款误导别人，打爆通讯录，辱骂我亲人，发微信恐吓威胁，我在好易贷借款逾期是事实，但是好易贷不能误导别人，好易贷你只能造成我对还款的能力，我借来的钱我只有按照你发的图片去还款，现在你们好易贷又说我还在逾期当中，到处打爆通讯录，恐吓，续期一次900后面想还款的时候发现逾期一天180&amp;nbsp;之后在还款400&amp;nbsp;本金到手2100&amp;nbsp;&amp;nbsp;目前已经打通讯录辱骂我家人&amp;nbsp;也已经报警了&amp;nbsp;等警察</t>
  </si>
  <si>
    <t>2019/10/09 12:57:00</t>
  </si>
  <si>
    <t>还款进去突然不让用了，还不断联系亲人朋友催收。</t>
  </si>
  <si>
    <t>2019/10/09 12:56:44</t>
  </si>
  <si>
    <t>投诉人黄先生投诉对象闪电借款涉诉金额1500元问题类型诉求类型投诉详情借1500元提前要买300的黑卡，黑卡钱扣了一直不给借，提示借款人太多，要找客服退黑卡钱基本不理人，我要求平台尽快给我退黑卡钱，连个正经的客服电话都没有。</t>
  </si>
  <si>
    <t>2019/10/09 12:56:38</t>
  </si>
  <si>
    <t>1，我这边及时跟中邮钱包客服沟通，说今天晚上6点前还，你这边客服还说给我备注了，忘记截图，但一定说了2，你一直是跟我沟通不上沟通不上，我的通话记录根本没显示你这边有任何的拨打记录3，我这边及时跟客服沟通，你这边催收就打电话给我家人。</t>
  </si>
  <si>
    <t>2019/10/09 12:56:32</t>
  </si>
  <si>
    <t>希望平安银行能协商解决还款，我因为脚意外受伤导致右足跟骨骨折，导消平安银行信用卡逾期，也和客服说明了情况，希望能撤销对我的诉讼，能协商解决还款，不要骚扰我的朋友家人。</t>
  </si>
  <si>
    <t>2019/10/09 12:56:30</t>
  </si>
  <si>
    <t>投诉人徐先生投诉对象银联电子支付涉诉金额27000元问题类型诉求类型投诉详情偶然的接到短信，说是正规福利彩票平台，可以通过网络兼职挣钱，通过客服介绍，于是在网站注册了账号，客服诱导小额投资，然后慢慢诱导大额投资，通过云闪付充值到账后客服已各种理由说任务不达标流水不足，要求继续充值才能提现，继续充值后客服要求必须达到充值流水才能提现，然后客服就联系不上了，总计投入27000，发现其实就是以兼职为借口，诱导充值才能拿到利润回报，参与赌博，不参与不给退款，必须达到一倍充值流水才能退款，然后发现以下几家公司为赌博平</t>
  </si>
  <si>
    <t>2019/10/09 12:56:05</t>
  </si>
  <si>
    <t>这个公司经常发消息打电话给我，我之前都说了只是之前有个联系就把我号码留下了，也说了不准再打电话再发短信，还是在发，我根本不是本人，这个完全是当本人在发短信，我要投诉这个公司，同时禁止后续骚扰联系，否则我将依法追究责任，对我造成了严重影响。</t>
  </si>
  <si>
    <t>2019/10/09 12:56:01</t>
  </si>
  <si>
    <t>投诉人 商女士        投诉对象  快来花        涉诉金额  3 000 元    问题类型    诉求类型投诉详情  没有借款，莫名其妙收到催收短信. 请提供APP或者客服电话，我可以报警处理</t>
  </si>
  <si>
    <t>2019/10/09 12:55:58</t>
  </si>
  <si>
    <t>在本人不知情的情况下恶意捆绑销售保险，现要求退回保险费用。</t>
  </si>
  <si>
    <t>2019/10/09 12:55:33</t>
  </si>
  <si>
    <t>昨天晚上5点多咨询办理会员，于是花了239员办理了会员，所以当天晚上10点多咨询打算退款，不想办理会员了。</t>
  </si>
  <si>
    <t>2019/10/09 12:55:28</t>
  </si>
  <si>
    <t>投诉人刘干投诉对象中国工商银行合肥花园街支行涉诉金额0元问题类型诉求类型投诉详情我没有去办理工商银行ETC，工商银行给我开通了ETC导致我后续办理不了他行ETC，工商银行泄露个人隐私，个人隐私银行可以随意泄露吗。</t>
  </si>
  <si>
    <t>2019/10/09 12:55:11</t>
  </si>
  <si>
    <t>9月初从他们淘宝店买的螃蟹券，还推荐朋友一起买了，螃蟹卡上边提示扫描二维码提货，9月下旬开捕，现在二维码扫了提示账户异常，电话打了说让联系淘宝店，淘宝店无回复，兑换不了。</t>
  </si>
  <si>
    <t>2019/10/09 12:54:38</t>
  </si>
  <si>
    <t>嗨钱无法app正常还款，第三方收款，又不销账，还总打电话，发信息，威胁骚扰，我得个人利益没有保障，希望聚投诉可以帮帮我，光华普惠得，希望app早点好。</t>
  </si>
  <si>
    <t>2019/10/09 12:53:53</t>
  </si>
  <si>
    <t>打电话问对方还有多少未结清，居然还有十二万六千元，等于说还了这么久才还了一万不到的本金，合同金额是166000元整，放款金额只有135000元，说是什么服务费，现在本着和对方协商还款的态度一次结清，资方考虑，我们也没有逾期，实在无力承受这么多的巨额利息和额外的套路附加费用。</t>
  </si>
  <si>
    <t>2019/10/09 12:53:25</t>
  </si>
  <si>
    <t>2015年12月2日和山西百胜健身千峰南路分店签订健身服务，但2016年6月份左右店铺搬迁，未经会员同意将卡转入漪汾街分店，强制会员去漪汾街分店进行健身！受害人离漪汾街分店距离远，交通不便，给会员健身权利造成很大不便，多次协商，一直称退款申请在走程序，至今未给解决！千峰南路分店刚搬迁时告知是内部装修，后又称会马上在原址附近新建店铺，其明知半年后房租到期不再营业，也未如实告知即将搬迁的事情，故意欺瞒消费者，给受害会员造成经济和服务的损失！会员提出退款时各种理由百般推脱，请求贵方能帮助协调解决问题！当时办理健身</t>
  </si>
  <si>
    <t>2019/10/09 12:53:17</t>
  </si>
  <si>
    <t>未按合同金额要求还款，私自修改还款金额，要求赔偿损失。</t>
  </si>
  <si>
    <t>2019/10/09 12:53:01</t>
  </si>
  <si>
    <t>凡普金科给单位家人同事打电话、发短信，说我和我对象不接电话不回短信，逃避债务，导致家人朋友单位对我产生不好影响。</t>
  </si>
  <si>
    <t>2019/10/09 12:52:36</t>
  </si>
  <si>
    <t>我本人的中邮消费贷款每个月8日为还款日，由于这个月8日为国庆假期后上班第一天，忘记处理还款事宜，在今天，早上短短2个小时内，本人共接到中邮消费金融的还款催收电话多个，而且态度非常不好，在本人明确表明已经接听过中邮消费的催收电话，并表示知道还款叫其不要再打电话骚扰，但该催收人员态度恶劣，表示不还款一直会打电话过来，如此行径等同意骚扰、暴为催收，希望相关部门帮忙加强督促、管理，骚扰催收电话为:95132107'、059139012159、02022360542。</t>
  </si>
  <si>
    <t>2019/10/09 12:52:35</t>
  </si>
  <si>
    <t>投诉人 王先生        投诉对象  Wecash闪银        涉诉金额  2 500 元    问题类型    诉求类型投诉详情  北京闪银奇艺科技有限公司 我贷1987的款 三个月加上新人担保金要还2500 利息高的可怕 前所未闻会有担保金 希望国家整治这些平台还我一个公平 本来就很困难了 现在这些平台更要压榨我们这些老百姓 我们都是中国人啊 为什么你们不给你们的同胞留一条后路呢 可能除了我还有其他人 都会付给这个平台新人担保金 既然是做贷款的 是一个正</t>
  </si>
  <si>
    <t>2019/10/09 12:52:34</t>
  </si>
  <si>
    <t>投诉人 胡先生        投诉对象  指尖微赚        涉诉金额  381 元    问题类型    诉求类型投诉详情  当时听信忽悠 说保证金满一件可退 未消费金额可退。。现在已经一年多过去了 退款入口没有。。退回余额还有高额手续费</t>
  </si>
  <si>
    <t>2019/10/09 12:52:30</t>
  </si>
  <si>
    <t>钱橙无忧贷款app在我不知情的情况下给我开通vip推送服务，恶意从我银行卡里扣去所谓的vip服务费84元两次，共计168元，我确定我没有点击任何购买服务，并且我手机没有接到任何改app的推送消息，我只是下载了app，填写了资料手机号，银行卡号等，没有额度我就退出了，app也删除了，现在该app找不到下载地址，资源已经下架，也联系不上客户，我要求钱橙无忧贷款app删除我的资料，退回扣我的款项。</t>
  </si>
  <si>
    <t>2019/10/09 12:52:20</t>
  </si>
  <si>
    <t>我在马来西亚的万宝龙买笔，用支付宝支付第一次刷支付宝，店里的POS机没有出来条，店员说没有支付成功，但是我的支付宝显示支付成功，银行卡里的钱也扣了，我在网上查，说可能是网络延迟，我就去别的地方逛逛等，两个多小时再过去店里，商家说还是没有收到钱，她不能让我把笔拿走，我急用送礼物，就又刷了第二次，这个刷成功了，但是我第一次的钱去哪了，打支付宝客服说她们会联系商家，一个星期会有结果，一个星期后，再打客服电话打不通了，我又去万宝龙的店里问，他们给我看那天的所有交易，确实没有收到钱，那就是支付宝的问题了。</t>
  </si>
  <si>
    <t>2019/10/09 12:52:05</t>
  </si>
  <si>
    <t>本人持有浦发信用卡一张，因家里变故，逾期一个月，偿还不了全款，有分期偿还的能力，但是银行绝不商量，希望把前面分期，见面利息等一切费用，感谢！。</t>
  </si>
  <si>
    <t>2019/10/09 12:52:00</t>
  </si>
  <si>
    <t>投诉人庞富文投诉对象同程旅游涉诉金额1100元问题类型诉求类型投诉详情同程旅游，提钱花借1100一个月，要购买200元的购物卡才能借。</t>
  </si>
  <si>
    <t>投诉人朱女士投诉对象及贷涉诉金额2672元问题类型诉求类型投诉详情借12000，还了10期，第一期1624，后面都是1336，总共要还16360，利息达到了4360，现在已经还了10期了，还剩2期，只希望调整利率，手续费减免，提前结清。</t>
  </si>
  <si>
    <t>2019/10/09 12:51:56</t>
  </si>
  <si>
    <t>投诉人田先生投诉对象银生宝涉诉金额25000元问题类型诉求类型投诉详情我们公司：破云文，科技有限公司于2018年1月3号和上海银生宝电子支付服务有限公司签订推广合作协议，自2018年四月份开始银生宝就再也没有支付过分拥，我们电话联系对方到目前银生宝方均未答复！期间多次拨打电话，至今仍未给予回复，被合作伙伴爆料到网站，据悉，上海银生宝电子支付服务有限公司是一家专业的电子支付平台，致力于在传统互联网和移动通讯网领域的应用在线支付，公司注册地在上海，成立于2006年，实缴资金1.1亿，事情的来龙去脉如下，本公司2</t>
  </si>
  <si>
    <t>2019/10/09 12:51:47</t>
  </si>
  <si>
    <t>老让我去借钱每天打好多遍电话，泄露我得个人信息。</t>
  </si>
  <si>
    <t>2019/10/09 12:50:20</t>
  </si>
  <si>
    <t>本人借了贷上钱高利贷平台5000元，实际还款6700多，昨天逾期一天情况下不断对本人及联系人恶意骚扰，其中违法收费为荐职服务费1400元，本人未收到任何荐职服务，那么为什么收取这样的费用，我希望贷上钱退回本人本次账单及以往账单违法所得费用。</t>
  </si>
  <si>
    <t>2019/10/09 12:50:10</t>
  </si>
  <si>
    <t>暴力催收已影响亲人朋友的正常生活，并恐吓亲人和朋友代替还钱，催促去借高利来还债务，信息发到老板那里，现工作也丢了，更无法正常还款。</t>
  </si>
  <si>
    <t>2019/10/09 12:50:06</t>
  </si>
  <si>
    <t>蓝莓金服高利贷，借款2100元一个月需还款3000多元，远超国家法定利率，十天一期，每期还款将近1000元，现在已归还1950元，联系蓝莓金服客服协商剩余本金加合理利息还款，蓝莓金服客服人员表示不同意，，现向贵平台进行投诉协商，如果蓝莓金服依旧无法给出合理的解决意见，本人将向银监会，公安局举报，报案。</t>
  </si>
  <si>
    <t>2019/10/09 12:49:55</t>
  </si>
  <si>
    <t>2019年10月9日上午7点41分，拼多多平台在本人不知情的情况下扣除81.5，只有短信通知，钱花在哪里了我本人都不清楚。</t>
  </si>
  <si>
    <t>2019/10/09 12:49:45</t>
  </si>
  <si>
    <t>投诉人黄芊雅女士投诉对象百合网涉诉金额6800元问题类型诉求类型投诉详情今年上半年注册了一个百合网账号，由于不明白网上操作，打了个电话给热线，随后接到一个百合网线下红娘的电话，然后不停的给我打电话，服务非常好，由于工作太忙，没时间找人，就想想让他们帮忙找，说好了条件后，就在网上交了钱，刚开始我担心骗先交3个月，交了钱后，马上又来电话诱导我购买她们的服务6个月，最后交了6800元6个月，一个星期不到，我发现不对，就让按合同扣款，可是一直不肯，让我降低条件找人，就是耗我的时间，反正不理你，也不能退，打他们公司投</t>
  </si>
  <si>
    <t>2019/10/09 12:49:30</t>
  </si>
  <si>
    <t>在立借平台借了钱，但是一直显示放款中，但是现在了解到利息属于非常高的高利贷，幸好还是放款中，但是要求取消，他们不给我取消，非要让我等下款，让我还高利贷。</t>
  </si>
  <si>
    <t>2019/10/09 12:48:59</t>
  </si>
  <si>
    <t>由于本人在九月份手机钱包身份证被偷，没有通讯联络的方式，小象优品在没有经过本人的同意下拨打我通讯录的号码，而且他们是如何知道这些号码的，肆意诽谤，威胁侮辱我家人与朋友，威胁我家人要求我家给他们转钱，已经对我家人身心起到骚扰严重威胁生活健康，还有莫名其妙的高额的逾期费用。</t>
  </si>
  <si>
    <t>2019/10/09 12:48:57</t>
  </si>
  <si>
    <t>没有一个通过的，说让我上传就给退款，我上传了，退款结果审核失败。</t>
  </si>
  <si>
    <t>2019/10/09 12:47:55</t>
  </si>
  <si>
    <t>9月7号，通过轻周转申请借款2800元，对方通过畅捷支付打款2800元，每8天就要还款1022元，共需还4期，2800元32天要还近4100元，严重违反国家法律法规！已还3100余元，现申请销账！。</t>
  </si>
  <si>
    <t>2019/10/09 12:47:37</t>
  </si>
  <si>
    <t>借贷合同金额与下款金额不符，并且在客户不知情的情况下捆绑保险费，资金遇到问题才会选择借网贷，当前确实没办法及时周转，今天催收人员打电话我也把欠款和他们讲了，看看能不能协商延期，三天到一个礼拜的时间，但及贷恶意催收，在我说明情况后诱导我向人借钱来处理这笔欠款，并威胁下午两点如未到账骚扰家人，让亲朋好友协助处理我的这笔欠款，我告诉对方在能联系上并且没得到欠款人同意的情况下他们是不得向债务人以外的其他人员透露有关债务、逾期、违约等信息，但对方态度强硬，一再威胁下午两点如查账未到，那么对我个人产生的所有负面影响需要</t>
  </si>
  <si>
    <t>2019/10/09 12:47:22</t>
  </si>
  <si>
    <t>招商银行的移动支付天天有惊喜活动，虚假宣传，活动宣传与实际不符，宣传的是累计188就可以抽奖，但是我在9月24日上午10点左右就使用了100元，在没有达到消费门槛的情况下就可以抽奖了，导致我后面转的188元没有办法抽奖，后来客服说帮我反馈，十几天了只发了个受理短信，截止到目前都没有人联系我处理问题，极其恶劣。</t>
  </si>
  <si>
    <t>2019/10/09 12:47:16</t>
  </si>
  <si>
    <t>我2019年6月底在南充华夏普惠公司贷款79000元，作为周转，结果合同金额为121729.20元，除去服务费手续费最后到我手上70000多一点，由于最近经济出现问题，导致这期逾期了，一个手机号为131******21的工作人员找我催收，说如果我昨天不还钱，就威胁我，会一直骚扰我朋友，结果昨天到今天多次威胁跟我通过话的人，，告诉他们我拿他们手机号作为紧急联系人，并告诉他们如果不给我说叫我去还这期的钱，就会一直骚扰他们，还骂人，。</t>
  </si>
  <si>
    <t>2019/10/09 12:47:10</t>
  </si>
  <si>
    <t>刚开始下单的时候打电话说最快当天下午就可以发货，过了两天说六号七号发货，现在又说官网没发布，等官方发布才能发货，在线客服直接结束通话，客服一直排队要排几天，如果不租当时你可以直接退款，现在一直回避电话打不通，我都等了十几天了，什么时候给我发货。</t>
  </si>
  <si>
    <t>2019/10/09 12:47:01</t>
  </si>
  <si>
    <t>智享货你那些套路货，砍头息，高利贷我就不想多说了，不行，还得再套路你一下！准时还了款了几期，昨天有一笔到期，晚上11点下班就把钱存进还款卡里，还了几次款，弹出还款不成功，我开始以为钱没存进卡里，我还特意微信充值一下确认卡里有钱没，再提现到还款卡，然后几次还款还是失败，我想到了打客服电话，点知10点过后就没了人工客服，今天催收给我打电话说我逾期了要多收逾期费，恐吓，威胁我半小时内还款，及货平台智享货可以为非作恶，欺压、残害百姓，严重破坏经济、社会生活秩序，非法经营等的组织，感谢聚投数可以让我发声，支持聚投诉！</t>
  </si>
  <si>
    <t>2019/10/09 12:46:33</t>
  </si>
  <si>
    <t>投诉人方先生投诉对象骑呗科技涉诉金额100元问题类型诉求类型投诉详情9月30号我去分期摩托车用了这个骑呗，他们要收取100的办单费，说是审核没通过会退还给我，结果他们一直以国庆假期为由，一直推脱，不给我我退款，这就是赤裸裸的敲诈行为，希望各大网友不要用这个东西来分期，真的很坑。</t>
  </si>
  <si>
    <t>2019/10/09 12:45:56</t>
  </si>
  <si>
    <t>大众彩票诱导下载其app承诺新人下载给18红包。</t>
  </si>
  <si>
    <t>2019/10/09 12:44:07</t>
  </si>
  <si>
    <t>乱发我照片恐吓我威胁我希望有关部门好好调查。</t>
  </si>
  <si>
    <t>2019/10/09 12:43:55</t>
  </si>
  <si>
    <t>投诉人王玉投诉对象拍拍贷涉诉金额3500元问题类型诉求类型投诉详情他们打电话威胁恐吓，甚至威胁我和我家人的生命，我有录音保存通话记录作为证据，现在利用我的照片做头像在微信等平台发布不良消息，对我的人身和名誉造成了很严重的威胁，还有更多的证据我可以随时提供的。</t>
  </si>
  <si>
    <t>2019/10/09 12:42:54</t>
  </si>
  <si>
    <t>由于资金周转不开在闪电借款平台借了款！后来一直是以还了借，借了还以贷养贷恶性循环中度过！近期实在无法承受高额利息停止这样借款！顾无法偿还本次闪电借款！休息时我看了一下平台反复借贷高大10万元我的额度是7000每次借款都需要购买2000左右的会员卡就是也就是砍头息！到手5000期限是50天！也就是如果这样反复借款一年的利息就要付14000元这样的利息高的吓人无法承受了！近期催收人员开始催收！态度强硬威胁骚扰通讯录电话！以严重违反国家法律！希望国家的平台能维护一下我们的权益！严厉打击！。</t>
  </si>
  <si>
    <t>2019/10/09 12:42:28</t>
  </si>
  <si>
    <t>慧金宝敏付技术有限公司本人被引诱到一个网站充值入金2万五千多，后来发现是网络赌博平台，通过了解得知并非正规的购彩网站，是有后台操控的一个违法平台，另外通过中国人民银行和支付清算协会沟通得知第三方支付业务应审核客户的相关信息，第三方支付公司不得向证券、期货、博彩等机构提供支付结算业务，为违法违规机构平台提供支付结算通道作为有牌照的支付公司没有履行国家相关法律法规要求，根据银行流水查到资金是通过敏付科技和银生宝支付公司支付的，以在线银联支付方式，希望有工作人员能够联系，要求第三方支付机构退回被扣款项以下提供部门</t>
  </si>
  <si>
    <t>2019/10/09 12:42:27</t>
  </si>
  <si>
    <t>你我贷逾期，暴力恐吓，不给协商、还威胁说要都联系一遍，你敢联系我就敢投诉到底、录音截图都以保留。</t>
  </si>
  <si>
    <t>2019/10/09 12:42:22</t>
  </si>
  <si>
    <t>老师也联系不上，学费已经缴纳，课程也乱七八糟，习题，练习题都没有。</t>
  </si>
  <si>
    <t>2019/10/09 12:41:59</t>
  </si>
  <si>
    <t>立借,徽商银行,深圳市大地信通担保有限公司，借款时未经借款人允许改合同，没有展示合同，想取消借款联系不上客服，借14000分3个月到还19600，利息5600，利息高出国家年利率几倍有余！与平台协商归还本金，平台拒绝协商，并电话威胁，爆通讯录，严重违法行为！。</t>
  </si>
  <si>
    <t>2019/10/09 12:41:18</t>
  </si>
  <si>
    <t>投诉人 刘女士        投诉对象  蜜瓜钱包        涉诉金额  0 元    问题类型    诉求类型投诉详情  app上不去卸载就在不了了 造成我的逾期 客服不联系我 我也找不到客服 钱在卡里也不扣</t>
  </si>
  <si>
    <t>2019/10/09 12:40:07</t>
  </si>
  <si>
    <t>国银盛达,柠檬金服,河南省和平车行有限公司，我没有向该公司有过贷款，或者抵押贷款，还有担保等金额交易业务。</t>
  </si>
  <si>
    <t>2019/10/09 12:39:18</t>
  </si>
  <si>
    <t>投诉人 姚先生        投诉对象  钱橙无忧,深圳市恒富融创科技有限公司        涉诉金额  112 元    问题类型    诉求类型投诉详情  私自扣费，醒来就有这个短信了。我都不知道什么时候弄的</t>
  </si>
  <si>
    <t>2019/10/09 12:38:59</t>
  </si>
  <si>
    <t>莫名其妙被扣298，提醒都没有，说免费体验3天，我才用了一天就卸载了，就莫名其妙的把钱给扣了。</t>
  </si>
  <si>
    <t>2019/10/09 12:38:56</t>
  </si>
  <si>
    <t>投诉人 孙先生        投诉对象  乐意花,海尔消费金融        涉诉金额  14 726 元    问题类型    诉求类型投诉详情  借了一万，一年还了14726.4元。 年利率接近50% 已经是高利贷了</t>
  </si>
  <si>
    <t>2019/10/09 12:38:49</t>
  </si>
  <si>
    <t>本人于4月在玖富申请6400，现在一次性结清，后来分期手续费本人主动进行协商，协商结果420给手续费，6号申请，10号还款日，现在9号玖富集团一直未与本人联系，本人多次联系玖富客服，未果，并与工号804022人员进行求助一直得不到回复，现要求玖富马上与我联系，给我公号进行打款，并且对该客服进行适当的二次培训。</t>
  </si>
  <si>
    <t>2019/10/09 12:38:18</t>
  </si>
  <si>
    <t>本人2016年在平安惠普借款5200元，从2016年1月开始直到今天为止一直都已最低还款的方式还款，虽然这个是本人的自愿原则，但是为什么平台的最低还款每个月都没有减出利息之后的款，希望平台作出合理的解释，因为我这三年来的最低还款金额远远超出了本金，这是高利贷啊，每个月还158元左右，而且没有减部分本金，如平台不做出任何解决方案，本人将从下个月停止还款。</t>
  </si>
  <si>
    <t>2019/10/09 12:38:14</t>
  </si>
  <si>
    <t>前段时间资金周转不过来，逾期了同程提钱游的还款，本人未接到任何催收电话的情况下直接打电话到紧急联系人与通讯录里好友，且是连续打的，。</t>
  </si>
  <si>
    <t>2019/10/09 12:37:46</t>
  </si>
  <si>
    <t>借1000套路我买200元什么黑卡，说什么买黑卡返现，发红包，也没见什么返现，在我不知情下等于借800元50天后还1050，已经踏国家的红线，高利贷，套路贷。</t>
  </si>
  <si>
    <t>2019/10/09 12:37:15</t>
  </si>
  <si>
    <t>在钱站借款300元分三期还，合同上却写着450元，还了一期，还剩二期没还，现在平台上面却显示借款变成26期，而且每月还有100元的违约金，私自更改借款期限，要求实际解决问题，不然就只有报案处理了。</t>
  </si>
  <si>
    <t>2019/10/09 12:36:53</t>
  </si>
  <si>
    <t>去哪儿网设置了退票按钮，我在未出票情况下进行退票操作，但按钮多次无响应，客服电话说尝试拦截，但最后等到出票无法进行退票操作，请问如果设置了退票按钮，且在未出票的情况下，为何不可使用，这样的设置明显就是欺骗消费者，造成的损失需要消费者自行承担，不合理。</t>
  </si>
  <si>
    <t>2019/10/09 12:36:47</t>
  </si>
  <si>
    <t>同程百旅会，是2016年12月办的，想元旦出去旅游，同程销售人员就极力推荐入会，说以后任何旅游都可以用，每次旅游都可以抵扣，就那次旅游，一万多的的境外游用了300多积分，进团后发现其他团员不是会员、还有从其他形式报名的都比我们报的便宜，本想着算了用完积分得了、现在还有1609的积分，后来线路特别少，很多旅游不能用积分，现在就是几处旅居，仅有的少量积分抵扣项目比其他旅游平台高很多，积分商城里的物品更是价格高于市场，除去积分抵扣价格也高于市场价，现在的旅游线路还得经申请才能抵扣50分，那我剩下32次、以每年出游</t>
  </si>
  <si>
    <t>2019/10/09 12:35:27</t>
  </si>
  <si>
    <t>正儿八经的抢钱，高利贷，砍头息，还款还不销账！！都什么年代了…这种垃圾公司还能存活，非曝光你们，联名投诉，将利用腾讯，新浪微博，百度等等曝光你们…。</t>
  </si>
  <si>
    <t>2019/10/09 12:35:24</t>
  </si>
  <si>
    <t>投诉人 汪先生        投诉对象  杭州乐客网络科研有限公司        涉诉金额  9 800 元    问题类型    诉求类型投诉详情  支付宝转账8800 微信转账1000共计9800元</t>
  </si>
  <si>
    <t>2019/10/09 12:35:08</t>
  </si>
  <si>
    <t>今天卡卡贷又说这笔费用是西安鸿飞扣的风险费。</t>
  </si>
  <si>
    <t>2019/10/09 12:34:33</t>
  </si>
  <si>
    <t>10月5日，银行短信通知扣除银行卡内299元，扣款商户为携趣信息科技，有限公司，清楚记得在填写资料时完全没有任何提示需要扣费的条款，只是用抵用券就行，如今拇指下款APP全线下架，拨打客服电话那边也是拖延说什么过半个月才能申请退款，客服电话：029-68280977奇怪的是扣款商户为：携趣信息科技。</t>
  </si>
  <si>
    <t>2019/10/09 12:34:11</t>
  </si>
  <si>
    <t>作为一法律服务公司为网络借贷平台催收，而且所发法律文件借款合同金额不实！威胁借款人上法庭及上门！两个月来已连续发两条不实法律文书，已对本人及父母生活上造成严重影响！望国家对安徽中融法律服务有限公司调查取证，停止对本人及家人骚扰，做出道歉及合理赔偿！取消其公司法律服务资质！。</t>
  </si>
  <si>
    <t>2019/10/09 12:34:10</t>
  </si>
  <si>
    <t>投诉人朱先生投诉对象现金巴士涉诉金额300元问题类型诉求类型投诉详情8月13号在现金巴士借款1000元，实际到帐812元，本应9月13号还第一期，共三期，后来我忘掉了，期间没有收到任何通知电话，今天早上接到客服电话之后就上app查看，逾期费高达130多远，想协商减免没同意，后又想全额结清812的本清，加两个月的利息48远，愿意接受国家法律规定最高百分之三十六的最高利率，共计870远，但客服人员还是不同意，还威胁后果自负。</t>
  </si>
  <si>
    <t>2019/10/09 12:33:53</t>
  </si>
  <si>
    <t>华夏保险在国家出台的贷款规则里面，还联合小黑鱼点心贷，捆绑保险，国家明文规定，贷款不得捆绑保险，他们仍然顶风作案，做吸血鬼，借款2000他们居然敢收500保险，帮助小黑鱼收取高额砍头息，实际到账1500，一个月还2060左右，月利息好达25%，昨天致电话华夏人寿，要求退还保险费用，保险都有反悔期，他们也不退，而且没后续回返，请平台尽快曝光这种黑平台，都是大公司，尽快取缔罚款，让他们长点记性。</t>
  </si>
  <si>
    <t>2019/10/09 12:33:41</t>
  </si>
  <si>
    <t>本人10月6日在白条分期填写资料完成后显示有5000左右额度，让我购买vip服务，才能继续申请，我花249购买合vip后，出来一些贷款平台，让我申请，我当天就申请了3个显示被拒，我提出退vip费用，让我填写被拒图片等信息申请退款，我照做了，说一到二个工作日帮我处理，今天是最后处理工作日，然而又显示审核不通过不退。</t>
  </si>
  <si>
    <t>2019/10/09 12:33:21</t>
  </si>
  <si>
    <t>本人2019年10月5号在随手记里面的贷款福贷借款6500元，于10月8日中午11点给我下款了，到账我银行卡后立刻又扣了我两次钱，合计1300，后续我打客服电话打不通，我用软件的在线客服问了后，跟我说是什么保障金跟会员费，其中一笔975会员费是一个名叫烈银权益收费的，其实这就是变相增加利息，相当于我借款5200，分12期要还7800多，当时我就问客服不借了，客服说让我按时还款，不能直接退还，希望聚投诉帮我追我我的砍头息，正常还款，谢谢。</t>
  </si>
  <si>
    <t>2019/10/09 12:33:07</t>
  </si>
  <si>
    <t>我在2019年9月15日向：“我注册了聚富分期，想看看自己的借款额度，跳转出界面绑定了银行卡，结果他自动扣款，说生成了一个风险评估，在消费者并不知情的情况下，我认为所有的消费都应该是经过本人的允许才能进行。</t>
  </si>
  <si>
    <t>2019/10/09 12:33:06</t>
  </si>
  <si>
    <t>投诉人 朱先生        投诉对象  天津银行        涉诉金额  20 000 元    问题类型    诉求类型投诉详情  买房子按揭需要该银行的结清证明！！！！！</t>
  </si>
  <si>
    <t>2019/10/09 12:32:03</t>
  </si>
  <si>
    <t>网贷APP百事普惠未经过本人同意的情况下，恶意从银行卡内扣款299元，贷款申请并没有成功，打客服电话要求退款，客服坚决不予退款，要求百事普惠退还从银行卡私自款的钱。</t>
  </si>
  <si>
    <t>2019/10/09 12:31:56</t>
  </si>
  <si>
    <t>本人使用交通银行信用卡，突然被封卡导致资金不足逾期，多次和交通工作人员协商分期还款，但都被拒绝，收入5000左右，但是每个月交通银行最低还款5000多实在无能力处理最低还款，交通银行工作人员多次骚扰家人，对象现在也和我分居，今天交通银行又打电话，我说协商还款不同意态度十分恶劣，随后就接到亲戚朋友电话，通讯录已经被爆了，在国家明令禁止的情况下交通银行依然我行我素，不顾国家法律！我会通过聚投诉来维护我的合法权利！逾期一个月2000多利息和违约金，实在偿还不起！希望能挂牌停息！。</t>
  </si>
  <si>
    <t>2019/10/09 12:31:12</t>
  </si>
  <si>
    <t>逾期才7天就开始发短信打电话骚扰来微信暴力恐吓。</t>
  </si>
  <si>
    <t>2019/10/09 12:30:18</t>
  </si>
  <si>
    <t>我是在支付宝借呗借了1000块钱，因为现在要买房子贷款，所以要求支付宝给我开具证明，迟迟不给我开，每次打电话都是让我耐心等待，打了无数个电话了，真的，我也还了，为什么不给我开具证明，每次都要加急了，银行也催我，中介也催我，支付宝就是一直让我耐心等待，正在开具，一点都不合理，也不看看什么事，我知道，支付宝财大气粗，但是如果还不给我解决，我会用法律的武器来保护自己，也希望支付宝能做个调整，分清什么事，以后不会再用支付宝了。</t>
  </si>
  <si>
    <t>2019/10/09 12:30:15</t>
  </si>
  <si>
    <t>科技宽带多收我90元，然后说退款给我，我8月22号提交，他们说要一个月才能退款，要到9月22号，然后我等到9月22号，他们又说要到9月底，现在又说要到国庆后，就是明摆的骗人，我要求他们立马退款道歉。</t>
  </si>
  <si>
    <t>2019/10/09 12:30:04</t>
  </si>
  <si>
    <t>骚扰到别人，一天十几个电话，不停的打通讯录。</t>
  </si>
  <si>
    <t>2019/10/09 12:29:56</t>
  </si>
  <si>
    <t>保证金退款最后一笔订单3个月已满，目前状态为：退还保证金申请审批中，但是今日头条公司为给我们发终止协议，多次给他们去电也不接。</t>
  </si>
  <si>
    <t>2019/10/09 12:29:33</t>
  </si>
  <si>
    <t>本人在一个月报的师大教育，结果一个月下来发现自己对那些课程很难理解，所以打算就读全日制学校，所以向班主任提出退学，结果班主任一直避开这个话题，到后来直接不回信息了。</t>
  </si>
  <si>
    <t>2019/10/09 12:29:32</t>
  </si>
  <si>
    <t>2019年9月10日借款14000元，分三期还完，第一期6486.01，第二期6486.01，第三期6487.98，一共待还19460元，三个月利息5460元，对此高利贷，现要求提前按原金额还清，不然准备向相关部门投诉报警立案。</t>
  </si>
  <si>
    <t>2019/10/09 12:28:45</t>
  </si>
  <si>
    <t>9月29号下午在货拉拉平台接了一单从江门到广州的订单，金额为291，送完货之后客户说确定一下稍后会在货拉拉平台上支付，但是一直都没有支付电话也不接，找货拉拉平台就一直说也联系不上客服，既然你们推出这样的平台，现在客户不支付运费，不应该是平台的责任吗。</t>
  </si>
  <si>
    <t>2019/10/09 12:27:35</t>
  </si>
  <si>
    <t>投诉人 李女士        投诉对象  Wecash闪银        涉诉金额  600 元    问题类型    诉求类型投诉详情  暴力催收，威胁。试图协商还款，催收态度恶劣拒绝。</t>
  </si>
  <si>
    <t>2019/10/09 12:27:00</t>
  </si>
  <si>
    <t>招联金融催收暴力，语言恐吓，未经本人允许擅自联系其他人。</t>
  </si>
  <si>
    <t>借款一个月，要委托代收600，借2300，一个月还2938。</t>
  </si>
  <si>
    <t>2019/10/09 12:26:50</t>
  </si>
  <si>
    <t>因为我现在房贷需要一份支付宝借呗的结清证明，但是我9月28号就开始诉求结清证明了，每次客服都说帮我催，但是半个月了，现在结清证明我还是没有收到，银行不放款，我万分着急。</t>
  </si>
  <si>
    <t>2019/10/09 12:26:39</t>
  </si>
  <si>
    <t>投诉人张先生投诉对象马上消费金融涉诉金额8000元问题类型诉求类型投诉详情这边谁给我的短信请给我朋友道歉，还有我欠了10756你告诉我朋友20000多是什么意思，什么时候道歉了啊，什么时候给你，还有我主动还，跟你业绩没关系！号码是这个17605609953我保存了。</t>
  </si>
  <si>
    <t>投诉人崔先生投诉对象Wecash闪银涉诉金额2110元问题类型诉求类型投诉详情我人住院了，那个催收非要叫我马上还钱，我说等两天出院去处理，她就是不答应，我又没说我不还，非要叫我马上处理，本来就是高利贷，还一点道理都不讲。</t>
  </si>
  <si>
    <t>投诉人毛女士投诉对象钱站涉诉金额42000元问题类型诉求类型投诉详情本人在2018年12月10号在钱站“爱钱进"平台申请贷款3万元分期12期还款，在我不知情的情况下给我到账36000，以收取手续费，保险费为由，.平台又进行自助划扣6000元.后又在我不知情的情况下扣除2600余元保险费，等于我在该平台了本金只贷了2万7不到，该平台高额砍头息，要求该平台退还收取不合理的费用！。</t>
  </si>
  <si>
    <t>投诉人李先生投诉对象信用管家涉诉金额2625元问题类型诉求类型投诉详情本人8月25日在信用管家里面神马借申请3000元，结果到账2625元，并且分4期，每期十天，每期需还款896元，有高额的砍头息，利息！还款2期后，App无法正常还款，造成高额逾期，现在已经好些天了，无法联系客服！5天前，有个网络电话打过来说是神马贷的，我就和她沟通这件事，她说她只负责通知还款，然后挂掉电话，今天早上又接到她们电话，问我还款不还，我要求他们协商违约金免除，利息减免，她就挂掉电话，然后验证码短信和语音通话轰炸我！还联系我通讯录</t>
  </si>
  <si>
    <t>2019/10/09 12:25:57</t>
  </si>
  <si>
    <t>高利贷借款22000要还30000块钱合同上面写利息7.2%实际35.9%，每个月还本金科学实际利息高达102.5%，提前还款还是照样付利息，望有关部门核实情况。</t>
  </si>
  <si>
    <t>2019/10/09 12:25:39</t>
  </si>
  <si>
    <t>投诉人张先生投诉对象嘉盈顺涉诉金额50元问题类型诉求类型投诉详情无缘无故偷偷扣我50块钱，你们没经我同意扣我的钱已经涉嫌违法。</t>
  </si>
  <si>
    <t>2019/10/09 12:25:28</t>
  </si>
  <si>
    <t>发信息骂人，说p图群发众筹，有没有这样的人，不是不还，在想办法解决，催收就这样。</t>
  </si>
  <si>
    <t>2019/10/09 12:24:24</t>
  </si>
  <si>
    <t>天下信用联合如期分期收取高额砍头息，借款8200，到账号扣除两笔风险评估费，一笔779元，一笔410元，共1189元，这样到手是7011元，每个月却要还811.54元，12个月就是还9738.48元，利息2727.48元，本人认为这个风险评估费为捆绑销售，我要求退回这个风险评估费。</t>
  </si>
  <si>
    <t>2019/10/09 12:24:17</t>
  </si>
  <si>
    <t>捷信这边跟我好说好商量，那边直接去爆我通讯录，我目前电话准时的一天三个，我朋友跟我反应，也每天收到电话，生意失败暂时无法偿还贷款，希望给时间筹集，本人想还钱，谁都不想被人指鼻子骂！不是迫不得已谁都不想欠别人钱，希望停止骚扰亲朋好友，给些时间筹集资金。</t>
  </si>
  <si>
    <t>2019/10/09 12:24:11</t>
  </si>
  <si>
    <t>昨天工作忙的比较晚，忘了还款，结果发现一个不到600的账单，一天的逾期费用将近100块钱。</t>
  </si>
  <si>
    <t>2019/10/09 12:22:57</t>
  </si>
  <si>
    <t>国庆期间，报名参加张家界美程国际旅行社有限公司的4天4晚，，宣传PDF上的价格是1480元，可是旅行社的销售人员以国庆黄金周为由，每人加200元，在这个事情上我认为受到了严重的欺骗行为，严重的与宣传不符，1、10.3日行程开始，销售承诺住的是忘不了山顶民宿，可到了酒店发现不是，我问了导游，导游说黄金周有住的就不错了，说那家山顶民宿满了，这个民宿和那个是一样的，后来就住在这里了，在这件事情上和销售承诺不符，，下午4点多我们团一行人逛完就出来了，看到我们出来，这时候导游怒了，对我们发火，说你们在外面晒着干嘛，到</t>
  </si>
  <si>
    <t>2019/10/09 12:21:44</t>
  </si>
  <si>
    <t>在拍拍贷的借款全部结清了，但是每个月都还有账单和罚息，如不还进去打电话骚扰我的朋友，我和客服沟通多次，我有拍拍贷借款APP上找不到我的借款纪录，和拍拍贷官网也找不到，我要求客服把我的借款和还款纪录调出来，客服回复，也查不了，已经投诉两个月无结果。</t>
  </si>
  <si>
    <t>2019/10/09 12:21:38</t>
  </si>
  <si>
    <t>下单的iphone11当时价格5099，拿到手6号晚，还没几天哪。</t>
  </si>
  <si>
    <t>2019/10/09 12:21:26</t>
  </si>
  <si>
    <t>9月12日用车，因车辆电池虚标，车况质量差而导致车辆无法行驶，最后距离目的地充电网点2公里处车辆无法行驶，需要拖车，产生拖车费200元，多次致电复述事件经过，无答复，evcard公司一直踢皮球，无下文，还以非车辆质量问题辩解！强烈要求有人马上处理！。</t>
  </si>
  <si>
    <t>2019/10/09 12:21:14</t>
  </si>
  <si>
    <t>本人10月1日在京东英强科技专营店购买了一套2600Xcpu主板套装，10月4日快递到家安装时，主板灯显示内存条dram过不了检，电脑屏幕没有任何显示，起初以为是内存问题，拆机了其他电脑的同品牌的2根内存条测试之后依旧过不了检，认为可能是品牌问题，从京东上从新下单了2根新的海盗船内存条，第二天新内存条到家，经过测试依旧没法过检，把新到的内存条插入自己之前老的电脑上是可以用的，所以判断非常大可能问题出在主板上，找到商家，商家让我们把主板和内存条寄回检测，没问题的话可以换货，因为时间问题我这边不太愿意拖时间，所</t>
  </si>
  <si>
    <t>2019/10/09 12:21:07</t>
  </si>
  <si>
    <t>我来贷超高利息超高逾期费用暴力催收套路贷，年化利率远超国家法定利率，逾期收取超过40%逾期费用，暴力催收，非法联系通讯录好友，希望平台调整利率停止骚扰。</t>
  </si>
  <si>
    <t>2019/10/09 12:20:38</t>
  </si>
  <si>
    <t>本人有一张信用卡，之前把卡借给朋友，朋友一直使用，到最后我才知道没有还款，产生这些问题，我把卡从我朋友那儿拿回来，我在还，可是我手里没那么多钱，就还3000多吧，然后一直利滚利又涨上去了，前两天有个说是建设银行委托方给我打电话说让我还款，我说行，，然后今天刚发工资，我就还了1500因为我上了10多天班没发多少工资，然后我和她说我也借真周转不上了，能还个5千左右，然后她就恐吓我说要找调查组，去家里到工作单位去调查，如果这样我工作丢了。</t>
  </si>
  <si>
    <t>2019/10/09 12:20:30</t>
  </si>
  <si>
    <t>投诉人 徐立军        投诉对象  交通银行信用卡        涉诉金额  8 000 元    问题类型    诉求类型投诉详情  今天没有联系我，和我协商，直接联系我家人。</t>
  </si>
  <si>
    <t>2019/10/09 12:20:23</t>
  </si>
  <si>
    <t>我于2019年9月10号在贷上钱平台借款2000元，，本人没有在该平台买任何东西，也没有收到任何东西，2019年10月10号发现还款写我需要还款2560元，。</t>
  </si>
  <si>
    <t>2019/10/09 12:20:07</t>
  </si>
  <si>
    <t>小象优品我借款逾期三天就打电话态度恶劣威胁我，还爆我通讯录打电话到我单位骚扰我父母，我苹果手机录音功能我还找不到不然录音下来了，给我生活带来严重影响精神上也崩溃了。</t>
  </si>
  <si>
    <t>2019/10/09 12:19:58</t>
  </si>
  <si>
    <t>早上登录工行手机银行客户端，发现被广东银联分公司莫名其妙的扣钱了，一个个打电话去询问结果中国银联告诉我广东银联分公司不是他们的下属机构，从银行到相关公司，一个个打电话去询问，结果中国银联告诉我广东银联分公司不是他们的下属机构，不是你下属机构怎么挂你牌子，开展你的业务的，还堂而皇之的从银行系统里面调取客户银行卡进行扣款。</t>
  </si>
  <si>
    <t>2019/10/09 12:19:17</t>
  </si>
  <si>
    <t>10月5日左右钱包借款，上面借款金额是2207元到账只有1430元砍头息800块，之前没注意，今天准备还款了发现到账少了这么多，完全属于高利贷套路贷，经济困难实在承担不起高额的套路头息，明天还款日，不准备欠钱不还，请聚投诉平台监督协商归还合理的本金和利息，不然只有通过法律途径解决维权了。</t>
  </si>
  <si>
    <t>2019/10/09 12:19:07</t>
  </si>
  <si>
    <t>本人于2019.8.12在钱站申请一笔3000元贷款，当时没有注意看请合同，明明借款3000合同却显示借款4200.平台却没有告之，分明是存在欺骗，现在借3000元却要还款4440.这是多少利息，国家现在大力打击这些平台，为何钱站还是可以顶风作案，国家真的任由这些变相高利贷肆无忌惮吗，现在我希望借贵平台帮我处理一下，偿还本金与本金产生的利息。</t>
  </si>
  <si>
    <t>2019/10/09 12:19:04</t>
  </si>
  <si>
    <t>高利息，本金还玩利息都还咯2000多还有400多利息，希望能把剩下的4000多处理一下。</t>
  </si>
  <si>
    <t>2019/10/09 12:18:27</t>
  </si>
  <si>
    <t>网卡猫平台恶意扣款在不知情的情况下，要求旺卡猫退款。</t>
  </si>
  <si>
    <t>2019/10/09 12:17:33</t>
  </si>
  <si>
    <t>投诉人 李女士        投诉对象  捷信金融        涉诉金额  17 000 元    问题类型    诉求类型投诉详情  捷信公司冒充法务部的人员 暴力催收 恐吓 骚扰我家人和亲戚朋友 违法查询我通讯录 对我生活带来严重影响</t>
  </si>
  <si>
    <t>2019/10/09 12:17:27</t>
  </si>
  <si>
    <t>今天上午，催收人员发信息威胁我，后来微信发语音，态度极其恶略，还说要收拾我。</t>
  </si>
  <si>
    <t>本人在2019年8月9号在钱站申请了一个5000元贷款，但是合同上金额是9000，现在已经还款两期了，第三期逾期两天，一天逾期费就高达93元，我现在需要调整合同金额，调整利息。</t>
  </si>
  <si>
    <t>2019/10/09 12:17:21</t>
  </si>
  <si>
    <t>玖富万卡利息高的比本金还多，借款14000元已经还了11000元还需要还17500元，无法接受这么高的利息，本人现在只想结清剩余本金如果玖富万卡不同意那本人就没法还了，如果玖富万卡催收骚扰本人通讯录本人连本金都没法还了。</t>
  </si>
  <si>
    <t>2019/10/09 12:17:12</t>
  </si>
  <si>
    <t>说是7天实际上就6天，而且APP不显示什么逾期费用，但是每天十块多的逾期费，前后从卡里扣了一千多块钱还不给销账，催收说我是专业撸贷的，还说什么要让我成老赖。</t>
  </si>
  <si>
    <t>2019/10/09 12:16:24</t>
  </si>
  <si>
    <t>微粒贷威胁恐吓借款人，借款人一直在跟总部协商，每个月有还款，催债人不理会。</t>
  </si>
  <si>
    <t>2019/10/09 12:16:22</t>
  </si>
  <si>
    <t>赤裸裸的高利贷，砍头息，华夏银行给做护盾，我在9月5号于钱站借了4000元，合同金额却是5320元。</t>
  </si>
  <si>
    <t>2019/10/09 12:16:01</t>
  </si>
  <si>
    <t>借款17800元，还款金额24200元，高额利息余最后2期，3700元，要求销账结清。</t>
  </si>
  <si>
    <t>2019/10/09 12:15:47</t>
  </si>
  <si>
    <t>本人于2019年4月在小乔优选借款平台借款6020元，分期还款，剩余最后一期，小乔优选平台自身的问题导致无法还款，逾期利息却一直在叠加，望相关部门处理。</t>
  </si>
  <si>
    <t>2019/10/09 12:15:46</t>
  </si>
  <si>
    <t>本人在51人品贷借款28300元分12期每期还款2839.43元，其中第一期还4820.43元已经还款9期以还清本金，目前逾期1天，该平台有巨额服务费及超过国家标准的高额利息包括旗下51即刻有，，因本人资金困难提前给该公司总部去电说明情况，并答应在15号之前结清全部尾款并承担罚息，但该公司在能联系到我的情况下还是打给我父亲，妻子进行骚扰和恐吓，拒不接受协商，导致现在生活紊乱，精神压力大，并同时现在还在威胁我要继续爆我通讯录，。</t>
  </si>
  <si>
    <t>2019/10/09 12:15:38</t>
  </si>
  <si>
    <t>阴阳合同，暴力催收，3000元合同4200分3期一期1480还了2期，还有40块钱本金。</t>
  </si>
  <si>
    <t>2019/10/09 12:15:28</t>
  </si>
  <si>
    <t>买了财神黑卡360元，显示额度抢完了，联系客服联系不上，明显被套了，我现在要求退回360。</t>
  </si>
  <si>
    <t>2019/10/09 12:14:55</t>
  </si>
  <si>
    <t>9月25号退票，一直到今天都没到账，联系客服一直说2-5个工作日，今天等明天等反正就是让耐心等。</t>
  </si>
  <si>
    <t>2019/10/09 12:14:46</t>
  </si>
  <si>
    <t>本人在信而富平台借款，每次借款都要买会员，一买就是好几百，而买的东西都不是实物，等于是砍头息，现在要求退还我所有的购买的会员费用，请聚投诉帮忙。</t>
  </si>
  <si>
    <t>2019/10/09 12:14:30</t>
  </si>
  <si>
    <t>原本通过飞猪预定的泰国普吉岛安纳塔拉拉扬酒店，后被告知不能入住，赔付首晚房费，现价格跟原价格差距太大，不同意卖家方案要求原单入住，现卖家不能提供原房间，要求根据消费者权益保护法退一赔三。</t>
  </si>
  <si>
    <t>2019/10/09 12:14:10</t>
  </si>
  <si>
    <t>涉嫌高利贷砍头息，希望能处理属于714高炮。</t>
  </si>
  <si>
    <t>2019/10/09 12:14:05</t>
  </si>
  <si>
    <t>快闪卡贷超高利息，砍头息，借款1万，到账8417.63元，分期6个月，每个月固定还款2006元，1万块6个月一共还款12036，逾期费用很高。</t>
  </si>
  <si>
    <t>2019/10/09 12:14:03</t>
  </si>
  <si>
    <t>拍拍贷需要还款200多元，写着1.月4号还款，结果说我违约35天，而且本金一共200多元，违约金要50多元，这个利率我怎么算都不会算了了啊，年化190%?而且现在看不到借款信息，根本就不知道自己本金和利息是多少，如果不说清楚，是不会处理的。</t>
  </si>
  <si>
    <t>2019/10/09 12:13:21</t>
  </si>
  <si>
    <t>投诉人 蔡慧真        投诉对象  宝付支付        涉诉金额  3 393 元    问题类型    诉求类型投诉详情  未曾与宝付公司了解。毫不知情却被无缘无辜扣款</t>
  </si>
  <si>
    <t>2019/10/09 12:13:14</t>
  </si>
  <si>
    <t>平安普惠i贷工作人员在我开会期间连续打电话，导致我的手机震动后从桌子上摔下，坏了，我联系他们工作人员没有任何想协商处理的态度，最近几天就收到各种这样的短信！请给合理的解释！。</t>
  </si>
  <si>
    <t>2019/10/09 12:13:08</t>
  </si>
  <si>
    <t>趣花分期借了7600，6期要还8900多，已还完本金，并且借了几次7600，现在债务转到另外一个公司要求还本金，已经还完本金，高利贷，利息借了几次也够本金了吧，并且最后一次也还完本金，剩余一期是利息，如果不同意销账，那么按你们说的办，法院见吧！。</t>
  </si>
  <si>
    <t>2019/10/09 12:12:06</t>
  </si>
  <si>
    <t>抱金猪我昨天还款日，有电话打进来说什么优质客户减免活动，还说给我减了多少，20点前还款有效，我前两次还款不顺利，对方自动划扣一直无法得出结果，我主动还款也是一样，造成我两次逾期，对方专员和我联系后，这次还款比之前要少了20多块，但是昨日还款出现新情况，我无法进入抱金猪app以及链接网页，所谓客服电话和人工客服依然联系不上！今天早上9点有机器人电话进来说，两小时内我还款不影响我的还款情况，但是我尝试多次，连还款都没入口，合同都没，依然无法还款，客服电话依然打不进，人工客服永远连接不上！希望对方尽快与我联系，而</t>
  </si>
  <si>
    <t>2019/10/09 12:10:26</t>
  </si>
  <si>
    <t>本人在2019年9月8号在轻周转平台芒果筹借款2800元，到账2800元，本次借款周期32天，每8天还款一次，每次1022.4元，借款2800元，32天的时间一共需要还款4089.6元，这已经达到了超利贷，明显超出国家规定的合法合规的利息，本人已经按时还款了3期共计3067.2元，有保留所有的流水证据跟记录，本人现有实际困难，希望贵平台协商直接消除最后一期的账单，还有每到还款日就有021开头的电话威胁骚扰！本人跟家人已经鸡犬不宁了，希望贵平台能帮忙减免最后一期，本人不排除往其他更高一级的平台投诉，或者去公安</t>
  </si>
  <si>
    <t>2019/10/09 12:10:21</t>
  </si>
  <si>
    <t>立刻出行承诺最后用车20工作日后可提交退款申请，5到10工作日到账，我9月17日提交申请，至今客服电话仍然无人接听，人去楼空，强烈要求马上处理！给出合理回复！。</t>
  </si>
  <si>
    <t>2019/10/09 12:09:31</t>
  </si>
  <si>
    <t>涉诉金额720元问题类型诉求类型投诉详情安逸花恶意扣款，本人用安逸花已经有三年时间，一直以来按时还款，从未逾期，近期发现一笔160元的欠款，除了利息以外居然要我还180多，点开偿还记录，居然发现每个月扣我20元还款包，还有人寿服务计划20几块，最近又多了个保证金，打给客服沟通无果，一口咬定客户自己点击的概不退款，我问他们如果客户自己点击的那应该也自己可以取消，这样欺诈客户的行为让人孰可忍孰不可忍，。</t>
  </si>
  <si>
    <t>2019/10/09 12:09:23</t>
  </si>
  <si>
    <t>我是长城哈弗H6车主，我的车刮擦了保险杠，联系保险公司到宁北长城汽车宁夏固原4S店定损，4S店现在不给我们开配件价格清单，要开清单就必须交20%的押金，4S店说是长城厂家规定的，打长城厂家的400电话求证，说是厂家会联系4S，他们不给我们车主回复，长城汽车厂家到底有没有规定定损必须在他们4S店修车才给定损，400也不给出直接回复，说让我找4S，那这个400电话是干什么用的呢。</t>
  </si>
  <si>
    <t>2019/10/09 12:09:17</t>
  </si>
  <si>
    <t>投诉人 丁女士        投诉对象  小象优品        涉诉金额  0 元    问题类型    诉求类型投诉详情  因国庆期间忘了还款393元 逾期3天小象优品群发短信给通讯录好友！</t>
  </si>
  <si>
    <t>2019/10/09 12:08:40</t>
  </si>
  <si>
    <t>爱又米法务部威胁恐吓我，已经严重影响了我的身心健康。</t>
  </si>
  <si>
    <t>2019/10/09 12:08:39</t>
  </si>
  <si>
    <t>投诉人田女士投诉对象掌众金服涉诉金额410元问题类型诉求类型投诉详情在掌buy商城借款的时候说要购买财神黑卡才能下款，借款1500元要购买410块钱的财神黑卡！说购买财神黑卡后不下款全额退款！购买了以后还是借不了，联系客服退款也联系不上！。</t>
  </si>
  <si>
    <t>2019/10/09 12:08:21</t>
  </si>
  <si>
    <t>投诉人方先生投诉对象你我贷涉诉金额504元问题类型诉求类型投诉详情你我贷暴力催收，威胁12点还款，如果不还，爆打我单位电话，手机联系人，我多次致电与4006808888客服承诺本月20日之前全部一次还清，客服表示可以的，现在暴力催收，如果导致本人名誉受损，我讲采取法律手段维护自己权益。</t>
  </si>
  <si>
    <t>2019/10/09 12:08:06</t>
  </si>
  <si>
    <t>本人持有交通银行信用卡一张额度28000元一直正常使用，交通银行突然给我卡片冻结停止使用，因为做生意失败，导致经济拮据在我不宽裕的生活中更是雪上加霜，我曾多次向银行交涉开卡最终无果，又开始跟银行方面协商取消利息还本金，但银行一当初签订霸王条款唯有拒不理睬，最后电话都打不进去，我曾向当地银监局投诉，银监局最终协商无果，现在在贵地发帖希望贵单位能帮帮我，免除利息只还本金给我一条生路。</t>
  </si>
  <si>
    <t>2019/10/09 12:07:49</t>
  </si>
  <si>
    <t>投诉人 侯川保        投诉对象  宝付支付        涉诉金额  1 000 元    问题类型    诉求类型投诉详情  无缘无故恶意扣款1000元 客服电话无人接听</t>
  </si>
  <si>
    <t>2019/10/09 12:07:45</t>
  </si>
  <si>
    <t>，说我的信用良好可以升级成白金信用卡，需核对下基本信息，客服介绍完后，我说白金卡年费过高，我不需要，现有的额度已够使用了，客服又语速极快地介绍了一些年费优惠政策，并说不激活开通不会收取任何费用，于是我同意了，但我下午就收到了“光大信用卡成功办理e务室业务，300元会员费已扣划......”的短信，什么是e务室会员?而且从一开始客服就没说收费，我根本就不知道有扣费这回事，对光大银行通过升级信用卡为由，设置会员陷阱、欺骗客户进行扣费的行为，我非常气愤，辜负了客户对他们的信任，请光大银行给出合理的解决办法，尽快退</t>
  </si>
  <si>
    <t>2019/10/09 12:07:35</t>
  </si>
  <si>
    <t>从未与此平台发生经济往来，无缘无故在我建行银行卡中直接扣除893.85。</t>
  </si>
  <si>
    <t>2019/10/09 12:07:32</t>
  </si>
  <si>
    <t>本人的朋友拖欠贷款未还，小赢卡贷在未联系到我朋友的情况下，多次对我进行电话骚扰恐吓威胁，严重影响到了本人的日常生活。</t>
  </si>
  <si>
    <t>2019/10/09 12:07:29</t>
  </si>
  <si>
    <t>销售人员告诉我所有客户都参加了，话术夸张，话术绝对，派送保险合同非本人签收回执，保险公司一样强制扣费了。</t>
  </si>
  <si>
    <t>2019/10/09 12:07:11</t>
  </si>
  <si>
    <t>卖家发到平台验机，快递员送过去验机中心拒收，第二天再收，当天不收货，第二天收了货当天不验晚上才验，验完有锁，提供了密码，当天不改，第二天我一直催，催了一百次，验机中心无动于衷，我是对验机中心彻底无语了。</t>
  </si>
  <si>
    <t>2019/10/09 12:06:22</t>
  </si>
  <si>
    <t>投诉人 傅女士        投诉对象  马上消费金融        涉诉金额  160 元    问题类型    诉求类型投诉详情  客服说可以退回的 钱没到帐？？？额度还给我限制了</t>
  </si>
  <si>
    <t>2019/10/09 12:06:05</t>
  </si>
  <si>
    <t>十月九日早上我接到一个预约订单，预约出发时间是6点50分，在我赶往接送乘客的路上，大概离接乘客还有8分钟左右，乘客打电话给我说要赶动车，问我到了没有，我说马上就到了，可是挂了电话乘客自己把订单取消了，可是平台就判定了我的责任，因为我没有迟到，也没有要乘客取消订单，平台为什么要判定我的责任，这样做不是胡乱判责吗，我希望平台给我一个解释，把扣了我的成交率和服务分还给我。</t>
  </si>
  <si>
    <t>2019/10/09 12:05:53</t>
  </si>
  <si>
    <t>自由摩卡爆我通讯录，骚扰我朋友，造成了严重影响。</t>
  </si>
  <si>
    <t>2019/10/09 12:05:42</t>
  </si>
  <si>
    <t>悦借钱委托三方大通财务恶意催收，威胁，阴阳合同，严重的高利贷，砍头息，。</t>
  </si>
  <si>
    <t>2019/10/09 12:05:29</t>
  </si>
  <si>
    <t>取不出来还是还了吧，他说三个月以后才能正常还款，还要出利息，可是没有用我为什么要出利息，你要早说我还会签吗，我之前我也遇到一个这种的，人家说钱在里面你不动就没事，怎么到360了就是这样，说我欠合同，签合同之前聊天的时候你怎么不给我说清楚，纯粹就是骗人的，我希望360借条，给我一个说法。</t>
  </si>
  <si>
    <t>2019/10/09 12:05:16</t>
  </si>
  <si>
    <t>买家购物前说明需要络大1536的产品，签收后以假冒产品为由恶意仅退款没有一丝退货的意愿，平台不公正处理导致了我钱货两失，平台自主强制退款给买家，没与卖家沟通过，私自给买家打款，偏袒恶意买家，让买家得逞可以得到货物又不用花钱的目的，拼多多客服只会机械式回答，说有专员会联系我，从开始登记到目前造成了我的损失，也从未与我联系，让我感觉到是拼多多是一个非常不靠谱的平台，电话联系的客服毫无用处只会踢皮球，此外拼多多毫无时间观念，拼多多客服说的话毫无用处，还有拼多多平台骗取卖家手续费，把货款打入卖家账号后又强制给买家退</t>
  </si>
  <si>
    <t>2019/10/09 12:04:49</t>
  </si>
  <si>
    <t>2019/10/09 12:04:24</t>
  </si>
  <si>
    <t>投诉人 王先生        投诉对象  花月钱包        涉诉金额  3 000 元    问题类型    诉求类型投诉详情  带有侮辱性语言，严重泄漏个人信息。砍头息，</t>
  </si>
  <si>
    <t>2019/10/09 12:04:02</t>
  </si>
  <si>
    <t>百事普惠借绑定银行卡，在未经同意下恶意扣款！。</t>
  </si>
  <si>
    <t>2019/10/09 12:03:45</t>
  </si>
  <si>
    <t>拍拍贷暴力催收爆我通讯录，并且分通讯录里的任何人都谎称说是被我填写了紧急联系人，拍拍贷盗取我通讯录，对我家人和朋友进行骚扰，造谣我说我诈翩，希望有关部分处理拍拍贷，不仅违法高利贷，现在暴力催收爆通讯录，图里的95210470就是拍拍贷的电话专门骚扰我朋友和家人！！希望有关部门严惩拍拍贷。</t>
  </si>
  <si>
    <t>2019/10/09 12:03:36</t>
  </si>
  <si>
    <t>因个人债务问题想贷款，一个业务员说微信帮我申请，让我提供资料，收到两个壹钱包验证码，发给那个人了，后来被异地消费3000元，显示平安付科技服务有限公司扣了3000，已经报警做了笔录，提供了证据，也打电话交通银行挂失了银行卡，联系了平安付公司客服，让等着，只希望借助媒体，把这个钱追回来！图片传不了，抱歉，希望帮帮我。</t>
  </si>
  <si>
    <t>2019/10/09 12:02:43</t>
  </si>
  <si>
    <t>投诉人冯女士投诉对象马上消费金融涉诉金额1109元问题类型诉求类型投诉详情马上消金融每天打电话来催收，并且威胁说再不还就告诉身边人，但是每天打好几个电话来催收，我想也给身边人也打不少了，态度又差，借这个钱就有资格让你们乱来，每个人都有困难的时候，叫我借钱还上去，就问问现在这社会谁会借钱，家人也没能力帮助，要是你，人家问你借钱你愿意吗，借借借，借个啥，能借我还去你平台借钱给利息你赚吗，而且利息又高，连协商的机会都没有…每天打来造成了困扰，我又没说不还，天天打来，有钱我会处理，不用你们天天打来骚扰威胁，还骚扰身</t>
  </si>
  <si>
    <t>2019/10/09 12:02:14</t>
  </si>
  <si>
    <t>投诉了很多次了都不给退款，网络上成千上万人都被扣了，还要继续下去吗。</t>
  </si>
  <si>
    <t>2019/10/09 12:01:54</t>
  </si>
  <si>
    <t>经常打电话给家里人，骚扰，恐吓，冒充法院起诉，。</t>
  </si>
  <si>
    <t>2019/10/09 12:01:49</t>
  </si>
  <si>
    <t>不支持提前结清，提前结清不减免利息，合同无法打开，收取高额服务费，如不处理拒绝还款，我这边已经报警备案了，不行就走法律程序吧。</t>
  </si>
  <si>
    <t>2019/10/09 12:01:24</t>
  </si>
  <si>
    <t>如果坚持拒绝给我开发票将给我造成个人经济损失。</t>
  </si>
  <si>
    <t>2019/10/09 12:01:15</t>
  </si>
  <si>
    <t>4月24日，玖富借款22900元，服务费6678.09元，服务费算到了待放款总额里，按其给的每月还款规划，第一期还2603.25元，第二期到第十一期每期还2594.57元，第十二期还2616.30元，总共需还款31165.25元，年化达到36.09%。</t>
  </si>
  <si>
    <t>2019/10/09 12:00:59</t>
  </si>
  <si>
    <t>投诉人杨先生投诉对象拉卡拉涉诉金额1200元问题类型诉求类型投诉详情10月8日俩笔扫码付款未到账，联系微信客服让我留下手机号和邮箱，说会有客服联系我，请拉卡拉解释一下为什么推广人员推销产品时说不需要营业执照就可以办理Q码，而且很安全，如果不是我发现这笔钱未到账不知道客服会不会主动与我联系，后来客服与我联系，表明会发我一个邮件，让我根据邮件提供信息，2、商户身份证和银行卡正反面照片3、手持身份证照片和手持银行卡照片4、交易说明，我不知道为什么要求我提供这么多东西，我提供了身份证正反照片、交易说明、交易凭证，个</t>
  </si>
  <si>
    <t>2019/10/09 12:00:36</t>
  </si>
  <si>
    <t>在现金巴士借款10多次，每次收取砍头息98或118元，因事后了解到不合法，所以没有去处理最后一笔账单，想跟现金巴士协商，今天接到现金巴士的催收电话，协商未果后在电话里威胁本人，要爆我的通讯录，已全程录音。</t>
  </si>
  <si>
    <t>2019/10/09 12:00:12</t>
  </si>
  <si>
    <t>及贷催收员天天打骚扰电话，还骚扰我通讯录的人，，还发骚扰短信给我家人好友，，要求停止这种骚扰，，。</t>
  </si>
  <si>
    <t>2019/10/09 11:59:59</t>
  </si>
  <si>
    <t>讯付科技扣我50快两个月了，之前联系过他们客服，说是让我申请他们平台的网贷5个申请失败的截图，本人现在不想用网贷，这样的霸王条款，希望退款。</t>
  </si>
  <si>
    <t>2019/10/09 11:59:54</t>
  </si>
  <si>
    <t>1.由于个人原因，公司拖延发工资导致浦发信用卡无法按时还款，现浦发银行多次打电话催收，也给出还款计划，在有意愿还款的前提下威胁恐吓要给我工作单位、亲戚朋友、居住地村委打电话，宣扬我欠银行钱不还，泄露个人隐私，2.浦发银行过度授信，在原信用卡额度的基础上加开万用金，而且还款后收回额度。</t>
  </si>
  <si>
    <t>2019/10/09 11:59:52</t>
  </si>
  <si>
    <t>安逸花涉嫌私下，私扣人寿保险金，灵活还款包每个月20，少也有二十多块，没有提前通知，一口咬定是客户自己点击的，拒不退款。</t>
  </si>
  <si>
    <t>2019/10/09 11:59:32</t>
  </si>
  <si>
    <t>9月29号快递员于振海就将快递取走，微信支付97元运费，等了好久10月8号才到，10多天我也不说啥了，可是取回来一看，根本不是我的东西，单号名字手机号确实是我本人的，但是东西一件都不是我的，打京东物流官方电话，迟迟不给我答复，希望经过聚投诉，京东物流给我满意的答复。</t>
  </si>
  <si>
    <t>2019/10/09 11:59:17</t>
  </si>
  <si>
    <t>本人在中腾信申请的15000元，在本人没有看到合同的情况下就放款，且合同金额为21400，实际要还23199.38，利率实属高利贷，现在已还16773.25，已超本金，要求调整利率还款。</t>
  </si>
  <si>
    <t>2019/10/09 11:59:05</t>
  </si>
  <si>
    <t>2018年10月8日在APP“51人品贷”平台借款10500元，分12期还，第1期还1839.95，剩余11期均还1104.95，总共需要还款13994.4元，年利率远远超过国家法定规定24%—36%，，《最高人民法院关于审理民间借贷案件适用法律若干问题的规定》第26条，同时借款方第一期还款金额实行高额砍头息！2、协商无果本笔贷款已还11期，还款总额为12889.45，已超出国家法定年利率24%—36%，但平台仍旧要求还款，在还款日上月及本月还款日前一天主动打电话与平台进行协商，客服态度嚣张不与协商处理，声</t>
  </si>
  <si>
    <t>2019/10/09 11:59:03</t>
  </si>
  <si>
    <t>2019年十月5日还款日，2019年十月4日登陆app想要提前还款，但是app一直打不开，导致没有及时还款造成高额利息，到目前为止每天都有电话催收，而且还给我朋友打电话，对我的生活造成了一定的影响，我不是不想还，把他们的原因造成的多出来的利息去除，然后就会按时还。</t>
  </si>
  <si>
    <t>2019/10/09 11:58:26</t>
  </si>
  <si>
    <t>购买了施华洛世奇的手链，使用不足两个月就开始掉落手链上的装饰水晶，洗澡之类的情况都是没有佩戴的，联系客服叫我拿去专卖店维修，但是我去了专卖店之后发现店家根本没有寄保修卡给我，专卖店无法保修，，再次联系唯品会，一直叫我自己去找地方保修，然后报销少量金钱，我觉得我购买到了假货，但是客服一直都不处理，店大欺客，申请维权！！！！！。</t>
  </si>
  <si>
    <t>2019/10/09 11:58:07</t>
  </si>
  <si>
    <t>投诉人 张先生        投诉对象  钱站,华夏银行        涉诉金额  2 000 元    问题类型    诉求类型投诉详情  高利贷砍头息借2000元要还4000多。</t>
  </si>
  <si>
    <t>2019/10/09 11:57:53</t>
  </si>
  <si>
    <t>ETC设备无法激活，寄回检测维修，一个多月了没有发货给我。</t>
  </si>
  <si>
    <t>2019/10/09 11:57:43</t>
  </si>
  <si>
    <t>豆豆钱申请10000的到帐后回扣所谓保险费用，经过仔细计算年利率超过国家规定年利率，，。</t>
  </si>
  <si>
    <t>2019/10/09 11:57:37</t>
  </si>
  <si>
    <t>2019/10/09 11:57:20</t>
  </si>
  <si>
    <t>，拍拍贷把债券转让催收打电话爆通讯录，又不是不还你们，预期费一天15算着，还爆通讯录，。</t>
  </si>
  <si>
    <t>2019/10/09 11:57:09</t>
  </si>
  <si>
    <t>投诉人 李先生        投诉对象  宜人贷        涉诉金额  0 元    问题类型    诉求类型投诉详情  宜人贷平台盗取用户信息并且频繁骚扰 ……</t>
  </si>
  <si>
    <t>2019/10/09 11:57:08</t>
  </si>
  <si>
    <t>美团酒店砍券活动，于30日砍完后在国庆期间一直无法领取，提示活动火爆，请您稍后再试，致电客服说国庆节无法领取，询问是否会过期，客服说有60天有效期，结果现在已经过期无法领取，再次致电客服，客服敷衍了事，要求汇报上级，依然了无音讯。</t>
  </si>
  <si>
    <t>2019/10/09 11:56:18</t>
  </si>
  <si>
    <t>扣砍头息.借2000.就要扣砍头息600元.到手1400元.7/14高炮.现在请求给予退款多收的费用.不然我将追究你的刑事责任.。</t>
  </si>
  <si>
    <t>2019/10/09 11:56:15</t>
  </si>
  <si>
    <t>苹果公司,appstore&amp;applemusic，苹果软件applemusic，一个月前无缘无故扣了我198元，而我自己根本不知道这是扣的什么费，也没享受过任何权益，无法联系上客服，要求applemusic退回我的款项。</t>
  </si>
  <si>
    <t>2019/10/09 11:56:09</t>
  </si>
  <si>
    <t>投诉人魏先生投诉对象玖富涉诉金额9400元问题类型诉求类型投诉详情借款9400到账8740分期还了一年了还有这么多要求销账解释停止骚扰。</t>
  </si>
  <si>
    <t>2019/10/09 11:55:48</t>
  </si>
  <si>
    <t>2017年在凡普借款到账95000，合同上134500，每月还款4428，现在已还款27期，119556元，就是国家规定的利息也够了，要求凡普信贷销账，停止骚扰，我已请好律师，谢谢。</t>
  </si>
  <si>
    <t>2019/10/09 11:55:21</t>
  </si>
  <si>
    <t>9月14日，收到银行卡消息，无卡资助消费299元，通过手机银行卡查到此费用是改公司扣款，客服回复说退款可以，需要在该平台下注册6家app相关信息，失败后，方可退款，为此本人未避免个人信息透露以及进一步中了此公司的圈套，拒绝注册，15日本人电话咨询客服，客服回复说：退款可以，需要在该平台下注册6家app相关信息，失败后，方可退款，本人查询6家app，均为贷款app，为此本人未避免个人信息透露，以及进一步中了此公司的圈套，拒绝注册，该平台在用户使用注册时，并已设计好圈套，经查询后网上已经大批人员被骗，在此恳请贵</t>
  </si>
  <si>
    <t>2019/10/09 11:55:03</t>
  </si>
  <si>
    <t>恐吓，威胁，暴力骚扰，爆通讯录联系人，恶意催收，态度恶略。</t>
  </si>
  <si>
    <t>2019/10/09 11:54:48</t>
  </si>
  <si>
    <t>本人两年前通过代理办理了现代金控的金正宝业务，现已两年多未使用，联系客服要求撤机和注销账户，客服回复无法解绑，根据《电信和互联网用户个人信息保护规定》规定，电信业务经营者、互联网信息服务提供者在用户终止使用电信服务或者互联网信息服务后，应当停止对用户个人信息的收集和使用，并为用户提供注销号码或账号的服务，本人要求现代金控道歉并注销本人账户及解绑本人设备。</t>
  </si>
  <si>
    <t>2019/10/09 11:54:45</t>
  </si>
  <si>
    <t>平安普惠强制收取各种保险费服务费，11000的借款分20，期，收取各种费用高达好几千块钱，现在要求退还收取的各种违法费用，销账。</t>
  </si>
  <si>
    <t>2019/10/09 11:54:08</t>
  </si>
  <si>
    <t>众安在线财产安全在本人不知情的情况下强行买卖保险，造成本人资金流失共947.6元，本人从8月投诉至今，已结清，对方装聋作哑，无视投诉拒不处理！态度恶劣！。</t>
  </si>
  <si>
    <t>2019/10/09 11:54:03</t>
  </si>
  <si>
    <t>在唯品会购买了FOREO的牙刷，使用不到两个月就发生质量问题，联系客服申请退款就让我联系官网，官网无法处理我再次联系唯品会，只会搪塞我自己找地方去维修，然后给我报销少量金额，这不仅仅是第一次发生质量问题了，之前有一个施华洛世奇的手链也是带了不到两个月就坏，我谅解他们，懒得计较，现在还是这样，他们本身出售的商品就有很大的质量问题！！！！。</t>
  </si>
  <si>
    <t>2019/10/09 11:53:57</t>
  </si>
  <si>
    <t>贷款5－6次，每次收取游戏豆金额达500元，变相砍头，总共金额有3000左右。</t>
  </si>
  <si>
    <t>2019/10/09 11:53:53</t>
  </si>
  <si>
    <t>投诉人 陈女士        投诉对象  你我贷        涉诉金额  8 000 元    问题类型    诉求类型投诉详情  2019.2.28日借款到账：8000元 至今为止已经还了6期 2019.9.28是第7期还款 靠近节假日 我的银行卡就出现问题 这时给我打电话说是可以对公 那就我对公吧 结果对公了三次 都是错误的 最后一次对公的钱 隔2天才返还了给我 昨天给我打电话 告诉我不用再骗了 不用再编了 叫我等着 在家里等着你们上门来收取一定的费用 今天给我</t>
  </si>
  <si>
    <t>2019/10/09 11:53:36</t>
  </si>
  <si>
    <t>随行付业务员办pos机，事先没有说，拿我信用卡刷了200，才发现冻结了196，骗我钱。</t>
  </si>
  <si>
    <t>2019/10/09 11:53:22</t>
  </si>
  <si>
    <t>扣款后不提款，一直推，给我联系过后说退款，到现在还不退款。</t>
  </si>
  <si>
    <t>2019/10/09 11:52:59</t>
  </si>
  <si>
    <t>在深圳赛普健身学院报名了高级私人课程，由于有些事休学了一段时间，课程我也还没有开始去上，他们明明说是开课后三天不满意可以退学费，最后却告诉我是交费后三天内不满意才能退，这明明就是骗人，还诱导消费者使用贷款分期，我课程都还没有开课，一节课也没上，现在他们不肯退钱，我要求他们那边取消我的学费分期贷款，并退还500的定金，一共22500元。</t>
  </si>
  <si>
    <t>2019/10/09 11:52:41</t>
  </si>
  <si>
    <t>当天就收了一笔款就被永久冻结希望把钱退回来。</t>
  </si>
  <si>
    <t>2019/10/09 11:52:12</t>
  </si>
  <si>
    <t>以个人信用报告费用299元的名义乱扣费，未经我同意私自扣了我50元，还说还有249元要扣。</t>
  </si>
  <si>
    <t>2019/10/09 11:52:08</t>
  </si>
  <si>
    <t>本人10月6号通过贷上钱app里面的链接下载了上海跃吉网络科技有限公司的拇指下款app，用手机号注册账号之后填写个人资料提交审核，期间需要勾选评估服务协议，推荐服务协议等，需要绑定银行卡信息和手机验证码，个人评估有一个是现金支付一个是券支付，选择了券支付，app里并没有显眼说明这个券支付是会自动绑定银行卡扣款购买的，提交之后审核不通过，网上说绝大部分都是直接秒拒的，发现扣款名称是平台的小银券，里面没有退款路径，也没有扣款提醒，8号中午马上联系平台客服电话029-68280977，得到的答复是我自愿并知情下选</t>
  </si>
  <si>
    <t>2019/10/09 11:51:41</t>
  </si>
  <si>
    <t>本人在闪银闪豆上借了1000元，实际上需要花276元强制购买东西后，马上还款才有1000元的额度，现在到期还1030元，强制性非法行为，并且利息高额不符合，本人从2019年1月24号至今利息费早已超出本金。</t>
  </si>
  <si>
    <t>2019/10/09 11:51:06</t>
  </si>
  <si>
    <t>商家、客服都没有提供验号信息，直接换绑定手机强买强卖。</t>
  </si>
  <si>
    <t>2019/10/09 11:50:57</t>
  </si>
  <si>
    <t>骚扰不停，完全没有道德的群发，盗取用户通讯录，并群发短信亲友进行骚扰，严重影响生活。</t>
  </si>
  <si>
    <t>2019/10/09 11:50:41</t>
  </si>
  <si>
    <t>一开始聚投诉上投诉过一次，信而富客服和我联系，打电话过去问说什么我不同意处理结果，东扯西扯就是不给退，我不同意处理结果我扯诉干嘛，这种歪门邪道的公司果然言而无信，协商解决了，答应退还给我砍头息，可见他们做贼心虚，结果等了一个星期，打电话过去问，说什么我不同意处理结果，东扯西扯就是不给退，我不同意处理结果我扯诉干嘛，这种歪门邪道的公司果然言而无信。</t>
  </si>
  <si>
    <t>2019/10/09 11:50:18</t>
  </si>
  <si>
    <t>本人在钱伴借款25000元，借款的时候根本没看见前两期要还服务费，总工6期，要还29500，利息非常高，和客服打电话要求一次性结清因为我用了不到一个月，要求减免后期的利息及服务费，客服不同意，服务费非常高，一期差不多2000，国家规定服务费也算是利息，所以我要求钱伴减免后面的服务费和利息。</t>
  </si>
  <si>
    <t>2019/10/09 11:50:16</t>
  </si>
  <si>
    <t>投诉人 陈女士        投诉对象  尚德机构        涉诉金额  7 980 元    问题类型    诉求类型投诉详情  今年4月份报名学习的 因为没时间只听了几节课 一直没有听课 后面落下了很多 补也不知道从来补起 就要求退学 办理退学她们说超过7天 不能退款啦 当时她们没有说过超过7天不能办理退款</t>
  </si>
  <si>
    <t>02月08日结清，但当时确实因为没钱造成逾期未处理，之后一直遭骚扰！逾期费及罚息每天猛涨，拍拍贷平台也不予协商！这事也就一直拖着没解决，之后一直发信息打电话给本人及亲人好友，这一两个月更是委托中融律师事务所发不实法律文件短信信息！给借款人的年迈父母造成心里恐慌，生活不正常！有短信截图为证！拍拍贷跟中融律师事务所的催收，恐吓行为！望国家给予严惩！打黑除恶为民做主！。</t>
  </si>
  <si>
    <t>2019/10/09 11:50:02</t>
  </si>
  <si>
    <t>不清楚什么回事就智行微信免密代扣，都不知道怎么回事。</t>
  </si>
  <si>
    <t>2019/10/09 11:49:53</t>
  </si>
  <si>
    <t>9月27日因急用在钱伴借款8000，分9期还款，前三期每期1539.29，后六期每期923.69，总共需还款10160，现在想提前全额结清销账，联系客服，客服告知只能按照app上所示金额还款，提前还款需还9908.81，再无减免，只借款8000元一个月，就要支付高达1908元的利息，询问客服，客服说只告知这是服务费，钱伴收取高额服务费，是变相高利贷，希望能支付本金加合理利息后销账。</t>
  </si>
  <si>
    <t>2019/10/09 11:49:40</t>
  </si>
  <si>
    <t>实际到账8号！借款的时候显示每期还款1396，钱到的时候确显示实际要还每期1900多！直接更改账单！投诉钱站，协商还款事情。</t>
  </si>
  <si>
    <t>2019/10/09 11:49:14</t>
  </si>
  <si>
    <t>众安保险和小赢卡贷狼狈为奸，在我不知情的情捆绑销售贷款，在我知道的时候，已经有4份失效了，现在还剩下1份有效，还说之前失效的4份不能退，现在要退要把借款还清才能退，而且退款给小赢卡贷直接抵制小赢卡贷的借款，而且小赢卡贷就是高利贷，年利息率超过36，逾期后，催收态度差，说如果我不还钱。</t>
  </si>
  <si>
    <t>2019/10/09 11:48:47</t>
  </si>
  <si>
    <t>大鹅购平台借款实际到账1400，期限十五天，到期则要我归还1780多元，在连续两天都与我本人取得联系的情况下，并本人以结清本金1400元，接连三天都骚扰我通讯中的好友联系人，并告知我通讯录好友说我借款不还，泄露我个人隐私，非法盗取我个人信息，情节十分严重。</t>
  </si>
  <si>
    <t>2019/10/09 11:48:18</t>
  </si>
  <si>
    <t>因本人储蓄卡被银行冻结，所以逾期！期间一直在想办法！美团催收不与本人联系，直接爆通讯录！联系其家人威胁！。</t>
  </si>
  <si>
    <t>2019/10/09 11:48:14</t>
  </si>
  <si>
    <t>2000用3月要还4000多，当时合同时，我上次借也是2000，3期一共还不到3000.要求更改利息服务费。</t>
  </si>
  <si>
    <t>2019/10/09 11:47:59</t>
  </si>
  <si>
    <t>催收员态度语言恶劣，要求提供其姓名，催收员说是我爸爸，对我说出很多侮辱话，还多次对通讯录好友骚扰，严重影响我的正常生活，借2300一个月要还2900多。</t>
  </si>
  <si>
    <t>2019/10/09 11:47:31</t>
  </si>
  <si>
    <t>先是逾期三天爆我通讯录，然后超高的不合法的逾期费用没有商量余地！欠钱要还！但你们这个态度，我只能还本金！如果商量不了，请走法律程序！。</t>
  </si>
  <si>
    <t>2019/10/09 11:47:08</t>
  </si>
  <si>
    <t>不断骚扰家人朋友，居委会，各种打电话，跟他们说了一定会处理，还是照样去骚扰，毁坏我的名誉。</t>
  </si>
  <si>
    <t>2019/10/09 11:46:55</t>
  </si>
  <si>
    <t>本人在有钱花上申请贷款初始额度为7000，,目前已还款5004，账单金额仍需还5004，年化利率高出国家规定，望有关部门进行处理，停止暴力催收！。</t>
  </si>
  <si>
    <t>2019/10/09 11:46:53</t>
  </si>
  <si>
    <t>投诉人王先生投诉对象新浪微博涉诉金额0元问题类型诉求类型投诉详情我在2012年左右注册了微博账号，现今不想再使用微博，故而注销，却遭遇微博霸王条款，需要层层门槛，尽然要我回想起数年前随意设置过的密码，否则不能注销，另还要具体的注册时间，我已提供本人手持证件照片，却还设置诸多不合理门槛。</t>
  </si>
  <si>
    <t>本人于上月24号在苏州市伟业迎春广场1楼货拉拉注册司机，跑了四十多公里过去，当时在一家门窗厂从事安装工作，因为资金紧张，想找个兼职，过去之后对方要求缴纳1000元保证金，我硬着头皮跟父母借了1000块交了，后面又要交599会员费，我跟我妹妹再借了1000块，会员费尚未缴纳，对方跟我说要贴车贴，因为是做兼职，我觉得如果贴个车贴跑到客户家里去安装窗户影响不好，所以拒绝，由于事先对方并没有声明必须要贴车贴，我觉得我的诉求完全合理，但是对方以只是培训地点为由，让我到一百公里以外的分公司退押金，当时很生气，觉得就进了</t>
  </si>
  <si>
    <t>2019/10/09 11:46:43</t>
  </si>
  <si>
    <t>投诉人 杨先生        投诉对象  Wecash闪银        涉诉金额  2 100 元    问题类型    诉求类型投诉详情  客服人员在我申请延期的情况下，骚扰联系人。</t>
  </si>
  <si>
    <t>2019/10/09 11:46:37</t>
  </si>
  <si>
    <t>投诉人 董先生        投诉对象  小浦优客        涉诉金额  296 元    问题类型    诉求类型投诉详情  没有任何说明直接扣款，直接从银行卡划走了</t>
  </si>
  <si>
    <t>2019/10/09 11:46:15</t>
  </si>
  <si>
    <t>天天石家庄座机号打电话，态度还不好，我怀孕六个月每天提心吊胆，睡觉也睡不好，家里老人因为9这个高血压犯了，爸妈每天担心。</t>
  </si>
  <si>
    <t>2019/10/09 11:45:52</t>
  </si>
  <si>
    <t>退款没到账，还说退款成功，叫我找银行，银行叫我找退款方，搞得我都不知道该找谁了。</t>
  </si>
  <si>
    <t>2019/10/09 11:45:49</t>
  </si>
  <si>
    <t>9月买了大闸蟹券，联系客服没有回复，用不了。</t>
  </si>
  <si>
    <t>2019/10/09 11:45:28</t>
  </si>
  <si>
    <t>逾期一天，催收态度恶劣，竟然问我借的钱干嘛去了，这么快就花完了，真服你们大公司顾的催收了。</t>
  </si>
  <si>
    <t>2019/10/09 11:45:17</t>
  </si>
  <si>
    <t>my钱包借款强制购买保险，之前一直不知情，今天在还款详情里才看到！你有什么权力强制本人购买保险，另外，我不都不知道是在哪家保险公司投保，贵保险公司在不明白告知本人的情况就给我确定保单，请问合法合规吗。</t>
  </si>
  <si>
    <t>2019/10/09 11:45:14</t>
  </si>
  <si>
    <t>借款七千一，砍头息2100，到账五千块，说还款还暴力催收。</t>
  </si>
  <si>
    <t>2019/10/09 11:45:05</t>
  </si>
  <si>
    <t>暴力催收影响我的生活，天天打电话骂我恐吓我，搞得我睡不着吃不好。</t>
  </si>
  <si>
    <t>2019/10/09 11:44:56</t>
  </si>
  <si>
    <t>投诉人 李女士        投诉对象  花月钱包        涉诉金额  2 000 元    问题类型    诉求类型投诉详情  花月钱包威胁恐吓 暴力催收 未经允许转卖他人信息</t>
  </si>
  <si>
    <t>2019/10/09 11:44:33</t>
  </si>
  <si>
    <t>9月30日京东商城购买苹果11ProMAX256G手机一部，在10月5日突然无信号，无法接打电话，第一时间到福建省苹果最大授权店进行检测手机，工作人员出示检测单确实无信号，并告知只能到购买处换货处理，该手机不是在苹果授权店购买无法换货，须在京东退款，过后第一时间联系京东商城告知检测单及手机取货回去即可换新机一部，7号取回回去8号京东收到货未在第一时间发货新手机，本人致电京东告知还需要检测并寄回苹果公司才能确认才能换货，中间需要15天，得到反馈消息与当时沟通换货不一致，并且说检测单是苹果的他们检测，京东自己也</t>
  </si>
  <si>
    <t>2019/10/09 11:44:22</t>
  </si>
  <si>
    <t>中国银联,富利汽车配件门市部,大草地重汽车配件,美通腾汽车维修,大脉信息便利店,吉好便利店,东深盛汽车维修，银联云闪付为虚假商户提供收款通道~让本人被骗5150元~~希望银联云闪付出来给予说法~强烈要求退款~拨打云闪付客服电话~就是各种理由搪塞本人~不给予正面回复~。</t>
  </si>
  <si>
    <t>2019/10/09 11:44:04</t>
  </si>
  <si>
    <t>昨天因为一些事情导致我逾期一天，没想到本应该还2785的贷款，今天居然收到他们催收人员发的信息让我还3600，这一天的利息高达815，太过分了吧。</t>
  </si>
  <si>
    <t>2019/10/09 11:43:17</t>
  </si>
  <si>
    <t>投诉人杨先生投诉对象临泉县海航电子商务有限公司涉诉金额3980元问题类型诉求类型投诉详情我是一名退役军人现在是一名消防员刚出完警回来实在没钱了，2019年退役9月16号被电信骗3.2万，9月23开了个网店被此公司骗了3980，2019年9月23日我开了个网店！他们公司售前指导加了我QQ说他们公司多么多么有诚意！还给我发视频，说加入他们客户享受7折在他们那代销非常好东西卖的非常多并且他们保证7天销量达到41单开始做活动！他们让我交了100让我看看店铺效果，我看了确实还行就又给他们付了尾款，刚开始几天店铺销量确</t>
  </si>
  <si>
    <t>2019/10/09 11:43:15</t>
  </si>
  <si>
    <t>我在豆豆钱借了13000元凭什么要我还18000元多还了5000元，我不打算还钱了，还上征信，而且特别黑，持有合法执照。</t>
  </si>
  <si>
    <t>2019/10/09 11:43:08</t>
  </si>
  <si>
    <t>砍头息，贷款2万到手18900，利率高达55%……目前还款金额已经远超本金，实在是没钱还了，其做法已经严重违法违规，期望销账剩余期数。</t>
  </si>
  <si>
    <t>2019/10/09 11:42:57</t>
  </si>
  <si>
    <t>我下载了百事普惠app，准备贷款，他要求我填写银行卡，后来没贷款成功，我就拿卸载了，到30号，莫名就被扣了299，该平台未经消费者同意乱扣费，还有他们推荐的借钱软件利息都很高不说还借不到钱，还有只能借一次，等评估报告14天失效后在借，他又扣款299，感觉真的太坑了，这种垃圾软件为什么要存在，该平台是一个骗子平台，百事普惠，本以为下载了就能借钱了，结果登录注册等等，到最后明明有两个选项一个好像是小份银优惠，一个299评估价，我就点了小份银优惠，他也没显示要扣款299，等点了之后他订单就秒了，也不给你退款的机会</t>
  </si>
  <si>
    <t>2019/10/09 11:42:23</t>
  </si>
  <si>
    <t>2019年5月6日我在微贷的多米贷贷款6300元，分了6期每期还1160.25元，贷款金额是6300元，可实际到账5544元，已经结清5期了，已经还了5801.25元！！！现在工作也丢了，无力撑下去了，再下去只能自杀了，还剩一期了也没钱还了，希望平台能给我消账，因为已经还完到账金额了！希望多米贷能给我消账！！。</t>
  </si>
  <si>
    <t>2019/10/09 11:42:13</t>
  </si>
  <si>
    <t>投诉人 王先生        投诉对象  我来数科        涉诉金额  9 900 元    问题类型    诉求类型投诉详情  本来现在占时没钱还贷。用借9900已经还了4400多。不能提前还。必须要按每期还。是可以一次还12期。但是12期的利息全部收走了。利息又高。有钱再处理。还发短信威胁恐吓我。一天无数次。有钱还有必要弄的这么麻烦么</t>
  </si>
  <si>
    <t>2019/10/09 11:42:08</t>
  </si>
  <si>
    <t>家里7岁小孩利用手机购买了不利于国家团结，邪教的APP，叫苹果退款，不给退。</t>
  </si>
  <si>
    <t>2019/10/09 11:42:06</t>
  </si>
  <si>
    <t>中恒信金融小花钱包，逾期2天，催收就暴力催收，恐吓，说了当天会处理好，还是恐吓！没监管的吗。</t>
  </si>
  <si>
    <t>2019/10/09 11:41:57</t>
  </si>
  <si>
    <t>投诉人 何女士        投诉对象  斗牛士        涉诉金额  0 元    问题类型    诉求类型投诉详情  对本人进行威胁恐吓 态度恶劣 对本人生活造成影响</t>
  </si>
  <si>
    <t>2019/10/09 11:41:21</t>
  </si>
  <si>
    <t>投诉人 谢先生        投诉对象  嘀嗒出行        涉诉金额  169 元    问题类型    诉求类型投诉详情  每次提现都失败，我账号没任何问题。嘀嗒出行你想干嘛？钱你赚了，还不让人提现？</t>
  </si>
  <si>
    <t>2019/10/09 11:40:01</t>
  </si>
  <si>
    <t>以购买商品为由收取高额利息费用，借款2000，一个月要还2660，不符合国家规定的利息率，而且暴力催收，威胁我通讯录好友。</t>
  </si>
  <si>
    <t>2019/10/09 11:39:59</t>
  </si>
  <si>
    <t>天天打电话，态度还不好，我怀孕六个月每天提心吊胆，睡觉也睡不好，家里老人因为9这个高血压犯了，爸妈每天担心。</t>
  </si>
  <si>
    <t>2019/10/09 11:39:24</t>
  </si>
  <si>
    <t>投诉人陈旭军投诉对象滴滴出行涉诉金额0元问题类型诉求类型投诉详情要求撤销口碑分，恢复服务分机制，平台派单公平不要外包给别的公司搞什么新优享，又有老优享，口碑值严重影响司机的作息时间??会造成重大事故，口碑值会对司机身心健康问题造成重大疾病，。</t>
  </si>
  <si>
    <t>2019/10/09 11:38:38</t>
  </si>
  <si>
    <t>侵犯我隐私，投诉没解决问题，要求赔偿我精神损失，高利贷。</t>
  </si>
  <si>
    <t>2019/10/09 11:38:24</t>
  </si>
  <si>
    <t>借款3000一年，利息800多，并爆通讯录。</t>
  </si>
  <si>
    <t>2019/10/09 11:38:18</t>
  </si>
  <si>
    <t>投诉人彭先生投诉对象拍拍贷涉诉金额80000元问题类型诉求类型投诉详情因本人个人原因导致逾期后，在未经本人知情的情况下给通讯录的家人朋友信息轰炸，威胁，恐吓，给本人的生活造成了一定的困扰，而且是在本人有意还款情况下。</t>
  </si>
  <si>
    <t>2019/10/09 11:37:45</t>
  </si>
  <si>
    <t>投诉人符琳投诉对象还呗涉诉金额3322元问题类型诉求类型投诉详情11日借款，10日还款，请问还呗app是用什么计算的还款日，每个月提前一日还款！众安保险无放款资格，与还呗勾结，牟取暴利。</t>
  </si>
  <si>
    <t>2019/10/09 11:37:31</t>
  </si>
  <si>
    <t>投诉人韩先生投诉对象翼支付涉诉金额16000元问题类型诉求类型投诉详情翼支付盗取居民个人信息，暴力催收，高利贷.第三方公司借助电信用虚拟号码轰炸。</t>
  </si>
  <si>
    <t>2019/10/09 11:37:12</t>
  </si>
  <si>
    <t>并且只有6天！！！我要求退还1300的本金销账处理！！！。</t>
  </si>
  <si>
    <t>2019/10/09 11:36:50</t>
  </si>
  <si>
    <t>在报名时发现自己不符合条件，首先没从事过具体消防工作，年限也不够，在联系客服时，说只能24小时内退费或者是参加完考试，可我现在根本就参加不了考试，所以他们就说不能退费，第三方的咖啡易融机构都联系不到客服人员，也看不了相关合同，我不想还网贷了，坑死了。</t>
  </si>
  <si>
    <t>2019/10/09 11:36:44</t>
  </si>
  <si>
    <t>2018年4月28日到账50000元，每月还款2888.92，还了17个月，到现在还款还需要还款54889.48元，服务费咨询费违反国家民间贷款利率，属于高利贷。</t>
  </si>
  <si>
    <t>2019/10/09 11:36:39</t>
  </si>
  <si>
    <t>投诉人施卓敏投诉对象宜人贷涉诉金额0元问题类型诉求类型投诉详情我今年5月份在宜人贷借款15万但是等放款到手15万，有2万多的咨询得，加起来17万还款按照17万分期，分期每月还6900元，3年还款25万，而且逾期1天1200元的逾期费用，然后每一天增加几十元，这个就是高利贷，砍头息，阴阳合同，给我打电话威胁我要和我周边的人了解我情况，我现在的诉求就是调整到国家规定的利息，把我以前多还的利息充当本金，现在我也不还款的，多会调整好以后我会还。</t>
  </si>
  <si>
    <t>2019/10/09 11:36:19</t>
  </si>
  <si>
    <t>投诉人倪女士投诉对象淘手游涉诉金额3500元问题类型诉求类型投诉详情今年3月我在淘手游上花3508元购买了一个游戏账号，当时出售页面上显示该账号无任何个人信息认证，但账号到手时已经实名认证和绑定手机号，现在7个月过去了，一直以来联系客服完全没用，客服说自己无法提供卖家信息，只是一个中间平台，没有任何双方信息，游戏账号里有我2700元在里面，因为实名认证不是我本人的我无法取出，要求该平台处理此事，道歉赔偿我所有损失！。</t>
  </si>
  <si>
    <t>2019/10/09 11:35:53</t>
  </si>
  <si>
    <t>投诉人吴先生投诉对象安徽中融法律服务有限公司涉诉金额6829元问题类型诉求类型投诉详情安徽中融服务有限公司在未和本人沟通的情况下，擅自发布涉嫌威胁恐吓的法律通知书！并骚扰本人亲朋好友！特提出投诉！要求安徽中融法律有限公司做出公开道歉并给予法律允许的赔偿！。</t>
  </si>
  <si>
    <t>2019/10/09 11:35:36</t>
  </si>
  <si>
    <t>百度金融第三方催收对我通讯录好友群发短信，并对本人造成不良影响。</t>
  </si>
  <si>
    <t>2019/10/09 11:35:09</t>
  </si>
  <si>
    <t>卖家发送已被永久封停账号给买家，并且在买家及时申请仲裁后，卖家更改安全手机及密码收回账号，买家随即提供了相关证据，证明卖家收回账号，交易猫客服对买家提供的证据视而不见，睁眼胡说，直接宣告交易成功，随后买家申请举报时，交易猫承认账号被找回，承认买家提供证据的真实性，对于交易猫客服在实际仲裁中无视买家证据，要求退款及赔偿。</t>
  </si>
  <si>
    <t>2019/10/09 11:35:03</t>
  </si>
  <si>
    <t>在百度贴吧搜索了一下，很多人都是还款找不到还款入口而导致逾期产生罚息，还有暴力催收，影响到个人正常生活，有钱没地方还的痛苦。</t>
  </si>
  <si>
    <t>2019/10/09 11:34:50</t>
  </si>
  <si>
    <t>本人一直在上海突然接到工商银行短信说办理的信用卡正在制作当中，且办卡是在山东菏泽，工商银行难道没有“三亲”制度，即：即亲见申请人本人、亲核申请人身份证原件、亲见申请人本人签字。</t>
  </si>
  <si>
    <t>2019/10/09 11:34:04</t>
  </si>
  <si>
    <t>我申请一个月的贷款4000块钱，还4150我能接受，但是下款只有3000！这么高的砍头息，我要求退款给他们，不贷了，。</t>
  </si>
  <si>
    <t>2019/10/09 11:33:53</t>
  </si>
  <si>
    <t>经给客服打电话协商还款的事情说明我现在的情况了，对方发信息说要联系我户籍所在地法院开庭审理，而且不断的给我的紧急联系人发信息说我欠款的时候，严重影响我朋友的生活，影响我个人的名誉！。</t>
  </si>
  <si>
    <t>现金巴士,上海中谷小金金融信息服务,富友支付。</t>
  </si>
  <si>
    <t>2019/10/09 11:33:33</t>
  </si>
  <si>
    <t>银行卡有钱，昨天提交的还款申请，今天还款日还一直是代扣中，以前即使代扣不成功也会有微信以及其他还款方式，今天一直是代扣中，其他还款也还不了，主动还款也还不了，找人工客服进不去，压根就没有客服，打电话也进不去客服，真是服了，闪银赶快处理，要么就代扣失败我换微信还款，要么就赶紧代扣成功，我从未逾期过任何贷款，不想逾期！。</t>
  </si>
  <si>
    <t>2019/10/09 11:33:31</t>
  </si>
  <si>
    <t>和来分期协商提前还款减免利息被拒绝并威胁要上门，18200元借了一个月就需要还利息6000元，并且查询征信报告上下款的金额和实际给予的金额不同。</t>
  </si>
  <si>
    <t>2019/10/09 11:32:55</t>
  </si>
  <si>
    <t>2019-10-09招商银行委托第三方上门骚扰我正常生活，问他们是哪家公司的，他们不提供，问他们要委托书也不提供，我欠招商本金e招贷7.866万和闪电贷6.34万，信用卡欠200多块钱，他们律师函有错误。</t>
  </si>
  <si>
    <t>2019/10/09 11:32:50</t>
  </si>
  <si>
    <t>投诉人 叶先生        投诉对象  达内        涉诉金额  27 800 元    问题类型    诉求类型投诉详情  在达内交了学费学习 学了几天 一开始的时候什么都没有就叫我上学 还骗我云计算很容易学没门槛零基础可以学 我信了 百度贷款 跟着又叫我全款 我现在生活费的没有了 还拖到了一个月都不给我退款</t>
  </si>
  <si>
    <t>2019/10/09 11:32:12</t>
  </si>
  <si>
    <t>投诉人符琳投诉对象钱站涉诉金额31959元问题类型诉求类型投诉详情钱站就是这么服务的。</t>
  </si>
  <si>
    <t>2019/10/09 11:32:05</t>
  </si>
  <si>
    <t>10月15日处理，但今天京东电话威胁要上门讨债，要将个人隐私欠京东白条的事，告诉村委，严重影响个人名誉。</t>
  </si>
  <si>
    <t>2019/10/09 11:31:26</t>
  </si>
  <si>
    <t>贷上钱到期当天，我主动点的还款，然后，过了两天打电话我，说逾期了，说当时扣款只扣了500没扣完，然后说我逾期了，要打联系人电话，然后还要通过村委联系我，我都蒙了，我明明主动还款了，当时余额是够的，他们说当时余额不够没扣成功，今天上午我还在上班，然后跟我说10.30分之前要处理，我说好，余额不够，我要下午5点下班了。</t>
  </si>
  <si>
    <t>2019/10/09 11:31:15</t>
  </si>
  <si>
    <t>投诉人 倪女士        投诉对象  宜人万花        涉诉金额  200 000 元    问题类型    诉求类型投诉详情  我要取消账单 钱没到账还要我还钱 不合理</t>
  </si>
  <si>
    <t>2019/10/09 11:30:52</t>
  </si>
  <si>
    <t>10月7日小浦优客未经本人允许私自恶意扣款296元，现本人要求全额退款。</t>
  </si>
  <si>
    <t>2019/10/09 11:30:17</t>
  </si>
  <si>
    <t>我经历了几次投诉，都是投诉快闪卡贷，一直都没解决，先是刚贷款批了10000额度6期还款每月1835元，到手只有8500元.打电话说不贷也不行，这是第一次投诉，最后还是没解决，第二次投诉，我通过线下还款方式，一次性还款4期分两次转账，一张1850元的截图，一张5550元的截图，还款后等了2个月都没销账，显示我一直都在逾期，我还款时才只需要还第2期我是提前把后两期都还了，后来打了无数客服电话投诉给我回复的都是上报了，我征信一直显示快闪卡贷的连续逾期，后面两期我又提前还了，打给催收的说提前还帮我彻底销账，最后还了</t>
  </si>
  <si>
    <t>2019/10/09 11:30:04</t>
  </si>
  <si>
    <t>借款13000还款21000多严重违反了国家的规定，而且我填写的是6期分期，结果我打电话询问利息什么的时候，客服跟我说看到的是3期分期，而且几乎所有人都是前三期或者第一期就要求还完本金和利息，表示害怕，请求取消放款，不借了。</t>
  </si>
  <si>
    <t>2019/10/09 11:30:03</t>
  </si>
  <si>
    <t>之前跟爱人在凡普门店借就五万的款，周期24期，已经还了一年级，逾期几天为什么会有一些骚扰电话骚扰我家人还发恐吓信息，主要是骚扰到我爱人单位同事朋友那里！这是个什么下三滥的公司！聚投诉你们设立这个平台就是摆设吗。</t>
  </si>
  <si>
    <t>2019/10/09 11:29:57</t>
  </si>
  <si>
    <t>10月4日，刚好处于国庆假期之间，客户没有能够给我结账，我也跟宜人贷反应过这个事情，要等假期结束后正常上班了，客户才能够给我正常结账，接到家人的电话和朋友的电话我后才知道被爆了通讯录，之后宜人贷又换了电话号码找我，要核实各种资料，我一直都有还款，没有逃避还款，这次是国庆假期内出现资金问题，我愿意承担逾期费，我没接电话，不是故意不接，你是你们的电话自动被广东移动屏蔽，你们已经收取了高利息和砍头息，我的通讯录也被你们打爆，骚扰和恐吓了我的家人和朋友，我十分不满，我不是不愿还款，也不是不愿意接听电话，但是依然被你</t>
  </si>
  <si>
    <t>2019/10/09 11:29:55</t>
  </si>
  <si>
    <t>感谢聚投诉平台，上个月分期乐打电话到公司前台，披露我欠款事实，今天上午打电话给我，拒不承认披露我欠款事实，我是有还款意愿，要不也不会主动联系分期乐公司，难道真的要让我电话也打不通，分期乐公司再花个一俩年时间找到我，如果我的公司以让公司蒙羞为由，不给我工资，我想问，催收部门是否也有责任，那如果要走法律程序，我的损失和我欠分期乐公司的钱完全是俩码事，是否也可以起诉保护自己的权益，搞得那么僵，谁还有还款的心情。</t>
  </si>
  <si>
    <t>2019/10/09 11:28:54</t>
  </si>
  <si>
    <t>本人于马上金融旗下安逸花贷款平台借款，于今日2019.10.9号，所以我就开始计算往期利息，经过我的统计得出结果是，贵公司贷款利率即年借款利率为19.288%，远超国家规定的短期借款利率4.35%的4倍，即为高利贷，但是，马上金融旗下安逸花每期在还款利息中收保证险服务费，这样就使年利率降到基准利率的四倍以下；，其次，借款合同，只有在第一次借款的时候才出示给借款使用者，之后不再出示给借款使用者；，再次，马上金融旗下安逸花借款APP禁止手机自带截屏系统，是否意味着不想留下证据，不想让使用者留下对使用者有利的证据</t>
  </si>
  <si>
    <t>2019/10/09 11:28:46</t>
  </si>
  <si>
    <t>投诉人 郭先生        投诉对象  Wecash闪银        涉诉金额  2 500 元    问题类型    诉求类型投诉详情  因为过节。也没有细看账单。今天早上看到短信说逾期。 然后我翻看了账单的 逾期大概四天。然后催收打电话过来说立刻还。说联系我没联系到。然后威胁联系家人...希望做出道歉...</t>
  </si>
  <si>
    <t>2019/10/09 11:28:26</t>
  </si>
  <si>
    <t>新橙优品贷款12000，收取1200元砍头息，逾期10天收取600元逾期费用，高利息。</t>
  </si>
  <si>
    <t>2019/10/09 11:28:06</t>
  </si>
  <si>
    <t>盗取个人信息，长时间进行骚扰，打电话告知对方行为涉嫌违法，依然我行我素。</t>
  </si>
  <si>
    <t>2019/10/09 11:27:30</t>
  </si>
  <si>
    <t>投诉人陈先生投诉对象钱站涉诉金额13498元问题类型诉求类型投诉详情本人2019/10/1日在钱站申请一笔金额13498元贷款，贷款没有到账，却显示还款分期。</t>
  </si>
  <si>
    <t>2019/10/09 11:27:19</t>
  </si>
  <si>
    <t>前段时间在钱站app贷款，已还清，打电话给客服销户，客服说得35天以后才能销户，还需要手持身份证正反面照片和身份证正反面照片，我是怕信息泄露才销户的，怎么销户还需要手持身份证照片，那样信息不更泄露了吗，我现在就想销户，不泄露信息不要照片的销户，感谢。</t>
  </si>
  <si>
    <t>2019/10/09 11:27:16</t>
  </si>
  <si>
    <t>在9月20日使用gofun，行程3KM的一个订单，费用高达700多元，当时已将车停在gofun的还车网点，点了还车，因为我是免密支付，就没管，有人可以证明我当时点了还车，以及监控可以看到我当时站在车前拿着手机停留了一两分钟，之后我致电客服，给出的回复是，“他们软件后台没检测到我的还车以及锁车的操作，这个订单两天，我未收到一条短信，一个电话，也是我打电话反映的问题，凭什么我要为gofun软件导致的问题买单。</t>
  </si>
  <si>
    <t>2019/10/09 11:26:50</t>
  </si>
  <si>
    <t>借贷五万，已还七万，遇到困难，目前无力再还，恒昌公司不停往单位打电话催收，还往上级部门打电话，诬告我办学习班，作风有问题。</t>
  </si>
  <si>
    <t>2019/10/09 11:26:28</t>
  </si>
  <si>
    <t>浦发银行信用卡欠款两万多元，家里遇到事情导致还款逾期，期间七月份还款4000元，遭遇到第三方恶意催收，冒充公检法单位发送短信，骚扰家人，与第三方协商还款一直要求一次性还款，最后协商无果，想直接与银行直接沟通。</t>
  </si>
  <si>
    <t>2019/10/09 11:26:08</t>
  </si>
  <si>
    <t>之前也跟招联客服说过一些欠款问题.不是不还.只是资金出了一点问题！催收扰乱我家人，亲戚朋友.无奈我工作都换了好几份.刚刚要工作又扰乱我精神压力！至今家人被他们每天辱骂.没有好的心情工作拿什么还！国家现在严厉打击暴力催收！你们还冒充公检法还说是什么律师所恐吓。</t>
  </si>
  <si>
    <t>2019/10/09 11:25:55</t>
  </si>
  <si>
    <t>该商家利用第三方监管的app平台，以低价活动吸引大批用户对该app内所设钱包服务进行充值，并且该平台的钱包服务禁止所充值金额提现，还将不允许提现的字眼放的特别小，声言让顾客继续购买app内商城的物品，涉及强买强卖，疑似非法集资。</t>
  </si>
  <si>
    <t>2019/10/09 11:25:42</t>
  </si>
  <si>
    <t>多次向闪银借款，现今无力还款，也是希望能同闪银好好沟通还款事宜。</t>
  </si>
  <si>
    <t>2019/10/09 11:24:55</t>
  </si>
  <si>
    <t>闪银里的瞬瞬在联系的到本人的情况下，多次非法骚扰本人通讯录，造成不良影响，在瞬瞬里借款9次，由云南国际信托放款，每次收取199元虚拟凭证费用，相当于变相砍头息，总共收取1791元非法费用，现要求平台与我协商还款金额并销账！。</t>
  </si>
  <si>
    <t>2019/10/09 11:23:58</t>
  </si>
  <si>
    <t>投诉人 王女士        投诉对象  中信银行信用卡        涉诉金额  569 元    问题类型    诉求类型投诉详情  因未开资无法偿还信用卡，请求宽限些时日。不要骚扰我，谢谢</t>
  </si>
  <si>
    <t>2019/10/09 11:23:57</t>
  </si>
  <si>
    <t>广西鸿胜信息服务有限公司旗下的悦借钱严重的高利贷，借5000，实际到账4100，恶意催收，已还款，一直催收。</t>
  </si>
  <si>
    <t>2019/10/09 11:23:45</t>
  </si>
  <si>
    <t>我是逾期微粒贷了，但是这样让我怎么还款怎么正常的生活，，收款也不能收支付也不能支付，给客服打电话只是说有官司所以冻结你也让我知道谁告我的吧。</t>
  </si>
  <si>
    <t>2019/10/09 11:23:30</t>
  </si>
  <si>
    <t>投诉人武先生投诉对象自由魔卡信用计划涉诉金额1000元问题类型诉求类型投诉详情在自由魔卡借款好几次开始加入会员交了3百后来又借了2到3次每次均交付备付金350元要求立即退还会员费和前2次的砍头息。</t>
  </si>
  <si>
    <t>2019/10/09 11:22:15</t>
  </si>
  <si>
    <t>因为放假，发工资推迟三天，及贷催收人员就威胁要爆通讯录。</t>
  </si>
  <si>
    <t>2019/10/09 11:22:13</t>
  </si>
  <si>
    <t>本人报名后发现超职有问题，申请退款，工作人员不予受理。</t>
  </si>
  <si>
    <t>2019/10/09 11:21:57</t>
  </si>
  <si>
    <t>钱站高利贷，违规收取砍头息，还暴力催收，在本人没有任何逾期情况下骚扰恐吓本人，这位钱站员工不仅不愿意透露工号，态度恶劣对本人进行威胁，未逾期已经如此嚣张，无法无天！投诉到你倒闭！钱站不除天理难容！。</t>
  </si>
  <si>
    <t>2019/10/09 11:21:38</t>
  </si>
  <si>
    <t>投诉人 赵先生        投诉对象  钱站        涉诉金额  2 000 元    问题类型    诉求类型投诉详情  还款日威胁我必须几点之前必须还款 要不就打同语录 协助还款</t>
  </si>
  <si>
    <t>2019/10/09 11:21:27</t>
  </si>
  <si>
    <t>阳澄联合1988元蟹卷无法提货，诉求，要么让提货，要么退款。</t>
  </si>
  <si>
    <t>2019/10/09 11:21:10</t>
  </si>
  <si>
    <t>我没有收到扣款验证信息验证码，也没有输入付款密码，自动就扣了。</t>
  </si>
  <si>
    <t>2019/10/09 11:20:42</t>
  </si>
  <si>
    <t>本人今年在你我贷平台申请贷款，下款金额为12000，首期还款金额为2859元，已还4期金额为7837.84元，实际年化利率为76%，已高出国家规定36%，望有关部门能够及时处理.。</t>
  </si>
  <si>
    <t>2019/10/09 11:19:31</t>
  </si>
  <si>
    <t>投诉人 郭先生        投诉对象  Wecash闪银        涉诉金额  3 000 元    问题类型    诉求类型投诉详情  昨天和闪银里的哼哼 瞬瞬 说好延期 哼哼改给还了200 今天早上一个电话没接到 就爆通讯录</t>
  </si>
  <si>
    <t>2019/10/09 11:19:18</t>
  </si>
  <si>
    <t>给我亲戚打电话并辱骂我的亲戚，同事不停的给我单位打电话骚扰。</t>
  </si>
  <si>
    <t>2019/10/09 11:18:58</t>
  </si>
  <si>
    <t>信用飞高利贷砍头息，借款三千实际到账2400，分三期还款，每期一千元，本人已还款两期，现信用飞人员暴力催收，威胁，骚扰家人。</t>
  </si>
  <si>
    <t>2019/10/09 11:18:07</t>
  </si>
  <si>
    <t>在及贷平台借款由于这个月经济出现意外情况逾期一天，他们给我打电话的时候我很诚恳的向他们解释问题并说明，也告诉他们稍微缓两天就会给还上，但是他们态度很不好，直接就给我的家人打骚扰电话，而且是不停的打，对我的生活造成了严重的影响。</t>
  </si>
  <si>
    <t>2019/10/09 11:17:49</t>
  </si>
  <si>
    <t>利息高昂，不合理，要求降息，两期借口利息不同，差太多，。</t>
  </si>
  <si>
    <t>2019/10/09 11:17:40</t>
  </si>
  <si>
    <t>投诉人 何先生        投诉对象  钱站        涉诉金额  1 800 元    问题类型    诉求类型投诉详情  钱站砍头息，高利贷。逾期一天就增加一百元利息费。无良商家</t>
  </si>
  <si>
    <t>2019/10/09 11:17:31</t>
  </si>
  <si>
    <t>朋友借的钱，一个小时给我打一遍电话，严重影响了我正常的生活和工作，打第一遍的时候我就告诉不要再给我打了，一个小时后又给我打电话，说一些有的没的，说不给我打电话也行，让朋友把紧急联系人换了，他没这个权利什么的，还说找不到我朋友了，说瞎话的时候能不能走走脑子。</t>
  </si>
  <si>
    <t>2019/10/09 11:17:23</t>
  </si>
  <si>
    <t>投诉人 哈先生        投诉对象  汇中利通        涉诉金额  2 600 元    问题类型    诉求类型投诉详情  催收人一直骂人 诋毁 说恶意逃避 实际上却能联系到人 动不动就威胁人说要联系领导 说的每句话都不想让人回复 麻烦你们公司催收人员能培训上岗</t>
  </si>
  <si>
    <t>2019/10/09 11:17:18</t>
  </si>
  <si>
    <t>本人只愿还本息，闪银不接受协商，执意收取砍头息，本人因病借了闪银3500，扣掉500，还要按3500利息算，高利贷砍头息，能上征信，征信已经没有可信度。</t>
  </si>
  <si>
    <t>2019/10/09 11:17:15</t>
  </si>
  <si>
    <t>小花钱包暴力催收，进行威胁涉黑，电话短信骚扰朋友亲戚无法正常工作生活，群发短信，欠债还钱天经地义，他们骚扰我可以，为什么骚扰无辜人员，无法无天了吗。</t>
  </si>
  <si>
    <t>2019/10/09 11:16:49</t>
  </si>
  <si>
    <t>投诉人戴先生投诉对象来花花,汇潮支付涉诉金额2000元问题类型诉求类型投诉详情来花花有高额砍头息如借2000实际到账为1400，周期6天，下款时并未显示出到账金额及时间，催缴还款时态度特别恶劣，本人无奈已多次延期，并且多次协商还款本金不同意，以上app下款方均为汇潮支付，该公司为高利贷平台提供支付渠道！！该电话还为境外电话，疑是非法组织，望查。</t>
  </si>
  <si>
    <t>2019/10/09 11:16:08</t>
  </si>
  <si>
    <t>投诉人 李先生        投诉对象  及贷        涉诉金额  4 300 元    问题类型    诉求类型投诉详情  提高还清本额还需支持其他费用。想一次性还清本金希望减免利息。</t>
  </si>
  <si>
    <t>2019/10/09 11:16:04</t>
  </si>
  <si>
    <t>投诉人张先生投诉对象松紧贷涉诉金额11200元问题类型诉求类型投诉详情本人于2018年11月6日在松紧贷平台借款11200元整，其中1200元是他们所谓的推荐服务费，到手实际是10000元整，还款至今已还11313.4元！本金已还清，利息还了1313.4元！现还有两期未还！由于前段时间手机丢失没有来得及去补手机号，他们打不通就直接给我单位打电话进行骚扰！说话还很直接说我欠钱不还！还说如果一点之前不还钱的话还打我单位电话进行骚扰！。</t>
  </si>
  <si>
    <t>2019/10/09 11:15:40</t>
  </si>
  <si>
    <t>投诉人鲍先生投诉对象招财分期涉诉金额199元问题类型诉求类型投诉详情今天无意间翻看交易记录才看到，10月8日讯联智付，汇聚宝电子科技从我银行卡上随意划走199元，于是我就在网上查着汇聚宝电子科技是什么，后来知道是招财分期，国庆节几天，我没有用招联的业务，也没有得到他们的任何服务，不知道他们凭什么就随意划走我的钱，并且，我这张银行卡并不常用，除了每月车贷，并没开通任何代扣业务，不知道他们是如何做到不经过我同意就可以随意扣费的，希望给个满意答复，并尽量处理…。</t>
  </si>
  <si>
    <t>2019/10/09 11:15:25</t>
  </si>
  <si>
    <t>本人因国庆繁忙忘记处理交通银行尾号9253账单日为3号的信用卡23302.00元欠款，银行方面没有及时通知，但是本人于2019.10.8日下午全额还清所有账单并且致电交通银行信用卡中心核实，8号当天银行工作人员说已经查询到还清欠款后续不会产出任何问题，但是9号上午一个02155368482的号码说是交通银行信用卡中心代表的人致电与我态度恶劣嚣张并且用威胁的口吻让我处理欠款，现在是我已经处理完的情况下银行可能将我资料信息提供给三方外包机构侵犯我的合法权益，我在此请问交通银行客户信息是不经过客户本人随意委外给不</t>
  </si>
  <si>
    <t>2019/10/09 11:14:42</t>
  </si>
  <si>
    <t>投诉人黄先生投诉对象Wecash闪银,哼哼,瞬瞬涉诉金额4000元问题类型诉求类型投诉详情说过了，近期资金周转不开，且工资还未发放，还是天天轰炸式催收，严重影响个人的工作。</t>
  </si>
  <si>
    <t>2019/10/09 11:14:36</t>
  </si>
  <si>
    <t>兑付一直拖延，并无实质性行动，要求尽快实行兑付。</t>
  </si>
  <si>
    <t>2019/10/09 11:13:36</t>
  </si>
  <si>
    <t>投诉人蔡先生投诉对象Wecash闪银涉诉金额5000元问题类型诉求类型投诉详情本人于2019年7月1日申请借款5000元，到账之后与7月4号扣去900元砍头息，实际到账4100，按照每月还款922.83元，应还5536.9.多少利息1436.98元，按照国家利息规定，请问是否属于高利贷，！因本人资金周转困难，和催收人员协商，等到月底还款，催收人员，完全忽略了现金贷若干政策法规！威胁恐吓借款人！现已向监管部门展开投诉！如果在未经过我本人同意的情况下拨打我通讯录一人电话，正式向法院起诉！。</t>
  </si>
  <si>
    <t>2019/10/09 11:13:29</t>
  </si>
  <si>
    <t>跟黑社会一样！催收的都只是完成业绩！根本不理客人要求！有钱会拖欠吗！。</t>
  </si>
  <si>
    <t>2019/10/09 11:13:26</t>
  </si>
  <si>
    <t>三年前在佰仟金融公司做过一个分期，3199的分期，分36期，已经还了4100百块钱，客服打电话还让我还2800块钱，佰仟金融的客服给我打电话说哈尔滨银行上的征信跟他们公司一点关系没有，是我在哈尔滨银行贷款导致的，还有我的征信已经黑了，是被哈尔滨银行龙青支行上的，上面明确表明是哈尔滨银行发放给我的个人消费贷款，可是我从来没有在哈尔滨银行有过贷款，打电话给哈尔滨银行的客服，客服说是他们与佰仟金融有合作。</t>
  </si>
  <si>
    <t>2019/10/09 11:13:21</t>
  </si>
  <si>
    <t>，不是本意逾期，已经还了一期了，骚扰通讯录，骚扰我的家人，天理何在，立即停止你的违法行为，不要骚扰我的家人。</t>
  </si>
  <si>
    <t>2019/10/09 11:12:22</t>
  </si>
  <si>
    <t>在本有的利息上在收取灵活还款服务费，和寿险计划服务费。</t>
  </si>
  <si>
    <t>2019/10/09 11:12:18</t>
  </si>
  <si>
    <t>此app以放款为借口诱导客户开通免费vip，开通后并未支付客户借款额度，只是推荐了多家口子链接。</t>
  </si>
  <si>
    <t>2019/10/09 11:11:55</t>
  </si>
  <si>
    <t>立刻出行承诺不欠费无违章情况下10个工作日内退保证金。</t>
  </si>
  <si>
    <t>2019/10/09 11:11:40</t>
  </si>
  <si>
    <t>本人于及贷借款4000元，服务费440,这就是购买及贷会员服务的钱，借4000需要还款4800元，但是现在因困难所以暂时无法履约，及贷客服随即爆本人通讯录，已经严重影响我本人生活，我将像法院提起诉讼！。</t>
  </si>
  <si>
    <t>2019/10/09 11:11:30</t>
  </si>
  <si>
    <t>2月18日租车，租期6个月，合同到期正常还车。催促很多次但是至今我未收到押金退回。</t>
  </si>
  <si>
    <t>2019/10/09 11:11:28</t>
  </si>
  <si>
    <t>2019年8月7号我在360借条上测了一下额度，当时显示的只有6200块钱，太少了我也没用，后来没过十分钟钱就打过来了，在打过来的时候我不知道我分多少期，我更不知道我一个月还多少，随即就联系他们客服人员把钱划走，他们也同意了，但是要我付一百多块钱的利息，我没有用你们的钱，你凭什么要让我付利息，沟通未果，后来还非法爆我通讯录，恐吓我的家人，360必须给我个解释，否则我必起诉你们平台，。</t>
  </si>
  <si>
    <t>2019/10/09 11:11:17</t>
  </si>
  <si>
    <t>银盛支付业务员忽悠人办理pos机，在没有事先说明没经过本人同意，本人不知情的情况下盗刷了299元，发现后质问说第二个工作日返还，到了第二个工作日没有返还，然后又说要刷满200笔后才返还，而且态度逃辟，这纯粹就是欺诈。</t>
  </si>
  <si>
    <t>2019/10/09 11:10:51</t>
  </si>
  <si>
    <t>10月初在小浦优客注册了账号，根据页面填写了银行卡和个人信息，但是未能给我所需要的相关服务，于是卸载，9号以生成信用报告为由强制扣款296元，希望贵公司联系我，并且把金额退还给我。</t>
  </si>
  <si>
    <t>2019/10/09 11:10:23</t>
  </si>
  <si>
    <t>江西赣州宜信普惠公司高利贷，2018年8月份，因本人资金周转向其借款到账25137.4元，分24个月每月1597.91元，目前已经还13期总计20772.83元，因家里出现问题近期资金周转不开，跟客服电话0797-2139190申请延期，客服人员任然暴力催收恐吓本人，并拨打公司电话恶意传播不良信息，严重影响本人工作，现请求清算借款合同，减免不符合国家法律的欠款，还我一个公道，借款期间多次询问综合费率，该公司借贷人员有意隐瞒，导致本人在不清楚借款费率的情况下签署高利贷合同，现已对本人生活、工作造成严重影响。</t>
  </si>
  <si>
    <t>2019/10/09 11:10:10</t>
  </si>
  <si>
    <t>投诉人张先生投诉对象掌众金服涉诉金额1090元问题类型诉求类型投诉详情资金周转紧张，想要求开通延期还款，催收人员不同意，和客服沟通说让本人找他们协商沟通，可以开的，催收人员一直说不行，如今天可以开通，马上就可以处理，麻烦掌众客服协商沟通解决。</t>
  </si>
  <si>
    <t>2019/10/09 11:09:54</t>
  </si>
  <si>
    <t>逾期三天，开始通过加我通讯录好友微信暴力催收，催收组就可以凌驾在法律之上吗。</t>
  </si>
  <si>
    <t>因为国庆原因，工资延发，贷上钱逾期疯狂爆通讯录，打骚扰电话，导致我父母住院，钱可以还，但是一天80的利息！前期买游戏币套路500多！要求道歉！。</t>
  </si>
  <si>
    <t>2019/10/09 11:09:43</t>
  </si>
  <si>
    <t>因周转需要，2018年4月24日在人人贷正平台借款25000万，可是合同里面确是28500元，存在欺诈行为，共分36期，每月还款1119..44元，共计还款40299.84元，现已还款19030.48，还要还款21269.36元实属高利贷，每个月还款明细里本金774.05元，利息129.95元，相关费用215.44元，实际每个月要偿还1119.44元，合同里还有一项技术服务费3250元，合同写年利率是9.6%，可实际还款金额利息已严重超出，要求人人贷调整合理金额后还款。</t>
  </si>
  <si>
    <t>2019/10/09 11:09:39</t>
  </si>
  <si>
    <t>一直处于放款中现在不想要了请求撤销放款拦截款项。</t>
  </si>
  <si>
    <t>2019/10/09 11:09:21</t>
  </si>
  <si>
    <t>本人于2019年3月28日在快闪卡贷借款8000元分期6期，平台确认界面显示借款8000元，而借款合同采用阴阳合同，确认借款后实际到账7918.11元，收取费用81.89元，后未经过任何本人容许自动扣款1184元，分期每月需还款1604.8元，实际借款6734.11，按平台要求需要还款9628.8元，实际利益高达年百分之86，本人已经还款5期，加违规收取的高额罚息共还款8422.8元，已经远远超过在本人借款本金加利息，本人由于建国70周年期间由于平台未任何提醒而导致逾期，快闪卡贷违规使用本人通讯录和通话记录</t>
  </si>
  <si>
    <t>2019/10/09 11:08:55</t>
  </si>
  <si>
    <t>跟客服协商说还款全部分期都还上，要求把利息减免了，一直没有人联系我，联系的只有催贷公司，还乱给别人打电话，让我受不了，真的不能接受这些网贷平台，收着高额的利息，还不停的乱骚扰，希望有关部门帮帮忙。</t>
  </si>
  <si>
    <t>2019/10/09 11:08:44</t>
  </si>
  <si>
    <t>退款！有点良心有点同情心吧！求求你们把我的血汗钱还给我！。</t>
  </si>
  <si>
    <t>咪咪罐,http://www.mimiguan.，我是今年也就是2019年9月13号在咪咪罐平台申请的1400元，当时是不选征信费不放款，我记得去年是会员卡199我就选了，等借完以后，我一看但是还款2100多元，这我就接受不了，这是对半的利息，我和他们客服商量，他们就只回我一句话按照还款金额还款即可，我不知道投诉有没有用，还有三天就到期了，如果没用我就去警察局报警去，这比714高炮都贵。</t>
  </si>
  <si>
    <t>2019/10/09 11:08:21</t>
  </si>
  <si>
    <t>及贷逾期两天，多次发短信骚扰欠款人的家人，分别给欠款人的父亲，以及姑姑多次发短信骚扰，口口声声没有欠款人的通讯录可是短信一条没有少发！我觉得及贷这种行为已经违法，所以本人一定坚决维护我的合法权益，欠款逾期是我不对但是我还是中国的合法公民，我的合法权益应该受到保障！聚投诉处理不了，我就去信访局投诉市政府上访我就不信这种流氓公司真的可以无视法律为所欲为！。</t>
  </si>
  <si>
    <t>2019/10/09 11:07:57</t>
  </si>
  <si>
    <t>快递是放在超市的快递代收点处，拿包裹的时候需要额外给三元一个包裹的费用。</t>
  </si>
  <si>
    <t>2019/10/09 11:07:14</t>
  </si>
  <si>
    <t>打家里人电话，一直发信息骚扰威胁，希望停止别再发信息给我，有事打电话解决。</t>
  </si>
  <si>
    <t>2019/10/09 11:07:12</t>
  </si>
  <si>
    <t>众安保险旗下的点点借款平台暴力催收，骚扰侮辱通讯录的亲朋好友，还说每隔十分钟就打一个电话，通话记录我有录音的，通讯录的已有反馈说平台电话骚扰骂人。</t>
  </si>
  <si>
    <t>2019/10/09 11:06:53</t>
  </si>
  <si>
    <t>投诉人陈海龙投诉对象现金巴士涉诉金额1440元问题类型诉求类型投诉详情本人因生活困难急需用钱，不得已于今年7月在现金巴士借款2000元，分三期还款，每期还款726元，第一期已还，第二期和第三期逾期未还，借款之前都要收500元的加速费其实就是砍头息，要不然就不能下款，处于急需资金的状态，上月到期没有及时还款，最近总是打电话威胁如果不处理就爆通讯录，威胁还款，本人协商还本金不同意，每月逾期费用就高达300元，陆陆续续借款20多期，请聚投诉平台帮助，要求退还砍头息，以及巨额的罚息。</t>
  </si>
  <si>
    <t>2019/10/09 11:06:45</t>
  </si>
  <si>
    <t>我于2019年8月23日办理退房手续，水电费一切结清，但悦如公寓到现在还没退我押金，从10个工作日推到20个工作日，20个工作日后我给管家联系，管家说现在公司资金紧张，没钱，让我等两天，过两天我给客服打电话，客服说这两天网断了，木法，我现在手续已办理为什么不给退押金呢。</t>
  </si>
  <si>
    <t>2019/10/09 11:06:24</t>
  </si>
  <si>
    <t>投诉人 包女士        投诉对象  林煜        涉诉金额  2 000 元    问题类型    诉求类型投诉详情  微信上搞活动，骗我钱，还发微信不回。货品收到后，跟当时活动不一样</t>
  </si>
  <si>
    <t>2019/10/09 11:06:21</t>
  </si>
  <si>
    <t>投诉人 涂文龙        投诉对象  趣花分期（手机贷）        涉诉金额  20 000 元    问题类型    诉求类型投诉详情  暴力催收，冒充公检法，。暴力催收。明天银监会见</t>
  </si>
  <si>
    <t>2019/10/09 11:06:15</t>
  </si>
  <si>
    <t>滴滴双证上传半年了，一直显示初审通过，迟迟不给验真。</t>
  </si>
  <si>
    <t>2019/10/09 11:05:33</t>
  </si>
  <si>
    <t>8月份在My钱包贷款4000，分3月还清，第一个也还了2093元，第二期还款1963元，第三期还款872元，3个月的还款利息高达900多，今天没有进行还款，My钱包工作人员给我打电话要我12点钱还款，不然他们要承接给第三方公司，你们是不是都太猖狂了，没有看文件吗，第三方催收机构，谁给我打电话我就让谁赔偿。</t>
  </si>
  <si>
    <t>2019/10/09 11:05:16</t>
  </si>
  <si>
    <t>2019年10月5日通过淘宝途径购买苏宁易购美的冰箱一台，在商品送达后发现冰箱右门角存在严重凹陷，苏宁客服拒不协商且推脱责任，声称只能退费30元，本人对苏宁给出的解决方案及傲慢态度表示不满，要求苏宁易购正视冰箱缺陷，给予换货处理，并改善售后服务水平。</t>
  </si>
  <si>
    <t>2019/10/09 11:05:02</t>
  </si>
  <si>
    <t>10月7号去车置宝绍兴门店拿一台中标的07年大众领驭，到店后对车辆检查，因为门店打电话给我说车辆可以正常行驶并开回上海，检测报告上写变速箱需要大修所以重点检查变速箱，门店人员带我开车路试，开始是可以正常行驶就是起步顿挫感太强，然而四五十吗行驶途中一半的时候车突然不能走了，，仪表盘故障灯也亮了，然后在路上门店人员搞半天，这种车我是要从绍兴开回上海的，敢问出现这种状况你还敢拿这车开回上海吗，我当时联系了客服经理说明了情况，然而他们却说我不拿车算违约扣我2000保证金，希望所有商户引以为戒，不要在车置宝拍车了太坑</t>
  </si>
  <si>
    <t>2019/10/09 11:04:55</t>
  </si>
  <si>
    <t>6月分打电话过去和民生信用卡协商还款，一次性还款，全部结清，到现在10月了，帐还没有消，征信也没改。</t>
  </si>
  <si>
    <t>2019/10/09 11:04:05</t>
  </si>
  <si>
    <t>2017年10月在宜人贷贷款2万分12期，到账金额不足2万，当时已还8期后发现利息服务费等等超高，当时和自己的律师朋友聊过利率相关问题，并和宜人贷公司有过协商减免利息，但无果，导致逾期一年多，现宜人贷公司找第三方催收公司电话威胁，让我一次性结清所有费用，不还就会打公司固定电话进行骚扰，如果第三方公司实施他们的威胁打电话操作，那么无疑我将会失业，现本人诉求，按照国家相应法律进行还款操作，结清，销户！如果宜人贷公委托第三方公司暴力催收，事实发生后，本人会依法拒绝还款，依法追究其责任，首先110报警，其次到相关部</t>
  </si>
  <si>
    <t>2019/10/09 11:03:42</t>
  </si>
  <si>
    <t>投诉人 唐女士        投诉对象  MsParis女神派        涉诉金额  299 元    问题类型    诉求类型投诉详情  9月二十多号就说好了 一周之内就退款 到现在十多天了 每次问 每次都说尽快 都要去催 还是没退款</t>
  </si>
  <si>
    <t>2019/10/09 11:02:48</t>
  </si>
  <si>
    <t>本人在2018年，因手机频繁收到短信宜人贷诱导短信，凭身份证查询能带多少钱，从网上查了下，没有贷款意愿，考虑还款能力有限，之后宜人贷工作人员一天几个电话，天天打，问题贷款利率有多高，当时业务说的不会超过国家标准，最多就是0.8%-1.4%.出出于信任，还有就是后期可能会用钱，我填写资料，申请贷款，下款50000元，到银行卡，宜人贷客服专门打电话咨询了有没有人在沟通中是否收取服务费和其他费用，我借款50000，到账50000，所以，配合回复没有，还款一年多，朋友让我查下还款多少，还剩多少，才打开app发现，借</t>
  </si>
  <si>
    <t>2019/10/09 11:02:16</t>
  </si>
  <si>
    <t>投诉人杨先生投诉对象银河电视涉诉金额30元问题类型诉求类型投诉详情银河互联网电视有限公司在没有通知情况下恶意扣费续费没有到期没有任何提醒情况下扣费自动续费明天到期今天扣费就是不给你取消时间，要求银河互联网电视公司退回我30元。</t>
  </si>
  <si>
    <t>2019/10/09 11:02:10</t>
  </si>
  <si>
    <t>超过国家规定利率，并且伪造合同砍头息，借款2万服务费5600元外加利息，并且短信侮辱电话骚扰，已还超过本金，希望协商还法定利率，不希望走到法院见的地步，如协商未果直接法院起诉保护自身权益。</t>
  </si>
  <si>
    <t>2019/10/09 11:01:29</t>
  </si>
  <si>
    <t>投诉人徐女士投诉对象交通银行信用卡涉诉金额5000元问题类型诉求类型投诉详情2017年我办理了交通银行信用卡，但是在2019年本人因为生意经营用人错误，被拖欠大笔工程款项，并且老板没有款项可以给付，但是确实很难，后来借网贷还信用卡可是远远不够，现在还差银行中心款项，所以一直打电话和银行协商归还本金，减免收取和入账的逾期费和部分利息，不是不想还，而是希望能给与我们最低的额度款项，18年11月-19年9月账单单违约金就达3482元，这个金额太大，银行是正规化银行，我不是老赖，不是恶意拖欠，附图手写的18.11月</t>
  </si>
  <si>
    <t>2019/10/09 11:01:25</t>
  </si>
  <si>
    <t>馒头借钱平台涉嫌设立隐蔽条款诱骗客户钱财，本人自9月11被动缴纳146元后，直至今日仍未收到平台任何反馈结果，今日（10月9日）电话客服要求提供公司全称第一位客服报的是 ，工商注册信息上根本就查不到，第二位客服报的是XX借钱，故意含糊应复后挂机，第三位直接说不在服务范围之内，今日（10月9日）电话客服要求提供公司全称濮阳程朋网络科技有限公司，9月27日电话咨询客服回复说29号出结果，今日，故，我严重怀疑此公司及贷款平台的真实性或合法性！，要求有息退还擅扣费用，公示公司合法合规证明！。</t>
  </si>
  <si>
    <t>2019/10/09 11:01:08</t>
  </si>
  <si>
    <t>微博账户无法绑定支付宝，导致微博钱包里的钱无法提现。</t>
  </si>
  <si>
    <t>RPG地图数码之极限进化中购买了678元的产品，结果到了2019年10月9日发现地图已经找不到了，官方平台无论地图上架或者赞助上架都是要审核的。</t>
  </si>
  <si>
    <t>2019/10/09 11:00:57</t>
  </si>
  <si>
    <t>及贷，高利贷，恐吓，爆通讯录，冒充公职人员。</t>
  </si>
  <si>
    <t>2019/10/09 11:00:40</t>
  </si>
  <si>
    <t>在逾期期间，闪银多次骚扰我联系人，现打算协商还款，但联系不上客服。</t>
  </si>
  <si>
    <t>2019/10/09 11:00:27</t>
  </si>
  <si>
    <t>投诉人 刘先生        投诉对象  钱站        涉诉金额  8 000 元    问题类型    诉求类型投诉详情  下款前未明确告知还款金额，及分期详情。利息得吓人，借8000还12000多。</t>
  </si>
  <si>
    <t>2019/10/09 10:59:51</t>
  </si>
  <si>
    <t>利用手机app进行网络赌博，且数额巨大，坑害了不少人，本人在平台输了有。</t>
  </si>
  <si>
    <t>2019/10/09 10:59:31</t>
  </si>
  <si>
    <t>我在钱站借了两笔钱各1000元，合同上写的借1330元每笔，实际到账两笔都是1000元，但是还款的时候一笔要还1500多，另一笔要还1800多，这不就是高利贷吗。</t>
  </si>
  <si>
    <t>2019/10/09 10:59:24</t>
  </si>
  <si>
    <t>这之间一直在以最大的能力每次去还100到几百不等，最近有一个每次打电话说着本地方言的女人跟我打电话说威胁我。</t>
  </si>
  <si>
    <t>2019/10/09 10:59:16</t>
  </si>
  <si>
    <t>10月6号下午2点卖的玉米，用拉卡拉收的钱没到账，反馈客服好几天，也提供了要的资料，后来又要手持身份证照片，手持身份证照片不可能随便发的，这个多危险！客服一直说是没有手持身份证照片就不给解冻！把我花钱开的收款店铺也关闭了，要求给个解释和退还金额。</t>
  </si>
  <si>
    <t>2019/10/09 10:59:10</t>
  </si>
  <si>
    <t>我卖的账号，账号已经给买家了，买家未确认收货，十月3号买家申请仲裁说我账号与图片不符，买家申请仲裁到现在交易猫客服也没出面解决，一次也没联系我，我现在账号也给出去了，钱也没收到。</t>
  </si>
  <si>
    <t>2019/10/09 10:58:38</t>
  </si>
  <si>
    <t>投诉人张先生投诉对象于斯钢琴涉诉金额4800元问题类型诉求类型投诉详情于斯钢琴我还剩70节课没上，现在班主任联系不上，客服电话拨打没人接，现在涉及未上课程退费问题。</t>
  </si>
  <si>
    <t>2019/10/09 10:58:28</t>
  </si>
  <si>
    <t>Videoleap的app.在今日凌晨2.50突然来了扣费信息，扣了288元人民币.而且是在本人没经过允许的前提下私自扣费，希望找回被扣的钱。</t>
  </si>
  <si>
    <t>2019/10/09 10:58:01</t>
  </si>
  <si>
    <t>投诉人张先生投诉对象阳光安心贷涉诉金额1145元问题类型诉求类型投诉详情在我未接到电话的时候，给我联系人及单位打电话，影响到我正常生活和工作了。</t>
  </si>
  <si>
    <t>2019/10/09 10:57:55</t>
  </si>
  <si>
    <t>本期已归还快闪卡贷平台第三期账单，对公入账。</t>
  </si>
  <si>
    <t>2019/10/09 10:57:54</t>
  </si>
  <si>
    <t>投诉人王女士投诉对象捷信金融涉诉金额10000元问题类型诉求类型投诉详情本人于2017年7月在捷信金融借款10000元，分30期还款，每期645.5.到今天2019年10月8日已还款25期，共还16137.5元，远远超过国家规定利率，利息太高，期间捷信公司催收电话从早到晚.多的一天电话有十五六个.强烈要求捷信公司给个说法.并且借贷利息远远超出国家的范围.！实打实的高利贷啊，还有什么贷款管理费，灵活还款包以及客户服务费这些，我就想说这难道不是高利贷套路贷吗，原来一直还着，近期逾期了，后面我已经无力偿还，可是催</t>
  </si>
  <si>
    <t>2019/10/09 10:57:33</t>
  </si>
  <si>
    <t>钱站这么高的收费完全不合理，处理态度很差，完全为自己推脱。</t>
  </si>
  <si>
    <t>2019/10/09 10:57:30</t>
  </si>
  <si>
    <t>本人于10月09号在想你分期借款2500元，实际到账1625元，砍头息885元，于10月14号到期，想你分期为套路贷平台放款，知法犯法，希望本金销账。</t>
  </si>
  <si>
    <t>2019/10/09 10:56:22</t>
  </si>
  <si>
    <t>投诉人 冯女士        投诉对象  美乐乐家居网        涉诉金额  144 元    问题类型    诉求类型投诉详情  10月2号就来电说10月8号会退款给我 但是今天都10月9号了 还不退款给我是什么意思 这就是美乐乐的诚信吗 好想骂人</t>
  </si>
  <si>
    <t>2019/10/09 10:56:00</t>
  </si>
  <si>
    <t>厦门金联支付信息科技有限公司,福建国通星驿网络科技有限公司,通付。</t>
  </si>
  <si>
    <t>2019/10/09 10:55:47</t>
  </si>
  <si>
    <t>9月22日，新生支付有限公司无故从银行卡里扣款299元，据悉为聚富分期代扣报告费用，但是提前没有任何通知，请求退款！。</t>
  </si>
  <si>
    <t>2019/10/09 10:55:37</t>
  </si>
  <si>
    <t>严重威胁我，感觉生命没有保障，对我的生活造成严重影响，黑社会吗。</t>
  </si>
  <si>
    <t>本人在9月27号看到聚富分期这个软件点进去注册之后发现要299元的什么费用然后就给卸载了，9月28号早上就收到短信银行卡里被扣299元，本人完全不知道没有支付过密码的情况下就给扣了299元，后来在黑猫投诉上面投诉了一下，他们客服打电话说完成投诉给退款最晚10月8晚上，可是昨天还是6没有给退款，这不就是一个骗子公司。</t>
  </si>
  <si>
    <t>2019/10/09 10:55:27</t>
  </si>
  <si>
    <t>我以为咨询银行的朋友了，已经超出了年利率36%。</t>
  </si>
  <si>
    <t>2019/10/09 10:55:21</t>
  </si>
  <si>
    <t>恒昌平台暴力催收，爆通讯录说要我小孩注意点，严重威胁我家人的生命安全，每天收到各种威胁辱骂短信，还说要派人抓我小孩，现在害的我小孩都不敢出门，我的家人朋友每天都不敢接电话，希望国家有关部门可以还我们一片青天。</t>
  </si>
  <si>
    <t>2019/10/09 10:55:07</t>
  </si>
  <si>
    <t>2019年6月5号13:52，由于家里有急事，我通过威震天借款2900元，但实际到账金额只有2100元，800元的砍头息，并且借款期限仅仅8天，这样的嗜血平台简直可恨，8天后需要偿还2913.44元，然而更让人气愤和失望的是威震天的资金存管渠道居然为广州合利宝支付科技有限公司，合利宝，为714威震天提供非法资金存管渠道，希望相关部门以及全网媒体严查严惩，我愿意接受采访，协助处理。</t>
  </si>
  <si>
    <t>2019/10/09 10:54:26</t>
  </si>
  <si>
    <t>在车速拍拿车，合同系列没商量好，销售逼交服务费，问销售车主是不是做二手车的，销售说不是，结果车主是做车的，而且车子于2019年9月30号刚过的户与检测报告不符合，联系让他们退车，一直推脱，而且销售骂人。</t>
  </si>
  <si>
    <t>2019/10/09 10:53:40</t>
  </si>
  <si>
    <t>嗨钱第一期银行自动扣款·还款了·但APP显示逾期·还加罚金··找不到客服人·好不容易联系上客服说先转钱到第三方公司账户，后期统一销账，目前都快3个月了·也没见销账····现在第三方深圳光华惠普科技有限公司，猛打电话来催要还款···已经严重困扰我生活。</t>
  </si>
  <si>
    <t>2019/10/09 10:53:26</t>
  </si>
  <si>
    <t>逾期一天，今天催收上来就直接问朋友同事都穷的吃不起饭了。</t>
  </si>
  <si>
    <t>2019/10/09 10:53:08</t>
  </si>
  <si>
    <t>投诉人郭先生投诉对象山西德胜卓远门业有限公司涉诉金额3440元问题类型诉求类型投诉详情山西德胜卓远门业有限公司，当初让我去万达龙樾府维修防火门，说好的连工带料430一天，干了8天，活干完了，他说一两天给，结果一拖一年，还不给，现在电话不接，信息不回！请平台帮我维权！聊天记录还有，发不上来了。</t>
  </si>
  <si>
    <t>2019/10/09 10:53:02</t>
  </si>
  <si>
    <t>投诉人朱先生投诉对象小浦优客涉诉金额296元问题类型诉求类型投诉详情注册APP没有贷款，然后发现银行卡被私自扣款296。</t>
  </si>
  <si>
    <t>2019/10/09 10:52:55</t>
  </si>
  <si>
    <t>从用拍拍贷至今从未有过逾期，上个月拍拍贷无故剥夺用户权利，还进去之后可借额度1200却再也借不出，他就说马上爆我通讯录就给我挂了，请拍拍贷速与我联系。</t>
  </si>
  <si>
    <t>2019/10/09 10:52:42</t>
  </si>
  <si>
    <t>投诉人 李先生        投诉对象  我来数科        涉诉金额  5 000 元    问题类型    诉求类型投诉详情  我来数科高额的利息 当天扣款失败之后第二天手动还款超出次数 第三天主动还款发现逾期费用多了200 是你们自己支付平台出现问题导致扣款不成功 为什么我要出这逾期费用 请麻烦解释清楚并且退还逾期费用</t>
  </si>
  <si>
    <t>2019/10/09 10:52:30</t>
  </si>
  <si>
    <t>本人玖富万卡平台贷5万1千元到账4万6千元，直接扣掉5千元，属于高利贷，高砍头息！现在要求平台退还砍头息的钱！。</t>
  </si>
  <si>
    <t>2019/10/09 10:52:22</t>
  </si>
  <si>
    <t>众安保险在本人不知情情况下捆绑与网贷公司投保。</t>
  </si>
  <si>
    <t>2019/10/09 10:51:59</t>
  </si>
  <si>
    <t>我是一个做小吃生意的小老板，支付宝收款码被限制收款7天，严重影响了我的经营，打支付宝客服打不进去，打95188客服电话，提示就是收款码被限制收款，也转接不了客服，没有任何选择权利，哑巴吃黄连，有苦说不出啊。</t>
  </si>
  <si>
    <t>2019/10/09 10:51:54</t>
  </si>
  <si>
    <t>本人在闪电借款贷款，平台一直让购买财神黑卡，200元购买完成后却不能借款，告知额度已抢光，要求退还购买财神黑卡的费用500元。</t>
  </si>
  <si>
    <t>2019/10/09 10:51:48</t>
  </si>
  <si>
    <t>投诉人 王女士        投诉对象  贷上钱        涉诉金额  2 000 元    问题类型    诉求类型投诉详情  贷上钱拨打本人通讯录电话，对我造成了伤害。</t>
  </si>
  <si>
    <t>2019/10/09 10:51:45</t>
  </si>
  <si>
    <t>请求与招商银行信用卡中心协商解决分期还款，希望不要再骚扰家人朋友而且连工作都保不住我不知道拿什么来还这次债务，我知道我逾期是我的不对，但是你叫我一次性还完实在没能力，不是不还，多次申请，停卡停息协商分期还款，银行不理睬，现在每个月2600左右的违约金加利息，都持续几个月了，我怎么承受得起，你们这样持续下行我不知道最后利息要积累多少，现在每天都被逼疯了，都有点阴郁症，你们再这样下去，我出什么事情，你们后果自负。</t>
  </si>
  <si>
    <t>2019/10/09 10:51:35</t>
  </si>
  <si>
    <t>卡里面一直有钱，没有扣，才过了一天就多了逾期费用。</t>
  </si>
  <si>
    <t>2019/10/09 10:51:26</t>
  </si>
  <si>
    <t>众安保险公司恶心捆绑销售保险，本人从未买过保险，却被查到在众安名下有出六单保险，本人并不知晓这几分保险是从什么时候开始买的，本人在网贷时并未被告知有捆绑保险这一项业务，也没有看见保险合同，而且本人并不知情也没有签字，希望你们公司给我一个合理的解释，别在用50块话费来说事，我不缺你们那50块的话费，我们并不知情自己有买你们的保险，身为投保人却不知道自己买了六份保险，我们需要维护自己的权益。</t>
  </si>
  <si>
    <t>2019/10/09 10:51:22</t>
  </si>
  <si>
    <t>我在钱站2019年9月22申请3000元贷款25号给我放款，钱站客服打电话回访问我要借款我说不需要了已经借到了，可是他们放了电话就给打款，并且我申请的是12期，直接改为3期，利息高的吓人，每期1326.22总共要还3914.13，还吧我申请日期改成2015年的现实没通过，这3000元申请通过信息现实没通过怎么会放款，但还款记录现实要在2019年10月22号还钱。</t>
  </si>
  <si>
    <t>2019/10/09 10:51:00</t>
  </si>
  <si>
    <t>凡普金科让我在10：30之前还款，否则回收我高额利息并骚扰我的亲人朋友同事。</t>
  </si>
  <si>
    <t>2019/10/09 10:50:50</t>
  </si>
  <si>
    <t>时间超过未到账，要求全额退款，无法联系客服。</t>
  </si>
  <si>
    <t>2019/10/09 10:50:44</t>
  </si>
  <si>
    <t>钱站涉嫌阴阳合同申请款项3990元，实际到账3000元，还款3个月每月利息高达百分之80，实际每月还款1843.8。</t>
  </si>
  <si>
    <t>2019/10/09 10:50:36</t>
  </si>
  <si>
    <t>我在7月向钱站平台借款1300，而合同上写的借的是2250，这个我根本不知道直到钱到手我才知道合同上写的这些，之前我也跟给钱站客服打过电话问了下多出的950是怎么回事他告诉我是服务费，这明显就是砍头息了，我已经还了两期的钱了加起来也超过1500了，最后一期这月8号还，这一期的款我是绝不会还的，钱站平台一共就借了我1300，凭什么就让我还2250，这分明是套路恶意收取高额利息，我只希望聚投诉平台帮帮我，帮我把最后一期的款销账了，希望贵平台帮帮我，因为谁家的钱都不是大风刮来的最后一期我是真的不会认的，希望贵平台</t>
  </si>
  <si>
    <t>2019/10/09 10:50:30</t>
  </si>
  <si>
    <t>到目前为止一直没解决，希望通过聚投诉给予解决。</t>
  </si>
  <si>
    <t>2019/10/09 10:49:59</t>
  </si>
  <si>
    <t>本人在嗨钱平台借款，借款4800只到账4000左右，并且在第一期还款时笑脸金融要求我给他们还款，多次催收骚扰下我给他们还款了第一期，结果拒不销账，一直显示逾期还有逾期费，之后多次电话骚扰我要我继续还款，并且说不给他们就要爆我通讯录，态度恶劣，还款也不销账，还伪造自己是嗨钱客服来催收！。</t>
  </si>
  <si>
    <t>2019/10/09 10:49:57</t>
  </si>
  <si>
    <t>现金巴士套路贷，贷款时候会收取20%左右的砍头息，今天接到催收电话，我说下午5点之前可以处理，结果催收人就直接说不谈了，说马上开始炸我的通讯录和我单位的电话！要让我每个联系人都知道，还说所有问题让我后果自负，有录音为证！我好怕。</t>
  </si>
  <si>
    <t>已经借款一年多了！前三个月又下一个套路贷，越欠越多，总共两比贷款了！我联系了客服几十次，跟钱站公司好多工作人员都讲过望调整利息，可一直得不到回复，特请有关部门帮忙，钱我会还可是高利贷我不接受，也不符合国家规定，这么高的利息就是把人往死路上逼。</t>
  </si>
  <si>
    <t>2019/10/09 10:49:54</t>
  </si>
  <si>
    <t>投诉人姜亦川投诉对象六便士涉诉金额2000元问题类型诉求类型投诉详情自由魔卡里的六便士，借款2000，前期就要缴纳500会员费，明显的砍头息，套路贷，而且已经多次对我使用同样的手法，利息已经超过本金，我现在要求销账处理。</t>
  </si>
  <si>
    <t>2019/10/09 10:49:49</t>
  </si>
  <si>
    <t>微粒贷恐吓威胁骚扰家人，朋友，乱爆通讯录，已经构成暴力催收，已经涉黑。</t>
  </si>
  <si>
    <t>2019/10/09 10:49:46</t>
  </si>
  <si>
    <t>中信银行信用卡升级白金信用卡，客服打电话诱导开卡，并且未告知年费两千元，未开卡已新增账单2000元。</t>
  </si>
  <si>
    <t>2019/10/09 10:49:45</t>
  </si>
  <si>
    <t>10月1日当天，短短7天时间，要收我900费用，这已经严重不符合国家利率，在此期间，我联系借贷宝方协助协商解决，借贷宝说需要我提供材料，他们说需要的材料我全部提供了，可借贷宝方就我提交的资料说审核不通过，没有给我处理，借贷宝方声称会爆我通讯录，需要我自己承担法律义务，请问有什么权利爆，钱我不是没有还，转账记录全部都有，处理方式过于偏向对方，这种公司还声称合法合规，现在我平台的欠款迟迟不销账，一天就有60块钱的管理费用。</t>
  </si>
  <si>
    <t>2019/10/09 10:49:39</t>
  </si>
  <si>
    <t>投诉人刘先生投诉对象信用管家,畅捷支付,汇聚支付,石头管家涉诉金额4094元问题类型诉求类型投诉详情本人在信用管家平台APP的推荐下在石头管家里借款3000元，到账3000元，8天为一期1023.52元总共4期需要还4094.08元，其中利息1094.08元，期限未到本人已还清三期本金加利息共3070.56元，利息之高已经超过国家法律法规，最后一期本人希望第四期还合法利息，石头管家实属714套路贷其中畅捷支付和汇聚支付为其提供扣费服务，联系不到客服，要求该平台与本人协商还款事宜，销账。</t>
  </si>
  <si>
    <t>2019/10/09 10:49:24</t>
  </si>
  <si>
    <t>银生宝为非法平台提供通道，至今未处理，多次询问都是敷衍的态度。</t>
  </si>
  <si>
    <t>2019/10/09 10:49:11</t>
  </si>
  <si>
    <t>借3000元分三期还，现在刚还第一个月就1400多，还要我还六期，两期就还了2900元，剩下4期还要还4期，什么高利贷。</t>
  </si>
  <si>
    <t>2019/10/09 10:49:10</t>
  </si>
  <si>
    <t>我在8月21号晚上6点多在滴滴平台上接到个预约单送乘客去温州机场，7点左右到了机场被运管扣了，然后做笔录，做完后打滴滴电话告知他们，他们说会有专员在48个小时内跟我联系，第二天接到个杭州电话说会负责我的罚款，叫我不用担心，要我耐心等待，之前我打滴滴客服，客服说处理要一个月到一个半月，可我等了50天还是没有一个电话打给我，打滴滴客服老是说会有专员会给我来电，可是等了一天都没有打给我，打了三天都是这么敷衍我。</t>
  </si>
  <si>
    <t>龙行管家欺诈引诱游客办卡，情节恶劣！！玩文字游戏，不清楚说明，说的是充钱就能购买机票，可以购买到全网最低票价，谁知是充了1000多块，每次购买只能抵消10块20块，引诱消费者购买。</t>
  </si>
  <si>
    <t>2019/10/09 10:48:52</t>
  </si>
  <si>
    <t>我是套路贷受害者.之前上当被骗了陷入网贷.一天一个人添加我微信让我使用小米粒网贷，对我进行行骗.贷3000到手2250元.7天必须还款.扣砍头息就是750元.我贷了差不多有1.8万左右，到手只有1万左右.我现在要求多还的退还给我.这家公司叫惠来县光诚实业有限公司.。</t>
  </si>
  <si>
    <t>2019/10/09 10:48:36</t>
  </si>
  <si>
    <t>聚福钱包，造艺科技，没经过本人同意，自动在本人银行卡扣除299！上面写的借款不成功百分之百退款，扣除过后，客服电话打不通，客服永远联系不到！要求做出解释，退回扣除的钱！。</t>
  </si>
  <si>
    <t>2019/10/09 10:48:32</t>
  </si>
  <si>
    <t>投诉人 陈女士        投诉对象  拍拍贷        涉诉金额  813 元    问题类型    诉求类型投诉详情  昨天因为家里有事 忘存钱进卡里了 导致逾期一天 今天早上一看加了35块 这属于正常吗 逾期一天778块钱 一天就加35 纯属高利贷 坑人</t>
  </si>
  <si>
    <t>2019/10/09 10:47:46</t>
  </si>
  <si>
    <t>本人于2019年7月10日在福州箭牌购买一批瓷砖，福州箭牌一口咬定瓷砖没有问题，后经本平台投诉后厂家介入，我与箭牌瓷砖达成协议福州箭牌给予退货并退款，我担心这无良商家空口无凭并让箭牌写张协议并盖章并让厂家做中间人，要退款的前提是让我在本平台结案，本人想这么大的品牌与这么大的公司应该会本着诚信经营，每次都是信誓旦旦的保证这两天可以退款，到几号百分百可以退款，开始没有结案的时候态度确实好，后面慢慢开始不理不睬，到现在本人没有主动联系完全不理睬，这三个月的经历已经严重的影响到我生活与工作了。</t>
  </si>
  <si>
    <t>2019/10/09 10:47:44</t>
  </si>
  <si>
    <t>9月份选择了小黑鲨贷款，3000元分3期还，每10天为1期，到期还款时小黑鲨app无法登录，微信公众号以及公司客服联系不上，导致3期都无法按时还款，为防止公司出现恶意套路，特提出申诉，因小黑鲨公司无法正常扣款导致的逾期以及超出的利息本人概不负责！。</t>
  </si>
  <si>
    <t>2019/10/09 10:47:38</t>
  </si>
  <si>
    <t>因为太多的负债，也有提前打电话协商，他们不同意后面还不上了，就各种骚扰我的亲人好友，请作出处理。</t>
  </si>
  <si>
    <t>2019/10/09 10:47:29</t>
  </si>
  <si>
    <t>我去年8月份，在携程网站借去花中借款元，我每一期都在按时还，是因为当时孩子太小，老公挣得钱实在有限，本来打算换个工作，可是因为在原单位已经工作好多年，很有感情，想想就没换，想等宝宝大一点，我能出去上班了就会有所改善，然后就把所有借款一并补齐，就在今年得6月份，我们的小家庭实在是是很难周转，于是打算卖掉结婚时候的房子，当时婆婆很是反对，因为卖房子老公和婆婆闹的不愉快，可是没有别的办法，后来我们在中介上发布了信息，可是一个月过去了，依然任何消息都没有，我们已经很着急了，不光有携程的欠款，我周围的别的朋友已经借的</t>
  </si>
  <si>
    <t>2019/10/09 10:46:58</t>
  </si>
  <si>
    <t>投诉人袁女士投诉对象喜鹊快贷涉诉金额13699元问题类型诉求类型投诉详情借款本金10000元到账也是10000元，为什么合同里写着借款本金是13699，请问3699的本金呢到哪里去了，我不要你们官方敷衍的说法请给我合理的解释！。</t>
  </si>
  <si>
    <t>2019/10/09 10:46:29</t>
  </si>
  <si>
    <t>投诉人 蔡国庆        投诉对象  马上消费金融        涉诉金额  3 972 元    问题类型    诉求类型投诉详情  马上金融借2800还3972 一年， 在我不知情的情况下给我买了人身保险。 我是在分期乐里办的马上金融根本不知情 马上金融还款界面还不让截图。</t>
  </si>
  <si>
    <t>2019/10/09 10:45:55</t>
  </si>
  <si>
    <t>本人在抖音平台看到了兼职加了QQ群，之后导师叫我去一个平台充值，做外汇日入300.后来平台网站打不开了，各方了解发现被骗了，和支付清算协会沟通得知第三方支付业务应审核客户的相关信息，第三方支付业务公司不得向证券，期货，博彩等机构提供支付结算业务，通过中国人民银行，中国银联，和支付清算协会沟通得知，第三方支付业务应审核客户的相关信息，第三方支付业务公司不得向证券，期货，博彩等机构提供支付结算业务，作为有牌照的支付公司没有履行国家结算通道的义务，即产生了非法洗钱的嫌疑，金融机构客户身份识别和客户身份资料及交易记</t>
  </si>
  <si>
    <t>2019/10/09 10:45:13</t>
  </si>
  <si>
    <t>借了七万，分36期还，已经还了四万八，还要还六万，居然合同上直接写八万三的合同，还有一万多的服务费，总共还将近十二万，一万多的服务费服务了什么，利息还照给。</t>
  </si>
  <si>
    <t>2019/10/09 10:44:57</t>
  </si>
  <si>
    <t>动不动就走流程这句话，态度及其差还存在暴力恐吓，要求催收人员道歉。</t>
  </si>
  <si>
    <t>2019/10/09 10:44:37</t>
  </si>
  <si>
    <t>在微信收到兼职的消息最终诱导我充值受骗，最终得知这是一家非法赌博的平台，中国人民银行和支付清算协会沟通得知第三方支付公司不得向证券、期货、基金等机构提供支付结算业务，作为有牌照的支付公司没有履行国家相关法律法规要求，央行制定《非银行支付机构网络支付业务管理办法》在此希望聚投诉工作人员能够联系第三方支付机构请退回被扣款项，希望第三方支付公司冻结商户款项，退款处理！我生活不易。</t>
  </si>
  <si>
    <t>2019/10/09 10:44:22</t>
  </si>
  <si>
    <t>本人与2019年9月30日与青客公寓的的工作人员去青客公寓租房，工作人员告知青客公寓的付款方式为压一付一，办理长租满一年可以送一个月房租，还消费者一个公道而且华瑞银行我已经投诉上海银监会，10月10日我将去上海银监会提交证据材料，也希望广大的青客房客，或者已经被套路签订华瑞银行分期房租贷款的朋友积极向聚投诉这类良心平台揭秘青客公寓套路违规行为，依法维护自己的合法权益，我以为这样还挺划算的，于是在工作人员的引导下签订租房合同，青客工作人员先让我缴纳租房定金2080.72元，说是3天之内会无责任退款，订金会在正</t>
  </si>
  <si>
    <t>2019/10/09 10:44:19</t>
  </si>
  <si>
    <t>我不是借款人张海港，可是招联不止一次发短信跟我催收张海港的欠款，影响我的正常生活，道歉并且对我做出赔偿，根据国家法律规定，骚扰短信超过三条以上，可以拘留三至五天，或者罚款500元，作为一个平台这样恶意骚扰，应该给我解释，跟补偿。</t>
  </si>
  <si>
    <t>2019/10/09 10:43:49</t>
  </si>
  <si>
    <t>砍头息从来没给解决，暴力催收，跟我说用不着的，我多大岁数了，怎么怎么地的，侮辱我，。</t>
  </si>
  <si>
    <t>2019/10/09 10:43:36</t>
  </si>
  <si>
    <t>不停的骚扰本人以及联系人，希望相关部门管管。</t>
  </si>
  <si>
    <t>2019/10/09 10:43:02</t>
  </si>
  <si>
    <t>因为家中老人生病住院，导致逾期了几天，小赢卡贷就天天给家人打电话威胁，说要打爆我通讯录还要拿我的视频威胁，要是他老人家真在医院出现一点意外，我死都不会放过你们。</t>
  </si>
  <si>
    <t>2019/10/09 10:42:59</t>
  </si>
  <si>
    <t>投诉人 王先生        投诉对象  小花钱包,中腾信,鼎泰新        涉诉金额  1 000 元    问题类型    诉求类型投诉详情  暴力催收 言语侮辱 诽谤 恐吓 通讯录名单轰炸 已告知还款时间 一直进行软暴力骚扰 已经在派出所备案 仍然电话软暴力骚扰</t>
  </si>
  <si>
    <t>2019/10/09 10:42:57</t>
  </si>
  <si>
    <t>投诉人沈女士投诉对象汇信天下涉诉金额250元问题类型诉求类型投诉详情汇信天下，五月份借款，因平台问题还款还不上，七八月份主动联系协商还款不予处理，导致违约金增多，这两天催收联系本人借款金额250，违约金三百七十多，远远超过本金，催收公司只同意减免一百五，要求协商还款，支付合法利息。</t>
  </si>
  <si>
    <t>2019/10/09 10:42:24</t>
  </si>
  <si>
    <t>因为暂时在筹集资金，催收像个疯狗一样，说要爆我通讯录。</t>
  </si>
  <si>
    <t>2019/10/09 10:42:23</t>
  </si>
  <si>
    <t>投诉人孙泽丽投诉对象马上消费金融涉诉金额2200元问题类型诉求类型投诉详情因本人经济出现问题，上个月26号在京东借钱的马上消费金融扣款没还清,还差2千多，马上消费天天打10几个电话，我也已经告知经济困难，他们马上电话威胁会帮我找我亲朋好友借钱，不用我说。</t>
  </si>
  <si>
    <t>2019/10/09 10:41:46</t>
  </si>
  <si>
    <t>点点平台的电话骚扰侮辱人，现在的借款平台这么牛逼么，别人借钱来你来骚扰恐吓我，工号不敢说就会重复几句话，还说我没资格给打他们客服电话，电话我都录音了。</t>
  </si>
  <si>
    <t>2019/10/09 10:41:23</t>
  </si>
  <si>
    <t>因为一些原因，现在本人暂时无还款能力，催收人员要求我必须12点还上，不然会联系到我通讯录好友，实在是有困难一时周转不过来所以逾期了，希望可以给我时间，协商一下还款时间，不要去骚扰我的通讯录好友，很多平台现在都在逾期状态，有的无法协商还款，已经联系我的通讯录，现在等钱到了，优先处理可以协商的平台，骚扰我通讯录威胁我的那些平台会跟他们玩下去的。</t>
  </si>
  <si>
    <t>2019/10/09 10:41:22</t>
  </si>
  <si>
    <t>尊敬的浦发银行，本人欠信用卡及万用金230000多，我没有逃避，电话也正常使用也经常接到你们电话，也积极的和你们协商，欠钱还钱天经地义，欠的钱我一定会还的，用你们行的信用卡之前也没有逾期过，生意亏损加上我父亲身体不好，去老家后不保密个人隐私街坊邻居都知道了给我父母的精神、声誉、生活带来了很大的影响，就在工作人员走后我父亲因承受不住导致心脏病复发，情况很不好，试问谁负起这个责任，停止再次去老家骚扰老人，如果下次老人有什么意外我真的承担不起，支持银行调查情况，随时可以跟我本人见面了解情况，我本着最大的诚意协商还</t>
  </si>
  <si>
    <t>2019/10/09 10:41:21</t>
  </si>
  <si>
    <t>投诉人公茂亮投诉对象掌众金服涉诉金额1600元问题类型诉求类型投诉详情闪电借款，因本人住院账单到期致电客服协商部分还款改下账单。</t>
  </si>
  <si>
    <t>2019/10/09 10:41:01</t>
  </si>
  <si>
    <t>投诉人 冯女士        投诉对象  汇中        涉诉金额  5 000 元    问题类型    诉求类型投诉详情  恶意骚扰通讯录，拒绝协商还款事宜。到处打电话骚扰我同事</t>
  </si>
  <si>
    <t>2019/10/09 10:40:38</t>
  </si>
  <si>
    <t>公安报案短信，我按照留下来的电话回复，对方称是平安银行法务部，我有几点疑问1、给我发的短信内容是否真实有效，这个短信内容已经对我本人造成了困扰，我已经声明其要找的人我并不认识，可对方依旧不依不饶，并且态度很不好，说我即使不是平安银行要找的人也是这个人的亲属，后我拨打了平安银行信用卡客服电话投诉了这个问题，9月29日02138637755回复就说这些他们不知道，也找不到，我再次致电平安银行，对方说这个确实是平安银行的电话但是具体部门一直不告知，从那以后平安银行没有再给我任何的回复，我有几点疑问：1、给我发的短</t>
  </si>
  <si>
    <t>2019/10/09 10:40:26</t>
  </si>
  <si>
    <t>微信当中的附近的人功能已经两年多不能用了，你开始以为账号冻结，打电话说事账号正常！！请官方给解决，这不是一天两天的事，都两年多了！！！！！！迫切！！！！！！。</t>
  </si>
  <si>
    <t>2019/10/09 10:40:19</t>
  </si>
  <si>
    <t>投诉人 李先生        投诉对象  平安银行        涉诉金额  0 元    问题类型    诉求类型投诉详情  总是时不时发骚扰短信 越是回复退订越发 不厌其烦</t>
  </si>
  <si>
    <t>2019/10/09 10:39:52</t>
  </si>
  <si>
    <t>我在支付宝网商银行的网商贷上，于2018年11月开始因生意周转陆续借款76000元，陆续还款本金加利息44000还剩余32000，因生意出现困难，网商贷也停止放款，只能还款，本人周转困难，出现逾期，于网商银行客服联系想商量本金加利息，分时间长点还，不要求减免，只要求每月还款金额下降，但客服要求我与催收人员联系，但我没有电话。</t>
  </si>
  <si>
    <t>2019/10/09 10:39:31</t>
  </si>
  <si>
    <t>本人之前一直按时还款，之后由于经营不善，无法按时还款；5月18日还款3500，取消我的用卡资格，说不能再继续消费，约定每月还款720元，之后就开始说我逾期要求一次性还清，已经说明了没有能力一次性还清，华夏银行雇用黑社会性质催收人员给父母单位一直打电话，本人工作已经被用人单位辞退！然后还一直打电话恶意重伤辱骂！而且一次次的拒绝停息！而且通过各种手段侵犯本人隐私，去用工单位中伤本人！。</t>
  </si>
  <si>
    <t>2019/10/09 10:39:21</t>
  </si>
  <si>
    <t>一直还款良好最近资金出了问题，协商晚点还款不行，要求必须在一定时间内解决要不就爆通讯录，我只是协商晚点还款没有说不还款。</t>
  </si>
  <si>
    <t>2019/10/09 10:39:06</t>
  </si>
  <si>
    <t>10月8日到期，今天催收人员致电告知需还款，5678元钱，因本人近期资金周转困难协商下个月处理，告知不可以必须今天处理，完全忽略了现金贷若干政策法规！威胁恐吓借款人！现已向监管部门展开投诉！如果在未经过我本人同意的情况下拨打我通讯录一人电话，正式向法院起诉！。</t>
  </si>
  <si>
    <t>2019/10/09 10:39:03</t>
  </si>
  <si>
    <t>2019/10/09 10:38:36</t>
  </si>
  <si>
    <t>10月7日到期，因家庭经济问题，未能及时还上，与催收客服协商还款，催收客服态度恶劣，不肯协商，威胁爆通讯录，联系公司领导，闪电借款是可以申请延期，但是该客服就是不同意延期，要求必须一次性还款。</t>
  </si>
  <si>
    <t>2019/10/09 10:38:23</t>
  </si>
  <si>
    <t>投诉人杨先生投诉对象深圳市大地信通担保有限公司,立借涉诉金额10500元问题类型诉求类型投诉详情遭遇套路贷贷，正在放款流程中，但并没有取消选项，我有他们验证我银行卡信息的申请方&amp;amp;nbsp;深圳市大地信通担保有限公司，套路贷&amp;amp;nbsp;的app叫立借，钱没到，肯定是还没放款的，我想终止这个贷款订单，他们就是一群骗子。</t>
  </si>
  <si>
    <t>银联云闪付为非法赌博提供支付通道，请求追回损失，和支付清算协会沟通得知第三方支付业务应审核客户的相关信息，第三方支付业务公司不得向证券，期货，博彩等机构提供支付结算业务，本人被引诱到一个*充值入金额二十九万多，后来发现是赌博平台，并非正规的购彩*，本以为通过云闪付正规线上支付是正规机构，后来才知道是非法平台，通过中国人民银行，中国银联，和支付清算协会沟通得知，第三方支付业务应审核客户的相关信息，第三方支付业务公司不得向证券，期货，博彩等机构提供支付结算业务，作为有牌照的支付公司没有履行国家结算通道的义务，。</t>
  </si>
  <si>
    <t>2019/10/09 10:38:21</t>
  </si>
  <si>
    <t>my钱包高利贷，阴阳合同，未经本人签字就购买了600元高额的交通意外险，且提供不了保单，，各大保险公司也查不到这笔保单，这属于非法的高利贷，现要求平台去掉600元账单，否则我将继续投诉到银保监会。</t>
  </si>
  <si>
    <t>2019/10/09 10:38:18</t>
  </si>
  <si>
    <t>还，每期要还1131.33元，一共要还13599.96元，利息共3599.96元，超出国家规定的年利率24%,要求给你花平台降低利息，并将以还的8期利息进行返还，或者用以支付剩下的利息，因为逾期3天给我打电话，说要我亲属和朋友都知道来威胁我我是通过51即可有上申请的，。</t>
  </si>
  <si>
    <t>2019/10/09 10:38:16</t>
  </si>
  <si>
    <t>多次投诉未果，信而富工作人员态度强硬，说不退其它的卡费，说他们是合法的，让我随便投诉，现在要求信而富工作人员退其它3期特权包，如未果一直投诉。</t>
  </si>
  <si>
    <t>2019/10/09 10:38:12</t>
  </si>
  <si>
    <t>本人自2017年始，陆陆续续在微粒贷借款共计13万元，期间一直按时还款保持良好还款记录，由于各方面原因，资金断链只靠微薄的工资维持生活，自2019年4月起还有11万左右，无法在微粒贷按时还款，到2019年9月止，在经济困难的情况下还是坚持陆续还了1万多，还款诚意始终是有的，只是之后实在负担不住，暂停了还款动作，就是从九月开始，一直有骚扰恐吓电话打到单位，单位前台，人事部，甚至总经理办公室都持续接收到了各种骚扰电话，态度恶劣且言辞难听之极……欠债还钱天经地义，本人并没有拒绝还款，但经济上支撑不住从而导致暂停了</t>
  </si>
  <si>
    <t>2019/10/09 10:37:55</t>
  </si>
  <si>
    <t>小浦优客违规扣款，我是10月1日下载注册的小浦优客APP，但是我下载注册后就删除了这个APP，但是今天10月9日却扣除了我银行卡的296元款，我要求小浦优客APP马上返还我的296元到银行卡上。</t>
  </si>
  <si>
    <t>2019/10/09 10:37:43</t>
  </si>
  <si>
    <t>逾期一天我已经明确表明下午发工资还进去，催收人员说要12点前处理不处理就爆通讯录，还有这样的高利贷 我已经明确表明会下午还款时间还是这样 如果解决不了问题就向银监会投诉并且公安局报案。</t>
  </si>
  <si>
    <t>2019/10/09 10:37:39</t>
  </si>
  <si>
    <t>手机借钱软件中的多宝分期2019年10月12日借款4000元分四期，在第三期还款日的时候就已经不能通过银行卡扣款了，只能通过客服联系本人要求线下还款，感觉很不安全，但是当时本金也没换够，也就借朋友钱还了，马上就到第四期还款日，面对高额的账单，已经难以承担了，现在要求客服第四期销账，谢谢！。</t>
  </si>
  <si>
    <t>2019/10/09 10:37:28</t>
  </si>
  <si>
    <t>因本人工作调动暂时无法偿还债务，平安惠普电话不断，态度恶劣，有讽刺和威胁性的话语，而且隐藏了昂贵的保险费用，还有管理费用，简直比高利贷还有厉害。</t>
  </si>
  <si>
    <t>2019/10/09 10:37:04</t>
  </si>
  <si>
    <t>实际借款3万，合同写3.3万，砍头息和高利息，本人已还2.3万，但是app账单显示提前还款要2万多，本人要求偿还本金及银行正常利息，超出利息不予偿还。</t>
  </si>
  <si>
    <t>2019/10/09 10:36:56</t>
  </si>
  <si>
    <t>你我贷催收简直无法无天，骚扰亲友，侮辱本人，问候本人死了吗。</t>
  </si>
  <si>
    <t>2019/10/09 10:36:27</t>
  </si>
  <si>
    <t>易宝支付有限公司帮助各种贷款公司收取砍头息的利息，例如维信卡卡贷，魔借，爱上街，同程旅游，酷街金融等等太多了，这3年每个月被它残害着，活的生不如死。</t>
  </si>
  <si>
    <t>2019/10/09 10:36:15</t>
  </si>
  <si>
    <t>投诉人刘女士投诉对象我来数科涉诉金额14000元问题类型诉求类型投诉详情在我来贷平台借款三笔订单原三笔订单合计金额为14000，均分期为12期；一、借款5000元还款期数12期当月月还款566.62，现还清三期1899.95后仍需还5099.82元，预计总还款6999.77，12月利息为1999.77元合计利率39.99%二、借款5000元还款期数12期当月月还款566.65，现还清八期4733.20后仍需还2266.60元，预计总还款6999.80，12月利息为1999.80元合计利率39.99%三、借款</t>
  </si>
  <si>
    <t>2019/10/09 10:36:00</t>
  </si>
  <si>
    <t>在9月5日申请的13700元如期分期，在申请界面没有任何关于要扣除保险和什么信用费用的内容和合同，在下款一个月后直接从卡内扣除1918元，请退回扣除的1918元，本人后续接受软件上显示的利息，并正常至还款结束。</t>
  </si>
  <si>
    <t>2019/10/09 10:35:44</t>
  </si>
  <si>
    <t>本人在国外正常消费出现产品质量问题，多次维权联系不到商家，刷卡机器是拉卡拉支付的机器，拉卡拉应该是境内的机器为什么会在国外，按照银联收单条例，这是跨境移机行为，请有关方抓紧处理问题，赔偿我的损失。</t>
  </si>
  <si>
    <t>2019/10/09 10:35:40</t>
  </si>
  <si>
    <t>投诉人陈先生投诉对象松紧贷,松紧柯基贷涉诉金额680元问题类型诉求类型投诉详情松紧贷/柯基贷，已说明发工资到账再还，因为新换了工作！恶意催收！威胁恐吓，暴利催收，违反国家金融平台催收公约，国家严打这类催收，他们还顶风作案！请聚投诉帮忙处理！谢谢。</t>
  </si>
  <si>
    <t>2019/10/09 10:35:16</t>
  </si>
  <si>
    <t>小花钱包找外包公司鼎泰鑫暴力催收，到处群发我的照片，各种短信轰炸，已经严重影响我的生活，发照片已经触犯了法律，后续会报警走司法程序，这些催收员要得到相应的惩罚！。</t>
  </si>
  <si>
    <t>2019/10/09 10:35:08</t>
  </si>
  <si>
    <t>投诉人陈女士投诉对象凤凰金融,喜鹊快贷,凤凰智信涉诉金额18000元问题类型诉求类型投诉详情投诉对象：凤凰智信，问题类型：恐吓，骚扰投诉诉求：解释，停止骚扰，撤销征信问题涉诉单号：16396150本人在网络交友平台交友取得信任后，7.5号在他的引导下从51金智贷借款1.8万，到了7.26号人不见了，才知被骗钱财了，报警后立案后第一时间把报警回执和立案告知书发给了平台，并且一直主动积极跟平台工作人员协商还款事项，就在上月工作人员把对公账号给我了，协调的是在我经济能力范围内每月能还多少先还进去，警方那边有任何消</t>
  </si>
  <si>
    <t>投诉人罗女士投诉对象造艺科技,豹子贷涉诉金额299元问题类型诉求类型投诉详情本人10月6号通过其他app里面的链接下载了豹子贷app，用手机号注册账号之后填写个人资料提交审核，期间需要勾选评估服务协议，推荐服务协议等，需要绑定银行卡信息和手机验证码，个人评估有一个是现金支付一个是券支付，选择了券支付，app里并没有显眼说明这个券支付是会自动绑定银行卡扣款购买的，提交之后审核不通过，网上说绝大部分都是直接秒拒的，发现扣款名称是平台的小银券，里面没有退款路径，也没有扣款提醒，得到的答复是我自愿并知情下选择的行为</t>
  </si>
  <si>
    <t>2019/10/09 10:34:50</t>
  </si>
  <si>
    <t>还没用卡要求退，就要求扣我百分之20违约金，我9月27号申请的退钱，客服说7到十个工作日退钱，今天10月9号了还没退，骗子公司！。</t>
  </si>
  <si>
    <t>2019/10/09 10:34:39</t>
  </si>
  <si>
    <t>投诉人纪先生投诉对象维信金科,卡卡贷涉诉金额50000元问题类型诉求类型投诉详情本人于去年申请维信金科卡卡贷，共50000元分12期，到2019年10月本期已还10期，应还11期，因十一假期外出与其客服协商需10号还款，然而其客服态度恶劣，不同意协商，要求挂电话半小时还款，并与其同事拨打公司及周边电话骚扰，在本人明确告知已不原单位工作前提下仍然继续骚扰他人，客服公然叫嚣说让本人有本事找律师，希望尽快处理。</t>
  </si>
  <si>
    <t>催收人员窃取本人私人通讯录，并使用短信轰炸机进行骚扰本人周边朋友，使其手机收到短时间内收到数百条验证码信息！本人意愿还清所有贷款及利息，由于本人工资不高，暂时还未有充足的资金偿还，承诺一有足够资金定会自觉偿还！请务必让催收员不要再骚扰我周边及手机联系人，本人是做销售的，手机联系人皆是我的客户，这样会让我失去客户，失去工作！这是人做的么！。</t>
  </si>
  <si>
    <t>2019/10/09 10:34:27</t>
  </si>
  <si>
    <t>今天接到催收电话和催款短信威胁我表示12点没存就会联系我的家人，并没有说不还钱大概等到13号左右就会还上希望可以给几天时间谢谢了。</t>
  </si>
  <si>
    <t>2019/10/09 10:34:16</t>
  </si>
  <si>
    <t>淘宝网卖家“移动途优通信专卖店”所出售的电信流量卡存在虚假标称的情况，实际使用3.2g流量，但在卖家方处查询已使用5g，在与店家沟通过程中，店家以上行和下行统计有出入为由，欺骗买家并拒绝给出解决方法。</t>
  </si>
  <si>
    <t>2019/10/09 10:34:06</t>
  </si>
  <si>
    <t>在爱钱进旗下的月光侠分期借款多次，借3000元，到账2100元，分三期，每次还款1050多元，由华夏银行进行的存管，阴阳合同，合同写3000元，实际借款只有2100元。</t>
  </si>
  <si>
    <t>2019/10/09 10:33:57</t>
  </si>
  <si>
    <t>今早接到及贷投诉专线客服电话，全程避重就轻，不承认国家支持追回之前超36%的非法高利贷利息，并且电话中承认我于9月20日已经要求开具第二次借款的2200元的担保金发票，至今仍未提供！在我追问到底何时能提供工商认可的增值税发票时，避重就轻，一直在强调还没有到一个月时间，我请问你们，如果所谓高达20%的担保费用是合法的话，为什么到现在二十多天都还不敢提供发票给我，这个发票在我消费时就应该由你们主动提供给我们，不主动提供发票，在我们索要时还各种推诿阻挠，我会把录音和银行流水提供到深圳银监会并且工商举报你们拒不提供</t>
  </si>
  <si>
    <t>2019/10/09 10:33:34</t>
  </si>
  <si>
    <t>09:05:28，在“烈银权益平台”支付750元，烈银权益客服电话：4006886215，客服工作时间：工作日上午9：30-下午18：30，您尾号4640的储蓄卡账户10月9日9时5分跨行其他渠道消费支出人民币250.00元,活期余额4040.59元，借款5000，到手四千，还款六千多，有图为证，如果说需要提前扣款这一千的话，为什么没有显示出来，而是借完之后，平台直接扣款，不知情的情况下，，如果有显示需要提前扣款，别人也不会去借你这个平台的钱。</t>
  </si>
  <si>
    <t>2019/10/09 10:33:18</t>
  </si>
  <si>
    <t>当初在多享金汇贷款2000左右，有砍头息，然后后面逾期后不小心点成转贷，本金变成3210.现在多享金汇的账单已经累积到13196.11，也就是罚息加滞纳金9986.11，跟多享金汇协商还款，那边只减免80％的滞纳金和罚息，也就是现在要还5207左右，本人不同意，只能本金处理，因为开始只是2000左右，现在只能最多还2500。</t>
  </si>
  <si>
    <t>2019/10/09 10:31:58</t>
  </si>
  <si>
    <t>投诉人 梁女士        投诉对象  乐刷来付吧        涉诉金额  7 000 元    问题类型    诉求类型投诉详情  两笔金额都未到帐 我的收款储蓄卡可能是因为二类卡 每日转账收款不能超过一万 我及时更换与他们客服联系不到 打电话一个多小时一直繁忙</t>
  </si>
  <si>
    <t>2019/10/09 10:31:32</t>
  </si>
  <si>
    <t>背景：QQ上一个人声称做京东购物的刷单为由，给了我一个他的京东图片，我打开后，发现和京东的页面结构一模一样，就以为真的是京东的网站，对方让我对这个连衣裙的商品进行支付，支付后，他表示立即返我款项，做一笔刷单就好，我根据步骤，进入到提交结算的页面，我特定检查了页面，微信支付的对方是《京东》，故而放心支付了，支付后，对方以各种理由拖延返款，然后我联系了京东客服才明白，对方提供的是一个钓鱼网站，在结算支付时，对方通过后台的技术手段，将支付对方嫁接到了另外的一个京东商品，待我支付完毕后，对方通过预留的自己的手机号接</t>
  </si>
  <si>
    <t>2019/10/09 10:31:29</t>
  </si>
  <si>
    <t>最终诱导我充值受骗，最终得知这是一家非法赌博的平台，，和支付清算协会沟通得知第三方支付业务应审核客户的相关信息，第三方支付公司不得向证券、期货、博彩等机构提供支付结算业务，而我国法律禁止中国银联，和支付清算协会沟通得知，第三方支付业务应审核客户的相关信息，第三方支付公司不得向证券、期货、博彩等机构提供支付结算业务。</t>
  </si>
  <si>
    <t>2019/10/09 10:30:57</t>
  </si>
  <si>
    <t>因个人原因不是主观不还款而是因为不可抗力因素，等到可以自由后第一时间去找银行协商，结果交通银行拒绝协商还委派第三方收取高额利息，完全是高利贷行为。</t>
  </si>
  <si>
    <t>2019/10/09 10:30:42</t>
  </si>
  <si>
    <t>恒易贷app打不开导致我没有按时还款，过了还款日就罚息，根本不是我的原因导致的逾期，罚息我不认！还在各种上班时间打电话催收，对我工作造成了一定的影响，期间我打电话联系客服也一直联系不上。</t>
  </si>
  <si>
    <t>2019/10/09 10:30:29</t>
  </si>
  <si>
    <t>投诉人周先生投诉对象百万钱包涉诉金额14000元问题类型诉求类型投诉详情百万钱包贷款14000元，北京闪银奇异科技有限公司扣款2184元，实际贷款本金11816元，每期还款1404.67元，共12期，合计需还16856.04元，利息高达5040.04元，巧立名目涉嫌高利贷和砍头息，知法犯法挑战国家法律底线，要求产品下架，停止侵权，调整利率，消除不良记录。</t>
  </si>
  <si>
    <t>2019/10/09 10:30:25</t>
  </si>
  <si>
    <t>连续爆通讯录，短信轰炸朋友以为是骗子，砍头息！！！！！。</t>
  </si>
  <si>
    <t>2019/10/09 10:30:06</t>
  </si>
  <si>
    <t>电话骚扰办公室座机，高额利息，辱骂联系人，违规放贷。</t>
  </si>
  <si>
    <t>2019/10/09 10:29:49</t>
  </si>
  <si>
    <t>投诉人郑先生投诉对象平安普惠涉诉金额1676元问题类型诉求类型投诉详情还款日当天已把钱存入自动还款账户，自己不扣款还发消息来威胁，如果是我就想问钱早已存入还款账户你们自己不扣款反过来和我说仍不还款就怎么怎么的是什么意思，如果不是问下别人是怎么知道这合同号个人信息的，之前已经和你们客服联系过收到短信工作日4小时内给答复，等了足足一个工作日也没收到你们的答复，这是为什么。</t>
  </si>
  <si>
    <t>2019/10/09 10:29:43</t>
  </si>
  <si>
    <t>投诉人 黄女士        投诉对象  广发银行信用卡        涉诉金额  21 677 元    问题类型    诉求类型投诉详情  严重影响我工作，恶意催收，爆通讯录。利息比高利贷还高。换了1000，差不多是利息的费用。披着羊皮的狼。</t>
  </si>
  <si>
    <t>2019/10/09 10:29:23</t>
  </si>
  <si>
    <t>借款14900，本金多了8000，利息高达50%，严重欺诈。</t>
  </si>
  <si>
    <t>2019/10/09 10:28:36</t>
  </si>
  <si>
    <t>严重影响他人名誉，发群信息，这就是你们所谓的正规催收方式，暴力催收吧。</t>
  </si>
  <si>
    <t>2019/10/09 10:28:03</t>
  </si>
  <si>
    <t>1.我没欠你们钱2.朋友把我留紧急联系人，电话打到我这后我作为转达没问题3.凭什么就成了是我借钱不还，哪证明是我借了4.侮辱我人格有问题，说我就是借钱不还，我请问，哪里证明我借了！5.多次打电话骚扰我，侮辱，给我早晚证据，录音也提供了，证据我提供了，那证明我借钱不还的证据呢，8.威胁我你们有我的证件信息，我问证件号都不知道，还说走法律程序我有连带责任，你们去告她啊，连带我啊，我看我有连带责任没！10.你们走法律程序连带我，我也可以拿起法律维护我自己的，连实名电话都不敢，用网络电话就是本事，11.证据我都有，</t>
  </si>
  <si>
    <t>2019/10/09 10:27:57</t>
  </si>
  <si>
    <t>投诉人 王先生        投诉对象  新橙优品        涉诉金额  3 000 元    问题类型    诉求类型投诉详情  新橙优品3000砍头300到账2700。分三个月。每月1052。每月9还款。已还两期。第三期账单日改成了7号。打电话给我逾期两天。高利贷砍头息。还擅自改账单日。要求协商还款最后一起。退回砍头息。但电话给我态度不好。发短信给我说联系亲戚朋友。威胁。恐吓。现在国家不管了么</t>
  </si>
  <si>
    <t>2019/10/09 10:27:49</t>
  </si>
  <si>
    <t>因家庭困难导致招商信用卡逾期，自逾期之日起至今已产生各类费用近两万元，严重超出国家规定的高利贷红线标准，本人积极向银行协商还款并承担一万余元各类费用，银行不予理睬，故投诉之。</t>
  </si>
  <si>
    <t>2019/10/09 10:27:36</t>
  </si>
  <si>
    <t>投诉人申先生投诉对象钱包易贷，长治银行涉诉金额4400元问题类型诉求类型投诉详情本人在钱包易贷借款4400元，到账4400元后立马被扣除砍头息457.38元，在借款前并没有任何关于这笔砍头息的提示和告示，后在还款界面查询到他们是以贷款管理费的理由收取的高额砍头息，并且在借款第一期中除了收取正常利息外还额外收取提现费，保险维护费，并且该借款不能查询到任何合同，在此强烈要求退还高额砍头息和巧立名目的各种收费，请尽快联系本人。</t>
  </si>
  <si>
    <t>2019/10/09 10:27:34</t>
  </si>
  <si>
    <t>在八月份本人从天津回成都老家，为了开心和家人准备去黄记煌三汁焖锅，去吃饭，下午将近六点，我决定先打个电话：028-85200166：订位子，在订位子的过程中被服务员和该店经理辱骂，侮辱，诋毁！！！弄了一点吃饭的心思就没了，然后我打电话黄记煌客服电话：4009100933：去投诉，几个小时后，一男致电给我，言是负责人，这个负责人拽的很，说如果你说我们工作人员骂了你，请你拿出证据，我说你们收银台应该有监控，请他去核实，然后那人挂断电话，一小时后又来电，言从监控上，和对员工的咨询，确实是对我进行了辱骂，然后问他怎</t>
  </si>
  <si>
    <t>2019/10/09 10:27:24</t>
  </si>
  <si>
    <t>投诉人蔚女士投诉对象拼多多涉诉金额52500元问题类型诉求类型投诉详情变相的刷单忽悠我，现在还不给退还本金，经过：通过qq客服获取到刷单平台的联系人，开始刷单，中途通过支付宝扫二维码付款3万左右，刷完三单，，后第三方客服说任务没有完成还得继续激活才能完成任务，前后总共付了五万左右，第三方是拼多多，然而上面什么记录都没有，收款商家也联系不上，钱就没有了，联系客服还想让我继续付款，还想继续忽悠我。</t>
  </si>
  <si>
    <t>2019/10/09 10:27:15</t>
  </si>
  <si>
    <t>我是17年办理的捷信，当时是捷信打电话来说我有六千的额度可以使用当时正好要学车也就没详细了解到后来开始还款才知道借六千分两年还，每个月四百七十多算下来差不多翻了一倍，当时想着钱已经用了那就慢慢还，一直还到上个月剩下最后的几期，，因为换了新工作工资一直没全部发放导致捷信就逾期了，捷信工作人员开始打电话催收当时没那么多钱就先还了四百多跟他们说剩下的等工资到账马上还，但是他们还是一样天天打电话甚至于跟我说让我去家里要，如果我不好意思去要他们公司可以打电话去帮我要，我爸手机几乎每天都有捷信打电话催收甚至有晚上都有我</t>
  </si>
  <si>
    <t>2019/10/09 10:26:55</t>
  </si>
  <si>
    <t>在龙分期借款3000元，分12月还款，在6月的时候开始逾期，当时没有注意看有这个律师费，现在看8，9月的账单才看到律师费，每个月比每个月高，逾期有逾期费我觉得合理，我不知道这个律师费怎么的得来，我是跟你们打官司，你们请律师了吗，问了客服态度还不好，什么叫逾期就有，借款的时候有告知吗，有提醒过吗，乱收费用，你们收也是合理收吧，这是合理吗，是不是要让互联网金融查下是不是合理的，还有要投诉这个客服态度恶劣，不好好沟通，谁有钱要逾期的，就是有困难才会逾期的啊，我又不是一分不还，有钱就给还进去，还要怎样呢。</t>
  </si>
  <si>
    <t>2019/10/09 10:26:21</t>
  </si>
  <si>
    <t>但是我觉得我算了一下我的还款金额算上利息已经严重超出了国家规定的正常的利率。</t>
  </si>
  <si>
    <t>2019/10/09 10:25:53</t>
  </si>
  <si>
    <t>本人由于资金周转问题，现本月欠平安普惠应还1100费用，前天催收人一直要求还上，多次沟通，告知昨天晚上9点，现在已还400了，本月剩余700元费用暂无法还上，由于家里出了急事，通过客服协调无果，不愿意沟通，该贷款机构，通过申请记录都找不到自己历史申请费用和利息明细，该机构利息高额，恳请聚投诉协助沟通，延迟再四天时间，我可将700还上，谢谢。</t>
  </si>
  <si>
    <t>2019/10/09 10:25:27</t>
  </si>
  <si>
    <t>小花钱包高利贷套路贷，利率已超过国家规定，暴力催收，进行威胁涉黑，并恶意骚扰亲朋好友，请严惩。</t>
  </si>
  <si>
    <t>2019/10/09 10:24:52</t>
  </si>
  <si>
    <t>聚富分期于2019年9月20无故从我的银行卡尾号2240里面扣款299元，拨打客服电话后他们说不能退款，那个，299是报告费用，本人上次投诉过一次未有任何进展，请重视。</t>
  </si>
  <si>
    <t>2019/10/09 10:24:24</t>
  </si>
  <si>
    <t>我没有说不还款，平台催收电话打到我之前公司。</t>
  </si>
  <si>
    <t>2019/10/09 10:24:04</t>
  </si>
  <si>
    <t>新橙优品借款3000，到账2500多，3期总共要还3496，已剩最后一期未还，现要求减免部分费用，协商还款销账。</t>
  </si>
  <si>
    <t>2019/10/09 10:23:44</t>
  </si>
  <si>
    <t>投诉人逯先生投诉对象立借涉诉金额5500元问题类型诉求类型投诉详情开始在聚投诉上投诉立借app高利贷，客服给我打电话和我协商还款，我同意了，一次性还完了，结果联系不上客服了，他们说立借夸了，跑路了，马上把我的账销了！。</t>
  </si>
  <si>
    <t>2019/10/09 10:23:25</t>
  </si>
  <si>
    <t>10月8日是我的恒易贷的到期还款日，且我的还款银行卡余额充足，但是我操作还款时，才发现账户显示已逾期，通过存管账户充值却显示超过次数，还款按钮一直显示还款处理中，又联系不上客服，导致我还款日无法还款成功，只能等到10月9日零点才又操作还款，但是多还了100的逾期费用，但是操作还款之后，还是一直显示已逾期，点进去之后就是还款处理中，所以只能打客服电话，但是却超过半个小时都一直说所有客服忙线中，根本无法接通，App上的人工客服也一直显示排队中，同样无法联系上！现在急需客服为我处理逾期的问题，以及退还因为他们平台</t>
  </si>
  <si>
    <t>2019/10/09 10:23:20</t>
  </si>
  <si>
    <t>投诉人李女士投诉对象360借条涉诉金额30000元问题类型诉求类型投诉详情本人被网络诈骗，已立案，诈骗金额超100万，已信函银监会出面调解借贷问题，需要补交贷款合同，联系360客服要合同pdf版，拒绝提供，催收致电问情况，之前已经多次联系360客服，并将被骗经历告知，也提供了立案告知书，但客服可能并没有记录好，后续还多次致电问情况，刚才又联系客服要求登记反馈催收部门我的情况，不予理会！！！因此投诉！。</t>
  </si>
  <si>
    <t>2019/10/09 10:22:45</t>
  </si>
  <si>
    <t>黄金机场一名穿工作制服的女性，说国庆活动免费办理会员卡充人民币1998元，可以享受快速登机，卡内余额3000元可以购买机票，全国40家机场无限次贵宾厅服务，最低折扣机票，并举例说明一百多的机票额用卡只需八九十，卡内3000可以抵扣机票款，终身有效，办理全程都是推销员问我信息并用自己填写协议并诱导我进入VIP室休息，结果账号密码发给我一查询，充值的1998元变成入会费，充值的钱换来的是3000额度的机建费抵扣券，并不能抵扣机票费用，只能每次抵扣50元机建费，也就是说3000元的卡我需要抵扣60次才能用完，机票</t>
  </si>
  <si>
    <t>2019/10/09 10:22:40</t>
  </si>
  <si>
    <t>马上消费金融多次对本人电话、短信骚扰，本人均有短信截图，录音，可随时调查，冒充公检法，对自己造成了不良影响，希望平台能有个解释。</t>
  </si>
  <si>
    <t>2019/10/09 10:21:57</t>
  </si>
  <si>
    <t>本人因经济周转不开，所以造成欠款逾期，一切都与催收沟通过，可是催收不同意沟通，并且威胁恐吓，骚扰家人！谁都有有难处的时候！。</t>
  </si>
  <si>
    <t>2019/10/09 10:21:35</t>
  </si>
  <si>
    <t>本人今天多宝分期已到还款日，但是从APP上还款却扣款失败，一旦造成逾期那谁来负责，请让它们客服联系我，尽快解决。</t>
  </si>
  <si>
    <t>2019/10/09 10:21:08</t>
  </si>
  <si>
    <t>投诉人 叶淑芬        投诉对象  趣花分期（手机贷）        涉诉金额  2 000 元    问题类型    诉求类型投诉详情  暴力催收，严重影响我的声誉。我没有借款天天骚扰我。套路贷</t>
  </si>
  <si>
    <t>2019/10/09 10:20:41</t>
  </si>
  <si>
    <t>5年前贷款2000元！后来要还6000多，捷信一直没有给合理的解释所以一直没还，期间不停地打电话恐吓！一直要求走法律程序解决，也没见任何答复！现在发信息来要还8000多！还去烦我的家人！现要求走法律程序！法院要求怎么还就怎么还！立即停止骚扰我家人！。</t>
  </si>
  <si>
    <t>2019/10/09 10:20:40</t>
  </si>
  <si>
    <t>贷款有砍头息，而且现在app打不开，十月5日为还款日，我在十月4日登陆app一直登陆不上，导致还款失败，现在多出来的利息不是我的原因，恒易贷的催收天天在上班时间打电话骚扰我，还给我朋友打电话。</t>
  </si>
  <si>
    <t>2019/10/09 10:20:07</t>
  </si>
  <si>
    <t>因本人当时应急借了有鱼粮3000元借款，通过畅捷支付，借款多次，现要求退还高额的砍头息。</t>
  </si>
  <si>
    <t>2019/10/09 10:19:58</t>
  </si>
  <si>
    <t>英孚教育多次投诉无果，赔款不齐，要求全额退款，多次以已处理的理由推脱责任，客服也不回复，还说已处理等等理由，还有三千多说是两个月的违约金，实属不合理，请相关部门尽快处理给予回复。</t>
  </si>
  <si>
    <t>2019/10/09 10:19:47</t>
  </si>
  <si>
    <t>在月光侠分期借款2800，擅改合同金额变为4000元，分三期还款，一个月一期需要还款1400多，和起来4200多了，比2800本金多出了1400多元，严重超出国家规定利息，合同是三方的，爱钱进，信息科技有限公司，156******18爆通讯录辱骂。</t>
  </si>
  <si>
    <t>2019/10/09 10:19:06</t>
  </si>
  <si>
    <t>多次骚扰我亲属朋友，我就想问问他们哪里来的我的通讯录，怎么知道我的单位的，多次骚扰我怎么工作还钱，我都已经承诺年底一次性处理了，今天我朋友又发消息过来说收到我的美团催款信息，我就想知道这些资料他们是在哪里找的，我的通讯录我的单位，这些我没有在美团登记，这些东西他们从哪里来的，验证影响了我的生活，无法工作，多次骚扰我的单位，我还怎么赚钱还款，给我精神造成了严重的伤害，我的家庭也因此不和睦，上班没法上班还怎么还钱，这个事不解决，钱不能还了。</t>
  </si>
  <si>
    <t>2019/10/09 10:19:04</t>
  </si>
  <si>
    <t>本人2019年9月29号从钱站申请3000元借款，当时合同上显示每期还款加上各种费用是再1300多元左右，而钱实际到账是8号，还让我每个月的29号还款。</t>
  </si>
  <si>
    <t>2019/10/09 10:18:28</t>
  </si>
  <si>
    <t>9月15日，在速金服上申请了一笔借款，实际到账2000元，期限3个月，我却要还3692元，明显的高利贷和砍头息，此后打电话给他们客服申请退本金及相应利息被拒。</t>
  </si>
  <si>
    <t>2019/10/09 10:18:02</t>
  </si>
  <si>
    <t>每次协商完以后，说好日期还得，准备筹钱还得时候，开始威胁，恐吓，辱骂联系人，现在拒绝协商，通过法律手段维权，让这种黑社会行为的公司，得到法律惩罚。</t>
  </si>
  <si>
    <t>2019/10/09 10:18:01</t>
  </si>
  <si>
    <t>鲁班商家后台按照要求已将退款协议通过德邦快递寄回，运单号为764012776，2019年9月18日收到一笔两万退款，无法分别退款来自哪个平台，而另一平台保证金迟迟未能退款，后台看不到任何变化，没有联系到负责人的电话，只有一个邮箱可发送邮件，而给此邮件发送消息多次从未得到回复！！。</t>
  </si>
  <si>
    <t>2019/10/09 10:17:47</t>
  </si>
  <si>
    <t>10月08日，接到020-66374124的催收电话，说我逾期需要马上处理，并且不能减免任何费用，之前不是我不想还，是没有渠道还，现在逾期费用上涨了1000多元，本人无力偿还，并且这个逾期费并非我主观想逾期，之前也有投诉到你们平台，但也是未能联系到该平台，现在只能找到你们平台来希望能帮帮忙，本人愿意支付剩余未还本金756.4元+100元作为利息，客服电话4008336200，催收电话020-66374124。</t>
  </si>
  <si>
    <t>2019/10/09 10:17:25</t>
  </si>
  <si>
    <t>建设银行信用卡工作人员私下添加微信，称要冻结本人名下所有东西，连沟通都还没沟通就以恶劣的态度诽谤本人赖账，不还钱。</t>
  </si>
  <si>
    <t>2019/10/09 10:17:16</t>
  </si>
  <si>
    <t>投诉人 冯先生        投诉对象  一点分期        涉诉金额  6 000 元    问题类型    诉求类型投诉详情  一点分期威胁我，爆我通讯录，骚扰我联系人</t>
  </si>
  <si>
    <t>2019/10/09 10:17:12</t>
  </si>
  <si>
    <t>投诉人匡先生投诉对象钱站,华夏银行涉诉金额2000元问题类型诉求类型投诉详情到账2000元，每个月还1117，3个月3000多，明显高利贷。</t>
  </si>
  <si>
    <t>2019/10/09 10:17:01</t>
  </si>
  <si>
    <t>我最近家里有点事情，暂时还不上钱，交通银行骚扰我同事，真的受不了了，想死。</t>
  </si>
  <si>
    <t>2019/10/09 10:16:14</t>
  </si>
  <si>
    <t>10月1日参加的天猫苏宁易购美的取暖器的活动，每个整点前5名免单，10月8号号出名单后，我去查询，在免单的名单中，因为退款，是直接售后退运费的形式退，我申请退了，但他们竟然拒绝不给退款，我也咨询了客服，说我是免单，直接退运费就行。</t>
  </si>
  <si>
    <t>2019/10/09 10:15:53</t>
  </si>
  <si>
    <t>趣花分期伪造律师函寄到我老家恐吓我家人，并未经本人允许的情况下爆我通讯录好友，给我生活、工作以及信誉造成严重影响，要求趣花分期销账。</t>
  </si>
  <si>
    <t>一天打12个电话，特别烦，引诱贷款，而且每次都是机器人打电话，一天打12个电话，特别烦，引诱贷款，而且每次都是机器人打电话，一天打12个电话，特别烦，引诱贷款，而且每次都是机器人打电话，一天打12个电话，特别烦，引诱贷款，而且每次都是机器人打电话，一天打12个电话，特别烦，引诱贷款，而且每次都是机器人打电话，。</t>
  </si>
  <si>
    <t>2019/10/09 10:15:45</t>
  </si>
  <si>
    <t>信而富明确标明了购买商品后才可以借款，我也购买了成功了，后面一直借不到，打电话给客服无数次电话也就一直告诉我换时间再试，一个月过去了，一直都没借到，前前后后借了上百次都是没有成功，现在会知道跟我要钱了，钱我可以还，最起码该公司要给我一个合理的解释，既然要我履行承诺，信儿富也应该履行他们还有的承诺。</t>
  </si>
  <si>
    <t>2019/10/09 10:15:39</t>
  </si>
  <si>
    <t>豹子贷申请借款，未借款，从绑定的银行卡中扣除299元，涉嫌乱扣费，黑平台。</t>
  </si>
  <si>
    <t>2019/10/09 10:15:31</t>
  </si>
  <si>
    <t>依照德邦三日退的规定，正常应该在10月3号之前返回货款，但是客服跟我讲，一到七日他们国庆节休息，结果10月8号我打了多次95353的客服电话依旧没有返款，今天已经是10月9号依然没有返款我又打了电话给客服仍然没有结果，按照他们说的三日退款，这已经耽误了10天了，违约了两天，严重耽误和影响了我的正常工作休息和生活，而且我的货款迟迟没有到帐。</t>
  </si>
  <si>
    <t>2019/10/09 10:15:22</t>
  </si>
  <si>
    <t>我前年借了10000，本来是还24个月，己经还了有12个月，每个月还745.还了都差点10000了后面就没实力还了，现在一看还要我还6000多，今天还发短信威胁。</t>
  </si>
  <si>
    <t>2019/10/09 10:14:38</t>
  </si>
  <si>
    <t>我不是借款人，拍拍贷多次骚扰我，已影响我正常生活，还向我的爸爸妈妈打电话。</t>
  </si>
  <si>
    <t>2019/10/09 10:14:33</t>
  </si>
  <si>
    <t>我还没有申请借款就扣了150元所谓的信息费用，而且还不需要经我同意就擅自扣费，我致电客服，客服说是他们的流程不能退款，我要注销账号，客服人员说暂时没有开通注销功能，那以后不是随时可以让他们在我卡里扣钱，这是变相砍头息。</t>
  </si>
  <si>
    <t>2019/10/09 10:14:30</t>
  </si>
  <si>
    <t>现在订单已经在app上找不到了，2345贷款王不同意本金处理，本金2800左右，加滞纳金，罚息5000多处理。</t>
  </si>
  <si>
    <t>2019/10/09 10:14:22</t>
  </si>
  <si>
    <t>本人于8月初在京东购置苹果x一台，用了一天就坏了，退回商家处理一直不处理在此期间手机出现问题后，顺丰寄回为何商家的地址错误，电话错误，差点导致手机拒签原路退回，商家收货后为何一而再再而三的无故拖延检测进度，手机寄过去三天，三天后才通知我的主板被换过，打个电话过来阐述这个事情一直把手机坏了的原因甩我身上。</t>
  </si>
  <si>
    <t>2019/10/09 10:14:10</t>
  </si>
  <si>
    <t>闪银催收威胁我说爆我通讯录，我要求闪银对我停止威胁，我在凑钱还。</t>
  </si>
  <si>
    <t>2019/10/09 10:14:04</t>
  </si>
  <si>
    <t>在没有任何提醒下无故盗刷2080.5元，麻烦尽快处理退款并解释。</t>
  </si>
  <si>
    <t>2019/10/09 10:13:38</t>
  </si>
  <si>
    <t>在苏宁金融任性贷消费3万元，还了一万一千多以后，家里出事，导致钱没还上，逾期，中间一直暴力催收，骚扰我通讯录，寄假的律师函到我村委会，寄了两次，严重损害我的名誉，，上个月协商还款还是还23500元，到这个月就变成要还24000多元，一个月一千多利息，协商还不同意。</t>
  </si>
  <si>
    <t>2019/10/09 10:13:34</t>
  </si>
  <si>
    <t>本人从短信推广链接下载蜜瓜钱包，借款1300，6天需还2200多，高利贷，严重违反国家法律，由于资金困难，无力偿还多余利息，本人要求协商还款。</t>
  </si>
  <si>
    <t>2019/10/09 10:13:22</t>
  </si>
  <si>
    <t>以前的信用卡2000用了5年没涨额度早就注销了，021553638210215574298502155742985以上3个号码2019-10-08号打我的，今天021955592019-10-09交通银行客服打我电话。</t>
  </si>
  <si>
    <t>2019/10/09 10:12:52</t>
  </si>
  <si>
    <t>本人因一时周转不来，向信用钱包，于2019年6月25日借款8000，分9期归还，在没有利息清单的情况下，输入银行账号后，就直接给我放款8000元，等到款清单明细下来后，惊愕的发现有高额的担保费含利息共需还款10159元多，当即要求客服退还贷款，却遭到拒绝，要求偿还9期所有的担保费用，才给予结清，这是强制收取担保费用，不想要这笔高利贷的费用，太冤枉了，现在已经耗时3个月，依然没有得到解决，聚投诉也出面了几遍，也改变不了信用钱包的强制收取担保费的态度...，要求撤销所有担保费，把贷款全额还清，这样的因为对本来困</t>
  </si>
  <si>
    <t>2019/10/09 10:12:08</t>
  </si>
  <si>
    <t>本人因周转问题在江湖救急平台上借款，但因家人突发恶劣疾病生命垂危，住院费用已花去50多万，一时无法按时按期还款，催收人员联系我时态度恶劣，不听解释，诅咒家人！江湖救急必须给我道歉解释并停催，来电商量还款事宜！。</t>
  </si>
  <si>
    <t>2019/10/09 10:12:05</t>
  </si>
  <si>
    <t>闪银奇异里的百万钱包催收电话态度差，威胁恐吓，盗取客户资料给通讯录的人打电话，侵犯隐私权，希望有关部严惩。</t>
  </si>
  <si>
    <t>2019/10/09 10:12:04</t>
  </si>
  <si>
    <t>投诉人 沙女士        投诉对象  维信卡卡贷        涉诉金额  1 200 元    问题类型    诉求类型投诉详情  我因为钱包丢失 手机号码和还款都做修改未及时还款 本人本无拖欠的意思 承诺客服今天内还款 但他仍然2分钟内连续好几通电话轰炸 已经严重影响到正常工作 并且有很严重的服务问题 望处理谢谢</t>
  </si>
  <si>
    <t>2019/10/09 10:11:49</t>
  </si>
  <si>
    <t>本人于8月5号在卡牛上面借款11700元，就是随手记，到款后没有任何通知直接又扣款2106，分12期，每期要还1106.35，到期总还是13000多，我想问那前面的2106扣的是什么缘由，国家不是规定不能出现坎头息吗本月有点困难，已经逾期几天，手机号码198******53在没有联系我本人的情况下，直接爆我通讯录，发短信说昨晚会还上，后来出现变故没有还上，早上就收到威胁短信，说12点前不还上就后果自负，这算不算暴力催收希望通过聚投诉，让随手记退回当初的2106的坎头息，我再会还款，后面我也会如期还款，不会逾</t>
  </si>
  <si>
    <t>活力花爆我通讯录，给我同事轰炸短信，400多条短息，一直在协商，还爆我通讯录，已经严重骚扰。</t>
  </si>
  <si>
    <t>2019/10/09 10:11:34</t>
  </si>
  <si>
    <t>本人于10月8日下午因个人资金需求，下载了蚂蚁借呗app，上面推荐的哆米黑卡，需要注册，就按需求填写了些个人资料，提交成功后，随后显示购买成功，本人没有买任何产品，随后银行显示由台州钟超*科技有限公司扣款199元，希望相关部门调查核实，另外本人并无使用哆米黑卡APP上的任何方式进行借款。</t>
  </si>
  <si>
    <t>2019/10/09 10:11:16</t>
  </si>
  <si>
    <t>中信银行谢谢您的体谅，但是我暂时还不了全款，下周我会还最低，我会慢慢还清全款，您不要联系亲戚朋友了，谢谢。</t>
  </si>
  <si>
    <t>2019/10/09 10:11:07</t>
  </si>
  <si>
    <t>闪银今天用恐吓威胁还有侮辱手段催收，说爆通讯录说后果自负，使本人到绝望地步，各项催收费不合理，要求有关部门严查。</t>
  </si>
  <si>
    <t>2019/10/09 10:10:18</t>
  </si>
  <si>
    <t>自2017年到18年，每一家利用高利贷的手段在借贷宝放贷，结果这样的平台允许高利贷暴力催收，反反复复我在上面还了7、8十万，现在早还清楚本金，没有还额外的费用居然要求我连同额外费用一起还，威胁我和家人安全！辱骂我还私自更改我的借款金额和利息在电话录音有利的说是允许放高利贷。</t>
  </si>
  <si>
    <t>2019/10/09 10:10:16</t>
  </si>
  <si>
    <t>投诉人 谭先生        投诉对象  钱站,华夏银行        涉诉金额  4 500 元    问题类型    诉求类型投诉详情  高利贷，砍头息，暴力催收，，。。。。。。。。。</t>
  </si>
  <si>
    <t>2019/10/09 10:10:09</t>
  </si>
  <si>
    <t>16334.47+机器15*260退款+分润3年定期存款利息1800合计，3笔交易都没有进行结算，公司不存在损失，而且该公司也没有给代理商进行培训，该公司一直要求我们在给她们公司拿货，开通机器，才给解冻分润。</t>
  </si>
  <si>
    <t>2019/10/09 10:09:01</t>
  </si>
  <si>
    <t>投诉人王女士投诉对象洋钱罐涉诉金额5000元问题类型诉求类型投诉详情本人于2019年4月7日在洋钱罐平台借款5000元，共分六期还款，每次扣款都是不同的机构，宝付支付，建元资本融资租赁，湖南中和农资小贷，洋钱罐，每期还款金额都是不同的，已经还款五期，还差一期未还，要求退还超出国家利率的金额，已经严重超出国家利率，客服人员信誓旦旦说他们是正归公司，客服电话打了三天就没有打通过，最后打通协商，协商不成，还威胁，客服不但说做不到，还恶意骚扰联系人，威胁，并态度恶劣，要求做出道歉并对其做出相应的处罚！。</t>
  </si>
  <si>
    <t>2019/10/09 10:08:51</t>
  </si>
  <si>
    <t>投诉网络高利贷还呗，发短信说有额度高的网络高利贷，短信不理，还呗客服就打电话，说有超大额度的网络高利贷，。</t>
  </si>
  <si>
    <t>2019/10/09 10:08:43</t>
  </si>
  <si>
    <t>我从今年1月在融360里面的原子贷，借过多比，都是通过购买东西，来扣费，而且扣费以后，记录还非常高，就是所谓的7天超高利贷，而且购买的东西货物200-300元，东西非常垃圾，都是10几元的，有的甚至不能用，变相收高利取费用，我要求退我多出的钱，如果需要提供我的证据，可以联系我。</t>
  </si>
  <si>
    <t>2019/10/09 10:08:23</t>
  </si>
  <si>
    <t>投诉人 胡先生        投诉对象  拍拍贷        涉诉金额  0 元    问题类型    诉求类型投诉详情  和我完全没有关系 天天给我发这个影响了我正常生活</t>
  </si>
  <si>
    <t>2019/10/09 10:08:09</t>
  </si>
  <si>
    <t>51人品贷催收人员爆我通讯录，打电话亲朋好友骚扰亲朋好友散布有损我信誉和人格的负面言论。</t>
  </si>
  <si>
    <t>2019/10/09 10:08:00</t>
  </si>
  <si>
    <t>车贷贷款6万，多贷了1万四千九，打电话拒绝说公司地址，只是说了他们叫神车网。</t>
  </si>
  <si>
    <t>2019/10/09 10:07:50</t>
  </si>
  <si>
    <t>本人因为资金遇到问题，最后一期没还上，每天从早到晚一直给我打电话，半个小时一次，骚扰通讯录好友，严重影响生活，希望能停止轰炸。</t>
  </si>
  <si>
    <t>2019/10/09 10:07:47</t>
  </si>
  <si>
    <t>本人于10月4日申请了哼哼，顺顺两笔借款共2000元，然后购买了200块钱的征信保，下款的时候只下了1800并且账单并没有显示征信保，本人以为跟之前一样下款的时候已经扣掉了征信保，然而今日APP，突然刷出来账单说我征信保没有还逾期了，然而昨天我在APP上都还没有看见征信保这个账单未还根本没有这个账单，由于逾期我早上已经还了这个账单，现在我要求退还我支付的200块钱，这是已经下款时扣掉了的账单导致我二次还款。</t>
  </si>
  <si>
    <t>2019/10/09 10:07:29</t>
  </si>
  <si>
    <t>本人在去年想要通过网络赚点兼职费，就被某境外网站引诱下载了自称境外博彩牌照的网站，当时并不知道情况，该网站客服告知我是合法的，但本人在其网站投资的钱血本无归，在咨询律师后得知该平台虽有境外牌照但在国内招揽客户进行博彩属于违法赌博性质的，涉嫌后台操纵，而京东充当了支付渠道的帮凶，通过中国人民银行，中国银联，和支付清算协会沟通得知，第三方支付业务应审核客户的相关信息，第三方支付公司不得向证券、期货、博彩等机构提供支付结算业务，作为有牌照的支付公司没有履行国家相关法律法规要求，为违法违规机构平台提供支付结算通道，</t>
  </si>
  <si>
    <t>2019/10/09 10:07:13</t>
  </si>
  <si>
    <t>我以前认识的人，欠你们钱，我三年没跟他联系了，现在你们催收来找我。</t>
  </si>
  <si>
    <t>2019/10/09 10:06:38</t>
  </si>
  <si>
    <t>订单结算发现问题后，客服给出解释并答应有问题会继续跟进，但随后反应多次问题后均为回应也未作处理。</t>
  </si>
  <si>
    <t>2019/10/09 10:06:26</t>
  </si>
  <si>
    <t>我没用过你们的软件怎么扣的我的款还是从我银行卡扣的。</t>
  </si>
  <si>
    <t>2019/10/09 10:06:15</t>
  </si>
  <si>
    <t>在同程金服共借款10多次，除收取正常利息外，每次借款额外还收取99到199高额砍头息，现要求同程金服尽快与本人联系，协商退款后再偿还已逾期金额。</t>
  </si>
  <si>
    <t>2019/10/09 10:06:03</t>
  </si>
  <si>
    <t>投诉人安先生投诉对象小霸王涉诉金额1625元问题类型诉求类型投诉详情之前因为周转不开，借了几次，然后中间也续期过几次，这次借款应该是第三次，中间续期过1次1000块，到手金额实际1625。</t>
  </si>
  <si>
    <t>2019/10/09 10:05:54</t>
  </si>
  <si>
    <t>有用分期收取砍头息，高额附加服务费，并对我和我的亲友实行骚扰恐吓人身威胁，态度极其恶劣，甚至70周年国庆期间依然顶风作案，恐吓威胁。</t>
  </si>
  <si>
    <t>2019/10/09 10:05:04</t>
  </si>
  <si>
    <t>投诉人戚先生投诉对象超级马力贷,自由魔卡涉诉金额2000元问题类型诉求类型投诉详情请相关商家与我联系，申请协商金额还款金额。</t>
  </si>
  <si>
    <t>2019/10/09 10:04:49</t>
  </si>
  <si>
    <t>本人账号calmery在西昌市战狼网络科技有限公司旗下的接码平台，http://thewolf.yyyzmpt.com，申请接码项目，充值10元，项目申请失败，平台拒绝退款，充值界面也并没有写不能退款等提醒，本人要求得到合理合法合规的消费保障，要求平台全额退款。</t>
  </si>
  <si>
    <t>2019/10/09 10:04:41</t>
  </si>
  <si>
    <t>短期内唯品会物品价格降价太多，未履行保价承诺，拒绝赔付差价！。</t>
  </si>
  <si>
    <t>2019/10/09 10:04:25</t>
  </si>
  <si>
    <t>我于9月27日帮别人拼多多砍价，拼多多送了一张复活卡可以一刀砍80%，然后就开始了我艰难的砍价过程，求爷爷告奶奶，发了无数的群跟红包，朋友圈还求人帮砍，每当我返回的时候系统就会提醒不要放弃之类的话语，到9月28号下午，只有最后的三分钱了，我再重新找的一个群发没给我砍再私聊让朋友帮忙，然后许诺请客才砍完这最后的三分钱，但系统却说我帐号异常，无法生成订单，我就想请问了，我每一刀每一分都是一个个请人砍的，怎么就异常了，说异常的话你不会早点说吗，一定要等砍完最后一分钱吗，就是丢了几百块钱我都没有这么生气，找客服说我</t>
  </si>
  <si>
    <t>2019/10/09 10:04:12</t>
  </si>
  <si>
    <t>斗牛士APP暴力催收，发送威胁短信，说要找人上门。</t>
  </si>
  <si>
    <t>2019/10/09 10:03:59</t>
  </si>
  <si>
    <t>豹子贷,上海造艺网络科技,造艺网络科技,银码头，这明显就是陷阱骗钱，我没有贷款扣我什么评估钱，就算我确定了，也没有弹出密码让我付款就扣，要是有密码我绝对不会按，打电话给客服我说不要了他还要继续扣态度恶劣。</t>
  </si>
  <si>
    <t>2019/10/09 10:03:51</t>
  </si>
  <si>
    <t>明显的高利贷！我借款5500要求必须是12期，利息下来一共将近2000元，现在我想提前还款，利息也不少，借款前显示的利息没有这么多。</t>
  </si>
  <si>
    <t>2019/10/09 10:03:36</t>
  </si>
  <si>
    <t>投诉人 周女士        投诉对象  点点通        涉诉金额  431 元    问题类型    诉求类型投诉详情  点点通高利息，本金已经还完，还有最后一期。要求销账。提供结清证明</t>
  </si>
  <si>
    <t>2019/10/09 10:03:26</t>
  </si>
  <si>
    <t>投诉人 潘先生        投诉对象  还呗        涉诉金额  33 000 元    问题类型    诉求类型投诉详情  现在我信用卡加网贷一共欠了40多万 刚刚把车卖了手里2万多块钱 我说先把还呗的给还了 现在欠还呗28000多元 总待还33000多 提前还款一样收利息 现在想协商提前还款以后的利息不收</t>
  </si>
  <si>
    <t>2019/10/09 10:03:06</t>
  </si>
  <si>
    <t>本人在拍拍贷借款12000元，分12期还，合同写明年利率百分之11，那月还款额应该是1060.58。</t>
  </si>
  <si>
    <t>2019/10/09 10:03:05</t>
  </si>
  <si>
    <t>本人9月5在贷上钱借款2000，期限一个月，到期因资金周转不开，造成逾期，和客服协商无果。</t>
  </si>
  <si>
    <t>2019/10/09 10:02:17</t>
  </si>
  <si>
    <t>因家里有人重病，抢救，暂时逾期，病人出院后会及时还款，拍拍贷爆通讯录，给家人朋友打电话，已经严重影响我的正常生活。</t>
  </si>
  <si>
    <t>2019/10/09 10:02:09</t>
  </si>
  <si>
    <t>本人遭遇友信信贷套路贷2018年9月6日在惠州市惠城区友信信贷公司借款10万元实际到账金额为89466元被友信公司工作人员强制收取10534元手续费，但友信APP，显示借款金额为149000元！强收两月还款金额9534元加1000元手续费共10534元！自2018年9月6日至2019年9月6日已还57358.56元，12期✘4777.88元=57358.56元，如按合同来算172075.68元-57358.56元=114717.12元未还，本人与友信信贷公司全三年合同36期每月需还本金，✘36期=17207</t>
  </si>
  <si>
    <t>2019/10/09 10:01:57</t>
  </si>
  <si>
    <t>投诉人李先生投诉对象途家涉诉金额361元问题类型诉求类型投诉详情平台提供虚假详情信息，短租民宿的详情介绍地址与实际地址相差2.2公里以上，文字描述详细标注为地标旁，按照旅游核心区租房价收取高额房价，住宿却在距离很远的非核心区民宅，挂羊头卖狗肉，且一房多租客，男女混住，无法保证住客安全，拒绝入住后，向途家网客服投诉该虚假不实信息情况，但客服不作为，不对该情况处理及道歉。</t>
  </si>
  <si>
    <t>2019/10/09 10:01:55</t>
  </si>
  <si>
    <t>投诉人杜女士投诉对象分期乐涉诉金额11000元问题类型诉求类型投诉详情私自更改借款期数，利息都能还本金了。</t>
  </si>
  <si>
    <t>2019/10/09 10:01:53</t>
  </si>
  <si>
    <t>甜橙白条工作人员居然无视法律违法犯罪暴利电话轰炸他人，一大早就连续电话轰炸我，严重影响了我的生活，曝光一下这就是大企业员工的素质，坚决维权到底。</t>
  </si>
  <si>
    <t>2019/10/09 10:01:50</t>
  </si>
  <si>
    <t>投诉人辛先生投诉对象掌众金服涉诉金额40000元问题类型诉求类型投诉详情本人前期因资金问题曾多次在闪电借款平台反复借贷，累计近140次，闪电借款平台前期用商城券变相收取百分之二十的前期费用，借款时长一个月，现在通过用黑卡的方式收取高额的前期费用，本人两年多本金月借500到3000左右不等，两年统计还平台将近15万元，远远超出年利率百分之百以上，本人于上月借平台2200元，前期会员费用400元，而且平台的收费标准还变化不断，国家规定任何网贷不得超过年利率36%收取利息费用，并且也规定了禁止以任何手段收取砍头息</t>
  </si>
  <si>
    <t>2019/10/09 10:01:28</t>
  </si>
  <si>
    <t>投诉人胡女士投诉对象钱站涉诉金额60000元问题类型诉求类型投诉详情钱站高额砍头息！2018年因资金周转，在钱站借款60000，分两次借出，每次30000，实际到账33000，紧接着扣除3000的服务费，实际借款成了33000，两次借款60000，服务费6000，每月还款2700多，已经换了42000多，这个月因为资金周转困难，逾期了3天，就爆我通讯录，导致我失去了客户，失去了经济来源！害的老人住院！我就等着钱站给我一个说法。</t>
  </si>
  <si>
    <t>2019/10/09 10:00:32</t>
  </si>
  <si>
    <t>投诉人汪女士投诉对象京东金融涉诉金额1200元问题类型诉求类型投诉详情在未取得本人同意情况下，延期20天将本人个人信息泄露，并且委托第三方催收进行暴力催收。</t>
  </si>
  <si>
    <t>2019/10/09 10:00:15</t>
  </si>
  <si>
    <t>投诉人唐先生投诉对象蟹老弟涉诉金额3655元问题类型诉求类型投诉详情7月10借款2500元，到账砍头息250元，实际到账2250元，目前已还2315元，超过到账本金，竟然还要我还1135元，这么高的利息合法吗。</t>
  </si>
  <si>
    <t>2019/10/09 10:00:12</t>
  </si>
  <si>
    <t>投诉人 罗女士        投诉对象  宝付支付,同程提钱游        涉诉金额  99 元    问题类型    诉求类型投诉详情  今天在同程旅游借款 提示让买卡，买了卡结果不给下款。买卡99元。通过宝付支付付款。要求要么给我下款，要么退还卡钱</t>
  </si>
  <si>
    <t>2019/10/09 09:59:48</t>
  </si>
  <si>
    <t>投诉人 王女士        投诉对象  尚诚消费金融        涉诉金额  35 000 元    问题类型    诉求类型投诉详情  本人在去哪网借去花上借款 一直按时还款 从未拖欠 有的时候还能再用 有的时候不能再用 反反复复总是这样 也从未拖欠一直按时还款 前一阵生意失利 家里琐事只能边卖房子 由于房子现在没卖出去 导致现在有些无力偿还 本人有还款意愿 请求解决 协商还款 希望平台能帮助解决 望平台不要催收</t>
  </si>
  <si>
    <t>2019/10/09 09:59:37</t>
  </si>
  <si>
    <t>我2019年10月8号晚上在支付宝看的火车票，显示的有票，由于已经23点了，铁路系统维护没出票，我就预约了一下，第二天9号早上6点支付宝提示，飞猪平台扣了我120的加速套餐费，我就纳闷了，我在支付宝看的火车票，显示的是有票，我才买的，我也不需要他给我加速呀，怎么买个火车票还能给火车加速吗。</t>
  </si>
  <si>
    <t>2019/10/09 09:59:23</t>
  </si>
  <si>
    <t>投诉人王先生投诉对象贷上钱涉诉金额3000元问题类型诉求类型投诉详情贷上钱app，微信公众号要搜索贷上钱DSQ，利息太高，催收暴力，已经对我的生活造成了影响。</t>
  </si>
  <si>
    <t>2019/10/09 09:58:33</t>
  </si>
  <si>
    <t>因为这段时间店铺生意不好，亏损比较大，导致了这个苏宁易购还款还不上，24个月的已经还了22个月了应该，当天我打客服想问下能否协商，但并未给我协商，这几天一直在筹钱准备还款，但是客服直接打爆我的通讯录，威胁等，因为我资金周转不开是我的问题，但是暴力催收不应该。</t>
  </si>
  <si>
    <t>2019/10/09 09:58:23</t>
  </si>
  <si>
    <t>投诉人 刘女士        投诉对象  豆豆钱        涉诉金额  6 000 元    问题类型    诉求类型投诉详情  逾期一天罚息100元 合同跟实际还款总额也对不上 之前还扣了保险费用 现在还要交担保费 欺诈消费者行为</t>
  </si>
  <si>
    <t>2019/10/09 09:58:08</t>
  </si>
  <si>
    <t>一直没有注册百合会员，9月4号接到一个来自于百合网男孩的电话，说我28岁，有深圳银行上班的什么，说话跟机关枪一样，问是不是机器人，后慢慢说话了，告知已是18岁孩子妈妈了，叫不要打电话来了，一直不听还叫我姐姐，追问号码哪里来的，就不敢说，着急把电话挂了，结果这1个月，百合网客服隔三差五狂打我的电话，我每次都拒接或者告诉她们不需要这个线下红娘服务，还是连环打,电话轰炸，怎么拒绝都没有用，已经对我的工作生活造成严重的影响，上班开会期间都会收到骚扰电话，还不只是一个红娘老师，每次都换不同的人打，换不同的号码，已严重</t>
  </si>
  <si>
    <t>2019/10/09 09:57:59</t>
  </si>
  <si>
    <t>我于2019年9月9日在钱站APP上申请了一笔2600多元的借款，申请通过后，还未放款时我就申请了撤回借款，当时他们客服电话打不通，我留言了，对方也通过邮件给我回复了，让我等待处理，结果一直没有给我处理，并且最后钱到我账户里只有2000，而我一共需要还3100多元，明显的存在高利贷和砍头息，于是我上个月再次联系钱站客服，申请撤回借款，并表示可以支付我所借的2000元本金及部分利息。</t>
  </si>
  <si>
    <t>2019/10/09 09:57:51</t>
  </si>
  <si>
    <t>淘集集从6月份开始拖欠我们商家的货款，多次联系平台，以及平台负责人都没有得到有效的答复，54W元、淘集集平台中途以系统调整为由把所以货款打回，这是我压上了全部的家当在里面，，房贷现在都还不上了逾期4次了现在在银行的征信也没了，再不还放子要被回收了，工厂一直在催债，每天都在紧张中度过，再这样下去淘集集会把我逼上绝路。</t>
  </si>
  <si>
    <t>2019/10/09 09:57:38</t>
  </si>
  <si>
    <t>打电话协商还款，恶意威胁，不还要爆通讯录，朋友的电话一个一个打，我有电话录音。</t>
  </si>
  <si>
    <t>2019/10/09 09:57:26</t>
  </si>
  <si>
    <t>因工资未发，申请延期还款，客服态度十分强硬，告诉我不还就给联系人打电话，我没有办法只好投诉。</t>
  </si>
  <si>
    <t>2019/10/09 09:57:13</t>
  </si>
  <si>
    <t>你我贷阴阳合同，宣传的低息借款，借款3600元实际上需要还近5000元钱，前两期每期均收取了高达162元的所谓平台服务费加上贷后服务费378元，等于一共多收取共计。</t>
  </si>
  <si>
    <t>2019/10/09 09:56:52</t>
  </si>
  <si>
    <t>无故扣除建行账号现金，怀疑账号被非法通道盗用和监控，总共2笔，1338和5000，共计6338元，2019年10月8日14：51分，详情见图。</t>
  </si>
  <si>
    <t>2019/10/09 09:55:27</t>
  </si>
  <si>
    <t>每天轰炸通讯录好友，严重影响生活，希望能停止，我有还款意向。</t>
  </si>
  <si>
    <t>一直没有给我放款，时间这么长，要求放款，本人需要急用钱。</t>
  </si>
  <si>
    <t>2019/10/09 09:55:03</t>
  </si>
  <si>
    <t>马上金融消费安逸花，因现资金周转不过来，逾期了，和马上金融消费商议还款减免违约金，，马上金融不同意协商还款，而且要求我一次性还款。</t>
  </si>
  <si>
    <t>2019/10/09 09:54:11</t>
  </si>
  <si>
    <t>因资金不足，最后一期导致逾期，今日客户致电还款，如果不在规定时间还，就交由催收部门催收，现在希望和拍拍贷平台协商处理，给予一定时间凑钱。</t>
  </si>
  <si>
    <t>2019/10/09 09:53:45</t>
  </si>
  <si>
    <t>铁友火车票APP，本人于2019年10月7日购买从英德开往广州火车站的火车票一张，开通了铁友的抢票，且开通了抢到票后免密支付，，然后点了分享到朋友圈加速，下一步之后有个使用加速包的选项，点了直接就进行了购买且无法退回。</t>
  </si>
  <si>
    <t>2019/10/09 09:53:33</t>
  </si>
  <si>
    <t>10月8日，我手机莫名收到拍拍贷恐吓短信，又是律师，又是找公安局，说让公安局抓我，该手机号是181******05发的，另外还有一个说自己叫方律师173******81，明显是拍拍贷催收人员，根本一点素质没有，还骂我。</t>
  </si>
  <si>
    <t>2019/10/09 09:53:22</t>
  </si>
  <si>
    <t>借款本金11000，分12期，每期还1271.07，已经还够10个月，现在一共还了12621.7元，本金和利息早已经还够，剩余两期已经超出国家利率，还恐吓p图报警，已严重违反国家规定，现在要求销账处理并且不能在爆通讯录和联系人，已对家人产生影响，如果还是在爆通讯录，我将用法律保护自己，我自己报警处理，你们这是高利贷，国家现在严惩高利贷。</t>
  </si>
  <si>
    <t>2019/10/09 09:53:18</t>
  </si>
  <si>
    <t>昨晚购买财神黑卡第一次下款失败，显示今天9点以后有额度，今天借款还是显示额度已抢完，联系客服打电话过去让在公众号中转人工，公众号中又需要排队400多名。</t>
  </si>
  <si>
    <t>2019/10/09 09:53:03</t>
  </si>
  <si>
    <t>本人于2019.4.19日于微贷网成都高新区分公司办理汽车抵押贷款，贷10万合同金额118500元，人民银行征信显示也是118500，四川新网银行放款，业务员当时说正常还款就不用还18500元,当时办理时候收取4%的手续费，也就是4000元，还有1000元的办理抵押登记费，为了减少还款压力，当时决定分36期，每个月还款3967.79，其中有200元是什么所谓的GPS流量费，现在想一次性结清，但是微贷要收18500元作为违约金，投诉请求，希望各位领导帮忙，我愿意承担违约金，但肯定不能接受他们的合同金额1850</t>
  </si>
  <si>
    <t>2019/10/09 09:52:41</t>
  </si>
  <si>
    <t>还款日到了之后操作还款，他们有还款限制，每次操作还款都提示还款金额受限无法还款，联系客服一直无人接听，后面造成逾期之后催收人员不是和本人联系，确是通过第三方呼叫软件向我的家人朋友进行骚扰，和他们理论，他们态度还非常的差，威胁我说要把我朋友家人的电话打爆，打的他们自己关机。</t>
  </si>
  <si>
    <t>2019/10/09 09:52:24</t>
  </si>
  <si>
    <t>再次投诉玖富万卡超高利率，变相收取所谓费用分期费用，本人在玖富万卡还有3笔贷款，第一笔借款6000，分12期，每期还款523.87单号11129410445321000，显示资金来源银行资金，玖富万卡恶意将该笔借款增加一笔1757.38的所谓服务费用，并分期12期还款，每期还款154.37，该笔资金实际并没有转我银行卡，第二笔借款2000，分12期，单号11139522961363000，每期还款226.54，每期等额还款情况下利息高达714.88，远超国家规定年化利率36%，放款方云南信托，第三笔借款12</t>
  </si>
  <si>
    <t>2019/10/09 09:51:54</t>
  </si>
  <si>
    <t>投诉人 李先生        投诉对象  你我贷        涉诉金额  3 000 元    问题类型    诉求类型投诉详情  本人应最近资金周转困难 现在还有最后一期未还 希望和贵公司协商至11号还款 这两天不要打电话骚扰。</t>
  </si>
  <si>
    <t>2019/10/09 09:51:22</t>
  </si>
  <si>
    <t>投诉人李先生投诉对象5173游戏交易涉诉金额650元问题类型诉求类型投诉详情找了客服让我去找保险客服，去找保险客服一直不回话！在他们这报的案也是从昨天到现在没结果！。</t>
  </si>
  <si>
    <t>2019/10/09 09:51:10</t>
  </si>
  <si>
    <t>有限公司联合恶意起来扣款我银行卡里的300元，开通财神黑卡名义骗取我银行卡300元，但是又不给下款。</t>
  </si>
  <si>
    <t>2019/10/09 09:50:19</t>
  </si>
  <si>
    <t>不显示还车地点无法还车要求立即还车且免除停放时间费用。</t>
  </si>
  <si>
    <t>2019/10/09 09:49:50</t>
  </si>
  <si>
    <t>本人在去花花分两次总借款借款3700元，实际总到账2590元，总计1110保险费用，本人并未收到任何电子或书面保单，也未有保险人员与我联系，这1110元纯属高额砍头息，本人已还5期，现实在无力偿还，希望在贵平台的帮助下减免利息销账。</t>
  </si>
  <si>
    <t>2019/10/09 09:49:40</t>
  </si>
  <si>
    <t>办理了288的全球尊享套餐，在10.5号的时候短信出现故障，打电话去海南移动客服，客服声称没有任何问题，就是不知道为什么收不到短信，客服说要记录反馈，有专门的工作人员在48小时之内去联系我解决问题，一直到10.9号的早上我仍然没有接到任何有关10086的反馈电话，，存在欺骗消费者的嫌疑，客服已告知我本人没有任何不当行为，也无法解释我遭遇的问题，希望可以得到合理的解释和解决。</t>
  </si>
  <si>
    <t>2019/10/09 09:49:32</t>
  </si>
  <si>
    <t>本人在浪里白条借款2400元用6天时间费用高达930多。</t>
  </si>
  <si>
    <t>2019/10/09 09:49:03</t>
  </si>
  <si>
    <t>9月25日已结清，但是融360平台上还在提示我还款，已多次要求处理该问题，一直未处理，豆豆钱公司也愿意配合出具相关证明，但是融360一直拖着不处理，豆豆钱的还款是25日的凌晨自动扣款，因为无法手动还款，我也从未逾期过。</t>
  </si>
  <si>
    <t>2019/10/09 09:48:46</t>
  </si>
  <si>
    <t>成都安睿旺蜀网络科技在用户不知情的情况下，私自扣除用户银行卡金额，请求本平台快速处理，并追究责任。</t>
  </si>
  <si>
    <t>2019/10/09 09:48:34</t>
  </si>
  <si>
    <t>2019年9月12日本人在唯品会电商平台购买了一条69元的宝宝裤子和一个45元的宝宝餐具，合计114元，订单支付时参加了云闪付“使用云闪付付款满100元立减50元”活动，优惠了50元，两件商品实际支付金额为64元，我是自寄商品退款，当时跟客服讲了，对方承诺由我先垫付自寄运费，退款时再返给我，于是9月24日我在线上与唯品会客服沟通，之后有唯品会工作人员与我电话联系，一共联系了2次，都只解释了退9元金额的原因，不承认退款金额有问题，而且第二次电话态度恶劣，，再扣除了我使用云闪付优惠的50元，实际退9元，在此我认</t>
  </si>
  <si>
    <t>2019/10/09 09:48:03</t>
  </si>
  <si>
    <t>信用飞借款3000元，到帐后直接扣除610元飞行权益！属国家明令禁止的砍头息！请退还砍头息销帐处理！。</t>
  </si>
  <si>
    <t>2019/10/09 09:47:57</t>
  </si>
  <si>
    <t>滴滴出行每天不派单给我，让我怎么活，是不是故意打压我，好让我自动退出滴滴平台，请给个合理解释。</t>
  </si>
  <si>
    <t>2019/10/09 09:47:50</t>
  </si>
  <si>
    <t>本人在宜信公司宜人贷借款5万元，分36期还款，每期还款2573.35，目前为止已还款20期，已还51467元，经查询剩余一次性结清还要4万多元，也就是说借款五万，分36期总共要还9万多元，本人计算一下年化利率约为28.42%，超过国家规定的24%上限，属于高利贷，而且每期只要逾期一天，罚息就高达近300元，鉴于目前本人已还清贷款本金，且交过约五次罚息，加上已还利息，本人希望宜信公司能免除剩余款项，并同时开具结清证明。</t>
  </si>
  <si>
    <t>2019/10/09 09:47:33</t>
  </si>
  <si>
    <t>投诉人 王先生        投诉对象  易宝支付        涉诉金额  90 000 元    问题类型    诉求类型投诉详情  易宝支付为714提供扣款通道 联系放弃135******36 王先生</t>
  </si>
  <si>
    <t>2019/10/09 09:47:32</t>
  </si>
  <si>
    <t>投诉人李先生投诉对象轻周转,畅捷支付涉诉金额2000元问题类型诉求类型投诉详情本人于2019年08月27日在信用管家平台导流的轻周转App芒果筹，产品借款2800元，期限28天，通过畅捷支付通道进行下款，7天一期，分4期还款，每期还款1022.4元，存在1280元的砍头息，因轻周转威胁骚扰，本人已正常还款两期，在09月20日还第三期因APP问题无法还款造成逾期，多次致电客服无法联系上，截止今日逾期费用达到1000多，目前频繁接受到催收人员的骚扰，因本人现经济困难，要求轻周转芒果筹按照国家标准还本金进行销账和</t>
  </si>
  <si>
    <t>2019/10/09 09:46:52</t>
  </si>
  <si>
    <t>之前有过逾期，逾期十几天利息就很高，然后跟工作人员协商减免，工作人员说万达贷不可能能做减免的，然后因为之前公司拖欠工资，一直在等工资跟万达协商过，现在外催公司打电话说工资发不发是我个人问题，协商不成就发信息要上门，要来户籍地公安局，要找我家人。</t>
  </si>
  <si>
    <t>2019/10/09 09:46:51</t>
  </si>
  <si>
    <t>付款页面提示使用光大银行信用卡，满500减150，客服一电话中说说经查询，我确实已经享受过此优惠，所以无法再次享用，客服二电话说每天有享受优惠的名额限制，我超过名额了，所以无法享受，客服三今天打电话说我没有使用云闪付支付（第一次下单的时候我明明有打开云支付使用，并且付款的时候也没有任何可以跳转到云支付付款的界面），客服四刚刚又打电话说是银联的系统故障，提示错误，所以会提示我已经享用过此优惠，结果没➖减，平台系统提示我已经享受过此优惠，然后我按照客服的要求照做，发现还是无法享受此优惠，后期会优化系统，和他们租</t>
  </si>
  <si>
    <t>2019/10/09 09:46:42</t>
  </si>
  <si>
    <t>美团生活费未有工作人员联系直接发送短信恐吓。</t>
  </si>
  <si>
    <t>2019/10/09 09:46:38</t>
  </si>
  <si>
    <t>多次询问客服，客服让取消，取消以后并没有效果，已经快一周。</t>
  </si>
  <si>
    <t>2019/10/09 09:46:20</t>
  </si>
  <si>
    <t>本人先后两次在天猫于斯智能乐器旗舰店购买陪练课，合同中写的很清楚可以退款，但我在提出退款时，第一位老师先是百般推脱，后离职，我已经按照要求将摄像头寄回，但该老师已离职，打电话，一位姓石的工作人员说会给退款，但目前电话不接，微信不回。</t>
  </si>
  <si>
    <t>2019/10/09 09:45:50</t>
  </si>
  <si>
    <t>自由摩卡六便士、变相买会员砍头息、现在国家严打套路贷、顶风违法、希望贵平台严惩这些高利贷。</t>
  </si>
  <si>
    <t>2019/10/09 09:45:44</t>
  </si>
  <si>
    <t>投诉人王女士投诉对象周周花花涉诉金额5140元问题类型诉求类型投诉详情注:本投诉是选择周周花花平台投诉，现在只能选择一项，刚才投诉的是易宝支付，9月18日通过51信用卡管家下载的周周花花，在此平台进行二次借款，当时确实是着急用钱办事，申请了3000额度的借款，以购买游戏点券方式30的借款利息高达2000多元，易宝支付平台放款3000元，望协助处理，要借款平台与我联系！但是到期总共需要还5140，因经济原因有一天不慎逾期，逾期费用是60元，我自愿承担，但是如此高额利息，以购买游戏点券不合法方式收取的利息本人实</t>
  </si>
  <si>
    <t>2019/10/09 09:45:38</t>
  </si>
  <si>
    <t>明明上面写的3000元，到手只有2000我已经还了2400多了，前几天捶收的打电话说要给我通信录的每一个人打电话，还早PS我的照片给他们每一个人我有她给我通话的录音文件，今天又接到电话让还1030，我不会在还钱了，已经超过了国家规定的利录借了2000，还了2500了还有就是必须给我道歉做出给我相应的补偿，要不然我就去中国银监会在投诉。</t>
  </si>
  <si>
    <t>2019/10/09 09:45:34</t>
  </si>
  <si>
    <t>好多人来聚投诉投邮件补充材料，我也希望加入这个团队投诉通过这个合法途径把问题解决。</t>
  </si>
  <si>
    <t>2019/10/09 09:45:17</t>
  </si>
  <si>
    <t>投诉人王先生投诉对象捷信金融涉诉金额2000元问题类型诉求类型投诉详情捷信金融客服人员威胁，刚开始还好，就是协商解决，后期态度激动，开始威胁。</t>
  </si>
  <si>
    <t>投诉人 关鑫        投诉对象  豹子贷        涉诉金额  299 元    问题类型    诉求类型投诉详情  私自扣款 而去百度一看 全是被这家公司骗的 挂羊头卖狗肉 欺骗大家 望处理 谢谢??</t>
  </si>
  <si>
    <t>2019/10/09 09:45:15</t>
  </si>
  <si>
    <t>本人在同程提钱游共借款3笔，1400至1600元不等，每笔都被强制收取权益包199元不等，实属变相砍头息，与催收客服协商完全不答应减免，并威胁我说后果自负等话语，已录音，请聚投诉工作人员协助解决。</t>
  </si>
  <si>
    <t>2019/10/09 09:45:07</t>
  </si>
  <si>
    <t>投诉人 黎先生        投诉对象  饿了么        涉诉金额  700 元    问题类型    诉求类型投诉详情  客服服务态度差 没有认真处理问题的态度</t>
  </si>
  <si>
    <t>2019/10/09 09:45:05</t>
  </si>
  <si>
    <t>这样的高利贷为何今天还能存活在互联网金融行业里，并希望相关部门能严厉打击下这种挂羊头卖狗肉的公司。</t>
  </si>
  <si>
    <t>2019/10/09 09:44:13</t>
  </si>
  <si>
    <t>本人在京东多米贷借了一笔款，每期还1200左右，因最近家里出了一些事情导致逾期，国庆期间在外兼职无法携带手机，未能接听电话，都是虚拟号码，不能回电，多米贷催收人员不听解释，拿借款人名誉威胁，并不予协商，之前就骚扰其他联系人，请相关部门处理。</t>
  </si>
  <si>
    <t>2019/10/09 09:43:52</t>
  </si>
  <si>
    <t>万单滴滴司机，一年没跑了，原本92服务分，5星司机，平台新增加了出行分，原先的数据，都给归0了，现在在线时长1小时，接不到一个单。</t>
  </si>
  <si>
    <t>2019/10/09 09:43:45</t>
  </si>
  <si>
    <t>投诉人喻女士投诉对象洋钱罐涉诉金额1000元问题类型诉求类型投诉详情晚上十点没完没了的打电话客服态度粗暴无法协商没有办法好好说话。</t>
  </si>
  <si>
    <t>2019/10/09 09:43:37</t>
  </si>
  <si>
    <t>美团生活费逾期5天，第三方催收方在没有直接联系我的情况，爆我通讯录，给我亲友电话短信骚扰。</t>
  </si>
  <si>
    <t>滴滴账号派单率下降原来100%的现在变56%服务分满分100分，现在接不到单，查看其它司机100分满分的是100%的。</t>
  </si>
  <si>
    <t>2019/10/09 09:43:28</t>
  </si>
  <si>
    <t>来米巴士分4期，一期7天，以这样的方式变相开展714小额贷，利息过高以所谓代金券形式收取砍头息，本人代金券从未使用，利息已超过本金，本人无力偿还，咨询扫黑办该平台的这一系列操作符合国家打击套路贷，要求停止对我的骚扰，销账。</t>
  </si>
  <si>
    <t>2019/10/09 09:43:13</t>
  </si>
  <si>
    <t>海尔消费金融贷款，已经剩下最后一期了，因为国庆节工资延后发放，催收人员就威胁联系亲朋好友来帮我还，已经严重影响个人名誉和精神损失，要求道歉并停止骚扰，给予延缓期限。</t>
  </si>
  <si>
    <t>2019/10/09 09:42:41</t>
  </si>
  <si>
    <t>贷非法扣除保费，利息不明确，打扰朋友家人，伪造律师函恐吓。</t>
  </si>
  <si>
    <t>2019/10/09 09:41:48</t>
  </si>
  <si>
    <t>本人2019年2月份上传车辆，审核界面一直是青岛市审核中，不给退回，不说明原因，并且本界面我点击操作后没有反应，已经无数次跟客服沟通，每次沟通，客服都是让我上传资料，然后耐心等待，就没有然后了，我的资料都是合规的，上传8个月不给通过，然后还不给派单，很多时候，一个小时十几块钱，很多次40分钟左右不给派单，领导同志，我们是合规的网约车，指望这个生活，我真是痛苦，本次操作只能上传9张照片，故没能传完整，大致情况如此，望领导核查，督促！望生活顺利！。</t>
  </si>
  <si>
    <t>2019/10/09 09:41:42</t>
  </si>
  <si>
    <t>本人在国内购买了萤石摄像头并试用了随机赠送的云存储服务在海外使用，使用感觉良好并没有发现任何问题，在续费了萤石云存储服务并正常使用几个月之后，突然出现所有摄像头云存储不录象问题，无法正常使用在尝试了几个月客服的各种解决方法无效之后，客服拒绝做出任何其他处理，详细情况如聊天记录所示.希望能给一个满意的答复。</t>
  </si>
  <si>
    <t>2019/10/09 09:41:38</t>
  </si>
  <si>
    <t>该平台有砍头息情况，并且不按照国家的法律规定的利息结算，典型的高利贷平台，钱我一次结清，但是需要按照国家的法律规定的利息结算，并且撤销我的征信账单。</t>
  </si>
  <si>
    <t>2019/10/09 09:41:07</t>
  </si>
  <si>
    <t>投诉人谢先生投诉对象及贷,拍拍贷涉诉金额40000元问题类型诉求类型投诉详情之前因为做工程资金周转不开，就在这两家平台借了钱，前期因为效益好就没出现逾期，但是后面因为工程款一直没批下来，好几个月了，所以出现逾期了，实在是没有钱去还了，想着工程款下来一下子结清，可是到现在没拿到钱，他们就到处给亲戚朋友发短信，打电话骚扰，希望能停止骚扰，跟本人微信，电话沟通都可以，愿意去协商解决，只是不要再骚扰我家里人，家里老人身体不好，不想出现没必要的闪失。</t>
  </si>
  <si>
    <t>突然收到短信，扣除299.98元，未知原因。</t>
  </si>
  <si>
    <t>2019/10/09 09:40:54</t>
  </si>
  <si>
    <t>投诉人余先生投诉对象现金借款涉诉金额490元问题类型诉求类型投诉详情每天都跟进投诉，现金借款714平台借500元14天后就要还570，之前沟通过没给答复继续投诉，第三方支付就是他们的保护伞吸取我们的血，714平台国家早已严打宝付还在为这些平台提供支付渠道。</t>
  </si>
  <si>
    <t>2019/10/09 09:40:38</t>
  </si>
  <si>
    <t>投诉人谭先生投诉对象用钱宝涉诉金额1461元问题类型诉求类型投诉详情我的欠款10.7号逾期，与崔收协商15号还款，崔收恶意骚扰本人与联系人电话，一天十几次。</t>
  </si>
  <si>
    <t>2019/10/09 09:39:00</t>
  </si>
  <si>
    <t>我已经还了2期，加起来2500多，我只借了3000，现在他要求我还完这一期1300多，再销账，但是这样21天利息就高达900以上，我最多接受本金加一百利息结清。</t>
  </si>
  <si>
    <t>2019/10/09 09:38:40</t>
  </si>
  <si>
    <t>乱扣费，所谓的个人报告费用，未经允许随便扣钱。</t>
  </si>
  <si>
    <t>2019/10/09 09:38:30</t>
  </si>
  <si>
    <t>本人于还款日钱就已经将余额存入相应的还款银行卡中，还款日当天系统不但没有自动扣款，并且连一条短信也没下发，一个电话也没通知，到今天才短信告诉我逾期了，你们这么缺这点逾期费用，！如果我的征信出问题，我必定拿着我的银行流水起诉你们！当我今天收到短信时，赶紧去下载新浪有借app，因为只有在这个平台上面才能还玖富的钱，结果根本下载不了，好不容易上百度下载下来，结果根本点不了立即还款！我告诉你！一旦我的征信出现问题！你们就等着收起诉信！。</t>
  </si>
  <si>
    <t>2019/10/09 09:38:03</t>
  </si>
  <si>
    <t>合同上却是三万多,算了一下，整个还款金额是四万多块钱，利息太高，而且现在找不到他们的合同，要求对方提供合同明细利息太高，而且现在找不到他们的合同，要求对方提供合同明细，本金已经全部还完，现在还需要还款13000多，要求结清如果需要联系本人请拨打电话133******29。</t>
  </si>
  <si>
    <t>2019/10/09 09:37:44</t>
  </si>
  <si>
    <t>投诉人张女士投诉对象招联金融涉诉金额3000元问题类型诉求类型投诉详情借款人在招联金融借款11000，每月5号需还3000左右，本月逾期4天，今天接到催收电话态度不好，表示10点没存就会打朋友、家人和单位电话，向单位了解我的为人处事，这种行为会影响借款人的正常生活和名誉的影响，不给人说话的机会就已挂机，并没有说不还钱。</t>
  </si>
  <si>
    <t>2019/10/09 09:37:41</t>
  </si>
  <si>
    <t>投诉人 吴雄锋        投诉对象  中腾信        涉诉金额  4 700 元    问题类型    诉求类型投诉详情  中腾信恶意催收，爆通讯录，群发短信。软暴力行为，将保留证据，报警处理。</t>
  </si>
  <si>
    <t>2019/10/09 09:37:16</t>
  </si>
  <si>
    <t>在唯品会刚刚买的一付没几天，隔一天发现居然比买的时候森马衬衫便宜50元，帝客卫衣便宜了40元，总价90元，在商场买贵还能退差价呢，要求唯品会按照图片价格退换差价。</t>
  </si>
  <si>
    <t>2019/10/09 09:37:10</t>
  </si>
  <si>
    <t>砍头息：贷款的时候扣了6600的服务费一共贷下了18500到手只有11900现在还了5期了已经还了12000了还够了平台贷给我的钱了、现在就是暴力催收打电话威胁家人。</t>
  </si>
  <si>
    <t>2019/10/09 09:36:44</t>
  </si>
  <si>
    <t>在京东自营店购买漫步者蓝牙耳机，显示有赠品，然后拍下以后耳机收到，赠品迟迟不发货，中间联系京东客服催单两次也不见发货。</t>
  </si>
  <si>
    <t>2019/10/09 09:36:41</t>
  </si>
  <si>
    <t>借款3000元，现在逾期了，打电话来我给解释了，下午4点之前会处理，他们就说不行，必须10点之前，我说下午4点之前一次性全部处理，因为确实也是问朋友借钱把网贷全部还了，他们就要打通讯录，骚扰我朋友和亲戚，之前就打过，我都说了处理时间，还要打通讯录。</t>
  </si>
  <si>
    <t>2019/10/09 09:36:00</t>
  </si>
  <si>
    <t>我不知道所谓的报告是什么，一早就收到扣款短信，又没借款，又没合同，银行账户还有安全可言吗。</t>
  </si>
  <si>
    <t>2019/10/09 09:35:56</t>
  </si>
  <si>
    <t>投诉人陈旭军先生投诉对象滴滴平台涉诉金额0元问题类型诉求类型投诉详情平台对快派单极不公平，把单子派给优享车，和新优享，搞那么多不公平待遇，平台外包给私人公司搞什么新优享，当初是没有，已经欺骗了司机，二，在正常打车的情况下，打快车平台自动升级派单改为优享单，没优享车派给专车，快车司机同样的车，同样的服务，价格和服务没有区别，但是性质有着天壤之别，流水差一倍，二，工作机制为题，自从改成口碑分，严重影响了司机的正常的休息和身心健康，驾驶员感到很累，力不足心，早上要出车，晚高峰，夜高峰，不把司机当人看，这样就造成疲</t>
  </si>
  <si>
    <t>2019/10/09 09:35:00</t>
  </si>
  <si>
    <t>投诉人 王先生        投诉对象  现金借款        涉诉金额  5 000 元    问题类型    诉求类型投诉详情  本人在洋钱罐借款5000分6期。已还5期。昨天是最后一期。昨天看了合同。年化虑为35.9。实在太高。跟国家规定打擦边球。现在要求协商减免还款。本人不是不还。只是要协商减免。。希望贵平台帮忙领取我的合法权利。</t>
  </si>
  <si>
    <t>2019/10/09 09:34:41</t>
  </si>
  <si>
    <t>举报投诉嗨够委托第三方进行暴力催收，电话恶意骚扰，因在海尔消费嗨够有一笔网贷逾期，海尔消费金融开始找一批又一批的第三方进行暴力催收，轰炸本人通讯录，骚扰通讯录联系人，威胁恐吓等等行为，当时也跟海尔消费金融的客服协商过还款以及侵害我名誉的问题，，但是海尔金融消费委托的第三方并没有停止对本人地骚扰及暴力催收，在没有解决此问题的情况下，反而愈演愈烈，要求海尔消费金融对本人造成的名誉问题以及被骚扰过的人道歉，赔偿。</t>
  </si>
  <si>
    <t>2019/10/09 09:33:21</t>
  </si>
  <si>
    <t>立借里的钱置宝下款2100，要一个月还4期，每期766.8，远超法律规定利息，我已经还了3期，本金已经还清，还剩一期要求销账。</t>
  </si>
  <si>
    <t>2019/10/09 09:30:54</t>
  </si>
  <si>
    <t>本人借款3000，到账2000，但是贷款合同显示借款本金3000,已经还了两期总共2200多，现还有一期的账单1158.78，明显的阴阳合同高利贷，希望能够协商处理。</t>
  </si>
  <si>
    <t>2019/10/09 09:30:53</t>
  </si>
  <si>
    <t>2019年1月15日于小象优品借款4500，每期还513，一共12期共计6156，转化年利率为36.8%，高于国家法规的36%，属于高利贷，现在已经还款8期共计4104，要求调整利率到合理范围，剩下贷款期数销账。</t>
  </si>
  <si>
    <t>2019/10/09 09:30:44</t>
  </si>
  <si>
    <t>投诉人胡女士投诉对象今日头条涉诉金额10000元问题类型诉求类型投诉详情本人因开店想在抖音上做做广告一打听才知道抖音是今日头条的就打电话给客服充了一万块钱刷流量的曝光第一次只要求他们给我放1000块钱结果他们说工作人员不小心给我刷成1700我就说那这700谁来承担然后他们就说没办法退的反正你都花钱了肯定是有曝光率的我一进后天看我的曝光率啥的也不理想就申请退款系统提交成功后都退了一个多月各种理由把我给拒了实在没办法了才来这个平台求助！。</t>
  </si>
  <si>
    <t>2019/10/09 09:30:22</t>
  </si>
  <si>
    <t>投诉百万钱包收取前期服务费，请求返还前期的费用。</t>
  </si>
  <si>
    <t>2019/10/09 09:30:02</t>
  </si>
  <si>
    <t>本人在手机借钱多宝分期借款，今天第一期还款，无法还款，联系不到客服，要求客服与我联系还款。</t>
  </si>
  <si>
    <t>2019/10/09 09:29:55</t>
  </si>
  <si>
    <t>这是第二次投诉，我上次投诉以后苏宁只管申请结案，我拒绝以后人家又申请结案，那我就继续投诉好了，事情经过苏宁全部知道，单号我也发上去了，我要求要么退货退钱，要么给出具检测证明！证明手机确实因为我得问题不能用，买了两个月的手机，我去修，没给修好就说是我得问题。</t>
  </si>
  <si>
    <t>2019/10/09 09:29:32</t>
  </si>
  <si>
    <t>本人在省呗平台借到兴业消费金融公司的17笔借款，共7千多元，每次给兴业消费金融公司打电话，对方都是接起来说声你好后，直接挂断，银行已经催我多次，房贷不等人，实在令人着急且生气。</t>
  </si>
  <si>
    <t>2019/10/09 09:29:20</t>
  </si>
  <si>
    <t>本人与2019.9.19日在周周花花借款2000元，之前通过给你花平台结果几次周周花花，虽然每次都收取将近500元砍头息，但借款期限是30天，这次总借款期限虽也是30天，但是7天一期分四期还款，每期要还857元，也就是说还款四期，2000本金共还3428元，一个月就要收取高达1428元的利息！这显然远远超出国家规定的利率范围，属于国家严厉打击的高利贷套路贷，在偿还两期后我已还1714元，也就是说现在本金只剩300元，要求现在调整利率，以剩余本金和合理利息清账。</t>
  </si>
  <si>
    <t>2019/10/09 09:29:10</t>
  </si>
  <si>
    <t>无故被扣费，没有短信确认或者消息通知，我也不知道，私自从我微信支付绑定的信用卡中扣除了这笔费用。</t>
  </si>
  <si>
    <t>2019/10/09 09:28:31</t>
  </si>
  <si>
    <t>2019.10.8日无缘无故就从卡里扣了198元，希望平台给出合理解释并尽快退款。</t>
  </si>
  <si>
    <t>2019/10/09 09:27:50</t>
  </si>
  <si>
    <t>本人于九月十三日在高铁管家APP上购买了一张昆山南站到南京的车票，后来计划出行有变化，携带护照去火车站窗口线下退票，车站人员说15天到账，现在已经差不多二十天了，打电话给12306客服说已经退款给支付宝，支付宝客服说没有收到退款，是卡在高铁管家app没有退款，app上根本联系不到客服。</t>
  </si>
  <si>
    <t>2019/10/09 09:27:46</t>
  </si>
  <si>
    <t>本人于上个月5号向小黑鲨平台借款2000，10天一期总共3期，要还2660，小黑鲨是典型的714，但是相关部门没有对于严格的监管，导致小黑鲨这714如此横行，我本人要求主动归还本金，否者不肯，那只能像经侦大队，报案，一分不还。</t>
  </si>
  <si>
    <t>2019/10/09 09:27:43</t>
  </si>
  <si>
    <t>投诉人周兰云投诉对象升学教育涉诉金额7563元问题类型诉求类型投诉详情没钱交分期申请退学费，申请多次不予受理。</t>
  </si>
  <si>
    <t>2019/10/09 09:27:17</t>
  </si>
  <si>
    <t>在贷上钱申请了贷款，到账后要购买所谓的金豆，一笔为2500元要购买600一笔为2000元购买500的金豆，现要求支付到账的金额和应该的利息，不得骚扰我通讯录。</t>
  </si>
  <si>
    <t>2019/10/09 09:27:00</t>
  </si>
  <si>
    <t>我来贷逾期利息严重超过国家标准，联系客服不处理。</t>
  </si>
  <si>
    <t>2019/10/09 09:26:39</t>
  </si>
  <si>
    <t>距离还款日12天而且还款金额至少了10块钱。</t>
  </si>
  <si>
    <t>2019/10/09 09:26:19</t>
  </si>
  <si>
    <t>投诉人 谭先生        投诉对象  快钱支付        涉诉金额  2 000 元    问题类型    诉求类型投诉详情  莫名其妙乱扣费，而且查不到是扣的什么费用。</t>
  </si>
  <si>
    <t>2019/10/09 09:26:12</t>
  </si>
  <si>
    <t>本人通过小白用卡APP里的推借，下载了来花花，来的短信是多乾分期，菜鸟有钱，呗呗分期，喵下贷平台，借款1400元，实际到账也是1400元，借时并无任何提示，结果却要在3天和6天后归还2000元，无客服电话联系，后通过支付宝直接转到我的银行卡里2.唯一还款通道是支付宝，收款方为都为个人和商铺，1.来花花，菜鸟有钱，喵下贷是通过汇潮支付这个支付通道放款，后通过支付宝直接转到我的银行卡里2.唯一还款通道，是支付宝，收款方为都为个人和商铺，本人愿意归还本金和合法利息，希望通过平台解决问题3.来花花，菜鸟有钱，呗呗分</t>
  </si>
  <si>
    <t>2019/10/09 09:25:55</t>
  </si>
  <si>
    <t>招联金融！全网投诉率最高的平台！贷款逾期，你们找贷款人，你们有能耐就起诉，你们联系我们干嘛，国家大力大压暴力违法催收，你们目无法纪！贷款就找贷款人，你们联系我们，透露贷款人信息，你们不是挺懂法嘛，全网最恶心，最垃圾平台！。</t>
  </si>
  <si>
    <t>2019/10/09 09:25:43</t>
  </si>
  <si>
    <t>上海拍拍贷，违法国家国家规定的年利率百分之24%征收我年利率百分之30以上的利息，并且爆我通讯录，威胁恐吓我，对我及我的家人的身心造成了极大的影响，我要求上海拍拍贷做出道歉并调整利率，停止骚扰，而且本人在拍拍贷借款时，拍拍贷并未出具借款合同，包括最后的署名都是拍怕贷自行签署的电子署名，大家可以帮我看看拍拍贷的借款利率是不是超过了国家规定的百分之24.。</t>
  </si>
  <si>
    <t>2019/10/09 09:24:48</t>
  </si>
  <si>
    <t>投诉人 张女士        投诉对象  优智借        涉诉金额  220 元    问题类型    诉求类型投诉详情  侵犯个人隐私 不经本人同意联系通讯录联系人 给联系人发信息 严重损坏本人形象</t>
  </si>
  <si>
    <t>2019/10/09 09:24:36</t>
  </si>
  <si>
    <t>本人于2019年7月1日从钱站借款一千，打款也是一千，操作页面时没有显示还款一千八，显示还款1200，我之前借过一次还款是1200，到第一期还款时页面居然变了变成还款1800了，我现在已经还了1200了，我希望钱站给我销帐！。</t>
  </si>
  <si>
    <t>2019/10/09 09:24:09</t>
  </si>
  <si>
    <t>本人于9月8号在闪管家借款1100元，平台收取了300元购买了会员卡，到账1100元，逾期第一天客服态度极度恶劣，本人没有不还的打算，只是工资到账需要周转一两天，客服威胁2小时内不处理就上交催收联系朋友爆通讯录，不接受任何理由协商，每天的逾期费高达38元。</t>
  </si>
  <si>
    <t>2019/10/09 09:23:56</t>
  </si>
  <si>
    <t>借款要求购买黑卡，保证下款，我花了三百块钱买了黑卡，最后每次都是额度抢完，不下款，要求退回我花的三百块钱！。</t>
  </si>
  <si>
    <t>2019/10/09 09:23:45</t>
  </si>
  <si>
    <t>捷信公司你们到底想要干嘛，我和你们又没业务往来我又没欠你们钱还天天打电话响两声就挂，你们到底要咋样。</t>
  </si>
  <si>
    <t>2019/10/09 09:23:43</t>
  </si>
  <si>
    <t>借款1025还款1034还需要还款522，严重违反国家规定的高利贷，协商不同意威胁联系家人朋友，电话都有录音，连连支付和宝付支付提供支付通道。</t>
  </si>
  <si>
    <t>2019/10/09 09:23:40</t>
  </si>
  <si>
    <t>闪银货款，客服说要购买商品才能放款，本人购买付款了，闪银就冻结账号资金，说是征信问题，不放款，放款金额冻结，说我的购买商品金额588元也一起冻结，退还不了。</t>
  </si>
  <si>
    <t>2019/10/09 09:22:21</t>
  </si>
  <si>
    <t>在三月的时候在上海婚博会跟百家囍事婚庆公司签了合同，期望于明年五月在苏州地区举办婚礼，由于当时没有定下来场地和时间，所以合同上也没有写到，后来双方家长决定在男方家温州办婚礼，我希望用这五万的定金，希望这家婚庆公司只是可以派人员过来拍摄和司仪，表演我都不需要了，只是想退一步把定金用来派人过来摄像就够了，一点商量的余地都没有，说是如果不在苏州办婚礼，，除非另外签合同付钱才愿意派人过来，这个五万定金只能用于苏州办婚礼。</t>
  </si>
  <si>
    <t>2019/10/09 09:22:17</t>
  </si>
  <si>
    <t>投诉人 昝女士        投诉对象  你我贷        涉诉金额  453 元    问题类型    诉求类型投诉详情  你我贷逾期第一天 接到一个浙江杭州联通的手机号给我打电话 要我十点半给上 不然就一个一个的打我联系人包括单位电话 语气态度极其恶劣 威胁恐吓我</t>
  </si>
  <si>
    <t>2019/10/09 09:22:14</t>
  </si>
  <si>
    <t>10月3日星期四，我收到一嗨租车的短信息称，我租用的车牌号为琼A0495B的车辆在2019年8月15日10:50:23发生违章，剩余五天处理时限，若逾期应一嗨将在交警所限时间内协调处理，并暂扣您的相应违章罚金及违约金，直至您将违章处理完毕，我打开一嗨租车的APP查看，发现有一条违章是超速10%，零罚款0扣分，并且提示有10天的处理期限，但是我收到短信时已经过了5天了，而且我在收到短信前几天还专门打开APP查看过有没有违章信息，但是没有查到，我打一嗨租车的官方客服电话，告诉他们现在是国庆假期没办法处理违章，而</t>
  </si>
  <si>
    <t>2019/10/09 09:21:22</t>
  </si>
  <si>
    <t>玖富万卡借款到账金额5000元，却显示还款本金7900元，另一笔借款金额1800元，显示还款金额2340元，还不算利息，严重欺骗消费者，。</t>
  </si>
  <si>
    <t>2019/10/09 09:21:14</t>
  </si>
  <si>
    <t>由于我个人问题受了点伤，造成信用卡逾期10天，华夏银行委托方一直电话骚扰，严重影响了我生活和工作。</t>
  </si>
  <si>
    <t>2019/10/09 09:19:15</t>
  </si>
  <si>
    <t>2019年10月1日晚到襄阳刘集机场进入候机室便有一个穿制服的工作人员走过来打招乎，因第一次坐飞机，以为是机场人员作登机指引，随后，这位工作人员开始推销易行商旅的卡，说现在存1500元送500元，到时卡里有2000元，用这个卡买机票有优惠，在网上500元的机票用这个卡400元就可以出票了，我觉得一下存1500元多了，有点犹豫，她便说，你看你这次出门来回坐飞机的话就是1000元，有这个卡的话就可以直接用卡里的钱买，还可以省200元，而且你的亲友都可以用这卡买机票，有这个卡只要是机场的贵宾厅都可以免费休息...</t>
  </si>
  <si>
    <t>2019/10/09 09:19:08</t>
  </si>
  <si>
    <t>170******62这个手机号码发送的，请大家证明。</t>
  </si>
  <si>
    <t>2019/10/09 09:19:02</t>
  </si>
  <si>
    <t>省呗手动还款故障，无法正常还款，2100逾期一天利息加了100，严重超过国家法定利率。</t>
  </si>
  <si>
    <t>2019/10/09 09:18:35</t>
  </si>
  <si>
    <t>每天对我通讯录进行恐吓，威胁，导致我和通讯录的人心里受到惊吓，反复受其威胁。</t>
  </si>
  <si>
    <t>2019/10/09 09:18:31</t>
  </si>
  <si>
    <t>投诉人马斌投诉对象智享贷,及贷涉诉金额2060元问题类型诉求类型投诉详情预先扣除利息，，是指出借人在向借款人交付借款时先从本金中扣除利息的行为，《合同法》第二百条规定：“借款的利息不得预先在本金中扣除，利息预先在本金中扣除的，应当按照实际借款数额返还借款并计算利息，”这是条禁止性规定，即禁止出借人预先在本金中扣除利息，《规定》第二十七条规定“预先在本金中扣除利息的，人民法院应当将实际出借的金额认定为本金。</t>
  </si>
  <si>
    <t>2019/10/09 09:18:21</t>
  </si>
  <si>
    <t>本人在安全带APP借款平台借款3000元，还款3600元，周期只有21天，七天为一个周期，一期1214元，而且已经用了几次，给的利息已经都超出本金了，这是目前国家严重打击的非法套路贷！现在本人已经偿还两期，要结清最后一期，要与安全带贵公司协商还款，否则本人将会把所有证据上传到扫黑办和银监会从而取得维权，以下截图为借款记录希望聚投诉平台协助我维权。</t>
  </si>
  <si>
    <t>2019/10/09 09:18:06</t>
  </si>
  <si>
    <t>我自己app还款关你下班什么事，微信上还辱骂我，如果不道歉不解释，我是拒绝还款的，我有辱骂的证据！。</t>
  </si>
  <si>
    <t>2019/10/09 09:17:46</t>
  </si>
  <si>
    <t>本人于2019年6月向你我贷平台借贷16800元，分12期还款，目前已经还款3期共还9489元，还欠13300元，贵平台本人总共借本金16800元，按该还款方式，一年之后，总归本息共还22839元，并前两期扣款总和就高达8000元，占借款本金将近一半，这种扣款还款模式是不正规手段，并且其利息远高于国家规定标准，现本人一女子，刚刚下岗失业，目前正努力寻找工作，失去工作的我目前无收入来源，恳求贵平台挂帐免息，并从已还款额度里扣除相应本金，减少剩余还款额，我是守法公民，欠的账不会赖掉，目前本人已经还款9400多元</t>
  </si>
  <si>
    <t>2019/10/09 09:17:21</t>
  </si>
  <si>
    <t>2019/10/09 09:17:11</t>
  </si>
  <si>
    <t>我与佰仟贷款手机贷，当时客服说的金额高点通过不一定有那么多钱，因为我是第一次贷所以不懂，客服说什么就是什么，客服说的只需要还3个月就行了，每个月500多，我还满3个月客服又打电话说还需要还一个月，我又还一个月，后来一直就没有打电话给我，我当时贷的也是1500，我以为还完了，一直到去年突然有个湖南的打电话说要求还钱5400，后来协商还了1700多，也联系不上以前的业务专员了，一直到2019年10月8号突然好几个朋友同时收到一个陌生号码发过来的违约罚款，让我非常吃惊，这贷的1500为什么就一直不定的隔一年又换人</t>
  </si>
  <si>
    <t>2019/10/09 09:16:37</t>
  </si>
  <si>
    <t>投诉人 张先生        投诉对象  拍拍贷        涉诉金额  300 元    问题类型    诉求类型投诉详情  本人在拍拍贷借款 平时每月都还了 这个月资金有点紧张 还了一半 剩下的一半逾期了几天。然后拍拍贷就爆我通讯录</t>
  </si>
  <si>
    <t>2019/10/09 09:15:57</t>
  </si>
  <si>
    <t>由于我个人问题训练受伤了，京东白条造成了逾期，逾期是我不对，但是京东委托第三放一直电话骚扰，严重扰乱生活和工作，我也承诺20号开工资还款。</t>
  </si>
  <si>
    <t>2019/10/09 09:14:06</t>
  </si>
  <si>
    <t>投诉人 黄女士        投诉对象  Wecash闪银        涉诉金额  700 元    问题类型    诉求类型投诉详情  说话态度。我就不说了吧 真的是 不想说。呵呵。总金额九百 要我还3000。还跟我说协商。我不知道协商是怎么协商的。公司自然也有微信。有微信就有记录 去听听吧。</t>
  </si>
  <si>
    <t>2019/10/09 09:13:20</t>
  </si>
  <si>
    <t>支付一元开通免密，然后几个月内在不知道的情况下扣了一次99元和两次69元。</t>
  </si>
  <si>
    <t>2019/10/09 09:12:46</t>
  </si>
  <si>
    <t>本人因为被骗导致别人登陆本人淘宝账户进行违规操作，导致账户被冻结，本人原本就是受害者，淘宝不分青红皂白就冻结本人账户。</t>
  </si>
  <si>
    <t>2019/10/09 09:12:09</t>
  </si>
  <si>
    <t>群发短信骚扰通讯录，冒充律师恐吓通讯录，打骚扰电话给联系人。</t>
  </si>
  <si>
    <t>2019/10/09 09:11:55</t>
  </si>
  <si>
    <t>我承认我在另一家商店刷单的时候，购买错了店铺，当收货的时候，核实竟然发现错了，我就赶紧跟商家沟通，谁知道他为了坑我的钱立马跟客服承认自己刷单，关键是他都没提供出来刷单的聊天记录，和给我的转账记录，淘宝小二就直接判定我虚假交易，即使我是跟别人虚假交易，但是这个商家是清楚我到底有没有帮他刷单的，即使你要跟判断我和这个商家虚假交易，也得让他举证的有说服力吧，维权小二想都不想就商家说虚假交易他就认定了，我都没收到货，商家也没有真实的给我发货，就让我损失3190，商家还把我拉黑，淘宝根本就不去核实真实情况，不维护消费</t>
  </si>
  <si>
    <t>2019/10/09 09:09:30</t>
  </si>
  <si>
    <t>借款7000元，保险费用1000多，减免销账。</t>
  </si>
  <si>
    <t>2019/10/09 09:09:12</t>
  </si>
  <si>
    <t>暴力威胁催收，不给一天协商的机会和一个缓冲的时间。</t>
  </si>
  <si>
    <t>2019/10/09 09:08:05</t>
  </si>
  <si>
    <t>我一直好好跑滴滴，这么多5星好评，不加服务分还要扣服务分，公平的给我恢复。</t>
  </si>
  <si>
    <t>2019/10/09 09:07:51</t>
  </si>
  <si>
    <t>10月8日，因家中亲戚看病急需用钱，之前收到360借条推广信息说利息低，无奈之下注册登录申请借款，申请过后并未到账，对方客服说需要1500元工本费提取密码才能到账，期间对方换过几个收款账号，后给他转账后，借款还未到账，再次询问客服，这次说我填写的银行卡号不对，让我确认卡号，我看了个人资料上的卡号跟我的卡号相差一个数字，银行卡其中给我多加个0，如果卡号错误的话当时肯定就不能绑定银行卡了因为要输入银行卡在银行预留的手机号才能绑定，而且我在输入资料的当时核对过三次确定自己并未输错账号；再次询问客服如何解决，客服说</t>
  </si>
  <si>
    <t>2019/10/09 09:07:30</t>
  </si>
  <si>
    <t>通讯录已被打爆，语音恶心，苦不堪言，根本没有商量的余地。</t>
  </si>
  <si>
    <t>2019/10/09 09:07:09</t>
  </si>
  <si>
    <t>，分24期，在提现时需在借款本金扣除2233元服务费，实际到账11767元，按照一个利率，相当于100%…为什么投诉量这么巨大，却没有解决问题，在国家严打的情况下，该公司漠视祖国法律法规，还是背后有不为人知的一面，还是说所建立出来的一些监管部门，只是虚有其表。</t>
  </si>
  <si>
    <t>2019/10/09 09:06:55</t>
  </si>
  <si>
    <t>因这段时间资金周转问题逾期了，请求贵公司还款可以延迟到20号发工资立刻还款，我也是老用户了，都会遵守，希望贵公司能同意。</t>
  </si>
  <si>
    <t>2019/10/09 09:06:16</t>
  </si>
  <si>
    <t>无缘无故的被上海携趣网络科技有限公司用POS机扣款299元，不给个解释吗。</t>
  </si>
  <si>
    <t>2019/10/09 09:05:25</t>
  </si>
  <si>
    <t>玖富万卡每天都发短信威胁恐吓，并且强制收取保费，不交保费不能还款，蓄意造成我逾期，如果玖富方面不处理我将继续向银监会投诉并维权到底！。</t>
  </si>
  <si>
    <t>2019/10/09 09:05:16</t>
  </si>
  <si>
    <t>实际到账2187元，期限四天，到期还款3500元，第四，催收员爆通讯录，言语恶劣，辱骂借款人及借款人家属。</t>
  </si>
  <si>
    <t>2019/10/09 09:04:17</t>
  </si>
  <si>
    <t>本人李沃权贷款15000元己逾期了72天但是已经还了八期每一期连本带利还593元但是捷信公司要我一次性还清而且金额却是15373.66元这个数目大于总贷款额本人投诉捷信公司收费不合理是高利贷。</t>
  </si>
  <si>
    <t>2019/10/09 09:00:38</t>
  </si>
  <si>
    <t>本人是你我贷的老客户了，每期都按时还款，利息高不说，我都已全部还清，因为有困难才向你我贷平台再借，可都是显示综合评分不足，请问你们有什么跟据说我综合评分不足，是你们平台没资金吧，我只点了一下申请，却出现什么秒啦，嘉卡贷，ⅰ复贷的申请，什么鬼。</t>
  </si>
  <si>
    <t>2019/10/09 09:00:24</t>
  </si>
  <si>
    <t>光大银行,光大银行信用卡中心,光大银行天津分行营业部,光大银行销售人员，自称是银行办卡人员上商户办卡&amp;nbsp;由于说办理光大信用卡说送电器礼品、说当时不需要开卡也行、比较诱惑、身边需要商户办理、他们也现场拍身份证、合影跟其他银行办理的流程一样、就办理一下饿了么联名卡、下卡之后让我们消费一笔、由于比较想要礼品、按照她的要求去做、最后多次联系、开始说台风原因延迟、后来被拉黑，开始打信用卡投诉电话??多次不好打人工，后来打总行投诉电话??、联系到支行、支行领导说个人行为、临时工、被开除了、业绩压力大、总行没有礼品资</t>
  </si>
  <si>
    <t>2019/10/09 08:59:51</t>
  </si>
  <si>
    <t>投诉人潘汉龙投诉对象钱站涉诉金额64800元问题类型诉求类型投诉详情合同金额与实际到手金额不一致，在还款的过程中多次存在骚扰家人胖友，给本人造成了严重的生活影响要求贵司降低利息，与我协商一次性处理的结果。</t>
  </si>
  <si>
    <t>2019/10/09 08:57:01</t>
  </si>
  <si>
    <t>每天电话骚扰，打电话没有声音，接起来就挂掉，持续骚扰。</t>
  </si>
  <si>
    <t>2019/10/09 08:56:10</t>
  </si>
  <si>
    <t>航班10.1号取消的，当时就马上提交了退票申请，期间10.5号打过客服电话催促，但是现在申请还是一直不处理。</t>
  </si>
  <si>
    <t>2019/10/09 08:54:51</t>
  </si>
  <si>
    <t>中信信用卡中心第三方催收人员，非中信银行工作人员，一无工号，二无真实姓名，再可以联系到我的情况下多次想我的家人和朋友，以及我村多人宣传和恐吓我的催收，我在9月的接到催收电话后，家里人都积极主动给凑钱还款，陆续还款5万元多，我也陆陆续续再还，我多次给信用卡中心协商，信用卡中心客服说的可以陆续还款，也看到我的诚意让我安心工作挣钱还款，但是第三方确一直打电话说让公安抓人来威胁我的父母和哥哥，最终客服投诉无果，信用卡第三方催收人员反而连本带利的更加凶猛的攻击我的家人，尤其攻击我的父母，我多次给他们说我父母有心脏病史</t>
  </si>
  <si>
    <t>2019/10/09 08:54:47</t>
  </si>
  <si>
    <t>骚扰我的家人，想一次性结清又不让，说什么没号码，没身份信息，之后骚扰家人。</t>
  </si>
  <si>
    <t>2019/10/09 08:52:11</t>
  </si>
  <si>
    <t>国美金融旗下国美易卡群发通讯录对我的工作生活造成严重影响。</t>
  </si>
  <si>
    <t>苹果商店监管不力.上架带有赌博性质的软件.对广大网民造成财产损失.希望有关部门加强管理.快速处理.依法追究平台运营者得刑事责任.另外希望苹果商店加强管理.杜绝违反中华人民共和国法律的软件上架审批.本人愿意为如上所诉承担一切责任并确保上述的真实性.。</t>
  </si>
  <si>
    <t>2019/10/09 08:50:59</t>
  </si>
  <si>
    <t>投诉人苏先生投诉对象达飞云贷,湖北消费金融股份有限公司涉诉金额7000元问题类型诉求类型投诉详情达飞云贷以低息办理信用卡为名&amp;amp;nbsp;虚假宣传给人办理达飞云贷套路贷，只能分期三个月，收款不合理服务包，综合年息80%，下款到帐随着扣走本金10%的质保金，变相砍头息！不允协商还款，爆通讯录，上门贴照片，恐吓等爆力催收！催收人员要求倒贷并个人收取手续费用！先后被套路服务包共计7000元。</t>
  </si>
  <si>
    <t>2019/10/09 08:49:25</t>
  </si>
  <si>
    <t>汇潮支付为高利贷平台蜜瓜钱包提供支付通道，蜜瓜钱包涉及砍头息，2200，六天实际到账1430，本人已延期一次支付费用770，严重违反国家法定年利率，要求协商。</t>
  </si>
  <si>
    <t>2019/10/09 08:48:33</t>
  </si>
  <si>
    <t>说好了还款是什么时候，然后一早电话，我只是睡觉是电话调了静音，然后没接到就发给亲戚朋友，对他们进行了，骚扰，，对我也进行骚扰，问我怎么去凑钱还，问的有意思吗，难道我什么都要告诉客服吗，至于天天打电话吗，我已经说了我天亮才睡，叫他下午给我电话，还是问同一个问题，怎么筹钱还款，我知道是我答应的事做不到但也不至于天天天话，还什么都问，请问，我欠钱，要交代我祖宗十八的事给你知到吗。</t>
  </si>
  <si>
    <t>2019/10/09 08:47:55</t>
  </si>
  <si>
    <t>未经过协商骚扰朋友以及通讯录！麻烦帮忙处理。</t>
  </si>
  <si>
    <t>2019/10/09 08:46:16</t>
  </si>
  <si>
    <t>手机借钱软件中的多宝分期2019年10月8日借款3700元分四期，5843而且线上还不了款我昨天应急借出来当天就想全部结清，结果还不了，不可能一天就收我2100的利息吧！实属高利贷，需要本金加合理利息销账希望在今天之内解决，我全额还款加合理利息销帐。</t>
  </si>
  <si>
    <t>2019/10/09 08:45:17</t>
  </si>
  <si>
    <t>在自由魔卡提供的渠道六便士借款2000，期限为30天，却需要先支付540的会员购卡费，相当于变相砍头息，今天到还款期限，本人有意愿协商还款，希望聚投诉帮我联系六便士客服，尽快联系我协商还款。</t>
  </si>
  <si>
    <t>2019/10/09 08:45:05</t>
  </si>
  <si>
    <t>最近出了点事导致逾期了几天，昨天没接到电话，你我贷催收人员打我多个通讯录好友联系人及单位进行恐吓！。</t>
  </si>
  <si>
    <t>2019/10/09 08:41:10</t>
  </si>
  <si>
    <t>无故在半夜扣了我299砍头息，以查信用订单为名，我和他们交涉退款，他们要我寄身份证复印件和手持身份证照片给他们才能退款。</t>
  </si>
  <si>
    <t>2019/10/09 08:40:29</t>
  </si>
  <si>
    <t>2019年9月21号在聚富分期app上注册账号打算在他们平台贷款的，就填写了些资料，填写资料时也没看到需要评估报告费用，没想到直接扣了我299元！造艺科技提供违规支付通道违法扣款！我就想说在我不知道的情况下可以乱扣我的钱吗，你们这是属于违法犯罪，联系客服都是一套一套的，说什么过14天才能退款，而且还需要注册你们推荐的几个借款app失败后才能退款！百般推脱，混淆概念，而且昨天我看了有4个借款app，今天变5个，而且还要我去你们推荐的几个app上填写个人资料，这是在泄露我的信息！刚刚在联系在线客服，有800多位</t>
  </si>
  <si>
    <t>2019/10/09 08:40:13</t>
  </si>
  <si>
    <t>9月25日，借款1000，一个月还1523，这个500是所谓的征信报告费，现在得知这种一个月的也是属于砍头息，714、套路贷的一种，现在要求退还前面几次借款的征信报告费，按国家规定收取合法利息，并且销账，不得骚扰亲朋好友，希望聚投诉帮帮忙，请平台尽快联系我。</t>
  </si>
  <si>
    <t>2019/10/09 08:40:07</t>
  </si>
  <si>
    <t>订单完成后，要求货拉拉开票，但是货拉拉以信息平台为借口，拒绝开票。</t>
  </si>
  <si>
    <t>2019/10/09 08:39:46</t>
  </si>
  <si>
    <t>我在闪银上面借了一千，分三个月还，第二期忘记还款逾期了18天，逾期费用高达70多。</t>
  </si>
  <si>
    <t>2019/10/09 08:38:20</t>
  </si>
  <si>
    <t>在秒读钱包无意申请贷款下来才看到，不光有利息，每个月还有风险保险，一年全下来要多还6000多块钱，请问我贷款一万三，你们是高利贷吗。</t>
  </si>
  <si>
    <t>2019/10/09 08:34:39</t>
  </si>
  <si>
    <t>本人于2019年9月在瑞利随薪贷旗下的现控达人分别借款1400元和2800元，分别都是4期，8天为一期，其中借1400元的我已还两期，借2800元的还款日操作了好几次系统还不了款，导致逾期，逾期费一天要50多，本人联系不上客服，导致逾期多天，后来联系上了客服，又叫我在app提交反馈，说会有人联系我，我提交反馈后也没人联系我，隔几天我又找客服，又叫我提交反馈，我提交了也没人找我协商还款，，有催收打我电话，不肯去逾期费说他没权力，又叫我找客服，客服又帮我提交反馈，这种平台自身问题导致我们借款人还不了款还要恶意强</t>
  </si>
  <si>
    <t>2019/10/09 08:31:39</t>
  </si>
  <si>
    <t>投诉人付女士投诉对象速金服涉诉金额2000元问题类型诉求类型投诉详情一个有代偿的平台，实际到账的金额是1000元，分期三个月，每个月还款634.69元，第一期我因为逾期的一天加上违约金需要偿还701.90元，而且合同上说的到账金额是1870元，本来我就是缺钱才选择贷款，这样下去无力偿还还要承受高额的违约金。</t>
  </si>
  <si>
    <t>2019/10/09 08:31:30</t>
  </si>
  <si>
    <t>货款提现困难，提现会失败，申请退店后索性剩余货款不给了，并以“”商家账户中有未提现的可提现余额没有提现”为理由不给退店。</t>
  </si>
  <si>
    <t>2019/10/09 08:30:49</t>
  </si>
  <si>
    <t>本人一个22女孩子于2017被前男友骗又被套路贷于1万元利滚利骗至64万元。</t>
  </si>
  <si>
    <t>2019/10/09 08:29:52</t>
  </si>
  <si>
    <t>9.30号注册聚富分期贷款，并没有通过，当时卡里没钱，从朋友手中借300，10.1号无缘无故扣除299，通过中金收款方西安嘉盈顺，联系客服说是聚富分期个人评估费299元，当时没有显示评估费，要求退款，客服不给退，维护个人权益请求帮助谢谢。</t>
  </si>
  <si>
    <t>2019/10/09 08:29:49</t>
  </si>
  <si>
    <t>要求退款，虚假网站，霸王条款，不给钱，爱搭不理。</t>
  </si>
  <si>
    <t>2019/10/09 08:29:38</t>
  </si>
  <si>
    <t>小度有钱，我没有借款，此app确私自在我银行卡扣了198，在我投诉后，客服害怕我投诉到银联，给我致电，我猜想是客服得知我并没有在银联投诉小度有钱后，就想不予置理。</t>
  </si>
  <si>
    <t>2019/10/09 08:28:42</t>
  </si>
  <si>
    <t>今年2019年四月因急用资金周转，百万钱包借贷12000,是急用没有细看金额及相关利息，后发现利息高于国家规定，应还12000,实际14460,昨日已接到催收，且言语带有恐吓，要求后期协商还款。</t>
  </si>
  <si>
    <t>2019/10/09 08:26:41</t>
  </si>
  <si>
    <t>招联金融催收人员爆通讯录，骚扰亲友，威胁恐吓，。</t>
  </si>
  <si>
    <t>2019/10/09 08:26:20</t>
  </si>
  <si>
    <t>本金1300块钱，三个月还款，每个月要还741，逾期第一天各种骚扰，很多借款人都有这种反应，希望调整利率，下架该产品。</t>
  </si>
  <si>
    <t>2019/10/09 08:25:25</t>
  </si>
  <si>
    <t>快递员就是不派件已经2天了！！！电话不接！。</t>
  </si>
  <si>
    <t>2019/10/09 08:24:57</t>
  </si>
  <si>
    <t>宝付支付联合达飞云贷套路贷收取服务包，综合年利息80%使用达飞共7次，被套路服务包共计2000元。</t>
  </si>
  <si>
    <t>2019/10/09 08:24:20</t>
  </si>
  <si>
    <t>在交易猫买号，1950，机器人自动发货后，由于截图不完整，我点了更多截图，然后16个小时没有客服理会，已多次沟通人工客服，总是敷衍说会催促发货，但依旧没有人管，现在我只想取消此次交易退款给我，没人理会，我要投诉他们黑人钱财不退款！！！。</t>
  </si>
  <si>
    <t>2019/10/09 08:23:11</t>
  </si>
  <si>
    <t>砍头利息，阴阳合同，爆通讯录骚扰别人，利息太高了，承受不起。</t>
  </si>
  <si>
    <t>2019/10/09 08:22:20</t>
  </si>
  <si>
    <t>昨天用钱宝催收叫我中午12点之前把钱还进去不然就爆我通讯录，我在12点之前还进去了，竟然还给我同事朋友发短信，导致我的名誉受损。</t>
  </si>
  <si>
    <t>2019/10/09 08:22:12</t>
  </si>
  <si>
    <t>投诉人潘先生投诉对象360借条涉诉金额50000元问题类型诉求类型投诉详情昨天收到短信360借条的短信说可以借款于是进入360借条APP申请借款50000，客服说要交2500工本费才给提现码，没支付，也并没有金钱到账，在未说明有合同的情况下APP强制要求手动签写姓名，而后这个手写的名字就被移到到合同上了，即使没有金钱到账也视合同生效并强行按月扣取利息，实际没有金钱到账，并且咨询了律师，律师表明该情节已经涉嫌违法。</t>
  </si>
  <si>
    <t>2019/10/09 08:20:16</t>
  </si>
  <si>
    <t>7月13号在美乐乐家具店买了两件商品，这简直是我噩梦的开始，买的时候全额付款，承诺一个月到床，一个半月到柜子，逾期未到我可以要求无条件退款，合同上也规定，商品质量问题由商家全权负责，但是8月15号到了一张破损严重的床，客服告诉我特价商品不退不换，虽然很同情我，也只能安排维修，多次协商后8月16号承诺给我发一张新的，并保证10天到货，9月5号被告知，新床破损仍然十分严重，因为已经到了收货日期，我未收到一件能正常使用商品，，我要求退款，至今我未收到退款，而且店家已经关门停止营业。</t>
  </si>
  <si>
    <t>2019/10/09 08:20:10</t>
  </si>
  <si>
    <t>首汽约车找各种原因不垫付车费，试问司机在完成订单后收取车费是不是天经地义的事，B1****************0这单在到达乘客上车点我有打电话给乘客，乘客就在我对面，电话接通后乘客向我挥手同时我也看到了，这些都有行程录音，首汽却说我在行程开始前未联系乘客，真是无赖行径，作为一个公司找各种把这些坏账转嫁到司机身上，让我们司机去承担，请问有没有天理。</t>
  </si>
  <si>
    <t>2019/10/09 08:18:35</t>
  </si>
  <si>
    <t>投诉人黄先生投诉对象拼多多,支付宝涉诉金额11000元问题类型诉求类型投诉详情拼多多和支付宝为网络赌博开通支付通道网络赌博名为好彩客，这个网站为骗子网站要求退还所有款项，已报警，拼多多和支付宝知法犯法，。</t>
  </si>
  <si>
    <t>2019/10/09 08:17:39</t>
  </si>
  <si>
    <t>9月6日到账，由于确实无力还款，贷上钱开始打电话，之前未有任何认证，现已经把我通讯录上所有电话号码每天骚扰，现已经完全影响到我通讯录好友正常生活。</t>
  </si>
  <si>
    <t>2019/10/09 08:14:26</t>
  </si>
  <si>
    <t>及贷催收不停打电话发短信语气有恐吓威胁，还群发微信加我好友破坏我声誉，和担心！！！我一直投诉他们却还一直骚扰！！！。</t>
  </si>
  <si>
    <t>2019/10/09 08:12:25</t>
  </si>
  <si>
    <t>本人2019年09月06日在搜狗借钱借款7200元，次月开始还钱。</t>
  </si>
  <si>
    <t>2019/10/09 08:11:48</t>
  </si>
  <si>
    <t>2019年10月9号7点半左右，自动扣款，而且手机没有短信提示，我到银行卡里才看到记录，也不知道为什么扣钱。</t>
  </si>
  <si>
    <t>2019/10/09 08:11:09</t>
  </si>
  <si>
    <t>https://10365.xyz/login。</t>
  </si>
  <si>
    <t>2019/10/09 08:06:41</t>
  </si>
  <si>
    <t>投诉人覃大芳投诉对象百度涉诉金额30元问题类型诉求类型投诉详情没有开通任何业务，无故扣款30元，请求退款。</t>
  </si>
  <si>
    <t>2019/10/09 08:05:46</t>
  </si>
  <si>
    <t>昨天下载聚富分期App，注册后未借款就卸载软件了，今早六点突然收到扣款199的短信，并未经过同意扣银行卡钱，骗子公司，请求处理退款事宜，并做出处罚，欺骗消费者，被扣款的人网上一搜特别多，要求严厉打击这种恶劣行为和商户，客服也打不通。</t>
  </si>
  <si>
    <t>2019/10/09 08:05:22</t>
  </si>
  <si>
    <t>借了呗借1900到账1330时间6天，开始说好归还本金可是我还好本金1330后不消账，在过了几天又有联系我在还100马上消账我还了后一直不消账，到现在又打电话还要叫我在还470才能销账而且到处打电话到亲朋好友那里，严重套路了。</t>
  </si>
  <si>
    <t>2019/10/09 08:03:29</t>
  </si>
  <si>
    <t>2018年期间，付呗公司的员工联系我，推销给我办商户收款二维码，就是客户扫一扫他们的二维码，钱到我账户上！，大概用了一段时间，期间进账约50000元，突然发现我被APP踢出去了，我的账户被关闭，什么都看不到！，打电话问客服，客服说需要提供营业执照等等一系列资料才能处理，可是你公司业务员办理码的时候，说不用营业执照办的，这不是合伙坑我吗，经过多方了解发现有很多人的情况跟我一摸一样，都是经过付呗业务员推荐发送手机号码就可以开通的收款码，这个收款码的资金会在特定的时候就会冻结，官方统一说法就是提供资料，无法提供钱</t>
  </si>
  <si>
    <t>2019/10/09 08:01:52</t>
  </si>
  <si>
    <t>玖富万卡在申请借款中扣砍头息2200我的借款金额是一万，还款还是一万多。</t>
  </si>
  <si>
    <t>2019/10/09 08:01:31</t>
  </si>
  <si>
    <t>卖家诱导确认收货，想着发了货确认收货也没关系，结果卖家死活不肯发货，沟通无果还要求买方进行评论。</t>
  </si>
  <si>
    <t>2019/10/09 07:59:57</t>
  </si>
  <si>
    <t>投诉人周女士投诉对象钱站涉诉金额3000元问题类型诉求类型投诉详情借两千还三千，妥妥高利贷，因为前面手机号没用了，昨天就忘了还款，今天进去一看直接就一百五左右的利息了，这是打算利滚利吗，比高利贷还黑。</t>
  </si>
  <si>
    <t>2019/10/09 07:59:45</t>
  </si>
  <si>
    <t>本人向宜人贷借款12.5万，合同约定与还款金额严重不符，其中有二期逾期，现要求宜人贷返还不当得利。</t>
  </si>
  <si>
    <t>2019/10/09 07:58:52</t>
  </si>
  <si>
    <t>拍拍贷及其旗下曹操贷高利贷，砍头息，本人自，2015年开始使用拍拍贷，2016年开始使用曹操贷，拍拍贷公司高利贷砍头息，提前还款利息与按时还款的利息一致，且远超国家规定综合年利率24%，强烈要求：1.。</t>
  </si>
  <si>
    <t>2019/10/09 07:58:46</t>
  </si>
  <si>
    <t>昨天联系人工客服与电话客服后仍然没有人与我联系协商还款事宜！借款2000，却要还款2780元，现在已还款951元，还剩本金1800多！利息与逾期利息等高的吓人！所以现在我主动提出协商还款，免除逾期费用与违约金等全额还剩下的本金1800多！请速与我联系！电话有问题又没有钱买，所以电话打不通的话加我微信！就是手机号。</t>
  </si>
  <si>
    <t>2019/10/09 07:55:53</t>
  </si>
  <si>
    <t>钱站电话打到父母那儿，侮辱我父母，并恐吓父母，害我父母以死相逼！。</t>
  </si>
  <si>
    <t>2019/10/09 07:55:45</t>
  </si>
  <si>
    <t>2018年期间经过付呗业务员推荐使用其收款码业务进行收款业务，当时只需要提供手机号码给业务员即可开通其杭州首展科技有限公司旗下付呗的收款码使用，在此期间收款50000元左右突然被冻结帐号和资金，APP同时也强制登出，让商户无法查看具体内容致使商户无法保留更多证据，一年多期间多次和付呗客服部门沟通，刚开始说要提供营业执照等系列资料，这些资料都是付呗公司业务员弄虚做假试问怎样提供，后来经多方了解终于从付呗客服人员那边知悉支付通道是通道是委托乐刷和杉德支付公司进行的，同时也跟乐刷和杉德支付的客服进行了投诉，事件好</t>
  </si>
  <si>
    <t>2019/10/09 07:55:23</t>
  </si>
  <si>
    <t>，阴阳合同高利贷，未经本人允许骚扰通讯录，群发短信导致本人名誉受损，威胁恐吓家人，导致家人身体出现问题。</t>
  </si>
  <si>
    <t>2019/10/09 07:52:44</t>
  </si>
  <si>
    <t>小黑鱼科技依然无视互联网金融法律法规，对用户通讯录进行电话骚扰。</t>
  </si>
  <si>
    <t>2019/10/09 07:46:12</t>
  </si>
  <si>
    <t>本人是一名酒吧服务员，一个月工资也就4000，本人上班就是收客人来酒吧消费的钱，然后在转给吧台财务，哪知道就在10月8日凌晨的时候当时在忙收了客人的钱，还没来得及转出去，我拿手机看的时候，微信发来说什么我被冻结，提现不了，转账不出去，账户被永久冻结，钱现在也没拿出来，公司要叫我赔偿，一共3600元，我就一名服务员累死累活一个月才4000，微信就这样把钱冻结了，还是永久，求聚投诉客服管管，真的我走投无路了，可能几千元对有的人没什么，但是对于我来说，就是一个月的工资，求聚投诉客服给我主持公道！谢谢您们了！。</t>
  </si>
  <si>
    <t>2019/10/09 07:43:20</t>
  </si>
  <si>
    <t>投诉人谷女士投诉对象卧龙钱包涉诉金额2200元问题类型诉求类型投诉详情卧龙钱包本人今天通过短信链接下载了卧龙钱包，刚开始注册以为是大额平台，等我认证好之后一看是高炮，2200到手1430元，6天共还2200元，这是典型的高利贷，都没审核直接下到卡里面，现在这利息太高，本人无法偿还高额利息，联系不上客服，逾期一天利息220，希望平台联系他们客服沟通解决。</t>
  </si>
  <si>
    <t>2019/10/09 07:41:39</t>
  </si>
  <si>
    <t>本金就是29466可是我算了一下加利息一起要还50000我大部分还是分的6期9期的利息严重超过国家规定请问你们不是高利贷是什么。</t>
  </si>
  <si>
    <t>2019/10/09 07:40:51</t>
  </si>
  <si>
    <t>本人通过短信链接，下载了来花花，借款1400元，实际到账也是1400元，借时并无任何提示，结果却要在6天后归还2000元，无客服电话联系，通过APP的在线客服联系，本人第一时间要求取消订单，2.唯一还款通道是支付宝，收款方为聚合支付，1.来花花是通过汇潮支付这个支付通道放款，经过核查，汇潮支付作为合作平台，有其来花花的主体公司和联系电话，但拒提供，继续参与违法行为，本人愿意归还本金和合法利息，希望通过平台解决问题3.来花花拒提供客服联系电话，为此只有从第三方支付平台处取得联系方式。</t>
  </si>
  <si>
    <t>2019/10/09 07:40:30</t>
  </si>
  <si>
    <t>2019/10/09 07:34:30</t>
  </si>
  <si>
    <t>投诉人 梁先生        投诉对象  用钱宝        涉诉金额  500 元    问题类型    诉求类型投诉详情  捏造虚假法院通知书群发通讯短信 轰炸联系人</t>
  </si>
  <si>
    <t>2019/10/09 07:27:22</t>
  </si>
  <si>
    <t>玖富万卡还款失败，多次骚扰亲戚朋友，恐吓还款，给借款人生活造成困惑。</t>
  </si>
  <si>
    <t>2019/10/09 07:17:58</t>
  </si>
  <si>
    <t>投诉人魏先生投诉对象乐意花涉诉金额10000元问题类型诉求类型投诉详情帅发起投诉2019-10-0813:49:53本人2018年12月在乐意花借款10000元，每月还款1239.2元，现在已还款10期，要求退还前10期保险费用，并撤销后三期保险费用，保险费用扣钱，本人并没收到保单单号，并不知情有保险费用。</t>
  </si>
  <si>
    <t>2019/10/09 07:07:00</t>
  </si>
  <si>
    <t>我借了八万，拉门平台给我搞了89600，一下子扣了9600，这是砍头息！然后每个月给900的服务费，总的每个月要还3818.逾期一天利息两百多、然后就是他们家的暴力催收，电话各侮辱伤害我及身边的亲戚朋友，，。</t>
  </si>
  <si>
    <t>2019/10/09 07:04:57</t>
  </si>
  <si>
    <t>投诉人 王先生        投诉对象  立刻出行        涉诉金额  1 692 元    问题类型    诉求类型投诉详情  立刻共享余额还有1193元 押金499 根本没车开 打售后电话无人接听</t>
  </si>
  <si>
    <t>2019/10/09 07:03:15</t>
  </si>
  <si>
    <t>投诉人 吴女士        投诉对象  立刻出行        涉诉金额  499 元    问题类型    诉求类型投诉详情  我的最后一笔订单是19年3月18日 却迟迟不退押金</t>
  </si>
  <si>
    <t>2019/10/09 07:02:27</t>
  </si>
  <si>
    <t>马上金融借款19500，分24期还，没期还款1300多，这不是高利贷还是什么，难道没人管吗。</t>
  </si>
  <si>
    <t>2019/10/09 07:00:41</t>
  </si>
  <si>
    <t>投诉人邓碧莹投诉对象中国银联,农业银行涉诉金额2290元问题类型诉求类型投诉详情10月7日凌晨二点多被盗刷银行卡2290元消费，九点多到银行查到是银联支出去的，我的卡没有设置闪付，钱为什么可以马上被划走，请求银行调查给我个合理解释，避免以后再出现。</t>
  </si>
  <si>
    <t>2019/10/09 06:59:21</t>
  </si>
  <si>
    <t>蓝莓金服高利贷，借款2100元一个月需还款3000多元，远超国家法定利率，十天一期，每期还款将近1000元，现在已归还1950元，联系蓝莓金服客服协商剩余本金加合理利息还款，蓝莓金服客服人员表示仍要收取700元利息，态度强硬，现向贵平台进行投诉协商，如果蓝莓金服依旧无法给出合理的解决意见，本人将向银监会举报，报案。</t>
  </si>
  <si>
    <t>2019/10/09 06:58:17</t>
  </si>
  <si>
    <t>我要投诉西安仁达保安服务有限公司工资一直是押一周现在已经有一个月了领导也不理会。</t>
  </si>
  <si>
    <t>2019/10/09 06:54:59</t>
  </si>
  <si>
    <t>急用钱，相信客服说可以借钱，借一期1000到账500还1020，还了一期可以继续借二期，急用钱就相信了，借了一期还了，借二期说我信用分不好，还要付520元才能借二期，我不同意了，让网站还我钱。</t>
  </si>
  <si>
    <t>2019/10/09 06:52:19</t>
  </si>
  <si>
    <t>本人于10月8日凌晨在美团上预订了10月12日入住-10月13日退房的酒店，由于其他原因我于预订后十五分钟申请退款取消订单，美团表明我需要联系商家征得商家同意，我在联系商家后，商家表明订单已经取消可以退款但是我需要找美团，后我与美团沟通，美团却表明商家不同意退款，最终不予退款。</t>
  </si>
  <si>
    <t>2019/10/09 06:48:16</t>
  </si>
  <si>
    <t>投诉人 潘开文        投诉对象  中国石化        涉诉金额  160 元    问题类型    诉求类型投诉详情  充值的时候无任何提示！ 不能加油 这难道不是欺炸消费者吗？ 退款15个工作日 这是什么条款？</t>
  </si>
  <si>
    <t>2019/10/09 06:37:56</t>
  </si>
  <si>
    <t>在联系到本人情况下，联系我的亲朋好友，让我单位知道，让我失去了工作。</t>
  </si>
  <si>
    <t>2019/10/09 06:36:12</t>
  </si>
  <si>
    <t>快付通在没有签约支付的情况下恶意盗刷，希望给出解释，及时退款。</t>
  </si>
  <si>
    <t>2019/10/09 06:34:08</t>
  </si>
  <si>
    <t>马上金融就是个大骗子，欺诈高利贷引诱客户上当赚取钱财，若是偿还不上，就开始暴力催收曝光客户通讯录发信息恐吓，本人深受其害现在在家人朋友面前抬不起头来，要求聚投诉给予一个公正的处理结果。</t>
  </si>
  <si>
    <t>2019/10/09 06:28:11</t>
  </si>
  <si>
    <t>现在的轻周转平台没有，也登录不上，然后就有QQ的所谓的客服不断的进行骚扰，说什么向当地投诉什么的，拉黑名单，他们的平台现在都没有了，也登录不上，这也不是我们的问题啊。</t>
  </si>
  <si>
    <t>2019/10/09 06:27:16</t>
  </si>
  <si>
    <t>是这样的因为我现在家里有点事暂时没有钱还马上金融希望贵公司给我一个月的时间，我下个月一定还掉。</t>
  </si>
  <si>
    <t>2019/10/09 06:21:11</t>
  </si>
  <si>
    <t>今日凌晨三点左右在QQ浏览器上看头条视频，弹出来一个处处APP，误点就下载下来，打开看见有一个三天免费VIP体验时间，但是需要绑定支付宝，并开通免密支付，由于习惯性返回不注意看事项，就被成功扣款两笔钱，一笔69，另外一笔99，还望帮忙退款并投诉！。</t>
  </si>
  <si>
    <t>2019/10/09 06:19:18</t>
  </si>
  <si>
    <t>我是于2019年3月4日办理的盛钱包，业务员说首先需要刷两笔，其中一笔当时就返了，另外一笔198元业务员说月末返，好吧，我就等着，4月1日我联系客服133******38他说三月后返，我于7月末～8月末～9月末分别又打电话咨询，最后没返告诉我联系总公司客服，我又联系了客服181******04竟然让我自己联系业务员。</t>
  </si>
  <si>
    <t>2019/10/09 06:16:39</t>
  </si>
  <si>
    <t>联系我通讯录非紧急联系人，半夜骚扰我的家人。</t>
  </si>
  <si>
    <t>2019/10/09 06:01:48</t>
  </si>
  <si>
    <t>本人因生意失败2017年在今日头上看低息宣传借了小花钱包20000贷款，合同金额是23000.从此走上了不归路，以贷养贷，截止目前从多个平台均有借款加上高额利息已达8万多需还金额，在此阶段，为了还网贷，家人亲戚朋友的都借过了，导致现在无钱可借，你我贷催收说你800块钱都周转不过来你还活什么，是我是周转不到，小花钱包爆了通讯录唯一可以回来钱的客户也丢了，我确实欠你们钱了，我也没说不还，再过几天，还有一点钱回来，我希望有诚意收回钱的APP能协商，我会还。</t>
  </si>
  <si>
    <t>2019/10/09 06:00:28</t>
  </si>
  <si>
    <t>没有申请过这个现金分期平台，莫名其妙给我发一个律师函。</t>
  </si>
  <si>
    <t>2019/10/09 05:53:53</t>
  </si>
  <si>
    <t>因急需用钱，注册了平安e贷，给了10000额度，审核通过，提现要联系客服，客服让我截图银行卡里的钱，确保有2000，因为之前被某APP恶意扣款过，客服让我发fy给95583索取验证码，我就查了一下发现这个是骗局，我拒绝了，之后客服突然消失了，但是还是害怕对我有什么影响，希望贵平台能够联系他们消除我的账号信息，以及撤销借款。</t>
  </si>
  <si>
    <t>2019/10/09 05:49:29</t>
  </si>
  <si>
    <t>本人2018年5月21日从海尔京东自营旗舰店2999购买EG8014HB39GU1滚筒洗衣机一台，用于自家正常清洗衣物，维修人员第一次上门检修，说超出一年保修要延保证明否则收费一千左右，就走了，我打4006999999，官方售后人员认真查到该机资料，说该机整体质保三年，延保一年，不用我自己花钱，我多次主动打电话督促争取后，接到维修工作的售后部门答应三包期内维修，运回来以后，本来干干净净的机器里外遍布油污，用自清洁功能清洗两遍，还是黑水泥沙流出，洗衣液的盒子和门的边角都有被磕碰，几大部分面板也不平整了，而且机</t>
  </si>
  <si>
    <t>2019/10/09 05:47:58</t>
  </si>
  <si>
    <t>本人9月5日使用钱站爱钱进借款7000元整，银行卡实际到账7000元，于10月9日逾期还款后发现，凡普金科公司私自将借款合同上的金额从“7000元”改为“9310元”，还款页面上的之后各期应还金额也都有增加。</t>
  </si>
  <si>
    <t>2019/10/09 05:46:08</t>
  </si>
  <si>
    <t>豹子贷,上海造艺网络科技,造艺网络科技,银码头。</t>
  </si>
  <si>
    <t>2019/10/09 05:46:02</t>
  </si>
  <si>
    <t>投诉人 杨女士        投诉对象  期待科技        涉诉金额  12 000 元    问题类型    诉求类型投诉详情  期待合伙人高利贷利率严重违反国家正常利率 本人借款12000 实际还款15000 并且在下款当天就就走2000多 现本人剩余两期无力偿还 现在国家严厉打击高利贷 期待合伙人还如此高利率的下款 本人将会进行司法举报并报警处理</t>
  </si>
  <si>
    <t>2019/10/09 05:45:27</t>
  </si>
  <si>
    <t>本人在自由摩卡旗下六便士借款3次，7月14日扣掉324元砍头息，收到1200，国庆期间顶风作案，客服打不通，催收人员在没有逾期的情况下威胁本人还款，并且扬言爆通讯录骚扰我家人，本人已经掌握一手证据，并且已经提交证据到国家扫黑办举报中心，要求立即停止骚扰本人以及本人的通讯录联系人，并且退回违法利息，调整合法利率，砍头息会员费合不合法贵平台自己心里清楚，如若不然，我会继续往上举报，直到解决为止！！！。</t>
  </si>
  <si>
    <t>2019/10/09 05:40:31</t>
  </si>
  <si>
    <t>的APP，安装后，打不开我就删了，之后就发现支付宝被扣了19000多的款项，联系支付宝客服让我报警，我也报警了，警方也立案了，可是支付宝盗刷险也不赔付，不处理，只让我以后小心点，而且付款的时间都是在17：30分以后，但是支付宝的付款凭证时间都不对，。</t>
  </si>
  <si>
    <t>2019/10/09 05:39:34</t>
  </si>
  <si>
    <t>投诉人 朴权哲        投诉对象  包子贷        涉诉金额  299 元    问题类型    诉求类型投诉详情  未经我同意乱扣费 银行也不给处理 以报警</t>
  </si>
  <si>
    <t>2019/10/09 05:32:22</t>
  </si>
  <si>
    <t>因本人信用卡逾期，已和客服协商分期，但是广发银行伙同第三方暴力恐吓老人，现钱已还清，是被恐吓，暴力催收下，还清欠款，恐吓老人，不停恐吓，骚扰，还上门恐吓，说等着报警，态度恶劣，嚣张跋扈，打让扫黑办电话，警察说是正规的，对，正规化的黑社会。</t>
  </si>
  <si>
    <t>2019/10/09 05:27:43</t>
  </si>
  <si>
    <t>本人于两月前在快鱼分期借款5100,当时急用钱也没有仔细看过具体扣点多少，总之到账以后是四千左右，其中天安保险由快鱼分期网贷公司在我的借款里扣除408元买个人账户资金安全保险，利息240.66服务费673.2，已经交了这么多钱了为什么还要捆绑保险费用。</t>
  </si>
  <si>
    <t>2019/10/09 05:09:53</t>
  </si>
  <si>
    <t>我用瑞银信APP始终收不到短信验证码，导致无法登录软件，打客服始终没有解决，最终无法使用该软件。</t>
  </si>
  <si>
    <t>2019/10/09 05:02:06</t>
  </si>
  <si>
    <t>在转转买的手机卖家卖之前说的好好的一点暗病也没有发来之后屏幕也是坏的仔细看有白纹而且用一天就出现黑屏验机也没说屏幕有白纹还有会花屏而且屏幕右下角一点就下去屏幕都脱壳了而且卖家说的好好的有充电器和数据线到了货我一看什么都没有我给卖家打了十几个电话他给我来句补发三天都没发出去今天一看发出去是到付这种一转转平台也不给售后卖家也有责任转转对消费者一点也不负责花39验机到头来什么毛病都没验出来到手全是毛病。</t>
  </si>
  <si>
    <t>2019/10/09 04:53:01</t>
  </si>
  <si>
    <t>我与2019年9月6日在钱站借款15000元，2019年9月9号钱才到账，到账后钱站单方私自伪造合同，借款是20700元，多出5700元，多次给钱站客服打电话投诉，让调整本金与利息，不管用，在聚投诉，投诉一个月了，钱站仍然不予处理，无法还款，凡普2019年10月7日晚上8:30，8:33分分别两次从我银行卡中扣款1200元，。</t>
  </si>
  <si>
    <t>2019/10/09 04:44:55</t>
  </si>
  <si>
    <t>转转验机没有说屏幕右下角屏幕不严实买了个坏手机。</t>
  </si>
  <si>
    <t>2019/10/09 04:37:42</t>
  </si>
  <si>
    <t>暴力催收骚扰联系人，黑社会性质威胁，第一期就砍头息，现要求归还本金销账。</t>
  </si>
  <si>
    <t>2019/10/09 04:34:36</t>
  </si>
  <si>
    <t>你我贷，收取的所谓管理费用高的离谱了，其所谓的管理费用，并未在其所提供了什么的管理，而且在贷款来说，居然管理费比利息还要高，这到底是贷款呢，算一算这个事多高的年利息了啊简直套路太深，强烈要求说明管理费用于说明管理，为什么要这么高，甚至高于利息。</t>
  </si>
  <si>
    <t>2019/10/09 04:18:38</t>
  </si>
  <si>
    <t>微贷多米贷催收，多次骚扰扬言爆通讯录，多频电话弄得我苦不堪言，望停止非法骚扰好好协商。</t>
  </si>
  <si>
    <t>2019/10/09 04:17:02</t>
  </si>
  <si>
    <t>在移动公司回复处理七月份的售后问题之后，至今仍然没有处理，依然保持之前玩太极的姿态依然推脱，看看市面上的吉祥号码是空号的比比皆是，移动公司承诺的号码，仍然回复我没有，为什么空号的那么多，偏偏就移动公司没有，为什么空号无人使用，偏偏移动公司就是不给客户申请时使用，已经完全符合移动公司的消费要求，偏偏空号就是不给申请，还一度拿出来拍卖！请问，到底一个号码对于你们移动公司有多么大的利益产生才能让空号申请出来使用，为什么我们跟你们移动没有内部关系的人，在符合你们要求的情况下就是不给申请出应该申请的号码呢。</t>
  </si>
  <si>
    <t>2019/10/09 04:13:53</t>
  </si>
  <si>
    <t>抖音给了我直播权限，可我想开直播却发现我没有用我的身份证绑定过抖音，可现在抖音显示我的身份证号码已经绑定过，反馈了好几次也没有任何答复，。</t>
  </si>
  <si>
    <t>2019/10/09 03:52:42</t>
  </si>
  <si>
    <t>农业银行外包催收，于2019年9月29日及2019年10月6日对我及我的爱人，我的母亲进行多次侮辱，恐吓，是我全家的生活不能正常进行。</t>
  </si>
  <si>
    <t>2019/10/09 03:52:04</t>
  </si>
  <si>
    <t>投诉人 陈先生        投诉对象  约单APP        涉诉金额  50 元    问题类型    诉求类型投诉详情  充值的时候说可以退 现在莫名其妙扣了钱 还不能提现 骗人软件</t>
  </si>
  <si>
    <t>2019/10/09 03:50:57</t>
  </si>
  <si>
    <t>要求退还押金钱黑心商家都无语了什么呢必须退还。</t>
  </si>
  <si>
    <t>2019/10/09 03:41:32</t>
  </si>
  <si>
    <t>说0元免费开通vip体验三天，然后直接开通小额免密就开始扣费，一共两次，一次99一次68。</t>
  </si>
  <si>
    <t>2019/10/09 03:41:01</t>
  </si>
  <si>
    <t>我的借呗已经还清了，手机支付宝APP上开不了结清证明，给客服打电话说是已经受理了，也加急了，但是迟迟收不到电子版结清证明，我着急贷房贷呢，跟前房主签的余款交付日期也到了，我不知道该怎么办了，所以我在此向聚投诉说明我的苦衷，希望能帮到我，非常感谢！。</t>
  </si>
  <si>
    <t>2019/10/09 03:38:02</t>
  </si>
  <si>
    <t>投诉人曲先生投诉对象造艺科技,百事普惠涉诉金额299元问题类型诉求类型投诉详情造艺科技，百事普惠捆绑式误导消费者入圈，再以一个评估报告服务来恶意扣款用户钱财，未经许可下非法盗刷用户银行卡钱财。</t>
  </si>
  <si>
    <t>2019/10/09 03:34:34</t>
  </si>
  <si>
    <t>指尖借贷款借款2640元6天后还款4604元，在合理合法的情况下归还本金及国家规定的利率还款。</t>
  </si>
  <si>
    <t>2019/10/09 03:30:00</t>
  </si>
  <si>
    <t>4月9日，通过快闪卡贷app申请借款12000元，（图2所示）我有几个疑问1、为什么我要按照12000元这个金额还款，前5期，每期还款金额2407.21元，第6期还款金额为2407.19元，审核通过后，实际到账仅为10101.16元，这差额可是接近实际借款金额的20%啊！2、按照快闪卡贷app的计算方法，半年内我总计要还款14443.26元，经过计算，这个利率已经远超国家互金协会“综合利率畸形不得超过36%”的相关规定，高利贷无疑，加一个“超高利贷”也不算冤枉它，3、借款后，app上除了还款日期及金额外，查</t>
  </si>
  <si>
    <t>2019/10/09 03:28:02</t>
  </si>
  <si>
    <t>在2017年11月下旬在晋江机场，通过工作人员的推销，消费1500办理了龙行商旅黑金卡一张，向我推销时说的是充1500返1500，购票时了抵扣百分之三十，同时还可以免费在各个合作机场的贵宾厅休息，直到现在一直没有使用过该卡的任意一个服务项目，今天刚好要出差想起了这张卡可以使用，结果到机场后工作人员告知从来都没有货抵扣百分之三十，同时我查了一下卡里余额还是我付的1500，并没有返我1500，这跟销售时所介绍的差距太大，存在着虚假宣传，诱导消费，要求龙行商旅全额退款。</t>
  </si>
  <si>
    <t>2019/10/09 03:16:03</t>
  </si>
  <si>
    <t>投诉人杜先生投诉对象宜人贷涉诉金额98000元问题类型诉求类型投诉详情被宜人贷借款平台忽悠了，近期需资金周转故而下宜人贷借款app试试，2019年10月8日把资料弄好了后见利息太高就没打算借，他们工作人员忽悠说叫我提交银行卡信息后在后台帮我优化征信和利率，哪知银行卡信息提交后贷款到账98000，但平台显示我借的是127000多，其中搞不懂信息咨询服务费29000多是什么，总共36期得还175000多，我打算明天就给还了不贷了，结果平台一看一天后就得还130000，决定协商一下把本金98000和利息还了！。</t>
  </si>
  <si>
    <t>2019/10/09 03:13:22</t>
  </si>
  <si>
    <t>投诉人董女士投诉对象招联金融涉诉金额46334元问题类型诉求类型投诉详情招联金融工作人员给我发了个立案通知书，后与我协商成功只还本金，但在我还了本金之后不给我销帐，并且多次与我协商我要给我处理均未处理，甚至与我协商让我撤销了在贵平台的关于其伪造文书的投诉，现在无人给我处理，我只求一个公道，有一段他们与我协商让我删投诉的录音无法上传，但是我之前跟招联的客服联系时他们让我给招联金融的邮箱发送过，至今无回信。</t>
  </si>
  <si>
    <t>2019/10/09 03:11:31</t>
  </si>
  <si>
    <t>9月28日支付宝无故限制我的账号的收款功能，导致无法收款，10月4日打电话给人工客服:说我涉嫌非法操作，却没有告知违规了哪一条，然后就变成了自动语音播报了，10月8日打电话就没有人工客服，直接变成语音播报，支付宝账号已经使用多年，信用一直都是极好，前年开始就到微信上做公益，同时也在支付宝多项公益，和日常生活也都在用，就连上个月出国也是刷的支付宝付款的，现在无法收款给我的生活带来了很大麻烦，留连朋友间转账都不可以了，而且无法联系客服处理，所以在这申请支付宝恢复账号功能，希望支付宝服务能够完善，风控是可以有，但</t>
  </si>
  <si>
    <t>2019/10/09 03:10:58</t>
  </si>
  <si>
    <t>还有催收的未经允许就打我家人电话，弄的我父亲要跟我断绝父子关系，严重影响到我的家庭和谐。</t>
  </si>
  <si>
    <t>2019/10/09 03:08:39</t>
  </si>
  <si>
    <t>投诉人张先生投诉对象淘宝涉诉金额0元问题类型诉求类型投诉详情我卖这个商品一件也没卖出去账户直接被永久禁封了，这个商品是虚拟商品，朋友推荐我的&amp;nbsp;&amp;nbsp;也就是影视会员激活码的卡密，3元一个，我申诉都是按照客服的指示去做的，这是我唯一的淘宝账户了，以前不晓得支付宝能验证上限，重复注销太多导致注册不了了，但我这也太严重了吧，卖个商品一个都没卖出去还给我永久套餐，就算是我店铺违规了封我店铺就行了吧为什么连我买家账户也封。</t>
  </si>
  <si>
    <t>2019/10/09 03:05:58</t>
  </si>
  <si>
    <t>因家中有病人，钱不够还信用卡，逾期了一段时间，联系亲朋好友凑了钱，把信用卡的钱还了，还完之后就和银行客服联系，银行客服表示只要还上去就能正常使用，不会冻结信用卡，还完之后第三天银行卡就不能使用，联系客服，客服讲综合评分不足被冻结了，这不是典型的欺骗消费者吗，只希望恢复正常信用卡使用，并不会在出现逾期情况。</t>
  </si>
  <si>
    <t>2019/10/09 02:56:25</t>
  </si>
  <si>
    <t>这种行为真的让人害怕！前几天我投诉过一次，然后态度很好的和我说，把这个还完，前提是让我撤销这个投诉才可以申请减免，，我撤销了，等到还钱的时候，你们自己的系统的原因没有扣上钱，我确实有把钱存了进去，，之前让我撤销的时候也没这样阿，昨天白天的时候又给我联系人爆打电话，说我电话打不通，钱也不还。</t>
  </si>
  <si>
    <t>2019/10/09 02:55:57</t>
  </si>
  <si>
    <t>2019年3月30号提交押金499元，7月24号申请退款押金，截至目前10月9号仍然未退押金，合同承诺十天之内，已经过去七十多天仍然未退款，。</t>
  </si>
  <si>
    <t>2019/10/09 02:48:36</t>
  </si>
  <si>
    <t>每月按时还不逾期，现在2年，合同已全还情，我要求捷信金融注销本人的账户！。</t>
  </si>
  <si>
    <t>2019/10/09 02:40:05</t>
  </si>
  <si>
    <t>汇潮支付为高炮蜜瓜钱包提供放款渠道.本人在蜜瓜钱包有两次借款.因同时在卧龙钱包和蜜瓜钱包借款.还款日当天还了在次借出来还卧龙钱包利息.分别借2207.6天利息770元.收砍头息属于高利贷.现已无路偿还高额利息.希望已平台协商还款.如不处理只能投诉银监局.报警处理.。</t>
  </si>
  <si>
    <t>2019/10/09 02:35:11</t>
  </si>
  <si>
    <t>我每月的还款金额为1775.24元，此平台不能提前还款，只能当天还款，刚好还款时间为国庆期间，在app还款时一直提示还款超时，无法还款，而提示通过银行转账还款，而不能用app正常还款，我通过客服打电话咨询，客服说到国庆期间确实不能还款，只能银行转账，而对银行转账有疑虑就没有选择通过转账的方式还款，在8号正常工作日就一直有电话打进来，而开晨会无法接听到他们电话，他们就一直打，叫我赶快还钱，通过短信，对方让我要用转账的方式还款，否则会联系第一紧急人，并给我发了二维码，我就通过二维码的方式还款，但我从app看到我</t>
  </si>
  <si>
    <t>2019/10/09 02:31:12</t>
  </si>
  <si>
    <t>旺卡闹推送借款短信，注册后让购买会员，结果全是推送其他借款平台，根本不是自己的，退款还退不了！！！。</t>
  </si>
  <si>
    <t>2019/10/09 02:30:25</t>
  </si>
  <si>
    <t>1.在火影帮借款1313元，然而仅到账949元，首页广告说是六个月分期，实际还款期限是15天为一期，，以为是分期付款，虚假宣传，诱导用户，每续期15天就要收取高达364元，借款利率已经超过国家符合利率:已续两期364*2=728，要求本人还4002.富友支付为其提供支付渠道，征信有限公司旗下产品，联系电话0755-2377715，公司地址:广州省深圳市福田区福华三路168号深圳国际商会中心809，4.我已经整理好所有资料，我要求还本金减掉续两期销账，提供结清证明！。</t>
  </si>
  <si>
    <t>2019/10/09 02:28:11</t>
  </si>
  <si>
    <t>在武汉天河机场，有个畅行怡兴的柜台，穿着工作制服的人员过来帮忙取票，并推销产品，宣传办卡成为VIP客户就能享受比市场价更低的优惠，需缴纳1200元成为会员，增送1200元活动返利，相当于2400元购机票储值卡，宣称下次购票可全额使用，且无年限限制，等办完卡发现网上很多类似事件，充值加上赠送的2400元只能当做代金券，部分机场才能使用，并且基本只能抵扣机建费，正当武汉举办军运会之际，还搞些虚假之事，令人发指，严重破坏武汉城市形象，损害消费者利益，一个武汉对外的窗口，居然有这种事发生，趁消费者在机场这个比较放心</t>
  </si>
  <si>
    <t>2019/10/09 02:28:01</t>
  </si>
  <si>
    <t>购买刚过7天无理由退换货一周，就降价234元，联系客服不理，自动回复没有保价服务，希望唯品会认真处理这个问题，把该退还的差价退还给我。</t>
  </si>
  <si>
    <t>2019/10/09 02:27:06</t>
  </si>
  <si>
    <t>急着用钱就下了这个立借app，是别的平台推送的，没有看清就很快跳转到借钱中了，才发现是套路贷，借款10500要还17000多元180天，现在的软件显示在放款中，我想取消也没有链接，投诉就是想取消这个申请，取消这个借款.申请借款的时间为10月8日23点50分左右，现在的投诉时间为10月9日凌晨2点。</t>
  </si>
  <si>
    <t>2019/10/09 02:23:38</t>
  </si>
  <si>
    <t>2019/10/09 02:23:19</t>
  </si>
  <si>
    <t>豹子贷,上海造艺网络科技,造艺网络科技,银码头，豹子贷贷款恶意扣款、盗用他人信息，伪造虚假信息，强烈要求对方取消订单，希望聚投诉给予帮助挽回损失。</t>
  </si>
  <si>
    <t>2019/10/09 02:23:09</t>
  </si>
  <si>
    <t>10月8日，苏宁客服打电话说是苏宁答谢会，免费答谢新老客户，到达苏宁易购西安纺织城店之后被忽悠花了3980元，和两个太空记忆枕，然而惠而浦官网根本找不到食材清洗机的相关信息，京东淘宝也没有相关产品，后来在网上查询，这几款产品均为“苏宁答谢会”的产品，销量均为零，原价6999元，现价3980元，经网上查询这骗局已持续好几个月了，因为有苏宁品牌的背书，所以相信了产品的宣传，但没想到会被骗，通过百度查到聚投诉平台发现19年7月5日，8月3日……都有客户遇到和我一样的情况，已通过平台退款结案，希望平台也可以帮助我成</t>
  </si>
  <si>
    <t>2019/10/09 02:18:15</t>
  </si>
  <si>
    <t>，聚投诉联系不上开店宝，给他们发邮件不回，我想继续投诉开店宝，无良商家。</t>
  </si>
  <si>
    <t>2019/10/09 02:16:55</t>
  </si>
  <si>
    <t>未经过本人同意，恶意从我银行卡免密扣款199元，真的相当过分，不知道欺骗了多少人，这种怎么还能存在呢。</t>
  </si>
  <si>
    <t>2019/10/09 02:10:03</t>
  </si>
  <si>
    <t>小花钱包还款日使用在线还款功能进行还款，但是一直提示银行预留手机号码输入错误导致还不了款，从业机构应当指定收款渠道催收人员不得使用其他渠道或方式收取债务人及相关当事人的还款，也不得以催收名义非法收取额外费用，被害人向人民法院告诉但提供证据确有困难的，人民法院可以要求公安机关提供协助，当天及逾期第一天多次拨打客户电话一直不能接通客服，之后催收人员表示公司根本没有400客服电话，那app和网站公示的都是假号码，催收人员逾期第二天进行催收，一上来不问缘由直接就要拨打和发送骚扰信息给单位和第三方无关人员，对其进行多</t>
  </si>
  <si>
    <t>2019/10/09 02:09:53</t>
  </si>
  <si>
    <t>一直有在使用现金巴士这些的砍头息什么的也不说了，本人现最近资金紧张希望与贵公司协商还款要求改还款期为每月16日减免逾期费用利息可照常支付。</t>
  </si>
  <si>
    <t>2019/10/09 02:06:53</t>
  </si>
  <si>
    <t>本人7月份从月光侠分期app借款2800元，分三期还清，因为当时没有认真看借款合同，第一次还款时才发现每期需要还1400，三期下来就是4200，查看合同以后，发现app显示还款账单与合同内容不符，合同上写的借款金额为4000，实际到账2800，最后却要还4200，我目前已经还清前两期，相当于已经还清本金，最后一期的1400元，我希望月光侠分期可以协商减免，可以适当的还合法利息。</t>
  </si>
  <si>
    <t>2019/10/09 01:59:55</t>
  </si>
  <si>
    <t>首先我没有跟联动优势签约快捷支付，银行卡在我身上，没有进行任何消费，也没有任何短信提示，在毫不知情的情况下从我银行卡里扣走2万1千多块钱，这钱必须给我退回来！。</t>
  </si>
  <si>
    <t>2019/10/09 01:57:37</t>
  </si>
  <si>
    <t>当时借款是12期后来不明不白被改成18期，还有借款5400元，变成八千多，有两千多的账户管理费。</t>
  </si>
  <si>
    <t>2019/10/09 01:51:13</t>
  </si>
  <si>
    <t>闪银恶意砍头息借款强制购物，曾多次使用都被收取服务费以及至尊借款的所谓白条费用，9月18日还款后闪银官方没有更新账单，导致我的逾期。</t>
  </si>
  <si>
    <t>2019/10/09 01:49:53</t>
  </si>
  <si>
    <t>虚假宣传活动信息邀请了朋友下载不履行活动奖励上面都有人提现成功提现不了。</t>
  </si>
  <si>
    <t>2019/10/09 01:45:19</t>
  </si>
  <si>
    <t>一直给小当家砍头息已经超过本金n倍，要求客服联系本金销账处理，app也登不上，联系不到客服。</t>
  </si>
  <si>
    <t>2019/10/09 01:44:38</t>
  </si>
  <si>
    <t>11月20日，我通过app应用程序“小花钱包”申请了一笔10000元的贷款，实际到账10000元：1、阴阳合同：与小花钱包的合同显示合同本金非10000元，而是13581.10元；2、高利贷：本比贷款的还款方式是月还款912.32元至1099.92元，共分为15期还款，取中间值950元进行等额本息计算年化利率，，得出的年华利率为57.5%，已超过最高法明确规定的民间借贷24%的年化利率红线，；3、客服人员枉顾事实，处理不当：我将上述第二条对客服人员进行过说明，得到的答复是小花钱包的利率是合法的，且态度傲慢充</t>
  </si>
  <si>
    <t>2019/10/09 01:38:23</t>
  </si>
  <si>
    <t>本人因家里事情繁多，家人重病在医院，因而忽略了还款日，期待合伙人APP在还款日当天就十一点多打电话告知我有账单到期了，我保着认真负责还款的态度和账务员商量，能不能延期几天，恰逢国庆节假日，工资，理赔款都没有到账，亲朋好友也周转不开，这位催收不仅态度恶劣，不把借款人当人看，还带威胁，最后说让我逾期去吧，这么恶劣的APP我只第一回遇到，还款日当天就开始催收在能联系到我本人且当前还未造成逾期的情况下就打我紧急联系人的电话逾期恶劣，联系客服很多次，至今未处理，客服认为我只是要个台阶下而已，但是他们已经在我当时还没有</t>
  </si>
  <si>
    <t>2019/10/09 01:36:07</t>
  </si>
  <si>
    <t>要求公司调节提前还款利息，这比当地黑社会放高利贷还黑望国家好好管理管理。</t>
  </si>
  <si>
    <t>2019/10/09 01:34:24</t>
  </si>
  <si>
    <t>由于买家恶意频繁下单退款，致使产生物流运输往返费用，和追回货物改单费用，造成严重后果！物流信息显示未到目的地，返回商家地址的，商家与物流沟通改单，追回货物的，货物返回途中，拼多多平台后台介入，没有提供任何有效的法律效应的凭证的情况之下，说买家拒收货物，要为买家退款，不符合任何程序和规定，严重违法犯罪，违反道德底线，商家凭证多的是，由于聚投诉平台限制，无法全部上传。</t>
  </si>
  <si>
    <t>2019/10/09 01:31:32</t>
  </si>
  <si>
    <t>多次复贷，以多种名义比如:会员费、保险费等扣出高额费用。</t>
  </si>
  <si>
    <t>2019/10/09 01:27:56</t>
  </si>
  <si>
    <t>借出5000元，需要偿还近6000，合同也并没有注明利率4.13是月息，按4.13月息算，年利率高达50%，要求退还国家规定的24%以外的利息。</t>
  </si>
  <si>
    <t>2019/10/09 01:26:25</t>
  </si>
  <si>
    <t>投诉人王福川投诉对象网商银行涉诉金额15000元问题类型诉求类型投诉详情本人的支付宝给朋友开店使用，经生意好转，网商银行发放了四万多的网商贷，贷款，朋友后面经生意淡季，逾期了五六次还款，对本人征信造成严重影响，其一，本人借出支付宝账户有错误责任，其二，传统银行贷款都要本人去网点签字核对本人信息的，网商银行作为科技银行，虽说不用本人到网点签字，贷款不用人脸识别吗，全国借用家人朋友的账户开店不计其数，希望网商银行自查业务规范，以及清除我的征信不良记录。</t>
  </si>
  <si>
    <t>2019/10/09 01:26:09</t>
  </si>
  <si>
    <t>本人于今年在快闪卡贷上申请了一笔贷款，贷款额度为一万元，实际到账七千元，分6期还，每期还款2006，每次都分为两次扣款，实属阴阳合同，因为家人生病需要用钱，本想着打掉牙往肚子咽了，但是再9月24号还第五期的时候，由于工资没有及时到账，导致逾期了1天，逾期费一天高达50，而且该公司恶意催收9月25号开始催收，催收人员语气态度恶劣，人身威胁，后来又给我讲法律讲合同，那我问APP上面为什么看不到扣款合同，也不明明到账七千半年时间为什么要还一万二多，催收又说，你之前为什么不说，现在才说，我说不是你先提的合同吗，现在</t>
  </si>
  <si>
    <t>2019/10/09 01:25:06</t>
  </si>
  <si>
    <t>投诉人李女士投诉对象oppo,广东欧珀移动有限公司涉诉金额3400元问题类型诉求类型投诉详情本人手机从十月六号开始就突然开关机循环了，也没有摔过，上网搜才知道原来这么多人的手机也出现这样的情况，手机本事的问题必须给我们消费者一个说法。</t>
  </si>
  <si>
    <t>2019/10/09 01:21:05</t>
  </si>
  <si>
    <t>投诉人张先生投诉对象钱站涉诉金额10638元问题类型诉求类型投诉详情打电话给我的家人，阴阳合同，借8000元到账8000元合同显示借款本金9520元，分6期还，每期还款1773元，共还款10683元。</t>
  </si>
  <si>
    <t>2019/10/09 01:19:32</t>
  </si>
  <si>
    <t>要求退18000的保费不退的话由保险公司代还，能退就退给我真黑心扣一万八当时也没主意以为不加在里面。</t>
  </si>
  <si>
    <t>2019/10/09 01:16:52</t>
  </si>
  <si>
    <t>本人于2019年18月8日去支付宝里的余额宝存余额时发现自己的淘宝号被盗了，然后我打了客服电话客服跟我说淘宝号解封不了了不给我处理到了晚上12点多的时候我就收到了交易短信查询了一下记录是淘宝消费的。</t>
  </si>
  <si>
    <t>2019/10/09 01:15:38</t>
  </si>
  <si>
    <t>多次协商后，仍然暴击崔收,同事有侮辱性语言，利息及收费高期贷等，属于违法。</t>
  </si>
  <si>
    <t>2019/10/09 01:14:08</t>
  </si>
  <si>
    <t>,我们是销售摩托车发动机的，，要做售后，客户要购买配件，又没有上传，每次通过小额打款客超过50元就付不了款，近日平台监测到贵店存在诱导非官方交易行为，即主动诱导拼多多用户，或接受用户的要求，通过非拼多多官方渠道进行交易或收付款，或者实施其他提高交易风险、可能损害消费者合法权益的类似行为，本次违规会话编号：242485，极大提高了消费者的交易风险，也严重损害了平台的利益。</t>
  </si>
  <si>
    <t>2019/10/09 01:13:56</t>
  </si>
  <si>
    <t>才迟了30分钟还款竟然还要提前还下个月的，:是不是提前还要收利息，捷信不是提前还不收息的吗，我也没见过迟几天还要下个月一起收的，管理部门看到应该对这些加强管理，不知害多少人了，捷信有的贷款东西1万要还1万9好多人上当了才一年啊。</t>
  </si>
  <si>
    <t>2019/10/09 01:13:08</t>
  </si>
  <si>
    <t>2019年10月8日有个广州电话打过来，不肯说明身份，不肯说客服工号，态度极其恶劣，威逼我08日下午12点之前归还所有欠款，而且说的金额比我信用卡可用额度多出4000元，本人是因为早两个月失业导致资金断了所以逾期，而且从来未说过拒绝还款，他打电话过来威胁说如果08日下午12点不还24000的话就骚扰所有亲朋好友，并说要派遣当地人员过来找我，还拒绝协商还款，我希望可以得到协商，而且不要再骚扰家人朋友。</t>
  </si>
  <si>
    <t>2019/10/09 01:13:01</t>
  </si>
  <si>
    <t>10月9日凌晨，看到本期还款造成逾期费769.44元，而且本期还款要跟下个月一起才能还款，望宜人贷能帮本期跟下期分开还，把本期造成逾期费撤销，谢谢！。</t>
  </si>
  <si>
    <t>2019/10/09 01:10:42</t>
  </si>
  <si>
    <t>百度有钱花骚扰不断，一直在变换催收，个人信息严重被贩卖。</t>
  </si>
  <si>
    <t>2019/10/09 01:10:37</t>
  </si>
  <si>
    <t>再立借钱置宝就是高利贷砍头息，申请借款3150元分4期32天要偿还总金额4600.8元，已还清2363.4元，再之后还款失败，联系不上客服，造成逾期，现要求只偿还剩余本金并且销账，对立借的钱置宝要求下架。</t>
  </si>
  <si>
    <t>2019/10/09 01:09:35</t>
  </si>
  <si>
    <t>每次借款都需要额外支付担保费用，按每1500元担保费用150元算，，前前后后我一共借款50次，要求退还担保费用7500元。</t>
  </si>
  <si>
    <t>2019/10/09 01:08:07</t>
  </si>
  <si>
    <t>支付宝已经申诉消除负面，客服打电话回来说不能消除，当时还款也是没有还款途径导致逾期，后面联系上我，我又没有钱了，过了一段时间还上了钱，负面却没有办法消除，已经快一年了。</t>
  </si>
  <si>
    <t>2019/10/09 01:07:30</t>
  </si>
  <si>
    <t>我已把最后一期还款转到客服指定的支付宝账号，并按要求把账单详情截图发送到客服给的邮箱。</t>
  </si>
  <si>
    <t>2019/10/09 01:07:06</t>
  </si>
  <si>
    <t>投诉人宫先生投诉对象拼多多涉诉金额800元问题类型诉求类型投诉详情我个人纯手工焊接钢筋狗笼，在拼多多平台销售，第一，买家不想要，拒签返回货物，致使产生退回运费，我个人并未签字签收货物，拼多多以商家签收为名，全额退款给买家，第四，商家证据确凿，拼多多平台违法犯罪，残害商家，未依据法律法规所规定的，买家责任，买家承担的原则，致使商家承受巨大损失，由于聚投诉平台限制，我无法上传全部照片和截图证据，所有证据具有法律效应，物流信息官网可查，和机打或者手写官方可查，如有虚假，本人承担一切法律责任。</t>
  </si>
  <si>
    <t>2019/10/09 01:06:08</t>
  </si>
  <si>
    <t>投诉人何先生投诉对象借了呗涉诉金额1330元问题类型诉求类型投诉详情借了呗，借了1330，说还1400就可以销账，7天，没想到还了，过一个礼拜又来一个人说还要给570的推广费，发了无数短信给朋友，还发了威胁的短信，实实在在的套路贷，说话不算话。</t>
  </si>
  <si>
    <t>2019/10/09 01:03:40</t>
  </si>
  <si>
    <t>投诉人朱先生投诉对象银狐闪信涉诉金额1000元问题类型诉求类型投诉详情本来是准备打算还款的，但是在此期间不停的骚扰我的家人，他们身体不好，带来精神上的压力以及伤害，我非常生气，就赌气不理睬他们，他们就越来越过分。</t>
  </si>
  <si>
    <t>2019/10/09 01:03:07</t>
  </si>
  <si>
    <t>我于你我贷借款7700元，分十二期，现已还7期，剩余五期希望能协商提前还款，减免利息，望你我贷方与我联系协商还款。</t>
  </si>
  <si>
    <t>2019/10/09 01:03:05</t>
  </si>
  <si>
    <t>本人2018年十月于杭州平海路中心，经中心人员介绍，加入课程培训，因无力承担高昂学费，经客服反复游说，申请对方合作的百度贷款，在该机构教育教学过程中，本人未享受到应有待遇，屡次通过机构等级考试，然英语并未有太大提升，对其教学质量与高昂收费有极大质疑，对方在合同里设置霸王条款，并以其专业性，迷惑以及诱导消费者，促使消费者进行权益有害的消费行为，现本人郑重对其进行投诉。</t>
  </si>
  <si>
    <t>2019/10/09 01:03:03</t>
  </si>
  <si>
    <t>本人于2019年10月5日在智行火车票上购买10月7日出现同一车次同一身份证同日期出两张票，拨打智行火车票客服没有人工客服。</t>
  </si>
  <si>
    <t>2019/10/09 01:02:54</t>
  </si>
  <si>
    <t>被人加微信说是彩票客服，然后说是中国福利彩票的合法平台，我就信了然后给我链接让我下次APP然后让我进行充值购买彩票，彩票APP名为167棋牌，后来百度查了一下此彩票平台是非法的，但是我充值的方式是中国银联云闪付支付，希望云闪付能帮我追回资金，云闪付的商户为非法平台提供充值渠道已经违反了中国的法律，商户名称都在截图里面了，希望中国银联彻查这些非法商户，非常感谢，现在已经负债累累看不见一丝希望，上当受骗希望法律可以保护，以前不敢报警，怕犯罪份子报复，现已于当地公安局备案，希望聚投诉可以帮我追回血汗钱。</t>
  </si>
  <si>
    <t>2019/10/09 01:02:41</t>
  </si>
  <si>
    <t>说是不超过国家规定的百分之36，可是国家有说可以有服务费，保险费吗，就是钻空子，而且我已经还完了本金，利息部分实在无力偿还，希望适当减少点，而且它经常在我不知情的情况下变更债权人。</t>
  </si>
  <si>
    <t>2019/10/09 00:58:08</t>
  </si>
  <si>
    <t>本人受诱导充值购买彩票，后发现为境外赌博网站，主要通过银生宝支付15万左右，请求退还相关款项。</t>
  </si>
  <si>
    <t>2019/10/09 00:56:38</t>
  </si>
  <si>
    <t>投诉人杨先生投诉对象涂阿兵涉诉金额5000元问题类型诉求类型投诉详情诱导签合同，打条子。</t>
  </si>
  <si>
    <t>2019/10/09 00:54:51</t>
  </si>
  <si>
    <t>5月23日在新橙优品借款3000元.实际到账2530.46.不清楚扣了什么钱.分6期还款.每期还款金额691.80元.共还4150.8元.已还4期共2767.2元.提前结清还需要还1116.33元.严重属于高利贷行为.已经超过国际范围的利息红线.现要求新橙优品修改合法的还款金额.并退还保险或者在还款金额中扣除。</t>
  </si>
  <si>
    <t>2019/10/09 00:54:48</t>
  </si>
  <si>
    <t>本人于2019年通过比特宝app申请借款，该平台通过并放款至本人银行卡账户，借款期限6天，，存在严重的高利贷砍头息暴力催收行为，还望借助贵平台力量，相关部门介入调查，彻查网络借贷犯罪，还金融市场健康投诉要求：1.多次与富友支付反映广州满谭这家公司的问题，但是富友支付不作为，2.彻查与比特宝app合作的第三方支付机构。</t>
  </si>
  <si>
    <t>2019/10/09 00:54:45</t>
  </si>
  <si>
    <t>我于桔子分期借款5000元，分12期，现已还一期，现有能力提前还款，希望桔子分期方能与我联系协商减免利息处理剩余款项。</t>
  </si>
  <si>
    <t>2019/10/09 00:53:45</t>
  </si>
  <si>
    <t>投诉人史先生投诉对象同程旅游涉诉金额15300元问题类型诉求类型投诉详情十次每次都默认砍头息199元现在已经无力偿还，总计15300借款，10次199元砍头息面，望退还。</t>
  </si>
  <si>
    <t>2019/10/09 00:47:36</t>
  </si>
  <si>
    <t>借款到手1430，6天后要还款2207，因现在本人资金紧张已无力还这巨额利息，希望可以协商本金+合理的利息！希望相关人员能来电协商！如果未有人处理后续会上银监会等等相关部门举报。</t>
  </si>
  <si>
    <t>2019/10/09 00:47:12</t>
  </si>
  <si>
    <t>，可是在不到一个月的今天tm6开始预售了，我向该销售人员和公司提出换新款，得到的回答是不同意或不回应。</t>
  </si>
  <si>
    <t>2019/10/09 00:46:40</t>
  </si>
  <si>
    <t>拼多多已网络赌博勾结好彩客收取赌资现在要求退回所有被骗的钱。</t>
  </si>
  <si>
    <t>2019/10/09 00:42:47</t>
  </si>
  <si>
    <t>我于马上贷借贷6000元，分十二期，现已还六期，还剩六期现有能力提前结清，希望马上贷方面与我联系，协商减免利息还款。</t>
  </si>
  <si>
    <t>2019/10/09 00:41:56</t>
  </si>
  <si>
    <t>王者钱包高利贷砍头息，借款1240元5天利息要768.8元，到期还款金额2008.8元，打电话协商处理不给处理，还恐吓不还就爆通讯录，造成逾期并且要缴纳逾期费，合计总额要偿还2016.8元，要求严惩高利贷下架产品，并给出合理的利率销账。</t>
  </si>
  <si>
    <t>2019/10/09 00:40:49</t>
  </si>
  <si>
    <t>受诱导充值网站购买彩票，后发现为境外非法网站，通过瀚银科技支付6万元左右，请求退回部分款项。</t>
  </si>
  <si>
    <t>2019/10/09 00:39:03</t>
  </si>
  <si>
    <t>淘手游当真无良黑心，居然在交易过程中直接冻结我账号和资金，另外找客服也死不回复，还无处述说，也没办法解决，特此希望广大公道人士帮忙解决，我交易出去的账号从来都不找回，却让淘手游摆我一道，但求真理何在啊。</t>
  </si>
  <si>
    <t>2019/10/09 00:38:19</t>
  </si>
  <si>
    <t>投诉人 卿女士        投诉对象  捷信现金贷,捷信金融        涉诉金额  38 000 元    问题类型    诉求类型投诉详情  16年在捷信贷38000 业务员跟我说的只能分50期 结果合同显示有60期 偶然在贴吧里看到被捷信坑的吧友 她贷的37000分的期数又少 总还的金额也才七万多 我的60期要还九万八百多 我已经还了33期 一期还1513.47 提前结清还要还两万两千多 相当于我这几年还的钱 本金才一万多 其他全是利息 服务费 有很多的受害</t>
  </si>
  <si>
    <t>2019/10/09 00:38:06</t>
  </si>
  <si>
    <t>兴业银行信用卡,浦发信用卡,平安银行信用卡,招商银行信用卡,交通银行信用卡，近期实在无力还款，银行拒绝协商，委托第三方骚扰、恐吓，发送伪造的法院传票！！！。</t>
  </si>
  <si>
    <t>2019/10/09 00:34:50</t>
  </si>
  <si>
    <t>投诉人刘先生投诉对象蛋壳公寓涉诉金额0元问题类型诉求类型投诉详情上海蛋壳公寓，我居住的A房间，入住时间九个月，所需证据都已提供，还要我联合C室女孩联名手写投诉，深夜万分无奈，希望能引起蛋壳高层重视，帮忙清退B室友，或无责不扣押金让我退租，感谢万分。</t>
  </si>
  <si>
    <t>2019/10/09 00:33:45</t>
  </si>
  <si>
    <t>赚佣金赚钱为由，骗至该平台www.365828.com投资，并且介绍以为指导老师帮我操作账户，老师拿盈利的15%，前期有少量盈利并且提款正常，后来“老师”告诉我，平台提款安全我们都验证过了，是正规国家许可平台，建议我加大投资，没有急用不要进行提款，因为资金在平台绝对安全，并且本身平台余额的收益率也远超各大银行的理财产品，让我大可以放心，后面我将所有资金投入平台，并且动用了信用卡和向朋友亲戚借了钱投入平台，因为按老师给的收益率两个月时间资金就可以翻倍，就可以提款还债，没想到的是，我将资金全部充值到位时，“老师</t>
  </si>
  <si>
    <t>2019/10/09 00:32:55</t>
  </si>
  <si>
    <t>投诉人刘先生投诉对象汇潮支付涉诉金额1240元问题类型诉求类型投诉详情汇潮支付作为国家的第三方支付公司，非法违规提供支付通道，并且和超利贷平台联合发放高利贷，借款2000到账1240元，5天需要还2008，非法砍头息，请汇潮支付退回并且做出解释，本人银行卡号，62****************4中国银行，交易时间为，10月5日上午11点36分，金额为1240。</t>
  </si>
  <si>
    <t>2019/10/09 00:32:49</t>
  </si>
  <si>
    <t>2019/10/09 00:32:08</t>
  </si>
  <si>
    <t>投诉人冯先生投诉对象派单堂涉诉金额566元问题类型诉求类型投诉详情派单堂是个是悬赏发布任务平台，前段时间有个人加我说这平台可以打广告，这个人是派单堂内部的人，我就下载试试，刚进去app时是显示我是体验广告主，我就试着发任务，然后第二天这个工作人员说不成为广告主发布的任务不过审，成为广告主要充值566块，我就冲值成为广告主在里面发任务，刚开始有人接单，但是就只接单不做任务，我查过网上说这平台接单的都是他们内部的机器人，*的，就是假账号接单，让别人误以为有人接单，其实就不做任务的，然后我就在微信问这个工作人员，</t>
  </si>
  <si>
    <t>2019/10/09 00:31:39</t>
  </si>
  <si>
    <t>本人于时光分期借款12000元，共十二期，现已还9期，还剩三期，现有能力提前结清，希望时光分期方面与我联系，减免利息处理。</t>
  </si>
  <si>
    <t>2019/10/09 00:31:03</t>
  </si>
  <si>
    <t>本人被引诱到一个网站充值入金4500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t>
  </si>
  <si>
    <t>2019/10/09 00:29:10</t>
  </si>
  <si>
    <t>本人和诸位同仁近期经历了钱橙无忧借款平台的无理收费，和直接扣费以及扣费后未履行相应承诺等行为，本人在钱橙无忧注册时被无故扣款557元且无无任何提示，后借款时该平台打出了审核不过关即退款，本人基于人与人之间的基本信任，点击了确认，但此平台直接跳过了密码支付，本人并未在此平台开通过免密支付，经等待后，该平台的审核一直处于第一阶段，人工客服又一直繁忙，审核不批，钱款不退，该平台大概是张以这种无赖的方式侵吞我等的财产，钱橙无忧侵犯了我等的合法权益，希望聚投诉平台能给我们一个合理的说法并追回我们损失的财产！。</t>
  </si>
  <si>
    <t>2019/10/09 00:28:43</t>
  </si>
  <si>
    <t>10.8号晚上21:40分聚富分期也就是上海造艺网络技术有限公司不经本人允许就私自从本人银行卡里扣除299元，打电话给客服还不肯退款。</t>
  </si>
  <si>
    <t>2019/10/09 00:28:30</t>
  </si>
  <si>
    <t>投诉人陈先生投诉对象招联金融涉诉金额12000元问题类型诉求类型投诉详情联金融软暴力催收，关键是我主动联系催收并告诉什么时候还款，还是群发通讯录，而且每个催收协商的还款金额都不一样，我都答应你们什么时候还上，还这样搞我，牛的，这是朋友们发给我的截图，招联金融未经本人同意，侵犯个人隐私权以及名誉权，而且我并未告知现在上班的单位，居然都能查的到，我不知道是通过什么手段，这是违法行为，正在联系深圳那边的法院，就个人名誉权和隐私权来处理。</t>
  </si>
  <si>
    <t>2019/10/09 00:27:35</t>
  </si>
  <si>
    <t>投诉人李先生投诉对象及贷涉诉金额10000元问题类型诉求类型投诉详情本人因资金周转问题暂时无法正常偿还本期账单，主动联系及贷客服告知可还款日期为本月21日，催收依然对我进行骚扰威胁，同时威胁说要爆通讯录，及贷公司已有过爆通讯录暴力催收历史，本人并不是故意不换，已主动联系告知还款日期，如继续威胁骚扰爆通讯录，只能将所有证据报警交由扫黑办处理。</t>
  </si>
  <si>
    <t>2019/10/09 00:26:27</t>
  </si>
  <si>
    <t>投诉人黄先生投诉对象千尘网游涉诉金额150元问题类型诉求类型投诉详情他说亲，这里会尽快帮您安排打手上线,代练期间不要上号，可以在王者营地里查看进度，温馨提醒，请勿与打手私下交易，否则造成上当受骗自行负责，如有打手私下联系等违规操作，欢迎反馈举报。</t>
  </si>
  <si>
    <t>2019/10/09 00:25:17</t>
  </si>
  <si>
    <t>偶然的机会我被带进bet9彩票平台赚钱，于是在此网站我注册了账号，并直接使用我的银行卡进行投资，其中虽然平台显示赚钱，但是问客服说要继续投资，并且要刷一倍流水才能够提现，于是陆陆续续投入进去，到最后才发现亏了很多，去网上查了相关新闻，才发现此类平台非正规彩票平台，于是我求助银联，发现汇潮支付是收单机构，所以希望能帮我挽回损失按照人民银行规定支付公司不得为赌博网站提供支付通道，而我向汇潮投诉一个多月都不受理，打客服电话让我加客服QQ视频验证本人，验证后没受理由重复验证，按照要求提交资料又不回复，这个汇潮客服太</t>
  </si>
  <si>
    <t>2019/10/09 00:22:51</t>
  </si>
  <si>
    <t>投诉人 马马伟祺        投诉对象  利澳出行        涉诉金额  599 元    问题类型    诉求类型投诉详情  今年4月份退押金 到现在也退不了 打电话也不接 电话不存在</t>
  </si>
  <si>
    <t>2019/10/09 00:21:19</t>
  </si>
  <si>
    <t>受诱导在网站购买彩票，后发现为境外赌博网站，受损失15万左右，主要通过爱农驿站第三方支付付款，请求爱农驿站与境外网站协商退款。</t>
  </si>
  <si>
    <t>2019/10/09 00:19:14</t>
  </si>
  <si>
    <t>投诉人朱佳琪投诉对象小米有品涉诉金额498元问题类型诉求类型投诉详情九月16号反映用不了，遥控器是坏的，客服承诺会处理，一直没有人联系，到九月二十三号再次找客服客服承诺会补发遥控器，一直到十月都没有音讯也没有人联系处理，十月二号再次找客服要解释客服又承诺两天内会补发遥控器，一直到八号，完全没有音讯，小米有品就是这样服务的。</t>
  </si>
  <si>
    <t>2019/10/09 00:18:26</t>
  </si>
  <si>
    <t>本人被引诱到一个网站充值入金5800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t>
  </si>
  <si>
    <t>2019/10/09 00:16:58</t>
  </si>
  <si>
    <t>借款3500，到帐马上就被随手记扣了两笔款项，一笔245，一笔175，完全未经本人同意，并在本人不知情就被扣，而且一直未给予扣费一个说法，这种行为完全是恶意扣费，存在欺骗诈骗行为！。</t>
  </si>
  <si>
    <t>2019/10/09 00:15:18</t>
  </si>
  <si>
    <t>卖家在交易猫上虚假宣传，说拍了10分钟发货，又在qq上说最多两小时发货，事实上是骗我拍了付完钱就不理人了，也不发货，又不退款，交易猫还不作为，客服完全不管，基本上都是骗子。</t>
  </si>
  <si>
    <t>2019/10/09 00:14:25</t>
  </si>
  <si>
    <t>在趣专享app买了垃圾袋，想重新拍22块钱的，一直不给退款。</t>
  </si>
  <si>
    <t>2019/10/09 00:14:17</t>
  </si>
  <si>
    <t>投诉人胡女士投诉对象钱站涉诉金额3000元问题类型诉求类型投诉详情再次确认借款不是本人操作.如果这次钱站下款本人是不会还款.希望钱站工作人员尽快解决.。</t>
  </si>
  <si>
    <t>2019/10/09 00:13:42</t>
  </si>
  <si>
    <t>10/4下午18:01，收到“大麦网上海站”，我就想问问两个问题：1、如ET剧场所有场次都无郑云龙，官方公众号对该场次的演出推广为何通篇带郑云龙，购票链接也是无郑云龙的场次，不是虚假宣传诱导消费又是什么，微信公众号发布的推送文章，头条标题为《期待｜2019郑云龙音乐剧〈摇滚年代〉上海站，繁忙生活中的一抹亮色》，原文链接：https://mp.weixin.qq.com/s/xikPTIXdyf5QkoD6EFknnw，，文章中首段标红突出“2019郑云龙音乐剧《摇滚年代》上海站，与你相约ET剧场，”，余下的</t>
  </si>
  <si>
    <t>2019/10/09 00:13:18</t>
  </si>
  <si>
    <t>投诉人刘先生投诉对象宜人贷金融公司涉诉金额100000元问题类型诉求类型投诉详情逾期仅一天，宜人贷就将我的个人信息卖给第三方黑社会公司对我进行没有底线的极限施压！他们不但打遍了我手机通讯陆中的电话进行谩骂而且对我家属医院，的紧急急救电话进行病毒式骚扰！这应该是犯罪行为。</t>
  </si>
  <si>
    <t>2019/10/09 00:11:26</t>
  </si>
  <si>
    <t>新橙优品，今天是我还款日，今晚我一直在主动还款，但是他们系统一直说我银行卡余额不足，但是请看图一日期什么的，我的余额很明显足够还本期1105.6但是它们系统瘸一直显示我还款失败，请问那么大一个平台这个都做不好.，真的应该倒闭吧先不说你是不是高利贷，真的恶心至极了，麻烦立马给我处理好，我现在个人征信由于你们的系统让我还款不成功造成被逾期了！我要投诉。</t>
  </si>
  <si>
    <t>2019/10/09 00:11:15</t>
  </si>
  <si>
    <t>本人在2019年9月8号在轻周转平台芒果筹借款2800元，到账2800元，由畅捷提供支付通道下款至我的银行卡上，本次借款周期32天，每8天还款一次，每次1022.4元，借款2800元，32天的时间一共需要还款4089.6元，明显超出国家规定的合法合规的利息属于高利贷，本人已经按时还款了3期;共计3067.2元，，严重超出国家规定的法定利息，现无力偿还，希望与平台协商直接消除最后一期的账单。</t>
  </si>
  <si>
    <t>2019/10/09 00:11:08</t>
  </si>
  <si>
    <t>朋友生日的时候在群里发了一个红包，刚刚抢到就提示账户被禁言三十天，支付宝的标准是什么。</t>
  </si>
  <si>
    <t>2019/10/09 00:10:34</t>
  </si>
  <si>
    <t>乔融金服因他们平台经营不善出现问题导致现在还不了款，联系客服客服称让线下微信转钱，我未同意，客服人员进行辱骂人身攻击威胁，并且要联系我各种联系人进行威胁，然后称如果不微信转账等到平台正常还款中间产生的逾期费用以及个人征信影响需要自己承担，为什么平台出现换不了款的问题需要我来承担，客服人员态度极差，多次辱骂，还说我不微信转账不服的话直接去干他，并且平台利息太高，现在本人需要客服道歉并且免除利息，不同意线下还款。</t>
  </si>
  <si>
    <t>2019/10/09 00:10:20</t>
  </si>
  <si>
    <t>今天是还款日，因为工作忙，到晚上21点多还的款，已经还款成功，时光分期不停的用95开头电话催款，已经对我造成困扰，晚上23点多还不停打电话，你们是想干嘛，另一点就是打电话问客服关于利率的问题，合同上面写着出借人为2个人，每人5000，利率分别为9%，咨询服务费为2.5832%，按照合同利率计算9%+9%+2.5832%=20.5832%，利息费用应该是2058.32元，为什么还款总金额为3593.96元。</t>
  </si>
  <si>
    <t>2019/10/09 00:10:11</t>
  </si>
  <si>
    <t>现于玖富万卡借贷四笔，每笔12期，除去已还部分还剩11000多的利息，现有能力提前还清，想于玖富万卡方沟通减免后续利息，望玖富方与我联系沟通情况。</t>
  </si>
  <si>
    <t>2019/10/09 00:10:01</t>
  </si>
  <si>
    <t>投诉人李先生投诉对象月光侠分期涉诉金额3000元问题类型诉求类型投诉详情刚开始显示2100的额度，借款后显示需要还款3110相当于1000的利息，折合利率高达近50%。</t>
  </si>
  <si>
    <t>2019/10/09 00:09:58</t>
  </si>
  <si>
    <t>投诉人唐先生投诉对象玖富涉诉金额11350元问题类型诉求类型投诉详情现于玖富万卡借贷四笔，每笔12期，除去已还部分还剩11000多的利息，现有能力提前还清，想于玖富万卡方沟通减免后续利息，望玖富方与我联系沟通情况。</t>
  </si>
  <si>
    <t>2019/10/09 00:08:35</t>
  </si>
  <si>
    <t>投诉人吴先生投诉对象红月亮涉诉金额3400元问题类型诉求类型投诉详情申请3400到手只有2499，一个月后要还3499，还款日当天APP还不能用，第二天起就多了高额的违约金，远远超出国家符合的规定，更涉嫌套路贷，借多少还多少，只支付本金与符合规定的利息！！。</t>
  </si>
  <si>
    <t>2019/10/09 00:05:00</t>
  </si>
  <si>
    <t>上海漫道科技有限公司也就是宝付为714平台提供支付渠道扣取多次砍头息，本人投诉到底，这贴慢慢玩，持续投诉。</t>
  </si>
  <si>
    <t>2019/10/09 00:04:18</t>
  </si>
  <si>
    <t>申请贷款二十天了，一直没到账，这也太慢了吧，又不可以取消又不放款。</t>
  </si>
  <si>
    <t>2019/10/09 00:03:37</t>
  </si>
  <si>
    <t>未按规定建立并落实特约商户实名制、资质审核、风险评级、收单银行结算账户管理、档案管理、外包业务管理、交易和信息安全管理、中国人民银行分支机构《非金融机构支付服务管理办法》，目前所有商家无法联系，啇户出现手机空号，网站打不开情况，无从联系，请协商退还我的损失，打贵公司客服热线一直推脱，希望贵公司能主动联系与本人核实情况。</t>
  </si>
  <si>
    <t>2019/10/09 00:02:37</t>
  </si>
  <si>
    <t>公里数填表，轮胎报废，多处有茬挂，优信二手车在网上都没有标注出来，居然客服说只要轮胎没爆可以开，就不标注出来！！买的气候是金牌，一反应问题马上网站就修改成银牌！！但是要搞清楚合同你是修改不到的金牌就是金牌，，反应了两个星期都不回复，也没解决办法。</t>
  </si>
  <si>
    <t>2019/10/09 00:00:57</t>
  </si>
  <si>
    <t>米庄钱包恶意逾期，一天利息100高利贷行为暴力催收，希望禁止这种行为。</t>
  </si>
  <si>
    <t>2019/10/09 00:00:36</t>
  </si>
  <si>
    <t>携趣网络技术上海有限公司,通联支付,易小借,造艺技术,通联沪快，携趣信息技术无缘无故扣了我的100块钱我什么情况都不知道也没支付密码。</t>
  </si>
  <si>
    <t>2019/10/09 00:00:02</t>
  </si>
  <si>
    <t>本人于2019年9月22日在宜昌三峡机场候机时，被一名身穿制服的女生，原以为是机场的工作人员拦住推销易行VIP卡，说了好多VIP卡的各种福利，但需要充值1500元，但在刷卡之前并未说明此卡如何抵扣，让人误以为能一次抵扣完，后来在定机票时才知道卡里现金是需要多次才能扣完，每次抵扣几元到几十元，要求退卡，服务人员以各种理由拒绝。</t>
  </si>
  <si>
    <t>2019/10/08 23:59:56</t>
  </si>
  <si>
    <t>因行程取消，已经提前15日以上申请了取消房间，目前这个时段一般来说不影响二次房间销售，但是平台以酒店不同意为理由拒绝退款，我表示去哪儿网已经应该违反了消费者权益保护法第四条以及第二十六条。</t>
  </si>
  <si>
    <t>2019/10/08 23:59:47</t>
  </si>
  <si>
    <t>投诉人樊先生投诉对象转转涉诉金额59元问题类型诉求类型投诉详情我再转转平台卖一个二手手机提示我缴纳保证金然后我缴纳59保证金，过了一会一个买家在没有咨询的情况下直接拍下并付款购买我的手机，我以为是机器人或者什么的，然后取消订单，然后转转竟然直接把我的59块保证金给了买家，凭什么我不能选择我卖的对象，不能取消订单，买家付了款我就必须要卖给他吗，他没有咨询直接付款我就必须要发货吗。</t>
  </si>
  <si>
    <t>2019/10/08 23:59:06</t>
  </si>
  <si>
    <t>本人被引诱到一个网站充值入金2000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t>
  </si>
  <si>
    <t>2019/10/08 23:58:38</t>
  </si>
  <si>
    <t>投诉人 周宾        投诉对象  携趣信息科技（上海）有限公司        涉诉金额  150 元    问题类型    诉求类型投诉详情  我下了个软件，在填写信息。在我不知情的情况下有一个什么收费。是自动勾选的。我没有同意。导致我银行卡里有钱他就扣。扣了2次。总共要扣299元，卡里扣了150元。现在我都不敢往卡里转钱了。</t>
  </si>
  <si>
    <t>2019/10/08 23:57:19</t>
  </si>
  <si>
    <t>钱站,华夏银行,爱钱进,凡普金科,会牛科技，钱站公司高利贷，害人不浅，乱改合同，欺骗借款人，华夏银行为其开管存通道做挡箭牌，本人9月10号在钱站借了2000块，合同金额却是2660块，分三期还每一期还大概1192元，三个月一共还了接近3600元，利息超级高，比高利贷还要厉害，各种服务费，希望得到解释，调为合法利息，把合同金额改为2000元，不合法的服务费，坚决不还。</t>
  </si>
  <si>
    <t>2019/10/08 23:56:35</t>
  </si>
  <si>
    <t>闲鱼卖家恶意辱骂他人侵犯他人肖像权，肆意散发侮辱他人言论的帖子。</t>
  </si>
  <si>
    <t>2019/10/08 23:55:57</t>
  </si>
  <si>
    <t>白条无法正常使用，额度被降低，要求恢复正常额度使用。</t>
  </si>
  <si>
    <t>2019/10/08 23:51:10</t>
  </si>
  <si>
    <t>我的妻子瞒着我用她的手机号在闪银新人通道上借了款，由于我不常用的一张银行卡没有开通余额变动提醒，所以当借款到账并且当日被我妻子转走后，我都没有察觉，直到逾期，客服和催收给我打电话，所以我并没有有所准备，不管是心里上还是资金上，因为是平台允许他人用非本人实名认证的手机号盗用我的信息来借款，所以直到你们联系不上132的手机号和借款逾期后，才想到要和我187的手机号联系，那既然你们允许非本人手机号注册借款，就应该打132的电话催收，找我干什么，这幸亏是我最后查出是我妻子，那如果被别人盗用了我的身份，我岂不是要莫名</t>
  </si>
  <si>
    <t>2019/10/08 23:51:08</t>
  </si>
  <si>
    <t>一月24号交的押金，五月发现没有车可用，六月分退押金到现在都没有退还。</t>
  </si>
  <si>
    <t>2019/10/08 23:50:33</t>
  </si>
  <si>
    <t>投诉人刘鸿儒投诉对象约会吧涉诉金额198元问题类型诉求类型投诉详情下载软件之后弹出领取会员点了之后就让开通免密支付领取&amp;nbsp;&amp;nbsp;出来一个领取优惠券开通点了之后瞬间就扣了200块钱&amp;nbsp;&amp;nbsp;退款电话一直繁忙或者说我手机号不对。</t>
  </si>
  <si>
    <t>2019/10/08 23:48:56</t>
  </si>
  <si>
    <t>告诉我说是外访组，也不说是哪的，就说要上门，还很清楚的说出了我的住址，和他商量协商也不理我，要求被投诉人立即赔偿我的精神损失费。</t>
  </si>
  <si>
    <t>2019/10/08 23:48:17</t>
  </si>
  <si>
    <t>聚富分期恶意扣款50元，请求退款，谢谢聚投诉。</t>
  </si>
  <si>
    <t>2019/10/08 23:46:07</t>
  </si>
  <si>
    <t>由于只有到期前一个星期有过提醒短信，后面到期了我就忘记了，逾期了一天我不知道，逾期费一天15块，是我自己没注意我就认了，然后就有人发短信侮辱我，说我是不是不肯还，说要让我出名，让全部的人都认识我，不小心逾期了一天，你们可以当天发短信提醒啊，不至于一开始就侮辱人吧，几百块至于嘛，然后现在我把钱存进去了，APP还是不扣款，又产生了一笔逾期费，请问这个怎么算。</t>
  </si>
  <si>
    <t>2019/10/08 23:45:05</t>
  </si>
  <si>
    <t>去年1月份在苏宁易购实体店购买了伊莱克斯的冰箱，伊莱克斯的洗衣机以及长虹电视和两台空调，冰箱在买来三个月左右有一扇门有问题，洗衣机洗衣服的时候，一直都是晃动很大，导致噪声很大，因我们都是上班族，一般晚上才洗衣服，邻居多次反映声音太大，影响其休息，所以我们都改为了聚在一起，等我们休息的时候白天才能洗，给我们的生活带来一些不便，因为我们不喜欢麻烦，觉得洗衣机和冰箱能凑活着用，也就没投诉和反馈，直到今年9月份我们正在家看电视，电视突然黑屏和没声音了，在此说明下，电视我们一般都是下班回来看一个小时左右，而且也不是每</t>
  </si>
  <si>
    <t>2019/10/08 23:44:46</t>
  </si>
  <si>
    <t>年初生病，看病吃药，最后严重了，没法工作，导致白条金条无法按时归还，与客服沟通，无法宽限，无法账单合并再次分期，第一个疑问在我提出可开医院证明，客服依旧未给本人宽限时间，第二个疑问京东存在诱导，京东金融是官方软件，也是唯一还款途径，软件显示还款已清，在催促后，寻找工作，在上月还清逾期并且还清到2020年，今日微信一个人加我，说我白条还有逾期，可是京东界面显示我已还清本月白条，我前去询问京东客服，说我8月份欠款未还清，可还款记录和单号我都可以查到，当我问客服第三道和系统听谁的，他让我听第三方，期间更是多次催促</t>
  </si>
  <si>
    <t>2019/10/08 23:44:09</t>
  </si>
  <si>
    <t>投诉人赵先生投诉对象拍拍贷涉诉金额830元问题类型诉求类型投诉详情拍拍贷赵傲翔您好，由于余额不足次数超限，在您尾号为4822银行卡扣款失败。</t>
  </si>
  <si>
    <t>2019/10/08 23:42:26</t>
  </si>
  <si>
    <t>我当时打了很多的电话，而且换了两个同事的手机打了人工服务，支付宝的人工只是说我违反了什么条例，但是不说我违反了哪一条，然后直接挂电话，每次打电话人工就是念话术就挂断，根本不听我的问题，我的支付宝一直都是合法使用，从来没有任何的违法事情，客服态度极其恶劣，不听我说完就挂我电话转什么语音提示，换了好几部同事的手机打过去电话，全部都被拉黑无法再接入人工支付宝，蚂蚁金服必须给我一个说法，否则我要去微博曝光，联系我们当地的媒体曝光，店大欺客，霸王条款！！！。</t>
  </si>
  <si>
    <t>2019/10/08 23:41:30</t>
  </si>
  <si>
    <t>本人于2016年7月在捷信消费金融借款3万元整，每期还1323元，已经还了18期共计23814元，于2017年12月在电话营销元的诱惑下再次贷款五万元，实际到账仅仅25664元，实际就是借新还旧的现金贷，按五万元的本金计息，分54期，每期还款1896.26元，总共要还102853,折算成年化率是85%以上，目前本人从2016年开始至今总共已经还款近六万元，已经还清了本金，但捷信坚持要求本人还需还五万多元，本人多次与捷信消费金融多次协商还款未果，故本人强制终止还款，希望捷信与本人平等协商，按国家制定的法律规定</t>
  </si>
  <si>
    <t>2019/10/08 23:40:07</t>
  </si>
  <si>
    <t>云南曲靖当地有人通过大量招聘社会各类人员帮其大量非法办理联通卡，并对本人使用所办理新卡进行电话轰炸，请相关人员核实。</t>
  </si>
  <si>
    <t>2019/10/08 23:38:37</t>
  </si>
  <si>
    <t>投诉人 梁女士        投诉对象  钱站        涉诉金额  4 477 元    问题类型    诉求类型投诉详情  钱站套路贷，让人借款是假，以贷养贷是真!贷款并未打入我银行卡帐户就直接扣掉了</t>
  </si>
  <si>
    <t>2019/10/08 23:38:25</t>
  </si>
  <si>
    <t>本身就是违法小额高利贷app，竟然在注册app登记银行卡信息时，未经银行卡所有人同意，擅自扣款199元！就是强盗的行为！。</t>
  </si>
  <si>
    <t>2019/10/08 23:38:11</t>
  </si>
  <si>
    <t>在来分期借款16900…分十二期要还20373、利息太高、请求给出合理解释，调解利息。</t>
  </si>
  <si>
    <t>2019/10/08 23:35:20</t>
  </si>
  <si>
    <t>投诉人武女士投诉对象平安普惠涉诉金额5000元问题类型诉求类型投诉详情之前看到借款利息低而且是平安银行的所以相信借款可是后来每个月陆陆续续在扣款才发现有保险费服务费管理费每一期基本几百块之前没有过还款日工作人员用个种电话打电话要求还款说还的晚了也有问题根本没有过还款日一天打五六个电话态度极其不好现在要求退换保险费服务费管理费要求赔偿。</t>
  </si>
  <si>
    <t>2019/10/08 23:33:48</t>
  </si>
  <si>
    <t>投诉人王女士投诉对象趣惠买涉诉金额2050元问题类型诉求类型投诉详情本人通过app下载趣惠买软件，激活白条后购物后卖出，2050元到账1400，8天需还2050，本人有偿还意愿，因还款日无电话提醒，导致逾期，逾期费用一天要20-50块钱，本人现在深受网贷困扰，无力偿还，该平台没有人工客服，希望贵平台能帮忙协助转达，联系本人还款，下图为与趣惠买不知是人工还是智能客户的聊天截图。</t>
  </si>
  <si>
    <t>2019/10/08 23:32:38</t>
  </si>
  <si>
    <t>该用户恶意散播辱骂信息，侵犯他人肖像权，举报投诉闲鱼客服不做回应，望相关负责人处理。</t>
  </si>
  <si>
    <t>2019/10/08 23:32:22</t>
  </si>
  <si>
    <t>，结果我转天还款、根本还不了，借了6000、11个月给还8000，严重欺骗消费者，打客服反应问题、态度恶劣，不给解决。</t>
  </si>
  <si>
    <t>2019/10/08 23:32:20</t>
  </si>
  <si>
    <t>投诉人 武先生        投诉对象  小浦优品,联通支付,宏萨(上海)信息科技有限公司        涉诉金额  296 元    问题类型    诉求类型投诉详情  只不过在APP用手机注册了一下 然后并没有购买任何东西和进行借款 今天直接从我银行卡扣走了296元 自动扣款的我们的钱放在银行卡都不安全了嘛</t>
  </si>
  <si>
    <t>2019/10/08 23:32:13</t>
  </si>
  <si>
    <t>本人在钱站借款3000，合同确显示3990，三个月要还款5400元，高利贷，阴阳合同。</t>
  </si>
  <si>
    <t>2019/10/08 23:30:26</t>
  </si>
  <si>
    <t>银行卡被盗刷，先后6次消费在本人不知情、未同意的情况下被消费。</t>
  </si>
  <si>
    <t>2019/10/08 23:29:54</t>
  </si>
  <si>
    <t>违法利息，超过50%，砍头息，违法利率，已经到法院起诉，等着法院传票吧。</t>
  </si>
  <si>
    <t>2019/10/08 23:29:43</t>
  </si>
  <si>
    <t>在钱站借3000，分3期利息高达1746，典型高利贷。</t>
  </si>
  <si>
    <t>2019/10/08 23:29:15</t>
  </si>
  <si>
    <t>在一家叫“魅露西女郎”的淘宝店买了一款黑色xl套装，结果卖家发错款，发过来是黑色连衣裙xl，收到不是我的衣服，我申请退货退款，卖家不承认并拒绝退货退款，我申请淘宝小二介入，淘宝偏帮卖家，说我没当场验货，每天网购那么多，谁会每个包裹拆开看，难道卖家发错货，以后买家没当场验货的，都要吃这个亏了，希望聚投诉这个平台能帮我们消费者主持公道能退货退款最好，不能我就退一步，要求换货，换回我原来想要的那款，淘宝订单编号是6****************5，拆开也容易弄脏或弄丢配件，万一弄脏或丢配件，申请退货就不可以了，</t>
  </si>
  <si>
    <t>2019/10/08 23:29:09</t>
  </si>
  <si>
    <t>2019/10/08 23:25:51</t>
  </si>
  <si>
    <t>9.28日缴费1000，因为当时导师说情感挽回率很高，他们很专业，我自己没有办法自己解决，，说只要跟着老师做七天后我们能正常沟通，效果很好，结果交钱后第一天进行了语音通话，了解我的情况，然后安慰情绪，给我介绍三本电子书后，每天让我看书学习写读后感，还要听音频学习，我问老师这有什么帮助，他那边就说提升自我，这个一学习差不多一周快过去了，实践操作发朋友圈也就是根据我自己的想法来附和的，导师让我每天发晚安感觉他对我更抵触了，感觉不是很专业，感情关系一点都没有缓和，感觉跟以前状态一样，每天就是要我跟着音频自己学，看</t>
  </si>
  <si>
    <t>2019/10/08 23:25:11</t>
  </si>
  <si>
    <t>能不能和银行商量下给我分期，我实在是全款还不了，剩余9千多，利息越还越多，今天点进去再还点的，想到本来剩9千的款，一个月涨到1万1比高利贷还夸张还不给分期，我妈已经气到了，把我逼死有什么用，能不能协商下，分期下，拜托了，分期了我会按时还款，绝不拖欠，如果在让家人知道倒下，我也不想欠着，拜托让分期下，利息太夸张，还不了，分期我会按时还款，工作也找到了。</t>
  </si>
  <si>
    <t>2019/10/08 23:24:16</t>
  </si>
  <si>
    <t>举报@捷信，本人2019年贷款45000，48期，每期还款1781，已还8期，因年利率百分之三十六，太高了，实在还不上了，而且贷款的时候，贷款专员什么都没跟我说过，打客服无数次都正在忙，提前还款还需要再还款三期，而且还要再还四万多，诉求，希望@捷信给出解释，要求只还本金。</t>
  </si>
  <si>
    <t>2019/10/08 23:23:09</t>
  </si>
  <si>
    <t>两天前提交，客服一拖再拖，不给打钱，敷衍了事，没有任何办法，只能走这条投诉之路，网上同样的情况很多。</t>
  </si>
  <si>
    <t>2019/10/08 23:22:22</t>
  </si>
  <si>
    <t>还用各种理由让我给他们转钱！说是我账号输入错误结冻要我6000元，改完账号又说我账号流水不足又要13000元我就借30000还没有要的多呢！借的钱也取不出我转的钱也没影了。</t>
  </si>
  <si>
    <t>2019/10/08 23:21:12</t>
  </si>
  <si>
    <t>咸鱼用户恶意辱骂他人，侵犯我的个人肖像权，发侮辱性严重的帖子疯狂辱骂，联系不到咸鱼客服。</t>
  </si>
  <si>
    <t>2019/10/08 23:19:17</t>
  </si>
  <si>
    <t>投诉人 许先生        投诉对象  信用飞        涉诉金额  3 468 元    问题类型    诉求类型投诉详情  要求退回多收的砍头息费用3468元 和解释为什么私自修改合同 联系我130******66</t>
  </si>
  <si>
    <t>2019/10/08 23:18:37</t>
  </si>
  <si>
    <t>第一天上班让我交200押金说实习期3天，录了指纹打了卡上班，第二天晚上下班才无意间知道实习3天没工资，还特意问了徐满英店长她说没工资，我问为什么第一天上班时不说清楚，她没回答还讲工资这事因人而异，看到我态度消极不想干的样子，又讲帮我申请，我本人觉得贵公司制度不完善，真是想怎样就怎样没有诚信的感觉，做了第三天下午和徐满英讲我不做了，要求她退我的200押金，她讲不做满一年没得退，我讲我和贵公司又没签合同上岗还在实习期间，凭什么不能退我自己的钱，她讲一礼拜后看我态度退或不退，一礼拜后找她讲已转交财务联系我，等两天</t>
  </si>
  <si>
    <t>2019/10/08 23:18:27</t>
  </si>
  <si>
    <t>这个魔借只能看见审核通过，短信没有多少金额，只能看见4625.22结果钱到银行卡里面，平台自动划走625.22，每个月还款799.36，4000块钱半年1421利息，这简直高利贷。</t>
  </si>
  <si>
    <t>2019/10/08 23:17:28</t>
  </si>
  <si>
    <t>我真的不是不还钱，那也得我有钱了！才能还钱吧，天天给我打电话，晚上11点了中信银行第三方还在给我打电话，而且响一声挂断，我真的受不了了！如果再这样下去我如果要是因为这些事情出事的话，接下来的后果就是你们银行担着，139******07.0971－8163352这是你们的外包电话，如果我要是这两天出事了！我们单位的一定会找你们的。</t>
  </si>
  <si>
    <t>2019/10/08 23:16:44</t>
  </si>
  <si>
    <t>投诉人 杨女士        投诉对象  松紧贷        涉诉金额  11 000 元    问题类型    诉求类型投诉详情  暴力催收，恐吓家人，辱骂。严重骚扰家人和朋友，影响个人生活</t>
  </si>
  <si>
    <t>2019/10/08 23:16:22</t>
  </si>
  <si>
    <t>工商这边查过该公司资料，公司注册为2011.07.22日发现该公司于2019.7.4发现于企业异常，导致不能联系，于2012.4.26日注册公司，金蝉脱壳，披着合法外衣，任做着违法经营，315点名后，更加变本加厉，最钟受益人为杨薇，且公司已有先例，如图下。</t>
  </si>
  <si>
    <t>2019/10/08 23:15:56</t>
  </si>
  <si>
    <t>借款800到账624，一个月需还824，已超国家规定的36%要求调整利率。</t>
  </si>
  <si>
    <t>2019/10/08 23:15:33</t>
  </si>
  <si>
    <t>上海拍拍贷,小赢卡贷,玖富万卡,及贷,宜人贷,你我贷。</t>
  </si>
  <si>
    <t>2019/10/08 23:15:27</t>
  </si>
  <si>
    <t>今年7月在恒信永利贷款5万元，签的合同79000元，每月还款3945元24期共要还款94680元，实际到账50500元，现由于生意失败资金出问题，协商处理不同意，威胁，恐吓，现在本人意愿起诉处理，所有证据都在，希望贵公司上诉处理，停止暴力催收。</t>
  </si>
  <si>
    <t>2019/10/08 23:14:30</t>
  </si>
  <si>
    <t>卖家同意后，买家退回商品，但是退回来的商品已经被拆开，影响了二次销售，拼多多第一次售后，只退款一部分，买家不满意，继续二次售后，拼多多直接全额退款给买家。</t>
  </si>
  <si>
    <t>2019/10/08 23:13:49</t>
  </si>
  <si>
    <t>借贷宝作为平台非但没有保护借款人，还变本加厉帮助催收。</t>
  </si>
  <si>
    <t>2019/10/08 23:12:40</t>
  </si>
  <si>
    <t>家里现在已经发生变故只想协商解决！提前还款还要2万多已不再我承受方面，借36000已还47496，望贵方能够高抬贵手，放小弟一马。</t>
  </si>
  <si>
    <t>2019/10/08 23:12:30</t>
  </si>
  <si>
    <t>在马上金融APP上借款20000元，分24期还，第一期还1460.95元，之后每个月还款1344.95，一共要还32394.8元，两年利息12394.8元，一年是6197.4元，超出国家规定的24%的年利率，该APP无法进行截图，所以无法提供截图证据。</t>
  </si>
  <si>
    <t>2019/10/08 23:12:10</t>
  </si>
  <si>
    <t>中国移动在本人不知情下将号码绑定咪咕动漫业务，之后扣费，自己从未收到过验证码短信和绑定通知短信，上个月也是，开通业务从来不发消息告知，直接私自开通。</t>
  </si>
  <si>
    <t>2019/10/08 23:11:13</t>
  </si>
  <si>
    <t>洋钱罐借款300元，一共要还3500多，并且前两期分期极度不平衡，怀疑有套路贷嫌疑，现在希望协商平均还款后面几期。</t>
  </si>
  <si>
    <t>2019/10/08 23:10:36</t>
  </si>
  <si>
    <t>投诉人赵女士投诉对象韦博英语涉诉金额31800元问题类型诉求类型投诉详情1、2018.6.6日在韦博英语报的英语培训，国贸机构报名！一共是4个Level，目前只上完一个level，还有3个级别，有效期还有一年多！今天LC老师突然说关门了，课程关闭，连善后都没有！2、突然的通知，然后现在退款无果，安置没有出来，国贸机构已经关门！电话无人接无人管！LC老师也不管～现在是退款没人受理也不管！根本就找不到人了已投诉到信访局！。</t>
  </si>
  <si>
    <t>2019/10/08 23:10:10</t>
  </si>
  <si>
    <t>本人曾经几次发起退还押金立刻出行都没有理睬。</t>
  </si>
  <si>
    <t>2019/10/08 23:10:05</t>
  </si>
  <si>
    <t>本人因资金周转需要，于2019年4月9日在快闪卡贷元APP上借了一笔金额为15000元，到账14846.45，到账后秒扣砍头息2220元，实际到账只有12626.45元，借款分6期，每期应还3008.99元，总共6个月本金加利息就要还18053.94元，，利息高达5427.49元，达到本金的43%左右！通过计算，该平台的借款年利率竟然高达84.15%，目前已经还款5期共15044.95元，现要求最后一期进行协商减免清账处理。</t>
  </si>
  <si>
    <t>2019/10/08 23:10:02</t>
  </si>
  <si>
    <t>马上消费金融催收人员发短信来协商还款说免除利息只还本金，所以马上消费的工作人员加微信叫我转账到马上消费金融银行账号，结果现在发信息打电话给加我微信的工作人员也没反应。</t>
  </si>
  <si>
    <t>2019/10/08 23:09:49</t>
  </si>
  <si>
    <t>能不能和银行商量下给我分期，我实在是全款还不了，剩余9千多，利息越还越多，还不给分期，我妈已经气到了，把我逼死有什么用，能不能协商下，分期下，拜托了，分期了我会按时还款，绝不拖欠，如果在让家人知道倒下，我妈妈真的会死的。</t>
  </si>
  <si>
    <t>2019/10/08 23:08:30</t>
  </si>
  <si>
    <t>提前还款还收取手续费，而且手续费太高根本就是变相高利贷，我一个全日制学生根本承担不起这个费用，严肃要求贵公司调改否则采取媒体投诉。</t>
  </si>
  <si>
    <t>2019/10/08 23:07:01</t>
  </si>
  <si>
    <t>一直骚扰家人，还有短信恶意恐吓，致使无心工作，严重影响生活。</t>
  </si>
  <si>
    <t>2019/10/08 23:06:54</t>
  </si>
  <si>
    <t>抖音推广友缘在线的软件，在无意下点击下载后，不断弹出对话框，在点击后弹出用0元体验3天的会员的方式，在我支付0元的同时，未经过我同意开启支付宝免密支付的协议，扣除共99元。</t>
  </si>
  <si>
    <t>2019/10/08 23:04:54</t>
  </si>
  <si>
    <t>凭什么给我扣款我都不知道什么情况下密码都没有收入给我扣款，希望本平台帮我追回，这也太套路了吧，钱扣完后就这样，在继续点又是几百的我都不敢往里面放钱了。</t>
  </si>
  <si>
    <t>2019/10/08 23:03:48</t>
  </si>
  <si>
    <t>本人于2017年5月23日在捷信金融借款34000元，分33期还款，每期1960.36.到今天2019年10月8日已还款28期，共还54890.08元，远远超过国家规定利率，提前还款竟还需要还款7357.26元！诉求。</t>
  </si>
  <si>
    <t>2019/10/08 23:03:34</t>
  </si>
  <si>
    <t>在支付宝借呗里面借了一笔资金一共只有3800元，但是本人一直在陆陆续续的还可是经常有自称是支付宝的员工在没有告知我的情况下打电话给我的父母说我欠了支付宝的钱叫我还钱，但是我只想说我在还款为什么你没有直接打电话在我这里来，我也明确的告诉了支付宝的工作人员叫他们有事先联系我本人，可是还是未经我的允许打我的通讯录希望支付宝可以给我一个解释，还有我在还款为什么利息越来越多！附图一张打我通讯录里面的一个电话。</t>
  </si>
  <si>
    <t>2019/10/08 23:03:21</t>
  </si>
  <si>
    <t>头两期都要收取450的平台管理费！两个产品就是收取1800的服务费！要求把这些服务费退还！。</t>
  </si>
  <si>
    <t>2019/10/08 23:03:10</t>
  </si>
  <si>
    <t>2019/10/08 23:02:07</t>
  </si>
  <si>
    <t>2019.7.12日，晚上九点时候，建设银行卡里的钱&amp;nbsp;，在本人没有任何操作的情况下，被扣除10000整，去银行查询交易明细，问其原由，银行工作人员，通过查询对方收款账号，查到扣款方是中金支付公司，本人也通过致电中国银联证实，对方收款账号公司为中金支付公司，本人刚办的银行卡，从来没有办过贷款和绑定过别的第三方服务，卡里的钱却被对方中金公司给非法扣除10000，对本人造成严重的财产流失，已经形成了非法恶意盗扣，通过官网查询&amp;nbsp;，对方中金支付公司的客服联系电话是：400&amp;nbsp;&amp;nbsp;8</t>
  </si>
  <si>
    <t>2019/10/08 23:01:42</t>
  </si>
  <si>
    <t>投诉人 梅先生        投诉对象  玖富        涉诉金额  1 754 元    问题类型    诉求类型投诉详情  玖富万卡无法手动还款，将要导致我被动逾期</t>
  </si>
  <si>
    <t>2019/10/08 23:01:26</t>
  </si>
  <si>
    <t>咸鱼用户恶意辱骂，侵犯个人肖像权，发侮辱性严重的贴子。</t>
  </si>
  <si>
    <t>2019/10/08 23:01:04</t>
  </si>
  <si>
    <t>2019年10月7日本人在凤凰网看新闻的时候，突然跳出棋牌类游戏广告，广告语各种诱惑，真人棋牌可以兑现，本人出于好奇进行下载，游戏内部现金金币一比一兑换，本人共计被骗17000元，凤凰网作为最早一批新闻资讯门户，拥有上亿用户，却大肆推广此类棋牌游戏，残害网民，希望相关部门严查处理，并对本人损失进行赔偿。</t>
  </si>
  <si>
    <t>2019/10/08 23:00:56</t>
  </si>
  <si>
    <t>高利贷，阴阳合同骗人，虚假信息，砍头息，上面宣传全是假信息，说放2000.只要1300到账，而且。</t>
  </si>
  <si>
    <t>2019/10/08 23:00:53</t>
  </si>
  <si>
    <t>玖富万卡5月借款金额8000多出2332保险费用，玖富旗下易美付借款8700多出5090保险费用，到账13790秒扣5090应家里有变故，协商还本金，法律法规利息！。</t>
  </si>
  <si>
    <t>2019/10/08 23:00:27</t>
  </si>
  <si>
    <t>拍拍贷催收人员丧尽天良式的催收，让我和家人都不胜其扰，很难再借到一分钱，无力偿还，请有关部门，有能力的部门为我们做主，给我们时间来处理还款！。</t>
  </si>
  <si>
    <t>2019/10/08 22:59:43</t>
  </si>
  <si>
    <t>360借条，在可以联系我本人的情况下，不断骚扰我家人，并侮辱我家人，本人制止，仍不收敛。</t>
  </si>
  <si>
    <t>2019/10/08 22:59:25</t>
  </si>
  <si>
    <t>9月6日联系京东客服反馈无法发货补偿无门槛优惠卷问题，经多次询问，收到信息反馈9月20号统一补发，过了20号还没收到再咨询，说10月5日有问题未收到的统一补发,10月6日还未收到，再次询问，8日收到信息10月20日统一补发。</t>
  </si>
  <si>
    <t>2019/10/08 22:59:13</t>
  </si>
  <si>
    <t>本来订购月饼是1000克，收到的是500克！联系店家不理，申请退款被拒！！。</t>
  </si>
  <si>
    <t>2019/10/08 22:58:17</t>
  </si>
  <si>
    <t>本来都是每月按时还花呗，后来因为离婚了，自己身体又出了一些状况，所以好几个月没有还花呗，前几天有杭州的电话打进来，因为我看到显示是骚扰电话，所以拒接了，结果今天居然电话打到我75岁的老母亲那里，老人哪里知道什么花呗，结果很生气，这是严重透露个人隐私，希望做出处理！。</t>
  </si>
  <si>
    <t>2019/10/08 22:57:24</t>
  </si>
  <si>
    <t>好易贷套路贷，七天一周期，到账2100元七天还3000元，因为期限太短一直凑不够三千，只能续期处理，每期九百，到手的2100现已续期三次共2700元，可账单还是需要还3000元。</t>
  </si>
  <si>
    <t>2019/10/08 22:56:30</t>
  </si>
  <si>
    <t>投诉人陈女士投诉对象51人品，小赢卡贷，省呗涉诉金额0元问题类型诉求类型投诉详情因为这个月周转不过来没办法准时还款，最迟会在下个月十号还上的。</t>
  </si>
  <si>
    <t>2019/10/08 22:55:59</t>
  </si>
  <si>
    <t>在携趣莫名扣款之后，下一笔是小通商城的503.69元扣款，也就是通联支付，我是微信绑定才看到是这个商户扣款，但是我本人当时在上班根本就没有消费，而且扣款也没有任何账单短信，只有我的银行卡余额扣费提醒！当时打了小通商城很久电话才打进去，被客服告知是闪银的扣费，本人承认有用闪银，但是看了账单并于此项账单，然后我打了闪银的客服咨询客服并无此项资费，然后我再打小通商城就打不进去了！骗子公司！还我的钱！给我一个解释！。</t>
  </si>
  <si>
    <t>2019/10/08 22:55:47</t>
  </si>
  <si>
    <t>想一次性还清，平台显示系统异常不能还款，现在导致逾期，借1万到账9000还要还1万2000多。</t>
  </si>
  <si>
    <t>2019/10/08 22:55:39</t>
  </si>
  <si>
    <t>每个人借款一千五，到账一千，向个个借款人还三千五到五千多不等后，泄露个人信息，暴力催收，不销账！。</t>
  </si>
  <si>
    <t>2019/10/08 22:55:28</t>
  </si>
  <si>
    <t>19年3月借款15000元，12个月每月还款1755元，原以为是和光大银行合作的正规贷款，没想到到账后秒扣1760多元！加上正常利息已经远远超过国家规定，而且客服电话还一直不通！没办法只能还款，并且每个月未到还款期就有奇怪的语音号码打来让还款！！现要求调整正常利率！！取消高利贷！！。</t>
  </si>
  <si>
    <t>2019/10/08 22:55:19</t>
  </si>
  <si>
    <t>公司倒闭一月有余，欠我半个月工资以及一年提成，连提成具体都没有算，直接不给，差不多两三万左右，老板娘佛山大沥本地人。</t>
  </si>
  <si>
    <t>2019/10/08 22:54:56</t>
  </si>
  <si>
    <t>直接把聊天记录全部删除了，还有个账号的钱还在，还没有提现所以没有被清楚掉。</t>
  </si>
  <si>
    <t>2019/10/08 22:54:22</t>
  </si>
  <si>
    <t>明明是2200元的额度，在借时显示借款额度是2926元，这明显的砍头息，整个贷款分3还款，第一期还1142.35，后两期还1141.37，一共要还3425.07元，按国家规定利息和服务费一共不得超过24%的年利率，月光侠分期的利息和服务费已经超过国家规定。</t>
  </si>
  <si>
    <t>2019/10/08 22:52:53</t>
  </si>
  <si>
    <t>多宝分期借款3000，分三期还，一期10天，一个月利息高达988.80，远远超过国家规定利率，现在本人要求只偿还本金加国家合法利息。</t>
  </si>
  <si>
    <t>2019/10/08 22:49:17</t>
  </si>
  <si>
    <t>2019年10月9日我在微信聚师堂里面的老师推荐下报名购买了399的教师资格证的书籍跟网课，但是不到半小时我因为产品问题要退款，网课没看过书籍也没邮寄给我，我问他们能退款吗，他们说能退款，让我联系售后电话客服，电话客服又说让专门的售后联系我，等了好几个工作日，仍然没有售后联系我们，电话客服态度也不太好，一直回复说已经反馈了，再给我催促下，可是一直没售后联我，去哪里可以投诉他们，把我的399和45的教科书可要回来。</t>
  </si>
  <si>
    <t>2019/10/08 22:48:55</t>
  </si>
  <si>
    <t>投诉人 朱先生        投诉对象  拍拍贷        涉诉金额  0 元    问题类型    诉求类型投诉详情  要求协商偿还本金 高额利息实在无力偿还了</t>
  </si>
  <si>
    <t>2019/10/08 22:48:25</t>
  </si>
  <si>
    <t>投诉人秦女士投诉对象光大银行信用卡中心涉诉金额55000元问题类型诉求类型投诉详情本人光大银行因个人经济出现状况，导致信用卡逾期五个月，本人有还款意愿，并非银行催收所说的恶意zhapian行为，请不要乱污蔑人，贵银行在2016年致电本人提供了一笔信用卡额外的三万额度，导致现在还不上，还有打了几个电话给我本人，说升级白金卡，再没有说清楚明白的情况下升级了白金卡，年费都要一千多，后告知可以用积分兑换，积分都要二十万，试问贵银行如果是你知道年费要一千多你还会去办卡吗，本人两个诉求：1.本人恳请贵银行按照《商业银行</t>
  </si>
  <si>
    <t>2019/10/08 22:47:34</t>
  </si>
  <si>
    <t>催收人员态度恶劣，而且不予理解，还扬言要爆我通讯录。</t>
  </si>
  <si>
    <t>2019/10/08 22:46:53</t>
  </si>
  <si>
    <t>10月6号发现银行卡莫名被扣了299块钱，没有任何电话短信提示，后来打电话给通联支付才得知扣款平台是造艺旗下的聚富分期app，打给客服说是用于贷款前的个人信用评估，但我一直进行的是贷款操作，并没有同意进行信用评估，属于不合法的诱导欺骗，要求退款客服说要把寄身份证复印件寄过去，也是不合理的要求，希望通过平台要求聚富分期直接退款。</t>
  </si>
  <si>
    <t>2019/10/08 22:46:50</t>
  </si>
  <si>
    <t>我来分期总额度是7080，我昨天算了一下我已经还进去的有快九千了，还有几笔已经结清的几千，说我有临时额度但我也看不到，就算是临时额度也最多四千，我已经还进去一万二三了，还要还三四千左右，找客服，客服说反馈，等了三天还没反馈，打电话又联系不上他们，我现在想提前结清，来分期一直推脱，这两天又自动还进去几笔，真的高利贷，当时借的时候算的利息很低，不知道怎么回事越还越多，关键是我还没复借就这么多了，真的是高利贷！。</t>
  </si>
  <si>
    <t>投诉人黄女士投诉对象我来数科涉诉金额10000元问题类型诉求类型投诉详情无止尽的骚扰本人，包括朋友家人每天电话短信轰炸，望停止。</t>
  </si>
  <si>
    <t>2019/10/08 22:45:27</t>
  </si>
  <si>
    <t>投诉人黄先生投诉对象新浪微博钱包借钱平台涉诉金额40000元问题类型诉求类型投诉详情本人在2019年8月7日向新浪微博钱包申请借款，总金额是40000人民币，整个借钱过程没有任何关于利息和费用的提示日息最低至0.04%，除了首页的“日息最低至0.04%”的提示之外，整个借钱过程没有任何关于利息和费用的提示，，发现总利息高达7200元，年息已经超过36%，理由：整个借款过程，微博钱包存在以下违规违法行为：1、首页显示0.04%的日息，误导消费者；2、整个借款过程都没有直接出现利息费用界面让消费者确认，这是坑蒙</t>
  </si>
  <si>
    <t>2019/10/08 22:45:03</t>
  </si>
  <si>
    <t>本人于2017年8月3号在宜人贷借款app借款45000元，当时收取了6100元的信息咨询服务费，加到了本金上面，显示合同金额为51100元，每期还款2100.94元，到今天19年10月8号已支付26期，总计54624.44元，由于本人目前资金还有结余所以想提前还款，app显示提前还款需要支付16712.33元，这样的还款金额，已经远远超过国家规定的年利率！诉求：提前还款支付国家规定的年利率产生的利息。</t>
  </si>
  <si>
    <t>2019/10/08 22:44:25</t>
  </si>
  <si>
    <t>本人于2019年7月19号在抖音上无意间刷到了，留了电话号码之后客户经理就联系让我加入乐客并在微信上发了直播的连接，里面说到淘宝折扣卡能赚多少钱等等一系列的东西，并且可以免费送500张淘宝的折扣卡，然后就冲动付了订金。</t>
  </si>
  <si>
    <t>我拼车去一个地方是19块，去的时候是这个价，回来却一现在变成了40块！滴滴我每个月都得花1500左右，头一次拼车遇到这样的事！客服不作为，只是机械系道歉，有什么用。</t>
  </si>
  <si>
    <t>2019/10/08 22:43:24</t>
  </si>
  <si>
    <t>平安普惠就是赤裸裸的套路贷！高利贷！以低息诱骗人上当，入局后以高利息征收！。</t>
  </si>
  <si>
    <t>2019/10/08 22:43:12</t>
  </si>
  <si>
    <t>我是农村人，在家帮农户卖一些地里产的农产品，最后选择了拼多多平台，做了一个月左右，一天也就二三十单货，今天收到了一条违规通知要我交10万元保证金否则就强制封店，我都不知道哪里出错了，打客服电话一问才知道，说我导流了，，我只不过给一个也在拼多多卖农产品的商家一个电话号码，他说想从我这里给他发他卖出去的货，我想这样也可以的反正都在拼多多平台卖，这样也可以帮农户朵销出去点农产品，谁知道客服给我一个导流的决裁，我们也没有线下交易，都是他在我店里下单我给他发货，都是在拼多多卖出去的，这样也算导流，我恳请拼多多平台取消</t>
  </si>
  <si>
    <t>2019/10/08 22:43:04</t>
  </si>
  <si>
    <t>投诉人李女士投诉对象拍拍贷涉诉金额15000元问题类型诉求类型投诉详情投诉拍拍贷严重骚扰亲友，群发通讯录，而且伪造合同金额！对本人生活造成严重影响！要求拍拍贷做出态度表明，停止骚扰并且道歉。</t>
  </si>
  <si>
    <t>2019/10/08 22:42:55</t>
  </si>
  <si>
    <t>不是本人操作.小孩玩手机不小心输入密码借款成功了，希望钱站取消借款。</t>
  </si>
  <si>
    <t>2019/10/08 22:42:49</t>
  </si>
  <si>
    <t>该借款行为纯粹因为个人资金周转，无恶意骗贷行为，当时显示该笔借款本金3900元，利息国家规定合法内，次日借款3900元即通过钱站APP对公账户划转至本人银行卡，但随后通过APP操作进入详细合同，发现借款本金竟变成了5174元，每月归还本息变成了2556元，分期三个月再加上巧立名目所谓“服务费”、“担保费”竟要归还4500元；也就是说借你钱站3900元3个月，利息高达3768，依据《中华人民共和国合同法》、《最高人民法院关于审理民间借贷案件适用法律若干问题的规定》、《中国人民银行关于取缔地下钱庄及打击高利贷行</t>
  </si>
  <si>
    <t>2019/10/08 22:42:01</t>
  </si>
  <si>
    <t>经常骚扰人，而且还联系非通讯录的人，大晚上打电话骚扰，要求停止骚扰。</t>
  </si>
  <si>
    <t>2019/10/08 22:40:08</t>
  </si>
  <si>
    <t>投诉人 周女士        投诉对象  微博借钱        涉诉金额  1 819 元    问题类型    诉求类型投诉详情  打电话给我父母，给我父母造成了很大的影响。要求停止骚扰</t>
  </si>
  <si>
    <t>2019/10/08 22:39:20</t>
  </si>
  <si>
    <t>还款当天，没有逾期，就开始电话短信骚扰威胁，爆通讯录，联系家属。</t>
  </si>
  <si>
    <t>2019/10/08 22:38:01</t>
  </si>
  <si>
    <t>零零发，钱伴，钱站，暴力催收，发送侮辱短信来骚扰我的家人朋友亲戚，很高的砍头利息，很高的手续费。</t>
  </si>
  <si>
    <t>2019/10/08 22:37:18</t>
  </si>
  <si>
    <t>投诉人李女士投诉对象小花钱包涉诉金额5260元问题类型诉求类型投诉详情不断的电话骚扰家里人，我跟他们公司的个人发了短信息，打了电话想进行沟通，但是对方并没有接我电话和回我消息！请你们处理。</t>
  </si>
  <si>
    <t>2019/10/08 22:35:45</t>
  </si>
  <si>
    <t>投诉人柏明慧投诉对象交通银行涉诉金额16000元问题类型诉求类型投诉详情本人因投资被朋友骗，现在导致破产，本身离异自己带孩子，现在生活压力太大，负债也多，交行信用卡也在还只不过没有一次还那么多，但是有钱就还进去了，现在又停了卡，还不停给家里老人打电话，发信息，说各种严重后果，本人有心要还款，只不过一时刚刚工作，每月有6千，协商了浦发，现在也想协商交行，我们不是不还，谁都不想过这种日子，只是目前还要保证孩子的生活费，暂时困难，钱也要挣才能有，交行天天这样吓老人，谁都没心情去工作，希望银行客服联系我，而不是催收</t>
  </si>
  <si>
    <t>2019/10/08 22:35:33</t>
  </si>
  <si>
    <t>平安普惠用低息8.4%诱骗人入局，然后收取3%的砍头息，再以各种手续费、服务费高达35.9%的年息，我入了28期，共9.52万元后，拒绝还款，平安普惠采用各种手段，偷看我的通讯录，电话骚扰我的家人，朋友，同事，通过不合法的途径窃取了我女儿单位的座机，每天打十几个电话骚扰我的女儿，影响我女儿单位的正常工作，简直是丧心病狂，下三滥到极点。</t>
  </si>
  <si>
    <t>2019/10/08 22:31:40</t>
  </si>
  <si>
    <t>9月9日于12306上购买候补订单，因为这个订单里的车次迟迟没有候补成功，在9月26日退了这单，改下了另外一个车次的候补订单，我记得当初是用支付宝付款的，12306账户里也有这个订单的信息，但是退款一直不到，客服说退给了招行的账户，问题是本人并没有招行的银行卡，那么这笔钱是退给谁了，9月26号下的那个订单，因为没候补成功，我也退了，这次钱成功退回了我的支付宝，就是之前那次，一直没退回，因为金额那里只能填整数，写了252，实际是251.5。</t>
  </si>
  <si>
    <t>2019/10/08 22:31:11</t>
  </si>
  <si>
    <t>投诉人龚先生投诉对象小赢卡贷,众安保险涉诉金额30000元问题类型诉求类型投诉详情小赢卡贷与众安保险狼狈为奸，捆绑销售，在我不知情的情况下签订了保险合同，且没有任何短信形式的通知，也已经联系过众安保险的客服，拒不退款，我身为投保人，为何不能退保，客服答非所问，已经在相关平台进行投诉了，小赢卡贷年利率超过百分之36，合同上写的是百分之7.2，合同欺诈，借了3万，一年要还40797，已经超过了年利率百分之36，一年1万多的利息，实属无力偿还，现感谢聚投诉，感谢你们给了我这个投诉渠道，要不然真的是哑巴吃黄连有苦难</t>
  </si>
  <si>
    <t>2019/10/08 22:30:58</t>
  </si>
  <si>
    <t>投诉人杨女士投诉对象房尚房不动产涉诉金额0元问题类型诉求类型投诉详情在58租房上看的租房信息，和相关经纪人联系，告知和图片上的一样，结果到看房子的时候就带到了别的地方，觉得不合适就拒绝租房，谁知该经济人对我们进行人生攻击，侮辱，不仅宣传虚假信息，事后还带有人格侮辱，。</t>
  </si>
  <si>
    <t>2019/10/08 22:30:23</t>
  </si>
  <si>
    <t>宝付支付为违规高利贷平台提供支付服务有视频截图为证。</t>
  </si>
  <si>
    <t>2019/10/08 22:30:00</t>
  </si>
  <si>
    <t>投诉人王先生投诉对象顺丰速运涉诉金额1799元问题类型诉求类型投诉详情我通过闲鱼卖出自用的小米mix2s手机，由于顺丰青岛站点的顺丰快递员违规操作自行签收！买家不承认签收！又拒收了！害得我无端端承担了往返费用！顺丰站点工作人员本来承诺他们违规操作导致我损失，答应赔偿给我236元损失，结果一拖再拖，后来直接告诉我不陪了，爱找谁找谁！所有的通话记录我都有保留！也有截图！。</t>
  </si>
  <si>
    <t>2019/10/08 22:29:18</t>
  </si>
  <si>
    <t>投诉人马受涛投诉对象捷信金融涉诉金额20000元问题类型诉求类型投诉详情我在捷信2017年借两万块钱！分30期还款！每月还1280.40元，超出了国家规定的年利率，多收了我的钱！我要求赔偿。</t>
  </si>
  <si>
    <t>2019/10/08 22:28:44</t>
  </si>
  <si>
    <t>投诉人李廷菊投诉对象芸学教育涉诉金额2980元问题类型诉求类型投诉详情通过网上广告接触芸学教育，加了冯老师，咨询了相关情况，本来不打算报，结果她直接打电话给我说有团报优惠，中途不收二次费用，包括所有的费用，并未告知需要另外交考务费，当时交钱是分两次交，隔了一天交齐，开了课程之后与班主任取得联系，并要求开发票，当时给我说等周一，我就等后面一直到10月份也么见到发票，多次问了之后开发票比较忙为由拖延至今，9月27号提交完资料，10月6号联系我说要850考务费，但是之前并未说过中途收费，现在咨询冯老师，至今未得到</t>
  </si>
  <si>
    <t>2019/10/08 22:28:43</t>
  </si>
  <si>
    <t>2017年经朋友带哄，当时生意失败，急着用钱！就被朋友带到友信门店了，借款10万，到手9万5，他们说的阴阳合同上写14万7千5！每个月还4773.27元！分36期还！越想越不对劲，怎么越还就越多了，我已经还了21期了，那就是说已经还了10万多了，再上他们的APP上看，还显示我还有6万多没有还！然后再像她客服说的，4773.27×36＝，她的回复是，10万是什么人人贷的本金，还有4万7千5是友信的服务费！我想请问一下，你们为我服务过什么，辛辛苦苦赚回来的钱，除了还债就是还债，而且还不够拿来还你友信！我找人查过</t>
  </si>
  <si>
    <t>2019/10/08 22:28:14</t>
  </si>
  <si>
    <t>投诉人王汉林投诉对象钱站,华夏银行涉诉金额4000元问题类型诉求类型投诉详情高利贷阴阳合同，放款半个月就开始要还款，翻倍还，借款时不说明，后来伪造。</t>
  </si>
  <si>
    <t>2019/10/08 22:28:09</t>
  </si>
  <si>
    <t>投诉人逯先生投诉对象滴滴出行涉诉金额0元问题类型诉求类型投诉详情滴滴出行，把我的出行分扣成0分，我回家了，一个多月，回来的时候，出行分扣成0分，导致我现在接不到单，这几天我工作11个小时，收入150元，我为滴滴工作两年，难道干滴滴老婆生孩子，都不能伺候。</t>
  </si>
  <si>
    <t>2019/10/08 22:28:01</t>
  </si>
  <si>
    <t>投诉人张女士投诉对象有钱花涉诉金额1789元问题类型诉求类型投诉详情我于今年在百度有钱花借款，后分期还款，一直按期还款，2019年8月22日第四期还款日因资金紧张未按时还款，提前联系客服延期还款不同意，后来也一直保持联系，中间虽没全额还款但也一直不断还款，10月8日下午在我不知道的情况下给通讯录发送起诉虚假信息败坏本人名声。</t>
  </si>
  <si>
    <t>2019/10/08 22:27:42</t>
  </si>
  <si>
    <t>投诉人杨女士投诉对象富友支付涉诉金额35000元问题类型诉求类型投诉详情富有支付，为融360平台及个别不正规平台提供支付扣款平台，为违法高利贷提供平台支付，公司之前已有先例，如图下。</t>
  </si>
  <si>
    <t>2019/10/08 22:27:08</t>
  </si>
  <si>
    <t>投诉人王先生投诉对象玖富涉诉金额30元问题类型诉求类型投诉详情今天在玖富万卡app用他们所谓的的富钻商城兑换了30元礼品，如图所示，付款以后迟迟未有发货，app里面显示兑换失败但又未退款，打了玖富客服4008108818跟我说是那边查询不到订单，让我提供截图给人工客服，随后排了一个多小时队，向对方阐述问题后，就一直在想办法敷衍，到最后被逼的没办法，来了个很奇葩的问题，让我提供银行卡的流水，你是小学没毕业去做的客服吗，问什么时候有回复也没有说现在已不是钱多少问题，强烈要求玖富万卡官方给予回复解释处理，强调多次</t>
  </si>
  <si>
    <t>2019/10/08 22:26:21</t>
  </si>
  <si>
    <t>投诉人张先生投诉对象中腾信涉诉金额17000元问题类型诉求类型投诉详情在中腾信借款17000元，分24期还款，每期还款1004元，其利息严重超过国家法定利息，在未逾期的情况下，群发欠款信息到通讯录所有联系人，爆了通话记录和联系人。</t>
  </si>
  <si>
    <t>2019/10/08 22:26:18</t>
  </si>
  <si>
    <t>投诉人丁飞投诉对象滴滴出行涉诉金额0元问题类型诉求类型投诉详情当天送完上一个乘客！平台马上指派了新的订单给我！此时我在的位置堵车很严重！我就给客户打了电话！告知堵车！不知道多久能出去！如果着急在下一个单！避免耽误他的时间！乘客也说再下一单！他着急！！平台有录音！也可以核实！我在此地车辆拥堵半个多小时才离开！本平台指派单就很少！我很想拿奖励！我申诉两次电话打几次都为解决！怎么可能诱导乘客取消订单！。</t>
  </si>
  <si>
    <t>2019/10/08 22:25:47</t>
  </si>
  <si>
    <t>投诉人马先生投诉对象传化物流支付公司涉诉金额3200元问题类型诉求类型投诉详情传化支付有限公司还我血汗钱，底下有图证明。</t>
  </si>
  <si>
    <t>2019/10/08 22:25:09</t>
  </si>
  <si>
    <t>投诉人李女士投诉对象天津金城银行涉诉金额1016元问题类型诉求类型投诉详情没有欠金城银行资金，所欠新诚优品已经还清，为什么无故扣我资金，要求全额退还，10月8号21点34分扣款，这笔扣款金城银行必须做出赔偿，所对应新诚优品已经归还了为什么还再乱扣，难道除去高利息还得还两次吗。</t>
  </si>
  <si>
    <t>2019/10/08 22:23:03</t>
  </si>
  <si>
    <t>投诉人胡先生投诉对象聚合支付,支付宝,威力贷,蚂蚁金服涉诉金额2000元问题类型诉求类型投诉详情本人通过短信链接，下载了威力贷，借款1400元，实际到账也是1400元，借时并无任何提示，结果却要在6天后归还2000元，无客服电话联系，通过APP的在线客服联系，拒协商，拒提供电话，2.唯一还款通道是支付宝，收款方为聚合支付，1.威力贷是通过汇潮支付这个支付通道放款，经过核查，汇潮支付作为合作平台，有其来花花的主体公司和联系电话，但拒提供，继续参与违法行为，本人愿意归还本金和合法利息，希望通过平台解决问题3.威</t>
  </si>
  <si>
    <t>2019/10/08 22:22:51</t>
  </si>
  <si>
    <t>投诉人逄先生投诉对象苏宁易购涉诉金额500元问题类型诉求类型投诉详情因为未按规定时间发货，客户投诉，苏宁判定我们责任，投诉也完结了，请尽快处理先行赔付，拖了2个月了，我司已经同意了判定结果，请尽快处理先行赔付。</t>
  </si>
  <si>
    <t>投诉人李先生投诉对象捷信金融涉诉金额893元问题类型诉求类型投诉详情捷信金融服务有限公司以贷款名义向客户收取各类费用，贷款10000元让交第一笔还款额893.34/我转过去以后，说审核中，完了又说没审核通过要交3500元的商业资金保险，然后我说我不贷了把那之前交的钱退回来，说不退，问了好几天都不退，然后客服给我说资金已经冻结，只能交给银监局处理，这样以各种方式向客户收取费用是有些恶劣，请捷信金融退款并做出解释，请有关部门予以处理。</t>
  </si>
  <si>
    <t>2019/10/08 22:22:38</t>
  </si>
  <si>
    <t>投诉人丁先生投诉对象滴滴出行涉诉金额200元问题类型诉求类型投诉详情滴滴出行凌驾于规则之上不顾司机利益，出什么口碑值，导致司机接不到单子，不知道这种问题有没有出现过，但是出了问题不解决就是公司的责任了，必须投诉。</t>
  </si>
  <si>
    <t>2019/10/08 22:22:32</t>
  </si>
  <si>
    <t>投诉人杨女士投诉对象美团外卖涉诉金额127元问题类型诉求类型投诉详情本人于10月8日凌晨在美团上预订了10月12日入住-10月13日退房的七天酒店武汉大学广埠屯地铁站店，由于其他原因我于预订后十五分钟申请退款取消订单，美团表明我需要联系商家征得商家同意，我在联系商家后，商家表明订单已经取消可以退款但是我需要找美团，后我与美团沟通，美团却表明商家不同意退款，最终不予退款。</t>
  </si>
  <si>
    <t>2019/10/08 22:21:52</t>
  </si>
  <si>
    <t>投诉人沙先生投诉对象立借涉诉金额10000元问题类型诉求类型投诉详情立借套路贷，借款6000还款界面一看还款需要10000多，而且前3期都需要还款6000多。</t>
  </si>
  <si>
    <t>2019/10/08 22:21:42</t>
  </si>
  <si>
    <t>投诉人李女士投诉对象京东商城涉诉金额80元问题类型诉求类型投诉详情图一，客服承诺保价7天，并没有说明有赠品就不能保价图二，10月3日购买的显示器，下单价格1359元，10月8日提出保价申请时间在保价范围内，图三，10月8日申请保价时客服让我拍下订单好方便对比价格，此时下单价格显示为1279元，其他图片，联系客服退差价客服推脱说有赠品无法保价，即使把赠品退掉也不可以，我买的时候并没有看到有赠品送，下单也不曾看到有无赠品的选项，还是下单后才在订单里看到有赠品，送的东西我根本需要也用不到，跟客服说了多次要求把赠品</t>
  </si>
  <si>
    <t>2019/10/08 22:21:11</t>
  </si>
  <si>
    <t>投诉人许先生投诉对象点融网涉诉金额20000元问题类型诉求类型投诉详情2019年1月20日申请点荣贷款，极贷，借款20000，12期，月还2300，共需还款27600元，利息7600，年利率38%，2019年9月份由于遇到事情，丧失了还款能力，主动打电话和点荣协商还款时间，但是催收人员在逾期后催收言语态度恶劣，并且不断对我进行侮辱，我始终在和该人员沟通还款时间，承诺会有亲属帮助还款，但需要时间，但该人员还是百般侮辱，我告知该人员我八月份还的钱就是和朋友借的，现在已经借无可借了，该人员说我无赖骗贷，我说我不是</t>
  </si>
  <si>
    <t>2019/10/08 22:19:39</t>
  </si>
  <si>
    <t>本人9月13号中秋回家过节，经过我们盐城响水301县道，响水到陈家港就两车道的马路，沿途有测速探头明显的谁也不敢超速，过了双港路段，前车有点慢，只能超车加速过去，由于并不知道有隐蔽测速，等看到的时候已经过去了，回到家我就查了下，这并不符合交警移动测速规定，在前方200米并没有任何测速提示牌，车载测速不能隐藏，执法本为民，这些都不符合规定，我要求撤销我的违章处理。</t>
  </si>
  <si>
    <t>2019/10/08 22:19:11</t>
  </si>
  <si>
    <t>中国银联股份有限公司广东分公司专户14,中国工商银行，没有经过本人密码等验证，莫名其妙的从卡上扣钱。</t>
  </si>
  <si>
    <t>2019/10/08 22:18:53</t>
  </si>
  <si>
    <t>投诉人 庄先生        投诉对象  米米罐        涉诉金额  2 500 元    问题类型    诉求类型投诉详情  高额的征信报告费。变相的收取利息费用。要求安国家的合法利率收取利息。</t>
  </si>
  <si>
    <t>2019/10/08 22:18:41</t>
  </si>
  <si>
    <t>在滴滴客服反馈了个问题，第一个电话过来我拒接了，因为不方便，结果受到了连续拨打骚扰，请问这是客服还是催收?。</t>
  </si>
  <si>
    <t>2019/10/08 22:17:57</t>
  </si>
  <si>
    <t>投诉人王先生投诉对象vivo涉诉金额3000元问题类型诉求类型投诉详情买的x20,充电器没碰，没摔，也没进液，先是啪啪的响，然后就看到内部开始烧黑了，感觉再充就得爆炸，都有从内往外黑色的焦印出来了，太可怕了，。</t>
  </si>
  <si>
    <t>2019/10/08 22:17:53</t>
  </si>
  <si>
    <t>下单前是大约74元，结束订单支付时是104.5元，客服讲述是超出预估距离，这和司机没有任何关系，并且司机也是按照导航行驶，如贵公司不能给出正确的解释或者无法维护我的个人权益，我将按照国家法定法规进行起诉滴滴平台维护消费者权益，改善态度。</t>
  </si>
  <si>
    <t>2019/10/08 22:16:49</t>
  </si>
  <si>
    <t>刚买完的东西，还没有过一天就出活动降价了80元，联系客服不给退差价。</t>
  </si>
  <si>
    <t>2019/10/08 22:15:45</t>
  </si>
  <si>
    <t>每天几十个电话，违法拨打通讯录亲人好友，严重影响生活，客服背课文一样说没有用户通讯录，根本是扯淡。</t>
  </si>
  <si>
    <t>2019/10/08 22:14:22</t>
  </si>
  <si>
    <t>联通员工9月份随意更改我的套餐资费和服务密码，号码是185******97，我要求赔偿我一个不限速不限量的套餐。</t>
  </si>
  <si>
    <t>2019/10/08 22:14:16</t>
  </si>
  <si>
    <t>10月2日在光大银行提供平台处购买滴滴礼橙专车机场接送券260元，客服人员答非所问说是本人账号存在扰乱平台秩序，让提供证明，却没有答复，让本人提供电话联系，在两天后10月4日进行预约消费，发现根本没有任何司机接单，于是10月6日向滴滴专车平台进行咨询是何原故导致，客服人员答非所问，说是本人账号存在扰乱平台秩序，让提供证明，却没有答复，让本人提供电话联系，结果没有接到任何电话回访，只收到一条短信说是账户异常，确不告诉原因所致，所以要求滴滴出行赔偿优惠券全部款项，并且修复账户正常约车功能。</t>
  </si>
  <si>
    <t>2019/10/08 22:14:11</t>
  </si>
  <si>
    <t>本人在2019年3月在宜人贷借款110000，到账110000，分36期还款，每期尝还5464.56，总计金额198509.01，由于本人目前处于失业状态，资金周转困难，目前第6期逾期9天，逾期费高达近1400元，在目前本来就有巨大还款压力的前提下，对于超高逾期费不能承担，并且希望能与宜人贷方面协商还款，调整利率，不要再骚扰通讯录，暴力催收，本人承诺绝对会在本人目前能承担的情况下慢慢尝还余下款项。</t>
  </si>
  <si>
    <t>2019/10/08 22:13:31</t>
  </si>
  <si>
    <t>2019/10/08 22:11:57</t>
  </si>
  <si>
    <t>投诉人李云投诉对象快闪卡贷涉诉金额950元问题类型诉求类型投诉详情快卡闪贷由于系统原因导致扣款失败可是我不知道因为我把钱存到了扣款账户，一直没扣出去，昨天我收到信息才知道，按工作人员告诉我的把这期应该还的款转账到他们给我的支付宝账户然后截图给他们就会处理了可是今天还是没有给我解决逾期已经五天了而且产生了逾期费用，昨天的客服告诉我肯定不会上征信但是今天的客服告诉我三天内不会上征信我今天逾期19天了他们客服电话打不通APP客服我说十句回不了一句没人给我解决啊怎么办。</t>
  </si>
  <si>
    <t>2019/10/08 22:11:23</t>
  </si>
  <si>
    <t>今年一月份被网罗骗子骗款，后有发现账户被冻结，渤海银行存在洗黑钱行为。</t>
  </si>
  <si>
    <t>2019/10/08 22:11:16</t>
  </si>
  <si>
    <t>中午付钱父母刚给我的生活费，晚上就被自动扣费，不知道什么时候下的单，现在已经不需要这个软件了。</t>
  </si>
  <si>
    <t>2019/10/08 22:10:56</t>
  </si>
  <si>
    <t>使用滴滴打车，滴滴司机因有宠物为理由拒绝乘客上车，而且还没有取消订单导致我取消订单被罚款，我需要滴滴车行给出合理的解释并且退还被罚金额。</t>
  </si>
  <si>
    <t>2019/10/08 22:10:52</t>
  </si>
  <si>
    <t>因改了一下注册地，服务分被重置了，服务分对一名滴滴司机那就是命，没有任何提示说改地址会掉分，改完后一下掉25分，导致现在一整天下来也接不到单，就算空车配合平台调度都接不到，希望恢复我服务分，然后在修改地址应该设提示，处理不了只有来投诉。</t>
  </si>
  <si>
    <t>2019/10/08 22:10:08</t>
  </si>
  <si>
    <t>爆通讯录，严重打扰到我和我身边朋友的生活，侮辱，谩骂，恐吓，人身攻击极其严重，强烈要求肥猫贷产品下架并道歉。</t>
  </si>
  <si>
    <t>2019/10/08 22:09:45</t>
  </si>
  <si>
    <t>贷款2000，一个月要还2500，所谓的购物金额，根本没有消费，只是高额利息的另一个名称，这两天刚好手机有问题，没接到电话，直接把我通讯录朋友电话打遍了，到处说让我还款，打电话给他们客服，还睁眼说瞎话说根本没有通讯录的电话。</t>
  </si>
  <si>
    <t>2019/10/08 22:09:42</t>
  </si>
  <si>
    <t>今天银行卡被特约中归还款刷走100疑似盗取银行卡信息进行盗刷。</t>
  </si>
  <si>
    <t>2019/10/08 22:09:27</t>
  </si>
  <si>
    <t>投诉人邓先生投诉对象月光侠分期涉诉金额1050元问题类型诉求类型投诉详情借2100元分三期一共还3150元已经是高利贷了！本人因资金周转问题逾期3给电话客服协商还款，客服答应协商但是也没有接到协商电话，打来的是催收！催得要命！后来还爆我通讯录还有发短信给我通讯录！如果我有什么不测或者工作没了！我就不会罢休！。</t>
  </si>
  <si>
    <t>2019/10/08 22:09:25</t>
  </si>
  <si>
    <t>趣携信息科技上海有限公司在不知道情况下乱扣费。</t>
  </si>
  <si>
    <t>2019/10/08 22:08:12</t>
  </si>
  <si>
    <t>闪电借款高利贷.以买卡方式砍头息.恶意搔扰通讯录人员信息，用电话031166859157不断搔扰，到期没有提示还产生高额利息，高利贷暴力催收。</t>
  </si>
  <si>
    <t>2019/10/08 22:07:46</t>
  </si>
  <si>
    <t>投诉人黄先生投诉对象中邮消费金融涉诉金额0元问题类型诉求类型投诉详情到还款日没有扣款，客服电话打不通，手动还款也不行，所导致的逾期，谁负责，贵公司是不是这样恶意让人逾期所收取高额违约金。</t>
  </si>
  <si>
    <t>投诉人谭泽川投诉对象中大互联,中大互联教育涉诉金额10400元问题类型诉求类型投诉详情一开始就是我在网站上留下我的微信，后来他们主动联系了我，我进行了咨询，后来在找个人的鼓动和引导下进行了8.28分期付款，由于家里原因想退学费这个老师居然说她不管这个，叫我找其他专科本科老师，结果那个专科老师基本上不和我提退钱的事情一直叫我不要退，努力学习，我就想说了退款是我的事，学习也是我的事，而且他们连发票都不给我，说什么发票还要钱，重点是我没有和他们牵过一个合同，我下面发照片的合同我字都没有签，我都不知道怎么生效的，还</t>
  </si>
  <si>
    <t>2019/10/08 22:07:24</t>
  </si>
  <si>
    <t>我在它家平台借了1000元！它按一月还493元，还三个月，合同上说借了1400，。</t>
  </si>
  <si>
    <t>2019/10/08 22:07:20</t>
  </si>
  <si>
    <t>预约的早上5点40的专车上车后司机提议是否走高速，时间路程差不多，但实际结果是时间多花了十几分钟，路程多跑了17公里，实际导航路程40公里，司机跑了57公里，费用比之前高了80元在软件客服那边投诉迟迟没有回复我怀疑滴滴有意包庇司机。</t>
  </si>
  <si>
    <t>2019/10/08 22:06:52</t>
  </si>
  <si>
    <t>，平时绕路也就算了，这种时候还绕路，迟到了谁负责呢。</t>
  </si>
  <si>
    <t>2019/10/08 22:05:39</t>
  </si>
  <si>
    <t>投诉人郝小丰投诉对象民生银行涉诉金额65000元问题类型诉求类型投诉详情去年出事故，民生银行信用卡开始逾期，本金65000.现在逾期加利息126000多，三方催款公司在能联系到本人的情况下，到处联系本人联系人，同事，还有违法查询本人隐私，涉嫌暴力催收，恐吓，本人和银行客服联系好几次，没有能力一次性还款，和银行协商分期还款，客服让和催款联系，催款的是让每个月还点就行，明知联系到本人的情况下，还恶意联系所有本人的联系人，恐吓，非法查询本人隐私，到处宣扬，严重影响本人名誉，请立刻停止你的行为！。</t>
  </si>
  <si>
    <t>2019/10/08 22:05:06</t>
  </si>
  <si>
    <t>壹心分期,快钱支付,连连支付,易宝支付,爱吉，壹心分期是国家严厉打击的违法7.14套路贷，借款2100分别砍头600多，500多砍头费，借款15天一期，实为违法7.14套路贷，快钱支付，连连银通支付，易宝支付违规为国家严厉打击的7.14套路贷提供支付通道。</t>
  </si>
  <si>
    <t>2019/10/08 22:04:41</t>
  </si>
  <si>
    <t>本人于去年一直在使用闪银的瞬瞬贷服务，基本都是每个月按时还款，由于上个月经济出现点问题，所以在我联系完闪银客服后，客服说这个瞬瞬贷是可以办理延期服务的，跟催收说一下就行了，于是上个月第一次办理了延期服务，那时候客服说要等到逾期第8天，才会出现延期通道，才能办理延期，费用是1百多块钱，这个月本人也想办理延期，从1号到7号都没有接到闪银客服打电话过来，以为是默认的，只有等到第8天，然后才会开启通道，结果晚上在洗澡时候，一个河北张家口的电话打了进来，那时候在洗澡没有接到，出来后打过去给他，又是空号，然后等等我哥就</t>
  </si>
  <si>
    <t>2019/10/08 22:04:20</t>
  </si>
  <si>
    <t>使用支付宝在海外网址购买游戏.官方有明确规定可以在规则内可以无理由退款.但是商家不给予退款处理.联系支付宝也不给予处理.。</t>
  </si>
  <si>
    <t>2019/10/08 22:03:54</t>
  </si>
  <si>
    <t>聚福钱包在本人不知情的情况下，在其平台申请借款时，，先扣掉299元砍头息，说是所谓的风险评估费用，然后此APP与该公司工作人员明确说明借款审核不通过可退款，但是现在拒不处理，还要我提供各种个人信息，包括身份证与银行卡复印件，这种公司我能放心提供，还要我在聚福钱包APP上申请其推荐的借贷平台不成功的证明，现在打客服电话各种推脱，我会以各种渠道解决，12315电话，上海市市场监督管理局等等。</t>
  </si>
  <si>
    <t>2019/10/08 22:02:16</t>
  </si>
  <si>
    <t>充值了9万在里面，在9月20日就无法进入平台，2019年8月26日出了一个良性清退的公告，但是一个月过去了也没有去解决的方案，公众号无人回复，客服电话没人接听，专员手机号停机，网站直接关闭，现在只剩下一个空白app，请相关部门进入调查，让子壹金服退回受害者的钱。</t>
  </si>
  <si>
    <t>2019/10/08 22:01:20</t>
  </si>
  <si>
    <t>最近潮州天气炎热时雨时晴，空调也是时开时关，个别乘客也存在不合理要求，而做为服务行业我都是尽力满足乘客要求，乘客要求开空调也满足乘客要求，而且潮州个别道路崎岖不平，请问哪个车走了那些路车不会有异响。</t>
  </si>
  <si>
    <t>2019/10/08 21:59:10</t>
  </si>
  <si>
    <t>本人于2017年4月5日在拉卡拉申请易分期网络贷款，申请金额为5万元整，还款期限为一年，但本人实际到帐金额只有41000元，其中9000元被拉卡拉以手续费，本人保存有2017年拉卡拉易分期APP放贷截图及银行流水可作为凭证，按照预先扣除的利息，到期我应全部还款金额为41000，，但拉卡拉平台依旧按照5万元申请贷款的金额作为我的还款金额，，实际上这已经是第二次收取本人9000元利息，即实际我借款本金为41000元，而对方收取的利息为18000元，已严重的超过国家法定利率的24%，利率高达到了43%，完全属于高</t>
  </si>
  <si>
    <t>2019/10/08 21:58:40</t>
  </si>
  <si>
    <t>18年10月2号支付宝交付押金1000元，。</t>
  </si>
  <si>
    <t>2019/10/08 21:58:21</t>
  </si>
  <si>
    <t>投诉人杨女士投诉对象时光分期涉诉金额8000元问题类型诉求类型投诉详情工商这边查过该公司资料发现该公司并不具备放款资质，该公司违规违法对外放高利贷，且利息超过国家规定，时光分期客服态度恶劣称国家没规定利率怎么算，自己合法合规，现在，请该客服把合法合规的证据拿出来！！！该公司在2018年2月之前并无经营资质，但已开展高利贷业务，以上已提供有2018年之前放贷凭证，可提供流水，该公司于2018年2月香港注册，金蝉脱壳，拼着合法的外衣仍做着违法的经营高利贷暴力催收315点名后变本加厉但最终受益人都是郭慧文，且该公</t>
  </si>
  <si>
    <t>2019/10/08 21:58:09</t>
  </si>
  <si>
    <t>本人于2018年6月28日在51人品贷借款27100元，分24期还，每期1682.3元51人品贷首期还款额为3579.3，其中包括2379.41元的服务费，到今天2019年10月8号，已还15期，其中14期为1682.3元每期，头一期为3579.3元，总计27131.5元目前本人想要提前还款，51人品贷显示代还本金为10550.81元，点击提前还清，竟多出各项费用4341.69元，应还总额为14943.71元也就是在1年零3个月的时间，本人一共需支付42075.21元，非常不合理诉求减免各项费用4341.6</t>
  </si>
  <si>
    <t>2019/10/08 21:58:01</t>
  </si>
  <si>
    <t>本人于2019年4月30日经朋友介绍购买嗨学网消防工程师3998课程，但当时购买课程的时候我就告诉销售我中专学历，销售说他们可以带报名，于是到了报名的时候我就联系销售人员，可是销售人员就直接联系不上了，我就直接联系了嗨学网客服要退费他们承诺退80%，但我等15－20个工作日，我过了10天又联系他们，他们又告诉我无法退费。</t>
  </si>
  <si>
    <t>2019/10/08 21:57:29</t>
  </si>
  <si>
    <t>我在唯品会购物很长一段时间了，最近也刷到了金牌会员，真的很难受，这个服务结果，买东西不到15天突然降价，而且还不能保价服务，很多衣服包装还没拆，真的是吃了闭门羹，是不是因为钱刷多了，就不管客户了，前前后后买了不少东西了，这让一个老客户真的难受，我现在在犹豫明天到货的商品要不要签收，本来这次还想再买一些的，真的无奈，这么大一家公司，价格保护做得那么差，看来老客户果然没啥意思。</t>
  </si>
  <si>
    <t>2019/10/08 21:57:21</t>
  </si>
  <si>
    <t>投诉该中金支付四川分公司机构，恶意分5次扣除本人农业银行卡内200元，分别为，10月8号18:27分20元，10月8号19:06分20元，。</t>
  </si>
  <si>
    <t>2019/10/08 21:57:11</t>
  </si>
  <si>
    <t>商品质量问题，打开特别臭，申请退款以后，我的90块钱抵用券没有返还给我。</t>
  </si>
  <si>
    <t>2019/10/08 21:56:09</t>
  </si>
  <si>
    <t>在现金巴士申请借款收取高额砍头息要求退还，结清消账。</t>
  </si>
  <si>
    <t>2019/10/08 21:54:24</t>
  </si>
  <si>
    <t>贷上钱贷款平台利用客户贷款资料进行盗取客户通讯录等信息，对家人朋友不断地造成恐吓骚扰，而且贷上钱的利息特别高，2000元借款一个月出利息外还有625的购物金额，不知道这购物金额是什么，而且客户还款后查不到还款记录，故意删除还款账单，这样的一个暴力，高息，种种恶行还请有关部门予以处理，。</t>
  </si>
  <si>
    <t>2019/10/08 21:53:25</t>
  </si>
  <si>
    <t>说交600元工本费，包下款，转了钱，这后说下不了款，说我银行卡错误，怎么可能我填写后，对过三遍，要求退款，客服说不给退，要下款还要交3000元解封费，还关了服务。</t>
  </si>
  <si>
    <t>2019/10/08 21:52:52</t>
  </si>
  <si>
    <t>投诉人 蔺潘潘        投诉对象  滴滴出行        涉诉金额  0 元    问题类型    诉求类型投诉详情  以组代购买的车，每月还3670的车贷。一天跑一百多，怎么还？</t>
  </si>
  <si>
    <t>2019/10/08 21:52:18</t>
  </si>
  <si>
    <t>借款人去世3个月，一直在官司纠纷，作为家人，在和马上消费金融多次协商达成一致，暂时停止催收流程，但是一直还是接到催收的电话，南京的，重庆的，我已经和客服说的很明白了，请给家人一个适应的时间，官司一旦宣判，拿到赔偿款，会立刻一次性偿还欠款。</t>
  </si>
  <si>
    <t>2019/10/08 21:51:03</t>
  </si>
  <si>
    <t>高额费用，合同虚假，超过36%年利息借2600.合同上写了3714。</t>
  </si>
  <si>
    <t>2019/10/08 21:49:22</t>
  </si>
  <si>
    <t>我去年加入的蓝店，签的合同，去年的件不多，因为旁边有个菜鸟驿站，后来菜鸟驿站倒闭了，大量的快递，送到了我们店，打了一个搓手不及，又招人又买快递货架子，然后刚开始提现还行，有时候快，半个月就到账，有时候慢一两个月到账，到了今年6月份，最后一次提现，到现在没有到账，中间咨询过几次，都是说帮忙催促财务，最后也是不了了之，这都过了四个多月了，迟迟不到，真是心累，之前交的押金也退不回来，还有自己充值的短信费，自己也不知道有什么办法，追回这些辛苦钱，我查资料看到咱们这个平台，可以帮忙投诉，。</t>
  </si>
  <si>
    <t>360广告打得跟真实借款完全不一样，打着日利率0.025%，可真实的日利率是这个3倍多差不多0.078%，月利率1.297%，年化率27.02%，这就是个高利贷网贷，360借条广告海量宣传「30天免息」、「日息」虚假宣传2.。</t>
  </si>
  <si>
    <t>2019/10/08 21:49:18</t>
  </si>
  <si>
    <t>因为平台现在进不去，得他们平台重新发链接，借款过后平台就进不去，还款他们让➕QQ.打他们所谓的客服电话一分钟不到换几个人接电话！他们自己都说不清楚情况！我还给他们的利息钱都够几个到账金额了，典型的高利贷砍头息，！还发短信骚扰家人朋友，威胁我！。</t>
  </si>
  <si>
    <t>2019/10/08 21:48:40</t>
  </si>
  <si>
    <t>今年8月9日在美丽屋合租了一间房，月租900元，押一付三，水电押金400元，一年的管理费549元，合计共交纳4549元，10月8日因工作调动退房，告知退430元，扣我2300多，住两个月，太霸王条款了，说按合同条款来的，请问美丽屋，签合同的时候你们告知我了吗，而且我签合同的时候，看我没弄懂合同，另外再加个补充协议，根据我了解，其他用户根本没有补充协议，是不是我没看懂合同，再加协议，让我签字，强烈要求惩治这种霸王条款公司，退我押金和管理费。</t>
  </si>
  <si>
    <t>2019/10/08 21:47:20</t>
  </si>
  <si>
    <t>宜信普惠电话联系我说可以申请借款，因为刚好需要到用钱我就通过了客服的好友申请，在我申请借款后，要我交百分之十的押金，说所有款项还完后就退下来，我交了，打款的时候说我银行卡写错了打款失败，然后要在交百分之30才能修改银行卡号，我说我没有那么多，有钱我还找你们借什么钱，客服说可以帮我垫付百分之10还有百分之20我交了就可以了，我想宜信普惠这么大个公司应该不会是虚假的，毕竟是上市公司，我就交了，又打款的时候要第三次交3次百分之30说是和银行接口对接，确定是我本人的银行卡，我说我实在没有钱交了，要求退款，客服答应我</t>
  </si>
  <si>
    <t>2019/10/08 21:47:19</t>
  </si>
  <si>
    <t>暴力催收，威胁恐吓，爆通讯录，随意调取通讯录人员。</t>
  </si>
  <si>
    <t>2019/10/08 21:46:36</t>
  </si>
  <si>
    <t>希望聚投诉帮忙协商一下，谢谢，不要在影响我的工作和生活。</t>
  </si>
  <si>
    <t>2019/10/08 21:43:34</t>
  </si>
  <si>
    <t>支付宝里面的好医保，在我没开通自动扣款功能的情况下自动扣除我名下、交通银行尾号1238的信用卡62.25元，难道我个人的银行卡在我没开通自动扣款功能的情况下就能扣款吗，之前8月份支付宝赠送我一个月的免费好医保我领取了，谁知道到9月19日却自动扣除我下个月的为什么不经过我允许。</t>
  </si>
  <si>
    <t>2019/10/08 21:43:30</t>
  </si>
  <si>
    <t>2019年9月3日通过信用管家APP在神马借里面借款3000元，实际到账2625元，分四期，每期8天，共32天，每期还款896元，总还款额3584元，已还两期，畅捷支付为其提供放款渠道之前的收款方为潮州市盛林信息科技有限公司，现在变更为广州伊升信息科技有限公司，支付宝为高利贷提供还款通道还款账号：yb*****s@163.com，广州伊升信息科技有限公司请严查，其年化利率远高于国家要求，后面两期跟客户协商调整年利率未果，没再还款，却被强制产生了高额的逾期费用，平均每天逾期费用50多！神马借为非法高利贷公司，</t>
  </si>
  <si>
    <t>2019/10/08 21:42:28</t>
  </si>
  <si>
    <t>投诉人李先生投诉对象卜宝宝,易打条,广州华邦商务服务有限公司涉诉金额4898元问题类型诉求类型投诉详情由于个人需要资金周转，在私人借贷打易打条借条一个月，额度4000，利息800，但是要打两张借条，打完后不放款需要交服务费方能下款，一张借条49元，共两张借条，共计98元，但是交完服务费后拒不放款，qq联系不到人，电话拉黑，而且发易打条服务电话也是拒不接，但是借条不销账，申请销账时拒绝，现在怀疑放款人卜宝宝是套路贷，特提出，全额退款，道歉，并给出合理解释，并且允诺不再放贷他人，否则将走法律程序，。</t>
  </si>
  <si>
    <t>2019/10/08 21:42:22</t>
  </si>
  <si>
    <t>投诉人 刘女士        投诉对象  小花钱包        涉诉金额  0 元    问题类型    诉求类型投诉详情  系统错误无法还款，持续骚扰家人。客服联系不上。</t>
  </si>
  <si>
    <t>2019/10/08 21:42:13</t>
  </si>
  <si>
    <t>没有生成业务，不给退钱，客服人员不理会，强制消费。</t>
  </si>
  <si>
    <t>2019/10/08 21:42:11</t>
  </si>
  <si>
    <t>非法合同，骗取老百姓利息，非法让老本性购买保险合同。</t>
  </si>
  <si>
    <t>2019/10/08 21:41:37</t>
  </si>
  <si>
    <t>2019/10/08 21:41:32</t>
  </si>
  <si>
    <t>集体投诉发起人0次专题累计访问量0件有效投诉量0件有效解决量0%有效解决率投诉对象评分问题类型诉求类型投诉详情天房集团在天津市北辰区建设的天辰世纪限价房本来是政府惠民的好事，但是开发商却捆绑车位销售违规操作，具体如下:2015年该楼盘进行开盘售卖，此项目一共有3000多户，一期只开盘了700多户，当时是分带车位和不带车位进行摇号选房，比较正规，而且在住房保障网进行了公示，但是在二期销售时，没有在住房保障网上进行公示和通告，摇号也没有公示，那是因为开发商把二期两室的房子都分到了带车位的组别里，也就是说如果不买</t>
  </si>
  <si>
    <t>天房集团在天津市北辰区建设的天辰世纪限价房本来是政府惠民的好事，但是开发商却捆绑车位销售违规操作，具体如下:，2015年该楼盘进行开盘售卖，此项目一共有3000多户，一期只开盘了700多户，当时是分带车位和不带车位进行摇号选房，比较正规，而且在住房保障网进行了公示，但是在二期销售时，没有在住房保障网上进行公示和通告，摇号也没有公示，那是因为开发商把二期两室的房子都分到了带车位的组别里，也就是说如果不买车位根本就买不到二室的房子，开发商把二室的和位置比较好的一室全部绑定车位销售，而不带车位的房源，仅有50平米</t>
  </si>
  <si>
    <t>2019/10/08 21:41:11</t>
  </si>
  <si>
    <t>9月26日，由于工作原因在外地学习没能及时处理借款，加上原来的手机号码停用了一段时间，加上银行卡也有足够的钱，今天登录上去银行卡自己解绑，导致客服联系不上本人，却在2019年10月8日下午车辆被私自开走后才被告知车辆被开走了，并且被工作人员告知他们终止合同需一次性结清借款或者是按月扣款直到扣完全部借款才能归还车辆，既然是按月扣款只要结清当月扣款就属于正常使用，为什么他们单方面终止合同工作人员还声称需要我支付1千多的违约金，所以请教专业人士后得知车贷公司应该是没有权利拖车的吧，拖车强制执行需要法院来执行，车贷</t>
  </si>
  <si>
    <t>2019/10/08 21:40:17</t>
  </si>
  <si>
    <t>10月6日收货后打开包装发现离生产日期有快2年之久，，我重新修改申请备注我自己可以负责寄回的运费，，理由跟第一次一样，说保质期到2020年9月，我在包装上没看到有效期字样，我通过网上客服并咨询是否有个人原因不满意可以退货，，我现在要求退货退款并承担我寄回的运费预估15元。</t>
  </si>
  <si>
    <t>2019/10/08 21:38:58</t>
  </si>
  <si>
    <t>马上消费金融爆通讯录，骚扰通讯录好友，给通讯录发送催收短信，严重影响本人及通讯录好友的正常生活。</t>
  </si>
  <si>
    <t>2019/10/08 21:36:22</t>
  </si>
  <si>
    <t>分期乐催收今天给我母亲打电话不知道怎么说的。</t>
  </si>
  <si>
    <t>2019/10/08 21:36:10</t>
  </si>
  <si>
    <t>桔子分期收取砍头息，代扣未到账提前从贷款人银行卡扣取费用。</t>
  </si>
  <si>
    <t>2019/10/08 21:36:02</t>
  </si>
  <si>
    <t>借豆豆钱10000元，到账10000直接扣取899元担保费，还款计划每月还款956元左右，另外每月还收取148元担保费，借10000元，还款加上利息加上担保费高达14200元左右，多次担保费相当于变相高利贷，年利率超出24%。</t>
  </si>
  <si>
    <t>2019/10/08 21:35:55</t>
  </si>
  <si>
    <t>去年在携程借去花分期18000元，一直按时还款，10月6日还款这期由于最近资金不足逾期了两天，催收人员打电话过来我一直给解释了说这几天资金不足，就这几天我还上，到8号晚上7点多催收人员打电话过来态度恶劣威胁的口气说今天一定还，不然他去找我朋友家人帮我借，意思就是爆通讯录，我一直给他解释说就这几天我筹一下钱马上还上，可是催收人员态度一直很恶劣说那就他去帮我找人借，意思还要爆我通讯录打电话给家人朋友，，我都好好给解释了好多遍了，还是不行，我说你打电话给我朋友和家人我就报警，既然催收人员说那你报警吧，他不怕，我真</t>
  </si>
  <si>
    <t>2019/10/08 21:35:24</t>
  </si>
  <si>
    <t>本人于2019年下午批量偿还贷款，下午检查时发现被该公司扣款1537.50元，经多方账单确认，并未与该公司有任何款项来往，确被该公司偷偷扣款。</t>
  </si>
  <si>
    <t>2019/10/08 21:35:23</t>
  </si>
  <si>
    <t>今天刚刚加入的货拉拉交了1000押金699超级会员费，发现都要自己开车去5-10公里远的地方收货在去送货。</t>
  </si>
  <si>
    <t>2019/10/08 21:34:27</t>
  </si>
  <si>
    <t>投诉人 杨女士        投诉对象  中信银行信用卡        涉诉金额  20 000 元    问题类型    诉求类型投诉详情  骚扰朋友同事。发送恶意短信。不联系亲属，不断打电话给朋友</t>
  </si>
  <si>
    <t>2019/10/08 21:33:53</t>
  </si>
  <si>
    <t>投诉人苏先生投诉对象中国银联股份有限公司广东分公司专户09涉诉金额100元问题类型诉求类型投诉详情无缘无故盗刷我100元，请求退还，并道歉。</t>
  </si>
  <si>
    <t>2019/10/08 21:32:15</t>
  </si>
  <si>
    <t>微信商户版收款9.30显示提现到账截止10.8日银行卡未收到该笔收款。</t>
  </si>
  <si>
    <t>2019/10/08 21:31:58</t>
  </si>
  <si>
    <t>本人在拍拍上借款，由于最近手头紧，无法按时还款，逾期17天，拍拍贷短信威胁要群发我的照片给亲朋好友。</t>
  </si>
  <si>
    <t>2019/10/08 21:31:26</t>
  </si>
  <si>
    <t>投诉人 何先生        投诉对象  平安普惠        涉诉金额  2 000 元    问题类型    诉求类型投诉详情  大晚上九点以后发骚扰短信 给打过去还很理直气壮 而且也说了让他明天查账 纯粹的暴力催收 而且这些催收园 还很理直气壮的说不知道有这个规定 难道你们平安就这样培训你们催收人员吗 半夜骚扰人家 国家有没有规定</t>
  </si>
  <si>
    <t>2019/10/08 21:30:38</t>
  </si>
  <si>
    <t>2019年10月7日在上海造艺网络技术有限公司系聚富分期APP申请网贷，填写资料上可以选用小银卷或者银行卡，我勾选的小银卷，完全不顾消费者的权益，希望贵公司能全款退还。</t>
  </si>
  <si>
    <t>2019/10/08 21:29:56</t>
  </si>
  <si>
    <t>2019年3月8号在玖富万卡借款9200元分36期共还款19000元已经还款6期，现在发现是阴阳合同只借款9200元又出现一笔借款6882.52的借款合同，我现在只想还清我借款9200元的合法利息，不接受高利贷、阴阳合同。</t>
  </si>
  <si>
    <t>2019/10/08 21:28:53</t>
  </si>
  <si>
    <t>开店宝支付旗下产品，点刷，停我分润，2017年做了点刷产品，装机将近两千台，至今每个月还有一万多，两万块分润，7月份开始，日结分润关停，请麻烦处理给我开通，并且补偿7-10月日结分润。</t>
  </si>
  <si>
    <t>2019/10/08 21:28:46</t>
  </si>
  <si>
    <t>投诉人方女士投诉对象平安普惠涉诉金额50000元问题类型诉求类型投诉详情在2017年5月向平安普惠借款了5万元，36期，实际到账金额是48500元，事先业务员未说明会有1500扣款，借款后才发现利息高的吓人借款48500元要还8万多，利息和本金一样多了，每个月还2421，本金才1200元，1221元的利息和费用，早就超出国家规定，至今我已经还了67792多元，减去48500的本金，也还了19000多元的利息，并且每月11号开始，客服人员就一直催款，对我心里造成不小的影响，在这，我不求其他，希望直接清洁，我已</t>
  </si>
  <si>
    <t>2019/10/08 21:28:05</t>
  </si>
  <si>
    <t>美团有个额外的红包可以购买，别人的美团号都可以，就我的这个手机号不行，来来回回试了好多次，会员也没有断过，这是区别对待吗。</t>
  </si>
  <si>
    <t>2019/10/08 21:27:52</t>
  </si>
  <si>
    <t>投诉人李先生投诉对象造艺科技涉诉金额299元问题类型诉求类型投诉详情上海造艺科技有限公司盗刷我银行卡，国庆期间本人下载他们公司的软件，百事普惠然后他们公司的软件盗刷我银行卡100元还有199没有扣。</t>
  </si>
  <si>
    <t>2019/10/08 21:25:08</t>
  </si>
  <si>
    <t>投诉人严先生投诉对象小花钱包涉诉金额4657元问题类型诉求类型投诉详情去年在携程金融借去花分期了18000元，从借款以来一直按时还款，直到10月6号这期还款4657.01元，由于这个月资金不足逾期了两天，自己也知道逾期了，催收人员打电话过来我积极说明了情况，说这几天找朋友借一下赶紧还上，10月8号晚上7点50左右催收人员打电话过来态度恶劣，说今晚必须还，意思不然就爆通讯录他给我去找我朋友借，态度相当恶劣，，我一直解释了说就这几天一定还上，催收人员说今晚必须还，不然他就去找我朋友给我借，意思就是爆我通讯录，我</t>
  </si>
  <si>
    <t>2019/10/08 21:24:56</t>
  </si>
  <si>
    <t>几个月前借51人品贷27000，砍头息，手续费太贵，一直不知道哪里投诉，今天知道了，。</t>
  </si>
  <si>
    <t>2019/10/08 21:24:02</t>
  </si>
  <si>
    <t>4月6日购买，7月网站停止维护更新，发布退款QQ群，一个都加不上，然后退款表格填写后15工作日也没有人联系我协商退款事宜，叉叉助手平台理应提供永久服务，但于7月20号开始平台处于开始整改不予提供服务，并于微博公众号承诺5工作日左右处理退款信息，我当时已按平台要求提交过所有资料，但至今未收到退款，另本平台应提供永久服务，然而因平台本身原因提供不了永久服务，理应全额退款，现又拖延退款，我也不要求平台补偿，现要求退款。</t>
  </si>
  <si>
    <t>2019/10/08 21:22:34</t>
  </si>
  <si>
    <t>办理了好享贷分期，最近遇到了困难，工作即将重新调整，面对未知数，积极与银行沟通把剩余没还的好享贷重新分期，避免不好的情况产生，他们一直拒绝并且引导我逾期后协商还款，个人是弱势群体，感觉没有希望，想主动还款都是绝路！。</t>
  </si>
  <si>
    <t>2019/10/08 21:22:05</t>
  </si>
  <si>
    <t>滴滴虚假宣传，滴滴虚假服务，吧我骗去买车办证然后就不给我派单，在我买车前宣传的倾斜派单到我车买了证办好订单明显不给我派。</t>
  </si>
  <si>
    <t>2019/10/08 21:21:24</t>
  </si>
  <si>
    <t>我来贷平台对我已经长达半年的暴力催收，电话骚扰恐吓，侵犯隐私爆通讯录、群发短信律师告知函。</t>
  </si>
  <si>
    <t>2019/10/08 21:18:39</t>
  </si>
  <si>
    <t>顾客扫我的支付宝二维码付款之后，我得银行卡显示消费两笔，正好和他扫过来的时间吻合，我看了看支付宝但是在支付宝账单上面没有记录，然后我打银行的电话他让我问一下银联，我给银联客服打电话显示人工繁忙，我打开云闪付，想看一下交易记录，但是显示没有绑定银行卡，查询不了，然后我把银行卡绑定之后发现有这两笔消费记录，是从云闪付扣除的，而且这两笔收单机构都是同一个地方，而且我也肯定我没有过这两笔消费，我现在不知道是被别人盗刷，还是乱扣费。</t>
  </si>
  <si>
    <t>2019/10/08 21:18:05</t>
  </si>
  <si>
    <t>投诉人王先生投诉对象深圳市瑞可创新科技有限公司,瑞可玩具旗舰店涉诉金额1400元问题类型诉求类型投诉详情飞机质量事故问题导致飞机丢失,报警处理后寻找未果.飞机丢失后第一时间告知商家,且与商家协商一直退货退款,在退货申请中已经明确声明退回飞机剩余配件且商家审核无异议同意退货退款,但商家收到货后出尔反尔拒绝退款并在未通知我的情况下把其余配件原路退回给我.商家宣传主页明显虚假宣传过分夸大飞机抗风性能与实际情况完全不符.作为消费者我想要商家提供代理商授权证明,整机质检证明,各组装零件代工厂质检证明,上下游供应链合规</t>
  </si>
  <si>
    <t>2019/10/08 21:17:41</t>
  </si>
  <si>
    <t>携趣网络技术上海有限公司,通联支付,易小借,造艺技术,通联沪快。</t>
  </si>
  <si>
    <t>2019/10/08 21:17:10</t>
  </si>
  <si>
    <t>本人现在经济实在困难，所以九月开始欠了平安普惠i贷的1000多点钱款未还，这期间短信不断，微信不断，电话不断，在我表明困难后，还是不断的骚扰，甚至诱导我去再在他们这里借钱，把当前欠款结清。</t>
  </si>
  <si>
    <t>2019/10/08 21:16:04</t>
  </si>
  <si>
    <t>9月份我店里有一个商品被售假处罚，后面我申诉成功并撤销了处罚，过了两天我重新上架该商品，谁知道又遭到淘宝信息层面判断的售假处罚，然后我提交了之前申诉成功的那些同样的资料凭证，结果却不通过，请问淘宝现在这么没良心，这么黑心的吗。</t>
  </si>
  <si>
    <t>2019/10/08 21:16:01</t>
  </si>
  <si>
    <t>明世教育打着院校大学名义招生又打着教育局授权,但是这些都查询不到,贷款平台是跟明世教育合作,并没有与大学院校合作,对面以各种虚假理由忽悠了我报考,然后还在我未经合同签字的情况下审核通过报考成功。</t>
  </si>
  <si>
    <t>2019/10/08 21:15:50</t>
  </si>
  <si>
    <t>2016年在江苏无锡恒昌分公司贷款50000分36期还，但是合同上不住5万人民币的现在是多少我不记得了，后来哟还了9期后来由于投资失败一直逾期没有能力还款，在2019年8月份到恒昌发的提示信息我以欠款三十几万，2019年我接到催收公司电话要求我一次还清欠款，语气中带威胁的口气给我两天时间一次性还款要是不还就给我单位人事打电话，说天天打电话。</t>
  </si>
  <si>
    <t>2019/10/08 21:15:14</t>
  </si>
  <si>
    <t>投诉人杨先生投诉对象支付宝涉诉金额3500元问题类型诉求类型投诉详情打电话咨询还款问题，客服说有3天的宽限期，不会有影响，还一部分后，支付宝借呗上有可用额度，又凑来钱还上了，就没可用额度，欺骗行为。</t>
  </si>
  <si>
    <t>2019/10/08 21:13:55</t>
  </si>
  <si>
    <t>投诉人 刘先生        投诉对象  上海拍拍贷        涉诉金额  3 000 元    问题类型    诉求类型投诉详情  拍拍贷暴力催收。恶意拨打我通讯录好友。并且威胁我。泄露个人信息。</t>
  </si>
  <si>
    <t>2019/10/08 21:13:36</t>
  </si>
  <si>
    <t>捷信金融还款利息太高超过国家规定的利息，请求处理。</t>
  </si>
  <si>
    <t>2019/10/08 21:13:23</t>
  </si>
  <si>
    <t>，违法行为恶劣，无视消费者的权益，真的是坑，必须投诉想得到一个解决的方法。</t>
  </si>
  <si>
    <t>2019/10/08 21:11:43</t>
  </si>
  <si>
    <t>滴滴出行每天不给我派单，我天天做十几个小时，才几十块钱，我要养家糊口，让我怎么生活，打了好多滴滴客服电话也没用，希望通过聚投诉能帮帮我。</t>
  </si>
  <si>
    <t>2019/10/08 21:10:58</t>
  </si>
  <si>
    <t>在本人不知情的情况下划走四千块，能不能退款。</t>
  </si>
  <si>
    <t>2019/10/08 21:10:32</t>
  </si>
  <si>
    <t>本人借款10000元，实际到账也是10000元，但合同金额被玖富万卡恶意改为13510元，我已归还了612*21=12852元，就算按照10000元全额计息合同利率约定也只需归还12300元，目前系统显示仍需再还3期，要求立即销账！否则报警！。</t>
  </si>
  <si>
    <t>2019/10/08 21:10:31</t>
  </si>
  <si>
    <t>投诉人 胡先生        投诉对象  滴滴出行        涉诉金额  200 元    问题类型    诉求类型投诉详情  滴滴审核不力 任何人都可以冒用别人身份信息注册滴滴司机 跟滴滴客服说过无数次了一直不作为 态度恶劣 作为国内最大的网约车平台不应该是法外之地 之前的教训是不是都忘了，只有投诉解决问题</t>
  </si>
  <si>
    <t>2019/10/08 21:09:19</t>
  </si>
  <si>
    <t>本人因在建设银行有一笔贷款逾期了，导致在建设银行的信用卡被冻结停止使用，曾打电话给客服人员，咨询相关问题，客服的回应是你贷款逾期了，要想解决这个问题，你得先把贷款还清了……然后就没然后了，在这其中信用卡一直保持按时还款，直到我把个人贷款还清了，想申请信用卡重新使用时，却被告知我触犯了风险，一码归一码，贷款结清了，信用卡一直按时还款，却还成了风险目标，在这里需要说明一下贷款并非恶意拖欠不还的，然鹅还是成了风险人物，在这逾期间也有一直还啊，虽然到今年的8月份才还清，但也表明了还款的意愿不是?，要求给予具体说法并</t>
  </si>
  <si>
    <t>2019/10/08 21:06:15</t>
  </si>
  <si>
    <t>尊敬的聚投诉，我的微信被腾讯无缘无故冻结两年多了，期间我多次找腾讯客服实名认证多次，却总是回复暂时不支持解冻，我也没有任何违规行为，希望帮帮我，谢谢！。</t>
  </si>
  <si>
    <t>2019/10/08 21:04:02</t>
  </si>
  <si>
    <t>电话协商无果,晚上拨打联系人电话,骚扰本人和家人正常生活。</t>
  </si>
  <si>
    <t>2019/10/08 21:03:44</t>
  </si>
  <si>
    <t>尊敬的浦发银行，我确实是欠你们的钱，是我的不对，我联系不到之前的工号140071的张经理，所以只能用这种办法信用卡额度20万，万用金剩余本金15万多，用你们行的信用卡和万用金多年，从未有一次逾期，这次是第一次，因为家里有病人在重症监护室，老婆也出事，有一部分钱拿来治病，有一部分钱投资失败了，万用金一个月要还2万左右，我5月份把仅有的22000元全还给浦发卡里了，我知道没还够，但是这已经足够代表我的还款诚意了吧，因为家里拆迁评估刚下来，还没签字，补偿款还没到位，万用金我每个月还将近2万，刚开始还剩19万，还了</t>
  </si>
  <si>
    <t>2019/10/08 21:03:34</t>
  </si>
  <si>
    <t>由于经济原因，本期中腾信账单逾期了，本来要换2827，但是现在中腾信的逾期账单已经高达5830.67元，而且中腾信催收恶意爆通讯录，发短信带淡化骚扰我的亲朋好友，我的总额度是7.5万元，一共36期，年利率高达21%，但是借款上面写的月利率0.99%，那么年利率应该是11.88%，完全不对照，而且恶意罚息。</t>
  </si>
  <si>
    <t>2019/10/08 21:03:33</t>
  </si>
  <si>
    <t>投诉人 马文君        投诉对象  造艺科技        涉诉金额  50 元    问题类型    诉求类型投诉详情  未经允许被恶意扣除银行卡余额 行为很恶劣</t>
  </si>
  <si>
    <t>2019/10/08 21:03:31</t>
  </si>
  <si>
    <t>我于2019年10月1日暴雪服务电子平台购买了其旗下《魔兽世界》网络游戏90天的季卡共计人民币183元，但是由于游戏服务器问题，我至今，而且客服明确说公司没有关于赔偿的规定，拒不赔偿，无法正常登陆游戏，给客服打电话，也没有得到解决，而且客服明确说，公司没有关于赔偿的规定，拒不赔偿！作为一名消费者，我花钱购买游戏时间，却不是因为我自己的原因不玩游戏，而是因为游戏公司内部问题导致我不能玩游戏，希望我的问题能够及时处理并得到解决，同时我要求不能进入游戏的这段时间暴雪公司给我做出相应赔偿！。</t>
  </si>
  <si>
    <t>本人于十月六号12：48时于广东省广州市增城区新塘蕾拉网咖通过支付宝小程序扫码借用怪兽充电宝，下午4时插入归还并离开，九号收到信息说还未归还。</t>
  </si>
  <si>
    <t>2019/10/08 21:03:19</t>
  </si>
  <si>
    <t>我本人在2018年6月28号在即有分期做了分期贷款是25000元、每期还1663、以还14期、这个月十月六号、由于手机问题、没有及时还款、到今天早晨才开机、到下午就收到家里亲戚朋友的电话说有催款人打他们好多电话、我想说的是我不是不还、你们为什么要爆我的通讯录、现在对我的心里造成很大伤害、我希望你们即有分期给我一个说法。</t>
  </si>
  <si>
    <t>2019/10/08 21:02:49</t>
  </si>
  <si>
    <t>九月初在零零发钱包借款，遭遇砍头息，套路贷，借款3000.还款5000.还款当天平台还款就一直失败后打电话联系客服，线下处理了，现在已经快一个月了，突然接到很多短信息，而且都是网络虚拟号码，根本打不通，说我欠钱不还，并且他们的电话都打不通，客服联系不到，APP打不开，现在已经报警处理，并且找好律师，希望平台监管找到这个黑色平台。</t>
  </si>
  <si>
    <t>2019/10/08 21:01:50</t>
  </si>
  <si>
    <t>投诉人李先生投诉对象京东金融涉诉金额2400元问题类型诉求类型投诉详情某些原因无法正常还款京东就一而再再而三骚扰朋友家人及单位和村上，上次刚工作被骚扰者联系单位害我失业，好不容易换了份工作，要夜班白天不接电话，信息说了有钱会补上，还是要爆我电话，还发通告函给单位及联系村里干部，害我失业，名誉扫地，没工作你告诉我怎么补上。</t>
  </si>
  <si>
    <t>2019/10/08 21:01:12</t>
  </si>
  <si>
    <t>因本人在工地工作工资未按时发，导致未还款，会尽快处理，需要宽限几天，就天天打电话骚扰，必须当天处理，还爆通讯录，发短信给家人朋友，欠债还钱，天经地义，但至少方式不对，严重影响生活。</t>
  </si>
  <si>
    <t>2019/10/08 21:00:57</t>
  </si>
  <si>
    <t>靠系统监测就说明车费有问题就判责，请拿出那里有问题的依据，车辆出现故障叫乘客取消订单就判我有责，感觉滴滴的系统比法律还要厉害，根本拿不出有问题的依据，胡乱扣分，不平等待遇。</t>
  </si>
  <si>
    <t>拍拍贷骚扰通讯录，我也不多说什么，已经晚上去警察局报案及备案，警察看了app表示不用还，如果还有对通讯录的骚扰，留下证据和录音作为作证，以便后续给警察资料调查上海拍拍贷有限公司，并且警察说了暴力催收就是你们公司的事情，不要牵扯什么出借人，这种骗别人还行，骗不了警察和法律，如果拍拍贷后续有继续骚扰，我处街道民警电话也已经留下，等你们拍拍贷再联系我时，我可以给你们提供电话，你们可以找警察，到我们警察局去收钱。</t>
  </si>
  <si>
    <t>2019/10/08 21:00:53</t>
  </si>
  <si>
    <t>经过毒APP鉴定，两双鞋均为假货，但是商家不承认是假货，鉴定费用花了107，快递费23元。</t>
  </si>
  <si>
    <t>2019/10/08 21:00:29</t>
  </si>
  <si>
    <t>通过造艺科技平台通道还19000了，半个月过去了还显示逾期，请给个合理的解释并给出结清证明。</t>
  </si>
  <si>
    <t>2019/10/08 21:00:10</t>
  </si>
  <si>
    <t>本人于2019年9月12日中午11点57分左右，在清远市城北客运站使用云充吧充电宝充电，于2019年9月12日12点57分之前归还充电宝，我肯定及确定已成功归还，归还后手机上订单还在进行中，然后我返转到车站再次确定是否没有归还，再次回到车站确定是归还了，然后在我确定归还后的情况拨打了客服电话，跟客服说明了整个过程的经过，说会帮我处理让我耐心等待到时会跟我联系，然而到了9月的15号微信上显示需扣费充电宝74元，我再次拨打了客服电话，客服还是推迟说在处理让我等2-3个工作日，然而到了今天一直没等到任何回复，本人</t>
  </si>
  <si>
    <t>2019/10/08 20:58:26</t>
  </si>
  <si>
    <t>未经允许泄漏我的个人信息，暴力催收，催收人员态度十分恶劣。</t>
  </si>
  <si>
    <t>2019/10/08 20:57:57</t>
  </si>
  <si>
    <t>7月7号中午11点左右租车，7月8号晚上11点左右还车成功，第二天打电话要求退还押金，客服说7到20天自动退还，7月27号未退还押金，客服说核实上报，直到10月8号仍未退回押金，在这期间一直在打电话，仍未得到肯定回答以及退还押金，整整90天。</t>
  </si>
  <si>
    <t>2019/10/08 20:57:39</t>
  </si>
  <si>
    <t>前两天下载了小浦优客的app想要贷款，结果没有出额度，我就退出登录，卸载了，今天短信通知我说报告已生成，扣我298，可我在登陆app时候他没有提示我说要扣钱啊。</t>
  </si>
  <si>
    <t>2019/10/08 20:57:10</t>
  </si>
  <si>
    <t>国美易卡放款成功，半小时后从我的卡里扣走了631.8元的特约消费，希望能够给我追回！。</t>
  </si>
  <si>
    <t>2019/10/08 20:56:50</t>
  </si>
  <si>
    <t>投诉人何先生投诉对象网易游戏涉诉金额183元问题类型诉求类型投诉详情2019.8.31号我在网易旗下《魔兽世界》购买了季卡服务，在魔兽世界怀旧服里建号，10.4网易推出转服服务，说在服务器满的时候会关闭转服渠道，可是服务器人越来越多，导致排队一万五千多，需要10个小时左右，网易才在8号早上关闭转服，由于排队，我无法登入游戏，影响我得游戏体验，希望网易能出台相关解决办法，还我们玩家一个良好的游戏环境。</t>
  </si>
  <si>
    <t>2019/10/08 20:56:25</t>
  </si>
  <si>
    <t>打快车来的是专车预估32实际47虽然就十几块钱，但是这样强制消费让人特别不爽这跟司机无关，属于平台问题。</t>
  </si>
  <si>
    <t>2019/10/08 20:56:22</t>
  </si>
  <si>
    <t>立借里面的钱置宝，高利贷，还款还不上，联系不上客服，造成了巨大的逾期费用，而且利息已经超出百分之国家规定的百分之36年华利率，希望有关部门严查。</t>
  </si>
  <si>
    <t>2019/10/08 20:56:20</t>
  </si>
  <si>
    <t>投诉人郑晓龙投诉对象蜂鸟众包涉诉金额0元问题类型诉求类型投诉详情蜂鸟众包客服对本人帐号进行拉黑，无法联系在线客服，电话客服，可以进行接单！原因是我多次在线给客服发问，但客服没解决，一怒之下便爆了粗口，而且蜂鸟众包罚单不合理，无法查询到哪张订单导致的，申诉过程无从解释，理由保护隐私，可以导致客户随意投诉，但订单过了30分钟，就联系不上客户，已经保护了客户的隐私，既然客户对订单有投诉，或疑问，能否三方一起公平公开进行对质，而不是偷偷摸摸，客户需要权益，骑手也需要维护自身权益！谢谢。</t>
  </si>
  <si>
    <t>2019/10/08 20:55:47</t>
  </si>
  <si>
    <t>9.27百事普惠借款平台申请时，绑定银行卡支付通道，未经当事人同意，未签订任何协议，输入支付密码的情况下扣款299，现要求退还原账户，并注销个人平台资料。</t>
  </si>
  <si>
    <t>2019/10/08 20:54:58</t>
  </si>
  <si>
    <t>造艺科技非法向在校大学生放高额利息贷款，坑害学生，行为恶劣，希望投诉解决这个非法校园贷。</t>
  </si>
  <si>
    <t>2019/10/08 20:54:51</t>
  </si>
  <si>
    <t>本人欠招联好期待逾期，从来没有说不还，他们不正规催收之前多次发短信发邮件侮辱恐吓，我他们能联系上我，因我告诉他们一直没有线，请求还本金分期还还，他们各种不同意，言语恶毒，我说协商不成咱们就走法律途径，然后丧心病狂的他们先后给我们公司的四个前台客服打电话，大张旗鼓告诉公司同事我欠钱不还，这是在我还了部分钱，接了他们电话的情况还这么做，我不知道哪条法律允许他们恶意骚扰公民正常生活工作，他们完全不顾国家法律，顶风而上，顶风作案，我的诉求是招联好期贷官方回电协商还款，如可接受会按期分期还款，否则各走各的走法律途径，</t>
  </si>
  <si>
    <t>2019/10/08 20:54:23</t>
  </si>
  <si>
    <t>第一，停止让外包公司继续催收，第二，必须停止催债公司对我的亲朋好友的催收，第三，我需要解释我为什么没有还款，本来是在9月中旬到9月底的时候本来要还的，因为你们请的催债公司对我的恶意催收，恶意要挟，说什么两点之前不还的，要来找我，让我躲着，最后别出门儿，所以我才没有还那第一期，现在又对我的通讯录发信息，这样恶意损坏我的形象，我需要美团向我道歉，并且停止发信息打电话，我会对我的欠款，我会慢慢还上。</t>
  </si>
  <si>
    <t>2019/10/08 20:54:11</t>
  </si>
  <si>
    <t>爆通讯录还上门威胁骚扰家人对日常生活构成严重干扰。</t>
  </si>
  <si>
    <t>2019/10/08 20:54:10</t>
  </si>
  <si>
    <t>移动商通业务员说可以免费给我提供一个不收取任何费用的刷卡机，但是在我刷了第一笔钱之后，我刷出来的钱不是即时到账，接下来的几天也没有到帐，我就问了业务员说这笔钱是用来激活移动商通的刷卡机的，这笔钱是不会退的，只会以刷每一笔钱抵扣3块钱的手续费来退给我，我立刻否定拒绝了他们的机子，让他们把这笔钱退还给我。</t>
  </si>
  <si>
    <t>2019/10/08 20:53:37</t>
  </si>
  <si>
    <t>因为之前生意投资失败，导致血本无归跟他们说明情况，所以我知道欠债还钱，天经地义，是我不对确实还款压力过大，导致逾期情况，催收方十分生硬，如果不及时处理还款，将上报征信，还有联系当事人所在地村委会等相关部门。</t>
  </si>
  <si>
    <t>2019/10/08 20:53:34</t>
  </si>
  <si>
    <t>2019年10月8日18：39我手机收到快捷支付短信：扣款299元，用银行APP查询到携趣信息科技，公司扣款，我打客服电话4008888085咨询，得到的回复，，我承认是有注册这个APP，但是299元的什么评估费是被误导的，不知情的，我要求客服退回扣款费用，，客服回复需邮寄本人身份证和手持身份证照片到他们公司，，我觉得这是不仅是乱扣费，还是侮辱人的要求，请求平台处理，扣款的怎么扣的就原路退回，谢谢@！！@@。</t>
  </si>
  <si>
    <t>2019/10/08 20:52:44</t>
  </si>
  <si>
    <t>本人于5月份，报名南昌玲丽彩妆培训学校学习化妆，收取培训费1580，10月1日找到南昌玲丽彩妆培训学校校长钱伟丽表示不能退全款，而且需要一级级上报，各种推脱，5月份通知我去培训，由于工作原因未参加培训，后来再也没有联系我了，现在不想学了，10月1日找到南昌玲丽彩妆培训学校校长钱伟丽表示：不能退全款，而且需要一级级上报，各种推脱，我对该结果不满意，交钱了没有参与任何培训，理应全额退款。</t>
  </si>
  <si>
    <t>2019/10/08 20:51:35</t>
  </si>
  <si>
    <t>每次反映完之后说是会帮忙改，但是到最后还是没人管，没人处理问题就只有投诉了。</t>
  </si>
  <si>
    <t>2019/10/08 20:51:28</t>
  </si>
  <si>
    <t>莫名其妙扣了我803.12元，期间没收到任何电话短信通知。</t>
  </si>
  <si>
    <t>2019/10/08 20:51:05</t>
  </si>
  <si>
    <t>有机器人打电话说还款后额度可以继续用了！希望尽快处理。</t>
  </si>
  <si>
    <t>2019/10/08 20:49:43</t>
  </si>
  <si>
    <t>本人于2017-12-22日在玖富叮当微信公众号申请借款、当时通过小贷公司申请！本来没想到能下款这么多，但是下款45000就必须全部提出来！因为小贷公司要收手续费，贷款本金45000、当时提示需还七万多，但是现在每期都要还2397.78元，一共36期，总还款金额为86292元！等额本息利率为48.65％！想申请提前还款还不让！希望这个平台能解决我的问题！。</t>
  </si>
  <si>
    <t>2019/10/08 20:49:19</t>
  </si>
  <si>
    <t>由于经济原因，无法完全偿还账单，但是陆陆续续在还，有一百还100，有200还200，但是百度钱包催收恶意恐吓威胁。</t>
  </si>
  <si>
    <t>2019/10/08 20:48:18</t>
  </si>
  <si>
    <t>无意中被人带去玩彩票，中国移动给博彩平台提供支付通道，损失150元。</t>
  </si>
  <si>
    <t>2019/10/08 20:47:39</t>
  </si>
  <si>
    <t>本人在建设银行有一笔短期快e贷，借款期限为12期，由于与别人合伙做生意项目失败，资金损失导致贷款逾期，在这段时间时间内也有断断续续地还款，一直到今年的8.28号才把贷款给还清，本来以为还清了就没事了虽然有罚息违约金，但我也认了，谁叫你逾期呢，但在今年9月的19号本人查询个人征信时却显示呆账没结清，这个操作是怎么回事，逾期个两三天就更新征信记录，但还款还清了大半个月征信记录却无任何的修改，身为国有银行，这操作这不妥吧。</t>
  </si>
  <si>
    <t>2019/10/08 20:47:04</t>
  </si>
  <si>
    <t>我在优信购买了一台2019年1月的上汽大众途岳，买车时优信说经过315项检测没有发现车辆有任何划痕及损伤，但是车到以后我自费找的第三方58车检做验车发现车辆有多处划痕，前挡风玻璃也有石头打烂的痕迹，在这之前优信二手车没有任何人告诉我车辆有这类问题，平台上看车时也没有指明有划痕和玻璃破损等问题。</t>
  </si>
  <si>
    <t>2019/10/08 20:47:00</t>
  </si>
  <si>
    <t>我借款6500三个月要还7083，而且我提现只有6300要我还7083这利息我能接受吗，资金周转不开后面逾期了，天天打电话威胁，天天给我亲戚朋友打电话，一天打七八个电话，天天骚扰。</t>
  </si>
  <si>
    <t>2019/10/08 20:46:03</t>
  </si>
  <si>
    <t>投诉人张先生投诉对象有盈好贷涉诉金额0元问题类型诉求类型投诉详情因之前无意删除app，现如今还款日到了但是没有app，麻烦发一个下载地址。</t>
  </si>
  <si>
    <t>2019/10/08 20:45:57</t>
  </si>
  <si>
    <t>招商银行委托的第三方催收，我都已经给他们说了，当面谈我去找他们，或者他们来工地找我都行，但是他们还是不停打电话，还给我家人打，打到我们老家弄的人尽皆知，没法安心工作挣钱还债，一开始我就给他们说能不能让我本金分多少期还清。</t>
  </si>
  <si>
    <t>2019/10/08 20:44:44</t>
  </si>
  <si>
    <t>捷信金融态度恶劣，冒充公安机关法院人员，拒绝接受调解。</t>
  </si>
  <si>
    <t>2019/10/08 20:44:42</t>
  </si>
  <si>
    <t>白领金库逾期一天暴力催收，要求必须还款不然打爆通讯录，请立即停止并且协商还款。</t>
  </si>
  <si>
    <t>2019/10/08 20:44:36</t>
  </si>
  <si>
    <t>凌晨做到早上，8个小时做了100多块钱，没司机的时候给我派单，司机多了不给我派单，两个小时不给派单实在看不下去了，如果继续这样下去谁还搞。</t>
  </si>
  <si>
    <t>2019/10/08 20:43:24</t>
  </si>
  <si>
    <t>投诉人 吴女士        投诉对象  建设银行,中金支付,华夏基金        涉诉金额  168 元    问题类型    诉求类型投诉详情  未经同意扣费。。。。。。。。。。。。。。</t>
  </si>
  <si>
    <t>2019/10/08 20:42:56</t>
  </si>
  <si>
    <t>砍头息，到账金额和合同金额相差12400多，投诉多次没有回复，这12400多写的是服务费，请问这是什么服务费，合法合规吗，你们收到费用符合那条法规。</t>
  </si>
  <si>
    <t>2019/10/08 20:42:47</t>
  </si>
  <si>
    <t>造艺科技在明知大学生无还款能力的情况下还放款给我妹妹。</t>
  </si>
  <si>
    <t>2019/10/08 20:42:28</t>
  </si>
  <si>
    <t>投诉人 洪先生        投诉对象  金龙钱包        涉诉金额  0 元    问题类型    诉求类型投诉详情  诱导宣传贷款 烦不胜烦 麻烦平台把这些诱导宣传贷款的网站打掉 谢谢 网址在下面</t>
  </si>
  <si>
    <t>2019/10/08 20:42:06</t>
  </si>
  <si>
    <t>不要在去我家骚扰老人，我们没有关系联系不到。</t>
  </si>
  <si>
    <t>2019/10/08 20:41:29</t>
  </si>
  <si>
    <t>一直没有客服电话联系，只有再有催债人员的电话，还有一直骚扰家里人，目无王法，也没有说要什么协商，就是一直在强硬，说什么系统会一直外呼打电话给紧张联系人，打5.6个电话，还一直在打，借款合同全部有备注说明，知法犯法，高利贷还恐吓。</t>
  </si>
  <si>
    <t>2019/10/08 20:40:25</t>
  </si>
  <si>
    <t>5月17日借款187000元，实际到款17000元分6期，每期3451.97元，并有服务包3214元，首期服务包748+411元，之前每期都还第四期9月17日还款日申请延期下月一起还，客户经理让我先还服务包我还了，后来催收电话不断发信息给我朋友威胁通知我还款不然后果自负，后来接到达飞云贷催收电话我把情况讲明，电话让我还款先还款一部分我还了一部分，然后今天告诉我因为我没有还款达飞云贷现在已经列为征信黑户，我不知道怎么办了，所以咨询聚投诉，我手机截屏的借款图片上传显示图片错误，没能上传图片。</t>
  </si>
  <si>
    <t>2019/10/08 20:40:08</t>
  </si>
  <si>
    <t>本人于2019年9月11日在钱站app借款，合同上写明2500元整，实际到账为2000元整，现在的诉求是归还实际到账金额，按照24％年利率计算利息！钱站平台请明星代言以为是正规贷款平台，实际是披着合法外衣的超利贷平台，害人不浅。</t>
  </si>
  <si>
    <t>2019/10/08 20:39:52</t>
  </si>
  <si>
    <t>因国庆期间未能及时还款，捷信催收电话一天几十个，从早上7点多就开始打电话晚上十点多还接着打电话骚扰，更有甚者盗取我的个人信息给我家人朋友打电话，都说明情况了，还是不停骚扰我的朋友家人，给他们生活造成了非常严重的影响，一天最少30多个电话违法暴力催收，已经涉及到律法层面，对于违法催收我有权维护利益，如果继续暴力违法催收我将直接联名投诉举报，对于该平台违法暴力催收骚扰和盗取客户个人信息的违法行为由律师出面处理，就几千块钱有必要这样吗，丧失人性。</t>
  </si>
  <si>
    <t>2019/10/08 20:39:33</t>
  </si>
  <si>
    <t>打快车来的是专车预估32实际47虽然就十几块钱，但是这样强制消费让人特别不爽这跟司机无关属于平台问题。</t>
  </si>
  <si>
    <t>2019/10/08 20:39:24</t>
  </si>
  <si>
    <t>在能联系到我的情况下，不给我本人打电话，联系我的通讯录。</t>
  </si>
  <si>
    <t>2019/10/08 20:38:27</t>
  </si>
  <si>
    <t>赶紧解决让我尽快还款并且逾期后果你们自己承担。</t>
  </si>
  <si>
    <t>2019/10/08 20:38:21</t>
  </si>
  <si>
    <t>投诉人杨先生投诉对象艺龙涉诉金额152元问题类型诉求类型投诉详情艺龙没有任何形式通知有返现，超出30天视为自动放弃，严重侵害客户的合法权益。</t>
  </si>
  <si>
    <t>2019/10/08 20:37:40</t>
  </si>
  <si>
    <t>信息还有银行卡绑定我是填了，但这是作为贷款前必填的信息吧，我填这些是为了贷款，，我们消费者都是冲着贷款去填的这些信息，结果你弄了个扣费协议在里面，这不是偷换概念，就像我去医院看胃病，结果医生把我拉到外科观察来观察去，你们就是利用我们消费者不会百分百认真看协议去钻这个空子，有本事你去统计一下你们有多少客户被扣了这个钱之后去找你们讨回的，有多少被扣了钱之后当什么都没发生继续贷款的。</t>
  </si>
  <si>
    <t>2019/10/08 20:37:33</t>
  </si>
  <si>
    <t>本人因国庆假期，资金紧张，逾期了，我也知道逾期是我的问题，与催收协商晚几天还，结果不同意，直接爆通讯录，是谁给你们录我的通讯录的。</t>
  </si>
  <si>
    <t>2019/10/08 20:37:13</t>
  </si>
  <si>
    <t>钱站高额的服务费就是高利贷，钱3000，提前还款还收2000的所谓的服务费！借5000，6期4600的服务费。</t>
  </si>
  <si>
    <t>2019/10/08 20:35:59</t>
  </si>
  <si>
    <t>手机借钱软件中的多宝分期2019年8月13日借款6000元分四期，马上就到第四期还款日，面对高额的账单，已经难以承担了，现在要求客服第四期销账，谢谢！。</t>
  </si>
  <si>
    <t>2019/10/08 20:35:57</t>
  </si>
  <si>
    <t>因为在途虎养车APP购买韩泰轮胎四条，后来因为卖方不发需要退款，货不发也不联系一下，可是退款迟迟不到账,打电话给客服，客服也一直说在处理中，希望能得到一个好的答复。</t>
  </si>
  <si>
    <t>2019/10/08 20:35:55</t>
  </si>
  <si>
    <t>拼多多商家恶意让客户下单付款却不能发货，联系平台客服告诉本人商家的发货时间是正常的。</t>
  </si>
  <si>
    <t>2019/10/08 20:35:10</t>
  </si>
  <si>
    <t>根本就不知道利息是多少想协商看看我还有多少本金没还，一次还完好销账。</t>
  </si>
  <si>
    <t>2019/10/08 20:34:53</t>
  </si>
  <si>
    <t>投诉人 冯女士        投诉对象  易宝支付        涉诉金额  198 元    问题类型    诉求类型      投诉详情  在本人不知道的情况扣款。开通无用的会员。要求退款</t>
  </si>
  <si>
    <t>2019/10/08 20:34:50</t>
  </si>
  <si>
    <t>刚到乘客的订单，已经在乘客的上车点，但人流比较大，马上就打电话跟乘客联系确认乘客的位置，要去接乘客，发现车子打不着火，又立马跟乘客联系说明原因及道歉，乘客也表示理解，然后把所有的问题都直接推卸给我们司机，一次申诉跟二次申诉，只直接告知申诉失败，你们都知道，扣一分对司机来说意味着什么，小心翼翼的把每位乘客送达，还要担心某位乘客的恶意投诉，还要担心平台的胡乱判责，毫无人性的处理方式！希望在这里能得到公平的解决。</t>
  </si>
  <si>
    <t>2019/10/08 20:34:28</t>
  </si>
  <si>
    <t>现金巴士通过好信加速器的增信方式非法收取暴利砍头息高达30％，请退回违法所收的砍头息。</t>
  </si>
  <si>
    <t>2019/10/08 20:33:38</t>
  </si>
  <si>
    <t>及贷逾期几天，在我电话畅通而且未经我允许的情况下，一直给我亲戚，朋友打电话骚扰，恐吓，威胁。</t>
  </si>
  <si>
    <t>2019/10/08 20:32:50</t>
  </si>
  <si>
    <t>本人于2018年4月在融360推荐的你我贷和瑞利随薪贷借款，你我贷借款3500元，分12期，到帐3500元，利息高达1256.52元，本人早已结清，但这些都是赤裸裸的高利贷，现本人要求把这些不合的利息退还给本人。</t>
  </si>
  <si>
    <t>2019/10/08 20:32:39</t>
  </si>
  <si>
    <t>投诉人 张先生        投诉对象  小象优品        涉诉金额  300 元    问题类型    诉求类型投诉详情  暴力脆收 骚扰通讯录 高利贷 砍头息</t>
  </si>
  <si>
    <t>2019/10/08 20:32:36</t>
  </si>
  <si>
    <t>投诉人李女士投诉对象我来数科,我来贷涉诉金额30000元问题类型诉求类型投诉详情在我来数科，借款最近资金有点问题晚还几天结果一天利息就几百！然后各种微信骚扰加了之后减免也不减免就规定必须还，还威胁我要告我！你们公司原本利率就高于国家规定24%然后我有说不还款吗！亲朋好友爆了个遍！我还没告你们侵犯我隐私权告你们诽谤呢！你减免利率！不向亲朋好友解释你们也别想让我对给你们一份利息！你威胁我！那你就威胁去吧！聚投诉扫黑办一并举报！你们放款，我还款，但是你们不是催收是威胁！是暴力骚扰侵犯我隐私权！你们客服加微信不是协</t>
  </si>
  <si>
    <t>2019/10/08 20:31:55</t>
  </si>
  <si>
    <t>在能联系到我本人的情况下给我的通讯录打电话，还说我没接电话，其实根本没给我打电话。</t>
  </si>
  <si>
    <t>2019/10/08 20:31:34</t>
  </si>
  <si>
    <t>造艺科技平台泄露个人隐私还威胁恐吓，目无王法。</t>
  </si>
  <si>
    <t>2019/10/08 20:31:09</t>
  </si>
  <si>
    <t>投诉人 蔡先生        投诉对象  钱站        涉诉金额  8 500 元    问题类型    诉求类型投诉详情  无线暴力催收，高额利息 贷8500要还1W多 无言以对</t>
  </si>
  <si>
    <t>2019/10/08 20:30:53</t>
  </si>
  <si>
    <t>10月3号购入苹果11手机一部，拆开包装就发现卡顿卡死部分按键失灵的情况！4号与京东售后沟通后返回京东检测，6号京东售后打电话说硬件没有问题，但确实存在上述问题！说软件问题不属于质量问题，可以问苹果官方！8号返回到我手中，咨询苹果官方给了很多方案还是未解决，但是说只要是影响顾客使用都可以换新机或退款的！京东商城售后存在欺诈消费者的行为！拖延时间，是不是过了七天就不用换新或退款了！然后让消费者花钱修。</t>
  </si>
  <si>
    <t>2019/10/08 20:30:26</t>
  </si>
  <si>
    <t>2019年6月1号晚上8点我在及贷上面借款9600元，分12期，结果到账只有8406.53，我打电话给对方客服，询问对方客服为什么到账与借款不同，对方回应我当时借款哪个保险内容，那个是要扣费用的，并且不购买那个服务是不太容易放款的，之后每期还款都是按本金9600算的，每期还款本金800+综合息费199.59，我觉得这中间1193.47就是个砍头息，我不仅没有拿到这1193.47，我还要要承担这1193.47的还款和利息，到现在10月8号，我已经还款4期了，我觉得及贷应该减去这1193.47的还款和利息。</t>
  </si>
  <si>
    <t>2019/10/08 20:29:57</t>
  </si>
  <si>
    <t>今天一早上就提示扣款失败明明农行卡上有钱的，中午主动还款一直显示扣款中，怕逾期所以又换上招商银行的还是一直重复扣款失败，扣款中，到了晚上六点后还是没还款成功，客服电话也打不通了，所有种种不是我的过错，如造成逾期后续责任本人一概不予理会，请新橙优品自己负责。</t>
  </si>
  <si>
    <t>2019/10/08 20:29:54</t>
  </si>
  <si>
    <t>投诉人 徐女士        投诉对象  Wecash闪银        涉诉金额  1 200 元    问题类型    诉求类型投诉详情  闪银至尊贷逾期 催收打电话来让我十二点半处理 我说处理不了 但是可以保证今天还掉 不接受协商 后来四点多还掉了一笔七百多的 剩下一个1200的 说要再过一会才够钱还进去 当时卡里只有700了 还差几百块钱 至尊也不接收部分还款 催收不予协商 就说我骗人 说我时间观念有问题 我是有诚意还款的 也还了一笔 另外一笔还差几百块钱而已</t>
  </si>
  <si>
    <t>2019/10/08 20:29:40</t>
  </si>
  <si>
    <t>7121客服接电称不知道改小区，态度恶劣，语气恶劣，至今没有解决我的问题，一直在说一些废话，难道无锡有线客服都是非专业。</t>
  </si>
  <si>
    <t>2019/10/08 20:29:30</t>
  </si>
  <si>
    <t>上海造艺，百事普惠，强制扣我299评估费用，客服人员说10月8日给我退款，现在还没退，看到好多人上当受骗，希望聚投诉可以处理这家公司，这种平台不需要存在。</t>
  </si>
  <si>
    <t>2019/10/08 20:29:25</t>
  </si>
  <si>
    <t>河南潢川农村商业银行股份有限公司内部工作人员盗用我的个人身份证复印件为他人担保贷款，贷款逾期导致我的个人征信被拉黑，现在事实清楚，证据确实充分，潢川农村商业银行还是不能及时消除个人征信。</t>
  </si>
  <si>
    <t>2019/10/08 20:29:01</t>
  </si>
  <si>
    <t>火星计划说只有几个名额，但是发现的每次的都有名额，而且名额都是无限的。</t>
  </si>
  <si>
    <t>2019/10/08 20:28:41</t>
  </si>
  <si>
    <t>交通银行信用卡中心暴力催收，恐吓家人，把电话打给我们村里有交通信用卡的人说我不还钱，一天给我打六个电话，害得我把工做丢了，让交通给我一个说法。</t>
  </si>
  <si>
    <t>2019/10/08 20:28:28</t>
  </si>
  <si>
    <t>接此单乃是实时订单，当晚接到订单后就马上跟乘客联系，确认上车点，接到乘客后，我严格按照平台给出的路线到达目的地，高速费为125元，是我不小心选择点在停车费项目里面去了，在乘客下车前，我是有提示乘客先把订单给结账，但是乘客说晚些再给我结账，我没权限制乘客的人身自由，因为这样是违法的，直到今天，平台所谓的72小时垫付，依然没有处理。</t>
  </si>
  <si>
    <t>2019/10/08 20:28:20</t>
  </si>
  <si>
    <t>年利息9.12%，到后面又变成36%，而且不接受提前还款。</t>
  </si>
  <si>
    <t>2019/10/08 20:27:24</t>
  </si>
  <si>
    <t>我只想还所借的1200和该有的利息，已查实那300收款方为闪银。</t>
  </si>
  <si>
    <t>2019/10/08 20:27:05</t>
  </si>
  <si>
    <t>偶然在享物说APP上看到办理移动大王卡赠送6个月的会员，当时心想这个活动不错于是就办理了，规则上说办理成功激活后不停机的状况下于次月底开始赠送到，享物说突然莫名其妙的关闭了会员系统无法享受任何会员服务，但这卡是属于北京移动的月销38元，12个月内无法销户，想着享物说怎么也是一个不小的平台，怎么会这样欺诈消费者呢。</t>
  </si>
  <si>
    <t>2019/10/08 20:26:56</t>
  </si>
  <si>
    <t>我于2019年10月1日在网之易旗下的《魔兽世界》网络游戏中购买了90天季卡，金额共计183元，购买后由于网易服务器问题，造成游戏无法正常登陆，但是季卡仍然在计费，联系其客服也无法解决，而且客服明确说网易公司没有关于赔偿的规定！。</t>
  </si>
  <si>
    <t>2019/10/08 20:26:49</t>
  </si>
  <si>
    <t>靠系统监测就说明车费有问题就判责，请拿出那里有问题的依据，车辆出现故障叫乘客取消订单就判我有责，感觉滴滴的系统比法律还要厉害，根本拿不出有问题的依据，胡乱扣分。</t>
  </si>
  <si>
    <t>2019/10/08 20:26:41</t>
  </si>
  <si>
    <t>捷信金融平台还没逾期就对借款人开始暴力，骚扰，催收，行为恶劣，完全是违背原则问题，必须投诉。</t>
  </si>
  <si>
    <t>2019/10/08 20:26:40</t>
  </si>
  <si>
    <t>要求停止第三方深巨元公司号码为020-32038470的恶意催收，停止对第三方的骚扰。</t>
  </si>
  <si>
    <t>2019/10/08 20:26:33</t>
  </si>
  <si>
    <t>因本人在小花钱包平台借款，资金周转困难，没来及还款，平台客服就暴力催收，盗取个人信息，搜索抖音号在抖音上谩骂侮辱个人，还短信群发骚扰家人，希望得到国家严惩。</t>
  </si>
  <si>
    <t>2019/10/08 20:26:11</t>
  </si>
  <si>
    <t>网易开放魔兽世界转服后，我选择转向席瓦莱恩服务器，网易的转服公告中说会视情况关闭转服，但是网易并未控制转入人数，导致了大部分玩家一直排队无法玩游戏，我们既然花钱购买了游戏月卡，就有权享受游戏，现本人诉求为：1.网易必须做出道歉2.给出相应的解决方案，包括解决方式和解决时间，别拿那些官话来搪塞玩家，玩家要的是解决方案和解决的具体时间。</t>
  </si>
  <si>
    <t>2019/10/08 20:25:33</t>
  </si>
  <si>
    <t>无端被宝付平台扣款599.78元，咨询客服说是第三方支付平台！而我被扣款的账号未曾绑定任何支付条约和网贷平台扣款信息。</t>
  </si>
  <si>
    <t>2019/10/08 20:25:20</t>
  </si>
  <si>
    <t>买家不回复，不理人，订单不让取消希望买家能退款，能取消订单。</t>
  </si>
  <si>
    <t>2019/10/08 20:24:48</t>
  </si>
  <si>
    <t>本人在恒易贷借的款，每个月8号还款，他们平台从10月3号就开始每天几个电话的打，来自不同地区的打，前天10月6号我打他们客服电话反应了这个问题他们还是在打，就在刚刚10月8号晚上8点过给我朋友打电话叫我还款，接着又给我打让我还款，我的交易记录是今天10月8号18点扣款的，现在我朋友知道我欠款并且对我生活造成了骚扰！！！每天不停地打，我从来没有逾期过，这种骚扰没有办法让人正常生活，我希望贵平台可以严肃处理这个问题谢谢！！！。</t>
  </si>
  <si>
    <t>2019/10/08 20:24:27</t>
  </si>
  <si>
    <t>拍拍贷催收态度恶劣，后不停骚扰联系人，现有意协商减免结清，客服一直说等待回复，然后一直没信，要求加微信说加不了，只能电话，跟客服说好等了一天也没电话，然后每天继续涨利息，我又不能随时接电话，现要求只还本金，晚上微信或者短信电话都可以，并提供结清证明。</t>
  </si>
  <si>
    <t>2019/10/08 20:24:20</t>
  </si>
  <si>
    <t>借款前捷信人员没说过这事，借款后才知道，这样变相收费不合国家规定的。</t>
  </si>
  <si>
    <t>2019/10/08 20:23:16</t>
  </si>
  <si>
    <t>投诉人 张先生        投诉对象  美团外卖        涉诉金额  5 000 元    问题类型    诉求类型投诉详情  恶意骚扰 暴力催收 非法骚扰联系人用户 恶意非法套取用户及联系人信息 极其严重 骚扰性质 如下图！</t>
  </si>
  <si>
    <t>2019/10/08 20:22:40</t>
  </si>
  <si>
    <t>国金宝投入了4000元定期存款，到期后，无法将钱款提现至银行卡。</t>
  </si>
  <si>
    <t>2019/10/08 20:21:52</t>
  </si>
  <si>
    <t>滴滴出行在无告知情况下扣掉我跑滴滴血汗钱330元，及另一笔70元，，必须要处理，希望在这里能得到公正。</t>
  </si>
  <si>
    <t>2019/10/08 20:21:47</t>
  </si>
  <si>
    <t>造艺科技平台上的豹子货网货不经借款人同意就私自扣费。</t>
  </si>
  <si>
    <t>2019/10/08 20:19:55</t>
  </si>
  <si>
    <t>你我贷泄露我个人资料给黑恶势力财务公司，使其对我及其我家人朋友进行骚扰侮辱，对我爱人进行造谣诋毁，构成恶影响，你我贷在自称正规公司的同时，做着黑暗无齿的勾当，现本人要求你我贷停止对本人及亲朋好友的骚扰，停止对本人爱人及其亲友的造谣，侮辱，诋毁，现本人及亲友正收及证据，准备去打黑办报案！！！。</t>
  </si>
  <si>
    <t>2019/10/08 20:19:41</t>
  </si>
  <si>
    <t>提前结清利息36%，而且不接受协商，催收态度恶劣。</t>
  </si>
  <si>
    <t>2019/10/08 20:19:24</t>
  </si>
  <si>
    <t>在17年借了拍拍贷三笔，总共5000左右，可实际到手才四千多，而且我也一直还款了几期，之后由于生意失败，导致后续的还款还不上，而逾期，现在联系客服，客服态度恶劣，直接说不减免，爱还不还！可以看看我正常还款，一期才300多，现在一期就要还1300多，这不是高利贷是什么，谁都不想欠钱，之前也实在没有办法才逾期的，而且之前拍拍贷也一直骚扰我的家人，这几天也一直在工作还钱，可现在能还了却遇上这样的情况。</t>
  </si>
  <si>
    <t>2019/10/08 20:18:48</t>
  </si>
  <si>
    <t>贷款22000元，实际到账19250元，分12期，每期还款2123元，手续费加利息需要多还9000元，这是高利贷啊，近一毛的利息，为什么没人管呢。</t>
  </si>
  <si>
    <t>2019/10/08 20:18:47</t>
  </si>
  <si>
    <t>投诉人曹先生投诉对象智行涉诉金额32元问题类型诉求类型投诉详情火车站售票厅改签付的全款，之前在智行火车票买的票并未退款。</t>
  </si>
  <si>
    <t>2019/10/08 20:17:53</t>
  </si>
  <si>
    <t>投诉人胡女士投诉对象淘宝网,淘宝商家合理包装店铺涉诉金额338元问题类型诉求类型投诉详情淘宝商家发错货，本人买了400个纸箱，大概50公斤，商家需要把商品寄回，才给退款，50公斤的箱子运费要50元-100左右，由于是卖家责任，本人不愿意垫付运费，需卖家付运费。</t>
  </si>
  <si>
    <t>2019/10/08 20:17:33</t>
  </si>
  <si>
    <t>2月15日在新浪有借借款7600元，分期12期每期还款667.61元该款项为玖富万卡放款，剩余5期，随后经本人计算，年利率接近高达百分之61，属于高利贷，并平台故意造成无法查看借款详情，协议，无法联系到客服，现本人要求平台减免利息，我一次性结清并归还本人前期高利贷利息，并本人发现放款合同显示借款金额为8011.32元并以服务费为名砍头息2204.76元。</t>
  </si>
  <si>
    <t>2019/10/08 20:16:31</t>
  </si>
  <si>
    <t>爆通讯录，短信威胁，恐吓，天天骚扰我，对我亲戚朋友也造成很严重的骚扰，短信都发到亲戚朋友那去了。</t>
  </si>
  <si>
    <t>2019/10/08 20:16:25</t>
  </si>
  <si>
    <t>投诉人 黄磊        投诉对象  立借,叮当想花        涉诉金额  4 000 元    问题类型    诉求类型投诉详情  立借高利贷平台 叮当想花 借款4000 到手2600 7天还款4000元</t>
  </si>
  <si>
    <t>2019/10/08 20:16:22</t>
  </si>
  <si>
    <t>你我贷平台客服人员骚扰亲朋好友，对我造成生活上的困扰。</t>
  </si>
  <si>
    <t>2019/10/08 20:16:14</t>
  </si>
  <si>
    <t>我想协商，说不可以要爆通讯录，借1000砍头340，请平台帮助解决，不知道这算不算暴力催收，有截图，每次展期记录也有。</t>
  </si>
  <si>
    <t>2019/10/08 20:15:55</t>
  </si>
  <si>
    <t>淘集集恶意扣押货款，不按照签约的合同按时回款货款，联系官方今天这样说明天那样说，总之就是压着我们的货款不给我们回款，已经严重违法了合同签约条款，现在货款总共积压了将近40万元人民币，联系官方也不给处理，希望黑猫能协助处理下，他们这样明显的是故意拖延不给处理问题，一次又一次的被忽悠，请淘集集不要再忽悠人了，联系官方不予处理，多次找不同的理由恶意延迟打款，7月11是最早一笔提现的货款，至今没有收到回款，我们是在2019年7月开始从个人店铺升级的企业店铺，升级了企业店铺后，要求换对公的银行卡，在8月初银行卡更换成</t>
  </si>
  <si>
    <t>2019/10/08 20:15:54</t>
  </si>
  <si>
    <t>借款人在借款时并未告知有保险费及服务费，只告知利息多少每月还款金额，等结清后才发现每月还款除去利息外还有高额服务费及保险费，联系客服要求退款高额费用客服告知每月还款金额都白纸黑字签字，但其实并未告知还款金额中包括服务费及保险费，联系平安财产险报了被保人姓名并未查到保险信息，本金八万，实际到账77600元整29期总计还款高达127790.46万元。</t>
  </si>
  <si>
    <t>2019/10/08 20:14:57</t>
  </si>
  <si>
    <t>今年7.16报名，当时学费要13760，一下子没那么多钱，报名老师要求分期付款，然后付了首款1376，后续三个月每个月1032，到目前为止缴纳学费4472，10.3号提出退学，十月七号对方同意退学，但是要扣掉六千多，从报名开始到现在退学没怎么学习，就报名注册了相关的费用，然后要扣掉我六千多，现在本人还要倒贴一千多，扣掉最多百分之二十五，要扣掉我那么多，以前缴纳出去的钱可以不要，但是退学还要交一千多这肯定行不通。</t>
  </si>
  <si>
    <t>2019/10/08 20:13:17</t>
  </si>
  <si>
    <t>小浦优客在我不知情的情况下私自扣除了银行卡里296元，因为我不知道点进了什么网站，竟然在我没有同意的情况下就扣了我的钱，我要投诉小浦优客，客服电话打不通，一直正在通话中！投诉小浦优客。</t>
  </si>
  <si>
    <t>2019/10/08 20:12:42</t>
  </si>
  <si>
    <t>投诉人王先生投诉对象钱站,北京会牛科技有限公司涉诉金额3000元问题类型诉求类型投诉详情本人于2019年9月4日通过钱站APP，该借款行为纯粹因为个人资金周转，无恶意骗贷行为，当时显示该笔借款本金3000元，利息国家规定合法内，当日借款3000元即通过钱站APP对公账户划转至本人银行卡，但随后通过APP操作进入详细合同，发现借款本金竟变成了4200元，每月归还本息变成了1500元，分期三个月再加上巧立名目所谓“服务费”、“担保费”竟要归还4500元；也就是说借你钱站3000元3个月，利息高达1500元，依据</t>
  </si>
  <si>
    <t>2019/10/08 20:12:11</t>
  </si>
  <si>
    <t>下款时直接扣除2482.2的服务费，申请提前结清时利息高达36%。</t>
  </si>
  <si>
    <t>2019/10/08 20:11:54</t>
  </si>
  <si>
    <t>投诉嗨学网骗取包过，不退费，并忽悠学员入咖啡易融贷款。</t>
  </si>
  <si>
    <t>2019/10/08 20:11:35</t>
  </si>
  <si>
    <t>又不是我借的钱，逾期了，电话一直打到我这来骚扰，真的烦，搞错了是要负责任的。</t>
  </si>
  <si>
    <t>2019/10/08 20:11:34</t>
  </si>
  <si>
    <t>投诉人 闫先生        投诉对象  你我贷        涉诉金额  7 000 元    问题类型    诉求类型投诉详情  你我贷群发信息恐吓 骚扰通讯录里的人 直接威胁</t>
  </si>
  <si>
    <t>下载聚福钱包借款，然而并没有借到，还倒扣我299，希望尽快还我。</t>
  </si>
  <si>
    <t>2019/10/08 20:11:18</t>
  </si>
  <si>
    <t>造艺技术聚福钱包盗刷银行卡，强制收取评估费。</t>
  </si>
  <si>
    <t>2019/10/08 20:11:00</t>
  </si>
  <si>
    <t>投诉人黎先生投诉对象随手记涉诉金额3000元问题类型诉求类型投诉详情随手记催收&amp;amp;nbsp;暴力催收&amp;amp;nbsp;恐吓我家人&amp;amp;nbsp;辱骂我家人&amp;amp;nbsp;行为极度恶劣&amp;amp;nbsp;已经严重影响到我家人的生活。</t>
  </si>
  <si>
    <t>2019/10/08 20:10:04</t>
  </si>
  <si>
    <t>以维护名义，关闭所有还款渠道，客服也联系不上，收取高额逾期费。</t>
  </si>
  <si>
    <t>2019/10/08 20:09:38</t>
  </si>
  <si>
    <t>投诉人 王先生        投诉对象  微博借钱        涉诉金额  1 000 元    问题类型    诉求类型投诉详情  本人在微博借钱一直还款良好 近期家里有事出了点问题逾期三天 微博借钱就开始骚扰恐吓我 本人跟专员说了等几天 本人最后一期 我希望明天微博借钱能给我一个解释 要不然直接去公安局报案</t>
  </si>
  <si>
    <t>2019/10/08 20:09:01</t>
  </si>
  <si>
    <t>昨天立借客服给我打电话说的给我一天时间把本金还完就结清了，今天也没有人给我打电话刚直接给我朋友打电话骚扰我朋友，骂的难听，自己先平台里数字改掉我才把钱还进去呢吧。</t>
  </si>
  <si>
    <t>2019/10/08 20:08:35</t>
  </si>
  <si>
    <t>捷信金融雇佣外包人员冒充法院工作人员恐吓借款人，要求到当地法院去报到，结果去了以后说没有传呼，。</t>
  </si>
  <si>
    <t>2019/10/08 20:08:07</t>
  </si>
  <si>
    <t>与我通讯录人员联系，泄露通讯录信息，侮辱并谩骂恐吓，并且欠款当初有人和我联系让我在QQ上面还款后，说已经清账，我早已经卸载，几个月后又找到我说让我还款，我和他方解释这个，他方也没和我联系。</t>
  </si>
  <si>
    <t>2019/10/08 20:07:48</t>
  </si>
  <si>
    <t>山东高速集团电子收费中心,山东高速信联支付有限公司，微信ETC设备多次出现问题要求客服注销，7月15日设备邮寄至山东高速，45工作日内仍然为完成注销，山东高速客服电话之前2次反馈已注销，但任然无法在银行去办理ETC服务。</t>
  </si>
  <si>
    <t>2019/10/08 20:07:44</t>
  </si>
  <si>
    <t>暴力催收，严重影响我正常生活与工作，希望贵平台能帮帮我。</t>
  </si>
  <si>
    <t>2019/10/08 20:07:41</t>
  </si>
  <si>
    <t>投诉人许先生投诉对象途虎养车网涉诉金额368元问题类型诉求类型投诉详情我下完单后没几分钟就点击取消订单取消订单的时还没有发货途虎工作人员明知我取消订单的同时仍然联系快递上门发货，货物到我这里以后我跟途虎的客服人员联系，已将货物退回，如今已经过去十来天了每次联系客服都说在加急处理，一直都不退款。</t>
  </si>
  <si>
    <t>2019/10/08 20:07:28</t>
  </si>
  <si>
    <t>平安银行信用卡催收故意往我父母家寄催收函，骚扰我的家人，父母年纪大了身体不好，我欠款是我的问题与家人朋友无关，遇到意外情况导致无力偿还信用卡，平安银行信用卡没有联系我本人没有往我居住地寄信件，却给我父母寄催收函，导致父母身体不适，生病。</t>
  </si>
  <si>
    <t>2019/10/08 20:07:11</t>
  </si>
  <si>
    <t>你我货平台在明知大学生无还款能力的情况下还放款给我妹妹。</t>
  </si>
  <si>
    <t>2019/10/08 20:06:42</t>
  </si>
  <si>
    <t>在该平台逾期两天，已经协商，会按指定时间内还款，但是该平台催收部门，在时间之内就疯狂拨打我亲属方电话，一个个的拨打过去产生极大的恶劣影响，我按照协商的时间内归还，现在我要求小卡赢贷平台给我一个合理的解释：1.为什么已经协商好了时间，却在时间内疯狂骚扰我的联系人，2.我要求平台给我道歉并且赔偿要不然不撤销投诉，投诉到底。</t>
  </si>
  <si>
    <t>2019/10/08 20:05:57</t>
  </si>
  <si>
    <t>2018年购买了阳澄锦绍大闸蟹提货卡,一直至今，商家以各种礼由搪塞客户不发货。</t>
  </si>
  <si>
    <t>2019/10/08 20:05:56</t>
  </si>
  <si>
    <t>投诉人钟先生投诉对象借趣花,去哪儿金融涉诉金额5200元问题类型诉求类型投诉详情17年，本人由于生意失败，导致在去哪儿金融里面的借去花两笔借款还不上，到今年为止，本人一直都在工作还款，可是当想还这个在去哪儿借的钱的时候，电话去哪儿，去哪儿客服说不是他们的产品，要我联系产品方，联系产品方，却态度特别恶劣，还说不给协商！。</t>
  </si>
  <si>
    <t>2019/10/08 20:05:44</t>
  </si>
  <si>
    <t>投诉人杨女士投诉对象温州启铭电子商务公司涉诉金额3000元问题类型诉求类型投诉详情壹心分期放款2100，砍头息575元，一个月两期还款1071+1071，公司商户为温州启铭电子商务公司，本人还款已超过本金773元，可平台现在仍要还款几千，请温州启铭电子商务公司壹心分期平台销账处理，否则会进一步向银监会曝光。</t>
  </si>
  <si>
    <t>2019/10/08 20:05:15</t>
  </si>
  <si>
    <t>投诉人王先生投诉对象新浪分期涉诉金额8900元问题类型诉求类型投诉详情给通讯录的联系人打电话，发信息，骚扰了个人的正常生活。</t>
  </si>
  <si>
    <t>造艺科技下载聚福钱包借款，然而并没有借到，还倒扣我299，希望尽快还我。</t>
  </si>
  <si>
    <t>2019/10/08 20:05:09</t>
  </si>
  <si>
    <t>投诉人黄先生投诉对象造艺科技涉诉金额299元问题类型诉求类型投诉详情造艺技术聚福钱包盗刷银行卡，强制收取评估费，换着花样来坑害消费者的钱，真的是稀烂平台。</t>
  </si>
  <si>
    <t>2019/10/08 20:05:01</t>
  </si>
  <si>
    <t>本人于2016年在平安普惠贷款80000多次跟普惠物工作人员协商后，目前于2019年7月19号还完最后一次款项，当时普惠工作人员还给我电话告知款项已经到账，直到今天普惠工作人员冒充律师事务所工作人员给我通讯录所有人发信息，要停我所有银行卡，以及会让法院清查我的资产冻结我资产，这种恐吓威胁我要求普惠给我道歉，还要求给我结清证明。</t>
  </si>
  <si>
    <t>2019/10/08 20:04:58</t>
  </si>
  <si>
    <t>闲鱼客平台骗取本人钱财，利用平台可以赚钱的方式来诱惑进行充值，钱充值进去了，客服联系不上，几天不不回应，平台公告以各种理由说被网站攻击，请等待，今天平台把里面的信息完全清空跑路，一直未联系上。</t>
  </si>
  <si>
    <t>2019/10/08 20:04:16</t>
  </si>
  <si>
    <t>投诉人秋洋先生投诉对象尚德机构涉诉金额8980元问题类型诉求类型投诉详情本人于2018年12月19号在尚德销售人员那里办理了入学英语专科的课程，当时销售人员以考不过可以退学费&amp;nbsp;保证通过率为由&amp;nbsp;让我报名参加&amp;nbsp;由于经济压力&amp;nbsp;销售人员诱导我贷款作为学费&amp;nbsp;在融易分期贷款8020元，课程安排时间很不得当，服务很差&amp;nbsp;，曾经申请过退款&amp;nbsp;，售后人员各种威逼利诱不给予退款。</t>
  </si>
  <si>
    <t>2019/10/08 20:03:48</t>
  </si>
  <si>
    <t>办理业务时工作人员承诺：每月赠送10G流量，具体情况是月初扣费10元，月底返还，办理完成后，有3个月未正常返还，多次打电话给客服催促，才返还，后来又以各种理由推迟返还，打电话给甘肃联通、联通10015投诉热线，均未解决按时返还话费的问题，前后持续5个月，占用消费者大量精力，影响情绪。</t>
  </si>
  <si>
    <t>2019/10/08 20:03:17</t>
  </si>
  <si>
    <t>投诉人曾先生投诉对象钱包易贷涉诉金额1380元问题类型诉求类型投诉详情协商解决还款的，说好还款1288本金等我还进去就说还差88块钱，骗子平台客服没有诚信欺骗消费者，协商还款了不处理好消除逾期账单，我将去银监会和中国互联网金融投诉去，和客服协商钱还了不消除逾期账单，还威胁恐吓暴力催收，我以还款要求销账逾期账单。</t>
  </si>
  <si>
    <t>2019/10/08 20:03:16</t>
  </si>
  <si>
    <t>来分期还款日当天，不停打骚扰电话，严重影响正常工作，打着提醒的幌子进行恶意催收，。</t>
  </si>
  <si>
    <t>2019/10/08 20:03:02</t>
  </si>
  <si>
    <t>投诉人黄先生投诉对象国美涉诉金额400元问题类型诉求类型投诉详情我在网上认识了一个人以赚钱为理由让我买彩票，说每天赚本金的百分之三十很简单，一个月给了我一个上万的计划表，实际上总是输钱的，半个月亏了我几千块，后来我发现国美给彩票平台提供支付通道是违法的，希望能投诉追回，网站http://m.2451999.com/home。</t>
  </si>
  <si>
    <t>芸教育答应退款，从9月30号就开始答应退款，之后又因国庆假期为由推迟退款时间，假期之前说今天给办理，我等了8天，本以为今天就能了解此事，结果一整天都不给受理，打售后电话售后部门说已经和班主任对接了，结果一整天班主任都不给回复。</t>
  </si>
  <si>
    <t>2019/10/08 20:01:56</t>
  </si>
  <si>
    <t>投诉人 陈女士        投诉对象  现金借款        涉诉金额  5 000 元    问题类型    诉求类型投诉详情  一直打电话骚扰我的家人 我这边没有接到过电话 说我电话打不通 反正不处理就威胁家里人 我叫他们把证据留下来 我这边又不是说不还你钱 我也愿意去和你们协商啊 你们这个太过分了 暴力催收几天逾期费几百 你们是去抢人么</t>
  </si>
  <si>
    <t>2019/10/08 20:01:32</t>
  </si>
  <si>
    <t>合同出来之前没看到交什么工本费才能提现，要求取消合同，绑定银行卡钱也没到卡上，现在账单出来了，APP，里面显示20000提现额度，但要交1000工本费才能提现。</t>
  </si>
  <si>
    <t>2019/10/08 20:01:29</t>
  </si>
  <si>
    <t>造艺科技平台欺诈借款人，不经借款人意愿私自扣除银行卡上的钱。</t>
  </si>
  <si>
    <t>2019/10/08 20:01:10</t>
  </si>
  <si>
    <t>你我贷变相的高利贷而且找客户收取平台中介费用，赚钱赚疯了。</t>
  </si>
  <si>
    <t>2019/10/08 20:00:42</t>
  </si>
  <si>
    <t>在未经我同意的情况下从我卡上转走八百元，欺诈行为。</t>
  </si>
  <si>
    <t>2019/10/08 19:59:57</t>
  </si>
  <si>
    <t>壹心分期放款2100，砍头息575元，一个月两期还款1071+1071，由连连支付违规提供支付通道，本人还款已超过本金773元，可平台现在仍要还款几千，请连连支付联系壹心分期平台销账处理，否则会进一步向银监会曝光。</t>
  </si>
  <si>
    <t>2019/10/08 19:59:31</t>
  </si>
  <si>
    <t>由于经济遇到困难，导致逾期，本人也在积极每个月还款一千以上，仍有第三方催收进行对亲戚朋友家人电话骚扰，拒绝协商，要求去借钱一次性还清。</t>
  </si>
  <si>
    <t>2019/10/08 19:58:40</t>
  </si>
  <si>
    <t>朋友去年在捷信金融现金贷办理了一笔分期贷款总额24000当时客服跟我说的是可以分39期还款她告诉我利息不高在法律规定内，我办理了，我偿还了10个月每个月还款1337.39元，在2018年年底我打算一次性还完贷款时我才看到我还需要偿还22375元，我想问问捷信你们当时说的提前还款是不收取任何利息以及费用的，还有你们的客服服务费用是怎么回事，我一直积极的跟你们沟通为什么还威胁恐吓以及骚扰我的家人朋友，你们在没经过我的同意的时候把我的合同转交给外包让他们威胁恐吓我甚至拿我家人的性命威胁，你们觉得我真的怕是吗，有本</t>
  </si>
  <si>
    <t>2019/10/08 19:57:01</t>
  </si>
  <si>
    <t>你我贷平台泄露个人隐私还威胁恐吓，目无王法。</t>
  </si>
  <si>
    <t>2019/10/08 19:56:19</t>
  </si>
  <si>
    <t>本人因为生意亏损暂时偿还贷款出现问题，想协商暂缓一段时间，不同意协商，在没联系本人的情况下，直接打通讯录，盗取客户信息，侵犯隐私，欠钱我不对，不是不想还，是遇到困难了，希望停止拨打通讯录电话，道歉，我一直都接听所以催收电话，从没出现联系不上的情况，为什么不联系本人就爆通讯录，上征信我接受，这么做是不是太缺德了。</t>
  </si>
  <si>
    <t>2019/10/08 19:55:58</t>
  </si>
  <si>
    <t>份信息还有银行卡绑定我是填了，但这是作为贷款前必填的信息吧，我填这些是为了贷款，，我们消费者都是冲着贷款去填的这些信息，结果你弄了个扣费协议在里面，这不是偷换概念，就像我去医院看胃病，结果医生把我拉到外科观察来观察去，你们就是利用我们消费者不会百分百认真看协议去钻这个空子，有本事你去统计一下你们有多少客户被扣了这个钱之后去找你们讨回的，有多少被扣了钱之后当什么都没发生继续贷款的。</t>
  </si>
  <si>
    <t>2019/10/08 19:55:26</t>
  </si>
  <si>
    <t>由于工作原因被老板开除，家里孩子又多，所以逾期，捷信工作人员一天十来个电话打，前期还了一万多，后期又打电话让我全款还上，我问多少钱，工作人员说两万六千多，那我前期已经哈还的那些相当于没还。</t>
  </si>
  <si>
    <t>2019/10/08 19:55:18</t>
  </si>
  <si>
    <t>10月5日贷的款，然后多出来一个10月9号就要偿还的保证金，借了3980，加上这个保证金相当于我要多还1300多，高达30%的利息。</t>
  </si>
  <si>
    <t>2019/10/08 19:55:04</t>
  </si>
  <si>
    <t>本人去年在U卡贷平台借款15000，实际到手仅11000，分12期归还还款金额高达一万六千多！其利息远远超过国家规定，目前我已经还10期，还剩两期，严格要求U卡贷平台减免利息我做提前结清！！！。</t>
  </si>
  <si>
    <t>2019/10/08 19:53:55</t>
  </si>
  <si>
    <t>我在进一步操作借款审核桔子分期APP时通知我1800元借款审核失败。</t>
  </si>
  <si>
    <t>2019/10/08 19:53:25</t>
  </si>
  <si>
    <t>壹心分期贷款放款2100，马上扣款575元，因高额砍头息，所以不得不以贷养贷，本人共收到壹心分期8850元，实际已还款已有9623元，壹心分期已经赚取773元，但是现在还要还款3000多元，现要求壹心分期平台销账处理。</t>
  </si>
  <si>
    <t>2019/10/08 19:52:37</t>
  </si>
  <si>
    <t>因为本人手机丢失没用之前的号码了，所以没有及时接到电话，没想到接下去就开始各种威胁，恐吓，开始爆我通讯录了，今天打电话给我，我问为什么爆我通讯录，对方避而不答，威胁恐吓我还说给我众筹还款，我也没说不还，因资金问题现在连自己吃饭的都有问题，之前就表示会慢慢还。</t>
  </si>
  <si>
    <t>2019/10/08 19:52:30</t>
  </si>
  <si>
    <t>立借app阴阳合同，借6500前三个月还8800多，后面每个月还还72，相当于6500分三期还8800多，综合月利率12%，高利贷软件，我要求按正常利率还款年利率百分之36，一个月还款736，且第一个月还款的3000多后面每个月扣。</t>
  </si>
  <si>
    <t>2019/10/08 19:52:26</t>
  </si>
  <si>
    <t>高利贷，借款1400要还2300，暴力威胁，恶意骚扰正常生活。</t>
  </si>
  <si>
    <t>2019/10/08 19:52:11</t>
  </si>
  <si>
    <t>还了5个月了，每一期都是这么高，利息高，属于高利贷，，还要每个月才可以到号才可以还，不可以一次性还完，这是强行高利息，希望能重视。</t>
  </si>
  <si>
    <t>2019/10/08 19:51:12</t>
  </si>
  <si>
    <t>投诉人 靳先生        投诉对象  聚福钱包        涉诉金额  299 元    问题类型    诉求类型投诉详情  私自扣钱299元打电话给客服 客服说不退 这就是骗子app</t>
  </si>
  <si>
    <t>2019/10/08 19:51:09</t>
  </si>
  <si>
    <t>2019/10/08 19:50:51</t>
  </si>
  <si>
    <t>恶意多次以服务费为由收取高额利息费，且利滚利，本人三个月内至少还进2400元，但是额度只回转200元，具体的我不想算了。</t>
  </si>
  <si>
    <t>2019/10/08 19:50:24</t>
  </si>
  <si>
    <t>本人在大王贷款APP领了一部银盛通pos机，银盛通公司每隔一段时间就电话骚扰，说该机可以花呗信用卡套现，让我激活使用，后搬家该机遗失，还在不停的接到骚扰电话。</t>
  </si>
  <si>
    <t>2019/10/08 19:50:01</t>
  </si>
  <si>
    <t>2019年3月10日上午到佛山中大互联网校区进行报名，当时报名的老师就跟我说，一缴费就会给我报名我以为已经报上了，第一次报名，报名的老师也没有说清楚，本人也不知道还没有入学，当朋友跟我说需要学习网上查询了名字才是报名的就去问报名老师，结果7月份问还没有报名，以什么换季报名为借口跟我说没有报上，缴费一开始可没有跟我说明当时不能报名，7月份跟我说9月份，我就也是想看看是不是真的，结果9月份问了，又说找借口说10月份才能查到，当时我就要求退款了，现在到了10月份说还没有报上名，需要等11月份，中大互联网明显的欺瞒</t>
  </si>
  <si>
    <t>2019/10/08 19:49:28</t>
  </si>
  <si>
    <t>没有消费却莫名被扣费，银联客服，客服说是被中金支付扣款的。</t>
  </si>
  <si>
    <t>2019/10/08 19:49:01</t>
  </si>
  <si>
    <t>读秒钱包在当天还款日24:00点前还款、收取违约金、联系客服、客服人员说合同里写的有17:00以后还款算违约、但是查找合同中、没有看到有这一条、并再次联系客服、客服还是说合同里有、把合同发给客服人员查看、客服人员说假期需要上班的时候再次联系、今天联系到客服、客服人员说这种情况以后还会继续出现、只能把多还的部分计入下个帐单、客服人员一直问我我的意思是什么、合同中没有出现的条款强加于他人、损害别人利益、终止合同。</t>
  </si>
  <si>
    <t>2019/10/08 19:48:11</t>
  </si>
  <si>
    <t>前几天被人骗办了几张副卡，现在就封禁我的卡，要求解禁。</t>
  </si>
  <si>
    <t>2019/10/08 19:47:16</t>
  </si>
  <si>
    <t>在你我贷上借款3000元，到手2500，还款已远超国家规定年利率，仍不消账还不定期打电话骚扰。</t>
  </si>
  <si>
    <t>2019/10/08 19:46:59</t>
  </si>
  <si>
    <t>我有所有工作人员及客服人员的通话录音，但贵平台音频无法上传，因个人陷入财政危机2019年9月和平台工作人员商量协商还款。</t>
  </si>
  <si>
    <t>2019/10/08 19:46:25</t>
  </si>
  <si>
    <t>投诉人 李先生        投诉对象  亿联银行        涉诉金额  150 元    问题类型    诉求类型投诉详情  我要知道消费详情 为何有这笔消费 给我个解释</t>
  </si>
  <si>
    <t>2019/10/08 19:45:26</t>
  </si>
  <si>
    <t>本人在你我贷借款12000.分十二期，前三期还2259.46元，剩下九期每期还1059.46元，本人已致电他们客服，也和他们催收部门协商过，要求只给合法的利息，现在你我贷未经我本人同意，骚扰我家人和朋友，对我造成生活上和工作上有很大困扰，严重影响我生活和工作，希望聚投诉帮忙协商一下。</t>
  </si>
  <si>
    <t>2019/10/08 19:45:09</t>
  </si>
  <si>
    <t>投诉人陈先生投诉对象钱站涉诉金额6650元问题类型诉求类型投诉详情本人与2019年9月9日通过钱站APP签订贷款合同，合同写明贷款本金6650元，年利率26.9279%，合同内写明本人需支付服务费，首期服务费488元，后续每期6.65元，除此外合同并未写明需支付其他费用，所以本人应到账6650-488=6112元，实际9月9日仅到账5000元；且合同内附还款分期表，表内显示首期应还本息1145元，服务费6.65元，合计应为1151.65元，但实际显示为1280.87元，后续每期本息1147.78元，服务费6</t>
  </si>
  <si>
    <t>2019/10/08 19:44:42</t>
  </si>
  <si>
    <t>捷信金融借款前捷信人员没说过这事，借款后才知道，这样变相收费不合国家规定的。</t>
  </si>
  <si>
    <t>2019/10/08 19:44:02</t>
  </si>
  <si>
    <t>涉诉金额3100元问题类型诉求类型投诉详情本人借款金额总金额2100元，除去本金，服务费高达1000元左右，利息费用300元左右，严重违法了国家有规定。</t>
  </si>
  <si>
    <t>2019/10/08 19:43:18</t>
  </si>
  <si>
    <t>你我贷催收威胁恐吓我说本人在开车中稍微晚点在还款，他不予同意。</t>
  </si>
  <si>
    <t>2019/10/08 19:43:02</t>
  </si>
  <si>
    <t>投诉人万先生投诉对象苏州华策网络科技有限公司涉诉金额199元问题类型诉求类型投诉详情本人在2019年10月08日14点09分下载旺卡猫APP，而且是必须先缴纳199元VIP才能注册成功因为是支付宝花呗发过来的短信通知，我以为这是一个提供能够借款的软件，会直接提供借款服务，所以就在支付宝里缴纳了￥199会员费，而且还是推荐一个接一个的网贷APP……我这才反应过来随即联系旺卡猫客服，要求退款！客服说必须提供旺卡猫推荐的8个借款渠道未成功的截图，我看到这8个借款渠道的利息很高，根本不想申请借款，我实在无奈，才决定</t>
  </si>
  <si>
    <t>2019/10/08 19:42:38</t>
  </si>
  <si>
    <t>玖富万卡高利息，乱收取巨额保费，催款态度恶劣也没有协商，要求减免利息，去除保费，注意态度。</t>
  </si>
  <si>
    <t>2019/10/08 19:41:10</t>
  </si>
  <si>
    <t>造艺科技旗下聚福钱包申请退款一个多月未退款，这处理速度是故意的还是怎么。</t>
  </si>
  <si>
    <t>2019/10/08 19:41:01</t>
  </si>
  <si>
    <t>活力花平台恶意拨打我通讯录里面的联系人，群发短信，打电话给我家人，甚至连我上班的地方也打了电话，现在我工作也丢了，家人也弄得人心惶惶，我是欠了你钱，到底是谁给你们的权利可以肆无忌惮的骚扰我家人，我绝不会像你们这种无视国家法度的黑恶势力低头，哪怕我霍了这条命也会跟你们这种黑恶势力抗争到底。</t>
  </si>
  <si>
    <t>2019/10/08 19:40:21</t>
  </si>
  <si>
    <t>9月1日左右，在立借钱置宝申请借款2800元，截止今日已还款3066元，除去本金2800元已还外，以支付利息266元，借款期限为32天，年化利率为百分之八十八左右，已超出国家现行规定利率，现平台还要求我还款1022元，现要求平台将该部分费用减免并销账。</t>
  </si>
  <si>
    <t>2019/10/08 19:40:09</t>
  </si>
  <si>
    <t>本人确保银行卡在身边，遭到莫名其妙扣款38.94，打4008609888无人接听。</t>
  </si>
  <si>
    <t>2019/10/08 19:39:21</t>
  </si>
  <si>
    <t>通过捷信微信公众号还19000了，半个月过去了捷信上还显示逾期，请捷信给个合理的解释并给出结清证明。</t>
  </si>
  <si>
    <t>2019/10/08 19:39:07</t>
  </si>
  <si>
    <t>打电话骚扰家人并辱骂！并且打通我电话然后拨打我家人电话辱骂！叫嚣我录音！他不怕！我只是忘记还款1天！就直接打我通讯录！辱骂家人！我有录音。</t>
  </si>
  <si>
    <t>2019/10/08 19:39:00</t>
  </si>
  <si>
    <t>两个月了，滴滴平台严重不解决问题，无视问题反而问题愈演愈烈，聚投诉平台无任何帮助本人依法处理问题，造成严重的损失，已无法保证本人的最基本生活水平，带来严重的经济损失，必须依法处理，必须向媒体进行曝光，必须严惩不贷，必须得到损失补偿，好好看看滴滴平台之前处理的结果吧。</t>
  </si>
  <si>
    <t>2019/10/08 19:38:55</t>
  </si>
  <si>
    <t>10月7日，需还800元，但在10月8日沈掌柜平台就进行暴力催收，骚扰除紧急联系人以外的人，他们这种本身就属于高利贷还要骚扰我身边的人，让我名誉受损，本人和沈掌柜平台沟通无果，他们还是继续骚扰我的朋友，实在没办法只能在这里投诉他们，该还的本金及国家法定的利息，本人愿意偿还。</t>
  </si>
  <si>
    <t>2019/10/08 19:38:53</t>
  </si>
  <si>
    <t>投诉人 王先生        投诉对象  贷上钱        涉诉金额  4 500 元    问题类型    诉求类型投诉详情  贷上钱高利贷借款4500 一个月要还5652 其中1000不知道是什么费用</t>
  </si>
  <si>
    <t>2019/10/08 19:38:52</t>
  </si>
  <si>
    <t>投诉人陈女士投诉对象苏宁易购,美的涉诉金额5000元问题类型诉求类型投诉详情本人20190616在苏宁易购直营店下单购买美的厨宝一个，20190623美的安装人员上门安装厨宝时，未按正常安装要求将泄压管插入下水道，新房入住仅一个月的使用，就导致橱柜由于一直积水出现柜体变形，霉变，生锈，要求美的赔偿损失，复原橱柜或按橱柜原标准重新安装新的橱柜。</t>
  </si>
  <si>
    <t>2019/10/08 19:37:02</t>
  </si>
  <si>
    <t>工作人员给我打电话，我都说清楚了，还给我打电话，每天接他们电话对我已经造成困扰了，影响了我的正常生活。</t>
  </si>
  <si>
    <t>2019/10/08 19:36:54</t>
  </si>
  <si>
    <t>借5000，到账5000，合同9600，六个月还完。</t>
  </si>
  <si>
    <t>2019/10/08 19:36:09</t>
  </si>
  <si>
    <t>由于唯品账号找不到了，换了手机号，导致逾期，唯品会恶意催收，打电话到我朋友姐姐哪里，一天一个电话，导致她们无心上班，在这样我真的要打电话到银监会了，请唯品会直接联系我，给我唯品账号，我直接还款，可是对于我朋友的骚扰，不止一个，我要投诉。</t>
  </si>
  <si>
    <t>2019/10/08 19:36:07</t>
  </si>
  <si>
    <t>早在一个月前小当家就已经全部结清，该平台却在10月7号开始骚扰我的通讯录好友，要求对方联系我，说我欠了1100多块钱，让我还钱，而且明确说明他是小当家，我这里有银行流水和当时的结清截屏，希望能尽快联系到他们给我一个说法，他们这种行为已经严重损害了我的名誉，请停止对我朋友的骚扰，并且以最快的速度联系我，电话：147******29。</t>
  </si>
  <si>
    <t>2019/10/08 19:35:57</t>
  </si>
  <si>
    <t>2019/10/08 19:35:56</t>
  </si>
  <si>
    <t>在捷信金融平台借的4500块钱，到手3800，然后逾期了就非法雇佣社会人员上门威逼，性情恶劣，非法行为。</t>
  </si>
  <si>
    <t>2019/10/08 19:35:53</t>
  </si>
  <si>
    <t>该平台未经本人同意确认直接扣款299元，幸好本人卡中只有50.26元，但是平台竟然先扣除了50元，经过本人了解，此平台后续应扣满299元，现要求该平台退款此次扣款，并后续不得继续扣款。</t>
  </si>
  <si>
    <t>2019/10/08 19:35:41</t>
  </si>
  <si>
    <t>这个月一时周转不便先还了一笔，另一笔客服来电的时候，解释过晚一点，连逾期费补上，结果逾期两天就爆了我亲戚电话，第二天向客服投诉，不作回应，只是催款，过了几天，除每天催款，再次爆通讯录，不光是亲戚，很少联系的同学都来电询问，要求道歉，逾期按合法流程处理，没打算赖账，资金到位连逾期费补上。</t>
  </si>
  <si>
    <t>2019/10/08 19:35:33</t>
  </si>
  <si>
    <t>我投诉万惠及贷都一个多月了没有回应，本平台为什么不更进，他们老是过几天催我一次过几天催我一次，实在是身心疲惫了，我都已经和他们的工作人员说好了为什么他们还是过几天就换一个人催我，我还想问问本平台为什么这一个多月了不回应我，是不想管还是管不了给我个回应我另想办法。</t>
  </si>
  <si>
    <t>2019/10/08 19:34:12</t>
  </si>
  <si>
    <t>对我的亲朋好友骚扰不说，还整蛊威胁别人甚至把我朋友吓哭了，对别人的工作生活造成了严重的影响，请不要去打扰我的朋友。</t>
  </si>
  <si>
    <t>2019/10/08 19:33:27</t>
  </si>
  <si>
    <t>在不知情的情况下被扣钱了，想维护权益，钱少事大，我想知道他是如何非法交易的。</t>
  </si>
  <si>
    <t>2019/10/08 19:33:26</t>
  </si>
  <si>
    <t>造艺科技旗下的聚富分期恶意收取299元，信征查询费，要求退回299元，从来没听说过查询征信还要收费。</t>
  </si>
  <si>
    <t>2019/10/08 19:31:54</t>
  </si>
  <si>
    <t>2019/10/08 19:31:46</t>
  </si>
  <si>
    <t>暴力催收，天天电话短信，已经发给联系人严重影响每一天的生活。</t>
  </si>
  <si>
    <t>2019/10/08 19:31:44</t>
  </si>
  <si>
    <t>滴滴平台每天不给我派单，我天天做十几个小时，两百块钱都不到，我要养家糊口，让我怎么生活，打了好多滴滴客服电话也没用，希望通过聚投诉能帮帮我。</t>
  </si>
  <si>
    <t>2019/10/08 19:31:40</t>
  </si>
  <si>
    <t>信用卡逾期，实在无力马上全额归还，已凑2万还进一部分，还天天找黑社会外包追贷公司打家人朋友电话威胁报警上门来抓，已把家人吓到住院有轻生的念头，还清欠款后，必定追讨招行相关负责。</t>
  </si>
  <si>
    <t>2019/10/08 19:31:18</t>
  </si>
  <si>
    <t>半年前曾有过激行为，当地派出所和居委会可以证明，因负债较多，和各平台陆续协商，希望可以在还够本金尽力保证24%的利息最高不超过36%的利息来结清，在整理借款平台清单过程中，发现闪电借款平台利息远高于36%，家人要求退还！关于我和闪电借款沟通全过程可见帖子CN1249562，而在核对银行账单中发现，中国银联股份有限公司广东分公司为高利贷闪电借款违规提供支付渠道，公然凌驾于国家法律之上，不把银监会等相关国家主管机构放在眼里，要求一并追责！关于闪电借款具体六次借还款清单可见最后一张图片。</t>
  </si>
  <si>
    <t>2019/10/08 19:30:58</t>
  </si>
  <si>
    <t>在一直能联系到我的情况下，还给亲朋好友打电话发信息告诉她们，我欠款没还，泄露我的通讯单，我想问问这是什么意思，这是不是恶意点的诋毁，你给我的亲朋好友发信息把我的名字写到了信息里发给亲朋好友，我欠款和他们有关系吗，他们欠款吗，，，。</t>
  </si>
  <si>
    <t>2019/10/08 19:30:16</t>
  </si>
  <si>
    <t>在玖富万卡上面借了3万多，结果要还6万多，我已经连续还了6个多月了，压力实在太多了，这样子的高利息真的很不公平，起初用的时候懵懵懂懂的，以为是低息，结果后来发现还有什么手续费，还款额也是翻倍。</t>
  </si>
  <si>
    <t>2019/10/08 19:29:48</t>
  </si>
  <si>
    <t>华夏信财我在2016年12月贷款6.8万元，每期还款3千多，总共要还11万多，因个人不小心把原来的扣款卡给丢了，所以后面一直和他们的客服联系，每期还款日前，他们的客服给我发个消息，我用微信转给他，这次十月一放假也没人通知还款，我也给忘了，10月6号下午有个北京的手机号打电话，让还款呢，说话也太粗鲁了吧！是我不还款还是怎么的，说话太难听了，后来我联系他们的客服，看怎么还款，客服的说是现在微信还不了，让我转对公，我要账号呢，他们也没给我，催收就开始给通讯录的好友开始打电话，严重影响我的生活！。</t>
  </si>
  <si>
    <t>2019/10/08 19:29:06</t>
  </si>
  <si>
    <t>我们的货款早就到账了，一而再再而三的延迟我们提现时间，打算提现了然后退店呢，我们本身就比较穷呢，厂里催着结账，这边一直拖着不受理，我们都很无奈呢，隐身上架的产品也不给我下架呢，我们按要求做了没有下架呢，这样我们永远退不了店铺呢，一起9000多块钱呢。</t>
  </si>
  <si>
    <t>2019/10/08 19:28:49</t>
  </si>
  <si>
    <t>百度了一下，都是投诉这个鬼公司的，暴力还款，睡一觉起来突然发现钱没了，。</t>
  </si>
  <si>
    <t>2019/10/08 19:28:44</t>
  </si>
  <si>
    <t>投诉人 邱先生        投诉对象  小浦优客        涉诉金额  296 元    问题类型    诉求类型投诉详情  未收到短信提示，就扣款。要求全额退款</t>
  </si>
  <si>
    <t>2019/10/08 19:27:58</t>
  </si>
  <si>
    <t>投诉人黄平投诉对象造艺科技涉诉金额300元问题类型诉求类型投诉详情造艺技术聚福钱包借款后私自在我银行卡上扣费。</t>
  </si>
  <si>
    <t>2019/10/08 19:27:43</t>
  </si>
  <si>
    <t>我在宜贷分期做过两次贷款，第一次贷2000元，20天还款3288元已经还清，由于以贷养贷，又进行了第二次借款，金额3000元。</t>
  </si>
  <si>
    <t>2019/10/08 19:27:24</t>
  </si>
  <si>
    <t>还款日期还没有到，而且从未逾期，客服人员提前催收并恶语相向，多次打电话骚扰，恐吓借款人，是个女客服，希望这位客服可以站出来道歉！并停止提前催收，解决不了只有上平台投诉。</t>
  </si>
  <si>
    <t>2019/10/08 19:27:19</t>
  </si>
  <si>
    <t>涉诉金额0元问题类型诉求类型投诉详情今天接到167******56手机号的人说我在急用钱上7月份借了1500，逾期费用479，我也真是纳闷了，我在急用钱上只借了3100，而且都还了，这1500是哪里来的，我让他提供相关的账单，他居然还说要是不处理干嘛把账单给我，还说要来我家拍视频取证，说出的话也是漏洞百出，我跟他说我没借过，他给我来句没借，账单怎么出来的，真是搞笑了，现在我要求急用钱给个说法，还有停止这样的恶意骚扰，威胁，还有恐吓，给出相应的道歉，不然我就继续投诉。</t>
  </si>
  <si>
    <t>2019/10/08 19:26:47</t>
  </si>
  <si>
    <t>月光侠分期合同里面分期还款与实际待还款严重不符，其收取的服务费也是合同里面所提的服务费几百倍，催收手段极其毒辣，对借款人的精神，思想，带来了极其严重的伤害，例如，app提示可借款项3325，实际到账却是2500，试问中间的825哪里去了，是什么费用，合同里面白纸黑字，3325元可借款项，分3期，每期1130.79，实际分期待还1297.01，其中多出来的163.34又是什么费用，最让人难以接受的是贵公司的催收手段，为什么要用这种败坏他人人品的方式进行催收，还款固然十分重要，而且遵守承诺是每一个中华人民良好美</t>
  </si>
  <si>
    <t>2019/10/08 19:26:46</t>
  </si>
  <si>
    <t>电话打爆我的手机号码，骚扰我的家人朋友，还有利息超过国家要求。</t>
  </si>
  <si>
    <t>2019/10/08 19:26:43</t>
  </si>
  <si>
    <t>我在放心借有一笔借款，正常还款第四期，但最近几天手头有点紧，一时还不上，跟她商量在给一天时间，她说话难听，还侮辱我人缘不好，挂掉电话后，就直接爆我通讯录，打电话给我亲朋好友，转告我还钱，这严重的侵犯了我的瘾私，影响我的正常社交，对我生活，工作造成严重的影响，我要投诉她们，必须道歉，赔偿我精神损失。</t>
  </si>
  <si>
    <t>2019/10/08 19:26:29</t>
  </si>
  <si>
    <t>本人于19年9月28日通过微信公众号购买一份驾乘无忧车险给了钱之后到现在没工作人员联系我，保单合同什么都没有。</t>
  </si>
  <si>
    <t>2019/10/08 19:26:02</t>
  </si>
  <si>
    <t>无故扣款，款项不知去向，各网贷已查，希望给个解释。</t>
  </si>
  <si>
    <t>2019/10/08 19:25:31</t>
  </si>
  <si>
    <t>我办的套餐应该免费送宽带，现在说其他地区不给办，。</t>
  </si>
  <si>
    <t>2019/10/08 19:24:35</t>
  </si>
  <si>
    <t>小花暴力催收给家里人打电话发信息！说我赖账还把我的名字年龄地址都公布出来，总之给我的家人和朋友还有我个人照成心里严重伤害，因为小花暴力催收导致我上班没精神在上班的路上照成肇事让我生活上压力更重，差点没让我生活不能自理，。</t>
  </si>
  <si>
    <t>2019/10/08 19:24:21</t>
  </si>
  <si>
    <t>我欠款客服打电话催款是合理的，但是已经协商好了为什么还打我通讯录?我欠协议只留了几个联系人，为什么客服会窃取我联系人以外的所有通讯录?是客服窃取我通讯录隐私还是小象优品公司窃取我隐私资料?你们打电话给我联系人为什么要扭曲事实撒谎恐吓?。</t>
  </si>
  <si>
    <t>2019/10/08 19:23:39</t>
  </si>
  <si>
    <t>，违法行为恶劣，无视消费者的权益，真的是坑。</t>
  </si>
  <si>
    <t>2019/10/08 19:22:35</t>
  </si>
  <si>
    <t>在和我协商还款的时候，把短信发给了我朋友，而且说我是骗钱。</t>
  </si>
  <si>
    <t>2019/10/08 19:21:52</t>
  </si>
  <si>
    <t>投诉人杨女士投诉对象掌众金服涉诉金额10100元问题类型诉求类型投诉详情借款金额8800元，有前期1200元买卡费用，逾期67天，利息850元，逾期费用巨大。</t>
  </si>
  <si>
    <t>2019/10/08 19:21:40</t>
  </si>
  <si>
    <t>投诉人陈先生投诉对象世纪佳缘涉诉金额9800元问题类型诉求类型投诉详情本人今年26岁，在东莞一家商务酒店做工程部主管，在19年八月份，有一位自称董老师的五星级红娘，给我打电话，问我现在想不想找对象，还有一个说我身上有味道本人不抽烟，不喝酒，不吃槟榔，每天洗一个澡，我也就奇怪了，后来我抱着怀疑的态度到网上搜了一下，发现这才是骗局，心想自己上当了，交钱之前我是大爷，交钱之后，他就是大爷了，反正是左推右推的，我说想，后来他就说前两天有一个女孩子到他们门面店非常适合我，问我是否要去他们门面店见一下那个女孩，我说可以</t>
  </si>
  <si>
    <t>2019/10/08 19:21:36</t>
  </si>
  <si>
    <t>投诉人白女士投诉对象交通银行涉诉金额15000元问题类型诉求类型投诉详情欠了交通银行15000因为是单亲妈妈所以一直没还，今天催收让我去找光棍儿搞钱，单亲妈妈就该受歧视吗。</t>
  </si>
  <si>
    <t>2019/10/08 19:21:19</t>
  </si>
  <si>
    <t>投诉人刘先生投诉对象贷上钱涉诉金额6000元问题类型诉求类型投诉详情取消支付无用金豆费用，调整还款正常金额，不能报通讯录侵犯我隐私，若侵犯和不取消金豆费用，我继续投诉举报，直至正常还款。</t>
  </si>
  <si>
    <t>2019/10/08 19:21:00</t>
  </si>
  <si>
    <t>投诉人李久升投诉对象捷信金融涉诉金额6800元问题类型诉求类型投诉详情朋友在捷信借的钱，捷信找不到人就一直电话骚扰我，完全影响了我的正常生活。</t>
  </si>
  <si>
    <t>2019/10/08 19:20:53</t>
  </si>
  <si>
    <t>请百事惠普一个工作日内退回之前从银行的299元扣款。</t>
  </si>
  <si>
    <t>2019/10/08 19:20:50</t>
  </si>
  <si>
    <t>用了一年多了，坏了就投诉了，而且刷卡未达标。</t>
  </si>
  <si>
    <t>2019/10/08 19:20:00</t>
  </si>
  <si>
    <t>中腾信雇佣的第三方催收人员，态度极其蛮横，不容人申辩，多次出现辱骂，态度恶劣的情况，并且在我可以联系到的情况下就去骚扰家人，及通讯录人员，以往出现爆通讯录爆短信的情况，因放假期间单位工资拖延几天发放而且我也和催收人员及时的说明了情况，他们却说我联系不上，躲躲藏藏，拖拖欠欠，联系第三方。</t>
  </si>
  <si>
    <t>2019/10/08 19:18:13</t>
  </si>
  <si>
    <t>从今年一月份接触左右棋牌，让我充值累计十万多，让我越陷越深，输了多少集体没有算过，让我这段时间过得不好，举报他非法赌博，非法开通支付，如果能退款回来一部分也是可以的。</t>
  </si>
  <si>
    <t>2019/10/08 19:17:59</t>
  </si>
  <si>
    <t>投诉人黄平投诉对象造艺科技涉诉金额300元问题类型诉求类型投诉详情造艺科技平台借钱到账银行卡后强制性扣服务费。</t>
  </si>
  <si>
    <t>2019/10/08 19:17:58</t>
  </si>
  <si>
    <t>朋友在捷信货款后捷信泄露了我的个人信息给催收公司目无法纪，欺诈消费者。</t>
  </si>
  <si>
    <t>2019/10/08 19:17:53</t>
  </si>
  <si>
    <t>投诉人 张宗亮        投诉对象  返现宝        涉诉金额  1 300 元    问题类型    诉求类型投诉详情  暴力催收，爆通迅录，实际金额与到帐不服合</t>
  </si>
  <si>
    <t>2019/10/08 19:17:44</t>
  </si>
  <si>
    <t>去年本人在捷信金融现金贷办理了一笔分期贷款总额24000当时客服跟我说的是可以分39期还款她告诉我利息不高在法律规定内，我办理了，我偿还了10个月每个月还款1337.39元，在2018年年底我打算一次性还完贷款时我才看到我还需要偿还22375元，我想问问捷信你们当时说的提前还款是不收取任何利息以及费用的，还有你们的客服服务费用是怎么回事，我一直积极的跟你们沟通为什么还威胁恐吓以及骚扰我的家人朋友，你们在没经过我的同意的时候把我的合同转交给外包让他们威胁恐吓我甚至拿我家人的性命威胁，你们觉得我真的怕是吗，有本</t>
  </si>
  <si>
    <t>2019/10/08 19:17:37</t>
  </si>
  <si>
    <t>我已还清全部欠款，仍收到催收短信，催收电话，平台电话联系不上，本人已受到恐吓和惊吓！！！。</t>
  </si>
  <si>
    <t>2019/10/08 19:17:22</t>
  </si>
  <si>
    <t>使用花呗1682元要还3085元，已还2535元，今天催收打电话说12点前不还就把户口拉黑。</t>
  </si>
  <si>
    <t>2019/10/08 19:16:41</t>
  </si>
  <si>
    <t>之前已经投诉过一次了，人人贷客服有要取了其他平台借款截图和相关病例，发到他们指定邮箱后已经差不多十天了.还没有任何回复，由于之前账号密码忘记导致冻结.目前登陆不上去。</t>
  </si>
  <si>
    <t>2019/10/08 19:15:35</t>
  </si>
  <si>
    <t>急用钱包涉嫌欺诈，私自扣除100元所谓VIP会员费，要根据她们app上推荐的借款公司申请被拒绝后，提供拒绝截图才能退款，在此期间，我发现退款渠道推荐的借款公司属于高利息短期借贷平台，所，现在我需要在贵平台投诉“急用钱包“平台，诱导急需用钱客户进行恶意扣费划款行为，首先用手机号码注，册登录账号，然后点开APP登录进去，右下角点我的进去选择我的资料进行资料绑定，当绑定收款银行这项，其实是隐形的跟贵公司签订你绑定银行，卡的快捷支付，这也就是他们能从你绑定卡划款的原因，当你资料绑定结束以后，为了名正言顺的在你卡上划</t>
  </si>
  <si>
    <t>2019/10/08 19:15:16</t>
  </si>
  <si>
    <t>我的qq无缘无故封禁了我的qq账户余额无法提现，这有想私吞嫌疑，提现都无法提现，我不知道怎么办，里面还有钱。</t>
  </si>
  <si>
    <t>2019/10/08 19:15:12</t>
  </si>
  <si>
    <t>在我不知情的情况下在易安保险购买了一份人生意外险。</t>
  </si>
  <si>
    <t>2019/10/08 19:14:30</t>
  </si>
  <si>
    <t>借款金额8200元，逾期50天，1300元还款手续费和逾期费用翻滚到2700元，逾期费用巨大。</t>
  </si>
  <si>
    <t>2019/10/08 19:14:27</t>
  </si>
  <si>
    <t>乱扣款，而且没有通过当事人，强力要求退钱，不然继续到有关部门投诉。</t>
  </si>
  <si>
    <t>2019/10/08 19:13:43</t>
  </si>
  <si>
    <t>投诉人李亚平投诉对象捷信金融涉诉金额14000元问题类型诉求类型投诉详情催收人员电话轰炸家人朋友，客服态度极其恶劣，强烈要求尽快解决问题。</t>
  </si>
  <si>
    <t>2019/10/08 19:13:30</t>
  </si>
  <si>
    <t>聚福钱包在本人不知情的情况下，也未经本人同意，在其平台申请借款时，扣掉299元砍头息，说是所谓的风险评估费用，就算你有在底下说明，那么一大堆，估计没人会看得到吧，而且想要退款的话，还必须按照他们推荐继续申请一些其他黑平台，又要重新支付砍头息，你既然有心退款，何必整这么一出，所以这就是个坑，赤裸裸的欺诈，本人在此最后一次投诉，若还是不退还费用，将上报工商局和银监会，直到退款为止！。</t>
  </si>
  <si>
    <t>2019/10/08 19:12:37</t>
  </si>
  <si>
    <t>投诉人 王先生        投诉对象  融360,多米贷        涉诉金额  0 元    问题类型    诉求类型投诉详情  这个电话我打过去 显示是推销广告 打电话过去无法接通 这是伪造，</t>
  </si>
  <si>
    <t>2019/10/08 19:12:30</t>
  </si>
  <si>
    <t>投诉人黄先生投诉对象造艺科技涉诉金额5000元问题类型诉求类型投诉详情聚福钱包平台以评价测试扣取钱，条约说借款不成功无条件退款，后多次打电话给客服，客服说得14天后就能退，14天后又以各种理由推脱，不给退款，客服解决不了的事只有这样了。</t>
  </si>
  <si>
    <t>投诉人李女士投诉对象平安普惠涉诉金额12378元问题类型诉求类型投诉详情每个月都有保险费用，利息高，还爆通讯录，骚扰我家人，严重的影响了我朋友他们的生活。</t>
  </si>
  <si>
    <t>投诉人杜女士投诉对象多宝分期涉诉金额4000元问题类型诉求类型投诉详情多宝分期，借款4000元，分期四期两个月，平均15天要还款1599元，两个月总共要还6396元，实属高利贷！每次还没逾期，就开始骚扰恐吓！还说必须五点前打入某私人账户，一会又说6点前必须处理、否则就爆通讯录！我就问，现在法制社会，这么高的利息，也不害怕经侦查吗，我相信受害者多了，大家集体投诉的话，正义肯定站在我们这边的！@聚投诉，麻烦跟进处理谢谢。</t>
  </si>
  <si>
    <t>2019/10/08 19:12:09</t>
  </si>
  <si>
    <t>，网上发布599元7天上首页，其中工作人员不断诱导我充钱加入，加入后，又不断以补流量，补人气，补收藏加购等等为由，以及后续的要求我继续维护，让我一共损失7199元，中间有问过安全问题，对方保证说只要按照他说的来就不会有事，但是店铺被查，降权，导致后续生意无法开展，事后联系，对方不管不顾！。</t>
  </si>
  <si>
    <t>2019/10/08 19:11:56</t>
  </si>
  <si>
    <t>2019/10/08 19:11:54</t>
  </si>
  <si>
    <t>投诉人 林先生        投诉对象  阿里巴巴1688        涉诉金额  2 470 元    问题类型    诉求类型投诉详情  在阿里巴巴买了三个DN1800气囊。一个没用过，我要求退货，卖家不让退。阿里巴巴客服也不管。</t>
  </si>
  <si>
    <t>2019/10/08 19:11:38</t>
  </si>
  <si>
    <t>2019年10月7号，我通过及贷申请13000元的借款，申请借款至少，提示需还16000多，但是借款成功之后我发现要还18000多，仔细看过之后才知道有个什么学堂会员费用，我不知道这个什么时候买的，借款的时候我也看过几次并没有提示我是否购买，这种变相收取砍头息的方法是违法的，请及贷退还给我相应的费用，并且再以后借款中明确表示各种费用。</t>
  </si>
  <si>
    <t>2019/10/08 19:11:06</t>
  </si>
  <si>
    <t>2019/10/08 19:10:38</t>
  </si>
  <si>
    <t>江苏百瑞赢咨询有限公司的股票群中老师团队所承诺的服务及行为，与我的期望值落差巨大，所提供的服务涉嫌夸大宣传，要求退款服务费用37800元！一个微信名为“AAA信易赢的人，添加了我的微信，宣称他们是“江苏百瑞赢证券咨询有限公司”的老师的助理，能带领会员操作牛股，并拉进他们的一个微信群“信易赢-实战交流群”，群里现在还有许多人，其中大部分人的聊天记录带吹捧之意，不知道是否为托，群里的管理员老师每天都在群里面宣传大涨牛股，各种获利百分之几十到翻倍的持仓截图轮番播报，大部分人也在群里吹捧，老师每天宣传加会员多少元服</t>
  </si>
  <si>
    <t>2019/10/08 19:09:57</t>
  </si>
  <si>
    <t>都是2000到账1400...5天还2000.几个app下来多了几千块。</t>
  </si>
  <si>
    <t>2019/10/08 19:09:50</t>
  </si>
  <si>
    <t>2019年10月8日下午4点多，接到180******91的电话自称是广发银行的，对我进行暴力催收，说我被以前的同事列为紧急联系人，现在找不到他的人就要我来还钱，还威胁称找不到他会一直给我打电话，反馈给广发银行95508客服经理表示只能记录加急没有其他解决办法，这已经不是第一次，2018年时发生过类似事件已经和广发银行沟通，我已经不在原来的单位多年，但是广发银行依然在一年后对我进行骚扰，屡教不改，这么大的国企银行做这种黑恶势力的催收。</t>
  </si>
  <si>
    <t>2019/10/08 19:09:36</t>
  </si>
  <si>
    <t>本人在洋钱罐贷了一笔5000，分6个月还，第一期就遇到了困难导致逾期，洋钱罐催收人员就对我进行暴力催收，被逼无奈我到处借钱还了第一期借款1254.87元，在接下来的日子里不知道怎么过的，被个种网贷催收，一度想要轻生，真到我家里人开导我，我才挺了过来，现在想跟洋钱罐提钱一次性结清，催收人员不同意，不知道是什么个意思，是逾期费用很高想要吃定逾期费，还是后台硬跟本不怕，并且合同上的利息和合同不符，每日的逾期费用也跟合同不符，我说的很清楚不想困在网贷漩涡需要一次性结清，。</t>
  </si>
  <si>
    <t>2019/10/08 19:09:04</t>
  </si>
  <si>
    <t>本人在2018年4月25号借款3万，5月29号借款1千元，账单要还款28745.93元，点进去又要还款玖我还款29395元，涉嫌砍头息，高利率等问题，走投无路没有还款能力.。</t>
  </si>
  <si>
    <t>2019/10/08 19:08:58</t>
  </si>
  <si>
    <t>在本人不知情的情况下扣除本人银行卡里的299块。</t>
  </si>
  <si>
    <t>2019/10/08 19:08:36</t>
  </si>
  <si>
    <t>投诉人 何先生        投诉对象  360借条        涉诉金额  10 000 元    问题类型    诉求类型投诉详情  高利贷暴力催收，恐吓，不间断骚扰。态度恶劣。</t>
  </si>
  <si>
    <t>2019/10/08 19:08:26</t>
  </si>
  <si>
    <t>未经同意被中金支付从我银行卡中扣我500元，消费银企入金。</t>
  </si>
  <si>
    <t>2019/10/08 19:08:07</t>
  </si>
  <si>
    <t>美团点评,重庆美团三快小额贷款有限公司,美团金融，有还款意愿，无法协商，投诉无人理会，甚至要养户籍地发送函件，家中只有老人不愿接受函件。</t>
  </si>
  <si>
    <t>2019/10/08 19:07:50</t>
  </si>
  <si>
    <t>投诉人邓先生投诉对象贷上钱,暖心分期涉诉金额3000元问题类型诉求类型投诉详情已经协商好，已经还款，为何还不销账。</t>
  </si>
  <si>
    <t>2019/10/08 19:07:47</t>
  </si>
  <si>
    <t>9月26号我签收，刚签收卖家淘宝微信不断催促我给好评有红包，10月3号我发现衣服腋窝下破了，卖家说是我撑破的，我162cm.90斤，况且衣服是宽松的并不是我个人原因撑破，120块钱的衣服穿三次就破了难道不是质量问题吗，卖家以我穿过影响二次销售情况下拒收，也不退款。</t>
  </si>
  <si>
    <t>2019/10/08 19:07:43</t>
  </si>
  <si>
    <t>8月29日，买卖双方将过户后的新不动产证抵押给东莞兴业银行松山湖支行，到目前为止尚未放款，银行贷款经理推说目前银行有钱，但额度不足，需要很长时间才能放款，因我老婆在深圳上班，刚刚怀孕，实在不适合每天长途奔波，在卖掉东莞金域松湖房产的同时，2019年7月28日我又背靠背在深圳万科四季花城百合苑T栋201买了一套二手房，置换型卖房/购房纯属于刚需，实在无奈，并非炒房，目前由于东莞房产的银行不放款，严重影响了我深圳换房的首付不足，到2019年10月份已经涉嫌深圳购房买卖违约，同样，我也发律师函，要求东莞房产的买家</t>
  </si>
  <si>
    <t>2019/10/08 19:07:23</t>
  </si>
  <si>
    <t>本人在5月28号在今日头条鲁班后台申请关店，三个月后，8月25号申请退款，到如今迟迟不给退款，也无法联系他们公司客服，邮件无人回复，挺大的平台，这点诚信都没有，。</t>
  </si>
  <si>
    <t>2019/10/08 19:05:41</t>
  </si>
  <si>
    <t>几年前在洛阳机场候机，有个穿制服的人过来跟我推销这个卡，办理的黑金卡，说是充值800送800，每张机票比网上卖的便宜50-300，可是后来等我真正想订票的时候，我尝试在他们公司电话订票，价格不比网上便宜，再后来打了几次都比网上贵，我一次都没有消费过！最近打客服电话，都打不通，提示无权拨打，也订不了机票，价格又不便宜，实在不想用了，申请退换。</t>
  </si>
  <si>
    <t>2019/10/08 19:05:37</t>
  </si>
  <si>
    <t>我与银川世纪佳缘在3月24日签订6999元红娘服务；没想到交钱后的第一次介绍就出现了错误介绍的情况，见面时从女方的信息与红娘微信事先所述完全不一致，导致失败；后来服务中敷衍了事，又出现了重复介绍的低级错误；对此我失望至极，要求退款，而对方态度极其恶劣，与交钱之前完全就是两个概念，在前往门店谈退款时，对方拍桌子摔门，对我构成了精神上的威胁，后来答应10月8日给出退款答复；在我将他们投诉到聚投诉平台时，居然说我给他们压力，事实摆在面前，难道还不让人投诉吗，今天询问退款结果时，给我的答复是继续服务，不予退款；这不</t>
  </si>
  <si>
    <t>2019/10/08 19:05:35</t>
  </si>
  <si>
    <t>私自爆我通讯录，发信息给我通讯录好友，侵犯我的个人隐私，如是联系我的紧急联系人我可以理解，可是就这样给我手机里的客户发短信，损害我的个人名声。</t>
  </si>
  <si>
    <t>2019/10/08 19:05:33</t>
  </si>
  <si>
    <t>投诉人陈先生投诉对象友缘在线涉诉金额168元问题类型诉求类型投诉详情该公司旗下一款处处的软件，有个啥免费领取3天会员啥的，点进去就是支付宝开通自动扣费，然后我都不知道什么时候就扣了我168。</t>
  </si>
  <si>
    <t>2019/10/08 19:05:03</t>
  </si>
  <si>
    <t>2019/10/08 19:03:47</t>
  </si>
  <si>
    <t>现金巴士每期借款都要收120元的加速费，要不然就不能下款，处于急需资金的状态，本月到期没有及时还款，今天打电话威胁如果不能晚7点前处理就报通讯录，威胁还款，陆陆续续借款24期，要求退还砍头息，以及巨额的罚利息。</t>
  </si>
  <si>
    <t>2019/10/08 19:03:30</t>
  </si>
  <si>
    <t>买了一年多一点的手机主板就坏了，我怀疑买了个翻新机，如果真是这样，太欺骗客户了。</t>
  </si>
  <si>
    <t>2019/10/08 19:03:10</t>
  </si>
  <si>
    <t>6月30日，在豆豆钱贷款13200元，豆豆钱未经本人同意，多次非法扣取本人款项用于购买平台非法保险费1199元，涉嫌虚假广告宣传，变相砍头息，阴阳合同，在国家规定的借款利率不得超过36%的情况下，豆豆钱已远超国家规定，本人已咨询律师，其表示高于国家规定的利率不用偿还，不得强制贷款人购买多次非法保险，现要求豆豆钱合理合法安排利率，并且退还本人多次被强制购买非法保险费和评估等不合理的费用，本人也和客服沟通过好像用处不大，请平台帮忙要回这些不合理的费用！。</t>
  </si>
  <si>
    <t>2019/10/08 19:03:03</t>
  </si>
  <si>
    <t>本人工商银行信用卡应于2019年10月7日还款38177.93，于2019年10月8日早上10：:30收到短信通知，支出违约金190.89，晚上回家后于18:45存入总欠款外加违约金共38368.82，并致电客服准备销卡，客服告知，欠款已还，但由于晚还款一天，产生了几百块钱的利息，本人对此利息产生疑问，并作出如下解释，因恰逢国庆节期间，资金无法及时入账，本人故延迟一天归还，对于产生的190.89的违约金也欣然接受，毕竟晚还了一天结果却又产生其他没有任何通知也并未入账的利息，让人费解，客服表示此为银行规定，此</t>
  </si>
  <si>
    <t>2019/10/08 19:03:00</t>
  </si>
  <si>
    <t>本人在普陀山机场，被穿机场工作服的人推销云天商务尊享卡，承诺该卡能抵扣机票价格，但实际发现该操作协议声明里只能相应抵扣几十元机票钱，机票价格比携程网等贵并且贵宾卡上提供的网站根本不存在。</t>
  </si>
  <si>
    <t>2019/10/08 19:02:20</t>
  </si>
  <si>
    <t>，本月有资金想提前结清，但是我来贷APP上没有提前还款选项，不让提前结清，咨询了我来贷客服，客服不让，说只能一个月一个月结清，并且经计算，借款9082.5元，总计还款要11898.45元，，不给提前结清以及利息过高均违反了国家有关规定，现申请提前结清，减免利息以外的其他违规费用。</t>
  </si>
  <si>
    <t>2019/10/08 19:02:13</t>
  </si>
  <si>
    <t>投诉人林先生投诉对象广东移动涉诉金额50元问题类型诉求类型投诉详情上网超出了不及时提醒直接扣了50块钱话费才来提醒超出流量。</t>
  </si>
  <si>
    <t>2019/10/08 19:01:15</t>
  </si>
  <si>
    <t>在拼多多上面买了一个壳子，没收到货，申请退款，商家也把商品拦截召回去了，拼多多每次以系统检测异常为由，拒绝退款给我，我今天联系商家，商家也同意让我重新申请退款，早上我也联系拼多多小二告知了，小二说这次也上传商家同意退款的截图给售后专员了，没想到下午拼多多平台又推送了一天消息，说审核不通过，我想问的是，商家都同意给我退款，你们拼多多凭什么一而再再而三的拒绝给我退款，还关闭售后，你们专员是闭着眼睛瞎审核的吗，，想吃掉货款，真是无法无天了。</t>
  </si>
  <si>
    <t>2019/10/08 19:01:13</t>
  </si>
  <si>
    <t>以下是本人上一次的投诉:经过催收安抚和沟通，同意了沟通方案:停止骚扰无关人员，投诉过后微粒贷催收人员与我进行了沟通，承诺在一直跟我取得联系的情况下不再骚扰无关第三人，停止非法行为，但是我这边也在一直和女催收沟通，但是基本无果，每次都是让我去借钱还，甚至让我以贷养贷，我说我一下处理不了那么多，我会每个月都会处理，但是依然无法沟通，同时私下加我微信，经常微信催款！！！今天再次对我无关人员非法获取信息，进行电话骚扰，希望微粒贷管理好自己的催收，我会还钱，也请给与我一定时间。</t>
  </si>
  <si>
    <t>2019/10/08 19:00:25</t>
  </si>
  <si>
    <t>提前结清也也是一样借10500还17640。</t>
  </si>
  <si>
    <t>2019/10/08 19:00:08</t>
  </si>
  <si>
    <t>投诉人 李女士        投诉对象  拍拍贷        涉诉金额  10 000 元    问题类型    诉求类型投诉详情  拍拍贷二笔借款 已经把逾期都还上了 还要求结清全款 不按APP执行 群发通讯录骚扰家人 强烈要求停止这种行为</t>
  </si>
  <si>
    <t>2019/10/08 19:00:04</t>
  </si>
  <si>
    <t>10月6日13点57分，家人接到电话一条短信，号码10693540148704012302，通知当天下午6:20—6:50到衢江东方大酒店参加活动，后又在16:18分电话加催参加，电话185******82，家人当时简单告诉了我，我打电话过去问了下对方，对方说是万和26周年答谢老客户活动，我想我用过万和产品应该值得信任的就没说，然后我家人就去参加了，等到第二天我回家看到家里多了净水器、空气净化器等，我问家人才知道他们参加的万和活动现场说空气水污染危害种种，并现场做起实验，然后向大家推销万和净水机，说多少多少</t>
  </si>
  <si>
    <t>2019/10/08 18:59:45</t>
  </si>
  <si>
    <t>中信百信银行股份有限公司,通联支付网络服务有限公司，自动在我银行卡转走了478.56元，咨询客服是什么资金无答复。</t>
  </si>
  <si>
    <t>2019/10/08 18:59:37</t>
  </si>
  <si>
    <t>无缘无故冻结我的信用卡，我没有逾期过，全是他们说的算。</t>
  </si>
  <si>
    <t>2019/10/08 18:58:31</t>
  </si>
  <si>
    <t>京东金融，一开始我有6000千的额度的，从今年8月份开始就不给我借钱了，在京东金条我从来没有逾期记录，就不给我借钱，我希望聚投诉给我处理。</t>
  </si>
  <si>
    <t>2019/10/08 18:56:40</t>
  </si>
  <si>
    <t>在微博微卡贷平台中及贷借款12000，分12期需还款16320元，需还利息4320元，但是合同中规定年利率4.8%，总利息为576元，但是另外多收取审批服务费本金的2.4%，总计288元，协商减免利息，一次还清，不支持协商只能走法律途径。</t>
  </si>
  <si>
    <t>2019/10/08 18:55:35</t>
  </si>
  <si>
    <t>暴力催收，恶意骚扰通讯录，威胁打村委会电话，不愿意协商还款，。</t>
  </si>
  <si>
    <t>2019/10/08 18:55:20</t>
  </si>
  <si>
    <t>我借了4000元分6期，想提前还清因为觉得利息有点高，但是他们不同意少利息还是按分期的，我想提前还款。</t>
  </si>
  <si>
    <t>2019/10/08 18:54:41</t>
  </si>
  <si>
    <t>2019/10/08 18:54:40</t>
  </si>
  <si>
    <t>我们借款者都是冲着贷款去填的这些信息，结果你弄了个扣费协议在里面，这不是偷换概念。</t>
  </si>
  <si>
    <t>2019/10/08 18:54:24</t>
  </si>
  <si>
    <t>本人在你我贷借款3000元，分十二期，每期302元，本人已经还款十期，本来跟他们工作人员协商好，还款3000就可以了，现在还有两期，还在一直扣款，希望聚投诉帮助再次协商一下，希望你我贷予以销账。</t>
  </si>
  <si>
    <t>2019/10/08 18:53:59</t>
  </si>
  <si>
    <t>平台涉及高利贷，借款金额3000元，前三期每期还款562.35，剩余每期还款265.7，共计12期，共计还款562.35*3+265.03*9=4071元，实际年化利率远高于36%，要求赔偿已支付超额利息，并提前结清非法借贷欠款，打电话已经跟客服沟通了，客服一直说利率正常，后来我说怎么正常?你可以算算，客服又回复利率方面他也不专业，让我找专业人士计算，还款当天恶意催收，我说了又利息问题需要沟通。</t>
  </si>
  <si>
    <t>2019/10/08 18:53:40</t>
  </si>
  <si>
    <t>我第一期借了45000周转，下款是45000，但是合同上写借款金额50400，分了36期，每期还2379，后面利息太高还不上了，借了第二笔来还进去，也是跟前一笔一样的，当时并不知道利息那么高，算起来差不多借了8万左右吧，从18年七八月份我利息加本金还有7万多了，查看一下未还金额加利息还有7万多八万没还，算起来利息就高达快一半，而且她们还爆通讯录辱骂我的家人和加微信发短信威胁。</t>
  </si>
  <si>
    <t>2019/10/08 18:53:32</t>
  </si>
  <si>
    <t>来分期租赁堪比高利贷！本来在支付宝租了一个手机，显示扣除订金5099，之后分期支付了3588，期间一直有各种骚扰电话，，之后各种渠道找到了买断界面，发现买断需2600.49。</t>
  </si>
  <si>
    <t>2019/10/08 18:53:19</t>
  </si>
  <si>
    <t>手机借钱app里的多宝分期申请6000，每期还2398.8两个月总共还9595.2，利息高达3595.2，存在严重的高利贷行为，要求三期销账，后续不得进行骚扰。</t>
  </si>
  <si>
    <t>2019/10/08 18:53:12</t>
  </si>
  <si>
    <t>10月7号18点05分，单子我开着开着，感觉气少了，气压少也跳出来了，我马上靠边停车，检查，发现轮胎没气了，这时正好来单子，乘客知道我轮胎没气了，就把单子取消了，平台判我有责，扣了2个服务分，。</t>
  </si>
  <si>
    <t>2019/10/08 18:52:47</t>
  </si>
  <si>
    <t>高利息，借款7000，还款需还9519.96元。</t>
  </si>
  <si>
    <t>2019/10/08 18:50:56</t>
  </si>
  <si>
    <t>杉德支付,HANPAay,爱农驿站,广东信汇,瀚银科技,现在金融，通过中国人民银行和支付清算协会沟通得知第三方支付业务应审核客户的相关信息，第三方支付公司不得向证券、期货、博彩等机构提供支付结算业务，中国银联云闪付为非法博彩网站和商户提供支付功能，没有做到应做的义务，没有核实收款平台的信息，导致本人被引诱到一个网站充值，后来发现是网络赌博平台，并非正规的购彩网站，因为想退回钱财，结果被以流水不足等等各种原因让我充钱，作为有牌照的支付公司没有履行国家相关法律法规要求，希望有工作人员能够联系，要求第三方支付机构</t>
  </si>
  <si>
    <t>2019/10/08 18:50:26</t>
  </si>
  <si>
    <t>半年前在闪银奇异借了五千块钱，几天之后就要先还950，之后每月还得还九百多，借五千半年还六千五。</t>
  </si>
  <si>
    <t>2019/10/08 18:49:47</t>
  </si>
  <si>
    <t>严重骚扰，毁坏名誉，骚扰亲朋好友，乱发个人信息。</t>
  </si>
  <si>
    <t>2019/10/08 18:49:16</t>
  </si>
  <si>
    <t>本人今天上班没有接到闪银催收的电话，但是其后他拨打了我妈妈的联系电话，告知了我家人我在他们平台借款的情况，我妈妈现在已经气的住院了，希望该平台停止一切骚扰，在不知情情况下骚扰了家人，我妈妈本来有高血压，现在已经气的她出院观察，该平台要给我一个合理的解释，没有联系上我的情况下能不能已短信告知。</t>
  </si>
  <si>
    <t>2019/10/08 18:49:04</t>
  </si>
  <si>
    <t>8月27退的房现在10月份了押金和水电费押金还没退，说20个工作日退现在人都联系不到了。</t>
  </si>
  <si>
    <t>2019/10/08 18:48:40</t>
  </si>
  <si>
    <t>本人在易借款借款4350元，前期交会员费499元，分6期，每期851.66，本人已还款5期，今天又还了一百元，加乱七八糟费用共计还款4776元，结果还有七百多没有还，希望易借款平台可以销账。</t>
  </si>
  <si>
    <t>2019/10/08 18:48:31</t>
  </si>
  <si>
    <t>本人于9月底左右接受到拍拍贷的催收电话，其中语言恶劣，后致电拍拍贷客服告知本人并非其债务人，要求停止对我的骚扰，但今天又多次收到拍拍贷的催收短信，严重骚扰了我的个人生活！。</t>
  </si>
  <si>
    <t>2019/10/08 18:48:27</t>
  </si>
  <si>
    <t>2019年9月29日在猎趣app交易一笔金额1000，买家收到货后我的货款1000迟迟结算不了，无法体现，平台一直卡主钱，客服是机器人客服电话打不通。</t>
  </si>
  <si>
    <t>2019/10/08 18:48:09</t>
  </si>
  <si>
    <t>还款意识以及态度一直很好，没有任何问题，2019年9月，因个人经济状态出现问题，与美团多次沟通宽限几天还款，期间沟通美团方面许可我的延时还款，而后，美团委派第三方人员，直接拨打我的通讯录所有人电话，给我造成了极大影响，并多次发信息威胁我，要让美团送餐的师傅上门找我催收。</t>
  </si>
  <si>
    <t>2019/10/08 18:48:01</t>
  </si>
  <si>
    <t>投诉人王先生投诉对象店宝宝涉诉金额880元问题类型诉求类型投诉详情购买之前说赠送的东西一样没有看到，现在老是让优化标题优化主图，店铺还是没有一点起色。</t>
  </si>
  <si>
    <t>2019/10/08 18:47:37</t>
  </si>
  <si>
    <t>投诉人 禤先生        投诉对象  立刻出行        涉诉金额  499 元    问题类型    诉求类型投诉详情  申请退还押金已有一个多月一直无法退还押金</t>
  </si>
  <si>
    <t>2019/10/08 18:47:15</t>
  </si>
  <si>
    <t>2019/10/08 18:47:11</t>
  </si>
  <si>
    <t>本想借款才下载软件，下载说是必须缴纳19.9的会员费，拒就赔，可会员都过期了，还有9.9的会员费没有退回来，客服找尽各种理由拖延，完全不给出解决方案，19.9是必交的，因为说了可退才放心交，没想到交了就回不来，凭什么白给他们软件钱，一个人尚且这些，十个人呢，我的精神损失都不要了，就这九块九一分都不能少，没人会认栽，钱也不该白给他们，诱导消费者然后不退，不给解决问题，还擅自切断客服连线，不就是想赖账了吗。</t>
  </si>
  <si>
    <t>2019/10/08 18:45:55</t>
  </si>
  <si>
    <t>本人因情绪抑郁暂时无法工作没有还款能力，从上个月还款日开始一直耐心和现金巴士协商沟通，希望提前一次性结清来争取减免，因负债较多，希望可以在还够本金尽力保证24%的利息最高不超过36%的利息来结清，结果现金巴士坚持要我还高于36%的利息，并由于协商不一致导致每天产生高额逾期费！关于我和现金巴士沟通全过程可见帖子CN1308274，而在核对银行账单中发现，富友支付和宝付支付均为高利贷现金巴士违规提供支付渠道，图片有银行还款账单记录，每次借款前均以服务费形式收取砍头息，，公然凌驾于国家法律之上，不把银监会等相关国</t>
  </si>
  <si>
    <t>2019/10/08 18:45:23</t>
  </si>
  <si>
    <t>本人在立借app申请信用借款5000元，分3期还；前两每期本金为1666.5元，第三期本金为1667元，3期共本金计为5000元；前两期利息为149.98元，第三期利息为150.04元，3期利息共计为449.98元；项目名为“其他”的不明费用前两期为499.94元，第三期为500.02元，3期共计1499.9元，合计：本金5000元；利息449.98元；其他不明费用为1499.9元，要求立借撤销不明其他费用。</t>
  </si>
  <si>
    <t>2019/10/08 18:43:00</t>
  </si>
  <si>
    <t>2019/10/08 18:42:53</t>
  </si>
  <si>
    <t>2019/10/08 18:42:36</t>
  </si>
  <si>
    <t>我在宜人贷上面有借款一笔是2017年6月26日申请的一笔贷款金额为：40000元，分36期偿还，每月还1626.02元，共需还58536.81元，已还27期共43902.54元，剩余9期共14634.18元，我因2月份陷入了非法的高利贷小平台中发现是套路贷，经常收到恐吓威胁的催债电话，一开始还了快7万，无能为力才报警，警方已经立案，我还有很多大平台，现在警方要求我们分别跟大平台协商能否赔偿本金再加一点比银行高一点的利息给你们，我之前跟你们协商没同意，我现在已经还够本金并多出了3902.54元了，已经无力再还</t>
  </si>
  <si>
    <t>2019/10/08 18:42:28</t>
  </si>
  <si>
    <t>投诉人吴道庆投诉对象微粒贷涉诉金额962元问题类型诉求类型投诉详情本人因为微信被限制使用，逾期7天，微粒贷催收，恐吓，威胁说爆我通讯录。</t>
  </si>
  <si>
    <t>本人没有在360借条，上海淇敏信息科技有限公司借款过程中到账一分钱，现在却需要我还款2万多，请问现在都是这么猖狂的嘛。</t>
  </si>
  <si>
    <t>2019/10/08 18:41:30</t>
  </si>
  <si>
    <t>2019/10/08 18:41:15</t>
  </si>
  <si>
    <t>投诉人 何先生        投诉对象  豆豆钱        涉诉金额  70 000 元    问题类型    诉求类型投诉详情  不间断的骚扰亲朋好友。态度恶劣……电话恐吓……</t>
  </si>
  <si>
    <t>2019/10/08 18:41:01</t>
  </si>
  <si>
    <t>使用滴滴平台订车，平台拒不提供行程单，一定是乱收费。</t>
  </si>
  <si>
    <t>2019/10/08 18:40:40</t>
  </si>
  <si>
    <t>造艺科技平台的豹子贷恶意扣取服务费欺诈客户，请求解决问题。</t>
  </si>
  <si>
    <t>2019/10/08 18:39:12</t>
  </si>
  <si>
    <t>从贷款平台借款两千元，刚到账三分钟被快钱支付扣款1309，不知道这是什么款，并没有需要支付这个金额的东西。</t>
  </si>
  <si>
    <t>2019/10/08 18:38:55</t>
  </si>
  <si>
    <t>本人今天农业银行储蓄卡被通联泸快公司恶意扣费299元两笔资金。</t>
  </si>
  <si>
    <t>2019/10/08 18:38:54</t>
  </si>
  <si>
    <t>本人在既有分期贷款7700元，分24期，每期551元，以还13期，利息就6700多，现在因为一些事情没有还款，结果给我取消分期了，希望聚投诉可以帮助协商还款，适当给于减免利息。</t>
  </si>
  <si>
    <t>2019/10/08 18:38:39</t>
  </si>
  <si>
    <t>下午2点接到该催收人员电话，避重就轻，不说道歉之事，过程中，我提出道歉之事，直接破口大骂，人格侮辱，该催收人员在通话过程中讲“你以为你是谁啊，你是习近平啊”，后与之无法沟通，挂掉电话，然后该催收一直拨打电话，豪不夸张的说5分钟内，该催收人员可以拨打电话17余次~在此过程中，该催收人员拨打我之前单位电话，散播诽谤话语，致使我前单位两名同事给我拨打电话，而且给我前单位的正常工作造成严重影响，而且该催收人员骚扰完我前单位后，还给我拨打电话，电话中洋洋得意的把我的个人信息随意公布于众，该催收人员不仅侵犯我的名誉权，</t>
  </si>
  <si>
    <t>2019/10/08 18:38:17</t>
  </si>
  <si>
    <t>投诉人 林侠        投诉对象  小浦优客        涉诉金额  296 元    问题类型    诉求类型投诉详情  不知道什么情况 就被扣款了 而且 申请贷款也是半个月前的事情了 今天突然被扣款</t>
  </si>
  <si>
    <t>2019/10/08 18:36:59</t>
  </si>
  <si>
    <t>投诉人吴先生投诉对象Wecash闪银涉诉金额2000元问题类型诉求类型投诉详情闪银借款收取砍头息，并且暴力催收，威胁我说要联系家里人，我上个月还了2000多了，再给我点时间不行吗，我一直在想办法还钱了。</t>
  </si>
  <si>
    <t>2019/10/08 18:36:24</t>
  </si>
  <si>
    <t>2019/10/08 18:36:22</t>
  </si>
  <si>
    <t>贷款40000，收了我3200手续费，又收了我12000的保证金，现在账户给我冻结了，钱不退还给我。</t>
  </si>
  <si>
    <t>2019/10/08 18:35:49</t>
  </si>
  <si>
    <t>我有两个月没有还款，一时的困难，现在是7百多元没有还进去，绑定的银行卡一有钱就扣款，之前我没有接到电话就打给我家人，之前写紧急联系人我没有写我家人的电话，你们都查到我家人的电话，然后骚扰他们！今日我收到信息说10月10号发律师函，连我亲朋好友都收到，然后告诉我发生什么事，严重影响我亲朋好友的生活！我家人都收到信息，我回家问我怎么回事，导致我跟家人吵大架！我要求停止骚扰我家人和朋友，再给时间去还款。</t>
  </si>
  <si>
    <t>2019/10/08 18:35:34</t>
  </si>
  <si>
    <t>连连支付为微品分期提供不合理通道放款3000，秒扣保险570，不提供保险单号。</t>
  </si>
  <si>
    <t>在支付宝生活号惠租租赁租赁手机，由于给了2500免押额度，我租赁的手机3000多，特意开通了168会员，但是支付完成会员后下单租赁居然给关闭订单了，不断拨打客服电话151******75始终无人接听，诉求退还会员费168元，不能使用你平台的免押租赁，这168元必须得退给我。</t>
  </si>
  <si>
    <t>2019/10/08 18:35:27</t>
  </si>
  <si>
    <t>投诉人 邓先生        投诉对象  小通币咚,通联支付        涉诉金额  299 元    问题类型    诉求类型投诉详情  私自扣款银行卡用途不明确，质询客服无回应</t>
  </si>
  <si>
    <t>2019/10/08 18:35:12</t>
  </si>
  <si>
    <t>借1000，分三期还，每期还364，逾期一天要10块，利息过高。</t>
  </si>
  <si>
    <t>朋友在捷信借的钱，捷信找不到人就一直电话骚扰我，完全影响了我的正常生活。</t>
  </si>
  <si>
    <t>2019/10/08 18:34:51</t>
  </si>
  <si>
    <t>对，我欠你们钱逾期了，这我承担主要责任，但我也不是想赖着不还，和你们催收协商，得到的是今天下午几点几点就要还清，这叫协商吗，希望不要再威胁我上群发我欠款短信给我通讯录里的人，有钱我会还的，不要再逼了，谢谢。</t>
  </si>
  <si>
    <t>2019/10/08 18:34:20</t>
  </si>
  <si>
    <t>贷上钱，吃人平台，原投诉工单CN1327959非作正面回复客户，今天再次开始，又使用不同的网络号码，群打通信录的号码，恐吓威胁我亲朋好友，对我再次造成生活工作的压力，现本人再次重审，贷上钱要对我造成的骚扰负上一切法律责任。</t>
  </si>
  <si>
    <t>2019/10/08 18:34:18</t>
  </si>
  <si>
    <t>我因暂无还款能力，360借条已经逾期了，他们就对我展开暴力催收，威胁我本人，骚扰我父母，爆我的通讯录，丝毫不顾及别人的感受，其行为无耻至极！不仅如此，平台还收取不正常的高额罚息，我还主动联系过他们客服，说明我的情况，并没有逃避不还，只是真的没有还款能力，并表示总有一天我会连本带息全部还清。</t>
  </si>
  <si>
    <t>2019/10/08 18:34:12</t>
  </si>
  <si>
    <t>不是本人操作，迟迟不见退款，望跟踪一下，催促一下。</t>
  </si>
  <si>
    <t>2019/10/08 18:34:06</t>
  </si>
  <si>
    <t>强制购买还款小秘书，还打电话威胁我，爆通讯录。</t>
  </si>
  <si>
    <t>2019/10/08 18:33:32</t>
  </si>
  <si>
    <t>恶意电话轰炸，爆破通讯录，暴力催收，态度恶劣，。</t>
  </si>
  <si>
    <t>携趣网络技术上海有限公司,通联支付,易小借,造艺技术,通联沪快，乱扣钱，完全是欺诈行为，要求退款，道歉，给个解释。</t>
  </si>
  <si>
    <t>2019/10/08 18:33:18</t>
  </si>
  <si>
    <t>两天下载的拇指借款，没有用，但是今天告诉我说充值了什么小银卷，私自扣我银行卡里的钱，希望退还。</t>
  </si>
  <si>
    <t>2019/10/08 18:33:00</t>
  </si>
  <si>
    <t>因急用钱而错信，1400元三个要还2100多，利息实在太高了，。</t>
  </si>
  <si>
    <t>2019/10/08 18:32:57</t>
  </si>
  <si>
    <t>投诉人周先生投诉对象立借涉诉金额10000元问题类型诉求类型投诉详情申请的时候显示的还款方式计划和放款后不一样，前三期就要还完本金加高额利息、这严重欺骗我们消费者的权益而且费用高出国家法律保护的范围、有多位人士都遇到了啊！要求改掉目前的还款计划改为月等额本息还、寻求法律保护……其它费用特别高且不合理要求不予偿还的、立借还有催收威胁现象有图为证、被套路贷的人还挺多！。</t>
  </si>
  <si>
    <t>2019/10/08 18:32:45</t>
  </si>
  <si>
    <t>本人资金链断了，想延期还款，但是催收打电话过来一直威胁我，要怎么怎么的。</t>
  </si>
  <si>
    <t>2019/10/08 18:32:22</t>
  </si>
  <si>
    <t>投诉人李女士投诉对象wxid_b3o9t4eh79u022,微信号涉诉金额1189元问题类型诉求类型投诉详情在闲鱼上买电脑，结果让我到微信，先让我付了顺丰到付的邮费，快递到了又付了电脑1189元的钱，结果发现电脑无法正常使用，要求退货退款，无人回应。</t>
  </si>
  <si>
    <t>2019/10/08 18:31:58</t>
  </si>
  <si>
    <t>在本人不知情的情况下被泰迪熊标记为骚扰电话，对我的生活和工作造成很多影响，在官网上查询让客服取消竟需要花钱取消，对此十分气愤！要求泰迪熊移动给出合理解释，并将手机号码的标记取消。</t>
  </si>
  <si>
    <t>2019/10/08 18:31:53</t>
  </si>
  <si>
    <t>我在玖富万卡上面有借款一笔是2017年10月7日申请的一笔贷款金额为：30000元，分36期偿还，每月还1416.63元，共需还50998.68元，已还23期共32582.49元，剩余13期共18416.19元，我因2月份陷入了非法的高利贷小平台中发现是套路贷，经常收到恐吓威胁的催债电话，一开始还了快7万，无能为力才报警，警方已经立案，我还有很多大平台，现在警方要求我们分别跟大平台协商能否赔偿本金再加一点比银行高一点的利息给你们，我之前跟你们协商没同意，我现在已经还够本金并多出了2582.49元了，已经无力</t>
  </si>
  <si>
    <t>2019/10/08 18:31:36</t>
  </si>
  <si>
    <t>本人360借条因特殊原因造成逾期，一直在想办法尽快还款，已向客服人员说明情况，并尝试主动协商还款计划，本人电话一直保持畅通，但催收人员未经允许，私自盗取通讯录信息，对家人和好友进行骚扰，已严重侵权了个人隐私，对家人和朋友造成极大困扰！强烈要求360立即停止违法盗取通讯录信息，停止暴力催收，非法骚扰家人和朋友！。</t>
  </si>
  <si>
    <t>2019/10/08 18:31:30</t>
  </si>
  <si>
    <t>投诉人 张女士        投诉对象  顺分期,可乐分期        涉诉金额  1 500 元    问题类型    诉求类型投诉详情  顺分期原可乐分期APP下线导致强制逾期 之前有平台发短信说已经下线做了销账处理 但现在有人打电话说是客服让加微信对公处理 还说自己是真的客服人员 如果不相信他就要公开我的信息暴露我的资料 给通讯录人打电话 希望能处理一下 我也有电话录音</t>
  </si>
  <si>
    <t>2019/10/08 18:30:55</t>
  </si>
  <si>
    <t>本人于7月8日通过支付宝话费宝参与充值300元送30元活动，支付完成后于8月16日收到50元话费后，之后一直未收到话费，联系10086客服去后来让我自己打400-66-30666电话，但是一直打不通。</t>
  </si>
  <si>
    <t>2019/10/08 18:29:33</t>
  </si>
  <si>
    <t>投诉人 汪先生        投诉对象  Wecash闪银        涉诉金额  3 000 元    问题类型    诉求类型投诉详情  近期遇到特殊情况，希望平台给予时间凑款。不要再打任何联系人的电话</t>
  </si>
  <si>
    <t>2019/10/08 18:29:08</t>
  </si>
  <si>
    <t>总共贷了4000，分十二期，每期453.33，总共要还5439.96，利息超过国家规定，已经还了两期，第三期逾期了五天，从还款日当天就开始对本人进行电话及短信骚扰，严重影响了一个人的正常生活，今天打电话过来语气非常不好，开始威胁恐吓我，本人从来没有说不还款，而是这几天确实碰到困难，推迟几天还款，他们就不给协商机会，同时说要走公司流程紧接着就开始打联系人的电话，我想问一下他们开始打通讯录电话是不是国家法律允许的，严重侵犯了我的个人隐私，我打客户电话投诉直接就接到那边去了，在不受理的同时还对当时人继续开始催收，</t>
  </si>
  <si>
    <t>2019/10/08 18:28:44</t>
  </si>
  <si>
    <t>http://103.88.33.37:8888/Member/DanHaoSearch.aspx，这是他们的网站，主要是用来购买快递单号的，安全检测/扫描状态这一项，用来查看单号是否已扫描，好多次点击检测，结果显示未扫描，可购买单号后，再用单号到百度或快递网站点查却已经有物流信息了，也没有那么多时间挨个去核查，是平台通知我虚假交易了，才知道原来是购买的单号出了问题，里边还有四百多块，实在不敢再在这个网站买单号了，联系客服也联系不上，麻烦退我钱！。</t>
  </si>
  <si>
    <t>2019/10/08 18:28:43</t>
  </si>
  <si>
    <t>本人2019年7月借款80000元，在本人不知情的情况下扣除保险费用240元，要求退还费用2400元，，本人并不知情有这个费用，。</t>
  </si>
  <si>
    <t>2019/10/08 18:28:08</t>
  </si>
  <si>
    <t>投诉人 张先生        投诉对象  贷上钱        涉诉金额  4 000 元    问题类型    诉求类型投诉详情  贷上钱 借了4000 到了还款日需要多还1200的利息</t>
  </si>
  <si>
    <t>2019/10/08 18:27:30</t>
  </si>
  <si>
    <t>表哥在平台借了5000块钱，平台恶意扣款，不退款，电话联系了一次，在上班没接上，就不在管了，联系客服未果。</t>
  </si>
  <si>
    <t>2019/10/08 18:27:19</t>
  </si>
  <si>
    <t>往家里发崔收信恶意骚扰亲朋好友冒充法务部要起诉我希望捷信金融公司给个解释。</t>
  </si>
  <si>
    <t>2019/10/08 18:26:30</t>
  </si>
  <si>
    <t>前几天我缺钱就下载了小浦优客，然后我登路上去按照小浦优客的提示下超作，一直到最后一步，我看到需要付费，我就停止了超作，结果我今天银行卡有一笔收入，在未经过本人的同意下，小浦优客就把钱给扣走，我都没有享受你们的服务，你们为什么私自扣我的钱，虽然钱不多，但是你们也不应该私自扣我钱啊。</t>
  </si>
  <si>
    <t>2019/10/08 18:26:26</t>
  </si>
  <si>
    <t>9月22日，在威海参加创维老客户答谢活动被忽悠，主持人采用夸大宣传、虚假引诱、大幅优惠误导家里老人花了3699元购买创维JS1食材净化机一台，送了一个创维破壁机和海尔空气净化器，回家在创维官网上经查后，找不到这款机器的任何资料，连准确价格也没有，机器上贴的所谓厂家地址也不是创维的主要厂址，根本就是贴牌生产，，现在机器没有动过完好的保存放在家中，要求创维退货退款。</t>
  </si>
  <si>
    <t>2019/10/08 18:26:15</t>
  </si>
  <si>
    <t>小赢卡贷～～客服恶意催收～侮辱并恐喝我～～还威胁要爆我通讯录。</t>
  </si>
  <si>
    <t>2019/10/08 18:25:41</t>
  </si>
  <si>
    <t>几天前看旺卡猫的app里面有个会员199元说是注册会员有效的为我提供精准贷款app如果没有贷款成功联系客服退会员费199可是贷款没有成功联系客服退款客服说要按照要求操作才能退款但是操作了几次都不行我希望旺卡猫退会员费199元。</t>
  </si>
  <si>
    <t>2019/10/08 18:25:34</t>
  </si>
  <si>
    <t>其在正规客服下班后，来电进行威胁，并宣称获取我的实时通话记录，群发短信编造个人不实信息，宣称辱骂他人等！该平台利率远超国家规定，要求查封！。</t>
  </si>
  <si>
    <t>2019/10/08 18:25:22</t>
  </si>
  <si>
    <t>融360平台提供小贷产品进行放款，从中收取高额的砍头利息费用，我现在要求他们退回我部分砍头利息的费用。</t>
  </si>
  <si>
    <t>2019/10/08 18:24:37</t>
  </si>
  <si>
    <t>各地电话的骚扰，催收，家里人收到很多次群发伪造的律师函，搞得我有些抑郁症，陌生电话不敢接，之前协商过，对方不同意，停止骚扰群发律师函。</t>
  </si>
  <si>
    <t>2019/10/08 18:24:24</t>
  </si>
  <si>
    <t>2018年4月份由于家里有人生癌症，后期治疗急需钱，捷信公司就打电话说可以借款，当时真是救命稻草！借了16000分了24期，一期还1022其中有什么手续费管理费的，我还了17期，最近资金周转不开一期晚还就狂打电话，一天二十几个电话，严重影响工作！没有工作拿什么钱还，退一万步讲本金收到就不错了！！非要这么黑心把人逼死才开心吗。</t>
  </si>
  <si>
    <t>2019/10/08 18:24:16</t>
  </si>
  <si>
    <t>投诉人施先生投诉对象腾讯涉诉金额100000元问题类型诉求类型投诉详情我以9月20日要求腾讯开发票给我，并说明了要纸质发票，腾讯客服叫我导出微信充值记录，筛选出需要开票的内容并发送到指定邮箱，我于2019年9月25日，别给我提供微信开发票的通道一条24小时，这不合适，中午12:38筛选了微信部分的记录总和人民币6万多元的充值记录发到对应邮箱，当初同意帮我调取2017至今QQ的所有消费记录，但是只有调取了10多条，还有2万多的Q币充值和交易记录没有给我调取，我多次反应于2019年10月8日联系了我，客服告诉我</t>
  </si>
  <si>
    <t>2019/10/08 18:23:40</t>
  </si>
  <si>
    <t>你我贷暴力催收，威胁说大晚上让我亲朋好友睡不好觉，挨个打电话！！！有录音！！！。</t>
  </si>
  <si>
    <t>2019/10/08 18:23:20</t>
  </si>
  <si>
    <t>钱站每期未到还款日便开始催收，还扬言半小时内不还。</t>
  </si>
  <si>
    <t>2019/10/08 18:23:07</t>
  </si>
  <si>
    <t>2017年9月通过贷款公司在该平台贷款80000元整，实际到账60000元，36期，每期还款3414.55元，共计需还122900多元，要求降低服务费和砍头息，中间有三天未能及时还款，拨打我的通讯录，协调拘不调整，希望能够通过该平台帮助自己维护权益。</t>
  </si>
  <si>
    <t>2019/10/08 18:23:06</t>
  </si>
  <si>
    <t>承诺5-10个工作日退还押金，至今未退，无车使用，充值金额无法使用。</t>
  </si>
  <si>
    <t>2019/10/08 18:22:32</t>
  </si>
  <si>
    <t>在学慧网报名自考教育行政管理专科，申请了退全款，也签订了相关退费协议但是4个月过去了还是没有退钱！。</t>
  </si>
  <si>
    <t>2019/10/08 18:21:24</t>
  </si>
  <si>
    <t>本人因账户被盗刷，导致资金周转困难，逾期2天，也报警处理，在此特向相关部门领导和人员替我协商处理：1.小花钱包私自暴露并拨打亲友电话，联系第三方2.小花钱包影响借款人声誉，发借款信息给亲友3.小花钱包恐吓强制催收流程，要求我全额还款并强制解除分期，两年的分期我都快还完了，就剩最后4期了，没必要这么绝吧，我也主动联系，电话接不通，短信不回，只顾自己威胁还款，导致本人心理压力，无法正常工作！无法正常工作就意味着无法有效周转到资金。</t>
  </si>
  <si>
    <t>2019/10/08 18:21:01</t>
  </si>
  <si>
    <t>本人在中腾信借款5万，分24期还款，每期还款2831.33元，现在已还21期，从未逾期，但由于10月5日应还第22期资金无法周转导致逾期，却收到中腾信催收威胁电话，及威胁短信，现要求中腾信官方给出相应解释并协商解决，同时赔礼道歉，同时回拨电话，对方转接到中腾信官网接通电话无任何反应，而且今天下午中腾信催收不听我说完直接挂电话，威胁我。</t>
  </si>
  <si>
    <t>2019/10/08 18:20:01</t>
  </si>
  <si>
    <t>万惠及贷早在三个月前就不停短信电话轰炸，辱骂我的家人朋友，我已经和工作人员说了，除非道歉，不然就走法律程序，欠款人也有人权的，凭什么被你们骚扰就要忍着，更可怕的事，我十年不联系的朋友每天都能收到催收电话和信息，我可以还款，但是万惠及贷必须道歉，我也保留了录音和短信，不然就走法律程序。</t>
  </si>
  <si>
    <t>2019/10/08 18:19:38</t>
  </si>
  <si>
    <t>投诉人宋先生投诉对象51人品涉诉金额2000元问题类型诉求类型投诉详情监管部门何在，为人民服务，什么态度，上来就骂人，你算什么玩意，小孩到我面前来报到，请你吃肉，有意思吗，想怎么玩，我有的是办法，去各平台，社交网络举报，投诉，发帖，我有录音证据，多说无益。</t>
  </si>
  <si>
    <t>2019/10/08 18:19:14</t>
  </si>
  <si>
    <t>我在这家苏宁易购店铺买了一个巴萨球衣收到货发现质量特别差，线头多的味道也多，是假货，然后我就去问卖家卖家没有正品授权，在苏宁易购卖耐克巴萨的球衣，我收到货上面写的是巴萨的吊牌，然后有耐克的商标logo，然后卖家页面上展示的是别的品牌，授权的没有耐克的品牌卖家的明显卖假货，和卖家沟通，卖家出示不了正品授权和进货渠道。</t>
  </si>
  <si>
    <t>2019/10/08 18:18:44</t>
  </si>
  <si>
    <t>本人使用该银行卡片多年，一直都是良好使用从未逾期，在卡片未逾期前就打了银行客服电话要求做分期，客服说不能分期，前几天有个自称人民银行的人加我好友然后说可以帮我做停息挂账，分期，我问了他工号多少没有回复，还发了一张说是报安函说我不拒不还款，本人从未说过不还款的话，因最近经济遇到困难暂时无法全额还款，催收就一直骚扰家人，造成严重困扰，要求停止骚扰并道歉，现要求银行协商分期处理。</t>
  </si>
  <si>
    <t>2019/10/08 18:18:30</t>
  </si>
  <si>
    <t>投诉人厉先生投诉对象点刷,开店宝支付涉诉金额8600元问题类型诉求类型投诉详情国庆期间不处理能理解，工作日依旧不处理，问题上报没有处理方案。</t>
  </si>
  <si>
    <t>2019/10/08 18:18:27</t>
  </si>
  <si>
    <t>一个朋友这两天下载的拇指借款，没有用，但是今天告诉说说充值了什么小银卷，私自扣银行卡里的钱，希望退还，客服不处理只有上投诉了。</t>
  </si>
  <si>
    <t>2019/10/08 18:18:13</t>
  </si>
  <si>
    <t>在国美易卡申请的一个帐号，现在不想用，客服不给注销帐号，无债务关系。</t>
  </si>
  <si>
    <t>2019/10/08 18:17:53</t>
  </si>
  <si>
    <t>投诉人 康先生        投诉对象  来分期        涉诉金额  3 000 元    问题类型    诉求类型投诉详情  来分期起初因为我个人问题住院一期逾期。然后外包催收。说上门弄死我。知道我地址。让我小心点。我反馈客服客服给不处理。之后协商不处理。一拖四个月。现在又开始电话轰炸人工。接了不说话就挂。每天不分时段一小时1-6个电话。无休止不停。国家严打来分期还是顶风作浪。打电话不处理。就是电话骚扰爆通讯录辱骂</t>
  </si>
  <si>
    <t>2019/10/08 18:17:50</t>
  </si>
  <si>
    <t>本人于2019/8/18和2019/9/22在闪电借款平台借了两笔借款，一次5000，一次3500，两次都需要购买财神黑卡500元和500元才给下款，借款50天需要还8925，第一笔借款5000，快到还款日我提前联系客服人员更改一下帐单日期不给办理，逾期了一天费用高达225，希望能协商还款取消掉逾期费用。</t>
  </si>
  <si>
    <t>2019/10/08 18:17:13</t>
  </si>
  <si>
    <t>因本人工作出点意外导致逾期可是每天我都会接电话捷信一直催收这是要钱还是要命只希望贵公司能给几天时间不要求减免。</t>
  </si>
  <si>
    <t>2019/10/08 18:17:03</t>
  </si>
  <si>
    <t>在某平台申请了一张性用卡，在9.30号左右邮到了遵义邮政银行旱桥分行，派件员就联系我说送不了国庆期间，我回应没关系国庆后我自己到他们分行领取，今天10.8日我准备取回我的邮件，第一次到那个地方，不是特别清楚路况，一番询问到了邮政银行、在邮政银行边上看见了他们的派件人员正在派件，我就上去小声的问了一下哥哥取件是在您们这里吗，他就很严肃的大生说电话，我的吗，他说要派单电话，我拿着手机翻了一下给他念到189...他就打断了我说这里上班那么多189，我他妈一个个给你找啊，我当时都傻了，这是银行，这是2019年，我没</t>
  </si>
  <si>
    <t>2019/10/08 18:16:59</t>
  </si>
  <si>
    <t>根据当初招商时候的说明，是T加1结算模式，现在是一直提现中，不打款，我们作为销售商，也需要付款给供货商，希望平台可以积极处理，打款给我们。</t>
  </si>
  <si>
    <t>2019/10/08 18:16:52</t>
  </si>
  <si>
    <t>因为协商未果，小象爆我通讯录，我去投诉还死不承认，今天居然群发信息给我家人朋友，骚扰他们，我最近确实困难，但是我从头到尾没说过不还，他们就认定我不还，有钱谁会不还，所以我一样给我一个合理的说法。</t>
  </si>
  <si>
    <t>2019/10/08 18:16:06</t>
  </si>
  <si>
    <t>诱导用户缴纳会员费，欺骗消费者属于欺诈消费者，请求退还会员费。</t>
  </si>
  <si>
    <t>2019/10/08 18:16:00</t>
  </si>
  <si>
    <t>支付宝借呗，在没有通知的情况下，私自将用于马上手术用的周转的钱划扣，导致手术搁置。</t>
  </si>
  <si>
    <t>2019/10/08 18:15:47</t>
  </si>
  <si>
    <t>安逸花催收未经同意把本人账单资料发给联系人。</t>
  </si>
  <si>
    <t>2019/10/08 18:15:21</t>
  </si>
  <si>
    <t>支付宝花呗之前逾期，昨天已经把逾期费用全部处理，现在显示的是没有逾期，并且账单显示十一月份待还是三百多，现在催收天天打电话给我要我全部处理，我今天早上联系客服，客服说她查到我要全部处理我说我这边显示的是十一月份待还也就是待处理，我说既然你那边查到的是要一次性结清你就把你那边一次性结清的截个图给我，客服说不能提供既然我查我自己的不能提供那你们还可以把我的个人信息提供给第三方催收，你们这不属于霸王条款吗，我和你们客服说你要我一次性处理你就把我的一次性处理的账单发到支付宝上，提供你们查询到的截图给我，我的账单显示</t>
  </si>
  <si>
    <t>2019/10/08 18:15:08</t>
  </si>
  <si>
    <t>3月2日这天，谈好去店只作2小时交流，不带钱和银行卡的，可对方花了4小时以上的时间让我相信她，根本没让我有回家思考和筹款的时间，就以借贷方式签下合同，以下的事都是懂的，现在我明明白白亲身经历过了，自己完完全全上了她们的套。</t>
  </si>
  <si>
    <t>2019/10/08 18:14:35</t>
  </si>
  <si>
    <t>宣传与实际规则不符，误导用户，希望得到处理。</t>
  </si>
  <si>
    <t>2019/10/08 18:14:14</t>
  </si>
  <si>
    <t>信用管家云享贷，已经远远超过国家法定利息，比高利贷的利息还高，现在要求退回500元手续费，或者就此销账，绝不多还一分钱，本人于2019年9月29日已经投诉，至今没有任何人联系我，现在就等催收打电话，录音加核实催收电话，立马报警，扫黑办投诉，这种社会败类不除天理难容，如有执法部门需要，本人全力配合，需要什么证据本人全力提供，发誓要把这种无良黑心平台铲除。</t>
  </si>
  <si>
    <t>2019/10/08 18:14:12</t>
  </si>
  <si>
    <t>因这个月月头公司工资还没下放到卡里，暂时没办法处理闪银至尊借款以及闪银瞬瞬的欠款，但闪银至尊的催收打电话进来时我和闪银瞬瞬的催收在沟通无法接到电话，后又拨打了官方的客服电话，打了几次都无法接进去，服务时间不是到今晚八点吗。</t>
  </si>
  <si>
    <t>2019/10/08 18:14:03</t>
  </si>
  <si>
    <t>乱扣钱，在我毫不知情的情况下，扣除我卡里的钱，要求退款。</t>
  </si>
  <si>
    <t>2019/10/08 18:13:36</t>
  </si>
  <si>
    <t>一直不发货这都过了国庆还没有给发，等的花都卸了，还不允许无理由退。</t>
  </si>
  <si>
    <t>2019/10/08 18:13:28</t>
  </si>
  <si>
    <t>投诉人 曾先生        投诉对象  嗨钱网        涉诉金额  2 000 元    问题类型    诉求类型投诉详情  嗨钱网还了款没消账 一直显示逾期 还有仲裁书</t>
  </si>
  <si>
    <t>2019/10/08 18:13:27</t>
  </si>
  <si>
    <t>协商还款，好易借分十二期，第一期就三千多，前三期要还完本金和大量利息！！！。</t>
  </si>
  <si>
    <t>2019/10/08 18:11:37</t>
  </si>
  <si>
    <t>我的不知道什么原因银行发来信息扣款！我不知道这是什么钱。</t>
  </si>
  <si>
    <t>2019/10/08 18:11:36</t>
  </si>
  <si>
    <t>在renzheng.douyin.com上开通抖音蓝V付费600，正常填写提交抖音客服打电话过来说未审核过，营业执照中涵盖了医疗器械，必须改营业执照经营内容或者换营业执照才可以，因为有这个经营范围肯定不会去改，抖音不予退费；没有享受到开通的效果，肯定要退费，抖音不理不睬不退费霸王条款，欺凌消费者弱势群体；客服之间相互推诿，找不到解决人；聚投诉养天地间正气、请主持公道。</t>
  </si>
  <si>
    <t>2019/10/08 18:11:25</t>
  </si>
  <si>
    <t>投诉人 吴海燕        投诉对象  安逸花        涉诉金额  1 731 元    问题类型    诉求类型投诉详情  停止电话骚扰恐吓联系人。。。。。。。。。。。。。。。</t>
  </si>
  <si>
    <t>2019/10/08 18:10:44</t>
  </si>
  <si>
    <t>造艺科技旗下的聚富分期恶意收取299元，信征查询费，要求退回299元。</t>
  </si>
  <si>
    <t>2019/10/08 18:10:37</t>
  </si>
  <si>
    <t>投诉人杜先生投诉对象上海造艺网络科技有限公司,豹子贷涉诉金额250元问题类型诉求类型投诉详情本人于10月6日在豹子贷平台，当时没认真看，后面打过好几次客服他们一直拿这个条款协议说事儿，，这个条款就是扣款协议，后面我也在不知情的情况下扣了款，本来是要扣299的，但是这个卡里没那么多钱，所以只扣了二百五十元，这属于恶意扣款吧，之后打客服电话，客服说想要退款需要走平台的流程，把自己的身份证，手持身份证照片复印件寄给她们，可是这么一个贷款平台谁敢把这些东西寄给他们呢，他们还说只有这一种退款方式，不同意就不能退款，可</t>
  </si>
  <si>
    <t>2019/10/08 18:10:10</t>
  </si>
  <si>
    <t>本人在钱站借1000元分三期，合同则显示1330本金，还了一期后，诱导又借了1000服务费2百多，合同显示1400，逾期1天好几十，每天不停骚扰你亲朋好友，对本人侮辱，骂，，望有关部门严励打击，协商还款。</t>
  </si>
  <si>
    <t>2019/10/08 18:09:53</t>
  </si>
  <si>
    <t>大概前两个月有一个自称是世纪佳缘的五星红娘董老师给我打电话，问我现在有没有对象，我说没有，然后他就说来说去的说，前两天有一个女孩子来到我们的门面店，那个女孩子非常适合你，说那个女孩子，怎么怎么的好，当时呢，我听了我觉得还可以，他就问我有没有时间来他们那里一趟，嗯，后来我就去了他们那里，然后他们就说他们的成功率是多高，什么什么的，是什么五星级红娘成功率在80%以上，后来被忽悠的一愣一愣的，稀里糊涂的就把钱交了，唉，后来才发现上当了，可能是我太容易相信人了。</t>
  </si>
  <si>
    <t>2019/10/08 18:09:27</t>
  </si>
  <si>
    <t>没说什么挂了电话直接打到我妈那，我爸现在在重症监护。</t>
  </si>
  <si>
    <t>2019/10/08 18:08:57</t>
  </si>
  <si>
    <t>9月13日借了钱，准备上门催收，可本人并没有在此平台上借过钱故进行投诉，电话我也录了音，也报了警，警察说如果有人上门，可聊系他们，我希望急用钱平台立即停止对我的骚扰，向我赔礼道歉。</t>
  </si>
  <si>
    <t>2019/10/08 18:08:54</t>
  </si>
  <si>
    <t>借款2200需要买600元的黑卡，买了以后借款失败，联系客服不给退款。</t>
  </si>
  <si>
    <t>2019/10/08 18:08:43</t>
  </si>
  <si>
    <t>至尊借款，分六期还款，这是第五期，因为国庆期间资金不足，本来要处理的，结果转账错了，被支付宝扣了，导致第五期只还了400多，今天催收打电话了，要求六点还款，但是真的没周转过来，所以请求协商还款，15号发工资，连第六期全部处理完，但是请不要骚扰我的通讯好友什么的，因为欠钱的是我，15号连第六期全部处理完，如果真的过分的话，我也在北京，大不了鱼死网破，那就去你们公司去协商，公司地址也知道，每次账单都是按时还，有两期虽然逾期，但是都是催收一打电话都想办法周转处理了。</t>
  </si>
  <si>
    <t>2019/10/08 18:08:39</t>
  </si>
  <si>
    <t>敢问贵平台，两万多块钱，让催收人员上门拿着不正规的条例，这是你们所谓正规渠道处理方式！找亲戚有用，那你们继续保持，为了业绩你们也真是不不折手断！要是真的正规，我给你们想点子，让我去死你们收尸，看看能不能拿到钱，继续再骚扰别人，我会先起诉你们，侵权行为和恐吓亲戚，让你们对自己的行为去负责，最后必死孕妇！。</t>
  </si>
  <si>
    <t>2019/10/08 18:08:26</t>
  </si>
  <si>
    <t>程咬金借款砍头息，前期以服务费的名义收取高额砍头息！，延期一次，已全额还清，砍头息总额收取我1405，放款前要求支付服务费才能借款，这严重违反国家规定！要求退款服务费！国家这么打击套路贷。</t>
  </si>
  <si>
    <t>2019/10/08 18:07:58</t>
  </si>
  <si>
    <t>投诉人孙先生投诉对象玖富万卡涉诉金额0元问题类型诉求类型投诉详情玖富万卡利率超过国家规定的24%，一年期利率高达29.8%，三年期利率更高！我的借款本金为24000元，已经还了19期，每期1264.3元，还款总额为24021.7元，居然还有未还本金21538.59元！本人在与玖富万卡未协商出结果之前拒绝偿还高利贷，他们催收人员恐吓我说要联系我的所有亲戚朋友！此等行为已经涉黑，属于暴力催收！。</t>
  </si>
  <si>
    <t>2019/10/08 18:07:43</t>
  </si>
  <si>
    <t>本人与9月5号在钱站申请一笔借款金额是1300，本人和他们的催收协商还款本金并且愿意支付合理的利息，给我的亲朋好友一个个打电话对我产生的严重的负面影响，本人愿意支付剩下的本金700元和合理的利息。</t>
  </si>
  <si>
    <t>2019/10/08 18:07:40</t>
  </si>
  <si>
    <t>投诉人卢先生投诉对象Wecash闪银涉诉金额2200元问题类型诉求类型投诉详情闪银顺顺说好了是开延期了，今天下午就开始打通讯录电话了，至少我一点时间啊，没有说不还，最近要看病周转不开才要开的延期，没有通知好就直接打通讯录。</t>
  </si>
  <si>
    <t>2019/10/08 18:07:13</t>
  </si>
  <si>
    <t>2019/10/08 18:07:11</t>
  </si>
  <si>
    <t>投诉人 马女士        投诉对象  及贷,易安保险        涉诉金额  2 759 元    问题类型    诉求类型投诉详情  及贷违规搭售保险，我要求退款。易安保险公司接到我要求退款的电话已经数天。仍未处理</t>
  </si>
  <si>
    <t>2019/10/08 18:07:00</t>
  </si>
  <si>
    <t>恶言辱骂骚扰，不停的骚扰我的家人，朋友恶言辱骂我的家人，朋友跟我，外加恐吓。</t>
  </si>
  <si>
    <t>2019/10/08 18:06:36</t>
  </si>
  <si>
    <t>在我来数科贷款一万，之前提前还了六期，到十月份，十月份过节放假，出现扣款失败的情况导致逾期，出现三百逾期费用，导致本期还款莫名其妙增加了三百元，我为了主动还款消除逾期费用联系客服，客服告诉我会有专门的贷后人员联系我，直到今天，没有接到任何联系我的电话，甚至短信都没有见到一条，这种情况下，我来数科公司直接对我的联系人进行了短信催收，导致我声誉受损。</t>
  </si>
  <si>
    <t>2019/10/08 18:06:13</t>
  </si>
  <si>
    <t>借款2000元合同上却写着借款本金3400元。</t>
  </si>
  <si>
    <t>2019/10/08 18:05:12</t>
  </si>
  <si>
    <t>也没有让你去查询凭什么擅自扣除我银行卡里面的钱。</t>
  </si>
  <si>
    <t>2019/10/08 18:05:03</t>
  </si>
  <si>
    <t>本人于2019年8月份收到中诚意起教育的销售电话，后添加微信沟通，销售告知该公司是渠道报考公司，之前本人已经在环球网校报考一级消防注册工程师的课程，本不需要再购买课程学习，后中诚意起销售反复告知称他公司可以占企业内部报考名额，并提供企业内部密卷，押题率很高，并多次保证通过率高，然后我就通过微信销售给的二维码，交了2980元的渠道报名费，后中诚班任联系我告知网上自主报名，本人自己在中国人事网报名成功后发现，该公司虚假宣传，根本没有渠道企业名额之说，并且也并无内部密训课程，才知道上当受骗，后跟该企业沟通退费事宜</t>
  </si>
  <si>
    <t>2019/10/08 18:04:51</t>
  </si>
  <si>
    <t>本人使用哆啦宝商户收款，本应在9月29日将9月28日收款金额1216.5元划款至本人银行卡里，但哆啦宝平台声称本人账号被人投诉，被风控，通道被关闭，无法划款，本店诚信经营，店铺24小时监控，愿意配合警方调查，但哆啦宝好像把自己作为执法机构，单方面扣留本人款项，本人多次打电话哆啦宝投诉无法得到解决，哆啦宝反馈钱是被合利宝扣着，遂投诉哆啦宝以及合利宝公司，请说明扣留本人款项理由，并且是依据中华人民共和国哪条法律扣留本人款项，商户名称：东莞市南城朵明日用品店注册手机号：135******07联系手机号：134**</t>
  </si>
  <si>
    <t>2019/10/08 18:04:09</t>
  </si>
  <si>
    <t>投诉人周先生投诉对象米米罐涉诉金额1828元问题类型诉求类型投诉详情本人于2019年9月19日在米米罐app上申请借款1200元，借款周期30天，米米罐巧立名目变相收取所谓的征信报告费，将此报告费加到还款金额中，到期应还1828元，30天利息费用高达628元，利息远超国家规定利率，现要求米米罐调整利率，本人愿意还款本金加合规利息。</t>
  </si>
  <si>
    <t>2019/10/08 18:04:01</t>
  </si>
  <si>
    <t>因本人亲人心脏病复发，前段时间刚动完手术，因手术费本人多年积蓄已花完，现在经济周转非常困难，想请求花旗银行协调二十号左右还款。</t>
  </si>
  <si>
    <t>2019/10/08 18:03:39</t>
  </si>
  <si>
    <t>在捷信贷款32000分30期还款，当时说好的提前结清没有利息，后还款22期共计4万多元！剩下准备提前结清，找捷信协商，结果还要我还款2万多，说我只还了本金28000，多余还款钱算服务费和利息，协商不成捷信公司疯狂骚扰通讯录，打电话到单位对我造成很大影响还威胁恐吓我，本人现在只想按照国家规定利息来还款，坚决抵制高利贷。</t>
  </si>
  <si>
    <t>2019/10/08 18:03:01</t>
  </si>
  <si>
    <t>安逸花在未与本人联系，就爆通讯录，现在国家打击套路贷软暴力，马上消费金融旗下平台安逸花作为上市公司既然直接爆通讯录了，7月安逸花平台风控部门打电话来说处理了立马可以循环在使用，电话里还说如果有资金困难可向朋友及其他地方周转，等下可以循环出来，结果直接关停了我账户，迫使我为了守住在朋友哪里的信用，及他们工作人说的要我的朋友哪里周转，迫使我去使用了714高利贷，这种不属于套路贷吗，诉求，请有关部门及聚投诉帮助，马上消费金融公司必须做出道歉，本人一直在还款，也请在给一些时间。</t>
  </si>
  <si>
    <t>2019/10/08 18:02:24</t>
  </si>
  <si>
    <t>2019年10月8日下午5点左右，我在借花钱APP上添加银行卡，而在“添加银行卡”界面的的下面有一个代扣协议，并且是默认勾选的，由于本人在其他借款APP也添加过银行卡但是没有任何扣款事情发生，所以我没有在意到这一默认勾选，等到添加完，银行短信通知才发现被扣款198元，我立即联系了APP上的客服电话，响了很久才有人接，跟她说了情况后，她说可以退款，只是在5-10天内，并且电话那边传来笑声，挂了以后我不放心，上网搜了一下，很多网友都说遇到过，不可信，现在很着急，由于我经济遇到困难才想网贷借款，结果现在却反被代扣</t>
  </si>
  <si>
    <t>2019/10/08 18:02:13</t>
  </si>
  <si>
    <t>投诉人陈先生投诉对象上海鲸科信息科技有限公司涉诉金额150元问题类型诉求类型投诉详情我于2019年10月06日在上海鲸科信息科技有限公司的服务网站购买网站服务软件3个月包月使用包，购买后10分钟内发现现有软件功能不满足我的购买要求，我当即提出退款申请，客服告知网站产品一经售出，不支持退款，首先，该网站服务购买前没有给出告知消费者义务，消费者有对购买产品的知情权，而我对该产品在购买前并不知情，商家也没有尽到产品说明义务，，客户所谓的我在2017年和2018年间短暂使用过该产品并试用，对产品比较清晰，我想说的是</t>
  </si>
  <si>
    <t>2019/10/08 18:02:05</t>
  </si>
  <si>
    <t>10月6号在百事普惠平台注册账号，有一步是需要提供299元购买他的什么破报告，由于卡里当时没有钱就选择了不够买，然后第二天我卡里有钱了，还扣我299元，到底什么意思。</t>
  </si>
  <si>
    <t>2019/10/08 18:01:49</t>
  </si>
  <si>
    <t>我是不知情的第三方，催收别人的逾期，整天骚扰我，，让我找到欠款人，已经跟他们沟通过一次了，不要骚扰我，还是整天群发短信，这是恶意骚扰吧。</t>
  </si>
  <si>
    <t>2019/10/08 18:01:35</t>
  </si>
  <si>
    <t>我没和快付通签约代扣协议，乱扣款，银行卡不安全。</t>
  </si>
  <si>
    <t>2019/10/08 18:00:51</t>
  </si>
  <si>
    <t>豆豆钱对我进行暴力催收，恐吓，还不断地骚扰的我的通讯录，高利息，违规收取高额的平台服务费，强制购买高额保险，提前还款还得收取高额手续费，要求平台重新计算利息，总共不能超过国家规定的36%，然后我可以进行提前还款，停止暴力催收！。</t>
  </si>
  <si>
    <t>2019/10/08 18:00:44</t>
  </si>
  <si>
    <t>惠域U卡的惠金小贷，超高利息，本金5000.分期9个月，每个月还款705.56,9个月本金加利息6350.04元，骚扰亲戚朋友，现在要求停止骚扰。</t>
  </si>
  <si>
    <t>2019/10/08 18:00:16</t>
  </si>
  <si>
    <t>交通银行不管你根本认不认识逾期客户直接打电话骚扰……我再三确认我不认识逾期客户…等我挂了电话直接打给我家人和朋友来严重对本人和家人朋友造成伤害……而且称自己是银行人员态度非常恶掠……未经本人同意泄漏他人信息。</t>
  </si>
  <si>
    <t>2019/10/08 18:00:10</t>
  </si>
  <si>
    <t>投诉人 葛先生        投诉对象  拍拍贷        涉诉金额  800 元    问题类型    诉求类型投诉详情  恐吓我母亲 对我亲属及同学进行第三方软件短信轰炸 一分钟数条 严重影响正常生活 我已经向当地派出所报警 严惩恶意催收</t>
  </si>
  <si>
    <t>2019/10/08 17:59:59</t>
  </si>
  <si>
    <t>9月初成为淘集集合伙人，给淘集集公司推广新人使用平台购物，推广前招募我的销售人员从没有告诉我，不能跨区域推广，等我付出体力财力推广到130人时，给我扣了我的推广费用，我费时费力推广了这么多人，复购率，客单价均达到公司要求，我强烈不满！你公司应该去惩罚销售人员，而不是克扣我的推广佣金！销售人员自己也承认，培训不到位不知道不能跨区域推广，请淘集集返还我的推广佣金！这是我付出劳动理应所得！你可以看后台，到现在都有用户使用下单购买！我帮你介绍了平台，你不给佣金吗，这样的电商怎么变大变强！怎么让推广人再去给你推广！。</t>
  </si>
  <si>
    <t>2019/10/08 17:59:44</t>
  </si>
  <si>
    <t>融360里的要钱快非法套路贷，要求退还砍头息。</t>
  </si>
  <si>
    <t>2019/10/08 17:59:34</t>
  </si>
  <si>
    <t>我于8月15日在钱站APP借款2000元，实际到账2000元，分三期还款，每期还款1271元，共计需要还款3813元，钱站公司坚持称其公司是正规贷款公司，利息合法的，要求重新、依法核算利息，违法部分必须去除，核算后，我将补齐合法的欠款。</t>
  </si>
  <si>
    <t>2019/10/08 17:57:53</t>
  </si>
  <si>
    <t>暴力催收，恐吓亲朋好友，态度恶劣，利息过高。</t>
  </si>
  <si>
    <t>2019/10/08 17:56:26</t>
  </si>
  <si>
    <t>本人在捷信货款后捷信泄露了我的个人信息给催收公司目无法纪，欺诈消费者。</t>
  </si>
  <si>
    <t>2019/10/08 17:56:05</t>
  </si>
  <si>
    <t>我于9月26日到期实在还不了这个高利贷被迫续期，支付通道为杭州市民卡，续期费高达900元7天，期间想协商无果，10月2日再次续期900，支付通道为易宝支付，10月8日再次是还款日，面对高额还款金额无力支付愤而投诉！！！希望聚投诉能帮助解决！。</t>
  </si>
  <si>
    <t>2019/10/08 17:55:46</t>
  </si>
  <si>
    <t>投诉人操女士投诉对象MsParis女神派涉诉金额199元问题类型诉求类型投诉详情付了款发展还有押金三百多平台上没有公布，有的衣服还租不了要另外收费，找客服退款说要收我百分之二十的违约赔偿，我根本就没有用要我给钱他们完全是欺骗手段。</t>
  </si>
  <si>
    <t>2019/10/08 17:55:26</t>
  </si>
  <si>
    <t>2019/10/08 17:54:00</t>
  </si>
  <si>
    <t>最后一期的还款，闪银一直没有任何短信或者通知提示，我自己都忘记有这回事了，今天打了个电话过来说逾期了7天，催收态度及其恶劣，说话方式让劳资想吐，我没有说不还吧。</t>
  </si>
  <si>
    <t>2019/10/08 17:53:58</t>
  </si>
  <si>
    <t>想协商解决欠款，逾期以超一年时间，国美方不肯，高利息，。</t>
  </si>
  <si>
    <t>2019/10/08 17:53:45</t>
  </si>
  <si>
    <t>app我没印象，近期也未下载app，在我毫不知情的情况下，扣费，我这连个验证码都没收到，他是怎么扣的我的钱，一脸懵逼，订单号没有是因为我不想下载，更不想注册。</t>
  </si>
  <si>
    <t>2019/10/08 17:53:29</t>
  </si>
  <si>
    <t>本人于2018年11月份开始在还呗公司先后借款32000现在还了18804.43，从八月份开始家里出了一些事情，我每次还款有逾期，期间还呗公司多次爆我通讯录给我朋友同事家人打电话，给我造成很大困扰和担心，每天很担心，我问客服还不承认，我每天上班不能总接电话吧，只要我不接电话就给我同事家人打电话，上班有规定不能接电话，而且我尽量在接电话，我希望还呗公司停止爆我通讯录，钱我在尽量还，因我还欠其他平台的钱，就这个还呗的比较多一点，有一个已经还完，我在努力的往完还，希望能给我减免利息和延长时间。</t>
  </si>
  <si>
    <t>2019/10/08 17:53:18</t>
  </si>
  <si>
    <t>本人18年8月9日从平安普惠贷款120000，普惠业务告知本人因有平安车险和寿险所以可下款120000利率为8.4%，确认没有其他任何费用后在业务员的电话指导下签单，全程对于服务费保险费没有任何讲解以及说明，在对于平安公司的信任下，签单过程没有任何戒备，下款后也没有查看详情，只是正常按月存钱还钱，在后期一次银行扣款失败后让我转账到平安公司对公账户之后的一系列操作中才发现莫名其妙多出1.42%月的保险费及服务费，在平安普惠app的还款界面找不到保险单，最后是转换到第三方平台上的根本无法点击到的位置发现《平安个</t>
  </si>
  <si>
    <t>2019/10/08 17:53:05</t>
  </si>
  <si>
    <t>不是不还款，希望你们能体谅一下，现在没工作手里没有多余钱，想延期几天一定还。</t>
  </si>
  <si>
    <t>2019/10/08 17:51:56</t>
  </si>
  <si>
    <t>投诉人路先生投诉对象急借钱包涉诉金额598元问题类型诉求类型投诉详情本人今天查询自己的账单，发现2019年6月6日被上海造艺分两笔分别扣款了299元，但一定要把自己的身份证复印件，和手持身份证用快递形式发给他们。</t>
  </si>
  <si>
    <t>2019/10/08 17:51:44</t>
  </si>
  <si>
    <t>因资金问题未能及时还款捷信盗取我的个人信息私下打电话骚扰亲朋好友给他们生活造成了非常严重的影响。</t>
  </si>
  <si>
    <t>2019/10/08 17:51:36</t>
  </si>
  <si>
    <t>投诉人罗先生投诉对象招联金融涉诉金额0元问题类型诉求类型投诉详情我都找不到这个蓝志明，已经多次和电话客服说了，可现在每天都仍然能接到几十个不同号码不同地域打过来的电话，我想说这关我什么事，为什么一直打我电话，说对方写的我是紧急联系人，为什么他借款的时候你不来电话确认我是他什么人，现在他不还钱就来轰炸我，给我生活带来很大的骚扰和影响，请马上停止骚扰。</t>
  </si>
  <si>
    <t>2019/10/08 17:51:30</t>
  </si>
  <si>
    <t>下载了小浦优客APP后，注册，基本信息，绑卡测额度，不完成这些步骤没有额度出来，一系列程序结束后，我并没有进行借款操作，也没有进行确认借款，感觉不合适情况下把APP删除，今天莫名其妙收到短信提示被扣除296元服务费，小浦优客也发来一个短信说收取服务费296元，我没享受到任何服务，也没用进行借款，凭什么扣服务费296元。</t>
  </si>
  <si>
    <t>2019/10/08 17:51:20</t>
  </si>
  <si>
    <t>投诉人 石先生        投诉对象  豆豆钱        涉诉金额  4 000 元    问题类型    诉求类型投诉详情  豆豆钱暴力催收，态度极其恶劣。破坏家人和谐，利息高。</t>
  </si>
  <si>
    <t>2019/10/08 17:51:12</t>
  </si>
  <si>
    <t>需要还8500多，我问客服利率是多少客服不告诉我。</t>
  </si>
  <si>
    <t>2019/10/08 17:51:10</t>
  </si>
  <si>
    <t>马上消费金融上礼拜天给我打电话问我什么时候处理欠款，我说减免逾期费用我就处理，那个女的非要我处理一点点才减免，说要看见我的还款态度！我说减免了我立马处理一部分的！她非要不同意！今天下午一个女的打电话给我说我不处理就把欠款包给第三方催收公司来我老家上门催收！我真的是怕死你！我坐家里等你们！合同上写着我签合同就获得给别人打电话的授权！我说打官司处理就说包给第三方催收！我倒要看看哪个第三方敢来！我和你们签的合同！我认什么狗屁第三方！这种垃圾公司应该倒闭！。</t>
  </si>
  <si>
    <t>2019/10/08 17:51:08</t>
  </si>
  <si>
    <t>2019年10月8号普惠快信催收人员用私人手机号136，8054直接辱骂恐吓我父母，而且扬言要来我家里找我家人，望严肃处理。</t>
  </si>
  <si>
    <t>2019/10/08 17:50:02</t>
  </si>
  <si>
    <t>投诉人曹先生投诉对象壹本万利,鸿运当头涉诉金额3003元问题类型诉求类型投诉详情下载鸿运当头APP，申请借款，一看利息太高了，就没打算借款，结果它自动打钱给我，3000到账1950，我刚填完资料让审核，然后我一点进去看看通过的3000元要还多少利息，一看要那么多利息就没继续操作了，把app删了，但是它就直接就把1950元转到我的银行卡了，也没让我确定要贷款,没信息提醒，app删了我也找不到联系方式，后面还款日有人催我还款,而且需要我5天还款3000元，没有任何提示直接给我安排好贷款，未经过我我同意下款，而且</t>
  </si>
  <si>
    <t>2019/10/08 17:50:00</t>
  </si>
  <si>
    <t>投诉人黄先生投诉对象钱伴,快贷涉诉金额10000元问题类型诉求类型投诉详情快贷改名为钱伴，借款10000元，分期六个月还款，利息将近2000元，严重高利贷公司，暴通讯录，恐吓威胁，精神收到损失，将上报公安局，银监会，中国互联网金融平台，如果不按照国家利率，年利率百分之二十四，坚决不还款，维权到底，催收人员态度恶劣，一开口就恐吓，如果不还款会咋样，强烈呼吁国家重视起来，这家高利贷公司，查封掉，让更多的人，避免受伤害。</t>
  </si>
  <si>
    <t>2019/10/08 17:49:58</t>
  </si>
  <si>
    <t>投诉人朱先生投诉对象信付通闪付涉诉金额1001元问题类型诉求类型投诉详情约定结算时间内未能按时结算该笔订单，一直推脱！！。</t>
  </si>
  <si>
    <t>2019/10/08 17:49:25</t>
  </si>
  <si>
    <t>投诉人荀先生投诉对象嗨钱网,笑脸金融涉诉金额9000元问题类型诉求类型投诉详情我于7月19日在嗨钱网APP借款9000元，放款方为深圳光华普惠科技有限公司，分三期还款，到账后瞬间被扣1800元砍头息，实际到账7200元，目前已还两期共计6124元，要求：嗨钱网重新、依法核算利息，违法部分必须去除，核算后，我将补齐合法的欠款。</t>
  </si>
  <si>
    <t>2019/10/08 17:49:12</t>
  </si>
  <si>
    <t>目前创业失败，加上媳妇怀孕无法全额还款，希望个性化分期。</t>
  </si>
  <si>
    <t>2019/10/08 17:49:08</t>
  </si>
  <si>
    <t>连说第二天还款都不行，一点都不商量，直接爆通讯录，这是人的行为吗。</t>
  </si>
  <si>
    <t>2019/10/08 17:48:33</t>
  </si>
  <si>
    <t>投诉人 陆先生        投诉对象  钱伴        涉诉金额  1 100 元    问题类型    诉求类型投诉详情  诽谤个人 威胁恐吓联系公司家人亲戚朋友</t>
  </si>
  <si>
    <t>2019/10/08 17:47:32</t>
  </si>
  <si>
    <t>2019年9月29日在京东下单了一个华为P30手机，标价3788元，在用手机进行付款操作时，推荐白条12期免息所以选择了白条支付，在分期界面12期的服务费为0，其他分期均有手续费，而且当时显示的月供也是315.多，我还用计算器计算了一下所以才进行的支付操作，，并且我在支付时页面上没有明显的提示和其他勾选项，客服反馈我选择12期，没有选择免息而是选择了减10元，第1我在支付页面选择的是12期且明确显示免息所以才下单的；第2一个正常的人谁会不选择免除360多元的手续费，反而去便宜10块，哪怕真的是有二次勾选，也</t>
  </si>
  <si>
    <t>2019/10/08 17:47:13</t>
  </si>
  <si>
    <t>无故多扣款1250，作为第三方支付，帮助714平台多扣费。</t>
  </si>
  <si>
    <t>2019/10/08 17:47:09</t>
  </si>
  <si>
    <t>手机被盗，支付宝趣店白条被盗刷要求取消白条订单，恢复本人受损信用分。</t>
  </si>
  <si>
    <t>2019/10/08 17:46:59</t>
  </si>
  <si>
    <t>投诉人李先生投诉对象我来数科涉诉金额1246元问题类型诉求类型投诉详情本人因资金不足导致我来贷逾期，我来贷催收人员暴力催收，并且联系我的联系人威胁恐吓，严重影响了我和我联系人生活，我会最晚在12号17点之前处理，如果催收人员继续骚扰我和我的联系人我会拒绝还款去银监会投诉的！。</t>
  </si>
  <si>
    <t>2019/10/08 17:46:58</t>
  </si>
  <si>
    <t>投诉人 傅先生        投诉对象  小花钱包        涉诉金额  3 000 元    问题类型    诉求类型投诉详情  小花钱包短信恶意催收，短信恐吓，要求道赚</t>
  </si>
  <si>
    <t>2019/10/08 17:46:19</t>
  </si>
  <si>
    <t>本人通过软件推荐，在弹元宝和弹个花平台借款多次，且每笔订单都有个天下信用评估的扣款，且这是变相的收取砍头利息费用，我现在要求他们退回我部分砍头利息费用。</t>
  </si>
  <si>
    <t>2019/10/08 17:46:12</t>
  </si>
  <si>
    <t>侮辱人格，脚踏尊严，这个公司的人太狂了，直接不是人。</t>
  </si>
  <si>
    <t>2019/10/08 17:46:07</t>
  </si>
  <si>
    <t>本人于2019年4月在贷上钱有过贷款且每月正常还款，直到9月30日有一笔贷款因资金周转不开逾期了贷款，而此平台没有经过本人同意直接对我通讯录进行骚扰，对我个人和身边的朋友完成了极大的困扰、且与客服也无法协商，本人承诺在10月下半旬还款，客服态度极其恶劣，直接否定协商还款，以仲裁，上征信等手段进行威胁、我个人也在工作，不可能随时手机在身边，就今天中午接了电话，下午没接到电话就发短信告知我说我拒绝沟通，现在我想看借款协议，在平台也找不到，当初借钱到账2500，要偿还3200多，说是有什么所谓的625元的金豆购买</t>
  </si>
  <si>
    <t>2019/10/08 17:45:50</t>
  </si>
  <si>
    <t>本人因做生意亏损，借钱站60000元后扣除4000元费用，实力到账56000元，因一时还不上钱站开始疯狂骚扰家人朋友亲戚并进行辱骂，后钱站客服与我协商加上之前还款，再还40980元就一次结清，经本人努力按照协商结果一次还款40980元打进钱站app，钱站客服保证今后不再骚扰家人，朋友，亲戚，但是没过多久钱站又开始骚扰，并不承认之前协商结果，并威胁本人叫人来上门还要收取上门费，后又通知本人发律师函走法律程序，本人也积极配合，但是到现在一直投诉，钱站并未销账，还变本加厉各种骚扰，并该说要再次减免，甚至该说只让本</t>
  </si>
  <si>
    <t>2019/10/08 17:45:33</t>
  </si>
  <si>
    <t>发骚扰短信，恐吓，打骚扰电话，影响生活质量。</t>
  </si>
  <si>
    <t>2019/10/08 17:45:09</t>
  </si>
  <si>
    <t>本人因近期遇到经济困难，本应10月6日需要还款，无法及时偿还，于此同时本人一直积极与快易花平台进行沟通，并表明有还款意愿，但近期出现经济困难，希望与快易花平台进行协商，但平台不给任何协商的机会，并且于10月8日在进行第三通电话进行催收时，态度较为恶劣，并且言语中有爆通讯录的倾向。</t>
  </si>
  <si>
    <t>2019/10/08 17:44:33</t>
  </si>
  <si>
    <t>本人与2017年8月10号通过捷信贷款39000元分期36个月，当时资金周转也没有具体算合同总偿还金额，后续偿还2年后至今显示仍有11期未偿还，后续计算显示还款总金额竟然高达77525.28元相当于本金翻了一倍，，现以偿还25期总计53837元，以远远超过本金，也超过常规利息，现在要求捷信终止合同结清贷款。</t>
  </si>
  <si>
    <t>2019/10/08 17:43:53</t>
  </si>
  <si>
    <t>易鑫车贷绝对的高利贷，砍头息，合同额，欺骗借款者，2018年8月1号因为资金周转困难做了车辆抵押贷款，当时车估价六万四，分两次到账，其中第一次到账32400元后随后要求再给转回去6587元，第二次到账32400元，两次实际到账58213元，每月一号还款2868.62元，还款36期，当时因为急用钱再加上业务员在一旁一个劲的崔，就没考虑太多，后来发现合同上我贷款是81000元，那两万多去哪里了。</t>
  </si>
  <si>
    <t>2019/10/08 17:43:52</t>
  </si>
  <si>
    <t>本人于2019年9月25日在小黑鲨平台借款3500元，30天分三期还款，10天一期，首期就要还大于借款本金一半1166.67+770+23.01=1959.68元的金额，其中770是什么风险测评费，算下来综合年化利率远超国家法律所规定的利率，我要求小黑鲨取消770元风险测评费，减免不合理的利息，结清账单，汇潮支付作为拥有正规支付牌照的公司，违规为高利贷其提供支付通道，而且小黑鲨暴力催收，恐吓，逼其6点钟就要还款，不然爆通讯录。</t>
  </si>
  <si>
    <t>2019/10/08 17:43:39</t>
  </si>
  <si>
    <t>金鸡下蛋借款2000，实际到账1400，5天时间，后面续期300两天，我在该平台支付利息费用远超实际到账金额1400，它与另外几个同系列产品都是这样，明显的超级高利贷，套路贷。</t>
  </si>
  <si>
    <t>2019/10/08 17:43:34</t>
  </si>
  <si>
    <t>两天能到的快递，圆通能延误到四天，打电话过去说分错了，我说你们营业部离我最近，也不送，推到别的地方送，打客服态度也不好。</t>
  </si>
  <si>
    <t>2019/10/08 17:43:29</t>
  </si>
  <si>
    <t>投诉人邵俊投诉对象拼多多涉诉金额0元问题类型诉求类型投诉详情欺骗消费者做广告，明明符合要求却说异常，骗人。</t>
  </si>
  <si>
    <t>2019/10/08 17:43:15</t>
  </si>
  <si>
    <t>贷款3200，分三期要还5900多，这也太过分了吧，不处理我拒绝还款。</t>
  </si>
  <si>
    <t>2019/10/08 17:43:00</t>
  </si>
  <si>
    <t>商家不退在白条购买的优惠卷的钱，优惠卷未使用。</t>
  </si>
  <si>
    <t>2019/10/08 17:41:47</t>
  </si>
  <si>
    <t>2017在该平台借款3800元，循环利用几次，自从2018年之后就再也没循环利用了！每个月还600多，已经还了将近6000了，剩下两期说协商还低点，招联金融不同意，拼命的轰炸通讯录！。</t>
  </si>
  <si>
    <t>2019/10/08 17:41:12</t>
  </si>
  <si>
    <t>投诉人 王先生        投诉对象  玖富        涉诉金额  6 000 元    问题类型    诉求类型投诉详情  玖富万卡申请之后 发现是黑网贷 高利贷 利息相当高 好多人吐槽 还有很多隐性收费 希望给客户提供合法利率 否则无能力偿还 而且催收人员暴力催收 爆我的通讯录 添加我的微信好友 散播我的欠款信息 侵犯我的隐私 给好友造成骚扰</t>
  </si>
  <si>
    <t>2019/10/08 17:41:09</t>
  </si>
  <si>
    <t>钱也在微信里没有提到银行卡上午催收人员打电话我说一会处理，随后拨打了我填写直系亲属的电话还有我通讯录里面的亲戚电话其工作人员是用自己的手机号码拨打的骚扰电话180******36。</t>
  </si>
  <si>
    <t>2019/10/08 17:41:00</t>
  </si>
  <si>
    <t>豹子贷,上海造艺网络科技,造艺网络科技,银码头，本申请豹子贷小额贷款，资料提供后！审核中自动扣款299元作为报告费！。</t>
  </si>
  <si>
    <t>2019/10/08 17:40:41</t>
  </si>
  <si>
    <t>投诉人 陶先生        投诉对象  饿了么        涉诉金额  500 元    问题类型    诉求类型投诉详情  之前投诉后 饿了么客服经理 恶意关店 恶意修改配送范围 影响正常接单</t>
  </si>
  <si>
    <t>2019/10/08 17:40:39</t>
  </si>
  <si>
    <t>盛钱包工作人员以办理大额信用卡为说辞，误导我们办理盛钱包pos机，并且工作人员说刷我的卡196元，12小时后会到自己的账户，结果一分钱都没有返回来，全都是骗人的，坑人的骗子，公司！还有没有王法了，你们竟然可以如此明目张胆的骗人，你们眼里还有没有法律。</t>
  </si>
  <si>
    <t>2019/10/08 17:40:32</t>
  </si>
  <si>
    <t>本人家庭之前出现变故，一个人带两个孩子，小的现在都没钱上学在家呆着，母亲之前住院，本人因照顾母亲孩子无法上班，客服人员打来电话我说明情况，说是如果核实清楚可以不再骚扰我，结果还是给我通讯录打了电话，难道是要逼死人吗，剩的不多了求你们高抬贵手吧，我不是不还，现在真的逼上绝路了。</t>
  </si>
  <si>
    <t>2019/10/08 17:40:27</t>
  </si>
  <si>
    <t>我于10月1日注册了拇指下款，然后绑定了我的工商银行卡。</t>
  </si>
  <si>
    <t>2019/10/08 17:39:56</t>
  </si>
  <si>
    <t>由于本人经济原因，无法全额还款，目前也有在陆陆续续往360借条还款，但是360借条恶意暴力催收，爆通讯录，骚扰家人朋友，我要投诉他们。</t>
  </si>
  <si>
    <t>2019/10/08 17:39:53</t>
  </si>
  <si>
    <t>投诉人刘先生投诉对象pp车服涉诉金额50000元问题类型诉求类型投诉详情工作人员列出来的还款和app还款实际还款显示不合，恶意关闭APP后台数据，使APP上无法查看，工作人员列出多少就要还多少，。</t>
  </si>
  <si>
    <t>2019/10/08 17:39:06</t>
  </si>
  <si>
    <t>投诉人温金鹏投诉对象智富车贷涉诉金额108000元问题类型诉求类型投诉详情智富车贷违法偷车，拒绝提前还款，我车辆抵押了108000元到手只有98000元，我还了6个月，现在我想提前还款公司拒绝，结果违法偷车让我直接支付98000元赎回车辆。</t>
  </si>
  <si>
    <t>2019/10/08 17:38:28</t>
  </si>
  <si>
    <t>投诉人 黄先生        投诉对象  现金巴士        涉诉金额  1 000 元    问题类型    诉求类型投诉详情  贷款一结清立马就不给借了，完全是套路贷。希望得到解释和解决。</t>
  </si>
  <si>
    <t>2019/10/08 17:38:24</t>
  </si>
  <si>
    <t>5号那天经朋友介绍注册了一个拉卡拉Q码收款二维码，做好之后我朋友扫2000块钱试试，资金就被冻结了，我用都还没有用就卡死我的钱，接着我和客服沟通了，客服态度还可以，要我提供一些资料，我也提供了，就是交易凭证和人家身份证银行卡这些隐私资料，人家不愿意给，资金要周转，你们无故冻结人家资金，你知道对人家做成多大影响吗，48小时，确定没风险了再退还给账户，但你不能一直拖着啊，非要人家上传一堆资料。</t>
  </si>
  <si>
    <t>2019/10/08 17:37:44</t>
  </si>
  <si>
    <t>拼趣多收取保证金2000元到现在没有退，一直没有联系上去，希望能够处理。</t>
  </si>
  <si>
    <t>2019/10/08 17:37:37</t>
  </si>
  <si>
    <t>此平台收取鉴定征信费用极其隐蔽，我不小心点到就扣款299元，联系客服退款客服竟然要求身份证复印件等条件，寄往上海，与比软件公开的退款流程严重不符。</t>
  </si>
  <si>
    <t>2019/10/08 17:37:15</t>
  </si>
  <si>
    <t>投诉人杨女士投诉对象任你花涉诉金额1500元问题类型诉求类型投诉详情本人并未在任你花平台借款，今天却被非法催收，要求对方正面，发了一个链接但是打不开，然后说平台风控了，要我线下还款，但是我的银行流水没有收到这比款，对方说不马上处理就上门，要求任你花或者聚投诉给一个合理的解释，如果能证明我会还，如果没有我需要对方给我一个道歉，发了一个借款记录说我逾期80天，我想试问一下714有逾期80天不发信息不打电话的。</t>
  </si>
  <si>
    <t>2019/10/08 17:36:36</t>
  </si>
  <si>
    <t>9月10日从立马进钱APP里的呆呆苞里借了2800元，分4期每期8天还款，每期还款1022.4元，4期共计需还款4089.6元，利息高达1289.6元，利息远超国家规定的利率，是名副其实的高利贷，属于国家严厉打击的行为，目前已还款三期，现还款后还款总额为3178，现要求结清销账。</t>
  </si>
  <si>
    <t>2019/10/08 17:36:09</t>
  </si>
  <si>
    <t>广发银行信用卡催收暴力骚扰威胁，骚扰联系人，之前打过广发客服电话，布理不解决。</t>
  </si>
  <si>
    <t>2019/10/08 17:36:07</t>
  </si>
  <si>
    <t>投诉人黄先生投诉对象国美易卡,国美金融涉诉金额8000元问题类型诉求类型投诉详情1、承诺会尽快还款，但国美易卡人员，暴力，威胁.，无良。</t>
  </si>
  <si>
    <t>2019/10/08 17:36:01</t>
  </si>
  <si>
    <t>投诉人王女士投诉对象百事普惠涉诉金额598元问题类型诉求类型投诉详情这个平台百事普惠恶意扣用户费用，评估报告故意扣除用户费用，费用他们从我银行卡里扣除，打电话客服也不解决，希望平台解决此事，百事普惠都没能用，还恶意扣款，打电话退款，还理由说什么不给退款，无故扣我两次费用，是598元，希望能退款回来。</t>
  </si>
  <si>
    <t>2019/10/08 17:35:59</t>
  </si>
  <si>
    <t>跟招联的客服说了6点处理，客服却说她为什么要加班，她不想加班，她为什么要加班等我，还言语威胁，说直接移交联系家人，还言语诱导我进她的话语陷阱里，逼我说自己不把合同当回事，让她加班，威胁骚扰家人，直接挂我电话。</t>
  </si>
  <si>
    <t>投诉人郑女士投诉对象GoFun出行涉诉金额420元问题类型诉求类型投诉详情已在聚投诉发过一次贴，针对帖子，补充投诉后，聚投诉和gofun公司一直没有再跟进处理，很想知道，客户代给的拖车费用，gofun公司以什么理由拒绝赔偿，在高速公路上，小车经过交警处理，交警表示不能再上路的小车必须采取拖车措施拖离现场的，当gofun公司人员到达交警大队，gofun的人员只开走了车辆处理，并要求我方垫付，事后追究了两个月时间，为何gofun迟迟不予答复和处理。</t>
  </si>
  <si>
    <t>2019/10/08 17:35:57</t>
  </si>
  <si>
    <t>我希望招商银行信用卡中心能够可以协商还款问题，虽然我的信用卡是逾期，是我不对！我是真心有诚意可以协商还款问题！叫我还几万元真的好惨，难道好大！希望贵行能够可以协商还款！谢谢！。</t>
  </si>
  <si>
    <t>2019/10/08 17:35:39</t>
  </si>
  <si>
    <t>小树时代龙分期，已按时还款，时隔半个月不销账，催款电话一直打，app还款不能还只能支付宝转账，已经连续3个月这样了。</t>
  </si>
  <si>
    <t>2019/10/08 17:35:24</t>
  </si>
  <si>
    <t>没经过我允许从我绑定的工商银行卡未数9317的卡先扣款了500元，并且在该公司软件上显示有500元是购买会员卡，现要求该平台注销不合法的合同，停止对我造成的一切侵犯，该公司的利息已经超出国家规定的合法利率年化百分之24，现要求该公司撤销所有账单。</t>
  </si>
  <si>
    <t>2019/10/08 17:35:13</t>
  </si>
  <si>
    <t>投诉人 曹先生        投诉对象  玖富        涉诉金额  23 200 元    问题类型    诉求类型投诉详情  前期已还三期。剩余的要一次性还清。 利息太高。</t>
  </si>
  <si>
    <t>2019/10/08 17:34:58</t>
  </si>
  <si>
    <t>充值3200，承诺的每个月返300，只返了几个月就一直没返了。</t>
  </si>
  <si>
    <t>2019/10/08 17:34:56</t>
  </si>
  <si>
    <t>在还款时间还不上，故意制造逾期，高利贷，借了八千已经还了六千多，还要我还六千多，爆通讯录一直没处理，我希望给个合理解释。</t>
  </si>
  <si>
    <t>2019/10/08 17:34:28</t>
  </si>
  <si>
    <t>已经懒得去说投诉原因了这个青客我已经投诉了n次退个房审核一个月我投诉了两次才给退现在提现又审核，又十天没动静给客服打电话那态度好像他是大爷一样不想退就打电话跟我直说留着给青客员工买棺材吧。</t>
  </si>
  <si>
    <t>2019/10/08 17:34:11</t>
  </si>
  <si>
    <t>本人于2019年2月28日在你我贷申9000元借款，分12期，前三期每期还款1559.6后9期每期还款839.6已还7期，剩余5期，因利率过高无力偿还，请求减免息费，一次还清。</t>
  </si>
  <si>
    <t>2019/10/08 17:34:03</t>
  </si>
  <si>
    <t>之前在这家店购买的数据线承诺质保一年，现在出现问题，在进行沟通时，逃避、推诿责任，邮寄过去线的费用够我重新买一条了，处理方式不合理。</t>
  </si>
  <si>
    <t>2019/10/08 17:34:00</t>
  </si>
  <si>
    <t>本人在捷越联合广西河池分公司5万元，到帐47516.11元，分期36期，每期还款2483.89万，由于生意失败在9月份已无能力偿还后期利息，我已提前找过捷越联合广西河池分公司客服协商延迟还款，该客服给出的方案是让我提前结清再还2万二千多就无需再还款了，这个方案根本就不在我的能力范围之内，该公司客服还诱导我去到处借钱还该公司的后期利息，我协商的是延缓两个月时间等我上班发了工资就还后期利息，可是认真的算了一下按时还满36期就要还89420.04元，这个数字简直是高利贷，现在家人和朋友都冷眼看待我，严重影响我上班</t>
  </si>
  <si>
    <t>2019/10/08 17:32:33</t>
  </si>
  <si>
    <t>2019年8月27号早上下载了好多款借款app看看，其中雅思兰贷和鸿运当头app，我刚填完资料让审核，然后我一点进去看看通过的2000元要还多少利息，一看要那么多利息就没继续操作了，把app删了，但是它就直接就把1280元转到我的银行卡了，也没让我确定要贷款,没信息提醒，app删了我也找不到联系方式，百度的app没有联系方式的而且还很多假客服叫加微信还回本金就行，好在我没上当，好多骗子，后面还款日有人催我还款，说之前软件打不开了，重新点这个下载https://7w2.cn/g44w，而且需要我6天还款200</t>
  </si>
  <si>
    <t>2019/10/08 17:32:22</t>
  </si>
  <si>
    <t>投诉人张晨投诉对象玖富,珠江横琴玖富科技有限公司,北京玖富普惠信息技术有限公司涉诉金额15800元问题类型诉求类型投诉详情借款15000元收取保障计划数费用2064.54贷后服务协议费2100元，信息咨询服务合同1714.70元，信息技术支持服务合同1286.02元，信息管理服务合同1286.02元共计8300元，现本人已还24911.26元，要求赔偿上述信息费8300元，并销账，年利率36%以内的本人承担，以外的对方撤销。</t>
  </si>
  <si>
    <t>2019/10/08 17:31:18</t>
  </si>
  <si>
    <t>开启甜橙金融后，发现额度无法满足需求，所以需要关闭，但是联系客服提示无法关闭。</t>
  </si>
  <si>
    <t>2019/10/08 17:31:14</t>
  </si>
  <si>
    <t>投诉人 丁爽爽        投诉对象  中信银行信用卡        涉诉金额  0 元    问题类型    诉求类型投诉详情  因 被朋友填成紧急联系人 催收不断对我进行骚扰 无法正常生活</t>
  </si>
  <si>
    <t>2019/10/08 17:31:13</t>
  </si>
  <si>
    <t>钱站阴阳合同高利贷，借1000元实际到账1000元，分3期，但合同显示1330元，每期要还500多，希望钱站能给我个满意的解释。</t>
  </si>
  <si>
    <t>2019/10/08 17:30:52</t>
  </si>
  <si>
    <t>未经本人允许，恶意扣取银行卡资金，并且不断骚扰家人朋友，目前生活不堪重负。</t>
  </si>
  <si>
    <t>2019/10/08 17:30:50</t>
  </si>
  <si>
    <t>豆豆钱今年4月份借的五万，一年还6万，每个月还5040元，已经还了6期了，三万多，才几天就电话短信不断催收，还威胁我今天一小时内不还就联系亲戚朋友，已经对我严重造成了骚扰威胁，我很怕，希望平台能给我马上处理，能有个好的处理方法。</t>
  </si>
  <si>
    <t>2019/10/08 17:30:28</t>
  </si>
  <si>
    <t>投诉人陈洪菊投诉对象玖富涉诉金额5500元问题类型诉求类型投诉详情玖富万卡借款4000分12期总共还款5600，年化利率已经超过36%超过国家规定利率属于高利贷，我已向国家互联网金融协会投诉举报，接下来会继续向国家工商总局投诉举报，如果该平台不调整利率后期产生的后果由玖富万卡平台自行承担。</t>
  </si>
  <si>
    <t>2019/10/08 17:29:45</t>
  </si>
  <si>
    <t>我于2019-10-7晚上不小心把滴滴注册地修改了成佛山，8号早上正常起床出车发现我的口碑值没了，口碑值变成服务分，明明还有一次机会就是不能改，之后联系滴滴客服，一个早上都说不能改，该城市不支持什么的，我就解释，我是清远本地人，原来的注册地也是清远，不小心改了佛山现在改不回来，请求客服帮忙解决，滴滴客服一直以不支持，抱歉，关注后期改善为由，一直不解决。</t>
  </si>
  <si>
    <t>2019/10/08 17:29:11</t>
  </si>
  <si>
    <t>2019年10月7日中午晋江机场有位穿工作服人员来推销此卡，口述充值1998赠1000可购买机票使用，可享受vip服务，且没时间限制，但实际情况是预存1998和赠送1000元只是能够抵扣单次机票50，根本用不完，当时由于即将登机缺少对事物的判断，这样利用登机游客匆忙的特点诱导性办卡，所以我要求退款。</t>
  </si>
  <si>
    <t>2019/10/08 17:28:53</t>
  </si>
  <si>
    <t>当时借款的时候是看到广告说玖富万卡的利息低，审批快，那时候也是急用钱，所以申请一下，结果批了下来，额度有11600元，我分24期，那时候觉得每个月还800多也不多，就没注意这利息，结果我用了两个月后，逾期两天第三方就直接打电话催款了，那时候我就开始计算费用，发现利息已经超了国家规定的36%，我想找部门解决一直都不知道去哪里投诉这个玖富万卡，所以一直拖，有一天在网上看到说聚投诉是针对网贷这块的，已经还了6650.56元，还剩下4949.44元，我想分期还，利息按照国家的来计算，我现在要养孩子，基本没那个能力还</t>
  </si>
  <si>
    <t>2019/10/08 17:28:04</t>
  </si>
  <si>
    <t>投诉人 李女士        投诉对象  捷信金融        涉诉金额  20 000 元    问题类型    诉求类型投诉详情  之前协商还款不改合同. 之后招人威胁恐吓我骂我</t>
  </si>
  <si>
    <t>2019/10/08 17:27:56</t>
  </si>
  <si>
    <t>才报名一个月，总报名费才7563，退学费要扣掉2883元，天理何在，法律何在。</t>
  </si>
  <si>
    <t>2019/10/08 17:27:25</t>
  </si>
  <si>
    <t>投诉人 朱先生        投诉对象  随手记        涉诉金额  17 500 元    问题类型    诉求类型投诉详情  高利贷砍头息。借款17500到账后被转走3500。实属高利贷无力偿还</t>
  </si>
  <si>
    <t>2019/10/08 17:27:18</t>
  </si>
  <si>
    <t>本人在闪银平台借款两笔，共计6800元，以前用款都是两小时内就会到账，这次放款时间太长了，我也不想借这笔钱了，请平台撤销我的贷款。</t>
  </si>
  <si>
    <t>2019/10/08 17:27:13</t>
  </si>
  <si>
    <t>车是我的，人也是我，平台只提供一个信息服务，本来平台就已经有抽成！系统派单问题的，也要我自己负责。</t>
  </si>
  <si>
    <t>2019/10/08 17:26:51</t>
  </si>
  <si>
    <t>威胁恐吓，骚扰家人，已经影响正常生活，是不是爆通讯录。</t>
  </si>
  <si>
    <t>2019/10/08 17:26:43</t>
  </si>
  <si>
    <t>把带有我本人身份证好的文件进行群发，骚扰我的朋友，然后对我个人隐私进行大肆宣传给我产生严重影响致使现在患上重度抑郁症。</t>
  </si>
  <si>
    <t>2019/10/08 17:25:34</t>
  </si>
  <si>
    <t>本人因资金问题暂时还不了出现逾期是我不对但对方未经允许擅自爆通讯录对我家人及朋友造成影响要求停止骚扰并协商解决。</t>
  </si>
  <si>
    <t>2019/10/08 17:24:58</t>
  </si>
  <si>
    <t>本来是没钱就去钱站平台借钱的，本来是借2660到账却是2000，我想问下660去哪了，借了2000分三期，一期就是还986.67一共x3期等于2960.01，凭什么利息这么高而且和高利贷一样哦，远远超出银监局规定的24和36,借2000分三期就还2960哦，一共利息960,，我第一次遇到这样公司贷款的，变态噢，希望能在黑猫这里得到公平的利息,反正我现在也没钱，不调整，我就一直投诉，公平的本金利息我可以后面挣到钱还，但是这么高，我现在也没钱没能力还，希望钱站看到后处理，给我回电话，不要再推脱。</t>
  </si>
  <si>
    <t>2019/10/08 17:24:24</t>
  </si>
  <si>
    <t>电话骚扰不停歇，高利贷说好协商解决解决不解决。</t>
  </si>
  <si>
    <t>2019/10/08 17:24:21</t>
  </si>
  <si>
    <t>我于10月7日在及贷平台上分期10000元，提交借款后，有个“插队选项”，只说明了可以提前审批和减免利息，但是没有标明需要任何费用，及贷方打款实际到账10000元，但是合同上不仅有借款10000元，还有学堂会员1450元，合计11450元，十二期需要还款14075.4元，存在套路销售，巧立名目收取砍头息问题，因为学堂会员并不是我自我意愿选择的，现要求及贷平台退还学堂会员费用。</t>
  </si>
  <si>
    <t>2019/10/08 17:24:16</t>
  </si>
  <si>
    <t>2019年9月2号我在微信下单找广州轩轲美仪器厂家买了2台机器，具体地址：广州市白云区夏茅难约街云企供应链斜对面一楼招商中心，一台360磁光脱毛机一台4代黑综皮肤管理仪器，9月3号我收到了仪器，其中一台4代黑综皮肤管理收到后还没开始使用，电源就是坏的，没有电源，显示屏也没有亮，和商家沟通后，商家让我退回修理9月15号我在安能物流下了单退回这台仪器，退了之后和商家联系不怎么回复消息，也不说有没有收到机器，9月21号我突然收到退回来的机器、以为修好了没问题了，打开又试了机器，还是坏的，电源有亮，显示屏没有亮无法</t>
  </si>
  <si>
    <t>2019/10/08 17:23:42</t>
  </si>
  <si>
    <t>投诉人 徐红庆        投诉对象  京东商城        涉诉金额  198 元    问题类型    诉求类型投诉详情  未经过允许自动续费，扣款。不退款，希望尽快帮我处理.</t>
  </si>
  <si>
    <t>2019/10/08 17:23:41</t>
  </si>
  <si>
    <t>月18日在借东风平台填写借款信息，然后借东风平台分配了一个接待经理，说可以帮我申请贷款，我当时要求资金10万，分36期，QQ上和我说的10万分36期一个月3333元左右，但要收取15——25个点的手续费，9月19日将身份证及信息给对方，对方在玖富平台上操作，9月20日玖富平台下款35260元，然后直接扣走8160元，实际到手27100元，但是平台只给我分了12期，每月还款3070.47元。</t>
  </si>
  <si>
    <t>2019/10/08 17:23:40</t>
  </si>
  <si>
    <t>昨天协商了，今天打电话给我说不还爆通讯录，让家人给我凑钱，我没有不接电话，也没有逃避，只是在联系得到我本人的情况下还要爆通讯录，这合法么。</t>
  </si>
  <si>
    <t>2019/10/08 17:23:30</t>
  </si>
  <si>
    <t>为期三年，借款金额57000元，实际到账35000元，提前扣除服务费22000元，当时由于急需用钱，他们的工作人员也给我说利息不高，我也就没有多问，后来在还款过程中，我细算了一下，规定每月还款金额为1876.57元，这样我三年下来36个月一共本息还款1876.57*36个月=67556.52元，减去到手的35000元，我支付利息高达32556.52元，我目前还款20期1876.57*20期=37531.4元，现在由于压力过大，承担不起还款利息，寻求解决办法，与其客服沟通，客服让我提前结清也不能少，现在没有办</t>
  </si>
  <si>
    <t>2019/10/08 17:22:32</t>
  </si>
  <si>
    <t>个人于2018年12月12日在51即刻有上借款16000元，现已按时还款9期，后发现还款中的服务费不合理，要求51即刻有平台作出解释，请聚投诉平台关注，后每期还款1685.33元，其中服务费263.75元，我合计还款总共是21343.96元，其中本金16000元，服务费是4285元，利息1058.96，试问服务费按照国家规定可以收取吗，国家严禁收取审核费和分期管理费，你们收取高额管理费是不是变相高利贷。</t>
  </si>
  <si>
    <t>2019/10/08 17:22:26</t>
  </si>
  <si>
    <t>客服电话态度不好，暴力催收，爆通讯录，电话威胁，。</t>
  </si>
  <si>
    <t>2019/10/08 17:22:16</t>
  </si>
  <si>
    <t>因本人遇到困难并未能及时还款但我当时已经主动联系马上金融逾期还款部门进行协商，协商结果为还款日拖到十一号，如果还有其他问题让我在联系联系客服部门，但自称是马上金融的工作人员依旧打电话骚扰我并进行恶劣催收，对我进行辱骂对我造成心里上的伤害，通话时间为2019年10月8日下午四点四十二分左右，我已经主动找你们协商为何还要电话骚扰并且辱骂我请相关部门给予帮助。</t>
  </si>
  <si>
    <t>2019/10/08 17:21:56</t>
  </si>
  <si>
    <t>我是拼多多商家店铺店长，2019年9月15日本人发现有4个订单出现发货物流异常，拼多多平台自动帮客户申请退款，我核实了快递面单发现货物已正常发出，只是物流单号后面写漏2个数字，导致没物流信息更新，于是把正确快递单号和物流信息显示客户已签收的截图提交平台审核，拼多多平台第二天却自动把钱退给客户了，我打了平台客服热线咨询，他们工作人员告诉我，可以在微信公众号：拼多多商家服务中心进行订单申诉操作，我按照提示完成操作，等好多天没反应，又给客服打电话，客服说帮我催人员审核，又等不到，又打客服热线，又是叫我等，终于有一</t>
  </si>
  <si>
    <t>2019/10/08 17:21:46</t>
  </si>
  <si>
    <t>本人在贷上钱申请了两笔借款，金额是2000和2500，其中600和500是购买什么游戏，根本就没有这个东西，现在本人要求取消贷款，立马结清本金，或者降低利息，一次性还款结清。</t>
  </si>
  <si>
    <t>2019/10/08 17:21:40</t>
  </si>
  <si>
    <t>投诉人 邱女士        投诉对象  我来数科        涉诉金额  25 000 元    问题类型    诉求类型投诉详情  我来贷暴力催收侵犯隐私和自由权 之前一直按时还款 后来因为个人原因 第三天就开始爆通讯录 给受害人所有联系人发短信 加微信 实施心理的创伤 请救救吧</t>
  </si>
  <si>
    <t>2019/10/08 17:20:33</t>
  </si>
  <si>
    <t>两个平台操作界面一摸一样的借款记录也被他们删除。</t>
  </si>
  <si>
    <t>2019/10/08 17:20:31</t>
  </si>
  <si>
    <t>骚扰家里，给我爷爷打电话恐吓，给我爷爷吓坏了，住院了。</t>
  </si>
  <si>
    <t>2019/10/08 17:20:24</t>
  </si>
  <si>
    <t>对方在抖音上找的我，后面就是一连串哄女人的甜言蜜语，他这人确实聪明，从头到尾都安排的很好，后面说要跟我结婚还让他妈加我，可能他妈也是他自己演的，一切安排的都是那个美满，很美好的爱情，演变到了以后生孩子连名字都改好了，到最后他妈发消息我说他被捉了，我不相信，我叫人查他身份证，真的没想到他发给我的身份证竟然是假的，所以我才发现真的上当了，后面几天他说去四川谈生意，因为他微信被封了所以几天我都找不到他，今天他妈qq发信息给我说他被捉了，一切我都感觉好有预谋，所以我让朋友查他身份证发现没有这个人，我心很难过，更重要</t>
  </si>
  <si>
    <t>2019/10/08 17:20:20</t>
  </si>
  <si>
    <t>美团生活费恶意骚扰，恶心催收，迟迟不出面解决问题。</t>
  </si>
  <si>
    <t>2019/10/08 17:20:17</t>
  </si>
  <si>
    <t>本人在平安普惠共借款6笔，在未告知本人的情况下，平安合同平安保险强制搭售平安保险的保险费业务，每一期的本金都有配套的保险费用，这一部分费用明显违反了中国互联网金融协会的通知，不但增加了利息费用，还不接受协商退款，凡是正常合法的利息本人都会一一付清，但是不合法的还希望能够退回。</t>
  </si>
  <si>
    <t>2019/10/08 17:20:00</t>
  </si>
  <si>
    <t>本人与2018年9月份在平安银行申请了一笔车贷，每期还款10000元，今天9月20号车贷到期但是本人由于资金周转出现了问题，只还进去了2000元还剩余8000元没有处理，本人跟平安银行的工作人员明确表示我有还款意愿并且也会尽快想办法处理剩余欠款，但是平安银行却找来第三方的催收公司，每天打电话骚扰辱骂，甚至今天一下午打了6个电话，给我的生活跟工作造成了极大的困扰，平安银行作为正规机构，请求平安银行给与一个说法，本人每笔通话都有录音也请平安银行核实！欠款不代表我们没有人权我们的生活就应该被骚扰我们欠款人就应该被</t>
  </si>
  <si>
    <t>2019/10/08 17:19:40</t>
  </si>
  <si>
    <t>本人于2019年2月1日在玖富万卡平台借款5000元整，分36期，每期还款288.88元，已还款7期，还需还款6972.85元，于18年12月21日借款5000元整，分24期，没期还款358.33元，已还款9期，还需还款4923.56元。</t>
  </si>
  <si>
    <t>2019/10/08 17:19:38</t>
  </si>
  <si>
    <t>我使用去哪儿app打车从福建省福清市玫瑰园前往福州长乐国际机场，app显示预估价格约为130元，但到达目的地后竟扣费高达235.33元，严重偏离标价，给我造成错误的消费决定。</t>
  </si>
  <si>
    <t>2019/10/08 17:19:16</t>
  </si>
  <si>
    <t>拍拍贷委托的催收公司，加了我微信之后，私自拿我照片打印成广告，没有经过我同意就拿我照片，违法催收。</t>
  </si>
  <si>
    <t>2019/10/08 17:19:14</t>
  </si>
  <si>
    <t>之前借款的时候显示会员管理费，现在就是显示黄金会员，没有明确表示要扣除多少钱，就直接扣掉，这就是明显的砍头息，可以说不借，借了还要收这个。</t>
  </si>
  <si>
    <t>2019/10/08 17:18:53</t>
  </si>
  <si>
    <t>工商银行未经允许的情况下在卡号62****************3卡中盗刷转账8月份811.37元9月份814.70元10月份772.04元,盗取转账的卡号是中国银联股份有限公司广东分公司专户10.卡号是36****************0.我的卡中业务有房贷.车贷和平安贷款还款.由于乱扣费用导致卡中余额不足,导致其他银行扣款不成功导致逾期和需要增加银行利息以及手续费.。</t>
  </si>
  <si>
    <t>2019/10/08 17:18:42</t>
  </si>
  <si>
    <t>在国美易卡那里借款，先要购买什么服务费才能借款，你们客服都说了不购买就借不了款说你不符合借款要求，还说自己是合法你们以前就是高利贷超出法律利息24%了。</t>
  </si>
  <si>
    <t>2019/10/08 17:18:34</t>
  </si>
  <si>
    <t>投诉人李先生投诉对象我来数科涉诉金额1083元问题类型诉求类型投诉详情主动还款失败，代扣卡余额充足但是还款日当天没代扣造成逾期。</t>
  </si>
  <si>
    <t>2019/10/08 17:18:32</t>
  </si>
  <si>
    <t>借款到账2800预案，还款四期，每期1022.4元，目前已还三期，超过国家规定的利息要求，打客服电话要求协商还款他们说不归他们负责，要求销账。</t>
  </si>
  <si>
    <t>2019/10/08 17:18:23</t>
  </si>
  <si>
    <t>问题是远远超出了本金金额还要受暴力催款爆通讯录我要你们停止骚扰投诉了一次一点结果都没有什么态度啊。</t>
  </si>
  <si>
    <t>2019/10/08 17:17:44</t>
  </si>
  <si>
    <t>本人于2019年2月28日在期待合伙人申请8000元借款，分12期，到账后被秒扣1080元，希望贵公司给一个解释，同时剩余欠款希望能够协调提前还款，不收取利息和额外的费用。</t>
  </si>
  <si>
    <t>2019/10/08 17:16:57</t>
  </si>
  <si>
    <t>胡乱任由他人打标我旺旺号，没经过我同意，连申诉的权利都没有，有本事提供证据，严肃投诉创客工具箱，怎么会有这样的软件，怎么允许他人乱打标记。</t>
  </si>
  <si>
    <t>2019/10/08 17:16:24</t>
  </si>
  <si>
    <t>剩下的协商还款结果信尔富态度强硬威胁爆通讯录，每天催收，还联合富友支付自动扣款又扣了56，早已经还完了本金并且利息都还了，信尔富一再骚扰强硬要求再还最后一期的355。</t>
  </si>
  <si>
    <t>2019/10/08 17:16:16</t>
  </si>
  <si>
    <t>借款24000元，分期12期，需要还32000元，远远超过国家利率，高额的服务费，利息和违约金，暴击催收，爆通讯录。</t>
  </si>
  <si>
    <t>2019/10/08 17:16:12</t>
  </si>
  <si>
    <t>保护期已经过，买家不收货，我问他一下，就刻意仲裁退货，我不同意。</t>
  </si>
  <si>
    <t>2019/10/08 17:15:56</t>
  </si>
  <si>
    <t>在携程闪住上预定2019.10.1到2019.10.5的房间，但因为行程有变不能入住，然后准备取消，当时跟客服联系也没有回应，然后又找到携程，携程说要跟酒店联系然后提交取消申请，可是我一直在等，没有回信，第二天携程说申请了酒店没回复，让我继续等，现在已经过了10.5号了，我从开始到结束都没有入住，现在让我缴纳房费，首先我没有入住，并且第一时间我联系了携程，现在一直给我发信息打电话，还威胁我说不缴纳，会影响我的个人征信，严重的霸王条约，不仅不能取消订单，还严重骚扰我，。</t>
  </si>
  <si>
    <t>2019/10/08 17:15:49</t>
  </si>
  <si>
    <t>我没说什么，直接上来就是口气超大的，什么给我打电话了，给你十分钟处理，处理不了你就让所有的亲朋好友全知道你欠钱不还吧，我已经说了，自己有点困难，催收那女的完全不听，反正我录音了，爆我通讯录和电话，就等着我报警吧，正好最近我这边警察挺闲的。</t>
  </si>
  <si>
    <t>2019/10/08 17:15:23</t>
  </si>
  <si>
    <t>账单没到期，以我以前有逾期为由，要我提前结清，多次告知客服告知，等账单到期再还，没问题的，但是及贷平台天天有电话打进来说催收要求我还，因为我只剩一期没结清，是否因为现在已经结清的部分贷款已超国家的标准，现在要求两个要解决问题，1.停止骚扰，道歉。</t>
  </si>
  <si>
    <t>2019/10/08 17:15:05</t>
  </si>
  <si>
    <t>1、爆我通讯录给亲朋好友打电话说我欠款不还，人品很渣。</t>
  </si>
  <si>
    <t>2019/10/08 17:14:59</t>
  </si>
  <si>
    <t>，在苏州市工业园区租了间单间，当时说房子押一付一，合同起签一年，住满三个月退押金，在我们交过房租押金之后，还有管理费一天一块一次交清365元，公寓方说要用第三方软件支付每个月房租，当时并不知道是贷款的，办理完之后才知道，诱导我办理这个业务，我以为是分期付款给公寓的公司，实际上，是从应花分期一次性贷款付清了公寓的房租，每个月实际上是付钱给应花分期这个贷款公司，公寓的中介公司以我的名义他们一次性拿到了全部的房租住满三个月后因要换地方发展，找他们退押金，他们说合同期未到，提前退租要交违约金，最后实在没办法我就把违</t>
  </si>
  <si>
    <t>2019/10/08 17:14:55</t>
  </si>
  <si>
    <t>信而富砍头息，借款必须购买特权卡，到期暴力催收，威胁。</t>
  </si>
  <si>
    <t>2019/10/08 17:14:11</t>
  </si>
  <si>
    <t>10月7日还款，在10月6日提前跟松紧贷总部客服，联系，申请本期还款时间援后，总部客服说她们这里不能申请，让我跟催收人员进行协商，而后在今天10月8日催收人员上午10:04分给我电话联系让我上午11点前最晚两点前一定要还这笔款，我跟其解释这期无法按时还款原因并跟其申请还款时间援后至15日，催收人员不于理会并一致要求我下午两点前还款，如不按时就要通知家里人及朋友然后挂掉电话，下午1:56分再次给我来电，问我两点怎么还不还款，我跟她解释说今天可能无法还，马上恐吓我说如果到两点钟还不还就通知家里人及朋友，我一再解</t>
  </si>
  <si>
    <t>2019/10/08 17:14:06</t>
  </si>
  <si>
    <t>跟好易借协商还款，说有钱就会一点点还进去，一直骚扰家人朋友，谁允许你打通讯录了，法律允许了吗，坏我名声，一直这么下去，我一分都不会还，你反正喜欢打我通讯录，等你起诉我，法院判我还多少，我就还多少，要么就是我起诉你，高利贷，高额逾期费！！！奉陪到底。</t>
  </si>
  <si>
    <t>2019/10/08 17:13:41</t>
  </si>
  <si>
    <t>上的借款是高利贷，在要找其公司协商之际，他们并未积极解决问题，在逾期后，他们的催收疯狂骚扰我通讯录里的非紧急联系人，且在与我本人联系时，还对我进行辱骂，另外有一些催收的打电话过来，都用一些其他言语来指明要我处理51金钱贷的高利贷借款，但就是不敢说他自己是51金钱贷，公司的催收，且沟通时态度极其嚣张、恶劣，还辱骂我本人，对于以上事实，我都存有证据，有什么事我们可以协商或在法庭解决，像盈盈有钱这样的打法律擦边球，进行暴力催收的，我坚决抵制到底。</t>
  </si>
  <si>
    <t>2019/10/08 17:13:36</t>
  </si>
  <si>
    <t>由于国庆原因，工资至今未发导致逾期两天，明天发工资。</t>
  </si>
  <si>
    <t>2019/10/08 17:13:25</t>
  </si>
  <si>
    <t>客服处理问题很慢，我取消贷款的时候还一直劝我去办，之前还清的贷款没有给我结清证明，目前只收到一份结清证明。</t>
  </si>
  <si>
    <t>2019/10/08 17:13:14</t>
  </si>
  <si>
    <t>投诉人 蔡运锋        投诉对象  你我贷        涉诉金额  200 元    问题类型    诉求类型投诉详情  上班时间频繁打电话 爆通讯录 没有人管了？</t>
  </si>
  <si>
    <t>2019/10/08 17:12:39</t>
  </si>
  <si>
    <t>2019年9月30日接到中信银行信用卡催收电话让去郑州公安分局经侦大队协商还款事宜，当时到大队协商时，中信催收人员已信用卡恶意拖欠为由威胁恐吓，一旁自称某警官的人员，在未示任何工作证明未穿民警制服期间，对我进行询问，在两个人的逼迫下和中信催收人员进行协商，还本金减免违约金和利息，当时本金已经还完，本金为59000元，剩余违约金和利息并未减免，还在产生利滚利，现要求中信银行信用卡兑现承诺，减免违约金和利息不在进行利滚利，下图附上利息和违约金利滚利图片及中信伪造公安机关函件图片。</t>
  </si>
  <si>
    <t>2019/10/08 17:12:26</t>
  </si>
  <si>
    <t>闪银每次放款后会扣除它所谓的各种费用，从16年至今每一笔都扣不少钱，催收暴力。</t>
  </si>
  <si>
    <t>2019/10/08 17:12:22</t>
  </si>
  <si>
    <t>2018年8月为买保险进入泰康人寿合肥分公司做业务员，当时告知需要交300元押金，等离职再返还！本人于2018年10月离职！距今已一年之久，却并没有返还押金且告知再向上级反应！。</t>
  </si>
  <si>
    <t>2019/10/08 17:12:09</t>
  </si>
  <si>
    <t>投诉人曹先生投诉对象智行火车票涉诉金额1100元问题类型诉求类型投诉详情我在智行APP购买了1100元从上海浦东机场到邯郸机场的机票，行程完成后申请报销单，但是打电话无法查询到机票订单，同时无法联系到客服，我需要行程单报销，如果没有报销单就需要自己承担费用，我坚决不同意。</t>
  </si>
  <si>
    <t>2019/10/08 17:11:58</t>
  </si>
  <si>
    <t>用钱宝平台，不经过本人同意把我电话和通讯录，泄露给他人，让我和亲朋好友遭受他人严重的辱骂和恐吓，用钱宝允许他们工作人员，随意对我们借款人，辱骂和恐吓，威胁，对亲朋好友随意骚扰，假装不知道，说白了，公司如果不允许他们敢这样吗，就故意打电话说不知道，就说一句对不起，就可以把这事了了吗，我们欠款是不对，但是我们没说不还，在逾期三天，工作人员就对我们和亲朋好友肆意辱骂和恐吓，打电话骚扰，难道用钱宝就没责任吗，暴力催收手段搞完了，就故意打电话说，不知道，就说一句对不起，就可以把这事了了吗，用钱宝，你既然想搞，我就陪着</t>
  </si>
  <si>
    <t>2019/10/08 17:11:57</t>
  </si>
  <si>
    <t>本人在你我贷借款13000，已经还款5500，因本人生病住院有一段时间没有工作，直到最近找到工作，跟你我贷协商还款，可以先处理一部份，但你我贷拒绝协商，要求本人一次性还清，，还多次群发我通讯录，威胁起诉我，要罚本人五万的罚款，我已经投诉到相关部门，希望得到一个合理的处理处理办法！！。</t>
  </si>
  <si>
    <t>2019/10/08 17:11:16</t>
  </si>
  <si>
    <t>有录音，有录音，我会提交给相关机关平台，钱站威胁恐吓我，要求我六点前处理这笔高利贷，否则移交第三方催讨公司，爆我的通讯录，联系我的家人朋友亲戚！有电话录音为证！。</t>
  </si>
  <si>
    <t>本人于2018年初注册使用立刻出行共享汽车，并且缴交押金499元，从2018年至2019年初一直正常使用，期间也充过几百块钱，现在余额仍有一百多无，从2019年8月28日申请退押金至今一直未处理，向广州12345市民服务热线投诉，得到回复是建议向天津市投诉退还押金，又向天津投诉后也无法解决，请协助处理退还押金。</t>
  </si>
  <si>
    <t>2019/10/08 17:10:54</t>
  </si>
  <si>
    <t>广东信汇电子商务有限公司非法赌博网站提供非法支付渠道诱导支付。</t>
  </si>
  <si>
    <t>2019/10/08 17:10:53</t>
  </si>
  <si>
    <t>钱已结清一个多月，请尽快上报人民银行，由人民银行更新为已结清状态！。</t>
  </si>
  <si>
    <t>2019/10/08 17:10:10</t>
  </si>
  <si>
    <t>电话骚扰通讯录，恐吓电话，高利贷，态度恶劣。</t>
  </si>
  <si>
    <t>2019/10/08 17:10:08</t>
  </si>
  <si>
    <t>自由魔啦里面的六便士高利贷完全不符合国家规定利率2000买540的会员卡属于高利贷而且暴力催收要求停止暴力催收本金协商还款。</t>
  </si>
  <si>
    <t>2019/10/08 17:10:04</t>
  </si>
  <si>
    <t>富友支付与套路贷合作，非法提供支付与扣费渠道。</t>
  </si>
  <si>
    <t>2019/10/08 17:09:26</t>
  </si>
  <si>
    <t>立刻出行押金无法退还，2018年7月16日出现违章，需要缴纳保证金，我也缴纳了800元保证金，但是到了现在一年多时间了违章记录还是显示处理中，导致押金，和保证金退不了，客服电话长响，违章客服专员电话已经成为空号，办公场所已经没有人了。</t>
  </si>
  <si>
    <t>2019/10/08 17:09:25</t>
  </si>
  <si>
    <t>无止境的骚扰本人，发信息恐吓骚扰联系人，甚至威胁要破坏本人名誉。</t>
  </si>
  <si>
    <t>2019/10/08 17:08:58</t>
  </si>
  <si>
    <t>投诉人 秦女士        投诉对象  花月征信社        涉诉金额  0 元    问题类型    诉求类型投诉详情  不符合事实的骚扰，已经造成人身攻击的伤害</t>
  </si>
  <si>
    <t>2019/10/08 17:08:55</t>
  </si>
  <si>
    <t>骚扰我公司工作人员，让公司开除我，不接受协商、赤裸裸的敲诈借本金翻了一番。</t>
  </si>
  <si>
    <t>2019/10/08 17:08:52</t>
  </si>
  <si>
    <t>投诉人彭先生投诉对象有钱花涉诉金额11000元问题类型诉求类型投诉详情没事别瞎打电话，还一天几个，你们不嫌烦啊，还直接联系我家里人，实话实说，这会没钱，有钱再还，最迟本月15号，就387的分期，有钱早还了，你打我家里人电话也没见他们转钱给我还啊。</t>
  </si>
  <si>
    <t>2019/10/08 17:08:50</t>
  </si>
  <si>
    <t>买单侠借款本金已还清，其他的费用不合理就没还现在说要上门，买单侠外访的恐吓我要让我全家出名。</t>
  </si>
  <si>
    <t>2019/10/08 17:08:42</t>
  </si>
  <si>
    <t>母亲因病需要尽快进行手术，2019年9月24日乘机当天医生要求立即住院，24日当天我在线已经提交了病退申请，事出紧急，由于我在外地，客服也同意我回去补资料以邮件形式发送给他们，我赶回去于手术后27日请医生补开了证明，也写明何时住院，何时手术，不宜乘机，住院缴费单与医院诊断书均为24日当天的，东航却以住院证明不是住院当天开具为由拒绝退款，提交的资料均能清楚明白地反应母亲住院的信息，包含姓名，身份证号，住院时间，缴费时间，床位信息，均为原件拍摄提交，医院的证明书均为机打，开具日期均为系统时间，东航在事实清楚的情</t>
  </si>
  <si>
    <t>2019/10/08 17:08:35</t>
  </si>
  <si>
    <t>本人于今年3月份由于经济问题导致逾期，期间陆续还过几次几百块！中信外包催收不仅电话威胁，上门催收，还和楼下邻居大肆宣扬！现希望中信客服主动和我联系协商还款本金！不接受外包催收的联系！。</t>
  </si>
  <si>
    <t>2019/10/08 17:08:33</t>
  </si>
  <si>
    <t>通过融泽财富下载的叮当想花6天高利贷，6天利息1000多，催收黑社会性质，又开始疯狂骚扰，非法爬取通讯录，辱骂联系人，威胁恐吓上门。</t>
  </si>
  <si>
    <t>2019/10/08 17:08:32</t>
  </si>
  <si>
    <t>本人在平安集团下的平安普惠借款两笔，共4万元，还款时被告知必须偿还每一期本金的保险费用，这违反了国务院办公厅《关于加强金融消费者权益保护工作的指导意见》中第三点“规范金融机构行为”的第五条：不得违背金融消费者意愿搭售产品和服务，因此，希望平安保险可以退回高额的保险费用，其余利息本人已正常归还。</t>
  </si>
  <si>
    <t>2019/10/08 17:08:30</t>
  </si>
  <si>
    <t>投诉人 郑先生        投诉对象  拼多多        涉诉金额  3 500 元    问题类型    诉求类型投诉详情  拼多多商户勾结赌博平台收取款项没退款。我要求退还款项给我。并严厉处罚拼多多。与第三方勾结骗取收利</t>
  </si>
  <si>
    <t>2019/10/08 17:08:28</t>
  </si>
  <si>
    <t>本人在2018年的时间办理了兴业银行一张信用卡，一直以来还款信用良好，直到今年6月份开始工作出现了变故，家里又有年迈的父母要照顾，前段时间奶奶因肺部严重感染引起不能自主呼吸住院花了一大笔钱，哥哥在修补漏雨的房屋时从房顶摔下来导致骨折，现在所有的支撑都在我一个人身上，自从贵行转交第三方后天天给我单位打电话导致我工作也没了，没有经济来源家里吃饭都成了问题……现在只能靠我爱人在店里帮人家打工来解决现在所面临的问题、目前我已经找到一份工作了、希望贵行能高抬贵手能停息挂帐、每天看着高额的违约金一直上涨，赚的钱都不够付</t>
  </si>
  <si>
    <t>2019/10/08 17:08:07</t>
  </si>
  <si>
    <t>今年我老公7月份从九富万卡贷款5000，贷款期限1年要还毛6800元、当时没看合同，也没算月利息，和年利率，今天我找律师让律师给我按国家规定的有利息2%算是不对的，然后有找银行给我算年利率，结果不算不知道，一算吓一跳，居然能达到年利率36，我已经征程还了2期了，分别是567和567，现在想提前结清还款，结果APP中输入是5500多，和一年分期还款就差了120块钱，提前还款还是要还那么多，这是为什么，给客服打电话没人接听，到公众号人工客服里也永远排不上号，结果玖富好不容易联系了，就给一个什么人保的电话，说提前</t>
  </si>
  <si>
    <t>2019/10/08 17:08:01</t>
  </si>
  <si>
    <t>本人因创业经营需要，于2016年3月份在原名校贷借款18000元，实际到账14700，后续一共分24期还款，在两年的还款时间里，24期仅有一次逾期记录，且并非本人主观意愿造成，当时本人同往期一样提前进行充值，但是我并没有想到会扣款失败，且逾期后平台并未进行任何的电话短信提醒，还是本人之后主动登录APP才发现还款失败，后第一时间进行还款，且逾期利息和罚金平台也收取了，但是在18年3月11号还完最后一期后，致电客服说不会退还所谓的咨询费，当时要我提供是因为平台的原因造成充值扣款失败的证明，我想说平台是你们的，你</t>
  </si>
  <si>
    <t>2019/10/08 17:07:37</t>
  </si>
  <si>
    <t>借两千要还三千多，变相收取保险费，还差几百没还，就爆通迅录。</t>
  </si>
  <si>
    <t>2019/10/08 17:07:17</t>
  </si>
  <si>
    <t>本人于2019年8月13日从图乐贷借款8800元，9月13日已还1586.38元，剩余11期待还10379.27元，现提前结清需要还10071.15元，希望能够协调提前还款，不收取利息和额外的费用。</t>
  </si>
  <si>
    <t>2019/10/08 17:07:03</t>
  </si>
  <si>
    <t>滴滴平台还是没有处理我们快车司机派单被屏蔽的问题，投诉后一天内会有单子派给我们，过了一段时间还是和原来一样，希望滴滴公司不要敷衍我们快车司机，我们需要公平对待！。</t>
  </si>
  <si>
    <t>2019/10/08 17:06:57</t>
  </si>
  <si>
    <t>不给处理，一直在推托，客服联系了5次，打电话9510211，两次也不给解决。</t>
  </si>
  <si>
    <t>2019/10/08 17:06:09</t>
  </si>
  <si>
    <t>已经还清及贷公司欠款，这家公司喋喋不休一直说没收到账，希望政府部门能够帮助我！。</t>
  </si>
  <si>
    <t>2019/10/08 17:05:44</t>
  </si>
  <si>
    <t>10月8日，已经过了半个月，款项依旧没到账！要求信而富即时退还三期款项且作出道歉赔偿！</t>
  </si>
  <si>
    <t>2019/10/08 17:05:43</t>
  </si>
  <si>
    <t>投诉人 梁先生        投诉对象  花呗        涉诉金额  2 500 元    问题类型    诉求类型投诉详情  恢复额度，现在额度给我冻结，不能正常使用。</t>
  </si>
  <si>
    <t>2019/10/08 17:04:46</t>
  </si>
  <si>
    <t>本人因急用钱借了立借这个平台，借款之前看不到还款计划，借完才看到还款计划，，利率简直是吃人不吐骨头，7000六个月要还11760，而且前三期就快超过了本金，剩下的每期都是1700多的还款，这年利率已经到百分之136了，这种高利贷甚至比外面的线下的高利贷还黑，国家不是严打吗，要求调整利率在国家规定的百分之24，每期还款金额应在合理范围内，不解决会继续投诉到银监会，12315，投诉成功为止！本人也因为点快了没看还多少钱，打款前也跟客服沟通过，没有结果。</t>
  </si>
  <si>
    <t>2019/10/08 17:04:23</t>
  </si>
  <si>
    <t>9月30日，通过哪吒借款推荐下载钱橙无忧app借款，在提交资料过程中，银行卡被连续两次扣款，一次是168，一次是128，一共296元，在此平台并未借款成功，通过客服得知，有一部分是信用报告费用，但是我查看报告，看到页面数据空白，而且被扣款之后没有任何信息通知，要求平台退还被扣除的296元，并删除个人信息，解除银行卡绑定。</t>
  </si>
  <si>
    <t>2019/10/08 17:04:10</t>
  </si>
  <si>
    <t>骚扰三方家人，并要求代偿，每天给三方打电话。</t>
  </si>
  <si>
    <t>2019/10/08 17:04:06</t>
  </si>
  <si>
    <t>因为之前投资公司，后期公司运营出现问题造成资金周转不开，中间打电话给客服说过这样的问题，现在有工作，工资不是很高，我从来没有说过这笔钱不还，我需要的是时间，欠钱还钱天经地义，我还款需要时间，我不会逃避这个问题，中原消费金融外包公司近期打电话催收我也明确过，我也告知过，目前的情况！电话我从来没有不接过，电话接通后直接问我的名字，我询问他们工号和公司名字并没有告知我，她们还说，她们工号和公司地址给我还款没有关系，中间还骚扰我的家人，还给我家人发信息，所发的信息我已经保留，发信息的电话我也打过均为空号，给我打电话</t>
  </si>
  <si>
    <t>2019/10/08 17:03:36</t>
  </si>
  <si>
    <t>10月初，注册了小浦优客，填写了个人信息，然后看到需要交296的个人报告费，就没点了，直接卸载了，今天莫名的被扣了296元，希望解决一下这种胡乱扣款的问题！。</t>
  </si>
  <si>
    <t>2019/10/08 17:03:33</t>
  </si>
  <si>
    <t>投诉人肖先生投诉对象聚福分期,造艺科技,上海造艺网络科技有限公司涉诉金额299元问题类型诉求类型投诉详情上海造艺科技涉嫌盗刷用户储蓄卡，恶意扣费，拒不退款，态度恶劣。</t>
  </si>
  <si>
    <t>收到的货与商家图片描述的不符，相差很大，商家也承认了这个问题，就是不给退款，随便糊弄个货发出去，就要消费者承担运费，还是头一次见这样的商家，打电话接了也不敢承认是开店的，无良商家，请退款，如果要追回货物请通知快递取回，如果要消费者寄回，需要由商家承担所有的运费。</t>
  </si>
  <si>
    <t>2019/10/08 17:03:10</t>
  </si>
  <si>
    <t>投诉人林锟先生投诉对象玖富涉诉金额268元问题类型诉求类型投诉详情23号申请借款的时候，我支付了一笔保费，客服说3.5天会退回，后面我来聚投诉投诉了，客服联系我说国庆结束，8号叫我看我的银行卡，我到现在看，我银行卡还是0，钱还没有退回来。</t>
  </si>
  <si>
    <t>2019/10/08 17:02:34</t>
  </si>
  <si>
    <t>安亿花平台诱导客户一步一步注册成为会员，恶意扣取198元会员费，进入安亿花平台后发现它就是一个挂羊头买狗肉的平台，根本就没有安亿花平台自己的贷款，于是我就卸载了安亿花APP，第二天还是扣了我银行卡里198元，强烈要求退款并作出合理解释。</t>
  </si>
  <si>
    <t>本人与卡卡贷贵公司贷款多年，每次贷款准时结清完，现今2019年本人资金出现危机，无法再继续再按卡卡贷公司高利息偿还，所以曾经电话跟卡卡贷贵公司协商偿还本金，贵公司不肯接纳我所提的要求，就直接回拒我，说我提的要求不合理，本人现无法再有能力偿还年利率超过国家规定24%高利息，但本人愿意一次性结清本金，贵公司不接纳我的要求，还私加微信，本人只电话沟通协商调解。</t>
  </si>
  <si>
    <t>2019/10/08 17:02:00</t>
  </si>
  <si>
    <t>车贷做了73000整贷款说好6厘的利息，现在要还106,596整，说的等额本息还款，要每个月还款2961元整，利息超出太多了，要33560的利息，这哪里是6厘翻倍都不止赶上高利贷了。</t>
  </si>
  <si>
    <t>2019/10/08 17:01:17</t>
  </si>
  <si>
    <t>9.5日大白汽车把我的车拖走到今天10月8号，除了我在网上平台两次投诉后给我及时回复，其余的回复都是大、白、空，从我第一时间积极联系处理的逾期问题时，大白汽车漠视的态度让我很担心车辆是否正常，我多次要求快速处理，终于在9月23号在长沙接到了车，果然不出意料，汽车被丢在露天停车场的过道中间，车门未锁，任何人都可以打开进去，车内价值1280的小米手机丢失，右前后门剐蹭严重见黑底，并有几处凹印，车辆启动没有反应，在旁边的修车店花了380元进行简单的修理后，修车店告知我要去4S店进行全面检查，什么系统坏了，下班后再</t>
  </si>
  <si>
    <t>2019/10/08 17:01:11</t>
  </si>
  <si>
    <t>投诉人邱先生投诉对象微信涉诉金额0元问题类型诉求类型投诉详情第一微信之前封我支付，我到聚投诉给我回复了，让我支付和取款，我谢谢聚投诉还我公道，第二，微信再几小时之内，封了我的收款和红包，说我违规，我想说，你没有业内同行去举报你故意而为吗，我什么都不说也差不多了吧，而且我还不知道我有违规，我希望聚投诉可以还给我一个公道，真的很影响我的生活，而且，我一没骗二没抢三没偷，你这样太不公平，严重影响我的资金流转以及生活习惯，你们微信用软件支付捆绑一大群人，我收款受不了，我很麻烦，你这样让我没办法做生意，而且，就算我真</t>
  </si>
  <si>
    <t>2019/10/08 17:00:33</t>
  </si>
  <si>
    <t>钱站合同利率为29%左右，实际计算利率为57%，另借款20000，到账22400，秒扣2400称为服务费，这是不合理的，现请求停止骚扰，按合同利率及实际到手金额结清剩余本金。</t>
  </si>
  <si>
    <t>2019/10/08 16:59:35</t>
  </si>
  <si>
    <t>投诉人 詹先生        投诉对象  Wecash闪银,百万钱包        涉诉金额  1 520 元    问题类型    诉求类型投诉详情  百万钱包到期还款，想协商还款，客服不回复。</t>
  </si>
  <si>
    <t>2019/10/08 16:59:25</t>
  </si>
  <si>
    <t>美团两次爆我通讯录，我已经和客服讲过我的问题，现在都快崩溃了，家人，亲戚都已经不敢面对了，自己一人在外地漂着，家都不敢回了，我用钱也是做生意周转了，结果生意也赔了。</t>
  </si>
  <si>
    <t>2019/10/08 16:59:06</t>
  </si>
  <si>
    <t>打着教育旗号非法吸纳资金，希望维护我的利益。</t>
  </si>
  <si>
    <t>2019/10/08 16:58:16</t>
  </si>
  <si>
    <t>9月25日处理，虚假的让我在当日撤案结案 结果又延误到10月8日处理 至今无人处理 欺骗人</t>
  </si>
  <si>
    <t>2019/10/08 16:58:11</t>
  </si>
  <si>
    <t>在天天拍车经销商版APP充值的300人名币保证金，一直没有使用过申请退款了很多天没有给我处理，希望你们能重视这个问题11111111111111111111111111111111111111111111111。</t>
  </si>
  <si>
    <t>2019/10/08 16:58:08</t>
  </si>
  <si>
    <t>因本人失业，没有任何经济收入，前两个月借钱还在还款拍拍贷并主动诚实告知他们我的近况，到了这个月实在没钱还！和他们商量能不能找到工作在进行还款，可他们昨天给我打电话恐吓我说找我上门要钱，今天警告我已经给我家人打电话，态度及其嚣张，如果你们这种态度协商无果，我也不会再和你们多说一句废话。</t>
  </si>
  <si>
    <t>2019/10/08 16:57:26</t>
  </si>
  <si>
    <t>在营口机场，被推销航旅之家黑金卡，说是里面的费用可以直接购买机票，后来得知每次只能抵扣几十元，里面的费用不能用来支付机票，望有关部门能够给予解决，进行退款。</t>
  </si>
  <si>
    <t>2019/10/08 16:56:48</t>
  </si>
  <si>
    <t>恶意骚扰持卡人，恶语相向，暴利威胁，投诉平安信用卡中心，至今没有给出满意答复。</t>
  </si>
  <si>
    <t>2019/10/08 16:56:30</t>
  </si>
  <si>
    <t>借款1900元一个月还款2893元利息已经超出国家规定利率。</t>
  </si>
  <si>
    <t>2019/10/08 16:56:09</t>
  </si>
  <si>
    <t>本人于17年10月向中腾信借款1.5万元，每期还款670元，已持续还款两年，目前共还金额16200元，还款金额已过本金，并且中腾信恶意恐吓骚扰，群发短信泄漏我的个人信息，导致我身份证隐私外漏，对以后个人及资金安全造成严重的威胁。</t>
  </si>
  <si>
    <t>2019/10/08 16:56:06</t>
  </si>
  <si>
    <t>拍拍贷越还越多了，现在已经还不起了，天天老是打电话骚扰，。</t>
  </si>
  <si>
    <t>2019/10/08 16:55:49</t>
  </si>
  <si>
    <t>手机借钱软件中的多宝分期2019年9月2日借款6000元分四期，359.52%实属高利贷，需要本金加合理利息销账。</t>
  </si>
  <si>
    <t>2019/10/08 16:55:38</t>
  </si>
  <si>
    <t>我是最早一批使用闪银借款的客户，从200多元的额度一直提到后面的五千多元，借款不止于平台显示的70笔，也是因为闪银下的水，为了还清闪银的借款我多次使用其他网贷平台还清闪银借款，期间经历过多闪银以各种名义收取高额砍头息，从一开始的会员费到后来的至尊借款的信用凭证，再到后面的哼哼卡、瞬瞬卡、呼呼卡、极速达、付15元拒绝赔25元、还有什么征信宝、还有比付现金还贵20元的信用白条等等各色各样的名目连我这种使用多年的客户都记不清楚，只要能让你付钱的地方，闪银从来都不会客气都会通过各种名义强制收取你的费用像2019年2</t>
  </si>
  <si>
    <t>2019/10/08 16:55:34</t>
  </si>
  <si>
    <t>1000到账9100多，一次性砍头近900，6期还，每个月还要1956.67。</t>
  </si>
  <si>
    <t>2019/10/08 16:54:01</t>
  </si>
  <si>
    <t>投诉人张先生投诉对象卡牛信用管家涉诉金额9000元问题类型诉求类型投诉详情借9000显示借款金额9000当天划走1800每月还款903.74合计还10844.88元实际得款7200元利率远超国家标准甚至超过50%。</t>
  </si>
  <si>
    <t>2019/10/08 16:53:50</t>
  </si>
  <si>
    <t>投诉人 刘先生        投诉对象  钱站,华夏银行        涉诉金额  2 000 元    问题类型    诉求类型投诉详情  钱站APP 申请操作几天无响应 然后过程中想取消不能取消，硬给你下款 本金2000的情况下 分三期还款每期1000 一共3000元 这利率高达几百了吧 希望能调整利率 更改方式</t>
  </si>
  <si>
    <t>2019/10/08 16:53:26</t>
  </si>
  <si>
    <t>投诉人 杨先生        投诉对象  钱橙无忧        涉诉金额  168 元    问题类型    诉求类型投诉详情  好久没有操作这个平台了。今天无故的扣了我168元钱</t>
  </si>
  <si>
    <t>2019/10/08 16:53:23</t>
  </si>
  <si>
    <t>本人于2019年5月28日在小赢卡贷借款20000元，分12期，目前已还9532.84元，还剩8期共计17665.7元，目前打算提前还款，但还款时提示提前还款需按还款计划缴清所有期限的息费，希望能够协调提前还款，不收取利息和额外的费用。</t>
  </si>
  <si>
    <t>2019/10/08 16:53:03</t>
  </si>
  <si>
    <t>本人通过短信推荐在秒购平台借款多次，且他们存在砍头利息费用，且他们通过宝付渠道进行订单支付，我现在要求他们退回我部分的砍头利息费用。</t>
  </si>
  <si>
    <t>2019/10/08 16:53:00</t>
  </si>
  <si>
    <t>投诉人 张先生        投诉对象  拍拍贷        涉诉金额  311 元    问题类型    诉求类型投诉详情  未经过我本人同意拨打我亲友的手机进行催收</t>
  </si>
  <si>
    <t>2019/10/08 16:52:52</t>
  </si>
  <si>
    <t>贷上钱APP借款，于2019年8月4日借款4000元，确认后强制性购买金豆1200元，后每个月还款1814.12元，不符合国家最高年利率36%的规定，与其客服协商，客服态度恶劣，并对通讯录进行轰炸骚扰，给本人生活和精神上带来了极大的伤害，希望国家取缔这些平台，本人承诺愿意在国家法律规定内的利息还款，希望部门领导给予解决！。</t>
  </si>
  <si>
    <t>2019/10/08 16:52:38</t>
  </si>
  <si>
    <t>刚开始有一个游戏好友加我，说一起玩一起结婚，就叫我充值，一直催我充值，我说不充值也可以玩，后来就不让我登录了。</t>
  </si>
  <si>
    <t>2019/10/08 16:52:36</t>
  </si>
  <si>
    <t>投诉人 黄女士        投诉对象  南京银行        涉诉金额  5 000 元    问题类型    诉求类型投诉详情  希望能协商解决罚息问题，而不是推脱，搪塞。</t>
  </si>
  <si>
    <t>2019/10/08 16:51:57</t>
  </si>
  <si>
    <t>快狗打车客服部不接电话处理不到事情本人想辞职把押金退回来。</t>
  </si>
  <si>
    <t>2019/10/08 16:51:55</t>
  </si>
  <si>
    <t>本人在微众银行微粒贷贷款因资金链断裂产生逾期，本来是我的不对，正常的催收我都能接受，但是近期微粒贷催收人员冒充办案民警发上门信息，之后又来电威胁说要联系村委会和家人朋友，更说要拉横幅破坏个人名誉，也不知道哪里来的通讯录的联系方式，逾期了该承担的责任我会承担，银行更可以起诉我，国家有法律，不是想怎么催收我们就要任人宰割。</t>
  </si>
  <si>
    <t>2019/10/08 16:51:43</t>
  </si>
  <si>
    <t>未经本人允许随意爆通讯录已影响生活要求停止并协商处理。</t>
  </si>
  <si>
    <t>2019/10/08 16:51:29</t>
  </si>
  <si>
    <t>提供非法支付通道，违法帮助套路贷划扣本人卡内资金，对本人造成了极大的经济损失，要求富友支付公司简介追回我的血汗钱，并与非法套路贷公司解除非法合作关系，否则投诉到底维护自己应有的权益，并付上当时所有富友支付非法扣款交易详情截图。</t>
  </si>
  <si>
    <t>2019/10/08 16:51:20</t>
  </si>
  <si>
    <t>威胁恐吓我，暴力催收，已经把我逼到医院住院了，一直恐吓我，威胁我，说什么爆通讯录，说什么发信件到我老家。</t>
  </si>
  <si>
    <t>2019/10/08 16:51:09</t>
  </si>
  <si>
    <t>投诉人孙先生投诉对象时光分期涉诉金额3000元问题类型诉求类型投诉详情工商这边查过该公司资料发现该公司并不具备放款资质，该公司违规违法对外放高利贷，且利息超过国家规定，时光分期客服态度恶劣称国家没规定利率怎么算，自己合法合规，现在，请该客服把合法合规的证据拿出来！！！该公司在2018年2月之前并无经营资质，但已开展高利贷业务，以上已提供有2018年之前放贷凭证，可提供流水，该公司于2018年2月香港注册，金蝉脱壳，拼着合法的外衣仍做着违法的经营高利贷暴力催收315点名后变本加厉但最终受益人都是郭慧文，且该公</t>
  </si>
  <si>
    <t>2019/10/08 16:51:06</t>
  </si>
  <si>
    <t>苏宁任性贷，本金两万八左右，逾期一年多，现在想要还款，但是罚息就超过六千元，利息也有两千多，投诉一下，可不可以减免一部分罚息，然后一次性结清。</t>
  </si>
  <si>
    <t>2019/10/08 16:50:51</t>
  </si>
  <si>
    <t>本人通过链家地产出售二手房，买方向农业银行北京朝阳支行申请贷款，农业银行批贷后，买卖双方已将房产过户，但贷款迟迟不放款，银行称是由于发现买方，的担保人征信有问题，不能放贷，我认为此问题应该在批贷前就发现，这明显是银行批贷前审核不严，工作失误，贷款款项不能如期发放，已给我造成严重经济损失。</t>
  </si>
  <si>
    <t>2019/10/08 16:50:49</t>
  </si>
  <si>
    <t>利息非常的高，联系不上客服，客服也不处理，利息一直在涨，要求赶紧和我联系。</t>
  </si>
  <si>
    <t>2019/10/08 16:50:21</t>
  </si>
  <si>
    <t>投诉人 张先生        投诉对象  百事普惠        涉诉金额  598 元    问题类型    诉求类型投诉详情  胡乱扣款2次 每次都是299。共598元。联系客服未有结果</t>
  </si>
  <si>
    <t>2019/10/08 16:49:56</t>
  </si>
  <si>
    <t>下款时利率可不是这么写的，没有其他费用，刚开始还没注意，今天打电话暴力催收，登陆平台看下，好高的利息，吓到一跳，请立借平台调整利率！做出整改。</t>
  </si>
  <si>
    <t>2019/10/08 16:49:43</t>
  </si>
  <si>
    <t>22号逾期最后一期，我在小牛借12000分期15个月，每个月1119元，，按按道理我都还了14期了，上个月实在没钱，，我就和它们说这个月15号还，然后就给我家人打电话，还威胁我送花圈。</t>
  </si>
  <si>
    <t>2019/10/08 16:49:36</t>
  </si>
  <si>
    <t>于斯钢琴陪练退费没人管，电话不接，投诉电话也没人接，现在联系不上了。</t>
  </si>
  <si>
    <t>商家卖假货一直不回复，全程交给微店客服处理，客服必须要消费者提供假货证明才出运险费，可是我们消费者的权益呢。</t>
  </si>
  <si>
    <t>2019/10/08 16:49:18</t>
  </si>
  <si>
    <t>185******32电话辱骂！没有查明真相就开骂，而且我又没有欠他们钱，直接就找我！。</t>
  </si>
  <si>
    <t>2019/10/08 16:49:02</t>
  </si>
  <si>
    <t>客服打不通了，没有人工，多次联系都说尽快处理，但是到现在都没有处理，手机也不会发验证码了。</t>
  </si>
  <si>
    <t>2019/10/08 16:48:55</t>
  </si>
  <si>
    <t>爱钱进旗下借贷平台钱站，以下简称“钱站”爆我通讯录，对我亲朋好友进行电话轰炸，严重影响了他们的正常生活，本人于二零一七年向钱站借贷两笔借款，一笔30000，一笔3000，本人正常还款后，于二零一八年一月份向其公司催收人员约定，如期偿还当月欠款，余下欠款本金23000后一次性偿还，从此两不相欠，钱站旗下催收人员答应了，并说冻结本人钱站账户三个月，约定三个月后一次性偿还！如今，钱站并未履行约定，并对本人亲朋好友进行电话催债，短信轰炸，电话轰炸，严重影响了他们的生活！！！本人承诺，钱站可以走司法程序追回余下欠款，</t>
  </si>
  <si>
    <t>2019/10/08 16:48:39</t>
  </si>
  <si>
    <t>投诉人 刘先生        投诉对象  钱站        涉诉金额  2 000 元    问题类型    诉求类型投诉详情  钱站APP 申请操作几天无响应 然后过程中想取消不能取消，硬给你下款 本金2000的情况下 分三期还款每期1000 一共3000元 这利率高达几百了吧 希望能调整利率 更改方式</t>
  </si>
  <si>
    <t>2019/10/08 16:47:41</t>
  </si>
  <si>
    <t>2018-12-12购买中华会计网校天猫旗舰店初级会计考试课程，课程显示“2考期2020学期，不过续学”，本以为可以保障两年，没想到满满的套路，该网校设置了门槛，要求“您购买课程后，必须要参加了2019的考试，没有通过，在成绩发布后15日内在官网联系在线客服可以免费申请续学的呢，即可第二年，作为日常消费者很少注意此类推送信息，当今年我想申请续学时，该店客服以此为凭据，拒绝我的续学申请，我觉得这就是虚假误导宣传。</t>
  </si>
  <si>
    <t>2019/10/08 16:47:25</t>
  </si>
  <si>
    <t>拍拍贷协商不了，之前打电话协商，没有成功，然后今天打电话骚扰亲戚朋友，而且，属于高利贷，我已经算过了，借了4800结果要多还2000出来，本金我也已经还完了。</t>
  </si>
  <si>
    <t>2019/10/08 16:47:17</t>
  </si>
  <si>
    <t>2017年闺蜜在此楼盘购买了该楼盘物业，2018年我经朋友介绍也购买了这楼盘物业，地址在佛山南海区丹灶镇祈福南湾半岛，因为一看，环境不错，因为想闺蜜同住一小区，就算该楼盘交通不便利，还是买了，只因当时售楼部的说有免费外线巴士，想着有了楼巴交通也便利，于2019年与闺蜜一起装修好就取消免费楼巴，巴士到广州收费调整到15块，如果需要长住是不可能的，因为15*2=30元，这个成本不是上班族可以随意承当，未经业主同意直接把小区巴士车队委托给外来人员管理，如果不是当初说的免费楼巴，买来干嘛，这里设施不齐全，娱乐场所不</t>
  </si>
  <si>
    <t>2019/10/08 16:47:08</t>
  </si>
  <si>
    <t>本人在中腾信旗下一款借款软件中借款15000元人民币，今天是第十一期还款日，还在还款日中，中腾信既委托外包催收单位对我进行催收，本人因资金问题提出晚两天进行还款处理，催收人员对我进行威胁，提出要找我工作单位，发信息给我亲朋好友，辱骂我“穷逼、废物”等语言，还告知我知道我的家庭住址，对本人心里照成极大的伤害，希望相关部门能够给予帮助。</t>
  </si>
  <si>
    <t>2019/10/08 16:46:58</t>
  </si>
  <si>
    <t>恶意爆通讯录电话狂轰，还有恶意恐吓，假冒公安机关单位进行恐吓。</t>
  </si>
  <si>
    <t>2019/10/08 16:46:54</t>
  </si>
  <si>
    <t>省呗阴阳合同变相砍头息在本人为失联的情况下！骚扰联系人！辱骂威胁！严重干扰了本人的正常生活！希望平台严肃处理！。</t>
  </si>
  <si>
    <t>2019/10/08 16:46:41</t>
  </si>
  <si>
    <t>投诉人 李先生        投诉对象  瓜子二手车        涉诉金额  8 127 元    问题类型    诉求类型投诉详情  本人购买的瓜子严选车， 全部委托瓜子办理 但实际车辆和复检报告严重不符合， 实际情况和复检报告不一致的有 ，右前门玻璃更换了国产玻璃 ，右前车门喷漆钣金 ，右前翼子板喷漆钣金 ，车内天棚污损严重 ， 车身有多处划痕 ， 这些问题在复检报告中没有告知 客服处理结果和态度无法让人接受 ，本人购买的严选车 和检测报告不一致的也确实太多了。</t>
  </si>
  <si>
    <t>2019/10/08 16:46:38</t>
  </si>
  <si>
    <t>在拍拍贷上面借款14笔，总金额17810！现在已经还了2000多了！没有预期！因本人实在无力承担高额费用！想协商解决！今天给客服打了个电话要解决！居然还要我还一万九千多！这就属于高利贷！收取高额的手续费，和风险保证金！手续费总金额2483.1元，风险保证金3455.05元！我给客服说我一次性还清是不是能减免！客服说这个不能减免……我就想问问你们拍拍贷！我把钱还上去了，还存在风险保证金吗！你们是在开玩笑吗，如果因为协商不成而导致本人逾期，本人拒绝承担一切费用！国家规定利率我一分不少付给你们！但是不合理费用本人</t>
  </si>
  <si>
    <t>2019/10/08 16:46:37</t>
  </si>
  <si>
    <t>继续发恐吓信息啊，你们以为我怕你们啊，还欠款逾期严重，一千块钱你去告我啊，还法务人员发到我户籍地，假装法务人员，我告你啊！垃圾，还有你们360借条平台，我一个月投诉举报一次。</t>
  </si>
  <si>
    <t>2019/10/08 16:45:44</t>
  </si>
  <si>
    <t>投诉人 黄女士        投诉对象  来分期        涉诉金额  7 700 元    问题类型    诉求类型投诉详情  客服不处理，希望有专人来处理这些事情。协商解决</t>
  </si>
  <si>
    <t>2019/10/08 16:45:30</t>
  </si>
  <si>
    <t>客服人员欺骗客户说退款，结果并没有操作，联系客服人员，互相之间踢皮球，这么大的公司，竟然没有一个人能够解决这件事情，令人吃惊。</t>
  </si>
  <si>
    <t>2019/10/08 16:45:13</t>
  </si>
  <si>
    <t>出了两张通辽到乌鲁木齐10月4日的火车票，在不知情的情况的尽然乱收费每人加了15元的打车卷，要求退票。</t>
  </si>
  <si>
    <t>2019/10/08 16:45:09</t>
  </si>
  <si>
    <t>老打什么啊，非得你们家出事了，你上医院了就不打了吧，之前给我通讯录打电话没投诉你们。</t>
  </si>
  <si>
    <t>2019/10/08 16:44:16</t>
  </si>
  <si>
    <t>投诉人 王先生        投诉对象  信用飞        涉诉金额  4 000 元    问题类型    诉求类型投诉详情  必须买810保险才下款。变相收取砍头息。当天取消还全额收取利息</t>
  </si>
  <si>
    <t>2019/10/08 16:44:07</t>
  </si>
  <si>
    <t>9月14日我在优信二手车上定购了一台来自辽宁沈阳的丰田逸致二手车，当时页面上现实该车经过315项检测，没有火烧、水泡及重大事故，但是在9月14日交付定金之后，一直到9月29日才到达银川交付中心，经我主动联系优信销售顾问后，到达交付中心查看车辆，通过查看发现车辆仅外观一项与原车辆检测信息有多处不实情况，具体表现在车辆后保险杠存在多出擦伤、1处凹陷伤、3处钻孔伤；前保险杠存在多处擦伤、底漆面漆均脱落并存在部分龟裂脱落迹象，车辆其他部位例如车门、翼子板、引擎盖、后门等处存在多处明显的小撞击坑；车辆骨架方面左后、右</t>
  </si>
  <si>
    <t>2019/10/08 16:43:56</t>
  </si>
  <si>
    <t>投诉人冯先生投诉对象百事普惠涉诉金额299元问题类型诉求类型投诉详情我在这平台贷款然后后面觉得没什么用就删了结果后面给我来个扣款把我生活费都扣没了现在已经10天过去了我想问别人当天就回复了我们这种不是人，已经发第三次了还没有任何回复我不晓得你们是同流合污还是民诉平台的两边都没有任何回复我希望能尽快回复我谢谢。</t>
  </si>
  <si>
    <t>2019/10/08 16:43:47</t>
  </si>
  <si>
    <t>小象优品借款13000元，当时出现一个参考每月还款，具体记不清了，比较合理，成功提现后，每月还款要求1482.17，没有合同，没有说明，没有费率明细，只有手续费4786.08可以看到，个人在小象优品两笔贷款，一笔3000，每月还款590，6个月还款3540我已经还清，试问利率多少，最长逾期1天！请聚投诉平台关注，请小象平台给予合理解释！。</t>
  </si>
  <si>
    <t>2019/10/08 16:43:24</t>
  </si>
  <si>
    <t>我以前不懂征信报告也不会看，虽然打印过一份可是没有没有看懂，还是这次在网上查询的时候我朋友告诉我的，说我记录里面有马上消费金融的贷款逾期记录，我不知道什么时候马上金融逾期了，改还的也都还了，更何况2017年1月13日没有这笔贷款，当时是分期每期6百多，后面是平台要我还2千左右说是国家政策要先把利益一次还清被我拒绝了，我给平台客服和支付宝打过很多次电话协商解决，后面非不同意修改还款金额，明明就是马上金融单方面修改还款合同，为什么要我来承担责任，我把改还的钱一次性也全部结清了，我希望平台能撤销这个逾期记录，赔偿</t>
  </si>
  <si>
    <t>2019/10/08 16:43:12</t>
  </si>
  <si>
    <t>投诉人胡先生投诉对象拍拍贷涉诉金额0元问题类型诉求类型投诉详情拍拍贷未经本人允许打电话恐吓通讯录好友，还说要搞我，希望能尽快处理，别等出事了再去处理，说要搞我的电话是，130******43。</t>
  </si>
  <si>
    <t>2019/10/08 16:42:12</t>
  </si>
  <si>
    <t>本人真心实意与小象优品商量可不可以提前还款，利息减免，结果客服态度十分恶劣。</t>
  </si>
  <si>
    <t>2019/10/08 16:41:45</t>
  </si>
  <si>
    <t>app客服电话4个6结尾的电话形同虚设，永远没人接听，后找到5707结尾的打过去有人接了，但退款问题迟迟不解决，10月5日打电话过去，说2-7个工作日，但我无法接受2-7个工作日退款，因为之前有充值过某共享单车押金，也是说2-7天就退押金，最后过去了3个多月才退回押金，所以就客服服务和退款表现来看，不足以让我有信心等待7个工作日。</t>
  </si>
  <si>
    <t>2019/10/08 16:41:17</t>
  </si>
  <si>
    <t>投诉人 陈女士        投诉对象  点刷        涉诉金额  298 元    问题类型    诉求类型投诉详情  点刷mpos 几个月前用信用卡刷了一笔几百块 一直没到账 打客服电话。一直说我账户被冻结了 也不给我解除 想通过聚投诉官方 帮我联系处理一下 谢谢。还有app 不给截屏</t>
  </si>
  <si>
    <t>2019/10/08 16:40:38</t>
  </si>
  <si>
    <t>我在还款日当天晚上存钱进去银行没代扣，第二天就涨了二百多块钱的罚息，还款金额才一千，罚息就涨了二百多，要求免罚息还款，停止联系家人。</t>
  </si>
  <si>
    <t>2019/10/08 16:40:06</t>
  </si>
  <si>
    <t>当时在江西省景德镇市一手机店，与手机号绑定一电话手表，店主说只要电话最低消费，并没有说明是马上消费金融网贷导致拖欠马上消费金融贷款，。</t>
  </si>
  <si>
    <t>2019/10/08 16:38:56</t>
  </si>
  <si>
    <t>本人老公在金鸡钱包上借款2000，在不知情的情况下被合利宝支付平台擅自扣款780，涉嫌砍头息的违法行为。</t>
  </si>
  <si>
    <t>2019/10/08 16:38:30</t>
  </si>
  <si>
    <t>在2019.9.12日通过京东金融app参加了返利宝，的活动，活动内容大致如下：老用户邀请新用户在银行精选首次存款≥1000元，被邀请好友持有7天，则双方可各得30元奖励，参加活动之前，本人特意咨询过京东金融在线客服，确认过活动结束时间为2019.12.31日，9.12日凌晨的时候活动还在正常进行，但是9.12日上午京东金融在没发出任何公告的情况下突然下架此活动，由于邀请是通过此前生成的海报二维码邀请新用户扫码进入的形式进行的，京东临时下架活动并且没有发出任何公告，导致本人在不知情的情况下扔继续按照活动规则</t>
  </si>
  <si>
    <t>2019/10/08 16:37:59</t>
  </si>
  <si>
    <t>如若再继续电话骚扰，本人将捷信电话骚扰记录打印备份，依法追究！。</t>
  </si>
  <si>
    <t>2019/10/08 16:37:53</t>
  </si>
  <si>
    <t>6月12日，借款1600元，随后扣走369元砍头息，扣款方：易宝支付有限公司；2018年6月26日，借款1600元，随后扣走369元砍头息，易宝支付已经退回2200元，现仍有2438元未退，请易宝及时退还。</t>
  </si>
  <si>
    <t>2019/10/08 16:37:50</t>
  </si>
  <si>
    <t>投诉人刘善路投诉对象交通银行信用卡涉诉金额0元问题类型诉求类型投诉详情信用卡逾期，催收电话不断，我说了后天，宽限2天时间，不接受，仍然电话不断，骚扰到正常工作半天打了5个电话，还诱导我说不还，我说了很清楚宽限2天，还威胁我说联系我的朋友。</t>
  </si>
  <si>
    <t>2019/10/08 16:37:48</t>
  </si>
  <si>
    <t>投诉人饶先生投诉对象成都安睿旺蜀网络科技有限公司,借花钱,快捷通支付涉诉金额198元问题类型诉求类型投诉详情借花钱，没人任何提示直接就给我扣费了，莫名其妙，恶意扣除我银行卡余额，是强盗嘛。</t>
  </si>
  <si>
    <t>2019/10/08 16:37:32</t>
  </si>
  <si>
    <t>￼本人在人人贷借款2万元，分36期还，每期还款本金602.6元，利息133.4，咨询服务费339.56元，每期合计还款1075.56，36期还款算下来本金利息服务费共计38720.16元。</t>
  </si>
  <si>
    <t>2019/10/08 16:36:50</t>
  </si>
  <si>
    <t>已经给客服打过电话协商还款的事，确还在没有本人同意的的情况下骚扰通讯录里的人。</t>
  </si>
  <si>
    <t>2019/10/08 16:36:36</t>
  </si>
  <si>
    <t>投诉人曹先生投诉对象易融财商涉诉金额988元问题类型诉求类型投诉详情易融财商业务员到处收集用户信息，以能办理贷款，信用卡提额为由，通过为造图片，骗取用户信任，收取668～9888会员费不等，称办理会员之后，可能办理3-5万元贷款，以及一张高额信用卡，骗取会员费之后，业务员失联，平台失联，平台电话无人接听。</t>
  </si>
  <si>
    <t>诱导我支付信息查询费，强行扣掉我的钱，产生损失。</t>
  </si>
  <si>
    <t>2019/10/08 16:36:25</t>
  </si>
  <si>
    <t>信用管家里面元宝宝借款，不进行扣款，联系不上客服，无法还款。</t>
  </si>
  <si>
    <t>2019/10/08 16:36:02</t>
  </si>
  <si>
    <t>阴阳合同，借3000到账2000每期还款1100多。</t>
  </si>
  <si>
    <t>2019/10/08 16:36:01</t>
  </si>
  <si>
    <t>饿了么的活动，参加会员续费活动就可以得一个10元两个8元一共26元的红包，活动页面标明的是通用红包，结果花了10元参加了活动，送的是3个满减红包，并且是满40减8这种需满足大额才能用的红包，联系客服态度强硬不给退款，人家网购也有7天无理由退款，饿了么诱导消费还不给退款，也太霸道了吧。</t>
  </si>
  <si>
    <t>2019/10/08 16:35:55</t>
  </si>
  <si>
    <t>2016年10月26日在你我贷借款110100元，下款到我账户77000元，分36期还款每期还款3987.20元，现已还到30期已还金额119616元，30期利息42616元，我还的利息已远超国家规定年利率36%，我与平台协商消账无果，现还不定期打电话骚扰侮辱。</t>
  </si>
  <si>
    <t>2019/10/08 16:35:19</t>
  </si>
  <si>
    <t>投诉人 木先生        投诉对象  商家        涉诉金额  1 888 元    问题类型    诉求类型投诉详情  有一个蟹御轩的螃蟹卡 面值是1888之前联系客服 说可以提货 现在提不了 也联系不上人了</t>
  </si>
  <si>
    <t>2019/10/08 16:35:04</t>
  </si>
  <si>
    <t>本人因急用钱借了立借这个平台，借款之前看不到还款计划，借完才看到还款计划，，利率简直是吃人不吐骨头，7000六个月要还11760，而且前三期就快超过了本金，剩下的每期都是1700多的还款，这年利率已经到百分之136了，这种高利贷甚至比外面的线下的高利贷还黑，国家不是严打吗，要求调整利率在国家规定的百分之24，每期还款金额应在合理范围内，不解决会继续投诉到银监会，12315。</t>
  </si>
  <si>
    <t>2019/10/08 16:34:58</t>
  </si>
  <si>
    <t>之前在招联金融平台贷款，逾期了，不是本人不还，主要是现在家里有事经济出了点问题，本人承诺还款，但需要一定的时间，但他们一直催促，电话催短信催，催的我多了我不接电话，他们就多次打电话发短信给我家人，实在是不能忍受他们暴力骚扰，之前的很多通话和短信记录都删了，今天又有一条催收短信，每个人都有难处，我承诺还款，希望能够协商处理@招联金融，如果联系我时请连续打我两次电话。</t>
  </si>
  <si>
    <t>2019/10/08 16:34:07</t>
  </si>
  <si>
    <t>投诉人刘先生投诉对象联通易借涉诉金额18000元问题类型诉求类型投诉详情本人于联通易借借款由于家庭原因导致经济链断裂，还款日之前就主动联系该平台客服协商处理，协商无果最后逾期，该平台催收人员打通讯录电话，让通讯录好友替我还钱，告知是我说的，恶意编造谎言有区别吗，威胁我落实户籍地等方式，微信把我拉黑，本来我已经告诉他了，我现在在通过银行办理贷款，在等消息，找好担保人了，结果这帮催收给担保人打电话，说我欠钱不还让人家给我还，结果现在担保人也不给我担保了，你们为了这点钱是要逼死人的节奏，前面我都在正常还款，也不是</t>
  </si>
  <si>
    <t>2019/10/08 16:34:05</t>
  </si>
  <si>
    <t>本人于2017年9月30日在捷信金融公司申请了30000的贷款，分36期，现已还款33291.72，已还22期，以前一直准时还款，近段时间经济差，资金周转困难，本来捷信的利息就高的不得了，利息贼高，现在还搞我家人，去骚扰我家人，我老爸患有严重心脏病，如果家遭到你们外包人员的恐吓的话我不会就此罢休，催收是很正常，有钱还谁也不愿意当老赖，只是请不要骚扰家人，请不要打扰到我家人和亲友的正常生活，有钱还谁愿意逾期，经济困难的时期就不给人家活路吗。</t>
  </si>
  <si>
    <t>2019/10/08 16:33:56</t>
  </si>
  <si>
    <t>投诉人 徐先生        投诉对象  小象优品        涉诉金额  970 元    问题类型    诉求类型投诉详情  骚扰通讯录，给通讯录的人打电话。侵犯私人空间。暴力催收</t>
  </si>
  <si>
    <t>2019/10/08 16:33:47</t>
  </si>
  <si>
    <t>投诉人 赵女士        投诉对象  平安普惠        涉诉金额  1 000 元    问题类型    诉求类型投诉详情  平安普惠i贷还款日就发短信恐吓 还打骚扰电话 现在还没有逾期就这样 影响我的生活</t>
  </si>
  <si>
    <t>2019/10/08 16:33:33</t>
  </si>
  <si>
    <t>投诉人 宋亚超        投诉对象  你我贷        涉诉金额  8 000 元    问题类型    诉求类型投诉详情  你我贷 暴力催收黑社会恐吓 侮辱 骚扰联系人 要求合理合法 解决欠款 赔偿精神损失费 没合理解释拒绝还款</t>
  </si>
  <si>
    <t>2019/10/08 16:33:26</t>
  </si>
  <si>
    <t>平安银行信用卡在本人卡片正常使用情况下未提前通知便直接停卡，后通过非合法手段调取个人信息，将本人工作单位及同事电话号码泄露给第三方催收公司，该公司谎称电话是我本人留给银行的，对公司同事进行恐吓威胁严重侵犯本人名誉权导致无法在现工作单位正常开展工作，对平安银行的做法本人不排除投诉银监会或通过法律手段维护自身权益。</t>
  </si>
  <si>
    <t>2019/10/08 16:32:32</t>
  </si>
  <si>
    <t>投诉人杨女士投诉对象北京悦途航空服务,飞猪涉诉金额3772元问题类型诉求类型投诉详情本人通过飞猪平台在北京悦途航空购买了2019年9月3日从美国斯泰特科利奇飞往上海的机票，票价为3772元，由于天气问题，航班延误了四小时以上，咨询美国联合航空公司后，航空公司表示可以全额退款，美国联合航空公司相关规定指出如果航班延误两个小时以上，可以选择取消旅行，获得未完成行程部分的积分或退款，9.3日本人通过飞猪平台向悦途航空发起非自愿退票，10.7日收到退款457元，此后，悦途航空表示美联航只退了71.1美元，因此只退给</t>
  </si>
  <si>
    <t>2019/10/08 16:32:22</t>
  </si>
  <si>
    <t>投诉人刘先生投诉对象及贷涉诉金额1200元问题类型诉求类型投诉详情请详细说明，前期240的信用成长计划费是什么，为什么要收取240前期费，如不退还，永不撤销，至今没人联系我。</t>
  </si>
  <si>
    <t>投诉人冯先生投诉对象小米金融委托方涉诉金额1300元问题类型诉求类型投诉详情疯狂打电话，辱骂，威胁恐吓，态度极其恶劣。</t>
  </si>
  <si>
    <t>2019/10/08 16:32:09</t>
  </si>
  <si>
    <t>本人中行卡，一直在身边，10月6日突然被不明代收费两笔，分别是4999和2000元；本人没有操作过任何第三方交易，请广州银联给个说法，还我血汗钱。</t>
  </si>
  <si>
    <t>2019/10/08 16:32:05</t>
  </si>
  <si>
    <t>在我本人一直接电话的情况下，一直打电话给前同事，并伪造了一份律师函发到了同事的手机上。</t>
  </si>
  <si>
    <t>2019/10/08 16:31:40</t>
  </si>
  <si>
    <t>催收威胁恐吓暴力催收打扰亲朋好友录音在手里可以提供。</t>
  </si>
  <si>
    <t>投诉人聂女士投诉对象金鸡下蛋涉诉金额2000元问题类型诉求类型投诉详情借款2000实际到账1400，今天到期。</t>
  </si>
  <si>
    <t>2019/10/08 16:31:37</t>
  </si>
  <si>
    <t>投诉人宋女士投诉对象Wecash闪银涉诉金额1045元问题类型诉求类型投诉详情本人于2019年9月5日在闪银借了一笔哼哼账单为1100的借款放款砍头息接近200到账800多本人也是闪银的老用户很少逾期并且每次都还了基本都是提前还款此次逾期由于工资未发放需要等到月底但是闪银客服方一直说话阴阳怪气威胁我还再次发短信威胁以及羞辱我我从未说过不想还款的话在我觉得我一年多的用户还款记录足矣证明会还款但是太嚣张了还扬言要把通讯录打到凌晨凌晨打到第二天早上。</t>
  </si>
  <si>
    <t>2019/10/08 16:31:35</t>
  </si>
  <si>
    <t>本人因临时周转，在贷上钱app于2019.9.7日借了两笔款款项，于10.7日到期，借款周期1个月，到账2500，到期归还3000元，逾期一天逾期费用高达60多元，其中一笔迫于压力已还款，催收人元多次致电骚扰威胁，多次协商无果，多次拨打通讯人员骚扰，希望聚投诉平台与以跟进，本人后续将向相关经融监管机构，公安机关报案处理！。</t>
  </si>
  <si>
    <t>2019/10/08 16:31:28</t>
  </si>
  <si>
    <t>抖音极速版，从昨天提现到支付宝，一直都没有到账。</t>
  </si>
  <si>
    <t>2019/10/08 16:31:11</t>
  </si>
  <si>
    <t>至今为止还有约16万未转让出来，另外转让期间利息一个月不如一个月和之前合同承诺的利益年率8%完全相差甚远一天甚至一分钱都没有。</t>
  </si>
  <si>
    <t>2019/10/08 16:30:58</t>
  </si>
  <si>
    <t>肉一解冻都是烂肉，10-7号下午2:50顺丰给我打电话快递送到我店里，我6点左右拿到货，晚上7点多就去做这个牛排，结果拆开包装，牛肉都是烂的，此时肉才解冻一半而已...虽然我觉得不对劲，但还是坚持煎一片尝一尝，以为也许能吃呢，谁知道这里面的套路啊！但是吃了几口，得出的结论是这是人吃的东西么，于是赶在10-7日8点前我就联系爱库存平台，说这个肉是烂的，要退货退款！结果平台，有时候又说我没第一时间联系，我于是问收货5个小时以内就联系了，这算晚，然后平台客服又说质量没问题，一点依据都没有，就敢说没问题，也无法提供</t>
  </si>
  <si>
    <t>2019/10/08 16:30:23</t>
  </si>
  <si>
    <t>投诉人 李女士        投诉对象  小花钱包        涉诉金额  30 000 元    问题类型    诉求类型投诉详情  每天给我打骚扰电话 短信轰炸 骚扰我家人</t>
  </si>
  <si>
    <t>2019/10/08 16:30:14</t>
  </si>
  <si>
    <t>我在闲鱼上，卖出一件货物，但闲鱼系统上无法进行发货操作，之后买家选择退款，但物流信息显示，货物已经签收，买家也没有撤销退款，最终结果钱退回买家，而且货物也在买家手上。</t>
  </si>
  <si>
    <t>2019/10/08 16:29:48</t>
  </si>
  <si>
    <t>立借app里面有个叫叮当想花的给我打电话，我还给我截图了，我上他那个app上发现根本没有，我给他们客服联系说不能处理，叮当想花那边给我打电话一直催。</t>
  </si>
  <si>
    <t>2019/10/08 16:29:34</t>
  </si>
  <si>
    <t>电话短信威胁等等！用95开头号码或者手机号打电话，无法证实是银行的工作人员说话不正当讲话带威胁本人还款！说清楚过一回有钱自然就还了！家庭出现紧急情况下催收人员还威逼还款！我想请问一下我没有还款嘛，难道你们中信银行要逼死别人你们银行才开心嘛，本人现在有困难就跟你们银行说了，天天短信威胁。</t>
  </si>
  <si>
    <t>2019/10/08 16:29:31</t>
  </si>
  <si>
    <t>投诉人王女士投诉对象马上消费金融涉诉金额150元问题类型诉求类型投诉详情今天给我来电通过安逸花消费一百元以上可以提升额度我花了一百多没给提额感觉被欺骗了。</t>
  </si>
  <si>
    <t>2019/10/08 16:29:11</t>
  </si>
  <si>
    <t>确实是想考学，网上看了看自考的还有教育机构，尚德的所谓老师就来了，各种推销，反正我也确实想考，没多想就同意了，还推荐我这个不过退费班，说各种好处有保障，保证过，过不了可以退钱，学的不好可以退钱，有什么特殊情况考不了可以退钱，反正意思就是除了考过以后不用退，别的你想退就退，现在倒好，我工作上真有事没法学了，反而不给我退了，各种推诿，让我休学，你们售后的跟推销的不是一家的，更何况我一共就看了一节半的课，我看多少，你觉得多少钱可以给我扣出来，没问题的，而且你们让我买的时候什么合同条约都没有，咋现在就出来了。</t>
  </si>
  <si>
    <t>2019/10/08 16:28:38</t>
  </si>
  <si>
    <t>本人被宜信客服欺骗诱导，不知情的情况下在宜人贷上贷了三万本金，被要求还五万，前期一直在还款，已经还了2.3万本金，现在利息还在增长，利息费用和手续费以及各种服务费完全是喝人血，严重违反国家法律，并且在逾期一两天的情况下宜信就泄露个人隐私把号码通讯录交给第三方公司催收，各种骚扰威胁，暴力催收，打亲人电话言语，侮辱声称要让本人活不下去，有录音，催收电话150******98，投诉宜信高利贷砍头息，要求只还本金不承担利息，本人现在生活都困难，被人骗了几十万，工作也丢了，母亲身患癌症每天承担高额化疗费用，还被催收电</t>
  </si>
  <si>
    <t>2019/10/08 16:28:36</t>
  </si>
  <si>
    <t>说好了还款了说可以清帐，现在还进去了又说不可以清帐了。</t>
  </si>
  <si>
    <t>2019/10/08 16:28:34</t>
  </si>
  <si>
    <t>按时还款，结果翼支付第三方合作机构打我电话说我没有还款，和翼支付沟通说已还款，马上消费金融称未进行还款，马上消费和翼支付沟通2周无果，结果马上金融打我亲人电话，我又打电话给马上金融，马上金融才给我解决，翼支付和马上金融沟通2周都没有解决，我想问你们真的沟通了么，想要提前还款，翼支付app上一直显示未知错误，不能进行提前还款，这个问题我已经反馈了超过10天了，到现在还没有解决，我想问你们是借此故意多收利息么。</t>
  </si>
  <si>
    <t>2019/10/08 16:28:14</t>
  </si>
  <si>
    <t>宝付支付公司为714非法套路贷提供非法支付通道，违法帮助套路贷划扣本人卡内资金，对本人造成了极大的经济损失，要求宝付支付公司简介追回我的血汗钱，并与非法套路贷公司解除非法合作关系，否则投诉到底维护自己应有的权益，并付上当时所有宝付支付非法扣款交易详情截图。</t>
  </si>
  <si>
    <t>2019/10/08 16:27:41</t>
  </si>
  <si>
    <t>在闪银奇艺app上面的至尊借款借款3000元分6期还清，借款3000元砍头息就扣了619元到账就2381元，每个月还款五百三十多，但是第一期加了一个两百多的什么服务费，等于六个月共还款三千三百多，加上砍头息一共一千多的利息，我本来还了前面5期已经还了差不多2800百多了，本金还清还多还了500多的利息，要求适当减免最后一期不同意，逾期了11天今天来了一个催收口气特别恶劣，也不同意减免，威胁不还就走程序爆通讯录，，然后打客服电话打不通，没办法为了工作只有借钱把最后一起多出来的利息还清，现在国家打击高利贷，套路</t>
  </si>
  <si>
    <t>2019/10/08 16:27:32</t>
  </si>
  <si>
    <t>我欠了唯品花，五千多块钱，前段时间工作丢了，没有工作，导致了唯品花逾期很长时间了，现在刚刚找到的新工作，但是唯品花催收电话不停的打进来，我已经尽力去凑钱了，因为我欠钱的原因，现在亲戚朋友没有人愿意帮我，一个驻马店的号码催收刚刚打电话过来，没接到，发信息说是郑州分部明天到达河南信阳，上门调查，这个短信给我本人造成了很大的影响，我知道欠钱是我的不对，但是我已经在想办法了，我不知道到底会不会上门，我现在很害怕，所以我想协商还款，停止催收，给我时间，我没接到催收的电话，给他回过去，他骂人，态度不好，说难听话。</t>
  </si>
  <si>
    <t>2019/10/08 16:27:24</t>
  </si>
  <si>
    <t>投诉人 查女士        投诉对象  拍拍贷        涉诉金额  4 200 元    问题类型    诉求类型投诉详情  暴力催收，轰炸通讯录所有人。包括恐吓年迈70多岁的癌症老人。让我名誉扫地。无法工作赚钱还钱。乱发信息</t>
  </si>
  <si>
    <t>2019/10/08 16:27:23</t>
  </si>
  <si>
    <t>被引诱到一个网站充值入金XX万多，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希望有工作人员能够联系，要求第三方支付机构退回被扣款项。</t>
  </si>
  <si>
    <t>2019/10/08 16:27:17</t>
  </si>
  <si>
    <t>本人在8月份报名了广州工商创培学院读书，交了1500块钱给招生老师预定床位费，后来因为个人原因没去学校，但是那边招生老师说是可以全额退款的，10月8号本人银行卡收到学校打来的1000块钱，然后打电话去学校那边问为什么不是全额退款，学校那边说有500是辅导费不能退，我学校还没去过为什么会有辅导费，辅导我什么了，我觉得学校存在不当行为！希望严肃处理已经很多学生上当！希望可以联系有关部门处理。</t>
  </si>
  <si>
    <t>2019/10/08 16:26:24</t>
  </si>
  <si>
    <t>中信银行委托第三方暴力催收行为，希望有关部门严惩，。</t>
  </si>
  <si>
    <t>2019/10/08 16:26:16</t>
  </si>
  <si>
    <t>投诉人李女士投诉对象尚德机构涉诉金额5984元问题类型诉求类型投诉详情销售老师好多问题都不解决，态度差的要死，报名前说的可以退钱，现在又不退。</t>
  </si>
  <si>
    <t>2019/10/08 16:26:02</t>
  </si>
  <si>
    <t>在爱奇艺看到的这个app就想着试一试开始让我付保证金并没有任何提示说一个月后才可退还并且没有提示要扣10%佣金直到充值之后这些才有标注最可笑的是充值进去的钱不能够提现退出来这不是欺诈消费者吗。</t>
  </si>
  <si>
    <t>2019/10/08 16:25:23</t>
  </si>
  <si>
    <t>今年五月份在新橙优品借款了3000元，通过光大银行放款，实际到账只有2,525.95元，征信查一下是放款3000元，分两笔扣款，一笔是500元，一笔是161.80元，，六个月总共需要还3970.8元，相当于利息高达1444.85，利率达175%，这种平台怎么可以是银行放款，怎么也没人管，现在还了四期，剩余两期要求减免销账。</t>
  </si>
  <si>
    <t>2019/10/08 16:25:12</t>
  </si>
  <si>
    <t>在不知情，未经允许下，胡乱扣费，借款一万，分12起一共＋保险509.48共计还款15047.96。</t>
  </si>
  <si>
    <t>2019/10/08 16:25:00</t>
  </si>
  <si>
    <t>因工资和个人资金问题，希望分期乐能给最低分期还款。</t>
  </si>
  <si>
    <t>2019/10/08 16:24:48</t>
  </si>
  <si>
    <t>牛人有品非法砍头息，现已无力还款，要求归还本金销账。</t>
  </si>
  <si>
    <t>2019/10/08 16:24:44</t>
  </si>
  <si>
    <t>多宝分期我从2019年10月7日开始操作还款，就提示还款扣款失败，打电话给客服说他们的APP限额只能还1千，让我加他们微信，并让我从线下汇款到一个私人账户，让我从线下还款，怕被套路，因为第一次遇到这种事情，上网查看后，我愿意一次性全部结清，要求予以解决。</t>
  </si>
  <si>
    <t>2019/10/08 16:23:57</t>
  </si>
  <si>
    <t>还没有放款我说我暂时不贷了他就没我违约了要我赔违约金还要起述我莫名其妙的。</t>
  </si>
  <si>
    <t>2019/10/08 16:23:21</t>
  </si>
  <si>
    <t>由于外出没有处理，工作人员联系后处理，但是别人转账没有到，你我贷的工作人员电话一直打，我在高速开车电话里叫我停车，不顾后果，电话里面一直用恐吓的语气恐吓我，不还钱爆我通讯录，还给我朋友打电话，造成严重影响，影响我工作，最后还说给我家人给朋友一个一个的打电话说，给我心里造成了严重伤害及影响，。</t>
  </si>
  <si>
    <t>2019/10/08 16:23:15</t>
  </si>
  <si>
    <t>本人于17年2月在京东购买了惠普暗影精灵II-plus，上网搜索后才知道这是暗影精灵2系列电脑的普遍问题，是该系列型号的电脑出厂BIOS设定有问题，导致电池充满后仍继续充电致使电池鼓包，许多用户并不知情，往往到C面严重鼓起才知道电池鼓包了，但此时往往都已过了两年保修期，惠普以此拒绝更换电池，电池鼓包是一个缓慢的过程，实际在保修期内就已经开始鼓包了，只是没有被发现，以过保为理由要求用户自费更换电池是十分不合理的，关于惠普暗影精灵2系列电脑电池鼓包问题，百度一搜索就能大量相关消息，目前只有仍在保内的用户和极少的</t>
  </si>
  <si>
    <t>2019/10/08 16:22:21</t>
  </si>
  <si>
    <t>我在我来贷，现更名为我来数科，2018年12月14日贷款11200元，到账后一次性扣去保险费1841.91，由众安保险公司提供保障，保障金额11660.19元，贷款方由天津农村银行放款，而贷款利率只有0.625%，年利率7.5%，我实际到账9358.09，每月还款971.71元，总计还款11660.52元，我个人两笔贷款，一笔已经还清9个月，还有一笔还清6个月，重未逾期，我以前急用钱不知道贷款利率国家要求网贷保险费，管理费，服务费不能收取，最近看到，比较震惊，请聚投诉平台关注。</t>
  </si>
  <si>
    <t>2019/10/08 16:22:17</t>
  </si>
  <si>
    <t>上个月在好分期贷了2700分六期，合同显示每期还款四百多，实际每期要还五百多，利息超过国家规定百分之三十六，催收人员态度极其恶劣。</t>
  </si>
  <si>
    <t>2019/10/08 16:22:10</t>
  </si>
  <si>
    <t>借款2800，还款期限32天4期，每期还款1022.4利息超高，希望利息可以合理，可以符合国家规定，我想结清欠款。</t>
  </si>
  <si>
    <t>2019/10/08 16:21:21</t>
  </si>
  <si>
    <t>携趣网络技术上海有限公司,通联支付,易小借,造艺技术,通联沪快，无缘无故的扣我的钱，你们连个短信通知都没有，我连你是哪个app我都不知道了！。</t>
  </si>
  <si>
    <t>2019/10/08 16:20:55</t>
  </si>
  <si>
    <t>2019年7月31日在玖富万卡借款25000，到账39470，5秒钟后扣了14470，分24期还款，每一期要还1788.72，总要还四万二千多，申请的时候没提示要那么多的保费，到账的时候这么多钱然后又扣了，一脸懵，当时急用钱也没有想那么多，后来才发现有好多朋友都是一样的，借款后有高额的保费跟服务费。</t>
  </si>
  <si>
    <t>2019/10/08 16:20:35</t>
  </si>
  <si>
    <t>这家公司即不退还学生水费又不搬走在学校宿舍楼层的热水机。</t>
  </si>
  <si>
    <t>2019/10/08 16:19:02</t>
  </si>
  <si>
    <t>投诉人公先生投诉对象优信二手车涉诉金额193500元问题类型诉求类型投诉详情优信二手车欺骗消费者，车和检测报告不符合。</t>
  </si>
  <si>
    <t>2019/10/08 16:18:56</t>
  </si>
  <si>
    <t>2015年分期的手机2880元，我说办一年的分期，业务员当时告诉我可以，每个月存卡里300就行了，结果再隐瞒我的情况下给我处理了2年的分期，导致我一年逾期，这些不说了，这些钱就当我捐献了灾区了，一共付了5000多，居然给我上报征信，我打电话给客服人员投诉，我直接问他们给我当时办理业务员的电话，我要到法庭起诉，客服来句抱歉，给不了，我说那行，我应该怎么起诉捷信，客服也是回复我抱歉不知道，就这种态度。</t>
  </si>
  <si>
    <t>2019/10/08 16:18:51</t>
  </si>
  <si>
    <t>每天打十几个电话骚扰，对通讯录好友骚扰，造成他人生活困扰。</t>
  </si>
  <si>
    <t>2019/10/08 16:18:36</t>
  </si>
  <si>
    <t>我一共接了8863块钱，现在我还完3101.87，现在还让我还8000多这也太不合理了吧，我都说了协商下然后我还本金。</t>
  </si>
  <si>
    <t>2019/10/08 16:18:19</t>
  </si>
  <si>
    <t>本人于上个月9月24日就被宝付支付重复多扣钱款，投诉多次，客服第一次来电推说是粤通卡的责任，后来本人查询到粤通卡的扣款记录只有一次正常扣款，所以再次投诉宝付支付，查询到几个上海来的被手机管家标注为“&amp;nbsp;**电话”，本人没有敢接，本人第三次在此投诉宝付支付：1，敬请迅速赔偿重复多扣本人的钱款429.40元，4，不允许再用被手机管家标志为“**电话”一类的电话号给客户打电话，本人信息：姓名&amp;nbsp;&amp;nbsp;李虹，粤通卡号：18*************0&amp;nbsp;&amp;nbsp;&amp;nbsp;&amp;nbs</t>
  </si>
  <si>
    <t>2019/10/08 16:18:09</t>
  </si>
  <si>
    <t>砍头息还合法例如一千到手700百合理法律规定合理，永州法院还将本银行账户进行冻结，给不出合理解释！本人都没听说过车联易贷公司平台爆通讯录爆短信的时候法院为什么不管呢、不问清原因无估停用本人名下卡：必须要有个说法，还冻结本人名资金1840元，请问到手资金是多少。</t>
  </si>
  <si>
    <t>2019/10/08 16:17:11</t>
  </si>
  <si>
    <t>昨天我们订阅了有赞的服务后在有赞开通商店，现在在试用期，从2019年10月14号到2020年10月14号，因服务人员没有和我说清楚，本以为只收取千分之六佣金，实际要给快手百分之五再给有赞千分之六，这样一来误导了我，本以为不用给快手佣金，客服人员也没有和我介绍，现在正在试用期要求有赞退款6800，给有赞客服打电话，我们沟通过，一直拖，请聚投诉商家帮忙解决下谢谢。</t>
  </si>
  <si>
    <t>2019/10/08 16:15:27</t>
  </si>
  <si>
    <t>返还我的扣款，但是十多天过去了杳无音讯，骗子。</t>
  </si>
  <si>
    <t>2019/10/08 16:13:22</t>
  </si>
  <si>
    <t>投诉人 封先生        投诉对象  通联支付,特约小通商城        涉诉金额  199 元    问题类型    诉求类型      投诉详情  无缘无故被特约小通商城扣款199元 要求立即退回</t>
  </si>
  <si>
    <t>2019/10/08 16:12:52</t>
  </si>
  <si>
    <t>投诉人李俊投诉对象小浦优客涉诉金额296元问题类型诉求类型投诉详情前两天从小浦优客申请贷款，看到要交296元钱就放弃了，把app都卸载了，但是今天下午从我当时绑的行刚卡里扣了296元钱，要求道歉赔偿”。</t>
  </si>
  <si>
    <t>2019/10/08 16:12:28</t>
  </si>
  <si>
    <t>我今天逾期第一天，因为也是朋友欠我钱还没要上来，本来说5点前给我，结果刚刚打了个电话说了可能得晚点还我钱，今天肯定能给我，然后我现在手里也没有多余的钱去处理，本来跟催收人员说5点处理，结果食言，实在抱歉，不过今天我会处理好的。</t>
  </si>
  <si>
    <t>2019/10/08 16:12:08</t>
  </si>
  <si>
    <t>马上消费金融公司委托一个广州的电话，发送骚扰信息，并且涉嫌盗取个人信息，不知从哪里得到的信息我的单位的电话，而且是在本人做手术期间威胁。</t>
  </si>
  <si>
    <t>2019/10/08 16:11:03</t>
  </si>
  <si>
    <t>本人在爱又米逾期第五天，刚上班没接到电话，因国庆节，工资迟发，希望能够给我宽限一天时间，今天内一定处理好。</t>
  </si>
  <si>
    <t>2019/10/08 16:10:35</t>
  </si>
  <si>
    <t>我有一个预约单在10月3号早上，因出门遇抢劫上前帮忙，手机被摔坏无法开机导致没有跟乘客联系上导致乘客取消订单，做好事见义勇为是中华民族传统美德，在危机生命安全情况下我只能抛下所有选择帮忙，而并没有得到滴滴平台理解与特殊处理！，眼里只有利益，对司机都是套路的做法，打着网约车合规，要求双证，却依然给私家车派单，完全违背合规这个说法，一直喊口号，而背地里依然干见不得人的事情，违背中国法律，与法律对抗，这种平台很垃圾！。</t>
  </si>
  <si>
    <t>2019/10/08 16:10:34</t>
  </si>
  <si>
    <t>汇潮支付为714平台王者钱包提供放款渠道，借2000到账1240，7天还2000！要求协商，如不协商就上报央行，银监会！。</t>
  </si>
  <si>
    <t>2019/10/08 16:10:20</t>
  </si>
  <si>
    <t>投诉人 花先生        投诉对象  用钱宝        涉诉金额  1 000 元    问题类型    诉求类型投诉详情  伪造公检法文件，骚扰联系人。威胁人生安全</t>
  </si>
  <si>
    <t>2019/10/08 16:09:47</t>
  </si>
  <si>
    <t>闪银催收威胁爆通讯录，且联系客服反馈，但是一天过去了都没有任何的回复。</t>
  </si>
  <si>
    <t>2019/10/08 16:09:00</t>
  </si>
  <si>
    <t>本人8月28号借起来嗨2500实际到账1850逾期几天要还2800借一个月利息太高。</t>
  </si>
  <si>
    <t>2019/10/08 16:08:02</t>
  </si>
  <si>
    <t>投诉人 郑义锦        投诉对象  小浦优客        涉诉金额  296 元    问题类型    诉求类型投诉详情  没有经过任何同意 就私自扣除银行卡的钱 要求退款道歉。</t>
  </si>
  <si>
    <t>2019/10/08 16:07:49</t>
  </si>
  <si>
    <t>本人之前在小浦优客申请过贷款但因看到当时需要扣除款项作为信用报告生成费用296元而没有继续申请，今日下午在没有得到本人同意且不知情的情况下，我告知对方并没有继续在对方平台申请贷款为什么还需要扣除我银行卡余额，对方支支吾吾含糊不清后挂断了我的电话，我再次拨打对方客服电话处于无声音状态，像这种盗窃行为我希望贵平台可以严肃处理并且返还盗窃我银行卡的余额并且取缔这种随意盗取别人信息金钱地位平台。</t>
  </si>
  <si>
    <t>2019/10/08 16:07:35</t>
  </si>
  <si>
    <t>深圳卫盈智信科技有限公司/卫盈联信息技术,我来贷，暴利催收，我家人要是一直昏迷你们公司也不想好过。</t>
  </si>
  <si>
    <t>2019/10/08 16:06:31</t>
  </si>
  <si>
    <t>暴力催收，骚扰通讯录希望官方严厉打击高利贷网贷。</t>
  </si>
  <si>
    <t>2019/10/08 16:05:57</t>
  </si>
  <si>
    <t>让我充会员，而充了会员任何资料改不了，找客服人员，找了一个月还得不到解决，问他就推脱，我认为这是在欺骗消费者，。</t>
  </si>
  <si>
    <t>2019/10/08 16:05:53</t>
  </si>
  <si>
    <t>投诉人 梁女士        投诉对象  松紧贷        涉诉金额  11 000 元    问题类型    诉求类型投诉详情  逾期一天，息费100多就是我还也还不上。爆我通讯录的电话，还威胁我 侵犯了我的隐私还影响到我正常的工作</t>
  </si>
  <si>
    <t>2019/10/08 16:05:43</t>
  </si>
  <si>
    <t>钱站平台借款2000，三个月，每个月还款986此平台到账只有2000，合同却写上2800多的借款费用，而且暴力催收，还款日当日，打电话威胁，不还款给手机通讯录里面亲人打电话，上征信！！。</t>
  </si>
  <si>
    <t>2019/10/08 16:04:56</t>
  </si>
  <si>
    <t>身上只有1700块钱，然而我却连一顿饭都不敢吃！对不起，我真的饿了！这事从2018年9月说起，我本是即将升入大四的学生，想着可以出去实习，挣到钱，给父母缓解压力，我进了一家打着工作的幌子，实则是贷款培训的公司，常州世宏南骏信息科技有限公司，他们的负责人，朱某，徐某给像我这样的人洗脑，说参加公司的培训，然后进入公司工作，上贷了28000元的贷款，恶魔像是抓住了我的把柄，我签下了各种合同，他们还各种录音，，因为我实在受不了了，承受了很大的压力，我还真是一个每个月靠着爸爸妈妈的生活费生活的啊！就这样，到了今天，我</t>
  </si>
  <si>
    <t>2019/10/08 16:04:37</t>
  </si>
  <si>
    <t>恐吓威胁要爆通讯录，借4000到账4000，3个月要还7200多，每期要还2400多，没留意看合同居然不是4000变5320，要求还合法利息，并停止威胁恐吓，如果是合法利息本人可以一次还清，如果再威胁恐吓我本人回去打黑办，法院申请起诉。</t>
  </si>
  <si>
    <t>2019/10/08 16:04:18</t>
  </si>
  <si>
    <t>投诉人陈女士投诉对象水莲金条涉诉金额1382元问题类型诉求类型投诉详情水莲金条暴力催收，爆我通讯录，恶意发图片中这种短信骚扰我朋友及家人，恐吓我，他们自己阴阳合同，高额的砍头息，现在还在短信中造谣我诈翩，他们高额砍头息他们自己才是在诈翩！希望有关部分能来管管这个金融机构—水莲金条。</t>
  </si>
  <si>
    <t>2019/10/08 16:04:01</t>
  </si>
  <si>
    <t>本人在快贷还款5000,已经还款超过本金,因为生病一时还不上,逾期两天受到爆力催收，多次恐吓爆通讯录，甚至问我要钱还是要命，说上门要我的命了。</t>
  </si>
  <si>
    <t>2019/10/08 16:03:47</t>
  </si>
  <si>
    <t>给本人亲人好友打电话一天好几个，对本人有了困扰了。</t>
  </si>
  <si>
    <t>2019/10/08 16:03:19</t>
  </si>
  <si>
    <t>在淘集集申请退店后9月16号收到淘集集官方信息说我的退店财务已完成保证金退回，但我绑定的银行卡确一直没有收到退回的保证金，后续几次拨打官方招商客服电话联系处理都无果。</t>
  </si>
  <si>
    <t>2019/10/08 16:02:10</t>
  </si>
  <si>
    <t>浦优客app申请借款，按步骤填写资料，然后最后要求绑定银行卡，绑定完成就开始审批，过了一个小时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</si>
  <si>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2019/10/08 16:02:03</t>
  </si>
  <si>
    <t>失灵，已经好几次放在口袋里拨出电话，打电话的时候误操作，送到华为两家售后服务中心检测，均表示，Mate，Pro机型都有这种现象，这个不是问题，不是故障，不予解决，我手机、笔记本、手环都是用华为，但是现在华为都敢睁眼说瞎话了吗！当消费者是傻子。</t>
  </si>
  <si>
    <t>2019/10/08 16:02:00</t>
  </si>
  <si>
    <t>2018年我是常州某大学的大学生，出去找实习，被常州世宏南骏信息科技有限公司招进去，然后被他们洗脑，阴差阳错地与找我学签订了28000的贷款，后来反应过来自己进了培训贷，后跟机构的相关人员：徐燕华沟通退款，后来没有学完就被赶跑了，再跟找我学的客服沟通，那位女士态度极差，将责任推给常州世宏南骏信息科技有限公司，说双方合作关系等等，不还款就要被短信轰炸，告知父母，影响征信。</t>
  </si>
  <si>
    <t>2019/10/08 16:01:49</t>
  </si>
  <si>
    <t>我再贷上钱借款5000，虽然逾期是我不对，但是我并没有不想还钱，目前资金困难，短期内没有办法，上次投诉以后协商，并没有什么缓解，一不减免二不宽限，不按他们说的时间就爆通讯录，最后我还了一千，说让我尽快想办法，上次爆我通讯录了，现在所有都知道了，这几天面临的都是批斗，不是开会就是写报告，给我在社会上和生活中造成了严重的影响，为什么就不能好好协商，人都有难处的时候，你的利息什么的我都认了，为啥就不能通融。</t>
  </si>
  <si>
    <t>因为本人拒还砍头息，所以多米贷就用这样来侮辱。</t>
  </si>
  <si>
    <t>2019/10/08 16:00:25</t>
  </si>
  <si>
    <t>半年前曾有过激行为，当地派出所和居委会可以证明且给给你花提供就医证明，故一个月来一直耐心和给你花协商沟通，希望提前一次性结清来争取减免，图片有借款平台负债清单，随附平台联系方式，可去核实其中任何一笔款项，希望可以在还够本金尽力保证24%的利息最高不超过36%的利息来结清，结果给你花坚持要我还高于36%的利息，并有自称法务部的人来联系我和我家人！问对方工号对方也不告知！关于我和给你花沟通全过程可见帖子CN1293464和CN1276843，而在核对银行账单中发现，网银在线京东支付和广州银联均为高利贷给你花违规</t>
  </si>
  <si>
    <t>2019年4月20日去海口租联动云使用时，向右有转向灯，没有注意违章了，过了一段时间，才收到违章通知，4月-9月期间，间歇性联系过客服，均无法接通，，根据app违章处理指示，进行“违章处理-行驶证预约”服务，并约定于2019年9月22日18:00于三亚市天涯区某地自取驾驶证，想于隔天去海口顺便处理违章，但是取证联系电话，一直是打通但是无人接听的状态，打了好几次，换了个号码，无果，隔天联系依旧无果，一直到投诉前，仍旧没有相关人员来处理此单！于是2019年10月8日又拨打联动云服务热线，感谢，打了几个小时终于打</t>
  </si>
  <si>
    <t>2019/10/08 16:00:21</t>
  </si>
  <si>
    <t>因储蓄卡冻结中正在等待法院函件，平安普惠在本人并未失联情况下不断骚扰通讯录其他人，造成严重影响，无法沟通！要求停止骚扰其他人！在此过程中通讯录中多人反映不断接到平安普惠的电话，态度恶劣。</t>
  </si>
  <si>
    <t>2019/10/08 15:59:05</t>
  </si>
  <si>
    <t>借款2000元，分三期，却要求还2724元！年利率都没有你这么高吧，关键合同上边显示却是2560元！客服说有什么管理费，服务费560元，国家明确规定过加上所有费用不能超过规定，你们这是在藐视国家法律嘛，还是说你们背景大到国家法律都管不了你们，投诉你们几次了，一直说处理处理，到现在一共就三个催收人员给我打电话，你们这就是所谓的套路贷，砍头息吧！先要求你们撤销问题征信，修改为正常利率并且为你们这种蔑视国家法律规定的事儿做出解释！。</t>
  </si>
  <si>
    <t>2019/10/08 15:58:39</t>
  </si>
  <si>
    <t>前几天申请的一直审核，是不是要等最后一天才过。</t>
  </si>
  <si>
    <t>2019/10/08 15:58:33</t>
  </si>
  <si>
    <t>砍头息已经还了五六期展期，本金基本已经还完，现在一直在还砍头息里的展期，算实得本金已经全部还完。</t>
  </si>
  <si>
    <t>2019/10/08 15:58:04</t>
  </si>
  <si>
    <t>到账1260，五天还2000，巨额高炮啊，求解释！。</t>
  </si>
  <si>
    <t>2019/10/08 15:57:56</t>
  </si>
  <si>
    <t>投诉人 章女士        投诉对象  拍拍贷        涉诉金额  2 800 元    问题类型    诉求类型投诉详情  协商未果逾期一天就暴力催收 骚扰单位家人朋友</t>
  </si>
  <si>
    <t>2019/10/08 15:57:49</t>
  </si>
  <si>
    <t>月光侠分期利息高的离普还有什么手续费那些也很高，我开始没看清就申请了，过后我反应过来打电话叫他们取消放款他们不理彩还是强制放款给我，我要求他们收回放款，希望你们能帮忙解决一下，这种高利贷还强制放款确实离谱，我和他们客服说了它们强制放款的话我不还，它们还是强制放到了我的卡上。</t>
  </si>
  <si>
    <t>2019/10/08 15:56:57</t>
  </si>
  <si>
    <t>而且借3000元分4期还每期1285元一共28天多还2100元，严重超过国家规定。</t>
  </si>
  <si>
    <t>2019/10/08 15:56:56</t>
  </si>
  <si>
    <t>投诉人鲍先生投诉对象维信金科,中金支付涉诉金额2500元问题类型诉求类型投诉详情维信金科有限公司通过更改合同利率收取高额服务费用，规避国家法律红线，同时在合同中规定扣款失败违约金，同时再跟客服沟通过程中了解到所谓的扣款失败违约金由中金支付平台收取，请中金支付平台出面解释这笔100元的违约金是否为贵公司收取，在催收过程中在没有得到客户确认的情况下擅非法获取客户通讯录造成客户工作无法进行，请予以道歉赔偿，合同规定的年华利率为35.89%，实际年化利率达到59.45%是否涉及高利贷请贵公司予以解释。</t>
  </si>
  <si>
    <t>2019/10/08 15:56:53</t>
  </si>
  <si>
    <t>投诉人 陈先生        投诉对象  小树时代        涉诉金额  5 000 元    问题类型    诉求类型投诉详情  按还款日期还款，还款后联系客服。客服不给销账。催收天天打电话威胁借款人。</t>
  </si>
  <si>
    <t>2019/10/08 15:56:33</t>
  </si>
  <si>
    <t>有用分期逾期，客服已申请延迟还款，电话无休止，短信狂轰炸，说我恶意逃债，我有吗，缓不过来一时还不上，骚扰家人电话，同事，流氓作为。</t>
  </si>
  <si>
    <t>2019/10/08 15:56:19</t>
  </si>
  <si>
    <t>微信上骂我，还刺激我不要还款还款了他看不起我，我要投诉他他就私下打电话威胁我。</t>
  </si>
  <si>
    <t>2019/10/08 15:55:26</t>
  </si>
  <si>
    <t>本人于2019年9月8日在“信用管家”APP推荐的“石头管家”申请了一笔借款，到账3375元，分4期还款，每期1151.46元，现已经正常还款三期，已经还清本金和部分费用，还剩最后一期实在无力支付高额的利息费用，“信用管家”上联系不上“石头管家”任何客服，放款方@畅捷支付400电话打过去客服说电话客服无权限提供商户电话，现在请相关客服及时与我联系处理结清销账事宜，过期销账导致逾期记录本人将投诉到底述诸法律，谢谢！。</t>
  </si>
  <si>
    <t>2019/10/08 15:55:01</t>
  </si>
  <si>
    <t>下款收取保险费用，并多次爆通讯录，现在爆通讯录发短信，高额度地逾期费用。</t>
  </si>
  <si>
    <t>2019/10/08 15:54:47</t>
  </si>
  <si>
    <t>投诉人 单女士        投诉对象  小花钱包        涉诉金额  4 933 元    问题类型    诉求类型投诉详情  暴力催收 公开我的个人隐私 对我本人进行威胁</t>
  </si>
  <si>
    <t>玖富万卡借4900块还6658元，还收保费1480元，还款还不是造成我逾期，不处理一直拖，一直打电话给他们一直不处理。</t>
  </si>
  <si>
    <t>2019/10/08 15:54:12</t>
  </si>
  <si>
    <t>投诉人 骆静        投诉对象  瀚银科技        涉诉金额  127 700 元    问题类型    诉求类型投诉详情  瀚银信息为赌博平台提供便利，希望退回损失</t>
  </si>
  <si>
    <t>2019/10/08 15:54:05</t>
  </si>
  <si>
    <t>电话骚扰，每天电话轰炸，言语侮辱，短信威胁，骚扰家人好友同事，违规高利息，我借小花钱包30800要还42000多，什么利率，在我部分还款的情况下，对方多次通过电话：短信等方式侮辱、威胁恐吓本人，还要曝光我个人信息，对我亲友同事进行电话骚扰，严重影响我的生活，我与对方协商，对方不同意限定时间必须还，不然就骚扰曝光，这不是侵害我合法权益么。</t>
  </si>
  <si>
    <t>2019/10/08 15:53:34</t>
  </si>
  <si>
    <t>2019/10/08 15:53:14</t>
  </si>
  <si>
    <t>北京恒昌利通投资管理有限公司旗下恒易贷APP，对借款人进行套路贷合同额，事先不说明有合同额，有欺诈借款人嫌疑，绝对的高利贷无疑，合同金额54173.92元实际到银行卡里36679.00元，目前已经还了20期，共2469.65+2570.27*19=51304.78，诉求：按照实力到账金额规定利息一次性付清，以前还的多了给我退回来，少的我补上。</t>
  </si>
  <si>
    <t>2019/10/08 15:53:09</t>
  </si>
  <si>
    <t>一开始是在51信用卡管家看到中腾信，点进去申请，利息是2000，分18期，服务费4000，每期还1025.47，已经还了11期了，实际算了一下我要还的总金额是一万八千多，中腾信的APP已经改为轻松借了，点进去的借款协议是空白的，没有列明金额费用，现在是资金紧张，周转不过来，今天一早接到催收电话，我一再的表明我的还款意愿，但是他们不给我说话的机会，还威胁说要联系家人，朋友，同事，下午又接了一个电话，态度更恶劣，他说他是中腾信的，我问他工号，死活不愿意说，最后也是威胁说要联系通讯录的人，挂完电话后，没多久就收到</t>
  </si>
  <si>
    <t>2019/10/08 15:53:05</t>
  </si>
  <si>
    <t>投诉人 马振龙        投诉对象  小黄花        涉诉金额  1 950 元    问题类型    诉求类型投诉详情  自己看吧从始到终我就没说不还款 这是第二次爆我 通讯录了还骂人 炸我通讯录 他们一个客服还逼我说不还款 我真是醉了给我通讯录里所有人都骂人</t>
  </si>
  <si>
    <t>2019/10/08 15:52:53</t>
  </si>
  <si>
    <t>借款2000，分四期，每期7天，每期还款850多，借款2000一个月需要还款3400多，高利贷，暴力催收，打电话恐吓！。</t>
  </si>
  <si>
    <t>2019/10/08 15:52:52</t>
  </si>
  <si>
    <t>10月5号下载注册的APP，后来没用就卸载了。</t>
  </si>
  <si>
    <t>2019/10/08 15:52:09</t>
  </si>
  <si>
    <t>1.众安保险在本人不知情的情况下，私自勾结网贷平台为本人购买不需要的保险，缔造阴阳合同，变相砍头息，官方在18年明令禁止保险与网贷公司合作，众安保险缺顶风作案，视监管为儿戏2.投保人与被投保人都是本人自己，但是我自己当时却不知道有这份保单的存在。</t>
  </si>
  <si>
    <t>2019/10/08 15:51:35</t>
  </si>
  <si>
    <t>我从来没在借我花平台申请过借款，今天有人打电话让我还钱，我说我没借过，对方就开始恐吓威胁并且辱骂我。</t>
  </si>
  <si>
    <t>2019/10/08 15:51:27</t>
  </si>
  <si>
    <t>2019.10.5在济南新华书店门口我和家人停了三辆电动车，有一个自称收费的工作人员收取我人民币3元，本人不打算给，但收费人员在那边大喊大叫拉扯我，家人便给了收费人员3元人民币，但事后给我们一个两元的发票，在这之前本人多次在那边停车，没有任何的收费人员，我在八点多离开时不见收费人员，济南历下城市停车建设运营管理有限公司人员的解释是给我补一个发票，又言他们只有两元发票，言我是怕丢脸面，我问之前为什么不收，工作人员说他们工作人员紧缺，工作人员言如果说我想补之前的停车费也可以一并交了，补充济南是有一些地方是收钱的</t>
  </si>
  <si>
    <t>2019/10/08 15:50:34</t>
  </si>
  <si>
    <t>借款14000，还了几期有八千多，因现在资金困难暂时无法还款，只因漏接了一个电话，然后360催收公司不知从什么渠道获取了我的个人信息，打电话到我上班的公司败坏我名声，还骚扰辱骂我老板。</t>
  </si>
  <si>
    <t>2019/10/08 15:50:04</t>
  </si>
  <si>
    <t>订单太少了，这滴滴还怎么跑，出车一二个小时接不到单！！！。</t>
  </si>
  <si>
    <t>2019/10/08 15:49:54</t>
  </si>
  <si>
    <t>本人在钱伴借了钱，还清了要注销账户，钱伴一直阻扰我注销，提供身份证号码，手机号码，姓名都已经配合，还要我拍身份证照片，和手持身份证照片，并打印注销申请表签字，一系列繁琐的操作，明摆着不让注销！要求钱伴注销我账号！。</t>
  </si>
  <si>
    <t>2019/10/08 15:49:46</t>
  </si>
  <si>
    <t>恶意电话骚扰通讯录好友，对其工作、生活造成严重影响。</t>
  </si>
  <si>
    <t>2019/10/08 15:49:17</t>
  </si>
  <si>
    <t>说好的两小时内放款，现在已经快5个小时还在审核、排了几十个人的队、轮到了我了也回应。</t>
  </si>
  <si>
    <t>2019/10/08 15:48:46</t>
  </si>
  <si>
    <t>在掉钱眼儿试玩平台做了很多试玩任务，最后余额不让我提现。</t>
  </si>
  <si>
    <t>2019/10/08 15:48:43</t>
  </si>
  <si>
    <t>投诉人张女士投诉对象钱包易贷涉诉金额500元问题类型诉求类型投诉详情钱包易贷暴力催收，说要打通讯录还说这是合法的，期间电话沟通都表示我会尽力去处理，但是打电话来的人完全不讲道理。</t>
  </si>
  <si>
    <t>2019/10/08 15:48:18</t>
  </si>
  <si>
    <t>本人在2018年10月5日通过融360APP上申请有钱用申请7000元借贷共分12期，借款合同7000，每月还款795分12期，连息带本需还款9540，远高于国家规定标准利率！属于超高利率，本人每个月还款795元现在已还清11期，共计人民币8745，并希望有钱用的工作人员不要在骚扰我推销借贷产品！！！《最高人民法院关于审理民间借贷案件适用法律若干问题的规定》第二十六条借贷双方约定的利率未超过年利率24%，出借人请求借款人按照约定的利率支付利息的，人民法院应予支持。</t>
  </si>
  <si>
    <t>2019/10/08 15:47:56</t>
  </si>
  <si>
    <t>易起来又又名小当家，由于曾经手头紧！在易起来和小当家平台申请了1200贷款！到账820，实际还款1350，砍头息400多！逾期一天催收就来电话恐吓！说要让我家人协助我还款！恐吓爆我通讯录到我户籍地上门，万不得已我在别的平台借款还了，很长的一段时间拆东墙补西墙，导致深入套路贷！甚至多比轻生，最后医生判断我重度抑郁重度焦虑要求住院，还接到易起来恐吓爆通讯录，万不得已讲借款结清了，导致本人现在没有了医药费，因为没钱断了药，病情不受控制，多次跳楼轻生，要求小当家易起来退回本人救命钱，退回本人多次的借款的砍头息，本人</t>
  </si>
  <si>
    <t>2019/10/08 15:46:41</t>
  </si>
  <si>
    <t>2019年6月份试听了华尔街线上英语，感觉挺好，于是报名，但是正式线上课多半是自学多媒体形式，兴趣和学习体验有折扣，考虑坚持，但是到8月份实在提不起兴趣，申请退费，一直拖时间，9月份开始因为个人身体淋巴发炎，经济和精力压力大，实在没心思学习，花了18000块钱，刚学了两个月，就不让退费了，部门之间偶尔联系一下之后就没信了，不回复，做鸵鸟，本人是分期付费，每个月15号都要交钱，感觉每个月都要被华尔街英语心理添堵一段时间，精神都不太好了。</t>
  </si>
  <si>
    <t>2019/10/08 15:46:01</t>
  </si>
  <si>
    <t>本人在王者钱包一个软件上申请了一笔贷款2000元到账只有1240元5天应还金额2008元，今天到期直接打电话给我10分钟内还，10分钟处理不好直接爆我通讯录。</t>
  </si>
  <si>
    <t>2019/10/08 15:45:50</t>
  </si>
  <si>
    <t>拍拍贷实施暴力催收，批图，辱骂，恐吓借款人及借款人的手机通讯录亲朋好友，真的是把人往死了逼，真的是被拍拍贷搞得身败名裂，想死的心多有，希望有关部门能出来管管，现在国家正打黑除恶，他们这是顶风作案啊，无视国家法律，踩踏人权。</t>
  </si>
  <si>
    <t>2019/10/08 15:45:35</t>
  </si>
  <si>
    <t>涉诉金额3480元问题类型诉求类型投诉详情1、学校陈启明老师虚假宣传诱导学生报名，实际授课非该老师，且实际授课内容与宣传不符；2、学校老师未与学生沟通情况下直接撤回学生的提问，并将学生踢出学习群；3、学校老师沟通过程中说出惩罚和有学生家庭住址的威胁话语；4、学生在已购课堂的真实评论被学校擅自屏蔽；5、学校答应全费退款却失去联系，不接电话不回复信息，直播课拉黑学生，无法联系学校。</t>
  </si>
  <si>
    <t>2019/10/08 15:45:20</t>
  </si>
  <si>
    <t>本人于2018年6月份浏览手机时误点该网站，进去后按照提示操作看到可以从此网站借款，因当时自己也处在事业低谷，看到此网站打着下款快利率低的标语就索性填写资料查看额度，当时额度审批下来时有8万元，但此公司并未明示借款利息及任何其他信息需先申请借款后才可查看，8万元申请借款后签订合同后，当天才借的8万元在合同里就变成了89600，这不就是所谓的阴阳合同，此时发现事情不对想撤销借款但为时已晚，一看账单真的哑口无言：总借款89600元，自2018年7月5日开始还款，共36期，每期还款3817.68元，其中本金290</t>
  </si>
  <si>
    <t>2019/10/08 15:45:14</t>
  </si>
  <si>
    <t>新橙优品利用所谓购买保险收取砍头息还冒充光大银行的催收暴力催收，骚扰我的家人和朋友，借款3000，目前已经还款2期共计还款2446.9元，已经还够了实际本金和相关利息，但是新橙优品的催收追这不放肆意暴力催收晚上8点还在打电话骚扰，请之前有专门投诉但是新橙优品以和我协商好为理由结案，由于没有登录聚投诉超了48小时自动结案了，所以无奈重新投诉加入联名投诉希望能够引起重视，尽快解决。</t>
  </si>
  <si>
    <t>2019/10/08 15:43:51</t>
  </si>
  <si>
    <t>本人于2019年10月1号下午系统发出一个预约单从樟木头南城佳惠百货公交站到广州天河体育中心当时这个订单乘客预约出来居然被我抢到了，后来完成订单后、到现在10月8号了也没有收到这笔费用，我多次打电话联系平台、问平台怎么费用完成一个星期还没到账，平台说我这笔费用已经核实清楚了，应该到账了，可以目前为止还没有收到费用、请平台还我血汗钱。</t>
  </si>
  <si>
    <t>2019/10/08 15:43:34</t>
  </si>
  <si>
    <t>货款159658.52至今已经三个多月！找淘集集有关人员也不做出什么时候回款！一点音讯都没有！招商的时候骗我们说最迟45天到账！所有商家都可以作证！。</t>
  </si>
  <si>
    <t>2019/10/08 15:43:10</t>
  </si>
  <si>
    <t>发短信恐吓，对家人进行电话骚扰，干扰家人的正常休息与工作，需要进行软暴力，侮辱语言。</t>
  </si>
  <si>
    <t>2019/10/08 15:42:48</t>
  </si>
  <si>
    <t>9.15的还款期，自己不扣款，去app还款，一直提示我银行卡禁止交易，是他们让绑定的一个上饶银行的账户不让交易，不是我自己的，找客服，一直联系不上，电话打不通，人工没人，过了五天，联系到了，说是让我转支付宝，备注名字和手机号，以前也支付宝还款过，所以就继续支付宝了，结果这次，逾期五天，收了50的逾期费，我认了，我去转了支付宝，找了客服截图，客服说备注了，就和以前一样，然后这次，app上一直到现在，我还是逾期状态，并且，今天还给我打催收电话，还款不让还，算我逾期我也交费了，结果现在直接不算我还了。</t>
  </si>
  <si>
    <t>2019/10/08 15:42:21</t>
  </si>
  <si>
    <t>每个月还款一千多已经还了1w5，一直按时还款，没提额就算了还给我进了小黑屋，9月份因为换了工作，工资10号下午6点发，但是6号就要还款，实在没办法，逾期了四天，后来10号的时候爱又米先是发邮件威胁，我看到邮件后，跟爱又米客服反应说今天下午6点前肯定能还款，希望帮我跟催收反应一下，客服答应了，然后催收下午一点打电话来问我能不能现在处理，我态度很好的明确的表达了还款意愿说下午6点前能还上，然后催收依旧用嚣张威胁的态度说五点前必须还不然爆通讯录，我说跟你们客服反馈了今天6点前能还上，他说你跟谁说都没用，5点能不能</t>
  </si>
  <si>
    <t>2019/10/08 15:41:55</t>
  </si>
  <si>
    <t>投诉人 刘先生        投诉对象  蘑菇街        涉诉金额  10 000 元    问题类型    诉求类型投诉详情  骚扰通讯录的朋友给我带来不便的影响</t>
  </si>
  <si>
    <t>投诉人杨先生投诉对象小树时代涉诉金额198元问题类型诉求类型投诉详情小树时代app还不了钱，说是银行通管什么的，要求支付宝还款，但是还了并没有销账，还打电话威胁晚上九点之前不处理后果自负，还是自动语音播报的那种客服。</t>
  </si>
  <si>
    <t>2019/10/08 15:41:41</t>
  </si>
  <si>
    <t>小浦优客贷款平台恶意扣款296元，必须退回本人卡内。</t>
  </si>
  <si>
    <t>2019/10/08 15:40:48</t>
  </si>
  <si>
    <t>9月4日在牛人有品借款1900，实际到账1368，砍头息532，严重违反国家相关规定，现已无力还款，要求归还本金加合理利息，若客服仍不肯协商，剩余金额一律不还，若客服还以此为借口骚扰本人及联系人，本人将报警处理。</t>
  </si>
  <si>
    <t>2019/10/08 15:40:13</t>
  </si>
  <si>
    <t>我在平安银行旗下平安普惠贷款三万元，已经连续还款九个月还了一万八了，由于突然失业加上生病无法工作，治病，暂时无法按时偿还剩余部分，之前跟他家客服已经解释过原因了等月底存一点，他们可以给我父母家人打电话催收都能理解，但是居然给我朋友挨个打电话要钱骚扰正常生活，爆我电话通讯录，侵犯我个人隐私侵害我名誉实在过分。</t>
  </si>
  <si>
    <t>2019/10/08 15:39:41</t>
  </si>
  <si>
    <t>在商家出的一元砍价活动砍价成功的前提下，商家自己已承认砍价成功的前提下，请注意看旺旺聊天截图时间，也不存在商家所说的复制别人的图片！卖家不愿意以活动价格一元出售！商家利用天猫平台进行虚假宣传，骗流！专员肯定要问为什么价格不是一元而是原价！原因就是刚砍价成功价格是101元，然后商家在2019年10月3号晚八时就把活动进行关闭！价格恢复原价！原本的活动规则写的很清楚活动是2019-10-03，且活动规则中也未告知一切明细，视频已证明商家承认一元砍价成功属实，为何天猫客服还是不公正处理。</t>
  </si>
  <si>
    <t>2019/10/08 15:38:56</t>
  </si>
  <si>
    <t>父亲于2018年4月过世，中信银行信用卡仍有欠款，欠款人未留有任何遗产，本人也并未继承任何遗产，没有义务和责任去承担欠款人债务，已联系过中信银行并提供死亡证明及火化证明，中信银行仍多次拨打骚扰电话，干扰本人正常生活及工作。</t>
  </si>
  <si>
    <t>2019/10/08 15:38:54</t>
  </si>
  <si>
    <t>已经在2019年1月27号就已经完成了最后一单，也没有出现任何违章，在8月份就申请退款，但是一直到现在都没有处理，服务电话没人接，成都办事处也是人去楼空。</t>
  </si>
  <si>
    <t>2019/10/08 15:38:35</t>
  </si>
  <si>
    <t>个人原因最近资金周转不开，不能及时还款，逾期一天，跟催收人员沟通，希望当天晚点回还，对方不理解，并要求立马回还，通知我亲朋好友，打电话发短信。</t>
  </si>
  <si>
    <t>2019/10/08 15:37:50</t>
  </si>
  <si>
    <t>给我亲戚朋友发信息威胁恐吓，打电话骚扰，态度恶劣。</t>
  </si>
  <si>
    <t>2019/10/08 15:37:13</t>
  </si>
  <si>
    <t>哈啰共享单车锁车后，发现是禁区然后我就再开锁骑走了，还扣移车费不合理。</t>
  </si>
  <si>
    <t>2019/10/08 15:36:36</t>
  </si>
  <si>
    <t>投诉人田女士投诉对象钱站涉诉金额10000元问题类型诉求类型投诉详情在钱站借了一万块钱。</t>
  </si>
  <si>
    <t>2019/10/08 15:36:33</t>
  </si>
  <si>
    <t>立刻停止骚扰和爆通讯录停止骚扰我的朋友欠债是我个人行为和我身边亲朋好友一点关系都没有当今是新社会不是以前旧社会你们想干嘛就干嘛的我们欠债也是有尊严的像你们这些高利贷打差法律的差边球来压榨的。</t>
  </si>
  <si>
    <t>2019/10/08 15:36:07</t>
  </si>
  <si>
    <t>02759776748，02751893424，首通电话称平安普惠，问是否认识王帆，本人表示很多年没联系且告知本人从前催收很多年，如能联系会帮助联系，后挂电话，后第二通电话拨打，态度恶劣，并告知地址在徐东让我晚上坐地铁去汪家墩地铁找他，且谎称自己是天明律师事务所律师，说自己叫冯威，如给不出合理解释，将投诉至银监会并到平安普惠武汉公司寻求解决，通话录音已经留存。</t>
  </si>
  <si>
    <t>2019/10/08 15:35:59</t>
  </si>
  <si>
    <t>投诉人王毅投诉对象招联金融涉诉金额5000元问题类型诉求类型投诉详情9月26号我收到邮件，招联金融催收人员冒充公检法国家公职人员，对我进行暴力催收及非法传唤，我会在公安系统和银监会对此案件进行投诉，并在山东省公安系统进行备案。</t>
  </si>
  <si>
    <t>2019/10/08 15:35:38</t>
  </si>
  <si>
    <t>北京畅捷通支付公司未经我同意，私自扣我银行卡里的钱，拨打电话不接。</t>
  </si>
  <si>
    <t>2019/10/08 15:35:29</t>
  </si>
  <si>
    <t>投诉人苏先生投诉对象新浪有借涉诉金额1500元问题类型诉求类型投诉详情新浪有借APP借款3000分六期，自动生成了448.2的分期服务费账单，借款3000分12期，生成了869.4分期服务费账单，违反相关规定，要求退回。</t>
  </si>
  <si>
    <t>2019/10/08 15:34:43</t>
  </si>
  <si>
    <t>投诉人 黄女士        投诉对象  天猫：蟹码头食品旗舰店        涉诉金额  198 元    问题类型    诉求类型投诉详情  买了蟹码头的蟹券 也预约成功了 但不发货 说没货了 下一季发货 现在时间到了 联系不到客服 也不退款</t>
  </si>
  <si>
    <t>2019/10/08 15:34:27</t>
  </si>
  <si>
    <t>本人借款总10000，总12期还款，以偿还6期，剩余6期，因个人原因，实在无法偿还当前的欠款，希望平台能帮我申请延期。</t>
  </si>
  <si>
    <t>2019/10/08 15:33:59</t>
  </si>
  <si>
    <t>最近经常有电话过来，说我审核己通过需不需要货款，也有说货款己逾期要我还款，否则打亲友电话，我在永利货就没有过货款，请帮忙！。</t>
  </si>
  <si>
    <t>2019/10/08 15:33:47</t>
  </si>
  <si>
    <t>本人于2019年8月22日与瓜子二手车签订保卖协议，按照合同条款第7.9条规定，要求45天内完成车辆过户，已于2019年10月6日到达45天，本人已经多次和客服表示违约金是应该给的，但是我要的是45天内给我过户，腾指标，我又不是为了赚违约金，现新车已经到手很久，没有指标，没法落户，麻烦平台帮忙尽快帮忙解决处理，再此期间，曾多次与瓜子app人工客服和电话客服进行沟通，要求45天过户未能成功，现已超过时限，并且又多次进行沟通，瓜子表示，现确实已过45天，已经申请背户，但具体过户腾出指标时间不定，需要排队等号，在</t>
  </si>
  <si>
    <t>2019/10/08 15:33:32</t>
  </si>
  <si>
    <t>因为时间原因无法继续上课，因为向对啊网申请退款，也向接待的老师详细说明了个人的情况，但是接待老师一直强调时间是可以安排的，我再三向老师解释我这个时间真的没办法赶上，麻烦老师们处理一下，他们一直当没看到强制不给处理，沟通的时候也表示可以接受退部分学费，但是他们依然拒绝。</t>
  </si>
  <si>
    <t>2019/10/08 15:33:13</t>
  </si>
  <si>
    <t>今天下午无故扣款打客服电话说10.2号申请生成征信报告扣款请求平台联系该平台请求退款。</t>
  </si>
  <si>
    <t>2019/10/08 15:32:55</t>
  </si>
  <si>
    <t>本人因重度抑郁重度焦虑住院，暂时还不上浦发银行信用卡，但浦发不给协商，已经还了最低还款，但浦发银行不接受最低还款处理，浦发银行要求全额结清，催收一天多次暴力催收，多比引起本人情绪激动，已经投诉到银监会，本人还会继续投诉到相关部门！！。</t>
  </si>
  <si>
    <t>2019/10/08 15:32:24</t>
  </si>
  <si>
    <t>9月29日因暴力催收投诉过一次，暴力催收导致我母亲身体不适，客服根本不理会，十多天了不处理，一点解决问题的态度都没有，闪银在聚投诉平台未做过任何回复，10月8日又开始催收骚扰我联系人，严重影响到我的正常生活，本人确定以上说明均为真实情况。</t>
  </si>
  <si>
    <t>2019/10/08 15:32:14</t>
  </si>
  <si>
    <t>投诉人 曾瑶岸        投诉对象  造艺技术        涉诉金额  100 元    问题类型    诉求类型投诉详情  从九月十号开始申请退款 到现在已经快一个月还没退款到账</t>
  </si>
  <si>
    <t>2019/10/08 15:31:40</t>
  </si>
  <si>
    <t>在平台上借款几次，2100元7天要归还2600元，因利息超出国家的利息，协商不同意，未能处的进展，现恶易爆通讯录，给本人造成不可估量的后果，先要求平台做出处理，。</t>
  </si>
  <si>
    <t>2019/10/08 15:31:29</t>
  </si>
  <si>
    <t>爆我通讯录，因本人创业失败导致信用卡逾期一个月，刚工作不到两个月，之前没有过逾期。</t>
  </si>
  <si>
    <t>2019/10/08 15:31:13</t>
  </si>
  <si>
    <t>家人张建英因为资金链断了无力偿还贷款导致招联好期贷逾期几日，招联好期贷就天天疯狂电话骚扰本人，一天几十个各种电话骚扰！影响本人正常生活和工作！。</t>
  </si>
  <si>
    <t>2019/10/08 15:30:58</t>
  </si>
  <si>
    <t>本人于2019年9月12日通过支付宝蚂蚁花呗缴纳交通违章付款300元，显示缴费成功，15日后接到违章未交款并产生滞纳金，不得已又通过其他途径交款，支付宝蚂蚁花呗不仅不予退款，支付宝你没那么大的本事就不要弄那么多功能，老百姓好欺负是不是。</t>
  </si>
  <si>
    <t>2019/10/08 15:30:04</t>
  </si>
  <si>
    <t>本人由于大病一场以及右手割伤而使信用卡逾期两个多月，暂时手伤刚好，能干些轻微的工作，本人现在暂时没有全款偿还的能力，请求信用卡中心给予全额分期，帮我解决暂时困难。</t>
  </si>
  <si>
    <t>2019/10/08 15:29:45</t>
  </si>
  <si>
    <t>拍拍贷软暴力催收，在能联系上的情况下爆通讯录，影响正常生活。</t>
  </si>
  <si>
    <t>2019/10/08 15:29:21</t>
  </si>
  <si>
    <t>一共三期要还4300多严重达到国家标准高利贷，请求协商还款，惩黑除恶，希望聚投诉讨回公道。</t>
  </si>
  <si>
    <t>2019/10/08 15:29:08</t>
  </si>
  <si>
    <t>上海宝付支付平台，为714及违规平台提供支付服务，希望严查，还我们血汗钱。</t>
  </si>
  <si>
    <t>2019/10/08 15:28:23</t>
  </si>
  <si>
    <t>趣花分期推荐的轻享贷诱导充值会员，推荐的都是高利贷，而且借不出来。</t>
  </si>
  <si>
    <t>2019/10/08 15:28:17</t>
  </si>
  <si>
    <t>天天打给我就算了，还打电话我亲戚朋友，让我无法明白。</t>
  </si>
  <si>
    <t>2019/10/08 15:28:15</t>
  </si>
  <si>
    <t>借了两万，还了三个月，本金为2760.15；利息为804.28，利息已经很高了！出于借来急用利息可以理解，现在已经有能力全部偿还，结果申请提前结清还需要付四千多的利息，加起来有两万两千多，比我借的还多！！这太坑人了！这种贷款公司国家怎么还让他存活！再此投诉，希望聚投诉帮我解决，提前还款只还本金！。</t>
  </si>
  <si>
    <t>2019/10/08 15:27:40</t>
  </si>
  <si>
    <t>因本人本月已经周转有困难导致逾期多次致电客服并协商还款事宜，本人也多次承诺本月20号之前全额一次性还款，客服也做过登记，自称光大银行委外机构催收人员，态度恶劣，并威胁本人如果不在今天5点前处理，联系本人家属和单位。</t>
  </si>
  <si>
    <t>2019/10/08 15:26:42</t>
  </si>
  <si>
    <t>本人在小当家借款平台借款1256，实际到账900多，分三期，每月还款570，利息远远超出国家制定的利息，属于高利贷，并且客服态度及其差，威胁，恐吓，希望小当家平台把其欠款撤销，并且退还砍头息，否则会通过法律途径来解决此事，目前已起诉书已经写好，希望小当家客服，负责人看到此投诉慎重处理。</t>
  </si>
  <si>
    <t>2019/10/08 15:26:05</t>
  </si>
  <si>
    <t>本人于2017年代理移动营业厅，向移动公司缴纳5000元保证金，，合同是一年一签，后来一次开会，营业员去的，把合同改成3年，当时营业员签的字，导致我现在退出代理商需要扣除1000元保证金，但是我去年已经退出，各种退出请示都已上交，至今押金未退到本人账户！！。</t>
  </si>
  <si>
    <t>2019/10/08 15:25:35</t>
  </si>
  <si>
    <t>对我进行威胁催收恐吓我希望有关部门及时处理。</t>
  </si>
  <si>
    <t>2019/10/08 15:25:13</t>
  </si>
  <si>
    <t>投诉人 汪女士        投诉对象  我来数科        涉诉金额  10 000 元    问题类型    诉求类型投诉详情  我来贷有一笔最后一期想提前还了 但是系统原因扣不了 于是线下支付宝还款 客服服务态度恶劣 入账时间久 你们公司就是这么服务的吗 要求给出解释道歉 并立刻入账 你们系统的原因已经不是一次两次了 好好改善吧 你们工作人员好好加强管理</t>
  </si>
  <si>
    <t>2019/10/08 15:24:59</t>
  </si>
  <si>
    <t>放款8000，实际到账7760，多收240服务费，每月还款2906.67，因个人生孩子原因，无法工作，财务受影响，最后一期没还上，协商减免罚息未果，并辱骂骚扰我通讯录里可能认识的所有人，现在要求按照实际放款收息，并免掉罚息，有还款意愿，停止催收，不接任何催收的电话，请官方客服联系并道歉，否则如果损坏我名誉，依法追究。</t>
  </si>
  <si>
    <t>2019/10/08 15:24:54</t>
  </si>
  <si>
    <t>订单到账1237元，分3期还款，一期一个月，每期还款624元，已还两期，还剩624元，今天协商还款客服说最少220销账，可是我曾在小当家多次借款，每次都存在砍头息，那些砍头息加起来到目前都已经好几千块钱了，还要我还220才可以销账，现要求小当家立即给我销账处理，本人不会再还一分钱，如果不销账，我一定会投诉到底。</t>
  </si>
  <si>
    <t>2019/10/08 15:24:41</t>
  </si>
  <si>
    <t>永安保险公司与卡卡贷网贷公司合作，在投保人未之情情况下强制给本人投保，本人要求退保费，永安保险公司不给退回。</t>
  </si>
  <si>
    <t>2019/10/08 15:24:36</t>
  </si>
  <si>
    <t>目前资金周转出现问题，招商银行拒绝协商，在能联系到我的情况下联系我的家人朋友。</t>
  </si>
  <si>
    <t>2019/10/08 15:24:25</t>
  </si>
  <si>
    <t>我于2018年11月在伊春机场候机厅遇穿蓝色工作装人员，宣称交1680元办卡可得3000元用于购买机票，可免费到vip厅休息，亲戚朋友乘坐飞机到候机厅报手机号均可进厅休息，后帮朋友购票发现每次只能几十元不等，此卡只购买过2次机票，现申诉退卡，对未享受服务的部分返还对应金额。</t>
  </si>
  <si>
    <t>2019/10/08 15:24:22</t>
  </si>
  <si>
    <t>投诉人 魏宗新        投诉对象  小浦优客        涉诉金额  296 元    问题类型    诉求类型投诉详情  突然收到扣款消息 也没有在他平台办理什么业务， 希望退款 客服电话打不通</t>
  </si>
  <si>
    <t>2019/10/08 15:23:39</t>
  </si>
  <si>
    <t>上海造艺网络科技有限公司无缘无故从我卡里扣钱，没有经过本人同意，当时不知道可以从聚投诉和银监会追回，只好自认哑巴亏，现在知道了，，从聚投诉中看出，不仅我一个人如此，今天从我这里扣点，明天别人那里扣点，我不知道他是如何如何从我卡里扣钱的，但是我想说的是，这样你们走不远的，从客户卡里扣钱来维持公司，我从未听过这样的公司，涨见识了。</t>
  </si>
  <si>
    <t>2019/10/08 15:23:34</t>
  </si>
  <si>
    <t>钱站在未经过允许情况下联系了我的家人，而且态度恶劣。</t>
  </si>
  <si>
    <t>2019/10/08 15:23:16</t>
  </si>
  <si>
    <t>本人在马上消费金融借款1500元，分期12月，已还款10期，共还款1550元；由于本人目前辞职在找工作，多次与马上消费金融客服协商均无结果，每天拨打多个电话骚扰；今天催收于3点多拨打电话，在本人解释之后，说不做任何协商，并且多次引导我，让我说拒绝还款，除此之外，催收态度极其恶劣，一边威胁通知我所有亲朋好友，爆通讯录；一边威胁向本人单位，户籍所在地寄送函件，该催收工号：cqccf190822在本人询问工号期间，催收说：脑子不好就拿笔记下来，态度非常蛮横本人要求对该催收道歉并对其作出惩罚，否则本人会继续投诉互金</t>
  </si>
  <si>
    <t>2019/10/08 15:23:01</t>
  </si>
  <si>
    <t>本人从2017年一直用现金巴士，目前利息不知道还了多少了，严重的高利贷，现本人家庭遭受严重挫折，户外作业日照时间长导致本人细胞质肌肤毒瘤，癌症的一种，家人还有严重的眼疾刚动完手术，祖母粉碎性骨折导致整个家庭更加破败不堪。</t>
  </si>
  <si>
    <t>2019/10/08 15:22:33</t>
  </si>
  <si>
    <t>投诉人 林泽阳        投诉对象  你我贷        涉诉金额  5 900 元    问题类型    诉求类型投诉详情  年利率超过26%，砍头息，恶意骚扰，催收</t>
  </si>
  <si>
    <t>2019/10/08 15:22:19</t>
  </si>
  <si>
    <t>立刻停止骚扰和爆通讯录，欠债是我不对但是违规爆我通讯录现在让我身边的亲朋好友都知道让我颜面扫地，当今是新社会欠债也是有尊严的不是说在旧社会你们想干嘛就干嘛的还威胁让地痞流氓来上门摧收，当今高利贷横行霸道打者法律的差边球为非作歹，希望当今政府可以出来管管给打压，我现在将把我的通讯清单和亲朋好友的请单整理出来继续投诉不行组织人去银监会继续投诉和公安经贞投诉投诉到有政府管为止。</t>
  </si>
  <si>
    <t>2019/10/08 15:22:11</t>
  </si>
  <si>
    <t>跟客服沟通不仅不予赔偿，还只一味推脱让我退款，退款还拒绝，一定要退货退款，我为公司订购员工福利，都吃一半了我还怎么退，客服跟我说退多少货就给退多少款，还要我垫付运费，凭什么。</t>
  </si>
  <si>
    <t>2019/10/08 15:21:53</t>
  </si>
  <si>
    <t>一直给单位打电话，接了没人说话，挂断后继续骚扰一个多小时，华夏信财工作人员电话辱骂借款人不要脸，希望华夏信财严肃处理该员工，并作出相应解释及道歉。</t>
  </si>
  <si>
    <t>2019/10/08 15:21:23</t>
  </si>
  <si>
    <t>投诉人 王女士        投诉对象  万惠及贷        涉诉金额  16 000 元    问题类型    诉求类型投诉详情  及贷借款16000到账14000砍头息 美化成什么保险费 暴力催收 国庆期间也非常猖獗 严重损害我个人利益 如果不处理 我讲继续投诉钱给法院也不给你</t>
  </si>
  <si>
    <t>2019/10/08 15:21:05</t>
  </si>
  <si>
    <t>360借条虚假广告欺诈用户,广告30天免息误导用户以为免全息,平台首页日息低至多少误导用户按日计息,借款时并没有明确提醒一旦申请借款处于放款中状态无法取消借款,没有明确提醒告知用户无法提前还款否则还全息,每月定额利息即按期还款后已还本金部分仍被计算利息,该计息方式极其不合理,同时强制分期还款,借款合同提等自动勾选提示非常不明显。</t>
  </si>
  <si>
    <t>2019/10/08 15:20:59</t>
  </si>
  <si>
    <t>来分期用骚扰号码每天打电话来骚扰我，还威胁我，我和客服说好的，一天换一个客服，说辞都不一样威胁我。</t>
  </si>
  <si>
    <t>2019/10/08 15:20:51</t>
  </si>
  <si>
    <t>购买了微信聊天记录恢复的服务，结果微信聊天无法恢复成功拒不退款。</t>
  </si>
  <si>
    <t>2019/10/08 15:20:42</t>
  </si>
  <si>
    <t>1.作为老客户来说持续5年续保是对该平台的认可；2.答应客户的事情迟迟没有落实且未主动跟进客户；3.客户遇到问题时咨询客服，居然给出无法反馈的解释；4.销售人员在购买前跟购买后的服务问题，从付款前的热情主动到购买后的冷漠无视，让我接受不了这是平安保险的服务。</t>
  </si>
  <si>
    <t>本人用微粒贷几年了，一直都是按期归还，这次因生意上资金链断了，出现逾期，在接到多次联系后我也明确说明了我现在的情况，也明确告知了，我已经在卖房子，房子已经卖了，等对面银行按揭款下来就可以支付给我，我就可以还清了，需要给我一点时间，之前的催收人员也加我微信随时在沟通中，在上个月我也先还了部分，但是现在换成合肥的电话催收与我联系，多次打电话与我，也能联系到我，我也明确告知本月底之前能还清全部款项，请等待下，但是催收人员不仅不听，还随意拨打我联系人电话，并拨打我所租住房屋房东电话进行骚扰和告知，已严重侵害我的隐私</t>
  </si>
  <si>
    <t>2019/10/08 15:19:04</t>
  </si>
  <si>
    <t>招联金融天天骚扰，暴力催收，业务员打电话态度太差，天天发短信威胁！。</t>
  </si>
  <si>
    <t>投诉人刘家豪投诉对象拇指白卡涉诉金额200元问题类型诉求类型投诉详情本人10月7号通过贷上钱app里面的链接下载了上海跃吉网络科技有限公司的拇指下款app，用手机号注册账号之后填写个人资料提交审核，期间需要勾选评估服务协议，推荐服务协议等，需要绑定银行卡信息和手机验证码，个人评估有一个是现金支付一个是券支付，选择了券支付，app里并没有显眼说明这个券支付是会自动绑定银行卡扣款购买的，提交之后审核不通过，网上说绝大部分都是直接秒拒的，马上登陆拇指下款app查询，发现扣款名称是平台的小银券，里面没有退款路径，也</t>
  </si>
  <si>
    <t>2019/10/08 15:19:02</t>
  </si>
  <si>
    <t>在闪电借款借款今天又买卡借了两次都被拒了要求退还卡费。</t>
  </si>
  <si>
    <t>2019/10/08 15:18:59</t>
  </si>
  <si>
    <t>捷信，爆我通讯录，导致我父母生病，老公离婚，严重影响我的生活，如果继续骚扰，我现在处于崩溃边缘，不想活了！捷信爱上门，我等着，上门催收！我父母有三长两短我也不活了！。</t>
  </si>
  <si>
    <t>2019/10/08 15:18:49</t>
  </si>
  <si>
    <t>本人在闪管家借款1000一个月，砍头息210利息36，以逾期其催收在我上班期间威胁还款，本人因陷入套路贷最近周转不开需要延期半个月。</t>
  </si>
  <si>
    <t>2019/10/08 15:18:26</t>
  </si>
  <si>
    <t>不明不白被添加成紧急联系人，已经和对方说过不熟了，还一直骚扰，不停的打电话发信息，已经构成心理压抑！还有一部分恐吓的短信找找再上传。</t>
  </si>
  <si>
    <t>2019/10/08 15:18:15</t>
  </si>
  <si>
    <t>投诉人谭军投诉对象拼多多,百万棋牌涉诉金额3000元问题类型诉求类型投诉详情被赌博网站骗了，显示拼多多商家，联系不退款。</t>
  </si>
  <si>
    <t>2019/10/08 15:17:55</t>
  </si>
  <si>
    <t>涉诉金额99元问题类型诉求类型投诉详情轻享贷要充会员，充了99元的会员后，仍然贷不出来。</t>
  </si>
  <si>
    <t>2019/10/08 15:17:47</t>
  </si>
  <si>
    <t>投诉人黄先生投诉对象点点涉诉金额2500元问题类型诉求类型投诉详情恶意催收，侮辱！！！！恶意读取个人通讯录侵犯个人隐私。</t>
  </si>
  <si>
    <t>2019/10/08 15:17:35</t>
  </si>
  <si>
    <t>贷款八千，因为网贷事情借款人已经住院，逾期两天，打了借款人家里人的电话。</t>
  </si>
  <si>
    <t>2019/10/08 15:17:26</t>
  </si>
  <si>
    <t>交钱之前是一个叫郑老师的电话跟我聊天的，交了之后就是一个叫孟云老师的，我有时候发一个信息他要半天才回我，然后让我做什么测试题，然后让我静下心来，看书改变自己我跟他们说我得近况，从头到尾没有一句有用的，对挽回没有任何帮助还耽误我时间。</t>
  </si>
  <si>
    <t>2019/10/08 15:17:05</t>
  </si>
  <si>
    <t>对方一直没有处理，也没有回复只是申请过一次结案没有后续，不知道现在什么情况，同样一天发起的投诉，有的已经返款，我这边迟迟没有反应不知道什么意思。</t>
  </si>
  <si>
    <t>2019/10/08 15:16:29</t>
  </si>
  <si>
    <t>当事人有个朋友在平台借款了，填了当事人联系方式，主贷人联系不上，平台一直打电话骚扰当事人，而且还吓当事人，半夜打电话骚扰，严重影响当事人生活，当事人根本不知道主贷人留了当事人联系方式，毫不知情，而且客户语气恶劣，别人借的钱凭什么要去骚扰当事人，电话拉黑了，不停换号码。</t>
  </si>
  <si>
    <t>2019/10/08 15:16:27</t>
  </si>
  <si>
    <t>投诉人胡女士投诉对象用钱宝涉诉金额3000元问题类型诉求类型投诉详情天天骚扰通讯录上的好友，轰炸手机，严重影响到正常生活，希望立即查处他们。</t>
  </si>
  <si>
    <t>2019/10/08 15:16:11</t>
  </si>
  <si>
    <t>特此申明，不是重复投诉！个人在8月份遇到各种突发状况，在9月3号开始协商处理还款问题，至今未得到拍拍贷客服有效回复，只是在9月4号有过一次拨打未接通记录，后续未有任何联系和处理，至今已经一个多月，期间只有催收人员联络催促还款，中间对公还款过几次，希望拍拍贷相关工作人员尽快联系我处理相关事宜，我自身情况还在不断恶化中，谢谢！详情见投诉编号CN1251639。</t>
  </si>
  <si>
    <t>2019/10/08 15:16:07</t>
  </si>
  <si>
    <t>上午报了培训班，进入app之后得知是录制课程，得不到提升，还浪费时间，要求退款，但是客服推辞说不给退。</t>
  </si>
  <si>
    <t>2019/10/08 15:15:50</t>
  </si>
  <si>
    <t>我在微粒贷上有笔贷款逾期总共是有700多一点昨天和今天上午还了400多，还剩下的跟对方的工作人员沟通是今天下午还对方不同意，多次打电话过来对我的工作生活造成很大的困扰。</t>
  </si>
  <si>
    <t>2019/10/08 15:15:41</t>
  </si>
  <si>
    <t>去年8月份与一位同事去河南考察出差，2个人网上已买好机票在厦门国际机场取机票时，有位穿着空姐服模样的工作人员劝说办理空铁纵横VIP卡，有许多VIP卡的好处，根本没有提小额抵扣的说法，当时因时间紧，2人也没认真想，认为国际机场推出的便民服务，不会有什么问题，就花了1580元办理了这空铁纵横VIP卡，送了500代金券，当时因为大意不知道充的钱也只能当代金券，每次只能抵个几十块钱，随便问了一趟航班他们给的价格，对比其他网站订票也没有什么优惠，聚投诉已经有几个类似投诉了，当时应当查下这个信息的，现在希望公司根据协议</t>
  </si>
  <si>
    <t>2019/10/08 15:14:54</t>
  </si>
  <si>
    <t>莫名其妙手机收到短信，小浦优客扣款296，手机丢一边都没操作什么。</t>
  </si>
  <si>
    <t>2019/10/08 15:14:26</t>
  </si>
  <si>
    <t>投诉人 金先生        投诉对象  微粒贷,微众银行        涉诉金额  6 200 元    问题类型    诉求类型投诉详情  暴力催收，乱打电话，催收是否合规。有录音</t>
  </si>
  <si>
    <t>2019/10/08 15:13:15</t>
  </si>
  <si>
    <t>找到一家淘宝店名叫温州青年工艺品的店铺合作定制奖牌，此次商家的行为已经严重影响了我们的赛事执行和后续赛事持续申办，之前已经数次跟淘宝方沟通也未能收到处罚反馈，必须给我公司和所有选手以及媒体大众一个交代，涉诉金额说明：包括赛事未按规定流程执行造成的选手退费损失约8万；赞助商因影响而解除奖品赞助损失约4万；对赛事品牌及长远办赛影响极其恶劣，要求赔偿赛事信誉名誉损失10万；数个奖牌工艺出现问题且未按约定时间交货，要求全额退费4120元，图片说明：淘宝方有更多交流记录，图片上传数量有限制，还有多张劣质奖牌工艺图片未</t>
  </si>
  <si>
    <t>2019/10/08 15:12:38</t>
  </si>
  <si>
    <t>招生的老师告知七天之内不满意可以退学，9.22报名，29号申请退款，一拖再拖，现在又告知只有24小时以内才是无理由退学，现在要扣除总费用的25%注册费，和7.5%的学习费。</t>
  </si>
  <si>
    <t>2019/10/08 15:12:15</t>
  </si>
  <si>
    <t>2019/10/08 15:10:59</t>
  </si>
  <si>
    <t>投诉人 尹女士        投诉对象  现金巴士        涉诉金额  2 000 元    问题类型    诉求类型投诉详情  没有电话跟进，全程没有协商，直接骚扰家人。</t>
  </si>
  <si>
    <t>2019/10/08 15:10:19</t>
  </si>
  <si>
    <t>投诉人 张先生        投诉对象  南京玉恒商业管理有限公司        涉诉金额  12 800 元    问题类型    诉求类型投诉详情  南京玉恒 租赁我的房子后，应该在上个月 15号支付本季度房租，房东联系不上。且 和其员工沟通基本确认公司跑路事宜</t>
  </si>
  <si>
    <t>2019/10/08 15:09:43</t>
  </si>
  <si>
    <t>投诉人 陶先生        投诉对象  拍拍贷        涉诉金额  0 元    问题类型    诉求类型投诉详情  公司之前的一个员工在拍拍贷贷款，还不上。拍拍贷催收天天不间断打公司电话骚扰。怎么说都不听。严重影响到公司的正常运转。</t>
  </si>
  <si>
    <t>2019/10/08 15:09:42</t>
  </si>
  <si>
    <t>三张都是亲戚朋友收到群发的短信，且通讯录几百号人都有收到，一共借了两笔22000和14000，现已还35730，帐户显示还需还11180元，这是阴阳合同且合同还写需要交保险费用，借款时也并未发现有何不可，后面才反应过来这是高利贷且虚假合同，现平安普惠一直骚扰本人及本人通讯录的亲朋好友，暴力催收，恶意群发短信，本人保留全部平安普惠催收的手段证据，要求平安普惠道歉及调整高利贷利息及作出赔偿，对本人名誉的受损及精神造成严重伤害作出赔偿！！！。</t>
  </si>
  <si>
    <t>2019/10/08 15:09:15</t>
  </si>
  <si>
    <t>新橙分期借款3000实际到账2500，并且每个月还得支付高额利息，现在要求退回砍头息和利息。</t>
  </si>
  <si>
    <t>2019/10/08 15:09:03</t>
  </si>
  <si>
    <t>投诉人苏先生投诉对象好易贷涉诉金额3200元问题类型诉求类型投诉详情借款3000到账2100，平台拿了我900，然后要我还3000，没等我确认下款直接给我下款了，弄得我没钱花还得被人吓，逾期一天逾期费高达180一天，现在还吓我说今天不还打电话给我家人朋友。</t>
  </si>
  <si>
    <t>2019/10/08 15:08:55</t>
  </si>
  <si>
    <t>我于2019年10月7日在长治机场办理自助值机过程中，询问我购票方式说我买贵了，还说他们是30多家航空公司联合办的卡，办卡人员说办理空铁领航会员卡后可以享受全网最低价，只需要在卡了预存1698元钱，买机票的时候卡里的钱可以直接抵扣，和银行卡一样，并且说这是联合一系列航空公司一起办的卡，所以我就办理了会员卡，充了1698元钱，后来我通过网络查询进一步咨询才发现，有以下欺**消费者行为：1，通过这个卡买票，甚至比官网还贵，这与当时的介绍完全不符，与卡片上印有的享受全网最低折扣不符，2.这个卡内的钱并不能直接买机</t>
  </si>
  <si>
    <t>2019/10/08 15:08:51</t>
  </si>
  <si>
    <t>投诉人李勇投诉对象爱钱进,钱站涉诉金额2000元问题类型诉求类型投诉详情本人是一名在校大学生&amp;nbsp;在7月30号因受凡普金科旗下-钱站的广告诱惑&amp;nbsp;误操作申请了一笔贷款，借款金额2000元、分3期偿还，每期却需还款1121元，加起来三个月一共需还3300多元，年化利率净高达百分之三百多，本人惶恐之余联系钱站方平台说明取消借款的意思后却被告知不能取消，我已经还清2224的债务，为什么钱站平台还不能放过我&amp;nbsp;我就想知道你们这样漠视国家法律违规给大学生放款真的合法吗&amp;nbsp;你们这么高额的利</t>
  </si>
  <si>
    <t>2019/10/08 15:08:47</t>
  </si>
  <si>
    <t>10月7日下午，点了《及贷》一笔追加贷5300元，几分钟之后我就后悔了，因为突然想起之前在及贷贷的利息不但高，而且附加购买保险，就后悔了，马上打客服电话要求取消这笔贷款，因为当时这笔贷款还在排队中，客服说看不到不能操作，要等审核再说，10月8号上午，我看到及贷的APP显示:审核中，我又立马打电话给客服要求撤销这笔贷款，客服说人工不可以干预贷款撤销，我明确的表示:利息过高我真的无法偿还，但是及贷就是不给我撤销，让我等等看，说审核失败就不会通过，只有等，反正就是各种理由的不给我撤销这笔贷款，同时我也用手机录音了</t>
  </si>
  <si>
    <t>2019/10/08 15:08:14</t>
  </si>
  <si>
    <t>本人于2017-07-16在维信卡卡贷借了一笔钱，借款金额是22800，分了12期还款，借款22800元，还完为止共还了26767.2元！去年2018年7月份已经还完了，但现在我要求退回多出24%内的利息和当时借款时候的会员费！请维信卡卡贷退回会员费和多给的利息。</t>
  </si>
  <si>
    <t>2019/10/08 15:08:05</t>
  </si>
  <si>
    <t>闪银哼哼和瞬瞬，我本以为借不了，点了后，又取消不掉，能借，行吧，然后，我发现，不点上征信的那个，一千到手八百一点点，然后还的话，要还1030，这么算，我借了两千到手就1600多，还的话是2060，这个我也没说啥，自己贱，我听别人说等八天后可以自己开延期，所以吧，跟我协商我也是，25号前能还上，不要乱打电话，然后，我是学生，按理，网贷是学生都不允许借的，九月份那时候，，闪银哼哼和瞬瞬都没这个提示，到我十月还了瞬瞬，现在只剩哼哼，我就想，我还不上了，只能等生活费还上，然后打电话，希望能延期，我不是不想还，只是现</t>
  </si>
  <si>
    <t>2019/10/08 15:06:56</t>
  </si>
  <si>
    <t>5791‬这个号码整天给我打电话，发短信进行恐吓，骚扰，说要搞我的家人，希望平台尽快给我处理下，别等出事了在解决谢谢。</t>
  </si>
  <si>
    <t>2019/10/08 15:06:09</t>
  </si>
  <si>
    <t>给了我几个保险公司让我和保险公司协商，连保单号都不给我，第二次同样的砍头息，还是看不到任何，两次借款金额总计6300，实际到账4000多点，现在所有的归还了4400多，还有两期没还，已经逾期中，催收和月光侠相关部门和我联系，只有不断的催款短信和骚扰通讯录的亲人好友，这个钱我可以还，但是你必须给我砍头息的事情一个说法。</t>
  </si>
  <si>
    <t>2019/10/08 15:06:01</t>
  </si>
  <si>
    <t>手动还款以后，银行卡又扣款一次，钱有急用，核实好以后请马上退钱！。</t>
  </si>
  <si>
    <t>2019/10/08 15:06:00</t>
  </si>
  <si>
    <t>本人在钱站借了2000元3个月要还3000多元这几天逾期了他们每天打十几个电话来骚扰恐吓还把我通信录打遍了天天骚扰我家人朋友他们说今天5点前还不上就上门抓人。</t>
  </si>
  <si>
    <t>2019/10/08 15:05:43</t>
  </si>
  <si>
    <t>投诉人 史先生        投诉对象  拼多多        涉诉金额  13 元    问题类型    诉求类型投诉详情  拼多多买家申请退款说没收到货。但是物流已经提示签收。而且买家是7天后申请说没收到货的。没收到货还要等7天才申请? 买家申请客服介入后，客服直接给买家退款。</t>
  </si>
  <si>
    <t>2019/10/08 15:05:34</t>
  </si>
  <si>
    <t>投诉人杨先生投诉对象钱站,华夏银行涉诉金额2000元问题类型诉求类型投诉详情钱站高利贷公司，阴阳合同，伪造合同，顶风作案，本人9月5号在钱站借了2000块，合同金额却是3577.08元，明显高于国家规定利息，实际到账2000元，分三期还每一期还大概1192元，三个月一共还3577元，并且还外包催收，骚扰我联系人，给我生活还有精神上造成了很大的影响，希望国家整治严惩这种高利贷公司，还百姓一个说法，并对我作出补偿。</t>
  </si>
  <si>
    <t>2019/10/08 15:05:28</t>
  </si>
  <si>
    <t>九月份在&amp;nbsp;百度上面&amp;nbsp;美创广告找到我&amp;nbsp;&amp;nbsp;说要帮忙运营我的淘宝公司&amp;nbsp;&amp;nbsp;&amp;nbsp;先交了合同费上的980&amp;nbsp;&amp;nbsp;后面说要帮忙运营&amp;nbsp;&amp;nbsp;有忽悠了我4000元&amp;nbsp;&amp;nbsp;今天又说要交钱&amp;nbsp;不然不帮忙推广。</t>
  </si>
  <si>
    <t>2019/10/08 15:05:08</t>
  </si>
  <si>
    <t>拼多多说我诱导客户，我只是让客户选择，我的商品已经下架，客户着急要买，我让客户选择他是等我上好架还是继续购物，客户要继续，我没办法只能让他第三方购物，为了客户着想。</t>
  </si>
  <si>
    <t>2019/10/08 15:04:43</t>
  </si>
  <si>
    <t>深圳优卡南方能源有限公司Ucar开通白条，由于需要用油转存，转存一直都是充值中，账号里还有2000待充值，现在也没有办法处理，而且在任何时间都无法联系到在线客服，Ucar提供的客服电话0755-23884725及0755-36561349均没无法接通，现在登录进去直接看不到我的账户信息，一直找借口说系统迁移。</t>
  </si>
  <si>
    <t>2019/10/08 15:04:27</t>
  </si>
  <si>
    <t>第一：18000元的额度是我在京东消费给我的金条额度，我没有求你们给我，第二：我用金条两年以来都是按时或者提前还款，第三：去年突然给我停用额度，加上经济来源的突然短缺，导致了我的逾期，第四：我跟你们也联系过，不过没什么用，还是对我恶意催收，爆通讯录，发伪造文件，假律师函，我都有证据，而且聚投诉也有我投诉的伪造文件律师函的案件，我一忍再忍，我已经跟京东协调过，我目前没有能力还款，我不要求减免，我只要求给我时间，有能力我一定还钱，利息照缴，京东还是这样的过份，每次投诉之后都给我打电话，我为什么不接，因为他们没有</t>
  </si>
  <si>
    <t>2019/10/08 15:04:25</t>
  </si>
  <si>
    <t>，现金巴士把债券转让催收打电话要爆通讯录，又不是不还你们，预期费一天15算着，还爆通讯录，。</t>
  </si>
  <si>
    <t>2019/10/08 15:04:24</t>
  </si>
  <si>
    <t>我于2019年4月12日及2019年8月7日在我来贷，借贷两笔，合同年利率分别为8.5%/年和9%/年，我直到上月才后知后觉的发现，该平台实际借贷利率越高于借贷合同利率，实际利率和合同利率不符，是阴阳合同，而且按照IRR公式计算，年利率单利为60.95%，年利率复利为81.22%，远超国家规定的最高24%的年利率数倍不止，实为高利贷，因此，在我这个月手头宽裕点后，想把剩余本金一次性结清，但是该app并没有提前结清的功能，且不减免利息，我要求，我来数科在app的还款页面中将我的还款金额更改，我要求只更还剩余本</t>
  </si>
  <si>
    <t>2019/10/08 15:04:10</t>
  </si>
  <si>
    <t>因为需要用钱，2019年9月29日在宜人贷申请了贷款，然后就有业务员给我打电话，说我可以借5万元，期限36个月，我问每月利息多少钱，提前结清需要付违约金多少，业务员告诉我每月利息不到500元，提前结清需要付所用天数的利息和违约金，我问违约金多少，回答百十元钱，我一听挺满意就同意借款，业务员给我计算完利息，我一看2400多元，就说太高不借了，业务员说他可以给我提高信用分降低利息，我让他给我提高一下然后我再看看利息多少再决定借不借，我还特意问他不会一下把款转过来吧，我得看看利息多少再决定，业务员说不会，然而一会</t>
  </si>
  <si>
    <t>2019/10/08 15:04:03</t>
  </si>
  <si>
    <t>有过协商还款还不断的骚扰，存在砍头息，利息不低。</t>
  </si>
  <si>
    <t>2019/10/08 15:04:02</t>
  </si>
  <si>
    <t>我购买商品为全新瑕疵99新商品，有图片为证，卖家上传的8张图片中仅只有2张有瑕疵显示并且不清楚，鞋在很远的距离拍照，并且只说明后跟起球与鞋盒破损，并未清楚描述与列出其他8处严重的问题，有掉色，有掉漆，有磨损，有褶皱，等等，有图片为证，nice的买家须知写的非常清楚在图片中表明出来了，他们的质检好像形同虚设，查验是根本不看还是自己骗自己，nice客服联系我给予方案2个，一个补偿80元，另一个让我自己转卖换去坑其他人还收我手续费，方案我都不接受，买到的东西货不对版，我只要求退货，nice既没有联系我展示新的问题</t>
  </si>
  <si>
    <t>2019/10/08 15:03:23</t>
  </si>
  <si>
    <t>只是欠款人的朋友，接收到本短信涉嫌软暴力催收钻法律空子进行多方面威胁！。</t>
  </si>
  <si>
    <t>2019/10/08 15:03:16</t>
  </si>
  <si>
    <t>本人于2019年9月28日在威力贷平台借款1400元，时间6天，到期还款2000.06元，于10月3号到期，3号当天到期，由还不起，按照他们平台展期还款6天方式延期，可实际天数有问题，展期6天，8号又叫处理，实际还款应该是9号。</t>
  </si>
  <si>
    <t>2019/10/08 15:03:09</t>
  </si>
  <si>
    <t>给通讯录打电话，并发信息，造成生活，工作影响。</t>
  </si>
  <si>
    <t>2019/10/08 15:02:47</t>
  </si>
  <si>
    <t>投诉人 李先生        投诉对象  比特矿产        涉诉金额  500 元    问题类型    诉求类型投诉详情  提现不到账，系统进不去。无法提现。。。。</t>
  </si>
  <si>
    <t>2019/10/08 15:01:47</t>
  </si>
  <si>
    <t>爆通讯录上次投诉一直未做出处理-说让我还一期才能协商还款-提前全额还款减免100块钱-恐吓我说通讯录一个一个打过去。</t>
  </si>
  <si>
    <t>2019/10/08 15:01:44</t>
  </si>
  <si>
    <t>我信用管家申请薪意袋到账2250元，分六期归还，每期522元10天一期，这算下来2个月利息高达800多，根本不合法，本人想协商按国家利息归还，但薪意袋一直不同意一直恐吓不按这样利息归还要爆我通讯录，现请贵平台帮协商处理，薪意袋平台客服电话4008030781，公司对公账号：防城港广纳商贸有限公司。</t>
  </si>
  <si>
    <t>2019/10/08 15:01:43</t>
  </si>
  <si>
    <t>投诉人 张舒惠        投诉对象  有钱花        涉诉金额  28 000 元    问题类型    诉求类型投诉详情  已经协商好 每个月还款1300 给我延期处理 现在又有催收人员对我电话骚扰 微信对我进行恐吓</t>
  </si>
  <si>
    <t>2019/10/08 15:01:33</t>
  </si>
  <si>
    <t>可提现了，但是一直在排队不处理，已经等待一年了，也没有提到一分钱，以前可用余额可以提出来，大概半年了都没任何动静。</t>
  </si>
  <si>
    <t>2019/10/08 15:01:03</t>
  </si>
  <si>
    <t>本人经常用街电租用充电宝所以就办理了会员，到现在一共3个多月了，开始用着没有问题，但是从上月开始有好几次都无故扣费，，这几次扣费使用都没有超时，几次给客服打电话说是我用的支付宝账户不对，因为我之前登录过我媳妇的支付宝，所以以为真的是没有换账号扫码租用的原因，但是后来我每次扫码前确定下是我的支付宝扫码后这种扣费还是存在！多次给客服打电话客服均表示是没用我的支付宝扫码的原因，后来经过几次用心后发现，同一个酒店两个街电机器用我的支付宝扫码租借够竟然有不同的结果！！！这就是原因，我强烈要求街电公司退回我所有扣费！并</t>
  </si>
  <si>
    <t>2019/10/08 15:00:54</t>
  </si>
  <si>
    <t>9.30日沙琪豆客服打电话给我，答应我国庆节后10.8号退还非法砍头息800元并且已经录音，可是至今没有任何联系，致电通联支付也是一味的推脱责任，希望两个平台今天尽快处理好800元砍头息退款。</t>
  </si>
  <si>
    <t>2019/10/08 15:00:41</t>
  </si>
  <si>
    <t>本人在5.28和6.29号在现金巴士借款2笔，被要求支付会员费168和298，不支付费用不能够完成借款，明显的砍头息，现要求返还砍头息！。</t>
  </si>
  <si>
    <t>2019/10/08 15:00:22</t>
  </si>
  <si>
    <t>投诉人 吴女士        投诉对象  优信优卡        涉诉金额  7 200 元    问题类型    诉求类型投诉详情  充钱之后只充了一次油卡，就冲不进去了。无法取现，无法充话费。</t>
  </si>
  <si>
    <t>2019/10/08 14:59:54</t>
  </si>
  <si>
    <t>立即停止骚扰，立即停止使用非法软件骚扰，合法催收，你司可以通过法律维护你司的合法权益，我保留向公安部门和司法部门举报你司违法的权利。</t>
  </si>
  <si>
    <t>2019/10/08 14:59:33</t>
  </si>
  <si>
    <t>骚扰我亲朋好友，导致人家无法正常上班！损失了好多钱和客户！。</t>
  </si>
  <si>
    <t>2019/10/08 14:59:09</t>
  </si>
  <si>
    <t>当时确认借款前显示的是第一期还2400多剩余两期还1600多可放款以后三期全变成了2400多，，还有我在确认借款发现不对后跟客服说过不要了，客服说会联系我。</t>
  </si>
  <si>
    <t>2019/10/08 14:58:57</t>
  </si>
  <si>
    <t>昨天晚上别人骗充值的二千，然后过一下就全没了，扣费莫热血传奇元宝，我连注册都没注册过，就没了。</t>
  </si>
  <si>
    <t>2019/10/08 14:58:41</t>
  </si>
  <si>
    <t>暴力催收、给亲朋好友发短信！单位同事也是！。</t>
  </si>
  <si>
    <t>2019/10/08 14:58:32</t>
  </si>
  <si>
    <t>借款4次，每次收取630的砍头费用，希望退还2520元的砍头费用，有银行流水为证据。</t>
  </si>
  <si>
    <t>2019/10/08 14:58:30</t>
  </si>
  <si>
    <t>我在众人帮平台做了一个微信辅助解封任务，号已经帮悬赏主解封了，但是我忘记截了那张确认对方是好友的图，而那个图是解封了之后返回是没有了的，别的悬赏主都不用这个也可以，就这悬赏主坑人不肯给赏金，众人帮客服不处理。</t>
  </si>
  <si>
    <t>2019/10/08 14:58:25</t>
  </si>
  <si>
    <t>通过艺龙预订了住宿房间并支付了担保金收到预定成功的确认，至酒店入住告知无房间，联系艺龙客服协调解决住宿问题至今六天了始终未给回复消息，如果顾客预定好未去入住艺龙会全额扣款，艺龙确认后至酒店无房入住艺龙反而无责，明显的不公平条约，即日起决定卸载艺龙软件，不再通过艺龙预订酒店和机票，这样的公司服务和有失公允霸王条款要坚决抵制！！！。</t>
  </si>
  <si>
    <t>2019/10/08 14:57:48</t>
  </si>
  <si>
    <t>北京会牛科技有限公司时间套路贷，你们怎么也不管管，必须让北京惠牛科技有限公司和凡普金科企业发展，反正是北京会牛科技有限公司的所有软件停止运行。</t>
  </si>
  <si>
    <t>2019/10/08 14:57:46</t>
  </si>
  <si>
    <t>在智行买的票，后来在12306退款，12306显示已到账，但是智行一直不给我退款。</t>
  </si>
  <si>
    <t>2019/10/08 14:57:44</t>
  </si>
  <si>
    <t>投诉人 刘先生        投诉对象  光大银行信用卡中心        涉诉金额  700 元    问题类型    诉求类型投诉详情  电话骚扰，一天早上给我打了12个电话 不能正常工作</t>
  </si>
  <si>
    <t>2019/10/08 14:56:50</t>
  </si>
  <si>
    <t>在该平台借款2000元，在下款之前需要交所谓会员费540元属于砍头息，要求协商正常利率还款，请尽快联系处理。</t>
  </si>
  <si>
    <t>2019/10/08 14:56:35</t>
  </si>
  <si>
    <t>拍拍贷,上海拍拍贷金融信息服务有限公司,拍拍贷借款，本人在去年2018年10月大四的时候在拍拍贷申请了1笔贷款，贷款金额8100元，分12期，每月还款894.08，12期需还总额10728.96元，年利率55.35%，；还款途中因无力偿还又继续借了2笔贷款，分别为1000元，分6期，每期还款877.9元，12期需还总额5267.4元，年利率59.31%，三次借款本金本金总额为13564元，计算得出总需还17356.32元，当时还是学生年少无知，现在计算之后才发现利息如此之高，计算得出的利率远远高于国家规定利</t>
  </si>
  <si>
    <t>2019/10/08 14:56:14</t>
  </si>
  <si>
    <t>停止骚扰，已经彻底打扰我的工作和休息，希望能有所解决，不要再打扰了。</t>
  </si>
  <si>
    <t>2019/10/08 14:56:04</t>
  </si>
  <si>
    <t>lc分期贷款,有盈好贷,易宝支付,信用管家，本人于9月10日10点21分于原信用管家后改名为能能钱包现在改名为lc分期中的有盈好贷借款金额3000元只到账2250元，贷款期限30天，每期10天分三期，每期还款1029.1元，存在750元的砍头息，本人因债务爆发无还款能力，现要求协商偿还本金加50元常规利率，希望平台给出一个合理的解释与做法，如若不然，本人将进一步进行各大平台尝试联系，并与12377网贷投诉平台进行联系。</t>
  </si>
  <si>
    <t>本人因资金周转不过来导致本期还款逾期，今天接到催收电话对方态度极其恶劣，一样威胁今天不还款我打电话给我的通讯录好友一个一个要，一点协商的余地都没有，对方还说他们是持牌消费金融就算投诉也没有用，目前从二点开始我的通讯录好友接到了好几通电话，请求聚投诉帮忙协商处理。</t>
  </si>
  <si>
    <t>2019/10/08 14:56:02</t>
  </si>
  <si>
    <t>投诉人 林贤伟        投诉对象  你我贷        涉诉金额  3 000 元    问题类型    诉求类型投诉详情  你我贷要去当前还清欠款 我现在没发工资 要求15号发工资还清 请求客服来电 停止骚扰</t>
  </si>
  <si>
    <t>2019/10/08 14:55:58</t>
  </si>
  <si>
    <t>10月8日了，依旧没有，客服联系不上财务，没答复，本想1836订5年杂志，现在发货两年，给我退600多块钱，真是恶心的商家~还不给提现！！！。</t>
  </si>
  <si>
    <t>2019/10/08 14:55:54</t>
  </si>
  <si>
    <t>因本人资金方面出现问题，便想等闪银至尊催收打过来协商时间还款，道国庆过后今天第一次收到催收电话，本人有意协商时间还款，但催收并不理会，只给我30分钟让我处理，以打通讯录威胁本人，严重影响到了工作生活，且闪银客服电话不通无法联系，现要求闪银方与本人尽快联系处理此事。</t>
  </si>
  <si>
    <t>2019/10/08 14:55:50</t>
  </si>
  <si>
    <t>投诉人段先生投诉对象交通银行信用卡涉诉金额6500元问题类型诉求类型投诉详情威胁我家人和朋友，暴力催收，我说每次都在还款还里的都是利息跟违约金，还是差。</t>
  </si>
  <si>
    <t>2019/10/08 14:55:41</t>
  </si>
  <si>
    <t>本人在信而富平台借款，要求买的特权包，没有实际快递，投诉了一次只答应退最后一次借款的卡费，以前不知法懂法，现在经警察叔叔教诲，这属于砍头息套路贷，现要求信而富与我协商退还最后3期特权包费用，如未果，将采用法律途径。</t>
  </si>
  <si>
    <t>2019/10/08 14:55:29</t>
  </si>
  <si>
    <t>投诉人 陆先生        投诉对象  Wecash闪银        涉诉金额  3 000 元    问题类型    诉求类型投诉详情  说好这几天来几个人打电话过来恐吓，威胁，</t>
  </si>
  <si>
    <t>2019/10/08 14:55:04</t>
  </si>
  <si>
    <t>本人9月在贷上钱平贷款4000元分3期归还.平台以购买第三方游戏钻石币为理由额外收取高额利息.本人从没使用过平台的游戏钻石币。</t>
  </si>
  <si>
    <t>2019/10/08 14:54:36</t>
  </si>
  <si>
    <t>投诉人王先生投诉对象京东金融涉诉金额16000元问题类型诉求类型投诉详情京东金条有额度，但是打客服电话说让自己在app上操作金条止付，智能客服回复说需要把白条结清，我白条办理的分期，提前结清还是一样的利息全部扣完，办理金条跟白条又没啥关系，理解不了，诉求是今条正常开通。</t>
  </si>
  <si>
    <t>2019/10/08 14:54:14</t>
  </si>
  <si>
    <t>招联金融催收态度恶略，影响我正常工作及生活，没经过我同意群发短信和骚扰通讯录无关人员。</t>
  </si>
  <si>
    <t>2019/10/08 14:53:58</t>
  </si>
  <si>
    <t>投诉人 黄女士        投诉对象  快闪卡贷        涉诉金额  8 000 元    问题类型    诉求类型投诉详情  我在快闪卡贷借款8000元 到账7200元 砍头息到账时就扣了800元 分6期每月还款1708元 一共还款10248元 高出年利率112% 我要求只还剩下的本金或该有的利息</t>
  </si>
  <si>
    <t>2019/10/08 14:53:46</t>
  </si>
  <si>
    <t>多次和浦发银行协商还款均是以三个月还本金或者两年还一个月四千多然后证征信严重逾期为由态度强硬，根本不给人活路，浦发信用卡协商人员多次以催收，律师函，征信逾期严重等理由软威胁，两年还100000多，本金71500，之前已经产生好几千利息，本人只想好好协商还款而不是欠钱不想还，希望浦发信用卡能给我一个合理的还款计划，不然只能等法庭调解了。</t>
  </si>
  <si>
    <t>2019/10/08 14:52:22</t>
  </si>
  <si>
    <t>2019/10/08 14:52:01</t>
  </si>
  <si>
    <t>我是租客，这个托管公司骗走了半年租金及一个月押金，未给房东。</t>
  </si>
  <si>
    <t>2019/10/08 14:51:45</t>
  </si>
  <si>
    <t>2019年6月到7月，易宝支付违规为小米包，亿成易借,香瓜等714高炮平台提供支付渠道，希望退还高炮平台收取高额砍头费用。</t>
  </si>
  <si>
    <t>2019/10/08 14:51:33</t>
  </si>
  <si>
    <t>本人在小浦优客app，无任何操作，直接在绑定银行卡扣除296元，性质极其恶劣，没有为本人提供任何服务通联支付为支付通道要求马上把被扣金额退回卡中。</t>
  </si>
  <si>
    <t>2019/10/08 14:51:05</t>
  </si>
  <si>
    <t>本人在立借，借款10000元申请时是十二期3600元利息，年利率36%，提现后现在变成3个月还清，利息是3900元，明显的高利贷，现在希望改回12个月的分期，调整利率。</t>
  </si>
  <si>
    <t>2019/10/08 14:51:03</t>
  </si>
  <si>
    <t>本人于2019年7月4日在新橙优品借款三千，三个月，每个月还款1180，但是到账之后就被扣除三百，以保险费的名义，到账2700现在两期加上罚息已经还了2500了剩下最后一期希望协商处理，还有你们催收能不能专业一点，刚才一个河南的号码打来问他扣除的三百什么都回答不上来，还说说一个公司的。</t>
  </si>
  <si>
    <t>2019/10/08 14:50:58</t>
  </si>
  <si>
    <t>玖富万卡暴力催收，一直问哪个平台，居然不敢说名字，还威胁恐吓我，把钱还进去马上就把我删除了，请不要不承认，请做出道歉。</t>
  </si>
  <si>
    <t>2019/10/08 14:50:56</t>
  </si>
  <si>
    <t>期限三十天，三十天后还2555元，变相的收取高额服务费，实质就是高利贷，客服不同意，特来投诉我希望本金还款和正确的利息，。</t>
  </si>
  <si>
    <t>2019/10/08 14:50:50</t>
  </si>
  <si>
    <t>投诉人陈女士投诉对象自由摩卡,信用计划涉诉金额2000元问题类型诉求类型投诉详情借款平台：自由魔卡app内的“诺和信用计划”借款借款金额：第一次申请的时候需要强制缴纳“300元”开通信用计划会员才可申请借款，并且再开通信用计划会员之后，申请借款金额“2000元”的时候，还需额外再缴纳“360元”的砍头息，即使不算开通会员的第一笔砍头息，实际到账金额为1640元，诉求：在实际到账金额基础上，协商还本金及合规利息，并退出计划结清备用金。</t>
  </si>
  <si>
    <t>2019/10/08 14:50:31</t>
  </si>
  <si>
    <t>投诉人刘先生投诉对象聚富分期涉诉金额299元问题类型诉求类型投诉详情合同期诈私自扣钱没有同意就从银行卡扣钱。</t>
  </si>
  <si>
    <t>2019/10/08 14:50:00</t>
  </si>
  <si>
    <t>更改滴滴车主客户端城市，10月8日服务分从92分下降到53分，联系滴滴客服，给出的答案是更改城市后服务分下降。</t>
  </si>
  <si>
    <t>2019/10/08 14:49:58</t>
  </si>
  <si>
    <t>投诉人杨先生投诉对象上海逸铮铭金融信息服务有限公司涉诉金额3280元问题类型诉求类型投诉详情我没有在他们说的马上花旗下借过钱，但今天说我欠他们3280元，说什么该公司被风控，要我提前还款，我问是哪个app，他们说要先还一部分钱才能查出来是哪个app。</t>
  </si>
  <si>
    <t>2019/10/08 14:49:55</t>
  </si>
  <si>
    <t>拍拍贷平台高利贷，才逾期十多天，利息一天长30多，而且天天十几个电话骚扰，每天变着各种地区的号码来骚扰我不说，还爆我通讯录，打给我家人去骚扰他们，本人觉得严重影响到了我的正常生活，心理也造成了极大的压力，他们这么做太嚣张跋扈了，私自盗取用户信息，违反了国家规定，应该收到法律的严惩。</t>
  </si>
  <si>
    <t>2019/10/08 14:49:41</t>
  </si>
  <si>
    <t>合同做假，合同金额3990实际收到3000。</t>
  </si>
  <si>
    <t>2019/10/08 14:49:39</t>
  </si>
  <si>
    <t>投诉人李先生投诉对象广州山和朋友们科技有限公司,天津山和朋友们科技有限公司涉诉金额499元问题类型诉求类型投诉详情希望退还用户押金，广州地区已经没有运营车辆可用，不要拖着用户押金推卸责任，也不要像流氓一样不退还用户押金，我们押金已经拖了几个月了，希望平台能够帮助我们处理，帮助我们维护自身利益，谢谢。</t>
  </si>
  <si>
    <t>2019/10/08 14:49:31</t>
  </si>
  <si>
    <t>2017年10月在佰仟金融分期购买手机金额为2999交了300首付'每月还款341为期12月还款十月后'因个人原因无力偿还'预期二期未还，期间催收人员态度恶劣'对我进行辱骂骚扰，等多次只要虚假律师函文件，近日打电话让我偿还剩余二期加各种违约金1300多'本身剩下二期未还共600多'凭空多出几百块'名副其实的高利贷'希望聚投诉'给我合理的处理方式。</t>
  </si>
  <si>
    <t>2019/10/08 14:49:17</t>
  </si>
  <si>
    <t>借款2800，31天需还4088，每8天还1022，其中本金700，利息322，利息远超国家标准，APP扣不了款，造成逾期每天逾期费50多，因花转转自身原因，却要我来承担逾期费，在平台客服反馈协商，也不见有电话打来协商，官方电话每天都打不进去，望花转转公司联系本人给予协商还款销账。</t>
  </si>
  <si>
    <t>2019/10/08 14:49:11</t>
  </si>
  <si>
    <t>还了5期一共6500左右了，还有一期1000多，现在剩下最后一期，但是催收人员咄咄逼人，爆我通讯录，威胁我联系我通讯录所有电话，严重影响我的生活工作。</t>
  </si>
  <si>
    <t>2019/10/08 14:48:45</t>
  </si>
  <si>
    <t>手机号176******75，于2017年末，2018年末使用向钱贷进行短期周转，该平台多次砍头息且收取所谓会员费等其他不合法费用，至今所交纳费用已经远远超出应还本金，且在此期间向钱贷多次骚扰辱骂通讯录朋友家人，对生活已经造成影响，现要求向钱贷对所在平台账务进行销账，将本人账号进行注销，停止骚扰，停止将个人信息外泄。</t>
  </si>
  <si>
    <t>2019/10/08 14:48:03</t>
  </si>
  <si>
    <t>本人于2018年7月份开始在米米罐平台申请借款，起初借款1000，需支付会员费199，从2019年4月开始，米米罐平台借款需强制购买保险，借款金额由平台评估，借款金额越高，保险费用越高，本人为此平台老用户，且从未逾期，并按期提前还款，因本人于17年身患鼻咽癌，治疗费用庞大，至今靠特效靶向药维持，家庭无力承担高额费用，故向各个平台申请借款，因还款压力巨大于2019年5月患中度抑郁症，为了避免还款到期导致逾期，该平台暴力催收导致心态崩溃，故发此贴希望与平台协商，该平台所投保险均为空头保险，没有任何保单号，希望平</t>
  </si>
  <si>
    <t>2019/10/08 14:47:55</t>
  </si>
  <si>
    <t>授课不好，在线课堂中英语不好听不懂老师说的话问问题直接被移出房间，外教太少，课程不好，并没有什么效果。</t>
  </si>
  <si>
    <t>2019/10/08 14:47:52</t>
  </si>
  <si>
    <t>小花钱包借款利息太高，合同借款金额14579，实际到账金额是11500，第一期逾期3天就开始暴力催收，群发短信，轰炸通讯录，强制发生活照支付宝信息，加通讯录的朋友微信群发事迹，让人很受不了，内心崩溃，现在投诉希望能停止催收，好好协商，给群发的所有人道歉解释，给我点时间我会分期结清欠款的本金。</t>
  </si>
  <si>
    <t>2019/10/08 14:47:48</t>
  </si>
  <si>
    <t>投诉人 杨群女士        投诉对象  苏宁易购        涉诉金额  45 元    问题类型    诉求类型投诉详情  客服态度差劲。不解决问题，物品拿到东西就是破损的，</t>
  </si>
  <si>
    <t>2019/10/08 14:47:29</t>
  </si>
  <si>
    <t>就申请了下账号，填完资料银行卡，申请借款，借款失败，反而扣我的银行卡里的钱。</t>
  </si>
  <si>
    <t>2019/10/08 14:47:14</t>
  </si>
  <si>
    <t>百度有钱花进行暴力催收，对我的家人进行威胁，并且通过微信对我进行催收，每天都打电话，不停地打，对我的生活已经工作造成了很大的影响，让我的工作完全没有心情，还给我的家人打电话！。</t>
  </si>
  <si>
    <t>2019/10/08 14:46:58</t>
  </si>
  <si>
    <t>投诉人张先生投诉对象嘀嗒出行涉诉金额132元问题类型诉求类型投诉详情约好的顺风车，连个屁都没有，说不来就不来，我打电话还关机。</t>
  </si>
  <si>
    <t>2019/10/08 14:46:01</t>
  </si>
  <si>
    <t>一直在用来分期，合作了也有好几年，一直支付本金以及利息，现在有额度却借不出来，之前还在来分期平台买过手机。</t>
  </si>
  <si>
    <t>2019/10/08 14:45:55</t>
  </si>
  <si>
    <t>本人于2017年12月份从凡普信贷借款88000元，实际到账金额88000，月还4187.7，合同金额127200，以还21期，每月按时还款，由于近期财务危机，延迟还款，此公司多次打电话骚扰并骚扰家人及朋友，这属于高利贷并暴力催收，希望能帮我解决，愿意协商还款。</t>
  </si>
  <si>
    <t>2019/10/08 14:44:44</t>
  </si>
  <si>
    <t>投诉人 陈先生        投诉对象  爱又米        涉诉金额  2 700 元    问题类型    诉求类型投诉详情  盗取个人信息，做出赔偿。要求那个个人信息法院起诉。</t>
  </si>
  <si>
    <t>2019/10/08 14:44:35</t>
  </si>
  <si>
    <t>本人在小树时代有一笔借款，在逾期后工作人员的催收方式，让我感到畏惧，且在收完高额利息以后还有一个押金750RMB未退，客服未给出回复下图与催收人员的聊天截图还只是一部分，很多没有上传。</t>
  </si>
  <si>
    <t>2019年6月至7月，富友支付违规为下得快，速贷巴士，多多分期，兄弟帮,海星，财庄，海带，希旺花，花米呗等714高炮平台提供支付渠道，支付金额达20000元有银行流水作为凭证。</t>
  </si>
  <si>
    <t>2019/10/08 14:44:34</t>
  </si>
  <si>
    <t>刚刚莫名电话骚扰，是来自各国的电话，还发短信，没有下载过这个app，。</t>
  </si>
  <si>
    <t>2019/10/08 14:43:22</t>
  </si>
  <si>
    <t>别人用我卡转了一次钱，然后等要转出去的时候就被微粒贷扣款了，前后就一个小时左右，在它的平台看不到任何与逾期有关的东西，就被莫名其妙的扣款了。</t>
  </si>
  <si>
    <t>2019/10/08 14:43:14</t>
  </si>
  <si>
    <t>我办了两个，一个288，一个299，最后在一个白色的是299。</t>
  </si>
  <si>
    <t>2019/10/08 14:42:33</t>
  </si>
  <si>
    <t>豹子贷,上海造艺网络科技,造艺网络科技,银码头，在不知情下被扣除299元所谓的信息报告费用。</t>
  </si>
  <si>
    <t>2019/10/08 14:42:16</t>
  </si>
  <si>
    <t>本人找人客服协助说不需要贷款了！他们让我等！结果第4天联系他们说取消不了！必须按他们合同走！我想提前还款！结果贷一千多。</t>
  </si>
  <si>
    <t>2019/10/08 14:42:08</t>
  </si>
  <si>
    <t>借款2000元，需要提前支付会员费540元。</t>
  </si>
  <si>
    <t>2019/10/08 14:41:37</t>
  </si>
  <si>
    <t>当初借的时候分期十二期等额本息，年利率不超百分之36，放款后出的账单明显不符合，前面三期就把一年的本金利息全部收了，还到处打电话骚扰通讯录，严重影响本人声誉，要求归还本金加国家合法利率，影响本人声誉，要求赔偿名誉受损费，精神损失费。</t>
  </si>
  <si>
    <t>2019/10/08 14:41:36</t>
  </si>
  <si>
    <t>聚富分期在我不知情也没有任何提示的情况下，恶意从我银行卡扣款299元，也没有为我提供任何有用的服务，请求退款。</t>
  </si>
  <si>
    <t>2019/10/08 14:41:04</t>
  </si>
  <si>
    <t>微信收了一笔钱，刚想提现，就被告知已经被冻结，钱取不出来。</t>
  </si>
  <si>
    <t>2019/10/08 14:40:55</t>
  </si>
  <si>
    <t>我不明白这个催收到底什么意思一直让我给他的微信转钱，并且这个公司对国家金融规定的东西不屑一顾，。</t>
  </si>
  <si>
    <t>2019/10/08 14:40:52</t>
  </si>
  <si>
    <t>暴力催收，威胁，骚扰通讯录其他人员，拒不和我们协商，威胁在几点之前不处理，联系第三方人员或爆通讯录等。</t>
  </si>
  <si>
    <t>2019/10/08 14:40:18</t>
  </si>
  <si>
    <t>投诉人邓先生投诉对象小黑鲨涉诉金额3500元问题类型诉求类型投诉详情小黑鲨借贷平台，借3500，说分三期，结果是10天一期，风险评测费770，这小高炮，本着欠债还钱打算协商还掉，6号催收来电话威胁全额还款否则联系第三方帮忙还，今天还是同一个催收威胁爆通讯录，说之前不是他负责现在案子升级给他了，口音一摸一样普通话都说不清楚，怎么那么二呢，这个投诉一是投诉小黑鲨放高利贷，温州信访办回复敏驿科技公司注册地已经不是这家公司，可以有线索继续联系信访办，小黑鲨可以协商还款麻烦联系我，上海的那个催收最好换人，听那乱七八糟</t>
  </si>
  <si>
    <t>2019/10/08 14:40:14</t>
  </si>
  <si>
    <t>慧金宝工作人员您们好，我被骗了，我在浏览器上看到一个网赚链接，说的网赚网站是11086.com我傻了吧唧的以为是移动彩票，我现在被骗了好多好多！过不了啊！帮帮我，好人一生平安！好人有好报！谢谢如果实在不行，我就将资料发给电视台了！！。</t>
  </si>
  <si>
    <t>2019/10/08 14:39:49</t>
  </si>
  <si>
    <t>投诉人 李女士        投诉对象  潭州教育        涉诉金额  500 元    问题类型    诉求类型投诉详情  说是5-7个工作日退款 现在第三个月了还没退</t>
  </si>
  <si>
    <t>2019/10/08 14:39:46</t>
  </si>
  <si>
    <t>玖富该公司通过垃圾短信进行催收，一个上午短信不止断，，利息高于本金，忘相关部门严重查处，同时望该公司立即停止短信和其他手段进行催收。</t>
  </si>
  <si>
    <t>在龙虾分期申请的借款半个多月前就已还清了，今天突然收到短信说再不处理要爆我通讯录，加微信后对方给了我龙虾分期app的链接，我截图说没有借款之后对方又说已经处理好了，打龙虾分期客服客服说这是骗子不是他们的人，怀疑龙虾分期将客户资料泄漏了出去，给了骗子可乘之机，要求龙虾分期不得泄漏客户资料，删除个人信息。</t>
  </si>
  <si>
    <t>2019/10/08 14:39:45</t>
  </si>
  <si>
    <t>蘑菇街平台，支持其平台里面的白付美非法放高利贷，700多块钱的本金，两年时间利息竟然高达500多，高达百分之35.5的年息，本人曾申请与其平台进行协商，归还国家法定的利息，竟然直接说不行，该方催债平台擅自拨打该户主的电话，该户主从未使用过蘑菇街，但是蘑菇街第三方催收打电话语气态度极其恶劣几次威胁，给我的生活工作都造成了严重的困扰！后本人向蘑菇街的客服多次反馈该情况，未曾想该平台竟毫不作为，一而再再而三不予处理也不给任何解释，为防止黑社会一般的蘑菇街白付美第三方催收人员继续做出恐怖的事，本人被威胁，被迫归还了</t>
  </si>
  <si>
    <t>2019/10/08 14:39:39</t>
  </si>
  <si>
    <t>APP上有一笔借款，本息及费用合计有26404.6元未还，我想要提前还款，这样可以减免后续的利息、费用，APP上没有提前还款选项，咨询客服，说是只能一期一期还，且每期金额仍然不变，因为实际每期的借款本金都在减少，而每期仍然按全部的本金收取利息和费用，导致实际利率远高于约定的利率，三、收取高额会员费，并将会员费计入本金收取利息，这也违规，我现在请求提前归还剩余本金，及支付按实际借款计算的本期利息、费用，此外其他的利息及费用不再支付。</t>
  </si>
  <si>
    <t>2019/10/08 14:38:58</t>
  </si>
  <si>
    <t>智行火车票软件在没告知我要加速包的情况下，收了我40元加速包的费用，要求退还。</t>
  </si>
  <si>
    <t>2019/10/08 14:38:28</t>
  </si>
  <si>
    <t>安逸花，马上金融消费公司一直打电话骚扰，威胁，已爆我通讯录，严重影响了我的生活，欠款会还，希望停止骚扰，。</t>
  </si>
  <si>
    <t>2019/10/08 14:37:59</t>
  </si>
  <si>
    <t>在维信豆豆钱上有两笔借款，因个人借款比较多，账单日分散，故每次还款都是按照平台的短信提醒去还款，前两个月维信豆豆钱的账单提醒短信都有收到，10月份的账单短信没有收到，致逾期产生逾期费用224.96元，为防忽略短信，拦截和误删，本人已经一再翻看短信记录和短信息回收箱，确无收到短信提醒，豆豆钱客服却表示短信已发送到位，我不是不还款，二百多的逾期费用也不多，但我不想做冤大头！明明是平台的服务有问题，凭什么要用户承担！。</t>
  </si>
  <si>
    <t>2019/10/08 14:37:48</t>
  </si>
  <si>
    <t>银行卡被无缘无故扣款没有任何短信和电话告知，扣的什么钱也不明不白。</t>
  </si>
  <si>
    <t>2019/10/08 14:37:47</t>
  </si>
  <si>
    <t>杉德支付给博彩平台提供支付通道，让我损失了几万元，打电话给他们让商户给我退款也不处理。</t>
  </si>
  <si>
    <t>2019/10/08 14:37:23</t>
  </si>
  <si>
    <t>诱导用户购买会员，又提供不了贷款服务，每个人都付那199那该有多大的涉案金额，我只需请求拿回我的199元，按消费者权益走，。</t>
  </si>
  <si>
    <t>2019/10/08 14:37:11</t>
  </si>
  <si>
    <t>暴力催收，半夜骚扰，恐吓，打电话侮辱，对家人朋友也进行恐吓。</t>
  </si>
  <si>
    <t>2019/10/08 14:37:10</t>
  </si>
  <si>
    <t>造艺科技,海南萨姆尔网络科技有限公司,聚富分期，已联系410-014-4888，客服认为扣299元是，合理合法的，因为有一个“合同”，但在人民银行查信征是免费的，你这个扣钱就是乱收费，在我国法律下，是违法的。</t>
  </si>
  <si>
    <t>2019/10/08 14:36:24</t>
  </si>
  <si>
    <t>需要交百分之10的费用，申请填写银行卡错误，需要更改，对方提出交费用，作为银行流水证据，上海市虹口区海宁路137号7层E座782D室，对方提供的。</t>
  </si>
  <si>
    <t>2019/10/08 14:36:22</t>
  </si>
  <si>
    <t>发短信爆通讯录，还恐吓，态度恶劣，平安i贷平台发短信下边写的是平安普惠。</t>
  </si>
  <si>
    <t>2019/10/08 14:35:57</t>
  </si>
  <si>
    <t>京东金融本来还有500最低还款，我打算还了，可是突然变成第二天，现在分不了期，要全部还款，实在无法承担，希望能还500多的最低还款。</t>
  </si>
  <si>
    <t>2019/10/08 14:35:28</t>
  </si>
  <si>
    <t>萌推商家安嘉家居生活专营店未获得授权在萌推售卖我公司产品藏莲百草伊视明舒目冷敷凝露，且盗用我公司商品图片以厂家自居。</t>
  </si>
  <si>
    <t>2019/10/08 14:35:09</t>
  </si>
  <si>
    <t>有个隐身上架宝贝，联系客服处理下架，联系不到，退店退不了。</t>
  </si>
  <si>
    <t>2019/10/08 14:35:03</t>
  </si>
  <si>
    <t>我在淘宝上老家他们店铺有卖的苹果8Plus手机，看着很便宜，所以买了一个，在付钱的时候他们说要我在淘宝聊天页面发红包，红包发980元，等到快递送来，还要我到付400元，而且手机就是组装的安卓手机，跟他们联系好之后我拒收了，他们说货到仓库了就给我退款，可现在找他们退款，商家的店铺在淘宝已经搬走，联系到客服还要我给她发100元的手续费才能退，我现在只要求把我的980元退来就可以了。</t>
  </si>
  <si>
    <t>2019/10/08 14:32:45</t>
  </si>
  <si>
    <t>投诉人 罗女士        投诉对象  抖音        涉诉金额  100 元    问题类型    诉求类型投诉详情  10月8号 在抖音 购买热门推荐 审核未通过 100元 钱 没有返回原位 也不能提现</t>
  </si>
  <si>
    <t>2019/10/08 14:32:19</t>
  </si>
  <si>
    <t>借款20000，每月还款2053，24期，已还8期，年利率超过36。</t>
  </si>
  <si>
    <t>2019/10/08 14:32:11</t>
  </si>
  <si>
    <t>我的小姨去世了，今天早上打电话给中信银行，因为家人现在想协商还款，借款人是我的小姨，多次给客服打电话，要求发送死亡证明，我也发了，居然让我填写代理已身故持卡人账务处理声明书，我现在就想知道我做为她的家人，连他现在在外面欠款情况都不能知道吗，我连什么时候借的，借了多少钱我都不知道我就要写这个账务处理声明书对吗。</t>
  </si>
  <si>
    <t>2019/10/08 14:31:40</t>
  </si>
  <si>
    <t>2000一个月期限，购物费500,实际期限是28天，2500一个月期限，实际28天，购物费500，逾期五天，利息两百多，共还5923，通讯录基本通知到了，还调查信息，让亲朋好友集资替我还钱，还和我朋友讲，说如果我不还钱，会对朋友有伤害，明明刚和我联系过，就给朋友打电话，说联系不上我，我说话声音大，催收又说我声音太大，不礼貌，问客服电话，催收说他就是客服，说催款过程中拿我孩子说话题，也是很正常的事，问利息是按照多少收取，催收说不知道，我的问题是，第一，利息太高，加一起四千五额度，共还5923，第二，拿孩子说话</t>
  </si>
  <si>
    <t>2019/10/08 14:31:33</t>
  </si>
  <si>
    <t>投诉人刘女士投诉对象浦发信用卡,浦发万佣金涉诉金额180000元问题类型诉求类型投诉详情本人17年借浦发万佣金一共23万，因为使用信用卡从2万提额到4万，一共27万，直到今年初因为生意亏损，还钱非常吃力，名下车也变卖，在三次逾期拼凑还过全额账单后无力继续按同期标准偿还，申请分期，被告知不允许，然后就持续3个月没有协商解决，而且催收说在账单还清的时候是可以申请重新分期的，但是再此之前我能够申请此方案的时候并没有告诉过我这个方案可行，我很惶恐，因为亏损和借贷关系，我面临巨额债务，精神折磨大半年，总想着重头再来，</t>
  </si>
  <si>
    <t>2019/10/08 14:31:15</t>
  </si>
  <si>
    <t>涉诉金额5000元问题类型诉求类型投诉详情要求协商解决此项事宜还款未到期就电话联系。</t>
  </si>
  <si>
    <t>2019/10/08 14:31:01</t>
  </si>
  <si>
    <t>本人在2017年跟大地保险公司贷款，在不知情的情况下购买了保险，在查询我的保单时发现多了这样一份保险，投保人是本人，被保人却不知道是谁，我本人现在要投诉大地保险公司捆绑贷款不要求退回我所交的保费。</t>
  </si>
  <si>
    <t>2019/10/08 14:29:19</t>
  </si>
  <si>
    <t>投诉人 张女士        投诉对象  造艺科技        涉诉金额  299 元    问题类型    诉求类型投诉详情  未经过我允许 我也没有输入密码就支付了 麻烦给我退回来谢谢</t>
  </si>
  <si>
    <t>2019/10/08 14:29:11</t>
  </si>
  <si>
    <t>发带有威胁性质的短信冒充公检法部门发律师函。</t>
  </si>
  <si>
    <t>2019/10/08 14:27:29</t>
  </si>
  <si>
    <t>对方不给注销账号，打电话客服很多次都无人响应，直接挂断。</t>
  </si>
  <si>
    <t>2019/10/08 14:27:20</t>
  </si>
  <si>
    <t>借款9800，已经还款2833，涉嫌高利贷，暴露催收，恐吓，爆我通讯录，严重影响我的生活和工作，希望警方介入，严格整顿网贷平台！。</t>
  </si>
  <si>
    <t>2019/10/08 14:27:18</t>
  </si>
  <si>
    <t>投诉人曹先生投诉对象百万钱包涉诉金额13000元问题类型诉求类型投诉详情百万钱包变相砍头息，借13000到账11000，前三期增加各五百的服务费，逾期费天价，暴利催收，后面是晋商银行放款，我想问问银行现在都放高利贷嘛，希望政府有关部门处罚晋商银行！减掉所有逾期费跟利息，我在处理还款！。</t>
  </si>
  <si>
    <t>凡普因为逾期一天爆通讯录，群发信息，并没有说不还，只是遇到点事，需要晚两天归还，逾期我们承担。</t>
  </si>
  <si>
    <t>2019/10/08 14:27:17</t>
  </si>
  <si>
    <t>支付宝,来分期,厦门快乐时代科技有限公司,新网银行，在支付宝上的来分期借款，累计借款31次，都是分6期，9期，12期还款，来分期一直强制6期起借还要缴纳高额风险保障金服务费，而且还不支持提前还款，提前还款也要支付后面的高额利息，而且当你APP上有额度的时候就会有工作人员打电话来套路你贷款了，以大幅提升额度和降低利息来套路你贷款。</t>
  </si>
  <si>
    <t>2019/10/08 14:27:15</t>
  </si>
  <si>
    <t>结果，到了广西这边截止报名那天并且还是在我多番催促下都迟迟未给我报名，最后在我提出当天报不上名就退费之下终于在截止日期当晚给我报了名，每次问都说报上去了，等领导回复，却在我要缴纳考务费的时候发现给我报到了外省去考试，，这点与开始报课程时说好的在我广西柳州当地报考不符，我也决不能接受，因为一开始我就告知他们我是两个宝宝的妈妈，一个还在吃母乳、一个还在读小学，而我自己一个人在照顾他们，所以我没办法去外地参加考试，也因此一开始报课程的时候我就要求能在我们广西柳州当地参加考试才报课程，谁知他们却一拖再拖，每次问都说</t>
  </si>
  <si>
    <t>2019/10/08 14:26:54</t>
  </si>
  <si>
    <t>9月24号去试听了成都外国语专业学校的日语N5班，然后不给人思考报名了，报名了就很高兴那种，太假了，没有资料没有书籍，还要自己买，总共上了八个小时的课程，一共有90个课时，上课觉得并不适合我，听课少余下自己都去学网络了，上课一头雾水，给我两个老师上了课，都找不准方向学习，所以我想去退剩余课时费，1110元整，交钱是一个人，而联系的是另一个人，没有合同，只有一张票，不正规的机构，不给人处理退，坏得很。</t>
  </si>
  <si>
    <t>2019/10/08 14:26:52</t>
  </si>
  <si>
    <t>投诉人 王先生        投诉对象  展业达人钱包        涉诉金额  9 000 元    问题类型    诉求类型投诉详情  高额加速费，其中还让交高额保证金，砍头子</t>
  </si>
  <si>
    <t>2019/10/08 14:26:37</t>
  </si>
  <si>
    <t>投诉人贾先生投诉对象Wecash闪银涉诉金额270元问题类型诉求类型投诉详情闪银瞬瞬之前协商没问题，之前也投诉了，答应协商，说了最近确实有问题，这个催收屡教不改，之前投诉他了，今天又开始威胁，威胁爆通讯录，一直爆到还，态度极其恶劣。</t>
  </si>
  <si>
    <t>2019/10/08 14:25:36</t>
  </si>
  <si>
    <t>2018年8月2号做完月子准备出所，听商家建议给娃办了张游泳卡，一共1000元，50元一次，能游20次，直至今年9月初，给娃预约游泳，运营总监说暂时游不成泳，原因是因为管道维修，但是一直过了一个多月，还是游不成，很多妈妈就问是怎么回事，他们态度一直含糊不明未能给出具体游泳时间，他们后续服务跟不上，我就想退卡，运营总监在此期间说过让我们等待退卡方案，但是每次一提退卡他们就故意避而不见，打马虎眼，一拖再拖，直到今天说客服给解决问题，我加了他们的客服，我一提退钱就没下文了，简直就是欺负人，把人当猴耍，我认为他们根</t>
  </si>
  <si>
    <t>2019/10/08 14:25:32</t>
  </si>
  <si>
    <t>投诉人 范先生        投诉对象  莱州信宇信息科技有限公司,闲鱼客        涉诉金额  1 468 元    问题类型    诉求类型投诉详情  app打开 什么记录都没有了 给个解释 提现什么时候能到账</t>
  </si>
  <si>
    <t>2019/10/08 14:25:02</t>
  </si>
  <si>
    <t>2019年10月02日15时13分，本人通过车置宝竞拍平台拍中一辆15款的凯迪拉克SRX，要求在当天20时13分前支付预付款，元，并约定于2019年10月06日交付车辆，于是在当天的17点20分我在车置宝成都武侯店刷卡交付了152700元的车款，到2019年10月06日当天在我的再三追问下，在下午的17点44分回复我说客户违约不卖了，在18时18分用短信通知交易取消。</t>
  </si>
  <si>
    <t>2019/10/08 14:24:10</t>
  </si>
  <si>
    <t>交了99押金退了半年没有退出来还在排队一千多万人遥遥无期。</t>
  </si>
  <si>
    <t>2019/10/08 14:24:05</t>
  </si>
  <si>
    <t>先花一亿元，借款3000，有信魔盒收取测评费用540元，一月期限！分三期，10天一期！费用非常不合理，借款期限也不合理，就是套路贷高利息想找客服处理退还，不能联系上！恶意催收，骚扰电话不断！打扰了正常工作和生活！停止催收，道歉！。</t>
  </si>
  <si>
    <t>2019/10/08 14:23:59</t>
  </si>
  <si>
    <t>投诉人徐女士投诉对象小浦优客涉诉金额296元问题类型诉求类型投诉详情注册了一个账户就被小浦优客平台自动扣款，注册之前没有这个费用，注册之后直接就扣了。</t>
  </si>
  <si>
    <t>2019/10/08 14:23:39</t>
  </si>
  <si>
    <t>投诉人洪女士投诉对象平安普惠涉诉金额120000元问题类型诉求类型投诉详情本人16年平安普惠用保单贷款12万当时业务告诉我利率8厘现在巳经还款159000还久4万多远远超过当时约定利息-其中产生的利息包括保险手续费—而且本人从没有购买保险只是做了贷款现在已经起诉开庭了。</t>
  </si>
  <si>
    <t>2019/10/08 14:23:12</t>
  </si>
  <si>
    <t>你我贷高利贷，借了一年，金额15000元，利息要还5384元，现在要求降至合理利息。</t>
  </si>
  <si>
    <t>2019/10/08 14:23:03</t>
  </si>
  <si>
    <t>一共有5单借款其中一单借款为例本金20000服务费7200按照聚投诉建议的IRR利率计算方式，利用招行个人贷款计算机验证，利率已经超过60%，远远超过国家法律规定36%，本人想提前还款，但是客服强调不能减免手续费不仅利率不合法，提前还款利率也不能减免希望对方能给我提供一个合法提前还款利率并依法退还已经支付的超过法定利率的利息。</t>
  </si>
  <si>
    <t>2019/10/08 14:22:39</t>
  </si>
  <si>
    <t>投诉人王先生投诉对象你我贷,优智借涉诉金额5400元问题类型诉求类型投诉详情去年11月在你我贷平台下优智借那边借款5400元，刚刚准备还款才注意到这平台每个月收取64.8元贷后管理费，头两期还分别收取了平台服务费185.76/401.76和贷后服务费216元，贷后管理费6.48×12=777.6加上平台服务费和贷后服务费总共是1581.12，再加上每个月29.78的利息，总共利息1938.48元，我按照招行贷款计算器计算5400块分12期，36%利息总共也就1109.94元，这已经超标828.54元了，按国</t>
  </si>
  <si>
    <t>2019/10/08 14:22:29</t>
  </si>
  <si>
    <t>投诉人 贺小勇        投诉对象  大鹅购        涉诉金额  5 600 元    问题类型    诉求类型投诉详情  大鹅购真正的高利贷，吃人不吐骨头。借1000用七天要还1300。各种暴力催收，威胁。给我生活造成很大影响。天理何在，打黑除暴，岂客这种毒瘤存在</t>
  </si>
  <si>
    <t>本人在我来贷平台贷了12200元，已还了3期，在第4期的时候遇到了困难导致逾期，招到了暴力催收，后来家里人帮忙出面处理，我第一时间跟我来贷客服协商还款提前一次性结清，可是客服给出的价格我接受不了，我来贷就非法盗取我通讯录，骚扰我不是紧急联系人，导致我名誉受损，我的意思很简单合理合法的利息一次性提前结清，提求平台做出道歉。</t>
  </si>
  <si>
    <t>2019/10/08 14:22:27</t>
  </si>
  <si>
    <t>1：频繁电话骚扰借款人及借款人家属朋友2：协商无果，客服态度恶劣3：罚息太多4：协商一次性还款。</t>
  </si>
  <si>
    <t>2019/10/08 14:21:55</t>
  </si>
  <si>
    <t>但接到催收的各种电话，以及恶劣的态度和上门威胁，这俩号码不间断的骚扰，请停止对个人的骚扰以及信息泄漏。</t>
  </si>
  <si>
    <t>2019/10/08 14:20:56</t>
  </si>
  <si>
    <t>本人于9月30号在恒昌旗下恒易贷app申请一笔3万借款，下午审批通过14000元，期限为24期，合同金额却是19783.46元，但实际到账是11767元，审批通过后，还要在其app申请提现，提现需要在贷款额度支付2233元前期费用，这个费率将近100%，远远超出国家所允许借贷利率，在国家严打的程度下，还明目张胆的做出如此行为，这是公然挑衅祖国的法律，为什么投诉量如此巨大，解决率却犹如鸿毛，是各监管不作为还是什么，在此恳请贵单位重视，望早日得到解决……衷心感谢。</t>
  </si>
  <si>
    <t>本人于2019年7月4日购买全能车年卡，在天津使用，全能车承诺可开多种车，使用几次后仅小青桔可以使用，到9月底已不能使用任何单车，多次联系客服无效，目前全能车所有车辆都不能开启使用，全能车正式成为全都不能车，电话、网络客服均无法联系，申请退款维权。</t>
  </si>
  <si>
    <t>2019/10/08 14:20:42</t>
  </si>
  <si>
    <t>7号到还款日，8号手动还款发现多了100的违约金。</t>
  </si>
  <si>
    <t>2019/10/08 14:20:21</t>
  </si>
  <si>
    <t>未经允许，私自扣款，恶意扣款，希望退款，希望能重视。</t>
  </si>
  <si>
    <t>2019/10/08 14:20:16</t>
  </si>
  <si>
    <t>本人在闪电借款有2笔借款现逾期4天和2天，今天贵公司来电催收，结果该催收说话语气如同流氓一般，还扬言走程序，通知联系人，在与该催收通话中，听到其他催收员对别人态度恶劣的辱骂。</t>
  </si>
  <si>
    <t>2019/10/08 14:19:37</t>
  </si>
  <si>
    <t>投诉人刘先生投诉对象拍拍贷涉诉金额19000元问题类型诉求类型投诉详情催收人员不得向债务人外的其他人员透露债务人负债、逾期、违约等个人信息，法律法规另行规定的情形除外催收人员应在恰当时间开展债务催收活动，不得频繁致电骚扰债务人及其他人员，催收人员在与债务人及相关当事人沟通时，应使用文明礼貌用语，不得采用恐吓、威胁、辱骂以及违反公序良俗的语言或行为胁迫债务人及相关当事人，拍拍贷本身就属于高利贷，催收打我通讯录电话属于泄露我的个人信息。</t>
  </si>
  <si>
    <t>2019/10/08 14:19:03</t>
  </si>
  <si>
    <t>我现在的诉求就是退款，我也没有享受你们的服务，为什么要扣我的钱。</t>
  </si>
  <si>
    <t>2019/10/08 14:18:46</t>
  </si>
  <si>
    <t>一直打电话骚扰我，还有我的家人，并且威胁我说如果不及时还款，将停止分期，强行要求我一次性还款，说是公司规定，还会打电话给我家人进行骚扰，服务态度也很差。</t>
  </si>
  <si>
    <t>2019/10/08 14:18:38</t>
  </si>
  <si>
    <t>闪银科技有限公司，借款有哼哼这个系列一笔1155元，电话打来，因为在等待工资到账需要两三天时间，催收毫无情面让必须今天还，威胁要打给父母联系人等等。</t>
  </si>
  <si>
    <t>2019/10/08 14:18:24</t>
  </si>
  <si>
    <t>投诉人孙先生投诉对象深圳卫盈智信科技有限公司/卫盈联信息技术,我来贷涉诉金额1350元问题类型诉求类型投诉详情盗取照片，侵犯隐私，威胁恐吓，好友被骚扰。</t>
  </si>
  <si>
    <t>2019/10/08 14:17:21</t>
  </si>
  <si>
    <t>不知道什么原因没点击借款直接往账户打款显示1500到账960。</t>
  </si>
  <si>
    <t>2019年10月6日我的手机摄像头玻璃因跌落导致破碎，7日前往山东临沂苹果售后工作站联系维修，工作人员告知无法维修，只能进行更换新机服务，随后致电客服人员，8日回电告知只能返回工厂由工厂鉴定是否可以维修，如果不能维修的话只能提供更换新机服务，随后通过TB网查询即可找到该摄像头配件，我认为对方作为产品供应商拒不提供配套的维修服务，以霸王条款的形式提供更换新机服务，且价格无判断依据，根据消费者权益保护法作为产品供应商应当提供对应的配套维修服务，如果确实需要更换新机的，也需要依照相关的法律进行折旧计算后补差价赔偿</t>
  </si>
  <si>
    <t>2019/10/08 14:17:07</t>
  </si>
  <si>
    <t>本人于2019年9月7日在腾讯课堂看到火鸟商学院免费公开课宣传报名他们学院实战班，从0基础开始学，亲自带，前期不懂不会，他们会亲自上手操作，不耽误挣钱同时让我慢慢学，腾讯官方认证不满意可以退，实际报名就对你爱答不理了，他们操作出来的东西也和他们课程讲的也不一样，我怀疑他们的专业性，请求退款，他们拒绝退款，称课程已经开始无法退款，腾讯课堂申请退款被拒，腾讯课堂介入也一直没有处理，该学院已经严重侵犯消费者权益，虚假宣传诱惑其报名，还不予退款。</t>
  </si>
  <si>
    <t>2019/10/08 14:16:33</t>
  </si>
  <si>
    <t>度小满金融原百度有钱花恶意骚扰我的家人朋友现在要求道歉并且赔偿图片上的这个电话今天打电话过来态度恶劣并且一直暗示和威胁恐吓我钱我现在是有的但是百度不拿出一个道歉的态度我不会还得目前想起诉，有一起起诉的朋友吗。</t>
  </si>
  <si>
    <t>2019/10/08 14:15:25</t>
  </si>
  <si>
    <t>祈福南湾半岛小区通勤车收费标准过高，因为此小区地处偏僻，在2017年买房子的时候承诺是有专门的小区通勤车往返于佛山市区与广州芳村以及镇上的超市幼儿园以方便小区居民生活，当时的收费标准广州8元，佛山市区6元，丹灶城区往返为2元，现在估计是房子全部卖出去了，开发商也不需要靠这个通勤车作为一个宣传的卖点，把营运资格外包给了另外的客运系统，还望有关部门给予关注，帮忙解决小区居民的出行问题。</t>
  </si>
  <si>
    <t>2019/10/08 14:15:17</t>
  </si>
  <si>
    <t>法人徐电平作风问题，到处欠款，催收电话一直通知，不予处理，接到电话张嘴就骂，侮辱人格，对我生活造成严重影响。</t>
  </si>
  <si>
    <t>2019/10/08 14:14:57</t>
  </si>
  <si>
    <t>本人与9月1号在钱站借款3000，分期三个月每期要还1900百多三个月利息达2700多，明显比高利贷还高，这个的金融公司国家怎么不处理，还要来危害社会，借款3000，合同上写3990明显是假合同，本人现在以还一期，下期开始还本金合法利息。</t>
  </si>
  <si>
    <t>2019/10/08 14:14:20</t>
  </si>
  <si>
    <t>我的微信不知道什么情况就被微信公司给冻结支付功能了，微信里面有9788取不出来，也提现不了。</t>
  </si>
  <si>
    <t>2019/10/08 14:13:32</t>
  </si>
  <si>
    <t>时光分期高利贷，借了13000元期限1年，发现利息要还将近5000块，这个不是严重的高利贷是什么。</t>
  </si>
  <si>
    <t>2019/10/08 14:13:10</t>
  </si>
  <si>
    <t>涉诉金额0元问题类型诉求类型投诉详情今天中午一个自称是急用钱委托的第三方说我在急用钱平台借了款，说我是在上月9月17号借了1950元要上门催收，本人并没有在此平台借款故进行投诉！。</t>
  </si>
  <si>
    <t>2019/10/08 14:13:09</t>
  </si>
  <si>
    <t>用电话骚扰，拿上门，公安来吓唬，辱骂家人，恐吓家人等暴力崔收。</t>
  </si>
  <si>
    <t>投诉人杨先生投诉对象百事普惠涉诉金额299元问题类型诉求类型投诉详情该公司在2019年9月25日16点50分突然无故扣费我银行卡里的金额290元，并且是在本人并不知情的情况下，利用百事普惠app盗取本人信息，以及银行卡免密支付的盗刷金额，造成本人经济损失，希望贵公司马上处理并退还资金，页面只显示可以进行贷款引导我绑定银行卡后自动扣除290元，我联系客服后，客服要求我必须在他们推荐的六家贷款平台都借款失败，并出具失败的证明才能退款，我的个人信用报告只有央行中国人民银行有权利查询，造艺科技出具的信用报告，我是否</t>
  </si>
  <si>
    <t>2019/10/08 14:13:08</t>
  </si>
  <si>
    <t>本人于2018年10月8号向趣花分期手机贷借款20000元，可是下款前一定要够买899元的会员费，这是变相的砍头息，现已剩最后一期，要求减免还款金额，结清销账。</t>
  </si>
  <si>
    <t>2019/10/08 14:13:04</t>
  </si>
  <si>
    <t>投诉人梁先生投诉对象新橙优品涉诉金额1130元问题类型诉求类型投诉详情爆通讯录！！第一天就爆通讯录影响正常生活。</t>
  </si>
  <si>
    <t>2019/10/08 14:12:58</t>
  </si>
  <si>
    <t>请的开荒保洁，10元一平方米，总共收费820元，，其他地方都是随便用布一擦，全部都是灰尘，地没扫，也没拖。</t>
  </si>
  <si>
    <t>投诉人朱先生投诉对象分期乐涉诉金额2000元问题类型诉求类型投诉详情9月份分期乐分期买了两张机票，然后退票了，退回到打款的银行卡，是分期乐里甬上票务的，南航信息退款已到账都发给我半个月了，分期乐一直不销账，提供的甬上票务电话一直无人接听，打了几十个，希望聚投诉联系分期乐和甬上票务。</t>
  </si>
  <si>
    <t>2019/10/08 14:12:09</t>
  </si>
  <si>
    <t>恐吓他们我母亲现在已经被气生病了！希望平台能帮助我。</t>
  </si>
  <si>
    <t>2019/10/08 14:12:03</t>
  </si>
  <si>
    <t>本人于7月24日左右在桔子快贷平台借款1000元，当时平台提前收取了199元前期费用为砍头息！现在已经累计展期4次，每次展期费用为234元左右！累计展期费用已经接近本金，再加上之前的199元前期费用，本人偿还总额已超本金！！！，现本人已无偿还能力，要求相关监管部门严格查处，要求平台把我的前期费用以及展期费用全部汇总抵扣本金！！！！近期连续收到该公司催收的连番电话轰炸及短信，，该电话为182******61的成都号码，已对本人生活跟情绪造成极大影响，如有再度催收，本人会再进一步进行曝光，在各大媒体平台揭露！！</t>
  </si>
  <si>
    <t>2019/10/08 14:11:57</t>
  </si>
  <si>
    <t>逾期两天就打电话给家人朋友，这些人也是不看原因，真的不是人。</t>
  </si>
  <si>
    <t>2019/10/08 14:11:43</t>
  </si>
  <si>
    <t>本人通过永恒优享，借款多次，每一次实际到账650元，借款天数只有8天利息高达270多元，现在国家严禁高炮平台，本人已经没有能力承担非法高利贷利息和砍头息，还款日当天因为催收威胁迫不得已全额还款多次，现在要求退换砍头息和非法高利贷部分，约3400元，图片是多次借款的证据分别是通联支付8.10，6.19日借的款本人一定会通过各种手段维护自己权益！。</t>
  </si>
  <si>
    <t>2019/10/08 14:11:25</t>
  </si>
  <si>
    <t>希望拼多多平台能追回款项，让不法分子得到严惩，也希望拼多多平台不要和不法分子同流合污。</t>
  </si>
  <si>
    <t>2019/10/08 14:10:43</t>
  </si>
  <si>
    <t>在该平台借款13000分十二期还款，每期都按时还款，在今年十月五号第十一期，因该平台关闭微信还款渠道，导致逾期三天，结果每天收取一百罚金，但是合同并未说明，只是说逾期滞纳金，将按照当期逾期本息还款总额的日万分之五收取。</t>
  </si>
  <si>
    <t>2019/10/08 14:10:34</t>
  </si>
  <si>
    <t>投诉人孟女士投诉对象小牛分期,小牛消费微服务涉诉金额380202元问题类型诉求类型投诉详情十月一号想提前还款，小牛分期微信公众号也就是小牛消费微服务系统一直崩溃就不去页面，五号是最后还款日，还是还不进去，六号早上小牛未打电话给我直接打电话给我朋友和父母进行暴力催收，并骚扰，我点进微信服务公众号显示可以还款，原本分24期每期还1584.17，但是微信公众号显示要我还三千一，为了停止暴力催收和骚扰我还了三千一，小牛分期停止了骚扰但是微信公众号显示还款成功，点进去看明细发现并没有还进去，客服电话也打不通，我想一次</t>
  </si>
  <si>
    <t>2019/10/08 14:10:26</t>
  </si>
  <si>
    <t>投诉人张先生投诉对象拍拍贷涉诉金额8000元问题类型诉求类型投诉详情在拍拍贷借款，8000电子合同写明借款年综合费率12.5%但实际还款金额是，前3期1138.39后面9期是829.32已经还了地七期显示未还还有4187.98，借款5000十二期综合费率写明9%每月还款金额566.64已还四期显示还有4561未还这是没逾期的还款金额，现已逾期，没钱还不上，从平台借的钱符合国家法律规定的我一定会还！我只想公平公正的解决问题不接受与合同不符的还款金额。</t>
  </si>
  <si>
    <t>因个人原因，未能全款还款，想与贷上钱平台协商分期还款，态度恶劣，暴力催收，恐吓。</t>
  </si>
  <si>
    <t>2019/10/08 14:10:12</t>
  </si>
  <si>
    <t>未经允许，私自扣款，希望退款，不然继续投诉。</t>
  </si>
  <si>
    <t>2019/10/08 14:09:17</t>
  </si>
  <si>
    <t>投诉人鲁先生投诉对象速金服,凡普金科涉诉金额1905元问题类型诉求类型投诉详情本人在速金服借款一千元，实际到账1000元，合同上签署的却是1870元，砍头息870元！接近本金金额！三个月期限还款，每个月需要还635元，利率高到不敢想象！不是高利贷能形容了！速金服也就是爱钱进，无视国家法律法规，肆意篡改合同，阴阳合同，非法高利贷砍头息，现要求按国家法定利率协商还款！！如果不处理我会继续投诉到银监会，或者起诉等手段维护自身利益！。</t>
  </si>
  <si>
    <t>2019/10/08 14:09:10</t>
  </si>
  <si>
    <t>18年11月提交退押金申请后至今仍在排队中！要求尽快处理！！！。</t>
  </si>
  <si>
    <t>2019/10/08 14:09:08</t>
  </si>
  <si>
    <t>我之前已经和客服协商还款，但催收还是打电话威胁还款如不还款就怎么怎么样，我只想协商还款，我有还款的意愿，但谁又没有个资金周转困难的时候。</t>
  </si>
  <si>
    <t>2019/10/08 14:09:01</t>
  </si>
  <si>
    <t>我是15年年少不懂事贷的这一笔钱，40000块钱分45期，每期1605.7元，现在已经还了23期了还了36931.1，结果还有22期没还，现在我仔细算了一下如果按照期数来还的话总共要还72256.5，四万块钱还完到最后居然要还七万两千多，多相当于利息在百分之八十左右了，超越国家规定利息几倍了，最近打了电话问一次性还清还要还两万五千多，利息太高了，我已经接受不了了，真不知道这个平台怎么还会存在，平时为还款弄得焦头烂额的，对生活的激情都没有了！真的很无奈，一入网贷深似海。</t>
  </si>
  <si>
    <t>2019/10/08 14:08:40</t>
  </si>
  <si>
    <t>九月21号，给我无厘头扣款299，我已经多次打电话给客服，要求追回，基本都是忽悠我的！9月27号我通过这个平台投诉他们，当时立马回应我了，但是十多天过去了，我的扣款还没有返还给我！！！！。</t>
  </si>
  <si>
    <t>2019/10/08 14:08:03</t>
  </si>
  <si>
    <t>对方亚太保险事发车主2019年8月14日下午大概1点在宝安机场停车场倒车不小心撞到我，导致这起事故的主要责任，由于当时对方车主说很忙，于是就给了我一个保险报案号0720192630420.就走了，然后叫我去定损就可以，由于我在老家一直没有时间去定损，我于201910月8号去定损却被告知该保险已经被撤销了，我想问一下出险了而车主没有去定损你们亚太保险就可以擅作主张没有经过我同意就撤销的吗，那我权益何在。</t>
  </si>
  <si>
    <t>2019/10/08 14:07:58</t>
  </si>
  <si>
    <t>无法取消大会员服务，无法退款，且大会员协议未在醒目处标识。</t>
  </si>
  <si>
    <t>2019/10/08 14:07:52</t>
  </si>
  <si>
    <t>投诉人 孔女士        投诉对象  花财        涉诉金额  1 000 元    问题类型    诉求类型投诉详情  恶意催款，高利贷，发照片威胁恐吓。请赶紧下架产品</t>
  </si>
  <si>
    <t>2019/10/08 14:06:52</t>
  </si>
  <si>
    <t>借了个微博备用金，一中午打四个电话，三个电话睡着了就没接，醒来看到短信恐吓。</t>
  </si>
  <si>
    <t>2019/10/08 14:05:44</t>
  </si>
  <si>
    <t>360借条这个软件暴力催收让我无可奈何由于生意遭受重创资金无法到位导致360借条一期还款无法及时还上，本人知道是自己的原因主动联系客服说明情况，客服也说可以协商并上报，后来几天一直没接到协商电话，却接到催款电话，本人也承诺尽快张罗钱还上，绝不是恶意拖欠，结果360借条就开始了电话轰炸，严重影响了个人的正常工作，本人生意重创是仓库失火，涉及消防、公安、和保险三方，有时处理灾后电话无法接到，但后期我都是主动联系360的客服，注：催款电话根本无法回拨，拨打本人电话和紧急联系人电话我都会接到通知，可360为何采取轰</t>
  </si>
  <si>
    <t>2019/10/08 14:05:37</t>
  </si>
  <si>
    <t>你我贷利息太高，骚扰通讯录好友，希望正常生活。</t>
  </si>
  <si>
    <t>2019/10/08 14:04:48</t>
  </si>
  <si>
    <t>因本人是苹果手机，在众人帮app做任务赚赏金，获得收入50元，今日提现未提现成功，做任务之前众人帮并未告知苹果手机不能提现。</t>
  </si>
  <si>
    <t>2019/10/08 14:03:47</t>
  </si>
  <si>
    <t>闪银哼哼态度恶劣，骚扰家里人，威胁借款人，说话方式像孤儿，为何世上有这种人存在，口音河北。</t>
  </si>
  <si>
    <t>2019/10/08 14:03:26</t>
  </si>
  <si>
    <t>投诉人董先生投诉对象西兰花涉诉金额2000元问题类型诉求类型投诉详情西兰花高炮网贷借2000到手只有1400只有6天时间属于国家扫黑除恶中严打对象他们app的地址和联系电话已经在图片中伪造合同。</t>
  </si>
  <si>
    <t>2019/10/08 14:03:01</t>
  </si>
  <si>
    <t>每天骚扰电话不断，持续电话骚扰家人，频繁更换地区号码进行骚扰！。</t>
  </si>
  <si>
    <t>2019/10/08 14:02:51</t>
  </si>
  <si>
    <t>投诉人 刘先生        投诉对象  拍拍贷        涉诉金额  2 458 元    问题类型    诉求类型投诉详情  拍拍贷对我通讯录好友骚扰严重影响正常生活</t>
  </si>
  <si>
    <t>2019/10/08 14:02:46</t>
  </si>
  <si>
    <t>投诉人徐先生投诉对象顺分期,畅捷支付涉诉金额2424元问题类型诉求类型投诉详情顺分期，，APP无法登陆，无法还款，也没有客服联系方式，今天有催收给我打电话，让我线下还款，也没有办法证明他是顺分期。</t>
  </si>
  <si>
    <t>2019/10/08 14:02:14</t>
  </si>
  <si>
    <t>明明自己服务达不到好评标准，还一个劲强制好评，以延保要挟消费者，欺骗未下单消费者，诱导消费者。</t>
  </si>
  <si>
    <t>2019/10/08 14:02:10</t>
  </si>
  <si>
    <t>投诉人欧阳菊投诉对象55金融信贷涉诉金额0元问题类型诉求类型投诉详情态度恶劣，所有人注意被骗，这就是骗贷公司。</t>
  </si>
  <si>
    <t>2019/10/08 14:01:44</t>
  </si>
  <si>
    <t>微贷对公账户：33050161883500000996。</t>
  </si>
  <si>
    <t>2019/10/08 14:01:38</t>
  </si>
  <si>
    <t>今天催收的在电话里引导我说出一些我不想还钱的话，我都跟客服说了，这个月我有多少还多少，催收的还是不依不饶的。</t>
  </si>
  <si>
    <t>2019/10/08 14:01:29</t>
  </si>
  <si>
    <t>2019年2月25日通过支付宝交的押金，现在客服电话联系不上，押金退款一直排队，从最开始申请退款押金开始排在1600多万人后，4-5个月了还在1300多万人，押金退款遥遥无期。</t>
  </si>
  <si>
    <t>2019/10/08 14:01:23</t>
  </si>
  <si>
    <t>已经好几次联系了拼多多，但拼多多客服一直说有专员处理，说专员1-3个工作日联系，但是专员一直没有联系，拼多多客服也一直说反馈给专员，我就想知道501元什么时候退给我。</t>
  </si>
  <si>
    <t>2019/10/08 14:01:16</t>
  </si>
  <si>
    <t>在小花钱包借了3000元，分期按月还款，没有一个月不还，这个月晚两三天还，催收人员就发短信说要通知我通讯录好友，还涉及我个人隐私，真是翻脸就不认人啊，请问我之前有拖欠过么，现在用这种手段来要挟我，还什么九百多就拖着不还，我要有钱我肯定还，缓我几天的时间都不给，我拿这3000块钱能跑去国外，好说好商量，都也是人，没什么事情是沟通不了，不要一上来就给我来这套，我不吃这一套，如果还发布涉及我个人隐私的信息，我只能选择报警处理。</t>
  </si>
  <si>
    <t>2019/10/08 14:01:14</t>
  </si>
  <si>
    <t>投诉人 邹先生        投诉对象  微现金        涉诉金额  1 800 元    问题类型    诉求类型投诉详情  借款1800，到账金额1300。28天，</t>
  </si>
  <si>
    <t>2019/10/08 14:01:08</t>
  </si>
  <si>
    <t>投诉人周先生投诉对象洋钱罐借款涉诉金额3000元问题类型诉求类型投诉详情本人半年前在洋钱罐上借款3000元，分六期返还！本月是最后一期！之前都已经归还！今天逾期三天，我本打算归还，可是第一天就打电话对我的家人进行骚扰，催收语气特别恶劣！对我和我家人造成了生活上的困扰！钱我应该归还，我也可以归还，但我希望贵公司进行我和我家人进行诚恳道歉！并把罚息减免！。</t>
  </si>
  <si>
    <t>2019/10/08 14:00:42</t>
  </si>
  <si>
    <t>在闲鱼客提现一千多不到账，淘米提现500多不到账。</t>
  </si>
  <si>
    <t>2019/10/08 14:00:24</t>
  </si>
  <si>
    <t>浦发银行暴利催收，打客服投诉或者协商态度非常恶劣，因为一些原因导致信用卡逾期，但是每个月都会尽能力偿还，无论多少，都会还，但是催收电话各种恐吓威胁，然后今天跟我说要法院起诉，目前逾期三个月，虽然有还钱，但是那边说的是无论还多少，只要没有还到最低还款额，就是无效还款，而且利息每天都在增涨，协商分期不同意，要求一次性偿还13万或者百分之五十，如果不偿还就起诉法院公事公办，已经影响了正常的工作。</t>
  </si>
  <si>
    <t>2019/10/08 14:00:13</t>
  </si>
  <si>
    <t>续期了很多次，连本带利已经还清了，协商销账。</t>
  </si>
  <si>
    <t>2019/10/08 14:00:01</t>
  </si>
  <si>
    <t>投诉人徐女士投诉对象唯品会涉诉金额332元问题类型诉求类型投诉详情在唯品会上购买了一条卡迪黛尔红色真丝连衣裙，网页图片显示和吊牌显示都是：连衣裙加外衣，即为两件套，里面是背心连衣裙，外面是很薄的短袖套衫，结果拿到货后发现只有里面的背心连衣裙，漏发了外衣，联系客服，客服说厂家回复没库存了无法补发，只能退货，我很奇怪，无库存应该是针对换或寄一件新的衣服，可现在是两件套，漏发了外衣，是配套的，可以说本来就是一件货，和有无其他库存应该没有任何关系，现在是他们过错违约，我不愿意退货，我依法可以要求他们继续履行，他们如</t>
  </si>
  <si>
    <t>2019/10/08 13:59:31</t>
  </si>
  <si>
    <t>该公司为赌博网站提供收款服务！长达几个月，竟然逍遥法外！现在竟然注销了企业！难道让这些违法犯罪分子继续逍遥法外吗，所有全部属实，本人愿意承担言论真实性责任！希望各个部门联合打击，铲除毒瘤！。</t>
  </si>
  <si>
    <t>2019/10/08 13:58:51</t>
  </si>
  <si>
    <t>投诉人 李女士        投诉对象  维信金科        涉诉金额  681 元    问题类型    诉求类型投诉详情  维信卡卡贷因为系统扣款不成功 沟通几次之下 客服让对公转账 对公转账之后 凭证都已发送到对方维信卡卡贷邮箱 维信卡卡贷依然催收电话与短信 称严重影响征信 目前已经影响到当事人的生活</t>
  </si>
  <si>
    <t>2019/10/08 13:58:35</t>
  </si>
  <si>
    <t>借1300到账1200，到期要还1339，利息太高了。</t>
  </si>
  <si>
    <t>2019/10/08 13:58:22</t>
  </si>
  <si>
    <t>9月1日借款7000元分26期还款，实际到账7000元，合同金额9310，实际还款每期2060，与合同本息＋服务费=1643金额不符，见附件。</t>
  </si>
  <si>
    <t>2019/10/08 13:58:21</t>
  </si>
  <si>
    <t>冒充好友，以医药费为由，发送给我中银来聚财付款码，让我转钱，。</t>
  </si>
  <si>
    <t>2019/10/08 13:58:16</t>
  </si>
  <si>
    <t>投诉人陈女士投诉对象牛人有品,畅捷支付涉诉金额1600元问题类型诉求类型投诉详情借款1600，到账1152，已经还了816，剩余本金336，先是还款日当天加了微信协商，只肯减免两百，让我还616销账，之后还款日到期第二天客服打电话给我，第一通电话告诉我350销账，让我先撤诉，几分钟后又告诉我上面领导不同意，要求我650元销账，之后协商未果，今天又告诉我要700销账，那请问我协商出什么结果了，投诉既然毫无作用，那就走法律程序，我好好和你们协商本金加合法利息你们不接受，依然要求我以高额利息处理。</t>
  </si>
  <si>
    <t>2019/10/08 13:58:11</t>
  </si>
  <si>
    <t>投诉人 张先生        投诉对象  微粒贷        涉诉金额  1 300 元    问题类型    诉求类型投诉详情  骚扰家人！一天好几个电话，没说不还，还打</t>
  </si>
  <si>
    <t>本人在光大银行办理信用卡，原本有3万六额度，在没有逾期，正常使用额度情况下，突然给我降到10800，带来还款压力，银行客服也没有任何合理解释。</t>
  </si>
  <si>
    <t>2019/10/08 13:57:55</t>
  </si>
  <si>
    <t>小花钱包第三方催收公司电话被自动标记为骚扰电话，手机自动屏蔽，没接到电话，后催收平台发短信威胁借款人，要爆通讯录，借款人已回信解释，但是对方仍然发威胁短信。</t>
  </si>
  <si>
    <t>2019/10/08 13:57:46</t>
  </si>
  <si>
    <t>你我贷逾期几天，在我电话畅通而且未经我允许的情况下，一直给我朋友打电话骚扰，恐吓，威胁，在工作时间不停的用不同的手机号打电话！给我朋友打电话侮辱我。</t>
  </si>
  <si>
    <t>2019/10/08 13:57:40</t>
  </si>
  <si>
    <t>投诉人 宋先生        投诉对象  腾讯        涉诉金额  0 元    问题类型    诉求类型投诉详情  本人QQ号被盗申诉了十几次仍然无法找回 打客服一直不接电话 里面有重要好友 邮箱有本人信用卡账单等隐私问题 要求客服人工核对一下尽快解决问题</t>
  </si>
  <si>
    <t>2019/10/08 13:57:24</t>
  </si>
  <si>
    <t>本人自用卡以来一直保持良好的还款习惯，去年因爷爷癌症家里花费了全部积蓄，与今年去世，父亲失业在家，母亲微薄的收入不够家里开销，老婆刚生完孩子，这段时间连续接到交通银行信用卡催收部来电，要求在下午两点处理欠款，否则停卡，1.28分又来电要求本人录一段录音：本人已无力偿还交通银行信用卡欠款，态度差，完全就是催收公司的态度，怎么看都不像是银行内部催收，工号H4707.每天电话十几个，在上班没时间接电话，一个接一个的打，一直打到接为止，本人有还款意愿，只是暂时经济困难，请求在本人能照顾家人及刚出生的孩子的前提下协商</t>
  </si>
  <si>
    <t>2019/10/08 13:56:13</t>
  </si>
  <si>
    <t>两千额度，收取购物费五百，还有一笔两千五，购物费500，现在是逾期状态，需要共还5923，期限是一个月，实际还款日期是28天，催收过程拿孩子和老人讲，上门催款顺便看孩子，等话题，给我老公打电话时，我老公说凑钱尽快还，催收挂断电话，继续联系家人，一点时间不融，哪怕给个还款时间也可以呀，4500额度，不到一月需要还将近六千，。</t>
  </si>
  <si>
    <t>2019/10/08 13:55:36</t>
  </si>
  <si>
    <t>点融魔借合同里面写年利率10%，实际借款9109.45，前期扣除服务费和所谓的保险费用2109.45，到手才7000元人民币，每月还款要855.53，1年要10266.37，年利息高达46.67%，希望有关部门给个说法，打击处罚这种黑平台。</t>
  </si>
  <si>
    <t>2019/10/08 13:55:13</t>
  </si>
  <si>
    <t>小花钱包利息高，逾期几天，各种电话短信骚扰恐吓，声称要骚扰我家人，现在不停的骚扰我的儿子，让他情绪低落失控，电话信息不停骚扰态度恶劣不跟人协商，简直是黑恶行为，出来给我道歉！赔偿精神损失。</t>
  </si>
  <si>
    <t>2019/10/08 13:54:23</t>
  </si>
  <si>
    <t>我在7月份的时候因为妈妈生病在医院抢救急需用钱，就在及贷app上借了8000元，分的12期还，每期还941元，到这个月是还款的第三期了，但是我上个月工资没有发，到本月4号的时候没有办法按时还款，后来有一个人加我的微信，提醒我这件事情我才想起来，后来跟以及公司确定本月的27号左右工资可以到账，对方发的语音，表示不接受，并且口气非常强硬，没得商量，要我跟他们风控部门的人解释，现在是在给我的通讯录好友打电话，严重影响了我的工作和生活，现在我也不想跟他们对话了，很简单，停止骚扰，我工资到账立刻就会还，毕竟我没必要用</t>
  </si>
  <si>
    <t>2019/10/08 13:54:22</t>
  </si>
  <si>
    <t>！！！我一没欠钱二没借钱！别人欠钱我不认识就一直给我打电话进行骚扰恐吓！！！！什么意思！！！！必须给我个解释并进行赔偿！已经严重影响我的生活！。</t>
  </si>
  <si>
    <t>2019/10/08 13:54:16</t>
  </si>
  <si>
    <t>我于2019年7月20号在如期分期申请一笔30000元整的贷款，7月21号16:29放款30000元，随即在16:36收到两条扣款信息，一笔是3000元，一笔是900元，合计扣了3900元，我和客服说本来是21号还款的，我18号就开始还款，后来才知道还款失败，联系的时候因为周末无法接通，现在23号显示逾期了，是否会上征信，客服就说会上的，我告知我并非恶意逾期，是如期分期平台的原因扣款失败，显示支持的银行卡，银行卡余额充足却扣款失败，非恶意逾期，如期分期是可以出具非恶意逾期证明，但是客服态度也不好，说逾期就是</t>
  </si>
  <si>
    <t>2019/10/08 13:54:11</t>
  </si>
  <si>
    <t>重庆金科天元道项目物业部，在签订装修入场许可合同时，规定必须有第三方资质公司才能除渣，否则只能找其内部合作，这个市场上有第三方资质的除渣公司大多是是市政环卫，不会接小区房业务，即使接业务，其费用实在太高，正常情况下，其他物业公司不会强调这个资质问题，只要不破坏公物，遵守秩序即可，天元道物业公司算是变相强制性引导业主选择其内部合作的除渣公司，有物业部让业主签订的“温馨提示”，并没有把其称作“合同”，他们之间是否有不正当的经济利益，不得而知，但也可想而知，此除渣公司不但价格高，服务态度相当恶劣:整个装修只除5次</t>
  </si>
  <si>
    <t>2019/10/08 13:54:03</t>
  </si>
  <si>
    <t>要晚上7点左右处理还款，因为我信号不太好没接到你们电话，你们催收平台的电话我回拨打不过去。</t>
  </si>
  <si>
    <t>2019/10/08 13:54:00</t>
  </si>
  <si>
    <t>我在上海金山区域这边骑哈啰出行自行车，以前这边都没有都在区域内，标准收费！现在手机显示超过区域额外收费十元～等我把自行车锁好，却显示收费二十元！咨询客服也没有说收费标准，最后来句最低10-20元！上海区域全部城市化都这样收费标准～那我们安徽农村岂不是离区域远的更多，收费更多～。</t>
  </si>
  <si>
    <t>2019/10/08 13:53:55</t>
  </si>
  <si>
    <t>通过新橙优品app还不了款，逾期了然后上了征信，然后通过联系客服客服安排贷后联系我，联系我后支付宝转账到联仲网络科技，有限公司2113元，答应说8号上班就给我销账，然后到现在还是显示逾期，征信肯定也没撤！我问过客服也确认过，给的支付宝账户就是他们公司的，一切都有截图为证！而且这个公司借款2000，实际还款3000多！。</t>
  </si>
  <si>
    <t>京东白条，每次出了账单都没有任何短信，电话，微信，app提醒，只有到了逾期才会来一条短信，而且逾期一天就上征信，如视频所示，第一个视频是短信，除了今天提示已逾期之外，没有任何短信提示出账以及最晚还款时间，全是广告，第二个视频是微信公众号，9月的支付记录之后，也没有再提示过出账以及还款时间，不提示谁知道要什么时候还款，你们的模式是完全有问题的，现在诉求是维护我的往期征信，否则投诉银监会。</t>
  </si>
  <si>
    <t>2019/10/08 13:53:10</t>
  </si>
  <si>
    <t>借款多次，退回砍头息，并销账处理，请及时联系我协商事宜。</t>
  </si>
  <si>
    <t>2019/10/08 13:53:06</t>
  </si>
  <si>
    <t>2019/10/08 13:53:02</t>
  </si>
  <si>
    <t>在飞猪app-汽车票功能中购买两张返京车票180元，不予以退款疑问1、飞猪收取了每张车票5元的服务费，在未取票未发车前为什么不提供在线退票服务，，第一时间发现购买错车站，消费者欲取消订单，但app现实无法取消，随即联系飞猪客服，客服回复：拒绝退票只能前往发车站；随即又联系车站工作人员表达了不能到现场退片能否线上退票，回复：车站支持退票，是平台设置了不允许退票，应该联系平台解决；再次联系飞猪客服，回复：不予以退款疑问：1、飞猪收取了每张车票5元的服务费，在未取票未发车前为什么不提供在线退票服务，2、飞猪客服回</t>
  </si>
  <si>
    <t>2019/10/08 13:52:52</t>
  </si>
  <si>
    <t>因家属住院导致家庭经济困难，致使信用卡逾期，八个月的时间，浦发银行不顾及国家法律法规，增长了20000余元罚金，简直比高利贷还狠，现与浦发银行信用卡协商还款，信用卡中心居然派遣第三方催收机构对我进行催收，该三方机构曾多次对我进行上门电话语言等威胁，现要求浦发银行与我直接联系，减免罚金，并对54000元本金进行分期偿还。</t>
  </si>
  <si>
    <t>2019/10/08 13:52:10</t>
  </si>
  <si>
    <t>投诉对象：上海你我贷互联网金融信息有限公司投诉人：，你我贷同户名：nwdvhaft91.你我贷在其宣传页面和电话销售中，声称年化利率为10.8%，2.下款时按照35.95%名义年利率就行总费用确定，3.还款时，第一期收费总费用2144.6元整，第二期收取2144.6元整，3-12期分别794.6元整，实际综合资金成本108%，超过国家红线3倍，违反2017年12月1日印发并实施的《关于规范整顿“现金贷”业务的通知》规定：各类机构以利率和各种费用形式对借款人收取的综合资金成本应符合最高人民法院关于民间借贷利率</t>
  </si>
  <si>
    <t>2019/10/08 13:52:09</t>
  </si>
  <si>
    <t>存在爆通讯录行为，恐吓，骚扰及威胁手段进行催收，请相关人员尽快处理。</t>
  </si>
  <si>
    <t>2019/10/08 13:51:47</t>
  </si>
  <si>
    <t>第一次借款金额为2万元，其借条金额2万元，同时向周茂良转回7000元利息费用。</t>
  </si>
  <si>
    <t>2019/10/08 13:51:44</t>
  </si>
  <si>
    <t>违法高利贷，暴力催收，在能联系到本人的情况下给家人打电话发短信骚扰，本来跟催收客服协商，10号还款，他们不同意，威胁给家人通讯录每一个打电话通知轰炸，暴力催收！！！！必须道歉！！！！！借款金额10800，还款总金额算下来，一万四千八百多，超过国家规定利息的百分之36，借款合同里没有写要还这么多，暴力催收，必须道歉！！！降息！！！！。</t>
  </si>
  <si>
    <t>2019/10/08 13:51:42</t>
  </si>
  <si>
    <t>不允许注销账号，打电话联系客服无数次都无人回应！。</t>
  </si>
  <si>
    <t>2019/10/08 13:51:32</t>
  </si>
  <si>
    <t>请求聚投诉跟进快速退款，商家一直拖着不理不睬，打电话也打不通，我毫无办法。</t>
  </si>
  <si>
    <t>2019/10/08 13:51:09</t>
  </si>
  <si>
    <t>本人通过网络寻找兼职，被他们忽悠下载名叫章鱼计划的app，声称刷流水邀请人挣取佣金等方式进行刷流水，该公司为app提供充值渠道，app已经下架跑路。</t>
  </si>
  <si>
    <t>我申请的星管家收了几笔钱，就把我账户冻结不给提现，我没偷没抢的，有什么权利冻结我的资金。</t>
  </si>
  <si>
    <t>2019/10/08 13:50:54</t>
  </si>
  <si>
    <t>问题订单登记反馈10多天未处理，不问也从不答复你处理问题的进度，还说已处理完，啥毛线消息都没有。</t>
  </si>
  <si>
    <t>2019/10/08 13:50:34</t>
  </si>
  <si>
    <t>投诉人张先生投诉对象钱站,华夏银行涉诉金额1300元问题类型诉求类型投诉详情本人借款实际1300，结果要还2500多，服务费就收取1000多。</t>
  </si>
  <si>
    <t>2019/10/08 13:49:54</t>
  </si>
  <si>
    <t>10月8日），都没有任何受理，迟迟不退卡，客服永远推诿，没任何交代。只会一句：帮你催！</t>
  </si>
  <si>
    <t>2019/10/08 13:49:53</t>
  </si>
  <si>
    <t>本人2018年12月在乐意花借款10000元，每月还款1239.2元，现在已还款9期，要求退还前9期保险费用，并撤销后三期保险费用，保险费用扣钱，本人并没收到保单单号，并不知情有保险费用。</t>
  </si>
  <si>
    <t>2019/10/08 13:49:40</t>
  </si>
  <si>
    <t>本人因身体原因导致信用卡逾期，现在又没工作了，他们就叫必须全额还清，而且不然明天就把起述书寄家里，还要拘留我，前两天发信息给我妈说要把我抓起来，我妈现在都气来生病住院了，今天所畏的法务部又打来电话叫我妈必须接听他们电话，我又没说过不还钱，现在站时遇到点困难。</t>
  </si>
  <si>
    <t>2019/10/08 13:49:31</t>
  </si>
  <si>
    <t>投诉人朱先生投诉对象芝麻信用涉诉金额0元问题类型诉求类型投诉详情芝麻信用随意泄露我的个人信息和联系方式，请做出解释。</t>
  </si>
  <si>
    <t>2019/10/08 13:49:10</t>
  </si>
  <si>
    <t>投诉人李先生投诉对象钱橙无忧涉诉金额84元问题类型诉求类型投诉详情无理扣款，找客服，客服直接是不准备解决，现在扣款84，客服还说只要银行卡里在存钱他们也会继续扣款到168，还说随便你怎么投诉。</t>
  </si>
  <si>
    <t>2019/10/08 13:48:44</t>
  </si>
  <si>
    <t>投诉人 孙先生        投诉对象  你我贷        涉诉金额  750 元    问题类型    诉求类型投诉详情  借款8500 分12期 已还3期4800元 还有9期还需还款6500多 利息太高</t>
  </si>
  <si>
    <t>2019/10/08 13:48:31</t>
  </si>
  <si>
    <t>阴阳合同，借款合同金额2660实际到账2000一个月一期要还2951.95，超过国家规定标准利息。</t>
  </si>
  <si>
    <t>2019/10/08 13:48:11</t>
  </si>
  <si>
    <t>借款人在马上消费金额借款20000，分24期已还22期，只剩2期，由于这几天资金不便逾期4天，现在到处到电话，打朋友，家人和单位电话，表示联系不到本人，今天8号根本未接到马上消费金融电话，电话一直保持畅通，已严重影响本人在单位的声誉要求进行赔偿和处理。</t>
  </si>
  <si>
    <t>2019/10/08 13:48:02</t>
  </si>
  <si>
    <t>从2019.5莫名其妙的多了一个小沃科技的增值服务，没有经过我的同意，而且在我毫不知情的情况下，第一个月收费58元，之后每个月收费29元，如果不是我对象今天看下账单详情，鬼知道这个小沃科技要吸血到啥时候！中国联通，小沃科技，请给我一个合理的理由，谁允许你在我的手机上扣费的！你过去几个月给我提供了什么服务！！。</t>
  </si>
  <si>
    <t>2019/10/08 13:47:59</t>
  </si>
  <si>
    <t>本人于2019年8月13日在快手平台充值5000元人民币，并于2019年8月15日购买了2940元的推广，在作品通过人工审核后，快手平台从我账户上扣款成功，而后以作品不符合有关规范为由立刻封停了本人账号，此时账户并未产生实际消费，目前本人账户内还剩余5000元人民币价值的快币，账号解封后本人多次要求快手平台退款，对方均以已消费为由不予处理，多次沟通无果后选择向聚投诉平台求助。</t>
  </si>
  <si>
    <t>2019/10/08 13:47:25</t>
  </si>
  <si>
    <t>万用金36期已还32期，由于投资失败，刚参加工作，目前展时还不上，能分36期还！。</t>
  </si>
  <si>
    <t>2019/10/08 13:47:22</t>
  </si>
  <si>
    <t>我是一名外卖骑手，跑单也有一定经验，手机配置好，刷新快，以前跑个跑腿单和外卖一个月也能挣点钱，勉强能养活家人，可在9月20号左右突然就看不见跑腿单了，咨询平台，平台说跑单不均匀，疑似外挂，可现在都快20天了，依然看不见和接跑腿定单的单子，一天自己生活费都老火，还得养老婆，两孩子，两老人，自己也没什么文化，加入了美团这个大家庭，实在无奈了，肯请平台恢复跑腿定单的配送，谢谢，。</t>
  </si>
  <si>
    <t>2019/10/08 13:47:12</t>
  </si>
  <si>
    <t>投诉人 黑女士        投诉对象  新浪分期        涉诉金额  20 000 元    问题类型    诉求类型投诉详情  新浪分期高额利息，爆我通讯录恐吓我</t>
  </si>
  <si>
    <t>2019/10/08 13:47:06</t>
  </si>
  <si>
    <t>本人在功夫贷贷了3万块钱实际到账2万多！现在已经还了4万！利息超出了国家利率！现在要求减免后三期！！协商不成准备起诉！。</t>
  </si>
  <si>
    <t>2019/10/08 13:46:33</t>
  </si>
  <si>
    <t>1、砍头息、高利贷2018年12月17日在APP“51人品贷”平台借款16500元，分12期还，第1期还2695.12，剩余11期均还1540.12，总共需要还款19636.44元，年利率远远超过国家法定规定36%，同时借款方第一期还款金额实行高额砍头息！2、暴力催收贷款在逾期后第2天后拨打电话进行威胁，骚扰家人及通讯录联系人，恶语相向并进行恐吓，严重影响工作及生活！在此过程中向催收询问第一期还款金额，催收自动称第一期是砍头息！3、投诉无果整个过程中，联系客服至今未得到回复，踢皮球式对待，截至现在本人已经联</t>
  </si>
  <si>
    <t>2019/10/08 13:46:24</t>
  </si>
  <si>
    <t>立借高利贷，借款后显示还款计划，12个月的还款期限，却要在3个月内还清本金加利息。</t>
  </si>
  <si>
    <t>2019/10/08 13:45:43</t>
  </si>
  <si>
    <t>招联金融的催收骚扰我通讯录中非紧急联系人，且给他们发短信，泄漏我的个人情况，还发短信威胁要上门核实情况，，对于招联金融目前的催收行为，需要立刻停止，且作出道歉即相应赔偿，其实该问题很简单，招联金融觉得要起诉我，可以直接去法院起诉，大可不必去骚扰我通讯录里的联系人，现在我以收集了相关的骚扰证据，如果继续骚扰，我会不等招联金融起诉我，我会直接起诉招联金融的！。</t>
  </si>
  <si>
    <t>2019/10/08 13:45:26</t>
  </si>
  <si>
    <t>逾期两天，不听解释，暴力催收，严重骚扰联系人，给周围同事朋友带来严重的困扰！给自己生活，工作带来严重后果。</t>
  </si>
  <si>
    <t>2019/10/08 13:44:46</t>
  </si>
  <si>
    <t>投诉人鲁先生投诉对象钱站,爱钱进,华夏支付涉诉金额3450元问题类型诉求类型投诉详情本人于8月12日在钱站借款2000元，实际到账2000元，钱站的合同金额却是3380元，签署阴阳合同，非法高利贷，两千分三个月还，每个月要还1150，年利率可怕，比高利贷还恐怖，三个月利息家所谓的服务费需要1380元！！！本人已还两期1150，现在希望按国家法定利率进行还款，最后一期销账处理！如果不处理我会用起诉等法律手段维护自己的利益！。</t>
  </si>
  <si>
    <t>2019/10/08 13:44:32</t>
  </si>
  <si>
    <t>保费扣的太高了要求退回银行卡，当时只看到利率还可以，下款过后才看到扣了这么多保费以为不算在里面现在我只借了31000结果24期要还53000，要求退保费不然不还款等你起诉我。</t>
  </si>
  <si>
    <t>2019/10/08 13:43:46</t>
  </si>
  <si>
    <t>投诉人乔先生投诉对象51即刻有,给你花涉诉金额6700元问题类型诉求类型投诉详情骚扰电话，暴力催收，恐吓，停止骚扰，销账。</t>
  </si>
  <si>
    <t>2019/10/08 13:43:20</t>
  </si>
  <si>
    <t>投诉人 董先生        投诉对象  虾米在线        涉诉金额  5 000 元    问题类型    诉求类型投诉详情  虾米在线超级高利贷网贷 借款4000没有通过本人同意直接放款 到手只有1890元 只有5天时间使用 他通过迅联支付放款和收款 希望有关部门能够重视严查</t>
  </si>
  <si>
    <t>2019/10/08 13:43:14</t>
  </si>
  <si>
    <t>2018.10月在魔借平台借款七千，分9期，一直按期还款，到今年最后一期的时候，当时已经还款八千多，最后一期想协商减免一部分，还清后给我提供注销信息相关证明，该平台无法给我提供，中途该平台私自从我银行卡划走卡上金额，很长时间后其工作人员来联系我说可以申请减免，但是要让我表达还款诚意后可以向领导申请减免事宜，当日我又还了几百进去APP，又隔半个月，换了一个工作人员来跟我沟通，直接说不能减免，我说经济困难，能否申请，之后就对我进行威胁要上报我的资料，百般无奈，我只能打开APP发现该平台把我的借款金额直接修改成一</t>
  </si>
  <si>
    <t>2019/10/08 13:43:05</t>
  </si>
  <si>
    <t>本人在3月4日在一刻分期申请15000元借款，总还20531.01，其中利息5531.01，年利率高达36.87%，10月4日逾期后工作人员爆通讯录威胁，还不接受降息还本，提前还款。</t>
  </si>
  <si>
    <t>2019/10/08 13:42:37</t>
  </si>
  <si>
    <t>本店是美发店，昨日被不明身份的人，发布到今日头条说本店乱收费，强制性收费，说是黑店，本店从没有乱收费的现象，这是无中生有，颠倒黑白，而今日头条在不审核事情真伪的情况下，随意用户发布，现已对本店名誉和生意造成严重影响，本人愿对已上述说如有假负法律责任。</t>
  </si>
  <si>
    <t>2019/10/08 13:42:33</t>
  </si>
  <si>
    <t>投诉人王江琪投诉对象钱站涉诉金额98000元问题类型诉求类型投诉详情本人王江琪从钱站第一笔借款已于2017年8月4日.借款75600&amp;nbsp;.扣掉砍头息5600.实际到账70000.&amp;nbsp;每月还款3404.已还21期.总额71477.还差15期未还逾期一个月&amp;nbsp;&amp;nbsp;第二笔借款是2018年借款31360&amp;nbsp;实际到账28000&amp;nbsp;每月分期还款1336&amp;nbsp;&amp;nbsp;总额还21376&amp;nbsp;&amp;nbsp;还差20期未还，两笔借款本金是九万八&amp;nbsp;&amp;nbsp</t>
  </si>
  <si>
    <t>2019/10/08 13:42:22</t>
  </si>
  <si>
    <t>投诉人 王龙        投诉对象  微信商业收款码,微信支付        涉诉金额  10 666 元    问题类型    诉求类型投诉详情  自动提现关闭。并没有客服给予解决并处理。反正就是封你的钱就对了。联系客服也不理。而且推广客服也不给说法。也不理会。对此作为用户非常不满意。并未感服务的存在。</t>
  </si>
  <si>
    <t>2019/10/08 13:42:18</t>
  </si>
  <si>
    <t>投诉人 田先生        投诉对象  马上消费金融        涉诉金额  240 元    问题类型    诉求类型投诉详情  以前每次还多，不知道 需要多处理一个灵活还款包20块钱 每一期都要多欠一个灵活还款包的费用</t>
  </si>
  <si>
    <t>2019/10/08 13:41:45</t>
  </si>
  <si>
    <t>5月23日，至今，中途说过洗内饰，现在又不洗了，本人要求清洗车辆外观及内饰或者退卡退现金！</t>
  </si>
  <si>
    <t>2019/10/08 13:41:43</t>
  </si>
  <si>
    <t>本人在2018年6月12号在融360里面借有叫爱分期平台钱，借款8000，实际到账7280元，分12期还款，第一期还款3570元，第二三期分别还2490元，后面9期分别还178元，由于之前不懂法律国家规定年利率是多少，盲目借款，有砍头息不知道，剩余三期未归还，现要求平台按照国家规定百分之24的年利率算利息，本金7280元，按照年百分之24利率算利息是1747.2元。</t>
  </si>
  <si>
    <t>2019/10/08 13:41:29</t>
  </si>
  <si>
    <t>投诉人吴先生投诉对象立借,违法催收,恐吓涉诉金额14000元问题类型诉求类型投诉详情9月份借的立借平台，十月一日到期还款日由于假期未能还上导致逾期，当天该客服致电时恐吓我说再不缴费就上门和打联系人，平台实际借款金额10000！分十二期还款！前三期基本还清本金，剩余都是利息！平台今天把电话通讯录打了多遍，协商解决只还本金不同意后还出言恐吓……有立借一同要报案的赶紧，反正我已经去备了案，这嚣张的催收发信息的都是实真实手机号码！。</t>
  </si>
  <si>
    <t>2019/10/08 13:41:15</t>
  </si>
  <si>
    <t>借4500到手3600还5100+，高利息，而且还恶意催收，天理何在！。</t>
  </si>
  <si>
    <t>2019/10/08 13:40:23</t>
  </si>
  <si>
    <t>我在功夫贷上贷款3万元！2年我的利息已经还了9000多啦！实在还不了啦！超出了国家的利率！提前结清！协商把我后三期给免啦！。</t>
  </si>
  <si>
    <t>2019/10/08 13:40:12</t>
  </si>
  <si>
    <t>9月20号买的卡，不能用，给我换的卡29号到，流量也用不了，都到8号了，不给解决客服也不说话。</t>
  </si>
  <si>
    <t>2019/10/08 13:40:05</t>
  </si>
  <si>
    <t>钱站高利贷，借1000分3个月还要还1800多。</t>
  </si>
  <si>
    <t>2019/10/08 13:40:01</t>
  </si>
  <si>
    <t>上海城建公交司机杨荣富因扫码支付失败服务态度极其恶劣多次吼叫。</t>
  </si>
  <si>
    <t>2019/10/08 13:39:54</t>
  </si>
  <si>
    <t>本人一直是闪银app借款老用户，还款信誉良好，但是本人于本月7号申请一笔借款，金额为2200元，到今天为止一直不到账，但是前期费用已生成账单，共分为两笔，每笔为125元，本人从使用闪银借款以来，从未超过3个小时就会放款，但是这次一直未放款，请闪银给出解释，并撤销前期费用账单。</t>
  </si>
  <si>
    <t>2019/10/08 13:39:40</t>
  </si>
  <si>
    <t>在51即刻有借款6000元，分期12期还款，第一期还了1052元，后面11期，每一期要还款632元，利息太高了。</t>
  </si>
  <si>
    <t>2019/10/08 13:39:31</t>
  </si>
  <si>
    <t>本人下载豹子贷app，在误导的情况下，并没有贷款成功，而且卸载app，情况下，却在我没有输入银行密码的恶意扣出299，公众号人工客服说可以申请退款，次日到账，8号我打了客服电话，又说客服没有权利给予退款，这里存在第三方平台，没有告知，是否存在欺骗。</t>
  </si>
  <si>
    <t>2019/10/08 13:38:54</t>
  </si>
  <si>
    <t>投诉人宋晨燕投诉对象微贷网,多米贷涉诉金额1454元问题类型诉求类型投诉详情今年4月8号我再多米贷贷款7900元，分了6期每期还1454元，贷款金额是7900元，可实际到账7110元，我已经还了5期了，因为我在外贸工作，这两年贸易都不好做，我从去年接触的网贷，因为工作不赚钱我就借的网贷周转生活，就这样借东墙拆西墙，到现在我是在撑不下去了，我光今年还网贷都还了10几万了，里面有我借的网贷也有我挣的和我和家人借的，我实在还不动了，我已经还了7200多了，还剩一期了我没钱还了，希望平台能给我消账，看在我还清了你们</t>
  </si>
  <si>
    <t>2019/10/08 13:38:36</t>
  </si>
  <si>
    <t>投诉人 潘先生        投诉对象  PonyCar        涉诉金额  50 元    问题类型    诉求类型投诉详情  ponycar倒闭账户余额未退还 现app无法使用 公众号无法使用 客服电话无法使用</t>
  </si>
  <si>
    <t>2019/10/08 13:38:35</t>
  </si>
  <si>
    <t>投诉人 王女士        投诉对象  拍拍贷        涉诉金额  0 元    问题类型    诉求类型投诉详情  经常收到拍拍贷随意发来的信息和电话</t>
  </si>
  <si>
    <t>2019/10/08 13:38:27</t>
  </si>
  <si>
    <t>未收到款，还要求还款，套路贷，要求做出赔偿。</t>
  </si>
  <si>
    <t>2019/10/08 13:38:08</t>
  </si>
  <si>
    <t>投诉人 罗先生        投诉对象  支付宝        涉诉金额  20 000 元    问题类型    诉求类型投诉详情  暴力催收 爆通讯 恐吓老人 暴力催收 爆通讯 恐吓老人 暴力催收 爆通讯 恐吓老人</t>
  </si>
  <si>
    <t>2019/10/08 13:37:47</t>
  </si>
  <si>
    <t>当时没认真看，后面打过好几次客服他们一直拿这个条款协议说事儿，，这个条款就是扣款协议，后面我也在不知情的情况下扣了款，本来是要扣299的，但是这个卡里没那么多钱，所以只扣了二百五十元，之后打客服说想要退款需要走平台的流程，把自己的身份证，手持身份证照片复印件寄给她们，可是这么一个贷款平台谁敢把这些东西寄给他们呢，他们还说只有这一种退款方式，不同意就不能退款，可是在软件内我并没有找到相关退款协议，所以我不同意这种方式，可是他们客服又说自己没有权利操作又不能转接给领导，就这么一直拖着。</t>
  </si>
  <si>
    <t>2019/10/08 13:37:29</t>
  </si>
  <si>
    <t>本人在应急白卡上借款3000到手只有1890。</t>
  </si>
  <si>
    <t>2019/10/08 13:36:52</t>
  </si>
  <si>
    <t>投诉人田女士投诉对象钱易贷涉诉金额3000元问题类型诉求类型投诉详情首先因为本人个人原因借款好易贷，由于后期本人资金困难不能还款导致逾期，对于好易贷平台我是错，但是后面本人一直跟客服协商还款，要求减免逾期费用，逾期费用太高，借款3000元到账2100元，7天后逾期费用一天200元已经无力偿还钱易贷催收人员一直言语要挟，说话很张狂，联系客服根本联系不到，希望贵平台能出面解决。</t>
  </si>
  <si>
    <t>2019/10/08 13:36:39</t>
  </si>
  <si>
    <t>投诉人 王女士        投诉对象  拍拍贷        涉诉金额  12 000 元    问题类型    诉求类型投诉详情  不希望骚扰我通讯录的人，只能和我单线联系</t>
  </si>
  <si>
    <t>本人在4月4日在有钱用借款5000元，其中利息2163.92，年利率高达43.28%，10月4日逾期工作人员爆我通讯录，威胁搞我家人还要搞掉我工作，并不接受降息提前还款。</t>
  </si>
  <si>
    <t>2019/10/08 13:36:26</t>
  </si>
  <si>
    <t>给通讯录所有人发短信，未经本人允许爆通讯录，希望平台给我一个解释。</t>
  </si>
  <si>
    <t>2019/10/08 13:35:55</t>
  </si>
  <si>
    <t>为什么它这个注销账户还要提交身份证正反面，还要手持身份证照片。</t>
  </si>
  <si>
    <t>2019/10/08 13:35:22</t>
  </si>
  <si>
    <t>拇指下款在本人不知情的情况下，利用协议漏洞盗取本人银行账户金额，拨打客服要求处理，态度不认真，满嘴跑火车，说一些有的没的，想忽悠被欺骗的消费者！当进入软件时，我只填了资料，绑定了银行卡，并没有选择购买，银行卡余额不足扣款失败，然后第二天银行卡有钱就给我直接没有任何验证消息给划走了银行卡的钱！！！！霸王条款，利用协议漏洞盗取本人的银行卡余额！。</t>
  </si>
  <si>
    <t>2019/10/08 13:34:45</t>
  </si>
  <si>
    <t>淘宝没有任何理由得降低我的淘气值，我的信誉评级一直是极好，，快上1000成为超级会员了，突然评级变成了一般，那段时间购买东西是挺多的，那段时间都是买东西收到货立马确认收货，，1个月降200多分，之前和客服反映过，一直没有处理，让我继续保持购物，降低了淘气值和信誉评级，900多分再有两个月就上超级会员了，现在淘气值降低后导致我本来应该成为超级会员应该享有的权限无法使用，要求恢复淘气值和信誉评级！这不是侵犯了消费者的权益吗。</t>
  </si>
  <si>
    <t>2019/10/08 13:33:56</t>
  </si>
  <si>
    <t>1.9月23购买物品，9月24清关，从9月24至今无任何快递信息2.因快递停滞申请退款，卖家已发出无法拦截拒绝退款，申请平台介入后，仍然拒绝，3.10月8号客服人员打电话威胁，说如果商品到了，我拒收由我承担返回的物流相关费用，且我的申请退款不可能退款4.针对斑马会员，个人觉得客服真的态度恶略，不是不处理就是随便处理，根本没有维护消费者的权益，而是卖家最大！。</t>
  </si>
  <si>
    <t>2019/10/08 13:33:30</t>
  </si>
  <si>
    <t>投诉人 徐先生        投诉对象  淘钱钱        涉诉金额  1 650 元    问题类型    诉求类型投诉详情  淘钱钱借款1650要求还款3000。协商不通要p图发给我亲戚朋友。</t>
  </si>
  <si>
    <t>2019/10/08 13:33:28</t>
  </si>
  <si>
    <t>多次加我微信，然后引诱我，引我上这个平台，帝豪娱乐城，一直在操纵，然后算计我，骗取了我所有资金，多次给我说这里的什么东西都是很真实的叫我加他微信加他QQ，还有很多就是一直在操弄吧61626K.Com，希望给予我的帮助，我一个人还是残疾人，现在在这个还有很多平台，所以说希望在微信里面能够追回一些赃款微信，从此以后不要为对方提供平台。</t>
  </si>
  <si>
    <t>2019/10/08 13:32:57</t>
  </si>
  <si>
    <t>投诉人 曾稳心        投诉对象  支付宝        涉诉金额  362 元    问题类型    诉求类型投诉详情  乱扣钱莫名其妙，一大早起来就发现钱少了。</t>
  </si>
  <si>
    <t>2019/10/08 13:32:38</t>
  </si>
  <si>
    <t>每一期还款都亏20的灵活还款包，我用他们产品几年了，不知道这个灵魂还款包我就花多少钱了。</t>
  </si>
  <si>
    <t>2019/10/08 13:32:37</t>
  </si>
  <si>
    <t>10月6日，本金还清，另还了两千利息，实在没有更多的还款能力，协商再补一点利息销账，对方拒绝协商，坚持要还清一万四，并且威胁要交给催收骚扰通讯录亲友。</t>
  </si>
  <si>
    <t>2019/10/08 13:32:32</t>
  </si>
  <si>
    <t>平台处理不公平，接不到单，就是在热区也接不到单。</t>
  </si>
  <si>
    <t>2019/10/08 13:32:06</t>
  </si>
  <si>
    <t>因个人原因造成了资金周转不开欠了兴业银行信用卡的款项，我多次找兴业银行想要协商还款，起初是不同意分期还款，后又强迫我在多少天内还清一定的款项，我实在没能力，他们就开始电话骚扰，而我每隔一段时间就会还一部分，同时我还是一直在联络兴业银行协商还款的问题，银行的人没有找过我，今天收到一个所谓法务部的人来电话，还声称会上门，我实在是忍无可忍，找了银监会，又来聚投诉寻求帮助！我没恶意逾期，定期也有还一些，可银行的人有把我逼死的节奏，希望银行可以多给一些时间，这样逼我，我没有办法安心的工作挣钱还款。</t>
  </si>
  <si>
    <t>2019/10/08 13:31:50</t>
  </si>
  <si>
    <t>前天查我自己信用卡，发现有这么多拼多多账单，可我没有收到货，我也没有买过东西啊，我一查询然后问家里小孩，原来他是在赌博平台支付了，居然还是用信用卡，因为是扫码支付，因为是信用卡支付，他不能扫给各人只能付款给这种商户！我十分气愤，难道平台不审核商户资质吗，我也是拼多多老客户了。</t>
  </si>
  <si>
    <t>2019/10/08 13:31:45</t>
  </si>
  <si>
    <t>投诉人柯维辉投诉对象聚优钱袋,四川广晨信息科技有限公司涉诉金额99元问题类型诉求类型投诉详情开会员费&amp;nbsp;&amp;nbsp;然后客服联系不上&amp;nbsp;&amp;nbsp;说是开会员可以办理贷款下来。</t>
  </si>
  <si>
    <t>投诉人王先生投诉对象Wecash闪银涉诉金额2000元问题类型诉求类型投诉详情虚假宣传的利息，变相的高额砍头息，违法高利贷！我借款1000元，30天，显示利息30元，本息合计1030，是彻彻底底的违法违规高利贷啊！要求闪银恢复法律法规正常利率，撤销各种高额乱收费。</t>
  </si>
  <si>
    <t>2019/10/08 13:31:31</t>
  </si>
  <si>
    <t>贷款逾期，协商还款催收态度恶劣，不同意协商结果，在未经本人同意下，爆打通讯录，说我有骗贷行为，严重损害个人名义，要求立刻停止骚扰。</t>
  </si>
  <si>
    <t>2019/10/08 13:31:20</t>
  </si>
  <si>
    <t>因为近期资金紧张，实在无力按时还款，逾期费用愿意承担，之前一期逾期，逾期费用我也承担了并还掉了，这次刚逾期3天，就大面积拨打我通讯录，密集频繁，已给我造成非常恶劣的影响，我已群发朋友，一旦接到你们电话保留语音通话记录，收集证据报警处理，不停止骚扰，恕我拒绝还款，想要追款请按合法流程来，你们保留对我的追款权益，我保留对你们蓄意骚扰，泄漏贩卖我个人信息的法律追责，维护我自身合法权利。</t>
  </si>
  <si>
    <t>2019/10/08 13:30:55</t>
  </si>
  <si>
    <t>2019年10月8日9点35分，收到短信，翼支付扣款19.98元。</t>
  </si>
  <si>
    <t>2019/10/08 13:30:27</t>
  </si>
  <si>
    <t>投诉人方凯投诉对象甜橙金融涉诉金额21199元问题类型诉求类型投诉详情9.30号我在翼支付申请了一笔借款，当时提示借款失败，我也就没管，结果过了两个小时候发现，钱怎么到账了，我自己打开手机，手机上查询不到我的借款信息，我这笔钱也还不进去，当时第二天我就给客服打电话反馈了，客服说在他们后台查询了，确实是借款失败，应该不是他们的钱，一直到10月7号才给我解决了，现在我还了21199我想问一下，这明明是他们发生的错误，说的借款失败，钱打过来了，我后来不用钱了，要还，还不进去，说的利息只有千分之4，怎么才8天，就2</t>
  </si>
  <si>
    <t>2019/10/08 13:30:20</t>
  </si>
  <si>
    <t>聚富分期虚构合同私自扣钱说了给我处理一直不处理我要维权。</t>
  </si>
  <si>
    <t>2019/10/08 13:29:59</t>
  </si>
  <si>
    <t>1、9月21日签约付款，9月23日才联系上所谓的“班主任”2、通过尚德App联系，多次重复让我加她个人微信，明明已经加了她微信，还不断重复要求加微信，不断询问报考学校和专业，3、班主人回复信息不及时，基本上都是隔天或者隔几天才回复，4、面试指导老师添加微信后毫无音讯，直到10天后才回复一条信息，面试时间紧迫，花钱购买这样的服务简直就是浪费时间，但申请退款后迟迟得不到回复，9月25日提出退款，至今仍在拖延推诿。</t>
  </si>
  <si>
    <t>2019/10/08 13:29:37</t>
  </si>
  <si>
    <t>投诉人谢积冈投诉对象捷信金融涉诉金额30000元问题类型诉求类型投诉详情2018年2月份贷款30000元，现已还20期/1353.13元！现资金短缺，望降低利息！不要老打电话骚扰我的家人！已经严重影响了我的生活！！。</t>
  </si>
  <si>
    <t>2019/10/08 13:29:25</t>
  </si>
  <si>
    <t>投诉人吴先生投诉对象云闪付,中国银联涉诉金额290000元问题类型诉求类型投诉详情加入一个微信群，里面有人用云闪付图片作为头像声称国家福彩在线平台！可以每日在线玩转福彩游戏，充值每个月还能得到云闪付抽奖送积分换现金活动，说付款都是云闪付，支付宝国家允许的平台，哪知道玩了一段时间跟身边朋友提起这个平台后，朋友说国家福利彩票根本没有网上平台，在一打电话给福彩中心客服也说网上平台根本没有，基本百分之99都是网赌平台，最后我的钱通过云闪付充值到了违法赌博平台，据我所知赌博平台在中国是不合法的，但是银联是合法的，可是</t>
  </si>
  <si>
    <t>2019/10/08 13:28:18</t>
  </si>
  <si>
    <t>本人有张信用卡好，确实逾期了，但国庆期间突然接到153******14电话他说是工商银行的，我就问他工号，然后不肯说，最后说不把我当人看，而且要求我去杭州延安路316号，我立马也去了，结果他们电话不接，短信回了一个，昨天我也去了此地方，也没人！后来我也打95588确认是不是他们人员，他们说可能史三方催收，今天早上我从杭州飞西，结果开机就收到很多朋友说工商银行打电话要钱，爆通讯录，而且通讯录哪里来的。</t>
  </si>
  <si>
    <t>2019/10/08 13:28:16</t>
  </si>
  <si>
    <t>我在9月30号在金银钱包APP上申请了一笔借款2500元，一直到现在8天了一直在风控审核中，借钱时间是5天写的只到账1375元服务费要1125元，我现在不要这笔借款了，要求平台出来解释取消借款。</t>
  </si>
  <si>
    <t>2019/10/08 13:27:30</t>
  </si>
  <si>
    <t>投诉人石先生投诉对象壹心分期涉诉金额6300元问题类型诉求类型投诉详情壹心分期收取高额砍头息，本人于7月27日借款2100元，到账秒扣625元，3000账单逾期28天就要1000多的滞纳金，本人之前申诉归还本金无果，按平台要求只减免了滞纳金，因为怕暴力催收，所有的利息和高炮还是照付了。</t>
  </si>
  <si>
    <t>2019/10/08 13:27:05</t>
  </si>
  <si>
    <t>本人自2017年10月，11月于广州速得分期签订手机分期合同，购买苹果8p及6s各一台，总值约11000，并缴纳保证金1000元，办理期间多次说明办理12期，，每月还款982元，随后发现合同再次无故变成24期，协商未果，家人多次被骚扰，如按照每期982，24期即23568元，加1000保证金24568，扣除购机实际金额，利息达到13568元，等于60%以上利息，严重超出国家规定，恳求国家为民除害。</t>
  </si>
  <si>
    <t>2019/10/08 13:26:59</t>
  </si>
  <si>
    <t>2019年十月初下载小浦优客app申请借款，按步骤填写资料，然后最后要求绑定银行卡，因为发现只是中介平台便删除了此app，没想到十月八日扣除296元个服务费，可是之前申请步骤并没有说明有这个费用，正规贷款也不应该有费用，没有享受到任何服务何来服务费，涉嫌违规欺诈。</t>
  </si>
  <si>
    <t>2019/10/08 13:26:22</t>
  </si>
  <si>
    <t>2018.9.3在京东购买了今巴蟹业，当时搞活动买二赠二，下了两单316元的，还有一单334元，一共花了966元，后来在预定的过程中一直网页显示已约满，让明年再预约，好不容易等到2019.10.8号开通预约通道，又是显示全部预约满，过了售后时间了京东客服也不处理，商家也联系不上电话永远占线，12月份就提不了了，通道显示11月份全预约满，自己吃的约不上就算了，好几张送人的也约不上，简直丢人，建议京东加强管理，不要再让这种无良商家欺骗消费者。</t>
  </si>
  <si>
    <t>2019/10/08 13:26:11</t>
  </si>
  <si>
    <t>投诉人邢先生投诉对象万惠及贷涉诉金额1645元问题类型诉求类型投诉详情借款35000实际到账33355，而且利息很高。</t>
  </si>
  <si>
    <t>2019/10/08 13:25:41</t>
  </si>
  <si>
    <t>本人自从2015年使用分期乐到现在已经四年，四年来光利息就已经付了7000多，而现在如果全部还款还要还8000多，利息都快超过本金了，利率达到百分之百了，本人因病已经失业三个月，实在身无分文，而手机号152******50和139******82早就给了妹妹使用，而分期乐每天都打很多电话骚扰我的父母妹妹，妹妹因为年纪小所以看到了催款短信特别害怕，家人也因此怪罪我不再管我，导致我现在走投无路，丢人现眼到家了，我这几年一直还款，还过得利息都那么多了，分期乐却还在搞套路，表面是最低处理200，实际上贷上加贷，循环</t>
  </si>
  <si>
    <t>2019/10/08 13:25:40</t>
  </si>
  <si>
    <t>借钱买了很多游戏币，说第三方游戏币必须购买，购物金额不知道是购买了什么！游戏币也不知道什么游戏一下交这么多钱。</t>
  </si>
  <si>
    <t>2019/10/08 13:25:34</t>
  </si>
  <si>
    <t>投诉人 徐先生        投诉对象  喵下贷        涉诉金额  1 300 元    问题类型    诉求类型投诉详情  高息。借款到账1300五天要求还款2000元。爆通讯录发验证码信息轰炸</t>
  </si>
  <si>
    <t>2019/10/08 13:25:25</t>
  </si>
  <si>
    <t>玖富集团和宝付支付未经过持卡人，直接进行非法扣款，在没有任何同意的情况下私自扣款，导致本人现在不敢用卡，总是无缘无故扣款，而且玖富万卡高利息，逾期费用不给扣除，导致我无法进行还款，催收人员态度极度恶劣，严重影响生活。</t>
  </si>
  <si>
    <t>2019/10/08 13:24:51</t>
  </si>
  <si>
    <t>你们平台还派单还是不派单，如果你们平台不派单了你们就告知一下，不要让我们这些司机出来压马路，你们平台有没有一点良心，我们为你们平台付出这么多，有你们这样的吗几个小时不派单，一派单就是两点七八公里去接，送一下三四公里，送了以后有等几个小时派一单，你们这样对我们这些司机有意思吗，，你们自己看看从早上八点二十七分到下午一点二十七你们派了两个单，而且我们还是在市区，从早上五点多到下午一点多流水几十块钱，，开了一百三四公里几十块连油钱都不够，我们向你们平台反应了多少次了你们有给我们司机处理了吗，。</t>
  </si>
  <si>
    <t>2019/10/08 13:24:35</t>
  </si>
  <si>
    <t>本人一直使用着用钱宝，用钱宝也没像网上说的那么不堪利息还看得过去，申请了10多次都是失败给我涨额度不给放款吊胃口一样吊着我，额度涨了不给放款有什么用不如不涨一直有借有还还不让借了，天天就给我推荐其他的网贷还是高利贷。</t>
  </si>
  <si>
    <t>2019/10/08 13:24:08</t>
  </si>
  <si>
    <t>投诉人范先生投诉对象爱钱进涉诉金额1200元问题类型诉求类型投诉详情希望有关部门能严格把控，不肯透露客服电话，说是北京爱钱进有限公司，但是软件抬头只有爱钱进金融有限公司，打了钱，然后客服又消失了。</t>
  </si>
  <si>
    <t>2019/10/08 13:23:59</t>
  </si>
  <si>
    <t>168元麻烦帮忙联系让其退回到钱橙无忧乱来的。</t>
  </si>
  <si>
    <t>2019/10/08 13:23:04</t>
  </si>
  <si>
    <t>违规提供支付渠道，在没有本人的同意下，从我到账的金额中提取砍头息费用1775元，这么大的公司还给这种黑心小贷提供支付渠道我在壹心分期平台分三次借款共计6300元，现在714高炮这么严查，这么大的公司还给这种黑心小贷提供支付渠道，我在壹心分期平台分三次借款共计6300元，都是快钱支付打卡到账的，到账秒扣575元两次，625元一次，都是在本人不之情的情况下操作的，希望快钱支付可以给本人一个合理的解释和赔偿。</t>
  </si>
  <si>
    <t>2019/10/08 13:22:27</t>
  </si>
  <si>
    <t>百度有钱花骚扰我的正常生活了，恐吓我，态度很恶劣！。</t>
  </si>
  <si>
    <t>2019/10/08 13:22:16</t>
  </si>
  <si>
    <t>投诉人李先生投诉对象乐客独角兽涉诉金额9800元问题类型诉求类型投诉详情本人于2019年4月17日在抖音上偶然看到属于乐客独角兽的抖音账号名为：创业找催磊的视频直播，直播中说可以带我们做创业项目，说项目有多好市场有多大，但是每个人必须缴纳9800元的门槛费，才有资格成为乐客的会员！为什么说诱导我们成为会员，是因为当时在直播间，他们搞了一个星火计划，主持人一再强调只有最后10个名额了，所以才有了缴纳费用的冲动！这里说明一下星火计划：只要在三个月之内做满80单就能返还9800元的会员费，正是因为主持人在直播间一</t>
  </si>
  <si>
    <t>2019/10/08 13:21:07</t>
  </si>
  <si>
    <t>拿到快递，第一时间肯定是拆开纸箱检查物品是否对的，联系客服说外面的纸箱拆了就不给退，里面的打印机外包有一层塑料膜，一点都没拆的，试问一下，不打开外面的纸箱，谁会知道里面的物品合适不。</t>
  </si>
  <si>
    <t>2019/10/08 13:19:58</t>
  </si>
  <si>
    <t>金融分期利息很高，提前结清息费也很高，希望提前结清别收那么高的息费。</t>
  </si>
  <si>
    <t>2019/10/08 13:19:48</t>
  </si>
  <si>
    <t>投诉人许女士投诉对象实际资料和填写时不符合，涉诉金额3800元问题类型诉求类型投诉详情3800额度，我申请时，期限是一年，下款后看合同是两年，下款当时，就扣除2057，钱我是借了，我这每月赶上给你玖富打工了，广告做的是挺响亮，利息高的吓人，。</t>
  </si>
  <si>
    <t>2019/10/08 13:19:29</t>
  </si>
  <si>
    <t>无故收取所谓服务费299没有通知直接扣客服还不许退款，本人银行卡余额不足只扣了100客服说之后还要扣。</t>
  </si>
  <si>
    <t>2019/10/08 13:19:27</t>
  </si>
  <si>
    <t>在招商银行App小程序高德打车使用招商银行提供的打车券10元面值，当时系统问题无法使用，联系招行投诉，高德处理，答应48小时内到账，当时处理账号为186和177，开头的。</t>
  </si>
  <si>
    <t>2019/10/08 13:18:42</t>
  </si>
  <si>
    <t>本人因生意失败导致欠款招联金融钱款，期间招联金融工作人员加我微信说真有困难可以减免部分利息，但是要一次性还清他们要求的金额，我当时因身上没钱但是也不想拖欠就找朋友借了钱把金额还上，可是时间过去好几个月了他们还没把我的账户清平，当时说的减免利息也都没有减免，强烈要求平台能反应这个事情，要是不能减免就不能减免，没必要欺骗客户，这边说减免，那边又减免不了，而且事情脱了几个月，要求尽快处理，请平台给予反馈。</t>
  </si>
  <si>
    <t>2019/10/08 13:18:26</t>
  </si>
  <si>
    <t>在拍拍贷借了5000元，现在已经归还4973元，想提前结清，还让我还1730元，这合理吗。</t>
  </si>
  <si>
    <t>2019/10/08 13:17:41</t>
  </si>
  <si>
    <t>要求有钱用平台减免利息，进行协商提前结清费用的问题。</t>
  </si>
  <si>
    <t>2019/10/08 13:17:40</t>
  </si>
  <si>
    <t>投诉人李先生投诉对象活力花,上海秦苍信息科技有限公司,西藏美第奇互联网涉诉金额3540元问题类型诉求类型投诉详情本人因个人家庭经济原因需要周转，于2019年6月24日在活力花借款平台借款2736元，分3期偿还，于2019年7月24日偿还第一期994.07元，剩下两期因个人原因逾期了几天，本可以还款剩余借款，可从逾期第一天起，活力花平台就开始收取高额逾期费，导致本人无法正常还款！每天收取10元+0.2%本金的高额逾期费是本人无法接受的，也是超过国家规定的！！！目前总还款金额已高达3540.03元，高出借款金额</t>
  </si>
  <si>
    <t>2019/10/08 13:16:23</t>
  </si>
  <si>
    <t>连续很多天发短信说我要把我身份证信息发到当地，我也和他们联系过了，并且没有说不还，跟他们说明现在的情况和经济条件，对方每天都催我还钱，还打电话给我通讯录朋友同事谎称是我哥哥，一起在网上借了点钱，叫我同事朋友帮我还。</t>
  </si>
  <si>
    <t>2019/10/08 13:15:32</t>
  </si>
  <si>
    <t>3月28日，一个陌生人加我微信，说每天有牛股推荐，、消息面、抓牛股方法、介绍股票，其中以吴彪最有人气，刚开始抱着将信将疑的态度观看直播，发现他们有时候的确所荐股票第二天涨势很好，不久，吴彪老师在课堂上说在证券市场只能做多赚不到钱，有意展示融券做空所赚的收益，然后还给大家看收益截图，平时群里几个比较活跃的也都说想跟着吴彪老师做，说自己炒股这么久，一点钱没赚到，还不如去试试这个能做空的市场，吴彪老师说全部清仓带布局，并切了其他学员的图，说别人赚了很多来诱惑我，25709.14元现金转过去，助理小欣说金额太小不能</t>
  </si>
  <si>
    <t>2019/10/08 13:14:53</t>
  </si>
  <si>
    <t>9月22日结清，借款时除了利息外，还有保险费用1199元，发放贷款时扣除，现要求全额退还保险费用</t>
  </si>
  <si>
    <t>2019/10/08 13:14:37</t>
  </si>
  <si>
    <t>利用抖音平台宣传其公司的创业项目，然后夸大宣传他们的项目有如何如何暴利，再进一步诱导需要交9800一年的会员费，就可以享受他们的项目资格，再进一步以其公司所谓的星火计划名额只有几个为欺骗的理由，致使冲动盲目签合同，最终给到的物料及扶持寥寥无几，涉嫌夸大宣传以及欺骗诱导。</t>
  </si>
  <si>
    <t>2019/10/08 13:13:55</t>
  </si>
  <si>
    <t>投诉人刘先生投诉对象51人品贷,杭州恩牛互联网金融服务有限公司,杭州品牛资产管理有限公司涉诉金额7450元问题类型诉求类型投诉详情尊敬的聚投诉平台领导您好本人在51人品贷借款两笔，第一笔80000元，合同金额确为84000元，12个月实际还款10700多，除高利外违规收取服务费等4000元，第二笔69000元，合同金额为72450元，除高利之外3个月实际还款76950，合同未签订之前什么也看不到，国家扫黑除恶之际，需要该公司收敛一些，退回老百姓的血汗钱，本人诉求是退回违规收取的服务费，高利息我自己认了，如何</t>
  </si>
  <si>
    <t>2019/10/08 13:13:46</t>
  </si>
  <si>
    <t>10月8日，10月5日国庆期间，申请500元贷款审核通过，待下款，直到10月8号中午才下款，当日上午有联系卡牛随手记客服，要求者取消借款，客服处理不了，中午看到卡牛APP提示5号申请500元放款到账，查看银行卡得知收到500元立即被划扣30元，我若提前还款显示有本金500，息费6.03，提前结清违约金10.03，实际本金只有470，1天都没有，放款时让其取消都不行，就是霸权高利贷，砍头息完套用居间合同和咨询合同扣费。</t>
  </si>
  <si>
    <t>豆豆钱诸多借口大范围骚扰亲朋好友，给本人工作生活带来巨大压力，为什么征信显示527块，先前已经扣除了299服务费，难道还有服务费，过了还款日一天，逾期费用就加了100，这是借多少钱的逾期费用呢，另有，大范围骚扰联系人，另本人名誉严重受损，就是还了钱，名誉受损就受损了吗，强烈要求豆豆钱赔偿名誉损失费，还骚扰了我将近70岁的老奶奶，令奶奶精神萎靡，惶恐不安，身体愈下，出了事的话这又应该谁来负责，说是联系紧急联系人，我留了有上十个紧急联系人的电话吗。</t>
  </si>
  <si>
    <t>2019/10/08 13:13:40</t>
  </si>
  <si>
    <t>天天骚扰，恐吓，威胁我，让我每天都无法正常上班及生活。</t>
  </si>
  <si>
    <t>2019/10/08 13:13:26</t>
  </si>
  <si>
    <t>投诉人应先生投诉对象快闪卡贷涉诉金额13217元问题类型诉求类型投诉详情本人因周转不良于2019.4.8日在快闪卡贷app，其借款于2019.4.12下发到我卡&amp;nbsp;，但是到张12000后却被&amp;nbsp;前海新流大数据保险代理&amp;nbsp;无故扣除1776不知是什么的费用&amp;nbsp;此也许是保险的费用本人在事先完全没有知晓、了解，在秉着&amp;nbsp;欠债还钱&amp;nbsp;天经地义&amp;nbsp;的个人道德义务前提下已还5期起贷款&amp;nbsp;&amp;nbsp;，这几天再次登录快闪卡贷app竟然发现分成6期的贷款每一期竟</t>
  </si>
  <si>
    <t>2019/10/08 13:12:49</t>
  </si>
  <si>
    <t>申请快闪卡贷15000元借款，审核通过后，实际到账12626.45元，在事先未告知本人的情况下，以购买保险的名义分别扣除153.55元和2220元，其中153.55元为个人贷款保证保险，保期6个月，快闪卡贷联合中国人民保险集团，以购买保险的名义，变相砍头息，现要求退还保险费用，不妥善处理，本人将向保监会继续投诉。</t>
  </si>
  <si>
    <t>2019/10/08 13:12:12</t>
  </si>
  <si>
    <t>苏宁买的生鲜是腐烂的明显是已经腐烂，变质生鲜苏宁客服不解决，态度强硬。</t>
  </si>
  <si>
    <t>2019/10/08 13:11:09</t>
  </si>
  <si>
    <t>被骗296莫名奇妙打电话给客服也不接希望能退回来。</t>
  </si>
  <si>
    <t>2019/10/08 13:10:29</t>
  </si>
  <si>
    <t>2019年5月8日在快闪卡贷，借了15000元，实际到账12626元，六个月每月需还3009.01已经严重超出国家规定，多次联系无果，还要问我要逾期费用。</t>
  </si>
  <si>
    <t>2019/10/08 13:10:23</t>
  </si>
  <si>
    <t>投诉人 郑女士        投诉对象  嘉盈顺        涉诉金额  150 元    问题类型    诉求类型投诉详情  早上九点整银行卡莫名其妙被没听过的（特约）嘉盈顺 扣款150元 要求解释并返还</t>
  </si>
  <si>
    <t>2019/10/08 13:09:46</t>
  </si>
  <si>
    <t>173******56这个号码群发我通讯录，及贷。</t>
  </si>
  <si>
    <t>2019/10/08 13:09:43</t>
  </si>
  <si>
    <t>使用车辆显示能够续航90+公里，实际使用30+公里车辆不能使用后，联系该公司客服，打20+电话没有理第二天继续联系后，在第二天早上10点左右联系通，叫我自行叫拖车，拖车费用200，我自费拖车费用之后，还继续叫我支付车辆费用1.停止车辆使用后，联系不到该公司客服，客服没有人接我电话，车辆还在继续计费。</t>
  </si>
  <si>
    <t>2019/10/08 13:09:15</t>
  </si>
  <si>
    <t>此前有一个自称平安普惠公司的人经常打电话到我公司，说我有贷款未还，可是当我用我自己手机打回去想他索要借款证据，遮遮掩掩，并且当我询问他们我是什么时候借的款他们说2016年，当我再问他们是怎么得到我公司电话的居然说是我自己填写的，真的是可笑，这家公司我2019年5月才入职，根本不可能在2016年贷款时填写进我的个人资料。</t>
  </si>
  <si>
    <t>2019/10/08 13:09:06</t>
  </si>
  <si>
    <t>我经窝窝营销业务员介绍，在窝窝营销app上用身份证申请的商户，收款的金额26199元不给下发，关闭我的结算查询功能，客服都联系不到，所有资金都是合法所得，现在却没办法拿到我的钱，希望聚投诉能参与帮忙。</t>
  </si>
  <si>
    <t>2019/10/08 13:08:28</t>
  </si>
  <si>
    <t>，一直显示提现失败，闲鱼客客服也联系不上，麻烦各位领导主持公道！谢谢领导们。</t>
  </si>
  <si>
    <t>2019/10/08 13:08:19</t>
  </si>
  <si>
    <t>投诉人杨先生投诉对象招联金融涉诉金额29800元问题类型诉求类型投诉详情招联金融委托的第三方确实牛，不停的对我进行恐吓，电话录音里完全涉及到有想爆通讯录让我名誉扫地的暗示，从头接电话到结束，一直在说我拒绝配合，我都说了需要协商延期偿还本金，非常牛的，在我这里不可能，几天时间可以处理，几天，等等之类的，我逾期是我的不对，但我从未逾期就已经提前致电给招联金融，并且昨日先和招联金融协商，请不要让工号1781的人给我打电话，态度非常恶劣，结果今天早上一来上班，呀，小伙子确实敬业，一来再次说，怎么样，我都说了，这个还</t>
  </si>
  <si>
    <t>2019/10/08 13:08:18</t>
  </si>
  <si>
    <t>投诉人梁女士投诉对象聚富分期涉诉金额299元问题类型诉求类型投诉详情之前在聚富分期上申请借款，结果在填写资料的过程中，突然就收到短信被扣了50块，因为当时卡里只有50并提示我还有249没扣，后来我卡里有钱了，249也直接扣掉了，说是买了什么信用评估报告，当时我只是点了查看，并没告诉我会扣299元，我开通个会员人家都要确认然后再输入密码，我就点击查看就直接给我扣钱了，这是典型的强制消费，或者说叫做消费误导，把点同意当成同意扣款，按照互联网的玩法，如果涉及到实质性的权益，例如资金方面的，应该做一个独立弹窗，要作</t>
  </si>
  <si>
    <t>2019/10/08 13:07:25</t>
  </si>
  <si>
    <t>投诉人 陶先生        投诉对象  饿了么        涉诉金额  0 元    问题类型    诉求类型投诉详情  开通时网上合同有效期12个月 18%抽成 在我拒绝的情况下后台强制修改了 合同有效期为3个月 致使以前合同到期 达到新合同20%生效的目的 涉骗</t>
  </si>
  <si>
    <t>2019/10/08 13:06:18</t>
  </si>
  <si>
    <t>10月8日，银行卡扣款1000+1000+319，经查询为小牛普惠扣款，打客服电话人工服务无人接听，遂投诉，希望得到妥善处理，谢谢。</t>
  </si>
  <si>
    <t>2019/10/08 13:05:19</t>
  </si>
  <si>
    <t>成都安睿旺蜀，在没有任何消费，任何提示的情况下盗刷198元。</t>
  </si>
  <si>
    <t>2019/10/08 13:05:18</t>
  </si>
  <si>
    <t>本人在9月29日通过上海造艺*技术有限公司的聚富分期app，注册贷款，聚富分期在我不知情的情况下扣除我299元的评估费，期间都是提示贷款的操作，未经过本人同意及确认扣了我银行卡299元，，第一次扣了50第二次扣了249在本人不知情的情况下，聚富分期属于诱导欺诈，我要求聚富分期能把受害者的299元退还。</t>
  </si>
  <si>
    <t>2019/10/08 13:04:37</t>
  </si>
  <si>
    <t>希望能找一个双方合理化的协商，而不是欠8万。</t>
  </si>
  <si>
    <t>2019/10/08 13:03:07</t>
  </si>
  <si>
    <t>投诉人 李女士        投诉对象  白付美        涉诉金额  800 元    问题类型    诉求类型投诉详情  多次骚扰 告诉我家人 弄的我被家人骂 还挨打 欠债只能管本人要 为什么要骚扰我家人 7.14都不暴力吹收了 为什么你们还敢 而且还轰炸我通讯录</t>
  </si>
  <si>
    <t>2019/10/08 13:02:44</t>
  </si>
  <si>
    <t>借款4500分6期每月要还885高出合同还款金额，合同写的年化率百分之十二这个年化率百分之五十都不只，有多少人做生意能转到投资的百分之五十呢。</t>
  </si>
  <si>
    <t>2019/10/08 13:02:37</t>
  </si>
  <si>
    <t>投诉人 姜女士        投诉对象  钱站        涉诉金额  0 元    问题类型    诉求类型投诉详情  打电话和我说。我再不还钱。就去我家送花圈</t>
  </si>
  <si>
    <t>投诉人 孟先生        投诉对象  捷信金融        涉诉金额  17 000 元    问题类型    诉求类型投诉详情  捷信多次发信息称上门催收 本人最近期间家里很忙 等有时间 会给捷信打电话说明情况</t>
  </si>
  <si>
    <t>2019/10/08 13:02:23</t>
  </si>
  <si>
    <t>借款3000/服务费999/利息，服务，平台，分三期需要1480了。</t>
  </si>
  <si>
    <t>2019/10/08 13:02:01</t>
  </si>
  <si>
    <t>事情是这样的，我自己开了一个网店，然后他们就找上我了，一开始就让我交了380元表示加入他们，诚心加入他们，不过态度还算诚恳，然后又让我们交了220元，说是做信誉用的，紧接着就发来一条信息说是因为我信誉良好可以参加活动了，说得有模有样的，但需要先交8千元货款，当时我就有点起疑，合同还没签呢，我也没有拿货，可她们就在那边死磨硬套，几个客服一起上阵，说能够参加活动有多好多好，交了钱活动马上就能开始，可是钱交了，一直也没动静，每次问都说正在准备，过了大概一两个月左右他们说要交活动展示位的费用2001元，说是交了马上</t>
  </si>
  <si>
    <t>2019/10/08 13:01:57</t>
  </si>
  <si>
    <t>投诉人余先生投诉对象中国银联涉诉金额35260元问题类型诉求类型投诉详情2019年9月18日在借东风平台填写借款信息，然后借东风平台分配了一个接待经理，说可以帮我申请贷款，我当时要求资金10万，分36期。</t>
  </si>
  <si>
    <t>2019/10/08 13:01:23</t>
  </si>
  <si>
    <t>投诉人郭先生投诉对象豆豆钱涉诉金额1499元问题类型诉求类型投诉详情打电话过来说退保险费，到现在也没信息了。</t>
  </si>
  <si>
    <t>2019/10/08 13:01:14</t>
  </si>
  <si>
    <t>51公积金管家内的51金钱贷贷款费用过高，提前结清的利息减免太少，要求减免利息并提前结清。</t>
  </si>
  <si>
    <t>2019/10/08 13:01:13</t>
  </si>
  <si>
    <t>注册该平台之后要求绑定银行卡，然后自己从银行卡内一百一百的扣费，并没有经过我同意，然后我打客服电话，客服直接说14天后会退款的，然后14天过去了他告诉我他们系统更新了现在不能退款，如果要退款我还要把我身份证正反面发给他们公司。</t>
  </si>
  <si>
    <t>2019/10/08 13:01:03</t>
  </si>
  <si>
    <t>牛人有品由信用管家为其引流，畅捷支付为其开通通道，且牛人有品归属公司为网络科技公司，没有贷款类许可，非法放贷，上海馥岷信息科技有限公司法人名称王冰卿地址：上海市金山工业区亭卫公路6495弄168号5幢4楼1863室企业名称：上海奈罄网络科技有限公司法人名称：王冰卿地址：上海市崇明区长兴镇潘园公路1800号3号楼20764室(上海泰和经济发展区)王冰卿名下还有一个公司，暂未查询公司性质均为网络科技有限公司，从事网络通信行业，并与放贷资格，9月8日本人在牛人有品借款1900，被砍头息，实际到账1368，已经归还</t>
  </si>
  <si>
    <t>2019/10/08 13:00:46</t>
  </si>
  <si>
    <t>投诉人李先生投诉对象钱橙无忧涉诉金额168元问题类型诉求类型投诉详情本人前几天注册过钱橙无忧，但是并没有申请借款，绑定了银行卡，后来卸载掉软件，但是今天却收到扣费的短信，钱橙无忧在本人不知情的情况下扣费168元。</t>
  </si>
  <si>
    <t>2019/10/08 13:00:36</t>
  </si>
  <si>
    <t>本人一直使用分期乐多年，从未逾期，因最近公司变故，资金短缺，要求分期乐公司给与最低还款200。</t>
  </si>
  <si>
    <t>2019/10/08 13:00:24</t>
  </si>
  <si>
    <t>本人在好易贷借款2100不知道只有7天时间。</t>
  </si>
  <si>
    <t>2019/10/08 13:00:18</t>
  </si>
  <si>
    <t>小贷鱼高额利息、砍头息，现要求退还超出正常部分利息。</t>
  </si>
  <si>
    <t>2019/10/08 12:59:35</t>
  </si>
  <si>
    <t>今年年初预存的百世快递的几万单号，由于业务有变动，单号就暂时没用了，后台剩余13000左右的单号，但是百世快递站点在没通知我的前提下私自拿走我的1W单号，钱也没说退，打百世快递总部说这种纠纷他们也管不了，最后了解到，这是他们站点跟业务员之间有利益冲突，但是不管什么冲突，他们没有权利收走我的10000单号，已经交涉了两个多月时间了，百世快递站点说只退卖给业务员的价格退给我，这个属于他们之间的纠纷，感觉退钱是无望了，我要求把单号退还给我.。</t>
  </si>
  <si>
    <t>2019/10/08 12:59:15</t>
  </si>
  <si>
    <t>投诉人 朱晓楠        投诉对象  小浦优客        涉诉金额  296 元    问题类型    诉求类型投诉详情  乱扣费，我都卸载了，今天扣我钱，强烈投诉</t>
  </si>
  <si>
    <t>2019/10/08 12:58:14</t>
  </si>
  <si>
    <t>投诉人 陈先生        投诉对象  爱又米        涉诉金额  1 199 元    问题类型    诉求类型投诉详情  爱又米涉嫌虚假广告误导客户充值会员 会员权利也没有享受到 下方提供爱又米广告截图 会员被拒立马赔付1000 希望能够退钱 其它权益也不能用</t>
  </si>
  <si>
    <t>2019/10/08 12:58:07</t>
  </si>
  <si>
    <t>投诉人黄先生投诉对象百度涉诉金额320元问题类型诉求类型投诉详情我银行卡的钱莫名其妙被转走了320.60。</t>
  </si>
  <si>
    <t>2019/10/08 12:57:58</t>
  </si>
  <si>
    <t>因为最近生意用款在抖音上看到360借条的广告以为是按天计算利息的，就直接贷款了，等到最近两天想还款的时候发现出现600多的利息，我才用了不到1个月，这利息实在不合理。</t>
  </si>
  <si>
    <t>2019/10/08 12:55:52</t>
  </si>
  <si>
    <t>投诉人 麻先生        投诉对象  灵活借        涉诉金额  3 700 元    问题类型    诉求类型投诉详情  砍头息申请3700到账2200 高利贷 催收态度恶劣</t>
  </si>
  <si>
    <t>2019/10/08 12:54:53</t>
  </si>
  <si>
    <t>嗨钱网借的钱，被第三方扣款了不销账，还天天打电话催收。</t>
  </si>
  <si>
    <t>2019/10/08 12:54:11</t>
  </si>
  <si>
    <t>闪银借款6个月，提前收取手续费，利息太高，要求减免利息。</t>
  </si>
  <si>
    <t>2019/10/08 12:52:36</t>
  </si>
  <si>
    <t>2000额度，收取五百商城费，还有高额度利息跟着，催收暴力，骚扰一些无关的人，催收过程和家人，讲我有几个孩子，孩子性别也说了，催收归催收，暴我孩子信息干嘛，130******41这是催收电话，我问客服电话多少，催收说，客服联系不上，有事让我打这个电话，虽然我欠钱不对在先，催收暴露孩子信息，不是威胁吗，。</t>
  </si>
  <si>
    <t>2019/10/08 12:52:24</t>
  </si>
  <si>
    <t>接了单到达机场停车场停车七十分钟，乘客下车之后结束订单，不能添加高速费停车费，不是一口价订单为什么价格会少三十块钱，不能添加停车费二十块钱，一共是五十块钱的差额，要首汽约车平台给出合理解释，夜间打平台电话无人接听。</t>
  </si>
  <si>
    <t>2019/10/08 12:51:56</t>
  </si>
  <si>
    <t>立借借款10000元，实际到账10000，分期12期总共还13600，本以为是36%年息，结果前三个月就要还13600，前三个月每个月449.5的利息，加不知名的费用，第一期还款5099.95，第二期4349.95，第三期3450.10，欺骗消费者，利率远超国家标准，并且电话骚扰家人朋友，违反法律法规。</t>
  </si>
  <si>
    <t>2019/10/08 12:51:33</t>
  </si>
  <si>
    <t>2016年在平安普惠贷款十万，下款97000，直接先砍头三千，然后在不知情的情况下，收取每个月660的保费和服务费990，现在已经基本还清，还有两期，还完我要起诉看费用是否合理，合理我无话可说，当时签约，我要求12期最多24期，但是网点根本不同意，现在他们客服说他们有12期和24期供选择，但是当时的确不可以，但是现在已经无从查询，也没有证据了。</t>
  </si>
  <si>
    <t>2019/10/08 12:50:47</t>
  </si>
  <si>
    <t>恶意扣款，2019年10月8日在不知情的情况下扣款100元。</t>
  </si>
  <si>
    <t>2019/10/08 12:50:31</t>
  </si>
  <si>
    <t>恶意催款，不断骚扰我和我的家人，威胁，利息太高，建议下架。</t>
  </si>
  <si>
    <t>2019/10/08 12:50:13</t>
  </si>
  <si>
    <t>投诉自由摩卡的超级马力贷，零压贷，变相收取砍头息买会员，属于高利贷！。</t>
  </si>
  <si>
    <t>2019/10/08 12:48:48</t>
  </si>
  <si>
    <t>2016年底当初买房的时候售楼方承诺会为业主提供从楼盘到广州的双向楼巴，由于楼盘出入不方便，买房的时候看在有楼盘提供的楼巴才买的房，直到今天售楼方，私自取消免费楼巴，变为由汽车公司外包的收费楼巴！！欺骗消费者！！而且票价还属于偏高价位！！对消费者来说实属负担！！望有关部门勒令楼盘改正！！。</t>
  </si>
  <si>
    <t>2019/10/08 12:48:23</t>
  </si>
  <si>
    <t>我在交易猫出售了一个王者荣耀帐号，买家购买帐号以后12小时换绑成了他自己的手机号，没有确认收货然后转卖给了下一任买家，帐号进行了二次售卖，密保二次换绑，然后对我的订单发起仲裁并且说密保没有改成他的，我联系交易猫客服他让我去腾讯客服查找帐号换绑情况以及登陆地址，登陆地址我找到了那个买家转卖的下一任买家已经提供了截图，但是换绑记录无法查询，腾讯客服也明确说明无法提供查询，我们有录音等证据，现在希望交易猫这个平台速度解决处理问题，跟我拖了很久了，速度出面查明问题以及拨款，并且对于这种恶意仲裁的买家进行严肃处理，谢</t>
  </si>
  <si>
    <t>2019/10/08 12:48:17</t>
  </si>
  <si>
    <t>本人10月5号下午在香港机场购买永东巴士从香港到深圳皇岗口岸的大巴，购票前问了售票员这个车是否会把我们送到皇岗口岸，售票员说“是”，但是当我们乘坐巴士到了香港出境口岸的时候，所有乘客下车排队出境，下车前，司机只是跟我们说：“把所有行李拿好，记住车牌号7077，等下出境后找到这辆车下车，司机只是跟我们说司机并未告知我们具体在哪里等车，我们排完队出境后，到停车场找原来乘坐的巴士，没有找到，又在停车场足足等了半个小时，后来问旁边的司机，才知道原来车牌7077的巴士早已开走，司机在没确定人数是否都到齐的情况下，就私</t>
  </si>
  <si>
    <t>2019/10/08 12:48:08</t>
  </si>
  <si>
    <t>借款30000，已还1225，提前结清要求还37795，要求减免不当利息，实行本金还款。</t>
  </si>
  <si>
    <t>2019/10/08 12:48:06</t>
  </si>
  <si>
    <t>博威物业保洁阿姨将我粘贴在门上价值321元的可视门铃拿走，电话联系博威物业，博威物业态度极其恶劣，告诉我门铃被保洁扔掉了，问其为何不妥善保管，博威物业凶狠地说门外的东西他们可以随意处置，就算是快递临时存放在水表箱他们也可以随意处置，同理，手机掉地上他们也可以当垃圾扔掉！需要补充的是，此前我曾投诉过这个保洁，因为她打扫很不干净，而且工作不负责任，有一次我邻居把湿垃圾暂放在楼道里，她居然直接把湿垃圾撒在楼道里！我有理由怀疑该保洁是故意为之！。</t>
  </si>
  <si>
    <t>2019/10/08 12:47:56</t>
  </si>
  <si>
    <t>本人在小象优品借款，因本人原因造成违约，本想和客服沟通延期，逾期三天都是机器人联系本人，第四天，催收人员打电话，要求下午1点还款，不然联系亲人。</t>
  </si>
  <si>
    <t>2019/10/08 12:47:28</t>
  </si>
  <si>
    <t>投诉人林先生投诉对象小浦优客涉诉金额296元问题类型诉求类型投诉详情小浦优客app申请借款，按步骤填写资料，然后最后要求绑定银行卡，绑定完成就开始审批，过了一个小时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</si>
  <si>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2019/10/08 12:47:11</t>
  </si>
  <si>
    <t>本人一次性处理，协商还款，减免逾期费用调整利息，因为是高利贷。</t>
  </si>
  <si>
    <t>2019/10/08 12:47:04</t>
  </si>
  <si>
    <t>一直没有逾期不还的现象，这次忘记了还款，小象优品方联系不到我本人，直接轰炸我亲戚朋友，不是故意不接听电话，是她们客服电话被标记上百次，手机自动拦截，联系客服协商还款，电话打不通，或者没人接听。</t>
  </si>
  <si>
    <t>2019/10/08 12:45:00</t>
  </si>
  <si>
    <t>要申请退款后重新选择配置，付款的方式是白条+现金，我查到白条就已经退回了，，但是现金迟迟没有退回我的银行卡，银行卡显示没有到账，不知道钱去了哪里。</t>
  </si>
  <si>
    <t>2019/10/08 12:44:45</t>
  </si>
  <si>
    <t>误导虚假莫名其妙的要求办理金色麦浪商务会员卡。</t>
  </si>
  <si>
    <t>2019/10/08 12:43:55</t>
  </si>
  <si>
    <t>投诉人 董先生        投诉对象  交易猫        涉诉金额  648 元    问题类型    诉求类型投诉详情  购买商品不接受发货 客服还是发货，现在申请仲裁又没客服介入</t>
  </si>
  <si>
    <t>2019/10/08 12:43:47</t>
  </si>
  <si>
    <t>但是根本还没过3天试用期就在Appstore上还是给我扣费了。</t>
  </si>
  <si>
    <t>2019/10/08 12:43:26</t>
  </si>
  <si>
    <t>投诉人 刘先生        投诉对象  捷信金融        涉诉金额  5 000 元    问题类型    诉求类型投诉详情  骚扰电话太多。无法正常生活，往解决，谢谢</t>
  </si>
  <si>
    <t>2019/10/08 12:42:51</t>
  </si>
  <si>
    <t>10.6日夜里乘滴滴，起点光头强大排档，目的地阳光城翡丽湾，在翡丽湾下车，司机未结束订单，两次恶意修改目的地，，情况异常恶虐，滴滴所谓的客服竟然能买司机编造故事，录音到现在估计还未有人听取，涉嫌联合欺诈，多次投诉无果，客服甚至到目前为止都搞不清状况，录音是录假的么，可见平台寄生大量黑司机，危害乘客利益，致客户利益与不顾，是否要等到杀人放火强奸事件再次发生才能引起您方重视！！！要求退回非法所得，并下架该司机，给出合理的道歉。</t>
  </si>
  <si>
    <t>2019/10/08 12:41:16</t>
  </si>
  <si>
    <t>本绑定还款储蓄卡应自行扣费还款，到还款日，没有扣费时候说它们公司系统问题什么的！，打电给我叫我手动还款说是他们内部系统问题没有扣费成功！要我配合手动还款！说这是他们公司系统问题，不会上报逾期和扣取逾期所产生的费用！结果我上午一看扣了我91块逾期费用！我还款卡里本来有钱划扣！是他们自己不扣！却要承担逾期费用！这不是变相收费是什么，且整个平台没有任何客服联系方式可以沟通！就算你还款失败或者没法还款！也只能等他们联系通知你！所以这明显套路贷！高利贷！所谓平台永远是没有回复！没法解决问题。</t>
  </si>
  <si>
    <t>2019/10/08 12:40:51</t>
  </si>
  <si>
    <t>开了黑卡结果额度已经抢完，客服联系不上，退款不了。</t>
  </si>
  <si>
    <t>2019/10/08 12:40:45</t>
  </si>
  <si>
    <t>闪银奇异借款后各种担保凭证，各种买东西，强制收费，变相的高利贷，使人利息滚利息永远都难还完，平台本身以上征信，威胁通讯录等各种方法垒高你的债务，如果不强制不害怕其对于通讯录好友的威胁，任由其收取高额利息，变相担保费用的话，是对于借款人很大的危害，借钱还钱是正确的，但是变相的高利息是不合法的，已经是负债累累无法支付这些费用，希望平台合理合法催收，解决事情本身。</t>
  </si>
  <si>
    <t>2019/10/08 12:39:33</t>
  </si>
  <si>
    <t>投诉人 刘女士        投诉对象  蚂蚁金服        涉诉金额  1 500 元    问题类型    诉求类型投诉详情  恶意骚扰 协商还款 人工客服不接电话 未经允许给其他人打电话</t>
  </si>
  <si>
    <t>2019/10/08 12:39:21</t>
  </si>
  <si>
    <t>还款正常，结清之后不给我我用了，要求恢复借款。</t>
  </si>
  <si>
    <t>投诉人 焦先生        投诉对象  闪管家,闪掌柜        涉诉金额  554 元    问题类型    诉求类型投诉详情  闪管家 闪掌柜 暴力催收 无法协商。威胁恐吓</t>
  </si>
  <si>
    <t>2019/10/08 12:39:17</t>
  </si>
  <si>
    <t>投诉人何女士投诉对象乐刷涉诉金额150元问题类型诉求类型投诉详情10月7号下午五点过的时候，乐刷业务员来推销那个快pos机，但是他没有跟我说那个优惠券只有三个月的有效期。</t>
  </si>
  <si>
    <t>2019/10/08 12:39:08</t>
  </si>
  <si>
    <t>立借平台里的钱置宝，借2800，一个月分4次每期要还1000多，这种高利贷真借不起。</t>
  </si>
  <si>
    <t>2019/10/08 12:38:26</t>
  </si>
  <si>
    <t>投诉人冉先生投诉对象哆咪黑卡涉诉金额199元问题类型诉求类型投诉详情本人在哆咪黑卡贷款平台，页面为贷款激活额度,本人于2019.10.08日点击激活额度输入验证码后被自动免密扣款199，此平台属于诱导他人欺诈行为，首先并没有任何提示告知要扣款，自动成为VIP后免密扣款，希望严惩此平台，尽快给我退款！。</t>
  </si>
  <si>
    <t>2019/10/08 12:38:20</t>
  </si>
  <si>
    <t>投诉人 张先生        投诉对象  高利贷网络平台        涉诉金额  3 000 元    问题类型    诉求类型投诉详情  高利贷借款 不合规</t>
  </si>
  <si>
    <t>2019/10/08 12:38:17</t>
  </si>
  <si>
    <t>本人于2019年10月7号付了15元定金购买了行云海外专营店的a2澳洲1段奶粉，并于2019年10月8号凌晨按约定付尾款，8号上午拼多多已订单异常强行退款不予发货，试问如果我不支付尾款就要赔定金，拼多多收了定金不发货是不是要赔我定金。</t>
  </si>
  <si>
    <t>2019/10/08 12:38:08</t>
  </si>
  <si>
    <t>快钱支付为高利贷砍头息平台提供支付通道，壹心分期砍头息27%，且协商处理后第二期未能正常处理，要求退还历史砍头息。</t>
  </si>
  <si>
    <t>2019/10/08 12:37:15</t>
  </si>
  <si>
    <t>闪银的闪豆必须购买茶叶才能获得1000借款资格，实际就是变相收取前期费用，要求停止电话催收骚扰，并退还多次借款前期购买茶叶费用。</t>
  </si>
  <si>
    <t>2019/10/08 12:37:03</t>
  </si>
  <si>
    <t>闪银暴力催收，态度恶劣，辱骂亲人，上午接到电话已经协商好了，过了一会又一个催收态度恶劣，直接侮辱。</t>
  </si>
  <si>
    <t>2019/10/08 12:36:39</t>
  </si>
  <si>
    <t>投诉人 赵女士        投诉对象  闪电借款        涉诉金额  10 000 元    问题类型    诉求类型投诉详情  实属困难，望宽限到20号，期间不要骚扰！</t>
  </si>
  <si>
    <t>2019/10/08 12:36:18</t>
  </si>
  <si>
    <t>借14300.6个月.每个月还2639.3，一共还15835.8另外有砍头息1049元。</t>
  </si>
  <si>
    <t>2019/10/08 12:35:53</t>
  </si>
  <si>
    <t>投诉人柯先生投诉对象支付宝涉诉金额257元问题类型诉求类型投诉详情本人在支付宝订了一张高铁票，因改变行程退票，支付宝显示退票成功钱已退回银行卡，但苦等一小时一直一分钱没看到，银行客服明确表示没有这笔钱进账！支付宝用这种手段来玩弄客户，准备向新保监会投诉！我一分钱都不给你们贪！没到账你就别跟我显示到账，你们公司这是玩弄客户！。</t>
  </si>
  <si>
    <t>2019/10/08 12:35:35</t>
  </si>
  <si>
    <t>请停止这种不合理的预催收，已经影响到我的日常生活和工作了。</t>
  </si>
  <si>
    <t>2019/10/08 12:35:34</t>
  </si>
  <si>
    <t>司机到达乘客上车点，乘客迟到发了平台信息，也很客气给乘客打了电话，恶意投诉我们司机，平台罚款司机一百，首汽约车平台太没良心。</t>
  </si>
  <si>
    <t>2019/10/08 12:34:16</t>
  </si>
  <si>
    <t>一共两张卡，流量一直设置到卡1，今天卡2银盛通信突然流量扣费停机，公众号客服解决不了，后面打了人工说让充上话费然后销户不用，或者关闭上网功能，流量一直是卡1扣为什么卡2还要扣，扣了也没有任何信息已经侵犯了我的知情权，还是说要开着流量就回扣费，意思就是我德流量是在双倍扣费不说我流量也不是用的卡2客服一直重复解决不了就把电话挂了，现在停机了我就把流量开着扣嘛一直扣我看你扣的了多少客服态度也是极其恶劣。</t>
  </si>
  <si>
    <t>2019/10/08 12:34:06</t>
  </si>
  <si>
    <t>本人已经和招商银行致电，这两天有点事情要处理，会不方便接电话，可是招商银行停打电话，我接第一个电话都说，有事情要处理，晚点说，可是她不听打电话，难道信用卡有逾期的人都不要生活了么，逾期了不是不还钱，是暂时有困难，这是我用卡这几年第一次逾期，已经在想办法处理了，逾期的人也要生活，也要工作，不工作怎么有收入还钱。</t>
  </si>
  <si>
    <t>2019/10/08 12:33:07</t>
  </si>
  <si>
    <t>闪银瞬瞬一直不下款，扣款帐单都快逾期了，联系不到客服，电话打不通。</t>
  </si>
  <si>
    <t>2019/10/08 12:32:47</t>
  </si>
  <si>
    <t>贷上钱上借了两笔钱，之前也用过两次，每次都是一比一个月2000还2360，经查已经超过国家法律认可的范围，同时逾期一天未沟通的情况下，暴力骚扰本人通讯录的亲友，要求立即停止骚扰通讯录，退还之前的高额利息！本人将向国家扫黑办实名举报该公司。</t>
  </si>
  <si>
    <t>2019/10/08 12:32:37</t>
  </si>
  <si>
    <t>立刻出行，从2019，5月3号充了保证金499，使用一次后。</t>
  </si>
  <si>
    <t>2019/10/08 12:32:06</t>
  </si>
  <si>
    <t>投诉人王先生投诉对象长城宽带涉诉金额640元问题类型诉求类型投诉详情2018年11月因长城宽带自身原因，无法在我所在的区域使用，让我到营业厅办理退费，于2018年11月11日在龙岗中心城碧湖营业厅办理退款，总退款640元，当时工作人员口头承诺3个月内退款会打到预留的银行账户上，直到现在2019年10月7号退款仍未到账，这一年每个月多次电话95079长城宽带客服电话催促，每次得到的答复是，承诺尽快解决，催促财务，24小时内给于答复，之后什么回复都没有，情况绝对属实，存在欺骗行为，欺骗消费者，投诉无门，退款遥遥</t>
  </si>
  <si>
    <t>2019/10/08 12:30:45</t>
  </si>
  <si>
    <t>开通的省钱月卡，在月卡有效期内未回本，可以在月卡结束期后可以联系客服退还差价，结果开通后月卡发现什么都用不了，只有月卡专享区才可以用，但月卡专享区并没有我想买的东西，想退也找不到退款入口，偶然间才想起那么回事，随即找拼多多客服申请退款，但现在告诉我时间间隔太久不能退，这就形成了对消费者的诈欺！！！因为本人忘性大忘记申请退款，间隔时间的确有点长，但这并不能做为你们逃避责任理由！毕竟消费记录是可以查询的，且我在开通月卡后有效期内也没有利用省钱月卡享受到相应的优惠即没有回本，且很明确告知我可以在月卡结束后联系客服</t>
  </si>
  <si>
    <t>2019/10/08 12:30:39</t>
  </si>
  <si>
    <t>投诉人石先生投诉对象壹心分期涉诉金额6300元问题类型诉求类型投诉详情本人共借款三次，快钱支付打卡到账的，两次秒扣575元的，，因本人现实中生意遇到难处，已无力偿还高额利息，现在想协商归还本金和合法利息。</t>
  </si>
  <si>
    <t>2019/10/08 12:30:26</t>
  </si>
  <si>
    <t>拍拍贷款工作人员每天电话骚扰我的朋友，家人，短信冒充公检法务人进行恐慌威胁，影响我丢了工作，对我身心照成极大的困扰。</t>
  </si>
  <si>
    <t>2019/10/08 12:30:14</t>
  </si>
  <si>
    <t>高利贷，阴阳合同，套路贷高利息借9000，24期，居然还14300。</t>
  </si>
  <si>
    <t>2019/10/08 12:29:41</t>
  </si>
  <si>
    <t>在商家出的一元砍价活动砍价成功的前提下，商家自己已承认砍价成功的前提下，请注意看旺旺聊天截图时间，也不存在商家所说的复制别人的图片！卖家不愿意以活动价格一元出售！商家利用天猫平台进行虚假宣传，骗流！专员肯定要问为什么价格不是一元而是原价！原因就是刚砍价成功价格是101元，然后商家在2019年10月3号晚八时就把活动进行关闭！价格恢复原价！原本的活动规则写的很清楚活动是2019-10-03，且活动规则中也未告知一切明细，商家此种行为为欺诈行为！视频中可以明确的看到商家承认了一元购，就是这样证据确凿的情况下天猫</t>
  </si>
  <si>
    <t>2019/10/08 12:29:38</t>
  </si>
  <si>
    <t>本人在2019年4月4日在小象优品APP申请了一笔借款，金额为12900元，连本加息需要还17544元，利息高达4644元，现在已经还了6期，实在无力偿还如此高额的利息，本人联系客服要求减免剩下的利息，本人提前一次性还清，但是客服拒绝，要求就算是提前还清也要按照他们的账单还，不能减免剩下几期的手续费及利息！不管怎么说客服都说要按照他们的账单来还款！此APP上根本无法查看合同！这简直就是霸王条款！这是国家允许的嘛！。</t>
  </si>
  <si>
    <t>2019/10/08 12:29:24</t>
  </si>
  <si>
    <t>说可以直接退押金现在跟我说要刷100000而且要3个月才能退。</t>
  </si>
  <si>
    <t>2019/10/08 12:29:16</t>
  </si>
  <si>
    <t>注册了一款名叫"小浦优品"软件，进去绑定了卡，本来是想借款的，但没想到是中介平台，就卸载了，没想到第过几天就被宏萨，信息科技有限公司盗刷了本人银行卡内资金296元，这种盗刷平台难道合法吗，还有，我并未授权扣费和什么评估操作，就能私自扣费了，这难道是合法的吗。</t>
  </si>
  <si>
    <t>2019/10/08 12:29:11</t>
  </si>
  <si>
    <t>大致算了下，有53000多元金额，本人被别人骗到吉祥坊赌博平台，用支付宝红包功能支付了2万多人民币，后来发现就是骗人的，支付宝作为中国网络支付正规产品，为什么可以为赌博平台开通支付渠道，希望支付宝可以给我退款。</t>
  </si>
  <si>
    <t>2019/10/08 12:28:12</t>
  </si>
  <si>
    <t>我当时借款时显示是5800元，结果到手里是4000元借款3个月一共需要还6000元，也就是多还2000元这明显太高了而且跟客服沟通不了，打电话就骂人爆通讯录，。</t>
  </si>
  <si>
    <t>2019/10/08 12:28:11</t>
  </si>
  <si>
    <t>在贷上钱借款2000,然后30天要还款2460,逾期一天就打电话过来骂人,然后就爆通讯录,挨个打电话骚扰,严重影响了我的家人朋友的生活。</t>
  </si>
  <si>
    <t>2019/10/08 12:28:09</t>
  </si>
  <si>
    <t>未经允许，私自扣款，误导消费大众，实属坑蒙拐骗。</t>
  </si>
  <si>
    <t>2019/10/08 12:27:43</t>
  </si>
  <si>
    <t>投诉人胡先生投诉对象安微共享装科技有限公司涉诉金额81元问题类型诉求类型投诉详情骗子平台软件上不能提现，公众号这都半个月了没人管，说好的去公众号提现才能提，完全不当回事，提现最早申请是9.15号，一直没有回复，严惩虚假宣传平台！要求，退款！。</t>
  </si>
  <si>
    <t>2019/10/08 12:27:31</t>
  </si>
  <si>
    <t>我叫王淑童我在2017年11月在北京现代汽车金融有限公司办理过汽车分期，从办理分期一直都是按时还款中间在2018年11月8日和2019年1月7日让朋友给代还两次汽车分期贷款金额是2000元由于当时是银行系统升级导致转账失败造成本人有两次逾期，根据这个事情我多次给北京现代汽车金融反应，最终他们让开具银行证明给他们递交过去，但是他们收到资料后说提供的资料是假的并恐吓说要受到法律责任判刑，后来我带着我朋友到银行去核实并在银行给他们打了电话他们态度恶略给我朋友发生口角炒了一架，对于他们这种金融公司不相信客户为难客户</t>
  </si>
  <si>
    <t>2019/10/08 12:27:06</t>
  </si>
  <si>
    <t>我也傻，以为移动公司的彩票，后来赔的啥也没有了，在我身无分文，一身饥荒时我才纳过闷来，被少了，我真不明白为啥我之前就和疯子一样，哎！我现在真希望自己是疯子！！！我现在废了，我请求瀚银，慧金宝，航天电子，帮我追回钱款，跪谢了，实在借不到了，信用卡借的钱都逾期了！！。</t>
  </si>
  <si>
    <t>2019/10/08 12:26:41</t>
  </si>
  <si>
    <t>因为钱包丢失身份证和银行卡都都丢了，没能还款，后联系了客服说有专员联系我，可是一直没有联系我，直到我申请房贷打征信报告时看到有这个呆帐才记起，就及时联系了客服用对公账户还款，只前投诉过，也有人联系我，但是就说给我发了信息，但是我根本就没有收到任何信息，还有就是我的身份证和银行卡当时丢时了，就算我收到了信息，我也没办法通过银行卡还款呀，为什么当时联系客服时不告诉我对公账户，那样我就可以到银行用汇款的方式还款呀。</t>
  </si>
  <si>
    <t>2019/10/08 12:26:22</t>
  </si>
  <si>
    <t>投诉人姜女士投诉对象点点涉诉金额3956元问题类型诉求类型投诉详情本人于2019年5月14日和6月10日在点点APP平台分12期借款2.4万元，其中金额3956.44元为众安保险费，未经本人同意且不知情情况下未经本人允许同意和签字强制捆绑购买！，,点点和众安保险没有按2005年4月1日起施行的《中华人民共和国电子签名法》第三章相关要求开展电子签名所有协议和电子化通讯都须以亲笔签名和电子记录进行确认，根据《中华人民共和国电子签名法》第十一条第3款明确提出：“所有协议和电子化通讯都须以亲笔签名和电子记录进行确认</t>
  </si>
  <si>
    <t>2019/10/08 12:26:19</t>
  </si>
  <si>
    <t>借款12000期限9个月每月还2200加起来总共要还19000多利息高得离谱，。</t>
  </si>
  <si>
    <t>2019/10/08 12:24:36</t>
  </si>
  <si>
    <t>，也就是他们说的三期，十天的利息高达329.6元，三期共还3988.8、而且还款还不上，这是让我逾期吗。</t>
  </si>
  <si>
    <t>2019/10/08 12:24:21</t>
  </si>
  <si>
    <t>2018年5月21日在小牛在线平台购买3个月到期的安稳投产品，本应在18年8月20号到期一次性归还本息但直至目前仍为准让归还，其中有两笔底标已经到期，但小牛在线仍未偿还。</t>
  </si>
  <si>
    <t>2019/10/08 12:24:14</t>
  </si>
  <si>
    <t>本人是饿了么外卖骑手，于2019.10.7下午15点左右在蜂鸟众包接单，送至买家处，由于买家自己原因自己电话打不通，按照定位导航地址处没法进出，需要电话联系买家，遂按照规定上报异常，系统也审核通过，可以无责取消订单，并且多次联系买家，等待啦大概20多分钟，仍然无法接通，按照规定取消订单，原路返回送回商家处，商家拒绝，态度恶劣，有点恐吓威胁，本人并没在意，并且在事后专门致电蜂鸟众包电话说明原因，给的答复是会有专人处理，都没有与我结果第二天就给我罚单50，我再次致电申诉，提示无法申诉，理由是态度恶劣，我想说说你</t>
  </si>
  <si>
    <t>2019/10/08 12:23:51</t>
  </si>
  <si>
    <t>投诉人 郭先生        投诉对象  余赚网,快乐十分        涉诉金额  0 元    问题类型    诉求类型投诉详情  余赚网助纣为虐。审核不当。有赌博类型的任务。导致我无法赚取赏金。现在要求把赌博类型的任务下架</t>
  </si>
  <si>
    <t>2019/10/08 12:23:38</t>
  </si>
  <si>
    <t>投诉人何女士投诉对象宙斯钱包涉诉金额3371元问题类型诉求类型投诉详情申请3000的额度只到账1800，逾期一天360的利息，要求销账，还不好多外境号码打电话过来。</t>
  </si>
  <si>
    <t>2019/10/08 12:22:52</t>
  </si>
  <si>
    <t>小当家全部还清，这两天给我朋友打电话，已经构成骚扰。</t>
  </si>
  <si>
    <t>2019/10/08 12:22:48</t>
  </si>
  <si>
    <t>我在钱站借款1000元，分三期还每期451，当时显示的是这些，后来实际让我每期还款596，三期还完差不多要1791，后来看合同发现借款1330元。</t>
  </si>
  <si>
    <t>2019/10/08 12:22:40</t>
  </si>
  <si>
    <t>投诉人符军义投诉对象花薪涉诉金额3500元问题类型诉求类型投诉详情10月20号商量好了本金以及银行标准利息，今天打电话又让我还这个数。</t>
  </si>
  <si>
    <t>投诉人李先生投诉对象爱钱进,爱白条涉诉金额2500元问题类型诉求类型投诉详情本人于2019年9月28日在爱白条app上申请一笔贷款，借款金额2500元，注册申请不到半个小时审核通过并申请提现，app上显示3天内到账，到了第三天本人联系客服，客服说9月30号以前一定会到账，结果至今2019年10月8号还未到账，每次打电话都是周末或者放假的借口来拖延，因本人目前不需要这笔资金，加上该平台利息很高严重超过国家规定利息，据说借2500三个月内还款4000元左右，现本人想取消这笔借款，联系客服无数次被告知无法取消，钱</t>
  </si>
  <si>
    <t>2019/10/08 12:22:33</t>
  </si>
  <si>
    <t>及贷骚扰发短信我通讯录，我现在生活都成问题，这是要逼死我，是不是逼死我你们才高兴。</t>
  </si>
  <si>
    <t>2019/10/08 12:22:28</t>
  </si>
  <si>
    <t>10月1日，从豆豆钱里借出来39000元，于10月7日8日试图提前还款，但是每次还款失败，并且每次均从我的银行卡里扣除1000多元，打客服电话没人接！APP显示我的未还金额仍是39000元。</t>
  </si>
  <si>
    <t>2019/10/08 12:22:18</t>
  </si>
  <si>
    <t>快贷平台借款4500分12期要还6120其中包括服务费，利息费，已还6期还剩6期。</t>
  </si>
  <si>
    <t>2019/10/08 12:22:17</t>
  </si>
  <si>
    <t>自逾期第三天开始就天天骚扰我电话，一个星期后隔三差五的群发短信给我身边的家人，让我颜面扫地，越是这样我越不还！所有证据我都有保留着，恶心至极，已经向当地警方报警，今天忍无可忍了，虽然逾期不对，但是一直骚扰家人电话就行嘛！。</t>
  </si>
  <si>
    <t>2019/10/08 12:22:15</t>
  </si>
  <si>
    <t>2019年10月7号下午3.30分我接到朋友电话，说问我是不是要借钱，我不知情跟我讲是微信上面发消息，我随即发现不对，微信号已经被盗，我通过申述找回微信号，然后发现已经晚了，我亲朋好友已经转账累计1200，每个人都是问300，消息群发的，加上我自己零钱有55累计是1255，我很好奇一我号怎么被盗的，二现在不用支付密码微信就可以转账了?这么nb吗，微信很安全吗我觉得很后怕，百万保障可以赔偿都是假的吧??申述三次都不成功，用微信也挺久，这次真的很失望，我希望把我那1255赔给我，还有给出个合理解释。</t>
  </si>
  <si>
    <t>2019/10/08 12:21:16</t>
  </si>
  <si>
    <t>哼哼逾期3天，工资因国庆的缘故，暂时要过几天才发，期间有催收电话一直骚扰，现在我希望哼哼可以开延期，能够得到处理。</t>
  </si>
  <si>
    <t>2019/10/08 12:20:36</t>
  </si>
  <si>
    <t>投诉人 高先生        投诉对象  你我贷,爱又米        涉诉金额  12 000 元    问题类型    诉求类型投诉详情  网贷利息太高 现在想要一次性还清 但请给我减免一些高利息 按正常利息收费 我可以现在一次性还的 你我贷网贷平台借5000 12个月就还6700多 爱又米网贷平台提前结款无任何利息减免 并且之前借款1000需出担保费150</t>
  </si>
  <si>
    <t>2019/10/08 12:17:59</t>
  </si>
  <si>
    <t>首先，我是一个守法尊法的中华人民共和国公民，没干过任何坏事，我就想不明白，你们还呗哪里来的我的手机号，整天给我发一些贷款垃圾短信，我明明不需要，你还频繁的给我发，诱惑我，吸引我，给我的生活带来严重的影响。</t>
  </si>
  <si>
    <t>2019/10/08 12:17:31</t>
  </si>
  <si>
    <t>投诉人冼玉莹投诉对象造艺科技,百事普惠涉诉金额150元问题类型诉求类型投诉详情该公司在2019年10月2日19点25分突然无故扣费我银行卡里的金额150元，并且是在本人并不知情的情况下，利用百事普惠app盗取本人信息，以及银行卡免密支付的盗刷金额，造成本人经济损失，希望贵公司马上处理并退还资金，页面只显示可以进行贷款引导我绑定银行卡后自动扣除150元，我联系客服后，客服要求我必须在他们推荐的六家贷款平台都借款失败，并出具失败的证明才能退款，我的个人信用报告只有央行中国人民银行有权利查询，造艺科技出具的信用报</t>
  </si>
  <si>
    <t>两年钱前就开始用现金巴士了，前前后后利息不知道还了多少了，突然有困难，也不能协商，我也没办法。</t>
  </si>
  <si>
    <t>2019/10/08 12:16:58</t>
  </si>
  <si>
    <t>投诉人 代先生        投诉对象  贷上钱        涉诉金额  2 600 元    问题类型    诉求类型投诉详情  贷上钱 我借款两千 一个月要还两千五 逾期两天的情况下 一天逾期费高达60多 24小时威胁我亲朋好友</t>
  </si>
  <si>
    <t>2019/10/08 12:16:00</t>
  </si>
  <si>
    <t>借4000还5484.13每期还1814.12才逾期半天就威胁我说要爆我通讯录。</t>
  </si>
  <si>
    <t>2019/10/08 12:14:46</t>
  </si>
  <si>
    <t>投诉人 龙先生        投诉对象  踏实消费        涉诉金额  3 880 元    问题类型    诉求类型投诉详情  利率高，还了3期了，居然连本都没还。高利贷这不是</t>
  </si>
  <si>
    <t>2019/10/08 12:13:51</t>
  </si>
  <si>
    <t>我从宜信公司借款六万元，后来合同上我的借款本金将近九万，我实际到手的只有六万，他们说是服务费和担保费什么的并且一并给我计算利息。</t>
  </si>
  <si>
    <t>2019/10/08 12:13:45</t>
  </si>
  <si>
    <t>投诉人 吴女士        投诉对象  期待合伙人        涉诉金额  18 000 元    问题类型    诉求类型投诉详情  严重的砍头息 在明确会还款的情况下还在暴力催收 并且联系通讯录好友 利息可以是高利贷了</t>
  </si>
  <si>
    <t>2019/10/08 12:13:22</t>
  </si>
  <si>
    <t>本人在借点钱上的及贷信用贷借了2400，后面因资金周转问题逾期了，现在只剩下最后两期，本金260多，现在逾期费用两期的高达一千，并且频繁骚扰我个人以及通讯录好友，现要求及贷将利息费用降到国家规定的利率内，剩余两期我就全部结清，如果及贷同意就直接APP上改金额降利率，不同意也不需要打电话来与我协商！这些高额的逾期费用我也不会支付！。</t>
  </si>
  <si>
    <t>2019/10/08 12:13:19</t>
  </si>
  <si>
    <t>涉诉金额3238元问题类型诉求类型投诉详情你好，本人用安逸花已经一年多，在九月由于个人原因工作变动，导致近几个月金额无力偿还，安逸花催收人员不接受任何协商，并且一直不停骚扰我和亲戚朋友，还到处留言，现已严重影响到他人生活，希望马上停止骚扰，协商还款日期！为了我们大家共同的美好请尽快回复。</t>
  </si>
  <si>
    <t>2019/10/08 12:12:47</t>
  </si>
  <si>
    <t>当初借18000要还28000利息特别高，，到了还款日正常还款还不停的收到暴力催收短信，微信威胁软暴力，每个月都这样因为这个事情老公要和我离婚，，天天吵架导致我的孩子心里造成阴影高烧不退还有我妈这个心脏病发作住院，我爸把我赶出门，公司要开除我，我没逾期为什么要暴力催收我，这对我的心里。</t>
  </si>
  <si>
    <t>2019/10/08 12:12:11</t>
  </si>
  <si>
    <t>招联金融的催收到处打电话泄露我借款信息，请问合法吗，你们是要逼死我，逼死我之后，招联金融的催收有好处。</t>
  </si>
  <si>
    <t>2019/10/08 12:12:10</t>
  </si>
  <si>
    <t>最后一期了，我因为遇到了麻烦，所以在app客服上协商还款问题，他们就要我今天三点还上去，不还就按公司流程走，我只希望给我时间还款，最后一期谁想不还呢。</t>
  </si>
  <si>
    <t>2019/10/08 12:11:40</t>
  </si>
  <si>
    <t>投诉人李先生投诉对象汇潮支付,喵下贷涉诉金额1300元问题类型诉求类型投诉详情本人通过网络链接接触到了喵下贷，当时写着到手1300，借完却发现6天后要还1999元，放款通道均为汇潮支付，到期未逾期当天客服联系本人要求1点钱偿还欠款，此小贷利用砍头息手续费阴阳合同等不良手段诱导客户借款并从中牟取高额暴利，利息远远高于国家规定！！是妥妥的714吸血鬼高利贷！！而汇潮支付及支付宝为其提供放还款渠道，无疑是在助纣为虐！希望通过贵平台打击这些高炮小贷，本人愿意归还本金及合理利息！！！。</t>
  </si>
  <si>
    <t>2019/10/08 12:11:07</t>
  </si>
  <si>
    <t>借款2500元到账2250.分三个月还，2250元要还3405元，严重超出国家规定的利率，。</t>
  </si>
  <si>
    <t>2019/10/08 12:10:55</t>
  </si>
  <si>
    <t>10月1日，又以相同方式迫使我缴纳900元续期费，10月7日，无力偿还，逾期一天，逾期费180.88，现共需还款3195.58元，对于这种典型714高利贷，望有关部门给予重视。</t>
  </si>
  <si>
    <t>2019/10/08 12:10:45</t>
  </si>
  <si>
    <t>客服催收人员骚扰亲朋好友，催收态度恶劣，工号都不敢说。</t>
  </si>
  <si>
    <t>2019/10/08 12:10:34</t>
  </si>
  <si>
    <t>投诉人 黄冲女士        投诉对象  携趣信息科技有限公司        涉诉金额  299 元    问题类型    诉求类型投诉详情  10月8号自动扣费</t>
  </si>
  <si>
    <t>2019/10/08 12:10:33</t>
  </si>
  <si>
    <t>本人因为遇国庆节长假期原因未及时收到客户款项，导致本期还款逾期，金额1204元，，今天是第一天，中午闪电借款来电催收，本人表明还款意愿，并且处理了100本金，协商暂停催收几天，这周客户安排了货款就处理借款！客服态度坚决不同意！所以来这里跟你们协商！希望你们平台给予几天宽限时间，一周之内还清欠款！。</t>
  </si>
  <si>
    <t>2019/10/08 12:10:18</t>
  </si>
  <si>
    <t>投诉人 范先生        投诉对象  闪管家        涉诉金额  1 000 元    问题类型    诉求类型投诉详情  因十一缘故 资金需要周转 要到本月10日开支还款 闪管家女催收态度恶劣 不给人说话的时间 要求必须俩小时处理 态度极其恶劣</t>
  </si>
  <si>
    <t>2019/10/08 12:09:37</t>
  </si>
  <si>
    <t>因为家庭情况，一直还未处理玖富集团APP名下的贷款，但是我也不是说不处理，我现在资金链断掉了，暂时无法处理，但是就玖富集团在未通知借款人的情况下，就擅自仲裁，合理嘛，如果不给我一个合理的答复解决的话，那我也将起诉你们玖富集团！我也没有接到过任何电话！！！！！！！！！。</t>
  </si>
  <si>
    <t>2019/10/08 12:09:30</t>
  </si>
  <si>
    <t>已经还清超过本金，剩余还让我还1900多的利息，。</t>
  </si>
  <si>
    <t>2019/10/08 12:09:25</t>
  </si>
  <si>
    <t>拉卡拉无缘无故冻结商户的资金，冻结收款实用！说我账户异常那就把我的账户关闭啊！那为什么还让我收钱，一个股份有限公司，有什么资格去冻结商户的资金，你们可以冻结我的账号，但有什么资格冻结我的资金，！要求拉卡拉道歉，恢复账号正常使用，资金退还处理，否则一律举报到底。</t>
  </si>
  <si>
    <t>2019/10/08 12:09:07</t>
  </si>
  <si>
    <t>在月光侠分期借款3000元，分3期还，本金加利息3990元，还暴力催收。</t>
  </si>
  <si>
    <t>2019/10/08 12:08:26</t>
  </si>
  <si>
    <t>每次的催收都是暴力，威胁，我也说了逾期是我的不对，我现在也是实在没有办法，还骚扰我家人，恐吓我说打电话给我家人，问问他们，每次催收我都是好好的解释，他们非得把人逼死，上个催收还通过网络手段发送了一个我们家车站的位置，说要去我家找我家人，加了微信朋友圈发的全是那种黑社会的暴力催收，我所有证据都保留着，这一次联系我的自称是魔借内部员工，不是外包催收，自称是正规平台，正规平台会干这些事吗，如果这次魔借再不出来给个说法，我一定投诉到你们解决为止！。</t>
  </si>
  <si>
    <t>2019/10/08 12:08:25</t>
  </si>
  <si>
    <t>安逸花平台话费充错，第一时间联系安逸花平台，平台却让我联系，充错号码，对方号码一直关机，是不是对方一直关机，我的钱就一直要不回来。</t>
  </si>
  <si>
    <t>2019/10/08 12:08:04</t>
  </si>
  <si>
    <t>投诉人 吴女士        投诉对象  美团金融        涉诉金额  6 400 元    问题类型    诉求类型投诉详情  严重催收 已处理完逾期部分 还要我把剩余全部结清 不停骚扰我的家人和朋友</t>
  </si>
  <si>
    <t>2019/10/08 12:07:49</t>
  </si>
  <si>
    <t>信而富，高利贷，暴力催收，威胁，爆通讯录，骚扰，砍头息的利息全部加起来都超过本金的几倍了，严重影响了个人生活和工作。</t>
  </si>
  <si>
    <t>2019/10/08 12:07:39</t>
  </si>
  <si>
    <t>本人87年，去年做生意亏了30几万！欠各银行20万！之后陆续还了些再接了点钱！浦发还欠5.4万！微粒贷还欠4000！京东金融1万！因为负债过高以上几个银行已逾期！前一个月交通银行每月账单3000多，我能借点钱每个还了，在刷出来！但7月份我晚还了几天，8月的账单直接最低还款1.2万，我确实还不过来，我有辆几万的按揭车跑顺风车，过节前给交通银行说了把车卖了就还，但在过节期间没有能及时出手，但今天交通银行把我通讯录全打了个遍！为什么说了把车卖了还，还要爆我通讯录。</t>
  </si>
  <si>
    <t>2019/10/08 12:07:38</t>
  </si>
  <si>
    <t>用闪管家很久了，没逾期过，每次借1200都要买256的会员才下款，已超过国家的正常借贷利润，会员费也买了几千块了，也没逾期过，最近资格周转不开，工资调了一下，所以会延迟几天，想协商晚几天还，精神压力很大，接到催收电话感觉心情很不好。</t>
  </si>
  <si>
    <t>2019/10/08 12:07:15</t>
  </si>
  <si>
    <t>给你花暴力催收，辱骂亲朋好友，境外电话轰炸，315点名都不怕，可见背后势力多么的强大，建议国家查。</t>
  </si>
  <si>
    <t>2019/10/08 12:06:28</t>
  </si>
  <si>
    <t>在能联系到本人，本人要还款的情况下随意拨打通讯录电话，。</t>
  </si>
  <si>
    <t>2019/10/08 12:05:54</t>
  </si>
  <si>
    <t>10月8日，向哆咪黑卡平台借款没有成功，没有购买任何vip，哆咪黑卡平台未经允许情况下，在10点16分从本人建设银行账户恶意扣除199元所谓会员哆咪黑卡APP，在未经本人同意强行免密扣除199元会员费，并提供知名贷款平台要求申请贷款，声称如果申请了6家都不放款，方可退199元会员费。</t>
  </si>
  <si>
    <t>2019/10/08 12:05:46</t>
  </si>
  <si>
    <t>然后推广蓝V的时候再三强调我们要以乐客代理商的名义去推，然后就不管不顾了❗️❗️❗️跟客户经理的聊天因为是刚进来的时候，因为之前加入乐客承诺我们第一批进来政策是最优惠的，1⃣️抖音蓝V，每单420元佣金，减去发票也就394元，当时说星火计划80单给费用，名额有限，后来看一直都有，那就是个忽悠人的坑，什么社群，客户培训群都没有，抖音业务乐客的人一点都不熟悉，有问题也解决不了，乐客以外的其他机构给的佣金是450元-500元都有，2⃣️第二个项目刷脸支付，从开始定金到收到货好像的两个月，乐客自己的人对刷脸支付都蒙</t>
  </si>
  <si>
    <t>2019/10/08 12:05:44</t>
  </si>
  <si>
    <t>对债权人的家人进行骚扰，如对父母产生的不必要的影响，我有权利要求及贷赔偿，现在我要求及贷停止对债权人家人的骚扰，并且对我进行道歉并赔偿的处理。</t>
  </si>
  <si>
    <t>2019/10/08 12:05:29</t>
  </si>
  <si>
    <t>先绑定银行卡我就点一下也没有二次确认就直接扣了要求退还。</t>
  </si>
  <si>
    <t>2019/10/08 12:05:24</t>
  </si>
  <si>
    <t>合同上却写2100，说真的当时根本没看清，否则我绝对不要，我现在只还了一期，现在只要协商还款问题，如果不协商解决，我不会往下还，爱钱进”，一个不诚信的商家，何以让消费者守信于你们呢。</t>
  </si>
  <si>
    <t>2019/10/08 12:05:16</t>
  </si>
  <si>
    <t>我广发银行消费还不到3000元，但是由于我负债太多，已经半年没有还款了，现在手里面稍微宽裕点，想15号的还款2000左右，剩余的下个月还，想和广发银行的工作人员协商，可是工作人员要我还款5200多，要是能一次还清，就只要我还款3900元，我实在无能为力了，希望聚投诉帮我解决一下，因为我还要照顾家里两个老人，还有娃娃上学，实在无法了。</t>
  </si>
  <si>
    <t>2019/10/08 12:04:34</t>
  </si>
  <si>
    <t>分期十二期，实际只有三期，利息高的吓人，还到处打电话骚扰。</t>
  </si>
  <si>
    <t>2019/10/08 12:04:13</t>
  </si>
  <si>
    <t>投诉人 翁先生        投诉对象  闪管家        涉诉金额  1 090 元    问题类型    诉求类型投诉详情  闪管家有钱贷砍头息257元，催收态度恶劣</t>
  </si>
  <si>
    <t>2019/10/08 12:04:08</t>
  </si>
  <si>
    <t>今年又不发货，去京东，说店铺关了，产品满一年也没法售后。</t>
  </si>
  <si>
    <t>2019/10/08 12:04:01</t>
  </si>
  <si>
    <t>投诉人 吴先生        投诉对象  易鑫车贷,易鑫集团        涉诉金额  0 元    问题类型    诉求类型投诉详情  最近我车子出险 需要打印还款证明 每次打易鑫客服电话都是等待了很久 明明听到下一位就是我 最后直接电话给我挂断 几次都这样 我想问易鑫集团是这样做售后的吗 这样就不管不问吗 什么服务 请求平台给我处理一下这个事情。</t>
  </si>
  <si>
    <t>2019/10/08 12:03:44</t>
  </si>
  <si>
    <t>立借里面的青春宝，前几天无法还款，今天催收过来要求马上还款，并且要求我承担逾期费用，威胁爆通讯录！！！。</t>
  </si>
  <si>
    <t>2019/10/08 12:03:38</t>
  </si>
  <si>
    <t>新橙优品，借款3000，分6期，每期还款663.19，然而实际上费用却是变动的，上面显示下一期需要663.21，本来借款3000，6期就需要还接近4000元，而且捆绑保险，在下款的时候没说明是保险还是标榜为平台管理费，每期需收差不多200，请问这种平台合作的天津新城银行是怎么通过给这种平台放款的，这次我肯定继续投诉，包括互金，银监会，我怕都直接打电话投诉。</t>
  </si>
  <si>
    <t>2019/10/08 12:02:55</t>
  </si>
  <si>
    <t>我在及贷借款19000，想提前结清，客服竟然不允许，及贷不仅利息高于国家贷款利率而且不准提前结清，简直罔顾国法，明目张胆的违反法律，国家竟然不管，这怎么能行，怎么弘扬习近平总书记的中国梦，怎么维护老百姓的安居乐业。</t>
  </si>
  <si>
    <t>2019/10/08 12:02:50</t>
  </si>
  <si>
    <t>因个人原因没办法准时还上款，但是逾期一天扣利息太夸张了。</t>
  </si>
  <si>
    <t>2019/10/08 12:02:37</t>
  </si>
  <si>
    <t>投诉人 朱先生        投诉对象  聚福钱包        涉诉金额  299 元    问题类型    诉求类型投诉详情  上次跟我说处理，现在打电话说不知道。。。。</t>
  </si>
  <si>
    <t>2019/10/08 12:02:11</t>
  </si>
  <si>
    <t>砍头息国家命令禁止希望有关部门彻查暴力催收骚扰家人。</t>
  </si>
  <si>
    <t>2019/10/08 12:01:37</t>
  </si>
  <si>
    <t>平安普惠联合光大银行已强制购买保险收取管理费的名义违反高利贷，借款8000，已经还够本金加高额的利息，要求销账。</t>
  </si>
  <si>
    <t>2019/10/08 12:01:01</t>
  </si>
  <si>
    <t>整个集团都在推来推去了从九月份办理退款到现在将近一个月的时间。</t>
  </si>
  <si>
    <t>2019/10/08 12:00:56</t>
  </si>
  <si>
    <t>恶意催手，对本人冷嘲热讽侮辱，还曝光通讯录，打别人电话。</t>
  </si>
  <si>
    <t>2019/10/08 12:00:50</t>
  </si>
  <si>
    <t>由于最近家里出现问题，加本人工资大幅度降薪，导致光大银行信用卡逾期两个月，银行客服致电催收还款事宜，本人也表明了现在的情况无法一次性还款，之前家里出问题的时候也已经问了亲戚朋友借了一笔钱，所以现在没有办法在去问亲戚朋友，每个亲戚朋友已经能帮忙都已经帮忙，本人现在怀孕18周，家里老人家身体也是长年有毛病，每月也需要到医院定期复检，开药，也没有任何的经济能力，，本人也无话可说只能继续投诉到银监会解决，，在这样下去，天天一直接电话，影响本人工作，影响本人的精神，本人宝宝跟家里人出现身体问题，会追究到底，，本人希望</t>
  </si>
  <si>
    <t>2019/10/08 12:00:43</t>
  </si>
  <si>
    <t>闪银，一直用了3年没逾期过，这个月还给他8000被他套路了，资金链断了，今天和催收协商晚几天发工资一定还进去，催收威胁一点必须还清，1点还不清的话就爆通讯录，本人有录音可以提供，。</t>
  </si>
  <si>
    <t>2019/10/08 12:00:34</t>
  </si>
  <si>
    <t>不用在骚扰，下个月2号我肯定会还，不要在涨利息了。</t>
  </si>
  <si>
    <t>2019/10/08 12:00:11</t>
  </si>
  <si>
    <t>弹棉花属于高射炮平台实际到与借款金额不符，收取砍头息，平台无法正常还款，多次辱骂家人，暴力催收，平台无法正常还款，要求线下扫描二维码还款，沟通多次不叫在平台还款，非要线下还款，如若不还威胁骚扰家人。</t>
  </si>
  <si>
    <t>2019/10/08 11:59:56</t>
  </si>
  <si>
    <t>马上金融暴力恐吓，不停电话骚扰，一天能打几十个。</t>
  </si>
  <si>
    <t>2019/10/08 11:59:55</t>
  </si>
  <si>
    <t>9月29日办理一个拉卡拉的收款码，办理人员给我扫了两个一分，我自己用另一个微信扫码付款一百零几块，然后让朋友的朋友帮忙向我扫码付款四笔，总共2910.02，以为第二天可以到账，但是无缘无故被拉卡拉扣款了，说我交易异常，不让我提现，让我提供各种资料，我该提供的提供了，问题到现在还是没有解决，总共不到三千块有什么异常，到我账户的钱是不是我的，你们说交易异常可以不让我收款，但是我收到钱你们就给冻结了，感觉就是耍流氓，拿着我们的钱去做别的投资，一百八十天谁能等，别说我还配合拉卡拉提供相关材料了，就算我不提供我账户里</t>
  </si>
  <si>
    <t>2019/10/08 11:59:43</t>
  </si>
  <si>
    <t>分期乐，威胁恐吓，短信轰炸40条.....。</t>
  </si>
  <si>
    <t>2019/10/08 11:59:19</t>
  </si>
  <si>
    <t>2019年10月3日我在苏打优选下单购买一个蛋糕，订单号20****************0，价格339元，经咨询客服，其表示10月4日不能送达，因而我申请了退款，客服也同意并完成了退款处理，因此，我自己另外订了蛋糕，是另外在实体店已经订了！到了晚上，苏打优选客服突然来电改口说明天，可以送达，但我已经订了蛋糕，因此电话里明确表示了拒绝，有电话通话录音为证！但苏打优选，竟然未经客户同意，直接扣除我卡内339元！被划扣后，目前我在苏打优选帐户只剩下17元，附图之一是目前帐户只剩17元，原本有17+339=35</t>
  </si>
  <si>
    <t>2019/10/08 11:58:33</t>
  </si>
  <si>
    <t>2019年6月至7月，合利宝违规为小虎优品，猫头鹰，小海豚，吉祥草，兜有用，安薪花等714高炮平台提供支付渠道，金额达13828.56元，有银行流水为证据，要求退还砍头利息。</t>
  </si>
  <si>
    <t>2019/10/08 11:58:30</t>
  </si>
  <si>
    <t>闪送随意处罚，我手机静音了，没接到电话，他就随意处罚了。</t>
  </si>
  <si>
    <t>2019/10/08 11:57:37</t>
  </si>
  <si>
    <t>投诉人 吴女士        投诉对象  中邮消费金融        涉诉金额  19 000 元    问题类型    诉求类型投诉详情  之前每次都有正常还款 最近确实遇到资金周转困难 所以有逾期 平台严重暴力催收 电话恐吓还威胁电话联系通讯录好友 平台的利息很高严重超出正常范围 和高利贷有什么区别</t>
  </si>
  <si>
    <t>2019/10/08 11:57:27</t>
  </si>
  <si>
    <t>本人在9月18最后一次使用该平台租车，押金是需要订单的20天后才可以退，现在已经到了20天还不能退。</t>
  </si>
  <si>
    <t>2019/10/08 11:57:03</t>
  </si>
  <si>
    <t>本人于2019年7月1日在信用飞借款4000元，当时看协议没有砍头息，利息在能接受范围，就借了一比4000分3期的贷款，每月还款1400多元，到银行卡后我转到了微信，结果第二天收到短信，有费用没有扣率成功，后来有信用飞的女客服给我电话，态度非常恶劣，要求我交砍头息810元，还说已经逾期了，上征信了，我在app上查了，还真的是在消费账单里有810元的逾期所谓保险，我已经还清了这比贷款，而且我查了保险公司，并没有这个保险，所以这是变相的砍头息，本人要求信用飞方面撤销这比逾期的砍头息，以及在征信上的显示，否则将向</t>
  </si>
  <si>
    <t>2019/10/08 11:56:35</t>
  </si>
  <si>
    <t>我的银行存款被宝付盗刷，7月份至今没有结果，请问宝付是做什么的。</t>
  </si>
  <si>
    <t>2019/10/08 11:56:01</t>
  </si>
  <si>
    <t>投诉人凌女士投诉对象香港快运航空涉诉金额3075元问题类型诉求类型投诉详情由于当地情况，机场也多次受到影响，各个航班也因而受到停飞或延误的变动，香港机场地理位置基本上可以说犹如一个岛，出入机场交通受阻，基于对自身安全考虑，之前已经提前三个月向携程平台提出申请免费退票，但平台和航司一直推说11月的航班还没有受影响而不肯退票，最后希望平台和航司可以基于旅客安全考虑，给予免费全额或部分退票。</t>
  </si>
  <si>
    <t>2019/10/08 11:55:00</t>
  </si>
  <si>
    <t>退押金申请，退了一两个月了，还没信，联系当时对接人员，说帮忙催催，后面还加一句能力有限。</t>
  </si>
  <si>
    <t>2019/10/08 11:54:53</t>
  </si>
  <si>
    <t>小浦优客app注册，按步骤填写资料，然后最后要求绑定银行卡，过了半天说是扣除296元个人信用报告费用，可是之前申请步骤并没有说明有这个费用，扣费也没有任何付款验证直接就给扣了，因为不知道会有这种情况发生，申请过程没有截图，而且他也只是中介，扣取费用之后推荐几个app。</t>
  </si>
  <si>
    <t>2019/10/08 11:54:33</t>
  </si>
  <si>
    <t>携趣网络技术上海有限公司,通联支付,易小借,造艺技术,通联沪快，已经连续两天了每天从我卡上扣除50元，莫名奇妙。</t>
  </si>
  <si>
    <t>2019/10/08 11:54:30</t>
  </si>
  <si>
    <t>由于最近家里出现问题，加本人工资大幅度降薪，导致招商银行信用卡逾期两个月，银行客服致电催收还款事宜，本人也表明了现在的情况无法一次性还款，之前家里出问题的时候也已经问了亲戚朋友借了一笔钱，所以现在没有办法在去问亲戚朋友，每个亲戚朋友已经能帮忙都已经帮忙，本人现在怀孕18周，家里老人家身体也是长年有毛病，每月也需要到医院定期复检，开药，也没有任何的经济能力，，本人也无话可说只能继续投诉到银监会解决，，在这样下去，天天一直接电话，影响本人工作，影响本人的精神，本人宝宝跟家里人出现身体问题，会追究到底，，本人希望</t>
  </si>
  <si>
    <t>2019/10/08 11:54:13</t>
  </si>
  <si>
    <t>2019.1.31日在魔借平台上借款：8000元，每个月30号还款，这次还款涉及到国庆期间，我的银行卡出了问题，存钱进去老是被扣，导致逾期了还没有还上，最后骚扰我的联系人，爆我通讯录，这种行为简直让人害怕，钱我会一分不少的还上，请停止对我身边人的骚扰。</t>
  </si>
  <si>
    <t>2019/10/08 11:53:48</t>
  </si>
  <si>
    <t>我今天接到闪银的催收电话，说话态度极其恶劣。</t>
  </si>
  <si>
    <t>2019/10/08 11:53:47</t>
  </si>
  <si>
    <t>51信用卡旗下的给你花，用境外电话疯狂轰炸，威胁，辱骂亲朋好友，态度及其恶劣，已经报警处理，望贵平台支持。</t>
  </si>
  <si>
    <t>2019/10/08 11:53:22</t>
  </si>
  <si>
    <t>网贷水莲金条，催收员电话191******36，，逾期三天，说了一个星期内还清，该上征信就上征信，今日确实没钱还，催收员一定要我现在立马还，否则电话骚扰，罚息都罚了，打我家人电话，公司电话，语言带侮辱，要求停止骚扰并道歉。</t>
  </si>
  <si>
    <t>2019/10/08 11:53:13</t>
  </si>
  <si>
    <t>投诉人 杨先生        投诉对象  达飞云贷        涉诉金额  7 400 元    问题类型    诉求类型投诉详情  骚扰，威胁。影响正常生活。天天大半夜给发短信打电话骚扰</t>
  </si>
  <si>
    <t>2019/10/08 11:53:06</t>
  </si>
  <si>
    <t>百度有钱花爆力催收，多次爆通讯录，希望有关部门关闭这种害人公司，百度重庆小额贷款公司。</t>
  </si>
  <si>
    <t>2019/10/08 11:52:53</t>
  </si>
  <si>
    <t>2019年10月8日上午10点左右下载个叫购分期的APP，在注册过程中完全没有提示有任何扣分信息，注册以后就发现被扣了299元，要求退款。</t>
  </si>
  <si>
    <t>2019/10/08 11:52:27</t>
  </si>
  <si>
    <t>我在聚福钱包上打算借钱，发现他们是个中介平台，就删了app,没借钱，就在我删除app后，我收到信息在我绑定的银行卡上扣除了299元，我联系了他们客服，他们说在14个工作日会给我退款，但是我等了14天后，再与他们联系，他们却让我把身份证复印件等等个人资料邮递到上海公司前台，还说若因为我的资料不通过就不退款，并且只有二个月的退款期，我觉得他们恶意欺诈，请让他们给我退款并道歉，谢谢。</t>
  </si>
  <si>
    <t>2019/10/08 11:51:56</t>
  </si>
  <si>
    <t>投诉人 宋女士        投诉对象  快闪卡贷        涉诉金额  7 000 元    问题类型    诉求类型投诉详情  合同金额7000元 但是到账只有5892元 砍头息高达1108元 每月还1404 六个月要还八千四 也就是我借了5892六个月要还8400 这简直就是高利贷 现在我已经还了五个月 共7020元 我要求 退给我扣掉的保费 并且最后一期合理销账</t>
  </si>
  <si>
    <t>2019/10/08 11:51:12</t>
  </si>
  <si>
    <t>签署假合同，合同上写借款金额是6650，实际到账是5000元，还款清单上写每月还款为1143.31加6.66的服务费，总和却是1428.73，半年还款总金额高达7500这年利率都到百分之百了，上月9号到账本月7号让还款，未逾期一直拨打催款电话，6号就开始一直打电话，现在被威胁下不得不还款第一期，希望能做出处理，谢谢。</t>
  </si>
  <si>
    <t>2019/10/08 11:51:08</t>
  </si>
  <si>
    <t>投诉人 金女士        投诉对象  惠花        涉诉金额  1 000 元    问题类型    诉求类型投诉详情  我因为有事情逾期了一天。然后今天给我打电话让我处理。我去app一看发现涨了三十几。而且利息过高。借1000还1530</t>
  </si>
  <si>
    <t>2019/10/08 11:50:04</t>
  </si>
  <si>
    <t>中国移动解释一下手机号码为什么被封，我昨天查了一下说我诈骗。</t>
  </si>
  <si>
    <t>2019/10/08 11:49:54</t>
  </si>
  <si>
    <t>本人之前通过即有分期办理的分期业务，金额6000，分9期，每期863.76.，本人按照合同处理了6期，后面因为经济问题逾期，前几天接到平安普惠的电话，要我偿还剩余分期金额3400多元，我本人与平安普惠不存在任何合同关系，请平安普惠立即停止违法催收！。</t>
  </si>
  <si>
    <t>2019/10/08 11:49:51</t>
  </si>
  <si>
    <t>投诉人 方先生        投诉对象  小象优品        涉诉金额  1 100 元    问题类型    诉求类型投诉详情  骚扰电话 肆意妄为 恐吓威胁 泄露信息 侮辱我</t>
  </si>
  <si>
    <t>2019/10/08 11:49:03</t>
  </si>
  <si>
    <t>投诉人梁先生投诉对象玖富涉诉金额1155元问题类型诉求类型投诉详情由于客观因素导致玖富第8期还款逾期，早上接到玖富催收电话，不容商量让我必须下午两点解决不然给我亲友打电话，每期878的本金，255的费用，希望玖富给予时间，如果没有难处谁想逾期。</t>
  </si>
  <si>
    <t>2019/10/08 11:48:55</t>
  </si>
  <si>
    <t>360暴力催收恐吓，在国庆节期间也一直在暴力催收，威胁我要上门，因为工地工资晚发，所以暂时还不上，但是360借条不停打电话，还打亲戚朋友通讯录，还要对我进行人身自由绑架，事态严重，我有完整的通话录音，并且我朋友被催收都有录音。</t>
  </si>
  <si>
    <t>2019/10/08 11:47:06</t>
  </si>
  <si>
    <t>投诉人傅女士投诉对象马上消费金融涉诉金额160元问题类型诉求类型投诉详情已经还款又给我乱扣钱。</t>
  </si>
  <si>
    <t>2019/10/08 11:46:49</t>
  </si>
  <si>
    <t>投诉人曹先生投诉对象豆豆钱涉诉金额7000元问题类型诉求类型投诉详情因本人在豆豆钱有一笔借款逾期，豆豆钱找到了催收外包公司，对我和家人进行电话骚扰，侮辱。</t>
  </si>
  <si>
    <t>2019/10/08 11:46:31</t>
  </si>
  <si>
    <t>投诉人张先生投诉对象买单侠涉诉金额1800元问题类型诉求类型投诉详情买单侠委托第三方暴力催收，电话辱骂，恐吓，请求平台给与曝光，作出处罚。</t>
  </si>
  <si>
    <t>2019/10/08 11:46:23</t>
  </si>
  <si>
    <t>投诉人刘女士投诉对象苏宁易购涉诉金额658元问题类型诉求类型投诉详情本人今年3月底于天猫苏宁易购买入上菱冰箱一台，仅使用两月后冰箱保鲜层出现结冰严重问题，二档档位结3cm厚冰，前期联系苏宁和厂家五六次，每次都以各种理由相互推脱，拖延时间，报修以后拖拖拉拉三个月时间里只有派出两名师傅上门维修，然而维修了四次并没有修好，冰箱问题甚至越来越严重，鉴于上门已经维修过几次，该换的配件也换过，还是没有修好，售后联系我让网点开鉴定单，说如果实在是商品质量问题修不好可以给我换货，然而网点开具鉴定单以后，苏宁易购负责审核换货</t>
  </si>
  <si>
    <t>2019/10/08 11:46:12</t>
  </si>
  <si>
    <t>投诉人杨先生投诉对象快闪卡贷涉诉金额15000元问题类型诉求类型投诉详情快闪卡贷砍头息，而且未查询到保险单号！利息超过年化36%！达到136%！到手金额1.2万多，6个月还款1.8万！现已经还款5个月，总还款1.5万，总利息付款3000。</t>
  </si>
  <si>
    <t>2019/10/08 11:45:54</t>
  </si>
  <si>
    <t>投诉人许先生投诉对象钱橙无忧涉诉金额168元问题类型诉求类型投诉详情我昨天申请了钱橙无忧，需要168购买什么报告，我立马卸载了。</t>
  </si>
  <si>
    <t>2019/10/08 11:45:53</t>
  </si>
  <si>
    <t>投诉人刁先生投诉对象车小喜涉诉金额2200元问题类型诉求类型投诉详情深圳市车小喜科技控股有限公司手机客户端APP车小喜，一次性充值油卡后每月返还一定数额，自2019年1月起未兑现剩余应返还金额，本人共计剩余2200元人民币未兑付，该公司发布通告无法运营，并许诺在往后逐月按一定比例退还本金，但一期未退。</t>
  </si>
  <si>
    <t>2019/10/08 11:45:43</t>
  </si>
  <si>
    <t>本人并未在马上金融借款马上金融称水滴贷是其合作平台。</t>
  </si>
  <si>
    <t>2019/10/08 11:45:03</t>
  </si>
  <si>
    <t>投诉人 华先生        投诉对象  嗨钱网        涉诉金额  1 700 元    问题类型    诉求类型投诉详情  嗨钱App没处理还款。现在App一直显示欠款每天利息还上涨。</t>
  </si>
  <si>
    <t>2019/10/08 11:44:44</t>
  </si>
  <si>
    <t>10月6号早上的闪银瞬瞬借款，一直不到账，审核中，中间联系无数次客服，不理或者不回答，马上明天要还糯米贷账单了，作为老客户请闪银马上处理问题到账！！！。</t>
  </si>
  <si>
    <t>2019/10/08 11:44:38</t>
  </si>
  <si>
    <t>对方不断骚扰，投诉多次一点用没有，还冒充公检法给我发开庭信息，冒充公检法，是触犯法律的，钱站真的就无法无天了吗。</t>
  </si>
  <si>
    <t>2019/10/08 11:44:31</t>
  </si>
  <si>
    <t>6月18日，本人把郑州大观国际一套家属楼租赁给河南悦如资产管理有限公司，签订有《悦如房屋委托代理合同》，，合同约定租期五年，租金4600元/月，至2021年7月终止，在没有征得我方同意的情况下突然单方面终止履行合同，且租金只缴纳到2019年7月份，欠交2019年8、9两个月的租金9200元，按照合同约定悦如公司“应按月租金的200%支付违约金”9200元，合同约定，“悦如公司返还房屋的标准为：恢复房屋原有格局，墙面污损处粉刷修复”，而目前房屋状况主要存在的问题是：1、墙面更改颜色；2、卫生间下水道堵塞，厨房</t>
  </si>
  <si>
    <t>2019/10/08 11:44:05</t>
  </si>
  <si>
    <t>2019年6月至7月，快钱支付违规为养乐多，贝壳，富丽宝714平台提供支付渠道，金额高达7819.68元，有银行流水为证明！。</t>
  </si>
  <si>
    <t>2019/10/08 11:44:03</t>
  </si>
  <si>
    <t>逾期第二天就接了电话，给他们留了一个新的号码，旧号码手机坏了一直没用，但是他们不打预留的电话，拼命爆通讯录。</t>
  </si>
  <si>
    <t>2019/10/08 11:44:00</t>
  </si>
  <si>
    <t>投诉人田女士投诉对象香港快运航空涉诉金额6000元问题类型诉求类型投诉详情本人在2019年4月预订了9月30日香港到石垣的往返机票，其中香港往台中的UO182航班，被无故变更为UO182D航班，并且时间延后到次日，直接导致我们2位乘客无法按原计划按时乘坐UO182航班，整个国庆的旅行计划被打乱，，直接造成我额外重新支付4张机票共9862元人民币的经济损失，还有9月30日我们订的接机费用880元，还有在石垣安排的项目费用，因此，本人强烈要求香港快运给与我合理的解释，并赔偿我因此造成的损失！。</t>
  </si>
  <si>
    <t>2019/10/08 11:43:57</t>
  </si>
  <si>
    <t>我之前跟我爱人在凡普信贷款50000周期24期，还了，一年，刚刚到手，我想延期还款，但是接到了，暴力催收，骚扰我亲朋好友我家人。</t>
  </si>
  <si>
    <t>2019/10/08 11:43:42</t>
  </si>
  <si>
    <t>本人被平安付科技有限公司，于2019年10月8号11点左右，未经允许，无辜扣费277元，不知去向！要求返还！。</t>
  </si>
  <si>
    <t>2019/10/08 11:43:12</t>
  </si>
  <si>
    <t>没有明确要扣费也没有扣费提示，不用输入密码直接扣费！。</t>
  </si>
  <si>
    <t>2019/10/08 11:41:14</t>
  </si>
  <si>
    <t>投诉人王先生投诉对象我来数科涉诉金额7679元问题类型诉求类型投诉详情不记得是通过哪个窗口点击下载的我来贷，，看到其广告打着说利息有多低，所以就下载了，并申请了6000元的借款，借款6000，分期9个月，本金加利息加手续费所有费用当时显示好像是总共需要还款6900块左右，高是高了点，但缺钱还是认了，还款7个月之后，现在是第8个月，看还了这么久钱也不知道到底还了多少，所以就开始来算，不算不知道，一算吓一跳，第一期还款906.65，剩下的八期，每期还款846.65，也就是总共要还7679.65元，600多的本金</t>
  </si>
  <si>
    <t>2019/10/08 11:41:01</t>
  </si>
  <si>
    <t>贷款时强制买卡，不开发票，贷款后暴力催收，言语恐吓，冒充律师。</t>
  </si>
  <si>
    <t>2019/10/08 11:41:00</t>
  </si>
  <si>
    <t>投诉人张先生投诉对象凡普信涉诉金额55000元问题类型诉求类型投诉详情2018年8月13日在凡普信借款55000元，但合同金额为84500元，分36期每期还2781.93，年化利息44％已正常还款13期36165.09元，首期服务费29500元一次性扣走，占到帐本金的56.63％，我实际到帐55000元，已正常还款36165.09元剩余本金应为18834.91元，现在想一次性结清余下欠款，但凡普信要求再还40500元的才能结清，年化利息高达60％，凡普信高额服务费掩盖高利息远超出法律规定的利率，并且违反合同</t>
  </si>
  <si>
    <t>2019/10/08 11:40:50</t>
  </si>
  <si>
    <t>在我不知道的情况下扣费84元，要求退款，什么玩意呀，。</t>
  </si>
  <si>
    <t>2019/10/08 11:40:25</t>
  </si>
  <si>
    <t>投诉人 张先生        投诉对象  交通银行        涉诉金额  10 000 元    问题类型    诉求类型投诉详情  非法购买他人个人信息。请给一个合理的答复。</t>
  </si>
  <si>
    <t>2019/10/08 11:40:12</t>
  </si>
  <si>
    <t>本人因创业失败，导致信用卡逾期，现在刚找到工作，所以协商还款，交通银行协商人员9月24号让我借借处理4000多，我按照他们说的预支工资，借钱处理了4000多，现还剩8000，他说会给我充足时间让我处理，到今天10月8号，交通又打来电话，说让我还款，还说去我老家，态度很恶劣，我表现了我的还款诚意，你们出尔反尔。</t>
  </si>
  <si>
    <t>2019/10/08 11:40:04</t>
  </si>
  <si>
    <t>投诉人马先生投诉对象带上钱涉诉金额2500元问题类型诉求类型投诉详情贷上钱高利贷，下款额度写明2500，到期以后要还3325，额外费用强制购买游戏金豆，催收人员态度恶劣，主动与其协商处理对我方言语恐吓，。</t>
  </si>
  <si>
    <t>2019/10/08 11:39:33</t>
  </si>
  <si>
    <t>立借乐信优品高利贷，借款2000元只下款1500元，28天要还2000元，现已还2000元，乐信优品仍要还对方造成的逾期费用，并持续骚扰，现要求退还非法利息，停止骚扰。</t>
  </si>
  <si>
    <t>2019/10/08 11:39:26</t>
  </si>
  <si>
    <t>青岛宝龙商业物业管理有限公司,上海宝龙商业地产管理有限公司，城阳宝龙广场物业随意给业主断电，作为转供电主体不给业主提供供电服务，租赁业主商铺，作为物业服务企业，需要缴纳10000元提供全套招标图纸才给予供电，包括装修保证金、营业保证金、预交3个月物业费等内容，城阳宝龙开业就跟倒闭一样，商户没几个入驻的也是有原因的，跟小商户要招标标准的图纸，作为40平的小商铺花上千块专门去作图，照片一类的还要求业主自己去PS，改掉自己没做好的东西哪里来的勇气，租赁的业主房屋产权在业主不在物业！作为物业服务企业，不是为业主服务</t>
  </si>
  <si>
    <t>2019/10/08 11:38:58</t>
  </si>
  <si>
    <t>投诉人苏先生投诉对象天猫苏宁易购官方旗舰店涉诉金额1299元问题类型诉求类型投诉详情手机刚收到货不到半月频繁死机，首次联系苏宁售后建议联系小米售后进行维修，小米返厂维修三次后，更换一次主板，另外两次检测不是硬件问题无法解决，小米最后给换成新的同型号手机，结果新手机又出现问题，理由是两次检测没问题，他们说不是问题，不能算维修过，，也没有说明换机，而且换机也没告知他们，所以无法退货，没问题小米给换新机，又说不是联系他们进行换机的，刚刚出现问题是苏宁让我联系的小米。</t>
  </si>
  <si>
    <t>2019/10/08 11:38:50</t>
  </si>
  <si>
    <t>之前租过悦如的房子，整体还是很愉快的，办理退租两三天押金就退了，重点来了，退租什么的都很顺利，就是押金，之前打电话说得20天之内，谁知道这过了20多天了，还在审核中，我就想问，我的押金提现什么时候能到账！！！。</t>
  </si>
  <si>
    <t>2019/10/08 11:38:49</t>
  </si>
  <si>
    <t>投诉人张先生投诉对象小浦优客涉诉金额296元问题类型诉求类型投诉详情他说我10月2号申请了账号，借款需要购买会员，当时我就没买，直接退了，也卸了，8号的今天却无缘无故的扣掉我296，打电话说是买征信报告。</t>
  </si>
  <si>
    <t>2019/10/08 11:38:47</t>
  </si>
  <si>
    <t>闪银逾期，说晚两天还，催收威胁要走流程，问他什么流程，催收不说。</t>
  </si>
  <si>
    <t>2019/10/08 11:38:40</t>
  </si>
  <si>
    <t>投诉人薄先生投诉对象平安普惠涉诉金额2700元问题类型诉求类型投诉详情过度催收，骚扰不断，还没到期就催收！要求道歉。</t>
  </si>
  <si>
    <t>2019/10/08 11:38:30</t>
  </si>
  <si>
    <t>投诉人 方先生        投诉对象  智行        涉诉金额  0 元    问题类型    诉求类型投诉详情  账号无法注销 个人信息容易遭到泄露和非法利用</t>
  </si>
  <si>
    <t>2019/10/08 11:38:16</t>
  </si>
  <si>
    <t>投诉人魏先生投诉对象小米金融涉诉金额3800元问题类型诉求类型投诉详情侵犯个人隐私，获取通讯录，非法轰炸通讯录，频繁恶意骚扰恐吓我家人朋友！。</t>
  </si>
  <si>
    <t>2019/10/08 11:37:36</t>
  </si>
  <si>
    <t>投诉人汪女士投诉对象多米贷涉诉金额8100元问题类型诉求类型投诉详情8100到手7290，我拒绝还砍头息那部分，他们就来骚扰，还恐吓我爸。</t>
  </si>
  <si>
    <t>2019/10/08 11:37:35</t>
  </si>
  <si>
    <t>说好买红酒98成推广员，20天推广退98元，现在没做几天就给我余额清零，不给做任务，不给提现，客户不解释，踢我出群。</t>
  </si>
  <si>
    <t>2019/10/08 11:37:34</t>
  </si>
  <si>
    <t>网上购买9月29日长恨歌门票，可出票不知怎么就是28日的票。</t>
  </si>
  <si>
    <t>2019/10/08 11:36:50</t>
  </si>
  <si>
    <t>投诉人李先生投诉对象你我贷涉诉金额27180元问题类型诉求类型投诉详情2018年9月28日于你我贷APP借款20000元人民币分期12个月，合同年利率10%，但是借款完成后登录APP还款显示，第一个月和第二个月还款3504.98，以后十个月每个月分别还款2016.98，合计需还款27180，经查询还款明细发现十二个月还款中除本息外均增加一笔238.56元的风险保障费，第一个月和第二月每个月分别增加一笔1488元平台服务费，目前已还完11期，已还金额25163元，第十二期未还款，由于最近资金紧张，逾期后向客服</t>
  </si>
  <si>
    <t>2019/10/08 11:36:34</t>
  </si>
  <si>
    <t>贷上钱高利贷，贷款两千一个月后要还两千四百多，暴力催收骚扰我爸妈。</t>
  </si>
  <si>
    <t>2019/10/08 11:36:21</t>
  </si>
  <si>
    <t>2019.6.28日借款：3000元&amp;nbsp;到账：2400元，现在是最后一期了，还款日那几天，我的银行卡出现了问题，老是被别的给扣掉，我说可以提供被扣的证明，他们不信，还要给我联系人打电话，说是看看我怎么欠钱不还，还骗人的…都是最后一期了，这个态度实在无法理解。</t>
  </si>
  <si>
    <t>2019/10/08 11:36:05</t>
  </si>
  <si>
    <t>10.1日在苏宁易购自营购买3箱52度酱香白酒，等待多日收到后为53度，找官方客服协调重发，但得到的答复仅为标错退款，此款酒目前仍在售卖，苏宁易购对自己自营商品监管不力，为所欲为。</t>
  </si>
  <si>
    <t>2019/10/08 11:35:27</t>
  </si>
  <si>
    <t>投诉对象里面的3天和6天套路贷，来花花，肥猫贷，想有钱，佑佑分期，金鸡下蛋，呗呗分期app属于展鸿科技旗下，前几天由于母亲心脏病手术，没办法借了旗下一家，借款1500，到账1100.隔天就要还1500.这属于典型套路贷名曰3天实际上只有一天半，到账以后隔天催收，来电话就开骂，威胁，没办法又借他们家另外一家还他们一家，相当于借他们家钱还他们家钱，就这样发展成了7-8家，钱根本上没怎么用，一下子就发展成了1万多的债务，7-8家平均每家续期4期左右，利息已经交了大几千了，上了他们的套，本人诉求是本金加少许利息清账</t>
  </si>
  <si>
    <t>2019/10/08 11:35:07</t>
  </si>
  <si>
    <t>投诉人 宋女士        投诉对象  Wecash闪银        涉诉金额  1 300 元    问题类型    诉求类型投诉详情  闪银哼哼催收方 不予协商 态度恶劣 语言威胁 爆通讯录</t>
  </si>
  <si>
    <t>2019/10/08 11:34:59</t>
  </si>
  <si>
    <t>2017年12月9日本人通过app形式向马上消费金融公司进行2万元分24期每月1340元的方式进行贷款，而另有不愿意透露姓名的投诉人向记者透露他在马上金融使用现金贷业务借款6500元，分9期还款，第一个月利息便高达300元，折算综合年化利率高达80%以上，早在2015年最高人民法院就出台了《最高人民法院关于审理民间借贷案件适用法律若干问题的规定》(下称规定)，明确了民间借贷年利率超过36%的利息约定无效，业内普遍认为当时的持牌机构是专指银行，而不是持有消费金融牌照的金融公司，案件处理过程中当地机关对本人名下</t>
  </si>
  <si>
    <t>2019/10/08 11:33:50</t>
  </si>
  <si>
    <t>投诉人 李先生        投诉对象  兴业yinhangq        涉诉金额  22 000 元    问题类型    诉求类型投诉详情  本人因为创业失败。导致目前经济困难。无力全款偿还信用卡债务。同意和银行协商处理。但是银行催熟人员。暴力催熟。威胁恐吓。在本人和紧急联系人能可以联系到的情况下。竟然威胁我要去第三方亲属家里催收。难道银行的委托机构就是游离于法律之外吗 ？我在提出协商还款后催熟人员直接告知不接受。不受信用卡管理条例约束。希望兴业银行给一个合理</t>
  </si>
  <si>
    <t>2019/10/08 11:33:47</t>
  </si>
  <si>
    <t>鑫圣金业在网上诱导诈骗我投资，但是后台控制平台，做对赌盘，本人已经报警立案处理，希望大家别被这家公司诈骗，同时要求鑫圣金业退我血汗钱。</t>
  </si>
  <si>
    <t>2019/10/08 11:33:23</t>
  </si>
  <si>
    <t>怎么说呢，钱我是借了，1600，到账1062吧好像，对了刚才他们还说我转过给他们的600，我也可以转给我爸然后说我已经转给他们已经还了……换了手机，之前的聊天记录在另一个手机上，不过无所谓，投诉有用就行，手机修好卡补办回来之后呢，他们app进不去了，后来有人联系我，我加了微信，没有立马还款，有一直保持联系，九月底还是十月初，还了1100到他们所谓的对公账户，哟嚯，还和他们开了下玩笑，歌舞厅还放高利贷啊……说好600等几天给他……然后捏，刚好我生病，挺严重啊，脑出血，他联系我了，我说我在休息晚上转过去，然后他</t>
  </si>
  <si>
    <t>2019/10/08 11:33:15</t>
  </si>
  <si>
    <t>投诉人 徐先生        投诉对象  来分期,360借条,分期乐        涉诉金额  2 000 元    问题类型    诉求类型投诉详情  严重骚扰。骚扰通讯录。把通讯录搞的鸡犬不宁</t>
  </si>
  <si>
    <t>2019/10/08 11:32:23</t>
  </si>
  <si>
    <t>一直都在与对方协商提前还款剩余的利息减掉，没有被正视，还一直打电话威胁我。</t>
  </si>
  <si>
    <t>2019/10/08 11:32:06</t>
  </si>
  <si>
    <t>暴力催收，恶意中伤，套路深，发短信辱骂！无语。</t>
  </si>
  <si>
    <t>2019/10/08 11:31:44</t>
  </si>
  <si>
    <t>投诉人 司先生        投诉对象  立借        涉诉金额  10 000 元    问题类型    诉求类型投诉详情  借款10000元，分三期还款13900元</t>
  </si>
  <si>
    <t>钱站骚扰我，威胁我，我已经说一周内肯定还上了。</t>
  </si>
  <si>
    <t>2019/10/08 11:31:35</t>
  </si>
  <si>
    <t>投诉人 罗女士        投诉对象  马上消费金融        涉诉金额  6 000 元    问题类型    诉求类型投诉详情  天天打电话威胁我 说不还就要喊人去我家里威胁家人 他们的借款当初借6000还12期 我还了一期600多 现在不可以分期 而且要一次性还清8000多 利息超过了年利率百分之三十六</t>
  </si>
  <si>
    <t>2019/10/08 11:31:18</t>
  </si>
  <si>
    <t>骚扰家人，恐吓，恶意诽谤，发布不良信息，影响生活。</t>
  </si>
  <si>
    <t>2019/10/08 11:30:57</t>
  </si>
  <si>
    <t>中信银行违规办理帐号为:62*************3的信用卡，未审核本人办理信用卡资质，在本人无房，无车，无存款，无工作单位，无任何职业，无收入来源，在未审核能否归还被借资金的情况下，办理了该信用卡，几个月后，该行工作人员电话虚假宣传，引诱，误导本人，以提高信用卡额度为诱饵，升级为白金卡，接电话后想了想，随后几次回拨该电话，就无人接听了，在未有任何通知的情况下，增加了信用卡还款额，本人仅消费5000元，结果在还款时，发现需要还款7000元，本人于是拒绝这种乱收费，至今近一年多，本人依靠亲人还款时，发现仅</t>
  </si>
  <si>
    <t>2019/10/08 11:30:00</t>
  </si>
  <si>
    <t>7月8号跟13号用过两个网贷，分别是3500到账2450和3500到账2635，第一个七天还3517，第二个五天还3517，支付渠道是宝付支付，我想问一下，这么高额的砍头息为什么宝付支付会给它提供支付渠道，！不要跟我说找不到网贷平台了，找不到平台但是问题还是要解决的，本金及合法利息我可以都还，但是我希望高额的砍头利息退回我的账户，记录应该都能查到，请宝付支付工作人员给我一个合理的说法。</t>
  </si>
  <si>
    <t>2019/10/08 11:29:52</t>
  </si>
  <si>
    <t>开头的跟我说不会收取前期费用，申请成功之后让我要还第一个月的还款作信用验证，打了954过去，后面因为我银行卡填错，他们app不能更改信息，找客服客服说要交3000作风险保证金才能更改银行卡，我没答应就让退954，客服说可以退，但是要等7-15个工作日，说等上班财务才能处理，今天问，说是从今天开始7-15天才行，我要求马上退款。</t>
  </si>
  <si>
    <t>2019/10/08 11:29:51</t>
  </si>
  <si>
    <t>本人因创业失败，导致信用卡一直逾期，但当时已经给客服打了电话说了情况要协商处理，本人也刚找上工作，广发去我老家，在我老家留了个纸条让我速电话，结果打回去一直没人接，后来又用这个号联系我，后来催收来电话也不给协商必须让全额还款，没有一点商量余地，到最后恐吓我，下边是他给我留号的通话记录，。</t>
  </si>
  <si>
    <t>2019/10/08 11:29:47</t>
  </si>
  <si>
    <t>投诉人 雷海晶        投诉对象  携趣信息科技（上海）有限公司        涉诉金额  299 元    问题类型    诉求类型投诉详情  在我不知情况下乱扣款 请马上处理马上退回</t>
  </si>
  <si>
    <t>2019/10/08 11:29:32</t>
  </si>
  <si>
    <t>之前被朋友套路在这个软件借了60000元，实际到手48000元，收取12000元作为咨询费，等全部钱款还完无逾期才退还12000元的咨询费，总共还款36个月，每个月还本息1989.56元加上571.25元的服务费一共是2560.81元，我现在已经还款了22个月合计56000多元。</t>
  </si>
  <si>
    <t>2019/10/08 11:29:31</t>
  </si>
  <si>
    <t>本人交通银行储蓄卡无缘无故被特约终智也就是中金支付扣299元，打客服电话询问，一直推脱，给的号码无法接通，希望机构看到与我联系@中金支付@交通银行。</t>
  </si>
  <si>
    <t>2019/10/08 11:29:04</t>
  </si>
  <si>
    <t>闪银旗下闪豆借1000砍头200多，本人已经逾期4天，因为资金紧张，现在想申请延期还款，并减去高额逾期费。</t>
  </si>
  <si>
    <t>2019/10/08 11:28:44</t>
  </si>
  <si>
    <t>投诉人 项先生        投诉对象  小赢卡贷        涉诉金额  5 000 元    问题类型    诉求类型投诉详情  本人因为家里和个人原因导致现在欠款逾期了 小赢卡贷催收的从早上就一直打电话威胁我 叫我去找别人借把他们还了 且一直威胁我要打居委会电话要打通讯录电话</t>
  </si>
  <si>
    <t>2019/10/08 11:28:36</t>
  </si>
  <si>
    <t>投诉人 毛勇先生        投诉对象  立借        涉诉金额  15 000 元    问题类型    诉求类型投诉详情  高利贷，砍头息，服务差，恐吓我，。。。。。。。。</t>
  </si>
  <si>
    <t>2019/10/08 11:28:32</t>
  </si>
  <si>
    <t>我和我爱人在凡普信贷门店贷款，贷款期限是24个月，已经还了一年了，最近一期晚还一天，但是疯狂骚扰我家人，我亲朋好友，用一些下三滥手段在催款，请有关部门制止！。</t>
  </si>
  <si>
    <t>2019/10/08 11:28:29</t>
  </si>
  <si>
    <t>水莲金条极速版,水莲金条,智莲科技有限公司，9.30日还款，招商银行转账从10.3日开始打给我父母亲友，频繁的骚扰我的家人还辱骂我父亲我给客服说我9.30日已经还款了，他说，不清楚，他公司没收到转账，电话骚扰一直到10.7日期间app里一直显示我逾期未还款今天10.8日才给我结清，发短信说已经结清我父母亲友被骚扰辱骂这么多天，必须给我个交代现在要求水莲金条给我个回复，道歉，撤销我的问题征信显示我的还款日是10.8日，我9.30还的款！。</t>
  </si>
  <si>
    <t>2019/10/08 11:28:20</t>
  </si>
  <si>
    <t>10月7日，本人在有票网app，进行转票，转票时系统提示要缴纳与票价等额的保证金，于是本人用信用卡缴纳了24000的保证金，等了大概一天时间，发现票没有转出去，便取消了这个转票订单，原以为保证金会原路返回，结果却发现24000元的保证金退到了余额里，当时便咨询客服该怎么操作，客服让我提现试试，，提现后到了今天10月8日，对方给我打电话说这笔资金不让提现，要么扣除1%的手续费，有么放在账号里买票用，，这种“我说了算”的霸王条款在国家严打的今天还能横行，真是对法制的践踏！。</t>
  </si>
  <si>
    <t>2019/10/08 11:28:12</t>
  </si>
  <si>
    <t>小花钱包利息高，逾期三天，各种电话短信骚扰恐吓，声称要骚扰我家人，电话信息不停骚扰态度恶劣不跟人协商，客服电话找不到，简直是黑恶行为，出来给我道歉！。</t>
  </si>
  <si>
    <t>2019/10/08 11:28:07</t>
  </si>
  <si>
    <t>2019年初，拨打10000办理宽带业务，电信派了两位安装的工作人员上门，推荐套餐，每月消费120元话费，包含每月100M宽带，外加赠送一部手机，我表示不需要手机，办理业务人员说他个人可以550元回收此部手机，然后微信给我转款，结果近期有一个称是翼支付的平台，打电话给我身边朋友进行催收，说我有欠款，我此时才知道，居然已被强制开通橙分期业务，每月需扣款40元，逾期有利息，而且还上征信，因为之前完全不知道这个事情，造成这样严重后果，已经多次打电话翼支付平台，各种踢皮球，无法解决。</t>
  </si>
  <si>
    <t>2019/10/08 11:27:54</t>
  </si>
  <si>
    <t>9月12日，一消报名失败后才得知自己的情况并不符合一消报考条件，既虽然年满26周岁但本人也因未从事过消防及相关专业工作，与一消考试公告上要求8年的工作年限根本不挂钩，且公司也无法开具消防工作年限，最终导致本人一消报名考试失败，我不同意，因为一开始就是是嗨学通过不正当竞争的销售手段手段引诱我购买课程，购买课程后还千方百计要求我只要跟着老师的进度学习，安慰我只要跟着老师学习通过考试一定没问题，如今连考试资格都不具备，却有把责任推到我头上，嗨学这种扰乱市场的销售手段太嚣张了，为什么这么多的报名机构，别家在聚投诉就</t>
  </si>
  <si>
    <t>2019/10/08 11:27:31</t>
  </si>
  <si>
    <t>群发信息，暴力催收，人让我无地自容，而且还经常半夜骚扰我的亲朋好友。</t>
  </si>
  <si>
    <t>2019/10/08 11:27:26</t>
  </si>
  <si>
    <t>投诉人 李先生        投诉对象  微信        涉诉金额  0 元    问题类型    诉求类型投诉详情  我是老师，我给孩子发点资料怎么了。请问，</t>
  </si>
  <si>
    <t>2019/10/08 11:27:17</t>
  </si>
  <si>
    <t>顺分期APP现在无法打开登录，无法还款，还有很多电话打进来自称为顺分期的催收，让我加财务微信处理，而且微信都是一会一换的，希望顺分期的工作人员联系我，我把账单处理了。</t>
  </si>
  <si>
    <t>2019/10/08 11:27:01</t>
  </si>
  <si>
    <t>今日头条,北京今日头条科技有限公司,北京字节跳动科技有限公司,上海今日头条科技有限公司，2019年4月在今日头条开户鲁班账户缴纳一万推广费两万保证金，七月申请退店并退还保证金，客服经理各种推脱，后台提示要最后一笔订单签收后三个月才能申请退保证金，我想就是时间问题等三个月，我查了最后一笔订单满三个月后是10月3号，今天十月8号了申请退款发现账户保证金显示为零，我不知道保证金去向，联系客服经理告知我要系统升级，我在怀疑是不是故意找各种理由拒绝退还保证金，还是这个公司就是骗子公司。</t>
  </si>
  <si>
    <t>2019/10/08 11:26:56</t>
  </si>
  <si>
    <t>借款一万还款一万三千多年利率百分之三十五以上高于国家标准利率百分之二十四。</t>
  </si>
  <si>
    <t>2019/10/08 11:26:52</t>
  </si>
  <si>
    <t>借一千分三期，一期632，三期总额高达将近2000，而且还款日当天并没有逾期就有他们的工作人员不停打电话骚扰，态度还十分恶劣。</t>
  </si>
  <si>
    <t>2019/10/08 11:26:42</t>
  </si>
  <si>
    <t>由于以前注册过滴滴，手机号已经停止使用去营业厅也无法补回手机号，收不。</t>
  </si>
  <si>
    <t>2019/10/08 11:26:23</t>
  </si>
  <si>
    <t>10月5日到期，5号当日我在钱站app上面操作还款多次一直显示系统异常，客服也一直联系不上，到晚上十点多由于害怕产生逾期，故通过微信公众号联系客服转帐还款，10月6号和10月7号两天多次联系客服确认还款，客服一直给不出正面回答，到10月8号早上有客服联系我说未收到还款，说我被骗，让我再次还款，还威胁我说不再还款要给家人打电话！希望聚投诉帮忙协助处理。</t>
  </si>
  <si>
    <t>2019/10/08 11:26:21</t>
  </si>
  <si>
    <t>宙斯钱包还款日当天不断电话骚扰，恐吓爆通讯录，借款账面3000，实质到账1860，砍头息1000多，还不断打电话骚扰，恐吓。</t>
  </si>
  <si>
    <t>按月还款，要求全部清款，不清款就给家人打电话，家人已收到电话，态度极其恶劣，要求彻查。</t>
  </si>
  <si>
    <t>2019/10/08 11:26:06</t>
  </si>
  <si>
    <t>我已经投诉过一次了，但是这边没有给任何的解决方案，如果这次投诉再不给出一个解决方案，我这边将直接警方举报，市长投诉，这边爱又米已经严重给我的生活带来了困扰，平台这边发布的广告，没有起到任何的作用，该平台非法录取我的通讯录，打给我的同事和我单位的领导，导致我现在的工作丢失，没有和我这边有任何的解释和通知，我这边已经被这个平台毁了，希望聚投诉这个平台给于答复。</t>
  </si>
  <si>
    <t>2019/10/08 11:25:39</t>
  </si>
  <si>
    <t>10月3日在12306平台提交候补票申请，申请就必须提前支付票费，，由于十一之前抢票成功或则失败都会有短信提醒，所以就没有一直关注APP的状态，在10月6日晚上看抢票结果还是失败的，而且印象中截止10月6日晚上22点就会截止就更没太注意APP了，心想着结束了未成功就会想之前失败一样退费，结果10月8日早上支付宝花呗提醒提醒还款才发现517元还没退回，这才登录APP看发现竟然抢到票了，我再次认真查看我的手机信箱没有任何短信提醒，然后再次确认12306的APP提醒设置如图，默认就是短信提醒，可为啥没有任何短信呢</t>
  </si>
  <si>
    <t>2019/10/08 11:24:57</t>
  </si>
  <si>
    <t>车子买了半年，行驶5000公里，车尾高位刹车灯，在车辆没有发生事故的情况下，在行驶过程中灯罩破裂损坏，本人认为刹车灯质量有问题，并且厂家不能证明质量没有问题的情况下，拒绝质保。</t>
  </si>
  <si>
    <t>2019/10/08 11:24:51</t>
  </si>
  <si>
    <t>未经许可私自扣费299！退款维权太慢，欺骗消费者。</t>
  </si>
  <si>
    <t>2019/10/08 11:24:18</t>
  </si>
  <si>
    <t>本人2018年在花木范app借款多次，均扣除了高额砍头息，现要求归还部分砍头息，请尽快与我联系。</t>
  </si>
  <si>
    <t>2019/10/08 11:24:13</t>
  </si>
  <si>
    <t>9.29通过百万钱包app借款15000元，分12期，每期还款1505元，借款完成后突然出现了一个需要3天内还款的2340元账单，美其名曰保险费，其实就是变相收取砍头息，现在要求退还费用！。</t>
  </si>
  <si>
    <t>2019/10/08 11:23:59</t>
  </si>
  <si>
    <t>昆明灿谷汽车信息咨询服务有限公司,上海灿谷投资管理咨询服务有限公司、,灿谷，我于9月21日办理完提前还款结清，一直没有收到结清的相关证明，车辆登记证等证件一直没有拿到，前后联系上海和昆明，上海联系不上无人接听电话，昆明联系上了态度极其恶劣，相互推诿！请问我询问我的结清进度有错吗，砸电话、挂电话，发泄你们的不满是想表达什么。</t>
  </si>
  <si>
    <t>2019/10/08 11:23:40</t>
  </si>
  <si>
    <t>投诉人戎先生投诉对象豹子贷涉诉金额250元问题类型诉求类型投诉详情10月2号我因急用一笔钱所以向该平台贷款可是一进入页面就让我填银行卡号验证码说帮我评估什么而且评估报告上也没解释清楚也没有提到扣钱这回事然后我就填了银行卡号验证码结果什么也评估不出来结果半夜扣了我50块钱今天又扣了我200我打电话问他们客服他们说是评估费我都不知道他们评估些什么评估报告上也没写明白打电话给客服客服态度相当差，他们平台扣费也没说明扣费用途完全是隐瞒误导的方式让消费者在绑定银行卡的时候恶意欺骗的形式扣除用户财产完全没有拒绝的机会根</t>
  </si>
  <si>
    <t>2019/10/08 11:23:35</t>
  </si>
  <si>
    <t>因为团贷网暴雷，没人主动联系，然后正和普惠催收而已催收威胁人生安全。</t>
  </si>
  <si>
    <t>2019/10/08 11:22:46</t>
  </si>
  <si>
    <t>投诉人 马先生        投诉对象  钱站        涉诉金额  1 000 元    问题类型    诉求类型投诉详情  本人借款一千元 但是合同中体现为1800元 分为3期 每月六百余元 按理应该已经还清本金 和合法范围内的利息 要求不得骚扰本人正常生活 要求不偿还十一月还款</t>
  </si>
  <si>
    <t>2019/10/08 11:22:06</t>
  </si>
  <si>
    <t>闪电借款要买财神黑卡才能夏款，但是买了1980的财神黑卡，还是需要抢额度，不能保证下款，并且点进去显示放款失败。</t>
  </si>
  <si>
    <t>2019/10/08 11:21:54</t>
  </si>
  <si>
    <t>贷上钱借款2500元，30天，到账2500元，需要还款3250元，砍头息或者高利贷利息750元，他们不同意协商还款，还爆通讯录！骚扰家人及朋友！如果你们有诚意就协商减免，按照国家标准来，不要整天电话短信骚扰！。</t>
  </si>
  <si>
    <t>2019/10/08 11:21:31</t>
  </si>
  <si>
    <t>投诉人 严女士        投诉对象  读秒钱包        涉诉金额  15 000 元    问题类型    诉求类型投诉详情  本金还差3000多 还要还15000多 想协商提前还款 客服不予理睬 现在逾期10多天 催收电话每次都接但是还打电话给我家人</t>
  </si>
  <si>
    <t>2019/10/08 11:21:19</t>
  </si>
  <si>
    <t>昨天马上消费金融打电话给我，让我还款，本人明确的说明为什么不还款的原因和事实，本人也给催收员说的清清楚楚的，但是今天马上消费金融告诉群发信息，在一次让我无地自容，而且本人也明确的告诉催收员，可以起诉我，不要骚扰亲朋好友，结果今天马上消费金融就群发了，下图就是马上消费金融发给我亲朋好友的信息。</t>
  </si>
  <si>
    <t>2019/10/08 11:21:02</t>
  </si>
  <si>
    <t>中腾信暴力催收，威胁恐吓，高利贷，涉黑，，，，，，，，，，，。</t>
  </si>
  <si>
    <t>2019/10/08 11:20:10</t>
  </si>
  <si>
    <t>已经明确告知拍拍贷催收，号码为新办理号码，不认识债务人，仍然每天电话轰炸，态度恶劣，骂人，不停催，要求回电道歉，我看你们拍拍贷是不是国庆过完感觉自己又飘了，不管你是内催还是外包，不处理咱们就耗着，今天先在聚投诉投诉，微博，抖音曝光就行，不是还有银监会吗，010-56182018，拍拍融信！021-80303200拍拍金融，le**l@ppdai.com，自己安排回访，还有录音！。</t>
  </si>
  <si>
    <t>2019/10/08 11:19:48</t>
  </si>
  <si>
    <t>闪电借款借款4200，实际扣的手续费就不提了，毕竟是自己急需用，借款五十天需要还款4410，逾期半天手续费高达198，昨天闪电客服打电话催收时我反映了这个问题，对方让从微信公众号进入还款，但那笔逾期费并没有消掉，自己也确实不敢还进去应还金额，怕闪电方继续催收逾期费，今天逾期第二天逾期费231，希望能协商还款取消掉逾期费用。</t>
  </si>
  <si>
    <t>2019/10/08 11:19:40</t>
  </si>
  <si>
    <t>本人从7月份急用钱从闪银里边开始前前后后借了1万多元，每笔借款出正常记录外都要20%的砍头息，总和年利率远超国家标准。</t>
  </si>
  <si>
    <t>2019/10/08 11:19:11</t>
  </si>
  <si>
    <t>本人于2019年5月30号，在百合网销售的多次极力邀请下，与销售线下见面，销售极力劝说我办理付费会员并声称他们在做特惠活动，历史最低价，我当时说要回家考虑下，但该负责人说希望我可以帮他完成业绩不然他们领导要难为他，同时口头承诺了一些针对我个人的额外服务，在不断轮番洗脑后，我支付了5500元到该销售的支付宝账户，，同时后续要签署他们提供的服务合同，并在签合同后提供性格测试等服务，并有针对性的提供相亲服务，百合网没有任何工作人员联系我签订合同也并没有提供其承诺的测试，我也未享受过他们提供的任何服务，我后续向当时</t>
  </si>
  <si>
    <t>2019/10/08 11:19:05</t>
  </si>
  <si>
    <t>投诉人 廖先生        投诉对象  Wecash闪银,瞬瞬,哼哼        涉诉金额  2 110 元    问题类型    诉求类型投诉详情  本人因资金链断。要求10号还款。10号发工资。客服打电话来说今天12点钱还款。因还不上。希望能帮忙帮忙解决</t>
  </si>
  <si>
    <t>2019/10/08 11:18:36</t>
  </si>
  <si>
    <t>本人于4月29日借款10000元，实际到账8417.63，分6期还款，每期还款要2006元，利率高过国家规定利率，客服根本联系不上，要求减免利息和归还砍头息，我去办了张光大银行卡查到就是光大随心贷，贷款10000元，分6期还款，每期还款1706.02元，，投诉有3个月了他们就没人理我跟我处理，现在逾期了罚息高的离谱。</t>
  </si>
  <si>
    <t>2019/10/08 11:18:28</t>
  </si>
  <si>
    <t>投诉人 杨先生        投诉对象  小花钱包        涉诉金额  10 000 元    问题类型    诉求类型投诉详情  骚扰联系人 侮辱本人 威胁恐吓 威胁说不还就报通讯录之类的 而且逼迫我说不还就改分期为全款一次结清。</t>
  </si>
  <si>
    <t>2019/10/08 11:18:19</t>
  </si>
  <si>
    <t>我在2012年申报一张交通信用卡，之前因为财付通还款延迟有过短期逾期，至少2019年7月无逾期，开通官方协商通道停止骚扰保证日常工作所需时间，停止散播个人失联消息，请求按照个人经济收入能力进行办理停息挂账，到2019年7月因为个人经济困难主动联系交通信用卡要求协商分期还款，后重新计算个人收入发现个人收入已经无法承受交通银行利滚利式的分期费用和逾期违约金，想要和交通协商停息挂账，目前出现问题有几点，从2019年8月至今不论是官方客服或者买单吧提供的协商电话都无法接通，经过近三个月的沟通，结果是每个月要承担逾期</t>
  </si>
  <si>
    <t>2019/10/08 11:17:43</t>
  </si>
  <si>
    <t>投诉人 高女士        投诉对象  来米巴士        涉诉金额  2 200 元    问题类型    诉求类型投诉详情  本人在9月5号申请2200，到账1600。现已经还款1700多了。要求客服最后一期销账结清。客服不同意协商。电话骚扰恐吓</t>
  </si>
  <si>
    <t>2019/10/08 11:17:15</t>
  </si>
  <si>
    <t>你我贷暴力催收，轰炸联系人单位，不接受协商处理。</t>
  </si>
  <si>
    <t>2019/10/08 11:17:09</t>
  </si>
  <si>
    <t>我着急用钱在四季钱庄借款3500元的实际到账2450元，滚到今日的5250元四季钱庄催债人员每天打电话催收。</t>
  </si>
  <si>
    <t>2019/10/08 11:17:04</t>
  </si>
  <si>
    <t>投诉人李女士投诉对象多多分期涉诉金额3000元问题类型诉求类型投诉详情本人于2019年通过多多分期借款三次，平台收入砍头利息450元每次，要求退还超出部分共计1350元。</t>
  </si>
  <si>
    <t>2019/10/08 11:16:56</t>
  </si>
  <si>
    <t>必赢亚洲,http://m.272gg.net:5，本人论坛网站看到必赢亚洲去注册找客服申请彩金，赢了300块钱不给提现，然后我去找客服客服以各种理由就是不给提现，现在要求把300块钱提出来。</t>
  </si>
  <si>
    <t>2019/10/08 11:16:46</t>
  </si>
  <si>
    <t>本人11月飞日本大阪，由于香港近几个月的暴力活动，本人十分恐惧，强烈要求进行特殊政策免费退票。</t>
  </si>
  <si>
    <t>2019/10/08 11:16:27</t>
  </si>
  <si>
    <t>在还款日当天，从未有过逾期，暴力催收，人工和智能轮流换着打。</t>
  </si>
  <si>
    <t>2019/10/08 11:16:23</t>
  </si>
  <si>
    <t>我在聚富分期申请注册，绑定银行卡后无故被扣款100，并没有任何提示，查询到携趣信息科技和造艺科技为同家公司，现要求退回资金。</t>
  </si>
  <si>
    <t>2019/10/08 11:16:17</t>
  </si>
  <si>
    <t>我之前在上海拍拍贷借的钱，我之前逾期了，他就暴力催款，然后我处理了逾期的金额，他现在还是暴力催款，威胁我，威胁我家人，我不明白现在还是法治社会吗，我之前违法，我已经处理了逾期金额了，剩下的现在一时拿不出来，他就威胁我，威胁我的家人，我的家人现在工作都没法好好工作了。</t>
  </si>
  <si>
    <t>2019/10/08 11:16:09</t>
  </si>
  <si>
    <t>2019/10/08 11:15:48</t>
  </si>
  <si>
    <t>本人在牛人有品平台借款2200.实际到账只有1584元严重违法砍头息，15天为一期还款1122元2期还清，因砍头息太高无力承担，要求平台按实际到账+国家规定合法利率一次性结清借款！。</t>
  </si>
  <si>
    <t>2019/10/08 11:15:31</t>
  </si>
  <si>
    <t>偶然下载省吧app进去直接引导登陆，我想看看能获得多少额度，额度出来了，我就莫名其妙贷款了，而且除了利息之外还有手续费，我一个农村学生根本还不上这么多钱。</t>
  </si>
  <si>
    <t>2019/10/08 11:14:57</t>
  </si>
  <si>
    <t>还了两期，之后app登录不上去，导致逾期，现在要求协商还完一期销账，本人已经还了一千五，在还一期就刚好到本金。</t>
  </si>
  <si>
    <t>2019/10/08 11:14:54</t>
  </si>
  <si>
    <t>在蜜桃花借款3600，到账2450，7天的利率。</t>
  </si>
  <si>
    <t>2019/10/08 11:14:50</t>
  </si>
  <si>
    <t>在爱又米借了8000元实际到账了7000元，具体好像是到账8000元以后扣除了我960元，说这960元是一份保单，可以增加我的信用度。</t>
  </si>
  <si>
    <t>2019/10/08 11:14:38</t>
  </si>
  <si>
    <t>京东金融客服天天打电话过来骚扰催债，之前说了发工资还一部分的。</t>
  </si>
  <si>
    <t>2019/10/08 11:14:17</t>
  </si>
  <si>
    <t>本人最近急用钱通过轻周转芒果筹app于8月22号借了2100，高利贷，都是每8天一期分4期还款，提现及还款渠道是畅捷支付，期间我一直正常还款，但9月18日他们系统出了问题了无法自动扣款，我手动登陆app还款显示限额交易也无法还款造成了我逾期，后来我通过app上的400电话，加了QQ客服然后再通过支付宝对公转账了当期金额后终于还款成功了，但当时说好的会免逾期费用直到现在也没免在app里仍在不停滚利息…然后9月23日我试图通过QQ客服再次还款时没人理，想支付宝对公转账系统提示风险账户也无法转账，后来APP认证失</t>
  </si>
  <si>
    <t>2019/10/08 11:14:09</t>
  </si>
  <si>
    <t>10月3日，分数由510降低为474，导致很多功能服务正常使用，在此提出投诉，给出合理解释，且我个人不再使用携程的任何软件。</t>
  </si>
  <si>
    <t>2019/10/08 11:14:07</t>
  </si>
  <si>
    <t>本人借钱包易贷7000，被强制扣除砍头金到手6000，然后逾期一天就扣50元的逾期费用，本人已经还了3000，本想一次结清，可是咽不下这口气，凭什么到手6000要还7000。</t>
  </si>
  <si>
    <t>2019/10/08 11:13:50</t>
  </si>
  <si>
    <t>上个月在钱站借了八千块钱分六期，发现利息太高了，超过国家规定的百分之三十六，简直就是高利贷，利息我是不会还的，我只还八千本金，这么高的利息真的是黑心公司。</t>
  </si>
  <si>
    <t>2019/10/08 11:13:36</t>
  </si>
  <si>
    <t>投诉人夏季飘逸投诉对象造艺科技,聚富分期涉诉金额299元问题类型诉求类型投诉详情未经同意擅自扣款不予退款，客服态度及其恶劣。</t>
  </si>
  <si>
    <t>2019/10/08 11:13:24</t>
  </si>
  <si>
    <t>2019/10/08 11:13:03</t>
  </si>
  <si>
    <t>本人在拉卡拉-易分期于2019年6月29日借贷30000元，于2019年7月24日提前还清，还款总额35367元，为期不到一个月，比本金多还5367元。</t>
  </si>
  <si>
    <t>2019/10/08 11:12:55</t>
  </si>
  <si>
    <t>于2016年7月入司，交纳500元押金；于2018年下半年离职，于2019年办理离职手续，于2019年4月底办理退还押金手续，直到现在没有回复，也没有退还。</t>
  </si>
  <si>
    <t>2019/10/08 11:12:35</t>
  </si>
  <si>
    <t>本人于2019.10.08于安徽池州九华山国际机场，被一个穿着机场制服伪装成机场工作人员的女子拉住，推销真情万里行金卡，号称办卡998可得到金卡内余额1980全额用于机票购买，之后感觉不对劲，上网查询才知道原来，很多人都有遇到过这个局，实际上之后每次购买机票仅能使用所谓卡内余额30元，且折后价格仍高于市场价，申请退款。</t>
  </si>
  <si>
    <t>2019/10/08 11:12:13</t>
  </si>
  <si>
    <t>已经还打电话骚扰我，威胁我，说把我借款合同发给我们村里的人，让他们都知道。</t>
  </si>
  <si>
    <t>2019/10/08 11:11:50</t>
  </si>
  <si>
    <t>微粒贷委托的催收人员加我微信侮辱我还威胁我不还爆我通讯录等等，我逾期是我不对但是我要不是生意培了我也不可能逾期，他们这是要逼死我的节奏么，现在已经影响到我如果执意下去我会去报警维护我个人权益，。</t>
  </si>
  <si>
    <t>2019/10/08 11:11:43</t>
  </si>
  <si>
    <t>立刻出行公司现已经无法提供服务，用户押金却又不退还，本人于7月7日完成最后一次订单，9月7日申请退还押金，押金迟迟没有退还，拨打客服电话也是推脱其词，拨打12315也没有任何反馈，现广州公司已经关闭，全广州无一辆车可以使用，又不退还押金，做出的承诺又做不到，也没有任何官方解释，一直在拖时间。</t>
  </si>
  <si>
    <t>2019/10/08 11:11:36</t>
  </si>
  <si>
    <t>其实就是骗取用户个人信息以及钱财我都没借到钱。</t>
  </si>
  <si>
    <t>2019/10/08 11:11:30</t>
  </si>
  <si>
    <t>正常还款没有逾期情况，还款日前几天手机会受到还款提醒，没想到我的紧急联系人的手机也收到了一模一样的短信，包括我要还多少钱，把我借钱的信息都告诉别人了，侵犯我的隐私，而且一连发了三天发了六七条，信息也不能退订，知道我打了拍拍贷的投诉电话才没有发短息，拍拍贷客服和我邮箱沟通，业务水平非常不专业，也不知道哪找来的小学生，说了是别人的手机收到了我的还款信息，还一口一个这不是逾期存款信息，而且这不是第一次乱打电话乱发短信了，之前我手机没接到电话，下一秒立刻打了联系人的电话，之前我也投诉过了，用“钱已经还了查不到打电话</t>
  </si>
  <si>
    <t>2019/10/08 11:11:23</t>
  </si>
  <si>
    <t>合同却写了3960，当时并不知情，到账也只是两千，现在打电话给客服却说，合同写多少就是多少，这个简直就是目无王法，有录音，如果对方不接受协商，不按照国家利率走，就走法律程序，一告到底。</t>
  </si>
  <si>
    <t>2019/10/08 11:11:13</t>
  </si>
  <si>
    <t>捷信一直打电话骚扰，打单位电话骚扰，以至于影响工作。</t>
  </si>
  <si>
    <t>2019/10/08 11:10:10</t>
  </si>
  <si>
    <t>扣留资金、联系不上客服、永远就一个回答、不履行客户知情权、申诉资料哪里不对、不与说明、为什么异常、不回答，钱扣在他们平台、不理客户、申诉不通过、也无解释，已经冻结的资金、为什么平台的提成没冻结、而是先就提走。</t>
  </si>
  <si>
    <t>2019/10/08 11:09:56</t>
  </si>
  <si>
    <t>5天超髙利贷，借款4500到帐2800左右，严重砍头息，逾期费用翻倍，催收态度恶劣，平台活跃逾期威胁要爆通讯录，有打来催收电话号码135******29只希望平台打击这5天超髙利贷。</t>
  </si>
  <si>
    <t>2019/10/08 11:09:31</t>
  </si>
  <si>
    <t>玖富万卡借款27000元，实际到账16000元。</t>
  </si>
  <si>
    <t>2019/10/08 11:08:50</t>
  </si>
  <si>
    <t>催收威胁我让我承担所有后悔，威胁说我知道逾期是什么结果，电话已经录音，需要的话可以上传。</t>
  </si>
  <si>
    <t>2019/10/08 11:08:18</t>
  </si>
  <si>
    <t>并且在签订借款合同时并未体现有那么高额度的服务费一类的，目前本人已经没有工作，没有固定的资金来源于希望能调整，并给出一个解释。</t>
  </si>
  <si>
    <t>2019/10/08 11:07:35</t>
  </si>
  <si>
    <t>8月中旬在王卡助手-王的手机购买口袋阅设备一台，勾选福利为奖励228话费，收货7天内曾试图申请7天无理由退货，因已拆封理由被联通华盛拒绝，然而申请退货失败后，王卡助手却并未将我的订单恢复成正常状态，其至今一直显示“退货申请中”，我怀疑由于这个原因，导致本该发放的228话费礼包无法发放，要求客服帮我修正这个问题，然而从八月到九月，从九月到十月，客服给予的答案一直是“等一周看看”，于是我每等一周一看，问题依然没解决，打电话客服，依然是“再等一周看看”，现在都快两个月过去了，我要求对方能给一个明确的解决方案。</t>
  </si>
  <si>
    <t>2019/10/08 11:07:24</t>
  </si>
  <si>
    <t>套餐内包含的基本短信功能用不了，要求恢复，处理不了要求退款，致电客服反馈问题要求加急，但三天没有任何回复处理问题，客服态度敷衍，对海南移动解决事情态度严重不满。</t>
  </si>
  <si>
    <t>2019/10/08 11:06:58</t>
  </si>
  <si>
    <t>平安普惠联合光大以强制购买保险的名义收取高额利息，借款总共11000利息高达4000左右，现已经还款足够的本金加高额的利息要求销账。</t>
  </si>
  <si>
    <t>2019/10/08 11:06:45</t>
  </si>
  <si>
    <t>豹子贷恶意从我银行卡扣款299元，未经本人操作和同意情况下。</t>
  </si>
  <si>
    <t>2019/10/08 11:06:35</t>
  </si>
  <si>
    <t>无缘无故打我电话，好几次了，说找王明楠！我说我不认识了解释了好几次，还继续骚扰！还恐吓我！对我进行辱骂！你们就这么牛逼！比港独还厉害！我真是服了。</t>
  </si>
  <si>
    <t>2019/10/08 11:06:31</t>
  </si>
  <si>
    <t>因生意失败，资金现在周转不过来，凤凰快贷没及时还，凤凰快贷非法获取了我的通讯录联系人，群发了信息说我借钱不还，属于违法行为，恶意骚扰，借1万，分12期，要还15200多，年利息百分之五十多，属于超级高利贷。</t>
  </si>
  <si>
    <t>2019/10/08 11:06:06</t>
  </si>
  <si>
    <t>投诉人龙先生投诉对象急借钱包涉诉金额100元问题类型诉求类型投诉详情注册了一下然后没有在他们平台借到钱还扣我钱美其名曰测评费其实就是骗钱的。</t>
  </si>
  <si>
    <t>2019/10/08 11:05:31</t>
  </si>
  <si>
    <t>翼支付于2019年10月8日凌晨4点14分，自动扣我绑定尾号4273的银行卡50元，刚细查是翼支付里面的自动代交功能扣除的话费，我本人并不知道何时何地何种方式开通过这个自动代交的业务，能保证的是绝对不是我本人自己开通，现已取消这个自动代交功能，但要求退还扣除的50元，尾号7923的手机号我基本不用，话费也没有提前告知要欠费，经查询就算不交这个50元，10月8日这天也就欠费2元，我愿意另外交这个2元，但要求退还自动代扣的50元，我对我来说等于是抢是偷！。</t>
  </si>
  <si>
    <t>2019/10/08 11:04:32</t>
  </si>
  <si>
    <t>我朋友和家人在凌晨一点接到电话187******82。</t>
  </si>
  <si>
    <t>2019/10/08 11:04:12</t>
  </si>
  <si>
    <t>万惠及贷非法骚扰本人通讯录人员，造成极大经济损失，拨打本人单位电话骚扰，给本人生活及工作造成极大困扰，利用虚假号码。</t>
  </si>
  <si>
    <t>2019/10/08 11:03:39</t>
  </si>
  <si>
    <t>9月18日还款日，还款一直扣款失败，换了支付卡也失败，APP客服反馈说是系统升级，19号有个021的电话说我逾期，让我自己去APP处理，还是不能还款，打4008336200客服电话一直打不通，账单一直逾期，20号下午发现APP发布新版本增加了支付宝转账途径，立即按原账单转账还款，21号又有催收打电话说我逾期，加了QQ发了支付宝转账截图，只给处理了账单本金，逾期金额没给处理让我联系客服，好不容易400电话打通了又说不解答不处理让我APP反馈，每天都反馈一直没答复，现在开始给我朋友打电话说我欠钱不还。</t>
  </si>
  <si>
    <t>2019/10/08 11:03:22</t>
  </si>
  <si>
    <t>申请了这么久，保证金和押金都不给退，这样的公司完全是在欺骗消费者。</t>
  </si>
  <si>
    <t>2019/10/08 11:03:02</t>
  </si>
  <si>
    <t>投诉人 林林长宇        投诉对象  信而富        涉诉金额  500 元    问题类型    诉求类型投诉详情  信而富催收语言态度极其恶劣，全是威胁恐吓。</t>
  </si>
  <si>
    <t>2019/10/08 11:02:55</t>
  </si>
  <si>
    <t>在平安普惠借款额度11000，借款十二个月利息高达将近4000，已强制购买保险的名义收取高额的利息，现已经还够本金加高额的利息，要求销账。</t>
  </si>
  <si>
    <t>2019/10/08 11:01:09</t>
  </si>
  <si>
    <t>投诉人 陆凯        投诉对象  借贷宝        涉诉金额  4 000 元    问题类型    诉求类型投诉详情  借贷宝纵容高利贷。催收威胁我打我全部亲朋好友。借贷宝公司帮助高利贷威胁我</t>
  </si>
  <si>
    <t>2019/10/08 11:00:56</t>
  </si>
  <si>
    <t>申请这个贷款到期逾期了，然后现在打电话过来说非得今天中午12点还，协商说明天都不行，只想好好商量处理，前面有一笔也是这样，但是别人也给了点时间，说了不是不处理，只是今天确实有点难，一个小时非得这样嘛。</t>
  </si>
  <si>
    <t>2019/10/08 11:00:48</t>
  </si>
  <si>
    <t>本人在深圳2012年在朋友的朋友的推荐下买入一份富德生命富贵花年金保险，每年缴费20996元，共十年，至今年已缴费7年了，这7年期间，除了有所谓的业务员来电催促过到期缴费以外，其它毫无存在感，保险合同也没见过，也不像其它保险公司那样有一堆文件合同签署，后来通过官网上查询到自己的保险单号，才了解到这份保险是在别的省份销售，绕一圈再回到深圳，每年保费是足数缴费的，直到今年缴费期当时因为个人原因没能如期缴费，致使保单失效，一直到九月份，本人准备办理复效手续的，系统提示因为超过六个月要到营业厅办理，95535客户告</t>
  </si>
  <si>
    <t>下载了一个小浦优客app进去看了一下，看到要收取服务费就退出了，没想到隔了一天在未被告知的情况下就被扣款296元，简直就是恶意欺诈，请求返还被扣款296元。</t>
  </si>
  <si>
    <t>2019/10/08 11:00:29</t>
  </si>
  <si>
    <t>不断骚扰，辱骂，P图群发，骚扰人电话199******25。</t>
  </si>
  <si>
    <t>投诉人 李女士        投诉对象  兴业,兴业银行        涉诉金额  0 元    问题类型    诉求类型投诉详情  已经上门一次，威胁家里老人，你们还想干嘛。</t>
  </si>
  <si>
    <t>2019/10/08 11:00:19</t>
  </si>
  <si>
    <t>投诉人张先生投诉对象钱站涉诉金额1330元问题类型诉求类型投诉详情一天一百块钱的罚息还威胁恐吓后果自负什么的。</t>
  </si>
  <si>
    <t>2019/10/08 11:00:11</t>
  </si>
  <si>
    <t>从逾期第一天开始，每天骚扰电话好几个，而且把个人信息给第三方催收公司，侵犯隐私。</t>
  </si>
  <si>
    <t>2019/10/08 10:59:56</t>
  </si>
  <si>
    <t>从8月开始我就投诉新橙分期了，逾期一天就爆通讯录还群发侮辱短信口气像黑社会谁也不怕的样子，投诉没人解决，9月有发威胁短信轰炸我手机还爆通讯录还是没人管，今天又发了。</t>
  </si>
  <si>
    <t>2019/10/08 10:59:30</t>
  </si>
  <si>
    <t>到15天售后期提现，又要保证金，一步一步诱导去保证金，一开始0元开店，新人不懂，物流晚发了，就限制了。</t>
  </si>
  <si>
    <t>2019/10/08 10:58:58</t>
  </si>
  <si>
    <t>因本人周转困难造成逾期，今天催收人员打电话来本人与其协商还款日期，催收拒绝并要求必须今天5点还，还威胁如果5点不处理便联系通讯录好友，本人是有还款意愿，希望能够协商还款日期，不要骚扰通讯录好友！。</t>
  </si>
  <si>
    <t>2019/10/08 10:58:21</t>
  </si>
  <si>
    <t>投诉人郭先生投诉对象现金巴士涉诉金额1296元问题类型诉求类型投诉详情在现金巴士借款1000元分三期、前两期已经逾期、没到发工资时间、现在协商还款时间、电话胡乱打、催收恶劣。</t>
  </si>
  <si>
    <t>2019/10/08 10:57:34</t>
  </si>
  <si>
    <t>我的交通银行信用卡已到期失效，无法还款，但交通银行信用卡中心不理会，一直强硬催收。</t>
  </si>
  <si>
    <t>2019/10/08 10:56:58</t>
  </si>
  <si>
    <t>投诉人张先生投诉对象钱站,华夏银行涉诉金额4311元问题类型诉求类型投诉详情钱站app借款3990，实际到账3000，3个月还款金额高达4300，合同金额仍为3990，典型的砍头息高利贷，打电话工作人员说990为担保费，但借款合同上并未有这条费用，与对方协商还款，还被威胁如不按他们的还款金额还款，就要爆我通讯录，骚扰我及家人朋友，影响本人及周围人的生活，现在要求钱站按合同补回990的差价本人就按合同金额还款，要不就是按3000的借款金额算上合法利息之后本人一次性结清。</t>
  </si>
  <si>
    <t>2019/10/08 10:56:53</t>
  </si>
  <si>
    <t>投诉人程女士投诉对象交通银行信用卡涉诉金额30000元问题类型诉求类型投诉详情本人正常接听电话除了特殊情况及说明了还款意愿，交行在协商不成的情况多次拨打陌生人及多年未联系的人透露欠款及诽谤我信用卡诈p，本人一直积极联系交行作协商分期还款，在7月已经按他们要求去借了4000然后申请分期，结果后面不搭理我，8.9月份又要我去借5000元再协商分期，我实在借不出后面说了不会再联系直接走流程起诉，我也同意了还不停催收其他人。</t>
  </si>
  <si>
    <t>2019/10/08 10:56:49</t>
  </si>
  <si>
    <t>客服说今天会退款到我账上，然后到现在也没到账。</t>
  </si>
  <si>
    <t>2019/10/08 10:56:34</t>
  </si>
  <si>
    <t>本人于2018年9月6日在今日头条放心购后台发起退还保证金的申请，发送退保证金邮件，至今过去1个月，1万元的保证金还是没有退还也没有任何回复，这样一拖再拖扣押商户保证金的行为极其恶劣，希望聚投诉秉公执法，本人只希望今日头条放心购平台尽快归还保证金。</t>
  </si>
  <si>
    <t>2019/10/08 10:56:28</t>
  </si>
  <si>
    <t>本人于2019年10月7日乘坐从西安到北京T42次火车，由于途中堵车未赶上火车，在办理改签时却被告知，只能改签当日车次，由于发车时间已是晚上，距离当日结束仅剩几个小时时间，当天没有可改签的车票，还不能办理退票，此项规定有失公平，对于发车时间比较早的旅客可能改签时间比较长，车次较多，改签成功几率比较高，但对于发车时间较晚的旅客，由于时间短可选择范围比较小，不能及时办理退改签手续，致使车票作废，有失公平，请给出合理解释！。</t>
  </si>
  <si>
    <t>2019/10/08 10:56:17</t>
  </si>
  <si>
    <t>立刻出行共享汽车在广州无车可用，申请退还押金一个多月没一点消息，人工服务热线无人接听，不退还押金，不履行合同，欺骗消费者。</t>
  </si>
  <si>
    <t>2019/10/08 10:56:09</t>
  </si>
  <si>
    <t>投诉人林林长宇投诉对象带上钱涉诉金额8000元问题类型诉求类型投诉详情贷上钱超高砍头息，借2000还2500逾期第一天就开始打通讯录联系人号码，我现在很无助，我又没说不还钱，不听解释就暴我通讯录。</t>
  </si>
  <si>
    <t>2019/10/08 10:56:07</t>
  </si>
  <si>
    <t>投诉人胡先生投诉对象北京敬钰科技有限公司涉诉金额998元问题类型诉求类型投诉详情购买之前工作人员很热情、承诺都很好，购买之后出现有问题不解决要求退款工作人员就开始玩文字游戏、只能投诉贵平台处理，现在联系不到对接工作人员，联系公司客服只是说给对接人员说一下。</t>
  </si>
  <si>
    <t>2019/10/08 10:55:34</t>
  </si>
  <si>
    <t>2019年8月24日在新橙优品借款,9月8日到账20000元，但是平台未经本人确认扣除不知名费用2000元，账单借款金额20000元，实际到账18000元，实为2000砍头息，每月还款3659.74元，共6期共还21958.44元，相当于借款18000元半年利息高达3958.44元，年化利率高达70%以上，远超法律规定的贷款利率红线，属于非法高利贷，根据央行和银监会联合下发《关于规范整顿“现金贷”业务的通知》，严禁“砍头息”，禁止发放或撮合违反法律有关利率规定的贷款，新橙优品已经严重违法，我要求新橙优品退还</t>
  </si>
  <si>
    <t>2019/10/08 10:55:33</t>
  </si>
  <si>
    <t>小浦优客昨晚扣除我银行卡296元！没经过我本人同意就扣钱！联系客服没人搭理！296没说就扣了！请贵平台帮忙处理！这个小浦优客平台已经下架！为什么还扣钱。</t>
  </si>
  <si>
    <t>2019/10/08 10:54:48</t>
  </si>
  <si>
    <t>投诉人 吕先生        投诉对象  交通银行信用卡        涉诉金额  10 500 元    问题类型    诉求类型投诉详情  每天电话骚扰本人及父母亲属多达三十多个，</t>
  </si>
  <si>
    <t>2019/10/08 10:54:42</t>
  </si>
  <si>
    <t>快手帐号登录问题，普通版可以微信一键登录，快手极速版要验证码，以前的手机号码已经不用，空号，收不到验证码，申述换绑手机号码，9月30日申诉到8号一直申述未通过，客服回复资料不完整，所有提示填写资料已填完整，不记得注册时间，注册地点经常住的地方都填写过了，还是显示不完整。</t>
  </si>
  <si>
    <t>2019/10/08 10:54:25</t>
  </si>
  <si>
    <t>投诉人 刘先生        投诉对象  造艺科技        涉诉金额  299 元    问题类型    诉求类型投诉详情  造艺科技，涨盈普惠黑平台，把钱退给我。平台电话4000144888。</t>
  </si>
  <si>
    <t>2019/10/08 10:54:22</t>
  </si>
  <si>
    <t>投诉人 王先生        投诉对象  易宝支付        涉诉金额  300 元    问题类型    诉求类型投诉详情  非法扣款。还不接电话。什么态度？为什么扣我的钱？</t>
  </si>
  <si>
    <t>2019/10/08 10:53:52</t>
  </si>
  <si>
    <t>广发银行信用卡，一名催收员，工号55054705，越过当事人我，直接电话骚扰我母亲，说所谓的让家人转告，可当我致电她的时候，她说第一天接到我的逾期案件，而且，对我母亲直呼其名，说要告我，以及其他的侮辱性语言，我跟这个催收员交流时，态度不好，觉得骚扰我母亲是对的，工号说出来十分蛮横，说她不是外包催收，是广发的银行工作人员，我用了广发3年多，近段时间，由于家里多灾多难，母亲曾经住院，现在奶奶又摔断了盆骨在惠州第一人民医院住院，家里的经济一落千丈，如果广发银行有什么问题，欢迎来医院核实，但对于广发银行信用卡纵容催</t>
  </si>
  <si>
    <t>2019/10/08 10:53:20</t>
  </si>
  <si>
    <t>逾期不到半个月，在联系到本人的情况下，多次威胁爆通讯录，作为一个大平台，性质非常恶劣。</t>
  </si>
  <si>
    <t>2019/10/08 10:52:58</t>
  </si>
  <si>
    <t>借款因为要周转，想过几天就还清，结果告知不能提前一次性还清，并且只能分每一期一次一次去还，国家规定不得超过年利率百分之36，新浪分期高达百分之35.99，这样有什么区别，并且借款只能一次一次，意思就是凡借款都强收很高的利息，就打着没超过国家规定的范畴目无王法，欺压消费者，强制征收高利息，国家真的应该管管了，新浪分期自以为自己强硬就可以不顾一切做事，我们只是普通老百姓，国家也是由大多数普通老百姓组成，这样明目张胆的欺压普通群众，一定麻烦麻烦治治，真的无法无天了。</t>
  </si>
  <si>
    <t>2019/10/08 10:52:43</t>
  </si>
  <si>
    <t>在苏宁易购参加活动买的螃蟹，原价300多，当时活动可能是店家自己没有设置好，活动价变成69，过了几分钟以后价格变成了100多，现在发货八只死了五只，死蟹不肯按照原价退还死掉的金额，也不肯重新发货，那我也有理由相信他是因为活动亏的多，给我发了5只死蟹，一家那么大的点，现在连5只螃蟹都拿不出，说是没货了，我参加活动的初衷是为了买8只螃蟹，既然你没有螃蟹可以赔偿，应该补偿我现在市场上5只螃蟹的价格，方便我重新购买活的螃蟹。</t>
  </si>
  <si>
    <t>2019/10/08 10:52:24</t>
  </si>
  <si>
    <t>我因换地工作导致电话号码更换，记得是本月17号才用还信用卡，未经我本人同意联系的是我未填写的通讯录好友电话。</t>
  </si>
  <si>
    <t>2019/10/08 10:52:13</t>
  </si>
  <si>
    <t>借趣花逾期半年了，这个我承认，可是该有的利息和罚息我都自己承担了，没要求少还一分，之前还了一部分了，剩下百信银行的一万多没还上，以前都没有催收过，上个月开始疯狂催收，每天无数个电话打过来，影响我正常工作和生活了，而且之前就已经爆过一次通讯录了，然后我和他们协商已经还了很大一部分了，一个月工资就几千，上个月我还了接近一万，还有一次是他们催收的客服给的我还款链接，3500块还到借趣花别的公司去了，本来我是可以还完了，他们链接给错了，，然后又在天天疯狂催收我，今天还在威胁我说要联系我的公司和家人，我要是工作没了我</t>
  </si>
  <si>
    <t>2019/10/08 10:51:46</t>
  </si>
  <si>
    <t>胖胖有米暴力催收，打电话威胁我说如果不处理就打电话给我的亲朋好友，发短信，P图，这个利息太高了，4800到手才2400利息太高了我实在还不起，砍头息，高利贷，说下午不处理就威胁，恐吓，家里有老人生病了禁不起恐吓，侮辱，如果家里老人有什么我必追究到底，本金处理。</t>
  </si>
  <si>
    <t>2019/10/08 10:51:44</t>
  </si>
  <si>
    <t>每天都接到交通银行，浦发银行委托方打电话催收，态度特别恶劣，白天打晚上打，严重影响到我的生活工作，希望国家严厉惩罚这些骚扰份子。</t>
  </si>
  <si>
    <t>2019/10/08 10:51:40</t>
  </si>
  <si>
    <t>我钱在微信里那张扣款卡找不到了晚了两天他们客服就找我要230违约金，而且他们放假客服电话不通，留个机器人跟我沟通，我怎么协商。</t>
  </si>
  <si>
    <t>2019/10/08 10:51:38</t>
  </si>
  <si>
    <t>我已经说了，要么你们起诉我，法院怎么判我都认，要么协商销账，请你们不要一直骚扰，如果出了事，你们公司负责，有人在来骚扰上门，死人了也你们自己负责，我现在什么都不怕，你们来吧，借你们一万五，还了两万多，还没完没了，你们的利息多高你们自己没数吗。</t>
  </si>
  <si>
    <t>2019/10/08 10:51:16</t>
  </si>
  <si>
    <t>本人于2019年10月6日在交易猫平台购买Steam游戏账号并对该账号投保60天人寿保险，于10月8日在游戏的时候Steam突然退出登陆并提示：Steam凭证更改请重新登陆，当我在登陆提示密码错误，游戏已被卖家用原始邮箱申诉找回了，于是当天我就申请了理赔，结果交易猫及人寿保险截止至今天也没有一个明确的回复，交易猫平台客服甚至都联系不上，只说无法确定账号归属就敷衍我了，让我报警处理，意思是要我自己承担责任，我比平台知道的并不多，现在连账号都无法登陆，你让我如何去查，不管是出于什么目的，我所知道的信息全部是平台</t>
  </si>
  <si>
    <t>2019/10/08 10:51:09</t>
  </si>
  <si>
    <t>今天早上9:33分，一分钟之内我被商家恶意扣款三次，共计450元，扣款商家为广东耀东投资有限公司，扣款渠道为通联支付首先此商家扣款并未通知本人，而且分三笔扣款，实属恶意，打电话给通联支付，客服说他们只是扣款渠道，所有扣款都为商家处理，那是不是我卡里有多少钱他们都能随便扣款，不经过支付渠道和本人介入，随意处理，客服让我发邮件他们仔处理，可是银行流水不可以出具当天流水信息，老百姓的钱被支付渠道随便扣了，却各种限制不予处理，请通联支付重视代扣业务，此次恶意扣款请求退回的被扣银行卡。</t>
  </si>
  <si>
    <t>2019/10/08 10:50:56</t>
  </si>
  <si>
    <t>冒充公检法人员进行恐吓，随便盗取个人身份信息随意p图。</t>
  </si>
  <si>
    <t>2019/10/08 10:50:15</t>
  </si>
  <si>
    <t>每期还款后的可用额度少了五百多，这都一年多了，说是灵活还款，现在逾期五天，每天骚扰电话不断，接通后说协商还款，直接不等你说完就挂电话，实在是太嚣张了。</t>
  </si>
  <si>
    <t>2019/10/08 10:50:09</t>
  </si>
  <si>
    <t>一个多月前就在豹子贷上申请借款，结果有个什么信用评估，评估完了先后在我已经绑定的银行卡上扣除299元，至今也没有给我一个合理的说法，这个期间，我一共打过两次上面的客服电话，第一次说要申请他们推荐的所有贷款，都不通过然后把不通过的截图都上传给客服人员，经过审核才能退款，但他们推荐的都是714，这谁敢借啊，第二次打电话，客服刚开始还说上次的内容，然后我不同意，他们又说可以退款，但是得需要邮寄本人的身份证正反面照片和手持身份证照片，才能退款，本来就想算了，一共就299，就上豹子贷上看看用小银券能做什么吧，发现还是</t>
  </si>
  <si>
    <t>2019/10/08 10:49:55</t>
  </si>
  <si>
    <t>宽带欠费，查询后才知道开通了一个什么小沃科技，没有任何提醒，没有短信验证，打电话咨询一下说是在电视上用遥控一点就定制了，这不是欺骗老人和孩子么。</t>
  </si>
  <si>
    <t>2019/10/08 10:49:27</t>
  </si>
  <si>
    <t>到处发短信骚扰家人，明明没有的事情无中生有，打电话骂人，态度极为恶劣，手段龌龊。</t>
  </si>
  <si>
    <t>2019/10/08 10:49:14</t>
  </si>
  <si>
    <t>本人在苏宁购买了价值11块5毛钱的百事可乐，使用了苏宁的准时达服务，本来应该在2019年10月7日17点到19点送达，本人所在地区没有发生不可抗拒等自然因素，因苏宁物流原因，没有及时送达，根据消费者权益保护法第五十五条之规定经营者提供商品或者服务有欺诈行为的，应当按照消费者的要求增加赔偿其受到的损失，增加赔偿的金额为消费者购买商品的价款或者接受服务的费用的三倍；增加赔偿的金额不足五百元的，为五百元。</t>
  </si>
  <si>
    <t>2019/10/08 10:48:49</t>
  </si>
  <si>
    <t>投诉人黄女士投诉对象东亚银行,东亚银行信用卡涉诉金额0元问题类型诉求类型投诉详情之前办理一张联名的东亚银行信用卡，之前一直有正常还款，后来因资金链出现了问题，造成了暂时无法还款，银行一直骚扰我身边的人，希望能协助我协商解决，不要软暴力，因骚扰电话太多，希望能短信协商。</t>
  </si>
  <si>
    <t>2019/10/08 10:48:41</t>
  </si>
  <si>
    <t>投诉人张女士投诉对象富友支付涉诉金额1800元问题类型诉求类型投诉详情富友支付为信尔富这类高利贷提供支付通道，擅自自动扣费。</t>
  </si>
  <si>
    <t>2019/10/08 10:48:29</t>
  </si>
  <si>
    <t>时，工作人员没有让我们取卡，示意我们直接通过，然后到广州科韵路收费站，被告知没卡是不可能的事，解释了几分钟，今天国庆节后第一天难免多人，后面的车直鸣喇叭，让我们靠边停车等了一会，有人过来让我们多缴25元的工本费，说是查到记录才能缴25通过，查不到的话不会让我们缴费直接不让走，还说我们可以投诉，态度不好。</t>
  </si>
  <si>
    <t>2019/10/08 10:47:51</t>
  </si>
  <si>
    <t>退款超慢，好长时间之后就未经过本人同意就把押金升级年卡免押。</t>
  </si>
  <si>
    <t>2019/10/08 10:47:40</t>
  </si>
  <si>
    <t>本人在京东白条借款6400.因9月初孩子肺炎住院一个多星期，后孩子又得了疝气，所以暂时没办法还钱，逾期了52天，期间因为照顾孩子和上班努力赚钱想还钱，但是白条的人就天天打电话，然后说我不接电话，还发了信件到我户籍地，吓的我妈晚上睡不着，我一不接电话，就打到我上班那里，弄的我工作也没了，我说了我并非恶意，我是真的暂时还不上才逾期了，催款的人员态度也咄咄逼人。</t>
  </si>
  <si>
    <t>2019/10/08 10:47:21</t>
  </si>
  <si>
    <t>我之前好像是在短信推荐回来去试着借了一下，结果通过了，我一直以为是分的俩期还款，结果还了俩期过后又出来一期，总共要还将近3000。</t>
  </si>
  <si>
    <t>2019/10/08 10:47:13</t>
  </si>
  <si>
    <t>随时接受媒体采访，国家严厉打击前期捆绑费用，砍头费用，到账2000，一个月要还2560，属不属于高利贷。</t>
  </si>
  <si>
    <t>2019/10/08 10:46:39</t>
  </si>
  <si>
    <t>证大财富高利贷收取高额利息，本金已经还完，现在还不停的催收，上海那边的催收，态度特别差，威胁要爆通讯录联系人，现要求停止催收，协商后面的还款！催收电话。</t>
  </si>
  <si>
    <t>2019/10/08 10:46:05</t>
  </si>
  <si>
    <t>续了两期了借款1100到账704还款1100现在无力偿还因为两期的续也已经超过本金了现在只想协商还本金。</t>
  </si>
  <si>
    <t>2019/10/08 10:45:58</t>
  </si>
  <si>
    <t>我对象在中腾信贷款三万，实际到帐二万三千，第一个月还1912.78.以后每月还1812.78已经还了十五期，今天8日是还款日，我给中腾信打电话，客服态度非常恶劣，告诉我不存在砍头息，那是前期服务费，今天必须还钱，不还上征信后果自负。</t>
  </si>
  <si>
    <t>2019/10/08 10:45:50</t>
  </si>
  <si>
    <t>拼多多商家承诺48小时之内发货，按照快递流程48小时之内发货，应该有物流信息，结果现在超出48小时之后仍然没有物流信息，但商家说物流已发出会统一更新物流信息，我也做过客服，如果他发货的情况下物流不可能不更新信息，而且他也发过来截图，截图上明显标识出来等待商家通知物流来收。</t>
  </si>
  <si>
    <t>2019/10/08 10:45:35</t>
  </si>
  <si>
    <t>本人于9月在好分期上借款4000元，总共12期加起来还款差不多5300元左右，现还了一期，想剩下的一次性全部结清，结果打电话客服全部是机器人接听，哪怕就是全部结清也需要支付所有的利息，现在想强制协商，要么就一次性还清本金，给出结清说明，并且销户。</t>
  </si>
  <si>
    <t>2019/10/08 10:45:17</t>
  </si>
  <si>
    <t>投诉人 赵先生        投诉对象  红宝石        涉诉金额  1 000 元    问题类型    诉求类型投诉详情  红宝石平台客服联系不上。微信公众号没人。还款还不上去。希望红宝石平台能联系我，把欠款结清。</t>
  </si>
  <si>
    <t>2019/10/08 10:44:56</t>
  </si>
  <si>
    <t>每天几十个电话，打爆通讯录，一直打我朋友电话，对别人生活带来困难。</t>
  </si>
  <si>
    <t>我们九江有几百甚至上千台网约车司机都有诉求办理个人网约车运营资格证，可是滴滴九江公司的负责人却不予理会，故意拖延时间不予办理，反而勾结那些所谓以租代购的租赁公司，同流合污榨取我们这些滴滴司机的血汗钱，硬逼我们这些司机加入这些没有保障的租赁公司，收取巨额费用，他们好从中盈利分赃，希望有关管理部门出面调节，制止这种恶劣行为，还网约车一片净水。</t>
  </si>
  <si>
    <t>2019/10/08 10:44:50</t>
  </si>
  <si>
    <t>哈啰单车在上海汽车城地铁站骑行至安亭瑞仕锦庭，收取10元调度费，咨询客服理由是服务区外关锁，后面告知开锁位置那里也是服务区外，服务区外为什么有车，服务区外为什么允许使用，只要有人用车就都收一遍调度费，好一个创收之道！。</t>
  </si>
  <si>
    <t>2019/10/08 10:44:39</t>
  </si>
  <si>
    <t>9月1日左右，在立借钱置宝申请借款2100元，截止今日已还款2253.24元，除去本金2100元已还外，以支付利息153.24元，借款期限为32天，年化利率为百分之八十八左右，已超出国家现行规定利率，现平台还要求我还款751.1元，现要求平台将该部分费用减免并销账。</t>
  </si>
  <si>
    <t>2019/10/08 10:44:07</t>
  </si>
  <si>
    <t>投诉人王先生投诉对象花转转涉诉金额2800元问题类型诉求类型投诉详情7天一期高利息、一共4期、已按时还款2期，第3期是10月2号到期、未到期前打了app客服电话、400-8336-200是空号，根本联系不了客服、就在app里面协商还款、花转转app客服留言可以协商还款、说会有专员联系我协商、到了10月2号、也没有专员联系我协商还款，一直到10月6号、已经逾期4天app客服才留言说减免逾期费用的10%，这不是明显的欺诈吗。</t>
  </si>
  <si>
    <t>2019/10/08 10:43:47</t>
  </si>
  <si>
    <t>投诉人张先生投诉对象兴业银行信用卡涉诉金额18130元问题类型诉求类型投诉详情由于本人今年7月被骗，现已经报案派出所正在立案调查，导致在兴业银行的信用卡逾期，但本人有意愿还款并非恶意拖欠，但是兴业银行现在更本不给协商，并且要求必须按他们银行规定时间还款，在刚跟我本人通完电话，就继续联系我的亲朋好友进行催收；并且威胁要上门催收；希望有关部门介入协调还款方式，不能再继续暴力催收我的亲朋好友。</t>
  </si>
  <si>
    <t>2019/10/08 10:43:41</t>
  </si>
  <si>
    <t>投诉人付先生投诉对象及贷涉诉金额3000元问题类型诉求类型投诉详情及贷变相收取高额砍头息，借款3000元，以学堂会员名义变相收取279元手续费，分6期每期还款，每期609.34，总共需要还款3656.04，实际到手3000。</t>
  </si>
  <si>
    <t>2019/10/08 10:43:05</t>
  </si>
  <si>
    <t>安全带714套路贷暴力催收，言语侮辱我还骚扰我通讯录！！我在你们那里前前后后借款给了多少利息不够，最后一期本来是要求直接销账的，但你们投诉部门跟我商量后，说得好好的，给我本金销账，等我有钱了再还，不会催我，哄骗我处理投诉，结果今天翻脸不认人！上班时疯狂打电话，催收加了我微信侮辱我，现在还爆我通讯录，你们就不知道你们是高利贷吗。</t>
  </si>
  <si>
    <t>2019/10/08 10:42:28</t>
  </si>
  <si>
    <t>投诉人方先生投诉对象叮当想花涉诉金额4000元问题类型诉求类型投诉详情电话骚扰辱骂家人，语音骚扰威胁，借款4000砍头息1200，严重超过国家利率。</t>
  </si>
  <si>
    <t>2019/10/08 10:42:10</t>
  </si>
  <si>
    <t>还款日期不对！钱站就暴力催收！181******47此个人电话！前面已经投诉一直未处理还款日！利息也是变相的服务费，超高！为何一直未处理。</t>
  </si>
  <si>
    <t>2019/10/08 10:42:01</t>
  </si>
  <si>
    <t>平安普惠未到还款日就打本人通讯录详单电话，骚扰无关人员，，在本人提出质疑后进行暴力催收，本人随即停止还款，平安普惠方变本加厉换了无数个号码骚扰本人及周边。</t>
  </si>
  <si>
    <t>2019/10/08 10:41:47</t>
  </si>
  <si>
    <t>之前通过即有分期借款6000，分9期，每期要还863.76，处理了6期，后面逾期了，然后告知我剩下的3期一共还需要还3400，协商无果，该公司的所谓催收电话恐吓，扬言要打爆我们公司的电话，我让他们联系我本人，对方不理！我要求对方立即停止骚扰！。</t>
  </si>
  <si>
    <t>2019/10/08 10:41:16</t>
  </si>
  <si>
    <t>本人于2018年11月08日在时光分期借款7000元，每期还款787元，共12期，共需还款约9444元，综合年利率接近60%，远超过国家合法年利率，属于高利贷平台，到今天为止已还10期，共约7870元，早已超过本金。</t>
  </si>
  <si>
    <t>2019/10/08 10:41:11</t>
  </si>
  <si>
    <t>每天都打骚扰电话问我要不要贷款，告诉了不需要还天天打。</t>
  </si>
  <si>
    <t>2019/10/08 10:40:56</t>
  </si>
  <si>
    <t>本人之前于还呗app借款，借款方式为随借随还，且于2019-8-30询问客服后通过转账的方式结清贷款，但至今为止都未销帐，期间利息一直在计算，且截止目前已经逾期一天，之前还款时，客服并未说明会有电话联系，导致第一次电话或许未接到，后续询问客服后得知会有电话联系，我每个电话都接，从未接到过还呗电话，请问你们的“有效”是只要一次联系不上就是无效吗，目前我留有三个电话，其中包含一个座机号，但留的时候客服敷衍，甚至觉得就没有登记，请问之后如果未登记或是登记错误也是“未留有有效号码”吗。</t>
  </si>
  <si>
    <t>2019/10/08 10:40:48</t>
  </si>
  <si>
    <t>浦发银行万用金三万多信用卡一万，因为我现在实在无力偿还逾期很久了，每个月我都积极努力还点进去，七八月份还将近一万左右，可是有逾期每个月利息就好几千块钱，本金到现在还是四万多，我本来现在经济困难还款很吃力了，这样下去高额的利息我一辈子都还不完本金还的一直都是利息，我想协商银行可不可以给我减免部分利息然后剩余逾期重新办理分期，这样每个月两千左右我可以还的，两三年就还清了，毕竟有办法的话谁也不想欠银行的钱把自己征信弄不好了，但是银行始终不同意，非要我一次性还款，要不然就起诉，我现在真的无力一次性偿还，可不可以让银</t>
  </si>
  <si>
    <t>2019/10/08 10:40:27</t>
  </si>
  <si>
    <t>本人于2019年9.15号下午和同事一起在上海浦东新区沪南公路4789号-265弄1-2层.“上海广狮汽车销售服务有限公司”与销售人员王某谈妥，订购一辆荣威RX5汽车.收费项目为3项分别是裸车费用+汽车保险费用+新车购置税.前后共支付定金20000元.于9月27号中午提车时销售人员临时告知还需支付额外3项收费项目分别是，也录了录音..卖车销售人员王某也承认这些收费项目之前没说过.称他们一直都是这样销售的，从来没有直接跟客户直说的，异地上牌报备费2500+PDI内部检测费1000+出库费1500，共5000元</t>
  </si>
  <si>
    <t>2019/10/08 10:40:22</t>
  </si>
  <si>
    <t>,2000原贷款，除了利息之外，还多扣了500元的保险费，根虎保单号查询不到该保险，要求退还扣的保险费用。</t>
  </si>
  <si>
    <t>2019/10/08 10:40:06</t>
  </si>
  <si>
    <t>你我贷催收特别厉害，在跟别人联系协商还款时，不给本人任何说话的机会，说的11点之前处理，本人根本没有说话的时间，催收自己说完之后就挂断电话，随后联系人马上接到电话。</t>
  </si>
  <si>
    <t>2019/10/08 10:39:38</t>
  </si>
  <si>
    <t>1、宜信借款2万，3月份之前已还1万多，近期联系我处理款项，要求再还28000，不处理的话，直接威胁上门2、今年3月份，宜信冒充公检法、伪造法院通知，短信发给我的亲朋好友，进行没有下限的骚扰，以下图片为证4、今年3月份，在和宜信催收沟通的过程中，对方要求我上传证明材料减免，提供后1.2万左右可以结清，但是后面又没有人联系我还款方式3、今年3月份同时在聚投诉投诉，得到官方回复电话，安排还款人员联系我，结果没有人联系我4、今年9月底，宜信宁波一家催收公司利用我的个人信息在我不知情的情况下，私下通过他们的渠道来查</t>
  </si>
  <si>
    <t>2019/10/08 10:39:22</t>
  </si>
  <si>
    <t>游戏公司，内部人员伪装玩家，欺骗消费者，属于不正当盈利，且公司没有任何的专业人员服务，也没有公司总部电话，只有一个一问三不知的客服，出了任何问题都解决不了的人，本人愿意退游戏，要求游戏公司赔偿我所充值的百分之五十作为补偿。</t>
  </si>
  <si>
    <t>2019/10/08 10:38:49</t>
  </si>
  <si>
    <t>投诉人英先生投诉对象手机借钱涉诉金额4000元问题类型诉求类型投诉详情手机借钱高利贷，暴力催收，打通讯录，对本人和家庭朋友同事生活影响恶劣，本人9月10号在手机借钱4000元分二个月还要还6397属于严重高利贷本人已经还了一期1599.25元！并且暴力催收恐吓和客服说协商处理客服不予协商还威胁本人！本人有电话录音，本来就属于高利贷，如果不协商本人一分不还并且报警处理，你们也可以走法律程序！希望手机借钱协商处理！并不是推卸责任！你们年化利息高国家规定百分之100！严重违反国家法律！如果再威胁朋友家人，本人会走</t>
  </si>
  <si>
    <t>2019/10/08 10:38:01</t>
  </si>
  <si>
    <t>10月7日注册聚富分期拇指下款app，填写资料进入评估，被中金金融公司代扣1笔299元的扣款！拨打4008888085客服电话，不予退款！！！同时扣款合同属于伪造，注册的时候根本没有要确认此项，这上面还有好多受害者！希望聚投诉能帮帮我们。</t>
  </si>
  <si>
    <t>2019/10/08 10:37:26</t>
  </si>
  <si>
    <t>本人在安逸花上面借款1800，本金已还清，最后一个月有个罚息3块多，等到还款日又多了20的还款包，我本金都还完了，为什么还有还款包，有事没接到电话，催收电话以每十分钟一个的频率疯狂拨打。</t>
  </si>
  <si>
    <t>2019/10/08 10:37:25</t>
  </si>
  <si>
    <t>本人通过信用管家下载去花花，申请4000元，实际到账2800元，1200元为保险费用，本人并未收到任何电子或书面保单，也未有保险人员与我联系，这1200元纯属高额砍头息，本人已还5期，共3400多元，还剩一期，实在无力偿还，希望在贵平台的帮助下减免利息销账。</t>
  </si>
  <si>
    <t>2019/10/08 10:37:17</t>
  </si>
  <si>
    <t>之前通过短信链接下载金银钱包，刚开始下款的时候以为60天收400的利息，但是下款后看到是5天1125的高额砍头息，这个属于高利贷，汇潮支付为金银钱包提供了汇款渠道希望进行调整利率以及销账。</t>
  </si>
  <si>
    <t>2019/10/08 10:37:03</t>
  </si>
  <si>
    <t>我于2019年9月5号在微品分期上借款2300元一个月，结果到期让我还2900元，远超出国家规定利率，与客服联系协商要求换本金加国家规定利息，对方不同意，并说不还就报我通讯录骚扰我家人，并提交征信，要求协商按国家规定利率还款。</t>
  </si>
  <si>
    <t>2019/10/08 10:36:31</t>
  </si>
  <si>
    <t>本人在应用宝下载了一款叫做安全带的app，前前后后借了7次，利息给了4000多，这家是借款3000，到手3000，需要还款3600，周期3期，每期7天，每期需要还款1214，现在我已经还了两期，还剩最后一期没有还，现在我要求最后一期直接销账。</t>
  </si>
  <si>
    <t>2019/10/08 10:35:01</t>
  </si>
  <si>
    <t>上午刚刚我家里人打电话说问我是不是贷款了，一直在打电话，。</t>
  </si>
  <si>
    <t>2019/10/08 10:34:44</t>
  </si>
  <si>
    <t>投诉人王姣投诉对象美利车金融涉诉金额145152元问题类型诉求类型投诉详情本人按揭了一部二手车子原价143800，首付了四万多，贷款10万，分三年还，每个月4032，买了车子后才明白被套路了，十万的利益高出了很多倍，按照他们的还款额就是145152，已经还了两年了几乎都是很自觉的提前就还进去，但是由于本人今年做生意亏了，每个月省吃俭用凑车贷，最多一次逾期三天，我态度很好主动联系他们说明了情况够，说给我宽限几个小时我去凑，完全态度非常的恶劣语言暴力，贷款公司的电话永远打不通，打过来的都是座机，手机上面的显示的</t>
  </si>
  <si>
    <t>2019/10/08 10:34:43</t>
  </si>
  <si>
    <t>入住后发现酒店当天价格更低，拿提交预定价格截图询问前台，前台解释说是平台吸引顾客手段，并没有那么低的价格。</t>
  </si>
  <si>
    <t>2019/10/08 10:34:37</t>
  </si>
  <si>
    <t>现在实在没钱了，想问下可不可以15号还款，帮我申请下，15号发工资。</t>
  </si>
  <si>
    <t>2019/10/08 10:33:48</t>
  </si>
  <si>
    <t>本人被骗条，证据确凿，现联系不到对方，不想为了一点小事麻烦人民警察，在我提供证据即聊天记录后，还说如果逾期还会帮对方催收我，天理何在。</t>
  </si>
  <si>
    <t>2019/10/08 10:33:46</t>
  </si>
  <si>
    <t>兴业银行催收部门人员暴力语言，威胁，恐吓，态度很差！。</t>
  </si>
  <si>
    <t>2019/10/08 10:33:36</t>
  </si>
  <si>
    <t>高炮暴力催收，砍头息，爆通讯录，借款期3天。</t>
  </si>
  <si>
    <t>2019/10/08 10:33:26</t>
  </si>
  <si>
    <t>原4000分12期还款，但是前三期就已经把钱还完了！为什么不是分期等额还款呢，！原本打算分期等额还的没想到不是，现在一个月没还竟然一个月要还1756元！我就不知道怎么出来这么多的钱！！！希望平台能出来解释下！！！。</t>
  </si>
  <si>
    <t>2019/10/08 10:33:19</t>
  </si>
  <si>
    <t>因家里出现特殊情况，治病花费太多导致过多外债，我也因此不能工作赚钱，失去赚钱的机会，现在我准备出去上班来赚钱慢慢还浦发信用卡，跟银行说明情况也不予以处理，还暴力催收打扰家人，现在请贵平台监督帮忙处理，减免高昂的违约金利息，让我分期还款本金。</t>
  </si>
  <si>
    <t>2019/10/08 10:33:06</t>
  </si>
  <si>
    <t>在途牛报了甘南2日游，行程中包含的药王泉和当周草原没有去，导游说他拿到的行程单和我们的不一样，他的没有这些行程，问对她有意见为什么不当面说背后搞投诉，然后又说行程不是她定的，他拿他的行程在走，说他不讲解，他都感冒很久了，在带病工作，我们还要怎么怎么样，就开始拿生病道德绑架，回程很尴尬，结束行程下车后被导游叫住继续指责，很不客气的问谁是刘*，是不是我报的团我投诉了，我和朋友说没有，他说这么没有，旅行社都发给他了，谁谁谁投诉的他，问我们到底跟途牛说了什么，当时很生气就要走，导游还说对她有什么意见，并且导游全程无</t>
  </si>
  <si>
    <t>2019/10/08 10:32:57</t>
  </si>
  <si>
    <t>我在小黑鱼平台里的快易熊网贷里借款2500，实际到账2250，分三期每期1130多，永远联系不到客服，app打不开。</t>
  </si>
  <si>
    <t>2019/10/08 10:32:49</t>
  </si>
  <si>
    <t>及贷借款9000元，分六期还，每期还1673元，共还款10038元，放款时直接扣除保险费837元账只有8163元，属于变相的砍头息，并且利率高于国家规定利率。</t>
  </si>
  <si>
    <t>2019/10/08 10:32:14</t>
  </si>
  <si>
    <t>投诉人王先生投诉对象聚富分期涉诉金额299元问题类型诉求类型投诉详情分别于10月1日注册聚富分期，填写资料进入评估个人在不知情的情况下被中金金融公司代扣2笔共299元的扣款！拨打4008888085客服电话不予退款！！！同时扣款合同属于伪造，注册的时候根本没有要确认此项这上面还有好多受害者！希望聚投诉能帮帮我们谢谢！！！。</t>
  </si>
  <si>
    <t>2019/10/08 10:32:10</t>
  </si>
  <si>
    <t>非法提供给公司平台或个人用户信息，严重影响生活。</t>
  </si>
  <si>
    <t>2019/10/08 10:32:09</t>
  </si>
  <si>
    <t>10月3号在携程买了去芭提雅表演秀的门票，已交易成功之后不可以进入现场，之后致电客服答应让我们先自行离开取消订单退款，可是现在联系携程又说不给退。</t>
  </si>
  <si>
    <t>2019/10/08 10:32:07</t>
  </si>
  <si>
    <t>投诉人赵先生投诉对象嗨钱网涉诉金额958元问题类型诉求类型投诉详情嗨钱网、8月26日最后一期还款、不能充值还款、根据嗨钱app客服给的还款方式已还款、到现在一个多月过去还显示逾期中。</t>
  </si>
  <si>
    <t>2019/10/08 10:31:58</t>
  </si>
  <si>
    <t>从贷上钱借款两笔，一笔2000一笔2500，还了一笔2000的到期还款当天贷上钱扣走1125，现在还要还款2500，以会员名义收取高额利息，今天还催收暴力，要联系我家人朋友，还要联系我户籍所在地。</t>
  </si>
  <si>
    <t>2019/10/08 10:31:31</t>
  </si>
  <si>
    <t>投诉人唐先生投诉对象小当家涉诉金额3000元问题类型诉求类型投诉详情小当家用了一年之久，砍头利息，3000的借款到账2700.分3期还，每期1360元，今天第3期逾期1天，我早还够他们的本金加利息，希望给我消账。</t>
  </si>
  <si>
    <t>2019/10/08 10:31:18</t>
  </si>
  <si>
    <t>本人在平台借款6300元，现在因为一些缘故，无法进行如期还款，在平台账单存在1期逾期，现在在平台已归还金额为3526.64，本金已经还了一半还多，因为现在资金未到，不能进行一次性结清、在多个平台的欠款均已到期，现在其他平台正在暴力催收，骚扰我的通讯录好友，希望贵平台可以协商还款，钱到账后第一时间与贵平台联系处理欠款，不要进行违法暴力催收了，如果现在都不能协商还款，执意进行暴力催收，骚扰通讯录，那我现在也不怕什么了，家人朋友都已经知道了因为已经产生逾期，请尽快与我联系协商，谢谢。</t>
  </si>
  <si>
    <t>2019/10/08 10:30:52</t>
  </si>
  <si>
    <t>2018年7月14日一共购买了1笔京保养套餐，京东设置一年有效期霸王条款，即将到期也不作任何提醒，现服务已经过期不能使用，联系京东客服以过期为由不退款。</t>
  </si>
  <si>
    <t>2019/10/08 10:30:42</t>
  </si>
  <si>
    <t>昨日与该公司工作人员协商10号处理，并承诺对你我贷投诉结案，今天该公司就出尔反尔，并通过拖延打电话时间影响正常工作。</t>
  </si>
  <si>
    <t>2019/10/08 10:30:25</t>
  </si>
  <si>
    <t>投诉人 赵先生        投诉对象  信而富        涉诉金额  800 元    问题类型    诉求类型投诉详情  购买这些东西后才能发货 可是一直没有发货过 没有收到这些东西 没次都是一百多 压根没收到货还要收取利息 要求退还以前购物的钱。我追踪到底</t>
  </si>
  <si>
    <t>2019/10/08 10:29:58</t>
  </si>
  <si>
    <t>接到营销电话，正好有资金需求，销售人员并未告知有砍头息，下款后，发现收取砍头息，借8万，实际到账8万，砍头息2.3万，三年连本带息一共还款15万，并且找到下款，本人在手机app上也没有查看到相关的借款合同，有由于个人经济状况原因，想提前一笔还清，借了三个月需要还11万，还没有计算已经还的三期共计1.5万，也就是说，借用八万块钱三个月，我需要还共计12.5万。</t>
  </si>
  <si>
    <t>2019/10/08 10:29:57</t>
  </si>
  <si>
    <t>5月14日这天，推出母亲节专享理财产品嘉康盈546天理财产品，年化利率7.2~7.5，该产品介绍称严选金融资产、海南股权交易中心管理、三胞集团提供回购保障，官宣上号称两家世界500强企业与互联网巨头共同打造，我们写此文列出如下疑问希望立马理财的三家股东网光大证券、网易与海航旅游给出我们最直接的回答，不要再敷衍了事，我们父母养老钱拿不回来，那是会出人命的： 　　1） 当初投资该款产品时，清清楚楚写的是海南股权交易中心管理，三胞集团只是回购担保，而且风险提示书中明确写着资金将投向冶金行业，最后怎么钱全借给三胞集</t>
  </si>
  <si>
    <t>2019/10/08 10:29:38</t>
  </si>
  <si>
    <t>投诉人 马先生        投诉对象  蟹老弟        涉诉金额  1 191 元    问题类型    诉求类型投诉详情  本人已经在九月份还清所有蟹老弟账单 现在要求不许骚扰本人生活</t>
  </si>
  <si>
    <t>2019/10/08 10:29:09</t>
  </si>
  <si>
    <t>广东信汇作为收单方未严格审核商户信息，为赌博平台提供支付收单，要求广东信汇联系删除鱼我退款。</t>
  </si>
  <si>
    <t>2019/10/08 10:29:08</t>
  </si>
  <si>
    <t>本人因国庆工资未开，拖欠现金巴士借款，在此本人深感抱歉，本人有主动还款意愿，只因工资未开，暂时不能还款，请给我开个延期，不要骚扰我的家人，滞纳金逾期费用和我个人征信问题我自己承担。</t>
  </si>
  <si>
    <t>2019/10/08 10:28:20</t>
  </si>
  <si>
    <t>投诉人郑女士投诉对象招商银行,招商银行信用卡涉诉金额51104元问题类型诉求类型投诉详情本人在2010年申请了招商银行信用卡，一直以来用卡良好，从最初的12000额度也提升至44000，由于2019.6月份本人银联账户遭遇盗刷的资金损失，间接导致招行信用卡逾期，在逾期当月本人就立即主动联系招行信用卡客服中心，主动说明情况，表达还款意愿，希望申请延期还款，停止电话催收骚扰本人及联系人，由于款项迟迟未能立即追回，导致本人无法及时配合履约还款，更导致招行信用卡第三方催收部门的轮番轰炸，虽然明知都是网络电话进行催收</t>
  </si>
  <si>
    <t>2019/10/08 10:28:02</t>
  </si>
  <si>
    <t>借5000块分12期还，每期还565.67元，已经还了5656.7元，家里变故还不上，今天就暴力催收，语言恐吓威胁不还就爆通讯录。</t>
  </si>
  <si>
    <t>2019/10/08 10:27:28</t>
  </si>
  <si>
    <t>今年5月份在弹个车付了首付购车一辆，后来发现买的车变租的了要求退车，弹个车竟然要求支付一万多的违约金，希望有关部门介入调查，受害的家庭很多光我知道的有一千多家。</t>
  </si>
  <si>
    <t>2019/10/08 10:26:25</t>
  </si>
  <si>
    <t>多次投诉中通快递客服未处理，充值的电子面单被回收，跟我说是业务员收我的钱，叫我找业务员，我无法联系到业务员，又跟我说业务员是给你们做黄牛的，那么你们明知道是黄牛，还为什么跟黄牛合作，现在单号回收了，说出不负责，不是你们责任的话，不管是谁收的钱，反正单号是给你们网点收回去的，1.你们跟黄牛合作或是外围成员是你们的问题，你们的责任，2.你们所说的是黄牛收了我的钱，那么黄牛是打着你们快递网点旗号的，我后台合作的也是你们网点，收走单号的也是你们网点，不管是你们的外围成员还是你们的黄牛，又或是业务员，都是你们责任，偌</t>
  </si>
  <si>
    <t>2019/10/08 10:26:15</t>
  </si>
  <si>
    <t>我在螎泽财富后改成亿宝钱包里面申请借款，他们推荐随心花，借款2000到账1400,借款周期为8天，到期还款2200,在到期后无法还款，也联系不上客服，导致逾期，逾期后app里面显示计算中，现在已经逾期70多天没办法处理，于2019年10月6日上午有自称随心花的工作人员打来电话说可以处理还款，但是让我用支付宝转账到公司财务，说转账后会销账，电话是158******78，不知道可不可以相信。</t>
  </si>
  <si>
    <t>2019/10/08 10:26:08</t>
  </si>
  <si>
    <t>平台客服无法联系，申请退款无人处理，无人回复，商家虚假发货，强制消费。</t>
  </si>
  <si>
    <t>2019/10/08 10:26:05</t>
  </si>
  <si>
    <t>逾期闪银哼哼，6天，刚刚客服给我打电话，说不可以开延期，一开资就会还上，请闪银相信我的还款意愿，给我开个延期。</t>
  </si>
  <si>
    <t>2019/10/08 10:25:32</t>
  </si>
  <si>
    <t>10月5日到期，逾期了！但是我没有借过！问他什么时候借的他说他那里看不到！还说要爆通讯录！也能说出我的身份证号码！。</t>
  </si>
  <si>
    <t>2019/10/08 10:25:07</t>
  </si>
  <si>
    <t>而且还是514高炮，借2000元，到账只有1400元，而且五天之后就要还款，看你还不了给你推荐各种出借人，逼你借款还钱，不还款就爆通讯录，骚扰家庭，严重影响个人生活，国家现在严厉打击这种平台，还真的有这种人，而且是线下放款的，还不是在平台放款，真的是很令人费解。</t>
  </si>
  <si>
    <t>2019/10/08 10:25:04</t>
  </si>
  <si>
    <t>2019年5月份借款14400元，分12期还，前两期每期3431.35元，后面每期还1271.35，总共还19576.2元，利率高的吓人，当初模糊不清没看清楚，既然借了我也一直在正常还款当中，结果上一期，因为还款当天银行卡出了点问题，第二天8点50多对方打电话给我的时候，我表示晚点划扣就好了，但是我9点上班公司开会途中，对方一直不依不饶打电话骚扰，期间还打电话给我家人，发短信恐吓，后来不到10点划扣完了我打电话给他们客服，问为什么要骚扰家人，还发恐吓短信，对方不承认~！！！还在电话里比我更凶，现要求你我贷道</t>
  </si>
  <si>
    <t>2019/10/08 10:24:55</t>
  </si>
  <si>
    <t>小米9se使用刚到七天，要求客服退货，我或者我添钱换成其他的型号2，系统有问题，杀进程很严重，所有软件都不能后台运行，严重怀疑商品是否原装正版。</t>
  </si>
  <si>
    <t>2019/10/08 10:24:29</t>
  </si>
  <si>
    <t>从昨天开始就发消息说代扣失败要手动还款，我还了，但是怎么都还不上，一直说什么要素缺失，换好几张银行卡都不行，打电话没人接，客服没人接，还款还不上，这逾期的损失算谁的，看到很多人经常会遇到这种问题，怀疑拍拍贷公司恶意操作收取高额逾期费用，违反国家法律法规。</t>
  </si>
  <si>
    <t>2019/10/08 10:24:19</t>
  </si>
  <si>
    <t>但是第二天帐号被找回，密保手机号被换成卖家自己的了。</t>
  </si>
  <si>
    <t>2019/10/08 10:24:08</t>
  </si>
  <si>
    <t>高额的利息，借款前后显示的还款信息不一样，收取高额的保费。</t>
  </si>
  <si>
    <t>2019/10/08 10:23:52</t>
  </si>
  <si>
    <t>本人于2019年9月16号通过你我贷平台借款借款6000元，用了不到1个月，现想提前结清，但是看到要还8156.76元，我接受不了这样的高利贷，我从没有见过这样的高利贷，我现在要求你我贷减免我的部分利息和高额服务费，如果不行我会直接向监管投诉，我也不还了，我不信国家对这样的高利贷不闻不问。</t>
  </si>
  <si>
    <t>2019/10/08 10:23:50</t>
  </si>
  <si>
    <t>10月08日账单日，我于7日主动还款成功，玖富客服仍然在今天给我打电话勒令我还款，难道我昨天还款你们没有信息提醒么，这就是你们的技术。</t>
  </si>
  <si>
    <t>2019/10/08 10:23:22</t>
  </si>
  <si>
    <t>你我贷逾期几天，在我电话畅通而且未经我允许的情况下，一直给我朋友打电话骚扰，恐吓，威胁，在工作时间不停的用不同的手机号打电话！给我朋友打电话侮辱我，吓唬我朋友让我朋友换号，否则就让她不得安宁。</t>
  </si>
  <si>
    <t>2019/10/08 10:23:18</t>
  </si>
  <si>
    <t>店铺没有经营也不存在任何纠纷等问题，正常应该是可以及时退保，但是申请后一直都，求助了聚投诉平台一次，终于在9月10得到了今日头条回复，让我们按照他的申请程序申请，并且协助在聚投诉平台结案，，我们也再次按照今日头条鲁班平台的要求走他们指定的退款流程，并马上在聚投诉结案，但是结案后又什么消息都没有了，还是和之前一样的状态，再次写邮件任然是不回复，保证金还是不退！！！实在无语，这么大的公司，正常退保证金为何要这么难，而且都同意了退保为何迟迟不退，怎么要这样失信！这次不收到退保证金绝不在结案！！！鲁班平台没有任何信</t>
  </si>
  <si>
    <t>2019/10/08 10:23:05</t>
  </si>
  <si>
    <t>本人信用卡是每月27号还款，这次7号出账单，就把我卡上额度2000余元扣除，就是扣除也得27号扣除，麻烦把利息减免，谢谢。</t>
  </si>
  <si>
    <t>2019/10/08 10:22:38</t>
  </si>
  <si>
    <t>投诉人 杨先生        投诉对象  拍拍贷        涉诉金额  4 600 元    问题类型    诉求类型投诉详情  现在冒充公检法 直接说上门 公安局立案 给我家人以及我生活精神上造成重大影响 特别我母亲都气出病了 每次打电话过去就直接骂 侮辱</t>
  </si>
  <si>
    <t>2019/10/08 10:22:23</t>
  </si>
  <si>
    <t>本人因近期资金实在周转不过来，导致本期还款逾期，今天接到摧收电话她说今天处理不了就打亲朋好友电话一个一个去要，对方态度恶劣根本不给协商的余地，请求聚投诉帮忙跟你我贷协商一下，目前本人资金实在周转不过来，只能本月十号发工资了才能还，。</t>
  </si>
  <si>
    <t>2019/10/08 10:21:51</t>
  </si>
  <si>
    <t>投诉人庄先生投诉对象随手记涉诉金额5623元问题类型诉求类型投诉详情在平台借7000，马上自动扣去1050，总利息还要多还1434.92，总利息费为2484，现在要申请全部结清，返还砍头息。</t>
  </si>
  <si>
    <t>2019/10/08 10:21:39</t>
  </si>
  <si>
    <t>我于2019年9月27日晚向武汉善学进智教育咨询有限公司咨询学历提升，自考本科培训班12200元，交了首付预付款2440，说可以分期，弄了个叫咖啡易融的app，申请了9760元分期贷款，七日内因个人原因，我给老师说了退学退款，他们要我把贷款分期钱付完，以公司规章制度扣除咨询费和各种手续费，我合同没签，没上过一节课程，还让我把学费交完，自提出申请退学退款以来嘴上说给我解决实则一直像踢皮球一样拖着，不及时解决处理，霸王条款，我现在申请善学教育全额退还学费，并与咖啡易融取消分期合同。</t>
  </si>
  <si>
    <t>2019/10/08 10:21:37</t>
  </si>
  <si>
    <t>投诉人金女士投诉对象快闪卡贷涉诉金额15000元问题类型诉求类型投诉详情本人于2019年5月8号在快闪平台借款15000元，实际到账12617.38元，分六期还款，每期3009.01元，每个月利息高达900多，总共六个月本金加利息就要还18000多元，利息高达5400多，达到本金的43%左右，通过计算该平台利息远远超过民间借贷年利率红线36%，属于十足的高利贷，已还四期，共12000元，剩余两期六千元，我希望借助聚投诉平台帮我协商快闪卡贷平台把超出的利息给我减免，否则不再还款。</t>
  </si>
  <si>
    <t>2019/10/08 10:21:33</t>
  </si>
  <si>
    <t>投诉人 杨先生        投诉对象  闪电借条        涉诉金额  7 500 元    问题类型    诉求类型投诉详情  因现在资金问题，协商延期还款或分期 ，尽快回复，谢谢</t>
  </si>
  <si>
    <t>2019/10/08 10:21:21</t>
  </si>
  <si>
    <t>平台有借款，后期才发现被强制绑定众安保险的保险，，金额累计高达900多元，和众安以及各个平台沟通，说是不能撤销，强制绑定，本人作为投保人，自己的保险都不能撤销，并且在本人不知道的情况下投了这么大金额的保险，众安保险是否作出解释，请求退本人保费，给出解释，我已经在12378投诉了。</t>
  </si>
  <si>
    <t>2019/10/08 10:20:44</t>
  </si>
  <si>
    <t>10月8日发现钱少了，点开银行卡明细发现10月7日晚8点39被云南国际信托莫名其妙扣了1658.57元，细思极恐，之前从未发生过，既无短信提示扣款，也没说扣款原因，感觉自己信息被恶意使用，要求追回损失并赔偿解释。</t>
  </si>
  <si>
    <t>2019/10/08 10:20:21</t>
  </si>
  <si>
    <t>投诉人 邓先生        投诉对象  闪银        涉诉金额  1 138 元    问题类型    诉求类型投诉详情  什么意思？没到期信息 迟还一天就打电话恐吓我 ？还说骚扰我家人？</t>
  </si>
  <si>
    <t>2019/10/08 10:19:58</t>
  </si>
  <si>
    <t>有钱肯定会还，谁都不想当老赖，深陷网贷泥潭之中，工作人员各种骚扰，恐吓，已经严重影响到我的生活了，有钱自然会还，都说了宽限我时间，利息也飞涨，本金都是问题还要还利息，那也要容我时间，催收人员态度非常恶劣。</t>
  </si>
  <si>
    <t>2019/10/08 10:19:07</t>
  </si>
  <si>
    <t>希望客服可以联系我进一步审核，分两次还清，一次1300，一次1266。</t>
  </si>
  <si>
    <t>2019/10/08 10:18:52</t>
  </si>
  <si>
    <t>2019年8月8日在天猫海信电视官方旗舰店以2749元的价格购买了一台型号为HZ55E52A的55英寸液晶电视，8月11日送货员将电视送到家，送货员进行开箱通电验货后，就进行了签字验收，然后送货员将电视放回箱子，下午拿出来通电发现屏幕内屏有问题，马上和天猫海信电视旗舰店客服联系，要求退换机，客服以已经验机签收为由拒绝，并说他们不负责，让联系售后，然后我和天猫海信电视旗舰店客服联系，要求退换机，客服以已经验机签收为由拒绝，后来再跟天猫旗舰店客服联系，客服不再搭理我，然后联系海信售后400，海信售后400开始说</t>
  </si>
  <si>
    <t>2019/10/08 10:18:17</t>
  </si>
  <si>
    <t>借款2100，分三期，每期还款1061.56元，利息超高。</t>
  </si>
  <si>
    <t>2019/10/08 10:18:15</t>
  </si>
  <si>
    <t>平安普惠强制收取高额保险费，疯狂催收，不择手段。</t>
  </si>
  <si>
    <t>2019/10/08 10:18:09</t>
  </si>
  <si>
    <t>本人在该平台借款5000元，2019年10月8日逾期一天，该平台与本人联系，本人协商两天后还款，该平台拒绝后，一分钟内连续从重庆、陕西、湖南等地打电话，威胁、骚扰本人，还扬言如果当天不处理账单，要联系本人亲属、朋友曝光本人。</t>
  </si>
  <si>
    <t>2019/10/08 10:18:03</t>
  </si>
  <si>
    <t>捷信金融打电话催收辱骂客户本人，对家属进行人身攻击，我这有录音！。</t>
  </si>
  <si>
    <t>2019/10/08 10:17:52</t>
  </si>
  <si>
    <t>8月19号收到短信玖富万卡app放款给我1万元，我查询后发现确实借了，原因是我对象为了做任务得佣金，贪图小利，骗我做了人脸认证等不小心借的款，于是我打电话致电客服，我说我不想借，客服告诉我两星期之内不提现就行了，结果27日收到短信说提现了，我上app一看还真提现了，我说怎么办，你告诉我2星期不动，现在不知道为什么提现了，我没有操作过，我对象提现的可能性很小，因为19日发生借款后，我就更改了手机的密码，同时她也不知道我玖富万卡的登录密码，问了一下只能提前结清，那就结吧，结果问了一下1万元，过了10天，提前结清</t>
  </si>
  <si>
    <t>2019/10/08 10:17:48</t>
  </si>
  <si>
    <t>借花钱，没人任何提示直接就给我扣费了，莫名其妙，恶意扣除我银行卡余额，是强盗嘛。</t>
  </si>
  <si>
    <t>2019/10/08 10:17:24</t>
  </si>
  <si>
    <t>11.12向原子贷现改名为时光分期借款12000分12期还，每期还1359.87，年利率超过了百分之二十四，现已经还了10期。</t>
  </si>
  <si>
    <t>当初本人跟她说30号结算由于那边没到账导致没还上，个人隐私怎么随便暴露.我打他们官方投诉告诉我找不到催收。</t>
  </si>
  <si>
    <t>投诉人沈女士投诉对象玖富涉诉金额32700元问题类型诉求类型投诉详情本人于2019年7、8、9月向玖富万卡平台借贷共32700元，分12期还款，目前已经还款共6352元，贵平台本人总共借本金32700元，按该还款方式，一年之后，总归本息共还44413元，每次借贷放款的时候实际到账会扣除很大一笔费用，但是还款依旧按照扣除之前的总金额来还款，也称之为砍头息，其利息也远高于国家规定标准，现本人一女子，刚刚下岗失业，目前正努力寻找工作，失去工作的我目前无收入来源，恳求贵平台挂帐免息，并从已还款额度里扣除相应本金，减</t>
  </si>
  <si>
    <t>2019/10/08 10:17:17</t>
  </si>
  <si>
    <t>投诉人赵先生投诉对象用钱宝涉诉金额1040元问题类型诉求类型投诉详情昨天跟用钱宝客服协商好了10月9号还款客服也答应了，没有想到刚刚催收竟然又打电话过来威胁我叫我8号12点之前还清不然就打我通讯录电话。</t>
  </si>
  <si>
    <t>2019/10/08 10:17:06</t>
  </si>
  <si>
    <t>公司：深圳市周转花科技有限公司本人在17年起大学期间周转花平台借款1000本金，4周期，因为来这里寻求帮助，希望可以得到解决，希望退还高额利息。</t>
  </si>
  <si>
    <t>2019/10/08 10:17:00</t>
  </si>
  <si>
    <t>拼多多无视《电商法》，无理设置注销账户条件，多次拒绝我注销账户，说是一年内有过消费订单的用户不允许注销，这种行为已经侵犯《电商法》和《消费者权益保护法》！。</t>
  </si>
  <si>
    <t>2019/10/08 10:16:58</t>
  </si>
  <si>
    <t>本人2015年左右绑定的苏宁任性付账户.2016年银行卡账户被盗刷，在苏宁任性付套现.现在苏宁一直催我还款，而且上传了我的逾期记录，征信已是逾期状态，报警也没法处理这件事.。</t>
  </si>
  <si>
    <t>2019/10/08 10:16:34</t>
  </si>
  <si>
    <t>本人于2018.9.6日在淘宝店铺“英飞迪电动车”购买电动车一辆，承诺一年内配件包换，不足两月电动车车轴和车胎发生各种问题，联系商家百般推脱，最后直接不回消息了，我也认了，自己花钱修了车胎和车轴，再过一段时间店铺直接关门了，中间我的车头外壳破了，我需要更换配件，却根本无法和售后取得联系！卖完就关门，毫无宣传的任何售后，我觉得我不能忍受。</t>
  </si>
  <si>
    <t>2019/10/08 10:16:15</t>
  </si>
  <si>
    <t>恒易贷有逾期，之前通过短信与催收联系，对方态度不错，也处理了一期，这个月换了个催收，在打了一次手机没接到的情况下，直接打单位电话，对本人的工作造成了影响，电话中要了对方催收的微信，添加后说明了情况，也要求给到25号处理，结果对方说只给一周时间，该打的电话还是要打，请问在联系的到本人的前提下还要打单位电话什么意思，让人丢了饭碗就能要到钱了，不说这个恒易贷的利息不低，我也没有要求减免费用，表示逾期的费用自己承担，对方还各种表示号码是我自己留的，现在希望催收道歉，停止拨打单位电话，有事微信协商，期限可以到25号。</t>
  </si>
  <si>
    <t>2019/10/08 10:15:59</t>
  </si>
  <si>
    <t>安排当地外访人员上门对你进行经济调查，届时会通知到你的家人和朋友协助你来还款，为避免对你产生不必要的名誉影响，请上午十一点之前处理好逾期欠款，否则一切后果自负，谁给你们权利进行经济调查的，还通知家人朋友，你们这些信息从哪里获取来的，又是谁给你们的权利！！！！。</t>
  </si>
  <si>
    <t>2019/10/08 10:15:24</t>
  </si>
  <si>
    <t>我在9月17日接到陌生来电，他自称“大非农股指期货”客服，他跟我简单介绍购买股票稳赚不赔等等，之后拉我进QQ股票交流群，后被引导入“大非农”w4z8zc.cn观看直播，讲师鼓吹黄金股指期货，在诱导下进行开户，之后进行充值购买，9月19日那天我想提出本金，但是大非农后台人员把我钱包冻结，本金无法提出。</t>
  </si>
  <si>
    <t>2019/10/08 10:15:21</t>
  </si>
  <si>
    <t>购买时没注意商家下面的7天退货的字，其中有一条已拆封的苹果机器不支持7天无理有退换货，本人无法接受现在要求退款，商城没有退款选择联系客服一直无人接听所以只能投诉。</t>
  </si>
  <si>
    <t>2019/10/08 10:14:39</t>
  </si>
  <si>
    <t>投诉人余女士投诉对象捷信金融涉诉金额17800元问题类型诉求类型投诉详情一共借了17800还了26个月差不多24000现在还有9500多要还，现在要求不还钱，销账撤销征信问题。</t>
  </si>
  <si>
    <t>2019/10/08 10:14:26</t>
  </si>
  <si>
    <t>新为开店失败了！在国美易卡借款5230元已经还了两期每期574.48元还12期在还第三期时候因为资金断开店铺还没有转出去就和国美易卡催收人员沟通现在逾期没有办法的让他们宽限时间，但是对方催收不同意还说在2019年10月8日10点不还款就爆通讯录！在这里要求国美易卡严肃处理此员工比道歉做出赔偿！。</t>
  </si>
  <si>
    <t>2019/10/08 10:13:55</t>
  </si>
  <si>
    <t>714高炮花月钱包借款3500实际到账2300还款3500。</t>
  </si>
  <si>
    <t>2019/10/08 10:13:50</t>
  </si>
  <si>
    <t>在2019年6月28日在快闪卡贷借款17000元，每期还款3630.84元，分6期，总数还款21785.04，国家规定利息不能超过36%，利率已经达到了60%了，是否合规呢，而且每期都都是本金+利息的还款，本金减少了，利息也应该降低才是，但是6期每期还款金额都是一样的，如果按照法规换算，利息早超过100%了，要求免除费用，不然不再还款！。</t>
  </si>
  <si>
    <t>2019/10/08 10:13:36</t>
  </si>
  <si>
    <t>本人陆陆续续在这个平台借贷过多次，利息都已经还了上万，可是还是有没有还款完的阴阳合同，查看记录系统已经全部删除，本人在此说明:不会再还款0.01元钱，这个平台为非作歹，害人不浅，希望国家追根究底，问责这些背后犯罪分子，还我们广发群众一个说法。</t>
  </si>
  <si>
    <t>2019/10/08 10:13:32</t>
  </si>
  <si>
    <t>不给注销设备,设备是自己花钱买的，要注销还要把设备，设备自己花钱买的，现在不好用注销还让把设备邮寄过去，才能注销，设备邮寄过去还不给退款。</t>
  </si>
  <si>
    <t>2019/10/08 10:12:59</t>
  </si>
  <si>
    <t>二十多年都不联系的表哥个个平台借钱，今接到百度钱包一女士电话，态度恶劣，什么都不说直接要求我联系借款人，否则天天打我电话，我都二十多年不联系了，也没有联系方式，更何况找他直系亲属就行，我现在是孕妇，处于保胎期，希望不要再骚扰，更何况态度如此恶劣！。</t>
  </si>
  <si>
    <t>2019/10/08 10:12:24</t>
  </si>
  <si>
    <t>本人在支付宝蚂蚁借呗和花呗都有逾期，合计八万多，由于要求一次性偿还，无法分期，现还款困难，支付宝委托三方催收，暴力爆我通讯录，对我造成很不好的影响，现要求支付宝官方客服与我联系，不接受三方电话，否则报警！。</t>
  </si>
  <si>
    <t>2019/10/08 10:12:03</t>
  </si>
  <si>
    <t>本人被别人骗到亚游赌博平台，用云闪付支付了2万多人民币，后来发现就是骗人的，云闪付作为中国银联的正规产品，为什么可以为赌博平台开通支付渠道，希望云闪付可以给我退款，如果不能解决，我就继续到国家信访局公众号投诉。</t>
  </si>
  <si>
    <t>2019/10/08 10:11:13</t>
  </si>
  <si>
    <t>在小当家借款1025，已经还款2期每期还款517，还款第二期就显示最后账单了，今天又发信息还需要还款517，借1025还款1034还需还款517严重违反国家规定高利贷要求销账，连连支付和宝付支付提供支付通道。</t>
  </si>
  <si>
    <t>2019/10/08 10:11:03</t>
  </si>
  <si>
    <t>这严重违反国家金融规定，利息高达3000元的高利贷！钱站还私自修改合同！，我要求取消借款，一次性按合法利息结清！如果不处理我将扩大投诉到底！并且我家离公安局派出所很近，已经去报警咨询过了，这种高利贷先叫我不还，先协商处理，如果不行，直接不还！如果有恶意骚扰催收直接联系公安局。</t>
  </si>
  <si>
    <t>2019/10/08 10:10:35</t>
  </si>
  <si>
    <t>我借了1600一个月后还2096.我要求还本金和利息，不肯，打电话威胁我和我的家人一天打十几个电话。</t>
  </si>
  <si>
    <t>2019/10/08 10:10:33</t>
  </si>
  <si>
    <t>本人前期误入歧途，欠下巨额债务，和家里坦白后东拼西凑凑了点钱，希望能把这些贷款还清，毕竟欠债还款，天经地义，也恳请小花钱包能免除剩余期数的利息，本人愿意一次性还清。</t>
  </si>
  <si>
    <t>2019/10/08 10:10:30</t>
  </si>
  <si>
    <t>对方平台利息与我下单时的利息存在很大差异，借3000，只给我2100，现在还联系不到客服，app也没了。</t>
  </si>
  <si>
    <t>2019/10/08 10:10:20</t>
  </si>
  <si>
    <t>此软件我9.19号申请的说要交一个个人评估费用，399，上面明显说明，如果皮配不成功可以退还399，但是我打了几次了客服电话都是一味的推攘，还让我寄身份证复印件给他，申请的时候不需要复印件，只是根据平台自己操作拍摄身份证的，现在退了，要我寄邮件去上海了。</t>
  </si>
  <si>
    <t>2019/10/08 10:10:15</t>
  </si>
  <si>
    <t>宝付这支付公司帮这些714平台提供支付渠道，变相吸取我的砍头息将近上万元，而且宝付公司也不负责处理，无法无天，他们的客服更加废一直说反馈给专员，专员就是一句话你爱怎么样怎么样去要报警就去报警，意思是不管了夜没人管的了他们，我想请问下是没人管的了他们吗这么嚣张，他们为那些714变相砍头息不法平台提供支付渠道而且态度非常嚣张，所谓的714平台就是今年315曝光那种高利贷，不法平台，他们的保护伞就是宝付，宝付的保护伞不知道是谁，嚣张的要死叫我们爱干什么就干什么去，刚开始说商户不合作联系不上，后面天天投诉他们又有商</t>
  </si>
  <si>
    <t>2019/10/08 10:09:58</t>
  </si>
  <si>
    <t>于2016年九月份前住祈福集团旗下番禺的祈福新村祈福名都，后来在祈福新村巴士站看到祈福集团有新楼盘售卖，地址在佛山南海区丹灶镇祈福南湾半岛，抱着好奇心，坐了祈福集团旗下的直线巴士去看了，一看，环境不错，就是交通不便利，但是当时卖房子的，也就是祈福集团聘请的售楼人员说不怕，有外线巴士，到广州坑口八块，到其他地方也是差不多的收费标准，而且有直达番禺的免费直线巴士，吃喝不愁，于是我们买了，于2017年十二月装修完毕入住，后来巴士正常运营了一段时间，收费到广州坑口8块一次，但是没多久，就取消消费，开始免费搭车，听外</t>
  </si>
  <si>
    <t>2019/10/08 10:09:57</t>
  </si>
  <si>
    <t>本人没有出现多收费，绕路现象，平台乱判责任，导致我服务分下降，差评。</t>
  </si>
  <si>
    <t>2019/10/08 10:09:48</t>
  </si>
  <si>
    <t>我在国美易卡开通账号以后，尝试多次都无法获取信用额度，既然没有额度那么我想注销这个账号，于是打电话给app上面留的客服4008133233，被告知申请过额度的用户无法注销！这不是流氓条款吗，！既不给额度，也不给注销，这种行为已经严重违反了电商法和消费者权益！关键是如果我换手机号码，那么原手机号仍然绑定了国美易卡app的，上面留有我的身份证、银行卡、手机号等信息，有泄露的风险！你们担得起这个责任吗！。</t>
  </si>
  <si>
    <t>2019/10/08 10:09:34</t>
  </si>
  <si>
    <t>投诉人 陈先生        投诉对象  点点        涉诉金额  28 800 元    问题类型    诉求类型投诉详情  提前还款竟然需要还12期利息 而且还有服务费</t>
  </si>
  <si>
    <t>2019/10/08 10:09:28</t>
  </si>
  <si>
    <t>万达旗下快易花暴力催收恐吓威胁，骚扰我的家人朋友，我父亲有病刚刚出院，现在病情又反复，全是快易花暴力催收造成的，现在让我无法安心工作，还得兼顾找个老人孩子，无法挣钱还款，每天换不同号码不断的打电话，还有家人的。</t>
  </si>
  <si>
    <t>2019/10/08 10:09:15</t>
  </si>
  <si>
    <t>在万利分期借款2800，期限8天，实际到账1960，到期显示系统升级，还不了钱，每天还在涨利息。</t>
  </si>
  <si>
    <t>2019/10/08 10:08:52</t>
  </si>
  <si>
    <t>投诉人 廖先生        投诉对象  Wecash闪银        涉诉金额  225 元    问题类型    诉求类型投诉详情  闪银在没有联系我的情况下，直接骚扰我家人</t>
  </si>
  <si>
    <t>2019/10/08 10:08:31</t>
  </si>
  <si>
    <t>广东移动6月底开始不断电话向我推销升级至全球通188套餐，每月扣费188元，每月赠送50元，实质扣费138元，，使用不满意后可以随时电话10086人工客户取消，所以本人就电话同意办理，体验不佳，因为我话费是10月2号开始扣费，所以10月1号早上开始，我就电话佛山移动10086客服要求更改为138套餐，客服问我什么原因更改套餐，我答复不合适不需要，然后客服说可以继续赠送3个月每月30元话费体验，我态度坚决说不需要就换回我原来138套餐可以了，客户给我答复既然是说她自己没有修改权限，已经帮我登记了会有专门人工4</t>
  </si>
  <si>
    <t>2019/10/08 10:07:27</t>
  </si>
  <si>
    <t>因去年做生意资金周转在广发信用卡逾期四万元，不知为何原因被封卡降额，信用额度20000，外加财智金20000全部一次性到期，期间和银行协商分期还款未果，中间也有每月两千多的还过，但是还不够还利息的，利息也是利滚利的往上涨，现银行要求一次性还清，光每个月的利息就1265，我现在也在努力工作，挣钱还钱，催收人员于2019年10月7号，十一点半到户籍地进行催收，侵犯我隐私权和名誉权，私闯民宅，年迈的父亲因此事被气倒，欠钱属于我个人的行为，我没有在恶意逃避，我一直在努力挣钱还钱，凭什么要牵涉到无辜的家人，现在因为此</t>
  </si>
  <si>
    <t>2019/10/08 10:06:37</t>
  </si>
  <si>
    <t>暴力催收，给家人朋友发短信威胁，利息高，并且有莫名其妙的保险合同。</t>
  </si>
  <si>
    <t>2019/10/08 10:06:25</t>
  </si>
  <si>
    <t>本人在钱站借款6000，合同上写着7980，加上其他担保服务费用，一共需要还款，10000多。</t>
  </si>
  <si>
    <t>2019/10/08 10:06:24</t>
  </si>
  <si>
    <t>利率远超国家规定24%，借款金额1500元，分3期，按照国家规定24%，总还款金额是1590元，目前已还款2期共计1116.28元，要求将最后一期应还金额544.97元调整为473.72元。</t>
  </si>
  <si>
    <t>2019/10/08 10:06:21</t>
  </si>
  <si>
    <t>本人于2017年11月23日借款20000元，分24期，每期1139.6元，已还21期！上个月突然发现，我被套路了，我借20000元，合同却写21000！而且，计费也是按21000计算的！我多次跟客服沟通，客服那边处理不了，还让我继续还款，而且还暴力催收！现在我还的本金已经还还了，利息也还了3000多左右！由于，他方平台违约在先，后面的3期就不还了！用来抵充我的精神损失费和我被扣的砍头息！谢谢！。</t>
  </si>
  <si>
    <t>2019/10/08 10:06:17</t>
  </si>
  <si>
    <t>投诉人 钱女士        投诉对象  拍拍贷        涉诉金额  10 000 元    问题类型    诉求类型投诉详情  暴力催收 威胁恐吓</t>
  </si>
  <si>
    <t>2019/10/08 10:06:15</t>
  </si>
  <si>
    <t>本人于2019年4月22日在快闪卡贷平台借款15000，，借款分6期6个月每期3000+共需还款金额为18000+，现已还完4期，本人多次与平台协商偿还本金。</t>
  </si>
  <si>
    <t>2019/10/08 10:06:07</t>
  </si>
  <si>
    <t>9.16号借款1万，9月20号就显示有一笔3005.6的还款，打电话给那边说这是平台服务费，我觉得不合理我不想要这笔钱想让取消，明明显示还在审核中却告诉我钱已经在放款途中不能取消，24号给我转入1万，当天打电话给那边说25号可以申请本金结清，平台服务费后台会全部取消，但是放款第二天我去本金结清当时却又付了10090，90的违约金我也认栽了，但是说好的本金结清后那个平台费3天就可以取消，3天后打电话又说1-3个工作日，到了3个工作日现在又让我耐心等待，10.4号再次电话说48小时之内处理完成，今天8号账单还没</t>
  </si>
  <si>
    <t>2019/10/08 10:05:51</t>
  </si>
  <si>
    <t>投诉人 王女士        投诉对象  哆咪点贷        涉诉金额  299 元    问题类型    诉求类型投诉详情  注册的时候骗我299 说可以注册VIP 注册以后登录都不行 现在强烈要求退我299元以及道歉</t>
  </si>
  <si>
    <t>2019/10/08 10:05:42</t>
  </si>
  <si>
    <t>2017年6月入职海风教育，到现在交社保和公积金一直按照底薪4000交，2017年平均工资1万多，根据国家法律规定，2018年的社保和公积金基数应该就是2017年平均工资，2018年平均工资也是1万多，但是到现在一直按照底薪4000去交，违法国家法律条款，同时从2017年开始，节假日都加班，一直没有加班费，无偿加班，希望有关部门介入处理。</t>
  </si>
  <si>
    <t>2019/10/08 10:05:41</t>
  </si>
  <si>
    <t>本人2019年1月借款4000元，，现在已还款10期，要求退还第三方费用1150元，。</t>
  </si>
  <si>
    <t>2019/10/08 10:05:14</t>
  </si>
  <si>
    <t>闪电借款，前天两笔借款到期，还了一笔，另一笔钱不够还，本来打算从你们借一笔还上这个钱，然而前天买了黑卡，并没有借款成功，，昨天这个说自己是闪电的工作人员就电话里直接让我从亲朋好友借钱还，说话的态度和语气及其不好，话中透露着侮辱。</t>
  </si>
  <si>
    <t>2019/10/08 10:05:07</t>
  </si>
  <si>
    <t>高利贷，高利贷，高利贷，而且逾期一天多收一百块，高利贷高利贷。</t>
  </si>
  <si>
    <t>2019/10/08 10:04:39</t>
  </si>
  <si>
    <t>还款日当天就威胁爆我通讯录，声称要搞死我，这群人没人管吗。</t>
  </si>
  <si>
    <t>2019/10/08 10:04:26</t>
  </si>
  <si>
    <t>2019年7月15日申请借款10000元，还款周期6期，每期2210.67元，相当于6期一共要还13264.02元，相当于利息要还3264.02元，年化已经达到了64%以上了，而且，每期还款2210.67里应该是本金+利息的才对，本金减少，利息应该相对应的减少，但是他们并没有，这样的超高利息已经超过了国家的法定标准了，请问，是否是把国家法律视而不见，要求降低利息利率，不然将不再还款，如若骚扰，立刻报警！。</t>
  </si>
  <si>
    <t>2019/10/08 10:03:50</t>
  </si>
  <si>
    <t>投诉人 陈先生        投诉对象  你我贷        涉诉金额  600 元    问题类型    诉求类型投诉详情  上班呢，一天20个电话。真的烦。。。。。</t>
  </si>
  <si>
    <t>2019/10/08 10:03:26</t>
  </si>
  <si>
    <t>投诉人杨女士投诉对象拍拍贷涉诉金额2500元问题类型诉求类型投诉详情拍拍贷旗下拍拍卡额度2500元，不显示账单和待还金额，只在每个月8号出账单，每期账单280元，现已连续还款10个月，已还款近3000元，2500元早已还够，还在出账单，要求拍拍贷联系销账。</t>
  </si>
  <si>
    <t>2019/10/08 10:03:03</t>
  </si>
  <si>
    <t>投诉人陶女士投诉对象51人品涉诉金额890元问题类型诉求类型投诉详情51人品贷威胁我爆通讯录催收，一天电话打不停，家人收到骚扰。</t>
  </si>
  <si>
    <t>2019/10/08 10:02:52</t>
  </si>
  <si>
    <t>1.本人在今年9月-10月区间通过上海富友向中世在线配资平台转账56余万元，最近才发现该配资平台并未在证监会备案，属于非法平台，本人已在10月8日9:10分向向中国人民银行反映了我的情况，目前还没有反馈，2.本人承诺上述内容全部属实，保证不向21CN聚投诉提出删帖、撤销投诉等诉求，今后如发现本人未能履行上述承诺，本人将公开实名道歉，同时授权21CN聚投诉在法律许可范围内公开本人的个人信息，并接受21CN聚投诉将本人、本账号纳入禁止发帖黑名单。</t>
  </si>
  <si>
    <t>2019/10/08 10:02:12</t>
  </si>
  <si>
    <t>购买本人看中此商品，所以花了198开了京东PLUS会员，赠送了新开PLUS特惠券，149-148的优惠券，本身就是促销开PLUS会员用的券，然后本人购买商品后，1个月，京东无任何电话，短信告知，就是不会发货，最后也是本人自己咨询，第一次告诉我是商品与券出现错误不能发货，次日告诉我缺货不能发货。</t>
  </si>
  <si>
    <t>2019/10/08 10:01:57</t>
  </si>
  <si>
    <t>9月27日寄出，由于北京国庆阅兵原因，延迟寄送可以理解，但是寄送件莫名奇妙的被提示已签收，致电上海韵达021-60388063询问情况，韵达接线人员表示他们都是开始派送就默认接收，且我的寄送件已经退回寄送人，让我与寄送人联系，我向韵达方投诉，未与我联系把寄送件退回，并代替我签收的行为违规，工作人员及其嚣张，告知我他们就是这样，让我爱去哪投诉就去哪投诉，我想向国家邮政进行投诉，韵达企业这种未经收件人确认，代替收件确认收件的行为是否违反相关规定，寄送物品具有一定的价值，需要确认物品完好才能签收，代客签收造成的损</t>
  </si>
  <si>
    <t>2019/10/08 10:01:46</t>
  </si>
  <si>
    <t>聚富分期没有主动告知我们付款信息，扣完款后才告知，利用免费卷来骗得我们同意改霸王条款，这歌软件已经至少有上万人呗骗，百度搜索一大片，没有明确的扣费标示，条款也没有明确指出会扣费，玩文字游戏，扣完费，问客服，客服就说条款有写！这和欺骗有什么区别！最可恨的是，在签协议是有两种，一种是需要299现金扣费，另一种是299免费卷，最后还是扣了299！用免费吸引我们，最后私自扣费！。</t>
  </si>
  <si>
    <t>急速借APP涉嫌欺诈介绍上说的是能借款一个月，渠道正规，不产生额外费用，但是每次借款都多收取百分之30多的利息，一共多收取了6645元，他们是通过快钱支付给的款也是快钱支付扣的，快钱支付这是为违法平台提供服务，希望退还多收取的利息6645元，如不退还我就报警同时把材料递交上海银监会。</t>
  </si>
  <si>
    <t>2019/10/08 10:01:38</t>
  </si>
  <si>
    <t>福建天信投资咨询顾问有限公司就是一个大忽悠，我是17底年接到他们公司的一个业务员给我打电话说有什么股票，可以关注，有免费的，我也是鬼迷心窍，在后来的一段时间里，每天给我发的股票，他们宣传的都是今天买进明天就卖出，一般都是3-5个点，有的甚至涨停，还给直播间去听课，，开始我只给了5300元操作，结果操作就变样了，买的股票一点不像是宣传的那样，后来说什么我的级别不够，操作不到那些票，有什么金股一号，金股二号的，又让我交钱，我前前后后总共差不多交了35300元，我想问问天信投顾的人你们的良心呢，不赚钱还不说，最后</t>
  </si>
  <si>
    <t>2019/10/08 10:01:36</t>
  </si>
  <si>
    <t>2019.10.8上午10点多，因为资金周转病急乱投医，下载分期通APP，注册申请出来额度，直接页面是可提现5000，分多少期都出来了，下面有个必须开通VIP，我想着有5000是5000把，开通就开通，就直接点了申请借款，结果只开通了会员，249直接扣掉，借款什么页面全部没有，而是让我去别的平台借款！这样的套路真的恶心，而且是直接扣款！。</t>
  </si>
  <si>
    <t>2019/10/08 10:01:27</t>
  </si>
  <si>
    <t>投诉人卢先生投诉对象小带鱼,小当家涉诉金额908元问题类型诉求类型投诉详情根本没客服，客服电话空号，在线客服又叫找人工，请解释是否属实，还是骗子。</t>
  </si>
  <si>
    <t>2019/10/08 10:01:19</t>
  </si>
  <si>
    <t>投诉人 王先生        投诉对象  中原消费金融        涉诉金额  301 元    问题类型    诉求类型投诉详情  乱加好友发布信息 影响声誉 要求快速处理</t>
  </si>
  <si>
    <t>2019/10/08 10:01:18</t>
  </si>
  <si>
    <t>本人于9月18日浏览网页，跳出来一个链接投资理财平台，向我介绍理财产品，之后拉我入群，经导师介绍先后入金七万元，过后我想提现，发现钱包被冻结，无法提现，也无法联系上平台客服，请贵平台能够联系银生宝，让商户退还我的本金，。</t>
  </si>
  <si>
    <t>2019/10/08 10:00:28</t>
  </si>
  <si>
    <t>投诉人许女士投诉对象金钱保涉诉金额3000元问题类型诉求类型投诉详情本人在分期贷，平台下的存钱柜申请借款3000元，当时合同表明借款期限为4期，后来还款实际为7天一期，3000元的实际借款期限为28天，每期还款金额为1024元，4期累计还款74096元，已经远远高于国家规定的24%-36%的利率，已经达到了违法高利贷的标准！且存钱柜频繁变更名称，，有故意逃避国家打击的嫌疑！本人现已还清2期，累计还款金额为2048元，最后一期协商，客服要求还得还1500，本人一直与其协商还款1100结清，但客服不同意，威胁恐</t>
  </si>
  <si>
    <t>2019/10/08 10:00:09</t>
  </si>
  <si>
    <t>本人2018年11月借款8000元，，现在已还款10期，要求退还第三方套餐费用2320元，。</t>
  </si>
  <si>
    <t>2019/10/08 10:00:04</t>
  </si>
  <si>
    <t>立借,客服电话：4000243380,催收电话：051288978427，还款日当天，还没逾期，态度恶劣，还要骚扰打联系和通讯录电话恶意催收骚扰联系人通讯录。</t>
  </si>
  <si>
    <t>2019/10/08 09:59:55</t>
  </si>
  <si>
    <t>停止对我的催收不允许打我第三方电话不允许爆通讯录更不允许透露我借款有钱了立马还老打电话工作丢了对催收人员进行处罚，赔偿我损失费。</t>
  </si>
  <si>
    <t>2019/10/08 09:58:29</t>
  </si>
  <si>
    <t>本人7月22号在米米罐上借1000元，到期还款1560元，利息高达560元，超出国家标准，然后米米罐客服加我微信骚扰我，然后我说明情况由于工资没发请求缓2天。</t>
  </si>
  <si>
    <t>2019/10/08 09:58:12</t>
  </si>
  <si>
    <t>因国庆假期放假，工资未能按时发放，客服态度差，给我父母打电话。</t>
  </si>
  <si>
    <t>2019/10/08 09:57:57</t>
  </si>
  <si>
    <t>投诉人 宾先生        投诉对象  小浦优客        涉诉金额  296 元    问题类型    诉求类型投诉详情  未经允许就直接扣款。要求立马退钱我真的是服了</t>
  </si>
  <si>
    <t>2019/10/08 09:57:36</t>
  </si>
  <si>
    <t>十五天期限，一千块，收取199砍头息，会员费，希望退换所有会员费用。</t>
  </si>
  <si>
    <t>2019/10/08 09:57:32</t>
  </si>
  <si>
    <t>在抖音平台夸大宣传拉人头介绍他们代理的项目有多好，天天在朋友圈发别人月入10万，年入百万都是他们的拖，然后微信拉入小平台直播，不让看直播发言，交会员费费9800，变相收取代理费，交了钱也不让会员之间联系，客服半天不回应，几个月了一毛钱没赚严重影响我的生活。</t>
  </si>
  <si>
    <t>2019/10/08 09:56:48</t>
  </si>
  <si>
    <t>10月5日因本人回老家探亲，家里6岁孩子玩手机误圣斗士星矢手游游戏3000余元，10月7号发现并在官网申请退款并注明详情，退款失败！后并拨打苹果官方客服电话，客服人员以系统审核不通过为由再次拒绝退款，希望平台协助解决！。</t>
  </si>
  <si>
    <t>2019/10/08 09:56:47</t>
  </si>
  <si>
    <t>投诉人王先生投诉对象凡普金科涉诉金额2100元问题类型诉求类型投诉详情凡普金科的爱白条声称利息百分之1点多，但借款2100，3个月要还3000多，实际利率远超国家法律红线，应严查下架该产品，如果以高利贷为主业的凡普金科上市对中国法制社会就是莫大的讽刺。</t>
  </si>
  <si>
    <t>2019/10/08 09:55:37</t>
  </si>
  <si>
    <t>投诉人 李先生        投诉对象  厚冠信息,厚钱包        涉诉金额  3 500 元    问题类型    诉求类型投诉详情  高利贷砍头息。联系不到客服，平台还款登录不进去。</t>
  </si>
  <si>
    <t>2019/10/08 09:55:27</t>
  </si>
  <si>
    <t>10月5日，拇指下款APP突然从我银行卡扣去299元，我清楚记得当时评估点的是券抵扣，并没有选择现金支付，之后试图联系客服，电话却永远打不通，这完全就是欺诈行为啊！，拇指下款客服电话：029-68280977。</t>
  </si>
  <si>
    <t>2019/10/08 09:55:03</t>
  </si>
  <si>
    <t>投诉人 杨先生        投诉对象  钱站        涉诉金额  7 200 元    问题类型    诉求类型投诉详情  砍头息 高利贷 远超法律规定的利率</t>
  </si>
  <si>
    <t>2019/10/08 09:54:23</t>
  </si>
  <si>
    <t>87405923以要和我朋友同事泄露我逾期的情况为威胁催收，我已经答应分期分批还清债务了。</t>
  </si>
  <si>
    <t>2019/10/08 09:54:01</t>
  </si>
  <si>
    <t>小当家借款1800，实际到账1300，3期，没期还款600多，每期一个月，曾多次借款，每次都存在砍头息，都是600多700块钱砍头息，而且周期都是15天为一期，先要求直接还剩余本金，退回直接借款产生的不合法利息，催收不肯协商还款，直接说按公司程序走，客服电话打不通，有录音。</t>
  </si>
  <si>
    <t>2019/10/08 09:53:26</t>
  </si>
  <si>
    <t>钱站借399元，到账300元，分3期，每期168元，最后总还款504元，也就是说借300元3个月总还款504元左右，年率266%都有了吧，本来创业失败就资金短缺，这种套路贷更是能将人逼上绝路，更可气的是逾期1天收取罚息100，客服打电话不管高利贷还是怎样，就是你必须要在30分钟内偿还，不偿还就催收收你，每天10来个短信催款。</t>
  </si>
  <si>
    <t>2019/10/08 09:53:23</t>
  </si>
  <si>
    <t>投诉人杨女士投诉对象玖富涉诉金额37686元问题类型诉求类型投诉详情本人在玖富万卡共借款31200元，分12期还，共需还37626元，超过国家规定利率，已经偿还19086，现本人债务太多，无力偿还，现希望贵公司减免一部分费用并且重新分期，每月还款太多已无力偿还。</t>
  </si>
  <si>
    <t>2019/10/08 09:53:20</t>
  </si>
  <si>
    <t>闪银平台老头息已经达到非常严重的地步，之前闪银糯米贷借款3000，先扣款299后续还要270的利息分3期年利率75%，现在改了之后更过分，还需要花几百块钱买授信额度，然后后续高额的利息，年利率更是达到了200%以上，请国家重视下架闪银平台！不让其害了更多消费者。</t>
  </si>
  <si>
    <t>2019/10/08 09:52:45</t>
  </si>
  <si>
    <t>就是用这种威胁的语气各种威胁我，而且也不是客服电话，就是私人号码！这严重侵犯隐私！。</t>
  </si>
  <si>
    <t>2019/10/08 09:52:20</t>
  </si>
  <si>
    <t>投诉人 李先生        投诉对象  现代金控-宏萨上海信息科技有限责任公司        涉诉金额  296 元    问题类型    诉求类型投诉详情  乱扣款</t>
  </si>
  <si>
    <t>2019/10/08 09:52:11</t>
  </si>
  <si>
    <t>信用管家神马借&amp;amp;amp;nbsp;&amp;amp;amp;nbsp;短期高额利息&amp;amp;amp;nbsp;&amp;amp;amp;nbsp;&amp;amp;amp;nbsp;砍头息&amp;amp;amp;nbsp;&amp;amp;amp;nbsp;&amp;amp;amp;nbsp;2625本金30天要还3584利息利率高达36%&amp;amp;amp;nbsp;&amp;amp;amp;nbsp;&amp;amp;amp;nbsp;减免只还本金。</t>
  </si>
  <si>
    <t>入驻拼多多服务市场，获取入驻邀请码，写着三天之类处理，现在都两个多星期，找负责人拼多多杰西一直没回应，官方给的联系负责人就是拼多多杰西，发邮箱发了四五次一直不会，强烈建议拼多多撤查拼多多杰西，既然拼多多官方给出负责人联系方式，但是你不履行自己的职责，还不如换一个人来处理这件事，开发应用4天，审核+r入驻邀请码一个多月还没搞定，到底是我们开发技术有问题还是你们拼多多本身服务有问题。</t>
  </si>
  <si>
    <t>2019/10/08 09:52:10</t>
  </si>
  <si>
    <t>本人于2018经营一家餐厅，于12月份通过钱包商家招财贷发放的收钱码借款用于装修，当初问业务员利息费率，业务员声称和支付宝一样，随即借款十五万元实际到账十三万二，砍头息18000.利息加本金还按十五万算，联系业务员说利息太高砍头息太严重不想借用，想一次性归还业务员说没有办法，时至今日并无签署任何合同，每月十五号还款日提前一天扣除，十五号还款就显示逾期，本人已经投诉一次没有得到钱包商家任何回复！。</t>
  </si>
  <si>
    <t>2019/10/08 09:51:43</t>
  </si>
  <si>
    <t>借款金额显示3750，到账只有2500，分3期，每期1294.06元，一共要还3882.18元，严重的高利贷砍头息，打不了客服电话，APP也下载不了，无法协商。</t>
  </si>
  <si>
    <t>2019/10/08 09:50:37</t>
  </si>
  <si>
    <t>本人通过现控达人，在里面的微豆荚借款2800元，借款期限是32天，每8天一期，每期还款1022.4元，总共要还款4089.6元，已还两期，第三期要还还不了，客服也找不到，电话也打不通，导致现在逾期，还不了每天还要付那么高的利息，银行卡也未还款成功，并且一直联系不上客服，客服电话4008336200，app反馈也没人回，支付通道为北京畅捷通支付技术有限公司，为高利贷提供违规支付途径，现希望聚投诉联系商家协助处理，畅捷支付联系平台处理，调整利率，结清本金和合法利息销账处理并提供结清证明！。</t>
  </si>
  <si>
    <t>2019/10/08 09:49:37</t>
  </si>
  <si>
    <t>尾款结清后上海易鑫租赁有限公司迟迟未把解压资料寄给我！现请求聚投诉帮助我让上海易鑫租赁有限公司立刻把我的解压资料和车主大本归还！感谢！。</t>
  </si>
  <si>
    <t>2019/10/08 09:49:07</t>
  </si>
  <si>
    <t>2018年在青岛流亭机场被销售人员推销春夏秋冬与空港易行的联名卡，，销售人员说充值后可以用来订机票、订机票价格便宜、进机场贵宾休息室等，实际使用的情况：每次订票只能抵扣10～30元不等跟之前销售人员讲的完全不同，并且最近我对比票价，其售服的报价明显高于携程等网络平台的价格，并且客服效率极低，以上原因我决定退卡，退还未抵扣的款项，对方拒绝，我认为他们通过虚假宣传的方式欺骗消费者并且理由消费者的善良一再的哄骗够成虚假宣传，所有要求退费退款。</t>
  </si>
  <si>
    <t>2019/10/08 09:48:55</t>
  </si>
  <si>
    <t>投诉人马永亮投诉对象交通银行涉诉金额8000元问题类型诉求类型投诉详情本人从交通银行信用卡用了8000人民币上月因家人生病资金周转不开晚还了半个月但是等我还款的时候我发现半个月居然产生了300多元的费用，8000元半个月就产生300元的费用，这也不合法吧，我就和他们协商，结果协商不通，他们就给我亲朋好友打电话，毁坏我的信誉，骚扰我的亲朋好友，我想说银行可以联系到我，为什么总去影响和骚扰我的亲朋好友！你们想逼死人吗，现在我的朋友都跟我断了联系，你们是银行还是黑社会，你们不好好处理用这种办法逼死人就高兴了。</t>
  </si>
  <si>
    <t>2019/10/08 09:47:39</t>
  </si>
  <si>
    <t>借了两千强行买游戏豆要还两千五，借两千五强行买游戏豆要还三千一百二十五，逾期一天就打爆我通讯录，强行本金利息一起还。</t>
  </si>
  <si>
    <t>2019/10/08 09:46:14</t>
  </si>
  <si>
    <t>已经表明工资到账立马偿还小花钱包催收人员依旧骚扰家人和朋友态度恶虐为本人造成了严重的不良影响。</t>
  </si>
  <si>
    <t>2019/10/08 09:46:09</t>
  </si>
  <si>
    <t>退款,赔偿,下架产品,道歉,违规扣款,阴阳合同,盗取用户信息,客服不处理/处理不当,服务不到位/态度差。</t>
  </si>
  <si>
    <t>2019/10/08 09:45:59</t>
  </si>
  <si>
    <t>打开小程序后，显示涉嫌违规已停止，但是银票款已追不回来。</t>
  </si>
  <si>
    <t>2019/10/08 09:45:31</t>
  </si>
  <si>
    <t>投诉人杜先生投诉对象新意花涉诉金额4089元问题类型诉求类型投诉详情在新意花借款2800元需还款4000多找客服协商还款不予协商要求减免金额打客服不理人。</t>
  </si>
  <si>
    <t>2019/10/08 09:45:08</t>
  </si>
  <si>
    <t>投诉人林兴强投诉对象途虎养车网涉诉金额795元问题类型诉求类型投诉详情10月2号傍晚下的订单，10月3号早晨因订单有误，暂不想保养了而向客服反馈取消了订单，可直至今日已经过去5天了，钱款尚未退还给我！。</t>
  </si>
  <si>
    <t>2019/10/08 09:44:59</t>
  </si>
  <si>
    <t>皮卡丘APP介绍涉嫌欺诈，上面说的利息是0.8元每天，可是在下款的时候直接扣除百分之30多的利息，最长可分12期，其实就没有分期，5天为一期到期就要还，可以办理续借，续借费用是提前扣除的利息，但是续借不算还款本金，所以不能算作分期还款，我在该APP借了几次每次都是一样的，他们一共多收取我7196元，所以我希望他们退还我，如不退还我只能报警处理。</t>
  </si>
  <si>
    <t>2019/10/08 09:44:55</t>
  </si>
  <si>
    <t>投诉人张先生投诉对象小当家涉诉金额1400元问题类型诉求类型投诉详情多次借款收取砍头息，交了n次利息，胡乱爆通讯录。</t>
  </si>
  <si>
    <t>2019/10/08 09:44:37</t>
  </si>
  <si>
    <t>闪银在每次借款时，进行会员，还有担保凭证收费。</t>
  </si>
  <si>
    <t>2019/10/08 09:44:13</t>
  </si>
  <si>
    <t>闪银哼哼，暴力催收，张口闭口就你家里人会这样那样，威胁惊吓，典型的黑恶势力，好好的公司咋雇用这样的人，简直不把国家的法律法规放在眼里。</t>
  </si>
  <si>
    <t>2019/10/08 09:43:35</t>
  </si>
  <si>
    <t>因本人暂时没有还款能力便想等闪银至尊催收打过来协商还款，谁知道国庆过后今天第一次收到女催收电话，态度恶劣，没等本人开口就言辞侮辱，严重影响本人生活和工作，本人有意协商还款，女催收咄咄逼人，恶心至极，且闪银客服电话不通无法联系，现要求闪银方与本人尽快联系处理此事。</t>
  </si>
  <si>
    <t>2019/10/08 09:42:21</t>
  </si>
  <si>
    <t>投诉人 蔡女士        投诉对象  Wecash闪银        涉诉金额  2 800 元    问题类型    诉求类型投诉详情  闪银催收不让延期 态度恶劣 希望开通延期处理</t>
  </si>
  <si>
    <t>2019/10/08 09:41:10</t>
  </si>
  <si>
    <t>微品分期借款期限30天，实际到账金额2300元，需还款金额2938.3元，并在这一个月期间本人收到很多关于高额贷款的短信电话，希望微品分期合理收取月利率，偿还本金销账后注销我本人在平台注册的信息。</t>
  </si>
  <si>
    <t>2019/10/08 09:40:51</t>
  </si>
  <si>
    <t>今天还款到期日，我想协商还款，客服表示不能协商，逾期一天180元的逾期费用，而且还有打爆我的通讯录。</t>
  </si>
  <si>
    <t>2019/10/08 09:39:12</t>
  </si>
  <si>
    <t>借款共2笔实到金额4900元已还1500元周期32天已逾期现在要还10000元。</t>
  </si>
  <si>
    <t>2019/10/08 09:39:05</t>
  </si>
  <si>
    <t>贷上钱导流高利贷，投诉后贷上钱以不是本公司项目为名推诿责任，回复个第三方联系电话，但第三方始终未有与我联系，协商减免事宜，当我全额按照贷上钱APP上提供的账单还款后，居然要求我撤销投诉，凭什么，未尽到调解责任，未保障客户权益，凭什么撤销，另，通联支付协助高利贷扣款，已保留证据，日后再有骚扰，一起报警处理！。</t>
  </si>
  <si>
    <t>2019/10/08 09:38:52</t>
  </si>
  <si>
    <t>投诉人 郑先生        投诉对象  瑞蚨金服        涉诉金额  40 000 元    问题类型    诉求类型投诉详情  个人资金出现问题 第二天就就几十个催收电话 态度极其恶劣 威胁恐吓的意思！</t>
  </si>
  <si>
    <t>2019/10/08 09:38:51</t>
  </si>
  <si>
    <t>投诉人董女士投诉对象花月钱包涉诉金额0元问题类型诉求类型投诉详情辱骂他人，违法高利贷，砍头息，盗取用户信息，骚扰通讯录，请严肃处理不正规套路贷，要求停止骚扰，道歉赔偿。</t>
  </si>
  <si>
    <t>2019/10/08 09:38:45</t>
  </si>
  <si>
    <t>无缘无故就把本人信用卡封了，本人使用交行信用卡已经8年了，现在简直是把人逼上绝路让本人全额还款，要求交行给出合理解释，恢复原来的额度消除逾期。</t>
  </si>
  <si>
    <t>2019/10/08 09:37:44</t>
  </si>
  <si>
    <t>国庆过后，今天接到闪银至尊催收电话，一个女催收态度恶劣，张口罗里吧嗦，威胁恐吓侮辱借款人，并骚扰通讯录，本人有意延缓几天，奈何女催收态度蛮横，实在是听不下去，闪银客服联系不上，电话打不通，现在要求闪银方联系本人，不然不可能就这么过去。</t>
  </si>
  <si>
    <t>2019/10/08 09:36:49</t>
  </si>
  <si>
    <t>淘发卡跑路，平台还有钱跟商品，钱么有结算，商品也提不出来。</t>
  </si>
  <si>
    <t>2019/10/08 09:36:27</t>
  </si>
  <si>
    <t>本人在10月5日马上金融旗下安逸花分期购买了一款手表价值1048，分期3期，但是发现拍错颜色想退了重新拍，第一时间联系客服，给到的答案是已向后台反馈让我等2个工作日，但是在我等待的过程中10月7日商品已经寄出，于是我又打了客服电话，客服给的答复依旧是让我等，已经反馈，我就想问你们东西寄出来了，反馈在哪，法制社会可以强买强卖吗，2天不给答复我就报警了。</t>
  </si>
  <si>
    <t>2019/10/08 09:36:20</t>
  </si>
  <si>
    <t>已经逾期了两个月这个确实是我的问题，我承认，我资金周转遇到困难，之前一直给招行银行信用卡中心打电话表明态度，我不是不还钱或者恶意透支，资金确实有困难，能不能给个协商的机会，我慢慢还，但是银行一直不给协商的机会，说不还款就起诉我，现在没事就给我家人打电话，威胁要起诉我，成为失信人。</t>
  </si>
  <si>
    <t>2019/10/08 09:35:42</t>
  </si>
  <si>
    <t>我于8月16日申请闪电借款7700元贷款被收取2080所谓黑金会员费用实际为砍头息费用，分两笔实际到账本金为5620元50天后还款8000余元，利息严重超出国家法律规定年息36%上限，现在账单已经按时还清，本人诉求归还砍头息费用，宝付支付为高利贷违规提供支付通道应该承担相应责任，如果问题不解决我将继续向银监会及地方金融工作局投诉。</t>
  </si>
  <si>
    <t>2019/10/08 09:35:39</t>
  </si>
  <si>
    <t>上海交通银行信用卡，我因家里最近出了点事情，信用卡逾期了几个月，但是我每个月都有还，但是交通银行信用卡一直打我乡里电话和村里电话找我，没有试先和我沟通，还雇佣催收公司暴力催收，这样有损我的名声，还有我家里爸妈身体也不好，一单出事了，我跟你们没完，我欠的钱就5000不到，你们就这样往死里逼，银监会真的要好好管管。</t>
  </si>
  <si>
    <t>2019/10/08 09:35:24</t>
  </si>
  <si>
    <t>节哀虚假宣传，宣称购买了学堂会员可以享受免审核，插队秒放款等极速借款服务，我10.5号出门在外急需用钱，与傍晚七点左右申请了借款服务，，并且购买290元学堂会员，但是并没有享受到免审核秒放款的服务，光及贷审核就话费一个多小时，后续银行到账更是到了转天6号！！。</t>
  </si>
  <si>
    <t>2019/10/08 09:34:35</t>
  </si>
  <si>
    <t>贷上钱清风钱包在我借了2500,一个月后要我还3500，一个月利息高达1000元，吸血鬼，在本人愈期3天后，我很有诚意还款，先还了1000元，但现在还要还2500元，在本人有诚意还款的情况下一直打本人通讯录电话，搔挠本人家人，朋友，领导，搞到本人有家归不得，有工作又因领导觉得我个人有问题，连工作都要辞退我，我真的不知道要怎么办，我要求贷上钱平台下架，归还本金结清帐单。</t>
  </si>
  <si>
    <t>2019/10/08 09:34:25</t>
  </si>
  <si>
    <t>本人工商银行借记卡于9月14日23时52分通过银联无卡支付扣款1290，期间没有出现本人银行卡，手机，身份证等丢失的情况，出现比问题之前也没有注册过云闪付APP，15日联系客服后根据要求提供身份证复印件等信息后被告知等待处理结果，目前将近一个月的时候没有任何答复，要求立即处理退款。</t>
  </si>
  <si>
    <t>2019/10/08 09:34:18</t>
  </si>
  <si>
    <t>投诉人 丰先生        投诉对象  Wecash闪银        涉诉金额  2 300 元    问题类型    诉求类型投诉详情  闪银瞬瞬和哼哼还款困难请求延期，停止骚扰</t>
  </si>
  <si>
    <t>2019/10/08 09:33:02</t>
  </si>
  <si>
    <t>七月九号下款两千，接着被扣400元，三个月，每月还款680元，每月从银行卡上划扣，但是账单还是一直处于逾期状态，现在最后一期，要求协商处理，且还款后销账。</t>
  </si>
  <si>
    <t>2019/10/08 09:32:56</t>
  </si>
  <si>
    <t>本人2019年5月10日在新橙优品上借款15000元，分6期，实际到账12646.45元，每期还3309元，共需要还款19854元，利息远远高于国家规定，本人已还款4期，共13236元，后面两期已无力负担，现在诉求按照国家规定利率结清。</t>
  </si>
  <si>
    <t>2019/10/08 09:32:44</t>
  </si>
  <si>
    <t>，第三方催收人员工号：171088，态度恶劣，小赢钱包改名以后本人没有注意逾期，结果催收电话过来第一句大吼大叫毫无素质，话都没让我说他就一直在那里吼骂，我跟他挂完电话后我会拨打客服电话举报，结果他说我要是敢举报他就立马拨打我家人电话威胁，请问一下这种只会威胁恐吓毫无素质的是小赢摇钱花官方给他们的权利吗，录音我已录下！我想问一下@小赢钱包@摇钱花，你们怎么看待这种情况，同时也希望@聚投诉官方能对此产品作出惩罚，简直无法无天催收电话号码：073189561610催收人称工号：171088问他姓什么他说我无权知道</t>
  </si>
  <si>
    <t>2019/10/08 09:31:46</t>
  </si>
  <si>
    <t>我于10月4号晚上八点租赁EVCARD电动汽车，从溧水返回南京，60公里的路程，高速被迫停了3次，市区道路停了2次，只能靠溜到应急车道全部关闭，然后再启动，才能正常前行，这个故障已经严重危害到我的人身安全，EVCARD的工作人员却检查一切正常，原因是仪表盘显示乌龟图标，然后就踩不动油门了，只能靠溜到应急车道，全部关闭，然后再启动，才能正常前行，这个故障已经严重危害到我的人身安全，EVCARD的工作人员却检查一切正常！作为一个消费者我感到非常委屈以及愤慨！！。</t>
  </si>
  <si>
    <t>2019/10/08 09:31:19</t>
  </si>
  <si>
    <t>本人2018年11月借款5000元，，现在已还款11期，要求退还保险费用750元，，保险费用扣钱，本人并没收到保单单号，并不知情有保险费用。</t>
  </si>
  <si>
    <t>2019/10/08 09:30:58</t>
  </si>
  <si>
    <t>原来大银行的催收跟小贷的催收一样没素质！都说尽快尽快了，没完没了的一直问，跟你好好说的时候就得了，还得寸进尺，我自己还多少我自己不知道是吗，问问问，有什么可问的吗！我的隐私我凭什么告诉你呢?麻烦你们换个有素质的客服吧！好好培训你们的客服再让她打电话吧！！！。</t>
  </si>
  <si>
    <t>2019/10/08 09:30:44</t>
  </si>
  <si>
    <t>上次投诉你我贷为表诚意当日还款协商，你我贷我少五期的时候让还四千销账，四期时候让还3700多销账！这是好好协商的态度么。</t>
  </si>
  <si>
    <t>2019/10/08 09:30:28</t>
  </si>
  <si>
    <t>借款20000，第一期还了2908，第二期以后都是2208，一共还了4期共9532元，还差平台10468，但是app显示我还需要还款17665.7元，剩下八期利息都7000多元，催收人员说不还款就通知户籍地，通知朋友，各种威胁我。</t>
  </si>
  <si>
    <t>2019/10/08 09:30:21</t>
  </si>
  <si>
    <t>投诉人 李女士        投诉对象  捷信金融,捷信分期        涉诉金额  1 600 元    问题类型    诉求类型投诉详情  恶意获取我的通讯录，我要求停止骚扰 我想办法还</t>
  </si>
  <si>
    <t>2019/10/08 09:29:53</t>
  </si>
  <si>
    <t>先假借赠送名义，后一边提醒有剩余额度让消费者放心使用，一边后台强制收费，1、请问我十一期间一直未踏出家门半步，这几天的流量是怎么耗掉的?2、解释一下为什么这期间即从2号13:10到7号8:51没有任何短信提醒，?5、为什么你们的微信公众号不显示赠送给我的500兆流量，?麻烦让你们产品经理和项目经理给我解释一下?6、以上信息信息究竟是贵司假借赠送流量后台暗地里强制扣费?还是你们授意产品设计部有意而为之。</t>
  </si>
  <si>
    <t>2019/10/08 09:29:27</t>
  </si>
  <si>
    <t>投诉人 韩先生        投诉对象  钱包易贷        涉诉金额  4 300 元    问题类型    诉求类型投诉详情  申请4300到手3600 一年期 每期要还498</t>
  </si>
  <si>
    <t>2019/10/08 09:29:21</t>
  </si>
  <si>
    <t>造艺科技捆绑式误导消费者入圈，再以一个评估报告服务来恶意扣款用户钱财，未经许可下非法盗刷用户银行卡钱财。</t>
  </si>
  <si>
    <t>2019/10/08 09:29:14</t>
  </si>
  <si>
    <t>贷上钱高利贷借款本金2000，期限30天到期要还款2560，逾期费超高！月利率25%-27%，年利率已经超过300%！逾期一天扬言半小时处理不好就外包给催收，！完全忽略了现金贷若干政策法规！威胁恐吓借款人！现已向监管部门展开投诉！如果在未经过我本人同意的情况下拨打我通讯录一人电话，正式向法院起诉！。</t>
  </si>
  <si>
    <t>2019/10/08 09:28:49</t>
  </si>
  <si>
    <t>总共借款6300元，已还10期，剩余2期未还，当前1期已逾期，目前总共未还2219.55，于逾期3日起，马上消费金融催收部门一直对我进行电话催收至今，其态度恶劣，以要向法院起诉我对我进行威胁恐吓，本人多次拨打其客服电话均未能接通，无法与其进行协商，其催收部门每天对我进行多次电话骚扰，对我造成严重影响，上传部分通话记录截图，其每次来电号码均不同。</t>
  </si>
  <si>
    <t>2019/10/08 09:28:40</t>
  </si>
  <si>
    <t>喋喋不休，各种言语侮辱，情况讲明不听，说就要安排家访，上个月刚去过，每次家访收费1100，家访不找本人，骚扰贷方亲友70多岁老人。</t>
  </si>
  <si>
    <t>2019/10/08 09:28:11</t>
  </si>
  <si>
    <t>轻借贷款非法收取会员费，并且99元有效期只有7天，还要喊用户去其他平台申请借款，没通过每次退款20元，最高退款80元，他们明显非法套取会员费及客户信息，导致客户信用变差，此类平台国家有关部门应严格查处。</t>
  </si>
  <si>
    <t>2019/10/08 09:27:51</t>
  </si>
  <si>
    <t>2019/10/08 09:27:47</t>
  </si>
  <si>
    <t>9月以来微众银行冒名拨打我单位电话及亲友电话，频繁辱骂骚扰，催收本人还多次骚扰通讯录好友，这个垃圾银行必须赔偿我的损失。</t>
  </si>
  <si>
    <t>本人妻子因为还有最后一期，过年时因为怀孕产子就没有处理，小树时代就雇佣暴力催收辱骂，还不处理保证金，利息一下变成砍头息，又是什么管理费之类，最近小树时代又雇佣山东的暴力催收进行骚扰，个人投诉也不管只是回复官方处理，然后官方又联系暴力催收对我骚扰，对于保证金就是不提，我想问小树是想怎么解决。</t>
  </si>
  <si>
    <t>2019/10/08 09:27:45</t>
  </si>
  <si>
    <t>从未逾期过，刚刚住院一个多月出来导致这期账单还不上，催收电话每天打，让自己我承担逾期后果，他们将走催收流程，试问：我只是这个月碰到事情了，我又没有恶意逃避，而且每天也在几百往里还，这样弄有意思吗，你们一定不肯协商，我也没有办法，已经压的喘不过气，那就做最坏打算吧。</t>
  </si>
  <si>
    <t>2019/10/08 09:27:44</t>
  </si>
  <si>
    <t>本人从来都没有和信而富有任何的往来，甚至都没有听过，本人也没有在任何一个贷款公司贷过款，10月6日信而富无缘无故从我卡上扣了408.76元。</t>
  </si>
  <si>
    <t>2019/10/08 09:27:18</t>
  </si>
  <si>
    <t>在月光侠分期借款2600，分3期，竟然要还4153.89元，贷款利率高达239%，远远超过国家法律规定最高利率24%，属于扫黑除恶中的典型套路贷，要求按照合理利率还款，请上班时间联系！。</t>
  </si>
  <si>
    <t>2019/10/08 09:27:12</t>
  </si>
  <si>
    <t>石榴快袋高额砍头息，借款2000&amp;nbsp;到账1100&amp;nbsp;周期4天&amp;nbsp;现诅咒家人&amp;nbsp;家人已崩溃闹着要自杀。</t>
  </si>
  <si>
    <t>2019/10/08 09:26:39</t>
  </si>
  <si>
    <t>投诉人陈先生投诉对象大众彩票涉诉金额18元问题类型诉求类型投诉详情欺骗消费者，以下载送彩金可提现为由，让消费者去网络赌博，该网站存在网络赌博的违法行为，欺骗消费者，希望聚投诉能严肃处理，让平台下架，赔偿。</t>
  </si>
  <si>
    <t>2019/10/08 09:25:17</t>
  </si>
  <si>
    <t>下载使用苹果商店“咔咔-网红卡点神器”软件，注明3天试用期后，苹果商店未经同意擅自开通年费服务扣费88元，并且在要扣费时没有提醒用户需不需要该服务，真乃无良商家！！！。</t>
  </si>
  <si>
    <t>2019/10/08 09:25:02</t>
  </si>
  <si>
    <t>我在智行火车票上购买的10月8日上午10.50濮阳长途汽车站至郑州客运北站的汽车票价值50元，在10.8号由于行程更改，我在早上5点多去退票，点击了申请退票，告诉我不能退票。</t>
  </si>
  <si>
    <t>2019/10/08 09:24:49</t>
  </si>
  <si>
    <t>我在期贷科技APP上开始贷款20000，一直按时还款，一直按时还款，后来利息太高每一笔贷款都有业务增值费，从几百到几千不等，实际到手的贷款都不是放款的数字，也就是砍头息，后期还不上款，期贷科技业务员就提出以贷养贷，这样恶性循环我一共贷出来了71000，从五月份到现在我一共还款65000，现在还有45000的本金没有还，每次还款日早上六七点就开始扣款，如果还有及时还款，就开始打电话催款，语音恶劣甚至给家人朋友挨着打电话恶意诽谤，我现在无力返还，期贷科技就是一家黑恶势力的贷款公司。</t>
  </si>
  <si>
    <t>2019/10/08 09:24:35</t>
  </si>
  <si>
    <t>客服人员恶意催收，说话口气态度不好，钱站公司里在我卡里非法自动扣钱，我卡里没钱还威胁我去借钱，还发一张假的福建省福州市中级人民法院受理案件通知书。</t>
  </si>
  <si>
    <t>2019/10/08 09:24:33</t>
  </si>
  <si>
    <t>投诉人于先生投诉对象百事涉诉金额299元问题类型诉求类型投诉详情今日一早，发现银行卡无辜扣款249元。</t>
  </si>
  <si>
    <t>2019/10/08 09:23:39</t>
  </si>
  <si>
    <t>2019/10/08 09:22:55</t>
  </si>
  <si>
    <t>主体北京焱晨科技公司提供借款放款还款支付通道还希望拒绝为他们提供服务，还社会安宁。</t>
  </si>
  <si>
    <t>2019/10/08 09:22:25</t>
  </si>
  <si>
    <t>借款总共6000元，到账差不多3900，砍头息收取了差不多2100，每周还款1900，一个月不到，都还进去差不多10000了，还不允许协商还款，逾期了立刻打通讯录，后天又是还款日了，我已经没有钱了，我真的要被逼死了，再这样下去，我真的准备自杀。</t>
  </si>
  <si>
    <t>2019/10/08 09:21:43</t>
  </si>
  <si>
    <t>一直不停地骚扰我们单位领导！一直打单位电话几个小时简直就是高利贷暴力催收威胁恐吓！大庆期间还敢怎么明目无视法律！掌众科技有限公司！在北京海淀区。</t>
  </si>
  <si>
    <t>2019/10/08 09:21:14</t>
  </si>
  <si>
    <t>不明扣费，本人没有消费，没有办理过相关业务。</t>
  </si>
  <si>
    <t>2019/10/08 09:20:42</t>
  </si>
  <si>
    <t>闪银哼哼产品逾期后，因为本月还款压力大，找客服协商续期还款，在app找客服让打电话，电话发了二十分钟也无人接听，请尽快帮忙解决。</t>
  </si>
  <si>
    <t>2019/10/08 09:19:45</t>
  </si>
  <si>
    <t>最近一直想买车，然后就在优信上面看车，优信公司销售人员于2019年10月5日很紧急的给我打电话说找到一款我比较心仪的车，但是叫我缴纳500元诚意金，销售人员叫我直接微信转账给他，他不会领取我的转账，我直接支付了500元给他，然后他把车子发了一个优信链接给我，我看了一下车，当时觉得还可以，他就进一步要求我缴纳14403.4元的订金给他，表示交了订金这个车才能帮我留住，当时我比较心急，就于2019年11.30分的时候转了14403.4元的订金给他，结果家人知道后，觉得没看到实车，心里很担心，我想问这么大一个上市</t>
  </si>
  <si>
    <t>2019/10/08 09:17:31</t>
  </si>
  <si>
    <t>10月8日，该平台为经恶意扣款50元，总共扣款299，因账户余额不足，先扣50。</t>
  </si>
  <si>
    <t>2019/10/08 09:16:32</t>
  </si>
  <si>
    <t>在闪银里面瞬瞬和哼哼里面借款各借款1100世纪到账800，一个月后要换1133，这就是高利贷，至尊借款3800，要扣各种费用将近600，分三期还。</t>
  </si>
  <si>
    <t>2019/10/08 09:16:13</t>
  </si>
  <si>
    <t>10月16日，减免罚息。</t>
  </si>
  <si>
    <t>2019/10/08 09:16:06</t>
  </si>
  <si>
    <t>国庆期间已联系客服支付宝还款1756.61。</t>
  </si>
  <si>
    <t>2019/10/08 09:13:17</t>
  </si>
  <si>
    <t>投诉人 窦先生        投诉对象  我来数科        涉诉金额  5 000 元    问题类型    诉求类型投诉详情  我来科数贷款 利息太高我现在需要取消放款</t>
  </si>
  <si>
    <t>2019/10/08 09:13:06</t>
  </si>
  <si>
    <t>投诉人潘先生投诉对象卓越律师事务所涉诉金额0元问题类型诉求类型投诉详情别人收到卓越律师事务所的邮件骚扰，说让我还清银行欠款，第一未写明是哪家银行，第二也没写具体负责人职位及姓名，只留个电话，和一系列涉嫌骚扰恐吓威胁的文字信息，对本人及其他人造成恶劣影响，望平台予以严惩。</t>
  </si>
  <si>
    <t>2019/10/08 09:12:23</t>
  </si>
  <si>
    <t>玖富万卡虚假宣传，，借款23900还款1年每个月还款1733.33，现在申请提前结清还要让我再付19000，这门高的利息，还没有结清证明，。</t>
  </si>
  <si>
    <t>2019/10/08 09:12:08</t>
  </si>
  <si>
    <t>本人承诺，所说全部属实，我用中信信用卡也有的3年多了，从来没逾期过，就算有时候资金紧张，我也会最低还款，因为欠钱还款这是应该的，我知道，就在去年想和家人做生意，希望能让父母孩子过得好点，在资金周转不过来的时候，中信分两次给我了18万园梦金，我真是很感谢这笔钱，解救了我的燃眉之急，但是有些事不是我们想想的那么简单，刚开始一月，生意马马虎虎，后来犹豫店门前修道路等等原因，不能正常营业，导致我的资金断裂，在加上家里老人身体原因，孩子都需要照顾，只有暂时把店兑出去，刚开始兑出去的资金还能维持一个人正常还款，尽量让我</t>
  </si>
  <si>
    <t>2019/10/08 09:12:04</t>
  </si>
  <si>
    <t>本人在去年10月份你我贷借款5000元，现在还有一期没有归还。</t>
  </si>
  <si>
    <t>2019/10/08 09:12:02</t>
  </si>
  <si>
    <t>2019年9月21号在聚富分期app上注册账号打算在他们平台贷款的，就填写了些资料，填写资料时也没看到需要评估报告费用，没想到直接扣了我299元！造艺科技提供违规支付通道，我就想说在我不知道的情况下可以乱扣我的钱吗，你们这是属于违法犯罪，联系客服都是一套一套的，说什么过14天才能退款，而且还需要注册你们推荐的几个借款app失败后才能退款！百般推脱，混淆概念，而且昨天我看了有4个借款app，今天变5个，而且还要我去你们推荐的几个app上填写个人资料，这是在泄露我的信息！刚刚在联系在线客服，有800多位在线等，</t>
  </si>
  <si>
    <t>2019/10/08 09:11:59</t>
  </si>
  <si>
    <t>我把号卖出去了，资金解冻后提现的时候发现账号被冻结，我问客服冻结原因客服说我找回账号，可我根本没有找回，买家也没有在上面问我什么情况，我就怀疑买家恶意投诉我找回账号，而且我什么都没收到消息我号就给莫名其妙冻结了。</t>
  </si>
  <si>
    <t>2019/10/08 09:11:38</t>
  </si>
  <si>
    <t>投诉人韩女士投诉对象畅捷支付,轻周转涉诉金额2800元问题类型诉求类型投诉详情本人在9月8日在轻周转芒果筹借款2800元，分4期32天还款4089.6元。</t>
  </si>
  <si>
    <t>2019/10/08 09:10:56</t>
  </si>
  <si>
    <t>第一期到期了没有任何通知导致我逾期时间更长。</t>
  </si>
  <si>
    <t>2019/10/08 09:08:43</t>
  </si>
  <si>
    <t>本人因为最近资金周转困难导致用钱宝今天刚刚逾期，一大早催收就打来电话恐吓，叫我一小时必须处理，不处理就爆通讯录等等，并且态度恶劣，望平台管管，并且协商时间还款。</t>
  </si>
  <si>
    <t>2019/10/08 09:07:08</t>
  </si>
  <si>
    <t>来贷恶意让客户逾期收取高额逾期费，不发送短信提醒，APP无法手动提交还款提示网络错误，从而收取高利贷级的逾期费用，此行为已经不只一次发生，，1000余元逾期三天费用高达300元，也就是日息33%，严重的高利贷！要求对此行为道歉，并且保证不再会有不发短信事情发生，并且撤销高利贷逾期费！已同步投诉中国互联网金融协会，工商网！。</t>
  </si>
  <si>
    <t>2019/10/08 09:05:01</t>
  </si>
  <si>
    <t>本人于2019年3月28日在钱站平台借款3000元，分三期偿还，已经结清，在此次借款中多偿还了超过国家利率36%的利息，已经高额服务费，结清后，钱站的客服多次打电话诱导我借款，又于2019年6月18日借款4000元，分三期偿还，本人一经常偿还了两期，共偿还金额达到4760元，还有一期未偿还，偿还合同竟然显示7000元，多出的3000元从何而来，不仅设计阴阳合同，并且超过国家规定利率，已经达到78%！！！竟然还可以明目张胆威胁催收，并且不理会投诉，这就是我们的国家么。</t>
  </si>
  <si>
    <t>2019/10/08 09:01:39</t>
  </si>
  <si>
    <t>活力花客服大半夜打电话威胁我，骚扰我让我无法正常的工作休息，导致我现在神经衰弱，还在娱乐软件发信息骚扰我，我真的快活不下去了。</t>
  </si>
  <si>
    <t>2019/10/08 09:01:35</t>
  </si>
  <si>
    <t>本人因近期资金周转困难，信用卡导致逾期，一直跟银行协商还款，没有结果，近期接到电话一直骚扰家人，还威胁家人。</t>
  </si>
  <si>
    <t>今天刚好是快贷的到期还款日，希望贵公司能在给我延长几天，我一定保证还款，也希望贵公司的催收员，别打通讯录好友，骚佬无辜人员群发短信，欠钱还钱，天经地义，望贵公司给我延长还款时间，。</t>
  </si>
  <si>
    <t>2019/10/08 09:01:29</t>
  </si>
  <si>
    <t>进行暴力催收，信息泄漏，恶意短信轰炸，恐吓，威胁亲属。</t>
  </si>
  <si>
    <t>2019/10/08 09:00:19</t>
  </si>
  <si>
    <t>之前投诉过的十五笔订单中有十四笔已经处理，还有一笔迟迟未见处理，本人在整理云闪付付款记录时发现四笔当时遗漏的订单，均为今年8月份的。</t>
  </si>
  <si>
    <t>2019/10/08 08:59:30</t>
  </si>
  <si>
    <t>还款当时显示是3期还款每期1423总共要还4269典型砍头息9月网贷纳入征信后。</t>
  </si>
  <si>
    <t>2019/10/08 08:59:09</t>
  </si>
  <si>
    <t>电话多次催收，影响正常工作，个催收人员协商十号还款，仍继续电话不断，不能正常工作如何还款。</t>
  </si>
  <si>
    <t>2019/10/08 08:58:39</t>
  </si>
  <si>
    <t>投诉人郑海明先生投诉对象拼多多涉诉金额400元问题类型诉求类型投诉详情买家下单后，商家按买家填写地址发货，发货后货物已到买家网点，物流联系买家，买家告知地址填写错误不想要了，咱们公司商品属于重货，一单发生退货，都需要承担双向费用的，在宝贝详情页描述中已标明，因买家个人原因临时不要等原因拒收，需要承担来回运费，买家申请退款，这边驳回后，客服介入直接告知对方未收到货，让这边举证，这边联系物流出具证明材料，物流出具发货底单和材料证明并非买家没收到货而是物流派送时买家拒收了，甚至询问物流为什么发货前没联系他问他还要</t>
  </si>
  <si>
    <t>2019/10/08 08:56:11</t>
  </si>
  <si>
    <t>投诉人 冯学海先生        投诉对象  你我贷        涉诉金额  5 000 元    问题类型    诉求类型投诉详情  经常收到骚扰电话和短信，经常骚扰我的家人</t>
  </si>
  <si>
    <t>2019/10/08 08:55:49</t>
  </si>
  <si>
    <t>我于2019年9月7号在立借平台借款1万元，结果一共要还13900元，分三期，每期的利息就300元左右，还有个其他费用1000元左右，明显高利贷，申诉按国家标准调整利率，并给出合理解释！。</t>
  </si>
  <si>
    <t>2019/10/08 08:55:04</t>
  </si>
  <si>
    <t>投诉人张萌投诉对象分期通涉诉金额249元问题类型诉求类型投诉详情在没输入银行支付密码情况下直接扣款属于欺诈行为希望退款到原有银行卡。</t>
  </si>
  <si>
    <t>2019/10/08 08:54:55</t>
  </si>
  <si>
    <t>拼多多说我店铺售假3级限制！店铺里面800多元加2000元资金提现不了了！但是我是从阿里巴巴分销代发，每一个订单都是从阿里巴巴正规渠道代发。</t>
  </si>
  <si>
    <t>2019/10/08 08:51:54</t>
  </si>
  <si>
    <t>好易借爆我通迅录，又发短信到我通迅录好友个个通知，把借款的文件到处乱发，请有关部门严惩好易借黑平台。</t>
  </si>
  <si>
    <t>2019/10/08 08:51:39</t>
  </si>
  <si>
    <t>借款之前看不到还款计划，借完发现利息这么高，第一期就要还一半多，还款日当天中午12点开始，就电话轰炸，恐吓要爆通讯录。</t>
  </si>
  <si>
    <t>2019/10/08 08:50:36</t>
  </si>
  <si>
    <t>投诉人 冯学海先生        投诉对象  拍拍贷        涉诉金额  3 000 元    问题类型    诉求类型投诉详情  经常收到骚扰电话和短信，经常骚扰我的家人</t>
  </si>
  <si>
    <t>2019/10/08 08:50:07</t>
  </si>
  <si>
    <t>南通市开发区海德路2号1幢1102104室，实际经营场所：南通市开发区新东路9号3号楼，2019年10月7日在车车置宝拍卖一台车，该公司需让购买人打车款，在见车，否则扣除购买人保证金，购买人要求见车打款该公司不同意直接把保证金扣除。</t>
  </si>
  <si>
    <t>2019/10/08 08:49:43</t>
  </si>
  <si>
    <t>这个平台当初打着提供全方便的管家服务，涉及出行，美食，航空，金融，娱乐相关服务，价格全网最低，为客户提供高达最高的40万的黑卡签单自主授信信用额度用于平台消费，记住是平台授信而非第三方嫁接信用额，每月使用信用额，下月还款，没有利息，可是我的信用度很好，连银行信用卡都给出的20万的固定信用额，他们无法审批通过，这个我认了，毕竟可能审核纬度不同，可是全国出现的这样的黑卡持卡人高达几万人甚至几十万人，全部没有拿到信用额！这也算了，没有信用额，提供其他服务也可以，可是他们里面的服务全部都要收服务费，而且商品或者服务</t>
  </si>
  <si>
    <t>2019/10/08 08:46:52</t>
  </si>
  <si>
    <t>投诉人 刘宗国        投诉对象  快贷（信喜）        涉诉金额  3 000 元    问题类型    诉求类型投诉详情  从去年一直骚扰到今天，辱骂恐吓，暴力催收</t>
  </si>
  <si>
    <t>2019/10/08 08:44:44</t>
  </si>
  <si>
    <t>刚下载时让我选择现在付费或者等贷款成功后再付费，结果没有贷款成功，没经过本人同意就扣款，而且说好了给退，但是上传了图片后却不给退！。</t>
  </si>
  <si>
    <t>2019/10/08 08:44:36</t>
  </si>
  <si>
    <t>冲值后不给提现，说以前之前购买的特惠款服务器。</t>
  </si>
  <si>
    <t>2019/10/08 08:44:24</t>
  </si>
  <si>
    <t>本人于9月27日订购一份美团外卖，结果餐品里面有头发异物，联系美团客服说我们的餐品有放心吃保险，这种情况可以申请保险赔付，该保险由中国平安承保，根据页面提示信息显示应于10月1日前审核结束，结果到今天也没有处理，现投诉并要求处理。</t>
  </si>
  <si>
    <t>2019/10/08 08:43:15</t>
  </si>
  <si>
    <t>还款日当天系统扣款失败，主动还款也失败，显示原因是银行卡信息不符，希望聚投诉平台能主持公道玖富万卡撤销我的问题征信，当初借款时放款的是同一张卡，为什么放款没问题还款时又信息不符了。</t>
  </si>
  <si>
    <t>2019/10/08 08:42:52</t>
  </si>
  <si>
    <t>在及贷借款两次，第一次15000元，利率高出国家年利率36%，拒不退还多出的违法高利，第二次15000元，在我不知情情况下非法从我银行卡扣除所谓担保费用2200元，且拒不退还！我现在要求这2200元你们既然说合法，那么我一个多月前跟你电话沟通时已经要求你们提供工商认可的增值税发票，我好拿着发票去工商等职能部门举报，你们倒好，费用也不退还，居然发票也拒不提供，视国家法律法规于无物！我要求你们尽快退还非法所得并且提供发票给我！！！本人举报材料准备齐全，银行流水也已打印，愿意接受媒体采访！。</t>
  </si>
  <si>
    <t>2019/10/08 08:42:18</t>
  </si>
  <si>
    <t>投诉人申先生投诉对象轻周转涉诉金额4000元问题类型诉求类型投诉详情无法找到轻周转链接入口，又无法还款，不知是否已逾期，请平台联系一下他们，与我沟通一下，今明两天有事，请尽量后天与我联系。</t>
  </si>
  <si>
    <t>2019/10/08 08:41:39</t>
  </si>
  <si>
    <t>投诉人鲍先生投诉对象毒APP涉诉金额2100元问题类型诉求类型投诉详情我在毒APP出售货号为C77124的阿迪达斯板鞋，9月底跟10月2日有几双鉴定为假，说3个工作日退回，今天10.7日一直不给退，我也是从其他电商买的，毒APP鉴定为假以后，我立马申请了退货，可是今天是最后一天给人退货的时间，毒APP一直不给我退回，导致我退不了货，造成2000多经济损失！还请聚投诉帮忙解决一下。</t>
  </si>
  <si>
    <t>2019/10/08 08:40:12</t>
  </si>
  <si>
    <t>投诉人吴先生投诉对象豹子贷涉诉金额200元问题类型诉求类型投诉详情首先这个软件很早注册的，当时卡里没钱所以没扣到，然后今天我卡里转了235块钱进去，他自动给我扣了200，我打客服电话，客服要提交一大堆资料，还要手持身份证的照片，还要邮寄到他说的那个地址去我想说这是欺骗消费者，强烈要求退款。</t>
  </si>
  <si>
    <t>2019/10/08 08:39:56</t>
  </si>
  <si>
    <t>投诉人 张先生        投诉对象  招联金融        涉诉金额  8 300 元    问题类型    诉求类型投诉详情  暴力催收 扰乱我单位人事的正常办公</t>
  </si>
  <si>
    <t>2019/10/08 08:38:30</t>
  </si>
  <si>
    <t>投诉人 许先生        投诉对象  美杜莎钱包        涉诉金额  4 200 元    问题类型    诉求类型投诉详情  美杜莎钱包砍头息严重 希望你们整治一下</t>
  </si>
  <si>
    <t>2019/10/08 08:36:16</t>
  </si>
  <si>
    <t>佰仟公司恶意催收&amp;nbsp;恐吓，不跟我联系，反而收取我200多的逾期费用，我没接到一个电话或者信息收我200多的滞纳金&amp;nbsp;还要和本期一起还掉，我希望得到一个满意的答复，这是欺诈，故意的，解决不好我可以起诉。</t>
  </si>
  <si>
    <t>2019/10/08 08:35:47</t>
  </si>
  <si>
    <t>慈利县德邦物流，打电话多次，8天不上门收件，多次推迟，甚不接电话。</t>
  </si>
  <si>
    <t>2019/10/08 08:34:07</t>
  </si>
  <si>
    <t>之前提前就打好招呼的，就是碰到国庆期间他们工作人员不在，联系不上，本来是协商好帮我把账户恢复好，可以循环出来，今天有逾期，昨天还款的没还上，希望今天相关部门能帮我暂时延期一星期，期间如果没接电话，请多打几次，谢谢。</t>
  </si>
  <si>
    <t>2019/10/08 08:30:45</t>
  </si>
  <si>
    <t>我于2019年10月3号在北碚小郡肝串串吃饭的时候借用了充电宝.然后这边用完餐就归还了.放进去了我就离开了.后来两天后我收到一条短信.上面显示说我已借用了两天未归还.让我即使归还.但是我是归还了的.联系客服他让我去店里面照相.我下班9点半左右了.还开车从重庆去北碚照相.我以为停一会就好.结果喊我一直等待等待.害得我还被罚了两百违规停车.他说没找到我编号的充电宝.我想问.两天时间万一别人借走了呀.这个本来就是流动性的.我还要去哪里受着保证充电宝不被借出去，然后再半夜凌晨扣费.我对此扣款不认可.怪兽充电宝客服说</t>
  </si>
  <si>
    <t>2019/10/08 08:28:52</t>
  </si>
  <si>
    <t>拍拍贷催收部门天天给我通讯录不同的人打电话骚扰，你们做的不错！这样做法完全和高利贷套路贷一样的手段，如今我什么都没有了！你们暴力催收目的达到了。</t>
  </si>
  <si>
    <t>2019/10/08 08:26:05</t>
  </si>
  <si>
    <t>商家以及代放查号需要照妖币，而照妖币可以通过给旺旺打标获得，部分无耻代放商家恶意打标用户淘宝号骗子，无需任何理由证据，哪怕只是代放心情不好。</t>
  </si>
  <si>
    <t>2019/10/08 08:25:58</t>
  </si>
  <si>
    <t>本人在18年5月因需要周转，在人人贷上贷了1万2千元，下款前什么也看不到，但是另一个合同上面写的手续费1350元，两年利息带手续费要还18350元，合同上显示的这18350元是分别向两个人贷的款，当时下款看到合同后就联系了客服，是个女的接的，她说就按实际出账走，合同上的年息9只是个数据，明明下款前合同看不到，她非要说可以看到，说我没有仔细看，如果能看到合同，这么高的利息还有手续费，我是不会借款的，16号平台就每天给我手机发还款短信，17号就是全国各地的电话打我手机告知我要还款，一天能接到5，后面平台不还款的</t>
  </si>
  <si>
    <t>2019/10/08 08:17:45</t>
  </si>
  <si>
    <t>投诉人 汤先生        投诉对象  珍爱网        涉诉金额  4 800 元    问题类型    诉求类型投诉详情  虚假宣传 当时分手 就再网上找那些分手怎么挽回 然后 珍爱网的毕老师就给我打电话了 打了7 8次 心有点动摇 各种诱导 说挽回不成功就退款 然后我就交了4800 情感老师就给我打了4次电话 什么都没让我做 每次电话1个小时就跟我唠嗑 合着我花4800招人陪我聊天了呗 最后我跟分析师说的时候 情感老师把责任都推我身上了 说我不听话 情商太</t>
  </si>
  <si>
    <t>2019/10/08 08:17:31</t>
  </si>
  <si>
    <t>自由魔卡里面的，诺和信用计划，购买了会员300，每次申请2000额度的借款的时候他们还要扣除500左右的美名其曰会员费，在购买他们的会员费时候说可以一直借款，现在借款通道关闭了，会员费不给退，投诉无门，希望聚投诉给我做主。</t>
  </si>
  <si>
    <t>2019/10/08 08:10:32</t>
  </si>
  <si>
    <t>我填写的身份信息，银行卡号，都是为了贷款需要让我填写的，是用来认证我身份，评估贷款额度用的，绑定银行卡也不是用来支付你们费用的，扣款也没有与我确认，你们app里边用词不准确，欺骗诱导消费者，你看看你们有多少投诉你们心里没数吗，现在郑重通知你司退款给我，否则我将在上海工商局。</t>
  </si>
  <si>
    <t>2019/10/08 08:06:47</t>
  </si>
  <si>
    <t>目前微粒贷逾期90天，在这期间有微粒贷的第三方联系过我，但是每次问到协商解决方案最后都是不了了之，不回信息，甚至直接把微信拉黑，在这期间也打过微粒贷客服电话表明自己手机号已经更改，要登记新的号码，客服说没法改，然后我和客服说我希望能协商处理还款的事情，他们说他们没法处理，只能把我的情况登记下来，到时候再联系我，可是一直没有微众银行的工作人员联系我，都是我主动联系他们的第三方，因为都是手机号码，现在他们上门了，但是我不在家里，我不清楚是银行的还是第三方的，已经对我生活造成影响，我一直希望协商处理，也并不是不还</t>
  </si>
  <si>
    <t>2019/10/08 08:06:03</t>
  </si>
  <si>
    <t>钱置宝借款2450元，需要一个月内还款3578.4元，利息远远高于国家规定，是明显的高利贷，我已经还款三期共计2683.8元，现已经偿还够了本金和足够的利息，剩下的钱无力支付，协商钱置宝联系我处理最后一期销账。</t>
  </si>
  <si>
    <t>2019/10/08 08:02:44</t>
  </si>
  <si>
    <t>及贷平台暴力催收报通讯录语言威胁.电话一天打几十个让人无法正常生活.严重影响个人生活.现在被逼有家不能回有班不能上。</t>
  </si>
  <si>
    <t>2019/10/08 08:02:13</t>
  </si>
  <si>
    <t>9月30号晚上我们本应在免费时段从绥中高速口下高速，高德地图报交通管制让我们提前在感王高速口下高速，我们刚从感王高速口下高速，高德地图又让我们从感王上高速，导致我们多花了85元高速费，打电话给客服，客服说等他们回复，等了一个星期没回复。</t>
  </si>
  <si>
    <t>2019/10/08 08:00:26</t>
  </si>
  <si>
    <t>飞行钱包下载开通会员，申请的产品都没通过，要求退款的时候不给处理，连续申请2遍无反应，联系客服客服也不给解决。</t>
  </si>
  <si>
    <t>2019/10/08 07:59:50</t>
  </si>
  <si>
    <t>由于我女儿欠信用卡未还，交通银行一直打电话骚扰我，我是八十几岁的老人，交通银行还是一直骚扰我，对我这种高龄老人一直恐吓威胁暴力催收。</t>
  </si>
  <si>
    <t>2019/10/08 07:55:04</t>
  </si>
  <si>
    <t>12月28日，还清中国银行信用卡的逾期费用和本金，要求银行销户，多次联系银行和客服，一直没人处理，中国银行信用卡客服说自己是第三方，无权处理，本人每个月都打电话到客服，到今天为止没有处理。</t>
  </si>
  <si>
    <t>2019/10/08 07:54:47</t>
  </si>
  <si>
    <t>，借放款期间无法取消，除非注销银行卡，套路贷。</t>
  </si>
  <si>
    <t>2019/10/08 07:52:57</t>
  </si>
  <si>
    <t>一共借了两个5000，结果本金他们写了6600和6650，。</t>
  </si>
  <si>
    <t>2019/10/08 07:50:03</t>
  </si>
  <si>
    <t>10月7日清晨七点起床，看见短信，显示我的银行卡2900被刷卡，刷卡时间为凌晨2点55，到银行查看是被北京雅酷时光信息技术交换有限公司划走，酷宝支付。</t>
  </si>
  <si>
    <t>2019/10/08 07:49:11</t>
  </si>
  <si>
    <t>投诉人谭先生投诉对象聚富分期涉诉金额299元问题类型诉求类型投诉详情之前缺钱下载了一个叫聚富分期的软件是一个月之前的事情，然后10月8号我银行卡转入了300，他就直接给我扣费了299，打客服电话，他一直回避能不能退款的问题问他为什么在我不知情的情况下扣我钱他就一直回避这个问题给我的答案也是没用的，并且他们这个平台在什么地方都搜索下载不到网上我也才发现全是负面消息，希望帮我追回谢谢。</t>
  </si>
  <si>
    <t>2019/10/08 07:48:26</t>
  </si>
  <si>
    <t>拍拍贷套路贷，使用过程套路贷，被套走很多现金，之后也还是没有投诉，一直还款，现在还剩100元未还款，一直催收，骚扰，影响我的正常生活，很苦恼，所以，希望聚投诉帮助。</t>
  </si>
  <si>
    <t>2019/10/08 07:46:30</t>
  </si>
  <si>
    <t>乘客预约叫车，上车点有误，司机无法准确到达上车点，导致系统默认司机迟到，判断司机有责，扣除了服务分和预约单的预约率，现在要求平台返还服务费和预约率。</t>
  </si>
  <si>
    <t>2019/10/08 07:45:58</t>
  </si>
  <si>
    <t>由于个人原因微粒贷逾期三个多月，没有能力还款未经本来同意上门本想着协商还款但是微粒贷人员态度很强硬非要一次性处理问题是真拿不出来钱有钱也不至于逾期能不能帮帮我协商分期还款。</t>
  </si>
  <si>
    <t>2019/10/08 07:44:40</t>
  </si>
  <si>
    <t>安逸花已经套进去很多利息，但是协商还款依然被拒绝，一直恶意骚扰，暴力催收，打扰到正常生活，行为恶劣，投诉到底。</t>
  </si>
  <si>
    <t>2019/10/08 07:44:33</t>
  </si>
  <si>
    <t>在哪个平台上下载的万分期贷忘了，填写资料完的时候直接就开始审核了，一共1800元，但是有个服务费是600还是700来着，合约是6天，这也太坑了，现在要求取消订单！客服联系不上，电话是空号，QQ也加不上。</t>
  </si>
  <si>
    <t>2019/10/08 07:43:33</t>
  </si>
  <si>
    <t>这个聚富分期平台恶意扣除银行卡里299块钱填写了一下资料绑定了银行卡生成报告没有任何的说明也没有任何的提示你这个需要扣除299块钱的要求退回299块钱，还有泄露个人信息，电话号码之类的这几天接到了好多贷款电话。</t>
  </si>
  <si>
    <t>2019/10/08 07:42:12</t>
  </si>
  <si>
    <t>业务员办理的时候说的和实际的利息不一样，借了120000元分了36期还了20多期还有将近6万元。</t>
  </si>
  <si>
    <t>2019/10/08 07:41:24</t>
  </si>
  <si>
    <t>前三期还款计划本金➕利息➕其他等于一年利息，那么后9期纯利息，逾期一天收65元！这么算都超过36%以上，合同协议都没有。</t>
  </si>
  <si>
    <t>2019/10/08 07:40:45</t>
  </si>
  <si>
    <t>我在钱站APP平台借款5320，实际到账4000，3个月分3期返还，每期返还2461.97，总计要还7358.91，借款时只显示借款金额及利息，未显示后期费用及还款所需总额，现无力偿还，请求平台取消不合理收费，按银行规定利息进行偿还。</t>
  </si>
  <si>
    <t>2019/10/08 07:37:35</t>
  </si>
  <si>
    <t>Videoleap的app.在今天凌晨三点多的时候突然来了扣费信息，扣了288元人民币.而且是在本人没经过允许的前提下私自扣费，希望找回被扣的钱。</t>
  </si>
  <si>
    <t>2019/10/08 07:35:37</t>
  </si>
  <si>
    <t>百度有钱花，提前还款不让还，吉林农村信用社卡明明显示单笔限额五万元，但就让还一万，多了就不让还了，这不是在变相的挣利息那吗。</t>
  </si>
  <si>
    <t>2019/10/08 07:30:21</t>
  </si>
  <si>
    <t>投诉人 马先生        投诉对象  南京玉恒商业管理有限公司        涉诉金额  30 000 元    问题类型    诉求类型投诉详情  交了一年的租金 一个月的押金 实际住了3个月 已经联系不上玉恒 面临被房东赶走的局面</t>
  </si>
  <si>
    <t>2019/10/08 07:30:02</t>
  </si>
  <si>
    <t>投诉人李涛投诉对象钱站涉诉金额35000元问题类型诉求类型投诉详情对方不断用电话或短信进行威胁，恐吓我和我的家人，我跟对方催债人员进行说明，这一两天就可以还清，对方依旧进行催收，我对于这种催收行为感到无奈，尤其是打扰到我的家人，还对我进行威胁！。</t>
  </si>
  <si>
    <t>2019/10/08 07:19:06</t>
  </si>
  <si>
    <t>借款2000元分三期还，一期400多手机当时坏了，导致逾期一天，钱站的逾期费用加起来要500多要我一期还900多，这是要作死的节奏，我要报警，强烈要求该产品下架，我是不会还的，你咋不去抢呢！我今天一定要去报警举报钱站这个黑心平台。</t>
  </si>
  <si>
    <t>2019/10/08 07:15:24</t>
  </si>
  <si>
    <t>360借条和有钱花我都还完了绑定的银行卡解绑不了给我把账消了。</t>
  </si>
  <si>
    <t>2019/10/08 07:07:13</t>
  </si>
  <si>
    <t>及贷催收人员爆通讯录，已经在聚投诉上投诉过了，客服人员联系我了，让我把投诉给撤了，答应在我还款之前不会有人给我打电话了，结果昨天催收人又给联系人打电话，还要求9号之前必须还款，希望平台出面帮忙处理一下。</t>
  </si>
  <si>
    <t>2019/10/08 07:06:36</t>
  </si>
  <si>
    <t>你好，上个月在用钱宝上推荐的贷款平台借款200元，现在忘记平台名字，进入用钱宝直接跳转到贷款超市，无法查看自己的贷款信息。</t>
  </si>
  <si>
    <t>2019/10/08 07:05:41</t>
  </si>
  <si>
    <t>在友信贷款12万，光信息费就4.98万元，合同上写17.7万元，每月还5794元，在国庆期间友信App关闭还不了款，然后我还要付高额逾期费。</t>
  </si>
  <si>
    <t>2019/10/08 07:05:32</t>
  </si>
  <si>
    <t>本人于7月8日在钱站APP上借款人面币3000元，但实际到账只有2000元且放款前未说明合同还款内容，涉嫌欺诈，否则继续投诉，本人对此保留依法追究的权利！！！在国家严厉打击套路贷的前提下钱站居然顶风作案，实属可恶！。</t>
  </si>
  <si>
    <t>2019/10/08 07:02:46</t>
  </si>
  <si>
    <t>本人于2018年5月3日与马上金融安逸花签订借款合同，协定12000额度可用5年至2023年5月2日，上个月还款后没有再借，这个月还款后发现只能还款不能再借款，安逸花明显违反合同，导致我资金不能周转，对我的经济和信用造成损失，我希望马上金融能解开我的账户，按照合同的金额贷款！。</t>
  </si>
  <si>
    <t>2019/10/08 06:57:41</t>
  </si>
  <si>
    <t>分12期还款实际还款金额近14959.08元，远超国家规定36%利率，且逾期费用惊人，依据何在，法律何在。</t>
  </si>
  <si>
    <t>2019/10/08 06:55:05</t>
  </si>
  <si>
    <t>投诉人 王先生        投诉对象  安亿花        涉诉金额  198 元    问题类型    诉求类型投诉详情  软件都找不到了，真是骗子 太可怕了，乱扣费，还解约了</t>
  </si>
  <si>
    <t>2019/10/08 06:50:49</t>
  </si>
  <si>
    <t>未经过本人同意通过消费中金-嘉盈顺扣了我银行卡299元，现在要求退还。</t>
  </si>
  <si>
    <t>2019/10/08 06:45:38</t>
  </si>
  <si>
    <t>10.8日，如期分期利用天下信用从尾号8275扣除420块钱，在此之前以还清所有欠款，这笔费用莫名其妙，恶意扣款。</t>
  </si>
  <si>
    <t>2019/10/08 06:43:19</t>
  </si>
  <si>
    <t>本人10月3日通过连接下载来花花，其界面一直显示审核维护，联系客服取消订单，客服说不能取消，没在意，现在国庆结束，打开软件看到10月5号通过支付宝给我转了1400，为期5天，10号还款2000，其借款期限6天，利息600.属于典型的套路贷，高利贷，国家严打，支付宝为高利贷提供支付渠道，现希望平台消账处理，本金返还。</t>
  </si>
  <si>
    <t>2019/10/08 06:42:36</t>
  </si>
  <si>
    <t>高利贷，借7000还将近10000，砍头息，必须将多余利息退还给我，我可以正常还钱，合情合理，不能坑我。</t>
  </si>
  <si>
    <t>2019/10/08 06:40:36</t>
  </si>
  <si>
    <t>本人8月25号在经周转芒果等平台借款2800元，分四期每期还款1078，已在线上还了两期，第三期到了还款就已经还不上了，按照app提示在支付宝还款也没有给我销帐，然后到第四期就不敢在支付宝还款了，请求聚投诉平台帮我联系芒果筹与我联系协商还款，造成的逾期费用本人不会接受，这分明是套路贷，超过国家利率坚决不还。</t>
  </si>
  <si>
    <t>2019/10/08 06:38:40</t>
  </si>
  <si>
    <t>投诉人倪女士投诉对象平安银行和平安银行第三方催收涉诉金额0元问题类型诉求类型投诉详情因为我父亲欠了平安银行信用卡因为我本人父母离异多年本人也联系不上我父亲平安银行一直让第三方电话催收我第三方催收还打到我单位我觉得这是不是我的信用卡跟我没有任何法律上的义务平安银行还让第三方来破坏我名誉电话暴力催收。</t>
  </si>
  <si>
    <t>2019/10/08 06:38:28</t>
  </si>
  <si>
    <t>微信公众号：冬是日怜夜此公众号通过标题以及图片方式发布色情以及边缘色情的图片进行吸引用户关注进行收费办理会员形式，收费办理会员加入微信建立群组发布色情视频，此公众号设置了自动回复，进行收费办理会员的办理方式，有截图证据，希望管理员能够严肃处理，在2019，亮剑行动扫黄打非专项行动下还有如此猖狂的行为。</t>
  </si>
  <si>
    <t>2019/10/08 06:38:16</t>
  </si>
  <si>
    <t>从最开始的299会员费到现在的1099还有app里面的信用猫服务。</t>
  </si>
  <si>
    <t>2019/10/08 06:38:06</t>
  </si>
  <si>
    <t>本人在信用管家app上申请的有盈好贷借款为3000元，实际到账2250元，砍头息近750元，借款期限为30天，每10天一期还1029.1元，远超国家规定利息，明显的高利贷，套路贷，目前本人已还两期金额2058.2元，已经无力偿还高额利息，希望减免协商偿还本金跟合法利息，希望贵平台给予支持，万分感谢。</t>
  </si>
  <si>
    <t>2019/10/08 06:26:41</t>
  </si>
  <si>
    <t>2018年2月过年返程回上海，本人在烟台蓬莱机场前往登机口的时候，被几个身穿制服的工作人员叫住，说要确认我登机牌上是否是准确的登机口信息，她们身穿制服并站在服务台里，我以为她们是机场工作人员，出于信任，就过去了，她们让我出示机票，随后问我多少钱买的机票，我说在网上订票，他们说通过办理西部明珠会员的话，属于直接民航总部直接订票，价格是最低最优惠的，不仅可以给自己买票，还可以给别人买票，全家出行的话很划算，办卡时是冲1500送1500，卡里总价值是3000，我也像之前结案的同等受害人一样，问过办理人员，3000</t>
  </si>
  <si>
    <t>2019/10/08 06:22:32</t>
  </si>
  <si>
    <t>本来想借款的，申请期间在本人不知情的情况下扣款299元，没有明确告知我要收钱，不然我也不会去申请，严重侵犯了我的知情权，我强烈要求退还钱.你是什么平台有什么资格我拍身份证邮寄。</t>
  </si>
  <si>
    <t>2019/10/08 06:15:48</t>
  </si>
  <si>
    <t>借款实际到账4万多，不到一年要还款6万多，不还就打电话各种威胁，和客服协商，客服还一直声称，借款是符合法律规定的。</t>
  </si>
  <si>
    <t>2019/10/08 06:09:03</t>
  </si>
  <si>
    <t>本人在9月26号在卧龙钱包借款2207元.实际下款1430.六天利息为770.下款收砍头息属于高利贷.严重超过国家利率.放款为汇潮支付.因资金不足还款.已续期2期一共1540.现已无法偿还高额利息.希望已平台协商处理还款.否则会向中国支付清算协会.银监局.报警处理.。</t>
  </si>
  <si>
    <t>2019/10/08 06:07:40</t>
  </si>
  <si>
    <t>投诉人 顾女士        投诉对象  蚂蚁金呗        涉诉金额  3 000 元    问题类型    诉求类型投诉详情  借钱3000到账1800 5天要还3000 不停骚扰 威胁</t>
  </si>
  <si>
    <t>2019/10/08 05:57:10</t>
  </si>
  <si>
    <t>汇潮支付为高炮来花花提供放款渠道.本人于9月27日在来花花借款2000元实际到账1400.仅5天600利息属于超级高炮.在国家严打高炮阶段汇潮支付还为高炮来花花提供放款渠道.视国家法律不顾.催收每到还款日当天就发短息威胁必须在中午12点前还款否则爆通讯录后果自负.本人因资金不足还款已续期三次.每次为3日合计900元.其实实际续3日平台只给两天时间.现本人已无法承受高额利息.希望已平台协商本金还款.9月8号还款日希望平台已我联系协商处理.否则会保留相关证件向银监局..报警处理.。</t>
  </si>
  <si>
    <t>2019/10/08 05:56:57</t>
  </si>
  <si>
    <t>昨天早上派单2.8公里，因为是直行线，学校禁区，只能一直往东走，离乘客越来越远，而且到乘客有7个红绿灯，我怕10分钟赶不到，就发信息问需要等待一会，滴滴派单太远，经常有乘客距离太远取消订单行为，难道作为车主问下都不行，问一下就是取消订单，意思是非要跑个一段路再被取消才行，什么逻辑思维。</t>
  </si>
  <si>
    <t>2019/10/08 05:48:03</t>
  </si>
  <si>
    <t>豹子贷登录app盗取信息银行卡钱财10月因人介绍下载了豹子贷登陆，因本人卡里没有放钱，事先没异常、于10月8号早上5点12分左右陆续提示银行卡被pos扫了分别100-100-50出去，我先说明、这没经过本人同意私自盗取银行卡钱财这已经属于犯法行为，论坛百度银行客服咨询了一下午发现不少几十上百甚至过千位受害者身同感受。</t>
  </si>
  <si>
    <t>2019/10/08 05:39:34</t>
  </si>
  <si>
    <t>2019.10.8凌晨4点，建设银行卡被京东特约支付扣款833.32，本人没有消费任何东西，莫名其妙，希望能尽快退回款，百度看到好多人都被盗刷钱，希望给大家一个交代！。</t>
  </si>
  <si>
    <t>2019/10/08 05:28:06</t>
  </si>
  <si>
    <t>投诉人茶女士投诉对象钱站涉诉金额23000元问题类型诉求类型投诉详情2019年5月先后两次向钱站申请贷款总计23000元，第一次申请10000元正，审核通过后放款时间超出承诺的3个工作日，因为急需周转，又重新申请了一次，第二次通过13000的审核，前后两次放款间隔不到一周，想取消取不了，已经下款！直到放款成功看到还款规划后才知道利息很高，，无奈已经放款等提现，这个已经是取消不了的！第一笔到账10000元分12期每月还款1333.34元，按年利率算法，利息➗本金✖️100%，第二笔13000分期12期每月还款</t>
  </si>
  <si>
    <t>2019/10/08 05:25:14</t>
  </si>
  <si>
    <t>虚假宣传推广，既然不能如实兑换就别搞这个活动，但是搞了这个活动本人提现差不多一个星期了没到，做不到就取消，请给一个解释。</t>
  </si>
  <si>
    <t>2019/10/08 05:18:22</t>
  </si>
  <si>
    <t>2019/10/08 05:17:52</t>
  </si>
  <si>
    <t>没经过我同意就私自扣我钱，别人绑我银行卡在微信，钱是人家的，现在无缘无故扣钱希望贵公司能退回本金，扣了两次，一次是99，还有一次899，就希望退回899还我朋友就可以了，不然他以为是我拿的，昨天去银行查的流水，知道是贵公司扣的钱，希望能给我本人道歉，退回所扣的款项。</t>
  </si>
  <si>
    <t>2019/10/08 05:14:52</t>
  </si>
  <si>
    <t>2019年7月份通过抖音观看了楠哥有财气的抖音视频，感觉此人为人正直阳光，视频内容也很有才气，之后进去几次其直播间了解了他们乐客公司的创业项目，直播所说项目都是能够为创业者提供低起点，低投入，易上手且高回报的项目，在同月23号再次进入其直播间了解项目，因为当天播主说他们公司本月只有20个会员名额了，并且当天加入会员还能赠送其中一个项目500张的折扣卡，当天我加入了会员，在之后的实际业务工作中，发现其公司所说4种创业项目在全国已经是遍地开花，野蛮发展，乐客公司也是每天不停的在直播间拉会员，不管你是否有能力有资</t>
  </si>
  <si>
    <t>2019/10/08 05:10:35</t>
  </si>
  <si>
    <t>在米米罐借款2500元，期限一个月，还款竟然高达3437元，北京爱农支付为高利贷平台违规放款，米米罐平台虚假宣传，借2500还款3437元也是符合国家利率吗，我的原则就是还本金处理，多出来的钱一分都不会还！。</t>
  </si>
  <si>
    <t>冒站钱站的贷款恐吓骚扰亲朋好友希望有关部门尽快处理。</t>
  </si>
  <si>
    <t>2019/10/08 05:10:20</t>
  </si>
  <si>
    <t>我晚上11:36刷卡三万，提示收费成功，因为着急要用这笔钱，提金没成功，早上四点多醒来看账户余额为零，银行账户没到，意思这笔钱不翼而飞。</t>
  </si>
  <si>
    <t>2019/10/08 05:06:22</t>
  </si>
  <si>
    <t>本人于八月二十日在贷款app下载了花月钱包，填入信息后在没看到任何利率期限金额的情况下，强制下款2187.5元，期限为5天，到期要还3500元，到期日在还款时发现app打不开了，并与当日收到催收电话还清本金，要不然逾期费一天700元，爆通讯录，催收几天后没有消息，现在过去1个多月，于今日凌晨再次收到短信，在不还钱就专卖个人信息，个人信息受国家保护希望平台给予帮助解决。</t>
  </si>
  <si>
    <t>2019/10/08 04:59:15</t>
  </si>
  <si>
    <t>我在此平台借了5000块，可是此平台做出的合同近7000。</t>
  </si>
  <si>
    <t>2019/10/08 04:56:13</t>
  </si>
  <si>
    <t>我办广发银行信用卡分期以后费用越还越多，产生的利息已经远远超过了国家规定。</t>
  </si>
  <si>
    <t>8月7日，在豆豆钱分别贷款15600和14400元，豆豆钱未经本人同意，多次非法扣取本人款项用于购买平台非法保险费999和1299元，涉嫌虚假广告宣传，变相砍头息，阴阳合同，在国家规定的借款利率不得超过36%的情况下，豆豆钱已远超国家规定，本人已咨询律师，其表示高于国家规定的利率不用偿还，不得强制贷款人购买多次非法保险，现要求豆豆钱合理合法安排利率，并且退还本人多次被强制购买非法保险费和评估等不合理的费用，本人也和客服沟通过好像用处不大，请平台帮忙要回这些不合理的费用！。</t>
  </si>
  <si>
    <t>2019/10/08 04:50:05</t>
  </si>
  <si>
    <t>收入是正规的生意收入所得，家里亲人急需要钱治病，打微信客服电话一直没有接通，半年多了，实在找不到解决的办法了，也没有任何的回复，突然冻结了资金.。</t>
  </si>
  <si>
    <t>2019/10/08 04:48:26</t>
  </si>
  <si>
    <t>投诉人 娄先生        投诉对象  蟹老弟        涉诉金额  1 600 元    问题类型    诉求类型投诉详情  不用给我回电话直接就扣款销账。钱都准备好了。</t>
  </si>
  <si>
    <t>2019/10/08 04:42:40</t>
  </si>
  <si>
    <t>在萌推app新人购里面，广告明明说的是第一次下单返现，而且第一次购买前还有提现入口，结果确认收货后提醒入口没有了，钱也在里面取不出来，吃了他们平台买的这个食物后，开始肚子痛了，还有一些她们的食物说坏的。</t>
  </si>
  <si>
    <t>2019/10/08 04:39:48</t>
  </si>
  <si>
    <t>投诉人 彭惠良先生        投诉对象  p1.cc        涉诉金额  30 000 元    问题类型    诉求类型投诉详情  这是赌博网站</t>
  </si>
  <si>
    <t>2019/10/08 04:20:05</t>
  </si>
  <si>
    <t>本人在与中银公司工作人员微信联系协商还款过程中，被该公司工作人员以联系不到本人为由爆通讯录，国家已出台明文规定禁止爆通讯录，该公司无视国家法律规定，已严重影响本人生活及工作，本人将维权到底。</t>
  </si>
  <si>
    <t>2019/10/08 04:18:55</t>
  </si>
  <si>
    <t>豹子贷,上海造艺网络科技,造艺网络科技,银码头，私自扣款，在本人不知情的情况下私自扣款，而且还要扣。</t>
  </si>
  <si>
    <t>2019/10/08 04:16:59</t>
  </si>
  <si>
    <t>逾期几天就开始骚扰，后来更加频繁解释了无数次给催收，后来而已联系通讯录家人，当时你们哄着办理，后来用了两年，一直准时还款，现在有点麻烦就这态度，恶意骚扰，威胁，要发律师函，解释不听往极端憋，这是银行吗，一天7个电话，这合法吗。</t>
  </si>
  <si>
    <t>2019/10/08 04:16:36</t>
  </si>
  <si>
    <t>投诉人 刘先生        投诉对象  爱农驿站科技服务有限公司        涉诉金额  4 200 元    问题类型    诉求类型投诉详情  下面是订单截图，都是云闪付的交易截图。没有任何虚假，如实截图。希望能够查实交易情况，返还金额，弥补损失。</t>
  </si>
  <si>
    <t>2019/10/08 04:14:10</t>
  </si>
  <si>
    <t>合同不明确，本以为分三期还完，可是被套路了，我还进去三期，每期504元，已还款1512元，每次间隔时间为15天，就在10月6号接到电话说我没还钱，还需要还款1818元，实在没办法才向聚投诉求助，望平台给予我帮助，再此谢谢。</t>
  </si>
  <si>
    <t>2019/10/08 04:05:13</t>
  </si>
  <si>
    <t>本人在2017年的时候借了用钱宝两千块钱，由于当时资金出现问题导致逾期，在逾期的第二天，用钱宝客服就群发一些图片，在没有本人的同意下私自联系通讯录里边的人，对本人的生活工作造成很大的影响，这样的违法行为我会一直追究到底，如果不给我一个合理的说法，以及不删除支付宝的负面，我将用法律手段来维护我的权益，我也承认我的逾期也不对，但是总比违法好吧，我已经咨询过律师，我会还你们本金已经合法的利息，但是我也会通过法院起诉来维护我的权益，私自联系我通讯录里边的人，群发图片，辱骂等等的短信。</t>
  </si>
  <si>
    <t>2019/10/08 04:03:36</t>
  </si>
  <si>
    <t>此订单日用百货消费，实则并没有存在任何交易，没有收到商铺任何货物，此交易在诱导下进行，希望查证后能够挽回本人损失。</t>
  </si>
  <si>
    <t>2019/10/08 04:01:14</t>
  </si>
  <si>
    <t>本人2018年为在校学生，因在当时陷入多家贷款平台还款，此平台发链接短信，称无质押无担保，仅一张身份证就可以下款，于是我下载了软件，果真和短信介绍一样，只是简单的填写，并未有人核实，就下款，曾经这些贷款让我越陷越深，现在我要通过法律武器来追回。</t>
  </si>
  <si>
    <t>2019/10/08 04:00:26</t>
  </si>
  <si>
    <t>分期通恶意诱导用户缴纳249元会员费！非法宣传！所提供的会员服务没有任何意义！利用免密支付，收取249元会员费用，利用用户的利益需求，收取249元所谓的会员费！严重损坏用户利益！我强烈要求平台公司把钱退回原银行账户！。</t>
  </si>
  <si>
    <t>2019/10/08 03:51:56</t>
  </si>
  <si>
    <t>本人去年在聚投诉上投诉了玖富万卡欺诈消费者，通过虚假宣传诱骗用户进行借款的问题，但一年过去，玖富万卡依旧态度强硬不承认欺诈行为，本人于2018年一月左右通过多次玖富官方电话咨询，确认提前结清欠款无需支付剩余所有利息之后，通过玖富app进行借款五万元，到目前一共还了18期费用，共计38502.9元，在本月再次申请提前结清的时候结清金额竟然依旧高达38000元！多次致电客服反映合同欺诈及诱骗贷款行为，客服均表示只能减免3000元，其他自身问题未做任何的说明及解释，去年本人反映的问题至今未给与回复，一直采取拖延政</t>
  </si>
  <si>
    <t>2019/10/08 03:47:46</t>
  </si>
  <si>
    <t>本人身边的亲人，因资金周转向中邮申请更长期限的还款减轻压力，目前经济出现问题，希望能协商还款重新做订计划，不要不断群发信息骚扰身边人，工作如果丢失，也会失去还款能力，望协商。</t>
  </si>
  <si>
    <t>2019/10/08 03:43:38</t>
  </si>
  <si>
    <t>投诉人 刘先生        投诉对象  瀚银科技        涉诉金额  36 000 元    问题类型    诉求类型投诉详情  下面是部分交易订单图片，全部如实提供。所有订单均已截图，如需提供可以全部上传。</t>
  </si>
  <si>
    <t>2019/10/08 03:40:02</t>
  </si>
  <si>
    <t>因个人前段时间深陷714网贷中造成资金链断，期间信用卡逾期多次催收造成工作丢失，失去经济能力，信用卡中心发信息来说可以分期，在9月16日还进去200就可以分期，还进去后未有任何回复，也没有告知如何分期，现在又突然说要全额，目前真的没有这个经济能力。</t>
  </si>
  <si>
    <t>2019/10/08 03:38:32</t>
  </si>
  <si>
    <t>判我无正当理由取消订单，可是订单是乘客取消的，乘客预约在泉州站的东南侧地面停车场上车，却聊天提出在南出口站口上车，但是泉州站只有两个上车点1.东侧停车场，我如实跟沟通后，乘客确定在地下停车场上车，我进入地下停车场后，电话沟通乘客，乘客没有找到地下停车场的即停即走上车点，我也耐心继续跟乘客沟通引导她如何到上车点，可是她可能嫌太麻烦中途挂断了电话并取消订单，平台竟然立刻判司机有责，原因：无正当理由取消订单，看到如此不讲道理的判定，我立刻申诉并电话客服并说明情况，得到的结果是：系统自动判定的让我申诉，可是我的申诉</t>
  </si>
  <si>
    <t>2019/10/08 03:37:12</t>
  </si>
  <si>
    <t>1.服务分一直上不去，乘客取消无伤大雅，司机因为特殊的原因就要被扣服务分，2.派单太少，全家靠我一人跑滴滴生活养家，还要还债，一天起早贪黑最多只能挣500，还要加200的油还不能有违章，3.预约单很多司机都在用作弊器，还没开始抢就已经没有了，才给你开放，请求平台按照个案例请求给我开放，让我多挣些钱养父母跟还债，让我有生活下去的希望，奖励要求苛刻，一般都拿不到，或者还差一单，系统就不给派单了。</t>
  </si>
  <si>
    <t>2019/10/08 03:36:01</t>
  </si>
  <si>
    <t>本人在中腾信借款每月7号还款…这个月7号到期当天上午开始中腾信的催收人员就开始短信电话催收，威胁恐吓我…因为我上的夜班，白天睡觉，，催收电话没有接到，然后他们就群发短信给我的通讯录朋友及家人，并通过本人微信抖音等通讯软件留言威胁！！！而且还款日也就是7号，我还是在没有逾期的情况下，就可以这样无法无天。</t>
  </si>
  <si>
    <t>2019/10/08 03:34:35</t>
  </si>
  <si>
    <t>9月19日，换租签定一年合同，由于房屋内部设施问题，房子一直延期，到9月23.24.26.28这期间我一直打400客服电话，包括销售，都没有一个人能给我确切答复，就说延迟，延迟期间会补偿我，他们的补偿是延迟一天需要退还一天房租还要补偿一天，现在却不承认后来经过我反复诉说销售跟我承诺一天补两天的事，又说补偿我1700余元，请问这个金额又是怎么来的，2.10月1号晚我再次致电400客服询问何时才能入住，客服无法回答，说我们有补偿，你稍等，我又问补偿是不是如果我房租是一百一天，是不是要补偿两百一天给到我，她回答是</t>
  </si>
  <si>
    <t>2019/10/08 03:34:01</t>
  </si>
  <si>
    <t>贷款15000元，合同借款金额却显示18987元，利息也是按这个收取，到期没逾期就马上催收，采用言语威胁，爆通讯录手段威胁。</t>
  </si>
  <si>
    <t>2019/10/08 03:20:02</t>
  </si>
  <si>
    <t>诱导存入保证金才能帮代购代拍，得标后要求我直接打得标钱款到他们日购网的账号里，否则不给我联系卖家，这样的回答我感觉又咋，所以停止继续交易，投诉日购网。</t>
  </si>
  <si>
    <t>2019/10/08 03:18:06</t>
  </si>
  <si>
    <t>由于今年公司破产倒闭，导致还款能力暂时困难，工商银行外号第三方催收，每天给我打电话，说是什么律师事务所，扬言要上门调查我，要把报案材料移交给公安局，我遗SHU都写好了！而且银行每天的罚息很高很高。</t>
  </si>
  <si>
    <t>2019/10/08 03:08:23</t>
  </si>
  <si>
    <t>投诉人 周俊        投诉对象  有钱花        涉诉金额  2 000 元    问题类型    诉求类型投诉详情  由于公司破产倒闭，导致无力偿还 度小满天天打电话发消息，严重警影响生活。</t>
  </si>
  <si>
    <t>2019/10/08 03:02:57</t>
  </si>
  <si>
    <t>投诉人李先生投诉对象平安普惠涉诉金额9000元问题类型诉求类型投诉详情本人因最近经济状况暂时无力偿还平安普惠欠款，但是该平台未经我允许却每天对我公司和同事进行骚扰，已经严重影响到了公司工作。</t>
  </si>
  <si>
    <t>2019/10/08 03:00:40</t>
  </si>
  <si>
    <t>投诉人 黄晓争先生        投诉对象  马上金融        涉诉金额  0 元    问题类型    诉求类型投诉详情  态度恶劣，暴力，骚</t>
  </si>
  <si>
    <t>2019/10/08 03:00:26</t>
  </si>
  <si>
    <t>投诉人陶先生投诉对象拍拍贷,第三方催收涉诉金额15000元问题类型诉求类型投诉详情之前有正常还钱、最近换工作了、收入比较不稳定、第三方恶意暴通讯录、恐吓、暴力催收！。</t>
  </si>
  <si>
    <t>2019/10/08 02:58:52</t>
  </si>
  <si>
    <t>由于公司倒闭，导致平台借款无力偿还，玖富天天打电话催收，已严重影响我的生活。</t>
  </si>
  <si>
    <t>2019/10/08 02:53:56</t>
  </si>
  <si>
    <t>佰仟金融利息超过6分，违反规定，要求删除销账。</t>
  </si>
  <si>
    <t>2019/10/08 02:53:08</t>
  </si>
  <si>
    <t>因目前资金宽裕，想于这两天将剩余8期全部结清，根据各项协议的提前结清说明，本人仅需结清剩余还款本金即可，但APP内点击后发现，仍需交付5910.02元的所谓其他费用，根据客服电话答复，该费用为部分机构收取的提前结清手续费，但其一，在本人借款合同中的出借人并无机构，全部是数十位自然人；其2，就算认为是机构，其提前结清手续费也不可能高出剩余利息，协议中剩余利息是不收取的，就算收取最后8个月也总共只有600元，；其3.证据表明提前结清不收取任何违约金，但客服把这说成是提前结清手续费明显是偷换定义。</t>
  </si>
  <si>
    <t>2019/10/08 02:49:54</t>
  </si>
  <si>
    <t>尊敬的聚投诉客服，您好，本店产品上新，因为一个产品，卖都没有卖过，然后小二直接扣我售假24分，还是第一次，由于我有小票跟进出港记录，我提交审核，告知我不通过，然后我致电淘宝商家客服，小二也告知我商品没问题，叫我商品没卖过，让我去拍香港的当日报纸跟人合影，而且，我也按照小二给我的方式要求去拍照，该配合的我也配合下来了，然后审核一直在审核，始终不给我过，最后客服催了好几次，直接告知我并不支持审核，让我的店铺无端端的被扣2500以及导致店铺完全没用，请聚投诉客服告知淘宝网审核小二，请公平对待每一个商家。</t>
  </si>
  <si>
    <t>2019/10/08 02:49:35</t>
  </si>
  <si>
    <t>由于公司破产倒闭，导致快易花平台借款无力偿还，快易花软暴力催收，一天电话多大10个以上。</t>
  </si>
  <si>
    <t>2019/10/08 02:44:13</t>
  </si>
  <si>
    <t>投诉人 黄晓争先生        投诉对象  捷信金融        涉诉金额  0 元    问题类型    诉求类型投诉详情  捷信金融砍头息，恐吓，暴力，辱骂，侮辱</t>
  </si>
  <si>
    <t>2019/10/08 02:42:10</t>
  </si>
  <si>
    <t>由于本人公司今年破产倒闭，导致借款暂时无力偿还。</t>
  </si>
  <si>
    <t>2019/10/08 02:42:06</t>
  </si>
  <si>
    <t>本人在平台上贷款15000一年实际还款19480。</t>
  </si>
  <si>
    <t>2019/10/08 02:38:04</t>
  </si>
  <si>
    <t>分期还呗短信骚扰，窃取个人信息，明知道714是违法，还要诱导人去借款。</t>
  </si>
  <si>
    <t>2019/10/08 02:37:50</t>
  </si>
  <si>
    <t>酷宝支付提供平台盗刷我5笔储蓄卡资金4995元。</t>
  </si>
  <si>
    <t>2019/10/08 02:36:55</t>
  </si>
  <si>
    <t>瞎扣费，还车了之后扣费10元，从杭州萧山骑到柯桥不给还车扣我40元，。</t>
  </si>
  <si>
    <t>2019/10/08 02:36:18</t>
  </si>
  <si>
    <t>本人2018年9月16日在京东keep旗舰店买了一台跑步机，到今天为止刚好一年20天，这台跑步机当时脑子一热就买了，一共使用次数不到10次，就放在角落，昨天拿出来使用却不能使用，就一直哒哒哒的响，显示屏上面偶尔断断续续的闪文字，这个问题一直早就会了，只是我不知道，直到今天才知道，然而联系客服售后，客服就狮子大开口，上面就要150块钱，不管有没有坏，过来看一下就要150快，这也太坑爹了，更换零件就八九百，这一个跑步机才多少钱，一个零件就要八九百，离谱到天，一直就说过了质保期，我在此聚投诉平台公证，需要讨说法，</t>
  </si>
  <si>
    <t>2019/10/08 02:36:10</t>
  </si>
  <si>
    <t>投诉人 黄晓争先生        投诉对象  手机贷        涉诉金额  0 元    问题类型    诉求类型投诉详情  手机贷平台利息过高，暴力催收</t>
  </si>
  <si>
    <t>2019/10/08 02:35:28</t>
  </si>
  <si>
    <t>由于今年公司破产倒闭，在平安普惠的借款暂时无能力归还，平安普惠天天电话、天天短信！居然催收人员还诱导客户以贷养贷！还扬言交给第三方更专业的催收进行催收！还要联系亲朋好友。</t>
  </si>
  <si>
    <t>2019/10/08 02:32:37</t>
  </si>
  <si>
    <t>，是给我打电话了告诉我已经帮我重新打款了告诉我重新提现就可以，结果根本没有，而且我二次打转转客服根本没人接了。</t>
  </si>
  <si>
    <t>2019/10/08 02:29:43</t>
  </si>
  <si>
    <t>这些赌博群举报了还没有用，群里面有一个是机器人专门算帐这样用的这个群封了马上又来一个群，又上分，用支付宝上分和支付宝口令红包，还有支付宝的花呗借呗信用卡打钱给这个人，就是叫三个数字加起来的群里面那些小单大双daxsddxdxs这些就是下注这个叫做zhc的赌博群一天24个小时都在开，他们群老板的QQ。</t>
  </si>
  <si>
    <t>2019/10/08 02:29:10</t>
  </si>
  <si>
    <t>用钱宝公司高利贷，已经违反了国家规定的利息。</t>
  </si>
  <si>
    <t>投诉人 戴晓军        投诉对象  爱钱进        涉诉金额  32 586 元    问题类型    诉求类型投诉详情  要求只偿还本金 无力继续偿还现有利息和服务费用</t>
  </si>
  <si>
    <t>2019/10/08 02:27:37</t>
  </si>
  <si>
    <t>投诉人 黄先生        投诉对象  钱站,华夏银行        涉诉金额  15 000 元    问题类型    诉求类型投诉详情  合同做假借15000合同上变19000 实际到手只有1500利息高达百分之四十</t>
  </si>
  <si>
    <t>2019/10/08 02:24:46</t>
  </si>
  <si>
    <t>投诉人周俊投诉对象中信银行,中信银行信用卡涉诉金额10000元问题类型诉求类型投诉详情由于本人公司破产倒闭，导致信用卡逾期，暂时无能力及时偿还，中信银行从早到晚不断打电话催收，态度极其恶劣，从早打到晚，催收短信也不断！扬言要上门追讨，要让更专业的第三方催收机构继续追逃，严重影响个人工作和生活。</t>
  </si>
  <si>
    <t>2019/10/08 02:18:09</t>
  </si>
  <si>
    <t>在现金巴士app借款1000到账后秒扣砍头息128元，一个月后归还了535+540元，砍头息加利息共计203元。</t>
  </si>
  <si>
    <t>2019/10/08 02:16:56</t>
  </si>
  <si>
    <t>本人因资金周转需求在自由魔卡app里面的信用计划平台借款2000元，平台以加入会员购买会员需要支付备付金为借口，变相收取砍头息360元，实际借款所得其实为1640元，还款周期一个月应还为2050元，所加入的会员并无实际作用，只是作为平台变相收取砍头息的手段，这是赤裸裸的高利贷，因本人之前也在该平台借款多次，现无力偿还高额还款费用和砍头息，投诉信用计划其实是高利贷平台，要求平台尽快与本人联系协商，本人绝不接受客服人员所谓会员费合理合法的狡辩，本人要求协商归还到账本金和应付30天合理正常利息销账。</t>
  </si>
  <si>
    <t>2019/10/08 02:13:13</t>
  </si>
  <si>
    <t>遇到资金困难从立借上贷款10500，分了6期，要还17640，还款明细上其他金额是什么，变相砍头息，这问太黑了吧。</t>
  </si>
  <si>
    <t>2019/10/08 02:13:12</t>
  </si>
  <si>
    <t>投诉人 练先生        投诉对象  信用钱包        涉诉金额  4 000 元    问题类型    诉求类型投诉详情  没有任何放款，就出还款账单，恶意欺骗还款。</t>
  </si>
  <si>
    <t>2019/10/08 02:11:47</t>
  </si>
  <si>
    <t>我国《合同法》第54条规定，在订立合同时显失公平的，合同应予撤销，这不仅是公平原则的具体体现，而且切实保障了公平原则的实现，并未对各项条款作出详细清晰的解释说明采用格式条款订立合同，提供格式条款的一方应当遵循公平原则确定当事人之间的权利和义务，并采取合理的方式提请对方注意免除或者限制其责任的条款，按照对方的要求，对该条款予以说明。格式条款是当事人为了重复使用而预先拟定，并在订立合同时未与对方协商的条款。根据《》第72条规定，一方当事人利用优势或者利用对方没有经验，致使双方的权利义务明显违反公平、等价有偿原则</t>
  </si>
  <si>
    <t>2019/10/08 02:07:51</t>
  </si>
  <si>
    <t>投诉人 何女士        投诉对象  信用管家,有盈好贷        涉诉金额  3 000 元    问题类型    诉求类型投诉详情  有盈好贷3000元到账2250 30天每期10天</t>
  </si>
  <si>
    <t>2019/10/08 02:06:41</t>
  </si>
  <si>
    <t>生活太惨，钱难赚，家里有老人生病，又要高利息。</t>
  </si>
  <si>
    <t>2019/10/08 02:06:12</t>
  </si>
  <si>
    <t>投诉人 周周女士        投诉对象  午夜影院        涉诉金额  80 元    问题类型    诉求类型投诉详情  无意间跳出来 好奇 然后让充值才能看 第一次充完马上让充值升级 一直反复让充 不能使用</t>
  </si>
  <si>
    <t>2019/10/08 02:05:18</t>
  </si>
  <si>
    <t>合同金额与汇款金额不符，高利贷，超过国家规定。</t>
  </si>
  <si>
    <t>2019/10/08 02:03:45</t>
  </si>
  <si>
    <t>我之前于6月27日联系到无锡东方融资网的人，来这里办理贷款，10万额度！，平台的人告诉我说我这种人肯定能做，于是让我交一千块钱的平台服务费，他们也是一层正经的告诉我说我这种情况百分之一才能做，如果做不下来就退款，结果过去这么长时间了，款没有贷下来，联系之前的人，态度也是特别的恶劣！。</t>
  </si>
  <si>
    <t>2019/10/08 02:02:33</t>
  </si>
  <si>
    <t>投诉人郑先生投诉对象立刻出行涉诉金额499元问题类型诉求类型投诉详情前阵子看了新闻才知道广州的立刻出现出现倒闭问题！登上立刻出现的APP看了广州基本所有的网点都没有车使用了！押金退到现在已经快一个月了还没退出来！希望能早点把押金跟里面的余额退还！。</t>
  </si>
  <si>
    <t>2019/10/08 01:51:03</t>
  </si>
  <si>
    <t>拼多多违法广告法，条款写的是同等额度，结果却不同等，倘若27.6跟30不是同等金额，少忽悠。</t>
  </si>
  <si>
    <t>2019/10/08 01:49:28</t>
  </si>
  <si>
    <t>在台风天全城被水淹期间断水断电且没信号的情况下逾期第二天通讯半恢复的时候在本人表达还款意向需要一点时间处理之后开始骚扰我的朋友并且使用呼死你软件对我的朋友进行短信轰炸。</t>
  </si>
  <si>
    <t>2019/10/08 01:46:44</t>
  </si>
  <si>
    <t>我中信信用卡额度13000.圆梦金5万，我之前都是准时按时还款，之前都是还1千多到2千，我是搞销售的最近谈季没有客人所以收入也没有高，所以耽误啦还全款但我也最低额度，但后面最低还款越是越来越高也超出拉我工资的收入，我希望信用卡中心能协商现在还剩的42000分2，年还，每个还3000块我工资收入有多的话也可以还多。</t>
  </si>
  <si>
    <t>2019/10/08 01:45:59</t>
  </si>
  <si>
    <t>连续几天解释最近手头困难，过几天会解决，51人品贷客服不予认可而且还“恶意引导我变卖家产”，态度极其恶劣不停骚扰不依不饶，来电‭132。</t>
  </si>
  <si>
    <t>2019/10/08 01:45:14</t>
  </si>
  <si>
    <t>小红书页面只开通免密支付就直接扣款了199。</t>
  </si>
  <si>
    <t>2019/10/08 01:37:15</t>
  </si>
  <si>
    <t>投诉人陈女士投诉对象即有分期涉诉金额15000元问题类型诉求类型投诉详情即有分期合同金额16500，实际到账15000本金15000合同月利率1.08%实际已归还本金加利息合计26757，还剩2973元未归还，实际利息已达98%因近期银行卡遗失导致逾期一天，在本人电话都畅通的情况下不与本人联系，擅自联系本人加热和朋友，并随意向他人透露本人的负债情况。</t>
  </si>
  <si>
    <t>2019/10/08 01:33:54</t>
  </si>
  <si>
    <t>携趣网络技术上海有限公司,通联支付,易小借,造艺技术,通联沪快，不知道什么东西就扣款-----------------------。</t>
  </si>
  <si>
    <t>2019/10/08 01:31:59</t>
  </si>
  <si>
    <t>在玖富万卡借了六千，两次借的，各三千，分36期，还了7期，显示的还要还五千多，这利息高的吓人，逾期了两天就一直打电话，说不还钱就给我上征信。</t>
  </si>
  <si>
    <t>2019/10/08 01:26:45</t>
  </si>
  <si>
    <t>2019年10月7日17点04分小通支付在我工商银行卡上扣了714.05，后我从银联得知为小通商城带扣，然而我联系不到客服，我希望做出解释说明扣款原因。</t>
  </si>
  <si>
    <t>2019/10/08 01:24:59</t>
  </si>
  <si>
    <t>一期一个周，每期还款1023.52元人民币，已经还款三期共计3070.56元，现要求其平台立马将剩余的一期销账处理，本人已经无法对其还款处理。</t>
  </si>
  <si>
    <t>2019/10/08 01:22:10</t>
  </si>
  <si>
    <t>本人于2019-10-07日晚22点23分于京东全球购店铺——沃尔玛海外官方旗舰店下单，后因个人选择另一商品故于2019-10-08凌晨0点40分提交取消订单申请，被该店家以"该订单已进入海关清关阶段"为由无理拒绝，下单后两小时订单即进入清关显然不可能，店家已不正当理由拒绝退款，强制消费。</t>
  </si>
  <si>
    <t>2019/10/08 01:19:48</t>
  </si>
  <si>
    <t>投诉人林先生投诉对象拍拍贷涉诉金额794元问题类型诉求类型投诉详情本人于6月份通过聚投诉于拍拍贷协商还款，双方达成协议后我履行还款承诺，而拍拍贷全部消除我账户上的账单留了一部分又开始利滚利现如今十月份了滚到793.91元，我怀疑有欺诈行为，要求拍拍贷清除我账户上的账单。</t>
  </si>
  <si>
    <t>2019/10/08 01:18:58</t>
  </si>
  <si>
    <t>本人只是跟恒昌公司有债权债务，该公司涉事，正在起诉之中，请银联解除本人工商银行卡62****************5与该公司解除绑定。</t>
  </si>
  <si>
    <t>2019/10/08 01:17:31</t>
  </si>
  <si>
    <t>借款两千九以还2634元现在还需还1317，利息非常不合理，要求以国家标准利息计算，而且逾期暴力催收，骚扰恐吓他人，以爆通讯录威胁他人还款，借款两千九以还2634元现在还需还1317，利息非常不合理，要求以国家标准利息计算，而且逾期暴力催收，骚扰恐吓他人，以爆通讯录威胁他人还款，造成本人生活造成严重变化。</t>
  </si>
  <si>
    <t>2019/10/08 01:16:29</t>
  </si>
  <si>
    <t>投诉人 陈先生        投诉对象  平安普惠        涉诉金额  2 500 元    问题类型    诉求类型投诉详情  三更半夜发短信骚扰，有毛病！！！！！！！</t>
  </si>
  <si>
    <t>2019/10/08 01:09:49</t>
  </si>
  <si>
    <t>本人开始借款2600元，分12期还款，自己已经还了10期，每期还款260元，最后2期逾期快2年，最后2期他们让我还款2400元加上之前还了2600就是5000了，拍拍贷打电话来我说最后2期我还是按照每期260还款，他们不愿意就要这样。</t>
  </si>
  <si>
    <t>2019/10/08 01:09:07</t>
  </si>
  <si>
    <t>本人于2019-10-07晚上22点23分在京东海淘全球店铺——沃尔玛海外官方旗舰店下单，因个人原因于2019-10-08凌晨0点40分提交取消订单申请，被店家以订单已进入海关清关为由拒绝，下单后两个小时订单即进入清关显然不可能，店家以不正当理由拒绝退款，强制消费。</t>
  </si>
  <si>
    <t>2019/10/08 01:06:06</t>
  </si>
  <si>
    <t>投诉人王女士投诉对象豆豆钱涉诉金额33500元问题类型诉求类型投诉详情第一期账单显示金额不是现在的账单金额，有银行扣款数据为证！强制购买保险，征信显示是小贷公司！豆豆钱客服后台更改账单金额！要求把多扣的钱抵消还款，把账单金额调整到实际应该扣款金额，保险取消！一个显示代扣，一个显示还贷款！你们自己算算这利息有多高了！必须给我一个合理的解释，就你们这种平台还能上征信，就算放款方不同但是这是什么意思，出卖我信息，未经我同意这是在干嘛呢。</t>
  </si>
  <si>
    <t>2019/10/08 01:05:22</t>
  </si>
  <si>
    <t>携趣网络技术上海有限公司,通联支付,易小借,造艺技术,通联沪快，无缘无故从我银行卡扣去我299元，本人完全不知情。</t>
  </si>
  <si>
    <t>2019/10/08 01:05:11</t>
  </si>
  <si>
    <t>投诉人 刘杰        投诉对象  钱站,华夏银行        涉诉金额  26 400 元    问题类型    诉求类型投诉详情  借款前合同20000 借款后变成26400了 利息也是按照26400的还 还得稀里糊涂得</t>
  </si>
  <si>
    <t>2019/10/08 01:01:29</t>
  </si>
  <si>
    <t>立借非法高利贷，贷款7000，分12期，下款后才显示前三个月就得还接近9000，高处国家年利率几倍有余！与平台协商归还本金，平台拒绝协商，并电话威胁，爆通讯录，严重违法行为！。</t>
  </si>
  <si>
    <t>2019/10/08 01:00:24</t>
  </si>
  <si>
    <t>本人在闪银借款，遭遇了强制性购物的行为，现因工资还没发无法如期在今天进行还款，望闪银方及时与我联系，因今天是逾期第一天，在两天前本人与家人已在派出所备过案，如我的家人遭受到了暴力催收会立刻记录给派出所民警。</t>
  </si>
  <si>
    <t>2019/10/08 01:00:12</t>
  </si>
  <si>
    <t>本人在贷上钱二千五百元贷款10月1号到期，因逾期一天，即10月2号贷上钱工作人员打电话限我10月2号上午11点30分之前还款，因为我一时间资金周转不开，于是我和他协商说两天后还款，但是贷上钱工作人员不同意，说不还款会给我亲戚朋友打电话让他们代还，结果中午12点35和下午2点19分贷上钱以广东和湖南的虚拟号码给我的客户打电话说我欠他们贷上钱平台的钱让我客户代还，还有10月5号下午4点06分又给我的同事打电话说让代还，贷上钱这种向他人透露个人信息的行为，对我的声誉和工作造成严重受损和影响。</t>
  </si>
  <si>
    <t>2019/10/08 00:58:58</t>
  </si>
  <si>
    <t>投诉人 钟女士        投诉对象  蜂鸟众包        涉诉金额  10 元    问题类型    诉求类型投诉详情  没有任何提示 就直接说我欺诈单 虽然只是扣10元 但是一个单才4.8 还有更多骑手呢 还有平台一直没有提示过我哪里有问题 我在你们允许点送达的位置点的送达 为什么还说我违规 我若是有违规 为什么不提前通知 这不是骑手欺诈平台 而是平台在欺诈骑手 若有违规应该提前提示骑手 在平台规定的到店、取货、点送达范围内操作 不应该扣罚骑手</t>
  </si>
  <si>
    <t>2019/10/08 00:56:52</t>
  </si>
  <si>
    <t>投诉人耿启龙先生投诉对象平安付涉诉金额1400元问题类型诉求类型投诉详情无缘无故扣去1400</t>
  </si>
  <si>
    <t>2019/10/08 00:55:29</t>
  </si>
  <si>
    <t>投诉人黄先生投诉对象MY钱包涉诉金额3000元问题类型诉求类型投诉详情第一期已还，第二期准备还，逾期一天就开始曝通讯录以诽谤，恐吓不停骚扰催收，严重影响。</t>
  </si>
  <si>
    <t>2019/10/08 00:54:41</t>
  </si>
  <si>
    <t>在无告知情况下扣掉我跑滴滴血汗钱330元，及另一笔70元，。</t>
  </si>
  <si>
    <t>2019/10/08 00:52:20</t>
  </si>
  <si>
    <t>要求解冻任性付账号，我是本人申请，你们却说账号有风险给我冻结什么意思，强烈要求解冻。</t>
  </si>
  <si>
    <t>2019/10/08 00:51:56</t>
  </si>
  <si>
    <t>一个上市公司信而富直接干着砍头息的把戏希望严查。</t>
  </si>
  <si>
    <t>2019/10/08 00:51:26</t>
  </si>
  <si>
    <t>借款平台：钱站借款时间：2019年7月7日到账时间：2019年7月10日还款时间：每月7日借款金额：4000元到账金额：4000元账期：2019男8月7日：2217.31元，合计：6652.56元目前：已经还款：4430.24元，述求：1、减免第三期金额2、在吸上沟通中，乃至问题解决，杜绝出现一切非正常手段的骚扰3、对于完全不知的情的情况下出现所谓的合同，需要平台给出合理解释，同时，我也希望有关部门能对此核查4、国家是有相关文件出台，不能以任何名义去收取费用的5、停止对我，家人，朋友等各种的骚扰行为6、电话</t>
  </si>
  <si>
    <t>2019/10/08 00:49:56</t>
  </si>
  <si>
    <t>中邮消费金融逾期两天收取5%约180元高额罚息，使用虚拟网络电话高频催收，软暴击催收，威胁恐吓，十分厉害！！！和黑社会没有区别！！有录音有图片为证！本人最近经济压力大，多次请求延期还款，依旧暴击催收威胁恐吓！！。</t>
  </si>
  <si>
    <t>2019/10/08 00:49:50</t>
  </si>
  <si>
    <t>我把钱存上去了，又说不能结清，逾期两天后才能结清，国美易卡小赢e贷客服说九号系统三点钟才收得到信息说我逾期。</t>
  </si>
  <si>
    <t>2019/10/08 00:49:23</t>
  </si>
  <si>
    <t>京东第三方老是骚扰，本人上夜班，白天要休息，因为刚工作没资金补上白条，天天电话威胁催收还说发通告函给单位户籍。</t>
  </si>
  <si>
    <t>2019/10/08 00:49:02</t>
  </si>
  <si>
    <t>投诉人李女士投诉对象我来数科涉诉金额18000元问题类型诉求类型投诉详情在我来贷贷款18000一年要还24779，年利率35.99%?因为最近经济出现问题无力偿还导致逾期，逾期一期加300催收费，已经和催收说明情况，可是还是每天准时三个电话以上，暴力催收，群发短信，我还不起，要求他们减免，给时间，他们一再的逼我，爆通讯录群发短信，到处造谣，还说报案抓我，我说可以走法律程序，回头他们就威胁说让我父母做好准备，还要寄公函到单位，并且不断的拨打我通讯录的亲人专门挑舅舅，姨，哥哥这种打，明明在能联系本人的情况下还不</t>
  </si>
  <si>
    <t>2019/10/08 00:48:36</t>
  </si>
  <si>
    <t>借5900收我2000多服务费，到账没有那么多，而且语气暴力，不给还钱理由，直接爆信息，影响我工作，收入。</t>
  </si>
  <si>
    <t>2019/10/08 00:47:16</t>
  </si>
  <si>
    <t>我在今年七月申请了现金巴士的红卡分期2000元，有个变相砍头息318元，第二期还款就跟催收说要协商还款，催收说不能协商，没办法，还了高额逾期费用，现在已经还款1826元，还要我还726元，远远超过国家法定利率，我还款的远超本金1682元，现在实在无力偿还，请求销账，。</t>
  </si>
  <si>
    <t>2019/10/08 00:44:26</t>
  </si>
  <si>
    <t>本来想贷款，周转一下，稀里糊涂，被扣了296，这家公司真是人才啊，做事摸摸自己良心。</t>
  </si>
  <si>
    <t>2019/10/08 00:38:24</t>
  </si>
  <si>
    <t>投诉人 李先生        投诉对象  交易猫        涉诉金额  750 元    问题类型    诉求类型投诉详情  系统自动确认时间到 还显示等待收货中 都已经快超过原设定时间的24小时</t>
  </si>
  <si>
    <t>2019/10/08 00:36:18</t>
  </si>
  <si>
    <t>投诉人 赵先生        投诉对象  北京有缘在线网络科技股份有限公司        涉诉金额  208 元    问题类型    诉求类型投诉详情  在百度上下载的约会吧平台 登录后需要开通会员 语音还得充值发现好几个人根本是同一个人</t>
  </si>
  <si>
    <t>2019/10/08 00:36:03</t>
  </si>
  <si>
    <t>投诉人 雪雪先生        投诉对象  交易猫        涉诉金额  500 元    问题类型    诉求类型投诉详情  交易猫不退款 客服不管，，，，，，，，</t>
  </si>
  <si>
    <t>2019/10/08 00:32:44</t>
  </si>
  <si>
    <t>投诉人周先生投诉对象交易猫涉诉金额2000元问题类型诉求类型投诉详情这边是从买家上次买卖没成认识的加微信，后面今天说买，这边也给他要求的价格，然后买了一直拖，我也很配合交易猫客服的要求去做，该解绑的解绑，可没到几分钟账号转移了后面就说微信号和转让协议填的不一要求仲裁，本来急用钱，但客服什么意思！很明显买家是恶意仲裁，如果交易猫交易不成功只希望能退号，账号的充值和价值都可以够法律立案虚拟物值，一直拖。</t>
  </si>
  <si>
    <t>2019/10/08 00:32:22</t>
  </si>
  <si>
    <t>未在旗下平台有任何消费和贷款，无缘无故扣我钱是什么意思。</t>
  </si>
  <si>
    <t>2019/10/08 00:27:59</t>
  </si>
  <si>
    <t>我点错了，就立马申请退款，两天后，客服跟我说拒绝退款申请，理由是:我享用了贵族会员权益，我服了，我动都没动好吧，那些本来就是免费的，没有贵族会员权益的人一样可以看，再说了我动用了贵族会员权益又怎样，上面不是规定说好的:享用贵族与会员权益超过3天，才不能申请退款么，才过了两天，就拒绝退款申请，就是非要拖欠退款，不还是么，并且客服电话不接，明显的有意不还退款。</t>
  </si>
  <si>
    <t>2019/10/08 00:27:00</t>
  </si>
  <si>
    <t>投诉人胡女士投诉对象口袋玩乐,美团涉诉金额285元问题类型诉求类型投诉详情本人10月3日准备去南通森林野生动物园，7:11在美团下单订了两张门票，8:30左右到达门口，准备扫码入园，可是景区工作人员在扫码时说二维码已使用过，我们不能入园，需要补买两张门票，当时我马上打了口袋玩乐客服电话4008089952，和他们反映二维码已使用过，我清晰的听到客服和旁边人说又有一个码不能用了，然后我又联系了美团客服10107888，把情况又说了一遍，并且咨询能否退款，她说你符合退款条件可以退款，我看美团页面写着当天16:0</t>
  </si>
  <si>
    <t>2019/10/08 00:25:52</t>
  </si>
  <si>
    <t>本人于2019年9月21购买成都到达州的火车票，抢票未成功，但是钱扣了，到现在还未退还。</t>
  </si>
  <si>
    <t>2019/10/08 00:24:12</t>
  </si>
  <si>
    <t>9月5日在贷上钱下载现控达人借款2800元。</t>
  </si>
  <si>
    <t>2019/10/08 00:23:59</t>
  </si>
  <si>
    <t>我打开支付宝一进去不知不觉的就被骗了165块钱，。</t>
  </si>
  <si>
    <t>2019/10/08 00:22:50</t>
  </si>
  <si>
    <t>存钱宝714高炮平台，5月借款3笔分别为1178元，1178元，1400元，还款金额分别达到1900元，1900元，2400元，严重超过法定利率。</t>
  </si>
  <si>
    <t>2019/10/08 00:21:37</t>
  </si>
  <si>
    <t>到期还款多次，还不上，而且还不让我主动还款，导致我多次逾期，有钱都还不上。</t>
  </si>
  <si>
    <t>2019/10/08 00:17:45</t>
  </si>
  <si>
    <t>投诉人 童女士        投诉对象  万达普惠        涉诉金额  11 987 元    问题类型    诉求类型投诉详情  收取高额利息，高利贷，协商偿还本金。。。。。。</t>
  </si>
  <si>
    <t>2019/10/08 00:17:07</t>
  </si>
  <si>
    <t>找交易猫代练了，商家又要叫加钱，我不加钱他也不打，也不退款。</t>
  </si>
  <si>
    <t>2019/10/08 00:16:34</t>
  </si>
  <si>
    <t>投诉人 黄先生        投诉对象  平安普惠        涉诉金额  6 300 元    问题类型    诉求类型投诉详情  群发通讯录，骚扰联系人，破坏名声。强烈要求停止骚扰。</t>
  </si>
  <si>
    <t>2019/10/08 00:16:10</t>
  </si>
  <si>
    <t>我是一名滴滴的老司机了，平常都接不到单，10月4日晚上想着国庆节出车试试看看能不能接到单，我女乘客说等到23：30，如果她现任没过来，她就下车，这笔订单因为女乘客的现任追求者与前男友一直在路边打架，前男友不让现任走，现任与女乘客无法一同上车，到系统提示乘客已经迟到了，我就无责取消了订单，我也给女乘客解释，你这种情况，不是一下能解决的，你先下车吧，到时问题解决了，再重新叫车，但是乘客就是不下车，一直在车里坐着，还哭出声来，并说：就让我在车里坐下吧，我说可以，路边围观的人也越来越多了，之后现任将她前男友打到在地</t>
  </si>
  <si>
    <t>2019/10/08 00:15:53</t>
  </si>
  <si>
    <t>贷款4万，第一次到账2000多，让用微信转给他们，剩下的才能转给我，我给他们转过去了第二次到账31000，要求3年还54000多，我还了4个月8000多，逾期10天就把我的车开走了，现在逾期7个月又让我还47000多才能要回车，贷款4万实际到账31000，现在贷款刚1年，让我还47000加已还完的80000一共55000元。</t>
  </si>
  <si>
    <t>2019/10/08 00:15:15</t>
  </si>
  <si>
    <t>投诉人李先生投诉对象拍拍贷涉诉金额400元问题类型诉求类型投诉详情由于工作忙，晚上下班回来才想起来，今天是还款日，从八点一直还到了十二点，还是没有成功，被强制逾期，一开始还款失败还给我发信息，后来连个短信提示都没了，人工客服又下班了，在线客服几乎没用，换手机还款，电脑还款，全都不行，最后眼睁睁的看着逾期，我不知道为什么明明银行卡里余额足够，还能出现这种情况。</t>
  </si>
  <si>
    <t>2019/10/08 00:13:14</t>
  </si>
  <si>
    <t>因为之前资金周转困难于是通过壹心分期app平台借款两次2100元，到账秒扣575，实际到账1525，还款分别为15天一期，为次高利贷放款和扣款的渠道分别为，放款通道是由连连支付提供，但扣款渠道为易宝支付！上次与该平台协商不一致，30天仍需要400的利息，还在电话里承认他们平台就是高利贷，让我有本事去银行借正常利息，这些我都有录音。</t>
  </si>
  <si>
    <t>2019/10/08 00:12:28</t>
  </si>
  <si>
    <t>投诉人 程哲        投诉对象  钱站,华夏银行        涉诉金额  2 000 元    问题类型    诉求类型投诉详情  阴阳合同 高利贷借款本金2000 上面却显示本金2660</t>
  </si>
  <si>
    <t>2019/10/08 00:12:13</t>
  </si>
  <si>
    <t>投诉人 童女士        投诉对象  你我贷        涉诉金额  6 797 元    问题类型    诉求类型投诉详情  高额收取利息，高利贷，。。。。。。。。。。</t>
  </si>
  <si>
    <t>2019/10/08 00:12:08</t>
  </si>
  <si>
    <t>我在拼多多平台购买游戏教程，购买后商家以好评后发货为由，要求消费者对购买的商品首先进行好评，好评后商家发送给消费者链接无法打开，联系商家无人回复，向拼多多官方客服投诉，客服答复会向相关部门反馈处理，截止到2019年10月7日拼多多客服高级专员给出答复仍然是反馈处理，处理结果不方便向消费者透露。</t>
  </si>
  <si>
    <t>2019/10/08 00:11:58</t>
  </si>
  <si>
    <t>投诉人李祝雄投诉对象及贷涉诉金额1188元问题类型诉求类型投诉详情今年7月12日在融360里申请贷款，有一款及贷的网贷下款了3300元，其中利息和费用1188元，分12期还款，共需还款4488元，算起来年率率高达36％，当时也没多想，还了两个月后发现不对了，分期还款越还本金越少，算下来实际利率高达70，这远远高出了国家规定的24％的年利率，还有就是无端修改合同，原合同是没有担保方的，现在怎么又多了个担保方，请贷款调整利率给出合理解释，不然我就直接找当地监管部门了。</t>
  </si>
  <si>
    <t>投诉人张磊投诉对象百事普惠涉诉金额449元问题类型诉求类型投诉详情百事普惠无故从银行卡扣钱，我根本不需要他的所谓什么服务，第二天直接从我银行卡扣了299，见下图，我打电话找客服理论，客服说我点过什么的我根本就不知道也不需要，本来经济有困难需要贷款哪里来的钱去买他的什么服务，理论完了之后他们又分两次扣走了我银行卡里的一个100元，一个50，这种性质就是犯罪了，我打电话核实过银行和第三方支付机构，所有扣款都是他们扣的，并且百事普惠不承认后两笔扣款，这件事没完，虽然金额不大但是他们这样不光是欺诈和隐瞒，这已经触犯</t>
  </si>
  <si>
    <t>2019/10/08 00:11:20</t>
  </si>
  <si>
    <t>京东金融,玖富万卡,360借条,拍拍贷,分期乐，，，，，，，，，，，，，，，，，，，，，，。</t>
  </si>
  <si>
    <t>2019/10/08 00:09:29</t>
  </si>
  <si>
    <t>投诉人 武先生        投诉对象  拍拍贷        涉诉金额  1 000 元    问题类型    诉求类型投诉详情  暴力催收。辱骂侮辱，恐吓。冒充公安。暴力催收暴力催收暴力催收</t>
  </si>
  <si>
    <t>2019/10/08 00:08:30</t>
  </si>
  <si>
    <t>小象优品暴力催收，在本人不知情的情况下骚扰通讯录，并群发短信给通讯录所有人，严重骚扰家人朋友，并给家人打电话恐吓，其次小象优品利率不符合国家标准，严重超出国家标准，希望能作出调整，之前我有咨询过提前还款，但是客服回答提前还款也是要还那么多利息，严重不符合国家法定标准，忘小象立刻停止骚扰，恐吓家人朋友，并调整利率。</t>
  </si>
  <si>
    <t>2019/10/08 00:08:29</t>
  </si>
  <si>
    <t>本人借款51000元，现在还了19期每期还2300多元，已经还了44000多元，现在想要结清还让再还30000多，还规定的还款日必须中午12点前还款，如果12点之前不还就通知联系人，这个公司和那些714的的小贷公司有什么区别，国家应该把这种公司彻底取缔了。</t>
  </si>
  <si>
    <t>2019/10/08 00:07:50</t>
  </si>
  <si>
    <t>在哆米黑卡上填写贷款信息时收到短信提示提交验证码发现银行卡被扣除299元购买哆米黑卡VIP的信息，这是欺骗消费者行为要求退款。</t>
  </si>
  <si>
    <t>2019/10/08 00:07:39</t>
  </si>
  <si>
    <t>投诉人 迪先生        投诉对象  闪银奇异        涉诉金额  1 100 元    问题类型    诉求类型投诉详情  我第一次不知道闪银贷款利息怎么高 我就申请了两个 第一个放款以后 我知道已经取消不了 所以想取消第二个 因为第二个一直在审核 但是客服说不能取消审核 此截图为证</t>
  </si>
  <si>
    <t>2019/10/08 00:06:49</t>
  </si>
  <si>
    <t>投诉人 童女士        投诉对象  水莲金条        涉诉金额  10 000 元    问题类型    诉求类型投诉详情  高额收取利息，高利贷，协商偿还本金..</t>
  </si>
  <si>
    <t>2019/10/08 00:06:05</t>
  </si>
  <si>
    <t>本人于2017年5月10日在赣州黄金机场被机场穿制服工作人员引导办理龙行天下会员卡，办卡时工作人员承诺该平台的机票比其他平台便宜，并且可以用会员卡的充值金额抵扣，并在全国多地机场可享受贵宾服务，但在办卡后才将其全国网点发给本人，全是三四线小城市的机场，并且后来经网上比对，该平台的机票并没有比其他平台便宜，甚至更贵，抵扣金额也是少之又少0-20元左右，根本没有享受所谓的优惠，现希望平台帮忙协调退款事宜，谢谢。</t>
  </si>
  <si>
    <t>北京友缘在线网络公司，以一款名叫处处交友的软件，以0元3天体验会员为由，让我开通支付宝免密支付，后无通知的情况下，分别从支付宝扣除69元和99元。</t>
  </si>
  <si>
    <t>2019/10/08 00:05:41</t>
  </si>
  <si>
    <t>严重怀疑改平台属于顶风作案，套路贷，威海社会风气，其之后并短信恶言恶语，打电话辱骂家人，并发恶言短信骚扰我家人，其话语令人作呕，协商还款之前，我想请该平台把威胁我家人，及其我本人的那个人给个交待，现在我也咨询过派出所，并准备投诉到银监会，还威胁人生安全，现在全国就是被你们这些平台拖垮了不知道多少人，吸血鬼。</t>
  </si>
  <si>
    <t>2019/10/08 00:05:38</t>
  </si>
  <si>
    <t>投诉人张先生投诉对象深圳市麦卓国际投资发展有限公司涉诉金额100000元问题类型诉求类型投诉详情2019-10-24号深圳市麦卓国际投资发展有限公司帮我公司申请广东华兴银行企业贷款50万，当天有被麦卓国际工作人员告知缴纳1000元押金，并在当天结清了约定2%服务费10000元，共11000元，在2019-10-26至2019-10-27号两天共被对方在我被人不知情的情况下盗刷10万元，本人2019-10-26至2019-10-29号在马来西亚，在29号晚上发现银行卡在我身上，密码本人确认没有任何泄露的情况下</t>
  </si>
  <si>
    <t>2019/10/08 00:02:25</t>
  </si>
  <si>
    <t>本人于2017年2月17日在麦子金服平台借款30000元，实际到账24000元，扣除了20%的咨询费，该平台承诺还款结清后返还咨询费，可是我在今年3月还完最后一期款后，时至现在已经半年过去了，6000元咨询费一直未到手，其中2017年4月16日因为本人记错日期，逾期了一分多钟还款，具体情况是，在2017年4月16日23:58分登录时由于该平台网络问题导致我花了两分钟才登录得上，因此逾期了1分钟40秒，此行为并不构成恶意逾期，但该平台以此为由不返还6000元咨询费，根据我国《合同法》第200条明确规定“借款的</t>
  </si>
  <si>
    <t>2019/10/08 00:02:03</t>
  </si>
  <si>
    <t>本人上月在钱站借款2000元分三期，但合同金额为2660元，总共将近还4000元左右，利息超过国家法定年利率，望有关部门介入调查，打击高利贷，维护正义，由于本人近期资金周转不开，导致在该平台当前逾期，该平台非法借钱不还是本人的原因，也明确告诉过会想办法抓紧时间处理，但其催收人员对其通讯录联系人的骚扰性质是恶劣的，明确违反了催收规定，对给本人带来的影响和名誉损失是巨大的，催收手段是恶劣的，还有利息简直比高利贷还高，这是公然对抗国家有关法律和迫害因为某些原因而导致逾期的借款人员，本人着重声明，恶意骚扰本人父母和</t>
  </si>
  <si>
    <t>2019/10/08 00:01:48</t>
  </si>
  <si>
    <t>说我必须在门店取消，不然会影响征信，要求他们给我取消了。</t>
  </si>
  <si>
    <t>2019/10/08 00:00:25</t>
  </si>
  <si>
    <t>账单编号11254142893491000，爹变相收取砍头息也是醉了5000/24期到7900/24期当时就划扣2900是说是神马保费！却要总还8592.49/24期我也是醉了……！坚决维权投诉到底，/合同期限2019-09-19至2021-09-19。</t>
  </si>
  <si>
    <t>2019/10/07 23:59:24</t>
  </si>
  <si>
    <t>最近几个月因为信用卡无法分期导致资金周转困难虽然没有能力全额还清最低还款额，但是每个月有多少我都还进去，就这样还不停的电话轰炸，害的我原本一份很好的工作也被辞退导致一点收入都没有，切段我唯一经济来源不说。</t>
  </si>
  <si>
    <t>2019/10/07 23:59:19</t>
  </si>
  <si>
    <t>9月29日，一个自称借钱花的号码173****2464打来，让处理借款，说9月24日本人有一笔借款，29日到期，并要求添加微信发送借款信息，添加微信后对方发送了一条无效链接，并说APP因为国庆下架整改打不开，随后发了一条所谓的24日的“借款信息“，同时发送了本人很久前在某平台上传的身份证，并发送了本人部分通讯录截图，同时恐吓如不处理就爆通讯录，但是本人在9月24日从未下载过任何叫借钱花的APP及有过任何借款行为，本人银行卡也未有过任何借款到账信息，希望平台帮助联系处罚此种盗用个人信息及伪造借款信息的行为，并</t>
  </si>
  <si>
    <t>2019/10/07 23:57:46</t>
  </si>
  <si>
    <t>本人于10月6日晚上11点左右送朋友去机场,到了值机柜台因为马上就截止办理了比较着急,在值机柜台跟当时办手续的工作人员说明了情况,希望她能够快点给我办理,当时这个工作人员没有回应我,我又催促了一遍,她直接就站起来说我这里不办了,到旁边办去,虽然还是给我的朋友办理好了,但是她的服务态度太恶劣,我随后找到了问询柜台反应情况,希望能够得到合理的解释,但是这个工作人员直接过来跟我吵了起来,还叫了机场公安的工作人员过来,机场公安的人把我用手铐铐到了他们的房子里,六个人一起把我打了一顿,现在本人已在地区医院办理住院,整</t>
  </si>
  <si>
    <t>2019/10/07 23:55:54</t>
  </si>
  <si>
    <t>被人误导推荐网络游戏，游戏名称：大富豪电玩城，自2019年9月初至2019年10月6日被骗金额达80万左右，被骗金额全部由支付宝转出，所转金额巨大，自称有监控系统的支付宝平台为大富豪电玩城提供服务，明显违反中国人民银行金融法规定。</t>
  </si>
  <si>
    <t>2019/10/07 23:53:55</t>
  </si>
  <si>
    <t>本人于2019年9月21日在“京东自营”参加iphone11以旧换新活动，活动内容为本人下单订购iphone11，并同时回收本人旧机满500元，完成后可享京东300元补贴，伪造质检结论并给出不合理价格试图侵害本人合法权益，爱回收的行为严重违反诚实信用原则，并严重侵害本人的公平交易权，违反了《消费者权益保护法》第四、十条规定，本人旧机iphone6splus评估价990元，，约定质检符合评估即可获得990元+300元补贴，但“爱回收”恶意压低质检价格至490元，价格极其不合理，与评估价相差悬殊，并刚好低于补贴</t>
  </si>
  <si>
    <t>2019/10/07 23:52:36</t>
  </si>
  <si>
    <t>诱导消费说8月18搞活动首付可以做首付贷、首付给一成然后一成首付12万分期一年利息6000或者15个月利息7500，还有送车位，但车位没有正式的合同说2021年3月送，后面知道首付贷不合法，而首付钱又不够协商退款.。</t>
  </si>
  <si>
    <t>2019/10/07 23:52:29</t>
  </si>
  <si>
    <t>点点通高利息，每次借款砍头息百分之30.，且还款日只有15天，在国家严利打击高利贷，套路贷的大环境下依然顶风作案，暴力催收，爆我通讯录，已报案，公安机关让我去平台所在地报警，望知情人告知平台所在地报警电话，要求点点通退还借款时砍去的头息，希望国家加强力度对这样的非法平台严厉打击，绝不姑息，希望受害群众联合起来，扩大影响让高利贷，套路贷得到应有的惩罚。</t>
  </si>
  <si>
    <t>2019/10/07 23:51:30</t>
  </si>
  <si>
    <t>本人在2019年9月8号在自由魔卡平台下六便士借款2000元，该平台通过后需要支付一个540元的所谓的会员费，其实就是砍头息，需要先付540元，才能借款，到账2000元，30天过后需还款2060元，这个已经超过国家规定的利息范围，属于超利贷了，而且我之前在他们平台的口袋有余，都借过好几次款，会员费早就多了本金的好几倍了，有所有次数的会员费截图跟银行流水截图可以提供，由于自己是个学生，没有深刻了解到套路贷，所以深陷其中，现在要求该平台下的六便士能够退还我本次的会员费，我最多本金1460+100元进行还款，本人</t>
  </si>
  <si>
    <t>2019/10/07 23:51:19</t>
  </si>
  <si>
    <t>通过免密支付直接恶意扣款，要求退还，并赔偿。</t>
  </si>
  <si>
    <t>2019/10/07 23:50:57</t>
  </si>
  <si>
    <t>海小葵app，存在放高利贷，砍头息，恶意催收，2000借款到账1440，期限14天，利息达到600多，严重超了国家银监会所规定的利息，并怀疑其是套路贷，我不知道他们是如何获取我的联系人信息，是否违背了法律，侵犯了我的隐私权，本人希望海小葵做出一个解释，为什么催收威胁我家人，不给出合理解释，我会进一步去派出所报案，并去银监会投诉。</t>
  </si>
  <si>
    <t>2019/10/07 23:50:46</t>
  </si>
  <si>
    <t>投诉人 宋亚超        投诉对象  买单侠        涉诉金额  5 500 元    问题类型    诉求类型投诉详情  到帐6100 马上就扣走610 砍头息 合同显示6100 账单 阴阳合同 请买单侠退回610 砍头息</t>
  </si>
  <si>
    <t>2019/10/07 23:49:39</t>
  </si>
  <si>
    <t>本人于2018年7月14日在蕾特恩专业祛痘使用小牛分期消费16800元，共分24期，每期还款869.2元，已还13期，剩余11期未还，经计算利息高得吓人，一万六千八百块光利息就要四千多块，而且我已经付了两千多利息了，现想申请一次性付清借款，9月27号申请过一次，客服说已帮办理好，说28号会扣款，结果没有扣，却联系不到小牛消费平台的客服，微信平台没有客服回复，客服电话4006075560也无人接听，导致无法申请，希望等到聚投诉的帮助，协助我还成扣款，终止这项不平等条约。</t>
  </si>
  <si>
    <t>2019/10/07 23:48:58</t>
  </si>
  <si>
    <t>转转app绑定手机号180******34充了399的保卖vip只提供了一次服务，后续再也没有弹出设置底价的窗口，，，这399算是白充了！后续提示进行专业类目认真，本人为是平台专业化管理，但认证费交了发现别的类目就发布不了了，想发布就得再交认证费！交了钱不仅没提供服务，还多加限制！！！！之前在转转平台买了某企业用户拍卖的，没有充电器，没有电池，的几台按键三星功能机，后来我分两次向平台寄出了数台按键功能机，第一次说平台不能保卖非智能机，第二次说没有适配的充电器不能保证开机，不给进拍卖场！mmp了！平台和企业用</t>
  </si>
  <si>
    <t>2019/10/07 23:47:11</t>
  </si>
  <si>
    <t>几个月前开了一个淘宝店，在网上看，人家可以100块钱做装修，然后我就加了，企业QQ，之后他就把我的店铺装修了，然后他又给我推荐，他们的货源，可以给我上架，把店铺做到三星，公司统一收费980元，服务三年，三年内，上报活动及其他再无任何费用，前期投入的费用也都是用来花在你自己店铺的打造中，后来我交了980，他们也把他们的物品给我上架到我的，店铺，并没有达到三星等等有单，后来又有一个他们公司保钻的人加我，说保钻这块的话，又想做好想赚钱的客户，要交5880，然后我没钱就，分期的交了，后面他们说要发货等等来刷钻，又交</t>
  </si>
  <si>
    <t>2019/10/07 23:44:14</t>
  </si>
  <si>
    <t>湖南省湘潭市恒大书香门第，打着利率要上涨，及时购房的幌子，在9月9日进行了认购，以及9月10日付了首付，不在意利率是否提高或者上升，马上一个月过去了，购房合同都没有拿到，正常情况下的购买东西，不是一手交钱一手交货嘛，这么大的品牌集团，一个月无法给到用户购房合同，请聚投诉协助反馈对应部门及监管部门，谢谢~~~。</t>
  </si>
  <si>
    <t>2019/10/07 23:43:45</t>
  </si>
  <si>
    <t>分十二期，本金却三个月要求三个月还完剩下九个月都是利息，这怎么能算分十二期，逾期一个月多，逾期费用竟然就高达2942.5元人民币，而且客服沟通不当，当时app登录不上。</t>
  </si>
  <si>
    <t>2019/10/07 23:41:56</t>
  </si>
  <si>
    <t>投诉人 李女士        投诉对象  豆豆钱        涉诉金额  90 000 元    问题类型    诉求类型投诉详情  银行卡余额充足 不能提前结清 到还款日不自动扣款 恶意制造逾期</t>
  </si>
  <si>
    <t>2019/10/07 23:41:41</t>
  </si>
  <si>
    <t>10月7日，多宝分期的工作人员再次联系我说没有还款，还进行暴力催收，甚至骚扰我的家人和朋友，给我造成了严重的伤害，要求多宝分期的工作人员立即停止暴力违法行为，对账目进行核实销帐处理。</t>
  </si>
  <si>
    <t>2019/10/07 23:41:33</t>
  </si>
  <si>
    <t>投诉人 张先生        投诉对象  钱橙无忧        涉诉金额  168 元    问题类型    诉求类型投诉详情  扣款证明！要求退款！！！！！！！！！！！</t>
  </si>
  <si>
    <t>2019/10/07 23:38:14</t>
  </si>
  <si>
    <t>投诉人全先生投诉对象51人品涉诉金额20000元问题类型诉求类型投诉详情由于创业失败，经营困难，于2018年在51人品贷申请一笔20000元的贷款，还款期限12个月，第一个月3406元，剩余11个月均付2006元，经与朋友的聊天和软件的格式，整笔借款年化率达到50%，且有阴阳合同的嫌疑，添加各类国家明文禁止的保险费，手续费，合同管理费等，这是我有史以来利息最高的一笔借款，在国家打击政治网贷高利贷的同时，不顾法律法规，诉求：退回高于百分之36的利息部分，提供结清证明。</t>
  </si>
  <si>
    <t>2019/10/07 23:37:47</t>
  </si>
  <si>
    <t>投诉人汪女士投诉对象我来数科涉诉金额10000元问题类型诉求类型投诉详情我来贷还款日不扣款造成逾期，影响征信，只能手动通过微信还款，后续又因还款扣款次数超限，无法更换银行卡导致逾期第二天额外多催收费300年利率已超过国家规定同时线下支付宝还款仍然未销账的，电话客服服务态度恶劣，希望公司能减免逾期费，及时销账，以及对其公司人员加强管理，及时销账处理后向我回电解释，否则只能向银监会投诉，维护我们个人权益。</t>
  </si>
  <si>
    <t>2019/10/07 23:37:31</t>
  </si>
  <si>
    <t>投诉人龚先生投诉对象飞贷涉诉金额200000元问题类型诉求类型投诉详情套路我去贷款以后利息变了，我要投诉！希望国家给我公道！。</t>
  </si>
  <si>
    <t>2019/10/07 23:36:41</t>
  </si>
  <si>
    <t>在好易借软件上借款8000元，手续费加担保费就是接近2000元，还有1080的利息，借款8000元需要还款接近12000元，有一期逾期一天电话骚扰，烦不胜烦。</t>
  </si>
  <si>
    <t>2019/10/07 23:35:28</t>
  </si>
  <si>
    <t>2019/10/07 23:35:05</t>
  </si>
  <si>
    <t>10月7日，本人在趣头条上看新闻，看资讯，突然跳出棋牌类广告，广告语：广告在家偷偷玩棋牌，还能赚零花钱，轻松月入上万，本人出于好奇，下载后游戏内部现金金币一比一兑换，本人多次充值，一共被骗了17000元，趣头条拥有上亿用户，却大肆推广此类游戏，残害网民，希望及时制止，并对本人损失进行赔偿。</t>
  </si>
  <si>
    <t>2019/10/07 23:34:50</t>
  </si>
  <si>
    <t>北京友缘在线网络科技股份有限公司在我不知情下恶意扣款自动绑定免密支付，。</t>
  </si>
  <si>
    <t>2019/10/07 23:33:37</t>
  </si>
  <si>
    <t>捷信贷款暴力催讨，已经严重的骚扰到我朋友亲戚同事，之前我贷款3.5万已经还了14000多，然后捷信的打电话给我身边的朋友说我一分都没有还，还欠他们3.5万，我赶紧打电话给他们的客服说我有还啊，他们说我的有专人负责处理，然后留意有一个自称是捷信律师的给我打电话说我没还一分钱要告我跟我处理一下，当时我直接吓蒙了我说我有还我之前还了10000多块啊怎么可能没有，然后那个自称捷信律师的就给我一个电话号码说是捷信的经理姓田让我跟他联系还让我说尽量对他好一点，然后我吓到立马给那个所谓的捷信田经理打电话，跟解释一下，结果</t>
  </si>
  <si>
    <t>2019/10/07 23:33:20</t>
  </si>
  <si>
    <t>投诉人 朱先生        投诉对象  小木钱包,新意花,畅捷支付        涉诉金额  4 000 元    问题类型    诉求类型投诉详情  9月9日在新意花借款2800元 分4期还款 每一期7天 需要还款1022.4元 共需要还款4089.6元 超级高利贷 超过国家利息几千倍 ，中间由于他们的原因还款失败导致逾期 已还三期3123.2 以超过本金和利息 要求最后一期销账 拨打客服电话告知无法协商 支付通道是畅捷支付，为高利贷提供支付通道</t>
  </si>
  <si>
    <t>2019/10/07 23:32:46</t>
  </si>
  <si>
    <t>使用豆瓣八年，从未发过任何违反法律法规的内容，无故被封，发表不了任何内容，发送任何东西都显示内容等待审核，暂时仅自己可见，请稍等片。</t>
  </si>
  <si>
    <t>2019/10/07 23:31:27</t>
  </si>
  <si>
    <t>投诉人 张先生        投诉对象  中国联通,山西联通        涉诉金额  0 元    问题类型    诉求类型投诉详情  家里装监控 需要公网ip 打人工服务后 客服说 可以改 24内有人联系人 可是联系我的人居然不知道什么是公网 什么是私网 去了本地营业厅办 居然没一个知道的 我也是很无奈了</t>
  </si>
  <si>
    <t>2019/10/07 23:30:42</t>
  </si>
  <si>
    <t>证大财富高利息，当时借款，45000，下来合同后是每月2517，分期36个月，利息太大高了，而且这个专员说话特别难听，我这还没到还款日就开始催。</t>
  </si>
  <si>
    <t>2019/10/07 23:30:12</t>
  </si>
  <si>
    <t>今年5月份在短视频上看到360打广告说，借款免利息，抱着试一下的心态，下载了360借条app，于是打开借款页面，借款页面显示借款1000元，日利息最低2毛7，可是最高利息不敢说出来，怕没人敢借款了，当时也没想太多，想360平台这么多年信誉一直还可以，不会欺诈消费者的，就在2019年5月30日在360借条app上借了3000元和3700元，借款了9个月，借款成功后才看到分期费率1.75%，要还利息400多，一个月就要66块多，利息高的离谱，想提前还款，也还不了，简直就是霸王条款，可是过了几天360借条在app</t>
  </si>
  <si>
    <t>2019/10/07 23:30:08</t>
  </si>
  <si>
    <t>最近几个月因为家庭原因挺困难的，想过网贷借款还的，但都是高利贷利息太高。</t>
  </si>
  <si>
    <t>2019/10/07 23:30:00</t>
  </si>
  <si>
    <t>10月7日了，仍未更新我的征信结清信息。我不知道起诉是否有用。或者如何起诉</t>
  </si>
  <si>
    <t>2019/10/07 23:29:53</t>
  </si>
  <si>
    <t>从去年开始就不能选择分期了，还了一年多的最低还款利息又高实在是还不上了，希望贵行能给条活路，让我分期还款。</t>
  </si>
  <si>
    <t>2019/10/07 23:29:38</t>
  </si>
  <si>
    <t>返回投诉编号：CN1147576摩羯贷联系不上，打不开本人在摩羯贷借款2500，2019年7.28日是最后还款日，但是摩羯贷app打不开，链接也无效，，已解决投诉对象摩羯贷对被投诉方打分点击查看处理状态展开涉诉金额，1500元问题类型高利贷、砍头息、联系不到客服诉求类型下架产品,销账,提供结清证明,协商处理销账梁女士2019-08-01。</t>
  </si>
  <si>
    <t>2019/10/07 23:29:36</t>
  </si>
  <si>
    <t>小浦优客app申请借款，按步骤填写资料，然后最后要求绑定银行卡，绑定完成就开始审批，当时没通过，我就删除了，到了下午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</si>
  <si>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2019/10/07 23:27:44</t>
  </si>
  <si>
    <t>国庆节期间，报名参与国内知名旅行平台，游侠客坝上团，团费3058，整个行程并未按照原定路线行走，随机改变项目，并强制要求消费者消费具体如下：1.整个行程，每天都在赶路，天没亮就得爬起来，又在寒风凛冽的晚上赶回酒店，那么时间去哪里了呢，用在了中午休息上……恩……5.6点钟出门，11点回酒店，下午2点再集合的那种[微笑]每天都在慌慌张张的赶路，你也不知道在赶个啥，每次当风景好不容易好一点的时候，就把整个团拖回去睡觉2.再来说详细的行程，行程正式开始的时候，游侠客就把官网的具体行程删除，以至于每日的行程都和原定的</t>
  </si>
  <si>
    <t>2019/10/07 23:26:39</t>
  </si>
  <si>
    <t>已经超标国家法律内偿还的百分之二十四的利率。</t>
  </si>
  <si>
    <t>2019/10/07 23:25:56</t>
  </si>
  <si>
    <t>2019/10/07 23:25:11</t>
  </si>
  <si>
    <t>高利贷高利贷高利贷高利贷高利贷高利贷高利贷高利贷高利贷高利贷。</t>
  </si>
  <si>
    <t>2019/10/07 23:24:23</t>
  </si>
  <si>
    <t>诱导用户群体缴纳249会员费用，恶意欺骗手段，利用小额免密支付服务，收取249元会员费用，欺骗用户权益，会员服务没有任何实质上的意义，要求平台公司退款，不同意在平台内提现，把非法受益249元费用打回原账户，分期通这种会员费用就是违法行为，利用大众用户群体的利益需求，以会员服务为由，让用户购买249会员，非法宣传。</t>
  </si>
  <si>
    <t>2019/10/07 23:22:32</t>
  </si>
  <si>
    <t>电信公司手机卡没有信号??！给10000客服投诉说我手机问题.给400客服反应后有工作人员回复打电话振铃，敷衍工作，反应很多次都是敷衍工作，信号问题总怪顾客……你以为娘愿意用你们的卡，要不是有重要文件留了这电话号码娘早就不用了，你们电信公司赔偿我损失，手机卡不用了垃圾……每天就1个信号??，看清楚图片上的??。</t>
  </si>
  <si>
    <t>2019/10/07 23:22:00</t>
  </si>
  <si>
    <t>2019年9月20号，我通过支付宝付给幸媛情感学苑4800，对方帮助挽回婚姻，和老公和好如初，这是他们的保证，之后由于我支付的4800和老公闹的很不愉快，当时我走投无路，不敢跟家人朋友说，想着找当时那个老师借4800，让老公消除误会，从那之后那个老师之后再也没有回过信息，接过电话，就开始教我回老公信息，让我看一本人性弱点，没有达到说的教和老公相处等后续问题，现在更是直接找不到人，距离最后一次聊天已经有十天左右。</t>
  </si>
  <si>
    <t>2019/10/07 23:21:29</t>
  </si>
  <si>
    <t>造艺科技旗下聚富分期一直私自扣出我银行卡里钱的都不用输入密码的。</t>
  </si>
  <si>
    <t>2019/10/07 23:21:28</t>
  </si>
  <si>
    <t>恒昌利通旗下有个恒易贷，高额利息，合同金额9万多实际到账金额6万多，都还完需要140000多，远远超过国家规定利息，催收人员，骚扰辱骂恐吓家人朋友单位，制造假的文件，还有语音无法上传，恒昌老总还是绿色优秀企业家呢，挣得都是黑心钱，媒体时代，我要曝光这个无人性的老板。</t>
  </si>
  <si>
    <t>2019/10/07 23:21:05</t>
  </si>
  <si>
    <t>投诉人韦世威投诉对象京小租涉诉金额549元问题类型诉求类型投诉详情在京小租上面租了一台手机取消订单后一直不见退款也联系不上客服。</t>
  </si>
  <si>
    <t>2019/10/07 23:21:04</t>
  </si>
  <si>
    <t>11月7日入住，11月13日退房，两个带双早的双人标间，当时消费支付了酒店预付金，但是10月7日由于特殊情况需要改变行程，我马上联系了客服，申请取消房间，携程客服反馈的是要与酒店联系，让我等消息，10月7日晚19：00携程客服来电，说可以取消酒店订单，但是不保证可以退款，并且取消后如果不退款的话，该酒店也不能入住，我认为酒店预订为一个合同，不给取消退款完全违反了《消费者权益保护法》第二十六条，这种完全排除对方权力的霸王格式条款也完全不符合《合同法》的规定，而且入住时间为11月7日，我并非当天入住取消，完全不</t>
  </si>
  <si>
    <t>2019/10/07 23:19:49</t>
  </si>
  <si>
    <t>贷上钱借了3000要还3909，到账3000，你们客服说了，叫我存了3000你扣销账，怎么现在909利息。</t>
  </si>
  <si>
    <t>2019/10/07 23:19:06</t>
  </si>
  <si>
    <t>本人在信用飞申请借款3900元，实际到账3120元被扣除780元的飞行权益，国家规定贷款不能强制要求购买保险产品，这是违规行为。</t>
  </si>
  <si>
    <t>2019/10/07 23:17:05</t>
  </si>
  <si>
    <t>本人于8月15日已还清所有通过360借条向天津银行北京分行的消费贷款，截止今日，仍然未在人行征信系统更新相关结清信息，长发近两个月时间，本人多次与360借条、天津银行北京分行沟通，投诉，都无法解决这个问题，现在已经严重影响本人的正常生活，本人的房贷因征信未全部结清迟迟不放，上次与天津银行北京分行沟通，对方在未解决任何问题的情况下要我理解他们的无能为力并撤销我之前的投诉，我也是出于好心，回答说当天请对方帮我再次询问并打电话反馈给我相关信息。</t>
  </si>
  <si>
    <t>2019/10/07 23:16:20</t>
  </si>
  <si>
    <t>投诉人 刘先生        投诉对象  活力花        涉诉金额  3 000 元    问题类型    诉求类型投诉详情  电话催收，微信催收。如果催收不停。钱肯定不会归还。</t>
  </si>
  <si>
    <t>2019/10/07 23:14:55</t>
  </si>
  <si>
    <t>2019.7月只发底薪1530，提成未发，八月整月工资拖欠至今，仍未处理发放，离职走的正常手续，如若平台不能处理，只能打劳动局，申请劳动仲裁，望转达贵公司，不是发一部分，是结清拖欠的全部工资，工资明细必须给到我，谢谢！。</t>
  </si>
  <si>
    <t>2019/10/07 23:14:26</t>
  </si>
  <si>
    <t>10月7日了，仍未收到退款，麻烦帮我催一下，谢谢。</t>
  </si>
  <si>
    <t>2019/10/07 23:14:25</t>
  </si>
  <si>
    <t>投诉人 庄先生        投诉对象  卡牛信用管家        涉诉金额  2 000 元    问题类型    诉求类型投诉详情  非法扣取金额，盗窃罪，严重坎头息，，，，</t>
  </si>
  <si>
    <t>2019/10/07 23:14:15</t>
  </si>
  <si>
    <t>没经本人同意直接扣款，银行卡也在平台无法注销。</t>
  </si>
  <si>
    <t>2019/10/07 23:13:20</t>
  </si>
  <si>
    <t>2019/10/07 23:13:16</t>
  </si>
  <si>
    <t>我于2019年10月6日通过OYOapp预定一间商务宾馆，根据《消费者权益保护法》第五十五条规定，要求贵司退款并作出500元赔偿。</t>
  </si>
  <si>
    <t>2019/10/07 23:12:25</t>
  </si>
  <si>
    <t>当初买电脑的时候只有一个要求，问能不能带的动吃鸡，说能带的动，结果买回去，别说带的动吃鸡了，联盟都卡，最基本的显卡没装，每天出问题，吃鸡卡死机，卡黑屏，卡到进不了游戏，去找售后要求退换，说需要检查报告，还建议自己掏路费去南京做检查报告，说好的七天内包退包换呢。</t>
  </si>
  <si>
    <t>2019/10/07 23:08:51</t>
  </si>
  <si>
    <t>骗取会员费不下款包赔以后就变成中介，推荐乱七八糟的软件，之前都不是这样的。</t>
  </si>
  <si>
    <t>2019/10/07 23:08:25</t>
  </si>
  <si>
    <t>由于公司8月份内部处理个人税收问题导致工资延期发放也就是在还款日以后发放，从而也导致逾期，期间与中邮客服沟通延期，中邮客服态度强硬，不予延期。</t>
  </si>
  <si>
    <t>2019/10/07 23:08:21</t>
  </si>
  <si>
    <t>于本人花呗账单有欠款未还，在我不知情的情况下，他人通过支付宝转账错误到我支付宝账户4000元整，转账者通过与我联系要求我退还款项，但目前这笔钱已经被我花呗扣走，我致电支付宝客服要求将这4000元原路退还到转账者的账户内，没有得到满意的答复，故此在平台进行投诉，希望尽快受理。</t>
  </si>
  <si>
    <t>2019/10/07 23:06:54</t>
  </si>
  <si>
    <t>9月30日在桂林机场乘机的时候工作人员把我拦下，说办卡享受优惠并且卡里充的钱可以全额抵扣机票费用，还说买机票比其它公司要便宜，说的天花乱坠，正好想着回来我还需要乘机所以就准备办卡，得到了工作人员的保证，并且觉得在机场内应该不会是骗子，所以就干脆办了张卡，结果回家之后要准备订下次的飞机，所以登录上他们的订票平台才发现，当初在工作人员处得到的承诺没有一句是真实的，卡内的钱只为优惠券，并且根本不能当钱使用，等于是花钱买了张没用的卡，打电话给卡的公司，也是一直在推脱，没有给我退卡，但是业务员也不用忽悠来办卡啊，这属</t>
  </si>
  <si>
    <t>2019/10/07 23:05:46</t>
  </si>
  <si>
    <t>我今天接了一个订单中，还没结束滴滴公司又给我派了一个订单，可是这单还没结束，乘客还要用车，下一个乘客因为取消订单要扣4元不肯取消，要司机取消，因为司机取消要扣服务分，所以我就打电话给滴滴客服，滴滴客服说这种情况司机可以取消订单，可是现在我取消订单了，申诉不成功，滴滴公司要扣我服务分，我想要说法，为什么客服让我取消还扣我分。</t>
  </si>
  <si>
    <t>2019/10/07 23:03:06</t>
  </si>
  <si>
    <t>贷上钱非法恐赫！爆私人通讯录！骚扰扰乱我正常生活！。</t>
  </si>
  <si>
    <t>2019/10/07 22:59:25</t>
  </si>
  <si>
    <t>支付宝网贷商贷款前需要支付一定的费用，而且不明确的告诉借款人，这种行为实属欺诈消费者，这样的平台谁敢贷款。</t>
  </si>
  <si>
    <t>2019/10/07 22:58:29</t>
  </si>
  <si>
    <t>我朋友借了几千块钱都还了可能还差点没有还完，每天打电话问我要人要不到人就要我帮他还，我就想问网货公司这样不违规吗。</t>
  </si>
  <si>
    <t>2019/10/07 22:57:27</t>
  </si>
  <si>
    <t>本人与此公司无任何关联，无故扣我199.18我要求退款！。</t>
  </si>
  <si>
    <t>2019/10/07 22:57:02</t>
  </si>
  <si>
    <t>活力花，高利贷，借了4000，分三期，还了一期，利息都两千左右了！还要全额！！。</t>
  </si>
  <si>
    <t>2019/10/07 22:56:27</t>
  </si>
  <si>
    <t>投诉人丁先生投诉对象你我贷涉诉金额400元问题类型诉求类型投诉详情强行捆绑400的服务费。</t>
  </si>
  <si>
    <t>2019/10/07 22:56:14</t>
  </si>
  <si>
    <t>借了他们公司的钱，现在实在换不起了，利息太高了。</t>
  </si>
  <si>
    <t>2019/10/07 22:54:59</t>
  </si>
  <si>
    <t>马上金融安逸花公司雇佣第三方进行威胁恐吓暴力催收，进行电话、短信轰炸，爆通讯录。</t>
  </si>
  <si>
    <t>2019/10/07 22:54:14</t>
  </si>
  <si>
    <t>人吃五谷杂粮都有生病的时候，难道做生意就没有失败，招行信用卡委外暴力催收，一天打几十个电话，并且打我公司的人电话，叫他们都辞职不要做了，叫别人都去起诉我，把我搞死搞残，作为中国信用卡业务的领头企业，你们的催收难道不知道每天催收只能打3个电话吗，作为信用卡逾期客户，首先我没有失联，没有逃避，电话一直畅通，难道我24小时随时接你电话吗，催收在和我通话过程中我也提醒请注意态度，她竟然还说就这态度怎么说！！！信用卡逾期欠款，就应该任你们宰割，我办理你们招行信用卡时没有虚构事实，隐瞒真相，是通过招行正规审批程序办下来</t>
  </si>
  <si>
    <t>2019/10/07 22:54:02</t>
  </si>
  <si>
    <t>下了单不发货，取消订单，饿了么同商家有虚假宣传，欺骗消费者行为。</t>
  </si>
  <si>
    <t>2019/10/07 22:53:57</t>
  </si>
  <si>
    <t>利息太高，算下来已经接近20%的利息了，而且不能提前还款，提前还款也要把后面的利息一起还了。</t>
  </si>
  <si>
    <t>2019/10/07 22:53:18</t>
  </si>
  <si>
    <t>投诉人 丁女士        投诉对象  你我贷        涉诉金额  450 元    问题类型    诉求类型投诉详情  有问题联系看几次了就是不处理。有时间联系有处理不了。我没有时间就老给我打电话</t>
  </si>
  <si>
    <t>2019/10/07 22:52:37</t>
  </si>
  <si>
    <t>我都有还款还是每天打电话骚扰我，家人朋友同事。</t>
  </si>
  <si>
    <t>2019/10/07 22:52:31</t>
  </si>
  <si>
    <t>勐海瑞平信息科技有限公司,贷钱花,宝付支付。</t>
  </si>
  <si>
    <t>2019/10/07 22:52:10</t>
  </si>
  <si>
    <t>人因为家里老人身体原因，手头不宽裕，借呗逾期700块钱，花呗逾期未还，浙江杭州的不同的座机号不断的电话催收，并进行威胁说不还就会联系家里老人，并要上门催收，我本人并没有说不还，要求按正常的还款，要不然处理不了也只有走法院路线了。</t>
  </si>
  <si>
    <t>2019/10/07 22:49:32</t>
  </si>
  <si>
    <t>投诉人 董先生        投诉对象  钱站,华夏银行        涉诉金额  3 200 元    问题类型    诉求类型投诉详情  借款2000 合同确是3200 希望严查严惩</t>
  </si>
  <si>
    <t>2019/10/07 22:49:25</t>
  </si>
  <si>
    <t>发这样的信息，严重影响到了我家人的生活，暴力催收，侮辱家人。</t>
  </si>
  <si>
    <t>2019/10/07 22:48:49</t>
  </si>
  <si>
    <t>联合现金巴士砍头息，没经过本人同意自动扣费。</t>
  </si>
  <si>
    <t>2019/10/07 22:48:31</t>
  </si>
  <si>
    <t>投诉人丁先生投诉对象你我贷涉诉金额12000元问题类型诉求类型投诉详情连续三个月每个月四千多已经还款12000多块钱显示还剩下两万七千多没还等于实际还款只有不到五千块钱省下七千多全部都是手续费加利息么。</t>
  </si>
  <si>
    <t>2019/10/07 22:47:06</t>
  </si>
  <si>
    <t>乱扣费用，扣的都是一些消费者不明白的，提前也没有说明，这样的行为属于欺诈消费者。</t>
  </si>
  <si>
    <t>2019/10/07 22:46:37</t>
  </si>
  <si>
    <t>通过信用管家APP申请神马借本金2625元贷款，分4期归还，每期还款896元，总计4期需归还3584元，32天利息总计959元，折合年利率高达450%以上。</t>
  </si>
  <si>
    <t>2019/10/07 22:46:16</t>
  </si>
  <si>
    <t>本人因资金周转需要，于2019年4月8日在快闪卡贷APP上借了一笔金额为15000元，实际到账12626.45元，借款分6期，每期应还3009.01元，每个月的利息高达904.6元，总共6个月本金加利息就要还18054.06元，，利息高达5427.61元，达到本金的43%左右！通过计算，该平台的借款年利率竟然高达84.15%，远远超过法定民间借贷年利率红线36%，属于十足的超级高利贷，我希望借助聚投诉平台帮我协商一下要求快闪卡贷官方归还超出国家规定的利息问题，也希望该平台曝光快闪卡贷不要让更多的人受害了。</t>
  </si>
  <si>
    <t>2019/10/07 22:45:07</t>
  </si>
  <si>
    <t>因为这边逾期的只有两个，只有你我贷是逾期20多天1400块左右的，我跟他协商还款，说先充值一部分进去表示还款意愿，剩下的发工资再还，他直接说明天下午3点，给不了就要让她工作保不住，还说要挨个通讯录去给她亲朋好友每个人5块钱的借！！我感觉我们的精神快崩溃了！！！！！！！。</t>
  </si>
  <si>
    <t>2019/10/07 22:44:18</t>
  </si>
  <si>
    <t>第二次借款时收取所谓的续借费用，多余的费用没听说过，这样赚钱，完全不顾消费者的心情，真的是坑。</t>
  </si>
  <si>
    <t>投诉人陈晓清投诉对象闪电公积金涉诉金额300元问题类型诉求类型投诉详情我来贷平台非法恶意收取逾期利息。</t>
  </si>
  <si>
    <t>2019/10/07 22:43:59</t>
  </si>
  <si>
    <t>本人在信用管家下载的新意花小木钱包上借款2800元，借款为32天，每8天一期还款，共需还款4088元！利息高达1288元！！因APP银行问题无法还款，打电话给客服一直无法接通，导致逾期，逾期费用高达一天52元！支付通道为畅捷支付为高利贷提供违规还款通道现希望取消高额逾期费用。</t>
  </si>
  <si>
    <t>2019/10/07 22:43:39</t>
  </si>
  <si>
    <t>借款到手125000.合同金额158000.，三年还186000.希望调整利率，延顺几日期，现在出车祸，在修养中，没有收入来源。</t>
  </si>
  <si>
    <t>2019/10/07 22:43:35</t>
  </si>
  <si>
    <t>钱站套路贷，收取高额服务费，借款5000元合同上是6600元，以还二期，现在因为无力承担高额利息和服务费，还不起了，逾期三天，逾期费就是1315.59元。</t>
  </si>
  <si>
    <t>2019/10/07 22:42:55</t>
  </si>
  <si>
    <t>贷款一万元，然后下款审核成功，但是要交600才得提款码，就交了600，然后我提现的时候就说我卡号异常，联系客服，客服说我卡号写反了，被冻结钱了，然后要我交5000元解冻，可是我卡号明明就写对了，还确认了好几遍，怎么就会卡号错误，我现在要怎么办。</t>
  </si>
  <si>
    <t>2019/10/07 22:42:44</t>
  </si>
  <si>
    <t>借款金额与还款金额不符，还收取保费，，，，。</t>
  </si>
  <si>
    <t>2019/10/07 22:40:57</t>
  </si>
  <si>
    <t>租房前退房仅说到押金这块，由于账号登陆不了，联系客服一直未处理，以为工作人员国庆休假了，延误一周，现在不满三十天，由原来的退30%变成一分不退，并且说由于没有住满一年，原先享受的活动金需要全数退回，租房的时候没有任何人告知这块，如果告诉了房子也不会租了，现在退房了临时通知不仅押金一份不退反倒还需要在交一个月多房租才能退房，原先的租房贷就不说了，也一直不知道是什么平台扣钱的，直到第一个月收到了扣钱短信，现在居然增加一条说活动金还要退，那你们做什么活动诱导消费者，压根没见过活动的海报和任何文字东西，现在退房就说</t>
  </si>
  <si>
    <t>2019/10/07 22:37:37</t>
  </si>
  <si>
    <t>及贷，实际借款18500，合同里是21663.50元，强制账户管理费用3171.60元，12期总共还款29000多，按实际到账金额算，超过年化36%，如果按实际到账金额算，年化36%总共还款金额25000多，要求退还或者减免剩余还款金额，或者退还已经超额还款的部分。</t>
  </si>
  <si>
    <t>2019/10/07 22:36:38</t>
  </si>
  <si>
    <t>本人于2019年10月五号中午十一点四十九分在美团外卖上点了外卖，吃了一部分发现有个纸团并且还有字，随即向商家质问，商家言要只按实际付款退款如果要投诉就去态度极其嚣张，带着商家的明明有严重卫生安全问题在先还为何如此嚣张的的态度是背后有人还是没有处罚的疑问向美团外卖投诉，并要求按照《食品安全法》第148条规定，十倍赔偿或者拉黑商家让其知道严重性，毕竟是餐饮业卫生安全如果都无法保障那就是在害国人！美团外卖第二天回复，商家不同意赔偿，美团属于一个第三方平台，没有责任赔偿，根据《食品安全法》第148天规定，消费者因</t>
  </si>
  <si>
    <t>2019/10/07 22:34:49</t>
  </si>
  <si>
    <t>2019/10/07 22:34:18</t>
  </si>
  <si>
    <t>本人手机号被用钱宝天天电话轰炸已经无法正常使用，于是轰炸我的通讯录好友，并且乱发诋毁性信息引导别人，导致我呗公司开除，严重影响了我的正常生活跟交际关系，建议相关部门立即查处这个高利贷公司，下架产品。</t>
  </si>
  <si>
    <t>2019/10/07 22:32:13</t>
  </si>
  <si>
    <t>账单日10.3日，由于3号还没有发工资，并且欠我钱的朋友十一回老家了必须等他回来才能还我钱，今天他从家回来就把钱还我了，我立马就把钱还给了银行，还了最低额度11607元，还清本期账单的最低还款额度以后，又收到浦发信用卡的还款提醒，打客服电话过去告知我必须全额还款，否则将产生逾期费用，催收并从新评估我的信用卡！而且APP上的额度与浦发信用卡给我发的额度不一致，并且收到的短信中都提到了最低还款额度，如果要求全额还款，那还要最低还款额度干嘛！要求浦发信用卡给我恢复最低还款额度！一个月还一万多的最低额度已经够吃力的</t>
  </si>
  <si>
    <t>2019/10/07 22:31:36</t>
  </si>
  <si>
    <t>在信用管家里面的钱咖分期借款2500元，一个月总共需要还款3320元，在未逾期的情况下收到催收电话扬言要爆通讯录。</t>
  </si>
  <si>
    <t>2019/10/07 22:31:31</t>
  </si>
  <si>
    <t>利息太高要还1700多还是分三期还我还了一期，感觉利息太高还不起借1000分3期还一期595太高了。</t>
  </si>
  <si>
    <t>2019/10/07 22:31:23</t>
  </si>
  <si>
    <t>7月25日，7月26日共计3个订单，至今已有两个多月时间至今未收到款项，期间多次联系平台均得到统一答案，记录反馈！！实在是是可忍，孰不可忍，其中单1情况为乘客第一次打车，订单结束后没有任何提示付款的弹窗，并且乘客根本就找不到订单，乘客下车地为闹市区，考虑交通堵塞和避免违章，就让乘客先行下车由客服指引付款，此为平台问题单2为市区小订单，多个客服回答乘客会马上付款，却迟迟未收到款项，单3为一口价订单，一口价订单是乘客先行付款的订单，为何乘客付款的订单却钱不给司机，是不是可以怀疑上述两订单乘客已经付款，款项被平台</t>
  </si>
  <si>
    <t>2019/10/07 22:31:21</t>
  </si>
  <si>
    <t>714非法网贷，恶意打扰，超高利息，违法犯罪支付宝，快钱支付方式协助这些app实行犯罪，恶意伤害人，打通讯录，支付宝居然协助这样的平台，真的是可恶。</t>
  </si>
  <si>
    <t>2019/10/07 22:31:20</t>
  </si>
  <si>
    <t>骚扰我！随便说出一笔金额就让我给你们！你们中银消费金融真是黑社会，我已经报警立案，明天我会去刑侦大队立案！我不信没有说理的地方，你们这么做伤天害理！还言是高利贷，只要给他发红包就不用还钱。</t>
  </si>
  <si>
    <t>2019/10/07 22:31:19</t>
  </si>
  <si>
    <t>被疑似机场工作人员诱导消费！没想到国家机场里会出现这样的骗局！请求退款！。</t>
  </si>
  <si>
    <t>2019/10/07 22:31:16</t>
  </si>
  <si>
    <t>本着娱乐，点了欢乐斗地主，一般充值在两到三元，本来就是一个娱乐的事情，平时一般是跳转3元的充值页面，在没有任何提示的情况下，私自跳转30元的支付密码，而大意支付了30元，忘腾讯退回多支付的27元。</t>
  </si>
  <si>
    <t>2019/10/07 22:31:07</t>
  </si>
  <si>
    <t>车主投入时间精力与收入严重不符，欺骗车主加入公司。</t>
  </si>
  <si>
    <t>2019/10/07 22:30:30</t>
  </si>
  <si>
    <t>本人于今年6月3日接通一通电话说是度小满金融公司的，然后诱导我办理贷款业务，之后诱导我往自己卡里存钱，存后他们马上划扣走了，望有关部门及时处理此事，退回12800元到本人账户。</t>
  </si>
  <si>
    <t>2019/10/07 22:29:46</t>
  </si>
  <si>
    <t>投诉人金璐璐投诉对象聚富分期涉诉金额299元问题类型诉求类型投诉详情在本人不知情的情况下私自扣款299元，与客户多次协商未果。</t>
  </si>
  <si>
    <t>2019/10/07 22:29:41</t>
  </si>
  <si>
    <t>之前一起工作的同事在捷信贷款逾期不知道怎么填的我的号码。</t>
  </si>
  <si>
    <t>2019/10/07 22:27:13</t>
  </si>
  <si>
    <t>上传不了图片，是京东金融发到别人手机上的短信，说我本期有逾期未处理账单，说什么上征信影响个人征信之类的，详询电话155******10，我在今年五月份就已经全部结清，app我都删了，现在给别人发来这样的信息，弄得我很生气，请给出合理的解释！。</t>
  </si>
  <si>
    <t>2019/10/07 22:25:59</t>
  </si>
  <si>
    <t>还有四天我可能就拿不到退款了请审阅官看看，谢谢您，这位老师又跟我说必须付完分期付才能开始听课，我懵了，有点感觉上当受骗，我说不要了，把钱退给我吧，等我下半年毕业工作再开始学习，这时候这位老师很强硬的说，这是不可能的，你还是付款吧，老师跟我说合约不是谁想解除就能解除的，还说终止不了，我心里有在想难道我是乙方我都没有毁约的权利吗，主要是这样的：因为大学四年我的英语一直都很烂，然后我就在网上看到了洛基英语，想学好，因为我真的很想有一天能出国，洛基英语就打电话来了，说能帮助我解决这个问题，说可以免费试听一个月，一个</t>
  </si>
  <si>
    <t>2019/10/07 22:25:22</t>
  </si>
  <si>
    <t>您好聚投诉本人于2019年7月11号在你我贷借款到账3000元，但是钱站伪造合同，合同金额为3750元，实际到账金额为3000，每期还款1330元，三月总共需要还款3990元，年利率高达百分之130,根据国家相关法律规定年利率超过百分之三十六的部分视为无效，年利率百分之24到36的部分可以协商还款，本人诉求对钱站伪造合同的事件进行严格处罚且对此次借款进行销账，希望聚投诉为我做主严格查处高利贷平台。</t>
  </si>
  <si>
    <t>2019/10/07 22:25:16</t>
  </si>
  <si>
    <t>本人通过信用管家平台进行借款2900，实际到账2368元，砍头息高达832元，2期每期需要还款968元，合计要还款1936元，远超国家法定利率，高额利息无力偿还，要求归还本金销账。</t>
  </si>
  <si>
    <t>2019/10/07 22:25:13</t>
  </si>
  <si>
    <t>从来没有在融360平台贷款，支付宝芝麻分显示有融360贷款逾期记录，图片是我登录融360账号的贷款记录，也是显示没有贷款，请问我芝麻分逾期记录哪里来的，要求支付宝蚂蚁金服给我删除记录，回复芝麻分，并做出解释，支付宝这么久都没出现这种问题，也没听别人说过￼。</t>
  </si>
  <si>
    <t>2019/10/07 22:25:09</t>
  </si>
  <si>
    <t>合同上借款11040元实际到账就8000元，。</t>
  </si>
  <si>
    <t>2019/10/07 22:24:27</t>
  </si>
  <si>
    <t>年利率上到百分之千几，借四千到账两千多，利息一千多，逾期费用翻两倍，催收电话打不停，客服居然没电话，联系方式只有QQ，不知道怎么相信。</t>
  </si>
  <si>
    <t>2019/10/07 22:23:54</t>
  </si>
  <si>
    <t>借款5000还款6200与实际借款合同规定年律率7.2％不符，。</t>
  </si>
  <si>
    <t>2019/10/07 22:23:14</t>
  </si>
  <si>
    <t>用钱宝暴力催收，严重影响我工作生活，骚扰我通讯录的联系人，打扰我那些好友的生活，还影响了我工作，让我被辞退了，建议查处。</t>
  </si>
  <si>
    <t>2019/10/07 22:22:03</t>
  </si>
  <si>
    <t>2019年8月7号出险当天已报案，垫付了第三方车辆维修费5090，保险公司说要我先垫付，之后保险报销的钱在转给联动云共享汽车公司，最后由公司转给我，我都把所有相关资料提供了，app上写的是7～15天，但直到现在两个月了一点进展都没有，我不知道要拖到什么时候，问工作人员感觉都在回避，感觉很无助，希望联动云公司不要坑消费者。</t>
  </si>
  <si>
    <t>2019/10/07 22:21:18</t>
  </si>
  <si>
    <t>百合网线下门店-静安区我12800套餐，3个月约见4个女生第一个女根本不是会员，过来充数的，第二个会员条件完全不匹配第三个会员是被家长逼来的，我莫名其妙浪费一个名额第四个不准备见了，商议退款门店经理吊的不行，我们这边女孩子看不上你，我们有什么办法，我上海人，3套住房，数学教师月薪1W5，样貌7分，嗯是我条件太差了。</t>
  </si>
  <si>
    <t>2019/10/07 22:20:55</t>
  </si>
  <si>
    <t>借款5000没告知利息这么高！1800，提前还款利息还是1800平台显示不向22岁以下学生借款，可我是21岁学生还是同意了，变相收高额利息！一个星期不到我全还了利息还是1800，要求退还利息！。</t>
  </si>
  <si>
    <t>2019/10/07 22:20:29</t>
  </si>
  <si>
    <t>我是特殊情况才逾期，逾期是我不对，在逾期前就有主动打电话给你们说明情况，说下个月可能不能正常还款，你们说没逾期，管不了！逾期了每次都是让几点前处理，和你们协商也不同意协商！还违规联系本人以外通讯录人员，骚扰我朋友，家人及同事！我在逾期后??陆陆续续还款，只是经济实力有限，现已经说明这月底能把逾期全处理，你们还是不同意，非要说要上门，要逼死我。</t>
  </si>
  <si>
    <t>2019/10/07 22:20:13</t>
  </si>
  <si>
    <t>多次转由第三方公司打电话骚扰，并且冒名律师所发送律师函短信，且未经允许擅自使用本人的所有信息，本人并不是不做还款，生活有困难，难以还款处理，时间上需要延长，希望你们不要再乱打骚扰我们了，也希望你们禁止在对我们的生活进行骚扰，投诉只是第一步，如果还是不愿修改这一个行为的话，我会进行警。</t>
  </si>
  <si>
    <t>2019/10/07 22:19:57</t>
  </si>
  <si>
    <t>在蚂蜂窝买的机票、刚出票再去查价格降了一百多、打航空公司电话发现行程单价格与实际不符合格了一百多、要求马上退差价给我不同意、如果聚投诉处理不了我要投诉到民航局去。</t>
  </si>
  <si>
    <t>2019/10/07 22:19:52</t>
  </si>
  <si>
    <t>7月在及贷贷款19890元，实际到账18000元，放款时在本人不知情下捆绑销售华泰保险，扣除1890元的高额保费，我要求及贷和华泰保险退回我的保费1890元.。</t>
  </si>
  <si>
    <t>2019/10/07 22:19:11</t>
  </si>
  <si>
    <t>还款日当天一直不扣款，主动还款也还款失败，故意造成逾期记录，对个人造成影响，行为恶劣，联系客服没有人工，根本无法联系到并且提供解决方案，希望在这里投诉，安逸花安排销账，并且消除逾期记录！。</t>
  </si>
  <si>
    <t>2019/10/07 22:17:15</t>
  </si>
  <si>
    <t>借1500，到手1100不到，深夜打家人电话，借款期限21天，现在要求减免利息，本金还款，停止暴力催收。</t>
  </si>
  <si>
    <t>2019/10/07 22:16:16</t>
  </si>
  <si>
    <t>钱站借了三千分三个月两个月就还够了本金，第三个月又是一千五的高额利息，我不想偿还而且我拒绝骚扰电话，。</t>
  </si>
  <si>
    <t>2019/10/07 22:15:57</t>
  </si>
  <si>
    <t>本人在信用管家上借款不知道高额利息与砍头费。</t>
  </si>
  <si>
    <t>2019/10/07 22:15:53</t>
  </si>
  <si>
    <t>8月1本人于信用飞app借款5000元，为期三个月，到期还款5299.29元，实际到账4000元，通过宝付支付被秒扣了1000元用于强制捆绑购买保险费用，作为砍头息变相收取高额利息远高国家法定借贷利率。</t>
  </si>
  <si>
    <t>2019/10/07 22:13:47</t>
  </si>
  <si>
    <t>蚂蚁借呗从未逾期，2017年12份16000的额度无故直接清零，还了几个月以后资金周转出现困难，一期的部分款晚还了一个月，借呗和芝麻信用狼狈为奸，直接把我信用分从700多降到400多，一年多来，我正常使用支付宝交水电费，消费，存余额宝，信用分却每个月固定涨一分，你们这倒霉系统，不能反映真实情况，存在有什么意义，客服解释是根据使用情况决定的，具体没有规则，系统决定的，这个解释真荒缪，难道系统不是你们阿里自己弄出来的吗，你们既然有评分系统，就得尽到责任，支付宝一直是个蛮好的平台，这样一搞我都不信任了。</t>
  </si>
  <si>
    <t>2019/10/07 22:13:44</t>
  </si>
  <si>
    <t>10.3号晚上八点多钟，本人在美团打车上面叫了一辆车，出发点昆山南站，目的地太仓市陆渡镇陆渡宾馆，然后我就咨询了客服，客服说他们预估的路线跟司机行驶的路线不一样。</t>
  </si>
  <si>
    <t>2019/10/07 22:13:31</t>
  </si>
  <si>
    <t>毕竟当初说报这个教育机构就是因为有跟南方职业技术学院合作。</t>
  </si>
  <si>
    <t>2019/10/07 22:13:24</t>
  </si>
  <si>
    <t>投诉人汤女士投诉对象建设银行涉诉金额1190元问题类型诉求类型投诉详情本人没有在海宁市盐官镇动感造型美发店和宜昌市高新区余氏猪肉店任何消费，无缘无故被扣款990.12元和200元。</t>
  </si>
  <si>
    <t>2019/10/07 22:12:57</t>
  </si>
  <si>
    <t>我12800套餐，3个月约见4个女生第一个女根本不是会员，过来充数的，第二个会员条件完全不匹配第三个会员是被家长逼来的，我莫名其妙浪费一个名额第四个不准备见了，商议退款门店经理吊的不行，我们这边女孩子看不上你，我们有什么办法，我上海人，3套住房，数学教师月薪1W5，样貌7分，嗯是我条件太差了。</t>
  </si>
  <si>
    <t>2019/10/07 22:12:33</t>
  </si>
  <si>
    <t>投诉人 丁先生        投诉对象  你我贷        涉诉金额  400 元    问题类型    诉求类型投诉详情  借两千一个月要我还两千四 绑定了个什么恶魔游戏 我连游戏是啥都不知就要被扣四百块左右 这不是砍头息吗？逾期一天就要二十几的利息 钱可以还 按照正常的走 不然分文不给 我说你们再打扰我的生活 就找警察处理 他们说找警察处理没用 管不了他们 真牛阿 而且我现在app都登入不上去</t>
  </si>
  <si>
    <t>2019/10/07 22:09:48</t>
  </si>
  <si>
    <t>被人误导购买彩票，在非法博彩平台通过微信平台充值3449，现投诉微信和网络赌博平台合作，提供充值通道，要求退还充值的金额，依法维权！。</t>
  </si>
  <si>
    <t>2019/10/07 22:09:20</t>
  </si>
  <si>
    <t>投诉人杨先生投诉对象恒易融涉诉金额55912元问题类型诉求类型投诉详情利息太高，爆通讯录，恐吓我，请各位领导给于相应的处理。</t>
  </si>
  <si>
    <t>2019/10/07 22:08:45</t>
  </si>
  <si>
    <t>高息借款，砍头息，借款2000块到账1400块，说是7天期限，其实只有6天期限，催收打电话爆通讯录，不只是催款，而且是辱骂！续费3天300元，但是真正的其实才是一天半！应该严厉打击！。</t>
  </si>
  <si>
    <t>2019/10/07 22:08:02</t>
  </si>
  <si>
    <t>不想多说什么，前面在聚投诉就投诉过一次了，一直都是抱着诚恳态度和你们协商在我能力范围内还款，从来没逃避，协商电话也打了n次也是无果，你们是绝对我态度太好了还是好欺负，协商那么久既然不同意我的还款计划就别再骚扰我，你们第三方催收手机既然给我发了你们所谓的合法的法律通知书，就直接走法律程序吧，我不是被你们吓大的，我等你们，如果第三方继续骚扰我，我也不是软柿子，我该维权会维权，明天互联网协会上传你们的第三方骚扰记录和你们所谓的法律通知书，再不行就报警，金融办，市长热线，法院，我就不信没人管，正规银行还那么嚣张，你</t>
  </si>
  <si>
    <t>2019/10/07 22:07:10</t>
  </si>
  <si>
    <t>投诉人 杨女士        投诉对象  小象优品        涉诉金额  8 000 元    问题类型    诉求类型投诉详情  小象优品爆我通讯录 给我亲朋好友打电话恐吓威胁 明显有黑社会组织性质极其恶劣</t>
  </si>
  <si>
    <t>2019/10/07 22:05:46</t>
  </si>
  <si>
    <t>PLUS出现无限重启问题，本人也不幸中招，初步判断是主板虚焊，供电不足，致电OPPO售后电话，告知客服这不是个例，是主板批次问题，工号8718客服却一直重复着按照三包维修，过了保修期只能付费维修，一个主板950块钱，让客服向上级反馈，客服也不管，只是回复按照三包售后，请注意这是主板批次问题，请OPPO官方人员去OPPO吧看一下大家反馈的问题，重视客户体验。</t>
  </si>
  <si>
    <t>2019/10/07 22:04:35</t>
  </si>
  <si>
    <t>本人在助借通平台申请时，他们说借到款才扣费但是我后来没有借款他们依然扣费而且还三在忙呀经过我同意的情况下直接扣乱，扣乱我198元。</t>
  </si>
  <si>
    <t>2019/10/07 22:02:50</t>
  </si>
  <si>
    <t>，收了手续费，以银行卡号不对，放款冻结，不让修改打款银行卡为理由，要缴纳保证金。</t>
  </si>
  <si>
    <t>2019/10/07 22:02:08</t>
  </si>
  <si>
    <t>不停骚扰我亲戚朋友，加威胁，逾期是我责任，请走合法程序催收。</t>
  </si>
  <si>
    <t>2019/10/07 22:02:05</t>
  </si>
  <si>
    <t>我的花呗为什么不能用，又没有欠费，请给我合理的说法。</t>
  </si>
  <si>
    <t>2019/10/07 22:01:43</t>
  </si>
  <si>
    <t>店铺在正常经营中，突然宝贝全部下架，要求认证复核，在按提示步骤审核之后一直不能审核通过，只会告诉3个原因，不是本人认证，2认证人和十几人不是一个人，3账号有安全问题，你说复核的不是我本人，怎么不是我本人了，开店时候就是这个样子认证的，复审也是这样认证，为什么现在就不行，2实际经营人和认证人不复核，这个太奇怪了，自己的店铺我也有请运营做啊，难不成所有开店的人都是自己一个人在做店铺，我用这账号在淘宝买东西付款都没事，用支付宝交话费都是好好地，从来没提示说我账号有安全问题，怎么到了这里就有安全问题，请给个合理的解</t>
  </si>
  <si>
    <t>2019/10/07 22:00:42</t>
  </si>
  <si>
    <t>今天还款日在app操作还款，因为该平台问题无法还款，同时其他平台已经把钱划扣走了，易宝支付有限公司为其提供放款及支付通道现要求壹心分期按国家法定利息与本人协商还款，要钱壹心分期协商本金还款或者制定还款计划延期还款；本人在壹心分期app借款2500元多次，共分两期，15天一期，每期还款1275元，但实际到账仅1760元，放款方壹心分期违法扣取砍头息640元，易宝支付有限公司为其提供放款及支付通道，现要求壹心分期按国家法定利息与本人协商还款。</t>
  </si>
  <si>
    <t>2019/10/07 21:56:43</t>
  </si>
  <si>
    <t>投诉人毛先生投诉对象小浦优客涉诉金额269元问题类型诉求类型投诉详情以为是贷款平台，但出线要扣费，我并没有操作下去，但是过一天就直接扣费，联系也是说注册的时候就要扣费，但注册时没有说明，到了要扣费的页面出来后我就没有操作了，但过了一天还是扣了，之前说退款，但一直没退，现在电话都一直打不通。</t>
  </si>
  <si>
    <t>2019/10/07 21:56:37</t>
  </si>
  <si>
    <t>原给信用卡中心电话，我提议因为家庭经济困难，每个月最多能协商还款1千元，并协商逾期息费减免，浦发信用卡就拒绝这种协商还款，每天电话不停，最多是从早到晚上8,9点的催收，要求全额还款，态度强硬，直接发律师函，给生活带来不良影响。</t>
  </si>
  <si>
    <t>2019/10/07 21:55:45</t>
  </si>
  <si>
    <t>省呗客服电话打不通，无法提前还款，现在没钱还，协商提前还款，只还本金。</t>
  </si>
  <si>
    <t>2019/10/07 21:51:36</t>
  </si>
  <si>
    <t>投诉人王女士投诉对象上海拍拍贷涉诉金额19575元问题类型诉求类型投诉详情本人会让警方介入调查，同时去金融办和银监会投诉，请官方给出合理解释，是不是催收公司都可以冒充公检法部门P图伪造开庭通告，然后群发通讯录，这种行为已经严重影响了我的工作和生活，如此这么猖狂的行为，我要求对方赔礼道歉，同时赔偿，否则持续投诉，拍拍贷公司，请你们的第三方委外催收公司给我赔礼道歉，不做出以上要求，本人必将捍卫法律到底。</t>
  </si>
  <si>
    <t>2019/10/07 21:51:25</t>
  </si>
  <si>
    <t>本人在oyo平台订的酒店，本来办理入住了，发现酒店的房间环境比照片上的差不少，然后要求酒店退房，酒店让我致电平台客服，客服又推给酒店，酒店最后同意退押金，平台也同意退房费，酒店的押金给我了，而平台的房费一直没给我，找了客服不下5遍，每个客服都是拖，不想解决，要求平台退款，赔偿！！。</t>
  </si>
  <si>
    <t>2019/10/07 21:51:14</t>
  </si>
  <si>
    <t>投诉人 胡东东        投诉对象  北京畅游天下网络技术        涉诉金额  300 元    问题类型    诉求类型投诉详情  变相的刷单忽悠我，我已经充了300了。却说刷完三单（京东刷单）才给我钱。这不是忽悠我更多的钱吗？</t>
  </si>
  <si>
    <t>2019/10/07 21:50:40</t>
  </si>
  <si>
    <t>投诉人 李先生        投诉对象  淘宝闲鱼        涉诉金额  0 元    问题类型    诉求类型投诉详情  自动回复开启了一个群号回复 发布也留了 我并没有说站外交易</t>
  </si>
  <si>
    <t>2019/10/07 21:50:22</t>
  </si>
  <si>
    <t>当时我就想了解一下，我说我没有钱，也有小孩，压力也很大，那老师就说他先垫着，没有想到既然是一个大陷阱，然后就稀里糊涂的跟着他办了分期，结果发现这个是一个小额贷款，如果当时我要是知道是小额贷款，死都不会同意的，那老师还一直说不贷款，是合作教育分期的，后来9月30就去找她们退款，那老师就叫去他上级说，找到他上级，他上级又要我去找班主任，然后我就跟班主任我说要退款，给我报那老师可以退款的啊，班主任就以各种理由拒绝退款，现在我要求明世教全额退款，并取消分期。</t>
  </si>
  <si>
    <t>2019/10/07 21:49:32</t>
  </si>
  <si>
    <t>前两天下载的拇指借款，没有用，但是今天告诉我说充值了什么小银卷，私自扣我银行卡里的钱，希望退还。</t>
  </si>
  <si>
    <t>2019/10/07 21:48:48</t>
  </si>
  <si>
    <t>本人在5号在安逸花平台分期购买了一个手表价值1048，但是由于商品拍错了，想退款重新拍，第一时间就打电话给了客服，让他们帮忙退货，一直不肯退货，给的答复也是让我等3到5个工作日，可是今天看了一下货物已经发出了，再次打电话给客服仍然没有实质性的答复。</t>
  </si>
  <si>
    <t>2019/10/07 21:47:27</t>
  </si>
  <si>
    <t>不考虑个人实际情况，威胁恐吓，爆打通讯录，。</t>
  </si>
  <si>
    <t>2019/10/07 21:46:23</t>
  </si>
  <si>
    <t>本人于2018年9月28日在拍拍贷借款20900拍拍贷，到处传播律师函，请协商归还本金。</t>
  </si>
  <si>
    <t>2019/10/07 21:46:17</t>
  </si>
  <si>
    <t>信用管家神马借高利贷，畅捷提供支付服务，中金支付提供代扣服务，信用管家提供引流服务，神马借，高利贷，砍头息，3000元到账2625元，一个月还款3548，7天一期，共4期，9月20号开始且不能自动还款和主动还款，造成逾期，逾期费用非常高，现电话骚扰要求还款，不可减免，恳求平台协助处理协商还款！。</t>
  </si>
  <si>
    <t>2019/10/07 21:46:05</t>
  </si>
  <si>
    <t>1.中通快运寄快递送货上门，付完款后，打电话说送不来，只能自提，2.去取件时拆开包装看了电脑屏幕，没通电看不出有问题来，回家接通电源看到屏幕碎裂。</t>
  </si>
  <si>
    <t>2019/10/07 21:44:25</t>
  </si>
  <si>
    <t>借款8000分十二个月还没第一期还3839.96。</t>
  </si>
  <si>
    <t>2019/10/07 21:42:51</t>
  </si>
  <si>
    <t>投诉人张先生投诉对象交易猫涉诉金额199元问题类型诉求类型投诉详情在交易猫出售游戏账号，强制要求同时发布闲置，自动设置了他人支付宝收款，交易猫内部和淘宝内部均无法修改收款支付宝，联系客服修改收款支付宝！不给修改也不给我人工处理这个订单！一直敷衍拖延，直到系统自动确定交易，导致所得金额199元已转入他人支付宝账号，至今交易猫未有用回复！在交易未完成之前联系五个以上客服反馈四次以上，等待96小时，无一个客服有用回复，更没有任何处理，导致所有损失现要求交易猫赔偿，若无处理不排除走司法途径！。</t>
  </si>
  <si>
    <t>2019/10/07 21:42:21</t>
  </si>
  <si>
    <t>本人在斑马会员上购买商品，未发货，也未享受到其任何服务，多次联系客服进行退款处理，客服却不理会，若再不理会本人将工商投诉，天理何在。</t>
  </si>
  <si>
    <t>2019/10/07 21:41:28</t>
  </si>
  <si>
    <t>闪银存在砍头息问题，借款成功后强制要求偿还担保服务费。</t>
  </si>
  <si>
    <t>2019/10/07 21:41:26</t>
  </si>
  <si>
    <t>本人于2019年10月7日在豹子贷平台申请贷款，但是没有经过消费者同意，私自从银行卡扣掉299元整，客服不处理。</t>
  </si>
  <si>
    <t>2019/10/07 21:40:54</t>
  </si>
  <si>
    <t>在现金巴士借款多次，加起来砍头息超过千元，此次借款1500扣除砍头息100多一个月还要还1545，逾期费100多元，实在还不上那么多了，希望协商减免。</t>
  </si>
  <si>
    <t>2019/10/07 21:40:35</t>
  </si>
  <si>
    <t>投诉人甘文钿投诉对象圆通速递涉诉金额170元问题类型诉求类型投诉详情你好圆通客服，我咋天微信下单，报卖家地址在深圳寄一个24寸电脑显示器寄来广西梧州我这里，当天由李爱华快递员接工单，他成功收件后我加李爱华快递员微信，说好他打包称重我发费用他发已付件，单号是YT2013726094348&amp;nbsp;&amp;nbsp;&amp;nbsp;但是当天晚上却报一个70元的天价，我收的24寸二手显示器货价不过100元！而货价钱已给卖家！现在下单人是我，货物所有权也是我！&amp;nbsp;&amp;nbsp;&amp;nbsp;&amp;nbsp;但是快递员却黑我</t>
  </si>
  <si>
    <t>2019/10/07 21:40:33</t>
  </si>
  <si>
    <t>投诉人卢金伟投诉对象友缘在线涉诉金额168元问题类型诉求类型投诉详情再通过皮皮搞笑看视频到时候，无意看到官方他们宣传的网站叫有缘在线网络科技股份有限公司，上面有很多要充VIP才可以聊天，然后我就看到上面零元抢购VIP，结果他叫我填支付宝免密验证，未经过我同意扣取了我99块钱和69块钱。</t>
  </si>
  <si>
    <t>2019/10/07 21:38:46</t>
  </si>
  <si>
    <t>投诉人 张先生        投诉对象  来这分期        涉诉金额  3 000 元    问题类型    诉求类型投诉详情  来这分期高利贷。贷款3000元需要4期分还。每7天一期。每期1233元 需要还4932元。现已还3期3699元。希望直接销账处理。</t>
  </si>
  <si>
    <t>2019/10/07 21:37:38</t>
  </si>
  <si>
    <t>，因家中老人不熟悉网购，快递到手未检查包装即签收，包装问题很大，里面的墙贴很多都已经被风干了，结果拆开一袋发现墙贴质量极差，本人网购十多年第一次遇到这样的，墙贴基本上都粘不住，立即联系商家，对方表示可以用糯米胶之类的粘上，，本人表示如果拆开不能用不是又浪费时间，又不能退了，，还是一样都粘不住，于是申请退剩余未使用的74片，这时对方奸商嘴脸毕露，表示用过的部分怎么还能退，要么把货留着退一半款，要么出邮费寄回剩余部分，还特意强调邮费很贵的，而且，更可恶的是，表示只有给好评后才给退款，本人立即向京东投诉：1.商品</t>
  </si>
  <si>
    <t>2019/10/07 21:37:20</t>
  </si>
  <si>
    <t>2018年5月份，我在玖富APP申请帮你还产品，借款金额12000元；分12期还；在2018年61月15日还了1345.6元；2018年7月15日还款1345.6元；现在还需要我还14875.75元；利息严重超过了国家规定；希望玖富给一个合理的解释。</t>
  </si>
  <si>
    <t>2019/10/07 21:37:12</t>
  </si>
  <si>
    <t>未经同意，在我不知道的情况下，私自扣取费用。</t>
  </si>
  <si>
    <t>2019/10/07 21:36:42</t>
  </si>
  <si>
    <t>本人在有赞下边商户多次购买月饼，在八月15的时候，商品截止现在，还没发货，本人多次与客服沟通，要求退款，客服置之不理，让我联系警方，没有天理啊，。</t>
  </si>
  <si>
    <t>2019/10/07 21:36:38</t>
  </si>
  <si>
    <t>投诉人王先生投诉对象平安普惠涉诉金额14000元问题类型诉求类型投诉详情平安普惠有笔贷款，每月5号还款，节假日期间，手机出问题，本身也因为其他原因忘记还款时间，7号下午，手机修好，开机后收到大量威胁短信！手机修好以后已第一时间处理欠款，晚上回家后，发现家人也收到平安普惠群发的短信，让大家帮我还款，虽然没有骂人，但是这样群发短信帮我借钱，已经严重损害个人名誉，要求对这种软暴力催收行为作出处罚，并赔偿个人精神损失费，已收集证据，如不做出处理，会对银监会和当地扫黑除恶办公室进行实名举报！。</t>
  </si>
  <si>
    <t>2019/10/07 21:36:09</t>
  </si>
  <si>
    <t>2019年9月12日从拍拍贷借款15000元，2019年10月7日全部还清，一共需要还款17017.25元，实际利率高达月息13.45%，超过国家规定几十倍，是严重的高利贷！对此借款，在借款协议中对提前还款没有任何涉及和约定，涉嫌欺骗！请有关部门予以处理！。</t>
  </si>
  <si>
    <t>2019/10/07 21:34:41</t>
  </si>
  <si>
    <t>本人于2017年在抖音短视频广告联系到北京博学教育有限公司，通过公司报名了北京开放大学学前教育专业，公司承诺10月会有去学考试，等到了10月又说考试临时取消，又过一段时间有人通过QQ联系到我说必须再交学费，不然开除学籍，对方还有我和其他学员的个人信息，我询问客服客服回答是公司有人泄露出去的，已经报警了，再后来我找客服问什么时候领毕业证，客服解释北京博学教育公司高层已经卷钱跑路了，我分期的学费刚还完，钱没了学籍也没有，希望可以讨个公道。</t>
  </si>
  <si>
    <t>2019/10/07 21:33:51</t>
  </si>
  <si>
    <t>坑了我两次，第一次我晚上扫的充电宝，没过一会就还不了了，然后大晚上我去哪还，第二天，天亮我就找地儿归还了，然后，联系客服，客服不给处理，第二次昨天，昨天用了之后又无法归还，然后，刚才联系客服，客服的意思都是我的原因，然后之前一次也是，然后态度强硬，各种不给处理，希望聚投诉为我申诉。</t>
  </si>
  <si>
    <t>2019/10/07 21:32:10</t>
  </si>
  <si>
    <t>支付宝不作为，不核查店铺信息直接发放店铺收款码，当被店铺收款码骗取钱财时，支付宝说没有任何店铺信息，又说钱是直接到达对方账户也无法退回。</t>
  </si>
  <si>
    <t>2019/10/07 21:31:49</t>
  </si>
  <si>
    <t>投诉人 魏先生        投诉对象  月光侠分期        涉诉金额  2 800 元    问题类型    诉求类型投诉详情  实际借款2800分三期每期要还1400 实际要还4200多 高利贷</t>
  </si>
  <si>
    <t>2019/10/07 21:30:54</t>
  </si>
  <si>
    <t>我来贷阴阳合同，借款合同写的利率和还款不一致，变相收取服务费，成高利贷，催收天天打电话，严重影响生活。</t>
  </si>
  <si>
    <t>2019/10/07 21:30:50</t>
  </si>
  <si>
    <t>本人之前需要资金的时候在拉卡拉申请一个贷款，申请贷款的时候也没有说要砍头息，下款后我看到有砍头息我不要叫退回去他们说提前还款违约金利息都要算一分不少居然还起诉我，连砍头息都可以起诉国家还有救吗而且在我不知不觉还能变失信人，我真想去弄死几个做垫背的，弄得现在婚也离了家破人亡的要不是有个四岁多的孩子我都想和他们同归的了，前后找过多次沟通直接爱达不理，而且言行有问题，我全程录音我打算到扫黑办去举报呢没见过这样子的。</t>
  </si>
  <si>
    <t>2019/10/07 21:30:18</t>
  </si>
  <si>
    <t>2019年10月7日19点50分美团外卖联系我称没法帮我派送上楼要我下去取我说了我不方便去他说他不方便不愿意上去不就是走个楼梯三楼不愿意又不是20楼然后挂我电话联系美团敷衍会安排人给我派送说8点给我派送到但是一直没有处理无果外卖都冷了我吃个什么希望尽快给我处理下什么美团骑手就这种态度?这是你们美团招募的骑手?就这种服务态度吗?，多次联系美团客服不作为不解决敷衍称23小时处理4小时处理就差这点钱吃饭你们不处理，现在9.19分已经过去1个小时多客服一直没有给答复处理，我还会继续曝光你们美团什么媒体啊包括去你们美</t>
  </si>
  <si>
    <t>2019/10/07 21:29:46</t>
  </si>
  <si>
    <t>拼多多上面所有交易已经过了四十天，已经超过了客户售后期限，拼多多平台却一直拖着保证金不退。</t>
  </si>
  <si>
    <t>2019/10/07 21:29:06</t>
  </si>
  <si>
    <t>聚福钱包恶意扣费，未经本人允许自动从银行卡扣费299元，本人也未收到支付的验证码，在本人不知情的情况下恶意扣费。</t>
  </si>
  <si>
    <t>2019/10/07 21:28:57</t>
  </si>
  <si>
    <t>在玖富万卡上填写信息，看到有6300元的额度，打算申请来周转，可是看到要申请一个存管账户，因为弄不明白就停止了继续申请，我以为这样就不会下款，可是就在一天后账户却打进来8210块钱，直接扣除什么保险1910元，又返回一个5元，在网上搜索了玖富万卡客服电话，我说没有打算继续申请这笔贷款为什么还下款，说是让我等电话，会帮我撤回，可是一直没有电话打过来，该公司存在恶意欺诈，在网上搜索了才知道有好多受害者，我申请无条件撤销这笔贷款。</t>
  </si>
  <si>
    <t>2019/10/07 21:28:36</t>
  </si>
  <si>
    <t>投诉人周先生投诉对象拼多多涉诉金额215元问题类型诉求类型投诉详情消费者收到货物，说少安装配件，什么配件都没有，最后消费者只说找到了配件还是没有螺丝包，我们的配件和螺丝包都是在一个密封袋里包装着，在这个情况下拼多多平台不是要求对方提供相应凭证，而是直接同意消费者退款，但是消费者也有义务根据提出的退款理由提供相应的凭证对不对，难道客户说收到空包裹不提供货物重量你们也同意退款吗，明显平台小二处理有失公平公正，不符合部分社会主义价值观，最主要现在就是仅凭客户一张嘴巴和一个图片就判定客户少配件而不要求客户提供快件重</t>
  </si>
  <si>
    <t>2019/10/07 21:26:42</t>
  </si>
  <si>
    <t>现在已经还款33期，33×580.75=19164.75元，按国家规定的年利率24%，等额本息还款总需要还款：14123.83元，按年利率36%等额本息算总需还款：16489.37元！我现在已经还了33期，19164.75！超出规定24%和36%分别是5040.92，3000元！这已经超出国家规定了。</t>
  </si>
  <si>
    <t>2019/10/07 21:25:13</t>
  </si>
  <si>
    <t>报考的时候联系我的老师也是说今年不报明年就改政策了，到时候学习的时间会变的更长，更难考，本科的课我也看过但是那时候是有老师电话联系说有入学仪式，我进去一看是本科的入学仪式，我就看了一会退出去看了录播教学课程，本科课程应该总共看了2多小时左右吧，我就去学初中的知识，但是他们他专科数学培训我完全看不懂，我都重新去B站重学初中的数学，昨天和本科班主任联系她说今天电话通知我，但是并没有联系我还是我发消息给她，她才和我说被驳回了，也没说具体什么原因，我现在就想退本科的钱，毕竟我大专都没有，本科的钱怎么就退不了呢，好难</t>
  </si>
  <si>
    <t>2019/10/07 21:24:08</t>
  </si>
  <si>
    <t>打电话骚扰父母，恐吓，威胁要上门通知单位局委会所有人，损害各人名誉。</t>
  </si>
  <si>
    <t>2019/10/07 21:22:07</t>
  </si>
  <si>
    <t>拇指下款未经我同意私自扣我银行卡里的钱，希望能做出赔偿。</t>
  </si>
  <si>
    <t>2019/10/07 21:20:17</t>
  </si>
  <si>
    <t>投诉人 曾先生        投诉对象  钱站        涉诉金额  2 000 元    问题类型    诉求类型投诉详情  钱站阴阳合同 借2000合同写2600 而且一起要还3000多 暴力催收 不合国家信贷利率 而且下款之前说不能取消</t>
  </si>
  <si>
    <t>2019/10/07 21:19:53</t>
  </si>
  <si>
    <t>我2019年9月30日下午2点多到店，北京的9月30日-10月1日很多餐饮机构都关门了，我早饭也没吃，午饭也没吃，他们说他们楼下的餐饮没关让我过去吃，可是那里的餐饮也关门了，我到了门店他们把我引到一间很小没有窗户的房间，进来一个红娘老师，他叫吴敖日格乐，他说他当过警察，懂犯罪心理学，能看透人心，他说了很多，我依然犹豫，他说66800可以让我领到结婚证，领证以后还能退50%，我说太贵，他又给我推荐了36800的，说保证可以订婚，说这个二维码是可以检测个人诚信的，如果我的征信程度不够，肯定扫不过，扫了二维码就出</t>
  </si>
  <si>
    <t>2019/10/07 21:19:37</t>
  </si>
  <si>
    <t>半个月前借了金钱贷，这几天想结清发现手续费要6000多，天啊，十几天要6000多变相利息啊。</t>
  </si>
  <si>
    <t>2019/10/07 21:19:33</t>
  </si>
  <si>
    <t>买家已打款，确认收货后转转直接冻结我账号，货款也没给我。</t>
  </si>
  <si>
    <t>2019/10/07 21:18:51</t>
  </si>
  <si>
    <t>在网上看到升学教育本想看看结果加了微信后他们说怎么好怎么好结果还要了我的联系电话经常打电话给我后来我说自己钱不够他们又各种理由说减免这个减免那个不知道自己当时受了诱惑报名了个分期后来报名后才知道没有他们说的那么容易我是报名专本连读学费分期现在还没有交清结果我想申请退款当时报名没几天，本来可以退的他们那么老师说给我反馈一下要等几天结果几天过去了我打电话过去问他们给我答复说处理老师不在又过了几天老师在了又给我答复说报名时间过了那么多天了退不了，不但专科的不能退就连本科还没有开始学的都不能退。</t>
  </si>
  <si>
    <t>2019/10/07 21:17:57</t>
  </si>
  <si>
    <t>工地工资9000多元放在微信零钱无法提现，无法使用，客服不解决，客服电话打不通，不给提现通道，希望尽快解决，那是我父亲半年的工地工资，微信有什么权利私自冻结他人财产，是一个将近五十的工地工人，现在我父亲为了这九千现在四天没吃饭了，他微信都玩不明白，啥都不懂，填写申诉也没有申诉入口，就只是提示被永久冻结。</t>
  </si>
  <si>
    <t>2019/10/07 21:17:42</t>
  </si>
  <si>
    <t>拼多多商户给我发短信说店铺有优惠，然后说充值可以返利，我冲了1万多，联系不上人了，，，本人多次联系拼多多，拼多多总是说专员会联系，希望能够尽快处理，真的很着急订单编号190925-1*************8订单编号190925-6*************1订单编号190925-6*************8订单编号190925-0*************6订单编号190925-3*************2订单编号190925-5*************1订单编号190925-3*********</t>
  </si>
  <si>
    <t>2019/10/07 21:16:19</t>
  </si>
  <si>
    <t>本人在给你花app上申请了起来嗨平台的一笔贷款，该平台存在严重砍头息，高于国家规定利率，阴阳合同等行为，借款到账1875元不到一个月内要求归还2600元，并且目前该平台使用暴力催收手段对我及我的家人进行骚扰。</t>
  </si>
  <si>
    <t>2019/10/07 21:14:06</t>
  </si>
  <si>
    <t>app已经打不开了试过多次的一直都是打不开。</t>
  </si>
  <si>
    <t>2019/10/07 21:13:36</t>
  </si>
  <si>
    <t>我在一个月前，修改了注册地，滴滴平台没有任何提示一下子把我的服务分90降到了50分，50分的服务分根本接不到多少派单，现在我想改回原来的注册地，滴滴平台老是不处理，希望改回来的服务分还是90左右，我在慢慢提高服务分。</t>
  </si>
  <si>
    <t>2019/10/07 21:11:19</t>
  </si>
  <si>
    <t>买了3个卫衣可能因为国庆节，忙，都是好几天不发货，我等着穿，就退货了。</t>
  </si>
  <si>
    <t>2019/10/07 21:11:15</t>
  </si>
  <si>
    <t>还款日要求必须中午12点处理，协商过程要求下午1点半必须处理，直接挂电话，最后的人员，口出恶语，什么老赖啥的，都说了，还说要按照通讯录一个一个打，还款日并未到晚上12点，应该不算什么逾期，却要求必须中午还，不知道什么道理，国家这么三令五申，反对暴力催收，左右钱包为啥态度这么恶劣，对利用非法吸收公众存款、变相吸收公众存款等非法集资资金发放民间贷款，以故意伤害、非法拘禁、侮辱、恐吓、威胁、骚扰等非法手段催收民间贷款，以及套取银行业金融机构信贷资金，再高利转贷等违反治安管理规定的行为或涉嫌犯罪的行为，公安机关应依</t>
  </si>
  <si>
    <t>2019/10/07 21:10:29</t>
  </si>
  <si>
    <t>本人于8月份初确切时间为8月2日开始在美团外卖平台兼职，于是就这样被平台以微笑行动检测未完成处罚了500元，也不知道外卖平台的崛起应该受哪个部门的监管，也希望美团平台能给出合理的解释和解决方案.。</t>
  </si>
  <si>
    <t>2019/10/07 21:10:02</t>
  </si>
  <si>
    <t>一直联系客服联系不上，电话也打不通，没有退款渠道，只能联系他们，但是他们一直沟通不上。</t>
  </si>
  <si>
    <t>2019/10/07 21:09:58</t>
  </si>
  <si>
    <t>付临门POS业务员忽悠我办理POS机，多次询问是否免费有什么费用，业务员说完全免费，然后说新机激活试刷机，刷的金额会实时到账，在不知情的情况下刷了298元，强烈要求马上退还298元和道歉！业务员误导我办POS机完全免费无任何费用，我追问了三遍，他都很明确的说无任何费用，结果我办理的时候他说激活需首刷298元，这个费用会即时返还。</t>
  </si>
  <si>
    <t>2019/10/07 21:09:55</t>
  </si>
  <si>
    <t>其中一款大唐无双手游安卓和ios官方互通服，安卓端有多种充值折扣端4.3折，5.3折，还有各种礼包，而作为ios端玩家就必须实打实的充值更加没有礼包，我玩了两个号小号养大号，大号花元宝做的上品可交易五行纹私有财产卖给自己小号犯什么法，游戏里倒扣金币36W，还要缴纳保证金7400元宝相当于740RMB，国家给你们这样的权利设立霸王条款吗，另一款游戏我2016年就玩了《突击英雄》完了一年多500一把的弹弓，500一把的变形狙击枪，游戏最后居然不更新没有任何官方消息就等折玩家流失，网络财产是有法律保护的！要么撤销</t>
  </si>
  <si>
    <t>2019/10/07 21:09:46</t>
  </si>
  <si>
    <t>本人在小赢卡贷上贷款三万元分12期偿还，现在已还五期，每期还款额为3311.93元，其中还有第一期多收了1056元，总共应还款为40799.16元，请丽丽水平已超过国家规定最高水平，属于高利贷。</t>
  </si>
  <si>
    <t>2019/10/07 21:06:00</t>
  </si>
  <si>
    <t>严重骚扰到我朋友家人，同事，我答应了会处理，但是接二连三的爆我通讯录，还谎称紧急联系人，情况严重，望尽快处理，尽快停止骚扰！。</t>
  </si>
  <si>
    <t>2019/10/07 21:05:31</t>
  </si>
  <si>
    <t>乐客独角兽利用抖音夸大宣传，他们的平台创业项目怎么怎么好，怎么轻轻松松月入一两万，但是前提需要支付9800的费用，成为他们的会员之后又开始各种不负责，而且里面的项目真的是烂大街的东西，完全做不起来，而且还有很多人跟我一样，被这个公司割了韭菜，这种公司现象真的很恶劣，应该得到惩罚，并且退还9800。</t>
  </si>
  <si>
    <t>2019/10/07 21:05:02</t>
  </si>
  <si>
    <t>因本人经经济出现状况，导致无法及时还款，家人老人家没有工作，无法提供资金，我有联系平安银行信用卡，协商是否能分期按月归还，对方不给时间，威胁寄送律师信，爆家里通讯录，且委托第三方利用晚上休息时间拨打家人电话及我的电话，用威胁的口语威胁我及其家人，恐吓我家里的老人家致其疾病发作，住院，对其我要求平安银行做出解释及道歉。</t>
  </si>
  <si>
    <t>2019/10/07 21:04:24</t>
  </si>
  <si>
    <t>投诉人陈佳楠投诉对象钱站,爱钱进涉诉金额8000元问题类型诉求类型投诉详情8月29日我在钱站app借款8000元，实际到账8000元，但是合同里显示借款本金15360元，每期还款2682元，需要还款6期，我现在需要解释为什么借款8000，合同显示15360，是否存在阴阳合同，砍头息，我现在需要钱站调整为国家合法利率、并且对我停止暴力催收。</t>
  </si>
  <si>
    <t>2019/10/07 21:04:23</t>
  </si>
  <si>
    <t>为不法平台提供非法支付，本人现在要求退款尽快回复处理。</t>
  </si>
  <si>
    <t>2019/10/07 21:04:08</t>
  </si>
  <si>
    <t>申请发现借款前要付什么报告费296元，我就没再申请了，而且也没进入下一界面，app也被卸载了，今天就从我认证时绑定的银行卡扣除了296元，现在要求退款。</t>
  </si>
  <si>
    <t>2019/10/07 21:03:58</t>
  </si>
  <si>
    <t>我因为暂时没有还款能力，360借条平台发了逾期，并没有恶意逃避，一直都坚持挣了钱必定归还，能接到的电话都会接听，但是，该平台不断暴力催收，而且电话根本不听解释，一直对我吼叫，态度很恶劣，其中自称工号051的催收员对本人家庭教养，朋友圈，生活做出变相侮辱，并扬言威胁让我体验一下他们大平台的催收是什么样，让我做村里的“红人”，还有催收威胁本人务必回到老家，让我准备好身份证，照片，及银行流水，接受他们及村委的上门调查，几天来电话不断，也严重影响本人的工作及生活，造成本人极大的精神负担。</t>
  </si>
  <si>
    <t>投诉人丁女士投诉对象上海跃吉网络科技涉诉金额50元问题类型诉求类型投诉详情拇指下款套路客户注册信息，不提供服务，私自扣取账户资金。</t>
  </si>
  <si>
    <t>2019/10/07 21:03:36</t>
  </si>
  <si>
    <t>共需要还22071.96元第二笔17900元。</t>
  </si>
  <si>
    <t>2019/10/07 21:02:18</t>
  </si>
  <si>
    <t>正常申请贷款，点击后自动放款了，在玖富万卡借了40000多元，等放完款后显示欠款6万多了，自己看了下里面有保险费快两万元，这是在变向收取高额利息，已还15100，想要提前结清的话也必须得把保险费用都还上要还四万多，用阴阳合同，高额分期费用代替利息欺骗贷款人，最近想一次性结清，利息远超国家法律规定贷款利率，希望尽快处理。</t>
  </si>
  <si>
    <t>2019/10/07 21:02:08</t>
  </si>
  <si>
    <t>“零花钱平台”上海全旗金融信息服务有限公司.，，7910，本人10月7日通过其他平台推荐下载这个零花钱APP，利用填写申请必须绑定银行卡第三方扣款协议，利用申请必须勾选的虚假199元，从本人绑定银行卡私自扣取199元人民币所谓的VIP信用报告费，收到扣款信息后本人马上要求马上来钱平台退款，电话不接，客服不回！！我不知道他们利用这种坑蒙拐，坑取了多少受害人的钱财，我决定一定要投诉举报，希望有关部门能严格调查这种公司的行为，保障公民的合法权益不受马上来钱这种垃圾公司的侵犯，让更多的人知道马上来钱APP丑陋又无耻</t>
  </si>
  <si>
    <t>2019/10/07 21:00:15</t>
  </si>
  <si>
    <t>公司发的电影票通兑劵，沈阳上班，发的当天绑定到了自己的猫眼帐号，然后国庆放假回了老家，在老家购买电影票使用通兑劵时提示不符合规则，询问客服说因为异地没有办法，所有我就等回沈阳上班再买，结果今天一看还是同样的问题，不符合规则，询问客服，客服给的处理意见，说我不符合参加规则，我问规则是什么，告诉我说公司机密，那就是我得认倒霉了，这就是大平台大公司处理问题的态度，难道只有原价购买让你们赚钱才算符合规则，严重谴责这种霸王行径，希望给一个满意的答复！。</t>
  </si>
  <si>
    <t>2019/10/07 21:00:07</t>
  </si>
  <si>
    <t>在应急袋借款2500元，服务费高达1059，借款期限7天，还款当天客服暴力催收并爆通讯录，使我生活严重受到影响！已在还款当天全额还本金并协商还服务费100元停止骚扰，但后续还在打我电话叫我补还1059的服务费，不还就再次爆通讯录恐吓我，希望聚投诉帮忙，按当时协商的停止他们对我的骚扰，并销账。</t>
  </si>
  <si>
    <t>2019/10/07 20:58:31</t>
  </si>
  <si>
    <t>本人在钱站借款借款33000元砍头息收了我7524元，催收人员叫我把当期逾期处理掉就给我申请特惠结清。</t>
  </si>
  <si>
    <t>2019/10/07 20:58:23</t>
  </si>
  <si>
    <t>今天手误购买了甩手网工具箱的抓取商品半年服务，联系电话客服客服说立即可以退款，我想着也同意了就等了，结果过了很久了，再打过去问，电话也没人接，QQ还一直敷衍我！敷衍我！逃避退款！用自动回复骗取我的信任！求加急解决处理！谢谢。</t>
  </si>
  <si>
    <t>2019/10/07 20:57:14</t>
  </si>
  <si>
    <t>10月17日，我在南京车置宝平台充值两千元保证金，想通过该平台竞拍购买二手车，差不多一年时间在该平台竞拍成交共计六台二手车，2019年10月5日在该平台上海市嘉定区曹安公路2368号门店，通过竞拍获取一台湖北省十堰籍的现代IX25的小型越野车的购买权，2019年10月7日下午13点58分，该平台客服微信告知车主愿意以我中标价格8万2千5百元的价格出售给我，车辆状态已约成交，让我转账车辆全款➕代办费➕过户保证金共计8万4千6百元至南京车置宝账户，14点30分左右，我正准备转账发现该车有贷款尚未还清，我立马联系</t>
  </si>
  <si>
    <t>2019/10/07 20:57:09</t>
  </si>
  <si>
    <t>涉嫌虚假宣传，诱导消费者充值，并无返现，希望有关部门能管制监督这种诱导消费行为。</t>
  </si>
  <si>
    <t>2019/10/07 20:56:47</t>
  </si>
  <si>
    <t>投诉人宋先生投诉对象拍拍贷涉诉金额5900元问题类型诉求类型投诉详情群发短信至通讯录所有人，有损个人名誉，对我的生活造成了影响。</t>
  </si>
  <si>
    <t>2019/10/07 20:55:59</t>
  </si>
  <si>
    <t>有两笔贷款，第一笔16100元，分12期偿还，以还5期，后来通过计算发现，总共应还21895.32元，利息高达60.5%，第二笔借款4300元，分六期偿还，已还两期总共应还5073.6元，利息也非常的高。</t>
  </si>
  <si>
    <t>2019/10/07 20:55:57</t>
  </si>
  <si>
    <t>威力贷,喵下贷,肥猫贷,金鸡下蛋,来花花,展鸿科技,佑佑分期，2.唯一还款通道是支付宝，收款方为聚合支付，本人通过短信链接，下载了威力贷，喵下贷，肥猫贷，借款1400元，实际到账也是1400元，借时并无任何提示，结果却要在6天后归还2000元，无客服电话联系，通过APP的在线客服联系，拒协商，拒提供电话，1.威力贷是通过汇潮支付这个支付通道放款，经过核查，汇潮支付作为合作平台，有其来花花的主体公司和联系电话，但拒提供，继续参与违法行为，本人愿意归还本金和合法利息，希望通过平台解决问题。</t>
  </si>
  <si>
    <t>2019/10/07 20:54:41</t>
  </si>
  <si>
    <t>美团借款催收人员违规催收，严重影响我的生活，资金紧张，希望催收人员不要发这些东西来恐吓我以及我的家人朋友，。</t>
  </si>
  <si>
    <t>2019/10/07 20:53:46</t>
  </si>
  <si>
    <t>在拍拍贷借款因为家里变故突发重病导致还款逾期，拍拍贷电话骚扰和发各种文字骚扰通讯录里亲戚朋友。</t>
  </si>
  <si>
    <t>2019/10/07 20:53:43</t>
  </si>
  <si>
    <t>投诉人曹祥投诉对象光大银行涉诉金额1188元问题类型诉求类型投诉详情光大银行信用卡不通过本人同意收费1188元，本人不知情的情况下扣取1188元。</t>
  </si>
  <si>
    <t>2019/10/07 20:52:54</t>
  </si>
  <si>
    <t>投诉人李先生投诉对象淘宝网涉诉金额196元问题类型诉求类型投诉详情我与2019年9月28日在淘宝网购买200元面值京东E卡一张，卖家与10：:50分选择发货，我当时有事就没急着绑定，当我在12点绑定时提示卡密已被绑定，我向卖家申请换卡，卖家不予理睬，让我找淘宝小二，我想淘宝网申请售后维权，淘宝网判决卖家胜出，为最终解决方案，淘宝要求我提供京东盖章的证明，证明卡密被卖家使用了，这可能么，我已多次联系京东，京东无法给我出具盖章证明，只能查询到卡密的使用时间是10:51分，并且无法给句邮件和文字说明，只能电话中回</t>
  </si>
  <si>
    <t>2019/10/07 20:52:09</t>
  </si>
  <si>
    <t>之前在小赢卡贷上面申请代还信用卡，没有通过，额度15000稀里糊涂就借了，没有注意看贷款内容，我之前也投诉过，今天是我还款的第十期，我今天算了下我已经还了快17000，余下二期还有3300多，由于国庆节送礼比较多，确实也没有钱还，想和他们协商延迟二天，垃圾小赢客服不同意，说叫我明天和催收部门同事协商，我就问是不是逾期一天就上征信?他不敢正面回答，叫我明天问催收同事，我也不是不还，在我最难得时候小赢帮我我记得，但是一点协商余地都没有，这是逼我不还余下二期的节奏，一定人情味都没有，我要是不想还会打你们电话协商吗</t>
  </si>
  <si>
    <t>2019/10/07 20:50:16</t>
  </si>
  <si>
    <t>投诉人王先生投诉对象人人易借涉诉金额100000元问题类型诉求类型投诉详情家里父亲生病了&amp;nbsp;&amp;nbsp;&amp;nbsp;人人易借不给退款被骗了。</t>
  </si>
  <si>
    <t>2019/10/07 20:49:26</t>
  </si>
  <si>
    <t>到账2300，一个月要还2938，远超国家规定综合费率36%，连连支付为高利贷提供支付通道，百行征信为其护航。</t>
  </si>
  <si>
    <t>2019/10/07 20:48:21</t>
  </si>
  <si>
    <t>半夜扣款，敷衍骑手，做了错事还不承认，还说是有解释过了，难道解释了就不用赔偿损失吗。</t>
  </si>
  <si>
    <t>2019/10/07 20:47:28</t>
  </si>
  <si>
    <t>恶意骚扰，威胁骚扰本人家人朋友，并且威胁发送本人照片。</t>
  </si>
  <si>
    <t>2019/10/07 20:44:11</t>
  </si>
  <si>
    <t>投诉人 冬东        投诉对象  同程金服,同程旅游        涉诉金额  1 500 元    问题类型    诉求类型投诉详情  高利贷强制借款，，，，，，，。。。。。。。。。。。。。。。。。。。</t>
  </si>
  <si>
    <t>2019/10/07 20:43:54</t>
  </si>
  <si>
    <t>到手3000，还要按3500算利息，三期要还4220，高利贷行为，这种高利贷公司都能上征信，这样征信也就没有什么威严，何必在乎这征信，只要APP一直显示有砍头息白条，我就一天不还本息，我联系人也就两个，要是暴力催款，我一毛不还。</t>
  </si>
  <si>
    <t>2019/10/07 20:43:39</t>
  </si>
  <si>
    <t>我于2019年9月17号，在江门市新会区万达广场租了一辆车。</t>
  </si>
  <si>
    <t>2019/10/07 20:43:31</t>
  </si>
  <si>
    <t>8岁小孩玩游戏充值1700元！大人全然不知，后来发现请求退款。</t>
  </si>
  <si>
    <t>2019/10/07 20:42:56</t>
  </si>
  <si>
    <t>本人于2019年9月3号，在好分期APP软件上贷款7800元，分期12个月，现在已还一期，现在发现共需要还款10590元，利率已经超过国家规定的最高水平，达到了60%已经属于高利贷。</t>
  </si>
  <si>
    <t>2019/10/07 20:42:39</t>
  </si>
  <si>
    <t>读秒钱包借款45000元，到账42297，分了12期，每期还款6081元，年利率高达55%，我还了6期后对其提出异议，打电话给客服其态度恶劣，投诉以后也不给答复，其做法已经严重违法违规，肆意扰乱金融秩序，每月收取服务费，咨询费，这个平台砍头息，高利贷，逾期高额罚息都占全了！要求调整利率！结清贷款！。</t>
  </si>
  <si>
    <t>2019/10/07 20:42:22</t>
  </si>
  <si>
    <t>我前段时间因为失业，导致资金周转不开，没有及时还款，对此表示歉意，贵方多次催款，我都及时作出回应，并努力赚钱，希望尽快解除双方债务关系，就在今天2019年10月7日晚15:13分，对方上海的电话号打过来，态度恶劣，言语中具有侮辱性，仇恨言论，并对我脏话谩骂，暴力催收，我已经在努力还了，那么多利息，我不可能不还钱，但是这个利息越来越多，我薪水又低，这些作为当事人的我并没有说什么，但是对方这个电话让我对贵方的公司，表示深深的失望及谴责，我希望平台能帮我解决这个问题，谢谢官方，对方的言语实在是闻者伤心，见者落泪，</t>
  </si>
  <si>
    <t>2019/10/07 20:41:25</t>
  </si>
  <si>
    <t>投诉人洪先生投诉对象马上消费金融,阳光保险集团涉诉金额1500元问题类型诉求类型投诉详情马上金融恶意加保，利息高过高利贷，请有关部门严查。</t>
  </si>
  <si>
    <t>2019/10/07 20:40:47</t>
  </si>
  <si>
    <t>，热线让我在APP上反馈，但是反馈完一直没回消息，以为默认同意，过了几天仍显示未还，我随即将剩余的钱还清，现在对方还没有给我销还款记录，一直显示逾期！。</t>
  </si>
  <si>
    <t>2019/10/07 20:40:46</t>
  </si>
  <si>
    <t>我是在10月5日在小浦优客app上申请借款的，按步骤填写资料，然后最后要求绑定银行卡，绑定完成后就开始申批，到10月7日通过两次短信扣除个人服务报告费用共计592元，正规借款在没有完全下款之前是没有前期费用的，此事己涉嫌违规欺诈，现要求退还全部金额共计592元整，因为不知道会有这种情况发生，申清过程当中并没有截图，并且它只是个中介，扣取费用是否合法合规，现我己向当地派出所报案。</t>
  </si>
  <si>
    <t>2019/10/07 20:39:29</t>
  </si>
  <si>
    <t>催收员工号：0100，以及之前的客服，态度极差，一开口就威胁恐吓，不还款就联系亲朋好友，在中国这个社会主义国家，在一个全国性质的商业银行，在央视315晚会过后，居然还敢存在这种威胁恐吓的现象，完全视中国法律法规于无物，难道一个中信银行，已经凌驾于国家之上了吗，不然怎还会有714高炮，高利贷一样龌龊的手段，要求派遣专业人员，有素质的人员回电协商，并道歉。</t>
  </si>
  <si>
    <t>2019/10/07 20:38:05</t>
  </si>
  <si>
    <t>元宝宝借款3000元，分四期还款4096元，已涉嫌高利贷，还款日前总有神马借电话多次骚扰催收，账目与元宝宝一致！现已归还三期3072元，要求再还元宝宝合理年化销账，并要求神马借停止骚扰。</t>
  </si>
  <si>
    <t>2019/10/07 20:37:26</t>
  </si>
  <si>
    <t>松紧贷暴力催收，恐吓我，公开我通讯录，影响我及家人正常生活，收取高额手续费，诱导我们删除证据，情节严重，要求下架，。</t>
  </si>
  <si>
    <t>2019/10/07 20:36:16</t>
  </si>
  <si>
    <t>本人在10月4号16:45买商品支付60元，商家未收到短信，认为我未付款，于是我在16:51又支付了一笔60元，在此后的几天都未收到短信，商家未退还，希望二维码提供商能冻结16:45分那笔60元，退还给我。</t>
  </si>
  <si>
    <t>2019/10/07 20:35:53</t>
  </si>
  <si>
    <t>深圳兴业银行客服欺诈隐瞒我本人，在申请办卡前期对方告知我申请白金卡额度不跟旧卡额度共享，每年卡年费回900，年积分消费达到15万可退卡费，可是卡下发时激活时白金卡却和我旧卡额度共享，况且额度就是我旧卡额度，但是我却要承担两张卡年费，我严重怀疑兴业兴业银行信用卡为了增加持卡数量，而采取诱导方式欺骗他人开卡，我对现在持有这张卡年费不认可！也希望平台能帮助我解决问题。</t>
  </si>
  <si>
    <t>2019/10/07 20:35:21</t>
  </si>
  <si>
    <t>投诉人 奉柳军        投诉对象  平安催        涉诉金额  3 000 元    问题类型    诉求类型投诉详情  暴力催收侮辱。还骚扰联系人！甚至爆我通讯录。</t>
  </si>
  <si>
    <t>2019/10/07 20:34:26</t>
  </si>
  <si>
    <t>本人在，2019年6月14日通过时光分期手机APP借款8000元，现在已还三期，现在发现利息高达60%。</t>
  </si>
  <si>
    <t>2019/10/07 20:34:25</t>
  </si>
  <si>
    <t>本人下载了小浦优客，一看要付费，立马卸载，谁知该平台未经同意，连一条短信验证都没有，居然能扣我卡里296元，强烈要求退回。</t>
  </si>
  <si>
    <t>2019/10/07 20:33:31</t>
  </si>
  <si>
    <t>分两次借一次8000，一次6000共14000，但合同上既然写的借款金额有改动，变成了一次7920，一次16560。</t>
  </si>
  <si>
    <t>2019/10/07 20:32:28</t>
  </si>
  <si>
    <t>W2019071509493411011343243此订单因为鲜花质量问题已经在国庆节前和客服投诉并达成一致，升级一次鲜花的等级，但今日我提前善意提醒客服别忘了此事，他们果然说忘了，原订单已经发货不予升级，只是多赠送一份同等级，没办法按照之前达成的要求派送，这个我不能接受，交涉几番后，客服已经不予理睬！。</t>
  </si>
  <si>
    <t>2019/10/07 20:31:59</t>
  </si>
  <si>
    <t>本人4月23号在丽人汇公司通过威阳普惠平台申请3万圆的借款，，其公司人员用pos机刷了9300,说是利息的钱，，我本人每月还7000块左右我分了6期还款，，上个月逾期了几天后发现平台没有欠款，后来线下人员通知我，说丽人汇公司已经帮我还进去了，让我线下给他们转账，，逾期一天金额393，我不放心线下，所以他们说我逾期到现在，逾期金额已经达四五千，请贵平台帮我协商下。</t>
  </si>
  <si>
    <t>2019/10/07 20:31:20</t>
  </si>
  <si>
    <t>被人误导通过tn***9@163.com支付宝账号，充值后可以赚钱，充值了前后20万多，要求追回充值的20万，请核实帮忙解决！。</t>
  </si>
  <si>
    <t>2019/10/07 20:30:36</t>
  </si>
  <si>
    <t>投诉人 刘先生        投诉对象  飞猪        涉诉金额  60 元    问题类型    诉求类型投诉详情  在不知情的情况下扣加速费，非法扣钱退还钱。</t>
  </si>
  <si>
    <t>2019/10/07 20:28:41</t>
  </si>
  <si>
    <t>本人于2017年刚毕业，因为种种原因，找工作不顺利，在融360上面的现金借款借了1000元，到期时，因为国家严打高利贷，工资没发，所以造成逾期，后来因为催收非法联系本人老板及上班同事，造成本人在工作德地方待不下去而失业，本人也没有说什么，还是希望和对方协商，但对方依然我行我素，不管本人已经被丢失工作，所以本人在他上传了芝麻信用后已经没有理他，现在本人工作稳定后，想要偿还这笔贷款时，去芝麻分申请负面异议，本着希望能够来人来谈相关利息的处理，哪知道该平台收到芝麻信用的异议处理首先不是来找我谈处理相关的欠款偿还，</t>
  </si>
  <si>
    <t>2019/10/07 20:26:06</t>
  </si>
  <si>
    <t>投诉人 赵慎德        投诉对象  淘宝网        涉诉金额  235 元    问题类型    诉求类型投诉详情  店铺 图片写的2年质保 ， 到我这就1年质保 ， 这是虚假宣传还是，淘宝故意让天猫 虚假宣传！</t>
  </si>
  <si>
    <t>2019/10/07 20:24:19</t>
  </si>
  <si>
    <t>钱站消费贷，现实中的高利贷，利息超过国家规定6倍年利率160％日利率0.44％。</t>
  </si>
  <si>
    <t>2019/10/07 20:24:06</t>
  </si>
  <si>
    <t>因个人生意急需周转，于10月3号在钱站申请的下款，可是看到他们巨额的违法砍头息，申请37200，下款只有27000，每个月应还3400，，这个利息已经严重违反国家规定，并且现在还在打黑时期，本人也曾想不申请，奈何急需周转，可是至申请日起，到现在已经4天，还没有下款，本人申请取消申请，该平台以不可取消为由，拒绝本人诉求！难道要一直拖着吗。</t>
  </si>
  <si>
    <t>2019/10/07 20:22:28</t>
  </si>
  <si>
    <t>10月三号在拼多多买个花盆，10月6日到达城市，没送，7号没送，故此今天申请退款，商家不给退，说货已经到了，要退我承担运费，不然不给退，说是拼多多规定，有截图，货到没到我不知道，我只知道我没收到货，我有权利退款，你们商家的损失你可以去找快递，和我没关系，商家把所有过错推到消费者身上，还让消费者承担运费，打拼多多客服，客服表示无法立即处理此事，必须得等48小时，商家拒绝退款才能处理，因为对拼多多很失望，我要求退换我开通会员花的22元钱，客服表示我花了一个五元券，无法退款，我的诉求是，1，退还我花盆钱，9.9元</t>
  </si>
  <si>
    <t>2019/10/07 20:21:50</t>
  </si>
  <si>
    <t>我是19.33开始尝试还充电宝，19.36开始联系在线客服，只用了不到30分钟，然后电话联系客服说打晚了现在要3元，我不愿意吃这个亏，我需要维权。</t>
  </si>
  <si>
    <t>2019/10/07 20:20:17</t>
  </si>
  <si>
    <t>催收人员目无王法知法犯法，在联系得上我的情况下暴力骚扰我家人朋友，对我及我亲属短信轰炸，已经触犯法律！必须严惩不贷，对黑社会，我一定死磕到底，决不妥协，将通过中国互联网金融信息等平台和媒体进行曝光！。</t>
  </si>
  <si>
    <t>2019/10/07 20:19:49</t>
  </si>
  <si>
    <t>联通手机号，给移动手机所有的号码，发不出去信息，联通公司已经给移动公司发邮件，对方不给任何解释，联通工作人员说，这样的情况有很多，给移动公司发邮件也没人理会，也是石沉大海，依然得不到解决，无处维权。</t>
  </si>
  <si>
    <t>2019/10/07 20:19:41</t>
  </si>
  <si>
    <t>于今年5月22号在恒易贷APP申请了一笔18000元的贷款，但是合同金额是20571元，存在阴阳合同，相关的职责部门可以不闻不问任其目无王法，凌驾于法律之上吗，分期12期，每期1985.64元，全部还完需23000多元，5000多的利息还有其他不明的费用，高于超出国家规定的年化利率，真正的高利贷，逾期一天，100元的逾期费用，这也是国家规定允许的吗，在国家重拳打击高利贷之下，这样的一个平台居然还可以堂而皇之的出现在市面之上，难道是存在保护伞吗。</t>
  </si>
  <si>
    <t>2019/10/07 20:18:04</t>
  </si>
  <si>
    <t>9月29日晚，饭店吃饭，因没电，随手在柜台借了个充电宝，吃完放回充电宝，拔了一下，锁死了，认为归还成功，今天查看支付宝账单，已扣款20元，奇怪了扣款时手机未有任何提示，我靠，很不安，虽然小钱，但很不安，无比恐惧。</t>
  </si>
  <si>
    <t>2019/10/07 20:15:39</t>
  </si>
  <si>
    <t>在10月7日中午14:10左右，受人引导提供了个人信息与动态密码，并开通了相关“快捷支付”，最终导致账户中500元人民币被支付于城信平台。</t>
  </si>
  <si>
    <t>2019/10/07 20:13:57</t>
  </si>
  <si>
    <t>去年因本人家里急用钱在平安普惠i贷借款3万元，每月4号还款共20期，时至今日已还款18期，偿还本金3万利息1万，还剩最后两期尚未还完，他们公司的贷款利率实在是太高，日利率0.098折合年利3分6厘，远远超出国家规定的小贷公司不得超过年利2分4厘的规定，期间多次打电话询问总部客服，都没有问出个所以然每次都忽悠，而且中途催收多次骚扰亲友，多次轮番威胁恐吓本人，我知道这家公司后台很硬，根据聚投诉很多受害者反馈几乎不起作用，一句话也说不完，问题由来已久冰冻三尺非一日之寒，后面将继续补充投诉。</t>
  </si>
  <si>
    <t>2019/10/07 20:12:49</t>
  </si>
  <si>
    <t>只希望能减少服务费，还我砍头息！还我个说法！。</t>
  </si>
  <si>
    <t>2019/10/07 20:12:17</t>
  </si>
  <si>
    <t>本人被诱导进入一投资黑网站进行充值，导致无法出金并发现该平台可能是非法平台，该平台明面上是投资彩票类网站，实际上通过，后与中国人民银行沟通得知任何第三方支付公司不得向证券、期货、博彩等机构提供支付结算业务，北京汇翔源蓝贸易有限公司，这家违法商户在百联优力进行非法资金结算，百联优力作为有牌照的支付公司没有履行国家相关法律法规要求，此外未能发现旗下商户私自将支付接口转交给期货/博彩等非法互联网平台使用，客观上为非法交易、虚假交易提供了网络支付服务，第19条规定，支付机构应当建立健全风险准备金制度和交易赔付制度，</t>
  </si>
  <si>
    <t>2019/10/07 20:12:05</t>
  </si>
  <si>
    <t>本人二月份入职北京燕芳鑫淼科技有限公司做饿了么骑手，本人二月份入职北京燕芳鑫淼科技有限公司做饿了么骑手 招聘时说公司包住宿离职提前一个月说下就行 每天最少30单每单8元 结果去了单量根本就达不到公司承诺的三十左右一天就十多个连吃饭钱都不够提出离职后 他们站长竟然说要给他三个月房租 这就是公司承诺的包住宿不离职不说要房租 人还说了反正离职就不开支爱哪告哪告去 2019年3月工资一直没开 多次去饿了么总部投诉无果 他们店长说了你给我1500元我帮你把工资要出来。</t>
  </si>
  <si>
    <t>2019/10/07 20:09:46</t>
  </si>
  <si>
    <t>时只是看错了，不小心把套餐修改了，搞得我每个月都要还花呗！本来想关闭的，今天看着要还500多块钱，打客服电话不予处理！，只有投诉希望得到帮助。</t>
  </si>
  <si>
    <t>2019/10/07 20:09:37</t>
  </si>
  <si>
    <t>希望中信银行可以和本人沟通协商，催收人员不停的拨打，本人希望可以或者专员有效沟通。</t>
  </si>
  <si>
    <t>2019/10/07 20:09:17</t>
  </si>
  <si>
    <t>正常申请贷款，点击后自动放款了，在你我贷借了50000多元，等放完款自己看了下里面有保费支付13600，这是在变向收取高额利息。</t>
  </si>
  <si>
    <t>2019/10/07 20:09:07</t>
  </si>
  <si>
    <t>因提现失败，资金冻结，然后让我充值资金冻结金额解冻，说要么不能解冻，。</t>
  </si>
  <si>
    <t>2019/10/07 20:08:37</t>
  </si>
  <si>
    <t>在信用管家里的云享贷借款3000元，但是实际到账只有2250元，一个月内分三期还，每期要还1029元，也就是说一个月的利息是837元！这是多高的利息！完全就是高利贷！还不给提供借款协议！给云享贷提供支付通道的是易宝支付有限公司！我要求本金销帐！。</t>
  </si>
  <si>
    <t>2019/10/07 20:07:07</t>
  </si>
  <si>
    <t>多次发假的律师函到我手机上，有一次还寄了纸质的到我现单位，还寄到乡下的村委会逾期了两年多了，之前欠的比较多，家里条件也不好，可以提供贫困证明，现在我想协商还本金，打了客服也一直没催收找我，希望早点联系，还要凑钱才能还上。</t>
  </si>
  <si>
    <t>2019/10/07 20:06:45</t>
  </si>
  <si>
    <t>投诉人鲁先生投诉对象交易猫涉诉金额3000元问题类型诉求类型投诉详情补充说明：我在交易猫购买了一个率土之滨账号，按照线上交易猫客服操作进行网易手机账号换绑，但是到时间后并没有换绑成功，也没有收到网易的换绑成功的短信，我用他们说换绑成功的手机账号进游戏根本就没有我购买的角色信息，根据界面显示，完全是一个全新账号。</t>
  </si>
  <si>
    <t>投诉人李清投诉对象小浦优客涉诉金额300元问题类型诉求类型投诉详情小浦优客APP从头到尾都没有要我同意扣款的协议，我是在里面注册了，但我没有看到扣款的字眼，打电话给客服竟然说用我另外的手机号注册登录就可以看到，这不是明摆骗钱吗?我坚决要求把钱退回给我。</t>
  </si>
  <si>
    <t>投诉人杨先生投诉对象造艺科技涉诉金额299元问题类型诉求类型投诉详情上海造艺网络科技有限公司，从我卡里共计扣走了299元，这是我的个人资产，你公司属于违规侵占，请立即退还，扫黑除恶，如不能满足本人合理诉求，本人必追诉到底，通过更多有效途径维护自身合法权益！。</t>
  </si>
  <si>
    <t>2019/10/07 20:06:18</t>
  </si>
  <si>
    <t>投诉人万先生投诉对象随你分期涉诉金额3330元问题类型诉求类型投诉详情6天3330实际到账2200多，收砍头息。</t>
  </si>
  <si>
    <t>2019/10/07 20:06:03</t>
  </si>
  <si>
    <t>想在陌陌钱包零钱充值1400，结果该界面显示充值陌币，要求退款。</t>
  </si>
  <si>
    <t>2019/10/07 20:05:42</t>
  </si>
  <si>
    <t>投诉人坤先生投诉对象你我贷涉诉金额6000元问题类型诉求类型投诉详情砍头息，刚逾期2天，第一天600逾期费，天天加催收就乱打电话威胁！问题不解决怎么还。</t>
  </si>
  <si>
    <t>2019/10/07 20:05:01</t>
  </si>
  <si>
    <t>小浦优客目无王法为高利贷提供支付通道严重超出国家规定利率。</t>
  </si>
  <si>
    <t>2019/10/07 20:04:51</t>
  </si>
  <si>
    <t>2019年9.22日至9.30日以虚假发货的名义对我店进行61570元的罚款并冻结资金，没有明细，我们这边查询物流，因是秋装旺季，快递那边爆仓，所以物流更新比较慢，但均在发货之后24小时之内有揽收物流信息，揽收之后24小时之后也有物流信息，可能物流更新比较慢，但平台直接以虚假发货来定义，并当天所有订单全部判定虚假发货，同年10.4号拼多多平台又以这批定义为虚假发货的订单再次定义为欺诈发货，定义欺诈发货之前客户找到我们这边都已跟顾客协商好或退款，发错的衣服同时作为补偿送给顾客，或与补发国务，不存在欺诈发货，总</t>
  </si>
  <si>
    <t>2019/10/07 20:04:50</t>
  </si>
  <si>
    <t>百事普惠恶意扣款了299元，性质恶劣，请尽快退款。</t>
  </si>
  <si>
    <t>2019/10/07 20:04:33</t>
  </si>
  <si>
    <t>以贷款为由诱导我买会员，且无法操作退款，买会员半年199元，现在要求退还。</t>
  </si>
  <si>
    <t>近去买东西用支付宝花呗付款老显示不支持、是商家不支持还是我的花呗怎么了，请尽快恢复、一直用的好好的、，客服一直不管，希望在这里能处理。</t>
  </si>
  <si>
    <t>2019/10/07 20:04:04</t>
  </si>
  <si>
    <t>10月1号我在高德上网约打车后想开具电子发票，因为别人给我的税号有误，10月1号我向高德客服申请修改，3号给我重新发了一个发票还是1号有误的发票，我又重新申请，7号再次给我发了之前的错误发票，连续两次发送错误发票，服务质量实在是有问题。</t>
  </si>
  <si>
    <t>2019/10/07 20:03:58</t>
  </si>
  <si>
    <t>多次沟通协商一次性还清，但总是这协商不了，都说没有权限，对我本人进行通讯录骚扰恐吓，无奈聚投诉希望得到好的沟通。</t>
  </si>
  <si>
    <t>2019/10/07 20:03:21</t>
  </si>
  <si>
    <t>我前几天只是注册一下就删掉了，前天发了一个投诉，说客服联系我解决也没有退款给我我想问你们是在拖时间吗。</t>
  </si>
  <si>
    <t>2019/10/07 20:03:10</t>
  </si>
  <si>
    <t>因个人原因，家庭情况，暂时无能力偿还信用卡欠款，已经逾期，，，但是本人有还款意愿，不是不还，只是暂时没能有能力一次性偿还，就想跟交通银行协商分期还款，，电话，也打了说明了，不是不还，是真的暂时没有能力了，，卡也用了5-6年了，用卡记录银行也能查到，也是很好的，，就因家庭出点状况，暂时无能力还款，想协商分期，还款，都不同意，，，交通银行处理部门打电话，爱搭不理，态度强硬，不同意协商，分期，试问，你们同意协商分期，还款压力小了是不是就都还钱了，还会有这么多不还的么，5.8万，每个月利息+罚金2000+，，谁能接</t>
  </si>
  <si>
    <t>2019/10/07 20:03:08</t>
  </si>
  <si>
    <t>投诉人 滕先生        投诉对象  中信银行信用卡        涉诉金额  20 000 元    问题类型    诉求类型投诉详情  王伟伟，这个人申请信用卡填写我的老婆电话。我得电话。他是开理发店的。我们是他的会员。现在天天短信骚扰我们。有本事你们抓他起来。我绝对打爆了他。</t>
  </si>
  <si>
    <t>2019/10/07 20:02:59</t>
  </si>
  <si>
    <t>现在对我生活造成极大的影响，你我贷的钱我已经全部还了，我希望国家相关的部门，严肃处理此时，现在已经对我生活带了不好的负面的生活影响。</t>
  </si>
  <si>
    <t>2019/10/07 20:02:55</t>
  </si>
  <si>
    <t>闪电借款暴力催收，年利率超过国家标准达到了，然后不停的骚扰恐吓到我的朋友跟家人，不能协商还款，年利率超过国家规定，暴力催收，爆我通讯录，泄露我的债务信息，要求赔偿，停止骚扰恐吓，我爸有精神上的病，要是旧病复发，我就跟你们走法律途径到底。</t>
  </si>
  <si>
    <t>2019/10/07 20:02:38</t>
  </si>
  <si>
    <t>注册时未显示有扣费项目，过了两天在App上收到扣费信息。</t>
  </si>
  <si>
    <t>2019/10/07 20:02:06</t>
  </si>
  <si>
    <t>从6月份开始就跟浦发信用卡的人联系协商，协商到现在还没协商成功，就是已经浦发信用卡的人一直暴力催收打电话骚扰实在没办法，后面投诉过无数次，浦发人员至今还是拖拖拉拉得跟我联系，一边跟我协商一边背着我起诉我，还找外包律师威胁我，后面投诉几次才派工作人员联系我，要求我提供困难凭证，由于个人不在本地原因无法提供困难凭证，这个问题也跟银行的人表明了，但是工作人员一直让我提供贫困证明！后面工作人员跟我说让他们的经理跟我联系，联系到现在至今未联系上！！本人已经表明立场要跟银行的人协商，银行的人到现在都信口开河说话不算话！</t>
  </si>
  <si>
    <t>2019/10/07 20:01:02</t>
  </si>
  <si>
    <t>因资金周转不开向客服申请延期，接受罚息，但一直骚扰通讯录，今天至少骚扰了10个通讯录，不仅打电话还发短信！。</t>
  </si>
  <si>
    <t>2019/10/07 20:00:47</t>
  </si>
  <si>
    <t>本人在立借借款10000元，分12期归还，今天第二期还款日到期，在没有逾期的情况下，立借从上午开始就用各种网络电话骚扰我本人，到了下午打我通讯录联系人，恶意骚扰，本人至今已已还了两期账单，我要求立借平台停止一切骚扰，后面的账单本金加合理利息销账。</t>
  </si>
  <si>
    <t>2019/10/07 20:00:42</t>
  </si>
  <si>
    <t>2019年9月20日退的保证金说事两个工作日到账现在是10月7号一直没人理请问这个是在故意坑人么能充不能退还不能接单。</t>
  </si>
  <si>
    <t>2019/10/07 19:58:48</t>
  </si>
  <si>
    <t>本人在喜马拉雅上看到《创业找崔磊》，留下了手机号码，后来一名自称苏醒的工作人员联系了我，说是有抖音蓝V企业号商家认证、电子烟、支付宝蜻蜓设备、每咖咖啡机、蟹蟹优选折扣卡五个项目，转账后签定了电子合同，加入后又推出了弹弹扭蛋机、快手商家号认证、ETC项目，问题是仅有微信上发送资料和视频直播链接，没有什么培训和扶持，最重要的是抖音蓝V认证费用680元，我们拿420元，，8月份广东省份商家认证费用半价，苏醒没有如实告知，致使我没有收入，乐客独角兽的项目都是销售，无底薪只有提成，凭什么收取我们的创业费用。</t>
  </si>
  <si>
    <t>2019/10/07 19:58:12</t>
  </si>
  <si>
    <t>非法调取个人资料，未经允许短信发送给通讯录内的亲人告知欠款，并且恐吓，威胁。</t>
  </si>
  <si>
    <t>2019/10/07 19:58:00</t>
  </si>
  <si>
    <t>本人于10月3日在医院做了扁桃体息肉手术，导致一笔888元贷款逾期两天，拍拍贷公司催收人员今晚联系我对我说，为什么没有处理逾期借款，我告知了原因，并且承诺今天会把逾期款项处理完毕，可是拍拍贷催收人员说做手术是吧，怎么没死呢，死了就不用处理了，要求晚上八点前处理借款，不处理就爆我通讯录，让我通讯录的每个人凑一块钱给我还款，拍拍贷公司也属于正规的公司，怎么会有如此素质低下的工作人员，说的是人话话吗，800块没处理就让我去死。</t>
  </si>
  <si>
    <t>2019/10/07 19:56:43</t>
  </si>
  <si>
    <t>投诉人袁女士投诉对象贷上钱涉诉金额2000元问题类型诉求类型投诉详情当时跟他们说我发工资就还有困难你们帮助我你们是高利贷我也认了结果我国庆休假在家睡觉手机静音没接到电话就爆我通讯录了我接了电话还骗人说没有爆通讯录如果你们没有爆通讯录请拿出证据如果有我们就按照正常流程走借两千一个月要我还两千四绑定了个什么恶魔游戏我连游戏是啥都不知就要被扣四百块左右这不是砍头息吗，逾期一天就要二十几的利息钱可以还按照正常的走不然分文不给我说你们再打扰我的生活就找警察处理他们说找警察处理没用管不了他们真牛阿而且我现在app都登入</t>
  </si>
  <si>
    <t>2019/10/07 19:55:30</t>
  </si>
  <si>
    <t>投诉人 李先生        投诉对象  钱站,华夏银行        涉诉金额  60 000 元    问题类型    诉求类型投诉详情  钱站高利贷，砍头息，暴力催款，阴阳合同。</t>
  </si>
  <si>
    <t>2019/10/07 19:55:14</t>
  </si>
  <si>
    <t>豹子贷恶意扣款了299元，请求退款，谢谢，这钱等着救命呢。</t>
  </si>
  <si>
    <t>2019/10/07 19:52:31</t>
  </si>
  <si>
    <t>望停止，骚扰并给予道歉，对恐吓的行为进行处罚。</t>
  </si>
  <si>
    <t>2019/10/07 19:51:35</t>
  </si>
  <si>
    <t>还款日还款，银行卡里有足够金额，主动还款不成功，希望客服主动联系或者帮代扣款项。</t>
  </si>
  <si>
    <t>2019/10/07 19:50:58</t>
  </si>
  <si>
    <t>QQ浏览器广告下载了这个APP，然后打开软件有很多异性和你聊天，然后回复消息弹出需要绑定支付宝，然后就弹出支付宝免密支付绑定的信息，本以为没什么，过一会手机就发来两笔支付信息一笔69元和一笔99元的，而且在支付后，也没有相应的操作服务，而是需要你再次绑定支付，而且在上面和你聊天的我怀疑全是机器人，发信息没几个回复的。</t>
  </si>
  <si>
    <t>2019/10/07 19:50:27</t>
  </si>
  <si>
    <t>国庆票源紧张，智行抢票，因特殊时期必须要开启免密支付，于是，就有了我在智行和12306重复支付了9月30日苏州北到南京南G7192次列车，事后联系不到客服，相互推诿，现在不知该如何是好！抢到的票在12306只显示一张，也不能退票，12306说是智行的责任。</t>
  </si>
  <si>
    <t>2019/10/07 19:49:29</t>
  </si>
  <si>
    <t>我们是做网上设计服务的，有买家在我们事先沟通好交易流程情况下，我们做到买家满意，买家也确认了，我们发了原图给买家，按照约定，这时候我们的服务范围就截止了，但是后来买家以各种理由和退款威胁我们继续做额外的东西，并且投诉我们，在我们提供了所有凭证后，店小二依然判买家赢，并把钱全部退给买家，致使我们损失大量时间，没有得到一分钱，而买家却可以拿着我们的图去用，明明买家已经确认了，我们提供了凭证，但是店小二依然说我们没提供，并且没有联系我们就直接退款了，旺旺聊天记录都有，但是却对我们商家一点点保障都没有。</t>
  </si>
  <si>
    <t>2019/10/07 19:46:13</t>
  </si>
  <si>
    <t>根本不敢骑，说不准就卡死，存在太大安全隐患，客服让我自己骑过去或者让我叫车拉过去，而且这个轴承坏了不在三包范围内，绿源有没有考虑过行驶过程中的这个零件出了问题，就是严重的安全隐患，居然不在三包范围内，售后服务根本不会站在客户的安全角度考虑，电动车出了这样的安全问题，第一回复居然是让客户慢慢骑过去，出了安全问题谁负责，现在，我严重怀疑对我买的这个车没有质量信任，对绿源电动车没有安全信任。</t>
  </si>
  <si>
    <t>2019/10/07 19:45:41</t>
  </si>
  <si>
    <t>活力花催收暴力催收，恐吓并且骚扰我的生活，本来协商到山下还款。</t>
  </si>
  <si>
    <t>2019/10/07 19:45:34</t>
  </si>
  <si>
    <t>投诉人 龙先生        投诉对象  聚富分期        涉诉金额  299 元    问题类型    诉求类型投诉详情  骗子平台 恶意扣款 说什么风险评估费299 垃圾平台连评估资格都没有 9月29号下载了 卡里没钱有钱了就直接扣款</t>
  </si>
  <si>
    <t>2019/10/07 19:44:07</t>
  </si>
  <si>
    <t>本人与拍拍贷的借款,已还5期,因逾期受到他们不停的恶意骚扰严重影响日常生话。</t>
  </si>
  <si>
    <t>2019/10/07 19:43:07</t>
  </si>
  <si>
    <t>纵容高利贷，不堪其扰，爆通讯录，准备自己结束这一切，只是想把这事说出来，。</t>
  </si>
  <si>
    <t>2019/10/07 19:42:17</t>
  </si>
  <si>
    <t>光大信用卡在下班时间段，暴力催收，电话接通说明情况，还一直打过来，经济困难，一个人带孩子，离婚，不给机会时间还。</t>
  </si>
  <si>
    <t>2019/10/07 19:41:59</t>
  </si>
  <si>
    <t>投诉人黄女士投诉对象拍拍贷涉诉金额80000元问题类型诉求类型投诉详情每次都电话催还各种电话骚扰还威胁真的很过分电话打到家里去老人家的不懂别吓的不轻。</t>
  </si>
  <si>
    <t>2019/10/07 19:41:01</t>
  </si>
  <si>
    <t>我贷款贷了39000千元到账33000多远贷了3年需要还78000多！年利率超出国家利率！我现在已经还了45000千多元！还了20期！希望平台帮我与他们协商调整利率！按照国家政策！减免！实在还不了啦！协商不成准备起诉！。</t>
  </si>
  <si>
    <t>2019/10/07 19:40:40</t>
  </si>
  <si>
    <t>交易猫购买后，卖家借换绑账号来忽悠买家交易猫登录验证码，然后登录买家交易猫删除交易记录和订单号，&amp;nbsp;买家找不到订单不能退款不能取消订单。</t>
  </si>
  <si>
    <t>2019/10/07 19:39:47</t>
  </si>
  <si>
    <t>本人连续多次接到自称马上消费金融催收人员的电话，因本人是欠款人的同学，在我不知情的情况下对我进行言语攻击，并且恐吓，因马上金融公司与我同学的交易中并没有我的参与，我也并不知情，而后马上金融的工作人员称如果我不配合，后果让我自己处理，这是屈打成招么，随便抓个人让我替别人还钱，是这个意思么，为了我个人利益以及人身安全我需要维权，谢谢。</t>
  </si>
  <si>
    <t>2019/10/07 19:38:55</t>
  </si>
  <si>
    <t>同时用高铁管家app和12306购票app预约抢票同一时间同一班次动车，当时在两个软件上都各预付了26元票款，结果显示12306先抢到票，然后高铁管家也发送消息抢到了票，但是实际上我只买了一张票，因为同一个人只能买同一时间同一班次动车的一张票。</t>
  </si>
  <si>
    <t>2019/10/07 19:38:45</t>
  </si>
  <si>
    <t>八月份底离职，每月20号发放工资，到今天10月7日还没有发。</t>
  </si>
  <si>
    <t>2019/10/07 19:38:07</t>
  </si>
  <si>
    <t>立借里的钱置宝下款3215，要一个月还4期，每期1150.2，远超法律规定利息，我已经还了3期，还剩一期要求减免销账。</t>
  </si>
  <si>
    <t>2019/10/07 19:37:06</t>
  </si>
  <si>
    <t>拒绝沟通说明，再后来就通过我来贷外包第三方催收公司，冒充律师事务所，不断地变换网络IP的手机号，对个人进行恶意骚扰通迅录，泄露个人隐私，恶意诋毁诽谤，态度极其恶劣，肆意侵犯个人权利。</t>
  </si>
  <si>
    <t>2019/10/07 19:36:45</t>
  </si>
  <si>
    <t>本人借款4万元，已经还了15期了，每期还2312，现在想要结清还需要还5万多，之前承诺的是给我减免一点但是就给了3天时间凑钱，过期以后再打电话就不说这个事了，这个利息这么高就没人管吗，这种公司国家应该坚决取缔了，坑害了多少人，挂羊头卖狗肉。</t>
  </si>
  <si>
    <t>2019/10/07 19:35:35</t>
  </si>
  <si>
    <t>我结款一千，当初显示的是每个月还款400多一期，3个月本金加利息，还款1200多，结果现在却显示每期还款600多，三期加起来1千多，而且合同上既然写的借款金额有改动，变成1330了。</t>
  </si>
  <si>
    <t>2019/10/07 19:35:08</t>
  </si>
  <si>
    <t>我存10万块全部不能提现全部不能提现不能提现不能提现帮帮我吧。</t>
  </si>
  <si>
    <t>2019/10/07 19:34:55</t>
  </si>
  <si>
    <t>借5天利息700多，时间还没到就威胁！我就想不通了又不是不还，本来都打算还了动不动威胁，真的没人管吗，麻烦聚投诉官方给个投诉方式对这样的平台不管花多大精力我都要投诉！谢谢??。</t>
  </si>
  <si>
    <t>2019/10/07 19:34:40</t>
  </si>
  <si>
    <t>我在在飞贷上注册了账号，申请贷款，未通过，现在要求他们注销账户，用他们没有注销功能，一直敷衍我，我是按照国家工信部的规定，我享有要求他们注销账户的权利，我合法合规的诉求却遭拒绝！。</t>
  </si>
  <si>
    <t>2019/10/07 19:33:43</t>
  </si>
  <si>
    <t>再没有告诉或提醒用户的情况下乱扣费！打电话沟通说退款！不给退！非要扣满299为止！我说钱不要了！给我注销个人账户！居然豹子贷APP都找不到了！个人无法注销账号或解绑银行卡停止对方扣费！。</t>
  </si>
  <si>
    <t>2019/10/07 19:33:36</t>
  </si>
  <si>
    <t>投诉人 王先生        投诉对象  Wecash闪银        涉诉金额  8 000 元    问题类型    诉求类型投诉详情  闪银包括里面的暖暖 哼哼 都有砍头息 借一千五扣299</t>
  </si>
  <si>
    <t>2019/10/07 19:33:27</t>
  </si>
  <si>
    <t>诊号4529267在中山大学附属东华医院总院10月6日就诊开药导致第二天睡不醒，导致无法正常工作和生活，药品袋上没有使用注意事项和不良反应说明，医生也没有当面说明，后经过咨询和查询得知其中有一种类似安眠药的药品。</t>
  </si>
  <si>
    <t>2019/10/07 19:33:17</t>
  </si>
  <si>
    <t>借了几千，用了一个多月，想提前结清，客服要求支付全部利息，本来利息就高，只用了一个月却要付6个月的利息，这合理吗。</t>
  </si>
  <si>
    <t>2019/10/07 19:31:26</t>
  </si>
  <si>
    <t>本人2019.9.27号凌晨在速金服申请审核通过，但是迟迟未下款，6号打客服电话说放假，耐心等待，说取消合同说无法取消，而且也属于高利贷，一千块分三期还一期还六百多，三期也就差不多翻一倍的利息，希望可以帮助我取消借款。</t>
  </si>
  <si>
    <t>2019/10/07 19:31:14</t>
  </si>
  <si>
    <t>本人于2018年9月从中腾信借款一万元，分24期还款，每个月就要还719.86元，最开始还没有现在这样骚扰一直发短信，并且给亲人发短信的行为，可是现在已经严重影响到了我的生活，每个月7号是还款日，我就想问现在是已经过了7号了吗，我有逾期么，短信和电话就一直骚扰，并且借款一万元，就需要还17276.64元，光这多出来的费用就也属于高利贷了好么，用什么服务费的借口也掩盖不了你们这是属于高利贷的事实，并且现在无论是从公众号还是APP上都看不到我的合同内容，这肯定也是有问题的吧，如果你们公司的恶意催收，发短信恐吓通</t>
  </si>
  <si>
    <t>2019/10/07 19:31:07</t>
  </si>
  <si>
    <t>捷信高利贷套路贷，贷款1万分18期还第一个月还了800多以后每个月还720还了半年，就最近工作问题没及时还款捷信不停用外地号给亲戚朋友同事打电话恐吓代辱骂纯属恶意的骚扰，因别的事情本人及爱人都没在家最近捷信又请讨债公司的人到家里面大门上贴大字报！严重污辱个人名义！捷信是垃圾吗，欠钱还钱你恶意的骚扰请讨债公司损坏她人名义你玩的是那出！。</t>
  </si>
  <si>
    <t>2019/10/07 19:29:34</t>
  </si>
  <si>
    <t>投诉人 张女士        投诉对象  潭州教育        涉诉金额  500 元    问题类型    诉求类型投诉详情  就是在抖音上看到了原画约了个试听课。后来就有相关人员问要不要报名。本来是想报名的已经交了500元。后来让我开通京东白条，分期乐。我觉得容易影响信誉问题就决定不参加了。申请退款时就一直在劝说我要学习学习。还说3到7个工作日才能退款。</t>
  </si>
  <si>
    <t>2019/10/07 19:28:14</t>
  </si>
  <si>
    <t>本人2019年5月从喜鹊快贷平台借款18000元，一直正常还款无逾期，10月7日第五期还款，当天已还款，在今天10月7日未逾期的情况下，平台泄漏我的通讯录，暴力催收，乱打通讯录电话，并且不是设置的紧急联系人，严重影响到了我的工作和生活，催收电话180******24，请平台作出解释和道歉，并做出相应赔偿。</t>
  </si>
  <si>
    <t>2019/10/07 19:27:56</t>
  </si>
  <si>
    <t>投诉人罗女士投诉对象中信银行涉诉金额1800元问题类型诉求类型投诉详情中信银行信用卡委托外部催收本人跟银行沟通好会尽快还清但是催收公司一直联系并威胁后期会一直骚扰家人朋友亲戚，要本人承诺说几点几点还不还最低还款额就要还全款。</t>
  </si>
  <si>
    <t>2019/10/07 19:27:24</t>
  </si>
  <si>
    <t>投诉人姚先生投诉对象搜狗借钱涉诉金额6000元问题类型诉求类型投诉详情态度恶劣多次骚扰逾期一天爆通讯录。</t>
  </si>
  <si>
    <t>2019/10/07 19:26:37</t>
  </si>
  <si>
    <t>投诉人林先生投诉对象我来数科涉诉金额777元问题类型诉求类型投诉详情以往都会自动从卡中自动还款，此次没有自动还款，导致逾期，产生了高额逾期费，1天100元，借款时已经把利息都计入了，借5100元总共需要还7000多。</t>
  </si>
  <si>
    <t>2019/10/07 19:26:10</t>
  </si>
  <si>
    <t>投诉人张先生投诉对象拍拍贷涉诉金额32000元问题类型诉求类型投诉详情连续三个月每个月四千多已经还款12000多块钱显示还剩下两万七千多没还等于实际还款只有不到五千块钱省下七千多全部都是手续费加利息么。</t>
  </si>
  <si>
    <t>2019/10/07 19:25:48</t>
  </si>
  <si>
    <t>借款合同上写的年利息是9.5%，但实际的自己是22%多，做假合同，隔着乱收各种手续费，什么担保公司收取手续费、保险公司收取手续费、而且也没有担保公司的合同和保险公司的合同，说明乱收费。</t>
  </si>
  <si>
    <t>2019/10/07 19:25:24</t>
  </si>
  <si>
    <t>投诉人王女士投诉对象招联金融涉诉金额1000元问题类型诉求类型投诉详情使用招联这么久，一直没有逾期，却从来不给提额度，就连临时额度都没有，现在申请提额。</t>
  </si>
  <si>
    <t>2019/10/07 19:25:20</t>
  </si>
  <si>
    <t>来分期一直强制6期起借还必须缴高额风险保障金及服务费，投诉来分期垃圾平台没有做出相应的服务跟法律规定，不提供提前还款，语音电话骚扰严重频繁，跟来分期客服联系一直得不到解决，缴了高额风险保障金及服务费用，得不到服务，要求平台退还2017—2019每笔借款的风险保障金及服务费用！跟客服多次联系都是已敷衍形式带过，从不正面解决问题！。</t>
  </si>
  <si>
    <t>2019/10/07 19:25:17</t>
  </si>
  <si>
    <t>没查清楚我有没有还款就开始威胁我，问我想不想用卡了。</t>
  </si>
  <si>
    <t>2019/10/07 19:24:19</t>
  </si>
  <si>
    <t>投诉人 万先生        投诉对象  小浦优客        涉诉金额  296 元    问题类型    诉求类型投诉详情  小浦优客无故扣除银行卡里面296元 联系客服不给退钱</t>
  </si>
  <si>
    <t>2019/10/07 19:24:08</t>
  </si>
  <si>
    <t>投诉人 熊先生        投诉对象  拍拍贷        涉诉金额  350 元    问题类型    诉求类型投诉详情  泄露个人信息，疯狂骚扰通讯录。高利贷，套路贷。暴力催收</t>
  </si>
  <si>
    <t>2019/10/07 19:23:49</t>
  </si>
  <si>
    <t>拍拍贷催收恶意P图立案申请通知书群发短息给通讯录好友，造成不良影响及对本人生活造成骚扰，所欠欠款会积极配合还清，请拍拍贷催收人员停止骚扰，并友好协商解决，如对本人包括名誉权、隐私权等造成社会负面影响一切后果需拍拍贷及拍拍贷催收人员一并承担。</t>
  </si>
  <si>
    <t>2019/10/07 19:22:55</t>
  </si>
  <si>
    <t>信用极好，按照其引导加微信，9月3号按他指引通过支付宝付款500元地推，因为对方芝麻信用极高而且是支付宝收款码收款，所以当时就放心的付款了，到5号一个都没有执行，微信和闲鱼沟通对方均不回复。</t>
  </si>
  <si>
    <t>2019/10/07 19:22:07</t>
  </si>
  <si>
    <t>个人原因完成无法及时还款，并多次接听贷款公司电话，解释原因，洽商未果，从10.6-10.7日起开始肆无忌惮的盗用我的用户信息，给我的工作单位和亲朋好友，用呼死你进行骚扰，对我个人工作，精神和我的亲朋好友造成严重的骚扰。</t>
  </si>
  <si>
    <t>2019/10/07 19:21:40</t>
  </si>
  <si>
    <t>投诉人坤先生投诉对象你我贷涉诉金额4500元问题类型诉求类型投诉详情9月25日借款1400元，到账1400元，6条要求还款2000元，没钱还款续期3天300.6天600.到目前截止9天已经付900利息。</t>
  </si>
  <si>
    <t>2019/10/07 19:21:08</t>
  </si>
  <si>
    <t>利息太高根本不合法还催收又不是不还实在没钱了我慢慢还不行嘛。</t>
  </si>
  <si>
    <t>2019/10/07 19:19:11</t>
  </si>
  <si>
    <t>2019年9月4号，在百度无意中咨询到初中可以自考专科的学历，有客服跳出来，就加了恒企教育徐老师的微信，微信上跟徐老师聊了一些关于自考的问题，聊了有50多分钟徐老师说现在报名有助学金，可以便宜4000多块钱，如果明年报名政策会严格很多，脑子一热就报名了自考，当时因为刚交了钱回家，身上资金不足，选择了分期付款总学费是12880元，首付1288，报名后发现很多东西要硬背，并没感觉看回放的能通透理解，而且给我们的教材和书上根本不一样，错别字及多，也就听几节课，后面因为家人不同意，自己工作的原因，无法支付后面的分期</t>
  </si>
  <si>
    <t>2019/10/07 19:18:28</t>
  </si>
  <si>
    <t>蚂蚁金服下面贷款平台客服态度及其差，话语恶劣，希望需要改善。</t>
  </si>
  <si>
    <t>2019/10/07 19:16:56</t>
  </si>
  <si>
    <t>投诉人李清投诉对象小浦优客涉诉金额1800元问题类型诉求类型投诉详情在小浦优客借款3000元，实际到账只有2300元，半个月为一期要还1000多共两期，现在最后一期实在无力承担这非法高利贷利息，要求客服停止对我和联系人电话威胁。</t>
  </si>
  <si>
    <t>2019/10/07 19:16:37</t>
  </si>
  <si>
    <t>亲戚在小浦优客货款成功到账银行卡后马上强制性扣了2700元保险费用，平台以保险费用强制性提高利息存在不合理的行为请有关部门监管。</t>
  </si>
  <si>
    <t>2019/10/07 19:15:34</t>
  </si>
  <si>
    <t>要求及贷调整年利息为百分之二十四.借款人愿意一次付清.否则只能等法院判决.及贷以服务费跟资金管理费变相收取利息.要求调整利息。</t>
  </si>
  <si>
    <t>2019/10/07 19:15:27</t>
  </si>
  <si>
    <t>银行卡无辜扣款100元，乱扣款，退款不给退。</t>
  </si>
  <si>
    <t>2019/10/07 19:14:55</t>
  </si>
  <si>
    <t>从7.14晚会后为什么还会出现7.14高炮。</t>
  </si>
  <si>
    <t>2019/10/07 19:14:54</t>
  </si>
  <si>
    <t>本人于7月10日在微贷网借款5000元，实际到账4000元，微贷网扣除了1000元不知道什么的游戏币充值，明显就是变相砍头息，本人已还两期，要求归还砍头息的一千元！！！。</t>
  </si>
  <si>
    <t>2019/10/07 19:14:44</t>
  </si>
  <si>
    <t>投诉人 饱先生        投诉对象  你我贷        涉诉金额  6 800 元    问题类型    诉求类型投诉详情  你我贷涉嫌套路贷砍头息高利贷。逾期后直接让第三方收款。</t>
  </si>
  <si>
    <t>2019/10/07 19:13:06</t>
  </si>
  <si>
    <t>一千多逾期一个月不停给我亲戚朋友打电话发短信骚扰，还给我客户发资料，严重影响我正常生活，透露我个人资料，我妹妹妹夫还因为骚扰电话差点开车出车祸，要求停止骚扰，我会按正常欠款和利息还款，逾期有相应合理逾期费用，我都承认，他们这种催收属于涉黑性质！。</t>
  </si>
  <si>
    <t>2019/10/07 19:12:26</t>
  </si>
  <si>
    <t>今年四月还是五月开始，支付宝就莫名其妙限制了我的收款，别人无法给我转账，非常不方便，被限制的原因也不给我说客服也完全像个机器人不理不睬不给解决问题的办法，店大欺客是吗，支付宝厉害啊，垄断市场啊，并且，拨打支付宝客服电话95188永远都没有人接听，最近打了终于有人工客服，但是也都只重复一句话，让我规范使用账号，我真的很莫名其妙，被限制的原因也不给我说，客服也完全像个机器人不理不睬不给解决问题的办法，店大欺客是吗，支付宝厉害啊，垄断市场啊，知道这么霸道是不符合社会主义核心价值观的吗，据我所知我有的认识的人也是莫</t>
  </si>
  <si>
    <t>2019/10/07 19:12:15</t>
  </si>
  <si>
    <t>借4000三个月要还5000多，借两千一个月要还2500天理何在。</t>
  </si>
  <si>
    <t>2019/10/07 19:12:13</t>
  </si>
  <si>
    <t>小浦优客收取会员费，逾期一天50的利息现要求收取正常利息协商还款。</t>
  </si>
  <si>
    <t>2019/10/07 19:11:44</t>
  </si>
  <si>
    <t>投诉人 唐宗祥        投诉对象  即付宝        涉诉金额  100 元    问题类型    诉求类型投诉详情  刷卡前说可以提现 刷完卡就不能提现了 这不是坑人嘛</t>
  </si>
  <si>
    <t>2019/10/07 19:11:40</t>
  </si>
  <si>
    <t>Kata"酒店4晚房费，在介绍页面无任何提示称该消费不提供发票在预定的时候也问了自助人工称可联系商家开票结果只给了一个所谓的电子收据，并称该公司“冠途酒店专营店”是香港注册公司，无法开票，但是我在飞猪其他家定的消费还有携程订的普吉岛的酒店都开具的相应的消费发票，我不理解为什么在这个店铺消费了人民币店家开不出发票，这样合法吗。</t>
  </si>
  <si>
    <t>2019/10/07 19:08:29</t>
  </si>
  <si>
    <t>我借2000元，到账1210元，还款的时候要还2000元，而且10月7号到期，催收说下午四点前不还，爆通讯录，并且说出我通讯录里人的姓名威胁，我说报警他说不怕，最后被逼还了768.8续期6天，到期还要还2000元，我已经无路可走了，只有还本金。</t>
  </si>
  <si>
    <t>2019/10/07 19:08:24</t>
  </si>
  <si>
    <t>投诉人 刘先生        投诉对象  蚂蚁金服        涉诉金额  6 000 元    问题类型    诉求类型投诉详情  支付宝芝麻信用包庇套路贷，高利贷。一方面说没有和这两个公司合作。一方面放任这两个公司影响我的芝麻分。导致我无法正常使用支付宝。我要求芝麻信用删除这两条数据！</t>
  </si>
  <si>
    <t>2019/10/07 19:08:21</t>
  </si>
  <si>
    <t>在资金不到位快逾期了还差最后一期没还的情况下和客服协商晚二天还款客服强制拒绝导致逾期通讯录被严重骚扰。</t>
  </si>
  <si>
    <t>2019/10/07 19:07:57</t>
  </si>
  <si>
    <t>由于我调换工作，原来单位不给工资，加上家里出了事，京东白条逾期了，也受到了催收的恐吓，威胁上门的，可没过几天，催收的又开始了，还是扬言要上门，你们是要逼死我吗，谁愿意自己的征信出问题，谁愿意天天被催收的搞成神经衰弱，谁不想多一事不如少一事，已经给客户打过电话，沟通过了，钱我会想办法还进去的，并不是不给还，可催收的还是一直扬言要上门，几个意思，不给活路了吗，我的过错我也知道，有钱了我会还进去的，，就想你们不要再骚扰我家人了！！。</t>
  </si>
  <si>
    <t>2019/10/07 19:07:29</t>
  </si>
  <si>
    <t>投诉人刘先生投诉对象你我贷涉诉金额33000元问题类型诉求类型投诉详情合同金额33000，与实际借款金额不符，并且分12期，每期需还3458.31元，总共需还41461.22元，利息高达16461.22元，年化率高达66%。</t>
  </si>
  <si>
    <t>2019/10/07 19:06:57</t>
  </si>
  <si>
    <t>再次重申我来这里投诉不是因为蚂蚁借呗降低了我的额度，而是他在未告知我的情况下随意更改我的额度，系统计算的额度也应该让消费者有知情权，我要求蚂蚁借呗向我解释，为什么随意更改我的额度却不提前告知。</t>
  </si>
  <si>
    <t>2019/10/07 19:06:55</t>
  </si>
  <si>
    <t>本人从未在安逸借或者安易借平台上借过钱，刚刚一个自称是安逸借，的客服人员打电话说本人欠款到期，2900多元，电话由江苏扬州打来：‭167******62‬该电话就是自称客服人员打来的，平台能给出合理解释，本人的个人信息严重被盗用。</t>
  </si>
  <si>
    <t>2019/10/07 19:06:44</t>
  </si>
  <si>
    <t>但是这两个月资金出了问题，我愿意与美团协商还款，不要再用这些威胁我，已经严重影响我的心态和生活。</t>
  </si>
  <si>
    <t>2019/10/07 19:06:23</t>
  </si>
  <si>
    <t>投诉人张先生投诉对象交通银行信用卡涉诉金额2194元问题类型诉求类型投诉详情本人在交通银行有张信用卡，额度目前降到2000元，由于2018年生病住院，花了不少钱，房子也卖了，工作没有了，导致信用卡逾期3个月，交通银行每天有10几个电话打来，开始有接电话，接通之后就是要求几点几点还钱，没还怎么样怎么样，后面打来就懒的接了，他们打电话是工作，难道接电话也变成我的工作了，今天突然接到60岁老父亲电话以及村大队书记电话，说我欠了多少多少钱，银行要求几点几点还，不还就法院起诉，我听了就火了，没过5分钟交通银行电话打进</t>
  </si>
  <si>
    <t>2019/10/07 19:06:04</t>
  </si>
  <si>
    <t>因为家里出了点急事，手上资金不够，所以逾期了一天，催收直接打电话暴力催收，恐吓我让我今天必须还上，让我自己去跟亲戚解释。</t>
  </si>
  <si>
    <t>2019/10/07 19:05:47</t>
  </si>
  <si>
    <t>2019/10/07 19:05:40</t>
  </si>
  <si>
    <t>王者钱包利息严重超标，五天借1200还2000。</t>
  </si>
  <si>
    <t>2019/10/07 19:05:21</t>
  </si>
  <si>
    <t>小浦优客尊敬的用户您好，感谢您对小浦优客的支持，您的报告已经生成，您已成功支付服务费296.0元整，如有疑问可拨打电话。</t>
  </si>
  <si>
    <t>2019/10/07 19:04:55</t>
  </si>
  <si>
    <t>在正常还钱切不逾期的情况下私自曝光信息，还打电话威胁恐吓亲朋好友。</t>
  </si>
  <si>
    <t>2019/10/07 19:04:43</t>
  </si>
  <si>
    <t>钱站平台借款1000元3个月却需要还款1680，而且说我的借款金额是1300。</t>
  </si>
  <si>
    <t>打我通讯录，甚至跟我通讯录里的人吵架！9月30日晚还给我打电话说十月一号还要给我通讯录打电话，让我亲朋好友连节都过不好！。</t>
  </si>
  <si>
    <t>2019/10/07 19:04:25</t>
  </si>
  <si>
    <t>通过微信加了一个推销贷款人员，后发送了链接威力贷，贷款前告诉我说续期可以优惠，一个月就一百，在威力贷上申请了贷款，2000到手1300，砍头息700，六天到期，实际扣除借款日和还款日只有四天，9月3号到期，有催收联系我，只能全款或者续期，不能协商，威胁不马上处理通知家里人，爆通讯录，迫于压力，无奈只能续期3天，说是三天，其实只有一天，9月5号就到期，续期费用300，通过支付宝扫码给一个叫无锡新概念餐饮的公司，这种无视国家法律的714高炮，必须严惩，现要求平台本金处理，续期费用还给我。</t>
  </si>
  <si>
    <t>2019/10/07 19:04:22</t>
  </si>
  <si>
    <t>小赢卡贷高利贷，希望调整到国家法律规定的范围之内，众安保险在本人不知情的情况下捆绑销售，退还保费。</t>
  </si>
  <si>
    <t>2019/10/07 19:02:50</t>
  </si>
  <si>
    <t>有限公司,通联沪快涉诉金额299元问题类型诉求类型投诉详情今天查看银行卡明细的时候，发现10月6日上午通联沪快莫名其妙就扣了卡里299，交易用途里显示的是携趣信息科技。</t>
  </si>
  <si>
    <t>2019/10/07 19:02:44</t>
  </si>
  <si>
    <t>本人在上海你我贷平台借款5000元分12期还款，而且前二期每期平台服务费和贷后服务费就要750元，到第三天想取消申请都找不到地方取消，现在想把本金还完也要把前三期的还完才能一次性还完，前三期加起来有2824.28元，而且还要收取一定的违约金。</t>
  </si>
  <si>
    <t>2019/10/07 19:02:41</t>
  </si>
  <si>
    <t>在不需要借款情况下频繁电话短信骚扰用户，诱惑借款，影响生活。</t>
  </si>
  <si>
    <t>2019/10/07 19:01:23</t>
  </si>
  <si>
    <t>投诉内容:1，私自调查本人的同事工作单位，月薪等基本情况2，私自调整本人社保公积金，5，多次拨打单位固定电话，影响单位正常运营，7，投诉持续近15个月，客服一直推脱，不予处理，8，本人曾经和客服沟通，邀约在哈尔滨广发分行，提供以上录音，银行客服一直不出面，9，在平台投诉后，莫名其妙的关闭帖子，理由是已处理完我投诉的问题，可是本人从未接到客服处理的电话，本人打电话询问此事，客服一直没给出说法。</t>
  </si>
  <si>
    <t>2019/10/07 19:00:53</t>
  </si>
  <si>
    <t>600块我都认！我指的付息是我可以支付合法利息，这种一锤子买卖的平台为什么还能生存这么久，希望明年315上还能看见你们的身影，再希望以后这种平台不复存在。</t>
  </si>
  <si>
    <t>2019/10/07 19:00:16</t>
  </si>
  <si>
    <t>投诉人 粪先生        投诉对象  你我贷        涉诉金额  3 680 元    问题类型    诉求类型投诉详情  有图为证。你我贷收损毁个人名誉，以及威胁恐吓。希望处理</t>
  </si>
  <si>
    <t>2019/10/07 18:59:40</t>
  </si>
  <si>
    <t>前期被销售诱导套路交钱9800，说一个月轻轻松松赚几万，他们只招纳500个会员，交完钱后根本不是这样的，发一堆文档给你，给你几个破项目，完全就是花9800给自己找个没有底薪的销售工作，而且招纳的会员远远超过500个，这不是拉人头，割韭菜是什么。</t>
  </si>
  <si>
    <t>2019/10/07 18:59:38</t>
  </si>
  <si>
    <t>51信用卡管家内时光分期恶劣催收，恐吓威胁，高利贷，51信用卡管家存在不可推脱的责任，涉嫌为时光分期高利贷分流，如果你们再推脱，我天天去互联网金融平台天天投诉。</t>
  </si>
  <si>
    <t>2019/10/07 18:58:34</t>
  </si>
  <si>
    <t>不认得的人在拍拍贷借款，未经我允许把联系人填写我的名字，拍拍贷在未打电话询问我的情况下放款给该借款人，现该借款人逾期不还款，拍拍贷工作人员一直骚扰我，并威胁我，要求拍拍贷停止骚扰并打电话给我赔礼道歉，我已电话录音，不排除起诉法院。</t>
  </si>
  <si>
    <t>2019/10/07 18:57:30</t>
  </si>
  <si>
    <t>投诉人吴平投诉对象小浦优客涉诉金额7800元问题类型诉求类型投诉详情准时还完钱了，还一直电话骚扰我说我逾期了要给逾期费。</t>
  </si>
  <si>
    <t>投诉人王女士投诉对象拍拍贷涉诉金额3400元问题类型诉求类型投诉详情就是被别人骗了，说拍拍贷10000元日利率0.05%/，然后我看了拍拍贷软件做的宣传也是这么说的，我就借了，我借了3400元办的是12分期，还了两笔，每月还款385.31元上面还显示欠本金3800多，我当时知道这情况，当时给我转账我就给他转回去了。</t>
  </si>
  <si>
    <t>2019/10/07 18:57:27</t>
  </si>
  <si>
    <t>10月4号下载小浦优客APP，填写了银行卡和个人信息，结果10月6号在我毫不知情下收到银行短信通知，协商多次，至今未退还给我！这分明就是金融罪犯，非法盗取别人的钱财，至今我所知道已有上百人受害！强烈要求公安机关立案侦查！。</t>
  </si>
  <si>
    <t>2019/10/07 18:57:03</t>
  </si>
  <si>
    <t>严重超时，超时后试图联系未及时回复，超时两小时后联系客服取消订单，几个小时后未接收外卖APP却显示完成，找美团外卖投诉处理结果却仅仅是退款，难道美团外卖去餐厅吃饭点菜付款后让你白等两个多小时告诉你没有菜了只退款你愿意吗?时间不是损失?我向美团外卖索赔三倍以上象征性赔偿但美团外卖拒绝了。</t>
  </si>
  <si>
    <t>2019/10/07 18:56:45</t>
  </si>
  <si>
    <t>投诉人陈先生投诉对象宜人贷涉诉金额50000元问题类型诉求类型投诉详情合同写明每月的本息还款数额，年化利率12%，但是还款的时候却是按年化35.9%的算，与合同不符合，借款本金5万元，但是合同上写的是59523.81元，把咨询服务费都算进合同本金里，三年还款总计本息82178.54，这个已经就是远超于合同内的利息。</t>
  </si>
  <si>
    <t>2019/10/07 18:55:55</t>
  </si>
  <si>
    <t>投诉人 刘先生        投诉对象  信用管家        涉诉金额  299 元    问题类型    诉求类型投诉详情  私自扣款299。未经允许。并不退还。强制收取</t>
  </si>
  <si>
    <t>2019/10/07 18:55:47</t>
  </si>
  <si>
    <t>严重影响我的正常生活，停止骚扰我的亲戚朋友。</t>
  </si>
  <si>
    <t>2019/10/07 18:55:43</t>
  </si>
  <si>
    <t>上海造艺，百事普惠，强制收取我299元评估费用，在我不知情的情况下从我的个人银行帐户中扣款299元，并且我多次与该公司客服人员联系，没有向我表示可以退款，查询了很多投诉信息，该公司有涉嫌欺骗、套取公民信息擅自扣款个人帐户金额的行为，希望聚投诉可以重视起来。</t>
  </si>
  <si>
    <t>2019/10/07 18:54:48</t>
  </si>
  <si>
    <t>高利贷，套路贷，当日我打电话给客服取消，没人接我电话，当天没人接电话，可下款就有人，客服态度恶劣，原本客服说我的额度10万，我准备借10万分24期，可是进去操作完，额度变1万了，当时没注意看了，就点下款，款还没下来，我就电话给客服，没人接我的，我就搞不懂没人接，当天怎么把钱下了，完全套路，利息都5分了，还不给退，真是人王，我和催款客服说，态度恶劣。</t>
  </si>
  <si>
    <t>2019/10/07 18:54:43</t>
  </si>
  <si>
    <t>帐号被找回，密保手机号被换成卖家自己的了，有证据截图，而交易猫平台却不作为。</t>
  </si>
  <si>
    <t>2019/10/07 18:54:09</t>
  </si>
  <si>
    <t>你我贷严重影响我的生活，恶意骚扰，软暴力崔收。</t>
  </si>
  <si>
    <t>2019/10/07 18:54:02</t>
  </si>
  <si>
    <t>2019年8月28号申请的支付宝借呗结清证明和支付宝还款流水，至今20天过去了，客服只是让等，询问进度也不知道，因为需要进行办理房贷，已经严重影响了生活，别的不说，只希望能加快速度。</t>
  </si>
  <si>
    <t>2019/10/07 18:53:51</t>
  </si>
  <si>
    <t>从我朋友哪里套到我家地址，直接带人上门暴力收款。</t>
  </si>
  <si>
    <t>2019/10/07 18:53:11</t>
  </si>
  <si>
    <t>因为逾期3个月多，今天我的案件给了其他平台代理然后我打电话过去说明情况了结果给我群发联系人。</t>
  </si>
  <si>
    <t>2019/10/07 18:52:38</t>
  </si>
  <si>
    <t>时光分期投诉这么天了，回复讲会与我联系，人呢，如果你们继续这样不理不睬，我会天天去互联网金融平台投诉，因为这平台影响力太小，你们不在呼。</t>
  </si>
  <si>
    <t>2019/10/07 18:51:23</t>
  </si>
  <si>
    <t>投诉人 鞠先生        投诉对象  立借        涉诉金额  5 000 元    问题类型    诉求类型投诉详情  立借借款5000 总还款7480 49.8%利息 远远高于国家规定合法利息</t>
  </si>
  <si>
    <t>2019/10/07 18:51:15</t>
  </si>
  <si>
    <t>用优惠券引诱借款，按优惠券的方式还款了也没见退还应该退还给借款人的相关利息费用。</t>
  </si>
  <si>
    <t>2019/10/07 18:50:50</t>
  </si>
  <si>
    <t>无缘无故扣我的款，希望这家公司客服出来解释下。</t>
  </si>
  <si>
    <t>2019/10/07 18:50:19</t>
  </si>
  <si>
    <t>冒充国家执法机关工作人员对你进行恐吓、暴力催收。</t>
  </si>
  <si>
    <t>2019/10/07 18:48:36</t>
  </si>
  <si>
    <t>投诉人胡先生投诉对象蚂蚁金服涉诉金额6000元问题类型诉求类型投诉详情打电话骂我，要我定位，侮辱人，希望给出解释，因为在工地打工，老板一直推迟发工资，和催收说了，要定位骂我侮辱我，法律都不外乎人情，更何况贷款平台。</t>
  </si>
  <si>
    <t>2019/10/07 18:48:25</t>
  </si>
  <si>
    <t>投诉人 胡先生        投诉对象  你我贷        涉诉金额  4 700 元    问题类型    诉求类型投诉详情  用“呼死你”等软件轰炸我和我身边亲戚朋友。特来投诉请停止骚扰</t>
  </si>
  <si>
    <t>2019/10/07 18:47:51</t>
  </si>
  <si>
    <t>北京恒昌逾期后非法将我本人各类信息爆所有的通讯录，这些名单原没有提供，属于非法侵犯公民隐私，期间多次致电至我爱人上班单位进行辱骂骚扰，致其无法正常工作和生活，现在我和爱人精神都受到了伤害，但是对方仍很嚣张，表示将继续对我们进行骚扰，该合同存在砍头息，放款5万多，合同签订8万多，远远高出国家正常利率！。</t>
  </si>
  <si>
    <t>2019/10/07 18:46:05</t>
  </si>
  <si>
    <t>消费者失恋初期求助无念情感，无念情感承诺一个月挽回，缴费以后无念情感请老师每天发一篇心理学文章给消费者看敷衍消费者，没有任何挽回行为，后来在消费者的催促下编辑了几段文字给挽回对象，不见任何成效，直至服务周期结束，一个月过去了不仅浪费了时间金钱，更是浪费了一个月时间的黄金挽回机会。</t>
  </si>
  <si>
    <t>2019/10/07 18:45:31</t>
  </si>
  <si>
    <t>网贷利率超过百分之三十六，或者是逾期费高于中国人民银行规定的逾期利率。</t>
  </si>
  <si>
    <t>2019/10/07 18:44:45</t>
  </si>
  <si>
    <t>图一手机号码为贵公司外访部工作人员在我完全不知情的情况下，图二座机号码为催收人员冒充国家机关工作人员进行催收。</t>
  </si>
  <si>
    <t>2019/10/07 18:43:43</t>
  </si>
  <si>
    <t>优品商城分期买的手机，刚收到手机，因为是帮朋友买的手机，我的失误拍错了型号！未拆封，和卖家客服协商，不于退货，望给予退货，京东同款手机卖2300元左右，利息太高，挣钱我可以理解，因为是分期的，问题是由于我的失误，拍错型号，不给退换，行为恶劣，这是什么霸王条款。</t>
  </si>
  <si>
    <t>2019/10/07 18:43:17</t>
  </si>
  <si>
    <t>维信卡卡贷在我不知情的我情况下扣除了我卡里999元说是鸿飞担保风险费。</t>
  </si>
  <si>
    <t>2019/10/07 18:43:05</t>
  </si>
  <si>
    <t>本人在2019年5月14日看到路上ofo小黄车并在支付宝平台充值ofo小黄车押金，充值后发现本地区小黄车全是损坏的，无法满足骑行需求，至今未使用其服务，当天下载ofo手机APP线上退还押金操作，发现退款需要排队，并且被排在15956000位，ofo未按照合同履行义务，希望按照相关法律法规立即退还押金。</t>
  </si>
  <si>
    <t>2019/10/07 18:42:41</t>
  </si>
  <si>
    <t>声明提现24小时到账，已经俩天了没到账，需要解决。</t>
  </si>
  <si>
    <t>2019/10/07 18:42:17</t>
  </si>
  <si>
    <t>小浦优客借款1000，需要支付60手续费，另外30利息超出国家法律利率，平台还捆绑式优客白条借款一个月需还2期优客白条，强制性借款收取利息，明显不合理，不合法。</t>
  </si>
  <si>
    <t>2019/10/07 18:41:54</t>
  </si>
  <si>
    <t>希望在这里能得到解决谢谢工作人员，客服不处理就没办法了。</t>
  </si>
  <si>
    <t>2019/10/07 18:40:45</t>
  </si>
  <si>
    <t>投诉人胡先生投诉对象信用管家涉诉金额1400元问题类型诉求类型投诉详情将我的个人信息放到网上，或者到我家里工作单位闹，这已经是对我名誉构成侵害。</t>
  </si>
  <si>
    <t>投诉人薛女士投诉对象绥化太平洋保险公司丑金影以及所在业务室经涉诉金额8000元问题类型诉求类型投诉详情本人被刘夏化名为丑金影的人恶意误导进入了绥化太平洋保险公司上班，并办理了保险，进入公司后才知道我认识的人姓名和年龄都不是真的，刘夏为了多赚一份收入借用他人身份证以丑金影的身份已经在太平保险公司上班很久了，并且在绥化当地的农村信用社还有工作，工作期间丑金影以帮忙的名字骗我4500元的保单和业绩，又在生活中多次以合伙做生意和资金周转为理由多次借钱，第一次25000第二次4000，被骗走的保单和业绩并没有偿还，本</t>
  </si>
  <si>
    <t>投诉人李先生投诉对象钱置宝,立借涉诉金额2100元问题类型诉求类型投诉详情立借旗下钱置宝平台，借款3000，实际到账2100，已还1500，，协商2200销帐，客服多次联系不上，请求帮忙督促。</t>
  </si>
  <si>
    <t>2019/10/07 18:40:39</t>
  </si>
  <si>
    <t>本人于2018年11月向平安普惠平台借贷150000元，分36期还款，目前已经还款10期共还61080元，贵平台本人总共借本金150000元，按该还款方式，三年之后，总归本息共还219894元，其中每月捆绑消费保险费用480元，服务费用900元，这些都是不合理收费，其利息远高于国家规定标准，现本人一女子，刚刚下岗失业，目前正努力寻找工作，失去工作的我目前无收入来源，恳求贵平台挂帐免息，并从已还款额度里扣除相应本金，减少剩余还款额，目前本人已经还款6万多元，按照贵公司的算法我还尚欠将近16万元，而我仅仅只借了</t>
  </si>
  <si>
    <t>2019/10/07 18:40:31</t>
  </si>
  <si>
    <t>至后期2019年开始基本上每个星期只上2-4天没用网络断网无法使用，本人在使用长城宽带期间打长城宽带客服即维修师傅电话不少于百次，八月份开始我打了长城宽带客服电话维修就本人家本户没用网络其他长城宽带用户都有网络，本人怀疑维修师傅有没有上岗证即相关专业资格证，维修师傅维修连续一个礼拜多长达半个月没用维修好了，期间有还过维修师傅出来问题都指责上个维修师傅，后本人安装维修师傅买了一个新的路由器结果不是路由器问题还是修不好，这期间产生新买的路由器费用我想试问是不是有长城宽带承担，我家2018年刚刚装修完居然没有相关</t>
  </si>
  <si>
    <t>2019/10/07 18:39:45</t>
  </si>
  <si>
    <t>2019/10/07 18:39:20</t>
  </si>
  <si>
    <t>安全带借款3000元，21天分为3期，每期7天还款1214元，本人至今已经借款7-8次，利息将近5000元，远远超过国家标准，最后一期实在无力偿还，希望最后一期销账处理。</t>
  </si>
  <si>
    <t>2019/10/07 18:38:40</t>
  </si>
  <si>
    <t>投诉人 胡先生        投诉对象  你我贷        涉诉金额  600 元    问题类型    诉求类型投诉详情  你我贷闪银借的钱都还完了。算了下好像多出了一个月的利息。去讨要无果</t>
  </si>
  <si>
    <t>2019/10/07 18:38:20</t>
  </si>
  <si>
    <t>支付宝借呗还未逾期就对借款人开始催收，违反合同规定，，恶劣行为，正规的平台喜欢做的行为都是正规的，这么多年了，喜欢不要出现这种情况。</t>
  </si>
  <si>
    <t>2019/10/07 18:38:07</t>
  </si>
  <si>
    <t>因家里有急事，导致在小浦优客上的货款逾期，和平台协商不同意的情况下，被催收人员严重骚扰造成生活困扰。</t>
  </si>
  <si>
    <t>2019/10/07 18:37:41</t>
  </si>
  <si>
    <t>投诉人 王女士        投诉对象  捷信金融        涉诉金额  30 000 元    问题类型    诉求类型投诉详情  捷信是不是有病啊？没到还款日就天天催收？别人每天不用工作吗？到还款日就算了，没到催个什么催？有病是不是！</t>
  </si>
  <si>
    <t>2019/10/07 18:36:39</t>
  </si>
  <si>
    <t>结款17900，还未到账，需要付款提现费用2000多，结款合同显示，借款20000元。</t>
  </si>
  <si>
    <t>平安普惠账单逾期，期间也接到平安普惠电话，表示有还款意愿但是现在手上钱不够要晚几天等别人还钱了就立刻处理，并且晚几天单位工资也发了，也能处理了，但是平安普惠一直发一些骚扰短信过来，总是说要配合他们协商处理，但根本就是平安普惠不肯协商，一直发这样的短信来威胁恐吓。</t>
  </si>
  <si>
    <t>2019/10/07 18:36:06</t>
  </si>
  <si>
    <t>2019/10/07 18:35:00</t>
  </si>
  <si>
    <t>投诉人 胡先生        投诉对象  信用管家        涉诉金额  15 000 元    问题类型    诉求类型投诉详情  来我家闹了几天。邻居都看不下去要他们走。差点打起来</t>
  </si>
  <si>
    <t>2019/10/07 18:34:57</t>
  </si>
  <si>
    <t>成都牧马人科技有限公司于2018年7月份发布产品“魔灯智媒”以新四板上市公司的名义招募公众到成都公司考察，会议期间承诺购买“魔灯智媒”产品3个月回本，可持续收益3年，结果到现在已经1年时间，只收回了10%，这样的话3年只能收回30%，净亏损70%，到目前为止成都牧马人还在以相同的方式吸收公众存款，虚假宣传，利诱消费者，希望该公司能立即停止现在的行为，并退还已购买消费者的全部资金。</t>
  </si>
  <si>
    <t>2019/10/07 18:34:35</t>
  </si>
  <si>
    <t>也可以开药，才去挂了号，挂完号之后却又说，看不了，也开不了药，让我去大厅退款，可大厅工作人员却不给退。</t>
  </si>
  <si>
    <t>2019/10/07 18:34:11</t>
  </si>
  <si>
    <t>招联金融8月份的时候打电话给我说我弟弟在他方欠款，当时我跟他们说了我弟弟的情况，弟弟被拘留，手机之类都被警察收着，我们也见不到他本人，请你们理解没见到他本人不能确定他是否真的在你司欠款，现在网络骗子很多，手法也很好，原谅我无法相信你们，当时他们客服也理解了，叫我把拘留证发到他们邮箱处理情况，第二天还是给我打电话我又把拘留证发送到邮箱，10月份天天又给我打电话态度还很恶劣，要求我必须还，说我是她姐姐就帮他还，没等我解释一下，说完还款就挂电话，没办法就打电话到他们招联金融客服，跟他们解释了好多次，让他们理解一下</t>
  </si>
  <si>
    <t>2019/10/07 18:33:54</t>
  </si>
  <si>
    <t>从今年四月还是五月开始，支付宝就莫名其妙限制了我的收款，别人无法给我转账，非常不方便，被限制的原因也不给我说客服也完全像个机器人不理不睬不给解决问题的办法，店大欺客是吗，支付宝厉害啊，垄断市场啊，并且，拨打支付宝客服电话95188永远都没有人接听，最近打了终于有人工客服，但是也都只重复一句话，让我规范使用账号，我真的很莫名其妙，被限制的原因也不给我说，客服也完全像个机器人不理不睬不给解决问题的办法，店大欺客是吗，支付宝厉害啊，垄断市场啊，知道这么霸道是不符合社会主义核心价值观的吗，据我所知我有的认识的人也是</t>
  </si>
  <si>
    <t>2019/10/07 18:33:39</t>
  </si>
  <si>
    <t>恒昌一起诉求提前结清，并告知对方金额，客服也说为提交上报，，10月6日02160634797来电，告知是恒昌工作人员，我也向他说了我的诉求，然后问他工号，一直不肯告知，说为什么要告诉我，态度非常恶劣，下午又来电，告知了工号，说下午刚发的，并致电恒昌客服电话95713让客服查这个工号，但并有查到，说会上报。</t>
  </si>
  <si>
    <t>2019/10/07 18:32:40</t>
  </si>
  <si>
    <t>我在来分期一笔借款，还款时间没有过，从早上开始，一个小时不到就打电话来，一直打，导致我工作上的一些损失，到现在还一直打，已经严重影响到我的工作和日常了，请求立即停止和赔偿！来分期以各种电话来进行骚扰！来分期本身借款利息费用就已经很高了。</t>
  </si>
  <si>
    <t>2019/10/07 18:32:22</t>
  </si>
  <si>
    <t>我在闲鱼客平台充值以后，提现一直没有按约定时间到账，并且在线客服通道直接关闭，qq客服也联系不上。</t>
  </si>
  <si>
    <t>2019/10/07 18:32:03</t>
  </si>
  <si>
    <t>6月12日收货，6月15日第一次温度升高里面是热的，联系商家售后联系我，我有加微信和通话记录做为凭证，后来师傅上门处理好了，过了没几天6月23日又坏了，显示是1度，但里面是热的，打售后电话没人理就找到商家，商家说安排了维修，拖了几天也没人来维修，后来打电话说维修人员忙不过来，让我们自己找人维修，维修看是什么问题钱他们会出，最后我们找到附近的维修点30日才过来维修，当时好了，可隔了2天温度又升高了就让师傅再过来看了，加了氟后好了，可到8月25日温度又升到了1度，里面是热的，我们就又找到商家，商家又派人过来维修</t>
  </si>
  <si>
    <t>2019/10/07 18:31:46</t>
  </si>
  <si>
    <t>借款3万7千元，已还4万2千多元，显示还需还11751．79元，现在天天发信息恐吓朋友及家人！。</t>
  </si>
  <si>
    <t>2019/10/07 18:31:22</t>
  </si>
  <si>
    <t>本该要履行的义务也不履行，现在也联系不到人，我付款了5980元，随后叫我在《e签宝》签了份合同，但我付钱之后他们一直没有履行合同义务运营推广过我的店铺，导致现在合作两个月了一点效果都没有！是一点点效果都没有，百度查了一下他们这个公司，心里凉了一大截，很多人都在百度报道过，我想说的是既然没有效果难道我的血汗钱是白白送给你们公司的吗，我找律师打电话给他们公司座机协商，很敷衍，没有回应，随后又问要他们公司高管的电话，也没有回应，我在12315和深圳市市场监督局投诉过，没有效果，不能退全款最少退一半！还浪费了我两个</t>
  </si>
  <si>
    <t>2019/10/07 18:31:05</t>
  </si>
  <si>
    <t>本人于9月26日开始经朋友介绍去玩闲鱼客刷单，本以为是个正规平台，每天可以赚点佣金，没想到最后被骗1100元，平台不给于提现，希望各位领导尽快处理！本人已把平台收款账号都已提供，还有我打给闲鱼客的流水截图，麻烦各位领导尽快处理，谢谢。</t>
  </si>
  <si>
    <t>2019/10/07 18:30:54</t>
  </si>
  <si>
    <t>想延期几天还，资金困难暂时周转不过来，结果催收还是打电话说不可以延期，催收电话威胁恐吓，我现在确实经济困难，也跟他说了希望延期，我愿意承担因此而产生的费用，催收威胁恐吓，说不处理，要加大催收力度，，威胁打我通讯录电话，2019年4月，全国扫黑办获悉，最高人民法院、最高人民检察院、公安部、司法部联合印发关于办理实施“软暴力”的刑事案件若干问题的意见，明确依法惩处采用“软暴力”实施的犯罪。</t>
  </si>
  <si>
    <t>2019/10/07 18:30:12</t>
  </si>
  <si>
    <t>得仕,山东语锘建筑建筑工程有限公司,广州海通国际货运代理公司，因本人误操作通过云闪付支付两笔金额共计4400元与云闪付公司联系后得知收单方为得仕股份有限公司，与得失客服联系态度极差不与解决，两个收款单位为山东语锘建筑工程有限公司，广州海通国际货运代理有限公司，以上两公司在114查号台未留联系方式，目前已向12315消费协会，支付平台结算举报中心进行投诉与举报现要求得仕公司联系两家商铺惊醒退款，否则会继续向银监会及有关司法部门进行起诉。</t>
  </si>
  <si>
    <t>2019/10/07 18:30:08</t>
  </si>
  <si>
    <t>小浦优客篡改客户正确收款账号以此作为收款不到账为理由还收取前期费用。</t>
  </si>
  <si>
    <t>2019/10/07 18:29:40</t>
  </si>
  <si>
    <t>投诉人刘先生投诉对象你我贷涉诉金额4600元问题类型诉求类型投诉详情涉嫌套路贷砍头息高利贷。</t>
  </si>
  <si>
    <t>2019/10/07 18:29:39</t>
  </si>
  <si>
    <t>钱站，借款一千元，要还一千七百多，高利贷中的高利贷！难道没人管吗。</t>
  </si>
  <si>
    <t>2019/10/07 18:29:31</t>
  </si>
  <si>
    <t>9月16日的时候，我想提前还款，给来分期客服打电话要求一次性还款减免利息，客服态度坚决，说只能按照原来的利息，即使提前还款也不减免，为防止发生逾期，迫于无奈，我就按照原来的利息提前还款了，我既然用钱的时间缩短了，把钱提前还清了，就应该给我一定的利息减免，因为后面的服务我没有享受，在此要求来分期必须把这些提前还款的利息和手续费等钱退给我。</t>
  </si>
  <si>
    <t>2019/10/07 18:26:05</t>
  </si>
  <si>
    <t>捷信找了当地的人去老家恐吓我的家里人说五天之内我不出现他们自己有办法找出来到时候出了什么事别后悔，你们已经威胁到我以及我家里人的生命安全，我有权走法律程序了。</t>
  </si>
  <si>
    <t>2019/10/07 18:25:37</t>
  </si>
  <si>
    <t>投诉人胡先生投诉对象信用管家涉诉金额3000元问题类型诉求类型投诉详情阴阳合同，打电话第一句话就是你把钱都还了，全款5300余元！敢问，借了3000，怎么本金就成了5100。</t>
  </si>
  <si>
    <t>2019/10/07 18:24:22</t>
  </si>
  <si>
    <t>投诉人王先生投诉对象高平市嘉域国际影城涉诉金额0元问题类型诉求类型投诉详情带着自己买的饮料去看电影，检票被拦，要求把饮料存放，禁止带入影厅内。</t>
  </si>
  <si>
    <t>2019/10/07 18:24:05</t>
  </si>
  <si>
    <t>本人于拍拍贷借款，现在想全部提前还清，本人因家里有困难，现在实在负担不起这么高额的利息了，请求拍拍贷和我联系，协商还款！谢谢聚投诉平台！。</t>
  </si>
  <si>
    <t>在客户不清楚的情况下附带协议，后面乱扣银行卡的钱。</t>
  </si>
  <si>
    <t>2019/10/07 18:23:16</t>
  </si>
  <si>
    <t>刷卡消费298元、说的是预付保证金业务人员纯在掩盖事实,侵犯我的知情权，没有清楚的告诉我激活机器需要收费298,含糊其词将机器激活了以后,我发现扣费和他争论,他说激活就退不了。</t>
  </si>
  <si>
    <t>2019/10/07 18:23:04</t>
  </si>
  <si>
    <t>朋友在小浦优客上借款2000元，到账1300元，客服让我在app上确认一下，我不小心点到立即还款，从借款到账到扣款还款前后不到一分钟，客服态度极差，说是我的问题不给退还。</t>
  </si>
  <si>
    <t>2019/10/07 18:22:54</t>
  </si>
  <si>
    <t>借款1000元3期每个月要还493元，一共要还1479元，远远超过国家最高利息，以还清一期，其他要求安国家允许正常利息还清。</t>
  </si>
  <si>
    <t>2019/10/07 18:22:51</t>
  </si>
  <si>
    <t>支付宝不知何时无由限制支付功能、限制登录，严重影响我的正常使用和生活，由于限制支付功能，无法正常付款还花呗，大大降低了我的芝麻信用分，并且没有合适的解决渠道，联系不到人工客服，要求支付宝官方给我一个合理的解释及解决方法。</t>
  </si>
  <si>
    <t>2019/10/07 18:21:19</t>
  </si>
  <si>
    <t>借款15000元实际到账11000！分期12个月！每月还款1315！已经还款8个月了、合计10520！还要还款5260！超过国家规定利率！。</t>
  </si>
  <si>
    <t>2019/10/07 18:21:17</t>
  </si>
  <si>
    <t>中腾信暴力催收，微信联系说明情况后不肯协商，承诺了几天还钱，各种短信群发。</t>
  </si>
  <si>
    <t>2019/10/07 18:21:07</t>
  </si>
  <si>
    <t>本人实名举报易宝支付和苏州尚隆非融资性担保有限公司违规经营，违法为高利贷套路贷平台提供放款服务和结算通道，现通过两家银行流水整理账单，国家扫黑除恶之际，要求退还国家法定利率之外的非法利息及砍头息，给老百姓一条活路，该app为佩琪帮，本人承诺举报真实，如有虚假愿承担法律责任。</t>
  </si>
  <si>
    <t>2019/10/07 18:20:56</t>
  </si>
  <si>
    <t>别人资金周转困难你们利息低点会偿还的，你们不按照国家规定收取利息，第三方支付机构成为帮凶，我现准备材料中，如若不处理我的投诉将到主管部门进行举报，目前易宝支付作为第三方支付机构与其两款高利贷紧密无缝合作，相信会查个究竟。</t>
  </si>
  <si>
    <t>2019/10/07 18:19:49</t>
  </si>
  <si>
    <t>投诉人王先生投诉对象广州锦莹投资涉诉金额10000元问题类型诉求类型投诉详情2018年12月份放锦莹能源10000元钱承诺19年1月份提现本金和利益，到了1月份平台打不开。</t>
  </si>
  <si>
    <t>2019/10/07 18:19:45</t>
  </si>
  <si>
    <t>投诉人多先生投诉对象信用管家涉诉金额3000元问题类型诉求类型投诉详情阴阳合同，借款时显示金额3000，到合同生效打款到账3000，合同显示金额5100，客服解释说这是担保费，服务费等等！合同上只显示服务费88.57，并未见2000多元的费用为何费用！打电话给客户，客服说上报处理，但是一群不知名的电话告诉我他是客服，打电话第一句话就是你把钱都还了，全款5300余元！敢问，借了3000，怎么本金就成了5100。</t>
  </si>
  <si>
    <t>2019/10/07 18:19:37</t>
  </si>
  <si>
    <t>投诉人包先生投诉对象瑞银信瑞卡贷涉诉金额2100元问题类型诉求类型投诉详情瑞银信瑞卡贷国庆期间催收，说了国庆节后钱到账，他们催收还是打电话催收，就逾期了七天还没到，暴力催收，不给商量余地。</t>
  </si>
  <si>
    <t>2019/10/07 18:19:33</t>
  </si>
  <si>
    <t>投诉人邱平投诉对象小浦优客涉诉金额1020元问题类型诉求类型投诉详情朋友在小浦优客借款5300元到账5300元合同金额成了6320元，加了1020元信息咨询服务费算利息导致逾期，逾期费高达300多元请求给出合理解释为什么逾期费这么贵。</t>
  </si>
  <si>
    <t>2019/10/07 18:18:27</t>
  </si>
  <si>
    <t>马上消费金融，本来已经沟通好了的，还要进行这样暴力催收，催收人员句句伤人自尊，不作出道歉，。</t>
  </si>
  <si>
    <t>2019/10/07 18:18:21</t>
  </si>
  <si>
    <t>利息也已经还了1000多了，本人因家里有困难，现在实在负担不起这么高额的利息了，请求苏宁金融和我联系，协商利息！谢谢聚投诉平台！。</t>
  </si>
  <si>
    <t>2019/10/07 18:17:52</t>
  </si>
  <si>
    <t>投诉人刘先生投诉对象你我贷涉诉金额1000元问题类型诉求类型投诉详情群发个人信息给手机联系人同事家人纷纷受到骚扰，暴力催收，完全不给协商的余地！承诺额度长期有效的，现在冻结了可用金额！暴力催收威胁性短信！大机构想不到手段比高利贷还高利贷！坚决投诉。</t>
  </si>
  <si>
    <t>2019/10/07 18:17:48</t>
  </si>
  <si>
    <t>7天周期的理财产品国寿周周盈赎回时间居然变14天，与客服沟通始终解决不了，投诉望能解决让更多投资者了解不要上当受骗，希望以后完全杜绝这种平台，。</t>
  </si>
  <si>
    <t>2019/10/07 18:16:17</t>
  </si>
  <si>
    <t>但山东移动营业厅app客服、10086电话客服。</t>
  </si>
  <si>
    <t>2019/10/07 18:16:07</t>
  </si>
  <si>
    <t>今天联系信而富高利贷平台注销账户，该平台客服直接说信而富不能注销用户账号，先前就怀疑信而富泄露了我的个人信息，现在他们也不给注销，本人不差信而富任何费用，希望平台跟进处理诉求。</t>
  </si>
  <si>
    <t>2019/10/07 18:16:01</t>
  </si>
  <si>
    <t>投诉人钟女士投诉对象钱置宝涉诉金额3000元问题类型诉求类型投诉详情立借的钱置宝我当时点开来申请3000元的额度，却到账只有2100，没有任何提示要扣的费用，却只到账2100，还了两期后还有两期还款不上，联系客服，客服说有专人打电话来处理，中途联系过好几次，都联系不上，也没有自动扣款，过了十多天没有一个人处理，逾期费一天一天的涨，现剩下的两期一千块利息却近五百元，逾期费高达一千元，我怀疑是不是故意控制的还款不上。</t>
  </si>
  <si>
    <t>2019/10/07 18:15:59</t>
  </si>
  <si>
    <t>借款5500总共3期还了2000，现在是第二期逾期4天，给我电话跟听不懂人话一样跟他说要等一段时间给他们，就一个劲的说我不还了怎样怎样的，然后打我通讯录电话在我朋友那说我是老赖欠钱不还什么的，你们这样我现在是投诉你们，明天再打我就报警，恐吓，威胁，损害我名誉，说一些子虚乌有的事！。</t>
  </si>
  <si>
    <t>2019/10/07 18:15:55</t>
  </si>
  <si>
    <t>客服人员你们好，我叫徐明明，今年2月份在许昌市一个饭店当员工，期间我的微信收款码用于店里收款，，4月初辞职，月底发现微信支付被永久冻结，零钱没法提现转出，我寻求微信客服很多次都没有结果，我希望客服帮我解决一下这个问题。</t>
  </si>
  <si>
    <t>2019/10/07 18:15:12</t>
  </si>
  <si>
    <t>10月7日下午，及贷催收人员对我进行暴力催收，辱骂，担心轰炸长达6小时左右，并对非法获取的通讯录进行拨打，严重骚扰通讯录中的好友。</t>
  </si>
  <si>
    <t>2019/10/07 18:13:58</t>
  </si>
  <si>
    <t>投诉人顾先生投诉对象立借涉诉金额4000元问题类型诉求类型投诉详情立借没有预期开始爆我通讯录，借了1万分12期，头3期就要还所有本金加利息，后面9期就还一点点利息，严重超出国家规定利息，高利贷！。</t>
  </si>
  <si>
    <t>2019/10/07 18:13:46</t>
  </si>
  <si>
    <t>希望上海银行能协商解决还款，停止对我的诉讼和骚扰，我是因为脚意外事故受伤，导致信用卡的逾期。</t>
  </si>
  <si>
    <t>2019/10/07 18:13:30</t>
  </si>
  <si>
    <t>省呗逾期3天金额3350元，省呗平台所有借款包含本金和利息74000元，现在无力按时偿还贷款，为了更好的还款，希望平台申请减免利息和违约金，但是客服说不能减免，而且还要冻结账户一次性还清所有欠款，三千多都还不上了，你还要一次性还清，这不是把人往死里逼吗，因为前2年投资失败，所以才借的款，现在也有稳定工作，有还款意愿，但是也负担不起这么高的利息，想想现在做实业的哪个行业能有20%的利润！！如果省呗要一次性结清，能否申请只还本金或者少部分利息。</t>
  </si>
  <si>
    <t>2019/10/07 18:12:50</t>
  </si>
  <si>
    <t>结款17900，审核通过，需要提现费用2000多，借款项目20000，总额度需要30000多，不能提前还款。</t>
  </si>
  <si>
    <t>2019/10/07 18:12:42</t>
  </si>
  <si>
    <t>131******01催收人员恐吓威胁本人在救急白卡申请了3500的贷款，但是平台从未放款，一直显示等待放款的状态，现在每天打电话来叫我还款，还威胁我要骚扰我的亲朋好友，还上真信，借款编号:Z01*************2等待放款申请日期2019-08-253500元借款金额。</t>
  </si>
  <si>
    <t>2019/10/07 18:12:41</t>
  </si>
  <si>
    <t>找靓机上面回收iphonex,第一次回收价：3415，价格不满意，退回给我，检查没问题，第二次回收价格：2837，退回给我，发现屏幕多了4条严重划痕，怀疑质检师傅弄的，故意压价，每次都是同一个质检师傅。</t>
  </si>
  <si>
    <t>2019/10/07 18:12:29</t>
  </si>
  <si>
    <t>借款1800元，分3期，每月需还款958元，年利率高达239%，阴阳合同，超级高利贷。</t>
  </si>
  <si>
    <t>2019/10/07 18:12:14</t>
  </si>
  <si>
    <t>付宝在注销账号的时候没有提示会占用身份信息，导致我现在实名认证不了，支付宝里的余额钱也提现不出来，这种损失谁来承担，联系客服客服推脱责任，。</t>
  </si>
  <si>
    <t>2019/10/07 18:12:13</t>
  </si>
  <si>
    <t>除紧急联系人之外我朋友家人也收到了催收的电话，损毁个人名誉，以及威胁恐吓。</t>
  </si>
  <si>
    <t>2019/10/07 18:12:08</t>
  </si>
  <si>
    <t>投诉人刘女士投诉对象微网贷多米贷涉诉金额8000元问题类型诉求类型投诉详情本人在微网贷多米贷的贷款已经结清，为什么还有催收打电话给我催债呢。</t>
  </si>
  <si>
    <t>2019/10/07 18:10:32</t>
  </si>
  <si>
    <t>在可以联系上本人的情况下，依然不停拨打家人电话进行骚扰，恐吓，本人确实存在逾期行为，但欠款的是我，并不是家里人，仿佛觉得家属欠他们钱一样，不停拨打不知情的家属电话，且在家属向我传递了他们意思的情况下，依然拨打，要个解释和道歉。</t>
  </si>
  <si>
    <t>2019/10/07 18:10:22</t>
  </si>
  <si>
    <t>投诉人邱平投诉对象小浦优客涉诉金额50元问题类型诉求类型投诉详情阴阳协议，隐藏可以自动扣费选项，挣黑心钱良心被狗吃了。</t>
  </si>
  <si>
    <t>2019/10/07 18:10:08</t>
  </si>
  <si>
    <t>1.综合年息80%2.收取质保金，变相砍头息3.上门催收。</t>
  </si>
  <si>
    <t>2019/10/07 18:07:58</t>
  </si>
  <si>
    <t>在用户根本不知道的情况下连通知都不通知直接扣费，这根本属于欺诈。</t>
  </si>
  <si>
    <t>2019/10/07 18:07:35</t>
  </si>
  <si>
    <t>投诉人秦先生投诉对象一拳超人：最强之男,玩蟹科技,天马时空,北京掌趣科技,聚逸涉诉金额26131元问题类型诉求类型投诉详情10/1日北京时间凌晨五点、此游戏更新出了限时招募金属、国庆礼包等活动，客服简单草草了事说此问题会统一进行处理请我耐心等待，即便如此我还是跟客服说，如果只是补偿游戏道具的话，我是不愿意的，对此本人进行了游戏充值了，在充值过程中有数几笔交易异常，详细比较复杂拿其中一笔举例说明下：本人针对金属骑士招募活动进行抽卡、一直没有出来，把商城所有限时抽卷优惠活动礼包买光了、结果还未抽出、于是购买了所</t>
  </si>
  <si>
    <t>2019/10/07 18:07:29</t>
  </si>
  <si>
    <t>投诉人李女士投诉对象天猫超市,天猫商城涉诉金额157元问题类型诉求类型投诉详情本人于2019年10月6日16:32:18在天猫超市付款下单，订单上明确表示将在10月7日送达，他的话语里透露出如果你不接受10元的赔偿那你去投诉吧，我首先是找了天猫超市客服：思九宸沟通，他给出的处理方案是赔偿10元无门槛优惠券并催促尽快发货，我并不接受，不接受原因如下：1、10元无门槛优惠券并无任何实际的补偿意义，首先天猫超市平日所分发的优惠券都比此券划算，并且此券无法叠加，当有更划算的券的时候，此券无法使用;2、天猫超市需要满</t>
  </si>
  <si>
    <t>2019/10/07 18:07:19</t>
  </si>
  <si>
    <t>本人在宜信普惠APP完成注册填写资料，应他们的所谓公司规定违约金先转账给陆军华贷款总额的5%3400元后，68000元的贷款资金打入App的钱包，但无法提现，又应要求再转账给赖彩霞5%3400元，第三图是打款失败，说是我填写的银行卡号不对，钱款在银行那里，其实是他们可以修改我在app上的资料，现在他们赖我填写资料不认真造成的，我百口难辩，希望贵平台能回应我的诉求，严惩弄虚作假的网络平台。</t>
  </si>
  <si>
    <t>2019/10/07 18:06:52</t>
  </si>
  <si>
    <t>投诉人邢先生投诉对象京东商城涉诉金额49元问题类型诉求类型投诉详情京东商城未提醒我付款的情况下，就随意取消我已经支付定金的订单，此订单赠送小米智能插座，后期与客服沟通，说重新购买，会申请补发，需要确认收货后才能申请，所以我重新下单，确认收货后联系客服，客服说申请失败。</t>
  </si>
  <si>
    <t>2019/10/07 18:06:48</t>
  </si>
  <si>
    <t>“省呗”的催收电话，不是本人所欠债务，带威胁用语，打过3次，“省呗”平台违法窃取我的信息，希望上级领导彻底严查此平台。</t>
  </si>
  <si>
    <t>暴力催收，威胁恐吓，爆家人亲戚朋友电话使无法正常工作生活，违法违规，强烈要求停止一切违法行为，给出合适解释，整治违法平台，还我们一个合理解释，威胁我说不怕举报使劲举报请问你们视法律于何方，社会的毒瘤请你们停止一切违法行为！你们这样的无道德底线不怕遭报应吗，依次我们强烈要求跟进金融协会发布的条约，停止你们的暴力行为，停止你们的违法行为，停止你们的无道德底线，停止侮辱长辈，停止谩骂亲戚朋友还我们一个和谐的工作环境！。</t>
  </si>
  <si>
    <t>2019/10/07 18:06:04</t>
  </si>
  <si>
    <t>在对啊网购买初级课程，对啊网老师加我的微信，天天给我发消息让我报名学习，给我各种说各种好，我说没有时间金钱基础，还鼓励诱导我使用分期，并且给我保证说是基础班，结果上了一两节课发现根本不是什么基础班，听都听不懂，后来又在网上看网评不好，又加上自己怀孕生孩子没有时间学了，就想退课，对啊网的老师和售后各种推，结果不给退，各种理由拒绝，还说没有人情，全是保护他们的言辞，我们消费者怎么办。</t>
  </si>
  <si>
    <t>2019/10/07 18:05:18</t>
  </si>
  <si>
    <t>借贷公司，该第三方称是扫描该公司二维码操作借款的，否则不会有那么高额度，年利率超过国家规定的24%，且下款之前并未告知当事人利息，因本人失业再加上刚做完手术花了一大笔钱，两次与该平台沟通申请调低利率未果，催收人员放话明日不还款将曝光通讯录，另客服说每期还款里包括了保费，请贵公司对图片里扣除的保费作出解释。</t>
  </si>
  <si>
    <t>2019/10/07 18:05:05</t>
  </si>
  <si>
    <t>高德导航上车点风阳现代宾馆去吉安往东面，上车点风阳现代宾馆去石溪村往西面，本人设置只听去吉安站的订单，按平台规则不顺路无责取消，我这反向都相反更加是一目了然！图1是订单时间、图2和3是同一上车点两个目的地导航、图4和5是滴滴平台设置顺路单却不顺路无责取消规则。</t>
  </si>
  <si>
    <t>2019/10/07 18:04:01</t>
  </si>
  <si>
    <t>因去年在该医院购买小气泡项目，项目里自带的面膜已用完，但项目次数并没做完，服务人员也说了下次来时自己带面膜，今天来做脸，医院工作人员说，不可以自带面膜，必须在该院购买面膜产品，我觉得这是在强制消费，该条例不合理，工作人员说怕卫生局查，难道工商局就不怕了么。</t>
  </si>
  <si>
    <t>2019/10/07 18:03:40</t>
  </si>
  <si>
    <t>投诉人周先生投诉对象贷上钱涉诉金额2500元问题类型诉求类型投诉详情贷上钱以购买金豆为由，，明明借了2500却要还3600，希望有关部门管管，暴力催收威胁和恐吓我，爆我通讯录，到处爆我通讯录，。</t>
  </si>
  <si>
    <t>2019/10/07 18:03:14</t>
  </si>
  <si>
    <t>投诉人苏苏锐投诉对象人人快送涉诉金额510元问题类型诉求类型投诉详情我9月25号提现到现在10月7号还没有到账，很多人都是，我辛苦挣这么多天的钱，客服电话也直接打不通，让我们怎么办。</t>
  </si>
  <si>
    <t>2019/10/07 18:02:45</t>
  </si>
  <si>
    <t>钱都还完了还要加收400多的服务费协商几次了都不行。</t>
  </si>
  <si>
    <t>2019/10/07 18:02:19</t>
  </si>
  <si>
    <t>分9期还款实际还款金额近3000元，远超国家规定36%利率，且逾期费用惊人，依据何在，法律何在。</t>
  </si>
  <si>
    <t>2019/10/07 18:01:32</t>
  </si>
  <si>
    <t>立借变相高利贷，套路，借款6000十二期，前三期就需还7560元，后面每期66.6元，利息超过国家法律规定，现已还两期，要求按照国家规定利率结清剩余欠款，现已告知家人，如不解决，家人就报警。</t>
  </si>
  <si>
    <t>2019/10/07 18:01:25</t>
  </si>
  <si>
    <t>本人通过上海造艺*技术有限公司的聚富分期app，注册贷款，聚富分期在我不知情的情况下扣除我299元的评估费，期间都是提示贷款的操作，未经过本人同意及确认扣了我银行卡299元，我都没输入银行卡密码，是在半夜私自盗刷我银行卡的，聚富分期属于诱导欺诈，我要求聚富分期能把受害者的299元退还。</t>
  </si>
  <si>
    <t>2019/10/07 18:01:13</t>
  </si>
  <si>
    <t>贷上钱的催收天天电话骚扰还威胁恐吓，已经对我生活造成了严重的影响，已经说过很多次了，一般的朋友，，早已联系不上，，还一天天的打电话，态度还不好，要求号码设置禁呼并道歉，如继续骚扰，那就进一步银监会投诉。</t>
  </si>
  <si>
    <t>2019/10/07 18:00:06</t>
  </si>
  <si>
    <t>个人信息已经泄露被他人盗取我的个人信息在你我贷平台贷款，目前这笔贷款尚未通过，但此问题特别严重，我本人用本机号码致电你我贷客服工作人员，给我回馈的信息是只要通过一张身份证和自己的照片就能继续办理贷款，因此我想确认一下贷款公司放贷是否不需要与本人致电沟通核实，这样的做法是否合法合规。</t>
  </si>
  <si>
    <t>2019/10/07 17:59:49</t>
  </si>
  <si>
    <t>信用管家在放款时收取所谓的会员费用才能放款，乱收费的行为真的可恶，到手之后跟贷款金额差点谁心里舒服。</t>
  </si>
  <si>
    <t>2019/10/07 17:59:47</t>
  </si>
  <si>
    <t>交通银行信用卡第三方催收没有道德，违规催收，希望不要用违规催收单位。</t>
  </si>
  <si>
    <t>2019/10/07 17:59:32</t>
  </si>
  <si>
    <t>本人于2019.9.28日下载易融云商APP申请贷款，填写完贷款申请资料后，点击下一步，弹出了一个vip窗口，随后网银收到一条扣款信息消费99元，显示为无卡自助消费，填写申请资料途中并没有提示需要取任何费用，只需要完成实名制，绑定银行卡用于发放贷款和后期还款，现在提出以下质疑，第三方在没有密码，没有扣款短信验证码的情况是否有权力扣除他人名下的私人财产，第二，如果要收取其他费用为何不能明确的写出来告知当事人。</t>
  </si>
  <si>
    <t>2019/10/07 17:58:39</t>
  </si>
  <si>
    <t>投诉人 范舒        投诉对象  多宝分期        涉诉金额  4 000 元    问题类型    诉求类型投诉详情  本人在七月二号在平台借款四千元 两个月 四期每十五天一期 一期还款1599 无逾期还款三期 最后一期要求减免销账 三期还款四千八百元 已经超出国家利率百分之二十四之上</t>
  </si>
  <si>
    <t>2019/10/07 17:57:24</t>
  </si>
  <si>
    <t>8月12日，但至今无回款，联系客服被告知不清楚，无任何处理方案，1、充值提现直接在公司页面，怀疑没有存管银行，不是正规公司2、怀疑是虚假的匹配，并且匹配的债转协议上没有任何签章现请求有关部门协助追回本息，谢谢。</t>
  </si>
  <si>
    <t>2019/10/07 17:57:04</t>
  </si>
  <si>
    <t>支付宝泄漏收货人信息电话给催收公司，催收公司打电话骚扰收货人，对无关人员造成严重骚扰，，这种行为相当恶劣，必须曝光，希望投诉平台能帮忙。</t>
  </si>
  <si>
    <t>2019/10/07 17:56:50</t>
  </si>
  <si>
    <t>投诉人杨先生投诉对象360借条涉诉金额2500元问题类型诉求类型投诉详情求公正，求公平。</t>
  </si>
  <si>
    <t>2019/10/07 17:54:53</t>
  </si>
  <si>
    <t>看到发短信过来，说白条分期同意下款，刚好最近需要资金，就下载了他们的平台白条分期，然后注册账号，最后到借款这步，里面写着交所谓249的会员费就可以拿3000额度的借款金，我扣完钱之后，然后给我推荐一些特别高利息的一些网贷平台，让我在里面选择贷款，打客户电话客服说他们只是网贷推荐平台，不是下款平台，只会推荐一下网贷的平台让我自己选择，我提出来让他们退会员费，他们说无法退还，只有在5家平台上借款，如果都拒贷的情况下才能申请退款，问题是他们推荐的网贷平台利息特别高，没办法用，也不敢用，这时我有一种上当受，的感觉，</t>
  </si>
  <si>
    <t>2019/10/07 17:54:04</t>
  </si>
  <si>
    <t>接受平台协商，但是应按照法律规定的来，这个及优的客服之前就恶意恐吓，不但骚扰亲友，还要恶意传播法律知识以求达到自己的利益。</t>
  </si>
  <si>
    <t>2019/10/07 17:52:31</t>
  </si>
  <si>
    <t>还款日期还没有到，而且从未逾期，客服人员提前催收并恶语相向，多次打电话骚扰，恐吓借款人，是个女客服，希望这位客服可以站出来道歉！并停止提前催收！！！。</t>
  </si>
  <si>
    <t>2019/10/07 17:52:14</t>
  </si>
  <si>
    <t>2019/10/07 17:51:40</t>
  </si>
  <si>
    <t>在明显知道学生无力还款的情况下还放款给学生收利息，现在催收公司找上门还钱，良心被狗吃了。</t>
  </si>
  <si>
    <t>2019/10/07 17:51:27</t>
  </si>
  <si>
    <t>借款2000元，砍头息就扣掉500元，实际到账1500元，变相的高利贷。</t>
  </si>
  <si>
    <t>2019/10/07 17:51:11</t>
  </si>
  <si>
    <t>在信用管家平台借的6000块钱贷款，结果还没到合同还款日，就私自扣去500块钱，没按照合同规定，属于欺诈行为。</t>
  </si>
  <si>
    <t>2019/10/07 17:50:13</t>
  </si>
  <si>
    <t>自由魔卡平台里的信用计划借款，先以购买会员的方式一次性支付300元，成为会员后可加入信用计划借款，借款2000元，还需要支付所谓的备付金350，支付完成后到账，借款期限30天，实际还款时间28天，变相的以买会员卡及支付备付金的形式收取砍头息，并且其客服人员态度恶劣，后期客服电话也打不通，希望有关部门能介入调查，本人已经将所有相关转账记录，手机截图等相关证据保留，将以书面形式递交材料，向上一级央行及银保监会、工商管理总局，互联网金融协会等相关部门投诉，必要时将以起诉的形式向法院提起诉讼。</t>
  </si>
  <si>
    <t>2019/10/07 17:49:54</t>
  </si>
  <si>
    <t>投诉人 许先生        投诉对象  中金支付，工商银行，嘉盈顺        涉诉金额  299 元    问题类型    诉求类型投诉详情  没有消费，没有签约，突然就扣费，没有通知</t>
  </si>
  <si>
    <t>2019/10/07 17:49:46</t>
  </si>
  <si>
    <t>捷信长期电话骚扰我，说是有个人借款逾期了，联系人留的我的手机号，我接过很多次电话告诉他们我不认识，捷信员工也表示会给我记录下来核实，核实大半年了还没核实好吗，给我打了半年以上电话，电话号码是我本人实名的，我用了十几年，没有被冒用过，又不是我欠钱，当初借给别人怎么不核实好联系人信息，严重影响我的工作和生活，请立马停止骚扰行为。</t>
  </si>
  <si>
    <t>2019/10/07 17:49:39</t>
  </si>
  <si>
    <t>逾期第三天多个好友亲戚手机被骚扰本人也被恐吓扬言把我照片发给手机通讯录上的亲人好友要搞臭我态度极其横蛮高额服务费在线反馈了问题，至今也未见答复。</t>
  </si>
  <si>
    <t>2019/10/07 17:49:29</t>
  </si>
  <si>
    <t>本人19年2月份支付宝网商贷被熟人盗刷30000.分8次转入其妈妈支付宝名下，事发第二天向支付宝报案，并提供资金去向跟用户名，立马去银行打流水账单，并报警，同年5月，嫌疑人被抓，现在再检察院走流程，目前被抓已5个月，连续几次拨打支付宝电话，协商理赔事宜，支付宝回来我的是，经过核查，不在理赔范围，犹豫之间已经在支付宝也有13000贷款未还清，总共贷款2万，都是按月还款，事发后，导致事业遇到难处，加上一心协助警方办案，没有工作跟经济来源，我个人欠下的网商贷，在工作后会按月还款！另外之前已表明是被盗，朋友们还能接</t>
  </si>
  <si>
    <t>2019/10/07 17:48:42</t>
  </si>
  <si>
    <t>立借借款1万，分三期每期费用高达4632元，要求协商提前还款被拒绝，并称无法提供当时办理时的协议。</t>
  </si>
  <si>
    <t>2019/10/07 17:48:19</t>
  </si>
  <si>
    <t>商家未履行承诺，详情页有免单规则，我活动前也咨询过，承认有免单，现在他家反悔耍赖，行为恶劣，耍赖反悔，临时改规则，请处分他们和给我退款，我符合要求免单。</t>
  </si>
  <si>
    <t>2019/10/07 17:48:17</t>
  </si>
  <si>
    <t>投诉人杨先生投诉对象来分期涉诉金额17500元问题类型诉求类型投诉详情我上次有投诉过来分期，说提前还款可以减少百分之20利息，本来来分期利息就太高了，远远超过国家保护利息之内，我一个月后提前还款了，然后来分期说没有这个优惠了，这不是忽悠人，借17500一个月还了21000多，高利贷不为过吧，我会继续往银监会，消费者保护协会继续投诉！。</t>
  </si>
  <si>
    <t>2019/10/07 17:48:16</t>
  </si>
  <si>
    <t>当初借款只到账50000元，而合同上却写72500，现在已经还了83000多，本金加利息，已经远远足够，合同本身就是不合法的，我都还了8万多了，他们还在苦苦相逼，且严重影响我的征信，我有银行还款流水记录，请帮忙主持公道啊。</t>
  </si>
  <si>
    <t>2019/10/07 17:48:10</t>
  </si>
  <si>
    <t>在这期间并没有提到什么费用的问题并且没有一个具体的数额，在今天下午五点突然收到一个信息显示扣去了我296元的什么报告费。</t>
  </si>
  <si>
    <t>2019/10/07 17:47:55</t>
  </si>
  <si>
    <t>8月5号开始在趣惠买平台有过贷款，所有贷款已经还清，趣惠买口口声声说自己一个转卖平台，转卖的第三方叫闲品铺子，你说你是正规的，为什么最近还款不能用银行卡还款了，还有支付宝还款为什么是酒店管理，扫码支付，我是昨天还款的，还款截图没有了，有支付宝截图，详情看图片，@趣惠买，请给我解释一下，为什么还款是支付宝扫码支付酒店管理，你给我一个满意答案我不需要你退你非法所得砍头息，@支付宝，趣惠买是一个高利贷平台，轻关闭他们的支付通道，你是一个有良心的平台，这么多年了口碑也不差，希望不要做这种有影响的事情。</t>
  </si>
  <si>
    <t>2019/10/07 17:46:28</t>
  </si>
  <si>
    <t>10月7日中午，打电话过来直接就开始骂人，并连续威胁辱骂我，严重泄漏我的隐私，&amp;lt;br&amp;gt;在我提出诉求后仍然不回应，还是采取暴力催收，并且扬言要把我的个人信息截图全部发送出去。</t>
  </si>
  <si>
    <t>2019/10/07 17:45:07</t>
  </si>
  <si>
    <t>钱站阴阳合同，借款37000合同51000。</t>
  </si>
  <si>
    <t>2019/10/07 17:44:10</t>
  </si>
  <si>
    <t>加上385服务费利息远远超过年利率百分之36高达百分之67.8多。</t>
  </si>
  <si>
    <t>2019/10/07 17:43:46</t>
  </si>
  <si>
    <t>本人之前借用万达贷9000元，因自身原因未按时还款，今年七月一位青岛北极资产的催收员联系我称万达贷欠款已经打包给青岛北极资产并协议好分期每月15号还款，八月份还款2000元，九月份未到还款日又有一个北极资产的人给我打电话说我的案子以后她负责，并一直追问我什么时候还钱，我联系了之前的催收员称他们公司内部矛盾让我不用理会，之后我又打他们的4008807733投诉电话问到底谁负责我的案子，客服却说你欠钱该还就还行了，管他谁负责呢！整天给我打电话发微信，今天又给我打电话发微信，我在工作没接，还说我再不还钱就联系我公</t>
  </si>
  <si>
    <t>2019/10/07 17:43:03</t>
  </si>
  <si>
    <t>还呗平台工作人员态度极其恶劣恶意骚扰！本人储蓄卡一直处于冻结状态，因此还呗仅余600左右未还，已与工作人员说明情况，但工作人员不依不饶换各种不同地区电话对本人及家人进行骚扰。</t>
  </si>
  <si>
    <t>2019/10/07 17:42:53</t>
  </si>
  <si>
    <t>投诉人刘先生投诉对象同程旅游涉诉金额300000元问题类型诉求类型投诉详情违法开设赌博平台，利用受害人的心理购买钻石抽奖，搏一搏单车变摩托，跟上央视的一元云购一个性质，违法博彩，我要求退费退钱，后台设置好谁中就是谁中，先开始让你中一点，结果一下子就把你套进去了，两个账号先后冲进去几十万，我要求退费，并且保留证据，向法院起诉，明文要求不允许开设时时彩，抽奖等博彩活动，连正规彩票都不让网上卖了，他们藐视法律。</t>
  </si>
  <si>
    <t>2019/10/07 17:41:16</t>
  </si>
  <si>
    <t>信用管家平台对消费者恶意盗刷银行卡里的人民币，联系客服未果，推脱责任，只有在投诉平台希望能解决。</t>
  </si>
  <si>
    <t>2019/10/07 17:41:09</t>
  </si>
  <si>
    <t>冒充国家执法机关工作人员对我妹妹进行恐吓、发法院受理书起诉我妹妹。</t>
  </si>
  <si>
    <t>2019/10/07 17:40:19</t>
  </si>
  <si>
    <t>投诉人康先生投诉对象豹子贷app涉诉金额299元问题类型诉求类型投诉详情2019年9月10号豹子贷在我不知情的情况下私自扣除我银行卡里的钱，这属于盗取客户信息，属于违法行为，。</t>
  </si>
  <si>
    <t>2019/10/07 17:40:16</t>
  </si>
  <si>
    <t>投诉人穆先生投诉对象钱站涉诉金额1450元问题类型诉求类型投诉详情我只借了2000块钱，现在都还了2600多了……还在疯狂打电话骚扰威胁我……。</t>
  </si>
  <si>
    <t>2019/10/07 17:39:46</t>
  </si>
  <si>
    <t>借款本金1000元，合同上却写1330元，明摆着砍头息，每个月还400多元，分3个月还清，违约金100元，这利息太厉害了。</t>
  </si>
  <si>
    <t>2019/10/07 17:39:32</t>
  </si>
  <si>
    <t>投诉人郭先生投诉对象来分期涉诉金额5700元问题类型诉求类型投诉详情已经几天了还没解决有额度不可用的问题，等了48小时，又说等48小时，这种服务态度有点差。</t>
  </si>
  <si>
    <t>2019/10/07 17:39:08</t>
  </si>
  <si>
    <t>还款时你我贷app无法主动还款，代扣还款也是失败，联系你我贷客服，客服让我对公还款可你我贷那边还一直不销账，不知是什么原因，望贵平台联系你我贷那边负责人员让其与我联系。</t>
  </si>
  <si>
    <t>2019/10/07 17:38:16</t>
  </si>
  <si>
    <t>投诉人钟女士投诉对象聚富分期涉诉金额299元问题类型诉求类型投诉详情2019年10月5日下载聚富分期，填写资料第二天扣除50评估报告费用，第二天扣除249元，打客服电话要求邮寄身份证复印件还要手持身份证照片还要邮寄审核半个月以后注册失败才能考虑退款。</t>
  </si>
  <si>
    <t>2019/10/07 17:36:24</t>
  </si>
  <si>
    <t>本人在9月8日在智行火车票软件上抢10月7日由泉州到南昌西G1684，列车，但由于两个都没抢到，所以在9月13日购买厦门北到南昌西D6524，2019年10月7日D6524次列车，当时智行火车票没有显示购票冲突，，成功购买了D6524,9月29日铁路局发送消息显示本人尾号000的订单，与D6524冲突，终止抢票，会退还预付款，但迟迟没退，且登入不进去智行火车票检查有没有真正取消，10月7日距离发车十五分钟，智行发送短信显示所抢的其中一班D3288列车抢票成功，在抢票时本人已先预付款，两辆车的发车时间距离两个</t>
  </si>
  <si>
    <t>2019/10/07 17:36:12</t>
  </si>
  <si>
    <t>环境卫生差，床上有虫子被虫子叮咬，隔音不好。</t>
  </si>
  <si>
    <t>2019/10/07 17:35:49</t>
  </si>
  <si>
    <t>投诉人王先生投诉对象来分期涉诉金额23000元问题类型诉求类型投诉详情我在2019-3-24日借了一笔本金17800的贷款分12期没期还1780多，总还款是21000多，利息有3658多！已经是高利贷性质了，为什么我今天打征信报告显示我这笔贷款发放了23800元，那利息5000多了，请给出合理的解释。</t>
  </si>
  <si>
    <t>2019/10/07 17:35:18</t>
  </si>
  <si>
    <t>投诉人 蔡女士        投诉对象  钱站        涉诉金额  24 000 元    问题类型    诉求类型投诉详情  账单当天打电话辱骂 恐吓 态度很不友好 希望道歉 然后发薪日调整了 宽限3-5天</t>
  </si>
  <si>
    <t>2019/10/07 17:34:51</t>
  </si>
  <si>
    <t>前次因资金紧张而导致逾期了两天还清欠款，结果封印我三个月借款技能，希望能给我解除封印。</t>
  </si>
  <si>
    <t>2019/10/07 17:34:44</t>
  </si>
  <si>
    <t>借14000到最后还20000多每个月等额还也没关系，现在开始三个月都还完了，剩下的9个月每个月就100多还辱骂父母，骂完了就撤消。</t>
  </si>
  <si>
    <t>你们家是我见过最不要批脸的催收，我家里人出任何事我一定不会让你们家好过，我不停的被你们家暴力催收，上个月也和你们商量好了接下来的欠款每月处理一千，你们这个月喊了一个女的骚扰我是几个意思，骚扰我就算了，能和我联系的同时骚扰我爸爸，你们很喜欢这套吗，可以，你们家要起诉就起诉，滚，不要批脸，诚心诚意还款你们就这样逼人太甚。</t>
  </si>
  <si>
    <t>2019/10/07 17:33:44</t>
  </si>
  <si>
    <t>投诉人周先生投诉对象中腾信涉诉金额40000元问题类型诉求类型投诉详情借款25,000，合同上却是三万多,算了一下，整个还款金额是四万多块钱，利息太高，而且现在找不到他们的合同，要求对方提供合同明细利息太高，而且现在找不到他们的合同，要求对方提供合同明细，本金已经全部还完，现在还需要还款13000多，要求结清。</t>
  </si>
  <si>
    <t>2019/10/07 17:33:05</t>
  </si>
  <si>
    <t>利息高达百分之七十，频繁骚扰，出口侮辱人，客服电话一直打不通。</t>
  </si>
  <si>
    <t>2019/10/07 17:32:27</t>
  </si>
  <si>
    <t>百度有钱花无法协商，暴力催收，威胁骚扰通讯录无关人员，说了13号还现在确实没钱，对方威胁骚扰联系人。</t>
  </si>
  <si>
    <t>2019/10/07 17:32:17</t>
  </si>
  <si>
    <t>有一天收到的短信里面有连接说有额度点进去就是平安福贷，客服说我卡号确实填错了让我转借款金额的20解冻，卡号错误是无法转帐的银行应该可以辨别身份信息与卡号信息不一致。</t>
  </si>
  <si>
    <t>2019/10/07 17:32:07</t>
  </si>
  <si>
    <t>投诉人韦先生投诉对象平安普惠涉诉金额96000元问题类型诉求类型投诉详情本人于2018年10月用自住房向平安普惠抵押贷款57万用于生意投资周转分36期，每期还款2万1，保险费一说每期本金加利息3300左右，管理费，服务费，保险费4500左右，如按照此还款还完36期总共还款还得25万左右，无奈平安普惠手握本人房产的质押权，还款至今已还4万6800，本金剩余7万6左右，已是不堪重负，生活困难，多次与平安普惠沟通无果，如此无量黑心公司吸人骨血，国家相关部门如不严查实在难平民怨，贷款经理承诺没任何前期费用和隐形收费</t>
  </si>
  <si>
    <t>2019/10/07 17:32:01</t>
  </si>
  <si>
    <t>月光侠分期高额的砍头息，高利贷，还伴有暴力催收，发短信恐吓，骚扰通讯录，希望有关部门严肃处理。</t>
  </si>
  <si>
    <t>2019/10/07 17:31:57</t>
  </si>
  <si>
    <t>我今天卡上被扣费，今天没申请任何贷款平台，没买任何VIP，但在中午被深圳恒富融创科技有限公司全卡在扣了再笔84元，共168元。</t>
  </si>
  <si>
    <t>2019/10/07 17:31:53</t>
  </si>
  <si>
    <t>百事普惠恶意扣款299，麻烦退款给我，谢谢聚投诉。</t>
  </si>
  <si>
    <t>2019/10/07 17:30:19</t>
  </si>
  <si>
    <t>现金借款,钱伴,钱站,来分期,快闪卡贷,微众银行,中原银行,拍拍贷,小象优品，借款人不是不还钱，现在借款人暂时没有资金偿还，借款人于2019年10月15号要进入信阳市平桥区人民法院参加开庭，借款人牵扯到一个重大交通事故，保险和医院方便都压了不少资金，请聚投诉转告给个个平台，再次骚扰借款人家属，借款人家属把所有的材料准备齐交到警方那里。</t>
  </si>
  <si>
    <t>2019/10/07 17:30:15</t>
  </si>
  <si>
    <t>请求与招商银行信用卡中心协商解决分期还款，希望不要再骚扰家人朋友，如果这样骚扰导致连工作都保不住我不知道拿什么来还这次债务，你们银行一天打多次电话骚扰请招商银行自重。</t>
  </si>
  <si>
    <t>2019/10/07 17:30:09</t>
  </si>
  <si>
    <t>投诉人岳先生投诉对象马上消费金融涉诉金额7000元问题类型诉求类型投诉详情本人郑重承诺以下所说句句属实，每次打电话发信息给我家人朋友和我工作的地方，工作都丢了家人朋友都不理我了，不是不还你钱都快生活不下去了借都借不到。</t>
  </si>
  <si>
    <t>2019/10/07 17:30:04</t>
  </si>
  <si>
    <t>给客服打电话要退款，当时说14天以后，等到14天以后在打电话，说要寄到上海哪什么身份证复印件等，当时我看要缴费，就没在使用这个软件，结果后来给银行卡转账，第二天发现被私自扣了299元打电话交谈无果，生气卸载了软件，结果现在连下载都找不到。</t>
  </si>
  <si>
    <t>2019/10/07 17:30:01</t>
  </si>
  <si>
    <t>投诉人杨林投诉对象韵达快递涉诉金额10000元问题类型诉求类型投诉详情韵达快递四五条不更新，不配送，无法联系，不解决问题，将相关信息情况投诉道国家邮政局，全国消费者保护协会。</t>
  </si>
  <si>
    <t>2019/10/07 17:29:54</t>
  </si>
  <si>
    <t>苹果公司,EnlightVideoleap。</t>
  </si>
  <si>
    <t>2019/10/07 17:29:28</t>
  </si>
  <si>
    <t>投诉人 李先生        投诉对象  申通快递        涉诉金额  0 元    问题类型    诉求类型投诉详情  派送员派送过来半天找不到派送员 还叫我自己去拿 不拿的话就退回去态度恶劣</t>
  </si>
  <si>
    <t>2019/10/07 17:29:24</t>
  </si>
  <si>
    <t>投诉人丁先生投诉对象你我贷涉诉金额5200元问题类型诉求类型投诉详情你我货借款合同和还款和同不一致，存在欺瞒客户的违规行为。</t>
  </si>
  <si>
    <t>2019/10/07 17:28:31</t>
  </si>
  <si>
    <t>自由魔卡平台里的泉友贷借款，借款2000元，需要买会员卡500元才可借款，借款期限30天，实际还款时间28天，还款总额2060元，28天时间借款需要560元的利息，早已超过国家规定的年化利率36%的红线，变相的以买会员卡的形式收取砍头息，已经客观形成了高利贷的事实，而自由魔卡作为借款导流平台不审核商家贷款是否合法，应承担相应责任，希望有关部门能介入调查，本人已经将所有相关转账记录，手机截图等相关证据保留，将以书面形式递交材料，向上一级央行及银保监会、工商管理总局，互联网金融协会等相关部门投诉，必要时将以起诉</t>
  </si>
  <si>
    <t>2019/10/07 17:27:57</t>
  </si>
  <si>
    <t>投诉人钱先生投诉对象信用管家涉诉金额5000元问题类型诉求类型投诉详情信用管家平台非法收取前期鉴定费，推荐费，恶意绑定银行卡，app显示可以退，客服不退，态度恶劣，高利贷产品。</t>
  </si>
  <si>
    <t>2019/10/07 17:27:55</t>
  </si>
  <si>
    <t>砍头息，刚逾期一天，催收就乱打电话威胁！不解决各大平台投诉，包括315。</t>
  </si>
  <si>
    <t>2019/10/07 17:26:33</t>
  </si>
  <si>
    <t>投诉人丁先生投诉对象小浦优客涉诉金额100元问题类型诉求类型投诉详情平台未经本人允许恶意扣款，客服态度恶劣，不退款。</t>
  </si>
  <si>
    <t>2019/10/07 17:26:17</t>
  </si>
  <si>
    <t>我于2019年9月27日晚向武汉善学进智教育咨询有限公司咨询学历提升，自考本科培训班12200元，交了首付预付款2440，说可以分期，弄了个叫咖啡易融的app，申请了9760元分期贷款，七日内因个人原因，我给老师说了退学退款，他们要我把贷款分期钱付完，以公司规章制度扣除我百分之三十三的费用，我合同没签，没上过一节课程，还让我把学费交完，自提出申请退学退款以来一直拖着，不处理，霸王条款，请求协商解决。</t>
  </si>
  <si>
    <t>2019/10/07 17:25:22</t>
  </si>
  <si>
    <t>本人因家中出现意外，导致没有及时还款，现在在筹钱处理，但是该公司恐吓催收，威胁群发通讯录！。</t>
  </si>
  <si>
    <t>2019/10/07 17:25:08</t>
  </si>
  <si>
    <t>本人在还款，也和招商银行协商过还款事宜，说以后有什么问题就给400那个银行电话打电话联系，结果平凡收到云南昆明号码私人电话打来骚扰我，并且出言不逊，黑社会口吻威胁说银行派他们来上门要钱，我问他是谁呀，对方说是受招行指派来我本地上门家访，对此本人感到很气愤，一个正规银行可能这么做么。</t>
  </si>
  <si>
    <t>2019/10/07 17:24:16</t>
  </si>
  <si>
    <t>投诉人丁先生投诉对象蚂蚁金服涉诉金额1100元问题类型诉求类型投诉详情9.23在想有钱借款1100元两天后到期需还1500元续期的费400元已经续期两次了现在被逼绝路无力偿还暴力催收电话要挟还款渠道支付宝提供要求快速协商还款，结果客服协商不成，只有投诉希望解决了。</t>
  </si>
  <si>
    <t>2019/10/07 17:23:43</t>
  </si>
  <si>
    <t>本人购买电动车在普惠分期2700元，分十二月还，每月还款303元，已经偿还11期，因为本月公司拖欠工资要到本月15号发，逾期了一个月，普惠快信公司暴力催收，给家人打电话并称上门讨要，并在电话内恶言相加，本人是有很强还款意愿，303本金一个月利息居然达到100元，希望贵司给个合理的解释。</t>
  </si>
  <si>
    <t>2019/10/07 17:22:56</t>
  </si>
  <si>
    <t>本人未在捷信公司有任何借款行为，也多次解释不认识捷信公司说的借款人，但是还是一直电话骚扰，希望能得到解决。</t>
  </si>
  <si>
    <t>2019/10/07 17:22:54</t>
  </si>
  <si>
    <t>2019-4-09申请退店，半年过去了，迟迟不退保证金。</t>
  </si>
  <si>
    <t>2019/10/07 17:22:23</t>
  </si>
  <si>
    <t>投诉人孟先生投诉对象乐家易付,天下支付涉诉金额33722元问题类型诉求类型投诉详情起因经过：本人寻找兼职平台挣些外快，通过网络好友的介绍，骗至该违法平台做兼职，该平台的资深老师说得到内部消息，投入越多，可做的任务回报就越高，在充值过程中看到等拥有国家颁发的正规牌照作为资金清算，在平台人员诱导下，一步步入金，通过浙江航天电子信息产业有限公司投入了人民币19842元，通过天下支付科技有限公司投入了人民币13880元，以下是订单号和交易金额浙江航天电子信息产业有限公司订单号：0SmtmgzpgS20*******</t>
  </si>
  <si>
    <t>2019/10/07 17:21:59</t>
  </si>
  <si>
    <t>2019年10月7日早上9点16分，收到不明扣款信息，查询到是中金支付自动扣款，我并没有与中金支付签过任何扣款协议，要求中金支付退回所扣款。</t>
  </si>
  <si>
    <t>2019/10/07 17:21:25</t>
  </si>
  <si>
    <t>2019/10/07 17:21:15</t>
  </si>
  <si>
    <t>达内教育自2019年6月一直拖到2019年10月耽误了我四个月时间，视频全是去年的视频，并没有新的视频，意思就是我花两万元买个去年的视频，这还有什么意义吗，我说我只有一万现金，最后被忽悠的贷款，学校一直拖着我，不处理我的事，导致耽误了我四个月时间，并无经济来源，来偿还贷款，想学的东西没有，还要我容忍去拿别的同学帐号学习，那我交钱的意义是什么，找老师要课件，动推西，西推东，最终给的课件就是下图中的网页，什么也没有，去官网投诉也没有人理会，签的合同是企业级应用，最后却让我看的是去年的业余级的视频，视频还都是剪切</t>
  </si>
  <si>
    <t>2019/10/07 17:21:02</t>
  </si>
  <si>
    <t>信用管家平台恶意冒充法院人员恐吓借款人，要到当地法院去报到，结果我去了没人跟我说。</t>
  </si>
  <si>
    <t>2019/10/07 17:20:37</t>
  </si>
  <si>
    <t>非本人操作,暴力催收,骚扰联系人,非法获取用户个人信息,冒充公检法威胁他人。</t>
  </si>
  <si>
    <t>2019/10/07 17:20:13</t>
  </si>
  <si>
    <t>平安银行现因个人原因，导致资金周转困难，导致无法还款，平安银行第三方到处打电话，发信息，要求银行信用卡中心直接处理，停止催收，短信骚扰。</t>
  </si>
  <si>
    <t>2019/10/07 17:19:47</t>
  </si>
  <si>
    <t>预付款在智行网站抢火车票，车票未抢到，预付款却未退还。</t>
  </si>
  <si>
    <t>2019/10/07 17:19:45</t>
  </si>
  <si>
    <t>拍拍贷逾期4天，催收人员恐吓催收，多次电话骚扰，希望停止，我正在想办法处理欠款。</t>
  </si>
  <si>
    <t>2019/10/07 17:19:43</t>
  </si>
  <si>
    <t>宁波银行工作人员9月6号，来远洋数据股份有限公司，来公司单位办理银行卡，说要用我手机，我就把手机给其使用，办理后手机一下来了好几条短信，我不知道啥意思，我是1962年的，我不知道咋回事，也不懂，我就去问，工作人员说那是办理银行卡给发的短信，到今年10月1时，儿子看我手机说9月6号办理工资卡时开通了证券基金账户，当时我都不知道，银行工作人员也没有给我讲，私自开通证券账户，严重侵权，损害了人民的合法权益，现要求，注销证券账户，并要求当时办卡的工作人员上门致歉。</t>
  </si>
  <si>
    <t>2019/10/07 17:19:32</t>
  </si>
  <si>
    <t>暴力催收，不停骚扰通讯录联系人，用不同的电话号码拨打骚扰，群发短信轰炸，威胁，恐吓，严重影响本人工作和生活，请停止催收。</t>
  </si>
  <si>
    <t>2019/10/07 17:19:13</t>
  </si>
  <si>
    <t>电脑主板2018年11月买的，分别在2019-04-17号，2019-08-25号售后维修，2019-10-7号再次出现问题，申请售后但是客户拒绝三包服务上的条款进行退货或者换新。</t>
  </si>
  <si>
    <t>2019/10/07 17:18:41</t>
  </si>
  <si>
    <t>投诉人李朝亮无投诉对象趣看天下涉诉金额10元问题类型诉求类型投诉详情本人通过其他软件下载了趣看天下app，得知里面有签到兑换现金奖励，结果签到后无法兑现，联系客服说我使用作弊工具，签到本身有天数限制，如何作弊，按照谁主张，谁举证原则，我在微信请诉客服说明以上疑点。</t>
  </si>
  <si>
    <t>2019/10/07 17:18:25</t>
  </si>
  <si>
    <t>还到恶意催收，直接爆了我的通讯录，恐吓家人，利用网络电话骚扰家人。</t>
  </si>
  <si>
    <t>2019/10/07 17:18:06</t>
  </si>
  <si>
    <t>按照提示提交了身份证银行卡信息之后无缘无故扣款，要求退款！。</t>
  </si>
  <si>
    <t>2019/10/07 17:17:56</t>
  </si>
  <si>
    <t>非法盗取客户没有提供的联系人资料进行电话轰炸，还没有逾期就非法到处催收，侮辱借款人，没有逾期就到处对联系人进行电话通知，对借款人的隐私到处泄漏。</t>
  </si>
  <si>
    <t>2019/10/07 17:16:59</t>
  </si>
  <si>
    <t>还款卡不能用，已通过我来贷支付宝还款，因是节假日，我来贷还款不给系统入账，钱已经通过支付宝还了，还要求我支付高额的逾期费。</t>
  </si>
  <si>
    <t>2019/10/07 17:16:32</t>
  </si>
  <si>
    <t>投诉人丁先生投诉对象小浦优客涉诉金额4100元问题类型诉求类型投诉详情未经本人同意就变相收取巨额担保费，总利息已超过国家规定。</t>
  </si>
  <si>
    <t>2019/10/07 17:16:21</t>
  </si>
  <si>
    <t>支付宝平台恶意制造虚假宣传，诱导消费者，被带去网络赌博，在支付宝充值的希望能退款。</t>
  </si>
  <si>
    <t>2019/10/07 17:16:05</t>
  </si>
  <si>
    <t>平台以个人风险报告名义，利用阴阳合同恶意扣款299元，期间多次打电话给客服，客服恶意推迟回复。</t>
  </si>
  <si>
    <t>2019/10/07 17:15:44</t>
  </si>
  <si>
    <t>投诉人龚晓勇投诉对象银联快捷支付平台涉诉金额249元问题类型诉求类型投诉详情莫名其妙乱扣我银行费用平台骗取我们服务费。</t>
  </si>
  <si>
    <t>2019/10/07 17:15:11</t>
  </si>
  <si>
    <t>因光华普惠系统问题无法还款，光华普惠催收的时候对我进行辱骂，并恐吓我，已经多次出现这种情况。</t>
  </si>
  <si>
    <t>2019/10/07 17:14:48</t>
  </si>
  <si>
    <t>本人经中介公司诱导，在未知情的情况下在安逸花借出6800，说资质不足，需正常还款两期，表示有还款能力再帮我提额并扣除了我3800保证金，现在这个公司人去楼空，本人已报警处理，本人有正常还款两期，因被骗现资金不足，协商剩余分期还本金或延期还款，注:我一直有6800额度但是一直借不出，我并不知情他是怎么借出来的。</t>
  </si>
  <si>
    <t>2019/10/07 17:14:47</t>
  </si>
  <si>
    <t>贷款13000到账直接扣除780元的服务费。</t>
  </si>
  <si>
    <t>2019/10/07 17:14:46</t>
  </si>
  <si>
    <t>在今年的9月份，东亚银行在没有任何信息或者电话提示下就冻结了我的信用卡，银行行为极其霸道不尊重客户，违反了服务条约，卡片无违规操作，且本人名下所有信用卡都在正常使用，所以投诉东亚银行，要求恢复我的信用卡正常使用。</t>
  </si>
  <si>
    <t>2019/10/07 17:14:08</t>
  </si>
  <si>
    <t>暴力催收，打电话骚扰其它人，钱会还，但是按照国家法律归还。</t>
  </si>
  <si>
    <t>2019/10/07 17:14:07</t>
  </si>
  <si>
    <t>我于7月1号在嗨钱借款3000元，到账只有2400元，我在7月还款2500元，现在嗨钱一直以笑脸金融和深圳光华普惠的名字要求我再还款1200元，一直骚扰我，我要求投诉嗨钱砍头利息，销账，消除征信影响！对以上金融公司高利贷行为进行处罚！。</t>
  </si>
  <si>
    <t>2019/10/07 17:14:06</t>
  </si>
  <si>
    <t>投诉人卢女士投诉对象月光侠分期涉诉金额1261元问题类型诉求类型投诉详情我在月光侠借了2500，分3期，每期1241.42，我逾期不到一天，还有逾期费用20，然后有人给我打电话，让我在下午3点把贷款还了，否则会对我的生活有影响，然后我在14:43分，还了，然后对方还给我发短信说我没有还，我给他回复我说还了，他还是给我发短信，说我没有，下面有截图证明。</t>
  </si>
  <si>
    <t>2019/10/07 17:13:50</t>
  </si>
  <si>
    <t>平台高额利息，套路分期借款，超过国家规定利息。</t>
  </si>
  <si>
    <t>2019/10/07 17:13:18</t>
  </si>
  <si>
    <t>自己一个使用了10年的淘宝号，居然莫名其妙被打标了2个降权，听商家说恶意差评，随便退款才会打标，，我没差评过，也没恶意退款过，还有听朋友说是有的商家恶意打标，好像与这个创客工具箱刷单有关系，举报一个可以得到奖励分，不知道是真假，如果是这个样的话，是不是纵容了这个创客工具箱的存在是不是存在着被恶意打标，为了奖励积分，希望恢复我的淘宝号，因为我问过淘宝，与淘宝没有关系的，与很多恶意的刷单的挣积分有关系。</t>
  </si>
  <si>
    <t>2019/10/07 17:13:06</t>
  </si>
  <si>
    <t>投诉人李女士投诉对象升学教育涉诉金额1396元问题类型诉求类型投诉详情我弟弟今年高考没上本科，我从升学教育给他报名升本科教育，但是我弟弟又回去学校复读一年重新再考，就和升学教育的老师说退款退学，已经两个月还没给我们办理，还给我弟弟开通了有钱花APP学习贷款，现在不退拖着，到期我们还要付款，这边一直拖着不给办理，找老师都说在申请，一个大公司办事的效率太低了，一直没有给退，希望你们帮帮我。</t>
  </si>
  <si>
    <t>2019/10/07 17:12:10</t>
  </si>
  <si>
    <t>支付宝在还款期限未到期的情况下，自动扣款，要求退还。</t>
  </si>
  <si>
    <t>投诉人 乔先生        投诉对象  来电共享充电宝        涉诉金额  100 元    问题类型    诉求类型投诉详情  我确定归还电充电宝。订单未结束。来电客服。查询未归还。让我直接赔款。</t>
  </si>
  <si>
    <t>2019/10/07 17:11:39</t>
  </si>
  <si>
    <t>投诉人罗先生投诉对象快闪卡贷涉诉金额15000元问题类型诉求类型投诉详情本人因资金周转需要，于2019年5月3日在快闪卡贷APP上借了一笔金额为15000元，实际到账12626.45元，借款分6期，每期应还3009.01元，每个月的利息高达904.6元，总共6个月本金加利息就要还18054.06元，利息高达5427.61元，达到本金的43%左右！通过计算，该平台的借款年利率竟然高达84.15%，远远超过法定民间借贷年利率红线36%，属于十足的超级高利贷，我希望借助聚投诉平台帮我协商一下要求快闪卡贷官方归还超</t>
  </si>
  <si>
    <t>2019/10/07 17:11:38</t>
  </si>
  <si>
    <t>涉诉金额2800元问题类型诉求类型投诉详情app无法还款，导致逾期，产生高额滞纳金，联系不到客服，无法协商还款。</t>
  </si>
  <si>
    <t>2019/10/07 17:11:13</t>
  </si>
  <si>
    <t>游戏举报机制误判率过高复查无效，客服态度敷衍，要求退还所有充值款项，2019.10.6日下午15.22分，与往常一样正和好友一起玩游戏，突然就游戏里走着走着出现提示：游戏数据异常，在腾讯游戏安全中心公众号上可以查到，在15.22分这个时间点，游戏被封禁10分钟，，应该是到15.32分截止，公众号上已经显示已解除处罚但是同时又显示该时间点到后期10年都是封禁，我希望腾讯游戏一方予以具体的封禁原因，给个合理的解决方案，再次强调本人并没有使用什么修改器类外挂，游戏账号共充值了上千元，账户上还有余额，最近也充值了游</t>
  </si>
  <si>
    <t>2019/10/07 17:11:02</t>
  </si>
  <si>
    <t>投诉人 孙先生        投诉对象  百事普惠        涉诉金额  200 元    问题类型    诉求类型投诉详情  之前申请过一次，没有选择支付 今天200就扣掉了</t>
  </si>
  <si>
    <t>2019/10/07 17:10:52</t>
  </si>
  <si>
    <t>投诉人方玲投诉对象融关资产涉诉金额2000000元问题类型诉求类型投诉详情深圳市融关资产管理有限公司涉嫌侵害公民信息，2014年至2018年期间提供客户身份号码与深圳罗湖区桂园派出所户籍科工作人员进行贩卖公民信息:公民户籍地址，公民目前出租房所在位置，当前在网吧，酒店，租房信息等，利用公民当前信息进行拦截，打电话给当事人本人或家属进行软暴力催收，涉案人员:杨军营，杨晓佛山分公司:陆丽霞，曾晓清等主要人员。</t>
  </si>
  <si>
    <t>2019/10/07 17:10:08</t>
  </si>
  <si>
    <t>投诉人陈先生投诉对象小黑鲨涉诉金额3500元问题类型诉求类型投诉详情砍头息一次770人民币被砍三次以上770人民币。</t>
  </si>
  <si>
    <t>2019/10/07 17:09:58</t>
  </si>
  <si>
    <t>借款前期需支付318元会员费，不知是什么会员费！并未享受到会员服务！各种信审、利息、息费都已付清！。</t>
  </si>
  <si>
    <t>2019/10/07 17:09:56</t>
  </si>
  <si>
    <t>投诉人郭先生投诉对象信用管家,91买呗,钱咖分期涉诉金额6000元问题类型诉求类型投诉详情1、本人资金周转在信用管家里的91买呗借款2000元，实际到账1500元，分三期还款，每期686.56元，现已还款2期，合计1373.12元，10月08日为最后一期还款日，因本人实在无力负担高额利息现要求归还剩余本金及合理利息，2、本人急需用钱在信用管家申请钱咖分期4000元，总共四期，7天一期，第一期2228元，剩下三期是1028元，10月09日是最后一期，因本人前三期已还够本金及合理利息，现要求工作人员联系我协商还</t>
  </si>
  <si>
    <t>2019/10/07 17:09:39</t>
  </si>
  <si>
    <t>本人在2013年办理的中国电信家庭宽带，当时是129一个月，是包月制的，并且签订了合同，在合同到期后，宽带手机号码等均正常停用，但是费用却一直在划扣！作为这么大的企业，应该有着有服务才能收费原则，而现在不仅合同到期未停止收费，还未向收费的客户提供任何服务！。</t>
  </si>
  <si>
    <t>2019/10/07 17:09:20</t>
  </si>
  <si>
    <t>投诉人刘先生投诉对象融360涉诉金额8500元问题类型诉求类型投诉详情高利贷，砍头息，威胁人身，乱发消息，侵害声名。</t>
  </si>
  <si>
    <t>2019/10/07 17:09:09</t>
  </si>
  <si>
    <t>投诉人郭志亮投诉对象你我贷涉诉金额505元问题类型诉求类型投诉详情你我贷我正常还款11期，由于工作换了工资没发催收人员就跟疯子一样说我存在诈骗恐吓我要找黑社会搞我报我通讯录恶意骚扰现在国家严打这么严他居然说这种话我跟他沟通最近两三天解决他死活说要找黑社会搞我我受不了了。</t>
  </si>
  <si>
    <t>2019/10/07 17:08:13</t>
  </si>
  <si>
    <t>投诉人朱女士投诉对象中移电子商务长沙分公司涉诉金额2208元问题类型诉求类型投诉详情银行卡一直每个月扣费，之前没绑定过手机银行，这个月才绑定的，才知道每个月扣了这笔费用，和银行联系，银行查不到，打过移动客服也说查不到，就不明白是怎么从我卡里扣费的。</t>
  </si>
  <si>
    <t>2019/10/07 17:08:05</t>
  </si>
  <si>
    <t>投诉人凌女士投诉对象平安银行信用卡涉诉金额6000元问题类型诉求类型投诉详情平安信用卡因为忘记还款，超过还款日三天，想处理最低还款，但是告知无最低还款，必须全额还清，我要处理最低还款一直不同意，先暴力催收，恐吓要上门。</t>
  </si>
  <si>
    <t>2019/10/07 17:07:59</t>
  </si>
  <si>
    <t>投诉人梁犇投诉对象弹个车,蚂蚁金服,支付宝涉诉金额283770元问题类型诉求类型投诉详情本人及大批消费因为相信弹个车广告以及销售话术“支付宝弹个车”“阿里巴巴弹个车”“是阿里巴巴旗下弹个车”“不相信我们还能不相信阿里巴巴支付宝吗，”在弹个车购车，现遇到发票打码，买车变租车，里程造假，事故车，低配车当高配卖，拒开有效发票，私自修改订单等问题。</t>
  </si>
  <si>
    <t>2019/10/07 17:07:00</t>
  </si>
  <si>
    <t>投诉人王女士投诉对象布伊斯蔓家纺拼购旗舰店涉诉金额36元问题类型诉求类型投诉详情由于卖家自己的原因，我拍的6斤的被子，他错发成了5斤的被子，然后卖家就叫我换货，我在售后中申请了换货，结果货到了以后，卖家直接给我退货了，没有经过我的同意，导致我的红包全部都过期，然后卖家又叫我重新拍，还污蔑我说我是自己申请的退货，然后也不给我赔偿。</t>
  </si>
  <si>
    <t>2019/10/07 17:06:17</t>
  </si>
  <si>
    <t>投诉人普先生投诉对象美团外卖涉诉金额28元问题类型诉求类型投诉详情10月6日晚间22:00点餐时，我等了一个多小时，本来22:30就该送到的东西，我等到23:33分还没到，我就给骑手打了电话没想到，我才说了一句话就被美团骑手一顿骂，之后向美团客服做出投诉，可是至今我都没接到美团片区负责人一个电话，或者一句道歉，7日13点40左右问在线客服永远都像复读机一样，只会重复一句:已经有专人跟进处理！会在4小时内回复我，我还是没等到回复，16:45分我再次联系客服，居然变成了处理结果已经告诉我了，真是店大欺客啊。</t>
  </si>
  <si>
    <t>2019/10/07 17:05:23</t>
  </si>
  <si>
    <t>之前有申请过当时是说用小银券成功才扣款，结果下午没有任何提示告知直接扣除了200元在不知情的情况下扣除。</t>
  </si>
  <si>
    <t>2019/10/07 17:05:16</t>
  </si>
  <si>
    <t>10月2日，在淘宝天猫中国移动旗舰店购买一部小米9Pro5G手机一部，于4日下午收到快递电话，当时在电话里询问快递员是配送的什么东西，当晚11点半左右拆箱，外包装完好，但手机盒外封膜破损、手机充电口有轻微划痕以及手机机身有很多灰尘，当时拍照后发给我先生，因为是用他账号购买的，并让他5号白天的时候联系商家客服要求退货，然后我就将手机完好放进包装盒内还原并等待商家答复，准备联系快递退货回去，结果商家以无法核实我收货后的使用情况为由，拒绝我的退货退款申请，要求淘宝小二介入后，小二也以我未当快递面拆箱验机为由不予支</t>
  </si>
  <si>
    <t>2019/10/07 17:04:44</t>
  </si>
  <si>
    <t>17年10月前后，我在中国电信办理了宽带业务，到目前为止使用了差不多2年时间，今年5月份因为店面转让，宽带也一同交付给了人家使用，可是后来才知道，人家从来没交过钱，也没跟我们说，6月开始就已经欠费停机，到现在却产生了4个月的欠费！已经停机的情况下，再产生正常的套餐费用这是不合理的，我要求减免之后产生的所有相关费用！。</t>
  </si>
  <si>
    <t>2019/10/07 17:04:10</t>
  </si>
  <si>
    <t>10月5日，约到晚上8点，说是只有两个小时时间到了之后就在一个封闭的房间里，从晚上八点谈到10点半，交谈时说是费用过高没钱，后来说帮我申请重点会员我说不用申请了，后来来了个男经理说是申请好了两个人一直劝说我交钱，交钱之前态度特别热情，交钱后未给任何收据，合同未明确约定服务期限，刚开始在店里红娘说是三个月，后来与我联系的老师听了我交的钱之后，问我是三个月还是四个月，我觉得太随意了，存在欺骗行为，我对与我对接的工作人员不满要求退款，我给她发微信询问相关事项不及时回复我，我说让他帮我申请退款，才联系技术审核提交的</t>
  </si>
  <si>
    <t>2019/10/07 17:04:04</t>
  </si>
  <si>
    <t>涉诉金额100000元问题类型诉求类型投诉详情好分期利息手续费过高平均每一期都是在100左右并且有几期手续费已经达到300多，还要交保证金，保证金我交了，还完能退给我吗，乱收费现象严重，并且我有一天是加班睡过了忘记还款好分期客服给我打10多个电话，因为我在睡觉没接到好分期客服就给我发短信说我就这样的还款态度之类的话，让我今天必须处理不处理将全额还款之类的，短信上个月发的我直接删除了这里就不截图了。</t>
  </si>
  <si>
    <t>2019/10/07 17:03:35</t>
  </si>
  <si>
    <t>投诉人刘环投诉对象通联支付,通联沪快涉诉金额299元问题类型诉求类型投诉详情10.5银行卡交易里莫名其妙多了一比228的扣费，没有收到扣费通知，也不知道是什么平台扣的，交易记录里显示是通联沪快，要求解释并退款。</t>
  </si>
  <si>
    <t>2019/10/07 17:02:58</t>
  </si>
  <si>
    <t>投诉人朱欣凯投诉对象造艺科技,百事普惠涉诉金额299元问题类型诉求类型投诉详情该公司在2019年10月1日14点27分突然无故扣费我银行卡里的金额299元，并且是在本人并不知情的情况下，利用百事普惠app盗取本人信息，以及银行卡免密支付的盗刷金额，造成本人经济损失，希望贵公司马上处理并退还资金，页面只显示可以进行贷款引导我绑定银行卡后自动扣除299元，我联系客服后，客服要求我必须在他们推荐的六家贷款平台都借款失败，并出具失败的证明才能退款，我的个人信用报告只有央行中国人民银行有权利查询，造艺科技出具的信用报</t>
  </si>
  <si>
    <t>2019/10/07 17:02:43</t>
  </si>
  <si>
    <t>投诉人吴先生投诉对象你我贷涉诉金额8000元问题类型诉求类型投诉详情本人于网上下载了你我贷，前后一共循环借了两笔贷款，该平台公司前期收取高额服务费，综合年化率严重超过了国家规定36%，该平台催收人员在于我沟通时竟然说该高额服务费是应该收的，高额年化率也是合法的，不知该公司法从何来，请相关部门引起重视，维护公民合法权益。</t>
  </si>
  <si>
    <t>2019/10/07 17:02:19</t>
  </si>
  <si>
    <t>投诉人吴先生投诉对象信用飞涉诉金额3000元问题类型诉求类型投诉详情信用飞扣取高额保险费600元整，等于实际借款金额2400元，但还需还款3000元及利息，本人希望还款实际借款金额2400元及其利息！。</t>
  </si>
  <si>
    <t>投诉人钱先生投诉对象呗呗分期涉诉金额1200元问题类型诉求类型投诉详情呗呗分期实际借款到账1200，续期2天300，显示账单1500，已续期金额远超1200，超级高炮，这个还有许多同系列，涉嫌套路贷。</t>
  </si>
  <si>
    <t>2019/10/07 17:02:15</t>
  </si>
  <si>
    <t>投诉人金先生投诉对象喵一下,喵下贷涉诉金额2000元问题类型诉求类型投诉详情恐吓利息高严重骚扰借一千三百七天要还两千块钱。</t>
  </si>
  <si>
    <t>2019/10/07 17:00:59</t>
  </si>
  <si>
    <t>由于最近资金不够，贷款没还上，准备过两天还，你我贷电话也不协商，一直在骚扰，影响正常生活。</t>
  </si>
  <si>
    <t>2019/10/07 17:00:36</t>
  </si>
  <si>
    <t>10.5银行卡交易里莫名其妙多了一比228的扣费，没有收到扣费通知，也不知道是什么平台扣的，交易记录里显示是钱袋宝。</t>
  </si>
  <si>
    <t>2019/10/07 17:00:19</t>
  </si>
  <si>
    <t>多次跟平台沟通希望能宽限几天,小花钱包置之不理，发图片发短消息,严重影响了本人和亲戚朋友的生活,希望小花钱包别去骚扰家人和朋友并对这种行为道歉。</t>
  </si>
  <si>
    <t>2019/10/07 17:00:07</t>
  </si>
  <si>
    <t>香港最近暴乱，高铁，机场线，都被破坏，考虑人身安全问题，不是我们自身问题要退款，而是政治因素关系到生命安全，机场线都停运了，别的网站都给退了为什么这个不给退，吉祥航空说自己是反动分子，去哪儿说他们没有党。</t>
  </si>
  <si>
    <t>2019/10/07 16:59:55</t>
  </si>
  <si>
    <t>投诉人尹先生投诉对象民生银行信用卡涉诉金额31000元问题类型诉求类型投诉详情我想问一下民生银行有什么权利不经过本人同意给我打电话骚扰恐吓恐怖行为130******69这个手机号，他说他是北京总部的，请问他为什么是是南京的电话。</t>
  </si>
  <si>
    <t>2019/10/07 16:59:41</t>
  </si>
  <si>
    <t>在交易猫买了个率土之滨ios充值以为是正规充值渠道充值，如果商家不取消订单的话交易猫是不会自动退款的，交易猫人工客服也没有买家自己根本点不了退款。</t>
  </si>
  <si>
    <t>2019/10/07 16:59:32</t>
  </si>
  <si>
    <t>高额利息暴击催收，催款人员电话侮辱，威胁给家人打电话，威胁给居住地社区发借款信息，说话难听。</t>
  </si>
  <si>
    <t>2019/10/07 16:59:25</t>
  </si>
  <si>
    <t>该公司办理POS机业务员涉及虚假宣传，说不收取任何办理费用，并要求刷取186元用于激活POS机，说明及时退款的，事后快一个月了这笔钱也未到账，恳请聚投诉工作人员帮忙处理。</t>
  </si>
  <si>
    <t>2019/10/07 16:58:51</t>
  </si>
  <si>
    <t>投诉人 孙先生        投诉对象  佰仟金融        涉诉金额  2 000 元    问题类型    诉求类型投诉详情  佰仟金融 态度恶劣 伪造法律文书 影响本人正常生活 请作出解释</t>
  </si>
  <si>
    <t>2019/10/07 16:58:26</t>
  </si>
  <si>
    <t>豹子贷恶意扣款了250元，请求退款，感谢聚投诉。</t>
  </si>
  <si>
    <t>2019/10/07 16:58:09</t>
  </si>
  <si>
    <t>好分期利息手续费过高平均每一期都是在100左右并且有几期手续费已经达到300多，还要交保证金，保证金我交了，还完能退给我吗，乱收费现象严重，并且我有一天是加班睡过了忘记还款好分期客服给我打10多个电话，因为我在睡觉没接到好分期客服就给我发短信说我就这样的还款态度之类的话，让我今天必须处理不处理将全额还款之类的，短信上个月发的我直接删除了这里就不截图了。</t>
  </si>
  <si>
    <t>2019/10/07 16:57:47</t>
  </si>
  <si>
    <t>想提前还款还要收取5000多利息，太可怕了。</t>
  </si>
  <si>
    <t>2019/10/07 16:57:24</t>
  </si>
  <si>
    <t>投诉人毛先生投诉对象捷信,捷信金融涉诉金额60000元问题类型诉求类型投诉详情捷信借款27000，还款56000，彻头彻尾高利贷！！！。</t>
  </si>
  <si>
    <t>2019/10/07 16:55:47</t>
  </si>
  <si>
    <t>中腾信借款未到期工作人进行骚扰，恐吓威胁，没有经过同意爆通讯录。</t>
  </si>
  <si>
    <t>2019/10/07 16:55:42</t>
  </si>
  <si>
    <t>之前脸上长了些痘痘，我就去了痘博士体验一下，我没有带钱，他们那里的主任就引诱我贷款，让我签约当时想着按时还款也就算了，但是现在我从痘博士退款了，他们不给我退款，还说什么还清贷款，我目前正常还着，跟他们没关系，他们为了不退款说什么流程又什么的，当时他们引诱我贷款是触犯法律的，那我是不是该要求他们把贷款的利息给我补上，不然跟他们又没关系他们凭什么不给我退款，我要求痘博士马上给我退款，还有没有理了，而且现在那家贷款公司客服找不到，还款通道有问题，我上期让我支付宝还款，到现在不给我处理，痘博士又说提供账号，他们是想</t>
  </si>
  <si>
    <t>2019/10/07 16:55:17</t>
  </si>
  <si>
    <t>在找靓机平台买了一个蓝牙耳机收到货用了一下耳机有杂音质量问题寄回去客服不承认质量问题要求退款不退，理由是我拆开包装不给予退款。</t>
  </si>
  <si>
    <t>2019/10/07 16:55:16</t>
  </si>
  <si>
    <t>微信被创客标注狐狸怎么给我取消我的微信号成为不良了。</t>
  </si>
  <si>
    <t>2019/10/07 16:54:54</t>
  </si>
  <si>
    <t>投诉中腾信，还款没有逾期的情况下，发短信威胁骚扰家人和朋友，并且不是一次两次这样的情况了，之前还打电话来进行辱骂、威胁！要求中腾信给出合理的解释并且停止这种催款方式！。</t>
  </si>
  <si>
    <t>2019/10/07 16:54:48</t>
  </si>
  <si>
    <t>立借平台申请的时候是额度一万、月均等还款可等放款后前三个月就把本金收走、还包括不知的费用相当高而且利息很高、第一期就还4800多、要求修改分期额度每月等额还、立借投诉量相当大，可以仔细审查他们……前三月费用就还一万二、这不套路贷高利贷吗。</t>
  </si>
  <si>
    <t>2019/10/07 16:54:39</t>
  </si>
  <si>
    <t>捷信公司没有明确说明利息，其中包含各种杂乱费用，每月还钱一半都是利息，要提前还款居然还要19000，协商无法解决。</t>
  </si>
  <si>
    <t>2019/10/07 16:54:31</t>
  </si>
  <si>
    <t>下款失败，未收到款项，却强制你还款，不取消订单，。</t>
  </si>
  <si>
    <t>2019/10/07 16:54:28</t>
  </si>
  <si>
    <t>因本人暂时没有能力还款，洋钱罐平台直接短信轰炸朋友手机。</t>
  </si>
  <si>
    <t>2019/10/07 16:53:27</t>
  </si>
  <si>
    <t>投诉人 陈培培        投诉对象  拍拍贷        涉诉金额  14 320 元    问题类型    诉求类型投诉详情  拍拍贷平台暴利催收 惊吓本人以及家人 影响正常生活</t>
  </si>
  <si>
    <t>2019/10/07 16:52:59</t>
  </si>
  <si>
    <t>阴阳合同，高利贷，套路贷，借了三期已结清两期最后一期协商还款，解除额度冻结，提供前两期的结清证明，恢复征信报告，退还超出国家标准的高利息。</t>
  </si>
  <si>
    <t>2019/10/07 16:52:52</t>
  </si>
  <si>
    <t>投诉人 蔡女士        投诉对象  玖富        涉诉金额  24 000 元    问题类型    诉求类型投诉详情  本金24000 我已经还了29000左右了 真的还不动了 利息太高太高了</t>
  </si>
  <si>
    <t>2019/10/07 16:51:48</t>
  </si>
  <si>
    <t>信用管家平台恶意性质，贷款时收取高额通过费用，之前没说明，存在欺诈行为。</t>
  </si>
  <si>
    <t>2019/10/07 16:51:44</t>
  </si>
  <si>
    <t>今天接到两个自称平安普惠的电话，第一个座机，本人跟其承诺一定会想一切办法解决欠款问题，而且表明本人不是第一次在平安借款，之前所有借还记录可查，若非经济，家庭等一些事造成困难，不会置之不理，第二个电话是福建的手机号，未经本人允许，给本人公司领导打电话告知本人欠款事宜，而且跟打的电话号码是本人工作用号码，未泄露给工作外任何人，本人不知道平安从何得知，未给本人一个明确答复，本人会报案，侵犯个人隐私，非法获取个人隐私信息，未经本人许可联系第三方要求还款，导致本人工作收到影响，若本人工作丢失，本人个人利益受到损失，本</t>
  </si>
  <si>
    <t>2019/10/07 16:51:17</t>
  </si>
  <si>
    <t>在无车辆故障及过分堵车时情况的前提下，原计划8小时的行程消耗12个小时，且7点50的最早一班车辆在服务区停留50分钟，等待后续发车的车辆，，司机借口原因是两辆车配备了三个司机，需要倒车，司机不够就急于赚钱的吃相过分难看，倘若因为司机不够疲劳驾驶后果不堪设想，望解决和给予公司处罚。</t>
  </si>
  <si>
    <t>2019/10/07 16:50:53</t>
  </si>
  <si>
    <t>小通商城从未使用过，也没在上面买过东西今天出现两次扣款现象，联系不到客服。</t>
  </si>
  <si>
    <t>2019/10/07 16:50:47</t>
  </si>
  <si>
    <t>投诉人 黄先生        投诉对象  分期乐        涉诉金额  56 元    问题类型    诉求类型投诉详情  多次提出退货 对方拒绝了 拒绝了很多遍还是不行</t>
  </si>
  <si>
    <t>2019/10/07 16:49:52</t>
  </si>
  <si>
    <t>平台直接爆通讯录对我妹妹进行暴力催收，要P裸照群发我妹妹的通讯录，还各种威胁我妹妹。</t>
  </si>
  <si>
    <t>2019/10/07 16:49:35</t>
  </si>
  <si>
    <t>中午在名为美侍郎的一家店里点了两份凉皮和一份炒饭，拿到手却只有两份凉皮缺一份炒饭，联系商家称忘了，弄错了，语气没有任不好意思，连句道歉都没有，向美团投诉商家，客户回电称答应给赔付5元的抵用券，对商家也没有任何实质的处罚结果，我一份炒饭7块，最后赔付我5块，合着我没迟到饭，还倒赔2块钱进去！再次联系美团客服，被告知5元抵用券就是最终的处理结果。</t>
  </si>
  <si>
    <t>2019/10/07 16:49:20</t>
  </si>
  <si>
    <t>收取高额砍头息，借款1200元，通过京东支付收取砍头息252元，通过云南国际信托有限公司到账1200元，28天需还款1236元，累计借款5次，除利息180元外，共收取砍头息1260元！！！本人因套路贷已负债累累，家庭、工作均遭遇巨大危机，要求退还砍头息，本人保留向银监会、地方金融监督管理局、公安局信访办投诉举报的权利！！！。</t>
  </si>
  <si>
    <t>2019/10/07 16:48:22</t>
  </si>
  <si>
    <t>借款2000元，必须购买500元虚拟游戏币，一个月要还2560元，这不是借贷捆绑吗。</t>
  </si>
  <si>
    <t>2019/10/07 16:48:15</t>
  </si>
  <si>
    <t>支付宝蚂蚁金服恶意！霸王条款！，恶意行为，不按照合同规定履行义务，性质恶劣。</t>
  </si>
  <si>
    <t>2019/10/07 16:48:13</t>
  </si>
  <si>
    <t>本人在松紧货平台借款6000元，到账6000元后平台直接在我账户中扣除推荐服务分827.4元，实质到账才5172.6元，平台还是按照借款6000元算利息每期还款585.66元，还12期，所有费用加起来明显超出国家规定利息。</t>
  </si>
  <si>
    <t>2019/10/07 16:47:48</t>
  </si>
  <si>
    <t>你我贷20天没有放款然后又未经本人同意擅自又贷款，现在需要取消贷款。</t>
  </si>
  <si>
    <t>2019/10/07 16:47:14</t>
  </si>
  <si>
    <t>一直以高质量，高效率完成任务为己任，勤勤恳恳，而现在却不知未何被人打标影响个人工作，降低了个人收入，因此恳请创客平台能够核实此事，取消我的个人打标，维护好平台规则！换我一个正常的不打标号！。</t>
  </si>
  <si>
    <t>2019/10/07 16:47:06</t>
  </si>
  <si>
    <t>本人于2017年8月6日在宜人贷平台借款60000，但是借款之后合同金额改为了67400，7400公司解释为咨询费，深陷套路贷无力偿还高额费用，现已还款26期，总共68172，已经还了8712的利息，希望可以协商还款。</t>
  </si>
  <si>
    <t>2019/10/07 16:46:05</t>
  </si>
  <si>
    <t>投诉人董先生投诉对象贷你钱涉诉金额136元问题类型诉求类型投诉详情通过收取手续费说什么可以提高贷款通过率贷款不通过可退然而贷款平台不通过也不退手续费客服电话永远打不通。</t>
  </si>
  <si>
    <t>2019/10/07 16:45:46</t>
  </si>
  <si>
    <t>订单承诺5日内退款，现已超时5日，联系人工客服与拨打电话皆无音讯，转而投诉。</t>
  </si>
  <si>
    <t>2019/10/07 16:45:39</t>
  </si>
  <si>
    <t>问对方是平安普惠委托方叫什么公司！连这都不告诉！这是真的委托方吗。</t>
  </si>
  <si>
    <t>2019/10/07 16:45:20</t>
  </si>
  <si>
    <t>我从2018年至2019年在融360平台深陷以贷养贷，其中多次在快来花借款多次，每次砍头息300块，逾期后快来花一直暴力催收，骚扰本人手机通讯录里的亲人，朋友。</t>
  </si>
  <si>
    <t>2019/10/07 16:45:08</t>
  </si>
  <si>
    <t>投诉人 杨先生        投诉对象  民生银行        涉诉金额  10 000 元    问题类型    诉求类型投诉详情  群发短信至我亲友 恐吓 给我本人造成严重的影响！</t>
  </si>
  <si>
    <t>2019/10/07 16:45:02</t>
  </si>
  <si>
    <t>投诉人谭女士投诉对象聚福钱包涉诉金额299元问题类型诉求类型投诉详情经过朋友介绍，下载聚福钱包软件，在填写资料后出现评估页面，并没有同意协议，卸载权利后，第二天晚上收到扣款短信，完全不知情，这是套取信息，诱导付款，而且没有经过任何正常支付流程。</t>
  </si>
  <si>
    <t>2019/10/07 16:44:52</t>
  </si>
  <si>
    <t>本人在给你花上的米多点借款2000元，实际到账1500元，借款一个月却要还2039元，现在延期7天的费用更达到339元，已经延期了2期650元，无力再支付延期金额，跟客服协商金额不统一，现在请聚投诉帮忙。</t>
  </si>
  <si>
    <t>2019/10/07 16:44:10</t>
  </si>
  <si>
    <t>投诉人 朱先生        投诉对象  高铁管家        涉诉金额  49 元    问题类型    诉求类型投诉详情  昨天使用了抢票功能 抢票失败 光速券的49元不退回？</t>
  </si>
  <si>
    <t>2019/10/07 16:44:06</t>
  </si>
  <si>
    <t>投诉人 宋先生        投诉对象  小花钱包        涉诉金额  12 600 元    问题类型    诉求类型投诉详情  小花钱包暴力催收，验证码轰炸本人及通讯录</t>
  </si>
  <si>
    <t>2019/10/07 16:43:34</t>
  </si>
  <si>
    <t>平安普惠6号还款日，这个月由于资金紧张导致逾期，实在借不到钱，已经跟客服说了9号下午5:30会处理，客服威胁恐吓今天5:00前没有处理好就要24小时不间断拨打预留的三个联系人电话，通话我己经录音为证，希望平安普惠不要骚扰联系人，宽限到9号下午5:30,我也会继续投诉平安普惠违规催收。</t>
  </si>
  <si>
    <t>2019/10/07 16:43:31</t>
  </si>
  <si>
    <t>恶意骚扰，非法获取我的通讯录和我家人的通讯录。</t>
  </si>
  <si>
    <t>2019/10/07 16:43:08</t>
  </si>
  <si>
    <t>今天才看到一个快钱扣钱的短信，不知道是什么时候怎么扣款的，扣款通知里也没有给出客服电话，要求给出合理解释并退款。</t>
  </si>
  <si>
    <t>2019/10/07 16:42:50</t>
  </si>
  <si>
    <t>2019年8月5日通过微信中国工商银行客服服务办理萌娃定制卡，宣传说是25个工作日发货，到现在了一直没发货，投诉95588之后客服也是重复加急处理，但是没有任何进展！店大欺客行为令人可耻！希望工行履行承诺！抓紧时间发卡！。</t>
  </si>
  <si>
    <t>2019/10/07 16:41:59</t>
  </si>
  <si>
    <t>马上金融公司，暴力催收，骚扰我家人同事单位，。</t>
  </si>
  <si>
    <t>2019/10/07 16:41:46</t>
  </si>
  <si>
    <t>投诉人艾女士投诉对象网商贷涉诉金额1500元问题类型诉求类型投诉详情骗钱让我左一次交钱又一次交钱的不交钱不放款，然后还联系不上客服。</t>
  </si>
  <si>
    <t>2019/10/07 16:40:40</t>
  </si>
  <si>
    <t>10月7日，客服为什么威胁我，请给我一个和理的解释。</t>
  </si>
  <si>
    <t>2019/10/07 16:40:00</t>
  </si>
  <si>
    <t>投诉人 王先生        投诉对象  捷信金融        涉诉金额  8 000 元    问题类型    诉求类型投诉详情  专职暴力催收，朋友圈全是暴力催收的视频。。。。。。。。。。。。。。。。。。。。。</t>
  </si>
  <si>
    <t>2019/10/07 16:39:56</t>
  </si>
  <si>
    <t>电话轰炸，每天都跟闹钟一样，逾期利息又高，现在还不起这笔，每天打电话来也没有用，希望可以分期免息还本金，而且已经联系亲戚朋友，我妈接到电话说还要起诉我，把我告上法庭，可你们这样做就过分了！希望咱们聚投诉帮我处理。</t>
  </si>
  <si>
    <t>2019/10/07 16:39:24</t>
  </si>
  <si>
    <t>高额砍头息贷款，壹心分期审批金额1700实际到账1225，强迫购买会员，到账1700元马上扣走475元，用了两期，要求退回扣的会员费950元，或者还款800元销账！。</t>
  </si>
  <si>
    <t>2019/10/07 16:38:56</t>
  </si>
  <si>
    <t>提前还款越还越多，我之前用过好几次快贷，提前还款挺好的，有次用快贷，放款是钱伴，看上去一摸一样，还了一期提前还款是11000，每期还1360，十二期，可等我还完第二期的时候提前还款竟然没减反而成了13000，这就是套路，我是一个在校学生，我能还款，但是哪有越来越多，合同期随意改动的道理，之前用提前还款也没这样过。</t>
  </si>
  <si>
    <t>2019/10/07 16:38:36</t>
  </si>
  <si>
    <t>信用管家平台恶意委托黑社会成员上门威逼借款人，在这个法制社会居然还有这么恶劣的性质，客服方不给我解释，只有投诉。</t>
  </si>
  <si>
    <t>2019/10/07 16:38:27</t>
  </si>
  <si>
    <t>投诉人徐雁翎投诉对象天猫国际涉诉金额18869元问题类型诉求类型投诉详情本人于2018年3月在天猫国际购买一块欧米茄手表，2018年4月就出现手表走快的现象一天大概快10小时左右.经协商寄回维修，2018年7月份维修寄回，现2019年3月份又出现同样的问题协商4月寄回维修于2019年10月份寄回维修时间长达6个月，但是收到当天手表还是出现同样的问题，一天走快10左右，我们联系客服处理，客服态度恶略不给处理，我们要求他们给出维修记录以及手表出现的问题，客服不给提供直接挂断电话。</t>
  </si>
  <si>
    <t>2019/10/07 16:38:25</t>
  </si>
  <si>
    <t>投诉人江先生投诉对象51人品涉诉金额6700元问题类型诉求类型投诉详情自称51人品贷法务部的，没有说工号，说你没钱还，帮你打通讯录给你借钱还。</t>
  </si>
  <si>
    <t>2019/10/07 16:38:18</t>
  </si>
  <si>
    <t>买买乐购高额费用简直可以把人吓死，客服恐吓人，打骚扰电话，言语中威胁不断，没有人说不还钱只是被买买乐购逼得，你们家那么高的客户服务费是哪里来的，还有保证险有是哪里出的，请你们解释清楚，后三张是一位不愿意透露姓名的朋友发给我的，这就是有事情耽误一两天没有把钱还上，买买乐购就开始暴力催收，打骚扰电话，发信息恐吓，言语表达全是威胁的意思，我怎么看你们买买乐购处理事情没有这么勤快，办这样的事情怎么这么利索，我的联系方式是139******46买买乐购你们处不处理在于你们，不处理我和朋友们会一直投诉的。</t>
  </si>
  <si>
    <t>2019/10/07 16:37:58</t>
  </si>
  <si>
    <t>微信公众号不断地推送贷款平台广告，其中出现个类似征信报告的公司，注册进去一看，是个叫小浦优客的网货APP然后手机收到扣费通知并从银行卡中被扣取了费用称报告已生成，要收取服务费。</t>
  </si>
  <si>
    <t>2019/10/07 16:37:50</t>
  </si>
  <si>
    <t>投诉人苏先生投诉对象失易得数据恢复涉诉金额98元问题类型诉求类型投诉详情2019年10月7日在失易得购买苹果手机恢复软件，使用后无法恢复微信聊天数据，咨询客服后说是无法退款，提供的客服热线无人接听。</t>
  </si>
  <si>
    <t>2019/10/07 16:37:03</t>
  </si>
  <si>
    <t>https://m.mkuaidai.c,秒快贷，我是一名残疾军人，由于急用钱接触了秒快贷网贷软件，他们这个属于严重的7.14高炮，砍头息，威胁侮辱借款人，骚扰辱骂通讯录好友，给我造成生活上的影响，一个月借款前后几次偿还金额利息是本金的几倍，我要求退还我利息，下架软件，上星期已向军人事务局报备立案，也烦请聚投诉的同志给我们受害人一个处理结果。</t>
  </si>
  <si>
    <t>2019/10/07 16:36:10</t>
  </si>
  <si>
    <t>光大银行在我国庆节非常忙的情况下，响一声就挂，持续到今天接电话用光大客服电话打的说是银行委外的，打电话态度蛮横，要我弄死她，我这全都有录音，身为银行委托第三方就这恶劣态度吗，要逼死我，那就鱼死网破，作为一个女的这么说话，你要站我面前我打你一巴掌你得给我忍着，就对银行说减免利息滞纳金根据银监会规定分期五年，你起诉也好，我认，坐牢我认，恶意骚扰，辱骂，这是银行做的，我现在中度抑郁症，都是被你们逼得，我有暴力倾向也是你们逼得，逼死我吧，来，不过逼死我之前，你们这些催收最好别来找我，我抑郁症跟神经病没什么区别，别逼</t>
  </si>
  <si>
    <t>2019/10/07 16:35:26</t>
  </si>
  <si>
    <t>之前有个同事说要转账，只要我刷个脸就行，然后借用我的银行卡交易了1000元钱！现在那个同事找不到了！人也不在这边了！现在好几个网站找我还款！我压根没贷过款！我也不知道发生了什么！就有好多短信开始让我还款！我也不知道该怎么办！。</t>
  </si>
  <si>
    <t>2019/10/07 16:35:24</t>
  </si>
  <si>
    <t>你我贷催收威胁恐吓本人，我说本人在开车，稍微晚点在还款，他不予同意，说出车祸了也不关他的事。</t>
  </si>
  <si>
    <t>2019/10/07 16:35:07</t>
  </si>
  <si>
    <t>通过短信链接，金鸡下蛋app，填写完申请后一直没有反应，就删除了app，结果在凌晨的时候直接收款1400元，实际到账也是1400元，借时并无任何提示，结果却要在6天后归还2000元，无客服电话联系，通过APP的在线客服联系，拒协商，拒提供电话，2.而且唯一还款通道是支付宝，收款方为聚合支付，1.这个高利贷是通过汇潮支付这个支付通道放款，经过核查，汇潮支付作为合作平台，有其来花花的主体公司和联系电话，但拒提供，继续参与违法行为，本人愿意归还本金和合法利息，希望通过平台解决问题。</t>
  </si>
  <si>
    <t>2019/10/07 16:34:59</t>
  </si>
  <si>
    <t>小浦优客app申请借款，按步骤填写资料，然后最后要求绑定银行卡，绑定完成就开始审批，过了两天后直接银行卡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</si>
  <si>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2019/10/07 16:34:53</t>
  </si>
  <si>
    <t>ofo不予退还押金，客服还挂电话，推诿，不予退还押金。</t>
  </si>
  <si>
    <t>2019/10/07 16:34:01</t>
  </si>
  <si>
    <t>7月31日，向及贷贵公司借款9000元，但在不知情的情况下，添加什么所谓的学堂会员费1305元，我都不同意交会员，为什么强加这些费用，学堂会员费是学什么的，是不是属于套路借款人的套路贷，是否会法，我要求贵公司能减免这一笔学堂会员费，退回不合理费用，还利息费用每用还本金800利息200是不是已经超过年化率百分之36，超过国的利率！借9000合同写一万多，还要还一万二千多，利息三千多，是否合理。</t>
  </si>
  <si>
    <t>2019/10/07 16:33:58</t>
  </si>
  <si>
    <t>山东潍坊联通客服9705泄露我个人隐私短信内容，不管是什么样的原因，只要是说我本人发的短信，假如说携带敏感字眼，只要告诉我内容就属于隐私泄露，而且每次给我回投诉的人都在去辩解不属于个人隐私泄露，但是他们那边明确的告知过我是可以看到部分短信内容的，截止目前为止多次给我回复并没有给我解决到问题，而且已经对我够成了骚扰，我只是问了他一下你，你如果要说给我解决问题的，你就咱俩好好唠唠，你要是说替他们辩解，说我的个人信息不属于泄露，我多次着反应个人信息泄露从来就没有人给我解决，着实的去解决这个问题，我也明确告知过c0</t>
  </si>
  <si>
    <t>2019/10/07 16:33:45</t>
  </si>
  <si>
    <t>今天早上六点半左右突然接到电话说有个乘客要我去带他，但是我昨天手机放在床边充电根本就没有动过，又怎么可能去抢什么预约单了，真是好奇怪，上个月的时候也有过一次这样的情况当时就忍了，但是现在这个月又出现了，在我明明休息时候系统自己帮忙抢了一个很远的预约单，然后第二天肯定去不了，更可笑的是我个人居然都不知道，但是结果很显然，滴滴出行只要扣了你分的一般申述和维权都是非常困难的，但是对于这次再次发生同样的失误，我只想说，正当权益受到损害时不应该沉默，应该正常的合法维护自己的自身权益，这次就是不干了也要投诉，要求恢复成</t>
  </si>
  <si>
    <t>2019/10/07 16:33:34</t>
  </si>
  <si>
    <t>当初因为实在困难像卡牛瑞贷借款10500，随后到账以保险名义与什么服务费用先后扣了两百多与一千多，等于到账八千多，分12期还每期1054.37，还了一期后，本期因为工作变动与家中确实困难逾期，希望协商晚几天归还，催收人员威胁通讯录逐一通报，原来手机号不用了，在逐步转移用新号码，只会每天抽个时间看一下有没有朋友找我，也和客服沟通后给了新的联系方式反馈希望能让他们平台相关人员联系我沟通，但是催收人员起初说联系不到我，短信发过来说联系家属，后又说今天也就是逾期第一天九月七号下午四点半没解决逐一通报，我短信回复希望</t>
  </si>
  <si>
    <t>2019/10/07 16:33:21</t>
  </si>
  <si>
    <t>9月3号兴业银行来电，当时我在上班，然后就接了电话，兴业银行业务员跟我说提个50000元备用金额度，开始我都说不需要了，业务员还说叫我考虑一下，接着又说我现在信用卡30000元的额度，然后加上50000元就相当于80000元的额度了，我开始以为是临时额度也就没在意，直到5号我才发现自己信用卡被扣除了一比费用1788.89元，然后我致电兴业银行热线人工服务才清楚的了解到这个50000元是每月都要扣除的本金费和一期利息，如果开始我清楚知道要每个月扣除高额利息费的，我根本就不会开通，期间业务员根本没给我说清楚要扣</t>
  </si>
  <si>
    <t>2019/10/07 16:33:12</t>
  </si>
  <si>
    <t>360借条今天打电话给我，由于暂时还不了那么多，2000元有最后一笔款项363元现在给我猛涨到390多元，让我承受了很大压力，我现在也在积极努力的解决问题，可360确拒绝协商，让我承受了极大压力，所谓的其他不合理费用让我承受了很大的经济压力和东西，希望协调一下。</t>
  </si>
  <si>
    <t>2019/10/07 16:32:49</t>
  </si>
  <si>
    <t>我是在2019年9月27日在肥猫贷平台借款2000元，实际到账1400元，现在2019年10月7到期又叫我还款2000元或者续借又给利息600元。</t>
  </si>
  <si>
    <t>2019/10/07 16:32:48</t>
  </si>
  <si>
    <t>借款3500，只到账2625，砍头息砍了太多，而且才一个月，却要还3605，太高利啦，要求客服进行调整也不同意，而且态度很差，回复很慢。</t>
  </si>
  <si>
    <t>2019/10/07 16:32:20</t>
  </si>
  <si>
    <t>之前跟客服协商好的，到现在一直没处理，又联系不到他们部门的工作人员，看到可以给我来个电话吗。</t>
  </si>
  <si>
    <t>2019/10/07 16:31:59</t>
  </si>
  <si>
    <t>我就想把里面没用的钱提现出来，而且办卡的时候说是能用里面的钱买机票的，可是我买了两回也就抵了一点点，还是得自己开钱。</t>
  </si>
  <si>
    <t>2019/10/07 16:31:42</t>
  </si>
  <si>
    <t>投诉人 徐正        投诉对象  钱橙无忧        涉诉金额  390 元    问题类型    诉求类型投诉详情  本人操作网上贷款时不知道被对方签了代扣 而且本人的贷款并没有成功 为什么会扣我的钱</t>
  </si>
  <si>
    <t>2019/10/07 16:31:39</t>
  </si>
  <si>
    <t>因为卡里余额不足，延迟一天想要去还款，马上就被发短信威胁了，亲戚和朋友都说了收到了威胁短信，我想问下这是正规的公司吗，连续还款翻倍的钱手机才是自己的。</t>
  </si>
  <si>
    <t>2019/10/07 16:30:26</t>
  </si>
  <si>
    <t>本人于2018年12-7日在平安普惠贷款160000元，每月七日还款，一直按时还款到今，2019年10月6日未到还款日，普惠的工作人员对我的家人进行了骚扰与恐吓，我们家都是本本分分的一家，从来没有遇到过这种事，我母亲由于害怕高血压旧病复发，我希望能得到一个合理的解释，未到还款日为何暴力催收，对我的名誉权与家人的生命健康带来了威胁，希望得到一个合理的解决，万一后续有什么问题，不介意法律程序与媒体曝光。</t>
  </si>
  <si>
    <t>2019/10/07 16:30:08</t>
  </si>
  <si>
    <t>投诉人 孟先生        投诉对象  交易猫        涉诉金额  1 200 元    问题类型    诉求类型投诉详情  联系交易猫客服发货说稍等 然后就一直不回信息</t>
  </si>
  <si>
    <t>2019/10/07 16:29:21</t>
  </si>
  <si>
    <t>暴力催收，商量不通，咋说咋不行，真是无奈了，而且刚逾期一天，就给我朋友打电话，复制我通讯录，频繁给我朋友打电话，我已经说了，两个月内清贷，还是在暴我通讯录，而且威胁我，起诉我，豆豆钱就是个套路贷，说我今天还清这期，就在和我贷五千，就是骗人的，利息非常高，怎么也还不清，必须得一次性，清贷，坑人的软件，。</t>
  </si>
  <si>
    <t>2019/10/07 16:28:37</t>
  </si>
  <si>
    <t>朋友逾期未还，每天给我打电话发信息，多次骚扰，严重影响正常生活！要求道歉并停止电话和短信骚扰。</t>
  </si>
  <si>
    <t>2019/10/07 16:28:15</t>
  </si>
  <si>
    <t>本人是开美容店！平常美容产品都是寄顺丰！可是今天不知道哪个快递员好威风哟！态度极差！今天去邮寄，拿到快递点，地址电话都填好了，快递员说：这个东西需要拆开看，谁知道你是不是卖白粉的，我说我这是有营业执照！而且化妆品保护膜撕掉了还卖得了吗！你知道不，你叫恶意中伤，包装膜都还在，怎么给你看！平常都寄着好好的，找我麻烦，客服不解决！邮政局见！态度太差了！是不是工资吃多了。</t>
  </si>
  <si>
    <t>2019/10/07 16:28:08</t>
  </si>
  <si>
    <t>投诉人郑女士投诉对象酷宝支付涉诉金额5429元问题类型诉求类型投诉详情10月7日被雅酷时空信息产业有限公司酷宝支付盗刷银行卡5429元。</t>
  </si>
  <si>
    <t>2019/10/07 16:27:59</t>
  </si>
  <si>
    <t>拨打95055咨询还款事项，客服态度极差，一直打断话题，完全不让我讲话，一直听她说，我说要投诉她，她说投诉不了，问她的工号还不愿意接，第二次还是她接电话，我问她刚刚是不是她接电话的，居然否认，工号都是同一个，94428。</t>
  </si>
  <si>
    <t>2019/10/07 16:27:14</t>
  </si>
  <si>
    <t>借了小赢卡带总共3万元，利息将近9000多，在24到36这个区间内我们可以协商还款，也就是说24我可以还，但是高了我不还，国家规定的是先息后本，但是这个却是等额本息，按照这个情况那么利率绝对在50，这不是高利贷是什么。</t>
  </si>
  <si>
    <t>2019/10/07 16:27:05</t>
  </si>
  <si>
    <t>销账，提供结清证明，撤销问题征信，还我清白身份。</t>
  </si>
  <si>
    <t>2019/10/07 16:27:00</t>
  </si>
  <si>
    <t>昨天的还款日，本来昨天就处理的，最近太忙了，没往那张扣款卡片里存钱，结果挂扣没能成功，然而催收部门，一个带着广西口音的人，一而再再而三的打电话，我老婆都给他说今天要处理了，结果以各种无理取闹，带侮辱性词语的话逼我们还款，当然借钱还债是我们的义务与责任，但是遭受这种侮辱性的言语攻击，催收是谁都不可容忍的！像这样的人能服务于这样大的金融平台，感到可笑！要求道歉，要求给这中人处分！。</t>
  </si>
  <si>
    <t>2019/10/07 16:24:55</t>
  </si>
  <si>
    <t>莫名被扣款，被扣了还不知道是哪个平台扣的，我不知道你们是在赚钱还是暴力骗钱。</t>
  </si>
  <si>
    <t>2019/10/07 16:24:54</t>
  </si>
  <si>
    <t>自由魔卡APP的六便士，以买卡为借口收取高额砍头息，借款2000元收取540元会员卡费，30天到期还款2060元，等于30天利息600元，现在已无力偿还，畅捷支付给高利贷提供支付通道已保留到账信息，银行扣款等资料近一步向12315，扫黑办，银监会投诉，并且在没有逾期的情况下恶意拨打本人通讯录亲戚电话，自由魔卡给高利贷提供平台，畅捷支付给高利贷提供支付通道，已保留到账信息，银行扣款等资料近一步向12315，扫黑办，银监会投诉。</t>
  </si>
  <si>
    <t>2019/10/07 16:24:53</t>
  </si>
  <si>
    <t>乐汇支付提供时时彩交易平台非法结算导致的资金被盗取。</t>
  </si>
  <si>
    <t>2019/10/07 16:24:40</t>
  </si>
  <si>
    <t>我因为商品问题申请过退款，退回的商品聚美已经签收，聚美说商品和仓库不符不给退款，我是原装退回，不存在调包问题，快递单号：640177795398。</t>
  </si>
  <si>
    <t>2019/10/07 16:23:51</t>
  </si>
  <si>
    <t>这游戏充了1000多块钱了，今天想起来了去玩了，结果那里都找不到这个游戏了，百度说的停服了，停服为什么不给我们这些玩家说。</t>
  </si>
  <si>
    <t>2019/10/07 16:23:48</t>
  </si>
  <si>
    <t>借款10000最后利息高达3000多，里面包含很多强制购买的人寿险，客服人员称是自行行为要购买，请问谁会无故给自己多花钱，客服承诺协商解决，给了方案承诺三天回复，结果不回复，最后给了一个方案同意了，但是第二天扣款没有成功，当天我已把钱存入，最后客服说方案失效，要求按高利息还款，且态度恶劣，本人且不能看到自己合同，高利贷竟然称符合国家法定利率。</t>
  </si>
  <si>
    <t>2019/10/07 16:22:46</t>
  </si>
  <si>
    <t>您好聚投诉本人于2019年7月11号在钱站借款到账3000元，但是钱站伪造合同，合同金额为3750元，实际到账金额为3000，每期还款1330元，三月总共需要还款3990元，年利率高达百分之130,根据国家相关法律规定年利率超过百分之三十六的部分视为无效，年利率百分之24到36的部分可以协商还款，本人诉求对钱站伪造合同的事件进行严格处罚且对此次借款进行销账，希望聚投诉为我做主严格查处高利贷平台。</t>
  </si>
  <si>
    <t>2019/10/07 16:22:34</t>
  </si>
  <si>
    <t>投诉人 张冬冬        投诉对象  捷信金融        涉诉金额  1 200 元    问题类型    诉求类型投诉详情  恶意电话骚扰 往家里发崔收信 冒充法务部要起诉我 有证据 希望给个解释</t>
  </si>
  <si>
    <t>2019/10/07 16:22:26</t>
  </si>
  <si>
    <t>9月25日，通过美团APP订购酒店，订购价为豪华双床672元每间，离店后可申请返现支付为豪华双床672元每间，本人订购两间豪华双床，实际支付了1457元，在离店后美团APP上根本找不到返现信息，通过在线客服人员沟通后仅能赔付到65元。</t>
  </si>
  <si>
    <t>2019/10/07 16:22:25</t>
  </si>
  <si>
    <t>投诉人徐家繁投诉对象融信涉诉金额500元问题类型诉求类型投诉详情贷上钱DSQ科技，借款2000元，必须购买500元的虚拟游戏币不然借不了款。</t>
  </si>
  <si>
    <t>2019/10/07 16:21:50</t>
  </si>
  <si>
    <t>投诉人陈女士投诉对象拍拍贷涉诉金额14320元问题类型诉求类型投诉详情平台催收冒充法院恐吓威胁本人及家人，催收人员态度恶劣说话难听对本人造成心理伤害望有关部门能重视一下。</t>
  </si>
  <si>
    <t>2019/10/07 16:21:26</t>
  </si>
  <si>
    <t>买他家的大闸蟹说好死蟹包赔！当天就联系客服了，现在已经过去两天了，打他们家售后电话也打不通。</t>
  </si>
  <si>
    <t>2019/10/07 16:21:15</t>
  </si>
  <si>
    <t>本人于十月六号早上七点多在滴答出行下了一个顺风车的单，车主接到我后，我发现和订单上显示的信息车辆不符，然后车上另外有三个人，把另外三个人一个一个送到目的地后再送的我，原本我一个多小时的车程给我弄成了三个多小时，致电客服后说是会处理，但是一直没给我处理结果，一直强调的都是不管怎样我这个车费是该怎么给要怎么给的，我说处理不好我不会给，然后直接强行在我账户里扣款。</t>
  </si>
  <si>
    <t>2019/10/07 16:21:03</t>
  </si>
  <si>
    <t>我之前在深圳注册了快狗打车，也买了一台二手的小货车，交了押金之后也去了龙华那边培训了的，我一个单都还没有跑，后面因为小孩要读书我没有深圳居住证和社保小孩无法在深圳就读，所以就举家搬回了揭阳，货车也卖了，我联系了快狗客服人工永远打不通。</t>
  </si>
  <si>
    <t>2019/10/07 16:20:24</t>
  </si>
  <si>
    <t>本人于2018年10月再万惠及贷贷款6000元,分12期,每期668元,由于最近失业,8月30号逾期30天,利息100块,9月底已经主动还款,9月30号逾期到10月6号，从10月5号到10月7号,及贷工作人员,恶意爆我通讯录,还强烈要求,最后一期，提前还款,否则再次骚扰我通讯录的联系人,希望你们能处理。</t>
  </si>
  <si>
    <t>2019/10/07 16:19:49</t>
  </si>
  <si>
    <t>投诉人沈先生投诉对象玖富万卡,悟空理财涉诉金额25000元问题类型诉求类型投诉详情借了4万多还了5万还有2.5万要还我是在还不起了。</t>
  </si>
  <si>
    <t>2019/10/07 16:19:47</t>
  </si>
  <si>
    <t>在毫无提示下扣款我是前几天注册的app绑定了银行卡当时页面毫无提示今天突然来扣款信息并扣款，联系第三方支付不处理问题。</t>
  </si>
  <si>
    <t>2019/10/07 16:18:11</t>
  </si>
  <si>
    <t>本人于2019年8月26日在好易贷借款平台借款300元资金周转，当时平台以手续费、平台费等各种费用扣除头息900元，8月31日还款900元，逾期后，平台催收人员暴力催收恐吓本人通讯录，导致我的工作生活受到极大影响，后经过协商，同意还清剩余本金1200元加上100元利息，还款后平台催收人员拒不销账，又叫我偿还剩余利息。</t>
  </si>
  <si>
    <t>2019/10/07 16:18:09</t>
  </si>
  <si>
    <t>本人在现金速递上借款2200实际到账1600，每次借款前都购买财神卡也就是变相砍头息600元，今天一个女催收打电话来口口声声拿我家里人威胁我，要我的亲朋好友晚上最好关机小心点，我现在是不是可以认为我如果哪一个亲朋好友晚上受伤了是不是可以告现金速递蓄意伤害他人，现在我的精神也受到了极大伤害，自从现金速递催收打电话过来人就恍恍惚惚老是担心家里人和自己的人身安全，希望聚投诉和国家严惩这样的积进份子，钱我也会还但是得把滞纳金减掉，总共到账1600本来就要还2200还要还700多滞纳金也就是借款1600现在逼着我还将</t>
  </si>
  <si>
    <t>2019/10/07 16:17:45</t>
  </si>
  <si>
    <t>我媳妇从他们爱前进金融公司旗下的钱站平台贷款8000元，合同上注明贷款8000元，可是实际到手5000元，我老婆已经给他们还了一期，之前上一期逾期没还之前，他们的工作人员给我老婆同事打电话，上次投诉一直没有解决就不了了之，对方客服直接给我说必须按照合同上的规定旅行还款事项，没有商量的余地，今天我给他们客服4008128018打电话，电话接通后，我和他们客服沟通怎么协商还款及利息的事情，对方客服直接给我说，必须按照合同上的规定旅行还款事项，没有商量的余地！我问她们客服对方说那三千元是服务费，呵呵，我就想不通了</t>
  </si>
  <si>
    <t>2019/10/07 16:17:33</t>
  </si>
  <si>
    <t>刚洗完澡，看一会小说就发现被人跨行无卡消费了，也第一时间打电话给银行了，希望尽快帮我找回损失！。</t>
  </si>
  <si>
    <t>2019/10/07 16:17:23</t>
  </si>
  <si>
    <t>牛人有品公司，现在依然没有销账的意思，投诉几次了，以免8号还款日当天叫催收公司人员进行暴力催收。</t>
  </si>
  <si>
    <t>2019/10/07 16:17:12</t>
  </si>
  <si>
    <t>本人在及贷借款9000，最终需要还款总额10539.含保险费1539.现在要求及贷退回我保险费。</t>
  </si>
  <si>
    <t>2019/10/07 16:16:48</t>
  </si>
  <si>
    <t>但希望桔子分期催收不要去骚扰紧急联系人和通讯录好友这是违法违规的，因为打紧急联系人号码是在联系不到债务人的情况下才能拨打，所以在联系到我的情况下不要去做损害名誉的事情。</t>
  </si>
  <si>
    <t>2019/10/07 16:15:52</t>
  </si>
  <si>
    <t>我在和拍拍贷没有任何借贷关系的情况下，天天打电话骚扰我！已经对我的工作生活完成了严重的恶劣的影响，我已明确告知我不认识借款人，但拍拍贷还是无视一天最少两波电话，你们拍拍贷对借款人资料核实有误，导致联系不上借款人就一遍一遍的骚扰我，你们这种行为已经侵犯了我的合法权益！我再次声明，第二，你们对我持续骚扰侵犯了我的合法权益，严重影响了我的生活，第三，借款人把我手机号留作紧急联系人，你们没有核实，我也不知情，也没经过我同意，如果你们再继续打我电话，没完没了的骚扰我，我将走法律程序，并向相关金融监管部门投诉！。</t>
  </si>
  <si>
    <t>2019/10/07 16:15:39</t>
  </si>
  <si>
    <t>盛POS销售推销免费pos机，利率：0.38；办理快结束让我刷信用卡298元激活账户，钱会自动到账我绑定的蓄储卡，刷完后提醒我六个月刷满6笔才能返钱，中途有联系销售咨询刷卡利率又变为仅信用卡，微信、支付宝刷卡利率为0.38。</t>
  </si>
  <si>
    <t>2019/10/07 16:15:34</t>
  </si>
  <si>
    <t>实际借款3900元可是到啦放款合同变成啦5162元加上利息一共要还7200元，你们这样做就不拍别人查你们。</t>
  </si>
  <si>
    <t>2019/10/07 16:14:47</t>
  </si>
  <si>
    <t>骚扰我通讯录的人就算了，现在还要骚扰我通话记录的人，而且态度极其恶劣，关键是人家是送快递的根本不认识我你有事吗。</t>
  </si>
  <si>
    <t>2019/10/07 16:13:50</t>
  </si>
  <si>
    <t>洋钱罐借款逾期不是恶意拖欠，第一天催告费达到40多，让给个解释，做出合理安排无果今天直接爆通讯录，亲朋好友直接打电话问我造成困扰名誉损失，至现金借款，不做出合理赔偿，我昨天还款他们系统的原因还款失败，今天就爆通讯录，太黑暴力了。</t>
  </si>
  <si>
    <t>2019/10/07 16:13:48</t>
  </si>
  <si>
    <t>本人在2018年8月在平安普惠贷款20000元，前几个月一直还得好好的，他们催收的人员说有优惠政策，让我还一期后我的账户就冻结一年后再还，还让我提供了困难证明，我花了很大力气还了一期，可是不久第二个人又找我催收，又是同样的理由，怕我不相信，还让别的工作人员打我电话确认，我再次相信了又找人借钱还了一期，我以为可以缓段时间再还，没料到现在第三个人又来了，又说有优惠政策让我选，一样的套路，平安普惠这样大的集团，我以为真的为客户着想，他们怎么能这样忽悠客户，他们的诚信何在。</t>
  </si>
  <si>
    <t>2019/10/07 16:13:18</t>
  </si>
  <si>
    <t>投诉人赖先生投诉对象拼多多涉诉金额842元问题类型诉求类型投诉详情我是一名拼多多买家，在拼多多店铺买了3只口红，收货后发现商品下架了，怀疑商品质量，故要求退货，拼多多平台不给退款，还关闭退款，现在无法退出我的款，投诉无门，故在此申请投诉，希望聚投诉平台能帮助我处理，谢谢！因为是送礼的，无法送出，拼多多3笔购买订单号：191003-6*************2，191002-2*************2，191002-4*************2。</t>
  </si>
  <si>
    <t>2019/10/07 16:12:46</t>
  </si>
  <si>
    <t>未偿清，一直打电话让我联系他，我申明已经离婚了，中原金融说不相信，我表示他们可以去民政查实，他就说那么贷款时候是没有离婚的，然后威胁说如果我不联系前夫，就要打电话到我单位核实，并且告诉单位同事我的情况。</t>
  </si>
  <si>
    <t>2019/10/07 16:12:19</t>
  </si>
  <si>
    <t>我去年在时光分期借款6000元，分12个月还，每个月还690块钱，之前自己一直没有算过！昨天高速开车堵一天忘记还钱！中午睡觉有人联系我说我逾期了，要还795块钱！还说有一天宽限期！今天是在宽限期内收100多块的崔收费！真高啊！我再仔细算了下之前贷款年化居然到了百分之60的利息！不是我不想还，但是这样我是还不了了。</t>
  </si>
  <si>
    <t>2019/10/07 16:10:18</t>
  </si>
  <si>
    <t>到10月7号商家一直不发货！咨询说商品没货了，但是通过平台网页还是看到该平台在正常销售，也有库存，商家拒不发货，现要求商家正常把商品发出！商品链接https://item.jd.com/156******05.html。</t>
  </si>
  <si>
    <t>2019/10/07 16:10:07</t>
  </si>
  <si>
    <t>投诉人 张辉        投诉对象  信而富        涉诉金额  2 200 元    问题类型    诉求类型投诉详情  暴力催收，骚扰通讯录好友，骚扰村委会。群发借款信息。</t>
  </si>
  <si>
    <t>2019/10/07 16:09:41</t>
  </si>
  <si>
    <t>立刻出行，不退押金，超出规定时间，并且市区不提供用车服务。</t>
  </si>
  <si>
    <t>2019/10/07 16:09:36</t>
  </si>
  <si>
    <t>拍拍贷严重骚扰本人通讯录亲朋好友，盗取本人信息，将本人通讯录家人朋友电话移交第三方催收公司严重骚扰侮辱本人干扰骚扰本人通讯录好友。</t>
  </si>
  <si>
    <t>2019/10/07 16:09:17</t>
  </si>
  <si>
    <t>2016年我办理的中信银行信用卡，截止今日已经用了三年，在2017年银行发短信和打电话说我有圆梦金和新快线额度，从2018年开始我每个月都在积极努力的还钱，截止19年10月现在我的账单由28000元涨到了七万元，注：三月份开始我基本每期都是3000-6000的在还款，一直在跟银行方面协商还款现在委托的第三方催收机构不知道在哪找到家人同事电话，从五月份开始就跟银行不断的打电话要求协商还款，现在等不及了。</t>
  </si>
  <si>
    <t>2019/10/07 16:09:15</t>
  </si>
  <si>
    <t>19年4月18日去的深圳福田青莲医美门诊，想减肥，门诊业务员推荐我做吸脂手术，一直说效果非常好,引诱我消费这个项目，测量我的身体后，告诉我腰腹臀部大腿需要抽脂肪出来，我一直质疑效果，她们三个业务员陆续一直拉着我营销，并让我看她们手机里面别的患者做的手术效果图，说可以做到她们的效果，大概一个小时后她们让我签署了一份不符合我自身经济能力的贷款协议，共计85000，我说我没钱，她们推荐我办理分期贷款然后拿着我的手机一顿操作，用了两个平台贷款给我一个平台一个月还2585，另一个平台还1700左右，也没有告诉我利息和</t>
  </si>
  <si>
    <t>2019/10/07 16:08:39</t>
  </si>
  <si>
    <t>信而富违法高利贷！强制砍头息！每次借款必须要强制买无用商品才给借款！套路贷！要求把所有强制买商品的钱退换给我！。</t>
  </si>
  <si>
    <t>2019/10/07 16:08:22</t>
  </si>
  <si>
    <t>平安普惠催收这么嚣张还有没有人管了！叫我把钱存卡上会扣！昨晚一直没扣！今天中午12点左右我手动还款了！下午4点爆通讯录！还款了还到处乱打电话催收！对我名誉造成了很大的影响！凭什么这么嚣张。</t>
  </si>
  <si>
    <t>2019/10/07 16:06:53</t>
  </si>
  <si>
    <t>投诉人 倪先生        投诉对象  拍拍贷        涉诉金额  3 200 元    问题类型    诉求类型投诉详情  一天到晚各种骚扰，已经影响到生活了。这样天天接电话都不用上班了。</t>
  </si>
  <si>
    <t>2019/10/07 16:06:13</t>
  </si>
  <si>
    <t>现控达人到账两笔，一笔1400，一笔2800，32天每8天为一期，第一笔已还1022.4，第二笔已还1022.4，平台20号开始还不了款，多次联系客服也没有反应，现在恶意造成了高额逾期费用，而且该平台利息也超过国家的很多倍，希望解决。</t>
  </si>
  <si>
    <t>2019/10/07 16:05:58</t>
  </si>
  <si>
    <t>在大鹅购借款到账1400元，期限才十五天，到期要我还1700多，将近1800，而且说是逾期了一天，就疯狂打我手机通讯录的联系人，就连我很久不长联系的都被骚扰了。</t>
  </si>
  <si>
    <t>2019/10/07 16:05:23</t>
  </si>
  <si>
    <t>本人在2019年10/7号收到本人名下储蓄账户被上海造艺网络科技有限公司用银联无卡自主消费扣除了150元人民币，这笔钱我是在我本人并不知情的情况下扣除的，本人无任何消费就被恶意乱扣费，在他们APP上面未能贷到款，却扣除我150的服务费，服务费一共是299元还要扣我149元，我都不敢存钱放卡里，网上搜索了一下相同类似的被此公司恶意乱扣费的受害者有很多，此公司是在上海汇付数据有限公司开的支付商户号，我觉得他们之间的业务往来涉嫌非法操作，另外希望上海造艺网络科技有限公司归还本人150元人民币。</t>
  </si>
  <si>
    <t>2019/10/07 16:05:19</t>
  </si>
  <si>
    <t>9月3日，在闪银上借款时，有担保费用，但是没有点，结果过了几天仍然要扣担保费，相当于虚假合同，盗刷银行卡，希望通过这边可以退回费用。</t>
  </si>
  <si>
    <t>2019/10/07 16:04:55</t>
  </si>
  <si>
    <t>我和我老婆本来想着做点小生意养家，想好了做拼多多，就从我们当地日化店进货了10箱蓝月亮洗衣液在拼多多卖，结果上架不到3天就被下架了，理由是“可能涉嫌售假”，我们洗衣液在当地正规的日化店进的货怎么可能是假货，因为我们拿货量少，人家也不可能给我授权，都是只接给钱然后货拉走，一个小小的梦想可能都因为这件事给直接破灭了，希望拼多多妥当处理，给我们这种小卖家一条活路。</t>
  </si>
  <si>
    <t>2019/10/07 16:04:52</t>
  </si>
  <si>
    <t>电话恐吓，电话骚扰通讯录好友，请立即停止，有什么问题可以通过法律途径。</t>
  </si>
  <si>
    <t>2019/10/07 16:04:49</t>
  </si>
  <si>
    <t>上海拍拍贷委托的催收机构，在我与公司客服电话协商的2019.9.08还款日之前，就已经擅自多次向我的亲戚暴力催收、电话骚扰，后来仍然不听我的劝阻，每天都采用同样恶劣的方式，继续骚扰我通讯录里的亲朋好友！。</t>
  </si>
  <si>
    <t>2019/10/07 16:04:40</t>
  </si>
  <si>
    <t>我在9月29号的时候把2587的逾期本金处理进去了，他们告诉我3个工作日内就可以结清了，但是今天已经7号了，还是没有结清，我打客服电话，客服也没人理我。</t>
  </si>
  <si>
    <t>2019/10/07 16:04:15</t>
  </si>
  <si>
    <t>2019/10/07 16:04:08</t>
  </si>
  <si>
    <t>2019/10/07 16:03:49</t>
  </si>
  <si>
    <t>2019年7月22号，在随手记福贷借款7500，分三期，客服给出的回答是服务费和其它费用，明目张胆的违法乱纪。</t>
  </si>
  <si>
    <t>2019/10/07 16:02:42</t>
  </si>
  <si>
    <t>分期乐群发消息，泄露个人信息，请问，这算不算是软暴力。</t>
  </si>
  <si>
    <t>2019/10/07 16:02:40</t>
  </si>
  <si>
    <t>如题，有额度一直不让用，联系客服销户又找各种理由推诿，怀疑只是为了骗取用户信息。</t>
  </si>
  <si>
    <t>2019/10/07 16:01:58</t>
  </si>
  <si>
    <t>群发短信，侮辱，暴力催收，高利贷，盗取信息和通讯录。</t>
  </si>
  <si>
    <t>2019/10/07 16:01:39</t>
  </si>
  <si>
    <t>快捷通，杭州伟福科技有限公司和购分期恶意扣费，未经本人同意199元，一样对方快点退还本人的扣款。</t>
  </si>
  <si>
    <t>2019/10/07 16:01:10</t>
  </si>
  <si>
    <t>投诉人刘女士投诉对象小魔鱼涉诉金额0元问题类型诉求类型投诉详情骚扰我通讯录好友，半夜三更发短信骚扰恐吓威胁。</t>
  </si>
  <si>
    <t>2019/10/07 16:00:37</t>
  </si>
  <si>
    <t>分12期第一期和第二期分别要还3216.89元其中包含本息，两期共收取平台费用费1215元砍头息2435元，每月6号还款日由于国庆期间公司放假没发工资。</t>
  </si>
  <si>
    <t>2019/10/07 16:00:21</t>
  </si>
  <si>
    <t>投诉人 吾娜依        投诉对象  立借        涉诉金额  550 元    问题类型    诉求类型投诉详情  他在QQ上面一直威胁我，爆通讯录 她们客服给我时间的呀</t>
  </si>
  <si>
    <t>2019/10/07 16:00:18</t>
  </si>
  <si>
    <t>投诉人沈先生投诉对象360借条涉诉金额517元问题类型诉求类型投诉详情之前注册过360借条账号，但是在平台没有任何借款，今天被无故扣款。</t>
  </si>
  <si>
    <t>2019/10/07 15:59:35</t>
  </si>
  <si>
    <t>本人淘宝号淘宝检测是健康的，被创客的使用商家恶意标注，导致成了降权号，信誉受损。</t>
  </si>
  <si>
    <t>2019/10/07 15:58:58</t>
  </si>
  <si>
    <t>莫名其妙的扣除了296块钱，在本人不知情的情况下。</t>
  </si>
  <si>
    <t>2019/10/07 15:58:56</t>
  </si>
  <si>
    <t>之前按时还款没逾期无缘无故把我账户冻结掉，逾期一天催收轰炸通讯录，发侮辱短信，后面协商还款就把我账户解冻可以借款，结果我还了说解冻不了，还一天二十几个电话骚扰家人，真是qnmgb，停止骚扰做出赔偿，不然将继续投诉至人民银行，你们平安普惠的名声有多垃圾大家都知道。</t>
  </si>
  <si>
    <t>2019/10/07 15:58:37</t>
  </si>
  <si>
    <t>投诉人 覃海洪        投诉对象  中信银行信用卡        涉诉金额  50 000 元    问题类型    诉求类型投诉详情  暴通讯录，4分钟6个电话骚扰。，这些号码都是中信银行信用卡第三方催收。其严重违反催收自律公约</t>
  </si>
  <si>
    <t>2019/10/07 15:57:53</t>
  </si>
  <si>
    <t>因本人喝多误点短信链接通过云闪付向山东语锘建筑工程有限公司支付2000元本人并未与该公司有过任何经济往来且目前无法联系商户现要求云闪付通知商户与我联系，目前已向12315进行举报。</t>
  </si>
  <si>
    <t>2019/10/07 15:57:24</t>
  </si>
  <si>
    <t>打通讯录电话，骚扰，请立即停止，至于我没有钱还可以通过法律途径。</t>
  </si>
  <si>
    <t>2019/10/07 15:56:57</t>
  </si>
  <si>
    <t>一个人在北京漂，6月底因为家里出事把身上所有的钱全部给了父母，说实话吃饭都有问题，然后在钱站借了3000，因为急用也确实没仔细看，我想我的收入完全够还，然后到期还款1800，等于我一个月借1000到手200，已经还了2期，剩1期准备还的时候朋友说这和高利贷没区别，我就没想着吃这个亏，毕竟我的钱也不是大风刮来的，然后我就给钱站客服打电话商量偿还本金的事，他们也说会给我来电，结果过了几天影子都没有，然后还催着，威胁给我家人打电话，我就纳闷……这1800值得么，注意！我是非常有意愿还钱，只不过得给我一个合法利息！</t>
  </si>
  <si>
    <t>2019/10/07 15:56:43</t>
  </si>
  <si>
    <t>投诉人郭龙投诉对象建设银行信用卡涉诉金额4000元问题类型诉求类型投诉详情建设银行信用卡委外催收威胁恐吓家人，制造虚假事实，骚扰家人。</t>
  </si>
  <si>
    <t>2019/10/07 15:56:04</t>
  </si>
  <si>
    <t>108快贷，借钱呗平台提交申请后没有任何说明利息等问题，汇潮支付下款，额度2500，下款1535，六天日期，要还2500，严重砍头息，联系不到客服，请平台核实一下，处理高额利息。</t>
  </si>
  <si>
    <t>2019/10/07 15:55:44</t>
  </si>
  <si>
    <t>我在钱站借了2000元，强制3月还款，每月还款，936.67元，共计2801元，这算不算高利贷，是找我朋友借的，因为我已经3个多月没有拿到钱了，，这个月因为工程款一直没有到，所以逾期了几天，前面几天一直没有人联系我，都是系统给我发的短信，我也没有找到他们客服人员的电话，今天我才查到，给他们客服打了2个电话，说明了情况，但是没什么用，说叫他们的人员联系我协商还款时间，但是他们的催收人员一打电话就是规定多少多少时间必须处理，不处理的话就怎么怎么样，我也不是说不还，是因为我资金没到，还有就是说他们说他们是贷后的，</t>
  </si>
  <si>
    <t>2019/10/07 15:54:53</t>
  </si>
  <si>
    <t>下载的BetterMe程序未使用，分两次扣款140元。</t>
  </si>
  <si>
    <t>2019/10/07 15:54:41</t>
  </si>
  <si>
    <t>1.本来定的漠河——哈尔滨，哈尔滨——大连机票，由于南方航空的漠河——哈尔滨飞机延误2个多小时，导致只能取消哈尔滨——大连飞机，退票费用216元。</t>
  </si>
  <si>
    <t>2019/10/07 15:54:21</t>
  </si>
  <si>
    <t>本人在2019年8月18号通过闪电借款借款，提示要购买所谓的黑卡才能够享受借款服务，借款2000要购买500的黑卡，我通过宝付支付支付了500购买了黑卡，并且借款2000元，但是实际只享受到1500的借款，闪电借款的逾期费用严重超标，实际到账的1500逾期费用一天要62元，实属高利贷，本人要求归还购买黑卡的500元，以及，以正常的逾期费用正常的利息处理借款。</t>
  </si>
  <si>
    <t>2019/10/07 15:54:20</t>
  </si>
  <si>
    <t>当时办理pos机，刷了300块钱押金，说该机子刷满88w承诺退押金，现在刷满了，打客服却说要等到八个月，可是办的时候不是这样说的，这是欺骗消费者吗，我要求退还押金。</t>
  </si>
  <si>
    <t>2019/10/07 15:53:45</t>
  </si>
  <si>
    <t>涉诉金额8000元问题类型诉求类型投诉详情打电话给家人，并要求来家里，还威胁让家人做好准备，安抚好家人情绪，借款8000，现在利息增加到2万多了，实在没办法还了，请求贵平台帮忙处理。</t>
  </si>
  <si>
    <t>2019/10/07 15:52:52</t>
  </si>
  <si>
    <t>小花钱包对我家人进行恐吓，侮辱，骚扰短信轰炸等。</t>
  </si>
  <si>
    <t>2019/10/07 15:52:10</t>
  </si>
  <si>
    <t>只是注册一下帐号，网贷没申请，私自扣钱，这是欺骗。</t>
  </si>
  <si>
    <t>2019/10/07 15:51:10</t>
  </si>
  <si>
    <t>建筑科学研究院涉诉金额1200元问题类型诉求类型投诉详情所发安全员b证证书不具备效力，不为住建部认可。</t>
  </si>
  <si>
    <t>2019/10/07 15:50:58</t>
  </si>
  <si>
    <t>投诉人李先生投诉对象拍拍贷涉诉金额688元问题类型诉求类型投诉详情拍拍贷公司多次暴力催收，爆通讯录，恐吓威胁，态度极差。</t>
  </si>
  <si>
    <t>2019/10/07 15:50:54</t>
  </si>
  <si>
    <t>2018年3月15日在马上金融消费公司借款20000分24期一共还32182.8元，每期还1340.95，要求降息。</t>
  </si>
  <si>
    <t>2019/10/07 15:50:53</t>
  </si>
  <si>
    <t>本人在360借条借款用于店铺周转，由于后期店铺出现连续亏损，负债较多，前期已经还了一万多借款，这里总计有两万块钱逾期十来天，360借条，每天三四个催收电话，严重影响我上班和生活，言语中有侮辱，人身攻击，多次协商不予理睬，本人一直在通过其他途径筹集资金，等待工资还款，公司不予理睬，反复恶意滋扰，甚至一天几个电话催收滋扰我老婆，我老婆怀有身孕，三个多月，原本胎儿就不稳定，现在情绪激动，被催收滋扰后腹部疼痛，恶意催收滋扰家人，我的老婆和胎儿，出现任何问题，我将携带老婆前往医院做鉴定，追究催款人和360借条公司恶意</t>
  </si>
  <si>
    <t>2019/10/07 15:49:49</t>
  </si>
  <si>
    <t>在微贷网款项还清无法在线注销账户，拨打客服无人接听。</t>
  </si>
  <si>
    <t>2019/10/07 15:49:15</t>
  </si>
  <si>
    <t>投诉人左丹阳投诉对象微贷网,多米贷涉诉金额3000元问题类型诉求类型投诉详情由于国庆未发工资，协商明天还款，催收打紧急联系人，现要求停止骚扰，8号还款。</t>
  </si>
  <si>
    <t>2019/10/07 15:49:07</t>
  </si>
  <si>
    <t>该平台为高利贷，借款利息违反了国家借款利率规定。</t>
  </si>
  <si>
    <t>2019/10/07 15:48:56</t>
  </si>
  <si>
    <t>没犹豫，花了四千多买手机，还是只能用移动卡的，每个月扣我一百多违约金，加上话费套餐，一个月要两三百块钱。</t>
  </si>
  <si>
    <t>2019/10/07 15:47:09</t>
  </si>
  <si>
    <t>投诉人张玮投诉对象拍拍贷涉诉金额17400元问题类型诉求类型投诉详情在拍拍贷上借了两次款，分别为5000元分6期还款和12400元分6期还款，本人现在希望拍拍贷现在能按国家利息收取剩余未还部分。</t>
  </si>
  <si>
    <t>2019/10/07 15:44:19</t>
  </si>
  <si>
    <t>北京缤纷星球科技有限公司,佛山市红树林饮食有限公司，在平台网站被骗说是正规游戏平台后发现是赌博平台。</t>
  </si>
  <si>
    <t>2019/10/07 15:43:56</t>
  </si>
  <si>
    <t>优信二手车不透明合同签约，签约贷款虚增，未告知利率，多重服务费超物品价值近20%，不告知消费者不利条件，不给消费者看合同，诱导付费，诱导签约，诱导购买。</t>
  </si>
  <si>
    <t>2019/10/07 15:43:53</t>
  </si>
  <si>
    <t>投诉人林明投诉对象尊享纵横涉诉金额1380元问题类型诉求类型投诉详情2016年7月7号，在西安咸阳机场，一个装制服的女性热情的帮我办理了登记手续，并向我介绍尊享纵横会员卡，暗示性误导我可以全额抵飞机票，而且是全网最低价，全国机场VIP休息厅免费使用，我就办了一张充1380元送1000的卡，赶着登记就走了，之后定机票才发现不能全额抵飞机票，只能减免几十到一百元钱，而且全国的机场他们的休息厅就五六个，我觉得被欺骗了，打客服电话不作为，这段时间在网上看到大家在聚投诉能主持公道，希望聚投诉帮忙，谢谢！。</t>
  </si>
  <si>
    <t>2019/10/07 15:43:50</t>
  </si>
  <si>
    <t>一笔3000共还款2555元一笔2000共还款1457元，现在他们要求我两笔在一起多还3300元我不同意就这么一直拖着，打电话投诉不给处理态度特别恶劣，我要求合理的金额，沟通未果私自拉我通讯录骚扰我的家人！我要求停止骚然拿出合理赔偿方案！。</t>
  </si>
  <si>
    <t>2019/10/07 15:43:22</t>
  </si>
  <si>
    <t>我父亲现在脑梗住院了真的恳请贵公司不要去打他们电话。</t>
  </si>
  <si>
    <t>2019/10/07 15:43:19</t>
  </si>
  <si>
    <t>小浦优客未经本人同意擅自扣费296元，联系客服他们说合同里面写得清清楚楚，但是我注册的时候根本就没有什么合同，也没有说要扣什么服务费，而且他们还说他们平台下不了款给我推荐其他它平台，完全就是土匪，与客服协商退款无果，故投诉，希望严肃处理。</t>
  </si>
  <si>
    <t>2019/10/07 15:43:04</t>
  </si>
  <si>
    <t>洋钱罐现金贷借款利息高，超出国家法利息，之前不懂，现在接触了律师，说严重违法，欠款已还完，总共还的超出了本金的2728元，希望扣除国家法利息外的钱，高额利息退还给我。</t>
  </si>
  <si>
    <t>2019/10/07 15:42:57</t>
  </si>
  <si>
    <t>8.22号苏宁极物冰箱有个前5名下单送1000猫超卡的活动，按照付款顺序的排名，我明明可以拍到他们前面的，并没有说要求确认收货，现在却随意更改说要收货，如果8.22号的交易快照确实有这么收货的一条，我无话可说，也绝对不会投诉你们，现在如此不负责任的商家以不存在的规则来误导我们消费者，投诉极物冰箱虚假宣传，本人已经和售后联系多次，多次都被你们拒绝，现在要求按照当时的规则，补偿本人的1000猫超卡的活动奖励。</t>
  </si>
  <si>
    <t>2019/10/07 15:42:52</t>
  </si>
  <si>
    <t>我2019年9月30日收到一个贷款客户经理的电话说有一款银行的低利息产品专门针对公积金客户，因为我公积金比较高，我就去看了，结果那是一个中介公司居然给我点了一个闪银的网贷，现在这个中介公司被我报警处理了，，结果这个闪银网贷公司第二天就是10月1号给我下了两笔款，一笔2176元，一笔1000元，第一笔分三个月还，一个月还766元，但10月2号要求我还款，一笔60元叫什么征信费，一笔169元哼哼担保费，一笔346.72元的新人担保白条凭证，他们平台没有一个电话，只有一个机器人工服务，完全没有办法交涉，我是不要这</t>
  </si>
  <si>
    <t>2019/10/07 15:42:49</t>
  </si>
  <si>
    <t>投诉人李先生投诉对象小花钱包涉诉金额21930元问题类型诉求类型投诉详情多次拨打本人通讯录好友电话，并进行短信轰炸，并本人进行恐吓威胁。</t>
  </si>
  <si>
    <t>2019/10/07 15:42:29</t>
  </si>
  <si>
    <t>投诉人赵先生投诉对象拍拍贷涉诉金额2000元问题类型诉求类型投诉详情非法窃取本人通讯录信息，将图片群发给本人通讯录中非紧急联系人。</t>
  </si>
  <si>
    <t>2019/10/07 15:41:53</t>
  </si>
  <si>
    <t>你银行卡余额不足的情况下，也能购买成功，先给你记账，过几天等你银行卡有钱马上扣款，一般平台都是余额不足，不能购买成功！它是直接先给你记账，然后再给你扣款，而且购买以后没有借款成功，很多人都被他们骗了，完全打法律擦边球强烈要求退款。</t>
  </si>
  <si>
    <t>2019/10/07 15:39:54</t>
  </si>
  <si>
    <t>刚购买成功的机票就降价210元，携程客服说没办法解决，按理来说临近起来买的机票票价越高才对，怎么买的越早机票越贵，临近起飞前买的机票价格越便宜了呢，要求补差价，机票价格和火车票一致不得随意更改，难道顾客少机票价格就降低吸引顾客吗。</t>
  </si>
  <si>
    <t>2019/10/07 15:38:47</t>
  </si>
  <si>
    <t>本人2019年8月6号通过钱伴app分两次借款3000元，利息为394＊6=2364和364＊3=1092总计要还款3465元，年利率远远超过国家规定的24%.本人有意还款/目前已还款一期，钱伴app平台每个月未到还款日从3号开始，组织外包非法催收人员对本人及我的家人朋友通过短信/电话/及骚扰软件每天24小时违法催收骚扰辱骂攻击，严重影响本人工作生活和家庭，本人会搜集证据向互联网金融协会和打黑除恶办。</t>
  </si>
  <si>
    <t>2019/10/07 15:38:37</t>
  </si>
  <si>
    <t>没有额度我就卸载了，结果今天第二天我就被扣款了299元。</t>
  </si>
  <si>
    <t>2019/10/07 15:38:28</t>
  </si>
  <si>
    <t>本人在信用管家里的神马借贷了一笔钱到账2250，分四期还，每期还款896，第三期9月24号，未收到扣款消息，然后主主动登录APP还款失败，然后紧急联系客服，打客服一直没人接，直到今天依然没有扣款，手动还款失败，目前产生了高额的逾期费用，与客服协商不同意减免，同时投诉畅捷支付为神马借提供支付通道。</t>
  </si>
  <si>
    <t>2019/10/07 15:37:49</t>
  </si>
  <si>
    <t>爆通讯录严重骚挠，影响生活，不断骚挠态度恶劣。</t>
  </si>
  <si>
    <t>2019/10/07 15:36:41</t>
  </si>
  <si>
    <t>百度有钱花催收人员暴力催收，窃取我的通讯录，多次爆我的通讯录，严重影响我的生活和我联系人的生活。</t>
  </si>
  <si>
    <t>2019/10/07 15:36:12</t>
  </si>
  <si>
    <t>2019年9月20号还可以正常使用，随后就不能用，多次联系客服，没有理会，回复的答非所问！真的不明白我犯了什么错，这个权利只有司法部门才有这个权力！请明察，谢谢！。</t>
  </si>
  <si>
    <t>2019/10/07 15:35:53</t>
  </si>
  <si>
    <t>投诉人 覃先生        投诉对象  分期花呗        涉诉金额  0 元    问题类型    诉求类型投诉详情  连续几天不断的发短信骚话 造成生活上不便！</t>
  </si>
  <si>
    <t>2019/10/07 15:35:37</t>
  </si>
  <si>
    <t>小孩玩手机，勿充值了腾讯游戏王者荣耀6480点券，从支付宝扣了648元，找腾讯，腾讯说让找苹果手机，苹果客服说退不了。</t>
  </si>
  <si>
    <t>2019/10/07 15:35:30</t>
  </si>
  <si>
    <t>在小浦优客平台注册的账号，没有扣费提前通知，绑定银行卡后自动扣了296元钱，私自扣费。</t>
  </si>
  <si>
    <t>2019/10/07 15:35:19</t>
  </si>
  <si>
    <t>本人因最近资金周转不过来，还差最后二期欠款，在百度有钱花平台的贷款已逾期，催收员打电话过来我也说明了我的情况，会尽量处理欠款，但后面陆续接到短信轰炸，以及恐吓，有钱花平台的催收员还扬言要半夜爆通讯，骚扰我的家人以及朋友，工作人员态度十分恶劣！！！自称不是外包公司就是百度有钱花的工作人员，威胁说24小时进行电话骚扰，这一行为也包括对我的家人和朋友等各位联系人，态度傲慢+威胁，有黑社会性质嫌疑，该工作人员电话是安徽合肥132******05，无法协商，我要求百度有钱花平台停止对我的违法行为，违法的暴力催收。</t>
  </si>
  <si>
    <t>2019/10/07 15:35:05</t>
  </si>
  <si>
    <t>投诉51人品贷暴力催收，用一个私人号码打的自称是51人品贷法务部人员，2019年4月27日借了27500元，4月28日就划扣了440元，分12期还，每期还3047.92元，2019年9月28日应该还第5期，银行系统因为国庆放假，9月28日银行系统已经关闭直到今天10月7日都还没开放，本来有笔资金到账，但是因为受国庆假日银行系统关闭的影响，结果一直没到账，到今天为止逾期9天，之前已经打过2到3次催收电话，也如实说明了原因和实际情况，但是根本不听任何解释，催收一次比一次恶劣，51人品贷是有多大的后台，，既然是法</t>
  </si>
  <si>
    <t>2019/10/07 15:34:40</t>
  </si>
  <si>
    <t>周周花花砍头息和钱站利息太高能不能只亏还本金，。</t>
  </si>
  <si>
    <t>2019/10/07 15:34:34</t>
  </si>
  <si>
    <t>本人被人误导进入网络博彩平台，通过云闪付前后充值2万多元，现在了解到网络博彩在我国是明令禁止的，但中国银联，和某些商户平台依然无视国法，现要求退回充值金额，并对他们做出处罚！。</t>
  </si>
  <si>
    <t>2019/10/07 15:33:57</t>
  </si>
  <si>
    <t>该座机号是浦发银行信用卡那边的电话，早上打来电话，不懂尊重别人，我还没说话，他便自顾自的说话，我什么话都没说他便要打我的通讯录，说什么我没钱他要帮我借，直接私自去拨打我的通讯录电话，恐吓我的家人，客服电话响一声就挂不让你接电话，打电话去投诉说是网络延迟问题，一整天了我和家人每天都能接到十几个这种响一声就挂电话，投诉不给处理，态度非常恶劣，没有素质！。</t>
  </si>
  <si>
    <t>2019/10/07 15:33:53</t>
  </si>
  <si>
    <t>本人2019年7月2号在现金巴士app申请一笔贷款1000分3个月还，审核通过1000元到账后被微额速达也就是现金巴士秒扣188元，银行流水图是证据，这是典型的砍头息套路贷，这是我第二次用现金巴士之前借过一次还清了app上只显示近六个月的借款记录所以找不到但是银行流水也能查到，第二次的我只剩最后一期没还，两次的砍头息已经足以抵消剩下应还的了，所以我要求现金巴士给我销账，另外今天有重庆号码给我打电话说是现金巴士，我让她销账她不同意，反而威胁我会有后续手段催收，这就是威胁要暴力催收通讯录了。</t>
  </si>
  <si>
    <t>2019/10/07 15:33:52</t>
  </si>
  <si>
    <t>投诉人潘先生投诉对象掌众金服涉诉金额3200元问题类型诉求类型投诉详情3200额度，先要交什么黑卡费800元才能借款，跟砍头息没有任何区别，等于到账2400，现在没钱了，就想协商还款！。</t>
  </si>
  <si>
    <t>2019/10/07 15:33:39</t>
  </si>
  <si>
    <t>投诉人王先生投诉对象中健银座健身合肥融创城店涉诉金额675元问题类型诉求类型投诉详情我于今年7月25日在合肥中健银座融创城店办了一张年卡，同时还买了4节私教课，8月初因为工作调动，不得不申请把私教课退掉，但是到现在已经2个月时间，依然没有退回来，给那边的人打电话也只是互相推诿或不理睬。</t>
  </si>
  <si>
    <t>2019/10/07 15:33:11</t>
  </si>
  <si>
    <t>本人名下工商银行信用卡一张，额度10000，本月最低还款额为1000，本人于还款日当日还进去5700后，发现可用额度是0！打电话给客服，客服也说不出原因，只说系统显示被冻结了，没有逾期，没有提前通知的情况下，就这样被冻结了！！如果给我通知，我就还最低还款额好了，现在把身上的钱都还了进去，却用不了！希望能给出个解释，并且把卡片恢复使用。</t>
  </si>
  <si>
    <t>2019/10/07 15:32:34</t>
  </si>
  <si>
    <t>在QQ上被人拉了进群，有人加我号称可以做兼职，然后就被带下载了app，说可以玩，从第一次充值，半个多月，损失了210573元，后来发现这是境外非法博彩平台，而上海瀚银为赌博平台提供通道，以至于我损失210573元，《中华人民共和国刑法》第二百八十七条之二：，明知他人利用信息网络实施犯罪，为其犯罪提供互联网接入、服务器托管、网络存储、通讯传输等技术支持，或者提供广告推广、支付结算等帮助，情节严重的，处三年以下有期徒刑或者拘役，并处或者单处罚金，单位犯前款罪的，对单位判处罚金，并对其直接负责的主管人员和其他直接</t>
  </si>
  <si>
    <t>2019/10/07 15:32:17</t>
  </si>
  <si>
    <t>逾期一天，手里有现金没有来得及去存，直接爆我通讯录，上海的电话186******23。</t>
  </si>
  <si>
    <t>由于本人生意破产，恳请贵司减免保险费和服务费，以降低本人还款压力，本人有真诚的还款意愿，请贵司理解，谢谢！。</t>
  </si>
  <si>
    <t>2019/10/07 15:32:04</t>
  </si>
  <si>
    <t>我经朋友介绍在一个网站可以购买福利体育彩票，后来发现该网站并非官方正规的，通过中国银联了解到，上海瀚银科技作为国家颁发拍照的正规第三方支付机构，不仅为非法平台提供资金清结算服务，而且在支付页面从来没有进行过风险提示，违反了中国人民银行《非银行支付机构网络支付业务管理办法》相关规定。</t>
  </si>
  <si>
    <t>2019/10/07 15:31:55</t>
  </si>
  <si>
    <t>投诉人 廉兴忠        投诉对象  小遛共享        涉诉金额  66 元    问题类型    诉求类型投诉详情  要求退回66元押金。问什么电话无法接通，在线也是摆设。感觉是欺诈行为。</t>
  </si>
  <si>
    <t>2019/10/07 15:31:27</t>
  </si>
  <si>
    <t>上午有人加我微信，我添加完了之后跟他对话，她说了就算他不做什么，别人也会做什么。</t>
  </si>
  <si>
    <t>2019/10/07 15:30:59</t>
  </si>
  <si>
    <t>QQ群自从建立以来遵守纪律，严格要求QQ群成员，因被人恶意举报，导致QQ群被封，难道你们就不查询原因就乱封群吗。</t>
  </si>
  <si>
    <t>2019/10/07 15:30:39</t>
  </si>
  <si>
    <t>前后两次订单都处理了退款，最后一次退款是在10月3号18:45退款成功，但是其中使用该平台的优惠券，优惠券自领取有效期为七天，给予回复居然歪理说由于我个人原因导致的过期，无法处理，本人认为是该平台商家前后两次发错货延误了优惠券的使用，不接受该平台的说法。</t>
  </si>
  <si>
    <t>2019/10/07 15:28:28</t>
  </si>
  <si>
    <t>无休止电话联系，已再本地法院提起诉讼，再今天也就是10月7号，收到一份律师函，大致内容是本人涉嫌违反刑法中的贷款诈骗案，我只想知道，这种话吗，请给一个合理的解释，我也将向湖北律师协会进行投诉。</t>
  </si>
  <si>
    <t>2019/10/07 15:27:57</t>
  </si>
  <si>
    <t>投诉人朱先生投诉对象钱站涉诉金额2000元问题类型诉求类型投诉详情2019年7月10日借款2000元，到账2000元，分期3个月，但是贷款合同上显示借款金额3000元。</t>
  </si>
  <si>
    <t>2019/10/07 15:27:46</t>
  </si>
  <si>
    <t>投诉人吕先生投诉对象交通银行涉诉金额20000元问题类型诉求类型投诉详情交通银行逾期不到一个月，催收部门多次打电话，带有威胁，侮辱，行为，我多次打电话给信用卡客服，协商还款事宜，客服也给我做记录了，我也说了还款日期了，准时还款。</t>
  </si>
  <si>
    <t>2019/10/07 15:27:18</t>
  </si>
  <si>
    <t>牛人有品借款一千九百元，实际到账才一千二百多，跟催收人员协商的时候，催收人员对我进行语言侮辱，我要求催收人员道歉。</t>
  </si>
  <si>
    <t>2019/10/07 15:27:14</t>
  </si>
  <si>
    <t>我4月8号通过融360在多米贷贷款3000元，实际到账2400元，，砍头息600元，分6期还款，每月还款552.5元，实际还款3315元，利息915元。</t>
  </si>
  <si>
    <t>2019/10/07 15:27:06</t>
  </si>
  <si>
    <t>，额度20000元，此前一直按时还款，至9月份，家里小孩出生，加之工资没有及时发放，造成逾期，期间平安信用卡方面对未还金额收取万分之五/天的利息，并违规收取本人1000元的违约金，远远超出国家规定:违约金，罚息等总加不得超过年化率百分之二十四的规定，且国庆期间催收人员每天十几个电话给本人生活造成影响，并私下添加本人微信发送威胁，恐吓信息。</t>
  </si>
  <si>
    <t>2019/10/07 15:27:05</t>
  </si>
  <si>
    <t>该店店长微信及手机号是138******41。</t>
  </si>
  <si>
    <t>2019/10/07 15:26:41</t>
  </si>
  <si>
    <t>投诉人林先生投诉对象哈啰出行涉诉金额0元问题类型诉求类型投诉详情本人身份证绑定不了本人的手机号，无法用哈啰出行，被告知已经绑定多个非本人的手机账号，现要求清除本人身份证下的账号。</t>
  </si>
  <si>
    <t>2019/10/07 15:26:06</t>
  </si>
  <si>
    <t>投诉人 黎女士        投诉对象  随手记        涉诉金额  800 元    问题类型    诉求类型投诉详情  客服催收态度恶劣 爆通讯录 骚扰家人 语言攻击别人</t>
  </si>
  <si>
    <t>2019/10/07 15:25:30</t>
  </si>
  <si>
    <t>投诉人 全昆坤        投诉对象  即有分期        涉诉金额  9 000 元    问题类型    诉求类型投诉详情  我不是不还 我都还了21期了 现在是真的还不上 他们还说要上门要钱什么的</t>
  </si>
  <si>
    <t>2019/10/07 15:24:46</t>
  </si>
  <si>
    <t>在周周花花平台借款3000元，分四期每期7天还款，共需要还款5142元，等于一个月的利息就要2142元，这不是高利贷吗，而且周周花花的平台的长沙纪合网络科技有限公司根本不具备放贷资格。</t>
  </si>
  <si>
    <t>2019/10/07 15:23:49</t>
  </si>
  <si>
    <t>今年4月19日我在天猫Adidas官方旗舰店购买了一双运动鞋，鞋子是4月19号买的寄也是快5月份了，平时正常穿，也没有洗过，也没有泡水，这几天就发现开胶了，联系客服客服说时间久不能处理，喜欢可以再买一双，阿迪达斯的鞋子不至于质量这么差吧。</t>
  </si>
  <si>
    <t>2019/10/07 15:23:31</t>
  </si>
  <si>
    <t>与贵公司没有任何协议，没有任何经济来源今天无故扣我500元。</t>
  </si>
  <si>
    <t>2019/10/07 15:23:11</t>
  </si>
  <si>
    <t>威胁恐吓，咄咄逼人！客服态度恶劣！同一个人一天换着号不停的拨打电话！骚扰家人朋友！投诉多次，没人解决！客服还是一如既往地恐吓威胁，强烈要求更换催收人员！好好协商解决！希望尽快得到解决！。</t>
  </si>
  <si>
    <t>2019/10/07 15:23:03</t>
  </si>
  <si>
    <t>我优酷都卸载了，时隔一个半月才扣我费，中间没给我任何通知，完全不知道就扣费了，而且从原价的9.9涨到了29，刚刚联系他们那边客服，他们说有活动规则，我刚刚下载了优酷去看了一下，这么小的字看不到也就算了，短信通知呢。</t>
  </si>
  <si>
    <t>2019/10/07 15:22:42</t>
  </si>
  <si>
    <t>在八月肥猫贷借款2000元，十号左右联系还款，app闪退打不开，后来告知微信还款，于是微信还清，今天打电话让还钱，莫名奇妙，电话里还骂人，还有现在肥猫贷app根本无法下载，就是骗子，我要举报，请求紧急处理。</t>
  </si>
  <si>
    <t>2019/10/07 15:21:37</t>
  </si>
  <si>
    <t>投诉人吴先生投诉对象拼多多涉诉金额950元问题类型诉求类型投诉详情开始相信是说赚钱的项目，但是钱充进去就没有了微信也被拉黑网站也上不去了，为第三方平台提供支付接口应该可以查到钱款的具体去向，叫他给我退回来。</t>
  </si>
  <si>
    <t>2019/10/07 15:21:17</t>
  </si>
  <si>
    <t>投诉人文先生投诉对象分期通涉诉金额249元问题类型诉求类型投诉详情诱导用户群体缴纳249会员费用，恶意欺骗手段，利用小额免密支付服务收取249元会员费用，欺骗用户权益，会员服务没有任何实质上的意义，要求平台公司退款不同意在平台内提现，把非法受益249元费用打回原账户，分期通这种会员费用就是违法行为，利用大众用户群体的利益需求，以会员服务为由，让用户购买249会员，非法宣传。</t>
  </si>
  <si>
    <t>2019/10/07 15:21:07</t>
  </si>
  <si>
    <t>本人于2019年9月26日在爱白条app上申请一笔贷款，借款金额2500元，注册申请不到半个小时审核通过并申请提现，app上显示3天内到账，到了第三天本人联系客服，客服说9月30号以前一定会到账，结果至今2019年10月7号还未到账，因本人目前不需要这笔资金，加上该平台利息很高严重超过国家规定利息，据说借2500三个月内还款4000元左右，现本人想取消这笔借款，联系客服无数次被告知无法取消，钱超过约定日未到账，本人可以无偿取消的，请该app立即给予取消借款，否则钱到账本人也不会还款。</t>
  </si>
  <si>
    <t>2019/10/07 15:20:57</t>
  </si>
  <si>
    <t>投诉人刘先生投诉对象浦发信用卡涉诉金额96000元问题类型诉求类型投诉详情因为身体原因最近大半年收入都不稳定，一直强撑，现在实在撑不下去了，还款能力有限希望协商还款，9.26打浦发客服电话咨询过协商还款，当时给我的方案是，止付，每月还款4100分36个月，我感觉利息过高了，就说考虑下，10.6号打电话协商没有接通，10.7再次打电话到协商部门，给到的方案是，止付，4000分36个月，但是我个人还是感觉利息太高一个月1300多，希望能够给与优惠政策。</t>
  </si>
  <si>
    <t>2019/10/07 15:20:31</t>
  </si>
  <si>
    <t>投诉人 郭先生        投诉对象  洋码头        涉诉金额  259 元    问题类型    诉求类型投诉详情  十月二日买的香水 说十月四号发 到时间没发说过几天 今天想要退款 申请后告诉我已经发货 给我一个单号 不给我退款 然后搜索单号并没有搜到</t>
  </si>
  <si>
    <t>2019/10/07 15:20:26</t>
  </si>
  <si>
    <t>9月8号申请退款，工作人员说7-15个工作日退款，至今未退。</t>
  </si>
  <si>
    <t>2019/10/07 15:20:25</t>
  </si>
  <si>
    <t>小黑鱼采用威胁的方式逼迫我接受他们高昂的利息，我到手10914元，却要我归还13288.97元，高达44%我8-16主动跟他们协商，未果，今日我又一次跟他们协商，却不威胁我如果不还就爆我通讯录，至于他们扣款1086元刚开始说是保险，我并不知情，问他们要保险单号，又说是什么逾期服务费，这些并不知道，小黑鱼想要逼死人。</t>
  </si>
  <si>
    <t>2019/10/07 15:20:24</t>
  </si>
  <si>
    <t>被人误导购买彩票，在非法博彩平台通过支付宝，微信，京东平台充值2000多，现投诉支付宝，微信，京东和网络赌博平台合作，提供充值通道，要求退还充值的金额，依法维权！。</t>
  </si>
  <si>
    <t>2019/10/07 15:20:12</t>
  </si>
  <si>
    <t>投诉人唐先生投诉对象水莲金条涉诉金额8000元问题类型诉求类型投诉详情借款八千还款10870.39元，年利率达35.9%，要求提前还款，一次结清，减免1000元利息。</t>
  </si>
  <si>
    <t>2019/10/07 15:19:51</t>
  </si>
  <si>
    <t>佳木斯太平机场出行唯选工作人员，现场宣传交1888元，这些钱都可以用来买机票用而且通过出行唯选订购机票要比其他渠道购买便宜很多，首先是买机票的时候存的钱每次只减少50元的机建费，其次机票并不便宜，由于工作人员在中川机场，个人认为机场比较靠谱，应该不会存在类似虚假宣传的情况。</t>
  </si>
  <si>
    <t>2019/10/07 15:19:30</t>
  </si>
  <si>
    <t>新橙优品，7月21号下款7000，我在8月21，9月21正常还款，期间不知道有保障金700这个款项，今天10月6号银行卡扣去700，期间没有接到过任何电话说要补扣一笔700保障金，今天问客服是补扣，说我这两个月卡里余额不足，又说我没看清合同，那为何，他们不在app里显示合同，以便让客户及时查看合同细节！！，问客服合同协议，说发到邮箱！他们就是这样障眼法侵犯权益的吗，如果借款前我知道有一笔700保障金要扣，我就不会在平台借了。</t>
  </si>
  <si>
    <t>2019/10/07 15:19:23</t>
  </si>
  <si>
    <t>投诉人黄先生投诉对象贷上钱涉诉金额2600元问题类型诉求类型投诉详情高利贷，恶意催收，轰炸，骚扰通讯录。</t>
  </si>
  <si>
    <t>投诉人 殷先生        投诉对象  中金支付        涉诉金额  299 元    问题类型    诉求类型投诉详情  中金支付四川分公司恶意扣款，联系不到平台</t>
  </si>
  <si>
    <t>2019/10/07 15:19:16</t>
  </si>
  <si>
    <t>小浦优客变相盗用客户信息，未经本人同意授权的前提下，恶意扣款。</t>
  </si>
  <si>
    <t>2019/10/07 15:19:09</t>
  </si>
  <si>
    <t>本人借贷美团生活费因为现在资金紧张，暂时无法还款，本人也愿意接受相关法律裁决！现美团催收人员，言语中带有恐吓，催收员也毫无法纪名言说要打我通讯录人联系，这侵犯了我个人隐私权，本人也从无同意过此行为！不清楚这是不是代表美团行为！要求美团解释！。</t>
  </si>
  <si>
    <t>2019/10/07 15:18:51</t>
  </si>
  <si>
    <t>自动扣款298居然没有提醒，在苹果官网他们已经改名字叫美约了，app里面居然没有联系客服，然后现在我只能在你们这里发起退款，这个app免费试用后自动帮我续订一年的会员，在我完全不知情的情况下扣款，当时使用了一天，就卸载了这个软件，因为这个软件确实做得不好。</t>
  </si>
  <si>
    <t>2019/10/07 15:18:35</t>
  </si>
  <si>
    <t>投诉人周女士投诉对象人人贷涉诉金额60000元问题类型诉求类型投诉详情借款金额和合同金额不符，砍头息，利息高，逾期费用高。</t>
  </si>
  <si>
    <t>2019/10/07 15:18:34</t>
  </si>
  <si>
    <t>邀请人下载了，不给提现，10月3号到现在提现两次都失败了，给不起就别做活动。</t>
  </si>
  <si>
    <t>2019/10/07 15:18:00</t>
  </si>
  <si>
    <t>请有关法律法规保护市民权益，退还本金，并向我赔偿损失还有道歉。</t>
  </si>
  <si>
    <t>2019/10/07 15:17:50</t>
  </si>
  <si>
    <t>10月7日，我已还款28期，总计23210.6元，已超出借款本金1210.6元若继续还款则需还款：6631.6元，总计超过本金12242.2元，2017年11月23日我于上海诺诺镑客金融服务有限公司旗下产品：麦子金服借款8500元每期还款379.6元并扣去保证金700元，协议若出现逾期则不能退还截至2019年10月7日，我已还款8730.8元，超过本金230.8元若继续还款则需还款：4934.8元，总计超过本金：5634.8元两笔借款利息均远远超过国家法定利息，故做此投诉，要求上海诺诺镑客金融信息服务有限公</t>
  </si>
  <si>
    <t>2019/10/07 15:17:39</t>
  </si>
  <si>
    <t>钱橙无忧恶意扣款168，app下架不知道哪里下载，客服不给合理解释。</t>
  </si>
  <si>
    <t>2019/10/07 15:17:27</t>
  </si>
  <si>
    <t>贷款然后语音操作让我转账说不会付款起的结果成功了就把我删了。</t>
  </si>
  <si>
    <t>2019/10/07 15:17:11</t>
  </si>
  <si>
    <t>没有退货流程，拼多多官方就自动给客户退款，这种恶意退款的客户就是因为拼多多这样纵容客户吃到了甜头一直就这样拿到货就申请仅退款，免费拿到商品还能退款，麻烦平台给个公正的处理。</t>
  </si>
  <si>
    <t>2019/10/07 15:16:57</t>
  </si>
  <si>
    <t>投诉人 曾刘米        投诉对象  爱钱进        涉诉金额  1 300 元    问题类型    诉求类型投诉详情  借款1300 每月还八百多 需要还多少？ 不是高利贷？！！！我都打了两个电话协商还本金 到现在没人解决 逾期费我不会出一分 我要求还款1300结清！</t>
  </si>
  <si>
    <t>2019/10/07 15:16:53</t>
  </si>
  <si>
    <t>本人在拍拍贷平台共借款2笔，第一笔1万元，借款周期6个月，协议年化利率10.5%，但要求本人每月还款1966.6元，本人共还11799.6元，实际年化利率达到59.32%，远超国家规定的36%，按照国家规定的年化利率36%计算，应收利息为1075.85元，但实收本人1799.6元利息，因此拍拍贷平台借着居间服务的名义，多收本人723.75元；第2笔8500元，借款周期9个月，协议年化利率9%，但要求本人前3个月每月归还1369.32元，后6个月归还1114.32元，本人共还10794.06元，真实年化利率达</t>
  </si>
  <si>
    <t>2019/10/07 15:16:31</t>
  </si>
  <si>
    <t>投诉人祁先生投诉对象招联金融涉诉金额90元问题类型诉求类型投诉详情因为资金问题欠款90元逾期六天疯狂打电话给我的家人父母外出在外开车导致车祸90元这两天会尽快处理希望停止骚扰。</t>
  </si>
  <si>
    <t>2019/10/07 15:16:20</t>
  </si>
  <si>
    <t>平台上面提供的联系他们的地址地址：Central，天游平台提供的邮箱：je**y后面部分通过云闪付的充值图，附部分云闪付扫码充值单号MM2*************7，2600元MM20*************9。</t>
  </si>
  <si>
    <t>2019/10/07 15:15:37</t>
  </si>
  <si>
    <t>投诉人孟先生投诉对象小树时代涉诉金额4000元问题类型诉求类型投诉详情今年3月份在小树时代申请了4000千元贷款，结果到账只有3200，分12期还款，每期347.95，而且第一期还需要多还400多块的信息管理费，借着分期的名义乱收费，这都忍了，上个月媳妇生孩子钱实在紧张，逾期了，结果除了逾期费还要收律师费，请问律师费是什么，让律师联系我，我看看是哪家律师收的费，催收的这几天来电话，让我还款，我说我要问清楚费用再还，根本不听解释就是让还钱，而且还拨打我得通讯录，骚扰家人亲戚，态度十分恶略，要求催收道歉，现在国</t>
  </si>
  <si>
    <t>2019/10/07 15:15:11</t>
  </si>
  <si>
    <t>7月在蟹老弟平台借款2324元，到手只有2091.6元，砍头息232.4元，分三期还款，每期需要还款983元，等于2091.6的本金需要还款2949元，利息将近1000元，这不是高利贷是什么，目前已还款两期共计1966元，蟹老弟平台还需要我再还一起983元！砍头232.4元，利息将近1000元！。</t>
  </si>
  <si>
    <t>2019/10/07 15:15:05</t>
  </si>
  <si>
    <t>后威胁我说是必须在今天还款否则联系我的紧急联系人。</t>
  </si>
  <si>
    <t>2019/10/07 15:14:01</t>
  </si>
  <si>
    <t>本人于2018年8月31号在阳光保险集团湖北分公司武汉营业部办理车抵贷，当时说好利率是1.78！分24期偿还，随后就是签协议，在我不知情的情况下居然给我办了一份阳光的保险，至今未见到你任何保单号信息，也未见到任何保费金额和发票！只有短信让我存2955.5其中含保费551.2，本人于2019年10月7号收到阳光保险员工微信通知逾期一天，威胁我要拖车，威胁我要上门处理要去我老家催收对于这种方式我难以接受！根据保监会规定，阳光保险集团湖北分公司有强制保险嫌疑，不开发票，不告知保单号，不说明保单内容！对于以上请贵公</t>
  </si>
  <si>
    <t>2019/10/07 15:13:36</t>
  </si>
  <si>
    <t>投诉人徐先生投诉对象钱站,华夏银行涉诉金额7000元问题类型诉求类型投诉详情本人所说绝对真实，愿负法律责任，在钱站借了7000元，到账7000，合同写9千多，分六期还，竟然需要还1万多！！阴阳合同，钱站真是没人管了！大家一起抵制它！。</t>
  </si>
  <si>
    <t>2019/10/07 15:13:32</t>
  </si>
  <si>
    <t>平台有额度不给借款、虚假宣传、虚假操作！要求反馈进展。</t>
  </si>
  <si>
    <t>2019/10/07 15:12:51</t>
  </si>
  <si>
    <t>投诉人胡女士投诉对象钱站涉诉金额20000元问题类型诉求类型投诉详情本着高利贷的利息一直都有正常还款！但是没有经过本人同意爆本人通讯录，通话记录，群发信息！给本人生活造成极大影响！恐吓完后又发套路信息。</t>
  </si>
  <si>
    <t>2019/10/07 15:12:50</t>
  </si>
  <si>
    <t>投诉人王先生投诉对象51信用卡管家,51人品涉诉金额25000元问题类型诉求类型投诉详情一、贵公司的真实利率超国家规定，要求调整利率，另外第一次还多收了1700，二、贵公司催收人员态度恶略，威胁骚扰联系人，要求严惩。</t>
  </si>
  <si>
    <t>2019/10/07 15:12:22</t>
  </si>
  <si>
    <t>钱站涉及砍头息，本来贷款金额6500元，下款金额5000元，多次交涉无果。</t>
  </si>
  <si>
    <t>2019/10/07 15:11:09</t>
  </si>
  <si>
    <t>多宝分期，借款3700元，分期四期两个月，平均15天要还款1460.75元，两个月总共要还5800元，实属高利贷！每次还没逾期，，就开始骚扰恐吓！今天是还款日，我已经说了今天会处理，还说必须五点前打入某私人账户，一会又说6点前必须处理、否则就爆通讯录！我就问，现在法制社会，这么高的利息，也不害怕经侦查吗。</t>
  </si>
  <si>
    <t>2019/10/07 15:10:24</t>
  </si>
  <si>
    <t>，未经过我同意的情况下写我作为紧急联系人，和对方说后无果，一直打电话骚扰我。</t>
  </si>
  <si>
    <t>2019/10/07 15:10:13</t>
  </si>
  <si>
    <t>投诉人 王女士        投诉对象  万惠及贷        涉诉金额  1 664 元    问题类型    诉求类型投诉详情  利息高 可以只还本金 然后有人加微信催收 我回复后一直没有理我 开始发短信给我通讯录 打电话骚扰我 对生活造成困扰 还发短信威胁我 我要求停止对爆通讯录这种行为</t>
  </si>
  <si>
    <t>2019/10/07 15:10:11</t>
  </si>
  <si>
    <t>投诉人刘先生投诉对象豹子贷,上海造艺网络科技,造艺网络科技,银码头涉诉金额299元问题类型诉求类型投诉详情上海造艺旗下豹子贷强制扣款299所谓的个人征信费用。</t>
  </si>
  <si>
    <t>2019/10/07 15:09:49</t>
  </si>
  <si>
    <t>投诉人范先生投诉对象分期猫,购分期涉诉金额199元问题类型诉求类型投诉详情本人在分期猫里面下载购分期，认证需要本人输入姓名，银行卡，验证码，本人输入以后，银行卡收到短信扣费，199元，本人拨打对方电话以后，告诉我说本人购买了她家的会员，切不退费，严重的敲诈，勒索，本人要求对方马上退还本人的扣费，并注销本人在该app上面的所有信息，本人留有录音。</t>
  </si>
  <si>
    <t>2019/10/07 15:09:30</t>
  </si>
  <si>
    <t>投诉人谢女士投诉对象恒企教育涉诉金额6760元问题类型诉求类型投诉详情我在2019年6月报名恒企教育，辅导专本连读班学费一共是6760元，当时首付交了300，然后剩下6460是由恒企里的老师安排在课栈上面分期，分期时长为一年12期，目前为止已经还了第三期，后面因为工作忙，就想着换专业如果不行的话就先不上了，班主任说退学退不了然后把电子版的合同发给我看说除非自己有重大疾病或家庭有重大变故，这就属于霸王条款了当时真的是要气炸了，这段时间因为这个事情真的很崩溃。</t>
  </si>
  <si>
    <t>2019/10/07 15:09:07</t>
  </si>
  <si>
    <t>长虹chiq电视机，升级系统后开机15s广告，无法关闭，我是买的电视不是买你们的广告播放器，看视频的有广告就有广告吧，但是我只是开机啊，你们用我的电视播放广告是不是广告费也分我点啊。</t>
  </si>
  <si>
    <t>2019/10/07 15:08:55</t>
  </si>
  <si>
    <t>投诉人佟先生投诉对象招联金融涉诉金额900元问题类型诉求类型投诉详情不联系借款申请人，而是不断的联系家里人，如果不好好给我说法，我就去北京市银监会和315消费者协会去告，同时拨打12345北京市市长热线。</t>
  </si>
  <si>
    <t>2019/10/07 15:07:31</t>
  </si>
  <si>
    <t>本人于前几年办理的中国电信家庭宽带，当时是一百元一个月，是包月制的，并且签订了合同，在合同到期后，宽带手机号码等均正常停用，但是费用却一直在划扣！作为这么大的企业，应该有着有服务才能收费原则，而现在不仅合同到期未停止收费，还未向收费的客户提供任何服务！。</t>
  </si>
  <si>
    <t>2019/10/07 15:07:30</t>
  </si>
  <si>
    <t>投诉人杨先生投诉对象联动云租车涉诉金额999元问题类型诉求类型投诉详情租车之后交了押金，那是我一个月生活费希望能退给我我现在饿的吃不起饭。</t>
  </si>
  <si>
    <t>2019/10/07 15:07:26</t>
  </si>
  <si>
    <t>投诉人刘女士投诉对象搜款网涉诉金额113元问题类型诉求类型投诉详情9月17号下单收到货联系客服质量差申请退货，同意后付了质检费，一切费用，23号发过去app申请退款成功后寄过去，收到货后显示退款失败，联系客服说下架了，既然不能退就不要叫寄过去，来来回回一件衣服几十块费用，还没处理好，客服说联系档口，联系档口不理，打电话说找搜款网客服，相互推脱。</t>
  </si>
  <si>
    <t>投诉人王先生投诉对象浦发信用卡涉诉金额78000元问题类型诉求类型投诉详情您好，本人与2017年，在浦发万用金，申请了20w元的贷款，已还款14w元左右，最近由于生意失败，加上家里出事，目前每月不能够正常还款，现在每个月最低还款额在7000元左右，今天上午，打过浦发信用卡的电话，申请协商还款，协商的方案是，78000的欠款总额，如果分3年还，总共需要支付119800元，多出40000多的利息，利息太高了，实在接受不了，本人愿意积极还款，但实在无能无力，所以希望贵平台，做一个积极沟通，减免一些费用，谢谢~。</t>
  </si>
  <si>
    <t>2019/10/07 15:06:19</t>
  </si>
  <si>
    <t>暴力催收，我并不是不还，我前几天才把你们平台的另外一笔结清，就是想告诉你们我并不是不还，今天另外一笔最后一期三百块，他们没经过我的情况下直接通知亲人，，还说我爸不敢接电话，搞错没有，声称自己太平讨债公司直接群发照片，这样的处理真的妥当吗。</t>
  </si>
  <si>
    <t>2019/10/07 15:04:39</t>
  </si>
  <si>
    <t>本人刚开始于微品分期下载了应急贷后通过应急贷电话邀请下款2800一天利息就高达将近200元，远超过国家合法利息属于国家严打的高炮平台，在非常时期应急贷仍正常下款顶风作案，汇潮支付作为其放款平台实在属助纣为虐。</t>
  </si>
  <si>
    <t>2019/10/07 15:04:38</t>
  </si>
  <si>
    <t>后台私自修改我的银行卡号，骗我1500块钱包装费用。</t>
  </si>
  <si>
    <t>2019/10/07 15:04:29</t>
  </si>
  <si>
    <t>在你我贷平台贷了8000元，分12期，前两期要还1900多，后10期要还750多，明显的套路贷，前两期就要还3800多将近一半的本金，由于资金问题第一期就被暴力催收，被逼无奈到处借钱还了，后来家里人知道我的情况，打算帮我处理欠款，我第一时间主动打给客服协商还款，客服不同意，后来在投诉他们之后客服同意协商还款，但是短短一个多月8000元本金，要我多还900多的利息我没同意，后来一直没有消息，导致我第二期逾期，催收人员直接来电态度非常差，出口就是侮辱恐吓，我的诉求很简单，还我该还的钱一次性结清，并且催收人员做出</t>
  </si>
  <si>
    <t>2019/10/07 15:04:10</t>
  </si>
  <si>
    <t>浦发银行信用卡黑心，当初由于自己缺钱，去柜台办理了浦发信用卡，被强制买两个箱子，扣掉3000多，说这样才能下卡，由于本人近两年，资金周转确实困难，基本都是还最低还款，但是从来没有不还，也从来没有逾期，但是浦发银行信用卡，就像一个吸血鬼，每一个还款期都收取高额利息，炸干我的每一分血汗钱，最可恨的就是昨天，我想尽办法还了最低还款900多元，，当时就要了我200多利息，今天我打开app一看，竟然利息又要两百多，真是吸血鬼，要人命。</t>
  </si>
  <si>
    <t>2019/10/07 15:04:01</t>
  </si>
  <si>
    <t>投诉人袁宗宗投诉对象哈罗出行,哈啰出行涉诉金额300元问题类型诉求类型投诉详情下飞机坐顺风车回东莞，然后约好的，加钱不走，后来让我女朋友有没有找到车，然后说现在可以走了，后面在高速路上强制加钱不加钱就把我女朋友丢在了高速路上，自己走了，车主粤S657A0明天叫陈伟，态度恶劣已经报警让警方介入。</t>
  </si>
  <si>
    <t>2019/10/07 15:03:50</t>
  </si>
  <si>
    <t>及贷借款18000元，借款合同显示20610元，扣除会员费2610元，实际到账18000元，及贷以会员费方式变相收取高额利息，利率超过国家法定最高标准。</t>
  </si>
  <si>
    <t>2019/10/07 15:03:43</t>
  </si>
  <si>
    <t>51金智贷实到帐18000，借款为23166，12期每期2039.8，实际利率60.94%，远超国家标准。</t>
  </si>
  <si>
    <t>2019/10/07 15:03:42</t>
  </si>
  <si>
    <t>点借款申请成功刚到账也没有信息提醒借款到账。</t>
  </si>
  <si>
    <t>2019/10/07 15:03:39</t>
  </si>
  <si>
    <t>投诉人张爱平投诉对象Wecash闪银涉诉金额0元问题类型诉求类型投诉详情在2019年10月7号下午闪银及贷催收方对我暴力辱骂，我持有手机录音。</t>
  </si>
  <si>
    <t>2019/10/07 15:03:34</t>
  </si>
  <si>
    <t>逾期了1个月不到，金额1791.每天不停的收到所谓法务部的信息。</t>
  </si>
  <si>
    <t>2019/10/07 15:03:27</t>
  </si>
  <si>
    <t>海南萨姆尔网络科技有限公司,聚富分期,造艺科技，已帮查征信报告为由，在未输银行卡密码的情况下强行从银行卡了扣掉299元。</t>
  </si>
  <si>
    <t>2019/10/07 15:03:16</t>
  </si>
  <si>
    <t>分期乐再次打电话到我公司，上个月打了五六个电话，导致领导对我有意见，想开除我，我有协商还款的态度，奈何要我处理的本金太多了，要不我也不会一直在和分期乐协商。</t>
  </si>
  <si>
    <t>2019/10/07 15:02:47</t>
  </si>
  <si>
    <t>投诉人陈先生投诉对象万达普惠涉诉金额522元问题类型诉求类型投诉详情因两期账单相差时间较短，金额所差不大，误以为已还款.催收人员来电态度极其恶劣，根本不给说话机会，劈头盖脸说一通，然后挂电话联系其他人！电话一直打，严重影响生活和工作！。</t>
  </si>
  <si>
    <t>2019/10/07 15:02:39</t>
  </si>
  <si>
    <t>揭阳电信霸王行为，挖坑让人跳，不合理不合法有以下几点:1，我手机没有使用，为什么会产生欠费，2，产生欠费情况下，我信用额度是200元，在超过200元欠费下，会自动停机，3，为什么2018年11月份产生欠费情况下，一直扣费到2019年10月1日，附录：广东电信官方对信用额度定义：http://gd.189.cn/service/bmcx/sj_xydcx.htm，信用度定义：信用度就是根据您使用电信业务的时长，平均消费的额度来定允许您可以欠费的额度，信用度越高，您能欠费的金额也越高，查询结果说明：信用度的数值</t>
  </si>
  <si>
    <t>2019/10/07 15:02:31</t>
  </si>
  <si>
    <t>让我五点前还清，可我现在没有那么多根本周转不开，也不给时间，我现在只能先还6900这个但是今天五点我肯定还不上，然后又说会开启各个流程希望能给我一个合理的方案可以么。</t>
  </si>
  <si>
    <t>2019/10/07 15:02:20</t>
  </si>
  <si>
    <t>投诉人黄先生投诉对象钱站,华夏银行涉诉金额1330元问题类型诉求类型投诉详情本人在钱站借款1000.合同却是1330.实际到帐也是1000。</t>
  </si>
  <si>
    <t>2019/10/07 15:01:48</t>
  </si>
  <si>
    <t>投诉人江荣峰投诉对象阳光保险贷款涉诉金额80000元问题类型诉求类型投诉详情由于费用太高，请合理减免，降低还款压力，否则无力偿还！望悉知。</t>
  </si>
  <si>
    <t>2019/10/07 14:59:58</t>
  </si>
  <si>
    <t>因本人在京东购买东西，开具发票时，默认发票抬头，没有修改，而且发票抬头是错的，税号是对的，于是联系京东客服要求更改发票抬头，京东客服以不能将A公司抬头改成B公司抬头，如需要更改发票抬头需要提交A公司变更为B公司抬头的工商变更登记为由，拒绝更改发票抬头，再次联系京东客服，京东客服以一次性开具真实的发票抬头，无法再次更改发票抬头为由，再次拒绝更改。</t>
  </si>
  <si>
    <t>2019/10/07 14:59:43</t>
  </si>
  <si>
    <t>投诉人 李先生        投诉对象  钱橙无忧,恒富创融科技        涉诉金额  168 元    问题类型    诉求类型投诉详情  恒富创融科技 恶意扣款，虚假服务。客服不给解决问题，app下台无法下载。</t>
  </si>
  <si>
    <t>2019/10/07 14:59:38</t>
  </si>
  <si>
    <t>本人于2018年5月3日申请马上金融的一笔分期贷款由于当时事出有因需要一些资金，所以就申请了，借款金额18000，一共24期，每期应还1208.85元，已还13期一共15715.05元，剩余11期，一共剩余应还13288.55元，加起来一共需要还29003.06元，比原来借款整整多了11000的利息！现由于资金链断裂，已无法承担，尝试与其公司协商一次性结清金额被拒绝，希望借助贵公司平台讨回公道！。</t>
  </si>
  <si>
    <t>2019/10/07 14:59:26</t>
  </si>
  <si>
    <t>投诉人张女士投诉对象贷上钱涉诉金额4000元问题类型诉求类型投诉详情现在对我生活造成极大的影响，贷上钱的钱我已经全部还了，我希望国家相关的部门，严肃处理此时，现在已经对我生活带了不好的负面的生活影响。</t>
  </si>
  <si>
    <t>2019/10/07 14:59:08</t>
  </si>
  <si>
    <t>投诉人李先生投诉对象爱又米涉诉金额360元问题类型诉求类型投诉详情爱又米，希望你们能让我晚两天还款，不要一直催。</t>
  </si>
  <si>
    <t>2019/10/07 14:59:06</t>
  </si>
  <si>
    <t>贷上钱以游戏豆为由收取高额砍头息，并非法获取通讯录和通话详情单，本人已委托被骚扰人录音并确认被骚扰人非本人填写的紧急联系人，贵公司不用解释什么第三方收取游戏豆这个理由，到账金额账户，合同金额和还款具体流向都已经说明一切，我已截图发往萍乡公安局对公邮箱报案处理录音也已经保存到硬盘以便公安部门调查取证，请不用说什么逾期你们合法催收还有什么报警没有用，这些你对我说没有用处，如果继续爆通讯录请你继续以便我收集更多证据，今天你们拨打的通讯录人员已经录音时询问你们，相信你们也已经感觉到，这个问题处理不好不用想着什么给我</t>
  </si>
  <si>
    <t>2019/10/07 14:58:55</t>
  </si>
  <si>
    <t>9月9日，本人在鄂尔多斯机场办理值机手续时，一位穿着机场制服的人员拿着我的身份证到柜台推荐办卡，但是在办卡过程中隐瞒实情，交完费，办完手续后才被告知卡内现款每次只能用五十元，而且只能订本人的机票，我一年最多两到三次飞机，家人还不能用这张卡，这1980元岂不是要用到二十年，由于临近登机，当时就没有来得及交涉，现提出退卡。</t>
  </si>
  <si>
    <t>2019/10/07 14:58:39</t>
  </si>
  <si>
    <t>招联金融，暴力催收，一而再再而三的骚扰我的家人和朋友，骚扰我的母亲，，导致我的母亲血压升高。</t>
  </si>
  <si>
    <t>2019/10/07 14:58:23</t>
  </si>
  <si>
    <t>投诉人董女士投诉对象蚂蚁金服涉诉金额0元问题类型诉求类型投诉详情我的支付宝账户不能收款也不许我注销我要求注销我无法正常使用的支付宝账户。</t>
  </si>
  <si>
    <t>2019/10/07 14:57:29</t>
  </si>
  <si>
    <t>投诉人梁先生投诉对象U钱包涉诉金额11000元问题类型诉求类型投诉详情催收公司电话打来骂人，说话很难听还带有威胁。</t>
  </si>
  <si>
    <t>2019/10/07 14:57:19</t>
  </si>
  <si>
    <t>利用各种电话进行骚扰，在不了解任何情况的前提下！而且声称雇佣的第三方，在本人毫不知情的情况下说已经到我单位了，用各种言语进行恐吓！。</t>
  </si>
  <si>
    <t>2019/10/07 14:56:25</t>
  </si>
  <si>
    <t>有时候半个月一次电话，最近是每天1-3个电话。</t>
  </si>
  <si>
    <t>2019/10/07 14:56:08</t>
  </si>
  <si>
    <t>微信刚提到卡90多块钱，一个莫名的支付系统直接划走88.59。</t>
  </si>
  <si>
    <t>2019/10/07 14:55:52</t>
  </si>
  <si>
    <t>当时拼车时显示是13.2，就算拼车没成功是17.8左右，但是实际却让我付款26.8，然后我找客服都不看我订单详细，永远重复原来的话，从来不重复我说的话。</t>
  </si>
  <si>
    <t>2019/10/07 14:55:39</t>
  </si>
  <si>
    <t>无缘无故就封禁账户，流氓条款霸王规定还不给注销，导致个人利益受损，现要求平台注销账户。</t>
  </si>
  <si>
    <t>2019/10/07 14:55:35</t>
  </si>
  <si>
    <t>投诉人杨先生投诉对象你我贷,新橙优品,玖富涉诉金额20000元问题类型诉求类型投诉详情你我贷的，前4个月都还了9000多，也就是说第一个月我是用了14500.第二个月我只用了11000多，第3个月只用了8000多，利息为何按12月算，保费，平台费凭什么要我们出，这样的费用居然还能上征信。</t>
  </si>
  <si>
    <t>2019/10/07 14:55:33</t>
  </si>
  <si>
    <t>投诉人张女士投诉对象拍拍贷涉诉金额15000元问题类型诉求类型投诉详情拍拍贷高额利息，暴力催收，电话短信骚扰亲友，威胁上门征收。</t>
  </si>
  <si>
    <t>2019/10/07 14:54:46</t>
  </si>
  <si>
    <t>我是美团众包的一名骑手，一直在正常跑单，从上周到现在突然抢不了跑腿订单，我联系平台客服，客服说系统检测我疑似使用外挂抢单，因为我的屏幕点击率太快，因为我的手机配置比较高，加上跑了好几年的外卖经验，所以我的手刷单速度比较快，现在系统疑似我开外挂就直接把我永久拉黑，我没有什么文凭，工作不好找，送外卖一个月能够挣四五千，收入比较可以，现在突然把我的权限关闭，还没有人能够给我一个说法，实在没有办法，跪求平台帮忙处理一下。</t>
  </si>
  <si>
    <t>2019/10/07 14:54:21</t>
  </si>
  <si>
    <t>秒扣二百：一百一次：都不知道哪的：为什么扣我卡里的钱：。</t>
  </si>
  <si>
    <t>2019/10/07 14:54:18</t>
  </si>
  <si>
    <t>本人八月底通过易起来app申请了一笔借款，合同金额1500，实际到账1080，借款周期两期，15天一期，我由于身体原因生病住院，资金周转出现了一些困难，合同到期后我与催收人员说明原因，并非恶意拖欠或不还款，但催收人员不予理会，仍对我软暴力催收，并扬言要将我的个人信息泄露给第三方委托催收公司并上门追讨，期间还多次骚扰我的联系人并群发短信，严重影响了我的生活现要求易起来平台停止催收，与我友好协商还款事宜。</t>
  </si>
  <si>
    <t>2019/10/07 14:54:00</t>
  </si>
  <si>
    <t>本人多次联系京东金融客服，表明还款意愿，也提交了相关材料，京东金融在没有联系本人情况下，多次发短信给家人，威胁与借款无关的人，现要求京东金融委托的第三方马上停止骚扰。</t>
  </si>
  <si>
    <t>2019/10/07 14:53:49</t>
  </si>
  <si>
    <t>投诉人陈先生投诉对象自由魔卡涉诉金额2050元问题类型诉求类型投诉详情本人在自由魔卡平台多次借款！会员费接近8000！以前会员费不要了！现要求返还旗下产品信用计划两期费用共720元！本期还款2050要求减免700元！利息正常给！如不处理导致逾期该平台负责。</t>
  </si>
  <si>
    <t>2019/10/07 14:53:47</t>
  </si>
  <si>
    <t>投诉人任女士投诉对象小浦优客涉诉金额296元问题类型诉求类型投诉详情注册个aqq让绑定银行卡，然后四天后就扣款，说是成VIP了，也不知道怎么回事。</t>
  </si>
  <si>
    <t>2019/10/07 14:53:34</t>
  </si>
  <si>
    <t>9月份，钱站逾期后，有多轮催收与我联系，后有一个人联系可以先还一部份，后面月底还清，后来与催收协商后月底，按照催收金额全部还清，10月份，也有催收主动协商，可以一次性还清4笔账单，然后在钱站公众号查询账单后发现，提示账单期数与合同不符合，并且逾期没有销账，后来发现9月份与催收协商的微信记录被全部删除，没有显示，在于钱站客服沟通期间，催收一直骚扰要求还钱，并且把资料提交其他部门，说拒绝还款。</t>
  </si>
  <si>
    <t>2019/10/07 14:53:19</t>
  </si>
  <si>
    <t>强制性消费159才可以贷款不然不可以贷款，就贷款失败，买了之后就可以贷款成功。</t>
  </si>
  <si>
    <t>2019/10/07 14:53:11</t>
  </si>
  <si>
    <t>已经第二次了，明明订单不是自己抢单自己配送，却被美团平台说是自己抢单自己配送，打了两三次电话去申诉，客服说是处理，最终说是处理失败，不予补款，估计是在敷衍骑手！两次都是同一商家，，一次7.6，一次5.1，我有点怀疑这家商家会不会跟平台有勾结，损害骑手利益！黑心平台，黑心商家，，恶意扣骑手劳务费，客服人员敷衍了事，狼心狗肺！。</t>
  </si>
  <si>
    <t>2019/10/07 14:53:07</t>
  </si>
  <si>
    <t>逾期两天，直接进入催收，打电话态度非常差，侮辱我，扬言爆我通讯录，我有录音，我是真的遇到困难了，生意赔钱了，家人朋友能帮的都帮了，我没说不还，欠债还钱天经地义，但是遇到困难不能给时间凑钱嘛。</t>
  </si>
  <si>
    <t>2019/10/07 14:52:56</t>
  </si>
  <si>
    <t>投诉人梁女士投诉对象活力花涉诉金额417元问题类型诉求类型投诉详情活力花逾期9天，变相收取利息90多，本金才417，实属高利贷，与平台协商减免，最终决定减免一半，但本人还是觉得利息高，要求继续减免不成，反被取消减免资格，本人诉求合理化逾期费用，改善利率，减免后还款。</t>
  </si>
  <si>
    <t>2019/10/07 14:52:49</t>
  </si>
  <si>
    <t>2019/10/07 14:52:47</t>
  </si>
  <si>
    <t>投诉人 邓女士        投诉对象  趣花分期（手机贷）        涉诉金额  1 000 元    问题类型    诉求类型投诉详情  钱已经还了 怎么还又打电话又发邮件的催收 这是恶意催收？</t>
  </si>
  <si>
    <t>2019/10/07 14:52:42</t>
  </si>
  <si>
    <t>不是不还，说的好像我不还似的，多的我都还了，少的我还不还啊。</t>
  </si>
  <si>
    <t>2019/10/07 14:51:31</t>
  </si>
  <si>
    <t>前几天朋友介绍被星poss业务员开通了星poss管家聚合支付。</t>
  </si>
  <si>
    <t>2019/10/07 14:51:27</t>
  </si>
  <si>
    <t>本人想一次性提前全额还款，被告知只能按平台一笔一笔的还，在提前还款的时间内，仍违规收取高额利息，当事人借款8000，已还款3613.32，在借款期限现仍需还款6906.66，利息高达2519.98，当事人诉求是提前还款，没有不想还，也没有逃避还款，小象优品在不经协商，以没有对公账户搪塞当事人，借款到目前为止四个多月，提前还款还有高额利息，已属高利贷，已违背相关法律法规，本人已报警交于律师处理，小象优品拒不进行协商事宜，在未经本人以及律师同意下，骚扰当事人家人朋友，已构成犯罪事实，我们合理公正的要求小象优品道</t>
  </si>
  <si>
    <t>2019/10/07 14:51:24</t>
  </si>
  <si>
    <t>本以为京东是个大平台，也一直在京东购物，于是在京东金融申请了ETC申请后马上就通过了并且很快收到了，没用两次在一个夜晚11点多下高速不识别了，下不来了，来回试了好几次都不行，回头与客服沟通，过很长一段时间同意给更换，于是在8.31号我将设备由顺丰从天津宝坻发回北京，至今10.7号我都没收到换回的设备，期间给客服打过无数电话，对方一直回复“请耐心等待”，我都等了一个多月了不知道我这八十年寿命够不够等我申请的时候分分钟就收到设备了，更换的时候一个多月都不给换，说货物积压简直是骗鬼，现在对我造成的影响是用也不能用</t>
  </si>
  <si>
    <t>2019/10/07 14:51:00</t>
  </si>
  <si>
    <t>投诉人马先生投诉对象信汇支付,井陉矿区鱼虾园饭店涉诉金额999元问题类型诉求类型投诉详情本人北京打工族，于前几日被推荐不靠谱的信用卡贷款提供了身份证银行卡等账号，并索取云闪付验证码，随后于今日发现银行卡被盗刷无卡支付999，紧接着又信息提醒我轿车维修中心消费，联系过工商以及银联都只能查询到商户名，收款方显示广东信汇电子商务有限公司，所以本人在此诉求，望予以全额退款。</t>
  </si>
  <si>
    <t>2019/10/07 14:50:54</t>
  </si>
  <si>
    <t>投诉人王女士投诉对象现控达人,微豆荚涉诉金额10000元问题类型诉求类型投诉详情三次借款共到账7000，实际还款10000元，已还9000元，，32天4期，最后一期1000元逾期未还，无力偿还高额利息，联系不到客服，申请销账。</t>
  </si>
  <si>
    <t>2019/10/07 14:49:37</t>
  </si>
  <si>
    <t>本人因资金问题最近无法按时还款欠款逾期快90天。</t>
  </si>
  <si>
    <t>2019/10/07 14:49:21</t>
  </si>
  <si>
    <t>投诉人李女士投诉对象债卫士涉诉金额3000元问题类型诉求类型投诉详情催收对我进行恐吓，威胁，对家里老人造成了严重的后果！可以找我本人。</t>
  </si>
  <si>
    <t>2019/10/07 14:48:54</t>
  </si>
  <si>
    <t>在我不知道的前提下恶意绑定收取了72元的保险费，我是卖家我买什么保险，这不是明摆着坑人嘛。</t>
  </si>
  <si>
    <t>2019/10/07 14:48:51</t>
  </si>
  <si>
    <t>微众银行微粒贷疯狂轰炸，仅仅几分钟就6个电话，在此跟微众银行表明逾期的账单我想办法在这个月内处理完毕，如果越过我去骚扰我身边的人，盗取用户通讯信息，侵犯隐私权，那我将通过互联网金融中心和银监会投诉上报。</t>
  </si>
  <si>
    <t>2019/10/07 14:47:24</t>
  </si>
  <si>
    <t>2018年借款2000，到账1600，砍头息，后期协商归还本金，不予以处理，近期疯狂骚扰恐吓家人同事朋友和本人，给本人生活造成困扰，要求停止骚扰恐吓，道歉，协商还款。</t>
  </si>
  <si>
    <t>2019/10/07 14:45:51</t>
  </si>
  <si>
    <t>遇到困难，平台威胁要爆通迅录，想沟通找不到人。</t>
  </si>
  <si>
    <t>2019/10/07 14:45:21</t>
  </si>
  <si>
    <t>诉讼通知关于龙家儿与钱站金融合同纠纷一案,已移交江苏司法单位律师事务所,拟于近日移交广东省中山市人民法院排期诉讼,函件近日会送达户籍地址，有疑致电:法务诉讼科198******37律师事务所181******46。</t>
  </si>
  <si>
    <t>2019/10/07 14:43:58</t>
  </si>
  <si>
    <t>红木家具无三证以及检测报送货四个月后还未使用就发生严重开裂。</t>
  </si>
  <si>
    <t>2019/10/07 14:43:57</t>
  </si>
  <si>
    <t>乐客独角兽销售经理诱骗偷换概念收取会员代理费，每天都说快没有名额，价格上调，诱导大家交钱，前期在抖音上夸张宣传拉人头，让人误以为这个东西很好做，实则割韭菜，收取会费骗钱，每天都发一些没用的资料，洗脑的教程。</t>
  </si>
  <si>
    <t>2019/10/07 14:43:06</t>
  </si>
  <si>
    <t>天猫国际进口超市买的索尼ps4pro,寄过来到手就是坏的，不能开机，找客服退货退款，一直不肯。</t>
  </si>
  <si>
    <t>2019/10/07 14:43:01</t>
  </si>
  <si>
    <t>12月1日，央行和银监会联合发布《关于规范整顿“现金贷”业务的通知》，明确“禁止从借贷本金中先行扣除利息、手续费、管理费、保证金以及设定高额逾期利息、滞纳金、罚息等，”PPmoney、及贷、万惠违反央行和银监会的规定收取砍头息，侵害客户权益，现本人要求万惠道歉整改，并退还所收取的砍头息210元。</t>
  </si>
  <si>
    <t>2019/10/07 14:42:25</t>
  </si>
  <si>
    <t>投诉人 毛江华        投诉对象  重庆美团三快小额贷款有限公司        涉诉金额  1 771 元    问题类型    诉求类型投诉详情  持续电话骚扰了好几天，对我本人造成了伤害。及威胁家人。对我的生活受到了很大影响。</t>
  </si>
  <si>
    <t>2019/10/07 14:42:23</t>
  </si>
  <si>
    <t>投诉人谢女士投诉对象多宝分期涉诉金额5000元问题类型诉求类型投诉详情多宝分期还款扣款失败，打电话给客服说账号被风控，让线下还款。</t>
  </si>
  <si>
    <t>2019/10/07 14:41:47</t>
  </si>
  <si>
    <t>暴力催收，盗取信息，爆通讯录，威胁，恐吓，骚扰我亲戚朋友。</t>
  </si>
  <si>
    <t>2019/10/07 14:41:21</t>
  </si>
  <si>
    <t>投诉人祁先生投诉对象捷信金融涉诉金额300元问题类型诉求类型投诉详情最近个人经济出了点问题分期的300元逾期了20天疯狂打电话我爸妈开车在外催收的疯狂打电话导致了车祸最近会尽快处理的300块20天你们至于嘛。</t>
  </si>
  <si>
    <t>2019/10/07 14:41:14</t>
  </si>
  <si>
    <t>投诉人罗洋投诉对象猎豹借款涉诉金额40000元问题类型诉求类型投诉详情本人申请猎豹贷款服务，暂时不需要申请，对方工作人员需要恶劣，给人不申请贷款必须申请贷款，请平台处理，并静止不需要的贷款电话推销。</t>
  </si>
  <si>
    <t>2019/10/07 14:40:17</t>
  </si>
  <si>
    <t>打电话骚扰家里人，暴力催收，恐吓，已经影响到家人的正常生活。</t>
  </si>
  <si>
    <t>2019/10/07 14:40:04</t>
  </si>
  <si>
    <t>我朋友的那个手机号1332*449933原来是我的。</t>
  </si>
  <si>
    <t>2019/10/07 14:39:46</t>
  </si>
  <si>
    <t>恶意催收，电话恐吓，利息超高，竟然达到每个月4.13%。</t>
  </si>
  <si>
    <t>2019/10/07 14:39:38</t>
  </si>
  <si>
    <t>投诉人王皓投诉对象杭州当贝网络科技有限公司涉诉金额50元问题类型诉求类型投诉详情本人于10月7日在当贝公司旗下网站https://www.znds.com/rom/469603.html中付费下载相应固件，订单号为564620191007803921067，但在支付费用下载后进行解压时提示仍需要密码，切根据页面信息无法获取有效联系方式，无法获取到该密码，该网站放任此类欺诈行为，合伙欺骗消费者，现诉求为下载该固件，加强监管力度，全额退款。</t>
  </si>
  <si>
    <t>2019/10/07 14:39:15</t>
  </si>
  <si>
    <t>用阴阳合同，高额分期费用代替利息欺骗贷款人。</t>
  </si>
  <si>
    <t>2019/10/07 14:37:54</t>
  </si>
  <si>
    <t>我4月份致电及贷客服协商还款，后续催收工作人员回电并加微信协商，最终与及贷工作人员协商最终处理欠款为5843元，由于我的资金不足，导致4月份还款2343元，并与催收人员协商好月底还款，然而当天下午催收就给我来电说叫我下午5点之前把尾款处理好如不然就导致无法减免，催收人员出尔反尔，当时我也没有钱所以就只能拖着了，5月份及贷换了一位工作人员与我联系，和我协商处理还款3650元，我当月汇款两笔共3700多元，本以为会核销账单，当时客服也说一个礼拜就能看到核销账单，然而我半个月以后再去查，账单并没有像客服说的核销，</t>
  </si>
  <si>
    <t>2019/10/07 14:37:18</t>
  </si>
  <si>
    <t>借贷宝纵容高利贷，还私自加收逾期高炮利息！恶意催收，骚扰他人！联系我的亲戚朋友！。</t>
  </si>
  <si>
    <t>2019/10/07 14:37:16</t>
  </si>
  <si>
    <t>上个月7号催收打电话我就已经协商过我到15号才会发工资，目前周转不过来，结果他们不管你，隔俩小时打电话骚扰你一次，这个月催收更猖狂了，直接威胁我说俩小时后不还款直接个人信息上网，还要再问候我一遍家人，这平台催收是不想跟我协商解决问题了吧，他们人工客服还阻挠你要借款单号，前面一直问需要借款单号做什么，后来就直接说不知道什么借款单号。</t>
  </si>
  <si>
    <t>2019/10/07 14:37:15</t>
  </si>
  <si>
    <t>我在贷上钱借了两千要还两千五，还有一笔两千五要还三千二，逾期一天打爆通讯录。</t>
  </si>
  <si>
    <t>2019/10/07 14:37:02</t>
  </si>
  <si>
    <t>投诉人方女士投诉对象微店涉诉金额832元问题类型诉求类型投诉详情微店订单编号:8*************1.商家运单号720051733765从上海发往北京收货确认，与我，填写的收货不符也能自动收货，这里提现微店监控不力，造成无良商家弄虚作假，乘系统漏洞卷走顾客货款，目前已发起投诉，但微店方称虽然是担保交易，现在商家在自动收货后已经提取款项，联系不上，货款收不到，希望有关部门介入处理，要求微店平台做出回应并赔我款项。</t>
  </si>
  <si>
    <t>2019/10/07 14:36:34</t>
  </si>
  <si>
    <t>霸王条款不予退款，打着教育的旗号非法吸纳资金。</t>
  </si>
  <si>
    <t>2019/10/07 14:35:19</t>
  </si>
  <si>
    <t>2019年10月7日12:25:16宝付支付扣款513.21元，但不知道这笔钱是哪个平台扣的，打宝付支付客服说是天津金城银行代扣，打银行客服一直无人接听，希望知道钱的去向何处、哪个平台托金城银行代扣的。</t>
  </si>
  <si>
    <t>2019/10/07 14:35:15</t>
  </si>
  <si>
    <t>我在及贷app借款19000，还了4期，想提前结清，但是这及贷网贷死活不愿意提前结清，哪有这样的平台，利息又贵。</t>
  </si>
  <si>
    <t>2019/10/07 14:33:11</t>
  </si>
  <si>
    <t>我已经向催收的第三方说过情况，我说过我这个月的钱先给信用卡还了，并且明确说出15号还，我个人觉得欠钱我说出困难了，负债高我是想还，迫于无奈，工作人员口头侮辱，恐吓，对我施压，甚至想让我以贷还贷，实在是委屈。</t>
  </si>
  <si>
    <t>2019/10/07 14:31:21</t>
  </si>
  <si>
    <t>投诉人 甘女士        投诉对象  上海秦苍        涉诉金额  8 000 元    问题类型    诉求类型投诉详情  催收人员态度恶劣 已有录音 电话威胁我家人 致使我家人身体健康出现问题 爆通讯录已属违法行为</t>
  </si>
  <si>
    <t>2019/10/07 14:31:18</t>
  </si>
  <si>
    <t>由于节假日不发工资工资推迟，跟微粒贷协商15号还款，催收人员在能联系到本人的情况还要威胁联系家人，违反规定。</t>
  </si>
  <si>
    <t>2019/10/07 14:31:09</t>
  </si>
  <si>
    <t>却被短信告知未联系到我本人，甚至爆了我的通讯录。</t>
  </si>
  <si>
    <t>2019/10/07 14:29:42</t>
  </si>
  <si>
    <t>高利贷，借一千，合同上变成1330，每个月要还610，三个月就1830明显高利贷，短信电话扣款，随意从我卡上划钱，逾期一天变成680，一天利益70，怎么不去抢你们当土匪的了。</t>
  </si>
  <si>
    <t>2019/10/07 14:29:33</t>
  </si>
  <si>
    <t>用网络兼职的借口，完了之后删了联系方式，把我踢出群，把我微信密码也改了还有微信全部联系人也拉黑。</t>
  </si>
  <si>
    <t>2019/10/07 14:29:21</t>
  </si>
  <si>
    <t>高利息，款项1500实际到账金额只有1000，现在已还1000还让在还五百。</t>
  </si>
  <si>
    <t>2019/10/07 14:28:34</t>
  </si>
  <si>
    <t>投诉人 石先生        投诉对象  分期通        涉诉金额  249 元    问题类型    诉求类型投诉详情  利用额度要求开通会员 开通后后却不能借款 而是介绍其它平台 利用开通会员欺骗手段 而会员没有一点实质性的意义 在平台上充值的话费也没有到账</t>
  </si>
  <si>
    <t>2019/10/07 14:27:19</t>
  </si>
  <si>
    <t>9.29号付的款，10-3号显示地址送错，10-4日到达本市，说明天送到，又是后天一直拖，到10-7日还没送过来，跟国庆节没关系，是你们百世服务不行，没人管事，直接退回吧，我不要了，。</t>
  </si>
  <si>
    <t>2019/10/07 14:26:51</t>
  </si>
  <si>
    <t>投诉人 甘女士        投诉对象  小米金融        涉诉金额  4 109 元    问题类型    诉求类型投诉详情  未获得允许 群发短信 电话骚扰亲朋 已属违法行为</t>
  </si>
  <si>
    <t>2019/10/07 14:26:48</t>
  </si>
  <si>
    <t>2019年7月6日在新橙优品借款,7月7日到账10000元，但是平台未经本人确认以保险名义，通过前海新流保险代理公司扣除保险费1000元，账单借款金额10000元，实际到账9000元，每月还款2210.67元，共6期共还13264元，相当于借款9000元半年利息高达4264元，年化利率高达94%，远超法律规定的贷款利率红线，属于非法高利贷，根据央行和银监会联合下发《关于规范整顿“现金贷”业务的通知》，严禁“砍头息”，禁止发放或撮合违反法律有关利率规定的贷款，新橙优品和前海新流保险代理公司已经严重违法，我要求</t>
  </si>
  <si>
    <t>2019/10/07 14:25:16</t>
  </si>
  <si>
    <t>尚德机构报名老师骂人服务态度不好，希望尚德机构对员工的素质进行提升！。</t>
  </si>
  <si>
    <t>2019/10/07 14:24:51</t>
  </si>
  <si>
    <t>由于国庆期间放假，工资推迟发放，本人并无恶意拖欠，才几天，每天4-5个电话，从早打到晚严重干扰到个人生活，期间也跟其业务员沟通，我也在积极凑款，来还这笔钱。</t>
  </si>
  <si>
    <t>2019/10/07 14:24:50</t>
  </si>
  <si>
    <t>钱小咖无法联系，砍头息，高利超国家标准，无法还款导致一直逾期。</t>
  </si>
  <si>
    <t>2019/10/07 14:23:24</t>
  </si>
  <si>
    <t>暴力催收，群发短信，让我妈妈病情加重了，都和他们一再强调说我妈癌症，受不了刺激，说了由于医疗付出太太，我还不起，要求他们减免，他们一再的逼我，爆通讯录群发短信，到处造谣，还说报案抓我，给我心理造成严重恐吓，如果把我逼自杀我想你们负起责任吗，我妈就被你们搞得病情更加严重已经再抢救，这事没完了，我会起诉你们告你们到底。</t>
  </si>
  <si>
    <t>2019/10/07 14:23:17</t>
  </si>
  <si>
    <t>在钱站借了1000，强制分期三个月，每个月要还610多，三个月1800多，还没逾期就短信轰炸，今天逾期一天就就要还680，这不是高利贷吗！电话骚扰恐吓，短信轰炸，恐吓，我要求停止对我的骚扰！否则报警。</t>
  </si>
  <si>
    <t>2019/10/07 14:23:07</t>
  </si>
  <si>
    <t>我是一名刚毕业的学生三年前在诺诺邦克平台借款了30000元当时到账23500元，扣掉了6500保证金到时候还完款退款，每期还了1135*36=40860，现在还完款了一份都没给退打客服说有逾期，就有过一次一天逾期金额1135，说就扣掉6500，这很不合理，就这样骗学生吗，现在家人生病在住院，我不要求全额退款，在法律范围之内扣取相应的违约金希望退掉剩下的，。</t>
  </si>
  <si>
    <t>2019/10/07 14:22:37</t>
  </si>
  <si>
    <t>投诉人王先生投诉对象招商银行信用卡涉诉金额10000元问题类型诉求类型投诉详情招商银行信用卡委托第三方严重骚扰说了不认识债务人还一直打电话一直骚扰已经严重影响正常生活了希望该银行做出严肃处理并且给我道歉。</t>
  </si>
  <si>
    <t>2019/10/07 14:22:11</t>
  </si>
  <si>
    <t>希望快速退换押金，有效解决，希望商家快速解决问题。</t>
  </si>
  <si>
    <t>2019/10/07 14:22:06</t>
  </si>
  <si>
    <t>客服暴力催收，极其恶劣，打电话爆我通讯录，自己app还款还不进去，爆了通讯录，还要我按时还款，偷偷的在爆通讯录，态度恶劣，要求停止爆通讯录，协商归还本金，归还砍头息，如果不给我道歉，还要继续爆通讯录，我将起诉银监会，通过法律的手段维护权益。</t>
  </si>
  <si>
    <t>2019/10/07 14:21:47</t>
  </si>
  <si>
    <t>借两千合同写3000实际到账2000三期每期还1056.66逾期一天罚100。</t>
  </si>
  <si>
    <t>2019/10/07 14:20:20</t>
  </si>
  <si>
    <t>上一个投诉之后客服给我打电话说结案之后帮我处理协商好了，我申请结案小当家并未处理，砍头息借款2500还款3600，暴力催收，威胁家人。</t>
  </si>
  <si>
    <t>2019/10/07 14:20:16</t>
  </si>
  <si>
    <t>投诉人 徐女士        投诉对象  有钱花        涉诉金额  16 000 元    问题类型    诉求类型投诉详情  违规操作，发威胁恐吓短信。违规违规催收催收</t>
  </si>
  <si>
    <t>2019/10/07 14:19:54</t>
  </si>
  <si>
    <t>携趣网络技术上海有限公司,通联支付,易小借,造艺技术,通联沪快，2019年10月7日上午6时0分从我建行卡划走299元。</t>
  </si>
  <si>
    <t>2019/10/07 14:19:25</t>
  </si>
  <si>
    <t>本人7月23号在钱站借款2000元，到账2000，合同金额却是3740元，分3个月还，每月还款1272元，利息达到了1740元，。</t>
  </si>
  <si>
    <t>2019/10/07 14:19:20</t>
  </si>
  <si>
    <t>本人10月7日在及贷的智享贷平台借款2600，事后到账实际金额为2340，而智享贷平台显示需在11月23日前还款总金额2730，我打电话给客服，那边回复我说我购买了vip理财计划，但我表示在借款前并未告知，且没有相关提示，借款前我有特意看过合同，里面也并未说明什么计划的费用，而客服说，在我借款的界面有标记，可能是我忽略了，那我是否可以理解为平台估计没有明确标记，恶意导致客户忽略呢，随后客服态度十分不友好，表示是我自己没有详细审阅，已加入不能退出，随后便挂掉电话，通话记录我有录音，可随时提供，之后我又看了下借</t>
  </si>
  <si>
    <t>2019/10/07 14:18:36</t>
  </si>
  <si>
    <t>本人之前在广州白玉区永泰安华汇一楼小米专卖店购买米兔儿童手表2一台，当时收银员和店长均告知新店开张暂时开具不了发票，需要等一个月，并让当时售货员加了我的微信，告知开具好后微信通知我过门店拿，隔了一个多月后售货员并没有主动联系我，我便主动联系售货员，而后告知再帮询问，之后售货员还是没有联系我，忘记是过去几个月我再次与门店售货员联系时，对方已把我删除，现手表显示屏不亮拿去售后维修点，工作人员检测后告知是显示屏坏掉需要更换显示屏，但手表已过保修期，维修需要自费，并且电脑上查询不到此订单售后部了，需要联系小米全国客</t>
  </si>
  <si>
    <t>2019/10/07 14:18:21</t>
  </si>
  <si>
    <t>今年1月份开始在我来贷平台借款，现在改名叫我来数科，每次借1万，分12个月，每月需还款1133，前前后后借了5次，本金50000，陆续还了21000多，按照平台的计算方法还要还49000多，现在实在无法偿还高额利息，按照本金10000，12期，每月偿还1133，实际年利率高达61%，属于高利贷，本人也不是故意逾期骗贷，实在是没有能力还如此高额的利息，并且合同利率和实际还款金额差很远，有套路贷的嫌疑，我来贷客服不予理睬，每天安排催收人员催收，不提供解决方案。</t>
  </si>
  <si>
    <t>2019/10/07 14:17:24</t>
  </si>
  <si>
    <t>淘宝网,淘宝店铺:d[s402952916]，收到的商品没有任何回力标志，回力官方旗舰店说没有该款产品，淘宝客户让我先退款退货，再做进一步处理，结果就以退款退货结案，存在为尽快结束案件错误诱导消费者的情况。</t>
  </si>
  <si>
    <t>2019/10/07 14:17:03</t>
  </si>
  <si>
    <t>我今天收到短信小浦优客APP私自扣除我银行卡的钱，按步骤填写资料，然后最后要求绑定银行卡，绑定完成就开始审批，过了不久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</si>
  <si>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2019/10/07 14:16:42</t>
  </si>
  <si>
    <t>投诉人周女士投诉对象支付宝涉诉金额0元问题类型诉求类型投诉详情支付宝催收在明知道我在法院被起诉无法还款的情况下骚扰我的手机，如果我的信息泄露，我会直接报案。</t>
  </si>
  <si>
    <t>2019/10/07 14:16:40</t>
  </si>
  <si>
    <t>投诉人张女士投诉对象读秒钱包涉诉金额0元问题类型诉求类型投诉详情最近总是收到读秒平台网络电话轰炸、严重影响我个人生活与工作，希望马上进行解决，如处理不当，将会到国家互联网金融进行投诉举报！。</t>
  </si>
  <si>
    <t>2019/10/07 14:16:04</t>
  </si>
  <si>
    <t>额度3000到账才2100，砍头息900，想协商，没渠道。</t>
  </si>
  <si>
    <t>2019/10/07 14:15:18</t>
  </si>
  <si>
    <t>总欠款45000.本人已还一万七百，现在又在罚息，总金额又到40000.如此下去本人还不起，请求协商处理，本人现在经济极度困难以打零工为生，希望减免罚息，按以前35000总欠款处理，每月还款1000直到还清为止，并建议不要第三方利益集团介入骚扰，拒绝与第三方沟通。</t>
  </si>
  <si>
    <t>2019/10/07 14:15:09</t>
  </si>
  <si>
    <t>投诉人温先生投诉对象快狗打车,58速运涉诉金额418元问题类型诉求类型投诉详情17年注册的58速运，然后派了一单，没有说要交保证金后我接受了送货，从黄埔送到花都的平台派单！从下午送到晚上，回来一看钱被直接变成了保证金，还必须补足到500块钱！后面车也卖了，钱也一直退不回来！现在58速运改成了快狗打车，老板换人了，这钱还退不退得了，加上我已经不在广州发展了是不是就算退都要跑过去广州。</t>
  </si>
  <si>
    <t>2019/10/07 14:15:08</t>
  </si>
  <si>
    <t>未经授权打电话骚扰通讯录联系人，公司领导让我辞职。</t>
  </si>
  <si>
    <t>2019/10/07 14:14:47</t>
  </si>
  <si>
    <t>和男方离婚之后身份证银行卡被偷走，结果被贷款，据说是买手机了。</t>
  </si>
  <si>
    <t>2019/10/07 14:14:35</t>
  </si>
  <si>
    <t>借款未成功，分两次无故扣款，联系造艺科技旗下产品客服退款，态度敷衍。</t>
  </si>
  <si>
    <t>2019/10/07 14:13:16</t>
  </si>
  <si>
    <t>没借到款就删掉了app，结果还扣了我296，要求全额退款。</t>
  </si>
  <si>
    <t>2019/10/07 14:12:51</t>
  </si>
  <si>
    <t>信用管家,豹子贷,海南圣云可网络科技有限公司,上海造艺网络科技有限公司，7月底因人介绍下载了信用管家然后再次下载信用管家里面的豹子贷登陆，因本人卡里没有放钱，事先没异常、于8月8号早上8点11分左右陆续提示银行卡被pos扫了分别100-100-50出去，我先说明、这没经过本人同意私自盗取银行卡钱财这已经属于犯法行为，论坛百度银行客服咨询了一下午发现不少几十上百甚至过千位受害者身同感受。</t>
  </si>
  <si>
    <t>2019/10/07 14:12:29</t>
  </si>
  <si>
    <t>投诉人陈女士投诉对象喜鹊快贷涉诉金额10000元问题类型诉求类型投诉详情喜鹊快贷.高利息，高利率,暴力催收，协商还款。</t>
  </si>
  <si>
    <t>2019/10/07 14:12:28</t>
  </si>
  <si>
    <t>投诉人周先生投诉对象中腾信涉诉金额1000元问题类型诉求类型投诉详情7日为中腾信还款日，在还款日还未过去的情况下进行催收，威胁要拨打第三方联系人了解情况，根据网贷催收行业自律公约以及相关法律法规的规定和要求，我指出在本人未失联且不同意联系第三方联系人的情况下，仍恐吓要对第三方联系人进行情况核实，意图对本人的负债情况和逾期、违约等信息进行泄露。</t>
  </si>
  <si>
    <t>2019/10/07 14:11:46</t>
  </si>
  <si>
    <t>本人在微品分期借款2300，分三期还款，10月6日是第二期还款日，由于本人不在国内，支付宝和微信还款均因无法定位还款失败，联系app上的客服都只有一个机器人邮件回复让联系公众号，但是公众号上也没有在线客服，和app一摸一样，现在收到条短信感觉完全没有接收到我之前给客服所有的留言，本人目前手机经常没信号，无法接电话，短信和微信可以接收，12日回国，要求撤销所有逾期记录和罚款，到12日以后还款。</t>
  </si>
  <si>
    <t>2019/10/07 14:11:39</t>
  </si>
  <si>
    <t>投诉人 黄先生        投诉对象  用钱宝        涉诉金额  4 500 元    问题类型    诉求类型投诉详情  辱骂家人 恐吓 让我心里难受 上班都手抖</t>
  </si>
  <si>
    <t>2019/10/07 14:10:38</t>
  </si>
  <si>
    <t>国庆长假没出去玩，被朋友带着搞拼多多天天领现金，以前别人让我点都觉得虚假，身边有个同事说真的，主要推广新用户力度大，抱着试试的态度，第一次推了5·6个新用户还差0.19就主动放弃了，不想搞了，觉得搞不成，后来又有别人让我帮她点，我又领到90多的红包我又打算试试花了很多精力成了100元，就有信心继续，第三次也拉了很多人助力，差1毛钱还差3分钟时，让很多人助力了，结果时间还差1分多钟拼多多提前结束，助力的都到了新的一轮链接里，当时很气愤，后来想想算了，反正助力到新的一轮里就重新再开始拉几个新用户，凌晨没睡觉拉朋</t>
  </si>
  <si>
    <t>2019/10/07 14:10:10</t>
  </si>
  <si>
    <t>通话都有录音，你们看着办，干嘛要来影响我的生活！。</t>
  </si>
  <si>
    <t>2019/10/07 14:10:00</t>
  </si>
  <si>
    <t>涉诉金额0元问题类型诉求类型投诉详情贷款已经结清，注销账号拒绝注销。</t>
  </si>
  <si>
    <t>2019/10/07 14:09:41</t>
  </si>
  <si>
    <t>本人因为这个月资金周转不来，逾期了温州信用卡，结果逾期的第二天，直接温州银行发短信骚扰，还报通讯录。</t>
  </si>
  <si>
    <t>2019/10/07 14:09:31</t>
  </si>
  <si>
    <t>高利贷，阴阳合同，无视法律法规，借款1000，要还款1500，无视法律法规。</t>
  </si>
  <si>
    <t>2019/10/07 14:08:59</t>
  </si>
  <si>
    <t>投诉人林先生投诉对象花财涉诉金额5000元问题类型诉求类型投诉详情取消借款。</t>
  </si>
  <si>
    <t>2019/10/07 14:08:38</t>
  </si>
  <si>
    <t>写借款总额是90400，服务费被扣了30400，实际到账60000元，更加可恶的是，还款一年，提前还款还需要还58000元，还款一年等于只还本金2000元，然后打电话给公司客服协商，一点都不退让，这个月刚逾期一天，就开始各种催收，竟然还盗取我的通讯录，说如果再不存钱，就走程序，就是所谓的爆通讯录。</t>
  </si>
  <si>
    <t>2019/10/07 14:08:25</t>
  </si>
  <si>
    <t>自首次逾期3个月后，等我有钱时候，由于钱不多，与客服联系，要求协商还款，但客服反馈以账单金额关键，并直接扣除我3个月的本金加逾期利息，共分12期，每期本金1783，手续费643，并且违约金为891，而且每期的违约金都是891，又再与客服协商，要求协议还款所以未还本金，但是不同意，并不与我联系，直接打我通讯录电话。</t>
  </si>
  <si>
    <t>2019/10/07 14:08:23</t>
  </si>
  <si>
    <t>投诉人郝先生投诉对象汇潮支付,守信宝涉诉金额1000元问题类型诉求类型投诉详情本人通过电话推荐，当时急用钱就借了，借款1000实际到账700通过汇潮支付下的款，从9.19开始每6天还一次，到期当天就暴力催收，威胁爆通讯录，无奈每次都是续期300元，还的利息早就超过本金几倍了，要求协商处理，下面有到账金额和app页面。</t>
  </si>
  <si>
    <t>2019/10/07 14:07:51</t>
  </si>
  <si>
    <t>在现金借款借了3000元，分6期还，前二期就还2800，剩余4期还七百多，年化利率远超国家规定.要求退还不合法利息。</t>
  </si>
  <si>
    <t>2019/10/07 14:07:29</t>
  </si>
  <si>
    <t>投诉人陶女士投诉对象立借涉诉金额3142元问题类型诉求类型投诉详情借款8500，到期应还11642元，前三期本金2250元，但是每期利息每个月高达382元，前三期还要还两千五百元手续费，逾期半天开始给通讯录所有人打电话，而且说逾期一个月，明明才逾期一上午。</t>
  </si>
  <si>
    <t>2019/10/07 14:07:27</t>
  </si>
  <si>
    <t>投诉人银女士投诉对象钱橙无忧涉诉金额168元问题类型诉求类型投诉详情钱橙无忧未经我同意在银行没有任何提示的情况下私自扣费！事后联系客服拒绝退款，本人手机上未安装钱橙无忧软件，便扣费，怀疑自己各类信息已经泄露！要求退还本人费用168元，客服态度恶劣，要求道歉！。</t>
  </si>
  <si>
    <t>2019/10/07 14:07:14</t>
  </si>
  <si>
    <t>本人三月份办理的这个手机号，因上任手机号主。</t>
  </si>
  <si>
    <t>2019/10/07 14:06:34</t>
  </si>
  <si>
    <t>投诉人张先生投诉对象玖富涉诉金额5000元问题类型诉求类型投诉详情在玖富万卡，平台借5000块，在平台上体提现失败，在他们平台上无缘无故我还了6个月，我才看到提现失败，希望他们平台把我还的钱给我退回来，他们平台还打电话骚扰我家人，报通化路，希望他们把我多还的几个月的钱给我退回来，希望有关部门严查。</t>
  </si>
  <si>
    <t>2019/10/07 14:06:14</t>
  </si>
  <si>
    <t>投诉人丁女士投诉对象中信银行信用卡涉诉金额50000元问题类型诉求类型投诉详情中信银行信用卡催收部门交给第三方催收，暴力催收，逼死人。</t>
  </si>
  <si>
    <t>2019/10/07 14:04:59</t>
  </si>
  <si>
    <t>及贷催收人员，暴力催收，恐吓，威胁，盗取客户信息。</t>
  </si>
  <si>
    <t>2019/10/07 14:04:51</t>
  </si>
  <si>
    <t>投诉人 李先生        投诉对象  聚福钱包        涉诉金额  299 元    问题类型    诉求类型投诉详情  他们霸王条款。本身是中介平台。扣了我299块钱，不给退。推介的4个平台还要继续交钱。这不是骗人是什么。</t>
  </si>
  <si>
    <t>2019/10/07 14:04:38</t>
  </si>
  <si>
    <t>投诉人殷先生投诉对象玖富涉诉金额9200元问题类型诉求类型投诉详情我在玖富万卡上借贷了9200元，最近想一次性结清，但是客服连公司对公账号都不提供，利息远超国家法律规定贷款利率，希望尽快处理。</t>
  </si>
  <si>
    <t>2019/10/07 14:04:34</t>
  </si>
  <si>
    <t>在指上旅行借款两次，第一次借款3000元，28天期限，7天为一期，到账砍头750元，实际到账2250元，还完以后复借，借款3000元，30天期限，10天为一期，到账砍头900元，实际到账2100元，中间展期一个月369元，目前已经还了一期1030元，现在要求协商还款，销账。</t>
  </si>
  <si>
    <t>2019/10/07 14:04:32</t>
  </si>
  <si>
    <t>你我贷暴力催收，一天打24个电话不间断骚扰，第四天人工催收态度恶劣，不听取意见并威胁恐吓，并想采取以黑恶势力手段非法上门催收，由于苹果手机无法录音，你我贷公司可以调取录音。</t>
  </si>
  <si>
    <t>2019/10/07 14:04:01</t>
  </si>
  <si>
    <t>本人10月6日在百事普惠申请，绑定银行卡后提示需要249元的费用，客户说百事普惠只是一个中介平台，那这评估费为什么扣给他们。</t>
  </si>
  <si>
    <t>2019/10/07 14:02:42</t>
  </si>
  <si>
    <t>本人在微贷网平台借钱，审核通过后下款2500元，变相扣除了200元强制买游戏币，实到账2300，，本人当时不了解所谓的利率，账单显示每期还款456.68元，，分6期，但是借完款以后才发现每期要还利息10.84，运营管理费29.17，目前已还两期，实际年化率已经接近36%，与合同严重不符合，超过国家年息24%，现要求微贷网商免去未还期数服务费及退回被扣除200买游戏充值，一次结清，如果协商无果，本人将继续举报至全国消协，互金会，贷款公司所在地信访、金融办、工商等部门，维护自身合法权益。</t>
  </si>
  <si>
    <t>2019/10/07 14:02:40</t>
  </si>
  <si>
    <t>本人予2018年8月在平安普惠app申请借款35000z自动分期为23期，现已经还款14期,本期因为经济问题无法按时还款导致逾期，今天是逾期第二天,平安普惠催款电话就从还款日开始每天十几个电话不停歇的爆打电话催收，电话解释就这几天内借钱还款，催款员直接回绝不行，昨天到今天又是短信又是电话的要挟恐慌吓，已经严重影响到我的正常生活与工作了。</t>
  </si>
  <si>
    <t>2019/10/07 14:02:27</t>
  </si>
  <si>
    <t>注册了一下，然后第二天莫名其妙被扣了296，客服打不通。</t>
  </si>
  <si>
    <t>2019/10/07 14:02:23</t>
  </si>
  <si>
    <t>快钱支付,钱站,华夏银行,华夏存管,爱钱进北京，钱站砍头息实际借款3800，合同写成6000多，借款时没有明确费用，借款后增加每月1000的服务费，高利贷借款，现已被逼迫还款一期，要求协商还款。</t>
  </si>
  <si>
    <t>2019/10/07 14:02:14</t>
  </si>
  <si>
    <t>经常性故障故障都是两天以上修好从来不会当天修复，这次更夸张五天了！打客服电话说让工程师联系我等到现在没有一个回复。</t>
  </si>
  <si>
    <t>2019/10/07 14:01:47</t>
  </si>
  <si>
    <t>投诉人曹先生投诉对象拍拍贷,曹操贷涉诉金额14000元问题类型诉求类型投诉详情我在拍拍贷上借款14000，分12期还，每期还1586，拍拍贷是本息一起还的，为什么我还了5期之后，余下每期还都是还1586，我每期归还了部分本金加利息，每个月应还金额，利息不应该越来越低吗，拍拍贷这种计算方法是存在明显的套路贷，高利贷形式，并且与客服协商提前还清余下本金，客服不同意，告知我只能按还款计划的金额归还，变相收取我高额利息，希望可以给我一个合理的解释，前面5期收取的高额利息我可以不追究，但是余下的本金我希望提前结清，本</t>
  </si>
  <si>
    <t>2019/10/07 14:01:26</t>
  </si>
  <si>
    <t>投诉人吴先生投诉对象多宝分期,手机借款涉诉金额6400元问题类型诉求类型投诉详情4000元借款两个月，分4期每15天一期就有599.25的利息，一个月就要还3198.5，严重的高利贷，本人已还三期，也付出适当利息，今天是第四期还款日，要求本金销账，我也感谢他们救人于急，适当利息是可以接受的，额外超出太高，确实难以接受！客服联系不上，望给与解决，谢谢！。</t>
  </si>
  <si>
    <t>2019/10/07 14:01:10</t>
  </si>
  <si>
    <t>钱站借1000三个月后还1845综合利率远超国家允许利率范围。</t>
  </si>
  <si>
    <t>2019/10/07 14:00:21</t>
  </si>
  <si>
    <t>投诉人刘英投诉对象闪电借款涉诉金额1155元问题类型诉求类型投诉详情闪电借款不停地骚扰家人朋友，还威胁说上门打死我，请停止骚扰做出道歉，闪电显示信用额度0还说我借款1155元，没有信用额度哪来的借款，请提供打款证明发给我。</t>
  </si>
  <si>
    <t>2019/10/07 14:00:20</t>
  </si>
  <si>
    <t>推荐贷款平台扣了250，说是推荐不成功就退款，结果没推荐成功，打客服电话说14天后退款，到了第14天打电话要求退款，结果他们要我把手持身份证照片，身份证复印件邮过去，还说两个月内邮不过去就不退款了，刚开始合同里并没有有关规定，说退款还需要这么麻烦，而且邮寄费用，打印费用谁出。</t>
  </si>
  <si>
    <t>2019/10/07 13:59:59</t>
  </si>
  <si>
    <t>投诉人宣女士投诉对象微粒贷涉诉金额2900元问题类型诉求类型投诉详情之前还款记录良好，这2个多月经济实在周转不开，家人也是相继生病住院的，资金真的周转不开，可是微粒贷工作人员给我用个人手机发送开庭通知，威胁恐吓我说要被起诉和终止分期还款，这都只是一部分。</t>
  </si>
  <si>
    <t>2019/10/07 13:59:10</t>
  </si>
  <si>
    <t>投诉人乔先生投诉对象还呗涉诉金额108元问题类型诉求类型投诉详情昨晚还款显示成功一个，后两个还款失败，今早还款，换了一个108.96然后又扣款235.66，联系不上客服。</t>
  </si>
  <si>
    <t>2019/10/07 13:59:09</t>
  </si>
  <si>
    <t>在融360旗下的极速钱包借款多次，砍头息，高利息，现要求退还部分利息。</t>
  </si>
  <si>
    <t>2019/10/07 13:58:40</t>
  </si>
  <si>
    <t>投诉人 沈先生        投诉对象  钱站        涉诉金额  1 700 元    问题类型    诉求类型投诉详情  在钱站app借款1000 到期要还1700 今天是还款日 就打电话催收 而且态度恶劣 本来就是高息不想投诉的 但你们催收说话不好听</t>
  </si>
  <si>
    <t>2019/10/07 13:58:32</t>
  </si>
  <si>
    <t>投诉人高先生投诉对象苏宁易购涉诉金额17545元问题类型诉求类型投诉详情上个月在苏宁易购购买一个金条，拒收退货，苏宁易购坚持不给退款，说要先赔运费保费，我说直接从付的款里面扣，苏宁易购坚决不同意，非要先赔偿运费保费这是什么道理。</t>
  </si>
  <si>
    <t>2019/10/07 13:58:30</t>
  </si>
  <si>
    <t>恐吓，骚扰，暴力催收，侵犯个人隐私，各种不认识的人打骚扰电话，加微信，而且逾期利息高的离谱。</t>
  </si>
  <si>
    <t>2019/10/07 13:58:29</t>
  </si>
  <si>
    <t>投诉人张博先生投诉对象淘宝网涉诉金额1000元问题类型诉求类型投诉详情9月新开店铺，刚交保证金，才发布一个产品，就限制我永久发布产品管控案例：卖家风险账号限制，管控原因：淘宝网通过大数据进行全方位综合风险排查,判定此账户易造成交易风险，故对此账户的卖家权限做出限制，此处置不限制该账户买家权利，小二提醒：淘宝网通过大数据技术等各类措施,对账户的交易、商品及店铺进行多纬度、全方位地综合风险排查,您的账户易造成交易风险,淘宝网对该账户的卖家权利做出限制,90天内无法进行保证金解冻,同时对订单款项进行交易账期延长:</t>
  </si>
  <si>
    <t>2019/10/07 13:57:57</t>
  </si>
  <si>
    <t>投诉人曹先生投诉对象借贷宝涉诉金额6330元问题类型诉求类型投诉详情第一，我和出借人线下交易已经终止，合同已经达成终止，借贷宝线上不销账导致合同逾期，第二，借贷宝公司并没有尽到他们提醒的义务，胡乱收费，打欠条的时候已经给平台一部分服务费用了，现在销账也不让我销，想方设法想要收我们钱，导致我的信用出现问题，还有不法分子给我打电话人身攻击威胁我，严重影响我的正常生活，而且不积极处理我的事情，时间一拖再拖，存在变相收取利息！他这个费用严重超出了国家规定的年化24%的收益，并且在宽限期间没有对我进行通知第四，平台软</t>
  </si>
  <si>
    <t>2019/10/07 13:57:55</t>
  </si>
  <si>
    <t>投诉人董女士投诉对象钱置宝,畅捷支付涉诉金额2100元问题类型诉求类型投诉详情立借里的钱置宝下款2100，要一个月还4期，每期751，远超法律规定利息，我已经还了3期，还剩一期要求减免销账，还款日前联系客服协商，客服电话无人接听，现已逾期，要求客服与我协商。</t>
  </si>
  <si>
    <t>2019/10/07 13:57:07</t>
  </si>
  <si>
    <t>玖富万卡客服，每次通玖富万卡客服电话，没有一个客服能说明白问题的，你好请问你遇到什么问题了，然后我说我的问题，我有逾期了，想了解还款及仲裁问题，然后客服说，请你按时还款，请你按时还款，说来说去就这几个字，究竟玖富集团请这些客服来上班，是什么意义呢，还有就是联系我电话问题，我电话一直正常使用，没开过拦截，玖富发短信息来，尝试与你联系均无法接通，问客服，你们都没联系过我，怎么说我电话无法接通呢，客服回答说，你是不是开了拦截啊，我说没有拦截过，客服又答，那你按时还款，就行了，。</t>
  </si>
  <si>
    <t>2019/10/07 13:56:39</t>
  </si>
  <si>
    <t>投诉人黄先生投诉对象玖富万卡涉诉金额17157元问题类型诉求类型投诉详情本人2019.03.13在玖富万卡APP申请了一笔30000元的贷款，分为十二期，目前已还六期，现在因手头有足够的资金想申请提前结清，在玖富万卡APP操作提前结清提示我还款金额超过单笔上限，无法代扣，咨询客服说是我银行卡有限额，我就按客服所说的办理了大额的银行卡，，期间电话客服，微信客服都再三确认过银行卡，说办理兴业银行储蓄卡就可以，我自己本身也有多张银行卡进行尝试，平安，工商，农业银行卡，，结果还是扣款失败，再打给客服又是说让我换银行</t>
  </si>
  <si>
    <t>我在哈罗出行上面约了顺风车，约了出发时间，司机过了时间没来接我，我等了一个多小时，还没来，七点多才来接我，后面发现司机在其他平台有接单，带了其他平台的乘客，导致我拼单失败，实际上司机车上有人，司机一直不来接我是因为他接了八点钟左右其他乘客的单，他也没告诉我，浪费了我三个小时时间，我跟哈罗出行平台客服联系，对于司机这种行为，我只愿意付30块钱，剩下的我不付，平台说联系不上司机，做不了处理这个借口让我等通知，对于这样的处理结果我不满意。</t>
  </si>
  <si>
    <t>2019/10/07 13:56:36</t>
  </si>
  <si>
    <t>投诉人 黄女士        投诉对象  智行        涉诉金额  156 元    问题类型    诉求类型投诉详情  9月4号申请的退款 到现在还没有给我退款</t>
  </si>
  <si>
    <t>2019/10/07 13:54:45</t>
  </si>
  <si>
    <t>永恒优享借款两笔650元，8天还款1878，利息严重超过国家规定！此前多次借款都以付出高昂利息，现在不堪重负，自残住院，要求永恒优享平台联系销账，若造成更严重的人生意外，将报警以刑事案件起诉。</t>
  </si>
  <si>
    <t>2019/10/07 13:53:56</t>
  </si>
  <si>
    <t>2019-8-30询问客服后，通过银行直接转账的方式结清借款，但至今天仍未显示借款结清，且提示今日为还款日，自动还款失败，要求还款，逾期上征信，且利息一直有在计算，期间多次联系客服，均以须专人处理为由，未有结果。</t>
  </si>
  <si>
    <t>2019/10/07 13:53:35</t>
  </si>
  <si>
    <t>借26000要还3900，之前借11000还20000。</t>
  </si>
  <si>
    <t>与哈尔滨银行协商分期36期，停止骚扰家人，而且哈尔滨银行催收态度特别差就跟泼妇一样。</t>
  </si>
  <si>
    <t>2019/10/07 13:53:28</t>
  </si>
  <si>
    <t>京东白条非法骚扰我身边的亲友，涉嫌恶意泄露个人信息。</t>
  </si>
  <si>
    <t>2019/10/07 13:52:28</t>
  </si>
  <si>
    <t>车出停车场时，由于机器未扫描到车，保安未及时说明原因，并大声吼车主，让车主把车往后退，车主质问为何这么大声，保安还说说话就这样，完全没有服务意识。</t>
  </si>
  <si>
    <t>2019/10/07 13:51:44</t>
  </si>
  <si>
    <t>绑定银行卡的短信提醒中并没有说明扣去会员费用，莫名就扣取了服务费用，他们的客服电话还一直打不通。</t>
  </si>
  <si>
    <t>2019/10/07 13:51:35</t>
  </si>
  <si>
    <t>今年6月份在短视频上看到360打广告说，借款免利息，抱着试一下的心态，下载了360借条app，于是打开借款页面，借款页面显示借款1000元，日利息最低2毛7，可是最高利息不敢说出来，怕没人敢借款了，当时也没想太多，想360平台这么多年信誉一直还可以，不会欺诈消费者的，就在2019年6月28日在360借条app上借了3800元，借款了6个月，借款成功后才看到分期费率1.75%，要还利息400多，一个月就要66块多，利息高的离谱，想提前还款，也还不了，简直就是霸王条款，可是过了几天360借条在app上更改了，可</t>
  </si>
  <si>
    <t>聚富分期平台在我不知情不愿意没有反映的情况之下从我的银行卡里扣掉了299元，而且在我没有输入密码的情况下扣的钱，这让我的银行卡很不安全，而且我发现不止我一个人受骗上当，据我了解有一万以上的人受骗，甚至更多，一个人299元，一万个人是多少钱，，这可不是小数目，这是骗人这是欺骗，一个借款平台，一个打着借款的封面让我们填写信息和银行卡的宣传从我银行账号里划出299元，最后给个评估报告，请问你的评估报告和我在别的平台借款有什么用处，我用你们评估报告去别的平台借款，你们揽钱也不能这么无底线呀！钱没有借到就扣了299元</t>
  </si>
  <si>
    <t>2019/10/07 13:50:44</t>
  </si>
  <si>
    <t>联动云违章处理太慢，我处理完成后说要扣除300元的违章违约金。</t>
  </si>
  <si>
    <t>2019/10/07 13:49:47</t>
  </si>
  <si>
    <t>六月份的时候因为经济上的问题，就在小花钱包里面借款9000元，借到钱后发现利息需要九百八十多元，七月份的时候我还清了，月底又因为家里的一些事情再借了9000元，八月还了第一期，八月29号因为光大信用卡的账单快到了，我想着再借一千八百元来先还下信用卡，十月三号要还第一期的款，因为长假，我的工资要十号才到，小花钱包的工作人员打电话过来问，我就跟他保证了八号还，结果这个国庆假期期间他们就一直给我的亲友发损毁我名誉的短信和电话，还多次发威胁短信，给我造成了很大的压力，我甚至都想到了死！看着家里的孩子，我又有点不甘心</t>
  </si>
  <si>
    <t>2019/10/07 13:48:47</t>
  </si>
  <si>
    <t>投诉人 张先生        投诉对象  小浦优客        涉诉金额  296 元    问题类型    诉求类型投诉详情  未经我同意扣我的钱296，我要求给我退款</t>
  </si>
  <si>
    <t>2019/10/07 13:48:35</t>
  </si>
  <si>
    <t>因名下银行卡一直被停，完成一期借款逾期，第一时间已经和微现金相关客服取得联系并说明原因，且尽自己所能已经在线下处理了一部分款项！今天无缘由忽然开始骚扰家人，并不说明原因，利用网络电话疯狂拨打，打两下就挂，后加上对方微信，根本不协商，一味的威胁恐吓，我想知道，7天利息将近500，这样的砍头息平台凭什么这么嚣张，口出狂言！求有关部门严肃处理！给受害者一个公道下载地址。</t>
  </si>
  <si>
    <t>2019/10/07 13:48:22</t>
  </si>
  <si>
    <t>我之前已经在聚投诉上说明我的诉求了，但是拍拍贷一而再再而三的暴力催收，威胁我，前面已经爆了我的电话，现在问我住址身份证号还要找人上门催收，我不是不想还这钱，现在情况实属无奈，只希望好好协商去还款，让我慢慢打工去偿还所有欠款，希望聚投诉平台帮帮我，我不是赖皮，本人当初投资做生意，除了家人朋友借的钱以外还向各大平台公司借款，最终生意失败，血本无归，这个责任在我个人，现在的确无力偿还，希望催收公司别去再骚扰我家人及其朋友了，我不知道这样你们算不算违法，望平台查实监督。</t>
  </si>
  <si>
    <t>2019/10/07 13:46:41</t>
  </si>
  <si>
    <t>实际到账9000,合同款上显示11970实际到账。</t>
  </si>
  <si>
    <t>2019/10/07 13:45:24</t>
  </si>
  <si>
    <t>十月四号凌晨我和我朋友一起借的充电宝，我朋友帮我把两个充电宝一起归还，而且那个网吧只有怪兽公司的充电宝，昨天也联系客服，明确表示今天中午十二点给出解决方案，未果，第二张第三张是我 询问我朋友 有没有归还，而且我朋友的充电宝已经显示归还，为什么同一时间段借的，我朋友明确表示都插上归还充电宝，第四张是我本人还在计费截图。</t>
  </si>
  <si>
    <t>2019/10/07 13:45:12</t>
  </si>
  <si>
    <t>已经还款了2期的支付利息，注明的延期3天还款，实际只有2天，并且还没有到还款时间就开始电话骚扰。</t>
  </si>
  <si>
    <t>2019/10/07 13:45:09</t>
  </si>
  <si>
    <t>投诉人李先生投诉对象招商银行信用卡涉诉金额23000元问题类型诉求类型投诉详情请求与招商银行信用卡中心协商解决分期还款，希望不要再骚扰家人朋友而且连工作都保不住我不知道拿什么来还这次债务，你们银行雇佣第三方非法公司请招商银行自重。</t>
  </si>
  <si>
    <t>2019/10/07 13:44:03</t>
  </si>
  <si>
    <t>贷上钱逾期两天，催收打电话过来威胁恐吓，说要爆我通讯录，无法协商还款，指定几点还就要几点还，态度恶劣。</t>
  </si>
  <si>
    <t>2019/10/07 13:43:35</t>
  </si>
  <si>
    <t>投诉人陈女士投诉对象微信涉诉金额0元问题类型诉求类型投诉详情我于2019年10月6日办理的一张微信大王卡昨天才申请的新微信连微信号都没来得及设置今天一登录微信就发现微信莫名其妙被封！。</t>
  </si>
  <si>
    <t>2019/10/07 13:42:58</t>
  </si>
  <si>
    <t>微信财付通在10月05号无缘无故刷走我银行卡4笔648元我的银行卡都没有绑定微信怎么会支付我这张卡，这张卡一直都是我本人再用没有泄露过。</t>
  </si>
  <si>
    <t>2019/10/07 13:42:34</t>
  </si>
  <si>
    <t>今日是新橙优品逾期第二天，从昨天开始就是无止休的骚扰并且开始拨打我的紧急联系人并且态度极为恶劣！今天又打到我父母这边，态度强硬，说之前打我电话打不通，我想问不会短信微信进行沟通吗，直接通过联系人来寻找我如果出现意外状况谁来负责，另外这样一个高利息砍头息的平台有什么资格这么强硬，表示必须道歉！而且需要给予一个交代！就是这样。</t>
  </si>
  <si>
    <t>2019/10/07 13:40:52</t>
  </si>
  <si>
    <t>分期乐公司今早9点半给我打过电话，我说明情况以后，他们说17号以前不会再打扰我，结果我，刚刚又接到电话，说是受分期乐公司委托催收。</t>
  </si>
  <si>
    <t>2019/10/07 13:40:34</t>
  </si>
  <si>
    <t>金鸡下蛋通过推广链接下载，现在链接已经失效，到手金额1400，通过汇潮支付放款，五天后还款2000，还款渠道是支付宝提供，续期两天300，续期五天600，到期日当天催收各种暴力催收，威胁骚扰手机通讯录和通话详单，如果投诉不成，将整理材料上报扫黑办和派出所。</t>
  </si>
  <si>
    <t>2019/10/07 13:40:25</t>
  </si>
  <si>
    <t>投诉人 徐宝果        投诉对象  滴滴出行        涉诉金额  0 元    问题类型    诉求类型投诉详情  无缘无故扣我服务分，使我接不到订单。多次给客服打电话，得不到有效解决。希望能换我的服务分</t>
  </si>
  <si>
    <t>2019/10/07 13:39:22</t>
  </si>
  <si>
    <t>中金支付为信而富高利贷违规提供支付通道，现要求信而富返还我所有变相砍头息4338元。</t>
  </si>
  <si>
    <t>2019/10/07 13:39:05</t>
  </si>
  <si>
    <t>要求51人品贷取消后面4期还款金额1536.52元，还款金额和实际还款金额不符，第一期还2981.52元，从第二期开始每期1536.52元，与合同上面的利率不对，而且未下款前看不到任何合同及利息还款金额。</t>
  </si>
  <si>
    <t>2019/10/07 13:38:58</t>
  </si>
  <si>
    <t>外卖吃到蟑螂也不是一般的小青虫！当时客服跟我打马虎眼，给我一点优惠卷！我本着相互包容的心态，接受了当时的处理结果！但是我每次点外卖还是能看到投诉的那家店！这表明饿了么平台根本没有进行管控！所以我现在要求赔偿！我吃到蟑螂按照法律不足1000，按照1000赔偿！希望饿了么平台给一个说法！。</t>
  </si>
  <si>
    <t>2019/10/07 13:38:32</t>
  </si>
  <si>
    <t>根据劳动合同法八十二条没签劳动合同要赔偿员工每月双倍工资。</t>
  </si>
  <si>
    <t>2019/10/07 13:38:14</t>
  </si>
  <si>
    <t>本人在钱站上借款2笔，一笔为2000元，一笔为1200元，下款后发现合同上的借款金额发生了更改，2000元变成了2500，1200变成了1590，这是明显的阴阳合同，并且还款当日也没有电话联系，逾期一天收取高达100多的逾期费用，这种借贷难道还是合法的?。</t>
  </si>
  <si>
    <t>2019/10/07 13:38:05</t>
  </si>
  <si>
    <t>投诉人 张先生        投诉对象  小象优品,小象钱包        涉诉金额  15 000 元    问题类型    诉求类型投诉详情  年利息均在36% 符合高利贷 借款8900。手续费2400 9个月还11300。借款5900 手续费2100！ 严重高利贷</t>
  </si>
  <si>
    <t>2019/10/07 13:38:01</t>
  </si>
  <si>
    <t>投诉人朱德权投诉对象友信普惠涉诉金额31000元问题类型诉求类型投诉详情友信普惠阴阳合同，我借了2万合同显示31000元，借款到账了马上扣了我1万一。</t>
  </si>
  <si>
    <t>2019/10/07 13:36:29</t>
  </si>
  <si>
    <t>借款20000元，因个人原因，逾期时间较长，目前想偿还欠款，催收人员拒绝协商，同时骚扰我身边人，每天至少十通电话，打给我的公司各个部门，同时还拨打我父母单位各个部门电话，每天都进行骚扰，严重影响我的个人利益，还造成我父母利益的严重损失，目前，我个人将被辞退，父母收到单位记过处分，所带来的影响导致全家无法接受，目前已将案件交于警方处理，同时，寻找及贷寻要说法及处理方案，对于欠款，本人愿意以分期的方式支付完毕，前提是符合国家利息标准。</t>
  </si>
  <si>
    <t>2019/10/07 13:36:13</t>
  </si>
  <si>
    <t>我来数科催收不合规，骚扰通讯录、恐吓，不知道国家的法律支不支持他们这种行为。</t>
  </si>
  <si>
    <t>2019/10/07 13:35:22</t>
  </si>
  <si>
    <t>没在他们平台借款，随意扣我银行卡里面的钱，希望做出处罚并下降产品。</t>
  </si>
  <si>
    <t>2019/10/07 13:35:21</t>
  </si>
  <si>
    <t>投诉人樊先生投诉对象去哪儿网涉诉金额1428元问题类型诉求类型投诉详情去哪儿网香港迪士尼门票被骗，多次打客服电话请求帮助退款无果，明明可以及时处理拦截，就是不管。</t>
  </si>
  <si>
    <t>2019/10/07 13:35:14</t>
  </si>
  <si>
    <t>在小花钱包借了5500.已经还了11700元，剩下的还有55000.要求协商还本金，希望工作人员帮忙追一下，客服一直显示在等待。</t>
  </si>
  <si>
    <t>2019/10/07 13:35:01</t>
  </si>
  <si>
    <t>借款2200，到账1584，砍头息，暴力催收，还说找我朋友要。</t>
  </si>
  <si>
    <t>2019/10/07 13:34:38</t>
  </si>
  <si>
    <t>9月17日，银行通知欠款8万3千元，本人于8月28日还款，通知还8万7千元，本人于8.28号还了17483元，短信通知还欠款70453.63元，9.30.本人消费2750元，短信通知还有额度5796.37元，应该欠款73203.63元，但是在10.7.本人消费2500元的时候，应该欠款75703.63，但是短信通知本信用卡可用额度只有280.21元，9月28号到10.7.本人没有用信用卡消费，但无形中将近3000元不见了，本人致电95508，通知本人现欠款7万8千多元，综合计算，8月份，9月份短短两个月，银</t>
  </si>
  <si>
    <t>2019/10/07 13:34:34</t>
  </si>
  <si>
    <t>10月7日，按照还款要求，还剩1348元五个月还清，支付宝委托第三方催收还在每天打电话骚扰我，还有我的亲戚朋友，据他们所说要求我把剩余的1348元一次性还清！说因为我之前有过逾期记录所以现在需要一次性还清！我又多次联系95188也得到同样的答复！我的疑问：1、我为什么要一次性还清，！钱不多，一次性还清没问题，但是钱归钱，道理归道理，我没有道理按照你们的霸王条款去还钱！2、大大小小的软件用过几十个，你们支付宝蚂蚁金服是我见过最流氓最差评的一个，对于一个曾经借呗19W5额度，700多芝麻分的铂金会员，你们就是这</t>
  </si>
  <si>
    <t>2019/10/07 13:34:32</t>
  </si>
  <si>
    <t>我电话联系过两次微粒贷协商还款，他们拒绝协商，还韦托河什么第三方，好，既然委托了那就请出示身份证明，这是个法制社会，他们拒绝配合?我想请问他们依据是哪条国家规定，请明示，我让他们提供姓名，电话，工作单位，委托函及相关微粒贷提供的资料，他们拒绝配合?我想请问，他们依据是哪条国家规定，请明示，然后后面就变成这个，我说你要发资料请发全套，委托函，公章，连责说明等文件，就发来一个这个，干什么?冒充公检法?还是欺负我身患重病无法当面对质，你倒是当面对质啊，搞这些算什么?我要求赔偿我医疗费，名誉损失，信息泄露造成的骚扰</t>
  </si>
  <si>
    <t>2019/10/07 13:34:10</t>
  </si>
  <si>
    <t>投诉人王长金投诉对象豹子贷,上海造艺网络涉诉金额299元问题类型诉求类型投诉详情本人见要收费,就卸载了他们的程序,我银行卡没钱,第二天别人给我打了钱,他们居然自动给我扣了299元，本人完全不知情,就算收费一个风险评估要299,合理吗?而且我银行卡没钱,也该终止了吧,一有钱想扣就扣,你们有这个权利吗?合法吗?根本就是恶意扣费吧，恶意软件希望早点被封。</t>
  </si>
  <si>
    <t>2019/10/07 13:34:09</t>
  </si>
  <si>
    <t>国美易卡雇佣社会黑恶势力暴力催收，语言极其难听携带侮辱性词汇！，在我本人一再明确10月8号还款的情况下，一再骚扰我，语言带侮辱性词汇！另外国美利息也有些高！。</t>
  </si>
  <si>
    <t>2019/10/07 13:33:01</t>
  </si>
  <si>
    <t>每天一堆电话，我现在处理不了，11号我会处理，没有必要每天一堆骚扰电话和信息，另外所有带广告推销的电话我一律屏蔽！。</t>
  </si>
  <si>
    <t>2019/10/07 13:32:53</t>
  </si>
  <si>
    <t>暴力催收，打电话给家人，说了下午处理，还威胁一小时不处理，就开始打电话给家人。</t>
  </si>
  <si>
    <t>2019/10/07 13:32:33</t>
  </si>
  <si>
    <t>给你花平台催收对家里老人进行骚扰，对我恐吓，我没说不还钱，它可以找我本人，但是他不能骚扰老人，老人身体不好！而且我不是不还钱，我是现在没有钱还！。</t>
  </si>
  <si>
    <t>2019/10/07 13:32:31</t>
  </si>
  <si>
    <t>在蛋壳公寓租房一年以后续签了一年，过了半年退房，蛋壳方不退还押金，原是说过了一年退租可以退还押金，并没有说明续签不退还押金。</t>
  </si>
  <si>
    <t>2019/10/07 13:32:19</t>
  </si>
  <si>
    <t>小赢卡贷已还清，注销账户困难，需要提供银行卡流水，世间少有，注销银行信用卡都没有这么困难。</t>
  </si>
  <si>
    <t>2019/10/07 13:30:22</t>
  </si>
  <si>
    <t>三百多订的酒店隔音效果很差，12点开始睡觉，隔壁房间一直聊天，吵到凌晨三点，被迫去旁边酒店开房睡觉，致电给酒店工作人员，工作人员表示没有办法解决，美团解决方案实属扎心。</t>
  </si>
  <si>
    <t>2019/10/07 13:29:13</t>
  </si>
  <si>
    <t>昨晚点餐时，我等了一个多小时，本来22:30就该送到的东西，我等到23:33分还没到，我就给骑手打了电话没想到，我才说了一句话就被美团骑手一顿骂，之后向美团客服做出投诉，在我没收到餐品的情况下，订单已经显示配送完成，可是至今我都没接到美团片区负责人一个电话，或者一句道歉，问在线客服永远都像复读机一样，只会重复一句:已经有专人跟进处理！我就想知道我们消费者的权益到底怎么保障。</t>
  </si>
  <si>
    <t>2019/10/07 13:29:06</t>
  </si>
  <si>
    <t>本人因最近资金周转不过来，造成在百度有钱花平台的贷款逾期，催收员打电话过来我也说明了我的情况，但后面陆续接到短信轰炸，以及恐吓，有钱花平台的催收员还扬言要半夜爆通讯，骚扰我的家人以及朋友，我要求百度有钱花平台停止对我的违法行为，不要暴力催收。</t>
  </si>
  <si>
    <t>2019/10/07 13:28:58</t>
  </si>
  <si>
    <t>钱站合同第二次确认根本看不到上面写的内容说是20结果这事什么鬼3500多块钱本金才两千高利贷啊借两千还款要还3570多我已经还了两期了一看第三期居然还有还有一千多块钱我心里很不是滋味说实话不是不还利率太高五百以内的利率都能接受你这利率可不止35吧而且当时借款还不能取消真是无语了真的我给客服留言说我不需要了给我取消吧克服也不理我完了之后想着到账三千四百的话利息也低想着就算了可是款下来后到账的数目为两千并不是合同写的3400啊真的挺郁闷的说实话我接受不了就算是多个七百五百都无所谓你这也太搞了完了当时已经不需要钱</t>
  </si>
  <si>
    <t>2019/10/07 13:28:43</t>
  </si>
  <si>
    <t>高额利息，十五天借二千实际到帐一千四百元，十五天还二千二百元。</t>
  </si>
  <si>
    <t>2019/10/07 13:28:42</t>
  </si>
  <si>
    <t>贷款金额是74000.客服一直都是电话沟通教我如何操作，并没有告诉我利息多少，一直用很快的语气让我尽快操作，结果到账一看还款计划，借款金额74000，前期服务保证金14230.7，信息费6641，合同金额94871，莫名其妙多了4万多，应还金额达到116446元，问客服利息也不说就说正常还就好，没有人会愿意逾期的，但是很反感这种大平台坑客户，借钱还款是应该的，但是这种利率已经超过了法律规定利率，相当于高利贷了，其实按照正常利息去还款大部分人都会正常去还，搞这么大一个坑，贷款的时候也不提前说清楚，，问客服利息</t>
  </si>
  <si>
    <t>2019/10/07 13:27:31</t>
  </si>
  <si>
    <t>去哪网购票页面退票规则写了：根据航空公司规定执行，所以我咨询了去哪儿客户，得到答复只能退还201的税费，我没有答应退款，所以自行到航空公司官网查询了退票规则，得到的规则跟去哪网说的完全不一样，根据官网规则，航班截止起飞当天都能退到大约总价的一半，每个时间节点费用都不一样都有详细说明，我有官网截图，，去哪网不承认这个规则，理由是：航空公司规定和航空公司官网规则不是一个概念，所以我只能同意去哪网说的规则，但是我要求去哪网提供他们所说的航空公司规定，规定里要有关于这个航班的退票的详细的退改要求或者明细，总不能电话</t>
  </si>
  <si>
    <t>2019/10/07 13:27:11</t>
  </si>
  <si>
    <t>本人出租车司机，的士联盟账号185******11，在没收到任何提醒的情况下，今早进去钱包提现显示“你的账户已停用”，导致血汗钱1627元无法提现，几次联系客服都没给出明确答复，在封禁期间正常接单，正常收款，就是无法提现，也就是说干活可以拿钱没门的感觉，望解决，谢谢。</t>
  </si>
  <si>
    <t>2019/10/07 13:25:28</t>
  </si>
  <si>
    <t>！三方催收给我发的浦发银行告知书已经收到，一张纸印的是浦发银行的章怀疑这个告知书上面的章是伪造的！我现在怀疑你们浦发用的是三方无催收资质的公司，就在近日你们浦发有把我的案件交给了一个石家庄叫恒源昊的催收公司来催收我并且不断联系我紧急人，能联系我为什么要联系我紧急联系人呢，查了一下这个公司他们营业执照上的营业范围是信用卡告知服务！请问你们浦发是否有了解，而且他们催收态度非常不好！而且还要声称上门！你们浦发银行跟这家公司什么利益关系不得而知了！上回那个给我发告知书的三方是否有相关的催收资质吗，不是不还，你们浦发</t>
  </si>
  <si>
    <t>2019/10/07 13:25:24</t>
  </si>
  <si>
    <t>之前在MY钱包借款逾期了，有客服联系我让我把本金还上就结清，可是我把本金还完以后就联系不上客服了，过几天又换了一个客服联系我说我有欠款没有还完，我说之前有客服联系我说把本金还上就结清了，我已经给了。</t>
  </si>
  <si>
    <t>2019/10/07 13:25:23</t>
  </si>
  <si>
    <t>投诉人张先生投诉对象新意花,小木钱包涉诉金额4089元问题类型诉求类型投诉详情新意花小木钱包借款2800分四期7天一期要还4089.6，已还3期，本金已还请，已多付200多利息，要求最后一期减免销账。</t>
  </si>
  <si>
    <t>2019/10/07 13:24:46</t>
  </si>
  <si>
    <t>中金支付有限公司联合贷款平台乱扣我银行卡钱。</t>
  </si>
  <si>
    <t>2019/10/07 13:24:45</t>
  </si>
  <si>
    <t>本人在平台申请了极速熊猫，申请金额4000元，分3期每月4号还款，系统显示总还4923.66元，由于最近工作调换，本人资金周转困难逾期了！本人查看合同借款利息和实际也不一致！每天电话轰炸，未经过本人允许爆通讯录！今天接到电话直接说我诈骗，对本人进行辱骂，扬言说我通讯录里的电话他们挨个打帮我去要钱，还报出我通讯录存的名字！嚣张跋扈！对本人和亲朋好友严重骚扰，根本没有给我协商的余地，我恳求贵公司宽数到20号还款遭到拒绝！要求停止骚扰，道歉，调整利率协商解决，下架产品！。</t>
  </si>
  <si>
    <t>2019/10/07 13:24:40</t>
  </si>
  <si>
    <t>我在玖富万卡上借了3400分了36期今天我一看利息高的吓人，那时借的时候利息显示很底可是放了款利息就高了，今天我忘还款了今天客服威胁我，我都说了我马上处理，客服还威胁我。</t>
  </si>
  <si>
    <t>2019/10/07 13:24:37</t>
  </si>
  <si>
    <t>投诉人徐海涛投诉对象有赚区块链,郑州奥趣商贸有限公司涉诉金额400元问题类型诉求类型投诉详情有赚区块链&amp;lt;br&amp;gt;买了矿机，不叫买矿石，我朋友的直接上不去了，客服根本不加人。</t>
  </si>
  <si>
    <t>2019/10/07 13:23:28</t>
  </si>
  <si>
    <t>10月7号登录激活，再一次查询本人人行征信，又是恭喜获得额度4500，此神操作真恶心，以额度通过来留住客户，确又不给激活，致使本人出现多条该网贷贷前审批人行记录，直接影响了我银行信用卡和车贷产品的审批。</t>
  </si>
  <si>
    <t>2019/10/07 13:23:17</t>
  </si>
  <si>
    <t>九月三十日申请百事普惠网贷，结果在最后一步发现需要扣款，就放弃了，结果今天当时绑定的卡内有钱了，他们又开始扣款了，打客服电话，说我是什么需要评估服务，钱不能退，直接就是恶意扣款，太恶心了。</t>
  </si>
  <si>
    <t>2019/10/07 13:23:10</t>
  </si>
  <si>
    <t>在浦发银行有张65000的信用卡，24万用金，前面都有正常还款，投资失败，资金链断裂，导致逾期，前期还款30期，中途也是还款问题，以致到卡还款，经过与浦发银行信用卡中心联系沟通，目前欠款总额20万多，银行给出方案分3年还清，第1次协商，给出方案是加上利息每月9000多，给出利息是12.4万，第2次协商给出方案是加上利息每个月要还8700多，但还款方式确实无力承受，这样的利息太高了，，三年给出了10多万的利息，如不是实在是出现问题，也不会是想来协商，请浦发银行适当能减免利息，很有意愿来努力工作还款，很诚意的协</t>
  </si>
  <si>
    <t>2019/10/07 13:22:54</t>
  </si>
  <si>
    <t>在平安普惠app里的i贷申请了多笔借款，借款时并不知道被买了保险，并按时还款1年多，最近才发现每期都收取我一两百保险费，违反了国家规定借款不能强制搭售保险，由普惠小贷和光大银行放款，我现在申请提前结清，请退回我交的保险费，用于减免结清费用！。</t>
  </si>
  <si>
    <t>2019/10/07 13:22:12</t>
  </si>
  <si>
    <t>高利贷，下款时还砍头息，已还两期还有剩余的忘协商解决。</t>
  </si>
  <si>
    <t>2019/10/07 13:21:47</t>
  </si>
  <si>
    <t>无缘无故扣费用，自己没有买，就扣卡里的钱，是扣299的，我卡里只有100所以只扣了100打电话给客服说后续还要扣，叫他们把钱退回来也不退，我想让他们解绑银行卡信息。</t>
  </si>
  <si>
    <t>2019/10/07 13:20:09</t>
  </si>
  <si>
    <t>投诉人张先生投诉对象拼多多涉诉金额5000元问题类型诉求类型投诉详情拼多多代付被骗5000元。</t>
  </si>
  <si>
    <t>2019/10/07 13:19:25</t>
  </si>
  <si>
    <t>在360平台，借了一点钱一直都还着，最近一段时间出现了经济状况，然后出现逾期，天天打电话催熟，而且而且特别不好，态度恶劣，然后我把逾期还了1000，还差300多，天天就打电话，而且还微信我要给我的联系人以及村委会打电话，严重影响人的生活。</t>
  </si>
  <si>
    <t>2019/10/07 13:18:18</t>
  </si>
  <si>
    <t>2018年拍拍贷借款14000元分12期，已还9期，因个人资金问题剩余3期未及时进行还款，拍拍贷恶意催收，骚扰通讯录好友，恶意P图起诉书，要求拍拍贷停止骚扰，并且进行道歉。</t>
  </si>
  <si>
    <t>2019/10/07 13:18:14</t>
  </si>
  <si>
    <t>9月三十号的事情，现在扣款了，打电话还说无法退款，太恶心了。</t>
  </si>
  <si>
    <t>2019/10/07 13:18:00</t>
  </si>
  <si>
    <t>投诉人徐先生投诉对象四川天辰联合科技有限公司,鸿运棋牌涉诉金额300元问题类型诉求类型投诉详情前两天在这个平台上充值了300，今天上去了没有了，我问客服他们说我输了，客服现在不说话了。</t>
  </si>
  <si>
    <t>2019/10/07 13:17:39</t>
  </si>
  <si>
    <t>上海造艺、百事普惠，诱导用户获取银行卡信息，欺骗用户签订扣款协议。</t>
  </si>
  <si>
    <t>2019/10/07 13:16:34</t>
  </si>
  <si>
    <t>投诉人 牛女士        投诉对象  美团点评        涉诉金额  0 元    问题类型    诉求类型投诉详情  流氓软件不经审核 店铺谁想认领就认领 多次电话协商去掉商铺 美团都未给去掉 电话不经审核谁想认领就能认领商铺</t>
  </si>
  <si>
    <t>2019/10/07 13:15:00</t>
  </si>
  <si>
    <t>携趣网络技术上海有限公司,通联支付,易小借,造艺技术,通联沪快，莫名的就被扣了299、我都没有弄过他们说的什么软件、说退款还要寄什么身份证复印件去。</t>
  </si>
  <si>
    <t>2019/10/07 13:14:18</t>
  </si>
  <si>
    <t>高利贷，套路贷，虚假宣传，超范围经营，阴阳合同，盗用信息。</t>
  </si>
  <si>
    <t>2019/10/07 13:14:06</t>
  </si>
  <si>
    <t>投诉人 郑女士        投诉对象  好分期        涉诉金额  609 元    问题类型    诉求类型投诉详情  恶意催收。协商还款。不同意还威胁要爆通讯录，发照片去威胁我</t>
  </si>
  <si>
    <t>2019/10/07 13:13:48</t>
  </si>
  <si>
    <t>支付在不知道的情况下也不处理，态度特别不好。</t>
  </si>
  <si>
    <t>2019/10/07 13:13:02</t>
  </si>
  <si>
    <t>我的月光侠分期账单10月4号到期，由于10号才发工资，我就与他们协商说到10号还，他们不肯非要今天两点之前还上不让就要爆我通讯录。</t>
  </si>
  <si>
    <t>2019/10/07 13:12:56</t>
  </si>
  <si>
    <t>投诉人 陈先生        投诉对象  百事普惠,造艺科技        涉诉金额  299 元    问题类型    诉求类型投诉详情  恶意扣款299元、 要求退还。 上海通联支付。 造艺科技。 百事普惠。。。 不退款银监会举报隐私</t>
  </si>
  <si>
    <t>2019/10/07 13:12:49</t>
  </si>
  <si>
    <t>投诉人何女士投诉对象无忧贷涉诉金额2000元问题类型诉求类型投诉详情今天一个说是无忧贷聘请的第三方催收平台，通知我有一笔借款逾期，尽快还款，我说怎么还，他说因为无忧贷严重违规所以app被风控强制下架了，所以app登不了还不了，只能添加他们财务微信转账，我说不行，我只能app还款，其他方式我一律不还，结果他说，他只负责告知，说如果我处理得话，就会上征信，然后还联系亲朋好友协助还款，我就不明白了，都被国家查封了，怎么还能上征信呢，而且本来你们就是714高炮，当时你们该爆通讯录早爆过了，4个月不联系，现在来威胁。</t>
  </si>
  <si>
    <t>2019/10/07 13:12:30</t>
  </si>
  <si>
    <t>我在9月26日在嗨包借款平台借款4500元。</t>
  </si>
  <si>
    <t>2019/10/07 13:12:21</t>
  </si>
  <si>
    <t>投诉人陈先生投诉对象及贷涉诉金额6300元问题类型诉求类型投诉详情说了本人要还款，催收人员说我装有钱，然后暴通信录，发信息辱没我的名声。</t>
  </si>
  <si>
    <t>2019/10/07 13:12:10</t>
  </si>
  <si>
    <t>因改了一下注册地，服务分被重置了，服务分对一名滴滴司机那就是命，没有任何提示说改地址会掉分，改完后一下掉25分，导致现在一整天下来也接不到单，就算空车配合平台调度都接不到，希望恢复我服务分，然后在修改地址应该设提示。</t>
  </si>
  <si>
    <t>2019/10/07 13:11:42</t>
  </si>
  <si>
    <t>25号注册聚福钱包，申请拒绝了我就删了app，谁知道他第二天自动免密扣我银行卡钱，扣了200，，一有钱就扣我现在银行卡也不敢用了，要求造艺退款并将我的账户数据删了。</t>
  </si>
  <si>
    <t>2019/10/07 13:11:00</t>
  </si>
  <si>
    <t>2019年10月7日浦发银行打电话说关于欠款一事家里因生意上出了事情占时无能力全额还款想通过专员分期付款，但是客服人员话语强硬还一直在强调后续去家里找亲戚朋友告知，我告诉客服协商还款她说没有必要家里也真没有那么多我爸妈房子都是我奶奶的我名下更什么都没有把困难也告诉客服了，我很愿意去分期还这比钱，但是就是不同意还一直强调我也不用在还款了就等起诉坐牢吧！。</t>
  </si>
  <si>
    <t>2019/10/07 13:09:04</t>
  </si>
  <si>
    <t>国美易贷内部口子下载链接http://xz.nbpuluo.cn/gmyd01922。</t>
  </si>
  <si>
    <t>2019/10/07 13:08:45</t>
  </si>
  <si>
    <t>2019年9月6日向瑞贷公司申请网贷10500元，一次性扣款2100元，待还本金12812.7元。</t>
  </si>
  <si>
    <t>2019/10/07 13:08:39</t>
  </si>
  <si>
    <t>小象我用了颜值卡和小象钱包，利息刚好百分之36，这我不说什么了，我已经还了几期，现在想要提前结清，客服要我全额归还利息，这合理吗。</t>
  </si>
  <si>
    <t>2019/10/07 13:08:31</t>
  </si>
  <si>
    <t>投诉人田女士投诉对象51人品涉诉金额50000元问题类型诉求类型投诉详情合同贷款金额52500元，实际到账50000元，下款当日还2500元，不到一个月又还2702元，要求平台免去最后两期还款，未下款看不到任何合约，属于欺诈。</t>
  </si>
  <si>
    <t>2019/10/07 13:08:27</t>
  </si>
  <si>
    <t>行为资金没有到账，导致逾期，借贷宝一天管理费是借款的5%，1500就是75块。</t>
  </si>
  <si>
    <t>2019/10/07 13:08:18</t>
  </si>
  <si>
    <t>投诉人 李女士        投诉对象  月光侠分期        涉诉金额  2 100 元    问题类型    诉求类型投诉详情  借款2100去掉收费八百 还要扣除每个月八百多</t>
  </si>
  <si>
    <t>2019/10/07 13:07:33</t>
  </si>
  <si>
    <t>为什么拍拍贷贷四万，还了一年多，每月两千，提前还款还要五万四五千，不是高利贷吗，逾期几天就爆通讯录，影响名誉，影响朋友，短信轰炸，无法无天了吗。</t>
  </si>
  <si>
    <t>2019/10/07 13:06:57</t>
  </si>
  <si>
    <t>米米罐借款1200元，一个月还款1650元，只要求还本金以及合理利息。</t>
  </si>
  <si>
    <t>2019/10/07 13:05:44</t>
  </si>
  <si>
    <t>借3000七天还一期，一共需要还4600，已经还清本金，。</t>
  </si>
  <si>
    <t>2019/10/07 13:05:30</t>
  </si>
  <si>
    <t>运费险已出单，退货后由个人先行垫付了运费，卖家确认收货后,众安保险拒绝赔付运费险。</t>
  </si>
  <si>
    <t>2019/10/07 13:05:00</t>
  </si>
  <si>
    <t>9月初就申请退款了一直不予处理，打了400客服也没有用，这公司太坑了。</t>
  </si>
  <si>
    <t>2019/10/07 13:04:39</t>
  </si>
  <si>
    <t>订错票，无法乘坐，已经不在本地，无法网络退票。</t>
  </si>
  <si>
    <t>2019/10/07 13:04:36</t>
  </si>
  <si>
    <t>投诉人陈先生投诉对象叉叉IPA精灵,叉叉助手,广州游顺网络科技有限公司涉诉金额108元问题类型诉求类型投诉详情叉叉助手无法使用，好久了都不货款，所以来比联名投诉。</t>
  </si>
  <si>
    <t>2019/10/07 13:04:19</t>
  </si>
  <si>
    <t>投诉人钟先生投诉对象招联金融涉诉金额723元问题类型诉求类型投诉详情短信群发通讯录恶意骚扰通讯录好友协商还款态度恶劣威胁家人朋友。</t>
  </si>
  <si>
    <t>2019/10/07 13:04:15</t>
  </si>
  <si>
    <t>投诉人刘先生投诉对象玖富,平安普惠涉诉金额50000元问题类型诉求类型投诉详情正常申请贷款，点击后自动放款了，在玖富万卡借了20000多元，等放完款后显示欠款快四万了，自己看了下里面有保险费快两万元，这是在变向收取高额利息，我刚用了一个月，想要提前结清的话也必须得把保险费用都还上要还四万多。</t>
  </si>
  <si>
    <t>2019/10/07 13:04:03</t>
  </si>
  <si>
    <t>中国阳光财险,阳光保险集团,中国阳光财产保险股份有限公司，本人老婆，在广州阳光财产保险股份有限公司办理一笔110000元的贷款，分36期，每期还4771.48元，已经还了25期，出现逾期时，受到阳光财产保险股份有限公司请的第三方催收，电话，短信，微信去骚扰无相关的亲戚朋友，以这样的手段去威胁还款，但是我问了老婆拿合同出来看时，她说阳光那边没有给她合同，只是给了一张还款表，当时办下11万贷款时，还被收走了将近一万元的手续费，现在这张还款表上写着，每月还款的本金之外，还有利息，还有每月1375元的保险费，这是什</t>
  </si>
  <si>
    <t>2019/10/07 13:03:56</t>
  </si>
  <si>
    <t>投诉人许先生投诉对象融360,钱大侠涉诉金额2000元问题类型诉求类型投诉详情本人在2018年7月至2019年2月间，向融360贷款平台的钱大侠有钱贷借款1次，每次借款2000，，变相砍头息20%，所购商品均为三无商品，3.15后了解这是违规放贷，现要求归还本人变相砍头息部分400元，本人愿意归还已购三无商品，请贵平台帮助保障受害借款人的正常合法权益，为受害人主持公道！。</t>
  </si>
  <si>
    <t>2019/10/07 13:02:15</t>
  </si>
  <si>
    <t>白条分期平台显示购买会员会有5000额度！但是购买完成之后！才发现他自己平台没有贷款的能力！就是一个第三方平台！第一退款是客服让我申请5个平台只要有APP的名字和不下款的字眼就可以！第二次打电话说我已经用了他们平台的一些服务！到现在就是各种理由不给我退款！。</t>
  </si>
  <si>
    <t>2019/10/07 13:01:50</t>
  </si>
  <si>
    <t>账号可以封，钱你要给我啊撤销处罚，请官方给个合理的解释。</t>
  </si>
  <si>
    <t>2019/10/07 13:00:00</t>
  </si>
  <si>
    <t>之前投诉过，然后客户说给我退款，让我先结案才能退。</t>
  </si>
  <si>
    <t>2019/10/07 12:59:46</t>
  </si>
  <si>
    <t>投诉人刘女士投诉对象奥园地产,奥园翡翠东湾,奥园地产开发商涉诉金额3000000元问题类型诉求类型投诉详情两年前购买奥园地产开发商开发的深圳坪山新区楼盘，至1019交楼日期未准时交楼，交楼后质量远远不达标，完全无法验收收楼，答应整改，好几个月过去了，还未整改，部分小整改已草草应付了事，并无法给出完整整改好日期。</t>
  </si>
  <si>
    <t>2019/10/07 12:59:38</t>
  </si>
  <si>
    <t>1.2018年年底于钱站网贷平台多笔借款结清，未提供还款完成的凭证，现于钱站平台分别有8000元，8000元，10000元借款项目未结清2.曾经历有客服人员在还款日上午打来电话催收，态度恶劣且明确要求于当日10点前还款，然而平台并为给予相应服务不说客服人员无视合同，无视法规法律，自说自话，强制催收行为配得起要服务费吗，，但是合同上标注还款时间为还款日211点前，既然收取服务费用，应提供相应服务服务，然而平台并为给予相应服务不说，客服人员无视合同，无视法规法律，自说自话，强制催收行为配得起要服务费吗，当时还不</t>
  </si>
  <si>
    <t>2019/10/07 12:59:20</t>
  </si>
  <si>
    <t>我是2016年9月在三亚机场候机厅内办理的朴澜商务的HAPPYLINE的说是机场的vip卡，因为是在候机厅被类似机场的工作人员推荐，但是退不退要公司说让打投诉电话卡上的4008167444转6，投诉电话根本打不进去，所以花费了998元，说是998办卡卡里还会多送1000元，并成为许多机场的vip客户，可以购买全网最低票价，并且全额抵扣票价，享受多个机场接机、VIP通道等服务，结果过了几个月，我第一次通过这个渠道订机票时发现价格比去哪儿或携程上面的确实便宜几十块，但是卡上的抵用金只能抵几十块，是按照比例算的，</t>
  </si>
  <si>
    <t>2019/10/07 12:58:35</t>
  </si>
  <si>
    <t>借款4000，15天一期，共四期，总共要还6397，本人要求四期销账！。</t>
  </si>
  <si>
    <t>2019/10/07 12:58:29</t>
  </si>
  <si>
    <t>跟闪银之前协商好的，相关人员没有处理好事情，现在请他们尽快与我取得联系，好处理账单方面的问题。</t>
  </si>
  <si>
    <t>2019/10/07 12:58:07</t>
  </si>
  <si>
    <t>投诉人张先生投诉对象嗨钱网涉诉金额3000元问题类型诉求类型投诉详情这个自称是嗨钱的客服，我已经说的很清楚了，我对公还了之后，你们不给销账，app始终挂着我的逾期，我让你们app销账就这么困难吗，你们有空天天打我电话，没空解决app的问题，自从你们骗了我，说可以销账，我还了几期后，几个月过去了，当初承诺的销账呢，逾期不是我们客户造成的，是你们自己的问题，你们不但解决不了，还暴力催收，骚扰我的生活，我已经和当地派出所报警，如果你们还是持续骚扰，我就投诉到315。</t>
  </si>
  <si>
    <t>2019/10/07 12:57:56</t>
  </si>
  <si>
    <t>平台申请3000元网贷，银行卡实际到账3000元，查看借款协议发现借款本金居然为3990元，这不是阴阳合同这是什么，总借款共分3期来还，第一期为1788.99，第二期为1788.99，第三期为1789.01，共计5366.99，远超国家法律规定利息24%，本人已还1期，由于国庆节假日期间资金周转困难，逾期3天，钱站未通过本人允许，一打电话来就态度恶劣，并不与我协商直接爆通讯录，严重影响我的工作关系和朋友关系，要求马上停止暴力催收，并要求钱站，按照3000元本金计算并至今日24%内的利息，本人将一次性将剩余本</t>
  </si>
  <si>
    <t>2019/10/07 12:57:41</t>
  </si>
  <si>
    <t>网赚骗子，拉黑了她，不同合作就直接谩骂他人，太过分了，。</t>
  </si>
  <si>
    <t>2019/10/07 12:57:37</t>
  </si>
  <si>
    <t>投诉人马先生投诉对象时光分期涉诉金额6500元问题类型诉求类型投诉详情本人2019年7月5日申请时光分期借款6500元，借款合同显示综合年化利率9%，咨询服务合同显示每月服务费高达4.7046%，就此计算综合年化利率超过60%，远远超过国家规定的红线36%，要求按剩余本金提前结清。</t>
  </si>
  <si>
    <t>2019/10/07 12:57:28</t>
  </si>
  <si>
    <t>投诉人朱先生投诉对象淘宝闲鱼涉诉金额975元问题类型诉求类型投诉详情未收到货客服不给退款，定性竟然是是已处理这几个字，客服自己处理的未收到货客服不给我退款，客服自己还不认。</t>
  </si>
  <si>
    <t>2019/10/07 12:56:45</t>
  </si>
  <si>
    <t>投诉人张先生投诉对象白条分期涉诉金额249元问题类型诉求类型投诉详情在10月五号下载了白条分期软件，进去之后要我绑定身份信息并按要求绑定了银行卡信息，然后有额度了，准备下款的时候，说什么要开通会员才能下款，结果开通会员之后，下款马上变成了通过平台下载其他软件借款，结果目前为止，一项VIP权利都未曾使用，由于白条分期平台错误的引购买了白条分期平台VIP，一次未使用，并按照要求申请退款，现在两天了，客服电话打不通，平台一直显示前面排队的人，无法联系客服，求求贵平台帮帮忙，全身上下唯一的200多却被坑去了249。</t>
  </si>
  <si>
    <t>2019/10/07 12:56:25</t>
  </si>
  <si>
    <t>在金铂超市买了两块科尔沁牛肉，是臭的，去了超市他们不承认肉有问题，我让他们吃，他们不敢吃，图片视频上传不了，提示格式有问题，我有视频录音图片。</t>
  </si>
  <si>
    <t>2019/10/07 12:55:27</t>
  </si>
  <si>
    <t>投诉人 张先生        投诉对象  掌众金服        涉诉金额  8 000 元    问题类型    诉求类型投诉详情  在闪电借款多次 每次都要购买商品转让卡 要么就是黑卡 借款1000要买200多黑卡或者商品</t>
  </si>
  <si>
    <t>2019/10/07 12:55:02</t>
  </si>
  <si>
    <t>本人明确表示10.8日立即还款，招联金融催收人员不依不饶，不肯协商,仍执意表示联系骚扰我家人和单位，挂电话时威胁将会让别的人员和我说，不知会对我造成什么人身或权益损害，国家现正开展打黑除恶行为,请有关单位介入处理，谢谢。</t>
  </si>
  <si>
    <t>2019/10/07 12:54:08</t>
  </si>
  <si>
    <t>德邦物流强制收取保价费，无任何法律依据，在消费者不知情的情况下，内部员工私自操作，打客服电话，客服工作人员言为了客户货物安全着想，建议客户保价，但是后期又有客服打电话过来说，有些费用是德邦规定必须要收取的，其中之一就有保价费，现要求德邦退还强制收取的保价费用，虽保价费用钱不多，但是介于我国人口众多，每个消费者假如用德邦都要强制收取保价费的话，积少成多，对于德邦也是一笔十分可观的收入，作为消费者我们不再沉默，具体请看下图。</t>
  </si>
  <si>
    <t>2019/10/07 12:53:29</t>
  </si>
  <si>
    <t>就是，到账只有2000左右，但是利息已经很高了，现在还经常打骚扰电话，影响了正常生活。</t>
  </si>
  <si>
    <t>信用卡逾期，因资金周转困难，之前主动找交行信用卡中心协商联系，同意先还有部分，剩下的账单延期到下一期，交行客服那边说给我反馈，会有人联系我，后面联系我的人态度特别恶劣，说让我交贫困证明和残疾证明，现要求交行客服道歉，再处理后续事情，要不然就直接拿着法院传单来找我。</t>
  </si>
  <si>
    <t>2019/10/07 12:53:26</t>
  </si>
  <si>
    <t>莫名其妙扣我卡里的钱，说是什么会员费，但是我并没有下款成功，而且我毫不知情。</t>
  </si>
  <si>
    <t>2019/10/07 12:53:22</t>
  </si>
  <si>
    <t>投诉人刘先生投诉对象中国联通涉诉金额0元问题类型诉求类型投诉详情自从5G出来之后，联通网速连网页都打不开多次打电话被告知网速正常。</t>
  </si>
  <si>
    <t>2019/10/07 12:53:21</t>
  </si>
  <si>
    <t>信息科技有限公司涉诉金额8000元问题类型诉求类型投诉详情借款8000，申请成功之后，贷款金额在app首页多了两万，贷款申请时，工作人员回访电话，全部都在核对信息。</t>
  </si>
  <si>
    <t>2019/10/07 12:53:18</t>
  </si>
  <si>
    <t>买买乐购客服人员暴力催收，骚扰家人爆我通讯录。</t>
  </si>
  <si>
    <t>2019/10/07 12:53:01</t>
  </si>
  <si>
    <t>投诉人刘女士投诉对象智行涉诉金额38元问题类型诉求类型投诉详情在智行小程序提交了一次抢票订单，结果今天同时扣款两单，同一人同一车次出票两次，都是14.5元的二等座票，但是一单扣款14.5一单扣款24.5元。</t>
  </si>
  <si>
    <t>投诉人袁先生投诉对象我来数科涉诉金额2481元问题类型诉求类型投诉详情2019年2月3日借款我来贷24700元，现已经还款至第8期，之前未发逾期；情况一：因国庆节前手机及钱包丢失，导致逾期5天，本人已通过电话告知逾期原因，并承诺10月8日完成补卡后及时还款，我来贷外包催收人员，称自己工号为2018，手机号为178******65，暴力催收，通过短信及电话，骚扰、恐吓我亲人及朋友，情况二：伪造另外一笔逾期欠款，同时发送两笔欠款短信，导致我名下无故多出一笔1070元的欠款，本人与催收人员沟通，要求出具我来数科的</t>
  </si>
  <si>
    <t>2019/10/07 12:52:36</t>
  </si>
  <si>
    <t>借款40000，合同金额44900，而且是刚开始本金多，越往后本金越少。</t>
  </si>
  <si>
    <t>2019/10/07 12:52:18</t>
  </si>
  <si>
    <t>投诉人朱先生投诉对象淘宝闲鱼涉诉金额975元问题类型诉求类型投诉详情未收到货客服不给退款，定性竟然是已处理这几个字，客服自己处理的未收到货客服不给我退款，客服自己还不认，后来客服又说重新提交，你都已经判定未收到货，还要我提交什么呢。</t>
  </si>
  <si>
    <t>2019/10/07 12:51:02</t>
  </si>
  <si>
    <t>我在2019年9.6日申请的钱站APP贷款2000元，分三个月进行还款，2019年10.8日是还款第一期，我10月7日登陆APP准备还款，发现还款金额是1314.44元，那么三期就是3943.32元，发现不对劲，于是查看借款合同，合同上面写的是借款2600元，可是为什么我银行卡入账只有2000元，并且合同4.1条写有服务费71.95元+各期服务费0.59元，合同第4.2.1条写有技术支持服务费39.9元其他并无费用，我想问我这借款2600元是怎么来的，表格如下图，合同最后一条，也就是附件一的第五小条写的清清</t>
  </si>
  <si>
    <t>2019/10/07 12:50:52</t>
  </si>
  <si>
    <t>闪银奇异至尊贷砍头息多少我不记得了，舜舜还有哼哼，借一千砍头息199，30天归还1030。</t>
  </si>
  <si>
    <t>2019/10/07 12:50:44</t>
  </si>
  <si>
    <t>我家小孩用我的手机充值打牌游戏，一看充值的全部是中国电信的，话费充值，充值的都是100，100的近1800块左右，电信公司怎么能与这样的平台合作。</t>
  </si>
  <si>
    <t>2019/10/07 12:50:23</t>
  </si>
  <si>
    <t>本人不是分期乐借款人，为何频繁给我打电话，现在已经影响到我工作生活，精神状态极度低落，如分期乐不作出合理解释将以法律途径解决。</t>
  </si>
  <si>
    <t>2019/10/07 12:50:11</t>
  </si>
  <si>
    <t>已经还了一部分还继续威胁恐吓给其他人发短信恐吓。</t>
  </si>
  <si>
    <t>2019/10/07 12:49:56</t>
  </si>
  <si>
    <t>高利息了，实际到账情况和平台还款不一样，要求多还款，已经还了款进去还要还。</t>
  </si>
  <si>
    <t>2019/10/07 12:49:37</t>
  </si>
  <si>
    <t>如果是银行人员为什么电话打回去就是打不通是空号。</t>
  </si>
  <si>
    <t>2019/10/07 12:49:30</t>
  </si>
  <si>
    <t>本人与早上在直播间观看直播有一个点歌服务，然后就被这个恶心官方封禁七天，请问我碰触什么你们平台规则了吗。</t>
  </si>
  <si>
    <t>2019/10/07 12:49:00</t>
  </si>
  <si>
    <t>本人今天己和小当家联系协商还款成功、而且小当家张经理已承诺还完1565元三笔合同全部结清、可还完后又有崔收来威胁还款、这是小当家的做法吗、只能按警方说的办了。</t>
  </si>
  <si>
    <t>2019/10/07 12:48:55</t>
  </si>
  <si>
    <t>5月份打客服不能提前还款，提前还款利息费不能减少，实数霸王条款，再来本人借款的利息高达年利率的百分之30以上，还剩本金2749.97,分三期利息费高达458.79，超过国家规定，请尽快协商处理，本人在人民银行举报360平台违规等行为。</t>
  </si>
  <si>
    <t>2019/10/07 12:48:54</t>
  </si>
  <si>
    <t>投诉人赵女士投诉对象淘宝卖家xuehuwangsnow涉诉金额130元问题类型诉求类型投诉详情本人在淘宝买入东方今品草本庄园的“去除瘊子脖子丝状扁平疣必治脸部面部神器去疣灵颈部日本药膏正品”1瓶，经过使用一段时间后，无任何作用，而且导致患疣处皮肤破溃后留疤，图片中三个都是疣，其中一个没留疤，但是脱痂后一点变化都没有，联系淘宝客服回电，说卖家没有写明“无效退款”，不予本人处理！什么逻辑，消费者就这样被坑了吗！！我也没要赔偿，就是退货退款！，而且联系卖家后，开始说申请退货吧，我就回复：好的，谢谢，之后卖家又把申</t>
  </si>
  <si>
    <t>2019/10/07 12:48:47</t>
  </si>
  <si>
    <t>恶意催收欺诈辱骂、各种提到家人怎么滴怎么滴，还说要寄元宝蜡烛香来我家。</t>
  </si>
  <si>
    <t>2019/10/07 12:48:06</t>
  </si>
  <si>
    <t>借款实际金额是46700，合同金额则写成57600，我签订了，不代表合同合法，我们俩之间签订了一个违法的协议，砍头息的行为是违法的，做成服务费，我本人签订了合同，也改变不了这是违法行为，法律规定的保护利息是24，24-36是自愿范围，我本人从未签订过自愿按照36来还款，而基于协议违法的前提下，更是不能以协议为准，另外你协议上的利息写的多少，现在按36算，我不是不还款，我也不是不还利息，我按照法律规定的合法利息还款，客服以无法告知为理由，不告知计算方式，所谓提前还款，想知道他们怎么算的，就是没权限，想对接法律</t>
  </si>
  <si>
    <t>2019/10/07 12:47:17</t>
  </si>
  <si>
    <t>骗说体验30天30天后自动续费一年198元，然后不退款，希望可以帮我解决，谢谢。</t>
  </si>
  <si>
    <t>投诉人 崔先生        投诉对象  智行        涉诉金额  150 元    问题类型    诉求类型投诉详情  买的汽车票不给退票 不给退款，我买错票了。联系不到客服。</t>
  </si>
  <si>
    <t>2019/10/07 12:46:31</t>
  </si>
  <si>
    <t>钱伴和及贷，我都逾期一天，我也表明说我现在没办法还，要等到11号发工资才能还，还一直微信电话给我，严重影响到我个人工作及生活，还威胁我要打给亲友，爆我通讯录！本人现在上班也没心思，担惊受怕！。</t>
  </si>
  <si>
    <t>2019/10/07 12:46:29</t>
  </si>
  <si>
    <t>打电话我未接到，发信息辱骂我，说我有种不要还，还了出门被车撞死。</t>
  </si>
  <si>
    <t>2019/10/07 12:46:28</t>
  </si>
  <si>
    <t>因误点击短信链接支付2000元且本人并未去过山东也不知此公司的存在也没有任何往来，现无法联系次公司，目前本人已向12315有关部门进行投诉，请相关部门调查此公司是否正规为何会出现短信链接诱导支付，并退回支付金额。</t>
  </si>
  <si>
    <t>2019/10/07 12:45:48</t>
  </si>
  <si>
    <t>不管是微信还是支付宝都没有开通云视听极光自动扣费，我不知道它是怎么两次从我两张银行卡里扣款的，连关闭自动扣费都关闭不了，这是要扣我一辈子。</t>
  </si>
  <si>
    <t>2019/10/07 12:45:11</t>
  </si>
  <si>
    <t>白条分期诱导开会员后无效借款多人被骗，建议封停，里面的会员福利全部是骗钱的东西。</t>
  </si>
  <si>
    <t>2019/10/07 12:45:09</t>
  </si>
  <si>
    <t>在侠侣亲子游上购买了一张传奇水疗的门票，因商品描述中明确说明可以有偿过夜的服务，但是在时间使用过程中，店铺并没有此服务，因此造成无法使用该门票，所以要求申请退款，但侠侣亲子游平台霸王条款，补允许退款，所以申请投诉。</t>
  </si>
  <si>
    <t>2019/10/07 12:43:39</t>
  </si>
  <si>
    <t>2019年8月8日在钱伴app中借款13100元分12期已经还款2期共2969.34元，提前结清还要14372.36元，利息太高无法接受，希望可以协商减免后续利息。</t>
  </si>
  <si>
    <t>2019/10/07 12:42:45</t>
  </si>
  <si>
    <t>小赢卡贷威胁我说要上门，让我准备身份证复印件，照片和钱，高利贷这么张狂。</t>
  </si>
  <si>
    <t>2019/10/07 12:41:58</t>
  </si>
  <si>
    <t>10月4号陪妈妈去泰兴中国黄金店看首饰,妈妈打算把自己原来的6.58克黄金手链换一个手镯，拿到发票后,发票上写只能换同类商品,而且还得比标签价高20%，否则收10%的手续费，最后我花了9400买了个15.229克的黄金，单价600多一克。</t>
  </si>
  <si>
    <t>2019/10/07 12:40:48</t>
  </si>
  <si>
    <t>玖富，收取高额分期砍头息，现在本人已经还完资方的钱，想和玖富减免后期的分期费用，玖富不肯，借款6400，没有玖富换720，分期费用都有170，希望相关部门严查。</t>
  </si>
  <si>
    <t>2019/10/07 12:40:43</t>
  </si>
  <si>
    <t>在钱站复借一笔1100的借款，实际到账也是1100，合同金额却是1793，分三期进行还款，每期是609，这不是高利贷是什么！！最后一期麻烦协商减免部分！！！。</t>
  </si>
  <si>
    <t>2019/10/07 12:40:24</t>
  </si>
  <si>
    <t>因为和对象分手，就在小鹿情感咨询了怎么挽回对象，咨询的导师在微信发了链接要求付款，付完钱后我不想挽回了，因为我个人欠款很多，负债的情况下，我不想去挽回了，所以我要求退款，但对方拒绝退款，说我要求退款最后会人才两空，他们平台上写着不满意48小时内退款，到现在各种理由借口推脱，不予退款。</t>
  </si>
  <si>
    <t>创造与魔法游戏直接禁言30天客服和工作人员不给解除禁言。</t>
  </si>
  <si>
    <t>2019/10/07 12:39:51</t>
  </si>
  <si>
    <t>我8月份借款3474元，借款50天，却要还款5890，远远超过了高利贷，我希望平台能退给我2200，收取正常利息。</t>
  </si>
  <si>
    <t>2019/10/07 12:39:19</t>
  </si>
  <si>
    <t>投诉人樊钊投诉对象MY钱包涉诉金额4000元问题类型诉求类型投诉详情在我积极协商的情况下还骚扰我朋友让我朋友家人生活受到影响。</t>
  </si>
  <si>
    <t>2019/10/07 12:38:50</t>
  </si>
  <si>
    <t>投诉人李招春投诉对象滴滴出行涉诉金额40元问题类型诉求类型投诉详情前天接到我朋友滴滴司机袁水明赣C90T06的老婆从科伦大道去龙家巷，车上有录音聊天，因为是一起跑车的兄弟老婆所以我结束订单一个起步价，然而今天滴滴公司竟然从我钱包扣罚40.76元，然后发短信我说线下交易，真的是要钱不要脸，平台有核实吗。</t>
  </si>
  <si>
    <t>2019/10/07 12:37:56</t>
  </si>
  <si>
    <t>使用如期分期APP借款12800元，每个月还款1266元，该APP委托天下信用违规收取高额砍头息，高达1216元，直接从银行卡里划走，目前算以来利息已经超过国家法律要求，属于违法高利贷行为，必须全部退还。</t>
  </si>
  <si>
    <t>2019/10/07 12:36:43</t>
  </si>
  <si>
    <t>本人因最近资金需求，在网上寻求贷款，下载一个可提供贷款的APP，上去之后，按提示填写信息，以为能借到钱，谁知填完之后要求先付服务费296元，于是本人未付并卸载了APP，谁知2日过后，小浦优客自动从本人账户扣款296元，本人于是准备重新下载APP，下载之后APP一直登录不上去，多方查询，得知这是一个黑平台，此行为属于恶意侵占，希望能及时退款。</t>
  </si>
  <si>
    <t>2019/10/07 12:35:27</t>
  </si>
  <si>
    <t>免费订阅3天，今天早上没有任何提示自动扣费了。</t>
  </si>
  <si>
    <t>2019/10/07 12:34:51</t>
  </si>
  <si>
    <t>信而富放款要先购物后放款，变相收取砍头息，违反相关规定。</t>
  </si>
  <si>
    <t>2019/10/07 12:34:39</t>
  </si>
  <si>
    <t>我跟他们说了会还的今天可它们不打我紧急联系人！就是打我通讯录里的人谁授权给你们的。</t>
  </si>
  <si>
    <t>2019/10/07 12:33:54</t>
  </si>
  <si>
    <t>立借app隶属公司不具有下贷款经营权，而且贷款利率高达144％多，前期明确还款计划，下款后还款计划不合理，收取费率也不符合国家规定，本意协商还款计划以及利率，但客服人员态度恶略不进行协商，未经个人同意私自泄露本人信息，骚扰我的家人，先要求立借app所属公司负责人调整借款利率符合国家规定，立刻停止对家人的骚扰。</t>
  </si>
  <si>
    <t>2019/10/07 12:33:46</t>
  </si>
  <si>
    <t>2018年12月，因为个人原因接触714高炮，到手1050块钱7天就得还1510块钱，到手1200块钱7天就得还款1920块钱，合利宝支付有限公司和山西忻州的电信分公司分别从我账户扣款1510块钱和1920块钱，为非法高利贷提供支付渠道，希望有关部门能够还我一个公道。</t>
  </si>
  <si>
    <t>2019/10/07 12:33:05</t>
  </si>
  <si>
    <t>本人于2019年七月二十四日在火影帮借款3600、实际到账金额2628、平台说剩下的钱是打赏给投资方的、加速放款用的、1.通过网页下载的火影帮，下载链接huoyingbang.com2.需要支付共计972息费，借款前只看到三十几块利息跟分期费用3.期限15天4.贷款通过第三方支付发放，富友支付扣费5.催收打电话，催我还全款，还说找谁都不好使。</t>
  </si>
  <si>
    <t>2019/10/07 12:33:03</t>
  </si>
  <si>
    <t>借款15000到账15000然后直接扣除1500。</t>
  </si>
  <si>
    <t>2019/10/07 12:32:56</t>
  </si>
  <si>
    <t>办的联通宽带业务，赠的电视机顶盒，无缘无故就被小沃科技有限公司收取两个月费用，共58元，平时都不看电视，导致网络欠费停网了，这不是存在隐蔽收费吗，还有宽带号06352130187，相关联通经营者请查一下，2月份开始办一年的宽带，结果说我欠8.9月份的宽带60多块钱，你们这不是逗我。</t>
  </si>
  <si>
    <t>2019/10/07 12:32:42</t>
  </si>
  <si>
    <t>本人于2018年12-25日在你我贷平台借款12000元，分12期，，第一期还款2109元，第二期还款2102元，第三期还款1216元，第四期到第八期每期还1210元，本金已经还够，但由于最近资金实在紧张，短期内无偿还能力，有还款意愿，你我贷客服给我打电话让我还款口气相当不好，，今天下午客服又给我打电话，说要上门家访，让我把地址给他说了，，工地工程款要不回来到现在还了好几十万的债务，，包括今年过年的时候陷入714高炮借了5000左右还了快二十万进去，我也一直在想朗朗乾坤，，青天白日的为什么让这些王八蛋在这里</t>
  </si>
  <si>
    <t>2019/10/07 12:31:55</t>
  </si>
  <si>
    <t>投诉人 胡女士        投诉对象  小花钱包        涉诉金额  9 000 元    问题类型    诉求类型投诉详情  希然不要联系通讯录。协商处理。会尽快处理</t>
  </si>
  <si>
    <t>2019/10/07 12:31:02</t>
  </si>
  <si>
    <t>10月3日，本人因个人资金问题未能按时还款，第二天中午钱伴平台催收人员来电，不管本人身边是否有亲朋好友，直接要求立即还款，不给任何协商的余地，更威胁说当日中午12点不还款则后果自负，本人当日就主动联系钱伴客服申请延期，未得到明确的回复，10月7日上午，本人收到钱伴平台发来的骚扰短信，夸大其词，恶意加大钱款金额，不知身边亲朋好友是否已受其影响，特来求助贵平台彻查此等不良行为，还网贷用户一个公正。</t>
  </si>
  <si>
    <t>我在美团上借了6000元钱生活费，由于现在资金周转不过来，之前都能如约还款，这两个月我资金周转不过来，美团就一直打爆我的通讯录，不停的骚扰我的家人和朋友，希望美团能停止这种行为。</t>
  </si>
  <si>
    <t>2019/10/07 12:30:04</t>
  </si>
  <si>
    <t>骚扰我的朋友，家人，威胁恐吓，把利息减免，还款，075536864344，07302735139，075536864326，07566340416，这些手机号骚扰。</t>
  </si>
  <si>
    <t>2019/10/07 12:29:52</t>
  </si>
  <si>
    <t>投诉人 陈女士        投诉对象  钱站,华夏银行        涉诉金额  4 000 元    问题类型    诉求类型投诉详情  超利贷，砍头息，下架，处罚，并且做出解释</t>
  </si>
  <si>
    <t>2019/10/07 12:29:49</t>
  </si>
  <si>
    <t>投诉人 傅女士        投诉对象  马上消费金融        涉诉金额  639 元    问题类型    诉求类型投诉详情  你既然给我扣了款账单账单是不是该更新 不然我如何操作还款</t>
  </si>
  <si>
    <t>2019/10/07 12:29:40</t>
  </si>
  <si>
    <t>我来贷借款15000元，分12期，每期还款1699.95元，还款20399.4元。</t>
  </si>
  <si>
    <t>2019/10/07 12:29:07</t>
  </si>
  <si>
    <t>本人18年8月在玖富万卡借款15000元，月还866.67元，已还12期，共计10040.04元，现在还需还款20834.64元，也就是说我借款15000元，共计需要还款30874.68元，这不是高利贷是什么，表面利率没超过，36%，实际利率超过55%，要求降低到实际年化利率24%以内，并且退还搭售的保险费用，否则继续投诉至保监会，银监会，北京金融管理局等单位！本人在玖富还有几笔借款，算下来都差不多，先给我解决这一笔，再说接下来的处理。</t>
  </si>
  <si>
    <t>2019/10/07 12:29:06</t>
  </si>
  <si>
    <t>也根本联系不到人，只有一个邮箱，无论发多少邮件，就是不给回复。</t>
  </si>
  <si>
    <t>2019/10/07 12:27:41</t>
  </si>
  <si>
    <t>投诉人 黄先生        投诉对象  嘉联支付        涉诉金额  519 元    问题类型    诉求类型投诉详情  嘉联支付POS机代理商分润 不给提现了.</t>
  </si>
  <si>
    <t>2019/10/07 12:27:21</t>
  </si>
  <si>
    <t>事情是这样的，我于2019年9月底在捷信公司办理了一笔消费贷款，当时是用于扩大生意，金额为25000，到手金额为20000分12期还款每期还款1259左右，已经还了10期了，现在因为被电信zhapian，导致我现在暂时没有办法还出，我并不是恶意逾期，恶意拖欠，逾期的期间一直在跟客服协商延时还款的事情，也谢谢客服给予时间，这边因为出了这事情导致几个平台逾期，被爆了通讯录，现在非常困难的筹钱了，现在就等新工作的工资发放了，也在前几天和捷信公司专员协商过，停催的问题，这边专员也答应说停催，可是今天催收电话还是不依</t>
  </si>
  <si>
    <t>2019/10/07 12:26:15</t>
  </si>
  <si>
    <t>投诉人 李龙        投诉对象  魔域爬年        涉诉金额  200 000 元    问题类型    诉求类型投诉详情  我输的最多是3月10多万 每个月都会输几万几千的 有这个赌博在 戒不掉这个瘾 希望除掉这赌博平台 不要在害人 我欠朋友10多万 网贷几万 一身的债 现在有好多人搞美服去了 10几分钟输10万左右很正常 希望领导重视 我想过正常人生活 就是戒不掉 输掉的慢慢还 我也不指望退我 我就希望游戏里不要有这个赌博平台就行了</t>
  </si>
  <si>
    <t>2019/10/07 12:25:24</t>
  </si>
  <si>
    <t>本人因上月更换工作，工资发放日对不上还款日，提前与马上客服咨询，说我没买灵活还款这项服务无法更改，无奈之下想着工资发放就立即处理，上月逾期罚息高达四百多，也在聚投诉投诉过，一直没给答复，也不给协商还款的机会，摆明了就是要收取逾期费，这就是典型的高利贷，逾期一月罚息高达九百，每期还款才1100多，罚息马上就比本金多了，如果马上消费不减免本人是不会处理还款事宜的。</t>
  </si>
  <si>
    <t>2019/10/07 12:25:20</t>
  </si>
  <si>
    <t>平台无法更改银行卡，本人银行卡遗失！跟平台沟通，平台客服要我线下支付宝还款，处于安全问题！无法相信线下还款支付！客服叫微信搜索也是支付宝账号！一直强调是正规平台，正规平台无法更改银行卡吗，导致的逾期费用格外高，本人也无法接受！而且平台没有经过本人同意私自打本人通话记录和通讯录的亲朋好友！给本人生活造成严重影响！。</t>
  </si>
  <si>
    <t>2019/10/07 12:24:29</t>
  </si>
  <si>
    <t>投诉人张先生投诉对象百事普惠涉诉金额299元问题类型诉求类型投诉详情本人在百事普惠申请个人贷款，提前扣取299元人民币作为评估费用，匹配需要1-2个工作日，这都十天了还是一样的回复，我需要退款，不申请了。</t>
  </si>
  <si>
    <t>2019/10/07 12:23:21</t>
  </si>
  <si>
    <t>在还呗平台注册并填写了个人资料，初审被拒后即刻收到了还呗短信提醒初审被拒，同一时间快鱼分期发来短信提醒账户额度变更，期间我并没有在其他平台填写过任何资料，也并没有授权还呗给其他平台递交个人资料信息，，咨询了还呗公众号客服，客服声称该平台是经过还呗严格审核的，有经过我的授权，，但我期间并没收到任何要我授权的确认窗口，还呗客服称该快鱼分期为平台旗下品牌，质疑个人资料被还呗泄露后，还呗客服又改口称是合作品牌，，见实在无法解释为什么快鱼分期会有我的个人资料后又改口称我授权的是马上金融产品，如果觉得还呗泄露了我的个人</t>
  </si>
  <si>
    <t>2019/10/07 12:23:10</t>
  </si>
  <si>
    <t>本人因生意失败导致资金周转困难，交行直接给我降额，我也积极联系客服处理，一直就说反馈，我也一直声明是有还款意愿，也没失联，有多少都还多少进去，请求协商还款，催收人员打电话来说，协商个屁，准备好材料等起诉，今天电话打到我邻居手机上，说要起诉我，这是要我脸面尽失，一天天的爆打电话，导致我工作丢失，没工作收入，我拿什么来还债，催收也是可以的，说不管我用什么办法，难道要我去偷去抢还是去卖血，我欠钱，还钱天经地义，也没有躲避，贵行这样做，是我欠贵行一条命吗。</t>
  </si>
  <si>
    <t>2019/10/07 12:22:41</t>
  </si>
  <si>
    <t>10月3日注册一个叫小浦优客的app，填了银行卡相关资料，见是中介平台就卸载了。</t>
  </si>
  <si>
    <t>2019/10/07 12:22:33</t>
  </si>
  <si>
    <t>投诉人尹先生投诉对象松紧贷涉诉金额900元问题类型诉求类型投诉详情暴击催收我，轰炸我通讯录，恐吓，打电话直接我骂我通讯录联系人，麻烦尽快处理。</t>
  </si>
  <si>
    <t>2019/10/07 12:22:19</t>
  </si>
  <si>
    <t>投诉人汪先生投诉对象5866游戏商城涉诉金额8元问题类型诉求类型投诉详情买了以后就不能用5866我再次登陆就登陆不了了验证码迟迟没有。</t>
  </si>
  <si>
    <t>2019/10/07 12:22:11</t>
  </si>
  <si>
    <t>投诉人李先生投诉对象造艺科技涉诉金额299元问题类型诉求类型投诉详情豹子贷恶意扣款了299元，投诉请求退款，感谢组织，感谢聚投诉。</t>
  </si>
  <si>
    <t>2019/10/07 12:21:52</t>
  </si>
  <si>
    <t>9月14号在纳百莲旗舰店买了一条婆婆装裙子，试穿后发现尺码太大不合身，就申请了退货退款，我使用了天猫上门取件服务发货！可是商家在收到货后俩天才联系我告知货物已损，他们拒绝签收，并拍照给我，图片中看到的是原包装纸盒已没了，其他就她拍照说是出现一个比针孔大点的小洞！原路退回到我这，我当着快递员的面打开一看，感觉就像是刀片喇到破损，并且也发现这衣服多处质量问题，仔细一看才发现这衣服很明显是有人穿过的！之后就申请天猫介入了……结果天猫客服在了解情况的时候我手机在导航，不方便接听，后来天猫就直接判支持卖家！而我什么也</t>
  </si>
  <si>
    <t>2019/10/07 12:20:33</t>
  </si>
  <si>
    <t>投诉人王先生投诉对象杭州天迈新能源有限公司涉诉金额7000元问题类型诉求类型投诉详情2018年6月的光伏发电提成，2019年10份还没发，联系公司不回，打老板微信电话不接。</t>
  </si>
  <si>
    <t>2019/10/07 12:19:49</t>
  </si>
  <si>
    <t>投诉人李先生投诉对象新意花,小木钱包涉诉金额2373元问题类型诉求类型投诉详情利息太高承受不起，逾期费用收那么高也负担不起，我只愿意还借款本金和国家规定的利益。</t>
  </si>
  <si>
    <t>2019/10/07 12:19:29</t>
  </si>
  <si>
    <t>投诉人郑先生投诉对象钱橙无忧涉诉金额168元问题类型诉求类型投诉详情我是用了这个APP，当时上面有扣款我就把银行卡上的钱取了出来，完了订单显示支付失败，过了两天我把钱又存进去了，三秒钟两单，。</t>
  </si>
  <si>
    <t>2019/10/07 12:19:13</t>
  </si>
  <si>
    <t>投诉人张先生投诉对象招联金融涉诉金额3500元问题类型诉求类型投诉详情因本人暂时无能力偿还本期贷款，该还的我会一分不差还给招联，才逾期10天招联金融就暴力催收恐吓和骚扰家人我现在要求招联金融立刻马上停止骚扰和恐吓催收。</t>
  </si>
  <si>
    <t>2019/10/07 12:18:57</t>
  </si>
  <si>
    <t>高利贷加暴力催收恐吓，之前有在平台投诉，好易借未做任何回复，估计没人能管的了这样的公司。</t>
  </si>
  <si>
    <t>2019/10/07 12:17:39</t>
  </si>
  <si>
    <t>在明世教育报名2天后，提出退费，按照明世教育给出的合同，是符合退费条款的，明世教育报名老师说不归他负责，拒接沟通，然后明世教育班主任老师直接说不符合退费条件，不予退费，但是报名后，并没有安排课程，以及提供服务，现在明世教育哪边直接不处理，不回复这个事情，报名费是通过小雨贷款缴纳的，现要求退费，取消贷款，尽快处理。</t>
  </si>
  <si>
    <t>2019/10/07 12:17:12</t>
  </si>
  <si>
    <t>投诉人王先生投诉对象浦发银行信用卡涉诉金额13800元问题类型诉求类型投诉详情本人因工作家庭原因，占时没有还清浦发银行的13800的欠款，可是也不要一天天让催收给你家里打电话啊，我说还啊，我没说不还啊，催收还说上门，吓唬谁呢，不要说打不通我电话，我愿意协商，我可以每个月还你们一点，希望可以从新制定还款计划，不要老是说上门，吓人，家里还有老人孩子，不行我就投诉监银会，12345热线，我天天投诉，。</t>
  </si>
  <si>
    <t>2019/10/07 12:17:07</t>
  </si>
  <si>
    <t>涉诉金额48元问题类型诉求类型投诉详情安逸花已经全部还清后，账单上面又多了48元，要求安逸花平台销账、道歉！。</t>
  </si>
  <si>
    <t>2019/10/07 12:16:24</t>
  </si>
  <si>
    <t>不知道的情况下就被扣费，而且我都卸载了，确实很坑消费者。</t>
  </si>
  <si>
    <t>2019/10/07 12:16:06</t>
  </si>
  <si>
    <t>我于2019年10月2日交易猫苹果客户端上架商品售卖过程中不显示保险费用的购买，一旦上架售卖商品，交易猫则强制其买价值百分之10商品的保险费，强制消费者，在我并不知情的情况下，强制让我购买888元的保险费用，我特此投诉，希望相关部门可以严厉打击此违法违规app，严肃处理，交易过程全程没有询问本人是否愿意花费百分之10的手续费购买保险，如此霸王条款，横行霸道，希望在法律健全的法制社会给消费者一个满意的交代。</t>
  </si>
  <si>
    <t>2019/10/07 12:15:49</t>
  </si>
  <si>
    <t>投诉人朱女士投诉对象商家和小二涉诉金额215元问题类型诉求类型投诉详情在淘宝买了两件衣服试穿了不合适就退回了结果卖家拒收说有严重异味实在费解申请淘宝客服介入淘宝判卖家赢这是什么操作。</t>
  </si>
  <si>
    <t>2019/10/07 12:15:43</t>
  </si>
  <si>
    <t>贷上钱高利贷逾期半天就威胁联系其联系人电话，明明接通了电话还不止一通还发短信顺多次联系不到。</t>
  </si>
  <si>
    <t>2019/10/07 12:14:39</t>
  </si>
  <si>
    <t>本人因为当时公司继续周转借了拍拍贷5000元，后因为被骗公司压力太大钱还不上，本人承认借款，后于2019年10月6日收到拍拍贷委托的第三方收款人员恐吓。</t>
  </si>
  <si>
    <t>2019/10/07 12:14:33</t>
  </si>
  <si>
    <t>本人百万钱包借款14000元，分十二期归还，百万钱包收取高额担保费用2184元，名为担保费用，实际上是变相砍头利息，联系百万钱包客服，客服不处理，无奈只能请求聚投诉平台处理。</t>
  </si>
  <si>
    <t>2019/10/07 12:14:08</t>
  </si>
  <si>
    <t>本人在平安普惠借了一笔钱，6号到期，因最近资金遇到困难没能及时还款逾期一天，因为领宝宝的没能接到平安普惠客服电话，就发短信了来威胁。</t>
  </si>
  <si>
    <t>2019/10/07 12:13:51</t>
  </si>
  <si>
    <t>投诉人 陈女士        投诉对象  同城艺龙        涉诉金额  150 元    问题类型    诉求类型投诉详情  说一至三个工作日退换 结果都马上一个月了 还没有退款</t>
  </si>
  <si>
    <t>2019/10/07 12:13:24</t>
  </si>
  <si>
    <t>投诉人胡伟明先生投诉对象钱站涉诉金额4000元问题类型诉求类型投诉详情钱站平台标榜年化率23%，借款4000.到账4000，本来要还款，后来还款发现合同是是5000多的金额，，现在要还6000多，逾期3天后威胁打爆通讯录，还了第一期2200多，要求提前借清4000本金剩余的，钱站平台不同意，仍然要求按照6000多来还，总的费率已经超出国家的36%的年化率的规定！。</t>
  </si>
  <si>
    <t>2019/10/07 12:13:13</t>
  </si>
  <si>
    <t>早上客服电话已谈好，莫名其妙发这种短信，而且不指我收到，我会联系中信银行问清楚的。</t>
  </si>
  <si>
    <t>2019/10/07 12:12:43</t>
  </si>
  <si>
    <t>恶意曝光我的通讯录，通讯录群发辱骂我的父母及家人和朋友，威胁等，并已短信内容诅咒我的父母出车祸等暴力侮辱语言，电话威胁辱骂我及我通讯录。</t>
  </si>
  <si>
    <t>2019/10/07 12:12:07</t>
  </si>
  <si>
    <t>网贷app豹子贷，事先变相收费，一绑定银行卡就扣款了，连拒绝的机会都没有，豹子贷无缘无故就扣了299元，本人没有在他们平台申请借款成功过，我希望把我这299元费用退回，并且删除我本人所有个人信息。</t>
  </si>
  <si>
    <t>2019/10/07 12:11:51</t>
  </si>
  <si>
    <t>投诉人王女士投诉对象掌众金服涉诉金额500元问题类型诉求类型投诉详情本人资金周转困难，希望明日到期的闪电借款可以协商还款，找客服，客服说不能延期，逾期一天的费用要15元，太高了，抢钱吗，而且我的账户现在一块钱的信用额度都没有了，希望可以给我恢复额度！。</t>
  </si>
  <si>
    <t>2019/10/07 12:11:17</t>
  </si>
  <si>
    <t>投诉人 李先生        投诉对象  联动发卡        涉诉金额  12 元    问题类型    诉求类型投诉详情  在该卡网购买了卡密，卡密无效 在平台投诉 投诉确认 也胜诉 却不退钱。该平台工作人员也联系不上</t>
  </si>
  <si>
    <t>2019/10/07 12:11:13</t>
  </si>
  <si>
    <t>功夫贷派本地的催收进行威胁，已经表达了还款意愿，承诺一次结清，只是需要一点时间，虽然这催收说话很委婉，但字里行间都在告诉我，要上门，不还就继续损害我的名誉，还要让我在居住的城市出名，抓住我的弱点，群发短信给我身边的人，逼我还款，那要不要逼我去死呢，难道催收就非得这样靠给有还款意愿的人制造更重的压力来达到目的吗，是的每个人都得为自己的过错承担，老赖不还钱，就给我们这种有意愿的人施加压力，每次看到新闻说谁谁谁还不了网贷自杀了，真的很压抑，有时候也很理解为什么要走绝路，都是被逼的，现在真的很压抑，每一天都在努力活</t>
  </si>
  <si>
    <t>2019/10/07 12:11:12</t>
  </si>
  <si>
    <t>10月7日，仍然还在处理中，联系客服也联系不到，只有一个机器客服，又处理不了任何问题，即使钱不多，只有14.5，但该退的钱就要退，希望聚投诉帮帮我，非常感谢。</t>
  </si>
  <si>
    <t>2019/10/07 12:11:04</t>
  </si>
  <si>
    <t>近几天一直接到拍拍贷催收电话，都已经告诉不认识那个欠款的人了，还打，蹬鼻子上脸，我不认识还让我转告，我问他为什么打我电话，不转告就打爆！！什么破B上市公司啊，垃圾玩意天天打骚扰电话。</t>
  </si>
  <si>
    <t>2019/10/07 12:10:37</t>
  </si>
  <si>
    <t>投诉人刘先生投诉对象宜人贷涉诉金额4900元问题类型诉求类型投诉详情本人在2017年10月9日通过宜人贷相关工作人员推荐向宜人贷公司借款4万元整，款项到账金额也是4万元，但是合同金额为44900元，结清后可以退还，宜人贷借款APP也显示为保证金，已经还了23期，还款总金额为55670.58元，现在去宜人贷借款APP发现4900元保证金现变成信息咨询服务费，如果按照此计算，我借款到账4万元，总款要还58409.18元，按照贷款4万元分24期还月息3%，总金额也才56685.52元。</t>
  </si>
  <si>
    <t>2019/10/07 12:10:23</t>
  </si>
  <si>
    <t>京东的第三方真的太恶心了，我已经把逾期的全还了，剩下的分期也会按时还款，这人不乐意了，不断打电话过来叫我必须全部结清，半小时给我爸打了好几个电话，还说要上门，真的是黑社会一样。</t>
  </si>
  <si>
    <t>2019/10/07 12:09:31</t>
  </si>
  <si>
    <t>借3150要还4600利息太高本人还不了，要求还本金加个100快钱，本金三期已经还完，。</t>
  </si>
  <si>
    <t>2019/10/07 12:08:05</t>
  </si>
  <si>
    <t>注册时未显示有扣费项，过了两天我App已经卸载了，却又收到扣费信息。</t>
  </si>
  <si>
    <t>支付宝花呗暴力催收，我说了10号发工资还，他说今天不处理就打电话到单位。</t>
  </si>
  <si>
    <t>2019/10/07 12:07:47</t>
  </si>
  <si>
    <t>高利贷，砍头息，恶意催收，爆通讯录，合同约定借款3000元，实际到账2131.59元，868.41元砍头息，现要求还款3213.72元。</t>
  </si>
  <si>
    <t>本人之前在畅快车贷办理了一笔车抵押贷，之前说好贷款周期为24个月结果畅快车贷为36个月，金额为22000，36个月算下来要还40000多，每个月还款1150元，由于国庆回家4号没有还进去，给客服也讲了，但是才三天逾期费用高达400元，希望平台能给我解决一下！谢谢！。</t>
  </si>
  <si>
    <t>2019/10/07 12:06:28</t>
  </si>
  <si>
    <t>09月26日，时间为：19：57：48到19：57：59，对方账号为：8*************4请贵平台帮我跟进以及处理，麻烦了谢谢。</t>
  </si>
  <si>
    <t>2019/10/07 12:06:12</t>
  </si>
  <si>
    <t>投诉人 辛尉民        投诉对象  豹子贷        涉诉金额  200 元    问题类型    诉求类型投诉详情  无缘无故扣款 卡里没钱 充了钱继续扣 希望退回扣款金额</t>
  </si>
  <si>
    <t>2019/10/07 12:04:43</t>
  </si>
  <si>
    <t>投诉人陈女士投诉对象有钱用,有钱用涉诉金额6000元问题类型诉求类型投诉详情催收态度特别特别不好，说要上门去催收，让我的家人做好准备～。</t>
  </si>
  <si>
    <t>本人8月份在小当家借款3800，实际到账3400，分期三个月.每个月还款1720，目前已经还了两个月，还有最后一个月没还，我越想越觉得利息太高，该App经常登录不上去，这两天小当家客服不断给我打电话，态度恶劣，还带有威胁恐吓，由于本身借款只到账3400，也已经还了两个月，每个月还款1720，所以我申请撤销借款，否则报警处理。</t>
  </si>
  <si>
    <t>2019/10/07 12:04:36</t>
  </si>
  <si>
    <t>公司恶意扣款299说什么个人报告生成，结果扣了两百就给发了个无效报告，经举报退回两百，后来又扣了99,联系客服说不给退，是骗子公司。</t>
  </si>
  <si>
    <t>2019/10/07 12:03:38</t>
  </si>
  <si>
    <t>双证司机按热区各种接不到单，只有等，等个把小时接个毛单，然后开出去找停车位，再等个把小时再接个毛单，周而复始！！！有钱赚吗，滴滴太恶心了！之前没办证时说得好听双证合规派单优先，现在呢。</t>
  </si>
  <si>
    <t>2019/10/07 12:03:27</t>
  </si>
  <si>
    <t>本人在小黑鱼申请借款12000，到手10914，被扣1086元，账单要求归还13288.97，利息为44%，8-16跟他们协商没有过结果，期间委托第三方不停骚扰本人，泄露本人隐私，扣除的1086说保险，在办理本人不知道保险这事，问保险单号，告诉是逾期服务费，到最后不知道是什么，本人身体刚动手术，他们不断骚扰，请有关部门能解决事项。</t>
  </si>
  <si>
    <t>2019/10/07 12:03:23</t>
  </si>
  <si>
    <t>恶意扣款，阴阳合同，绑定银行卡的同时就扣款了。</t>
  </si>
  <si>
    <t>2019/10/07 12:03:16</t>
  </si>
  <si>
    <t>投诉人韩先生投诉对象掌众金服,闪电借款涉诉金额300元问题类型诉求类型投诉详情在闪电借款办理借款，要求购买黑卡后再借款，闪电借款承诺如果借款不成功退还购买黑卡的钱，现在我借款不成功，想申请退还购买黑卡的300元，但根本联系不到客服，不是排队就是毫无意义的自动回复，现需要有用的联系渠道，并尽快退款。</t>
  </si>
  <si>
    <t>2019/10/07 12:03:14</t>
  </si>
  <si>
    <t>投诉人王女士投诉对象钱站,凡普信涉诉金额1000元问题类型诉求类型投诉详情本人从钱站借款1000元，后来发现合同上却是1400元，实际到账也是只有一千元，这不是欺骗吗，现在还有最后一期没还，我要求钱站要么归还合同上没出现的400元，要么减免我最后一期贷款，谢谢。</t>
  </si>
  <si>
    <t>2019/10/07 12:02:00</t>
  </si>
  <si>
    <t>易宝支付,唐长老,盱眙海恒信息科技有限公司，本人实名举报：易宝支付公司为套路贷公司唐长老手机回收，提供砍头息支付渠道收取国家违法高额利息，砍头息加起来和费用已经超过本金八倍之多，本人饱受套路贷714高炮贷款带来的危害、现已家破，就差人亡，现以查明易宝支付公司和盱眙海恒信息科技有限公司，相互勾结，请易宝支付公司退回违规收取的砍头息，易宝公司如不解决，我将向第三方支付协会和各大渠道、媒体继续投诉，关于期间出借方的暴利催收已经涉及到涉黑问题上，我将向信访部门、扫黑除恶办公室、工商、税务等部门告到底，相关转账流水证</t>
  </si>
  <si>
    <t>2019/10/07 12:01:36</t>
  </si>
  <si>
    <t>投诉人胡先生投诉对象爱又米涉诉金额199元问题类型诉求类型投诉详情在爱又米平台注册了账号，发现不能取现，平台告知可以注册会员，提高额度和审批通过率。</t>
  </si>
  <si>
    <t>2019/10/07 12:01:22</t>
  </si>
  <si>
    <t>投诉人刘女士投诉对象u钱包涉诉金额2200元问题类型诉求类型投诉详情不联系本人，给父母发恐吓短信！把父母吓的心脏病突发！要求平台直接联系本人，本人常年都开机，并积极都配合公司，不要打扰父母和朋友，一点没有。</t>
  </si>
  <si>
    <t>2019/10/07 12:01:21</t>
  </si>
  <si>
    <t>投诉人刘先生投诉对象圈圈分期涉诉金额2750元问题类型诉求类型投诉详情本人9月16日在圈圈分期借款2750元，到账秒扣888元，每周还款687.5元，还四周总计2750元，现在还了3期，希望调整利息，在国家允许的范围内支付！。</t>
  </si>
  <si>
    <t>2019/10/07 12:01:09</t>
  </si>
  <si>
    <t>投诉人王先生投诉对象分期通涉诉金额249元问题类型诉求类型投诉详情恶意扣款误导消费者，app人工客服联系不到，电话也打不通。</t>
  </si>
  <si>
    <t>2019/10/07 12:00:18</t>
  </si>
  <si>
    <t>投诉人洪先生投诉对象交易猫涉诉金额350元问题类型诉求类型投诉详情自9.28号起至今10.7日为止已经很多天过去了，交易猫平台没有客服，也不处理问题，现在至使本人号与钱财两空，因为没有客服所以处理不了问题，本人没有办法只能求助于聚投诉，希望交易猫客服能给我一个解释。</t>
  </si>
  <si>
    <t>2019/10/07 12:00:16</t>
  </si>
  <si>
    <t>投诉人陈先生投诉对象粤通卡涉诉金额693元问题类型诉求类型投诉详情我8月23号24号通行的高速费用693块钱，粤通卡公司26号27号才发送账单到银行！我本来享受银行周六周日高速通行费85折优惠，导致我本次粤通卡高速通行费享受不到银行优惠，打电话给粤通卡公司，客服告诉我只能登记，无权处理！。</t>
  </si>
  <si>
    <t>2019/10/07 11:59:25</t>
  </si>
  <si>
    <t>投诉人何先生投诉对象京东金融涉诉金额3200元问题类型诉求类型投诉详情京东白条逾期，我已经把逾期欠款还清，京东第三方要求我结清全部欠款。</t>
  </si>
  <si>
    <t>2019/10/07 11:59:16</t>
  </si>
  <si>
    <t>投诉人程先生投诉对象钱站涉诉金额3000元问题类型诉求类型投诉详情钱站公司高利贷，砍头息，本人借款3000元，合同上却是3990！存在严重砍头息！分三期还每月需要还款1907超国家规定利率两百多倍！严重高利贷！要求钱站公司调整利率！。</t>
  </si>
  <si>
    <t>2019/10/07 11:58:49</t>
  </si>
  <si>
    <t>黄金机场一名穿工作制服的女性，说国庆活动免费办理会员卡充人民币1998元，可以享受快速登机，卡内余额3000元可以购买机票，全国40家机场无限次贵宾厅服务，最低折扣机票，并举例说明一百多的机票额用卡只需八九十，卡内3000可以抵扣机票款，终身有效，办理全程都是推销员问我信息并用自己填写协议，结果账号密码发给我一查询，充值的1998元变成入会费，充值的钱换来的是3000额度的机建费抵扣券，并不能抵扣机票费用，只能每次抵扣50元机建费，也就是说3000元的卡我需要抵扣60次才能用完，机票折扣价也不是宣传那样，结</t>
  </si>
  <si>
    <t>2019/10/07 11:58:20</t>
  </si>
  <si>
    <t>投诉人 黄先生        投诉对象  联动云租车        涉诉金额  999 元    问题类型    诉求类型投诉详情  上个月16号租用的联动云的共享汽车 到今天以达到符合退押金的条件 可联动云不肯退还押金 望尽快处理</t>
  </si>
  <si>
    <t>2019/10/07 11:58:10</t>
  </si>
  <si>
    <t>投诉人莫先生投诉对象钱站涉诉金额300元问题类型诉求类型投诉详情钱站借300分3期一个月还208是不是高利了，钱站app上面显示提前结清4百多我昨天还了，他们说我还欠4百多。</t>
  </si>
  <si>
    <t>2019/10/07 11:57:08</t>
  </si>
  <si>
    <t>本人于2019年9月5日申请的新意花小木钱包，申请金额2800，实际还4089.6，利息太高，已还三期，求聚投诉出面维权解决问题，本人有还款意向，希望小木钱包客服致电本人合理利息销账！。</t>
  </si>
  <si>
    <t>2019/10/07 11:56:10</t>
  </si>
  <si>
    <t>投诉人张先生投诉对象豹子贷涉诉金额598元问题类型诉求类型投诉详情前段时间，豹子贷准备借款，他们需要生成风险评估报告才可以借款，然后我申请了报告上面有两个选项1选项没有提示需要付费，2选项提示需要付费299元，当时我选了第一个选项出了报告没有扣费，之后我也没在该平台借款，今天早上7点50分莫名扣除我299元，我打开app发现我的报告记录都没有了，随后我致电他们公司客服，客服一直狡辩称我没有注册过贵公司app，之后客服声称第一个选项是不需要支付密码卡上有余额自动会扣，称第二个选项是在卡内余额充足的情况下才会扣</t>
  </si>
  <si>
    <t>2019/10/07 11:55:42</t>
  </si>
  <si>
    <t>要求既有分期立马停止给紧急联系人发任何信息。</t>
  </si>
  <si>
    <t>2019/10/07 11:55:40</t>
  </si>
  <si>
    <t>投诉人 徐女士        投诉对象  立刻出行        涉诉金额  299 元    问题类型    诉求类型投诉详情  立刻出行！ 公司倒闭网点无车！ 申请退款无人受理！ 因此投诉请求介入！ 要求该司退还押金！</t>
  </si>
  <si>
    <t>2019/10/07 11:55:30</t>
  </si>
  <si>
    <t>投诉人 程女士        投诉对象  交通银行        涉诉金额  11 000 元    问题类型    诉求类型投诉详情  这就是交通银行的催收？超过国家明确规定一天三个电话几倍？还给家里人打电话！</t>
  </si>
  <si>
    <t>2019/10/07 11:55:29</t>
  </si>
  <si>
    <t>在转转上出售一个充值已15万的账号，然后账号资金被冻结，客服那边联系也给不出具体的解决方案，而且交易的是虚拟物品我这边已经换完绑定什么了，很容易利益受到损失，希望有专门人员及时处理联系。</t>
  </si>
  <si>
    <t>2019/10/07 11:54:58</t>
  </si>
  <si>
    <t>我今天在58安逸花上借了钱，不小心填错了，一看利息1800多，我赶紧去还钱，可是网页一直恶意系统错误，不让我还钱，希望可以赶紧帮我解决下，我有点急。</t>
  </si>
  <si>
    <t>2019/10/07 11:54:53</t>
  </si>
  <si>
    <t>交通银行委托第三方暴力催收，今天不但短信侮辱，还爆我通讯录，现在还一直不断用我手机号注册各种网站，，行为恶劣至极，这个有精神病的根本不是来协商的，强烈要求马上处理。</t>
  </si>
  <si>
    <t>2019/10/07 11:54:45</t>
  </si>
  <si>
    <t>本人于2019.8.3在蓬莱机场乘航班，同样遇到几个穿制服的工作人员宣传活动，让缴纳1880元，再赠送1000元，说是充钱买机票可比网上便宜，还可以帮朋友家人购买，而且享受终身会员，可在国内任意机场贵宾室享受休息服务等，但当时其工作人员只让匆匆加了一个公众号，并只保留了我的电话号码，很多信息还不了解就将我带入贵宾室，后来发现情况不符，且网上查询全是西部明珠贵宾卡的投诉信息。</t>
  </si>
  <si>
    <t>2019/10/07 11:54:38</t>
  </si>
  <si>
    <t>既有分期多次打电话催款，本人同意赔款，但是跟他们协商后他们不同意，本人愿意赔偿本金加国家允许的利息，对方不接受，要求我陪高额利息，占本金的百分之四十，现在又冒充公安局说对我要立案，喊我去昆明市公安局经侦科，我去了以后他们告诉我的公安局经侦科的地址不对，冒充公安局，跟他们多次协商中还在电话里进行恐吓，说要来把我的手脚砍的。</t>
  </si>
  <si>
    <t>2019/10/07 11:54:32</t>
  </si>
  <si>
    <t>借钱2000元要买500元游戏豆，借三千要买九百元游戏豆，而且不能马上取消借款强行放款。</t>
  </si>
  <si>
    <t>2019/10/07 11:54:30</t>
  </si>
  <si>
    <t>小黑鲨高利贷，每十天还款，借3500，还四千三百多，超过国家利率，要求第一期减免600还款。</t>
  </si>
  <si>
    <t>2019/10/07 11:54:16</t>
  </si>
  <si>
    <t>豹子贷,上海造艺网络科技,造艺网络科技,银码头，虽然只扣了100但是卡里有钱他们还要扣，我说不需要了叫他们退款，说要寄身份证复印件和自己的照片，算知道你们拿去干嘛了。</t>
  </si>
  <si>
    <t>投诉人 詹先生        投诉对象  百事普惠,造艺科技        涉诉金额  100 元    问题类型    诉求类型投诉详情  百事普惠，私自扣款100元，需要退款。。</t>
  </si>
  <si>
    <t>2019/10/07 11:53:46</t>
  </si>
  <si>
    <t>投诉人何先生投诉对象巨皇教育,腾讯课堂涉诉金额3688元问题类型诉求类型投诉详情8.30号从腾讯课堂听了巨皇教育的公开课，因为第一次听，感觉讲的还不错，就报名了他们3688元的课程，说的很清楚是1对1指导，和别的教育机构只听VIP课程不一样，我之前就报名过优梯教育的，他们就是只听公开课，最反感的就是这种，报名后才发现交钱前后的差别真是大，交钱后是没人管你的，公开课也是同一个内容天天炒冷饭，然后开始日常坑人任务，开始洗脑，什么1对1服务，多久可以帮你把店铺做起来，里面推荐的资源价格也比其他地方贵，而且都是自己</t>
  </si>
  <si>
    <t>2019/10/07 11:53:44</t>
  </si>
  <si>
    <t>一大早便开始电话暴力催收，语气存在恐吓威胁本人，已答应今日10点前还款，但对方仍恶语相向，扬言要一个个骚扰我的家人。</t>
  </si>
  <si>
    <t>投诉人吴先生投诉对象现金锦鲤,深圳赢众通金融信息服务有限责任公司涉诉金额20800元问题类型诉求类型投诉详情先交工本费后下款私自改了我的银行卡卡号现在又要叫我交工本费。</t>
  </si>
  <si>
    <t>2019/10/07 11:53:39</t>
  </si>
  <si>
    <t>分期通平台存在欺骗行为，注册填写资料出额度，谁知道那不是真实额度，app也没有表述清楚，本以为交249vip为放款用，谁知道他只是给你推荐平台，这明显属于欺诈行为，并且他推荐的平台在这之前都有使用过，现在app申请退款也没人理，人工客户也联系不到，客服电话也打不通，。</t>
  </si>
  <si>
    <t>2019/10/07 11:53:18</t>
  </si>
  <si>
    <t>2019/10/07 11:53:02</t>
  </si>
  <si>
    <t>北京现代桂林市全州县分店，原承诺老客户带新客户去买车承诺给油卡和券，我一个老客户带了新客成功成交了一台车，我选择了油卡，卖车人员给了我200块油卡说还有100块油卡没有了。</t>
  </si>
  <si>
    <t>2019/10/07 11:52:01</t>
  </si>
  <si>
    <t>本人在闲鱼平台上看见卖家发布一条信息：iphne，圆通快递员和我说我付款后拆开包裹发现是假货，与商家描述完全不一致，我找卖家卖家说要等到7号公司上班后才能处理退货，4g全网通，配件齐全手机我在闲鱼上和卖家沟通问卖家卖的手机是否与发布的信息相符，我说如果货到后不是我是要退货的，卖家回答说是的，让我放心，我说走平台，卖家说他们只走货到付款，发货前我又问了一遍卖家发的货是否与发布的信息描述一致，我说不一致我不要的，要退货的，商家说是的，我才让商家发货，由于商家全程发的语音，我无法截图文字出来，货收到后是要先付款才</t>
  </si>
  <si>
    <t>2019/10/07 11:51:59</t>
  </si>
  <si>
    <t>掌众金服旗下的闪电借款高利贷，砍头息！以买会员卡的名义明目张胆的收取严重超过国家规定的高额利息！已经像所属地的银保监会投诉举报！希望聚投诉协助处理！让掌众金服归还砍头息！买黑卡的费用1000元。</t>
  </si>
  <si>
    <t>2019/10/07 11:51:47</t>
  </si>
  <si>
    <t>目前我经济困难，虽然没有全还，每个月都有还一点，然后银行动不动就要给我寄律师函，。</t>
  </si>
  <si>
    <t>2019/10/07 11:50:19</t>
  </si>
  <si>
    <t>结果买票的时候发现每次购票只可减免50元，并且3000块只能抵扣机建费使用，和我当时询问给出的回答不一样，我觉得此行为误导消费者，虚假宣传。</t>
  </si>
  <si>
    <t>2019/10/07 11:49:45</t>
  </si>
  <si>
    <t>在小赢卡贷借款14000分9期还款！利息居然高达2500！换作年利率来算，严重超出国家规定的24！现在利息太高，无法承担。</t>
  </si>
  <si>
    <t>2019/10/07 11:49:29</t>
  </si>
  <si>
    <t>这回又是调查员说是上我村里调查走访家庭条件怎么样让我别到时候有什么事发生让跟我讲清楚，捷信外包公司还威胁我让我10号把钱还上不还走法律先上我村里调查。</t>
  </si>
  <si>
    <t>2019/10/07 11:48:59</t>
  </si>
  <si>
    <t>投诉人詹先生投诉对象百事普惠涉诉金额100元问题类型诉求类型投诉详情10月7号百事普惠私自扣款100元，需要退款！。</t>
  </si>
  <si>
    <t>2019/10/07 11:48:41</t>
  </si>
  <si>
    <t>借款2100元砍头息600元利息远高于国家规定，暴力催收骚扰家人。</t>
  </si>
  <si>
    <t>2019/10/07 11:48:35</t>
  </si>
  <si>
    <t>投诉人胡先生投诉对象钱站,华夏存管涉诉金额3575元问题类型诉求类型投诉详情本人于2019年7月12日在钱站借款人民币2000元，银行卡到账2000元，但是合同上却写的是3400元，赤裸裸的阴阳合同，然后还款分三期，每期还1192左右，这就是说借款2000分期三个月要还3575.71元，这严重超过了国家规定的合法利息，我已经还掉了两期，希望能减免不合法的利息，谢谢。</t>
  </si>
  <si>
    <t>2019/10/07 11:48:13</t>
  </si>
  <si>
    <t>我于2016.9月6日在捷信贷了一笔现金30000分期，当时业务人员给我算的是36期，他告诉我分期期数长是可以缓解还款压力，提前还款的话，利息也就不受影响，我每期还1230.78，还了20期共还了24615.6的时候，捷信工作人员给我打电话说，我信用良好，额度可以提升到65000，当时是电话联系我的说是分45期，我说可不可以不要分那么多期，他们工作人员跟我第一次说的一样，反正提前还款不影响，2018年4月29就直接给我打了一笔42370.76的款，我当时问工作人员，他说他们扣掉了我前一笔的剩下的借款，接着我</t>
  </si>
  <si>
    <t>2019/10/07 11:47:57</t>
  </si>
  <si>
    <t>投诉人 陈先生        投诉对象  手机借钱,多宝分期        涉诉金额  2 000 元    问题类型    诉求类型投诉详情  联系客服没人 还请联系 之前有投诉过 只是号码没联系到人 还是一个问题 借款2000 十四天为一期 还款789.55元 付完三期就已经超出国家规定范围之内利率 三期就要还高达2368元 第四期要求客服销帐的 谢谢</t>
  </si>
  <si>
    <t>2019/10/07 11:47:55</t>
  </si>
  <si>
    <t>投诉人宋女士投诉对象科沃斯宜品专卖店涉诉金额1286元问题类型诉求类型投诉详情9月25日在京东商城购买科沃斯扫地机器人，9月26日送货上门，9月27日机器人无规律扫地，大部分面积漏扫，跟商家联系，商家不解决问题，我要求退货，商家拒绝退货，经过科沃斯售后检测，商品确实出现这种情况，商家说这不属于质量问题。</t>
  </si>
  <si>
    <t>2019/10/07 11:47:37</t>
  </si>
  <si>
    <t>我之前因为家里出事，然后自己失业，导致马上金融的借款逾期，但是我也一直在努力赚钱想办法偿还，，前段时间有一个和我协商的，我实在凑不到太多，凑了500个还了，九月底又有一个福建的也是，我协商了当时只有150也还进去了，然后当时和福建的工作人员协商了十月份再想办法凑钱再处理一些，今天10.7号，一个云南的催收人员，我这因为在做兼职没有接到电话，就发来短信微信恐吓我说去家里，去我单位，首先我想说，我是成年人，是独立借款人，凭什么要去骚扰我的家人等等，现在被贷款搞得我我现在失业了，不然我至于现在还不上那么多钱吗，我</t>
  </si>
  <si>
    <t>2019/10/07 11:47:19</t>
  </si>
  <si>
    <t>投诉人付先生投诉对象京东商城涉诉金额2000元问题类型诉求类型投诉详情欠款人是我姐姐的前男友，已经明确表示了，依然让我转告，多次联系我，已经对我造成骚扰，且泄露我的家庭住址精确到了门牌号码，先用075533586427给我打电话说转告，然后又用网络电话威胁不帮他转告，他就要上门来找我收钱！这个世界难道没有王法了吗。</t>
  </si>
  <si>
    <t>2019/10/07 11:47:03</t>
  </si>
  <si>
    <t>投诉人周先生投诉对象你我贷涉诉金额10元问题类型诉求类型投诉详情已还款全部结清，后又无缘无故扣款！请给解释！。</t>
  </si>
  <si>
    <t>2019/10/07 11:46:34</t>
  </si>
  <si>
    <t>投诉人柯先生投诉对象平安银行涉诉金额66450元问题类型诉求类型投诉详情本人车贷走的平安银行，每月3号还款日！之前都是提前存入该行尾号8149银行卡！由于2019年1月3号白天忙于工作忘存，3号当天晚上9点19分存入该平安银行还款卡号，系统未划扣，本人当时拨打该行客服，客服表明，无法人工划扣和客户自动还款，只能等4号凌晨系统自动扣款，并会上报征信中心！结果导致征信上有逾期记录！本人查询征信报告发现有逾期污点，再次和客服申诉，客服说无法消除逾期记录！为了证明是银行系统原因！本人8月3号当天21点33存入！但是</t>
  </si>
  <si>
    <t>投诉人夏海镇投诉对象钱站涉诉金额1300元问题类型诉求类型投诉详情把电话和催收短信发到了我朋友那里去了，而不是正面与我联系。</t>
  </si>
  <si>
    <t>2019/10/07 11:46:25</t>
  </si>
  <si>
    <t>投诉人柴先生投诉对象捷慧金融涉诉金额6288元问题类型诉求类型投诉详情自称是合法网贷平台，说先需要开通会员，让我转了1288,后面又说要消除风控，又让我转了3000,还说修改银行卡信心又转了2000。</t>
  </si>
  <si>
    <t>2019/10/07 11:45:27</t>
  </si>
  <si>
    <t>在还款日当天，白天先是有个客服打电话让我还款，当时我在忙，没接到电话，一会短信发进来口气不耐烦的让我还，我说我还没逾期呢，就这样威胁，然后他就开始各种发短信质问等等，我就纳闷了，我还没逾期呢，这是准备要打我，强烈要求平安普惠做出解释！！！再次强调，我还没逾期呢，就恐吓催收！！！现在我在等你们做出解释再还款！！！收。</t>
  </si>
  <si>
    <t>2019/10/07 11:44:51</t>
  </si>
  <si>
    <t>投诉人 杨女士        投诉对象  猴犀利小额网贷        涉诉金额  2 029 元    问题类型    诉求类型投诉详情  恶意收取费用，利息太高就是高利贷，利滚利</t>
  </si>
  <si>
    <t>2019/10/07 11:44:49</t>
  </si>
  <si>
    <t>钱站给了个额度3900，借款确定以后下款金额变成3000，900变成了什么担保费，现在每个月还款1477.32，3个月要还出4431.96，这是典型的高利贷，我说我不要了，按正常利息算，我可以提前把三个月本金和利息一起还了销账，钱站的不干，还各种威胁我不还的话催收介入，要爆我通讯录，要影响我周围人的生活，我现在能接受的就是按正常利息算，3个月利息带本金我一次还清，销账。</t>
  </si>
  <si>
    <t>2019/10/07 11:44:07</t>
  </si>
  <si>
    <t>每次还款都无缘无故给我降低额度，还进去就没了，这不是套路我们这些借款人吗，为什么没有任何通知，美其名曰安逸花，我都觉得好笑，就你们这样子的服务好意思称得上安逸，是你们这些啃着人血馒头的人拿着钱安逸吧！我要求归还额度，立刻，马上！。</t>
  </si>
  <si>
    <t>2019/10/07 11:44:02</t>
  </si>
  <si>
    <t>电话028-68079995，一天数次电话啊骚扰我的父亲，并且刻意数倍的夸大金额，吓唬老人家，我的父亲高血压患者，实在不经如此这般的恐吓。</t>
  </si>
  <si>
    <t>2019/10/07 11:43:43</t>
  </si>
  <si>
    <t>在快闪卡贷平台借款15000元，实际只到账12626.45元，以保险等名义变相砍头息2373.55元，分6期还款，每期却要还3009元，6个月共要还18054.04元，相当于6个月要收取5427.59元利息，非法砍头息，违规高利贷，严重超出国家法定利率，本人已还款5期，还款金额15045.05元，最后一期竟然还需要还3008.99元，实在无力偿还，要求退还强制扣除的保险费用2373.55元，减免超出国家法定利率的部分，合理利息结清。</t>
  </si>
  <si>
    <t>2019/10/07 11:42:46</t>
  </si>
  <si>
    <t>达龙云电脑充值无法退款，其十分钟的免费，体验时间，进入其中游戏客户端更新十分钟，没有完成，无赖之下选择充值会员一，但充值会员一以后提示要排队，排队85名，排队两个小时进入77名，使用体验极差，于今天上午联系该平台客服要求退款，联系了半天才有人回应，客服拒绝，我严重怀疑该平台套路消费者，以免费体验吸引客户，然后利用云电脑的游戏客户端更新时间让客户无法获得完整体验，以引诱客户充值，但我利用该平台云电脑进入游戏后，用户体验极差，玩游戏卡顿。</t>
  </si>
  <si>
    <t>2019/10/07 11:42:32</t>
  </si>
  <si>
    <t>投诉人 李凯        投诉对象  钱橙无忧        涉诉金额  168 元    问题类型    诉求类型投诉详情  注册app后没有在平台借款 没有确认的情况下 扣除个人风险测评费</t>
  </si>
  <si>
    <t>2019/10/07 11:41:38</t>
  </si>
  <si>
    <t>投诉人 陈先生        投诉对象  牛人有品        涉诉金额  1 900 元    问题类型    诉求类型投诉详情  上当3次要求撤销最后一期还款 上一期还款日 客服侮辱 人生攻击 威胁 电话骚扰</t>
  </si>
  <si>
    <t>2019/10/07 11:41:17</t>
  </si>
  <si>
    <t>之前在无锡分部借的钱，每到还款日都会有信息提醒，都按时还，这月开始红上客服人员说撤消了无锡分布的管理，由总部统一管理，我逾期一天，问客服人员多了多少，他给我说要还2202.5元，不敢相信就要了app下载了，可昨天一直看不到，到今天才进去看到，真实金额是2039.37，昨天的乱报金额导致我我又逾期一天，构成了欺骗，给我一个合理的解释和回复，并给出合理的协商解决方案！。</t>
  </si>
  <si>
    <t>2019/10/07 11:41:03</t>
  </si>
  <si>
    <t>本人欠松紧贷平台9000元，之前已还过两期，由于近期出现资金困难无力偿还，后期有钱一定会主动偿还，但是平台于10月7日十一时许开始电话，短信轰炸骚扰，恐吓威胁，还要爆通讯录，就目前情况根据《互联网金融逾期自律公约》规定，松紧贷平台已构成违法犯罪行为，对比行为严厉谴责，如果不停止骚扰，我方有权上诉！。</t>
  </si>
  <si>
    <t>2019/10/07 11:40:54</t>
  </si>
  <si>
    <t>本人有一张光大银行信用卡额度40万，犹豫陷入网贷陷阱，被恶意催收、逼债导致工作丢失，个人经营的旅游门市工作全面倒闭破产，刚刚找到的工作，也被光大银行骚扰式催收被公司辞退！我真不知道该怎么办，请不要在那样催收了，我无法工作将导致我更无法偿还巨额债务。</t>
  </si>
  <si>
    <t>2019/10/07 11:40:48</t>
  </si>
  <si>
    <t>嗯，怎么说我逾期半年多了，不是我不还，我之前有在还，与兴业银行沟通过协商还款，他们也确实给机会我了，我没好好珍惜，你们发一个还款的具有法律责任的分期合同给我，我愿意签，没做到你起诉我就是了，不是躲避还债，你们说上门信访，还款事宜，但是无法确定你们是否雇佣的具有黑社会性质的外包公司，我必须保证自己，还有家人安全事宜，而且，希望你们以现在这账单为标准挂账，别增长利息了，本来我都要还欠6000的了。</t>
  </si>
  <si>
    <t>2019/10/07 11:39:41</t>
  </si>
  <si>
    <t>投诉人 王女士        投诉对象  时光分期        涉诉金额  300 元    问题类型    诉求类型投诉详情  一直打电话，逾期两天逾期费用一百多。让我怎么还。上个月爆通讯录逾期费用也是这样。</t>
  </si>
  <si>
    <t>2019/10/07 11:39:28</t>
  </si>
  <si>
    <t>天天贷没有经过我本人同意将2000元还款用作展期费。</t>
  </si>
  <si>
    <t>2019/10/07 11:38:58</t>
  </si>
  <si>
    <t>我10月5号搭乘粤L牌荣威顺风车，距离目的地800米后，，我听不下去就下车跟他说你能否讲点实际的内容呢，还要花精力联系物品不说人身安全呢，嘀嗒这样不根据事实地纵容包庇车主，象征性停止接单一天，司机先生以我不清楚路况为由拒绝送我到目的地，让其跟着导航走，对方都没尝试的情况下就硬说导航是带向死胡同过不了，让我下车，由于好不容易回一次老家，所以从老家带了大包小包，鸡蛋，食用油之类的，还有大大的旅行箱，凌晨2点多实在不方便，对方虽然建议我打的前往给我10元打的费用，虽然10元打的费用是不足以支付起步价这不是问题，但</t>
  </si>
  <si>
    <t>2019/10/07 11:38:21</t>
  </si>
  <si>
    <t>骗我0元3天的就会盗取我支付密码，然后一个网站没看清楚点进去直接扣我168。</t>
  </si>
  <si>
    <t>2019/10/07 11:38:03</t>
  </si>
  <si>
    <t>我这边只要一没接电话就打我爸电话跟我爸讲法律说限高限那的。</t>
  </si>
  <si>
    <t>2019/10/07 11:38:00</t>
  </si>
  <si>
    <t>是上海造艺科技*有限公司，恶意扣款299元，本来想借款的，申请期间在本人不知情的情况下扣款299元，没有明确告知我要收钱，不然我也不会去申请，严重侵犯了我的知情权，我强烈要求退还钱1号的时候联系我说7天内会进行退款。</t>
  </si>
  <si>
    <t>2019/10/07 11:37:57</t>
  </si>
  <si>
    <t>小浦优客app申请借款，按步骤填写资料，然后最后要求绑定银行卡，过了一个小时说是扣除296元个人信用报告费用，可是之前申请步骤并没有说明有这个费用，正规贷款也不应该有前期费用，涉嫌违规欺诈，而且这个平台就是中介平台，并没有在这个平台上申请任何一笔贷款，所以也不存在收取这个费用的理由，。</t>
  </si>
  <si>
    <t>2019/10/07 11:37:47</t>
  </si>
  <si>
    <t>豹子贷,上海造艺网络科技,造艺网络科技,银码头，无意间*下载了豹子贷app,提供了身份信息，工作信息，绑定了银行卡，所提供的个人信息是想借钱的，钱没借到却被平台扣了249元是所谓的个人信用信息生成的服务费，打电话说这是个第三方借款平台，不提供借款，就是坑人钱的，要求退款还必须十四天后按照他所提供的八家平台上借款失败后的截图才可能退款！！！才可能，！！而且提供的八家平台都是第三方借款平台，请问怎么借款，跟抢钱有什么区别，不止黑心，真的是恶心至极”。</t>
  </si>
  <si>
    <t>2019/10/07 11:37:35</t>
  </si>
  <si>
    <t>投诉人陈锦强投诉对象小赢卡贷涉诉金额5500元问题类型诉求类型投诉详情非法高利，超过家利息，利息高的离谱，欺骗消费者借款。</t>
  </si>
  <si>
    <t>2019/10/07 11:36:38</t>
  </si>
  <si>
    <t>立借平台借了5500元第一期还了两千九百多，现在第二期了还两千三百多两天了涨到2502元了，她们分了12期为什么第一期，第二期，第三期还那么多我就想跟他们协商还款。</t>
  </si>
  <si>
    <t>2019/10/07 11:36:13</t>
  </si>
  <si>
    <t>本人因为资金周转问题没办法才导致28天，信用飞砍头，不但28天逾期费用高达560加上砍头赚得多吓人，开始逾期催收恶意投诉过才没那么可份，然后连信息都不发，故意等你拖高逾期费用，这样只有714才会有套路，我也是借朋友等银行上班转账还，今天催收打电话要挟3点前还上一期帐单，还不上就爆通信录，当初借4000宝付扣800，逾期费高560，超国家规定多少倍。</t>
  </si>
  <si>
    <t>2019/10/07 11:36:00</t>
  </si>
  <si>
    <t>第一期银行卡自动扣款，第二期第三期说是扣不了款，已向资方公帐转帐！三期都已经还完，为什么还一直逾期，还失信。</t>
  </si>
  <si>
    <t>2019/10/07 11:35:35</t>
  </si>
  <si>
    <t>投诉人李女士投诉对象快钱-快易花,钱伴,时光分期,新橙优品涉诉金额0元问题类型诉求类型投诉详情本人因身患重病、下月将开始治疗成功率极低不想如果真的离开这个世界还留下债务给父母承担所以打算将手中仅有的钱款与这些平台协商还款如果觉得不能接受的平台我只能先去还好协商的平台钱还完如果还有债务我离开了征信以及爆通讯录对我来说没有伤害对你们来说毫无收获如果激怒我的父母或许会被反告由于长期还网贷导致压力过大我没有要挟任何人的意思我们家不是农村的大部分人都在银行以及政府工作但是欠债还钱天经地义但法理中还有一些人情我想积极去</t>
  </si>
  <si>
    <t>2019/10/07 11:35:20</t>
  </si>
  <si>
    <t>立刻出行不通知客户的情况下撤走汽车，申请退还押金迟迟没有回应！需要监管部门协助处理！。</t>
  </si>
  <si>
    <t>2019/10/07 11:34:29</t>
  </si>
  <si>
    <t>1.苏宁金融套路贷，误导宣传，打着循环额度的幌子误导用户借款，然而借完之后二次贷全部不通过，打乱用户还款计划，身边朋友全部都是这样，网上投诉也比较多，并不是苏宁单方面的狡辩说用户评分不足，4严惩苏宁金融套路贷，还广大网民一个干净和谐的社会。</t>
  </si>
  <si>
    <t>2019/10/07 11:34:08</t>
  </si>
  <si>
    <t>投诉人 刘先生        投诉对象  钱站        涉诉金额  3 000 元    问题类型    诉求类型投诉详情  骚扰恐吓，威胁 高利贷对我造成很不好的影响</t>
  </si>
  <si>
    <t>2019/10/07 11:33:47</t>
  </si>
  <si>
    <t>投诉人隋女士投诉对象交通银行涉诉金额5000元问题类型诉求类型投诉详情交通银行信用卡现在额度直接降了5000块钱，每月还最低还款，这个月只还了几百块钱，交通银行催收威胁今天中午12点必须还500元，不还就爆通讯录，还跟我说了我家人的名字来威胁我，对我造成了惊吓，要求道歉停止暴力催收，催收电话02155741334。</t>
  </si>
  <si>
    <t>2019/10/07 11:33:33</t>
  </si>
  <si>
    <t>去年12月在蛋壳租的房子，当时销售人员说有500元的优惠，并且可以通过老带新操作返还500元，我反映租不了一年，他反馈如果提前退租，会扣除70%的押金，后续老带新500元返还连影子都没有，经查询，好像已经被人冒领，那个销售也已离职，有意思的是，我本月10月1号退租，不仅将租房500元优惠扣除，还以合同约定提前1个月退租为由，押金一分不退，就是奇怪了，之前一直没人跟我说没提前一个月退租不退押金，我提前20多天退，已经是非常正常了，交房时打扫干净完好无损交还，也不知道给蛋壳公司造成什么困扰，我诉求，返还当时50</t>
  </si>
  <si>
    <t>2019/10/07 11:33:26</t>
  </si>
  <si>
    <t>还留下债务给父母承担所以打算将手中仅有的钱款与这些平台协商还款如果觉得不能接受的平台，或许会被反告由于长期还网贷导致压力过大我没有要挟任何人的意思，希望各平台联系我不想去投诉高利贷、砍头息这些原因。</t>
  </si>
  <si>
    <t>2019/10/07 11:32:46</t>
  </si>
  <si>
    <t>自由魔卡旗下六便士借2000元，需要交会员费550元，今天打电话要求还全款，我这边申请本金，不同意，并且威胁恐吓，态度恶劣。</t>
  </si>
  <si>
    <t>2019/10/07 11:32:36</t>
  </si>
  <si>
    <t>今天刚逾期半天，客户就给我打了两个电话，让我还款，我说暂时有困难还不上，让我几点几点必须还上，一直套路我是不是打算不还，是不是想让他们结案，然后会联系我单位之类的，要求给我打电话的催收书面做出道歉，我全程都有录音，如果不处理，我还会向互金会，12315等平台继续投诉。</t>
  </si>
  <si>
    <t>2019/10/07 11:30:17</t>
  </si>
  <si>
    <t>美团领导非法侵占骑手工资，还不给上诉，不给解决，聚投诉上投诉一次，一个多月也没人处理和跟进。</t>
  </si>
  <si>
    <t>2019/10/07 11:30:14</t>
  </si>
  <si>
    <t>高利贷阴阳合同，客服沟通不与协商、态度恶劣，电话骚扰。</t>
  </si>
  <si>
    <t>2019/10/07 11:30:13</t>
  </si>
  <si>
    <t>该平台未经本人同意确认直接扣款299元，客服不予搭理！现要求把款退回我账户！。</t>
  </si>
  <si>
    <t>2019/10/07 11:29:51</t>
  </si>
  <si>
    <t>，实际还款为4600左右，还款期限为一个月分为四期，其中第一期还款为1900，已经归还两期，之前就联系了希望归还本金销账，客服协商不成功，态度很差只减免200,而且一再强调1000的服务费是合理的，而且多次骚扰我的朋友，现在要求本金销账并且对于之前的恶劣态度做出道歉！。</t>
  </si>
  <si>
    <t>2019/10/07 11:29:40</t>
  </si>
  <si>
    <t>凡普贷款7万6，还下来却要还14万多，而且还忽悠办老友记划，套路贷，不办就打电话，加微信一直说！！而银谷借款5万，还下来差不多10万，每个月7号还款日，5号就喊还钱，完全就是骚扰。</t>
  </si>
  <si>
    <t>2019/10/07 11:29:39</t>
  </si>
  <si>
    <t>我之前已经在聚投诉上说明我的诉求了，但是拍拍贷一而再再而三的暴力催收，威胁我，前面已经爆了我的电话，现在问我住址身份证号还要找人上门催收，我不是不想还这钱，现在情况实属无奈，只希望好好协商去还款，让我慢慢打工去偿还所有欠款，希望聚投诉平台帮帮我。</t>
  </si>
  <si>
    <t>2019/10/07 11:28:30</t>
  </si>
  <si>
    <t>物流也显示签收了就是一直说没签收说核实然后不给我退款，一直拒绝我的退款申请。</t>
  </si>
  <si>
    <t>2019/10/07 11:27:49</t>
  </si>
  <si>
    <t>投诉人齐女士投诉对象黔国易购涉诉金额80元问题类型诉求类型投诉详情该公司上门要求缴纳饮水机订金80元，并承诺三天后能在楼下更换新的饮水机，而且在不需要使用时可退款，后来听说饮水机并不需要交钱使用，使用公众号退款时也一直退不了，工作人员也联系不到。</t>
  </si>
  <si>
    <t>2019/10/07 11:27:47</t>
  </si>
  <si>
    <t>我的车在九月份出现质量问题，联系定州广源4s店当时也查出是有故障，车辆在店里放了十几天了，到现在也说查不出问题，说厂家也没查出问题，推脱我到保定再次检查，由于我的车十月份就出质保期了，定州广源说出了质保期就不能免费维修了，但是我的车是在质保期内出现故障，他们没有查出原因，责任不能怪我，我要求出质保期后，如果出现同样故障，4s店应该给我负责，免费维修车辆。</t>
  </si>
  <si>
    <t>2019/10/07 11:27:23</t>
  </si>
  <si>
    <t>今我本人由于使用朋友手机太卡实在忍受不了没电加卡机的状态被迫今换了平板手机，但是由于自动核查人脸时候平板像素问题导致我可能没有通过又被禁闭了七天，我本人在这注明今所拍照均是我本人，如果有虚假行为我愿承担一切责任，同时也希望闪送公司能再次给我们闪送骑手一个机会帮忙解除禁闭一下吧，这个并非我们自身原因造成了主观因素，真的因为手机太旧了受不了才被迫更换登录设备了。</t>
  </si>
  <si>
    <t>投诉人马女士投诉对象美团涉诉金额0元问题类型诉求类型投诉详情本人已不再青海省西宁市新济源大药房工作了，但在美团中电话号码仍是我的，极大的扰乱了本人的生活，本人要求立即停用我的号码，。</t>
  </si>
  <si>
    <t>2019/10/07 11:27:21</t>
  </si>
  <si>
    <t>今天联系青春宝客服，客服威胁本人并捏造事实，客服也承认了放款扣除砍头息的问题，请问国家规定的不得在放款时候扣除利息及其他费用和国家规定的36利息红线何在，国家打击的套路贷行为就明确了恶意制造银行流水虚增借款金额的这种套路贷行为！本人已经向扫黑办举报。</t>
  </si>
  <si>
    <t>2019/10/07 11:27:10</t>
  </si>
  <si>
    <t>本人于2817年11月17号经朋友介绍在成都雨路科教报了一个网教升学，当时接待老师承诺说可以补学籍进去，如果补不进去就最迟次年的3月份入学籍，到了次年4月5月6月，本人一直在询问，但是客服一直在拖时间，最后本人强烈施压情况下，雨路科教的人打电话给我说我原定的学校现在又没办法报了，要报其他的当时想下也答应了，但是告知了自己需要尽快处理，接电话的人也答应优先处理，本人也告知如果再不处理只能退款了，本人有保留录音，但是到现在为止已经2019年10月份了还没任何消息，咨询客服说在处理，在测试，在等通知书，这明显不合</t>
  </si>
  <si>
    <t>2019/10/07 11:26:54</t>
  </si>
  <si>
    <t>投诉人徐先生投诉对象拍拍贷涉诉金额300000元问题类型诉求类型投诉详情后续将收集本人家人所收到的所有恐吓电话录音，恐吓短信截图，以及本人母亲受到刺激后的患病诊断单等，并寻找律师走法律程序，到法院状告拍拍贷公司，并向各新媒体平台宣传曝光拍拍贷公司的高利率贷款，暴力恐吓催收，毁本人家庭的事件。</t>
  </si>
  <si>
    <t>2019/10/07 11:25:56</t>
  </si>
  <si>
    <t>恶意收会员费，骗取客户资料，标语写的冠冕堂皇，实则挂羊头卖狗肉的骗子公司。</t>
  </si>
  <si>
    <t>2019/10/07 11:25:49</t>
  </si>
  <si>
    <t>投诉人包女士投诉对象重庆美团三快小额贷款有限公司,美团金融涉诉金额1500元问题类型诉求类型投诉详情美团外卖暴力催收，威胁，编造，骚扰家人，侵犯隐私捏造说我名下银行限额，威胁要骚扰我的家人，亲友，单位，欠钱是我个人的问题，你可以联系我的紧急联系人，威胁说去问我的亲友单位骚扰要钱算什么东西，还侵入到我的抖音去加我，发信息，加我粉丝，挨个去骚扰，找到我的qq去威胁，种种黑社会行为。</t>
  </si>
  <si>
    <t>2019/10/07 11:25:47</t>
  </si>
  <si>
    <t>我不记得有跟中金支付四川分公司签过任何的自动扣费项目，中金支付四川分公司恶意扣费，我发现卡里一有钱，第二天准扣费，分别扣了两次，10月4号跟10月7号，一共扣费399，希望中金支付四川分公司出来解释下，退款，道歉。</t>
  </si>
  <si>
    <t>2019/10/07 11:25:35</t>
  </si>
  <si>
    <t>本人这个月5号在去哪儿网借去花有一笔4320元的账单，接到他们催收的电话，要求我必须今天下午之前还款，但由于工资还没发放，我想申请协商，但他们态度恶劣，不予协商，并威胁要爆通讯录，这是违法的，希望催收方能停止这种行为，我的钱发了工资一定还。</t>
  </si>
  <si>
    <t>2019/10/07 11:25:23</t>
  </si>
  <si>
    <t>投诉人薛先生投诉对象浦发信用卡涉诉金额6000元问题类型诉求类型投诉详情浦发银行催收的每天给我打4-5个电话我跟他们说了过几天还款.他们还打电话威胁我说不还就爆通讯录。</t>
  </si>
  <si>
    <t>2019/10/07 11:25:10</t>
  </si>
  <si>
    <t>投诉人陈军投诉对象滴滴出行涉诉金额1元问题类型诉求类型投诉详情没有更改或删除人证或从新上传选项、我的滴滴是在沈阳上传的人证、现在我以换到三亚了，想更换三亚人证、但是找不到上传选项了呢。</t>
  </si>
  <si>
    <t>2019/10/07 11:24:40</t>
  </si>
  <si>
    <t>投诉人邬先生投诉对象万达普惠涉诉金额1500元问题类型诉求类型投诉详情不给资金筹备时间，并非恶意拖欠，态度差，催收不给时间。</t>
  </si>
  <si>
    <t>2019/10/07 11:23:53</t>
  </si>
  <si>
    <t>2019/10/07 11:22:29</t>
  </si>
  <si>
    <t>投诉人张先生投诉对象51人品涉诉金额5000元问题类型诉求类型投诉详情暴力催收逾期一天，联系家人导致婚姻破裂，因资金周转困难给客服打电话联系说协商还款，用第三方平台请暴力催收是不是要家破人亡，，妻离子散他们才安心，，要求停止骚扰家人朋友如果这样下去大不了同归于尽，。</t>
  </si>
  <si>
    <t>2019/10/07 11:22:01</t>
  </si>
  <si>
    <t>第一月额外砍头息200，年化利率超出36%的高利贷，急用钱也只能认了，没想过赖账，之前都提前还，本月资金出点问题，逾期一天，洋钱罐也没给我打电话沟通协商，直接爆通讯录让家人通知我，要求停止对我隐私的侵犯，好好协商高利贷一样还，否则按法律程序走吧。</t>
  </si>
  <si>
    <t>2019/10/07 11:21:47</t>
  </si>
  <si>
    <t>2019年7月7日早晨通过pos机刷走500元。</t>
  </si>
  <si>
    <t>2019/10/07 11:21:24</t>
  </si>
  <si>
    <t>有个广东惠州的号码电话号码打来，自称拍拍刘主任的打电话来叫我还款，我和他协商好还合同上1050，他同意了，说还了1050就可以发结清证明给我，我说现在没钱，他说给我筹钱时间，我筹到钱了，说还进去，app，里面没有的欠款数据，打电话给那个自称刘主任那个，他叫我打给客服，我打了，后来是另外一个人联系我，说要还1500才能发结清证明，我在打那个自称刘主任的电话，打通了没人接，现在拍拍贷久不久就以律师的名义发短信来给我的家人和朋友，。</t>
  </si>
  <si>
    <t>2019/10/07 11:20:51</t>
  </si>
  <si>
    <t>上海幸福国际集团有限公司,化州市宝圩福权车行，我家老人见电动车搞以旧换新的活动就去参与了，商家说有保障，大品牌，电满电能开80公里，可是就开始两个月可以，现在用不到半年电车就10公里都开不了。</t>
  </si>
  <si>
    <t>2019/10/07 11:20:41</t>
  </si>
  <si>
    <t>2019/10/07 11:19:18</t>
  </si>
  <si>
    <t>今天早晨收到花月钱包平台的短信，恐吓我如不还款将贩卖我的个人信息，大家都知道自己的信息是受国家法律保护的，如果该平台真的这样做了，我会维权到底的，该平台属于714高炮平台，借款3000元实际到账1900元，并且不需要借款人确认借款就主动放款！。</t>
  </si>
  <si>
    <t>2019/10/07 11:19:17</t>
  </si>
  <si>
    <t>投诉人李先生投诉对象信用管家,牛人有品,畅捷支付涉诉金额1632元问题类型诉求类型投诉详情聚投诉你好！本人在信用管家下载APP,牛人有品公司借款160030天2期816实际到账由畅捷支付公司放款1152元，却要还1632元已还一期牛人有品公司在2019年10月7号上午10点50分许，打电话过来，说投诉后只能减免200那就是总共加起来还1432280的高额利息费，通话录音都保着要求该牛人有品公司本金带合理息处理。</t>
  </si>
  <si>
    <t>2019/10/07 11:19:10</t>
  </si>
  <si>
    <t>我昨晚在扫码骑单车！结果扫码就交了一百押金！押金交了！却车骑不了！然后打电话给客服没人！联系在线客服也没人！根本就是骗人的平台。</t>
  </si>
  <si>
    <t>2019/10/07 11:18:59</t>
  </si>
  <si>
    <t>投诉人 任女士        投诉对象  上海造艺网络技术有限公司旗下聚福钱包        涉诉金额  399 元    问题类型    诉求类型投诉详情  聚福钱包未经本人允许从我银行卡里扣款两次 一次299一次100</t>
  </si>
  <si>
    <t>2019/10/07 11:18:35</t>
  </si>
  <si>
    <t>在立借APP上借款5500远，分12期，总共需要还7810元，APP内无法查询到任何借款合同以及借款人的认证信息。</t>
  </si>
  <si>
    <t>2019/10/07 11:18:28</t>
  </si>
  <si>
    <t>本人因工作原因，导致招联金融未能及时还款，与平台工作人员协商，工作人员不同意协商并且威胁恐吓。</t>
  </si>
  <si>
    <t>2019/10/07 11:18:16</t>
  </si>
  <si>
    <t>投诉人李女士投诉对象信用钱包涉诉金额3616元问题类型诉求类型投诉详情本人因身患重病、下月将开始治疗成功率极低不想如果真的离开这个世界还留下债务给父母承担所以打算将手中仅有的钱款与这些平台协商还款如果觉得不能接受的平台我只能先去还好协商的平台钱还完如果还有债务我离开了征信以及爆通讯录对我来说没有伤害对你们来说毫无收获如果激怒我的父母或许会被反告由于长期还网贷导致压力过大我没有要挟任何人的意思我们家不是农村的大部分人都在银行以及政府工作但是欠债还钱天经地义但法理中还有一些人情我想积极去协商然后去治疗这个世界其</t>
  </si>
  <si>
    <t>2019/10/07 11:18:03</t>
  </si>
  <si>
    <t>投诉人 张先生        投诉对象  馒头借钱        涉诉金额  432 元    问题类型    诉求类型投诉详情  申请时诱导用户 不说明扣费 一申请直接扣费 自动扣款不管用户同意还是不同意 扣款将近一个月了 也没有任何进程 现在申请把扣我的钱退回来</t>
  </si>
  <si>
    <t>2019/10/07 11:17:55</t>
  </si>
  <si>
    <t>投诉人 向女士        投诉对象  有用分期        涉诉金额  13 000 元    问题类型    诉求类型投诉详情  因为忘记还款了 第二天就爆了通讯录 然后发短信威胁 以后我加微信协商还款 被拒绝以后 就又继续进行电话恐吓 爆通讯录</t>
  </si>
  <si>
    <t>2019/10/07 11:17:35</t>
  </si>
  <si>
    <t>投诉人 孙贺        投诉对象  超级马力贷,自由魔卡        涉诉金额  2 060 元    问题类型    诉求类型投诉详情  超级马力贷严重超出国家标准利率 他们收取500会员费 现在逾期一天更是要一天50的利息 我要求减免金额 协商还款</t>
  </si>
  <si>
    <t>2019/10/07 11:16:53</t>
  </si>
  <si>
    <t>投诉人 陈先生        投诉对象  新浪微博        涉诉金额  11 000 元    问题类型    诉求类型投诉详情  高额逾期费。和暴力催收。无视国家法律法规。逾期一天就罚四十多块，表示会还钱，</t>
  </si>
  <si>
    <t>2019/10/07 11:15:59</t>
  </si>
  <si>
    <t>违规操作、催收态度恶劣、恐吓，不与协商、电话轰炸亲人朋友。</t>
  </si>
  <si>
    <t>2019/10/07 11:15:51</t>
  </si>
  <si>
    <t>投诉人 肖洪        投诉对象  小花钱包        涉诉金额  668 元    问题类型    诉求类型投诉详情  未到还款日反复电话骚扰，要求提前还款 催收态度恶劣。</t>
  </si>
  <si>
    <t>2019/10/07 11:15:49</t>
  </si>
  <si>
    <t>恒信贷以贷款为目的让我交598的会员费才放款，后以银行卡错误为由转账3300到银行卡又以提前还一个月为由收取1080的钱到他们账户，就一直推脱，到后来平台也打不开，客服也消失。</t>
  </si>
  <si>
    <t>2019/10/07 11:15:47</t>
  </si>
  <si>
    <t>该公司在没有任何提示的情况下已信用评估的名头扣取了299元的评估费，且在与客服沟通后拒绝了我银行卡解绑的要求，有极高的再次强行扣费的可能。</t>
  </si>
  <si>
    <t>还有好几条被删了，这是人说的话吗，申请2000到手1300，6天还一次还这么猖狂。</t>
  </si>
  <si>
    <t>2019/10/07 11:15:43</t>
  </si>
  <si>
    <t>本来充值6元的音浪，自己就跳转到了518我及时联系客服说明问题，客服让我提交资料到抖音后台，然后一直没有消息了。</t>
  </si>
  <si>
    <t>2019/10/07 11:14:55</t>
  </si>
  <si>
    <t>上海淇毓信息科技有限公司旗下360借条，给我的额度是两万，我要体现还要工本费，我出了工本费1000元，结果又说我账号错误，资金被冻结，要我拿6000元作为解冻押金，我觉得不靠谱，就没管，今天早上给我发信息让我还款，我钱都没拿到，我还什么款，我问客服，人家还说我没处理。</t>
  </si>
  <si>
    <t>2019/10/07 11:14:00</t>
  </si>
  <si>
    <t>高利息，变象购买无用金豆，退还己支付购买的金豆，不应支付购买无用金豆，我想申请，在7--10天内还清其本金，，2500元+2000元，其购买的金豆750元和500元本人不予偿还，我在这个平台上已经使用过几个月了利息都还了5-6000了，现在知道不能在用网络套路贷了，，我想一次还清，以后彻底不用了，，。</t>
  </si>
  <si>
    <t>2019/10/07 11:13:54</t>
  </si>
  <si>
    <t>本人创业失败因欠钱站2000元，分三个月要还3000元，非法高利贷，砍头息，暴力催收，威胁恐吓！。</t>
  </si>
  <si>
    <t>2019/10/07 11:13:52</t>
  </si>
  <si>
    <t>投诉人李女士投诉对象安逸花涉诉金额12163元问题类型诉求类型投诉详情本人因身患重病、下月将开始治疗&amp;nbsp;成功率极低，不想如果真的离开这个世界&amp;nbsp;&amp;nbsp;还留下债务给父母承担，所以打算将手中仅有的钱款与这些平台协商还款，如果觉得不能接受的平台&amp;nbsp;我只能先去还好协商的平台，钱还完&amp;nbsp;如果还有债务&amp;nbsp;我离开了&amp;nbsp;征信以及爆通讯录对我来说&amp;nbsp;没有伤害&amp;nbsp;对你们来说&amp;nbsp;毫无收获&amp;nbsp;如果激怒我的父母&amp;nbsp;或许会被反告由于长期还网贷</t>
  </si>
  <si>
    <t>2019/10/07 11:13:30</t>
  </si>
  <si>
    <t>截止目前，未收到任何积极回应，如果3天以后得不到满意的答复，我将求助社会媒体介入。</t>
  </si>
  <si>
    <t>2019/10/07 11:13:29</t>
  </si>
  <si>
    <t>仁优橙优品高利贷，我申请10000的到手一会儿扣回1000元，每期要还1830多分6期，算了下年利率远超年利率规定，，作出解释，调整利率。</t>
  </si>
  <si>
    <t>2019/10/07 11:13:08</t>
  </si>
  <si>
    <t>投诉人赵女士投诉对象湖北移动涉诉金额0元问题类型诉求类型投诉详情我这边是移动的客户很多年了，现在才发现移动的客服那么厉害，我们消费者，根本没有说不得权利，我的问题从8月15到10月7投诉客服多次承诺我可以处理，没有处理的问题没有解决，回电客服态度一个比一个强硬，先是挂电话，现在又是说这边打电话协商，然后说最终方案，如果我不需要，不接受，就代表荆门移动，不在给我打电话，不在协商，我就想知道，他是不是可以代表荆门移动，。</t>
  </si>
  <si>
    <t>2019/10/07 11:12:10</t>
  </si>
  <si>
    <t>投诉人 胡先生        投诉对象  众安保险/小赢卡贷        涉诉金额  1 000 元    问题类型    诉求类型投诉详情  本来于19.10.3在小赢卡贷借款后 莫名得知在众安保险有保单 事后一脸懵逼 打电话给众安保险客服 说不能退保 然后恶意引导我可以提前结前网贷 根本在逃避我的诉求</t>
  </si>
  <si>
    <t>2019/10/07 11:11:12</t>
  </si>
  <si>
    <t>百度有钱花暴力催收，骚扰家人和朋友，已经多次沟通希望可以延长分期，但是对方始终不同意，还恶意骚扰朋友家人。</t>
  </si>
  <si>
    <t>2019/10/07 11:10:22</t>
  </si>
  <si>
    <t>投诉人包松投诉对象捷信金融涉诉金额2000元问题类型诉求类型投诉详情自称是捷信法务部每天威胁起诉，骚扰不断，太高利贷了。</t>
  </si>
  <si>
    <t>2019/10/07 11:10:05</t>
  </si>
  <si>
    <t>微博借钱高额高利息，和高额的逾期费，因为有些事耽误了，逾期一天就要四十多的逾期费，太高了，已经严重违法国家政策，加上暴力催收几分钟就三个电话，也无视国家法律，严重挑战国家。</t>
  </si>
  <si>
    <t>2019/10/07 11:09:56</t>
  </si>
  <si>
    <t>投诉人王先生投诉对象钱包易贷涉诉金额600元问题类型诉求类型投诉详情因银行卡被冻结，暂时不能还款，本人一直联系平台客服，电话不通，平台摧收人员不和我联系，严重搔扰通迅录里面所有人。</t>
  </si>
  <si>
    <t>2019/10/07 11:09:55</t>
  </si>
  <si>
    <t>本人于2019年5月25号交的保证金，期间用车信誉良好，没任何违章记录，后来8月19号申请退保证金，平台显示5-10个工作日内退还给我，到现在已经过去48天，还没有退给我。</t>
  </si>
  <si>
    <t>2019/10/07 11:09:36</t>
  </si>
  <si>
    <t>投诉人闫女士投诉对象智行涉诉金额0元问题类型诉求类型投诉详情原手机号156开通了铂金会员，一年50，现在换新手机号，想改成188的号码，结果一直提示我已经绑定其他账号，联系人工也找不到。</t>
  </si>
  <si>
    <t>2019/10/07 11:09:09</t>
  </si>
  <si>
    <t>我2017年5月份借捷信2万元，已还16133.但是捷信显示未还金额21359.17.中间电话威胁，恐吓家人，导致家人精神错乱，现已住院治疗，请求国家有关部门给予帮助，严厉查处高利贷暴力催收公司。</t>
  </si>
  <si>
    <t>2019/10/07 11:08:46</t>
  </si>
  <si>
    <t>投诉人王先生投诉对象e融贷涉诉金额13000元问题类型诉求类型投诉详情套路贷。</t>
  </si>
  <si>
    <t>2019/10/07 11:08:32</t>
  </si>
  <si>
    <t>投诉人 丁女士        投诉对象  国美易卡        涉诉金额  7 300 元    问题类型    诉求类型投诉详情  去了外地 申请借款的手机忘记带了 逾期两天 逾期费用高的吓人 减免</t>
  </si>
  <si>
    <t>2019/10/07 11:08:24</t>
  </si>
  <si>
    <t>对我家庭，通讯录进行语言攻击，威胁，侮辱辱骂，造成了很多影响。</t>
  </si>
  <si>
    <t>2019/10/07 11:08:22</t>
  </si>
  <si>
    <t>在有钱花借钱，现在无力偿还，已经逾期了，现在正在努力筹钱，前段时间手机坏了，电话接不到，他们就打电话骚扰家人，希望停止骚扰家人，欠的钱，我会努力还的。</t>
  </si>
  <si>
    <t>2019/10/07 11:08:12</t>
  </si>
  <si>
    <t>非法强制购物，才能借款，不良信用，之前还骗我购买会员。</t>
  </si>
  <si>
    <t>2019/10/07 11:08:01</t>
  </si>
  <si>
    <t>投诉人罗成祥先生投诉对象买单侠,上海秦苍信息科技有限公司涉诉金额4800元问题类型诉求类型投诉详情1.高利贷合同显示年利率32.4%，真实年化利率87.1%，详见附件2.暴力催收催收人员轰炸通讯录，骚扰亲朋好友，并污蔑我，给有的去电话说我被警方抓了，给有的说我死了等等通话录音无法上传，如有需要烦请提供邮箱我可以将通话录音发过去。</t>
  </si>
  <si>
    <t>2019/10/07 11:07:38</t>
  </si>
  <si>
    <t>投诉人张先生投诉对象兴业银行信用卡涉诉金额10000元问题类型诉求类型投诉详情2019年5月，因武汉军运会原单位停产搬迁，公司给予遣散费全数还进兴业银行信用卡7000元，随即信用卡被冻结！至今每月只能以最低还款还款！多次和客服联系，无结果！因无资金周转，造成后续生活诸多影响！诉求：恢复部分额度！。</t>
  </si>
  <si>
    <t>9月23日，现在已经快半个月，急用钱，去申请退还押金，但平台提示要满20天以后才能申请退，而且满20天以后申请，还需要等7-15个工作日，联系客服客服也说没办法，得满足平台条件；法律规定分时租车押金退款周期不超过18天，联动云这退个押金都一个月左右了，恳请贵平台给予转达，谢。</t>
  </si>
  <si>
    <t>2019/10/07 11:07:26</t>
  </si>
  <si>
    <t>本人于2018年12月7日在你我贷平台借款2000元，分12个月还款，第一期第二期每期还款350.5，第三期开始到结束每期还款201.7，投诉宝付支付为你我贷这种高利贷套路贷提供违法的支付通道现已还10期，共计2314.6元，要求你我贷平台将后续两期未还款金额销账处理，否则将投诉银监会等相关部门，公然违反国家法律法规，我将维护我本人个人合法权益，共计还款2718，利息共计718元，年利率36，违法国家法律法规高额利息，投诉你我贷平台高利贷，投诉宝付支付为你我贷这种高利贷套路贷提供违法的支付通道，现已还10期</t>
  </si>
  <si>
    <t>2019/10/07 11:07:11</t>
  </si>
  <si>
    <t>投诉人安先生投诉对象现金巴士涉诉金额10000元问题类型诉求类型投诉详情两三年钱就开始用现金巴士了，前前后后利息不知道还了多少了，突然有困难，也不能协商，我也没办法。</t>
  </si>
  <si>
    <t>投诉人胡先生投诉对象畅捷支付涉诉金额4088元问题类型诉求类型投诉详情本人在9月25号向畅捷支付电话沟通反映问题，对方说此问题要通过微信公众号咨询，本人在微信公众号反馈问题，客服根本没人搭理，说3-5个工作日处理，已经过去半个多月还没人联系，本人已向金融办和12315反馈该公司问题，违规为高利贷平台提供支付通道，严重损害了消费者的合法权利，本人要求畅捷支付联系我解决问题。</t>
  </si>
  <si>
    <t>2019/10/07 11:07:00</t>
  </si>
  <si>
    <t>投诉人王女士投诉对象嗨钱网涉诉金额11850元问题类型诉求类型投诉详情app里面显示什么逾期，法院诉讼，已经进行过扣款。</t>
  </si>
  <si>
    <t>2019/10/07 11:06:57</t>
  </si>
  <si>
    <t>投诉人廖先生先生投诉对象米袋涉诉金额1000元问题类型诉求类型投诉详情米袋借款属于高利贷，高炮，借1000到账800，周期是20天，曾经多次协商还款对方均态度恶劣强硬，不肯协商，只回复要么全款还1000，要么续期，费用是235多块钱，现在续期费用加上砍头息，早已经远远超过借款本金800块钱了，希望直接做销账处理！望聚投诉曝光这高利贷，彻底打击。</t>
  </si>
  <si>
    <t>2019/10/07 11:06:41</t>
  </si>
  <si>
    <t>投诉人杨女士投诉对象招商银行,招商银行信用卡涉诉金额20000元问题类型诉求类型投诉详情该电话冒充公安局人员，态度恶劣，有录音为证。</t>
  </si>
  <si>
    <t>2019/10/07 11:06:38</t>
  </si>
  <si>
    <t>投诉人邵女士投诉对象51人品涉诉金额1600元问题类型诉求类型投诉详情欠了51人品贷7天，今天来电话，我表明现在十分困难后，对方说现在不是跟你协商，通知你今天十二点把欠款处理上，否则承担被起诉，言外之意还有各种催收的后果。</t>
  </si>
  <si>
    <t>2019/10/07 11:05:58</t>
  </si>
  <si>
    <t>投诉人杨先生投诉对象兴业银行信用卡涉诉金额15000元问题类型诉求类型投诉详情我在兴业银行持有一张信用卡，因为被朋友借走后客户失联，现在资金困难暂时还不上，兴业银行打电话对我家人进行骚扰威胁和恐吓，还声称要上家门去找，。</t>
  </si>
  <si>
    <t>2019/10/07 11:05:34</t>
  </si>
  <si>
    <t>投诉人王先生投诉对象阿卡索教育网涉诉金额6988元问题类型诉求类型投诉详情我于去年在深圳市阿卡索教育平台办理了6988元的英语网络学习课程，一共380节课，我只使用了10节课，其中还有几节课因为工作突发情况没能去到网络教室，因为教学的外教都是来自菲律宾马来西亚等南亚国家，且教学质量参差不齐，可说是质量堪忧，所以我后面就没有去上课了，而后又因为我的工作时间不稳定，需要经常出差、加班，就一直没有再去上课，前两天我向阿卡索申请退款，两次阿卡索投诉部门的工作人员都是已经超过退款申请时间不能退款，可以帮我申请课程暂停</t>
  </si>
  <si>
    <t>2019/10/07 11:05:25</t>
  </si>
  <si>
    <t>投诉人张女士投诉对象拍拍贷,海峡银行,福建海峡银行,深圳市润乾融资担保有限公司涉诉金额11000元问题类型诉求类型投诉详情2019年8月27日在拍拍贷平台借款，实际出借人为福建海峡银行，拍拍贷窃取手机通讯录，一男一女催收员开始用手机和座机电话每天疯狂拨打我和通讯录里面所有人的电话，在电话里面对通讯录联系人言语恶劣，不停的侮辱，诽谤，捏造事实，言语软暴力，恐吓我通讯录里的人，打电话到拍拍贷投诉，拍拍贷客服说这个是实际出借人找第三方来进行催收，每天都要接十个以上电话，特别是晚上七点半开始平均三个电话，借款打国家</t>
  </si>
  <si>
    <t>2019/10/07 11:05:24</t>
  </si>
  <si>
    <t>投诉人 赵先生        投诉对象  点点花        涉诉金额  6 000 元    问题类型    诉求类型投诉详情  借款3500元 到手2100多元 前后续期费和还款共计6000多元</t>
  </si>
  <si>
    <t>2019/10/07 11:05:03</t>
  </si>
  <si>
    <t>嗨钱网借款4000，私自扣款800服务费，分三期还，也就算了，第三期app嗨钱网自己出现问题还款不了，一直显示逾期中，有个电话号码打过来自称光华普惠私自扣钱，我说app还款我才相信他们说软件更新不能用，还私自从我卡里扣钱，本身我借钱是要还，但是apo一直显示逾期中，迟迟没入账，说是apo更新维护，要更新几个月吗，明明是被警方查处了，嗨钱网就一句话回复投诉者也没给出合理解释，请嗨钱网给我一个合理尽快app的账处理。</t>
  </si>
  <si>
    <t>2019/10/07 11:04:58</t>
  </si>
  <si>
    <t>公司工资推迟几天发，资金周转不过来，暂时还不上，15号还上，请勿暴力催收，之前经历过一次，家人老人心脏不好，有事请与我联系。</t>
  </si>
  <si>
    <t>2019/10/07 11:04:46</t>
  </si>
  <si>
    <t>投诉人 杨先生        投诉对象  易宝支付,卡牛瑞贷,上海烈熊        涉诉金额  2 164 元    问题类型    诉求类型投诉详情  本人于卡牛借款。第一次申请界面有显示 什么会员费 乱七八糟的 第二次和第三次没有显示 而且扣款越来越多 这个费用还想扣多少扣多少啊？利息不明 借款金额和时长一样利息居然不一样。请合理解决。解决不合理。我会拒绝还款</t>
  </si>
  <si>
    <t>2019/10/07 11:04:45</t>
  </si>
  <si>
    <t>投诉人王先生投诉对象钱橙无忧涉诉金额170元问题类型诉求类型投诉详情无缘无故就从银行卡里扣钱，之前都不表明。</t>
  </si>
  <si>
    <t>2019/10/07 11:04:36</t>
  </si>
  <si>
    <t>投诉人曹先生投诉对象圆通速递涉诉金额0元问题类型诉求类型投诉详情9月16号就显示已送达，一直没有看到货，地址没有填房间号只填了10栋，小区5个快递柜不放直接点送达，次日就反馈了没有回复，多次反馈没有结果和任何回复信息和电话，这种态度有点让人无语，客服只是说联系相关人员处理，快递员电话也打不通，要求严惩不贷，已经打电话道歉和赔偿。</t>
  </si>
  <si>
    <t>2019/10/07 11:04:26</t>
  </si>
  <si>
    <t>停止骚扰家人，恐吓家人，虚假信息，暴力催收。</t>
  </si>
  <si>
    <t>2019/10/07 11:04:20</t>
  </si>
  <si>
    <t>投诉人 胡先生        投诉对象  众安保险        涉诉金额  1 000 元    问题类型    诉求类型投诉详情  众安保险捆绑销售 拒绝捆绑销售 霸王条款</t>
  </si>
  <si>
    <t>2019/10/07 11:03:50</t>
  </si>
  <si>
    <t>我前两天给打电话，客服一直接不通，想提前跟说下，等上班后处理，宽限两天，结果一直联系不上，还款日第二天早上，催收的就来了，语气怪癖，侮辱威胁个不停，什么要第三方社会人上门，威胁联系我单位领导，爆单位亲戚电话，我跟他说上班后第一时间处理，不行，威胁十二点以后就爆通讯录，我未同意他这样做，现在现在在贵平台先投诉一下，如果他真爆通讯录，打单位电话等等这些软暴力手段，我会直接报警处理。</t>
  </si>
  <si>
    <t>2019/10/07 11:03:12</t>
  </si>
  <si>
    <t>投诉人 丁女士        投诉对象  国美金融        涉诉金额  7 300 元    问题类型    诉求类型投诉详情  因在外地 申请贷款的手机忘记带了 逾期两天回来看到逾期费用高的吓人 减免逾期费</t>
  </si>
  <si>
    <t>2019/10/07 11:03:06</t>
  </si>
  <si>
    <t>王者钱包到账1860，六天要还利息1153.2.。</t>
  </si>
  <si>
    <t>2019/10/07 11:02:21</t>
  </si>
  <si>
    <t>在微博借款第二天我打电话给客服想要将每月六号的还款日调整至每月八号，违约金会照常交不影响征信就好，当时的客服让我在下个月六号当天在给客服打电话给我更改，结果这个月六号我再打电话要求更改遭到了对方的拒绝！拖延了我的时间影响我的征信情况！。</t>
  </si>
  <si>
    <t>2019/10/07 11:02:15</t>
  </si>
  <si>
    <t>本人在豆豆钱借款20000元，先是扣取1891元，按照合同应每月还1700多，可实际还2100。</t>
  </si>
  <si>
    <t>2019/10/07 11:02:12</t>
  </si>
  <si>
    <t>交通信用卡不停给我打电话，不停给联系人打电话，威胁我爸妈，说骚扰我怎么了，欠钱还钱天经地义，这就是一个银行的做法，我今天去本地交通银行楼顶跳楼了，就是交通银行那个变态催收逼得，已经走投无路，还天天被交通银行打电话威胁恐吓谩骂，威胁我父母家里人，，我的死就是为了让人知道交通银行没有人权，变态催收为了一万块钱逼死人！。</t>
  </si>
  <si>
    <t>2019/10/07 11:02:10</t>
  </si>
  <si>
    <t>我欠你们钱逾期5天了，这我承担责任，我说答应了10月8号还，不是想赖着不还，和你们催收协商，得到的是今天下午几点几点就要还清，这叫协商吗，而你们就到处去通知我的亲人朋友，你们这是要干嘛。</t>
  </si>
  <si>
    <t>2019/10/07 11:01:20</t>
  </si>
  <si>
    <t>我因为经济遇上问题，还不上信用卡，逾期了将近3个月，今兴业银行外包催收打电话，一直恐吓要付很严重的法律责任，我和她说要去凑钱，能承诺这个月底还清或者客服电话分期，前几天我也确实打过客服电话，但一直没有相应回复，，总之这个催收通通拒绝并要求我下午之前立刻还清，态度很差，拒绝和我做相应的沟通，最后还挂我电话，现在希望兴业银行通融，至这个月结束之前，必然还上。</t>
  </si>
  <si>
    <t>2019/10/07 11:01:12</t>
  </si>
  <si>
    <t>2019-10-6日通过哈罗顺风车APP发布一个晚23:15分从马家峪到莒南一中小吃街的顺风车订单，同时也在多个拼车群里发布出行信息，有一个乘客联系我坐车，我推荐给了他哈罗顺风车，按照规定邀请一个新用户10元现金奖励，，然后他从哈罗顺风车上给我发消息问我能不能提前出发，我说我时间自由，随时都可以，最后出发时间是八点左右，当时接到平台显示的是这一订单金额是27元+1元的接单券，也就是28元，结果乘客到达目的地以后车费到账12元，联系哈罗客服，那客服拽的跟二五八万一样，最后也没给我说出个啥，然后第二次联系客服，</t>
  </si>
  <si>
    <t>2019/10/07 11:01:07</t>
  </si>
  <si>
    <t>在本人不知情的情况之下开通代扣扣除个人账户余额299元，已经构成了欺诈行为，请有关部门对其进行查封和产品下架不危害到更多的人。</t>
  </si>
  <si>
    <t>2019/10/07 10:59:45</t>
  </si>
  <si>
    <t>使用信而富借款看到是分两笔第一笔强制购买商品，然后再云南信托再放款给我！这是法律规定犯法的砍头息行为。</t>
  </si>
  <si>
    <t>2019/10/07 10:59:35</t>
  </si>
  <si>
    <t>本人于2019年9月06日在信用管家引流平台平台里面的金钱保，借款为1875元，一个月分四期还共需2558.8元，八天一期，一期还款金额为639.7，本人已还三期，严重超出国家利率，放款方是畅捷支付，也违规提供支付通道。</t>
  </si>
  <si>
    <t>2019/10/07 10:59:15</t>
  </si>
  <si>
    <t>本人于2019.9.6通过电话营销的方式下载立马进钱app，申请2800元贷款，每期7天，每期还款1022.4元，现在已经还清3期，已经还款3066元，利息远超国家法定利息，已经还清本金加200多元利息，希望最后一期能加合理利息销账，本人最近资金周转困难，已经通过支付宝渠道完成3期还款，最后一期希望能与平台协商，希望平台尽快联系我。</t>
  </si>
  <si>
    <t>2019/10/07 10:59:00</t>
  </si>
  <si>
    <t>投诉人 雷先生        投诉对象  网商贷,网商银行        涉诉金额  12 500 元    问题类型    诉求类型投诉详情  之前因为家里有人住院 一直没来得及还款方式 但是身上一有钱就还进去 陆陆续续已经还了快一万五 利息罚息我都照常支付 之前跟催收协商还款 每个月分期还 说实话金额已经超出我的能力范围内 但是还是用尽全力去还 我就因为9月份 工作导致没有收入的我自己也生病住院 经济压力已经压垮了 想着9月份和10月份的在一起还 首先从来没想过不</t>
  </si>
  <si>
    <t>2019/10/07 10:58:41</t>
  </si>
  <si>
    <t>浦发信用卡拒绝协商还款，要求全额还款，态度强硬，直接发律师函，给生活带来不良影响。</t>
  </si>
  <si>
    <t>2019/10/07 10:58:40</t>
  </si>
  <si>
    <t>投诉人张女士投诉对象华润深国投信托有限公司,拍拍贷涉诉金额3943元问题类型诉求类型投诉详情2019年8月27日在拍拍贷平台借款，实际出借人为华润深国投信托有限公司，拍拍贷窃取手机通讯录，一男一女催收员开始用手机和座机电话每天疯狂拨打我和通讯录里面所有人的电话，在电话里面对通讯录联系人言语恶劣，不停的侮辱，诽谤，捏造事实，言语软暴力，恐吓我通讯录里的人，打电话到拍拍贷投诉，拍拍贷客服说这个是实际出借人找第三方来进行催收，每天都要接十个以上电话，特别是晚上七点半开始平均三个电话，借款打国家标准的利息擦边球，年</t>
  </si>
  <si>
    <t>2019/10/07 10:58:37</t>
  </si>
  <si>
    <t>贷上钱以买游戏金豆为由，变相增加借款金额，高额的利息，严重砍头息不符合国家规定标准，如今爆我通讯录，搞得人尽皆知，我现在都想跳楼了，。</t>
  </si>
  <si>
    <t>2019/10/07 10:58:36</t>
  </si>
  <si>
    <t>7月25日，在此期间我多次打该公司4008620630客服，客服均告知我的退款已抵达财务会在45个工作日内退款，在2019年9月26日已经超过45天，在我再三电话催问该报名点段老师，后才联系上该负责退款中和教育王老师170******09说无法完成退款，具体退款时间无法答复，个人诉求立刻退回全额10180元服务费，该公司签订45天霸王退款，并未能履行合同存在诈骗消费者行为，请贵单位领导重视烦请给解决，谢谢您。</t>
  </si>
  <si>
    <t>2019/10/07 10:58:14</t>
  </si>
  <si>
    <t>投诉人张先生投诉对象微星创鑫互联专营店涉诉金额1700元问题类型诉求类型投诉详情10月3日卖家收到我寄回售后的电脑主机后，以各种理由，迟迟不提供售后服务。</t>
  </si>
  <si>
    <t>2019/10/07 10:57:48</t>
  </si>
  <si>
    <t>投诉人陈先生投诉对象立借涉诉金额9200元问题类型诉求类型投诉详情因国庆节放假，自身原因导致资金节假日前没到位而逾期，立借公司一打电话来就态度恶劣，并不与我协商直接爆通讯录，严重影响我的工作关系和朋友关系，要求立借马上停止暴力催收，同时调整借款利率及还款期数，借6500最后要还9230元，其中第一期就要还3509.97.第二期要还2827.47，第三期要还2242.56，最后9期均还72.15，请问这不是高利贷，不是砍头息吗，喝人血的吗，借12期，前三期就已经连本带息都已经还到了8578元，远超国家法律规定</t>
  </si>
  <si>
    <t>2019/10/07 10:57:36</t>
  </si>
  <si>
    <t>第二日不销账还威胁我不再次还款就逾期！我还款后说8号退回支付宝转账还款的金额，今天联系客服又给我说需要7-15工作日！我为什么要把钱放在你们平台账户里。</t>
  </si>
  <si>
    <t>2019/10/07 10:57:09</t>
  </si>
  <si>
    <t>客服说要要上传什么身份证照片，还要打印什么签子文件。</t>
  </si>
  <si>
    <t>2019/10/07 10:57:07</t>
  </si>
  <si>
    <t>小当家平台超高利息砍头息，暴力催收电话不止借2500还3600。</t>
  </si>
  <si>
    <t>2019/10/07 10:57:02</t>
  </si>
  <si>
    <t>前段时间由于个人原因导致京东白条逾期欠款，我已经还掉逾期欠款，京东金融APP也显示按月还款，却被第三方告知必须在三天之内结清全部欠款，否则就要联系户籍所在地的催收上门，和去我们村委调查，请问第三方有这么大的权利，。</t>
  </si>
  <si>
    <t>2019/10/07 10:56:42</t>
  </si>
  <si>
    <t>投诉人陈磊投诉对象小浦优客涉诉金额296元问题类型诉求类型投诉详情小浦优客app申请借款，按步骤填写资料，然后最后要求绑定银行卡，绑定完成就开始审批，过了一个小时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</si>
  <si>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2019/10/07 10:56:36</t>
  </si>
  <si>
    <t>轻周转涉嫌高利贷，第一次借款2000到账1400，第二次借款3000到账2100，每笔分四期还款，每期7天，逾期一天费用高达50，妥妥的高利贷。</t>
  </si>
  <si>
    <t>2019/10/07 10:56:35</t>
  </si>
  <si>
    <t>嗨钱网催收电话以恐吓，暴力倾向逼我还钱，本人与嗨钱有贷款纠纷，要去退还不正当利息，砍头息，嗨钱一直不给解决，还一直骚扰恐吓要求我还钱，本人说很清楚先帮我把该还我的钱还我，我一定还上该还的，本人非法损失的钱都够还他们的钱了。</t>
  </si>
  <si>
    <t>2019/10/07 10:56:31</t>
  </si>
  <si>
    <t>退款问题说十几天现在二十天了没人给予答复，还多扣一天租金，到现在打电话只是敷衍两句，一万块钱押金，交钱的时候一天，退钱十几天，给我个合理解释。</t>
  </si>
  <si>
    <t>2019/10/07 10:56:23</t>
  </si>
  <si>
    <t>协商未果，威胁我12点钱还款，态度恶劣，威胁我爆通讯录，毁我名声。</t>
  </si>
  <si>
    <t>2019/10/07 10:56:18</t>
  </si>
  <si>
    <t>本人在机场遇到穿着制服的工作人员推销1980元购买民航联盟的会员卡，承诺充1980元送3020元，享受卡内共计5000元的余额，但在购买机票时发现该余额并不能抵消全部的机票钱，只能每次以优惠券的形式抵扣几十元，其余费用仍然由自己支付，推销人员对消费者隐瞒了实际使用情形，今天希望在聚投诉这个平台提起诉求，希望可以帮忙维护本人的权益，申请退还1980元。</t>
  </si>
  <si>
    <t>2019/10/07 10:56:12</t>
  </si>
  <si>
    <t>本人在纸上旅行借款3000快，到手2100，砍头利息900，已经还了2期，第三期要求协商处理，被拒绝，家人还被骚扰电话。</t>
  </si>
  <si>
    <t>2019/10/07 10:55:39</t>
  </si>
  <si>
    <t>10月3号万达普惠还款日，操作还款提示一直失败，钱还不上，导致逾期，到现在三天了，逾期利息38元，打客服电话，让我微信公众号还款，APP还款还是还款失败，今天又通过客服提示的微信公众号代其它人还款，扣款成功了，但是APp显示我还有逾期，所以要求给我平账，然后把罚息退还给我，并消除我的逾期记录，因为不是我的原因失败的。</t>
  </si>
  <si>
    <t>2019/10/07 10:55:02</t>
  </si>
  <si>
    <t>以查询信用证明扣除298元手续费，匹配贷款公司，审核通过十几二十天不放款，。</t>
  </si>
  <si>
    <t>2019/10/07 10:54:47</t>
  </si>
  <si>
    <t>今年3月份的时候老家亲戚告知在报纸上有我被法院这边起诉，后本人打工商银行客服告知我本人有办理过信用卡，我告知客服没有办理过信用卡，后客服反馈给当地工商银行，回电告知我是某某学校读过书，我本人没有在那所学校读书，更没有办理过信用卡。</t>
  </si>
  <si>
    <t>2019/10/07 10:54:42</t>
  </si>
  <si>
    <t>自由魔卡APP的六便士，以买卡为借口收取高额砍头息，借款2000元收取540元会员卡费，30天到期还款2060元，等于30天利息600元，借款好几次，付出的利息远远超过本金，现在已无力偿还，自由魔卡给高利贷提供平台，畅捷支付给高利贷提供支付通道，已保留到账信息，银行扣款等资料近一步像12315，扫黑办，银监会投诉。</t>
  </si>
  <si>
    <t>2019/10/07 10:53:41</t>
  </si>
  <si>
    <t>多笔交易小票的钱数和实际扣款不一样，也不知道属于啥行为，有时有有时没有。</t>
  </si>
  <si>
    <t>2019/10/07 10:53:22</t>
  </si>
  <si>
    <t>投诉人沙先生投诉对象招联金融涉诉金额2560元问题类型诉求类型投诉详情一天多次打电话骚扰，威胁，要求立即转告欠款人，若果有迟缓就威胁电话轰炸催收，在还没有达到欠款期限就开始一天30几个电话轰炸，提供手机号码166******64。</t>
  </si>
  <si>
    <t>2019/10/07 10:53:20</t>
  </si>
  <si>
    <t>暴力催收，不给我协商机会，24小时都不给！高利贷！。</t>
  </si>
  <si>
    <t>2019/10/07 10:53:14</t>
  </si>
  <si>
    <t>现金借款申请借款时利率和下款后实际利率不一样，变相收取砍头息，手续费。</t>
  </si>
  <si>
    <t>2019/10/07 10:52:38</t>
  </si>
  <si>
    <t>6号为还款日，未能自动扣款！上午十点通过其他方式联系，并带有恐吓！。</t>
  </si>
  <si>
    <t>2019/10/07 10:52:36</t>
  </si>
  <si>
    <t>在想你分期借款3010，实际到账1950，六天，到期需要还3010，逾期一天利息高达300，我只还我实际到账的金额，。</t>
  </si>
  <si>
    <t>2019/10/07 10:51:49</t>
  </si>
  <si>
    <t>投诉人 李女士        投诉对象  来分期        涉诉金额  0 元    问题类型    诉求类型投诉详情  还未逾期 只是到期 又不是不还 就开始一直打电话给甚至还提前几天就开始打 很烦</t>
  </si>
  <si>
    <t>2019/10/07 10:51:36</t>
  </si>
  <si>
    <t>在智行火车票购买的学生票在火车站不能取票故在火车站进行全额补票然而十多天过去了智行火车票并没有对我进行退款处理。</t>
  </si>
  <si>
    <t>2019/10/07 10:51:12</t>
  </si>
  <si>
    <t>本人于四月份使用贷上钱，借款两千，到期还款2060，一月期限，利率控制在三分，通过商品渠道走虚拟货币形式到达账户，下款前有一条强制条款，必须购买500元的商品，通过商品渠道，走虚拟货币形式到达账户，该资金无法取出，平台改成游戏豆的方式下达账户，另外一笔两千五，到期还款3325，虚拟货币高达750，所谓的游戏说白就是一幌子，披着合法的外衣违规操作，客服说可以不买，意思就是说想用钱就要买，这算不算霸王条款，本身急需资金已经够困难，你们这些所谓的霸王条款本身就不合法，还有什么客户自愿不自愿，请扪心自问！四月到十月</t>
  </si>
  <si>
    <t>2019/10/07 10:50:47</t>
  </si>
  <si>
    <t>投诉人 汪先生        投诉对象  拍拍贷        涉诉金额  1 000 元    问题类型    诉求类型投诉详情  还不了款 产生逾期费用 影响了征信 而且客服说话暴力</t>
  </si>
  <si>
    <t>2019/10/07 10:49:25</t>
  </si>
  <si>
    <t>我是6月26号在贷上钱章鱼钱包平台借的5000元，3个月分期还的产品，结款金额5000，实际到手3334元，砍头息1666元，分三个月还5000元，每个月还1666元。</t>
  </si>
  <si>
    <t>2019/10/07 10:49:24</t>
  </si>
  <si>
    <t>2019年9月30日接到海尔客服电话及短信，尊敬的海尔用户：恭喜您预约成功9月30日下午18:00-18：30举办海尔反馈老用户活动，最后郭总经理说要在我们到场的客户里选取15户海尔示范户，可以享受海尔的降价补贴，这款5280元的HYX-I90CPU海尔母婴多功能离子净化消毒机3780元就能买回家，郭总经理还称为了家人健康舍不舍得购买HYX-I90CPU海尔母婴多功能离子净化消毒机，最后郭总经理煽动在场客户用100元钱换购海尔∨Ip卡一张机器使用20年，一天几元钱，最后郭总经理煽动在场客户用100元钱换购海</t>
  </si>
  <si>
    <t>2019/10/07 10:49:07</t>
  </si>
  <si>
    <t>踩着国家红线，想这样的高利贷公司国家为什么不打击，不拆除，像这样的坑害一大批人的公司，早该全部拆除。</t>
  </si>
  <si>
    <t>2019/10/07 10:48:56</t>
  </si>
  <si>
    <t>9月30日过趣花分期平台申请好易贷借款，3500元，对方10月1日通过杭州市民卡打款实际到账2450元，到10月7号仅仅6天需还3500余元，到期日和客户沟通无果，无奈先在此平台投诉，好易贷严重违反国家法律法规，现申请结清剩余本金及合法利息销账！。</t>
  </si>
  <si>
    <t>2019/10/07 10:48:54</t>
  </si>
  <si>
    <t>于昨晚抢票失败后退款，高铁管家App显示退款成功，但未收到钱，也没有人工客服。</t>
  </si>
  <si>
    <t>2019/10/07 10:48:04</t>
  </si>
  <si>
    <t>我很急需要立即还清按揭，已经联系他们3天了，不回复不处理，平时没有拖欠过按揭，现在打电话叫客服处理，客服说不欠我什么，没办法给我加急，如果我不还款他就采取法律手段，我想问一下，我需要提前还款不给处理，我能采取法律手段吗。</t>
  </si>
  <si>
    <t>2019/10/07 10:47:58</t>
  </si>
  <si>
    <t>投诉人王女士投诉对象皆大欢喜涉诉金额2500元问题类型诉求类型投诉详情皆大欢喜网贷平台到还款日子不自动扣款，主动还款也失败，无客服人员联系解决，导致逾期收费。</t>
  </si>
  <si>
    <t>2019/10/07 10:47:42</t>
  </si>
  <si>
    <t>钱站app借款2000元到账2000元，合同金额2660元每个月还款1122，三个月还款3360元年利率百分之八十多！其中包括阴阳合同砍头费。</t>
  </si>
  <si>
    <t>2019/10/07 10:47:28</t>
  </si>
  <si>
    <t>第二笔打款1796，实际到账1796元，14天为一个周期，每期还款526元，6期共还款3156元，该公司所属指尖旅行APP表面上市旅行产品，实际为放贷APP，扣除的砍头息以购买了旅游券的名义实则无任何用处，属于套路贷超利贷经营主体，请求聚投诉联系相关媒体和金融管理机构给与该公司严厉打击。</t>
  </si>
  <si>
    <t>2019/10/07 10:47:16</t>
  </si>
  <si>
    <t>投诉人 潘先生        投诉对象  金鸡下蛋        涉诉金额  2 000 元    问题类型    诉求类型投诉详情  2000到账 1400。说是6天，实际只有5天</t>
  </si>
  <si>
    <t>2019/10/07 10:46:42</t>
  </si>
  <si>
    <t>在手机申请只显示13900元，上次投诉投诉后客服给我发的合同后才知道申请总额度是19345元，有一个账户管理费5445元，到手才是13900元！这不是砍头息是什么。</t>
  </si>
  <si>
    <t>2019/10/07 10:45:57</t>
  </si>
  <si>
    <t>在平台最后一期还款，昨天第一天逾期，因本月资金周转困难，及时给平台客服打电话联系，想协商一下还款时间，客服那边说没有权利，帮我反馈一下会有专员给我联系，昨天等到夜晚也没人联系，今天接到催收电话，态度非常恶劣，接通电话就是说十二点之前必须还款，威胁恐吓说十二点不到账后果严重自负，我又不是对催收态度恶劣不想还款，最后一期我也怕影响个人征信，利息我也认了，毕竟自己没有按约定及时还款，好好及时给平台协商，也在想办法解决还款，没想到平台不给一点商量余地，现要平台快速给予解释，解决处理。</t>
  </si>
  <si>
    <t>2019/10/07 10:45:55</t>
  </si>
  <si>
    <t>闪电借款已购买财神神卡才能借款为由，导致我借款800五十天需还利息400多，之前投诉无果，继续骚扰我和我的通讯录，并以上央行征信威胁，现强烈要求销账并下架产品，望聚投诉能提供闪电借款的相关法人信息，以便对方不处理时或继续骚扰我联系人时我能进一步采取措施，谢谢，不用再打电话给我了，每次接他们的电话态度极其不好，不想吵架。</t>
  </si>
  <si>
    <t>2019/10/07 10:45:50</t>
  </si>
  <si>
    <t>我额度一共不到2000只能借1900，一年之内，在我前几个月没有逾期情况下，后面逾期三个月，利息居然到了3500+接近3600，比高利贷还套路，比套路贷还高利，这就是国家允许的央行征信可以这种平台都上，就连还清了还有26不知道什么鬼，出账单以后变成46，里里外外吃我一千六，央行征信允许的借贷平台。</t>
  </si>
  <si>
    <t>2019/10/07 10:44:33</t>
  </si>
  <si>
    <t>微粒贷非法窃取用户信息、拨打非紧急联系人电话，并且十分钟之内拨打5个电话催收。</t>
  </si>
  <si>
    <t>2019/10/07 10:44:30</t>
  </si>
  <si>
    <t>当时通过涨赢普惠借款，注册完信息后，当要提交后，出现要查信息，强烈要求环迅支付、涨赢普惠退款，另外环迅支付为这种骗子公司提供支付渠道，存在严重的勾结行为。</t>
  </si>
  <si>
    <t>2019/10/07 10:43:55</t>
  </si>
  <si>
    <t>因为生意失败，资金链断裂已经关闭，广发银行信用卡总欠款58048.08元，逾期3个月实在无力偿还，最近一直在跟广发协商个性化还款协议，银行不同意，要我全额还款或者还最低或者还一期，可是每个月还的钱还赶不上逾期费和利息涨的快，我这样一直还下去不是一直在还利息和逾期费，希望有关部门可以给银行一定的压力，我真是实心实意想解决这个事情，我在民生银行也存在这个情况，欠民生银行57909元，但是民生银行很人性化的给我出具了方案，让我先还8000元，即可给予减免了近5000利息和违约金，目前总欠民生45000，还按照我目</t>
  </si>
  <si>
    <t>2019/10/07 10:43:52</t>
  </si>
  <si>
    <t>2019年10月7号普惠快信催收人员用私人手机号130******26直接辱骂恐吓我，而且扬言要来我家里找我家人，望严肃处理。</t>
  </si>
  <si>
    <t>投诉人 齐先生        投诉对象  小赢卡贷        涉诉金额  10 000 元    问题类型    诉求类型投诉详情  小赢卡贷逾期一天 催收打电话说让我一个小时处理 但是我资金周转不开 要晚上才能处理 ，催收语言威胁的说必须一个小时处理 要不然就要爆我通讯录 给我的朋友打电话骚扰， 催收人员的语言威胁我都有录音可以查证 。要是爆我通讯录我就会用法律来处理这个问题 ，</t>
  </si>
  <si>
    <t>2019/10/07 10:43:36</t>
  </si>
  <si>
    <t>5月1日下午，本人于厦门高崎机场经民航通销售顾问介绍办理民航通钻石卡，具体为充值1698元送3300元，卡内将会有4698元代金券，办理完成后告知本人每次购买机票将有30-300元优惠，但并未告知本人4698元代金券一年未使用完将会清零，致使我受到经济损失。</t>
  </si>
  <si>
    <t>2019/10/07 10:43:31</t>
  </si>
  <si>
    <t>投诉人 罗先生        投诉对象  交通银行        涉诉金额  40 000 元    问题类型    诉求类型投诉详情  每天都打几个电话骚扰，搞得不能安心工作。还往我家里打电话恐吓我老妈，钱我一定还。只是暂时遇到了困难，我也在想办法。</t>
  </si>
  <si>
    <t>2019/10/07 10:43:28</t>
  </si>
  <si>
    <t>宜信普惠，逾期一天打了好几个电话，催收打电话态度及其恶劣，自己高利贷，变相诱导我第二次借钱，还说要抓我，威胁我！我说等几天有钱了再还，言语侮辱！在电话里吵吵的外面全能听见！扬言要爆通讯录！国家现在明令规定不许骚扰借款人以外的人，把国家规定当放屁！。</t>
  </si>
  <si>
    <t>2019/10/07 10:42:36</t>
  </si>
  <si>
    <t>因为忘记还款迟了3天，就发短讯威胁，，并且态度恶劣，因为晚还款了，今天第三天，利息涨了好几百。</t>
  </si>
  <si>
    <t>2019/10/07 10:42:35</t>
  </si>
  <si>
    <t>然后就对我的通讯录联系人我的工作领导打电话骚扰让我处理欠款。</t>
  </si>
  <si>
    <t>2019/10/07 10:42:32</t>
  </si>
  <si>
    <t>你我贷平台还款还不进去现在打电话骚扰我跟他讲了问题说要代扣，我卡里有钱他说代扣余额不足！一直不停打电话骚扰我，影响我正常工作。</t>
  </si>
  <si>
    <t>2019/10/07 10:42:30</t>
  </si>
  <si>
    <t>百世快递员骂人，问了百世客服，说好的10月2号送到10月7号了，到现在没打电话，也没送过来。</t>
  </si>
  <si>
    <t>2019/10/07 10:42:21</t>
  </si>
  <si>
    <t>当时业务员给我办银盛通大pos机时，他说刷第一笔激活费用298元，我就让他刷了，过了几天我再问他，他又说要刷够十万才能返还，现在我刷够十万了，，代理失联了，分润停发了，业务员联系不到还是没有返还，这是明显官方代理勾结的欺诈行为，我要求退换客户5台POS押金，返还分润，对上级代理作出处罚。</t>
  </si>
  <si>
    <t>2019/10/07 10:42:00</t>
  </si>
  <si>
    <t>一直打电话，一分钟一个，还说要联系我的通讯录，说什么我白天不联系，意思就是要晚上联系呗。</t>
  </si>
  <si>
    <t>2019/10/07 10:41:24</t>
  </si>
  <si>
    <t>暂时没有钱，如果你们不能商量，可以直接去法院起诉，你们根据中国的哪一条法律可以联系我的亲戚朋友。</t>
  </si>
  <si>
    <t>2019/10/07 10:41:22</t>
  </si>
  <si>
    <t>51人品贷，涉嫌高利贷，贷款3万块钱，到手26000,不可以分短期，必须分24期，而且第一期的还款金额是3000多，服务费就2000多，以后每期还1850,服务费每期500多，逾期一天以后就暴力催收，给我亲戚朋友打电话，主动协商打客服电话，打不通，打通以后不给予协商，态度恶劣，希望有关的部门给予帮助，谢谢。</t>
  </si>
  <si>
    <t>2019/10/07 10:41:15</t>
  </si>
  <si>
    <t>借了6000一年要还8159.64元，现在还是逾期一天100元，根本就是违法操作，而且不停的给借来周转同一笔6000给借了3次，现在有一笔逾期了2天要我多还200。</t>
  </si>
  <si>
    <t>2019/10/07 10:40:45</t>
  </si>
  <si>
    <t>投诉人 郭先生        投诉对象  捷信金融        涉诉金额  0 元    问题类型    诉求类型投诉详情  别人留的我手机号 天天给我打电话对我的生活已经严重造成影响 家里的孩子听见天天哭</t>
  </si>
  <si>
    <t>2019/10/07 10:40:43</t>
  </si>
  <si>
    <t>借款2800，四期还4000多，已经多次借款，无力偿还如此高利，希望平台予以协商解决，分期还清。</t>
  </si>
  <si>
    <t>2019/10/07 10:40:39</t>
  </si>
  <si>
    <t>为什么我的账号已盗用，我的身份证银行卡都在我身上，为什么易宝支付自动扣费。</t>
  </si>
  <si>
    <t>2019/10/07 10:40:14</t>
  </si>
  <si>
    <t>投诉人 崔先生        投诉对象  信用钱包        涉诉金额  40 800 元    问题类型    诉求类型投诉详情  借款三万 一年时间 每月还款3400 12月还完 还款共计40800 利息率不合理 高利贷</t>
  </si>
  <si>
    <t>2019/10/07 10:39:57</t>
  </si>
  <si>
    <t>投诉人李真波投诉对象中国联合通信网络有限公司,中国移动涉诉金额1000元问题类型诉求类型投诉详情给非法平台平台提供充值服务，，造成我的资金被盗。</t>
  </si>
  <si>
    <t>2019/10/07 10:39:47</t>
  </si>
  <si>
    <t>投诉人 黄先生        投诉对象  滴滴出行        涉诉金额  1 元    问题类型    诉求类型投诉详情  出车三小时在订单热区未能接单车子是合规车</t>
  </si>
  <si>
    <t>2019/10/07 10:39:15</t>
  </si>
  <si>
    <t>投诉人 刘先生        投诉对象  百事普惠        涉诉金额  299 元    问题类型    诉求类型投诉详情  恶意扣款299元、 要求退还。 上海通联支付。 造艺科技。 百事普惠。。。 不退款银监会举报</t>
  </si>
  <si>
    <t>2019/10/07 10:39:12</t>
  </si>
  <si>
    <t>钱伴，工作人员，加我微信，也可能是钱伴外包的催收，说可以减免，我当时不方便语音，问他哪个平台的，他不说，后来发了个语音说是钱伴的。</t>
  </si>
  <si>
    <t>2019/10/07 10:39:11</t>
  </si>
  <si>
    <t>借款2800，分8天一个周期还4期，单期金额1022，总计要还4088元！利率远超国家标准！已经还3期x1022=3066元，超过本金以及利息了！最后一期花转转APP根本就处理不了也还不上款，已造成逾期，费用一天就50元，且客服电话多次无人接听！刚刚有催收打电话来要求处理！又还不了款客服又无人处理诉求，造成逾期又来催收，请问这是什么道理！！！现已还三期，金额远超本金及利息了，现要求花转转平台销账处理并停止催收！。</t>
  </si>
  <si>
    <t>2019/10/07 10:38:56</t>
  </si>
  <si>
    <t>本人于2018年6月28日因前男友借贷捷信消费贷25000.分36期.期间还款12期.共已还款13741.08.于今日捷信公司发短信通知我因严重逾期取消分期.并要求我一次偿还全部款项21178.01.利息太高.我还不起了.然而期间捷信公司催收电话从早到晚.多的一天电话有十五六个.还去家里骚扰老人家.严重影响了我的生活.强烈要求捷信公司给个说法.并且借贷利息远远超出了原定的范围.。</t>
  </si>
  <si>
    <t>2019/10/07 10:38:40</t>
  </si>
  <si>
    <t>本人因自身原在贷上钱指上旅行借款3000元钱，但刚到账就扣走900元钱，说是卖旅游卷，这因该是砍头息，希望有关部门关注一下，现以还款2486元钱，希指上旅行免除第三期并开出结清证明。</t>
  </si>
  <si>
    <t>2019/10/07 10:38:29</t>
  </si>
  <si>
    <t>本人最近发生了很多事情，导致没有钱，但后期有钱了肯定还，你们催收，张口闭口去找我父母要，难道你们公司还搞株连九族吗。</t>
  </si>
  <si>
    <t>2019/10/07 10:38:18</t>
  </si>
  <si>
    <t>9月27日，在智行订票，微信自动扣款213元，支付宝支付213元，打客服电话，告知自订票15工作日之内会将重复支付的票款退到支付账户，截止10月7日，已经过去11个工作日，仍然未收到退款。</t>
  </si>
  <si>
    <t>2019/10/07 10:37:19</t>
  </si>
  <si>
    <t>我是一名滴滴司机师傅，本人10月4号下午正常取消滴滴平台，之前网上就有在传某滴滴地方经理对司机说你合适就开，不合适就别开，不正常派给我的订单，给平台扣服务分和成交率，当时我正路过订单上车点看到现场堵车很厉害，也有交警在那边维持秩序但想在那边接客那种情况下是不可能的，上车点平时经常有客人坐车当时我看到这种情况先是把车开离那边，那时候人也有点不舒服就想直接收车休息，可是我点了休息后平台马上弹出一个订单来，上车点就在刚才堵车的地方，而那时候我也刚开车到一段车流较多和不能停车的路段那时候想联系承客也不方便，我就直接</t>
  </si>
  <si>
    <t>2019/10/07 10:37:14</t>
  </si>
  <si>
    <t>本人于去年在平安普惠办了一笔贷款，每月都在按时还款，只有这两三个月的确比较困难，就有非恶意的逾期，但都想办法尽快处理了，本月逾期了一天，结果今天该平台工作人员就爆了我的通讯录，朋友都在问我，让我很尴尬，要求停止这种行为，我会尽快处理，另外，该平台有不当行为，每次还款日当天就有电话轰炸，希望能整顿此种行为。</t>
  </si>
  <si>
    <t>2019/10/07 10:37:07</t>
  </si>
  <si>
    <t>家里12岁的孩子，在我不知道的情况下不小心点击充值了198元，打苹果热线要求退款，但是苹果客服回复，商家退款申请不通过，现在要求腾讯公司退回我198元。</t>
  </si>
  <si>
    <t>2019/10/07 10:36:41</t>
  </si>
  <si>
    <t>在10.6日早上和10.7日早上分三次对我的银行卡进行无故扣款，在本人不知情的情况下分三次共扣去200元，请平台做出公正处理，谢谢！。</t>
  </si>
  <si>
    <t>2019/10/07 10:36:23</t>
  </si>
  <si>
    <t>我向催收人员说明了经济情况，可是他们威胁我，要给我生重病在床的父亲电话，并且给我已离婚的前夫，和朋友电话。</t>
  </si>
  <si>
    <t>2019/10/07 10:35:50</t>
  </si>
  <si>
    <t>我本着协商还款的意愿去还款，多次打电话给你们银行请求协商还款，万用金四万多的额度，我都能还了一年多的利息，包括本金，我这样是否还属于恶意透支，拒绝还款等，你们浦发信用卡各个催收部门想逼死人啊，又打电话给亲朋好友，又准备上门调查，我不是不想还，而是目前没有那个能力，我想说一句我想着协商还款，从下个月开始每个月还一点分期每个月还款，这个是我能做到的，如果你们浦发信用卡打着合法合规的名义去上门以及包过村委会调查搞坏我所有名声，我只能也去银监会投诉银保会举报，你们浦发信用卡存在恶意扣费，每个月24元的全球游业务，以</t>
  </si>
  <si>
    <t>2019/10/07 10:35:47</t>
  </si>
  <si>
    <t>2019年9月21号在聚富分期app上注册账号打算在他们平台贷款的，就填写了些资料，填写资料时也没看到需要评估报告费用，没想到直接扣了我299元！我就想说在我不知道的情况下可以乱扣我的钱吗，你们这是属于违法犯罪，联系客客服都是一套一套的，说什么过14天才能退款，而且还需要注册你们推荐的几个借款app失败后才能退款！百般推脱，混淆概念，而且昨天我看了有4个借款app，今天变5个，而且还要我去你们推荐的几个app上填写个人资料，这是在泄露我的信息！刚刚在联系在线客服，有800多位在线等，怀疑和我一样的受害者还有</t>
  </si>
  <si>
    <t>2019/10/07 10:34:57</t>
  </si>
  <si>
    <t>立借借款40003个月还6000多，违反国家规定的利率，高利贷，还暴力催收，态度恶劣。</t>
  </si>
  <si>
    <t>2019/10/07 10:34:42</t>
  </si>
  <si>
    <t>今天逾期，上午10点半催收人员打电话给我，要求11点钟之前必须还款，11点钟没到账直接联系紧急联系人，上传征信，我说我11点之前有点困难，让他协商多给我一点时间，今天之内会还进去。</t>
  </si>
  <si>
    <t>2019/10/07 10:33:59</t>
  </si>
  <si>
    <t>收货地址其他快递都能到，除了中通就是不派送，还要求客户到4.3公里的地方取件，请中通快递及时派送，如坚持不派送请赔偿我件无法及时收取的时效赔偿100元。</t>
  </si>
  <si>
    <t>2019/10/07 10:32:51</t>
  </si>
  <si>
    <t>周末没发工资，说了今天发工资就给她还上，然后第三方催收一个劲的打电话骚扰恐吓，还骚扰我的家人朋友严重影响了我的声誉跟家人朋友的生活！。</t>
  </si>
  <si>
    <t>2019/10/07 10:31:50</t>
  </si>
  <si>
    <t>牛人有品,畅捷支付,上海瑾佳信息科技有限公司,上海馥岷信息科技有限公司，本人于9月5日在牛人有品借款1900元，实际到账1368元，分两期，每15天还一期，每日969元，还款总额1938元。</t>
  </si>
  <si>
    <t>2019/10/07 10:31:46</t>
  </si>
  <si>
    <t>投诉人张先生投诉对象宜人贷涉诉金额60000元问题类型诉求类型投诉详情宜人贷，高利贷暴力催收套路贷行为，在平台上借本金6万块，平台多贷了1万1千元，平台讲这是管理费，服务费，包装费，国家禁止收取，合同本金为7万1千元，分期36个月，总还款金额将近11万，希望国家严查，这是不合理的，他们平台讲这是合理的，合法的希望有关部门严查，还款每个月管理费用还有400多块钱，广告做的快好，现在害人不浅。</t>
  </si>
  <si>
    <t>2019/10/07 10:30:59</t>
  </si>
  <si>
    <t>砍头息，除了整数的，其他的都是要我买东西才能借款，而且有的东西压根就没有的。</t>
  </si>
  <si>
    <t>2019/10/07 10:30:29</t>
  </si>
  <si>
    <t>投诉人张亚南投诉对象携趣网络技术上海有限公司,通联支付,易小借,造艺技术,通联沪快涉诉金额299元问题类型诉求类型投诉详情10月4号下午2点多遭到恶意扣款299，希望在聚投诉能申请退回扣款。</t>
  </si>
  <si>
    <t>2019/10/07 10:29:15</t>
  </si>
  <si>
    <t>花呗借呗无法使用，我一直信用非常好，没有逾期，不是黑户，还款记录也很好为什么给我关闭了，导致我现在资金周转不过来，造成一系列问题。</t>
  </si>
  <si>
    <t>2019/10/07 10:27:19</t>
  </si>
  <si>
    <t>查资料弹出网站，划屏时退出时点到充值页面，自动跳转到付款，手握住手机手指习惯性的放在了指纹解锁位置就付款成功了，气不过又点进去看，结果又是同样的操作，而且充进去根本看不了视频，点一下就是继续充值。</t>
  </si>
  <si>
    <t>2019/10/07 10:27:10</t>
  </si>
  <si>
    <t>在壹本万利上借款1920元，6天要归还2995元，，6天利息要1075元，期间因为app打不开和无法联系客服造成逾期，请聚投诉帮忙处理这件事情，请壹本万利按合理的方式处理这批账单。</t>
  </si>
  <si>
    <t>2019/10/07 10:27:09</t>
  </si>
  <si>
    <t>借款17000元，还款额度29800元，已经还款15期，每期983元。</t>
  </si>
  <si>
    <t>2019/10/07 10:27:05</t>
  </si>
  <si>
    <t>要求钱站取消借款，未到账，客服电话，投资电话联系不到，借四千分三个月还七千四百多，一个月两千多。</t>
  </si>
  <si>
    <t>2019/10/07 10:27:02</t>
  </si>
  <si>
    <t>本人在拍拍贷上借款两笔总共三千，已还还剩一千多，后因资金周转没能及时还上，与拍拍贷协商分期还未果需要一次还完，后一直拖欠到现在，收到武汉锐银信法有限公司发律师函短信，向当地公安机关咨询说是虚假律师函虚假事务所，打电话来说要起诉我，未经本人同意拨打本人通讯录紧急联系人之外的人，给本人通讯录群发律师函短信，电话短信骚扰。</t>
  </si>
  <si>
    <t>2019/10/07 10:26:55</t>
  </si>
  <si>
    <t>我与你们平安银行没有任何业务往来，经常打电话话骚扰我来催收，还威胁恐吓态度恶劣，并且你们还搜索我个人微信号对我本人来发一些威胁的话，请给我一个合理的解释，已保留相关证据，如不处理将投诉到银监会。</t>
  </si>
  <si>
    <t>2019/10/07 10:26:22</t>
  </si>
  <si>
    <t>本人9月27日通过四季钱庄借款3000元，通过易宝支付实际到账2100元，7天，总计共需归还3000元，砍头900，利息高达900元，总计占用1800，协商无果，导致逾期，逾期费用一天高达300，远远超过国家规定的标准。</t>
  </si>
  <si>
    <t>2019/10/07 10:26:15</t>
  </si>
  <si>
    <t>投诉人张先生投诉对象信用管家,存钱柜,畅捷支付涉诉金额3600元问题类型诉求类型投诉详情本人在分期贷，平台下的存钱柜申请借款2625元，当时合同表明借款期限为4期，后来还款实际为7天一期，2625元的实际借款期限为28天，每期还款金额为895.5元，4期累计还款3582元，已经远远高于国家规定的24%-36%的利率，已经达到了违法高利贷的标准！且存钱柜频繁变更名称，，有故意逃避国家打击的嫌疑！本人现已还清3期，累计还款金额为2686.5元，最后一期协商，客服要求还得还525，仍然远超国家规定。</t>
  </si>
  <si>
    <t>2019/10/07 10:26:01</t>
  </si>
  <si>
    <t>2019/10/07 10:25:36</t>
  </si>
  <si>
    <t>借了2100，每周还766多，已经还了三周，最后一周明天到，手机坏了，APP找不到，也不打算还，本钱利息够了。</t>
  </si>
  <si>
    <t>2019/10/07 10:24:57</t>
  </si>
  <si>
    <t>投诉人罗女士投诉对象安安用车涉诉金额0元问题类型诉求类型投诉详情2019.10.07上午十点我在长沙黄花机场用支付宝打车用的是安安用车服务平台，因为路途比较近，司机要求加10块钱的停车费，我没有同意，司机要求我取消订单，我没有同意，司机就威胁的语气意思要我慢慢等，我投诉到安安用车平台，客服作出的解释司机收取停车费是合理的，谁允许他收这个费用的，就是这种管理不当的平台纵容司机可以无理无法的乱加价，我们消费者权益没有收到保护，。</t>
  </si>
  <si>
    <t>2019/10/07 10:24:01</t>
  </si>
  <si>
    <t>必须办黑卡才可以下款，借款1300-.，黑卡费用400，要求退还协商还款。</t>
  </si>
  <si>
    <t>2019/10/07 10:23:31</t>
  </si>
  <si>
    <t>借款700，五天还1000，而我无故撤销我的投诉，回复方晚上九点打电话，已经续期第五期三天一期，希望有人来电解决。</t>
  </si>
  <si>
    <t>2019/10/07 10:23:27</t>
  </si>
  <si>
    <t>2018年1月在ofo公司申请退还共享单车的押金，结果却迟迟不退，联系客服不果，我要求退押金！。</t>
  </si>
  <si>
    <t>2019/10/07 10:23:25</t>
  </si>
  <si>
    <t>我公司是做印刷的，经常有一些客户购买我们的样品和现有的一些印刷好的单子，比如一些客户会购买我们的易碎贴，贴在他们自己的外包装箱上面，而这些有一些我们没有开票和收据的，就是卖了就是卖了，但是因为这样，使用了微信商业版之后就被判交易异常，我非常的气氛，也联系不上任何客服，也没有任何处理方案，申诉资料也已提交，说是维持原判！。</t>
  </si>
  <si>
    <t>2019/10/07 10:22:57</t>
  </si>
  <si>
    <t>投诉人马显春投诉对象深圳市白日梦网络科技有限公司涉诉金额3000元问题类型诉求类型投诉详情逃跑吧少年游戏平台在大人不知情的情况下诱骗十岁小孩购买他们产品虚拟钻石，五天花费大量血汗钱好几千。</t>
  </si>
  <si>
    <t>2019/10/07 10:22:35</t>
  </si>
  <si>
    <t>本人借款5号到期，怀孕八个月、有早产症状，就住院了，资金周转困难，提前在微信公众号反应这个问题，六号早上就接到电话，人家听了我的情况以后就耐心跟我说，说是给我申请到星期二还款，今天早上接到电话，一开口就直接问我是不是不还钱了，还要求我几点几点必须还款，台独恶劣，还说谁允许得延期，说我不还就是爆通讯录。</t>
  </si>
  <si>
    <t>催收人员10点15打的电话说要11点之前还进去。</t>
  </si>
  <si>
    <t>2019/10/07 10:22:29</t>
  </si>
  <si>
    <t>本人因个人家庭原因，导致资金周转困难，暂时无还款能力，浦发银行每天电话骚扰，还骚扰我通讯录，请求银行协商还款，因电话骚扰太多，已经导致精神压力大，短信协商。</t>
  </si>
  <si>
    <t>2019/10/07 10:21:45</t>
  </si>
  <si>
    <t>因生意失败，导致资金无法断裂，无法偿还，现在逾期，跟他们商量解释过，每天几个电话，没有一个漏接，耐心解释不听，一上来就是吊人，侮辱，还肆意骚扰通讯录的人，还伪造银行文件发到村委，欠债还钱，天经地义，道理谁都懂，我的坏帐不算是最糟糕的，我有还款意愿，只是现在没办法，生活都成问题了，只要生意周转开了，就可以还了，但是360用如此下作的手段暴力催收，难道法律就管不了。</t>
  </si>
  <si>
    <t>2019/10/07 10:21:17</t>
  </si>
  <si>
    <t>9月24日上午，兴业银行信用卡中心给我打电话说让我办理随兴分消费备用金128000，分24期，当时我正在忙，环境比较嘈杂，也没有理解这项业务的具体情况，我以为是额度提高了，不消费不用还款，业务员误导了我，业务员办理了这项业务，可是现在给我发来每月我消不消费，都要还本金5333.33元，手续费1024元，共计6357.33元的欠款，我现在根本没有花这个钱，凭空要还这么多，我没钱，承担不起，也不需要这个什么备用金，，我要取消这项业务，这是霸王条款，误导消费者。</t>
  </si>
  <si>
    <t>2019/10/07 10:20:59</t>
  </si>
  <si>
    <t>投诉人 张先生        投诉对象  交通银行,交通银行信用卡        涉诉金额  8 000 元    问题类型    诉求类型投诉详情  交通银行委托石家庄和社会组织打电话 问什么公司 工号都没有 态度很坚硬 给我曝光身份信息 给村委会打电话 有关部门严查一下</t>
  </si>
  <si>
    <t>2019/10/07 10:20:47</t>
  </si>
  <si>
    <t>本人于2019年7月8日在新橙优品app上借款3000元，到账后未经同意，在未知情的情况下由新橙优品，擅自扣除保费300元，变相收取砍头息，到账2700元，分期三月，每月还1165元，总计3495元，利息高达795元，已远超国家规定，要求退回砍头息300元，调整利息至合理范围。</t>
  </si>
  <si>
    <t>2019/10/07 10:20:13</t>
  </si>
  <si>
    <t>使用信而富平台借款然后查看到是分两笔第一笔强制通过中金支付的方法购买高于市场价十倍以上的商品，加利息还款，然后再通过云南信托放款给我！这是法律规定犯法的砍头息行为。</t>
  </si>
  <si>
    <t>2019/10/07 10:19:49</t>
  </si>
  <si>
    <t>百事普惠，造艺科技恶意扣款100元，要求退还。</t>
  </si>
  <si>
    <t>2019/10/07 10:18:22</t>
  </si>
  <si>
    <t>投诉人 张先生        投诉对象  美团众包        涉诉金额  0 元    问题类型    诉求类型投诉详情  昨晚送个单 微笑抽检说我不是本人送单 我也醉了 明明就是本人的 前几张抽检的照片都是一样的 真无语 还封了我的号</t>
  </si>
  <si>
    <t>2019/10/07 10:18:11</t>
  </si>
  <si>
    <t>9月15日后，依旧无法正常充值，故到贵平台投诉，望贵平台能早日为广大受害群众挽回经济损失！</t>
  </si>
  <si>
    <t>2019/10/07 10:18:06</t>
  </si>
  <si>
    <t>你好，我老公邓鹏，在吉致金融办理了一笔分期3年的车贷，之前一直按时还款，由于投资失败近几个月车贷都有逾期，就在7月份车贷逾期了，我老公本人有事在国外，当时接到吉致金融公司的催款电话，说车贷逾期了，车子在成都金牛区人民北路被拖走了，让他赶紧还钱，还不上钱车子就会卖掉，一开始说让他还三个月，后来又说必须要结清，在双方协商下说好先还一年，8月1号我老公父亲从老家借了6万元钱从老家带过来，199******14.这个号码联系说车子在西浦，让8月2号带着钱去取车，除了一年的车贷51500元，还要收取8000元拖车费，</t>
  </si>
  <si>
    <t>2019/10/07 10:17:56</t>
  </si>
  <si>
    <t>9月底又来了，先是打两个电话我没接，电话一完，短信就马上来了。</t>
  </si>
  <si>
    <t>2019/10/07 10:17:39</t>
  </si>
  <si>
    <t>投诉人欧阳女士投诉对象现金巴士涉诉金额1000元问题类型诉求类型投诉详情不断用标记为骚扰电话的号码骚扰本人及朋友。</t>
  </si>
  <si>
    <t>2019/10/07 10:17:00</t>
  </si>
  <si>
    <t>投诉人张玉玲投诉对象广州者揩科技有限公司涉诉金额35440元问题类型诉求类型投诉详情本人从2019年七月初通过浏览器意外接触以为自称可以每天盈利平台，网络出售彩票国家是明令禁止的，但是我还不了解这个的情况下，在网络app冠军集团彩票上面买了彩票，代理带我注册充值，说跟开心聊团队玩彩票不会亏本，我就信了跟着投注，每天都有不同的账户收款，自己充值进行购买彩票，十赌九输两个月一共输进去尽四万元，找平台管理员申请赔付置之不理，说没有这个服务，只是说准备好充足本金带我回本，输进去的钱都进入了广州者楷科技有限公司账户，</t>
  </si>
  <si>
    <t>2019/10/07 10:16:54</t>
  </si>
  <si>
    <t>分9期，在10月5日全部还清了，也把所有的利息还了，然后想注销账号，客服那边说的想注销账号必须提供手持身份证的照片，还有身份证的正反面，我不同意，因为这样可能会泄露我的个人信息，本来他们已经还了所有的利息，不让他们退点利息就不错了，居然还这样。</t>
  </si>
  <si>
    <t>2019/10/07 10:16:09</t>
  </si>
  <si>
    <t>未得到相应的会员权利，反而变本加厉，遭到百合网推送未经实名的垃圾语言信息，维护消费者的合法合理投诉要求，并且要求百合网退款。</t>
  </si>
  <si>
    <t>2019/10/07 10:15:14</t>
  </si>
  <si>
    <t>我是注册了app，也没确认借钱，就被前橙无忧扣掉168元，分开两次扣的，一次84元。</t>
  </si>
  <si>
    <t>2019/10/07 10:15:10</t>
  </si>
  <si>
    <t>与及贷协商无果，被威胁爆我通讯录400多个人挨个打电话，非法截取我的通讯录信息，要求立即停止骚扰行为并道歉。</t>
  </si>
  <si>
    <t>2019/10/07 10:13:53</t>
  </si>
  <si>
    <t>平安普惠恶意发信息骚扰家人朋友，并威胁，损坏名誉。</t>
  </si>
  <si>
    <t>2019/10/07 10:13:13</t>
  </si>
  <si>
    <t>360借条与实际广告不符，广告说免息，360借条却高于国家标准的利息，逾期后更产生高额费用，360借条，暴力催款，不断骚扰，恐吓，威胁，影响正常生活。</t>
  </si>
  <si>
    <t>2019/10/07 10:13:09</t>
  </si>
  <si>
    <t>本人滴滴账号服务分93分，已经一年了，整整一年多没有涨过一点服务费，但每次客服的回答都是一样说系统按三百单来增加服务分的，同样和我一起跑的司机已经涨至100分，平均每三个月涨一分，而我的现在已经一年多没长过一分了，想要求dd对我的账号做出整改，恢复我的服务分，本人等待滴滴的电话回复，已要求河南电视台采访我的通话。</t>
  </si>
  <si>
    <t>2019/10/07 10:12:46</t>
  </si>
  <si>
    <t>投诉人钱先生投诉对象中金支付，中南大宗商品涉诉金额200元问题类型诉求类型投诉详情中金嘉盈顺这个什么特约服务前后分三次5050100在没有得到我允许的情况下直接对银行卡进行扣费，我只是一个学生你把我生活费扣走了我拿什么吃饭。</t>
  </si>
  <si>
    <t>2019/10/07 10:12:36</t>
  </si>
  <si>
    <t>因为确实还款压力过大，导致了一两次逾期一天情况，本人已经还了10期了，剩最后两期也不给一点协商的余地，催收方逾期十分生硬，如果不及时处理还款，将上报征信、打遍手机通讯录，还有联系当事人所在地村委会等相关部门。</t>
  </si>
  <si>
    <t>2019/10/07 10:11:52</t>
  </si>
  <si>
    <t>无限分期现在更名顺分期，714高利贷，借款1200.到账910.周期6天，还款日APP无法登录，导致逾期，昨天可是暴力催收，不能证明自己是不是无限分期，只要去处理钱，我看了爱卡论坛和聚投诉，多人投诉还款上当受骗，我要求提供证明，直接恐吓我暴力催收，畅捷支付提供支付通道给无限分期，希望聚投诉协助转交畅捷支付，联系无限分期解决问题，同时两个财务加我微信催收，我到底处理给哪一位啊。</t>
  </si>
  <si>
    <t>2019/10/07 10:11:15</t>
  </si>
  <si>
    <t>合同签的400010月4号那笔实际到账3300。</t>
  </si>
  <si>
    <t>2019/10/07 10:10:21</t>
  </si>
  <si>
    <t>8月的时候因为家里人生病了花光了家里所有的钱来治病所以导致现在逾期了，我之前也一直按时还款也没出现过逾期偶尔忘记还款也就一天左右，现在因为钱都花在给家里人治病上还不上才导致了逾期，但是他们那边说只能等资方联系我我也一直等电话想说明自己的情况但是也没接到接到的都是系统电话，直到最近有一个电话打来自称是京东外访部门说要来上门催收问我情况问我家里人号码我也很和谐的跟他们讲我现在的情况他们不听而且期间我能借到钱也会还进去，我说给我几天时间等我发工资我把逾期的处理了也不肯，我就说我现在在找借钱和给几天时间发工资我能先</t>
  </si>
  <si>
    <t>2019/10/07 10:10:19</t>
  </si>
  <si>
    <t>投诉人葛先生投诉对象淘手游涉诉金额816元问题类型诉求类型投诉详情这是我第三次投诉了，前两次都是回复一下就完事了，不给处理，他以前说超过四天不给处理，今天第三天了，他就这么一直拖着不给处理，平台就是为了拖延时间超过四天，，钱就归他们了，希望能尽快处理，别再拖拖拉拉这样，我真是服了，昨天说十二小时后退款，都十五个小时过去了还没啥反应，客服我也联系不上，八百多块钱，谁挣钱都不容易，我不希望你们用手段来黑钱。</t>
  </si>
  <si>
    <t>2019/10/07 10:10:16</t>
  </si>
  <si>
    <t>app显示退款成功，实际未发起退款，然后客服告诉你显示错误。</t>
  </si>
  <si>
    <t>2019/10/07 10:10:15</t>
  </si>
  <si>
    <t>投诉人岳晓刚投诉对象滴滴出行涉诉金额0元问题类型诉求类型投诉详情自从无锡地区滴滴公司把服务分改成口碑值之后，无锡地区的快车司机苦不堪言，为了服务分每天必须在线熬12小时以上，有的人甚至熬14或15个小时，平台要求司机不要疲劳驾驶，你出这种扣分制度，不就是在要求司机疲劳和拼命吗，而且快车单子还优先派给优享车！快车单也免费升成优享单派给优享车！快车司机必须每天早晚高峰出车！不可以吃饭，休息！滴滴公司还每天口口声声关照驾驶员要劳逸结合！注意休息，不能开疲劳车！实则累垮与他无关！。</t>
  </si>
  <si>
    <t>2019/10/07 10:10:10</t>
  </si>
  <si>
    <t>在我不知情的情况下三次对我银行卡进行扣款盗刷，显示中金支付嘉盈顺，事后我毫不知情，总共扣款200分为五十两次，一百一次。</t>
  </si>
  <si>
    <t>2019/10/07 10:09:06</t>
  </si>
  <si>
    <t>本人于2019年8月20日在咸鱼平台出售一个QQ群，买家，购买之后，由第三方交易猫帮助完成验证，然后进行交易，从2019年8月底一直至今，期间联系咸鱼客服，以及交易猫售后客服，下面上传的聊天记录有买家自己承认已经开始使用群。</t>
  </si>
  <si>
    <t>2019/10/07 10:08:59</t>
  </si>
  <si>
    <t>不间断骚扰通讯录联系人，短信威胁，请停止一切不合理合法的催收骚扰威胁行为。</t>
  </si>
  <si>
    <t>2019/10/07 10:08:45</t>
  </si>
  <si>
    <t>易智付在我没有抄作的情况下，不明不白扣走我200块钱，打客服电话一直没人接。</t>
  </si>
  <si>
    <t>2019/10/07 10:08:25</t>
  </si>
  <si>
    <t>投诉人罗先生投诉对象闪电借款涉诉金额1160元问题类型诉求类型投诉详情在闪电借款办理借款，要求购买黑卡后再借款，闪电借款承诺如果借款不成功退还购买黑卡的钱，现在我借款不成功，想申请退还购买黑卡的1160元，但根本联系不到客服，不是排队就是毫无意义的自动回复，现需要有用的联系渠道，并尽快退款。</t>
  </si>
  <si>
    <t>2019/10/07 10:07:54</t>
  </si>
  <si>
    <t>微品分期逾期一天，他们说要爆我通讯录，今天客服给我打电话说让我12点前还款，我负债全面颁发，国庆后才能还款-他们不行，不接受-我不是说不还，只是晚几天-你们要是今天爆了我通讯录我一分钱也不还。</t>
  </si>
  <si>
    <t>2019/10/07 10:07:33</t>
  </si>
  <si>
    <t>逾期了一天，疯狂打电话骚扰我，我不方便接听电话，我想晚几天还，手头资金没发工资，12号我一定还，谢谢。</t>
  </si>
  <si>
    <t>2019/10/07 10:07:18</t>
  </si>
  <si>
    <t>本人在鑫速达软件里有一笔借款，审核进度应该是1800元实际到账1350元，当时就扣走了450元的审核费用，也就是砍头息，期限是15天，最后还款金额为1820元，审核流程特别的简单，手机号不是实名制的竟然都可以通过！！请问你们这是合法放贷呢吗，而且在没有逾期的情况下催收人员就开始催收还款，态度极其恶劣，带有威胁的语气，我说还没有逾期态度好一点不行吗，催收人员直接威胁委托第三方机构，有电话录音证明！！请问你们的第三方是黑社会吗，我要走法律程序！！在法律保护范围的本金以及利率上我现在多一分钱都不会还，我等着你的第</t>
  </si>
  <si>
    <t>2019/10/07 10:07:09</t>
  </si>
  <si>
    <t>自由摩卡里信用诺和计划收取砍头息350元，本人借款2000还款2500，并且催收来电话让我继续贷，本就无力偿还，又套路我进来，现请求协商。</t>
  </si>
  <si>
    <t>2019/10/07 10:06:23</t>
  </si>
  <si>
    <t>本人9月7日报名了明世教育学历提升，后因种种原因在10月4日提出退学退款，班主任各种原因说不满足退款要求，6.1.3，请明世教育按退费规则6.1.3办理退款。</t>
  </si>
  <si>
    <t>2019/10/07 10:06:22</t>
  </si>
  <si>
    <t>投诉人王先生投诉对象小伍钱包涉诉金额2131元问题类型诉求类型投诉详情一天将近二十个电话、我通讯录里的联系人都是我紧急联系人吗。</t>
  </si>
  <si>
    <t>2019/10/07 10:06:20</t>
  </si>
  <si>
    <t>高利息，变象购买无用金豆，退还己支付购买的金豆，不应支付购买无用金豆。</t>
  </si>
  <si>
    <t>2019/10/07 10:06:10</t>
  </si>
  <si>
    <t>投诉人梁先生投诉对象及贷涉诉金额2000元问题类型诉求类型投诉详情不停发骚扰信息协商无果..........。</t>
  </si>
  <si>
    <t>2019/10/07 10:06:02</t>
  </si>
  <si>
    <t>这个平台假冒360借款平台，本人由于资金周转借了两万，绑定了银行卡钱没有到账，APP上显示可以提现两万，但是要求支付先支付合计额度的百分之五提现费，要求支付人工费，快递费，材料费，本人明确要求支付不了这个百分之五，要求取消，客服说取消合同要求赔偿额度的百分之四十违约金。</t>
  </si>
  <si>
    <t>2019/10/07 10:05:47</t>
  </si>
  <si>
    <t>投诉人陈先生投诉对象喵下贷涉诉金额1300元问题类型诉求类型投诉详情喵下贷高利贷借1300还2000，宣传5分钟下款，这种高炮平台都5分钟下款，喵下贷我早上9点申请，晚上6点才下款，这种高利贷如果不着急谁借啊，六点下款我已经不用了，现在我要求还本金，销账。</t>
  </si>
  <si>
    <t>2019/10/07 10:05:36</t>
  </si>
  <si>
    <t>投诉人袁女士投诉对象六便士,自由摩卡涉诉金额2000元问题类型诉求类型投诉详情由于前段时间资金紧张通过自由摩卡app在六便士里借款2000元，却要提前支付600的会员费，实际借款1400，昨天打不开app也没有人来联系，该平台故意恶意让借款人逾期然后产生高额逾期费用，并且存在严重砍头期行为。</t>
  </si>
  <si>
    <t>2019/10/07 10:05:35</t>
  </si>
  <si>
    <t>由于国庆节放假原因，银行转不起来钱，导致一天后才能到账进行改款。</t>
  </si>
  <si>
    <t>2019/10/07 10:05:16</t>
  </si>
  <si>
    <t>投诉人李先生投诉对象点融网,银联,中信百信银行涉诉金额7800元问题类型诉求类型投诉详情6月5日在点融网借款7893元，到账后即被秒扣1938元，，实际到账5955元，已还三期2300多，第四期10月5号还款日当天打我电话催促我表示资金周转困难，10月8日即可还上，结果下午就打我联系人电话催我还钱，第二天便开始风控使用骚扰电话联系我，并加我两位联系人微信要我还款，，我已明确告知8号还款的情况下仍然丧心病狂的骚扰我和我的两位紧急联系人，每天20多个电话打进来，根据贵公司暴力催收行为及高达24.5%的砍头息，已</t>
  </si>
  <si>
    <t>2019/10/07 10:05:04</t>
  </si>
  <si>
    <t>投诉北京恒发软通科技有限公司：第一：9月26日购买短信100万条、彩信20万条，同意开专用发票，至今未寄过来！第二：该平台后台显示数据不实，测试号码秒收到，当真正购买后发送一次短信都没有收到，号码都是属于正常号码，工作人员回复：我们盲发，这些号码的问题！一次11万个号码发送，后台显示4万左右”失败“、将近7万显示”成功“，我司人员的号码放进去跟踪测试，在该平台属于发送成功，结果都没收到短信过！第三：不光送达质量低于1%！审核效率也特别低，跟你讲20分钟~1小时左右下发，审核用几个小时，第四：该平台工作人员态</t>
  </si>
  <si>
    <t>2019/10/07 10:04:53</t>
  </si>
  <si>
    <t>今年四月在你我贷贷款10000元，分十二期，前两期每期2800多，后面十期，每期1060多，变相砍头息，说是服务费，而且因为6月我家中老人重病去世，跟亲戚朋友借了很多钱，所以9月开始出现逾期，9月我家房子已经卖出，拿到定金也还了9月的分期，可是十月份才能拿到首付，要等到10月20号左右还款，你我贷不听解释，各种人格侮辱，而且发过来电话完全听不清，模模糊糊，隐约听到对方说我们用听不清为借口，我家人也过来说，那边直接来一句你们是家人齐上阵欠钱不还是吧，能听清的屈指可数，不过都是侮辱性的，也不知道为什么你我贷那么</t>
  </si>
  <si>
    <t>2019/10/07 10:03:58</t>
  </si>
  <si>
    <t>投诉人 王女士        投诉对象  快贷        涉诉金额  2 000 元    问题类型    诉求类型投诉详情  爆我通讯录，恐吓我，威胁我，到家里来催收</t>
  </si>
  <si>
    <t>2019/10/07 10:03:43</t>
  </si>
  <si>
    <t>现在要我还款2600元，我不同意，他就为经过我允许，各种骚扰我通讯录好友。</t>
  </si>
  <si>
    <t>2019/10/07 10:03:36</t>
  </si>
  <si>
    <t>莫名其妙给我爸打电话，我爸在上班，就问我来了，还给我爷爷打电话，我爷爷也问我，都怕我有事。</t>
  </si>
  <si>
    <t>2019/10/07 10:02:55</t>
  </si>
  <si>
    <t>卖家账号已被永久封停，两次申请退款，都是拒绝，联系客服，客服也不解决，只是不断的让我等时间，从购买商品到现在已经快半个多月了，当初说的是7天无理由退货，如今一直是在走什么流程，非要等，出现问题不解决，只知道让顾客等时间。</t>
  </si>
  <si>
    <t>2019/10/07 10:01:49</t>
  </si>
  <si>
    <t>2019年10月7号我在未央网络科技有限公司购买产品，使用银行卡付款后对方就消失了，将我联系方式拉入黑名单，其第三方支付为上海瀚银科技有限公司，该公司为虚假违规商户提供支付渠道，请求有关部门能够严厉查处，退还我的损失。</t>
  </si>
  <si>
    <t>2019/10/07 10:01:42</t>
  </si>
  <si>
    <t>我在转转平台上卖了一个手机，要求缴纳保证金，交了保证金，然后买家付款后说不要了，要求我取消订单，我取消订单后，转转在没有任何提示和告知的情况下把我的保证金收取，找转转客服，客服说因为我自己取消的订单，我想问一下，买家要求我取消订单，说不要了，难道我不取消订单吗，如果这个投诉不行，我就每天打12315投诉，下面有截图。</t>
  </si>
  <si>
    <t>2019/10/07 10:00:47</t>
  </si>
  <si>
    <t>投诉人 欧阳耀武        投诉对象  钱站,华夏银行        涉诉金额  500 元    问题类型    诉求类型投诉详情  逾期费用高达本金的40% 247元逾期几天的结果要还347元</t>
  </si>
  <si>
    <t>2019/10/07 10:00:28</t>
  </si>
  <si>
    <t>首先，本人打算买一部手机，看到卖家价格低廉又看卖家信誉较好，另外，只需要49.9就没有疑问下单购买，描述上只支持2g和4g，但下完单支付后与卖家沟通发现无法实现卖家的功能2g无法使用，所以退款，此事离下单不足半小时且为早上，卖家说已经发货，其实只是上传自己编写的单号，并无物流信息，直至现在仍处于未发货状态，卖家拒绝退款当时给出的理由为1，我继续交涉，卖家不肯回复，语音给卖家不肯接收且拒绝，此时我已经非常生气，我就说了一句气话，后来卖家把我拉黑，无法与之交流，随联系我客服介入，联系上卖家和心静气的让他退款他却</t>
  </si>
  <si>
    <t>2019/10/07 09:59:46</t>
  </si>
  <si>
    <t>投诉人陈女士投诉对象小赢卡贷涉诉金额6000元问题类型诉求类型投诉详情打电话晚点还款，然后说不行，要给联系人打电话。</t>
  </si>
  <si>
    <t>2019/10/07 09:59:32</t>
  </si>
  <si>
    <t>投诉人 王先生        投诉对象  宜贷分期,信用管家,汇潮支付        涉诉金额  3 000 元    问题类型    诉求类型投诉详情  宜贷分期 下款3000二十天还接近4900 高利贷 已经还了三期，3600多。要求停止催收。并做出销账处理</t>
  </si>
  <si>
    <t>2019/10/07 09:59:10</t>
  </si>
  <si>
    <t>以贷款管理费的名义收取砍头息，还要收取高额利息。</t>
  </si>
  <si>
    <t>2019/10/07 09:59:06</t>
  </si>
  <si>
    <t>我那天下午借了后不到一小时我就离开了那里顺便就还了充电宝，四点多借，五点多就还了差不多六点吧，还了也迟迟没收到消息，结果凌晨的时候发现他居然收了我20，已经不是第一次这样了。</t>
  </si>
  <si>
    <t>2019/10/07 09:58:55</t>
  </si>
  <si>
    <t>我正常使用支付宝，也是适应时代发展，可是每个人的人生道路不一定是一帆风顺的！由于各种原因我的经济遇到困难，刚开始觉得坚持坚持就过去了，可是事违人愿！为了不让支付宝逾期我借钱还款！可是支付宝多次降我额度！导致我资金无法循环！实在没办法就主动找客服协商解决！客服说已经帮我登记反馈，会有专门负责协商解决问题的人员跟我联系！让我耐心等待！我没有等来协商解决的人员电话！却等来了催收电话！只说受支付宝委托，不说自己什么公司！说跟支付宝签署了保密协议，不能透漏公司名称！那支付宝也跟我签署了个人信息保密协议，为什么把我的信</t>
  </si>
  <si>
    <t>2019/10/07 09:58:35</t>
  </si>
  <si>
    <t>投诉人 任雨停        投诉对象  汇聚支付,闪电借款        涉诉金额  820 元    问题类型    诉求类型投诉详情  本人在闪电借款借款时要求买闪电黑卡 820元 现在联系不上客服也没有退款入口 现在本人要求退款820元 请帮忙联系一下要求退款 入没有办法还会去支付协会举报 没有别的要求 把我得820块钱退给我就可以了 感谢聚投诉这个平台只希望抓紧时间能退款 真的着急用钱 要不也不会去借钱</t>
  </si>
  <si>
    <t>2019/10/07 09:58:33</t>
  </si>
  <si>
    <t>借款两次，都是砍头利息借款3000元到手2100元，还款期限为一个月，还款总金额3090月，一个月的利息高达960元，第一笔借款利息和借款时长和第二笔都是一样的，都是借款3000，到手2090，归还3090，第二笔借款我已经归还两期，剩下的一期要求按照法律要求处理。</t>
  </si>
  <si>
    <t>2019/10/07 09:58:25</t>
  </si>
  <si>
    <t>投诉人何先生投诉对象猴犀利涉诉金额1100元问题类型诉求类型投诉详情暴力催收，恐吓，威胁停止骚扰协商销账。</t>
  </si>
  <si>
    <t>2019/10/07 09:58:08</t>
  </si>
  <si>
    <t>在你我贷借款8900，12期共应还12099.24元，绝对是高息贷，前三期每期1542.27元，后九期每期830.27元，已还7117.62元，现在已经没有精力再让你我贷压榨下去，与你我贷方客服好好协商，但对方态度强硬甚至言语侮辱，希望聚投诉平台为我们提供合理还款的机会。</t>
  </si>
  <si>
    <t>2019/10/07 09:57:58</t>
  </si>
  <si>
    <t>催收人员威胁我，恐吓我，我都说了等明天财务上班了就还，还是威胁我打联系人电话什么的，国庆节财务要明天才上班，我就想他给我一天时间都不行。</t>
  </si>
  <si>
    <t>2019/10/07 09:56:50</t>
  </si>
  <si>
    <t>我是9月23号开始逾期，到今天逾期了14天，我现在怀孕没有收入，老公刚上班一个月现在又因为胆结石住进医院，也断了收入，在我老公上班的前几个月我们做了小生意全赔完了导致现在没有一点存款，10月7号早上我刚黑平安银行打电话说明了我的情况，而且也让客服人员做了备注，不到几个小时平安银行就发短信过来说我拒接银行电话，从我逾期到今天银行从来没有给我打过一个催收电话，都是以短信的形式通知逾期事宜，而且今天短信里还带强制性的字眼，逾期是我的不对，而且我也没有要求银行给我延期还款，我只是承诺说等我老公工资发了我会处理欠款，</t>
  </si>
  <si>
    <t>2019/10/07 09:56:46</t>
  </si>
  <si>
    <t>私自扣款299元没有提供银行卡的密码前提下，未经过我本人同意，之后打电话给客服，客服百般阻挠退款！。</t>
  </si>
  <si>
    <t>2019/10/07 09:56:32</t>
  </si>
  <si>
    <t>严重骚扰了我和我的家人，电话，短信不停的骚扰。</t>
  </si>
  <si>
    <t>2019/10/07 09:55:33</t>
  </si>
  <si>
    <t>本人因家庭不可抗的原因，暂时无法还你我贷的钱，已经跟你我贷说明情况了，可今天突然有个女的，用特别特别泼辣的言语来逼我还款，并用特别恶毒的话来羞辱我，真是懵了，你我贷已经堕落到需要雇佣黑社会，并且还是女黑社会了吗，非得为了九百块钱，如此羞辱别人，并且恐吓我父母和亲戚朋友才可以吗，父母年纪大了，根本经不住吓，并且都在生病中，还去骚扰恐吓我的同事和朋友，为了九百块钱，哪怕好好说话都可以，可一开口就是语气特别特别的蛮横无理，这就是你我贷解决问题的方式，钱我一定会还，没必要去欠钱，可现在真的是一分钱都不敢动，先顾老人</t>
  </si>
  <si>
    <t>2019/10/07 09:55:27</t>
  </si>
  <si>
    <t>10月6日，接到西安金华路苏宁易购电话，说为了答谢新老顾客，让我们可以来苏宁易购参加活动领取免费赠送的扫地机，来到现场才知道是苏宁易购联合惠而浦举办的一个类似产品讲解的活动，在过程中号称惠而浦的经理向大家推荐了三款产品，一款惠而浦的食材清洗机，产品型号为WVS_CS602J，号称该产品为惠而浦最新产品，目前还没有上线销售，一款为惠而浦破壁料理机，产品型号为WBL_CJ282J，因为在现场不允许拿手机查询，也因为年初所有的装修电器均买自苏宁，且相信惠而浦大品牌，所以被忽悠以3980元购买这三台电器，等到回家后</t>
  </si>
  <si>
    <t>2019/10/07 09:55:16</t>
  </si>
  <si>
    <t>2019/10/07 09:51:31</t>
  </si>
  <si>
    <t>投诉人 苏女士        投诉对象  你我贷        涉诉金额  309 元    问题类型    诉求类型投诉详情  你我贷客服打电话催款我已经说了下午会处理 现在不方便 我就说我只能下午处理 客服就说我有钱不还 是恶意拖欠 还要我在他规定的时间去还 还不上还要联系我当时留的紧急联系人电话</t>
  </si>
  <si>
    <t>2019/10/07 09:49:48</t>
  </si>
  <si>
    <t>10月4日下午16点左右马上快把车上的客人送到目的地了，可是这时候平台给我派了一单，我来不及取消，因为路况复杂，专心看路，送完乘客以后查看订单，系统客服语音提示我路途较远，因为我车子只有21公里续程，实际可能只有15公里不到，我怕到时候车子半路抛锚影响乘客出行，也影响我自己，影响交通，本身国庆节是上海出行高峰，更怕影响乘客对滴滴出行的体验，出于种种考虑我就跟乘客电话询问路途是否遥远，乘客说路途很远，所以我就协商建议乘客取消订单重新下一单，乘客也表示理解，然后取消了订单，可是系统还是判我全责，扣了我2分服务分</t>
  </si>
  <si>
    <t>2019/10/07 09:49:46</t>
  </si>
  <si>
    <t>我已经每个月在带着还了，现在又要求我一次性还完，还让我去借，能借到谁会逾期。</t>
  </si>
  <si>
    <t>2019/10/07 09:49:25</t>
  </si>
  <si>
    <t>2019年5月1日在随手记借款6500元到账后又扣走520元，9期一共要还7500本身利息就不合法规昨天还给我家里人发恐吓短信，打电话现要求你们退还砍头的520元，调整利息。</t>
  </si>
  <si>
    <t>2019/10/07 09:49:17</t>
  </si>
  <si>
    <t>投诉人王女士投诉对象小花钱包涉诉金额2100元问题类型诉求类型投诉详情高利贷，阴阳合同，暴力催收骚扰亲朋好友，造成严重影响。</t>
  </si>
  <si>
    <t>2019/10/07 09:48:55</t>
  </si>
  <si>
    <t>欺诈我十五期保险费用，之前说好的减免现在又不认账。</t>
  </si>
  <si>
    <t>2019/10/07 09:48:54</t>
  </si>
  <si>
    <t>未经允许打电话到村委，告知信用卡欠款金额，给家人心里造成伤害生病。</t>
  </si>
  <si>
    <t>2019/10/07 09:48:09</t>
  </si>
  <si>
    <t>本人已经在3日前结清所有光大银行信用卡的全款且卡片已经注销，可是我在今天再次收到光大银行信用卡中心的催款短信，我已经不是光大银行的客户为什么还要给我发这些垃圾信息，本人要求光大银行信用卡中心给我满意答复且作出赔偿。</t>
  </si>
  <si>
    <t>2019/10/07 09:46:48</t>
  </si>
  <si>
    <t>因为个人投资失败原因，欠下几十万外债，所以导致支付宝借款逾期，但是后来都给支付宝工作人员说明情况，也陆陆续续挣点钱还了四五千进去，也把八千多的花呗还清了，还有借呗网商贷没还清，前几天有工作人员联系我，又重说了一下自身的实际情况，说自己挣了就还进去一些，当时工作人员是同意处理的，今天又有工作人员联系我，让我必须下午两点把钱还进去，也不协商，说要不处理就给亲戚朋友打电话！！这不是威胁着我逼着我去还钱吗，难道我陆陆续续还给支付宝一万多还不够我的还款诚意吗，为什么你们支付宝的工作人员说话一个人一个样呢，我现在是真的</t>
  </si>
  <si>
    <t>2019/10/07 09:46:44</t>
  </si>
  <si>
    <t>一直联系客服处理，始终没有人处理，只能按照提起上传资料每次得到的回复就是尽快处理或处理中。</t>
  </si>
  <si>
    <t>2019/10/07 09:46:26</t>
  </si>
  <si>
    <t>7月2日申请的信用飞现金分期，额度4000元分三期，因为设置了到账直接转入支付宝，合同里的高额保险费用没有扣除，其账单就一直显示我逾期，810元，隔三差五就有催收打我电话让我处理，严重影响了我的生活，现在现金分期已经结清，我严肃要求信用飞撤销我的逾期账单，并停止骚扰，砍头保险费本身就是违法的，我已经履行了正常的还款合同。</t>
  </si>
  <si>
    <t>2019/10/07 09:46:07</t>
  </si>
  <si>
    <t>我家里前段时间出事，后来妈妈又住院，上个月底又刚刚做了手术，现在手里真的很紧张，然后马上消费金融的打电话过来我说这边方便马上给你处理，可还是明天打很多电话，已经骚扰到自由日常生活。</t>
  </si>
  <si>
    <t>2019/10/07 09:46:03</t>
  </si>
  <si>
    <t>投诉人张女士投诉对象分期乐涉诉金额25000元问题类型诉求类型投诉详情分期乐一直骚扰家里人，电话短信，本人也收到了无数的邮件，已告知走法院依然骚扰。</t>
  </si>
  <si>
    <t>2019/10/07 09:45:44</t>
  </si>
  <si>
    <t>不知道怎么就上个保险，客服打电话说今天昨天到期，今天逾期一天，2号那天有个客服打电话说九号到期，由于我是苹果手机不知道在哪里下载软件，没办法看还款日期，我说你们怎么没发短信，那天不说话了，告诉我，你要是按九号还款那就等着爆通讯录吧！威胁我！我说可以，。</t>
  </si>
  <si>
    <t>2019/10/07 09:45:33</t>
  </si>
  <si>
    <t>投诉人夏女士投诉对象360借条信贷专员涉诉金额1000元问题类型诉求类型投诉详情昨天下午有个陌生人加我微信问我需要贷款吗，后来他说利息不高，我就同意了贷款，他说要下载app完成资料填写，然后等审核了要给他百分之五的费用也就是500元，完了之后又说贷款批下来了还要给500的保障金给公司，这些我都给了，最后问他贷款什么时候能到我银行卡里，他说五分钟就到，可是过来五分钟后钱还是没有到账，然后我就在进那个app里面查看，结果这才知道我已经被骗了。</t>
  </si>
  <si>
    <t>2019/10/07 09:44:43</t>
  </si>
  <si>
    <t>美团金融违法催收外包给第三方，对本人进行骚扰恐吓，问是哪里的拒不回答，态度恶劣，泄露个人隐私，损害个人声誉，要求其客服做出道歉和赔偿。</t>
  </si>
  <si>
    <t>2019/10/07 09:44:15</t>
  </si>
  <si>
    <t>这里只是一部分，因为做任务说做完任务有奖励&amp;nbsp;&amp;nbsp;资金也都退回给我让我代充&amp;nbsp;越充越想越不对&amp;nbsp;充了几百了一毛钱奖励也没拿到&amp;nbsp;&amp;nbsp;请求联通公司退回。</t>
  </si>
  <si>
    <t>2019/10/07 09:44:02</t>
  </si>
  <si>
    <t>时光分期，放款于晋商消费金融股份有限公司，于2018.12.21日，借款8000.到账8000.每期还款906.26.已还8期，金额算下来利息加本金应该是10875.12.实际合同金额已写，正常情况下的本息债务总负担8801.29元，征信报告明显指出每期还款733元，app上每期还款的金额里面有172.82的一个所谓咨询服务费，在当事人不知道的情况下，需要承担这笔费用，希望官方可以好好查查，利用漏洞误导受害人，还我们血汗钱。</t>
  </si>
  <si>
    <t>2019/10/07 09:43:47</t>
  </si>
  <si>
    <t>因周转在信用计划上借款1300元，会员卡65元还要交260的前期，实际借款金额1040，会员卡我认这是正在用的权益，但是260的前期太高了并且本人资金断裂已经无力偿还特请协商，最后9月7号借的为什么10.6号还，上面显示的是30天这才29天，并且无短信和电话提醒。</t>
  </si>
  <si>
    <t>2019/10/07 09:43:33</t>
  </si>
  <si>
    <t>刚才接到催收电话，我给他说了今天我会把账单处理掉，他说十二点之前不处理就上报人行征信及通知亲友。</t>
  </si>
  <si>
    <t>2019/10/07 09:43:28</t>
  </si>
  <si>
    <t>本人在贷上钱app借款两笔，一笔到账2000，一个月后还款2500，一笔到账2500，一个月后还款3200，逾期一天客服就威胁当天10点前还不上款，将要爆通讯录，本人有还款意愿，愿意偿还本金加合理利息，如果贷上钱恶意爆通讯录，本人将走司法程序。</t>
  </si>
  <si>
    <t>2019/10/07 09:43:17</t>
  </si>
  <si>
    <t>携趣网络技术上海有限公司,通联支付,易小借,造艺技术,通联沪快，莫名其妙的就说从我账上划走150块钱携趣信息技术上海，有限公司。</t>
  </si>
  <si>
    <t>2019/10/07 09:43:06</t>
  </si>
  <si>
    <t>天天打几个电话催，说自己受京东委托，但是要求其告诉自己是哪个公司或者个人，却态度恶劣，反复强调:为什么告诉你，到目前为止，对方一直未说出自己身份，哪个公司或个人，所以本人无法核实对方身份，真实性。</t>
  </si>
  <si>
    <t>2019/10/07 09:42:57</t>
  </si>
  <si>
    <t>申请金额15000元，实际到账金额只有12000多，利息过高，。</t>
  </si>
  <si>
    <t>2019/10/07 09:42:56</t>
  </si>
  <si>
    <t>万恶的小花钱包不分清红皂白，对本人进行伪造假信息，诽谤，恐吓进行群发，声誉严重受损，必须向受害人本人道歉，道歉，道歉，道歉，道歉，道歉，道歉。</t>
  </si>
  <si>
    <t>2019/10/07 09:42:37</t>
  </si>
  <si>
    <t>投诉人 齐先生        投诉对象  小赢卡贷        涉诉金额  10 000 元    问题类型    诉求类型投诉详情  小赢卡贷逾期一天 催收打电话说让我一个小时处理 但是我资金周转不开 要晚上才能处理 ，催收语言威胁的说必须一个小时处理 要不然就要爆我通讯录 给我的朋友打电话骚扰， 催收人员的语言威胁我都有录音可以查证 。要是爆我通讯录我就会用法律来处理这个问题。</t>
  </si>
  <si>
    <t>2019/10/07 09:41:46</t>
  </si>
  <si>
    <t>移动公司乱扣费，我好几年我从不用移动网，昨天突然扣我10块钱超出流量费10块钱，本人一直用联通无线网，打移动客服，移动客服解释是系统自动扣费，那我反问，我没用移动网，系统凭什么扣费了，系统为什么充值时候不自动给多冲，一人10块钱，人多了可想而知，必须赔付，乱扣费现象我觉得不是我一人遭受，应该有很多人遭遇我这种情况，我们要拿起法律武器保护自己。</t>
  </si>
  <si>
    <t>2019/10/07 09:41:19</t>
  </si>
  <si>
    <t>本人于2018年在京东金融平台借款，2019年因生意资金链出了问题，造成了逾期，确实是我不对，我也没说不还，只是人倒下了哪有那么快站起来，地震之后还有余震！我正在拼命努力走出创业失败负债的伤害，需要的只是时间缓一缓，这个钱我一定会还，我也不会换手机号码失联！但在我努力的过程中却无数次受到京东金融多个第三方催收公司的言语打击，对我造成了严重的精神伤害，并严重影响家庭和睦！，在近两个月时间内，京东金融委托多个第三方公司对我进行软暴力催收，无数次对我进行骚扰、恐吓，并且违法读取个人通讯录，给通讯录的亲朋好友到处打</t>
  </si>
  <si>
    <t>2019/10/07 09:41:01</t>
  </si>
  <si>
    <t>投诉人刘女士投诉对象农业银行涉诉金额553元问题类型诉求类型投诉详情这什么公司，乱扣钱，希望能尽快处理，打击这个犯罪公司。</t>
  </si>
  <si>
    <t>2019/10/07 09:40:42</t>
  </si>
  <si>
    <t>投诉人宋先生投诉对象百忧分期涉诉金额2300元问题类型诉求类型投诉详情百忧分期，借款金额2300元，每期还款588元砍头息600元，要求协商减免服务费，客服短信轰炸骚扰电话不断，要求停止骚扰，减免服务费。</t>
  </si>
  <si>
    <t>2019/10/07 09:40:01</t>
  </si>
  <si>
    <t>申请退款到了余额，可是提现的时候显示提现失败，钱就没了。</t>
  </si>
  <si>
    <t>2019/10/07 09:39:48</t>
  </si>
  <si>
    <t>造艺科技旗下的平台，从我卡里扣了两次钱，加起来299元，这是我妈给我买车票的钱，现在钱没钱买票，回不去家。</t>
  </si>
  <si>
    <t>2019/10/07 09:38:33</t>
  </si>
  <si>
    <t>在我没有在京东支付绑卡的情况下，有商户透过京东支付扣了我卡里的500元钱，我想问一下，京东支付那来的权限在我卡里扣钱，，打客服电话，客服推说是商户扣的，不是他们扣的，我只想问岂不是我跟你京东没有任何联系的卡都能扣，那岂不是你想扣就扣咯。</t>
  </si>
  <si>
    <t>2019/10/07 09:38:10</t>
  </si>
  <si>
    <t>2018年11月10号购买的智能马桶盖，使用到2019年8月份的时候出现了问题，向店家客服咨询维修事宜，店家客服一直不予以理睬，走售后维权淘宝客服介入，发现只针对发票等问题进行处理，并无针对维修事宜的维权通道。</t>
  </si>
  <si>
    <t>2019/10/07 09:37:44</t>
  </si>
  <si>
    <t>在快闪卡贷借款7000元，实际到账5892.砍头息1100多，分6期每期1404远超国家法定利率，已还5期7000元，剩余一期要求清除销账。</t>
  </si>
  <si>
    <t>2019/10/07 09:37:12</t>
  </si>
  <si>
    <t>你我贷催收一直骚扰我，一直打我通讯录里面电话，我已经说了，这期515元还款金额，因过国庆节放假，工资还未发，要到10号发工资！我请求你我贷协商还款到10号还款。</t>
  </si>
  <si>
    <t>2019/10/07 09:36:41</t>
  </si>
  <si>
    <t>报名一周后，觉得讲课质量不好，不符合我的学习要求，要求退费，中间联系老师，班主任，什么主管，一拖就是一个月，主管当时沟通时由于在忙，说考虑下回来再说，结果就将沟通结果自定为再学习，导致现在无人处理，而且说又要重新走流程，前后拖了一个月左右了。</t>
  </si>
  <si>
    <t>2019/10/07 09:35:51</t>
  </si>
  <si>
    <t>本人于2019年10月7日早上八点五十八分在广东移动APP，其中就有一条说尊敬的客户，您已成功办理20条短信月包（24个月），短信包将于2019年10月7日08时59分生效，连续24个月有效，到期自动失效。其中就有一条说我就搞不明白，我就充个话费 还是在他们的官方APP上充值的 怎么就办理了业务呢，话费充值区充值话费100元，但在话费充值成功后接连收到4条短信息，其中就有一条说：“尊敬的客户，您已成功办理20条短信月包。</t>
  </si>
  <si>
    <t>2019/10/07 09:35:35</t>
  </si>
  <si>
    <t>借款5500，我都还了几百，但现在成了7700多，我没接到电话，到时给朋友打电话，还给朋友发律师函，威胁恐吓朋友。</t>
  </si>
  <si>
    <t>2019/10/07 09:35:25</t>
  </si>
  <si>
    <t>因周转需要，2017年12月7日在人人贷正平台借款30000万，可是合同里面确是34500元，存在欺诈行为，共分36期，每月还款1478.33元，共计还款31044.93，还要还款2万2千多，实属高利贷。</t>
  </si>
  <si>
    <t>2019/10/07 09:34:39</t>
  </si>
  <si>
    <t>我在钱站上借了两笔，但实际还的钱远超于国家标准利率，这就是高利贷，还用借口说是各种服务费，钱站背景真牛啊，投诉这么多，一个都协商不成功。</t>
  </si>
  <si>
    <t>2019/10/07 09:33:36</t>
  </si>
  <si>
    <t>在714平台申请贷款，说是开通VIP后可以成功贷款，部分是放款后被收取砍头息盗刷，总共费用5934元。</t>
  </si>
  <si>
    <t>2019/10/07 09:32:47</t>
  </si>
  <si>
    <t>平安普惠贷款不光收取正常利息外,额外强制保险平安保险收取保险手续费,保费,以及利息.正常还款的情况下,电话骚扰朋友以及家人.在各大交朋友了软件例如抖音上,恶意散布不良信息,恶意。</t>
  </si>
  <si>
    <t>2019/10/07 09:32:27</t>
  </si>
  <si>
    <t>预定10月5号和6号的住宿2晚，但是酒店在本人未到店情况下擅自办理了入住，并将预留房间给了别人，酒店并未有本人的人证信息，是如何办理的入住，程序上违法了吧，另外本人得知以上情况后对酒店不再信任，要求退款，酒店态度恶劣，并且对调解的美团客服也态度恶劣，没有解决问题的态度。</t>
  </si>
  <si>
    <t>2019/10/07 09:31:27</t>
  </si>
  <si>
    <t>本人2019年5月7日不知道在app点了一个什么查询服务之内的，没多久就被扣钱了。</t>
  </si>
  <si>
    <t>2019/10/07 09:31:10</t>
  </si>
  <si>
    <t>先期贷款，app和电话中均未体现，借款中却出现，总额5000元借款，正常还款中体现前三期1199元高额服务费管理费，不包括本金利息。</t>
  </si>
  <si>
    <t>2019/10/07 09:31:09</t>
  </si>
  <si>
    <t>获取公民的微信好友，通讯录好友信息并向通讯录好友微信好友推荐！还有就是你关注了谁系统自动向微信好友，通讯录好友发出推荐这是严重侵犯了个人隐私。</t>
  </si>
  <si>
    <t>2019/10/07 09:30:48</t>
  </si>
  <si>
    <t>投诉人 郝先生        投诉对象  Wecash闪银        涉诉金额  1 079 元    问题类型    诉求类型投诉详情  闪银哼哼逾期7天，一直等平台的电话。要求开延期处理，找平台客服联系得不到回复。希望平台能给予合理解决方案。谢谢</t>
  </si>
  <si>
    <t>2019/10/07 09:29:47</t>
  </si>
  <si>
    <t>年利率已经超过60%严重违反国家应有的利息，本人已经还清所有利息并且超过国家规定的年利率。</t>
  </si>
  <si>
    <t>2019/10/07 09:28:55</t>
  </si>
  <si>
    <t>本期因资金困难导致逾期，平台一直是机器人电话联系我进行催收，每次都有接听电话，也一直在凑钱还款，就在四号晚上人工电话催收，我也接听电话了，手里信号原因对方没听到我声音，正要给回拨电话过去，对方信息就发过来骂人，威胁，恐吓，希望平台给我个解释处理。</t>
  </si>
  <si>
    <t>垃圾高利贷，说了会处理一直威胁我联系我的家人联系我老板，现在工作已经没有了。</t>
  </si>
  <si>
    <t>2019/10/07 09:28:13</t>
  </si>
  <si>
    <t>和他们协商处理，但是交通银行同意协商，但是在没有在协商的时间内又暴力催收，恶意询问，影响我不能正常上班。</t>
  </si>
  <si>
    <t>2019/10/07 09:28:11</t>
  </si>
  <si>
    <t>昨天10月6号到期，晚上九点多想起来把钱冲到银行卡里，晚上十点多手动还款过几分钟收到短信，拍拍贷委兴红您好，由于扣款失败，在您尾号为8245银行卡扣款失败，连续好多次都是收到同样的短信，重新绑定了另外一张卡也不行，把钱充到拍拍贷里再还款也不行。</t>
  </si>
  <si>
    <t>2019/10/07 09:27:47</t>
  </si>
  <si>
    <t>本人因面前急用钱在普惠快信公众号申请的4000元借款分18期还款，每期还款金额为342元，这样算起来已经远远超出了符合国家规定的标准，近期因为本人自身的原因导致资金没能及时周转到位，本人微信也因为冻结还没有解冻导致了欠款的逾期，普惠快信催收人员也联系我比较多次说处理欠款，我也想处理欠款也不想逾期毕竟逾期的费用还算挺高的，就在今天早上八点多普惠快信催收工作人员又联系了我，说不愿意协商处理欠款扬言要拨打通讯录，我不清楚他们哪来的我的通讯录我只知道我预留的号码只有两个号码而催收那边扬言拨打通讯录，这样不是非法盗用</t>
  </si>
  <si>
    <t>2019/10/07 09:26:35</t>
  </si>
  <si>
    <t>不接电话一直打！都说协商还款，说不行还必须12点之前还，不然后果很严重。</t>
  </si>
  <si>
    <t>2019/10/07 09:25:10</t>
  </si>
  <si>
    <t>因朋友王亚欣信用卡逾期欠款，作为紧急联系人被交行催收部门联系，但是2015年办信用卡时我作为王亚欣紧急联系人预留的电话为13****0281，交行催收部或委外催收公司联系到我新的134****3768的电话号码，反应问题到河北省行时工作人员振振有词的说因为我是交行的信用卡用户，我提到他盗取我个人信息是，交行工作人员要给我100元刷卡金了结此事，望有关部门给予合理解释，谢谢！。</t>
  </si>
  <si>
    <t>2019/10/07 09:25:01</t>
  </si>
  <si>
    <t>按人工客服退款流程恶意拖延时间打人工客服多次无果。</t>
  </si>
  <si>
    <t>2019/10/07 09:24:56</t>
  </si>
  <si>
    <t>暴力催收，威胁我要来我上班的地方找我，现在因为他们打电话到我老板那里我已经没有了工作，强制性加我微信要我说微信号，。</t>
  </si>
  <si>
    <t>2019/10/07 09:23:08</t>
  </si>
  <si>
    <t>招联金融一直按时还款今年已两次被冻结，招联金融打着循环额度的幌子，无视用户体验，无视用户权利，无视合同规则，利息照给，款照还，你们却无视规则，如果你们资金链断了，烦请直接关停产品。</t>
  </si>
  <si>
    <t>2019/10/07 09:22:39</t>
  </si>
  <si>
    <t>对我个人名义和家人造成一定的危害，威胁我家人属于违法现象，我现在想告小赢卡贷，这种平台也能出现，怎么过的国家审核。</t>
  </si>
  <si>
    <t>2019/10/07 09:20:42</t>
  </si>
  <si>
    <t>本人于10月2日在光大银行提供平台处购买滴滴礼橙专车机场接送券260元，客服人员答非所问说是本人账号存在扰乱平台秩序，让提供证明，却没有答复，让本人提供电话联系，在两天后10月4日进行预约消费，发现根本没有任何司机接单，于是10月6日向滴滴专车平台进行咨询是何原故导致，客服人员答非所问，说是本人账号存在扰乱平台秩序，让提供证明，却没有答复，让本人提供电话联系，结果没有接到任何电话回访，只收到一条短信说是账户异常，确不告诉原因所致，所以本人要求滴滴出行赔偿优惠券全部款项，并且修复本人账户正常约车功能。</t>
  </si>
  <si>
    <t>2019/10/07 09:19:50</t>
  </si>
  <si>
    <t>你我贷公司出尔反尔，让我先撤诉继续骚扰暴力催收，工作人员还辱骂家人，电话185******83。</t>
  </si>
  <si>
    <t>2019/10/07 09:18:36</t>
  </si>
  <si>
    <t>骚扰电话，态度恶劣，发信息威胁，发微信家庭威胁。</t>
  </si>
  <si>
    <t>2019/10/07 09:17:11</t>
  </si>
  <si>
    <t>收取巨额利息，以平安保险的模式收取额外的保险金额以及利息，综合利息达到9厘。</t>
  </si>
  <si>
    <t>2019/10/07 09:16:26</t>
  </si>
  <si>
    <t>说下情况：上次投诉后，有客服与我联系，在款项上面没有谈妥，这几天没有联系我，打电话骚扰家人，还说我的电话打不通，简直瞎说，又没有开通电话拦截功能！请停止骚扰，与我电话联系！如继续骚扰将投诉相关部门！。</t>
  </si>
  <si>
    <t>2019/10/07 09:15:44</t>
  </si>
  <si>
    <t>10月6日23点51分26秒取的车，车牌号粤BD77559，从观湖家和生活超市停车场开到广弘国际影视文化产业园，只用了26分钟到停车场，导航才显示17分钟，到时点还车忘记提交订单，车一直停在广弘没有使用，跟客服协商让费用调整到26分钟，客服同意回复说：好的，第二天早上过来问客服，又反悔了，承诺好的又没有做到。</t>
  </si>
  <si>
    <t>2019/10/07 09:15:21</t>
  </si>
  <si>
    <t>于9月29号在美的天猫旗舰店购买微波炉一台，买了第二天聚降价了，降了50，说好送的菜谱也没送，还一直声称自己7天保价，10.2号声称会在三天内处理，到现在没有人跟我联系和解决这个事情，如果美的联合天猫继续这样欺骗消费者，不给出解决方案，那可能只能投诉到12315门户网站去了。</t>
  </si>
  <si>
    <t>2019/10/07 09:11:59</t>
  </si>
  <si>
    <t>超级马力贷和信用计划的严重超出国家标准利率。</t>
  </si>
  <si>
    <t>2019/10/07 09:10:58</t>
  </si>
  <si>
    <t>因为电话打给我，汉当时正好家里人生病要钱，捷信话务员打给给我可以贷六万，把我之前欠的23000给走平，每个月只要还2300这样还了十期了，总共还了23000但捷信跟我说只是利息，不是本金，因为家里情况特殊辞职在家带娃没收入，无力还款，捷信威胁我要上门，一次次打家里人电话，已经是骚扰了，现在他们要求我一次性还款那我之前还的23000是什么，是空气嘛。</t>
  </si>
  <si>
    <t>2019/10/07 09:09:43</t>
  </si>
  <si>
    <t>会员服务无法使用，账户一直显示异常，客服不处理，一直让我等待，等了一个月依然无法使用。</t>
  </si>
  <si>
    <t>2019/10/07 09:09:02</t>
  </si>
  <si>
    <t>18年6月份开始使用米米罐，从来没有逾期过，从1000用到了2700，一个月前突然给你账号锁定不让借了，套路我了，。</t>
  </si>
  <si>
    <t>2019/10/07 09:06:58</t>
  </si>
  <si>
    <t>2018年11月5日借款50000元之后分24期还款，之后每一期都收取700多的服务费用，已经还款十期，之后联系了工作人员沟通说一次性还款18500元，之后到了这个月账单日，51人品贷的工作人员一直使用催收电话骚扰我和我的家人。</t>
  </si>
  <si>
    <t>2019/10/07 09:06:26</t>
  </si>
  <si>
    <t>北京友缘在线网络科技，没有经过我同意自动扣款自动签约。</t>
  </si>
  <si>
    <t>2019/10/07 09:03:09</t>
  </si>
  <si>
    <t>本人在闪银借款29笔，没有一次逾期，而且每次闪银都收什么征信保之类的砍头息，借1500瞬瞬就收199，我每次都给，29笔想想一共多少钱，还不包括至尊借款的五六次五六千，砍头息就给了几千近一万，现在本人资金周转不开，想延期还款，找客服沟通，客服爱理不理，不给回应，好嘛，催时候你们倒是不要脸的催，协商就不行了，我要求我只还本金，到手多少还多少，而且需要时间，但我保证不会超过十五天，还有，把我以前多付的砍头息还给我！！！！不然我一分都不会还！！！。</t>
  </si>
  <si>
    <t>2019/10/07 08:58:56</t>
  </si>
  <si>
    <t>每个月正常还款额度从6000降到3000还是两张卡的额度。</t>
  </si>
  <si>
    <t>2019/10/07 08:56:24</t>
  </si>
  <si>
    <t>投诉人彭先生投诉对象拼多多涉诉金额13000元问题类型诉求类型投诉详情本人无意中看到一个游戏广告&amp;nbsp;，，无聊下载来玩斗地主，需要充值上分，看到充值支付渠道是上市公司拼多多，因你是大型正规公司，本人非常信任，而导致被骗了，后来看新闻才知道是非法游戏平台，拼多多要么参与其中，要么就是对商家管控不严，导致消费者被骗，没有发货签收怎样就收款。</t>
  </si>
  <si>
    <t>2019/10/07 08:55:18</t>
  </si>
  <si>
    <t>借款金额八万，合同莫名其妙变成88000，每月实际还款4773.33，最过分的是逾期一天的费用高达400多，想问人人贷你们是抢钱吗，这么超高的利息还明目张胆的到处做广告，聚投诉完我还要去互金会投诉。</t>
  </si>
  <si>
    <t>2019/10/07 08:52:33</t>
  </si>
  <si>
    <t>最近查询征信记录里有一条深圳前海微众银行股份有限公司2018年8月18日查询原因贷款审批，根据央行规定：代查个人征信需“书面授权”根据中国人民银行2005年发布的《个人信用信息基础数据库管理暂行办法》第十三条规定，商业银行查询个人信用报告时应当取得被查询人的书面授权，书面授权可以通过在贷款、贷记卡、准贷记卡以及担保申请书中增加相应条款取得，同时根据国务院颁布的行政法规《征信业管理条例》第十八条规定，第十八条，向征信机构查询个人信息的，应当取得信息主体本人的书面同意并约定用途，而从当前深圳前海微众银行股份有限</t>
  </si>
  <si>
    <t>2019/10/07 08:49:43</t>
  </si>
  <si>
    <t>10月5日，前往襄阳刘集机场时被机场穿工作服的工作人员拉住推销他们的产品，当时她告诉我免费办卡，只要充值1500元获赠500元，享受vip服务，凭卡购机票从卡里扣钱并享受优惠，结果第二天我订机票时被告知该卡只能分次抵消，剩余费用还得自己缴纳，向该工作人员询问时声称之前说好的都是分次抵消，跟他说退款式还被告知不能退款。</t>
  </si>
  <si>
    <t>2019/10/07 08:47:25</t>
  </si>
  <si>
    <t>聚投诉我想说一句话，投诉是第二次投诉，不是跟上一次的单号一样，也希望你们看一下，谢谢，借款也不是不还，对不对，一切利息我们都愿意承担，也不会逾期太长时间，我看着他们平台就非得把人逼的，要不回去了吗。</t>
  </si>
  <si>
    <t>2019/10/07 08:47:11</t>
  </si>
  <si>
    <t>本人于2018年11月在山西省太原市武宿机场被穿着制服的人员强制推荐办理亿出行2380元贵宾卡，并说赠予我1000元，告知余额3380可用于在网上买机票用，并且保证在亿出行上买的机票比任何网络上第三方平台的机票都便宜，且贵宾休息室终生免费提供，不仅本人可以使用贵宾室，亲戚朋友也可以免费使用，并赠送本人一次免费港澳游，在2018年11月当月我在亿出行买机票告知我3380余额只能抵用机建50元，且亲戚朋友使用贵宾室要交一定费用，并不免费，且每次订票时亿出行的机票都比第三方平台机票贵二十元左右，办卡之后负责亿出行</t>
  </si>
  <si>
    <t>2019/10/07 08:43:53</t>
  </si>
  <si>
    <t>0087，积极沟通还450元合计利息，客服一味的推卸责任说协商不会他们管，投诉后有催收打电话来，本来说好450正常利息还款知道我投诉后又开始辱骂本人并恐吓爆通讯录，之后再无联系，希望牛人有品可以心平气和的和我电话协商，我也不是不想还款。</t>
  </si>
  <si>
    <t>2019/10/07 08:41:50</t>
  </si>
  <si>
    <t>直接从我银行卡扣了两笔钱，一笔299元，一笔50元。</t>
  </si>
  <si>
    <t>2019/10/07 08:40:58</t>
  </si>
  <si>
    <t>交易猫不验证就发货，给的游戏账号密码错误无法登录，而且交易成功，无法退回资金。</t>
  </si>
  <si>
    <t>2019/10/07 08:40:54</t>
  </si>
  <si>
    <t>投诉人申先生投诉对象畅金服务,吴柏杰个人账户涉诉金额3300元问题类型诉求类型投诉详情本人10月2号通过短信链接注册申请了畅金服务，认证成功后，平台没有经过本人同意直接下款到我银行卡里，到账一看，原来是高炮，合同3300元到账1980，五天需还3300元并与昨天到期，本人联系平台客服进行协商还款，客服态度跟强硬，要么还款，要么展期，不然通讯录一个个打电话通知，展期费用高达1650元，已经接近我本金了且已经严重影响了我正常的生活，现本人希望贵平台能联系畅金服务，进行协商还款，除展期费用外本人愿意再加600元进</t>
  </si>
  <si>
    <t>2019/10/07 08:40:24</t>
  </si>
  <si>
    <t>今天无意点了了一个广告，下载了附近约爱软件，打开原件有很多异性打招呼，回复消息需要充值，本人充值之后发现里面的人都是人机。</t>
  </si>
  <si>
    <t>2019/10/07 08:39:56</t>
  </si>
  <si>
    <t>我借款1700，实际到账1360，逾期一天收51元逾期费，手头有800，先还了，已经打电话告知情况，还是爆了我的通讯录。</t>
  </si>
  <si>
    <t>2019/10/07 08:39:36</t>
  </si>
  <si>
    <t>订单完成快两个月了！首汽约车迟迟不支付司机费用！总是找各种莫须有的借口来搪塞司机！这订单是首汽约车自己的APP下单的乘客！不是第三方平台的单！你们的理由有同乘客确认吗，可以给我你们同乘客确认的电话录音，如确是我的问题，我也认了！至于你们说的路线问题，我是和乘客确认过的！不要用这种你们自己天马行空的想法来忽悠司机！。</t>
  </si>
  <si>
    <t>2019/10/07 08:38:53</t>
  </si>
  <si>
    <t>投诉人 邹先生        投诉对象  百事普惠        涉诉金额  299 元    问题类型    诉求类型投诉详情  无扣费说明 隐藏条款 盗刷银行卡 无确认说明 莫名其妙扣了299 打客服退款 然后玩文字游戏</t>
  </si>
  <si>
    <t>2019/10/07 08:38:37</t>
  </si>
  <si>
    <t>没有逾期，一直都是正常的，居然被唯品花永久停用了。</t>
  </si>
  <si>
    <t>2019/10/07 08:37:20</t>
  </si>
  <si>
    <t>本人于2017年6月在友信平台借款，合同上表明是借款6万元，但实际到账4万元，分36期，每期还款1949元，现已偿还27期，本次还款到期后因资金问题无法及时还款，当天就和客服协商争取第二日还款，并请他公司理解，按正常收取罚息，但今早收到短信，罚息，200多元，这罚息明显不合理，并且友信公司收取的利息也不合理借款4万总共分期还款要还70164元，远远超出了国家规定的年化利率。</t>
  </si>
  <si>
    <t>2019/10/07 08:33:56</t>
  </si>
  <si>
    <t>因国庆期间未能及时还款，捷信催收电话一天几十个，从早上7点多就开始打电话晚上十点多还接着打电话骚扰，更有甚者盗取我的个人信息给我家人朋友打电话，都说明情况了，还是不停骚扰我的朋友家人，给他们生活造成了非常严重的影响，一天最少30多个电话违法暴力催收，已经涉及到律法层面，对于违法催收我有权维护利益，如果继续暴力违法催收我将直接联名投诉举报，对于该平台违法暴力催收骚扰和盗取客户个人信息的违法行为由律师出面处理。</t>
  </si>
  <si>
    <t>2019/10/07 08:32:37</t>
  </si>
  <si>
    <t>投诉人聂先生投诉对象青岛红明英贸易有限公司涉诉金额300元问题类型诉求类型投诉详情本人在网站上看到一个投资返利赚收益的广告，点进去下载了一个叫贝博娱乐的app,他们客服说投资300可以3天返利100，于是我就通过银联快捷支付付款300，付款后返利也没有，自己的300也没有，收款方为青岛红明英贸易有限公司。</t>
  </si>
  <si>
    <t>2019/10/07 08:32:19</t>
  </si>
  <si>
    <t>投诉人温先生投诉对象信用管家,诚薪贷,云享贷涉诉金额4500元问题类型诉求类型投诉详情信用管家里的云享贷，诚薪贷，分别贷款3000元，不知情的情况下秒扣750元，现已还2期2058元，无力支付高额砍头息，申请还本金加法规规定合理年化销账。</t>
  </si>
  <si>
    <t>2019/10/07 08:31:34</t>
  </si>
  <si>
    <t>众所周知盛pos这个牌子是贴牌银盛支付的，，我现在就是重点投诉反馈第一个恢复支付宝通道既然处理不了，机器用不了，就退款完事，别磨叽，等了耐心的十几天，官方客服处理结果，都说我们没有办法处理，我一直是投诉反馈两个问题，第一，支付宝收款通道被关闭，请求处理恢复使用，第二，微信商户收款注册不了新用户，第二个问题就不纠缠了，但是你们别恶心的拿第二个问题等于全部已经解决方案来敷衍我好吗，盛pos和广东寰宇集团一级代理恶劣打排球的服务态度，不是电话打不进就是代理商把我微信拉黑，投诉无门。</t>
  </si>
  <si>
    <t>2019/10/07 08:30:33</t>
  </si>
  <si>
    <t>投诉人关先生投诉对象交通银行,交通银行信用卡涉诉金额28000元问题类型诉求类型投诉详情本人生意失败！在交通银行信用卡借了28000块！每个月利息就要1500多！还了6000块最低后！额度有3500块！中午有客服打电话我叫我要再还8000多！我说突然间去那里拿那么多钱，！给我一天时间借借吧！他说不行！给我半小时考虑！还了上去！谁知道下午就发现额度变成22000了！我有录音！现在想借点出来周转！我草！发现欠款还有24800多！那些手续费收了！额度一下子调低了！这样叫我怎么还！你们就这样子做吗，我这个月刚出生的</t>
  </si>
  <si>
    <t>2019/10/07 08:28:48</t>
  </si>
  <si>
    <t>钱站阴阳合同！借款1万合同显示借款13200！同时利息也就不合理的涨上去！强烈要求国家有关部门对钱站这种无良商家进行处罚！太多的人被钱站阴阳合同整得想死的心都有了！而且前期投诉钱站！根本不理！都过去10多天了，没有回复我一次！后台太硬了！没有相关部门敢去检查整顿吗。</t>
  </si>
  <si>
    <t>2019/10/07 08:27:57</t>
  </si>
  <si>
    <t>手机借钱多宝分期，高利贷，没逾期受到没素质催收，侮辱，恐吓，经过第一次上聚投诉投诉，手机借钱客服联系到本人，经协商归还本金，和国家合法利息，要求我还了第一期，我还清了第一期，说第二天全部处理，可是第二天，我联系客服，没人回复我，为了不影响双方的利益，请与本人马上解决问题，还清，销账，并出示还清证明，要是不能处理，本人将先报警，后用法律维护自己合法权益。</t>
  </si>
  <si>
    <t>2019/10/07 08:26:46</t>
  </si>
  <si>
    <t>投诉人颜先生投诉对象拼多多涉诉金额10元问题类型诉求类型投诉详情我想知道拼多多怎么处理打电话说能退的，希望聚投诉可以到我家来看，是否属实。</t>
  </si>
  <si>
    <t>2019/10/07 08:25:43</t>
  </si>
  <si>
    <t>投诉人 杨女士        投诉对象  小富商城        涉诉金额  200 元    问题类型    诉求类型投诉详情  10.6下午6点半 不知情情况下恶意扣款 并没有消费 也不任何扣款 也没有收到银行信息</t>
  </si>
  <si>
    <t>2019/10/07 08:24:43</t>
  </si>
  <si>
    <t>不还的话就打你朋友家人通讯录，还有村委会的电话。</t>
  </si>
  <si>
    <t>2019/10/07 08:24:37</t>
  </si>
  <si>
    <t>投诉人 李女士        投诉对象  （特约）中归        涉诉金额  1 200 元    问题类型    诉求类型投诉详情  没有此笔消费，私自扣款，这是什么行为？要求返还扣款，并道歉！</t>
  </si>
  <si>
    <t>2019/10/07 08:23:51</t>
  </si>
  <si>
    <t>申请抢票显示抢票失败，订单取消，已经搭乘另一趟火车后，系统自动抢票，直接扣除费用。</t>
  </si>
  <si>
    <t>2019/10/07 08:23:40</t>
  </si>
  <si>
    <t>注册的时候都能通过跑了一段时间说是审核不通过是不是不想让人提现了。</t>
  </si>
  <si>
    <t>2019/10/07 08:23:14</t>
  </si>
  <si>
    <t>投诉人刘女士投诉对象苏宁易购，惠而浦净水器涉诉金额3980元问题类型诉求类型投诉详情之前在苏宁易购买过不少家电，昨天接到电话和短信说老客户答谢会活动，说送扫地机一台，让我们去参加，因为活动地址在苏宁易购店里以前又确实在那里买过不少电器，所以很信任的就去了，先是抽奖，都是些不值钱的东西，后来说来了一个经理来送大礼，这个经理开始播放有关空气污染和水污染超标的视频，并要求大家不要拍照，不要用手机，接下来拉上台一个懂洁空气净化器并进行了空气净化器吸烟演示，说东西好价格贵，但实物看起来很一般，样子和二三百的一样，经理</t>
  </si>
  <si>
    <t>2019/10/07 08:19:14</t>
  </si>
  <si>
    <t>停止对我家人和通讯录好友的骚扰另外协商一下。</t>
  </si>
  <si>
    <t>2019/10/07 08:18:25</t>
  </si>
  <si>
    <t>有用分期不停的骚扰我们家人，恐吓，威胁，上门暴力催收，我们已经报警等他来！家人已经等着有用分期黑社会上门了！。</t>
  </si>
  <si>
    <t>2019/10/07 08:17:25</t>
  </si>
  <si>
    <t>借1000，分三期，每期还600，完前高利贷，。</t>
  </si>
  <si>
    <t>2019/10/07 08:12:57</t>
  </si>
  <si>
    <t>投诉人 高先生        投诉对象  Wecash闪银        涉诉金额  244 元    问题类型    诉求类型投诉详情  闪银商城我付了244。几个月了到现在都还没有发货</t>
  </si>
  <si>
    <t>2019/10/07 08:12:45</t>
  </si>
  <si>
    <t>后来隔了一两个月想使用安逸花了就咨询客服怎么解冻账号，结果连额度都没有了！变成死号了请问这是什么道理，根本就不是解决问题的问题我要求重新签订合同协议解冻账号密码！。</t>
  </si>
  <si>
    <t>2019/10/07 08:12:16</t>
  </si>
  <si>
    <t>微博无故被冻结3天急用急用急用无法解冻拨打客服没人理睬，急用急用急用。</t>
  </si>
  <si>
    <t>2019/10/07 08:10:47</t>
  </si>
  <si>
    <t>天下信用联合如期分期收取客户高额砍头息，借款13500，下来扣扣除2笔风险评估费，1笔1282.5，1笔675，总共1957.5元，这个风险评估费我认为是捆绑销售，这种应该是看客户意愿，而不是强行捆绑，我要求退回我这2笔风险评估费用。</t>
  </si>
  <si>
    <t>2019/10/07 08:10:05</t>
  </si>
  <si>
    <t>恶意扣款，误导大家购买报告，很多人都上当了。</t>
  </si>
  <si>
    <t>2019/10/07 08:09:13</t>
  </si>
  <si>
    <t>催收人员，不断打电话，说过当天会赶紧处理，他说话难听，脏话连篇，恐吓威胁。</t>
  </si>
  <si>
    <t>2019/10/07 08:07:30</t>
  </si>
  <si>
    <t>信用卡逾期后，由于个人原因，我认但是利息太高了，每个月光利息就1800还多，每月利息为6%年利息就是72%有心还款但是每月利息太高希望银行能调整利率减免利息。</t>
  </si>
  <si>
    <t>2019/10/07 08:05:57</t>
  </si>
  <si>
    <t>一年前创业失败，加上现在工资拖欠和老公被他朋友骗六七万，自己带两个几岁的小孩儿，导致15年用的兴业信用卡这两三个月逾期了，催收在没告知的情况下已上门一次，现在要求结清全款，我说想协商分期还，他们不同意，说必须今天10点一次性还清，如果不确实遇到困难，毕竟金额不算特别大，也不会逾期，希望和银行能协商个还款方案，不想因为催收总上门给孩子造成影响，希望银行理解。</t>
  </si>
  <si>
    <t>2019/10/07 08:02:29</t>
  </si>
  <si>
    <t>投诉人陈小姐投诉对象立刻出行涉诉金额499元问题类型诉求类型投诉详情押金退不出来！退不出来！不能让法人逍遥法外！非法行为理应得到法律惩戒。</t>
  </si>
  <si>
    <t>投诉人周先生投诉对象滴滴出行涉诉金额391元问题类型诉求类型投诉详情10月6日下午3:20一笔滴滴快车实时订单由高安锦鹰公馆KTV到南昌理工学院英雄主校区平台恶意说诱导乘客线下交易从我钱包扣款391，送姨娘的孩子关闭滴滴平台送人家去学校不为过吧总不能去要人家钱吧做人不是这样做的，扣我这么一大笔钱不是小数目几块几十块，而是几百块，你们平台就是这样做的吗对得起为你们平台每天这么努力的接单饭都不能有时及时吃，请给我一个合理的解决办法还我血汗钱。</t>
  </si>
  <si>
    <t>2019/10/07 08:00:38</t>
  </si>
  <si>
    <t>2018年3月在点跃在线网上报名考试课程支付了4500元，当时签了协议，协议声明如果学完考试不过可以重修或者全额退款，18年10月份点跃的老师联系说让寄回发票和协议走退款流程，一直说马上要退了，下周退，节后退这样的话，但是迟迟不见退款，一直追问到今年五月份，他们的工作人员总说是财务在走流程，走完就会退。</t>
  </si>
  <si>
    <t>2019/10/07 07:57:16</t>
  </si>
  <si>
    <t>大兴安岭农村商业银行无故从我银行卡里划扣一千多元，我要求返还这笔钱。</t>
  </si>
  <si>
    <t>2019/10/07 07:56:08</t>
  </si>
  <si>
    <t>投诉人黄女士投诉对象智行涉诉金额50元问题类型诉求类型投诉详情今早打算买票，上面写了若买不到票则全额退款，结果买不到不退那个铂金会员的钱。</t>
  </si>
  <si>
    <t>2019/10/07 07:53:00</t>
  </si>
  <si>
    <t>在手机没有操作的时候被从银行卡里扣了50元，发现后对该笔消费没有印象。</t>
  </si>
  <si>
    <t>2019/10/07 07:50:46</t>
  </si>
  <si>
    <t>我在豹子贷申请贷款，没有申请成功，然后里面有个免费评估，我就点了这个免费评估，也没看到什么有用的评估报告，后面我就卸载了，谁知道下午就胡乱扣除299元，后面我联系客服，客服恶意推脱，说匹配其他网贷，申请其他网贷不成功可以退款，结果也没申请成功，都是非法高利息网贷，我就不申请了，结果到现在还一直为退款。</t>
  </si>
  <si>
    <t>2019/10/07 07:50:30</t>
  </si>
  <si>
    <t>2019/10/07 07:49:30</t>
  </si>
  <si>
    <t>交易猫买家在买号成功但暂未确认收货期间不登录QQ账号，营造出自己未对QQ做出任何操作，然后利用客服换绑密保手机号的审核时间漏洞掐着时间在快生效时进入交易猫订单页面申请仲裁。</t>
  </si>
  <si>
    <t>2019/10/07 07:48:19</t>
  </si>
  <si>
    <t>APP充值不了还不了款，每天像客服反映无人处理，导致逾期时间变长，变相收取逾期费，要求恢复APP还款功能，本人不信别的还款操作！。</t>
  </si>
  <si>
    <t>2019/10/07 07:45:18</t>
  </si>
  <si>
    <t>微信客服一直说要本人提交手持身份证才能关闭保护模式。</t>
  </si>
  <si>
    <t>2019/10/07 07:44:23</t>
  </si>
  <si>
    <t>百事普惠用户您好，您购买的评估报告已成功扣费299.0元，订单号为pay20191004001116，详情致电百事普惠您的个人申请资格评估服务已支付完成，订单号为pay20191004001116，谢谢您对百事普惠的支持，若有疑问请联系APP在线客服或拨打客服电话:。</t>
  </si>
  <si>
    <t>2019/10/07 07:43:23</t>
  </si>
  <si>
    <t>希望商家尽快处理，退回我的249，我对白条分期这个平台也无语了，天天打电话没有人接。</t>
  </si>
  <si>
    <t>2019/10/07 07:40:35</t>
  </si>
  <si>
    <t>嗨钱网以系统升级为借口，导致客户一直还不了款，收取逾期费，打给客服每次都是以系统升级搪塞！。</t>
  </si>
  <si>
    <t>2019/10/07 07:40:18</t>
  </si>
  <si>
    <t>8500的本金，手续费要3000多，他妈的太黑了。</t>
  </si>
  <si>
    <t>2019/10/07 07:38:40</t>
  </si>
  <si>
    <t>连续三次送错货京东专员昨天刚给我打电话说已经更新系统不会再出现送错货了，今天同样商品又送错活了，现要求15点前送到指定地址，否则要求1000元现金赔偿，这是你们专员答应我不会出错了的，我录过音了，大家记住这就是京东快递。</t>
  </si>
  <si>
    <t>2019/10/07 07:38:22</t>
  </si>
  <si>
    <t>投诉人 许同帅        投诉对象  微信,微信支付        涉诉金额  998 元    问题类型    诉求类型投诉详情  朋友给我转账走的小微商户，现在不给我提现</t>
  </si>
  <si>
    <t>2019/10/07 07:35:37</t>
  </si>
  <si>
    <t>注册的时候都能跑也审核通过了，这会又说审核不通过卸磨杀驴呢。</t>
  </si>
  <si>
    <t>2019/10/07 07:34:08</t>
  </si>
  <si>
    <t>小浦优客在不知情的情况下随意扣我的钱，必须退钱，不退钱不可能结案的。</t>
  </si>
  <si>
    <t>2019/10/07 07:33:22</t>
  </si>
  <si>
    <t>我没有向陕西长银消费公司旗下的任何贷款软件借过钱，但是今天早上银行卡却显示扣款到陕西长银消费公司。</t>
  </si>
  <si>
    <t>2019/10/07 07:32:36</t>
  </si>
  <si>
    <t>高铁管家购买抢票套餐，改签票，接近开车时间，取消抢票，抢票套餐未退款。</t>
  </si>
  <si>
    <t>2019/10/07 07:31:15</t>
  </si>
  <si>
    <t>投诉人吴先生投诉对象快闪卡贷涉诉金额10000元问题类型诉求类型投诉详情利息高的可怕答应我的事情也没有做到之前答应调整利息后面一点事情也没有做。</t>
  </si>
  <si>
    <t>2019/10/07 07:30:42</t>
  </si>
  <si>
    <t>贷上钱提供的牛人有品，借款1900，到账1368，分两期，一期还969，畅捷支付违规提供放款，希望有关部门严肃处理，。</t>
  </si>
  <si>
    <t>2019/10/07 07:26:58</t>
  </si>
  <si>
    <t>借款4000元，分三期第一期还款2219.5元，已还第二期还款2217.31元第三期还款2217.31元钱站这样的超利贷黑平台还能上征信吗，望相关部门尽快介入处理这样的黑平台，下架该产品贷款口子。</t>
  </si>
  <si>
    <t>2019/10/07 07:25:59</t>
  </si>
  <si>
    <t>借2700块，一个月后要还款4111块，逾期一天收取35-7的逾期费。</t>
  </si>
  <si>
    <t>2019/10/07 07:24:50</t>
  </si>
  <si>
    <t>自由魔卡，贷款六便士，借款2000，砍头息540，一期借2000还2060，畅捷支付违规提供高利贷放款，希望有关部门严肃处理，。</t>
  </si>
  <si>
    <t>2019/10/07 07:20:42</t>
  </si>
  <si>
    <t>9月5日微信收到一个添加好友请求，自称嗨包客服，推荐去借款，当时我回复你们利息太高不需要，对方声称到期可给我减免费用，当时我就相信了，因资金紧张，就去申请了一笔借款，5天后到期归还发现已联系不上该客服人员，因害怕对家人造成影响，故想办法凑钱在该平台反复借款几次，目前短短一个月时间仅仅利息就付出高达近万元，现实在无力偿还高利，现要求嗨包。</t>
  </si>
  <si>
    <t>2019/10/07 07:19:43</t>
  </si>
  <si>
    <t>投诉人 王女士        投诉对象  卡分期        涉诉金额  249 元    问题类型    诉求类型投诉详情  卡分期 恶意扣取会员费 直接扣掉了 欺骗 希望退还所谓会员费</t>
  </si>
  <si>
    <t>2019/10/07 07:16:59</t>
  </si>
  <si>
    <t>本人一直持有中信银行i白金信用卡，一直以来都保持良好使用记录，使用后都主动提前还款，无不良信用记录，在2019年8月先后多次接到中信信用卡客服打来的推销电话，说是因我的消费记录良好，可以将我的i白金信用卡升级为白金信用卡，并把各种办卡后的服务好处说的天花乱坠，对于办卡需承担的责任则含糊不清，一笔带过，对于年费收取问题，客服电话中表示为2000元/年，并在电话明确表示年费在收到升级后的卡片后激活后才会扣除，但本人因工作忙一直未进行激活使用，今天登陆中信银行App动卡空间查询账单，发现多了一笔2000元的扣款，</t>
  </si>
  <si>
    <t>2019/10/07 07:16:00</t>
  </si>
  <si>
    <t>投诉人 费先生        投诉对象  贷上钱        涉诉金额  3 200 元    问题类型    诉求类型投诉详情  爆通讯录催收 严重影响工作生活，贷上钱涉嫌高利贷 ，建议司法介入取缔！</t>
  </si>
  <si>
    <t>2019/10/07 07:15:41</t>
  </si>
  <si>
    <t>在贷上钱，下载的壹心分期，借款2100，砍头息575，分两期，一期15天，一期还1071，连连通支付违规提供支付通道，希望有关部门严肃处理，。</t>
  </si>
  <si>
    <t>2019/10/07 07:15:33</t>
  </si>
  <si>
    <t>拍拍贷还款日不能还款，无论是银行卡自动扣款还是手动还款都失败，显示报文要素缺失，打客服电话也没人接，导致逾期，拍拍贷自己系统原因导致客户逾期，十分令人气愤，严重损害客户利益。</t>
  </si>
  <si>
    <t>2019/10/07 07:12:22</t>
  </si>
  <si>
    <t>本人未欠平安银行信用卡，银行电话威胁恐吓联系过度骚扰，给本人造成极大困扰，均有录音文件，要求停止骚扰，道歉。</t>
  </si>
  <si>
    <t>2019/10/07 07:11:53</t>
  </si>
  <si>
    <t>投诉人张女士投诉对象平安普惠涉诉金额100000元问题类型诉求类型投诉详情本人申请平安普惠36期10万下款9.7万，本人因腰间盘突出不能行走住院实在无力偿还，现申减免4万元费用，销帐，停止骚扰，这是上次投诉的截图，现在在系统找不到任何信息只有逾期记录。</t>
  </si>
  <si>
    <t>2019/10/07 07:10:00</t>
  </si>
  <si>
    <t>苏宁金融,苏宁消费金融,苏宁任性贷,苏宁易购，本人因投资失败，导致无法及时偿还消费贷款，苏宁任性贷委托的第三方催收，在给本人用一个标记为骚扰号的座机打了一遍电话，请问哪条法律定义一遍电话没打通，就叫联系不上！，，本人因为工作的缘故并未接到，苏宁任性贷委托方便以联系不上为借口，采用严重暴力催收的形式，对我本人通讯录展开了疯狂骚扰，家父身患高血压，苏宁任性贷委托方扔不依不饶，用各种威胁方式恐吓，致使我父亲受到严重的精神打击，口服强效降压药才降下一点，此事对我本人，本人家庭造成了严重侵害，谁也不想逾期，谁都愿及时</t>
  </si>
  <si>
    <t>2019/10/07 07:07:54</t>
  </si>
  <si>
    <t>本人自去年开始想找一个方便的理财P2P，网上搜索一番后联系了一个自称年化收益率8.65%的平台，一年多的时间通过这三家第三方平台累计投入20000多元，今年想取现是发现，平台消失，之前所谓的客户也已经联系不上，感觉有些不对，于是调出来存款的凭证，查询了这些第三方平台的资金流向，最后发现这些资金全部流入到赌博平台当中，而我竟然一年多的时间毫不知情，我也百度查询了这三家支付平台的一些信息，不能说客观公正，但是看到这些平台为赌博平台提供通道已经不是一日之举，前例触目惊心，甚至有的人几十万上百万的资金，在损失了这些</t>
  </si>
  <si>
    <t>2019/10/07 07:07:20</t>
  </si>
  <si>
    <t>投诉人 孙先生        投诉对象  银合支付        涉诉金额  30 元    问题类型    诉求类型投诉详情  银合支付提供赌博小程序在微信支持付款 其赌博程序为欺诈软件 现要求全额退款</t>
  </si>
  <si>
    <t>2019/10/07 07:05:56</t>
  </si>
  <si>
    <t>伪造合同、虚假/误导宣传、盗刷/扣费不明、违规提供支付通道、以检查报告费乱扣钱。</t>
  </si>
  <si>
    <t>2019/10/07 07:03:12</t>
  </si>
  <si>
    <t>9月23日)，结果提现提不了了，让他退还我本金到我充值用的微信也不给退，百度之后发现有好多这种平台。</t>
  </si>
  <si>
    <t>2019/10/07 07:00:49</t>
  </si>
  <si>
    <t>暴力催收，严重骚扰亲朋好友正常生活！根本没有任何通知，就发信息和电话打到公司，亲朋好友哪里，朋友昨晚半夜1点多还收到信息，这个无良公司。</t>
  </si>
  <si>
    <t>2019/10/07 06:57:38</t>
  </si>
  <si>
    <t>豹子贷没有放款资格私自收取299的信用评估费要求14天后还，而且是中介平台，没有放款的资格，要求取消299的账单。</t>
  </si>
  <si>
    <t>2019/10/07 06:54:59</t>
  </si>
  <si>
    <t>在小黑鲨借款2000一个月要还2400,高利贷，调整利率，请小黑鲨联系我，协商解决。</t>
  </si>
  <si>
    <t>2019/10/07 06:54:15</t>
  </si>
  <si>
    <t>自2018年开始陆陆续续一年多的时间，因为本人工作比较稳定，所以想找一些理财方便的P2P，网上找了一番就遇见了这么一个推荐人，说的是年化收益率在8.65%投资随时可取，随时有闲钱可以随时买理财产品，我前前后后投入一万八千多元，今年要取现的时候发现取不出来，人也联系不上，平台消失了，人也失联了，随后我调取了转账交易记录，都是通过由一家名为，国家明令禁止不得为赌博平台提供通道为何这个杉德支付连续9次被国家处罚，依然可以肆无忌惮为其不法行为提供平台支撑，害的百姓无辜受害，杉德支付黑龙江分公司，杉德支付上海分公司的</t>
  </si>
  <si>
    <t>2019/10/07 06:51:18</t>
  </si>
  <si>
    <t>我10月4日起就开始尝试主动还款，一直失败，连续打了2天，客服都叫我别急，是系统问题，10月7日凌晨肯定能主动扣款，结果10月7日我起来一看，就扣了151.28元，剩下1800多已经是逾期状态，我就预感不对，提前3天主动还款都不行，自动扣也失败，最后造成逾期。</t>
  </si>
  <si>
    <t>2019/10/07 06:33:13</t>
  </si>
  <si>
    <t>1.在火影帮借款1800元，然而仅到账1309元，首页广告说是六个月分期，实际还款期限是15天为一期，，以为是分期付款，虚假宣传，诱导用户，每续期15天就要收取高达504元，借款利率已经超过国家符合利率:已续三期504+504+484=1492，已超过借款实际到账金额，要求消帐！2.特约支付为其提供支付渠道，征信有限公司旗下产品，联系电话0755-2377715，公司地址:广州省深圳市福田区福华三路168号深圳国际商会中心809，4.我已经整理好所有资料，我要求销账，提供结清证明！。</t>
  </si>
  <si>
    <t>2019/10/07 06:31:11</t>
  </si>
  <si>
    <t>名为彩七七的非法网络彩票平台的充值方式是云闪付收款方是京东，我是被骗的这个平台是个非法平台，我请求京东给我个说法。</t>
  </si>
  <si>
    <t>2019/10/07 06:21:22</t>
  </si>
  <si>
    <t>被人加QQ说是彩票客服，然后说是中国福利彩票的合法平台，我就信了然后给我链接让我下次APP然后让我进行充值购买彩票，彩票APP名为彩77，后来百度查了一下此彩票平台是非法的，但是我充值的方式是中国银联云闪付支付，希望云闪付能帮我追回资金，云闪付的商户为非法平台提供充值渠道已经违反了中国的法律，商户名称都在截图里面了，希望中国银联彻查这些非法商户。</t>
  </si>
  <si>
    <t>2019/10/07 06:20:04</t>
  </si>
  <si>
    <t>无缘无故扣钱，不知道咋回事，要求给我一个合理的解释并且退款，太过分了。</t>
  </si>
  <si>
    <t>2019/10/07 06:00:44</t>
  </si>
  <si>
    <t>有人微信联系我做兼职，交押金，交过去就没影子了，支付宝账单号有问题。</t>
  </si>
  <si>
    <t>2019/10/07 06:00:38</t>
  </si>
  <si>
    <t>不经我们同意扣钱，不知道怎么回事，继续申请就无法进入网站。</t>
  </si>
  <si>
    <t>2019/10/07 05:58:51</t>
  </si>
  <si>
    <t>本人于2019年10月3日至4日在星火作文网上投稿了自己女儿的三篇作文，10月5日星火作文就发我消息我女儿的作文已被审核录用，但是我点进星火作文网去看到他们发布了我女儿的作文，却没写我女儿的名字。</t>
  </si>
  <si>
    <t>2019/10/07 05:57:10</t>
  </si>
  <si>
    <t>在支付宝扫了个二维码后总共付了五千元左右，第三方是拼多多，然而上面什么记录都没有，收款商家也联系不上，钱就没有了。</t>
  </si>
  <si>
    <t>2019/10/07 05:55:55</t>
  </si>
  <si>
    <t>请贵平台核实处理，商家承认售假，即为售假成立，这是你们拼多多规则请按照规则处理，商家使用他人品牌盈利，用假冒品牌产品欺诈消费者，已经构成欺诈罪，严重侵犯了消费者权益，我现在需求仅退款，请拼多多处理仅退款。</t>
  </si>
  <si>
    <t>2019/10/07 05:50:59</t>
  </si>
  <si>
    <t>本人使用云闪付扫码支付货款后，福州云水淼贸易有限公司拒不发货。</t>
  </si>
  <si>
    <t>2019/10/07 05:48:02</t>
  </si>
  <si>
    <t>投诉人邱先生投诉对象深圳普惠快信,普惠快信金融公司涉诉金额20000元问题类型诉求类型投诉详情普惠快信申请k利贷，在客户不知道的情况下乱添加增值费用，导致利息过高，无法偿还，多次给客服打电话称是正常费用，不还款就拿征信压迫，希望能给我去掉增值费用或者是我一次性还本金，还完就不贷了。</t>
  </si>
  <si>
    <t>2019/10/07 05:45:24</t>
  </si>
  <si>
    <t>为了谋取暴利，为高利贷网贷公司提供扣款便利，在本人不知道的情况下恶意扣款。</t>
  </si>
  <si>
    <t>2019/10/07 05:23:29</t>
  </si>
  <si>
    <t>本金还的剩下约5000,逾期加利息共计16000多，和工作人员协商还款8200元协议结清，并给我出具了结清证明，但app一直不消帐，致电客服就说反馈，结清后那几个月，见数据不变，利息不再涨便没当回事，现在进去看发现我的借款帐号己发生债权转让且利息在猛涨。</t>
  </si>
  <si>
    <t>2019/10/07 04:50:42</t>
  </si>
  <si>
    <t>我在那借了总共一万多每次借款都是没有那么多。</t>
  </si>
  <si>
    <t>2019/10/07 04:40:43</t>
  </si>
  <si>
    <t>投诉人李先生投诉对象国美涉诉金额3999元问题类型诉求类型投诉详情重庆市九龙坡区西彭镇国美电器，2019年10月6日借口顾客答谢会虚假销售九阳净食机，当天中午我母亲接到一自称是国美电器的工作人员来电称他们店里当天搞顾客答谢会，有礼品叫母亲去取，因为家里常在国美买电器所以我母亲前去，答谢会基本就是各种夸净食机好，对我母亲洗脑，说因为是答谢所以6000多的净食机只卖你3999，还送空气净化器，破壁机，车载吸尘器，这三件商品我在网上也没找到他们的品牌，我都怀疑九阳净食机的真伪了，老母亲被洗脑后就购买了！而且还没有</t>
  </si>
  <si>
    <t>2019/10/07 04:38:21</t>
  </si>
  <si>
    <t>本人在钱站借款两千，到账两千，然而和合同里面的借款金额是2800，我分三期归还，每期换986.66，共要还个2959.98.利息高得吓人，我希望钱站能给我一个合理的解释，对于多出来的800本金借款在哪。</t>
  </si>
  <si>
    <t>2019/10/07 04:31:10</t>
  </si>
  <si>
    <t>平安普惠业务员推销贷款利率为8.4%年，办理期间从未告知有保险费和服务费，在app几次升级后的一个还款日，因自动扣款没成功，所以平安普惠业务员要求转账入他们公司的对公账户，操作流程中发现在第三方平台中可以看到贷款详细信息，才发现有跟利息差不多的保险费和服务费，保险合同我从未见过，上面也没有我的个人签字，而且我贷款12万保险金额却为123472.46，本人怀疑为合同为伪造，本人已还款7万余元，且还在正常还款中，不存在任何拖欠、逾期行为。</t>
  </si>
  <si>
    <t>2019/10/07 04:23:51</t>
  </si>
  <si>
    <t>借款5000元，分期6月，利息高达842，已超过法定利息，协商还本金。</t>
  </si>
  <si>
    <t>2019/10/07 04:20:59</t>
  </si>
  <si>
    <t>投诉人 刀先生        投诉对象  深圳普惠快信        涉诉金额  2 799 元    问题类型    诉求类型投诉详情  2799月供315.04 逾期叠加，合同不对应。</t>
  </si>
  <si>
    <t>2019/10/07 04:20:01</t>
  </si>
  <si>
    <t>本人通过高铁管家APP抢动车票，支付时默认多出60元抢票套餐费用，抢票成功后，退票时没有退这60元费用，由衷希望平台能及时处理，谢谢。</t>
  </si>
  <si>
    <t>2019/10/07 04:17:55</t>
  </si>
  <si>
    <t>投诉人余先生投诉对象钱站,华夏银行涉诉金额1000元问题类型诉求类型投诉详情借款5000元，合同6500元，实际到账5000元，3期3月，需要1000元利息，已超过国家法定利率。</t>
  </si>
  <si>
    <t>2019/10/07 04:07:49</t>
  </si>
  <si>
    <t>猫眼电影app在国庆期间有一个拉新人送金币活动，我在参加这个活动，拉新人的时候，可以正常拉，金币也可以正常到账，到提现的时候，猫眼提示服务器开小差，咨询客服，客服说账号不符合活动要求，请问如果账号不符合活动要求，为什么一开始可以拉新人，金币也可以到账呢。</t>
  </si>
  <si>
    <t>2019/10/07 03:56:32</t>
  </si>
  <si>
    <t>本人通过高铁管家APP抢动车票，支付时默认多出60元抢票套餐费用，抢票成功后，退票时没有退这60元费用，由衷希望平台能及时处理，感谢。</t>
  </si>
  <si>
    <t>2019/10/07 03:47:39</t>
  </si>
  <si>
    <t>投诉人 艾嫱        投诉对象  现金借款        涉诉金额  3 000 元    问题类型    诉求类型投诉详情  洋钱罐借钱 刚开始借款3000 分六期 加利息 每月还六百左右 借款后 他们私自修改合同 阴阳合同 第一期还一千四百多 第二期还一千四百多 第三到六期 每月还 一百九十多 这种不合理公司 应该关逼 暴力催收 我也报案 打算起诉</t>
  </si>
  <si>
    <t>2019/10/07 03:44:30</t>
  </si>
  <si>
    <t>我2017年去雷州市卖摩托车店本来是带了3000元去，本来我的钱也不够，摩托车的价钱是3200块钱，等我问好价钱之后那个店主和我说要不要分期，我说可以呀！本来我的钱也没带够，他打电话找了两个贷款的，只有一个过来，我本来不想贷款1700元，可是他们跟我说，如果你不贷款这么多的话是通不过的我只能同意了，我选择分期三个月，然后他带我去银行存款了打一个单出来给他，然后返回是继续填写资料没想到他选择的12个月给我，就怪我没看合同，这也算我倒霉吧，买了摩托车回去过清明节，大概也是来十来天吧，然后我又把摩托车骑去雷州市跟</t>
  </si>
  <si>
    <t>2019/10/07 03:35:42</t>
  </si>
  <si>
    <t>本人于2019年7月多在小象优品上边借了5000元，借了3期，但借款时并没有显示每月利息和高额的违约金这样的合同就下款了，但在近期资金链断裂的情况下发现，这个平台是一个高利贷，第一期逾期3天违约金130，第二期7天没到违约金170，而且一月利息也比较高150请问这样合理吗。</t>
  </si>
  <si>
    <t>2019/10/07 03:29:57</t>
  </si>
  <si>
    <t>本人九月三日借款3000元，逾期三天加收利息，暴力催收，爆打家人朋友通讯录，。</t>
  </si>
  <si>
    <t>2019/10/07 03:19:31</t>
  </si>
  <si>
    <t>本人2019年10月初在抖音下载珍爱网，红娘不断给我发信息打电话说是有优秀的男子推荐，希望到总部来实名认证一下，提交一下资料，由于白天工作没有休假，约到晚上8点，到了之后就在一个封闭的房间里，从晚上八点谈到12点，丝毫没有机会脱身，在交谈过程中红娘自行设定好合同，要求签字付款，刷信用卡付完款之后，没有给发票和收据，现已安全到家，未产生任何服务，次日要求全额退费。</t>
  </si>
  <si>
    <t>2019/10/07 03:09:28</t>
  </si>
  <si>
    <t>2019年10月4号八点五分本人建设银行卡被特约京东支付扣走1011.69元，之后两天不断扣走45元，没有任何短信，验证码通知到我，我本人也并没有在京东买什么东西，直到今天才看到，才发现钱少了，扣款方就是特约京东支付，什么东西我都不知道。</t>
  </si>
  <si>
    <t>2019/10/07 02:50:00</t>
  </si>
  <si>
    <t>投诉人 卞女士        投诉对象  你我贷        涉诉金额  20 000 元    问题类型    诉求类型投诉详情  本人在你我贷25号下款一笔两万金额借款 但实际是20号申请的 推出五天到账 期间已不需要这笔贷款 联系客服说不借了 没想到在国庆期间本人才发现到账了 赶紧又联系客服说要申请撤销 钱一毛没花 被告知必须还清三期 就是要还给他们7000元利息加本金才可以 ？？？？ 明明是自己放款慢 在一个我还打电话说撤销了 客服来个没记录 不承认 欺负人</t>
  </si>
  <si>
    <t>2019/10/07 02:49:45</t>
  </si>
  <si>
    <t>滴滴出行两年来恶意限制我这个兼职司机的服务分，各种数据我都收集了很久，长久测试结果令人诧异，每单都让乘客点好评，投诉率极低的情况下，依然不加服务分，今年又在搞什么买电瓶车做合规司机，一个星期就能满分的策略，坑害了很多无知的司机入坑，既然对于我的诉求平台不管不问那就请退换所收平台费。</t>
  </si>
  <si>
    <t>2019/10/07 02:39:41</t>
  </si>
  <si>
    <t>三笔借款第一笔合同9600实际八千第二笔合同6800实际到账5000第三笔合同10560实际到账7000。</t>
  </si>
  <si>
    <t>2019/10/07 02:37:51</t>
  </si>
  <si>
    <t>本人在人人贷借款14000元，由于本人生病，但是20多天居然一共要还18725元，这利息我不知道怎么算的，我联系过客服，病例也提供了，说1-3个工作日联系我。</t>
  </si>
  <si>
    <t>2019/10/07 02:35:43</t>
  </si>
  <si>
    <t>信用宝金融信息北京有限公司，我贷款因对方拒不交我属于我的一份合同，利息超过国家规定，我和对方协商，要求重新计息，遭粗暴拒绝，并且威协我的亲朋好友，我有录音证据，还违法使用非法手段轰炸我的手机，各种信息从白天到夜里不停的骚扰！。</t>
  </si>
  <si>
    <t>2019/10/07 02:34:10</t>
  </si>
  <si>
    <t>我是9月29日下载的百事普惠，填写了资料，后来看没什么用就删除APP了，10.7凌晨在我不知情的情况下特约中归扣了我299元，典型的欺诈和隐藏消费，客服电话是假的根本打不通，投诉百事普惠同时也投诉特约中归支付渠道，擅自扣款，希望能尽快处理百事普惠用户您好，您购买的评估报告已成功扣费299.0元，订单号为pay20190929025024，详情致电。</t>
  </si>
  <si>
    <t>2019/10/07 02:24:35</t>
  </si>
  <si>
    <t>而且1400逾期一天竟然要逾期管理费40块，请联系我。</t>
  </si>
  <si>
    <t>2019/10/07 02:20:07</t>
  </si>
  <si>
    <t>豹子贷,上海造艺网络科技,造艺网络科技,银码头，在抖音上看到了个贷款广告，点击进去后显示立即借款，然后让下载了豹子贷APP，里边有个借款，需要绑定银行卡等个人信息，完善资料后点击立即借款才可以，然后就直接扣除了我299，我也查询到很多人投诉该平台，其行为完全属于隐瞒消费，并且恶意扣款，因为有的人银行卡没有299，该平台还会一笔笔扣费直到扣除299为止，假如是让客户消费299，应该一次性扣除才对，为什么还可以支付部分金额就可以先给服务，然后一次次扣费，假如你去买东西，以后的钱N多次付清，这完全不正常都，所以请</t>
  </si>
  <si>
    <t>2019/10/07 02:13:43</t>
  </si>
  <si>
    <t>昨天下午3点多，本人在陌陌充值界面，由于手误充值了大额陌陌币50000，支付宝提示付款5000元，之后收到手机银行扣款5000元的信息，才反应过来，当即联系陌陌客服，以虚拟货币，充值成功，不予退还为由拒绝，我从来没有充值过如此大额的虚拟币，我认为这次手误与我平时手机设置指纹解锁和指纹支付有关系，确系误充！由于本人平时并不宽裕且这次涉及金额较大，恳请平台助我追回！。</t>
  </si>
  <si>
    <t>2019/10/07 02:12:25</t>
  </si>
  <si>
    <t>聚投诉你好！牛人有品APP，本人在该公司借款1600分2期，，到账1152.却要还1632已经还一期816，还有一期816无力偿还，合作放款公司，北京畅捷网络技术有限公司，非法与牛人有品公司非法放贷，10月6号都没有处理好，现在10月7号都没有联系处理问题。</t>
  </si>
  <si>
    <t>2019/10/07 02:08:35</t>
  </si>
  <si>
    <t>阴阳合同、利息同等本金一样多、超过国家规定、暴力催收、恐慌威胁。</t>
  </si>
  <si>
    <t>2019/10/07 02:06:52</t>
  </si>
  <si>
    <t>本人于2017年12月份向北京瓴岳信息技术有限公司借款500元三次，借款周期一个星期，每次产生利息70元，前两次都还了，第三次账号登录不上，也联系不上客服，无法还款，支付宝已产生不良记录，芝麻分掉了100多分，希望能够通过贵平台帮助完成申诉，结清500元欠款，并要求北京瓴岳信息技术有限公司给我一个合理的解释。</t>
  </si>
  <si>
    <t>2019/10/07 02:06:19</t>
  </si>
  <si>
    <t>本人于九月初通过卡卡贷申请一笔五万元的贷款，分十二期归还，属于自愿借款无异议，后在九月底因此前所在地区发生特大洪灾造成的后遗症所留下的影响引发资金链突然断裂，第一期贷款5600元即出现无法按时归还情况，本人在第一时间与客服联系，明确告知目前出现的情况，并表示本人目前还有稳定工作，虽然工资无法支付每一期的还款金额，但是希望客服能协商重新规划分期数额，让本人在能力范围内逐步还完此笔金额，因致电时本人还未逾期，且去年也在平台进行过借款，并在资金充足时提前结清了借款及利息，征信无任何问题，平台告知目前能做到的只能为</t>
  </si>
  <si>
    <t>2019/10/07 02:05:39</t>
  </si>
  <si>
    <t>按照要求，买了黑卡，然后不予下款，客服永远排队中，而且会经常断开重新排队。</t>
  </si>
  <si>
    <t>2019/10/07 02:03:56</t>
  </si>
  <si>
    <t>2019/10/07 02:02:03</t>
  </si>
  <si>
    <t>嗨钱网还款了不消账，系统显示逾期状态，app修复两个多月吗，故事让用户逾期，存在高利贷行为，请求给出合理的解释！。</t>
  </si>
  <si>
    <t>2019/10/07 01:59:14</t>
  </si>
  <si>
    <t>2019/10/07 01:50:52</t>
  </si>
  <si>
    <t>借款合同写着本金1330，可是收到本金才1000。</t>
  </si>
  <si>
    <t>2019/10/07 01:50:17</t>
  </si>
  <si>
    <t>天下信用联合如期分期半夜偷偷扣款，借款4300元要还5106元就算了，半夜还要偷偷扣款602元的说什么风险评估费砍头息。</t>
  </si>
  <si>
    <t>2019/10/07 01:42:49</t>
  </si>
  <si>
    <t>借款2800，31天需还4088，每8天还1022，其中本金700，利息322，利息远超国家标准，9-19号APP扣不了款，造成逾期每天逾期费50多，现在一天150逾期费，因花转转自身原因，却要我来承担逾期费，后在平台反馈，根本没人理我，也不见有电话打来协商，官方电话每天都打不进去，望花转转公司联系本人给予销账逾期费。</t>
  </si>
  <si>
    <t>2019/10/07 01:42:34</t>
  </si>
  <si>
    <t>今天1点8分，在没有任何信息提示的情况下，擅自扣费158.94元。</t>
  </si>
  <si>
    <t>2019/10/07 01:35:51</t>
  </si>
  <si>
    <t>投诉人 周女士        投诉对象  百事普惠        涉诉金额  299 元    问题类型    诉求类型投诉详情  以评估名义扣款299元、 要求退还。 上海通联支付。 造艺科技。 百事普惠。。。 不退款银监会举报</t>
  </si>
  <si>
    <t>2019/10/07 01:35:06</t>
  </si>
  <si>
    <t>投诉人王先生投诉对象普兰贷涉诉金额9900元问题类型诉求类型投诉详情最近急用钱，普兰贷给我打电话说能下款，我就病急乱投医试了申请，申请了三万额度，刚开始要九百工本费，给微信转了过去，后来又要九千认证金，说本人个人信息就能改正，三万就能和九千一起到账，然后我用我的银行卡给他转到她银行卡里，结果后来就联系不上，打公司电话也不接，手机app也进不去了，。</t>
  </si>
  <si>
    <t>2019/10/07 01:32:22</t>
  </si>
  <si>
    <t>7月15日，到现在还没到账，要求立刻出行退款</t>
  </si>
  <si>
    <t>2019/10/07 01:27:33</t>
  </si>
  <si>
    <t>投诉人杨女士投诉对象珍爱网涉诉金额18800元问题类型诉求类型投诉详情一、诱导消费者，2019年10月在微博注册了珍爱网，之后就收到珍爱网发的短信说有适合的男士也没说要收费，然后一直不断的不论时间的给我打电话，电话里我问有没有收费项目，工作人员含糊其辞，只是说让我空出时间去门店看看，老师不断的赞美我，说我样貌身高都很好，一定要有信心，可为我介绍非常优质的男生，有房有车，人又好，同时还给我看了说他们成功的会员的案例，以及会员的聊天记录，红娘还以自身为例，说自己以前也是外地人，条件不好，现在找的老公，有房有车收</t>
  </si>
  <si>
    <t>2019/10/07 01:27:14</t>
  </si>
  <si>
    <t>前三笔还款根本共还12113.76元、5163.75元、1878.03元，最后一笔已还款3358.29元根据irr计算年利率，四笔贷款分别为：84.04%、82.2%、83.08%、87.03%，依据《最高法院金融审判意见》：网络借贷信息中介机构与出借人以居间费用形式规避民间借贷利率司法保护上限规定的，应当认定无效、第二条第2项；对总计超年利率24%部分予调减的支持，要求拍拍贷：剩余在偿借贷，24%年利率计算；已还清借贷，无效利率约定返还超36%部分，金额分别：1358.76元、327.67元、117.76</t>
  </si>
  <si>
    <t>2019/10/07 01:26:19</t>
  </si>
  <si>
    <t>不说了，逾期一天，收我三百多利息，请问这是正规网贷吗。</t>
  </si>
  <si>
    <t>2019/10/07 01:25:04</t>
  </si>
  <si>
    <t>在qq上看说说时候自动下载了一个处处的软件，然后未经允许在没有任何操作情况下自动扣除了两次费用。</t>
  </si>
  <si>
    <t>2019/10/07 01:22:10</t>
  </si>
  <si>
    <t>本人于2019年7月18日从玖富万卡平台借款5500元，分24期偿还，借款成功后莫名的又多出一个3200元的高额保费，借款5500要还9000多，当时合同并没有看到这些，这明显就是阴阳合同，要求玖富平台退还保费只还本金和相应利息。</t>
  </si>
  <si>
    <t>2019/10/07 01:21:17</t>
  </si>
  <si>
    <t>投诉人童女士投诉对象盈盈有钱涉诉金额9600元问题类型诉求类型投诉详情本人于7月25日在盈盈有钱app上申请借款9600元，等额本息还款，每个月还839.54元，共还12期，总需还10038.48元，总利息为428.48元，该笔年化率是合理的；但在借款时盈盈有钱要求支付一笔服务费，共计2976元，前三期还959.96元，以后每期还10.68元，共9期，本人已连续还2月，每月都还了算上服务费后的1799.5元，但我的实际借款加上服务费综合年化率已达35.94%，我认为这是不合理的，本人申请每个月只还款等额本息</t>
  </si>
  <si>
    <t>2019/10/07 01:20:18</t>
  </si>
  <si>
    <t>在闲鱼遇到了网购生涯中第一次不公平对待，是极其不公平！事情经过：买家10月1号当天签收的商品，下午和我说，怀疑我发错颜色，我经再三确认没有发错，具体情况请看截图，但是买家依然要求我退款，也就等于是要我同意他无理由退货，众所周知，在咸鱼交易的物品没有质量问题或商品与卖家描述不符并已签收的情况下，是没有7天无理由退款的，买家自己主观原因导致想退货，却首先找理由把责任推到我身上，态度也不好，我当然不同意了，然后就上了小法庭，第二天法庭投票即将有结果了，这时买家却突然取消了申请，导致当时法庭投票失效，因为当时我的票</t>
  </si>
  <si>
    <t>2019/10/07 01:18:56</t>
  </si>
  <si>
    <t>还完钱，客服说可以更改征信，现在接到电话没有解决问题，做事不理，要求整治捷信金融。</t>
  </si>
  <si>
    <t>2019/10/07 01:18:55</t>
  </si>
  <si>
    <t>忘记了，晚了一天还就多出这么多利息，这分明就是砍头息好不，客服也不说清楚，使劲推脱。</t>
  </si>
  <si>
    <t>2019/10/07 01:18:18</t>
  </si>
  <si>
    <t>本人于2017年6月贷款65000元，然下款后合同变成了95400元，实际我也只收到65000元，30000元直接扣除了，说服务费，每月还款3170分36个月还款，这样就是114120减去65000利息高达49120高于国家规定利率了，如今还了27期还了85590了，还要还款28530，这不是变像高利贷，砍头服务费吗。</t>
  </si>
  <si>
    <t>2019/10/07 01:11:38</t>
  </si>
  <si>
    <t>苏宁易购可以啊，货都已经发走了，系统拦截退货，把我号黑到购买东西的权利没有。</t>
  </si>
  <si>
    <t>2019/10/07 01:09:20</t>
  </si>
  <si>
    <t>通过广告下载了有缘网的app然后会出现一堆对方的信息，怀疑为有缘网故意行为，然后经过诱导开通了一个零元的体验vip但是一点用处都没有，怀疑就是在没有告知的情况下，这个操作导致的免密支付宝，，，然后发现无法回复，跟他们说的vip不一样，就弹出了一堆什么回复要钱的东西，我想关掉但不小心点到了其中一个图片，但是并没有出现什么确认之类的，支付宝就被扣了168元，并且之后那些信息就没有了。</t>
  </si>
  <si>
    <t>2019/10/07 01:08:40</t>
  </si>
  <si>
    <t>高铁管家明显误导消费，在我抢票的时候，我明明勾选了各种不需要，结果还是默认给我购买了抢票套餐，然后抢票套餐花了二十块钱并没有什么用，因为同一班次、其他人没有花钱买抢票套餐的情况下，比我更快抢到了票。</t>
  </si>
  <si>
    <t>2019/10/07 01:05:39</t>
  </si>
  <si>
    <t>别人与7月份向及贷平台，办理2万4的贷款，结果及贷在用户不知情的情况下，与国任保险一起变形让用户买保险，请问一个贷款公司怎么会和保险公司一起，这属于违法的收取高额砍头息，我现在要求及贷和国任返回我的保险费3550。</t>
  </si>
  <si>
    <t>2019/10/07 01:02:16</t>
  </si>
  <si>
    <t>楼盘销售明知道我不够首付钱的情况下给我推荐首付贷款、说首付贷款一定是先认购了才可以做一个叫潮商的金融公司帮做贷款，下定完回去以后才了解到首付贷款是违法的，而且我现在首付钱也没有、没有办法购买，基本上广州市锦鑫房地产有限公司旗下中海联智汇城里的买房客户钱不够的都是做了装修贷或者其他金融贷款这个可以查的。</t>
  </si>
  <si>
    <t>2019/10/07 01:00:31</t>
  </si>
  <si>
    <t>投诉人 吴女士        投诉对象  现金借款,洋钱罐借款        涉诉金额  5 000 元    问题类型    诉求类型投诉详情  就在今天 我正常履行还款义务 九点多把钱存到银行卡 不到十点就到账了 可是晚上去看的时候竟然发现逾期了 逾期了！！！ 我理解不了 反复确认了一下是不是这个银行卡 确认过后没有错 app上就是显示逾期了 还有什么贷款管理费 才过了不到一个小时就二十多块钱 是喝血的吧 利息高就算了 投诉不成功 客服不处理 结果还强制逾期 我也</t>
  </si>
  <si>
    <t>2019/10/07 01:00:24</t>
  </si>
  <si>
    <t>有用分期砍头息高利贷，暴力催收，借款一万一年利息高达七千多，阴阳合同，套路贷，合同14353元到账11800元，还不起这么高的利息，骚扰家人朋友，这种高利贷公司没有部门整顿。</t>
  </si>
  <si>
    <t>2019/10/07 01:00:14</t>
  </si>
  <si>
    <t>投诉人左先生投诉对象玖富涉诉金额50000元问题类型诉求类型投诉详情我在玖富万卡2018年5月1号，借款50000元，分期48期，每月利息加本金还款1978.94已经还款16期了，还款共计31663.04，可是为什么还是显示未还金额为63378.96，可是下面截图上的24380元的合同是怎么来的，里面的合同，协议文件等几本都有金额在里，不知道是什么费用。</t>
  </si>
  <si>
    <t>2019/10/07 01:00:02</t>
  </si>
  <si>
    <t>上个月8号来的杭州，然后预约考试网约车驾驶证，19号拿车，25号晚上才可以出车，合同是19号签的，真的很霸道很可耻，我天天可是拿自己的生命和时间去用心的跑滴滴，连个电话都没有就这样直接扣了，能出车后后我还是很高心的去跑车，从第一天跑车到现在10天左右，每天4点多到5点多起床跑车，实时单最多的一次是一天派两单，其它全是0单或者1单，每天都是手枪的预约单，从家里出发接乘客10公里，跑一单10多公里，又要回来10多公里接下一个预约单，50多公里拿10多公里的钱，我就搞不懂打电话给客服说我帐号正常，正常16个小时派</t>
  </si>
  <si>
    <t>2019/10/07 00:56:26</t>
  </si>
  <si>
    <t>5月24日，我在重庆市通过下载盼达租车APP并向其平台支付1000元人民币后租用电动汽车，并按规定要求完好归还，应平台要求用车后30个工作日，并且没有违法违章行为的情况下，我于7月2日成功发起申请退还押金，*公示承诺“15个工作日内审核通过并退款”，但到今天10月7日，押金仍未退还，电话致电其工号为1230的客服，其对公司延期退款事宜表示情况正常，经常出现，敷衍说帮催催，不承诺何时履行不确定什么时候退款，不主动通知客户办理进度，完全没有解决问题的态度！并表示没有相关部门和责任人可以管理他们公司的事情！无奈只</t>
  </si>
  <si>
    <t>2019/10/07 00:54:53</t>
  </si>
  <si>
    <t>乘客朋友帮她叫的车，到达乘客楼下后乘客要求等下，接到乘客后乘客要我接她另外一个朋友在目的地的反方向，途中叫车的人也问了她怎么反方向，她说接朋友，滴滴有全程录音，乘客上车后和去接她朋友的途中都说了，而且乘客自己开的导航，送到快到目的地的时候她们还打电话给她朋友了的，这个都录音里面应该都有，我也报备了，送到后跑了几单再一看显示订单已被冻结，如果途中有这种往返方向跑那么远乘客早报警了，录音清清楚楚，乘客说的明明白白去新泉接她朋友，而且也和叫车的人都说了。</t>
  </si>
  <si>
    <t>2019/10/07 00:54:00</t>
  </si>
  <si>
    <t>宝付支付无辜扣银行卡的钱，咨询客服3－4天都没有答复什么商户。</t>
  </si>
  <si>
    <t>2019/10/07 00:51:37</t>
  </si>
  <si>
    <t>投诉人 元先生        投诉对象  海尔消费金融        涉诉金额  1 500 元    问题类型    诉求类型投诉详情  我的贷款自动扣款失败 我忘记还款 差了一天就给我上征信</t>
  </si>
  <si>
    <t>2019/10/07 00:51:31</t>
  </si>
  <si>
    <t>！扣款手续费高，瞎扣款，申请解绑，删除个人信息。</t>
  </si>
  <si>
    <t>2019/10/07 00:51:00</t>
  </si>
  <si>
    <t>10月6日，我预约10月7日早五点半的车去往长沙南，高德地图平台显示安安用车司机已接单，7日凌晨0点过后，司机打电话通知我说因为之后接了别的几个单所以要无故取消我的单，我表示半夜不方便再约车并且我早晨要赶高铁，如果有问题可以不接单，司机不管不顾强制取消了订单，我想问是不是司机想取消就取消，完全不用管消费者权益。</t>
  </si>
  <si>
    <t>2019/10/07 00:50:08</t>
  </si>
  <si>
    <t>投诉人 杨先生        投诉对象  中大互联        涉诉金额  3 380 元    问题类型    诉求类型投诉详情  一直不给予退款 课连上都没上过 发信息还不回 合同都没签名 不让退款 太黑了。</t>
  </si>
  <si>
    <t>2019/10/07 00:49:25</t>
  </si>
  <si>
    <t>我第一次去珍爱网咨询的时候他们就猛在哪里说一定可以帮我挽回我和我老婆的婚姻的，看我还在犹豫的时候他们又是一轮的洗脑，看我还在犹豫的时候她就跟我说看一下可不可以帮你申请一下优惠价，然后就出去了大概十分钟就回来说我帮你申请了一个员工价可以八千八就可以帮你做挽回的，到时我会介绍一个好一点和专攻这方面的老师给你，后来我抵不住他们的洗脑就交了两千的订金，因为当时我带的钱不够，后来我才又交了剩下的六千八之后，他们就安排了一下说是很专业的老师给我，那个老师也是随便的说一些事开导开导一下你，介绍你去看几本书，我觉得他们没收</t>
  </si>
  <si>
    <t>2019/10/07 00:49:08</t>
  </si>
  <si>
    <t>联系了客服，都说好延期还款，一天五六个电话吓喔，高炮，一天180无利息，，利4000买了黑卡800，又加利息400多，50天高吃了1200的高炮，借10000，黑卡2000加利息500，50天收了我2950，用了一年多，利一下利比本还多的多，这次都打电话说延期了，还爆电话，又加利。</t>
  </si>
  <si>
    <t>2019/10/07 00:48:38</t>
  </si>
  <si>
    <t>在钱站借5万，合同金额怎么写的是借55000，可是我实际只到账5万。</t>
  </si>
  <si>
    <t>2019/10/07 00:47:05</t>
  </si>
  <si>
    <t>威胁辱骂扬言伤害他人，说要去家里和丈母娘家里宣传，现在这个钱我要求这个催收亲自过来你微众银行可以这样搞，我也不怕事，要他过来侮辱我家人朋友证据录音都有这个事情不可能就这样算了我全程网络直播同步看你能黑到什么程度，。</t>
  </si>
  <si>
    <t>2019/10/07 00:43:57</t>
  </si>
  <si>
    <t>手动还款还不了失败，导致逾期，申请撤销逾期费用跟征信问题，前期砍头息说什么保险费，不符合国家规定。</t>
  </si>
  <si>
    <t>2019/10/07 00:40:30</t>
  </si>
  <si>
    <t>今天我的工行储蓄卡无故被账号36****************3连续两次扣掉了199元，这账户扣的是什么钱，为何可以免密支付，请作出解释。</t>
  </si>
  <si>
    <t>2019/10/07 00:39:33</t>
  </si>
  <si>
    <t>下载了橙钱无忧贷款软件，本人没确定支付，深圳恒富创融科技帮橙钱无忧软件乱扣本人银行卡的钱分别从我卡上扣除三次钱。</t>
  </si>
  <si>
    <t>2019/10/07 00:34:12</t>
  </si>
  <si>
    <t>本人因生意失败，经济比较困难，无力还全平安信用卡一万五千多的最低还款，导致信用卡逾期！现目前已经工作，周末也在兼职希望能早日还清所欠债务，从开始逾期起，也多次电话致电95511与信用卡中心联系，希望能与银行协商分期还款，但是多次被拒，根本得不到有效的协商，银行也只是把协商转给第三方催收《催收方骚扰家人，QQ，微信，电话，短信，邮件进行威胁恐吓，》提供的协商电话也从来打不进去，本人也一直积极还款，只是最低还款真的超出现目前收入水平，使用平安银行信用卡长达7年，之前也从来保持良好信誉，从不逾期，但是现目前处境真</t>
  </si>
  <si>
    <t>2019/10/07 00:33:06</t>
  </si>
  <si>
    <t>不知道我银行卡点解会扣了钱情况下，我什么不知道扣了我的钱，希望尽快给个答复我！谢谢！。</t>
  </si>
  <si>
    <t>2019/10/07 00:31:30</t>
  </si>
  <si>
    <t>10月6日是还款日当日，已经授权自动扣款，整天都没有主动扣款，所以我进行了在app上主动还款，卡内有足够的金额，提交还款后给我发来短线，内容为“由于失败！报文交易要素缺失：protocol_no或card_element，在您的银行卡上扣款失败，请再次还款，以免逾期，”于是我再次进行还款，可一直无法还款一直发给我同样内容的短信，然后我就进行拍拍贷充值，充值可以，还款就还不上，我在其app上联系过客服，客服仅为智能客服，并没有解决我的问题，现在已经过了一天了，严重怀疑拍拍贷恶意制造预期，人为制造预期，骗取预期</t>
  </si>
  <si>
    <t>2019/10/07 00:30:06</t>
  </si>
  <si>
    <t>2019年9月在玖富万卡借了25000元人民币，现距离还款日2天，今天一看合同，借款金额和到账金额不一样，合同借款金额为39530元，实际到账25000元，分24期，本金加利息还有各种费用总共还款42994元，合同上的利率是8.2%，实际上就是高利贷，没有人能管一管吗。</t>
  </si>
  <si>
    <t>2019/10/07 00:20:16</t>
  </si>
  <si>
    <t>这次出去想用的时候，发现并不能用！当时并没有跟我说明情况，虚假的服务，现在还不知道他们的客服在哪里！并且看了别人的案例之后。</t>
  </si>
  <si>
    <t>2019/10/07 00:20:03</t>
  </si>
  <si>
    <t>本人于2018年9月，通过海尔消费金融借款40000元，分18期，共需还款47297.77元，已还31456.8元，年化利率22%，高于国家规定利率，希望有关部门处理。</t>
  </si>
  <si>
    <t>2019/10/07 00:16:33</t>
  </si>
  <si>
    <t>云闪付,中国银联,上海撼牛网络科技有限公司，云闪付非法为他们提供充值渠道希望能够帮我把钱退回来，一个叫588棋牌的软件，其实是网络赌博的软件，胡乱扣钱，公司里有上海市撼牛网络科技有限公司，云闪付非法为他们提供充值渠道，希望能够帮我把钱退回来。</t>
  </si>
  <si>
    <t>2019/10/07 00:15:55</t>
  </si>
  <si>
    <t>投诉人 赵先生        投诉对象  聚富分期        涉诉金额  100 元    问题类型    诉求类型投诉详情  聚富分期私自扣我银行卡里100元 没有输入密码 也不能退回</t>
  </si>
  <si>
    <t>2019/10/07 00:13:59</t>
  </si>
  <si>
    <t>投诉人胡女士投诉对象凡普信涉诉金额40000元问题类型诉求类型投诉详情骚扰电话，信息，套路贷，高利息，可以和本人协商，不能到处发信息打电话。</t>
  </si>
  <si>
    <t>2019/10/07 00:10:29</t>
  </si>
  <si>
    <t>本人于2018年4月，通过及贷借款20500元，分24期，共需还款32996.88元，已还21997.92元，年化利率50.63%，远高于国家规定利率，希望有关部门处理。</t>
  </si>
  <si>
    <t>2019/10/07 00:08:28</t>
  </si>
  <si>
    <t>我在网上提交快递请求以后，快递员来取件时要我提供身份证，说现在都要身份证才能发出去，我没带，然后就加了微信说回去以后拍个身份证照片也行，结果我和买家生意没谈成，快递我还没发身份证图呢就发出去了…我只能请求拦截快递了。</t>
  </si>
  <si>
    <t>2019/10/07 00:06:55</t>
  </si>
  <si>
    <t>本人5月份在卡卡贷平台上贷款了一笔7000元的贷款，前几期都按时还款，因为近期生意上出了点问题一时周转不开，从还款日第二天开始就不停的暴力催收，发短信，打电话给我的亲朋好友，本人一再解释无效，到了10月7日晚上11点16分还打电话恶意骚扰，电话里恐吓以及辱骂本人，晚上11点国家明文规定不可催收，对本人造成生活造成极大的困扰，本人实在忍无可忍，希望给出个处理态度，不然本人坚决往上投诉。</t>
  </si>
  <si>
    <t>2019/10/07 00:05:53</t>
  </si>
  <si>
    <t>不进行消条处理10月6日接到今借到催收人员电话联系，现觉的次人有问题并不一定是今借到人员，实话实说，并由他为我消条子由于借款到账和欠条金额不符。</t>
  </si>
  <si>
    <t>2019/10/07 00:05:41</t>
  </si>
  <si>
    <t>本人于2019年1月在阳光安心贷APP上借款了14000元，当时并不知晓保险一事，直到最近与该公司发生了一系列的争执之后，打印我的征信发现有一笔阳光保险的代偿记录，才知晓此事，强烈谴责阳光保险这种保险搭售贷款的行为，并且作为投保人我全程不知道这个事情，更不知晓代偿一事。</t>
  </si>
  <si>
    <t>2019/10/07 00:05:40</t>
  </si>
  <si>
    <t>卡卡贷违规收受盗版服务费，在不知情的情况下收取，没经过本人同意，就私自将我个人银行里面的钱扣子走，违反了国家相关法律法规，我个人坚决抗议，会用法律手段维护自己的权益，。</t>
  </si>
  <si>
    <t>2019/10/07 00:05:34</t>
  </si>
  <si>
    <t>只是在广告上点击下载了玩了两把，就通知被扣费。</t>
  </si>
  <si>
    <t>2019/10/07 00:04:22</t>
  </si>
  <si>
    <t>投诉人 赵先生        投诉对象  聚富分期        涉诉金额  100 元    问题类型    诉求类型投诉详情  聚富分期这个软件未经过我同意 私自扣出银行卡100远 都不用我输入密码 就扣了</t>
  </si>
  <si>
    <t>2019/10/07 00:04:02</t>
  </si>
  <si>
    <t>本人于2018年10月，通过国美易卡借款24000元，分18期，共需还款30505.6元，已还17329.3元，年化利率34.36%，高于国家规定利率，希望有关部门处理。</t>
  </si>
  <si>
    <t>2019/10/06 23:57:10</t>
  </si>
  <si>
    <t>本人于2018年9月，通过平安普惠借款10000元，分20期，共需还款13058.62元，已还8522.06元，年化利率34.8%，高于国家规定利率，希望有关部门处理。</t>
  </si>
  <si>
    <t>2019/10/06 23:56:13</t>
  </si>
  <si>
    <t>本人8月在及贷申请2万4的贷款，及贷在本人不知道的情况下买了保险，变相的收取砍头息，先账单已经结清，本人要求及贷返回保险费。</t>
  </si>
  <si>
    <t>2019/10/06 23:53:16</t>
  </si>
  <si>
    <t>钱站公司欺骗客户，合同金额23000余元，实际到账15000元，明显就是砍头息，高于法定年利率，其催收人员暴力催收，在还款当天还威胁我，扬言还款日当天就要给亲人打骚扰电话，明目张胆为其提供支付通道恳请请相关部门严肃处理，快钱支付和钱站狼狈为奸，明目张胆为其提供支付通道，恳请请相关部门严肃处理。</t>
  </si>
  <si>
    <t>2019/10/06 23:51:59</t>
  </si>
  <si>
    <t>今天10月6日是第二期还款日，一晚上主动操作还款却无法还上，app上一直显示还款中，银行卡中金额充足，却久未扣帐，今天是最后还款日，根据平台规定，若逾期会上征信和罚息，这种情况并非我的原因和责任，若无法还款导致我逾期上征信和罚息原因，不该由我承担责任，望新橙优品能尽快与我联系并处理此问题，以免造成不必要问题。</t>
  </si>
  <si>
    <t>2019/10/06 23:49:16</t>
  </si>
  <si>
    <t>本人前几天下载了珍爱网的app，并注册成功，充值348成为会员，可以查看网站其他人发送的消息了，之后就接到武汉珍爱网的工作人员珊珊老师的电话，说有店里优质会员看到我觉得合适，让我一定抽空去店里一趟，了解他的相关资料，我提前询问过是否有费用，对方称都是免费的，除非一对一服务，到店后，没有给出男会员的信息，反而征集了我的所有信息，而且还做了性格测试，后面填写对另一半的诉求，全程没有说要给我看男生的信息，反复劝说在我这个年纪一定要改变自己，相信他们，然后提到她们手上的优质资源和相关费用，并极力劝说不要担心钱的问题</t>
  </si>
  <si>
    <t>2019/10/06 23:48:11</t>
  </si>
  <si>
    <t>本人于2019年4月，通过快闪卡贷借款15000元，分6期，到账后扣除2220元砍头息，共需还款16522.14元，已还11025.78元，年化利率92.6%，远高于国家规定利率，希望有关部门处理。</t>
  </si>
  <si>
    <t>2019/10/06 23:47:48</t>
  </si>
  <si>
    <t>投诉人崔先生投诉对象聚福钱包涉诉金额598元问题类型诉求类型投诉详情8月31日的时候使用了这款软件，在填写资料的时候说有一份评估报告，但是没有明确说明是需要收费的，提交资料点确定后直接在银行卡里扣了299元，后面打电话给客服说要退这个费用，客服说要等14天后申请退款才能申请退款，关于费用收取给了个说明，在提交资料生成报告确定键旁边有个扣款协议，点开里面仔细看是有写着需要收费的，今天10月6日想起这个软件之前生成了报告打算用一下，但是打开后发现又要重新生成评估报告才能使用，本以为是软件做的差要重新填写这个信息</t>
  </si>
  <si>
    <t>2019/10/06 23:47:27</t>
  </si>
  <si>
    <t>投诉人张女士投诉对象四季钱庄涉诉金额3500元问题类型诉求类型投诉详情四季钱庄高额利息服务费，借款3500，到账只有2450元。</t>
  </si>
  <si>
    <t>2019/10/06 23:46:00</t>
  </si>
  <si>
    <t>换电多次出现坏的电池质量老化问题，今天晚上回去的路上明明是刚换的电池，结果跑了不到，公里就没电了，害的我在半路上推着电动车走了四五公里，到处找新换电柜，希望深圳易马达科技公司能够定期检查每颗电池的质量，为用户提供更好的服务。</t>
  </si>
  <si>
    <t>2019/10/06 23:44:09</t>
  </si>
  <si>
    <t>捷信高利贷每天十几个电话暴力催收，威胁恐吓。</t>
  </si>
  <si>
    <t>2019/10/06 23:42:22</t>
  </si>
  <si>
    <t>投诉人 袁女士        投诉对象  聚富分期,聚富金融        涉诉金额  299 元    问题类型    诉求类型投诉详情  今天我突然收到聚富分期发来的短信 说从我银行卡里扣我299元 当是那个查信用的费用 我都不知道有这回事 就扣我299元</t>
  </si>
  <si>
    <t>2019/10/06 23:41:29</t>
  </si>
  <si>
    <t>投诉人姚先生投诉对象钱站涉诉金额1300元问题类型诉求类型投诉详情今天说我可以借款，看见是借款1300，我就点了一下就到账，上面显示到账一千，分三期，每月还600多，这是抢钱啊，现在退都退不了。</t>
  </si>
  <si>
    <t>2019/10/06 23:41:20</t>
  </si>
  <si>
    <t>商家违法出售医疗产品，且商品商标和货物也不一样，没有其销售资质！是在是不敢用！根据相关法律规定，销售医疗产品必须有国家医疗器械资质或者产品备案授权！。</t>
  </si>
  <si>
    <t>2019/10/06 23:40:48</t>
  </si>
  <si>
    <t>骚扰多位好友，让本人名誉受到影响，需要公开道歉，并致电骚扰过得好友解释情况。</t>
  </si>
  <si>
    <t>2019/10/06 23:40:47</t>
  </si>
  <si>
    <t>投诉人李明投诉对象信用管家涉诉金额6800元问题类型诉求类型投诉详情电话告知以委托第三方上门处理，不给协商机会，直接发伪造法律文件恐吓借款人。</t>
  </si>
  <si>
    <t>2019/10/06 23:40:12</t>
  </si>
  <si>
    <t>投诉人韩先生投诉对象中国联通涉诉金额628元问题类型诉求类型投诉详情联通公司流量超出后没有提示手机欠费后也不停机使的流量扣费一直存在。</t>
  </si>
  <si>
    <t>2019/10/06 23:39:44</t>
  </si>
  <si>
    <t>投诉人 保先生        投诉对象  信用管家        涉诉金额  0 元    问题类型    诉求类型投诉详情  以后再也不在信用管家借钱了。月月还还不完。有图为证</t>
  </si>
  <si>
    <t>2019/10/06 23:39:06</t>
  </si>
  <si>
    <t>非法收取前期鉴定费，推荐费，恶意绑定银行卡，app显示可以退，客服不退，态度恶劣，高利贷产品。</t>
  </si>
  <si>
    <t>2019/10/06 23:38:12</t>
  </si>
  <si>
    <t>信用管家恶意爆通讯录，给朋友打电话，侮辱他人，态度恶劣，让生活严重影响，必须要投诉解决问题，。</t>
  </si>
  <si>
    <t>2019/10/06 23:37:45</t>
  </si>
  <si>
    <t>虚假签收快递，多次延迟派送，每次联系都是说在送了，然后过半个星期左右才送。</t>
  </si>
  <si>
    <t>2019/10/06 23:36:12</t>
  </si>
  <si>
    <t>被爆通讯录，泄露我个人的隐私！并且是在协商后对方同意的情况下依然爆了我通讯录！。</t>
  </si>
  <si>
    <t>2019/10/06 23:36:11</t>
  </si>
  <si>
    <t>投诉人张女士投诉对象玖富,玖富万卡涉诉金额34800元问题类型诉求类型投诉详情本人于2018年4月至2019年3月期间，通过玖富万卡借款2笔，共计34800元，分24期、36期不等，共需还款58939.2元，已还28786.04元，年化利率36%-58%，远高于国家规定利率，希望有关部门处理。</t>
  </si>
  <si>
    <t>2019/10/06 23:35:48</t>
  </si>
  <si>
    <t>信用管家暴力催收，骚扰朋友家人，群发通话录威胁！。</t>
  </si>
  <si>
    <t>2019/10/06 23:35:44</t>
  </si>
  <si>
    <t>关于房贷扣款问题，不合理收取费用，逾期1天不知道为什么会有600多的违约费用，联系客服也说不清楚，还说银行收取自然有他的原因，也不作任何解释，银行就不会出错，而且每个月就还1600多，10月3日扣了988多正常还有600多，突然逾期一天变了2300多，那前2天扣的900多是什么款呢，10月份一共扣了快3000，我也不清楚是什么费用，就晚了一天多了快一半了，银行也这么暴利的，而且卡里面是有足够余额的，为什么卡没有自动批扣，也没有任何电话通知逾期的事情，请尽快处理，给我合理的答复！谢谢！。</t>
  </si>
  <si>
    <t>2019/10/06 23:34:31</t>
  </si>
  <si>
    <t>10月5日，又收到了短信。我忍无可忍提交了投诉。请主持公道。</t>
  </si>
  <si>
    <t>2019/10/06 23:34:29</t>
  </si>
  <si>
    <t>本人在10月2号的时候，不小心在微博点进去珍爱网注册页面，然后10月6号中午有个红娘打电话跟我说有个嘉宾很满意我的条件让我本人拿身份证去店里实名认证一下，然后顺便看一下男方的资料，谁知道去了之后，给我一个pad让我填信息，然后来了一个红娘开始给我各种说找对象各种洗脑，将近2个小时，然后马上就让我选择套餐，1万8800，48800，68800，也不给我任何时间考虑，诱导我通过借呗分期提取2万元，然后扫码被转走了18800，之后又让我加入高端会员，说要再交1万元，我没办法再交，就说免费送我高端会员，之后来了一个</t>
  </si>
  <si>
    <t>2019/10/06 23:33:43</t>
  </si>
  <si>
    <t>在平台上借3000，结果借款合同上是4500，还不算利息，阴阳合同高额利息。</t>
  </si>
  <si>
    <t>2019/10/06 23:33:22</t>
  </si>
  <si>
    <t>我弟弟的同学在信用管家接了5000块钱，被逼的书读不下去了，大学生放贷，而且利息高，侵犯个人隐私，犯法行为严重，。</t>
  </si>
  <si>
    <t>2019/10/06 23:33:14</t>
  </si>
  <si>
    <t>本人于2019年1月21日在维信卡卡贷平台借款一笔15000元，每个月月还1550元，分12个月，还到第7期左右，发现征信上的金额是1299元，而实际上月还1550元，且有两个月在忘记还款额情况下，逾期一天就多扣了100元所谓的代扣违约金，也就是说两个月都还款了1650元，还未经本人同意捆绑了信用保险，在借款时还强制绑定了会员费，我想请问维信卡卡贷为何还款金额与征信金额不一致，现诉求按照征信上的金额还款，全额退保费＋全额退会员费。</t>
  </si>
  <si>
    <t>2019/10/06 23:32:51</t>
  </si>
  <si>
    <t>我哥哥在读书为了给我出学费找信用管家借了3000结果要还3900。</t>
  </si>
  <si>
    <t>2019/10/06 23:32:15</t>
  </si>
  <si>
    <t>本人于2019年4月7日在代帮主申请一笔金额8000元借款，期数为6期，当前已还5期，已还金额为8626.3元，而账单显示每期还款金额为1739.26元，应还款总额为10435.56元，严重超出了国家法律规定的利息，现要求作出降息调整，协商还款剩余部分，希望该平台及时联系本人处理！望21聚投诉帮助协调监督，谢谢～。</t>
  </si>
  <si>
    <t>2019/10/06 23:31:52</t>
  </si>
  <si>
    <t>本人在2018年1月在宜人贷借款65000，分36期还款，每期尝还3031，目前已经还了21期，由于本人目前处于失业状态，资金周转困难，目前第21期逾期两天，逾期费高达390元，在目前本来就有巨大还款压力的前提下，对于390元的超高逾期费不能承担，并且希望能与宜人贷方面协商还款，调整利率，不要再骚扰通讯录，暴力催收，本人承诺绝对会在本人目前能承担的情况下慢慢尝还余下款项。</t>
  </si>
  <si>
    <t>2019/10/06 23:31:36</t>
  </si>
  <si>
    <t>本人在2017年9月8号在马上金融平台借款2万元，分24期还款，等额本息，每期还款1340.89元，当时放款时通过银联提供放款支付通道后续还款则是银联和支付宝提供支付通道，给高利贷提供支付渠道这属于严重违法违规行为，截止到2019年9月8号本人已经将所有欠款全部还清，总共还款金额高达32181.36元，总共利息和手续费为12181.36元，咨询马上金融平台后，他们告知我我的借款综合息费如下：利息总共4065元；每月服务费188.2元，24期共计4516.8元；每月保险费每期120元，24期共计3360元；每</t>
  </si>
  <si>
    <t>2019/10/06 23:31:26</t>
  </si>
  <si>
    <t>在平台申请借款后发现合同钱额与到帐金额不同，而且借款所收服务费有很大差别，给客服打电话也解决不了，借2000合同上写2500元到帐2000每期服务费30多而借1000服务费达到1期要300多这是变象收取高额费用希望解决问题。</t>
  </si>
  <si>
    <t>2019/10/06 23:31:05</t>
  </si>
  <si>
    <t>投诉人周女士投诉对象钱站涉诉金额3000元问题类型诉求类型投诉详情我于今年七月份在钱站平台借款三千，分三期还款，每期要还款1789元，合同上竟然写的是5100得借款，这摆明了是阴阳合同！高利贷！砍头息，我希望钱站平台的客服能联系我，我已经还款两期3578，最后一期给我减免掉！。</t>
  </si>
  <si>
    <t>2019/10/06 23:30:20</t>
  </si>
  <si>
    <t>投诉人詹先生投诉对象聚富分期涉诉金额299元问题类型诉求类型投诉详情聚富分期，，无需支付密码直接扣取银行卡299元，要求偿还本金299评估费用，去客服要求退款不理不睬，忘有关部门关注，该公司强卖强买。</t>
  </si>
  <si>
    <t>2019/10/06 23:29:56</t>
  </si>
  <si>
    <t>支付宝无故限制我的账号的收款功能，无法收款也无法发红包，支付宝账号已使用多年，个人社交日常生活都在使用，无法收款给我的生活带来了很大麻烦，而且无法联系客服处理。</t>
  </si>
  <si>
    <t>2019/10/06 23:29:53</t>
  </si>
  <si>
    <t>结借款人银行卡，还款日还款失败，这样的损失谁来承担，投诉以示公众，希望得到帮助。</t>
  </si>
  <si>
    <t>2019/10/06 23:29:25</t>
  </si>
  <si>
    <t>平台私自爆通讯录，对我暴力催收，直接影响到日常生活。</t>
  </si>
  <si>
    <t>2019/10/06 23:28:59</t>
  </si>
  <si>
    <t>投诉人 成先生        投诉对象  信用管家        涉诉金额  3 000 元    问题类型    诉求类型投诉详情  借了3000后只有2600到账。问什么原因说是服务费。收的还理直气壮。</t>
  </si>
  <si>
    <t>2019/10/06 23:28:48</t>
  </si>
  <si>
    <t>该app自动勾选一份隐秘协议，直接扣掉我银行卡299元，未在该平台做过任何业务及交易，我联系客服要求退款多次，一直推脱搪塞，。</t>
  </si>
  <si>
    <t>2019/10/06 23:27:28</t>
  </si>
  <si>
    <t>平台故意砍头息收取高额利息的情况，本人一直跟平台协商按照国家规定的利率还款，但是平台还是一直找收账公司催收。</t>
  </si>
  <si>
    <t>2019/10/06 23:27:09</t>
  </si>
  <si>
    <t>信用管家放款时变相的扣除所谓的保险费以及信审费用，都没听说过这种行为，贷款平台就是坑害。</t>
  </si>
  <si>
    <t>2019/10/06 23:26:53</t>
  </si>
  <si>
    <t>本人于2019年4月通过洋钱罐借款借款5000元，分6期，需还款5700元，已还4750元，年化利率60.8%，远高于国家规定利率，希望有关部门处理。</t>
  </si>
  <si>
    <t>因暂时没有钱还款，打算过几天发工资了直接还上，但是那边的人一直催，还威胁我。</t>
  </si>
  <si>
    <t>2019/10/06 23:25:50</t>
  </si>
  <si>
    <t>本人并未在玖富万卡平台借款745.75元，平台却虚构借款合同，从本人绑定的银行卡扣款，本人提出疑义要求退款被拒，本人拒绝还款时被告知有中国人民财产保险股份有限公司的代偿，平台恶意虚增借款合同和抢钱有什么区别，还以本人名义购买保险，逼迫还钱，中国人民财产保险股份有限公司在本人被保险后却没有任何电话、短信或邮件提示，也存在违规行为，现要求平台解除恶意虚增的合同，退还已扣费用，请中国人保退保，退保费。</t>
  </si>
  <si>
    <t>2019/10/06 23:25:42</t>
  </si>
  <si>
    <t>合同金额7500元，共分12期每期还746.5元，已经还完5期，2019年10月5日是还款日，无法手动还款，但系统会在还款日的第二天统一扣款，2019年10月6日746.5元系统自动扣款成功，但app显示我逾期一天，希望给出一个合理的解释，消除逾期等不良影响。</t>
  </si>
  <si>
    <t>2019/10/06 23:24:48</t>
  </si>
  <si>
    <t>乘客找不到停车地点司机停车位置有抓拍已等15分钟左右乘客找不到车恶意不取消订单联系客服让取消订单报备处理我照做之后扣我成交率没办法接单了。</t>
  </si>
  <si>
    <t>2019/10/06 23:24:06</t>
  </si>
  <si>
    <t>投诉人 成先生        投诉对象  蚂蚁金服        涉诉金额  0 元    问题类型    诉求类型投诉详情  账号无法登陆。都逾期3天了希望减免逾期费用。特来申请。</t>
  </si>
  <si>
    <t>2019/10/06 23:24:01</t>
  </si>
  <si>
    <t>我的亲戚被驱使借钱不还，我天天被打电话骚扰，还说是我借的，严重影响生活，要求这个平台不许再给我打任何电话，使用我任何信息。</t>
  </si>
  <si>
    <t>2019/10/06 23:23:26</t>
  </si>
  <si>
    <t>在信用管家上借的8000块钱，分一年还，结果正常还款第三期就被冻结了，这样的坑害行为，实属可恶。</t>
  </si>
  <si>
    <t>2019/10/06 23:22:34</t>
  </si>
  <si>
    <t>本人在马上消费金融旗下产品安逸花申请循环贷，总金额2672元，期间一直正常使用，连app都并未通知，对账号进行锁定，无法消费和提现，我不同意，要求安逸花方恢复可使用额度，解锁我的账户！。</t>
  </si>
  <si>
    <t>2019/10/06 23:21:52</t>
  </si>
  <si>
    <t>4月11日，我在及贷一笔13200元贷款通过审批，放款过程中，及贷直接扣除1641.02元的保险费用，而此举在审贷过程中并未提示需购买保险，也没有正规购买保险所应有的流程，更加没有经过我本人的确认和许可，属于强迫捆绑消费，并且在计算利息时候，将保险费用计算在内，利息年利率高达146%，远超国家规定年利率36%的红线，希望贵公司尽快给我反馈，商量解决事宜，如无反馈，我将针对此笔贷款对贵公司发起诉讼。</t>
  </si>
  <si>
    <t>2019/10/06 23:21:26</t>
  </si>
  <si>
    <t>本人在2018年发现支付宝信用一直在下降，也不知什么原因，后来给支付宝客服打电话了解到是这个现金借款影响了哟的信誉度，当时就叫客服通知该公司，并留下联系电话，等了10个工作日依然没有客服联系我，我再次致电支付宝客服要求再次催现金借款公司，叫他们和我联系，并提供我借款的证据，因为我只在借呗上借款，没有在别的平台借款的习惯，我前后给支付宝打过10个电话，后来支付宝客服告诉我他们也联系不上，现在都一年多了现金借也没和我联系，是没有这笔欠款，还是在拖延罚息呢，，我希望官方尽快给我处理并要求现金借款提供借款证据，删除</t>
  </si>
  <si>
    <t>2019/10/06 23:20:49</t>
  </si>
  <si>
    <t>投诉人 张先生        投诉对象  微转转        涉诉金额  80 元    问题类型    诉求类型投诉详情  提现80元不到账，客服一直不回话。一看就知道是骗人的东西。</t>
  </si>
  <si>
    <t>2019/10/06 23:20:45</t>
  </si>
  <si>
    <t>醉酒乘客弄坏车辆报备上传照片加128费用公司说违规扣除128加五十罚款司机公平公正何在手机相册没有拍照片报备上传照片就有希望贵公司能主持公道还司机一个公道。</t>
  </si>
  <si>
    <t>2019/10/06 23:20:28</t>
  </si>
  <si>
    <t>带上身份有效证件到移动营业厅办理号卡新入网，移动工作人员要求我办理移动指定的高额消费套餐，我不同意，我要求移动工作人员给我办理8元飞享套餐，移动工作人员不受理我的移动业务态度非常的差，我致电四川移动10086投诉反馈，工号客服没有解决我的问题，我又向工信部电信用户申诉受理中心申诉大半年了，一直都是爱理不理的，我对移动的服务很不满意，多次沟通无效，到现在反映的情况已经很多次了，移动解决处理不了我的投诉反馈问题，我继续投诉。</t>
  </si>
  <si>
    <t>2019/10/06 23:19:47</t>
  </si>
  <si>
    <t>600块我都认！我指的付息是我可以支付合法利息，这种一锤子买卖的平台为什么还能生存这么久，希望明年315上还能看见你们的身影。</t>
  </si>
  <si>
    <t>2019/10/06 23:19:41</t>
  </si>
  <si>
    <t>本人于2017年12月通过宜人贷借款35000元，分36期，需还款59147.39元，已还32626.4元，年化利率37%，远高于国家规定利率，希望有关部门处理。</t>
  </si>
  <si>
    <t>2019/10/06 23:19:17</t>
  </si>
  <si>
    <t>信用管家冒充法院，读取犯罪条款恐吓借款人，进行催收，行为影响社会，而且态度嚣张恶劣。</t>
  </si>
  <si>
    <t>2019/10/06 23:18:53</t>
  </si>
  <si>
    <t>本人9月9日在信用管家app申请一款名为好运金的贷款，实际到账2250元，要还3089.92元，分为4期，每期7天，利息远远高于国家规定合法利息！属于高利贷套路贷！合同金额是2250元！目前本人已经还款3期，合计金额2452.44元，已经归还本金与合法的利息，平台砍头息违反国家规定！10月7日为最后一期还款日！现无力偿还高额利息！要求销账处理！。</t>
  </si>
  <si>
    <t>2019/10/06 23:18:26</t>
  </si>
  <si>
    <t>投诉人刘先生投诉对象罗马假日KTV涉诉金额1500元问题类型诉求类型投诉详情我在抖音里面，然后，他就发了一张合同给我，叫我看一下确定就可以了，老韩说如果你不交的话，我们会依法合同起诉你，然后他过了一分钟就问我抢到了没有了，我说没有，那我就把1000块钱存进去，又投不到一分钟，我干脆进去过个几秒钟，我的钱就会取出来了，那我就等了几分钟，然后还是没有回来，然后他说你这个被冻结了，取不出来，难道你要往里面摘菜500块钱，然后再活跃一下他才可以取出来，都他也没回我，隔了几分钟我再发信息过去，然后他就删了我。</t>
  </si>
  <si>
    <t>2019/10/06 23:17:19</t>
  </si>
  <si>
    <t>我是一名在北京跑滴滴快车的专职司机2017年8月加入滴滴对公司机做了两年的对公司机9月份车到期了，对公公司以各种理由不给我解除对公模式导致我不能添加车辆正常出车联系滴滴客服它们一直不给处理。</t>
  </si>
  <si>
    <t>2019/10/06 23:16:48</t>
  </si>
  <si>
    <t>信用管家利用恶劣手段违规操作，拒不退款，无视法律，完全是不把消费者权益不当回事，只有投诉求公正。</t>
  </si>
  <si>
    <t>2019/10/06 23:16:36</t>
  </si>
  <si>
    <t>信用飞借款，变现高利贷，砍头息，逾期一天罚款15每天，借款3000到账3000，秒扣600，说是什么保险服务，目前已经还了两期，，目前还有一期，现在只想还应到金额，及法定利息，。</t>
  </si>
  <si>
    <t>2019/10/06 23:15:48</t>
  </si>
  <si>
    <t>下单多日未发货，客服无人联系，服务态度极差。</t>
  </si>
  <si>
    <t>2019/10/06 23:13:39</t>
  </si>
  <si>
    <t>投诉人 吴先生        投诉对象  蚂蚁金服        涉诉金额  3 000 元    问题类型    诉求类型投诉详情  客服态度不好。说话很不友好。问题不处理。联系看3次</t>
  </si>
  <si>
    <t>2019/10/06 23:13:33</t>
  </si>
  <si>
    <t>信用管家未按照合同约定，恶意违约，不履行承诺，完全是无视法律，影响社会，这种平台就不该在市场存在，完全坑害老百姓。</t>
  </si>
  <si>
    <t>2019/10/06 23:13:17</t>
  </si>
  <si>
    <t>聚富分期未经用户允许擅自扣款299元评估费，属于强盗行为，忘大佬们帮帮忙，谢谢。</t>
  </si>
  <si>
    <t>2019/10/06 23:11:44</t>
  </si>
  <si>
    <t>本人于2019年1月通过你我贷借款13500元，分12期，需还款18346.32元，已还11539.02元，年化利率67.57%，远高于国家规定利率，希望有关部门处理。</t>
  </si>
  <si>
    <t>2019/10/06 23:11:25</t>
  </si>
  <si>
    <t>本人发现滴滴公司的桔视记录仪app，当在行程开始后，司机可以通过桔视记录仪app端内，内摄像头校正来拍射镜头，这样乘客肖像就可以泄漏出去了。</t>
  </si>
  <si>
    <t>2019/10/06 23:09:24</t>
  </si>
  <si>
    <t>借款8900元，分12期，已经还了5期大概5000多，还要还7000多，真心希望可以协商一次性提前结清并减免后续利息。</t>
  </si>
  <si>
    <t>2019/10/06 23:09:06</t>
  </si>
  <si>
    <t>本人因经济原因在2019年6月16日在信用飞借款4000元，平台年化利息24%，但是在放款后收取了880的保险费用，此保险在我不认同的情况下购买，希望退还880元保险费，如不解决将向银监会，中国互金协会进一步投诉！该公司涉嫌违规搭售，借4000分三个月还款，一个月374利息，月息百分之9.5，这样算下来年华利息高达114%，国家三令五申现金贷业务不得收取砍头息和违规搭售，希望公司作出解释并且退还费用。</t>
  </si>
  <si>
    <t>2019/10/06 23:08:27</t>
  </si>
  <si>
    <t>投诉人 服先生        投诉对象  蚂蚁金服        涉诉金额  300 元    问题类型    诉求类型投诉详情  平台乱扣费用。预算有300。联系几次客服没有过。</t>
  </si>
  <si>
    <t>2019/10/06 23:08:09</t>
  </si>
  <si>
    <t>投诉人王先生投诉对象融易花涉诉金额45000元问题类型诉求类型投诉详情加我微信我以为是信用卡，他说这个和信用卡一样的，然后就用了，谁知道直接就是一个骗局现在贷款下来了，需要会员才能进入银行卡，提现不了，本来点的是一年成三个月了，然后还有是一万一不小心就申请了，没注意是这种小额贷款公司以为是捷信的，一没注意就搞错了。</t>
  </si>
  <si>
    <t>2019/10/06 23:07:42</t>
  </si>
  <si>
    <t>信用管家平台在对未逾期的借款人还要进行非法催收，真的是没按照合同来，性情恶劣。</t>
  </si>
  <si>
    <t>2019/10/06 23:06:38</t>
  </si>
  <si>
    <t>投诉人 李先生        投诉对象  用钱宝        涉诉金额  2 359 元    问题类型    诉求类型投诉详情  用钱宝暴力催收，威胁恐吓，骚扰家人和朋友</t>
  </si>
  <si>
    <t>2019/10/06 23:06:21</t>
  </si>
  <si>
    <t>投诉人张先生投诉对象掌buy商城涉诉金额300元问题类型诉求类型投诉详情说开通黑卡就能借钱，结果开完黑卡并无额度申请。</t>
  </si>
  <si>
    <t>2019/10/06 23:05:03</t>
  </si>
  <si>
    <t>信用管家恶意雇佣黑社会成员上门威逼借款人家人，行为态度恶劣，几千块钱就做到这种地步，跟的事令人发指，简直无视法律。</t>
  </si>
  <si>
    <t>2019/10/06 23:04:32</t>
  </si>
  <si>
    <t>钱站中借款2000，合同中都是2660本金。</t>
  </si>
  <si>
    <t>2019/10/06 23:04:18</t>
  </si>
  <si>
    <t>我只免单这么26.29，但平台没给这么多，应该按条款给我26.29。</t>
  </si>
  <si>
    <t>2019/10/06 23:03:54</t>
  </si>
  <si>
    <t>闪电借款逾期两天就给我家里人手机通讯录朋友打电话，我和客服沟通过协商还款没人理。</t>
  </si>
  <si>
    <t>2019/10/06 23:03:46</t>
  </si>
  <si>
    <t>昨天晚上19点左右，莫名地被扣走1000多元，说是什么金融保险，我从来没弄过这个东西。</t>
  </si>
  <si>
    <t>2019/10/06 23:03:43</t>
  </si>
  <si>
    <t>在智行app上购买的郑州到北京的汽车票，购买的时候并没有标明不能在线退款，而且退票按钮也是可以点击的，退票的时候却提示不能退款，我觉得提示不到位，误导客户以为可以退票，很不人性化。</t>
  </si>
  <si>
    <t>2019/10/06 23:03:08</t>
  </si>
  <si>
    <t>夜里车子坏了，来了订单，乘客取消订单扣了二分服务分，涨分从来不涨，恢复服务分。</t>
  </si>
  <si>
    <t>2019/10/06 23:02:12</t>
  </si>
  <si>
    <t>信用管家恶意盗取消费者信息，散步公布出去，而且存在欺诈行为，必须投诉处理。</t>
  </si>
  <si>
    <t>2019/10/06 23:01:43</t>
  </si>
  <si>
    <t>本人于2018年4月通过中腾信借款57000元，分36期，需还款94051.8元，已还44413.35元，年化利率超36%，远高于国家规定利率，希望有关部门处理。</t>
  </si>
  <si>
    <t>2019/10/06 23:00:38</t>
  </si>
  <si>
    <t>注销帐号APP里面点了没反应.打电话客服叫我去微信公众号上找客服.微信公众号又说故障找不到客服。</t>
  </si>
  <si>
    <t>2019/10/06 22:59:45</t>
  </si>
  <si>
    <t>我是今年通过湖北滴滴公司注册为滴滴快车司机的，当初介绍和滴滴宣传都是说能稳定一个月五千到八千的收入，只要每天坚持十二小时左右，然而我坚持了快半年，从业证和营运证我都办了，因为接不到单，每天流水不过一二百，也就勉强够加油和每天的吃喝用，每天还要亏一百的车贷还不算人工，打电话问客服，客服说什么我服务分低就这样。</t>
  </si>
  <si>
    <t>2019/10/06 22:59:17</t>
  </si>
  <si>
    <t>5号拍拍贷借款到期，银行卡扣款失败，忙到凌晨1点钟才想起，一看逾期费用就25，相当于之前一个月的借款利息，拍拍贷利息高达近36%，属于在国家规定的法律范畴内玩擦边球花样，希望可以改善服务，并作出道歉解释，赚钱可以但不能赚黑钱。</t>
  </si>
  <si>
    <t>2019/10/06 22:59:11</t>
  </si>
  <si>
    <t>玖富万卡的薪火贷年利率百分之36超过国家规定的百分之24属于高利贷。</t>
  </si>
  <si>
    <t>2019/10/06 22:58:54</t>
  </si>
  <si>
    <t>信用管家账单带有未知的保险费用，没人说明解释，客服又不解决又不说明，这样的行为实在是令人火大。</t>
  </si>
  <si>
    <t>2019/10/06 22:56:04</t>
  </si>
  <si>
    <t>暴力催收！骚扰家人，并且收取本金2倍以上利息，，实属非法高利贷。</t>
  </si>
  <si>
    <t>2019/10/06 22:55:08</t>
  </si>
  <si>
    <t>投诉人黄先生投诉对象蚂蚁金服涉诉金额5000元问题类型诉求类型投诉详情信用管家延期还款，想减免部分利息，希望能处理，客服也不行，希望能解决这个问题，实在承担不起了，法律还不外呼人情呢。</t>
  </si>
  <si>
    <t>2019/10/06 22:54:58</t>
  </si>
  <si>
    <t>乘客恶意投诉司机去申诉但滴滴公司迟迟不给处理，找他们处理也不给解决。</t>
  </si>
  <si>
    <t>2019/10/06 22:53:43</t>
  </si>
  <si>
    <t>不知道扣除的什么钱！没有任何说明，直接从卡里扣走了。</t>
  </si>
  <si>
    <t>2019/10/06 22:53:21</t>
  </si>
  <si>
    <t>投诉人鲍先生投诉对象卡牛信用管家涉诉金额3000元问题类型诉求类型投诉详情我在信用管家借了一笔三千元的款，前面二期要还七百多，第一期我已经还了，第二期逾期了6天，然后你我贷的催收人员暴力催收，我与他协商二天后还款，他不愿意，非要我一个小时之内处理，后面还打电话威胁我说不还钱就去我家里，要打电话给我所有联系人，还带侮辱性词汇骂我的家人，还说我诈骗，说他们是司法部门的人员，反正就是各种威胁，一分钟一个电话，强烈骚扰我，态度特别败坏，还侮辱本人，还用私人电话打过来恐吓我，叫我走着瞧，有很多办法弄我。</t>
  </si>
  <si>
    <t>2019/10/06 22:53:03</t>
  </si>
  <si>
    <t>海尔金融平台逾期，期间给我通讯录打电话，发送伪造的法律文件，我在这表明我的态度，想上门的，我在家等你，想起诉的我等着法院传票，再骚扰除我以外的第二个人，保证投诉你到关门大吉！。</t>
  </si>
  <si>
    <t>2019/10/06 22:51:41</t>
  </si>
  <si>
    <t>事情史由：2019年9月9日支付宝花呗逾期还清，和支付宝贷后协商说花呗还清借呗减免，花呗逾期费滞纳金罚息18000+本金只有1.6万，逾期一年费用如此之高，变相高利现在支付宝借呗拒绝减免，理由是我把钱2000放支付宝里面系统自动扣了，他们拒绝减免，说我还款了，不能减免，霸王条款，本人只能继续申诉，找支付宝客服，他们把问题推给贷后，都是家人在帮忙处理，希望支付宝借呗，能够协商一致解决，投诉目的：协商减免一次性偿还个人现状：家庭困难，贫困户，父母年事已高，身体不好，有慢性病，有贫困证明，银行信用卡网贷负债累累，</t>
  </si>
  <si>
    <t>2019/10/06 22:51:29</t>
  </si>
  <si>
    <t>本人于2017年12月至2018年4月期间，通过小赢卡贷借款4笔，已还清3笔，未结清借款50000元，分36期，需还款82434.31元，已还38963.28元，年化利率36%，高于国家规定利率，希望有关部门处理。</t>
  </si>
  <si>
    <t>2019/10/06 22:51:06</t>
  </si>
  <si>
    <t>乘客坐车不支付车费，找滴滴客服解决问题始终未能解决。</t>
  </si>
  <si>
    <t>2019/10/06 22:51:02</t>
  </si>
  <si>
    <t>无缘无故扣了我2个款项，没有明确表示该款项是为什么扣除，。</t>
  </si>
  <si>
    <t>2019/10/06 22:50:51</t>
  </si>
  <si>
    <t>本人9月6号在雷佳音代言的钱站平台借款1330元，实际到账由爱钱进打款1000元，砍头息330，合同上写明每期还款分别为：451.85；452.30；452.32，可是最终要求还款的金额分别是：561.43；561.88；561.90，每期要多还100左右，明显的高利贷，阴阳合同，欺骗借贷者。</t>
  </si>
  <si>
    <t>2019/10/06 22:49:11</t>
  </si>
  <si>
    <t>还有我之前151****5307的号码注销了。</t>
  </si>
  <si>
    <t>2019/10/06 22:48:46</t>
  </si>
  <si>
    <t>多次联系支付宝客服皆得不到满意的回复和操作，只有在这里投诉，希望在这里解决。</t>
  </si>
  <si>
    <t>2019/10/06 22:48:24</t>
  </si>
  <si>
    <t>误导消费者进行加速包选择，在未知情的情况下误选加速包，在购票完成后，仍有大量余票，要求退还加速包金额400。</t>
  </si>
  <si>
    <t>2019/10/06 22:48:19</t>
  </si>
  <si>
    <t>投诉人陈先生投诉对象杨杰,林定涉诉金额0元问题类型诉求类型投诉详情以分期乐校园贷注销、清空、回收为由，诱拐消费者到各个软件贷款，然后在转到他所提供的银行账号下。</t>
  </si>
  <si>
    <t>2019/10/06 22:48:15</t>
  </si>
  <si>
    <t>举报信用管家公司高利贷，本人9月9号在钱站上借了2000块，合同金额却是如下，前俩期还1500多元，前两期加起来都3000多了，后面还有一个几百块，利息超级高，比高利贷还要狠，不想听你们搪塞我说是什么服务费，不合法的利息在这摆着呢说不通的，本人现在只要求三期加起来每个月连本付息给你们，哪怕我借了本金2000，利息我付给你们600块我都认！我指的付息是我可以支付合法利息，这种一锤子买卖的平台为什么还能生存这么久，希望明年315上还能看见你们的身影。</t>
  </si>
  <si>
    <t>2019/10/06 22:47:59</t>
  </si>
  <si>
    <t>冻结以后我每个月也都有还个几百元，直到今年4月份，我都无话可说可是你们雇佣社会上的流氓对我人身威胁算什么，因为我爱人身体原因，我们要到医院就诊，没个月加上医疗费和乱七八糟的银行贷款利息等，到9月30日中信雇佣的第三方催收打电话到我们村委，我这边就主动与协商还款，催收给处的意见是先还2000元诚意金，剩下的分期还，我就东拼西凑的借了2000元还进去，10月6日再次接到催收电话说银行不允许我分期还款，复印1200份传单，上面有我的名字和照片要贴到我们村里，还要我进监狱，我想说的是中信银行你们通过法律手段起诉我，</t>
  </si>
  <si>
    <t>2019/10/06 22:47:51</t>
  </si>
  <si>
    <t>莫名奇妙就被扣款…显示的是百度服务，近期也没购买任何产品。</t>
  </si>
  <si>
    <t>2019/10/06 22:46:32</t>
  </si>
  <si>
    <t>2019/10/06 22:43:47</t>
  </si>
  <si>
    <t>根本就是一次减二十块！而且还没有正规的购买渠道！竟然是让我微信转款过去买机票！，那边就说有专门的客服，然后就再也没人联系了！。</t>
  </si>
  <si>
    <t>2019/10/06 22:43:38</t>
  </si>
  <si>
    <t>投诉人 周先生        投诉对象  主播,客服        涉诉金额  1 336 元    问题类型    诉求类型投诉详情  这个平台主播纯在诱拐消费 误导消费者 物品瑕疵故意隐瞒或者说小问题 然后找客服处理 客服一直没办法联系 要排队几个小时 排上后 不给解决问题 还要我们消费者去找主播 我在直播间 连续刷屏 主播装看不见 不回复 我又去找客服 客服跟我说他们平台没权力管主播 让我继续找主播 试问 主播故意补打理你 我的问题一直处理不了 怎么解决 这个平</t>
  </si>
  <si>
    <t>2019/10/06 22:43:09</t>
  </si>
  <si>
    <t>投诉人张女士投诉对象拍拍贷涉诉金额19995元问题类型诉求类型投诉详情本人于2018年10月至2019年4月期间，通过拍拍贷借款3笔，均分12期，共计19995元，合计需还款26477.76元，已还14962.66元，年化利率36%-61%不等，远高于国家规定利率，希望有关部门处理。</t>
  </si>
  <si>
    <t>2019/10/06 22:42:55</t>
  </si>
  <si>
    <t>拍拍贷套路贷砍头息高利贷，前四期砍头息，利息远远超过国家规定，骚扰我通讯录，伪造贷款金额，阴阳合同，骚扰我通讯录，给我通讯录群发律师函，害我丢了工作丢了脸！强烈希望有关部门来管管！。</t>
  </si>
  <si>
    <t>2019/10/06 22:41:59</t>
  </si>
  <si>
    <t>投诉人 辛柱        投诉对象  酷狗        涉诉金额  15 元    问题类型    诉求类型投诉详情  已经上个月让客服取消了。不知道这个月为什么还扣要求退款</t>
  </si>
  <si>
    <t>贷45000到账64100后直接扣掉19000利率是按6万多算超过国家规定年利率。</t>
  </si>
  <si>
    <t>2019/10/06 22:40:05</t>
  </si>
  <si>
    <t>我的支付功能是今年3月份被别人投诉冻结的，今天才知道聚投诉能投诉，希望能得到解决！！我的聊天功能很正常，就是帮别人收了一笔资金，我也不知道是收什么钱，我朋友拿我手机搞的，钱也没有在我这里，而且这个微信里面的钱也是我后面没有注意收错了的，你要是停就应该一起把收钱这个功能限制啊，无缘无故就永久冻结了，好歹让我把里面的钱取出来吧，微信支付资金被冻结,资金虽然不是很多，这样搞以后谁敢用,资金一点都没保障，微信上的客服申诉一点用都没有，电话客服打一天都打不进去，电话完全是个摆设，所谓的人工服务全是机器人。</t>
  </si>
  <si>
    <t>2019/10/06 22:39:07</t>
  </si>
  <si>
    <t>投诉人 成先生        投诉对象  信用管家        涉诉金额  4 000 元    问题类型    诉求类型投诉详情  查我资料找到上班的公司去。堵我让我公司同事都知道了。现在工作也没有了</t>
  </si>
  <si>
    <t>2019/10/06 22:38:56</t>
  </si>
  <si>
    <t>由于本人花呗账单有欠款未还，在我不知情的情况下，他人通过支付宝转账错误到我支付宝账户4000元整，转账者通过与我联系要求我退还款项，但目前这笔钱已经被我花呗扣走，我致电支付宝客服要求将这4000元原路退还到转账者的账户内，没有得到满意的答复，故此在平台进行投诉，希望尽快受理。</t>
  </si>
  <si>
    <t>2019/10/06 22:38:19</t>
  </si>
  <si>
    <t>用优惠券引诱借款，按优惠券的方式还款了也没见退还应该退还给借款人的相关利息费用等，利率畸高。</t>
  </si>
  <si>
    <t>2019/10/06 22:37:59</t>
  </si>
  <si>
    <t>2019/10/06 22:37:20</t>
  </si>
  <si>
    <t>长银消费金融旗下豆豆钱现金贷，套路贷，高额利息，故意扣取所谓的高额人生意外保险，致使借款人逾期，然后暴力催收，侮辱恐吓，谩骂，我在一：豆豆钱借款2900元，分3期还款每月还款1147.86之多，借款8400元每月还款1635.2之多，分期6个月还款，年化远远超出国家规定红线，我需要全部结清，要求利率降到国家规定范围内，超出部分退还给我冲抵本金还款，只要换回一个公道要求退回扣取我所有的保费，我按正常国家利率结清长银消费金融现金贷豆豆钱，二：在长银消费金融公司旗下豆豆钱现金贷平台，在我不知道的情况下无故扣取我所</t>
  </si>
  <si>
    <t>2019/10/06 22:34:28</t>
  </si>
  <si>
    <t>今年，我在网上经常看到海风教育公司做的宣传，关于孩子的学习问题，在5月份，我联系了海风的老师，老师做了详细介绍，我觉得挺好，就给孩子报了名，老师说，报一年的课共120节，还可送16节课，每月可上10节课，共需费用15523元，一下交那么多钱我不放心，海风老师推荐可在中银消费金融无息贷款，那样就可以先上课后付款，其实就是分期还款，约束家长交费的一种方式，开始不知道后来才明白，从5月11号开始上课，孩子觉得在网上上课挺好，到6月10号前有中银消费金融信息提醒交费，我及时交了一个月1293.58元，到7月份照常按</t>
  </si>
  <si>
    <t>2019/10/06 22:34:13</t>
  </si>
  <si>
    <t>跑个滴滴几个月了服务分一直在91分一直没有差评星级都是5.0星就是不涨服务分，问客服说保持0差评服务好就行，劳资真的搞不懂那些新注册的号每天刷几单服务分半个月就100分了,我们这些认真跑的死活上不去.非要乘客给五星还要点那四个标签.真特么是在耍流氓.乘客不评价默认好评不就完了嘛.操蛋。</t>
  </si>
  <si>
    <t>2019/10/06 22:33:55</t>
  </si>
  <si>
    <t>本人于2018年6月通过51人品贷借款11000元，分24期，需还款14981.92元，已还9569.95元，年化利率33%，高于国家规定利率，希望有关部门处理。</t>
  </si>
  <si>
    <t>2019/10/06 22:32:54</t>
  </si>
  <si>
    <t>投诉人 成先生        投诉对象  信用管家        涉诉金额  3 600 元    问题类型    诉求类型投诉详情  就差3000每天催款有不是不还。希望停止骚扰。我还要上班。</t>
  </si>
  <si>
    <t>2019/10/06 22:32:28</t>
  </si>
  <si>
    <t>借款10000元，除还款外另以收取保费额外扣除1200余元，连同支付宝一起开通支付通道，想协商还本金，但是却遭到恐吓，冒充法务并且持续骚扰借款无关家人朋友，随意窃取本人信息对本人造成极大的影响，必须在这里投诉才能希望解决问题。</t>
  </si>
  <si>
    <t>2019/10/06 22:31:19</t>
  </si>
  <si>
    <t>现在工作辞了，贷款买的车办的营运，花了大约16W到今天一直没有验真通过，严重影响我的接单质量和收入，每次打客服电话都是记录，敷衍，不给解决。</t>
  </si>
  <si>
    <t>2019/10/06 22:30:34</t>
  </si>
  <si>
    <t>通过虚假信息诱导我办理VIP,话费249元。</t>
  </si>
  <si>
    <t>投诉人王先生投诉对象智行涉诉金额400元问题类型诉求类型投诉详情预定杭州东到北京南火车票，在未知情情况下，默认增加了400元加速包，购票成功后仍有大量余票，要求退还加速包金额！。</t>
  </si>
  <si>
    <t>2019/10/06 22:30:18</t>
  </si>
  <si>
    <t>10月6日，乐刷的POS机的业务员向我推销说有老信用卡可以免费赠送pos机器，当时我就问开通要什么费用的吗，她说是免费的，就帮我下载了快乐支付APP，直接登录后叫我刷卡150元，我说刷150元是用来干什么的，她说，150元会返回你的银行卡里面去的，刷完后还说会返还600元优惠券，然后看到我的优惠券里有200张的3元优惠券，我就在微信里面直接问她，我说我的150元，到底什么时候到账银行卡，这一次他回答我说，这150元换成了200张的优惠卷，你每刷一次信用卡，就在里面抵扣一张优惠券，我听到了之后，就生气了，而且</t>
  </si>
  <si>
    <t>2019/10/06 22:30:03</t>
  </si>
  <si>
    <t>而休整了一年没有工作，由于医药费用高昂又没有收入来源不得已动用了信用卡来维持，因为没有工作无力偿还导致信用卡逾期了三个月，要过来找村长谈话要去我家里上门找我父母要人，但本人也在积极的找工作努力的偿还欠款，原本已工作55天，一个半月，此工作收入还算可观，长久以往是可以偿还欠款的，但是，没想到的是工作期间不停的被第三方催款骚扰恐吓，第三方不停的将电话打到我公司前台恐吓前台工作人员，逼的工作人员与我产生不必要的嫌隙，导致我被公司开除，自此，又断了我可以还款的希望，而且当我与他们电话对峙时他们还不承认打电话到我公司</t>
  </si>
  <si>
    <t>2019/10/06 22:29:53</t>
  </si>
  <si>
    <t>10月4日，本人在聚福钱包app上注册，按要求先进行评估，在不知情的情况下，勾选了2个选项中的一个，，另一条则是直接扣款299,按常人的想法是，既然是选项，必有分别，第二个扣款，另一个便不应该，按照下一步进行操作，在报告还没生成前，手机收到银行卡扣款短信，299,这是什么鬼，推荐的和直接扣款没有区别，那还有要两个选项干嘛，一个道理的东西好比挂羊头卖狗肉，这不就是欺骗消费者的行径吗，打电话与客服沟通，说什么有提示，提示在哪里，提示可想会有多隐蔽，说什么是我自己的原因，我自己的原因就是太信任，说什么协议，前面的</t>
  </si>
  <si>
    <t>2019/10/06 22:28:35</t>
  </si>
  <si>
    <t>刚到乘客的订单，已经在乘客的上车点，但人流比较大，马上就打电话跟乘客联系确认乘客的位置，要去接乘客，发现车子打不着火，又立马跟乘客联系说明原因及道歉，乘客也表示理解，然后把所有的问题都直接推卸给我们司机，一次申诉跟二次申诉，只直接告知申诉失败，你们都知道，扣一分对司机来说意味着什么，小心翼翼的把每位乘客送达，还要担心某位乘客的恶意投诉，还要担心平台的胡乱判责。</t>
  </si>
  <si>
    <t>2019/10/06 22:27:49</t>
  </si>
  <si>
    <t>投诉人 莫先生        投诉对象  信用管家        涉诉金额  3 300 元    问题类型    诉求类型投诉详情  合同欠款以还完。还要收我680。我无解费用哪里来的。请给我个合理的解释</t>
  </si>
  <si>
    <t>2019/10/06 22:27:45</t>
  </si>
  <si>
    <t>暴力催收，侮辱父母，爆通讯录，砍头息，利息还了5000多了，借1000到手700，持续性的轰炸。</t>
  </si>
  <si>
    <t>2019/10/06 22:27:27</t>
  </si>
  <si>
    <t>我一个姐姐于9月26号在支付宝小程序租租鱼里租赁一台iPadmini4，秉承着对支付宝的信任当时看见30期便没有多想就下单租赁了，谁知道下单以后才发现，所谓的30期竟然是每天都要还99.6元，一共30天还完，分30天还款，每一天还99.630天租期到美其名曰自动送给租赁人，当天发现这点的我便拨通了客服电话想要退单，谁知道打了一下午也没有人接，于是我打给芝麻信用客服，客服很负责任的帮我联系商家，明天给答复，然而在27号当天，在订单还未发货的时候该平台就开始自私扣取客户财产，到今天一共3期298.8元，并且已经</t>
  </si>
  <si>
    <t>2019/10/06 22:27:10</t>
  </si>
  <si>
    <t>本人第二期逾期，在逾期之前都有和客服交涉，贷上钱公司在本人已经还款的情况下，给通讯录好友发信息。</t>
  </si>
  <si>
    <t>2019/10/06 22:27:08</t>
  </si>
  <si>
    <t>本人于2018年1月通过读秒钱包借款10000元，分24期，需还款13295.04元，已还10528.09元，年化利率29%，高于国家规定利率，希望有关部门处理。</t>
  </si>
  <si>
    <t>2019/10/06 22:26:17</t>
  </si>
  <si>
    <t>今天接到一个订单，是乘客的朋友代叫的车，乘客上车后5分钟更改目的地，乘客也知道目的地更改，因旅途较远，问其是否走高速，乘客也同意走高速，等结束订单后滴滴冻结金额，打客服电话始终无人接。</t>
  </si>
  <si>
    <t>2019/10/06 22:26:16</t>
  </si>
  <si>
    <t>投诉人何先生投诉对象同程旅游涉诉金额217元问题类型诉求类型投诉详情2019年10月6日在同程艺龙上预定“成都市屋奇良宿”客房一晚，预定优惠后价格为：217元，当晚9时，在未入住前看到同程官方价格变为170元，美团APP价格为136元，随时立即点击理赔，客服随后一系列敷衍、不作为、欺骗的话术、套路答复，同程艺龙严重引诱、欺骗消费者，该酒店严重脏乱差，现要求同程艺龙赔偿差价81元，由于监管不当造成的损失赔偿200元。</t>
  </si>
  <si>
    <t>2019/10/06 22:25:42</t>
  </si>
  <si>
    <t>本人于2019年9月，在腾讯视频里推广的广告，下载了一款捕鱼，游戏名称《大神捕鱼》，开始只是以为是腾讯推广的广告应该没什么，只抱着去玩玩的心里下载了游戏，下载过后登录游戏，金币是通过微信代理购买金币，出售也是一样，刚开始的玩的时候感觉也没什么，也能让你赢个百十万的金币，后来又发现里面还有棋牌游戏，然后也进去玩了下，这一玩玩出大问题了，真应了那句话，网赌，10赌9输，还有一个是自己人！在里面也发现了好多问题，比如一桌5个人在玩斗牛游戏，抢庄，开始的时候都在抢，最后被我抢到了，别人直接都是50倍，这下好了，我肯</t>
  </si>
  <si>
    <t>2019/10/06 22:25:07</t>
  </si>
  <si>
    <t>投诉人 高先生        投诉对象  小浦优客        涉诉金额  296 元    问题类型    诉求类型投诉详情  未经同意私自扣款296元 客服电话也没人接 联系不上</t>
  </si>
  <si>
    <t>2019/10/06 22:22:33</t>
  </si>
  <si>
    <t>经常性无理由限制派单，由其是节假日奖励多的时候，有数据显示打滴滴的女乘客占65%以上，接不到女乘客就意味着接单慢，等单时间长，日单量下降一半以上，自然收入也减半左右。</t>
  </si>
  <si>
    <t>2019/10/06 22:22:24</t>
  </si>
  <si>
    <t>人在支付宝蚂蚁借呗上账单逾期没有处理，已经逾期了这个我知道一直都在想办法把逾期账单处理了，今天接到支付宝第三方催收人员电话我也给他说明我逾期没有还的原因，说不处理好支付宝这边就关闭还款渠道还款也要走杭州这边去还款我说走那边去又是消费几大千，我也在积极的与他协商但催收人员就直接不给我协商的余地，催收人员是今天下午16点给我说叫我明天上午9.30处理好，不然就走法律程序在这么短的时间，我说的凑不到钱我也说了等收假了我这边想办法处理好。</t>
  </si>
  <si>
    <t>2019/10/06 22:21:36</t>
  </si>
  <si>
    <t>投诉人韩女士投诉对象智行涉诉金额50元问题类型诉求类型投诉详情买票难，为了七号能顺利到达武陟，开通后想咨询客服能否退订，但打开客服界面，前面还有十几个人排队，我等到六号晚上九点我的第一段行程没有抢来票，抢来票之后半个小时，我又刷新七号郑州到武陟的高铁界面，发现很多无座票，也就是我不用这种vip抢票券也可以买来票，最后觉得铂金会员没有一点用处，然后自己发现了最下面的铂金会退订按钮，我就选择退订，但是系统显示我用了他们的加速券，不能退订，我就把我用那张毫无意义的抢票券抢来的七号的高铁票退了，因为我六号晚上到不了</t>
  </si>
  <si>
    <t>2019/10/06 22:21:26</t>
  </si>
  <si>
    <t>苏宁易购10月6日不深圳市石岩华富市场店以老顾客答谢会的名义让我去现场领礼品，结果实际是推销净水器，他先是说了癌症发病率，引起大家的恐慌，再说跟空气和不干净的水有关，然后开始做空气净化器在密闭空间净化空气，然后用自来水和矿泉水做一个电解质实验，加TDS笔测试水的试验，后来我自己深入了解了才知道这个实验拿来证明水质是不科学不全面的，是做净水器公司经常拿来推销净水器的一种手段，打电话过去要求退货，给我说是活动产品不在退货范围内，而净水器不符合市场价，特要求退款处理备注：通过搜索聚投诉平台发现今年以来已有多起此类</t>
  </si>
  <si>
    <t>2019/10/06 22:21:19</t>
  </si>
  <si>
    <t>9月26号在卧龙钱包借款2200实际到账1430六天时间就要还利息770元属于高利贷行为，由汇潮支付放款，支付宝提供还款渠道，第二期还款由于本人现无力偿还这么多希望和平台协商还款，要不我将继续投诉银监会和12315进行投诉。</t>
  </si>
  <si>
    <t>2019/10/06 22:21:17</t>
  </si>
  <si>
    <t>在c5饰品网站于2018年被红锁的饰品在兑换一比一等额人民币的c豆之后开始几个月可以兑换等额人民币，到现在只给兑换手续费，而兑换饰品压根拿不到，网站承诺的退还被封饰品的金额遥遥无期，由于在网站上卖东西已经很少了，要求退还等额c豆的人民币。</t>
  </si>
  <si>
    <t>2019/10/06 22:19:24</t>
  </si>
  <si>
    <t>让客服解决问题，这个7931号客服的反应速度引起我的严重不满意，我想问一下你是睡着了吗，几分钟回一句！回的还是没用的！我找你是解决问题的不是敷衍我的！！！。</t>
  </si>
  <si>
    <t>2019/10/06 22:19:20</t>
  </si>
  <si>
    <t>投诉人 焕先生        投诉对象  信用管家        涉诉金额  5 500 元    问题类型    诉求类型投诉详情  每天去我家上门暴力收款。不让出门。非要还钱才可以。不知道是不是违法了</t>
  </si>
  <si>
    <t>2019/10/06 22:18:44</t>
  </si>
  <si>
    <t>2****************6，我的建设银行卡。</t>
  </si>
  <si>
    <t>2019/10/06 22:18:43</t>
  </si>
  <si>
    <t>投诉人黄先生投诉对象平安普惠,平安保险集团涉诉金额3800元问题类型诉求类型投诉详情本人于平安普惠旗下的平安i贷进行借款，却被该平台搭售平安保险，并在本人不知情的情况下进行分期支付，共20期，如下：平安i贷第一笔：借款28000，分20期还款，每月保险费用在190左右该保险名称为：平安个人借款保证保险，这是个什么保险，我国法律规定，保险不得通过第三方平台进行销售，需本人直接到保险公司所在地或者通过保险公司官方渠道进行购买。</t>
  </si>
  <si>
    <t>2019/10/06 22:17:43</t>
  </si>
  <si>
    <t>此人于7.27日借本人一万一，并约定嗝日就还，结果一推再推，电话不接，微信不回，并有语言侮辱。</t>
  </si>
  <si>
    <t>2019/10/06 22:17:31</t>
  </si>
  <si>
    <t>一个朋友在商家购买家具时一时大意用支付宝付款后发现被骗了，对方是一个空头公司，发现此事时后及时向支付宝报案并申请保险赔偿调查，支付宝却在推脱责任说与他们没有关系，你们支付软件的监督与安全就做的这么差劲吗，客服的不轻描淡写与失职，保险公司的秒拒，以及不能二次申请，我每个月在支付宝交的保险钱只是看的，关键时刻遇到被骗一案就是纸上谈兵，根本不起作用，那么请问我每个月支付宝的账户安全险的保险钱用来做什么了。</t>
  </si>
  <si>
    <t>2019/10/06 22:17:27</t>
  </si>
  <si>
    <t>做的一起预约单取消之后，产生的后续问题，因为乘客责任，我取消了一单预约单，以后降低了我的成交率，罚我款，扣我分，申诉成功之后，服务分，跟钱都恢复了，可是成交率一直没给解决，都一星期多了，我要求补偿跟恢复到接那单预约单之前的成交率。</t>
  </si>
  <si>
    <t>2019/10/06 22:17:24</t>
  </si>
  <si>
    <t>投诉人朱女士投诉对象YY涉诉金额1999元问题类型诉求类型投诉详情花呗企业代付直接扣了我的钱，无法退款客服推卸责任。</t>
  </si>
  <si>
    <t>2019/10/06 22:17:21</t>
  </si>
  <si>
    <t>喜鹊快贷借了一万，分12期还，每月6号还1197.99元，中午12点一过，我还没还款，该平台的催收人员就开始爆通讯录，把我手机通讯录存的手机号码全打一遍去催收，骚扰，该平台十分嚣张，已经严重影响到我本人和亲朋好友的生活，没逾期就这样肆无忌惮的催，这样合情合理合法吗。</t>
  </si>
  <si>
    <t>2019/10/06 22:16:58</t>
  </si>
  <si>
    <t>本人于2017年12月至2019年3月期间，通过钱站借款4笔，共计128500元，分36期、12期、6期不等，总计需还款198171.01元，已还109731.59元，年化利率最高达47.7%，远高于国家规定利率，希望有关部门处理，并且合同金额与实际放款金额不符，期间还清一笔贷款也查不到任何记录。</t>
  </si>
  <si>
    <t>2019/10/06 22:16:31</t>
  </si>
  <si>
    <t>投诉人 罗先生        投诉对象  钱站        涉诉金额  9 000 元    问题类型    诉求类型投诉详情  利息超高，各种服务费。超过国家年利率36％。借9000还14000多。协议扣款，平台没扣款直接算逾期，逾期超高。</t>
  </si>
  <si>
    <t>2019/10/06 22:16:28</t>
  </si>
  <si>
    <t>投诉人朱先生投诉对象畅捷支付,小木钱包,新意花涉诉金额4000元问题类型诉求类型投诉详情9月9日在新意花借款2800元分4期还款每一期7天需要还款1022.4元共需要还款4089.6元超级高利贷超过国家利息几千倍，中间由于他们的原因还款失败导致逾期已还三期3123.2以超过本金和利息要求最后一期结账客服联系不到无法协商。</t>
  </si>
  <si>
    <t>2019/10/06 22:15:54</t>
  </si>
  <si>
    <t>投诉人 金先生        投诉对象  闲鱼客        涉诉金额  500 元    问题类型    诉求类型投诉详情  提现不到账 准备跑路</t>
  </si>
  <si>
    <t>2019/10/06 22:15:52</t>
  </si>
  <si>
    <t>投诉人钱欢投诉对象U钱包涉诉金额10000元问题类型诉求类型投诉详情超过国家规定年利率百分之24，u钱包年利率居然是百分之45属于高利贷，还天天骚扰。</t>
  </si>
  <si>
    <t>2019/10/06 22:14:36</t>
  </si>
  <si>
    <t>北京玖富惠普信息技术有限公司在2019年十月五日晚22点41分在本人不知情的情况下在我工商银行卡恶意扣款185.88元，本人当时未收到任何扣费提醒以及验证码。</t>
  </si>
  <si>
    <t>2019/10/06 22:14:09</t>
  </si>
  <si>
    <t>app显示支付199元可变为会员、提升额度、审核通过、但是支付以后显示我所在地区不支持贷款。</t>
  </si>
  <si>
    <t>2019/10/06 22:13:12</t>
  </si>
  <si>
    <t>双辽市春天支农小额贷款有限公司我旗下全是套路贷！高利贷app！借款额度最高3000！利息300到1200不等！期限最高只有6天！催收人员暴力催收！骚扰辱骂威胁通讯录好友！侮辱本人清白！请平台通知实体执法部门查实处理。</t>
  </si>
  <si>
    <t>2019/10/06 22:12:24</t>
  </si>
  <si>
    <t>押金迟迟不退，7月10号申请的，说是5到10个工作日退，可是都三个月了还没见退还！。</t>
  </si>
  <si>
    <t>2019/10/06 22:12:17</t>
  </si>
  <si>
    <t>2019年10月1日9时50分接一个订单，是从车博仕汽车美容装饰到长水新村，接到该订单后我立即就赶去接乘客，到达预约起点乘客来坐上车，车还没有走，乘客就把订单取消了，我问乘客怎么把订单取消了，乘客说不小心点了取消了，之后到10月1日14时39分我收到短信，滴滴说我诱导乘客取消线下交易，然后钱包哪里显示作弊扣款，扣了我134.19元人民币，我就想问你们滴滴平台是怎么核实的，从一开始我就没有叫乘客取消过订单，是乘客自己取消的，你们凭什么说我有责，还扣我钱，而且你们这个扣款理由和订单上显示的都不一样，你们是几个意</t>
  </si>
  <si>
    <t>2019/10/06 22:11:45</t>
  </si>
  <si>
    <t>希望在这个能解决这个问题，要不然只有去法院了。</t>
  </si>
  <si>
    <t>2019/10/06 22:11:23</t>
  </si>
  <si>
    <t>一天到晚打无数个电话，不是一天不能超过3个电话吗。</t>
  </si>
  <si>
    <t>2019/10/06 22:10:33</t>
  </si>
  <si>
    <t>借2000元要收购买500元的游戏豆，强行放款，取消不了借款。</t>
  </si>
  <si>
    <t>2019/10/06 22:09:40</t>
  </si>
  <si>
    <t>豹子贷,上海造艺网络科技,造艺网络科技,银码头，无缘无故扣费用，自己没有买，原来一百说借款不成功退款也不给退，又平白无故扣了199，我想让他们解绑银行卡信息。</t>
  </si>
  <si>
    <t>2019/10/06 22:09:29</t>
  </si>
  <si>
    <t>钱站说话不算话，打电话给客服答应延期还款这里又暴力催收，骚扰，威胁我亲朋好友利息高的要命逾期费2202.02。</t>
  </si>
  <si>
    <t>2019/10/06 22:09:14</t>
  </si>
  <si>
    <t>买家于2019年9月26日自行在我店拍下日本二手宝格丽18K黄金吊坠项链，售价为11300元，2.买家所说龙虾扣有问题项链容易掉，如何证明，这位接线员居然告诉我们我给您举个例子，好比一件衣服划了一道作为质量问题退回了，那再划10道又有什么区别呢？我店以最快代购速度于9月28日从日本东京正常寄出，寄出前已对商品品相进行多角度拍摄留证，并在商品上绑定店铺独有标签，如剪掉即代表确认，，买家于9月30日收到商品并正常签收，当时就将店铺标签剪掉即表示已确认商品无问题，10月1日此买家通过微信联系我店声称项链“龙虾扣”</t>
  </si>
  <si>
    <t>2019/10/06 22:09:07</t>
  </si>
  <si>
    <t>软件打不开，也没有客服联系，想知道什么原因。</t>
  </si>
  <si>
    <t>2019/10/06 22:08:05</t>
  </si>
  <si>
    <t>平台没有任何扣款提示，填完资料绑定银行卡就自动扣款。</t>
  </si>
  <si>
    <t>2019/10/06 22:06:27</t>
  </si>
  <si>
    <t>我的旧号码已经销户，在换绑的时候输入新号码提示我的新号码已注册滴滴出行和专车司机，无法换绑。</t>
  </si>
  <si>
    <t>2019/10/06 22:06:08</t>
  </si>
  <si>
    <t>套路贷高利贷，原来借了8000，每期506，已经还了24期12144元.，还有三期，我就感觉自己被套路了，我上期的还了2年12000多元怎么还有1500多，打电话问客服，客服说原来还的都是利息，现在扣除的剩余是本金，这么一算，我借8000，还了差不多14000多，这实打实的高利贷啊，还有什么贷款管理费，灵活还款包以及客户服务费这些，我就想说这难道不是高利贷套路贷吗，原来一直还着，近期逾期了，后面我已经无力偿还，可是催收却打我朋友电话，一直骚扰我朋友，给人家生活工作都造成了困扰，甚至有捷信催收说要上门找我，已</t>
  </si>
  <si>
    <t>2019/10/06 22:06:02</t>
  </si>
  <si>
    <t>支付宝这款软件用了八年多了，信用度比较好，达到了花呗借呗的条件，2017年下半年开始，因为一些原因花费比较大，都有按时还款，2019年七月，没有按时还，逾期了，现在只要手里有钱，都是有陆续还2019年十月一日，支付宝就给我同事，家人打电话催收，今天是10.4日，又打电话催收，我都有在积极还款，有了就还，协商无果，说还会给亲戚朋友打电话让他们还，我跟支付宝客服95188联系过，支付宝客服说我有逾期行为！他们不予受理！已移交给催收部门，但她们没有催收部门人员的直接联系号码，说会有催收部门人员联系我！之后就接到安</t>
  </si>
  <si>
    <t>2019/10/06 22:05:28</t>
  </si>
  <si>
    <t>妥妥e行，,贾姓司机,车牌号皖A792FA，本人今日15:19携爱人于高德地图app打车去合肥天鹅湖万达，行程15公里，花费28元，妥妥E行预估价31元，司机贾某收取费用37.25元，费用明细中一项费用标示为“其它费用5元”，本人已短信咨询司机电话171******60，请司机解释“其它费用5元”具体指什么费用，司机一直未答复，高德地图app平台和妥妥E行一直无法联系客服，未做出解释及处理意见，本人要求高德地图、妥妥E行、司机贾某就“其它费用5元”做出明确解释，若违规收取请原途径返还5元并道歉！。</t>
  </si>
  <si>
    <t>2019/10/06 22:05:13</t>
  </si>
  <si>
    <t>投诉人吴女士投诉对象平安普惠,平安保险集团涉诉金额10000元问题类型诉求类型投诉详情本人于平安普惠旗下的平安i贷进行借款6笔，却被该平台搭售不同数额的6份平安保险，并在本人不知情的情况下进行分期支付，共20期，如下：平安i贷第一笔：借款10000，分20期还款，每月保险费用在90左右第二笔：借款30000，分20期还款，每月的保险费用在290左右……该保险名称为：平安个人借款保证保险，这是个什么保险，我国法律规定，保险不得通过第三方平台进行销售，需本人直接到保险公司所在地或者通过保险公司官方渠道进行购买。</t>
  </si>
  <si>
    <t>2019/10/06 22:05:07</t>
  </si>
  <si>
    <t>要求支付宝扫码刷单，苏宁商品，付款后找不到订单信息。</t>
  </si>
  <si>
    <t>2019/10/06 22:04:41</t>
  </si>
  <si>
    <t>本人中国工商银行卡2019年10月六日转账发现余额不足，随即查看明细发现中国银联股份有限公司广东分公司专户08无缘无故扣出金额人民币641.41元，本人没有收到任何扣款信息以及验证码，请还我一个公道！！！。</t>
  </si>
  <si>
    <t>2019/10/06 22:04:38</t>
  </si>
  <si>
    <t>本人8月25日在火影帮借款1919元到账1387元。</t>
  </si>
  <si>
    <t>2019/10/06 22:04:31</t>
  </si>
  <si>
    <t>本人申请新橙优品借款5000元分6期，已还一期915.43.银行卡划扣都是分2次扣款，系统显示还需还款4577.15元，远远超出国家利率，也没有找到任何借款合同！本人由于最近资金周转困难，今天逾期了！系统显示全额还款系统异常，必须分期还款，砍头息高利贷！新橙优品未经本人允许爆通讯录拨打亲朋好友及家人进行恐吓，威胁！电话轰炸，对本人生活严重影响！要求停止骚扰，调整利率，要求下架。</t>
  </si>
  <si>
    <t>2019/10/06 22:03:55</t>
  </si>
  <si>
    <t>而休整了一年没有工作，由于医药费用高昂又没有收入来源不得已动用了信用卡来维持，因为没有工作无力偿还导致信用卡逾期了三个月，但本人也在积极的找工作努力的偿还欠款，原本已工作55天，一个半月，此工作收入还算可观，长久以往是可以偿还欠款的，但是，没想到的是工作期间不停的被第三方催款骚扰恐吓，比如兴业银行第三方不停的将电话打到我公司前台恐吓前台工作人员，并且威胁我会找人将我带走，而招商银行更甚，第三方催款电话直接打到了我公司的管理公司，导致我本人直接被公司开除，并且这三个月期间，一直被第三方催款电话轰炸式的骚扰恐吓</t>
  </si>
  <si>
    <t>2019/10/06 22:01:46</t>
  </si>
  <si>
    <t>2019/10/06 22:01:45</t>
  </si>
  <si>
    <t>本人接到订单时，刚好遇到联合执法抓异地营运车辆，乘客上车点就在他们执法附近，枪打出头鸟你们应该懂吧，我不可能当着他们的面接订单，为了不给公司造成不必要的损失，没去完成订单，结果平台判我诱导乘客取消订单，要扣我服务分，一次申诉直接失败，二次我也不想申诉了，平台太让人失望，以后遇到这种联合执法的该怎么接就怎么接，公司应该有的是钱，不怕赔付。</t>
  </si>
  <si>
    <t>2019/10/06 22:01:43</t>
  </si>
  <si>
    <t>之前买了安全险，但是支付宝现在不理赔，只有通过投诉平台希望能解决这个问题。</t>
  </si>
  <si>
    <t>2019/10/06 22:00:29</t>
  </si>
  <si>
    <t>安逸花平台侵犯隐私，暴力催收，骚扰通讯录人员，连孩子都不放过，多次拨打孩子电话，给孩子号码发催收短信，有没有人性，无视国家法律规定，不给出处理意见，本人将报警起诉。</t>
  </si>
  <si>
    <t>2019/10/06 21:58:27</t>
  </si>
  <si>
    <t>投诉人 王先生        投诉对象  拍拍贷        涉诉金额  800 元    问题类型    诉求类型投诉详情  忘了还款。今天催收上逾期3天了。我说一下就还。催收直接吼叫几声。比叨逼叨的骂然后威胁今天不还。要问候我所有联系人。然后挂完电话。就被工作单位安排工作了。现在已经还了。木有逾期。催收恐吓有录音。现在会跟拍拍贷死磕到底，争取我的权益</t>
  </si>
  <si>
    <t>2019/10/06 21:57:46</t>
  </si>
  <si>
    <t>投诉人王女士投诉对象卡卡贷涉诉金额1600元问题类型诉求类型投诉详情卡卡贷于2019年9月30日应收取我还款款项，不料没有进行还款款项的扣除而是不知为何扣了799元，于工作人员沟通无果，工作人员说会让领导给我解决问题没等到领导来解决问题等来了一个陌生短信说卡卡贷给他打电话让我还款，我很恼火，我要投诉起诉，告卡卡贷。</t>
  </si>
  <si>
    <t>2019/10/06 21:57:21</t>
  </si>
  <si>
    <t>交通银行淄博办事处！与客服协商一致保持联系，但未通知直接上门。</t>
  </si>
  <si>
    <t>2019/10/06 21:56:55</t>
  </si>
  <si>
    <t>现金借款，逾期后查看不到该借款的借款合同，借款之后砍头息！借2000要还4000多，与他们多次协商无果！。</t>
  </si>
  <si>
    <t>2019/10/06 21:56:02</t>
  </si>
  <si>
    <t>账户有钱不扣，非要拖逾期！下面投诉电话停机或者打不通状态，。</t>
  </si>
  <si>
    <t>2019/10/06 21:55:40</t>
  </si>
  <si>
    <t>投诉人 曹先生        投诉对象  信用管家        涉诉金额  600 元    问题类型    诉求类型投诉详情  信用管家捆绑购物协商不同意。联系几次了。现在一直在等消息怎么处理</t>
  </si>
  <si>
    <t>2019/10/06 21:55:28</t>
  </si>
  <si>
    <t>电话骚扰太严重，未到还款日催收电话骚扰，其中有一单被电话骚扰后于当晚23:58还款成功还被列为逾期，变相收取什么风险保障金及其服务费，不然借款不成功，不管大额借款和小额借款都不给提前还款，借款结清后从不开具结清证明！。</t>
  </si>
  <si>
    <t>2019/10/06 21:55:07</t>
  </si>
  <si>
    <t>于5.20号左右看到网上有人加我说可以兼职刷单，经过一段时间了解感觉可以;我决定尝试一下;骗子发给我拼多多的链接;让我付款说是开始做一单隔天返现，之后我了解到我被骗的钱全部到了一个博彩公司的账户，我请求聚投诉平台通知拼多多平台;我我需要一个合理的解释，我将12315起诉各种方式维护我自己的权利！，这样的行为实属可恶。</t>
  </si>
  <si>
    <t>2019/10/06 21:54:41</t>
  </si>
  <si>
    <t>我借新橙优品三千元，分三期还，每一期1250元，第三期因为个人原因造成逾期十天，又要让我多还150元，我给客服反馈了一下，客服没有回应，也没有协商解决此事，新橙优品直接就爆我通信录，发短信辱骂，态度及其恶掠，。</t>
  </si>
  <si>
    <t>2019/10/06 21:53:59</t>
  </si>
  <si>
    <t>微信账号附近的人功能一直不能用，反应了很多次了一直没解决，客服也找不到人。</t>
  </si>
  <si>
    <t>2019/10/06 21:52:48</t>
  </si>
  <si>
    <t>国庆期间，本人手机丢失，无法正常接收验证码，结果玖富万卡必须填写验证码才能还款，造成我逾期，同时，钱存到卡里，玖富也并没有自动扣款进行还款，造成我逾期，我专程去附近营业厅另外办了张储蓄卡，想绑定了再还款，结果绑定完成之后，还是必须用之前的民生卡付款，最终还是无法还款，造成我逾期，请直接从尾号2214的民生卡里扣款，钱一直在里面！！！！并退还罚息消除相应负面影响！！！。</t>
  </si>
  <si>
    <t>2019/10/06 21:52:23</t>
  </si>
  <si>
    <t>投诉人王先生投诉对象简单花涉诉金额0元问题类型诉求类型投诉详情我从来没有在简单花上借过钱，今天却接到电话说我欠钱，我就没听过这个平台，我就想说我的信息哪来的。</t>
  </si>
  <si>
    <t>2019/10/06 21:51:40</t>
  </si>
  <si>
    <t>已经本金加利息还很多了，超出借款金额，但还持续暴力催收，电话轰炸，剩余不正规利息不让协商！。</t>
  </si>
  <si>
    <t>2019/10/06 21:51:34</t>
  </si>
  <si>
    <t>本人陈广兴于2018年08月03日申请平安普惠贷款，申请号：180801015603，借款本金70000元，期限：36个月，真实借款利率高达35.86%！截止2019年10月2日已还款13期共计：41606.37元，剩余本息73613.02元未还！因为本人资金断裂破产无力偿还贷款于2019年10月03日还款日逾期，平安普惠催收人员短信威胁造谣提供虚假工作收入证明及虚假联系人骗贷等信息，并在本人不知情下软件窃取本人手机通讯录联系人并短信群发恶意诋毁催收对本人声誉及工作造成严重负面影响！特此投诉要求停止不法恶意</t>
  </si>
  <si>
    <t>2019/10/06 21:50:45</t>
  </si>
  <si>
    <t>多次投诉未果，而且处理进度慢，隔一个多月仍然未见处理，要求英孚教育全额退款，最起码还剩下一千多元的贷款免除，本人已经无力偿还，还请相关部门尽快处理，否则采取其他措施处理，投诉多次才在投诉评论回复如下英孚教育2019-09-30，我们得知学员的诉求经之前的沟通协商已经解决，且已完成相关手续的办理，故目前无法满足其更多诉求，烦请谅解。</t>
  </si>
  <si>
    <t>2019/10/06 21:50:37</t>
  </si>
  <si>
    <t>逾期接连发信息催收，对我的工作和生活造成了严重的打扰和耽误。</t>
  </si>
  <si>
    <t>2019/10/06 21:50:17</t>
  </si>
  <si>
    <t>先花一亿元收回高额借款费用，借款3000元，一个月分三期，需要利息529元，严重违反网络借贷规定，祖国已经七十华诞了，这种现象为何屡屡发生。</t>
  </si>
  <si>
    <t>2019/10/06 21:49:57</t>
  </si>
  <si>
    <t>投诉人 王朋        投诉对象  玖富        涉诉金额  1 300 元    问题类型    诉求类型投诉详情  要求玖富免除后期的套路费用。后期我不使用，我要求玖富免除后期费用</t>
  </si>
  <si>
    <t>2019/10/06 21:49:37</t>
  </si>
  <si>
    <t>投诉人郑先生投诉对象小赢卡贷,众安保险涉诉金额22000元问题类型诉求类型投诉详情一、本人于今年4月1日在小赢贷款平台借了一笔款项，借款金额：22000元，分12期还款，最近我发现该平台在本人不知情的情况下强制捆绑购买了一分保险，并且之前一直有购买我也是这两天去查看才发现的，1.本人是不知情的情况下被投保、连个保单都没看到，只在合同里面看到有购买保险，第一期为2979.03元，后面11期每期还款都为：2209.03元，3.国家明文规定贷款跟保险公司不得合作；4.国家法律规定投保人可随时退保；5.在未明确提醒</t>
  </si>
  <si>
    <t>2019/10/06 21:48:01</t>
  </si>
  <si>
    <t>借网贷平台款，没有客服电话，收不到短信，也查不到是那个平台，希望能解决谢谢。</t>
  </si>
  <si>
    <t>2019/10/06 21:47:34</t>
  </si>
  <si>
    <t>投诉人 彭先生        投诉对象  交易猫交易平台        涉诉金额  420 元    问题类型    诉求类型投诉详情  联系不到客服，卖家也不回复。</t>
  </si>
  <si>
    <t>2019/10/06 21:47:05</t>
  </si>
  <si>
    <t>后来我去查了记录看到是云南国际信托借款给我的，但是我通过信而富平台借款强制性的要求我购买物品才能借款。</t>
  </si>
  <si>
    <t>2019/10/06 21:46:29</t>
  </si>
  <si>
    <t>地址：上海徐汇区宜山路光启城三楼华尔街英语机构二、付款信息课程起始日期：2019-09-05，课程结束日期：2020-10-04第一笔支付：580，共计支付28880元全款，贷款使用的是我自己的银行卡三、具体描述我于2019年10月5日下午五点左右在光启城由地推人员带领进店领取七天免费课程，课程顾问带领我参观，15分钟的简单参观后，把我领进她的办公室，与我开始了长达3小时的洗脑，，经过对我工作内容朋友家人的了解，最终给我营造了一种学了英语前途一片光明，不学英语人生无望的感觉，我不得不承认课程顾问很会说，我本</t>
  </si>
  <si>
    <t>2019/10/06 21:46:11</t>
  </si>
  <si>
    <t>投诉人楼先生投诉对象钱站涉诉金额251元问题类型诉求类型投诉详情乱收服务费，借1000元分三个月还款要还493乘3＝1479，严重超标国家规定的年利率36％，属于高利贷，还有493一期逾期一天要还593，逾期费用要收100多，也属于乱收费。</t>
  </si>
  <si>
    <t>2019/10/06 21:45:49</t>
  </si>
  <si>
    <t>骚扰无关人员！乱打电话骚扰！影响恶劣！态度蛮狠。</t>
  </si>
  <si>
    <t>2019/10/06 21:45:47</t>
  </si>
  <si>
    <t>我一个从小玩到大朋友用蚂蚁借呗好多年了，并且信誉一直不错，每个月在淘宝的消费最少也要一两千，虽然芝麻信用分像凝固了一样不涨，但是我还是一如既往的信任支付宝，我一直都对芝麻信用，负面，这些规则不太清楚，只是知道不,要逾期.但是谁没有意外呢！，上个月12号当天，我在安阳的一个村子里，身上没有装银行卡，而且借呗的短信时有时无，不规律.，我知道当天该还了，但是银行卡没带，也没有绑定这张卡，想着第二天到单位了再还，就几个小时，借呗显示说2-3天之内没事，我就没在管，也没有短信和电话催我，这几千块，是我借的钱，救命钱，</t>
  </si>
  <si>
    <t>2019/10/06 21:44:19</t>
  </si>
  <si>
    <t>格力虚假宣传并高价卖给老客户格力净水机WTE-PC8-4021。</t>
  </si>
  <si>
    <t>2019/10/06 21:44:08</t>
  </si>
  <si>
    <t>本人于去年在畅快车贷宜宾分公司通过汽车抵押贷款八万元，其实际到账6万多，每月还款3500元，贷款年限3年，对方的态度和语气极为恶劣说把欠的钱准备好就可以取车，对方的态度和语气极为恶劣说你自己欠多少钱你不知道吗？再加上这次拖车人员的所有费用两万块就是你要给的钱，于是何江打电话问钱准备好了吗好嘛，我现在通知取车那个部门问一下车在什么地方再联系你，他说他会通知财务和我联系具体的还款事宜财务和我说我等了两天没接到任何畅快车贷的电话，于是又打电话过去，他说，通知财务和我联系具体的还款事宜财务和我说财务没和你联系吗？我</t>
  </si>
  <si>
    <t>2019/10/06 21:43:52</t>
  </si>
  <si>
    <t>投诉人陈先生投诉对象绿森数码,农业银行涉诉金额5692元问题类型诉求类型投诉详情本人于9.13号在农业银行app全款购买iPhone11，卖家迟迟不发货，没有按照规定的时间发货，已经违反了消费者的权益，以各种理由推脱，退款不按照规定时间退款，我于9月30号退款，到目前10月6日了已经七天了，而且我不是信用卡分期支付，不知道为何不退款给我，求求你帮我追回我的钱，我遇到黑心商家了。</t>
  </si>
  <si>
    <t>2019/10/06 21:41:54</t>
  </si>
  <si>
    <t>中国联通号码：176******76，185******06不知是哪个平台的催收号码，本人最近遭遇困难无法周转确实有逾期，176******76该号码威胁本人恶意骚扰，一直问其属于哪个平台逃避不回复，言语威胁。</t>
  </si>
  <si>
    <t>2019/10/06 21:41:16</t>
  </si>
  <si>
    <t>2019/10/06 21:40:55</t>
  </si>
  <si>
    <t>投诉人 杨先生        投诉对象  天天贷        涉诉金额  3 000 元    问题类型    诉求类型投诉详情  威胁，恐吓。辱骂。天天贷爆力催收，电话轰炸。爆通讯录。</t>
  </si>
  <si>
    <t>2019/10/06 21:38:31</t>
  </si>
  <si>
    <t>2019年10月6日上午10:00，接到自称是格力工作人员打过来的电话，详细的说出了我之前购买并在哪里安装了格力空调，说今天晚上格力有一个答谢老客户的感谢会，参会即有精美礼品送，然后发了一个短信给我，说是凭短信参加，收到让我回复他，之后请出称为格力空调安徽传媒总监的刘总不断给我们讲解水污染的危害、还说全国50%的儿童死于水污染，然后还给我们做了一些实验，最后推出一款格力WTE-PC8-4021的净水器，原价5888元，现在只需3480元，还说名额有限，忽悠我们抢购，并且说这台净水器多么好多么好，还诱导性的说</t>
  </si>
  <si>
    <t>2019/10/06 21:37:15</t>
  </si>
  <si>
    <t>由于生乙周转资金紧张，于2018年6月4日在玖富万卡接款25000元，每月还款1444.45，还了15期，想一次还清，结果还要还3万多，当时只能分36期，纯属高利贷。</t>
  </si>
  <si>
    <t>2019/10/06 21:36:01</t>
  </si>
  <si>
    <t>我在你我贷借了一笔三千元的款，前面二期要还七百多，第一期我已经还了，第二期逾期了6天，然后你我贷的催收人员暴力催收，我与他协商二天后还款，他不愿意，非要我一个小时之内处理，后面还打电话威胁我说不还钱就去我家里，要打电话给我所有联系人，还带侮辱性词汇骂我的家人，还说我诈骗，说他们是司法部门的人员，反正就是各种威胁，一分钟一个电话，强烈骚扰我，态度特别败坏，还侮辱本人，还用私人电话打过来恐吓我，叫我走着瞧，有很多办法弄我。</t>
  </si>
  <si>
    <t>2019/10/06 21:35:57</t>
  </si>
  <si>
    <t>为赌博网站提供支付渠道，这样不符合法的行为，没想到是支付宝所谓，这样坑害大众真的是相当恶劣。</t>
  </si>
  <si>
    <t>2019/10/06 21:35:01</t>
  </si>
  <si>
    <t>滴滴出行自动派单给我的单子，跑了之后，滴滴平台无故判我作弊单子，并私自扣我的钱，请把我的血汗钱还给我。</t>
  </si>
  <si>
    <t>2019/10/06 21:34:37</t>
  </si>
  <si>
    <t>本人于2019年10月6日晚19:05分左右下载小眯花借款平台，认证信息后获得2000额度，点击提交后没有输入任何密码就直接进入了借款审核状态，审核期间我本人仔细查看了借款规则，如果进入打款状态便不可取消订单，而此时我的订单处于审核状态，尚未进入打款，于是找到客服联系方式，该客服仅有一个手机号，本人于20:39分向该手机号发送短信，礼貌说明自己不需要这笔钱了，且用于申请的那个号码因工作原因近期需要换掉，可能存在无法还款的风险，因此申请取消订单，而客服一直没有回复，而本人于20:56分，没有收到任何借款确认的</t>
  </si>
  <si>
    <t>2019/10/06 21:34:16</t>
  </si>
  <si>
    <t>软件约会吧通过免费领取三天体验会员，诱导消费者签订自动扣款，随后通过软件弹射窗口，一触碰就会扣款，在10月5号被扣款99元和69元，共计168元。</t>
  </si>
  <si>
    <t>2019/10/06 21:34:11</t>
  </si>
  <si>
    <t>9月25日借款1400元，到账1400元，6天要求还款2000元，没钱还款逾期3天300.6天600.到目前截止9天已经付900利息。</t>
  </si>
  <si>
    <t>2019/10/06 21:32:17</t>
  </si>
  <si>
    <t>我在无锡凡普金科被套路了，今年三月急需用钱在凡普金科贷款75000，扣了手续费19000，还被压了三个月12000.我到手44000.本来就是因为缺钱才贷的，现在每个月还4022还分了，36期！！！！比也实际到手的钱多还10万！这是骗贷高利贷是什么。</t>
  </si>
  <si>
    <t>2019/10/06 21:31:38</t>
  </si>
  <si>
    <t>在他家买了一条短裤，短裤裤腿一边长一边短，因为确认收货了所以我问了店家可不可退换，他家客服说可以换，邮过去好几天了，他家也没信，最后我问他怎么还没发货，他说让我自己拿邮费，本身他家裤子就有毛病还让我出邮费，我邮过去都花邮费了，现在我想退款，补偿邮费，还要道歉态度极其恶劣，。</t>
  </si>
  <si>
    <t>2019/10/06 21:29:42</t>
  </si>
  <si>
    <t>无意中不知道下载了哪款借款app注册了信息，早上睡醒的时候发现扣款296，希望能够处理。</t>
  </si>
  <si>
    <t>2019/10/06 21:29:29</t>
  </si>
  <si>
    <t>我弟弟在钱站借款1000元分3期还款每期还款600因逾期第一天钱站催收就开始威胁恐吓不还款就爆通讯录，请问如此恶劣人员不没有法律意识！钱站公司没有法律意识，在这里要求钱站必须道歉，做出处罚！。</t>
  </si>
  <si>
    <t>2019/10/06 21:29:20</t>
  </si>
  <si>
    <t>拇指借款是贷款app，什么都没做，就以评估报告形式一个月内强行扣款299元，邮到他们指定地点、那你们扣我款咋能从银行卡扣，那退款为啥还要身份证复印件，诱导欺诈，不知情的情况下就开了无密码支付密码我早上醒了银行卡无意扣出299，只求给我退款。</t>
  </si>
  <si>
    <t>2019/10/06 21:29:16</t>
  </si>
  <si>
    <t>2019/10/06 21:29:08</t>
  </si>
  <si>
    <t>我朋友2019年9月2通过短信链接在肥猫贷上申请贷款，到账1400元，5天后却要还2000元，砍头息5天600元，由汇潮支付放款，本人因为生病无力还款，每两天后续期三百，直到今天已续期10几次次了，每次300元，已经还进去快4000多了，支付宝提供的还款续期通道，现在要求和肥猫贷协商销账，请汇潮支付支付宝帮我速度处理，本人已经无力偿还。</t>
  </si>
  <si>
    <t>2019/10/06 21:27:29</t>
  </si>
  <si>
    <t>事件：在2019年8月11日为在51人品贷申请了一笔22400元的借款，共分期12期用于周转，在按时还款2个月后我发现这笔借款的利息及各项费用比以往高出很多，我计算了下借款22400元分期一年总还款额居然高达29854.76元，利息加各种莫名其妙的费用居然有7454.76元，明显高于国家规定的贷款利率！1.51人品贷并且并且在第一期还款违规收取1568元砍头息行为，诉求：1.申请提前结清2.剩余还款额减免1568元违规“砍头息”3.剩余还款额减免4037.18元“居间服务费+保障计划费”。</t>
  </si>
  <si>
    <t>2019/10/06 21:26:58</t>
  </si>
  <si>
    <t>借款需要支付100块的费用买腾讯视频会员，QQ会员，QQ音乐会员。</t>
  </si>
  <si>
    <t>2019/10/06 21:26:50</t>
  </si>
  <si>
    <t>投诉人朱先生投诉对象幸福西饼涉诉金额160元问题类型诉求类型投诉详情幸福西饼广州公司，多次催促未能按时送达，过了时效后打客服电话申请退款，却被驳回申请，投诉不处理退款。</t>
  </si>
  <si>
    <t>2019/10/06 21:26:29</t>
  </si>
  <si>
    <t>本人注册了小浦优客看到要收费就卸载了，隔天早上在未经本人任何许可的情况下扣掉卡里296块钱，这种行为简直就是贼，犯罪，要求平台全额退款，这种平台应该严厉打击下架。</t>
  </si>
  <si>
    <t>2019/10/06 21:25:31</t>
  </si>
  <si>
    <t>本人2019年因为套路贷和P2P被骗，借了朋友不少钱，想在过年前还清，今天短信收到360借条信息，于是就试了一下，申请额度是20000，平台未先出示合同内容先让我签字，我签字后马上就审核通过，然后显示有20000额度在钱包，在提现时需要密码，联系客服，她说要先交5%工本费，说是合同里注明的，这时我才仔细看了合同，发现是有这一条，里面还有强行撤销合同须支付40%违约金，还影响征信，然后在网上搜索相关内容发现被骗的人很多，故要求360撤销其所谓的未放款先交钱的合同。</t>
  </si>
  <si>
    <t>2019/10/06 21:24:57</t>
  </si>
  <si>
    <t>在2019年10月1日通过分期通app借款，分期通评估额度后要249元开通会员，我一点击就直接从银行卡扣钱没有任何的确认步骤这是强制购买，可是开通后并未支付客户借款额度，而是推荐了其他平台，申请了退款，要五张被拒图片才能申请，提交了申请后到现在也没有退款，强烈要求分期通商家退款！。</t>
  </si>
  <si>
    <t>2019/10/06 21:23:46</t>
  </si>
  <si>
    <t>投诉人 张先生        投诉对象  滴滴快车        涉诉金额  0 元    问题类型    诉求类型投诉详情  人证 已经过了承诺的8天 迟迟终审不给过 9月23号 开始计算8天 现在快饿死了 打电话只是敷衍 一次又一次 忍无可忍了 求帮助</t>
  </si>
  <si>
    <t>2019/10/06 21:22:24</t>
  </si>
  <si>
    <t>不合理设置返现申请时限，并且不通过任何渠道通知、提醒，导致返现过期就无法提取，严重伤害了我的权益。</t>
  </si>
  <si>
    <t>2019/10/06 21:20:08</t>
  </si>
  <si>
    <t>在国家扫黑除恶高压态势下，金鸡下蛋仍然无视国家法律法规进行高利贷套路贷放款，汇潮支付为了牟取不当利益违规为其提供支付通道支付宝平台为其提供还款通道，我表哥在这个平台分别借款1400元，5天后就要还款2000元，这完全是国家明令禁止打击的网络高利贷，现要求协商处理还款，否则会将相关材料递交沈阳扫黑除恶专项斗争巡视组，将支付宝和汇潮支付的相关材料一并递交。</t>
  </si>
  <si>
    <t>2019/10/06 21:17:52</t>
  </si>
  <si>
    <t>投诉人吴明投诉对象滴滴出行涉诉金额48元问题类型诉求类型投诉详情滴滴司机因乘客半路要求下车司机与乘客协商同意，然后就结速车程，今天滴滴平台认定司机违规诱导乘客线下交易，扣除司机48元。</t>
  </si>
  <si>
    <t>2019/10/06 21:17:42</t>
  </si>
  <si>
    <t>借4500三个月要还5400多，涉嫌套路贷砍头息高利贷。</t>
  </si>
  <si>
    <t>2019/10/06 21:17:07</t>
  </si>
  <si>
    <t>本人在2019年10月5日使用联动云租车，用时半小时左右将车开回指定网点，并把车停在指定的停车位上面进行还车，但APP一直提示不在网点停车位不让还车，客服电话一直打不通，APP一直计费，经过24小时，从不到五十元涨到605.2元终于从app上还车，APP已自动扣掉我605.2元，通过联动云APP提交投诉一直未有工作人员联系我处理，这种情况没有人工服务请问多扣我的五百多元钱怎么处理。</t>
  </si>
  <si>
    <t>2019/10/06 21:15:42</t>
  </si>
  <si>
    <t>多次电话，短信骚扰恐吓亲朋好友，拒绝协商处理欠款问题。</t>
  </si>
  <si>
    <t>2019/10/06 21:14:39</t>
  </si>
  <si>
    <t>新浪微博于2019年9月16日在我没有犯下任何错误情况下封禁我的账号，在我要求退还剩下的会员费用，微博客服拒绝了我并一直敷衍，我的账号是微博年费会员vip6，享有会员权益，年费会员权益和vip6权益，新浪微博客服这种行为是严重的侵犯我的消费者权益，并视消费者基本权益和利益为不顾，我认为封禁我的基本理由应该告知于我，且我购买了12个月就应该享有相应权益，新浪微博的行为令我无法理解和原谅！。</t>
  </si>
  <si>
    <t>2019/10/06 21:14:11</t>
  </si>
  <si>
    <t>投诉人 郑先生        投诉对象  顺丰微贷        涉诉金额  0 元    问题类型    诉求类型投诉详情  这一看就是高利贷 实际到账一千多 五天就要还三千多块钱</t>
  </si>
  <si>
    <t>2019/10/06 21:13:37</t>
  </si>
  <si>
    <t>2019年5月4日在随手记app里贷款了随心微粒，在2019年10月4日这次账单出现了逾期，逾期了2天，随手微粒的催收人员就发短信恐吓和爆通讯录，合作了一年的贷款公司居然出现这种情况，望官方给我一个合理的解释和赔礼道歉！。</t>
  </si>
  <si>
    <t>2019/10/06 21:12:56</t>
  </si>
  <si>
    <t>投诉人孙女士投诉对象拼多多涉诉金额12元问题类型诉求类型投诉详情在拼多多上购物，显示退货包运费，但退货后却把补贴取消，全部显示退货包运费取消补贴，欺骗消费者，买之前告之退货包运费，真产生退货就不给赔付。</t>
  </si>
  <si>
    <t>2019/10/06 21:12:47</t>
  </si>
  <si>
    <t>捷信金融骚扰家人！违法获取家人通讯录！骚扰家人！朋友！如果这样骚扰家人！有本事打我的电话153******18！152******21的号码不用了！我给你们公司打电话没次都是通话中！。</t>
  </si>
  <si>
    <t>2019/10/06 21:10:29</t>
  </si>
  <si>
    <t>逾期就逾期了呗，罚金不是还是给了，又没有说不还，一直打电话催，还说联系父母和朋友。</t>
  </si>
  <si>
    <t>2019/10/06 21:10:13</t>
  </si>
  <si>
    <t>实际到账2500元到期后多还625元说是额外销售，由于今日工资没有发协商发工资后还款，贷上钱工作人员不同意，威胁打电话给身边朋友同事家人还骂人。</t>
  </si>
  <si>
    <t>2019/10/06 21:09:38</t>
  </si>
  <si>
    <t>本人在御剑飞行平台借款3500元，到账2100元，5天到期归还3500元，超过国家法定利率，还款日无数骚扰电话打过来，并且威胁爆通讯录，而且让卖人体器官去偿还，现要求本金加合理利息偿还，如合理要求得不到解决，下一步将走公安，经侦，现在国家扫黑除恶，这种带有黑社会性质的平台。</t>
  </si>
  <si>
    <t>2019/10/06 21:09:32</t>
  </si>
  <si>
    <t>聚富分期在未经过用户同意的情况下违规扣除299元，找客服没有回复。</t>
  </si>
  <si>
    <t>2019/10/06 21:09:22</t>
  </si>
  <si>
    <t>本人由于经济周转不开在蟹老弟平台借款1900元，15天还款，半个月后归还2900元，然后客服天天打电话催收，还威胁我还款不还款就爆通信录，让我家不得安宁，目前已经给我父母亲朋好友，村里邻居还有村委会打过骚扰电话了，我也不是不想还款，真的是面对高额利息毫无办法了，我只是想让他停止骚扰，希望把不合理的利息更改了，按国家要求的利息还款，并且给我被骚扰的家人朋友道歉。</t>
  </si>
  <si>
    <t>2019/10/06 21:08:40</t>
  </si>
  <si>
    <t>投诉人 魏先生        投诉对象  京东支付        涉诉金额  948 元    问题类型    诉求类型投诉详情  京东支付 未经本人同意 恶意扣费！客服态度敷衍 不解决问题！ 对本人资金周转不开，造成损失！</t>
  </si>
  <si>
    <t>2019/10/06 21:07:21</t>
  </si>
  <si>
    <t>在拼多多购买商品，卖家承诺7天无理由退货，包运费险，退货之后平台运费险取消了，卖家叫联系平台，平台叫联系卖家。</t>
  </si>
  <si>
    <t>2019/10/06 21:06:38</t>
  </si>
  <si>
    <t>投诉人王先生投诉对象智行涉诉金额279元问题类型诉求类型投诉详情平台承诺抢票成功会电话联系，但是没有收到电话告知，平台利用消费者信赖心理，以高概率抢票为由诱导开通免密支付，临时开车前抢票自动付款，导致无法乘车，客服玩文字游戏推卸责任，不退款不承担责任，坑害消费者权益。</t>
  </si>
  <si>
    <t>2019/10/06 21:06:26</t>
  </si>
  <si>
    <t>恶意恐吓，侮辱，群发信息，伤及个人精神问题，私密问题，。</t>
  </si>
  <si>
    <t>2019/10/06 21:06:23</t>
  </si>
  <si>
    <t>我在九月十八日申请的，当时就扣了我299，我申诉退款，被告知要在十五日后匹配不到合适的持牌机构后，才能退款，今天打客服电话退款又被告知要把个人信息邮寄到他们公司才退款，这种就属于恶意收取私人信息了。</t>
  </si>
  <si>
    <t>2019/10/06 21:04:08</t>
  </si>
  <si>
    <t>信用管家借款20000，实际到账19476.10元，秒扣保险费476.10元，合同金额33000，与实际借款金额不符，并且分12期，每期需还3458.31元，总共需还41461.22元，利息高达16461.22元，年化率高达66%。</t>
  </si>
  <si>
    <t>2019/10/06 21:03:56</t>
  </si>
  <si>
    <t>在智行上发起了订票服务，并且加速了，但是在发车前一个半小时才抢票成功并未经允许免密支付了订单，一个半小时的时间我根本无法去乘坐火车，导致行程无法完成。</t>
  </si>
  <si>
    <t>2019/10/06 21:02:15</t>
  </si>
  <si>
    <t>借款必须购买小秘书金豆等服务，存在变相高息，涉嫌高利贷。</t>
  </si>
  <si>
    <t>2019/10/06 21:02:02</t>
  </si>
  <si>
    <t>本人使用滴滴打车司机在到达目的地后看见有宠物就拒绝乘客上车，而且还没有取消订单导致我取消订单被罚款。</t>
  </si>
  <si>
    <t>2019/10/06 21:01:58</t>
  </si>
  <si>
    <t>，我资金周转不开想约定时间还款但是用钱宝催收一直威胁我一个小时内还款不然叫爆我通讯录。</t>
  </si>
  <si>
    <t>2019/10/06 21:01:46</t>
  </si>
  <si>
    <t>2019/10/06 21:01:02</t>
  </si>
  <si>
    <t>人于9月21至25日，在不知情的情况下申请了多家网贷，他们与支付宝等支付通道合作，收取高额不合理利息，强行骚扰威胁手机通讯录，为所欲为，恶行罄竹难书，逼得人走投无路，现求助平台能合理协商销帐，，而且那些平台后续都已经不知所踪，没有办法，只能投诉支付宝了，希望这个问题能解决。</t>
  </si>
  <si>
    <t>2019/10/06 21:00:14</t>
  </si>
  <si>
    <t>消息轰炸我通讯录朋友，甚至跟我通讯录里的人吵架！9月30日晚还给我打电话说十月一号还要给我通讯录打电话，让我亲朋好友连节都过不好！。</t>
  </si>
  <si>
    <t>2019/10/06 20:59:58</t>
  </si>
  <si>
    <t>本人于2017年6月-8月分别向客户购通过微信交流买商品，目前为止没有收到任何货物或者服务，经多方了解该17笔交易均为支付宝交易且支付宝与人民银行已经予以纰漏该17笔交易均属于上海浦发银行广东分行进行清算，客户2017082421001004430273070521，艾康天明汤粉2017061721001004430258157091，秀美顺达2017061721001004430258134398，宏发大众单车商行2017060621001004430238892994，3962宾远实业201706272</t>
  </si>
  <si>
    <t>2019/10/06 20:58:50</t>
  </si>
  <si>
    <t>支付宝等都可以支付，现在吃知道这是违法的！投诉了，云闪付，支付宝任然还在为其提供支付通道，网站任然在运行。</t>
  </si>
  <si>
    <t>2019/10/06 20:57:54</t>
  </si>
  <si>
    <t>2019年4月8日在快闪卡贷借款15000，实际扣除了2520保险费后只到账12480元，且每月利息高达928元，到账12480元，半年要还18048元，半年利息高达5568元，年利息高达112%！远超国家规定，属于高利贷性质！。</t>
  </si>
  <si>
    <t>2019/10/06 20:57:35</t>
  </si>
  <si>
    <t>投诉人费先生投诉对象珠海市吉纹科技有限公司,哈尔滨鸿灿电子商务有限公司,肇庆市端州区创益科技有限公司,杉德支付涉诉金额15420元问题类型诉求类型投诉详情本人今年28岁，平常也去彩票店买点彩票，今年过年的时候接到一电话，称有一个完全合法合规的彩票购彩平台，并称有国内龙头第三方支付担保，完全合规，心想有正规平台支付肯定是正规平台，之后便尝试着支付四笔交易，全是“杉德”支付，后来才知道是境外非法赌博网站及时停手，后来通过中国人民银行和支付清算协会沟通得知，第三方支付业务应审核客户的相关信息，第三方支付公司不得向</t>
  </si>
  <si>
    <t>2019/10/06 20:55:50</t>
  </si>
  <si>
    <t>易宝支付在未经过本人同意且在本人不知晓的情况下盗刷我的钱财，而中国银行却对这行为表示认可，并未对本人进行通知，也没有其他通知，只有自己无意中注意余额不对才知道钱被盗取。</t>
  </si>
  <si>
    <t>2019/10/06 20:54:50</t>
  </si>
  <si>
    <t>贷上钱借款必须购买金币或者小秘书或者钻石等服务，并且在逾期一天就爆通讯录，给我爸我姐打电话，进行恐吓，暴力催收！严重影响个人信誉，让人不胜其烦！。</t>
  </si>
  <si>
    <t>2019/10/06 20:53:43</t>
  </si>
  <si>
    <t>给老人打电话，爆通讯录，没完没了，停止骚扰通讯录，逾期费去掉。</t>
  </si>
  <si>
    <t>2019/10/06 20:53:38</t>
  </si>
  <si>
    <t>我从月光侠借了2600合同是和爱钱进订的要还3900，现在放高利的都那么牛吗。</t>
  </si>
  <si>
    <t>2019/10/06 20:52:53</t>
  </si>
  <si>
    <t>投诉人林女士投诉对象玖富涉诉金额17900元问题类型诉求类型投诉详情在玖富万卡上借了接近一万八，要还两万九千多，这个不算高利贷吗，点提前结清，扣了一部分不能少的钱，利息本应变少的那一部分扣款不了，请相关部门好好查下，听听我们这些人的心声，一直逍遥这么多年，真的无法理解。</t>
  </si>
  <si>
    <t>2019/10/06 20:52:24</t>
  </si>
  <si>
    <t>无力偿还，现要求最后1期协商处理销帐，我相信聚投诉会给我一个公平的结果。</t>
  </si>
  <si>
    <t>2019/10/06 20:51:53</t>
  </si>
  <si>
    <t>给我的工作生活造成骚扰，严重影响个人名誉，恐吓威胁。</t>
  </si>
  <si>
    <t>2019/10/06 20:50:26</t>
  </si>
  <si>
    <t>一直使用支付宝商家收款，7月下旬左右账号被限制收款，我可以保证我绝对不存在什么刷单刷流水欺诈之类的乱七八糟违规的事情，刚开始以为是被误封七天之类的就没管，后面一直到现在都还是被限制收款的状态，联系过客服两次，如果你支付宝被限制收款，绑定支付宝的那个手机号打电话给客服一直是语音提示：涉嫌非法操作，根据协议暂停部分功能，暂时无法解除，，必须得换个新号码打95188才能找人工客服，然后换号码联系完客服，这个手机号会被关联，又不能联系客服了，已经废了三个手机号了，实在是找不到新的手机号联系支付宝客服了，老实说这个被</t>
  </si>
  <si>
    <t>2019/10/06 20:50:08</t>
  </si>
  <si>
    <t>我本来是要冲6块钱的，但是我没充成，我切出去微信了，在切进来跳出了个摁指纹的，我以为是刚刚的6块钱我就摁了，没想到是328的，我一分钱都没有动点卷还在，联系不到客服。</t>
  </si>
  <si>
    <t>2019/10/06 20:48:48</t>
  </si>
  <si>
    <t>莫名其妙的就被扣了，还说是评估费，人行征信都不要费用。</t>
  </si>
  <si>
    <t>2019/10/06 20:48:38</t>
  </si>
  <si>
    <t>易宝支付为安庆市银谷小额贷款有限公司提供放款通道，导致本人损失1万元，该公司是714高炮，本人诉求退回砍头息，不然本人向安徽银监会或者地方金融局反应投诉。</t>
  </si>
  <si>
    <t>2019/10/06 20:47:16</t>
  </si>
  <si>
    <t>当时是9800然后说马上涨价然后我就加入了。</t>
  </si>
  <si>
    <t>朋友在维信金科平台上分期还款，平台乱扣费用。</t>
  </si>
  <si>
    <t>2019/10/06 20:46:00</t>
  </si>
  <si>
    <t>朋友在信用管家平台10000上分期还款，平台乱扣费用。</t>
  </si>
  <si>
    <t>2019/10/06 20:45:53</t>
  </si>
  <si>
    <t>中午接到一个奇葩预约单，凌晨2.30去10多公里处接人送2公里，咸宁接单过5公里7块多钱巨亏的单我不敢拒，怕被公司认为服务不到位扣服务分，滴滴的规则纯属坑害司机。</t>
  </si>
  <si>
    <t>2019/10/06 20:45:51</t>
  </si>
  <si>
    <t>无缘无故被淘手游冻结账号，还有297没提现。</t>
  </si>
  <si>
    <t>2019/10/06 20:45:11</t>
  </si>
  <si>
    <t>卖家虚假宣传，食言，恶意欺骗，拉黑挑衅卖家。</t>
  </si>
  <si>
    <t>2019/10/06 20:44:51</t>
  </si>
  <si>
    <t>恶意催收，砍头息，阴阳合同，群发诋毁名誉的信息。</t>
  </si>
  <si>
    <t>2019/10/06 20:44:36</t>
  </si>
  <si>
    <t>平安普惠的催收和客服人员侮辱我家人，平安普惠i贷的催收和客服人员恐吓并要求我母亲用社保养老金替我偿还平安普惠的贷款，这是一个合法公司的所作所为嘛，我没钱还，可以去法院起诉我，还有我在平安普惠申请网贷并没有留过我母亲的联系方式，这就是明显的盗窃个人信息嘛，还是恶意的盗窃，侮辱，恐吓，还有如下图片的自称平安普惠的客服人员，态度极其恶劣，本人觉得客服和催收都是其一人在扮演的，希望相关部门能整治，整治。</t>
  </si>
  <si>
    <t>2019/10/06 20:44:18</t>
  </si>
  <si>
    <t>投诉人宁女士投诉对象捷信金融涉诉金额50000元问题类型诉求类型投诉详情16年的时候用捷信办理过手机分期，后来就一直给我打电话说信用良好可以贷款，我没同意，后来由于出了点事急需用钱就在捷信贷了22000，在我还了一半的时候18年三月31号被前男友以我的身份又贷了五万，完结前一个合同后只到账三万一，这不是赤裸裸的套路贷吗，于19年9月20号出现逾期，捷信就给我家人打电话，还给我打电话威胁恐吓催收，，并且不断的电话骚扰，。</t>
  </si>
  <si>
    <t>2019/10/06 20:43:11</t>
  </si>
  <si>
    <t>要求10月7号全额还款，不然10月8号上门并且报案，打电话给我问我要直系亲属联系方式，说我资料不全，反问，既然资料不全，那当初你们银行下发信用卡没审核就直接下发了是吧，这都是后话，当前是这个人联系打电话给家人给朋友，扬言说尽量让我去坐个牢，并且客服帮忙查询这个工号和手机号是你们的立案组，是不是属实是个问题，广发处理问题不当！。</t>
  </si>
  <si>
    <t>2019/10/06 20:42:41</t>
  </si>
  <si>
    <t>支付宝，聚合支付为高利贷提供支付通道，菜鸟有钱，呗呗分期等高利息平台，，这些本不应该出现在市场的平台，坑害老百姓，必须打压，在此投诉希望解决。</t>
  </si>
  <si>
    <t>2019/10/06 20:42:23</t>
  </si>
  <si>
    <t>2019/10/06 20:39:43</t>
  </si>
  <si>
    <t>借款合同5800元，实际到账4988元，放款前并未说明有砍头息，直接砍了接近一千元，到账4988元一年还款6732元，年利率百分之三十多，远超国家规定利息，且其工作人员不给协商还款，直接爆通讯录，给我公司打骚扰电话，严重影响了我的工作和生活。</t>
  </si>
  <si>
    <t>2019/10/06 20:39:15</t>
  </si>
  <si>
    <t>通过淘宝闲鱼，看上了一件衣服，正准备买的时候，卖家说“转转”平台上有运费险，以此借口来添加我微信，然后给我了一个链接，让我去买，短信原文是转转用户提醒 你的订单3000已成功为你退款 请你实名认证账户在进行下单系统会在24小时内为你退还账户 订单编号0734646439494，我就在他给的转转平台链接上面付款购买这个件衣服，但是我付款成功后，在转转平台上，并没有这个订单信息，随后我就收到了一个退款的诈骗短信，上面说给我退款了3000，投诉京东是因为，我付款的商户号是通过京东交易的。</t>
  </si>
  <si>
    <t>2019/10/06 20:38:11</t>
  </si>
  <si>
    <t>本人网上兼职被骗，说是正规网站，可以支付宝，认为是正规官网，到今天才知道是非法的，只要求退还我本金！！！每天他们那么多资金流入难道不该监管。</t>
  </si>
  <si>
    <t>2019/10/06 20:38:07</t>
  </si>
  <si>
    <t>投诉人 刘先生        投诉对象  捷信金融        涉诉金额  11 400 元    问题类型    诉求类型投诉详情  暴力催收，打电话给亲戚朋友骚扰，利息高，</t>
  </si>
  <si>
    <t>2019/10/06 20:37:49</t>
  </si>
  <si>
    <t>我一个认识的人在捷信贷了款，现在还不上了，好像留了我的号码是联系人，然后捷信上次打电话给我我接了说明了情况，现在还是一而再再而三的给我打电话，我觉得严重影响了我的生活。</t>
  </si>
  <si>
    <t>2019/10/06 20:35:54</t>
  </si>
  <si>
    <t>售卖商品破损严重，态度还很恶劣，说我给了差评，不去处理问题。</t>
  </si>
  <si>
    <t>2019/10/06 20:35:32</t>
  </si>
  <si>
    <t>苏宁公司明确提供验货服务，可苏宁快递员以快递公司不负责验货和自己什么都不懂为由拒绝开封验货并和我说有任何问题都可以找苏宁专有客服解决，我信以为真，所以师傅仅仅确认快递外包装完整后自行确认本人签收完成，结果开封后我发现内屏碎裂，联系客服后先是打电话道歉，要求私了，后来苏宁客服将所有责任都推到快递和买家身上并且联系不上，认为我们验了外包装后就算验货，拒绝退换货，拒绝赔偿，开始我觉得很无辜，了解了相关法律，仔细思考，我觉得这件事搞成这样三方都有责任，既然不能退货那就商量怎么维修我的屏幕，过错最大的是快递公司拒绝验</t>
  </si>
  <si>
    <t>2019/10/06 20:35:29</t>
  </si>
  <si>
    <t>逾期2天，电话不断，威胁恐吓短信不断，晚上8点20还在给我发信息恐吓，有通话录音，短信截图，小花钱包你在不制止我就立刻报警，钱有了会还，还有必须给我道歉，并且给我精神损失费，不然我直接银监会投诉，并且起诉。</t>
  </si>
  <si>
    <t>2019/10/06 20:35:05</t>
  </si>
  <si>
    <t>8月15日，在沈阳市大东区汇鑫通别克4s店购置一台车，当时参加店内活动，提车时多交两万元，一年后返四万元现金，现在一年期到了，却不给返钱，帮我主持公道愿国家发展的越来越壮大，也祝各级领导身体健康 此致，敬礼，希望各级领导能帮帮我，帮我主持公道，愿国家发展的越来越壮大，也祝各级领导身体健康。</t>
  </si>
  <si>
    <t>2019/10/06 20:34:53</t>
  </si>
  <si>
    <t>5月开始，6.7.8.9.10月都扣了，每个月两笔，没笔20，一个什么小浦无忧，一个什么免费什么，都看不到是什么东西，而且这个两个扣费，额度变化了根本不提醒。</t>
  </si>
  <si>
    <t>2019/10/06 20:34:24</t>
  </si>
  <si>
    <t>投诉人蔡先生投诉对象中航商旅涉诉金额1698元问题类型诉求类型投诉详情在黄山屯溪机场被身穿机场制服人员推荐办理中航国际商旅vip卡，并交纳1698元卡费，后想要退卡，但是联系不到相关客服，希望尽快做出处理。</t>
  </si>
  <si>
    <t>2019/10/06 20:32:58</t>
  </si>
  <si>
    <t>未经本人同意私自扣费，银行卡支付密码未提供直接扣费，尤其不合理。</t>
  </si>
  <si>
    <t>2019/10/06 20:32:50</t>
  </si>
  <si>
    <t>在闪电宝上面的汇有钱借款8000，还了第一期后，找不到还款入口，现在也不知道第二期要还多少，麻烦客服联系我。</t>
  </si>
  <si>
    <t>2019/10/06 20:31:12</t>
  </si>
  <si>
    <t>上海瀚银昧着良心为黑商户提供支付通道，赚取手续费，使我个人资金遭受重大损失，上海瀚银接到我个人投诉，把黑商户保证金扣下，但不赔偿给我个人，此事情瀚银客服只负责记录，而后就不闻不问，不处理。</t>
  </si>
  <si>
    <t>2019/10/06 20:30:28</t>
  </si>
  <si>
    <t>小浦优客app申请借款，按步骤填写资料，然后最后要求绑定银行卡，绑定完成就开始审批，过了一个小时说是扣除296元个人信用报告费用，可是之前申请步骤并没有说明有这个费用，正规贷款也不应该有前期费用，涉嫌违规欺诈。</t>
  </si>
  <si>
    <t>2019/10/06 20:29:46</t>
  </si>
  <si>
    <t>在玖富万卡借了三笔贷款，每一笔都还了13期了，每一笔都有记录，还了这么多还要还一万多，总共就贷款1万多，还要还1万多，利息太高了，本人怀孕工作停止，希望延期还款，无力偿还高利贷，请求协商，之前从未逾期，但现在确实没有能力去偿还这种高利贷，请求协商延期还款。</t>
  </si>
  <si>
    <t>2019/10/06 20:25:37</t>
  </si>
  <si>
    <t>我堂哥之前花呗账务出现问题，导致没有按时还款，客户给我银行卡转了一笔钱，导致被花呗扣掉，无法给客户回款，客户投诉我恶意挪用公款，导致被扣押最近才回家，请支付宝与我联系，我要一个说法，把账单返回扣款账号，希望解决这个问题，这样才更好的服务广发群众，。</t>
  </si>
  <si>
    <t>2019/10/06 20:24:56</t>
  </si>
  <si>
    <t>举报钱站公司高利贷，本人9月9号在钱站上借了2000块，合同金额却是如下，前俩期还1500多元，前两期加起来都3000多了，后面还有一个几百块，利息超级高，比高利贷还要狠，不想听你们搪塞我说是什么服务费，不合法的利息在这摆着呢说不通的，本人现在只要求三期加起来每个月连本付息给你们，哪怕我借了本金2000，利息我付给你们600块我都认！我指的付息是我可以支付合法利息，这种一锤子买卖的平台为什么还能生存这么久，希望明年315上还能看见你们的身影。</t>
  </si>
  <si>
    <t>2019/10/06 20:22:44</t>
  </si>
  <si>
    <t>两千一个月500利息，逾期第一天打给老母亲，我本人电话都没打。</t>
  </si>
  <si>
    <t>2019/10/06 20:22:43</t>
  </si>
  <si>
    <t>除紧急联系人之外也收到了招联金融催收的电话，损毁个人名誉，以及威胁恐吓。</t>
  </si>
  <si>
    <t>2019/10/06 20:22:39</t>
  </si>
  <si>
    <t>本人借款8000元，合同金额10560，阴阳合同！还暴力催收，如果有一天我死了，一定是钱站的人谋杀的。</t>
  </si>
  <si>
    <t>2019/10/06 20:22:30</t>
  </si>
  <si>
    <t>店铺异常经营平台其供便利未审查，要求平台履行职责清退店铺，并且要求商家与消费者联系处理订单事宜。</t>
  </si>
  <si>
    <t>2019/10/06 20:21:51</t>
  </si>
  <si>
    <t>本人使用智行APP多年，近期由于对软件进行更新，导致账号自动推出，原先绑定智行的手机号进行了销户，而智行APP登陆途径只有手机号＋验证码一种方式，现在导致原账号无法登陆，而原账号内绑定的12306用户信息没有办法进行删除，相关信息包括：之前的出行信息、原账号的会员/优惠券/积分，等都无法获取，拨打智行客服电话无法拨入人工客服，导致问题得不到任何解决，已经有很多用户投诉过相关问题，希望智行能重视相关后台建设，现希望①智行能将我原账号的以上相关信息迁移至现手机号账号内，让我在现账号内可同步查阅相关信息！②将原账</t>
  </si>
  <si>
    <t>2019/10/06 20:20:03</t>
  </si>
  <si>
    <t>投诉人孙先生投诉对象聚享游,深圳市天蝎网络科技有限公司涉诉金额22118元问题类型诉求类型投诉详情网络赚钱大家其实都有耳闻聚享游是一个打着游戏试玩赚钱的平台但里面棋牌试玩却都是与钱挂钩全部网站没有一个提示理性消费。</t>
  </si>
  <si>
    <t>2019/10/06 20:19:17</t>
  </si>
  <si>
    <t>当天送完上一个乘客！平台马上指派了新的订单给我！此时我在的位置堵车很严重我就给客户打了电话告知堵车不知道多久能出去如果着急在下一个单！避免耽误他的时间，乘客也说再下一单，他着急平台有录音也可以核实我在此地车辆拥堵半个多小时才离开本平台指派单就很少怎么可能诱导乘客取消订单。</t>
  </si>
  <si>
    <t>2019/10/06 20:18:30</t>
  </si>
  <si>
    <t>投诉人 苏先生        投诉对象  拍拍贷        涉诉金额  3 600 元    问题类型    诉求类型投诉详情  拍拍贷高利贷阴阳合同。秀才遇到兵有理说不清。合同是对的可是多的钱呢？怎么来的</t>
  </si>
  <si>
    <t>2019/10/06 20:18:18</t>
  </si>
  <si>
    <t>及时用车公司在未告知我任何原因的情况下分别于9月30号，10月3号，10月6号共扣我42.71元。</t>
  </si>
  <si>
    <t>2019/10/06 20:17:48</t>
  </si>
  <si>
    <t>2018年6月长沙正致教育公司以招聘形式招本人面试，面试过程实则是一个培训，然后说培训需要交钱，而我没有钱，公司就推出了合作公司百度有钱花，然后正致教育公司就利用我的名义贷了教育分期，全程公司操作的贷款，钱没有经过我的银行卡账户就直接到了培训公司，而且我也没有收到百度有钱花的电话就下款了，等我后悔要退课的时候培训公司不让退，有钱花app也没有退款按钮，有钱花上合同也看不到，而且当时正致教育公司还威胁我说违约合同需要另外支付违约金，我当时就害怕这么大一笔巨债，而且我当时是大三的一名学生，完全没有经济能力归还这</t>
  </si>
  <si>
    <t>2019/10/06 20:16:53</t>
  </si>
  <si>
    <t>因为本人临时有事，去不了提前一个多小时都不给退票，完全是霸王条约，扣点别费用可以理解，完全不能退票，都没看也没开场，为啥不能退！。</t>
  </si>
  <si>
    <t>2019/10/06 20:15:40</t>
  </si>
  <si>
    <t>钱站实际放款4000，合同写的6280，本人已经偿还2期，已还4267.16。</t>
  </si>
  <si>
    <t>2019/10/06 20:15:39</t>
  </si>
  <si>
    <t>投诉人 李先生        投诉对象  银盈通支付        涉诉金额  490 元    问题类型    诉求类型投诉详情  在本人不知情的情况下第三方支付随意扣款。照成资金损失490。</t>
  </si>
  <si>
    <t>2019/10/06 20:15:00</t>
  </si>
  <si>
    <t>2017年9月在证大财富南通分公司贷款五万元分36期每期应还2528.89元，到目前为止本人已偿还证大财富63222.25元，本期证大财富并没有发送短信以及电话联系本人还款就直接爆本人联系人号码进行骚扰，不断拨打电话。</t>
  </si>
  <si>
    <t>2019/10/06 20:14:59</t>
  </si>
  <si>
    <t>中国移动利用客户信息，电话诱导消费购买净水器、电饭锅，申请退货难，希望给予解决，今后对平台加强管理，不要利用客户信任，电话欺诈；说是回馈老用户，免费领取净水器，实际收费并且诱导消费，净水器疑似中国人民保险礼品，并不是移动公司产品，并且付款对象也不是中国移动公司而是手机卖场。</t>
  </si>
  <si>
    <t>2019/10/06 20:14:46</t>
  </si>
  <si>
    <t>钱站借900，在本人不知情的情况下合同上写1836.阴阳合同，。</t>
  </si>
  <si>
    <t>2019/10/06 20:14:31</t>
  </si>
  <si>
    <t>高利贷，砍头息，借款6000却要还款8000多，将近九千块，逾期一天就各种骚扰，威胁，要求减免利息！停止骚扰！。</t>
  </si>
  <si>
    <t>2019/10/06 20:14:15</t>
  </si>
  <si>
    <t>你好我是一名向当地向导包车游的乘客，该名接驾的司机当时在车上边开车边手机，我们最后游完后，我就是给他打了个差评，差评就是边开车别玩手机，结果他们就一直打骚扰电话给我没完没了，我拉黑了，他们又换手机接着打我的电话，严重骚扰我，还有就是如果他们觉得边开车边手手机是对话，你就让他们继续，请有关部门处理下，谢谢。</t>
  </si>
  <si>
    <t>2019/10/06 20:13:56</t>
  </si>
  <si>
    <t>商家经营资质异常平台不清退店铺仍为其提供经营活动。</t>
  </si>
  <si>
    <t>2019/10/06 20:13:30</t>
  </si>
  <si>
    <t>投诉人幸先生投诉对象周周花花涉诉金额1000元问题类型诉求类型投诉详情周周花花收取高利，协商未果，暴力催收，对通讯录进行骚扰辱骂，严重影响正常的生活，要求立即停止骚扰并道歉！。</t>
  </si>
  <si>
    <t>2019/10/06 20:13:25</t>
  </si>
  <si>
    <t>2019/10/06 20:13:10</t>
  </si>
  <si>
    <t>投诉人何先生投诉对象乐享花涉诉金额2100元问题类型诉求类型投诉详情本人根本没有在这个平台下过款，现莫名其妙的被催收，说我7-8月贷款3000，实际到账2100.根据催收人员提供的支付平台。</t>
  </si>
  <si>
    <t>2019/10/06 20:11:59</t>
  </si>
  <si>
    <t>投诉人咸先生投诉对象聚福钱包涉诉金额598元问题类型诉求类型投诉详情乱收费，自动扣款，说返还一直没反，一定给一个说法！。</t>
  </si>
  <si>
    <t>2019/10/06 20:11:53</t>
  </si>
  <si>
    <t>投诉人毛守俊投诉对象支付宝涉诉金额8000元问题类型诉求类型投诉详情照片太多一下传不了，支付宝为高利贷提供支付方式，两天300利息。</t>
  </si>
  <si>
    <t>2019/10/06 20:10:56</t>
  </si>
  <si>
    <t>本人于2018年4月，通过名校白领贷借款60000元，分36期，需还107125.2元，已还54151.9元，利率年化45%，远高于国家规定利率，希望有关部门处理。</t>
  </si>
  <si>
    <t>2019/10/06 20:10:23</t>
  </si>
  <si>
    <t>10月2日因急用钱，在随手记福贷记借了9500，分12期还清11447.43元，每期还款953.95元，因国庆假期延迟到账了，10月6日收到到账9500元信息，紧接着又扣了两笔钱合计1900，扣了一个1425，一个475，打电话问客服，客服说的是默认的会员费跟保障金，其实就是变相的砍头息，相当于我借9500，扣了1900，到手7600，分12期要还11447.43元，比高利贷还高，当时就不想借了点提前还清要还9960.24元，其中包括利息197.92元，违约金262.32元，希望聚投诉帮我追回砍头息，正常还</t>
  </si>
  <si>
    <t>2019/10/06 20:09:11</t>
  </si>
  <si>
    <t>投诉人 张女士        投诉对象  玖富        涉诉金额  13 000 元    问题类型    诉求类型投诉详情  回复总是说没有高于国家利息， 借款的时候13000 还款的时候需要还22000 三年利息这么高吗，</t>
  </si>
  <si>
    <t>2019/10/06 20:08:40</t>
  </si>
  <si>
    <t>在没有任何短信提醒，订单信息，我也没有欠款，莫名其妙把我银行卡的钱全部扣光了，请给出合理解释，并退我钱！！！！客服态度也不好，事实就是乱扣我钱了，还甩锅给微博的问题。</t>
  </si>
  <si>
    <t>2019/10/06 20:08:37</t>
  </si>
  <si>
    <t>投诉人 吴先生        投诉对象  信用管家        涉诉金额  299 元    问题类型    诉求类型投诉详情  私自扣款299。未经允许。并不退还。强制收取</t>
  </si>
  <si>
    <t>2019/10/06 20:07:53</t>
  </si>
  <si>
    <t>下午使用企业滴滴版叫车，由于滴滴平台的系统问题，定位不准，最后司机很长时间才找到，并且最后按个人支付，向客服反应，客服全程表示是我个人原因造成的，推卸责任，后承认是平台问题，要求解决，滴滴不给解决让我自己找单位协商，你平台的问题凭什么让我自己找单位协商去。</t>
  </si>
  <si>
    <t>2019/10/06 20:07:04</t>
  </si>
  <si>
    <t>2019/10/06 20:06:40</t>
  </si>
  <si>
    <t>投诉人俊兴先生投诉对象圆通速递涉诉金额10元问题类型诉求类型投诉详情圆通快递通知快递已到并安排派送，但之后快递员在没有与我任何确认的情况下，私自更改系统说我要求更改时间，事后打电话给快递员，态度恶劣。</t>
  </si>
  <si>
    <t>2019/10/06 20:06:34</t>
  </si>
  <si>
    <t>豹子贷,上海造艺网络科技,造艺网络科技,银码头，豹子贷平台恶意扣款，没标明，说是小银卷，昨天申请贷款没通过，结果今天扣款299，然后小银卷就有299，不知道干嘛的。</t>
  </si>
  <si>
    <t>2019/10/06 20:06:14</t>
  </si>
  <si>
    <t>本人9月的时候误进入一个彩票网站，后来才知道是违法的国家不允许的，当时是通过银联快捷支付的，我输入了通过建行卡支付然后直接就给我付款了，我看了下收款机构显示的是支付宝……现在要求把我钱退还给我，，迟迟未果，只有在这里来投诉，来求个公正。</t>
  </si>
  <si>
    <t>2019/10/06 20:05:51</t>
  </si>
  <si>
    <t>小米钱包2000的账单，实际出借1400，六天为还款期限，续期多次表示已经还够本金和利息，对方却说还要再还2000，不予答应不敢直接找我，就开始打通讯录亲友，甚至出言辱骂，家中老人受到恐吓，这样的暴力催收绝对不能姑息！小米app下载地址：http://m.xmqb.51qudai.com/apps/2WRC/1552536756890上传图片为威胁短信，以及最新付款码。</t>
  </si>
  <si>
    <t>2019/10/06 20:05:43</t>
  </si>
  <si>
    <t>2019-05-17日我像新橙分期借了一次款，3000块钱还6期，，砍了头息400多块钱，没个月要还661.08元，前几期一直都在还，上个月卡里有钱一直没扣，我也没注意，这就逾期了17天今天客服给我父亲打电话问情况，我父亲不知情，就我接的电话，信贷客服态度极其恶劣，本来打算还清，一看现在要还946，08元这个利息已经远远超过国家利息了，而且下款的时候扣了头息，这个难道不属于高利贷么。</t>
  </si>
  <si>
    <t>2019/10/06 20:05:23</t>
  </si>
  <si>
    <t>淘宝卖家承认售价，严重影响食品安全和市场秩序，欺骗我们消费者。</t>
  </si>
  <si>
    <t>2019/10/06 20:04:33</t>
  </si>
  <si>
    <t>闪银客服什么都不给处理，我借款之前必须买各种消费凭证还有要扣除我各种费用，比如借款一千，能下款七八百左右，还款要还一千二百多，而且暴力催收，泄露我个人信息，用我的信息威胁我，催收还私底下逼我给他发红包！！！收了我288块钱的红包才不逼我！投诉闪银客服，他们不管。</t>
  </si>
  <si>
    <t>2019/10/06 20:02:44</t>
  </si>
  <si>
    <t>强制充值游戏币，没有客户端还款，每天逾期利息每天一百多，骚扰通讯录，软件盗取我的个人信息。</t>
  </si>
  <si>
    <t>2019/10/06 20:00:58</t>
  </si>
  <si>
    <t>被人引诱到一个网站充值入金，后来发现是不受法律保护的非法网络赌博黑平台，并非正规的购彩网站，经过银行咨询得知收款方是瀚银科技，敏付科技，易势商务，首信易支付，酷宝支付，现请求瀚银科技，敏付科技，易势商务，首信易支付，酷宝支付能及时挽救我的家庭，联系贵司合作的商户给予退款！！！谢谢！！！！！订单号已经发送过给有关部门，还请聚投诉工作人员及时像瀚银科技，敏付科技，易势商务，首信易支付，酷宝支付反馈！还我血汗钱！。</t>
  </si>
  <si>
    <t>2019/10/06 20:00:09</t>
  </si>
  <si>
    <t>高利贷不予协商，产生高额利息，现在进行骚扰一分钟几百条短信。</t>
  </si>
  <si>
    <t>2019/10/06 20:00:01</t>
  </si>
  <si>
    <t>2019/10/06 19:59:02</t>
  </si>
  <si>
    <t>利息太高，借12000要还款16000多，而且前三个月变相收费，一个月还款两千多。</t>
  </si>
  <si>
    <t>2019/10/06 19:58:41</t>
  </si>
  <si>
    <t>尚德机构通过虚构国家政策改革来诱导我报名他们公司的课程，虚构明年考自考要高中毕业证原件才能报名，虚构报名自考，要通过他们公司注册学籍，才能报名，虚构以后自考要提高难度，虚构自考将由学分制改成学年制等，通过这一系列的手段，忽悠我报名他们公司的课程，我给他们尚德交费后，发现报名前和报名后，说的完全不一样，我竟然花了7280元，买了一个网络视频，授课老师，完全是照样书本念的，教学质量低下，事实和宣传的完全不一样，而且据我后面了解，暨南大学根本没有和尚德机构合作办学，连报考专业，也得自己亲自去报考。</t>
  </si>
  <si>
    <t>2019/10/06 19:58:26</t>
  </si>
  <si>
    <t>本人国庆期间一直在广州，短信提示扣款296在上海pos机消费！明显盗刷。</t>
  </si>
  <si>
    <t>2019/10/06 19:57:37</t>
  </si>
  <si>
    <t>投诉人付先生投诉对象拍拍贷涉诉金额5500元问题类型诉求类型投诉详情用“呼死你”等软件轰炸我和我身边亲戚朋友。</t>
  </si>
  <si>
    <t>2019/10/06 19:57:33</t>
  </si>
  <si>
    <t>投诉人胡先生投诉对象蚂蚁金服涉诉金额4000元问题类型诉求类型投诉详情付宝借呗客服骚扰家人因资金短缺无法还钱支付宝借呗客服人员就直接打电话给家人、还打电话给朋友的父母，让颜面扫地，而且也是因为这个事让别人被骚扰的。</t>
  </si>
  <si>
    <t>2019/10/06 19:57:29</t>
  </si>
  <si>
    <t>投诉人徐波投诉对象滴滴出行涉诉金额21元问题类型诉求类型投诉详情滴滴打车路程数多出，司机多要打车费21元，说是公司规定的。</t>
  </si>
  <si>
    <t>2019/10/06 19:57:23</t>
  </si>
  <si>
    <t>投诉人钱女士投诉对象微信卡卡贷涉诉金额5000元问题类型诉求类型投诉详情微信卡卡贷涉嫌高利贷，五千三个月利息400，在加以保险的名义收取399的利息，合计三个月八百多利息，还打电话恐吓本人，还骚扰联系人，逾期一天就收取我100逾期费。</t>
  </si>
  <si>
    <t>2019/10/06 19:57:20</t>
  </si>
  <si>
    <t>投诉人房雨投诉对象小黑鱼科技,点心贷涉诉金额2380元问题类型诉求类型投诉详情小黑鱼还款日当天就用私人电话联系我老婆和我本人爆通讯录家人都知道了严重涉嫌黑恶而且小黑鱼套路贷严重2300账单实际到账1900多对方手机号176******90。</t>
  </si>
  <si>
    <t>2019/10/06 19:57:05</t>
  </si>
  <si>
    <t>投诉人张女士投诉对象小花钱包涉诉金额126400元问题类型诉求类型投诉详情本人于2018年1月至2019年6月期间，通过小花钱包借款9笔，共计126400元，分9期、15期、24期不等，总计需还款155834.1元，已还114553.74元，利率年化36%-57%不等，远高于国家规定利率，希望有关部门处理。</t>
  </si>
  <si>
    <t>2019/10/06 19:56:49</t>
  </si>
  <si>
    <t>投诉人曾先生投诉对象中信银行信用卡涉诉金额130000元问题类型诉求类型投诉详情因为创业失败欠了中信银行的钱，现暂时无能力还款，信用人催收人员上门催收年迈父母，并多次打电话威胁恐吓家人还钱，根据《商业银行信用卡监督管理办法》，催收仅能对债务人本人及其担保人进行催收，不得对与债务无关的第三人进行催收。</t>
  </si>
  <si>
    <t>2019/10/06 19:54:25</t>
  </si>
  <si>
    <t>我在闪电贷平台借款两次，第一次借款都还款成功了，第二次借款12000，闪电贷合同转让信用钱包，我发现利息太高了，我借款12000，分12期，每个月要还1360，逾期一天就产生60多块钱违约金，而且本平台催收多次发短信威胁恐吓我，那么高的利息我也还不起，总金额16320，等于我要多还4320，我还不起，赶上高利贷了，我只还本金，我已经还了8期10880，如果我在归还，我只归还一千多块钱，正好本金归还平台，请聚投诉平台领导给予帮助。</t>
  </si>
  <si>
    <t>2019/10/06 19:53:32</t>
  </si>
  <si>
    <t>第一，房屋问题是蛋壳的责任，房子潮湿，导致我衣柜发霉，柜子的衣服臭，房间臭，桌子上放的东西发霉，我住了接近三个月导致我肩膀痛！第二换房问题，我隔壁的房子空着10多天，我一直叫客服给我换，结果工作人员不回复，叫我自己看着那个房子，准备换房的同时，房子被签走了，这个是他们工作人员的问题！今天客服回话，只能退我百分之30的押金，凭什么，我没有责任的，他们房子的问题，导致我生活水平下降，身体不舒服，他们工作人员的问题，导致我没有及时换房，我只要求退我全部房租和押金，请你们沟通，大家都不容易，不希望闹的不愉快，请协助</t>
  </si>
  <si>
    <t>2019/10/06 19:50:56</t>
  </si>
  <si>
    <t>本人被骗120多万，也已经报警处理；因为被骗的钱都是借的网贷和亲戚朋友费用，目前没有偿还能力，前期也和平台说了，还让我问别人借钱；让我为什么不给家人说我已经给家人说过了，问题是我被骗的太多了，哪家能拿出这么多，现在努力赚钱还债；今天下午6:27接到安逸花催收电话，，说怎么还不还钱，我被骗了和他们平台没有关系，欠他们钱一定要还的之类，还让我问别人借钱；让我为什么不给家人说，我已经给家人说过了，问题是我被骗的太多了，哪家能拿出这么多，再说我欠的钱又不是不还，安逸花你们又是什么态度，我前面被骗的案子已经报警了，后</t>
  </si>
  <si>
    <t>2019/10/06 19:50:17</t>
  </si>
  <si>
    <t>投诉人王女士投诉对象钱站,华夏银行涉诉金额2000元问题类型诉求类型投诉详情钱站高额利息阴阳合同，暴力催收，爆通讯录，本人借款2000元实际到账2000元，分3期已还984.79元，因资金周转困难逾期1天，违约金高达100一天，本人查看合同发现说我借款2800涉嫌虚拟合同和我借款的金额完全不一致，利息远远超过国家利率，未经本人允许通过非法软件爆取通讯录问我家人及好友要钱，严重对本人个人名誉造成影响！。</t>
  </si>
  <si>
    <t>2019/10/06 19:49:28</t>
  </si>
  <si>
    <t>来分期来电恐吓说是对我工作以及家人造成什么不良影响，让我自己负责，我家里都是老人哪受的了恐吓，我想死的心都有了。</t>
  </si>
  <si>
    <t>2019/10/06 19:49:18</t>
  </si>
  <si>
    <t>不知何种原因，私自扣除银行卡金额，只有最近扣费信息截图，之前也被扣过但是没有留意，不是一回两回的事情了。</t>
  </si>
  <si>
    <t>2019/10/06 19:47:59</t>
  </si>
  <si>
    <t>本人2019年6月3日在如期分期申请30000贷款，砍头息砍了2700。</t>
  </si>
  <si>
    <t>2019/10/06 19:47:38</t>
  </si>
  <si>
    <t>本人于2019年9月30号去到桃源县东湖和缘看房，在签订认购书之前特意向售楼人员咨询，，现在我老公名下有贷款，而且有上征信是否会对买房有影响，售楼人员回复说只要没有逾期过就完全没有影响，叫我放心，直接诱导我签订了认购书，交付了1万定金，过后几天又用误导性语言告诉我说只要是因为银行问题导致无法贷款公司会全额退款，让我放心交齐首付并签订房屋买卖合同，10月6号这天我又带着老公的征信和表弟一起去问了农业银行办理个人贷款的工作人员，他有说因为征信上面显示欠款金额较大，我们的流水又不多，建议我们付清欠款后再买房，因为</t>
  </si>
  <si>
    <t>2019/10/06 19:47:28</t>
  </si>
  <si>
    <t>投诉人付先生投诉对象信用管家涉诉金额4500元问题类型诉求类型投诉详情网贷利率超过百分之三十六，或者是逾期费高于中国人民银行规定的逾期利率。</t>
  </si>
  <si>
    <t>2019/10/06 19:47:25</t>
  </si>
  <si>
    <t>360借条放款条件底，放款时不经本人确认，放款前不知道360借条的高利息。</t>
  </si>
  <si>
    <t>2019/10/06 19:47:07</t>
  </si>
  <si>
    <t>逾期前和客服沟通过，最近实在没办法还钱，失业了。</t>
  </si>
  <si>
    <t>2019/10/06 19:45:36</t>
  </si>
  <si>
    <t>将我的个人信息放到网上，或者到我家里工作单位闹，这已经是对我名誉构成侵害。</t>
  </si>
  <si>
    <t>2019/10/06 19:45:09</t>
  </si>
  <si>
    <t>我是武汉滴滴车主合规司机，从9月份开始派单少的可怜，租金都交不起，有时候3个小时一单没有，让我们怎么活！每天流水少的可怜！。</t>
  </si>
  <si>
    <t>2019/10/06 19:44:30</t>
  </si>
  <si>
    <t>在招联金融平台贷款，逾期了，不是因为本人不还，主要是现在经济除了点问题，他们打电话来我给他们说了原因，并说明两个月之后一次性还清，可是他们就一个换一个打电话来，说不行，到处爆我亲朋好友电话还威胁，希望给个说法。</t>
  </si>
  <si>
    <t>2019/10/06 19:44:04</t>
  </si>
  <si>
    <t>丢失快递五十斤重，价值五六千元！！！！！！！不赔偿，电话也没有！！！。</t>
  </si>
  <si>
    <t>2019/10/06 19:43:23</t>
  </si>
  <si>
    <t>信而富在未经本人允许情况下，连续拨打本人通讯录联系人对本人进行各种侮辱，对本人更是进行各种侮辱骚扰，信而富砍头息砍头息高利贷。</t>
  </si>
  <si>
    <t>2019/10/06 19:42:49</t>
  </si>
  <si>
    <t>用私人号码打电话给我，辱骂我，威胁我！导致我抑郁症复发，想自杀。</t>
  </si>
  <si>
    <t>2019/10/06 19:41:29</t>
  </si>
  <si>
    <t>本人因被骗了120多万，已经报警处理；和警方也说了我现在生活困境，警察说可以和平台解释，延后还款，目前借了很多钱，没有偿还能力，也在兼职努力赚钱还债；前期也和平台解释过，现在没有偿还能力，有钱一定还，今天11:38收到162开头的催收电话，我和他解释了一遍，催收人员竟然让我抵押房产来还你我贷的欠款，说我有房产怎么不可能还他们的钱，我的房产也有房贷，还有孩子要读书；因为被骗生活都很困难了，难道催收就这样催收吗。</t>
  </si>
  <si>
    <t>2019/10/06 19:41:28</t>
  </si>
  <si>
    <t>投诉人 王先生        投诉对象  小赢卡贷        涉诉金额  16 000 元    问题类型    诉求类型投诉详情  暴力催收 爆通话记录 有录音 态度不好</t>
  </si>
  <si>
    <t>2019/10/06 19:40:36</t>
  </si>
  <si>
    <t>投诉人 丁先生        投诉对象  信用管家        涉诉金额  4 800 元    问题类型    诉求类型投诉详情  威逼恐吓甚至威胁我和我的家人。行为恶劣，造成精神上的恐慌。</t>
  </si>
  <si>
    <t>2019/10/06 19:39:49</t>
  </si>
  <si>
    <t>协商还款！虽然才二百多真没钱了！钱都看病了！也是最后一期了，我肯定会还的！停止催收打通讯录骚扰我家人！。</t>
  </si>
  <si>
    <t>2019/10/06 19:37:52</t>
  </si>
  <si>
    <t>为什么我借的35000元，我要还64043元。</t>
  </si>
  <si>
    <t>2019/10/06 19:37:50</t>
  </si>
  <si>
    <t>我要投诉航天电子，瀚银科技，得仕股份，敏付科技为博彩行业提供入款通道，我在网上看到有正规的购彩平台，尝试入款看到收单机构是这些，我百度查了下都是很大的收单机构，我以为是正规的，在6家平台前后充值了12多万，都被这些赌博平台黑掉了，后来朋友告诉我，这些平台都是境外非法赌博平台，这些收单机构为这些不法分子提供入款通道，害得我财产损失惨重，希望聚投诉能为我主持公道挽回我的损失，以及对这些收单机构商户做出处罚，退回款项，我经过多方咨询才知道可以在聚投诉投诉他们，我前后总共发起了2笔投诉，投诉6家平台，3个收单机构，</t>
  </si>
  <si>
    <t>我差最后一期没有及时还上，就上了一个月的夜班。</t>
  </si>
  <si>
    <t>2019/10/06 19:37:42</t>
  </si>
  <si>
    <t>2019/10/06 19:37:41</t>
  </si>
  <si>
    <t>本人并未在及贷上借贷，我作为别人的紧急联系人我可以通知对方，但你们公司没有权利命令我立刻马上去联系对方，请贵公司的催收注意一下态度，威胁我联系亲人，但凡家里人因为贵公司出事，你们将承担责任！我作为紧急联系人，不是欠款方，作为一个独立公民，请注意你们的态度北京的号码就是你们的催收电话。</t>
  </si>
  <si>
    <t>但是无法跟蚂蚁金服联系协商，借助聚投诉平台帮忙联系一下，款我可以还，但是必须消除我征信影响，对我造成的影响需要你们去消除，而且现在支付宝网商贷改了，记录什么都看不到了，花呗这个平台用的人很多，当然也不缺乏少数用的不好的，希望能改进这种问题，毕竟是正规的平台。</t>
  </si>
  <si>
    <t>2019/10/06 19:37:33</t>
  </si>
  <si>
    <t>由于校门口就是黄格网线，斑马线，处于高清视频监控之下，因此，在略作询问路边的人是否是他们叫车过后，实在联系不上乘客，故取消订单结果公司扣我分。</t>
  </si>
  <si>
    <t>2019/10/06 19:37:28</t>
  </si>
  <si>
    <t>携趣网络技术上海有限公司,通联支付,易小借,造艺技术,通联沪快，套路，恶意强制性从银行卡扣款，299元，未经本人同意扣款，本人希望维权退回扣取款项，联系客服一直官方口吻应付，不给予解决退款，希望作出道歉，并且退回款项。</t>
  </si>
  <si>
    <t>2019/10/06 19:37:24</t>
  </si>
  <si>
    <t>现金巴士非法放高利贷，吃砍头息，新网银行为现金巴士提供银行存管并且提供放款。</t>
  </si>
  <si>
    <t>2019/10/06 19:36:58</t>
  </si>
  <si>
    <t>本人使用借贷宝平台已有一段时间，从未出现逾期，深知这个平台存在砍头息，高利息，所以每次还款都很及时，在9月份，资金中断，无力偿还债务后，主动和出借人沟通协商本金分期还款，有的出借人均表示理解，所以从欠款11万还款到5万，有的本金处理，有的本金加利息处理，只为了赶紧上岸，在处理欠款的时候，遇到几家无法联系，电话微信均不回复，导致逾期多日，还有几家不同意本金处理，怎么沟通协商都不同意，对方扬言说随便逾期，之后再无联系，还有几家拿了销账的钱不给销账，这些事情都主动打过借贷宝客服寻求帮助，但却没有任何结果，一味的推</t>
  </si>
  <si>
    <t>2019/10/06 19:36:21</t>
  </si>
  <si>
    <t>客服用立刷Pos机，2610块钱到账才2591块钱，联系客服，客服只有一句话让我联系业务员，我想问一句业务员有权利规定费率吗。</t>
  </si>
  <si>
    <t>2019/10/06 19:36:07</t>
  </si>
  <si>
    <t>最近二十多家平台全面逾期中，身无分文，通讯录也被爆了n次，亲戚朋友该帮忙的也帮了，没办法，生意失败，货款被卷，实在无力偿还，但是也一直在工作兼职，赚钱还款中，只能慢慢来，今天7点多拍拍贷打电话来，原话是：8点不还钱，通讯录一个一个打，直到还钱为止！我要投诉拍拍贷，黑社会，暴力催收，威胁恐吓！等下我就去全国扫黑办12337实名举报！不赔礼道歉这事没完！。</t>
  </si>
  <si>
    <t>2019/10/06 19:35:27</t>
  </si>
  <si>
    <t>投诉人徐先生投诉对象钱站涉诉金额1000元问题类型诉求类型投诉详情恶意骚扰通讯录好友，恶意短信，骚扰通讯录联系人。</t>
  </si>
  <si>
    <t>2019/10/06 19:35:18</t>
  </si>
  <si>
    <t>我舍弃其它的工作加入到滴滴出行的行列，尽心尽力的服务乘客，可公司里对我的付出却没有回报！。</t>
  </si>
  <si>
    <t>2019/10/06 19:34:27</t>
  </si>
  <si>
    <t>语言侮辱，打击，谩骂，威胁，恐吓！要求对方做出道歉！。</t>
  </si>
  <si>
    <t>2019/10/06 19:34:13</t>
  </si>
  <si>
    <t>今年8月份中国移动话务员打电话说免费送天猫精灵。</t>
  </si>
  <si>
    <t>2019/10/06 19:33:20</t>
  </si>
  <si>
    <t>短信轰炸，暴力催收，雇佣专业第三方催收上来就说我接到个你我贷平台案件，不说自己是干什么的。</t>
  </si>
  <si>
    <t>2019/10/06 19:30:53</t>
  </si>
  <si>
    <t>我是没有录音，今天打电话来说一定要几点还，不然就通知家里和单元，他们要打电话核实了，你是联系不到我还是咋滴，还有一个说准备好全款，他要上门，上门催收哦，你微粒贷也有这种，我也是服。</t>
  </si>
  <si>
    <t>2019/10/06 19:30:35</t>
  </si>
  <si>
    <t>投诉人 罗先生        投诉对象  小浦优客        涉诉金额  296 元    问题类型    诉求类型投诉详情  不经用户允许 自动扣款 希望处理 退款296</t>
  </si>
  <si>
    <t>2019/10/06 19:30:12</t>
  </si>
  <si>
    <t>得仕,敏付支付,北京雅酷时空信息交换技术有限公司,易智付科技,广东信汇电子商户有限公司,瀚银科技，这些持有金融牌照的正规公司为境外黑彩网站提供入款通道本人于今年被拉进一个彩票群，里面有很多彩票网站充值收款方都是一些大公司，就没多想，前后充值有数十万，本人投诉得仕股份，敏付科技，易智付科技，瀚银科技，北京雅酷时空信息交换技术有限公司，广东信汇电子商户有限公司，这些持有金融牌照的正规公司为境外黑彩网站提供入款通道，本人于今年被拉进一个彩票群，里面有很多彩票网站充值收款方都是一些大公司，就没多想，前后充值有数十万</t>
  </si>
  <si>
    <t>2019/10/06 19:30:07</t>
  </si>
  <si>
    <t>投诉人 雷先生        投诉对象  百事普惠,新生支付        涉诉金额  299 元    问题类型    诉求类型投诉详情  在不知情的情况下扣取299，打电话过去 故意刁难，要求退款</t>
  </si>
  <si>
    <t>2019/10/06 19:28:33</t>
  </si>
  <si>
    <t>还款日还了69126，剩14未还，下月账单日出了1400多的利息。</t>
  </si>
  <si>
    <t>2019/10/06 19:27:55</t>
  </si>
  <si>
    <t>有借平安普惠贷款，每个月也有准时还款，而且还会提前放入还款余额在账户里，可是每个月都还是提前3，4天开始打电话和短信骚扰，只是觉得你可以有提醒的动作，可是一条两条算了，是从还款日的前3-4天开始，每天好几条电话和短信，挺影响工作的。</t>
  </si>
  <si>
    <t>2019/10/06 19:27:53</t>
  </si>
  <si>
    <t>本人在期待合伙人上面借款18000到账15840，分别扣取了1320和840的加速服务费，然后还款2个月后循环使用了额度，分别是又借了一笔3000和一笔3400元，每笔扣取了500元的加速服务费，也就是18000的总额度循环使用了3次总共扣取服务费达到3000多，每期还款2500左右还款金额里面又包含服务费400到500不等，也就是还款2500实际还款金额只有1900到2000的本金，期待合伙人催收有致电过本人，本人因现在资金困难也与其协商，因咨询过有关人员说那些加速服务费就是变相的砍头息，然与催收人员协商</t>
  </si>
  <si>
    <t>2019/10/06 19:27:25</t>
  </si>
  <si>
    <t>投诉人 王女士        投诉对象  智行        涉诉金额  364 元    问题类型    诉求类型投诉详情  在智行app上抢票 自动帮我开通了免密支付 没有经过本人同意 在本人不知情的情况下 软件付了款等本人发现时 已经发了车 退票和改签都不支持 自动损失了364元联系人工客服 表示只能帮我申请百分之80的退款 剩下需要自己承担</t>
  </si>
  <si>
    <t>2019/10/06 19:26:52</t>
  </si>
  <si>
    <t>投诉人朱先生投诉对象新意花,小木钱包涉诉金额2800元问题类型诉求类型投诉详情在新意花借款2800元需还款4000多找客服协商还款不予协商要求减免金额打客服不理人。</t>
  </si>
  <si>
    <t>2019/10/06 19:26:36</t>
  </si>
  <si>
    <t>我已详细说明逾期并非本人恶意逾期，客服让我提供证据，但是我找在线客服询问合作方信息时，拒不告知严重怀疑是故意不告知，怕查出来是他们的原因导致逾期不给退咨询费，利息你们赚了那么多，还要坑这个咨询费，你们良心不会痛吗，不想一下当时借款的都是在校大学生。</t>
  </si>
  <si>
    <t>2019/10/06 19:26:09</t>
  </si>
  <si>
    <t>投诉人 高先生        投诉对象  小浦优客        涉诉金额  296 元    问题类型    诉求类型投诉详情  注册要让绑卡 后来收到短信私自扣除我296元</t>
  </si>
  <si>
    <t>2019/10/06 19:25:55</t>
  </si>
  <si>
    <t>‭130******85‬此人一天打几十个电话骚扰，严重影响工作。</t>
  </si>
  <si>
    <t>2019/10/06 19:25:30</t>
  </si>
  <si>
    <t>在饿了么平台点了一个华莱士炸鸡汉堡的外卖，吃到一半发现里面有一只死蟑螂。</t>
  </si>
  <si>
    <t>2019/10/06 19:25:25</t>
  </si>
  <si>
    <t>在京东买了台红米手机，还没几天呢就有赠品，心里有点接受不了，问客服也说没办法补发，同样的价格，不同的待遇，京东活动有点坑！。</t>
  </si>
  <si>
    <t>2019/10/06 19:25:12</t>
  </si>
  <si>
    <t>短信威胁我打通讯录，如果是这种态度，有钱我也不会还，既然你敢打我通讯录，我还了钱别人也不知道我还了，给我造成的影响无法修复。</t>
  </si>
  <si>
    <t>2019/10/06 19:23:21</t>
  </si>
  <si>
    <t>投诉人 于先生        投诉对象  拍拍贷        涉诉金额  2 000 元    问题类型    诉求类型投诉详情  电话恐吓，态度恶劣，高利贷，暴力催收。威胁曝光通讯录</t>
  </si>
  <si>
    <t>2019/10/06 19:22:25</t>
  </si>
  <si>
    <t>投诉人金兵投诉对象租机侠涉诉金额389元问题类型诉求类型投诉详情骗子平台，审核不通过，退款之后取现取不了，欺诈消费者。</t>
  </si>
  <si>
    <t>2019/10/06 19:22:19</t>
  </si>
  <si>
    <t>本人在创维官方旗舰店购买了一台电视，回家通电发现内屏破了，不通电时电视是完好无损的，完全是没问题的，只有通电才发现问题，然后申请了售后退换货，商家拒绝，态度极为恶劣，完全是不负责行为，最令人可恶的是商家捏造验机凭证捏造验机图片，行为极度卑劣，然而淘宝介入，天猫维权就偏帮商家，商家店铺网页打着七天无理由退货，15天质量问题包退换，这些只是商家销售的惯用手法而已，现在我想通过网络告诉大家，千万不能在网店购买创维电视，因为在这网页一搜一大把都是投诉创维的，几乎都是内屏爆破问题，希望相关部门重视一下，必须对这些黑商</t>
  </si>
  <si>
    <t>2019/10/06 19:22:10</t>
  </si>
  <si>
    <t>2019年3月经人人车平台出售二手车奥迪Q5并顺利完成过户，按合同要求人人车平台应在完成过户后7个工作日内退回2000押金，现已逾期6个月，期间多次联系人人车客服，态度敷衍且不解决任何问题。</t>
  </si>
  <si>
    <t>2019/10/06 19:22:00</t>
  </si>
  <si>
    <t>小花钱包这一期的账单一千四百多，我主动说了十号发工资我十号会准时还款，他们催收人员不听解释，我最晚的一次还款也没有超过十号，我也不知道什么叫装作没看见。</t>
  </si>
  <si>
    <t>2019/10/06 19:20:56</t>
  </si>
  <si>
    <t>没支付钱之前显示是11月2号开始第一期的还款。</t>
  </si>
  <si>
    <t>2019/10/06 19:20:44</t>
  </si>
  <si>
    <t>我已经说等我发了工资就还，我没说不还，每次都提前还款的，因为这次十一银行放假晚了点就要爆通讯录。</t>
  </si>
  <si>
    <t>2019/10/06 19:20:28</t>
  </si>
  <si>
    <t>投诉人肖先生投诉对象信汇支付涉诉金额71000元问题类型诉求类型投诉详情我要投诉广东信汇电子商户有限公司提供支付渠道给商户，百润服装，港隆昌餐饮，欢霞百货商店，天都娱乐，德青餐饮，新军肉店，，这些商户都是境外非法网络平台在注册使用，我平时有在网上购买彩票的习惯，在浏览网页时点击广告，不小心掉入此非法网络平台，，在不知此平台是境外非法网络平台情况下导致巨额亏损后才发现，为时已晚，之后我询问中国银联客服热线查出收单机构与商户和商户订单号，这些钱是我工作多年的所有积蓄，有的是网贷平台借的，跟家里父母要的，找朋友借</t>
  </si>
  <si>
    <t>2019/10/06 19:20:17</t>
  </si>
  <si>
    <t>北京时间2019年9月27日09:01分，我的银行卡无故被强制扣款408.76元消费交易，本人未与该公司产生任何交易或者协约，为什么能不经过我同意下扣款，这种行为已经构成盗窃，我将报警诉诸公安机关进行维权。</t>
  </si>
  <si>
    <t>2019/10/06 19:16:18</t>
  </si>
  <si>
    <t>在钱站APP上借款2笔，一笔2500，一笔1590，2500那笔还有最后一期886，逾期一天多收100多，另外一笔1590逾期一天多收68，打电话给客服说提前结清没有减免，不合理的高额逾期费用也不减免。</t>
  </si>
  <si>
    <t>2019/10/06 19:15:38</t>
  </si>
  <si>
    <t>借款2000一个月利息70，但是他这个推荐小秘书服务购买600这个是他们虚构出来的合同等于一个月我要还他们2670！还款日的时候跟他们协商这600怎么来的时候他们还理直气壮的威胁我说他们赚的就是这个钱，我要不还后果自负当天就爆我通讯录骚扰我亲朋好友。</t>
  </si>
  <si>
    <t>2019/10/06 19:15:25</t>
  </si>
  <si>
    <t>投诉人马先生投诉对象中信信用卡中心涉诉金额16364元问题类型诉求类型投诉详情中信银行信用中心违反金融规定！委托第三方催收，，骚扰家人、单位同事，领导等无关人员！我已按月正常还款，只要求立即停止一切催收，特别是第三方！不要再影响我的正常生活和工作！我不想懒帐！请贵行也不要得理不绕人，谢谢！。</t>
  </si>
  <si>
    <t>2019/10/06 19:14:58</t>
  </si>
  <si>
    <t>之前在小浦优客注册过信息跟绑定银行卡后就卸载软件。</t>
  </si>
  <si>
    <t>2019/10/06 19:14:06</t>
  </si>
  <si>
    <t>本人交通银行信用卡已经逾期超过三个月，本人最近工作没了家里也出了一些事情，所以没有还够最低还款额，这个月的最低还款额是2万多，我最近确实拿不出这么多钱，但是我每个月也都有还进去一部分，有时候一千有时候两千！不是不想还，而是这阵子确实拿不出！跟银行的人协商过，之前一两个月协商过最低也就一千多两千也都还进去了，但这个月说是最低要还5000多差不多6000还必须让我马上还，你说我要是有那么多钱我还用你打电话催吗，每天打五六十个电话过来就是让你还款，还让我去当地公安局去自首，严重的骚扰和威胁，今天有个催收的工号：9</t>
  </si>
  <si>
    <t>2019/10/06 19:13:34</t>
  </si>
  <si>
    <t>昨天晚上然后没事点开最右app然后看到一个附近约爱的app，然后就下载下来，然后点进附近约爱app，就有人给你打语音聊天，然后不能回复消息，也不能接，必须开通会员才可以，然后我看见上面显示可以免费获得三天会员，好奇就点进去了让你绑定支付宝免密码支付，绑定完了以后还是有人给你打电话但是还是接不了，然后就被扣除一个69元和一个99元，希望贵平台可以帮我追回钱财，以后绝对铭记于心，不被网络诱惑，谢谢贵平台。</t>
  </si>
  <si>
    <t>2019/10/06 19:13:31</t>
  </si>
  <si>
    <t>9月30日借款1500到账扣除375，当天处理了还款，说退保险，一直拖着到现在，客服回答1到3天，一个星期过去，再次联系客服，这次更离谱，变成7到15天，当天还被扣除45块利息。</t>
  </si>
  <si>
    <t>2019/10/06 19:11:59</t>
  </si>
  <si>
    <t>八月底我交的9800，正式成为乐客会员，乐客销售部工作人员和我说成为乐客会员期间，会员完成一单收入420，我实际操作期间才发现提现乐客要扣点，实际一单收入在390左右，而星火活动是有时间限制的，要求在三个月内完成八十单，乐客奖励一万块，可在加入乐客会员前，乐客并未提前和我说明抖音官方可以随时降价的权利，而我在降价期间完成一单必须要求客户按原价600元购买蓝v认证才能得到返佣！活动期间官网价格是300元，这给直接或间接的给我造成了经济损失，他们的在线课程导师李伟，让会员推广时和客户强调我们不挣钱，钱是抖音收的</t>
  </si>
  <si>
    <t>2019/10/06 19:10:47</t>
  </si>
  <si>
    <t>投诉人 张文金        投诉对象  城信阳光        涉诉金额  2 000 元    问题类型    诉求类型投诉详情  不还钱就一天50块利息。还恐吓我给我家人说。</t>
  </si>
  <si>
    <t>2019/10/06 19:10:00</t>
  </si>
  <si>
    <t>本人在钱站借款2000，分三期，每期偿还980元，因为资金问题所以没有及时还款，逾期费用第一天就一百多，和客服交谈过，希望可以延期4天还款，逾期费用也会偿还，但钱站催收一定要6号当天11点钱还款，不还款将升级催收程序，如果有钱不还随便怎么样，但因为资金问题确实还不进去，也说了还款时间，但该催收直接骚扰通讯录里联系人，并且言语恶劣，已对本人造成了很严重的影响，希望钱站方面能够尽快解决。</t>
  </si>
  <si>
    <t>2019/10/06 19:09:31</t>
  </si>
  <si>
    <t>本人于在深圳国金征信有限公司旗下的火影帮借款2200，仅到账1528元，15天就需要还款，而首页广告说是六个月分期，在就是本人已续期一次费用是688元，以为是分期付款，虚假宣传，诱导用户，每续期15天就要收取高达616元每期的费用，已远超国家标准杭州市民卡有限公司为其提供支付渠道，公司地址:广州省深圳市福田区福华三路168号深圳国际商会中心809。</t>
  </si>
  <si>
    <t>2019/10/06 19:09:22</t>
  </si>
  <si>
    <t>新意花小木钱包高利贷砍头息套路贷年息高达百分之六百多。</t>
  </si>
  <si>
    <t>2019/10/06 19:08:38</t>
  </si>
  <si>
    <t>投诉人王先生投诉对象哆啦宝商户涉诉金额516元问题类型诉求类型投诉详情无故冻结我的资金，给付款方退款也退不了，钱就让哆啦宝商户自己扣下了，你们有什么权利把钱私吞。</t>
  </si>
  <si>
    <t>2019/10/06 19:08:36</t>
  </si>
  <si>
    <t>投诉人赖先生投诉对象江湖救急涉诉金额72元问题类型诉求类型投诉详情江湖救急平台自称网贷平台，但实际上只为骗取用户所谓信用自查费，我从去年至今一共借款8次，合计付信用自查费72元，每次的报告详情都一样显示信用毫无问题，但无一次能成功借款，且每月都会有平台短信提示可以借款，现发起投诉，要求江湖救急平台给出说法下架app并退还信用自查费用。</t>
  </si>
  <si>
    <t>2019/10/06 19:08:14</t>
  </si>
  <si>
    <t>投诉人吴先生投诉对象淘手游涉诉金额150元问题类型诉求类型投诉详情冻结账号不让提现1****************1。</t>
  </si>
  <si>
    <t>2019/10/06 19:07:42</t>
  </si>
  <si>
    <t>在急有钱app借款1700七天以后还了1750元又过了7天又让我还800元，说不还就有处理爆通讯录什么的，。</t>
  </si>
  <si>
    <t>2019/10/06 19:07:34</t>
  </si>
  <si>
    <t>前两天下载小浦优客这个软件想借点钱，要绑定银行卡和个人信息，结果钱没借到，今天在我毫不知情下扣除我银行卡296块，吓得我把卡里的钱全部转移出来，这分明就是欺诈，我马上打电话给小浦优客客服，她说我勾选了什么协议，我压根没看见有什么协议更别谈我勾选了，也根本没看见有任何扣款条约，我限你们立即退还无故扣我的296块，否则投诉到底！银监局，工商局，消费者协会，各种举报平台见！！我不是吓唬你们！自己看着办！。</t>
  </si>
  <si>
    <t>2019/10/06 19:07:30</t>
  </si>
  <si>
    <t>朋友谭先生欠小赢卡贷平台款，每天都会打我电话进行催收，我已经跟小赢卡贷工作人员解释了，我联系不到借款人，借款人电话也不接！而且告知小赢卡贷本人患有心肌梗塞才做手术没多久，希望不要来骚扰我，可平台工作人员就是不听，每天不同时段都会打我电话，还要特不要脸的撒谎说借款人没有撤销我联系人电话！我再三解释我联系不上，无耻的催收必须严惩！。</t>
  </si>
  <si>
    <t>2019/10/06 19:06:46</t>
  </si>
  <si>
    <t>2017年10月6日借款20000元分24期。</t>
  </si>
  <si>
    <t>2019/10/06 19:06:27</t>
  </si>
  <si>
    <t>爆我通信录，给通信录的亲朋好友说我借货10多万，而我只在他们平台借款八千，加利息10000。</t>
  </si>
  <si>
    <t>2019/10/06 19:06:24</t>
  </si>
  <si>
    <t>等了很久，司机一直不过来接，打电话说不知道，浪费太多时间。</t>
  </si>
  <si>
    <t>2019/10/06 19:06:18</t>
  </si>
  <si>
    <t>本人因当时需要用钱就在平台借款2200，当时显示借款2200每月还款191，利息也才100左右，就借款了，实际借款成功后发现到账并未是2200而是1758，单单这一项就扣了450，我的天这不是欺诈嘛！再说还款并不是191.37，而且第一期就需要还款444.72，这又多出来好多！而且这几次每次都充值不了需要支付宝还款还扣利息！我现在要求结清账单！归还剩余本金710元结清账单！。</t>
  </si>
  <si>
    <t>2019/10/06 19:05:57</t>
  </si>
  <si>
    <t>本人于9月15日在聚金宝借款2200元，实际到帐1540元，分四期，第一期只有6天时间，即21号就还1332.95元，第二期起各7天时间，第二还444.32，最后两期各222元多，共还2221.57元，昨天是第三期到期，本人在上午约9点时就发微信给昵称为聚金宝的客服，但未回复，包括今天再次发微信也没回复，昨天有平台工作人员用另外的微信联系我，我前两期所还金额已超出本金237.27元了，本人和工作人员沟通最后两期150结清，但不同意，这已在本金外给了387.27的费用了，已不合理了，但我想着平台也是要赢利的，</t>
  </si>
  <si>
    <t>2019/10/06 19:03:29</t>
  </si>
  <si>
    <t>投诉人 丁先生        投诉对象  信用管家        涉诉金额  3 300 元    问题类型    诉求类型投诉详情  信用管家借的钱都还完了。算了下好像多出了一个月的利息。去讨要无果</t>
  </si>
  <si>
    <t>2019/10/06 19:03:18</t>
  </si>
  <si>
    <t>10月6号11点44分本人中国银行储蓄卡无缘无故被扣款408.76元人民币，本人并未在网贷平台办理过类似借款，银行卡也未曾丢失，疑似银行卡信息泄露导致第三方盗取资金，望查明后全额退款。</t>
  </si>
  <si>
    <t>2019/10/06 19:01:39</t>
  </si>
  <si>
    <t>去年在来分期平台借的1000块钱，到账900多，来分期利率超出国家规定，支付宝为其提供放款通道，给了额度不给借，本人现在资金链断裂，希望可以延期还款，并希望来分期可以恢复我的额度使用，。</t>
  </si>
  <si>
    <t>2019/10/06 19:01:26</t>
  </si>
  <si>
    <t>投诉人 芬女士        投诉对象  拍拍贷        涉诉金额  2 200 元    问题类型    诉求类型投诉详情  来我家闹了几天。邻居都看不下去要他们走。差点打起来</t>
  </si>
  <si>
    <t>2019/10/06 19:01:19</t>
  </si>
  <si>
    <t>单主发了张预约单，然后快速嘟司机三个电话，快速挂断，不能让司机接到，打过去通话中也算，然后马上取消订单，，这样就判司机有责，而且无法申诉，系统判责说司机威胁或者不接乘客，希望更多司机能够看到滴滴是如何不公平对待司机们的。</t>
  </si>
  <si>
    <t>2019/10/06 19:00:15</t>
  </si>
  <si>
    <t>该公司一直以转让销售购买会员卡为由变相砍头息收取前期费用共计借款二十万元前期费用高达七万多元借款周期为五十天.之前不懂套路贷砍头息.现国家严查才明白其中厉害！望有关部门帮忙退还不合理不合法的费用。</t>
  </si>
  <si>
    <t>2019/10/06 18:59:03</t>
  </si>
  <si>
    <t>结余2053元，当初是管家客服口头告知退款是原路退回，以及日常消费的其他固定思维认知都认为退款是原路退回，但是自如APP退款很奇葩，本人通过微信零钱支付费用，退款的时候他不原路退回，退还到APP钱包里面，我要求自如APP，立即无条件原路退回我们的退款。</t>
  </si>
  <si>
    <t>2019/10/06 18:57:09</t>
  </si>
  <si>
    <t>投诉小度有钱，已注册名义填骗取个人信息和银行卡号，获取权限，在第二天下午且我不知情的情况下扣取198会员费，客服拒绝退款，而且app已经无法使用，请帮助处理。</t>
  </si>
  <si>
    <t>2019/10/06 18:57:05</t>
  </si>
  <si>
    <t>借款1500，到账秒扣375元所谓的保险费，实际到账1125元，逾期一天就是150元，哪条法律法规有逾期费这么高的，期间多次催促、威胁本人及朋友还款，本人已明确表示砍头息375元我也不跟他扯了，减免逾期费就行，还款1545元。</t>
  </si>
  <si>
    <t>2019/10/06 18:56:54</t>
  </si>
  <si>
    <t>打投诉电话也没有用就给的回复是会记录会反馈。</t>
  </si>
  <si>
    <t>2019/10/06 18:56:48</t>
  </si>
  <si>
    <t>花月钱包贷款3500元，实际到账2100元，期限5天，逾期一天罚息700元，，按照国家相关规定，这种利息已经超过国家规定的几千倍利息，还威胁，恐吓，发侮辱性短信骚扰通讯录里的每一位朋友，要还钱可以的，我只认可国家相关规定的本金与利息，其他免谈，另外威胁，恐吓等一事，也要给个公平，公证的说法。</t>
  </si>
  <si>
    <t>2019/10/06 18:56:30</t>
  </si>
  <si>
    <t>本人于10月4号以借款的心态使用小浦优客，可是没借到，中途并没有特别提示需要缴纳报告费，也没有相关合同，也没有解绑银行卡的窗口，10月5日下午6点左右，我收到一条扣费信息，显示小浦优客报告费296元，没有王法了，就这样没有任何的提示也没有相关合同就这样扣款，打电话给客服第一遍不接第二遍就占线，然后我想在小浦优客app里找一下有没有解绑银行卡的地方，然后又给我发了一条扣费信息，幸好我提前把银行卡里的钱转出来了，不然这种黑心网站真的没头了，希望可以帮助我追回这笔钱，谢谢。</t>
  </si>
  <si>
    <t>2019/10/06 18:55:38</t>
  </si>
  <si>
    <t>2019.9.5从钱站分3期借贷1000元，第一期期还款783.59元,第二期还款783.93,第三期还款340.08，请问这个利息是否符合相关规定，不是符合国家相关法规的本人拒绝再还款，当初借款所签订的所谓条约，是从钱站app上点击签订，每一个步骤如果不是点同意是无法借款，霸王式条款，本人意愿是只还款合国家法规内的借款利息，请聚投网督察办为盼，因之前一直与钱站客户沟通的原因，不能在扣款当日还款，第一期2019.10.6日还款产生了78.39元的违约金，4元的罚息。</t>
  </si>
  <si>
    <t>2019/10/06 18:54:31</t>
  </si>
  <si>
    <t>还未到还款日期，就反复骚扰，感觉这生活没办法活下去了，上个月是东凑西借还的钱，这个月从上半个月借钱到现在一分钱都没借到。</t>
  </si>
  <si>
    <t>2019/10/06 18:54:21</t>
  </si>
  <si>
    <t>借绑定用户银行卡获取个人信息为由在不知情情况下私自扣除296元，客服电话打不通，强烈要求小浦优客退款！！！！。</t>
  </si>
  <si>
    <t>2019/10/06 18:54:10</t>
  </si>
  <si>
    <t>小浦优客app申请借款，按步骤填写资料，然后最后要求绑定银行卡，绑定完成就开始审批，过了一个小时说是扣除296元个人信用报告费用，可是之前申请步骤并没有说明有这个费用，正规贷款也不应该有前期费用，涉嫌违规欺诈，因为不知道会有这种情况发生，申请过程没有截图，最主要的是昨天申请扣款没有成功，隔了一天在没有任何提示预告的情况下，把我账户里的钱提走了。</t>
  </si>
  <si>
    <t>2019/10/06 18:53:35</t>
  </si>
  <si>
    <t>在不知情，没签字的情况下给我名下买下大量的保险，希望国家平台重视这种变相高利贷以保险形式的方式牟利的违法行为！本人坚决为自己维权。</t>
  </si>
  <si>
    <t>2019/10/06 18:53:34</t>
  </si>
  <si>
    <t>说要上门还骚扰我的通讯录发这个信息泄露个人隐私威胁。</t>
  </si>
  <si>
    <t>2019/10/06 18:53:31</t>
  </si>
  <si>
    <t>一直没有电话或短信，突然就给我通讯录打电话说我欠了很多钱，还给我发这种侮辱短信，说我不还就群发通讯录，还威胁我要上门贴海报泼油漆，我现在很害怕，如果真的给我朋友发这种短信，我都不想活了，。</t>
  </si>
  <si>
    <t>2019/10/06 18:52:54</t>
  </si>
  <si>
    <t>我于2019年6月还清36000元的借款，客服以逾期为由不退还当时7200的所谓的咨询费，就是砍头息，逾期原因有客观因素，在逾期期间我接到客服电话就进行了及时的还款，但催收人员还是对我周围的人进行了骚扰，之前没有套路贷这个概念，我现在投诉名校贷有套路贷嫌疑，要求退还我最后一笔36000借款的砍头息，麦子金服客服以逾期为由拒绝退还方式所扣的砍头息，麦子金服以套路贷的手段，增加债务，证据如下，本人于2016年6月借款的25000元当时已偿还8期，共7528元，当时还款压力较大，名校贷客服告知我说有一键再借的功能</t>
  </si>
  <si>
    <t>2019/10/06 18:52:09</t>
  </si>
  <si>
    <t>app出现了问题，让我们存钱到银行卡里代扣，扣走了钱app上还没消掉贷款，还显示逾期，越来越多。</t>
  </si>
  <si>
    <t>2019/10/06 18:52:01</t>
  </si>
  <si>
    <t>本人于2019年7月8号在蟹老弟借款APP借款2500元，宝付支付为其提供支付扣款通道本人愿意还本金及合法利息，下面附上扣款时间和银行账号，到账秒扣250元，实际到账2250元，分三个月还款，每个月还款1135元，我已经还了两期共2270元，第三期还需要还款1135元，到账2250三个月要还3405。</t>
  </si>
  <si>
    <t>2019/10/06 18:51:45</t>
  </si>
  <si>
    <t>投诉人 李先生        投诉对象  京东罗马仕自营旗舰店        涉诉金额  89 元    问题类型    诉求类型投诉详情  刚买两个多月的罗马仕充电宝HO2O 20000mah 只能充不到两次 用的小米8se 3120mah 跟客服联系后充了一晚上 又试过 还是一样 这质量太差了</t>
  </si>
  <si>
    <t>2019/10/06 18:50:19</t>
  </si>
  <si>
    <t>8月4号接单到忆童年烧烤店取餐，按照蜂鸟众包给到的商家地址导航过去，结果商家实际地址门店关门，我取消订单并拍照申请取消订单关门了，结果被蜂鸟众包平台扣费理由为：虚假报备，请问蜂鸟众包平台，我这样怎么是虚假报备，平台给出的商家地址过去是关门的，凭什么我不能取消订单，扣除50元罚金和10元取消订单的费用，极其不合理。</t>
  </si>
  <si>
    <t>2019/10/06 18:49:39</t>
  </si>
  <si>
    <t>投诉人 宣先生        投诉对象  招联金融        涉诉金额  2 000 元    问题类型    诉求类型投诉详情  恶意催收。轰炸机轰炸骚扰家人。就是下面号码 此人恐吓威胁。骚扰。 钱我会还。只是一时遇到困难。家里人全部在被下面这个催收轰炸。</t>
  </si>
  <si>
    <t>2019/10/06 18:49:36</t>
  </si>
  <si>
    <t>投诉人 吴先生        投诉对象  信用管家        涉诉金额  1 800 元    问题类型    诉求类型投诉详情  涉嫌套路贷砍头息高利贷。照这样下去永远还不完。给维信金科打一辈子工</t>
  </si>
  <si>
    <t>2019/10/06 18:49:33</t>
  </si>
  <si>
    <t>支付宝蚂蚁借呗恶意催收，态度恶劣，骂人，侮辱人格。</t>
  </si>
  <si>
    <t>2019/10/06 18:49:12</t>
  </si>
  <si>
    <t>停止骚扰，严重影响我的生活，停止骚扰我的家人朋友！！！否则我会去银监会投诉。</t>
  </si>
  <si>
    <t>2019/10/06 18:48:28</t>
  </si>
  <si>
    <t>投诉人 阚韩女士        投诉对象  拍拍贷        涉诉金额  700 元    问题类型    诉求类型投诉详情  拍拍贷对我亲人好友严重骚扰 暴力催收 涉黑涉恶无视国家法律 对我照成名誉受损 本人以保存证据 想扫黑办等相关部门举报投诉</t>
  </si>
  <si>
    <t>2019/10/06 18:46:37</t>
  </si>
  <si>
    <t>砍的时候也是砍现金，砍成功了显示要提现，结果是优惠卷！提现，那叫提卷！打着提现的幌子欺骗消费者，我砍了一整天啊，一分钱一分钱的砍，终于砍成了，给我两张满500-50的优惠卷，还必须24小时消费掉！天理呢！我要求赔偿！。</t>
  </si>
  <si>
    <t>2019/10/06 18:45:49</t>
  </si>
  <si>
    <t>投诉人 刘先生        投诉对象  拍拍贷        涉诉金额  3 000 元    问题类型    诉求类型投诉详情  给我开通了一些付费的东西。每月多了几百的费用。协商不了也减不下来</t>
  </si>
  <si>
    <t>2019/10/06 18:45:06</t>
  </si>
  <si>
    <t>我在四川移动网厅办理了保号停机业务，网厅显示报停成功，在我需要使用这个手机拨打电话，我在网厅办理手机复机业务的时候，四川移动网厅的系统出现故障问题，网厅系统出错，网厅登陆不了，网厅无法办理任何业务，突然我的手机出现异常，我拨打接听任何电话接打不了，手机无信号，我联系四川移动10086多次投诉反馈手机和网厅问题，四川移动爱理不理的一直不解决处理。</t>
  </si>
  <si>
    <t>2019/10/06 18:44:22</t>
  </si>
  <si>
    <t>苏宁易购不知从哪里来的我朋友联系方式乱打通讯录电话！严重影响我个人生活！今天很多朋友告诉我苏宁联系他们！请平台严肃处理苏宁乱打通讯录的问题。</t>
  </si>
  <si>
    <t>2019/10/06 18:44:16</t>
  </si>
  <si>
    <t>支付宝借呗委托三方催收威胁为由催款，作为一个中间平台跟普通的借款平台一样的恶劣，真是令人发指。</t>
  </si>
  <si>
    <t>2019/10/06 18:43:27</t>
  </si>
  <si>
    <t>在家有事不能出车所以就开的不听实时单，听预约单，结果人脸验证后点击出车可能又恢复了原设置，来了一单实时单，我一时急了，怕耽误乘客上班时间，没多想就直接给乘客打了电话说明了情况，让他要么重新叫一辆车，并非故意挑单拒单，结果平台就判我有责诱导乘客取消订单，二次申诉也失败告终，跑滴滴时间不长，好不容易按照规定办理双证全职跑滴滴，每单都是全心全意去服务好每一位乘客结果一个意外，滴滴就始维持原判，扣了我2分服务分，希望能给次一次机会。</t>
  </si>
  <si>
    <t>2019/10/06 18:43:20</t>
  </si>
  <si>
    <t>一下周转不过来！导致逾期！有钱谁不还呀！这是没有钱呀！我来贷暴力催收！竟然群发消息！导致我名誉毁了！希望他们道歉！每天电话无数！逾期也是高的离谱！这种高利贷平台为什么还会存在请给我一个满意的答复。</t>
  </si>
  <si>
    <t>2019/10/06 18:43:10</t>
  </si>
  <si>
    <t>因为国庆放假，事业单位延期发放工资，主动联系平台协商还款的相关适宜，平台不予理解，并且要求自己去借钱还款，就是因为不愿意借钱才在平台申请贷款，而且并不是没有能力还款，对方发一大堆我通信录上的人的手机号，威胁自己看着办，威胁想问一下，本来就是高息的情况下，而且表明正在打电话想办法凑钱的前提条件下，一遍一遍的骚扰，威胁，难道就没有地方管管他们吗。</t>
  </si>
  <si>
    <t>2019/10/06 18:42:59</t>
  </si>
  <si>
    <t>小花钱包还有还有5期未还，未还金额5700，然后跟催收协商一次性还款，协商3800一次性结清，后存入3800后，只扣款当期还款金额1200多，期间与催收微信沟通为主，语音协商还款金额，催收同意金额并说已经提交申请，资金存入银行卡后只划扣当期还款金额，并且微信拉黑，要求按照与催收协议金额销账，并提供结款证明。</t>
  </si>
  <si>
    <t>2019/10/06 18:42:58</t>
  </si>
  <si>
    <t>本人手机放在客厅，小孩子玩这个游戏，然后有什么首冲奖励，我就想问一下，我想退个钱，都不给退，这么的霸王条款，要是我买的也就算了，8.9岁小孩子瞎弄，换作你200来块钱就这样扔出去了。</t>
  </si>
  <si>
    <t>2019/10/06 18:42:07</t>
  </si>
  <si>
    <t>本人因国庆工资未到账，导致晚还几天，卡卡贷未经本人同意，恶意骚扰联系人，严重侵犯本人隐私，电话打来，直接威胁不还就骚扰联系人，电话里的语气好像天不怕地不怕，难道有很强硬的后台撑腰。</t>
  </si>
  <si>
    <t>2019/10/06 18:42:04</t>
  </si>
  <si>
    <t>我在购物贷平台申请了一笔借款，联系他们协商还款也不行，由畅捷通支付公司提供支付通道，我由于家庭原因逾期了几天，他们就暴力催收，暴打通讯录。</t>
  </si>
  <si>
    <t>2019/10/06 18:41:44</t>
  </si>
  <si>
    <t>我的经历和大部分珍爱网线下会员投诉的内容大同小异不同的是我的服务期已过，刚开始投诉无门，现在找到一个平台，想追回自己的损失，去了之后红娘两三个小时游说上卫生间的话，红娘也是门口等着的，其间谈话主要是利用年轻人渴望爱情的心理，我签订的合同是18800,对方接过手机用了微粒贷和蚂蚁借呗两个途径进行刷卡，于是自己冲动消费了18800，注册珍爱网后，珍爱网无锡分店恒隆店红娘打电话意思去实名认证，给你建立这个平台非常严格的印象，去了之后红娘两三个小时游说，上卫生间的话，红娘也是门口等着的，其间谈话主要是利用年轻人渴望</t>
  </si>
  <si>
    <t>2019/10/06 18:41:35</t>
  </si>
  <si>
    <t>投诉人 杜先生        投诉对象  钱站        涉诉金额  2 500 元    问题类型    诉求类型投诉详情  我要取消这个借款 工作人员理都不理 这个贷款开始是借的两千五 点击确认了就变成了两千 后面还要还利息 现在想取消都取消不了</t>
  </si>
  <si>
    <t>2019/10/06 18:41:24</t>
  </si>
  <si>
    <t>他们是高利贷，已经和客服约定好还款日期，他们同意后，还骚扰我的家人，乱加微信。</t>
  </si>
  <si>
    <t>2019/10/06 18:40:57</t>
  </si>
  <si>
    <t>小浦优客APP从头到尾都没有要我同意扣款的协议，我是在里面注册了，但我没有看到扣款的字眼，打电话给客服竟然说用我另外的手机号注册登录就可以看到，这不是明摆骗钱吗?我坚决要求把钱退回给我。</t>
  </si>
  <si>
    <t>2019/10/06 18:40:23</t>
  </si>
  <si>
    <t>给我造成不小的精神损失，不是我不还钱，真的是我工资被压没有额外收入归还，其实有了钱我会立马归还的，现在我很难受，甚至有轻生的念头，朋友让我这里投入协商解决。</t>
  </si>
  <si>
    <t>2019/10/06 18:39:01</t>
  </si>
  <si>
    <t>借款人是我们同村，并非亲属关系且本人不知情会填写我的联系方式做为紧急联系人。</t>
  </si>
  <si>
    <t>2019/10/06 18:38:38</t>
  </si>
  <si>
    <t>9月27日本人建设银行储蓄卡无缘无故被扣款408.76元人民币，本人并未在网贷平台办理过类似借款，银行卡也未曾丢失，疑似银行卡信息泄露导致第三方盗取资金，望查明后全额退款。</t>
  </si>
  <si>
    <t>2019/10/06 18:38:26</t>
  </si>
  <si>
    <t>在米米罐借款2700元，期限一个月，还款竟然高达4111元，北京爱农支付为高利贷平台违规放款，米米罐平台虚假宣传，借2700还款4111元也是符合国家利率吗，我的原则就是还本金处理，多出来的钱一分都不会还！已。</t>
  </si>
  <si>
    <t>2019/10/06 18:38:13</t>
  </si>
  <si>
    <t>还了1300还要我还400不知道哪里来的费用。</t>
  </si>
  <si>
    <t>2019/10/06 18:37:40</t>
  </si>
  <si>
    <t>本人非欠款人，但是招商银行信用卡催收多次骚扰本人，要求停止骚扰。</t>
  </si>
  <si>
    <t>2019/10/06 18:37:27</t>
  </si>
  <si>
    <t>自己小心翼翼的付款生怕点错还特意取消订单重新下了，开通后今天说抢票成功原价75元的车票变成了83多收取了8元加速包费用，但我并没有点加速包都是分享给好友免费加速的。</t>
  </si>
  <si>
    <t>2019/10/06 18:37:05</t>
  </si>
  <si>
    <t>小赢卡贷催收人员不断骚扰我家人和朋友，严重影响他们的生活，并造成一定的压力，他们通过不断这种暴利催收，言语粗俗，给我试压，这是典型的软暴力催收，现在导致我和我的家人，朋友关系恶劣，给我造成很大的心里负担，小赢卡贷是不是要再逼死一两个人才甘心！！！！！！！。</t>
  </si>
  <si>
    <t>2019/10/06 18:36:52</t>
  </si>
  <si>
    <t>威胁恶意骚扰高利贷我要还本金不同意要发这个ps照片发给通讯录。</t>
  </si>
  <si>
    <t>2019/10/06 18:36:42</t>
  </si>
  <si>
    <t>投诉人孙先生投诉对象信用管家,壹心分期涉诉金额1700元问题类型诉求类型投诉详情本人共借款俩次，每次借款1700元，到账1230元，砍头息470元，现本人无力偿还砍头息，只能负担本金销账，现在剩余最后一期。</t>
  </si>
  <si>
    <t>2019/10/06 18:36:40</t>
  </si>
  <si>
    <t>泄漏我的资料，把我的电话信息公布到网上导致信息泄漏，对我进行电话轰炸，对我生活、工作造成了严重的影响，本人未授权任何验证码，不停的有深圳4s店打电话问我是不是要买车，但我本人并没咨询过，为此还特意下了app，什么信息也没有，也就是有人恶意在该平台用我的信息咨询，但我本人也没收到过验证码之类的，汽车之家平台并没有做好保护好个人隐私，为此我要求该平台做出道歉并及时处理。</t>
  </si>
  <si>
    <t>2019/10/06 18:35:17</t>
  </si>
  <si>
    <t>1、本人2019年3月在快闪卡贷借款12000元，被前海新流大数据保险代理有限公司强行扣除保险费1776元，这个费用我当时借款的前是不知道有这么多的费用的，相当于是变相的砍头息，今天快闪的贷后催收还打电话威胁我说说我不处理欠款要打我提供的联系方式信息，还要上门催收了解情况，2、6个月分期还款每月还款2400元，相当于借款到账10101，利息高达4400元，利息高达44％以上，远远高出国家规定的，3、本人已经正常还款两期，到第三期时觉得有疑问，有与客户联系，对方态度极其恶劣，说他们只能处理欠款其他的都处理不了</t>
  </si>
  <si>
    <t>2019/10/06 18:35:08</t>
  </si>
  <si>
    <t>2019/10/06 18:35:04</t>
  </si>
  <si>
    <t>打电话让我还款，就几百，我开始还，系统一直不提交，一直这样，跟我打了电话，我同意了它们还款请求。</t>
  </si>
  <si>
    <t>2019/10/06 18:35:01</t>
  </si>
  <si>
    <t>投诉人朱先生投诉对象招联金融涉诉金额0元问题类型诉求类型投诉详情不知道招联金融从哪里得知我的电话号码，一直给我打电话，发短信，明明知道我不是这个叫朱莹的，还不停地发她欠钱的消息，这已经对我的个人生活造成了严重骚扰，甚至是非法获取我的手机号码，希望有关部门能加强监管，停止对我的骚扰，如果要找就直接找朱莹，不要再给我打电话或发短信了，再给我打骚扰电话，我这边只能报警处理了。</t>
  </si>
  <si>
    <t>2019/10/06 18:34:48</t>
  </si>
  <si>
    <t>最近因为工作不稳定，导致该银行账单逾期，自己也在想办法处理，之前工作人员和我联系时，我也说过我的特殊情况，可是他们还是给联系人打电话，以至于我还差点离婚，现本人希望能放宽10天还款时间，并不要给联系人打电话。</t>
  </si>
  <si>
    <t>2019/10/06 18:34:33</t>
  </si>
  <si>
    <t>我在捷信公司贷款2万4，已经还了18期，还了1万9千多，但是捷信公司高利贷，给我分了39期，要让我还40443元，然后我报案了，因调查中，公安同志对我说捷信是高利贷，利息超过国家规定，给我走法律程序规定，最多给于本金，但是捷信金融给我亲戚朋友拨打骚扰电话，气我妈妈现在住院，我姐姐生气厉害我，我老公跟我离婚，我现在要求对方给我道歉，另外目前捷信给我短信让我一次性，在还2万多，威胁我，若不还，就送花圈，就上征信，我实在没办法，只能祈求投诉。</t>
  </si>
  <si>
    <t>2019/10/06 18:34:07</t>
  </si>
  <si>
    <t>我按照导航路线走，道路施工需要绕路到达，系统检测我绕路，希望平台能核实清楚再判责，给我一个满意的答复。</t>
  </si>
  <si>
    <t>2019/10/06 18:34:06</t>
  </si>
  <si>
    <t>投诉人陈先生投诉对象中金嘉盈顺涉诉金额299元问题类型诉求类型投诉详情在不知晓的情况之下无故扣款，愿退款道歉，做出惩罚。</t>
  </si>
  <si>
    <t>投诉人叶先生投诉对象章鱼哥APP,章鱼精选APP涉诉金额100元问题类型诉求类型投诉详情章鱼哥骗局，充值后抵用卷限制使用，现在'app都停止使用了。</t>
  </si>
  <si>
    <t>2019/10/06 18:33:44</t>
  </si>
  <si>
    <t>钱站一直打电话给通讯录的亲人朋友，要求停止骚扰、道歉。</t>
  </si>
  <si>
    <t>2019/10/06 18:32:50</t>
  </si>
  <si>
    <t>从未使用过借款提速包里的任何权益，要求退款。</t>
  </si>
  <si>
    <t>2019/10/06 18:32:33</t>
  </si>
  <si>
    <t>再未逾期情况下，暴力催收，威胁爆通讯录，人身攻击。</t>
  </si>
  <si>
    <t>2019/10/06 18:32:20</t>
  </si>
  <si>
    <t>上次投诉你我贷高利贷问题，不但不解决，还在我没同意的情况下申请结案，之后天天催收骚扰电话不断，严重影响我的正常工作生活，而且在某征信机构查询我已经变成是黑名单，难道国家和相关机构就允许这种高利贷公司故作非为，再次申明我的立场借你们的钱按照国家正规的算法，我已经多还了好几百的费用给你们，你们还有什么脸让我还最后一期，并这样催收骚扰并黑我的征信?强烈要求你我贷给我开具结清证明并撤销不良征信。</t>
  </si>
  <si>
    <t>2019/10/06 18:32:01</t>
  </si>
  <si>
    <t>投诉人郑先生投诉对象钱站涉诉金额5000元问题类型诉求类型投诉详情没放款时，发现利息太高，不想用了，打客服电话不给取消。</t>
  </si>
  <si>
    <t>2019/10/06 18:31:13</t>
  </si>
  <si>
    <t>我最近生意出现了问题，所以导致资金也出现了问题，我交通信用卡用卡两年从来没有逾期过，就是最近产生了逾期了几天，，结果下午交通打电话给我让我把下一期账单也还了，下期到了再还，结果挂了电话就给我父母打电话，骚扰，本来是年龄大也没什么见识，就拿法律威胁他们。</t>
  </si>
  <si>
    <t>2019/10/06 18:29:58</t>
  </si>
  <si>
    <t>投诉人白先生投诉对象爱又米涉诉金额199元问题类型诉求类型投诉详情购买了会员卡，但是没有宣传时候的效果，虚假宣传，还不给退款。</t>
  </si>
  <si>
    <t>2019/10/06 18:29:57</t>
  </si>
  <si>
    <t>投诉人张先生投诉对象米米罐涉诉金额1000元问题类型诉求类型投诉详情在米米罐借款1000元，期限一个月，还款竟然高达1500多，北京爱农支付为高利贷平台违规放款，米米罐平台虚假宣传，借1000还款1520元也是符合国家利率吗，诱导用户购买征信报告费，催收员态度强硬，并且威胁逾期会暴力催收，威胁联系人还款，有录音，这样的高利贷平台国家不打击吗，我可以还款，但我借多少还多少，，我电话随时开通，。</t>
  </si>
  <si>
    <t>2019/10/06 18:29:55</t>
  </si>
  <si>
    <t>本人国庆在广东中旅惠州分公司报名参加拼团旅游，有该旅行社负责惠州到广州南站的接送，该旅行社雇佣劣质汽车，上车前空调已经损坏，行驶一半路程后开始水温过高报警，后机头开始出现烧焦味，过程中司机一直未停车，直到汽车无法发动，完全不顾车上乘客安全，由于没有空调，广东目前下午温度好达35度，我们连同孩子一直在高速暴晒，一个小时左右才重新换乘滴滴！在司机打电话过程中，得知该部汽车在早上出发前已经有一次水温过高报警，仍然出车接送乘客，至乘客人身安全不顾！整个过程旅行社没有任何歉意，口头给出200块作为赔偿，本人拒绝，因为</t>
  </si>
  <si>
    <t>2019/10/06 18:29:25</t>
  </si>
  <si>
    <t>投诉人 陈先生        投诉对象  钱码头分期        涉诉金额  3 000 元    问题类型    诉求类型投诉详情  软件打不开，无法联系到客服，有未还清债务</t>
  </si>
  <si>
    <t>2019/10/06 18:28:50</t>
  </si>
  <si>
    <t>闪银奇异借款1000，需要支付60手续费，另外利息30，手续费+利息，30+60年化率为108％.3倍超出国家法律红线36％利率，另外该平台还捆绑式糯米白条，借款1000一个月需还2期糯米白条，一期为81，81*2为162，另责成该平台整改，还广大穷苦的借贷人员一个说法。</t>
  </si>
  <si>
    <t>2019/10/06 18:28:28</t>
  </si>
  <si>
    <t>招联金融催收人员每天打很多个催收电话，多个人对我进行暴力催收，并不停的骚扰朋友，已影响了朋友的正常生活和工作，并把催收涵发给朋友，不停的骚扰无关人员，已构成严重的违法行为，每天至少三个不同的人对我进行催收，已经说了不是不还钱，会慢慢处理好，但仍然不停的暴力催收、威胁恐吓。</t>
  </si>
  <si>
    <t>2019/10/06 18:28:18</t>
  </si>
  <si>
    <t>长时间听不到单,老是把订单派给无证司机，这样的话要双证有何意义。</t>
  </si>
  <si>
    <t>2019/10/06 18:27:34</t>
  </si>
  <si>
    <t>和催收说了会在20号还款，他还威胁说上门和寄律师函要求道歉。</t>
  </si>
  <si>
    <t>2019/10/06 18:27:29</t>
  </si>
  <si>
    <t>捷信今天上门催收导致奶奶心脏病复发，卧倒在床，我觉得我个人的问题他们无权干涉我的家人。</t>
  </si>
  <si>
    <t>2019/10/06 18:27:28</t>
  </si>
  <si>
    <t>APP进去后直接让填写信息，信息填写完之后就弹出个提示下款中，并且看不到任何的合同，利息，借款天数，一直到下款后才在待还款里面看到借款1400，借款5天，还款2000元。</t>
  </si>
  <si>
    <t>2019/10/06 18:26:49</t>
  </si>
  <si>
    <t>家里人钱伴借款五千，要提前一次性偿还金额高达6683，这么高的金额不是高利贷吗。</t>
  </si>
  <si>
    <t>2019/10/06 18:26:45</t>
  </si>
  <si>
    <t>放款金额为3375，一个月分四期还款七天为一期，一期还款为1151.46，总还款就是要4605，一个利息就是1230，严重超出国家利率，今天是最后还款日实在无法尝还高额利息。</t>
  </si>
  <si>
    <t>2019/10/06 18:26:42</t>
  </si>
  <si>
    <t>前两天在小浦优客上借款，按他们的步骤填写真实的个人资料并绑定银行卡，绑定完成后开始审批，过了一会说要扣除296元的个人信用报告费，开始之前的步骤并没有说明有这个费用，正规的贷款也不会前期收费此平台涉嫌违规欺诈，我要求全额退还296元，因为不知道会有这种情况发生，申请过程没有截图，而且他也只是中介，扣取费用之后推荐几个app。</t>
  </si>
  <si>
    <t>2019/10/06 18:24:39</t>
  </si>
  <si>
    <t>恶意辱骂，骗取还款，威胁本人，还要爆通讯录。</t>
  </si>
  <si>
    <t>2019/10/06 18:24:01</t>
  </si>
  <si>
    <t>阴阳合同，借款时显示金额3000，到合同生效打款到账3000，合同显示金额5100，客服解释说这是担保费，服务费等等！合同上只显示服务费88.57，并未见2000多元的费用为何费用！打电话给客户，客服说上报处理，但是一群不知名的电话告诉我他是客服，打电话第一句话就是你把钱都还了，全款5300余元！敢问，借了3000，怎么本金就成了5100。</t>
  </si>
  <si>
    <t>刚到期，就平凡电话骚扰！打了四个电话，严重影响生活。</t>
  </si>
  <si>
    <t>2019/10/06 18:23:07</t>
  </si>
  <si>
    <t>投诉人 陈先生        投诉对象  钱站,华夏银行        涉诉金额  4 500 元    问题类型    诉求类型投诉详情  借款2000，三个月需要还款实际4500</t>
  </si>
  <si>
    <t>2019/10/06 18:22:12</t>
  </si>
  <si>
    <t>在70周年国庆之际我注册了淘宝账号，进行购买了一次商品后第二天就被限制登录&amp;冻结，之后几天经过多次与淘宝客服沟通，我进行了三次上传个人信息的信息核实申诉，然而无果，我没有任何违反淘宝规则的行为，这是我刚刚注册的淘宝账号，他们却用系统检测我账号有安全问题，恶意注册账号，为由限制登录，严重影响我购物与心情，请求恢复我个人淘宝账号无法登录问题。</t>
  </si>
  <si>
    <t>2019/10/06 18:21:55</t>
  </si>
  <si>
    <t>借款10000元，利息高达3300多，还额外扣取899保费，本来是每月5号自动还款，提前1个星期扣款。</t>
  </si>
  <si>
    <t>2019/10/06 18:21:14</t>
  </si>
  <si>
    <t>我在小黑鲨申请了一笔借款，由于本人家庭原因，没有还上，我也主动联系他们协商分期还款，但是客服一直不处理，今天小黑鲨给我打电话催收，让我一次性还清，不还不上他们就要爆我通讯录，。</t>
  </si>
  <si>
    <t>2019/10/06 18:21:07</t>
  </si>
  <si>
    <t>属于高利贷，还暴力催收！我18年12月份在钱站借的17920元钱，其中当时就扣了1920元的服务费，我分期12个月，每月还1791,合同上还有个首期服务费1147.79元，后续各期服务费153.88元，逾期一天加收100元的费用，我已经还完了十期，合计17910元，加上扣除的服务费已经超出了本金，因为这几天确实有困难逾期了。</t>
  </si>
  <si>
    <t>2019/10/06 18:21:02</t>
  </si>
  <si>
    <t>投诉人吴勇投诉对象滴滴出行涉诉金额80元问题类型诉求类型投诉详情预约的早上5点40的专车，上车后司机提议是否走高速，时间路程差不多，但实际结果是时间多花了十几分钟，路程多跑了17公里，实际导航路程40公里，司机跑了57公里。</t>
  </si>
  <si>
    <t>2019/10/06 18:19:41</t>
  </si>
  <si>
    <t>打着贷款app的名义，填写完个人资料，出来需要验证码，快捷通发了验证码，诱导绑卡转账，然后直接蹦出来多少额度，下面只有一个确定，点确定以后直接就刷走你的钱，我一脸懵逼，强烈要求退还我的钱。</t>
  </si>
  <si>
    <t>2019/10/06 18:18:40</t>
  </si>
  <si>
    <t>付宝催收人员多次拨打我的亲戚朋友电话进行骚扰。</t>
  </si>
  <si>
    <t>2019/10/06 18:18:25</t>
  </si>
  <si>
    <t>拍拍贷强制购买一个400的产品，400元不勾选无法提交贷款申请，app客服点不开联系不到。</t>
  </si>
  <si>
    <t>2019/10/06 18:17:20</t>
  </si>
  <si>
    <t>2019年9月24号在淘宝购入一件鸭子包，卖家承诺10天内发货，一直到10月5号卖家都未进行发货，超时未发货我申请了投诉，投诉后卖家就发货了，之后有打电话与我进行沟通，我说明天就会撤销投诉，因为两地很近明天就可以收到，工作原因是晚上上班白天休息，卖家白天有打电话催促我撤销投诉我都没有接到，之后发现快递被退回，我没有要求卖家进行任何赔偿卖家却说我对他仙人跳，我觉得这是侮辱，卖家要求我进行退款，从始至终我并未有要求退款，我有跟卖家说清楚要求发货，不要退款，卖家却联系快递把快递退回了，我付款了，却没有收到包裹，拨</t>
  </si>
  <si>
    <t>2019/10/06 18:15:40</t>
  </si>
  <si>
    <t>于10.3日在小米有品平台购买平方第三方牌子Proease，购买前详细告诉客服本人身高体重，客服给出购买尺寸S码！因到货尺寸不合适！本人开始想换货沟通后感觉客服售后态度不好！想退货！但客服要求退货产生邮费由我承担！首先我是不接受的，产品是该公司生产，我买前详细给过个人情况让客服给合适尺寸购买！客服是专业的！我肯定相信他！但是现在出现问题客服推脱责任！把责任推到消费者身上！前提购买前也没告知我相关退货责任！希望聚投诉帮忙处理！感谢！。</t>
  </si>
  <si>
    <t>2019/10/06 18:14:37</t>
  </si>
  <si>
    <t>投诉人葛先生投诉对象好易贷涉诉金额3000元问题类型诉求类型投诉详情先不说3000额度到账2100啊，我投诉之后，有客服打我电话，加我微信让我撤销投诉，我心软，撤销投诉了，把到账的2100通过支付宝还了，然后刚刚就开始被陌生号码骚扰了，都是说什么要不要买车啥的，我想我最近没有留买车的信息啊，现在怎么一个个都打过来了，而且都是广东那边的，我想我也没去过广东啊！后来我就想听了一个电话，我问他为什么，他说有可能别人把我的号码发到网上了，然后开始攻击我，我想应该是这样的，真的气人！。</t>
  </si>
  <si>
    <t>2019/10/06 18:14:27</t>
  </si>
  <si>
    <t>投诉人胡太兵投诉对象融信涉诉金额10600元问题类型诉求类型投诉详情在他们公司旗下办理贷款业务被坑了1万多，现在联系不到任何人。</t>
  </si>
  <si>
    <t>2019/10/06 18:14:25</t>
  </si>
  <si>
    <t>我是拼多多平台上面的店铺商家，此次投诉的这个订单是买家在8月26日正常签收快递后，装上我们店铺购买的商品后，8月27日下午把他自己换下来的报废商品拍照上传直接在平台申请退货退款，退货理由是商家发错货，我当时看到买家退货申请后多次主动联系买家了解情况，买家不接我的电话并把我的两个手机号都加入黑名单，无奈我操作驳回买家退货申请，买家申请平台客服介入处理，我按照平台要求提交了能够证明我没有发错货的快递公司揽收公章证明和快递官网称重截图，并在售后页面详细说明了情况，客服介入判责后裁定支持商家&amp;nbsp;驳回买家退货</t>
  </si>
  <si>
    <t>2019/10/06 18:14:10</t>
  </si>
  <si>
    <t>逾期金额3616.8元，投诉过一次，骚扰停了一、两天，现在变本加厉，每天打电话恐吓、骚扰我通讯录的人，黑社会。</t>
  </si>
  <si>
    <t>2019/10/06 18:12:43</t>
  </si>
  <si>
    <t>2019/10/06 18:12:30</t>
  </si>
  <si>
    <t>本人因创业失败导致信用卡还不上，也一直在协商，没逃避没有不还刚找到份工作实习工资3000左右，也有在上个月还了2000多，现在又有催收恐吓，说要上门要立马还7000多，逼人不带这么逼的，我希望招商信用银行客服给我个结果，找个人好好协商问题，而不是把人逼到绝境，如果那样钱也回不来还要搭上一条命。</t>
  </si>
  <si>
    <t>2019/10/06 18:12:12</t>
  </si>
  <si>
    <t>今借到给金象金服提供高利贷平台，到账砍头息百分之三十，七天时间到期，金象金服714高炮。</t>
  </si>
  <si>
    <t>2019/10/06 18:11:37</t>
  </si>
  <si>
    <t>打骚扰电话，每天无数次的打，还骚扰家人，请求立即停止骚扰，赔礼道歉。</t>
  </si>
  <si>
    <t>2019/10/06 18:11:06</t>
  </si>
  <si>
    <t>侵犯个人名誉，本人遭到酒驾拘留了，出来当天就就要处理分期，可是他们暴力催收恐吓家人，毁个人名誉，要求给做出解释。</t>
  </si>
  <si>
    <t>2019/10/06 18:10:33</t>
  </si>
  <si>
    <t>期间我没接到他们客服电话，就直接打电话到我家人手机了，非法骚扰亲朋好友，还款时间，还款能力，你可以和我谈，这么骚扰亲朋好友。</t>
  </si>
  <si>
    <t>2019/10/06 18:10:28</t>
  </si>
  <si>
    <t>美团勾结东北山东河南涩黑人员从国庆第一天到目前为止，不停骚扰恐吓我，开口就是快还钱，并威胁我要骚扰我年迈的父母，我父亲是一个老党员，但在他们眼里却完全被黑势力掩盖，我说我在开车拉货努力赚钱还钱，请不要老打电话，却依旧打个不停，让我不但闯了红灯还差点撞到行人，美团的这种行为让人愤恨，国庆如此庄严的时刻，美团勾结社会恶势力暴力催收向党和国家挑衅，难道就如此仓狂吗。</t>
  </si>
  <si>
    <t>2019/10/06 18:10:19</t>
  </si>
  <si>
    <t>本人从京东商城多次购买京东自营由青岛医药接货仓发货的奥利司他胶囊，在货物运输途中屡次出现物流配送不及时的现象，先根据《合同法》第一百零七条以及《快递服务行业标准》要求京东赔偿3000京豆未果。</t>
  </si>
  <si>
    <t>2019/10/06 18:10:06</t>
  </si>
  <si>
    <t>借款14320元，到账11000元，保费扣除3220元。</t>
  </si>
  <si>
    <t>2019/10/06 18:10:00</t>
  </si>
  <si>
    <t>翼支付盗取本人通信录信息，对本人亲戚和朋友长期进行电话催收骚扰，希望有关媒体能够进行曝光其违法盗取通讯录信息行为，有关公安机关能够进行严查。</t>
  </si>
  <si>
    <t>2019/10/06 18:09:02</t>
  </si>
  <si>
    <t>在安溪连锁店办的会员，到泉州浮桥新天地点不能享受会员。</t>
  </si>
  <si>
    <t>2019/10/06 18:08:55</t>
  </si>
  <si>
    <t>个人央行征信出现一条深圳市国银盛达融资担保有限公司代偿还记录，涉及金额17311，我本人与这家公司并未有相关借款记录，目前也联系不上这家公司相关联系方式。</t>
  </si>
  <si>
    <t>2019/10/06 18:08:42</t>
  </si>
  <si>
    <t>打了之后12306客服说看到我只支付了26元。</t>
  </si>
  <si>
    <t>2019/10/06 18:07:07</t>
  </si>
  <si>
    <t>本人2019年7月2号在人人贷平台借款5000分12期，平台显示还款6692元，本人诉求提前结清，按照国家规定利率，跟平台沟通过说利率符合国家标准，提前还清不减免，说我可以起诉……因本人欠网贷太多无法承受高额利息。</t>
  </si>
  <si>
    <t>2019/10/06 18:06:24</t>
  </si>
  <si>
    <t>本人在凡普金科旗下月光侠借款申请了一笔借款，金额是3000元，实际到账只有2100元，砍头息高达900元，每月还款1056元，因资金周转问题，逾期了一天，当天下午就打了我的通讯录，我朋友还有我父亲都告知我有一个女的打电话给他们说叫我还钱，请问这个擅自拨打本人的通讯录这个行为是否合法，之前就有投诉过退还砍头息900元，没有回复，并且还在本人不知情的情况下擅自结案，现在我再次投诉，希望本公司可以退还砍头息900元，本人可以一次性偿还所有账单。</t>
  </si>
  <si>
    <t>2019/10/06 18:04:00</t>
  </si>
  <si>
    <t>2016年跟同程旅游去土耳其旅游回来后，被销售经理误导加入同程百旅会，当时说是入会费可以抵旅游费，可以订酒店机票等，但是并没有说清楚每次只能抵扣那么一点点，甚至酒店和机票根本不能抵现，当时的业务员已经离职，要求退款一直不同意，说有五年期，但现在的积分用途更少，积分商城的商品价格高于市场价，抵扣分也很少，3年过去，积分只是带妹妹美国加拿大墨西哥旅游时用了300分，今年带孙子去英国花费近3万积分不能用，目前还有2761积分，现强烈要求退款！退款！退款！为什么多次投诉不成功。</t>
  </si>
  <si>
    <t>2019/10/06 18:02:39</t>
  </si>
  <si>
    <t>小孩在快手上打赏送礼物了，快手公司不给处理，希望组织给解决一下，本来日子就清贫，这一下更雪上加霜。</t>
  </si>
  <si>
    <t>2019/10/06 18:00:29</t>
  </si>
  <si>
    <t>现在还剩最后两期，由于最近资金链断了，刚刚催收打电话来，本来我说是8号来处理，但是催收说不行，还威胁我说什么要联系第三方，来帮我还款，并且我已经还够本金和利息，你们还有什么权利催收。</t>
  </si>
  <si>
    <t>2019/10/06 17:59:48</t>
  </si>
  <si>
    <t>1、我有一张尾号0106信用卡，在2019.10.04我不知情的情况下办理了18期分期，我于2019.10.06在app准备还款时发现被办理了分期，2、打电话给客服，回复我2019.10.04下午四点多在微信公众号办理了分期，但我当时正在外面逛商城，且办理分期需要点选期数和“同意条款细则并办理”，本人以前从未办过分期，所以不知道是否需要输入密码，客服声称分期无法取消，或者取消后我仍然需要支付所有18期分期手续费，3、我去支行了解情况后再次打电话，新的客服说可以取消分期，但我需要支付1期手续费，考虑到拖下去对</t>
  </si>
  <si>
    <t>2019/10/06 17:59:46</t>
  </si>
  <si>
    <t>在APP绑定银行卡以后，填写信息以后，出额度时候，盗刷卡里钱。</t>
  </si>
  <si>
    <t>2019/10/06 17:59:22</t>
  </si>
  <si>
    <t>我有还款意向，也愿意协商，但是该平台的工作人员电话里威胁说爆我通讯录，骚扰我通讯录的人员，让我臭名远扬。</t>
  </si>
  <si>
    <t>2019/10/06 17:58:33</t>
  </si>
  <si>
    <t>贷款分期不支持提前一次性还款，故意收取高额利润，现压力太大，怕以后还不上贷款，想一次性结清贷款，没想到不支持提前还款！还联系不到客服请求结清贷款，减免利息。</t>
  </si>
  <si>
    <t>2019/10/06 17:58:25</t>
  </si>
  <si>
    <t>一点进app就让我风险评估，有两个选项一个是交299元，另一个不需要直接绑定银行卡，我绑定银行卡过后直接免密支付299元，本人完全不知情，并且打客服电话是什么天宫九号娱乐会所，后续不接我电话。</t>
  </si>
  <si>
    <t>2019/10/06 17:58:24</t>
  </si>
  <si>
    <t>参加九月十六号零点的TCL电视有个前5名半价的活动，活动规则的第五条要求订单的创建时间要在活动开始的时候或者之后，也就是9月16日0点开始的时候或者之后，但是所公布的中奖名单，全部都是16日0点之前创建的，本来很好的一个活动，不能因为工作人员的拉错名单，整成虚假活动了，要求按照活动规则重新公布名单，剔除提前拍下的无效数据，并且道歉。</t>
  </si>
  <si>
    <t>2019/10/06 17:57:45</t>
  </si>
  <si>
    <t>我与我爱人白女士于2018年7月结婚，在此之前我爱人被前任欺骗，两个人在捷信公司借了一笔款，跟捷信公司多次沟通，不给解决，海派人打我电话，对我人身语言攻击，威胁我家人，还说要上门砍我，今天万般无奈，借助贵平台暴露捷信公司的所作所为。</t>
  </si>
  <si>
    <t>2019/10/06 17:55:35</t>
  </si>
  <si>
    <t>朋友欠钱，小花钱包一直骚扰我，对我工作产生了严重困扰，，，每天几十个电话，别人欠钱为什么要骚扰我，，好像我欠钱一样的。</t>
  </si>
  <si>
    <t>2019/10/06 17:54:42</t>
  </si>
  <si>
    <t>投诉人 杨先生        投诉对象  白领金库        涉诉金额  12 000 元    问题类型    诉求类型投诉详情  骚扰家人，没经过本人同意。给家人打电话骚扰</t>
  </si>
  <si>
    <t>2019/10/06 17:54:19</t>
  </si>
  <si>
    <t>2018年3月在1号店商城www.yhd.com/自营店购买一款iPhoneX64G手机，在使用过程中发现手机没有原彩显示，联系售后表示需要苹果售后出具相应的检测报告证明手机为非原装屏，后去苹果售后得知，苹果只检测和维修，不给出具检测报告，对方表示就算知道我的手机屏幕不是原装的也不能帮我证明，这个不是他们的工作职责，联系1号店售后，售后却表示没有检测证明无法确定我的手机屏幕不是原装的以此来推脱他们出售二手手机的事实，这是明显的欺诈行为。</t>
  </si>
  <si>
    <t>2019/10/06 17:53:56</t>
  </si>
  <si>
    <t>招联金融有限公司在未经本人同意的情况下，爬取本人通讯录信息，并用短信群发的手段，恶意将本人负债、逾期等个人信息向多名债务人外的其他人员透露，形成非法影响，严重侵害本人的名誉权，产生极大的不良影响，影响本人正常的生活和工作，本人要求：1.招联金融有限公司立即停止其违法违规行为，停止滋扰我的与借款无关的联系人。</t>
  </si>
  <si>
    <t>2019/10/06 17:53:37</t>
  </si>
  <si>
    <t>晋商消费金融股份有限公司,中国银联,工商银行,元宝e家，上次扣完保证绝对不会再有类似问题，结果一而再再而三。</t>
  </si>
  <si>
    <t>2019/10/06 17:52:33</t>
  </si>
  <si>
    <t>上海证大财富暴力催收，催收手段恶劣，并且阴阳合同，不断的骚扰我的家人朋友和同事，语气嚣张猖狂，说自己平台有警察撑腰，不怕举报和投诉，气的我奶奶心脏病发作了，妈妈身体也不好，被证大催收不停的骚扰，高血压也犯了！并且骚扰的公司同事没办法正常生活和工作。</t>
  </si>
  <si>
    <t>2019/10/06 17:52:06</t>
  </si>
  <si>
    <t>投诉人张先生投诉对象时光分期涉诉金额4500元问题类型诉求类型投诉详情逾期一天就二十多，五天一百多，这种高利贷，威胁我你们利息这么高怎么不说呢，超级高利贷。</t>
  </si>
  <si>
    <t>2019/10/06 17:51:34</t>
  </si>
  <si>
    <t>投诉人代先生投诉对象小浦优客涉诉金额296元问题类型诉求类型投诉详情下载了app，要求绑定银行卡，生成报告，未经同意私自扣款，也并没有提到服务费，也没有表明服务费的价格，希望投入能得到及时的处理，贴吧里也有很多人都被这样骗了。</t>
  </si>
  <si>
    <t>2019/10/06 17:51:16</t>
  </si>
  <si>
    <t>我借款5000，强制我分12期还款，总共要还6799.6，我想还本金他们不同意，高利贷，套路贷，希望你们可以管管，只还本金。</t>
  </si>
  <si>
    <t>2019/10/06 17:51:01</t>
  </si>
  <si>
    <t>我都说了没时间处理，等过段时间在处理就威胁我家人朋友，还恐吓我，而且利息还特别高，说话态度一点都不好，还打电话威胁我，这是要把我逼死的节奏吗。</t>
  </si>
  <si>
    <t>2019/10/06 17:50:29</t>
  </si>
  <si>
    <t>借款30000，合同写36600，扣除了服务费6000多，分18期，每期要还2233.99元，等于实际要还40000多，高利贷，还砍头息借口服务费。</t>
  </si>
  <si>
    <t>2019/10/06 17:50:04</t>
  </si>
  <si>
    <t>下午5点左右接到光大信用卡工作人员电话，告知我，信用良好可以更换一张白金信用卡但是不免免费，可以通过其他的途径来免除，这张信用卡不激活没有任何费用，接下来很快速的询问是否经常去医院，进行医疗处理！我回答的没有，然后又是说了一堆，紧接着就说了句祝你生活愉快！。</t>
  </si>
  <si>
    <t>2019/10/06 17:48:44</t>
  </si>
  <si>
    <t>高利贷，爆通讯录，暴力催收，侮辱我朋友，我的家人，对我的生活和工作造成了无法弥补的损失。</t>
  </si>
  <si>
    <t>2019/10/06 17:48:40</t>
  </si>
  <si>
    <t>因本人缺钱，手机浏览器搜索网上贷款，点击加qq好友，之后让我卡里有2000块钱，卡里钱有了让我转进他们的银行卡，我犹豫了，身边朋友说这是骗子，他们吓我说已经上征信了，钱必须转进他们卡里才能下来一万，我想怎么可能打进他的卡里呢，我未收到任何贷款金额，也已经报警，希望警察管事，只是想求证上征信真假。</t>
  </si>
  <si>
    <t>2019/10/06 17:48:16</t>
  </si>
  <si>
    <t>小赢卡贷实际利率与宣传的不符，宣传利率为7.2%实际利率高达60%多，已严重，超出国家规定范围，要求尽快联系协商，减免或恢复正常利率或恢复到我可接受的利率范围。</t>
  </si>
  <si>
    <t>2019/10/06 17:48:01</t>
  </si>
  <si>
    <t>今年在卡牛瑞贷上贷款，一开始贷了5000到账直接莫名其妙扣掉1000，后来贷款均是无缘无故扣款，但是还款还是按照贷款金额还款，实际到账金额其实没有那么多，一开始贷款并没有告知这件事，逾期2天就暴力催收，打通讯录电话说慌告诉我的亲戚我用我亲戚的号码贷款，实际并没有，亲戚年纪较大，导致亲戚血压升高，还在微信加好友的时候威胁我会骚扰我的亲戚朋友，太过分。</t>
  </si>
  <si>
    <t>2019/10/06 17:47:48</t>
  </si>
  <si>
    <t>浦发银行第三方催收暴力催收短信轰炸本人和紧急联系人。</t>
  </si>
  <si>
    <t>2019/10/06 17:46:15</t>
  </si>
  <si>
    <t>上午给我电话说下午处理，两点多钱存进去一直不扣款。</t>
  </si>
  <si>
    <t>2019/10/06 17:45:33</t>
  </si>
  <si>
    <t>投诉人 梁祖科        投诉对象  友缘在线        涉诉金额  168 元    问题类型    诉求类型投诉详情  不经过同意乱扣费！挂羊头卖狗肉 可耻可耻！</t>
  </si>
  <si>
    <t>2019/10/06 17:45:15</t>
  </si>
  <si>
    <t>在天天拍车拍到一辆闽cz259n长安cs35，实车收到后，发现在描述上有隐瞒车辆经常拉货导致后备箱磨损起皮严重的情况，二次复建也没有对我阐述，对公司提出异议，得到的答复是清洗即可，如果是简单的清洗可以解决的话就不会跑来投诉，这直接性的导致我增加成本，望解决。</t>
  </si>
  <si>
    <t>2019/10/06 17:44:00</t>
  </si>
  <si>
    <t>还款日当天就给我联系人各种打电话威胁骚扰，而且态度恶劣，并且人身攻击。</t>
  </si>
  <si>
    <t>2019/10/06 17:43:43</t>
  </si>
  <si>
    <t>此平台为高利贷平台，年化率36%，到账8000元实际还款11531.52元，利息3531.52元，每月还款日为29日，由于未接到平台更新通知导致逾期，后期尝试打开APP、一只显示更新而且点击更新没有进度，逾期第5天有广州电话打进来，每次号码不一样，由于打不开软件不知道还款卡号，查了点融网官网电话并不是通知我的广州电话，怀疑为虚拟电话，遂未搭理，10月6日次平台开始暴力催收，通讯录，同学，家人都被此平台骚扰，通过搜索手机号添加家人好友，对我的家人以及我的声誉造成不可磨灭的影响，包括今天此平台软件也是登陆不进去</t>
  </si>
  <si>
    <t>2019/10/06 17:43:37</t>
  </si>
  <si>
    <t>中信银行联手百度有钱花非法获取通讯录联系人进行骚扰。</t>
  </si>
  <si>
    <t>2019/10/06 17:43:18</t>
  </si>
  <si>
    <t>2019/10/06 17:43:04</t>
  </si>
  <si>
    <t>投诉人张女士投诉对象中通快递涉诉金额2699元问题类型诉求类型投诉详情本人今年2月23日通过微信中通下单寄了一个电脑主板到湖北，型号是技嘉X99-UD4，收件人并没有收到，件丢失了，却被寄件中通业务员作假私自虚假显示签收了！收件人也上传了盖了公章价值证明，但是中通一直没有赔偿，卑鄙！！恶心！！。</t>
  </si>
  <si>
    <t>2019/10/06 17:40:38</t>
  </si>
  <si>
    <t>我借了3300元我把本金全部还给他了，最后一期只剩下利息了，我资金困难，暂时没还700的利息，他就直接爆我的通讯录了，骚扰辱骂我的家人朋友。</t>
  </si>
  <si>
    <t>2019/10/06 17:40:20</t>
  </si>
  <si>
    <t>本来是要借10000，结果到了13000，又给扣了3000，仔细看了下是保险，然后让我按13000还贷款利息！而且我想提前还根本没有通道！24期分期的话按我到手13000的利率超过法定利率太多了，反应过来后来投诉！！。</t>
  </si>
  <si>
    <t>2019/10/06 17:40:19</t>
  </si>
  <si>
    <t>投诉人谢先生投诉对象立借涉诉金额9000元问题类型诉求类型投诉详情因自身原因导致资金周末没到位而逾期，立借公司一打电话来就态度恶劣，并不与我协商直接爆通讯录，严重影响我的工作关系和朋友关系，。</t>
  </si>
  <si>
    <t>2019/10/06 17:40:13</t>
  </si>
  <si>
    <t>乐家易付,敏付支付,瀚银科技,银生宝,中国银联，后通过中国人民银行和支付清算协会沟通得知第三方支付公司不得向证券、期货、基金等机构提供支付结算业务，8月末进去一微信理财群，群里理财规划师，宣导的理财产品非常好，到期有百分之十收益，是正规银行理财产品，从2019年9月6号，到10月3号，陆续通过银生宝，敏付，乐家易付航天电子，瀚银科技，入款93570元，因家里发生突发事件，急需用钱，在群内提出退款申请，因为没到期，利息收益的百分之十也不要了，只希望退回本金即可，理财规划师以没到期为由，决绝为我出款，我在愤怒下</t>
  </si>
  <si>
    <t>2019/10/06 17:40:00</t>
  </si>
  <si>
    <t>投诉人张先生投诉对象爱彼迎涉诉金额0元问题类型诉求类型投诉详情我在爱彼迎平台打算预订民宿，前期咨询商家被侮辱，投诉到平台客服转接到运营经理，运行经理拒绝处理。</t>
  </si>
  <si>
    <t>2019/10/06 17:39:32</t>
  </si>
  <si>
    <t>微信公众号“遇见出行”涉嫌欺诈消费者，骗取押金，以升级为由拒绝退还押金。</t>
  </si>
  <si>
    <t>2019/10/06 17:37:30</t>
  </si>
  <si>
    <t>恐吓威胁，骚扰我的亲戚朋友还有理，你们有本事吗。</t>
  </si>
  <si>
    <t>2019/10/06 17:36:01</t>
  </si>
  <si>
    <t>电话打来说事缺钱么公司的，说我欠款多少多少，说完我没有机会就直接采取短信轰炸，电话骂人这种，再不发法定日期打电话暴力催收。</t>
  </si>
  <si>
    <t>2019/10/06 17:35:17</t>
  </si>
  <si>
    <t>我在钱站平台有两笔借款，实际到手只有3000元整，，我看了钱站app里的合同借款本金却是1330及2660，我已咨询律师事务所，依照国家法律的规定借款本金应是2000及1000才对，利息应是2000及1000本金的基础来计算，钱站无视国家法律法规提供虚假合同，合同本身就已经违法，我电话多次联系钱站的客服人员要求他们依照国家法律规定给我正确的调整本金和借款利率，客服表示未到账的330和660为该笔借款的担保费，在点击确认借款时会提醒我不会打入我账户，强调担保费在还款结清后不会退还给我，还有所谓的服务费，与合同</t>
  </si>
  <si>
    <t>2019/10/06 17:35:02</t>
  </si>
  <si>
    <t>分期偿还的，不小心逾期一天，就直接打联系人催收，这么牛逼的么，都不给人时间的，谁还没有个特殊情况，我又不是逾期了特别长时间，你们是回笼资金疯了吧。</t>
  </si>
  <si>
    <t>2019/10/06 17:34:56</t>
  </si>
  <si>
    <t>投诉人 王先生        投诉对象  京东金融        涉诉金额  4 800 元    问题类型    诉求类型投诉详情  逾期了几天~！京东金融打电话威胁 爆通讯录 给所有人打电话~！ 严重威胁的语气~！！</t>
  </si>
  <si>
    <t>2019/10/06 17:34:13</t>
  </si>
  <si>
    <t>投诉玖富万卡，2018年4月在玖富万卡平台不小心点到了借款26000当时还没有下款的时候联系过客户要求取消借款，，当时没有在意那么多以为利息也没有多少钱所以就一直存钱到卡里让玖富扣款，，直到至今才知道玖富的利息是如此的高，当时借款二万多如今算起来却要还四万多，，现在实在是还不动了，真是有苦不知如何讲，希望聚投诉这边能够得到解决的办法，如果能脱离这种困境真是感激不已，。</t>
  </si>
  <si>
    <t>2019/10/06 17:34:11</t>
  </si>
  <si>
    <t>9月13日到期，一直跟客服协商10月15号处理，逾期21天后，接到催收电话，威胁要上门催收，不给协商时间，本金6600，截止目前已经还款8297元，早已还清本金，因为15发工资，协商延长到15号，催收不给协商，让到处借钱。</t>
  </si>
  <si>
    <t>2019/10/06 17:34:04</t>
  </si>
  <si>
    <t>我2019年6月在点融魔借借款10000元分12个月还，实际到账只有8000元，2000元被扣为服务费，我还了2期，最近经济遇到困难，没有钱还了，点融魔借的催收居然骚扰我家人朋友，同学，给我的家人同学发侮辱短信，真的是畜生才能干出的事情。</t>
  </si>
  <si>
    <t>2019/10/06 17:33:50</t>
  </si>
  <si>
    <t>2019.10.5在淘手游购买账号但卖家微信不能解除绑定申请取消交易2019.10.6下午4点客服进行取消交易换绑回去，操作完成之后客服说已经申请退款5-10分钟收到退款可是一个小时我也没有收到打电话咨询根本没有收到退款申请。</t>
  </si>
  <si>
    <t>2019/10/06 17:33:43</t>
  </si>
  <si>
    <t>暴力催收，高于银行利息，支付渠道，要求道歉，归还利息。</t>
  </si>
  <si>
    <t>2019/10/06 17:31:49</t>
  </si>
  <si>
    <t>平台什么提示没有，只说绑定银行卡，然后过了4-5天，软件都删除了，还扣费。</t>
  </si>
  <si>
    <t>2019/10/06 17:30:52</t>
  </si>
  <si>
    <t>本人在马上消费金融旗下产品安逸花申请循环贷，总金额94000元，期间一直正常使用，连app都并未通知，对账号进行锁定，无法消费和提现致使本人在连续还款三万多元之后资金周转不开出现逾期，我不同意，要求安逸花方恢复可使用额度，解锁我的账户，撤销征信逾期！。</t>
  </si>
  <si>
    <t>2019/10/06 17:30:18</t>
  </si>
  <si>
    <t>该平台未经本人同意直接扣款299元，未遵守明白收费，充分告知，提供选择等原则，欺骗消费者，并且退款条件十分刁钻，希望该平台下架。</t>
  </si>
  <si>
    <t>2019/10/06 17:30:17</t>
  </si>
  <si>
    <t>投诉人梁娟投诉对象微信支付涉诉金额29930元问题类型诉求类型投诉详情微信商业版提现不到账，我们老百姓的血汗钱。</t>
  </si>
  <si>
    <t>2019/10/06 17:30:00</t>
  </si>
  <si>
    <t>扣款1481.85元，打电话给客服电话都没有人接。</t>
  </si>
  <si>
    <t>2019/10/06 17:29:34</t>
  </si>
  <si>
    <t>一直在使用信而富平台借款，然后最近正常还款以后不能再借出来了，之后我去查了记录看到是云南国际信托借款给我的，但是我通过信而富平台借款强制性的要求我购买百分之10-百分之20借款金额的特权卡才能借款，砍头息，借款周期一个月砍头息就是百分之10-20.年息远远大于规定的百分之36！。</t>
  </si>
  <si>
    <t>2019/10/06 17:29:15</t>
  </si>
  <si>
    <t>，遂购买5800元的挽回服务，但之后发现除了给发送几个教学视频和一些文字版的“话术”之外，对个人情感毫无帮助，在一次咨询后又以服务已到期限为由让我继续缴费，但从没有人告诉我服务有期限以及时间，后又以之前的导师已转业为由拒绝服务，之后又以我本人能力不足为借口让我继续购买更高级别的课程，现在只想尽快收到退款，从这场闹剧中脱身。</t>
  </si>
  <si>
    <t>2019/10/06 17:29:11</t>
  </si>
  <si>
    <t>我要求提前结清2019.4.2日的剩余本金和当期以前的利息，但平台拒绝协商。</t>
  </si>
  <si>
    <t>2019/10/06 17:29:10</t>
  </si>
  <si>
    <t>投诉人孙女士投诉对象招联金融涉诉金额70000元问题类型诉求类型投诉详情我招联金融贷款8万6，还了2万，逾期3个月还欠7万多，这利息是多少，不停打骚扰电话，一天不止3个，还短信微信等威胁我，主动找他们协商还款也不干。</t>
  </si>
  <si>
    <t>我于10月5号收到招联金融的威胁恐吓上门短信，今天又收到招联金融催收的上门威胁短信，在本人不知情情况下，不停的骚扰身边的朋友，威胁他们，恶意诽谤我是骗子。</t>
  </si>
  <si>
    <t>2019/10/06 17:28:38</t>
  </si>
  <si>
    <t>钱站app年利率超过24%，并且收取各种服务费。</t>
  </si>
  <si>
    <t>2019/10/06 17:27:07</t>
  </si>
  <si>
    <t>投诉人陈亮投诉对象微品分期涉诉金额2900元问题类型诉求类型投诉详情暴力催收，骚扰通讯录！已经和催收联系，还继续骚扰我亲人。</t>
  </si>
  <si>
    <t>2019/10/06 17:26:01</t>
  </si>
  <si>
    <t>在智行火车票软件买汽车票，搜索黄山太平到合肥的车票，按搜索结果买票后，到站取票才发现出发站竟然是在黄山市。</t>
  </si>
  <si>
    <t>2019/10/06 17:24:09</t>
  </si>
  <si>
    <t>联系快递提供签收底单，快递员拒绝提供，非法恶意他人签收。</t>
  </si>
  <si>
    <t>2019/10/06 17:23:59</t>
  </si>
  <si>
    <t>我有一笔借款，是上个月23日的还款日，因为本人之前因为生病辞职了，然后现在没找到新的工作，也刚刚从租的房子里面搬出来，之前说5号之前试试能不能凑足钱，现在实在是没有办法，希望能够协商再给10天左右的时间从早上开始，以各种渠道向微贷网进行反馈，拨打了几十个电话，答复均为“坐席全忙”，微信联系到的客服也要求我等催收找我，直到现在，事情仍未解决真的被逼无奈才会来贵平台上找微贷网客服，麻烦再给一段时间，谢谢了。</t>
  </si>
  <si>
    <t>2019/10/06 17:23:36</t>
  </si>
  <si>
    <t>本人因经济原因在2019年7月4日在信用飞借款3000元，平台年化利息20%，但是在放款后收取了610的保险费用，涉嫌违规搭售，这样算来年化利息达到了40%！国家三令五申现金贷业务不得收取砍头息和违规搭售，希望公司作出解释并且退换费用。</t>
  </si>
  <si>
    <t>2019/10/06 17:23:20</t>
  </si>
  <si>
    <t>2019/10/06 17:22:20</t>
  </si>
  <si>
    <t>喜鹊快贷还款当天，上午接到电话，我说下午还，好的，中午睡着了，没接到电话，就打到联系人了，后来又给我打电话，威胁我要打给其他联系人，还没过还款日就这样骚扰催收威胁，这样的企业不投诉不行。</t>
  </si>
  <si>
    <t>2019/10/06 17:21:19</t>
  </si>
  <si>
    <t>投诉人 李佳豪        投诉对象  造艺,造艺科技        涉诉金额  299 元    问题类型    诉求类型投诉详情  一开始填写信息 也是豹子贷平台要求填写 我并不知道填写了你们就可以随意扣费 别的软件也没有这样 我只是抱着想要分期的了解心理 而且你们扣费也并没有提前告知而是直接扣费 这已经造成了对我的人身财产的威胁跟欺骗 如果我后期那个卡里再存钱进去 剩余的299元你们还是会自动扣除 所以这已经对我的财产信息构成了威胁 我请求立即退款 并消除信息</t>
  </si>
  <si>
    <t>2019/10/06 17:21:10</t>
  </si>
  <si>
    <t>投诉人刘先生投诉对象拍拍贷涉诉金额20114元问题类型诉求类型投诉详情安徽中融法律服务有限公司未经本人允许私自群发所谓的律师函至本人通讯录所有联系人，请立即停止相关操作并作出明确道歉，你已侵犯本人合法权益。</t>
  </si>
  <si>
    <t>2019/10/06 17:20:18</t>
  </si>
  <si>
    <t>之前都是别人帮弄的，51人品贷是有保存资料，无意中点了就下款了，到现在两个还到第7期，想提前结清，比没结清的还要高的利息，意思借款10000元要还13348元！这是严重高利贷，严重超出了国家规定的利息'我从来没有逾期过，我希望51人品贷平台能调整余下还款的利息！。</t>
  </si>
  <si>
    <t>2019/10/06 17:19:42</t>
  </si>
  <si>
    <t>因为个人原因信用卡逾期，近期没有还款能力，工作人员去家里，打电话让凑凑，家里七十多岁的父母，都是农民，还给村支书打电话说要抓老人，这是把老人往死里逼吗。</t>
  </si>
  <si>
    <t>2019/10/06 17:19:22</t>
  </si>
  <si>
    <t>投诉人王先生投诉对象小浦优客涉诉金额296元问题类型诉求类型投诉详情10月5号晚上因为卡里没钱的他们发我验证码我就输了下没事可第二天下午5点左右无缘无故扣我296元，找客服退款也说不能退。</t>
  </si>
  <si>
    <t>2019/10/06 17:19:17</t>
  </si>
  <si>
    <t>支付吧账号被盗，给客服反应，就让我还密码，盗刷的钱也不赔，还让我自己还！！花呗被盗了，不赔，认倒霉，给他们客服打电话说还不上，协商能不能延期还款也不干，逾期处理了花呗也不能用了！打客服电话完全没用，一哈让找这个部门，一哈给转那个部门，就不能找个能管事的。</t>
  </si>
  <si>
    <t>2019/10/06 17:18:56</t>
  </si>
  <si>
    <t>聚福钱包，扣款评估费用299元，结果推荐的平台都是和他一样的需要前期交钱的平台贷款，现在需要退款，一个月了，也没有通过，现在客服说什么要把资料快递到上海公司的前台，才可以处理！希望平台帮我沟通协商退款！。</t>
  </si>
  <si>
    <t>2019/10/06 17:18:47</t>
  </si>
  <si>
    <t>由于生意失败，现同贵公司协商债务重组，分期还款问题，现在每个月已经无力还款7000元，现申请延长还款年限，目前已经逾期18年平台，六张信用卡逾期，均协商还款问题，希望贵公司能酌情考虑还款，目前生意失败欠款55万，分期乐可以每月还款1500元。</t>
  </si>
  <si>
    <t>2019/10/06 17:17:19</t>
  </si>
  <si>
    <t>投诉人徐先生投诉对象来分期涉诉金额20000元问题类型诉求类型投诉详情申请成功要求付工本费费用是贷款的百分之5，不要还不能取消，想要取消就得付借款的百分之20违约金才能取消订单，我怀疑是假的贷款平台，望处理，取消订单！下架APP及相关处罚！具体哪个贷款平台下载的忘了，备案号是假的，查询不着，总之需要什么我这边有的尽量配合！。</t>
  </si>
  <si>
    <t>2019/10/06 17:17:09</t>
  </si>
  <si>
    <t>因之前无意删除壹心分期app，联系不到客服然后没有下载链接，麻烦给个下载链接，马上到还款日啦。</t>
  </si>
  <si>
    <t>2019/10/06 17:17:06</t>
  </si>
  <si>
    <t>拍拍贷不联系本人，直接盗取个人信息，爆通讯录，打电话给其他无关的人员，连续多天每天几十次的骚扰恐吓家人朋友，扬言带人去家里围堵。</t>
  </si>
  <si>
    <t>2019/10/06 17:16:32</t>
  </si>
  <si>
    <t>好想贷,展鸿科技,佑佑分期,喵下贷,威力贷,肥猫贷,金鸡下蛋。</t>
  </si>
  <si>
    <t>2019/10/06 17:16:27</t>
  </si>
  <si>
    <t>此旗下月光侠分期，借款3600，到账2800，分三期，每期1250，已经还一期，第二期逾期三天给家人和朋友打电话，据资料爱钱进。</t>
  </si>
  <si>
    <t>2019/10/06 17:15:51</t>
  </si>
  <si>
    <t>投诉人徐先生投诉对象深圳卫盈智信科技有限公司我来贷涉诉金额1000元问题类型诉求类型投诉详情读取手机通讯录，发短信骚扰通讯录家人朋友，提供证据后还不承认，依旧暴力催收！就连要求无息提前结清都说我白日做梦！。</t>
  </si>
  <si>
    <t>2019/10/06 17:15:46</t>
  </si>
  <si>
    <t>投诉人 许恒怀        投诉对象  银开心        涉诉金额  68 元    问题类型    诉求类型投诉详情  私自扣费！未经过本人同意。。。。。。。。。。。。。</t>
  </si>
  <si>
    <t>2019/10/06 17:15:34</t>
  </si>
  <si>
    <t>小浦优客在我为什么知情的时候，随意乱扣钱296元。</t>
  </si>
  <si>
    <t>2019/10/06 17:14:31</t>
  </si>
  <si>
    <t>强制购买还款小秘书，强制购买保证金，逾期的话这个产品利息高的吓人，一天就还款小秘书违约金就涨了200多。</t>
  </si>
  <si>
    <t>2019/10/06 17:14:29</t>
  </si>
  <si>
    <t>2019年9月24号在淘宝购入一件鸭子包，卖家承诺10天内发货，一直到10月5号卖家都未进行发货，超时未发货我申请了投诉，投诉后卖家就发货了，之后有打电话与我进行沟通，我说明天就会撤销投诉，因为两地很近明天就可以收到，工作原因是晚上上班白天休息，卖家白天有打电话催促我撤销投诉我都没有接到，之后发现快递被退回，卖家要求我进行退款，从始至终我并未有要求退款，我有跟卖家说清楚要求发货，不要退款，卖家却联系快递把快递退回了，我付款了，却没有收到包裹，拨打快递电话快递员说是卖家要求退回的，说我退款，但我并没有。</t>
  </si>
  <si>
    <t>2019/10/06 17:14:19</t>
  </si>
  <si>
    <t>投诉人李先生投诉对象微信涉诉金额0元问题类型诉求类型投诉详情一没发车&amp;nbsp;，二没嫁我，客服与她狼狈为奸护短投诉无效，请纪委侦查！。</t>
  </si>
  <si>
    <t>2019/10/06 17:14:01</t>
  </si>
  <si>
    <t>2019/10/06 17:12:53</t>
  </si>
  <si>
    <t>逾期三天，就说等律师函，加微信之后骂完人就删了，打电话骂人，态度及其恶劣，好歹也是个金融公司，怎么会有这样的员工，希望贵公司妥善管理。</t>
  </si>
  <si>
    <t>2019/10/06 17:12:14</t>
  </si>
  <si>
    <t>高额利息，暴力催收，骚扰，爆通讯录，威胁恐吓。</t>
  </si>
  <si>
    <t>这个APP上个月已经早就卸载，都没有映像了，今天突然扣费有这样的事。</t>
  </si>
  <si>
    <t>2019/10/06 17:12:12</t>
  </si>
  <si>
    <t>打电话找支付宝客服让我找淘宝客服，淘宝客服又让我找支付宝客服。</t>
  </si>
  <si>
    <t>2019/10/06 17:11:58</t>
  </si>
  <si>
    <t>对方主动9月28在微信联系我，以今借到财务为由，出借10000，实际支付宝转账7000，目前为止我已经偿还9600，实际8天的利息是2600，经过协商对方同意销账，然而最后又反悔，只给销掉9600的欠条，要求再补400利息才销掉剩下400的欠条，本人要求追讨本金以外不合理的违法利息，并要求今借到销账。</t>
  </si>
  <si>
    <t>2019/10/06 17:11:38</t>
  </si>
  <si>
    <t>活力花，借钱3000，分3期还，已经还了2期，因为老爸住院交住院费，资金周转不过来，天天短信微信威胁，恐吓爆通讯录，不给予协商，态度恶劣请求平台帮主。</t>
  </si>
  <si>
    <t>2019/10/06 17:11:03</t>
  </si>
  <si>
    <t>我叫蓝德生，本人因资金周转需要，于2019年8月20号向翼钱包借款2000元，还我一个公道同时严查该公司，有必要下架他们的差评，以免更多人像我一样遭受这种超高利贷的毒害，实际到账1450元，期限只有短短8天，需要还款2003元，到期后本人因资金紧张选择了续期，交了630的续期费用，期限也只有短短7天，眼下又是还款日，实在负担不起如此如此高的利息了，要求减免费用，本人还款，需要申明的一点是：本次借款属于本人自愿申请，有义务履行还款，同时也有权利向严重超出国家规定的合法利息的超高利贷说不，希望有关部门能介入调查</t>
  </si>
  <si>
    <t>2019/10/06 17:10:54</t>
  </si>
  <si>
    <t>给所有亲朋好友打电话骚扰，发同样的短信，毁人声誉，牵涉个人隐私。</t>
  </si>
  <si>
    <t>2019/10/06 17:10:13</t>
  </si>
  <si>
    <t>投诉人 叶先生        投诉对象  爱又米abb软件        涉诉金额  199 元    问题类型    诉求类型投诉详情  说好开了会员 能取现 而且拒绝了 会送一千现金红包 而开通了会员 取不现 而送的红包是那些买多少减多少的红包 严重欺负消费者 学生</t>
  </si>
  <si>
    <t>2019/10/06 17:10:09</t>
  </si>
  <si>
    <t>1030逾期费用一天就要30多次协商减免逾期费用无果，导致产生500的逾期费用，要求减免不符合规定的逾期费用。</t>
  </si>
  <si>
    <t>2019/10/06 17:08:36</t>
  </si>
  <si>
    <t>收到货之后没有仔细检查就撕掉了鞋带上的纸质标签，之后发现鞋底开胶并且有黄色痕迹，于是询问客服寻求解决方案，电话客服明确表示只要标签还能找到，并且商品无使用痕迹就可以退货，客服要我先确认收货再申请售后，我在苏宁易购App上确认收货之后申请换货却遭到商家拒绝。</t>
  </si>
  <si>
    <t>2019/10/06 17:08:35</t>
  </si>
  <si>
    <t>投诉人谭先生投诉对象来分期涉诉金额1600元问题类型诉求类型投诉详情网咯号码来电，称是来分期调查组，有工号，有录音和电话记录，假期时间多次来电骚扰不听解释，恶意催收，恐吓威胁亲威朋友，没经过我同意还说上门催收威胁家人，欠款已处理一部分，剩余想办法处理，工作人员来电就不听解释，一直来电恐吓，希望能停止这种行为，多次反应问题没看到处理结果。</t>
  </si>
  <si>
    <t>2019/10/06 17:08:08</t>
  </si>
  <si>
    <t>借款1500.到账1050.要求退还砍头息。</t>
  </si>
  <si>
    <t>2019/10/06 17:06:59</t>
  </si>
  <si>
    <t>投诉人陈女士投诉对象拍拍贷涉诉金额16500元问题类型诉求类型投诉详情电话里各种说要把父母照片P成遗照，把本人P成裸照发到亲朋好友信息里。</t>
  </si>
  <si>
    <t>2019/10/06 17:06:57</t>
  </si>
  <si>
    <t>本人平常爱买中国体育彩票，一次偶然的情况下得知网上也可以投注，无需到彩票实体店去购买，本着试试看的心态，通过上海瀚银支付充值了金额，在网上投注，后来才发现网上投注是非法的，仔细调查之下，瀚银支付也属于违规给网络博彩公司提供支付渠道，并且一些收款明目都是子虚乌有的百货销售，我本人并没有购买其任何商品，。</t>
  </si>
  <si>
    <t>2019/10/06 17:05:35</t>
  </si>
  <si>
    <t>投诉人 梁先生        投诉对象  苏宁消费金融        涉诉金额  8 500 元    问题类型    诉求类型投诉详情  电话骚扰家里人 威胁恐吓本人 协商还款方案</t>
  </si>
  <si>
    <t>2019/10/06 17:05:17</t>
  </si>
  <si>
    <t>我们老百姓一天苦几十元钱也不简单的，希望有关部门给于解决，家人在信用管家里的石头管家借款3375元，分4期，已还一期1151.46元，利息就要1230.84元，照这样算一个月4期还下来要4605.84元，这么高的利息试问符合国家规定吗?我们也希望得到公平的解决。</t>
  </si>
  <si>
    <t>2019/10/06 17:05:06</t>
  </si>
  <si>
    <t>闪银以信用分不足，诱导客户以购买商品增信的理由来收取高额的砍头息，本人在闪银借了一个瞬瞬，一个哼哼，申请金额1100元，到账后秒扣100元，这是其一，其二，这两笔借款在申请前都需要购买商品和什么所谓的信用担保，另外一个至尊借款也是使用相同类似的手法收取砍头息，现本人要求和闪银协商还款。</t>
  </si>
  <si>
    <t>2019/10/06 17:04:35</t>
  </si>
  <si>
    <t>我在信用飞借款3000块的时候当时立马扣了我600我以为是到时候会退回来后来上网才发现，是直接扣了我600去买他们的保险扣600的时候，压根也没说。</t>
  </si>
  <si>
    <t>2019/10/06 17:04:32</t>
  </si>
  <si>
    <t>投诉人郭浩东投诉对象滴滴出行涉诉金额0元问题类型诉求类型投诉详情我是滴滴车主，3个月前持续了将近4个月接不到女乘客的单子，从我上个星期投诉过后又能接到两天女乘客了，而且在这女乘客都是偏大，根本接不到30岁以下的女乘客，现在又开始又接不到女乘客的单子，我搞不明白为什么，平台的派单规则什么时候有接不到女乘客这个规定和限制，请解决问题，如果不解决问题，我只能录制全天接单视频，递交国家相关部门处理，我们也要养家糊口…。</t>
  </si>
  <si>
    <t>2019/10/06 17:04:16</t>
  </si>
  <si>
    <t>涉诉金额276元问题类型诉求类型投诉详情我咨询过12348热线律师，说超过利息24%法律不支持的，多出来的不用还，前11期要还260.67元，第12期要还260.63元。</t>
  </si>
  <si>
    <t>2019/10/06 17:03:36</t>
  </si>
  <si>
    <t>现金巴士，借款2000，实际到账1800，遭到砍头息200元，本人已还款三期共1380，本人愿意协商还款剩余本金与合理利息，今日遭到现金巴士催收骚扰，本人表示10号愿意偿还合理的本金与利息，但是催收进行威胁要我后果自负。</t>
  </si>
  <si>
    <t>2019/10/06 17:03:28</t>
  </si>
  <si>
    <t>投诉人 朱女士        投诉对象  来分期        涉诉金额  12 000 元    问题类型    诉求类型投诉详情  借款12000未满1期。我想提前结清本金。可是平台一直拖延。</t>
  </si>
  <si>
    <t>2019/10/06 17:01:27</t>
  </si>
  <si>
    <t>投诉人 单先生        投诉对象  榕树贷款        涉诉金额  11 000 元    问题类型    诉求类型投诉详情  费用太高承担不起 ，用保费等条款变相收费。实在还不起了。</t>
  </si>
  <si>
    <t>2019/10/06 17:00:16</t>
  </si>
  <si>
    <t>投诉人吴先生投诉对象钱橙无忧涉诉金额369元问题类型诉求类型投诉详情钱橙无忧主动划扣账户余额，共计554，只要卡上有钱就扣了，现在都不敢在卡上留钱。</t>
  </si>
  <si>
    <t>2019/10/06 17:00:13</t>
  </si>
  <si>
    <t>投诉人 侯女士        投诉对象  抱金猪        涉诉金额  919 元    问题类型    诉求类型投诉详情  还款链接打不开 导致无法还款 客服不听人说话 强制收取逾期费 我说马上可以还款 只要把逾期费免了 客服不要钱 一直威胁我让我承担后果 我有进不去网站的证明 卡里一直有919 不扣非说我不还！骚扰电话一直打 事情不解决 一直威胁人</t>
  </si>
  <si>
    <t>本人因国庆未发工资，导致逾期卡卡贷逾期几天，电话发来，我表明工资一发就还，最迟10号还，卡卡贷不同意协商，还威胁本人要恶意骚扰联系人，严重侵犯本人生活隐私，借5000分3个月，利息分期400，另外399以保险的名义直接扣款，就是变相砍头息，合计，借5000，3个月利息高达800多，以违约金的方式扣款100，实际就是逾期费用一天高达100元。</t>
  </si>
  <si>
    <t>2019/10/06 16:59:19</t>
  </si>
  <si>
    <t>因为不懂以为就是单纯的借款业务，原来是变相高利贷，8天时间就要还款1250元，并且没有客服联系本人进行协商还款，APP客服无法连接，远超出国家规定36%规定法律红线！现要求调整利率，协商本金+合法利息进行还款！。</t>
  </si>
  <si>
    <t>2019/10/06 16:58:56</t>
  </si>
  <si>
    <t>我在有钱花借2000元逾期了还了几期这次逾期29天没有开资无能力还钱今天催收人员进行骚扰逼我我真的不想活了057122931422这个电话打电话还录音还逼我，我和说了等开支一起还她没有协商的余地。</t>
  </si>
  <si>
    <t>2019/10/06 16:58:26</t>
  </si>
  <si>
    <t>568购买了一个游戏账号，然后被找回，平台说他们不管。</t>
  </si>
  <si>
    <t>2019/10/06 16:58:22</t>
  </si>
  <si>
    <t>投诉人张先生投诉对象Wecash闪银涉诉金额2060元问题类型诉求类型投诉详情因本人最近亲戚住院，而导致资金出现了问题，现请求闪银能给我点时间缓冲下，让我延期还款。</t>
  </si>
  <si>
    <t>2019/10/06 16:57:59</t>
  </si>
  <si>
    <t>小额贷额度70000元，已经换了60000多，还了10期了，每期6000多，还越还越多，但客服还是不理不问还卖我信息，天天爆我通讯录，不仅打本人还打其他的，到处骚扰，本人要求公司给一个承诺及道歉，给一个说法，盗取信息给予处罚，根本还不完！！由于负债太大，已经跟客服协商，但客服还是不理不问，还卖我信息，天天爆我通讯录，不仅打本人还打其他的，到处骚扰，本人要求公司给一个承诺及道歉，给一个说法，盗取信息给予处罚。</t>
  </si>
  <si>
    <t>2019/10/06 16:57:32</t>
  </si>
  <si>
    <t>用户到四川移动当地营业厅办理号卡重新新入网,四川移动强制用户办理预存360元必须终身办理使用移动68套餐否则办理任何业务都受限制，用户要求更改低资费套餐，四川移动不按用户的要求办理，满足不了用户的需求，用户联系四川移动10086投诉反馈套餐问题，四川移动10086客服没有解决用户的套餐问题，希望四川移动重视用户投诉反馈的问题。</t>
  </si>
  <si>
    <t>2019/10/06 16:55:41</t>
  </si>
  <si>
    <t>到账1525合同上让还2500阴阳合同高利贷。</t>
  </si>
  <si>
    <t>2019/10/06 16:55:37</t>
  </si>
  <si>
    <t>投诉人 钱晓峰        投诉对象  平安普惠        涉诉金额  1 350 元    问题类型    诉求类型投诉详情  平安普惠催收 恶意骚扰借款人家人朋友</t>
  </si>
  <si>
    <t>2019/10/06 16:55:31</t>
  </si>
  <si>
    <t>请求平台联系他停止对我朋友和家人骚扰，会按照约定时间还款，一个女客服，上海号。</t>
  </si>
  <si>
    <t>2019/10/06 16:54:56</t>
  </si>
  <si>
    <t>2019年7月，我开通了天猫88vip会员服务，9月份我发现我的账户领取天猫国际优惠券发现总是提示“群众太热情，请稍后再试”或者“很遗憾您未抢到”的字样，咨询客服，客服说账号正常，领取不到实属人数过多，请等一会再试，我连续一个月了领取都是这样的字样，天猫超市优惠券同样如此，而好友的账户同样的优惠券可以正常领取，实验了很多次，我的账号天猫超市和天猫国际的所有优惠券都领取不到，而身边其他人帐号都是正常领取的，回想我使用淘宝账户一样，一直秉承正规使用的良好购物行为，目前为止，蚂蚁信用也是761的极好评级，我多次跟</t>
  </si>
  <si>
    <t>2019/10/06 16:52:02</t>
  </si>
  <si>
    <t>从9月8号开始打了两百多个电话，我没说不还。</t>
  </si>
  <si>
    <t>2019/10/06 16:48:41</t>
  </si>
  <si>
    <t>借2800，还4000，每7天还一次1000，高利贷利息超过法定，现已经还完3期都正常时间内还完，希望能清账。</t>
  </si>
  <si>
    <t>2019/10/06 16:48:40</t>
  </si>
  <si>
    <t>借款3000，分三期还，前两期各多了1048.59和1048.56，咨询客户说是什么中吉担保费，可是合同上没有这个费用，回应另一个说法是防止借款人未能按时还款的费用，可是就算是按时还款这个费用还是一样要交付。</t>
  </si>
  <si>
    <t>2019/10/06 16:47:46</t>
  </si>
  <si>
    <t>我未在平台弄啥168的征信系统查询，我在他们平台签订了一个叫连连支付的免密扣款协议，但是未在新生平台签订协议，他们就用新生平台的pos用我的信息刷了两次84的钱，共168元。</t>
  </si>
  <si>
    <t>2019/10/06 16:47:02</t>
  </si>
  <si>
    <t>投诉人杨先生投诉对象月光侠分期涉诉金额3000元问题类型诉求类型投诉详情本来使用月光侠贷款分期软件借款3000元，实际到账2100元，分3期还款，每次还款1050元，强制购买所谓的担保费用，本人已还款两期总计2100元，本金已还清，但是催收一直暴力催收骚扰我，威胁联系家里人。</t>
  </si>
  <si>
    <t>2019/10/06 16:46:50</t>
  </si>
  <si>
    <t>天天给我发，我没有分期花呗，盗取信息，非法骚扰。</t>
  </si>
  <si>
    <t>2019/10/06 16:46:44</t>
  </si>
  <si>
    <t>开个绿叶的招商和进货店，别人到这里进货的然后钱就被冻结。</t>
  </si>
  <si>
    <t>2019/10/06 16:46:08</t>
  </si>
  <si>
    <t>小浦优客无缘无故盗扣银行卡中的现金，强烈要求退款。</t>
  </si>
  <si>
    <t>2019/10/06 16:45:51</t>
  </si>
  <si>
    <t>投诉人 戴先生        投诉对象  滴滴出行        涉诉金额  500 元    问题类型    诉求类型投诉详情  希望平台多多派单给我:！！！</t>
  </si>
  <si>
    <t>2019/10/06 16:45:41</t>
  </si>
  <si>
    <t>及贷,PPmoney,万惠投资管理有限公司，5月31日在及贷PPmoney贷款9000元，其中强制销售捆绑保险1500元，年利率高达146%，远超国家规定年利率36%的红线，催收人员威胁不按照他们要求还款就要把我的信息交给第三方催收，骚扰亲戚朋友的正常生活，最高法院《关于审理民间借贷案件适用法律若干问题的规定》：第二十六条，借贷双方约定的利率未超过年利率24%，出借人请求借款人按照约定的利率支付利息的，人民法院应予支持，借款人请求出借人返还已支付的超过年利率36%部分的利息的，人民法院应予支持，《电信和互联</t>
  </si>
  <si>
    <t>刚预期就暴力打电话催收，连协商的机会都不给。</t>
  </si>
  <si>
    <t>2019/10/06 16:45:26</t>
  </si>
  <si>
    <t>广东信汇我跪求你联系商户还我血汗钱，本人是一名普通的打工一族，由于在微信群轻易相信他人说投资理财，期间带单老师不断洗脑，谎称平台乃国家正规的购彩机构，平台名称：恒耀娱乐，在此期间带单老师不断诱导本人多次进行充值导致本人的血汗钱血本无归，后经媒体咨询得知此类平台非国家正规的购彩机构，通过云闪付支付到广东信汇公司共计41笔订单，现请求广东信汇公司能及时挽救我的家庭，联系贵司合作的商户给予退款！！！谢谢！！！！！订单号已经发送过给广东信汇有关部门，还请聚投诉工作人员及时像广东信汇反馈！还我血汗钱！。</t>
  </si>
  <si>
    <t>2019/10/06 16:44:11</t>
  </si>
  <si>
    <t>拉卡拉扣留我商户结算资金5000元，索要质料包括，营业执照，法人身份证，交易提货单，生产车间照片，让我等待审核，都48小时了，还不给我处理，账号也给我关闭了，资金也不给我结算，希望结算资金，谢谢。</t>
  </si>
  <si>
    <t>2019/10/06 16:44:00</t>
  </si>
  <si>
    <t>之前信息全部给平台删除，要求平台提供之前一切信息再还款，你们可以选择上门，没关系，已经报警备案，每次只会用网络电话联系。</t>
  </si>
  <si>
    <t>2019/10/06 16:43:42</t>
  </si>
  <si>
    <t>投诉人胡胡剑投诉对象白条分期涉诉金额249元问题类型诉求类型投诉详情以网贷名义误导急需贷款的人！显示出额度后，就必须付VIP费用249，付款后只是进去它的APP，根本就没有申请，更别说额度，提供一个又一个的自己也可以下载的平台，让你自己继续去申请别的平台，都是绑定其他费用的，也就是是白条分期根本就不是一个贷款点，而且搞到你扣钱了，再让你自己又去下载别的APP，而且还是平时你自己也可以下的，无需收费的平台！一个一个的相扣，而且还投诉无门，客户电话全联系不上！这个太骗人了！！严厉打击！！！！要求退款！把这个虚假</t>
  </si>
  <si>
    <t>2019/10/06 16:43:27</t>
  </si>
  <si>
    <t>投诉人 杨女士        投诉对象  爱又米        涉诉金额  5 000 元    问题类型    诉求类型投诉详情  爱又米的工作人员这么厉害的 连公安机关警察都敢冒充 没有人管吗</t>
  </si>
  <si>
    <t>2019/10/06 16:42:30</t>
  </si>
  <si>
    <t>投诉人张先生投诉对象扑克王涉诉金额4500元问题类型诉求类型投诉详情这是赌博软件，里面有他们内部号，机器人，后台能操控输赢。</t>
  </si>
  <si>
    <t>2019/10/06 16:42:18</t>
  </si>
  <si>
    <t>我点个极速出票，他在我不知情的情况下加了个50元券包，我根本用不上这个券包，弄的我买票多花了50元。</t>
  </si>
  <si>
    <t>2019/10/06 16:41:47</t>
  </si>
  <si>
    <t>贷上钱当时借了一笔2500元的贷款显示一个月后让还3075，之后又出现一个框不小心点了一下就马上又贷给我2000。</t>
  </si>
  <si>
    <t>2019/10/06 16:41:35</t>
  </si>
  <si>
    <t>不发货不回信息不退款，求解决一下这种情况太多了。</t>
  </si>
  <si>
    <t>2019/10/06 16:41:15</t>
  </si>
  <si>
    <t>昨天你我贷逾期了，催收人员打电话我跟他沟通了我需要3-4天的时间可以弄好，我问他昨天打电话都讲好了，怎么今天又问这件事，我说一星期，他说昨天还说3-4天，今天就变了时间了。</t>
  </si>
  <si>
    <t>2019/10/06 16:40:47</t>
  </si>
  <si>
    <t>投诉人 王先生        投诉对象  新浪颜值卡        涉诉金额  8 000 元    问题类型    诉求类型投诉详情  新浪分期颜值卡收取利息太高望严查 帮我调解</t>
  </si>
  <si>
    <t>2019/10/06 16:40:42</t>
  </si>
  <si>
    <t>投诉人 曲女士        投诉对象  分期乐        涉诉金额  1 200 元    问题类型    诉求类型投诉详情  本月因为工资发放晚，无法全款还款。希望调整到最低还款200元。</t>
  </si>
  <si>
    <t>2019/10/06 16:40:19</t>
  </si>
  <si>
    <t>交了钱反而事情越来越严重现在本人生病住院急需费用跟对方商量退一半还没服务费用人家说不退。</t>
  </si>
  <si>
    <t>2019/10/06 16:39:07</t>
  </si>
  <si>
    <t>这个微博有毒吧老是发这种短信恐吓我还定位我手机你有什么资格定位。</t>
  </si>
  <si>
    <t>2019/10/06 16:39:03</t>
  </si>
  <si>
    <t>以购买虚拟游戏币等方式要求多偿还本金，逾期费用高的离谱。</t>
  </si>
  <si>
    <t>2019/10/06 16:38:21</t>
  </si>
  <si>
    <t>本人在该平台借款多次被收取高额砍头息在之后再次申请借款时被该公司收取高额费用，现申请退还合计814元。</t>
  </si>
  <si>
    <t>减免服务费，管理费，一次性结清欠款，停止第三方催收。</t>
  </si>
  <si>
    <t>2019/10/06 16:38:11</t>
  </si>
  <si>
    <t>蜜瓜钱包高利贷，借款2200，到账1430，借款写着7天，实际是6天，刚才看了一下11号要还，只有五天，利息高达50%，另汇潮支付为其提供付款通道，今天中午借款，现本人愿立即还款本金销账，希望蜜瓜钱包方主动联系协商。</t>
  </si>
  <si>
    <t>2019/10/06 16:37:35</t>
  </si>
  <si>
    <t>尊敬的聚投诉工作人员，本人2019.9.5日在平台京东金条借款12000，按日计息，到期还款日10/5日，到期还款日平台未短信或者电话提醒还款，客服回复国庆期间导致没有短信提醒，之前借款还款当日都是短信提醒还款，1年多从未预期。</t>
  </si>
  <si>
    <t>2019/10/06 16:37:16</t>
  </si>
  <si>
    <t>我是老用户了，经常用国庆他们突然换车，导致用户体验差，多产生费用，拨打客服不给处理，态度极差，第二件10月4号，我租的雪佛兰，档位按钮只有刀片了，晚上我直接挂档，划伤手了，也只愿补偿10元，可能这个投诉没有用，原本只是很小事情，客服真的，把人气死，不给处理我会用媒体的力量，扩大影响，抖音，今日头条。</t>
  </si>
  <si>
    <t>2019/10/06 16:36:29</t>
  </si>
  <si>
    <t>招联金融爆通讯录，催收打电话威胁，打了很多电话，对本人生活造成影响。</t>
  </si>
  <si>
    <t>2019/10/06 16:36:24</t>
  </si>
  <si>
    <t>10月6号的还款日，未逾期到处打通讯录的电话，添加本人微信号恐吓本人，骚扰通讯录的人。</t>
  </si>
  <si>
    <t>2019/10/06 16:36:05</t>
  </si>
  <si>
    <t>还款日提前一天连续4次电话骚扰，找客服，客服不理会，没有解决就态度恶劣，结束会话，而且一点不专业，我仔细算一下，利息太高，对我伤害太深，严重影响我的生活和工作，强烈要求调整利率，作出赔偿，并向我道歉。</t>
  </si>
  <si>
    <t>2019/10/06 16:35:56</t>
  </si>
  <si>
    <t>投诉人杨先生投诉对象Wecash闪银,及贷涉诉金额600元问题类型诉求类型投诉详情事发应该是17年低到18年初的，当时我刚换工作，所以印象比较深，当时是已经还了三笔，，还差最后一期，后面因为钱不够，逾期未处理，大概是18年4月份的时候，逾期一个多两个月，接到来自深圳座机的电话，称是闪银及贷的催收，希望和我协商处理掉最后一期，后面从800元协商到600元处理，而本金只有474元的，催收说多出来的算他的收入，他不能白白干工，对于此事我也给过及贷客服电话，客服表示还款金额由催收与我协商，他们无法修改或要求催收不多</t>
  </si>
  <si>
    <t>2019/10/06 16:35:49</t>
  </si>
  <si>
    <t>投诉人 孔女士        投诉对象  拍拍贷        涉诉金额  1 000 元    问题类型    诉求类型投诉详情  拍拍贷，暴力催收，进行语言攻击。希望有关部门监督处理。</t>
  </si>
  <si>
    <t>2019/10/06 16:35:33</t>
  </si>
  <si>
    <t>投诉人刘先生投诉对象钱站,华夏银行涉诉金额2100元问题类型诉求类型投诉详情阴阳合同，高利息，电话催收骚扰，信息微信恐吓，要求取消第三期还款，开据节清证明，停止电话催收。</t>
  </si>
  <si>
    <t>2019/10/06 16:34:49</t>
  </si>
  <si>
    <t>被人引诱到一个网站充值入金，盈利后平台以系统无法计算流水为由不让我提现，但是我损失资金1000元，后来发现是不受法律保护的非法网络赌博黑平台，并非正规的购彩网站，经过银行咨询得知收款方是支付宝特约商户，并联系了支付宝客服，支付宝客服承认是与赌博网站有合作并且说他们无法联系第三方，只能在这里麻烦聚投诉跟进反馈一下，要求商户退款。</t>
  </si>
  <si>
    <t>2019/10/06 16:34:10</t>
  </si>
  <si>
    <t>私自扣款299元，未经过我本人同意，之后打电话给客服，客服百般阻挠退款！。</t>
  </si>
  <si>
    <t>2019/10/06 16:33:18</t>
  </si>
  <si>
    <t>拍拍贷当时借款两万元，分36期还款，到目前为止换了十三期了，每期还款974元，现在还剩下22000未换，这个利息太高了吧，换了十三期，已经换了一万多了，还剩下两万多。</t>
  </si>
  <si>
    <t>2019/10/06 16:33:17</t>
  </si>
  <si>
    <t>本人于2017年9月7日跟2018年4月10日申请了两笔贷款：①：8000，分12期，每期还828.64；②14500，分18期，每期还1054.28；申请的时候合同利率为月利率1.45%，由于之前不懂利率，全部都是按时还款，前几天我一个朋友教我算利率，我去算了下，第一笔利率高达42.19%，第二笔利率高达36%，而马上金融的宣传年利率为1.45*12=17.4%，马上消费金融在本人不知情的情况下购买了寿险，还有服务费等，年利率为42.19和36，严重超了当时签订合同的17.4%，现本人要求马上金融退还保险</t>
  </si>
  <si>
    <t>2019/10/06 16:33:12</t>
  </si>
  <si>
    <t>欺诈贷款，阴阳合同，高额利息未在借款时说明。</t>
  </si>
  <si>
    <t>2019/10/06 16:33:02</t>
  </si>
  <si>
    <t>投诉人 高女士        投诉对象  信用飞        涉诉金额  3 000 元    问题类型    诉求类型投诉详情  砍头息 借了3000到手2400 分三期0每期还1100左右 上个月给我打电话 让我总共还3400 今天又发短信威胁我 把我资料卖给催收公司</t>
  </si>
  <si>
    <t>2019/10/06 16:32:36</t>
  </si>
  <si>
    <t>交易猫买的账号被找回，交易猫协助盗号的转移角色，，说好的找回包赔服务永久有效，找客服让买家自己承受损失。</t>
  </si>
  <si>
    <t>2019/10/06 16:32:13</t>
  </si>
  <si>
    <t>本人经人介绍在中腾信借钱周转，每到还款日前几天就会接到全国各地的电话催收，上个月因为资金紧张跟他们商议延期两天还款，他们就到处打电话给我的通讯录上的亲戚朋友，说我是老赖，欠钱不还，还发短信威胁我，这个月刚到还款日就发短信威胁。</t>
  </si>
  <si>
    <t>2019/10/06 16:31:58</t>
  </si>
  <si>
    <t>借款2800已还1134后因新意花本身平台系统出问题产生还款失败现在产生逾期费用过高不能接受！这不是高利贷是杀人贷。</t>
  </si>
  <si>
    <t>2019/10/06 16:31:40</t>
  </si>
  <si>
    <t>来自02863820553的小米金融催收电话。</t>
  </si>
  <si>
    <t>2019/10/06 16:31:34</t>
  </si>
  <si>
    <t>我只是一名刚毕业的大学生，刚毕业就被朋友骗了存款17000元，现在也没有找到工作，实在是没钱，逾期也不是我想的，昨天咬牙还进去了400，也是我现在的所有积蓄了，刚才接到美团的电话，威胁我下午6点之前不还就爆我通讯录，而且告诉我，我还要多支付百分之30的违约金，这些违约金是合法的吗，还有就是我个人的借贷行为凭什么去影响他人，他们爆通讯录是合法的吗，我从头到尾没说过一句不还钱的话，只是资金紧张暂时还不上，他们这样威胁很影响我的生活，我希望能尽快处理。</t>
  </si>
  <si>
    <t>2019/10/06 16:30:32</t>
  </si>
  <si>
    <t>每天打电话暴通讯录，打骚扰电话，每天都有10几个电话骚扰。</t>
  </si>
  <si>
    <t>2019/10/06 16:30:31</t>
  </si>
  <si>
    <t>在洋钱罐借了五千块钱，分六期还款，已经还了五期，其中有一期逾期了几天没有还！爆我的通讯录，给我发短信恐吓我说给我的亲戚朋友都打电话，还列出了好多我认识的人名单给我！基于好面子所以就还了！今天又是打我朋友电话让给我传话！不还钱就找我家人，前五期本金已经还完了！。</t>
  </si>
  <si>
    <t>2019/10/06 16:29:33</t>
  </si>
  <si>
    <t>为什么这种公司在国庆70周年之际还能如此嚣张。</t>
  </si>
  <si>
    <t>2019/10/06 16:29:32</t>
  </si>
  <si>
    <t>投诉人李先生投诉对象现金巴士涉诉金额2000元问题类型诉求类型投诉详情7月份在现金巴士借款2000元，分3个月还款，审核通过发现需要缴纳一笔298的费用才可以下款，实际借款1700还款2180，国家早已经明令禁止借款砍头息，现金巴士违规放贷，不具备放款资质，我已经还款两期1454元，我要求还本金处理！提供结清证明！。</t>
  </si>
  <si>
    <t>2019/10/06 16:28:10</t>
  </si>
  <si>
    <t>投诉人杨先生投诉对象手机借钱涉诉金额3000元问题类型诉求类型投诉详情要求协商砍头利息不还，分期每个月还500，停止爆通讯录，停止恐吓，停止骚扰。</t>
  </si>
  <si>
    <t>2019/10/06 16:27:25</t>
  </si>
  <si>
    <t>猫眼10月1~3号拉新人活动不予提现显示付款账户超限，猫眼电影app上面的客服形同虚设，压根没有人工，也没有人解决，只要参加过拉新活动的，都是提现不了，赤裸裸的欺诈。</t>
  </si>
  <si>
    <t>2019/10/06 16:27:16</t>
  </si>
  <si>
    <t>未经过本人同意私自扣款，阴阳合同，在本人完全不知晓的情况下扣扣掉了299元，客服各种推脱阻挠不让退款。</t>
  </si>
  <si>
    <t>2019/10/06 16:27:05</t>
  </si>
  <si>
    <t>下载了这个app然后让注册绑定银行卡，说什么有个个人风险评估要扣钱，我点了小银券结果就无缘无故私自扣我银行卡的钱，你们这个软件苹果商城根本下载不了都是什么链接下载的，赶紧退款！你们就是个中间公司我还以为注册就能借款，还要邮寄，谁知道我把这些信息寄给你们你们要拿去做什么。</t>
  </si>
  <si>
    <t>2019/10/06 16:27:04</t>
  </si>
  <si>
    <t>多次收到关于两家平台催收电话及其短信，近期更有位自称达飞工作人员联系，称要起诉，称自己是警察，并进行辱骂，微信号zyz8926，电话158******83此人在微信上进行辱骂，并电话上说自己是警察。</t>
  </si>
  <si>
    <t>2019/10/06 16:26:55</t>
  </si>
  <si>
    <t>米条联盟为高利贷提供认证，4000到手2600，周期6天，规定还款日4点后就属逾期，逾期一天，逾期费2000，续期3天需要1600，续期1天500，如此高的利息，谁允许这样。</t>
  </si>
  <si>
    <t>2019/10/06 16:26:31</t>
  </si>
  <si>
    <t>投诉人 李先生        投诉对象  爱又米        涉诉金额  0 元    问题类型    诉求类型投诉详情  有起客服电话录音。并保存，如有需要，请可上传客户录音</t>
  </si>
  <si>
    <t>2019/10/06 16:25:59</t>
  </si>
  <si>
    <t>投诉人 黄先生        投诉对象  豆豆钱        涉诉金额  5 000 元    问题类型    诉求类型投诉详情  不小心逾期一天竟然逾期费用高达100一天。要求减去这个100我立马处理还款</t>
  </si>
  <si>
    <t>2019/10/06 16:25:55</t>
  </si>
  <si>
    <t>催收人员态度恶劣，早上八点就开始打电话，时不时打一个，严重影响正常工作，威胁要给社区，通讯录联系人打电话，还是个女的工号109，问姓什么，唧唧歪歪扯别的，给你们说过了，在周转要等朋友转，你们工作人员不听，没完没了打电话，态度还特别差，我把你当人看，和你好好说，你跟我唧唧歪歪，不拿自己当人看，不好好说啊，可以啊，我现在就投诉你，暴力催收，严重影响我正常工作，还威胁，扬言要给通讯录，居委会打电话，现在必须本人道歉，不道歉也可以，今天咱们聚投诉见，明天咱们互联网金融平台见，后天咱们还着来，还有你们年利率36有点低</t>
  </si>
  <si>
    <t>2019/10/06 16:25:50</t>
  </si>
  <si>
    <t>莫名其妙的扣费，希望给个说法，是哪家扣的费。</t>
  </si>
  <si>
    <t>2019/10/06 16:25:47</t>
  </si>
  <si>
    <t>投诉人李女士投诉对象淘宝网,淘宝小二涉诉金额399元问题类型诉求类型投诉详情物品损坏，卖家拒收，提供了很多证据，淘宝小二还是退款给客人。</t>
  </si>
  <si>
    <t>2019/10/06 16:25:30</t>
  </si>
  <si>
    <t>现金巴士砍头息问题，借款1500，到账秒扣168，是由富友代扣，借款合同里却找不到这个168块到底是干嘛了，近6个月借款14次，支付砍头息早已超过了最后一次借款1500的本金，要求现金巴士退还不合法砍头息，并消除最后一次借款账单。</t>
  </si>
  <si>
    <t>2019/10/06 16:24:53</t>
  </si>
  <si>
    <t>这就是高利贷，当时我也不懂这个贷款被套进来了。</t>
  </si>
  <si>
    <t>2019/10/06 16:24:52</t>
  </si>
  <si>
    <t>于9月16日放款成功，通过汇潮支付有限公司备付金，借款前显示的是28天的借款时间！没想到借款之后7天就要还款一次！并且没有显示有如此高的利息！！本着借钱还钱的道理，本人本想在今天还款第三期费用的时候与客服联系，协商还款销帐，但是只给我减免300多元，利息还要1500多！！借款3000元，现在等于要还4500元！如果不提前还款，利息将近1900元！简直是高利贷啊！现在本人以还清了本金！！！一共还款成功费用为3699元！已经支付了699元的利息！请分期鸭平台主动结清销帐！！！。</t>
  </si>
  <si>
    <t>2019/10/06 16:24:15</t>
  </si>
  <si>
    <t>报考健康管理师与我想象中的不一样，没有达到我预先的期望，之前的宣传也多有不实之处，比如先前说的一次性收费，到后面又有费用要交，所以我想要回退款，。</t>
  </si>
  <si>
    <t>2019/10/06 16:24:05</t>
  </si>
  <si>
    <t>7月份在现金巴士借款2000元，分3个月还款，审核通过发现需要缴纳一笔298的费用才可以下款，实际借款1700还款2180，国家早已经明令禁止借款砍头息，现金巴士违规放贷，不具备放款资质，我已经还款两期1454元，我要求还本金处理！提供结清证明！。</t>
  </si>
  <si>
    <t>2019/10/06 16:23:12</t>
  </si>
  <si>
    <t>平安i贷！服务费保险费各种费用逾期利息相当于本金！太高了！要求协商还款。</t>
  </si>
  <si>
    <t>2019/10/06 16:23:09</t>
  </si>
  <si>
    <t>投诉人 李先生        投诉对象  随手记        涉诉金额  0 元    问题类型    诉求类型投诉详情  恶心电话轰炸 辱骂 要求对方道歉 不然 天天换人投诉他们</t>
  </si>
  <si>
    <t>2019/10/06 16:22:20</t>
  </si>
  <si>
    <t>及贷我是没有借过钱的，但是他们的催收一直发信息催收还各种威胁。</t>
  </si>
  <si>
    <t>2019/10/06 16:22:12</t>
  </si>
  <si>
    <t>来自0571229312169的自称中邮钱包的乱打电话。</t>
  </si>
  <si>
    <t>2019/10/06 16:22:01</t>
  </si>
  <si>
    <t>黑心714高炮网贷我借款1500到账1050，6天由富友支付放款，续期费交了1800，最后还款1508.75，最后18天赚取我的费用2300，恶意催收，这样的公司应该在这个扫黑除恶之际把他们一网打尽，把这些催收得到应有的报应，希望和我一样被这个黑心天天贷骗的人一起顶起来，让他们受到应有的处罚，我现在把他们钱都还了，但是我还是要希望通过聚投诉平台让他们督促黑心的天天贷及富友支付。</t>
  </si>
  <si>
    <t>2019/10/06 16:20:08</t>
  </si>
  <si>
    <t>投诉人 吴文默        投诉对象  钱站        涉诉金额  2 000 元    问题类型    诉求类型投诉详情  借款2000 到账2000 三个月要还2900 利息太高 超国家标准 剩下的一期要求退回</t>
  </si>
  <si>
    <t>2019/10/06 16:19:48</t>
  </si>
  <si>
    <t>在本人不在老家的情况下，马上金融派人去老家催收。</t>
  </si>
  <si>
    <t>2019/10/06 16:19:26</t>
  </si>
  <si>
    <t>本人2017年9月27日在玖富借款18447.16元，实际到账12000元，总共在该平台借款38124.06元，实际到账只有24800元，实属阴阳合同！已还39016元，实属高利贷，要求该平台结清欠款销账，并且退回阴阳合同差额13324.06元，并做销账处理！。</t>
  </si>
  <si>
    <t>2019/10/06 16:19:08</t>
  </si>
  <si>
    <t>导游钱钢的电话4号跟客服联系的2日游乌镇一天唐镇一天，5号早上面包车接我们去的旅游车，付钱后再次确认了2日游相关事项，确认无误，晚间住宿后又确认了第二天行程和车程问题，确认准时接送，但是第二天6号一上午都联系不上，后再联系就不认账了，没有按事实约定好的履行，我们一家有老有小还有孕妇被丢在宾馆不知道怎么办，旅游市场怎么这么混乱，各种谎话连篇，不按常理忽悠，，乌镇一天西塘一天原约定，上面字打错了打成唐镇了，，这种欺客行为扰乱了我们旅行计划和游玩心情，非常无语。</t>
  </si>
  <si>
    <t>2019/10/06 16:19:05</t>
  </si>
  <si>
    <t>手表在生活使用中进水导致手表故障无法使用，怀疑手表为不合格产品。</t>
  </si>
  <si>
    <t>2019/10/06 16:17:35</t>
  </si>
  <si>
    <t>现在迟迟不回复，之后多次联系客服每次都和机器人一样给登记。</t>
  </si>
  <si>
    <t>2019/10/06 16:17:10</t>
  </si>
  <si>
    <t>投诉人 范女士        投诉对象  铁友旅行        涉诉金额  50 元    问题类型    诉求类型投诉详情  霸王条例 购买车票的时候并没有指出购买加速包 结束后直接多扣50 在本人看不见的情况下 严重侵害消费者权益</t>
  </si>
  <si>
    <t>2019/10/06 16:16:57</t>
  </si>
  <si>
    <t>维信卡卡贷不支持主动还款，然后造成我逾期一天扣了我不到200的利息，打客服说我那个没有问题，可以还，我这就是操作不了，然后扣我利息。</t>
  </si>
  <si>
    <t>2019/10/06 16:16:17</t>
  </si>
  <si>
    <t>投诉人 高先生        投诉对象  360借条        涉诉金额  15 480 元    问题类型    诉求类型投诉详情  恶意对我通讯录联系人 亲戚 家人 朋友 恐吓 吓唬 我家人 骚扰我通讯录的亲戚 家人 朋友 严重影响到别人的正常生活 高利贷</t>
  </si>
  <si>
    <t>2019/10/06 16:15:55</t>
  </si>
  <si>
    <t>本人通过小黑鲨app借款3000，但有660元测评费属于变相砍头息，今天打电话还威胁我要骚扰我联系人，前两期已还清，现还剩最后一期还款，希望小黑鲨收取本金合理国家利息，减免测评费，结清账单处理。</t>
  </si>
  <si>
    <t>2019/10/06 16:15:12</t>
  </si>
  <si>
    <t>在洋钱罐借款10000元，加上服务费要13600元，分12期，当初借款没看到服务费，现在已经还了两期，要求剩下的全部提前结清，减免费用。</t>
  </si>
  <si>
    <t>2019/10/06 16:15:08</t>
  </si>
  <si>
    <t>来分期上的手机价格远远高于市场价格而且买的手机给你发其他型号的手机。</t>
  </si>
  <si>
    <t>2019/10/06 16:15:04</t>
  </si>
  <si>
    <t>投诉人刘先生投诉对象及贷涉诉金额1200元问题类型诉求类型投诉详情能解释一下跟信用成人计划是什么吗，到账了才发现被扣了前期240的费用，别跟我解释合同里写着，那么小的字体，还要点击才能看见。</t>
  </si>
  <si>
    <t>2019/10/06 16:14:29</t>
  </si>
  <si>
    <t>套路贷，一号钱庄系列5天时间900利息，2000块借款到手只有1100，第五天要求12点掉之前还上，利用网络电话查不到ip肆无忌惮的威胁，各种地区还有香港的电话，特大套路贷最近十分活跃，希望国家给予打击，不要再让更多人受害，支付机构是汇潮支付。</t>
  </si>
  <si>
    <t>2019/10/06 16:13:46</t>
  </si>
  <si>
    <t>本人在拍拍贷借款14000，已经归还4期，并且每期要还1586.65，12期一共要还19000多，5000多利息，而且拍拍贷是本息一起归还，并不是先息后本，每个月的归还金额并不合理，存在套路贷高利贷讯，希望聚投诉跟实时跟进，本人难以支付后期利息，要求跟拍拍贷协商归还余下的本金，拍拍贷不予协商，并且爆我通讯录。</t>
  </si>
  <si>
    <t>2019/10/06 16:13:28</t>
  </si>
  <si>
    <t>利息高手续费高，暴力催债，而且不让一次性还款一次性还款，还要额外收高额违约金。</t>
  </si>
  <si>
    <t>2019/10/06 16:12:28</t>
  </si>
  <si>
    <t>本人在今年五月在买单侠借款3000元分6期还款，在还了两期之后打客服电话想提前结清，没想一直打的通没人接，后来等到还款日结到催收电话，我说了我的诉求想提前还清，那边说可以提前还款的，在APP自己操作就行，APP上提前还款利息是一样的，提前还款后面的利息照收不误，这个借款的利息已经远超年36%了。</t>
  </si>
  <si>
    <t>2019/10/06 16:12:25</t>
  </si>
  <si>
    <t>投诉人周先生投诉对象金岚国服涉诉金额600元问题类型诉求类型投诉详情一开始他们有个业务员联系我说是可以办大额信用卡，保证通过，我和那个业务员说了我征信不好，她说没关系包过的，后来就让我去了他们公司，到那以后啥也没干就直接让交600块钱，我问她如果过不了钱退吗，她说百分百过的，我说万一不过呢，她说万一不过钱原路返回，可是没过几天就跟我说各种原因说不行了，我让她退钱，她不干，还说是什么材料费，我说当时你也没说有什么材料费啊！然后就和我一拖再拖，一直到后来彻底不理我了！。</t>
  </si>
  <si>
    <t>2019/10/06 16:11:34</t>
  </si>
  <si>
    <t>投诉人王先生投诉对象可乐分期涉诉金额0元问题类型诉求类型投诉详情刚才莫名接到自称是可乐分期的，说我有一笔借款逾期了，我从没有收到过任何关于可乐分期的款项，怎么存在借款逾期，难道是信息泄露，态度蛮横无理，暴力语言，吓得我门都不敢出了。</t>
  </si>
  <si>
    <t>2019/10/06 16:11:20</t>
  </si>
  <si>
    <t>投诉人 敖先生        投诉对象  拍拍贷        涉诉金额  600 元    问题类型    诉求类型投诉详情  暴力催收 恐吓亲友 必须道歉 不道歉 永远投诉 永远不妥协</t>
  </si>
  <si>
    <t>2019/10/06 16:11:16</t>
  </si>
  <si>
    <t>出资方一直打电话骚扰上一期还了以后app一直显示逾期不给销帐威胁在不还要爆通讯录不是不还。</t>
  </si>
  <si>
    <t>2019/10/06 16:10:54</t>
  </si>
  <si>
    <t>预期3天，不是不还，忘记还，在加上钱不够，再借点钱明天，还威胁说，还要爆通序录，。</t>
  </si>
  <si>
    <t>2019/10/06 16:10:32</t>
  </si>
  <si>
    <t>办理车贷业务员故意隐瞒隐藏费用，本人要贷62000元，结果多贷了20000多元，签订合同业务员说是利息钱，结果还款全是按824000算的本金➕利息，请问那多多20000多元哪去，打电话问美利车客服工作人员，支支吾吾也说不出哪里算出来的824000元，我只要贷62000元其他费用全是业务人员通过诱导，欺诈等手段让我签的合同。</t>
  </si>
  <si>
    <t>2019/10/06 16:10:16</t>
  </si>
  <si>
    <t>投诉人 周先生        投诉对象  即有分期        涉诉金额  3 500 元    问题类型    诉求类型投诉详情  威胁我，我要的是道歉，别一个推脱一个。不道歉我天天投诉</t>
  </si>
  <si>
    <t>2019/10/06 16:09:50</t>
  </si>
  <si>
    <t>最后还款日期还没有过，就开始各种电话轰炸，不停打电话，本人夜班，严重影响本人作息。</t>
  </si>
  <si>
    <t>2019/10/06 16:09:17</t>
  </si>
  <si>
    <t>投诉人 马先生        投诉对象  滴滴出行        涉诉金额  0 元    问题类型    诉求类型投诉详情  宜兴滴滴司机接不到单！全派单给优享司机！</t>
  </si>
  <si>
    <t>2019/10/06 16:09:08</t>
  </si>
  <si>
    <t>兴业银行委托的第三方催收机构，拒绝供公司名称，委托手续等必要证明，并在与我的对话过程中说明要到住所上门催收，本人从未表示过拒绝还款。</t>
  </si>
  <si>
    <t>2019/10/06 16:08:59</t>
  </si>
  <si>
    <t>昨天，拍拍贷给我打电话，跟我说我女朋友欠款3000未还，中午十一点前让还清，我问了女朋友，他说确实贷款了，十月份的工资还没有到账，现在没法还，我凑了2000给他，先还了2000，这算还款态度良好吧，逾期七八天一个电话不打，打电话第一天就还了一大半，不算恶意逾期吧，好嘛，我刚帮她还完，那边催收就把他的通讯录打了个遍，还威胁要去她家的村委会，让她父母还，剩下的1000要一个小时内还清，我就算抢钱也需要时间吧，今天早上，又开始轮流轰炸通讯录，不让人工作哪来的工资还你们钱，这才逾期几天而已，谁给他的权利打我女朋友通</t>
  </si>
  <si>
    <t>2019/10/06 16:08:53</t>
  </si>
  <si>
    <t>该公司在未经得本人同意及不知情的情况下，盗扣本人账户1840.98元，分为五笔刷走，我想请问该公司行为和盗窃有什么区别，居然敢私自扣出个人账户里面的钱，行为极其恶劣！现在本人要求马上退回盗扣我账户的钱！。</t>
  </si>
  <si>
    <t>2019/10/06 16:08:24</t>
  </si>
  <si>
    <t>投诉人赵女士投诉对象淘宝闲鱼涉诉金额35元问题类型诉求类型投诉详情在咸鱼上买了一个帽子，买之前问了两遍是不是正品，都跟我说保真，结果收到帽子完全不是，到处线头，条形码扫出来是申通快递，问客服居然说邮费自己付自己的，卖家售假我凭什么付邮费。</t>
  </si>
  <si>
    <t>2019/10/06 16:08:16</t>
  </si>
  <si>
    <t>本人在95球鞋交易平台出售一双耐克kd9因为出售时已经选择了全新瑕疵，可是平台还是要询问买家，结果买家不接受为由退货！买家故意拒绝！。</t>
  </si>
  <si>
    <t>2019/10/06 16:08:00</t>
  </si>
  <si>
    <t>贷上钱平台提供借款业务，以买游戏金豆为由，变相收取高额的砍头息，借款2000元，，借款期限30天，实际还款时间28天，利息60元，购买游戏豆500元，到期还款2560元，并且还款是以分开的方式还款，百度钱包-代上乾扣取了变相砍头息500元，易宝支付扣取了本金2000及利息60元，企图以拆分支付扣款的方式，来隐瞒自己收取变相砍头息的目的，借款2000元，期限28天，用买游戏金豆的理由收取砍头息500元，已经严重超出国家规定利息年化利率36%的红线，并且其游戏金豆没有任何的商业价值及其他用途，所以此游戏金豆实际</t>
  </si>
  <si>
    <t>2019/10/06 16:07:57</t>
  </si>
  <si>
    <t>前段时间确实没办法只能逾期了，这是我的错，现在我把逾期的还上了，剩下的分期我也会按时还款，只希望你们停止骚扰别打通讯录了行吗。</t>
  </si>
  <si>
    <t>2019/10/06 16:07:50</t>
  </si>
  <si>
    <t>今年7月到现在已经10月了，我提现的货款一直不到账，上个月开始改提现系统，提现的日期都不显示了，可是7月开始的货款到现在至今没到账，导致资金链断裂，联系平台客服，也没有一个具体的导线日期，当初签订的合同是15-30天货款提现到账，现在已经三个多月了，这是明显的违约行为，难道真的要我们去法院起诉我们的钱才能拿回来吗，还有，我们掉色货款你们的财务为什么要去审核。</t>
  </si>
  <si>
    <t>2019/10/06 16:07:48</t>
  </si>
  <si>
    <t>此机构违规收取培训费用为1年期，而且协商后不可退款。</t>
  </si>
  <si>
    <t>2019/10/06 16:07:36</t>
  </si>
  <si>
    <t>投诉人胡杨投诉对象万家乐涉诉金额3680元问题类型诉求类型投诉详情2019年8月中旬，万家乐公司以万家乐老客户答谢会为名，向客户兜售万家乐净水器儿童盾e2a系列，答谢会上，万家乐人员宣称国内自来水资源不合格，大环境如此等虚头，并通过tds电解质反应出现大量黑色不明物体欺瞒客户说是我们日常生活中的饮用水不达标，然后赠送空气净化器，枕头之类的附赠品，以原价5680的价格最终以3680价格回馈给老客户，答谢会上宣传的儿童盾该产品会在9月中旬会上市，价格5680至今没有在淘宝，京东上出现。</t>
  </si>
  <si>
    <t>2019/10/06 16:06:44</t>
  </si>
  <si>
    <t>一遍一遍的打电话，与捷信公司沟通，这个月工资没发希望延迟还款！。</t>
  </si>
  <si>
    <t>2019/10/06 16:06:34</t>
  </si>
  <si>
    <t>投诉人 赵先生        投诉对象  拍拍贷        涉诉金额  10 000 元    问题类型    诉求类型投诉详情  又一次爆通讯录，骚扰家人。第三方催收公司，不敢告诉是哪家公司。期满，加微信催收。电话都是网络虚拟电话，显示全国各地。</t>
  </si>
  <si>
    <t>2019/10/06 16:06:15</t>
  </si>
  <si>
    <t>2019年9月15日借款2250元至今已还2362元，无力偿还高额利息，要求销账，协商处理。</t>
  </si>
  <si>
    <t>2019/10/06 16:06:10</t>
  </si>
  <si>
    <t>伪造通告函，电话说委托三方上门处理，一直都是江苏徐州的号码;我没有说不还，只不过出了点事资金短缺，我也说了这几天会如数归还，但是不肯协商，也不给机会，直接发送通告威胁，希望可以谨慎处理。</t>
  </si>
  <si>
    <t>2019/10/06 16:05:54</t>
  </si>
  <si>
    <t>随意拨打联系人电话，影响我正常工作生活，给我带来极其恶劣影响，上门恐吓威胁家人。</t>
  </si>
  <si>
    <t>2019/10/06 16:05:46</t>
  </si>
  <si>
    <t>时光分期原名原子贷，属于北京融科君展信息技术有限公司旗下产品，，本人从2017年开始在时光分期借款，每次借款额度为5000元，周期为三个月，每个月还款1900多，三个月总共需归还5800多，月利高达8%，年化利率高达100％，已远超国家规定最高标准3倍，本人借款后，由于无力还款，被暴力催收，被迫以贷养贷，总共在该平台借款40000余元，被收取利息6000多元，在今年315国家查处违规贷款中，时光分期隶属融360，时光分期并无放贷资质。</t>
  </si>
  <si>
    <t>2019/10/06 16:04:28</t>
  </si>
  <si>
    <t>充值之后，是没有提现功能的，也不能删除需求，现在也不知道钱去哪了，我想申请退回我的钱。</t>
  </si>
  <si>
    <t>2019/10/06 16:04:11</t>
  </si>
  <si>
    <t>希望该平台能够帮助我，本人2019年9月27日在交易猫平台购买了游戏账号，登陆帐号发现早就被封，仲裁期间该账号被找回客服竟然还判定交易成功，希望能够让交易猫给一个说法。</t>
  </si>
  <si>
    <t>2019/10/06 16:04:10</t>
  </si>
  <si>
    <t>之前跟浦发协商还款，因为家里出了些事情，耽误了一天还进去，浦发就算违约，要求全额还款，也没有短信提醒电话提醒，我打过浦发的电话，说给核实然后回信，到现在也没有回信，一打电话就说违约，态度还好，我要求重新协商，我不是没还，最起码作为银行得有个电话提醒吧，要求全额还款时怎么有电话和短信。</t>
  </si>
  <si>
    <t>2019/10/06 16:03:03</t>
  </si>
  <si>
    <t>9月29日到期，当天APP扣款五百多元，余90元未扣，显示还款失败，当天联系客服要求处理，客服告知不用处理，系统会继续扣款，实际APP剩余90元一直没扣款，多次询问客服均无答复，10月6号通讯录联系人接到催收电话，说我借钱不还。</t>
  </si>
  <si>
    <t>2019/10/06 16:02:23</t>
  </si>
  <si>
    <t>投诉人 陈女土        投诉对象  抱金猪        涉诉金额  2 500 元    问题类型    诉求类型投诉详情  抱金猪无法还款。 抱金猪无法还款。</t>
  </si>
  <si>
    <t>2019/10/06 16:02:21</t>
  </si>
  <si>
    <t>小花钱包阴阳合同，暴力催收，骚扰朋友家人，群发通话录威胁！。</t>
  </si>
  <si>
    <t>2019/10/06 16:02:01</t>
  </si>
  <si>
    <t>投诉人周立健投诉对象百信钱包,深圳杉汇通金融服务有限公司涉诉金额10600元问题类型诉求类型投诉详情因财务问题10月6日下载百信钱包app，开始说成功借款1万元，提现需先支付6%手续费，才能成功提现，并且说需要电子签名才能进行后续操作，支付后又说卡号错误提现失败，客服说需要再缴纳3333元保证金才能到账，但是卡号是按银行卡输入，不会错误，这个时候才意识上当受骗了，客服这时威胁说不打钱过去，借款不能到账，但是合同已生效必须按月还款，我可以配合检查任何个人账户，根本没有收到这笔借款，已经把借款合同保存下来，准备</t>
  </si>
  <si>
    <t>2019/10/06 16:02:00</t>
  </si>
  <si>
    <t>去年注册过一个布丁小贷账号但没有借过一次钱，由于觉得用不上，并且绑定有银行卡身份证手机号等重要信息担心外泄想注销账户了，软件却没有注销入口，连解绑银行卡都操作不了，联系了微信客服无人回复，打了好久公司的客服电话一直说:所有前台忙请稍等，也不算投诉了，实在是联系不上布丁小贷工作人员只能来这个平台请求帮助，我没借钱也没欠钱，只是想注销账号而已。</t>
  </si>
  <si>
    <t>2019/10/06 15:59:50</t>
  </si>
  <si>
    <t>亲在淘宝网购买卖家的商品，联系卖家沟通过程中，卖家的态度不好差态度还非常恶劣，亲与卖家阿里旺旺的对话卖家直接给亲屏蔽了，导致亲一直无法联系卖家，亲多次向淘宝网小二客服投诉反馈卖家的态度问题行为，淘宝网小二客服理都不理，淘宝网小二客服又不处理卖家的态度问题行为，亲要投诉淘宝网小二客服不处理亲的投诉问题。</t>
  </si>
  <si>
    <t>2019/10/06 15:59:24</t>
  </si>
  <si>
    <t>说我拒接电话，我不仅接了电话，而且还多次拨打交通银行客服电话进行协商，拒不协商，而且态度强硬，我希望交通银行信用卡中心停止上门威胁。</t>
  </si>
  <si>
    <t>2019/10/06 15:59:22</t>
  </si>
  <si>
    <t>借款本金20000元，后来合同却显示是22900元，平台扣除2900元的保险费为何不提前告知借款人！。</t>
  </si>
  <si>
    <t>2019/10/06 15:57:55</t>
  </si>
  <si>
    <t>投诉人 段女士        投诉对象  小花钱包        涉诉金额  8 000 元    问题类型    诉求类型投诉详情  给我造成骚扰，名誉损坏，希望立即停止骚扰</t>
  </si>
  <si>
    <t>2019/10/06 15:57:39</t>
  </si>
  <si>
    <t>本人在钱置宝平台借款2100，分4个周期还，一个星期还700多，现在剩1期，要求协商还款，客服无人联系我协商，已逾期1天，要求划扣前2期多还利息400多，抵扣最后一期还款金额。</t>
  </si>
  <si>
    <t>2019/10/06 15:54:47</t>
  </si>
  <si>
    <t>投诉人 李先生        投诉对象  即有分期        涉诉金额  793 元    问题类型    诉求类型投诉详情  本人在即有分期上贷款一万元 实到账九千 分二十四期偿还 每期793元 已还22期 第23期实在因经济困难无法按时偿还 多次与平台沟通协商无果 并且本人一直表示会偿还贷款 希望能宽限几天时间 平台不予理睬 并恐吓骚扰家人 望有关部门帮忙</t>
  </si>
  <si>
    <t>2019/10/06 15:54:37</t>
  </si>
  <si>
    <t>特约爱钱进提现放款的，还款的时候要求还三期，共4800块，利息1800，已经超过国家法定利率标准，是标准的高利贷，借款的时候合同金额是3000块，还款却是4800，视为阴阳合同，原先不知道是违法高利贷，直到咨询专业律师才知道，国家现在严打，望平台给予帮助，现已还款俩期包括本金共3200，要求钱站结清借款。</t>
  </si>
  <si>
    <t>2019/10/06 15:54:03</t>
  </si>
  <si>
    <t>苹果8p组装高仿山寨机安卓系统卡的要命手机也关机微信也不回。</t>
  </si>
  <si>
    <t>2019/10/06 15:53:54</t>
  </si>
  <si>
    <t>钱伴平台我逾期一天之前电话和银行卡我不用了要打对公还款，和平台催收说好了之后一个小时打一个电话，还说限我多久还款不然怎么怎么样，不但威胁还侮辱。</t>
  </si>
  <si>
    <t>2019/10/06 15:52:48</t>
  </si>
  <si>
    <t>捷信高利贷，我现在已经还了本金，并多还了将近两千，捷信还一直打骚扰电话，恐吓我。</t>
  </si>
  <si>
    <t>2019/10/06 15:52:47</t>
  </si>
  <si>
    <t>投诉人 卢先生        投诉对象  来花花        涉诉金额  4 200 元    问题类型    诉求类型投诉详情  已经投入很久了 至今无人处理 希望有部门抓紧时间给予处理 要求返还多余的费用</t>
  </si>
  <si>
    <t>2019/10/06 15:52:41</t>
  </si>
  <si>
    <t>本人于2017年9月在捷信贷款23000元，分27期还了17期26146元，现在还要还15000多，现在在想安正常利率还款协商。</t>
  </si>
  <si>
    <t>2019/10/06 15:51:57</t>
  </si>
  <si>
    <t>投诉人颜先生投诉对象海尔涉诉金额6499元问题类型诉求类型投诉详情1:2017年11月11日在淘宝网，到货后联系海尔售后安装，安装的师傅表示不需要发票，亦表示以后安装也不需要发票，凭热水器上的机器码即可维修，2：热水器在这期间一切正常，就算偶尔出现报警重新断电就解决了，师傅第一次上门维修是9月14号，当时表示是传感器坏了，需要更换，16号换完传感器之后，师傅又表示冷媒不够，于18号再次上门添加冷媒，之后的几天热水器一切正常，直到25号热水器又开始出现报警代码，微信上发代码图给师傅看，师傅说是传感器故障，要订</t>
  </si>
  <si>
    <t>2019/10/06 15:51:03</t>
  </si>
  <si>
    <t>投诉人李先生投诉对象白条分期涉诉金额249元问题类型诉求类型投诉详情白条分期在用户未能审阅合同的前提下私自收取用户249元人民币，承诺推荐贷款，不通过上传拒贷图片即可退回会员费用！联系客服无人回应！。</t>
  </si>
  <si>
    <t>2019/10/06 15:50:55</t>
  </si>
  <si>
    <t>卖家在对第一次订单用假客服进行恶意传导信息并在之后的发货邮件中并没有账号密码的信息之后在与其多次尝试沟通直接选择关闭订单最后自己迫不得已使用了仲裁卖家口头说七天之后给我所有的单子进行退款操作却在第二天上线的时候发现他已将商品全部删除但是我看到另外一个与其十分相似的账号跟内容并开始与卖家的交流卖家也在言语中透露了自己就是昨天那个人甚至我问他什么时候能退款的时候他还说还有一年之后又开始对昨天所说的退款拒不承认并屡次对虚假发货的订单显示已发货之后通过别的平台发现我这样的受害者不是第一个希望能通过聚投诉追回我损失的</t>
  </si>
  <si>
    <t>2019/10/06 15:50:50</t>
  </si>
  <si>
    <t>19年10月4号在玖富万卡申请了一笔贷款，本金是21900，要扣我12800的人保的保费，做了两年的分期，总共本金加利息要37669.2，也就是说我借了21900，需要我交12800的保费和将近15000块钱的利息。</t>
  </si>
  <si>
    <t>2019/10/06 15:50:14</t>
  </si>
  <si>
    <t>花月钱包套路贷暴力催收，对我现阶段造成了很大影响。</t>
  </si>
  <si>
    <t>2019/10/06 15:49:34</t>
  </si>
  <si>
    <t>本人有还款意愿，只是想这个月协商一下15号还款，51催收的人员不管不顾直接打电话给家人朋友，要求当天还款！。</t>
  </si>
  <si>
    <t>2019/10/06 15:49:28</t>
  </si>
  <si>
    <t>因本人最近出现资金问题，贷款无力及时偿还，但是也在努力工作准备还债，招联金融贷后管理，严重骚扰本人及亲属，非法获取通讯录号码，软暴力威胁，告知工作人员会投诉，工作人员更是蛮横无理，说爱上哪投诉投诉去，严重骚扰到家人正常生活工作，导致本人有强烈轻生念头。</t>
  </si>
  <si>
    <t>2019/10/06 15:49:22</t>
  </si>
  <si>
    <t>本人在9月18号通过聚福钱包App申请贷款，里面的小银分有个贷款资质审核，上传身份证银行卡，之后需要签了好几个协议，本人以后和别的网贷一样是为了查数据和以后还款使用，打了电话才知道是小银分里面的一个协议，审核费用的，在填写资料时扣款协议隐藏太隐蔽，完全没注意到，觉得欺骗客户，没有给客服充分知情权，未写在显眼处，没有充分告知让客户有选择权，造成严重影响，那张银行卡以不敢使用，要是后续又扣款呢。</t>
  </si>
  <si>
    <t>2019/10/06 15:49:17</t>
  </si>
  <si>
    <t>我2018年6月份在百度钱包上面借了三万元钱，一年还完，我还了三个月，后面家里面遇到变故还不上了，就一直逾期，中途家里面人准备帮我还我联系他们客服商量利息能不能减免一点，客服回答我不能，我又没有那么多钱非要我一次性还上，对方不只一次给我打骚扰电话，还给我的家人发骚扰信息和打电话，还给我发律师函，今天他们称律师事务所的人跟我联系，让我一次性偿还本金，我说我没有那么多钱，能不能减免一点罚息，他说不能，还说会派人上门找我催款，本金还有22500块钱，利息2200多，罚息却是4700多。</t>
  </si>
  <si>
    <t>2019/10/06 15:49:14</t>
  </si>
  <si>
    <t>本人在玖富万卡借了34000！到账2万多！收取了服务费！利息15000多！利息高达60！现在要求免除最后一期还款！。</t>
  </si>
  <si>
    <t>2019/10/06 15:48:12</t>
  </si>
  <si>
    <t>聚富分期乱扣费，打电话给客服不给退款，希望有管部门管管，。</t>
  </si>
  <si>
    <t>2019/10/06 15:47:25</t>
  </si>
  <si>
    <t>投诉人黄开标投诉对象捷信金融涉诉金额30000元问题类型诉求类型投诉详情前几天投了一次，我是找你们解决问题的，协商还款的，你想要我们还你就得按照点正规利息来算，算合理我们才可以处理，今天电话就开始打过来了，/说上门找我拿钱，还说带什么人过来找我拿钱，你跟我扯这些有什么用，而不是在我找你解决问题的时候，你却找专员说上门找我拿钱，你们是想威胁我跟我爸妈是吗。</t>
  </si>
  <si>
    <t>2019/10/06 15:46:48</t>
  </si>
  <si>
    <t>投诉人 宫女士        投诉对象  招商银行信用卡        涉诉金额  15 000 元    问题类型    诉求类型投诉详情  银行让第三方没有资质公司打电话辱骂我。我现在只跟招商银行信用卡现在协商</t>
  </si>
  <si>
    <t>2019/10/06 15:46:29</t>
  </si>
  <si>
    <t>投诉人 卢先生        投诉对象  壹心分期        涉诉金额  5 000 元    问题类型    诉求类型投诉详情  投诉后无人处理 尽快给方案！ 抓紧处理 希望有关部门给予帮助</t>
  </si>
  <si>
    <t>2019/10/06 15:45:53</t>
  </si>
  <si>
    <t>捷信恶意催收辱骂捷信恶意催收辱骂捷信恶意催收辱骂。</t>
  </si>
  <si>
    <t>2019/10/06 15:45:24</t>
  </si>
  <si>
    <t>本人于2019年4月在我来带平台借款，正常还款四期之后，因资金周转困难产生逾期，逾期之后，我来贷平台多次打电话骚扰亲朋好友，昨日向本人通讯录所有人发放了一条短信，已经严重影响到我的生活，这种行为让人难以理解，请我来贷平台做出道歉与赔偿。</t>
  </si>
  <si>
    <t>2019/10/06 15:45:22</t>
  </si>
  <si>
    <t>本人20，在校大学生，在弹个车弹了个车，日产蓝鸟，当时销售一字未提第一年是租车，并未见过纸质合同，全程都是销售在***作，首付19500月已供五个月9990，共计金额29450元，中途发现行驶证不是本人户头，才得知买车变租车，并且申请退车的时候，销售说三种处理方式，卖方隐瞒实情，文字游戏，套路合同，卖方的过错为什么要我们消费者买单。</t>
  </si>
  <si>
    <t>2019/10/06 15:45:03</t>
  </si>
  <si>
    <t>审核出来给我的额度是1330元分3期，每期还468.33元，但借款到帐后要收取首期服务费58.85元和首期担保服务费271.15，总共收取330元，这分明是砍头息，借1300多要还1700多。</t>
  </si>
  <si>
    <t>2019/10/06 15:44:03</t>
  </si>
  <si>
    <t>投诉人吴女士投诉对象海南移动涉诉金额288元问题类型诉求类型投诉详情卡发不了信息，打了多次客服，仍然没做处理。</t>
  </si>
  <si>
    <t>2019/10/06 15:43:36</t>
  </si>
  <si>
    <t>10月3日试穿，6日发现降价为99元，与唯品客服沟通拒不受理！</t>
  </si>
  <si>
    <t>2019/10/06 15:43:30</t>
  </si>
  <si>
    <t>投诉人王女士投诉对象贷上钱涉诉金额2000元问题类型诉求类型投诉详情贷上钱上次逾期了一天就打电话催收，还告诉第二天还款不行，这次实在是有点困难，看着贷上钱现在国家这么厉害，贷上钱还敢爆通讯录，我哥也是一名律师，到期了，看一下，如果爆通讯录将会采取法律手段来整理这件事情。</t>
  </si>
  <si>
    <t>2019/10/06 15:43:22</t>
  </si>
  <si>
    <t>投诉人朱先生投诉对象随手记,随心微利涉诉金额5200元问题类型诉求类型投诉详情随手记里面的随心微利今天逾期一天，平台就爆我通讯录，国家已经在打黑除恶里面明令禁止暴力催收了，该平台仍然用恐吓，威胁，爆通讯录的方式催收，望有关部门查处这样的黑恶平台。</t>
  </si>
  <si>
    <t>2019/10/06 15:42:51</t>
  </si>
  <si>
    <t>恒富创融科技有限公司旗下钱橙无忧app金融网站以贷款为名欺骗浏览网站的消费者再未经本人许可私自扣取银行卡余额。</t>
  </si>
  <si>
    <t>2019/10/06 15:42:09</t>
  </si>
  <si>
    <t>投诉人李英先生投诉对象360借条涉诉金额25000元问题类型诉求类型投诉详情360借条内部口子，贷款三万，包装通过收取百分之五的手续费，贷款成功收取百分之五的手续费，借款卡号输错为由收取9000元保证金，允诺放款成功后，贷款账户被冻结，商讨无结果后，又让缴纳8000元解冻费加前三期本金和利息，客服允诺二十分钟下款，之后联系让排队放款，一直未下款额及本金，客服经理让联系在线客服，在线客服根本联系不到，现在希望取消贷款，归还25000本金加6000元杂费。</t>
  </si>
  <si>
    <t>2019/10/06 15:42:02</t>
  </si>
  <si>
    <t>6月24日，通过白条分期app，一步步注册，说，点确定就能下款，莫名其妙的就扣了299会员费，额度没有也没下款，还给你推荐一堆平台，找客服退款说是申请五个贷款不通过就给退，等你发了五个截图给他们，他们你用了风险评估不给退，全是套路，第一，风险评估是他们app自己跳转的。</t>
  </si>
  <si>
    <t>2019/10/06 15:41:53</t>
  </si>
  <si>
    <t>投诉人安先生投诉对象拍拍贷涉诉金额6000元问题类型诉求类型投诉详情拍拍贷骚扰家人朋友邻居进行催收，态度恶劣，停止骚扰。</t>
  </si>
  <si>
    <t>2019/10/06 15:41:07</t>
  </si>
  <si>
    <t>上海拍拍贷高利贷，爆通讯录，无视监管，年利率高与36%，严重影响个人生活。</t>
  </si>
  <si>
    <t>2019/10/06 15:41:05</t>
  </si>
  <si>
    <t>马上消费金融，恐吓谩骂本人，爆我通讯录，骚扰我家人亲戚朋友。</t>
  </si>
  <si>
    <t>2019/10/06 15:41:03</t>
  </si>
  <si>
    <t>新浪分期名义利率36%，但是实际年利率高达61%，打电话沟通申请提前还款，新浪分期回复不支持提前结清，客服给出解释，即使提前还款仍需将手续费扣除，现申请提前结清，并且减免本金及本期利息以外的其他违规费用。</t>
  </si>
  <si>
    <t>2019/10/06 15:40:48</t>
  </si>
  <si>
    <t>z在保持正常联系的情况下，我已告知本人身在成都，可与我当面沟通还款事宜，并联系户籍地镇、村、队领导干部，另外，我目前只掌握所谓第三方的两个电话号码，并不清楚其具体情况是否是合法单位：成都028-68079979，巴中177******69；我欠银行的钱，可与我沟通协商正常催收。</t>
  </si>
  <si>
    <t>2019/10/06 15:38:53</t>
  </si>
  <si>
    <t>威胁恐吓我给他说了16号非要我五天内老子有钱早都全部还完了。</t>
  </si>
  <si>
    <t>2019/10/06 15:38:51</t>
  </si>
  <si>
    <t>投诉人冯先生投诉对象转转,转转保卖涉诉金额2628元问题类型诉求类型投诉详情投诉编号为CN1320221的投诉无人跟进，不了了之，验机报告疑似虚假，来电工作人员答复说都有视频，保卖平台会核实，核实没核实我不知道，但后续也没有给我答复，只说给我补200元，可是你补了200又能怎样，当时宣传的是2628，还说补200是贵平台的底线，欺人太甚，我可以为我说的话负责，然后就是贵平台工作人员能不能核实清楚一切以后再联系我，摇身一变我到手差了几百块，处理不了我就一直投诉，抖音也会发，让更多的人看到，也感谢聚投诉平台，不</t>
  </si>
  <si>
    <t>2019/10/06 15:38:42</t>
  </si>
  <si>
    <t>本人闫鹏宇，于2019年10月1日在淘宝网下单购买aj11白蛇篮球鞋，金额1576.57元人民币，后顺丰快递于10月3日上午10点10分左右配送到本人填写地址，但因为本人处于国庆假期值班状态，有工作要处理，所以并未第一时间再出取件，按规定，快递配送员应另选时间再次配送，但快递员提出可放于门卫，本人思索后也表示认可，但是门卫本身没有代签收和保管快递的义务，本人的快递却显示被门卫签收，然后本人于该日下午1点57分左右赶到门卫室，却并没有找到快递，于是第一时间联系快递配送员，但是配送员却多次表明并不是他的责任，是</t>
  </si>
  <si>
    <t>2019/10/06 15:38:37</t>
  </si>
  <si>
    <t>耀芙多效修护冻干粉喷雾泵特别难装，是根本装不进去，而且还少了内置管，打电话无人接听。</t>
  </si>
  <si>
    <t>2019/10/06 15:38:13</t>
  </si>
  <si>
    <t>投诉人 赵女士        投诉对象  超级马力贷        涉诉金额  2 000 元    问题类型    诉求类型投诉详情  协商还款停止骚扰并且销账不的威胁！！！！</t>
  </si>
  <si>
    <t>2019/10/06 15:38:12</t>
  </si>
  <si>
    <t>投诉人 谢先生        投诉对象  宏萨信息科技        涉诉金额  296 元    问题类型    诉求类型投诉详情  今天才发现银行卡里图片少了296块钱 一看是宏萨有限公司拿走了 我都没收到任何请求他就没了</t>
  </si>
  <si>
    <t>2019/10/06 15:36:51</t>
  </si>
  <si>
    <t>直接威胁我要群发通讯录，要求立即道歉，赔偿。</t>
  </si>
  <si>
    <t>2019/10/06 15:36:49</t>
  </si>
  <si>
    <t>本人于去年向钱包商家招财贷借款十五万，实际到账十三万二，综合息费砍头息太高，业务员时至今日并无给我签署任何合同，一直在正常还款中，每月十五号到期，十五日还款说我逾期。</t>
  </si>
  <si>
    <t>2019/10/06 15:36:32</t>
  </si>
  <si>
    <t>本人在钱站借款2000，到账2000，合同显示还3000，分三期还，每期还1066，本人已还一期，跟催收人员协商还款不成，暴力催收，骚扰家人亲戚朋友，态度恶劣，对本人家属朋友造成了严重的困扰。</t>
  </si>
  <si>
    <t>2019/10/06 15:35:35</t>
  </si>
  <si>
    <t>本人从4月份到现在在自由魔卡！App口袋有余！六便士！信用计划！！还有已经下架的泉友贷等产品先后借款！每次都先付会员费每次350至540的会员费实际为了高利贷！本人要求归还一半！总共6000多会员费！本人现在要求归还一半3000元即可！或者销账本人在信用计划的本期2000元借款！朴不处理本人不会归还信用计划的2000元！如暴力催收或者爆我通讯录本人教会拨打全国扫黑除恶电话进行举报！下面是一些证据。</t>
  </si>
  <si>
    <t>2019/10/06 15:35:28</t>
  </si>
  <si>
    <t>投诉人 顾先生        投诉对象  胖胖有米        涉诉金额  3 500 元    问题类型    诉求类型投诉详情  胖胖有米套路贷，未经本人同意自动放款。3500额度到账1925。联系客服无人接听，暴力催收。截止今日需要还7000多。</t>
  </si>
  <si>
    <t>2019/10/06 15:35:00</t>
  </si>
  <si>
    <t>拍拍贷恶意催收，打电话恐吓骚扰威胁，要求赔偿精神损失停止骚扰恐吓。</t>
  </si>
  <si>
    <t>2019/10/06 15:34:25</t>
  </si>
  <si>
    <t>投诉人 李女士        投诉对象  银联        涉诉金额  2 元    问题类型    诉求类型投诉详情  本人没有尾号1902的银行卡。却收到短信并附有威胁留言。完全不明白啥意思？我给谁还钱？已投诉银监</t>
  </si>
  <si>
    <t>我17年5月份在捷信平台借款14000元，当时跟我说是20期，是客服给我打的电话，我发现还了20期之后还没还完，现在已经还了27期，每期926.4还完一共还27792，这不是变相高利贷吗，我第28期已经逾期13了，跟客服协商还款不行，我没说不还，她的意思是后期骚扰我家人，这样的平台让人寒心，有多少被捷信欺骗的，我问客服还完上期提前结清还多少，结果是两期减免100块钱，你们利息这么低吗，利息这么低我早都还完了。</t>
  </si>
  <si>
    <t>2019/10/06 15:34:06</t>
  </si>
  <si>
    <t>投诉第三天了，没有个说法，没有回复，这个平台还逾远逾烈。</t>
  </si>
  <si>
    <t>2019/10/06 15:33:53</t>
  </si>
  <si>
    <t>51人品贷，暴力威胁催收，每天打几十个电话给我家人，本来我的还款日是每月3号，在还款日之前我就提前打电话给客服申请协商还款，15号还进去，可是客服说他处理不了要我等着逾期了催收的人给我打电话在和他们协商，可每次打电话里我想协商他们都说不可能，一定要我当天之内就还进去，要是我还不进去就要打电话给我家人，发送威胁短信，对此我提出抗议！要求不要在打电话给我家人和身边的人！。</t>
  </si>
  <si>
    <t>2019/10/06 15:33:22</t>
  </si>
  <si>
    <t>冒充律师发律师函，当地法院传票已经寄出，派出所马上上门，打电话威胁我父母，说让当地黑社会上门，吓得我父母现在都不敢在家住了，我本来欠了7000，还了4000，第一次逾期了一天，就暴力催收，我是从那时候开始很气愤才不还的，省呗不道歉下架，我永远都不还！希望相关部门严肃处理，江西萍乡这个骗子高利贷之乡，在国家打黑除恶的号召下什么时候能铲除。</t>
  </si>
  <si>
    <t>2019/10/06 15:32:02</t>
  </si>
  <si>
    <t>像这样的平台害人害己，希望有关部门能够及时进行监督下。</t>
  </si>
  <si>
    <t>2019/10/06 15:31:56</t>
  </si>
  <si>
    <t>投诉人 王女士        投诉对象  水莲金条        涉诉金额  800 元    问题类型    诉求类型投诉详情  威胁恐吓，辱骂，立即道歉，停止催收。拨打通讯录。说了今天还上。还是不行。是逾期了。但是说话的态度也太没素质了吧。说了今天还还要怎么样啊。在继续催收。一分钱也别想拿到。</t>
  </si>
  <si>
    <t>2019/10/06 15:31:49</t>
  </si>
  <si>
    <t>本人声明：本人在中信银行信用卡逾期十五天未处理，我本人已经清楚的认识了自己的错误，本人也将积极应对和处理，不逃避！事情发生经过：前几日催收人员打电话给我让我处理，我当时没钱我就说工资还没发下来，给些时间让我去借钱，正好也国庆长假期间这几天大家都资金困难也没有借到，但是我也在努力的去周转资金争取早日解决问题，但是你们催收人员从今天上午九点零九分开始一直打到中午一点钟左右基本都是在半个小时内一个电话直到手机打到关机没电为止，由于工作原因不能接电话，手机上十多个未接电话而且都是网络虚拟号无法回拨电话，现在我认为是</t>
  </si>
  <si>
    <t>2019/10/06 15:31:24</t>
  </si>
  <si>
    <t>51人品贷，贷款的时候根本看不到那么高利息，5000元12个月每个月还款526，本来没觉得怎么样，但是前几个月每个月都要还900多，后面才是526，利息有3分那么高，现在那么高利息，真的还不起了，每天打十几个电话骚扰我，骚扰我家人，要求对方必须道歉。</t>
  </si>
  <si>
    <t>2019/10/06 15:31:18</t>
  </si>
  <si>
    <t>同样是在不知情的情况下，每月有高额保险费和服务费。</t>
  </si>
  <si>
    <t>2019/10/06 15:31:09</t>
  </si>
  <si>
    <t>贷款app乱扣钱，还不退还，这不属于骗子嘛，希望能帮我啊。</t>
  </si>
  <si>
    <t>2019/10/06 15:31:02</t>
  </si>
  <si>
    <t>你要是把利息做到和国家一样我会不还嘛你们不想一想。</t>
  </si>
  <si>
    <t>2019/10/06 15:30:38</t>
  </si>
  <si>
    <t>在钱站申请两次借款后发现合同钱额与到帐金额不同，而且两次借款所收服务费有很大差别，给客服打电话也解决不了，借2000合同上写2500元到帐2000每期服务费30多而借1000服务费达到1期要300多这是变象收取高额费用，希望钱站能解决问题才能正常还款。</t>
  </si>
  <si>
    <t>2019/10/06 15:30:30</t>
  </si>
  <si>
    <t>和客服协商10号结分期，客户说可以，然后被暴力催收，言辞侮辱！有姓陈的先生让你给回个电话，177******72，说是什么金融的，电话公司，言辞侮辱！对工作造成极大的影响。</t>
  </si>
  <si>
    <t>2019/10/06 15:30:24</t>
  </si>
  <si>
    <t>卖家在对第一次订单用假客服进行恶意传导信息，卖家在对第一次订单用假客服进行恶意传导信息 并在之后的发货邮件中并没有账号密码的信息 之后在与其多次尝试沟通直接选择关闭订单 最后自己迫不得已使用了仲裁 卖家口头说七天之后给我所有的单子进行退款操作 却在第二天上线的时候发现他已将商品全部删除 但是我看到另外一个与其十分相似的账号跟内容 并开始与卖家的交流 卖家也在言语中透露了自己就是昨天那个人 甚至我问他什么时候能退款的时候他还说还有一年 之后又开始对昨天所说的退款拒不承认 并屡次对虚假发货的订单显示已发货 之后</t>
  </si>
  <si>
    <t>2019/10/06 15:28:51</t>
  </si>
  <si>
    <t>要求退款，找不到客服，最后查看app要申请借款失败才给退，我不需要，麻烦尽快退款。</t>
  </si>
  <si>
    <t>2019/10/06 15:28:49</t>
  </si>
  <si>
    <t>投诉人 陈先生        投诉对象  碧素堂 ,碧        涉诉金额  10 元    问题类型    诉求类型投诉详情  碧素堂天猫旗舰店存在假冒品牌 出售假货 欺诈消费者等行为 侵犯消费者权益 希望工商部门严查这个网店</t>
  </si>
  <si>
    <t>2019/10/06 15:28:17</t>
  </si>
  <si>
    <t>贷上钱,指上旅行,西伯利,还有一个平台忘了，有还款和收款记录，8月贷上钱借款2000，一个月分4期还款，月底一共还款2660，最后一期逾期半天，还打通讯录谩骂，一直打，旗下指上旅行，西伯利亚借款分别3000，到账2100，砍头息900说是权益产品，都没用，也是一个月周期，另一个旗下平台忘了名字，借款2000，还款2700，目前为止，指上旅行和西伯利还有最后一期，希望相关部门彻查到底，。</t>
  </si>
  <si>
    <t>2019/10/06 15:28:04</t>
  </si>
  <si>
    <t>时光分期原名原子贷，属于北京融科君展信息技术有限公司旗下产品，，2018年12月借款12000，合同中显示按月等额还款，咨询服务费为2.3495%，年利率为8%，咨询服务费并未在合同中显示，最终在借款时产生了每月利息13.78，资方服务费23.59，咨询服务费281.95的高额利息，每期需还款1349.4元，根据国家年利率计算已高达60.86%，第一期还款还捆绑了保险，在今年315国家查处违规贷款中，时光分期隶属融360，时光分期并无放贷资质，现在已经还了10期，金额一共13610，无论是本金还是正规利息已</t>
  </si>
  <si>
    <t>2019/10/06 15:28:01</t>
  </si>
  <si>
    <t>本人2019年7月3日在信用飞借款3000元，分3期还，每期还1060.60元，在我正常准时还款2期后，9月5日有个信用飞工作人员的加我微信说我逾期没还一笔610元的保险费用，本人一直未知有这笔保险费用，就不认可他说的，结果他威胁性的说要交第三方催收，没办法的情况下，只好还上了，现在我的借款已全部结清，信用飞这捆绑销售保险不合理，而且查询不到所谓的保险单，要求退回610元给我。</t>
  </si>
  <si>
    <t>2019/10/06 15:27:29</t>
  </si>
  <si>
    <t>本人邀请真实用户活动奖励，结果猫眼公司却以外挂等理由封禁账号，故意不放款，侵犯我的权益。</t>
  </si>
  <si>
    <t>2019/10/06 15:27:28</t>
  </si>
  <si>
    <t>我之前在凡普信门店贷一笔款，这期到期了，我跟她协商延期还款，他威胁我，总是骚扰我爱人，我爱人刚生完孩子！影响他回复，我不知道你们这个聚投诉还管不管用，还是否起作用！请相关部门拒绝这样的行为！。</t>
  </si>
  <si>
    <t>2019/10/06 15:27:10</t>
  </si>
  <si>
    <t>在爱用商城app注册了一个帐号，后来没用想要注销帐号，客服说不能注销。</t>
  </si>
  <si>
    <t>2019/10/06 15:25:30</t>
  </si>
  <si>
    <t>逾期一天就100块钱，我给客服电话都不联系我，直接暴力发短信恐吓我。</t>
  </si>
  <si>
    <t>2019/10/06 15:25:28</t>
  </si>
  <si>
    <t>商家所售商品并无耐克授权，盼了几天的快递是个家伙，心情很愤怒。</t>
  </si>
  <si>
    <t>2019/10/06 15:25:22</t>
  </si>
  <si>
    <t>发这样的额信息，简直可恶至极！你们没有父母吗。</t>
  </si>
  <si>
    <t>2019/10/06 15:25:11</t>
  </si>
  <si>
    <t>2019年7月，在钱橙无忧注册过账户，因为资金周转想着借点钱，但是看到要缴纳评估费，于是就没使用该软件，随后便卸载该软件并注销账号，没想到今天收到短信，说我于2019年9月28日在钱橙购买个人信息检测费，，我起初还想了半天，这到底是为什么扣款，时间长了我几乎不记得我用过这个软件，我联系了建设银行，查询到是新生支付有限公司扣款的，于是我让建行取消快捷支付，禁止该公司私自发起扣款，我也发现，网上有很多人跟我一样，很多是新生支付公司发起的扣款，也是莫名其妙卡了被扣了168元钱，该APP恶意盗取用户信息，新生支付公</t>
  </si>
  <si>
    <t>2019/10/06 15:24:12</t>
  </si>
  <si>
    <t>投诉人何先生投诉对象钱站涉诉金额2000元问题类型诉求类型投诉详情本人于2019年7月29日申请钱站平台贷款2000元3期成功，实际银行入账2000元，但查询钱站平台贷款合同却为3960.00元，况且分三期还款总额已高达银行入账2000元的一倍还多，因此，特向贵平台申诉，希望能通过贵平台与钱站平台协商停止还款或按实际入账金额按国家金融规定合理还款。</t>
  </si>
  <si>
    <t>2019/10/06 15:23:33</t>
  </si>
  <si>
    <t>期间没有任何电话短信通知，利息高，逾期费也高。</t>
  </si>
  <si>
    <t>2019/10/06 15:21:35</t>
  </si>
  <si>
    <t>借款2100，分四期，七天一期，已还三期合计2253，最后一期还有751，严重高利贷，申请最后一期销账。</t>
  </si>
  <si>
    <t>2019/10/06 15:20:51</t>
  </si>
  <si>
    <t>投诉人 项先生        投诉对象  微信支付,微信        涉诉金额  5 183 元    问题类型    诉求类型投诉详情  我替朋友收的几笔钱冲游戏的给我永久冻结 申请恢复提现功能</t>
  </si>
  <si>
    <t>2019/10/06 15:20:47</t>
  </si>
  <si>
    <t>因国庆原因工资延迟到账，跟相关人员沟通无果他们就开始爆我通讯录。</t>
  </si>
  <si>
    <t>2019/10/06 15:20:01</t>
  </si>
  <si>
    <t>期间打过电话给客服，客服提出的退款条件非常苛刻，然后以各种理由拒绝退款，现要求聚福钱包马上退款，希望聚投诉平台重视此事，并给予帮助。</t>
  </si>
  <si>
    <t>2019/10/06 15:19:58</t>
  </si>
  <si>
    <t>及贷群发短信到我通讯录里所有亲戚朋友同事，严重影响了我的生活。</t>
  </si>
  <si>
    <t>2019/10/06 15:19:50</t>
  </si>
  <si>
    <t>8月22日申请的，26号下的款，后面每个月还没有到8号就催收，合同金额22000元，实际到账只有18000多一点，现在系统也进不去了，提示要什么重新开监管，但是监管银行又提示有其他网贷业务银行不负责，这样的高利贷平台就没有部门管管吗，当时我发现有砍头息就不打算要，结果是不要都不行，强制性要提现，不提也要正常还。</t>
  </si>
  <si>
    <t>2019/10/06 15:19:21</t>
  </si>
  <si>
    <t>借1400七天需还2000，汇潮支付和支付宝提供支付通道。</t>
  </si>
  <si>
    <t>2019/10/06 15:19:14</t>
  </si>
  <si>
    <t>当时由于急需资金周转向你我贷借款5500，分12期，前两期需还963多，剩下10期还554多.共需还7474.44，现已还10期还剩2期1000多左右，最近因为个人及家庭原因资金非常紧张困难，该平台不予本人协商恶意揣测我不还款，让我卖家具卖电视卖冰箱还款，还扬言骚扰我亲朋好友一个一个帮我借，已经对我造成困扰，恳求相关领导帮帮我，还我安宁，谢谢，本人说话句句属实愿承担法律责任。</t>
  </si>
  <si>
    <t>2019/10/06 15:18:47</t>
  </si>
  <si>
    <t>乘客到达目的地，他说位置不对，他朋友给他发了个位置，又到他朋友那个发的位置，结果到了他发那个位置目的地，他朋友跟他共享，然后共享是定位位置是准确的又返回来导致费用增加乘客说我路线不熟，我已经到达你目的地了，你自己导航的位置相差七八公里，不可能怪我路线不熟啊，导致费用增加乘客恶意差评，希望客户给出结果到了他发那个位置目的地，他朋友给他共享，然后共享是定位位置是准确的又返回来导致费用增加乘客说我路线不熟，我已经到达你目的地了，你自己导航的位置相差七八公里，不可能怪我路线不熟啊，导致费用增加乘客恶意差评，希望客户</t>
  </si>
  <si>
    <t>2019/10/06 15:18:33</t>
  </si>
  <si>
    <t>豹子贷恶意扣款了100元，请求退款，谢谢聚投诉帮我。</t>
  </si>
  <si>
    <t>2019/10/06 15:18:31</t>
  </si>
  <si>
    <t>投诉人王先生投诉对象湖北移动涉诉金额100元问题类型诉求类型投诉详情本人152手机多次接到移动营销电话来电告知现有资费可以免费领取一条100M宽带，本人于2019.9.8前往中国移动，有以下几点疑问1.已经办定的业务，可以因为大政策的变更而随意变更吗，网点办理该业务，业务人员告知要先变更服务地然后再装宽带，宽带无任何初装费，只告诉拆机会收取100元费用，还着重强调此事，后约定10.4号上门安装宽带；等到10.6号也无人上门，也无人主动联系告知安装时间；本人致电客服反映情况，客服说未接到安装宽带的工单，要现下</t>
  </si>
  <si>
    <t>2019/10/06 15:17:47</t>
  </si>
  <si>
    <t>一天打无数次电话，说了过几天还进去，还是天天不停的打电话。</t>
  </si>
  <si>
    <t>2019/10/06 15:17:40</t>
  </si>
  <si>
    <t>本人在新橙优品上借款3000，放款后立马被砍头息300，实际到账2700元，之前我提前还款，总共在平台已经还了3371元，年化利率49%，远远超过国家合法利率，新橙优品工作人员说我仍未还清，要上报我征信问题，试问，高利贷公司跟银行合作就可以这样无法无天吗，银行不看看什么样的公司合作吗，我要求销账，提供结清证明，取消上报征信，否则我会起诉！。</t>
  </si>
  <si>
    <t>2019/10/06 15:17:24</t>
  </si>
  <si>
    <t>外出没带那个手机，未接到电话频繁联系其他联系人，告知债务情况，泄露隐私侵害名誉权。</t>
  </si>
  <si>
    <t>2019/10/06 15:17:20</t>
  </si>
  <si>
    <t>及贷收取会员费2682.5元，希望可以退回，强制消费。</t>
  </si>
  <si>
    <t>2019/10/06 15:16:57</t>
  </si>
  <si>
    <t>钱站逾期两天利息高的吓人，我借款2000就要还3000多，还发信息威胁，希望有关部门解决。</t>
  </si>
  <si>
    <t>2019/10/06 15:16:54</t>
  </si>
  <si>
    <t>投诉人王刚投诉对象睿途出行涉诉金额1680元问题类型诉求类型投诉详情2019年10月2日目在喀什机场候机厅时被机场工作人员以检查机票为由向我推销会员卡，因为是在机场里面而且她们有专门的柜台还穿着机场的制服，我就很信任她们了，最后花费了1680元办理了一张睿途出行vip卡，并未给任何卡，也不知道在机场安检这么严格她们是怎么进去的，，该工作人员说活动期间充值1680公司赠送1680，会员卡里一共2150元，该推销员承诺的是任何时候用这张vip卡在他们公司买机票都会比其他任何平台购买的机票便宜，并且可以不限本人使</t>
  </si>
  <si>
    <t>2019/10/06 15:16:37</t>
  </si>
  <si>
    <t>本人9月6日在信用管家上米多点借款2000元，易宝支付为其提供支付通道，分三期每期十天，现已还1745元，米多点还要求还852元，这完全超过国家合法利率，现要求归还本金及合法利率销账。</t>
  </si>
  <si>
    <t>2019/10/06 15:15:45</t>
  </si>
  <si>
    <t>前后协商的不着调，如果这样做，那么我们利益收什么保证，那么我们的个人资料会不会泄露，这么不靠谱，存在砍头息行为，要求官方人员给出答复！！。</t>
  </si>
  <si>
    <t>2019/10/06 15:15:09</t>
  </si>
  <si>
    <t>立借平台你好：我是借款人在你们那借了6500元显示12期，申请完钱到账后显示12期前面就要还完三个月的，这是阴阳合同，显示12期还款，结果前面三期就要全部还完包括利息，后面9个月每个月还要还几十，如果是按照正常的12期这个费用和利息我也愿意承担但是太虚伪了，前面三个月就要还完，还要多两千多的利息这是在增加我们的压力，后面9个月每个月只要欢几十，那我们要长时间分期的意义在哪呢，现在协商调整分期额度，要么就是结清本金，反正你们也骚扰过我家人了，如果协商未果那就走司法程序吧。</t>
  </si>
  <si>
    <t>2019/10/06 15:14:24</t>
  </si>
  <si>
    <t>已经与平台客服协商过延期还款，结果平台还是转第三方催收平台，对我通讯录的进行骚扰，而且一直拨打我联系人电话，对我生活工作照成严重影响，导致我和妻子感情破裂，离婚。</t>
  </si>
  <si>
    <t>2019/10/06 15:14:20</t>
  </si>
  <si>
    <t>未经允许以服务费的名义从绑定的银行卡上盗刷296元。</t>
  </si>
  <si>
    <t>2019/10/06 15:14:13</t>
  </si>
  <si>
    <t>交通银行信用卡中心委托的第三方，严重违规，不自报身份，一开口说话，满满的莆田腔，完全听不懂，恶语相对，态度恶劣。</t>
  </si>
  <si>
    <t>2019/10/06 15:13:33</t>
  </si>
  <si>
    <t>实际到手只有9000，钱进账后就立即被扣走1000，这个属于变相砍头息，分六个月还清需要还10980严重超出国家规定标准利息。</t>
  </si>
  <si>
    <t>2019/10/06 15:13:30</t>
  </si>
  <si>
    <t>因有网贷需求，被推荐到聚富app注册贷款，期间注册并未提到会扣款和生成个人报告便注册了，当时看审核中就退出删了app，但是十月二日来条短信说被扣款299，我毫不知情，简直就是强买强卖，强烈要求退款，删除个人信息，不退款我会一直投诉你们这个公司。</t>
  </si>
  <si>
    <t>2019/10/06 15:13:15</t>
  </si>
  <si>
    <t>额度1000，申请后，变成1330，到账1000，强制分期三期，合同也被修改，本人并不知情，今天上来看，发现每期还614，其中每期服务费130多，三期共1842，，严重超出国家利率，还修改合同，阴阳合同，。</t>
  </si>
  <si>
    <t>2019/10/06 15:13:09</t>
  </si>
  <si>
    <t>北京有缘在线网络科技股份有限公司北京有缘网软件先是通过软件诱导我加入，然后出现了一个0元领取免费VIP，但是需要输入支付宝密码开通免密支付，然后在我不知情的情况下就自动扣费了，支付宝显示的自动扣费。</t>
  </si>
  <si>
    <t>2019/10/06 15:12:31</t>
  </si>
  <si>
    <t>投诉人 李先生        投诉对象  滴滴        涉诉金额  0 元    问题类型    诉求类型      投诉详情  滴滴审核不力 任何人都可以冒用别人身份信息注册滴滴司机 跟滴滴客服说过无数次了一直不作为 态度恶劣 作为国内最大的网约车平台不应该是法外之地 之前的教训是不是都忘了</t>
  </si>
  <si>
    <t>2019/10/06 15:12:18</t>
  </si>
  <si>
    <t>投诉人 张东艳        投诉对象  云充吧        涉诉金额  97 元    问题类型    诉求类型投诉详情  借了云充吧充电宝 当天归还店铺机柜一直满 未经同意扣了99押金</t>
  </si>
  <si>
    <t>2019/10/06 15:12:16</t>
  </si>
  <si>
    <t>因滴滴司机开车过慢导致延迟到站，范志毅哦车票作废，从新买票，本来15分钟能到的，路上就他的车最慢，我不知道是因为什么，每个去动车站的人都是赶时间的，司机却一直很慢很慢的开，没有一辆车比他慢，请给我一个合理的赔偿，滴滴快车客服说会给合理解释，今天打电话说赔偿30优惠券就可以，请问我要你30优惠券干什么。</t>
  </si>
  <si>
    <t>2019/10/06 15:12:08</t>
  </si>
  <si>
    <t>投诉人郭先生投诉对象百事普惠涉诉金额150元问题类型诉求类型投诉详情昨天申请的一看没用就显示让同意同意昨天没扣今天就分了两笔扣了150元要求给我退款无论多少我都要求退款。</t>
  </si>
  <si>
    <t>2019/10/06 15:11:12</t>
  </si>
  <si>
    <t>微信手机充值不到帐，没有人工客服，机器人客服3天不处理问题。</t>
  </si>
  <si>
    <t>2019/10/06 15:10:29</t>
  </si>
  <si>
    <t>招商银行欠三万多每个月收取违约金加利息高达2000多元，根据《人民银行信用卡》新规明确表明改滞纳金为违约金，协商收取，可是银行不协商直接收取，具有强制性，违约金竟然还按月复利收取，我用卡时并不知情，现在情况了解后主动协商还不行，明显强制的霸王条款，卡片永远冻结高额违约金和利息一直收取，利滚利，一年下来违约金利息还比本金高，天利难容。</t>
  </si>
  <si>
    <t>2019/10/06 15:05:16</t>
  </si>
  <si>
    <t>微粒贷催收发短信，用我户籍地址恐吓本人说要去本人户籍所在地找我父母。</t>
  </si>
  <si>
    <t>2019/10/06 15:04:57</t>
  </si>
  <si>
    <t>暴力催收电话轰炸骚扰家人朋友这对微粒贷催收太正常了。</t>
  </si>
  <si>
    <t>2019/10/06 15:04:02</t>
  </si>
  <si>
    <t>2019年10月6号，下午两点22分被无故扣了100元，要求退款。</t>
  </si>
  <si>
    <t>事情发生在2019年9月12日下午一点左右我在百合网注册账号后接到工作人员电话叫我到佛山市禅城区祖庙路33号百花广场副楼16楼1603室了解一下情况去到后就有个自称是红娘老师带我到一个房间经过2个小时左右的劝说下叫我分期付款办理会员微信支付了3000元、其余的在一个月内支付、并承诺7到10天安排会员见面期间会一对一服务、交了钱之后到2019年10月2日才安排了一个会员见面、见面的时间也不长、期间老师不没有任何的服务、不适合、之后直到现在没有任何通知、感觉没服务、被骗了。</t>
  </si>
  <si>
    <t>2019/10/06 15:03:30</t>
  </si>
  <si>
    <t>暴力催收利息高于国家利息标准提前还款减免费用只能对公账户还款不能App进行。</t>
  </si>
  <si>
    <t>2019/10/06 15:03:05</t>
  </si>
  <si>
    <t>及贷收取客户高额砍头息，借款18500，收取2220保险费，担保费，，还28000多，希望及贷退回高额担保费。</t>
  </si>
  <si>
    <t>2019/10/06 15:03:02</t>
  </si>
  <si>
    <t>请豆豆钱处理退费速度如同你们扣掉砍头息一样速度和准时！。</t>
  </si>
  <si>
    <t>2019/10/06 15:02:01</t>
  </si>
  <si>
    <t>高炮平台，存在砍头息，高额利息，高额逾期费用，电话骚扰，严重影响我和家人朋友生活，希望尽快解决。</t>
  </si>
  <si>
    <t>2019/10/06 15:01:30</t>
  </si>
  <si>
    <t>本人在360借条借款40000元，十月2号到期，由于国庆节期间资金无法到账，所以申请到8号还款，360借条公司不同意，并且电话恐吓，扬言威胁。</t>
  </si>
  <si>
    <t>2019/10/06 15:01:27</t>
  </si>
  <si>
    <t>卡牛瑞贷收取超高额滞纳金，还款日5号，一条短信电话没收到没接到，一则提醒信息都没有，一过12点就显示364的滞纳金，总共一期就还2145的本金，逾期一天要收364的滞纳金，这是什么费率。</t>
  </si>
  <si>
    <t>2019/10/06 15:01:11</t>
  </si>
  <si>
    <t>本人2017年9月13日在捷信金融借款14000元.分27期还款.每期还款金额981.53元.目前已还22期.共还21593.66元.还款金额已超出了本金多利息.现提前结清还需要还4101.56元.已多还了7500元.严重属于高利贷行为.现在要求协商结清销账。</t>
  </si>
  <si>
    <t>2019/10/06 15:00:59</t>
  </si>
  <si>
    <t>投诉人 孙先生        投诉对象  肥猫贷        涉诉金额  1 400 元    问题类型    诉求类型投诉详情  我这刚到还款日 还没逾期他们那点就打电话来乱骂一通 态度极差 贷1400元 才6天要我还2000这不是高利贷吗 强烈要求这个平台下架</t>
  </si>
  <si>
    <t>2019/10/06 15:00:58</t>
  </si>
  <si>
    <t>4000元借款两个月，分4期每15天一期就有599.25的利息，一个月就要还3198.5，严重的高利贷，本人已还三期，今天是第四期还款日，要求本金销账。</t>
  </si>
  <si>
    <t>2019/10/06 15:00:52</t>
  </si>
  <si>
    <t>贷上钱未经本人允许，私自盗取本人通讯录，并以游戏小秘书的理由收取高额砍头息，多次打电话引诱本人贷款，对本人生活造成严重影响。</t>
  </si>
  <si>
    <t>2019/10/06 15:00:49</t>
  </si>
  <si>
    <t>本人在9月29日在多乾分期APP借款1400元，由汇潮支付打款到账，10月4日还款却要还2000多元，5天利息600多，而且4日早上10点多，多乾分期公司员工就开始打电话，并威胁中午12点之前不还钱的话，就要给家里人打电话，无奈本人只能续期还钱，APP上标名续期3天利息301元，提前支付，本人就直接支付了，没想到10月6号早上10点又开始打电话辱骂还款，且不说到晚上12点为止都是6号，关键从4号到6号也就2天，就收取301的利息也远远超出了国家法定利息了吧，本人现在要求归还本金及支付国家法定利息，并撤销借款</t>
  </si>
  <si>
    <t>2019/10/06 15:00:29</t>
  </si>
  <si>
    <t>有人加我微信说让我给他转钱，我不转，然后就曝光我的通讯录，说我失踪，说联系不到我，还问我我哪个亲戚有钱，他给我亲戚打电话让我亲戚给他转钱，没有通过我的允许就曝光我的通讯录侵犯我个人隐私，还说让警察抓我，还让我去死。</t>
  </si>
  <si>
    <t>2019/10/06 14:59:50</t>
  </si>
  <si>
    <t>APP无法还款导致逾期后暴力电话催收，还款我只认官方APP，对方无法处理导致逾期，非个人原因。</t>
  </si>
  <si>
    <t>中原消费金融年化利率34%已超国家规定的24%。</t>
  </si>
  <si>
    <t>新橙优品借款3000，分三月，到账2100，砍了900，每月还1165元，而且逾期一天，就恐吓我，爆通讯录，打电话问候单位与家里人。</t>
  </si>
  <si>
    <t>2019/10/06 14:58:58</t>
  </si>
  <si>
    <t>2019年6月17日在来分期平台借款18000.强制2年还清，利息7508元，利率算高了，逾期还上征信，让提供合同拒不提供，请求降低利率允许提前结清。</t>
  </si>
  <si>
    <t>2019/10/06 14:58:32</t>
  </si>
  <si>
    <t>9月24日结清，但是至今保费退还了无音信多次客服反馈多次让我耐心等待，现信用卡还款日即将到期，请大家帮助我即时追回玖富万卡不合理收费。</t>
  </si>
  <si>
    <t>2019/10/06 14:58:12</t>
  </si>
  <si>
    <t>你我贷高利息，借24000还12个月共计还32000多，已经还了6期，最近一期资金紧张逾期几天，解释最近想办法周转，结果催收人员恶意揣测我不还款，暴力催收，言语辱骂，电话骚扰，威胁恐吓要打我所有联系人电话，每天打多次电话骚扰，我现在要求减免高额利息，催收人员道歉赔偿我精神损失。</t>
  </si>
  <si>
    <t>2019/10/06 14:58:09</t>
  </si>
  <si>
    <t>本人在神马借平台借款2250元，每7天一期，前3期全部正常还款，9月22日还第四期，因平台原因导致逾期，现要求客服与我联系，减免逾期费用消帐，否则不处理了。</t>
  </si>
  <si>
    <t>2019/10/06 14:58:06</t>
  </si>
  <si>
    <t>在还款日当天，白天先是有个女客服打电话让我还款，当时我在忙，我说我会存进去，等晚上8点多一个男的打电话过来，口气不耐烦的让我还，我说我今天之内会存进去，然后他就开始各种大声喊，质问等等，我就纳闷了，我还没逾期呢，这是准备要打我，后面我挂掉电话，他还假装发道歉短信，道歉有用要法律干嘛，并且我问他部门工号他也回答不上来，难道催收合作的是黑社会，强烈要求平安普惠做出解释！！！再次强调，我还没逾期呢，就恐吓催收！！！现在我在等你们做出解释再还款！！！。</t>
  </si>
  <si>
    <t>2019/10/06 14:57:51</t>
  </si>
  <si>
    <t>2019年4月份在我来贷借了5000元，到账4000元，分12期每月还566元，12个月一共还6792元，因4月份家里出事导致逾期，第2天开始一直轰炸我的通信录，对我的生活造成莫大的影响，工作丢了，身边的朋友也远离了，每当接到我来贷的催收电话就各种辱骂，这事不给我一个解释我是一分钱不会再还，希望有关部门帮忙协商处理。</t>
  </si>
  <si>
    <t>2019/10/06 14:57:41</t>
  </si>
  <si>
    <t>豆豆钱工作人员爆通讯录，让我不能正常生活工作，工作人员态度嚣张，这么烂的公司就应该早点倒闭。</t>
  </si>
  <si>
    <t>2019/10/06 14:57:33</t>
  </si>
  <si>
    <t>打电话给我家人说上门和报警，不然就后果自负，说是打电话协商还款就今天几点之前不处理的话就说一些威胁的语言，我要有钱会还的谁都有困难，没困难我也不会找你们招联借，我通讯录的联系人都没有电话号码我自己都不知道别人电话号码你能打给人家，我现在的生活是给你全部给威胁到了！。</t>
  </si>
  <si>
    <t>2019/10/06 14:57:18</t>
  </si>
  <si>
    <t>小度有钱及讯联智付平台涉嫌欺诈，以VIP服务名义为幌子收取服务费198元。</t>
  </si>
  <si>
    <t>2019/10/06 14:57:13</t>
  </si>
  <si>
    <t>天天电话，一天好几个电话，已打扰正常生活，希望协商解决。</t>
  </si>
  <si>
    <t>2019/10/06 14:56:19</t>
  </si>
  <si>
    <t>本人广发银行信用卡，去年9月左右额度由20000降到了2000，已经关了一年了，每次还2000多，接近3000.现在还有20000，严重怀疑高利贷！本人本月因为资金问题，账单逾期了，这个是我的问题，今天明确表示最晚明天6点前会还款，因为国庆兼职的钱在七号会结，对方态度非常强硬要求必须今天，否则会联系通讯录，本人有录音，在我本人接电话，并且陆陆续续的还款，有还款意愿的情况下耍这种流氓手段。</t>
  </si>
  <si>
    <t>2019/10/06 14:56:18</t>
  </si>
  <si>
    <t>拍拍贷上市公司！协商处理一直强硬态度不给协商！利息相当于本金了：利率太高了高利贷了！借5000半年要还6500。</t>
  </si>
  <si>
    <t>2019/10/06 14:55:01</t>
  </si>
  <si>
    <t>10月3日，我从潍坊机场飞广州白云机场，过完安检正在候机时，突然一个穿着机场制服的声称是机场航空公司的人，就开始向我推销他们公司的贵宾卡，说是预存1380，再送1500，总共2880，然后终身无限次享受全国二十几个主要城市机场贵宾厅和地面头等舱服务还说里面的钱还可以在预定机票的时候抵扣机建费，而且他们的机票价格和外面的渠道比要低，还看到好多他们的工作人员来来回回在机场走动，找那些排队的人推销他们的卡，机场的其他工作人员也没有制止，以为真是机场的贵宾卡，就没注意那么多，晕晕乎乎的办了一张，当时因为时间不是很多</t>
  </si>
  <si>
    <t>2019/10/06 14:54:39</t>
  </si>
  <si>
    <t>乱发短信，骚扰电话，暴力催收，恐吓，高利息。</t>
  </si>
  <si>
    <t>2019/10/06 14:54:14</t>
  </si>
  <si>
    <t>小赢卡贷的未经我的允许就擅自拨打我的联系人。</t>
  </si>
  <si>
    <t>2019/10/06 14:54:13</t>
  </si>
  <si>
    <t>打客服电话不给开具结清证明，说什么证明上有他们公章，别家也有公章，别家怎么就给开呢。</t>
  </si>
  <si>
    <t>2019/10/06 14:54:06</t>
  </si>
  <si>
    <t>不结账，说银行风控，咨询银行银行说没有冻结，交易正常。</t>
  </si>
  <si>
    <t>2019/10/06 14:53:12</t>
  </si>
  <si>
    <t>拍拍贷借款，每个月支付高额利息，每个月按时正常还款，但是等到要还完了，突然不给借了！这让人很不爽！我是逾期了。</t>
  </si>
  <si>
    <t>2019/10/06 14:53:05</t>
  </si>
  <si>
    <t>本人在10月5号在喵下贷申请了一笔975元的贷款，期限六天，但是贷款一直没有到账，还款账单已经生成，现在希望喵下贷的工作人员，联系我，撤销我的贷款，我不贷了，你这样恶心造成用户损失，。</t>
  </si>
  <si>
    <t>2019/10/06 14:51:01</t>
  </si>
  <si>
    <t>我实际只用了30号的两张票和6号的一张票，其余多收到费用230+386+296.5共912.5其中230为高铁管家和去哪网重复付款，386是抢6号票第一次预付，后又候补方案补收296.5，抢票成功后直接跳转到12306付款界面付了722.5元后，显示抢票成功，然后预付和补收还有重复收费的至今未予退还，请核实后给我处理，谢谢。</t>
  </si>
  <si>
    <t>2019/10/06 14:50:59</t>
  </si>
  <si>
    <t>本人在快快贷借款36000元，每次借款6000元，借款周期一个月，一月后后按时还款，需要归还6360多，月利高达6%，我当时因为被相关贷款平台暴力催收，不得已循环借款，现要求该平台退还不合理的费用。</t>
  </si>
  <si>
    <t>2019/10/06 14:50:58</t>
  </si>
  <si>
    <t>今年开年以来，升学教育几乎天天骚扰电话不断，叫他们不要再打了，他们业务员还骂人，还挑衅说他们就是要天天打，讲了无数次了业务元还是天天骚扰电话不断，每天都换新号码，根本没办法拦截，难道我们国家就没有办法治理这样的垃圾败类企业了吗，现在随便网上一搜索升学教育，无数人在投诉这家无得的企业。</t>
  </si>
  <si>
    <t>2019/10/06 14:50:23</t>
  </si>
  <si>
    <t>从来没有说恶意逃避不还款，借一万四，合同金额一万八千多，12个月每个月还需要还将近三千！严重的高利贷砍头息！本人承认欠款还有一部分未还，可以走法律程序去告我，法院判定还多少钱我会履行多少，但是钱站现在工作人员威胁恐吓我，盗取我的个人通讯信息威胁我身边的亲朋好友，严重影响到身边的朋友和亲戚，导致个人精神压力过大，如果在这么骚扰威胁我身边的人，本人要有任何人身意外，一定要追究钱站人员的责任！。</t>
  </si>
  <si>
    <t>2019/10/06 14:49:35</t>
  </si>
  <si>
    <t>暴力催收，给我家里老人的打电话，把老人吓到了。</t>
  </si>
  <si>
    <t>2019/10/06 14:49:34</t>
  </si>
  <si>
    <t>投诉人 吴女士        投诉对象  钱站        涉诉金额  3 000 元    问题类型    诉求类型投诉详情  钱站高利贷阴阳合同。借三千，合同上写4000。实际上到账3000。分三期要还5172元。超利贷。希望钱站调整利率。协商一次结清金额。</t>
  </si>
  <si>
    <t>2019/10/06 14:49:29</t>
  </si>
  <si>
    <t>在钱站上借3000，结果借款合同上是4500，还不算利息银行卡到账3000，合同4500，阴阳合同，高额利息。</t>
  </si>
  <si>
    <t>2019/10/06 14:49:15</t>
  </si>
  <si>
    <t>骚扰身边人，对本人生活造成影响，没给我打电话就乱打电话。</t>
  </si>
  <si>
    <t>2019/10/06 14:49:10</t>
  </si>
  <si>
    <t>我应为公司原因不发工资拖欠工资导致信用卡逾期。</t>
  </si>
  <si>
    <t>2019/10/06 14:49:04</t>
  </si>
  <si>
    <t>投诉人 韦先生        投诉对象  我来数科        涉诉金额  10 000 元    问题类型    诉求类型投诉详情  我来数科辱骂，恐吓借款人，不愿意协商。该公司利息超过国家规定36%。</t>
  </si>
  <si>
    <t>2019/10/06 14:47:49</t>
  </si>
  <si>
    <t>我在钱站有两笔借款，第一笔他们合同上写的是18480元但是实际没有那多，都有短信记录，每月还款是1936，分12月还清共23232元，这里不包括已经先扣保险费及没有给够我钱数，第二笔他们合同上写的是6650但实际给我5000，每月还1534，分6期还完共9204元，他们给我5000，我6个月我要还9204，我不知道这算不算高息，而且我逾期12天基本钱数都翻倍了，实实在在没有能力偿还，望聚投诉平台明察，给我们一个公道。</t>
  </si>
  <si>
    <t>2019/10/06 14:46:47</t>
  </si>
  <si>
    <t>因为这几天家里困难，跟他们协商还1500，不要打我的通讯录，他们同意，第二天就给我通讯录打电话，现在我的家里人都急病了，我不是不还，主要我现在实在没钱，希望不要骚扰我的家人朋友。</t>
  </si>
  <si>
    <t>2019/10/06 14:45:41</t>
  </si>
  <si>
    <t>拍拍贷今天下午14.33分爆通讯录威胁恐吓，家里奶奶和外公身体不好高血压心脏病，被他们吓得一度出现不适。</t>
  </si>
  <si>
    <t>2019/10/06 14:44:57</t>
  </si>
  <si>
    <t>百万钱包借款费用太高，审核中，联系客服，客服不说话，打电话客服客服态度强硬，没有放款也不取消。</t>
  </si>
  <si>
    <t>2019/10/06 14:43:55</t>
  </si>
  <si>
    <t>借款两笔2万，已还2万多，利息高，现无力偿还，要求平台降息。</t>
  </si>
  <si>
    <t>2019/10/06 14:43:54</t>
  </si>
  <si>
    <t>2019/10/06 14:43:40</t>
  </si>
  <si>
    <t>强制消费，扣费，而且还得不到消费保障，不能成功下款！。</t>
  </si>
  <si>
    <t>2019/10/06 14:43:27</t>
  </si>
  <si>
    <t>投诉人赵先生投诉对象信汇支付涉诉金额33755元问题类型诉求类型投诉详情尊敬的聚投诉工作人员，广东信汇电子商务有限公司领导：你们好，本人通过一个陌生的QQ，添加，被引诱注册名为：恩佐II平台，网址：，，在对方引诱和诱导下，本人多次在此平台充值入金亏损，充值均通过个人银行卡转账及云闪付APP扫码，广东信汇电子商务有限公司支付，后通过网上了解得知此平台其实是违规的购彩平台，此时本人才幡然醒悟，这些钱是我的救命钱，故恳请广东信汇电子商务有限公司协调处理涉诉的21笔由贵司支付通道损失交易，挽回我的家庭，请广东信汇电</t>
  </si>
  <si>
    <t>2019/10/06 14:43:10</t>
  </si>
  <si>
    <t>投诉人 吴女士        投诉对象  你我贷        涉诉金额  4 000 元    问题类型    诉求类型投诉详情  你我贷准备提前结清。我7月22申请的4000元。已经还了1900。现在还要我还3400。利息太高了。高利贷。希望调整利率还款结清。</t>
  </si>
  <si>
    <t>2019/10/06 14:42:47</t>
  </si>
  <si>
    <t>贷款是必须买什么保证金，一个保证金几百，然后系统出问题扣了我三个保证金，现在骚扰我家里人，一个小时十几个电话，态度恶掠，垃圾平台，变相砍头息，扣了2个300一个400，下来扣了我1000块钱，借两千到手一千多点。</t>
  </si>
  <si>
    <t>2019/10/06 14:41:44</t>
  </si>
  <si>
    <t>钱站已经严重涉嫌黑势力，殴打，上门，各种p图，本人之前协商还款，对方拒绝，现在各种暴通讯录，扭曲事实。</t>
  </si>
  <si>
    <t>2019/10/06 14:41:08</t>
  </si>
  <si>
    <t>当时我在浙江自考网上面看了有这个意向，然后在尚德机构这创建了个账号然后不知道怎么的他门销售就知道了、每天打电话来洗脑试教育说什么教育改革、2019年3月后要考英语和数学，然后说课程报名费用19960现在报名有优惠明天就没有了、然后我说没钱然后他说给我处理并进行贷款分期，问我要了验证码并购买了课程分期并给我弄了个融资分期的啥学习贷款啥的，当时报名说有发票的说报名就给你然后现在也没有、我问他要发票、他说只能开现在的没有当时的，、考试很简单的不考英语数学就小学生都能考过去、1年半就可以拿证书3年就可以专科本科毕业</t>
  </si>
  <si>
    <t>2019/10/06 14:41:04</t>
  </si>
  <si>
    <t>钱站高利货，申请金额和合同金额不符，申请3000元合同写的3990元，3期总还5353多，算了年利率远超于规定年利率24%，作出解释。</t>
  </si>
  <si>
    <t>2019/10/06 14:40:16</t>
  </si>
  <si>
    <t>在转转上买了一部已经验机的手机，上面写着七天无理由退款，但是不退款，刚开始没发货的时候显示出库了就不能退款了，现在我已经拒收快递了，怎么还不退款的。</t>
  </si>
  <si>
    <t>2019/10/06 14:40:14</t>
  </si>
  <si>
    <t>利率合同约定年利率8.5％加之手续费各方面费用，严重超出国家法律规定的24％–36％年利率，希望有关部门可以严惩命令机构可以清算我的借款进行结清，本人不希望贷款机构对我及通讯录的亲朋好友进行骚扰。</t>
  </si>
  <si>
    <t>投诉人 张先生        投诉对象  微信        涉诉金额  0 元    问题类型    诉求类型投诉详情  因暂时无力偿还 微粒贷欠款 导致暴利催收 和 微信无故被冻结</t>
  </si>
  <si>
    <t>2019/10/06 14:40:03</t>
  </si>
  <si>
    <t>新买了个手机新换了号码，男朋友手机忘记带了，我今天上班就拿着了，。</t>
  </si>
  <si>
    <t>2019/10/06 14:39:34</t>
  </si>
  <si>
    <t>2019年9月我在买买乐购借了6000元贷款之前我都还了款这是第4期我资金出现问题不还款不是我的意愿他们打电话来我说了我在筹结果他们却打电话给我母亲说要告知村上问我家什么情况还说要惊动当地派出所搞得现在我母亲被我气得要死老婆还差点跟我离婚。</t>
  </si>
  <si>
    <t>2019/10/06 14:39:18</t>
  </si>
  <si>
    <t>威胁恐吓爆通讯录发威胁恐吓短信电话录音对方承认是你我贷的并且群发短信诅咒信息违反催收公约催收顶峰作案无法无天不把公检法和监管部门放眼里并且不按照国家相关法律法规无视法律对个人信息不加以保护到处散播照成个人名誉受损要求道歉并按照国家相关法律执行一天拨打电话超过三次以上希望有关部门为老百姓做主打击暴力催收还老百姓一片蓝天。</t>
  </si>
  <si>
    <t>2019/10/06 14:38:36</t>
  </si>
  <si>
    <t>在姚家园东里8号院进行租住，房屋到期后商家扣除200元押金拒不退还；租房信息如下：月租金：2500元中介费：根据约定交纳100%中介费2500元卫生费：190余元，房屋押金：2500元事件描述：由于房间涉及加装隔断等，为5户合租，，期间作为租客一直正常交纳租金等，退房前房间保持整洁无异物以及损坏，中介公司以公共卫生脏乱为由扣除200元房屋押金拒不退还，做为最后入住房客，，平时很少使用厨房，且已缴纳卫生中介费等，中介有责任起到监管以及清洁的责任。</t>
  </si>
  <si>
    <t>2019/10/06 14:38:18</t>
  </si>
  <si>
    <t>我家办理的是包年宽带，现在还不到期，经常欠费停机断网，给电信局打电话反应情况，电员说钱没有打过来，他们没钱冲，电员把领导电话给我了，我给他们领导打电话说这个情况，没等把话说完就给我挂电话了，我想知道你们当时收费的时候怎么不说。</t>
  </si>
  <si>
    <t>2019/10/06 14:37:47</t>
  </si>
  <si>
    <t>诱导客户开会员，承诺不能下款全额退款，但是后期客服无反应，存在恶意欺诈行为。</t>
  </si>
  <si>
    <t>2019/10/06 14:37:26</t>
  </si>
  <si>
    <t>本人协商还款，他们不愿意并威胁恐吓我的朋友及家人，带来严重后果。</t>
  </si>
  <si>
    <t>2019/10/06 14:35:13</t>
  </si>
  <si>
    <t>投诉人陈先生投诉对象钱站,华夏银行涉诉金额2000元问题类型诉求类型投诉详情高利贷套路合同借2000还3400放款金额与合同不一样。</t>
  </si>
  <si>
    <t>2019/10/06 14:35:09</t>
  </si>
  <si>
    <t>竟在此app上扣除本人支付宝金额99、99、69元，合计267元。</t>
  </si>
  <si>
    <t>2019/10/06 14:34:33</t>
  </si>
  <si>
    <t>投诉人黄先生投诉对象趣花分期涉诉金额40000元问题类型诉求类型投诉详情本人从2017年开始使用趣花分期，开始借款，开始办理的都是分期，基本都是分期三个月，收取13.5的利息，年化接近54%，后来2018开始，只能使用单期借款，一个月一期，借款1600，除收取3％的月利外，该平台每次扣除299的砍头息，本人总共使用了五次分期，被收取砍头息1500元，现要求平台退还不合理的费用2000余元。</t>
  </si>
  <si>
    <t>2019/10/06 14:34:32</t>
  </si>
  <si>
    <t>由于商品质量问题不能使用，商家要求退回商品，并承诺退回运费由商家承担，商家欺骗买家先垫付运费，后续进行赔付，买家垫付运费退回商品后商家拒绝退运费。</t>
  </si>
  <si>
    <t>2019/10/06 14:34:31</t>
  </si>
  <si>
    <t>京东金条，逾期了一期，就爆通讯录，还说了些恐吓性语言，严重搔扰了别人正常生活和工作！每天10几个电话，不分时段的打！希望有关部门能正视一下催收的情况！。</t>
  </si>
  <si>
    <t>2019/10/06 14:34:28</t>
  </si>
  <si>
    <t>注销账户需要提供身份证号，&amp;nbsp;而且是在无安全保障情况下在聊天框内单方面提供给客服，&amp;nbsp;如果需要验证身份请该平台提供相对安全的加密弹窗输入窗口。</t>
  </si>
  <si>
    <t>2019/10/06 14:33:26</t>
  </si>
  <si>
    <t>用了一年多了，目前债务积压暂时没法处理，协商好还款金额约定个日期内结清，请尽量与我取得联系。</t>
  </si>
  <si>
    <t>2019/10/06 14:33:05</t>
  </si>
  <si>
    <t>投诉人马女士投诉对象多宝分期涉诉金额9595元问题类型诉求类型投诉详情申请借款6000元，分期2个月，15天1期，总共4期，每期还款高达2398.8元，目前已经还了2期，已还4797.6元，到了第三期因为手机出了问题，当天就拨打骚扰了我通讯录里的人，郑重要求，本金还款，个人名誉问题将不做追究，如果不能解决将报警或者联系金融协会处理。</t>
  </si>
  <si>
    <t>2019/10/06 14:32:21</t>
  </si>
  <si>
    <t>投诉人喻女士投诉对象拍拍贷涉诉金额8000元问题类型诉求类型投诉详情现在法治社会恐吓威胁影响其他人国家难道真的就不管吗什么公司可以这么牛逼。</t>
  </si>
  <si>
    <t>2019/10/06 14:32:09</t>
  </si>
  <si>
    <t>在临沧机场有身着悦程出行的工作人员身穿类似空姐制服向我推荐办理黑卡，充值1880元赠送1000元，说以便以后购买机票，之后我了解到这只能抵扣机建燃油费用，我一个学生，一年，这办这卡有什么用！请求退款！。</t>
  </si>
  <si>
    <t>2019/10/06 14:32:08</t>
  </si>
  <si>
    <t>催收人员电话骚扰，发短信恐吓，随便搜索他人信息。</t>
  </si>
  <si>
    <t>2019/10/06 14:31:50</t>
  </si>
  <si>
    <t>投诉人廖先生投诉对象聚福钱包涉诉金额289元问题类型诉求类型投诉详情注册了，直接扣了钱，没下款就扣了钱，也没下款，退钱也是耍流氓，一直推，要寄本人很多核心材料，整个流程大概要两个月，就是个骗子平台。</t>
  </si>
  <si>
    <t>2019/10/06 14:31:06</t>
  </si>
  <si>
    <t>借款2000要我还4000……我已经还了2600多了……还在催债。</t>
  </si>
  <si>
    <t>2019/10/06 14:30:49</t>
  </si>
  <si>
    <t>砍头息，利息高，7天期限，3500，到手2555，展期3次，每次945元。</t>
  </si>
  <si>
    <t>2019/10/06 14:30:22</t>
  </si>
  <si>
    <t>上次再聚投诉投诉，该公司就只是打电话要求取消投诉，没有让相关催收人员道歉。</t>
  </si>
  <si>
    <t>2019/10/06 14:29:55</t>
  </si>
  <si>
    <t>假货，卖家拒绝承认假货，我要求提供提供正品的相关凭证或品牌授权证明，假货没有处理之前我拒绝退回商品。</t>
  </si>
  <si>
    <t>2019/10/06 14:29:37</t>
  </si>
  <si>
    <t>已经还款了这么多次，这个月遇上了点麻烦需要周转，马上金融真的牛逼，直接打电话过来威胁要联系家人联系亲戚朋友，我真的服气，这样催收的还好意思说自己是正规的。</t>
  </si>
  <si>
    <t>2019/10/06 14:29:05</t>
  </si>
  <si>
    <t>9月20日，贵公司给我来电，同意给我几个月时间，有钱了优先偿还贵公司欠款，这才过了几天，换着人不停的骚扰，要求停止骚扰！。</t>
  </si>
  <si>
    <t>2019/10/06 14:28:29</t>
  </si>
  <si>
    <t>投诉人林女士投诉对象钱站涉诉金额30000元问题类型诉求类型投诉详情逾期一天。</t>
  </si>
  <si>
    <t>2019/10/06 14:28:27</t>
  </si>
  <si>
    <t>遭受恶意催收和短信轰炸遭受恶意催收和短信轰炸。</t>
  </si>
  <si>
    <t>2019/10/06 14:27:51</t>
  </si>
  <si>
    <t>未有任何扣款提示，注册绑卡直接扣款！其他公司好歹是下款扣钱，客服联系不到，打过去竟然是某滴出行公司客服！请问您这公司是打算抢劫吗。</t>
  </si>
  <si>
    <t>2019/10/06 14:27:32</t>
  </si>
  <si>
    <t>投诉人蔡女士投诉对象海钜信达涉诉金额40000元问题类型诉求类型投诉详情海钜信达暴力催收，不断骚扰借款人及家人，私自爆通讯录，恐吓短信，侮辱短信，对借款人生活造成严重打扰！。</t>
  </si>
  <si>
    <t>2019/10/06 14:27:29</t>
  </si>
  <si>
    <t>借款6500，实际到账只有5000，剩余1500直接被中国人保划扣，国家明令禁止现金贷搭售保险，本人现在无力承担这高利息，希望减免利息，退还保费，提供结清证明，注销账户，本人将一次性还清剩余本金。</t>
  </si>
  <si>
    <t>2019/10/06 14:27:19</t>
  </si>
  <si>
    <t>牛人有品app贷款存在高额砍头息，阴阳合同，催收人员拒绝协商！。</t>
  </si>
  <si>
    <t>2019/10/06 14:26:46</t>
  </si>
  <si>
    <t>投诉人 王先生        投诉对象  捷信金融        涉诉金额  0 元    问题类型    诉求类型投诉详情  近一月 湖南 和湖北捷信的电话 一直反复骚扰我。本人没有在贵公司办理过任何业务。 并且一直对来电人员沟通 不认识你们要找的人。 还是一直骚扰。 并且致电400也反馈过多次 没有得到解决。来电号码073182983445。 02759084544</t>
  </si>
  <si>
    <t>2019/10/06 14:26:33</t>
  </si>
  <si>
    <t>微粒贷催收人员，威胁调查我家人，他有这个权利吗。</t>
  </si>
  <si>
    <t>2019/10/06 14:26:09</t>
  </si>
  <si>
    <t>尾号9984建行卡2019年10月6号05:05:02被，中兴付扣款3954.91元，我没买任何产品，没有刷卡消费为什么会被扣钱，请商家给我一个合理的解释并退还被扣的全部金额。</t>
  </si>
  <si>
    <t>2019/10/06 14:26:03</t>
  </si>
  <si>
    <t>开始时可以选择微信通过银行卡还款，后来微信还不了问客服，客服让转到公司账户，到现在又让用新浪支付，问客服客服就一直说根据提示操作，为什么不能直接微信或者支付宝通过银行卡还款或者直接在软件上用银行卡还款，刚开始不能用微信还的时候客服还一直在说维护升级过后就可以了，现在好几个月了还是不可以，我还个款你让我来回换方式。</t>
  </si>
  <si>
    <t>2019/10/06 14:25:56</t>
  </si>
  <si>
    <t>投诉人张先生投诉对象交通银行涉诉金额7000元问题类型诉求类型投诉详情协商还款说本月10号处理，就在那一个劲的不行不行，然后给我不认识的人打电话，不是我预留的号码，完全不认识别人，说我欠款，我问你怎么打过去的，他说他们系统找的可能认识我的人，这个和爆通讯录有啥区别，信用卡还款我不是不还，只能10号，家里有事！。</t>
  </si>
  <si>
    <t>2019/10/06 14:25:27</t>
  </si>
  <si>
    <t>给催收公司提供的虚拟电话，只能打出来，我们打不回去，对多少人造成了骚扰，害了多少的年轻人不堪压力而轻生，你们做科技做通讯，我们都很支持，你们赚催收这样无良的钱，我就是要投诉，我要投诉到底，一直投诉。</t>
  </si>
  <si>
    <t>2019/10/06 14:25:25</t>
  </si>
  <si>
    <t>聚福分期乱扣款，什么乱七八糟的检测评估报告费用。</t>
  </si>
  <si>
    <t>2019/10/06 14:24:42</t>
  </si>
  <si>
    <t>投诉人胡女士投诉对象玖富涉诉金额14300元问题类型诉求类型投诉详情本人在10月5日下午18点已经还款，玖富还要重复扣款！情节十分严重！要求尽快处理！要求赔偿！。</t>
  </si>
  <si>
    <t>2019/10/06 14:24:39</t>
  </si>
  <si>
    <t>商品在出库时候就出现质量问题，还发出来，欺骗消费者，推卸责任，态度恶劣！。</t>
  </si>
  <si>
    <t>2019/10/06 14:23:33</t>
  </si>
  <si>
    <t>急用钱包,银小借,海南萨姆尔网络科技有限公司，本人于2019.8.23注册银小借，莫名被扣除299元，客服说是收取的评估费用，9.22要求退款的时候按照他们的退款流程，又被推送到急用钱包的app，又被莫名扣出100元，如果继续按照他们的退款流程，不知道还会被扣出多少钱，确实太黑暗了，望平台能够作出相应处罚，维护消费者权益。</t>
  </si>
  <si>
    <t>2019/10/06 14:22:37</t>
  </si>
  <si>
    <t>现金锦鲤,深圳市赢众通金融服务有限责任公司，申请后有20000额度，但是并没有打到卡里，而是在软件里，提现需要什么密码，需要找客服，找客服后，客服说什么要交1000块钱保障金，才能下款，我觉得是套路贷，就不想贷了，反正钱也没下来，可是客服不给退合同，说就算钱没打到我卡里，也算我借了，要我负法律责任，要联系我紧急联系人，骗取我个人资料，还恐吓我还用我的证件照p图，侮辱我，没人管吗。</t>
  </si>
  <si>
    <t>2019/10/06 14:21:57</t>
  </si>
  <si>
    <t>投诉人 陈女士        投诉对象  水莲金条        涉诉金额  10 000 元    问题类型    诉求类型投诉详情  打电话说给家里人打电话和亲朋好友催收。态度非常不好。</t>
  </si>
  <si>
    <t>2019/10/06 14:21:42</t>
  </si>
  <si>
    <t>买的南瓜送来全是霉的，客服解释是站点可能放久了，但我想问发货时难道没人检查没人打包看下蔬菜好坏吗，不差你那几块钱，但是我想说这不是第一次了，请严格把控食品安全好吗，如果家里老人舍不得丢，做了把人吃坏了，我想问算谁的！照片太大已经发给你们客服了，我只是想以后吃一口健康的菜，新鲜的菜，不能吃死人的菜！。</t>
  </si>
  <si>
    <t>2019/10/06 14:21:07</t>
  </si>
  <si>
    <t>投诉人王先生投诉对象51人品,51人品贷,杭州恩牛网络技术有限公司涉诉金额50000元问题类型诉求类型投诉详情我于2018年5月1日在人品贷借款5万元，分24期，第一期还款6608.33，其余每期还款3108，2年利息高达28096，利率超出40%以上，完全属于非法高利贷，截止2019年9月2日已还款53320，由于近期资金链断裂，有逾期，本人也准备还款，但是51人品贷催收人员暴力催收，非法拨打本人通讯录电话且电话威胁本人，且催收电话打一次换一个电话号码，如162******92,162******66,1</t>
  </si>
  <si>
    <t>2019/10/06 14:21:06</t>
  </si>
  <si>
    <t>投诉人 何先生        投诉对象  快钱-快易花        涉诉金额  3 000 元    问题类型    诉求类型投诉详情  换不同电话打电话骚扰家人朋友，请予以停止</t>
  </si>
  <si>
    <t>本人于2019年4月8号借款2万周转，借款1年，下款以后说我贷款26400元，一共需要还款33199.68，而且每期收取396.26手续费，不知道服务我什么了，每期需要手续费，这不是高利贷是什么，希望有人可以为我们老百姓做主，随意更改第三方，以前是凡普金科，现在变成会牛，以后会不会变成老牛，大牛。</t>
  </si>
  <si>
    <t>2019/10/06 14:20:57</t>
  </si>
  <si>
    <t>投诉人郑伟投诉对象带上钱涉诉金额2560元问题类型诉求类型投诉详情贷上钱借款2000元30天要充值500元的游戏币，并且爆力催收，和他们多次协商还款，他们不予处理，还强制爆本人通讯录，给他们反馈，他们拒不承认，证据都有还在狡辩，他们都是一群骗子，希望有关部门能够严肃处理，并追究他们的法律责任。</t>
  </si>
  <si>
    <t>2019/10/06 14:20:51</t>
  </si>
  <si>
    <t>投诉人 闫先生        投诉对象  聚福钱包,嘉盈顺        涉诉金额  299 元    问题类型    诉求类型投诉详情  本人在九月30号在聚福钱包申请借款。被扣299元</t>
  </si>
  <si>
    <t>2019/10/06 14:19:28</t>
  </si>
  <si>
    <t>在米米罐借款700元，期限一个月，还款竟然高达1066元，北京爱农支付为高利贷平台违规放款，米米罐平台虚假宣传，借700还款1066元也是符合国家利率吗，诱导用户购买征信报告费，我主动联系客服协商还款，客服态度强硬，并且威胁逾期会暴力催收，威胁联系人还款，这样的高利贷平台国家不打击吗，我的原则就是还本金处理，多出来的钱一分都不会还！。</t>
  </si>
  <si>
    <t>2019/10/06 14:19:23</t>
  </si>
  <si>
    <t>51的人品贷催收就是牛逼，从没拿2019催收公约当回事，一天N，个电话，或者人来骚扰，这才逾期第一天啊，催收，催收，催收。</t>
  </si>
  <si>
    <t>2019/10/06 14:19:19</t>
  </si>
  <si>
    <t>本人正常销售水果，使用微信收款商业码，方便客户使用，微信无缘无故的冻结货款，我们现在都不能正常生活。</t>
  </si>
  <si>
    <t>2019/10/06 14:17:55</t>
  </si>
  <si>
    <t>小蛙卡贷暴力催收电话轰炸亲戚朋友，我是因为个人原因所以半年多没上班所以没收入，现在刚出来上班一个月，1号发工资了我就马上给还了一期，这几天每天打电话给我威胁我说，要是现在不还就天天打电话轰炸亲戚朋友，又说要上征信，还要交给第三方催收，我都说了发工资我就会马上处理，可是他们总是不依不饶，逼得走投无路了，跳楼的心都有了。</t>
  </si>
  <si>
    <t>2019/10/06 14:17:53</t>
  </si>
  <si>
    <t>松紧贷国庆期间无法无天，黑社会性质高利贷借14000写16000多，到账直接扣2000多所谓服务费实则砍头息，16000实际到账14000，总共要还两万多，名副其实高利贷，催收人员目无王法知法犯法，在联系得上我的情况下暴力骚扰我家人朋友，对我及我亲属短信轰炸，已经触犯法律！必须严惩不贷，对黑社会，我一定死磕到底，决不妥协，将通过中国互联网金融信息等平台和媒体进行曝光！。</t>
  </si>
  <si>
    <t>2019/10/06 14:17:33</t>
  </si>
  <si>
    <t>8月17日，从闪电借款6000元，强制购买黑卡1200元，超过国家利率百分之36。</t>
  </si>
  <si>
    <t>2019/10/06 14:16:46</t>
  </si>
  <si>
    <t>贷上钱平台，苹果APP名称动期来，利用购买虚拟钻石币手段，砍头息，借款2000元，还款2500元，其中500元为购买虚拟钻石币，在能联系到借款人的情况下，骚扰借款人的通讯录，紧急联系人。</t>
  </si>
  <si>
    <t>2019/10/06 14:16:45</t>
  </si>
  <si>
    <t>投诉人翁先生投诉对象微粒贷涉诉金额1000元问题类型诉求类型投诉详情微粒贷，这么大的一个品牌，却请了素质如此低下的员工，打电话来催收，老婆手机在那充电，开口就问你老婆呢，我说你那位，找他什么事，他反问我你是谁，我说我是他老公，他竟然问我怎么证明是他老公，火气来我就骂他了，开始不表现他的身份，后面才说他是微众银行的，叫我嘴巴放干净点，脑袋不知是不是被门给夹了的人，还一直让我说我老婆的生日，你什么鬼啊，我凭什么得告诉你……这种素质就是以前在干714的人你们也请，我现在要求你们客服打电话来道歉。</t>
  </si>
  <si>
    <t>2019/10/06 14:16:31</t>
  </si>
  <si>
    <t>投诉人李先生投诉对象翼支付涉诉金额900元问题类型诉求类型投诉详情本人一直在使用翼支付对该公司也非常支持确实带来了很多方便我也一直在按时还款从未逾期但是从上个月翼支付里面有额度借款一直失败希望翼支付给我一个满意的答复积极处理一下。</t>
  </si>
  <si>
    <t>投诉人郭先生投诉对象支付宝涉诉金额100000元问题类型诉求类型投诉详情孩子误被坏人加微信，被推荐牌类游戏，网站名:大享互娱，从2019年4月底到7月诈近10万元，被诈金额全部从支付宝转帐，号称有监控系统的支付宝为网络赌博支付转帐，明显违反中国人民银行金融法，现要求支付宝公司先行赔付，解释，并配合执法机关抓住网络犯罪分子，绳之以法，平时每月几千流水，猛的6月份30多万流水，支付宝是怎么监控的。</t>
  </si>
  <si>
    <t>2019/10/06 14:16:17</t>
  </si>
  <si>
    <t>可是到最后出票吓到我了多收了80元光速抢票费用。</t>
  </si>
  <si>
    <t>2019/10/06 14:15:32</t>
  </si>
  <si>
    <t>诗库马上金融，骚扰到了我家人破坏了我们和睦的家庭关系，影响到了个人的生活，轻地说骚扰重的说为什么我的资料会泄漏到别的地方有人给我家人大骚扰电话，还是说你们在做着什么见不得人的个人信息买卖的，破坏家庭关系。</t>
  </si>
  <si>
    <t>2019/10/06 14:15:12</t>
  </si>
  <si>
    <t>本人因资金周转需求在自由魔卡app里面的信用计划平台借款2000元，平台以加入会员购买会员需要支付备付金为借口，变相收取砍头息350元，实际借款所得其实为1650元，还款周期一个月应还为2102元，六便士平台借款2000元，平台变相收取砍头息540元，实际借款所得其实为1460元，还款周期一个月应还为2000元，所加入的会员并无实际作用，只是作为平台变相收取砍头息的手段，这是赤裸裸的高利贷，现无力偿还高额还款费用和砍头息，投诉信用计划其实是高利贷平台，要求平台尽快与本人联系协商，本人绝不接受客服人员所谓会员</t>
  </si>
  <si>
    <t>2019/10/06 14:15:02</t>
  </si>
  <si>
    <t>投诉人孙先生投诉对象Wecash闪银涉诉金额100000元问题类型诉求类型投诉详情闪银奇异是国内最大的套路贷公司，霸王条款，借分期三个月，或者一个月都要强制买卡，分期的三个月借3000.买卡和征信费用800多，聚投诉和其他投诉平台投诉这么多公司依然健在，315过后我借过还过闪银60多比闪银公司删处了借款40多比目前借款记录还有27比。</t>
  </si>
  <si>
    <t>2019/10/06 14:14:37</t>
  </si>
  <si>
    <t>本人在闲鱼上买了京东卡密受骗，客服小二违规让买家提供法律文书，故意刁难！，《刑法》第一百五十一条和第一百五十二条的规定，诈骗公私财物数额较大的，构成诈骗罪，个人诈骗公私财物2000元以上的，属于数额较大;个人诈骗公私财物3万元以上的，属于数额巨大，在明知法律规定金额未2000元不予立案的情况下让买家去提供法律文书！为何不让卖家去提供法律文书，且闲鱼是一个二手平台，为何平台没有尽到监管义务让虚拟商品上架销售，早上我去了派出所，受骗金额不到法律规定范围内无法立案！客服还为何故意刁难，而且立案法文是需要一个流程时</t>
  </si>
  <si>
    <t>2019/10/06 14:13:42</t>
  </si>
  <si>
    <t>想退学，一堆理由，就想退款，不想学，还一直问问题，打破沙锅问到底，烦死了。</t>
  </si>
  <si>
    <t>2019/10/06 14:12:51</t>
  </si>
  <si>
    <t>投诉人胡先生投诉对象分期还呗涉诉金额0元问题类型诉求类型投诉详情一直短信骚扰严重影响生活要求道歉停止骚扰。</t>
  </si>
  <si>
    <t>2019/10/06 14:12:48</t>
  </si>
  <si>
    <t>上海拍拍贷公司恶意扭曲还款人意向，不听取解释。</t>
  </si>
  <si>
    <t>2019/10/06 14:11:43</t>
  </si>
  <si>
    <t>玖富万卡高利贷，应该还金额比实际还款要高一倍，这两图是发的短信应该金额500多，但app里实际还款要1000多。</t>
  </si>
  <si>
    <t>2019/10/06 14:11:40</t>
  </si>
  <si>
    <t>八月3号在玖富万卡借了3000要求我还四千一典型的高利贷已经还了七百多，现在手里有一笔钱想提前还清请贵公司主动联系我协商，要求减免保费收取合理利息，不然我一毛不会还。</t>
  </si>
  <si>
    <t>2019/10/06 14:11:24</t>
  </si>
  <si>
    <t>光大银行信用卡，不给协商，第三方威胁恐吓，我没有不还款，只是现在有难处，光大就让第三方恐吓威胁我。</t>
  </si>
  <si>
    <t>2019/10/06 14:09:51</t>
  </si>
  <si>
    <t>2019/10/06 14:09:49</t>
  </si>
  <si>
    <t>在上午收到一个上海号码的电话，告诉我是360借条的，问我最近也什么一直没用，我说额度低，他就开始跟我说了十一国庆期间可以调额，如何调额，要先将目前的额度全部借出，分12期，然后公司后台看见了，就会帮我调额，一切他们自己的电话录音都有，除非他们做手脚，结果到我想还的时候，额度不仅没调，我不想用那6500元的时候，还要一次性还本息7800多元，真的是一头雾水，蚂蚁借呗，微信微利贷，即使现在还清手续费你收我200我都没问题，我这十天就要多给你1300多，就是强盗行为，还有就是他们振振有词地说没有所谓的手续费，就是</t>
  </si>
  <si>
    <t>2019/10/06 14:09:40</t>
  </si>
  <si>
    <t>参加9.4号苏宁天猫旗舰店的55t6电视前3名半价活动，活动交易快照显示的规则是按付款顺序排名取前三，我是1秒付款，但是公布的中奖名单中2秒的都中奖了，我1秒的都没有，而且排名也是有误的，苏宁作为大公司怎么还能出虚假名单呢，现在要求重新公布有效名单，撤出虚假或者说是错误的名单。</t>
  </si>
  <si>
    <t>2019/10/06 14:08:59</t>
  </si>
  <si>
    <t>我不认识刘俊玲，给我发信息说刘俊玲欠钱，希望给我合理解释，同时不要在骚扰我。</t>
  </si>
  <si>
    <t>2019/10/06 14:07:56</t>
  </si>
  <si>
    <t>本人因资金周转需求在自由魔卡app里面的信用计划平台借款两次元，平台以加入会员购买会员需要支付备付金为借口，变相收取砍头息，第一次借款除去砍头息365元实际到帐935元，需还款1336元，第二次除去砍头息360元实际到帐1640元，需还款2050元，所加入的会员并无实际作用，只是作为平台变相收取砍头息的手段，这是赤裸裸的高利贷，逾期一天逾期费高达50元，并且无任何提醒因本人之前也在该平台借款多次，现无力偿还高额还款费用和砍头息，投诉信用计划其实是高利贷平台，要求平台与本人联系协商，本人绝不接受客服人员所谓会</t>
  </si>
  <si>
    <t>2019/10/06 14:07:21</t>
  </si>
  <si>
    <t>宜人贷实际到账金额跟合同金额不符合，变相阴阳合同收取服务费，利息过高。</t>
  </si>
  <si>
    <t>2019/10/06 14:07:11</t>
  </si>
  <si>
    <t>没有在信用管家借款，却收到信用管家的催收电话，请给予和合理解释，并要求道歉，损害了我的名誉，要求给予赔偿。</t>
  </si>
  <si>
    <t>2019/10/06 14:06:51</t>
  </si>
  <si>
    <t>完全就是套路贷，收取高额的账户管理费用，诱导利用其它借款偿还，就是在诱导借款人以贷养贷。</t>
  </si>
  <si>
    <t>2019/10/06 14:06:44</t>
  </si>
  <si>
    <t>本人从未接触过你我花这个平台，而且从我8月被套路贷报案后就再也没有接触过网贷平台，今天10月6日突然接到短信，说我在你我花平台的借款已到期，让我还款，然后我通过渠道查到这个平台的客服电话，一直无法打通，所以请你我花平台立刻停止对我的骚扰，解释并做出道歉，不然我将把短信，通话录音作为新的证据提交给正在侦办套路贷案件的警察。</t>
  </si>
  <si>
    <t>2019/10/06 14:06:34</t>
  </si>
  <si>
    <t>逾期一天，说在想办法还钱，催收人员一直威胁，说要地址，还要爆通讯录，一直电话骚扰。</t>
  </si>
  <si>
    <t>2019/10/06 14:06:15</t>
  </si>
  <si>
    <t>投诉人徐先生投诉对象钱站涉诉金额1200元问题类型诉求类型投诉详情本人9月份在钱站申请了1200元贷款，分了三期，一期要还700多，看了一下账单，一共1200，三个月要还2000多，远远高于国家利息，没放款前，我就马上联系客服，叫不要放款，因为你们利息太高，客服给我的回复是放款成功后再联系他，等到放款成功后，我再次联系客服，客服要我出40多元服务费，我当然不愿意，因为我不跟你借钱，是因为你们的利息高于国家标准，还要我出40多块服务费，然后客服给我的答复是，会安排工作人员联系我，但是一直都没人联系我，现在催收</t>
  </si>
  <si>
    <t>2019/10/06 14:05:50</t>
  </si>
  <si>
    <t>投诉人李先生投诉对象51金珂贷涉诉金额18000元问题类型诉求类型投诉详情2019年7月4日，然后他们操作让我从51公积金管家APP上的51金珂贷借了18000元。</t>
  </si>
  <si>
    <t>2019/10/06 14:04:16</t>
  </si>
  <si>
    <t>投诉人 何先生        投诉对象  百事普惠        涉诉金额  349 元    问题类型    诉求类型投诉详情  多次恶意扣费不明，违规提供支付通道。一次又一次</t>
  </si>
  <si>
    <t>2019/10/06 14:03:18</t>
  </si>
  <si>
    <t>投诉人庞先生投诉对象招联金融涉诉金额606元问题类型诉求类型投诉详情一天连续不断的电话骚扰，一天下来打了7,8个电话，我说了15号发工资马上就还了，可客服人员却一直要我当天还，希望能协商解决，别再电话骚扰了。</t>
  </si>
  <si>
    <t>2019/10/06 14:02:02</t>
  </si>
  <si>
    <t>每次都是提示账户超限更可恶的是提现要等好几天！我一个平民百姓一个月才几千工资能超限制，真是笑死人了！你们家财务一天的工作量有多大，但是我最恨不得这种欺骗！！！没有能力去履行自己办的活动就不要出来害人！！！。</t>
  </si>
  <si>
    <t>2019/10/06 14:01:15</t>
  </si>
  <si>
    <t>立借里面的钱置宝，借2100还3000，分4期，。</t>
  </si>
  <si>
    <t>2019/10/06 14:01:14</t>
  </si>
  <si>
    <t>9月9日凌晨，一瞬间被扣款两笔，一笔99，一笔69。</t>
  </si>
  <si>
    <t>2019/10/06 14:00:54</t>
  </si>
  <si>
    <t>2019-09-20退单，而至今都未退款，请尽快退款到账。</t>
  </si>
  <si>
    <t>2019/10/06 14:00:30</t>
  </si>
  <si>
    <t>易宝支付作为央行正规持牌机构，为不法高利贷平台提供违规支付业务，本人现已收集相关证据链，将以书面形式递交于央行监管部门，同时将材料递交给银保监会，工商管理总局，互联网金融协会等，如果遇到维权困难，本人将以起诉的方式，来维护本人合法权益。</t>
  </si>
  <si>
    <t>2019/10/06 14:00:22</t>
  </si>
  <si>
    <t>投诉人 吴女士        投诉对象  月光侠分期        涉诉金额  2 600 元    问题类型    诉求类型投诉详情  逾期三天爆通讯录 给我家人打电话威胁 放款2600元 合同显示3700余元 利息不正当 在未与我联系的情况下给我家人打电话 这样不正当的息费还贸然联系我的家人</t>
  </si>
  <si>
    <t>2019/10/06 13:59:10</t>
  </si>
  <si>
    <t>8月份申诉让调整利率，贷款3000，合同4700快，要还5000多！客服一直没联系我，联系客服就说处理，一直等，还了两期3400元，国家规定你合同能这么写嘛，是不是部门对你们有些松了就又开始了！让你们调整利率，给我修改合同，我只付国家规定的利息！之前也在你们平台借过一次2000的合同给我写3000还没投诉你们，看我好欺负呢。</t>
  </si>
  <si>
    <t>2019/10/06 13:57:50</t>
  </si>
  <si>
    <t>我是在某公司上班，提供每月手机话费月结发票即可享受基本话费补助一百元，，看我每月的话费即可看出，我的报销和我的付出是不成正比的，为了工作，我就吃点亏、尽量不让话费超标，中国移动的月结账单在每月的五号左右基本能出来，发票会发到我的邮箱内，今天我打开邮箱下载好发票就纳闷了，消费金额与发票开取金额差了一百元，由此，我找到了当地移动公司，客服给出的答案是查不到我所交的款项；我又打了10086寻求帮助，答曰：我在第三方公司交的话费，移动公司不能提供发票！我就奇了怪，我是消费者，无论我是通过什么渠道交的话费，既然话费已</t>
  </si>
  <si>
    <t>2019/10/06 13:57:25</t>
  </si>
  <si>
    <t>在小赢卡贷注册了账号，不需要了使用了，也没有借款产生，申请注销账号，小赢卡贷以离谱的流程要求提供大批不恰当的本人资料，小赢卡贷有意在强留用户，同时也有套取用户资料的嫌疑，注册时发送一个手机验证码就可以注册，注销账户时而是以“要验证是否本人申请”提供大批个人资料，一些大的平台都可以直接通过客服手机验证后，不需要提供不合理的资料就能注销账号。</t>
  </si>
  <si>
    <t>2019/10/06 13:57:17</t>
  </si>
  <si>
    <t>本人用了壹心分期有几次了，上次投诉了一次是协商延期还款，我给了逾期费用，说了我会继续用，然后呢现在不给我用了，高额逾期费用都给了，现在不给用了。</t>
  </si>
  <si>
    <t>2019/10/06 13:57:08</t>
  </si>
  <si>
    <t>直接收到扣钱短信，也没用过app，不知道怎么回事。</t>
  </si>
  <si>
    <t>2019/10/06 13:56:54</t>
  </si>
  <si>
    <t>本人于2019年4月6日在快闪卡贷借款12000元分6期还款每期还2407.19元总共要还14443.14元，那这么算下来来综合年华利率是百分之135.40，也不说买的啥保险也说保单号码也不说哪家保险公司，我已经正常还款了5期共计还了12035.95元，现剩下最后一期，我希望能调整利率按照国家规定的利息把这个事儿处理掉。</t>
  </si>
  <si>
    <t>2019/10/06 13:55:44</t>
  </si>
  <si>
    <t>本人于2019.9.28在钱站申请借款,合同金额4000多,实际显示3000元,并且于今日2019年10.6还没有到账,由于利息太高,中途联系客服取消借款,说不能取消,要到账后还要扣除手续费,实数霸王条款,哪有借款不让取消的.如钱站平台不让取消,本人将投诉到底,现要求平台无偿取消该笔借款申请。</t>
  </si>
  <si>
    <t>2019/10/06 13:53:32</t>
  </si>
  <si>
    <t>首先，荣耀作为华为子品牌，对于小小赠品的事如此苛刻吝啬，客服处理也极不有效极不专业，很让人失望，且根本不解决问题曾有退订单行为，无资格参与，得说明的是，我是完全复合其赠品的资格的，并不是我自己无理提出索要赠品，两个事，一，老客户购机送耳机，曾在此店购入荣耀手机，今又购入荣耀手机一台，完全符合活动要求，但客服以“曾有退订单行为，无资格参与”我曾购入旧机是事实，买新机也是事实，关我退没退其他订单何事，二，投诉荣耀客服“梦奇”，说打电话联系我我没接，实则根本没有打电话，客服都撒谎了，当然，客服的处不处理与我无关，</t>
  </si>
  <si>
    <t>2019/10/06 13:53:14</t>
  </si>
  <si>
    <t>这个APP已经早就卸载，都没有映像了，今天突然扣费。</t>
  </si>
  <si>
    <t>2019/10/06 13:52:22</t>
  </si>
  <si>
    <t>平安银行人员暴力催收，多次冒充公检法给亲人朋友发威胁短信彩信，并拒绝和本人协商还款。</t>
  </si>
  <si>
    <t>2019/10/06 13:52:10</t>
  </si>
  <si>
    <t>不知道为啥就账号异常，而且电话打不通，没有客服受理。</t>
  </si>
  <si>
    <t>2019/10/06 13:52:04</t>
  </si>
  <si>
    <t>今年七月借钱站20000元，筹款日因为不用钱曾打电话要求取消放款无果，下来就下来算了，当时也没仔细看合同，还了2期后发现20000元借款12期总共要还33200元，而且合同上写的借款金额为26400元，加上各种服务费之类的不知所谓的费用，综合年利率已经高达60%远远超过法律规定的接待利率36%现投诉钱站要求修改利率为36%，本人只愿意承担27200元的本息还款，目前已还5533.34元；剩余未还21666.66元，如果协商未果后遇到暴力催收，则会录音，报警，起诉钱站。</t>
  </si>
  <si>
    <t>2019/10/06 13:51:59</t>
  </si>
  <si>
    <t>协商减免部分利息，一次性还清债务！利息太高还不起，已经咨询过律师了。</t>
  </si>
  <si>
    <t>2019/10/06 13:51:06</t>
  </si>
  <si>
    <t>而且砍头息很严重，线上还不了款，线下客服又不理人。</t>
  </si>
  <si>
    <t>2019/10/06 13:50:43</t>
  </si>
  <si>
    <t>投诉人刘先生投诉对象小米手机,小米商城涉诉金额3198元问题类型诉求类型投诉详情本人在五月份先后在小米官网商城和小米天猫旗舰店买了两台红米note7pro，，本人的手机先于八月份前往小米线下维修店维修，工作人员自己承认了该款手机确实有信号问题，，后经过12315协商以及天猫协商进行处理了一个月，天猫进行赔偿200元，小米进行了主板更换，但不久后家人的手机也出现了同样问题，之后同样进行了投诉，小米客服要求我将家人手机返厂维修赔偿我100小米商场抵用卷，态度极其恶劣和强硬，家人拒绝维修，想小米官方进行解释并作出</t>
  </si>
  <si>
    <t>2019/10/06 13:48:50</t>
  </si>
  <si>
    <t>每天连续打电话，我没说不还，只是遇到问题了。</t>
  </si>
  <si>
    <t>2019/10/06 13:47:01</t>
  </si>
  <si>
    <t>及贷给我2万4的金额当时不知道有没有收取保费，没期要换2800，已经还了2期一共5600，先12期要还款33000，先本人要求只还本金。</t>
  </si>
  <si>
    <t>投诉人 朱先生        投诉对象  浦发信用卡        涉诉金额  3 910 元    问题类型    诉求类型投诉详情  浦发银行信用卡委派人员电话骚扰。接通电话后告知正在忙，明天联系。对方仍不管不顾，继续电话骚扰。电话挂断后又拨打4次电话</t>
  </si>
  <si>
    <t>2019/10/06 13:46:37</t>
  </si>
  <si>
    <t>因为个人原因信用卡逾期，近期没有还款能力，工作人员去家里，打电话让现在凑凑，家里八十多岁的父母，都是农民，哪有什么钱，说在家里等着让给凑钱，这是要把老父亲给逼死吗。</t>
  </si>
  <si>
    <t>2019/10/06 13:46:08</t>
  </si>
  <si>
    <t>老母亲本就身体不好，一直发威胁短信！不管是通讯录里的谁，一直威胁。</t>
  </si>
  <si>
    <t>2019/10/06 13:45:37</t>
  </si>
  <si>
    <t>昨天晚上19点左右，莫名其妙被信诚消费入金扣款。</t>
  </si>
  <si>
    <t>2019/10/06 13:45:05</t>
  </si>
  <si>
    <t>逾期费用太高还不起请调整一下，本来利息就高还不起。</t>
  </si>
  <si>
    <t>2019/10/06 13:44:39</t>
  </si>
  <si>
    <t>汇潮支付,威力贷,来花花,卧龙钱包,肥猫贷，这个帖是重新投诉的，之前没人解决，我是通过小七钱包入口下载的这些app，借2000，到账1400，6天就要还款，续期两天要三百，明显的高炮，催收态度恶劣，威胁恐吓我，还说有后台，不怕投诉，希望有关部门严惩这些高利贷，汇潮支付为其提供支付通道。</t>
  </si>
  <si>
    <t>2019/10/06 13:43:58</t>
  </si>
  <si>
    <t>本人用交通信用卡五六年了，一直正常还款，突然把卡给停了，而且客服电话一直打不进去，本人出现资金紧张想办理分期，让我还完最低还款就没有人理会了，到了还款时间每天交通信用卡代表给我打十几个电话，接电话就让我还款，给我解决不了任何问题！而且也影响到了我的正常生活，交通银行代表打电话恐吓，问我在哪让我开定位还问我穿什么样颜色的衣服，要求与交通信用卡客服联系协商办理分期！不是家里出了点状况能跟你们协商办理分期吗。</t>
  </si>
  <si>
    <t>2019/10/06 13:43:55</t>
  </si>
  <si>
    <t>2018年10月，带着孩子参加了一次动因体育篮球课的体验课，课后小朋友觉得还行，想报名学习，因此体验课后经与动因体育的销售沟通，报了一个7980元，共计56节课的篮球学习班，当时未开收据，未开发票，被告知后续将签合同，但是2019年暑假我们因外出无法上课才被告知会有系统自动消课，即使不上课，也会消课，最初销售并没有告诉我们，这是明显的欺诈、强制消费行为，目前已经自动消课16节，涉及费用2280元。</t>
  </si>
  <si>
    <t>2019/10/06 13:43:03</t>
  </si>
  <si>
    <t>我出售的是梦幻手游账号，但是买家却以游戏内的道具暂时不能交易要求退款，5173并没有相关规定说账户里的道具必须是可交易的要求，买家也没有提这个要求，而且也是暂时不能交易，过几天就可以交易了，在账号还没有完全出售的情况下，5173客服就让买家上了我的账号，而且我的账号没问题，是可以正常游戏而且里面的道具也一样没少，现在已经换绑了手机，5173却不给我相关的出售所得，在买家上号的时候我就问过客服，他说买家确定交易不会因为买家的原因退款，我才同意对方上号，现在已经交易完成却不给打款。</t>
  </si>
  <si>
    <t>2019/10/06 13:42:33</t>
  </si>
  <si>
    <t>投诉人杨女士投诉对象嗨钱网涉诉金额3000元问题类型诉求类型投诉详情贵公司收款方已经在28号上午已扣款，只是手续费未扣除，本来我是想充值到快钱自助还款，为此我还专门办个建行卡，但是客服告诉APP现在调整中，无法自助还款，款子已经扣完了，手续费是你们自己没有扣，现在却给我发了律师函，对我的信誉和征信产生了影响，请尽快解决，我有多个客服录音，如有需要我会悉数上传。</t>
  </si>
  <si>
    <t>2019/10/06 13:40:47</t>
  </si>
  <si>
    <t>百事普惠恶意扣取用户银行卡金额！未取得用户同意！恶意扣款！联系不到客服！无任何回复！屏蔽用户信息！。</t>
  </si>
  <si>
    <t>2019/10/06 13:40:32</t>
  </si>
  <si>
    <t>还款日当天人工电话催收告知下午五点未还款所造成影响客户承担。</t>
  </si>
  <si>
    <t>2019/10/06 13:40:25</t>
  </si>
  <si>
    <t>今年4.28从信用飞平台借了4000元，偿还砍头息800，分期六个月每个月高达一百多的利息，表示暂时没有还款能力，信用飞暴力催收，轰炸通讯录。</t>
  </si>
  <si>
    <t>2019/10/06 13:39:24</t>
  </si>
  <si>
    <t>本人2019年8月27号在你我贷借款8100元分12期，平台显示还款11010元，已经还了一期，费用1930元，严重超出国家标准，因为欠了很多网贷每天无法入睡，偷偷流泪，体重从130斤变成116斤短短两个月，看到窗户就想跳下去的冲动，由于各种反常行为被家里发现最后坦白，家里同意还本金加合理利息，家庭条件很难，还有一个15个月的宝宝，所以我要坚持活下去……我已经跟平台协商两次，他们很坚定的不可能，所以想借助你们帮帮我，感谢??。</t>
  </si>
  <si>
    <t>2019/10/06 13:39:14</t>
  </si>
  <si>
    <t>昨天看到我的U租号账号被冻结179天，无法登陆就因为我昨天租了个号，今天租号又显示，我使用第三方软件，可是我就开了个薄荷加速器。</t>
  </si>
  <si>
    <t>2019/10/06 13:39:02</t>
  </si>
  <si>
    <t>国庆节活动，卖了一个手机，寄送之前检查过手机，不存在碎屏问题，寄送到后质检说屏幕碎屏，怀疑为故意损坏压低价格，客服人员不予处理，并推脱责任，本人上传寄送前的图片以做对比。</t>
  </si>
  <si>
    <t>2019/10/06 13:37:50</t>
  </si>
  <si>
    <t>借7000还款近10000元，前三期还8800。</t>
  </si>
  <si>
    <t>2019/10/06 13:37:31</t>
  </si>
  <si>
    <t>维信卡卡贷收取会员费，诱导二次借款，希望退还会员费，不要骚扰我。</t>
  </si>
  <si>
    <t>2019/10/06 13:36:42</t>
  </si>
  <si>
    <t>国美易卡威胁上门催收，曝光通讯录，还拨打通讯录的人，骚扰通讯录的人，造成个人严重的影响，电话轰炸，短信轰炸，我一直在想办法安排，却得不到协商，电话语言威胁和爆粗口。</t>
  </si>
  <si>
    <t>2019/10/06 13:36:36</t>
  </si>
  <si>
    <t>之前办理了长城宽带的网，现在要移机，但是长城宽带网络覆盖不到，又无人出面解决问题。</t>
  </si>
  <si>
    <t>2019/10/06 13:35:42</t>
  </si>
  <si>
    <t>本人在51人品贷一直按时还款，因近期资金周转不开延时还款，人品贷的cs部门一直短信电话轰炸今天更是短信威胁！且未经本人同意骚扰通讯录好友！。</t>
  </si>
  <si>
    <t>2019/10/06 13:35:24</t>
  </si>
  <si>
    <t>我前两天注册了然后没有额度什么的，我要卸载了，今天为什么无缘无故扣费。</t>
  </si>
  <si>
    <t>2019/10/06 13:35:11</t>
  </si>
  <si>
    <t>我18年10月22从淘宝华帝旗舰店购买嗯的吸油烟机燃气灶套餐，安装在新房子一直未使用，于19年10月，想入住新房，发现吸油烟机不通电。</t>
  </si>
  <si>
    <t>2019/10/06 13:35:08</t>
  </si>
  <si>
    <t>阴阳合同:借款到账3000元合同写3990元，砍头息:3个月到期需还款4231.54元，逾期一天近14元的利息远远超过利率。</t>
  </si>
  <si>
    <t>2019/10/06 13:35:07</t>
  </si>
  <si>
    <t>投诉人高先生投诉对象攒钱花涉诉金额2000元问题类型诉求类型投诉详情攒钱花APP申请借款2000到账只有1300！砍头息700还款2000。</t>
  </si>
  <si>
    <t>2019/10/06 13:34:24</t>
  </si>
  <si>
    <t>国美易卡金融暴力催收，态度恶劣，素质极差！竟然威胁要爆我裸照，有录音证明！我想问下，他们平台是黑社会吗，他们什么时候掌握了我的裸照，自从接了他们的电话，我是害怕恐惧，我都不敢出门了，怕国美什么时候把我的裸照散布出去！我上次投诉过一次，公司也没有人来处理我这个裸照的事情，让我心情压抑害怕到极点！！。</t>
  </si>
  <si>
    <t>2019/10/06 13:32:13</t>
  </si>
  <si>
    <t>在我并不知情的的情况下，卡里的钱无缘无故被扣掉。</t>
  </si>
  <si>
    <t>2019/10/06 13:31:27</t>
  </si>
  <si>
    <t>在不知情的情况下被动捆绑众安保险并且被代偿，要求退保提前停止分期免息结清整比贷款客服不通过本人于，需还6799.63现要求众安保险退保，小赢卡贷减免结清整比贷款。</t>
  </si>
  <si>
    <t>2019/10/06 13:30:54</t>
  </si>
  <si>
    <t>淘宝闲鱼很糟糕的平台，明明是个二手转卖平台结果发布自己的闲置奢侈品却遭到平台无故自主删除下架商品，给出的答复就是卖假货伪劣商品，找平台理论却没有客服电话，在线客服是答非所问不解决问题的摆设，商品为何说是假货平台毫无任何依据的乱说乱操作，希望该平台得到正轨化的整顿，不要没有依据的胡乱操作侵害卖家名誉权。</t>
  </si>
  <si>
    <t>2019/10/06 13:30:41</t>
  </si>
  <si>
    <t>投诉人翟先生投诉对象拍拍贷涉诉金额5600元问题类型诉求类型投诉详情高利贷啊而且一直处于骚扰状态一直已威胁的口气说话借了五千六还了两期还剩五千四一丝毫没动啊请求把害人的拍拍贷禁了好吗。</t>
  </si>
  <si>
    <t>2019/10/06 13:30:03</t>
  </si>
  <si>
    <t>10月6日11:05首汽约车，乘客打车，起点定位在万里学院东公交站，司机开车到起点，未接到人，乘客不在起点，电话联系，乘客承认起点定位错误，乘客在万里学院东门里面，司机只好掉头开车，一路堵车辛苦到学校门口，但是学校门口人山人海，假日结束开学了，乘客说司机能找到他的，他不知道司机车子，司机慢行艰难开车，突然首汽客服电话打来问我还服务乘客吗，我说学校门口人超多，乘客起点定位错误，已经联系乘客了，再找，还没说完，乘客挂了电话，司机接到一个短信说首汽扣了司机20订单改派服务费，司机委屈，欲哭无泪，乘客定位错误，司机</t>
  </si>
  <si>
    <t>2019/10/06 13:29:31</t>
  </si>
  <si>
    <t>本人之前投资失败导致的资金周转问题，导致这个月小赢卡货摇钱花贷款逾期，之后接到小赢卡货摇钱花催收电话，跟对方说明自己最近的情况下，表示等资金周转过来马上就还掉，但是之后每天都还有催收不断打电话过来，并且口口声声说限我在几点几点之前处理掉，并且还会采用其他方式进行催收，期间，小赢卡贷款并未听取我的诉求，还是打电话给村委会不断给我和我家里人打电话进行催收，已经严重影响到我的正常工作和生活。</t>
  </si>
  <si>
    <t>2019/10/06 13:28:42</t>
  </si>
  <si>
    <t>本人8月份交钱给杭州势创电子商务有限公司合作他们公司的vip方案内容，实际操作中出现很多问题，跟他们宣传的好多都不一样，感觉一点用都没有，退款也不让，就此事投诉。</t>
  </si>
  <si>
    <t>2019/10/06 13:28:40</t>
  </si>
  <si>
    <t>一直打公司电话已经影响到公司运营，和我个人上班。</t>
  </si>
  <si>
    <t>2019/10/06 13:28:37</t>
  </si>
  <si>
    <t>投诉人 涂先生        投诉对象  拍拍贷        涉诉金额  500 元    问题类型    诉求类型投诉详情  拍拍贷还款拒绝协商 打电话骚扰威胁通知家人 影响个人生活</t>
  </si>
  <si>
    <t>2019/10/06 13:28:00</t>
  </si>
  <si>
    <t>我开店收款无故遭封存不能交易，联系客服不给合理解释，联系不到客服，希望微信给出明确回复及解冻账户。</t>
  </si>
  <si>
    <t>2019/10/06 13:27:21</t>
  </si>
  <si>
    <t>投诉人覃先生投诉对象中国电信,广东电信涉诉金额189元问题类型诉求类型投诉详情之前与电信协商沟通，已退还恶意的扣款金额，这次又扣。</t>
  </si>
  <si>
    <t>2019/10/06 13:27:11</t>
  </si>
  <si>
    <t>高额利息，套路分期借款，借6500要还8000多。</t>
  </si>
  <si>
    <t>2019/10/06 13:26:34</t>
  </si>
  <si>
    <t>石榴快贷在没有经过本人点击确认借款的情况下恶意放款，然后找客服客服把下款的1100扣了现在叫我还2000，我不同意就给我联系人打电话骚扰，还诬陷我的母亲，恐吓我！必须给我道歉并追究刑事责任！！！。</t>
  </si>
  <si>
    <t>2019/10/06 13:26:06</t>
  </si>
  <si>
    <t>被爆通讯录，工作人员威胁说就吓唬你了怎么滴，态度恶劣！希望美团外包的催收公司调查录音。</t>
  </si>
  <si>
    <t>2019/10/06 13:25:31</t>
  </si>
  <si>
    <t>招联金融每天短信微信威胁不还款联系家人，村委，朋友，已经严重影响我的正常生活，给我心理带来很大的压力，已经出现轻微抑郁症到医院检查，我从来没有逾期过，也没有打算不还，最近资金遇到问题周转不过来，才导致逾期，跟他们协商给时间处理，就是不理会，一直催促还钱。</t>
  </si>
  <si>
    <t>2019/10/06 13:23:34</t>
  </si>
  <si>
    <t>拍拍贷26号到期，中间申请停催成功，6号10:03分第一个电话打来，我告知下午5点以前可以还款，和客服达成协议，客服同意，12:50另外一个客服又打电话来，我告知我已和上一个客服说好5点以前可以还款，这个客服告诉我可以5点以前还款，但是这个客服说2点财务查账，如果查不了帐就会打联系人电话，对我名誉不好，大家都是成年人，我全程有电话录音，然后我说那我已经沟通好了，她却拿合同说，合同是几号，今天几号，那国庆节你们咋不吹呢！既然我和客服都说好了，那等于口头协议不算协议，算放屁，还说我怎么能确定我5点就有钱处理，那</t>
  </si>
  <si>
    <t>2019/10/06 13:23:06</t>
  </si>
  <si>
    <t>本人实名举报投诉宝付支付违规为714高利贷平台潮人分期APP提供支付业务，未能严格执行法律法规违规为不合法公司提供支付渠道本人作为受害者之一，现在准备依法维权，将提供一切相关证据链，反映给央行、银保监会，工商管理总局，互联网金融协会等监管部门，并且本人愿意接受媒体采访，作为央行监管的持牌第三方支付公司，未能严格执行法律法规违规为不合法公司提供支付渠道，本人作为受害者之一，现在准备依法维权，将提供一切相关证据链，反映给央行、银保监会，工商管理总局，互联网金融协会等监管部门，并且本人愿意接受媒体采访，将不法高利</t>
  </si>
  <si>
    <t>2019/10/06 13:21:53</t>
  </si>
  <si>
    <t>投诉人 朱先生        投诉对象  玖富万卡        涉诉金额  9 600 元    问题类型    诉求类型投诉详情  到了一笔账了 莫名其妙又给我倒扣了一笔 这个是什么套路</t>
  </si>
  <si>
    <t>2019/10/06 13:21:03</t>
  </si>
  <si>
    <t>我已有跟国美易卡催收人员沟通，他们依然骚扰，侵权，恐吓。</t>
  </si>
  <si>
    <t>2019/10/06 13:19:28</t>
  </si>
  <si>
    <t>本人于9月4号因急用钱，在51信用卡管家链接里点了月光侠分期借款，批款额度4000，可是不知道为什么实际到账金额只有3200，分三个月还款，每月都要还款一千四百多，算下来要多还一千多点！我想知道为什么合同金额4000，到账却只有3200！月光侠给我发信息说调取我的材料确认清楚情况，然后又说按规定办事！目前我亲友已有两人被暴利催收，我爸爸有心脏病，心脏搭桥，同时还患有晚期肝硬化！老人受了惊吓，出了事情请问这个责任谁来承担！！！法律的哪条哪款允许你们砍头息、高利贷、曝通讯录、暴力催收的！《规范》中规定除允许借贷</t>
  </si>
  <si>
    <t>2019/10/06 13:18:43</t>
  </si>
  <si>
    <t>投诉人 陈先生        投诉对象  91买呗        涉诉金额  2 000 元    问题类型    诉求类型投诉详情  我9月4号，下载分期贷。里面申请了91买呗，当时额度2000。到账1500。扣了砍头息。我已经换还了2期，加上砍头息已经结清账单。现在还打电话来催账，望及时处理。电话02160634151</t>
  </si>
  <si>
    <t>2019/10/06 13:18:17</t>
  </si>
  <si>
    <t>要求平台退还2700元所谓黑卡的砍头息费用，到期我本人成诺还正常的本息10499.99元。</t>
  </si>
  <si>
    <t>2019/10/06 13:17:54</t>
  </si>
  <si>
    <t>钱站借款20000，钱站绑定各种费用将本金增加到26400.所有费用不可取消并且没有详细解释，最终借款20000整每月还款2500多年利率高达50%。</t>
  </si>
  <si>
    <t>2019/10/06 13:16:32</t>
  </si>
  <si>
    <t>投诉人 马先生        投诉对象  智富车贷        涉诉金额  200 000 元    问题类型    诉求类型投诉详情  砍头息，高利贷，暴力催收，逼迫写保证书。让第三方外包公司违法偷车，破坏车内财物！</t>
  </si>
  <si>
    <t>2019/10/06 13:16:13</t>
  </si>
  <si>
    <t>白海豚借款3000到账2100分一个月还款，一个分4期每周一期，属于高利贷，现在高利贷已经逼得我走投无路，爆通讯录，工作没了家人也不能理解了，只能卖器官还账了，请官方严查害人的高利贷，本金利息我会想办法还，多余的我真的还不出来了。</t>
  </si>
  <si>
    <t>2019/10/06 13:16:12</t>
  </si>
  <si>
    <t>中建投银企入金从本人浦发银行自动扣款1797人民币，本人和该机构没有任何金融协议。</t>
  </si>
  <si>
    <t>2019/10/06 13:15:20</t>
  </si>
  <si>
    <t>叉叉IPA精灵,叉叉助手,广州游顺网络科技有限公司。</t>
  </si>
  <si>
    <t>2019/10/06 13:15:09</t>
  </si>
  <si>
    <t>投诉人 雷先生        投诉对象  转转        涉诉金额  105 元    问题类型    诉求类型投诉详情  刚收到货！发现不能用了还是仿的。 希望能退款 别的平台也没买就相信转转这个平台。没想到。来个不支持退款 为什么买的时候不给我说里？</t>
  </si>
  <si>
    <t>2019/10/06 13:14:41</t>
  </si>
  <si>
    <t>滴滴快车接不到单，希望平台能够帮助解决问题。</t>
  </si>
  <si>
    <t>2019/10/06 13:13:37</t>
  </si>
  <si>
    <t>我从上个月10多号就给客服打电话了一直在推辞，说的不能退房，只负责换房，换房的情况我隔壁那房子我准备签合同也被人抢了，我对蛋壳很无语，我要求退房，也不处理，房子里面的衣柜我住了两个多月里面就生了两次霉，进房间就闻到一股霉臭味。</t>
  </si>
  <si>
    <t>2019/10/06 13:13:09</t>
  </si>
  <si>
    <t>投诉人叶先生投诉对象广信钱包涉诉金额0元问题类型诉求类型投诉详情读取客户信息资料，要前期，态度恶劣，这种不处理，会让更多人受害，打黑扫恶。</t>
  </si>
  <si>
    <t>2019/10/06 13:11:37</t>
  </si>
  <si>
    <t>闪电借款恶性扣款，借款提示买480黑卡，付完钱提示额度抢完，且无法联系人工，无法退款，一个人480闪电借款一天要坑多少人，这是对国家法律的藐视。</t>
  </si>
  <si>
    <t>2019/10/06 13:10:51</t>
  </si>
  <si>
    <t>利息太高了，借2000还2700多，已经还了11期，剩下一期不还了。</t>
  </si>
  <si>
    <t>2019/10/06 13:10:36</t>
  </si>
  <si>
    <t>沈阳嘉榆新城小区37号楼一单元一个月内停水3次，长则一个星期短则3天，物业一直不管不问找物业公司物业公司说沟通不了，原因二楼2门的下水道堵塞，导致一楼小程度的泡水，被私自停自来水多天。</t>
  </si>
  <si>
    <t>2019/10/06 13:10:35</t>
  </si>
  <si>
    <t>，和不必要的麻烦，希望给微粒贷平台协商还款。</t>
  </si>
  <si>
    <t>2019/10/06 13:10:15</t>
  </si>
  <si>
    <t>我是卖家，有两个商品被同一买家购买，并且买家不取消订单也不确认购买，并且买家明确表示要故意卡单，造成卖家的商品一直处于交易状态下，既不能被别的消费者看到，也不能取消订单，也不能下架，也不能重新上架，也不能直接联系客服处理，最后只好联系交易猫的人工客服，但得到的回答是客服也不能解决，只能把问题提交给专员，但专员需要1到5个工作日才能解决，在我看来，买家卡单成本太低，应该从买家和卖家角度出台相关办法，比如，买家在未完结一个订单前，不能再次购买其他订单，买家在取消一个订单后的24小时内，不能再次购买这一个商品，卖</t>
  </si>
  <si>
    <t>2019/10/06 13:08:41</t>
  </si>
  <si>
    <t>宜人贷借款协议合同金额：117333.33元实际到帐金额：88000元月还款：4547.64元等额本息方式还款经过测算，根椐协议的等额本息计算得出，综合年利率高达46%本金中先前扣除信息咨询服务费：4693.元,前期服务保障金24640元，每期还款服务费36期共计，22280.34元，首先，对于又方已经签署的合同要建立在国家法律法规框架里的合同才完全有效，否则根椐国家法律规定视为无效或部分无效，以合法形式掩盖非法目的的合同无效，以收取高额费用方式突破民间借贷利率限制，以合法形式掩盖非法目的的合同无效，各类机</t>
  </si>
  <si>
    <t>2019/10/06 13:06:37</t>
  </si>
  <si>
    <t>我从一家叫做幽佳人服侍的店铺买了一条裤子，价格是58，刚买完他们就降价成了56，我母亲看到了就想让我和客服协商，当时客服也同意了，给我退两元，结果裤子到了之后，他又威胁我必须好评她才能给我退款，欺诈行为严重，拼多多客服又找不到，让我们消费者投诉无门。</t>
  </si>
  <si>
    <t>2019/10/06 13:06:35</t>
  </si>
  <si>
    <t>投诉人 苏先生        投诉对象  随行付还到        涉诉金额  865 元    问题类型    诉求类型投诉详情  还到泄漏个人信息</t>
  </si>
  <si>
    <t>2019/10/06 13:05:53</t>
  </si>
  <si>
    <t>在成都科技信息技术有限公司开发的这款：闪贷有钱的app中申请借款，诱导充值299年卡，然后又引导新的借款app，客服电话根本打不通028，5347，而且要求提供10家借款未通过截图，而他的app中的下拉选项只有5家借款平台可选，明摆着就是不给退，已经有很多用户被套路过。</t>
  </si>
  <si>
    <t>2019/10/06 13:05:12</t>
  </si>
  <si>
    <t>1月9日，在友信普惠,贷款8万元整，已经还了8个月，每月还款3823元，总计三万多元，利息1.99月利，因为还款压力大，想提前结清全款，需要再还76000元，多次沟通，一直说是提前还款的手续费，提前还款就有，叫我继续用就没有手续费了，没有办法家里父母身体不好生病，没有钱看病，只能吃点药来维护，无意中了解了这个平台，希望能救救帮助我的家庭，在此深表感谢。</t>
  </si>
  <si>
    <t>2019/10/06 13:05:03</t>
  </si>
  <si>
    <t>18年在广发银行信用卡分期财智金27000元，现在准备提前还但是信用卡客服人员说必须付全额手续费，还有2000多的手续费，提前还这两千多还是要给。</t>
  </si>
  <si>
    <t>2019/10/06 13:04:46</t>
  </si>
  <si>
    <t>跟他协商本金还款不肯，到账1871.16元，6天要还4000多，这利息涨的太吓人，爆通讯录，亲人朋友都过来抱怨。</t>
  </si>
  <si>
    <t>2019/10/06 13:04:38</t>
  </si>
  <si>
    <t>投诉人 雷先生        投诉对象  聚富分期        涉诉金额  299 元    问题类型    诉求类型投诉详情  乱扣钱 没有资质收取评估费用 诱导阴阳合同</t>
  </si>
  <si>
    <t>2019/10/06 13:04:35</t>
  </si>
  <si>
    <t>本人在钱站借了2笔借款，一笔2000还款3500，一笔1万还款18000，合同金额作假，本人要求全额本金还款，如下是钱站cs恐吓本人的信息已经承认高额收息的证据，希望有关部门引起重视。</t>
  </si>
  <si>
    <t>2019/10/06 13:03:51</t>
  </si>
  <si>
    <t>当时借款1500，因为其他原因导致没有还款，后上了支付宝的芝麻负面了，我在支付宝申诉了2次没有申诉成功，我就不知道这个平台到底什么关系，高额利息，暴力催收，骚扰通讯录，等等行为都已经违反国家有关规定，这样的平台难道没有人整治了嘛，希望官方能够公平公正。</t>
  </si>
  <si>
    <t>2019/10/06 13:03:36</t>
  </si>
  <si>
    <t>淘宝企业店铺购买商品，卖家发错和空包！当时不在店里，看快递已签收后确认收货，等后续发现卖家发错和空包，全程视频监控发给卖家，卖家核对后同意退款，前面两单退款完成，后面的就是卖家余额不足未完成，两天后淘小二介入，一直催促卖家充值保证金，卖家承诺多次退款时间都失言，后续淘小二一直催促卖家充值，卖家不做任何回复，经过一个多月时间，淘宝网关闭订单说卖家不配合淘小二客服，一直淘小二解释平台会解决，请放心，耐心等待，结果是就一直拖了一个多月，现在卖家也不做任何回复。</t>
  </si>
  <si>
    <t>2019/10/06 13:03:35</t>
  </si>
  <si>
    <t>高利贷借1100两天后还1500，早上8点45分借款，晚上8点才下款，没有下款前4小时前让取消货款，不给取消，套路贷款。</t>
  </si>
  <si>
    <t>2019/10/06 13:03:22</t>
  </si>
  <si>
    <t>一直正常还款，而且都是提前结清再借的，无故被冻结。</t>
  </si>
  <si>
    <t>2019/10/06 13:02:09</t>
  </si>
  <si>
    <t>投诉人陈先生投诉对象聚富分期,海南意源达涉诉金额299元问题类型诉求类型投诉详情聚富分期，以查询征信报告为由没有经过用户确认强行扣除299元，要求退款。</t>
  </si>
  <si>
    <t>2019/10/06 13:01:32</t>
  </si>
  <si>
    <t>2017年7月申请玖富万卡贷款，贷款期限12期，每月还款4624.33，贷款本金为36900元，已全额还清贷款，申请中未看到合同中贷款金额，审核通过后才发现利息如此之高，至今才知晓国家规定，要求保护个人利益，请聚投诉给予法律支持，尽快让机构给一个合理的解释。</t>
  </si>
  <si>
    <t>2019/10/06 13:01:16</t>
  </si>
  <si>
    <t>利息高，准备发工资一次性还清，结果工资没能及时发放，我给他们说他们客服 谩骂 侮辱 还恐吓我父母 每次他们都忽悠我还款 就是不处理这个谩骂 侮辱 恐吓的事情，很多好友都拿这个事情开我玩笑，同时我也疏远了很多朋友，一个催收公司的给我打电话，说要通过法律来强制我还款，我给他们说。</t>
  </si>
  <si>
    <t>2019/10/06 13:01:08</t>
  </si>
  <si>
    <t>诱导欺诈用户开通支付宝免密支付后强制扣费168元。</t>
  </si>
  <si>
    <t>2019/10/06 12:59:39</t>
  </si>
  <si>
    <t>加入蓝店，每件给4毛钱，件也不多，辛苦了大半年，还给蓝店做广告，总共就挣了一千元，提现一百多元，剩下的就提不出来了，已经八个月了，给客服打电话次次推脱，就是不到账，所以恳请帮忙讨回自己的辛苦钱。</t>
  </si>
  <si>
    <t>2019/10/06 12:58:07</t>
  </si>
  <si>
    <t>投诉人 赵先生        投诉对象  宝付支付        涉诉金额  2 000 元    问题类型    诉求类型投诉详情  无缘无故非法扣款 不知原因。赶紧处理。给个明确说法。</t>
  </si>
  <si>
    <t>2019/10/06 12:57:51</t>
  </si>
  <si>
    <t>由于我老婆一张额度1.4万的交通银行信用卡近期因为经济困难导致一期。</t>
  </si>
  <si>
    <t>2019/10/06 12:57:33</t>
  </si>
  <si>
    <t>本来2号11点发的货保护期96小时那就是6号上午11点可到现在都还是待收货状态客服也不自动确认，客服也联系不到，服务实在是太差了，就这样拖着钱不给。</t>
  </si>
  <si>
    <t>2019/10/06 12:56:44</t>
  </si>
  <si>
    <t>贷上钱变相收费，让强制购买什么豆没见过这个东西，贷4500一个月要还6000并且爆通讯录，该还的本金利息我卖肾也会还不该还的请官方核查，为我们受害者主持公道。</t>
  </si>
  <si>
    <t>2019/10/06 12:56:25</t>
  </si>
  <si>
    <t>本人前段时间因生病住院无法工作，造成经济困难导致贵行信用卡逾期，逾期这段时间贵行每天10几个电话，态度还极度恶劣，给我造成很大的身心压力，无法恢复身体状态参加工作，肯请贵行停止这种恶劣的催收行为，现在本人没有经济来源无法按贵行要求来还款，请求贵行能以分期还款的方式让我还款。</t>
  </si>
  <si>
    <t>2019/10/06 12:55:55</t>
  </si>
  <si>
    <t>投诉人邱先生投诉对象苏宁消费金融涉诉金额1500元问题类型诉求类型投诉详情催收人员态度恶略，威胁和辱骂并骚扰无关人员，对本人生活工作造成极大影响。</t>
  </si>
  <si>
    <t>2019/10/06 12:55:44</t>
  </si>
  <si>
    <t>因本人怀孕快生了，资金有困难一直都申请了最低还款，今天分期乐打电话过来没人说话，所以想让分期乐公司联系协商申请一下最低还款，最好白天打电话。</t>
  </si>
  <si>
    <t>2019/10/06 12:55:36</t>
  </si>
  <si>
    <t>投诉人 吴先生        投诉对象  钱站        涉诉金额  2 600 元    问题类型    诉求类型投诉详情  实际借款2600，分3期还款。共还5000。前两期服务费高达1100。</t>
  </si>
  <si>
    <t>2019/10/06 12:55:13</t>
  </si>
  <si>
    <t>我免单27左右，但拼多多却给30，不是同等金额，跟宣传的不一样。</t>
  </si>
  <si>
    <t>2019/10/06 12:54:39</t>
  </si>
  <si>
    <t>已经借款一次，再次申请的时候才发现借款1000，却显示借款1300多，最后要还1600多，这是百分之30的利息了。</t>
  </si>
  <si>
    <t>2019/10/06 12:53:36</t>
  </si>
  <si>
    <t>商家应作相应处理，不能欺骗消费者权益，不能丢了中国的脸。</t>
  </si>
  <si>
    <t>2019/10/06 12:53:26</t>
  </si>
  <si>
    <t>非法获取本人通讯录，非法拨打本人通讯录人群。</t>
  </si>
  <si>
    <t>2019/10/06 12:51:54</t>
  </si>
  <si>
    <t>上海造艺网络科技有限公司,聚富分期,通联支付,携趣信息科技，10月1号注册聚富分期app，没看到任何购买字样，今天银行卡被扣一笔100元和一笔50元，经查是聚富分期app扣的款，扣款方是携趣信息科技，诱导消费，什么评估要299元，当时知道的话20块钱我也不要你评估，更别说299了，要求该三家公司立即停止后续的扣款并且返还已扣的150元，并且取消我在这三家公司的快捷支付，。</t>
  </si>
  <si>
    <t>2019/10/06 12:51:31</t>
  </si>
  <si>
    <t>拼多多商户9月22晚五百的账单，却扣我卡里1999块，找客服客服说有专员会联系我，等了这么多天都没所谓的专员联系我，再找客服还是这样说，这明摆着是推脱责任。</t>
  </si>
  <si>
    <t>2019/10/06 12:51:27</t>
  </si>
  <si>
    <t>借款2笔，共计3万本金，已还款共计21950，现在剩余要还32144，完全高利贷啊，要求提前还清，协商未果。</t>
  </si>
  <si>
    <t>2019/10/06 12:51:16</t>
  </si>
  <si>
    <t>之前微粒贷借款，生意出现问题，当时就打电话协商可不可以提供微粒贷的还款账号进行还款，对方说必须全额还款，不进行协商！今早直接冻结了我的账号，我的资金，严重影响我的工作和生活！第三方人员一直打电话，发短信用侮辱性的语言，希望部门进行处理！。</t>
  </si>
  <si>
    <t>投诉人 张女士        投诉对象  聚富分期        涉诉金额  200 元    问题类型    诉求类型投诉详情  没有设置免密洗个头 为什么自动扣款要求退款</t>
  </si>
  <si>
    <t>2019/10/06 12:51:10</t>
  </si>
  <si>
    <t>多次联系客服，一直已不好意思，权限不足迟迟不处理，态度恶劣，已打不通电话权限不足，一直未销账，每天还在收取利息，已经延迟24小时，最近一通电话，还是以权限不足，无法处理搪塞，昨天说还款三小时内系统自动识别，现在24小时了，又已无法联系到我，说无法处理，本人电话一直畅通，所有人都打的通，未停机，未拦截，每次联系完客服，马上就发送信息说联系不到我。</t>
  </si>
  <si>
    <t>2019/10/06 12:50:54</t>
  </si>
  <si>
    <t>本人于2019年10月5日在月光侠分期上借款2400，并没有放款，本人于当天给月光侠分期去电要取消借款，客服说无法取消，只能向上级反映，叫我注意App动态，可在10月6日10:33分向我转账2400元，我迅速给月光侠分期致电取消借款。</t>
  </si>
  <si>
    <t>2019/10/06 12:50:40</t>
  </si>
  <si>
    <t>在联系的上本人的情况下，搜集本人的个人隐私信息，专卖给暴力催收单位，并泄漏他人隐私，并威胁发送函件给工作单位，造成不可挽回的损失，要求停止骚扰单位同事及单位，可以直接联系本人协商！。</t>
  </si>
  <si>
    <t>2019/10/06 12:49:11</t>
  </si>
  <si>
    <t>网络平台通过中国移动公司给我发送网络赌博平台短信！并且通过微信转账充值，以及微信充值话费的途径上分！并且一开始就是陷入了他们的圈套之中！收款方是种移动科技有限公司！中国移动公司必须为此做出一个合理的解释！为什么这种短信还能够发过来！以及希望网警加强这方面的监管力度！客服qq：1841414734。</t>
  </si>
  <si>
    <t>2019/10/06 12:49:06</t>
  </si>
  <si>
    <t>投诉人 魏先生        投诉对象  趣花分期（手机贷）        涉诉金额  0 元    问题类型    诉求类型投诉详情  趣花分期提供714高炮借款软件。借6天利息高达770元。</t>
  </si>
  <si>
    <t>2019/10/06 12:49:00</t>
  </si>
  <si>
    <t>本人因资金周转问题在久久米柜借款2500，实际到账1750，7天高达750的利息，入口是急用钱app，并且还款当日威胁，后面因为急用钱app整改进不去，有客服一直打电话线下还款，我也一直在陆续还款，现在投诉也是被逼无奈，目前已经还款1800，超过本金了本人要求久久米柜做出整改，下架，客服现在天天骚扰，给生活身体造成困扰，家里人也住院了，不要逼死人！。</t>
  </si>
  <si>
    <t>2019/10/06 12:48:54</t>
  </si>
  <si>
    <t>投诉人李女士投诉对象聚宝来,畅捷支付涉诉金额1900元问题类型诉求类型投诉详情聚宝来，借款1900，通过畅捷支付放款，以代金券方式实际是变相砍头息，到账金额1387，每七天一还，现要求余下两期做销账处理，此前扣除的利息费用不予追究。</t>
  </si>
  <si>
    <t>2019/10/06 12:48:34</t>
  </si>
  <si>
    <t>投诉人杨先生投诉对象钱站涉诉金额1980元问题类型诉求类型投诉详情因为账单逾期了一天，一天内很多电话来催收，电话打完短信发，我说我资金不够可能要晚两天，对方说有困难说，问我几号还，我说了10号，对方还是一天到晚来骚扰，你怎么还不还款，要联系周边亲朋催收，要怎么样怎么样，工作乱七八糟，态度还很差。</t>
  </si>
  <si>
    <t>2019/10/06 12:48:24</t>
  </si>
  <si>
    <t>这是本人与钱站工作cs人员的聊天几率，已经确定钱站是高利贷和套路贷，希望相关部门引起重视。</t>
  </si>
  <si>
    <t>投诉人栾先生投诉对象威力贷,汇潮支付,合支付,支付宝,来花花涉诉金额2000元问题类型诉求类型投诉详情本人通过短信链接，下载了威力贷，借款1400元，实际到账也是1400元，借时并无任何提示，结果却要在6天后归还2000元，无客服电话联系，通过APP的在线客服联系，拒协商，拒提供电话，2.唯一还款通道是支付宝，收款方为聚合支付，1.威力贷是通过汇潮支付这个支付通道放款，经过核查，汇潮支付作为合作平台，有其来花花的主体公司和联系电话，但拒提供，继续参与违法行为，本人愿意归还本金和合法利息，希望通过平台解决问题</t>
  </si>
  <si>
    <t>2019/10/06 12:47:36</t>
  </si>
  <si>
    <t>本人9月3日在立马进钱呆呆苞里借了2800元，分4期还，每期1044.4元，前面三期按时全额还了，一共还了3133.2，现在确实没有钱了，申请最后一期减免500销账，他们电话客服说有任何问题给app客服说，aop客服永远不在线不回复消息。</t>
  </si>
  <si>
    <t>2019/10/06 12:46:17</t>
  </si>
  <si>
    <t>信用管家里面的青春宝分期，借款2100，分四期，每期还款770，，现在账户出现问题，无法线上还款，客服打电话要求线下处理，但遇到了多个客服加微信骚扰，发照片，信息严重泄露，真假难分，还款不接受任何形式的线下还款，只接受线上，这是为了保护自己的权益。</t>
  </si>
  <si>
    <t>2019/10/06 12:46:08</t>
  </si>
  <si>
    <t>本人在立借app上通过钱置宝借款2100元，钱置宝非法发放高利贷并收取高额利息，并且平台支付通道出现问题无法还款，导致产生高额逾期费用，目前一共需还4000元，平台故意导致借款人逾期，属于严重违法的套路贷，年化利息高达1000%，已严重超出国家法定利息，同时该高利贷扣款方为讯联智付，讯联智付违法为高利贷提供支付渠道。</t>
  </si>
  <si>
    <t>2019/10/06 12:45:49</t>
  </si>
  <si>
    <t>借款2000，到账1400，续期五次1500，本金已经还完，这里多的都有了！。</t>
  </si>
  <si>
    <t>2019/10/06 12:45:22</t>
  </si>
  <si>
    <t>投诉人 赵先生        投诉对象  现金巴士        涉诉金额  1 000 元    问题类型    诉求类型投诉详情  希望平台帮忙联系现金巴士协商处理还款事宜。</t>
  </si>
  <si>
    <t>2019/10/06 12:44:43</t>
  </si>
  <si>
    <t>没到期之前一天十多个电话，到期有事没还上，也是一天十几个电话，正常还款，没有理由的冻结账户。</t>
  </si>
  <si>
    <t>2019/10/06 12:43:32</t>
  </si>
  <si>
    <t>中信银行信用卡恶意催收，到泄露个人借贷信息！。</t>
  </si>
  <si>
    <t>2019/10/06 12:43:20</t>
  </si>
  <si>
    <t>报了精通教育的专接本课程，但是我还没去听过一次课，一开始报名的时候说的是听课24小时以内都可以退款，可是我这也没有去听过课，也没有拿到学员证，这会教育机构的人说不能退款，说只能转让，但是学员报名须知上都说的是允许学员在听完各科目试听课后的24小时内办理退费。</t>
  </si>
  <si>
    <t>2019/10/06 12:43:12</t>
  </si>
  <si>
    <t>骚扰我朋友，给娃看病，钱真的很紧张，他们加我微信让我还进去一部分，我真的很诚恳我还进去了，希望通融一下一部分在迟点还，可还进去没几天，又打电话让我还款，有一次接电话，他们客服真的态度很不好，还诱导你让自己承认不还款，音我都录下了，每次打电话我都怕的不敢接，他们加我微信，我都客气的说，有事找我你就给我发微信，电话接不起，到最后骚扰我朋友，不给我发微信，说好可以延迟还款，这就是你们可以延迟还款的么，没几天电话跟疯了也是，不是不还，不是不接，让你们微信联系，你们不联系，偏偏走骚扰的路。</t>
  </si>
  <si>
    <t>2019/10/06 12:42:29</t>
  </si>
  <si>
    <t>本人于8月25日在信用管家app里面的石头管家申请了一笔借款为3375。</t>
  </si>
  <si>
    <t>2019/10/06 12:42:26</t>
  </si>
  <si>
    <t>5号忘记还款，6号查要还1665.33元正常还的是1565.33元，要收100元逾期费我认为不合理打电话给豆豆钱客服，客服说没有逾期费是收的第三方代扣费，我投诉豆豆钱不合理收费，在合同代扣中根本没有收取代扣费一说，在帐单中是写的含逾期费可客服又说没有逾期费我希望豆豆钱给出合理解释才能正常还款。</t>
  </si>
  <si>
    <t>2019/10/06 12:42:22</t>
  </si>
  <si>
    <t>之前本人申请了快闪卡贷平台的贷款，因申请不到，所以想注销账户，但是快闪卡贷客服回复说无法注销，个人信息得不到安全的保障，请求帮助。</t>
  </si>
  <si>
    <t>2019/10/06 12:41:39</t>
  </si>
  <si>
    <t>本人在美团金融申请了一笔借款，每个月1号还款，这个月还款2010元，因为资金问题一直没到位，逾期了6天，前五天的时候就开始爆我通讯录，第五天的时候发信息威胁我如果两点前不处理就联系当地村委，第六天早上我父母收到催收短信，然后催收又发信息我威胁两点不处理，联系公司及亲朋好友帮助我还款，我不是不还，只是晚两天，他们这样把我工作弄丢了让我怎么还。</t>
  </si>
  <si>
    <t>2019/10/06 12:41:30</t>
  </si>
  <si>
    <t>本人在小赢平台借款五千元，到帐金额四千，本人已每月还552已还十月，其款以及利息已远远超过但其平台还在不断骚扰暴力催收，影响到本人生活，本人已经把所有材料送至扫黑办，希望贵平台传达并且退还多余的利息六百。</t>
  </si>
  <si>
    <t>2019/10/06 12:40:31</t>
  </si>
  <si>
    <t>我在抖音平台上看广告刷到一个360借条平台，声称可以借款20万最高，然后下载，但是不是在aq里下载是弹出一个网址下载到手机上，事后才发现是一个冒牌360借条，不是360集团旗下的，app页面做的一摸一样，然后借款需要先打1万工本费，转账过去后冻结账户，说银行卡账号出错需要再转账2万过去才能解冻，并且不能退还之前的1万工本费，这直接就是套路欺骗，明明我填的银行卡账号没错，等我转账之后修改我的资料继续套路我，我希望抖音平台给我一个合理解释，和作出赔偿。</t>
  </si>
  <si>
    <t>2019/10/06 12:39:25</t>
  </si>
  <si>
    <t>之前投诉要求销案时，已经解释了我现在的情况，不是恶意拖欠不还款，而且还在寻找工作中，当时协商也说帮我备注情况，结果今天又收到威胁催收的短信，另外，因为我户籍所在是属于挂靠性质，如果寄律师函会严重影响他人，属于骚扰非贷款人的生活，并且也会对我寻找新工作造成影响，还有就是，我也经过查询，说要寄律师函除了恐吓之外，是没有实际意义的。</t>
  </si>
  <si>
    <t>2019/10/06 12:39:17</t>
  </si>
  <si>
    <t>小象优品收取高额的手续费，借款6000元手续费高达2400多，不还将爆通信录，现在大部分已经剩下最后一两期了，实在无力偿还。</t>
  </si>
  <si>
    <t>2019/10/06 12:38:37</t>
  </si>
  <si>
    <t>在卡牛瑞贷借款5500，下款不到一分钟就扣款两笔，共1100。</t>
  </si>
  <si>
    <t>2019/10/06 12:38:34</t>
  </si>
  <si>
    <t>11月11日，在你我借贷平台借款6000元，共分12期尝还，前两期尝还1051.49元，后10期每期尝还605.9元，现在共尝还10期，总金额已还款6950.18元，如果按照分12期尝还需还款8153.88元，这已经严重违规国家规定，而在还收取我的担保费和手机服务费，请问你为我服务了什么，现要求你我借贷平台，提供结清证明，本金我已经还玩，我现已经到派出所刑侦科报案过，自己也咨询过律师，这已经属于高利贷，高利息，可以不用去尝还，本人后续也会到监管局备案，不要骚扰我的家人以及通讯录联系人，这种网贷公司就是社会的</t>
  </si>
  <si>
    <t>2019/10/06 12:37:32</t>
  </si>
  <si>
    <t>看到浏览器上广告软件说爱白条零利息快审贷款，然后下了一个试了一下，结果借了2800分三期他要我还4100总数，相当于多了1300，这哪里是零利息，根本就是高利贷黑网贷，请求平台帮忙联系处理，可一次性处理款项，利息只要符合国家规定可以接受。</t>
  </si>
  <si>
    <t>2019/10/06 12:37:29</t>
  </si>
  <si>
    <t>拼多多红包提现涉及虚假宣传，活动页面描述满100元可提现，但是实际做完活动后到账为100优惠券，还是马上过期满500可用的，客服描述为账户异常导致，但是活动详情规则均无相关描述，已提供相关证明，望尽快处理。</t>
  </si>
  <si>
    <t>2019/10/06 12:37:10</t>
  </si>
  <si>
    <t>宜兴滴滴把乘客呼叫的快车单全派给优享导致我快车接不到单。</t>
  </si>
  <si>
    <t>2019/10/06 12:36:33</t>
  </si>
  <si>
    <t>投诉人 陈女士        投诉对象  京东白条        涉诉金额  8 000 元    问题类型    诉求类型投诉详情  京东白条暴力催收恐吓威胁 伪造信函 影响家人朋友正常生活</t>
  </si>
  <si>
    <t>2019/10/06 12:36:21</t>
  </si>
  <si>
    <t>投诉人凌先生投诉对象高铁管家涉诉金额247元问题类型诉求类型投诉详情2个订单情况一致，都是没有选择任何抢票套餐，但事后一个收取每人30的抢票费，一个收取每人20的抢票费，要求立刻退款，其二，10月1日的订单我当时已经4个票全部操作了退票，至今只收到2个退款，高铁管家显示有1张票没有退还乘坐了，事实是该票乘坐人乘坐了当天晚些时候的高铁，请问是怎么发生的，！现要求立刻退款，包括乱收的抢票费和2个退票费。</t>
  </si>
  <si>
    <t>2019/10/06 12:34:40</t>
  </si>
  <si>
    <t>9月21日下的单，提交好了资料，到现在已经10月6日了，整整半个月时间，没有一点反应，既不发货，也不回复，不退款，不作为，只有机器人答非所问只收钱不办事，没有退款路径，也没有取消选项，找不到人工客服，只有机器人答非所问，只收钱不办事，没有退款路径，也没有取消选项，严重侵犯了我们作为消费者的权益和影响了作为车主的正常出行。</t>
  </si>
  <si>
    <t>2019/10/06 12:34:27</t>
  </si>
  <si>
    <t>因资金周转，我父亲于2016年在凡普线下门店申请了8.5万元借款，当时被业务员蒙蔽，签订了48期超长合同，就是说我们无论提前结清还是按期偿还，都要还款15多万元，现在已经还款了36期共计11.5万余元！而且被催收电话骚扰的丧失了生活信心！我父亲常年被慢性病折磨，靠吃药打针维持生命！身为党员和人民教师的他一生奋斗在三尺讲台之上，为习主席的“教育强国”方针兢兢业业呕心沥血奋斗了一生！在老弱之年要承受这种屈辱的对待！这样高的利息怎么能够承担！！！这样无法无天的做法是什么人给了他们这么大的胆量，！是谁给他们打着保护</t>
  </si>
  <si>
    <t>2019/10/06 12:34:07</t>
  </si>
  <si>
    <t>打电话语气蛮横，威胁，恐吓侮辱，砍头息，暴力。</t>
  </si>
  <si>
    <t>2019/10/06 12:33:03</t>
  </si>
  <si>
    <t>但是在app操作的时候让我把剩余的本金加利息全部还清，就说我要是想结清的话就去app上结清敬拒绝一切协商，但是他们说除非我逾期了，要不然不会跟我联系！我就想跟他们好好协商一下还款！这笔钱我就用了两个月想提前把钱还了！。</t>
  </si>
  <si>
    <t>2019/10/06 12:32:34</t>
  </si>
  <si>
    <t>投诉人魏先生投诉对象洲泉王记蚕丝被涉诉金额999元问题类型诉求类型投诉详情在微信上广告散播卖蚕丝被,以次充好.并且一再否定是"假货",这骗子是"以次充好",要求退货,又说要扣款让买家承担不必要的费用.我要求-全款退还。</t>
  </si>
  <si>
    <t>投诉人毕先生投诉对象买买乐购涉诉金额10000元问题类型诉求类型投诉详情我买买乐购有两笔账单一个账单剩下最后一期最近实在困难逾期了但是跟他们协商毫无余地骚扰家人跟紧急联系人后还要威胁继续骚扰通讯录甚至单位我就剩下最后一期那个一万的还有一个五千的我也会还但是这样威胁暴力催收骚扰整个利率也很高。</t>
  </si>
  <si>
    <t>2019/10/06 12:31:36</t>
  </si>
  <si>
    <t>高利贷！暴力催收！乱收费，乱收违约金和利息！。</t>
  </si>
  <si>
    <t>2019/10/06 12:31:12</t>
  </si>
  <si>
    <t>钱站高利贷，阴阳合同，我和客服有录音，当证据，借1000要还1981没有王法了，钱站无人管制么，这么高的利息谁能还的起，本人现怀有身孕，已经未此事，很焦虑，钱站客服无人管，协商也不协商，还得我打电话去协商，客服说合同上写了欠1800什么的，希望打击高利贷，能把钱站打击掉，如果催收我会保留证据，然后对抗到底。</t>
  </si>
  <si>
    <t>2019/10/06 12:30:54</t>
  </si>
  <si>
    <t>早上还没睡醒，电话静音中，他们却给我通讯录里面的所有亲戚打电话，威胁他们，暴力催收，不给协商的机会。</t>
  </si>
  <si>
    <t>2019/10/06 12:30:38</t>
  </si>
  <si>
    <t>款项已经结清两个多月，畅快车贷一直拖着不给拿车。</t>
  </si>
  <si>
    <t>2019/10/06 12:30:13</t>
  </si>
  <si>
    <t>投诉人 付先生        投诉对象  UU跑腿        涉诉金额  170 元    问题类型    诉求类型投诉详情  我与19年9月21号下单UU跑腿 完成订单之后，UU跑腿 拿走物品没有归还 据现在了解，物品丢失不解决不赔偿</t>
  </si>
  <si>
    <t>2019/10/06 12:29:49</t>
  </si>
  <si>
    <t>2月份在玖富集团的蜡笔超卡借了一笔款，本金13200元，分36期，已还7期共5538，因为利息费过高，想要提前还清，显示待还金额还要19389.5元，合同没有说明多出来的这些费用，属于阴阳合同，年利率已远远超过国家合法利率，属于高利贷行为，先申请提前还款，远支付本金和合法的7个月利息进行销账。</t>
  </si>
  <si>
    <t>2019/10/06 12:28:30</t>
  </si>
  <si>
    <t>乱扣费，我都没有开通自动扣费，你们是不是想钱想疯了，。</t>
  </si>
  <si>
    <t>2019/10/06 12:28:22</t>
  </si>
  <si>
    <t>从9月30号开始，分期还呗以各种贷款短信对我进行骚扰，发送各种恶意链接，点开一看全部是各种小贷产品，714高炮等国家明令禁止的非法贷款产品，该平台以发送恶意链接的形式，诱导别人贷款，并且为这些非法贷款产品提供窗口，而且通过不法渠道私自获取他人信息，这种行为十分无耻，我要求该平台对于骚扰一事向本人作出合理解释，并删除非法获取的本人资料。</t>
  </si>
  <si>
    <t>买了一次买了个假的，还不给退，我就想问问你到底管不管，让我提出仲裁，我这都没有仲裁两个字我怎么提出仲裁，钱就是让淘手游平台黑了，我自己投诉过一次了，这是第二次，第一次只说了个提出仲裁，然后就啥也不说了，希望淘手游能得到法律制裁，让他承担责任，不要再跟我说什么仲裁，我这没有这两个字，就说给我退不退就完了。</t>
  </si>
  <si>
    <t>2019/10/06 12:28:09</t>
  </si>
  <si>
    <t>投诉人刘先生投诉对象自由摩卡,信用计划涉诉金额2000元问题类型诉求类型投诉详情本人因资金周转需求在自由魔卡app里面的信用计划平台借款2000元，平台以加入会员购买会员需要支付备付金为借口，变相收取砍头息360元，实际借款所得其实为1640元，还款周期一个月应还为2050元，所加入的会员并无实际作用，只是作为平台变相收取砍头息的手段，这是赤裸裸的高利贷，逾期一天逾期费高达50元，并且无任何提醒因本人之前也在该平台借款多次，现无力偿还高额还款费用和砍头息，投诉信用计划其实是高利贷平台，要求平台尽快与本人联系</t>
  </si>
  <si>
    <t>2019/10/06 12:27:08</t>
  </si>
  <si>
    <t>投诉人 李先生        投诉对象  我来数科        涉诉金额  10 000 元    问题类型    诉求类型投诉详情  我来数科暴力催收 泄露个人隐私 严重扰乱正常生活 受害人不堪忍受 已经精神崩溃</t>
  </si>
  <si>
    <t>2019/10/06 12:26:36</t>
  </si>
  <si>
    <t>2018年11月份在你我贷借款8800元，分12期还款，我已经还了10期共10184.14元，app上显示我还有两期共1774.94元未还，利息远远高出法律规定的年利息36%红线，按年利率36%计算我须还10608.8元，现诉求还清按年利率36%算剩余的424.66元，其余不合理的利息部分你我贷予以免除并出具结清证明。</t>
  </si>
  <si>
    <t>2019/10/06 12:26:05</t>
  </si>
  <si>
    <t>本人第一次来桂林在十月四号在桂林市长城国际旅行社榕城路门市部咨询景点服务当时已经确认服务里包含20元人民币背景图景区但第二天去了与卖家承诺的所有行程完全不符合全程衔接不当一天的时间坐了半天的车之后与卖家沟通无效调出的视频声音模糊且最后没有给出任何的解决方案并且全程游玩都是冷门地点游玩一小时推销四十分钟毫无体验感后面微信联系改旅行社说明了原因后也不理人该旅行社的行为是在欺骗消费者望工作人员严肃处理谢谢。</t>
  </si>
  <si>
    <t>2019/10/06 12:25:07</t>
  </si>
  <si>
    <t>杭州乐课网络科技有限公司，他们在抖音有很多导流端吸引会员加入比如..＂商业小纸条＂一派狂言."崔磊说创业＂等等大小十个左右抖音号线上引流，存在浮夸宣传，诱使下家代理商付9800元代理费，这里面有什么门道我们也不是很清楚，也没什么办法，希望广大的群众擦亮眼睛，不要步入我们的后尘，更不要轻易相信一些投资小，见效快，轻松赚大钱的忽悠了，以此为鉴；抖音官方是不让他们收取下级代理费的，而乐客巧立名目多增加几个创业项目，说是这是会员费，网上可查，"乐客独角兽骗局＂等关键词，请还我们一个创业者公道！乐客公司推广的这个抖音</t>
  </si>
  <si>
    <t>2019/10/06 12:23:50</t>
  </si>
  <si>
    <t>投诉人王先生投诉对象迅付涉诉金额299元问题类型诉求类型投诉详情注册APP要求输入银行卡号，然后就无缘无故扣款，没有任何提示，要求退款。</t>
  </si>
  <si>
    <t>2019/10/06 12:23:34</t>
  </si>
  <si>
    <t>我父亲的手机以前是无限量流量手机套餐，于今年9月1日套餐发生变化，移动并未通知我们，导致我父亲手机因欠费600元停机，现在工作没有手机很不方便，我于10月5日早8点进行反馈，客服代表承诺我，24个小时内有工作人员予以解答，24个小时内我又催促了7.8遍，直到现在，依旧无人解答，电话停机，给我们的生活造成了相当大的不方便，望尽早解决。</t>
  </si>
  <si>
    <t>2019/10/06 12:23:30</t>
  </si>
  <si>
    <t>投诉人孙先生投诉对象小黑鲨,汇潮支付涉诉金额3500元问题类型诉求类型投诉详情本人于2019年9月26日在小黑鲨平台借款3500元，30天分三期还款，10天一期，首期就要还大于借款本金一半1166.67+770+23.01=1959.68元的金额，其中770是什么风险测评费，算下来综合年化利率远超国家法律所规定的利率，我要求小黑鲨取消770元风险测评费，减免不合理的利息，结清账单，汇潮支付作为拥有正规支付牌照的公司，违规为其提供支付通道。</t>
  </si>
  <si>
    <t>2019/10/06 12:22:12</t>
  </si>
  <si>
    <t>投诉人徐先生投诉对象新橙优品涉诉金额3758元问题类型诉求类型投诉详情新橙优品还款失败，导致逾期，没有提前发短信和打电话联系，导致逾期，产生罚息，已经联系客服，说是安排人会和我联系，一直没有联系，现在都还不款，请求解决。</t>
  </si>
  <si>
    <t>2019/10/06 12:21:24</t>
  </si>
  <si>
    <t>投诉人章先生投诉对象淘宝闲鱼涉诉金额4500元问题类型诉求类型投诉详情2019年9月24日在咸鱼二手平台购买了一件二手商品，，于2019年9月26日上午收到货物，当天即安装验货，发现问题后，卖家拒绝与我沟通，遂退回货物，2019年9月26日当天就在平台申请客服介入，后在平台举证所有能够证明卖家商品有质量问题的凭证后，已逾期半月未处理，多次打电话给闲鱼客服，均被客服告知要等待，卖家没有证据可以列举，而我已将问题物品的凭证一一列举，闲鱼客服此时不作为，也不告知流程如何进行，一直在拖延！。</t>
  </si>
  <si>
    <t>2019/10/06 12:20:22</t>
  </si>
  <si>
    <t>招联金融是2017年开始在上面贷款，一直有按时还款，这个月由于家里遇到困难没有办法按时还钱，招联金融的催收人员是黑社会吗，家里老人本来就是残疾人，我还带着两个小孩生活，这是要逼死一家人吗，借钱是我，欠钱的也是我，而且借钱时的信息都是真真实实的，哪里有骗。</t>
  </si>
  <si>
    <t>2019/10/06 12:20:10</t>
  </si>
  <si>
    <t>我在逾期之前就给交通银行打电话进行沟通因为我家里出现的大变故.老公去世家里靠低保生活.还款非常困难.但是客服进行催收后没有给我解决的人员.而且在能联系到我的情况下三番两次联系我的朋友.泄漏我隐私.银行方说这是银行的规定允许的.难道暂时还不上钱就的这样对待吗.难道这老公死让我和孩子暂时也过不了难关吗.这打电话不管我在医院在哪.说等会打电话都不行.我欠的钱找这个找那个的.难道是银行就没人管吗.那在这样我和孩子也自杀吗.。</t>
  </si>
  <si>
    <t>2019/10/06 12:19:54</t>
  </si>
  <si>
    <t>投诉人范先生投诉对象钱站,华夏银行涉诉金额1800元问题类型诉求类型投诉详情本人在钱站两笔借款，都是砍头息，3000到账2000，还款利息却要按全额计算，完全违反国际按规定，要求按国家规定本金及利息，从新协商还款。</t>
  </si>
  <si>
    <t>2019/10/06 12:19:06</t>
  </si>
  <si>
    <t>投诉人李先生投诉对象淘宝网涉诉金额0元问题类型诉求类型投诉详情我有一淘宝账号ljwseu315，大概是08年左右注册的，最近几年一直没有使用，前几天想继续使用，发现被限制登录了，问淘宝客服说我的账号有可能给淘宝网造成风险，但一直没法告诉我是什么风险，我只是一个普通买家，那个账号好像也没退过货，不知道给淘宝网造成了什么可能的风险，要求淘宝恢复我的账号，并且告诉我，我到底是触犯了淘宝网的哪一条规定，账号太久没用也能造成风险，要限制登录。</t>
  </si>
  <si>
    <t>2019/10/06 12:17:28</t>
  </si>
  <si>
    <t>投诉人邹先生投诉对象平安普惠涉诉金额10000元问题类型诉求类型投诉详情平安普惠违法国家规定的贷款流程，隐瞒收取不知名保费和整体利率明显超过国家规定利率，现在要求退回保费和超出利息。</t>
  </si>
  <si>
    <t>2019/10/06 12:17:13</t>
  </si>
  <si>
    <t>投诉人尹庆德投诉对象大鹅购涉诉金额2885元问题类型诉求类型投诉详情大鹅购app人员各种爆通讯录各种骚扰，根本没办法正常生活。</t>
  </si>
  <si>
    <t>2019/10/06 12:16:25</t>
  </si>
  <si>
    <t>小花钱包正常使用！17年出就使用了！现在突然就把我额度冻结了，不让我再借了！这是什么意思呢，好几个月了一点改善没有！客服电话没人接听！什么意思。</t>
  </si>
  <si>
    <t>2019/10/06 12:16:04</t>
  </si>
  <si>
    <t>9月21日，我在广东移动手机营业厅办理升级88元档畅想套餐，按照宣传套餐包含一年100M宽带+电视服务，28日联系10086准备保修，10086广东移动客服称因为包装地区被代理商承包，需要到当地代理商联系报装，到了当地代理营业厅，营业员告知没有宽带、电视资格，需要到其现场升级，才有包含宽带电视资格。</t>
  </si>
  <si>
    <t>2019/10/06 12:14:50</t>
  </si>
  <si>
    <t>投诉人李帅投诉对象乐意花,海保人寿涉诉金额2400元问题类型诉求类型投诉详情本人2018年12月结款10000元，每月还款1239.2元，现在已还款9期，要求退还前9期保险费用，并撤销后三期保险费用，保险费用扣钱，本人并没收到保单单号，并不知情有保险费用。</t>
  </si>
  <si>
    <t>2019/10/06 12:14:14</t>
  </si>
  <si>
    <t>投诉人张女士投诉对象冠军集团彩票网和开心聊计划群涉诉金额35440元问题类型诉求类型投诉详情通过QQ号784334666叫慧慧她发给我一个冠军集团app让我下载输入她的邀请码注册成功后&amp;amp;nbsp;她让我充钱拉我进开心聊计划群输入邀请码&amp;amp;nbsp;跟老师计划投注说九期之内必中保赢&amp;amp;nbsp;&amp;amp;nbsp;可是我跟老师计划走老师都把我们带沟里了&amp;amp;nbsp;九期计划没中钱都输没了&amp;amp;nbsp;自己玩一分快三也亏钱了&amp;amp;nbsp;在这个开心聊里老师发计划不少人都亏钱</t>
  </si>
  <si>
    <t>2019/10/06 12:14:02</t>
  </si>
  <si>
    <t>申请退费不给退，说交钱就不可以退费，我想投诉。</t>
  </si>
  <si>
    <t>2019/10/06 12:12:57</t>
  </si>
  <si>
    <t>那么高利息都没有管吗，如果不处理我直接上银监会去。</t>
  </si>
  <si>
    <t>2019/10/06 12:12:03</t>
  </si>
  <si>
    <t>借5000还7000，早上给我打电话在高速说晚点处理，结果各种给家里人亲戚打电话。</t>
  </si>
  <si>
    <t>2019/10/06 12:11:00</t>
  </si>
  <si>
    <t>在无锡地区滴滴公司把单子优先派给优享车！而且快车单也免费升成优享单派给优享车！近期又搞了个口碑值！快车司机必须每天早晚高峰出车！不可以吃饭，休息！滴滴公司还每天口口声声关照驾驶员要劳逸结合！注意休息，不能开疲劳车！实则累垮与他无关！。</t>
  </si>
  <si>
    <t>2019/10/06 12:10:31</t>
  </si>
  <si>
    <t>我的创维M3净水器从买到现在一个多月有问题没人处理！找卖方又叫我找售后！售后又叫我找卖方！跟踢皮球一样！净水器过虑出来的水！跟自来水出水数都是一样，都没起到做用！那我花钱装个净水器有什么用呢！为什么人家的净水器跟我的一样！人家的出水数是0.1我家的自来水数是45，净水器出来的水也是45，都没起到做用，从报单到现在没人处理！创维的服务也太差了，中间有师傅上门！上门他又解决不了问题，他自己都说不知道是什么问题！。</t>
  </si>
  <si>
    <t>2019/10/06 12:10:24</t>
  </si>
  <si>
    <t>滴滴平台显示金额与实际付款金额不符合，金额相差较大，客服给出原因讲述是因为司机没按导航行驶，说超出预估距离，司机是都是按照导航走的，没有任何违规的情况发生，如在贵平台不能维护我的个人权益，我可以走司法程序起诉滴滴出行。</t>
  </si>
  <si>
    <t>2019/10/06 12:09:54</t>
  </si>
  <si>
    <t>10.2下载注册过豹子贷APP，并未购买相关产品，而且APP也早已经卸载，10.6无故扣款299。</t>
  </si>
  <si>
    <t>2019/10/06 12:09:49</t>
  </si>
  <si>
    <t>投诉人马帅投诉对象民生银行涉诉金额18391元问题类型诉求类型投诉详情因本人做生意亏钱了，拖欠民生银行信用卡18391.41元，现在委托第三方催收鼎石资产对父母，亲朋，好友，同学各种骚扰，不断通过电话，短信，以及各种联系方式辱骂我，还各种途径打电话给我父母，造成父母各种压力。</t>
  </si>
  <si>
    <t>2019/10/06 12:09:14</t>
  </si>
  <si>
    <t>因今年3月左右遭遇714高炮摧残，导致自己工作丢失，家人、亲戚朋友的帮助下被迫还了几万，后面知道714不合法之后自己的还的钱也拿回来了，导致交通银行信用卡有几次逾期，现在交通银行信用卡直接把额度从1.5万降成3000，这期间从新找了工作收入不高，可交通银行信用卡每天要打很多个电话，每次都要给解释，我希望交通银行信用卡能够看在我现在的处境恢复我的额度，这样也能缓解我的压力，同时能够给我时间让我安心赚钱早日把这个事情处理了，今天上午11点交通银行信用卡工作人员联系我让我处理逾期的钱，11：30查账，我都说了我暂</t>
  </si>
  <si>
    <t>2019/10/06 12:08:56</t>
  </si>
  <si>
    <t>本人在威力贷借款1400元，实际到账也是1400元，借时并无任何提示，结果却要在6天后归还2000元，无客服电话联系，通过APP的在线客服联系，拒协商，拒提供电话，2.威力贷唯一还款通道是支付宝，收款方为聚合支付，本人愿意归还本金和合法利息，希望通过平台解决问题3.威力贷拒提供客服联系电话，为此只有从第三方支付平台处取得联系方式。</t>
  </si>
  <si>
    <t>2019/10/06 12:08:40</t>
  </si>
  <si>
    <t>酷宝支付,北京雅酷时空信息交换技术有限公司,银联电子支付，另外特约商户为第三方违法违规平台开通快捷支付通道现在金额去向不明，希望在聚投诉上够妥善解决这一问题，在毫不知情的情况下，在2019年10月2日凌晨一点四十一分，酷宝支付向，在投诉期间，已经向银联，雅酷时空的客服咨询，雅酷时空电话打不通，客服永远打不停电话总占线，最后，雅酷时空的酷宝支付竟然能跳过验证支付，直接扣款。</t>
  </si>
  <si>
    <t>2019/10/06 12:08:28</t>
  </si>
  <si>
    <t>闪银变相砍头息，阴阳合同，借款记录在还完就没有明细了。</t>
  </si>
  <si>
    <t>2019/10/06 12:07:15</t>
  </si>
  <si>
    <t>投诉人 詹先生        投诉对象  滴滴出行        涉诉金额  0 元    问题类型    诉求类型投诉详情  建议撤销滴滴出行分，应该以服务分为核心。</t>
  </si>
  <si>
    <t>2019/10/06 12:07:09</t>
  </si>
  <si>
    <t>本人在2019年10月6日大概上午十一点半时在临沂机场被机场人员忽悠，当时服务员说充值1500，送1000，而且卡里面的钱可以直接作买机票使用，但回来我再网上查了查，根本就没有什么星河航空联盟有限公司，而且卡里买机票只是扣折扣价钱，觉得被骗了，现在我想投诉并申请全额退款。</t>
  </si>
  <si>
    <t>2019/10/06 12:06:31</t>
  </si>
  <si>
    <t>9月11在网易云音乐商城购买的耳机，我刚买回来就有裂痕问题，没有处理，再然后又出现充不进电，找不到平台方，只能联系商家，商家客服说可退换，没有平台方做担保，找不到平台方，是不可能的退换的了，商家售后服务态度极差，商家说平台方只提供15天退换，那最后保维1年就不在理了，而且网易云平台方不提供电话客服服务，只有在线客服，在线客服等待人数上百，回答不清不楚，每次找的客服都不1样，无法理解。</t>
  </si>
  <si>
    <t>2019/10/06 12:06:19</t>
  </si>
  <si>
    <t>近期家里母亲碰到腿住院费花了不少钱，导致资金短缺，现在也是十一放假公司工资也推迟发放，之前一直按时还款，现在真是没办法逾期几天，拍拍贷平台就催收电话无数跟我亲戚朋友同事打电话说我不还钱的事，导致现在每天吃不好睡不好！严重影响正常生活！！我希望他们给我个说法。</t>
  </si>
  <si>
    <t>2019/10/06 12:05:46</t>
  </si>
  <si>
    <t>投诉人杨先生投诉对象小浦优客涉诉金额296元问题类型诉求类型投诉详情本人不知不觉的情况下被扣了一笔服务费，该服务费我曾拒绝不要该软件的服务并没有选择过支付该服务费，但是该软件在没有提前通知过我也没有经过本人的同意私自扣了本人的一笔服务费用，属于私自扣费希望给予退还该服务费用，希望有关软件不要做出此私自扣费行为，该相关部门查证让该软件给予一个说明并退还该服务费用。</t>
  </si>
  <si>
    <t>2019/10/06 12:05:00</t>
  </si>
  <si>
    <t>点点通公司这是属于砍头息，严重违反了国家所规定的24%的利率，属于高利贷，并不在合法范围内，本人拒绝偿还多余的金额，并想与点点通客服进行协商，但是点点通客服态度极其恶劣，每次协商都是要求我半小时内处理还款。</t>
  </si>
  <si>
    <t>2019/10/06 12:04:54</t>
  </si>
  <si>
    <t>投诉人刘先生投诉对象店宝宝涉诉金额47元问题类型诉求类型投诉详情2016年在淘宝买的上海店宝宝商务有限公司的第五代充值平台产品，用于在淘宝网店做充值业务，国庆节期间想重新使用发现内部充值产品已经全部下架，加第五代充值平台微信公众号dianbaobao8888后找客服没有进入客服服务按钮，致电平台客服电话40000215555后对方始终坚称是我微信问题，我发的他们能看到，回复我的我就接收不到，可我微信接收其他一切正常唯独他们的接收不到！换手机，电脑登录均试过，就是没人回复，我怀疑对方是拖延我故意不处理，在10</t>
  </si>
  <si>
    <t>2019/10/06 12:04:52</t>
  </si>
  <si>
    <t>本人在钱站平台带了2000元整，分为3期，每个月要还一千两百多，等于我借了2000元三个月要还3600多！。</t>
  </si>
  <si>
    <t>2019/10/06 12:04:25</t>
  </si>
  <si>
    <t>上海宝付网络科技公司无故扣款883.81元。</t>
  </si>
  <si>
    <t>2019/10/06 12:04:09</t>
  </si>
  <si>
    <t>投诉人樊先生投诉对象用钱宝涉诉金额640元问题类型诉求类型投诉详情现在还威胁爆我通讯录呢，还是三个月的。</t>
  </si>
  <si>
    <t>2019/10/06 12:04:08</t>
  </si>
  <si>
    <t>下单前是大约74元，结束订单支付时是104.5元，客服讲述是超出预估距离，这和司机没有任何关系，并且司机也是按照导航行驶，如贵公司不能给出正确的解释或者无法维护我的个人权益，我将按照国家法定法规进行起诉滴滴平台维护我的个人权益。</t>
  </si>
  <si>
    <t>2019/10/06 12:03:33</t>
  </si>
  <si>
    <t>9月14日到期，当天下载app无法下载，隔天又尝试仍然不行，导致逾期，逾期费用一天20元，实属暴利，后来网上查了下，才知道该公司法人被警察带走了，估计这个原因苹果app全部下载不了，当下立即联系客服，要求扣掉利息还本金，客服不同意，以至于至今仍然未达成还款协议，现在还款金额已经由770上升到1000多，短短20天，利息已经达到本金百分之50，这不是高利贷套路贷是什么，客服今天又来电，态度十分强硬，硬要我把这1000还掉，并且推卸责任给客户，愿该投诉机构可以好好处理，后期我还会给当地金融办，政府相关部门，公安</t>
  </si>
  <si>
    <t>2019/10/06 12:02:23</t>
  </si>
  <si>
    <t>投诉人张先生投诉对象光大银行信用卡中心涉诉金额132000元问题类型诉求类型投诉详情本人由于做生意失败，导致资金严重断流，之前也打电话给光大银行中心协商过，光大银行拒绝给我最低还款额度，我有还款意向，但是协助银行催收工作人员态度恶劣，对我人身进行威胁，于2019年10月6日给我发恐吓短信，谁想逾期，难道就不能让人给一条活路吗，因此，我要投诉催收人员对我造成恐吓电话是：156******07，。</t>
  </si>
  <si>
    <t>2019/10/06 12:02:07</t>
  </si>
  <si>
    <t>投诉人严子雯投诉对象豆豆钱涉诉金额7500元问题类型诉求类型投诉详情账单共6期，还款第五期，出现4期卡内余额充足扣款失败导致我被逾期。</t>
  </si>
  <si>
    <t>2019/10/06 12:01:05</t>
  </si>
  <si>
    <t>在52租机租了一部手机，因为感觉扣费高了取消了，可是已经过了5天退款期限，仍然没有收到退款。</t>
  </si>
  <si>
    <t>2019/10/06 12:00:32</t>
  </si>
  <si>
    <t>本人根本没有开通国美金融线上渠道但是经常收到短信提醒要求国美道歉并不再下发通知短信。</t>
  </si>
  <si>
    <t>2019/10/06 12:00:08</t>
  </si>
  <si>
    <t>这个月是因为工作上的原因外地出差不能及时处理就发信息过来威胁说要爆通讯录什么，现在要求给一个解释然后商量本金加合法利息销账。</t>
  </si>
  <si>
    <t>2019/10/06 12:00:03</t>
  </si>
  <si>
    <t>本人因17年身患鼻咽癌，家庭无法承担医疗费用，所以网上贷款治病，以贷养贷，目前一直靶向治疗花费较大，于19年4月到8月先后在钱站平台借款2次，每次借款金额2000，到期按时还款，从未逾期，每次借款前钱站平台阴阳合同借款2000，需还4000，本次借款最后到期日为10/8，只剩最后一期还完，本人借款已经还清本金及合法利息，希望协商还款现在遇到困难，身体病症复发，希望在未逾期前和平台协商还款，避免逾期打扰家人，朋友，对自身病情恶化造成生命威胁，恳请钱站工作人员尽快联系解决。</t>
  </si>
  <si>
    <t>2019/10/06 11:59:59</t>
  </si>
  <si>
    <t>10月5号下载了小浦优客填了一下资料，感觉用不上就删除了，6号中午小浦优客无端扣费296元，要求立刻退回款项并解除银行卡绑定。</t>
  </si>
  <si>
    <t>2019.9.7一个人打电话问我是否有借款需要，我表示有，然后那个人加了我微信把这个链接给我叫我填资料，填了就无法撤回，跟他在今借到签了借条，后面陆陆续续有人打电话加微信说可以借款并叫我在小鱼塘里面授权，授权后无法撤回，之前并不知情，就是第一张图片上那几家平台，除了小七钱包其他都是高利贷，导致现在无力还款，还有高额逾期费用，今借到和凭证区米条联盟也是帮凶。</t>
  </si>
  <si>
    <t>2019/10/06 11:58:59</t>
  </si>
  <si>
    <t>捷信消费金融公司存在违规行为，侵害用户权益，给他们沟通，处处刁难，刚开始客服不给上报处理问题，与我发生争执，我誓必要讨回一个公道希望捷信不要寒了用户的心，积极及时的处理问题，后来专员回复反复为难，让我去银行来回跑了三躺，资料给他们上传四遍，问题迟迟得不到解决，每次他们一个电话，都让我折腾半天，现在给我的解释含糊其辞，我根本无法认同，我怀疑是个别员工与我发生不愉快后的个人行为，一直处处刁难我，如果不是，那捷信公司也算大公司了，怎么在客户出现问题后寒了用户的心，这样的服务态度，这样的服务效率，怎么让我再相信捷信</t>
  </si>
  <si>
    <t>2019/10/06 11:58:58</t>
  </si>
  <si>
    <t>自由魔卡六便士，客服联系不到，要求协商还款。</t>
  </si>
  <si>
    <t>2019/10/06 11:57:39</t>
  </si>
  <si>
    <t>无缘无故扣了56块钱，幸好我银行卡里面没有钱了，要不然要给我扣完，客服是借3款借不到退款，都是高炮平台，前期还要钱，谁敢用，我要求退款。</t>
  </si>
  <si>
    <t>2019/10/06 11:56:42</t>
  </si>
  <si>
    <t>因为贷上钱有强制购买游戏金豆的行为，客服不愿沟通，今天逾期第一天，催收打电话给我通讯录好友，严重影响我的正常生活，要求停止！。</t>
  </si>
  <si>
    <t>2019/10/06 11:56:25</t>
  </si>
  <si>
    <t>原本借的4000元分12期前几期都是按时还款400元。</t>
  </si>
  <si>
    <t>2019/10/06 11:56:21</t>
  </si>
  <si>
    <t>按照要求，买了黑卡，然后不予下款，联系不到客服，也退不了款。</t>
  </si>
  <si>
    <t>2019/10/06 11:55:34</t>
  </si>
  <si>
    <t>信用管家,91买呗,众邦银行,浙江齐融金融信息服务有限公司，本人在信用管家91买呗借款2000元，到账1500。</t>
  </si>
  <si>
    <t>2019/10/06 11:54:55</t>
  </si>
  <si>
    <t>暴力威胁恐吓，打电话态度恶劣，短信不断威胁我。</t>
  </si>
  <si>
    <t>2019/10/06 11:53:58</t>
  </si>
  <si>
    <t>2019年9月30日上海银行还款2706.06元，因没有收到还款电话，导致逾期6天，现在以上征信不良记录。</t>
  </si>
  <si>
    <t>2019/10/06 11:53:48</t>
  </si>
  <si>
    <t>说10月可以考试后来因为报名未成功等等缘由告知不能参加考试。</t>
  </si>
  <si>
    <t>投诉过后继续爆我通讯录，通讯录一百个联系人打个遍！让我朋友没法正常上班生活！。</t>
  </si>
  <si>
    <t>2019/10/06 11:53:13</t>
  </si>
  <si>
    <t>从捷信借的65000现金贷，当时打电话的人说我是优质客户给我提了额，说利息会越来越低，我这已经还了13期了，现在全款还还需要59000我都不知道难道我还的都是利息，本金就还了六千多块钱，本人没有恶意拖欠不还，利息太高无力承担，要求给我一个合理的协商办法。</t>
  </si>
  <si>
    <t>2019/10/06 11:53:08</t>
  </si>
  <si>
    <t>暴力催收，人身威胁恐吓，违法利息，严重影响家人、同事生活；阴阳合同违法行为。</t>
  </si>
  <si>
    <t>2019/10/06 11:53:05</t>
  </si>
  <si>
    <t>高利息，打电话骚扰我的朋友，严重影响我的生活，请相关法律部门尽快调查此公司。</t>
  </si>
  <si>
    <t>2019/10/06 11:52:17</t>
  </si>
  <si>
    <t>两个月借款三四次，所谓游戏豆购买花了2700元，变相收费。</t>
  </si>
  <si>
    <t>2019/10/06 11:51:37</t>
  </si>
  <si>
    <t>投诉人段女士投诉对象爱又米涉诉金额20000元问题类型诉求类型投诉详情爱又米平台服务费资金管理费收取不合理，利息超过国家保护的范围。</t>
  </si>
  <si>
    <t>2019/10/06 11:51:36</t>
  </si>
  <si>
    <t>借2000，一星期，先打600条子，然后600重新还回去，条子不销账，又让打1400条子，一星期后展期一天150，因为钱不到位，协商还款，每天还300，一共给过2100，展期费给150.还有平台基础费将近100，借钱本金1400，一共还2350，借贷宝平台纵容放高利贷，希望贵平台为我争取权利，如果不行，我会继续打银监会或本地公安局立案。</t>
  </si>
  <si>
    <t>2019/10/06 11:51:02</t>
  </si>
  <si>
    <t>本人从来没有用过易宝支付，更没有接触过，不是被突然扣款我还不知道易宝支付这个东西。</t>
  </si>
  <si>
    <t>2019/10/06 11:50:58</t>
  </si>
  <si>
    <t>充值198点券到账40不予处理，客服电话没人接听，没有相关人员解决此问题。</t>
  </si>
  <si>
    <t>2019/10/06 11:50:41</t>
  </si>
  <si>
    <t>投诉人 任苗苗女士        投诉对象  智行火车票        涉诉金额  50 元    问题类型    诉求类型投诉详情  花钱开通会员根本买不到票 客服还联系不上</t>
  </si>
  <si>
    <t>2019/10/06 11:49:42</t>
  </si>
  <si>
    <t>9月22日借款，因为家中有人生病，就按他的续借要求，续借，3天300，加起来已经还清我所借的款项，可是在他们那里还是只续借的利息，并且他们平台的划款是以支付宝还款的，还款收钱放一般都是饭店之类的。</t>
  </si>
  <si>
    <t>2019/10/06 11:48:27</t>
  </si>
  <si>
    <t>投诉人 孙先生        投诉对象  百事普惠        涉诉金额  299 元    问题类型    诉求类型投诉详情  恶意扣款299元，申请退还。上海通联支付，造艺科技，百事普惠。如若不退还，银监会投诉。</t>
  </si>
  <si>
    <t>2019/10/06 11:47:12</t>
  </si>
  <si>
    <t>本人没有使用过该公司的任何贷款，今天早上无故盗刷我银行卡226.42元！。</t>
  </si>
  <si>
    <t>2019/10/06 11:46:32</t>
  </si>
  <si>
    <t>，申请过后，实际到账为1950元，砍头息1050元，首期还款时间为7天过后，，砍头息严重，违反相关部门规定，还款日协商解决，威胁按2500销账，不然爆通讯录，迫于对方威胁，已妥协还款，2.万金海，现向社会各界曝光其违法违规行为，可接受一切新闻媒体采访，揭发其违法行为！。</t>
  </si>
  <si>
    <t>2019/10/06 11:46:25</t>
  </si>
  <si>
    <t>交通银行雇佣催收，打电话恐吓，协商不成就恐吓，霸王条款。</t>
  </si>
  <si>
    <t>2019/10/06 11:46:09</t>
  </si>
  <si>
    <t>借款4000元，分三期还款，每期一个月，每期还1810元。</t>
  </si>
  <si>
    <t>2019/10/06 11:45:57</t>
  </si>
  <si>
    <t>套路，退钱，6次收了服务钱，要么给我恢复账号使用。</t>
  </si>
  <si>
    <t>2019/10/06 11:45:49</t>
  </si>
  <si>
    <t>上海湾寓投资管理有限公司,上海湾流国际青年社区，因为工作调剂，我9.10退的房、9.10当天我入住深圳的湾流，用的是自己的现金，9.12我打电话说合同已经处理了，后来看了一下，日期改成了9.16！然后我等了一个星期退款并没有动静，打给客服，客服各种理由推脱！并且态度及其恶劣！我9.30信用卡到期还款…由于湾流未及时退款、现在已经逾期了…请问这个责任谁能负责，并且我终于与他们沟通不下10多次有说明我的情况，可是他们并不在意！而且合同也看不到了现在！。</t>
  </si>
  <si>
    <t>2019/10/06 11:45:31</t>
  </si>
  <si>
    <t>高利贷，砍头息，3000元到账2625元，一个月还款3500多，且不能自动还款和主动还款，造成逾期，逾期费用非常高。</t>
  </si>
  <si>
    <t>2019/10/06 11:44:33</t>
  </si>
  <si>
    <t>你们有钱用平台催收一个老子不认识的联系人，平台都是畜生，说了不认识不认识，是你们催收聋子还是老子说话听不清，你们这些孤儿平台催收以为我真的没有办法投诉你们。</t>
  </si>
  <si>
    <t>2019/10/06 11:44:19</t>
  </si>
  <si>
    <t>1.在火影帮借款1313元，然而仅到账949元，首页广告说是六个月分期，实际还款期限是15天为一期，，以为是分期付款，虚假宣传，诱导用户，每续期15天就要收取高达364元，借款利率已经超过国家符合利率:已续两期364*2=7282.汇潮支付为其提供支付渠道，征信有限公司旗下产品，联系电话0755-2377715，公司地址:广州省深圳市福田区福华三路168号深圳国际商会中心809，4.我已经整理好所有资料，我要求还本金减掉一期364处理，销账，提供结清证明！。</t>
  </si>
  <si>
    <t>2019/10/06 11:44:15</t>
  </si>
  <si>
    <t>骚扰恐吓，回拨电话，电话接通不了，态度恶劣。</t>
  </si>
  <si>
    <t>2019/10/06 11:42:29</t>
  </si>
  <si>
    <t>还有一期还完，还822到了还款日期app登入不进去。</t>
  </si>
  <si>
    <t>2019/10/06 11:42:13</t>
  </si>
  <si>
    <t>投诉人温先生投诉对象钱站涉诉金额12000元问题类型诉求类型投诉详情刚开始看到APP上的借款金额是15840元，还款计划是分9期，首期还款是3800元，其余每期2053.47元，到开始下款的时候显示只有12000元到账12000元，然后合同上却写着15840元，分9期，每期还是需要2053.47元，总共需要还18481.23远远超过合法利率！。</t>
  </si>
  <si>
    <t>投诉人 程功平        投诉对象  马上消费金融        涉诉金额  0 元    问题类型    诉求类型投诉详情  莫名其妙的的接到催收电话。说你朋友在我们马上消费金融贷款逾期了。说我是我朋友的紧急联系人。真不知道怎么说。你们放款的时候怎么不给我打电话。现在钱收不回来了，天天电话打个没完。老子有什么义务帮你们要钱。</t>
  </si>
  <si>
    <t>2019/10/06 11:41:32</t>
  </si>
  <si>
    <t>在贷上钱平台借款2000元一个月后要还款2560元，因为个人原因造成逾期一天，贷上钱在没有联系我本人的情况下擅自打我通讯录里联系人的电话，对我的声誉造成了很大的影响，要求立即停止电话骚扰，有什么问题联系我本人，还有这个借款利率远超国家法定利率，我只还法律规定的利率产生的利息。</t>
  </si>
  <si>
    <t>2019/10/06 11:41:14</t>
  </si>
  <si>
    <t>自9月18号开始处理到现在一直未解决，以各种理由推脱，不退款。</t>
  </si>
  <si>
    <t>2019/10/06 11:40:40</t>
  </si>
  <si>
    <t>9月3日，我在金昌买了一辆二手天籁，和车商确定84000元车价，首付19000元后剩余65000元由认识的中介介绍做的美利车金融，说是认识能优惠到最低利息，第二天美利业务员说做下来了要我去签字，因为下午迟了，我跟业务员说第二天再来签字，业务员执意要我签完字走人，说就几个字签了就完了，也只告诉我月供是2572元，利息7厘多，其他的任何费用都没有跟我解释，也没让我看合同内容，我出于相信就签完字走了，合同也没看！直到9月6日我空闲下来算了一下感觉不对，联系中介说是贷款本金不是65000元，叫美利业务员算了个单子贷</t>
  </si>
  <si>
    <t>2019/10/06 11:40:28</t>
  </si>
  <si>
    <t>本人于今年在月光侠分期借款3000元，而我本人不知道该平台有存在管理费，风险费什么的，到手金额只有2000多一点，而要还3000多，这存在高利贷，欺骗贷款人，我本人已经还了2200多了，现在该平台，不断骚扰其通讯录里面的好友。</t>
  </si>
  <si>
    <t>2019/10/06 11:40:25</t>
  </si>
  <si>
    <t>投诉人董先生投诉对象还呗涉诉金额0元问题类型诉求类型投诉详情您好，我最近又收到了分期还呗发的短信，我不知道是什么情况。</t>
  </si>
  <si>
    <t>2019/10/06 11:40:12</t>
  </si>
  <si>
    <t>关于9月3日淘宝网以“未经备案发布书籍音像类目的商品”，不实事求是处理问题只是以宝贝条形码不匹配，说审核部门核实到的商品编号是境外图书，就判定为境外图书。封面有出版社名称外语教学与研究出版社封底有外研社少儿出版中心电话：010-88819761，出版社工作人员说书后面的商品编号是出版社为了方便经销商入库自编的商品编号，在经过近一个月与淘宝小二夏浮世、衢梅里、衢羽熙、衢合乐的沟通，并多次跟小二声明，处罚的违规宝贝是国内外语教学与研究出版社出版的，从淘宝天猫布克图书专营店、悦悦图书专营店、弗拉图书专营店、山东书</t>
  </si>
  <si>
    <t>2019/10/06 11:39:18</t>
  </si>
  <si>
    <t>投诉人 苏女士        投诉对象  抱金猪        涉诉金额  2 100 元    问题类型    诉求类型投诉详情  抱金猪高利息，app都打不开，请停止催收</t>
  </si>
  <si>
    <t>2019/10/06 11:39:10</t>
  </si>
  <si>
    <t>本人在马上金融职享花平台有7000元的循环授信额度，在使用中发现其除收取正常的利息外，还巧立明目，收取保险费，灵活还款费，借款费等各种费用，企图逃避国家监管，但其综合费用早已超过国家规定，以2019年四月账单为例，借款本金为6970，收取利息185，保险费72，灵活使用费20，借款费35，费用相加为313，算下来月利为4.5％，年化利率达到54%，已远超国家规定。</t>
  </si>
  <si>
    <t>2019/10/06 11:37:14</t>
  </si>
  <si>
    <t>交通银行催收态度恶劣，严重影响日常生活工作。</t>
  </si>
  <si>
    <t>2019/10/06 11:37:04</t>
  </si>
  <si>
    <t>8月9号，因资金周转，刚好推送这个平台给我手机推送的贷款信息，上面推荐一家名为月光侠分期的贷款平台，因是小额短期周转，我就按上面的资料填写要求完成整个借款流程，当时APP上借款页面只能看到借款金额是2793，分三个月还，但是每期还多少，利息多少都没有显示，直到借款到账后，我吓了一跳，我的账号只收到2100元，于是我又点击APP里面，这时，上面显示的每个月分期还款额是963.81，总额2894.28，而实际到账才2100，我当时就感觉*了，直接砍头息693元.我的诉求很简单，本金还给你们，这种砍头息，吓死人了</t>
  </si>
  <si>
    <t>2019/10/06 11:36:10</t>
  </si>
  <si>
    <t>注册手机已停机，希望平台协商处理延期，联系本人180******86。</t>
  </si>
  <si>
    <t>2019/10/06 11:34:20</t>
  </si>
  <si>
    <t>该公司在9月15日1点48分突然无故扣费我银行卡里的金额299元，并且是在本人并不知情的情况下，利用急用钱包app盗取本人信息，以及银行卡免密支付的盗刷金额，造成本人经济损失，希望贵公司马上处理并退还资金，页面只显示可以进行贷款引导我绑定银行卡后自动扣除299元，我联系客服后，客服要求我身份证复印件，手持身份证照片复印件，和个种要求邮寄给他们公司，还不一定退款，我的个人信用报告只有央行中国人民银行有权利查询，造艺科技出具的信用报告，我是否可以理解为严重的个人信息侵犯。</t>
  </si>
  <si>
    <t>2019/10/06 11:33:45</t>
  </si>
  <si>
    <t>被爆通讯录，现在家人，都一样无法生活，忘有关部门测查。</t>
  </si>
  <si>
    <t>马上金融消费安逸花先暂时无法还款，向他们公司人员申请减免罚息，他们不同意。</t>
  </si>
  <si>
    <t>2019/10/06 11:33:44</t>
  </si>
  <si>
    <t>招联金融首次逾期10天左右每天有2到4个以招联金融名义的打电话给我，要求还款，每次打的电话不一样，人员不一样，还款方式也出现不一样，后来招联金融一直进行催款而对泄露客户信息的事只字不提……，一直到昨天，招联客服开始联系未曾提供的联系人，擅自使用客户通讯录。</t>
  </si>
  <si>
    <t>2019/10/06 11:33:32</t>
  </si>
  <si>
    <t>钱站利息过于高，而且不同意协商，我也一直在等电话，但是它不但没有给我打电话，反而给我男朋友以及男朋友的亲朋好友进行电话骚扰以及恐吓！对于这种行为我无法进行还款，希望作出合理解释！。</t>
  </si>
  <si>
    <t>2019/10/06 11:32:59</t>
  </si>
  <si>
    <t>本人因为资金周转问题，导致这个月国美易卡贷款逾期，之后接到国美易卡催收电话，跟对方说明自己最近的情况下，表示等资金周转过来马上就还掉，但是之后每天都还有催收不断打电话过来，并且口口声声说限我在几点几点之前处理掉，否则就取消分期资格，并且还会采用其他方式进行催收，期间，国美易卡并未听取我的诉求，不断给我和我家里人打电话进行催收，已经严重影响到我的正常工作和生活。</t>
  </si>
  <si>
    <t>2019/10/06 11:32:13</t>
  </si>
  <si>
    <t>在360借款不通过，推荐了爱白条，借3000分3期要还48000多，联系不到客服电话，任何联系方式没有。</t>
  </si>
  <si>
    <t>2019/10/06 11:31:28</t>
  </si>
  <si>
    <t>拨打投诉建议电话与白领客服未作出合理解释，只告诉我按照APP结清显示，为什么我只用了一个月提前结清需要多给8000多，比正常还款只少了2000多，我觉得结清金额不合理。</t>
  </si>
  <si>
    <t>2019/10/06 11:31:25</t>
  </si>
  <si>
    <t>投诉人 魏女士        投诉对象  微粒贷        涉诉金额  10 000 元    问题类型    诉求类型投诉详情  因怀孕暂时无法还款。发短信威胁。不过年底都会还的。</t>
  </si>
  <si>
    <t>2019/10/06 11:31:06</t>
  </si>
  <si>
    <t>投诉人 周女士        投诉对象  掌众金服,闪电借款        涉诉金额  3 300 元    问题类型    诉求类型投诉详情  没别的 就想有人跟我协商还款问题 微信客服解决不了问题 电话也打不通 我首先说明我要还款 逾期第一天我就一直跟催收说明了原因 她态度恶劣还说要爆通讯录 爆了通讯录我还有还款的必要吗 现在只想有个态度好的客服过来跟我协商 我承诺会还款 快来人联系我</t>
  </si>
  <si>
    <t>2019/10/06 11:30:15</t>
  </si>
  <si>
    <t>中途因本人出现意外临时住院，导致当期逾期几天，事后也是及时把欠款补进去并打电话给客服，客服是说会联系我，也一直没有联系，打了很多次说是让我重新协商处理，当时每一次打电话给浦发客服，说是过几天给我回复过几天回复，一直拖到现在都没有处理，我也是继续按之前还款协商金额把每期账单都还入，直到10月6号浦发银行委托第三方进行催收，希望通过此平台能和浦发达到协商一致的协议。</t>
  </si>
  <si>
    <t>2019/10/06 11:29:10</t>
  </si>
  <si>
    <t>被诱导到彩票网站充值了200，之后才发现是赌博网站，银联云闪付为违规赌博网站提供收付，误导用户充值。</t>
  </si>
  <si>
    <t>2019/10/06 11:28:06</t>
  </si>
  <si>
    <t>多次电话威胁要上门核实情况，且我的欠款已经还了当前款项，他们要求必须全款要不就上门催收。</t>
  </si>
  <si>
    <t>2019/10/06 11:27:48</t>
  </si>
  <si>
    <t>本人通过立借平台申请钱置宝借款2800元,9月4号通过畅捷支付到帐成功.每期八天,分四期还,前三期每期还款1001.46元,第四期还款1001.46元.利息已经严重超出国家规定的标准,本人已经还款3期,共计3004.38元,已经超出本金200多元.现在要求减免第四期还款,销帐.。</t>
  </si>
  <si>
    <t>2019/10/06 11:27:21</t>
  </si>
  <si>
    <t>未经本人同意盗刷299元，说是评估费用，而且评估费用没有写在表面上，我感觉这属于故意隐瞒，欺诈消费者，299元的评估费用，结果还让他们盗刷，骗子，没有人管的了他们吗。</t>
  </si>
  <si>
    <t>2019/10/06 11:27:01</t>
  </si>
  <si>
    <t>9月30日，当我30号打电话又说过了当天才能，我10月2日打电话说是工作人员上班，要3到4号，5号打电话又说7号，说实话我真的不想为了1000块耽误了房贷进度，而且我又不是逾期还是提前还款，你这种状态的话我真的很难再相信这个平台了。</t>
  </si>
  <si>
    <t>2019/10/06 11:26:45</t>
  </si>
  <si>
    <t>360借条委托代理方，不明情况，暴力催收，我刚办的号码，跟他解释不听，还侮辱我，发短信恐吓我，都有录音和凭证，现在要求360借条彻查催收员该行为，给出赔偿，给一个说法。</t>
  </si>
  <si>
    <t>2019/10/06 11:24:39</t>
  </si>
  <si>
    <t>九月底投诉之后，客服来电让我撤回投诉，保证不再骚扰，三天之后国庆期间从早到晚电话不断，对方女性态度恶劣，说话下流低级，完全不担心投诉处理。</t>
  </si>
  <si>
    <t>2019/10/06 11:24:09</t>
  </si>
  <si>
    <t>10月6号今天上午交通就一直打电话给我，还威胁到我的朋友及家人。</t>
  </si>
  <si>
    <t>2019/10/06 11:24:06</t>
  </si>
  <si>
    <t>绑定银行卡只需要知道身份证号和银行卡号就可以，同时支付行为也没有任何消息通知，直接无卡支付，金额也不受限制，导致我的银行卡被盗刷2笔，共损失人民币2025元，我的身份证信息以及银行卡号信息被非法泄露，一张工商银行的储蓄卡被其他人绑定到云闪付上，不需要我本人进行任何操作，我打了云闪付投诉电话之后只告诉我把卡挂失，没有任何操作可以解除我的银行卡绑定，也就是说我不挂失的话犯罪嫌疑人还可以继续刷我的卡，并且不需要任何验证码以及密码，2019年10月4日我第一笔资金被盗刷后联系了工商银行客服人员，他们说只要我验证码不</t>
  </si>
  <si>
    <t>2019/10/06 11:23:36</t>
  </si>
  <si>
    <t>捷信金融公司已经严重骚扰到我的个人生活了，我已经解释无数遍不认识她讲的那个人，还系经常打电话来，家里的小孩睡眠时间也被打乱，请尽快处理。</t>
  </si>
  <si>
    <t>2019/10/06 11:23:26</t>
  </si>
  <si>
    <t>我三月份陆续在钱站借款，实际到账共计9万元，但是还款要还15万多，近6万的利息，我现在已经还了共计8万，现在要求调整利率，这种高利贷希望有关部门严查！。</t>
  </si>
  <si>
    <t>2019/10/06 11:22:31</t>
  </si>
  <si>
    <t>本人通过信用管家平台的钱咖分期借2500时间一个月分4期，现已还头二期，还款金额为2035，还剩下二期共1285元，这利息明显为高利贷，。</t>
  </si>
  <si>
    <t>2019/10/06 11:22:24</t>
  </si>
  <si>
    <t>在智行上买了从济南到泰安的汽车票，因行程有变需要取消，但是智行app上根本就没有退票选项。</t>
  </si>
  <si>
    <t>2019/10/06 11:21:57</t>
  </si>
  <si>
    <t>一年前在信而富平台申请2100元贷款，后因经营不善逾期未还，两个月前申请减免还款，信而富平台只能减免滞纳金，利息不到两年收取800多元，个人认为属于高利贷。</t>
  </si>
  <si>
    <t>2019/10/06 11:21:34</t>
  </si>
  <si>
    <t>先花一亿元出了个有信魔盒收取我测评费用540元由于费用非常不合理借款期限也不合理明明就是套路贷想找客服处理退还无耐久久不能联系上，打客服电话也是空号所以只能依靠投诉解决！。</t>
  </si>
  <si>
    <t>2019/10/06 11:21:31</t>
  </si>
  <si>
    <t>我从2016年开始在拍拍贷开始借款，分期借款金额达到几万，其利益超过国家规定最高36%的红线，要求其退还部分不合理费用，另外拍拍贷于2017年推出曹操贷，贷款周期7天，借款额度为1550，每次借款都有2.1%的砍头息，年化利息高达120%，严重高利贷，先要求退还不合理费用。</t>
  </si>
  <si>
    <t>2019/10/06 11:21:16</t>
  </si>
  <si>
    <t>投诉人李女士投诉对象钱站涉诉金额70000元问题类型诉求类型投诉详情本人借款70000，到账70000，合同76000-现在已经还款85000多，提前结清还要30000多。</t>
  </si>
  <si>
    <t>2019/10/06 11:20:53</t>
  </si>
  <si>
    <t>投诉人 王女士        投诉对象  马上消费金融        涉诉金额  11 000 元    问题类型    诉求类型投诉详情  一天几十个电话的打 已经告诉对方现在困难要晚1月还 还是不停的打</t>
  </si>
  <si>
    <t>2019/10/06 11:20:47</t>
  </si>
  <si>
    <t>本人在闪电借款借了6600元期限为50天借款利息为330元，但是闪电借款在放款时以购买有效期为30天的财神黑卡收取了我1200元，图二很明显借款是购买财神黑卡是默认勾选的没有显示需要支付1200元钱这完全就是诈骗，财神黑卡没有任何实质性的用途，这样就相当本人借了6600元使用50天后要偿还8130元，所以闪电借款这就是套路贷，国家现在明文规定网贷平台不能以贷款名义捆绑销售任何附属产品，而且后期本人主动联系到客服，本人诉求请闪电借款退还收取的1200元的财神黑卡的费用！劳烦聚投诉的工作人员帮忙跟进此投诉。</t>
  </si>
  <si>
    <t>2019/10/06 11:20:42</t>
  </si>
  <si>
    <t>由于周转在国美易卡借钱16000元，可是天不如人愿却被骗了！被骗了30多w，现在真的一下子还不起了！想过跳楼，想过一死了之！但是又想想死都不怕了，还怕活着吗，只能咬牙坚持，我给国美易卡打电话来的人说了一下子还不起，我手机一直接听电话，晚上开着机！没有一个电话不接的，不敢消失！他们还威胁我给我通讯录里的所有人群发短信打电话！这下子所有人都知道我欠了很多钱，都不会借钱给我，也不会帮我，只能把我往死路上逼！可是他们没有想过，我只要坚持下去活着定会还欠的钱，可是把我逼死了他们能得到什么。</t>
  </si>
  <si>
    <t>2019/10/06 11:20:33</t>
  </si>
  <si>
    <t>中信银行信用卡中心涉黑涉恶，侵犯公民隐私权，通话权，违反了《宪法》第40条，《民法总则》第111条！我老公中信银行信用卡逾期，但是一直都在还，有还款记录，今天中信银行信用卡中心人员给我打电话，我因为工作没接，擅自给我上级单位打电话，要到了我直属领导的电话，然后又给我领导打电话，找我，让我找我老公还钱！态度恶劣，诋毁我个人名誉！我都有录音！。</t>
  </si>
  <si>
    <t>2019/10/06 11:20:26</t>
  </si>
  <si>
    <t>连自己客服都承认不买什么服务费是借不到款的，还有你们借款协议上面写着可以宽限一天不算逾期，现在靠着自己是大公司上了征信，用征信来威胁人家。</t>
  </si>
  <si>
    <t>2019/10/06 11:20:25</t>
  </si>
  <si>
    <t>大早上给我电话说我缺钱，说话很快，都没听懂，然后又添加我微信，让其出示营业执照证明遭对方态度恶劣回复，又马上把我删除。</t>
  </si>
  <si>
    <t>2019/10/06 11:19:48</t>
  </si>
  <si>
    <t>暴力催收，恐吓，威胁借款人，发借律师函，高利贷！。</t>
  </si>
  <si>
    <t>2019/10/06 11:19:14</t>
  </si>
  <si>
    <t>投诉人程先生投诉对象新意花,信用管家,广州万合信息科技公司涉诉金额3000元问题类型诉求类型投诉详情本人通过信用管家下载新意花小木钱包，借款2800元，分四期还，一个月要还4100元，实属高利贷，已经还三期，最后一期还款日无法还款，客服也联系不上，希望平台尽快联系本人，协商还款事宜……客服联系方式：4008336200。</t>
  </si>
  <si>
    <t>2019/10/06 11:18:39</t>
  </si>
  <si>
    <t>投诉人 季女士        投诉对象  中邮消费金融        涉诉金额  3 800 元    问题类型    诉求类型投诉详情  打电话过来 我态度诚恳 说明情况 对方恐吓 挂电话</t>
  </si>
  <si>
    <t>2019/10/06 11:18:21</t>
  </si>
  <si>
    <t>投诉人刘先生投诉对象钱站涉诉金额7480元问题类型诉求类型投诉详情本人于2019年7月15日通过爱钱进，信息科技有点公司旗下APP“钱站”申请了一笔4000元的贷款，分三期还款，该借款4000元于7月16日由爱钱进公司划入本人尾号为7674的工商银行卡中，整个申请的前期过程，本人完全没有看过该公司给我的合同，app上也找不到，等到该笔借款下来时，才看到我每个月需要还2543.79元，而合同更是非法更改了我的借款金额，显示我借款为7480元，而我实际到账才4000元，利息高达3480元，远超国家规定的24%的</t>
  </si>
  <si>
    <t>2019/10/06 11:18:17</t>
  </si>
  <si>
    <t>28号下了个单，因为个人原因取消了，说要等1-5天退款，我也没催，现在都八天了，打客服电话永远是没人接就是关机，在线客服一直没人，麻烦尽快安排退款，谢谢。</t>
  </si>
  <si>
    <t>2019/10/06 11:18:03</t>
  </si>
  <si>
    <t>我来数科本身利息就很贵，五千基本要一千多的利息，我逾期两天收我两百块逾期费，一天一百。</t>
  </si>
  <si>
    <t>2019/10/06 11:18:01</t>
  </si>
  <si>
    <t>小浦优客APP下载注册邦卡成功中途也未提示296元费用，在本人不知情下私自扣款，应是斯诈行为，要求小浦优象全额退转。</t>
  </si>
  <si>
    <t>2019/10/06 11:17:30</t>
  </si>
  <si>
    <t>超利贷，威胁辱骂，已经还够该还的金额，工作人员依旧辱骂，威胁，要到银监会，银联，等相关部门投诉到底。</t>
  </si>
  <si>
    <t>2019/10/06 11:17:15</t>
  </si>
  <si>
    <t>投诉人 彭先生        投诉对象  即有分期        涉诉金额  3 200 元    问题类型    诉求类型投诉详情  逾期几个月 然后今天直接来个催收打电话 接了就骂人 还连带父母</t>
  </si>
  <si>
    <t>2019/10/06 11:17:05</t>
  </si>
  <si>
    <t>订单创建时间2019年10月5日20:49:47订单付款时间2019年10月5日20:49:58订单显示配送时间为2019年10月5日20:49至2019年10月5日21:49截止2019年10月6日。</t>
  </si>
  <si>
    <t>2019/10/06 11:16:25</t>
  </si>
  <si>
    <t>投诉人 周女士        投诉对象  帮帮信        涉诉金额  150 元    问题类型    诉求类型投诉详情  认证后显示不完整，而且他人反复让我验证</t>
  </si>
  <si>
    <t>2019/10/06 11:16:04</t>
  </si>
  <si>
    <t>拼多多乱退款，我们没有任何质量问题，就给买家做仅退款处理，我们没有收到任何退货。</t>
  </si>
  <si>
    <t>2019/10/06 11:14:41</t>
  </si>
  <si>
    <t>投诉人 罗先生        投诉对象  广东移动,广州移动        涉诉金额  3 000 元    问题类型    诉求类型投诉详情  为高利贷催收提供电话号码。而且可能是诈骗电话</t>
  </si>
  <si>
    <t>2019/10/06 11:14:39</t>
  </si>
  <si>
    <t>1.借款1000元，每月还款要六百多，高利贷2.借款1000元，合同里面的借款本金金额却是1330元，阴阳合同。</t>
  </si>
  <si>
    <t>2019/10/06 11:14:09</t>
  </si>
  <si>
    <t>在该平台以高利率以及高额的违约费用借款15000，现在协商还款期限，对方不予协商并且每天更换不同号码电话骚扰亲朋好友，并且威胁说“对我很客气了”，我倒想如果不客气会怎样呢，难道是黑社会吗，本有还款计划的，现在更担心这钱会不会还不完了，请对方给我个说法……。</t>
  </si>
  <si>
    <t>2019/10/06 11:13:41</t>
  </si>
  <si>
    <t>还没见到一分钱，希望有关部门可以制裁这群骗子！。</t>
  </si>
  <si>
    <t>2019/10/06 11:13:33</t>
  </si>
  <si>
    <t>上海拍拍贷，暴力催收，骚扰家人，短信恐吓给，爆通讯录导致我现在无法正常的工作与生活。</t>
  </si>
  <si>
    <t>2019/10/06 11:13:21</t>
  </si>
  <si>
    <t>我和建设银行协商了两个月，说明了我的情况要求分期还款，银行不通人情，还一味的把人望绝路上逼，我说每月都会还两千，特殊情况可能只还一千多，但我进最大的努力去还的没有说逃避，银行为什么就一定要这样逼人，希望有关部门调解一下。</t>
  </si>
  <si>
    <t>2019/10/06 11:13:10</t>
  </si>
  <si>
    <t>微众银行催收人员我已经说明我现在目前经济情况，需要银行那边处理完，这边我全额处理，但是他们像条疯狗一样，每天电话骚扰，短信恐吓，目前我每天都活在恐惧之中，上班不专心，晚上睡不着。</t>
  </si>
  <si>
    <t>2019/10/06 11:12:25</t>
  </si>
  <si>
    <t>别把我们这些被你们坑了不知道多少血汗钱的人的信息。</t>
  </si>
  <si>
    <t>2019/10/06 11:12:13</t>
  </si>
  <si>
    <t>涉诉金额1200元问题类型诉求类型投诉详情一共欠他658元已经还了1246元了不高利贷还要可怕整整翻了一赔。</t>
  </si>
  <si>
    <t>2019/10/06 11:12:08</t>
  </si>
  <si>
    <t>华峰贷高利贷，砍头息，借款2000元，扣掉700元平台费，实际到账1300元，7天期限要还款2013元，明显高利贷，砍头息。</t>
  </si>
  <si>
    <t>2019/10/06 11:11:29</t>
  </si>
  <si>
    <t>蜜瓜钱包高利贷，借款2200，到账1430，借款6天，实际是3号借款，8号就要还，只有五天，利息高达50%，另汇潮支付为其提供付款通道，现本人愿提前还款，+合理利息销账，希望蜜瓜钱包方主动联系协商。</t>
  </si>
  <si>
    <t>2019/10/06 11:09:16</t>
  </si>
  <si>
    <t>投诉人张先生投诉对象钱站涉诉金额32640元问题类型诉求类型投诉详情钱站网阴阳合同我2019.9.7日就借了24000元合同上却是本金32640元而且还有各种服务费如图，这个明显的阴阳合同，而且高额利息不算还有首期服务费2040元等费用也是按照32640的算的。</t>
  </si>
  <si>
    <t>2019/10/06 11:08:23</t>
  </si>
  <si>
    <t>2019/10/06 11:07:41</t>
  </si>
  <si>
    <t>10月5日还款日，9月份就电话轰炸催收，10月5日还进去，APP显示还款处理中，6号直接多扣了我100元的什么催收服务费。</t>
  </si>
  <si>
    <t>2019/10/06 11:07:26</t>
  </si>
  <si>
    <t>因为本人在拍拍贷前期进行过借款，现在因为一些缘故，无法进行如期还款，前期与商家协商还款，商家不予理睬在贵平台产生了几笔逾期欠款，希望能理解我的难处现在与商家进行协商还款，资金到位后第一时间联系商家还款并且一次性结清请停止违法的骚扰行为，并且停止骚扰通讯录的行为本人有还款意愿，只是现在资金不充足，钱到手以后会第一时间联系商家进行还款，谢谢。</t>
  </si>
  <si>
    <t>2019/10/06 11:06:40</t>
  </si>
  <si>
    <t>浦发催收人员多次对本人进行暴力催收，9月初经客服电话投诉后稍有改善，但国庆期间，浦发催收机构通过02131160379电话持续暴力催收，威胁恐吓报案、限制人身自由等，本人已多次明确告知有正常工作，在收入范围内会逐步安排归还欠款，且本人所在单位国庆期间正常上班，但其仍旧反复拨打电话对本人正常工作进行干扰，浦发银行是不是认为影响我正常工作就有助于我还款了，10月6日上午10点42分本人正在单位开会，02131160379连续拨打本人电话，已经影响了本人的正常工作，本人目前已致残疾四级，但仍旧努力坚持工作以便妥善</t>
  </si>
  <si>
    <t>2019/10/06 11:04:48</t>
  </si>
  <si>
    <t>10月5号19：30分左右我在武昌火车站东广场接到滴滴系统指派订单，叫我去武汉音乐学院接一位乘客到街道口银泰百货，导航显示3.6公里左右去接人，让人感到诧异的事，武昌火车站东广场有很多拿着行李叫车等候的乘客系统却没有就近指派订单，当时我很气愤就取消了订单心里想，超过3公里接人应该是无责的，所以当时手机app接人的导航公里就没有截图，不过也不要紧可以在任意地图上输入司机起点和乘客上车点来判定是否接人超过3公里！另外本人当时申诉中略有不当词汇，滴滴系统是否有人为恶意报复而导致申诉不通过，还待核查。</t>
  </si>
  <si>
    <t>2019/10/06 11:04:24</t>
  </si>
  <si>
    <t>长沙易夜连锁酒店岳麓山店,芜湖寰亚国旅专营店,飞猪，本人初到长沙，10月3日下午17点13分对该酒店预定，突然发现订错位置，而后由于赶时间，忘记关注该订单，中间6个小时，也没有人联系我。</t>
  </si>
  <si>
    <t>2019/10/06 11:04:06</t>
  </si>
  <si>
    <t>投诉人李女士投诉对象多宝分期涉诉金额6397元问题类型诉求类型投诉详情4000元借款2个月，分4期每15天一期就有599.25利息，一个月就要还3198.5。</t>
  </si>
  <si>
    <t>2019/10/06 11:03:50</t>
  </si>
  <si>
    <t>电话骚扰威胁家人和同事，给我的工作和生活带来不可挽回的损失和伤害，就失去经济来源，高额的利滚利，永无反身之日，希望国家对这些披着合法外衣却干着下三烂违法的勾当给预处罚和打击。</t>
  </si>
  <si>
    <t>2019/10/06 11:03:23</t>
  </si>
  <si>
    <t>投诉人 王叙懿        投诉对象  蘑菇街        涉诉金额  1 000 元    问题类型    诉求类型投诉详情  蘑菇街暴力催收 轰炸通讯录 各种语言威胁 请停止此类行为</t>
  </si>
  <si>
    <t>2019/10/06 11:02:58</t>
  </si>
  <si>
    <t>拍拍贷涉嫌高利贷，无视投诉且没解决问题，现本人早已跟客服说明情况，但拍怕贷没有解决问题，现暴力催收，在放假期间连续威胁恐吓，强烈要求给予打击处理，如拍拍贷公司不解决问题，将报警处理。</t>
  </si>
  <si>
    <t>2019/10/06 11:02:27</t>
  </si>
  <si>
    <t>我在贷上钱借贷2000元要还2500元，有500元是保险费，因为我这段时间实在是没有钱还就逾期贷上钱2000元借款和500元的借贷保险共计2500元，他呢通知我还钱我说清楚了没钱，给我时间，他们后续是直接把我通讯录几百个电话号码都给打电话去通知说我借他们贷上钱不还，把我亲戚朋友，甚至是我工作的同事和客户都给全部电话通知叫他们打电话叫我还钱，贷上钱app直接就是侵犯了我个人隐私。</t>
  </si>
  <si>
    <t>2019/10/06 11:01:09</t>
  </si>
  <si>
    <t>马上金融申请时显示总共要还额度跟申请成功显示要还额度不一样，反映的问题几个月不解决，问题不解决，晚一天没还，电话几分钟一个！。</t>
  </si>
  <si>
    <t>投诉人戴女士投诉对象豆豆钱涉诉金额27000元问题类型诉求类型投诉详情八月份豆豆钱账单金额27000元，我遇到困难，加上住院一个月和催收说真的很困难，催收告诉我只要还本金20400就好，正常他们公司不能减免这么多，因为他舅舅是豆豆钱财务，所以可以给我减免，让我在规定时间把9000先准备好，还有11400延后还款，然后告知我找朋友借，第二天马上可以加贷下款下来，我是欠款还钱是应该，但是我真的遇到困难，特别特别困难，你不能这样欺骗我，9000还进去后就不承人这个减免的事情了，然后加贷半个多月后才下款，我找了十几</t>
  </si>
  <si>
    <t>2019/10/06 11:01:04</t>
  </si>
  <si>
    <t>2019.3.6日申请借款17550元分期12个月，首月还款2132.91元，剩余11月每月还款1711.71元，已还6期，目前已还款10691.46元，系统无法申请提前还请，而且算了一下年利率是34.1%，超出了国家标准，我希望对方同意我提前还清本金，并消除我在人民银行的的征信记录。</t>
  </si>
  <si>
    <t>2019/10/06 11:00:47</t>
  </si>
  <si>
    <t>申请聚富分期借款没通过，转天莫名其妙被扣了299/。</t>
  </si>
  <si>
    <t>2019/10/06 11:00:45</t>
  </si>
  <si>
    <t>投诉人刀先生投诉对象美团金融涉诉金额723元问题类型诉求类型投诉详情我因为家里老人病倒把钱都花光治病了导致我在美团借贷逾期，同时我也跟美团催收这边沟通协商但是他们这边一点机会都不给上来就直接各种恐吓我说给我几天时间都不给，直接就说要取消我分期还说要上门催收我就说了希望他们能给我缓几天他们催收直接说美团是你家老爸开的想什么时候还就什么时候还。</t>
  </si>
  <si>
    <t>2019/10/06 11:00:17</t>
  </si>
  <si>
    <t>上海点融金融信息服务有限责任公司,招商银行，无任何电话，短信解释，扣我两百，经查询，并不是我一个人被出现这样的情况，希望能给予解释。</t>
  </si>
  <si>
    <t>2019/10/06 11:00:13</t>
  </si>
  <si>
    <t>投诉人杨先生投诉对象瓜子二手车涉诉金额61500元问题类型诉求类型投诉详情本人2019.8.15将自己的福克斯卖给了深圳龙岗平湖红星美凯龙的瓜子二手车深圳总部，卖的时候签了45天的保卖协议，哎，被销售忽悠了，说最多两三周就卖出去了，9.26日说有客户买了我的车会尽快过户，直到今天10.6号还没有动静，现在新车的临时牌照也用完了，停在车库里面吃灰，目前离保卖协议过户的日期已过将近十天了，要求瓜子尽快安排过户，腾出指标给我，同时按照合同规定的超期赔偿100元一天，希望瓜子尽快解决，不要影响贵公司在我们大众眼里的</t>
  </si>
  <si>
    <t>2019/10/06 10:59:44</t>
  </si>
  <si>
    <t>根据轻周转芒果筹app提供的支付宝账号转账，转账成功却不消帐，还有人打电话让继续还，还有没有天理了。</t>
  </si>
  <si>
    <t>2019/10/06 10:59:30</t>
  </si>
  <si>
    <t>在营口兰旗机场被工作人员拦下办了一张五彩祥云推出的VIP会员卡，当时穿着制服以为是机场工作人员，并推销说费用是1680元，送1320元抵用券，并说下次购买票就可使用以为是机场活动就办理了一张，可当我再次买票的时候发现卡里的钱一次只能抵消很少的一部分钱，不可以全用，说是抵用券1320元用完才可以用本金1680元，一次只抵扣几十块钱，这样的话我坐几十次飞机也用不完抵用券，打电话让退卡客服说活动卡，不给退，这卡明显欺骗消费者存在诱导消费者,有虚假宣传嫌疑，要求退剩余款项款。</t>
  </si>
  <si>
    <t>2019/10/06 10:59:05</t>
  </si>
  <si>
    <t>投诉人张先生投诉对象今借到,借贷宝涉诉金额0元问题类型诉求类型投诉详情今借到，借贷宝，随意泄露个人信息，每天最少6-7个骚扰电话让借款，要求停止骚扰。</t>
  </si>
  <si>
    <t>2019/10/06 10:58:54</t>
  </si>
  <si>
    <t>我9月份因资金周转在贷上钱借款2笔，一笔2000，一笔2500，总共4500元，下款成功后发现有个购物金额各500元，借款30天要求还款5500元，我又没购物，这是变相的高利贷、一天无数个电话骚扰我的亲戚朋友和父母，希望平台为我们受害者做主，取缔贷上钱。</t>
  </si>
  <si>
    <t>2019/10/06 10:58:52</t>
  </si>
  <si>
    <t>投诉人杨先生投诉对象玖富万卡涉诉金额11000元问题类型诉求类型投诉详情实际借款11000，后面还有合同分期5955，40的所谓费用分期，最后此分期合同变成了借款本金，实际到账只有11000，最后需还款高达19000左右，年利率远超36%规定。</t>
  </si>
  <si>
    <t>2019/10/06 10:57:58</t>
  </si>
  <si>
    <t>18年7月在点融网申请赎回网贷投资，时间过了1年半，仍然有2万余元不能提现。</t>
  </si>
  <si>
    <t>2019/10/06 10:57:14</t>
  </si>
  <si>
    <t>借1000分3期，1个月时间想提前还款要收385.28的利息。</t>
  </si>
  <si>
    <t>2019/10/06 10:56:52</t>
  </si>
  <si>
    <t>本人在贷上钱上下载现控达人，在现控达人app上借款两笔，一笔是1400元分四期，每期8天还款511.2元，总共还款2044.8元，另一笔借款2800，分4期偿还，目前讯联智付和现控达人有合作支付通道请帮忙联系现控达人与我进行协商还款，贷上钱作为引流平台有责任告知，目前讯联智付和现控达人有合作支付通道，请帮忙联系现控达人与我进行协商还款，10.2进行过一次协商，但协商金额太高，昨天和今天一直和客服联系都没成功，APP反馈也不行恶意让我逾期，产生的逾期费用本人不接受。</t>
  </si>
  <si>
    <t>2019/10/06 10:56:49</t>
  </si>
  <si>
    <t>银行卡早就停用，一直微信还款，现在微信支付宝都不能还款，客户热线如同虚设。</t>
  </si>
  <si>
    <t>2019/10/06 10:56:45</t>
  </si>
  <si>
    <t>借款页面新人担保费没有详细说明，误导我以为继续点击会有借款确认页面，却直接借款成功进入审核，发现后想取消，却没有取消审核按钮，于是找微信公众号客服，是机器人，我发送转人工，人工一直不回复，自动回复说审核无法取消，第二天早8点发现审核成功放款，在第一时间我继续找取消按钮，却没有，自动回复说审核通过放款中野无法取消，我找到客服电话沟通，一直反复说借款页面写清楚，你确认借款了，也无法取消，我搞不懂为什么我借款没到账无法取消，担保费也没有明确说明，当时担保费页面让我认为那个是需要勾选才可以，我就没有点。</t>
  </si>
  <si>
    <t>2019/10/06 10:56:43</t>
  </si>
  <si>
    <t>因利息太高，本人不想借款，一直在放款中，想取消借款，联系客服说无法终止。</t>
  </si>
  <si>
    <t>2019/10/06 10:56:19</t>
  </si>
  <si>
    <t>投诉人詹永胜先生投诉对象及贷涉诉金额900元问题类型诉求类型投诉详情及贷催收每个月换人催收，群发短信，暴打通讯录，拒绝协商，。</t>
  </si>
  <si>
    <t>2019/10/06 10:55:48</t>
  </si>
  <si>
    <t>2019/10/06 10:55:41</t>
  </si>
  <si>
    <t>10月6号上午10点45分被消费联通支付莫名扣款296，希望能追回。</t>
  </si>
  <si>
    <t>2019/10/06 10:55:28</t>
  </si>
  <si>
    <t>本人广发银行信用卡使用两年多以来从未逾期，因今年投资被骗失败，加上从春天老人病重住院一直持续至今，癌症和脑梗让家里花光了积蓄欠下了不少钱，导致七月份开始信用卡逾期，虽然现在还款能力有限，但是仍有强烈的还款意愿，银行委托的第三方催收人员咄咄逼人，索要相关亲人的信息，家人都在乡下照顾老人，担心打扰病重的老人，我们向亲朋好友，孩子向同学求助，共借一万元，希望能给一个人性化的还款方案，可以出具病例或者贫困证明，但是对方说我们没有协商资格，先把借来的钱还上再说，这算是银行给的方案，协商未果，并找到我们当地的催收，银行</t>
  </si>
  <si>
    <t>2019/10/06 10:54:59</t>
  </si>
  <si>
    <t>投诉人石先生投诉对象浙江衢州融捷计算机有限公司涉诉金额10000元问题类型诉求类型投诉详情这一万订单，我举报投诉两年了无果，我希望聚投诉帮我，该公司收了我的钱，我怀疑该公司与游戏方合作，封我账号，联系方式它们也给删了，现在订单没有联系方式。</t>
  </si>
  <si>
    <t>2019/10/06 10:54:54</t>
  </si>
  <si>
    <t>投诉钱站平台上发放高利贷，砍头息本人因为个人原因申请钱站的贷款钱站审核出的额度2500，个人考虑直接借款2500元人民币结果点进去之后就变成了3325元刚开始我以为额度提升了随之确认一下发现每期要还1436.83三期共计4310.49当时想着如果放款4000也能接受、结果只放款2500又没法取消当天并没有放款等到第二天醒来发现到账2500然后借款单却变成了3325我到最后共计要还4310.49足足多了1800的手续费这种机构还能放款，钱站的平台这么垃圾了吗对此我要求1、平台首先要么减除我个人多余的贷款利息2</t>
  </si>
  <si>
    <t>2019/10/06 10:53:47</t>
  </si>
  <si>
    <t>我在京东买的西装然后不想要进行退款然后说退到QQ财付通了但是我并没有收到退款后面联系不能取得帮助QQ财付通客服不受理。</t>
  </si>
  <si>
    <t>2019/10/06 10:53:41</t>
  </si>
  <si>
    <t>我从昨天前就主动尝试还款，一直联系不上客服，166******86是催收给的客服电话，一直是无法接通状态，无法跟客服协商扣款，今天被爆通讯录，一个平台不能主动还款，还给客户造成恶意逾期。</t>
  </si>
  <si>
    <t>2019/10/06 10:53:31</t>
  </si>
  <si>
    <t>投诉人李女士投诉对象DH涉诉金额200元问题类型诉求类型投诉详情意识到不对，想让退还，向微信投诉，被告知没有违规行为，想让退还。</t>
  </si>
  <si>
    <t>2019/10/06 10:53:19</t>
  </si>
  <si>
    <t>本人于2019年4月17日在融360平台里的有钱用借款7000元，共还款一万多元，年化利率远超36，要求退还已还6期超过国家规定的利息费用，并且未结清期数减免费用在国家规定范围以内销账。</t>
  </si>
  <si>
    <t>2019/10/06 10:52:15</t>
  </si>
  <si>
    <t>本人因资金困难，在及贷借款，现因逾期一天，该公司威胁不处理还款就交通讯科爆通讯录。</t>
  </si>
  <si>
    <t>2019/10/06 10:51:51</t>
  </si>
  <si>
    <t>我浦发信用卡一直都还款正常，现在怀孕马上生孩子了导致没有还上，浦发银行给家人打电话说让还款，还有上门催款，我给银行打电话说了情况他们不行说只能分两期，我要是有肯定就还了还能一直逾期了，谁都不想逾期也不是不想还，实在是困难，希望银行能理解。</t>
  </si>
  <si>
    <t>2019/10/06 10:51:22</t>
  </si>
  <si>
    <t>去兴业银行激活信用卡说非得办理一笔6000元分期六个月，不办理分期不给激活，6000元我觉得还能接受，但在我办理时工作人员给我两张表让我签名，等我签完工作人员已把分期办理完毕，我都没看到以为是6000元分期，等回到家一查给我办理的是25000元的现金分期，本来说好的300元手续费一下变1200元手续费了，这样我完全接受不了，找银行打客服电话都说改不了，提前还还要收全额手续费，这完全是蒙蔽客户强制消费，跟去银行存款变成理财如出一辙。</t>
  </si>
  <si>
    <t>2019/10/06 10:51:05</t>
  </si>
  <si>
    <t>与催收协商还款时间未果，言语中暴露威胁，恐吓，危及个人名誉，催收又使用非座机，没电话录音的手机进行回拨。</t>
  </si>
  <si>
    <t>2019/10/06 10:50:36</t>
  </si>
  <si>
    <t>前日从网络上下载小浦优客APP，绑定了银行卡，当时卡内无钱，但昨晚刚转钱到绑定的卡内，今早在本人毫不知情的情况下盗扣296元，小浦优客涉嫌欺诈。</t>
  </si>
  <si>
    <t>2019/10/06 10:50:32</t>
  </si>
  <si>
    <t>如有侵犯我隐私，不排除会追究此平台法律责任。</t>
  </si>
  <si>
    <t>十月六号六点三十分，银行卡无缘无故扣款299，要求做出解释并退款。</t>
  </si>
  <si>
    <t>2019/10/06 10:50:01</t>
  </si>
  <si>
    <t>投诉人韩女士投诉对象德云晟,U钱包涉诉金额10000元问题类型诉求类型投诉详情我于2019年3月6日通过ｕ钱包app向德云晟小额贷款有限公司借款一万元，借款之前ｕ钱包没有告之有额外费用，借款确认后也不提供借款合同，无端多出一笔一千多的所谓保管费，就是变相收取砍头息，加上利息已经超过国家合法利率，要求ｕ钱包退回砍头息，调整利率并提供借款合同。</t>
  </si>
  <si>
    <t>2019/10/06 10:49:47</t>
  </si>
  <si>
    <t>本人前段时间有跟信用卡中心商量还款日期！我失约了！刚电话打过来让我12点前处理掉！不然打居委会或者其他亲戚朋友！我真的有还款意向真的！能不能给俩天时间！有钱真不想欠！真的要被逼崩溃了！你们要是打到居委会我真的完了！真的不活了！真的求你们给条活路！。</t>
  </si>
  <si>
    <t>2019/10/06 10:48:20</t>
  </si>
  <si>
    <t>今年与建设银行信用卡中心协商分期还款，拿张空白协议给我签，与之前的工作人员答应的金额不符合，强烈要求建设信用卡中心重新给我一张协议，免除利息，违约金等费用！给我公平公正的还款协议。</t>
  </si>
  <si>
    <t>2019/10/06 10:48:15</t>
  </si>
  <si>
    <t>多次和招联沟通称十号可以处理，且客服和催收态度极差，不愿协商，多次声称要对我这样那样，威胁恐吓，电话轰炸，爆通讯录。</t>
  </si>
  <si>
    <t>2019/10/06 10:47:43</t>
  </si>
  <si>
    <t>投诉人 粱先生        投诉对象  广发银行信用卡        涉诉金额  2 000 元    问题类型    诉求类型投诉详情  客服态度恶劣 不给商量解决对策，收高额利息。</t>
  </si>
  <si>
    <t>2019/10/06 10:47:12</t>
  </si>
  <si>
    <t>上海跃吉网络科技在本人不知情的情况下扣取个人银行卡299元。</t>
  </si>
  <si>
    <t>2019/10/06 10:46:55</t>
  </si>
  <si>
    <t>185******57这个是他们客服，嚣张无比，说他们公司后台硬，随便我们怎么投诉都没问题，还宣称那么多投诉都没用，会多你一个。</t>
  </si>
  <si>
    <t>2019/10/06 10:46:49</t>
  </si>
  <si>
    <t>在阳光安心贷借了一笔6000元的借款，一次性收取了1080的手续费，到账只有4920元，然后分9期还款，每月大概还550元左右，还了6期，由第三期开始就已经登不上APP查看记录了，就在银行扣款，但是都会比原定还款期迟4-5天扣款，到现在依然不能登上APP查看，现在一是怀疑他们是恶意导致用户逾期，二是属于高利息，现在并没有恶意逾期意向，只是APP一直登不上，他们也没有自动在银行扣款的权利，现要求安心贷方停止一切骚扰动作，且协商只还本金剩余558元并且销账。</t>
  </si>
  <si>
    <t>2019/10/06 10:46:36</t>
  </si>
  <si>
    <t>投诉人白女士投诉对象宜人万花涉诉金额100000元问题类型诉求类型投诉详情宜人万花以贷款银行卡信息有误资金冻结来恶意收取20%冻结款，不交不解冻，并且贷款信息已经生成，不同意撤销贷款，恶意收取费用并威胁不交解冻款交就要打紧急联系人的电话，要求马上撤销借款信息，并不允许恶意骚扰联系人。</t>
  </si>
  <si>
    <t>2019/10/06 10:46:18</t>
  </si>
  <si>
    <t>额度3000到账才2100，手续费高的可怕，这就是所谓的砍头息。</t>
  </si>
  <si>
    <t>2019/10/06 10:46:12</t>
  </si>
  <si>
    <t>威胁本人，爆通讯录，并对本人进行辱骂，合同砍头息。</t>
  </si>
  <si>
    <t>2019/10/06 10:46:04</t>
  </si>
  <si>
    <t>2019年10月2日我在京东依文官方旗舰店买了两件衬衫，一白一蓝，今天到货后发现只给我发了一件蓝色的，白色的衬衫并为收到，咨询依文客服，一直是未读，并未回复我，投诉到京东Plus会员客服，也只是帮我递交了纠纷订单，之后并没有任何人回复我解决这个事情，我现在觉得，京东的依文官方旗舰店非常不负责任，这么大的店，竟然没有客服来回复我，打全国客服电话竟然也没有人接听，之前我查询发货单号的时候还会回复我，一遇到问题就各种逃避吗。</t>
  </si>
  <si>
    <t>2019/10/06 10:45:40</t>
  </si>
  <si>
    <t>想在京东买个商品，可是有599减150的劵不让我领。</t>
  </si>
  <si>
    <t>2019/10/06 10:45:24</t>
  </si>
  <si>
    <t>2019/10/06 10:45:03</t>
  </si>
  <si>
    <t>这大半年经常隔三差五打电话推销，10.6今天我让他不要打电话了客服还说等会再给我打电话换老师给我打电话，我说我去投诉他们他还说让我去投诉，希望有关部门解决这个问题，一旦手机号泄露就天天打电话，有时候上晚班白天睡觉都被电话吵醒，今天换了三个号码给我打电话，真是烦啊。</t>
  </si>
  <si>
    <t>2019/10/06 10:44:57</t>
  </si>
  <si>
    <t>客服也承认鞋子质量问题，有质量问题为什么鉴定通过卖给我，要求退货退款并让我已同等价格重新购买，同时对耽误我这么久的时间做出补偿。</t>
  </si>
  <si>
    <t>2019/10/06 10:43:12</t>
  </si>
  <si>
    <t>在卧龙钱包9月26号申请的借款到账1430六天时间还款2207，现在第二期借款本人由于家里发生变故没有能力偿还希望跟平台协商还款。</t>
  </si>
  <si>
    <t>2019/10/06 10:41:15</t>
  </si>
  <si>
    <t>一天天打来问我怎么还不处理，我说现在没有资金，需要多久多久，对方那你尽快处理，结果每天换人换号码打来你怎么还不处理，你不处理要干嘛干嘛的来恐吓，态度恶劣，一天都不知道多少个，严重影响生活。</t>
  </si>
  <si>
    <t>2019/10/06 10:40:56</t>
  </si>
  <si>
    <t>通过广告下载了有缘网的app然后会出现一堆对方的信息，怀疑为有缘网故意行为，然后经过诱导开通了一个零元的体验vip但是一点用处都没有，怀疑就是在没有告知的情况下，这个操作导致的免密支付宝，，，然后发现无法回复，跟他们说的vip不一样，就弹出了一堆什么回复要钱的东西，我想关掉但不小心点到了其中一个图片，但是并没有出现什么确认之类的，支付宝就被扣了168元，并且之后那些信息就没有了，这个存在严重的欺诈行为！！希望要求有缘网进行退款！！。</t>
  </si>
  <si>
    <t>2019/10/06 10:40:54</t>
  </si>
  <si>
    <t>我于2019年3月6日通过ｕ钱包app向德云晟小额贷款有限公司借款一万元，借款之前ｕ钱包没有告之有额外费用，借款确认后也不提供借款合同，无端多出一笔一千多的所谓保管费，就是变相收取砍头息，加上利息已经超过国家合法利率，并且联系不到客服，要求ｕ钱包退回砍头息，调整利率并提供借款合同。</t>
  </si>
  <si>
    <t>2019/10/06 10:40:40</t>
  </si>
  <si>
    <t>自由摩卡信用计划，30天利息加砍头息共400，严重超过国家规定范围，不协商还款，继续投诉报警。</t>
  </si>
  <si>
    <t>2019/10/06 10:40:34</t>
  </si>
  <si>
    <t>严重影响我的生活，给我的工作带来了很多困扰。</t>
  </si>
  <si>
    <t>2019/10/06 10:40:33</t>
  </si>
  <si>
    <t>本人在时光分期一笔借款，8000，分12月还款，导致逾期，和客服沟通多次无效，催收人员，就开始威胁，爆通讯录，群发贷款短信，称可以报警法院起诉他们，无视国家法律，行为涉黑。</t>
  </si>
  <si>
    <t>2019/10/06 10:40:27</t>
  </si>
  <si>
    <t>和信贷款在2018年5月用车辆登记证抵押贷款3万元，三个月归还，到期后不能延期，因资金紧张，归还1.2万元，剩余未归还，中间一直沟通，承诺十月份归还，在协商日期之前，和信委托第三方电话骚扰，每天成百上千个电话骚扰家人和同事，完成工作和生活上不便，拨打客服400电话一直无人接听！要求停止骚扰，和信客服专人沟通解决，不和第三方协商！。</t>
  </si>
  <si>
    <t>2019/10/06 10:40:08</t>
  </si>
  <si>
    <t>微信卡卡贷逾期一次一百利息，还有砍头息，以保险的方式收取399元。</t>
  </si>
  <si>
    <t>2019/10/06 10:39:52</t>
  </si>
  <si>
    <t>185******10催收人员昨晚23点27分已打电话骚扰一次，态度恶劣，出言恐吓，并扬言通知所有朋友，现严重影响，需做出道歉。</t>
  </si>
  <si>
    <t>2019/10/06 10:39:33</t>
  </si>
  <si>
    <t>是上海造艺科技*有限公司，本来想借款的，申请期间在本人不知情的情况下扣款299元，没有明确告知我要收钱，我强烈要求退还钱，这个平台不管是否借款成功，只要一绑定银行卡，没有提示本人是否同意，自动扣款。</t>
  </si>
  <si>
    <t>2019/10/06 10:39:11</t>
  </si>
  <si>
    <t>闪电借款之前借款不需黑卡，之后借款需购买财神黑卡，变相收取高额利息，借还5次后实在无法承受高额利息，2600到账1900，催收恶意催收，私自拨打通讯录通话详单，对亲朋好友进行恐吓辱骂，要求闪电借款停止骚扰恐吓，对财神黑卡费用进行退还或对贷款进行延期，。</t>
  </si>
  <si>
    <t>2019/10/06 10:38:28</t>
  </si>
  <si>
    <t>10月4日是我在点点通app上的还款日，还款金额是1362元，当日因本人有事在外地，不方便还款，昨天准备还款时发现app无法打开登陆，打了400客服电话打不通，大概上午10:20的时候接到人工客服电话，告诉我已经逾期一天，需还款1370多，我说app打不开，我想还也还不了，客服说让我打尾号是1486的电话扣款，我打过去后发现是空号，我一时着急，打了3个电话都打不通，尝试登陆好几次app也无法打开，说今天是逾期的第二天，我的还款金额是1380多元，让我尽快还款，不然会通知紧急联系人及告知老家的人……我解释了半</t>
  </si>
  <si>
    <t>2019/10/06 10:38:21</t>
  </si>
  <si>
    <t>2018年四五，去他们公司，给我说利息不高一分多，说好提前还款减免手续费利息，五万还24期本金加利息89000，一直联系他们工作人员查，一直推，现在又说不行了，必须按合同金额还款，提前还款还是要还89000元，合同金额到账了马上给你，扣走了，就剩五万，要但是还款利息，费用。</t>
  </si>
  <si>
    <t>2019/10/06 10:37:32</t>
  </si>
  <si>
    <t>借款时服务费可以一次性付清也可分期付，我选选择分期付，按照还款计划还款综合年利率超过36%。</t>
  </si>
  <si>
    <t>2019/10/06 10:37:25</t>
  </si>
  <si>
    <t>借款钱无提示有三天的担保收费！另外两项收费项目我在借款时并未勾选，属于欺骗收费，收取砍头息，借款2000，前期三天收费高达488元，后分6期每期还款369元，年化率远超36%。</t>
  </si>
  <si>
    <t>2019/10/06 10:37:23</t>
  </si>
  <si>
    <t>51人品贷，我投诉过很多次，没有一次回复过我，我提早投诉就是为了协商这最后一期还款，催收很牛逼的让我十二点之前必须还上，否则后果自负，还让我去借钱还，这是目前为止我见过的最牛逼的催收了！我会投诉到你们客服主动来联系我，催收是个无良的行业，害了多少的人命，我会在银监会也投诉，催收再牛逼，请你随意。</t>
  </si>
  <si>
    <t>拍拍贷委托第三方催收群发威胁信息，和拍拍贷总部沟通，总部人员电话出言侮辱。</t>
  </si>
  <si>
    <t>2019/10/06 10:36:43</t>
  </si>
  <si>
    <t>高利贷，要命，我已经续期三期，五天一期，每期980偿还利息高于本金，还没到时间就短信电话轰炸，态度强硬。</t>
  </si>
  <si>
    <t>2019/10/06 10:36:27</t>
  </si>
  <si>
    <t>投诉人龙桃先生投诉对象魅族,珠海市魅族科技有限公司涉诉金额3299元问题类型诉求类型投诉详情显示屏损坏不维修，8月在扬州售后维修了不能充电的故障后当天能正常显示几天后就出现显示不正常，联系扬州售后他们不能维修只能递公司维修，但递公司维修时公司认为是人为损坏，手机的屏的玻璃没有损坏，难道魅族手机这么娇贵不能正常使用吗，现在网上投诉手机脱胶的很多，16th存在严重的质量问题，我的手机现在已经不能使用面板脱胶，显示亮线，打电话要免提负责对方听不到我的声音，问题一堆厂家不实行三包维修，电话全部在推诿，说人为原因，如</t>
  </si>
  <si>
    <t>2019/10/06 10:36:25</t>
  </si>
  <si>
    <t>自由魔卡平台里的超级马力贷以及六便士借款，借款2000元，需要买会员卡500元，实际到账1500元，借款期限30天，实际还款时间28天，到期还款2060元，借款28天收取砍头息560元，超过国家法律规定的利息红线，变相的以买会员卡的形式收取砍头息，并且其客服人员态度恶劣，后期客服电话也打不通，希望有关部门能介入调查，本人已经将所有相关转账记录，手机截图等相关证据保留，将以书面形式递交材料，向上一级央行及银保监会、工商管理总局，互联网金融协会等相关部门投诉，必要时将以起诉的形式向法院提起诉讼。</t>
  </si>
  <si>
    <t>2019/10/06 10:35:14</t>
  </si>
  <si>
    <t>投诉人胡先生投诉对象e贷涉诉金额6000元问题类型诉求类型投诉详情我在平安E贷平台贷款4000，审核通过了，到下款阶段了，他们把银行卡预存800扣做流水之后，下款失败，要求在原来800流水的基础上再提高流水1200，不能中途退出，然后说，他们可以帮我承担720，480我自己完成，我加了600流水后，还是下款失败，说他们无法担保要我在加600流水，或者可以退款，但是要四个周之后才会到账，我又加了600，有下款失败，说下款资金冻结，要求要2000激活解冻下款。</t>
  </si>
  <si>
    <t>2019/10/06 10:35:12</t>
  </si>
  <si>
    <t>我老婆开年逾期欠了兴业银行信用卡10600元后来经我与兴业银行协商免除了一些逾期费用最后达成协议一次还清10000元！后兴业银行告知我会有三个月来冲账，但是后来直到现在经常有自称他们的工作人员给我打电话，说我们还有六百元没有还，手机显示骚扰或诈骗号码，但对我们个人信息了解非常清楚，对我进行骚扰恐吓和辱骂，对我的生活和家庭造成了很大的影响！我与他们每次协商全程我都留有录音，如有必要我愿提供录音或起诉兴业银行信用卡中心。</t>
  </si>
  <si>
    <t>2019/10/06 10:34:25</t>
  </si>
  <si>
    <t>他们的贷款利息太高我贷了三千七百块钱让我还五千多块钱他们工作人员说有渠道费我现在还了两千多还让我还两千多还给我的家人发信息让我去派出所去备案我现在的信息全没有了之前我还能看到我还多少剩多少现在没有了他们跟我联系过说处理给我家人发信息的那个号码到现在也没回复不知道咋整的。</t>
  </si>
  <si>
    <t>2019/10/06 10:31:53</t>
  </si>
  <si>
    <t>闪银至尊白条540元逾期账单，但是这笔钱根本没有到我帐上，是虚假的，要求消除这个账单。</t>
  </si>
  <si>
    <t>2019/10/06 10:31:25</t>
  </si>
  <si>
    <t>暴力砍头利，借款到账2000，还款要还2581，借款3000分期3期还款高达4102，简直高利贷，吸血鬼啊，超过国家标准的变相收费，欺骗老百姓，导致我痛苦不堪，本人现在无力偿还这么多钱，要求协商还款，我也不想欠平台钱，和我联系协商因为贷上钱根本利息不合法。</t>
  </si>
  <si>
    <t>2019/10/06 10:31:19</t>
  </si>
  <si>
    <t>本人在该平台9月3号借了2800元，分4期还一个月内必须还完，加利息要还4000多，9月28日还款日子还款失败，导致逾期8天app一直打不开，支付宝还款直接终止交易，银行卡还款收不到验证码，客服电话打不进去，利息现在一天50多块钱，我本金会还要求最后一期利息给我销除，你们这是高炮行为，如果不处理爆通讯录，我就报警，向中国互联网金融举报中心实名举报，并且走司法程序，官方客服电话4008336200，支付宝还款账户Cgsdydgl@163.聪明，收款单位广州市盛林科技有限公司。</t>
  </si>
  <si>
    <t>2019/10/06 10:31:17</t>
  </si>
  <si>
    <t>投诉人王先生投诉对象百度推广,百度涉诉金额596元问题类型诉求类型投诉详情手机丢了，百度看看有什么方法能找回手机！百度推广虚假广告，要求而且留的电话都是假的，拨打是空号，支付之后给的位置是假的，跟我朋友测试的，他说看你给的号码是哪里的，就虚假发的当地定位。</t>
  </si>
  <si>
    <t>2019/10/06 10:30:44</t>
  </si>
  <si>
    <t>并且在周转过来以后在没有催收的情况下主动自愿还款，我接到电话电话后联系了京东金融以及京东金融在线客服，我在没有能力处理账单导致逾期的时候也跟京东金融说明了情况。</t>
  </si>
  <si>
    <t>2019/10/06 10:30:35</t>
  </si>
  <si>
    <t>51给你花我于2019年2月借了11200，每个月还1267.09，一个月我还利息一百多，服务费二百七十多，每个月我就多掏四百块钱，这不属于高利贷吗，今天还给我发恐吓短信说是发送催送函，还给我一遍一遍的打电话，希望能给我解决！。</t>
  </si>
  <si>
    <t>2019/10/06 10:30:11</t>
  </si>
  <si>
    <t>投诉人张爸爸投诉对象光大银行信用卡中心涉诉金额6000元问题类型诉求类型投诉详情催收人员根本不与本人协商，最近在家里休养，经济状况不好，压根就不听任何话语，还一直威胁今天不处理，会联系第三方上门催收，让我告知父母，说实话父母年纪大了还有心脏病高血压，你们这样有必要吗，动不动就威胁家里人，谁心里能受得了，本来现在个人情绪就很压抑，你们催收还有没有人性，。</t>
  </si>
  <si>
    <t>2019/10/06 10:30:05</t>
  </si>
  <si>
    <t>投诉人潘振华投诉对象好分期涉诉金额50元问题类型诉求类型投诉详情2019年10月5号应还381块钱，由于手机没带，今天早上一看要多还50，我就问问从哪来的标准，罚这么高的利息。</t>
  </si>
  <si>
    <t>2019/10/06 10:30:04</t>
  </si>
  <si>
    <t>投诉人王先生投诉对象51人品涉诉金额14000元问题类型诉求类型投诉详情高利贷，我投诉了很多次，一次没有回复过我，后来也就那样一直耗着，后台很硬，这家我要投诉到底，投诉催收到底，催收害了多少生命，这个无良的行业。</t>
  </si>
  <si>
    <t>2019/10/06 10:29:11</t>
  </si>
  <si>
    <t>我并没有买当次的车票，但是高铁管家直接从我的账户里扣钱，还联系不上客服。</t>
  </si>
  <si>
    <t>2019/10/06 10:29:05</t>
  </si>
  <si>
    <t>本人资金周转没办法才借，爱钱进期下月光侠分期贷款，他们平台一如平常阴阳合同，逾期不断发短信打网络改号高频进行恶催也本人也回复短信说明，月光侠开始爆通信录详单，是朋友告诉我的，原本2100额度实借放2100，合同写借3000，三期还1050。</t>
  </si>
  <si>
    <t>2019/10/06 10:28:26</t>
  </si>
  <si>
    <t>投诉人吕先生投诉对象钱站涉诉金额1600元问题类型诉求类型投诉详情在钱站上面借款1000元分3期，每期还款563.35元，实际到账1000元，合同上面确是1600元，阴阳合同，高利贷，逾期3天逾期费用高达663.88元，期间有不停的短信和电话骚扰，甚至多次对我的亲人朋友电话骚扰，严重影响了我的正常生活和工作。</t>
  </si>
  <si>
    <t>垃圾达飞云贷利息高的比高利贷还高，我用15000一年还利息还了17000多还要还，钱，一个月要还1650的利息。</t>
  </si>
  <si>
    <t>2019/10/06 10:27:40</t>
  </si>
  <si>
    <t>9月9日到期，催收人员要我12点还款，态度恶劣，并且有恐吓，无奈下还款，之后催收人员并没在联系我，平台app也登入不上，直到10月5日下午，嗨包催收人员又打我电话，说我逾期20几天，还要我还款5000多，电话00995513016470、0042365003744等未知电话，态度极其恶劣，并要声称要爆通讯录，群发短信，转卖我的个人信息。</t>
  </si>
  <si>
    <t>2019/10/06 10:27:31</t>
  </si>
  <si>
    <t>本来只是看直播，突然蹦出来一个什么礼包，还没看清楚就要指纹解锁，我就直接按返回键，可是手机突然卡机了，我就关机重启，就收到微信支付1598元，找过他们，他们拒绝退款。</t>
  </si>
  <si>
    <t>2019/10/06 10:27:00</t>
  </si>
  <si>
    <t>本人一直都是循环用万达贷，由于资金一时周转不过来，逾期了一天就通过类似剪报纸式的短信催收威胁，利用所以向第三方核实的理由爆通讯录，以往我都是积极还款，逾期费用我都补齐，受不了这种遮遮掩掩的催收，你们万达贷在掩饰什么，而且我有钱还我干嘛要拖欠，总是拿这种威胁的口吻说几点几点之前还，不还就爆通讯录，这跟暴力催收有区别吗。</t>
  </si>
  <si>
    <t>2019/10/06 10:26:58</t>
  </si>
  <si>
    <t>借款12000元，分12期还款，客服说年利率不超过36%，至今我已经还款10期共13594元，今天用贷款计算器一算才知道时光分期利率远不止36%，按年利率36%计算，借款12000元分12期等额本息还款总应还金额为14466.6元，我已还13594元，现要求归还时光分期剩余的872.6元，时光分期给我消账，出具还清证明。</t>
  </si>
  <si>
    <t>2019/10/06 10:26:38</t>
  </si>
  <si>
    <t>2018年12月份通过支付宝收款1586元，当时支付宝弹出消息账号被限制，需要申诉，然后支付宝登陆不上，客服给出3个方案，上传手持身份证和交易单号，提供物流单号，或者签署保证书，但是要永久冻结1586元在支付宝账户，作为收款方，让我找到12月份给我转账的人撤销投诉，我去哪找这个人，支付宝作为第三方平台，永久冻结客户资金，这样真的合适吗。</t>
  </si>
  <si>
    <t>2019/10/06 10:26:36</t>
  </si>
  <si>
    <t>投诉人庞先生投诉对象我来数科涉诉金额7000元问题类型诉求类型投诉详情已经还了三期，目前没有工作，逾期第三天就来电威胁。</t>
  </si>
  <si>
    <t>2019/10/06 10:26:31</t>
  </si>
  <si>
    <t>我在拍拍贷申请了一笔借款，一直按时还款，没有过逾期，但是最近几天由于家庭原因，逾期了4天，2019年10月5日晚上7点30分左右给我打电话进行催收，我和他说我第二天中午之前一定处理好，催收人员根本不听解释，自己说完话就挂断电话，然后我紧忙打回去，提示来电号码为空号，直到晚上10点30分左右就开始暴打我通讯录联系人，我本人也一直接听电话，也从来没有消失过，我也做出承诺第二天一定还款，但是为什么还打我联系人电话进行催收，你们这就是暴力催收，高利贷暴力催收，没有人性，现在导致我颜面扫地，无法正常工作生活，我给客服</t>
  </si>
  <si>
    <t>2019/10/06 10:26:00</t>
  </si>
  <si>
    <t>投诉人田先生投诉对象快闪卡贷涉诉金额9000元问题类型诉求类型投诉详情我于2019年9月3日通过快闪卡贷借款9000元，分6个月共还12300元，实际到账7800元，多次联系客服，均互相推诿扯皮，现导致平台还款日期已逾期两天，现在我请求调整利率，撤销逾期罚息，按照实际到账金额的最高利息一次性销账，否则退还非法扣除的1200余元，按照借款9000元的最高利息还款销账。</t>
  </si>
  <si>
    <t>2019/10/06 10:25:34</t>
  </si>
  <si>
    <t>不知道为什么扣款，没有说明，没有途径可以了解。</t>
  </si>
  <si>
    <t>2019/10/06 10:25:33</t>
  </si>
  <si>
    <t>14：00分拨打我的电话，我承诺在1小时内还款，而且告诉催收人员实在不行30分钟内也可以，家里人已经在银行打款了，催收人员不听任何解释，只是说：难道你的通讯录好友没有给你反馈吗，在昨天一下午，本人手机上所有通讯记录被无辜骚扰，捏造我把他们设置为紧急联系人！办理了贷款，本人工作已经无法进行下去，仅仅逾期14个小时，而且本人只要30分钟时间来处理，宝易支付为黑社会行为提供支持，比涉黑社会还恶。</t>
  </si>
  <si>
    <t>2019/10/06 10:25:32</t>
  </si>
  <si>
    <t>京东白条委托第三方暴力催收，我已经将逾期欠款处理了，他们还在打电话让我还清全款。</t>
  </si>
  <si>
    <t>2019/10/06 10:25:27</t>
  </si>
  <si>
    <t>投诉人孙先生投诉对象来分期涉诉金额1000元问题类型诉求类型投诉详情首先申请的时候就有砍头息要支付保险费大家都懂什么回事然后借款的时候没有任何提示不能提前结清也没有提示是定期还款的现在要求改成普通借款或者让我一次结清。</t>
  </si>
  <si>
    <t>2019/10/06 10:24:32</t>
  </si>
  <si>
    <t>到账2700，一个月后要换4110，这么高的利息，多次举报都无效，我怀疑是不是有保护伞，作为大公司，聚投诉不应该拿它没办法吧。</t>
  </si>
  <si>
    <t>2019/10/06 10:24:28</t>
  </si>
  <si>
    <t>投诉人稳女士投诉对象凡普信涉诉金额103203元问题类型诉求类型投诉详情借款金额60000，分36期，每期还款金额3035.43元，已还16期共48566.88元，未还18期，诉求：在法律规定的合法利息范围内，一次性剩余本金结清。</t>
  </si>
  <si>
    <t>2019/10/06 10:24:03</t>
  </si>
  <si>
    <t>投诉人王先生投诉对象51人品涉诉金额14000元问题类型诉求类型投诉详情借一万零五百，一年时间还一万四，逾期一天，催收还牛逼哄哄的，让我后果自负，是有多牛逼，高利贷，催收。</t>
  </si>
  <si>
    <t>2019/10/06 10:23:58</t>
  </si>
  <si>
    <t>投诉人吕女士投诉对象中国联通涉诉金额0元问题类型诉求类型投诉详情手机卡明明还有话费就给暂停服务了，话费还在里头呢，客服电话也是敷衍了事不给解决！要不是还有话费在里头，我再也不用联通了！。</t>
  </si>
  <si>
    <t>2019/10/06 10:23:46</t>
  </si>
  <si>
    <t>本人在钱包易贷借了12800，实际到账金额10800，然后实际还16800，然后本人已还完8000本金，逾期几天，对本人通讯录进行轰炸，还威胁。</t>
  </si>
  <si>
    <t>2019/10/06 10:23:28</t>
  </si>
  <si>
    <t>骚扰电话一天好几个，换着号的打姐姐老公都他们骚扰。</t>
  </si>
  <si>
    <t>2019/10/06 10:22:49</t>
  </si>
  <si>
    <t>账单日申请主动还款，且钱已在自动划扣卡中，导致扣款失败，截止今天逾期三天，电话被打爆，催收使用暴力言语侮辱威胁手段，我不开心，我也承认我骂人了，随你怎样。</t>
  </si>
  <si>
    <t>2019/10/06 10:21:44</t>
  </si>
  <si>
    <t>本金已经还完！现在强制性要收利息！可恶至极。</t>
  </si>
  <si>
    <t>2019/10/06 10:21:09</t>
  </si>
  <si>
    <t>不止一次两次地冒充机关给我发律师函了，刚开始我和他们沟通的时候一直威胁，恐吓，大喊大叫的，导致我心绪不宁，对生活失去信心，对工作失去热情，不知从哪里非法窃取别人的电话威胁他人，甚至是我不认识的人，都打电话骚扰。</t>
  </si>
  <si>
    <t>2019/10/06 10:20:58</t>
  </si>
  <si>
    <t>我要求快手平台立即联系我道歉并且追回我的款项。</t>
  </si>
  <si>
    <t>2019/10/06 10:20:41</t>
  </si>
  <si>
    <t>本人于2018年8月在太仓阳光保险公司办理一笔8万元的贷款，贷款期数是36个月，当时业务员说办理的利息是在月息0.65～1.5之间，根据客户资质决定，办理8万元贷款先要买份保险是900多，也买了，说还清会退保，现在还了有一年了，每月还款金额是3874.74，还款有一年了，还了有46436.88，结果今天看了一下，还剩余本金53056.77，每期还款都有分两次扣，光大扣款2474.74，阳光扣款保费1400元，这个保费是什么，我查了阳光保险的网，也没有保单信息，一开始我已经买了900多的保费，业务员跟我说这是</t>
  </si>
  <si>
    <t>2019/10/06 10:20:28</t>
  </si>
  <si>
    <t>我爱人李佳贺在京东金融白条因为一些原因在七月份得时候白条逾期，我爱人李佳贺在京东金融白条因为一些原因在七月份得时候白条逾期 逾期一个月左右 京东委托第三方暴力催收 往户籍地邮寄所谓的告知函 在八月份的时候我把逾期部分金额进行了还款 然后电话询问过京东客服 当时我说现在我逾期部分已经还清 催收要求全额还款 但是我现在没有能力 而且白天页面也没有显示哟需要全额还款 我可以继续按照账单还款么，在十月五号继续有一个京东委托的第三方催收来电话，我投诉到京东京东说记录了第二天缺来电话告知我。</t>
  </si>
  <si>
    <t>2019/10/06 10:19:51</t>
  </si>
  <si>
    <t>高利贷，恶意拨打通讯录家人及朋友电话，个人信息泄露。</t>
  </si>
  <si>
    <t>本人于9月7日在信用管家app里面的有盈好贷申请了一借款，到账金额为2250，一个月里面分三期还款，已还两期，现在无法负担如此高的利息。</t>
  </si>
  <si>
    <t>2019/10/06 10:19:41</t>
  </si>
  <si>
    <t>我在你平台上注册配合该平台进行评估，在我不知情的情况下产生299元的一笔订单，并在几天后自动从我银行卡扣款，别的软件就算收费会大大写的很清楚，你们有解释清楚吗，联系客服后，他不退并且告诉我要从该平台推荐的八个软件的贷款失败的截图，我现在不需要贷款，我还要去给你找贷款失败的截图，完全属于欺诈消费者！请聚投诉平台尽快帮忙找回我的血汗钱，谢谢！。</t>
  </si>
  <si>
    <t>2019/10/06 10:18:59</t>
  </si>
  <si>
    <t>平安普惠逾期1天，我说尽量今天还上，叫他们给我点时间，时间都不给我，直接暴力催收我联系人，态度恶劣，希望有关平台出来处理下，我一直还款记录良好，居然机会都不给我，我也不是说不还的，他们那么大的公司居然暴力催收，是欺负我们这些老百姓吗！！！。</t>
  </si>
  <si>
    <t>2019/10/06 10:18:55</t>
  </si>
  <si>
    <t>投诉人赵先生投诉对象中国银联涉诉金额3000元问题类型诉求类型投诉详情从网络兼职了解到打彩票网赚&amp;nbsp;只需要充值，交给别人代打，实在是难以理解！&amp;nbsp;我现在要求如果云闪付查处该些商户并退款退赃！作出解释。</t>
  </si>
  <si>
    <t>2019/10/06 10:18:33</t>
  </si>
  <si>
    <t>自由魔卡里的六超市，借款2000，需要支付一个540得会员费，这个会员费一点用处也没有，然后一个月后还款2060，明显就是高利贷，借款两次，收取了高额的费用，现在本人因为家庭困难已经无力偿还，要求协商本金销账，并延期还款，如此高利贷，请国家打击。</t>
  </si>
  <si>
    <t>2019/10/06 10:18:15</t>
  </si>
  <si>
    <t>投诉人吉先生投诉对象小浦优客涉诉金额296元问题类型诉求类型投诉详情小浦优客在未经验证。</t>
  </si>
  <si>
    <t>2019/10/06 10:17:59</t>
  </si>
  <si>
    <t>18年6月在沈阳北一二手车行买一辆白色吉利GX7手动挡，当时车行标价58000元，首付10000元和2000续保押金，之后介绍美利车金融苏世权做按揭贷款，当时申请金额28000，后来无缘无故批了35000，这最后也接受，到签合同时问几次有没有别的费用，当时说的利息只有4厘而最终清算后的利息竟然超过3分利以上，又加了GPS2800多，等等一些不知名的费用，合同订的跟天书的一样看不懂，完全是非法套路贷，他们竟然做出威胁，说不签合同不买车了，那定金就没了，本来45000元的车最终花了53000元分36期还款的形式</t>
  </si>
  <si>
    <t>2019/10/06 10:17:48</t>
  </si>
  <si>
    <t>本人在今年7月份遇见推销员推销电子产品五折优惠，就分别在京东金融付款5样商品，云闪付付款4样商品，你们京东金融和云闪付两个平台也是为该公司提供了支付通道造成了我六千多元的损失，总会有一定的责任要帮我解决这个问题，不是一直推卸就可以的，收款方均为米格龙电子公司，付款之后商品根本没有送到，也联系不上商家，询问平台客服也没有人受理，总是推来推去，说都不是他们平台的商户，就这样拖了三个月，现在听说贵平台投诉可以找回一点损失，无赖之下只有来求助帮忙解决，我的钱毕竟是在他们两个平台上付款的，就算那个公司是不是你们平台的</t>
  </si>
  <si>
    <t>2019/10/06 10:17:10</t>
  </si>
  <si>
    <t>拍拍贷的借款逾期费用超高，而且催收的步步紧逼，本人还有两期账单，本金早已还清，而且之前借款的两笔也已经正常还清，利息也已经赚够，现在要求协商一次性还清金额。</t>
  </si>
  <si>
    <t>2019/10/06 10:17:01</t>
  </si>
  <si>
    <t>我们店在江苏无锡利民市场是卖轮胎的，线下也有实体店，经营了20年，勤勤恳恳绝无假货，我们淘宝店进行了申诉，第一次说我们上家无资质，没办法证明我们轮胎是真的，我们让上家提供了正新轮胎的授权书，并且补开了发票，进行了第二次申诉，淘宝依旧申诉不通过，不通过原因是未按实际情况提供凭证，打电话给淘宝小二，淘宝小二也说不出我们不通过的原因，说跟领导反应一下重新审核，可是依旧是不通过，反反复复打了无数遍电话，依旧是申诉不通过，我们没有售假，也全部按照淘宝的要求提供了凭证，却不通过，不通过的理由也含糊不清，太过分了。</t>
  </si>
  <si>
    <t>2019/10/06 10:16:57</t>
  </si>
  <si>
    <t>开店宝业务员到店里以办理高额度信用卡为由，推荐其pos机说是激活开机，对办理这张高额度信用卡有助于额度高下卡审批块，让激活了一台拉卡拉pos机刷了398元，在三问业务员要押金或开机费用不，业务员说不需要的并且告诉我开机刷的钱一个礼拜回返给过我，现在过去一个多月了，信用卡办理也没成功，刷的398元钱也没返回来，在联系业务员说让等着，打电话客服人员反馈这个情况一直也没得到处理，现在我强烈要求退回我刷的398元费用。</t>
  </si>
  <si>
    <t>2019/10/06 10:16:35</t>
  </si>
  <si>
    <t>多次跟客服说我老公一直在医院抢救，还一直骚扰家人，而且我借5000已经把本金也都还齐了，还继续催收高利息，如果因为2000块钱耽误我老公抢救，你们就是暴利催收致我老公抢救不过来致死，这个责任你们要承担。</t>
  </si>
  <si>
    <t>2019/10/06 10:16:04</t>
  </si>
  <si>
    <t>本人交通信用卡之前一直正常使用和还款，额度一度涨到16000，因为上一年家里发生了很多事情，导致账单逾期，交通银行直接把信用卡从16000降到3000，目前友降到0，然后开始催收，我也一直在还款，每次还了之后我都会和交通那边协商说我到下个月15号发工资了再还一部分，他那边也是同意的，然而同意之后还是每天催收，那我就想问他们不履行承诺有啥意义。</t>
  </si>
  <si>
    <t>2019/10/06 10:13:23</t>
  </si>
  <si>
    <t>投诉人 李女士        投诉对象  拍拍贷        涉诉金额  2 000 元    问题类型    诉求类型投诉详情  不停打电话骚扰家人同事。态度恶劣。骚扰同事态度极其恶劣</t>
  </si>
  <si>
    <t>2019/10/06 10:12:56</t>
  </si>
  <si>
    <t>同样的问题一直说8.4年利息，后来才发现每个月被扣各种，借款39000两年还了52000，后来被他们自己代偿了15000多，骚扰我的通讯录毁坏我的名誉。</t>
  </si>
  <si>
    <t>2019/10/06 10:11:38</t>
  </si>
  <si>
    <t>刚刚洋钱罐的催收给我打电话，态度十分恶劣，我心品气和的和他协商，告诉我后果自负，本人因节假日工资未发，原因想申请协商还款，遭到拒绝，还要取消分期，一起还清，态度十分的差，钱我一定会还的，请改善你的态度，延期几天，逾期费用我个人承担。</t>
  </si>
  <si>
    <t>2019/10/06 10:11:08</t>
  </si>
  <si>
    <t>本人在你我贷平台借款6600，12期，现在已经还款11期共8306圆，已经远远超过本金，且高于国家规定年利息，现在还有一期要还690，由于家里老人生病，资金周转困难，钱我要还，15日工资发了就可以结清，催收态度恶劣。</t>
  </si>
  <si>
    <t>2019/10/06 10:11:05</t>
  </si>
  <si>
    <t>拨打本人联系人，通讯录，侮辱本人父母，频繁骚扰联系人，改恐吓联系人，说联系多地警方对本人进行抓捕。</t>
  </si>
  <si>
    <t>2019/10/06 10:10:31</t>
  </si>
  <si>
    <t>投诉人 盛先生        投诉对象  微信支付        涉诉金额  11 384 元    问题类型    诉求类型投诉详情  微信商业版冻结了我的资金 一直提现不了 持续一个月了 各种申诉老是不通过 一直说我违规 客服也联系不到 一直不知道解决方法 现在公司让我把钱拿出来 我也很苦恼</t>
  </si>
  <si>
    <t>2019/10/06 10:10:12</t>
  </si>
  <si>
    <t>，本来在他们借贷平台结款15000元整，然后分为12期还款，还完3期后发现只是还的他们所谓的各种费用，本金一分没还，剩余还款额还超过15000万元，每期的还款额是1699.25元*12期=20391元，这样高额度的，晚了一天他们就会打电话催款，并且辱骂，恐吓等，而且还会给家人打电话骚扰，请求平台给予解决。</t>
  </si>
  <si>
    <t>2019/10/06 10:08:06</t>
  </si>
  <si>
    <t>我是河南焦作一名闪送员，由于我昨天手机排插空坏了导致我手机无法使用，后经朋友借了一部老旧手机使用，由于摄像头什么都很差导致我登录闪送被闪送公司认为是非本人登录，我现在想通过贵平台要求闪送公司看能否认为给予接触处罚，因为我这个处罚确实有些冤，这个我有商户跟闪送员证明，我对于这个禁闭确实不服，一是因为朋友手机卡，二是因为旧手机摄像头也不行，这个两种原因导致我被闪送给误判是非本人接单，而我本人也非常注重珍惜帐号管理跟使用，另外登录后接单核查活体跟装备核查都是本人验证通过了，所以希望闪送公司请立即解除这个处罚，我如</t>
  </si>
  <si>
    <t>2019/10/06 10:07:34</t>
  </si>
  <si>
    <t>神马借高利贷，借3000元到账2600多，分4期每期8天，每期还款金额896元，一共还款3500多元，高利贷，9月底无法自动还款和主动还款，逾期费用非常高，信用管理里面找不到神马借的客服电话，也没有人主动联系我，无法自动还款，今天有电话让我还款，费用很高，利息很高，逾期不是我造成的，打电话给我的人，我让神马借客服联系我，但是对方让我直接找客服，我无法联系。</t>
  </si>
  <si>
    <t>2019/10/06 10:07:23</t>
  </si>
  <si>
    <t>由于本人资金出现问题，在马上消费金融平台申请的借款未能及时还款，逾期了，近日频繁接到平台催收的电话，严重影响了工作，而且催收人员还威胁本人，如下午2点前不能将钱还上，将把我欠款的事情通知到工作单位和亲朋好友，如果事情搞这样了，连累我工作丢了，请问我用什么来还款，如骚扰到我家人和通讯录好友，我将会报警处理，你们平台是正规平台，希望你们能按照正常流程走，你们可以催收，但请你们按照法律法规来催收。</t>
  </si>
  <si>
    <t>2019/10/06 10:06:50</t>
  </si>
  <si>
    <t>借了1300，妈的每期扣什么灵活还款包、保险费、服务费什么乱七八糟到期要还2000多！虽然钱不多，心里一股气！一定要好好管管这种所谓合法的高利贷公司，国家不是在整顿吗，要求立即停止乱收费，已经付给这帮吸血鬼那么多利息了，还要交保护费，这跟黑社会有什么区别。</t>
  </si>
  <si>
    <t>2019/10/06 10:06:49</t>
  </si>
  <si>
    <t>2019/10/06 10:06:26</t>
  </si>
  <si>
    <t>在平台贷款绑定银行卡之后点击贷款被恶意扣款168元，然后以申请贷款为由连续扣款148元，和228元，共计544元，希望还我一个公道要求退回我的全部款项合计544元，然后找不到客服，希望还我一个公道，要求退回我的全部款项合计544元。</t>
  </si>
  <si>
    <t>2019/10/06 10:06:14</t>
  </si>
  <si>
    <t>借款2000到账1600、砍头息40块钱，14天为一个周期，该平台无视国家法律法规，本人在该平台所支付的砍头息已超出本金，现想协商还款销帐。</t>
  </si>
  <si>
    <t>2019/10/06 10:06:12</t>
  </si>
  <si>
    <t>被不知情的进行了扣款，涉及金额299元，自动扣付，银行存在一定的网络支付漏洞。</t>
  </si>
  <si>
    <t>2019/10/06 10:05:54</t>
  </si>
  <si>
    <t>2019年10月2日,本人从阜阳西关机场乘机飞往广州白云机场在机场检票，安检后的候机厅,由工作人员推广新航商旅的所谓的飞机会员卡,销售人员宣称,“公司正在做活动中,可免费领取，新航国际的会员卡,坐飞机打电话可以比任何网上都低100-200需要去前台登记一下.”登记时却说,“这个需要预存998元,送1000元,可以从充值金额抵扣,比任何平台都便宜，终身有效，不限期限,”由于工作人员穿的工作服,本人以为是机场内部销售,没有质疑便购买了，于是我打电话订票,发现充值的金额只能抵扣几十元,给销售人员说的买机票可从充值</t>
  </si>
  <si>
    <t>2019/10/06 10:04:23</t>
  </si>
  <si>
    <t>投诉人 陈先生        投诉对象  虫虫快借,聚合支付        涉诉金额  2 000 元    问题类型    诉求类型投诉详情  本人通过短信下载虫虫快借app借款5天 借2000 实际到账只有1100 900块钱的利息，一天180块钱的利息 续期需要900元五天 迫于压力本人只好续期一次 严重超出国家法定范围利率 临近十一 国家打击网络借贷这么严格的要求下 这个app还顶风作案 我只会偿还法定范围内的利息加本金 希望有关部门重视 。</t>
  </si>
  <si>
    <t>2019/10/06 10:04:00</t>
  </si>
  <si>
    <t>暴力催收，逾期了不给我打电话直接联系家里人，利息三个月要多还2000多。</t>
  </si>
  <si>
    <t>2019/10/06 10:02:59</t>
  </si>
  <si>
    <t>我还剩3个月没还，经济出现困难，离婚一个人带孩子。</t>
  </si>
  <si>
    <t>2019/10/06 10:02:52</t>
  </si>
  <si>
    <t>国庆期间在衡阳市南华大学附属南华医院检查，第一次交了15挂号费，说没检查出来，让下次过来再检查，第二次过来又交了15挂号费，拿了检查结果，但是医生下班了，只早上上班，下午不上班，第三次又拿结果过来给医生看，医生休息，给另外的医生看一下结果，说重新去挂一个号才行，我花钱来看病，你们耽误我时间，你们想看就看。</t>
  </si>
  <si>
    <t>2019/10/06 10:02:45</t>
  </si>
  <si>
    <t>贷款1400一个月要还2000.逾期一天爆通讯录骚扰亲人朋友，违法暴力催收，手机号码177******37。</t>
  </si>
  <si>
    <t>2019/10/06 10:02:13</t>
  </si>
  <si>
    <t>本人农业银行在7月时已还清欠款并已销卡，但是农业银行并未撤诉，现在本人被法院登记为失信被执行人，并且失信被执行人信息已上传至央行征信、支付宝征信、居委会等相关地方，给本人名誉及声誉造成严重影响，给本人生活造成严重影响，要求立即撤诉并赔偿本人损失，不然将以法律武器维护自己的合法权益！。</t>
  </si>
  <si>
    <t>2019/10/06 10:02:05</t>
  </si>
  <si>
    <t>10月5日，太原苏宁易购建设南路店打电话给我，说为了答谢老客户，让我晚上6点至少带一位家人到苏宁易购建设南路店领取免费赠送的扫地机，每人一报，之后被忽悠以3980购买惠而浦食材清洗机，产品型号WVS_CS602J，并赠送一台惠而浦破壁机，和一台新飞负离子空气净化器，型号XP-P20，还有铁锅、紫砂茶壶一大堆东西，由于在现场，讲解人员一直强调大家不能看手机，所以等到结束回家后才上网查这些东西，然而，惠而浦官网根本找不到食材清洗机和破壁机的相关信息，新飞官网也查不到这一型号的净化器，甚至在苏宁易购APP也没有同</t>
  </si>
  <si>
    <t>2019/10/06 10:01:10</t>
  </si>
  <si>
    <t>钱已经还进去了，为什么还一直骚扰，还直接爆我通讯录，还进去了还一直在打我通讯录电话，我地客户都打电话来问我什么情况，请你们做出一个解释，不然谁也不好过，我直接报案。</t>
  </si>
  <si>
    <t>2019/10/06 10:01:09</t>
  </si>
  <si>
    <t>投诉人 胡先生        投诉对象  六便士,自由魔卡        涉诉金额  1 500 元    问题类型    诉求类型投诉详情  通过自由魔卡里面六便士借款1500。周期30天。先支付405购买会员卡。然后放款1500。实属变相高利贷砍头息。会员卡无任何实际作用。本人一直如期还款。现有额度也用不了，客服说系统维护。维护20多天也没好吗？现最后一期要求本金加合法利息处理。</t>
  </si>
  <si>
    <t>2019/10/06 10:00:32</t>
  </si>
  <si>
    <t>投诉人张先生投诉对象拼多多涉诉金额67元问题类型诉求类型投诉详情买家承认收到货，随意找个理由就平台介入，这可是40斤，40斤快递要多少钱，我们是庄稼人，那条规定写着收到货不用退货，找平台直接退的。</t>
  </si>
  <si>
    <t>2019/10/06 09:59:59</t>
  </si>
  <si>
    <t>投诉人李先生投诉对象京东金融涉诉金额1300元问题类型诉求类型投诉详情节假日不发提醒短信，导致用户未能及时还款，出现非恶意逾期，本人也是京东老会员了，在京东金条上有一笔1300的借款，该于每月5日还款118.47，逾期一天后，实际还款119.19，但是因国庆假期，没收到京东金融的还款提醒，短信收到的还款提醒只到3日，然后收到提醒后就提前还款到10月3号，但是对于5日的还款，节假日期间并没有收到任何还款提醒，6日上京东查询还款，才发现已经出现了一天的逾期，发现逾期后，立马还款，经网络查询京东金融逾期一天也上报</t>
  </si>
  <si>
    <t>2019/10/06 09:59:16</t>
  </si>
  <si>
    <t>投诉人肖先生投诉对象你我贷涉诉金额900元问题类型诉求类型投诉详情爆通讯录，侮辱联系人，一直电话骚扰，骂人，。</t>
  </si>
  <si>
    <t>2019/10/06 09:59:10</t>
  </si>
  <si>
    <t>投诉人王先生投诉对象360借条涉诉金额1300元问题类型诉求类型投诉详情因本人腿部受伤，资金方面现在出现问题，前期无法进行按时还款，在360借条平台出现逾期行为，逾期是我的不对，现在进行还款的时候，无法还款，没有资金，用360借条平台已经一段时间了，，在平台还的利息和本金已经很多，现在逾期后，有平台客服人员进行威胁声称要联系什么居委会，联系通讯录好友进行催收，现在对于骚扰我通讯录好友的催收已经在收集证据报警处理请平台停止暴力骚扰催收行为，现在资金紧张，能还一笔是一笔，对于进行通讯录骚扰，并且恐吓的商家都进行</t>
  </si>
  <si>
    <t>2019/10/06 09:58:55</t>
  </si>
  <si>
    <t>一个贷款中介平台，借款第二天盗刷我储蓄卡296元。</t>
  </si>
  <si>
    <t>2019/10/06 09:58:41</t>
  </si>
  <si>
    <t>14：00分拨打我的电话，我承诺在1小时内还款，而且告诉催收人员实在不行30分钟内也可以，家里人已经在银行打款了，催收人员不听任何解释，只是说：难道你的通讯录好友没有给你反馈吗，在昨天一下午，本人手机上所有通讯记录被无辜骚扰，捏造我把他们设置为紧急联系人！办理了贷款，本人工作已经无法进行下去，仅仅逾期14个小时，而且本人只要30分钟时间来处理，宝易支付为黑社会行为提供支持，比涉黑社会还饿。</t>
  </si>
  <si>
    <t>2019/10/06 09:58:33</t>
  </si>
  <si>
    <t>投诉人刘女士投诉对象掌众金服涉诉金额300元问题类型诉求类型投诉详情支付300元购买闪电借款当中的黑卡，结果借款失败，拨打闪电借款提供的“人工客服电话”听到的只有录音，并不是真人工接听，根据闪电借款客服的自动回复，借款不成功黑卡可以全额退款。</t>
  </si>
  <si>
    <t>2019/10/06 09:57:53</t>
  </si>
  <si>
    <t>暂时还款困难，要求延期减免，催收停止骚扰家人。</t>
  </si>
  <si>
    <t>2019/10/06 09:57:41</t>
  </si>
  <si>
    <t>本人在马上消费金融旗下产品安逸花申请循环贷，总金额3550元，期间一直正常使用，连app都并未通知，对账号进行锁定，无法消费和提现，我不同意，要求安逸花方恢复可使用额度，解锁我的账户！。</t>
  </si>
  <si>
    <t>2019/10/06 09:57:18</t>
  </si>
  <si>
    <t>投诉人 陈女士        投诉对象  好分期        涉诉金额  600 元    问题类型    诉求类型投诉详情  好好跟他沟通 给点时间 就要威胁我打通讯录</t>
  </si>
  <si>
    <t>2019/10/06 09:55:38</t>
  </si>
  <si>
    <t>投诉人 温女士        投诉对象  现金借款        涉诉金额  10 000 元    问题类型    诉求类型投诉详情  恶语相向 电话催收 态度不好 电话一直打</t>
  </si>
  <si>
    <t>2019/10/06 09:54:54</t>
  </si>
  <si>
    <t>每个月总有好几次微博乱赞，我开了微博所谓的双重登陆验证，只要有陌生设备登录我的账号，我这边就会收到短信验证，可是并没有收到，每个月都有一两次被乱点赞，改了密码也没用，这是微博在用户安全方面没有做好，泄露了用户的隐私。</t>
  </si>
  <si>
    <t>2019/10/06 09:53:49</t>
  </si>
  <si>
    <t>本人于2019年10月5日通过分期通app申请了一笔5000元网贷.通过填写个人信息在最后放款环节提示需要缴纳249元vip会费.当时用钱心切.，结果显示必须要去其他平台申请贷款被拒绝才可以找他们申请退款.。</t>
  </si>
  <si>
    <t>2019/10/06 09:52:44</t>
  </si>
  <si>
    <t>我母亲在捷信贷款3万元，还款了9期，现在第10期逾期了，催收打电话一天好几十个电话，明切告知客服晚几天，客服也同意了！然而第二天还是一天好几十个电话！已经超过合法催收好多倍！而且跟客服沟通过的！这么大的公司说话不算数吗，确实有困难现在需要晚几天！母亲工作接电话本身就不方便！我是她儿子可以联系我132******67。</t>
  </si>
  <si>
    <t>2019/10/06 09:52:02</t>
  </si>
  <si>
    <t>投诉人 黄先生        投诉对象  大红鹰彩票网        涉诉金额  65 000 元    问题类型    诉求类型投诉详情  对方彩票网是一个非法网站 导至本人损失全部积蓄 网站为5630563.com</t>
  </si>
  <si>
    <t>2019/10/06 09:51:25</t>
  </si>
  <si>
    <t>这个app下载完了我进去就感觉不好玩，账号注销删除了app，就在刚刚自己突然扣费了，没接到我的通知，太不好了！。</t>
  </si>
  <si>
    <t>2019/10/06 09:50:39</t>
  </si>
  <si>
    <t>9月2日点点通借款2880平台系统自动分两期还，9月17日已还第一期2030.74,10月2日要还第二期2030.74还款链接一直登入不了还不了款，我朋友连续两天一直有接到点点通平台催收电话，但是一直无法登入。</t>
  </si>
  <si>
    <t>2019/10/06 09:50:07</t>
  </si>
  <si>
    <t>高利贷暴力催收，还要上门威胁我父母，爆通讯录。</t>
  </si>
  <si>
    <t>2019/10/06 09:48:44</t>
  </si>
  <si>
    <t>投诉人 李先生        投诉对象  钱咖        涉诉金额  10 元    问题类型    诉求类型投诉详情  本人在钱咖平台上邀请新人 此新人手机是10.1号刚刚购买 当我获得新人奖励时 我开始体现 系统却提示此新人有作弊行为 请问 1.在哪方面作弊？2.说明中说明 当解除嫌疑时可以提现 为什么你们客服说的 永久不能提现？希望退回并提现此余额</t>
  </si>
  <si>
    <t>2019/10/06 09:47:55</t>
  </si>
  <si>
    <t>平安银行信用卡暴力催收，恐吓、辱骂、威胁到本人。</t>
  </si>
  <si>
    <t>2019/10/06 09:47:19</t>
  </si>
  <si>
    <t>借款3000元，实际到账2625元，7天为一期，分4期还清，每期还款金额895元，9月底无法自动还款和主动还款，客服无法联系，收到神马借平台发来的短信，让等客服电话一直没有电话打过来。</t>
  </si>
  <si>
    <t>2019/10/06 09:47:03</t>
  </si>
  <si>
    <t>于9月5号借款11100，还要费用分期7811，分36期，每期要还641.20，到期总还23083.43，我可以接受合理的本金利息，但是添加的费用很不合理，希望纠正，。</t>
  </si>
  <si>
    <t>因为绑定银行卡上余额不足，造成自动扣款失败，现在app上打不开还不了造成逾期。</t>
  </si>
  <si>
    <t>2019/10/06 09:46:22</t>
  </si>
  <si>
    <t>聚福钱包非法收取前期鉴定费，推荐费，恶意绑定银行卡，app显示可以退，客服不退，态度恶劣，高利贷产品。</t>
  </si>
  <si>
    <t>2019/10/06 09:45:59</t>
  </si>
  <si>
    <t>月光侠借款2500，到账1750，收取砍头息，并暴力催收，不给协商。</t>
  </si>
  <si>
    <t>2019/10/06 09:44:35</t>
  </si>
  <si>
    <t>豆豆钱于6号给我打电话说我贷款逾期，我已和他说明现在没有钱，困难，客服说话嚣张，说我是不是赌博了，如果豆豆钱给我身边朋友打电话骚扰我身边的人，那豆豆钱把合同寄我。</t>
  </si>
  <si>
    <t>2019/10/06 09:44:21</t>
  </si>
  <si>
    <t>本人于7月5号在新橙优品借款3000元，砍头息300元，实际到帐2700元，本人已经还了两期，第三期因囯庆期间资金紧张已逾期一天，希望新橙分期停止暴力催收，停止骚扰我的家人好友，本人会在8号准时还款，同时希望会按国家规定利率减免第三期的利息。</t>
  </si>
  <si>
    <t>2019/10/06 09:42:01</t>
  </si>
  <si>
    <t>2019/10/06 09:41:44</t>
  </si>
  <si>
    <t>本人穿别的内裤不会，就穿他家的内裤，屁股蛋贼疼，躺着还好，坐个半小时屁股蛋就很疼，经常这样，在一次回家后我照镜子，屁股蛋两个都红彤彤的，于是我找了这家淘宝旗舰店的客服，客服问了一句之后再也没有回我。</t>
  </si>
  <si>
    <t>2019/10/06 09:41:24</t>
  </si>
  <si>
    <t>本人账单于昨日到期，因为本人资金外借，朋友答应于明日还给我，平台方的还款日期是昨天，昨天下午就一直开始电话骚扰，还以平台方里面一个细则为由，说我逾期，本人昨天因为外借资金没有到账，所以也在外筹措资金，平台方今天短信威胁说今天不处理就联系本人紧急联系人，本人通讯一直是畅通的，而且态度恶劣，希望平台方给出解释！。</t>
  </si>
  <si>
    <t>2019/10/06 09:40:59</t>
  </si>
  <si>
    <t>立借里的钱置宝下款2100，要一个月还4期，每期751，远超法律规定利息，我已经还了3期，还剩一期要求减免销账。</t>
  </si>
  <si>
    <t>2019/10/06 09:40:47</t>
  </si>
  <si>
    <t>明目张胆的威胁，心脏有点受不了，话不多说，上图。</t>
  </si>
  <si>
    <t>2019/10/06 09:40:24</t>
  </si>
  <si>
    <t>,你我贷,钱站,信用钱包,Wecash闪银，因为本人做生意失败现在负债10多万,我的父亲已去世,母亲是已经老人住在老人院，我真的好累,我短时间内真的根本找不到钱来还款，每次都说马上起诉要派第三方崔收公司上门催收找我麻烦，希望贵金融机构给我点时间我现在工资6000元/月，对于欠下的债务短时候内是暂时无法还款，希望金融机构给多点时间或者协商还款，制定出一个分期长一些的还款方式，在我能承受的还款范围内，现在这些崔收公司已经进行骚扰崔收,严重影响我的同事/朋友/家人,使我造成很大的心里压力.也有可能导致我失去工作，</t>
  </si>
  <si>
    <t>2019/10/06 09:40:03</t>
  </si>
  <si>
    <t>由于本人在9月12号在营口兰旗机场被工作人员拦下办了一张五彩祥云推出的VIP会员卡，费用是1680元，送1320元抵用券，介绍称每次可以抵用最多300的抵用券，感觉还行，没想到买票的时候本金1680不能用，说是抵用券1320元用完才可以用本金1680元，结果没成想每次只能抵用30来块钱，用了3次，都是这样一个情况，这样的话我坐40多次飞机也用不完抵用券啊，感觉自己的钱是被公司套死了，而且最近联系机场工作人员，也搪塞说专门的客服会和你联系，到现在也毫无音讯，感觉自己被蒙了，希望平台能够帮我维护消费者合法权益，</t>
  </si>
  <si>
    <t>2019/10/06 09:40:00</t>
  </si>
  <si>
    <t>招联金融拨打我的通讯录，群发短信，对我的家人朋友及同事带来了极大程度的骚扰，现在要求招联金融能停止对我通讯录的骚扰并道歉。</t>
  </si>
  <si>
    <t>2019/10/06 09:39:48</t>
  </si>
  <si>
    <t>投诉人郑桦夏投诉对象交易猫涉诉金额100元问题类型诉求类型投诉详情不发货QQ上催也不回复，下单说是0-2小时上号，现在都12小时了。</t>
  </si>
  <si>
    <t>2019/10/06 09:37:41</t>
  </si>
  <si>
    <t>火山钱庄泄露用户资料，联系客服客服说他们也没办法，不愿意承担责任，我在该平台借过两次款，借3000元只能到账2100元，每次都有899元砍头息，我从来没逾过期，但是现在泄露资料他们竟然不负责，并且让我再借款，给我降低200的砍头息，这是继续让我借他们的砍头息啊！我要求火山钱庄退还我两次合计1798元砍头息，并对泄露信息这件事做出合理的解释以及道歉！否则将会投诉到底！有各种截图证据！。</t>
  </si>
  <si>
    <t>2019/10/06 09:37:02</t>
  </si>
  <si>
    <t>投诉人 梁晓龙        投诉对象  ECT助手        涉诉金额  99 元    问题类型    诉求类型投诉详情  ECT助手网站显示免费办理设备 交99押金 设备不用可以退回 现在我不用了 他不给退了 说我这是付费设备 但是网站现在还显示免费 有明显的不良行为 客服也联系不上！！！！</t>
  </si>
  <si>
    <t>2019/10/06 09:37:01</t>
  </si>
  <si>
    <t>京东让我刷单，说是和商家合作的，我看评论里好评都一样，就相信了，说是一单一返3-5分钟，一直不返钱，说任务没做完，一个任务有三单，之后又说双重任务，还有三单，想着是京东商家就拍了，后来又说系统卡了还是不返，购买的沃尔玛礼品卡，卡已经提前被别人绑过了，我的卡密已经泄露，钱已经到了商家账户，钱不返卡也不能用，希望京东可以查出问题赔偿受害人财务与精神损失，也避免更多人受害。</t>
  </si>
  <si>
    <t>2019/10/06 09:36:52</t>
  </si>
  <si>
    <t>投诉人胡先生投诉对象今借到涉诉金额19000元问题类型诉求类型投诉详情本人因生意周转在今借到平台接触到一个线下借款，借款一万到手7000，本人在10天内已经连续还款达一万九千元！出借方成承诺归还后销账，结果出尔反尔，始终不销账，再也联系不上了，始终让我在平台显示逾期，还曾打电话说以爆今借到所提供的本人通讯录名单为由威胁恐吓必须继续还款，本人已经承受不住这巨大的高额利息及精神压力，故此在聚投诉反映，希望官方能帮帮我。</t>
  </si>
  <si>
    <t>2019/10/06 09:36:27</t>
  </si>
  <si>
    <t>10月4号购买了财神黑卡，连续3次不放款，放款失败，更换了3次银行卡，不放款就不要给额度，扣前期。</t>
  </si>
  <si>
    <t>2019/10/06 09:36:22</t>
  </si>
  <si>
    <t>投诉人 杨先生        投诉对象  同程旅游        涉诉金额  240 元    问题类型    诉求类型投诉详情  在列车发车40分钟之前不能够改签</t>
  </si>
  <si>
    <t>2019/10/06 09:36:19</t>
  </si>
  <si>
    <t>于9月5号借款2000，分3期，每期要还986.67，到期总还296.01。</t>
  </si>
  <si>
    <t>2019/10/06 09:36:06</t>
  </si>
  <si>
    <t>投诉人 刘女士        投诉对象  京东白条,京东金融        涉诉金额  1 990 元    问题类型    诉求类型投诉详情  协商还款 客服态度恶劣 不予协商 骚扰家人及朋友</t>
  </si>
  <si>
    <t>2019/10/06 09:35:15</t>
  </si>
  <si>
    <t>小象优品联系客服支付宝还款后，又发起银行代扣，扣了我两笔还款金额，联系客服后客服说工作日后7个工作日退款，也就是说7个工作日按照小象得尿性也就说最少9天后才能退款，我的钱在你们小象哪里9天我要求给我相应补偿，必须按照你们36%得利率来补偿。</t>
  </si>
  <si>
    <t>2019/10/06 09:33:31</t>
  </si>
  <si>
    <t>投诉人 李先生        投诉对象  有用分期        涉诉金额  14 500 元    问题类型    诉求类型投诉详情  利息高 利息高 利息高 利息高 利息高 利息高 利息高</t>
  </si>
  <si>
    <t>2019/10/06 09:32:53</t>
  </si>
  <si>
    <t>本人在安全带借款3000元分3期共21天，每期要还1214元，利息高的可怕，前后也借了几次，最后一次实在无力偿还了，要求销帐。</t>
  </si>
  <si>
    <t>2019/10/06 09:32:17</t>
  </si>
  <si>
    <t>本人提前预定酒店后，入住当天酒店房价降价，订单取消扣全款，平台不给退80元差价。</t>
  </si>
  <si>
    <t>2019/10/06 09:32:09</t>
  </si>
  <si>
    <t>因为一些原因，我微粒贷可能延迟还款，但是短信来说多次致电无效，请问你们除了今天打了一个催收电话要我今天五点还款其他什么时候给我打过电话。</t>
  </si>
  <si>
    <t>2019/10/06 09:31:52</t>
  </si>
  <si>
    <t>投诉人陈女士投诉对象马上金融涉诉金额600元问题类型诉求类型投诉详情这第二天马上金融电话不断严重影响生活。</t>
  </si>
  <si>
    <t>2019/10/06 09:28:49</t>
  </si>
  <si>
    <t>投诉人王先生投诉对象贷上钱涉诉金额5000元问题类型诉求类型投诉详情用强制购买所谓“游戏豆”当时收取高额借款砍头息，删除用户借款记录借款历史逃避追责。</t>
  </si>
  <si>
    <t>2019/10/06 09:28:30</t>
  </si>
  <si>
    <t>本人在自由魔卡app上申请六便士借款2000元，六便士以强制购买vip才能下款，收取540的高额砍头易，借款期限30天要还款2060元，这是典型的高利贷，套路贷，我已经在该公司的平台循环申请数笔，给的利息已经超过本金还多。</t>
  </si>
  <si>
    <t>2019/10/06 09:28:29</t>
  </si>
  <si>
    <t>银小借和易宝支付，为经同意，于2019年8月24恶意私自扣833元的评估费用，并承诺14个服务周期内退款，一直建议不上客服，一直踢球，各种理由推辞拒绝退款，望平台和相关部门能主持公道，维护消费者权益。</t>
  </si>
  <si>
    <t>2019/10/06 09:27:38</t>
  </si>
  <si>
    <t>贷上钱在平台借款，收取高额游戏金豆购买费用，还款必须绑定还款，属于变相高利贷，砍头息！！！。</t>
  </si>
  <si>
    <t>2019/10/06 09:27:37</t>
  </si>
  <si>
    <t>借款到账800/三期还2400,每期800多，已经严重超出国家规定，属于砍头息！现在已经无能力偿还！就对我进行威胁恐吓。</t>
  </si>
  <si>
    <t>2019/10/06 09:26:16</t>
  </si>
  <si>
    <t>投诉人 陈女士        投诉对象  好分期        涉诉金额  600 元    问题类型    诉求类型投诉详情  好分期 最近资金问题 逾期第二天就就开始恐吓我威胁我去居委会 到处骚扰 有没有意思</t>
  </si>
  <si>
    <t>2019/10/06 09:25:15</t>
  </si>
  <si>
    <t>砍头息，骚扰，催收！不接受协商！说爆通讯录！。</t>
  </si>
  <si>
    <t>2019/10/06 09:24:42</t>
  </si>
  <si>
    <t>15248元，多出来的钱也就是变相的服务费砍头息，综合利率超过百分之36，已和凤凰金融协商还款，但是在其服务人员同意后并没有后续。</t>
  </si>
  <si>
    <t>2019/10/06 09:23:22</t>
  </si>
  <si>
    <t>在分期乐欠款逾期110天，之前在9月21号的时候和催收客服协商过，说过几天能操作几笔就是几笔，后来又有人联系我说，我说和之前的人已经协商好了，他让我到时候和那个人联系，后来我没接到电话，赶上国庆放假，提成就一直没有发下来，也就没有操作还款上，昨天接到分期乐法务部说要将案件移交当地，发送律师函之类的，和法务部人员也说明情况，并非恶意拖欠，因为家里边父亲在工厂受伤，家里边有赔偿我父亲工商的事情，有一个官司，一直在忙家里的事情，我工作这边也有些变动也一直没去，所以才没有及时操作还款，绝不是恶意拖欠，如果恶意拖欠就</t>
  </si>
  <si>
    <t>2019/10/06 09:22:50</t>
  </si>
  <si>
    <t>本人10月4号加入，货拉拉公司，当时工作人员说第一次加入，需要交1000元压金，还说必须交699元会员，当时第一次接触不了解其中情况，后来听同行说，根本没有强加会员这一条，还说加了全免会员，根本没单，到现在为止3天就一个单，还是现金支付的。</t>
  </si>
  <si>
    <t>2019/10/06 09:22:46</t>
  </si>
  <si>
    <t>投诉人宋女士投诉对象小浦优客,通联支付,宏萨信息科技涉诉金额296元问题类型诉求类型投诉详情前几日下载该App,填写完资料后在没有任何操作，并且没有任何提示扣款协议，隔天小浦优客从我银行卡中划走296元至宏萨信息科技有限公司，收款方为通联沪快且多次联系客服均为占线！&amp;nbsp;要求还款，不然将追究法律责任！。</t>
  </si>
  <si>
    <t>2019/10/06 09:21:57</t>
  </si>
  <si>
    <t>投诉"贷上钱"进行骚扰崔收,严重影响我的同事/朋友/家人,使我造成很大的心里压力.也有可能导致我失去工作，等情况.如果失业失去收入来源.更没办法还款.。</t>
  </si>
  <si>
    <t>2019/10/06 09:21:30</t>
  </si>
  <si>
    <t>京东金条此次临近还款日未提醒，并且还款日扣款失败也未收到任何短信，逾期两天后才说自动扣款失败。</t>
  </si>
  <si>
    <t>2019/10/06 09:20:23</t>
  </si>
  <si>
    <t>本人9月3日通过花转转平台借款2800元，通过畅捷支付实际到账2800元，分32天共4期每8天返还1022.4元，总计共需归还4089.6元，利息高达1289.6元，远远超过国家规定的标准，由于现在已经归还3期达3067元已超出本金+利息。</t>
  </si>
  <si>
    <t>2019/10/06 09:20:11</t>
  </si>
  <si>
    <t>严重砍头息，高利贷，暂时还款困难，要求延期减免。</t>
  </si>
  <si>
    <t>2019/10/06 09:19:46</t>
  </si>
  <si>
    <t>恐吓威胁人身安全天天骚扰和打电话给公司领导让我在亲朋好友同事面前颜面扫地希望有关部门可以出来管管。</t>
  </si>
  <si>
    <t>2019/10/06 09:18:06</t>
  </si>
  <si>
    <t>但是我们也在积极的还款，有多余的钱立马还了进去，然后就有一个人员给我家里打电话，请注意我本人没有接到任何电话，给我家里人说要刑事拘留我，恐吓我家里人，还说给我打电话说我拒绝还款，如果我拒绝还款我在我周转到一点的时间还什么钱，这电话每天都打。</t>
  </si>
  <si>
    <t>2019/10/06 09:18:00</t>
  </si>
  <si>
    <t>于2019年9月8日借款3000元，实际到账2250元，砍头息750元，已准时还款三期，还款金额高于到账金额，最后一期无力还款，在此期间家人不堪压力，数次自残，已经和公安机关反映情况，但联系不到好运金和信用管家，现要求协商销帐，否则若家人出现生命危险，必然刑事起诉！。</t>
  </si>
  <si>
    <t>2019/10/06 09:17:39</t>
  </si>
  <si>
    <t>使用网络电话拨打通讯录家人及朋友电话，砍头息。</t>
  </si>
  <si>
    <t>当时看利息还可以，等下款后看到还款多出来的服务费吓了我一跳，要支付16312.41即使收取服务费也我也能接受但这样高我就接受不了，我就是要投诉它这个平台收取服务费太高了。</t>
  </si>
  <si>
    <t>2019/10/06 09:15:17</t>
  </si>
  <si>
    <t>投诉人 蔡女士        投诉对象  怪兽充电        涉诉金额  99 元    问题类型    诉求类型投诉详情  10月2号在光谷世界城楼兰餐厅吃饭 租用怪兽充电宝不到一小时 一键归还后本应该结束使用 在10月6号凌晨收到短信说我一直未归还 要求怪兽平台处理 做出解释 并赔偿</t>
  </si>
  <si>
    <t>2019/10/06 09:14:16</t>
  </si>
  <si>
    <t>本人在10月3号19点15分通过飞猪平台订了当天晚上的酒店，订了之后发现这边有两家名字一样的酒店，到了另外一家之后才发现订错了，前后不超过10分钟，因为和朋友带着很多行李，很不方便，于是立马联系酒店客服，客服告诉说他们没有取消的的界面，需要联系卖家广州辰亿旅游专营店他们通过了才能取消，然后就联系卖家，一直打电话都没有人接，通过卖家旺旺联系也一直不回，19点过的消息，22点才回我，告诉我18点之后无法退款，我下单的时候，看见的是23点之后无法退款，由于一开始没有注意是否订错，就没有截图，卖家让我拿着截图再来核</t>
  </si>
  <si>
    <t>2019/10/06 09:13:41</t>
  </si>
  <si>
    <t>投诉人赵小波投诉对象汽车之家涉诉金额210元问题类型诉求类型投诉详情汽车之家违章代缴，我从他们平台代缴罚款，说是四十八小时之内给处理，结果都过了四五天了也没处理，打电话没人接，公共号也没人受理，。</t>
  </si>
  <si>
    <t>2019/10/06 09:11:46</t>
  </si>
  <si>
    <t>本人通过该平台的推广短信下载了该app，借款1400元，6天后需归还2000元，仅6天利息就有600元，远远超过国家合法利息标准，在非常时期金鸡下蛋平台仍正常放款，顶风作案，汇潮支付为其提供放款渠道实属助纣为虐，还款日当天就有澳门的电话打过来催收，称2点不还就要采取措施，迫于压力本人于9月20号，30号和10月2号，四号分别续期300元，共1200元。</t>
  </si>
  <si>
    <t>2019/10/06 09:11:36</t>
  </si>
  <si>
    <t>我在维信金科旗下的豆豆钱借款15000元，到账后他直接扣取了我的服务费保险费用1099元，然后他不能还款当日还款，是次日凌晨扣款，他只有到账单日次日凌晨才发起代扣协议，我在10.5日给他们客服打过电话，说过我的卡已经取消了代扣协议，需要手动还款，他说只要你卡内资金充足没关系，我卡内存入了1625元，准备手动还款，他却说我逾期了，这样的还款方式是否属于套路贷，还说合同内注明，明明自己说次日凌晨扣款，为什么明明没有过第二天还算逾期，而且正常人谁会半夜三更看你是否扣款了！请明察！。</t>
  </si>
  <si>
    <t>2019/10/06 09:11:10</t>
  </si>
  <si>
    <t>天天跟狗一样的来骚扰和违规爆通讯录让我颜面扫地你们这些高利贷我将就一直投诉一直告到有政府部门和监管部门来管为止吃人不吐骨头的高利贷。</t>
  </si>
  <si>
    <t>2019/10/06 09:07:44</t>
  </si>
  <si>
    <t>砍头息，肆意拨打通讯录电话，言语中隐藏威胁等。</t>
  </si>
  <si>
    <t>2019/10/06 09:07:12</t>
  </si>
  <si>
    <t>蜜瓜钱包是6天高利贷平台，到账1430元，6天后归还2207元，汇潮支付为其提供放款通道，现本人经济困难，希望平台给予反馈，协商处理。</t>
  </si>
  <si>
    <t>2019/10/06 09:05:59</t>
  </si>
  <si>
    <t>恒信永利，借款45000，直接合同加2万，还款日8号，提前三天还款，提前10天左右电话通知骚扰威胁，放款当天扣除一月还款，实际到账39000多。</t>
  </si>
  <si>
    <t>2019/10/06 09:03:53</t>
  </si>
  <si>
    <t>洋钱罐以网络电话威胁恐吓，还钱不还就爆通讯为由联系村委会等来威胁恐吓。</t>
  </si>
  <si>
    <t>2019/10/06 09:03:29</t>
  </si>
  <si>
    <t>投诉人 孙海燕        投诉对象  捷信金融        涉诉金额  45 000 元    问题类型    诉求类型投诉详情  我叫孙海燕。去年在你们贷款45000。当时告诉你们业务员。我就用几个月。当时说可以随时还款。可是到我想全部还款的时候你们说不行。以各种借口说不行。说没买提前还款保险金。你们这不是骗人吗。给你们协商了很长时间。你们不同意。现在你们居然骚扰我老家亲戚朋友。我在辽宁本溪办理的贷款。为什么找我老家。想协商还款。叫辽宁省本溪市负责人来给我协商</t>
  </si>
  <si>
    <t>2019/10/06 09:02:32</t>
  </si>
  <si>
    <t>本人在网络上通过某平台好奇发现电玩游戏怎么怎么可赚钱，因一时经不起诱惑进去注册了一个帐号，谁知要充值，反正已经注册了，那我就充点值吧，谁知一玩就是一个坑，几千块没有了，我想通过这个平台能把我辛苦的几千块钱退回来，拜托了，求你们了，我心里好难受的。</t>
  </si>
  <si>
    <t>2019/10/06 09:02:27</t>
  </si>
  <si>
    <t>减免砍头息，协商还款，复用了好几次了，想上岸了。</t>
  </si>
  <si>
    <t>2019/10/06 09:02:11</t>
  </si>
  <si>
    <t>群发短信，爆通讯录，上来就骂人，各种威胁，各种辱骂！。</t>
  </si>
  <si>
    <t>2019/10/06 09:00:19</t>
  </si>
  <si>
    <t>投诉人 徐连喜        投诉对象  支付宝        涉诉金额  1 800 元    问题类型    诉求类型投诉详情  为赌博网站提供支付渠道！您这是不合法的！</t>
  </si>
  <si>
    <t>2019/10/06 08:59:49</t>
  </si>
  <si>
    <t>投诉人陈财洲投诉对象淘宝涉诉金额150元问题类型诉求类型投诉详情商品为解决滳滳各种问题，引导消费者转帐付定金，然后说被骗了，淘宝没有任何处理，店铺继续开，淘宝，商家都没有任何说法与处理方式，店铺继续开，商家无任何责任。</t>
  </si>
  <si>
    <t>2019/10/06 08:59:39</t>
  </si>
  <si>
    <t>投诉人文先生投诉对象途牛涉诉金额438元问题类型诉求类型投诉详情10月4日中午和途牛客服确定出行时间为10月5日早上8点并确认合同订单，下午就收到途牛供应商修改出行时间为10月5日早上6点35的消息，导致客户不能按时集合，客户要求退款取消出行，但是途牛要收取百分之40的退费损失费，途牛在未和客户协商的情况下，在合同生效几个小时内随意修改约定时间，以此要挟强迫客户出行消费，现要求途牛赔偿损失并道歉！。</t>
  </si>
  <si>
    <t>2019/10/06 08:59:32</t>
  </si>
  <si>
    <t>投诉人王先生投诉对象信用管家,小黑鲨涉诉金额6500元问题类型诉求类型投诉详情在小黑鲨上面申请借款，收取高额砍头息，要求提前还款，扣除不合法利息。</t>
  </si>
  <si>
    <t>2019/10/06 08:59:12</t>
  </si>
  <si>
    <t>投诉人黄女士投诉对象爱白条涉诉金额3500元问题类型诉求类型投诉详情我在爱白条申请了一笔借款是3500元分三期谁知道每期要还1994元第三期要还1267元这直接就是高利贷超过国家的利率我要求协商只还本金或部分利息。</t>
  </si>
  <si>
    <t>2019/10/06 08:59:00</t>
  </si>
  <si>
    <t>本人于2018年12月18号购买家具沙发一套，卖家发送虚假物流，经报案后确认物流为虚假，卖家涉嫌诈骗，淘宝客服介入后不作为，提交报案凭证以后不予处理，致使到现在无法挽回损失。</t>
  </si>
  <si>
    <t>2019/10/06 08:58:56</t>
  </si>
  <si>
    <t>投诉人朱先生投诉对象玖富万卡涉诉金额4500元问题类型诉求类型投诉详情贷款时未给利率给完利率后拒绝接受贷款客服打完电话后强行下款。</t>
  </si>
  <si>
    <t>2019/10/06 08:58:01</t>
  </si>
  <si>
    <t>不知道什么时候的事情！不知道在哪里扣的，有什么理由扣这个款项。</t>
  </si>
  <si>
    <t>2019/10/06 08:57:21</t>
  </si>
  <si>
    <t>买来床一个月，出现龙骨歪倒问题，而且不止我一个消费者遇到这个问题，一开始就不发六个固定铁片，只发三个，偷工减料的做法令消费者面临拆床板自行修补的问题，客服处理不当，回答说是固定片途中掉落，包装密封不可能掉落，现在这床一动就发出异响，中间部分塌陷感明显，图片上是满铺，实则木板数量不够，图上全是满铺，欺骗消费者，评论很多很多真实顾客差评，但是被虚假好评淹没，之前没看到，悔不当初。</t>
  </si>
  <si>
    <t>2019/10/06 08:56:10</t>
  </si>
  <si>
    <t>京东金融在本人不知情的情况下，通过我在京东商城购物平台的地址信息手机号对我的朋友和家人进行暴力摧收，威胁恐吓，我和我的朋友都有录音，向我和我的朋友要求京东金融平台停止骚扰，停止对我的家人和朋友恐吓。</t>
  </si>
  <si>
    <t>2019/10/06 08:55:12</t>
  </si>
  <si>
    <t>来分期利率超出国家规定，支付宝为其提供放款通道，给了额度不给借，本人现在资金链断裂，希望可以延期还款，并希望来分期可以恢复我的额度使用。</t>
  </si>
  <si>
    <t>2019/10/06 08:51:46</t>
  </si>
  <si>
    <t>投诉人 黄女士        投诉对象  钱置宝        涉诉金额  3 150 元    问题类型    诉求类型投诉详情  我在立借钱置宝借款3150元 谁知道分四期还款每期是7天 每期还款1150元 但它却让我还款4600元 一月下来多还1460元 我已经还了3期了 总共是3450已经还完本金跟该有的利息 最后一期协商不用还款了</t>
  </si>
  <si>
    <t>2019/10/06 08:50:40</t>
  </si>
  <si>
    <t>投诉人玄女士投诉对象拍拍贷涉诉金额10500元问题类型诉求类型投诉详情拍拍贷借款高额利息超出国家规定已经只剩最后一期实在无力偿还希望协商解决。</t>
  </si>
  <si>
    <t>2019/10/06 08:50:10</t>
  </si>
  <si>
    <t>我是2016年4月受QQ投资群误导在金道环球投资有限公司，及时切断非法外汇平台入金通道以免更多投资者上当受骗，另要求九派天下支付有限公司对我被骗的资金能及时予以追损或先行赔付，14864，圣文森特和格林纳丁斯注册号为：23763，,期间每天按直播间老师的操作策略和实时喊单进行下单操作，盈少亏多，后来在2018年12月看到百度贴吧里曝光金道诈骗的帖子后，才幡然醒悟，但已被骗近100万元，其中有3笔，金额：65014.30元是通过九派天下支付有限公司转至北京九购科技有限公司，后联合百度贴吧里认识的难友15人到深</t>
  </si>
  <si>
    <t>2019/10/06 08:50:02</t>
  </si>
  <si>
    <t>我的父母是农民工他们辛苦很多年的钱也被我亏完了他们银行存的都是0了，每次都说马上起诉要上门去催收和法院传票我希望贵金融机构给我点时间我现在工资也就8000块对于30万的债务简直是车水杯薪，我现在想将身上仅有的一万多拿去做点小本生意从头开始钱我会慢慢一分不少全部还清，我也更加希望中国能早点有破产法这样可以保障双方利益，努力挣钱把债务还清不然每天都要有无数个银行，我都没法正常生活这样下去我不知道我还能顶得住多久，不过昨天我做过什么今天我只想好好活着努力去还清所有债务和弥补父母。</t>
  </si>
  <si>
    <t>2019/10/06 08:49:52</t>
  </si>
  <si>
    <t>钱站借款3990到账3000分三期，每一期1500多。</t>
  </si>
  <si>
    <t>2019/10/06 08:49:20</t>
  </si>
  <si>
    <t>我名下的兴业银行性用卡被强制冻结，本人现在已经筹到钱打算全款处理还清，7月份已经还款5000之前兴业外包的催债公司说全款可以减免利息和违约金，现在联系兴业银行信用卡客服一直在打马虎眼没有作为，不断有外包公司打电话让我还最低款造成更多利息，打电话骚扰，违约金和利息一直在利滚利翻倍的增长，不能解决问题，我现在能恳请兴业银行联系本人，按照减免违约金和利息我全款还清并且注销我的卡片。</t>
  </si>
  <si>
    <t>2019/10/06 08:49:07</t>
  </si>
  <si>
    <t>投诉人郭亮亮投诉对象钱站涉诉金额2800元问题类型诉求类型投诉详情借款2800借款3个月，分3期还款，到账2000多一点，每期还款986，高额砍头利息，而逾期利息1000快，每天18元，不知道这是什么利息，高利贷么。</t>
  </si>
  <si>
    <t>2019/10/06 08:48:43</t>
  </si>
  <si>
    <t>投诉人韦先生投诉对象购分期涉诉金额299元问题类型诉求类型投诉详情在购分期贷款app上填写资料完成，就突然扣款299元了，没有任何提示会员费。</t>
  </si>
  <si>
    <t>2019/10/06 08:47:24</t>
  </si>
  <si>
    <t>跑了一天奖励要求早上七点到九点，下午四点到七点完成8单，我完成了10单，早上六点到晚上十点总单量跑到35单奖励80元我完成了36单，今天起来平台说我有作弊订单一分奖励没给，我问了好多司机都说跑够了35单就显示有作弊订单，平台做的很好，不想给随便一个理由就扣了，真良心，累死累活被平台随便一个理由就否决了。</t>
  </si>
  <si>
    <t>2019/10/06 08:47:20</t>
  </si>
  <si>
    <t>10月5日，在未经本人之情和同意的情况下，突然收到银行扣款信息，扣除本人299元，，因本人银行卡只有250元，只扣除了250元，并提示本人剩余49元将会在本人银行账户有钱的时候再继续扣除，经过本人拨打其热线，其热线人工各种理由不愿意处理，坚持认定本人已经确认扣款，可是这一切的发生都是本人不知情的情况下发生的，经过本人上网查证，发现有很多类似本人经历的受害者都在苦苦追回非法扣款，却无法收到合法回复及解决，这都是血汗钱哪怕只有1块钱也不能受到不法分子的侵害，想我泱泱中华刚刚过完70周岁，竟然还有这种明目张胆的网</t>
  </si>
  <si>
    <t>2019/10/06 08:46:15</t>
  </si>
  <si>
    <t>投诉人 戴小姐        投诉对象  三菱重工空调        涉诉金额  3 999 元    问题类型    诉求类型投诉详情  三菱重工客服电话我从5月份就开始打了 打到现在10月了 还是没有处理好问题 5月份及6月份 分别上门过一次 问题还是没有处理 6月份师傅上门维修时说要要更换主机 后来又说回去申请配件 一个星期后再上门维修 但等到10月了还没有上门维修 6月到10月我也打了很多次客服电话 每次都说会催促 但是到今天还是没有接到过任何的维修电话 想请</t>
  </si>
  <si>
    <t>2019/10/06 08:45:14</t>
  </si>
  <si>
    <t>用京东金条好几年了，一直按时还款，只是最近一段时间家里出了事，花了很多钱，暂时没有还上账单，导致逾期，京东金条催收就让处理全款，我说想把逾期的处理上，她不同意，说7号之前不处理全款就给户籍地发通告函，给我发律师函，把我列为失信人，设为黑名单。</t>
  </si>
  <si>
    <t>2019/10/06 08:44:59</t>
  </si>
  <si>
    <t>偶尔沟通不到就爆了通讯录里面所有人，给本人生意，生活造成了严重的影响！！。</t>
  </si>
  <si>
    <t>2019/10/06 08:44:37</t>
  </si>
  <si>
    <t>在群里被人拉投资说是正规平台，让我下载平台进去充值，充值方式是支付宝充值，充值成功后显示拼多多收款，充值的钱都没了，才发现是非法平台，拼多多为非法平台提供充值通道为平台第三方支付结算平台，后期我百度查了一下此平台名称为彩77在中国是不合法的，但是拼多多是合法的，可是拼多多旗下的商户竟然为彩77平台提供资金充值渠道，强烈要求退款。</t>
  </si>
  <si>
    <t>2019/10/06 08:43:35</t>
  </si>
  <si>
    <t>凡普信贷，还没到还款日就开始，打电话骚扰一天好几个电话打没完没了！而且申请一次性结清，他们可以见面百分之三十，但是再问他们就不承认！。</t>
  </si>
  <si>
    <t>2019/10/06 08:42:04</t>
  </si>
  <si>
    <t>借款3500，分3期还，每10天还一期，风险测评费770，第一期还款快2000元，砍头利息太高而且逾期利息一天都30快，这什么利息高利贷啊，麻烦尽快处理。</t>
  </si>
  <si>
    <t>2019/10/06 08:41:58</t>
  </si>
  <si>
    <t>中信银行信用卡,招商银行信用卡,广发银行信用卡,建设银行信用卡,平安银行,兴业银行信用卡，我的父母是农民工他们辛苦很多年的钱也被我亏完了他们银行存的都是0了，每次都说马上起诉要上门去催收和法院传票我希望贵银行给我点时间我现在工资也就8000块对于30万的债务简直是车水杯薪，我现在想将身上仅有的一万多拿去做点小本生意从头开始钱我会慢慢一分不少全部还清，我也更加希望中国能早点有破产法这样可以保障双方利益，努力挣钱把债务还清不然每天都要有无数个银行，我都没法正常生活这样下去我不知道我还能顶得住多久，不过昨天我做过</t>
  </si>
  <si>
    <t>2019/10/06 08:41:40</t>
  </si>
  <si>
    <t>早晨睁开眼睛，小影扣了我198元，什么情况嘛，我就试用了一次，都卸载了，还强制扣钱，必须维权。</t>
  </si>
  <si>
    <t>2019/10/06 08:40:38</t>
  </si>
  <si>
    <t>乘坐西部航空的PN6389次航班，携带20寸箱子被要求托运，购票是显示可以携带20寸的，告知机舱放不下，不给携带，办理的加急通道最后还是给带上飞机放到机舱中，办理托运以后因为时间剩余不足45分钟了，办理的加急通道，最后还是给带上飞机放到机舱中。</t>
  </si>
  <si>
    <t>2019/10/06 08:37:12</t>
  </si>
  <si>
    <t>目前生活困苦，没有能力再按账单还了，请求广发减免利息，和分期24期还款，谢谢！！近两年来借款金额总共117160元，目前已还了12万多，现在还欠里面2万多，之前曾经因经济困难多次逾期，东借西凑好不容易还了之前的账单，但目前遭遇困境生活困难，6月后的账单已无力再去还，里面大额的分期都是还了只剩下最后一两期账单了，但只因生活困难，收入停顿，暂还不起了，希望广发银行体谅目前困境，希望做出减免和再分期，目前已没再能力去按账单还了，之前还款已超过本金，后面的希望减免利息和违约金和分24期，附图是5月到8月的账单，5的</t>
  </si>
  <si>
    <t>2019/10/06 08:32:13</t>
  </si>
  <si>
    <t>借款3000元，合同为3990元，分三期一期要还1907.93元一期要多还907.93元不知道这是怎么算来的，未下款之前有打电话给客服取消客服说还不能取消且态度不好。</t>
  </si>
  <si>
    <t>2019/10/06 08:32:11</t>
  </si>
  <si>
    <t>投诉人 李先生        投诉对象  小浦优客        涉诉金额  296 元    问题类型    诉求类型投诉详情  未经过同意自动扣费纯属不合法行为要求退款</t>
  </si>
  <si>
    <t>2019/10/06 08:30:50</t>
  </si>
  <si>
    <t>湖南泽思教育在腾讯课堂中虚假宣传误导消费者，第一，声称能在2月内赚回学费，达不到则该学院全额退款学员，第二，声称退款可在3个月内进行并且全额退款，学费在腾讯课堂担保，第三，在交完学费后，转移平台且一直没有真正的1对1服务，该指导不见踪影，第四，退款提出后没好的解答！却指责我半途而废，我实则按照要求做到，没效果申请退款。</t>
  </si>
  <si>
    <t>2019/10/06 08:30:34</t>
  </si>
  <si>
    <t>在2017年11月浦发银行万用金借大约10万人民币，分24期还，每期本金加利息大概5800，已经还了大概20期，还剩大约28000元为还，因经营失败，投资项目回报周期太长，导致暂时资金困难，希望浦发银行能给我减免利息，增加分期数。</t>
  </si>
  <si>
    <t>2019/10/06 08:30:26</t>
  </si>
  <si>
    <t>一直打电话暴力催收，一天打好几个，短信一直发！额度突然没有了，骗人的软件，让人把钱借出来。</t>
  </si>
  <si>
    <t>2019/10/06 08:27:51</t>
  </si>
  <si>
    <t>网贷已经还不上了，都借不出来了，希望能减免一些，我想办法结清！。</t>
  </si>
  <si>
    <t>2019/10/06 08:26:38</t>
  </si>
  <si>
    <t>投诉人刘佳投诉对象招联金融涉诉金额19000元问题类型诉求类型投诉详情受套路贷影响使贷款逾期，也和客服，贷后管理说明情况，可一再让我处理欠款，要是能处理谁会逾期，还要联系居委会，户籍派出所，又要网上处理，征信黑了我也认了，毕竟是逾期了，但是没有必要把人往死了逼吧，我现在可以说快家破人亡了。</t>
  </si>
  <si>
    <t>2019/10/06 08:23:42</t>
  </si>
  <si>
    <t>投诉人 赵女士        投诉对象  拍拍贷        涉诉金额  1 500 元    问题类型    诉求类型投诉详情  拍拍贷逾期8天，打亲戚朋友电话，爆通讯录</t>
  </si>
  <si>
    <t>2019/10/06 08:22:43</t>
  </si>
  <si>
    <t>6月16日，在飞猪第三方平台airmasters专营店订购了11月23日至25日香港铜锣湾迷你酒店的订单，当然并没有太多相关报道所以默认不可退款，我也接受，可是局势一直在升级，从围攻立法会到堵机场打内地游客，到现在打无辜市民，内地游客更是不会放过，打砸地铁站，破坏商店，中资银行等种种行为，我根本不敢去，因为保证不了安全，在这种不可抗力的情况下像飞猪进行投诉，飞猪代理方以酒店退款政策为不可退，拒绝退款;飞猪又以一切看代理方态度依然不可退，敢问过去之后消费者的安全是飞猪和代理方负不负责，现前天政府颁布禁蒙面法，</t>
  </si>
  <si>
    <t>2019/10/06 08:21:31</t>
  </si>
  <si>
    <t>5.5需要还款100.44，我在晚上11点，把钱存入银行，点击还款，好几次都是还款失败，我银行卡余额够，然后我把钱存入拍拍贷余额，现在由于没有代扣成功，导致我逾期，现在我要求用拍拍贷余额还款，并且消除不良记录，还有100块钱一天的利息就是25这是高利贷吗，没人管吗。</t>
  </si>
  <si>
    <t>2019/10/06 08:19:48</t>
  </si>
  <si>
    <t>，还让我拿两年前由于系统问题的截图，对于这种状况难道要我们回到过去再去截图，。</t>
  </si>
  <si>
    <t>2019/10/06 08:19:42</t>
  </si>
  <si>
    <t>本人于还款日当日就已经将充足余额提现到相应还款银行卡内，拍拍贷贵平台当天并没有给我下发短信，由于工作忙，所以没去主动还款，晚上就忘了，结果第二天给我发逾期短信，而且还款金额73，逾期就是25！什么概念！意思是你要是要一个星期和我说没有还款成功，那我岂不是要支付几百块钱逾期费，！我只要求交付相应一天的逾期费，国家法律对于逾期费也有相应规定，请尊重对方！。</t>
  </si>
  <si>
    <t>2019/10/06 08:18:41</t>
  </si>
  <si>
    <t>虚假平台恶意扣款，未经本人允许恶意扣款，客服态度恶劣，不退款。</t>
  </si>
  <si>
    <t>2019/10/06 08:18:30</t>
  </si>
  <si>
    <t>投诉人刘女士投诉对象信用计划,自由摩卡涉诉金额2000元问题类型诉求类型投诉详情逾期费用50一天，还有银行记录，图片太大放不进来。</t>
  </si>
  <si>
    <t>2019/10/06 08:17:25</t>
  </si>
  <si>
    <t>分期乐利息太高，我本人这个月出现资金断裂，疯狂接到分期乐的催收，并扬言说我不还钱，要我通讯录的人一个个给我筹钱，还说要上门给我家泼红油漆，我本人要求归还剩余本金，并且对我出合理解释。</t>
  </si>
  <si>
    <t>2019/10/06 08:16:45</t>
  </si>
  <si>
    <t>贷上钱导流的现控达人小额贷，借款4200元，32天期限已经还款5100多，现已经本金支付完费用付了900多，恳求最后一期销账处理。</t>
  </si>
  <si>
    <t>2019/10/06 08:16:43</t>
  </si>
  <si>
    <t>发现是高利贷，一个月就提前还款，实际扣款12576，一个月的利率就达到32%,远远超过国家规定。</t>
  </si>
  <si>
    <t>2019/10/06 08:14:35</t>
  </si>
  <si>
    <t>在群里被人拉投资说是正规平台，平台里必须充值才可以得收益，后来才发现是网络彩票平台，是不是为非法网络彩票平台提供充值通道为网络彩票平台第三方支付结算平台，据我后期百度查找才得知网络彩票在中国是不合法的，可是中国联通却为此网络彩票平台提供资金充值渠道，强烈要求退款，充值方式是支付宝，充值成功显示收款方是中国联通，是不是为非法网络彩票平台提供充值通道，为网络彩票平台第三方支付结算平台，据我后期百度查找才得知网络彩票在中国是不合法的，可是中国联通却为此网络彩票平台提供资金充值渠道，强烈要求退款！这些都是我的血汗钱</t>
  </si>
  <si>
    <t>2019/10/06 08:10:04</t>
  </si>
  <si>
    <t>我觉得这个调度费非常不合理，要求取消只支付车费。</t>
  </si>
  <si>
    <t>2019/10/06 08:07:20</t>
  </si>
  <si>
    <t>开始认证额度的时候要求开通会员，本想着开通会员就会有额度了，结果全是第三方平台，根本就借不了款！写是拒就退款，我也不想用这个了，最烦就是退供第三方平台，基本上我都申请了，都不给额度！。</t>
  </si>
  <si>
    <t>2019/10/06 08:04:28</t>
  </si>
  <si>
    <t>本人于10月1号乘坐上航飞机，明明是延误险理赔三个小时，我在机场等待了三个小时以上，结果上海航空直接变为取消，为了理赔少一点我也真的心碎了，这么不负责任的处理方式，航空公司第二天安排了飞机给我们起飞，结果耽误了我去玩，花了钱买了门票和假日第一天就浪费了，结果航空公司还和去哪儿一起坑，居然为了这么点钱欺骗消费者，我真的觉得很失望，只赔付少一点的责任，完全不按照事实，总之我只想告诉去哪儿和上海航空，真的你们让客户购买的这个延误险，如果真的按照你们这样说的来，居然和霸王条款没区别，本来应该赔付的，居然为了躲避责任</t>
  </si>
  <si>
    <t>2019/10/06 08:03:52</t>
  </si>
  <si>
    <t>违规收取砍头息和服务费，借款到账户立马扣取168元服务费，借了三次希望退还相关砍头息服务共计504元。</t>
  </si>
  <si>
    <t>2019/10/06 08:03:42</t>
  </si>
  <si>
    <t>本人与今年九月向微博借钱，借了3000块钱，每期还款560，现在一共6期，这月由于资金断裂，微博疯狂催收我联系人，我要求微博停止催收并且减免我剩余的分期费用，并停止对我联系人的骚扰，联系人每天接到微博不下于20个来电，存在故意骚扰。</t>
  </si>
  <si>
    <t>2019/10/06 08:02:43</t>
  </si>
  <si>
    <t>2019/10/06 07:58:04</t>
  </si>
  <si>
    <t>本人在玖富万卡每期让还分期费用，请问分期费用加上资方利息已经超过了年化36，这么可能是正规放贷呢，我本人要求提前还款并且减免我的我剩余的利息和追回我的分期费用，并要求玖富万卡，向我的做出公开道歉。</t>
  </si>
  <si>
    <t>2019/10/06 07:57:30</t>
  </si>
  <si>
    <t>投诉人石先生投诉对象拍拍贷涉诉金额20000元问题类型诉求类型投诉详情我使用拍拍贷软件手动还款，连续四次失败，在这一笔之前的几秒成功还款了拍拍贷的另一款每期760元的借款，而这笔每期339的借款无论如何都是还款失败，导致拖到了第二天，我还款的时候余额是充足的，绝对可以扣款成功的，对于国庆节放假的通知也是10月4日才发出公告，一天的时间就产生了高达每日待还金额10%的违约罚息，我严重怀疑拍拍贷故意让我还款失败，然后收取暴力的高额罚息，而且罚息高的过分，钱可以赚，但是不能没有良心，我希望这些无良的公司早日受到法</t>
  </si>
  <si>
    <t>2019/10/06 07:57:02</t>
  </si>
  <si>
    <t>捷趣公司无故恶意扣款，豹子贷虚假合同，本人不知情的情况下，未经允许的情况下恶意扣款。</t>
  </si>
  <si>
    <t>2019/10/06 07:54:14</t>
  </si>
  <si>
    <t>莫名其妙的扣款，希望反还所有的费用，，，，，，，，，，，，，。</t>
  </si>
  <si>
    <t>2019/10/06 07:53:01</t>
  </si>
  <si>
    <t>豆豆钱的三笔借款，每一笔都有强制的购买保险行为，要求退还保险，取消保单。</t>
  </si>
  <si>
    <t>2019/10/06 07:51:30</t>
  </si>
  <si>
    <t>本人与18年在招联金融申请大期待86000，分期还款36个月，没约还款金额2865.按时还款1个月，已换34200，由于本人这个月出现资金断裂，和招联协商，招联之后一天给我联系人打了20多个电话，现在我要求招联公开道歉，并减免逾期费用，和后面的手续费和前面的利息，本金大概剩余5万，现在招联让我还64000，违约金600，相当于我还要换6万5，一个披着正规资方缺放着高利贷，我本人要求一次性还清，减免逾期费和高利息。</t>
  </si>
  <si>
    <t>2019/10/06 07:49:48</t>
  </si>
  <si>
    <t>投诉人 陈丰        投诉对象  广州任宏商贸有限公司        涉诉金额  1 800 元    问题类型    诉求类型投诉详情  给另外非法赌博网站提供洗黑钱的工具 要求退还款项</t>
  </si>
  <si>
    <t>2019/10/06 07:45:36</t>
  </si>
  <si>
    <t>本人在2018-2019年分别在立即贷平台借有借款，当时不知道国家利率是多少，现在要求退回砍头息。</t>
  </si>
  <si>
    <t>2019/10/06 07:44:56</t>
  </si>
  <si>
    <t>借款两万、实际到账两万合同写两万六千四然而实际还款要三万多。</t>
  </si>
  <si>
    <t>2019/10/06 07:44:27</t>
  </si>
  <si>
    <t>招联金融催收在能联系上本人并且本能能明确承诺还款时间的情况下电话骚扰亲朋好友，与客服沟通后答应不骚扰亲朋好友到依然以以此为威胁。</t>
  </si>
  <si>
    <t>2019/10/06 07:44:19</t>
  </si>
  <si>
    <t>投诉人 黄先生        投诉对象  易宝支付        涉诉金额  256 元    问题类型    诉求类型投诉详情  凌晨四点，在熟睡中，早上醒来发现得扣费。</t>
  </si>
  <si>
    <t>2019/10/06 07:39:22</t>
  </si>
  <si>
    <t>在不明情况下被莫名软件中金支付在不需要密码的情况下扣钱了。</t>
  </si>
  <si>
    <t>2019/10/06 07:38:21</t>
  </si>
  <si>
    <t>借款9900，因为本人有特殊情况，且已经立案，跟对方协商要求协商，已经还了5600了，可是对方威胁我要拿摄像机去家里拍摄，且多次致电无效。</t>
  </si>
  <si>
    <t>2019/10/06 07:38:05</t>
  </si>
  <si>
    <t>钱站就是真正的高利贷！套路贷！第一笔借款本金1000元，分期3个月要还1493元！高达年利率150％！第二笔借款本金1000元，分期3个月要还2014元！年利率高达350％！逾期一天的罚款是120元，如果逾期一年的话，年利率高达10000％！逾期一天就暴力催收！炸通讯录等……这样的高利贷黑心公司，为什么没有得到法律的制裁和判决呢?我要打电话给银监局投诉！来聚投诉投诉！还要去中国互联网举报平台投诉！如果还没有效率的话！只能去公安局报警处理钱站这个高利贷套路贷公司了！。</t>
  </si>
  <si>
    <t>2019/10/06 07:33:48</t>
  </si>
  <si>
    <t>投诉人 陈丰        投诉对象  信汇支付        涉诉金额  800 元    问题类型    诉求类型投诉详情  广东信汇给境外赌博网站提供二维码充值通道 帮助境外赌博网站洗黑钱 要求退还我的钱给我</t>
  </si>
  <si>
    <t>2019/10/06 07:33:41</t>
  </si>
  <si>
    <t>拼多多给博彩网站充值，钱收了没有充值成功，联系拼多多跟博彩客服都是让等着。</t>
  </si>
  <si>
    <t>2019/10/06 07:32:12</t>
  </si>
  <si>
    <t>在群里被人拉了说是正规平台，属于国家的有云闪付充值，云闪付为非法网络彩票平台提供充值通道刻意隐藏收单机构及订单号，为赌博平台第三方支付结算平台，据我所知网络彩票在中国是不合法的，但是银联是合法的，可是云闪付作为银联旗下产品竟然为网络彩票平台提供资金充值渠道，云闪付这样的做法实在是有害于明，强烈要求退款。</t>
  </si>
  <si>
    <t>2019/10/06 07:31:13</t>
  </si>
  <si>
    <t>通过真多银&amp;nbsp;在吉顺通借款二千五&amp;nbsp;实际到账一千八&amp;nbsp;&amp;nbsp;一个月七百多的利息&amp;nbsp;&amp;nbsp;&amp;nbsp;存在严重的高利息和砍头&amp;nbsp;&amp;nbsp;&amp;nbsp;我要求只还我应该还的这部分。</t>
  </si>
  <si>
    <t>2019/10/06 07:29:58</t>
  </si>
  <si>
    <t>没有短信说明也没有解释，莫名其妙的划出199元。</t>
  </si>
  <si>
    <t>2019/10/06 07:29:52</t>
  </si>
  <si>
    <t>信用计划砍头息350，已经多次借款，现在已无力承担，希望能延期还款。</t>
  </si>
  <si>
    <t>2019/10/06 07:23:17</t>
  </si>
  <si>
    <t>天天打电话天天给亲朋好友打电，欠债是的我个人行为与他们无关干嘛天天去骚扰他们，昨天还打电话给单位领导，领导说了再骚扰他一下叫我自动离职，我现在要收集证据先告你们侵犯我的名誉和让我在亲朋好友同事工司领导面前颜面扫地先来赔偿你们让我名誉和颜面扫地的精神损失费，我再来还你们。</t>
  </si>
  <si>
    <t>2019/10/06 07:20:44</t>
  </si>
  <si>
    <t>借2800元，3个月一共需要还4200多，每个月要还1300将近1400。</t>
  </si>
  <si>
    <t>2019/10/06 07:19:41</t>
  </si>
  <si>
    <t>打电话给客服申请取消贷款结果两小时后还放款下来，还打多1510元，立马就扣保险1510元，提前结清要还6510多元，强逼借款还没看过什么保险合同就扣保险费，钱我根本不要还没动过，怎么提前结清还来这么多，我打电话客服都录音了。</t>
  </si>
  <si>
    <t>2019/10/06 07:18:05</t>
  </si>
  <si>
    <t>天天骚扰天天爆通讯录让我在亲朋好友问事工司领导面前颜面扫地欠债的是我个人行为与他们没有半毛钱关系，欠债是我不对干嘛天天骚扰和爆通讯录艹。</t>
  </si>
  <si>
    <t>2019/10/06 07:15:10</t>
  </si>
  <si>
    <t>本人9月15日在立借借款5500元，分3期，结果放款后显示三期就要还完7700，除了本金利息还有其他费用，还款日当天就打电话骚扰，致电立借客服态度差并且不予减免利息，现要求立借减息撤销其他费用，如不解决，家人就立案起诉处理。</t>
  </si>
  <si>
    <t>2019/10/06 07:11:15</t>
  </si>
  <si>
    <t>投诉人傅先生投诉对象国美易卡涉诉金额1234元问题类型诉求类型投诉详情天天打电话天天给亲朋好友打电，欠债是的我个人行为与他们无关干嘛天天去骚扰他们，昨天还打电话给单位领导，领导说了再骚扰他一下叫我自动离职，我现在要收集证据先告你们侵犯我的名誉和让我在亲朋好友同事工司领导面前颜面扫地先来赔偿你们让我名誉和颜面扫地的精神损失费，我再来还你们。</t>
  </si>
  <si>
    <t>2019/10/06 07:10:58</t>
  </si>
  <si>
    <t>本人微信号别人用创客莫名的打标成狐狸，赶紧解除，我从来没有骗过人，要不请拿出我骗人的证据出来！。</t>
  </si>
  <si>
    <t>2019/10/06 07:03:00</t>
  </si>
  <si>
    <t>投诉人邵先生投诉对象新意花,小木钱包涉诉金额2968元问题类型诉求类型投诉详情本人在新意花旗下小木钱包，借款2000到账1400期限32天分四期还，每8天还一次，每期还511，纯属高利贷，砍头息，因为app的原因导致还不了款而逾期，逾期金额高达1800，要求处理偿还本金。</t>
  </si>
  <si>
    <t>2019/10/06 07:01:33</t>
  </si>
  <si>
    <t>有图有真相，这个“来两斤肉”联系不到人，没有进行过任何交易，没有交易记录仅凭一面之词说用了引导性付钱的话术就判定我，把我的账号直接限制支付宝功能，导致数周没有进行还款，影响了正常的生活，和闲鱼平台联系，联系结果是让我找到这个人去沟通，关键是这个人根本找不到联系不到，就算联系到了别人也是想敲诈我的钱不一定会处理，这个单方面集体构成威胁行为，请求审判。</t>
  </si>
  <si>
    <t>2019/10/06 06:57:44</t>
  </si>
  <si>
    <t>贷上钱暴力催收骚扰我我的家人朋友，恶意爆我的通讯录。</t>
  </si>
  <si>
    <t>2019/10/06 06:49:43</t>
  </si>
  <si>
    <t>本人名下招商信用卡一直正常使用2年，今年7月突然无故被招商强制冻结卡片并收取违约金和高额的循环利息外加每个月5元的用卡安全费，本人并不知情，现在我已经筹到钱打算全款还清，联系招商银行信用卡客服一直在打马虎眼没有作为，每天不断有外包公司打电话让我还最低款，外加自称是招商风控部门和法务部打电话骚扰，不能解决问题，现在卡片被冻结针对高额违约金主动协商无用，再次收取违约金及利息，根据《人民银行信用卡》新规明确表明改滞纳金为违约金，协商收取，可是银行不协商直接收取，具有强制性，违约金竟然还按月复利收取，我用卡时并不知</t>
  </si>
  <si>
    <t>2019/10/06 06:47:10</t>
  </si>
  <si>
    <t>投诉人苏女士投诉对象中腾信涉诉金额500元问题类型诉求类型投诉详情中腾信旗下的小花钱包，已经是个高利贷，还无视法律，盗取私人信息，暴力催收，恐吓，还群发信息了，我因为个人原因，这期分期需要迟几天才能还上，也跟所谓的客服人员说明了原因，说到时会与逾期费用一起还上，结果催收人员说，态度恶劣，不停恐吓说要爆通讯录，群发信息，将我的个人信息泄露出去，严重影响我声誉与正常生活，我每天晚上都做恶梦，请停止骚扰我通讯录，作出解释，与赔礼道歉，否则我不会去还这个钱的！。</t>
  </si>
  <si>
    <t>2019/10/06 06:44:40</t>
  </si>
  <si>
    <t>并且来分期暴力催收对我个人造成了很巨大的骚扰。</t>
  </si>
  <si>
    <t>2019/10/06 06:44:24</t>
  </si>
  <si>
    <t>在小花钱包平台借2万块，分期20期，第1个月还2000，第2个月1800多，第3个月1600多，尖子就是高利贷，套路贷，小花钱包催收部门，鼎泰鑫，态度非常恶劣，恐吓，侮辱，报通话记录行为，报通化路是非法的，希望你们赶紧去自首。</t>
  </si>
  <si>
    <t>2019/10/06 06:42:51</t>
  </si>
  <si>
    <t>信息科技有点公司旗下APP“钱站”申请了一笔3000元的贷款，分三期还款，该借款3000元于7月25日由爱钱进公司划入本人尾号为3759的建设银行卡中，整个申请的前期过程，本人完全没有看过该公司给我的合同，app上也找不到，等到该笔借款下来时，才看到我每个月需要还1785.41元，而合同更是非法更改了我的借款金额，显示我借款为5250元，而我实际到账才3000元，利息高达2250元，远超国家规定的24%的年利化率，由于我想对方工作人员表示该笔费用，为超法律规定的利率，工作人员态度恶劣，并表示要打电话骚扰我的</t>
  </si>
  <si>
    <t>2019/10/06 06:41:17</t>
  </si>
  <si>
    <t>投诉人 刘女士        投诉对象  中邮消费金融        涉诉金额  4 500 元    问题类型    诉求类型投诉详情  客服态度恶劣 不予协商还款 威胁 骚扰其他人</t>
  </si>
  <si>
    <t>2019/10/06 06:29:48</t>
  </si>
  <si>
    <t>豹子贷是乱扣费，只是一个扣费平台他推荐的贷款平台都是一个推一个，资料一填完就扣费，上面有写贷不了款能退款，等了半个多月都没退，还一直拖，申请聚投诉官方帮帮我联系申请退款。</t>
  </si>
  <si>
    <t>2019/10/06 06:28:46</t>
  </si>
  <si>
    <t>昨天下午准备从机场出发到时，穿机场工作服的人过来推荐，拉到柜台那边热情的说一些贵宾服务问题，说是里面的钱可以用来订机票、高铁、动车票，本来就这信任机场工作人员的态度，办理了易行商旅的非悦会员，结果后来详细了解才发现是虚假宣传，卡里的钱一次只能抵消很少的一部分钱，当晚要求退卡时，服务人员说第二天办理，后来没有音讯，希望易行商旅可以给我退卡退款1500元，也希望机场可以加强管理，不能因为利益，允许蒙骗消费者的行为存在，让人心寒。</t>
  </si>
  <si>
    <t>2019/10/06 06:20:48</t>
  </si>
  <si>
    <t>就扣了我299，贷款没借到就先扣款，他推荐的平台都是一个推一个根本借不了钱，。</t>
  </si>
  <si>
    <t>2019/10/06 06:15:13</t>
  </si>
  <si>
    <t>借款3000元，每期还1258.5，已还两期2517，昨天第三期忘了，今天逾期要还1345+2631=3976，还要提前结清.。</t>
  </si>
  <si>
    <t>2019/10/06 06:11:18</t>
  </si>
  <si>
    <t>2019年9月29日晚上1点半，下载花椒直播，点开直播看的同时蹦出来充值1598，我点开看看，放心要开指纹锁，手机就卡机了，按返回键也没用，接着就收到微信支付1598元成功了，现在申请退回1598元。</t>
  </si>
  <si>
    <t>2019/10/06 06:08:26</t>
  </si>
  <si>
    <t>当时借款的时候在微信公用号上，当时并没有发现什么灵活还款包，寿险，还有超次服务费，今天第一次还款才发现，网上查了下还款包还要每个月都收40元，还清还要收，还不可以取消，这不是欺炸么，回的都是答非所问还请尽快解决给以答复，找了客服，回的都是答非所问，还请尽快解决给以答复！谢谢。</t>
  </si>
  <si>
    <t>2019/10/06 06:07:27</t>
  </si>
  <si>
    <t>宜人万花平台一开始说我把银行卡号填错了让我交4000元解冻我交了然后说我没写备注我又交了4000元前前后后交了8000元我想让宜人万花把钱退给我。</t>
  </si>
  <si>
    <t>2019/10/06 06:04:57</t>
  </si>
  <si>
    <t>利息非常高，然后还暴力催收，恐吓我要拨打我的通讯录。</t>
  </si>
  <si>
    <t>2019/10/06 06:00:10</t>
  </si>
  <si>
    <t>10月4日中午2点30分，在国美电器，说是国美电器和创维集团一起举办回馈老客户答谢会，以小礼品为引，主持人采用夸大宣传虚假宣传，大幅优惠误导我花了3980元购买创维果蔬解毒机一台，送了一个德德马回飞锅和不知道品牌的空气净化器，当晚回家在创维官网上经查后，找不到这款机器的任何资料，连准确价格也没有，机器上贴的所谓厂家地址也不是创维的主要厂址，根本就是贴牌生产，要求退货退款。</t>
  </si>
  <si>
    <t>2019/10/06 05:53:30</t>
  </si>
  <si>
    <t>得知我的投诉迟迟不理会，相应违规平台已经告知我投诉相关问题，现乐家易付包庇商户，参与违规清结算，现在不复述法律相关条文了，等下会把相应订单号发送此投诉贴，如若再不处理我将到外汇管理局和央行进行投诉举报并准备法务起诉文件，目前咨询律师得知你们可能违反了《非金融机构支付管理办法》《银行收单业务管理办法》《非银行支付支付服务管理办法》《中华人民共和国外汇管理条例》还望乐家易付重视，处理我的诉求，谢谢。</t>
  </si>
  <si>
    <t>2019/10/06 05:47:55</t>
  </si>
  <si>
    <t>本人于今天因为好奇，就在最右app广告推广下载了友缘公司的附近约app，然后该app以0元开通聊天诱导我开支付宝免密支付，然后接着弹出弹窗，我直接手机右划返回了，，但是我的支付宝和中国银行公众号发短信给我居然扣费了168元，第一次是99元，第二次是69元，费用是扣了，可是我却是在我毫不知情的情况下被扣费的，我也没有自主选择商品！这不是变相的强制消费，欺骗用户吗！希望北京友生网络科技有限公司能退还我的168元，我只是个学生，168可能对于别人来说不算什么，对于我这个群体来说，挺多的了！拜托贵公司能够退回，谢谢</t>
  </si>
  <si>
    <t>2019/10/06 05:32:00</t>
  </si>
  <si>
    <t>阴阳协议，隐藏扣款项，恶意扣款，恶意诱导银行授权，联合多个公司串联。</t>
  </si>
  <si>
    <t>2019/10/06 05:29:04</t>
  </si>
  <si>
    <t>天天电话骚扰，暴力催收，辱骂本人，给本人和家人带来相当大的苍伤，希望停止暴力催收，协商还款。</t>
  </si>
  <si>
    <t>2019/10/06 05:25:28</t>
  </si>
  <si>
    <t>本人就因为此高利贷现在才落入无限循环，现征讨一个说法，目前黛西应急已经登陆不上去了，但易宝支付做为合法支付机构，为高利贷清结算服务属实违规，现要求你们还我一个说法。</t>
  </si>
  <si>
    <t>2019/10/06 05:19:59</t>
  </si>
  <si>
    <t>10月5日在送完第一单时，APP弹出工装自拍照上传对话框，由于当时在电梯间网络信号不好，末能正常上传，于是我决定走出电梯到信号好一点的地方重新自拍上传，其间用时40秒左右，但当我到达网络信号好的地方准备拍照上传时对话框消失，且弹出未按要求上传工单自拍照而扣款提示，我当时立即致电平台客服电话询问，客服工号87275，87202回答由于我末及时上传自拍违反管理条则无法申诉，我就问客服我超时多久，客服一句以系统为准，我想当时网络不好而还未超过一分钟时间，况且管理条例也未明确规定具体多少时间内完成才算违规，而是平台</t>
  </si>
  <si>
    <t>2019/10/06 05:05:42</t>
  </si>
  <si>
    <t>还有更多账单也是每次都自动扣两期，没到期的为什么扣款。</t>
  </si>
  <si>
    <t>2019/10/06 04:54:04</t>
  </si>
  <si>
    <t>阴阳协议，隐藏扣款选项，诱导消费，诱导用户银行授权，授权额度高，另外贵公司吃相难看。</t>
  </si>
  <si>
    <t>2019/10/06 04:51:55</t>
  </si>
  <si>
    <t>白天分期app申请借款，按步骤填写资料，然后最后要求绑定银行卡，绑定完成就开始审批，过了一个小时说是扣除249元个人信用报告费用，可是之前申请步骤并没有说明有这个费用，正规贷款也不应该有前期费用，涉嫌违规欺诈，因为不知道会有这种情况发生，申请过程没有截图，而且他也只是中介，扣取费用之后推荐几个app。</t>
  </si>
  <si>
    <t>2019/10/06 04:49:49</t>
  </si>
  <si>
    <t>瀚银科技请重视每一个用户的投诉和恳求……请尽快为我挽回经济损失。</t>
  </si>
  <si>
    <t>2019/10/06 04:47:56</t>
  </si>
  <si>
    <t>白条分期一步步引导，再我不知情的情况下诱导我支付了249买所谓的会员！请白条分期退回我的救命钱！这钱是用来看病的！！！请退回我的249！白条分期一步步引导，再我不知情的情况下诱导我支付了249买所谓的会员！请白条分期退回我的救命钱！这钱是用来看病的！！！请退回我的249白条分期一步步引导，再我不知情的情况下诱导我支付了249买所谓的会员！请白条分期退回我的救命钱！这钱是用来看病的！！！请退回我的249。</t>
  </si>
  <si>
    <t>2019/10/06 04:46:46</t>
  </si>
  <si>
    <t>9月27日，分别申请了两次借款，5400元和15000元，合计20400元，到账金额20400元，合同里却多了两笔1670元和4570元的保费支付，至9月27日起分24期，每月还款318.36元和884.21元，合计1203.07元，两次借款实际到账20400元，多了两笔未到账的合同保费金额，投诉玖富万卡阴阳合同，高利息，砍头息，实际还款高额利息。</t>
  </si>
  <si>
    <t>2019/10/06 04:45:13</t>
  </si>
  <si>
    <t>杭州盛炬网络技术有限公司,浙江盛炬支付技术有限公司,海航集团,新生支付，通过中国人民银行和支付清算协会沟通得知第三方支付业务应审核客户的相关信息，第三方支付公司不得向证券、期货、博彩等机构提供支付结算业务，本人被引诱到一个理财网站充值入金7000元，后来发现是网络赌博平台，通过中国人民银行和支付清算协会沟通得知，第三方支付业务应审核客户的相关信息，第三方支付公司不得向证券、期货、博彩等机构提供支付结算业务，作为有牌照的支付公司没有履行国家相关法律法规要求。</t>
  </si>
  <si>
    <t>2019/10/06 04:41:59</t>
  </si>
  <si>
    <t>投诉人 王岩        投诉对象  王者荣耀        涉诉金额  0 元    问题类型    诉求类型投诉详情  他们乱扣信誉分 搞得我玩不了游戏 破坏了我游戏心情 不公平 不公开 乱扣分的 没有任何依据</t>
  </si>
  <si>
    <t>2019/10/06 04:41:57</t>
  </si>
  <si>
    <t>，这个月资金链断了，导致逾期，准备过几天就还的，，结果电话不断，还加微信让我等着催收，逾期4天就多了200，。</t>
  </si>
  <si>
    <t>2019/10/06 04:40:13</t>
  </si>
  <si>
    <t>诱导不正当服务为名为利要求强制消费，侮辱客户。</t>
  </si>
  <si>
    <t>2019/10/06 04:37:59</t>
  </si>
  <si>
    <t>本人由于资金问题在玖富万卡申请一笔四万元借款，分36期还款，还款金额竟然达到八万多，目前已经还了国家规定的金额，现在真的没有能力继续还款了，玖富就每日不停的打电话威胁恐吓家人亲友，说要冻结我名下所有财产，还要调查我家庭情况，收入等，并且要申请仲裁机构起诉，既然这样，为什么还要不停的骚扰我的家人朋友，直接去起诉我好了，目前由于玖富的不停骚扰威胁，家人已经生病住院，玖富的钱也不会继续还款了，直接去起诉好了。</t>
  </si>
  <si>
    <t>2019/10/06 04:35:00</t>
  </si>
  <si>
    <t>嘀嗒出行坐顺风车费用1300元，问客服说，车费不给开发票，导致我无法报销。</t>
  </si>
  <si>
    <t>2019/10/06 04:31:13</t>
  </si>
  <si>
    <t>卡能有余额，点滴水贷提前还款，显示自动代扣还款中，不能进行提前还款。</t>
  </si>
  <si>
    <t>2019/10/06 04:26:48</t>
  </si>
  <si>
    <t>前面一直都有按时还款，因为经济出现了问题，这次要求我全部结清，我能不能晚些处理，处理完就跟小米金融没有任何关系了。</t>
  </si>
  <si>
    <t>2019/10/06 04:23:45</t>
  </si>
  <si>
    <t>投诉人缑振中投诉对象美约app涉诉金额298元问题类型诉求类型投诉详情下载了美约首页显示免费试用3天，点击免费试用后没有当时扣款，后来结果在不知情的情况下扣费298，要求客服给一个合理的处理结果，像这样的收费平台为什么没有客服电话，要求退款。</t>
  </si>
  <si>
    <t>2019/10/06 04:23:26</t>
  </si>
  <si>
    <t>本人在9月5号在贷上钱申请一笔借款，金额2000元，期限一个月，到期还款2684，利率远超国家规定，本期资金困难，导致逾期，希望客服协商还款，贷上钱一方非法读取用户通讯录，进行暴力追讨。</t>
  </si>
  <si>
    <t>2019/10/06 04:10:51</t>
  </si>
  <si>
    <t>投诉人 董先生        投诉对象  点点通        涉诉金额  1 700 元    问题类型    诉求类型投诉详情  要还款了 银行卡里钱够 到期不扣款说自动还款失败。APP打不开。短信链接打不开404错误。客服打不通。也不给我打电话。要求逾期费用撤销。如果解决不了就报警</t>
  </si>
  <si>
    <t>2019/10/06 03:50:42</t>
  </si>
  <si>
    <t>8月15日我在支付宝上购买曼谷至泉州机票，由于航空公司临时取消航班因而申请退票，至今已多次询问，每次联系对方客服得到回应都是在处理中，至今订单状态仍为受理中，我在百度中查询得知飞猪网形象信誉不太靠谱，所以这次会提交投诉，此机票为花呗购买，希望能够尽快收到退款减轻还款压力，恳求帮助解决问题，谢谢。</t>
  </si>
  <si>
    <t>2019/10/06 03:43:34</t>
  </si>
  <si>
    <t>用有钱花快两年了，一直有在按时还款，已经还了三分之二了，没有严重逾期过，由于本月身体原因导致资金周转不开，今天是逾期第一天，希望平台给予三天拖延期还款，本人电话会随时接听工作人员来电协商，希望催收不要骚扰通讯录的其他人，在国家大力扫黑除恶之际，已明令禁止暴力催收，骚扰债务人亲友，透露债务人隐私等违法行为，有钱花是大平台，相信会给予客户更多的宽容和理解。</t>
  </si>
  <si>
    <t>2019/10/06 03:42:39</t>
  </si>
  <si>
    <t>投诉人陈先生投诉对象联动发卡涉诉金额280元问题类型诉求类型投诉详情之前买卡遇到骗子商户支付了280R不给卡密投诉退款了联动发卡处理显示胜诉退款但是4天钱不到帐其他人都说联动发卡骗子平台吞钱平台。</t>
  </si>
  <si>
    <t>2019/10/06 03:38:52</t>
  </si>
  <si>
    <t>当时有点无知，看到门店说移动积分换新手机，就进去了，刚开始说补199的差价就可以换新手机，慢慢的绕我并且并没有详细告诉我话费卡的用途，让我用买单侠分期说3000多就可以得话费和手机，他操控手机我在旁边看着有点看不懂，说好3000多就给我分期用处到那部vivoy93，后来谈的差不多在我不清楚的情况下又要加收我399的费用，第一次分期看发现是362.49一期，仔细一算有4946.8，4946.8买一部1300左右的手机，刚开始找过其他人问过说签了合同没办法，我就想来聚投诉试试，众所周知，送了一个月我意识到问题问</t>
  </si>
  <si>
    <t>2019/10/06 03:37:01</t>
  </si>
  <si>
    <t>先花，都没注册过，今年刚刚注册，绑定不了自己身份证件，，问客服说找自己以前用过手机试试看是不是注册了，。</t>
  </si>
  <si>
    <t>2019/10/06 03:33:26</t>
  </si>
  <si>
    <t>账号是我哥的已经申请退款很久了一直没有工作人员给出答复一直押金也没有退换希望得到帮助。</t>
  </si>
  <si>
    <t>2019/10/06 03:22:17</t>
  </si>
  <si>
    <t>没有服务意识，态度极差，不该出现在美团！！。</t>
  </si>
  <si>
    <t>2019/10/06 03:22:05</t>
  </si>
  <si>
    <t>本人于2019年8月30日在你我贷平台申请了4600元的贷款，分12期要还6200多，利息已经超过了国家24%标准，还有各种平台服务费和售后服务费都好几百，现在已经还了一期，剩下11期因为家里出了事和你我贷利息太高偿还困难，所以希望能和你我贷协商一下改一下利息，谢谢。</t>
  </si>
  <si>
    <t>2019/10/06 03:19:51</t>
  </si>
  <si>
    <t>微信:wuquanfeng19961.用了这么多年的微信，信用也好，有时候用着还是有急用的时候，能请微信帮下这个忙谢谢，2.身边朋友的年龄比我小，用的微信时间比我短，都有微粒贷。</t>
  </si>
  <si>
    <t>2019/10/06 03:04:43</t>
  </si>
  <si>
    <t>支付宝账号:187******921.曾经芝麻信用分678，降到621都不给我加上去啦2.都一年了，还没有给我加上去，4.没有这个信用分，出行，扫充电宝都都要押金，5.毕竟信用分掉下来那么多，也那么久啦，最近信用都很良好，支付宝还是帮我评估高一点哦。</t>
  </si>
  <si>
    <t>2019/10/06 03:04:34</t>
  </si>
  <si>
    <t>本人在17年7月因家庭急需，在宜人贷平台上申请借款80000！每期准时还款，因工作欠薪，导致现在无法准时还款，宜人贷委托其他公司，进行催收并威胁要联系通讯录联络人，骚扰其他人逼使还款！“宜人贷”是吃人不吐骨头的吸血鬼，他们的实际年利率基本都是在36%附近，有的甚至超过年利率36%申请贷款8万，实际到账也是8万，但借款协议就成了90900，其中前期扣掉10900这样的服务费，再按照8万所谓的11.88%～28.68%的年利率还款，这就是套路！！，，严重违法了银监会2017.12.1发布的《关于规范整顿“现金贷</t>
  </si>
  <si>
    <t>2019/10/06 03:03:05</t>
  </si>
  <si>
    <t>因为有急事所以用车，在我用车过后的第20天我申请退款，但是联动云租车却说我在20天内有用车记录不给退。</t>
  </si>
  <si>
    <t>2019/10/06 03:00:51</t>
  </si>
  <si>
    <t>2019/10/06 02:53:26</t>
  </si>
  <si>
    <t>投诉人黄女士投诉对象好易借涉诉金额6600元问题类型诉求类型投诉详情还款方式不合理利息不合理爆通讯录还得付不合理的逾期费用希望停止骚扰通讯录我这边会还款带逾期费用谢谢。</t>
  </si>
  <si>
    <t>2019/10/06 02:45:08</t>
  </si>
  <si>
    <t>9.27号中午13:19分开始到28号14:48分，我支付宝收到拼多多消费提示，总共4笔订单，分别为1998元.3196元.3996元.2997元.当天我并没有购物，也不可能有这么奇怪的订单，然后我这边联系拼多多官方查下，查到是哪个号消费的，发现非本人消费，盗刷者在拼多多上消费，我把支付宝被盗付款订单号，被盗订单信息，提交给拼多多官方客服，从9月28号开始反馈，到今天5号，每天都在反馈，6天了，每次就是告诉我，3天内会有专员联系我，这2个3天了，从来没有官方客服联系过我了解情况，就是让我等待，钱在拼多多平台</t>
  </si>
  <si>
    <t>2019/10/06 02:44:20</t>
  </si>
  <si>
    <t>没有售后处理，没有退款相关服务选项，无法查到订单详情。</t>
  </si>
  <si>
    <t>2019/10/06 02:40:03</t>
  </si>
  <si>
    <t>2018年年底本人在西安这家公司抵押车辆，第一个月利息、手续费、停车费、共缴纳6600元，当时合同说好后面每个月两分的利息，第二个月就变成每个月6600，一天逾期费2400，由于本人实在承担不起这高额利息及本金！就这样付了4个月2019年由于本人生意原因，在乌鲁木齐遇上官司，车辆被法院查封状态下，在9月底发现车辆已经被抵押公司卖到江西省，而且有违章行为希望有关部门看见此信息能给予合法的解决办法，让这些恶人绳之以法。</t>
  </si>
  <si>
    <t>2019/10/06 02:38:10</t>
  </si>
  <si>
    <t>2019年9月21在交易猫290元购买问道手游账号，2019年10月24日在交易猫265元卖出账号，交易完毕后买家以收号不到五分钟就以有人登录为由发起仲裁而我一直积极配合仲裁并提供相应凭证，证明买家一直在登陆该账号！，交易猫仲裁客服一直置之不理，不管不顾！联系客服客服承诺两小时内解决推来推去无人解决！恶意冻结资金一拖再拖！。</t>
  </si>
  <si>
    <t>2019/10/06 02:31:41</t>
  </si>
  <si>
    <t>借款16600，六期，到帐秒扣999保险费，借款合同标明每月固定还款2996.95，却每月强行收取担保费245，按照合同六期应还17981，现每月还款3231.47共还金额19388.82。</t>
  </si>
  <si>
    <t>2019/10/06 02:25:11</t>
  </si>
  <si>
    <t>下午三点左右，一个自称是中国银行信用卡业务员，说可以帮我办理中国银行的信用卡并表示办理该行信用卡要先办理一台POS机，且承诺该机是中国银行的机器，要在此POS机上刷本人信用卡上传征信才能办中国银行的信用卡，并给本人手机下载银钱包，先要刷100块马上返还到帐，随后该业务员再次要求我刷卡300元，我表示此300元是不是激活此POS机的费用，业务员告知我300块是可以马上到账的，而且这300元不刷是无法通过中国银行信用卡审核的，现要求该业务员退还300元，及该业务员诱导用户套现一事作出处理。</t>
  </si>
  <si>
    <t>2019/10/06 02:24:33</t>
  </si>
  <si>
    <t>豹子贷自动免密直接从银行卡里扣款，app只有机器人，申请退款给客服打电话，各种敷衍，一直不予处理。</t>
  </si>
  <si>
    <t>2019/10/06 02:18:31</t>
  </si>
  <si>
    <t>我是之前想去了解一下达内，但是被销售人员忽悠办了教育贷，之前有提到退款却一直拖延，各种推脱，后来再去退费说不给退，你可把我看的课程钱扣掉，但是态度很强硬的不给退，并且我看的都是录播课程并没有直播，我现在都不需要你把还我多少，我希望能把我剩下的退给我就行。</t>
  </si>
  <si>
    <t>2019/10/06 02:12:17</t>
  </si>
  <si>
    <t>投诉人余先生投诉对象钱站,华夏银行涉诉金额2886元问题类型诉求类型投诉详情钱站借2000需还2千8百多，虚假合同！。</t>
  </si>
  <si>
    <t>2019/10/06 02:11:51</t>
  </si>
  <si>
    <t>投诉人翁先生投诉对象360借条涉诉金额6000元问题类型诉求类型投诉详情360借条利用APP在借款人不知情的情况下强行把APP所有额度全额放款、本人放款当天知道额度错误后想要提前还款却发现需要还12个月的利息、一共不到几个小时的时间与客服联系说明情况也徒劳无功。</t>
  </si>
  <si>
    <t>2019/10/06 02:11:06</t>
  </si>
  <si>
    <t>下午三点左右，一个自称是中国银行信用卡业务员，说可以帮我办理中国银行的信用卡并表示办理该行信用卡要先办理一台POS机，该机是中国银行的机器，要在此POS机上刷本人信用卡上传征信才能办中国银行的信用卡，并给本人手机下载银钱包，先要刷100块马上返还到帐，随后该业务员再次要求我刷卡300元，我表示此300元是不是激活此POS机的费用，业务员告知我300块是可以马上到账的，而且这300元不刷是无法通过中国银行信用卡审核的，刷完了后，在银钱包并无该300元消费记录，但本人信用卡的消费显示是进了银钱包的账户。</t>
  </si>
  <si>
    <t>2019/10/06 02:10:07</t>
  </si>
  <si>
    <t>9月3日，专员来电协商，协商结果是下午5点前在我之前绑定还款的银行卡上存入4000元，一次性扣款结清，钱扣了之后，专员说第二天给我出证明，并承诺你我贷APP上的欠款金额会在15天内销帐，但至今天10月6日APP上还显示着我有欠款未还清没销帐，前几天致电客服投诉登记，并发了聊天记录，扣款记录以及专员发给我的扣款结束凭证到客服提供的邮箱，隔天处理就接到电话，说我还欠着将近3000元，要销帐只能把这钱再还上，并否认之前有专人与我协商一次性还款4000元结清的事实，之后我再次致电之前协商的专员，电话通了一直不接，短</t>
  </si>
  <si>
    <t>2019/10/06 02:03:30</t>
  </si>
  <si>
    <t>本人在2019.3月7号在网贷平台U钱包借款10000元，每月7号还款1482.01元，分9期偿还，实际到账10000元借款，平台显示借款12368.64，并且按照12368.64计算利息，存在虚假误导，如果按照10000元借款，每月1482.01元计算，已经远远超过国家规定利率，实属高利贷，现已无力偿还高额利息，希望聚投诉平台能够维权要求U钱包赔偿多余利息并调整利率，感谢聚投诉平台。</t>
  </si>
  <si>
    <t>2019/10/06 02:02:42</t>
  </si>
  <si>
    <t>本人在9月6日在自由魔卡信用计划借款2000，需要购买会员350，利息50元，实际到账1600，利息早就超过国家法律规定，属于国家严厉打击的高利贷，要求平台尽快与本人联系协商，归还到帐本金和应付30天合理正常利息销账，如协商不及时擅自骚扰我通讯录，会投诉到底。</t>
  </si>
  <si>
    <t>2019/10/06 02:00:45</t>
  </si>
  <si>
    <t>投诉人李先生投诉对象拼多多涉诉金额852元问题类型诉求类型投诉详情六笔支付，六笔钱款订单查询不到商家，没有退款协商处理，没有任何款项去向明细查询及售后服务处理选项。</t>
  </si>
  <si>
    <t>2019/10/06 01:54:07</t>
  </si>
  <si>
    <t>2019年6月5日向快易熊平台借款2500，期限30天，砍头息直接扣700，7月5日到期还款2573.52019年7月6日向快易熊平台借款3000期限30天，扣砍头息990，9月6日到期还款3430.02要求快易熊归还砍头息，归还超出国家最高规定贷款利息。</t>
  </si>
  <si>
    <t>2019/10/06 01:53:08</t>
  </si>
  <si>
    <t>投诉人曾女士投诉对象小赢卡贷涉诉金额40000元问题类型诉求类型投诉详情合同标明年利率为7.2%，4万连本带息应总还42876，阴阳合同，现第一期还款5416.42剩余每期4016.42，十二期共还49597.04，现以还款三期，希望平台按合同利率还款。</t>
  </si>
  <si>
    <t>2019/10/06 01:49:08</t>
  </si>
  <si>
    <t>投诉人 谢博杰        投诉对象  可够        涉诉金额  0 元    问题类型    诉求类型投诉详情  态度性质恶劣</t>
  </si>
  <si>
    <t>2019/10/06 01:48:44</t>
  </si>
  <si>
    <t>投诉人林先生投诉对象钱伴涉诉金额5000元问题类型诉求类型投诉详情我在钱伴逾期了二天，我这边跟他们沟通，我现在的一个环境，资金周转不过来，工作人员让我找朋友借，我借不回来，就规定时间给我，说时间过后就开始搞我，对我进行这个恐吓这种催收合法吗才逾期两天，通讯录里的所有联系人都是我的隐私，还有我的人面识别都是个人隐私。</t>
  </si>
  <si>
    <t>2019/10/06 01:48:42</t>
  </si>
  <si>
    <t>投诉人 莫先生        投诉对象  拍拍贷        涉诉金额  1 300 元    问题类型    诉求类型投诉详情  恐怖吹收 打骚扰电话和发信息给我及亲戚朋友，</t>
  </si>
  <si>
    <t>2019/10/06 01:44:20</t>
  </si>
  <si>
    <t>投诉人胡先生投诉对象及贷涉诉金额30000元问题类型诉求类型投诉详情本人2018年5月29日在网贷平台及贷上借款30000元，每月还款2012，分24期还，算下来利息服务费太高，综合算下来超过国家规定24%利率，现本人无力偿还高额利息，希望及贷平台能够补偿之前多余利息并做出合理利率的调整，感谢聚投诉平台。</t>
  </si>
  <si>
    <t>2019/10/06 01:44:09</t>
  </si>
  <si>
    <t>2019/10/06 01:33:54</t>
  </si>
  <si>
    <t>拍拍贷恶意导致我还款失败，然后逾期，收取逾期费用，请给我一个答案。</t>
  </si>
  <si>
    <t>2019/10/06 01:27:55</t>
  </si>
  <si>
    <t>本人从去哪儿下订单入住了十月一日的宜昌富力皇冠假日酒店，第二天退房由于去三峡赶不及回来退房，故打电话回酒店让帮忙把行李先搬出来，总共有三个背包和一个装鞋的袋子，晚上七点去酒店取行李只有三个包，酒店帮忙查询后说我那个装鞋的袋子是空的，已经扔垃圾桶了，我里面明明装着一双新买的的鞋，还有一叠a4纸打的资料，后酒店经过查找说从垃圾箱里帮我找回了那个袋子和鞋盒，但里面的鞋子已经不翼而飞，事情的经过大概这样了试问1，鞋盒从垃圾桶捡来是空的就断定我没有丢鞋子，霸王逻辑！店大欺客，2，袋子里明明还有资料，确谎称里面是空的，</t>
  </si>
  <si>
    <t>2019/10/06 01:25:28</t>
  </si>
  <si>
    <t>贷款三万元，先是上来给你收个1800手续费，然后又是6000元什么账号解冻，后来又是一万五流水资金，这算什么，套路中的套路，现在不给我退钱，还要不给我把那个账单消除，现在是7800元已经被这个黑货公司弄走，还要欠着30000块钱，三万块钱本身一分就没有打到。</t>
  </si>
  <si>
    <t>2019/10/06 01:24:38</t>
  </si>
  <si>
    <t>订单已发货且买家已收到货，系统却称没收到货自动关闭订单，并退钱给买家，现在钱货两空，平台没有客服无法联系到平台，卖家的权益谁来维护。</t>
  </si>
  <si>
    <t>2019/10/06 01:22:55</t>
  </si>
  <si>
    <t>2019/10/06 01:22:20</t>
  </si>
  <si>
    <t>用刷宝POS机涮信用卡，本来很急用，打电话和客服说要等5天，因为是帮别人刷的所有急用，次日到账不是第二天就到了，要不就别说次日，而且刷的时间我是选的立即到账，之前也没说什么节假日，现在希望刷宝那边退回钱给我或今天结算给我。</t>
  </si>
  <si>
    <t>2019/10/06 01:21:53</t>
  </si>
  <si>
    <t>本人在2019年9月7号在轻周转平台芒果筹借款2800元，到账2800元，由畅捷提供支付通道下款至我的银行卡上，有相关的流水截图证明，本次借款周期才32天，每8天还款一次，每次1022.4元，借款2800元，32天的时间一共需要还款4089.6元，这已经达到了超利贷，明显超出国家规定的合法合规的利息，本人已经按时还款了3期，共计3067.2元，有保留所有的流水证据跟记录，本人还是一名大学学生，现已经跟家人坦白，无力偿还，希望贵平台协商直接消除最后一期的账单，本人跟家人已经鸡犬不宁了，希望贵平台能帮忙减免最后</t>
  </si>
  <si>
    <t>2019/10/06 01:20:59</t>
  </si>
  <si>
    <t>本人2019年3月7号在网贷平台松紧贷借款10000元，每月还款1132.3元，分12期还，平台显示贷款金额11600元，放款到卡上是11600，放完款后2分钟内平台自动在卡上划走1600元，变相收管理费用，还一个公道并且退还高额利息并赔偿，感谢聚投诉平台，而且利息是按照11600计算，是属高利贷，本人现无法偿还高额利息，希望聚投诉平台能够彻查，还一个公道，并且退还高额利息并赔偿，感谢聚投诉平台。</t>
  </si>
  <si>
    <t>2019/10/06 01:17:43</t>
  </si>
  <si>
    <t>贷款3375，放款为畅捷通支付，一个月分4次还，每次还款1152，需要一共还款4608，还款通道是汇聚支付，本人要求调整利率，畅捷通支付和汇聚支付非法为高利贷提供支付通道，我已向中国支付清算中心投诉，如不处理，我将继续投诉到底！。</t>
  </si>
  <si>
    <t>2019/10/06 01:16:08</t>
  </si>
  <si>
    <t>刷脸支付是需要配套他们的收银系统才能实现会员返佣，之前我咨询时告诉我只要商家有收银系统就可以返佣，我加入会员后观看他们给我的刷脸支付资料里讲要配合乐客配套的收银系统才能实现返佣，告诉乐客的工作人员，工作人员告诉我是他们表达错误，这是他们刻意去误导我，之前询问过并没有告诉我，我小县城一个打工的没见过什么世面感觉天上掉馅饼了，于是8月底工资一发自己在凑了钱一共9800块加入了他们高级会员，自己去跑业务才知道什么折扣卡什么蓝V根本就做不起走，现在我只想要回自己的血汗钱乐客公司利用抖音分享所谓创业信息，诱导大众引流</t>
  </si>
  <si>
    <t>2019/10/06 01:14:51</t>
  </si>
  <si>
    <t>投诉人 王女士        投诉对象  玖富万卡        涉诉金额  104 746 元    问题类型    诉求类型投诉详情  在玖富万卡app共计借款65628元 需要还款104746.08元 利息高达本金的近百分之60 目前已还款30626.68元 仍有74119.40元代还 要求降低利息</t>
  </si>
  <si>
    <t>2019/10/06 01:14:38</t>
  </si>
  <si>
    <t>投诉人 李女士        投诉对象  街电        涉诉金额  99 元    问题类型    诉求类型投诉详情  找到了充电宝 扣了99 不知道如何把钱退回来</t>
  </si>
  <si>
    <t>2019/10/06 01:14:10</t>
  </si>
  <si>
    <t>投诉人叶女士投诉对象轻周转涉诉金额4000元问题类型诉求类型投诉详情本人在2019年9月7号在轻周转平台芒果筹借款2800元，到账2800元，由畅捷提供支付通道下款至我的银行卡上，有相关的流水截图证明，本次借款周期才32天，每8天还款一次，每次1022.4元，借款2800元，32天的时间一共需要还款4089.6元，这已经达到了超利贷，明显超出国家规定的合法合规的利息，本人已经按时还款了3期&amp;amp;nbsp;共计3067.2元，有保留所有的流水证据跟记录，本人还是一名大学学生，现已经跟家人坦白，无力偿还，希</t>
  </si>
  <si>
    <t>2019/10/06 01:12:53</t>
  </si>
  <si>
    <t>本人因资金周转需求在自由魔卡app里面的信用计划平台借款2000元，平台以加入会员购买会员需要支付备付金为由，变相收取砍头息350元，实际借款所得其实为1650元，所加入的会员并无实际作用，只是作为平台变相收取砍头息的手段，这是赤裸裸的高利贷，且其逾期费用高达50元一天，因本人之前也在该平台借款多次，现无力偿还高额还款费用和砍头息，投诉信用计划其实是高利贷平台，要求平台尽快与本人联系协商，本人绝不接受客服人员所谓会员费合理合法的狡辩，本人要求协商归还到账本金和应付30天合理正常利息销账。</t>
  </si>
  <si>
    <t>2019/10/06 01:10:37</t>
  </si>
  <si>
    <t>投诉人张女士投诉对象唯品会涉诉金额128元问题类型诉求类型投诉详情在唯品会买了个鞋子，拍后第二天降价，让商家补差价，被拒绝，准备退款后商家补给差价，但是我已经准备退货，货到后直接联系上快递员拒收，联系唯品会退款，电话联系我需退还补给差价，才可以退款，我按照他们的要求退款差价后，多少联系客服说24小时会退还，现在过了半个多月，无解决，希望通过投诉让更多少知道，图如下。</t>
  </si>
  <si>
    <t>2019/10/06 01:10:07</t>
  </si>
  <si>
    <t>2019/10/06 01:08:04</t>
  </si>
  <si>
    <t>本人9月1号下载随手记APP进行借贷，借款7800元人民币分期12个还款，在本人不知情，没接到任何通知的情况下，刚到账的借款7800元人民币被随手记莫名扣款1404元人民币，实际到账6396元人民币，最后需还款却要8850.72元人民币，国家相关规定任何贷款平台不得以任何形式收取砍头息，请随手记平台退回1404元人民币，本人借款已还过1期，后续借款也会按时还款，不出现逾期！。</t>
  </si>
  <si>
    <t>2019/10/06 01:02:43</t>
  </si>
  <si>
    <t>从来没有逾期过，都好几年了都不给加分，以前本人芝麻分是673现在变了618一直没更新看见加分什么意思，信用。</t>
  </si>
  <si>
    <t>2019/10/06 01:02:09</t>
  </si>
  <si>
    <t>5号一天都扣款失败，因为系统问题，下午五点二十，直接对公账户打款，客服电话因为被互联网标记，被手机通讯拦截了，邮件早发了，里面有附件，客服说没收到，结果晚上又有了罚息，银行卡里一直有钱，但是一直扣款失败，对公账户也转了钱了，请给个说法，还有征信问题！。</t>
  </si>
  <si>
    <t>2019/10/06 01:00:32</t>
  </si>
  <si>
    <t>我在2016年时候因分期买了个手机关注这个公众号，当时不知道网贷是什么也不知道怎么换算，当时借款1万元还清又涨额度就好奇借了15000，一直还了28期发现怎么还有这么多钱，算来算去不对劲我就去找客服协商，我本金也还够了，利息也还了8000多快9000了我就去找了个律师，他跟我说这属于高利贷超出百分之24不受法律保护，我去找客服协商她不受理说不关她的事，有个催收员打电话我接来了和他协商他说他只管催收，后来直到今天发了个短信威胁我，还给我打了个电话我还没说完他就挂了，我昨天把29期款还上了，欠债还钱天经地义，我</t>
  </si>
  <si>
    <t>2019/10/06 00:58:12</t>
  </si>
  <si>
    <t>我提供给农业银行的资料保证真实，但自称农业银行委托方的催收说我资料作假，我最近经济困难，但每个月也有还款记录的，问我当时在详细地址在哪，喊我加微信共享位置。</t>
  </si>
  <si>
    <t>2019/10/06 00:51:37</t>
  </si>
  <si>
    <t>也给豆豆钱对公账户转账协议金额，久久不下在打了无数的电话给客服一直一直协调中，10月5日有个自称自己豆豆钱法务部门的人〈自称叫张凯，让我即刻起还完贷款，说话声音很大态度极度无理还威胁要寄律师函等。</t>
  </si>
  <si>
    <t>2019/10/06 00:51:35</t>
  </si>
  <si>
    <t>服务费265.9，实到账2393.1，分三期，到期共偿还本息3621，年利率高达113.1%，远高于国家规定的36%，要求小当家平台降低利率，并归还不正当所得。</t>
  </si>
  <si>
    <t>2019/10/06 00:47:24</t>
  </si>
  <si>
    <t>投诉人 江先生        投诉对象  立刻出行        涉诉金额  499 元    问题类型    诉求类型投诉详情  申请押金退还一个多月都毫无音讯 不知道还要等多久 上网一查原来同样经历的还有很多人</t>
  </si>
  <si>
    <t>2019/10/06 00:43:39</t>
  </si>
  <si>
    <t>立借APP里面的青春宝借款，借款时显示3000元为期30天，但借款页面并未显示合同，实际下款只有2250元，七天一期，四期还款，目前已经还了三期2380元，已还超过本金，目前第四期实在凑不够了，青春宝的客服电话无法接通，希望有渠道沟通减免。</t>
  </si>
  <si>
    <t>2019/10/06 00:43:07</t>
  </si>
  <si>
    <t>在抖音平台夸张宣传，拉人头，介绍他们代理的项目有市场多好做，交会费9800参与他们提供很好做的项目赚钱，但是项目到手后并不是跟前期宣传的那么夸张。</t>
  </si>
  <si>
    <t>2019/10/06 00:43:02</t>
  </si>
  <si>
    <t>本人在2008年7月29日在捷信借款50000人民币，分54期，每期还款1862.44元，还有什么服务包99元每月，不知道是否合理，合法，近期本人因资金周转不开逾期了，捷信公司催收天天打七八个电话来催收，本人每次都跟它说暂时还没有，过几天还进去。</t>
  </si>
  <si>
    <t>2019/10/06 00:42:46</t>
  </si>
  <si>
    <t>投诉人王女士投诉对象链家涉诉金额618300元问题类型诉求类型投诉详情链家北京水上华城A店经纪人王称，带客户看房时将领行国际一套一居室介绍为“小区内在售房源中唯一一套满五唯一”住房，并说因此房屋税费极低，所以成交价要高于市场价，并且业主要求多要订金，高达50万元，现要求链家严肃处理经纪人王称解除房屋相关合同，退回买受人已支付的全部订金和中介费共计613800元，并赔偿买受人损失，在经纪人王称的介绍中，即使是这样苛刻的成交条件，也能使买受人获得因“满五唯一”而带来的超额税费节省，因此促成看房当天双方签约，然而</t>
  </si>
  <si>
    <t>2019/10/06 00:42:45</t>
  </si>
  <si>
    <t>因为下载了豹子贷想要借钱，可是里面会显示一个风险评估，会让你勾选，可是你不知道要扣费，等到审核额度失败后，就自动扣了我卡里299，现在豹子贷app也找不到，打客服电话也没人接，不知道怎么办好，我只是个学生。</t>
  </si>
  <si>
    <t>2019/10/06 00:41:59</t>
  </si>
  <si>
    <t>我们举报的新浪爱问普惠暴力催收已被警方调查。</t>
  </si>
  <si>
    <t>2019/10/06 00:40:49</t>
  </si>
  <si>
    <t>随行付还到借款，申请完借款直接把钱放到信用卡，签网络协议的时候看着利息不高就用了，下款以后利息变了，我打客服电话要求更改利息，协商无果，还剩最后几期实在没钱还了，想缓一段时间再还，结果随行付催收人员把我通讯录好友的电话都爆了，并且一直短信轰炸我和我朋友，而且还到处加我朋友的微信辱骂，证据我都有，我现在强烈要求随行付工作人员停止骚扰并且道歉！。</t>
  </si>
  <si>
    <t>2019/10/06 00:40:33</t>
  </si>
  <si>
    <t>聚投诉你好！牛人有品APP非法放高利贷，不符合国家放贷标准利率，要求该公司，希望聚投诉维护消费者权益，构建正规的网贷公司。</t>
  </si>
  <si>
    <t>2019/10/06 00:39:38</t>
  </si>
  <si>
    <t>在立借平台里的钱置宝借款2100七天一期分四期还款3004高额利息，客服态度差，说话都是威胁语气，要求调整利率退款，道歉。</t>
  </si>
  <si>
    <t>2019/10/06 00:36:04</t>
  </si>
  <si>
    <t>宜信普惠贷款三万，还款事项提醒函却显示四万多，典型的阴阳合同，且乱收逾期费一天一百多。</t>
  </si>
  <si>
    <t>2019/10/06 00:33:37</t>
  </si>
  <si>
    <t>电话183******68，这是我的手机号，唯品会欺诈消费者，之前从唯品会买了耳机，结果唯品会联合商家，对于多次出现质量问题的商品不予退货，我在聚投诉投诉后，才给我退货，现在唯品会更加无耻没用信用，在收到货并且我多次找客服沟通后还不予退款，在我在聚投诉投诉后，在聚投诉上多次说要联系我，但是并没有给我打过任何电话就说联系不上我，不给处理，明显是欺诈消费者，我有权要求唯品会给我马上一分不少退款，并退回我的手续费，运费，并且还要对我进行道歉，赔偿我精神损失费。</t>
  </si>
  <si>
    <t>2019/10/06 00:31:56</t>
  </si>
  <si>
    <t>7月14日还款日，15号早上电话暴力催收，恐吓，打了电话给我公司领导，导致我给公司劝退，现在没有工作，没收入，，逾期1天就要给多400多元的逾期费用，因为催收问题导致收入来源停止，公司是否给个说法，现在没有收入，想协商还款！不接受高额的利息！。</t>
  </si>
  <si>
    <t>2019/10/06 00:30:26</t>
  </si>
  <si>
    <t>暴力催收，恐吓，未经允许拨打通讯录及短信骚扰，对名誉精神造成严重后果！。</t>
  </si>
  <si>
    <t>2019/10/06 00:29:31</t>
  </si>
  <si>
    <t>投诉人韩志文投诉对象美团涉诉金额89元问题类型诉求类型投诉详情本人9.27号在同程网、飞猪、美团上抢19.9.29号西安北到南充北的火车票，同程9.28号6点过几分显示抢票成功，12.03西安北出发，15.57到达南充北，飞猪半小时后两次显示行程冲突，订票失败，我以为美团也会这样，所以未取消抢票任务，高潮来了，9.29正常坐同程订的火车票回南充，12.48收到美团订票成功的通知，13.48西安北出发，17.46到南充北，我就想问这个行程冲突的火车票飞猪都定不成功，你们美团的人才是怎样定成功的，定成功之后为什</t>
  </si>
  <si>
    <t>2019/10/06 00:27:52</t>
  </si>
  <si>
    <t>利息高的离谱，借2500一个月要还3300.简直就是高利贷，逾期一天加100元，而且还电话骚扰。</t>
  </si>
  <si>
    <t>2019/10/06 00:26:27</t>
  </si>
  <si>
    <t>投诉人秦女士投诉对象商奇宝涉诉金额2000元问题类型诉求类型投诉详情本人在商奇宝平台有借款，当时不懂国家利率是什么，不知道是高炮，现在要求商户归还砍头息。</t>
  </si>
  <si>
    <t>2019/10/06 00:25:51</t>
  </si>
  <si>
    <t>高利贷，利息涨的无法想象的高，根本没有合法可言，爆个人通讯录，恶劣行为。</t>
  </si>
  <si>
    <t>2019/10/06 00:24:54</t>
  </si>
  <si>
    <t>萌虎白卡平台八百的砍头息，循环借有多次，因之前不知道这是属于高炮，国家利率是多少，现要求退回本人的砍头息。</t>
  </si>
  <si>
    <t>2019/10/06 00:24:17</t>
  </si>
  <si>
    <t>投诉人 魏先生        投诉对象  月光侠分期,京东支付        涉诉金额  948 元    问题类型    诉求类型投诉详情  月光侠分期砍头息 未经本人同意 京东支付 从我卡里扣款 给本人资金造成极大的困扰！！</t>
  </si>
  <si>
    <t>2019/10/06 00:24:04</t>
  </si>
  <si>
    <t>本人于2015年11月在名校贷平台借款10000元，到账8000&amp;amp;nbsp;&amp;amp;nbsp;后台因平台不稳定，导致逾期两次，现在拒不退2000咨询费。</t>
  </si>
  <si>
    <t>2019/10/06 00:23:33</t>
  </si>
  <si>
    <t>投诉人谢烁投诉对象拼多多涉诉金额0元问题类型诉求类型投诉详情投诉拼多多售后规则有漏洞，成了恶意买家的温床，请拼多多看看本店仅有的几单售后单，疑似团队敲诈，性质极其恶劣，严重影响商家对正常买家的服务，希望平台能从商家和正常买家的利益出发，严厉打击恶意买家，1、订单编号：190910-2*************5，这个买家先试上传假证据，后是退货欺诈后，被我识破后又约我到其它平台私了，平台首次介入驳回了买家的诉求，后期工单介入后为其办理二次退货，买家先是申请退货，退回的商品影响二次销售被驳回关闭，接而申请仅退</t>
  </si>
  <si>
    <t>2019/10/06 00:22:04</t>
  </si>
  <si>
    <t>投诉人黄先生投诉对象马上金融来钱花涉诉金额1171元问题类型诉求类型投诉详情我9月份欠马上金融来钱花的1171元，逾期了，到了10月份应还1721元，高利贷的利息，超出国家规定，我因为逾期的原因是那时候手机不见了，身份证又没磁性补不了卡，才产生了逾期半个月，然后马上金融来钱花就不停的打电话骚扰我家人跟朋友，后来我补了手机卡回来他们就不停的打爆我的手机，一天打几十次，而且还恐吓我还钱，就是因为他们的这样行为才导致我生气后面就没有还钱给他们，要想我还钱可以。</t>
  </si>
  <si>
    <t>2019/10/06 00:20:31</t>
  </si>
  <si>
    <t>现在我连优酷的APP都没有，突然在支付宝扣了15块钱什么所谓的会员，以前的确是优酷会员，那已经是很久以前的事了，如果我开通了自动续费，为什么以前没有自动扣除，背靠着支付宝赚取不义之财！严重鄙视优酷！支付宝不知道怎么管理自己的儿子吗。</t>
  </si>
  <si>
    <t>2019/10/06 00:19:58</t>
  </si>
  <si>
    <t>借款4500每月还款2763.70阴阳合同。</t>
  </si>
  <si>
    <t>2019/10/06 00:19:49</t>
  </si>
  <si>
    <t>2019年2月份在玖富万卡借款29000元，已还7期共9238.38，协商提前还款告知还需还共26368.66且是最低减免金额，这个提前还款的费用已经超过国家规定的利率几倍，36期总还款是41000多，实际到账29000，而且还提供阴阳合同未事先告知借款人其他费用，要求提前还款，偿还合法本金和7个月的利息销账！。</t>
  </si>
  <si>
    <t>2019/10/06 00:18:27</t>
  </si>
  <si>
    <t>投诉人秦女士投诉对象小白来花涉诉金额20000元问题类型诉求类型投诉详情本人于2018至2019年先后在大白钱包后换马甲小白来花平台里还有很多714高利贷有借款，层层被套路，315后才知道这些都是高利贷，还有暴力催收恐吓威胁，现要求商户查明app里面的所有借款的砍头息，退回多的利息。</t>
  </si>
  <si>
    <t>2019/10/06 00:18:23</t>
  </si>
  <si>
    <t>在小赢卡贷有二笔贷款还了5期，在还第6期时出现逾期，当时也是积极沟通，说明情况，但还是遭到小赢卡贷的暴力催收后，我拒绝还款，要求小赢卡贷给我个合理说法，全部通话我都有录音，中途协商过几次，都没能达成一致，现在收到小赢卡贷的律师函，要求在收到律师函三日内还清欠款，否则通过保险公司代偿，上报央行征信，起诉至法院，小赢卡贷在我不知情的情况下，在众安保险公司被保险了，在此期间，我也要求小赢卡贷提供一下每月还款金额中哪部分是本金，哪部分是利息，小赢卡贷以每月还款金额无法拆分明细为由，拒绝提供，我粗略算了一下，小赢卡贷</t>
  </si>
  <si>
    <t>2019/10/06 00:16:45</t>
  </si>
  <si>
    <t>本人使用用钱宝已经很久了，一直都是按时还款，有的时候提前还款，最近一次借款是5月份的时候，6月份还款日提前还款之后使用就提示放款失败至今，还会强制跳转到贷款超市，希望用钱宝恢复我的使用权。</t>
  </si>
  <si>
    <t>2019/10/06 00:16:12</t>
  </si>
  <si>
    <t>9月25日提交的资料，超过十天不退款，也没有任何消息通知。</t>
  </si>
  <si>
    <t>2019/10/06 00:15:09</t>
  </si>
  <si>
    <t>看完电影准备吃海底捞，到达徐州云龙万达海底捞门口，咨询男性迎宾今晚使用学生优惠合适还是捞币2000兑换100抵扣券合适，以及需要排个号，还没回答呢，立马迎接别人去了，真厉害，我们不是客人，然后去了趟kfc，路上发现并没有给我排号，又拿手机自己排了号，忽悠我呢，期间又喝了一口就再也没喝，因为已经是变质的了，告诉我凉了，21:30后就不提供了，因为凉了变质，这是她的原话，那为什么给我倒，真的恶心，然后把两个杯子拿走就不给倒水或者酸梅汁了。</t>
  </si>
  <si>
    <t>2019/10/06 00:14:36</t>
  </si>
  <si>
    <t>投诉人 张朋        投诉对象  新浪分期        涉诉金额  3 000 元    问题类型    诉求类型投诉详情  新浪分期高利贷 年息达到百分至八十 虚假宣传暴力催收 威胁恐吓 该平台雇佣黑社会分子暴力敲诈讹索 不按照法律途径催收 用下三滥的手段轰炸通讯录 违法获取侵犯公民信息 骚扰无辜群众 现在已经封存证据证明 公安厅扫黑除恶 经侦 均已报案 银监会 及各大媒体提供了犯罪线索 督促犯罪分子早日投案自首</t>
  </si>
  <si>
    <t>2019/10/06 00:11:24</t>
  </si>
  <si>
    <t>贷上钱收取砍头息，费用过高，客服不予理睬，催收态度蛮横，未经授权读取通讯录到处骚扰，希望相关部门处理！！。</t>
  </si>
  <si>
    <t>2019/10/06 00:09:01</t>
  </si>
  <si>
    <t>浦发银行协商还款不同意！12万本金一个月息费1万多！高利贷行为！。</t>
  </si>
  <si>
    <t>2019/10/06 00:08:30</t>
  </si>
  <si>
    <t>宜兴滴滴快车接不到单，滴滴优享司机接到停不下来！。</t>
  </si>
  <si>
    <t>2019/10/06 00:08:07</t>
  </si>
  <si>
    <t>在好分期上借款500，现在还没还钱，恶意伪造发律师函恐吓催收。</t>
  </si>
  <si>
    <t>2019/10/06 00:04:08</t>
  </si>
  <si>
    <t>借7000元分6期要还11760元，其他费用是什意思，没有告知，利息比高利贷还高。</t>
  </si>
  <si>
    <t>2019/10/06 00:04:07</t>
  </si>
  <si>
    <t>豆豆钱还款日无法主动还款，第一期不提醒用户还款故意让用户逾期，第二期无法主动还款，一天逾期费高达100，反正就是套路逾期然后支付高额逾期费借款4600需要还5400。</t>
  </si>
  <si>
    <t>2019/10/06 00:01:42</t>
  </si>
  <si>
    <t>5月28日在新橙优品借款3000元.实际到账2530.46.不清楚扣了什么钱.分6期还款.每期还款金额691.80元.共还4150.8元.已还4期共2767.2元.提前结清还需要还1116.33元.严重属于高利贷行为.已经超过国际范围的利息红线.现要求新橙优品修改合法的还款金额.并退还保险或者在还款金额中扣除。</t>
  </si>
  <si>
    <t>2019/10/06 00:00:47</t>
  </si>
  <si>
    <t>闲鱼买到假的卡，客服一直不处理，反而让买家提供什么证据，乱七八糟的，卡是卖家的，买到假卡，查询也要卖家本人，却让买家提供证据，为什么假的东西能放在闲鱼上面卖，而且退款一直不处理，买到假货也不处理，闲鱼买到不能用的假卡。</t>
  </si>
  <si>
    <t>2019/10/06 00:00:30</t>
  </si>
  <si>
    <t>广发信用卡大半年前都没通知就突然把我的信用卡从两万三降到了三千本人一直按时还款也没什么逾期之后联系客服也没任何回复最终我按照每个月账单还款现要求广发信用卡恢复我一定的额度。</t>
  </si>
  <si>
    <t>2019/10/06 00:00:14</t>
  </si>
  <si>
    <t>未经同意，私自扣款我好像也没下载过这个app。</t>
  </si>
  <si>
    <t>2019/10/05 23:59:43</t>
  </si>
  <si>
    <t>将近十年的忠实客户，在京东至少购买了十余万的商品。</t>
  </si>
  <si>
    <t>2019/10/05 23:58:12</t>
  </si>
  <si>
    <t>电话联系不上，希望平台减免逾期费用！积极配合销帐！第二期还款日当天系统出现异常第二天6点多才扣款成功！现在最后一期了希望能减免逾期费用！本人并非恶意逾期联系不上客服，APP反馈无人理。</t>
  </si>
  <si>
    <t>2019/10/05 23:56:55</t>
  </si>
  <si>
    <t>投诉人文先生投诉对象淘宝网涉诉金额1180元问题类型诉求类型投诉详情该店铺售卖票价，将近为票面价值的两倍，后来看了官网的评论，才知道被黄牛给坑了，在订单状态显示为未发货时联系卖家协商退款，卖家称退款要扣百分之三十手续费，随后卖家立即更改订单状态为已发货，拒绝退款。</t>
  </si>
  <si>
    <t>2019/10/05 23:56:35</t>
  </si>
  <si>
    <t>用迅捷视频转换器转换视频时，时长较长的视频需要开通会员，我开通了永久会员通过扫描二维码支付了88元的；但是转换视频时一直都是转换失败，涉嫌欺骗消费者，请帮忙全额退款。</t>
  </si>
  <si>
    <t>2019/10/05 23:55:24</t>
  </si>
  <si>
    <t>我不欠他钱，别人欠钱，总是给我发信息打电话骚扰我，让我转告！不管什么时间就打电话！。</t>
  </si>
  <si>
    <t>2019/10/05 23:54:44</t>
  </si>
  <si>
    <t>投诉人 刘先生        投诉对象  拍拍贷        涉诉金额  3 900 元    问题类型    诉求类型投诉详情  借款3900分12期。上面写的年利率9% 可事实利率并非文件所写这样。要还5303.67的金额费用。晚一天还，利息高达几十块。</t>
  </si>
  <si>
    <t>2019/10/05 23:54:03</t>
  </si>
  <si>
    <t>2018年中旬，我的账号让别人用平台盗走以后，到现在国庆节才找回，而我登陆上以后，它显示使用未经认证的第三方软件，此账号已被永久禁封。</t>
  </si>
  <si>
    <t>2019/10/05 23:53:33</t>
  </si>
  <si>
    <t>本人中信银行信用卡于2018年7月23日在武汉市江岸区人民法院永清法庭开庭审理完毕，法院判决偿还本金36000及年化率24%内的利息，本人在2018年至2019年期间多次跟中信银行信用卡委托第三方表明态度，其委托第三方有湖南永雄资产管理集团杭州分公司，本人多次就此问题多次像中信银行信用卡中心提起投诉，本人强烈要求中信银行信用卡中心交出凶手严惩不贷。</t>
  </si>
  <si>
    <t>2019/10/05 23:53:17</t>
  </si>
  <si>
    <t>因生意周转在微粒贷借款，之前一直按时还款，近两个月资金出现问题，导致逾期，微粒贷每天打电话发短信骚扰本人及家人，要求我们还清所有欠款6万多，我们主动协商解决，经理给出方案，三天之内要么全款还清60000多，要么还百分之五十，剩下的算利息，当天还款后与催收人通话，他们也保证不会再继续催收，待我们资金到账后会还清剩余款项，结果，10月5日微粒贷又换两个不同的催收人对我及家人进行催收。</t>
  </si>
  <si>
    <t>2019/10/05 23:52:40</t>
  </si>
  <si>
    <t>投诉人贺先生投诉对象乐客独角兽涉诉金额9800元问题类型诉求类型投诉详情大概六月份的时候在抖音刷到商业小纸条的账号里面的内容都是在讲关于工作创业的事情一下子激发了我的极大兴趣因为本人刚从上一份事业退出观察了大概几天后也看到这个账号的粉丝量点赞数都很不错点进直播间发现他们在讲如何创业赚钱的事项目好容易做有一对一培训了解后也添加了微信对这个项目有意向留下个人信息后客服经理开始给我打电话问了一些基础问题开始讲成为会员的好处接着几天内也有给我打电话联系并说明过几天下个月后就没有这个活动了以后要做要多交1w的保证金一</t>
  </si>
  <si>
    <t>2019/10/05 23:52:33</t>
  </si>
  <si>
    <t>拼多多平台为网络赌博网站提供支付交易，请拼多多平台退回钱款。</t>
  </si>
  <si>
    <t>2019/10/05 23:51:53</t>
  </si>
  <si>
    <t>之前在哈尔滨通过首汽合作的租赁公司购买了一台以租代购形式的网约车干了一年时间，后期由于一些原因将车辆卖掉了，但是车辆还是属于原租赁公司，现在我将车辆卖掉了，自己来到青岛也想继续从事首汽网约车司机，但是找到一家租赁公司租了车也考取了当地网约车资格证后，绑定成功辆时候发现显示已绑定其他车辆无法重新绑定车辆情况，打平台客服告知必须联系之前车辆所在车队解绑后才能重新绑定，当我联系之前车队给的答复需要提供新添加车辆的信息，我都提供了，我又联系首汽客服告知情况后客服让我等客服处理结果，可是现在已经过去半个多月了没有任何</t>
  </si>
  <si>
    <t>2019/10/05 23:51:43</t>
  </si>
  <si>
    <t>投诉人 陈女士        投诉对象  小赢钱包,京东金融        涉诉金额  5 000 元    问题类型    诉求类型投诉详情  打电话给我 态度非常恶劣 直接威胁我 要打我通讯录 p我图 还有这样的催收？骚扰电话一天几十个上百个了 我根本没办法正常工作 要是爆了我通讯录 严重影响我生活 这算谁的？他给了我下午五点之前必须有回复 不然肯定爆我通讯录 ？？？？？现在还是不是法制社会了？从来没见过态度这么恶劣的催收。</t>
  </si>
  <si>
    <t>2019/10/05 23:51:08</t>
  </si>
  <si>
    <t>2019/07/15号提出退保证金至今未退。</t>
  </si>
  <si>
    <t>2019/10/05 23:50:53</t>
  </si>
  <si>
    <t>我联系云南电信网厅在线客服反映电信手机号码销号恢复的问题，在线客服63106号工号客服态度恶劣，说我要遭到报应，不受理电信问题，我直接向云南电信投诉反映在线客服63106号工号客服员工态度恶劣问题，云南电信理都不理又不处理在线客服63106号工号客服员工的态度问题，我要投诉.。</t>
  </si>
  <si>
    <t>2019/10/05 23:50:28</t>
  </si>
  <si>
    <t>1.本人于6月份在crash闪银借款2000，下款2000，收取400担保金，情况:本人如今剩余200元本金未还，在协商之后，立即还清款项，同时需要资方提供结清证明。</t>
  </si>
  <si>
    <t>2019/10/05 23:49:45</t>
  </si>
  <si>
    <t>一个APP，居然在举国欢庆的国庆期间，威胁我还款，到账2100，还款3000，砍头息的国家明令禁止的高利贷，请问，谁给你的权利。</t>
  </si>
  <si>
    <t>2019/10/05 23:48:02</t>
  </si>
  <si>
    <t>今天本人建行银行卡被主动扣款一笔金额，备注提示还款，可本人并不知道这是什么平台，也从未在该平台发生任何交易，请核查并退回该笔款项。</t>
  </si>
  <si>
    <t>2019/10/05 23:46:56</t>
  </si>
  <si>
    <t>本人从2018年1月办理捷信金融消费贷，金额28000，分42期，还清需要53256，已还了20期，每期1268.13元截止至今天已还了25362.6元，由于网贷这个问题导致工作都没了，承受不起这么高额的利息，之前app上是不可以申请提前结清的，现在可以一次性结清，但是还要付19227.98元的本金才能结清，这是不是阴阳合同，太高的利息了，求平台给个说法，希望可以付合法的利息！结清合同。</t>
  </si>
  <si>
    <t>2019/10/05 23:44:33</t>
  </si>
  <si>
    <t>利息高的吓死人，我认为这样的公司不应该再存在应立即查封，国家应该禁止高利贷的存在，加大对高利贷的打击力度，还人民一个公平的社会，加大对放高利贷人的处罚力度，贷上钱就是这样一个不应存在的高利贷平台，利息高的吓死人，逾期一天就骚扰通讯录，相关部门应立即关闭他。</t>
  </si>
  <si>
    <t>2019/10/05 23:44:02</t>
  </si>
  <si>
    <t>投诉人吴先生投诉对象小米手机,小米涉诉金额0元问题类型诉求类型投诉详情9月12号，旧手机红米5a因误操作造成手机被锁死需激活设备，因手机绑定的小米账号密码忘记了，包括绑定的手机号139******31,已注销一年，联系小米的微信客服，告知可以申诉解锁设备，申诉了一下，不通过，要求提供手机盒子和发票，购机证明，自购机起用了一年，盒子发票早就没了，后来找了小米商城的客服，给备注了一下，先后接到小米客服的回访电话两次，要求重新申诉，又申了几次不通过包括找回密码一次，都不通过，我实在想不出去那找这个购机证明，9月2</t>
  </si>
  <si>
    <t>2019/10/05 23:40:25</t>
  </si>
  <si>
    <t>1.我来贷砍头息我来贷借款3000，砍头息被砍去好几百，！！！逾期一天的利息是50元，两天就是100！3.我来贷恐吓、私自暴露通讯录，擅自拨打借款人亲友电话，毁人声誉！要求平台停止行为，催收人员道歉。</t>
  </si>
  <si>
    <t>2019/10/05 23:39:51</t>
  </si>
  <si>
    <t>玖富万卡高昂的分期费用需要有关责任部门来监管。</t>
  </si>
  <si>
    <t>2019/10/05 23:39:26</t>
  </si>
  <si>
    <t>本人被引诱到一个网站充值入金1100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t>
  </si>
  <si>
    <t>2019/10/05 23:37:23</t>
  </si>
  <si>
    <t>投诉人黄先生投诉对象舒心安达涉诉金额1880元问题类型诉求类型投诉详情我于2019年8月1日从惠州平潭机场候机准备飞温州，已经过了安检到了候机内部，有穿制服人员来向我们推销卡，说我们充值1880赠送一千，而且说打电话预定肯定是比我们在所有网站上的便宜，享受折上折，因为是在机场内部&amp;nbsp;想着应该不会是骗子，所以根据推销人员的说法办了卡，期间没有签任何协议，结果现在发现打电话订票还没有我自己在网上看的便宜，并且在推销的时候推销人员完全一句没提过关于抵扣的问题，然后微信找当时让我办卡的销售，她说他可以用她的</t>
  </si>
  <si>
    <t>2019/10/05 23:36:10</t>
  </si>
  <si>
    <t>本人在没有任何操作的情况下，小浦优客从我银行卡中划走296元至宏萨信息科技有限公司，收款方为通联沪快且沟通不到，要求贵司还款，不然将追究法律责任，明天后天上海虹口区派出所见。</t>
  </si>
  <si>
    <t>2019/10/05 23:36:06</t>
  </si>
  <si>
    <t>网络总是断断续续，老是断网，信号很差，只要在室内，不管公司还是家里都只有两三格的信号，已经打过几次客服了，问题仍然还是存在，如果不能解决问题那么每个月的月租缴纳来干嘛的，打个游戏都经常掉线，发个微信发半天！解决不了就不要收取客户的流量费！。</t>
  </si>
  <si>
    <t>2019/10/05 23:35:42</t>
  </si>
  <si>
    <t>本人实在无力还清，迟了一天，从全国各地的各种号码打来了骚扰电话。</t>
  </si>
  <si>
    <t>2019/10/05 23:35:37</t>
  </si>
  <si>
    <t>中国银联,金泰鸿顺建筑,南宁鑫百建南站汽车贸易有限公司,安然商城,广西南宁马尚友体育旅游开发有限公司,广西南宁西江金彩商贸有限公司,南宁德松投资有限公司,天津佳爽金属制品有限公司,加格达奇区西兴苑365生鲜,爱购商城，违规网站用云闪付收款，希望云闪付协助追回损失资金。</t>
  </si>
  <si>
    <t>2019/10/05 23:32:37</t>
  </si>
  <si>
    <t>玖富万卡平台擅自改写借款合同，而且收取高额利息及高额服务费，在未通知借款人的情况下，制造虚假合同，擅自添加修改借款账单让借款人还款，借款后不仅需要偿还本金及正常利息，还需支付服务费以及服务费还需要利息，以各种方式变相收取高额费用，欺骗借款人，使用分期等额本息方式进行还款，每月偿还本金，利息，服务费，以及服务费利息，实际偿还总利息超过国家规定标准年利率。</t>
  </si>
  <si>
    <t>2019/10/05 23:31:22</t>
  </si>
  <si>
    <t>投诉人 陈先生        投诉对象  造艺科技,百事普惠        涉诉金额  299 元    问题类型    诉求类型投诉详情  恶意扣款299元、 要求退还。 上海通联支付。 造艺科技。 百事普惠。。。 不退款银监会举报</t>
  </si>
  <si>
    <t>2019/10/05 23:27:59</t>
  </si>
  <si>
    <t>现因工作变动，暂时周转不开，今客服依然电话骚扰不给于协商，只是这种人身攻击加不停骚扰的方式明显与国家法律相悖。</t>
  </si>
  <si>
    <t>2019/10/05 23:24:19</t>
  </si>
  <si>
    <t>本人2019喵10月5号通过软件推荐下载喵下贷借款，但是他们app显示已放款，但是我的银行卡并没有收到入账的信息，我要求他们撤回1300元，且消除我的订单，请你们查清楚。</t>
  </si>
  <si>
    <t>2019/10/05 23:23:56</t>
  </si>
  <si>
    <t>邀请一个人给30金币，我拉了的人头到了1472金币，然后去学校了没有提现，回到家的时候发现这个活动没有了，活动也没有设置有活动结束时间，也联系不到客服处理。</t>
  </si>
  <si>
    <t>2019/10/05 23:21:19</t>
  </si>
  <si>
    <t>20191005乘坐出租车夜间，平台页面预估价格230左右，上车后，司机表示因存在返程费用，无法打表计费，要求多付近200元乘车费用，长时间与司机师傅沟通未果，实时联系客服及值班经理，平台建议重新打车或师傅打表，建议方案无法实时解决问题，长时间多次沟通无果，且值班经理主动挂机，之后再要求联系值班经理沟通，工作人员均表示问题已反馈，但值班经理无法接听受理，且表示即使投诉自己，并主动提及自己工号，表示可以投诉自己，但值班经理也无法受理，问题处理也需要一至三个工作日，诉求:因夜间打车困难，与司机沟通单程费用400</t>
  </si>
  <si>
    <t>2019/10/05 23:21:02</t>
  </si>
  <si>
    <t>360借条骚扰我通讯录的亲朋好友，侵犯隐私。</t>
  </si>
  <si>
    <t>2019/10/05 23:19:45</t>
  </si>
  <si>
    <t>投诉人 展女士        投诉对象  旺金福        涉诉金额  1 860 元    问题类型    诉求类型投诉详情  不经过同意下款强行放款。5天利息1150多。不能接受。希望退还本金1860。或者归还国家规定的利息。</t>
  </si>
  <si>
    <t>2019/10/05 23:18:46</t>
  </si>
  <si>
    <t>逾期一天就不得了开始暴通讯录，私自拨打亲友，美名其曰“协助还款”！2.一天十几个电话，严重影响生活和工作，请求制止这种不人性化的催收，制止暴力催收！。</t>
  </si>
  <si>
    <t>2019/10/05 23:17:37</t>
  </si>
  <si>
    <t>投诉人 陈先生        投诉对象  拇指下款,上海跃吉网络科技有限公司         涉诉金额  299 元    问题类型    诉求类型投诉详情  我下载注册好之后 填写了基本信息 欺骗套路我申请一份报告 申请报告的时候 完全没有任何需要付款的提醒 点击下一步之后 直接被强制扣款 严重欺骗消费者</t>
  </si>
  <si>
    <t>2019/10/05 23:16:50</t>
  </si>
  <si>
    <t>投诉人陈先生投诉对象好易贷涉诉金额6000元问题类型诉求类型投诉详情本人8月中旬在2345借贷王的好易贷app平台申请3000金额，但是到手仅有2100，后来发现属于714套路贷，利息远超过国家规定，逾期后滞纳金竟达3000，，与平台工作人员协商，该人员一开始答应不算逾期费用和其他费用，归还2800即可销账，但是微信转账后改口平台不允许更改，还得交1700滞纳金才能销账，有聊天记录为证，这个严重影响到借款人的经济能力，还威胁借款人，并表示不怕报警，会使用暴力催收，希望有关部门重视，立即处理！，本人已经归还2</t>
  </si>
  <si>
    <t>2019/10/05 23:16:30</t>
  </si>
  <si>
    <t>2019年在攀枝花机场候机厅，由于当时机场办理手续人员很多排队很长，登机牌排了20分钟都拿不到，这时身穿机场制服的几位女性工作人员向我推销易程商旅卡承诺在我预存1500元办卡后，可以享受以下优惠:1、可以凭个人手机号在各机场的易程专用贵宾室免费休息，2、预存的1500元抵2000元，可以在每次定票时抵机票费用，3、每次电话订票保证为当次航班最低价，办卡后一个月内，我按卡上电话进行了第一次订票，发现:1、我预存的1500元费用加上对方承诺返回的500元总计2000元只能用于抵扣订票手续费，且手续费用巨贵，每次</t>
  </si>
  <si>
    <t>2019/10/05 23:16:23</t>
  </si>
  <si>
    <t>关于编号：CN1278849的案件是不是不处理了。</t>
  </si>
  <si>
    <t>2019/10/05 23:15:15</t>
  </si>
  <si>
    <t>投诉人张先生投诉对象汇潮支付,双辽市春天支农小额贷款有限公司涉诉金额10000元问题类型诉求类型投诉详情投诉汇潮支付和双辽市春天支农小额贷款有限公司放高利贷、投诉支付宝协助高利贷公司回款、投诉金鸡下蛋、威力贷、菜鸟有钱、肥猫贷、来花花高利贷公司，借款1400，2-5天还款2000，实际只有一天半和4天，第五天就有人员用境外电话打过来，在未逾期的情况下威胁，辱骂，恐吓，发短信扬言让我身败名裂，为高利贷公司他提供还款通道每次扫码付款还能把商户自动跳转到我周边的商户，打电话给支付宝公司，支付宝公司拒绝提供收款人信</t>
  </si>
  <si>
    <t>2019/10/05 23:14:45</t>
  </si>
  <si>
    <t>本人9月27号到梅县机场咨询买机票，然后在柜台一个叫成芳芳工作人员热心的询问我情况，跟我介绍了一大堆之后说现在做活动免费帮我登记一张卡，最后我花了1998办了一张卡，她还强调了充值1998元可获得价值3000元的会员卡还有贵宾厅是终身免费使用，然后会员服务协议里的其他内容也没有跟我详细说明，会员协议也没有给我，10月4号晚上我登陆会员网才发现会员卡的有效期是一年，贵宾厅服务说终身，其实才送一年，还说全国都有贵宾厅可以休息，深圳机场都没有休息，之前还说买机票比其他平台便宜也是假的，反而更贵，办卡以后就这样的服</t>
  </si>
  <si>
    <t>2019/10/05 23:14:25</t>
  </si>
  <si>
    <t>10月5日，本人在山西省定襄县五台山机场送朋友坐飞机，一名带着工作牌的人员询问去往哪里，随后和我聊天后，就开始推销V出行的会员卡，宣传称可以只要充值1680元办理会员卡，送1000元，以后每一次买机票可以从中间全额抵扣，而且可以用于购买国际航班机票，本人本来持怀疑态度，那推销人员随后给我看了工作牌说到，他们是机场的工作人员，本人本着机场不会欺骗消费者的想法便办理了一张，在随后得到办理成功的信息后，本人随后登录上去观看我的权益，在权益中显示每次购买机票只能抵扣3%-30%的机票钱，而且在里面也没有购买国际航班</t>
  </si>
  <si>
    <t>2019/10/05 23:13:48</t>
  </si>
  <si>
    <t>本人拼多多命名季府的店铺从19年5月开始退店，7月退店成功，但退店保证金一直未到账，中间联系客服很多很多次，客服一直说帮忙反应一下情况，但至今一直没有任何回复，保证金也没到账。</t>
  </si>
  <si>
    <t>2019/10/05 23:13:40</t>
  </si>
  <si>
    <t>在我不知情的情况下付给你296元报告生成费用，我都没提交过，何来296生成费用。</t>
  </si>
  <si>
    <t>2019/10/05 23:13:25</t>
  </si>
  <si>
    <t>滴滴公司在无锡地区持续为黑滴滴车辆派单！而且单子的质量和数量远远好过我们合规车辆！我们按党和国家的政策！听从滴滴公司的号召！按照相关法律法规！依规守法地办理了一切合规手续成为了一名专职滴滴司机！滴滴公司长期以来承诺将取蒂黑滴滴！现在是言行不一！无形中滴滴公司成为了黑恶势力的幕后推手！。</t>
  </si>
  <si>
    <t>2019/10/05 23:12:50</t>
  </si>
  <si>
    <t>淘宝正常购物，没做过任何违规事情！无故被别人告知降权。</t>
  </si>
  <si>
    <t>2019/10/05 23:12:34</t>
  </si>
  <si>
    <t>小浦优客app申请借款，按步骤填写资料，然后最后要求绑定银行卡，绑定完成就开始审批，基本信息我都没有全部验证，第二天收到短信内容是扣除296元个人信用报告费用第三方支付是通联支付-宏萨，我拨打客服热线客服人员谎称绑卡时有说明，可是之前申请步骤并没有说明有这个费用，正规贷款也不应该有前期费用，涉嫌违规欺诈。</t>
  </si>
  <si>
    <t>2019/10/05 23:12:30</t>
  </si>
  <si>
    <t>对方通过微信群添加，说是刷单，佣金10块，要求从支付宝直接扫码购买商品，付款后发现是苏宁的，但是找不到订单信息。</t>
  </si>
  <si>
    <t>2019/10/05 23:11:11</t>
  </si>
  <si>
    <t>合同上收款扣款是农业银行卡，但是在我不知情的情况下从我邮政卡扣钱了，这钱我有急事要用的，在我不知情的情况下私自扣钱算不算违规，捷信有没有这个权利，这跟强盗有什么区别，骚扰天天不断，就连10.1国家生日都不放假没停的骚扰，生活工作严重受到影响，没法安宁，加上高额的利息和各种服务费压得气都喘不过来，永远都还不完，心中念想，只有来生再还了，已经买好了敌敌畏。</t>
  </si>
  <si>
    <t>2019/10/05 23:09:22</t>
  </si>
  <si>
    <t>7月31号我到移动营业厅办理移动宽带新装和号卡新入网，缴费550元的费用，移动营业厅工作人员给我说免收3个月的移动宽带30元的费用和免收3个月的5元彩铃费，到4个月才正常收取30元宽带费和5元彩铃费，没有到4个月云南移动就扣除30元宽带费和5元彩铃费用，使用移动业务1个月，云南移动就恶意乱扣我手机增值业务彩铃宽带套餐费用，我拨打云南移动10086投诉，一直未得到解决，没办法我只有9月30号手机报停，手机报停之后10月份费用还在继续恶意扣30元宽带费用，移动把话费余额扣除还剩二十几块钱了，我又联系云南移动网厅</t>
  </si>
  <si>
    <t>2019/10/05 23:08:17</t>
  </si>
  <si>
    <t>乐客独角兽公司提供的业务与他们的陈述和宣传有很大差别，根本没有办法正大光明的赚钱，我在交钱后的第一时间要求退款，至今也没有说法。</t>
  </si>
  <si>
    <t>2019/10/05 23:08:12</t>
  </si>
  <si>
    <t>十月五号下午莫名为携趣信息科技上海有限公司分俩次扣款349元。</t>
  </si>
  <si>
    <t>2019/10/05 23:07:40</t>
  </si>
  <si>
    <t>在购分期平台申请借款，但是还没正式申请，就在没有任何说明的情况下无故强制扣了199的所谓vip费用，要求全额退还。</t>
  </si>
  <si>
    <t>2019/10/05 23:05:11</t>
  </si>
  <si>
    <t>你我贷平台未经过同意就自私扣卡里的钱，真的是恶劣，属于恶意行为，完全是无缘无故的行为。</t>
  </si>
  <si>
    <t>2019/10/05 23:05:00</t>
  </si>
  <si>
    <t>因家里出了事朋友介绍在你我贷平台借款2万，当时服务费3000多，之前工作稳定一直按时还款，7月份换了工作之后出了些事还款还不上，跟你我贷平台解释过逾期原因协商还款不同意，喊我继续借他们平台的贷款来还，我没同意，之后威胁不还就打电话给通讯录亲戚朋友喊他们帮我还，没办法预支了工资还进去，后面实在没法有逾期，平台催收人员一天打几十个电话，还发短信威胁当天不还进去就把我照片发给通讯录好友，加微信也是说不还就把我照片p了发给亲戚威胁。</t>
  </si>
  <si>
    <t>2019/10/05 23:04:24</t>
  </si>
  <si>
    <t>小黑鱼点心贷非法砍头息，到账1500，秒扣375逾期一天利息150威胁爆通讯录希望可以协商还款和还款时间。</t>
  </si>
  <si>
    <t>2019/10/05 23:03:32</t>
  </si>
  <si>
    <t>app贷款强制购买一个小秘书的产品，400元不勾选无法提交贷款申请，app客服点不开联系不到。</t>
  </si>
  <si>
    <t>2019/10/05 23:03:30</t>
  </si>
  <si>
    <t>App还款不进去，确老是来骚扰让还款，仔细看了下，属高利贷。</t>
  </si>
  <si>
    <t>2019/10/05 23:01:18</t>
  </si>
  <si>
    <t>小黑鱼里面的点心贷，借款1125到帐1500，一到账就被划扣375，可是这个保险费我不承认我打电话去咨询，他们一味和我说是我自己操作的，还说我如果不还过了还款期之后，什么逾期费会，管理费呀一天就要200多，我的天你们是土匪吗?请问哪条法律规定你们收这些费用的，其中有保险费375，国家已经明令禁止在借贷中存在保险费，相信小黑鱼APP可是没有想到让人很失望，该还的我会还，可是这个保险费我不承认，我打电话去咨询，他们一味和我说是我自己操作的，还说我如果不还过了还款期之后，什么逾期费会，管理费呀一天就要200多，我</t>
  </si>
  <si>
    <t>2019/10/05 22:59:54</t>
  </si>
  <si>
    <t>投诉人 岜女士        投诉对象  Wecash闪银        涉诉金额  6 800 元    问题类型    诉求类型投诉详情  每天去我公司和家里闹。现在弄得我工作丢了和家人不和还逾期。明显的暴力收款。</t>
  </si>
  <si>
    <t>2019/10/05 22:58:20</t>
  </si>
  <si>
    <t>2019年9月27日下午17:40分至18:16:14秒才离开该行狗领导委托该行信贷员工一个员工为穿工工作服是林霞另外一个身穿工作服是小张，而且该两名员工多次违反银监局违规上门催收。</t>
  </si>
  <si>
    <t>2019/10/05 22:55:49</t>
  </si>
  <si>
    <t>当天还款没有找到微信还款通道，平时都是微信还款，现在取消还款通道，还算我违约，要求我缴纳违约金，诉求取消违约金，恢复名誉，打开微信还款通道，或允许更改还款卡号。</t>
  </si>
  <si>
    <t>2019/10/05 22:55:18</t>
  </si>
  <si>
    <t>这几天资金上出现了困难才逾期的，大概有10天了，我一直想办法还上，这些天电话不少打到亲人朋友这里，生活上和工作上造成一定的困扰，甚至发信息恐吓，我凑够钱想还，一看多了一百多，罚息我可以接受，但是其中100元是催收费我接受不了，这你们找第三方催收是你们的事，干嘛要我们来埋单，就好比如我请客你淘钱你愿意吗这么简单的道理你们进水了吗，我们被你们催收骚扰，工作上精神上也受到一定的损失，那谁来为我们埋单，你们愿意吗，这催收费我不能接受，不要跟我电话回访说个对不起不好意思就了事，我从来不接电话的，打了也没用，这些都是表</t>
  </si>
  <si>
    <t>2019/10/05 22:53:29</t>
  </si>
  <si>
    <t>投诉人 陈先生        投诉对象  银盛支付        涉诉金额  99 元    问题类型    诉求类型投诉详情  银盛通在未告知激活要扣除99元的激活费。扣除了我的费用。怀疑有欺诈行为</t>
  </si>
  <si>
    <t>2019/10/05 22:53:19</t>
  </si>
  <si>
    <t>投诉人陈先生投诉对象你我贷涉诉金额5000元问题类型诉求类型投诉详情昨天收到电话说第二期到期未还，晚上下载APP去还第二期，点了还款后，发现银行卡多扣1060，返回APP发现平台自主把下期账单全部还了，下期400多利息也扣了，要么退回一期利息，要么返回多扣一期，下期再还。</t>
  </si>
  <si>
    <t>2019/10/05 22:52:39</t>
  </si>
  <si>
    <t>投诉人程先生投诉对象现金借款涉诉金额1400元问题类型诉求类型投诉详情本人因为资金方面出现问题，想与现金借款公司协商推迟3天还款逾期费我认希望不要骚扰我通讯录的人请相关人员联系我谢谢！。</t>
  </si>
  <si>
    <t>2019/10/05 22:52:05</t>
  </si>
  <si>
    <t>9月5日在贷上钱APP中借款3000元，谁知到账2100元后，平台立即从卡里扣走900权益产品”费用，实际到账本金为1400元，分三期还款每期30天，每期还1360.59元，共要还4081点77元，现今本人因怕遭受暴力催收，不得已的情况下还完了一期共1360.59元，现要求在我换完合法利息后，平台做销账处理，本人还会向全国扫黑办、12315等有关部门继续投诉。</t>
  </si>
  <si>
    <t>2019/10/05 22:52:00</t>
  </si>
  <si>
    <t>安全带借款3000，21天分3期还，每期还款1214，本人前前后后在安全带借款5次左右，利息给了两三千，7天一期，一期200多利息，远超国家标准，最后一期实在无力偿还，希望最后一期销账处理。</t>
  </si>
  <si>
    <t>2019/10/05 22:51:43</t>
  </si>
  <si>
    <t>还款时候必须购买四百块钱的金豆，请问这是什么钱。</t>
  </si>
  <si>
    <t>2019/10/05 22:51:17</t>
  </si>
  <si>
    <t>在本人不知情而且也没同意过任何扣款条例下莫名其妙的被扣钱，强烈要求处理这种非法盗取客户银行卡信息然后私自扣钱的行为。</t>
  </si>
  <si>
    <t>2019/10/05 22:50:46</t>
  </si>
  <si>
    <t>借2000要还2500，以买购物豆为由，多少500利息因资金紧张逾期一天暴力催收，恐吓骚扰通讯录，困扰亲戚朋友。</t>
  </si>
  <si>
    <t>2019/10/05 22:48:13</t>
  </si>
  <si>
    <t>投诉人陈先生投诉对象你我贷涉诉金额5000元问题类型诉求类型投诉详情你我贷平台，冒充法院人员，电话要求去当地报到，报虚假犯罪条款吓唬人，真的是相当恶劣。</t>
  </si>
  <si>
    <t>2019/10/05 22:48:06</t>
  </si>
  <si>
    <t>问题是我把总利息全部加起来多还了一个月的利息。</t>
  </si>
  <si>
    <t>2019/10/05 22:47:51</t>
  </si>
  <si>
    <t>亲戚从平台APP中借款后，从中强制抽取服务费，找客服理论，客服态度很恶劣。</t>
  </si>
  <si>
    <t>2019/10/05 22:45:47</t>
  </si>
  <si>
    <t>未到逾期日期中腾信工作人员威胁催收，爆通讯录打电话粗口骂亲朋！。</t>
  </si>
  <si>
    <t>2019/10/05 22:45:35</t>
  </si>
  <si>
    <t>Simplypiano软件下载打开的时候有7天免费使用权限，7天时间到了以后没有信息提醒也没有询问客户意愿，未经我同意就强制办理了年费续费，成功强制扣款，。</t>
  </si>
  <si>
    <t>2019/10/05 22:45:33</t>
  </si>
  <si>
    <t>投诉人 谢先生        投诉对象  Gogo游戏Steam助手        涉诉金额  18 元    问题类型    诉求类型投诉详情  游戏无法退款 联系不上客服处理 要求速联系我退款处理</t>
  </si>
  <si>
    <t>2019/10/05 22:45:11</t>
  </si>
  <si>
    <t>投诉人周旋投诉对象钱站涉诉金额500元问题类型诉求类型投诉详情借款后还没放款前一天我有联系过客服取消，钱站执意放款收取高额利息逾期费暴力催收打遍我通讯录。</t>
  </si>
  <si>
    <t>2019/10/05 22:44:28</t>
  </si>
  <si>
    <t>投诉人高先生投诉对象巴乐兔涉诉金额0元问题类型诉求类型投诉详情在朋友圈悠哉的发着微信，对转租租客的信息视而不见，这就是巴乐兔人员，为了租房各种手段，一到转租没人影了。</t>
  </si>
  <si>
    <t>2019/10/05 22:43:13</t>
  </si>
  <si>
    <t>因为我的借款逾期了，我也接过电话但还是继续骚扰我的家人，还恶意中伤和恐吓。</t>
  </si>
  <si>
    <t>2019/10/05 22:41:58</t>
  </si>
  <si>
    <t>我爸去年不知何种渠道办了128优惠套餐，活动2019年9月结束，2019年9月22号晚8点多我托人用我爸手机，号码138******00打10086更换18元套餐，所托之人告诉我已办好，国庆放假我回来查手机，发现还是128的优惠套餐，就打10086是怎么回事，那我就说现在更换18元套餐，10086客服回复说如果要换套餐，这个月则按照128收费。</t>
  </si>
  <si>
    <t>2019/10/05 22:41:43</t>
  </si>
  <si>
    <t>投诉人微先生投诉对象你我贷涉诉金额3000元问题类型诉求类型投诉详情你我贷催收人员又联系，我在9月30日已与客服达成协议答应我10月12号还款，才申请结案，就在刚刚催收人员不履行诺言，催还款，言语威胁说爆通讯录好友电话。</t>
  </si>
  <si>
    <t>2019/10/05 22:41:39</t>
  </si>
  <si>
    <t>该平台涉嫌违法收取高额贷款通过费用，直接或间接为“虚拟货币”提供账户开立、登记、交易、清算、结算等产品或服务。</t>
  </si>
  <si>
    <t>2019/10/05 22:41:26</t>
  </si>
  <si>
    <t>投诉人 赵女士        投诉对象  Wecash闪银        涉诉金额  1 500 元    问题类型    诉求类型投诉详情  在超市门口办的贷款业务。1500实际到账才1380。问题是还有120去哪里了。每月还要利息。</t>
  </si>
  <si>
    <t>2019/10/05 22:39:35</t>
  </si>
  <si>
    <t>你好，上个月在用钱宝上推荐的贷款平台借款5000元，现在忘记平台名字，进入用钱宝直接跳转到贷款超市，无法查看自己的贷款信息，希望用钱宝的工作人员告知我还款方式，电话不方便，可以加我微信152******60，或者qq号435751492联系我。</t>
  </si>
  <si>
    <t>2019/10/05 22:39:04</t>
  </si>
  <si>
    <t>本人已明确表示8号工资日还款，本人也可正常联系的上，还多次骚扰无关联系人。</t>
  </si>
  <si>
    <t>2019/10/05 22:38:15</t>
  </si>
  <si>
    <t>我刚注销了马上金融的安逸花，但是我想起来了每次借款前总会告知有一个保险费，请问他们有保险代理资格吗，我现在要求客服给我解释，并且在注销安逸花之后，把我的保险也注销掉。</t>
  </si>
  <si>
    <t>2019/10/05 22:37:39</t>
  </si>
  <si>
    <t>逾期费用过高，借1500，收取砍头利息168元，到期还款1545，愿偿还本金及利息1545元，逾期费用请求减免。</t>
  </si>
  <si>
    <t>2019/10/05 22:37:10</t>
  </si>
  <si>
    <t>平台以“风险评估”和“担保费”名义在本人银行卡自动扣除费用，按照《中华人民共和国合同法》第二百条“借款的利息不得预先在本金中扣除，利息预先在本金中扣除的，应当按照实际借款数额返还借款并计算利息”规定，该行为涉嫌构成以其他形式提前扣除贷款本金的行为。</t>
  </si>
  <si>
    <t>2019/10/05 22:36:42</t>
  </si>
  <si>
    <t>投诉人 坤先生        投诉对象  Wecash闪银        涉诉金额  2 500 元    问题类型    诉求类型投诉详情  办理贷款的时候说的天花乱坠怎么好利息低。办好业务后多了几百的费用。</t>
  </si>
  <si>
    <t>2019/10/05 22:36:32</t>
  </si>
  <si>
    <t>我堂哥在你我贷平台借了几千块钱，逾期第三天多个好友亲戚手机被骚扰，被恐吓，扬言把照片发给手机通讯录上的亲人好友要搞臭，态度极其横蛮。</t>
  </si>
  <si>
    <t>2019/10/05 22:35:26</t>
  </si>
  <si>
    <t>百事普惠恶意扣款100元，请求退款，感谢聚投诉。</t>
  </si>
  <si>
    <t>2019/10/05 22:34:02</t>
  </si>
  <si>
    <t>暴力催收，因本人被法院查封房产车产银行卡，逾期两天，对我个人，还有亲人好友电话轰炸，轰炸通讯录，对我的工作和生活造成巨大影响。</t>
  </si>
  <si>
    <t>2019/10/05 22:33:08</t>
  </si>
  <si>
    <t>第一次下载这个软件，在QQ上推荐下载的，点进去莫名其妙绑定支付宝，然后就看到我的支付宝账号里，先后被扣款69元和99元人民币，自己完全不知道。</t>
  </si>
  <si>
    <t>2019/10/05 22:32:35</t>
  </si>
  <si>
    <t>本人于2019年7月6日在新橙优品平台借款20000元整，2019年8月6日是第一次还款日，还款金额4421.38，当天银行卡余额充足，新橙优品平台不主动扣款，我自己手动还款十几次，都说还款失败，更换银行卡，依旧还款失败，无奈，在下午17时22分对公转账还款，之后也联系客服，说已还款，客服说尽快销账，然后四天后才销账，导致征信有一笔逾期记录，这不是本人的原因不还款导致逾期，本人征信记录一直良好，从未逾期，这次是因为新橙优品平台的问题，导致本人征信报告上产生逾期记录，请求新橙优品平台及天津金城银行撤销本次不良</t>
  </si>
  <si>
    <t>2019/10/05 22:32:01</t>
  </si>
  <si>
    <t>我说退货退款，他说只换不退，而且还是假货，说不换就打黑。</t>
  </si>
  <si>
    <t>2019/10/05 22:29:27</t>
  </si>
  <si>
    <t>羊绒裤穿了第一次，裤子松垮变长106厘米，。</t>
  </si>
  <si>
    <t>2019/10/05 22:29:20</t>
  </si>
  <si>
    <t>商品邮寄到和田后唯品会快递未打电话未发短信在客户毫不知情的情况下私自拒收客户快递，直接操作退款，事后联系唯品会客服，迟迟不肯给出明确答复与处理结果，在我接不到电话的时候发了条短信草草了事，未作出实际补偿，也未告知此事的处理方案。</t>
  </si>
  <si>
    <t>2019/10/05 22:27:18</t>
  </si>
  <si>
    <t>与广告不符，到处是充值窗口，充钱太厉害，没有元宝回收。</t>
  </si>
  <si>
    <t>2019/10/05 22:26:43</t>
  </si>
  <si>
    <t>拍拍贷逾期4天，暴力催收爆通讯录，恐吓威胁电话不断，侵犯个人隐私，严重影响个人工作生活，有录音为证，希望相关部门根据国家相关法律对该公司进行整改。</t>
  </si>
  <si>
    <t>2019/10/05 22:26:42</t>
  </si>
  <si>
    <t>：服务分改成口碑值后坑害了多少司机，我昨天在线10几个小时居然时长分还扣了，请问平台，你是要司机24小时在线吗，你们现在完全就是漠视所有优享车的生命安全，优享每天单子停不下来，个个都是不要命的去做，个个都是疲劳驾驶，可是快车司机呢，快车的出路在哪里，两小时一单，三小时一单，比比皆是，所有的快车单也优先派给新老优享了，平台这是完全不顾快车的死活！用丧心病狂来形容滴滴平台一点不为过分，柳青，睁大你的眼睛看看，再这样下去，辛苦打下的江山将要拱手相让给出租车、及时用车、首汽约车，看看你们这嘴脸，在同一个区域乘客叫不</t>
  </si>
  <si>
    <t>2019/10/05 22:26:36</t>
  </si>
  <si>
    <t>投诉人张女士投诉对象快马分期涉诉金额3000元问题类型诉求类型投诉详情本人于2019年8月30日在贷上钱APP快马分期中借款2000元，谁知到账2000元后，平台立即从卡里扣走600“权益产品”费用，实际到账本金为1400元，分四期还款每期7天，每期还513.72元，共要还2054点88元，现今本人因怕遭受暴力催收，不得已的情况下还完了前两期共1027.44元，剩余没还显示1129.92.合计金额需要还2157.96现要求在我换完合法利息后，平台做销账处理，本人还会向全国扫黑办、12315等有关部门继续投诉</t>
  </si>
  <si>
    <t>2019/10/05 22:25:44</t>
  </si>
  <si>
    <t>很多朋友都遇到了同样的问题，刚开始银行卡号是正常填写，之后就发信息通知你信息错误，我刚刚说我信息错误他们马上就回复我说银行卡信息错误了，还要我叫百分之二十的解冻金，还威胁我说处不处理我自己看着办，银行卡就算填错了也不会收到验证码好吧，真的是，希望平台能帮我们处理一下，谢谢，还大家几个公道，我刚刚看到了很多人都和我一样被骗了，刚刚开始银行卡还是正常正确的，过一会儿把银行卡信息都给我改了。</t>
  </si>
  <si>
    <t>2019/10/05 22:25:34</t>
  </si>
  <si>
    <t>买的鞋子降价这么多，感觉都不值了，以后都得慎重购物，请退款19元。</t>
  </si>
  <si>
    <t>2019/10/05 22:24:19</t>
  </si>
  <si>
    <t>我于2018年一月十五号从亚联财小额贷款有限公司重庆分公司。</t>
  </si>
  <si>
    <t>2019/10/05 22:22:26</t>
  </si>
  <si>
    <t>投诉人蒋先生投诉对象分期鸭涉诉金额3000元问题类型诉求类型投诉详情分期鸭之前借款2000，分成四期，每期还款822元，严重高利贷，这次借款3000，分成四期还，每期还款1233，四期共需还款4932，现在已经归还2期，共还2466，由于最近资金紧张实在还不起，现申请归还剩余本金534元，然后分期鸭平台销账。</t>
  </si>
  <si>
    <t>2019/10/05 22:21:56</t>
  </si>
  <si>
    <t>投诉人梁先生投诉对象华夏信财涉诉金额60000元问题类型诉求类型投诉详情2018年9月从华夏信财贷款，合同金额78351元，实际到手60000元，每期还款金额3507.共24期，共需要还款84168元，现在还了13期间，由于本人身体受伤，无法工作，想延缓还款3期并且降低费率，但是和客服沟通两次，并且把住院证明，病历提交给客服，客服答复坚决不肯，还一直电话威逼，不然就爆通讯录等手段，现在这个月是还不上了，希望大家友好协商下，本人有强烈的还款意愿，但是意外事件，所以希望聚投诉帮处理协调下，谢谢。</t>
  </si>
  <si>
    <t>2019/10/05 22:21:09</t>
  </si>
  <si>
    <t>本人于10月4日在智能手机安装了小浦优客app，并在该APP上注册了个人信息及本人的一张银行卡，该APP涉嫌套取用户信息，希望小浦优客APP能够全额退款，并给予合理解释。</t>
  </si>
  <si>
    <t>2019/10/05 22:18:18</t>
  </si>
  <si>
    <t>投诉人范先生投诉对象白条分期涉诉金额249元问题类型诉求类型投诉详情19年10月5号需要用点钱，看到白条分期可以提供5000额度，支付249会员费点击确定就能下款，结果平台把会员费扣了却并没有给我下款，而是又推荐了其他贷款平台，白条分期这种不负责的行为严重误导了消费者，浪费消费者时间，希望大家谨慎使用。</t>
  </si>
  <si>
    <t>2019/10/05 22:18:17</t>
  </si>
  <si>
    <t>实收77600，却按照80000收取利息，违反相关法律条款；另外收取高额不合理服务费高达20088元。</t>
  </si>
  <si>
    <t>2019/10/05 22:17:29</t>
  </si>
  <si>
    <t>投诉人葛先生投诉对象淘手游涉诉金额816元问题类型诉求类型投诉详情我买了一个游戏账号，通过客服改绑，完了以后发现账号乱七八糟都跟我买的不一样，然后我就找客服处理，客服一直拖，反正就是不管，也只会说一句话，刚开始还回复，后来都不理了。</t>
  </si>
  <si>
    <t>2019/10/05 22:15:36</t>
  </si>
  <si>
    <t>本人使用中国移动5年多一直是忠实客户，前几天手机借别人使用，可能发了什么短信导致现在手机无法发短信，打客服沟通几次无结果，无法告知什么原因违规，无法解决问题，如果有什么违规短信不能发，移动公司是否应该提前告知用户，移动公司说封我短信就封我短信，贵公司做法，用户无法理解，用户手机号码绑定许多软件，生活受到严重影响，希望贵公司解除短信封禁，希望解决此问题，此情况严重影响用户对贵公司看法，。</t>
  </si>
  <si>
    <t>2019/10/05 22:15:30</t>
  </si>
  <si>
    <t>钱站高利贷，借款3000元，分3期，竟然要还款4580左右，合同借款金额4200元，到账只有3000，年利率高达百分之五十以上，怎么不去抢钱，要求调整利率，这种高利贷希望有关部门严查！。</t>
  </si>
  <si>
    <t>2019/10/05 22:13:10</t>
  </si>
  <si>
    <t>打电话过来态度不好，对人大吼大叫，感觉一直逼。</t>
  </si>
  <si>
    <t>2019/10/05 22:12:44</t>
  </si>
  <si>
    <t>有580得乱七八糟的费用在里面，怎么查也说不清楚是什么费用。</t>
  </si>
  <si>
    <t>2019/10/05 22:11:44</t>
  </si>
  <si>
    <t>超高砍头息以及利息费用，典型的714高炮不正规网贷平台，4月份借的3100，实则只到账2635元，后来一直在强制中，在今年6月份分2次各扣了1000，一共2000，因为没还完，利息以及逾期费用不停的在上涨，于9月份又通过我银行卡自动扣款2163，也就是现在扣完了，总共借的3100，到账2635，最后还了4163，这个利息以及逾期费用我真的无法忍受，跪求平台帮忙，希望立即借平台退还我的不合理逾期以及利息费用，只还本金。</t>
  </si>
  <si>
    <t>2019/10/05 22:09:25</t>
  </si>
  <si>
    <t>北京友缘在线网络科技股份有限公司存在诱骗行为学。</t>
  </si>
  <si>
    <t>2019/10/05 22:09:10</t>
  </si>
  <si>
    <t>从三月开始一直在往后延期说的是9月15正常充值，至今还是不能使用。</t>
  </si>
  <si>
    <t>2019/10/05 22:07:50</t>
  </si>
  <si>
    <t>爱上街商城,浙江阿拉丁电子商务有限公司,杭州房途信息科技有限公司，本人在爱上街里面的借吧借有借款，都是7天14天21天，都有高利息的砍头息，原来都不知道这些都是高利贷，不懂国家规定的利率是多少，循环在借在还，而且app已经看不见之前的借款记录，现本人要求贵公司归还本人的所有砍头息。</t>
  </si>
  <si>
    <t>2019/10/05 22:06:59</t>
  </si>
  <si>
    <t>投诉人 张女士        投诉对象  造艺科技        涉诉金额  299 元    问题类型    诉求类型投诉详情  银小借恶意扣款299，请求退款。感谢。工作人员。</t>
  </si>
  <si>
    <t>2019/10/05 22:06:31</t>
  </si>
  <si>
    <t>在我工作时间一直有店里销售电话打过来骚扰我。</t>
  </si>
  <si>
    <t>2019/10/05 22:06:16</t>
  </si>
  <si>
    <t>你我贷平台强制变相收取快速信审费，不知道什么乱七八糟的费用，这么坑的。</t>
  </si>
  <si>
    <t>2019/10/05 22:06:03</t>
  </si>
  <si>
    <t>属于高利贷，还暴力催收！我18年12月份在维信金科借的18000元钱，其中当时就扣了1920元的服务费，我分期12个月，每月还1791,合同上还有个首期服务费1147.79元，后续各期服务费153.88元，逾期一天加收100元的费用，我已经还完了十期，合计17910元，加上扣除的服务费已经超出了本金，因为这几天确实有困难逾期了。</t>
  </si>
  <si>
    <t>2019/10/05 22:05:59</t>
  </si>
  <si>
    <t>都已经放款中一周了，一直不到账，还不能取消借款，现在不需要这笔借款，找客服取消借款，客服不理会。</t>
  </si>
  <si>
    <t>2019/10/05 22:04:32</t>
  </si>
  <si>
    <t>4月26日，本人在美乐乐官方APP购买家具，全款付清，总价944元，至今已五个多月，仍未发货，期间多次联系客服催发货，多次未能按时发货，客服也多次推诿并推延发货日期，后联系客服要求退款，客服答应处理，但是也没有下文，现在联系官网客服，无人搭理；打美乐乐售后电话，无人接听，现投诉美乐乐家居网欺骗消费者，要求尽快退款。</t>
  </si>
  <si>
    <t>2019/10/05 22:03:26</t>
  </si>
  <si>
    <t>本人在聚富分期申请贷款，首先就莫名其妙的从我卡里扣了299元评估费，而且给的贷款都是失败的，现在要求退款，却告诉我需要本人的身份证复印件，手持身份证复印件，还有在平台申请失败的复印件，还要邮政储蓄才可以退款，这些属于本人的隐私能随便就寄过去吗，这样的公司事先没说明就从卡里扣钱，万一这些资料寄过去后面发生什么事，我找谁去，现在强烈要求该公司退还299元，不然会联名各个投诉网站去！。</t>
  </si>
  <si>
    <t>2019/10/05 22:01:58</t>
  </si>
  <si>
    <t>造艺科技百事普惠恶意扣款，请求退款，谢谢聚投诉。</t>
  </si>
  <si>
    <t>2019/10/05 22:01:03</t>
  </si>
  <si>
    <t>为买家申请退款，买家实际已经收到商品，商家已经上传正确快递单号，拼多多平台人员没有核实商家提供的快递单号的收件人电话地址与我的发货人是否相符直接退款给买家，相关人员存在不核实。</t>
  </si>
  <si>
    <t>2019/10/05 21:58:47</t>
  </si>
  <si>
    <t>2019/10/05 21:57:26</t>
  </si>
  <si>
    <t>期间一直都是还进去然后贷出来，中间有2次逾期，招联就一次一次降低我的额度，这我也就不说了，现在出现资金困难，没有及时还款，招联金融就对我发短信进行软暴力催收，聚投诉之前发布的公告，难道没有通知招联吗，还在顾外包公司现在我对我家人的人生安全表示堪忧，如果招联金融顾本地痞流氓上门催收，到时候致指我的家人出现任何问题，我都会找招联金融负责。</t>
  </si>
  <si>
    <t>2019/10/05 21:57:14</t>
  </si>
  <si>
    <t>你我贷平台超过年利率的标准收费，踩法律红线，这样高额的息谁承受的住啊。</t>
  </si>
  <si>
    <t>2019/10/05 21:57:09</t>
  </si>
  <si>
    <t>5月7日结清，每月还款427.26元，24个月利息加本金一共需要还款10254.24元，利息为2754.24元，年利率为百分之32.04，请问现在国家规定年利率超过百分之24为高利贷，请问是何人给你们的权利，或者是中邮消费金融老板后台大么，这么无视国法，顶风作案，如不降为年利率百分之24，不在偿还下期债务，并且通过法院合法权益正式起诉中邮消费金融机构。</t>
  </si>
  <si>
    <t>2019/10/05 21:56:20</t>
  </si>
  <si>
    <t>2019/10/05 21:56:19</t>
  </si>
  <si>
    <t>在借款人不知情的情况下，把借款金额私自改写，现在平台在没有合理解释的情况下，还口口声声说正常催借款人还款。</t>
  </si>
  <si>
    <t>2019/10/05 21:55:56</t>
  </si>
  <si>
    <t>本人于19年9月5日通过信用管家在牛人有品app上借款1900，然而仅到账1368元。</t>
  </si>
  <si>
    <t>2019/10/05 21:55:33</t>
  </si>
  <si>
    <t>借款3000.实际到账3000.合同显示4300.三个月利息1700。</t>
  </si>
  <si>
    <t>2019/10/05 21:55:21</t>
  </si>
  <si>
    <t>投诉人 李先生        投诉对象  米多点        涉诉金额  3 912 元    问题类型    诉求类型投诉详情  变相超利贷 无法承受没钱还不服不符合规定 随便点一下就到账了 要求还本金销账 趁时间还早</t>
  </si>
  <si>
    <t>2019/10/05 21:54:48</t>
  </si>
  <si>
    <t>被恶意软件恶意扣费刚注册时显示零元领三天vip，然后点击后诱导开启免密支付，开启后再次点击零元领三天vip时自动扣款。</t>
  </si>
  <si>
    <t>2019/10/05 21:54:44</t>
  </si>
  <si>
    <t>投诉人 陈女士        投诉对象  互盾科技        涉诉金额  88 元    问题类型    诉求类型投诉详情  迅捷视频转换器转换视频 并且收了88元费用</t>
  </si>
  <si>
    <t>2019/10/05 21:53:39</t>
  </si>
  <si>
    <t>我不是陈庆刚然后就一直给我发信息！而且还打骚扰电话，电话不接就给我发短信，一定要严肃处理，已经严重影响到我的生活！。</t>
  </si>
  <si>
    <t>2019/10/05 21:53:09</t>
  </si>
  <si>
    <t>滴滴出行办理人证期间豁免期限一个月，审核说3到5天出结果，现在过去10几天还没反应。</t>
  </si>
  <si>
    <t>2019/10/05 21:52:36</t>
  </si>
  <si>
    <t>投诉人 韩宇先生        投诉对象  豹子贷平台        涉诉金额  299 元    问题类型    诉求类型投诉详情  乱扣费</t>
  </si>
  <si>
    <t>2019/10/05 21:52:21</t>
  </si>
  <si>
    <t>以赠送礼品为由，引导客人进店，然后压迫性营销消费，并且在服务过程中几乎每次都强迫继续添加消费，并且不给收据，不给发票，由于服务并不满意和强制消费的原因，申请退费后，不进行退费，恳请平台帮助申请退费。</t>
  </si>
  <si>
    <t>2019/10/05 21:51:47</t>
  </si>
  <si>
    <t>我在助力钱包中借了两笔钱一个是金贷保，一个是四季钱庄，都是7天还一个借3000到账2150一个借3500到账2450，到了要还时，说订单丢失了，银行卡失效，就导致逾期了也找不到客服，现在逾期一天一个300一个350，都已经逾期20多天了，求平台可以帮我解决解决，我要求销账。</t>
  </si>
  <si>
    <t>2019/10/05 21:51:27</t>
  </si>
  <si>
    <t>购买黑卡500元、放款2700元、购买了、拒绝放款、请求贵平台申张正义。</t>
  </si>
  <si>
    <t>2019/10/05 21:50:25</t>
  </si>
  <si>
    <t>本人因为资金周转问题，导致这个月小米贷款逾期，之后接到小米催收电话，跟对方说明自己最近的情况下，表示等资金周转过来马上就还掉，但是之后每天都还有催收不断打电话过来，并且口口声声说限我在几点几点之前处理掉，否则就取消分期资格，并且还会采用其他方式进行催收，期间，小米贷款并未听取我的诉求，不断给我和我家里人打电话进行催收，已经严重影响到我的正常工作和生活。</t>
  </si>
  <si>
    <t>2019/10/05 21:50:07</t>
  </si>
  <si>
    <t>强迫消费本人于2019年8月23日收到珍爱网红娘来电，以优秀异性资料吸引并邀约我上门认证身份了解，反复确认到店时间以及位置，并且说什么一定要去，说不去就会影响信用问题，3)违约金问题当事人对自己提出的主张，有责任提供证据。24日中午到店，有专门的的红娘接待，并不是之前联系的红娘，带着去了小房间，以惯用套路和流程，身份证信息核对，填写个人信息表，择偶标椎，性格情感测试和交流，签订单身承诺函以及后来的眼缘测试和线下会员办理，聊天内容涉及我的基本情况，择偶要求，感情史分手原因各种以及家庭状况收入情况消费信用情况，</t>
  </si>
  <si>
    <t>2019/10/05 21:49:17</t>
  </si>
  <si>
    <t>在钱橙无忧APP里面填写完资料后，打算了解一下他们的服务内容，然后一点就直接从银行卡扣费，根本没有弹出输入支付密码或确认的提示，随意扣费，打客服电话还总没人接听。</t>
  </si>
  <si>
    <t>2019/10/05 21:48:35</t>
  </si>
  <si>
    <t>还款日当天，未经本人同意私自大规模爆通信录。</t>
  </si>
  <si>
    <t>2019/10/05 21:47:57</t>
  </si>
  <si>
    <t>是真的垃圾这个找靓机，电话随时打不通，给我的理由是运营商4G到5G改造，影响通话质量，咋滴，只有我被影响了，还叫我寄回去检测，拆机检测，有问题维修，3-5个工作日，期间我用什么，有问题代表你们验机就不严谨，验机报告说着玩的吗，严重怀疑验机报告是有问题的，现在要求找靓机进行退款，把问题推到运营商头上，我打过电话咨询过，没有出现这个问题，并且，我身边的人都没有这个问题，同样的地方，我的另一个手机信号4格，这个手机就三格信号，上个网4G比3G还不如，真的佩服，出问题最开始推给运营商，现在又说是寄回去，3-5个工作</t>
  </si>
  <si>
    <t>2019/10/05 21:46:09</t>
  </si>
  <si>
    <t>还告诉我具体金额，不希望再接到无聊的催款信息，必须索赔骚扰金额。</t>
  </si>
  <si>
    <t>2019/10/05 21:44:08</t>
  </si>
  <si>
    <t>阴阳合同，2种选择，一种付费，一种无需扣费，实际上还是扣费了，需退款。</t>
  </si>
  <si>
    <t>2019/10/05 21:43:50</t>
  </si>
  <si>
    <t>本人郑重承诺，以下所说属实，我儿子今年10周岁，上小学五年级，国庆节前后，偷拿妈妈手机玩0PPO官方旗下合作的，用支付宝充值6253元，是用密码支付的，但是这款游戏不需注册，不需实名论证。</t>
  </si>
  <si>
    <t>2019/10/05 21:42:15</t>
  </si>
  <si>
    <t>本人因创业于2016年6月申请一笔25000元分36期借款，到账20000元，正常还款至2017年2月，当时被告知有一键再借功能，额度为30000元，但扣除还去上次借款剩余的金额，到账只有几千元，然后本人正常还款至2017年6月，又被告知有一键再借功能，再一次申请了36000分36期的借款，到账金额只有几千元，我于2019年6月还清36000元的借款，客服以逾期为由不退还当时72000的所谓的咨询费，就是砍头息，逾期原因有客观因素，在逾期期间我接到客服电话就进行了及时的还款，但催收人员还是对我周围的人进行了</t>
  </si>
  <si>
    <t>2019/10/05 21:41:43</t>
  </si>
  <si>
    <t>智行火车票app未抢到票直接免密扣款！连个订单号都没有！。</t>
  </si>
  <si>
    <t>2019/10/05 21:40:37</t>
  </si>
  <si>
    <t>投诉人陈猛投诉对象速鑫贷涉诉金额2386元问题类型诉求类型投诉详情骗取消费者购买开通会员，已帐户冻结为由而不放款，希望退还消费者开通会员的钱。</t>
  </si>
  <si>
    <t>2019/10/05 21:40:16</t>
  </si>
  <si>
    <t>今天快贷，按照申请步骤操作！详情没有提前告知！申请成功后，才说完会员才能取现！有中级和高级会员，但是客服一直强调高级多好多好，后面不办理了，就说我审核通过了钱款再APP里，我没有提现额度到银行卡，也是要还款的！我用都没有用，还要还款！那个客服一直强调着，要会员才能提现！没有提现，钱在APP里每个月也会照样收取本金加利息！一直在跟我磨！我不办理，就一直要我办理！间接性的压迫！从头到尾，一直强调两件事！要会员，才能提钱，。</t>
  </si>
  <si>
    <t>2019/10/05 21:38:14</t>
  </si>
  <si>
    <t>淘宝网,淘宝卖家ID：逗你呢电脑,淘宝店铺：启盈苹果电脑批发，苹果官方表示没有证明机器是二手的义务与责任（换句话说苹果官方没有这个证明开给我，，我在淘宝网上一家名为“启盈苹果电脑批发店”上买了一台号称全新未拆的2018款macbookpro，买前咨询卖家是否为全新原封，得到卖家肯定的答复，我与卖家联系，卖家表示，1，包装我自己拆开忘了，不可能，我当着快递小哥的面拆的，快递小哥可作证，我到店问了苹果工作人员，工作人员表示新机不可能充电循环次数达15，不可能安装测试版系统需要在苹果官网用ID注册，我的苹果id至</t>
  </si>
  <si>
    <t>2019/10/05 21:38:01</t>
  </si>
  <si>
    <t>每次反映完之后说是会帮忙改，但是到最后还是没人管。</t>
  </si>
  <si>
    <t>2019/10/05 21:36:16</t>
  </si>
  <si>
    <t>玖富借款后第二个月结清本金➕利息，但是结清后又多出一笔2000的账单。</t>
  </si>
  <si>
    <t>2019/10/05 21:36:06</t>
  </si>
  <si>
    <t>本人之前在信用管家里面借款，后来发现是砍头息的714高炮，因为找不到客服，所以来到聚投诉请求协商还款，但是信用管家不处理，把气球提给借款方，借款方态度极其恶劣，并且爆破本人通讯录威胁恐吓本人亲属，于是我就拒绝还款，现在已经逾期半个多月了，而信用管家不管我这边的投诉，直接将本人逾期情况上传征信，对本人信用等问题造成很大的影响，希望聚投诉能帮忙主持公道，谢谢。</t>
  </si>
  <si>
    <t>2019/10/05 21:29:11</t>
  </si>
  <si>
    <t>不知道怎么回事，也没使用过什么服务，需要扣费那么多，我要求一次性退款给我。</t>
  </si>
  <si>
    <t>2019/10/05 21:29:09</t>
  </si>
  <si>
    <t>发送信息说有可以借贷的额度，点击进去看是拒绝的状态！。</t>
  </si>
  <si>
    <t>2019/10/05 21:27:10</t>
  </si>
  <si>
    <t>捷信高利息不符合国家规定利息，合同起始日期与2017年12月21日借款现金10000元整，分36期还，每月还款513.93元，算了一下一共要还18501.48，本人已还21期，本金已还清，我看了下提前还款还需还款五千多，根本不符合国家的规定，合同上标明如提前还款是不需要利息的，但是现在提前还款还需要还款五千多，我想问这是何来的提前还款不需要利息一说，现在提前还需要还款五千多怎么解决，给我个解释，这中间差的钱去哪了。</t>
  </si>
  <si>
    <t>2019/10/05 21:26:55</t>
  </si>
  <si>
    <t>昨天刚刚上传了几个商品，然后朋友要买衣服，我就说从我这买吧，。</t>
  </si>
  <si>
    <t>投诉人 尉女士        投诉对象  平安普惠        涉诉金额  60 000 元    问题类型    诉求类型投诉详情  不到还款日，提前电话骚扰。态度非常不好。恐吓侮辱。钱已经存上，自己不扣，一直打电话。</t>
  </si>
  <si>
    <t>2019/10/05 21:26:27</t>
  </si>
  <si>
    <t>本人大概有2500元左右的贷款逾期了8天，我说了15号发工资，他们二话不说挂我电话就开始骚扰我通讯录，说我欠钱不还，严重损害了我的声誉！我最近一两年的还款记录都非常好，就是最近这几天资金出了一点问题，难道这都不能理解一下吗。</t>
  </si>
  <si>
    <t>2019/10/05 21:25:34</t>
  </si>
  <si>
    <t>为网络赌博平台提供充值窗口导致本人损失792元。</t>
  </si>
  <si>
    <t>2019/10/05 21:23:50</t>
  </si>
  <si>
    <t>跟欠款人没有任何联系，外包催收公司仍然不停联系，‭，6430‬态度恶劣进行威胁，要求浦发停止进行骚扰。</t>
  </si>
  <si>
    <t>2019/10/05 21:22:04</t>
  </si>
  <si>
    <t>云闪付作为银联的产物，给网络博彩提供充值入口。</t>
  </si>
  <si>
    <t>2019/10/05 21:21:24</t>
  </si>
  <si>
    <t>农行ETC办理的说是要往里面充值重庆高速ETC钱包，打客服也说退不了也不根本不能能用这个充值的钱因为是记账卡。</t>
  </si>
  <si>
    <t>2019/10/05 21:20:28</t>
  </si>
  <si>
    <t>这个就是我已还的和他们催款的截图，这个对我造成了很大的影响。</t>
  </si>
  <si>
    <t>2019/10/05 21:20:06</t>
  </si>
  <si>
    <t>2018年9月27日在51人品贷借款50000元整，第一个月还8181.67，其中含高额服务费3739.23.实为变相砍头息，催收人员应第一时间表明所代表机构的名称现场催收时应主动出示相关证件及借款资料，其余十一期每期还4681.67.按照IRR等额本金算法综合年利率高达42.4%，最高法院《关于审理民间借贷案件适用法律若干问题的规定》：第二十六条，借贷双方约定的利率未超过年利率24%，出借人请求借款人按照约定的利率支付利息的，人民法院应予支持，借款人请求出借人返还已支付的超过年利率36%部分的利息的，人民</t>
  </si>
  <si>
    <t>2019/10/05 21:19:55</t>
  </si>
  <si>
    <t>投诉人 刘先生        投诉对象  饿了么        涉诉金额  16 元    问题类型    诉求类型投诉详情  饿了吗外卖超时一小时不给送 官方客服不给满意的处理结果 说是给我五元赔偿卷就算完了 我感觉他们的处理方式和结果让我很不满意</t>
  </si>
  <si>
    <t>2019/10/05 21:17:16</t>
  </si>
  <si>
    <t>本人因资金周转困难导致在拍拍贷的几笔借款约2000多元逾期，逾期后主动找拍拍贷说明逾期原因并请求延迟至本月10号还款，拍拍贷同意延迟还款后违背承诺擅自将本人通讯录信息移交催收部门进行暴力催收，严重侵犯个人隐私，损害个人名誉，催收态度极其恶劣，使我和亲友生活工作受到极大影响，另外拍拍贷在收取借款人35.99%年利率的高额借款利息仍不满足，逾期一天逾期费用达数十元，给我还款造成极大压力和困难，如果拍拍贷不立刻停止暴力催收和退还高额逾期费，本人愿走法律渠道维权到底！。</t>
  </si>
  <si>
    <t>2019/10/05 21:16:39</t>
  </si>
  <si>
    <t>为四海棋牌网络赌博平台提供充值窗口导致本人损失792元，要求全部退款！。</t>
  </si>
  <si>
    <t>2019/10/05 21:15:55</t>
  </si>
  <si>
    <t>投诉人代先生投诉对象唯品花涉诉金额0元问题类型诉求类型投诉详情正常使用唯品花，信用没有任何问题，从没逾期过，却被唯品花告知因评估而被永久停用，使我感到深深的诽谤与侮辱！这完全是在对消费者进行随意的践踏，使我在心灵上造成了创伤，要求唯品给出解释还我与其他和我有一样对待的消费者一个公道公平的解释。</t>
  </si>
  <si>
    <t>2019/10/05 21:13:47</t>
  </si>
  <si>
    <t>■钱站9月4号，因为家里急需用钱，我在钱站借款16000元，但到账只有8000元，存在8000元的砍头息，而且账单按照6期进行分期，分期还款每期高达2682.09元，这份合同真的是要了亲命，阴阳合同，堪比超利贷，虽然你们是高利贷借款人自己申请借款，跟你们无关，然而，当我发现合同猫腻时，我第一时间点击APP一次性结清，上面显示还款金额为15545.87元，这个数字每天都在变化，我国那条法律规定，综合年化可以高达1200%……借款8000，一个月后还款16000，大家一起维权~其实在国庆前后，我曾多次去电钱站进</t>
  </si>
  <si>
    <t>2019/10/05 21:13:13</t>
  </si>
  <si>
    <t>下载这个借钱花软件之后平白无故的就被扣款198了，打电话过去一给客服说电话录音了，她马上就说方言了然后就说我说什么啊听不见信号不好的，这么明着的来欺诈真的希望有人能管管了，毕竟都是走投无路了才找他们借钱，结果最后一点救命钱都被他们给欺诈去了，这样下去真的会出人命的。</t>
  </si>
  <si>
    <t>2019/10/05 21:11:34</t>
  </si>
  <si>
    <t>内蒙古集通商贸有限公司为四海棋牌赌博平台提供充值窗口，导致本人损失792元。</t>
  </si>
  <si>
    <t>2019/10/05 21:09:19</t>
  </si>
  <si>
    <t>诱导客户充值消费排队没反应没有游戏体验客服不在。</t>
  </si>
  <si>
    <t>2019/10/05 21:08:38</t>
  </si>
  <si>
    <t>淘集集平台拖欠货款不还，涉案金额40000，很多和我一样的受害者一样深陷淘集集平台的货款。</t>
  </si>
  <si>
    <t>2019/10/05 21:06:48</t>
  </si>
  <si>
    <t>使用微品，微品花期间，没有任何逾期及信用问题，却被告知因评估微品花被永久停用，自己受到了不公平的对待。</t>
  </si>
  <si>
    <t>2019/10/05 21:06:28</t>
  </si>
  <si>
    <t>投诉人 阿先生        投诉对象  中邮消费金融        涉诉金额  20 000 元    问题类型    诉求类型投诉详情  我在中邮消费金融借了20000 还了1万3千多 还有9千没有还 我只逾期了三天就不停的给我打电话 我每一期都在还 我现在工作不方便接电话 他们就打得不行 我希望平台能停止我的催收 我尽快把钱还上 动不动就法务部的打电话 要不然就是要上门取证啊 之类的 我又不是没有还 每个人都是有困难的时候 在说了 我一直在还啊 我不接电话是有原</t>
  </si>
  <si>
    <t>2019/10/05 21:06:26</t>
  </si>
  <si>
    <t>本人于19年三月申请捷信超贷，按时还款三月后因为银行卡问题导致逾期，期间手机坏了，捷信金融的电话短信都没接到，然后上个月开始捷信强制终止合同，并安排人上门催收，跟捷信客服协商重新分期还款，客服让联系催收专员，催收专员不同意，并加大上门力度，十一期间，孩子一人在家，上门催收的砸门，然后导致孩子害怕发热了，我还钱肯定是还，但是希望你们能停止上门催收，给我的合同重新分期。</t>
  </si>
  <si>
    <t>2019/10/05 21:05:37</t>
  </si>
  <si>
    <t>额度700，礼包188到手500，不给予退款。</t>
  </si>
  <si>
    <t>2019/10/05 21:05:09</t>
  </si>
  <si>
    <t>本人在助力钱包APP上面申请的青春宝分期，借款3000元可以分期4期,下款成功才显示所谓的的4期就是一个月的4期，7天一个期限，扣了750元的头息，四期一共要还3081.48元！这种利息严重超过了国家规定的借贷利息！已经属于高利贷了！本人已经还款3期，共计人民币2311.11元，已经超过了本金，现在我的诉求是要求青春宝分期给我销掉最后一期账单！望青春宝分期公司能严格遵守国家的法律法规！希望通过投诉平台可以维护自己的合法权益。</t>
  </si>
  <si>
    <t>2019/10/05 21:04:58</t>
  </si>
  <si>
    <t>可签订以后却变成了3960这已严重存在欺骗。</t>
  </si>
  <si>
    <t>2019/10/05 21:03:48</t>
  </si>
  <si>
    <t>交通银行信用卡中心一天能打上百个电话，严重影响工作，生活，已经逾期两个多月，每个月都还五百左右，要求协商分期，客服态度很差，不给商量余地，现在是时时刻刻打电话，直到把电话打的关机，没有一点人性，是把人往死逼吗。</t>
  </si>
  <si>
    <t>2019/10/05 21:03:08</t>
  </si>
  <si>
    <t>小花钱包威胁恶意骚扰通讯录联系人！欠款为本人，如有任何问题可直接联系本人或以通过法律途径来处理！因此公司的年利率以及阴阳合同在法律上站不住脚，通过恶意骚扰通讯录联络人来达到催收！要求小花钱包中腾信公司停止比类行为。</t>
  </si>
  <si>
    <t>2019/10/05 21:01:53</t>
  </si>
  <si>
    <t>中国移动多次打电话要求更改套餐未更改后，经常打电话接通以后私自掐断用户通话并提示电话已欠费请续交话费，就连打1008611和10086都要掐断，手机里面还有八十多块的话费，10086和人工服务查询也是正常的，联系客服客服声称已上报解决48小时内给答复，超过48小时后一直未解决，然后人工服务一直推皮球踢过去踢过来的一直等答复，通话一直受阻碍无法正常通话，造成本人与本人客户的巨大困扰，难道在这个法制社会没有一个相关的部门能够管理中国移动。</t>
  </si>
  <si>
    <t>2019/10/05 21:00:47</t>
  </si>
  <si>
    <t>小浦优客在本人不知情的情况下，和本人没同意的情况下私自扣费。</t>
  </si>
  <si>
    <t>2019/10/05 21:00:19</t>
  </si>
  <si>
    <t>速赢分期,聚合支付,合支付,聚合财务,支付宝。</t>
  </si>
  <si>
    <t>2019/10/05 20:58:29</t>
  </si>
  <si>
    <t>已经在还款，我发这个的意思只是想告诉大家，蚂蚁金服借呗花呗，是没有协商还款一说的所以大家不用挂聚投诉了，因为没有用，挂聚投诉，让@微博或者打支付宝电话，你赶紧全额还款，不然我会通知你的家人，然后会律师函，会上门催收，来吧我本来准备还的，现在搞得我也不想还了，我准备当老赖了，不给协商还还什么，谁有能力一次还完不还的，都被逼着到处借，亲戚朋友。</t>
  </si>
  <si>
    <t>2019/10/05 20:57:30</t>
  </si>
  <si>
    <t>投诉人 魏女士        投诉对象  及贷        涉诉金额  1 900 元    问题类型    诉求类型投诉详情  钱是给别人借的 现在呢个人没法还 我也没办法处理 他们就一直骚扰并且威胁</t>
  </si>
  <si>
    <t>2019/10/05 20:56:16</t>
  </si>
  <si>
    <t>2019年8月中旬，抖音号：W1581205505、微信号：L995756775、qq号：3357144560的人主动以交朋友的名义来认识我，随后带我在天佑国际彩票系统赚钱，一共套走我29万元，情况属实。</t>
  </si>
  <si>
    <t>2019/10/05 20:56:05</t>
  </si>
  <si>
    <t>2019/10/05 20:55:45</t>
  </si>
  <si>
    <t>我小县城一个打工的没见过什么世面感觉天上掉馅饼了，于是7月底工资一发自己在凑了钱一共9800块加入了他们高级会员，自己去跑业务才知道什么折扣卡什么蓝V根本就做不起走。</t>
  </si>
  <si>
    <t>2019/10/05 20:54:56</t>
  </si>
  <si>
    <t>本人是向上金服的用户，原来投的债权都能如期的兑现本息，不知道什么时候开始到期的债权需要排队转让，就算需要也应该是新投的债权，我的债权是一年的长标，当时确认投标时未说明需要排队转让，我每个债权标到期后我都会立即点排队转让,导致现在最早到期的标也排了150多天也无法兑现，原因是以前这么多旧的标都无法兑现，却大张旗鼓发布许多新标，发布的新标还注明不用排队转让，既然这样为何不把现在到期的债权盘清，所有到期的标都有转投、续投、排队转让，以前是没有的到期直接转进余额，照理来说选择转让应该是最快能拿到已经到期的本息的，我</t>
  </si>
  <si>
    <t>2019/10/05 20:54:38</t>
  </si>
  <si>
    <t>金宝盆,聚合支付,合支付,聚合财务,支付宝。</t>
  </si>
  <si>
    <t>2019/10/05 20:54:23</t>
  </si>
  <si>
    <t>投诉人 俞先生        投诉对象  造艺科技        涉诉金额  299 元    问题类型    诉求类型投诉详情  聚富分期恶意扣款了299元，投诉请求退款。谢谢</t>
  </si>
  <si>
    <t>2019/10/05 20:54:16</t>
  </si>
  <si>
    <t>1.存在阴阳合同&amp;nbsp;签合同的时候并没有说明借款4000块到账2800&amp;nbsp;块，二&amp;nbsp;，app上显示综额度2800为什么合同上面却显示4000块&amp;nbsp;&amp;nbsp;3，到账2800块分三个月却每个月要还1400百多，存在严重违反国家规定条例&amp;nbsp;&amp;nbsp;4，多次联系客服却联系不上&amp;nbsp;请聚投诉帮忙解决问题&amp;nbsp;谢谢。</t>
  </si>
  <si>
    <t>2019/10/05 20:53:15</t>
  </si>
  <si>
    <t>我已经把冒充公检法的相关人员信息提供给银行，然而银行并没有对我的质疑问题进行重视，依然有三个私人号码像我发送所谓的法院传票，致电律师号不说自己是哪个事务所就骂人威胁，我本人电话畅通也同意见面协商，然后催收员就不联系我去骚扰我家人朋友等第三方，客服就告诉我不用理会。</t>
  </si>
  <si>
    <t>2019/10/05 20:53:02</t>
  </si>
  <si>
    <t>通过上海极途信息技术有限公司网购汽车票，切在未取票未发车前，竟网上购票后不支持网上退票。</t>
  </si>
  <si>
    <t>2019/10/05 20:51:53</t>
  </si>
  <si>
    <t>钱站催收联系到本人，都说明了困难，实际情况还有没等我说完，接下来我的通讯录人都来电，问我情况，首先不说你们平台已经复制我的通讯录，这个贷款我知道，但是就这样泄密被你们的催收这样骚扰，你们以这样的方式催收这几百块，我本人确实有困难，不然也不会去贷，也不会逾期，我不是不还，我肯定还，可是你们这样已经侵犯我个人隐私，也极大的给我，名誉带来非常大的损坏，现在给个说法，而且你们品台也是砍头息，类似高利贷，这个我认了，不认的就是打通讯录，泄密，我已经收集了相关的拨打记录，也收录了2份电话录音，已经在辖区派出所报警，已经</t>
  </si>
  <si>
    <t>2019/10/05 20:51:44</t>
  </si>
  <si>
    <t>今天晚上给我爸打了电话，不给我打，打的时间是20点半，请问按正规催收晚上打电话是合法的嘛。</t>
  </si>
  <si>
    <t>2019/10/05 20:51:27</t>
  </si>
  <si>
    <t>之前因资金周转不开在闪电借款平台借了几千块钱，但是下款之前需要先购买财神黑卡，600的额度需要100块钱购买，之后还款时600块还另需30块利息，这里说明一下我借的是50天的，也就是说借600块五十天之后还款实际上需要130块的利息，年利率都超过150%了，因为利息太高所以一直都是以贷养贷在还款，一年多时间里在闪电借款平台借的总额度差不多三万元左右了，说明光还利息我都还了三四万了，刚好昨天看到一则新闻说这样的平台是违法的，有个跟我差不多情况的借款人通过法律手段追回了多支付的利息，所以我才醒悟过来自己上当了，</t>
  </si>
  <si>
    <t>2019/10/05 20:51:21</t>
  </si>
  <si>
    <t>七月份通过闪银奇异借款3905，下款成功后第二天通过京东账户自动扣取金额，分三次扣取各种费用未出具明细，方便以逃避查账为目的，最后通过分三期还款，现分别还款1400，1434.56，703.49，我通过计算:借3905三个月还款4996.29元，年利率:，此总利率完全就是高利贷套路贷行为，希望聚投诉平台主持公道。</t>
  </si>
  <si>
    <t>2019/10/05 20:51:01</t>
  </si>
  <si>
    <t>1、外教上课完课就结束，家长不反应孩子学习问题，助教老师基本不关注学生，2、买课程是并没告知，不学剩余课程不可以退费，5、孩子接下来住校根本没时间学习，剩余课程不给退费，就放着那里过期，这样不是侵犯消费者权益吗。</t>
  </si>
  <si>
    <t>2019/10/05 20:49:39</t>
  </si>
  <si>
    <t>广发银行信用卡，因为生意失败后，再加上后期工作中，老板拖欠工资，导致信用卡逾期，后来迫不得已包里了分期，因为各种原因没有及时还上，又正好赶上了十一放假，财务没办法结账，今天十月五号，刚开始有个陌生手机号码电话给我，响了一声挂了，后来直接给我家里打电话，问我家里绑定银行卡没有，因为家里老人不懂这些，而且老父亲还是脑梗病人，家里后来给我电话，问我究竟什么情况，老父亲又在哪里闹情绪，就怕着急上火在犯病，把我吓死了，后来下午我给广发信用卡打电话说明了事情的状况，说他们上报情况，后期会有人跟我联系，不是我不还，正好赶</t>
  </si>
  <si>
    <t>2019/10/05 20:48:56</t>
  </si>
  <si>
    <t>本人在立借APP上面申请的树林分期，借款3000元可以分期4期,下款成功才显示所谓的的4期就是一个月的4期，7天一个期限，扣了750元的头息，四期一共要还3081.48元！这种利息严重超过了国家规定的借贷利息！已经属于高利贷了！本人已经还款3期，共计人民币2311.11元，已经超过了本金，现在我的诉求是要求树林分期给我销掉最后一期账单！望树林分期公司能严格遵守国家的法律法规！希望通过投诉平台可以维护自己的合法权益。</t>
  </si>
  <si>
    <t>2019/10/05 20:48:42</t>
  </si>
  <si>
    <t>本人申请借款6000元，阴阳合同中却写7920元，还款总额要8304.13元，这个我就就懵逼了。</t>
  </si>
  <si>
    <t>2019/10/05 20:47:49</t>
  </si>
  <si>
    <t>造艺科技扣款100元投诉请求退款，虽然只有100，倒也是我得钱。</t>
  </si>
  <si>
    <t>2019/10/05 20:47:33</t>
  </si>
  <si>
    <t>因商家产品不满意，要求退款，但工作人员态度恶劣，有欺诈行为！不接受我们协商！。</t>
  </si>
  <si>
    <t>2019/10/05 20:47:14</t>
  </si>
  <si>
    <t>投诉人 丁先生        投诉对象  金胜分期,聚合支付,聚合财务,支付宝        涉诉金额  1 500 元    问题类型    诉求类型投诉详情  金胜分期 高额暴利 本金1100元 期限3日。 还款1500元 本人应无力偿还续期多次 已经够还本金了续期400元2日 支付通道聚合支付跟支付宝 希望有客服跟我协商处理</t>
  </si>
  <si>
    <t>2019/10/05 20:47:05</t>
  </si>
  <si>
    <t>我在拍拍贷19年7月份左右借了1500但是到账1000，我最近真的是没有多余的钱还款了就给我打电话骂我。</t>
  </si>
  <si>
    <t>2019/10/05 20:47:04</t>
  </si>
  <si>
    <t>在2019年10月5日19点30分，收到银行发来的扣款短信，提示对方是特约小通商城，扣款500元，查询所有的扣款记录，并没有关于小通商城的，也没有500元的代扣款项，银行客服也查不到具体情况。</t>
  </si>
  <si>
    <t>2019/10/05 20:45:22</t>
  </si>
  <si>
    <t>我本人暖薪贷逾期，可是上海市公安局黄埔分局不通知，直接冻结我招商银行卡，银行卡现在只能入账不能出账，救命钱给我冻结了，暖薪贷本来就有砍头息，利息就不合法，而且我与暖薪贷工作人员沟通过，说肯定会还款，就在今晚，朋友给我转了一笔救命的钱，8000，只求能先给我解冻，哪怕我把钱取出来再冻结都无所谓，后边我去还款，先解冻，让我先把这8000取出来，本人承诺，这个月底之前，全额还暖薪贷的钱。</t>
  </si>
  <si>
    <t>2019/10/05 20:45:06</t>
  </si>
  <si>
    <t>安徽飞熊游戏有限公司旗下一款名为仗剑江湖的游戏，游戏托通过聊天取得受害人信任，并进行诱导充值，其过程中，诱导受害人在游戏内聊天，以销毁证据，且金额由少变多，包含多笔，共1350元，且在受害人与客服交流过程中，拒不退款，受害人向客服索要自己游戏内的聊天记录时，客服拒绝，并称“聊天记录不对外公布”，而游戏内聊天记录包含整个诱导过程的证据。</t>
  </si>
  <si>
    <t>2019/10/05 20:44:34</t>
  </si>
  <si>
    <t>上海拍拍贷金融信息服务有限公司，催收工作人员态度很不友好，导致本人生活及工作造成困扰，希望贵公司工作人员可以端正工作态度。</t>
  </si>
  <si>
    <t>2019/10/05 20:44:20</t>
  </si>
  <si>
    <t>韶关云门寺景区工作人员恶言相向，手中拿竹棍扫帚头要打6岁小孩，还扬言威胁拿手机通知景区领导，让我吃不了兜着走，事由小孩子在观看景区时，脚不小心踩到栏杆边缘，我们致电景区部门，景区部门爱理不理，拒不道歉，希望有关部门介入，给我们一行5人一个合理的解释。</t>
  </si>
  <si>
    <t>2019/10/05 20:43:43</t>
  </si>
  <si>
    <t>今天骚扰一天了，跟他们说，我今天之内会处理完，处理完了，还在骚扰，还电话威胁我，希望强制下架，害人的东西，那客服电话难听的我想打人。</t>
  </si>
  <si>
    <t>2019/10/05 20:43:27</t>
  </si>
  <si>
    <t>分期乐,马上消费金融,水莲金条,现金借款,好分期，你好，我是一名大三学生，现就读于成都理工大学，我要投诉这些平台！他们在明知我是大学生的情况下还给我放贷，国家明文规定不允许给大学生放贷，到这些平台还是睁一只眼闭一只眼，昧着良心吸血，以下是我的网贷经过，大一的时候有人在寝室推销分期乐，告诉我们一块钱买数据线，借钱分期，低息，还款无压力，自此，我便开始接触分期乐中的借款服务，然而在还款时，分期乐又推出账单分期，我没有多想，便进行分期，其中的利息在我不知不觉中变高，知道我无力偿还时，又有平台在我还款时当天打电话告</t>
  </si>
  <si>
    <t>2019/10/05 20:43:06</t>
  </si>
  <si>
    <t>我于10月1日注册了豹子贷，然后绑定了我的工商银行卡，后面我卡里有钱了 10月4日凌晨6点 对我进行了俩笔扣款 每一笔299 共计598 给他们平台打电话没给我解决问题 否认598元扣款 不给我退款 望平台给与我解决 感谢。</t>
  </si>
  <si>
    <t>2019/10/05 20:42:39</t>
  </si>
  <si>
    <t>本来想贷款周转，被诱导消费，莫名其妙被扣了296元。</t>
  </si>
  <si>
    <t>2019/10/05 20:42:34</t>
  </si>
  <si>
    <t>套路贷，下款必须要购买几百物品，该平台故意抬高价钱做砍头息，本人已经借款多次，给的砍头息超过2900，他们还暴力催收，违规，全国扫黑他们还暴力催收，非法群发信息，把新催收规定不放眼里，新规定不能透露债务人的货款，他们违规催收造成我妈病情加重了，这笔帐怎么算呢，要还钱可以，先把砍头息退回，不然我只能用法律来维权，我将把这平台告到底，特别是那群发短信催收。</t>
  </si>
  <si>
    <t>2019/10/05 20:42:18</t>
  </si>
  <si>
    <t>本人在2019年5月4号在随手记APP福贷申请借款6500元，但之后立马扣除975元扣款方海保人寿保险股份有限公司。</t>
  </si>
  <si>
    <t>2019/10/05 20:42:16</t>
  </si>
  <si>
    <t>月光侠分期高利贷，借款3000，实际下款2100，分3期还款，每期1050，现在已经还了一期1050，第二期跟催收协商还本金不成，催收侮辱本人还打电话发短信恐吓通讯录的家人亲戚朋友。</t>
  </si>
  <si>
    <t>2019/10/05 20:41:14</t>
  </si>
  <si>
    <t>乐家易付,云闪付,深圳市陆压道君贸易有限公司，通过中国人民银行和支付清算协会沟通得知第三方支付业务应审核客户的相关信息，第三方支付公司不得向证券、期货、博彩等机构提供支付结算业务，本人被引诱到一个网站充值入金6600元，后来发现是网络赌博平台，并非正规的购彩网站，作为有牌照的支付公司没有履行国家相关法律法规要求。</t>
  </si>
  <si>
    <t>2019/10/05 20:40:33</t>
  </si>
  <si>
    <t>投诉拼多多，买家一个投诉直接封店资金限制，申诉的产品进场书给你们了，营业执照副本全给你们了，居然还要我去厂家开证明，你们这个平台是不是专黑商家的。</t>
  </si>
  <si>
    <t>2019/10/05 20:40:30</t>
  </si>
  <si>
    <t>投诉人 丁先生        投诉对象  信任分期,聚合支付,聚合财务,支付宝        涉诉金额  1 500 元    问题类型    诉求类型投诉详情  信任分期 本金实际金额1100元 期限三天还款1500元 本人应无力偿还 续期多次 续期400元二天。已经够还本金了。 要求客服联系我协商处理销帐 支付通道聚合支付跟支付宝</t>
  </si>
  <si>
    <t>2019/10/05 20:39:20</t>
  </si>
  <si>
    <t>平安普惠，当日银行卡有余额，告诉我扣款失败，第二日催收一直电话要求我还款，并一直说我还款失败，第一，不是我的原因造成扣款失败，第二催收不停电话骚扰，从早上一直到晚上10点，电话不断，差不多是间隔1小时就打2个，现在要求立即停止骚扰电话，第二退还滞纳金费用。</t>
  </si>
  <si>
    <t>2019/10/05 20:39:18</t>
  </si>
  <si>
    <t>之前的投诉押金问题，当时给我办理的人员现在把我推给他们另外一个工作人员，此工作人员承诺2019年9，月底一定退回给我卡里，9月底询问她，说10月1号结算，承诺系统没有退回给我，他先退给我，但是到现在我账号依旧没有收到这笔押金，而且现在为止发信息也没有回复我，我看他更新朋友圈到及时，还在推他们这个pos机，我现在不希望他们给我借口一拖再拖，我需要他们立即马上退款给我，希望平台尽快给我申诉，谢谢。</t>
  </si>
  <si>
    <t>2019/10/05 20:38:56</t>
  </si>
  <si>
    <t>2019/10/05 20:38:20</t>
  </si>
  <si>
    <t>信用管家平台找黑社会暴力催收，群发恐吓亲戚，朋友。</t>
  </si>
  <si>
    <t>2019/10/05 20:38:12</t>
  </si>
  <si>
    <t>维信金融收了我8800元分三次扣的，第一笔800说是费用。</t>
  </si>
  <si>
    <t>2019/10/05 20:37:56</t>
  </si>
  <si>
    <t>因为本人在哺乳期不能上班所以造成逾期，已经打电话跟银行客服说明情况但是每天还是会有很多催收电话打过来，还恶意骚扰家人。</t>
  </si>
  <si>
    <t>2019/10/05 20:37:45</t>
  </si>
  <si>
    <t>本人因家中急事借了立借5000元，本月5日为还款日，但因家人突发疾病住院手术花去10万多元，一时难以按期还款！且该平台纯属高利贷，借5000三个月却需还款6950，每期除利息外有额外费用500多元！本想致电协商，但在还款日当日021-95093348的电话就威胁恐吓，不予协商！要求致电本人协商还款事宜，并停止催收！。</t>
  </si>
  <si>
    <t>2019/10/05 20:36:41</t>
  </si>
  <si>
    <t>你我贷恶意骚扰联系人扬言发图片发录音，态度及其嚣张，这样的平台就不应该存在。</t>
  </si>
  <si>
    <t>2019/10/05 20:36:30</t>
  </si>
  <si>
    <t>投诉人 陈先生        投诉对象  维信金科        涉诉金额  4 500 元    问题类型    诉求类型投诉详情  给我开通了一些付费的东西。每月多了几百的费用。协商不了也减不下来</t>
  </si>
  <si>
    <t>2019/10/05 20:36:20</t>
  </si>
  <si>
    <t>本人于九月份在智行火车票公众号抢郑州到上海Z42次火车，点了两次，后来自己在12306抢到了票，就没有再管智行火车票抢票的事，于2019.10.5号20点左右提示我抢票成功，并且是抢了4张，而且我没有选择加速抢票包，订单也没有显示这个款项，众所周知，12306官网订票也是一人一次列车只能定一次，然而智行给我定了两次同一列车Z42，同样是是4号车厢，座位号却是10.11.20.21，并且没有出票的情况下，离发车48小时之外还要每张票收取6.5元手续费，我觉得智行火车票觉得消费者欺骗消费者并且有捆绑销售。</t>
  </si>
  <si>
    <t>2019/10/05 20:36:02</t>
  </si>
  <si>
    <t>在时光分期借款8000，分期12个月，每期906.6元，共应还10879.2，绝对是高息贷，现在已经换了8期共7252.8元，已经无力在偿还剩下四期共3765.04元,，希望聚投诉平台核实时光分期的高息贷性质，为我们提供协商合理还款的机会。</t>
  </si>
  <si>
    <t>2019/10/05 20:35:58</t>
  </si>
  <si>
    <t>此平台的货款早己处理完毕，平台人员却一直威胁家人，。</t>
  </si>
  <si>
    <t>2019/10/05 20:34:19</t>
  </si>
  <si>
    <t>本人于2019年7月30日在好分期app平台借款2100元，分六期还款，第一期已还，第二期逾期一天，工作人员有给我打电话，我都有接也很配合，第一天打了三个电话，第二天我又接到电话，我跟工作人员说这几天遇到困难，协商推迟到十号，，我是要还款，不然是不会这两天都接电话的，请谅解一下，工作人员不同意，甚至开始打电话威胁恐吓，狂打电话骚扰，今天总共给我打了27个电话！！！而且我不知道逾期每天所产生的逾期费用，签约下款之前根本就看不到有关的产生逾期费用高，根本就是阴阳合同，不知道还有多少受害者也是被欺骗，公司挂着网络</t>
  </si>
  <si>
    <t>2019/10/05 20:33:38</t>
  </si>
  <si>
    <t>平台故意套路亲戚，阴阳合同变相收取高额利息费。</t>
  </si>
  <si>
    <t>前后共退了两次押金第一次是2019年8月27号申请等了10多天没有退还押金第二次是2019年9月10日申请退还押金致电立刻人工客服，答应10个工作日返还押金到现在一直没有下文，希望能够尽快协商好让立刻出行退还押金。</t>
  </si>
  <si>
    <t>2019/10/05 20:33:13</t>
  </si>
  <si>
    <t>投诉人魏先生投诉对象Wecash闪银涉诉金额6500元问题类型诉求类型投诉详情涉嫌套路贷砍头息高利贷。</t>
  </si>
  <si>
    <t>2019/10/05 20:32:14</t>
  </si>
  <si>
    <t>下单前没有任何提示不能网退，下单切未取票未发车前却不支持网退。</t>
  </si>
  <si>
    <t>2019/10/05 20:32:02</t>
  </si>
  <si>
    <t>投诉人陈合投诉对象小赢卡贷涉诉金额27198元问题类型诉求类型投诉详情小赢卡贷高利率，年利率已经达到了35.99%月利率为55%。</t>
  </si>
  <si>
    <t>2019/10/05 20:31:35</t>
  </si>
  <si>
    <t>投诉人 王女士        投诉对象  快捷通支付        涉诉金额  485 元    问题类型    诉求类型投诉详情  未经允许私自扣款 信息泄露 扣款短信也没有 客服联系不到 行为恶劣</t>
  </si>
  <si>
    <t>2019/10/05 20:30:36</t>
  </si>
  <si>
    <t>投诉人 胡先生        投诉对象  维信金科        涉诉金额  2 200 元    问题类型    诉求类型投诉详情  来我家闹了几天。邻居都看不下去要他们走。居然和邻居杠上了差点打起来。</t>
  </si>
  <si>
    <t>2019/10/05 20:30:24</t>
  </si>
  <si>
    <t>投诉人 高先生        投诉对象  招联金融        涉诉金额  2 100 元    问题类型    诉求类型投诉详情  都已经申报了。都已经好好的说了，10号发工资还进去。现在是各种暴力给家里打电话威胁。招联金融你成功了。成功的威胁到了。佩服佩服。而且是各种的威胁。被你们逼的现在卖房了。诉求我还有什么诉求？能有什么诉求？。</t>
  </si>
  <si>
    <t>2019/10/05 20:30:22</t>
  </si>
  <si>
    <t>金柯贷暴力催收，恐吓，威胁，骚扰亲朋好友，严重影响日常生活，爆通讯录，注册其各个网站获取验证码，要求停止这类行为。</t>
  </si>
  <si>
    <t>2019/10/05 20:30:19</t>
  </si>
  <si>
    <t>你我贷平台除紧急联系人之外我朋友家人也收到了催收的电话，损毁个人名誉，以及威胁恐吓，真的是做的太过了。</t>
  </si>
  <si>
    <t>2019/10/05 20:29:41</t>
  </si>
  <si>
    <t>生成报告费说好借款未成功可以退的却没退！！。</t>
  </si>
  <si>
    <t>2019/10/05 20:29:35</t>
  </si>
  <si>
    <t>钱站催收于2019年的9月21日逼迫我走投无路喝农药敌敌畏自杀，经朋友发现及时送腾冲市人民医院重症监护室抢救及时，于2019年的9月29日出院至今为止还是昏迷状态中。</t>
  </si>
  <si>
    <t>2019/10/05 20:29:09</t>
  </si>
  <si>
    <t>投诉人 陆先生        投诉对象  分期乐        涉诉金额  2 100 元    问题类型    诉求类型投诉详情  分期乐不肯协商 一直骚扰并准备电话威胁公司家人</t>
  </si>
  <si>
    <t>2019/10/05 20:27:56</t>
  </si>
  <si>
    <t>叉叉IPA精灵,叉叉助手,广州游顺网络科技有限公司，在该平台购买相关会员及永久卡后，现在平台不让使用，并且承诺15天退款，可是我填了后，一点回音都没有。</t>
  </si>
  <si>
    <t>2019/10/05 20:26:22</t>
  </si>
  <si>
    <t>云闪付,浙江航天科技电子有限公司,深圳市陆压道君贸易有限公司，通过中国人民银行和支付清算协会沟通得知第三方支付业务应审核客户的相关信息，第三方支付公司不得向证券、期货、博彩等机构提供支付结算业务，本人被引诱到一个网站充值入金共6600元，后来发现是网络赌博平台，并非正规的购彩网站，作为有牌照的支付公司没有履行国家相关法律法规要求。</t>
  </si>
  <si>
    <t>2019/10/05 20:26:09</t>
  </si>
  <si>
    <t>投诉人 丁先生        投诉对象  菜鸟有钱,聚合支付,聚合财务        涉诉金额  1 500 元    问题类型    诉求类型投诉详情  菜鸟有钱APP 实际到账1200元 期限三天 到期还款1500元，本人应无力偿还 续期多次 已经差不多够本金了 忘协商处理 谢谢 支付通道支付宝跟聚合支付</t>
  </si>
  <si>
    <t>2019/10/05 20:26:03</t>
  </si>
  <si>
    <t>由于短时间里受到大量恶意差评，已经严重影响了店里运营，大众点评也无法核实就允许这些存在，最后只能要求点评下架我们店铺，但是被拒绝了，这不是流氓行径吗，所有现在请求大众点评下架我们店铺，不要在你们平台出现我们店铺任何信息！。</t>
  </si>
  <si>
    <t>2019/10/05 20:25:57</t>
  </si>
  <si>
    <t>本人老公在金鸡钱包APP借款2000，但是实际到账只有1220，借款期限5天，名副其实的高利贷，到期后还暴力催收，威胁恐吓说不还就爆通讯录，联系亲朋好友，希望能有相关机构能对这种套路贷采取相关措施，不要再让他们继续害人了。</t>
  </si>
  <si>
    <t>2019/10/05 20:24:56</t>
  </si>
  <si>
    <t>10月5号18点44中金支付无缘无故从我卡里扣了999。</t>
  </si>
  <si>
    <t>2019/10/05 20:24:22</t>
  </si>
  <si>
    <t>中国移动通信有限公司和中国联通通信有限公司为第三方公司提供支付渠道，以代缴话费模式谋取钱财，给中国移动和中国联通致电都无法解决，第三方公司也已经失联，希望有关部门能够严厉查处。</t>
  </si>
  <si>
    <t>2019/10/05 20:24:21</t>
  </si>
  <si>
    <t>爆通讯录骚扰我的亲朋好友，而且用游戏豆来当做利息，取消还不给取消借款，希望有关人员处理一下。</t>
  </si>
  <si>
    <t>2019/10/05 20:23:47</t>
  </si>
  <si>
    <t>我都不记得什么时候下载过所谓的这么一个平台，第一次见一个软件平台下载都敢乱扣钱的，而且也没同意过任何扣款条例，莫名其妙的被扣钱，强烈要求处理这种以借贷为名义打擦边球诱导客户下载的违法平台，非法盗取客户银行卡信息非法扣钱，不知道他们背后盗取了多少钱。</t>
  </si>
  <si>
    <t>2019/10/05 20:22:44</t>
  </si>
  <si>
    <t>本人张卫东，宁夏固原人，于2018年5月于贵行贷款购房与银川贺兰县，贵行批复于本人贷款额度218000元附加信用卡26000元缓解本人还款一时之需，原本了却年迈父母之欢心，无奈人无千日好，花无百日红，投资失利负债九万有余今为抵债欲售掉按揭房，父每日以泪洗面，对儿已失去信心，本人年近三旬未婚做出如此荒唐之事实为荒诞不经，本人按揭房供满已半年以上今希望申请一笔信用贷款九万叠加于房贷之上时间年限可期矣，今工资固定加奖金4k以上必有信心按月供贷，保留房于我有个栖身之所，眨眼19年寒冬已至心寒寒焉，我皆出于贫寒父母恩</t>
  </si>
  <si>
    <t>2019/10/05 20:22:06</t>
  </si>
  <si>
    <t>未经过本人同意乱扣我银行卡的钱，我都不知道怎么回事卡里的钱就扣了，也没提醒。</t>
  </si>
  <si>
    <t>2019/10/05 20:21:46</t>
  </si>
  <si>
    <t>，四串面筋，四串豆腐，均比报价高出1-3倍。</t>
  </si>
  <si>
    <t>2019/10/05 20:21:12</t>
  </si>
  <si>
    <t>2019/10/05 20:20:56</t>
  </si>
  <si>
    <t>投诉人 欧先生        投诉对象  Wecash闪银        涉诉金额  3 600 元    问题类型    诉求类型投诉详情  Wecash闪银借的钱都还完了。算了下好像多出了一个月的利息。去讨要无果</t>
  </si>
  <si>
    <t>2019/10/05 20:20:37</t>
  </si>
  <si>
    <t>投诉人 蒋女士        投诉对象  小浦优客        涉诉金额  296 元    问题类型    诉求类型投诉详情  叫下载APP也没说要信息费。第二天就莫名其妙的被扣了296元</t>
  </si>
  <si>
    <t>2019/10/05 20:20:07</t>
  </si>
  <si>
    <t>贷上钱非法爆我通讯录，我协商还款本金，不同意而且还收高额的贷款费用以别的方式收取罚款费用，半夜爆通讯录，给我朋友造成骚扰，要求给贷上钱给我道歉，停止对我的通讯录好友进行伤害，希望给我一个满意的答复，这是他们不给取消造成的后果而不是，我恶意拖欠，我有截图。</t>
  </si>
  <si>
    <t>2019/10/05 20:19:18</t>
  </si>
  <si>
    <t>朋友的弟弟是大学生21岁，从你我贷款借了7000，前2期还1226.74元，后面10期每期还款705.94，现无力偿还，而且本金已经还完了，协商消账，。</t>
  </si>
  <si>
    <t>2019/10/05 20:18:58</t>
  </si>
  <si>
    <t>上期最低还款还了1140，可用额度是900，这次还了1144可用额度是800，能不能给出合理解释。</t>
  </si>
  <si>
    <t>2019/10/05 20:18:55</t>
  </si>
  <si>
    <t>投诉人文女士投诉对象U现金涉诉金额299元问题类型诉求类型投诉详情都没说明白就突然就扣了我的钱，要求退款，查询不到单号。</t>
  </si>
  <si>
    <t>2019/10/05 20:18:53</t>
  </si>
  <si>
    <t>本人在钱站借款本金2000元，但是合同上写的3000元，明显不符。</t>
  </si>
  <si>
    <t>2019/10/05 20:18:33</t>
  </si>
  <si>
    <t>2019/10/05 20:18:17</t>
  </si>
  <si>
    <t>投诉人 丁先生        投诉对象  想有钱,聚合支付,支付宝        涉诉金额  1 500 元    问题类型    诉求类型投诉详情  想有钱APP 高利贷 申请1100元 3天还款1500元 续期400元2天 本人应无力偿还 续期多次 支付宝为这种高利贷公司提供支付通道 还有聚合支付 希望能协商解决</t>
  </si>
  <si>
    <t>2019/10/05 20:18:08</t>
  </si>
  <si>
    <t>希望能停止骚扰，一天几十个电话，严重影响工作和生活，希望平台能和我协商。</t>
  </si>
  <si>
    <t>2019/10/05 20:18:07</t>
  </si>
  <si>
    <t>投诉人金先生投诉对象交易猫涉诉金额40元问题类型诉求类型投诉详情交易猫中购买东西，没收到货，就被交易猫私自确认收货！没办法退订单。</t>
  </si>
  <si>
    <t>2019/10/05 20:17:39</t>
  </si>
  <si>
    <t>找平台客服处理，客服态度不好，遇问题不处理，还找借口骂人。</t>
  </si>
  <si>
    <t>2019/10/05 20:17:04</t>
  </si>
  <si>
    <t>在不知情的情况下，私自扣了299元，我就是填写了个人资料而已，未经本人允许的情况下这样私自扣费，让我实在接受不了。</t>
  </si>
  <si>
    <t>2019/10/05 20:16:58</t>
  </si>
  <si>
    <t>51享借,火影帮,佑佑分期,来亿借,今借到,肥猫贷,呗呗分期,菜鸟有钱,想有钱,亿贷宝，7/14高炮，暴力催收，爆通讯录，恐吓威胁，续期套路贷还进去的钱大于3倍借款金额，利率不合法，。</t>
  </si>
  <si>
    <t>2019/10/05 20:16:10</t>
  </si>
  <si>
    <t>你我金融，砍头利息不说，逾期几天把我几百个通信录全部打了几遍，我好友全部有通话记录，都是你我金融的骚扰电话。</t>
  </si>
  <si>
    <t>2019/10/05 20:15:59</t>
  </si>
  <si>
    <t>本人通过网络宣传在钱站借出2000元，当时平台上无任何显示要偿还3000，借款页面刻意隐藏三期应还其数，实则是借2000还3000。</t>
  </si>
  <si>
    <t>2019/10/05 20:15:11</t>
  </si>
  <si>
    <t>小通商城无故扣款两次，分别是248.25元和218.11元，本人并没有在该商城消费下单，就被无故扣款。</t>
  </si>
  <si>
    <t>2019/10/05 20:14:27</t>
  </si>
  <si>
    <t>投诉人 武明辉        投诉对象  光大银行信用卡中心        涉诉金额  2 000 元    问题类型    诉求类型投诉详情  暴力催收1小时20个电话。谢谢聚投诉解决。</t>
  </si>
  <si>
    <t>2019/10/05 20:14:17</t>
  </si>
  <si>
    <t>借款4000，结果到账才发现15天1期，一共还6300多，现在由于债务爆发，无力承担高额高利贷，已在当地公安登记，对其他违法高利贷登记立案，明天到期要求本金加合理利息处理，请尽快通知！。</t>
  </si>
  <si>
    <t>2019/10/05 20:13:32</t>
  </si>
  <si>
    <t>高额利率，恐吓家人，暴力催收，电话短信轰炸！伪造国家政府部门文件。</t>
  </si>
  <si>
    <t>2019/10/05 20:13:26</t>
  </si>
  <si>
    <t>本人在2019.6.08向小赢卡贷借款30000元分期12个月，平台要求还款40000元，和众安保险捆绑消费，在我不知情的情况下代偿，他们的利息远超国家标准利率！！我还要求众安保险给我退保！。</t>
  </si>
  <si>
    <t>2019/10/05 20:11:36</t>
  </si>
  <si>
    <t>投诉人刘宁投诉对象支付宝涉诉金额10000元问题类型诉求类型投诉详情我是支付宝个体户用户，我当时打了很多的电话，支付宝的人工只是说我违反了什么条例，但是不说我违反了哪一条，然后直接挂电话，每次打电话人工就是念话术就挂断，根本不听我的问题，昨天又把我的企业支付宝封了，这次是14天，这次我打电话和上次的情况一模一样，态度恶劣说完就挂电话，我们公司的支付宝使用了很多年，从来没有任何的违法事情，现在支付宝无法收款，已经影响了我们公司的正常运行，2、做为服务行业，支付宝对待我们的态度我们无法接受。</t>
  </si>
  <si>
    <t>2019/10/05 20:11:15</t>
  </si>
  <si>
    <t>投诉人倪先生投诉对象火影帮,富友支付涉诉金额1314元问题类型诉求类型投诉详情本人于在深圳国金征信有限公司旗下的火影帮借款1800，仅到账1314元，15天就需要还款，而首页广告说是六个月分期，在就是本人已续期一次费用是484元，以为是分期付款，虚假宣传，诱导用户，每续期15天就要收取高达484元每期的费用，总续了两次，到第三次跟他们说没那么多钱还叫我续，被迫无奈去朋友借来还本金1818，退还多余利息，谢谢上海富友支付还为其提供支付渠道，公司地址:广州省深圳市福田区福华三路168号深圳国际商会中心809。</t>
  </si>
  <si>
    <t>2019/10/05 20:09:54</t>
  </si>
  <si>
    <t>乐客公司利用抖音分享所谓创业信息，诱导大众引流到微信，通过电话销售不断夸大宣传加入他们会员，收取高额会员费，本人自加入以来，乐客公司只是发一些资料包自己观看，项目实质内容根本很难推广，而且有些项目就是不对的市场行情，和他们所谓的创业挣钱不切实际，更有很多会员都反应上当受骗，交了钱根本享受不到他们的服务，反应过后就拉黑我们，现在慢慢清楚了这是一种拉人头的包装方式挣会员费，涉及人员众多金额巨大，望平台给予足够支持合理退款，谢谢。</t>
  </si>
  <si>
    <t>2019/10/05 20:08:11</t>
  </si>
  <si>
    <t>没协商成功就委托第三方催收公司各种电话骚扰。</t>
  </si>
  <si>
    <t>2019/10/05 20:07:15</t>
  </si>
  <si>
    <t>投诉人 为女士        投诉对象  Wecash闪银        涉诉金额  36 000 元    问题类型    诉求类型投诉详情  威逼恐吓甚至威胁我和我的家人。行为恶劣，造成精神上的恐慌。</t>
  </si>
  <si>
    <t>2019/10/05 20:06:55</t>
  </si>
  <si>
    <t>神马借高利贷，信用管家，畅捷支付，潮州市盛林信息科技，支付宝为神马借提供服务，这属于欺诈行为，完全不为消费者想。</t>
  </si>
  <si>
    <t>2019/10/05 20:06:54</t>
  </si>
  <si>
    <t>拼多多商家为网赌账户代收钱，拼多多还存在虚假订单。</t>
  </si>
  <si>
    <t>2019/10/05 20:06:25</t>
  </si>
  <si>
    <t>10月2日凌晨吃饭时价格贵的离谱，一串韭菜要5元，其他的也很贵！。</t>
  </si>
  <si>
    <t>2019/10/05 20:06:13</t>
  </si>
  <si>
    <t>投诉人吴平投诉对象立借涉诉金额3600元问题类型诉求类型投诉详情亲人在平台还完本金和利息后，平台还恶意电话骚扰。</t>
  </si>
  <si>
    <t>2019/10/05 20:05:54</t>
  </si>
  <si>
    <t>投诉人曲先生投诉对象豹子贷涉诉金额299元问题类型诉求类型投诉详情注册后豹子贷APP有一个个人风险评估点击同意以后就分两次扣了我的钱没有任何的消费提示付费，其次拨打客服电话以后客服告诉我自付费之日起14天为服务期服务期内有2-5天审核期，审核期后如果没有为我提供帮助可以上传截图到客服申请退款，好吧我等了，再三致电客服，客服说线上退款无法办理，要求线下寄送个人身份证复印件手持身份证复印件和订单号到上海造艺公司，还有一件事，自动申请豹子贷账号以后，经常受到社会高利贷电话有假360借条假微粒贷等等，期间公安局预防</t>
  </si>
  <si>
    <t>2019/10/05 20:05:04</t>
  </si>
  <si>
    <t>10月30日，我在你我贷借款10500元，截止现在已经还款12151.5元，希望聚投诉能主持公道让你我贷销账，赔理道歉，我前面2期每月还1840.11，后面10期每月还1058.91，按照10.8%利息算，后面一个月最多还10500/12+10500*0.108/12=969.5元，APP金额是1058.91元，今天又打电话，那客服十分嚣张，说今天不还钱，明天就P图。</t>
  </si>
  <si>
    <t>2019/10/05 20:04:53</t>
  </si>
  <si>
    <t>投诉小浦优客，注册软件后在不知情的情况下扣款296元，接到短信时候搞不清楚状况，打客服电话不给退款，这种行为是欺骗人，我要求小浦优客平台退款给我。</t>
  </si>
  <si>
    <t>2019/10/05 20:04:41</t>
  </si>
  <si>
    <t>你我贷秒啦借了一笔款项，往期均是正常还款，今日为第六期还款，因你我贷在晚上19:30-23:30不允许手动还款，但一直未主动扣款，故担心逾期，于23:40进行了手动充值还款，有短信及银行记录显示充值成功，但你我贷app上仍旧显示余额为0，导致本人还不了款，逾期，本人诉求为:清除逾期记录，提供结清证明，并就此事进行解释！。</t>
  </si>
  <si>
    <t>2019/10/05 20:04:32</t>
  </si>
  <si>
    <t>2019/10/05 20:03:45</t>
  </si>
  <si>
    <t>本人于9月22号在贷上钱借款2000元，准备还款上面显示利息60，还要强制购买420元的游戏豆，要求减掉420的强制消费。</t>
  </si>
  <si>
    <t>2019/10/05 20:03:33</t>
  </si>
  <si>
    <t>有间钱庄里面还款最后一期，APP打不开，客服说app维护一个月，本来让我微信转账还款，我的微信还不过去，有风控，最后客服让我网银转账，让我转账的时候备注填写姓名和电话后四位，转账成功后，客服说我备注没有带括号，不能给我app销账，让我从新在还款，我在网上差了好多人都是已备注不正确骗了好多次。</t>
  </si>
  <si>
    <t>2019/10/05 20:02:42</t>
  </si>
  <si>
    <t>我想知道平安普惠这理赔催收为什么这么牛逼，既然是解决问题为什么一直强迫我，已经说妹妹出事了现在是植物状态，只能从下个月开始还，而且用两个月把剩下的还完，理赔催收直接说不可以，直接让我今天必须解决，如果可以解决还能逾期不还吗，一直说我好像和我妹妹还有我父母没有关系一样，我就想问一下，发信息说什么，到我微信加了又给我来这样的，有这样做的吗，说可以封存半年，我让封存就不封存了让我还款，我说从下个月还也不可以，这样还协商干什么，那不如直接代偿，还给我们发信息干什么。</t>
  </si>
  <si>
    <t>2019/10/05 20:02:26</t>
  </si>
  <si>
    <t>苏宁易购深圳市福田区皇岗店以老顾客答谢会的名义让我去现场领礼品，结果实际是推销净水器，他先是说了癌症发病率，引起大家的恐慌，再说跟空气和不干净的水有关，然后开始做空气净化器在密闭空间净化空气，然后用自来水和矿泉水做一个电解质实验，加TDS笔测试水的试验，后来我自己深入了解了才知道这个实验拿来证明水质是不科学不全面的，是做净水器公司经常拿来推销净水器的一种手段，而净水器不符合市场价，特要求退款处理备注：通过搜索聚投诉平台发现今年以来已有多起此类投诉，并成功通过平台退款结案，希望平台也可以帮助我们成功退货退款，</t>
  </si>
  <si>
    <t>2019/10/05 20:02:15</t>
  </si>
  <si>
    <t>在不知情的情况下，莫名其妙地被人用创客工具箱给我微信打标了，且未告知我缘由，连申诉的途径都没有，微信就是我的私人社交工具，莫名其妙地就给我打标成，，把我说成是骗子，我就想问问我到底骗了什么，有本事拿出真凭实据来，再不通知我，且不给申诉的情况下，创客工具箱的这种打标行为，严重侵犯了我的个人声誉，属于恶意诽谤中伤，影响我的人际交往！在此强烈要求创客工具箱尽快清除我的微信打标信息！。</t>
  </si>
  <si>
    <t>2019/10/05 20:02:03</t>
  </si>
  <si>
    <t>投诉人彭女士投诉对象捷信金融涉诉金额50000元问题类型诉求类型投诉详情捷信平台借了3w，分36期，算下来是5w左右，每个月还1374.11，现在已经换了10期了，算下来已经还了13740.11，然后我问他们提前还款怎么还，告诉我们的是说还要还三个月的1374.11，然后再还本金23273.25，这算怎么回事，换了接近一年才换还了这么多点钱，还要要求多还三个月分期，然后我询问他这是怎么算的，然后他说是每个人的利息不一样，借的时候说等额本息，然后现在又说前期本金少利息多，后期本金多利息少，还有借的时候根本没有</t>
  </si>
  <si>
    <t>2019/10/05 20:00:57</t>
  </si>
  <si>
    <t>还有后来又让我交了124说10月份考试的钱。</t>
  </si>
  <si>
    <t>2019/10/05 20:00:45</t>
  </si>
  <si>
    <t>之前通过聚投诉平台与自由摩卡内的信用计划取得了联系。</t>
  </si>
  <si>
    <t>2019/10/05 20:00:35</t>
  </si>
  <si>
    <t>2018年1月8日跟倢信金融借了140000分36期、一个月还716、现在已经还18期了、想提前还、但是他们说还要还8857、加起来就是2万五百多了、利息太高了、望倢信金融能不能降低利息、还本金、因为现在失业了、真的没有能力承担这么高的利息。</t>
  </si>
  <si>
    <t>2019/10/05 19:59:45</t>
  </si>
  <si>
    <t>投诉人 谢女士        投诉对象  小羽分期,小羽白卡        涉诉金额  1 000 元    问题类型    诉求类型投诉详情  高利贷 1000到账704 说好的7天还款 然后实际五天五天时间还款 今天还款还不了没有渠道 在打不通客服电话的情况下 把我苹果手机锁机了 手机都锁了 还能还款吗？意思我还要再买过一个苹果手机去处理？真的有点坑 明明是他们自己的问题 关我什么事</t>
  </si>
  <si>
    <t>2019/10/05 19:58:27</t>
  </si>
  <si>
    <t>投诉人张爸爸投诉对象招联金融涉诉金额36000元问题类型诉求类型投诉详情招联金融恶意骚扰联系人，还加我通讯录好友微信，冒充本人欺骗好友，严重影响本人肖像权，本人已准备联系报社记者，曝光这所谓的高利贷，暴力催收。</t>
  </si>
  <si>
    <t>2019/10/05 19:57:52</t>
  </si>
  <si>
    <t>投诉人 黄女士        投诉对象  马上消费金融        涉诉金额  1 500 元    问题类型    诉求类型投诉详情  马上金融每天电话骚扰家人朋友 请停止 逾期我这边有付逾期费 如果骚扰通讯录的话请减免逾期费 不减免的话请停止骚扰 我这边马上还</t>
  </si>
  <si>
    <t>2019/10/05 19:57:50</t>
  </si>
  <si>
    <t>以默认购买会员的形式，变相砍头息，借款到账后自动从银行卡划扣，实际上借800还1080，变相的高利贷。</t>
  </si>
  <si>
    <t>2019/10/05 19:57:46</t>
  </si>
  <si>
    <t>投诉人 邓声君        投诉对象  招联金融        涉诉金额  12 000 元    问题类型    诉求类型投诉详情  招领金融恶意骚扰 威胁恐吓暴力催收 , 极度的进行威胁骚扰恐吓 , 威胁进行群p 裸图 诅咒图片</t>
  </si>
  <si>
    <t>2019/10/05 19:57:27</t>
  </si>
  <si>
    <t>投诉人 崔先生        投诉对象  通联支付        涉诉金额  800 元    问题类型    诉求类型投诉详情  农行储蓄卡 经常被通联沪快 不明扣款 盗刷 经常 乱扣费 通联沪快的电话也打不通</t>
  </si>
  <si>
    <t>2019/10/05 19:57:24</t>
  </si>
  <si>
    <t>10月5日才放款，10月13日就要还第一期借款，联系客服，客服说会少相应天数的利息，23天才少了16块钱，居然能说少了相应的利息，我无法接受。</t>
  </si>
  <si>
    <t>2019/10/05 19:57:08</t>
  </si>
  <si>
    <t>骂人，不能协商，态度恶劣，希望做出道歉，已经严重影响了我的生活。</t>
  </si>
  <si>
    <t>2019/10/05 19:55:00</t>
  </si>
  <si>
    <t>之前是还款还不进，套路贷，涨了那么多利息了才可以还，我现在不是不还，已经影响我的征信了，上次在你们平台投诉过，问题还没解决，希望解决利息，还本金。</t>
  </si>
  <si>
    <t>2019/10/05 19:54:57</t>
  </si>
  <si>
    <t>小花钱包暴利催收，辱骂我联系人，侮辱我，发短信给我联系人，爆通讯录！。</t>
  </si>
  <si>
    <t>2019/10/05 19:54:30</t>
  </si>
  <si>
    <t>本人在“快闪卡贷”借款15000元，实际到账12600，打电话过去问怎么少2400客服说买了保险才能通过的，这种套路贷已违法希望有关部门给予帮助谢谢！。</t>
  </si>
  <si>
    <t>2019/10/05 19:53:33</t>
  </si>
  <si>
    <t>投诉人 朱女士        投诉对象  宝付支付        涉诉金额  230 元    问题类型    诉求类型投诉详情  无故扣款230多元 都没有短信通知 我也不知道是什么款</t>
  </si>
  <si>
    <t>2019/10/05 19:51:58</t>
  </si>
  <si>
    <t>投诉人李女士投诉对象拼多多涉诉金额16元问题类型诉求类型投诉详情9月22日在拼多多上面买了一个毛巾架子不锈钢浴巾架子收到货后架子有问题上下不平整装上之后是斜的联系商家商家说退三元让凑合用我要求退货商家误导让我选择退货原因选填其他本来退货包运费补贴的是11元我退货因为超重运费是16元，过了几天货款钱退回来了但运费没有退上面显示的运费补贴被取消我就联系商家商家说运费补贴问题让问多多客服他们不清楚然后我又联系平台客服平台客服说是账号异常，让联系商家协商解决，联系商家商家一直都是回复让问平台，联系平台又是让联系商家</t>
  </si>
  <si>
    <t>2019/10/05 19:51:13</t>
  </si>
  <si>
    <t>12306到时间不自动退单，我手动退单不行，之前寻求客服帮助，不予解决。</t>
  </si>
  <si>
    <t>2019/10/05 19:50:59</t>
  </si>
  <si>
    <t>投诉人邱女士投诉对象信用管家涉诉金额5000元问题类型诉求类型投诉详情平台本金和利息不分清楚胡乱扣费，找客服协商，客服一直找借口不管。</t>
  </si>
  <si>
    <t>2019/10/05 19:50:48</t>
  </si>
  <si>
    <t>投诉人陈先生投诉对象名校贷涉诉金额6000元问题类型诉求类型投诉详情国家已经出台政策不允许给在校大学生放贷，名校贷不止放贷还违规收取高额砍头息，只要有逾期记录就不给退还，本人认识这完全属于霸王条款，希望聚投诉等部门重视这个问题，帮我们追回咨询费。</t>
  </si>
  <si>
    <t>2019/10/05 19:50:27</t>
  </si>
  <si>
    <t>投诉人吴平投诉对象立借涉诉金额3800元问题类型诉求类型投诉详情亲戚申请分期同意后还一直扣取全款高额费用，这样挣利息那个还的起钱。</t>
  </si>
  <si>
    <t>2019/10/05 19:50:20</t>
  </si>
  <si>
    <t>2019/10/05 19:49:12</t>
  </si>
  <si>
    <t>钱站借款5000，到账5000，合同金额为9600，每期还款1656.94，没到还款日就打电话威胁爆通讯录…协商处理，根本不理你…。</t>
  </si>
  <si>
    <t>2019/10/05 19:47:44</t>
  </si>
  <si>
    <t>之前一直正常使用钱多钱少都有用，一没违法二没违章三没滞纳金，今天突然说我用车资质不符，客服连个屁都放不出来，恶心不恶心，还是白金会员平时用的也不少了。</t>
  </si>
  <si>
    <t>2019/10/05 19:47:34</t>
  </si>
  <si>
    <t>投诉人祁女士投诉对象月光侠分期涉诉金额2000元问题类型诉求类型投诉详情都已经放款中一周了，一直不到账，还不能取消借款。</t>
  </si>
  <si>
    <t>2019/10/05 19:46:39</t>
  </si>
  <si>
    <t>投诉人黄先生投诉对象造艺科技涉诉金额200元问题类型诉求类型投诉详情拇指下款app里没有贷到款就卸载了这个软件，以后也没有通知我，私自扣了我200元打电话于客服协商，要我活动过后将身份证复印件和手持身份证邮寄给上海造艺网络科技有限公司，到现在也没有给我处理，况且要我身份证干嘛，没有经过我同意私自扣款，而且居然不需要密码就扣了我钱，解释我就不需要了，我只需要退钱给我就行。</t>
  </si>
  <si>
    <t>投诉人赵玲投诉对象小赢卡贷涉诉金额12000元问题类型诉求类型投诉详情暴力催收，恶意骚扰。</t>
  </si>
  <si>
    <t>投诉人高先生投诉对象维信金科涉诉金额3300元问题类型诉求类型投诉详情用“呼死你”等软件轰炸我和我身边亲戚朋友。</t>
  </si>
  <si>
    <t>投诉人徐女士投诉对象小浦优客涉诉金额296元问题类型诉求类型投诉详情强烈投诉小浦优客，在我不知情的情况下恶意扣款296元，要求退款，感谢平台帮助处理一下投诉。</t>
  </si>
  <si>
    <t>投诉人邱女士投诉对象你我贷涉诉金额5000元问题类型诉求类型投诉详情望与你我贷调整利率协商结清注销账户，需要改进的地方太多了，如果这些不处理那谁还在平台贷款。</t>
  </si>
  <si>
    <t>2019/10/05 19:46:25</t>
  </si>
  <si>
    <t>闪电借款变相收取黑卡砍头息，3000借款收取黑卡费用600元，变相砍头息、高利贷.到期后我本抱着协商还款的想法还款，可是闪电借款催收一听我协商还款就挂了我电话，就打遍我通讯录和通话详单，以及威胁、骚扰我通讯录和通话详单的亲戚朋友，对我个人造成了严重的影响，希望国家和该平台给与严厉打击，别让危害社会和谐并给与我本人道歉和赔偿！，需要还2500多一个月，变相购买游戏都收取砍头息，到期后用95开头的伪基站电话联系我，因我手机拒绝伪基站电话和传销电话，贷上钱的催收就打遍我通讯录和通话详单，对我个人造成了严重的影响，</t>
  </si>
  <si>
    <t>2019/10/05 19:46:06</t>
  </si>
  <si>
    <t>以前不懂法，国家也没严打不知道此公司属于非法高利贷，砍头息！前几天跟把兄弟的舅舅在一起吃饭才了解！本人在闪银借款次数五十次，每次最少199前期费用有时候甚至一笔就上七八百！强烈要求平台做出赔偿，不然将对其提起诉讼，用法律维权。</t>
  </si>
  <si>
    <t>2019/10/05 19:45:59</t>
  </si>
  <si>
    <t>投诉人 葛先生        投诉对象  有钱用        涉诉金额  7 000 元    问题类型    诉求类型投诉详情  天天骚扰我亲朋好友 进行暴力催收 恶意攻击 请停止骚扰</t>
  </si>
  <si>
    <t>2019/10/05 19:45:47</t>
  </si>
  <si>
    <t>信用管家强制性连接高利息平台直接转入支付宝界面从中扣除高额利息费。</t>
  </si>
  <si>
    <t>2019/10/05 19:45:32</t>
  </si>
  <si>
    <t>9月28日乘客吐我车上加了99洗车费，滴滴平台不垫付车费说我恶意改车费至今不垫付。</t>
  </si>
  <si>
    <t>2019/10/05 19:45:26</t>
  </si>
  <si>
    <t>昨天用app点击查看报告时并未说明要扣钱，而且也没出报告，我两个号码都有注册申请，因为第一个号码申请时显示不出来页面，第二个也是一样，而刚刚我的两个号码却都发来说被扣了服务费，一个是296，两个加起来就是592。</t>
  </si>
  <si>
    <t>2019/10/05 19:44:44</t>
  </si>
  <si>
    <t>每月四日还款，还款金额127.12元逾期一天就要128.19元。</t>
  </si>
  <si>
    <t>2019/10/05 19:44:43</t>
  </si>
  <si>
    <t>湖南卫视及何炅，为虚假广告代言，本人多次看到虚假广告《刷宝app》，看何炅说能赚钱，而且视频显示几分钟就是三四十，我刷了一天后发现何炅及湖南卫视骗了我们，请做出相应赔偿。</t>
  </si>
  <si>
    <t>2019/10/05 19:44:26</t>
  </si>
  <si>
    <t>7月28日，又和租我房子的蛋壳工作人员报备退房或者转租，有微信通话记录截图凭证，直到9月27日，还没有任何消息，我打电话给蛋壳客服，蛋壳客服态度恶劣，以服务管家已取消，且离职，又以7月28日的微信通话截图，没有文字表述，具不认账，见过无耻的没见过这么无耻的，蛋壳公寓无良，希望大家不要再受骗上当，直到9月30日，也没有给我办理退租，我又在一次打电话给客服，客服告知由于在9月系统升级，所有退租都必须在APP上操作，否则一律不认，就这样，我的租房押金，违约金，一个月的房租，蛋壳全部扣除，合计6000多元，当时租房</t>
  </si>
  <si>
    <t>2019/10/05 19:43:11</t>
  </si>
  <si>
    <t>平台找黑势力收钱，黑势力威胁亲戚，朋友，造成生活无法正常。</t>
  </si>
  <si>
    <t>2019/10/05 19:42:55</t>
  </si>
  <si>
    <t>2019/10/05 19:42:35</t>
  </si>
  <si>
    <t>本人在9月4日交3000元定金，又在几日内交付余款，购买了共计23060元的课程，在试听课结束后，发现百弗课程并不如宣传优质，再加上个人规划和家庭原因，不再适合百弗教学方式和体系，鉴于以上原因，本人于19年10月左右向负责老师提出退款，但不予退款，交涉期间，该老师说已签订合同不能退款，然而事实是签订合同时，机构并未给本人提醒该费用不能退款。</t>
  </si>
  <si>
    <t>2019/10/05 19:42:31</t>
  </si>
  <si>
    <t>投诉人 葛先生        投诉对象  拍拍贷        涉诉金额  2 200 元    问题类型    诉求类型投诉详情  拍拍贷逾期一天就打父母电话 态度极其恶劣 骚扰联系人</t>
  </si>
  <si>
    <t>2019/10/05 19:41:52</t>
  </si>
  <si>
    <t>信用管家app里的神马借，本人在9月初借款4000元只到账3000元，7天一期还款1024元，首先利率严重超出法定利率，并且本人在偿还第二期时后台无法还款，多次在不同时间拨打客服电话均无人接听，造成无法还款导致逾期，逾期费用高达50元一天，期间我仍多次拨打客服电话还是无人接听，今天10.5号，神马借客服打电话过来说我恶意不还款，并且表示软件坏了，需要重新下载并且用安卓手机才可以还款，客服也明确说明了是他们软件导致的无法还款，也不愿意减掉逾期费用，表示最多只能减少300元逾期费，因为神马借一方自己的原因导致逾</t>
  </si>
  <si>
    <t>2019/10/05 19:41:50</t>
  </si>
  <si>
    <t>莫名其妙的被扣款了296元，都不知道是什么情况，请给我一个公道，要求他们退款，。</t>
  </si>
  <si>
    <t>2019/10/05 19:41:43</t>
  </si>
  <si>
    <t>之前借过两次，借5800,12期还款8000多！从未逾期过，现在不能借了！老说借款人要有信用，请问你们的信用去哪儿了！当初的约定呢！。</t>
  </si>
  <si>
    <t>2019/10/05 19:41:26</t>
  </si>
  <si>
    <t>3号是还款日本以为完成自动扣款，却意外看到逾期信息，查看360金融软件后发现一直无法完成还款，查看贷款合同查找联系方式，发现本金应还17131，算了下得出实际贷款15000扣除当天银行自动扣的3000的服务费后再次多出50131的利息，也就是说我总还款金额在20131元，其中总共利息加费用是8131元，也就是综合利息在百分之五十以上，由于金额过高，本人经济有限，现申请调节利息，退还砍头息等其他多于的贷款利息。</t>
  </si>
  <si>
    <t>2019/10/05 19:40:45</t>
  </si>
  <si>
    <t>2019/10/05 19:39:57</t>
  </si>
  <si>
    <t>高利贷，超额收取手续费，3000元一个月利息达到600元，远远超过国家法定利率。</t>
  </si>
  <si>
    <t>2019/10/05 19:39:43</t>
  </si>
  <si>
    <t>前后打了3次客服，1次app客服，每次说法不一，有的说显示申请了退款到不到账不清楚，有的说没有权限看流水，结果就是反馈，反馈到现在毫无进展，钱就是不知道哪里去了。</t>
  </si>
  <si>
    <t>2019/10/05 19:38:40</t>
  </si>
  <si>
    <t>月月有钱说还了也白还，因为没备注，算白还了。</t>
  </si>
  <si>
    <t>2019/10/05 19:38:28</t>
  </si>
  <si>
    <t>几千张照片都找不到了，以前也没有备份，这十几年的相片说没就没了，得给个说法。</t>
  </si>
  <si>
    <t>2019/10/05 19:38:16</t>
  </si>
  <si>
    <t>你好，我于2019.9.29与上海黄浦区东方尚学培训机构签订了上海应用科技大学会展策划管理专科自考一共9800元，签订后的2天我向该机构老师提退学退款，该机构老师叫我问班主任能不能给我退，然后班主任任给我的答复是已经注册入库拒绝了我的请求，而且该课到10月中旬才开课，我一节课也没上也没给该学院造成损失为什么不给退，现在给我造成的精神压力很大。</t>
  </si>
  <si>
    <t>2019/10/05 19:37:47</t>
  </si>
  <si>
    <t>投诉人 杜先生        投诉对象  小象优品        涉诉金额  2 000 元    问题类型    诉求类型投诉详情  逾期几天，能联系我还爆我通讯录。搞的现在人尽皆知。对我生活造成很大影响</t>
  </si>
  <si>
    <t>2019/10/05 19:36:01</t>
  </si>
  <si>
    <t>阳光出行无故扣除司机余额，客服电话永远打不通。</t>
  </si>
  <si>
    <t>2019/10/05 19:35:20</t>
  </si>
  <si>
    <t>但催收人员于10月5日下午打电话对我通讯录人员进行骚扰，严重违背了职业操守，也影响到本人正常的工作和生活，现要求51人品贷立即提出整改方案进行相关公示，并打电话对我的通讯录联系人进行道歉及相关说明。</t>
  </si>
  <si>
    <t>2019/10/05 19:34:36</t>
  </si>
  <si>
    <t>我现在处于加班状态接电话不方便，今天才到期就打了五个电话，要死吗，我过了今天我拿逾期的钱该他们什么事儿，。</t>
  </si>
  <si>
    <t>2019/10/05 19:33:42</t>
  </si>
  <si>
    <t>微信支付为博彩网站提供充值清算资金，10月2日已经在微信举报了，一直没有回复，希望微信支付可以给一个合理的解释，为什么不拦截转账导致资金被骗5600元，附上微信转账截图，和博彩网站的的充值账号。</t>
  </si>
  <si>
    <t>2019/10/05 19:33:01</t>
  </si>
  <si>
    <t>故意让朋友所借的钱逾期后，电话威胁朋友还款高额的逾期费用。</t>
  </si>
  <si>
    <t>2019/10/05 19:32:54</t>
  </si>
  <si>
    <t>投诉人孙先生投诉对象Wecash闪银涉诉金额25000元问题类型诉求类型投诉详情Wecash闪银借款25000，实际到账25476.10元，秒扣保险费476.10元，合同金额33000，与实际借款金额不符，并且分12期，每期需还3458.31元，总共需还41461.22元，利息高达16461.22元，年化率高达66%。</t>
  </si>
  <si>
    <t>2019/10/05 19:32:02</t>
  </si>
  <si>
    <t>投诉人 李先生        投诉对象  拍拍贷        涉诉金额  0 元    问题类型    诉求类型投诉详情  要求拍拍贷停止骚扰通讯录里面的亲朋好友 要求协商还款方式或者延时还款</t>
  </si>
  <si>
    <t>2019/10/05 19:31:22</t>
  </si>
  <si>
    <t>贷款金额:65000元，贷款45个月，每个月还2628.54元，现已经还了15月，还了39428元，现在要提前还款需要还53900，现在打电话咨询客服，客服说加了服务费8000元，各种手续费，各种乱收费！我就想问这个高利贷符合法律吗。</t>
  </si>
  <si>
    <t>2019/10/05 19:31:11</t>
  </si>
  <si>
    <t>投诉人余文卫投诉对象捷信金融涉诉金额25000元问题类型诉求类型投诉详情2017年8月11日本人向捷信借现金贷25000元，分33期还清，还了17期后，因为资金周转困难原因到2019年8月22日与捷信人员协商，他说只要还了5000元后给我适当减免和分期还完减免之后的11000元，我当时因为资金原因还了4000元，加上后面还的4000元总共还了26000多元，跟他说了，他说可以帮我申请分期，但今天另一个又打电话来说减免之后要一次还清，我跟她说分3期还完11000元，她又不愿意跟我协商，还说什么明天是最后期限什</t>
  </si>
  <si>
    <t>2019/10/05 19:31:08</t>
  </si>
  <si>
    <t>2019年9月25号在毒app上购买了Air，GS款鞋，原价919元有折扣付款金额854元，由于是送给女朋友的，在收到商品后试了一下就剪掉了毒app所谓的防伪标签，但在穿的过程中发现一个小问题鞋面出现一边宽，一边窄，，还有一个问题就是内侧拼接出出现2cm左右明显的破洞，然后联系客服说48小时内会有回访电话，接到电话后我说明了情况，平台给的处理结果是给我补偿一个50元的现金券，平台的解释是平台不支持换货，只要防伪标签取下就无法退，换，连最基本的维修都不行，我也表示了对它们处理结果不满意，但是得到的回复是，我现</t>
  </si>
  <si>
    <t>2019/10/05 19:31:05</t>
  </si>
  <si>
    <t>平台暴力催收，利息高，现在已经无力偿还，希望协商解决。</t>
  </si>
  <si>
    <t>2019/10/05 19:30:34</t>
  </si>
  <si>
    <t>还款时你我贷app无法主动还款，代扣还款也是失败，联系你我贷客服，客服让对公还款，现已通过银行转账的方式进行了对公还款，，可你我贷那边还一直不销账，不知是什么原因。</t>
  </si>
  <si>
    <t>2019/10/05 19:30:24</t>
  </si>
  <si>
    <t>也就是说3000元28天利息高达1932元。</t>
  </si>
  <si>
    <t>2019/10/05 19:30:15</t>
  </si>
  <si>
    <t>群发个人信息给手机联系人同事家人纷纷受到骚扰，暴力催收，完全不给协商的余地！承诺额度长期有效的，现在冻结了可用金额！暴力催收威胁性短信！大机构想不到手段比高利贷还高利贷！坚决投诉。</t>
  </si>
  <si>
    <t>2019/10/05 19:29:32</t>
  </si>
  <si>
    <t>投诉人秦先生投诉对象Wecash闪银涉诉金额5200元问题类型诉求类型投诉详情买会员卡下款，变相高利贷，竟然这种平台能跟银行合作，我不明白国家打黑是打的什么！每次借款最少199的会员费有时候甚至三百多！我共有十四次记录还款成功的，要求平台赔偿我的砍头息3000元，现在有六比账单我要求只还本金和国家支持的利息，消除欠款记录，恢复我的征信记录，不然就上告法院。</t>
  </si>
  <si>
    <t>2019/10/05 19:28:03</t>
  </si>
  <si>
    <t>钱程无忧未经我允许与同意，私自扣费，扣费前不经我同意便自行扣费，事后联系客服客服拒绝退款，我从未登陆该公司app注册，便扣费，怀疑自己各类信息已经泄漏，要求退还本人费用，并道歉，客服称随便投诉，态度狂妄。</t>
  </si>
  <si>
    <t>2019/10/05 19:27:43</t>
  </si>
  <si>
    <t>目前我经济困难，虽然没有全还，每个月都有还一点，然后银行动不动就要给我寄律师函。</t>
  </si>
  <si>
    <t>2019/10/05 19:27:35</t>
  </si>
  <si>
    <t>实际上这个证书根本不被行业认可，也不能在网上挂靠做兼职。</t>
  </si>
  <si>
    <t>2019/10/05 19:27:03</t>
  </si>
  <si>
    <t>投诉人 韦先生        投诉对象  马上消费金融        涉诉金额  0 元    问题类型    诉求类型投诉详情  未经本人允许，骚扰通讯录联系人。态度十分恶掠，恐吓通讯录联系人</t>
  </si>
  <si>
    <t>2019/10/05 19:25:58</t>
  </si>
  <si>
    <t>账单含有保险费用，我都不知道那些保险费用为什么要算进借款合同里。</t>
  </si>
  <si>
    <t>2019/10/05 19:24:34</t>
  </si>
  <si>
    <t>高利贷超出国家规定利息，暴力催收，骚扰通讯录里联系人。</t>
  </si>
  <si>
    <t>2019/10/05 19:24:17</t>
  </si>
  <si>
    <t>我本想在白条分期平台上借点钱周转一下，但是在申请途中平台上叫先缴纳259元购买VIP就可以申请，我把钱交进去以后他平台上立马显示要在其他平台借款，在我交259元之前他上面根本就没有显示出来什么协议，且拒一次只赔偿2元，我现只想要回我的259元。</t>
  </si>
  <si>
    <t>2019/10/05 19:23:21</t>
  </si>
  <si>
    <t>本人由于最近工作不稳定，造成资金困难，想与贵平台协商还款，望理解。</t>
  </si>
  <si>
    <t>2019/10/05 19:22:17</t>
  </si>
  <si>
    <t>投诉人 杨雄        投诉对象  立借        涉诉金额  4 800 元    问题类型    诉求类型投诉详情  立借平台借钱合同和还款利息不符合实际。客服不协商不管。</t>
  </si>
  <si>
    <t>一天到晚打无数个电话给我，不是一天不能超过3个电话吗。</t>
  </si>
  <si>
    <t>2019/10/05 19:22:15</t>
  </si>
  <si>
    <t>我表哥在你我贷借了钱，平台一直暴力催收，服务费还不算利息，变相规避高额利息，实际就是高利贷，砍头息，这种平台谁敢借。</t>
  </si>
  <si>
    <t>2019/10/05 19:21:58</t>
  </si>
  <si>
    <t>滴滴公司为了不让车主接单限制派单率、每天出来去掉油费连100元都赚不到、这是欺骗司机为他们无偿服务。</t>
  </si>
  <si>
    <t>2019/10/05 19:20:53</t>
  </si>
  <si>
    <t>贷上钱app借款2000元，需要还2500多一个月，变相购买游戏都收取砍头息，到期后用95开头的伪基站电话联系我，因我手机拒绝伪基站电话和传销电话，贷上钱的催收就打遍我通讯录和通话详单，对我个人造成了严重的影响，希望国家和该平台给与严厉打击，别让危害社会和谐并给与我本人道歉和赔偿！。</t>
  </si>
  <si>
    <t>2019/10/05 19:20:37</t>
  </si>
  <si>
    <t>高昂利息，已还款还要恶意骚扰侮辱轰炸通讯录。</t>
  </si>
  <si>
    <t>2019/10/05 19:19:07</t>
  </si>
  <si>
    <t>欺诈公司！这样的欺骗消费者！希望有关部门彻查此事！。</t>
  </si>
  <si>
    <t>2019/10/05 19:18:15</t>
  </si>
  <si>
    <t>本人于2019年09月13日被上海造艺网络科技有限公司通过快捷通支付服务有限公司恶意扣除一笔款项299元，该公司凭什么在我无任何操作且不知情的情况下扣除我银行卡上的钱，这不是盗刷是什么，请该公司赶紧退款，为了我个人账户和人民群众的财产安全，特此投诉！。</t>
  </si>
  <si>
    <t>2019/10/05 19:17:31</t>
  </si>
  <si>
    <t>10月1日通过返利网领优惠券购买了天猫超市特价的心相印丝享抽纸，并根据天猫超市方的要求提供了收货后与所买商品不符的图片证据，并且随后有一名自称天猫超市的工作人员打电话说，但是据别的买家了解斑布的纸张比心相印的粗糙，我再次要求换货却被告知要先垫付发货的运费并提供运费单据，并且希望他们能找人上门收回发错的快递并且重新补发我买的货物，因为后续我不想再和天猫超市继续进行维权纠纷，看到游览器上面关于天猫超市发错货拒不承认的相同案例无数。</t>
  </si>
  <si>
    <t>2019/10/05 19:16:49</t>
  </si>
  <si>
    <t>沟通分期还款事宜，分期还款时间晚了几天，直接要求一次性还清，拒绝协商，催收拒绝沟通，告知过五分钟联系，直接不和我联系电话我父亲。</t>
  </si>
  <si>
    <t>2019/10/05 19:16:36</t>
  </si>
  <si>
    <t>输入取件码，打开箱门后发现快递是破损了一个洞，正常情况下这种袋子破损也不会是这样的吧，感觉就是像人为扣破的。</t>
  </si>
  <si>
    <t>2019/10/05 19:16:16</t>
  </si>
  <si>
    <t>因为做生意赔了，最近手头紧，说了过几天还，就是不行，说什么催收公司催收。</t>
  </si>
  <si>
    <t>2019/10/05 19:15:46</t>
  </si>
  <si>
    <t>超过五人，我可以公安局联名上诉了，这种暴力催收居然聚投诉不了，厉害。</t>
  </si>
  <si>
    <t>2019/10/05 19:15:02</t>
  </si>
  <si>
    <t>沟通态度差，直接爆通讯录，客服联系不解决，工作人员直接说爆通讯录是正常流程！。</t>
  </si>
  <si>
    <t>2019/10/05 19:14:31</t>
  </si>
  <si>
    <t>一个月期限30天，实际期限是28天，额度2000，还款时要还2500，现在爆通讯录，影响家人生活了，还有一笔3000的额度，二十八天期限，还款让还3618，。</t>
  </si>
  <si>
    <t>2019/10/05 19:13:59</t>
  </si>
  <si>
    <t>刚刚发现卡里被扣了600元，打银行电话说是一个叫小富商城的扣的，第一，我想知道我为什么扣款，第二，给出相应的赔偿。</t>
  </si>
  <si>
    <t>2019/10/05 19:12:45</t>
  </si>
  <si>
    <t>本来老爸刚做完手术没钱处理账单，催款没联系本人直接发信息侮辱。</t>
  </si>
  <si>
    <t>2019/10/05 19:12:41</t>
  </si>
  <si>
    <t>2019/10/05 19:11:59</t>
  </si>
  <si>
    <t>平台本金和利息不分清楚胡乱扣费，找客服协商，客服一直找借口不管。</t>
  </si>
  <si>
    <t>2019/10/05 19:10:24</t>
  </si>
  <si>
    <t>一个女性朋友在你我贷借的钱一直打电话，骂人，侮辱，恐吓，一直打，还用我的照片P图，当头像！我一直和她们说协商协商，，她们根本不理，一直骂人，恐吓，今天说晚上八点给我家里人朋友每人都发P图，说妇科病什么的，说的太恶心了，我说什么他们根本不理，非把人逼上死路！如果真这样，那就鱼死网破！法院起诉！公安打黑也会介入。</t>
  </si>
  <si>
    <t>2019/10/05 19:10:03</t>
  </si>
  <si>
    <t>投诉人 黄波        投诉对象  立借        涉诉金额  4 100 元    问题类型    诉求类型投诉详情  平台通过支付宝为714高炮提供还款渠道。</t>
  </si>
  <si>
    <t>2019/10/05 19:09:32</t>
  </si>
  <si>
    <t>2019/10/05 19:09:15</t>
  </si>
  <si>
    <t>后有尚德机构相关人员联系，各种追魂夺命的微信电话联系，说马上会有政策改革，截止当天晚上，如果没有报名就没有办法报名了，以后考试学习什么的会更难，还说有什么优惠活动，还可以咖啡易融分期付款，对尚德机构的教学质量表示失望，售前售后不符，鬼使神差就报了名，报完名才发现原来是自考，原本就有意愿要退款，尚德销售人员让再试一下，试着学1个月，不行再申请退款，学习一段时间后发现，实际与销售人员表述相差甚远，需要耗费的精力很多，对尚德机构的教学质量表示失望，售前售后不符，现已经无心继续在尚德机构学习，希望可以退款。</t>
  </si>
  <si>
    <t>2019/10/05 19:08:01</t>
  </si>
  <si>
    <t>之前买号被淘手游账号冻结，资金一直提现不出来。</t>
  </si>
  <si>
    <t>2019/10/05 19:06:50</t>
  </si>
  <si>
    <t>已经申请退押金2个月了还没退钱，每次打电话都推脱，根本就没有退！。</t>
  </si>
  <si>
    <t>2019/10/05 19:06:49</t>
  </si>
  <si>
    <t>在松紧贷上面借款11600，立马扣除1600推荐服务费，在收取两千多的借款利息，我觉得这不合理。</t>
  </si>
  <si>
    <t>2019/10/05 19:06:35</t>
  </si>
  <si>
    <t>2019/10/05 19:06:08</t>
  </si>
  <si>
    <t>信用管家找黑势力收账暴力威胁家人，找客服协商，客服称正常现象。</t>
  </si>
  <si>
    <t>2019/10/05 19:05:32</t>
  </si>
  <si>
    <t>下单时送商店通用优惠卷，原价109，送100元优惠卷，然后下单只付9，之后不发货，咨询客服不回复，再到下架商品，玩各种套路！！！严重损害消费者利益！。</t>
  </si>
  <si>
    <t>2019/10/05 19:04:07</t>
  </si>
  <si>
    <t>2019/10/05 19:03:34</t>
  </si>
  <si>
    <t>投诉人黄波投诉对象立借涉诉金额4600元问题类型诉求类型投诉详情立借平台暴力催收，爆我朋友通讯录，让我朋友身边的人无法正常生活。</t>
  </si>
  <si>
    <t>2019/10/05 19:03:31</t>
  </si>
  <si>
    <t>你我贷平台存在恶意催收，和催收人员约定第二天还款，拒不接受，说如果不还款，就打电话骚扰家人，这样的行为真的是让人愤怒。</t>
  </si>
  <si>
    <t>2019/10/05 19:01:36</t>
  </si>
  <si>
    <t>看到这个平台，当额度出来是2000然后借2000下款就1200利息800，当时就没点击确认借款，但是它恶意下款到银行卡里，然后我把1200还给了平台，他们现在叫我还剩下的利息，还给我联系人打电话恶意骚扰我，微信骚扰我说不给就打电话给我亲戚和公司的人。</t>
  </si>
  <si>
    <t>2019/10/05 19:01:33</t>
  </si>
  <si>
    <t>今天在抖音上看到广告，白博士祛痘十元体验，去了之后没有说什么体验，就让我做脸说有多严重多严重，说的我很害怕，然后就让我躺在床上给我挤痘痘，说我这个皮肤要怎么样怎么样，就诱导我买那个祛痘产品6800元我觉得贵，就说没钱，他然后说可以分期，可以花呗借呗，我说不了，期间给我使用的产品也没和我说是什么，就说已经使用了不能退，让我交钱才能走人，我只好从借呗借了6800交了钱，才走的，要求白博士退款！。</t>
  </si>
  <si>
    <t>2019/10/05 18:59:31</t>
  </si>
  <si>
    <t>由于脚伤没法最近上班，老公刚和我离婚，我简直崩溃，你我贷一直打电话，骂人，侮辱，恐吓，一直打，还用我的照片P图，当头像！我一直和她们说协商协商，，她们根本不理，一直骂人，恐吓，今天说晚上八点给我家里人朋友每人都发P图，说妇科病什么的，说的太恶心了，我说什么他们根本不理，非把人逼上死路！如果真这样，那就鱼死网破！法院起诉！公安打黑也会介入！。</t>
  </si>
  <si>
    <t>2019/10/05 18:58:34</t>
  </si>
  <si>
    <t>2019/10/05 18:58:17</t>
  </si>
  <si>
    <t>本人在牛人有品借款1900，30天，实际只到账1368，15天还一次，每期要还969，严重超过国家法定利息，如此砍头息高利贷行为，牛人有品高利贷砍头息，畅捷支付提供支付支持，且还款日当日大清早10点，威胁爆通讯录，暴力催收严重影响到了工作和生活，无奈才还了。</t>
  </si>
  <si>
    <t>2019/10/05 18:56:01</t>
  </si>
  <si>
    <t>因本人工作出点意外导致逾期，可是每天我都会接电话，16000已经还了30000已经还了27期。</t>
  </si>
  <si>
    <t>2019/10/05 18:55:04</t>
  </si>
  <si>
    <t>主动还款后平台多扣一期账单利息，要求退回一期利息。</t>
  </si>
  <si>
    <t>2019/10/05 18:55:03</t>
  </si>
  <si>
    <t>招联金融严重泄露个人信息，并对本人和家人骚扰，望招联金融给一个合理的解释，并停止骚扰。</t>
  </si>
  <si>
    <t>2019/10/05 18:54:38</t>
  </si>
  <si>
    <t>优钱花客服打电话说关注微信公众号帮助下款，关注之后，小安公众号回复要开通会员协助下款，全程诱导性，目的只是为了开通会员，开通会员与没开通没有任何区别，那我为什么交费，要求退会员费用，会员推送的贷款平台都是之前试过没有审批下来的，客服还说让再试，被拒绝没多久还试，征信就是被你们这些骗子搞花的，下不来款就不要说协助下款，要求退款，。</t>
  </si>
  <si>
    <t>2019/10/05 18:53:50</t>
  </si>
  <si>
    <t>本人于8月9号在周周花花借款2000元，到账确只有1500元，通过易宝支付放款，易宝支付给这些违规平台提供代扣服务这样是否合法合规，一个月后要还2039元，严重砍头息，息费539元，完全超出国家法律法规，到期已无力偿还，期间由于受不了骚扰先支付339元的延期费用只能延迟七天，已经延期了4期已经支付了1266元，希望聚投诉帮忙协商还款，在国家近期严打各种违法小贷，周周花花还敢违规违放贷，本人保留各种证据，届时各种证据投稿有关部门。</t>
  </si>
  <si>
    <t>2019/10/05 18:52:18</t>
  </si>
  <si>
    <t>投诉人黄波投诉对象信用管家涉诉金额4400元问题类型诉求类型投诉详情平台在以还款的情况下还私自扣取银行卡里的钱，盗取我的信息。</t>
  </si>
  <si>
    <t>2019/10/05 18:52:16</t>
  </si>
  <si>
    <t>现在软件也登录不上了，无法提供单号，我已经把我借的都还了。</t>
  </si>
  <si>
    <t>2019/10/05 18:51:33</t>
  </si>
  <si>
    <t>催收态度及其恶劣，没到逾期时间就到处打电话。</t>
  </si>
  <si>
    <t>2019/10/05 18:51:29</t>
  </si>
  <si>
    <t>你我贷贷款了3500，分期十二月还款，本应还款总额是3731.64，但是现在还款总额是4756.44，多了1024.8的不符合国家规定的费用，我现已还款八个月，在这八个月的还款里有856.8的不符合国家规定的费用，我希望贵平台反馈到你我贷，让你我贷联系沟通赔偿和消除剩下四个月不符合规定的费用。</t>
  </si>
  <si>
    <t>2019/10/05 18:48:33</t>
  </si>
  <si>
    <t>今天打算买个美团会员，正好看到腾讯视频联合美团会员20元一个月，收到了一个购买的记录，但并未提示美团会员到账。</t>
  </si>
  <si>
    <t>2019/10/05 18:47:39</t>
  </si>
  <si>
    <t>通过APP抖音平台了解到乐客独角兽这家公司。</t>
  </si>
  <si>
    <t>2019/10/05 18:47:38</t>
  </si>
  <si>
    <t>提示要认证资料，填了几个验证码，认证完成之后突然收到银行扣款信息，联系不上客服。</t>
  </si>
  <si>
    <t>2019/10/05 18:46:55</t>
  </si>
  <si>
    <t>下载了拇指下款app，钱没借到，填写了资料扣除了我299。</t>
  </si>
  <si>
    <t>2019/10/05 18:46:37</t>
  </si>
  <si>
    <t>投诉人 李志勇        投诉对象  洋钱灌        涉诉金额  898 元    问题类型    诉求类型投诉详情  洋钱灌爆通讯录。刚逾期一天。今天家人没给拿钱。明天给还都不行。如果不处理我肯定报复</t>
  </si>
  <si>
    <t>2019/10/05 18:45:22</t>
  </si>
  <si>
    <t>本人于9月5日在牛人有品借款1900元，实际到账1368元，分两期，每15天还一期，每日969元，还款总额1938元。</t>
  </si>
  <si>
    <t>2019/10/05 18:44:03</t>
  </si>
  <si>
    <t>因特殊原因造成未及时还款，建设银行第三方恶意骚扰非直系亲属。</t>
  </si>
  <si>
    <t>2019/10/05 18:42:05</t>
  </si>
  <si>
    <t>投诉人 郭先生        投诉对象  拼多多        涉诉金额  30 000 元    问题类型    诉求类型投诉详情  已经反馈很多次了 每次都让我等待3天反馈结果 我每次一到时间就来反馈 一直敷衍我</t>
  </si>
  <si>
    <t>2019/10/05 18:40:38</t>
  </si>
  <si>
    <t>信而富以前期购买商品为由收取高额利息、本人一直交了该有的利息、雨闪、手表牙刷同程导游权益卡墨镜等等、有些根本就没有收到商品、导游卡我也没有享受过这个权益、我要求退回购买商品的钱。</t>
  </si>
  <si>
    <t>2019/10/05 18:40:18</t>
  </si>
  <si>
    <t>江苏宜兴滴滴快车司机九月份以来迟迟接不到订单，经常性几个小时接一单，明明附近有单也不派，要从几公里范围外派优享车过来接，这样乘客等久了，会选择巡游出租车或者别的网约车平台，长此以往滴滴会流失客户，这样对司机，平台都是不利的。</t>
  </si>
  <si>
    <t>2019/10/05 18:40:13</t>
  </si>
  <si>
    <t>协商还款希望不要再来骚扰我的家人和亲朋好友谁会有钱不愿意去还谁会愿意天天被人崔债呢。</t>
  </si>
  <si>
    <t>2019/10/05 18:39:36</t>
  </si>
  <si>
    <t>7.25日在手机齐鲁ETC上面申请的设备到现在两个半月还没有收到货，几乎天天拨打客服不起作用，敷衍了事，我现在没有设备还不能注销。</t>
  </si>
  <si>
    <t>2019/10/05 18:39:31</t>
  </si>
  <si>
    <t>拍拍贷盗取我的通话记录，联系非紧急联系人，外包人员对我非法操作，给我造成不小的损失，希望与贵公司协商解决，别再干这种小人恶心之事，请你们合法合规办事，请你们给我解释。</t>
  </si>
  <si>
    <t>2019/10/05 18:39:27</t>
  </si>
  <si>
    <t>2019/10/05 18:39:12</t>
  </si>
  <si>
    <t>闪银借了三次哼哼和瞬瞬，未到还款日就强制要求扣除两次169和一次199元，否则说算逾期，并且提前还清没有任何优惠，一个月30块利息加上169，一个月利息是19%,年华利率就是200%以上！。</t>
  </si>
  <si>
    <t>2019/10/05 18:37:06</t>
  </si>
  <si>
    <t>投诉人张先生投诉对象急需贷涉诉金额2500元问题类型诉求类型投诉详情在今天下午4.59分时候我收到一个境外电话，然后又给我发了短信，自己都懵了我就加了下微信来验证事情真假，通过以后给了我一个链接，我点开看下了，是个APP，我就下载了，就把手机里的证件照和通讯录都泄露了，我本人已报警处理，给个软件还那么不专业，哪家的APP是只能借，然后连还款途径都不提供的[微笑][微笑][微笑][微笑]。</t>
  </si>
  <si>
    <t>2019/10/05 18:36:51</t>
  </si>
  <si>
    <t>信用管家App诚薪贷借款3000元，并无任何通知和借款合同的前提下扣了砍头息750，到账仅2250，十天还一期，每期一千多，本人已经还了两期，一个月利息750多，典型的高利贷，现在希望诚薪贷联系本人协商还款，只能接受本金加合理利息，并且没有任何其他还款渠道逾期利息费用30一天。</t>
  </si>
  <si>
    <t>2019/10/05 18:36:20</t>
  </si>
  <si>
    <t>投诉人张先生投诉对象畅捷支付涉诉金额300元问题类型诉求类型投诉详情业务员为了推广机器坑蒙拐骗，现在联系不上客服，没人给处理。</t>
  </si>
  <si>
    <t>2019/10/05 18:36:04</t>
  </si>
  <si>
    <t>没有收到还款信息，卡里不自动扣钱，手动还不了，一天一百的逾期费，砍头息，高利贷，打人工客服让工作人员回电话，到现在都没有回电话，逾期费用谁出……让工作人员解决没有人理会。</t>
  </si>
  <si>
    <t>2019/10/05 18:35:55</t>
  </si>
  <si>
    <t>投诉人 吴女士        投诉对象  豆豆钱        涉诉金额  10 000 元    问题类型    诉求类型投诉详情  豆豆钱砍头息 借了10000实际到账9200</t>
  </si>
  <si>
    <t>2019/10/05 18:35:48</t>
  </si>
  <si>
    <t>本金到手2000，还款2600，不肯协商还本金处理，爆通讯录，骚扰亲朋好友，希望出面制止。</t>
  </si>
  <si>
    <t>2019/10/05 18:34:54</t>
  </si>
  <si>
    <t>招联目前逾期11天，发信息让我给他们打电话，我打了2次没人接，现在居然爆我通讯录，盗我隐私，毁我名誉，要求做出处理。</t>
  </si>
  <si>
    <t>2019/10/05 18:34:43</t>
  </si>
  <si>
    <t>2019/10/05 18:34:29</t>
  </si>
  <si>
    <t>资金紧张没能按时还款，逾期了26天，但是，资金足够的话都会还进去的，没必要这样吧?逾期也是收利息的还不可以吗。</t>
  </si>
  <si>
    <t>2019/10/05 18:34:10</t>
  </si>
  <si>
    <t>朋友在立借app月月借借款2100/借款分四期，每期7天，每期还款749.49元，本人已经偿还3期共2248.47元，先协商100销账，月月借客服打电话不同意协商处理，态度极其嚣张，本人已录音，还款还必须有走线线下，请平台可以帮我和对方沟通处理，以免对方进行骚扰。</t>
  </si>
  <si>
    <t>2019/10/05 18:33:52</t>
  </si>
  <si>
    <t>商家未按要求让快递员和买家共同验货，自行确认收货后发现质量问题，拖延时间拒绝退款，2019-10-3日收到苏宁易购购买的手机，快递员送货上门，我要求拆封验货，快递员说这件事不归他们快递负责，回去有任何问题都可以找专有客服解决，拆快递外包装后确认包装完整，塑封膜未拆后离开，自行确认本人收货，回家自行验货，发现原厂塑料膜在时产品屏幕无任何问题，后撕下保护膜发现屏幕有裂痕，长约2.5厘米，商家卖瑕疵品给消费者，第一时间联系客服被告知本人已签收，后投诉未果，申请维权，商家拒绝退款，至今无法联系。</t>
  </si>
  <si>
    <t>2019/10/05 18:33:48</t>
  </si>
  <si>
    <t>投诉人 刘先生        投诉对象  天下信用        涉诉金额  5 000 元    问题类型    诉求类型投诉详情  天下信用联合各种高利贷放款，扣除前期费用。</t>
  </si>
  <si>
    <t>2019/10/05 18:32:18</t>
  </si>
  <si>
    <t>投诉人潘女士投诉对象重庆移动涉诉金额0元问题类型诉求类型投诉详情早上7:16，我使用了一个100MB的流量日包，我在中国移动和重庆移动公众号去确认，使用的时效是从早上7:16到凌晨的0:00，才开始浏览网站网页，但流量是扣的我月包的40MB，日包只扣了9MB，我浏览网站网页有一段时间，怎么可能只用了9MB，而只是在微信查询了下一重庆移动和中国移动的公众号流量使用情况，就用了40MB，这完全不符合现实，给10086反映了情况，他们坚持是正常的，是我的手机有问题，态度也不好。</t>
  </si>
  <si>
    <t>2019/10/05 18:32:14</t>
  </si>
  <si>
    <t>不良违规平台，恶意扣费，我在豹子贷就点进去，没有借款，就无故扣我299元，要求速退款。</t>
  </si>
  <si>
    <t>2019/10/05 18:31:21</t>
  </si>
  <si>
    <t>高铁管家软件进行抢票，点击了低速抢票，抢到票之后发现是光速抢票，并且已自动多扣除了40元抢票套餐费用，也不知道怎么取消，后在去看抢票系统，勾选普通抢票按钮还是显示光速抢票，而且主动跳出自动抢票付款，误导消费者，自动付款多扣钱后消费者完全属于懵的状况，不知道怎么办，退票火车站也要扣钱，多付的40也不知道退不退。</t>
  </si>
  <si>
    <t>2019/10/05 18:29:28</t>
  </si>
  <si>
    <t>每月158块钱的月租，从六月到九月总共充值730元，十月份变更三十六块钱套餐，请问为什么九月份还欠了60块钱。</t>
  </si>
  <si>
    <t>2019/10/05 18:29:12</t>
  </si>
  <si>
    <t>我支付了钱，他不履行相应的职责，不知道怎么找到他。</t>
  </si>
  <si>
    <t>2019/10/05 18:29:06</t>
  </si>
  <si>
    <t>因为暂时没有钱还，客服打电话也说了，过段时间有钱了就还进去，逾期利息和本金正常还款，客服还咄咄逼人，威胁说当天18:00前不还就爆通讯录催收，我说了，过段时间有钱把本金和逾期利息一起还，还要咄咄逼人，然后挂了我电话，五分钟没到，就爆了我通讯录好友。</t>
  </si>
  <si>
    <t>2019/10/05 18:28:59</t>
  </si>
  <si>
    <t>投诉人 包女士        投诉对象  51即刻有        涉诉金额  9 894 元    问题类型    诉求类型投诉详情  恐吓 每天骚扰我家人 烦得很 吵死一样</t>
  </si>
  <si>
    <t>2019/10/05 18:27:34</t>
  </si>
  <si>
    <t>投诉人季女士投诉对象百世快递涉诉金额2元问题类型诉求类型投诉详情快递员告知放门口乐惠超市，但未告知要收取费用，电联快递员态度恶劣，声称要求本人投诉去吧，我不怕，言语讽刺，你掏不起服用。</t>
  </si>
  <si>
    <t>2019/10/05 18:27:19</t>
  </si>
  <si>
    <t>闪银糯米贷款收取前期费用，我之前还清22笔账单，也就是说收取前期费用远不止5000元，闪银闪贷上次借5800，收取前期800多，一共有好几次，账单上显示22笔是糯米贷加闪贷，希望国家能够严厉处罚，他已经严重超出国家规定指标了。</t>
  </si>
  <si>
    <t>2019/10/05 18:26:01</t>
  </si>
  <si>
    <t>爆通讯录严重影响我以及家人朋友的正常生活要求赔偿损失。</t>
  </si>
  <si>
    <t>2019/10/05 18:25:37</t>
  </si>
  <si>
    <t>没有付费提示，只是在认证的时候填写了验证码。</t>
  </si>
  <si>
    <t>2019/10/05 18:25:15</t>
  </si>
  <si>
    <t>投诉人 尹先生        投诉对象  信用管家        涉诉金额  5 000 元    问题类型    诉求类型投诉详情  信用管家打不开，客服联系不上没有还。早上发了个短信威胁，本来想还本金的。砍头714的，还发验证码轰炸</t>
  </si>
  <si>
    <t>2019/10/05 18:24:54</t>
  </si>
  <si>
    <t>还呗死性不改，已经在你们平台注销账户了，又打骚扰电话来让借款，现在请还呗人员注销我在还呗的所有资料，不要再打来骚扰电话，让借钱了，不借不借不借，试问平台人员能看的懂字吗。</t>
  </si>
  <si>
    <t>2019/10/05 18:24:36</t>
  </si>
  <si>
    <t>投诉人武先生投诉对象腾讯游戏甄子丹代言传奇涉诉金额120000元问题类型诉求类型投诉详情甄子丹代言传奇游戏本来已经冲啦12万！一直没有要活动战灵！现在让给予混世魔猿战灵！和我说周一在冲5万！这是什么跟什么呀！要不就别弄客服送东西！我一直都没有要东西！要求给予之前充值12万所有奖品！能不能解决问题需要快速。</t>
  </si>
  <si>
    <t>2019/10/05 18:24:17</t>
  </si>
  <si>
    <t>本人于9月18日通过信用管家app中的轻周转借款2800元，实际到账2800元，，却要求还总共4089.6元，期限32天，分四期归还，每期8天，一期还款1022.4元，这个行为属于国家严打的高利贷行为，目前本人已经还款2期，共还款2044.8元，本人想要主动和客服联系要求协商还款，曾多次拨打客服电话，但客服电话一直打不通，麻烦聚投诉联系信用管家，本人要求协商销账，请工作人员尽快联系我，否则本人将向有关部门进行举报，谢谢！。</t>
  </si>
  <si>
    <t>2019/10/05 18:24:07</t>
  </si>
  <si>
    <t>两笔腾安基金自动扣费，户主并不知情，投诉要求退款。</t>
  </si>
  <si>
    <t>2019/10/05 18:23:08</t>
  </si>
  <si>
    <t>立借平台到账2100，还款四期，每期720利息过高，协商还款，结果客服不同意态度还很恶劣。</t>
  </si>
  <si>
    <t>2019/10/05 18:23:07</t>
  </si>
  <si>
    <t>投诉人 吴雯        投诉对象  维信金科        涉诉金额  4 500 元    问题类型    诉求类型投诉详情  比黑社会更恶。 朋友苦苦哀求时间筹钱。对方直接群发信息和拨打不实信息。诬告朋友通信录上的所有人列为担保人。恐吓朋友通讯录人员进行还款。</t>
  </si>
  <si>
    <t>2019/10/05 18:21:45</t>
  </si>
  <si>
    <t>投诉人 刘女士        投诉对象  悦如公寓        涉诉金额  880 元    问题类型    诉求类型投诉详情  说是二十个工作日退押金，一个多月了还没退</t>
  </si>
  <si>
    <t>2019/10/05 18:21:15</t>
  </si>
  <si>
    <t>没逾期，电话轰炸，客服态度恶劣，威胁爆通讯录。</t>
  </si>
  <si>
    <t>2019/10/05 18:20:03</t>
  </si>
  <si>
    <t>只借款一个月，现在想还款就要一次还清一年的利息分期费，借款39000元，只一个月，就需还利息4000多元！与广告宣传的“随借随还”不符合，利息及分期费极高！与客服沟通无果，360借条这种行为不符合国家相关规定，利息这么高简直就是高利贷！。</t>
  </si>
  <si>
    <t>2019/10/05 18:18:07</t>
  </si>
  <si>
    <t>投诉人 陈代有        投诉对象  拼多多        涉诉金额  13 015 元    问题类型    诉求类型投诉详情  拼多多商户平台违规帮助赌博网站进行收款。</t>
  </si>
  <si>
    <t>2019/10/05 18:17:46</t>
  </si>
  <si>
    <t>在城市热点地区几十个订单，一个订单都没给我，滴滴公司欺人太甚了。</t>
  </si>
  <si>
    <t>2019/10/05 18:17:28</t>
  </si>
  <si>
    <t>今天下午YY信用给我亲人朋友打电话，发信息。</t>
  </si>
  <si>
    <t>2019/10/05 18:17:20</t>
  </si>
  <si>
    <t>随你分期，借款3500，实际到账2200，6天还款。</t>
  </si>
  <si>
    <t>2019/10/05 18:17:00</t>
  </si>
  <si>
    <t>投诉人郭先生投诉对象YY涉诉金额400元问题类型诉求类型投诉详情京东拍拍二手，买家要加QQ，冒充京东客服开通协议，发了一二维码，微信然后充值开通协议，实际是yy直播充值y币。</t>
  </si>
  <si>
    <t>2019/10/05 18:16:51</t>
  </si>
  <si>
    <t>投诉人李想投诉对象京东金融涉诉金额21000元问题类型诉求类型投诉详情京东金条逾期两个月，现已把八月份逾期还了，现在要求全额还款，我现在九月份的都不敢还了，说已经联系我们村委会进行沟通了，过两天会有催收人员上门协商，我说了会把逾期部分还清，可是催收部门不同意，必须全额还款才行。</t>
  </si>
  <si>
    <t>2019/10/05 18:16:31</t>
  </si>
  <si>
    <t>本人在你我贷贷款了3500，分期十二月还款，本应还款总额是3731.64，但是现在还款总额是4756.44，多了1024.8的不符合国家规定的费用，我现已还款八个月，在这八个月的还款里有856.8的不符合国家规定的费用，我希望贵平台反馈到你我贷，让你我贷联系我沟通赔偿和消除剩下四个月不符合规定的费用，如果不处理或者处理不得当，我可以报警，让警方去处理。</t>
  </si>
  <si>
    <t>还款日当天，没有逾期情况下，客服多次骚扰联系人。</t>
  </si>
  <si>
    <t>2019/10/05 18:16:21</t>
  </si>
  <si>
    <t>投诉人王女士投诉对象即有分期涉诉金额2500元问题类型诉求类型投诉详情打电话态度非常恶劣，不停骚扰朋友，还威胁朋友！。</t>
  </si>
  <si>
    <t>2019/10/05 18:15:48</t>
  </si>
  <si>
    <t>2019年8月9日充值保证金，一直没有拍到车，九月初想退保证金，提交几次退款申请，平台一直找理由驳回，不给我退，找客服说九月底给我退，结果也没退，10月由提交一次还是不给我退，还是应该的驳回理由。</t>
  </si>
  <si>
    <t>2019/10/05 18:15:17</t>
  </si>
  <si>
    <t>在豹子贷平台填填写了银行卡号之后，当时购买那个报告上面是显示有券抵扣是不需要付费的，，结果第四天就给豹子贷平台无故扣款150！连续几天打电话投诉申请退款无果！。</t>
  </si>
  <si>
    <t>2019/10/05 18:14:48</t>
  </si>
  <si>
    <t>投诉人谭先生投诉对象京东金融,京东商城涉诉金额2243元问题类型诉求类型投诉详情京东白条到期没有收到短信或者电话提醒，今天想起来，已经还款，京东白条居然冻结我白条资金，客服态度很官方，强硬，说应该是客户自己查询自己还款！那我是不是可以理解为京东白条故意让我逾期！不敢说多，我在京东这些年买东西最低也有个大几万，这么对我，太寒心了！希望给予解冻。</t>
  </si>
  <si>
    <t>2019/10/05 18:14:29</t>
  </si>
  <si>
    <t>投诉人张女士投诉对象交通银行涉诉金额8500元问题类型诉求类型投诉详情每个月都在还，还的都是利息，协商不通，不让分期，每次还完以后，第二天就开始打骚扰电话，向身边的亲朋好友骚扰，已经严重影响生活，每天甚至打好几十个骚扰电话。</t>
  </si>
  <si>
    <t>2019/10/05 18:14:20</t>
  </si>
  <si>
    <t>投诉人王先生投诉对象钱伴涉诉金额10000元问题类型诉求类型投诉详情高利贷，爆通讯录，不正规平台，影响个人生活。</t>
  </si>
  <si>
    <t>2019/10/05 18:13:17</t>
  </si>
  <si>
    <t>投诉人李先生投诉对象圆通快递深圳转运中心,圆通速递涉诉金额330元问题类型诉求类型投诉详情物流一直在深圳转运中心，一直不更新物流信息，打客服问也不知道确切在哪，自己的物品详细在哪都不知道，希望做出改变，快速服务，惩治有关人员。</t>
  </si>
  <si>
    <t>2019/10/05 18:13:02</t>
  </si>
  <si>
    <t>我个人由于生意失败欠了平安信用卡一千多块钱，现在天天骚扰我家人以及个人工作生活，前几天也刚刚还了一部分，我跟工作人员说我筹够钱我肯定会还的，但是工作人员一直都以强迫行为来恐吓去还。</t>
  </si>
  <si>
    <t>2019/10/05 18:11:25</t>
  </si>
  <si>
    <t>不知道是多么金贵的平台3年的服务费8000多，麻烦加我一下QQ：1317294351.不用打电话。</t>
  </si>
  <si>
    <t>2019/10/05 18:09:41</t>
  </si>
  <si>
    <t>上午来过电话已经说过了下班回家倒一下，中间不停电话一直问几点几点，是过个节没钱花了是吗，难怪很多都说平安坑不怎么样，还颠倒是非，跟联系人说我恶意逾期三四个月，哪有这样的啊，以后还怎么敢用平安的产品。</t>
  </si>
  <si>
    <t>2019/10/05 18:09:35</t>
  </si>
  <si>
    <t>这叫什么事付款完了就晾一边了，这种平台难道不该取缔吗，不是一两个人投诉了。</t>
  </si>
  <si>
    <t>2019/10/05 18:09:32</t>
  </si>
  <si>
    <t>投诉人高女士投诉对象玖富万卡涉诉金额6670元问题类型诉求类型投诉详情我于2019年10月4号申请玖富万卡贷款22000元，10月5号放款28670元，随即被以保费名义扣除6670元，实际到账22000元，查询APP后显示需要偿还29917.88元费用，相当于本金22000，利息7917.88，发现后，我给客服打电话，申请返还他们的贷款，被告知，保费不退，我在申请时并未明确看到保费的具体信息和内容，也没有人工客服打电话与我确认，利息如此之高，已经超出正常范围，我要求退回保费，或者把贷款退回去，不贷了。</t>
  </si>
  <si>
    <t>2019/10/05 18:09:28</t>
  </si>
  <si>
    <t>拼多多商家为网赌账户代收钱，拼多多还存在虚假订单，。</t>
  </si>
  <si>
    <t>2019/10/05 18:09:24</t>
  </si>
  <si>
    <t>高利贷，超出国家规定利息，暴力催收，短信威胁上门，骚扰通讯录联系人，借款7000已还五期4175还说欠款六千多。</t>
  </si>
  <si>
    <t>2019/10/05 18:09:23</t>
  </si>
  <si>
    <t>投诉人张先生投诉对象造艺科技,豹子贷涉诉金额150元问题类型诉求类型投诉详情恶意扣款，中介平台，诱导消费网贷app豹子贷，事先变相收费，还只是推荐其他平台，一绑定银行卡就扣款了，连拒绝的机会都没有，在豹子贷平台点击申请贷款，贷款没成功，但是却被平台恶意扣费150元信息费，后期还要扣款149元，平台明确指出，不成功不收费，现在确各种推诿，恶意扣费已经影响到了我，如果可以我也请求政府相关部门介入，299虽然不多，但对于非常困难的人这够生活很久的，也请严惩。</t>
  </si>
  <si>
    <t>2019/10/05 18:08:48</t>
  </si>
  <si>
    <t>一天打了4遍电话，我的情况一遍又一遍的讲，我说了我不是不还，之前一直都还的很好，我现在真的是倒不来了，有钱我马上还，然后每一次都在问我逾期接下来带来的影响自己承担，好吧，我现在需要挣钱，你不能打扰我正常生活工作，不然我怎么挣钱还你啊，我的情况你们平台打电话已经核实无数遍了，我现在能做的就是好好赚钱，尽快还，请停止对我及家人的骚扰和软暴力！。</t>
  </si>
  <si>
    <t>2019/10/05 18:08:39</t>
  </si>
  <si>
    <t>上月由于资金紧张，向喜鹊快贷借了10000元整，当时没看见利率，现如今还钱的时候，看见总的金额14377.15！这很明显超过了国家的利率的保护，但是自己已经这样，就还是还了，又该还账单啦！我给电话一端说现在国庆放假，过段时间还钱，现在10月份，国庆期间，又该还账单啦！我给电话一端说“现在国庆放假，过段时间还钱”电话另一端直接开骂，威胁恐吓，我把电话挂断后，喜鹊快贷工作人员直接给家里，朋友亲戚打电话并粗话连篇，带威胁恐吓，然我决定投诉，望大家勿上当，给大家一个警告。</t>
  </si>
  <si>
    <t>2019/10/05 18:08:26</t>
  </si>
  <si>
    <t>钱站上面的借款5号还款日，客服从5号早上就不间断打骚扰电话，我已经沟通好今天之前会还款进去，由于款项要晚上才能到位，客服就打电话恐吓威胁！。</t>
  </si>
  <si>
    <t>2019/10/05 18:08:13</t>
  </si>
  <si>
    <t>霸王条款，强制性消费，而且消费扣款不知道，无形中扣钱。</t>
  </si>
  <si>
    <t>2019/10/05 18:08:09</t>
  </si>
  <si>
    <t>要爆我通讯录，威胁说找我当地村委会，每天罚息36，无力偿还。</t>
  </si>
  <si>
    <t>2019/10/05 18:08:05</t>
  </si>
  <si>
    <t>打电话骚扰我的家人，话说的很难听，有威胁，恐吓的话语，。</t>
  </si>
  <si>
    <t>2019/10/05 18:08:02</t>
  </si>
  <si>
    <t>钱站属于高利贷，还暴力催收！我18年12月份在钱站借的17920元钱，其中当时就扣了1920元的服务费，我分期12个月，每月还1791,合同上还有个首期服务费1147.79元，后续各期服务费153.88元，逾期一天加收100元的费用，我已经还完了十期，合计17910元，加上扣除的服务费已经超出了本金，因为这几天确实有困难逾期了，之前都是按时还款，今天钱站的催收人员打电话来态度很不好，我跟他们好好说，希望钱站能给我几天时间，结果马上被爆通讯录，泄漏个人隐私，不经过本人同意，获取本人通讯录信息，就给我身边所有人</t>
  </si>
  <si>
    <t>2019/10/05 18:06:47</t>
  </si>
  <si>
    <t>投诉人 马女士        投诉对象  唯品会        涉诉金额  400 元    问题类型    诉求类型投诉详情  9月26日唯品会到货的裤子 发现不合适 当天顺丰寄回系统提示给的唯品会换货地址 9月28号被签收。 截止到10月5号晚上还没有答复。不换货也不退款。没有作为。每天心塞的跟唯品会客服联系方式 每天都是这样 亲亲，稍等 在为您催促。8天时间没有任何作为 还在等待</t>
  </si>
  <si>
    <t>2019/10/05 18:06:46</t>
  </si>
  <si>
    <t>投诉人 谢雷        投诉对象  豆豆钱        涉诉金额  200 元    问题类型    诉求类型投诉详情  每次还款没有任何信息跟电话提示 就等着你逾期 逾期一天就要多收一百了 本来是还880 第二天就要还980 已经两次了</t>
  </si>
  <si>
    <t>2019/10/05 18:06:14</t>
  </si>
  <si>
    <t>来分期在还款日前一天就开始打电话提醒，还款日如果没还一天打10几个催还电话说了晚点处理还一直打，基本隔个1小时打一个，我没逾期凭什么打那么多电话来，严重影响生活工作。</t>
  </si>
  <si>
    <t>2019/10/05 18:05:52</t>
  </si>
  <si>
    <t>中国银联无故代扣300元，显示对方账号360200，打分别给工商银行，中国银联，京东金融，京东客服联系，工商银行告知找中国银联和京东支付，京东支付说查不到消费信息，中国银联说只管扣款……现在是一个死循环，我申诉三方涉嫌欺诈！。</t>
  </si>
  <si>
    <t>2019/10/05 18:05:37</t>
  </si>
  <si>
    <t>投诉人曹先生投诉对象双辽市春天支农小额贷款有限公司涉诉金额2000元问题类型诉求类型投诉详情双辽市春天支农小额贷款有限公司旗下威力贷，6天高炮，借14006天还2000，下款后我联系客服让取消，取消不了，这意思就市是黑社会，强迫交易，。</t>
  </si>
  <si>
    <t>2019/10/05 18:05:36</t>
  </si>
  <si>
    <t>忘记在什么渠道下载的APP了2019.9.5第一次在淘钱钱借款2500实际到账1375元，三次借款一共9000元，实际到账4925，已还5500，超出本金675元，利息+逾期费用严重超高，现本人无力偿还，申请协商，请不要骚扰我的通讯录。</t>
  </si>
  <si>
    <t>2019/10/05 18:05:01</t>
  </si>
  <si>
    <t>十月六号在大连市渤海明珠酒店办婚礼，十月五号下午去彩排送物料，去开免费停车单被拒绝，进停车场没有任何指示牌，被收了12块钱的停车费。</t>
  </si>
  <si>
    <t>2019/10/05 18:03:58</t>
  </si>
  <si>
    <t>2019，8,5在玖富万卡app借款10300，到帐16100，平台秒速扣去5900元，说是什么保费的，5900也是借款人还款，我的只是借10300元，借款时看到5900元保费不需要借款人偿还的我分24期还款，每月还款729.63,总结下来一起需要17511.12元，已经远远超出国家标准的36%。</t>
  </si>
  <si>
    <t>2019/10/05 18:03:46</t>
  </si>
  <si>
    <t>投诉人 张先生        投诉对象  转转        涉诉金额  160 元    问题类型    诉求类型投诉详情  赔偿也赔付了，还是不给提现？希望能尽快解决我的问题</t>
  </si>
  <si>
    <t>2019/10/05 18:03:26</t>
  </si>
  <si>
    <t>信贷工作人员称其贷款属于平安银行新一贷，其公司为平安银行旗下子公司，由平安银行发放贷款，下载其app注册登录后，提交资料提示申请成功，贷款已发放至app钱包，与工作人员联系后，工作人员称需要支付会员费用，中级会员698元，高级会员1588元，如不支付提现，贷款还款每月十号正常扣款，如逾期不还，超三个月银行征信拉黑，超六个月就会收到法院传票。</t>
  </si>
  <si>
    <t>2019/10/05 18:03:21</t>
  </si>
  <si>
    <t>在网上买了飞利浦电动牙刷拆封了，但未使用，要求退货，苏宁易购一直拒绝，在产品包装盒上并没有写有就不能退货，联系客服多次拒绝，请相关部门帮给予公平的答复，谢谢。</t>
  </si>
  <si>
    <t>2019/10/05 18:02:12</t>
  </si>
  <si>
    <t>昨天投诉到现在，越来越恶劣，还是个女的，这完全是涉黑，国家不正在严打吗，这平台投诉率这么高，为什么到现在还不下架，喝着人血，威胁人。</t>
  </si>
  <si>
    <t>2019/10/05 18:02:08</t>
  </si>
  <si>
    <t>我是用钱宝老客户从17年开始一直用到现在，有人说用钱宝高利贷的我到是没感觉出来，前前后后借了有几十次了，并且我借款都是提前还款，借三个月的，突然从最近开始不能借了，什么原因用钱宝也不给个说法，你们这样套路老用户并且还是优质客户，你们良心呢，要是不经营了就关了合成直接导流到7，14，希望用钱宝给我个合理解释，我都不能借你们到底要什么样的借。</t>
  </si>
  <si>
    <t>2019/10/05 18:00:54</t>
  </si>
  <si>
    <t>豹子贷,上海造艺网络科技,造艺网络科技,银码头，这是扣款证明，当时卡里只有150多！扣了之后我打电话给他们他们还说要扣149，我说要退款他们不肯！后面我连续几天打电话都问都无果！现在显示订单已经结束了！。</t>
  </si>
  <si>
    <t>2019/10/05 17:59:45</t>
  </si>
  <si>
    <t>由于资金周转问题，本人在钱站借款1200元，还款日当天，打开APP时，怎么还款金额是714，总共3期，当时很疑惑，为什么我才借1200元，3个月时间却要还2142元，这和平台给出年利率24.7%，也差得太多了吧！后来去平台问，说什么服务费，的问题，既然平台不可能协商还款，我只能试着走正规渠道。</t>
  </si>
  <si>
    <t>2019/10/05 17:59:36</t>
  </si>
  <si>
    <t>钱站APP阴阳合同，借款时显示金额3000，到合同生效打款到账3000，合同显示金额5100，客服解释说这是担保费，服务费等等！合同上只显示服务费88.57，并未见2000多元的费用为何费用！打电话给客户，客服说上报处理，但是一群不知名的电话告诉我他们是钱站客服，打电话第一句话就是你把钱都还了，全款5300余元！敢问，借了3000，怎么本金就成了5100！还是雷佳音代言的！就这么糊弄借款人。</t>
  </si>
  <si>
    <t>2019/10/05 17:59:19</t>
  </si>
  <si>
    <t>活力花每天逾期每天0.2+10比高利贷还要黑没见过这样的。</t>
  </si>
  <si>
    <t>2019/10/05 17:58:31</t>
  </si>
  <si>
    <t>本人在小赢卡贷借款一笔，分期12期，本期第十期还款，因为十一过节导致忘记还款时间，逾期了四天，今天本人正在上班，接到小赢卡贷催收电话，本来说好6点以前还款，因为上班原因到五点半接到小赢卡贷催收电话，态度极差，服务极其恶略！我告诉他我正在上班，下班后归还，结果就和本人吵架！有录音为证！。</t>
  </si>
  <si>
    <t>2019/10/05 17:55:38</t>
  </si>
  <si>
    <t>本人2019年1月4日在你我贷平台借款10000元，分12期还款，还款第一期跟第二期每次都扣款1752.49元，从第三期开始每期扣款1008.49元，本人现已还完10期，总还款为11527.9元，早已还万本金及利息，现在家里出现困难，申请你我贷调息销账处理.。</t>
  </si>
  <si>
    <t>投诉人 吴先生        投诉对象  多宝分期        涉诉金额  3 700 元    问题类型    诉求类型投诉详情  此软件属于高利贷，套路贷，经常电话骚扰</t>
  </si>
  <si>
    <t>2019/10/05 17:54:58</t>
  </si>
  <si>
    <t>2019-10-5&amp;nbsp;&amp;nbsp;上午在嘀嗒平台上接了一个订单，由于时间上不合适取消了订单，中午继续发订单找乘客结果遇到了限制接单，就问客服说我账号有异常永久封禁，我就奇怪了我接了一单取消你封号最多是接单率低，封一个星期到十五天，你封我账号永久是什么意思也不给解释什么原因，就只回复不方便透露，账号异常，封号了还不给申诉，平白无故的封我账号真不理解你们怎么操作的，封号你总得有个理由吧！或者给个解决的办法。</t>
  </si>
  <si>
    <t>2019/10/05 17:54:55</t>
  </si>
  <si>
    <t>还发短信威胁说五点不还让银行冻结我账户还派当地人上本催收！。</t>
  </si>
  <si>
    <t>2019/10/05 17:53:35</t>
  </si>
  <si>
    <t>强烈投诉小花钱包，暴力催收，骚扰朋友，几分钟发了100多条信息骚扰，到处乱发小孩的照片，。</t>
  </si>
  <si>
    <t>2019/10/05 17:53:11</t>
  </si>
  <si>
    <t>本人2019年8月在玖富平台申请借款12000元，每次还款日还没到，就恶意骚扰，主动还款多次失败，要求提前结清也不能减免费用，合同本金12000元，每月本金还款1359，已经包含了利率，但是还要另外收取费用分期316元，已经完全违反国家规定，十足高利贷。</t>
  </si>
  <si>
    <t>2019/10/05 17:52:46</t>
  </si>
  <si>
    <t>本人于2019年4月14日在及贷申请借款13000元，一直都是看到有13000，结果出现什么保险费用1898，因为做过保险行业，对他们的产品有过了解之后，确定产品不值那些钱，易安保险和及贷存在欺诈行为，借款13000要还17579半年利息高达70%。</t>
  </si>
  <si>
    <t>2019/10/05 17:52:39</t>
  </si>
  <si>
    <t>本人今年9月2号在钱站上申请借款，额度1330，实际到账1000，分3期还，每期还674元，我觉得很不合理，就咨询了律师，律师也说了是不合法的，我就打电话给客服协商，可是客服就推脱责任，还没有到还款期的时候就打电话给客服了，可是客服就说是会反映的，可是都逾期了才电话来催债，还是暴力催收，我说协商好了一次还清，他们不同意。</t>
  </si>
  <si>
    <t>2019/10/05 17:51:42</t>
  </si>
  <si>
    <t>联系不到，头条号客服，里面有封禁前所收入金额5000块，头条号，运营4个月，发的都是同类视频，现在说封禁就封禁，封禁不怕，问题是钱还没给我，这不是强行霸占吗。</t>
  </si>
  <si>
    <t>2019/10/05 17:50:43</t>
  </si>
  <si>
    <t>米米罐高额利息，借款2500元一个月利息要1300元，展期半个月要876元，暴力催收，要求消账，借款2500元用了4个月，利息都已经达到5200多元。</t>
  </si>
  <si>
    <t>2019/10/05 17:50:39</t>
  </si>
  <si>
    <t>本人因资金断裂，在还款日前致电客服协商延期还款，国美方面未同意，在还款日当天一个外地号码开始催收一直请求延期未同意，现怀疑国美方面未经本人允许泄露个人信息，未经本人允许爆通讯录骚扰家人朋友，造成家庭不和，朋友误解。</t>
  </si>
  <si>
    <t>2019/10/05 17:50:10</t>
  </si>
  <si>
    <t>乱收费现象下款前并未告知客户服务费1310.4元贷款管理费4779.12元客户保障计划手续费3036.6元灵活还款服务费495元，客服告知收费合理！。</t>
  </si>
  <si>
    <t>投诉人刘先生投诉对象拼多多涉诉金额94元问题类型诉求类型投诉详情拼多多平台上明确标注小米品牌背包，投诉客服后，拼多多要求商家修改标题为定制产品，删除品牌标注小米品牌，拒绝履行承诺假一赔十，要求我退货，拼多多方面无人联系我了解情况，已经在我多次要求提供商家工商信息，拼多多平台拒绝给商家工商信息。</t>
  </si>
  <si>
    <t>2019/10/05 17:50:01</t>
  </si>
  <si>
    <t>本人在五月初被网络欺诈十几万，骗子诱导从360借条借了3.8万，全部转账转出去了，本人还了四个月后，实在无力偿还，在不得已的情况下逾期了，本人多次提供立案证明给360借条，逾期后360借条暴力催收，最近一个女的一会自称360借条工作人员，一会又自称催收的025，一天十几个电话的骚扰我，一天十几个电话谁能受得了，一个劲的激怒我，一个劲的逼我，说我一万多也还不上，然后讽刺我一个95年的姑娘就借钱不还，我提醒过对方注意自己的言辞，还一个劲的语言嘲讽讽刺我借钱不还，并且多次威胁我让我亲朋好友都知道，每次都是拿我吓唬</t>
  </si>
  <si>
    <t>2019/10/05 17:49:33</t>
  </si>
  <si>
    <t>投诉人甘先生投诉对象拼多多涉诉金额1455元问题类型诉求类型投诉详情1、因庆祝建国70周年，9.25-10.2北京地区实行交通管制无法派件，我店铺在此期间发往北京地区及河北部分地区，我店铺至开业至今从未出现任何一单虚假发货虚假发货申诉请以后台申诉为准，的快件无法完成平台发货规则的48小时内正常走件，被判虚假发货，你们一个电商平台是不是觉得自己真的牛炸天了，此类型事件并非此我一家，仅聚投诉平台就有好几家，还不包含其他投诉平台及未投诉的商家，2、我们从广东省发货.部分发往山西山东安徽等地区的快件未能在48小时内</t>
  </si>
  <si>
    <t>2019/10/05 17:49:30</t>
  </si>
  <si>
    <t>这个扣费不知道是怎么连接的，就输入下款收款银行卡号就马上给我扣了。</t>
  </si>
  <si>
    <t>2019/10/05 17:49:03</t>
  </si>
  <si>
    <t>本人10月4号是招联好期待还款日，国庆期间用钱比较多，晚了一天，没想到10月5号，也就是今日，开始了短信轰炸，想还钱的都不想还了，国庆期间就这么猖狂。</t>
  </si>
  <si>
    <t>2019/10/05 17:47:07</t>
  </si>
  <si>
    <t>点餐了，因为外出就取消了，商家不给退款，客服介入快24个小时了也不给处理，投诉客服跟商家欺诈消费者。</t>
  </si>
  <si>
    <t>2019/10/05 17:46:34</t>
  </si>
  <si>
    <t>投诉人张女士投诉对象小花钱包涉诉金额0元问题类型诉求类型投诉详情小花钱包骚扰未借款用户，影响别人正常生活，违法盗取他人信息。</t>
  </si>
  <si>
    <t>2019/10/05 17:45:23</t>
  </si>
  <si>
    <t>投诉人黄先生投诉对象51人品涉诉金额14300元问题类型诉求类型投诉详情借14300元，已经还了13913.93，暴力催收，打亲戚朋友电话，给亲戚朋友发短信，炸通讯录。</t>
  </si>
  <si>
    <t>2019/10/05 17:45:08</t>
  </si>
  <si>
    <t>,金宝盆,呗呗分期,信任分期,威力贷,喵下贷,佑佑分期,肥猫贷,想有钱,蜜瓜钱包，借款金额与到账金额不一样，并收取高额手续费，总共就借了7天的时间，每天的利息却要100多，打电话过来恶语伤人，短信威胁！现在已经严重影响了我的工作与生活！我只是欠钱而已，又不是欠命！如果有钱谁愿意当老赖！现在威胁我要将我的个人资料发送出去让所有人知道！。</t>
  </si>
  <si>
    <t>2019/10/05 17:44:41</t>
  </si>
  <si>
    <t>2018年12月30日在及贷借了35000元分12期，每期还3907.17元，已经还了10期总共还了39071.70元，已经还了超出本金4071.70元，第11期因为国庆放假银行系统放假资金没有到位，所以到2019年逾期10月5日也就是今天逾期了5天，催收人员打电话来，说了实际困难和情况，想协商等银行系统正常开放了就还，催收人员根本不听解释，就问今天能不能还，不能还说他打联系人电话去帮我开口借钱，态度恶劣，及贷就是高利贷，还到第10期我已经还了超出本金4071.70元的金额，这是合理的利息范围吗，如果及贷催</t>
  </si>
  <si>
    <t>2019/10/05 17:44:34</t>
  </si>
  <si>
    <t>购分期在未说清楚的情况下，无故恶心扣款199。</t>
  </si>
  <si>
    <t>2019/10/05 17:44:14</t>
  </si>
  <si>
    <t>广州银联网络支付公司代替714平台收取违法资金，该违法高利贷平台客服今天给我打电话侮辱领导人，希望广州银联网络支付公司能够提供给我这次资金到底到了谁的手里，我只想要最终到了哪个胆大包天的非法高利贷公司，十万火急！侮辱领导人的公司，希望咱们公司不要推脱包庇！。</t>
  </si>
  <si>
    <t>2019/10/05 17:44:00</t>
  </si>
  <si>
    <t>自由魔卡APP中六便士产品借款2000元，期限30天扣除540名为会员费的元砍头息。</t>
  </si>
  <si>
    <t>2019/10/05 17:43:43</t>
  </si>
  <si>
    <t>投诉人 王先生        投诉对象  人人钱包        涉诉金额  975 元    问题类型    诉求类型投诉详情  我钱还了还扣？？不停的扣？主动还款后还恶意扣款</t>
  </si>
  <si>
    <t>2019/10/05 17:43:32</t>
  </si>
  <si>
    <t>投诉人 李先生        投诉对象  51信用卡管家        涉诉金额  3 500 元    问题类型    诉求类型投诉详情  宽松几天，还没有发工资，不要爆通讯录。发了就还上，中旬15号发工资。谢谢理解</t>
  </si>
  <si>
    <t>2019/10/05 17:43:06</t>
  </si>
  <si>
    <t>捷信金融公司员工以自己业务不足为由，请学生刷单，请学生帮忙刷单拿到业绩提成，并承诺不会对本人有任何影响，现在却出现购买商品的贷款，并要求帮忙刷单的人偿还贷款，贷款一月一期，共24期，每期偿还590.3元人民币，本金加利息合计14167.2元，本人已还一期，后拒绝还款，现要求退款并取消记录不还款，不得影响本人信誉。</t>
  </si>
  <si>
    <t>2019/10/05 17:43:00</t>
  </si>
  <si>
    <t>本人2017年2月在玖富万卡借款14000元，平台扣款系统垃圾，每次还款日扣款失败，主动还款多次失败，6月份扣款失败也不发信息通知，当天晚上主动还款多次失败，第二天就把我当成逾期上传人行征信，简直就是垃圾，明明是平台的问题，恶意造成客户逾期，另外借款利率高利贷，本金14000元，另外还有变相的费用分期，每月金额364，要求提前结清，费用竟然还不能减免。</t>
  </si>
  <si>
    <t>2019/10/05 17:42:09</t>
  </si>
  <si>
    <t>我还没到还款日结果提前天天给我打电话，一天几个的打，下面全是他们打的电话。</t>
  </si>
  <si>
    <t>2019/10/05 17:41:47</t>
  </si>
  <si>
    <t>本人17年5月通过客服打电话贷款30000，分33期还，现在还了27期共还款42279.3，剩下六期还要还款九千多，明显高利贷，这一个月已逾期，捷信每天早上八点就打电话，我的手机设置了高频骚扰，于是就给我家里人打电话催收，可我本金已还完，利息加服务费也多还了12279.3，我已投诉银监会！多余的我不会再还！希望平台尽快介入处理！。</t>
  </si>
  <si>
    <t>2019/10/05 17:40:27</t>
  </si>
  <si>
    <t>一个166******72的电话给我打电话，自称是京东的第三方，上来就嚷嚷，语言侮辱，问工号没有，问问题不正面回答，问地址一会在北京一会在常州，说话语气方式疑似社会流氓，黑社会，这个人多次电话骚扰，并且称是京东授权的，这种没有名，随意打电话各种威胁恐吓的是不是属于涉黑性质。</t>
  </si>
  <si>
    <t>2019/10/05 17:40:20</t>
  </si>
  <si>
    <t>你我贷平台存在恶意催收，和催收人员约定第二天还款，拒不接受，说如果不还款，就打电话骚扰家人。</t>
  </si>
  <si>
    <t>2019/10/05 17:39:39</t>
  </si>
  <si>
    <t>我已经向360借条寄送了律师函，但是对方依然打电话过来骚扰我和我的家人，对我造成了严重的影响，语气太差，态度恶劣，无理谩骂，希望可以严肃处理。</t>
  </si>
  <si>
    <t>2019/10/05 17:39:38</t>
  </si>
  <si>
    <t>投诉人雷向南投诉对象万惠及贷涉诉金额13000元问题类型诉求类型投诉详情保险存在欺诈行为，变相收取高额利息达70%，本人借款一万三，到账一万三，可是合同上成了14898了，要还17579.7370%的利息，在国家严厉打击下，还如此疯狂，欠钱会还，但也不能太怨。</t>
  </si>
  <si>
    <t>2019/10/05 17:39:37</t>
  </si>
  <si>
    <t>投诉人王先生立群投诉对象捷信金融涉诉金额0元问题类型诉求类型投诉详情天天骚扰，又没有欠你们钱，一天几十个电话的轰炸，天天骚扰。</t>
  </si>
  <si>
    <t>2019/10/05 17:37:55</t>
  </si>
  <si>
    <t>借款4000元上面账单显示还款5000多，已经还款3360元，最后一期因为咨询过有关律师，律师建议应还款按照国家利率进行，而且催收人员未经本人同意随意拨打我通讯录上面的人进行骚扰，秉着有借有还的态度积极和他们沟通协商但是贷上钱恶意不愿与我完成这个协商，每天多次拨打我的电话来说我骗贷这样对我的名誉造成了侵害，要求贷上钱跟我道歉然后给我回电协商事宜。</t>
  </si>
  <si>
    <t>2019/10/05 17:37:13</t>
  </si>
  <si>
    <t>2019/10/05 17:36:42</t>
  </si>
  <si>
    <t>因为资金问题导致没有还上，等过两天一定还，请求不要在骚扰除本人之外的联系人。</t>
  </si>
  <si>
    <t>2019/10/05 17:36:15</t>
  </si>
  <si>
    <t>投诉人白女士投诉对象钱站涉诉金额5000元问题类型诉求类型投诉详情短信辱骂，电话轰炸，协商处理一直逼迫你。</t>
  </si>
  <si>
    <t>2019/10/05 17:35:50</t>
  </si>
  <si>
    <t>投诉人柳先生投诉对象淘宝：gesoon旗舰店涉诉金额1000元问题类型诉求类型投诉详情从这个店铺购买的手机电池，换到手机上后，需要拆下换另一块，结果，电池一拆就燃烧，烧坏手机主板，烫伤自己，跟店铺售后沟通，售后胡搅蛮缠，拒不处理，态度极差，一副盛气凌人的样子，希望有关部门对该店铺进行检查，对其产品进行质量检查，并赔偿我的损失。</t>
  </si>
  <si>
    <t>2019/10/05 17:35:20</t>
  </si>
  <si>
    <t>收件时快递员没有让我开箱验货，自己打开后发现商品已经损坏，联系商家和顺丰，都说不是他们的问题，现在已经7。</t>
  </si>
  <si>
    <t>2019/10/05 17:35:05</t>
  </si>
  <si>
    <t>投诉人王女士投诉对象钱站,华夏银行涉诉金额20000元问题类型诉求类型投诉详情本人在2019年五月初在钱站爱钱进借款20000元，到账20000，合同却写的25000元，要求重新修订。</t>
  </si>
  <si>
    <t>2019/10/05 17:33:36</t>
  </si>
  <si>
    <t>投诉人王女士投诉对象时光分期涉诉金额235元问题类型诉求类型投诉详情时光分期贷款，暴力催收，打电话辱骂，威胁，一直打电话骚扰导致不能正常使用手机，逾期一天，本来打算还款的，结果一直来电话催收，导致不能正常使用手机，还打视频电话骚扰，威胁要爆通讯录。</t>
  </si>
  <si>
    <t>2019/10/05 17:32:47</t>
  </si>
  <si>
    <t>9月19日，在玖富万卡app上借款5000，尽然贷款上显示我借款7920元，支付保费2920元，打客服喊调整利率，客户不予理睬，还威胁我会影响以后小孩上大学什么的，客服告诉我是保护银行利益的，保护银行利益的，凭什么需要我支付，如果不处理，我是一分钱都不会还的，今天给他们客服也说了。</t>
  </si>
  <si>
    <t>2019/10/05 17:32:46</t>
  </si>
  <si>
    <t>设置免密付费服务，没有得到本人确认就支付了，不符合有关要求。</t>
  </si>
  <si>
    <t>2019/10/05 17:31:45</t>
  </si>
  <si>
    <t>本人诉求：退会员费9800元夸大宣传各种套路吸引创业者支付9800元/12800元加入会员，创业项目条件限制多，加入后无售后服务等，存在欺诈乐客独角兽利用抖音平台发布视频，用“站在风口”“只有20个名额”诱导消费者添加乐客销售人员微信观看直播视频，并且销售人员利用“只有三个名额”等用语与我沟通，让我产生紧迫感，且在电话承诺一对一培训服务，诱导我交给乐客独角兽支付宝账户9800元费用，由于所谓的“还有3个名额”让本人感觉时间紧迫，出于对抖音平台的信任，本人直接与乐客独角兽签订合同，交完钱后并没有实现一对一的培</t>
  </si>
  <si>
    <t>2019/10/05 17:31:31</t>
  </si>
  <si>
    <t>投诉人朱先生投诉对象你我贷涉诉金额8000元问题类型诉求类型投诉详情本人于2018年10月在你我贷app上借款8000元，分12个月还清，这期间一共要还10863.88元给你我贷平台，利息跟各种费用加起来我要额外多还2863.88，还有前二期还要交600所谓的平台服务费和贷后服务费用！这个数字已经严重违背了国家的法律利率，你我贷利用名义年利率钻客户的空子，欺骗跟误导广大消费者，名义年利率算下来是35.9%，实际他们给我计算的实际年利率差不多是80%，按照国家标准的不超过36%在这个点他们就利用名义利率的空子</t>
  </si>
  <si>
    <t>2019/10/05 17:31:25</t>
  </si>
  <si>
    <t>投诉人张宏益投诉对象湖南省华农园林科技开发有限公司涉诉金额176000元问题类型诉求类型投诉详情本人岳父岳母自2003年入职湖南省华农园林科技开发有限公司至2018年12月31日已拖欠工资总额176000元，自16年起开始讨薪签字盖章至今多次承诺都未兑现18年底找湖南法治频道记者在得到接待了解情况以后被告知必须先通过劳动局辗转劳动局以申请人主体不适格为由需去法院起诉法院被告知没有法人身份证号不予受理老人家现已71岁高龄身处外地吃住都成问题实属无奈请求21聚投诉平台为我们主持公道合理维权。</t>
  </si>
  <si>
    <t>2019/10/05 17:28:59</t>
  </si>
  <si>
    <t>信用卡中心让我升级信用卡，成为白金客户，结果申请完了，就收我1999元的卡片制作费。</t>
  </si>
  <si>
    <t>2019/10/05 17:28:57</t>
  </si>
  <si>
    <t>高利息网贷，严重骚扰个人生活，要求降低利息。</t>
  </si>
  <si>
    <t>2019/10/05 17:28:41</t>
  </si>
  <si>
    <t>本人在2019年6月我来贷平台申请借款19000元，每次没到还款日就恶意电话骚扰，不管白天黑夜，还款日扣款不成功也不发信息，要求提前结清，客服不支持提前结清，剩余利息照收，违反国家规定，简直就是霸王条款，借款本金19000元，利息高达近7000元，高利贷。</t>
  </si>
  <si>
    <t>2019/10/05 17:27:44</t>
  </si>
  <si>
    <t>因工作原因导致账号还款逾期，向拍拍贷说明情况后，其催收人员依旧每日骚扰而且还打电话给亲朋好友进行骚扰！！！，并且还打过来威胁将会继续并且持续骚扰！！！，这种行为已经严重干扰了本人的正常生活以及人际关系！，现要求平台介入严肃处理拍拍贷公司！！！催收行为已经违法！。</t>
  </si>
  <si>
    <t>2019/10/05 17:27:37</t>
  </si>
  <si>
    <t>姓名：于光千证件：32132219961022****地址：沭阳县马厂镇马厂街-1-125号于向阳，姜苏，韦刚才，袁洋，孙延楼，杨恒祝，张良琴，田赞，徐旭原，汤小卫等各位马厂街村民大家好，我是于光千,兄弟于光泽,我没有钱就贷款，结果还不起，已逾期2年，即将被诉讼，兄弟于光泽只知道逃避，骂我，不帮我，现请求各位村民帮帮我，每人借我十块二十块，我做牛做马也会报答你们，求求你们了。</t>
  </si>
  <si>
    <t>2019/10/05 17:27:35</t>
  </si>
  <si>
    <t>投诉人李女士投诉对象交通银行信用卡涉诉金额11000元问题类型诉求类型投诉详情交通银行信用卡中心不知道在哪里雇佣一些闲散人员，恶意催收，最低还款额已经还完了，还要求让我把全款还了，我没个月都还最低还款额，还不行，打电话语言恶劣，不还钱就要骚扰我的家人朋友，就是欠银行钱，也不至于扰乱人的正常生活吧！不挣钱怎么还钱，把工作给我们整没有了。</t>
  </si>
  <si>
    <t>2019/10/05 17:27:24</t>
  </si>
  <si>
    <t>广东绿瘦健康咨询有限公司,喀什绿瘦健康咨询有限公司，刚开始有一个客服卖给我790的产品，后来介绍一个健康顾问小林给我指导使用，产品吃了3-4天一点效果也没有，他说我吃的产品没有效果要换一种产品，当时我就怀疑他们是不是诱导消费，我就不肯买，可他们说我要是不买就会长胖什么什么的，还说得有模有样的，所以我就相信了，然后介绍了一个叫曾女士的高级顾问给我，后来曾女士又说什么重新设计方案，又让我买了一套1800的产品，吃了也没效果，之后又让我进入第二阶段，又买了4000的产品，还是没效果，最后还有一个1500的产品，分</t>
  </si>
  <si>
    <t>2019/10/05 17:27:17</t>
  </si>
  <si>
    <t>投诉人 张先生        投诉对象  中国联通        涉诉金额  0 元    问题类型    诉求类型投诉详情  并没有群发短信 10.5一天短信量没有超过十条 突然封停 要求回复工号9411明确告知我短信内容</t>
  </si>
  <si>
    <t>2019/10/05 17:27:15</t>
  </si>
  <si>
    <t>在没有通知我的情况下，我的返现过期就无法提取，严重伤害了我的权益，打了客服电话也不予退还。</t>
  </si>
  <si>
    <t>2019/10/05 17:27:07</t>
  </si>
  <si>
    <t>上个月开始严重爆通讯录，打我家里大姐，二姐，我爸，同学，同事，我借七千分九期还，已还七期，按等额本息及国家利率我已还玩，不存在欠款，如果好话相说，再要点辛苦费也无所谓，动不动就爆通讯录，给我生活，工作带来了严重影响，刚才打电话一开口就威胁，新中国建立七十周年，不知道还有这样的平台存在，上个月我住院我好华说尽，硬是逼得我要死，我也说了等个把月经济好了想办法补你们一点，现在还没上班，又开始催收威胁，我要求对连续爆通讯录作出解释，你们已经在违法，要求立即销账，否则我立即报警处理。</t>
  </si>
  <si>
    <t>2019/10/05 17:26:57</t>
  </si>
  <si>
    <t>投诉人 刘先生        投诉对象  带上钱        涉诉金额  2 480 元    问题类型    诉求类型投诉详情  借款2000元 要还2480元 其中有420元的商城权益包被捆绑销售</t>
  </si>
  <si>
    <t>2019/10/05 17:26:47</t>
  </si>
  <si>
    <t>骚扰恐吓家人，不同意协商分期还款，天天打电话给家人骚扰，图片就是电话骚扰的号码。</t>
  </si>
  <si>
    <t>2019/10/05 17:26:33</t>
  </si>
  <si>
    <t>正常申请退货所以直接就同意了，我们卖家不会再花时间去那细研究的，在我们同意退货后，给我们客服发了一张袋装的照片说是刚到的也看不清楚是什么样的，我们收到退件就拆了个3厘米大的小看了一下发现面料不像我们的衣服，就录视频拆快递看，还真不是我们的衣服，这重量就不对，因为买家买的是50B码，而退回来的这件是52B码大，反而重量还要轻，而且我们也拍照了退回来的衣服领子脏、衣服没有一点折叠痕正常刚买的衣服折叠包装久了都有折痕很像是旧衣服，就早上收到一个信息说经核实物流已签收，且未提供有效凭证，退款给买家！买家从快递柜取件</t>
  </si>
  <si>
    <t>2019/10/05 17:26:31</t>
  </si>
  <si>
    <t>手机借钱多宝分期，借款5000分4期，每期15天，每期还款1973.95元，4期要还7895.80元，目前App还款不进去，确老是来骚扰让转账到个人账户，没逾期开始催收，要求归还本金，和国家合法利息归还。</t>
  </si>
  <si>
    <t>2019/10/05 17:26:24</t>
  </si>
  <si>
    <t>投诉人祁先生投诉对象和信快上车涉诉金额65000元问题类型诉求类型投诉详情2019年6月5日我在兰州和信快上车&amp;nbsp;车辆抵押贷款&amp;nbsp;65000元，分期三年，还款账单&amp;nbsp;每月还2959.58元×36个月是106544.88元，但我&amp;nbsp;&amp;nbsp;心里还是咽不下这口气，今天他们催收钱，我说你们这个完全是套路贷，你们要给个解释，然后他们就威胁我说&amp;nbsp;&amp;nbsp;&amp;nbsp;今天你不还钱我就给你通讯录里的人打电话，和信套路贷&amp;nbsp;&amp;nbsp;&amp;nbsp;害了很多人。</t>
  </si>
  <si>
    <t>2019/10/05 17:25:36</t>
  </si>
  <si>
    <t>2019/10/05 17:24:03</t>
  </si>
  <si>
    <t>10月5日下午5点08分一福建福州的联通号打过来自称是什么金鹰钱包公司的催款员，说我的借款逾期未还，但是本人从来没听说过及使用过，我说没用过并表示需要报警处理后，对方直接骂脏话。</t>
  </si>
  <si>
    <t>2019/10/05 17:24:01</t>
  </si>
  <si>
    <t>玖富超能小蓝卡不显示账单日，临近账单日包括到了账单日都不进行电话或者短信通知，在逾期第一天时才打电话并收取一部分逾期费用，简直是恶意逾期，要求恢复正常征信，不得对征信产生影响，进行道歉赔偿。</t>
  </si>
  <si>
    <t>2019/10/05 17:23:51</t>
  </si>
  <si>
    <t>本人2019年8月28日在指上旅行借款3000元，查款才知道实际到账2250元，一个月内分4期还款，每期772元，一共要我还3088元，我在2019年9月21日已经提前结完3期合计2316元，今天还要我还最后一期772元，严重高利贷砍头息，阴阳合同，要求指上旅行销账结清。</t>
  </si>
  <si>
    <t>2019/10/05 17:23:35</t>
  </si>
  <si>
    <t>一直疯狂打我家人朋友的电话，说协商解决，但是客服一直没有处理。</t>
  </si>
  <si>
    <t>2019/10/05 17:22:48</t>
  </si>
  <si>
    <t>未与我本人联系，直接群发威胁短信给我周边朋友，电话沟通语气蛮横，恐吓威胁，素质低下！。</t>
  </si>
  <si>
    <t>2019/10/05 17:22:41</t>
  </si>
  <si>
    <t>投诉人王女士投诉对象我来数科涉诉金额10000元问题类型诉求类型投诉详情我国庆几天由于人在外地出差，信号不好，无法接听电话，也忘了还款，如今逾期5天，打算回去后进行操作还款，我来贷平台的人员第5天就给我朋友打电话发短信说我欠钱不还的事情，已经属于骚扰了，影响到我身边朋友的工作生活，如今我并不是不还，但是也没跟我好好协商，一句电话联系不上就爆我通讯录，利息还收的很高，我现在要求我来贷人员进行道歉，并停止骚扰我朋友，否则我也会收集相关证据进行报警处理。</t>
  </si>
  <si>
    <t>2019/10/05 17:21:13</t>
  </si>
  <si>
    <t>1.使用甩手下单助手，下单填单号将两个不同地址订单单号获取成一个，导致店铺被平台判定违规，联系客服其态度傲慢嚣张，不能使用申请退款后，贵公司一直不处理中，联系客服一拖再拖。</t>
  </si>
  <si>
    <t>2019/10/05 17:21:02</t>
  </si>
  <si>
    <t>因为当时经济上出现了一些问题，2018年7月27号我在捷信公司贷款20000，分期60期，每月还款610.71元，一直到2019年7月28号我一直都按时还款，未有逾期，总共还款7328.52元，此前，我尝试过提前还款，但是发现提前还款我还需要还款20000多元，我当时有些搞不懂，我已经还款一年，按正常利息来算，我即使这一年还的只是利息，我提前还款也不可能还需要还款20000多元，我需要每个月支付他们服务费，杂七杂八的一堆费用，我不明白，我贷了款为什么每个月还需要给您们支付服务费，而且在我已经还款一年的情况下</t>
  </si>
  <si>
    <t>2019/10/05 17:19:14</t>
  </si>
  <si>
    <t>投诉人 高先生        投诉对象  找靓机        涉诉金额  3 050 元    问题类型    诉求类型投诉详情  电脑也没贴防拆贴</t>
  </si>
  <si>
    <t>2019/10/05 17:19:07</t>
  </si>
  <si>
    <t>投诉人黎先生投诉对象捷信金融涉诉金额10000元问题类型诉求类型投诉详情之前已跟客服沟通过，借一万用2年，我会按国家的合法利息24%进行还给捷信公司，但是客服那边不肯，经过几次谈了之后，一次性还还是要5800多，后来他们停了一段时间催收后，现在又疯狂地催收，前不久有个捷信的人员拿封信到我老家，交给我老爸，捷信公司你们这样吓老人家，催收催到我家里，你们这样做对吗，如果你们再次上门催收，我绝对叫家里人报警处理。</t>
  </si>
  <si>
    <t>2019/10/05 17:18:49</t>
  </si>
  <si>
    <t>投诉人宁先生投诉对象购分期涉诉金额299元问题类型诉求类型投诉详情在注册过程中有手机验证码项，在确认手机号码项里填了以后就扣除了299元会员费，这是扣款验证码！根本就没有提示！存在欺诈行为。</t>
  </si>
  <si>
    <t>2019/10/05 17:18:39</t>
  </si>
  <si>
    <t>投诉人 刘先生        投诉对象  万惠及贷        涉诉金额  3 100 元    问题类型    诉求类型投诉详情  贷款3100元 实际到账2418元 无故收取费用682元</t>
  </si>
  <si>
    <t>2019/10/05 17:18:22</t>
  </si>
  <si>
    <t>投诉人 沈先生        投诉对象  一本万利        涉诉金额  4 000 元    问题类型    诉求类型投诉详情  到账2560，六天后还3993.60。利息吓人，催收恐吓</t>
  </si>
  <si>
    <t>2019/10/05 17:17:25</t>
  </si>
  <si>
    <t>2018年11月14日使用享骑电单车，之后申请退还押金，提示7-14天原路退回，截止2019年10月5日扔未退回，APP登录不上，致电客服提示空号，这样的平台是不是属于欺诈消费者。</t>
  </si>
  <si>
    <t>2019/10/05 17:17:16</t>
  </si>
  <si>
    <t>到账2100，还款四期，每期720利息过高，协商还款。</t>
  </si>
  <si>
    <t>2019/10/05 17:16:52</t>
  </si>
  <si>
    <t>投诉人 王先生        投诉对象  小浦优客        涉诉金额  296 元    问题类型    诉求类型投诉详情  10月5日16时 小浦优客 通联支付非法盗取我银行卡里的296元钱 请帮我追讨回来 谢谢</t>
  </si>
  <si>
    <t>2019/10/05 17:15:49</t>
  </si>
  <si>
    <t>16:48:38我在贷上钱APP上借款为的300元借款，，还款时有600元购买什么游戏币的需要我还款，而600元还在待付款状态中。</t>
  </si>
  <si>
    <t>2019/10/05 17:15:35</t>
  </si>
  <si>
    <t>上的月十几号收到鞋吧，正不正品我也不知道，反正是有鉴定证书，结果是穿了三次，加起来不够12个小时鞋面就开胶了，找客服说给我70去粘，合理吗，有图但是不知道为啥添加不上，事实就是这样，我电话184******89184******98希望聚投诉有用吧。</t>
  </si>
  <si>
    <t>2019/10/05 17:14:22</t>
  </si>
  <si>
    <t>本人于2019年7月20日资金出现周转不灵，像拍拍贷平台借款7693元，本月因拍拍贷利息过高实在还不上与对方协商同意还款，我有还款意向，但是拍拍贷工作人员依旧每天催收电话不断，逾期七天已经开始骚扰我的亲朋好友，甚至只是打过一两次电话的客户，今天甚至开始威胁，泄露本人身份信息，我与对方短信协商，拍拍贷真的把人逼到走投无路，鱼死网破，对方说的对，鱼会死，但是网不会。</t>
  </si>
  <si>
    <t>2019/10/05 17:14:03</t>
  </si>
  <si>
    <t>2019-10-5日被特约小通商城恶意扣款两笔金额总计832元。</t>
  </si>
  <si>
    <t>2019/10/05 17:13:31</t>
  </si>
  <si>
    <t>还了18期，已经还了2万9千多，现在已经逾期，捷信公司要求全部还完，要我还他们3万多，本金才40000，要是按照捷信的还法我总共要还将近七万块钱。</t>
  </si>
  <si>
    <t>2019/10/05 17:12:59</t>
  </si>
  <si>
    <t>兰州中川机场出行唯行工作人员，现场宣传交1998元，这些钱都可以用来买机票用而且通过出行唯选订购机票要比其他渠道购买便宜很多，首先是买机票的时候存的钱每次只减少50元的机建费，其次机票并不便宜，由于工作人员在中川机场，个人认为机场比较靠谱，应该不会存在类似虚假宣传的情况。</t>
  </si>
  <si>
    <t>2019/10/05 17:12:56</t>
  </si>
  <si>
    <t>我们在智行上买的回上海的大巴票，刚发车20分钟被交警拦下，查明后说该车辆是违规车辆，违法在网络上卖散票，车被扣下，我们被告知自己想办法回上海，耽误行程。</t>
  </si>
  <si>
    <t>2019/10/05 17:12:48</t>
  </si>
  <si>
    <t>你我贷变相收取高额利息，贷款27000元，前两期连续扣除服务费4000多，都不算在利息里，我已还25000多，在贷款平台上显示我还要还10000多，现在逾期一期，暂时没钱还进去，已经说有钱会还进去，现在对方通过言语侮辱威胁，打联系人电话，威胁我，我要求他们解释服务费为什么不算在利息里，这就是变相的砍头息，而且我在贷款平台看不到他们任何合同，利息的明细。</t>
  </si>
  <si>
    <t>2019/10/05 17:12:15</t>
  </si>
  <si>
    <t>投诉人姚先生投诉对象捷信金融涉诉金额14055元问题类型诉求类型投诉详情他们公司员工自己的业务销售量不足，请学生帮忙刷单拿到业绩提成，承诺不会对帮助的人有任何影响，现在却出现购买商品的贷款，我们并未拿到商品，并要求帮助刷单的偿还贷款，希望可以消除征信方面的影响，所有款项由他们公司自己处理。</t>
  </si>
  <si>
    <t>2019/10/05 17:12:04</t>
  </si>
  <si>
    <t>是一个为创业者提供创业项目以及服务的公司，7月中我加入乐可公司以来，没有哪个客服联系我解决我的问题，更多的是以直播这种大锅饭的形式糊弄过去，没加入前一天给我打几个电话，加入后什么消息都没有，自从7月中来，我为他们公司所谓的创业项目花了时间和金钱，结果缺颗粒无收，我对他们公司的项目以及服务培训感到失望，联系客服又说不能退款！我不是个例，是百分之九十九中的一员！。</t>
  </si>
  <si>
    <t>2019/10/05 17:11:39</t>
  </si>
  <si>
    <t>本人在我来贷借款27000元，利率远超国家标准，每次还款日还没到就恶意骚扰，不管白天黑夜，本人银行卡挂失重新办卡，卡号不一样，也不能更换绑定，到了还款日扣款不成功，故意不提醒，造成扣款失败逾期，打电话客服要求提前结清，客服说不能提前结清，提前结清仍然要收取剩余的利息，态度特别差，简直就是霸王条款。</t>
  </si>
  <si>
    <t>2019/10/05 17:11:15</t>
  </si>
  <si>
    <t>投诉人陶先生投诉对象上海金融机构涉诉金额10000元问题类型诉求类型投诉详情不知道哪个平台，骚扰我通讯录、威胁恐吓、我请求正面回答我的问题、骚扰我通讯录、给我造成困扰、名誉受损等等……严重影响！。</t>
  </si>
  <si>
    <t>2019/10/05 17:11:14</t>
  </si>
  <si>
    <t>投诉人 郑先生        投诉对象  马上消费金融        涉诉金额  690 元    问题类型    诉求类型投诉详情  有接电话协商，威胁联系通讯录帮我借钱。。。。</t>
  </si>
  <si>
    <t>2019/10/05 17:11:05</t>
  </si>
  <si>
    <t>本人因个人家庭原因，欠下一堆债，目前还在就读，暂时无还款能力，上海银行每天雇佣不明人士来骚扰，请求银行协商还款。</t>
  </si>
  <si>
    <t>2019/10/05 17:10:36</t>
  </si>
  <si>
    <t>主动跟他们协商没有用，打爆通讯录，连多年不怎么联系的亲戚朋友都打过了，借钱的是我个人，与他们无关，家里有人今年刚做完手术，现在知道这个事，精神一直不好，本人现在睡觉经常在梦中惊醒，精神压力极大，做事都无法专心，反复告诉他们不要骚扰周围的人没有用，即将崩溃！现在只要一听见手机响声瞬间紧张出汗，再这样下去真有可能出人命……。</t>
  </si>
  <si>
    <t>2019/10/05 17:09:29</t>
  </si>
  <si>
    <t>2019/10/05 17:09:23</t>
  </si>
  <si>
    <t>我尾号6570的农行账户09月29日07:12向，小富商城完成消费交易人民币-1000.00，但我当时根本没有在这个平台消费任何产品和服务，无缘无故就被扣了钱。</t>
  </si>
  <si>
    <t>2019/10/05 17:09:09</t>
  </si>
  <si>
    <t>嘉盈顺恶意扣款在本人毫不知情的情况下私自转走299元，我要求退款。</t>
  </si>
  <si>
    <t>2019/10/05 17:08:59</t>
  </si>
  <si>
    <t>投诉人张女士投诉对象喜鹊快贷涉诉金额1367元问题类型诉求类型投诉详情喜鹊快贷当期还款未逾期，收到无数短信和微信添加留言多次恐吓、威胁联系家人同事等，肆意限制还款时间，态度恶劣。</t>
  </si>
  <si>
    <t>2019/10/05 17:08:53</t>
  </si>
  <si>
    <t>贷款猪是今天还款日，但是款我还是换了，可我还是要投诉下贷款猪，在我下午三点没接到对方电话，对方就开始打电话骚扰我家人和亲友了，希望平台给个合理的解释。</t>
  </si>
  <si>
    <t>2019/10/05 17:08:35</t>
  </si>
  <si>
    <t>本人因个人家庭原因，欠下一堆债，目前还在就读，暂时无还款能力，招行银行每天雇佣不明人士来骚扰，请求银行协商还款。</t>
  </si>
  <si>
    <t>2019/10/05 17:08:22</t>
  </si>
  <si>
    <t>投诉人文先生投诉对象信用管家,元宝宝涉诉金额3500元问题类型诉求类型投诉详情本人2019年9月9日在信用管家下面的元宝宝借款3500，实际到账2600多，这属于典型的高利贷砍头息，已经还了两期，现与元宝宝协商还款，对方坚持要按期还款，本人无法接受。</t>
  </si>
  <si>
    <t>2019/10/05 17:08:15</t>
  </si>
  <si>
    <t>投诉人刘女士投诉对象钱站,凡普金科,北京会牛科技公司涉诉金额10000元问题类型诉求类型投诉详情1.投诉钱站高利贷，借7000，6个月还1万多，每月1800左右，逾期1天，逾期费用90,逾期违约金188.40，钱站客服回应，逾期违约金逾期一个月也都收这么多，钱站靠着自己的高利息和贷后的不择手段，在审核的时候完全不审核，虽然感谢钱救急，但是他们的做法会扰乱社会秩序，市场秩序，在未逾期和逾期第一天第二天时已经去电希望能够帮忙反馈，自身还款意愿及窘迫情况也已经说明，今天逾期第三天有贷后联系并说未收到我之前的反馈，</t>
  </si>
  <si>
    <t>2019/10/05 17:08:06</t>
  </si>
  <si>
    <t>投诉人王先生投诉对象MY钱包,现金借款涉诉金额10000元问题类型诉求类型投诉详情洋钱罐借款严重骚扰的我家人及其朋友，他人正常生活，他们电话说出我的家庭住址，还要找人上门收钱，我也不知道这些算不算暴力催收，我都有电话录音，希望聚投诉平台核实处理，我不是赖皮，本人当初投资做生意，除了家人朋友借的钱以外还向各大平台公司借款，，拍拍贷，安逸花，维信卡卡贷，你我贷，钱站，快闪卡贷，国美易卡，省呗，分期乐，新橙优品，MY钱包，洋钱罐，最终生意失败，血本无归，这个责任在我个人，虽然钱赔光但是我还是要感谢各大平台当初帮忙</t>
  </si>
  <si>
    <t>2019/10/05 17:08:02</t>
  </si>
  <si>
    <t>投诉人周先生投诉对象深圳市赢众通,现金锦鲤涉诉金额800元问题类型诉求类型投诉详情要求我先缴纳八百的工本费，然后就说放款失败，要求购买四千的网贷金融商业保险。</t>
  </si>
  <si>
    <t>2019/10/05 17:07:06</t>
  </si>
  <si>
    <t>本人因个人家庭原因，欠下一堆债，目前还在就读，暂时无还款能力，浦发银行每天雇佣不明人士来骚扰，请求银行协商还款。</t>
  </si>
  <si>
    <t>2019/10/05 17:06:25</t>
  </si>
  <si>
    <t>投诉人 刁女士        投诉对象  升学教育        涉诉金额  2 500 元    问题类型    诉求类型投诉详情  报名之后一个半月没有任何安排 还有院校安排不恰 浪费彼此时间！</t>
  </si>
  <si>
    <t>2019/10/05 17:06:05</t>
  </si>
  <si>
    <t>昨晚打开app准备还款，结果明明网开着，显示打不开，我昨天打客服电话，一直显示人工忙，没人接听，今天打客服电话仍旧没有人工接听，提示到14——16点之间才能打。</t>
  </si>
  <si>
    <t>2019/10/05 17:05:50</t>
  </si>
  <si>
    <t>总共借款4万6，已还款3万3，剩余还款告知余2万4，，八月份催收到公司，导致工作7年的国企单位被开除，威胁我父母。</t>
  </si>
  <si>
    <t>2019/10/05 17:05:38</t>
  </si>
  <si>
    <t>你们让我好受了两天，不解释了，看一下怎么退款吧，好久退款能拿到，就这个，其它都没必要了！。</t>
  </si>
  <si>
    <t>2019/10/05 17:05:37</t>
  </si>
  <si>
    <t>投诉人 曹先生        投诉对象  借贷宝        涉诉金额  2 000 元    问题类型    诉求类型投诉详情  打完欠条后不给钱 还要你支付300的销条费 借贷宝客服也不作为 只会说一些没用的</t>
  </si>
  <si>
    <t>2019/10/05 17:05:04</t>
  </si>
  <si>
    <t>我使用腾讯公司旗下的产品微云，并充值了微云会员服务，与2019年10月5日到期，在到期后立马点击续费按钮，但页面强制开通过服务为“超级会员”费用为20元/月，但我有印象之前开通一年是普通会员10元/月，因无法找到开通入口，根据超级会员页面指示不知道怎么进入了QQ会员业务的充值界面，然后进行了一年续费充值，在腾讯官方提交处理投诉后被告知不支持修改业务，腾讯公司最开始已高价位消费的业务引导消费，隐藏或故意弱化缩小，或将充值入口放置于不显眼的地方，页面错误的引导了我开通了错误的业务，却不支持修改，是明显的强买强卖</t>
  </si>
  <si>
    <t>2019/10/05 17:04:03</t>
  </si>
  <si>
    <t>投诉人 王女士        投诉对象  及贷        涉诉金额  8 000 元    问题类型    诉求类型投诉详情  我被车撞了，催收的说我怎么没撞了脑子。他才被撞了脑子了</t>
  </si>
  <si>
    <t>2019/10/05 17:03:50</t>
  </si>
  <si>
    <t>聚福钱包未经许可通过通联沪快擅自扣掉客户银行卡200元报告费，申请了退款客服不处理，这种是恶意扣款，恶意拖欠客户退款，客户在该平台并未借款成功，请该平台尽快退还200元服务费，并作出道歉。</t>
  </si>
  <si>
    <t>2019/10/05 17:03:44</t>
  </si>
  <si>
    <t>恐吓，侮辱，脏话骂人不与协商，高利贷态度极其恶劣骚扰家人。</t>
  </si>
  <si>
    <t>2019/10/05 17:02:51</t>
  </si>
  <si>
    <t>本来借款1000块钱，为何合同变成了1330的本金，。</t>
  </si>
  <si>
    <t>欠款第一天，打电话给我我说当天一天还的情况下，没有任何辱骂或者不耐烦，他各种轰炸我爸妈和朋友电话，让大家都来询问我情况，严重骚扰我的生活和尊严。</t>
  </si>
  <si>
    <t>2019/10/05 17:02:28</t>
  </si>
  <si>
    <t>销售虚假宣传，销售说只要我把360现在的额度15000元借出来会给我10w的额度，还承诺说在我借款出来后，会3天之内有工作人员回回访，他们那边会审核给我提升额度，现实情况是他说的一项都没达到，我在与销售交谈的时候一再强调了，没有额度提升我就不解，而销售一直欺骗我，我曾与电话客服投诉，但是客服明显给不出合理解释，也不给我处理，且销售口径开始变样，显然是默许这种欺骗存在，根据消费者欺诈法，销售人员有责任与义务提前告知消费者产品的真实情况，但是销售人员显然为了业绩，故意扭曲产品实际情况，我是守法爱法，信法公民，在</t>
  </si>
  <si>
    <t>2019/10/05 17:02:17</t>
  </si>
  <si>
    <t>投诉人 马女士        投诉对象  Wecash闪银        涉诉金额  3 000 元    问题类型    诉求类型投诉详情  闪银暴力催收，严重影响个人生活，还惊吓我</t>
  </si>
  <si>
    <t>2019/10/05 17:01:51</t>
  </si>
  <si>
    <t>恒易贷借款的时候没有说有手续费，到账被扣了很多，到账没有12000，我问客服还客服狡辩，客服回复说他们是正规公司，其实不是，然后各种骚扰，还不到还款日就提前天天电话骚扰，现在在APP上也看不还了几期，还剩几期没有还。</t>
  </si>
  <si>
    <t>2019/10/05 17:01:48</t>
  </si>
  <si>
    <t>本人于2017年5月分以1213块钱的首付分期了一部5999块钱的苹果手机，分24期，每期372.96块钱，我连续分期了16期，，就停止了还款，因为这已经高出了国家定的24%的利息了，但马上金融一直到现在以电话骚扰、恐吓的方式逼我还款。</t>
  </si>
  <si>
    <t>2019/10/05 17:01:34</t>
  </si>
  <si>
    <t>直接报警到当地分行解决问题，中国是法治社会。</t>
  </si>
  <si>
    <t>2019/10/05 17:01:32</t>
  </si>
  <si>
    <t>本人于2019年7月17日至2019年8月16日使用华夏银行信用卡消费8168.77元，到最后还款日华夏银行没有任何提醒，直接按第一笔还款剩下的金额收取利息，后续还款不计入，本人要求华夏银行退还利息并于还款日前提醒用户。</t>
  </si>
  <si>
    <t>2019/10/05 17:00:59</t>
  </si>
  <si>
    <t>玖富万卡有这个权力嘛，国家有规定超过国家规定纯属高利贷还够本金或者不还。</t>
  </si>
  <si>
    <t>2019/10/05 17:00:58</t>
  </si>
  <si>
    <t>2019年10月5日上午11：05收到银行信息，被扣款50元，自己根本没有任何消费，更不晓得这个中金支付是什么东西，打电话给银行，银行让问银联……只能查到支付明细，觉得这也太不安全了吧！希望平台能帮我们主持公道，我看到很多人都被这个公司盗款了，希望平台帮我们向中金支付的要个说法！。</t>
  </si>
  <si>
    <t>2019/10/05 17:00:38</t>
  </si>
  <si>
    <t>在微信群里有人推广比特矿场的数字货币产品，就扫码安装了，并且用两个手机号码注册两个账号购买了一台49元的挖矿机，挖矿机到期了我就想把里面的钱提现出来，提现时提示身份异常，找客服问什么原因，结果就是截图中的情况。</t>
  </si>
  <si>
    <t>2019/10/05 17:00:36</t>
  </si>
  <si>
    <t>本人第8第9期逾期后和官方协商后免掉逾期费用，通过第三方美利金融还了这两期的本金和利息，但是有用分期上没有撤销减免的逾期金额，逾期金额并且每天增加，然后才能还本期本金和利息，所以导致后几期无法还上，今天催收联系我必须要还完四期的所有费用，这不耍流氓吗，你自己的系统导致的问题还让我买单吗！真正欠的最后三期的本金和利息！并说要恐吓暴力催收，，多厉害啊，拜托你赶紧去法院起诉吧，让法院判吧。</t>
  </si>
  <si>
    <t>本人在2345立即贷公司申请的14天小额短期贷款3000元，每次需要购买他们所谓的会员卡，而且会员卡的价格根据客户的等级来定价，不买卡不下款，每一笔都需要先花费420元购买会员卡，为期14天，14天后需要还款3030元，放款方为中国最大的第三方支付平台之一的宝付支付，国家已经明确了不能非法捆绑销售，而且他们卖的也都是一些没用的东西，他们已经在触碰国家的底线了，本人在2345立即贷公司借款50余次，现在只要求赔偿退还2018年5月16号到2019年3月13号的24次多收取的多余费用，共计一万元，同时我也会保留</t>
  </si>
  <si>
    <t>2019/10/05 17:00:28</t>
  </si>
  <si>
    <t>在北京游玩第三天，来到北京奥特莱斯机场店逛街，4个大人加一个小宝宝，从机场打车去奥特莱斯没遇到任何问题，完事打车去朋友那，叫车以后，司机接单后提示3分钟能到地方，等了一会儿手机提示司机已到达，周围发现没有车，就致电司机，提示通话中，以为司机在联系我们，就等待，过了3分钟还是没有来电，再次去电还是通话中，累计去电三次都是通话中，最后接通以后，对方说在出口处，让走过去，几人找到出口地后看到司机与2人在聊天，我们几人上车后，对方跟朋友说先送单了，上车以后，司机说4个大人1个小宝宝算5个人，不能打车，让我们重新叫车</t>
  </si>
  <si>
    <t>2019/10/05 17:00:00</t>
  </si>
  <si>
    <t>我在途牛旅游网9月24日预定的10月2日华东五市六日游，在10月2日10点途牛客服告知我，说东方航空公司由于台风天气原因导致航班取消，飞机票是下午一点35起飞，然后该航班的后一天也被取消，无奈之下我们只有退团，我们要求:不是由于客人主观原因，我们未出行该团，应将机票全款退款给我们，但途牛客服说，要我们承担回程机票产生的损失，回程机票是940元一张，要我们损失570元一人，也就是每张机票票额的百分之六十，五人机票共需损失2850元，我们未出行该团，由于天气原因产生的问题，为什么要我们客人自己承担损失呢，但途牛</t>
  </si>
  <si>
    <t>2019/10/05 16:59:58</t>
  </si>
  <si>
    <t>中国移动的商城利用优惠卷诱导我下单，我在中国移动的商城使用优惠卷购买了一台小米9pro5g黑手机，9月27日的当天下午17点17分我下单并付款了，当的下单页面的发货规则是按付款的顺序发货的，，但是在当天的晚上23点05分中国移动商城在没有告知客户的情况下私自修改了发货时间，改成一个月后发货，，这个我不能接受，我要求中国移动商城马上给我安排发货并给我合适的解释跟道歉。</t>
  </si>
  <si>
    <t>2019/10/05 16:59:18</t>
  </si>
  <si>
    <t>10月2日的时候，该公司打来电话，是95开头的，说是来分期，我说我有63家网贷，就没有所谓的来分期，结果才知道是趣店，我说我会还，但不是现在，因为现在真的经济紧张，但该人员不听，说4点前不还，就要上门催收，到了今天，该公司又用95开头的电话打给我，说是趣店高级案件调查科的什么，但是声音和语气和上次一模一样，我估计是角色扮演，我依然说明了现在的经济状况，表示需要一定时间，他说要我找我爸妈借钱，我说现在我仅有500块钱，他说让我先还，我说我还了就不生活了吗，他说反正等到6点，如果6点不还，就让我小心后果，说要对</t>
  </si>
  <si>
    <t>2019/10/05 16:58:38</t>
  </si>
  <si>
    <t>高利贷砍头息，现在已经拨打通讯录电话催收，群发短信。</t>
  </si>
  <si>
    <t>2019/10/05 16:58:14</t>
  </si>
  <si>
    <t>发生单方面事故，当日交于南昌汇恒东风日产专卖店进行定损维修，至今日已经维修了23天，途中有各种理由，新款上市，店里没有配件为由拖延维修日期，时至今日，又以保险公司没有赔付，交警没有出具事故责任认定书为由，不让开走自己的车，我的车辆办理了车辆营运证，属于正规营运车辆，将近一个月的时间，没有要求任何的条件，只要求修车日期缩短，但是现在车子修理好了却不让我开走。</t>
  </si>
  <si>
    <t>2019/10/05 16:57:57</t>
  </si>
  <si>
    <t>9月21日13点左右下单，提示25号可以到货，实际27号到，昨天退货提交后，提示输入快递员上门揽货时间，但我没有输，误以为也是提交成功，今天看到订单已经不能退了，客服说多一天也不行。</t>
  </si>
  <si>
    <t>2019/10/05 16:57:05</t>
  </si>
  <si>
    <t>,卡卡贷,你我贷,钱站,快闪卡贷,国美易卡,省呗,新橙优品,分期乐涉诉金额10000元问题类型诉求类型投诉详情拍拍贷公司，洋钱罐借款严重骚扰的我家人及其朋友，谩骂羞辱及其威胁他人正常生活，他们电话里还说出我的家庭住址，还要找人上门收钱，我也不知道这些算不算暴力催收，我都有电话录音，希望聚投诉平台核实处理，我不是赖皮，本人当初投资做生意，除了家人朋友借的钱以外还向各大平台公司借款，，拍拍贷，安逸花，维信卡卡贷，你我贷，钱站，快闪卡贷，国美易卡，省呗，分期乐，新橙优品，MY钱包，洋钱罐，最终生意失败，血本无归，</t>
  </si>
  <si>
    <t>2019/10/05 16:55:47</t>
  </si>
  <si>
    <t>投诉人 刘先生        投诉对象  玖富万卡        涉诉金额  23 500 元    问题类型    诉求类型投诉详情  第一笔借款20000元 费用10828元每期还款1433.3元 共24期 已还15期 第二笔借款3500元 费用2618元 每期还款202.23元 共36期 已还14期</t>
  </si>
  <si>
    <t>2019/10/05 16:55:46</t>
  </si>
  <si>
    <t>因为之前借了一款软件，然后3000到手1900左右，高额利息，然后还款日前一天，他的产品打不开，导致一直逾期，现在打电话给我，让我去还钱，产生高昂的逾期费用，并且下载回来还是打不开，他还一直打我电话+8613884301322要加我微信，。</t>
  </si>
  <si>
    <t>2019/10/05 16:55:09</t>
  </si>
  <si>
    <t>欠款想一次还清！打电话问玖富客服协商！开始告诉我进入APP本金还款！但是APP里没有本金还款这项！又打电话客服说你进入APP点开提前结清按照上面的数字还款就可以了！我确认了一下问只要把那上面的金额还清了就没有任何费用了对吗，客服回答对！不放心又打了一个电话！再次得到客服的肯定说只要把提前还清的金额还掉就可以了！我又打了第三次电话确认！客服回答还是肯定的！只要把提前结清的金额还了就没有任何费用了！问了三个不同的客服人员回答都是一致的！然后我就进入APP进行操作还款！一笔是18596.71元人民币！另一笔是78</t>
  </si>
  <si>
    <t>2019/10/05 16:54:14</t>
  </si>
  <si>
    <t>本人今年5月份还款招商银行信用卡中心4000元整，每个月利息加滞纳金催收人员说每个月都650的金额一直上涨，与银行本部打电话要求他们人员来跟我协商分期。</t>
  </si>
  <si>
    <t>2019/10/05 16:53:11</t>
  </si>
  <si>
    <t>我借了来分期的钱，一直都在正常还款，最近经济不好，破产导致逾期，来分期电话一直骚扰，跟他们协商延期还款，他们不同意，还说起诉，我说可以起诉，现在又说要上门催收，爆通讯录，这是不是太过分了，有钱又不是不还，只是现在确实困难，你们的态度也太恶劣了吧，电话骚扰不说，还上门催收，如果起诉我我也认了，你们不合法的做法我就是不认同。</t>
  </si>
  <si>
    <t>2019/10/05 16:52:35</t>
  </si>
  <si>
    <t>投诉人 苏先生        投诉对象  闪银贷        涉诉金额  1 000 元    问题类型    诉求类型投诉详情  短信轰炸爆通讯录十分钟二百多个短信 没有客服</t>
  </si>
  <si>
    <t>2019/10/05 16:52:26</t>
  </si>
  <si>
    <t>不知道正德投资是什么，莫名从我银行卡扣款750元，且是易宝支付自动扣款。</t>
  </si>
  <si>
    <t>2019/10/05 16:52:18</t>
  </si>
  <si>
    <t>本人通过网页推荐，下载小浦优客，填写资料，但最后并未点同意，也没有办理任何业务，就退出软件，今天突然发短信扣我296元，这是乱扣费，我要求退款。</t>
  </si>
  <si>
    <t>2019/10/05 16:51:49</t>
  </si>
  <si>
    <t>小米贷款推销我贷款，我当时心情不好，不需要就开始骂我，还给我解释清楚，。</t>
  </si>
  <si>
    <t>2019/10/05 16:51:42</t>
  </si>
  <si>
    <t>前两年在金伯利钻石买的耳钉，说以后都是可以以旧换新，给我的手写发票上说明是需要贴金20%，前两天去店里想换别的款式的，营业员告诉我，而且现在的店里规定是加金40%，我看中两款耳钉，因为价格便宜，营业员说让我买三个耳钉，就给我换购，合着一对一可以换购。</t>
  </si>
  <si>
    <t>2019/10/05 16:51:32</t>
  </si>
  <si>
    <t>10月11日，但是飞猪客服打电话来说让我去火车站改签，一直在说，但是我在电话里说了不方便去火车站改签，也没时间，工作太忙，没有为我们客户想办法，服务态度也差，有点推脱责任，意思如果我不去火车站改签或者退票就是我自己的问题！！。</t>
  </si>
  <si>
    <t>2019/10/05 16:51:28</t>
  </si>
  <si>
    <t>投诉人项明明投诉对象盼达用车涉诉金额1000元问题类型诉求类型投诉详情挂着品牌的老赖公司。</t>
  </si>
  <si>
    <t>2019/10/05 16:51:27</t>
  </si>
  <si>
    <t>连续两次送错地方，我来河南培训不方便才网购的，短短2天连续两次给我送错地方，耽误收获时间对我造成损失，要求赔偿。</t>
  </si>
  <si>
    <t>2019/10/05 16:51:22</t>
  </si>
  <si>
    <t>阴阳合同，明明额度是2800，借款到账也是2800，借款后发现需要每期偿还1400元，3期总共4200元。</t>
  </si>
  <si>
    <t>2019/10/05 16:51:05</t>
  </si>
  <si>
    <t>投诉人袁女士投诉对象自由摩卡,信用计划涉诉金额5000元问题类型诉求类型投诉详情本人因资金周转需求在自由魔卡app里面的信用计划平台借款2000元，平台以加入会员购买会员需要支付备付金为借口，变相收取砍头息360元，实际借款所得其实为1640元，还款周期一个月应还为2050元，所加入的会员并无实际作用，只是作为平台变相收取砍头息的手段，这是赤裸裸的高利贷，因本人之前也在该平台借款多次，现无力偿还高额还款费用和砍头息，投诉信用计划其实是高利贷平台，要求平台尽快与本人联系协商，本人绝不接受客服人员所谓会员费合理</t>
  </si>
  <si>
    <t>2019/10/05 16:50:47</t>
  </si>
  <si>
    <t>投诉人邱先生投诉对象豹子贷,通联支付,携趣信息科技有限公司涉诉金额200元问题类型诉求类型投诉详情没有经过我同意扣了我两百块评估费，退款必须要申请他们的高利贷才能退款，强烈要求立刻退款，谢谢。</t>
  </si>
  <si>
    <t>2019/10/05 16:50:24</t>
  </si>
  <si>
    <t>投诉人刘克麟投诉对象合肥旺满润科技有限公司涉诉金额3688元问题类型诉求类型投诉详情经过朋友介绍通过yy语音平台9009000找到这个公司，打款3688元，服务为一个月，仅仅就两天前后判若两人，开区合区都不能服务，我换版本又叫我花钱买的！买好了以后就不给我换了！找他们协商换版本推了一天又一天，今天实在气不过，现在连说话都不说了，这样的骗子公司，作为yy,腾讯，还支持！我们作为消费者受骗！严惩不贷！。</t>
  </si>
  <si>
    <t>2019/10/05 16:49:22</t>
  </si>
  <si>
    <t>投诉人张女士投诉对象我来数科涉诉金额41000元问题类型诉求类型投诉详情我在我来贷一共三笔贷款，分别是14000两笔，13000一笔，都是等额本息12个月，当时不明白，现在知道妥妥高利贷，他们的计算方式跟正规的国家规定的完全不一样，我来贷是钻了法律的空子，完全阴阳合同，规避了国家对于民间借贷的相关规定，以居间服务费的合同收取高额的月管理费，在合同法里面居间服务协议相关条款第422条并没有明确规定居间服务费的收取标准，所以在你的合同条款里面他们加了这一条并让你签字接受，其次他们以借款担保协议让你签字目的是防止</t>
  </si>
  <si>
    <t>2019/10/05 16:48:38</t>
  </si>
  <si>
    <t>我在贷上钱APP上借款为期一周的2000元借款，审批额度2400元，最后发放到银行账户的只有2000元，却要求偿还2400元贷款，该公司人员称其中400元没有发放到用户的银行账户，而是以贷款通过费的形式购买了游戏豆，再以游戏豆的形式发放到了用户的APP账户，也就是说，这400元并没有转账到我的银行账户上，再让我自主选择购买游戏币，而是被该公司代币的形式作为贷款发放给了我，并要求我以现金形式还款，在此过程中，该公司涉嫌违法收取高额贷款通过费用，直接或间接为“虚拟货币”提供账户开立、登记、交易、清算、结算等产品</t>
  </si>
  <si>
    <t>2019/10/05 16:47:42</t>
  </si>
  <si>
    <t>投诉人陈闯先生投诉对象苏宁易购涉诉金额2788元问题类型诉求类型投诉详情在苏宁易购买东西没收到货也不退款多次联系每次客服都答应退款最终没给处理。</t>
  </si>
  <si>
    <t>2019/10/05 16:47:31</t>
  </si>
  <si>
    <t>信用卡专员2030，要求他道歉，态度机器恶劣，要我地址，意思暴力催收。</t>
  </si>
  <si>
    <t>2019/10/05 16:46:37</t>
  </si>
  <si>
    <t>因为一些问题，导致账单逾期，金额700元不到，拍拍贷工作人员连续两天打电话骚扰我，说几点前不还就要联系我亲朋好友，我也跟拍拍贷客服反应过，然而等来的电话还是催收的，说你联系客服也没有用，今天又打电话告诉我说昨天他联系了我亲人好友，问有没有人借钱给我！请问这种行为没有人管吗。</t>
  </si>
  <si>
    <t>2019/10/05 16:45:34</t>
  </si>
  <si>
    <t>投诉人朱女士投诉对象MY钱包涉诉金额4840元问题类型诉求类型投诉详情高利贷</t>
  </si>
  <si>
    <t>2019/10/05 16:44:48</t>
  </si>
  <si>
    <t>本人2年前因业务需要在浦发银行信用卡贷款万用金108000元，每月分期还3年，今年年初的时候因失业问题现在还款出现困难，请求协商余款以结息的模式还款，一年后还本金。</t>
  </si>
  <si>
    <t>2019/10/05 16:43:58</t>
  </si>
  <si>
    <t>投诉人韦先生投诉对象温州银行涉诉金额9000元问题类型诉求类型投诉详情温州银行信用卡消费后按日收利息，账单还款逾期后每天开始骚扰本人、配偶、同事，给本人带来严重负面影响，要求温州银行向本人、配偶、同事赔礼道歉！。</t>
  </si>
  <si>
    <t>2019/10/05 16:43:38</t>
  </si>
  <si>
    <t>投诉人龚先生投诉对象钱站涉诉金额5000元问题类型诉求类型投诉详情本人在钱站app借款5000，实际到账金额也是5000，款项到账前看不到合同，款项到账后一看本金居然高达9600，不可思议，请问这是什么操作，还请给我一个解释和一个合理的解决方案。</t>
  </si>
  <si>
    <t>2019/10/05 16:43:14</t>
  </si>
  <si>
    <t>投诉人孙先生投诉对象小花钱包涉诉金额30000元问题类型诉求类型投诉详情昨晚处理了一大半，说今天早上还剩下的，因为确实困难没有处理逾期费，之前都是直接见面还是的，这次不光不减免。</t>
  </si>
  <si>
    <t>2019/10/05 16:42:43</t>
  </si>
  <si>
    <t>投诉人郭女士投诉对象去哪儿涉诉金额4317元问题类型诉求类型投诉详情我是提前一个月买的机票了，当时买的时候说只可以买一个人的，可是我要买三个人的，所以我就试着购买不付款，看看还会不会出现座位，结果真的机票又刷新多了一张而且价钱又不是不相同的，可是这次出现的是只有两个座位的，我又继续再购买不付款，同之前的一样又是升价了，才出现的三张机票价钱，而且这次又是把价钱升高了，这不就是误导消费者吗然后变相又升价了，然后我看有票了我不就不管价钱我就买了三张，然后过了一个星期机票极速下降，不是都是提前预定的优惠的吗，怎么越</t>
  </si>
  <si>
    <t>2019/10/05 16:41:59</t>
  </si>
  <si>
    <t>投诉人 易先生        投诉对象  重庆美团三快小额贷款有限公司        涉诉金额  910 元    问题类型    诉求类型投诉详情  暴力催收 我说啦发工资给他们 但是就是威胁恐吓 请有关部门管一下</t>
  </si>
  <si>
    <t>2019/10/05 16:41:42</t>
  </si>
  <si>
    <t>高利贷，支付宝私人转账，转账名字叫潘娟，借款的时候没有说利息是多少，也没有说是砍头息，下款了1400元，软件上就显示借1400，利息600，五天以后还款2000元，。</t>
  </si>
  <si>
    <t>2019/10/05 16:41:32</t>
  </si>
  <si>
    <t>因为逾期，催收恐吓并未停止，还损坏本人名誉。</t>
  </si>
  <si>
    <t>2019/10/05 16:40:52</t>
  </si>
  <si>
    <t>九月份下载了钱橙无忧APP，注册时要求填写银行卡号跟银行验证码才能进去，进去后发现要扣钱，我就没有点，直接退出了把软件也删了，卡里一直没有钱，今天刚提现了就被扣了两笔，之后下载APP进不去打客服电话也没人接，希望把扣我的钱全额退还给我。</t>
  </si>
  <si>
    <t>2019/10/05 16:40:36</t>
  </si>
  <si>
    <t>作为一个滴滴运营平台，让私家车做滴滴在运营有没有安全保障，对于我一个全职对公司机每天付出接近17个小时的时间月/平均二百多/天的流水，诉问滴滴平台：对得起我对公司机吗，每年运营车辆保险一万多，诉问滴滴公司：我还能养家糊口吗。</t>
  </si>
  <si>
    <t>2019/10/05 16:38:34</t>
  </si>
  <si>
    <t>我与2019年9月4号在贷上钱借款2000元，10月4号时需要我还2660元，有电话联系我，我没接。</t>
  </si>
  <si>
    <t>2019/10/05 16:37:49</t>
  </si>
  <si>
    <t>造艺科技豹子贷恶意扣款299，请求退款，谢谢配合。</t>
  </si>
  <si>
    <t>2019/10/05 16:37:02</t>
  </si>
  <si>
    <t>于10月1日在交易猫平台售出账号计1900元，一直到现在不给打款，钱买家已经交于平台，联系客服也是一直说专员人工打款让等待，不处理不做为，望平台协调将欠款打回。</t>
  </si>
  <si>
    <t>2019/10/05 16:36:46</t>
  </si>
  <si>
    <t>投诉人赵先生投诉对象聚福钱包涉诉金额200元问题类型诉求类型投诉详情说是收取299元后为我办理3000元额度贷款，但是收了钱什么也没办理，打客服态度恶略，拒不退款，这种骗子公司就没人管管吗。</t>
  </si>
  <si>
    <t>2019/10/05 16:36:44</t>
  </si>
  <si>
    <t>信息科技涉诉金额2500元问题类型诉求类型投诉详情本人于2019年09月12日在爱钱进，信息科技有限公司旗下钱站app借款2500元，但实际到账只有2000元，其从借贷本金中先行扣除利息、手续费、管理费、保证金以及设定高额逾期利息、滞纳金、罚息等。</t>
  </si>
  <si>
    <t>2019/10/05 16:36:26</t>
  </si>
  <si>
    <t>投诉人 吴先生        投诉对象  捷信金融,捷信消费金融有限公司        涉诉金额  0 元    问题类型    诉求类型投诉详情  第一 这个是新号 截图是8月的 现在还在打 一天10个骚扰电话 第二 我接过说过了 客服说会处理但一个月还是这样 第三我 完全没接触过这个公司有关的任何东西第四再 这样骚扰我要报警了</t>
  </si>
  <si>
    <t>2019/10/05 16:36:02</t>
  </si>
  <si>
    <t>我的软件现在打不开造成逾期，我给他们客服打过电话说给我解决逾期问题所以我一直再等待解决办法，结果他们就开始威胁我。</t>
  </si>
  <si>
    <t>2019/10/05 16:35:45</t>
  </si>
  <si>
    <t>豹子贷这一软件未经同意旗子扣除银行卡里的余额299元，事后不做出处理，，要求退款还必须十四天后按照他所提供的八家平台上借款失败后的截图才可能退款！！！才可能，！！而且提供的八家平台都是第三方借款平台，请问怎么借款，现在我的电话都是推荐什么什么的贷款，严重影响了我的生活。</t>
  </si>
  <si>
    <t>2019/10/05 16:35:37</t>
  </si>
  <si>
    <t>投诉人 王先生        投诉对象  造艺科技,豹子贷        涉诉金额  299 元    问题类型    诉求类型投诉详情  上海造艺科技的豹子贷无故扣钱 注意诱导欺诈客户</t>
  </si>
  <si>
    <t>2019/10/05 16:35:05</t>
  </si>
  <si>
    <t>及贷屡次暴力催收之后骚扰我通讯录的朋友，十分可恶，投诉了好几次也依然继续骚扰我通讯录，且利息已高于国家规定利率。</t>
  </si>
  <si>
    <t>2019/10/05 16:35:03</t>
  </si>
  <si>
    <t>未到还款期限，发来短信威歇，又要调查，还说连续逾期好几个月，一只正常还款。</t>
  </si>
  <si>
    <t>2019/10/05 16:34:04</t>
  </si>
  <si>
    <t>小花钱包高利贷，不给协商还款还骚扰家里人，窃取客户隐私，我要求赔偿。</t>
  </si>
  <si>
    <t>2019/10/05 16:33:49</t>
  </si>
  <si>
    <t>投诉内容：服务分改成口碑值后坑害了多少司机，我昨天在线10几个小时居然时长分还扣了，请问平台，你是要司机24小时在线吗，你们现在完全就是漠视所有优享车的生命安全，优享每天单子停不下来，个个都是不要命的去做，个个都是疲劳驾驶，可是快车司机呢，快车的出路在哪里，两小时一单，三小时一单，比比皆是，所有的快车单也优先派给新老优享了，平台这是完全不顾快车的死活！用丧心病狂来形容滴滴平台一点不为过分，柳青，睁大你的眼睛看看，再这样下去，辛苦打下的江山将要拱手相让给出租车、及时用车、首汽约车，看看你们这嘴脸，在同一个区域</t>
  </si>
  <si>
    <t>2019/10/05 16:33:48</t>
  </si>
  <si>
    <t>本人通过贷上钱下载现控达人，在里面的微豆荚借款1400元与2800元，借款期限是32天，每8天一期，每期还款511.2元与1022.4元，总共要还款2044.8元与4089.6元，现控达人属于国家严打的高利贷套路贷，本人已经归还1400元的借款，还款总额2044.8元，2800元借款还款两期，还款总额2044.8，剩余两期，因现控达人恶意制造逾期，产生逾期费用，我已无力偿还这种吸血高利贷，先要求该平台协商偿还本金及合理合法利息，支付通道为北京畅捷通支付技术有限公司，为高利贷提供违规途径，现希望聚投诉平台联系</t>
  </si>
  <si>
    <t>2019/10/05 16:33:31</t>
  </si>
  <si>
    <t>收到京东支付消费95.57元，并且银行卡已扣钱。</t>
  </si>
  <si>
    <t>2019/10/05 16:33:17</t>
  </si>
  <si>
    <t>钱站原本借款3000.在不知情的情况下，阴阳合同，要还4500多，在自己能力以下已还两期1500.共3000，已经还清本金，第三期要求还款1500多，严重超出国家规定标准，再未还款第三天不经本人同意的情况下，群发催收短信，泄露个人信息，本人原本希望合理利息处理，现在家里已经寻求警察处理。</t>
  </si>
  <si>
    <t>2019/10/05 16:33:08</t>
  </si>
  <si>
    <t>爆通讯录，泄露借款人的金额，家庭住址，威胁骚扰。</t>
  </si>
  <si>
    <t>2019/10/05 16:33:05</t>
  </si>
  <si>
    <t>投诉人 陈先生        投诉对象  美团外卖        涉诉金额  26 元    问题类型    诉求类型投诉详情  要求赔偿赔礼道歉。给我一个满意的答复。否则我肯定是不干的</t>
  </si>
  <si>
    <t>2019/10/05 16:32:13</t>
  </si>
  <si>
    <t>介绍人员说免费办理卡后来说办会员是微信还是支付宝不予及时退款。</t>
  </si>
  <si>
    <t>2019/10/05 16:31:32</t>
  </si>
  <si>
    <t>预定好昨晚还款4000，两千今天早上还，然后减免逾期费，我还完了，还一直在催款，真的是很过分，要挟我和家人，严重损害我的利益。</t>
  </si>
  <si>
    <t>2019/10/05 16:31:27</t>
  </si>
  <si>
    <t>我在7月向钱站平台借款1300，而合同上写的借的是2250，这个我根本不知道直到钱到手我才知道合同上写的这些，之前我也跟给钱站客服打过电话问了下多出的950是怎么回事他告诉我是服务费，这明显就是砍头息了，我已经还了两期的钱了加起来也超过1500了，最后一期这月8号还，这一期的款我是绝不会还的，钱站平台一共就借了我1300，凭什么就让我还2250，这分明是套路恶意收取高额利息，我只希望聚投诉平台帮帮我，帮我把最后一期的款销账了，因为马上就到最后一期还款了，希望贵平台帮帮我，因为谁家的钱都不是大风刮来的最后一期</t>
  </si>
  <si>
    <t>2019/10/05 16:31:17</t>
  </si>
  <si>
    <t>我不知道拍拍贷从何得到我的电话，我也与该公司无任何金钱纠葛，未经我的允许该司疯狂电话骚扰我，且在我多次表示要投诉该公司依然我行我素，催收人员气焰嚣张，态度恶劣，严重侵犯我的人权，我要求拍拍贷公司对我道歉，并停止对我进行电话骚扰，我不欠你们钱，你们催收该找谁请找谁，但你无视当事人的诉求恶意催收电话骚扰我，已对我的生活造成非常大的困扰！净化网络世界人人有责，请拍拍贷公司道歉！并停止对我的侵权！。</t>
  </si>
  <si>
    <t>2019/10/05 16:30:57</t>
  </si>
  <si>
    <t>蟹老弟借款金额3500元，砍头息近1000元。</t>
  </si>
  <si>
    <t>2019/10/05 16:30:51</t>
  </si>
  <si>
    <t>个人资金周转问题在淘钱钱平台申请2000元借款，而到账只有1100元，四天后还款2000元。</t>
  </si>
  <si>
    <t>2019/10/05 16:30:24</t>
  </si>
  <si>
    <t>经常打电话骚扰通讯录人员，短信污淬，利息高。</t>
  </si>
  <si>
    <t>2019/10/05 16:30:09</t>
  </si>
  <si>
    <t>投诉人 姚先生        投诉对象  捷信金融        涉诉金额  95 000 元    问题类型    诉求类型投诉详情  电话恐吓，骚扰，已经严重影响我的生活。希望能快速协商解决。</t>
  </si>
  <si>
    <t>2019/10/05 16:30:05</t>
  </si>
  <si>
    <t>捷信金融公司员工已自己的业务销售量不足，请学生帮忙刷单拿到业绩提成，并未告知学生是贷款购买物品，并承诺不会对本人有任何影响，，，在成功刷单一周后捷信APP提供了商品借贷合同，且有本人签名的电子单子，办理刷单时候，并未有看到这个合同，后致由客服表示是办理木人在操作占击的确认。</t>
  </si>
  <si>
    <t>2019/10/05 16:29:10</t>
  </si>
  <si>
    <t>投诉人张先生投诉对象支付宝涉诉金额0元问题类型诉求类型投诉详情本人花呗用了好多年！突然间就不能使用了！也没有任何过错！支付宝无缘无故停用！霸王条款！。</t>
  </si>
  <si>
    <t>2019/10/05 16:29:02</t>
  </si>
  <si>
    <t>在本人未失联的情况下不联系我本人，催收电话是用私人手机号码拨出，电话185******50，本人并未屏蔽，谎称联系不到，故意打公司营业电话，影响公司正常运行，长时间占线，对公司正常运行造成不便，并言语诋毁以及威胁，还无理索要人事电话财务电话，兴致恶劣，个人行为请追溯个人或使用法律手段。</t>
  </si>
  <si>
    <t>2019/10/05 16:28:54</t>
  </si>
  <si>
    <t>前期因家庭变故，工作辞职，造成无法进行正常还款，联系客服进行协商还款未果，通过平台投诉进行反应问题，及贷商家并未给予协商处理现在父母正在帮忙凑钱进行一次性结清还款，今天有平台催收人员一直电话骚扰并且态度恶劣，在平台借款9000元，分为12期还款，现在已经还款4期，共计还款金额4214.52，剩余8期未还，，平台软件显示仍有未偿还金额为8429.4，现在贷款利率严重超出国家规定界限，并且平台要求必须在偿还6期之后，才可以申请提前还款，还有现在平台催收人员威胁说要联系我的亲朋好友进行协助还款，本人有还款意愿，只</t>
  </si>
  <si>
    <t>2019/10/05 16:28:33</t>
  </si>
  <si>
    <t>投诉人张女士投诉对象中信银行涉诉金额65000元问题类型诉求类型投诉详情中信银行，申请停息挂账，有工作人员让弄贫困证明申请停息挂账，弄了一个月，弄好了说没有这个规定，现在第三方机构又不认账。</t>
  </si>
  <si>
    <t>2019/10/05 16:28:26</t>
  </si>
  <si>
    <t>投诉人 王先生        投诉对象  招联好期贷        涉诉金额  1 380 元    问题类型    诉求类型投诉详情  欠款1300元 每天各种打电话发短信给亲戚朋友 领导 给我的生活带来很大不便 各种威胁 之前逾期了几天 也是发短信给家人 威胁起诉到法院公安 把家里人气病了</t>
  </si>
  <si>
    <t>2019/10/05 16:28:05</t>
  </si>
  <si>
    <t>投诉人 李先生        投诉对象  左右钱包        涉诉金额  0 元    问题类型    诉求类型投诉详情  714高炮软件，在趣花分期里面可以下载。</t>
  </si>
  <si>
    <t>2019/10/05 16:27:09</t>
  </si>
  <si>
    <t>未经允许打借款人亲戚朋友电话对他们进行骚扰。</t>
  </si>
  <si>
    <t>2019/10/05 16:27:01</t>
  </si>
  <si>
    <t>上海即分期使用短信验证码轰炸我造成了骚扰，并且打电话给我家里人。</t>
  </si>
  <si>
    <t>2019/10/05 16:25:24</t>
  </si>
  <si>
    <t>投诉人李海云投诉对象口袋钱包涉诉金额600元问题类型诉求类型投诉详情我从口袋钱包借钱，到最后一步了，他们系统显示我的资料不符，银行卡填错了，把我的资金冻结了，我就想问问你们擅自修改客户的资料，服务费也不快速返还客户手里，你们就是这么骗人的，希望聚投诉官方能快速解决我的问题，也打击打击那些非法单位。</t>
  </si>
  <si>
    <t>2019/10/05 16:25:23</t>
  </si>
  <si>
    <t>投诉人徐玉亮投诉对象滴滴出行涉诉金额0元问题类型诉求类型投诉详情滴滴出行平台自改口碑值后，宜兴的快车司机就不怎么接到订单了，现在的优享一天能跑四，五十单，而快车只能跑十几单，救一下每天在路上奔驰十四五个小时的快车司机吧！。</t>
  </si>
  <si>
    <t>2019/10/05 16:25:10</t>
  </si>
  <si>
    <t>投诉人林女士投诉对象招联金融涉诉金额400元问题类型诉求类型投诉详情本人在招联金融上面分期借款，最后几期由于家人生病，及本人9月份突发盆腔大出血手术住院了，出现经济问题，现经济困难所以逾期了还款，经过多次投诉及反应，要求延期还款，仍然遭到招联金融催收人员的短信威胁，恐吓侵犯隐私，这种催收骚扰恐吓威胁，侵犯隐私属于涉黑涉恶行为，请停止恶劣行为，协商延期还款。</t>
  </si>
  <si>
    <t>2019/10/05 16:25:03</t>
  </si>
  <si>
    <t>投诉人闫先生投诉对象苹果公司,快手,微信支付涉诉金额2792元问题类型诉求类型投诉详情在2019年10月4日晚上8点05分，我的苹果手机突然被锁定，显示指纹无法解除，我用密码解开后，微信支付提示我有一笔698元消费，刚要点开又被锁定，一共有4笔，我就知道我的账号被异地盗刷了，之后联系苹果客服，不管怎么给客服解释，让客服查消费记录，苹果的客服，经理，高级工程顾问都给我说无法退还我的钱财，微信客服也不对这事负责，我的苹果手机绑定的支付方式是微信支付，默认就是免密支付，对方把我的号盗走后便直接将我银行卡里的钱全都</t>
  </si>
  <si>
    <t>2019/10/05 16:24:49</t>
  </si>
  <si>
    <t>投诉人徐先生投诉对象蟹老弟涉诉金额2300元问题类型诉求类型投诉详情砍头息账单2300到账1700，催收联系说协商还款，给减免100的罚息，本人接受不了，就威胁我会上门处理，让我回老家一趟，我也提了我的意见，第一还掉本金和合法利息，第二在给我办个分期慢慢还，我没说一句不还，人家不接受威胁说那就上门，我想问问砍头息，威胁上门，这是合法的。</t>
  </si>
  <si>
    <t>2019/10/05 16:23:47</t>
  </si>
  <si>
    <t>之前在平台上投诉过拍拍贷，后来没有结案投诉内容就打不开了，拍拍贷真的是神通广大，之前催收人员对我的父亲进行连续骚扰，导致我父亲身体产生了不适，在被逼无奈的情况下，父母帮我东借西借凑了点钱，打算一次性还清拍拍贷，我致电客服不同意我一次性结清，催收继续对我继续恐吓威胁，说已经在我的通讯录帮我借钱有没有人把钱借给我，如果没有的话他说会在晚上10:30之后继续帮我借钱，，我对以上问题进行了投诉一直没有个合理的解释，客服就对我一次性结清给了个答复，共两笔借款14000使用了5个月，答应给我减免300多，可以一次性结清</t>
  </si>
  <si>
    <t>2019/10/05 16:22:51</t>
  </si>
  <si>
    <t>投诉人王先生投诉对象360借条涉诉金额1400元问题类型诉求类型投诉详情360借条催收部经理，电话引导我说出恶意欠款不还，让我自己承担责任，还要联系居委会告知我欠款不还，联系单位及身边亲朋好友，恶意引导我说出后果自负等话语。</t>
  </si>
  <si>
    <t>2019/10/05 16:22:17</t>
  </si>
  <si>
    <t>投诉人郭先生投诉对象新浪微博涉诉金额120元问题类型诉求类型投诉详情第一，我微博突然炸号，没有任何提示，第二,这是我用了8年的账号,现在也是会员,这样对待VIP3，第三,微博阳光信用分700+，属于极好信用，在此申请公正的聚投诉帮助维护合法权益，恢复微博账号的正常使用，在此谢谢工作人员了！。</t>
  </si>
  <si>
    <t>2019/10/05 16:22:10</t>
  </si>
  <si>
    <t>2019/10/05 16:21:15</t>
  </si>
  <si>
    <t>投诉人李女士投诉对象吉顺通,小当家,易起来,真多银涉诉金额10000元问题类型诉求类型投诉详情本人在这几个平台，多次申请借款，每次都扣取500至700砍头利息，或者还款收取高额利息，最后一次还款是协商本金加50到100不等还款，现国家不允许高额砍头息和高利贷存在，已经知悉，在70周年大庆之际，希望这几个平台赶紧退还我多次收取的砍头息和高额利息。</t>
  </si>
  <si>
    <t>2019/10/05 16:20:41</t>
  </si>
  <si>
    <t>借款2840.实际到账2200.平台需要我还2988.24。</t>
  </si>
  <si>
    <t>2019/10/05 16:20:30</t>
  </si>
  <si>
    <t>本人于2019年7月28日在贷上钱平台借款2000元捆绑商城权益包300元，商城权益包也不知道是干嘛用的，期限一个月到期还款2370多现在逾期41天要还2588，8月下旬本人因资金困难发生逾期，逾期后我给催收讲过10月10日还款，催收还未经本人同意不断恐吓骚扰我通讯录亲友给我生活造成困扰，前天我联系贷上钱客服协商还款，因本人要工作所以没接上电话，现请求贷上钱按国家正常利息走，给我减免多余费用协商结清所借款项。</t>
  </si>
  <si>
    <t>2019/10/05 16:19:39</t>
  </si>
  <si>
    <t>华夏银行的华彩生活APP活动“缤纷夏日越刷月有礼”活动，要求当月单日消费满88元的天数达到16天，下个月自收到中奖短信后可以领取200元话费券，2.活动细则说收到微信公众号文章之日起，本人8月份消费达标，本月理应获得200元话费券，在8月16日上午收到华夏银行关于中奖名单的微信公众号文章推送，13时本人登录华夏银行APP进行领取，系统提示输入手势密码，输入密码显示网络超时，无法登陆，立即拨打官方客服电话，客服回应“已记录，结果会在3-5个工作日给我回复，后接到客服反馈，给出的解释是：1.因为银行系统卡顿，所</t>
  </si>
  <si>
    <t>2019/10/05 16:19:03</t>
  </si>
  <si>
    <t>中信银行在本人无工作无收入情况下办法了信用卡，并在2019年1月，主动电话推销20万巨额借贷产品且分期费用极高，当时本人已在包括他行在内的各行负债几十万，无还款能力且不符合此借贷产品推销条件，本人第一时间沟通，申请停息持账，分5年按月还清，但与中信银行沟通多次均拒绝本人申请，这与国家相关规定不符，中信银行无视国家规定，不考虑持卡人偿还能力主动推销高额借贷产品的做法，无法得到本人的认同，停息挂账法律根据是依照《商业银行信用卡业务监督管理办法》第70条规定的：在特殊情况下，确认信用卡欠款金额超出持卡人还款能力、</t>
  </si>
  <si>
    <t>2019/10/05 16:18:57</t>
  </si>
  <si>
    <t>本人在中信银行信用卡中心逾期忘还钱！在当日2019年10月4号接到中信银行信用卡中心来电告知还款未处理！在旅游当中未听清具体讲的内容！于2019年10月5号接到中信银行信用卡中心所属外包公司来电告知下午5点必须要处理！不然联系三方和单位明显带有恐吓威胁！本人已经告知下午6点能处理！但是外包公司还在强调5点必须处理！不然可以试试！明显带有黑社会催收性质！望平台严肃处理！。</t>
  </si>
  <si>
    <t>2019/10/05 16:18:28</t>
  </si>
  <si>
    <t>拍拍贷发短信威胁恐吓，还要P图爆通讯录，严重影响正常生活。</t>
  </si>
  <si>
    <t>2019/10/05 16:18:15</t>
  </si>
  <si>
    <t>与客服沟通，客服说提前还清不减免利息，已上传聊天记录图片。</t>
  </si>
  <si>
    <t>2019/10/05 16:18:05</t>
  </si>
  <si>
    <t>京东金条逾期，无第三方催收沟通延时处理完成，催收不予协商，并威胁6点未处理寄送通知书，并拨打通讯录。</t>
  </si>
  <si>
    <t>2019/10/05 16:17:31</t>
  </si>
  <si>
    <t>投诉人黄凤桃投诉对象壹心分期涉诉金额1700元问题类型诉求类型投诉详情本人共借款俩次，每次借款1700元，到账1230元，砍头息470元，现本人无力偿还砍头息，只能负担本金销账。</t>
  </si>
  <si>
    <t>2019/10/05 16:17:29</t>
  </si>
  <si>
    <t>投诉人王先生投诉对象小花钱包涉诉金额1300元问题类型诉求类型投诉详情招联金融好期贷欠1300多元由于资金周转困难逾期将近20天每天各种打电话给亲朋好友发短信打电话严重影响我的生活工作还威胁我起诉到法院和公安。</t>
  </si>
  <si>
    <t>2019/10/05 16:17:21</t>
  </si>
  <si>
    <t>投诉人王女士投诉对象多宝分期,手机借钱涉诉金额9595元问题类型诉求类型投诉详情手机借钱app里的多宝分期申请6000，每期还2398.8两个月总共还9595.2，利息高达3595.2，存在严重的高利贷行为，要求调整还款周期，三期销账，后续不得进行骚扰。</t>
  </si>
  <si>
    <t>2019/10/05 16:16:40</t>
  </si>
  <si>
    <t>投诉人王先生投诉对象京东金融涉诉金额2745元问题类型诉求类型投诉详情本人在京东金融信用一直良好，有借有还，最近一段时间资金不足导致导致逾期，自己也在努力上班还钱，一有钱就还进去了，我承认逾期是我的不对，但是每次逾期费用我也掏了，没有说不给，催收人员要把事情搞大，捅到老家，公司，我接受不了，我的事我承担，逾期费用我也都给，只是暂时还没钱，催收方式收敛一下，而且京东金融系统也没说还全款，我就想知道这是谁的主意，客服还是催收，权力真的很大，我感觉比老板刘强东的话，说了还算数。</t>
  </si>
  <si>
    <t>2019/10/05 16:15:51</t>
  </si>
  <si>
    <t>投诉人余勇胜投诉对象拼多多涉诉金额7100元问题类型诉求类型投诉详情191001-0*************7191001-2*************5191001-0*************1191001-2*************2191001-2*************9191001-5*************0191001-6*************9191001-4*************6191001-4*************8191001-3*************919</t>
  </si>
  <si>
    <t>2019/10/05 16:15:10</t>
  </si>
  <si>
    <t>短信骚扰，用我手机号不停注册接收验证码，同时不断的来电言语骚扰，侮辱性言辞激烈，同时联系我的同事，用语粗俗侮辱性强。</t>
  </si>
  <si>
    <t>2019/10/05 16:14:30</t>
  </si>
  <si>
    <t>京东白条国庆期间仍暴力催收，骚扰不断，并且本人每个月都有还款非常有还款意愿，但是京东白条外包催收人员冒充公检法等事项如出一辙，可见贵司无视法律法规，无视客户权益，对客户威胁恐吓污蔑的同时仍然肆意妄为.甚至说上门催收，明示找人借款还他们款项等等.请相关监管部门严格查处并严肃处理.此事客户将追究到底.涉及电话号码073182861720因为不能上传通话记录，如有通话录音需要，本人会积极配合。</t>
  </si>
  <si>
    <t>2019/10/05 16:14:15</t>
  </si>
  <si>
    <t>本来没欠几个钱，我也打算全还了，但是态度极其恶劣，恐吓，威胁，无处不来，现在通知我不用还了，我想问问平台负责人，我这里都已经截图了，是不是我的账单不用还了，也请你们别骚扰我了。</t>
  </si>
  <si>
    <t>2019/10/05 16:13:59</t>
  </si>
  <si>
    <t>之前在哈尔滨通过滴滴合作的租赁公司购买了一台以租代购形式的网约车干了一年时间，后期由于一些原因将车辆卖掉了，这家租赁公司也也因为自身原因和滴滴平台接触了合作关系，后期平台将我们驾驶员管理权限变更到其他租赁公司，但是车辆还是属于原租赁公司，现在我将车辆卖掉了，自己来到青岛也想继续从事网约车司机，但是找到一家租赁公司租了车也考取了当地网约车资格证后，绑定成功辆时候发现显示已绑定其他车辆无法重新绑定车辆情况，打平台客服告知必须联系之前车辆所在车队解绑后才能重新绑定因为之前属于对公车辆而非私家车只能之前车队解绑，当</t>
  </si>
  <si>
    <t>2019/10/05 16:12:34</t>
  </si>
  <si>
    <t>你我贷催收威胁恐吓本人，我说本人在骑摩托车，稍微晚点在还款，他不予同意，说摔死也不关他的事。</t>
  </si>
  <si>
    <t>2019/10/05 16:12:24</t>
  </si>
  <si>
    <t>借据上写的借4160.实际到账3200.平台却将4160分12期还.要我总共归还4350.37。</t>
  </si>
  <si>
    <t>2019/10/05 16:11:34</t>
  </si>
  <si>
    <t>招联金融的催收人员，态度特别不好，反复说我找理由不还钱，语气挑衅，我已经说了，家里现在确实经济困难，短期内还不上钱，也说了只要合法，我接受你们的催收，我刚生完孩子，老公在外地，怀孕的时候就抑郁症，这些我家里人都知道。</t>
  </si>
  <si>
    <t>2019/10/05 16:11:26</t>
  </si>
  <si>
    <t>当时去丽江旅游，在机场有工作人员诱导消费办卡，说冲1500送1500，可以用来买高铁票，飞机票，后来回来一直没有用过，前段时间想起来了，想拿出来买高铁票，但是根本就不能用来买高铁票，而且飞机票比我买特价票还贵，只能每次用几十块钱的优惠钱，我们只是偶尔出去旅游坐飞机，这要让我们出去旅游几百次才能用完这里的3000块钱啊，当时也不说清楚就只能每次用卡里几十块钱，要说了我们也不会办这个卡，给客服打电话说退款，结果一直说处理中，这都三个月了，没办法我只能投诉了，而且之前也有人在网上投诉过类似经历，可见这个诱导消费上</t>
  </si>
  <si>
    <t>2019/10/05 16:10:55</t>
  </si>
  <si>
    <t>投诉人王先生投诉对象快闪卡贷涉诉金额5000元问题类型诉求类型投诉详情罚息过高，砍头息，之前工作人员态度恶劣，之后换了个工作人员。</t>
  </si>
  <si>
    <t>2019/10/05 16:09:59</t>
  </si>
  <si>
    <t>投诉人王先生投诉对象中国联通,江苏联通涉诉金额710元问题类型诉求类型投诉详情大约半个月前收到联通客服经理的来电，说我是老用户，我使用的99元冰淇淋套餐现在有活动，只要在网并保持现在的99元套餐两年，我就可以获得六百元话费，相当于我只要使用时不超出套餐的量，半年都不用自己交话费，我听着蛮划算的，所以昨天有空就到那个客服经理指定的地方过去办理了，说明来意后，工作人员跟我说这个还是蛮划算的，需不需要办，我说办理，办理后她让我拿出手机到付款界面选择花呗，我问为什么，她说为了防止我用不到两年联通公司会先冻结我相应金</t>
  </si>
  <si>
    <t>2019/10/05 16:09:49</t>
  </si>
  <si>
    <t>钱站砍头息，实际到账与合同金额不符，参考合同法第200条，借款人的利息服务费管理费保险费不得从借款人的本金扣除，如扣除以实际到手本金计算利息。</t>
  </si>
  <si>
    <t>2019/10/05 16:09:22</t>
  </si>
  <si>
    <t>投诉人 邢女士        投诉对象  小花钱包        涉诉金额  10 000 元    问题类型    诉求类型投诉详情  小花钱包恶意骚扰。多次k暴力催收恐吓盗用本人信息</t>
  </si>
  <si>
    <t>2019/10/05 16:08:45</t>
  </si>
  <si>
    <t>贷了四万，还了一年多了，每月还2000多，想提前还款还有五万多，这不是高利贷吗。</t>
  </si>
  <si>
    <t>2019/10/05 16:08:16</t>
  </si>
  <si>
    <t>逾期一天就到处打电话了，而且国庆节还没过完催收人员就上班了。</t>
  </si>
  <si>
    <t>2019/10/05 16:07:57</t>
  </si>
  <si>
    <t>这款手机在苹果官网已发布承认屏幕失灵的问题。</t>
  </si>
  <si>
    <t>2019/10/05 16:07:25</t>
  </si>
  <si>
    <t>9月20日在安全带通过app商店借3000到账3000元，本人在该平台借款数次利息已高达数千元本人在套路贷高额利息的压迫下已无力偿还，21天分3期还，每期还款1214，已经还了两期，本人前前后后在安全带借了七八次了，利息不知道交了多少，现最后一期实在是无力偿还了，申请销账！。</t>
  </si>
  <si>
    <t>2019/10/05 16:06:53</t>
  </si>
  <si>
    <t>由于本人现在没有那么多钱，无法一次性还清，信而富多次拨打通讯录，对通讯录的人造成影响，钱是我借的，跟别人没有关系，要求停止骚扰，而且在信而富买的卡也无法使用，要求退还。</t>
  </si>
  <si>
    <t>2019/10/05 16:06:50</t>
  </si>
  <si>
    <t>投诉人周女士投诉对象乐客独角兽涉诉金额9600元问题类型诉求类型投诉详情利用抖音平台诱导想要创业的年轻人和没钱很想赚钱的人，引流到微信一环扣一环进行诱导缴纳所为的“会员费”9600元，迟迟不给“会员”该享受的权益，他们现在已经把一部分抖音号变成了私密账号，已经有2万个人被骗了，请有关部门引起重视！。</t>
  </si>
  <si>
    <t>2019/10/05 16:06:42</t>
  </si>
  <si>
    <t>9月4日借款2000元，到期要求还款2660元，态度恶劣。</t>
  </si>
  <si>
    <t>2019/10/05 16:06:35</t>
  </si>
  <si>
    <t>投诉人刘女士投诉对象创客工具箱涉诉金额0元问题类型诉求类型投诉详情都不知道怎么回事就被打标，从来没骗过人做过什么坏事。</t>
  </si>
  <si>
    <t>2019/10/05 16:06:27</t>
  </si>
  <si>
    <t>拍拍贷，逾期了，拍拍贷工作人员跟我沟通过了，怎么还款，但我没有还款，如果今天几点几点，不还钱进来，我们会把你的资料公布给出借人，催收，我好想了解弄明白，我是在拍拍贷借钱的，出借人有什么条件来跟我谈还钱呢，又比如说，借款人跟出借人谈好了，不要借款人还钱了，这又关拍拍贷什么事呢，出借人追不回借出去的钱，等待拍拍贷客服们，领导们，给我上一课，真的很想弄明白。</t>
  </si>
  <si>
    <t>2019/10/05 16:06:25</t>
  </si>
  <si>
    <t>投诉人李先生投诉对象小浦优客涉诉金额296元问题类型诉求类型投诉详情没经过我同意私自扣款，我都不知道就突然扣钱了。</t>
  </si>
  <si>
    <t>2019/10/05 16:05:26</t>
  </si>
  <si>
    <t>9月2日，在水莲金条贷12000，分12期，第一期2282.78，第二期和第三期2038.2，后面九期金额1105.15，要求协商全款还款金额，提供结清证明。</t>
  </si>
  <si>
    <t>2019/10/05 16:04:00</t>
  </si>
  <si>
    <t>发短信威胁，恐吓，编造事实，对个人生活和精神造成严重的影响！。</t>
  </si>
  <si>
    <t>2019/10/05 16:03:32</t>
  </si>
  <si>
    <t>不给提现充值发任务金额，需要充值所谓合作商才能提现，提现扣除百分之15费用，高利贷都没这么高，这样的平台请有关部门处理，浪费大家时间，还有悬赏主充值金额不能提现，要弄什么合作商才行，开始都没说，再说这是我自己的钱，没用完，为什么不能提出来，希望能严肃处理他们，还有很多和我一样的，可以到百度去看，很多人都是这个问题，任务很久都没人做，还不让吧钱撤出来，弄各种套路，真是想钱想疯了，但是越是这样越挣不到钱，早点关门吧。</t>
  </si>
  <si>
    <t>2019/10/05 16:02:07</t>
  </si>
  <si>
    <t>在沟通无果后爆我通讯录，群发侮辱短信，恐吓，。</t>
  </si>
  <si>
    <t>2019/10/05 16:01:39</t>
  </si>
  <si>
    <t>玖富变相砍头息，参考合同法第200条，借款人的利息服务费管理费保险费不得从借款人的本金扣除，如扣除以实际到手本金计算利息。</t>
  </si>
  <si>
    <t>2019/10/05 16:01:23</t>
  </si>
  <si>
    <t>我10月1日早晨6点45在无锡地铁租来电充电宝，坐大巴前往浙江慈溪，但是到家发现没地方还，于是当天晚上与客服商量可不可以暂停扣费，当时已产生费用20元且我预计未来几天无法回无锡还充电宝，好说歹说同意暂停三天，但是昨天下午我想尽办法托人帮我去还了，发现实际扣费74，找客服也不理我，这是赤裸裸的欺诈，乱收费乱扣费，无视消费者权益。</t>
  </si>
  <si>
    <t>2019/10/05 16:00:48</t>
  </si>
  <si>
    <t>东亚银行信用卡委托第三方黑社会催收，无法跟银行正常沟通，都是第三方来恐吓，威胁，现已威胁家人，骚扰家人，通过电话及群发短信，对我已经造成困扰，现通过平台提出协商，愿银行能够接受沟通，而不是第三方再次骚扰，已经短信轰炸，电话轰炸。</t>
  </si>
  <si>
    <t>2019/10/05 16:00:31</t>
  </si>
  <si>
    <t>本人因在微粒贷上借钱周转，以至于现在没有偿还，总共加上利息5000多块钱！但是微粒贷现在有第三方人员上门催收，骚扰我的家人！我会还，没说不还，只是现在暂时没有钱，并且，我的卡现在用不了，也不给更换卡，现在我都是存进零钱包，他们自动扣除！并且都有还款记录在，现在竟然上门，对我造成极大的骚扰！还带来催收书，假装是法律文件，自己冒充法律专员！。</t>
  </si>
  <si>
    <t>2019/10/05 15:59:31</t>
  </si>
  <si>
    <t>本人前段时间在有钱花借了两万块钱，目前因资金周转不过来，大约有10几天逾期，然后他们就爆我通讯录，打电话威胁我爸妈，亲戚，朋友，导致我现在无法做人，希望他们不要再骚扰我爸妈。</t>
  </si>
  <si>
    <t>2019/10/05 15:59:23</t>
  </si>
  <si>
    <t>本人于2019.3.21日与2019.3.25日在改平台借到两笔贷款，下款后至今看不到相对应的贷款合同！客服解释称贷款之前可以看得到借贷合同，下款后便无法查询，未作出其他多余解释！我在该平台两笔分期账单，每期账单显示的还款本金均一致！按照等额本金利息计算方式，每月偿还同等数额的本金和剩余贷款在该月所产生的利息，之后账单金额应有所降低，但是该平台却不是，每月还款本金一致，利息一致，算下来的话年利率在50%-60%之间！平台客服只是一直说其平台利息是合法的，要求我按照平台上的账单金额还款，其余不作过多解释！现诉</t>
  </si>
  <si>
    <t>2019/10/05 15:58:42</t>
  </si>
  <si>
    <t>电话骚扰我，告知不要打，还是不听，还威胁我说，不告知什么的，走什么法律程序，如果还继续骚扰我的生活，我直接去银监会和消费者协会投诉。</t>
  </si>
  <si>
    <t>2019/10/05 15:58:19</t>
  </si>
  <si>
    <t>投诉人刘女士投诉对象通联支付涉诉金额296元问题类型诉求类型投诉详情未经同意莫名其妙扣款，客服联系不上，也不知道是什么app。</t>
  </si>
  <si>
    <t>2019/10/05 15:57:42</t>
  </si>
  <si>
    <t>投诉人何先生投诉对象拼多多涉诉金额88元问题类型诉求类型投诉详情我买了一个王者荣耀杀手不太冷，发现好久没到账，看评论好多说是骗子，我要退款，区的数量也不一样，还不给我退，还总发一句话。</t>
  </si>
  <si>
    <t>2019/10/05 15:57:36</t>
  </si>
  <si>
    <t>拍拍贷借款总额是2万9还了一千多了，昨天打电话让我一次性还款，说我欠款总额4万六，我都想知道了我借的总额2万9多出的钱哪里来的，分期还款每次还款利息都好几百，现在因为孩子住院没能力归还，打电话骂我家人，恐赫我80多岁的奶奶，骚扰我通讯录所有亲戚朋友不得安心。</t>
  </si>
  <si>
    <t>2019/10/05 15:57:22</t>
  </si>
  <si>
    <t>上海百华悦邦电子科技有限公司武汉分公司,百华悦邦，这款手机在苹果官网已发布承认屏幕失灵的问题。</t>
  </si>
  <si>
    <t>2019/10/05 15:56:21</t>
  </si>
  <si>
    <t>本人在360借条上查看额度，360借条直接跳出预约借款，未经允许直接放款到银行卡内，跟客服沟通不需要这笔借款希望撤销借款，客服说无法撤销，先发短信是让自己及时提现，这已经成为误导人去认为不提现就不会放款。</t>
  </si>
  <si>
    <t>2019/10/05 15:56:15</t>
  </si>
  <si>
    <t>10月3日，因工资到账，提现到银行卡，连续扣除两次款项：第一次314.52元，第二次1000元，截止10月3日，共计扣除款项3830.68元，现希望能够处理清楚，是走法律途径，还是协商，玖富公司已经蔑视我国宪法，公然挑战我国法律！应当受到法律制裁！。</t>
  </si>
  <si>
    <t>2019/10/05 15:55:13</t>
  </si>
  <si>
    <t>投诉人孙肖艳投诉对象银行客服涉诉金额6000元问题类型诉求类型投诉详情2019年10月4号晚上在中国银行吴中区开发区支行atm机存款，钱被吞了，银行工作人员一直推诿，没有人出来处理。</t>
  </si>
  <si>
    <t>2019/10/05 15:55:05</t>
  </si>
  <si>
    <t>投诉人朱女士投诉对象玖富万卡涉诉金额13010元问题类型诉求类型投诉详情借款合约明确写着借13010.而到款却只有10000.并且还按13010进行分期12期。</t>
  </si>
  <si>
    <t>2019/10/05 15:54:49</t>
  </si>
  <si>
    <t>投诉人程先生投诉对象微贷网,多米贷涉诉金额800元问题类型诉求类型投诉详情9月份微贷网多米贷借款4000，当时未仔细看，现在发现当时非要扣费800买了游戏币，并要求按照4000来还款，实际到账3200，期间与客服联系，态度一直不好，并不予解决，请问这是一个上市公司应有的态度吗。</t>
  </si>
  <si>
    <t>2019/10/05 15:54:39</t>
  </si>
  <si>
    <t>投诉人 李先生        投诉对象  小赢卡贷        涉诉金额  5 000 元    问题类型    诉求类型投诉详情  高利贷 随便写一下个人信息就下款，不负责任</t>
  </si>
  <si>
    <t>2019/10/05 15:54:27</t>
  </si>
  <si>
    <t>投诉人李想投诉对象ofo小黄车涉诉金额199元问题类型诉求类型投诉详情ofo现在并没有倒闭，但是押金却一直无法退还给消费者，而是以排队等候的方式给说法，我现在排在九百多万名，按照这个速度，还得等三年！！！。</t>
  </si>
  <si>
    <t>2019/10/05 15:53:39</t>
  </si>
  <si>
    <t>专卖店营业员虚假欺骗消费者商品真实折扣价，从中牟利，官方网站上明码实价4790折后2790价格，营业员虚瞒顾客，告诉只是打8折、折后价格3820，然后还告诉我尺码不合适只能换一次货，不能因为还不合适换第二次，我是外地人，买了冬装回家，尺码不行，又不能再试穿其他尺码，换货回来不合适为什么不能给我换第二次呢，邮寄费我自己出的，况且这么贵的衣服，不合身我又没穿过没弄坏，为什么不能再换一次！。</t>
  </si>
  <si>
    <t>2019/10/05 15:52:32</t>
  </si>
  <si>
    <t>捷信公司的利息太高了高的离谱，一开始我是办的手机分期，后来给我打电话说我有什么贷款额度，打电话核实身份什么的，我虽然知道是贷款但稀里糊涂就办下来了，后来发现很多人和我一样都是这样在他家有的贷款，我觉得这有点类似套路贷，开始时本金240000元，共分为42期，最后要还46000多，整整多付了22000元的利息，这太吓人了，我现在已经还了16期共是17552元，还要还28522元，如果提前一次性结清的话，我还需要还18000多元，而且客服说我之前还的17552元大部分都是利息，这18000多元是本金，太坑人了，</t>
  </si>
  <si>
    <t>2019/10/05 15:52:23</t>
  </si>
  <si>
    <t>投诉人彭先生投诉对象造艺科技涉诉金额299元问题类型诉求类型投诉详情在不知情的情况下扣取银行卡里的钱，盗取我的信息。</t>
  </si>
  <si>
    <t>涉诉金额1278元问题类型诉求类型投诉详情还款日当天，在联系的到本人情况下，还去骚扰通讯内家人朋友，，催收人员语言甚是强势，因此给家人工作生活环境造成一定得影响，这已经是第二次了，要求该平台催收员对次做出相应的解释，给借款人一个合理一个解释。</t>
  </si>
  <si>
    <t>2019/10/05 15:52:12</t>
  </si>
  <si>
    <t>美团点评,美团金融,重庆美团三快小额贷款有限公司，每天电话跟多，因为换了工作，所以逾期了，愿意承担所有利息费用，但是要延迟还款，不要联系家人，愿意约定还款日期。</t>
  </si>
  <si>
    <t>非法联系手机联系人，本人在信而富借款多次，每次借款都需要购买商品来激活借款额度，借款一千多要购买三百多的商品，期间购买过雨伞，墨镜，还有借款特权包，商品根本就是几十块钱的低档货，被卖到了三百多两百多，最后几次借款购买的宠物抵扣券、美食优惠券、优先特权包等等，共2600元左右，以前每个月的就不算了，要求退还费用，按国家规定利率还款，还有投诉中金支付为信而富收取砍头息，请求聚投诉帮助。</t>
  </si>
  <si>
    <t>2019/10/05 15:51:31</t>
  </si>
  <si>
    <t>小浦优客app申请借款，按步骤填写资料，然后最后要求绑定银行卡，绑定完成就开始审批，过了不久说是扣除296元个人信用报告费用，可是之前申请步骤并没有说明有这个费用，正规贷款也不应该有前期费用，涉嫌违规欺诈。</t>
  </si>
  <si>
    <t>2019/10/05 15:51:23</t>
  </si>
  <si>
    <t>信而富,宝付支付,富友支付,云南信托,前海数量，信而富以借款为由诱导用户购买他们出售的虚假产品，不购买他们出售的东西就不放款，并以虚拟物品不支持退换货为由拒绝退款，本人累计被迫借款12次，现在投诉也纯属无奈，已经被非法网贷逼得走投无路，现要求信而富为首的各个支付平台退还多收取的费用3000，本人将保留通过法律程序进行维权的权利，这种强制绑定销售诱导购买的行为跟抢钱没什么区别。</t>
  </si>
  <si>
    <t>2019/10/05 15:51:09</t>
  </si>
  <si>
    <t>投诉人廖先生投诉对象喵下贷涉诉金额1300元问题类型诉求类型投诉详情借款1300元，6天要还2000元，暴力催收，搔扰。</t>
  </si>
  <si>
    <t>2019/10/05 15:51:03</t>
  </si>
  <si>
    <t>本人京东老用户，一直以来京东金条与白天信用记录良好，10月5日收到电话提醒说一笔196元金条借款逾期，登陆京东金融一看确实有，因同月内有两笔还款，但京东金条不是统一日期还款的，所以给忽略了，马上进行还款后联系客服询问是否影响征信报告，并请求帮助消除不良记录，客服回复无法消除，这个就太不人性化了，现在各大金融贷款平台，信用卡那个没个还款宽限，本身也不是恶意逾期，谁恶意逾期百十来块钱，就因为这个影响征信报告，影响以后生活，多次跟客服交流无果，只能投诉解决。</t>
  </si>
  <si>
    <t>2019/10/05 15:50:40</t>
  </si>
  <si>
    <t>投诉人乐女士投诉对象有钱花涉诉金额3000元问题类型诉求类型投诉详情百度钱包找的外包公司人员，合伙骗取客户3000元，结果没有抵客户的欠款，不解决问题，还一直找不同的催收公司打催收电话，这种垃圾公司，请问你们是怎么办的，86216619‬这就是一家新的催收公司电话。</t>
  </si>
  <si>
    <t>2019/10/05 15:50:21</t>
  </si>
  <si>
    <t>投诉人柳先生投诉对象特约中归还款,特约中归涉诉金额100元问题类型诉求类型投诉详情十月二号莫名其妙被特约中归还款扣了五十十月四号又被特约中归还款扣了五十而且是在我不知道的情况下私自扣的款上面写的是POS机消费希望中归还款能给我退款解释。</t>
  </si>
  <si>
    <t>2019/10/05 15:50:13</t>
  </si>
  <si>
    <t>投诉人孙先生投诉对象借钱花涉诉金额2200元问题类型诉求类型投诉详情没有去借过款，却要求我还钱并说我已经逾期，本人并没有在对方提供的日期进行过借款操作，本人银行卡也没有相关流水，并且本人在本平台发现同样投诉该平台涉嫌伪造借款记录内容。</t>
  </si>
  <si>
    <t>2019/10/05 15:50:01</t>
  </si>
  <si>
    <t>投诉人 刘先生        投诉对象  旺卡猫        涉诉金额  199 元    问题类型    诉求类型投诉详情  平台无故扣去199费用 退款无用 希望能够退款</t>
  </si>
  <si>
    <t>2019/10/05 15:49:49</t>
  </si>
  <si>
    <t>本人一直使用兴业信用卡，最早办理电话推销升级贵白金卡，直接办理了升级，下卡后得知年费900元，通过客服的沟通得知年消费15万积分可返还年费，最开始因为都是商场刷卡消费，所以每年都是积分抵扣年费，去年开始发现这张信用卡我每个月还款金额很高但是积分却很少，才发现使用微信或支付宝类信用卡消费不算积分！从新办理了普卡后准备到期直接到期后自动作废，因为银监会规定未激活的信用卡不可以收取年费，但是今年9月初已经过期，新卡邮寄到后并未激活，10月收到短信通知收取年费900元。</t>
  </si>
  <si>
    <t>2019/10/05 15:48:47</t>
  </si>
  <si>
    <t>豆豆钱借款强制要求购买永安保险的保险，提前结清也不退回，现要求两家公司退回3笔保险费。</t>
  </si>
  <si>
    <t>2019/10/05 15:48:20</t>
  </si>
  <si>
    <t>本人在立借app月月借借款2100/借款分四期，每期7天，每期还款749.49元，本人已经偿还3期共2248.47元，先协商100销账，月月借客服打电话不同意协商处理，态度极其嚣张，本人已录音，还款还必须有走线线下，请平台可以帮我和对方沟通处理，以免对方对我进行骚扰，本人已报警，而且还款账户还要线下转账，对方账户为：中建。</t>
  </si>
  <si>
    <t>2019/10/05 15:47:48</t>
  </si>
  <si>
    <t>投诉人郑先生投诉对象金鸡下蛋,佑佑分期,任分期,金宝盆涉诉金额7700元问题类型诉求类型投诉详情金鸡下蛋：借款1400块，6天后需还款2000元，到期后本人暂无全额还款只能便续期了，自9月23日借款至今已续期3期，奈何资金压力巨大，现已将借款的金额全部还款平台，从9月23日到10月4日共计11天本人已经还了1500+900=2400元，希望平台能协商归还部分利息，支付宝为714高炮提供还款渠道714高炮还款都直接转入支付宝界面，由还款宝支付给不同平台商家，现要求支付宝对商家做出整顿处罚，对714高炮做出赔偿</t>
  </si>
  <si>
    <t>2019/10/05 15:47:38</t>
  </si>
  <si>
    <t>投诉人潘女士投诉对象英孚教育,广东英孚英语培训中心有限公司涉诉金额22999元问题类型诉求类型投诉详情1、本人有证据指明该销售顾问存在对课程内容不诚信表述、诱导网贷、侵犯消费者权益不给予阅读合同条款，、英孚在线教学系统的读音存在错误、付款后没有提供正规的税务发票依据等问题，已与2019年9月15日20:54分联系英孚热线4001815858，投诉并提出退款申请，本人多次邮件和电话联系英孚客服中心，郑重要求英孚尽快处理办妥退款申请，即取消第三方“招联”分期款项共人民币20699元额度，及退还支付宝首付的人民币</t>
  </si>
  <si>
    <t>2019/10/05 15:47:35</t>
  </si>
  <si>
    <t>投诉人王先生投诉对象造艺科技涉诉金额299元问题类型诉求类型投诉详情在没有明确告知用户下私自扣款诱导用户扣钱。</t>
  </si>
  <si>
    <t>2019/10/05 15:45:36</t>
  </si>
  <si>
    <t>下载了拇指下款APP，要求绑定银行卡，生成报告，未经同意私自扣款，也并没有提到服务费，也没有表明服务费的价格，因为贷款未成功所以删除了APP，过了几天未经本人同意私自扣款，希望能得到及时的处理，相信也有很多人都被这样骗了。</t>
  </si>
  <si>
    <t>2019/10/05 15:44:05</t>
  </si>
  <si>
    <t>已多次投诉砍头息高利贷暴力催收问题，到现在没解决，刚刚有催收打电话催收，我已说明我已还完到账八千元的本金和利息，剩下的四千元为快闪卡贷以手续费砍头部分和超出法律法规范围外的高利息，然后该催收员态度恶劣并威胁恐吓我会让征信并影响家人和小孩上学，现强烈要求停机骚扰并按法律法规进行销账和撤销不良征信问题，并对快闪卡贷作出处罚，对我进行赔偿。</t>
  </si>
  <si>
    <t>2019/10/05 15:43:44</t>
  </si>
  <si>
    <t>我在如期分期借了几千块，扣了我几百的砍头息。</t>
  </si>
  <si>
    <t>2019/10/05 15:42:56</t>
  </si>
  <si>
    <t>投诉人肖先生投诉对象点点通涉诉金额2709元问题类型诉求类型投诉详情2019年7月5日点点通借款1800多元三期每期还款903元已还两期1806元现点点通还款网站进不去联系不到客服造成恶意逾期请求只还本金跟合法利息。</t>
  </si>
  <si>
    <t>2019/10/05 15:42:26</t>
  </si>
  <si>
    <t>鼎信商务电话骚扰辱骂本人并威胁上门骚扰家人，本人与其公司并无债务纠纷。</t>
  </si>
  <si>
    <t>2019/10/05 15:41:48</t>
  </si>
  <si>
    <t>本人于年初办了一笔贷款，这两个月因工作不稳定影响收入来源，导致逾期，希望贵平台能放宽10天还款时间。</t>
  </si>
  <si>
    <t>2019/10/05 15:41:01</t>
  </si>
  <si>
    <t>钱夹子旅行app，非法高利贷，诱骗借款用户购买旅行卷实际无任何用处，希望退还旅游卷费用，从2017年开始到2019年，累计购买旅行劵花费5000元。</t>
  </si>
  <si>
    <t>2019/10/05 15:40:38</t>
  </si>
  <si>
    <t>骚扰手机通讯录，侵犯个人隐私权，并且不接受任何协商。</t>
  </si>
  <si>
    <t>2019/10/05 15:40:29</t>
  </si>
  <si>
    <t>投诉人余女士投诉对象魔借涉诉金额10000元问题类型诉求类型投诉详情我从魔借平台借款总额是8558元，最后到账只有6000元左右，我分的9期，一期1033元，黑网贷。</t>
  </si>
  <si>
    <t>2019/10/05 15:39:54</t>
  </si>
  <si>
    <t>投诉人王女士投诉对象喜鹊快贷涉诉金额10000元问题类型诉求类型投诉详情本人因资金周转困难，在给你花平台申请了喜鹊快贷10000元，分12期每期还款1263.32.已还3期，最近生活有点困难，第4期逾期了！恳求贵公司宽数几日，对方拒绝！开始电话爆催，微信进行威胁！本人去看了合同才发现本人只借10000.合同上却写了我借了本金13699元➕利息合计还款14337，85元，喜鹊快贷涉嫌虚假合同已经严重超过了国家规定率。</t>
  </si>
  <si>
    <t>2019/10/05 15:39:31</t>
  </si>
  <si>
    <t>投诉人周女士投诉对象钱站,华夏银行涉诉金额3000元问题类型诉求类型投诉详情高利贷，借两千分三期要还三千多，利息太高，暴力催收。</t>
  </si>
  <si>
    <t>2019/10/05 15:38:30</t>
  </si>
  <si>
    <t>我是一名宝妈，我是2017年3月和8月接受了浦发银行推荐的万用金贷款，共26万，我2018年10月因为生孩子，没有工作了，但是我还是想尽办法去还款，但是截止2019年9月我真的没有还款能力了，我希望浦发银行能给我一次机会，停息挂帐来让我还款，我也想过拿命赔给银行可我又舍不得孩子，每天两三个电话，要告我要让我坐牢，我孩子也不能上学，我真的快崩溃了。</t>
  </si>
  <si>
    <t>2019/10/05 15:38:06</t>
  </si>
  <si>
    <t>投诉人 梁先生        投诉对象  豆豆钱,维信金科        涉诉金额  880 元    问题类型    诉求类型投诉详情  豆豆钱没有标明要扣担保金 只是有个匹配出资方 我就点进去借款了 谁知道下款后突然自动扣了880元 希望豆豆钱退还这个砍头利息我 谢谢</t>
  </si>
  <si>
    <t>2019/10/05 15:37:08</t>
  </si>
  <si>
    <t>在玖富万卡借了一笔钱，随便在平台写一下个人信息。</t>
  </si>
  <si>
    <t>2019/10/05 15:36:24</t>
  </si>
  <si>
    <t>该网贷平台为手机借款提供的产品，APP后台没有合同项目无法查看，只在PPT中显示需要还款金额，借款6000元30天却需要还款10000元，现在我国检察这么严格，竟然还有平台如此猖狂！诉求：按照正常利率还款，请勿电话骚扰。</t>
  </si>
  <si>
    <t>2019/10/05 15:35:14</t>
  </si>
  <si>
    <t>9月27号下载小铜钱app，按照要求填写完内容，未发现有“风险评估缴费”一项，后感觉没什么作用，随即就卸载了，可是，9月30号清晨，发来信息分三次扣除我299元风险评估费，风险评估费是什么。</t>
  </si>
  <si>
    <t>2019/10/05 15:34:51</t>
  </si>
  <si>
    <t>未经本人同意就私自扣款296元，我没有同意该平台查什么报告，也没有任何提示，就验证了基本身份信息就私自扣款，该平台客服电话不是无人接听就是通话中，第三方支付是通联支付，本来就资金紧张还被乱扣费，要求平台退款。</t>
  </si>
  <si>
    <t>2019/10/05 15:34:29</t>
  </si>
  <si>
    <t>在闲鱼上和朋友拼单买到了嘉娜宝防晒的假货，当时出于信任，包装也没开，就直接确认收货了，后面我朋友告诉我她用起来不对，然后我就去检查一下，发现是假货，因为我自己有真的，对比之下发现她给我的是假的，于是我就去找她协商处理，她一直对我爱答不理，毕竟钱已经到了她的口袋，然后我就跟闲鱼客服举报她，成功了，终于她跟我协商解决，但是她开口就是污蔑我偷换他东西，问题是我买了他三个，我怎么偷换呢，而且他东西是有实拍图的，二维码和生产批号都在上面，然后他就马上把他的闲鱼宝贝图删除了，我就说他心虚，他就把我拉黑了，我把所有证据已</t>
  </si>
  <si>
    <t>2019/10/05 15:34:10</t>
  </si>
  <si>
    <t>使用闪银很多年了，在用闪银的这段时间，闪银所推出的产品一直都是变相在借款中附加收费，包括所谓的什么白条条款，改版前还有在借款时必须购买什么申请资格也就是什么霸王通道才能进行借款，在申请审核通过后会在所申请下款的金额中扣去这一部分钱，还有收取所谓的服务费，拒必赔等等的，这些都是变相套路贷利息，现在就我在账单上能够查询的到的闪银变相收取我的利息就高达人民币7000多元，借短期六个月，利息就高达一千多，而且这只是可以看到的，还有很多钱变相套路走，我要投诉闪银，退回我支付的所有不合理利息及变相收取的费用。</t>
  </si>
  <si>
    <t>2019/10/05 15:34:07</t>
  </si>
  <si>
    <t>被引诱到一个*充值入金127700元，后来发现是*部不正规平台，并非正规的购彩*，和支付清算协会沟通得知第三方支付业务应审核客户的相关信息，第三方支付业务公司不得向证券，期货，博彩等机构提供支付结算业务，本以为通过云闪付正规线上支付是正规*机构，后来才知道是非法*平台，通过中国人民银行，中国银联，和支付清算协会沟通得知，第三方支付业务应审核客户的相关信息，第三方支付业务公司不得向证券，期货，博彩等机构提供支付结算业务，作为有牌照的支付公司没有履行国家结算通道的义务，即产生了非法洗钱的嫌疑，金融机构客户身份识</t>
  </si>
  <si>
    <t>2019/10/05 15:33:57</t>
  </si>
  <si>
    <t>显示已有额度要付费199元下款，付费之后根本没有下款而是推荐了其他的贷款。</t>
  </si>
  <si>
    <t>2019/10/05 15:33:56</t>
  </si>
  <si>
    <t>壹心分期为非法高利贷平台，在本人不知情的情况下，未经过本人准许私自扣取银行卡金额，目前壹心分期的还款扣款通道为易宝支付，。</t>
  </si>
  <si>
    <t>2019/10/05 15:33:13</t>
  </si>
  <si>
    <t>本人在自由魔卡里提供的超级马力贷，借款2000元，以收取会员费为由变相砍头500元，借款期限30天，到期还款2060，即总利息560元，现希望客服联系我协商解决，本人有还款意愿。</t>
  </si>
  <si>
    <t>2019/10/05 15:32:57</t>
  </si>
  <si>
    <t>借款15000元，已经还了15430.89元，要求减息，app显示还要还4968.63元，还暴力催收，恐吓，一天催好几次，催收态度十分恶劣，客服不能解决问题，只是一味的说上征信，要求赔偿精神损失费，道歉，否则法院见，。</t>
  </si>
  <si>
    <t>2019/10/05 15:32:27</t>
  </si>
  <si>
    <t>本人在自由魔卡app上申请六便士借款2000元，六便士以强制购买vip才能下款，收取540的高额砍头息，借款期限30天要还款2060元，完全不符合国家相关法律法规的规定，并且本人在2019年10月5日早上在聚投诉网站对六便士，自由魔卡进行投诉，六便士和自由魔卡并没有派专人联系我，但是六便士直接派催收人员恐吓威胁我全额还款，并声称他们600元利息是合法合规的不给我协商的余地，而支付宝大有茗器和微信支付三水深业为高利贷提供支付渠道，现要求按合法利率＋本金还款销账，并且停止暴力恐吓的催收。</t>
  </si>
  <si>
    <t>2019/10/05 15:32:14</t>
  </si>
  <si>
    <t>借款4000，合同显示3990，实际到账3000，要还4800多，这算利率50%以上，变相收取高额利息违反相关规定，要求调整利率！。</t>
  </si>
  <si>
    <t>2019/10/05 15:31:40</t>
  </si>
  <si>
    <t>本人今天在美团订了一间房，但是今天因为行程改变去不了了，我和店家打电话沟通过了，对方也说退不了，但是美团的客服告诉我是店家不予退款，但是款项明明就没到店家,是美团不退款，现在本人要求马上退款给我。</t>
  </si>
  <si>
    <t>2019/10/05 15:31:22</t>
  </si>
  <si>
    <t>2019/10/05 15:31:15</t>
  </si>
  <si>
    <t>投诉人 柯先生        投诉对象  玖富        涉诉金额  0 元    问题类型    诉求类型投诉详情  每个还款期自动扣款之后还不停打电话来骚扰。严重影响生活和工作</t>
  </si>
  <si>
    <t>2019/10/05 15:30:18</t>
  </si>
  <si>
    <t>投诉人 李先生        投诉对象  小米金融        涉诉金额  18 000 元    问题类型    诉求类型投诉详情  根据我的实际情况还款</t>
  </si>
  <si>
    <t>2019/10/05 15:29:29</t>
  </si>
  <si>
    <t>金鸡下蛋,威力贷,随你分期,易用贷,容E转。</t>
  </si>
  <si>
    <t>2019/10/05 15:29:28</t>
  </si>
  <si>
    <t>因公司倒闭破产，之前在万达普惠借贷的几千块钱导致逾期，正逢国庆放假，万达普惠的催收从早到晚电话不断！铺天盖地！语气态度极其恶劣！。</t>
  </si>
  <si>
    <t>2019/10/05 15:28:47</t>
  </si>
  <si>
    <t>在微信活动平台买的产品，三天前显示发货了，今天一查没有任何物流记录，也联系不上商家，申请退款就让联系客服，可是客服也不予理睬，现在没人帮我解决处理这件事情。</t>
  </si>
  <si>
    <t>2019/10/05 15:28:08</t>
  </si>
  <si>
    <t>投诉人 刘先生        投诉对象  想有钱,佑佑分期,速赢分期,金宝盆        涉诉金额  6 000 元    问题类型    诉求类型投诉详情  想有钱 佑佑分期 速赢分期 金宝盆 今天到期当天 就爆通讯录 侵犯隐私 P图 恐吓 黑社会 没有法律了吗 还扬言不怕警察 没人管吗</t>
  </si>
  <si>
    <t>2019/10/05 15:27:47</t>
  </si>
  <si>
    <t>在申请贷款的时候没有提醒会扣除保险的选项，在申请完毕后直接就扣掉1197元，强制买了一个什么半年的意外险，保险内容和其他几百元的半年意外险没有任何的区别，属于恶意捆绑高价保险，并且不经过当事人的任何同意或者确认。</t>
  </si>
  <si>
    <t>2019/10/05 15:27:46</t>
  </si>
  <si>
    <t>投诉人 马先生        投诉对象  来花花        涉诉金额  600 元    问题类型    诉求类型投诉详情  借款1400 三天通知还款 并且上面告诉我有600元的利息</t>
  </si>
  <si>
    <t>2019/10/05 15:26:59</t>
  </si>
  <si>
    <t>本人未与该平台有任何业务往来，今天突然发了一条短信过来，称我贷款有逾期，与我多次沟通，但本人并未收到他们的任何联系，他们说已调取本人近三个月联系人及工作单位，，在1个小时后就会群发加工处理的手持身份证照片以及人脸识别视频威胁我，2小时内未归还就联系我户籍地的村委会，后来我通过电话及微信跟对方取得了联系，在沟通的时候对方说他是大黄蜂催收的，说我有逾期，但借款APP已经被举报，给我发来链接，让我在APP上进行还款，我下载APP安装好后，该APP为急用钱APP，对方表示我是在8月30号借了，3000，到账1800</t>
  </si>
  <si>
    <t>2019/10/05 15:26:52</t>
  </si>
  <si>
    <t>都和催收人员协商了，等朋友还我钱就处理，逾期利息我也愿意出了，然后叫我去给亲朋好友借，我说借不到，就打骚扰亲朋友好友，我又不是没有接电话。</t>
  </si>
  <si>
    <t>2019/10/05 15:26:35</t>
  </si>
  <si>
    <t>账号一直登不进，借了300还款200多了还有175登录不进去还不了今天一直电话骚扰。</t>
  </si>
  <si>
    <t>2019/10/05 15:26:25</t>
  </si>
  <si>
    <t>扣我150，刚才打电话没接到，麻烦再打一次，我在等电话，谢谢，。</t>
  </si>
  <si>
    <t>2019/10/05 15:25:44</t>
  </si>
  <si>
    <t>未协商发散个人隐私！骚扰朋友家人！请求帮助。</t>
  </si>
  <si>
    <t>2019/10/05 15:25:35</t>
  </si>
  <si>
    <t>发图威胁我，已经属于暴力催收了，威胁我，威胁朋友。</t>
  </si>
  <si>
    <t>2019/10/05 15:25:31</t>
  </si>
  <si>
    <t>由于资金出了问题没有还上，协商没成功，微粒贷就找第三方不停的打电话。</t>
  </si>
  <si>
    <t>2019/10/05 15:25:18</t>
  </si>
  <si>
    <t>实在无法承受如此砍头息高利贷，愿意退还本金，绝不会承担600元违法砍头息。</t>
  </si>
  <si>
    <t>2019/10/05 15:25:11</t>
  </si>
  <si>
    <t>投诉人凌先生投诉对象聚福钱包,上海造艺网络科技有限公司涉诉金额50元问题类型诉求类型投诉详情聚福钱包申请提示绑卡，后被扣除卡内50元，后提示匹配借款，借款未成功，联系客服后，客服拒不退款，还提示有200多元未扣款，现要求该平台立马退还被扣费用，做出解释！附匹配未成功截图，及平台客服电话，扣款记录和客服关于退款官方回复！。</t>
  </si>
  <si>
    <t>2019/10/05 15:25:09</t>
  </si>
  <si>
    <t>你我贷借款1号到期，国庆节放假由于家里特殊情况，给催收说收假就想办法处理，罚息自主承担，催收人员直接微信爆通讯录，就差几天就这样暴力催收，请求解释！并且有录音说是委托的第三方！。</t>
  </si>
  <si>
    <t>2019/10/05 15:24:22</t>
  </si>
  <si>
    <t>总还款金额4744.2，现还了7期，还了2767.45元，咨询客服，客服说手续费279.96，风险保障费791.76元，我希望拍拍贷能够归还我这部分手续费及风险保障费。</t>
  </si>
  <si>
    <t>2019/10/05 15:24:20</t>
  </si>
  <si>
    <t>投诉人凌先生投诉对象诺和信用计划,自由魔卡涉诉金额2410元问题类型诉求类型投诉详情自由魔卡借款平台内有一诺和信用计划借款，本人于9-6号借款2000，后提示购买会员才能放款，前期支付350后放款2000至本人银行卡，10-5号被告知需还款2050，短短一个月时间，其费用为350+50也就是400的利息，这远远超过了国家合法利息，纯属高利贷，套路贷，而且在网上看到此平台有暴力催收迹象，逾期一天不仅会有逾期费用，还会调取借款人通话记录，乱打通话记录！因此，本人感到及其不安，还恳请平台主持公道！。</t>
  </si>
  <si>
    <t>2019/10/05 15:24:05</t>
  </si>
  <si>
    <t>等两家有支付牌照的支付公司为违法赌博网站提供第三代支付平台。</t>
  </si>
  <si>
    <t>2019/10/05 15:24:01</t>
  </si>
  <si>
    <t>9月11号我在人人花上根据流程就注册了一下资料，添加了银行卡，看了一眼人人花平台推荐的大多数是国家明令禁止的高利贷，就删除了，然后过了一两天，被安庆盛通信息科技有限公司通过POS扣走了288元接到短信通知后想看看怎么回事的时候，连人人花APP都登录不进去了，也就是说我连一点实质性的信息或者收益都没有看到就被扣款。</t>
  </si>
  <si>
    <t>2019/10/05 15:23:44</t>
  </si>
  <si>
    <t>月初了要扣月费了，在帮老公充费的时候点错了之前保留的手机号182******97，此号我老公已经注销几个月了，后续我发现了充错了的情况，微信客服表示无法退款，我想说的是，此号第一现在是空号，没有人开户使用，第二就算银行或者其他机构充值错误都可以调账退款，只有微信霸王条款说退不了，此号明明都没人开户使用，还是一个未开通的状态，不存在和其他客户会存在调账的情况下，还是不予退款！虽然100块不多，但是我实在接受不了微信客服的处理方案，这种霸王条款，钱只能进，不能退！不能保证售后要么就不要开通充值功能！要是不予处理</t>
  </si>
  <si>
    <t>2019/10/05 15:23:40</t>
  </si>
  <si>
    <t>投诉人孙先生投诉对象你我贷涉诉金额6000元问题类型诉求类型投诉详情根据国家规定除本金之外所有费用均属于利息你我贷平台借款之后在账单中添加高额服务费在我上次投诉之后并没有与我沟通协商且催收多次骚扰我的家人朋友现我要求按照本金6000月息百分之二根据实际使用月份进行一次性还清本息。</t>
  </si>
  <si>
    <t>2019/10/05 15:23:30</t>
  </si>
  <si>
    <t>5月份买的新电脑，出现问题，刚修过又出现问题，电脑待机一个小时不到，上次修的主板。</t>
  </si>
  <si>
    <t>2019/10/05 15:22:52</t>
  </si>
  <si>
    <t>投诉人 卓先生        投诉对象  光大银行        涉诉金额  0 元    问题类型    诉求类型投诉详情  办理光大银行信用卡 跟业务员联系好位置 做了几个小时车到达 业务员直接删除微信 微信询问 删了也不知道高速一声吗 业务员直接辱骂我 光大信用卡的业务员都这么厉害吗 北京地区</t>
  </si>
  <si>
    <t>2019/10/05 15:22:45</t>
  </si>
  <si>
    <t>投诉人王女士投诉对象小花钱包涉诉金额25000元问题类型诉求类型投诉详情小花钱包贷款逾期两天开始暴力催收未经本人允许打扰我的父母朋友。</t>
  </si>
  <si>
    <t>2019/10/05 15:22:28</t>
  </si>
  <si>
    <t>本人在快易熊贷款最后一期时app登录不上，不能还款，老是还款失败，主动找客服还款，客户当时语音告诉我发电话姓名，然后我把钱转完了，告诉我没有备注姓名电话，要求我重新还款，我告诉他已经还完了，他强烈要求让我再还一遍，我告诉他让他把钱退我我重新备注他表示不可能，威胁我要起诉我，爆我通讯录，现在几分钟一个电话，我的家人也收到了骚扰。</t>
  </si>
  <si>
    <t>2019/10/05 15:22:11</t>
  </si>
  <si>
    <t>9.28想在钱橙无忧app上先填资料绑定银行卡，之后借款失败就把app卸载了。</t>
  </si>
  <si>
    <t>2019/10/05 15:22:04</t>
  </si>
  <si>
    <t>投诉人 冯先生        投诉对象  造艺科技        涉诉金额  299 元    问题类型    诉求类型投诉详情  造艺科技扣款了299，。刚才打电话没接到，麻烦再打一次。</t>
  </si>
  <si>
    <t>2019/10/05 15:21:42</t>
  </si>
  <si>
    <t>本人于2019年9月04日在信用管家平台里面的金钱保，借款为3375，一个月分四期还共需4605，七天一期，一期还款金额为1151.47，已还三期，严重超出国家利率，放款方是畅捷支付，也违规提供支付通道。</t>
  </si>
  <si>
    <t>2019/10/05 15:21:24</t>
  </si>
  <si>
    <t>投诉人王先生投诉对象浦发信用卡涉诉金额270000元问题类型诉求类型投诉详情要求永久封卡停止高额利息和违约金，由于做生意投资失败，消费了浦发信用卡额度以及万用金，目前难以偿还，主动找浦发信用卡单位协商分期还款，但是工作人员给的结果实在无法接受，2019年7月份实际欠款总金额为269713.20，短短3个月就涨到315580.51元，每个月15000的速度递增，年化利率达到60%以上，太可怕了，这是银行吗，比民间高利贷还黑，请求贵公司减免利息和罚息，给我一个合情合理的数额我做分期还款要求永久封卡停止高额利息和</t>
  </si>
  <si>
    <t>2019/10/05 15:20:26</t>
  </si>
  <si>
    <t>朋友于2019.10.5在360借条APP申请贷款，由于卡号填写错误，联系在线客服，客服以回档为由，收取5000元费用，分别通过支付宝向第三方商户“腾岳车业”转账人民币4000元和1000元，如果此事没有人出面解释澄清或者承担相关费用，将直接向315和银监会进行实名举报，举报360借条公司非法收取客户费用，同时向上海当地警方进行实名报案，由于聊天记录较多，特选取转账记录以及涉嫌诱导转账的截图予以公示。</t>
  </si>
  <si>
    <t>2019/10/05 15:20:08</t>
  </si>
  <si>
    <t>美团催收拿私人打电话提醒还款，因上班在忙，抽空处理了，没处理完，再次打电话来已说明当时忙，等忙完会立即处理，但催收人员态度恶劣侮辱要求立即处理，且换着电话打过来，一个下午不停打电话进行骚扰。</t>
  </si>
  <si>
    <t>2019/10/05 15:19:54</t>
  </si>
  <si>
    <t>投诉人 李先生        投诉对象  51人品        涉诉金额  400 元    问题类型    诉求类型投诉详情  没有打本人电话，直接联系通讯录好友。暴力催收。</t>
  </si>
  <si>
    <t>本人在14点49分完成还款还被进行催收！！！催收人员直接念着他的战绩，还在威胁让我所有好友不得安宁，，没有反映再加把火！！！本人被逼到承诺20分钟内还款，还是被催收人员辱骂公司同事，占领公司座机，骚扰公司领导，2、宝易支付公司助纣为虐，贷上钱公司放款2000元收取660元利息，超级高利贷下面由宝易支付进行保驾护航，为高利贷提供温床，为催收人员收取费用！！为黑色会服务，让一个违法公司逍遥法外，并且在聚投诉有12万条投诉情况下，宝易支付还在为黑社会服务，3、贷上钱公司弄虚作假，工商、公安无法找到该公司，本人拨打</t>
  </si>
  <si>
    <t>2019/10/05 15:18:53</t>
  </si>
  <si>
    <t>夸大其词说钱很好赚，欺骗我们加入，但他们那些项目很很难做，我五分月到现在10多月份没有赚到一分钱，交了9800的会费也不给退，他们要我们交钱的时候没有说明不能退，隐瞒了重要信息。</t>
  </si>
  <si>
    <t>2019/10/05 15:18:36</t>
  </si>
  <si>
    <t>本人今年2月份生活困难，在闪银科技上借款了3笔钱，然后有一笔2000的，2笔一千的，但是我在平台下款的时候，扣好多费用，2000的到账只有1600，1000的贷款到账只有700多，很多扣款，这是明显的砍头息现象，我希望通过聚投诉，赶紧把我砍头息的钱还回来，。</t>
  </si>
  <si>
    <t>2019/10/05 15:18:12</t>
  </si>
  <si>
    <t>建设银行信用卡，无故注销本人信用卡，全盘打乱了本人用卡，刷卡还款的计划，逾期中，资金周转本来一直处于紧张状态，注销本人卡片，未经本人同意擅自做主，作为消费者完全被银行霸王条款欺压，本来已经不追究，现在委托外包催收骚扰到家里去了，看来需要到消费者去维权了，现在网络舆论压力才能让这些事情曝光，外包催收公司态度恶劣，他们代表了建设银行的话语权。</t>
  </si>
  <si>
    <t>2019/10/05 15:17:45</t>
  </si>
  <si>
    <t>因为套路贷立案处理，资金周转困难，向苏宁客服协商延期还款，遭到催收恶意爆通讯录，到处打联系人电话，质问联系人和我的关系，在联系本人时态度恶劣，嚣张，恐吓成份，本人有意协商还款时间，遭到辱骂质疑，联系上苏宁客服后，没有及时处理，催收依旧她的辱骂行为！。</t>
  </si>
  <si>
    <t>2019/10/05 15:17:40</t>
  </si>
  <si>
    <t>投诉人申华投诉对象滴滴出行涉诉金额5000元问题类型诉求类型投诉详情服务分改成口碑值后坑害了多少司机，我昨天在线10几个小时居然时长分还扣了，请问平台，你是要司机24小时在线吗，你们现在完全就是漠视所有优享车的生命安全，优享每天单子停不下来，个个都是不要命的去做，个个都是疲劳驾驶，可是快车司机呢，快车的出路在哪里，两小时一单，三小时一单，比比皆是，所有的快车单也优先派给新老优享了，平台这是完全不顾快车的死活！用丧心病狂来形容滴滴平台一点不为过分，柳青，睁大你的眼睛看看，再这样下去，辛苦打下的江山将要拱手相让</t>
  </si>
  <si>
    <t>2019/10/05 15:17:36</t>
  </si>
  <si>
    <t>借款3000到帐2100每个月分期1050.25利息高出了国家规定的好多倍了！希望让人少受伤害，怎样的平台真的少碰较好，天天发信息给你叫借款，等借了后才知道啊利息高的太离谱了，让普通不懂法的老百姓深受高利贷中?.，让根多的人明白什么是高利贷，阴阳合同，让我我们明明白白的知道。</t>
  </si>
  <si>
    <t>2019/10/05 15:16:58</t>
  </si>
  <si>
    <t>打通热线客服并没有给我退款，发送的退款链接也没有用。</t>
  </si>
  <si>
    <t>2019/10/05 15:16:50</t>
  </si>
  <si>
    <t>青岛万腾达资产联系我清偿之前蓝领贷债务本金1000元，因当初蓝领贷在还款日当天便暴力催收所以我一直没有结，当时轰炸我的通讯录对我造成极大影响，因万腾达催收态度良好便与对方自称经理的一名催收人员协商还款本金为当初蓝领贷发放到我手中的贷款金额880元，还款后对方又称必须还款1000元才能销账，我要求和他们经理联系也没有任何工作人员提供联系方式或帮助我取得联系，两名催收人员以各种理由推脱责任。</t>
  </si>
  <si>
    <t>2019/10/05 15:16:26</t>
  </si>
  <si>
    <t>你我贷，说了今天发工资处理，30分钟一个电话，这个催收跟白痴一样听不懂人话，还非要几点几点，我是发工资的啊。</t>
  </si>
  <si>
    <t>2019/10/05 15:16:20</t>
  </si>
  <si>
    <t>由于送货时效超时导致无法收货，卖家私自扣款，没有人管。</t>
  </si>
  <si>
    <t>2019/10/05 15:15:54</t>
  </si>
  <si>
    <t>您好：之前用了一笔用钱宝平台借款，且贷款已还清，联系客服：客服称需要3个月之后才能注销账号。</t>
  </si>
  <si>
    <t>2019/10/05 15:14:56</t>
  </si>
  <si>
    <t>8月28日，接到滴滴派发的订单时，电话联系乘客，乘客确认上车，送完乘客完毕后，该该该订单一个多月过去了，滴滴未及时支付费用给到司机，通过电话跟乘客沟通，让乘客支付费用，乘客表示已将车费支付给滴滴出行，但是滴滴收到车费后未及时支付给司机，要求滴滴出行给出我们，血汗钱。</t>
  </si>
  <si>
    <t>2019/10/05 15:14:17</t>
  </si>
  <si>
    <t>万，可兼职当副业，微信朋友圈各种套路吸引小白创业者，还请一些优秀会员分享月入10万秘籍教学等吸引创业者2、缴费加入会员后，乐客无售后服务，不履行合同，各种推脱不解决会员诉求，截至目前，本人要求其解决的变更合同主体问题仍无人解决3、会员缴费后，我所知乐客并未开具发票，有偷税漏税嫌疑本人诉求：退会员费。</t>
  </si>
  <si>
    <t>2019/10/05 15:13:44</t>
  </si>
  <si>
    <t>钱站app阴阳合同借款2000到账2000合同被改成借款2800到账还是2000是网络套路贷2019.08.04第一期已还款983.85第二期2019.09.01已还款986.67全有银行相互转账记录证据第三期986.68未还款属于超出国家规定的利率且该平台发送威胁短信不到千元一天违约金罚息高达一百多请曝光次平台，本人将与北京公安报警备案并微博@该平台代言人打虚假广告坑害消费者。</t>
  </si>
  <si>
    <t>2019/10/05 15:13:06</t>
  </si>
  <si>
    <t>本人2017年贷了个一万整24期，由于工作原因导致最后俩期逾期，我又不是不还，我现在手机费都没了有钱不还给你们吗，打不通就天天电话骚扰家人，所谓的正规公司，马上消费金融，暴力催收，，骚扰家人，亲友，这就是马上消费金融的真面孔，不作出道歉，不会善罢甘休！这根本就是在挑衅有关部门的权威政策！欠债还钱，天经地义，但是，有这样轰的吗。</t>
  </si>
  <si>
    <t>2019/10/05 15:12:52</t>
  </si>
  <si>
    <t>2019/10/05 15:12:14</t>
  </si>
  <si>
    <t>提前还款小花钱包高利贷，服务费奇高，联系不上任何人员厦门市金融办、互联网金融管理部门、银监会、工商行政管理局，于2019年2月1日放款借款金额52499.2元，实际到账金额40000，共24期，合同号CS20190201497467，只有简单借据信息，消费合同看不见，客服联络困难，服务方故意制造投诉联络无门现状，违反国家法律、网贷管理、国家网贷管理整顿条例规定，事实存在，投诉乱收费，利息和服务同时收高利贷，违反最高人民法院《关于审理民间借贷案件适用法律若干问题的规定》:1、借贷双方没有约定利息，或者自然人之</t>
  </si>
  <si>
    <t>2019/10/05 15:11:52</t>
  </si>
  <si>
    <t>自从改了口碑分，常常几个小时接不到单，这在以前是很少见的，和相熟的各类型司机聊天，发现单子都优先拍给新老优享了，普通快车司机一天能两百流水都很不错了，有的就一百多，这让司机怎么活，明明眼前的单子就偏偏要拍给两三公里外的优享，优享一天跑个四五十单，腿都发软，一定程度也对驾驶安全造成隐患，换了你是乘客，在市区叫车，车都从两三公里外派过来，你要等个十来分钟，那你还会叫车吗，有这个时间路上随手一招就是出租车，这样不仅会把滴滴出行辛辛苦苦培育出来的叫车习惯毁于一旦，市场拱手相让，我不止一次碰到乘客是本来想叫出租，实在</t>
  </si>
  <si>
    <t>2019/10/05 15:11:32</t>
  </si>
  <si>
    <t>我并未与此商家签订任何代扣协议，请问这个钱是扣去了哪里。</t>
  </si>
  <si>
    <t>2019/10/05 15:11:13</t>
  </si>
  <si>
    <t>闪电借款借款4000要买700元财神黑卡砍头息，本人在里面借过10几次，合计4万左右，刚开始是商城转售，付得砍头息早已超过本金几倍，有例可查有法可依，国家规定任何网贷不得超过年利率36%收取利息费用，并且也规定了禁止以任何手段收取砍头息，闪电方开始以商城平台交易做铺垫，宣称是中介平台替用户转售，大概收取百分之二十的费用，现在以黑卡的方式不定额收取会员费用，收取费用月月变化，本人签定时还不懂商贷法，现在看到法规后觉得不合规合法提出质疑，但平台方以本人自愿签售为由，拒绝商讨方案，然后在签订合同时本人只提供了两个</t>
  </si>
  <si>
    <t>2019/10/05 15:09:55</t>
  </si>
  <si>
    <t>平安普惠员工骗我，利用虚假证明，骗取贷款，无力还贷，现在要退还贷款，需要3三千块钱的违约金，但前期根本无人告知，本人为一个残疾人，根本无力承担如此高额的利息。</t>
  </si>
  <si>
    <t>2019/10/05 15:09:41</t>
  </si>
  <si>
    <t>我本人使用滴滴打车，滴滴司机在到达目的地后看见有宠物就拒绝乘客上车，而且滴滴司机还没有取消订单导致我取消订单被罚款，明明不是我的问题，我的宠物是用宠物箱装着的，我需要滴滴车行给出合理的解释并且退还被罚金额。</t>
  </si>
  <si>
    <t>2019/10/05 15:09:37</t>
  </si>
  <si>
    <t>本来是4000元借款直接收了我1100的利息。</t>
  </si>
  <si>
    <t>2019/10/05 15:08:43</t>
  </si>
  <si>
    <t>10月4日有贷款需求下载了app，要求绑定银行卡，生成报告，未经同意私自扣款，也并没有提到服务费，也没有表明服务费的价格。</t>
  </si>
  <si>
    <t>2019/10/05 15:08:41</t>
  </si>
  <si>
    <t>还款日没任何提示，没电话也没短信通知，逾期一天就罚收违约金。</t>
  </si>
  <si>
    <t>2019/10/05 15:08:36</t>
  </si>
  <si>
    <t>我要投诉腾讯旗下的微店店长版软件，乱扣费，多扣了我500元的信用卡手续费，客人用信用卡在我店铺下了三笔共五万元的单，本应扣手续费1%，也就是500元，结果微店扣了我一千块，说是罚1%的手续费，说我涉嫌套现，说是他们微店的规则，问题是我的是2019年2月17号的单，而微店的罚手续费的规则是2019年5月21号才会正式生效，那你们微店凭什么提前罚我1%等手续费，也就是500元呢。</t>
  </si>
  <si>
    <t>2019/10/05 15:08:21</t>
  </si>
  <si>
    <t>2019年1月本人在钱包易贷贷款一笔，申请贷款金额13700元，实际到账金额11900元，在我不知情的情况下且没有合同的情况下直接减去了1800多元，实际到账只有11900元，怀疑有砍头息，且钱包易贷无法提供合同，也不能提前结清，本人现在已还款10200多元，要求按照国家法定合理利率提前结清，协商还款，并退还砍头费用。</t>
  </si>
  <si>
    <t>2019/10/05 15:08:17</t>
  </si>
  <si>
    <t>刚开始催收人员加要求加微信，协商好只要还款3300，问我现在多少钱，我说只有1000，app现在还款不进去，我也交了1000给他，可以过几天还款2300，后面又说可以帮我申请到2100，讲了一些零碎，但后面又说处理不了，还款不要找，这不是在玩我吗，说明客服催收处理不妥当，催收脾气真的差，没讲几句估计就要骂来了。</t>
  </si>
  <si>
    <t>2019/10/05 15:07:47</t>
  </si>
  <si>
    <t>投诉人 关女士        投诉对象  MsParis女神派        涉诉金额  10 元    问题类型    诉求类型投诉详情  办卡的时候写的是来回免运费 用了两次没花运费 突然单方面违约更该条例 要支付退回去的运费 我要求赔偿我的运费</t>
  </si>
  <si>
    <t>2019/10/05 15:07:45</t>
  </si>
  <si>
    <t>聚投诉的工作人员你们好！本人在淘宝闲鱼上花了2930元买了3000元的京东e卡，可是卖家发给我的时候卡密是用过的，绑不上，我不清楚是他卖给我之后用的还是卖给我之前用的！&amp;nbsp;卖家执意是我用的，无奈之下只能申请客服维权！可是在昨天中午一点多的时候闲鱼客服打电话给我！要我提交什么乱七八糟的证据，我买到假的卡密，上哪提交什么证据，&amp;nbsp;&amp;nbsp;后来客服电话跟我说我没办法提供只能打款给卖家，我就打电话给京东客服，京东客服告诉我只有买卡的人在京东上购买的才有权利查询！为了客户信息我是没权利查询的！&amp;n</t>
  </si>
  <si>
    <t>2019/10/05 15:07:00</t>
  </si>
  <si>
    <t>逾期3天不到爆我通讯录，骚扰我朋友同事，27号的时候我也找到钱了，但是就是不还他的，原因很简单，新浪的爆了我通讯录.。</t>
  </si>
  <si>
    <t>2019/10/05 15:06:30</t>
  </si>
  <si>
    <t>本人在融360平台的应急贷前后借款两次，1500元实际到账1200，15天内还款1522元属于违法高利贷，本人要求退还600元砍头息。</t>
  </si>
  <si>
    <t>2019/10/05 15:06:17</t>
  </si>
  <si>
    <t>申请售后，淘宝尽然直接打款卖家，而且关闭申诉通道，根据消费者权益保护法我要求退货退款！。</t>
  </si>
  <si>
    <t>2019/10/05 15:05:42</t>
  </si>
  <si>
    <t>高利息，现要求协商还款，协商还款期间拨打通讯录，不知道有没有恐吓，。</t>
  </si>
  <si>
    <t>2019/10/05 15:05:10</t>
  </si>
  <si>
    <t>易鑫车贷，高利贷，签合同的时候说的好的利息，到了签好合同利息就变了，当时的经理答应说每个月返还200多的利息。</t>
  </si>
  <si>
    <t>2019/10/05 15:05:04</t>
  </si>
  <si>
    <t>现控达人微豆荚在还款日当天不主动扣款，本人主动还款失败，联系不到客服，造成逾期。</t>
  </si>
  <si>
    <t>2019/10/05 15:04:40</t>
  </si>
  <si>
    <t>投诉人郭女士投诉对象芝麻花呗涉诉金额25000元问题类型诉求类型投诉详情停止骚扰，拒绝恐吓，协商解决赔偿问题，还有还款问题。</t>
  </si>
  <si>
    <t>2019/10/05 15:02:50</t>
  </si>
  <si>
    <t>钱站借款一千，分三期，实际还款金额高达1700+，且随意篡改合同，增加金额，申请日，起计算利息，实际放款日不详，现在10月5还没放款，计息日已过近半月，不让取消借款，要等到放款才能取消，而且还要收取手续费。</t>
  </si>
  <si>
    <t>2019/10/05 15:02:29</t>
  </si>
  <si>
    <t>京东拍拍夺宝岛，店家不发货，说没货，处理专员就说赔付20元京豆，其语言激烈，本人不同意赔付，一、18号下单，然后说没货，后来又说能发，结果还是发不了，把我当个猴玩耍，二、处理专员个人业务贼差劲，还说和拍拍夺宝岛不是一个部门，各项东西不是很清楚，咱也不知道咋回事，你一个处理专员这都是你该懂得，你居然说你不清楚，还有，对拍拍夺宝岛的程序怎么处理一概不知，三、真的一心偏向商家，对商家的处理也不告知我，想知道为什么不告知，凭什么你不让我知道怎么处理商家了，你就说一句处理了，谁知道真的假的，四、还有就是处理专员就是一</t>
  </si>
  <si>
    <t>2019/10/05 15:02:28</t>
  </si>
  <si>
    <t>投诉人高女士投诉对象唯品会涉诉金额18000元问题类型诉求类型投诉详情唯品会泄露我的隐私导致我被犯罪分子以贷款的方式损失18000元。</t>
  </si>
  <si>
    <t>2019/10/05 15:02:19</t>
  </si>
  <si>
    <t>本人实际借款，到账4000元，缺要偿还5500多，而且打不通本人电话就给我家里人直接拨电话，态度恶劣。</t>
  </si>
  <si>
    <t>2019/10/05 15:00:20</t>
  </si>
  <si>
    <t>尊敬的聚投诉平台，有例可查有法可依，国家规定任何网贷不得超过年利率36%收取利息费用，并且也规定了禁止以任何手段收取砍头息，闪电方开始以商城平台交易做铺垫，宣称是中介平台替用户转售，大概收取百分之二十的费用，现在以黑卡的方式不定额收取会员费用，收取费用月月变化，本人签定时还不懂商贷法，现在看到法规后觉得不合规合法提出质疑，但平台方以本人自愿签售为由，拒绝商讨方案，然后在签订合同时本人只提供了两个联系人号码，而闪电平台在签定合同时未在本人认可下读取通讯录，任意拨打通讯录人员，并且闪电平台不排除后期转卖债权和委</t>
  </si>
  <si>
    <t>2019/10/05 14:59:56</t>
  </si>
  <si>
    <t>本人实在无力偿还！！只有死了！2019.9.10在51人品贷借款18000元，因家里出事，借钱周转，目前家庭情况无力偿还，父母双双重病，本人信用卡及其他借款超过二十万，希望与平台协商处理，归还本金与借款期间国家规定标准利息。</t>
  </si>
  <si>
    <t>2019/10/05 14:59:26</t>
  </si>
  <si>
    <t>要求上述平台注销本人账户以及所有个人绑定的身份信息+银行卡信息+手机号+通讯录信息，，注销后不得保留以及传播本人所有个人信息资料包括身份证号码+身份证正反面照片+通讯录+征信授权，供需的情况下未经本人允许不得擅自查询或委托其他机构及个人查询本人征信，不得未经本人允许私自传播个人信息，如平台泄露了本人个人信息应承担相应的责任。</t>
  </si>
  <si>
    <t>2019/10/05 14:58:47</t>
  </si>
  <si>
    <t>闪银的担保费太高了，而且必须让先还担保费才能还款，这属于强行压制。</t>
  </si>
  <si>
    <t>2019/10/05 14:58:23</t>
  </si>
  <si>
    <t>投诉人 王先生        投诉对象  你我贷        涉诉金额  2 000 元    问题类型    诉求类型投诉详情  我借了2000元，占时马上没有能力还款。催收人员态度非常恶劣，说没有钱借什么钱。卧槽他妈有钱我还借？还了7期共分12期。说给我10分钟，不然怎么怎么。让我马上头晕眼花。我有心脏病</t>
  </si>
  <si>
    <t>2019/10/05 14:57:49</t>
  </si>
  <si>
    <t>我每期都会进行还款，可是马上消费金融天天打电话轰炸通讯录，言语恶劣，已经严重影响我正常生活，我要求停止对我和我家人的骚扰，否则我会采取措施。</t>
  </si>
  <si>
    <t>2019/10/05 14:57:07</t>
  </si>
  <si>
    <t>本人于2019年8月23日在小象优品APP颜值卡借款程序里借了8000元人民币，分6期偿还，总还款9559元，因国庆期间跨行转账为能后及时还款，小象优品公司人员未经过允许，且在我本人毫不知情的情况下肆恣侵犯本人通讯录，群发信息，恶意骚扰通讯录名单，对本人生活造成无可挽回的后果，致电信息号码过后遭到手机号码为199******29机主的恐吓，并威胁继续扩大骚扰通讯录成员的电话。</t>
  </si>
  <si>
    <t>2019/10/05 14:56:48</t>
  </si>
  <si>
    <t>购买了迅捷视频转换器，交了88元，转换不了。</t>
  </si>
  <si>
    <t>2019/10/05 14:56:45</t>
  </si>
  <si>
    <t>说好的三天现在快5天了，一直没有动，审评，联系客服说已经帮我催了一点反应没有，货都拒绝回去了你收到，这没有没有效率，能不能帮我一下，谢谢。</t>
  </si>
  <si>
    <t>2019/10/05 14:56:36</t>
  </si>
  <si>
    <t>借款1800还了2000怎么还要还1800，还恐吓。</t>
  </si>
  <si>
    <t>2019/10/05 14:56:31</t>
  </si>
  <si>
    <t>投诉人许女士投诉对象钱站涉诉金额5000元问题类型诉求类型投诉详情第一次借款3000，无砍头息，到账3000，合同竟然是3900百多，每个月还1405，3个月利息早已超过国家利率几倍，比高利贷还黑，昨天发信息告知我有额度，手贱点开了，2000，结果到放款页面只有到账只有1700，三个月每个月还要1千多，意思就是借款1700，3个月要还将近四千，联系客服说不能取消，为什么不能取消，你们有告知只到1700吗，不处理我马上投诉银监会，黑心公司。</t>
  </si>
  <si>
    <t>2019/10/05 14:56:11</t>
  </si>
  <si>
    <t>本人因资金需求在立借平台引流至钱置宝，借款2100元，一个月分4期，每期8天，每期还款金额766.8，现已还前3期共2300.4元，已经还清本金2100加200.4费用，利息已经超出国家合法利息，本人已无力再承担违法利息，请求平台与之联系协商销账处理。</t>
  </si>
  <si>
    <t>2019/10/05 14:56:05</t>
  </si>
  <si>
    <t>高利贷，借了5000元，6个月，每期要还1449元，总共要还8600多，超过了法律红线，威胁恐吓，还款日当天不还款就要爆通讯录，协商还款不同意。</t>
  </si>
  <si>
    <t>2019/10/05 14:55:44</t>
  </si>
  <si>
    <t>自称是支付宝内务人员，想和你们协商还款，不需要，在催。</t>
  </si>
  <si>
    <t>2019/10/05 14:54:56</t>
  </si>
  <si>
    <t>白条分期借款平台，是一个欺骗平台，收取249元所谓会员费。</t>
  </si>
  <si>
    <t>2019/10/05 14:54:44</t>
  </si>
  <si>
    <t>投诉人 张女士        投诉对象  街电        涉诉金额  99 元    问题类型    诉求类型投诉详情  本人于前几日丢失街电充电宝 然后挂失了我 昨天找回后退还了充电宝之后不退还押金</t>
  </si>
  <si>
    <t>2019/10/05 14:53:37</t>
  </si>
  <si>
    <t>投诉，宏萨上海信息科技有限公司，小浦优客，乱扣费。</t>
  </si>
  <si>
    <t>2019/10/05 14:52:27</t>
  </si>
  <si>
    <t>本人于10月4号下午被无故把银行卡上的钱扣掉了，一共扣了198块钱，我经过查找原来是让易宝支付扣掉的，我没申请过什么易宝支付，也不知道钱是怎么被扣掉了，我现在就想要回我的钱，他们这是恶意扣钱欺诈盗刷的行为，我很不理解为什么没经过我同意就能把我银行卡的钱扣掉呢，我很生气，我只想早点把我钱还给我。</t>
  </si>
  <si>
    <t>2019/10/05 14:51:50</t>
  </si>
  <si>
    <t>打电话骚扰家人，威胁必须还进去！………………。</t>
  </si>
  <si>
    <t>该账号被无缘无故限制登录，要求改善服务恢复正常。</t>
  </si>
  <si>
    <t>2019/10/05 14:51:26</t>
  </si>
  <si>
    <t>投诉人 王先生        投诉对象  深圳普惠快信,鼎盛        涉诉金额  9 000 元    问题类型    诉求类型投诉详情  本人在普惠快信借了9000元 还款额度已经超出本金 本金已经还完 如今遭到暴力催收 一个声称鼎泰财务的人说要来我家里 还说爆我通讯录</t>
  </si>
  <si>
    <t>2019/10/05 14:51:16</t>
  </si>
  <si>
    <t>以买单侠工作人员名义对我进行催收，所有我在买单侠贷款留得信息都有，恐吓我给我家里打电话，去村委会，还钱了没销账，总有人进行催收，买单侠客服一句不是我司工作人员就解决，还找催收部门对我进行催收。</t>
  </si>
  <si>
    <t>2019/10/05 14:50:53</t>
  </si>
  <si>
    <t>多宝分期昨天到期，没有及时接到电话，催收就发来信息威胁，说不还钱就让通讯录里面的亲朋好友都知道，要爆通讯录，还有批图发恶心的图片，要轰炸我电话，本金到账2500，要还快3600块钱，这利息也太高了，这种套路贷国家不管吗，扫黑除恶势力，这催收还这么的恶劣，威胁恐吓，有关部门没人管吗。</t>
  </si>
  <si>
    <t>2019/10/05 14:50:51</t>
  </si>
  <si>
    <t>商家故意找理由不让我退手机，第一次退手机给商家，说我未解ID，我按照他们的方法解了他们硬是把手机退还给我，第二次寄给他们，快递员说他们拒收，在快递公司放了几天，不给任何说法直接又退还我了。</t>
  </si>
  <si>
    <t>2019/10/05 14:50:13</t>
  </si>
  <si>
    <t>自从改了口碑分，常常几个小时接不到单，这在以前是很少见的，和相熟的各类型司机聊天，发现单子都优先拍给新老优享了，普通快车司机一天能两百流水都很不错了，有的就一百多，这让司机怎么活，明明眼前的单子就偏偏要拍给两三公里外的优享，优享一天跑个四五十单，腿都发软，一定程度也对驾驶安全造成隐患，换了你是乘客，在市区叫车，车都从两三公里外拍过来，你要等个十来分钟，那你还会叫车吗，有这个时间路上随手一招就是出租车，这样不仅会把滴滴出行辛辛苦苦培育出来的叫车习惯毁于一旦，市场拱手相让，我不止一次碰到乘客是本来想叫出租，实在</t>
  </si>
  <si>
    <t>2019/10/05 14:49:49</t>
  </si>
  <si>
    <t>本人在小赢卡贷两笔借款均已超出众安保险保单金额，要求众安保险取消保单在这之前众安保险与我联系，小赢卡贷一直没有对本人进行联系关于9.24号的投诉。</t>
  </si>
  <si>
    <t>2019/10/05 14:49:38</t>
  </si>
  <si>
    <t>2019年7月15号，本人在榕树贷款下借了趣花钱极速版5000元本金，当8月想要还第一期时去榕树贷款看到趣花钱极速版已经还不了款了，所以我要求如果能还钱时仅还本金，而且本人并未逾期，只是趣花钱方面程序还是平台问题还不上，责任在趣花钱方，并不在借款人方！如果有征信问题要求趣花钱方主动撤销我方征信问题。</t>
  </si>
  <si>
    <t>2019/10/05 14:49:21</t>
  </si>
  <si>
    <t>京东刷单并且不能使用还不退款也未停止买卖，以第三方名义去进行买卖让你扫描二维码，然后让你做一层一层的任务，京东商城并没有制止这项行为，只希望能退款别无他求，调整不良风气。</t>
  </si>
  <si>
    <t>2019/10/05 14:49:18</t>
  </si>
  <si>
    <t>本人于2017年在深圳世联小额贷款公司借了一笔钱，以前都是在正常还款中，后来因为生意失败，加上父亲生病没能力还款，现在接到骚扰电话很多，态度极坏，污辱骂，还说要去我家里找我父母，无法正常工作，打世联金融投诉电话他们说不接受处理，我的正常工作生活受到了严重的侵害！！！所用号码：182******57，附件有图，希望有关部门依法查处。</t>
  </si>
  <si>
    <t>投诉人 劳女士        投诉对象  信用管家        涉诉金额  3 000 元    问题类型    诉求类型投诉详情  信用管家打不开，客服联系不上没有还。早上发了个短信威胁，本来想还本金的。砍头714的，还发验证码轰炸</t>
  </si>
  <si>
    <t>2019/10/05 14:49:13</t>
  </si>
  <si>
    <t>本人配偶高塔娜由于周转需要，像宜信借款十万元，在业务员的欺骗引导下，签订了48期借款合同，每期还款3977元，截止目前已经还款46期，共182947元！这么高的利息在国家管控之前我们一直默默地承受还款，近期由于政策原因，生意处于完全停滞状态，出现了极少数的逾期情况，每次都是一天两天的逾期时间，但是每次罚息少则三四百元，多则七八百元，我们无处申冤又不能不还，逾期一天即要承受来自宜信丧心病狂式的催收，从借款人本人到配偶，到家人，到朋友，到亲人，到同事，到领导！甚至给上级主管的领导打固话进行骚扰！致使我们全家人精</t>
  </si>
  <si>
    <t>2019/10/05 14:47:33</t>
  </si>
  <si>
    <t>滴滴出行优先派给优享司机，根本不派单，快车快饿死了。</t>
  </si>
  <si>
    <t>2019/10/05 14:47:18</t>
  </si>
  <si>
    <t>9天前跟他们所谓的官方解释了，我表弟因为经济案件被抓，现在在努力想办法让他出来，他们所谓的官方，以及第三方催收公司，暴力催收，爆通讯录，还恐吓上门不收到钱不走，这个事情会影响到我表弟的案件进展情况，钱是肯定要处理，明确告诉了钱肯定要还，人出来了就处理，但是不停的打电话，是什么意思，准备下一步投诉银监会，没办法了，。</t>
  </si>
  <si>
    <t>投诉人 卢庆新        投诉对象  小花钱包        涉诉金额  3 700 元    问题类型    诉求类型投诉详情  催收公司 打通电话就骂人 发信息威胁恐吓</t>
  </si>
  <si>
    <t>2019/10/05 14:47:01</t>
  </si>
  <si>
    <t>豹子贷,上海造艺网络科技,造艺网络科技,银码头，恶意扣款，不退款，电话联系了我一次，我在上班没接上，就不在管了。</t>
  </si>
  <si>
    <t>2019/10/05 14:46:47</t>
  </si>
  <si>
    <t>网易的藏宝阁app是网易官方对自己旗下多款游戏提供的用户对用户的账号交易平台，交易规则是不交易账号，只交易账号内的角色，这样方便卖家，安全买家，但本人在该app出售充值3万元左右的账号，被网易限制价格，要求我必须以高于市场价几倍的价格上架，否则不予上架操作，几次和客服沟通，都以为了我的权益为理由各种搪塞，如此霸王条款闻所未闻，我自己的账号，想卖多少和你有什么关系，我的账号充值3万多，凭什么就不能卖1000元，这事聚投诉解决不了，我就直接告你们，这事赤裸裸的商业欺诈行为。</t>
  </si>
  <si>
    <t>2019/10/05 14:46:33</t>
  </si>
  <si>
    <t>投诉人熊先生投诉对象豹子贷,上海造艺网络科技,造艺网络科技,银码头涉诉金额299元问题类型诉求类型投诉详情造艺科技豹子贷10月4日私自从我银行卡里扣除50元10月5日又扣除249根本没经过本人意愿，必须要求退款。</t>
  </si>
  <si>
    <t>2019/10/05 14:46:07</t>
  </si>
  <si>
    <t>你我贷在未通知个人情况下不仅轰炸通讯录还通过通话记录，给熟悉的人电话轰炸和催收。</t>
  </si>
  <si>
    <t>2019/10/05 14:45:29</t>
  </si>
  <si>
    <t>在我能接听电话的情况下不与我联系就直接拨打我的通讯录好友，我逾期是我不对，但是凭什么拨打我通讯录的电话呢，都好几年不联系的朋友都能打到，我都不知道从哪里弄我的手机号，感觉是从快贷平台弄的我信息，因为是一个公司，我就服了，我自己的朋友比我弄得还清楚，我再说一遍，直接找我，别打我除了我以外的朋友电话，还有把爆我通讯录的那个人直接找我，明知道犯法还拨打通讯录，。</t>
  </si>
  <si>
    <t>2019/10/05 14:45:26</t>
  </si>
  <si>
    <t>我爸在18年吴圩机场被一个启东老乡忽悠：充值一张民航通卡以后就可以享受贵宾休息室，买票以后就用这张卡就可以了，不用再麻烦女儿买票了，结果事实是什么都用不了，而且我爸做飞机的次数现在一年也就一两次，充值一张卡没办法用里面的钱而且只能本人才能用，机场人员夸大宣传，没有解释清楚里面的钱只能用做抵扣，老人在手机上也没办法操作。</t>
  </si>
  <si>
    <t>2019/10/05 14:44:31</t>
  </si>
  <si>
    <t>投诉人 张先生        投诉对象  51人品,51信用卡管家        涉诉金额  12 000 元    问题类型    诉求类型投诉详情  暴力催收 态度恶劣 威胁恐吓借款人 完全不给商量的余地</t>
  </si>
  <si>
    <t>2019/10/05 14:44:23</t>
  </si>
  <si>
    <t>投诉人 周先生        投诉对象  拍拍贷        涉诉金额  17 000 元    问题类型    诉求类型投诉详情  利息太高，利息太高，利息太高，利息太高。</t>
  </si>
  <si>
    <t>2019/10/05 14:44:12</t>
  </si>
  <si>
    <t>,快贷涉诉金额11210元问题类型诉求类型投诉详情于2019.8.16日借款9000元，家中出事急需手术费用，迫于无奈借款！目前家庭情况已经无力偿还，父母双双重病，本人为还钱已欠二十几万！实实在在要逼死人！协商还本金！平台要求的2210的利息，严重超出国家标准！高利贷要害死人！本人实在无力偿还！！只有死了！app突然消失！客服电话也打不通，没人接！。</t>
  </si>
  <si>
    <t>2019/10/05 14:43:40</t>
  </si>
  <si>
    <t>投诉人洪栋投诉对象平安普惠涉诉金额11000元问题类型诉求类型投诉详情自称平安普惠催熟人员，问我家在哪，说今天给我寄律师函，然后一直报我家地址，一直打电话骚扰我，并且对我进行语言侮辱，我问他叫什么，工号多少也不回答。</t>
  </si>
  <si>
    <t>2019/10/05 14:43:00</t>
  </si>
  <si>
    <t>2017年向佰仟公司借贷15000元分36期还款，每月还款844.28元，已经还了29期，我计算了一下这些钱早已超出了国家的利率标准。</t>
  </si>
  <si>
    <t>2019/10/05 14:42:50</t>
  </si>
  <si>
    <t>捷信金融消费有限公司，贷款总额3万8千8百！事实拿到的钱是3万4千元！少拿到4千块钱，分期24期还款，目前已经还2万七了打电话来说我还2万7两年利息两万，高利贷，不接受继续还款，骚扰。</t>
  </si>
  <si>
    <t>2019/10/05 14:42:44</t>
  </si>
  <si>
    <t>24号借款3000元，5天还款，28号要求还款3014.79元，5天利息高达1139.79元，下款时没有任何显示利息是多少，也没有下款通知，通过一个个人账户陶艳平实际到账1875元，打客服电话想取消借款，也联系不上，只有在消息反馈栏里留言，希望取消借款，结果没有任何回复，到了28号当天，各种渠道催收恐吓，下面是催收电话，虾米在线客服的微信和qq，最后没有办法的情况下凑到2500还款，是有中国银联有限公司广东分公司协助收取的还款，银联查到具体是由苏宁银行的账户，可是还是有称是虾米在线的人打电话催收，对我的生活</t>
  </si>
  <si>
    <t>2019/10/05 14:42:42</t>
  </si>
  <si>
    <t>投诉人王素凤女士投诉对象达飞云贷涉诉金额7500元问题类型诉求类型投诉详情达飞云贷吸血鬼，利息高的怕死人，恐吓的行为催收。</t>
  </si>
  <si>
    <t>2019/10/05 14:41:41</t>
  </si>
  <si>
    <t>刚买的包包就降价这么多，这让消费者以后购物怎么保障，差太多了，要求赔偿20元。</t>
  </si>
  <si>
    <t>2019/10/05 14:40:46</t>
  </si>
  <si>
    <t>总金额39000元，我还了18个月，36000元，一看竟然还有21期，共计4万2，都超过本金了，。</t>
  </si>
  <si>
    <t>2019/10/05 14:40:13</t>
  </si>
  <si>
    <t>7月31号本人资金周转不开在蟹老弟上借了3400元，分三个月还清，刚到银行卡马上被转走340元，实际到手3160元，每月要还1573元，已还2期，3146元，希望蟹老弟给与协商，最后一期给与减免。</t>
  </si>
  <si>
    <t>2019/10/05 14:39:48</t>
  </si>
  <si>
    <t>在其平台借款54000元分12期发现其年化超过了36%的，参考法条《规定》第25条第一款，第31条跟《规定》法条地26条，第28条，第32条明文规定年利率24%～36%属于自愿支付，法院不干预，不愿支付费用也不会支持出借人要求借款人支付现在已经还清发现其利息超过36%，其跟众安保险捆绑销售作为你们这种金融公司都是知道其APR的算法是算不出来真正的年化率的，我的年利率是35.99%国家金融协会是承认IRR的算法，要求合理解释！！！2019.6.30申请54000元贷款目前想结清，已还三个月，提前还款本金加利息</t>
  </si>
  <si>
    <t>2019/10/05 14:37:56</t>
  </si>
  <si>
    <t>钱站高额利息超100%，威胁恐吓电话不断骚扰，要求钱站注销相关个人信息！。</t>
  </si>
  <si>
    <t>2019/10/05 14:37:53</t>
  </si>
  <si>
    <t>宜兴滴滴公司不给快车司机派单，不公平，把单都给优享司机。</t>
  </si>
  <si>
    <t>2019/10/05 14:36:43</t>
  </si>
  <si>
    <t>本人在马上消费金融旗下产品安逸花申请循环贷，总金额7000元，期间一直正常使用，连app都并未通知，对账号进行锁定，无法消费和提现，我不同意，要求安逸花方恢复可使用额度，解锁我的账户！从未逾期，按时还款。</t>
  </si>
  <si>
    <t>2019/10/05 14:36:38</t>
  </si>
  <si>
    <t>投诉人 吴女士        投诉对象  立刻出行        涉诉金额  599 元    问题类型    诉求类型投诉详情  押金和余额都退不了了8月申请 现在都没有退 已经从6月中就没有用车 也没有违章</t>
  </si>
  <si>
    <t>2019/10/05 14:36:31</t>
  </si>
  <si>
    <t>通过贷上钱的贷款下款没想到费用这么高，已经还两期了，还剩最后一期逾期了，希望能协商解决。</t>
  </si>
  <si>
    <t>2019/10/05 14:36:11</t>
  </si>
  <si>
    <t>支付宝当面花，根据支付宝客服解释，在9月1号改版后的新系统规则框架下，单笔使用金额在150元以内的，均可使用当面花的花呗，无使用次数限制，但在近一个月的实际使用情况下，同一商户，第一笔可用当面花，但在第二次该商户扫码支付时，则均不可用当面花，无论是否同一天，均显示不支持花呗的该交易方式，系统如此设置可能为了防止套现这个我理解，但是问题在于首先，在扫码交易几十元，或者一百多元的交易金额内套现有意义吗，还有，支付宝既然对外公开声明，单笔交易金额在150元以内，所有不支持用花呗的商户，都可以使用当面花，但事实上并</t>
  </si>
  <si>
    <t>2019/10/05 14:35:05</t>
  </si>
  <si>
    <t>本人在松紧贷，贷了1W，分期6月，后来下款后算了下借1W，6个月利息竟然是1797.77，如下图所示，年利率居然是35.96%，涉嫌高利贷嫌疑，打擦边球！国家法律支持保护的部分是24%，也就是6个月利息1200现本人要求，利率调整降为24%，24%-36%之间的利息，要么退还，要么调整！否则有权保留起诉和追加的权利！。</t>
  </si>
  <si>
    <t>2019/10/05 14:34:48</t>
  </si>
  <si>
    <t>天天骚扰我的家人朋友！无法正常生活！恐吓！弄得我精神紧张不能正常工作！。</t>
  </si>
  <si>
    <t>2019/10/05 14:34:38</t>
  </si>
  <si>
    <t>还款400实际销账78难道我在分期乐借的人民币要还美元吗，那我借了8000不是要还40000这比高利贷还厉害几倍，希望分期乐平台能有个合理的解释。</t>
  </si>
  <si>
    <t>2019/10/05 14:33:57</t>
  </si>
  <si>
    <t>带上钱高利贷，借4000用了一个月利息2000左右，打电话骂我80岁奶奶，恐贺，骚扰我家人亲戚朋友都不安，天天骚扰！抱我通讯录一遍了，天天骚扰。</t>
  </si>
  <si>
    <t>2019/10/05 14:33:53</t>
  </si>
  <si>
    <t>早上开了个会员发现和淘宝上的会员不一样，电话联系天猫会员店客服告知不可以退，但是这个会员的用处不大，根本用不上，想要退款，客服说不能退，我不知道开这个会员有什么用处，价格没有优势，而且要满88才包邮，只能在天猫app上使用，店里产品相比淘宝，天猫超市等一点价格优势都没有，我根本不会在上面买东西，本人未有使用，他们存在误导嫌疑，同时有两个88会员，不仔细看根本看不出来，88天猫超市会员和vip88二种，。</t>
  </si>
  <si>
    <t>2019/10/05 14:33:43</t>
  </si>
  <si>
    <t>投诉人祁先生投诉对象猫眼电影涉诉金额100元问题类型诉求类型投诉详情猫眼电影推出拉新人活动，邀请人了，不给提现，。</t>
  </si>
  <si>
    <t>2019/10/05 14:33:39</t>
  </si>
  <si>
    <t>换货或者退钱十倍补尝，，，，，，，，，，，，。</t>
  </si>
  <si>
    <t>2019/10/05 14:33:24</t>
  </si>
  <si>
    <t>我借了4000块钱，分期12期，每次还453左右，然后我后面没钱了，什么都不说，直接爆我的通讯录，还把我的通讯录给了他们公司另一个平台钱半，到处骚扰我通讯录的朋友，我也很明确了，把我我通讯录的人给我打电话，然后就不愿意，一天换两个人打，照片的之前给我发了，然后我再三强调给我打电话可以，别给我通讯录打电话，他们还是一样，后来我投诉了，说好的不打的，现在又开始了。</t>
  </si>
  <si>
    <t>2019/10/05 14:32:43</t>
  </si>
  <si>
    <t>10月2日到期，本人未同意续费，以防万一被扣费当时微信只有68元就没有转出去，后来晚上十点半准备睡觉时突然收到信息从信用卡里面扣款328元，要求全额退款。</t>
  </si>
  <si>
    <t>2019/10/05 14:32:40</t>
  </si>
  <si>
    <t>投诉人 刘先生        投诉对象  想有钱        涉诉金额  1 500 元    问题类型    诉求类型投诉详情  想有钱 到期当天威胁我爆通讯录 P图 这不是恐吓吗还有人管吗 我直接报警</t>
  </si>
  <si>
    <t>2019/10/05 14:32:30</t>
  </si>
  <si>
    <t>我在卡牛用信用卡申请的额度，总计额度16500.我第一次只接了13000，分六期利息也才一千多，但是卡一到账就被扣了两笔，分两笔扣的一笔是六百多和九百多，我又在上面借了5600，又是一样一到卡上就扣了几百，我以为是扣的利息，上次也是，每到还款日前一天就把钱还进去，有一次过了还款日第二天早上我把钱还进去，可是催收打电话说我还要还一百多，我说我刚还怎么又要还一百多，态度极其恶劣，后面我就把钱还了，我打开卡牛APP一看一天逾期没还就是一百多罚息，后面又处于资金周转不足又借了6000,一到账就扣了1200,我就上A</t>
  </si>
  <si>
    <t>2019/10/05 14:32:22</t>
  </si>
  <si>
    <t>投诉人豆女士投诉对象壹心分期涉诉金额2100元问题类型诉求类型投诉详情壹心分期收取高额砍头息2100到账1500一个月分期两次还款1071和1097这严重超过了国家放贷标准我有权利拒绝还款催收还打我电话威胁爆我通讯录给我亲人打电话。</t>
  </si>
  <si>
    <t>投诉人邓先生投诉对象蛋壳公寓涉诉金额1100元问题类型诉求类型投诉详情我参加蛋壳公寓大学生免押金租房活动，当时和客服以及房管家反复确认退租时不需要承担违约金，以及房管家承诺想租几个月租几个月，现我需要退租，要求我支付违约金。</t>
  </si>
  <si>
    <t>2019/10/05 14:32:16</t>
  </si>
  <si>
    <t>投诉人黄先生投诉对象申通快递涉诉金额68元问题类型诉求类型投诉详情多次联系寄件方申通，爱理不理，最近一次说2号给我结果。</t>
  </si>
  <si>
    <t>2019/10/05 14:32:06</t>
  </si>
  <si>
    <t>之前在信而富申请借款的时候,他们通过捆绑消费才借款.,现在算一下利息惊人,远超国家规定..请求退款全部费用。</t>
  </si>
  <si>
    <t>2019/10/05 14:32:03</t>
  </si>
  <si>
    <t>你我贷催收人员催收过程中不协商不沟通，态度恶劣，恐吓我一天之内不处理欠款就打通讯录帮我借钱来还。</t>
  </si>
  <si>
    <t>2019/10/05 14:31:44</t>
  </si>
  <si>
    <t>于2019.9.10日借款18000元，家中出事急需手术费用，迫于无奈借款！目前家庭情况已经无力偿还，父母双双重病，本人为还钱已欠二十几万！实实在在要逼死人！协商还本金！平台要求的20天要交1735的利息，严重超出国家标准！高利贷要害死人！。</t>
  </si>
  <si>
    <t>借3000块还6000，钱站阴阳合同存在巨大的利息，高出国家的规定非常多，且电话协商未果，遭到精神伤害，对国家法律视而不见，公然藐视法律。</t>
  </si>
  <si>
    <t>2019/10/05 14:31:30</t>
  </si>
  <si>
    <t>投诉人何飞投诉对象旺卡猫涉诉金额199元问题类型诉求类型投诉详情莫名其妙银行卡被划199元会员费，索要无果，特此申诉。</t>
  </si>
  <si>
    <t>2019/10/05 14:30:58</t>
  </si>
  <si>
    <t>信用卡逾期，在逾期时间一直与催收人员保持联系，这两天开始电话轰炸，时间不规定，可达几秒或者一分钟一个电话，每天大概四五十个电话。</t>
  </si>
  <si>
    <t>2019/10/05 14:30:41</t>
  </si>
  <si>
    <t>催收现在说联系紧急联系人，我不值钱你们联系的是什么紧急联系人，是我填写的联系人还是你们非法获取的通讯录，而且现在催收说发送照片，我不知道你们发的图片是什么图片，是p成的遗照还是什么图片呢，法律有规定，在我没失联之前你们也是没有权利联系紧急联系人，我也不知道你们是联系紧急联系人还是直接爆我通讯录，这个我也不清楚，但是我结款的时候明显不合理，利率过高，而且国家法律规定，不允许捆绑保险销售，我还想问问什么保险一年那么贵，890多块，这已经涉嫌砍头息，我要求你们官方人员重新制定还款方案，进行协商，我也知道我逾期是我</t>
  </si>
  <si>
    <t>2019/10/05 14:29:41</t>
  </si>
  <si>
    <t>没有任何书面说明及告知的情况下，申请4000元只到账2800元，之后app无法登陆，无处下载，没有人可以联系，只有106短信，在聚投诉找到月光下分期客服电话联系后告知4000到账2800还4200是正常利息符合国家规定无法协商减免。</t>
  </si>
  <si>
    <t>2019/10/05 14:29:25</t>
  </si>
  <si>
    <t>误导性消费！2019.10.04烟台蓬莱机场机场工作人员推销西部明珠会员卡，充值1880赠送1000元，声称通过他们的热线购票可以节省几十块钱的“第三方平台费”，且可以直接从卡里面扣费购买机票，而事实上，通过热线购买机票并不便宜，跟第三方平台价格相差无几；其次，卡里面的钱只能抵扣机票的一部分而已；办卡时候说有问题可以退卡，可是打客服要求退卡却惨遭拒绝。</t>
  </si>
  <si>
    <t>2019/10/05 14:29:03</t>
  </si>
  <si>
    <t>该平台伪造律师函发送至我家人及朋友同事，并盗用我个人信息。</t>
  </si>
  <si>
    <t>2019/10/05 14:28:35</t>
  </si>
  <si>
    <t>投诉人 魏先生        投诉对象  有钱花        涉诉金额  7 000 元    问题类型    诉求类型投诉详情  侮辱 恐吓 暴力催收 工作人员态度差 要求处理</t>
  </si>
  <si>
    <t>2019/10/05 14:28:33</t>
  </si>
  <si>
    <t>投诉人杨先生投诉对象美团旅行涉诉金额640元问题类型诉求类型投诉详情本人今日，在美团搜索东莞华阳湖湿地公园，在下面酒店加门票里，预订了今天入住汇景酒店，一，酒店和景点相距这么远，何来的酒店加景点，二，酒店在洪梅镇，华阳湖在麻涌镇，为什么酒店要备注华阳湖店，典型虚假误导消费者，后去酒店取消订单，酒店表示要美团才能取消，后致电美团，美团已此订单为不可取消订单为由不给退款，对距离远和虚假误导消费者一事，只给补偿去景点的路费和100元代金券，我现在已在景点旁边住下，我的诉求只想退款，谢谢，请帮忙！。</t>
  </si>
  <si>
    <t>2019/10/05 14:28:15</t>
  </si>
  <si>
    <t>投诉人马先生投诉对象特约中归涉诉金额408元问题类型诉求类型投诉详情2019年9月30日早上八点收到扣款消息，打了银卡客服，说是特约中归扣款，本人手机在身上，没签什么电子合约，上网看到很多类似案例，怀疑盗刷卡，信息泄露，要求退款，说明情况。</t>
  </si>
  <si>
    <t>2019/10/05 14:27:43</t>
  </si>
  <si>
    <t>第四，如果解决不了以上问题，我将通过有关部门投诉到最高部门。</t>
  </si>
  <si>
    <t>2019/10/05 14:27:42</t>
  </si>
  <si>
    <t>投诉人 郑女士        投诉对象  小花钱包        涉诉金额  2 248 元    问题类型    诉求类型投诉详情  和催收协商还款。催收拒绝协商，直接威胁恐吓。</t>
  </si>
  <si>
    <t>2019/10/05 14:27:40</t>
  </si>
  <si>
    <t>我都不知道这该怎么归类,前段时间是逾期了,还清账单后,我本人还主动申请了提前还款.，之后我还主动给客服打过电话,问我这提前还款怎么还,客服跟我说跟着下月账单直接还款.我申请提前还款本意就是还清后销卡.，然后催收就莫名奇妙的先是打电话,让我连没出账的账单也一起还了.，催下月未出账账单的我还是第一次见,网贷都干不出这样的事来吧.10月5号,又给我寄了催收信件,我打客服问这事是怎么回事,这还款怎么还究竟是谁说了算.客服只跟我说,问我们,就是跟着账单走,催收那边自己协商.，下面两张图一张是短信截图,催收信件已经是第</t>
  </si>
  <si>
    <t>2019/10/05 14:27:06</t>
  </si>
  <si>
    <t>早上我们8:40在星巴克等着导游，没有看到导游就一直打电话，开始的时候告诉我们在灵隐寺大门之后态度恶劣直接挂断电话，之后7个人打了将近30个电话没有接通，后来和客服反应退款，一直说受理没有给打电话反馈，之后在打电话直接以供应商不接电话为由不予处理，打客诉电话不予受理！今天从早上8:56-现在都在打电话我希望快速解决，不希望客服与任何理由推脱。</t>
  </si>
  <si>
    <t>2019/10/05 14:25:48</t>
  </si>
  <si>
    <t>一直不退款，制造阴阳合同，欺骗消费者，强制从我银行卡扣钱，扣钱还备注还款，我都没有借款显示要我还款。</t>
  </si>
  <si>
    <t>2019/10/05 14:25:44</t>
  </si>
  <si>
    <t>他们打电话给我亲戚朋友说我在他们那借钱不还让他们还上这个钱。</t>
  </si>
  <si>
    <t>2019/10/05 14:25:37</t>
  </si>
  <si>
    <t>本人未曾在这家公司借过任何款项，就对我的通讯录人员骚扰。</t>
  </si>
  <si>
    <t>2019/10/05 14:25:12</t>
  </si>
  <si>
    <t>俗称的什么保险费用六百多，分六期最后还款将近一万了，必须按照他们的合同，阴阳合同，现在本人都让你们逼疯，逼死了，国家不管了是吗广州的号码大晚上的一直骚扰。</t>
  </si>
  <si>
    <t>2019/10/05 14:23:27</t>
  </si>
  <si>
    <t>投诉人张张加岗投诉对象浦发信用卡涉诉金额20000元问题类型诉求类型投诉详情浦发银行信用卡，分期还款的，利息都扣好几百，因为家里特殊情况，孩子住院急用钱，照顾孩子暂时不能工作，目前没有能力长还，要求最低还款，免除手续费，年费，免除利息。</t>
  </si>
  <si>
    <t>2019/10/05 14:23:04</t>
  </si>
  <si>
    <t>投诉人苏女士投诉对象小花钱包涉诉金额7000元问题类型诉求类型投诉详情小花钱包，额度7000，已还11期了，本金基本还完，因为刚换工作，要10号才能发*，就跟联系我的客服说10号连逾期费用一起还，然后催收态度恶劣，不停威胁要爆我通讯录，然后现在不停发知信威胁要爆通讯录！严重影响我生意工作！。</t>
  </si>
  <si>
    <t>2019/10/05 14:22:59</t>
  </si>
  <si>
    <t>我18年申请的贷款还了14期本金已经还完还多了1000利息。</t>
  </si>
  <si>
    <t>2019/10/05 14:22:41</t>
  </si>
  <si>
    <t>捷信打电话来说是可以贷个大额的说是贷三万把前面的几千还了。</t>
  </si>
  <si>
    <t>2019/10/05 14:22:33</t>
  </si>
  <si>
    <t>投诉人陈女士投诉对象中国银联涉诉金额2元问题类型诉求类型投诉详情首先我没有4124，其次附言要发我裸照，我不知道哪来的，存在威胁我。</t>
  </si>
  <si>
    <t>2019/10/05 14:22:18</t>
  </si>
  <si>
    <t>招联金融冒充公检法恐吓我，照片说我要去坐牢，然后携带身份证去当地法院自首，目前我自己在做生意，一想到要我去自首，就心里恍惚。</t>
  </si>
  <si>
    <t>2019/10/05 14:22:06</t>
  </si>
  <si>
    <t>涉诉金额4600元问题类型诉求类型投诉详情安逸花利息太高，本金差4600，两个月涨了1000多。</t>
  </si>
  <si>
    <t>2019/10/05 14:21:31</t>
  </si>
  <si>
    <t>投诉人祝女士投诉对象拍拍贷涉诉金额1500元问题类型诉求类型投诉详情已经跟他们说了我十一号会归还欠款，但他们就是不给协商，打电话给我妈妈，催收员态度及恶劣，要求他们停止骚扰，我们好好协商，钱我一定会还，如果再爆我通讯录那么我直接一分钱都不还。</t>
  </si>
  <si>
    <t>2019/10/05 14:21:27</t>
  </si>
  <si>
    <t>未告知本人的情况下，恶意盗刷我银行卡，这是欺诈行为！退款！删除资料！。</t>
  </si>
  <si>
    <t>2019/10/05 14:21:23</t>
  </si>
  <si>
    <t>投诉人何女士投诉对象小花钱包涉诉金额2000元问题类型诉求类型投诉详情小花钱包多次雇佣黑社会的人骚扰我的家人和单位，已经造成个人精神衰弱，已有轻生的念头；如果继续下去当事人发生意外全部归小花负责。</t>
  </si>
  <si>
    <t>2019/10/05 14:20:38</t>
  </si>
  <si>
    <t>不管我在哪，热区也好，几个重叠的热区也好，就是不排单，就是不派，一个下午群里兄弟跑20多单，我一个下午到晚上8单9单，晚高峰热区调度去冷区，再冷区调度去热区，就是不派单，反正去哪都一样，就是不派，什么时间也无所谓，就是不派，就是不给你单，一天跑跑的都不够油。</t>
  </si>
  <si>
    <t>2019/10/05 14:20:31</t>
  </si>
  <si>
    <t>我在钱伴逾期了一天，然后今天叫我在规定的时间还上，因为我最近实在资金周转困难，工作人员就叫我去找朋友借，但是没借到，到了规定时间以后，工作人员老是威胁我说今天不还就交给催收处理，意思就是要爆我通讯录，这种催收合法吗才逾期一天，通讯录里的所有联系人都是我的隐私，钱伴平台就可以随便把我的隐私交给催收人员。</t>
  </si>
  <si>
    <t>2019/10/05 14:20:06</t>
  </si>
  <si>
    <t>10月3日预订2天酒店付款413元，入住后发现酒店环境及其差劲，入住一晚后第二天一早我就要求退房，酒店表示要求联系美团，随后联系美团，美团给我的回复我非常不满意，美团退我165元，我表示不同意，怎么算我不可能退我165元！希望聚投诉能帮我处理这个事情，我们老百姓的钱也不是大风吹过来的！再说美团对酒店的环境根本都不考核！我只希望美团合理的退给我费用。</t>
  </si>
  <si>
    <t>2019/10/05 14:19:56</t>
  </si>
  <si>
    <t>我公司是淘宝商家，在淘宝网经营家具生意已经5年了，是支付宝企业用户，10月1号，企业支付宝无故突然被限制收款了，淘宝网和支付宝的人工客服没有人能够说明是什么原因引起的、违反了哪一条规则，然后直接挂电话，并且把所有打电话咨询此事的手机号码屏蔽，根本不听我们的问题，直接是语音播放语音！。</t>
  </si>
  <si>
    <t>2019/10/05 14:18:49</t>
  </si>
  <si>
    <t>投诉人 李慧敏        投诉对象  钱站        涉诉金额  2 500 元    问题类型    诉求类型投诉详情  到还款日期 从早上开始就一直催账 至始至终就没有说不还 一直不停的催 用各执言语威胁 我对钱站的信誉感到耻辱 我不需要其他赔偿 我需要钱站客服的道歉 道歉 道歉 太过分了</t>
  </si>
  <si>
    <t>2019/10/05 14:18:41</t>
  </si>
  <si>
    <t>久富万卡贷款17600.实际到手14000，砍头息，阴阳合同，客服态度差，每天催收来电，骚扰我家人，已经严重影响个人生活工作。</t>
  </si>
  <si>
    <t>2019/10/05 14:17:50</t>
  </si>
  <si>
    <t>兴业银行信用卡，分期还款的，一次还好几千，利息四五百，因为家庭特殊情况，孩子住院急用钱，暂时没能力还款，我要求免除利息，免除年费，分期最低还款。</t>
  </si>
  <si>
    <t>2019/10/05 14:15:46</t>
  </si>
  <si>
    <t>本人在51人品贷款20800，第一期系统收取了1796.8服务费，且后面的每期的还款通道里面也显示了有一笔340的服务费，在app的还款计划表里看不到服务费的这个显示，国家现在是严格要求不允许收取服务费的，我已经跟平台在进行沟通，但是期间有自称51人品风控人员打来电话，没沟通成功，还是特别强调必须在当日下午2点30之前还钱，不然就把我的这个单子转给催收部门，去给我的身边朋友打电话，本人从头到尾都没有表明不还款，我现在的诉求就是51人品需要把第一期收取走的1796.8的服务费退还给我，然后其他的全部再来重新清</t>
  </si>
  <si>
    <t>2019/10/05 14:15:43</t>
  </si>
  <si>
    <t>投诉人 陈女士        投诉对象  小浦优客        涉诉金额  296 元    问题类型    诉求类型投诉详情  莫名其妙被扣费突然收到扣款短信</t>
  </si>
  <si>
    <t>2019/10/05 14:15:17</t>
  </si>
  <si>
    <t>10月5日，我主动联系官方客服电话，说不受理，后来一个网络电话的回过来，我跟说他们只要免除我的逾期费用即可，原本726元，逾期14天，恶意收取逾期费用，我说和他协商，他说你爱还不还，除非你家遇见重大灾害，或者家里有人去世了，开局公安局证明，才可以减免。</t>
  </si>
  <si>
    <t>2019/10/05 14:14:45</t>
  </si>
  <si>
    <t>催收电话156******81，暴力催收，爆不认识人的通讯录，电话都打到我朋友的朋友那去了，而且我本人都没有他的号码，骗人说我留的他的号码。</t>
  </si>
  <si>
    <t>2019/10/05 14:14:09</t>
  </si>
  <si>
    <t>捷信委托方每天骚扰威胁，我当时借2万分33还款每期还款1103.到现在已经还款25期了，捷信说因为逾期取消分期要我一次还尾款10300，因为失业导致逾期，上个月已经把逾期都补上了，希望政府有关部门注重下。</t>
  </si>
  <si>
    <t>2019/10/05 14:14:01</t>
  </si>
  <si>
    <t>本人于2019年5月5日在现金借款APP借款3000元，分6次还款，目前已经还款4期共计2400元，其中首期690元，剩余3期为570元，还有1140元未还，共需要还款3540元，本人认为该公司利息高，提出余下两期还款1000元销账的要求，被该公司客服态度蛮横的拒绝，并多次挂掉我的电话！希望有关部门严查严惩这些高利贷，维护社会安定。</t>
  </si>
  <si>
    <t>2019/10/05 14:13:45</t>
  </si>
  <si>
    <t>今天收到短信，说在某平台有未还款，并威胁半小时反应，1小时还款，否则群发信息，急用钱的APP，打开后，里面只有欠款信息，认证、银行卡等均无，还有一个号码：188******40.还款通道只有支付宝和微信。</t>
  </si>
  <si>
    <t>2019/10/05 14:11:34</t>
  </si>
  <si>
    <t>招联金融恶意骚扰，电话、短信不断，我已无法正常工作，之前还款已经做了详细沟通和说明，还不停的威胁、恐吓，国家对这种互联网金融的管控在哪，电话我不会接，之前做了还款规划和承诺，请不要再骚扰我，特此备案！。</t>
  </si>
  <si>
    <t>2019/10/05 14:11:05</t>
  </si>
  <si>
    <t>，前前后后将近10次，之前放款方都是深圳这家，后期的是杭州，每次都是砍头息，说是游戏币，游戏垃圾，压根就是幌子，几万游戏币现在。</t>
  </si>
  <si>
    <t>2019/10/05 14:11:02</t>
  </si>
  <si>
    <t>借去花逾期两天，昨天我就跟客服沟通过，本人因怀孕八个月，现在辞职在家待产，等着发工资，这两天就会还款，到今天接到十多个催收电话，02开头的，95开头的，我说昨天跟携程这边反应沟通了，直接跟我说没有商量的余地，我一个孕妇，整天提心吊胆的，给人留条活路吧。</t>
  </si>
  <si>
    <t>2019/10/05 14:09:28</t>
  </si>
  <si>
    <t>由于本人急用钱，下载了飞行钱包，飞行钱包虚假条约莫名扣款198元，申请立即退款。</t>
  </si>
  <si>
    <t>2019/10/05 14:09:25</t>
  </si>
  <si>
    <t>交通银行信用卡！分期还款，还款一次利息要扣三四百！因家庭特殊情况，孩子住院目前没有能力还款，只能还一两百是我最大的能力。</t>
  </si>
  <si>
    <t>2019/10/05 14:09:19</t>
  </si>
  <si>
    <t>本人于2019年8月13日在洋钱罐借款1万元，没见到还款居然有服务费，总共要还13600元，超过了我的承受范围，现在已经还了两期，剩下的想全部一次还清，但是需要把利息全部免除，洋钱罐客服让还所有的利息，非常不合理。</t>
  </si>
  <si>
    <t>2019/10/05 14:08:47</t>
  </si>
  <si>
    <t>闪电快贷，今天刚到还款日，第一电话没接到，第二个电话接了，说晚上处理，然后又打了第三个电话，还没逾期就这样催收，前面的账单都还了，态度还不好，还说我不配合他们工作。</t>
  </si>
  <si>
    <t>2019/10/05 14:08:25</t>
  </si>
  <si>
    <t>莫名其妙被扣费，早上突然收到扣款短信，客服电话也打不通。</t>
  </si>
  <si>
    <t>2019/10/05 14:07:54</t>
  </si>
  <si>
    <t>参与拼多多天天领现金活动，活动界面均提示累计到100元可以提现到微信钱包，并没有提示会赠送优惠券，而是在活动规则有展示，涉嫌误导参与活动。</t>
  </si>
  <si>
    <t>2019/10/05 14:06:44</t>
  </si>
  <si>
    <t>网商银行我一直诚信还款，并且都是提前还款一次逾期都没有，今年我把借的钱全额还款后直接把我的额度关闭，导致我生意周转失败亏损大钱。</t>
  </si>
  <si>
    <t>2019/10/05 14:06:32</t>
  </si>
  <si>
    <t>投诉人陈先生投诉对象洋钱罐涉诉金额5000元问题类型诉求类型投诉详情前段时间因为资金周转困难，从洋钱罐借了5000元人民币，在还第三期的时候，因为没及时还上，洋钱罐就恶意催收，爆通讯录，骚扰朋友和家人，于是就查询这样做是否合法，结果，发现这家平台的利息高达74%。</t>
  </si>
  <si>
    <t>2019/10/05 14:05:44</t>
  </si>
  <si>
    <t>豹子贷,上海造艺网络科技,造艺网络科技,银码头，本人与其无任何交易来往，也未与其签到任何代扣协议，这完全是其单方面行为，希望贵公司能退还所扣金额，避免贵公司信誉受损，退款后本人不再追究，谢谢。</t>
  </si>
  <si>
    <t>2019/10/05 14:05:25</t>
  </si>
  <si>
    <t>4月1日，我在凡普信贷公司借款57000元，实际到账570000，到账后马上被扣除17000元有截图为证，实际到手4万元，现在每月还款3296元，累计两年还款总数96104万余元！高利贷！与该公司客服协商无果，客服说17000元是综保险费，要我自己去看合同就好！现在要求退还多收取的21800元，否则我绝不罢休，一定报警处理！。</t>
  </si>
  <si>
    <t>2019/10/05 14:04:19</t>
  </si>
  <si>
    <t>暴力催收，发送骚扰短信，要求停止骚扰！！！！！。</t>
  </si>
  <si>
    <t>2019/10/05 14:03:58</t>
  </si>
  <si>
    <t>无缘无故停我电话，给不了证据，我这边一个月三百分钟都没打完还是关联网线，一直不给答复，投诉他们内部也没用，希望答复处理问题不要逃避，拖着我们消费者的时间。</t>
  </si>
  <si>
    <t>2019/10/05 14:03:34</t>
  </si>
  <si>
    <t>本人于2019年5月中旬在企鹅电竞直播，合作公会是上海睿之丰企业发展有限公司，6月中旬离职，离职后该公司先是以不签合同平台不发佣金为借口，后来咨询过直播平台官方，官方说他们不会做这种事，，要求我签订合同，签订后说我在其他平台播违约了，便拒付佣金，首先，合同是离职后签的，在职时并无明文规定也并无签订独家合约，其次，所谓的合同是离职后，该公司工作人员谎称不签不发工资才签的。</t>
  </si>
  <si>
    <t>2019/10/05 14:01:44</t>
  </si>
  <si>
    <t>未经过本人同意放款，自动分期，想要结清，仅仅一天时间就多出1000多元利息。</t>
  </si>
  <si>
    <t>2019/10/05 14:00:23</t>
  </si>
  <si>
    <t>我卖了一个号600块，提现时银行卡输入错误，然后我充值600元解冻，后面又被冻结1200元，说没有预留1元，现在被无理要求充值3600元到，张林的二维码上，如果是正规网站要求无条件解结冻结的1200元。</t>
  </si>
  <si>
    <t>2019/10/05 13:59:53</t>
  </si>
  <si>
    <t>看见需要收费就自主卸载，4号当日卸载后他们就自主从卡里扣了50元10月5号下午又私自从卡里扣了249，根本没有问过本人意愿，。</t>
  </si>
  <si>
    <t>2019/10/05 13:59:40</t>
  </si>
  <si>
    <t>本人于9月7号在信用管家有盈好贷借款，借款金额为2250，10天为一期总共分三期，一期金额为1029，已还两期，总还款就是要3087，利息就是要837，比国家利率还要高。</t>
  </si>
  <si>
    <t>2019/10/05 13:57:59</t>
  </si>
  <si>
    <t>投诉人敬钊投诉对象360借条涉诉金额20000元问题类型诉求类型投诉详情在360借条里借了2万块，出借方为上海淇毓科技有限公司，现在合同已生效，但钱在APP平台上的钱包，没有转到我的银行卡上，现在要我交5%的工本费才给密码提取，这根本就不合理也不合法，贷款合同完全是霸王条款而且下款时根本就看不到合同”。</t>
  </si>
  <si>
    <t>2019/10/05 13:57:34</t>
  </si>
  <si>
    <t>家里小孩子把手机偷去充值游戏，十月三号才发现，联系腾讯公司，一直无法联系到人工服务，全是机器人回答，无法解决问题，希望官方能帮帮我，家里没什么收入5000块钱是一年的开支了。</t>
  </si>
  <si>
    <t>2019/10/05 13:57:04</t>
  </si>
  <si>
    <t>借款1400，6天还款2000，属于高利贷，断头息。</t>
  </si>
  <si>
    <t>2019/10/05 13:55:56</t>
  </si>
  <si>
    <t>投诉人黄先生投诉对象趣惠买涉诉金额1050元问题类型诉求类型投诉详情趣惠买套路贷，砍头息，1050元到账735，周期8天利息315元，借款后马上让客服取消，客服称无法取消借款，今借款第二天，协商提前还款要求减免，客服拒绝。</t>
  </si>
  <si>
    <t>2019/10/05 13:55:34</t>
  </si>
  <si>
    <t>连接连不上，电话打不通，App登不上，打电话过来，我让她们扣款，卡里有钱，她们就是不理采、也不扣钱。</t>
  </si>
  <si>
    <t>2019/10/05 13:55:05</t>
  </si>
  <si>
    <t>10月4日，在厦门高崎t3机场遇到穿着机场工作人员制服的服务人员，推荐消费1980元购买民航联盟的总统会员卡，以享受优惠活动，办卡当日说是充1980送3020元，并享受一年内免费使用该卡内的5000元，购买机票时可用该5000额度内扣出使用，一年内免费订购机场贵宾室！因为当时告知会员信息等第二天才会进系统，第二天在购买机票时发现并不可以用该卡内余额购买，只是每次购买会享受20-200元不等的折扣，机票费用还是得由自己支付！售卡人员推销会员卡夸大了该卡的作用，对消费者隐瞒了具体情况和服务限制情况，由于本人之前</t>
  </si>
  <si>
    <t>2019/10/05 13:54:18</t>
  </si>
  <si>
    <t>注册一个叫小浦优客的软件，未经本人同意，盗刷资金。</t>
  </si>
  <si>
    <t>2019/10/05 13:54:01</t>
  </si>
  <si>
    <t>本人于3月03日在融360app水莲金条借款15000，实际到账15000，立马扣除砍头息3000，实际到账12000，12个月共还款17106.05，收取砍头息属于违法违规行为，打着国家法定利率36%的擦边球，无法提前结清，申请时并无告知，需按月当天结清无任何减免，本人要还第7期，融360水莲金条平台无法还款，导致逾期，现逾期费用还款金1%照算，扣去，下载水莲金条需要提供本人手机信息，号码地址照片等权限，提供权限后查询并无此单借款记录，现剩余金额要求协商还款结清，要么提前结清并减免，要么退回违扣的砍头息及</t>
  </si>
  <si>
    <t>2019/10/05 13:53:29</t>
  </si>
  <si>
    <t>投诉人张女士投诉对象华夏银行信用卡涉诉金额2862元问题类型诉求类型投诉详情华夏信用卡账单因本次特殊原因没有及时还款导致逾期，期间有自称华夏信用卡委托催收打开电话，我都及时接听表示会尽快处理，昨天下午又打来电话，让我周转之后处理，我原本以为是让我找朋友同事借钱周转处理账单，结果对方的意思是让我有多几百还几百进去然后再刷出来，刷出来再处理，直到完成账单，接听完电话我拨打了华夏信用卡客服电话，说明情况，客服表示让我不要按照催收提供的方法去做，还款有困难银行登记后会在几个工作日有专人联系我协商怎么处理本次账单，但</t>
  </si>
  <si>
    <t>2019/10/05 13:53:17</t>
  </si>
  <si>
    <t>投诉人 贾先生        投诉对象  玖富万卡        涉诉金额  25 000 元    问题类型    诉求类型投诉详情  暴力催收语言粗暴 高利息</t>
  </si>
  <si>
    <t>2019/10/05 13:53:04</t>
  </si>
  <si>
    <t>他人盗用本人信息借款本人也无奈的还清了现在想要注销账号。</t>
  </si>
  <si>
    <t>2019/10/05 13:52:24</t>
  </si>
  <si>
    <t>闪电借款，总共借了几次贷款都还清了，有过逾期，这次借款12400分期6期每期要还2500百多，逾期一天将近100的罚息，高利率，还有一个什么担保费服务费2500，我要投诉闪电借款变相收服务费，高利贷希望得到重视严惩，已下有我的截图每一次的借款截图，还有闪电借款按照年利率36来计算已经超出了法律范围24前面借的几次按照他的百分之36是我自愿的我都是结清了，这次的贷款还款金额还要多出多了老用户也要套路我想投诉他，并且我在某平台也投诉了今天客服打电话态度并不是解决问题大胆的告诉我年利率36是合法的告知我还款APP</t>
  </si>
  <si>
    <t>2019/10/05 13:52:19</t>
  </si>
  <si>
    <t>投诉乱收金融服务费，打客服不给解决，目前仍然不解决且态度比较强硬。</t>
  </si>
  <si>
    <t>2019/10/05 13:52:03</t>
  </si>
  <si>
    <t>2019年8月28日在指上旅行借款3000元，分三期还，每期1030元，到账3000元，立马又扣去900元砍头息，美名其曰旅游卷，妥妥的高利贷，远超国家法定利率，现目前已还两期，第三期联系指上旅行客服协商还款未果并且侮辱了我本人，在我归还欠款中途，爆了我通讯录，严重骚扰了我的家人朋友，告诉我多久还他多久停止打电话，严打期间这种高利贷砍头息，带有严重黑社会性质的网贷竟然还能存在！要求指上旅行给我赔礼道歉并归还本金和国家法定利率销账，超出法定利率的一分也不会给。</t>
  </si>
  <si>
    <t>2019/10/05 13:50:32</t>
  </si>
  <si>
    <t>回过头来才明白，这就是高利贷，玖富万卡，店大欺客。</t>
  </si>
  <si>
    <t>2019/10/05 13:49:51</t>
  </si>
  <si>
    <t>投诉人李女士投诉对象宜人财富,宜人万花涉诉金额36480元问题类型诉求类型投诉详情宜人财富篡改客户正确收款账号以此作为款项不能到账的理由并以银行的名义索要前期费用未实际放款并出具不实账单且客服言语中存在恐吓威胁。</t>
  </si>
  <si>
    <t>2019/10/05 13:49:44</t>
  </si>
  <si>
    <t>实际借款1400，6天还款2000断头息，打电话暴力催还，给我通讯录联系人打电话辱骂。</t>
  </si>
  <si>
    <t>2019/10/05 13:48:35</t>
  </si>
  <si>
    <t>本人之前因为资金周转紧张在信用飞旗下品牌信用星球申请几次贷款，砍头息请退还.一共加一起已经超过2000多。</t>
  </si>
  <si>
    <t>2019/10/05 13:47:39</t>
  </si>
  <si>
    <t>投诉人 郭先生        投诉对象  点点通        涉诉金额  2 712 元    问题类型    诉求类型投诉详情  2019年7月4日点点通借款1910元 三期每期还款904元 已还两期1808元 现点点通还款网站进不去 联系不到客服 造成恶意逾期 请求只还本金跟合法利息</t>
  </si>
  <si>
    <t>2019/10/05 13:47:02</t>
  </si>
  <si>
    <t>因生意失败，资金周转不过来，家人也帮不上什么忙，2019年9月4号开始还不上贷款，微粒贷多次发打电话威胁恐吓催还，后来才不接的电话，并存在骗贷行为，要求协商停催。</t>
  </si>
  <si>
    <t>2019/10/05 13:46:50</t>
  </si>
  <si>
    <t>投诉人陈女士投诉对象中信银行涉诉金额5000元问题类型诉求类型投诉详情泄露个人隐私，骚扰无关人员，发恐吓短信，垃圾银行！。</t>
  </si>
  <si>
    <t>2019/10/05 13:46:39</t>
  </si>
  <si>
    <t>点点通本人已经归还了本金，高额的砍头息，现在还在通过各种手段骚扰我得亲朋好友。</t>
  </si>
  <si>
    <t>2019/10/05 13:46:06</t>
  </si>
  <si>
    <t>借款19000，分期12个月，每月还款1669和一份阴阳合同还款484,每月总共需还2153，已经还了10个月21530，还需还款4306。</t>
  </si>
  <si>
    <t>2019/10/05 13:45:42</t>
  </si>
  <si>
    <t>投诉人杨先生投诉对象小浦优客涉诉金额296元问题类型诉求类型投诉详情未经本人同意就扣款要求退款请官方处理谢谢。</t>
  </si>
  <si>
    <t>2019/10/05 13:45:41</t>
  </si>
  <si>
    <t>小花钱包的欠款逾期了两天，高利息，无视国家法律，在能联系我的同时恶意骚扰我亲友，群发短信。</t>
  </si>
  <si>
    <t>2019/10/05 13:45:12</t>
  </si>
  <si>
    <t>本人于9月4日在信用管家存钱柜改名为金钱保，申请一笔借款，放款方是畅捷支付，放款金额为3375，一个月分四期还款七天为一期，一期还款为1151.46，总还款就是要4605，一个利息就是1230，严重超出国家利率，今天是最后还款日实在无法尝还高额利息。</t>
  </si>
  <si>
    <t>2019/10/05 13:44:11</t>
  </si>
  <si>
    <t>优信二手车交易利息不对了而且贷款的额度比车价标价谈好的价格不一样。</t>
  </si>
  <si>
    <t>2019/10/05 13:42:46</t>
  </si>
  <si>
    <t>电联客服选择人工客服直接被挂断，任何选项都被自动挂断，平台没也联系不到客服，要求该平台注销非本人认证的个人身份证信息以及对占用本人身份证信息的账户公开给本人用于报案追责。</t>
  </si>
  <si>
    <t>2019/10/05 13:42:19</t>
  </si>
  <si>
    <t>10月5日出发，6日往返，预定前在途牛app看行程详情及标题清清楚楚也有往返，当时不放心还特意问客服专属顾问吕凤及签约客服，，她们给我回电都说有往返车程，专属顾问微信也给我截图确定说有返程行程，我信了就付钱，今日出游，出行导游提醒我是单程行程，不含往返，刚刚致电途牛，途牛客服答复我这就是单程不含往返，如往返需要自费，且需要3个工作日处理，现我对途牛旅游及专属客服吕凤做投诉，一，途牛网页不清不楚涉嫌欺诈消费者，二，途牛客服不专业，提供不了准确信息，误导消费者，三，客户遇到此类事件，途牛无法快速有效处理，且服务</t>
  </si>
  <si>
    <t>2019/10/05 13:40:47</t>
  </si>
  <si>
    <t>多宝分期借款3000，分三期还，一期10天，一个月利息高达988.80，远远超过国家规定利率，还款到期日5号，5号就疯狂打电话催促还款，没沟通然后就直接爆通讯录紧急联系人，已经说明了今天肯定还，而且并没有逾期，这种行为严重影响了我的信誉。</t>
  </si>
  <si>
    <t>2019/10/05 13:40:22</t>
  </si>
  <si>
    <t>本人于2018年9月5号在烟台机场被好几个机场人员带到柜台办理会员卡说交1500开通会员赠送1500元，并且用这个卡订机票还可以比其他网上订票便宜，以后订机票可以从这3000元抵扣，后来订机票根本就不是当时办理人员承诺得，只能抵扣不到二三十块钱，而且订票根本就不比别的网站优惠，反而还有时候贵，今年三月打电话给客服订票比别的网站贵很多，我就打电话投诉，又一个客服从新加我微信订票和别的网站价格一直，由于有急事就同意订票了，今年六月又打电话订票报的价格比我自己订票还贵五六十块钱，打电话也得不到解决，由于当时机票一</t>
  </si>
  <si>
    <t>2019/10/05 13:39:38</t>
  </si>
  <si>
    <t>小浦优客app申请借款，按步骤填写资料，然后最后要求绑定银行卡，绑定完成就开始审批，过了一个小时说是扣除296元个人信用报告费用，可是之前申请步骤并没有说明有这个费用，正规贷款也不应该有前期费用，涉嫌违规欺诈，因为不知道会有这种情况发生，申请过程没有截图。</t>
  </si>
  <si>
    <t>2019/10/05 13:39:13</t>
  </si>
  <si>
    <t>10月2日，4日均收到小花钱包的催款通知，这都忍了，我按时还款并无逾期的情况下小花钱包违约及无理催收对本人造成严重骚扰，现要求小花钱包停止提前催款的行为，并且进行道歉和解释！。</t>
  </si>
  <si>
    <t>2019/10/05 13:36:45</t>
  </si>
  <si>
    <t>商品分期132元，于昨日10月4号到期，昨天晚上还没扣款，就打了客服，直到今天也没打通，联系公众号客服说管不了，让我继续打电话，现在公众号客服也联系不到，电话也打不通，也自动还不了款，已经逾期一天了，此平台故意导致本人逾期，收取逾期费用。</t>
  </si>
  <si>
    <t>2019/10/05 13:36:43</t>
  </si>
  <si>
    <t>投诉人杨先生投诉对象申通快递涉诉金额29元问题类型诉求类型投诉详情申通快递错发地址导致快递收不到，而且还不能解决问题！要客服自己出钱解决问题！。</t>
  </si>
  <si>
    <t>2019/10/05 13:36:19</t>
  </si>
  <si>
    <t>平台存在高额砍头息，账户无法注销，联系不上客服，客服联系QQ被多人举报无法添加，要求该平台删除本人注册时绑定的所有个人信息防止泄露。</t>
  </si>
  <si>
    <t>2019/10/05 13:34:55</t>
  </si>
  <si>
    <t>借款3000元，到账2100，每月还款1050多，砍头息太高，现在还联系不上客服，打不开app，没法协约还款，已到还款日。</t>
  </si>
  <si>
    <t>2019/10/05 13:34:52</t>
  </si>
  <si>
    <t>按时还款，从未逾期，希望能恢复唯品花使用额度。</t>
  </si>
  <si>
    <t>2019/10/05 13:34:22</t>
  </si>
  <si>
    <t>我在现金借款借了2000元由于个人原因逾期了一段时间后来看了一下利息就2100多元总还款高达4100多，还给我上了负面纪录，支付宝公司不等于和高利贷合作的吗。</t>
  </si>
  <si>
    <t>2019/10/05 13:34:11</t>
  </si>
  <si>
    <t>于2018年12月25号在你我贷app上借款10000元，分12个月还清，这期间一共要还13600元给你我贷平台，利息跟各种费用加起来我要额外还3600，还有前二期还要交700所谓的平台服务费和贷后服务费用！这个数字已经严重违背了国家的法律利率，你我贷利用名义年利率钻客户的空子，欺骗跟误导广大消费者，名义年利率算下来是35.9%，实际他们给我计算的实际年利率差不多是80%，按照国家标准的不超过36%在这个点他们就利用名义利率的空子来欺骗消费者，按照最高的国家标准的年利率，他们是违法的，其次我第一月.第二个月</t>
  </si>
  <si>
    <t>2019/10/05 13:33:58</t>
  </si>
  <si>
    <t>本人在豆豆钱借了4000元，分三期还款，第一期正常还款，第二期因资金周转问题没有按时还款，随后该平台安排外包催收公司的人员对我通讯录内联系人进行电话骚扰，严重影响他们的生活，逾期一天的滞纳金接近本金的6-7%左右，后面资金周转过来了也就归还了该笔款项，近期第三期账单到期，与豆豆钱工作人员协商请求减免一部分滞纳金，但是他们说无法减免，刚刚查看了合同，合同约定滞纳金为本金＊0.1%＊逾期天数，但是账单显示的滞纳金并不是按照这个公示计算出来的。</t>
  </si>
  <si>
    <t>2019/10/05 13:32:44</t>
  </si>
  <si>
    <t>投诉人张先生投诉对象浙商银行涉诉金额3400元问题类型诉求类型投诉详情浙商银行信用卡把个人信息泄漏让外部催收对我家人及朋友进行电话轰炸！造成恶劣影响！我本人有主动联系客服，客服不作为！并且主动还款失败！到柜面办理，柜面属于国庆休息，处理不了，而且还去我单位进行骚扰！立即停止催收并且道歉。</t>
  </si>
  <si>
    <t>2019/10/05 13:32:10</t>
  </si>
  <si>
    <t>投诉人季女士投诉对象你我金融涉诉金额800元问题类型诉求类型投诉详情在与本人联系的情况下爆打通讯录里的电话，骚扰亲朋好友和同事。</t>
  </si>
  <si>
    <t>2019/10/05 13:30:42</t>
  </si>
  <si>
    <t>本人于2019年09月07日申请自由魔卡,预先支付350元，,实际到帐2000元，约定10月6日还款2050元，.明日到期,因为最近国家政策的原因,很多本来是循环额度的贷款类APP停止放款,还进去就无法再次提现,再有就是赶上国庆小长假,工资需要延迟到节假日结束后发放,导致本人资金周转困难.本人今天通过自由魔卡客服电话申请延期还款或者减免费用,对方拒绝,不得已只好通过聚投诉方式申请减免部分费用.声明:，本人借款时明确知道相关费用及还款日期,当下此举,实属无奈,另外,本人发自内心的感激自由魔卡平台在本人需要的时</t>
  </si>
  <si>
    <t>2019/10/05 13:30:07</t>
  </si>
  <si>
    <t>在小浦优客注册了账号，本想贷点款，结果没通过，过了两天就收到小浦优客的扣费短信，我查了下银行交易明细，一个叫通联沪快的公司从我卡里面扣了296元钱，然后我打客服电话也打不通，打114查询小浦优客和通联沪快的电话根本查不到。</t>
  </si>
  <si>
    <t>2019/10/05 13:29:01</t>
  </si>
  <si>
    <t>因为电话没常用停机了一天，以前也出现过这样的威胁短信，只要超过一天就会收到这样的威胁短信。</t>
  </si>
  <si>
    <t>2019/10/05 13:28:21</t>
  </si>
  <si>
    <t>之前在潭州教育报了日语课程，费用还未交齐，现在想退学，联系上的老师百般刁难，说可以去兼职，试图洗脑，不让我退学。</t>
  </si>
  <si>
    <t>2019/10/05 13:27:59</t>
  </si>
  <si>
    <t>投诉人崔先生投诉对象钱站涉诉金额9400元问题类型诉求类型投诉详情这边钱借出来了，那边银行卡不到账，而且还出账单，借9000，居然要我还15000，这利息6000块钱，客服人员都不敢说话，如果钱站不给我个答复，我一定会报警。</t>
  </si>
  <si>
    <t>2019/10/05 13:27:55</t>
  </si>
  <si>
    <t>在不知情的情况下被泰迪熊标记为骚扰电话，对我的生活造成影响，在官网上查询到让客服取消竟然需要花钱取消，对此要求泰迪熊移动给出合理解释，并将手机号码的标记取消。</t>
  </si>
  <si>
    <t>2019/10/05 13:27:53</t>
  </si>
  <si>
    <t>投诉人侯女士投诉对象对啊网涉诉金额6280元问题类型诉求类型投诉详情联系到的微信老师一直在推荐说有活动，价格便宜，告诉我包过的，后续不需要缴纳费用，可是后面我又了解到后续的考试费用还是需要自己出钱，也是需要自己在网上报名的，没有告知我，我就联系微信老师说我要求退款，说他没有告知我，微信老师说淘宝联系教务退款就可以了，可是联系客服半天不回消息的，申请淘宝2次退款都拒绝了，一直以学习给洗脑，后面又说他们主页上有说，可是我购买的时候老师发的链接给我让我直接拍下，也没有告诉我看注意事项，现在家里需要用钱，我想退这个</t>
  </si>
  <si>
    <t>2019/10/05 13:27:09</t>
  </si>
  <si>
    <t>信用管家推广的高利贷仙女花呗！申请金额3000元！分4期还款，每七天还款一期！每期还款1022.5元，一个月需要还款4000元多点！本人已经还款两期，该司系统原因导致无法还款让我恶意逾期！请信用管家与你平台的仙女花呗联系除去逾期费用！减免利息销账！。</t>
  </si>
  <si>
    <t>2019/10/05 13:26:57</t>
  </si>
  <si>
    <t>前几日下载了EnlightPixaloop，APP，软件提供了三天免费试用期，但在10月5日凌晨4:52分收到银行短信支出，228元信息，但此间本人正在酣睡，此举属于苹果手机未经用户同意私下授权行为，要求全额退款，并要求苹果公司此类操作做出合理的解释！。</t>
  </si>
  <si>
    <t>2019/10/05 13:26:10</t>
  </si>
  <si>
    <t>购买手机商家少发东西，本来打算七天无理由退货，商家有故意拖时间故意发错货，等东西到了发现发的是废品已经过七天无理由期，申请拼多多介入处理，而且拼多多客服态度特别不好，直接挂电话，最后不跟我解释直接给我30元拼多多代金券东西强制收货处理，受不了拼多多个商家态度，申请退货退款。</t>
  </si>
  <si>
    <t>2019/10/05 13:24:53</t>
  </si>
  <si>
    <t>小浦优客未经本人同意擅自扣款，要求退款，请给个说法。</t>
  </si>
  <si>
    <t>2019/10/05 13:24:20</t>
  </si>
  <si>
    <t>本人在马上消费金融旗下产品安逸花申请循环贷，总金额3200元，期间一直正常使用，连app都并未通知，对账号进行锁定，无法消费和提现。</t>
  </si>
  <si>
    <t>2019/10/05 13:23:51</t>
  </si>
  <si>
    <t>来分期催收员15117690237,17041418289，因为最近需要用钱，手里紧张，来分期就逾期了几天，催收员就天天打电话，发信息骚扰我，，还说难听的话，我跟他说了再等几天，有钱了就还了，我没说不还，，他还强制要求我立刻还钱，，还说我心态险恶，，。</t>
  </si>
  <si>
    <t>2019/10/05 13:23:19</t>
  </si>
  <si>
    <t>投诉人 吴先生        投诉对象  小花钱包        涉诉金额  14 000 元    问题类型    诉求类型投诉详情  威胁暴通讯录，侮辱，骚扰通讯录的亲人朋友。</t>
  </si>
  <si>
    <t>2019/10/05 13:23:17</t>
  </si>
  <si>
    <t>投诉人 高先生        投诉对象  多宝分期        涉诉金额  3 988 元    问题类型    诉求类型投诉详情  还款失败 联系客服线下转账未销账 希望尽快处理吧</t>
  </si>
  <si>
    <t>2019/10/05 13:22:00</t>
  </si>
  <si>
    <t>之前急用钱在上面借了1500，实际到手1300多，到期要归还1590，，还有一笔贷款1300，保费去掉100多，集体多少我看不到，也忘了，反正借款一个月，1300的款款只能拿到1100百多，因为借款成功后只能看到要还款的金额！连订单号都没有，可想而知这样的平台催收有多可怕……望社会中的受害人也能参与进来投诉，让有关部门下架这种社会毒瘤。</t>
  </si>
  <si>
    <t>2019/10/05 13:21:57</t>
  </si>
  <si>
    <t>投诉人 郏先生        投诉对象  平安普惠        涉诉金额  199 000 元    问题类型    诉求类型投诉详情  没有逾期过一次。都提前5天还款日就连续打电话催还款。每次说了微信说下就可以了。还是一直打电话。我又没有逾期。怎么就直接电话轰炸了。算咋回事？？不是一两个月了。是连续几个月都这样。。。。</t>
  </si>
  <si>
    <t>2019/10/05 13:21:52</t>
  </si>
  <si>
    <t>投诉人 黄女士        投诉对象  贷上钱        涉诉金额  2 660 元    问题类型    诉求类型投诉详情  贷上钱借了2000元，到期还款2660。利息过高，要求还本金和国家要求的利息就好。</t>
  </si>
  <si>
    <t>2019/10/05 13:21:14</t>
  </si>
  <si>
    <t>快鱼分期下款就扣了利息，分三期每个月还要还540多还要收利息，一开始还从我卡上莫名扣了几十块钱，逾期两天就打电话催，信息一天发几个，4天就爆通讯录打电话给第三方。</t>
  </si>
  <si>
    <t>2019/10/05 13:20:11</t>
  </si>
  <si>
    <t>1.本人在小赢卡贷app借款15000元，分12期，等额本息，共还20398.92元，实际利率66.46%，但是合同中明确表示年利率为7.2%，月利率为年利率除以12，合同利率与实际利率存在巨大差别，小赢实际上收取了巨额利息，2.小赢卡贷在还款第一期中多加525元，名为保险费，此为强行捆绑保险，且不得不还，即是变相砍头息，3.最高人民法院关于审理民间借贷案件适用法律若干问题的规定：第二十六条规定：借贷双方约定的利率未超过年利率24%,出借人请求借款人按照约定的利率支付利息的,人民法院应予支持，借款人请求出借</t>
  </si>
  <si>
    <t>2019/10/05 13:19:42</t>
  </si>
  <si>
    <t>说给我换我不想要了，他说退款需要加他微信给他转30块钱快递费！。</t>
  </si>
  <si>
    <t>侮辱恐吓我的家人朋友要求赔偿我的损失并且书面道歉。</t>
  </si>
  <si>
    <t>2019/10/05 13:18:27</t>
  </si>
  <si>
    <t>普惠快信利息超36％，借款1998元，分12期，第一期还款409.3元，剩下11期每期要还241.47元，整体算下来要我还3065.47元，利息都到51%了，这本来是法律不保护的，很多人却被非法上征信了，我不想上征信，所以我希望只偿还本金。</t>
  </si>
  <si>
    <t>2019/10/05 13:17:35</t>
  </si>
  <si>
    <t>投诉人马先生投诉对象麦子金服,名校贷,名校白领贷涉诉金额2000元问题类型诉求类型投诉详情百分之二十砍头息，应被说成服务费，暴力催收，短信，电话，对自己亲人朋友进行轰炸，利息明显高于中国人民银行规定，现我已将所以本金利息还清，请退还我2000元砍头息。</t>
  </si>
  <si>
    <t>2019年10月5日10点02分中金支付、鸿飞担保从我本人名下尾号7536平安银行恶意盗扣走我399元，下面是收到的短信内容，中金支付尊敬的用户，温馨提醒您鸿飞担保从您绑定尾号7536的储蓄卡中扣除399.00元，如有疑问请联系维信金科热线：4000523528。</t>
  </si>
  <si>
    <t>2019/10/05 13:17:19</t>
  </si>
  <si>
    <t>投诉人王先生投诉对象GoFun出行涉诉金额900元问题类型诉求类型投诉详情租车当时是可以正常行驶的未发现问题，出发十公里上了高速后突然发现车子无法提速了，几分钟内电量迅速下降，车速降至10公里每小时，运维负责人表示拖车费不可能给我们赔偿，注意此时我们刚上到高速一会儿根本附近没路口可以下去，发现问题我们当即拨打了gofun的客服电话，客服1嘲笑了我们不懂高速救援的相关知识后只是提供了一个公共高速救援电话号码，并未提供任何他们平台能提供的有效帮助，这是由于车子的故障问题，我们作为经常租gofun车的用户还是相信</t>
  </si>
  <si>
    <t>2019/10/05 13:16:00</t>
  </si>
  <si>
    <t>714网贷，借1500，到账1200，3天后还1500借3000，到账1950，6天后还3000借2000，到账1400，6天后还2000。</t>
  </si>
  <si>
    <t>2019/10/05 13:15:43</t>
  </si>
  <si>
    <t>10月2号下载了这个app然后让注册绑定银行卡，说什么有个个人风险评估要扣钱，我点了小银券结果10月4号就无缘无故私自扣我银行卡的钱，打电话给客服还跟我说绑定了银行卡就是你本人已确定支付，说什么退款要寄个人身份证复印件和什么手持身份证的照片，谁知道你们会拿着我的信息干嘛，而且你们这个软件苹果商城根本下载不了都是什么链接下载的，赶紧退款！你们就是个中间公司我还以为注册就能借款。</t>
  </si>
  <si>
    <t>2019/10/05 13:15:13</t>
  </si>
  <si>
    <t>本人正常接听电话，一个接一个的打电话，严重影响上班，打到单位，未经过同意打给同事，打给朋友，更严重的是把孩子学校的老师也给人肉出来了，随意侵犯他人隐私，严度极其恶劣，严重影响生活。</t>
  </si>
  <si>
    <t>2019/10/05 13:14:45</t>
  </si>
  <si>
    <t>跟对方协商，还本金给我手机解锁，我转一千零五十，对方回复说还有罚金五百，我又转了五百，对方又说还有罚金1500，我没办法接受，他们说叫我换主板，不给我解。</t>
  </si>
  <si>
    <t>2019/10/05 13:14:29</t>
  </si>
  <si>
    <t>app用不了，并且逾期费不停在涨，原本就是砍头息，希望立即能提供官方渠道，提供有效解决办法！。</t>
  </si>
  <si>
    <t>2019/10/05 13:13:31</t>
  </si>
  <si>
    <t>因电话无人接听，就联系对本人及亲戚朋友进行短信轰炸，严重影响别人的正常生活。</t>
  </si>
  <si>
    <t>2019/10/05 13:13:04</t>
  </si>
  <si>
    <t>有余最近资金遇到困难，周转不开，在小花钱包借款未能按时还款，客服不协商，直接短信恐吓威胁，骚扰家人及朋友，严重影响到我和家人及亲朋好友的正常生活和工作，如继续骚扰我会采取法律程序保护我及家人的合法权益，希望停止骚扰，正在想办法解决尽快还款。</t>
  </si>
  <si>
    <t>2019/10/05 13:12:59</t>
  </si>
  <si>
    <t>2019/10/05 13:12:05</t>
  </si>
  <si>
    <t>本人2019年10月4日晚上9点30分农业银行卡莫名被扣款50远整，感觉不对立即查询扣款明细，看到是通联沪快支付渠道扣款，然后又马上联系对方通联支付客服提供携趣信息科技上海有限公司号码4008888085，本人拨打过去客服，客服称对方不是携趣信息科技，称这个号码是上海造艺网络技术有限公司，并且称是本人10月1日申请网络小贷易小借app评估服务299元，说是由于当时农行卡余额不足导致扣款失败，所以先扣50，并信誓旦旦说是本人同意的，口口声声说对方提供了评估服务，所以剩下的款项后续会继续扣款扣完，天呐，本人承认</t>
  </si>
  <si>
    <t>2019/10/05 13:11:24</t>
  </si>
  <si>
    <t>以司法程序威胁恐吓，一张所谓的“公安报案控告函”，到处以短信的形式发给我身边的朋友，朋友实在是不胜其扰又无可奈何，有什么事情冲着我来就行，别恶心吧啦骚扰我朋友，这般恶行径还是银行吗。</t>
  </si>
  <si>
    <t>2019/10/05 13:10:46</t>
  </si>
  <si>
    <t>投诉人李先生投诉对象万博体育,万博涉诉金额2000000元问题类型诉求类型投诉详情前阶段在QQ群的一个自称可以带我赚钱的人诱导我在一个欧洲最大的博彩平台，导致我输了200万曝光一下网站manbet.com我现在很无助生活混浆浆的这辈子积蓄都被他们忽悠没了。</t>
  </si>
  <si>
    <t>2019/10/05 13:10:10</t>
  </si>
  <si>
    <t>本事实在是这个月资金困难，没有按时还款，就恶意催收我。</t>
  </si>
  <si>
    <t>2019/10/05 13:07:39</t>
  </si>
  <si>
    <t>交通银行信用卡不停打电话威胁骚扰，人快被逼死了，说了会想办法还款，不依不饶的不停打电话，一个小时打一次电话威胁。</t>
  </si>
  <si>
    <t>2019/10/05 13:07:15</t>
  </si>
  <si>
    <t>13点金币兑换商品，13点01分就没有了，哪有这么快的。</t>
  </si>
  <si>
    <t>2019/10/05 13:06:34</t>
  </si>
  <si>
    <t>一个月前我在智行上买火车票，当时没有票了，我把车次加入了监控，选择的运行方式是抢到票后再通知我付款，而且我没有添加任何的加速包，今天10.51分突然收到抢票成功的短信，我11.30分打开一看，智行联合支付宝上的上海蒜牙信息科技有限公司自动扣款了我交行信用卡中的768元，，这768元包括了2个50元的加速包共100元，两张火车票673元，这是智行联合上海蒜牙信息科技有限公司在我完全不知道的情况下，给我开通了一系列的免密支付的骚操作，我马上申请退款，只给我退了605.5元，这到最后让我在完全不知情的情况下损失了</t>
  </si>
  <si>
    <t>2019/10/05 13:06:31</t>
  </si>
  <si>
    <t>2019年10月4日晚上十点左右交通银行卡被莫名划扣钱款，查看后才发现是中兴付划扣的，4日一整天没有进行任何第三方操作，给划扣的权限，我连中兴付是什么都不知道，就被莫名扣钱，我都没有给权限就能划扣银行卡钱款，这是银行的漏洞还是银行给的权限，在不知情的情况下就能扣钱，这是盗取，盗刷，中兴付给我个说法，还我钱财。</t>
  </si>
  <si>
    <t>2019/10/05 13:06:19</t>
  </si>
  <si>
    <t>严重影响我以及我家人朋友的正常生活要求赔偿我的损失。</t>
  </si>
  <si>
    <t>2019/10/05 13:04:23</t>
  </si>
  <si>
    <t>发快递时候说的好好的的，给我好好包装别弄坏了，东西挺贵的，结果快递到了收件方东西还是给摔坏了，你如果保证不了就别收件，不能为了赚钱不管别人的东西好坏吧，现在东西坏了我联系快递公司他说给我修，我说如果原厂的修可以，快递公司给我修了今天去验收，用眼睛一看就能看出来，我现在没办法接受他们给我修的，要求赔偿，快递员说话特别难听。</t>
  </si>
  <si>
    <t>2019/10/05 13:03:20</t>
  </si>
  <si>
    <t>催收要求我协商，我说我这月刚上班，之前几期我都是按时还上，我说我下月还，我有还款意向的，她就威胁我要打给我紧急联系人，然后说什么移交法务部门，还发短信借款2000，12期还2700多，但是给我扣了什么服务费什么管理费各种的我要求退还我，你既然不想跟我协商何必要跟我说协商，对我精神产生不好的影响，我要求给我解释，处理催收人员暴力威胁催收。</t>
  </si>
  <si>
    <t>2019/10/05 13:00:42</t>
  </si>
  <si>
    <t>在百万钱包公众号贷款了15000元分12个月，每个月还款1505元共计18060元，另改平台还收费所谓担保费，每个月390元分6个月，共计2340元，合计借款15000元一年，需要还款20400元，要求提前结清剩余本金，不想承担多余的担保费及高额利息，多次沟通，该平台都不予受理，至今已经3个月。</t>
  </si>
  <si>
    <t>2019/10/05 13:00:30</t>
  </si>
  <si>
    <t>爆通讯录严重影响我以及我的家人朋友的正常生活。</t>
  </si>
  <si>
    <t>2019/10/05 12:59:35</t>
  </si>
  <si>
    <t>本人于2019年7月11号由于生意上资金周转不来，所以在逛微博的时候发现微博推出了借款服务，抱着试一试的心态，点击借款就直接借款成功，分期6个月额度3000元，借款成功没有任何合同，也看不到合同在哪里，发现借款3000元，6个月利息高达540元，国家规定年利率超过36%不用还，你这半年就达到了36%，严重超出了国家的规定标准，还不能提前还款，本打算不用了，联系客服一直没人回应，一直拖到了现在，我已经还了两期了，也没逾期过，希望微博借钱能减免剩下利息，我一次性还清，绝不拖欠，不同意处理，我将向银监会，315协</t>
  </si>
  <si>
    <t>2019/10/05 12:59:30</t>
  </si>
  <si>
    <t>严重骚扰，暴力吹收！恐吓，拨打通讯录联系人！。</t>
  </si>
  <si>
    <t>2019/10/05 12:59:18</t>
  </si>
  <si>
    <t>本人于2019年7月惠州平潭机场乘坐飞机到温州，被几个身穿制服的工作人员叫住，询问我到哪里，票价多少钱买的，说在她们那里买票要比我们现在的票价还便宜很多，现在推出的新业务，办卡还可以直接去国内各大机场的贵宾接待室等候，现在活动是充1880送1120，卡里总价值是3000，当时说的是存的是随时买机票的钱，并且比其他app的价格都要便宜，也可以帮朋友订票，没有限制，本人在办理之后发现消费时与办卡人员说的并不相符，因时间仓促，再后来上网查询，全部都是关于明珠贵宾卡的欺诈信息，再打电话查机票，发现卡中的钱不能用来预</t>
  </si>
  <si>
    <t>2019/10/05 12:58:45</t>
  </si>
  <si>
    <t>无缘无故的爆打我的手机电话，还换着号码故意骚扰。</t>
  </si>
  <si>
    <t>2019/10/05 12:58:25</t>
  </si>
  <si>
    <t>本人因在该平台资金周转暂时不能还款，对方客户来电说我故意不还还要威胁说曝我通讯录，难道51人品贷这么正规的平台是这样对待自己的客户吗，需要给我一个合理的解释。</t>
  </si>
  <si>
    <t>2019/10/05 12:58:18</t>
  </si>
  <si>
    <t>我已经明确表达了我的还款意愿，对方直接给我安上了恶意拖欠，催收人员为王千瑶，同事骚扰通讯录联系人，美其名曰核实经济状况，实则威胁恐吓，更是说出随便你还不还，按照流程走，拨打通讯录。</t>
  </si>
  <si>
    <t>2019/10/05 12:57:35</t>
  </si>
  <si>
    <t>不想交要求撤销合同客服不理，问电话说没有，明显骗子，而且钱没到账单就出来了，怎么还。</t>
  </si>
  <si>
    <t>2019/10/05 12:57:28</t>
  </si>
  <si>
    <t>就威胁我们给我们差评，我们告知他这样威胁我们，我们就不发货了，结果买家投诉我们延迟发货，结果处理投诉的小二判定我们延迟发货，我们再去申诉又失败了。</t>
  </si>
  <si>
    <t>并没有在这个平台借过，然后说我借了骚扰我的通讯录，我登录这个软件说我借了2000，5天利息700，到账只有1100，不说多的，必须跟我道歉，这个钱也绝对不可能还我根本就没有借。</t>
  </si>
  <si>
    <t>2019/10/05 12:57:14</t>
  </si>
  <si>
    <t>被学校强制安排来顶岗实习，被公司不当人一样的加班上班，每天平均13+小时，工作强度大，工作薪资低。</t>
  </si>
  <si>
    <t>2019/10/05 12:56:32</t>
  </si>
  <si>
    <t>投诉人 冯先生        投诉对象  宏萨信息科技        涉诉金额  296 元    问题类型    诉求类型投诉详情  要求退款道歉赔偿，改善服务，尽快退还扣款</t>
  </si>
  <si>
    <t>2019/10/05 12:56:16</t>
  </si>
  <si>
    <t>中国银行卡于2019年9月30日分别被盗扣4997人民币，4998元人民币，盗扣对方账户名分别为“，该行就有义务保护储户的资金安全（特约）银联代收、（特约）银联代收，被扣两笔对方账号均为27430148149999”因为本卡手机关机，未收到通知，所以在这被盗两个时间里未能及时发现，在开户行工作人员也只是说不是在柜台办理，是网上消费，但我本人的确未参与这三笔支出，储户出于对中国银行的高度信任，把血汗钱放入该行，该行就有义务保护储户的资金安全，盗扣账号27430148149999已被投诉过，中国银行应该及时将此</t>
  </si>
  <si>
    <t>2019/10/05 12:56:12</t>
  </si>
  <si>
    <t>至尊逾期的，协商到10号还款，国庆节财务不发工资。</t>
  </si>
  <si>
    <t>2019/10/05 12:56:07</t>
  </si>
  <si>
    <t>本人于9月5日在自由摩卡诺和信用计划，申请借款，平台收取高额砍头息，今天到还款日，联系不到客服，害怕被爆通讯录，不得已通过支付宝扫码转账还款，现要求退还砍头息和利息，如果置之不理，将向其他平台和扫黑除恶办公室进行举报。</t>
  </si>
  <si>
    <t>2019/10/05 12:55:33</t>
  </si>
  <si>
    <t>本人于2016年10月3日在名校贷借款15000元，分期36期，该平台扣除3000元咨询费且仍算做本金计算利息，本人实际到手12000元整，现已结清，还款期间有一次因为晚上提现的延迟逾期一次，还有一次由于名校贷版本改进，一共逾期两次，但两次第二天就还了，由于这个原因我结清借款后，平台拒绝退还借款时的押金3000元咨询费。</t>
  </si>
  <si>
    <t>2019/10/05 12:55:31</t>
  </si>
  <si>
    <t>本人与其无任何交易来往，也未与其签到任何代扣协议，这完全是其单方面行为，希望贵公司能退还所扣金额，避免贵公司信誉受损，退款后本人不再追究，谢谢。</t>
  </si>
  <si>
    <t>2019/10/05 12:55:18</t>
  </si>
  <si>
    <t>买家退货回来，圆通9月28号私自代签收我的包裹，我9月30号晚上去取件时发现包裹已经破损，里面的物品已经损坏，我当场拒收并拨打圆通投诉电话进行投诉，买家退货时，我们有特别叮嘱，要连包装盒一起寄回，买家擅自扣留包装盒，导致物品运输途中破损，由于包裹已经被圆通提前代签，并且圆通拒不提供物流破损红章证明，导致淘宝以正常签收为由扣款。</t>
  </si>
  <si>
    <t>2019/10/05 12:54:59</t>
  </si>
  <si>
    <t>投诉人 迟先生        投诉对象  (特约)中智        涉诉金额  275 元    问题类型    诉求类型投诉详情  在2019年10月5日上午 连续4笔扣款来自与 (特约)中智(还款) 而且本人从未和该公司签订过任何协议 已经向当地警方报备 现在要求此公司退回扣款 如需要联系本人 请致电138******57 谢谢</t>
  </si>
  <si>
    <t>2019/10/05 12:54:54</t>
  </si>
  <si>
    <t>结果隔天未经允许从我卡里扣费250说我订了什么套餐。</t>
  </si>
  <si>
    <t>2019/10/05 12:53:32</t>
  </si>
  <si>
    <t>开店宝pos机老是显示外省虚假商户三单不一致，联系业务员不给退机退押金。</t>
  </si>
  <si>
    <t>2019/10/05 12:52:35</t>
  </si>
  <si>
    <t>滴滴公司根本不派单，对我们双证司机，而且要派也是2.5公里的单子去送个三点几公里，根本不赚钱了，还天天忽悠我们买车合规，司机根本赚不到钱了，而且根本不派单，垃圾平台。</t>
  </si>
  <si>
    <t>2019/10/05 12:52:19</t>
  </si>
  <si>
    <t>投诉人蒋先生投诉对象造艺科技涉诉金额299元问题类型诉求类型投诉详情前几天下载了聚富分期，结果有个299的费用，本人没有点，就卸载了，结果几天就扣了我299，客服说3天到账，3天又没到账，。</t>
  </si>
  <si>
    <t>2019/10/05 12:52:08</t>
  </si>
  <si>
    <t>再联系我本人的情况下，威胁我十二点之前必须把钱还上，联系我的时候已经十一点半了！十二点二十给我来点，说我恶意拖欠，要我准备材料起诉我，要安排人去我家调查！既然说了这么多为什么不直接去，现在我已经不想还了，你们不起诉我，我就不还了。</t>
  </si>
  <si>
    <t>2019/10/05 12:51:56</t>
  </si>
  <si>
    <t>在玖富万卡借款，已还多期，本金及利息已还清，剩下的不合理高利息拒绝还款，玖富暴利催收，。</t>
  </si>
  <si>
    <t>2019/10/05 12:51:51</t>
  </si>
  <si>
    <t>在360贷款，贷50000说收取百分之10的手续费，说的是先交2500到账后再交2500结果钱没到我卡里就说把剩余的2500交了才能到我卡里，结果我交了中间出了点问题，人家说还得交五万的百分之三十的保证金才能处理，不交就处理不了，完全就是空手套白狼，说的跟做的不符，完了我说那我不待了把我那5000给退回来，人家说不行，退不了。</t>
  </si>
  <si>
    <t>2019/10/05 12:51:40</t>
  </si>
  <si>
    <t>晚上六点短信通知余额不足10元凌晨一两点断网充话费也没恢复打电话给江苏移动人工客服告知我要运营商服务密码，手机号身份证号不能查明什么原因吗。</t>
  </si>
  <si>
    <t>2019/10/05 12:50:37</t>
  </si>
  <si>
    <t>2019年8月14日在现金巴士平台，借款金额2000元整，分期三期还款，每期还款金额为726元整，三期合计应还为金额2178元整，结果合同签订金额为2000元整，到账银行卡只有1682元整，该公司放款时扣了318元砍头息，导致借款2000元总利息为496元，远远超出了我的承受能力，国家明文规定一律不准出现砍头息，套路贷，这属于高利贷行为，目前该贷款已经还了一期，我要求该贷款公司退还砍头息，如果能退会砍头息，我愿意提前结清，否则继续收集证据再向银监会投诉。</t>
  </si>
  <si>
    <t>2019/10/05 12:49:49</t>
  </si>
  <si>
    <t>本人一直良好使用浦发银行信用卡，但近期因资金链断裂，9月13日还款日未能还款，逾期之后，利息高达1600多元，目前利息还在高涨，浦发银行信用卡委托第三方催收公司实施软暴力催收，催收人员用“呼死你”，每天给我拨打多个催收电话，影响我的正常工作和生活，特此投诉，本人一直有良好的还款态度，并且在持续还部分款项，但浦发银行信用卡每天都实施电话骚扰，明显属于过度催收！我要求浦发银行信用卡停止骚扰，赔礼道歉，重新调整高额利息！。</t>
  </si>
  <si>
    <t>2019/10/05 12:49:16</t>
  </si>
  <si>
    <t>逾期第一天一堆电话，威胁通讯录，我没有授权通讯录，你们哪来的通讯录。</t>
  </si>
  <si>
    <t>2019/10/05 12:48:53</t>
  </si>
  <si>
    <t>本人8月2号和9月15号在钱站分别借款各1000元，8月2号的合同显示借款1320元，实际到账1000元，3期3个月需还款1404.11元，钱站合同显示与实际到账严重不符，利息严重超出国家的法律规定，是典型的高利贷，强烈要求钱站将利息调整到法律规定之内，并停止骚扰。</t>
  </si>
  <si>
    <t>2019/10/05 12:48:30</t>
  </si>
  <si>
    <t>晚上打的滴滴司机要求加空车返回的钱就取消了但是一直没退预付款。</t>
  </si>
  <si>
    <t>2019/10/05 12:47:50</t>
  </si>
  <si>
    <t>想要和闪电借款协商一下，本金还款，然后给我两天时间，国庆节期间，任何地方都不放款，工资没有发，实在是倒不过来了，闪电借款也不可能在国庆节期间骚扰通讯录，希望贵平台转告一下，联系我，联系客服说协商不了，每次借款都得买500块钱的黑卡。</t>
  </si>
  <si>
    <t>2019/10/05 12:47:23</t>
  </si>
  <si>
    <t>点点通到期不主动扣款，逾期一天发来还款链接打不开，恶意让借款人逾期，高利贷，砍头贷，电话骚扰家人。</t>
  </si>
  <si>
    <t>2019/10/05 12:46:57</t>
  </si>
  <si>
    <t>匿名用户在百度旗下“百度知道”发布与捏造事实诬告陷害他人信息，百度平台没有严谨审核验证内容是否真实，处理内容不当，该事件干扰他正常生活。</t>
  </si>
  <si>
    <t>2019/10/05 12:46:32</t>
  </si>
  <si>
    <t>安逸花逾期利息太高，协商减免，客服强硬态度不给协商，。</t>
  </si>
  <si>
    <t>2019/10/05 12:46:12</t>
  </si>
  <si>
    <t>总共要还3000多，逾期一天100多块钱利息！。</t>
  </si>
  <si>
    <t>2019/10/05 12:45:45</t>
  </si>
  <si>
    <t>贷上钱就擅自骚扰我的通讯录联系人，泄露我的个人信息，并且该公司以贷款通过费的形式购买了游戏豆，涉嫌违法收取高额贷款通过费用，要求停止骚扰，退货退款。</t>
  </si>
  <si>
    <t>2019/10/05 12:45:19</t>
  </si>
  <si>
    <t>投诉人朱先生投诉对象小浦优客涉诉金额296元问题类型诉求类型投诉详情未经我同意。</t>
  </si>
  <si>
    <t>2019/10/05 12:45:14</t>
  </si>
  <si>
    <t>无法还款，修改手机号码以后主动还款也不能还款，没换号码之前也是登陆不了app，不能主动还款，现在修改成功了，能登陆app了，客服说我不符合修改成功的，也没有记录的，我都搞不清楚是他们客服联系我修改的，我现在还款各种途径都还不了。</t>
  </si>
  <si>
    <t>2019/10/05 12:44:08</t>
  </si>
  <si>
    <t>2018年4月13号在捷信金融公司消费贷6万，当时客服天天打电话让借钱，那段时间确实手里紧张就借了，客服告诉我每个月本来1700多！分60期，一直跟贵公司保持良好的合作关系！于8月资金断裂，没有及时还款打电话给家人，家人协助还款了！一时半会资金还不是很充足！于家人商量怎么还款后打电话给捷信金融公司告知我已还金额3.56万，可是本金才7千块钱，我已经还了快一年半了，这么算下来要还13万，当时你们客服怎么不说清楚呢，为什么没有直接告诉我每个月管理费，服务费呢，就打电话来忽悠我借款，跟你们协商你们就说自己是正规合</t>
  </si>
  <si>
    <t>2019/10/05 12:43:49</t>
  </si>
  <si>
    <t>投诉美团信用卡设置不合理导致还款逾期，现在就以下2个问题投诉江苏银行：1，江苏银行美团信用卡以62开头无法在串串盈app还款，各行app还款，唯独美团信用卡不可以，质疑此卡，开卡当初银行业务员并未告知美团信用卡无法使用支付宝等app还款，也未提及是否需要开储蓄卡绑定还款业务或者使用何种方式还款，就此事电话95319多次，银行并未做出任何解释，本人名下信用卡7、8张用卡几年来从未逾期，本次江苏银行美团卡这个卡种导致逾期金额不过373.44元，并不是本人意愿江苏银行应负责人，9月20号是本人工资日，当日傍晚偿还</t>
  </si>
  <si>
    <t>2019/10/05 12:43:09</t>
  </si>
  <si>
    <t>自由魔卡平台里的口袋有余借款，借款1700元，需要买会员卡425元，实际到账1275元，借款期限30天，实际还款时间28天，变相的以买会员卡的形式收取砍头息，并且其客服人员态度恶劣，后期客服电话也打不通，希望有关部门能介入调查，本人已经将所有相关转账记录，手机截图等相关证据保留，将以书面形式递交材料，向上一级央行及银保监会、工商管理总局，互联网金融协会等相关部门投诉，必要时将以起诉的形式向法院提起诉讼。</t>
  </si>
  <si>
    <t>2019/10/05 12:42:50</t>
  </si>
  <si>
    <t>投诉人麦先生投诉对象玖富涉诉金额16000元问题类型诉求类型投诉详情本人于2019年6月29日向玖富万卡平台贷款16000元，第一期账单还款时发现共需要支付5747元的高额的利息，而且还一直无法还款，系统提示绑定的银行卡，不支持还款；咨询客服后表示因系统无法对我绑定的卡片还款，需要更换绑定其他银行卡，本人根据客服人员指引重新办理了一张工行的银行卡，办理后通过APP及微信公众号都尝试绑卡都失败，，核对过失败原因导致可能的问题，本人工行卡片信息及卡片状态正常，多次联系客服和催收的工作人员都投诉及反馈该问题，但是</t>
  </si>
  <si>
    <t>2019/10/05 12:42:23</t>
  </si>
  <si>
    <t>今日还款时你我贷app无法主动还款，代扣还款也是失败，联系你我贷客服，客服让我对公还款，现已通过银行转账的方式进行了对公还款，，可你我贷那边还一直不销账，不知是什么原因，望贵平台联系你我贷那边负责人员让其与我联系。</t>
  </si>
  <si>
    <t>2019/10/05 12:41:34</t>
  </si>
  <si>
    <t>胖胖有米侵犯隐私，不断给亲戚朋友发送言语辱骂短信。</t>
  </si>
  <si>
    <t>2019/10/05 12:41:28</t>
  </si>
  <si>
    <t>服务费，保险费，高利贷，利息等于本金，逾期利息。</t>
  </si>
  <si>
    <t>2019/10/05 12:41:03</t>
  </si>
  <si>
    <t>本人于19年6月份在黑龙江哈尔滨永泰城瓜子二手车服务中心购买一辆东风标志408轿车，至今未开具发票，多次与客服人员协商均未果！望尽快给开具正规增值税发票，。</t>
  </si>
  <si>
    <t>2019/10/05 12:40:57</t>
  </si>
  <si>
    <t>2019年4月7日在够花呗借款6000元分6期，到10月7日结束，已经正常还了5期，最后一期app无法还款，让添加QQ368461075进行还款咨询，添加客服，一直没人回话怎么还款，恶意让客户逾期。</t>
  </si>
  <si>
    <t>2019/10/05 12:40:52</t>
  </si>
  <si>
    <t>因为手头紧张，来分期逾期了，催收员就每天不停的打电话发信息给我，，我回答他有钱了就还，，他就说我心态额度，阴险等，还说我脏，，还强制要求我还款，，否则就泄露我的信息给其他的网贷平台，，我说了我会还他，，只是再等几天，，随便侮辱他人，我要求开除他，，。</t>
  </si>
  <si>
    <t>2019/10/05 12:40:26</t>
  </si>
  <si>
    <t>投诉人宣志强投诉对象天猫艺世界旗舰店涉诉金额30元问题类型诉求类型投诉详情10月2号在天猫艺世界旗舰店购买一面镜子，10月3号卖家虚假发货显示等待揽收一直到6号还是等待揽收，联系快递公司快递公司表示根本没有这个订单！耽误这个时间希望给出个解释！对卖家这种虚假发货的做法给出惩罚。</t>
  </si>
  <si>
    <t>2019/10/05 12:40:10</t>
  </si>
  <si>
    <t>本人于2019年5月2日在豆豆钱上借款6000元，实际到账只有5501元，共分期为6期尝还，每期尝还金额为1174元，总得还款下来为7044元，每月3号还款，之前一直发短信提醒，正常还款，本月未有短信提醒，我想起来要还款的时候，我于2019年10月4日还款第五期时需要多收100元，本人不认可，之前有短信提醒，为什么现在未有短信提醒，而在自己也查看，未经过我的同意，在不知情的情况下，强制购买非法保险费用499元，变相砍头息，以及购买担保费按每月还款扣，本人后期查看才知道这个所谓的担保费非法保险费以及跟会员费，</t>
  </si>
  <si>
    <t>2019/10/05 12:39:22</t>
  </si>
  <si>
    <t>投诉人付长清先生投诉对象微信涉诉金额2689元问题类型诉求类型投诉详情2019.7.16和17号本人水果店销售产品，客户扫码结账我们发货给客户，几天后发现钱没有到银行卡，才发现是被微信冻结，我们按照微信要求提供申诉材料，没有结果，我们和微信再次沟通，说不要频繁申诉，果断时间再提交，我们等了差不多一个月再次申诉提交材料，还是没有结果。</t>
  </si>
  <si>
    <t>2019/10/05 12:37:20</t>
  </si>
  <si>
    <t>投诉人许女士投诉对象中信信用卡涉诉金额280000元问题类型诉求类型投诉详情信用卡逾期后，被中信信用卡催收，在九月底时做了减免，也已经还了减免后改还的钱，也问清是否已经不会再发律师信，催收员明确回答是的，并且说下个月正常账单还款就行，结果今天又收到中信信用卡短信通知说寄了律师函去。</t>
  </si>
  <si>
    <t>2019/10/05 12:36:33</t>
  </si>
  <si>
    <t>实际到账2160，扣除了840的所谓的“服务费”，然后利息太高，超过国家规定，截止到10月5日平台APP无法登录，导致逾期，变相收取高额逾期费用，本人已经在9月18日还款1500多，现在本人拒绝偿还高额利息，只偿还余下本金690电话打来就是威胁，还恐吓要找我家人，暴力催收，希望可以协商还款，拒绝高额利息。</t>
  </si>
  <si>
    <t>2019/10/05 12:34:23</t>
  </si>
  <si>
    <t>投诉人 李女士        投诉对象  水莲金条        涉诉金额  5 000 元    问题类型    诉求类型投诉详情  停止骚扰合理降息停止通讯录的骚扰联系本人</t>
  </si>
  <si>
    <t>2019/10/05 12:31:36</t>
  </si>
  <si>
    <t>9月20日，共借款俩次，每次借款1700元，到账1230元，砍头息470元，现本人无力偿还砍头息，只能负担本金销账。</t>
  </si>
  <si>
    <t>2019/10/05 12:31:31</t>
  </si>
  <si>
    <t>优钱花公众号小安人工号，以下款的名义让我充值99元会员费用，充值后又不能下款，申请退款客服不同意。</t>
  </si>
  <si>
    <t>2019/10/05 12:31:19</t>
  </si>
  <si>
    <t>投诉人吴女士投诉对象现金巴士涉诉金额3000元问题类型诉求类型投诉详情本人于现金巴士借款3000分五期还当时到账金额2582扣除了418什么乱七八糟的费用不说之后那个月还要还本加利息.这次我是真的换了手机;因为手机和短信工能都是拦截的;我就打电话跟客服协商还款;客服意思说我自己的问题;不接受协商，当初借款就是因为需要才借的，我在巴士也算老用户了，我不是不还，而是协商还款，我觉得本来就是违法收利息，有什么不可以协商的。</t>
  </si>
  <si>
    <t>2019/10/05 12:31:08</t>
  </si>
  <si>
    <t>服务费，说的年利率是百分之8.4但是现在一看还有保险费，服务费，希望协商解决，扣的保险费和服务费。</t>
  </si>
  <si>
    <t>2019/10/05 12:31:00</t>
  </si>
  <si>
    <t>投诉人马女士投诉对象众航联盟涉诉金额1980元问题类型诉求类型投诉详情本人的姥姥和妹妹于2019年6月9日在乌兰察布机场人工取票口办理行李托运时，有两位身着机场工作人员的两位女性，向我的姥姥和妹妹可以办理她们的钻石金卡会员，享受会员的待遇，可以享受任何国际航班和任何国内航班的最低折扣票价，并且除了本人也可以给家人和朋友用，但必须要交1980的费用自己，然后赠送2000元代金劵，卡内一次性到账3980元，当时机场办卡人员非常肯定的告诉卡里的余额是可以用来全款购买机票的，整个过程中办卡人员没有提到预存款会变为代</t>
  </si>
  <si>
    <t>2019/10/05 12:30:33</t>
  </si>
  <si>
    <t>9月18日，重庆财信集团利用成都程参西建设工程有限公司名义，在网络上发布理财信息，我于9月19日投资500元，加利息已返还，之后，又投资5万，加利息已返还，这时，感觉平台不错，2019年9月23日至2019年9月26日，又分期，多次，投资不同金额，共计137300元，结果，该平台关闭，投入的137300元本金分文未回，现要求全额退还本金137300元。</t>
  </si>
  <si>
    <t>2019/10/05 12:30:25</t>
  </si>
  <si>
    <t>在应用商店下载这个软件，然后填完资料后，提示成功，借款金额为20000，但是要提现必须要提现密码，然后找了客服，说要交5个点的工本费，然后才能放款，而且得三个月后才能返回，又给了我一个私人账号，我没转，越想越不对劲，就不想借了，不靠谱，因为还没放款，我打算取消借款，他们就不理我了，希望给我一个合理的解释，不然我继续维权。</t>
  </si>
  <si>
    <t>2019/10/05 12:29:58</t>
  </si>
  <si>
    <t>前几天收到短信喊我还钱，我当时没在意，后面真给我扣了还显示什么第一期还款，什么情况，你们从哪儿盗取我的信息，还免输入密码。</t>
  </si>
  <si>
    <t>2019/10/05 12:29:13</t>
  </si>
  <si>
    <t>飞贷还完款后，飞贷公司不能提供注销账号服务，使网贷记录一直在征信保留，无法使用银行贷款。</t>
  </si>
  <si>
    <t>2019/10/05 12:29:12</t>
  </si>
  <si>
    <t>2019年10月5日凌晨1点多，我手机刚充好电开机，收到银行扣款短信，自己没印象扣款原因，进入手机银行查询。</t>
  </si>
  <si>
    <t>2019/10/05 12:27:38</t>
  </si>
  <si>
    <t>不经过我同意自动扣我银行卡的评估费，也不说清楚。</t>
  </si>
  <si>
    <t>2019/10/05 12:27:32</t>
  </si>
  <si>
    <t>投诉人马先生投诉对象自由魔卡,超级马力贷涉诉金额10000元问题类型诉求类型投诉详情自由魔卡平台里的超级马力贷借款，借款2000元，需要买会员卡500元，实际到账1500元，借款期限30天，实际还款时间28天，到期还款2060元，借款28天收取砍头息560元，超过国家法律规定的利息红线，变相的以买会员卡的形式收取砍头息，并且其客服人员态度恶劣，后期客服电话也打不通，希望有关部门能介入调查，本人已经将所有相关转账记录，手机截图等相关证据保留，将以书面形式递交材料，向上一级央行及银保监会、工商管理总局，互联网金</t>
  </si>
  <si>
    <t>2019/10/05 12:27:17</t>
  </si>
  <si>
    <t>昨天收到电话说我第二期到期未还，晚上下载APP去还第二期，点了还款后，发现银行卡多扣1060，返回APP发现平台自主把下期账单全部还了，下期400多利息也扣了，要么退回一期利息，要么返回多扣一期，下期再还。</t>
  </si>
  <si>
    <t>2019/10/05 12:26:53</t>
  </si>
  <si>
    <t>平台两天就打通讯录，是不是干不下去了，急着收尾款，催收都不联系我就刷通讯录，不给个合理解释，我就继续投诉到互联网金融协会。</t>
  </si>
  <si>
    <t>2019/10/05 12:26:12</t>
  </si>
  <si>
    <t>本人从9月20号晚上开始收不到银行短信以及各APP验证码，10086短信一切正常，9月23号开始打电话给10086客服，一直到9月27号试了客服说的所有方法，都无法接收银行短信以及各APP验证码，9月28号客服受理本人投诉9月30号回复我需要更换手机卡才能解决此问题，10月3号本人再营业厅更换了手机卡后依旧没解决问题，随既再次投诉10086客服，客服反应两天内会有专人联系我，10月4日下午本人打电话讯问什么时候能解决我的问题，客服回应已经在加急，当日晚上九点10086打电话来，告知第二天9点之前也就是今天会</t>
  </si>
  <si>
    <t>2019/10/05 12:26:08</t>
  </si>
  <si>
    <t>豹子贷恶意扣款299元，请求退款，谢谢造艺科技有限公司。</t>
  </si>
  <si>
    <t>2019/10/05 12:25:54</t>
  </si>
  <si>
    <t>本人在招联好期贷540元逾期四天，招联金融催收骚扰通讯录亲友，希望平台能给予时间处理，希望给予几天时间待国庆上班后。</t>
  </si>
  <si>
    <t>2019/10/05 12:25:47</t>
  </si>
  <si>
    <t>本人已经明确表示通过法律程序来解决债务纠纷的情况下，还多次联系我通讯录的人。</t>
  </si>
  <si>
    <t>2019/10/05 12:25:35</t>
  </si>
  <si>
    <t>及贷暴力催收，还在不停骚扰通讯录联系人，用不同的电话号码拨打骚扰，威胁，恐吓，严重影响本人工作和生活，请停止催收。</t>
  </si>
  <si>
    <t>2019/10/05 12:24:50</t>
  </si>
  <si>
    <t>投诉人李先生投诉对象安逸花涉诉金额26000元问题类型诉求类型投诉详情由于生意失败，安逸花逾期二十多天，4000块本金，逾期费用700多块，试问这样的罚息合理么，和高利贷黑社会有什么区别，国家严打高利贷，试问这样的垃圾公司，还能整儿八经存在来吸食老百姓的血，就没有人管了么。</t>
  </si>
  <si>
    <t>2019/10/05 12:23:23</t>
  </si>
  <si>
    <t>和客服协商还款我说国庆节后上班还款工作人员不同意必须今天我亲人刚去世没法和亲戚借工作人员要求和亲戚周转，态度不好。</t>
  </si>
  <si>
    <t>2019/10/05 12:22:57</t>
  </si>
  <si>
    <t>本人在玖富万卡有多比贷款，本金共24700，本人已还本金加利息共25593.87，最近有几百贷款到期，才三四天，便接到01067414015来电，对方是一位女性，我接了电话后，不知是不是外面信号问题，对方说听不到我的声音，称其是玖富放款方，随后便恐吓说会让其他人联系我的家人和朋友，便挂了电话，后来我发现在玖富的借款存在阴阳合同，强制保险，甚至有不知名费用问题，比如放款4000，但是合同显示有两笔金额，一笔4000，还有一笔分期金额1160，蓝钻专享的扣款中，有几次除了扣除本金和利息，还扣除其他不具名费用，借</t>
  </si>
  <si>
    <t>2019/10/05 12:21:09</t>
  </si>
  <si>
    <t>投诉人 周允湖        投诉对象  360借条        涉诉金额  4 300 元    问题类型    诉求类型投诉详情  里面显示可借款实际借不出来 怀疑套取个人信息</t>
  </si>
  <si>
    <t>2019/10/05 12:20:09</t>
  </si>
  <si>
    <t>10月1日起，我陆续接到平安银行机器电话告知，说我有还款，因为电话号码是0755-6899开头的两组电话，我认定为诈骗电话，未于理睬，同日，致电95511平安信用卡客服，告知我未被激活的信用卡被扣款7325.41元，并被分为12期，每期606.5元，无手续费和利息费，对此，我很震惊！我的信用卡未激活，甚至信封都没有拆开，却在毫不知情的情况下被扣款7325.41元，我认为，平安银行为平安车险提供便利条件，欺诈消费者，乱扣费，盗刷未被激活的信用卡。</t>
  </si>
  <si>
    <t>2019/10/05 12:19:59</t>
  </si>
  <si>
    <t>初次使用时我通过支付宝购买了花0元钱体验三天的会员体验服务，然而在我支付0元钱的同时，未经我同意开启支付宝免密支付协议，我已找他们客服咨询、投诉，他们均不理会，这种行为不可接受，故要求全额退款。</t>
  </si>
  <si>
    <t>2019/10/05 12:19:54</t>
  </si>
  <si>
    <t>投诉人 沈先生        投诉对象  虾米在线        涉诉金额  36 000 元    问题类型    诉求类型投诉详情  逾期两天多还600，借1875还3000</t>
  </si>
  <si>
    <t>2019/10/05 12:19:34</t>
  </si>
  <si>
    <t>投诉人 韦先生        投诉对象  招联金融        涉诉金额  500 元    问题类型    诉求类型投诉详情  态度极其恶劣！威胁恐吓。联系非紧急联系人以处的通讯录好友</t>
  </si>
  <si>
    <t>2019/10/05 12:19:24</t>
  </si>
  <si>
    <t>小象钱包工作人员随意爆我朋友家人通讯录，造成个人名誉受损，并且贷款利率超过国家规定利率，要求协商好还款，停止此类软暴力崔收，。</t>
  </si>
  <si>
    <t>2019/10/05 12:18:38</t>
  </si>
  <si>
    <t>投诉人李冬投诉对象白条分期涉诉金额249元问题类型诉求类型投诉详情我在白条分期借钱，申请中跳出手续费,我就点了一下确定,自动从我的银行卡扣款249元，然而钱也没有借给我,而是推荐了很多有可能是虚假的借款高利贷APP！。</t>
  </si>
  <si>
    <t>2019/10/05 12:17:58</t>
  </si>
  <si>
    <t>现在有逾期和工作人员协调过辱骂恐吓现在还骚扰通讯录联系我下面的号码。</t>
  </si>
  <si>
    <t>2019/10/05 12:17:47</t>
  </si>
  <si>
    <t>晚上小孩子趁我睡着了，偷偷拿我手机转账大笔金额，她才5岁。</t>
  </si>
  <si>
    <t>2019/10/05 12:17:08</t>
  </si>
  <si>
    <t>投诉人 楚先生        投诉对象  微粒贷        涉诉金额  2 700 元    问题类型    诉求类型投诉详情  催收辱骂，恐吓威胁。本人告知本月10日工资日处理全部款项。工作人员态度恶劣。不停骚扰并辱骂本人和身边的人</t>
  </si>
  <si>
    <t>2019/10/05 12:16:33</t>
  </si>
  <si>
    <t>借款6500还款9100+还存在暴力催收问题。</t>
  </si>
  <si>
    <t>2019/10/05 12:16:26</t>
  </si>
  <si>
    <t>本人通过现控达人，在里面的微豆荚借款2800元，借款期限是32天，每8天一期，每期还款1022.4元，总共要还款4089.6元，已还一期，还了一期第二期要还还不了，客服也找不到，电话也打不通，导致现在逾期，还不了每天还要付那么高的利息，银行卡也未还款成功，并且一直联系不上客服，客服电话4008336200，app反馈也没人回，支付通道为北京畅捷通支付技术有限公司，为高利贷提供违规支付途径，现希望聚投诉联系商家协助处理，畅捷支付联系平台处理，调整利率，结清本金和合法利息销账处理并提供结清证明！。</t>
  </si>
  <si>
    <t>2019/10/05 12:15:46</t>
  </si>
  <si>
    <t>投诉人 欧先生        投诉对象  交易猫        涉诉金额  1 380 元    问题类型    诉求类型投诉详情  买家买了账号收不货，申请仲裁客服也不答理。</t>
  </si>
  <si>
    <t>2019/10/05 12:14:57</t>
  </si>
  <si>
    <t>投诉人龙女士投诉对象出行唯选涉诉金额1880元问题类型诉求类型投诉详情办理卡的当初问，能不能用卡里面的钱买机票，办理人员说可以，现在又说只能抵扣优惠的基建燃油费。</t>
  </si>
  <si>
    <t>2019/10/05 12:14:47</t>
  </si>
  <si>
    <t>本人原因经济问题，在多个网络平台有贷款，但因本人投资失败，资金链断裂，未能及时还款，本人大概逾期一个星期后，开始天天电话催收，一天甚至可以接到几十个不同地域的网络电话！因本人上班有时未能及或不方便接听，平台方以找不到我本人为由，泄露个人信息给第三方公司，开始对我的亲友不断打电话骚扰，每天打一个亲朋好友的电话，甚至一天内接到不同地方的网络电话，已经严重影响了我及我亲友的正常生活，我去所在地派出所报警，警方说这些骚扰，没有报警价值…，我希望在这里能得到回应，希望借贷平台走正规的法律途径，不要用这些下三流手段，此</t>
  </si>
  <si>
    <t>2019/10/05 12:14:43</t>
  </si>
  <si>
    <t>时光分期所谓催收人员，不分青红皂白，不等你回复上来先是一顿辱骂，然后威胁，紧接着就说爆通讯录，首先这个贷款不是本人贷的，本人也是莫名的背黑锅……具体的不想多说……请你们时光分期停止辱骂，停止骚扰，想解决问题，就这个态度，那咱们法庭上见。</t>
  </si>
  <si>
    <t>2019/10/05 12:13:44</t>
  </si>
  <si>
    <t>广州九尾信息科技有限公司毫无监管，放任发布人随意在其平台/APP/网页发放兼职信息，发放兼职招聘信息的时候，注明是完工现结，结果到今天第五天还没发放应得的兼职工资：190，为现场实际情况加班了3小时，要求被投诉人即时强制招聘信息发布人即时结清所有拖欠的兼职工资240.1元！！！。</t>
  </si>
  <si>
    <t>2019/10/05 12:12:59</t>
  </si>
  <si>
    <t>泄露本人通信录，都是威胁态度，我们都商量过，有了我自然会还的，为什么三天两头用威胁还款呢，。</t>
  </si>
  <si>
    <t>2019/10/05 12:12:20</t>
  </si>
  <si>
    <t>投诉人 王先生        投诉对象  农业银行        涉诉金额  9 299 元    问题类型    诉求类型投诉详情  要求浙江绿森信息科技集团有限公司（绿森商城）立即退款</t>
  </si>
  <si>
    <t>2019/10/05 12:12:08</t>
  </si>
  <si>
    <t>本人借了平安普惠i贷钱，都是按时还款，10月是10.5号到期，我10.4号主动存入平安壹钱包还款，没想到今天10.5号客服打电话说我还的不是这一期，是本金，我想问一下，我都还了915.块钱了，为什么说是我还的是贷款本金，就应该算这一期还款完成，但是平安普惠客服打电话来说我还得还600多，我觉得这是套路。</t>
  </si>
  <si>
    <t>2019/10/05 12:11:32</t>
  </si>
  <si>
    <t>大菠萝app，借款3000元期限7天，到账金额1950元，通过汇潮支付平台打款，还款通过支付宝虚假商户支付，到期当天便有催收人员利用网络虚拟号进行催收，并威胁在其指定时间内还款，否则就爆通讯录，协商还款也不行，本人还款、续借已远远超过本金，要求立即销账。</t>
  </si>
  <si>
    <t>再此国庆期间，举国欢度假日，招联早上打我电话，要求我必须告知其一个客户在哪里！他说的人我听过，就问了一句你是哪里，对方态度恶劣，极其嚣张，言赶紧告诉他，否则打爆我的电话，此时我以气的浑身发抖，怒挂电话，怎知对方马上再次打来，得知对方是招联金融，威胁恐吓一直打爆电话，再次挂断后进行客服投诉，比重就行，对我大声呵斥，根本不是来解决问题的态度，再次浑身发抖，真的身心疲惫，只想要对方把事情解决清楚，处理明白，而不是用这种方式在国庆期间对我作出这样的事情来！。</t>
  </si>
  <si>
    <t>2019/10/05 12:11:14</t>
  </si>
  <si>
    <t>招联金融好歹也是正规平台，为什么请的都是些什么垃圾人！整天就知道发违规恐吓短信，人身攻击、道德绑架，有没有点脑子！上一次就是非法盗取公民隐私信息，现在又换另一种方式，最后平台和个人又相互推卸责任，真的希望相关监管部门好好整治一下，不能放纵违法行为的发生。</t>
  </si>
  <si>
    <t>2019/10/05 12:10:54</t>
  </si>
  <si>
    <t>贷上钱高利贷，不仅暴力催收，还直接爆通讯录电话，工作人员换着打电话，态度极度恶劣，甚至威胁恐吓！贷上钱以买游戏豆为由收取高额贷款通过费，借5000还6000.本人在贷上钱那里借了二十几次了退还那些砍头。</t>
  </si>
  <si>
    <t>2019/10/05 12:10:50</t>
  </si>
  <si>
    <t>本来在读秒有比借款，因生活压力现在没有能力还上，不定时催收，没事干就骚扰，正经事不干，强烈建议打击套路贷，骚扰催收，有关部门严查。</t>
  </si>
  <si>
    <t>2019/10/05 12:10:33</t>
  </si>
  <si>
    <t>6月的时候通过及贷申请下款了一笔9000元的贷款，还了两期后看到还款账单不对，12总共要还12260.4元，请银行的朋友算了年利率，高达国家规定的36%！然后咨询10101212及贷客服，没说利息怎么算只说就是合法的！暂停高利还款后就频繁电话骚扰本人及家人朋友，坚决打黑除恶！还合法合规合理利息！。</t>
  </si>
  <si>
    <t>2019/10/05 12:10:29</t>
  </si>
  <si>
    <t>就开始威胁恐吓我说一点之前未还款就爆我所有的通讯录打电话给我所有的亲人朋友。</t>
  </si>
  <si>
    <t>2019/10/05 12:09:42</t>
  </si>
  <si>
    <t>未经同意私自扣款说退款至今未退这不是欺骗吗。</t>
  </si>
  <si>
    <t>2019/10/05 12:09:29</t>
  </si>
  <si>
    <t>服务态度极差，开口就骂人！无法让人承受，谁都是爸妈养的，不开除。</t>
  </si>
  <si>
    <t>2019/10/05 12:09:18</t>
  </si>
  <si>
    <t>把家里人和亲戚朋友通讯录都爆了，要求家里人给他打钱，结果给他打了钱，还是显示逾期，打过电话就骂人，一次性给他结清了，还挑屑我。</t>
  </si>
  <si>
    <t>2019/10/05 12:09:12</t>
  </si>
  <si>
    <t>捷信金融公司员工已自己的业务销售量不足，请学生帮忙刷单拿到业绩提成，并未告知学生是贷款购买物品，并承诺不会对本人有任何影响，，初步统计大概在50人左右，每人都是1万元左右的贷款，，在成功刷单一周后捷信APP提供了商品借贷合同，且有本人签名的电子单子，办理刷单时候，并未有看到这个合同，后致电客服表示是办理本人在操作点击的确认，办理本人并不知情有此合同，捷信员工在未刷单前承诺不会有任何影响，业务成功后的一周之内信息会全部消除，不会保留任何信息，，捷信内部工作人员将所谓名义上的贷款物品自己保留，并让学生本人在接到</t>
  </si>
  <si>
    <t>2019/10/05 12:08:40</t>
  </si>
  <si>
    <t>当时我借款时借款4000，到账金额2480，我要求偿还本金，这种套路贷，我充足的录音照片去举报。</t>
  </si>
  <si>
    <t>2019/10/05 12:08:34</t>
  </si>
  <si>
    <t>投诉人 刘先生        投诉对象  百事普惠,上海造艺网络技术有限公司        涉诉金额  299 元    问题类型    诉求类型投诉详情  在不知情的情况下扣取我299元费用。本人并不知情，且没有签订什么协议。</t>
  </si>
  <si>
    <t>2019/10/05 12:08:04</t>
  </si>
  <si>
    <t>立刻出行APP长沙地区无车可用，导致账户余额无法使用，申请退押金也半个多月一直没退，客服无法联系上，严重损害了消费者权益。</t>
  </si>
  <si>
    <t>2019/10/05 12:07:43</t>
  </si>
  <si>
    <t>投诉人邓先生投诉对象月光侠分期涉诉金额1050元问题类型诉求类型投诉详情高利贷月光侠，借了3000，到手2100，分三期每期还1050！还不协商还款，每天不少于4条信息催收。</t>
  </si>
  <si>
    <t>2019/10/05 12:06:48</t>
  </si>
  <si>
    <t>投诉人 吴女士        投诉对象  自由魔卡,超级马力贷        涉诉金额  2 000 元    问题类型    诉求类型投诉详情  超级马力收取高额砍头息现高达千元 协商还款</t>
  </si>
  <si>
    <t>2019/10/05 12:06:24</t>
  </si>
  <si>
    <t>投诉人 杜先生        投诉对象  点点通        涉诉金额  1 585 元    问题类型    诉求类型投诉详情  砍头息 借3100到账2400 第一期还了1585 第二期还要1585 太多了</t>
  </si>
  <si>
    <t>2019/10/05 12:05:26</t>
  </si>
  <si>
    <t>投诉人黄先生投诉对象招联金融涉诉金额9500元问题类型诉求类型投诉详情催收电话，我已经成年了该付的责任是我欠钱该还的也是我难道说我欠的钱就一定要我父母玩父母我就说了句欠钱的，是我，我已经成年了该付的责任是我欠钱该还的也是我难道说，我欠的钱就一定要我父母还吗，如果该走法律程序就尽量走法律程序，不要再一直打电话催，搞得老是工作做了一段时间就被那些催收的电话，搞得工作没了，造成一直没有钱，可以还款，他说一直没钱还款了话会通知我一直没钱还款的话会通知我父母我就说了句欠钱的事，我已经成年了该付的责任是我欠钱该还的也是</t>
  </si>
  <si>
    <t>2019/10/05 12:05:24</t>
  </si>
  <si>
    <t>本人与2019年8月14日在维信卡卡贷借款10000元，期间准时还款，10月份手上有钱准备提前结清，10月4号无辜扣款899，联系客服称是征信查询费，之前卡里没钱才一直没扣款，这是明显的砍头息行为，现在已经提前结清其余金额了，希望能够把899退还给我。</t>
  </si>
  <si>
    <t>2019/10/05 12:05:00</t>
  </si>
  <si>
    <t>360借条，逾期协商减免，不给减免，逾期利息等于本金，高利贷。</t>
  </si>
  <si>
    <t>2019/10/05 12:03:27</t>
  </si>
  <si>
    <t>2019年9月借4000元分了四期九月六号、九月二十一号就十月六号、十月二十一号分成这四期两个月还，每期还1599.25，明显高利贷，而且分期的期数也不是按月！我要求只还本金，之前跟客服商量过，但是客服要求加微信转私人账户处理！。</t>
  </si>
  <si>
    <t>2019/10/05 12:02:57</t>
  </si>
  <si>
    <t>逾期两天就疯狂打电话，暴力催收严重影响个人生活。</t>
  </si>
  <si>
    <t>2019/10/05 12:02:13</t>
  </si>
  <si>
    <t>信用钱包逾期一天，威胁拨打通讯录电话！打电话，发微信都是威胁，本人最近全面逾期，二十万左右，压力太大，天天都是还款日，无力还款，想一死了之！已经承诺三天之内还上，但是不管用，还是继续威胁！截图录音都有！我死了之后，这些都是证据！高利贷逼死人！。</t>
  </si>
  <si>
    <t>2019/10/05 12:00:31</t>
  </si>
  <si>
    <t>投诉人 李先生        投诉对象  拼多多        涉诉金额  0 元    问题类型    诉求类型投诉详情  8月 购买拼多多 商家长宝数码电子厂家的充电插头 发现有质量问题 申请退货退款 商家收到货后对消费者进行辱骂，侮辱 投诉拼多多，拼多多 对商家进行包庇处理 不予处理商家 之后我又收到商家私下短信，电话侮辱， 现在要求拼多多进行封店处理 如果不处理 我将投诉到底</t>
  </si>
  <si>
    <t>2019/10/05 11:59:20</t>
  </si>
  <si>
    <t>本人予2019年10月2日交易猫卖号，价格是4400元，，交易的时候，客服互相换绑了，交易后，等待买家确认收货，如果不收货24小时自动收货，结果买家在第二天晚上八点46分申请仲裁，买家恶意仲裁，说没改绑手机，改不了密码，而我立马上号核实，确认已经改绑成买家手机号，等了买家一会，结果买家仍然恶意仲裁，而交易猫的仲裁时间是七天内，现在账号所有的信息绑定的都是买家信息，现在交易猫的仲裁回复是稍后会把买家的扣扣号发给我，我要求立刻给我退款或是协助我这个卖家跟买家将账号在24小时成功换成我这个卖家信息。</t>
  </si>
  <si>
    <t>2019/10/05 11:58:44</t>
  </si>
  <si>
    <t>投诉人荣先生投诉对象光大银行信用卡中心涉诉金额8000元问题类型诉求类型投诉详情光大银行信用卡今天全额还款，莫名其妙被扣除8000元，这钱是手术的钱，谁家都有困难，因为什么扣除，你可以提前告诉我，但是这么没有通知莫名其妙的扣除了，我现在要求银行给我打电话恢复，我可以办理分期。</t>
  </si>
  <si>
    <t>2019/10/05 11:58:33</t>
  </si>
  <si>
    <t>现金巴士,通联支付,微信支付,蚂蚁金服,宝付支付,富友支付，交易信息请看图片，例如：本人在2019年7月29日借款1000元，到账1000元后，立即被富友支付扣款118元，借款1个月后需还款1050元，年利率严重高于36%的法定红线，请各平台停止支付业务合作，本人目前也在浦东，我也会在银监会举报，请退还非法所得，并道歉之前的暴利催收。</t>
  </si>
  <si>
    <t>2019/10/05 11:57:59</t>
  </si>
  <si>
    <t>7月29号合利宝元宝通未经过本人操作私自扣款消费不明。</t>
  </si>
  <si>
    <t>2019/10/05 11:57:19</t>
  </si>
  <si>
    <t>2019年9月20日我在转转上售卖我的QQ账号，与买家换绑之后，买家自己更换密保手机，谎称是我找回，转转黑白不分，让我找回账号，我说账号不是我的我找不回来，结果转转只听买家一面之辞，在没征得我同意的情况下，把钱退回给买家，现在我账号没了，钱也没了，我要求转转对我做出赔偿。</t>
  </si>
  <si>
    <t>2019/10/05 11:55:47</t>
  </si>
  <si>
    <t>会费168下款，逾期费一天10块，我已还817元，最后一期364，差不多要还1181，加上会费168已经超过36利息了，要求最后一期协商还款。</t>
  </si>
  <si>
    <t>2019/10/05 11:54:40</t>
  </si>
  <si>
    <t>因工作前几个月不稳定，还有家人前几个月有住院的导致信用卡逾期，但我肯定想主动还款，而且我几块几块的还进去一点，虽然很少但我有自动还款的意愿，上个星期9月二十七八号自称建行信用卡法务部的本地省会座机号码和我协商还款，我本来给他说的10月3号前还进去七千多，但我还是暂时困难，以至于暂时还是还不进去，但我给他说我再想办法肯定会还上，对方然后威胁我说下午四点前如果还不进来就要来我工作地和户籍所在地调查取证，态度很强硬，然后我给建行客服打电话，他们说那是建行委托方，让我再给他们沟通一下，然后建行客服给我一个我们当地建</t>
  </si>
  <si>
    <t>2019/10/05 11:54:32</t>
  </si>
  <si>
    <t>账单今天刚刚到期，就打电话恐吓我，爆我通讯录。</t>
  </si>
  <si>
    <t>2019/10/05 11:53:36</t>
  </si>
  <si>
    <t>贷上钱利用游戏金豆变相收取高额利息，表面说的好听是第三方拿去了，暗地里还不是贷上钱在操作，这种贷款怎么还会存在。</t>
  </si>
  <si>
    <t>2019/10/05 11:53:21</t>
  </si>
  <si>
    <t>九月十四号本人在安全带平台申请借款借款3000到账，3000支付通道为，每期为七天一期还1214现已还两期昨天到期没有任何客服联系方式今天一早催收188******01联系我还款问她是否能协商还款直接威胁要给我老公打电话本人从六月份开始就在他们平台申请借款从秒知道一直到安全带，利息就已经几千了现要求按照本金还款3000－。</t>
  </si>
  <si>
    <t>2019/10/05 11:53:05</t>
  </si>
  <si>
    <t>微粒贷借款，页面显示日息千五，在没有选择分期的情况下默认按照最长分期，并没有任何通知到借款人本人，这种行为算不算恶意欺诈，拨打客服热线，没有任何一个解释！有和客服通话录音为证，总之客服意思，你不选择，就默认20期，还不需要告诉你。</t>
  </si>
  <si>
    <t>2019/10/05 11:51:57</t>
  </si>
  <si>
    <t>自由魔卡平台里的六便士借款，借款2000元，需要买会员卡540元，实际到账1460元，借款期限30天，实际还款时间28天，变相的以买会员卡的形式收取砍头息，并且其客服人员态度恶劣，后期客服电话也打不通，希望有关部门能介入调查，本人已经将所有相关转账记录，手机截图等相关证据保留，将以书面形式递交材料，向上一级央行及银保监会、工商管理总局，互联网金融协会等相关部门投诉，必要时将以起诉的形式向法院提起诉讼。</t>
  </si>
  <si>
    <t>2019/10/05 11:51:55</t>
  </si>
  <si>
    <t>滴滴公司坑害双证司机，老是长时间不派单，不保证我们双证司机的流失。</t>
  </si>
  <si>
    <t>2019/10/05 11:51:34</t>
  </si>
  <si>
    <t>以群发短信个人信息作为催收手段，并泄露个人信息。</t>
  </si>
  <si>
    <t>2019/10/05 11:50:47</t>
  </si>
  <si>
    <t>投诉人 奉先生        投诉对象  安逸花        涉诉金额  48 元    问题类型    诉求类型投诉详情  我都没借款怎么会产生还款金额？？？？愚人节？</t>
  </si>
  <si>
    <t>2019/10/05 11:49:56</t>
  </si>
  <si>
    <t>牛人有品自己App都无法打开，造成本人逾期后，收取高额逾期费，我不肯承担他们的故意逾期行为，然后还有人来骚扰威胁我，希望彻查产品。</t>
  </si>
  <si>
    <t>2019/10/05 11:49:34</t>
  </si>
  <si>
    <t>之前和我协商说不会这样威胁骚扰我以及威胁爆通讯录。</t>
  </si>
  <si>
    <t>2019/10/05 11:49:18</t>
  </si>
  <si>
    <t>你好聚投诉:2019年9月15日至10月4日孩子多次偷拿我的手机玩和平精英充值，金额达到近千元，每次都是休息日趁我睡觉或者是半夜偷拿出我的电话进行充值，我今天数次联系腾讯客服电话始终无法接通，孩子今年8岁没有自控能力更不具备防范意识，才导致误充值后果，望平台协助退款，。</t>
  </si>
  <si>
    <t>2019/10/05 11:49:06</t>
  </si>
  <si>
    <t>账号注册，app删除，居然自动续费，要求退款。</t>
  </si>
  <si>
    <t>2019/10/05 11:48:38</t>
  </si>
  <si>
    <t>投诉人朱先生投诉对象信用飞涉诉金额610元问题类型诉求类型投诉详情本人于6.24日在信用飞借款3000元，借款之前我是知道要扣这个保险费，但是我也看到了结清账单就会退款，然后想着能退就行，下款之后就立马扣了610，上个月还清之后并没有看到退保险费的选项，然后就先客服问了一下，他是这样跟我说的，您借款都还清了还来退钱你觉得可能吗，我当时听了就不舒服了，之前明明是有写的，账单结清就能退现在说这个是什么意思，而且我听人家说贷款是不能强制要求购买保险产品的这是违规行为。</t>
  </si>
  <si>
    <t>2019/10/05 11:48:17</t>
  </si>
  <si>
    <t>本人在不知情的情况下微信账号被创客照妖镜恶意打标成狐狸！导致他人对本人有所防范！严重损害了个人名誉及日常社交问题……。</t>
  </si>
  <si>
    <t>2019/10/05 11:47:56</t>
  </si>
  <si>
    <t>昨天是最后还款期，信用钱包各个途径都无法主动还款、导致逾期、至目前也无法主动还款！甚至还有私人号码打电话过来骚扰恐吓！泄漏个人隐私、客户只说一直反馈信息、一直未有人与我取得联系并处理、请通过官方渠道与我联系、或者证明你是信用钱包工作人员！不要骚扰，逾期责任不在我，请撤销征信与逾期罚款！并给出一个合理的解释！。</t>
  </si>
  <si>
    <t>2019/10/05 11:46:25</t>
  </si>
  <si>
    <t>小浦优客乱扣费，之前也没说要收服务费的，无端端从我银行卡扣了296。</t>
  </si>
  <si>
    <t>2019/10/05 11:46:19</t>
  </si>
  <si>
    <t>每天暴力催收，用短信恐吓，威胁说要上门催收，希望可以给予答复。</t>
  </si>
  <si>
    <t>2019/10/05 11:45:29</t>
  </si>
  <si>
    <t>现代金控，宏萨信息科技有限公司，在未通知本人的情况下，扣除本人银行卡余额296元，而且绑定着一个套路网贷的公司，像你们这样，随便乱扣钱，国家不打击的吗，我坚决相信党和国家还有法律就是我的后台，坚决同黑恶势力斗争到底，望得到官方重视！。</t>
  </si>
  <si>
    <t>2019/10/05 11:45:11</t>
  </si>
  <si>
    <t>2019/10/05 11:45:04</t>
  </si>
  <si>
    <t>我要投诉微信团队，由于我的工作原因我的工作号要两个手机来回登录给客户发资料，导致我的账号提示登录限制被封，前几日找了腾讯客服因为身份证泄露过导致不法分子盗用我身份证去实名微信，而且居然还说是核实无误，找客服要求注销本人名下非别人使用的微信号，客服不予处理推三倒四，也不知道盗用我身份信息去实名微信做什么非法事情，要求腾讯微信部门给予做出解释，还有把我自己使用的账号恢复正常。</t>
  </si>
  <si>
    <t>2019/10/05 11:44:14</t>
  </si>
  <si>
    <t>时光分期变相的收费，打电话协商能不能只还本金，他们说不可以，说如果不处理就打电话给家人和朋友给我筹钱，态度特别恶劣，逾期三天利息变成一百块钱，还完钱了还给我打电话，希望有关部门能够解决这个平台。</t>
  </si>
  <si>
    <t>2019/10/05 11:44:09</t>
  </si>
  <si>
    <t>7.8月份左右妈妈在网上买了一张U友卡，由于老人家不会激活，国庆节回家时，发现这张卡改变就激活不了，点击白卡开户，扫ICCID号最后一个字母扫不上，然后打了几次客服，第一个客服说是正常的，第二个客服说号码已经收回了，第三个客服说反馈，每个客服都有不同说服，U友客服就这样的态度是吗，今天045110021回电，态度还极其的不耐烦，我已经表明了，目前不在家，客服硬要我提供ICCID号激活页面截图。</t>
  </si>
  <si>
    <t>2019/10/05 11:43:47</t>
  </si>
  <si>
    <t>信用卡逾期是我的不对！但是催收方法方式真的很恶心！手机还有语音录制无法上传！。</t>
  </si>
  <si>
    <t>2019/10/05 11:43:29</t>
  </si>
  <si>
    <t>一天至少20通电话骚扰，让人无法正常生活工作。</t>
  </si>
  <si>
    <t>2019/10/05 11:42:42</t>
  </si>
  <si>
    <t>02759825985&amp;nbsp;自称某律师机构&amp;nbsp;周律师&amp;nbsp;拒绝提供律师执业资格证号&amp;nbsp;&amp;nbsp;已经联系到村委&amp;nbsp;组长&amp;nbsp;&amp;nbsp;说按照流程要去村上张贴我的资料&amp;nbsp;1。</t>
  </si>
  <si>
    <t>2019/10/05 11:42:29</t>
  </si>
  <si>
    <t>钱置宝借款2100已经还款2300多，后续客服答应协商最后一期多出来的700销账，但是无人联系我，仍然在app上显示未销账，至今客服无人联系。</t>
  </si>
  <si>
    <t>2019/10/05 11:42:20</t>
  </si>
  <si>
    <t>本人注册快狗打车于三天后打算不做离职，打客服电话一直不接，要求快狗打车平台处理退款。</t>
  </si>
  <si>
    <t>2019/10/05 11:41:10</t>
  </si>
  <si>
    <t>投诉人 苏先生        投诉对象  交通银行        涉诉金额  12 500 元    问题类型    诉求类型投诉详情  上门催收恐吓电话，133******33</t>
  </si>
  <si>
    <t>2019/10/05 11:40:28</t>
  </si>
  <si>
    <t>投诉人 何先生        投诉对象  广州漫甜网络科技有限公司（皇马分期借款）        涉诉金额  198 元    问题类型    诉求类型投诉详情  恶意扣款，不予处理，欺诈消费者，态度恶劣。</t>
  </si>
  <si>
    <t>2019/10/05 11:40:07</t>
  </si>
  <si>
    <t>投诉人 周先生        投诉对象  钱站        涉诉金额  0 元    问题类型    诉求类型投诉详情  钱站催收恐吓，砍头息严重。故意搭售保险违规放贷</t>
  </si>
  <si>
    <t>2019/10/05 11:40:04</t>
  </si>
  <si>
    <t>电话打过来，说他是捷信金融的人，问他什么事，张口就骂人，本人没在捷信金融有借贷业务，完全没有任何关联，居然这种态度！！素质差到极点！！电话是：0085291444635。</t>
  </si>
  <si>
    <t>2019/10/05 11:39:20</t>
  </si>
  <si>
    <t>一，市场行为不合法合规，合同欺诈，欺骗消费者，不履行合同条款:1.以编造十一期间快递不能进京的谣言为由,不承担寄回邮费，二，道德品质差:扣留消费者误寄回的个人物品。</t>
  </si>
  <si>
    <t>2019/10/05 11:38:50</t>
  </si>
  <si>
    <t>九月28日还款日，逾期第三天刚好是国庆节这天，小象优品催款人员来电，问我什么时候还款，当时我提出协商，说一个星期内把逾期的和没到期的借款全部还清，被催款人立马拒绝协商，脾气暴躁，不给机会协商，限本人在当天上午十二点钟之前把钱还掉，否则爆通信录让我周边的人来帮我尝还，这样来威胁我，然后我马上找平台客服协商，也受到拒协，打小象优品客服中心的电话，也是被拒协，由于本人当时拿不出周转资金来还款，提出的协商被拒绝，通讯录真的被爆了，家里所有人，朋友，老板，全部打电话来问个究竟，行为恶劣，让本人受到生活信誉损失的影响，</t>
  </si>
  <si>
    <t>2019/10/05 11:38:48</t>
  </si>
  <si>
    <t>因本月10月1假期工资要到8号发，协商8号还款，催收不协商威胁通知联系人骚扰联系人！。</t>
  </si>
  <si>
    <t>2019/10/05 11:38:24</t>
  </si>
  <si>
    <t>我贷款下来10000，却要求还款13599，贷款不是本人操作的，但是我也愿意承担该债务，但对利息不是很清楚，对方催收的不给解释清楚怎么收费的还出口骂人，请贵公司与我联系并说清楚这么高的利息怎么算的，否则我拒绝还款！还保留追究法律责任的权利！。</t>
  </si>
  <si>
    <t>2019/10/05 11:38:23</t>
  </si>
  <si>
    <t>豹子贷把我卡里唯一的250元都扣了，请求退款，谢谢，。</t>
  </si>
  <si>
    <t>2019/10/05 11:38:14</t>
  </si>
  <si>
    <t>投诉人张先生投诉对象智行涉诉金额128元问题类型诉求类型投诉详情取消了智行的候补抢票订单但是他却说我并没有支付。</t>
  </si>
  <si>
    <t>2019/10/05 11:38:03</t>
  </si>
  <si>
    <t>校园网垄断，网慢价高，强买强卖，通过各种手段迫使学生交钱用网，学生不能自主选择三大运营商上网服务。</t>
  </si>
  <si>
    <t>2019/10/05 11:37:44</t>
  </si>
  <si>
    <t>1.本人在小象优品上共有两笔借款，第一笔借款本金8900元，分12个月等额本息，共还12104元，实际利率66.46%第二笔借款本金4700元，分6个月等额本息，共还5545.8，实际利率61.71；2.在借款后app上任何位置都无法找到借款合同，借款订单等信息3.最高人民法院关于审理民间借贷案件适用法律若干问题的规定：第二十六条规定：借贷双方约定的利率未超过年利率24%,出借人请求借款人按照约定的利率支付利息的,人民法院应予支持，借款人请求出借人返还已支付的超过年利率36%部分的利息的,人民法院应予支持，</t>
  </si>
  <si>
    <t>2019/10/05 11:37:14</t>
  </si>
  <si>
    <t>投诉人夏旭投诉对象快手涉诉金额0元问题类型诉求类型投诉详情本人快手账号注销，需要重新注册，需要重新进行实名认证。</t>
  </si>
  <si>
    <t>2019/10/05 11:37:02</t>
  </si>
  <si>
    <t>京东罗技旗舰店商品虚假宣传，误导消费者，商品原价899，活动价699，本人使用京东优惠券和信用卡支付优惠，最终以629的价格购买罗技鼠标，结果今天收到货，缺发现包装不是零售版的正常包装，而是牛皮纸的简陋包装，随后联系罗技客服，居然说这个是企业版的，那我就疑惑了，既然是企业版的，你怎么能当零售版的卖，而且页面未注明，有误导消费者的嫌疑！客服态度不好，不承认错误，反而一副你爱要不要的态度，说不影响使用，那这样网上卖东西，以后是不是可以不要包装了，按罗技客服的逻辑，只要不影响使用就可以了，！客服直接让我退货，我无</t>
  </si>
  <si>
    <t>2019/10/05 11:36:58</t>
  </si>
  <si>
    <t>本人近两个月一直在实时的反映问题严重性，但是滴滴出行公司坐视不管，根本就无视问题的严重性，反而问题愈演愈烈，还有现在滴滴出行公司给出的奖励根本就是画一张大饼，根本就不给派单，纯属是套路行为，简便来说就是欺诈，同时聚投诉平台对滴滴出行公司监管极其不严格，为此对本人造成严重损失，本人强烈要求滴滴出行公司对近两个月没有严格处理问题的损失进行赔偿，同时要求聚投诉平台实时跟进，加大力度通过法律法规对滴滴出行公司相关部门负责人依法处理，给予本人一个公道，对于两个公司不作为的人员必须依法办理，严惩不贷，请看图片证据。</t>
  </si>
  <si>
    <t>2019/10/05 11:36:36</t>
  </si>
  <si>
    <t>本人于2018年10月31日于时光分期借款12000元，还款时发现该贷款利率高达百分之60.8的年利率，按照国家红线标准36的年利息本人还款也超过了。</t>
  </si>
  <si>
    <t>2019/10/05 11:36:19</t>
  </si>
  <si>
    <t>10月4日期间，在王者荣耀平台陆续充值845.84，元，我每天中午应酬特别多，基本上都是喝完酒就回家睡觉，回家以后就把电话放在写字台上，孩子就偷偷拿过去玩游戏，而且陆续充值，我银行卡都是小额免密，所以一直就不知情，直到昨晚半夜查询信用卡账单才发现多次充值，今天上午用多个电话数次拨打075583765566腾讯客服电话，但一直无人接听，不得已望贵平台协助督办退款。</t>
  </si>
  <si>
    <t>2019/10/05 11:36:08</t>
  </si>
  <si>
    <t>骗子自称是金鹰钱包的，说我借款逾期，可是根本没有任何这个app借款，也没有过任何逾期.还恐吓辱骂.......已经报警立案处理麻烦尽快处理.‭这个是骗子电话：。</t>
  </si>
  <si>
    <t>2019/10/05 11:36:04</t>
  </si>
  <si>
    <t>钱站借款10000元，分二十期每期还664元，已还二十期，现在本人认为利息太高，要求重新计算利率，刚逾期一天就天天短信骚扰催收，并威胁爆通讯录，在今年端午节的期间因本人逾期两天就爆我通讯录并盗用本人女儿的个人信息，并发骚扰侮辱信息给我家人，这次又开始短信威胁爆通讯录，并且我昨天中午打钱站客服热线两次，都是以人工客服忙直接挂掉，现强烈要求停止骚扰和爆通讯录并重新计算利率销账。</t>
  </si>
  <si>
    <t>2019/10/05 11:35:33</t>
  </si>
  <si>
    <t>投诉人郭女士投诉对象小带鱼涉诉金额1514元问题类型诉求类型投诉详情APP登不上去，网址打不开，还每天给我打电话，俞期费不停增涨，我把钱已经存卡里，让他们扣钱，他们不理我，故意不扣。</t>
  </si>
  <si>
    <t>2019/10/05 11:35:10</t>
  </si>
  <si>
    <t>2019年8月6日在给你花平台，月光侠白条，借款金额2750元整，分期三期还款，每期还款金额为948.97元整，三期合计应还为金额2846.88元整，结果合同签订金额为2750元整，到账银行卡只有2200元整，该公司放款时扣了550元砍头息，国家明文规定一律不准出现砍头息，套路贷，这属于高利贷行为，目前该贷款还有最后一期未还，我要求该贷款公司退还砍头息，否则继续收集证据再向银监会投诉。</t>
  </si>
  <si>
    <t>2019/10/05 11:34:57</t>
  </si>
  <si>
    <t>10月3日还款，因资金紧张需要协商还款，但催收人员根本不给说话机会，并要求1小时内还款，否则扬言爆个人通讯录，已是明目张胆，目无法规的暴力催收，恐吓，高利贷，坚决维权到底，如出现爆个人通讯录，将采取法律手段维护个人声誉。</t>
  </si>
  <si>
    <t>2019/10/05 11:34:29</t>
  </si>
  <si>
    <t>砍头息，下款1430元，6天需要还2207.92元，严重违法国家法定年利率，要求协商。</t>
  </si>
  <si>
    <t>2019/10/05 11:34:26</t>
  </si>
  <si>
    <t>本人在信用管家App诚薪贷借款3000元，并无任何通知和借款合同的前提下扣了砍头息750，到账仅2250，十天还一期，每期一千多，本人已经还了两期，一个月利息750多，典型的高利贷，现在希望诚薪贷联系本人协商还款，只能接受本金加合理利息，并且没有任何其他还款渠道逾期利息费用30一天。</t>
  </si>
  <si>
    <t>2019/10/05 11:34:18</t>
  </si>
  <si>
    <t>投诉人李先生投诉对象有钱花涉诉金额8000元问题类型诉求类型投诉详情本人于2018年在百度钱包有钱花借款，已还一部分，剩余八千多元，因生意资金出了问题，2019年造成了逾期，确实是我不对，委托的第三方公司对我进行软暴力催收，无数次对我进行骚扰、恐吓，并且违法读取个人通讯录，给通讯录的亲朋好友到处打电话，进行骚扰、威胁、恐吓，言语粗俗，多次给父母打电话骚扰，更为严重的是群发通讯录侮辱、诅咒短信，骚扰村委会，让我在亲友、同事面前荣誉扫地，难以做人；请问我通讯录的好友有借你们平台的钱吗，国家严明禁止的行为你们却再</t>
  </si>
  <si>
    <t>2019/10/05 11:34:12</t>
  </si>
  <si>
    <t>2019年9月15早上的首汽订单,乘客一直拖着不付车费,一直每天在联系首气客服处理,每次都说提交处理,会有专员加急处理,但至今还是不履行先行垫付车费给司机，首气公司说好的会垫付车费功能,真正遇到这种不付车费的乘客时又不垫付车费,严重侵害了司机的正当权益。</t>
  </si>
  <si>
    <t>2019/10/05 11:33:55</t>
  </si>
  <si>
    <t>从10月四号开始到今天仲裁客服一直不回复也不处理该订单。</t>
  </si>
  <si>
    <t>2019/10/05 11:32:49</t>
  </si>
  <si>
    <t>投诉人 章先生        投诉对象  小花钱包        涉诉金额  2 000 元    问题类型    诉求类型投诉详情  小花钱包高利贷 伪造阴阳合同。 催收人员短信恐吓</t>
  </si>
  <si>
    <t>2019/10/05 11:32:26</t>
  </si>
  <si>
    <t>玖富万卡年利率远高36%不符合有关部分规定，承受不了还款压力，经济实力不允许，希望有关部门协作管理。</t>
  </si>
  <si>
    <t>2019/10/05 11:31:50</t>
  </si>
  <si>
    <t>钱站，爱前进套路贷，暴力催收，乱骂亲戚朋友，借款四万五要还九万，套路还本金，还进去又喊还，真的过不起他们的日子了，快被逼死了，现在已经是无力偿还了，希望国家能救救我们，我们的钱也是血汗钱，经不起他们这么折腾，希望国家扫黑除恶能帮帮我们，钱站，爱前进电话辱骂我有录音，本人不是借钱不还，是真的无力偿还了，越还越多，每个月都被套路，真的快活不下去了，走到今天这步，也是逼不得已的，当初有急用钱，借了以后才发现是套路贷，但是都每月按时还款，但是只要逾期一天就开始暴力催收，辱骂亲戚朋友，真的受不了的，希望可以帮帮我，也</t>
  </si>
  <si>
    <t>2019/10/05 11:31:28</t>
  </si>
  <si>
    <t>未明显提示拆封后无法退货！都是京东卖的商品，有的很明确在7天无理由退货后面标注了拆封无法退货，但是这个商家却没有备注，而是在页面非常靠后的地方备注了，很难注意到，最后以拆封无法办理7天无理由退货，那这个无理由提现在哪里！同样的位置，其他的商品标注了，而这家店根本就没有标注，详见图片！。</t>
  </si>
  <si>
    <t>2019/10/05 11:31:18</t>
  </si>
  <si>
    <t>投诉人段先生投诉对象锐智创,深圳市茹尚涉诉金额3930元问题类型诉求类型投诉详情在网上想找点兼职网赚点小钱养家糊口，奈何被人诱骗充值赚流水等理由被人拉进兼职群，以购买彩票方式赚取佣金，后来才知道是非法赌博平台，和支付清算协会沟通得知第三方支付业务应审核客户的相关信息，第三方支付公司不得向证券、期货、博彩等机构提供支付结算业务，现在全家进入负债经济困难时期，可以说吃了上顿没下顿的状态，通过中国人民银行，中国银联，和支付清算协会沟通得知，第三方支付业务应审核客户的相关信息，第三方支付公司不得向证券、期货、博彩等</t>
  </si>
  <si>
    <t>2019/10/05 11:30:40</t>
  </si>
  <si>
    <t>因7月份资金周转困难，在网贷平台推荐下下载了“月光侠分期”，下载审批后的金额是3000元，申请提现后，发现到账金额只有2100元，还款期限三个月，每期1050.23元，实际还款却需要3150.69元，后来多次打电话跟平台沟通，并未对此作出合理解释，也未协商和调整，下款当日扣除的800多砍头息，远超国家相关规定，此次投诉要求钱站-月光侠分期按照国家相关规定收取利息，或归还砍头息本金再还最后一期1050元，或减去砍头息还最后一期。</t>
  </si>
  <si>
    <t>2019/10/05 11:30:37</t>
  </si>
  <si>
    <t>投诉人刘先生投诉对象马上消费金融涉诉金额6000元问题类型诉求类型投诉详情我属于马上消费金融公司的老客户了，用了两三年了，一直积极还款，从未出现逾期现象，近期因为一笔资金出现了问题，导致没有正常还款，我怀疑平台泄漏了我的个人信息，对我的亲人进行骚扰，恐吓，我希望平台能够给我一个合理的解释，否则我会利用法律手段进行维权，电话录音也已保存，同时为了不影响后续的正常还款，希望平台能够给予恢复额度，恢复复借功能，或者能够给一些特批额度，更好的解决此问题，谢谢。</t>
  </si>
  <si>
    <t>2019/10/05 11:28:44</t>
  </si>
  <si>
    <t>今天牛人有品催收打电话来，态度恶劣至极，辱骂本人，威胁爆通讯录，群发照片，拒不协商高利贷砍头息部分，现在我受到了威胁，国庆期间那么嚣张，希望聚投诉帮忙处理。</t>
  </si>
  <si>
    <t>2019/10/05 11:27:28</t>
  </si>
  <si>
    <t>在可以联系上本人的情况下，不断打电话骚扰本人通讯录他人。</t>
  </si>
  <si>
    <t>2019/10/05 11:27:11</t>
  </si>
  <si>
    <t>投诉人 闫女士        投诉对象  借去花        涉诉金额  10 000 元    问题类型    诉求类型投诉详情  个人原因没能及时还款、所以就以不正当催收</t>
  </si>
  <si>
    <t>2019/10/05 11:27:09</t>
  </si>
  <si>
    <t>由于现在是国庆公司放假了，不能按时还款，所以和他们协商还款，然而工作人员态度恶劣，骂人，恐吓，电话骚扰。</t>
  </si>
  <si>
    <t>2019/10/05 11:26:49</t>
  </si>
  <si>
    <t>客服说我有两个账号，一个是现在用的，一个是以前3年前的号码，139******04，老号码139******04无法注销存在安全隐患，客服还说让我去找普惠客服，可是普惠客服说我只有一个账户，查询不了，就一直拖着不给注销。</t>
  </si>
  <si>
    <t>2019/10/05 11:26:37</t>
  </si>
  <si>
    <t>投诉人王先生投诉对象小赢卡贷涉诉金额1600元问题类型诉求类型投诉详情欠款最后一期因投资失败无力偿还告知工资发了还，不接受不协商态度及其恶劣通知我等着通讯录挨个被通知就行了，在你们公司借了三次钱都是还上的怎么说利息也够一万多了吧最后一期因实在困难还不上就这样吗。</t>
  </si>
  <si>
    <t>投诉人胡先生投诉对象微贷网,多米贷涉诉金额800元问题类型诉求类型投诉详情去年10月份借款8000，每月还款789，分12期，已经还了11期，计算得本金和合理利息已还，剩最后一起，因经济紧张，已逾期，客服暴力催收，每天很多电话，一上午就4个打到我父亲哪里。</t>
  </si>
  <si>
    <t>2019/10/05 11:26:26</t>
  </si>
  <si>
    <t>投诉人李先生投诉对象转转涉诉金额550元问题类型诉求类型投诉详情1.买家自己也拥有一副与我所售出的产品一模一样的耳机，这个在截图1有所体现，但是买家在退款退货的当天却把它下架了，并没有卖出去，只有几张照片我认为还不能认定其存在质量问题，我对于买家所提供的耳机续航截图的真实性存疑，2.我在发货前将该airpods的序列号告知了买家，有过对于续航的测试确实是左右耳可以达到将近三个小时的时长，与我所承诺的没有违背，我看到买家所提供的耳机使用时长的截图并没有出现我的耳机的序列号，很有可能是买家自己原有的耳机，并且很</t>
  </si>
  <si>
    <t>2019/10/05 11:25:27</t>
  </si>
  <si>
    <t>然后我突然想改行程，但是提示不能线上退票，打客服电话，我一直很相信聚投诉是一个为人民服务的平台，希望您帮我解决。</t>
  </si>
  <si>
    <t>2019/10/05 11:24:56</t>
  </si>
  <si>
    <t>本人最近几个月都没弄过网贷，昨天突然接受到这样信息，问那家公司也不说，金额也不说，还天天发短信威胁。</t>
  </si>
  <si>
    <t>2019/10/05 11:24:49</t>
  </si>
  <si>
    <t>没有经过同意，就胡乱扣钱，希望平台马上退款。</t>
  </si>
  <si>
    <t>2019/10/05 11:24:33</t>
  </si>
  <si>
    <t>本人在信用管家借钱里面的聚宝来贷款1600，，实际到账1160，一个月时间要还1620，什么优惠券更本就用不上的要430多，本人已还款2期1060剩本金100本人意愿再归还200后撤诉进行销账。</t>
  </si>
  <si>
    <t>2019/10/05 11:24:31</t>
  </si>
  <si>
    <t>前夫的招商银行信用卡没还清，之前我也多次跟招商银行反映我们已经离婚，不要再打电话给我，但是招商银行还是继续打电话给我，并且还打电话到我公司，严重影响我的工作！。</t>
  </si>
  <si>
    <t>2019/10/05 11:23:46</t>
  </si>
  <si>
    <t>拍拍贷暴力催收，不经本人同意爆通讯录，威胁恐吓家人。</t>
  </si>
  <si>
    <t>2019/10/05 11:23:09</t>
  </si>
  <si>
    <t>投诉人 敖先生        投诉对象  工商银行催收        涉诉金额  5 000 元    问题类型    诉求类型投诉详情  经常在非工作时间打电话骚扰 威胁 恐吓</t>
  </si>
  <si>
    <t>2019/10/05 11:23:05</t>
  </si>
  <si>
    <t>本人17年10月在宜人贷借款70000，合同上显示金额79500，36期归还，每期归还3268.59，已还23期，合计75177，剩余还需归还42491,提前还款也还需还33136，本人已无力承担，在已还金额超出当时到账本金情况下，希望宜人贷可以协商还款。</t>
  </si>
  <si>
    <t>2019/10/05 11:22:35</t>
  </si>
  <si>
    <t>投诉人官女士投诉对象白条分期涉诉金额249元问题类型诉求类型投诉详情通过白条分期app，一步步注册，说是贷款额度5000，点确定就能下款，莫名其妙的就扣了249会员费，额度没有也没下款，还给你推荐一堆平台，找客服退款说是申请五个贷款不通过就给退，等你发了五个截图给他们，他们你用了风险评估不给退，全是套路，第一，风险评估是他们app自己跳转的，第二，申请多个网贷会影响征信，第三，强制扣钱，没有给明确说明，第四，有额度没给下款,第五，对于退款服务，所以人都没给退，第六，打着贷款公司旗号，干的是收会员费的推荐公司</t>
  </si>
  <si>
    <t>2019/10/05 11:22:32</t>
  </si>
  <si>
    <t>招联借贷逾期，因未到发工资时暂未还款，收到电话威胁暴力催收。</t>
  </si>
  <si>
    <t>2019/10/05 11:21:25</t>
  </si>
  <si>
    <t>呗呗分期、喵下贷、均有高额砍头息如借2000实际到账为1400、借1500到账1200、还款一周期2-7天，催缴还款时态度特别恶劣，本人无奈已多次延期，并且多次协商还款本金不同意，以上app下款方均为汇潮支付，该公司为高利贷平台提供支付渠道！！希望通过贵平台打击这些高炮小贷，本人愿意归还本金及合理利息！！！。</t>
  </si>
  <si>
    <t>2019/10/05 11:20:09</t>
  </si>
  <si>
    <t>今天有一个人打电话给我，说是ppmoney把我与ppmoney的贷款转交了他们催收，我想问一下ppmoney有什么权利把我的资料泄露给别人，我与之前那位ppmoney的客服已经达成协议，为什么要出尔反尔呢。</t>
  </si>
  <si>
    <t>2019/10/05 11:19:42</t>
  </si>
  <si>
    <t>本人于2019年10月4日注册拼多多商家，并且缴纳了保证金2000元，过了大概30分钟发现和淘宝不一样的运营，拼多多简直是个圈钱坑钱大财团，30分钟发现和淘宝不一样的运营根据国家2019年1月1日起开始施行的中华人民共和国电子商务法第二章第十六条法律法规，电商平台商家退店要进行为期30天的退店公示，遂直接申请退店退款，但是拼多多拉出来个“根据国家2019年1月1日起开始施行的中华人民共和国电子商务法第二章第十六条法律法规，电商平台商家退店要进行为期30天的退店公示”。</t>
  </si>
  <si>
    <t>2019/10/05 11:19:37</t>
  </si>
  <si>
    <t>分12期还款，每月538，年利率达到了60%，催收人员拨打通讯录语气很难听。</t>
  </si>
  <si>
    <t>2019/10/05 11:19:36</t>
  </si>
  <si>
    <t>比心的客服却说自动完成过了12个小时没法退款，霸王条款。</t>
  </si>
  <si>
    <t>2019/10/05 11:19:33</t>
  </si>
  <si>
    <t>投诉人程先生投诉对象快闪卡贷涉诉金额0元问题类型诉求类型投诉详情我9月27号申请的现在都10月5号了都还没审核广告上写的是24小时内审核联系人工人工说处理不了都是系统审核的我说要取消也取消不了就是骗信息了。</t>
  </si>
  <si>
    <t>2019/10/05 11:19:32</t>
  </si>
  <si>
    <t>本人使用支付宝有四五年的时间了，之前使用的也挺好额度也还不错，花呗加借呗有31000的额度，后面因为出了一些事情导致逾期了，但是我一直都是积极还款的，每个月都有还1000多到2000多的还款，但是最近支付宝的第三方催收公司每天给我打三四个四五个电话进行催收，而且是连续性的接连着打，很他们协商也是说之前还16000才能协商，我说有这么多我肯定还，不还就还说要上门催收，给我们当地派出所村委打电话，让整个老家都知道我在外面借了钱，我不是不还钱，我每个月都在还钱，我就是想和支付宝协商一下还款，难道就这么难吗。</t>
  </si>
  <si>
    <t>2019/10/05 11:18:56</t>
  </si>
  <si>
    <t>微信号换绑一星期才能更换你居然说我找回账号，直到取消的时候账号还绑定着买家的手机号！请问是怎么判定的，在仲裁期间我明确提供材料说买家花了我账号的钱还给我升级我不同意退款，就想知道买家动了我的号你们还判定退钱和说我找回账号的证据，在仲裁结束之前我并没有找回账号！！我号的损失你们客服承担。</t>
  </si>
  <si>
    <t>2019/10/05 11:17:55</t>
  </si>
  <si>
    <t>我要投诉金沙娱乐场骗取我3000元，他们只准投钱不准取钱大骗子。</t>
  </si>
  <si>
    <t>2019/10/05 11:16:31</t>
  </si>
  <si>
    <t>打的款实际到账1275，需还1600，还款日当天未逾期被暴力联系家人，奶奶等，无奈前前后后延期近20次，涉案金额早已已超过本金3－4倍有余，在此想请聚投诉平台帮忙1、消除本期账单2、归还部分利息3、不得骚扰我联系人。</t>
  </si>
  <si>
    <t>2019/10/05 11:16:19</t>
  </si>
  <si>
    <t>投诉人聂正伟投诉对象中国联通涉诉金额30元问题类型诉求类型投诉详情1、5月份开卡，本人用身份证办理的德宏联通卡，我也不知道什么原因3、被要求APP或者营业厅二次认证，APP需要登入手机和验证码，联通在10月04号下午6点多帮我紧急开通24小时，方便我二次实名，但是却在今天早上10点被告知二次停用，必须到当地营业厅实名，无故停用，办卡身份证加本人不是实名?紧急开通24小时却在没有到达24小时二次停用。</t>
  </si>
  <si>
    <t>2019/10/05 11:15:42</t>
  </si>
  <si>
    <t>京东白条国庆期间仍暴力催收，骚扰不断.即使客户积极协商仍不依不饶，并且本人每个月都有还款非常有还款意愿，但是京东白条外包催收人员冒充公检法等事项如出一辙，可见贵司无视法律法规，无视客户权益，对客户威胁恐吓污蔑的同时仍然肆意妄为.甚至说上门催收，明示找人借款还他们款项等等.请相关监管部门严格查处并严肃处理.此事客户将追究到底.涉及电话号码073182861720因为不能上传通话记录，如有通话录音需要，本人会积极配合。</t>
  </si>
  <si>
    <t>2019/10/05 11:15:21</t>
  </si>
  <si>
    <t>无锡五星家园小区金佳物业，小区一共3000多住户，每年平均一户1000多物业费，每年的物业费不知去向，根本没有使用明细，也没有监督部门监督其使用情况，这么大个小区，连个开票机也没有，每次开票都要等很久，今年8月份的票到11月份还没有开出来，去问的时候还态度恶劣，小区公共收益也从来没有公开过，小区停车费，小区广告收益，公共场所出租等，这些经营收入也从来没有公开过。</t>
  </si>
  <si>
    <t>2019/10/05 11:15:17</t>
  </si>
  <si>
    <t>看到发短信过来，说白条分期同意下款，刚好最近需要资金，就下载了他们的平台白条分期，然后注册账号，最后到借款这步，里面写着交所谓199的会员费就可以拿3000额度的借款金，我扣完钱之后，然后给我推荐一些特别高利息的一些网贷平台，让我在里面选择贷款，打客户电话客服说他们只是网贷推荐平台，不是下款平台，只会推荐一下网贷的平台让我自己选择，我提出来让他们退会员费，他们说无法退还，只有在5家平台上借款，如果都拒贷的情况下才能申请退款，问题是他们推荐的网贷平台利息特别高，没办法用，也不敢用，这时我有一种上当受，的感觉，</t>
  </si>
  <si>
    <t>2019/10/05 11:15:01</t>
  </si>
  <si>
    <t>在快手有赞平台上面买货，买完货后第一时时间申请退款，商家把东西寄过来了还不给我退，找有赞客服客服不管，我买完衣客服一直不回我、难道我买东西你们就不给我退款吗。</t>
  </si>
  <si>
    <t>2019/10/05 11:14:57</t>
  </si>
  <si>
    <t>阴阳合同，本人借5000，阴阳合同5725。</t>
  </si>
  <si>
    <t>2019/10/05 11:12:24</t>
  </si>
  <si>
    <t>捷信电话骚扰，严重影响我的生活，希望有关部门解决。</t>
  </si>
  <si>
    <t>2019/10/05 11:12:20</t>
  </si>
  <si>
    <t>第一笔于2018年9月18日借款3000元，分12期偿还，已还款11期共还3516.26元，其中每一期都包含渠道管理费18.27元，要求退还不合理的渠道管理费与利息，第二笔于2019年5月18日借款5000元，是客服通过电话引导诱导我借款，分12期偿还，已还款3期共还1785元，现在发现每一期还款中都包含客户服务费63.81元，渠道服务费93.96元，每期偿还595.03元，算下来利率为42%！要求退款不合理渠道管理费和客户服务费和利息！根据合同法第200条，你们收取的这些服务费管理费根本不合法，如果你们说</t>
  </si>
  <si>
    <t>2019/10/05 11:12:06</t>
  </si>
  <si>
    <t>投诉人梁先生投诉对象招联金融涉诉金额2300元问题类型诉求类型投诉详情爆通讯录，骚扰亲戚朋友，逾期是我责任，请合法催收，不要骚扰我朋友。</t>
  </si>
  <si>
    <t>2019/10/05 11:11:58</t>
  </si>
  <si>
    <t>新办理的手机号码无法绑定微信，提示号码已经被绑定过，打电话问移动客服说上个号码的主人绑定了微信他们没有权限修改，号码的很多信息被保留就被投放市场给本人带来极大的不便，售出钱移动公司没有任何的说明这个号码信息被保留，简直无法理解也无法接受！。</t>
  </si>
  <si>
    <t>2019/10/05 11:11:51</t>
  </si>
  <si>
    <t>协调不下来，本人已经决定走法律程序，已走法律程序，还在骚扰我的通讯录，以触犯法律规定。</t>
  </si>
  <si>
    <t>莫名其秒乱扣银行卡里面的钱，莫名其秒乱扣银行卡里面的钱，莫名其秒乱扣银行卡里面的钱，莫名其秒乱扣银行卡里面的钱，莫名其秒乱扣银行卡里面的钱，莫名其秒乱扣银行卡里面的钱，莫名其秒乱扣银行卡里面的钱，莫名其秒乱扣银行卡里面的钱，莫名其秒乱扣银行卡里面的钱，莫名其秒乱扣银行卡里面的钱，莫名其秒乱扣银行卡里面的钱，莫名其秒乱扣银行卡里面的钱，莫名其秒乱扣银行卡里面的钱，莫名其秒乱扣银行卡里面的钱，莫名其秒乱扣银行卡里面的钱，。</t>
  </si>
  <si>
    <t>2019/10/05 11:11:47</t>
  </si>
  <si>
    <t>2019年9月7日在信用管家APP申请了钱咖分期又名，借款4000元可以分期4期,下款成功才显示所谓的的4期就是一个月的4期，7天一个期限，一共要还5312元！！第一期还款2228元，剩余三期每次还款1028元，本人已经还款3期，放款方主体为：北京无相创利科技有限公司通过天眼查北京无相创利科技有限公司的业务范围为：技术推广服务，企业依法自主选择经营项目，开展经营活动；依法须经批准的项目，经相关部门批准后依批准的内容开展经营活动；不得从事本市产业政策禁止和限制类项目的经营活动，《最高人民法院关于审理民间借贷案</t>
  </si>
  <si>
    <t>2019/10/05 11:11:14</t>
  </si>
  <si>
    <t>私自加我QQ,这个是不是已经涉嫌我个人隐私了。</t>
  </si>
  <si>
    <t>2019/10/05 11:11:09</t>
  </si>
  <si>
    <t>在小赢卡贷借款两笔，分别是20000元，现每笔分别还款10000多元，现已无力偿还高额利息的贷款，试图与平台沟通过降息后一次性结清，但平台至今解决利息问题，并且告诉我用6期和12期的利息是一样的，提前还款也是每期所还金额，平台找催收人员威胁恐吓我，变本加厉的在打电话骚扰，望相关部门重视，禁止小赢卡贷的不断骚扰及恐吓威胁。</t>
  </si>
  <si>
    <t>本人在玖富万卡借款5600元分二十四期还，每期需还401元，现已归还十八期，试问如此高利贷年利率已超法律法规规定百分之24了，远超百分之五十了，现已逾期，该玖富暴力催收爆通讯录，经常规没诉没有解决的情况下已自行结案，现依然天天短信骚扰催收，并威胁爆通讯录，现要求对爆通讯录对我造成的损失进行赔偿并重新计算利率，达成共识我会把法律范围内的款还完的，但必须对我进行赔偿后并不得继续爆通讯录和骚扰。</t>
  </si>
  <si>
    <t>2019/10/05 11:10:46</t>
  </si>
  <si>
    <t>2016开始在闪银借多笔贷款，今年9月出现资金周转问题困难，逾期爆我通讯录，逾期过高逾期费费用，强迫还逾期费用，拒绝调节。</t>
  </si>
  <si>
    <t>2019/10/05 11:10:10</t>
  </si>
  <si>
    <t>直接把催费电话打到公司前台，同事已告知上级领导，严重影响我上班。</t>
  </si>
  <si>
    <t>2019/10/05 11:09:53</t>
  </si>
  <si>
    <t>在美团生活费里面的马上金融安逸花里面借了3000，前几期都还了，10.2号的，逾期了，因为家里出了事，已经花光了积蓄，亲戚朋友都借过了，找马上消费金融的客服协商，看能不能延期到下个月2号一起还，客服就说这个他们处理不了，让等逾期3天，等下面催收联系我，那没办法，我只能等，一直到10.5号早上，借到两个马上消费金融催收的电话，第一个态度恶劣，语气强硬，一句话就是今天必须还，不给你说话的机会，说完就挂了，等过了一个多小时，第二个电话过来了，太多一样恶劣，在我表明下个月一起还的时候，客服只说我拒绝还款，不同意协商</t>
  </si>
  <si>
    <t>2019/10/05 11:09:49</t>
  </si>
  <si>
    <t>因个人原因，导致美团生活费逾期，美团生活费催收人员态度恶劣，威胁恐吓我要爆通讯录，暴力催收，之前就像美团客服进行投诉，客服不作为，说催收是交由第三方，跟他们没有关系，他们并没有提供通讯录联系人信息给第三方，至今也没有回访电话！试问，如果没有这些通讯录联系人信息，那么第三方催收又是通过何种途径获得呢，本人也很明确的跟客服沟通过，现在遇到困难还款有困难，谁都有遇到困难的时候吧，这是要把人给逼死吗，之前还说可以协商现在直接就不让协商了，态度那么强硬，没逾期之前我就联系客服了，客服直接不让协商。</t>
  </si>
  <si>
    <t>2019/10/05 11:09:38</t>
  </si>
  <si>
    <t>叉叉IPA精灵,叉叉助手,广州游顺网络科技有限公司，不退款，几个月了，还一点反应都没有，，，，，，，，。</t>
  </si>
  <si>
    <t>2019/10/05 11:09:30</t>
  </si>
  <si>
    <t>中腾信多次暴力催收打到我公司，父母和亲戚朋友，只要款项当天到期当天就开始暴力催收，从来不协商处理，。</t>
  </si>
  <si>
    <t>晚上借款金额5000，第二天早上合同725，把黄金会员费用加了进去。</t>
  </si>
  <si>
    <t>2019/10/05 11:08:35</t>
  </si>
  <si>
    <t>三天前我在交易猫出售一个梦幻诛仙账号，经过交易猫客服399元被买家买走，并在交易猫客服的指挥下和买家换绑完成，由于交易猫客服提供给买家的密码包含大写字母，买家以为密码错误就对我进行了仲裁，后来发现问题不是我找回了密码，最后我和买家协商，买家决定取消仲裁，但是因为我卖的号买了交易猫的保险，交易猫软件禁止买家取消申诉，只能等待申诉结果，买家在仲裁凭证里再次请求取消仲裁，交易猫客服根本不看凭证，然后给我和买家发了两条不同的信息，说让买家提供我找回账号的证据，让我卖家提供买家二次换绑的证据，最后我们两个都提供不出证</t>
  </si>
  <si>
    <t>2019/10/05 11:07:52</t>
  </si>
  <si>
    <t>投诉人王先生投诉对象chui qi wu,小赢催收涉诉金额1600元问题类型诉求类型投诉详情因投资原因亏掉了所有的钱，导致网贷，最后一期还不上了，被催收天天无数个电话打，已经说明原因发了工资还上，不给予协商威胁不马上还打遍我所有联系人，不是有困难谁会选择逾期呢。</t>
  </si>
  <si>
    <t>2019/10/05 11:07:51</t>
  </si>
  <si>
    <t>投诉人蒋先生投诉对象信用管家,轻周转,芒果筹涉诉金额2800元问题类型诉求类型投诉详情本人于9月11日通过信用管家app中的轻周转借款2800元，实际到账2800元，却要求还总共4089.6元，期限32天，分四期归还，每期8天，一期还款1022.4元，这个行为属于国家严打的高利贷行为，目前本人已经还款2期，共还款2044.8元，本人想要主动和客服联系要求协商还款，曾多次拨打客服电话，但客服电话一直打不通，麻烦聚投诉联系信用管家，本人要求协商销账，请工作人员尽快联系我，否则本人将向有关部门进行举报，谢谢！。</t>
  </si>
  <si>
    <t>2019/10/05 11:07:20</t>
  </si>
  <si>
    <t>投诉人张先生投诉对象自由魔卡APP里的六便士涉诉金额2500元问题类型诉求类型投诉详情高额砍头息，暴击催收，骚扰联系人，严惩！！。</t>
  </si>
  <si>
    <t>2019/10/05 11:07:00</t>
  </si>
  <si>
    <t>投诉人崔苗苗投诉对象钱站涉诉金额80000元问题类型诉求类型投诉详情本人在钱站贷款，每期按时还款，由于国庆节期间银行不上班，本人需要亲自去银行取理财，情况已经通知钱站工作人员，并及时沟通，在这种情况下，钱站工作人员恶意盗取我的通话记录，然后给每个家人朋友群发信息，及打电话，并进行威胁和恐吓，要求钱站消除对我个人名誉的影响，并道歉赔偿。</t>
  </si>
  <si>
    <t>2019/10/05 11:05:12</t>
  </si>
  <si>
    <t>投诉人陈女士投诉对象永辉超市,永辉超市迷你店涉诉金额10000元问题类型诉求类型投诉详情经常在家门口永辉超市迷你店买生鲜就为图个方便，但是经常发现永辉的东西价格电脑跟明码标价是价格对不上，特别每天变动的瓜果蔬菜，我看到的一个价，电脑称出来往往是更高价格，我跟他们工作人员反馈，工作人员倒好把价格标的价抬高跟电脑同步，最近因为自己支不开身，叫家里老母买菜，结果买回来的菜标签一看价格奇高，她说她不懂看，我就把价格标签留了下午自己看，发现称错了，工作人员说必须要小票不差价，结问题来了，你们收银的根本就没有意思要把小</t>
  </si>
  <si>
    <t>2019/10/05 11:04:38</t>
  </si>
  <si>
    <t>投诉人张为为投诉对象信用飞涉诉金额720元问题类型诉求类型投诉详情本人在信用飞第一次借款就扣，不知道是砍头息！第二次借款3600实际到账2880扣款720飞行协议，借款3个月，要求退回720砍头息。</t>
  </si>
  <si>
    <t>2019/10/05 11:04:03</t>
  </si>
  <si>
    <t>投诉人毕先生投诉对象你我贷涉诉金额10600元问题类型诉求类型投诉详情首先本人借款10600的账单在正常还款中因为过年时间银行还款有些许问题几次还款失败那时候的暴力催收就已经开始，后续还款也正常直到我接到不知名的问我需要借款的电话我很怀疑是否是贵公司泄露个人信息，还有另外还款不是平均每个月还款为什么前几个月要还款是后几个月还款的一倍，这种是否存在问题拿着上市公司理由串改借款合同然后进行催收爆通讯录发这种骚扰短信，你们之前结清的账单能否把超过国家年化率的资金退回给我，另外你们为何串改合同，本人从未拒绝还款有录</t>
  </si>
  <si>
    <t>2019/10/05 11:03:49</t>
  </si>
  <si>
    <t>投诉人范先生投诉对象京东金融涉诉金额1900元问题类型诉求类型投诉详情昨天打电话说京东逾期了一个月，我答应5天内处理掉，强行叫我还全款，京东显示的还款方式还是分期还，今天又打电话，说11点没还清全款就上门给我送告知函，还必须联系父母，问题是他强制我还全款，京东上显示还是分期还的，我也答应了5天之内处理掉！因为这两天确实没有钱，就是这个尾号2673的电话说要上门找我父母。</t>
  </si>
  <si>
    <t>2019/10/05 11:03:05</t>
  </si>
  <si>
    <t>本人在2019年6月2日提交申请，6月25日审批通过3000元借款，分3个月返还，现贷款已结清，当时借款时实际到账仅有2700元，被平台通过京东支付的方式已购买保险为由秒扣300元。</t>
  </si>
  <si>
    <t>2019/10/05 11:02:14</t>
  </si>
  <si>
    <t>投诉人束保华投诉对象快闪卡贷涉诉金额4000元问题类型诉求类型投诉详情本人在快闪卡贷借款10000元分期六个月，可实际到账只有8000元，我已每期还2056元，共还款8224元，已还清我所借到账的款，根据法律法规砍头和高利息部分可不予归还，并已技诉多次未果，可快闪卡贷现依然每天以短信骚扰并威胁上征信爆通讯录，且砍头部分逾期二十天利息又变成了3016元，如此高利贷砍头息应该下架了吧，问题不解决还总说是我逾期不还，请问砍头和高利息部分我需还吗。</t>
  </si>
  <si>
    <t>2019/10/05 11:02:13</t>
  </si>
  <si>
    <t>投诉人胡女士投诉对象小浦涉诉金额296元问题类型诉求类型投诉详情我都没按无缘无故醒来扣了我296请商家把钱退给我！。</t>
  </si>
  <si>
    <t>2019/10/05 11:02:03</t>
  </si>
  <si>
    <t>投诉人郑女士投诉对象拍拍贷涉诉金额6000元问题类型诉求类型投诉详情拍拍贷借款两年多，突然不能使用，每月按时还款，突然不给使用，高利息，要求继续使用，恢复账号。</t>
  </si>
  <si>
    <t>2019/10/05 11:01:57</t>
  </si>
  <si>
    <t>投诉人罗女士投诉对象豹子贷涉诉金额200元问题类型诉求类型投诉详情豹子贷平台无故扣走我的钱，要求退回来。</t>
  </si>
  <si>
    <t>2019/10/05 11:00:19</t>
  </si>
  <si>
    <t>达飞云贷催收电话对我进行言语威胁恐吓，严重影响本人工作以及精神状态，还威胁两小时之内必须还清，说要联系我的亲朋好友帮忙代还，现在的催收都这样吗，一来就威胁各种要爆通讯录，达飞云贷就是变相高利贷，套路贷，借的时候告诉跟信用卡一样，利息低，用上达飞也就算上走上一条不归路了，利息越来越高，还有扣百分之二十质保金，每个月不算利息，就光服务包就很多，每个月乱七八糟的费用，实在无力偿还了，希望可以按照国家规定的利息和我实际用的本金偿还。</t>
  </si>
  <si>
    <t>2019/10/05 11:00:18</t>
  </si>
  <si>
    <t>因本人在资金方面现在出现问题，前期无法进行按时还款，在360借条平台出现逾期行为，逾期是我的不对，现在进行还款的时候，无法对单笔账单进行结清，必须要和其他账单一起结清，用360借条平台已经有一年还多，在平台还的利息和本金已经很多，现在逾期后，有平台客服人员进行威胁声称要联系什么居委会，联系通讯录好友进行催收，现在对于骚扰我通讯录好友的催收已经在收集证据报警处理请平台停止暴力骚扰催收行为，现在资金紧张，能还一笔是一笔，对于进行通讯录骚扰，并且恐吓的商家都进行协商还款如果协商效果不佳，只能继续通过其他管理平台继</t>
  </si>
  <si>
    <t>2019/10/05 11:00:07</t>
  </si>
  <si>
    <t>我来贷微信还款一直显示贷款正在回购中无法还款，产生逾期费用，希望贵司能够处理下。</t>
  </si>
  <si>
    <t>2019/10/05 10:59:27</t>
  </si>
  <si>
    <t>涉诉金额10000元问题类型诉求类型投诉详情安逸花单方面终止合同，锁定账户，本人在马上消费金融旗下产品安逸花申请循环贷，总金额5500元，期间一直正常使用，连app都并未通知，对账号进行锁定，无法消费和提现，我不同意，要求安逸花方恢复可使用额度，解锁我的账户！。</t>
  </si>
  <si>
    <t>2019/10/05 10:59:08</t>
  </si>
  <si>
    <t>投诉人梁女士投诉对象及贷涉诉金额1784元问题类型诉求类型投诉详情今天是逾期第二天卡里有1300多还差一点儿大概假期过完就可以还但是聚投诉已经在威胁我并且找了第三方催收公司要求我必须今天还款。</t>
  </si>
  <si>
    <t>2019/10/05 10:59:05</t>
  </si>
  <si>
    <t>投诉人毛女士投诉对象优亿金融涉诉金额0元问题类型诉求类型投诉详情优亿金融贷款2000分期18期18年3月份开始还款到19年8月份还清每月239现在客服打电话给我说我逾期还有最后一期未还。</t>
  </si>
  <si>
    <t>2019/10/05 10:58:46</t>
  </si>
  <si>
    <t>2019/10/05 10:58:43</t>
  </si>
  <si>
    <t>投诉人杨女士投诉对象蛋壳公寓涉诉金额200元问题类型诉求类型投诉详情电费问题，之前都是云电表结账，结各自房间的加公共区域的电费公摊，由于我个人经常出差，所以电费一般都是在40--50期间，然后7月份的电费变成了全部账单公摊，我每个月需要多缴费150，并且蛋壳是在未告知租户的情况下变更的，我不接受这种方式，这种方式已经构成违约，蛋壳的客服也一直是推脱态度。</t>
  </si>
  <si>
    <t>2019/10/05 10:58:37</t>
  </si>
  <si>
    <t>投诉人查先生投诉对象聚福钱包涉诉金额299元问题类型诉求类型投诉详情人工都是这样的，他们都是各种理由拒绝退款，到最后我都不懂什么意思。</t>
  </si>
  <si>
    <t>2019/10/05 10:57:31</t>
  </si>
  <si>
    <t>牛人有品,畅捷支付,上海馥岷信息科技有限公司，本人于9月5日在牛人有品借款1900元，实际到账1368元，分两期，每15天还一期，还款总额1938元，还威胁爆通讯录，只要骚扰了我的通讯录，那么上海扫黑办见。</t>
  </si>
  <si>
    <t>2019/10/05 10:57:28</t>
  </si>
  <si>
    <t>家里人一般不接陌生电话，今天马上消费金融电话连续骚扰，被迫接听，说带上身份证去当地派出所，已经报案处理了，家里人身体本来就不好，还打电话骚扰，出了意外你们负责吗。</t>
  </si>
  <si>
    <t>2019/10/05 10:56:45</t>
  </si>
  <si>
    <t>投诉人 方女士        投诉对象  掌众金服        涉诉金额  1 080 元    问题类型    诉求类型投诉详情  闪电借款收了购买黑卡的钱 但是不能借款 他上面说了不能借款全额退款 现在钱也没退</t>
  </si>
  <si>
    <t>2019/10/05 10:56:33</t>
  </si>
  <si>
    <t>中信银行信用卡催收人员，打电话给我，协商不了，威胁打电话到我公司，这会让我失去工作。</t>
  </si>
  <si>
    <t>2019/10/05 10:56:25</t>
  </si>
  <si>
    <t>首先还着好好的，没想投诉，今天逾期第一天一个电话因为信号不好听不清多说了几个啊字，当场电话被辱骂，后面再说直接被挂断，原名我来贷现在苹果手机无法下载后更名我来数科依然无法下载！借款9900，期限12期已还10157，本金已经够了当时保险费就不说了，还要还3367已经超过国家规定年化率！再加上被辱骂态度恶劣～需要平台帮助提前结清并消帐！刚才已到110报案也提供了电话录音。</t>
  </si>
  <si>
    <t>2019/10/05 10:56:12</t>
  </si>
  <si>
    <t>马上消费金融兰先生/女士您好，截止今日，您的分期贷款业务已产生违约金2127.67元，应还总欠款6211.78元。</t>
  </si>
  <si>
    <t>2019/10/05 10:55:09</t>
  </si>
  <si>
    <t>投诉人沈先生投诉对象淘集集涉诉金额100000元问题类型诉求类型投诉详情淘集集平台从7月起货款提现就一直不审核，而且从8月份的订单就一直不确认收货结算，至今为止货款拖欠，身边的同行也都是遇这样的问题，人数不低于1000，淘集集从入驻时写的订单发货后1个月自动确认收货结算，货款提现1个月内到账，到现在货款提现申请3个月都不审核，订单也2个多月都不收货结算。</t>
  </si>
  <si>
    <t>2019/10/05 10:54:42</t>
  </si>
  <si>
    <t>本人预定今天昆明到十堰的航班，4号晚上就给我发延误信息，说是晚到5号下午5点钟。</t>
  </si>
  <si>
    <t>2019/10/05 10:54:28</t>
  </si>
  <si>
    <t>易秒分期，2019年10月4号借款1400元，当时只显示分期4期，没显示利息，借款后显示几天还一期金额五百多一期，十几天还总利息要六百多，一直联系不上客服，也没有电话联系，现在要求退还借款金额，要求销户，着急。</t>
  </si>
  <si>
    <t>2019/10/05 10:53:26</t>
  </si>
  <si>
    <t>蟹老弟平台入口一直进不去，款已经还清，上个月被骗去2800元，10月5日又开始说我欠款1800元，我也看不到我的合同，每天电话轰炸式骚扰我，让我还款，关键还款入口都没有，让我给私人微信账户还款，我现在要求入口马上恢复，我要看到我的合同！谢谢。</t>
  </si>
  <si>
    <t>2019/10/05 10:53:14</t>
  </si>
  <si>
    <t>2019/10/05 10:53:08</t>
  </si>
  <si>
    <t>物业公司乱收费现象严重，除了物业管理费，还收电梯风扇安装费，公共用电费等。</t>
  </si>
  <si>
    <t>2019/10/05 10:52:45</t>
  </si>
  <si>
    <t>北京会牛科技有限公司旗下的月光侠分期，该公司为上海榕数网络科技有限公司全资控股，月光侠分期收取贷款人砍头息，砍头息以服务费，咨询费等名义收取，综合利息高于国家规定的百分之二十，属于现金贷行为，714高炮，到期后催收不断以各种形式骚扰，电话骚扰，短信骚扰并且恐吓，暴力催收，爆通讯录，严重影响贷款人及亲属正常生活。</t>
  </si>
  <si>
    <t>2019/10/05 10:51:37</t>
  </si>
  <si>
    <t>借款的时候没有提示没一期都要交审核和担保费，利息什么的我都可以接受但是这个担保费我接受不了。</t>
  </si>
  <si>
    <t>2019/10/05 10:51:05</t>
  </si>
  <si>
    <t>暴力催收，爆破通讯录，胡乱收费，和客服人员协商解决，态度强硬！。</t>
  </si>
  <si>
    <t>2019/10/05 10:50:11</t>
  </si>
  <si>
    <t>本人于9月28日在翼钱包借款1600元借款周期8天然而实际到账只有1170元之前借款两次都是约百分之30的砍头费，苹果手机商城提供下载渠道连连银通提供支付通道。</t>
  </si>
  <si>
    <t>2019/10/05 10:50:01</t>
  </si>
  <si>
    <t>本人有意愿还款昨天投诉后还没人打电话过来导致逾期费涨了50。</t>
  </si>
  <si>
    <t>2019/10/05 10:49:06</t>
  </si>
  <si>
    <t>自称是客服的，天天打电话轰炸亲戚朋友，我都说了16号发工资了还，他们就是不依不饶，天天打电话轰炸亲戚朋友，还威胁我说要每天挨个打电话给我的亲戚朋友，让他们都知道我欠钱没还，还说要走司法程序，上征信。</t>
  </si>
  <si>
    <t>2019/10/05 10:49:03</t>
  </si>
  <si>
    <t>2017年7月申请玖富万卡贷款，贷款期限24期，贷款本金为35000元，每月竟然要还款3,142.41，两年还款共本息：67375元，申请中未看到合同中贷款金额，审核通过后才发现利息如此之高，明明是35000元，合同上却是67375元，我还款一段时间无力偿还，被暴力催收，严重很影响家庭生活，为了家庭无力只好找人东平西凑进行全部还款，现在发现这个平台，我要为我自己讨回一个公道，请聚投诉给予法律支持，尽快让机构给一个合理的解释，血淋淋的高利贷公司。</t>
  </si>
  <si>
    <t>2019/10/05 10:48:58</t>
  </si>
  <si>
    <t>当时充值以为是冲押金，没想到冲完后跑到余额里，收费超高，我锁车还收我好额费用，客服电话永远打不通，要求立即退还我余额的钱。</t>
  </si>
  <si>
    <t>2019/10/05 10:48:57</t>
  </si>
  <si>
    <t>盗刷我293元说是激活机器的，我咨询了机器都是免费用的。</t>
  </si>
  <si>
    <t>2019/10/05 10:48:16</t>
  </si>
  <si>
    <t>在订车之前首先胖子转1000诚意金再去申请价格。</t>
  </si>
  <si>
    <t>2019/10/05 10:48:12</t>
  </si>
  <si>
    <t>活力花协商延期还款，客服不同意，上期账单在没有经过我同意，我也没有失联的情况下，未经我允许拨打我通讯录里电话，骚扰亲戚朋友，和我个人名誉造成影响。</t>
  </si>
  <si>
    <t>2019/10/05 10:47:40</t>
  </si>
  <si>
    <t>本人在自由魔卡app上申请六便士借款2000元，六便士以强制购买vip才能下款，收取540的高额砍头息，借款期限30天要还款2060元，完全不符合国家相关法律法规的规定。</t>
  </si>
  <si>
    <t>2019/10/05 10:47:21</t>
  </si>
  <si>
    <t>我与今年五月二十九在五一人品贷借款24500,现在想提前结清，除了本月的利息服务费要给，，竟然还要付剩余款项各种服务费3000多，致电客服协商这个服务费是否合理以及所谓的服务费包括哪些，我都已经把剩余款项结清，为什么还要给服务费，客服也说不出个所以然，只告诉我必须给，按APP显示结清，这不是霸王条款吗，而且我在第一期当中已经给了两千多的所谓服务费，结清为什么还要给那么多的服务费！我的朋友也在51人品借了18000,他已经还款两期，提前还款显示服务费只要三四百，即使我比他多借6000多，这个服务费也不可能多那</t>
  </si>
  <si>
    <t>2019/10/05 10:47:20</t>
  </si>
  <si>
    <t>投诉人 李先生        投诉对象  小当家        涉诉金额  700 元    问题类型    诉求类型投诉详情  本人昨晚银行卡余额充足。想还款。链接打不开。客服电话一个空号，一个没有此业务号码。今天逾期，打进来个机器人电话。让我怎么还？ 还要威胁我爆我通讯录。两个电话号都在图里。气死人了</t>
  </si>
  <si>
    <t>2019/10/05 10:47:15</t>
  </si>
  <si>
    <t>有限公司涉诉金额299元问题类型诉求类型投诉详情无缘无故被这个上海携趣科技扣款299元，请给我个解释。</t>
  </si>
  <si>
    <t>2019/10/05 10:47:12</t>
  </si>
  <si>
    <t>询问玖富客服处理结果，客服回复说工作人员拨打我电话时存在通话受限的情况，怀疑是我手机设置拦截功能，但经我反复查看手机并未设置拦截功能，为此我已更换三部手机，两张电话卡，客服依然说通话受限，之后我和客服协商其他处理措施，我要投诉玖富万卡对于我申请提请结清一事未能及时答复，一拖再拖，导致目前我有一笔借款分期已到期，恳请相关部门予以协商解决。</t>
  </si>
  <si>
    <t>2019/10/05 10:47:06</t>
  </si>
  <si>
    <t>本人通过该平台的推广短信下载了该app，借款1400元，6天后需归还2000元，仅6天利息就有600元，远远超过国家合法利息标准，在非常时期金鸡下蛋平台仍正常放款，顶风作案，汇潮支付为其提供放款渠道实属助纣为虐，还款日当天就有澳门的电话打过来催收，称2点不还就要采取措施，迫于压力本人于1号和3号分别续期300元，共600元。</t>
  </si>
  <si>
    <t>2019/10/05 10:47:03</t>
  </si>
  <si>
    <t>投诉人曹女士投诉对象玖富涉诉金额41567元问题类型诉求类型投诉详情金额太多了，我已经还不了了，没工作家里还在还房贷，没法了，借两万还四万的，当初真不应找中介，害了自己害了家，这个额度也不是我说要这个的，批下来他就给我提多少，啊啊啊，太烦了。</t>
  </si>
  <si>
    <t>2019/10/05 10:46:20</t>
  </si>
  <si>
    <t>闪电借款864.8元借款逾期第一天，由于本人最近在办理离职手续，工资并未按时到账，2019.10.5上午闪电借款催收打来电话，要求本人下午四点前处理，期间本人一再解释并要求重新协商下还款时间，遭到拒绝，并威胁本人下午之前处理不好就要打爆本人通讯录，明目张胆的挑战法律，实在猖狂至极，本人明确告知贵司，在任何未经本人同意的情况下拨打本人通讯录中与此事无关人员电话实属违法行为，本人也会告知身边亲友，一但接到贵司任何电话或者短信，都会录音并截图，并在自治区库尔勒经侦大队备案，请贵司直接与本人联系并重新协商还款时间！</t>
  </si>
  <si>
    <t>2019/10/05 10:45:38</t>
  </si>
  <si>
    <t>本人9月1日在点心贷借款1500，到账秒扣375元，就是明显的砍头息了，现逾期4天，居然要还到1700多，还有什么保管费、滞纳金之类的，现在要求本金和国家法定利息还款，请直接和我联系。</t>
  </si>
  <si>
    <t>2019/10/05 10:45:22</t>
  </si>
  <si>
    <t>投诉人 王女士        投诉对象  聚福钱包        涉诉金额  299 元    问题类型    诉求类型投诉详情  还我299！凭什么扣我299！恶意扣款！</t>
  </si>
  <si>
    <t>2019/10/05 10:44:36</t>
  </si>
  <si>
    <t>平安普惠和中国平安财产保险股份有限公司联手，在毫不知情的情况下私自上了一份平安个人借款保证保险，还不给退保，问为什么保单上没有我的签名也是各种含糊带过，平安普惠借保险费和管理费的名义收取高额的利息，借了175000元，36期总计需还款257368.68元，贷款前对保险费和管理费避而不谈，说话含糊，误导贷款人，让我以为保险费和管理费是贷款是一次性收取的。</t>
  </si>
  <si>
    <t>2019/10/05 10:44:29</t>
  </si>
  <si>
    <t>在手机借钱平台申请借款3000元，总共分为3期，每期10天期限，30天需要还总额度为3900元、典型的高利贷！！现在有所谓的工作人员告诉我，平台现在无法进行正常还款，需要进行线下操作，因为昨天下午有事，没有接到电话，而且昨天欠款并未逾期，平台催收人员就一直打电话骚扰，并且还骚扰我的通讯录好友现在对于一些催收平台对我还有我朋友的骚扰，已经报警处理，由于平台的过失，造成的无法正常还款，就这么一直暴力催收！你们线下还款怎么能保证我不被骗，现在欠款已经逾期一天，等你们自己平台处理好了再来找我协商还款！如果继续进行电</t>
  </si>
  <si>
    <t>2019/10/05 10:43:54</t>
  </si>
  <si>
    <t>12月30日到期，广告内容让人感觉应该是等到原电视VIP到期后，此次购买的影视VIP才开始生效计费，但当我付款后，屏幕上显示此次购买的影视VIP是从购买当天2019年10月5日开始计费，而不是从我原电视VIP到期日2019年12月30日开始计费，这样我原来还有2个月的VIP会员就作废了，夏普科技富连网广告误导消费者，我用支付宝支付给夏普科技，有限公司199元影视VIP年费，现在我要求退款，或者是从我原电视VIP到期日2019年12月30日开始计费，请夏普科技。</t>
  </si>
  <si>
    <t>2019/10/05 10:43:31</t>
  </si>
  <si>
    <t>到账后直接由大同果壳金融信息服务有限公司扣了800。</t>
  </si>
  <si>
    <t>2019/10/05 10:43:25</t>
  </si>
  <si>
    <t>招联金融暴力催收恶意曝光个人通讯录群发短信骚扰亲朋好友同事诋毁个人名誉，态度恶劣依法给予打击惩处！。</t>
  </si>
  <si>
    <t>2019/10/05 10:43:00</t>
  </si>
  <si>
    <t>10月5号早上10：22分莫名其妙的收到扣款短信。</t>
  </si>
  <si>
    <t>2019/10/05 10:42:52</t>
  </si>
  <si>
    <t>在我不知情的情况下业务员盗刷我信用卡充值银钱包会员499。</t>
  </si>
  <si>
    <t>2019/10/05 10:42:39</t>
  </si>
  <si>
    <t>我购买的是价值3866元的购物卡，里边标注公蟹5，可到手后母蟹带绳子2两左右还有不到2两的，公蟹带绳子都不到3.5两！最最不能容忍的，客服不作为，售后形同虚设，述说无门，只能投诉！陪不陪钱不要紧，希望给个说法！怎么就和谐社会找不到地方说里去了！还有河蟹预约没问题都能打通怎么售后就不能通，分公司电话也没用，网上也没人理会！附上照片，希望可以投诉成功！谢谢！。</t>
  </si>
  <si>
    <t>2019/10/05 10:42:37</t>
  </si>
  <si>
    <t>投诉人 肖先生        投诉对象  蟹老弟        涉诉金额  600 元    问题类型    诉求类型投诉详情  蟹老弟APP下架了，打不开APP还款。客服提供的还款链接也打不开</t>
  </si>
  <si>
    <t>2019/10/05 10:42:31</t>
  </si>
  <si>
    <t>新橙优品违规高利贷，借款3000，到账2700以300的保险名义进行砍头息，分六期每期还款663，累计还款金额3978加上砍头息，利息接近1300，其次新橙优品app主动还款，无法还款，银行卡里金额足够，从9月28号开始本来想直接结清还款，结果直到今天也无法正常还款，单期还款同样不行，均以银行卡里余额不够导致还款失败，我现在还怀疑新橙优品有故意使借款人逾期的目的收取逾期费，我已经还款两期累计1326元，现在我要求要么剩余本金结清并按照国家规定利率进行合法利息收取，但是必须从app上操作，我不相信线下对公还款</t>
  </si>
  <si>
    <t>2019/10/05 10:42:29</t>
  </si>
  <si>
    <t>昨天投诉平台不理会，今天还是继续骚扰！希望投诉平台真能起到投诉效果，给于处理！。</t>
  </si>
  <si>
    <t>2019/10/05 10:42:10</t>
  </si>
  <si>
    <t>钱站砍头息高利贷阴阳合同，借款2400元，分三期，每期要还1476.12元，一共要还4428.36元，这利息简直要人命，昨天到期还款App失效，登录不上导致还款失败，逾期一天要还1632.59元，已经严重超出国家标准，典型的要人命高利贷，希望尽快处理，处理好才能还快，要求调整利息一次性结清。</t>
  </si>
  <si>
    <t>2019/10/05 10:42:09</t>
  </si>
  <si>
    <t>联动优势禁止我交易，换了N张卡都不行，偏偏平台只能用你们支付通道，要求给我恢复交易，谢谢。</t>
  </si>
  <si>
    <t>2019/10/05 10:42:05</t>
  </si>
  <si>
    <t>在京东到家永辉超市购买奶粉奶粉买错段，48小时内申请售后被驳回，永辉超市以奶粉不支持售后，电话无人接听未由驳回售后申请，我售后申请留的联系电话根本没打我，收货电话是我爸爸的，永辉也没注明什么商品不支持7天无理由，为什么不能退，但凡在永辉不论是线上线下购买任何东西都拒绝售后退货，京东到家在订单页面是可以发起售后，9*************2此订单售后申请被驳回我就发起申诉，打了京东到家客服人员电话不下五位，接线的都说的好好的说要帮我再次提交申请，联系商家催促售后进度、可马上就要回了48小时售后是小区，订单一</t>
  </si>
  <si>
    <t>2019/10/05 10:41:54</t>
  </si>
  <si>
    <t>投诉人米先生投诉对象马上消费金融涉诉金额6000元问题类型诉求类型投诉详情我当时借了6000元，还款的时候的时候居然要还8100多，我现在已经还了7400多，利息该收的也收了，我也还款了，然后每天都给我打我电话，不下5个，已经影响到我的正常生活，我也已经还了那么多，最后给我提供结清证明。</t>
  </si>
  <si>
    <t>2019/10/05 10:40:32</t>
  </si>
  <si>
    <t>投诉人班先生投诉对象有用分期涉诉金额17010元问题类型诉求类型投诉详情2018年7月6号，本人由于急用钱加了一个叫有用分期的公众号，一看居然有15000额度，由于急用钱就下单了一个13000的，分18期，每期1134，但一次没给过都是答非所问多问几句直接让你连还款页面都进不去，一点确认就通过了，但是到了第二天都还没下款，我一查合同根本查不到，也就是说看不见自己合同一直懵逼还钱，只能看到还款计划，我感觉有鬼于是打电话取消，客服说激活了不阔以取消，我钱都没收到都不可以取消可想，然后又等了两天终于3天钱下来了，</t>
  </si>
  <si>
    <t>2019/10/05 10:40:20</t>
  </si>
  <si>
    <t>投诉人曹先生投诉对象你我贷涉诉金额4000元问题类型诉求类型投诉详情在你我贷借款，还款剩最后一期，由于个人资金问题，造成了逾期，逾期第一天就遭到催收人员持续骚扰，态度十分恶劣，威胁在规定时间内必须处理完成否则爆通信录。</t>
  </si>
  <si>
    <t>2019/10/05 10:38:48</t>
  </si>
  <si>
    <t>投诉人高女士投诉对象造艺科技涉诉金额150元问题类型诉求类型投诉详情豹子贷恶意扣款了150元，请求退款。</t>
  </si>
  <si>
    <t>2019/10/05 10:38:32</t>
  </si>
  <si>
    <t>投诉人王先生投诉对象多宝分期涉诉金额4000元问题类型诉求类型投诉详情高利贷，爆私人电话录，进行侮辱催款，还款时间较短蛮横无理。</t>
  </si>
  <si>
    <t>2019/10/05 10:38:25</t>
  </si>
  <si>
    <t>投诉人骆先生投诉对象你我贷涉诉金额440元问题类型诉求类型投诉详情威胁恐吓电话不断打，联系人招恐吓威胁，要求停骚扰，道歉。</t>
  </si>
  <si>
    <t>2019/10/05 10:38:21</t>
  </si>
  <si>
    <t>投诉人钱女士投诉对象招联金融涉诉金额1600元问题类型诉求类型投诉详情由于国庆，公司没发工资，跟招联说了，一发就还，现在有就还一点，竟然不同意，言语间威胁我要恶意骚扰手机联系人，实属软暴力催收，严重威胁到本人隐私，通话都有录音。</t>
  </si>
  <si>
    <t>2019/10/05 10:37:30</t>
  </si>
  <si>
    <t>投诉人 罗先生        投诉对象  立刻出行        涉诉金额  499 元    问题类型    诉求类型投诉详情  已经申请退押金1个多月，但还是显示审核中</t>
  </si>
  <si>
    <t>2019/10/05 10:36:34</t>
  </si>
  <si>
    <t>聚福钱包！我选择的是小银卷，他居然在没有经我同意情况下扣款！我现在需要平台要么给我下款要么退我299，务必今天解决。</t>
  </si>
  <si>
    <t>2019/10/05 10:36:03</t>
  </si>
  <si>
    <t>不给协商，让我必须处理部分，由于个人工作离职一个月，处于无奈暂时停止一个月还款，次月再继续还款。</t>
  </si>
  <si>
    <t>2019/10/05 10:35:30</t>
  </si>
  <si>
    <t>借款23000，砍头息5800，还要还25000，高额费用承担不起。</t>
  </si>
  <si>
    <t>2019/10/05 10:35:27</t>
  </si>
  <si>
    <t>在小花钱包上先后借款一笔40000元，一笔3500元，一笔6500元共50000元；但合同上分别显示为借款52244元，4350元，7968元；与实际借款金额不符合，存在砍头息，另外在第二期还款时和客服协商提前还款后，第二天再也联系不到该客服，至今也未联系上，这个月逾期后又有不同客服致电，并否认上次的客服与喔协商还款的结果，涉嫌欺诈！协商未果后在未经本人同意的情况下，骚扰我的家人亲友，爆了通讯录，采取恐吓，暴力催收！。</t>
  </si>
  <si>
    <t>2019/10/05 10:35:25</t>
  </si>
  <si>
    <t>一开始借钱的的时候没有说清楚要加900的服务费，上边显示借款3900元，我就想会到账3900元，结果只到账3000，后来他们才说服务费要900，我就说他们属于欺骗，他们客服就不理我，昨天还款应还1404、6我没还逾期费就直接加了100，这也太暴利了吧，我希望相关部门能对此作出相应处理，不要让更多朋友陷入骗局！。</t>
  </si>
  <si>
    <t>2019/10/05 10:35:13</t>
  </si>
  <si>
    <t>钱站不给处理，恶意让别人逾期，从下款到现在都跟他们沟通了一个月，他们客服就是不给处理，一定要别人支付天价高额服务费，真的没天理，借1200元要别人还款2200元，他们还说平台合法，现在逾期了，我也不打算还了，他们平台没有一个盟理解人的。</t>
  </si>
  <si>
    <t>2019/10/05 10:34:41</t>
  </si>
  <si>
    <t>投诉人 胡女士        投诉对象  小浦优客        涉诉金额  296 元    问题类型    诉求类型投诉详情  无缘无故扣我296</t>
  </si>
  <si>
    <t>2019/10/05 10:34:40</t>
  </si>
  <si>
    <t>投诉人李女士投诉对象蟹老弟涉诉金额1800元问题类型诉求类型投诉详情蟹老弟暴力催收，打电话骚扰家人，态度恶劣强硬。</t>
  </si>
  <si>
    <t>2019/10/05 10:34:39</t>
  </si>
  <si>
    <t>我因网贷套路贷，欠款较大，有心无力，正在筹钱还款，确实逾期时间较长，但是并没有恶意拖欠不还，京东上次就威胁要上门催收，现在又开始发律师函。</t>
  </si>
  <si>
    <t>2019/10/05 10:34:36</t>
  </si>
  <si>
    <t>小当家严重的砍头息，申请额度是4000，到账2880；申请时候没有看到这样的利息，等到账了才发现不对，已经还了一部分，现在突然暴力催收，发短信威胁恐吓我，还有我的通讯里的好友，现在家里人和我闹翻了，让我处理不好，不能回家，现在我很狼狈，请平台出面帮我主持公道。</t>
  </si>
  <si>
    <t>2019/10/05 10:34:21</t>
  </si>
  <si>
    <t>投诉人郝先生投诉对象富友支付,杭州市民卡,程咬金借款,火影帮涉诉金额3000元问题类型诉求类型投诉详情本人从5月21号通过有个微信给我发的链接，当时急用钱就用了，说是分6个月还完，于是就审请了，申请1500，到账1107，到期当天就有催收威胁要联系家人，无奈每次都是续期，一直到，10月份，还的利息都是本金的好多倍了，通过上海富友下的款，下面有图，希望销账和，退出法定利息，由于本人多家借款实在无能为力，。</t>
  </si>
  <si>
    <t>2019/10/05 10:34:02</t>
  </si>
  <si>
    <t>投诉人童先生投诉对象招商银行信用卡涉诉金额60000元问题类型诉求类型投诉详情招商银行信用卡委托催收人身攻击，电话不断，让人无法正常工作。</t>
  </si>
  <si>
    <t>2019/10/05 10:34:01</t>
  </si>
  <si>
    <t>一个人去英孚咨询，他们天天打电话，我也是真心想学好英语就去了，然后说得天花乱坠我交了两百定金，说得可以优惠两千元，不满意立马退款，当时我妈妈知道了很气愤，要求他们立刻退款，说我一个小孩子什么也不懂，也没有征求父母的建议就让我自己交钱了，这儿后面因为价格偏高的原因，我就不想去了，结果让他们退钱，从八月底就喊退款，这儿都十月五号，国庆节完了还没有退圈，把我当娃儿一样耍的团团转，每次问他好久退钱，说得两周内，我每次去问都说的还有两周！太让我震惊了，我还没有步入社会，就被摆一道。</t>
  </si>
  <si>
    <t>2019/10/05 10:33:52</t>
  </si>
  <si>
    <t>投诉人王先生投诉对象借据商行涉诉金额2000元问题类型诉求类型投诉详情本人被诱导在借据商行借了一笔2000元的贷款，实际到账1400，现要求归还这个砍头息。</t>
  </si>
  <si>
    <t>2019/10/05 10:33:51</t>
  </si>
  <si>
    <t>2019年9月4日在点点通借款3100元，被变相收取砍头息838元，到账3100元，随即被扣838元，实际只剩2262元，分两期还款，每期还款1657元，15天为一期，已经于2019年9月17日还款1657元，现在无法登陆点点通网站，无法联系客服，被点点通方面语音通知在两小时内无法还款就进行恶意催收，我要求免除砍头息，我将本金及合法利息还清，停止对我的恶意催收！。</t>
  </si>
  <si>
    <t>2019/10/05 10:33:28</t>
  </si>
  <si>
    <t>暴力催收，打电话，发短信，微信威胁恐吓我及其家人朋友，并在投诉之后依然我行我素的暴力催收。</t>
  </si>
  <si>
    <t>2019/10/05 10:32:18</t>
  </si>
  <si>
    <t>10月5日预约的早上5点40的专车，上车后司机提议是否走高速，时间路程差不多，但实际结果是时间多花了十几分钟，路程多跑了17公里，实际导航路程40公里，司机跑了57公里，在软件客服那边投诉迟迟没有回复，同时在投诉进度上查不到我的投诉，我怀疑滴滴有意包庇司机。</t>
  </si>
  <si>
    <t>2019/10/05 10:30:22</t>
  </si>
  <si>
    <t>前十分钟刚通电话，立马就联系家人，太没底线了。</t>
  </si>
  <si>
    <t>2019/10/05 10:30:13</t>
  </si>
  <si>
    <t>上海黑皇信息科技有限公司经营的叫维信宝的APP，需要开通会员才能使用信用卡空卡代还的服务，开通会员后发现与实际不符，只是个能提交计划的空壳服务，连续24小时甚至以上都一直是待审核状态，执行计划不了，不投诉估计会永远如此，就算审核了估计也会计划失败，导致财产损失，对方客服不允许退会员费，并且到现在都不理人。</t>
  </si>
  <si>
    <t>2019/10/05 10:29:57</t>
  </si>
  <si>
    <t>高额手续费，虚假分期，高利贷借6500还9000.。</t>
  </si>
  <si>
    <t>2019/10/05 10:29:28</t>
  </si>
  <si>
    <t>投诉人 吴先生        投诉对象  潮New生活        涉诉金额  34 元    问题类型    诉求类型投诉详情  扣了我2张卡手续费不退款回来给我 还取消了代还订单</t>
  </si>
  <si>
    <t>2019/10/05 10:29:15</t>
  </si>
  <si>
    <t>本人因资金需求在立借平台引流至钱置宝，借款3000元，实际到账2100元，一个月分4期，每期8天，每期751.10,现已按时还前3期共2253.3元，已经还清本金2100加153.3费用，利息已经超出国家合法利息，本人已无力再承担违法利息，请求平台与之联系协商销账处理。</t>
  </si>
  <si>
    <t>2019/10/05 10:28:58</t>
  </si>
  <si>
    <t>之前有投诉过同样问题对方公司一直没有出面解决问题，并一直把本人信息外包给催收公司每天一直电话恐吓并未实际解决问题一味催收还款，每次来电本人每次都基本接得到，对方来电态度恶劣，恐吓诱导还款，本人态度一直回复需要对方公司提供每月还款利息跟本金确定是否合理合法及他们这种催收是否合理就马上挂断，每个人来电都是用的网络电话，请问如果一个正规公司专门固定电话都不敢用与客户联系吗，关于每个月还款利息本金问题与之前线下签订合同时本人提出异议对方公司来电人员拒不正面回答并且回复：你现在也还款这么久也说明默认这个还款本金利息，</t>
  </si>
  <si>
    <t>2019/10/05 10:28:52</t>
  </si>
  <si>
    <t>投诉人雷先生投诉对象数来宝涉诉金额1200元问题类型诉求类型投诉详情本人在6月份借了数来宝高利贷，14天的，借1200到账700元.14天到期需要还款1235元，当时怕逾期，借的另外高炮还款的，现在要求数来宝归还高额支付的金额，不退还我天天投诉。</t>
  </si>
  <si>
    <t>2019/10/05 10:28:50</t>
  </si>
  <si>
    <t>第一次使用不到6个月，在回老家的高速上，轮毂炸了，第二次在十月1号时，参加婚礼的路上，汽车轮胎没气，本以为是扎胎了，去修理厂，工人一看，是轮毂侧面发生裂纹，两处。</t>
  </si>
  <si>
    <t>2019/10/05 10:28:36</t>
  </si>
  <si>
    <t>投诉人 王先生        投诉对象  找靓机        涉诉金额  1 690 元    问题类型    诉求类型投诉详情  虚假验机报告 压低价格 暴力质检 不履行承诺</t>
  </si>
  <si>
    <t>2019/10/05 10:27:57</t>
  </si>
  <si>
    <t>套路贷的行为借款2000需要支付500元会员卡费用和65元服务以会员卡名义收取高额息费费！借款时间一个月！月利率28%，年利率336%！超过国家法定利率典型的套路贷砍头息！扣款方为中国银联无卡快捷支付业务专户放款方为易宝支付。</t>
  </si>
  <si>
    <t>2019/10/05 10:27:02</t>
  </si>
  <si>
    <t>我在融360借款时光分期悦享钱包借款600一年需要还款八千多利率超级高不说，逾期一天可客服开始侮辱恐吓，严重本人生活，我也说过几天会还，但他们不听，本人要求调整利率道歉，暴利催收实属可恶。</t>
  </si>
  <si>
    <t>2019/10/05 10:26:52</t>
  </si>
  <si>
    <t>费率过高，最近做生意失败，我希望贵公司能够给我免除一部分利息，并把我的的借款做一个长一点的分期。</t>
  </si>
  <si>
    <t>2019/10/05 10:26:41</t>
  </si>
  <si>
    <t>因国庆假期道中公司延时发放工资，希望贵公司可以允许我延期到8号还款本人正常支付本金加罚息，感谢贵公司。</t>
  </si>
  <si>
    <t>2019/10/05 10:26:32</t>
  </si>
  <si>
    <t>投诉人张先生投诉对象立借涉诉金额7000元问题类型诉求类型投诉详情借款5500就收2000多的利息明显超出国家规定利率！分期12前三期就将近收完利息本金也是打的好算盘。</t>
  </si>
  <si>
    <t>2019/10/05 10:26:17</t>
  </si>
  <si>
    <t>投诉人 林先生        投诉对象  MY钱包        涉诉金额  8 300 元    问题类型    诉求类型投诉详情  My钱包砍头息太黑心了，贷款8350 实际到手只有7350。</t>
  </si>
  <si>
    <t>2019/10/05 10:25:37</t>
  </si>
  <si>
    <t>本人在钱站借款2000到账2000合同上写这3000元，投诉钱站他给我敷衍了事，变相收取高利贷，请问能协商解决不，该还的我一分不少都会还。</t>
  </si>
  <si>
    <t>2019/10/05 10:25:06</t>
  </si>
  <si>
    <t>9月4日，我通过京东商城雅迪自营旗舰店购买雅迪电动车豪战精致版电瓶车成人男女代步车电动轻便摩托车，白色一辆，并于2019年9月5日通过官方客服电话要求京东商城开具机动车统一发票，用于挂牌，当时接线客服告知京东财务无法开具机动车发票，只能开电子发票，帮助把身份证，车架号，电机编码加进去，客服人员说是拿去一样可以挂牌，2019年9月7日收到货后客服给开具了备注信息的电子发票，本人与2019年9月23日新闻得知陕西省用户只要是发票在2019年4月15日到2019年9月24日之间的超标电动车均可挂非机动车车牌，超过</t>
  </si>
  <si>
    <t>2019/10/05 10:24:57</t>
  </si>
  <si>
    <t>黑网贷，借80000，要还110000多，还没有逾期，早上就开始不断的打电话发信息骚扰，态度还极其恶劣，高利贷公司的做派就没有相关部门管制么！。</t>
  </si>
  <si>
    <t>2019/10/05 10:24:11</t>
  </si>
  <si>
    <t>我的账号被盗被毁号，装备除了几个英雄武器和橙色武器，其他的紫色武器蓝色武器全部被恶意回收，损失在3000元左右，跟客服反应，客服不给处理，说是自己手动操作回收的，请问我自己会毁自己的号吗，而且账号内回收永久武器需要二级密码，我已经设置了，忘记密码需要等待三天重置密码，我个人认为他们这个安全保障不能对玩家起到一个安全的保障，这个系统还需完善，要不然会有更多的受害者，这个他们是能查到的，我自己设置的密码我会忘记吗，这是有人恶意操作，但是腾讯客服说无法恢复，我现在只想把自己的装备找回来了，所以在聚投诉平台投诉腾讯</t>
  </si>
  <si>
    <t>2019/10/05 10:23:34</t>
  </si>
  <si>
    <t>2019年1月买的华为笔记本电脑matebook13.，还在质保期内，2019年9月先是蓝牙图标自动消失必须按电源键强制关机后再启动才能出现，后面电脑网络突然断开，也是要求强制关机重启后才能使用，2019年10月3号开始，经常死机，现在开不了机。</t>
  </si>
  <si>
    <t>2019/10/05 10:22:54</t>
  </si>
  <si>
    <t>投诉人吴先生投诉对象出行唯选涉诉金额1998元问题类型诉求类型投诉详情2019年10月4日晚上九点五十在兰州机场有位穿工作服人员来推销此卡，口述充值1998赠1000可购买机票使用，可享受vip服务，且没时间限制，但实际情况是只可抵基建费50元，且时间限制1年，当时由于错过航班赶时间，即将登机缺少对事物的判断，今天找客服时，客服不停在模糊当时情景说卖时就说了抵消基建费，说得很清楚，这种模糊事实诱导购物不能接受。</t>
  </si>
  <si>
    <t>2019/10/05 10:22:32</t>
  </si>
  <si>
    <t>前几天下载了小浦优客app申请借款，按步骤填写资料，然后最后要求绑定银行卡，绑定完成就开始审批，过了两天发个信息说是扣除296元个人信用报告费用，可是之前申请步骤并没有说明有这个费用！正规贷款也不应该有前期费用，涉嫌违规欺诈，因为不知道会有这种情况发生，申请过程没有截图。</t>
  </si>
  <si>
    <t>2019/10/05 10:22:27</t>
  </si>
  <si>
    <t>本人被引诱到一个网站充值入金1000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t>
  </si>
  <si>
    <t>2019/10/05 10:22:21</t>
  </si>
  <si>
    <t>钱站在可以联系到借款人的情况下，随意拨打借款人，恐吓侮辱，在国庆假期期间，已经很多次了。</t>
  </si>
  <si>
    <t>2019/10/05 10:21:05</t>
  </si>
  <si>
    <t>逾期几天就爆通讯录，工资要几天才发，他们不同意直接爆通讯录，逾期费我都认了还爆通讯录。</t>
  </si>
  <si>
    <t>2019/10/05 10:20:38</t>
  </si>
  <si>
    <t>截屏为所谓兴业银行信用卡第三方催收的来电号码。</t>
  </si>
  <si>
    <t>2019/10/05 10:20:36</t>
  </si>
  <si>
    <t>我也一直在积极解决欠款问题了，欠钱该还天经地义，别人都答应我旅游回来见过我之后就借钱给我周转下，但是你们一直派催收说要还钱，不还钱就走流程，今天这个催收甚至报我通讯录的名字和打过我电话的手机号码，说你借不到钱他就自己找这些人帮我借钱还，，还说说我今天11点还还不上钱他就打那些人的电话帮我借我想问下这合法吗，合理吗，欠钱的人是我，你找我是应该的，我也在积极解决问题找关系好的人借钱，只有一个人有钱答应借但是说要等她回来，她说了今天或者明天回了，我也和你们说了，但是你们一直说要爆通讯录帮我借钱。</t>
  </si>
  <si>
    <t>2019/10/05 10:19:59</t>
  </si>
  <si>
    <t>投诉人李鹏程投诉对象太原武宿国际机场,山西空港贵宾服务有限公司涉诉金额399元问题类型诉求类型投诉详情在太原机场询问工作人员，吉祥航空的机票在哪里取，她们说你怎么才来啊，我来帮你取，带你去快送安检通道，然后告诉我交费399就可以享受这些，然后威逼利诱说现在普通排队的人多我肯定过不了安检了，又说飞机马上就要起飞了，你不从我们这走肯定不行，于是拿过我的身份证就跑走了说去帮我取票，另一个人就让我赶快拿出手机扫码付费，在工作人员一系列的操作下我就稀里糊涂的交了钱。</t>
  </si>
  <si>
    <t>2019/10/05 10:19:46</t>
  </si>
  <si>
    <t>投诉人潘先生投诉对象Wecash闪银,至尊借款涉诉金额222元问题类型诉求类型投诉详情本人借款明日到期，公司更改发工资日期，请求能给几天期限，发工资还款。</t>
  </si>
  <si>
    <t>2019/10/05 10:19:34</t>
  </si>
  <si>
    <t>投诉人朱先生投诉对象平安普惠涉诉金额5000元问题类型诉求类型投诉详情服务费是不需要支付的为什么还要收取服务费那。</t>
  </si>
  <si>
    <t>2019/10/05 10:18:44</t>
  </si>
  <si>
    <t>10月2日在12306上候补下单了杭州东到镇江南的的火车票，，后因行程安排，主动退单，显示已退单，但到现在钱还没退回来，麻烦催一下。</t>
  </si>
  <si>
    <t>2019/10/05 10:17:50</t>
  </si>
  <si>
    <t>已经还2期，还剩下2期共2044.8元电话4008336200，客服说不接受协商，只负责发借款链接。</t>
  </si>
  <si>
    <t>2019/10/05 10:17:48</t>
  </si>
  <si>
    <t>投诉人 杨占伟        投诉对象  力蕴汽车,美利车金融        涉诉金额  35 000 元    问题类型    诉求类型投诉详情  高利贷 不合法催收 恶意骚扰 非法窃取他人通话记录</t>
  </si>
  <si>
    <t>2019/10/05 10:17:28</t>
  </si>
  <si>
    <t>投诉人 骆先生        投诉对象  你我贷        涉诉金额  440 元    问题类型    诉求类型投诉详情  暴力催收，打通迅录电话恐吓威胁</t>
  </si>
  <si>
    <t>2019/10/05 10:17:11</t>
  </si>
  <si>
    <t>十二个月，第一个月2300第二个月2300，赶上国庆，工资推迟发放，还款日前打客服说明情况，延期还款，跟催收部门说明情况，后期我回电电话打不通，全部是网络电话，主动打给我又不予协商沟通，反说我不联系他们，并暴力恐吓，言语嚣张狂妄，并威胁爆通讯录，个人欠款原因有法律规定可以骚扰家人的。</t>
  </si>
  <si>
    <t>2019/10/05 10:17:01</t>
  </si>
  <si>
    <t>51即刻有平台利息远超国家标准，并且暴力催收，只要逾期一天就会多次拨打电话，并出口侮辱，还有骚扰通讯录里的亲戚朋友。</t>
  </si>
  <si>
    <t>2019/10/05 10:16:57</t>
  </si>
  <si>
    <t>小当家还款链接无用，app无法下载，联系不了。</t>
  </si>
  <si>
    <t>2019/10/05 10:16:26</t>
  </si>
  <si>
    <t>10月2日，烘干机使用2次后，发现烘干机底部漏油严重，烘干机也不能烘干衣物了，于是我打电话至博世公司要求售后上门检修，因为机器是在淘宝上订购的，货是从北京发来的，时间已经隔了十几天过去了，包装物已经丢弃，我再把机器发回北京换货是不可能的事情，机器也为大件，自重快达到200斤，售后人员上门后，直接说的公司规定在哪儿买，去哪儿退，问题发生在三包期内，我给售后人员解释了，三包的权利是顾客选择是否愿意退换，而不是厂家不管并强行要求顾客退换，从10月1日至今，我已经给博世4008855888投诉多次，博世公司的售后、</t>
  </si>
  <si>
    <t>2019/10/05 10:16:05</t>
  </si>
  <si>
    <t>已经投诉两个礼拜了！钱包易贷没有任何回复！也没有任何解决问题！催收一直拨打骚扰电话！并且存在高利贷！。</t>
  </si>
  <si>
    <t>2019/10/05 10:16:01</t>
  </si>
  <si>
    <t>投诉人 黄先生        投诉对象  圆通速递        涉诉金额  580 元    问题类型    诉求类型投诉详情  九月27发的快递28号就一直未更新 现在都10月5号了 严重耽误我的事情 客服不理 投诉也不理</t>
  </si>
  <si>
    <t>2019/10/05 10:15:49</t>
  </si>
  <si>
    <t>本人被引诱到一个网站充值入金400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希望有工作人员能够联系，要求第三方支付机构退回被扣款项。</t>
  </si>
  <si>
    <t>2019/10/05 10:15:04</t>
  </si>
  <si>
    <t>齐鲁交通ETC宣传，声称快速办理货车ETC，我于2019年10月20日提交申请资料，当日显示申请审核通过，车辆信息显示待办卡，但是至今迟迟不发货，至今客服电话4008391588一直联系不上，导致现在我ETC用不上，别的地方的也办理不了。</t>
  </si>
  <si>
    <t>2019/10/05 10:15:00</t>
  </si>
  <si>
    <t>安逸花账户没理由的锁定，没有逾期，锁了已经快有一年了，提示可以自行解锁，从来都是失败，要求解锁，什么系统评定，那我当时能借不也是系统评定的，可以调我征信报告，你们的系统评定是怎么评定的，属恶意封锁账号。</t>
  </si>
  <si>
    <t>2019/10/05 10:14:49</t>
  </si>
  <si>
    <t>快易花暴力催收，不协商，态度强硬，跟天皇老子一样。</t>
  </si>
  <si>
    <t>2019/10/05 10:14:44</t>
  </si>
  <si>
    <t>投诉人 吕先生        投诉对象  YY信用        涉诉金额  1 000 元    问题类型    诉求类型投诉详情  申请延期到12号处理，最后一期账单。申请延期</t>
  </si>
  <si>
    <t>2019/10/05 10:14:17</t>
  </si>
  <si>
    <t>滴滴派单严重倾斜，我这个号就是接不到或很少接单，我的电话：137******37。</t>
  </si>
  <si>
    <t>2019/10/05 10:12:52</t>
  </si>
  <si>
    <t>最后一期，这个月要8号发工资，从没有逾期过。</t>
  </si>
  <si>
    <t>2019/10/05 10:12:43</t>
  </si>
  <si>
    <t>申请，出现18000相关金额，以为是一年全部还款金额，节后，该平台礼拜一夜间放款，也无任何通知，本人一直以为申请不成功，发现该平台放款13000，预先扣除近5000元，但仍需要本人按18000还款，月息14.5，本人想提前还款，但该平台预先扣除近5000，仍需还款。</t>
  </si>
  <si>
    <t>2019/10/05 10:12:36</t>
  </si>
  <si>
    <t>催收侮辱性话语催收，本来今天借到钱准备还进去，竟然这样，我借也不去借了，你们流程走起来找我吧。</t>
  </si>
  <si>
    <t>2019/10/05 10:12:34</t>
  </si>
  <si>
    <t>本人微信号被莫名打标狐狸而且无法申诉，希望创客工具箱提供我是骗子的证据，否则你们说我是骗子是侮辱我的人格，现在对我的人品造成了极大影响，希望此事能尽快给我个说法，解除微信打标。</t>
  </si>
  <si>
    <t>首先我逾期是因为我家里出了一点事情，再加上我本身怀孕在家待业，再加上招联额度被冻结，不能随借随还所以导致逾期，而且逾期的天数还不到十天，期间招联金融各种手段都用上了，群发各种短信和打爆我的通讯录，你们这样是协商还款吗，是正常催收吗，所有的逾期都是因为有原因又不是恶意去拖欠，用招联已经有几年了，第一次遇到这么恶心的事情，催收的态度法律在他们眼里都不是玩意了，你们招联也是这个态度吗。</t>
  </si>
  <si>
    <t>2019/10/05 10:12:04</t>
  </si>
  <si>
    <t>投诉人黄先生投诉对象广东移动涉诉金额88元问题类型诉求类型投诉详情9月账单99.9元，10月1号账单日，不足扣费停机，是怕我消费不起，给不起这个钱，还是霸王条约。</t>
  </si>
  <si>
    <t>2019/10/05 10:11:37</t>
  </si>
  <si>
    <t>投诉人 薛女士        投诉对象  维信金科        涉诉金额  5 277 元    问题类型    诉求类型投诉详情  维信卡卡贷有三次无法自动扣款 导致逾期 并催收 要求解释道歉。并提供还款方式</t>
  </si>
  <si>
    <t>2019/10/05 10:11:34</t>
  </si>
  <si>
    <t>我要求一次性还清欠款，他们不同意，非要分期，一个公司，工作人员跟我说已经还清欠款，可是下个月又说我欠他们钱，跟我说工作人员失误，。</t>
  </si>
  <si>
    <t>2019/10/05 10:10:59</t>
  </si>
  <si>
    <t>投诉人 陈先生        投诉对象  钱橙无忧        涉诉金额  168 元    问题类型    诉求类型投诉详情  前段时间投诉给退了，结果前天又无故扣款，</t>
  </si>
  <si>
    <t>2019/10/05 10:10:40</t>
  </si>
  <si>
    <t>本人在微品分期借款2300，半个月需还款2938，超过国家规定利息n倍，属于超级高利贷，连连银通电子支付有限公司为其提供通道，如需求得不到合理处理，将寻求公安，经侦，银监的帮助。</t>
  </si>
  <si>
    <t>2019/10/05 10:10:27</t>
  </si>
  <si>
    <t>最近家里发生变动，账户逾期，想协商还款，延期几天还款，并不是恶意拖欠不处理，不允许打本人联系人电话，通话记录里的电话，延期几天还款。</t>
  </si>
  <si>
    <t>2019/10/05 10:09:24</t>
  </si>
  <si>
    <t>10月1日晚上，手机没电，去了深圳坂田天虹的一芳果茶店的街电机子借充电宝，但是街电系统异常，未能正常弹出充电宝，接着系统提示，问是否充电宝弹出，我点了否，因为确实没有拿到充电宝，可是街电系统还是依旧照常扣费了，联系了客服人员，客服人员承诺不会扣费，可是需要充电宝归还才能退款，可是我手上压根就没拿到充电宝，根本无法进行归还，在2019年10月5日早晨，直接扣了99元，找客服人员沟通，还是坚持归还成功才能退，我就没拿到充电宝，怎么归还，所以来聚投诉进行投诉，希望工作人员能协助解决，感谢。</t>
  </si>
  <si>
    <t>2019/10/05 10:08:23</t>
  </si>
  <si>
    <t>本人2019年6月14日开始申请退押金，到今天2019年10月5日还没退！。</t>
  </si>
  <si>
    <t>2019/10/05 10:07:52</t>
  </si>
  <si>
    <t>河北省邯郸市丛台区太极路十九号河北工程大学校园网，我们学校校园网被河北广电网络垄断，没有其他运营商可选，河北广电网络吃相难看玩文字游戏，而且资费太贵，之前大一只能交四年大二三年大三两年大四一年，而我们在校时间不足十二个月尤其大四要实习，广电网络的收费标准把我们假期的钱也收了，后来学校要求出多元化收费，他就整这个4M带宽的，而且广电网络的收费也很贵大多数学生承受不了，之前我们是办三大运营商的19元月租校园卡送50M宽带，现在不仅没有卡了资费还贵了，最后补充，学校要求网络稳定前不许收费，昨天光缆被挖断了，今天就</t>
  </si>
  <si>
    <t>2019/10/05 10:07:33</t>
  </si>
  <si>
    <t>投诉人 王女士        投诉对象  银兜钱        涉诉金额  45 元    问题类型    诉求类型投诉详情  扣钱不需要密码？乱扣钱怎么回事？怎么不直接全部抢去啊</t>
  </si>
  <si>
    <t>2019/10/05 10:07:25</t>
  </si>
  <si>
    <t>展鸿科技,汇潮支付,聚合财务,支付宝,金鸡下蛋，2.而且唯一还款通道是支付宝，收款方为聚合支付，本人通过短信推荐，下载金鸡下蛋，还款时间只有5天，而且续期两天300元，已经续期四次了，现在本人已经无力偿还，准备得忧郁症了，1.这个高利贷是通过汇潮支付这个支付通道放款，经过核查，汇潮支付作为合作平台，有其主体公司和联系电话，但拒提供，继续参与违法行为，本人愿意归还本金和合法利息，希望通过平台解决问题3.几个平台都拒提供客服联系电话，为此只有从第三方支付平台处取得联系方式。</t>
  </si>
  <si>
    <t>2019/10/05 10:07:03</t>
  </si>
  <si>
    <t>我在这里负责的说，每次我来贷给我打电话，我都会接，并且解释现在的资金困难，从来没有逃避过，现在我通讯录上的亲友都收到你们的催款电话，现在我也是借无可借了，这是你们想看到的结果吗，泄漏我隐私，没经过我同意骚扰我亲友，我需要我来贷给我一个合理的解释，如果我没接电话，你们随便，问题是我接电话了，并且认真解释，你们还骚扰我亲友，并且第一句话都是联系不到我，太恶心了，等着你们给我回复，没有回复之前，我不会再去还高额利息，就这样。</t>
  </si>
  <si>
    <t>2019/10/05 10:06:11</t>
  </si>
  <si>
    <t>暴力催收天天打我通讯录电话给我家里打电话还有亲戚朋友。</t>
  </si>
  <si>
    <t>2019/10/05 10:05:39</t>
  </si>
  <si>
    <t>骚扰，威胁，恐吓，爆通讯录，要求立即停止不规范行为，。</t>
  </si>
  <si>
    <t>2019/10/05 10:05:32</t>
  </si>
  <si>
    <t>在维信金科旗下卡卡贷贷款25000元，分十二期，每期还2580，利息已经很高，最近发现当时还有砍头息，以充值名义扣除1199元，要求退还该笔款项。</t>
  </si>
  <si>
    <t>2019/10/05 10:05:13</t>
  </si>
  <si>
    <t>投诉人杨女士投诉对象中信银行涉诉金额13000元问题类型诉求类型投诉详情因经商被骗，欠款逾期，本人已经将房产出售，等售房款一到位，立刻偿还，之前说10月1前可以到位，但银行放款进度任何人都左右不了，只能再等等，但催收人员在本人有强烈还款意愿的前提下，仍然威胁上门催收，希望贵行，等待一下，银行贷款发放下来后，第一时间处理欠款。</t>
  </si>
  <si>
    <t>2019/10/05 10:04:30</t>
  </si>
  <si>
    <t>在我本人不知情的情况下给我亲朋好友打电话，故意抹黑，扬言不还钱事就没完，在没有本人的允许下私自上门催收，对本人造成严重影响。</t>
  </si>
  <si>
    <t>2019/10/05 10:03:23</t>
  </si>
  <si>
    <t>本人于9月5日在牛人有品借款1900元，实际到账1368元，分两期，每15天还一期，还款总额1938元，还威胁我爆我通讯录，态度恶劣，现要求按合法利率＋本金还款销账。</t>
  </si>
  <si>
    <t>2019/10/05 10:03:18</t>
  </si>
  <si>
    <t>立刻出行平台没有车子，很多站台取消了，2019-9-17申请退押金499元，到现在10月5日都没有任何反应，请客服给个解释，退还押金，谢谢。</t>
  </si>
  <si>
    <t>2019/10/05 10:03:15</t>
  </si>
  <si>
    <t>我在网上申请了贷款，但是在我毫不知情的情况下且未经我允许，就私自给我购买了保险。</t>
  </si>
  <si>
    <t>2019/10/05 10:02:33</t>
  </si>
  <si>
    <t>本人在小赢卡贷逾期了，前期已主动联系客服人员告知目前的困难暂时无力偿还，我也正在努力工作，并且兼职，我已经被逼上绝路了，只剩下一条命，小赢是真的要我的命吗，小赢已经把我逼得精神压力太大，我并没有恶意逾期，可是小赢的工作人员疯狂的催收，骚扰我，让我的工作生活一团糟，我的遗书早已写好，如果小赢不顾我的死活，那就继续疯狂催收，我如果丢了工作就什么都没了！。</t>
  </si>
  <si>
    <t>2019/10/05 10:02:27</t>
  </si>
  <si>
    <t>融360申请的水莲金条贷款，5日是还款日，去融360app操作还款，均显示还款失败，现诉求尽快解决还款失败问题，请客服尽快联系我。</t>
  </si>
  <si>
    <t>2019/10/05 10:01:21</t>
  </si>
  <si>
    <t>兴业消费金融，利息太高！要求郑海清调整利息年化24之内！中华大地。</t>
  </si>
  <si>
    <t>2019/10/05 10:00:20</t>
  </si>
  <si>
    <t>投诉人张女士投诉对象有钱花涉诉金额10000元问题类型诉求类型投诉详情小花平台利息太高，还不上了，天天打电话骚扰，恐吓威胁所有通讯录的亲戚朋友，现在当事人已经面临崩溃的状态，做什么都打不起精神，家庭也快面临解散，离婚，已经不能过正常的生活了，现在只求不要再打骚扰电话，钱我们再想办法还，利息能降低一点，不然真的要出人命了。</t>
  </si>
  <si>
    <t>2019/10/05 10:00:07</t>
  </si>
  <si>
    <t>投诉人李女士投诉对象维信金科涉诉金额684元问题类型诉求类型投诉详情卡里有钱到账单日就显示逾期主动还款不让还卡里有钱早上扣除一部分剩下的发短信说银行卡余额不够已经联系过银行和核对过余额都是正常并且余额充足维信卡卡贷仍不扣款造成逾期。</t>
  </si>
  <si>
    <t>2019/10/05 09:59:53</t>
  </si>
  <si>
    <t>360借条催收态度极其恶劣，像黑社会一样，难道国家就不管吗，之前无故骚扰家人朋友，对家人生活造成恶劣影响，现在硕让我去银监会上访，说你尽管去，这么嚣张跋扈，和现在的和谐社会格格不如。</t>
  </si>
  <si>
    <t>2019/10/05 09:58:52</t>
  </si>
  <si>
    <t>小赢卡贷利率严重超过国家规定标准，并且与众安保险搭伙售卖网贷保险，在本人不知情的情况下！，强买强卖，变相砍头息，直到当事人查询名下保险时才发现这个事情，不提供任何保单，不准退！。</t>
  </si>
  <si>
    <t>2019/10/05 09:58:44</t>
  </si>
  <si>
    <t>本人于在深圳国金征信有限公司旗下的火影帮借款2100，仅到账1528元，15天就需要还款，而首页广告说是六个月分期，在就是本人已续期一次费用是588元，以为是分期付款，虚假宣传，诱导用户，每续期15天就要收取高达588元每期的费用，已远超国家标准杭州市民卡有限公司为其提供支付渠道，公司地址:广州省深圳市福田区福华三路168号深圳国际商会中心809，目前已还和续期金额一期，本人要求协商销账调整利率一次付清所有。</t>
  </si>
  <si>
    <t>2019/10/05 09:58:39</t>
  </si>
  <si>
    <t>造艺科技未经允许扣了我钱，现在无奈来聚投诉请求帮助。</t>
  </si>
  <si>
    <t>2019/10/05 09:57:54</t>
  </si>
  <si>
    <t>9.29号早上5.25分开始到10点51分，我支付宝收到拼多多消费提示，总共18笔订单，每笔48元，当天我并没有购物，也不可能有这么奇怪的订单，然后我这边联系拼多多官方查下，查到是哪个号消费的，发现是我2017年的2个QQ号被盗了，盗号者之间在拼多多上消费，利用拼多多50元以内免支付密码的漏洞直接每笔48元的消费在5个店铺拍订单，店铺是：今日五交化，虎之店，电tk,赫之店，怡萱小店1，这几家店铺拍订单，我仔细看过了，这几个店铺，所有产品价格虚高，没有产品详情，根本不是正常经营店铺，我把支付宝被盗付款订单号，</t>
  </si>
  <si>
    <t>2019/10/05 09:57:39</t>
  </si>
  <si>
    <t>本人于在深圳国金征信有限公司旗下的火影帮借款2600，仅到账1898元，15天就需要还款，而首页广告说是六个月分期，15天利息700多，超过国家规定利息n倍，属于超级高利贷杭州市民卡有限公司为其提供支付渠道，公司地址:广州省深圳市福田区福华三路168号深圳国际商会中心809，本人要求协商销账调整利率一次付清所有消帐，如不处理，下一步将寻求经侦，公安，银监帮助。</t>
  </si>
  <si>
    <t>2019/10/05 09:56:49</t>
  </si>
  <si>
    <t>钱站借款3000，要还5050，已经还了两期了共3300，这次手头比较紧，还款日当天就开始不停的催，说一定要几点几点还进去，根本不停别人说，今天早上又开始威胁，态度很不好。</t>
  </si>
  <si>
    <t>2019/10/05 09:56:20</t>
  </si>
  <si>
    <t>借接到维信卡卡贷账务部门电话，在能联系到本人的前提下威胁说催收部门要联系父母家人和工作单位，并强调对造成的任何影响不负任何责任，该行为就是违法的，爆通讯录，联系和账务无关人员，联系工作单位，对我的名誉会造成严重的不可挽回的影响，请维信卡卡按照国家相关规定只联系本人，谢谢，本人有相关录音及以往爆通讯录相关录音记录，必要时请联系提供。</t>
  </si>
  <si>
    <t>2019/10/05 09:55:57</t>
  </si>
  <si>
    <t>第二，打电话过来直接威胁，叫他还钱，不然还要打你的电话，打到他还钱为止！，第三，请自己核对一下电话联系记录，我要是去你们公司借钱，填你们公司老总电话，你岂不是把你老总电话都给轰了。</t>
  </si>
  <si>
    <t>2019/10/05 09:55:18</t>
  </si>
  <si>
    <t>投诉人 陈女士        投诉对象  平安普惠        涉诉金额  4 000 元    问题类型    诉求类型投诉详情  平安i贷 高利息 收入暴力催收 要求协商还款</t>
  </si>
  <si>
    <t>2019/10/05 09:55:06</t>
  </si>
  <si>
    <t>投诉人 周女士        投诉对象  现金借款        涉诉金额  2 000 元    问题类型    诉求类型投诉详情  因为工作离职了所以工资发晚了。之前协商过的，现在需要再次协商一下。延迟几天。希望不要骚扰通讯录。非常感谢你们。</t>
  </si>
  <si>
    <t>2019/10/05 09:52:00</t>
  </si>
  <si>
    <t>51人品逾期7天，催收人员用官方的态度说，如果在下午2点之前不处理就根据相关规定去法院起诉我，说怀疑我是非法借贷，威胁说打联系人电话进行深入核实，根本不可协商，因为国庆放假银行系统关闭，影响我个人账户资金没到位，所以出现的逾期，但是催收人员根本不听任何解释，那我也用法律武器也维护自己的权益，51人品贷真是牛，一上来就各种所谓法律规定来说事，虽然我是借贷人，这是合理催收吗。</t>
  </si>
  <si>
    <t>2019/10/05 09:51:10</t>
  </si>
  <si>
    <t>投诉人 陈女士        投诉对象  魔借        涉诉金额  10 000 元    问题类型    诉求类型投诉详情  点融魔借申请10000元 实际只下款8400元 当时不知道会直接扣除1600元 这就是砍头息了吧 然后分12期还 每期934元 我现在已经还了10期 也就是9340元 我早就归还足够本金 利息也已经远超国家规定的36% 现在对方还要求我还两期 我现在要求销账 把我多还的利息赔给我 另外不要再给我打电话</t>
  </si>
  <si>
    <t>2019/10/05 09:51:09</t>
  </si>
  <si>
    <t>一上午已经给我朋友打很多电话了，朋友担惊受怕，说钱站委托第三方催收，态度恶劣，各种威胁，投诉这么多次钱站一次都没联系过我本人解决这件事，发信息问我情况，我也说了，可是她们跟没看见一样，现在又是私人催收，太暴力了。</t>
  </si>
  <si>
    <t>2019/10/05 09:51:01</t>
  </si>
  <si>
    <t>因个人身体原因，已与客服协商12号进行还款，并且客服告知0571开头的电话才是51的工作人员，近三天屡次接到其他号码骚扰，表示会进行通讯录催收，会给亲朋好友，同事进行暴力催收。</t>
  </si>
  <si>
    <t>2019/10/05 09:50:00</t>
  </si>
  <si>
    <t>九月十几号在爱用商城上分期了一部手机，当时下单时并未发现手机价格高于市场价，并且想换一款手机重新买，下单后没多久，就去找客服取消合同，连续几次，客服并未取消合同，手机正常发货，到货后联系客服退货事宜，讲手机寄回，手机寄回签收后找客服取消订单合同，客服以供应商未退款为理由没有处理，至今已经距离手机被供应商签收已有半月，昨日询问客服仍然没有处理，并且将我爱用商城账号封号，我已经登录不上APP。</t>
  </si>
  <si>
    <t>2019/10/05 09:48:07</t>
  </si>
  <si>
    <t>钱站阴阳合同，砍头息，借8000要还12000，高利贷没人能管管吗。</t>
  </si>
  <si>
    <t>2019/10/05 09:47:50</t>
  </si>
  <si>
    <t>随意扣费，没有反应过来就已经扣费了，详细说明都没有。</t>
  </si>
  <si>
    <t>2019/10/05 09:47:36</t>
  </si>
  <si>
    <t>投诉人高女士投诉对象卡牛信用管家涉诉金额0元问题类型诉求类型投诉详情借款强制收取和借款没有关系的会员权益费，且客服态度强硬。</t>
  </si>
  <si>
    <t>2019/10/05 09:44:08</t>
  </si>
  <si>
    <t>本人在及贷平台借款时被强行搭售意外保险，半年期两万保额的意外险保费却高达2486元，本人认为及贷平台联合易安保险以保费为名收取高额砍头息。</t>
  </si>
  <si>
    <t>2019/10/05 09:43:51</t>
  </si>
  <si>
    <t>10月4日，车辆在杭州绕城高速上行驶，大约在13点左右，客服和我说这个理由是系统自动判定的，我们无法修改等话语，建议我二次申诉，二次申诉为人工处理，结果二十分钟左右就出结果了要求合理处理，不然找媒体曝光，接到这笔订单，但已经错过了合理的高速出口，需要到下个出口再返回，，我直接取消了该订单，后平台判我有责，理由是“提前点击我已到达，导致订单取消”，这是随意添加扣分理由，我根本没有点击我已到达，乱加一条，接下来进行第一次申诉，等待几个小时后，申诉失败，然后我致电客服，说这个扣分理由我不接受，客服和我说，这个理由</t>
  </si>
  <si>
    <t>2019/10/05 09:43:42</t>
  </si>
  <si>
    <t>本人于2019.9.15日在周周花花平台借款2000元，每七天为一期，共四期要还3428元，1428的砍头费用，都快赶上本金了，为严重高利贷，易宝支付为其提供支付渠道顶风作案，现要求协商结清销账，这次实在无力偿还，正值国庆期间，易宝支付为其提供支付渠道，顶风作案，现要求协商结清销账。</t>
  </si>
  <si>
    <t>2019/10/05 09:43:07</t>
  </si>
  <si>
    <t>账号被绑定未成年我没有接到通知也没有经过我的同意，我微信支付绑定的身份证已经成年。</t>
  </si>
  <si>
    <t>2019/10/05 09:42:28</t>
  </si>
  <si>
    <t>2019/10/05 09:41:30</t>
  </si>
  <si>
    <t>本人于2019年10月4日凌晨1:15分在联动云租车预约共享汽车，预约后并没有取车也没有用车，但是在10月5日8:15分再次打开app却显示总时长1856分钟行驶0公里预估费用556元，并且联动云计价规则，订单金额超过200元，会先支付费用才能再再次使用车辆。</t>
  </si>
  <si>
    <t>2019/10/05 09:41:21</t>
  </si>
  <si>
    <t>2019年8月12日中止房屋租赁合同，多次致电联系工作人员，至今未收到欠款，一直在拖延拒不支付，十一之后还未收到欠款，将直接法院诉讼，消费者维权之路太坎坷了。</t>
  </si>
  <si>
    <t>2019/10/05 09:41:05</t>
  </si>
  <si>
    <t>小赢卡贷省最后一期因创业资金紧张，打电话协商不了，一直打电话威胁我说要联系我的亲朋好友，态度极其恶劣。</t>
  </si>
  <si>
    <t>2019/10/05 09:40:15</t>
  </si>
  <si>
    <t>捷信从九月多开始一直打骚扰电话给我，拉黑了也没用每次都是不一样的号码，这已经严重影响了我的生活，我一个初三的学生我也不可能去贷过这种东西，买东西也从来没有分过期，所以根本没有理由一直打我电话，无疑是骚扰电话了，希望以后别再给我打电话继续骚扰我了谢谢。</t>
  </si>
  <si>
    <t>2019/10/05 09:37:47</t>
  </si>
  <si>
    <t>松紧贷高利贷，违法犯罪，借14000借款金额写16000，收取2000多元所谓服务费实为砍头息！！借14000一年要还21000，利息高达7000多元！！必要时候我将通过媒体和法律途径维护自己的权益，一定举报到底。</t>
  </si>
  <si>
    <t>2019/10/05 09:37:46</t>
  </si>
  <si>
    <t>国美易卡我一直觉得是个正规的平台，是个公平公正的平台，但是今天大大的让我失望了，由于我一号出去玩把钱包丢了我挂失我所有卡，这个事我当时也报案了都可以查证，2号是我国美易卡还款日，我没有按时还上，他们的工作人员联系我，我跟他们协商等八号上班了卡补上立马就还，可工作人员就是不肯，说话难听的不得了，跟黑社会讨债一样，威胁我十点之前不还就要拔打我身边所有朋友电话，让他们通知我还款，我真的很火，这国美易卡难道也是不正规的乱七八糟的网贷吗，威胁恐吓，什么事都敢做，还骂我要不要脸面，请求有关部门帮忙，严查国美易卡，即使他</t>
  </si>
  <si>
    <t>2019/10/05 09:37:13</t>
  </si>
  <si>
    <t>兼职工资延迟发，国庆节过后财务才发，所以希望协商一下。</t>
  </si>
  <si>
    <t>2019/10/05 09:36:25</t>
  </si>
  <si>
    <t>9月28日起，接到来分期一个高风险部门电话，该部门告知，不按要求时间还款将起诉，可以直接说多次欺骗，多次推诿，要求客服人员制定一个负责人进行沟通，对于最后是协商还是走法律程序，都只对制定工作人员联系，过一天，换一个人再联系，都说自己是负责人，每个人都没有反馈，2019年10月4日，接到一个男性工作人员，他告知，他是负责人，与他协商，还款一定金额，与其确认多次，该工作人员告知，货款多少不重要，需要有还款意愿，后按他要求，还款330.75元，他告知他负责申请10月10日还款，按2019年10月5日，又接到一个来</t>
  </si>
  <si>
    <t>2019/10/05 09:36:03</t>
  </si>
  <si>
    <t>拍拍贷存在高利贷，借款1万元，合同约定还款1万零8百多；实际还款私自增加风险保证金和手续费用，共计还款1.4万元，远远超出合同约定还款金额，多次投诉，平台无应答。</t>
  </si>
  <si>
    <t>2019/10/05 09:34:07</t>
  </si>
  <si>
    <t>浦发银行您好，我是一个父亲也是一位丈夫，在2017年相继申请了十几万的万的万用金，3年共还款二十五六万，现在家庭遇到变故，浦发银行已经逾期两三个月，这其中想了很多的办法去解决，无奈没有解决完成，现在我们都找到了稳定的工作，浦发万用金还有4万多没处理，，，卡里还有几万，希望贵行能给与我们家庭一个活路，，让我们能分期去了处理这些债务。</t>
  </si>
  <si>
    <t>2019/10/05 09:32:59</t>
  </si>
  <si>
    <t>事件经过：本人到兴义机场乘机，过安检后被一女服务员拉住，该女服务员服装与机场正式服务员极为相似，容易混淆，付款购买VIP卡后，该女服务员方才拿出服务协议签署，未对服务条款进行解释，当时急于登机并未细看，仔细看过服务协议，并询问推销员，即推销卡片的女服务员黎某，135******00，，推销员才告知不可以直接用卡内的钱购买机票，拒不承认虚假推销，属于典型的诱导消费和欺诈消费，诉求内容：要求成都易行商旅信息技术有限公司退回1500元。</t>
  </si>
  <si>
    <t>2019/10/05 09:32:44</t>
  </si>
  <si>
    <t>投诉人 钱先生        投诉对象  捷信金融        涉诉金额  0 元    问题类型    诉求类型投诉详情  不是当事人 一直打电话骚扰 问你欠多少钱，一直不回答</t>
  </si>
  <si>
    <t>2019/10/05 09:32:43</t>
  </si>
  <si>
    <t>，暴力软暴力催收，威胁恐吓，非法吸取公众存款。</t>
  </si>
  <si>
    <t>2019/10/05 09:31:42</t>
  </si>
  <si>
    <t>投诉人 吴女士        投诉对象  自由魔卡,超级马力贷        涉诉金额  2 000 元    问题类型    诉求类型投诉详情  自由魔卡超级马力变相收取高额砍头息 几次高达千元现协商减免还款</t>
  </si>
  <si>
    <t>2019/10/05 09:31:32</t>
  </si>
  <si>
    <t>十月四号是万达普惠的还款日，卡里有钱，就是不自动扣，昨天下午四点我主动还款，点好几次都是主动还款失败，造成今天逾期，打电话给客服，客服让我微信还款，去微信又提醒我还不了，让我去平台还，平台又还不了，玩人呢，严重怀疑故意让借款人逾期，收取罚息，要求解决还款问题和逾期费用。</t>
  </si>
  <si>
    <t>2019/10/05 09:31:20</t>
  </si>
  <si>
    <t>投诉人陈先生投诉对象拼多多涉诉金额60000元问题类型诉求类型投诉详情我是拼多多商家，店铺被三级限制，因为被投诉，经处理，让我联系投诉人，我按照投诉编号查找的电话号码，根本联系不上，联系不上投诉人，你们官方让我怎么办啊！那我拼多多店铺的钱就不让提现了，我怎么办，那钱对我很重要，这都俩月了，请帮我处理一下！感谢！。</t>
  </si>
  <si>
    <t>2019/10/05 09:30:52</t>
  </si>
  <si>
    <t>6月26日，我在一步用车APP上缴纳了699元分时租车保证金，官方承诺用车完成15个工作日后，即可申请退款，本人最后一次用车时间为2019年1月22日，用车完成之后与2019年2月16日申请退还保证金，但是退款一直没能到账，拨打客服电话，客服人员排队退款，预计6月份退款到账，但截至今日，仍未收到退款，现向聚投诉平台发起投诉，请平台给予帮助！谢谢！。</t>
  </si>
  <si>
    <t>2019/10/05 09:29:46</t>
  </si>
  <si>
    <t>闪电借款通过办会员方式变相收取高额砍头息，钻国家法律空子，忘记还款逾期一天，客服打电话催收态度恶劣，说晚上就还有事不方便现在，客服态度差要求必须五点之前还要不就自己看着办，过了五点就给我身边朋友打电话，对我生活造成了很大的困扰，我当天晚上就还了，发现逾期一天的费用超高！！！主要客服态度很差！！！。</t>
  </si>
  <si>
    <t>2019/10/05 09:29:28</t>
  </si>
  <si>
    <t>本人9月8号在信用管家平台好运金借款2250元。</t>
  </si>
  <si>
    <t>2019/10/05 09:28:44</t>
  </si>
  <si>
    <t>我9/30给了凭证请在线客服帮我入帐，一直到10/5这个账还没入进去，请问影响我的征信的话贵司负责吗。</t>
  </si>
  <si>
    <t>2019/10/05 09:26:45</t>
  </si>
  <si>
    <t>投诉人桂先生投诉对象立借,钱置宝,畅捷支付涉诉金额2100元问题类型诉求类型投诉详情本人2019.9.4在立借里面钱置宝，借款2100元，一个月分4期，每期8天，每期751.10,现已还3期共2253.3元，已经还清本金2100加153.3费用，利息已经超出国家合法利息，正值国庆期间，畅捷支付为其提供支付渠道，现要求直接销账。</t>
  </si>
  <si>
    <t>2019/10/05 09:26:32</t>
  </si>
  <si>
    <t>交通外包催收态度恶略，打400官方协调没有任何用，还是外包公司催收来骚扰。</t>
  </si>
  <si>
    <t>2019/10/05 09:26:22</t>
  </si>
  <si>
    <t>早上5.50分被跨行异地消费，打电话给银行银行表示不承担责任，叫我找中智看看是不是有贷款，然后我把我所有贷款看了一遍，并没有跟中智签约的项目。</t>
  </si>
  <si>
    <t>2019/10/05 09:25:48</t>
  </si>
  <si>
    <t>发布恐吓信息和对方已经协商过最后对方一天没和我联系而已就发这种什么未和我取得联系的荒谬信息你们可耻，能不能打击招联金融。</t>
  </si>
  <si>
    <t>2019/10/05 09:23:33</t>
  </si>
  <si>
    <t>账号被封，想联系客服知道具体原因，app联系客服一直联系不上，给滴滴打电话没人接。</t>
  </si>
  <si>
    <t>2019/10/05 09:23:29</t>
  </si>
  <si>
    <t>百度有钱花爆通讯录，我联系客服后客服说4小时内回复电话，并没有回复，我第二次联系客服，客服说不知道什么时候能回复，请问这是什么态度，我要求百度有钱花就爆通讯录侵犯个人隐私权名誉权做出经济赔偿自己解释清楚客服为何骗人。</t>
  </si>
  <si>
    <t>2019/10/05 09:23:01</t>
  </si>
  <si>
    <t>投诉人李鹏投诉对象抖音短视频涉诉金额30000000元问题类型诉求类型投诉详情抖音为了挣钱真是不择手段给现金贷网游打广告强烈要求抖音滚出网界娱乐圈。</t>
  </si>
  <si>
    <t>2019/10/05 09:21:44</t>
  </si>
  <si>
    <t>投诉人徐女士投诉对象中期移动涉诉金额0元问题类型诉求类型投诉详情昨天打电话查询的欠费了6.31.冲了十块钱查询余额还有3块多，第二天早上短信发不出去，查询余额又欠费了，用都没用都乱扣费。</t>
  </si>
  <si>
    <t>2019/10/05 09:21:42</t>
  </si>
  <si>
    <t>投诉人 卫先生        投诉对象  钱站,华夏银行        涉诉金额  90 000 元    问题类型    诉求类型投诉详情  利息不合理 骚扰通讯录 干扰我正常生活 还威胁我</t>
  </si>
  <si>
    <t>2019/10/05 09:21:40</t>
  </si>
  <si>
    <t>2019/10/05 09:21:01</t>
  </si>
  <si>
    <t>本金还欠23200远，加上利息保费尽然要还38000元，高利息实在无力偿还，要求一次结清减免利息和费用。</t>
  </si>
  <si>
    <t>2019/10/05 09:20:35</t>
  </si>
  <si>
    <t>投诉人 俞先生        投诉对象  Wecash闪银        涉诉金额  1 400 元    问题类型    诉求类型投诉详情  因为资金紧张想开一下延期 app客服不理人 好不容易打电话过去态度还恶劣 请直接帮我开延期</t>
  </si>
  <si>
    <t>2019/10/05 09:18:28</t>
  </si>
  <si>
    <t>本人和诸位同仁近期经历了钱橙无忧借款平台的无理收费，和直接扣费以及扣费后未履行相应承诺等行为，本人在钱橙无忧注册时被无故扣款56元且无无任何提示，后借款时该平台打出了审核不过关即退款，看到别的朋友也有相同的遭遇都是好几天后扣了168元，我怕到时候我转钱进银行卡了也会被自动在扣除112。</t>
  </si>
  <si>
    <t>2019/10/05 09:18:01</t>
  </si>
  <si>
    <t>投诉人郑先生投诉对象瑞卡贷涉诉金额6000元问题类型诉求类型投诉详情每天电话骚扰态度恶劣高利贷骚扰家人朋友。</t>
  </si>
  <si>
    <t>2019/10/05 09:17:11</t>
  </si>
  <si>
    <t>会在明天之前24点之前还款，请不要联系紧急联系人。</t>
  </si>
  <si>
    <t>2019/10/05 09:17:04</t>
  </si>
  <si>
    <t>投诉人雷先生投诉对象闪银涉诉金额1000元问题类型诉求类型投诉详情闪银客服处理问题拖拖拉拉，不想要解决的样子。</t>
  </si>
  <si>
    <t>2019/10/05 09:13:58</t>
  </si>
  <si>
    <t>本人9月6日下载小黑鲨app下款3000元，但有660元测评费属于变相坎头息，第一期还款减免100元，测评费为560元，现最后一期还款1019元，本人已无力处理，正值国庆期间，希望小黑鲨协商合理利息还款，杭州市民卡帮助小黑鲨提供支付渠道，现要求协商还款销账。</t>
  </si>
  <si>
    <t>2019/10/05 09:13:45</t>
  </si>
  <si>
    <t>每天给我邮箱发这个，但是找他们客服呢又不愿意协商，我本来就是学生时期借的他们平台的，每天不是发邮箱就是打通讯录还邮寄传单，邮件说能协商联系又不能协商，我爸已经被骚扰出心脏病在疗养要是出了什么问题我跟你们没完。</t>
  </si>
  <si>
    <t>2019/10/05 09:12:46</t>
  </si>
  <si>
    <t>欠了1573块，我都说16号发工资了还，可他们还是不依不饶，还打通讯录，还恐吓我。</t>
  </si>
  <si>
    <t>2019/10/05 09:12:25</t>
  </si>
  <si>
    <t>投诉人 唐先生        投诉对象  手机借钱        涉诉金额  3 800 元    问题类型    诉求类型投诉详情  还了好几次都是失败 怎么弄 是不是故意行为</t>
  </si>
  <si>
    <t>2019/10/05 09:11:26</t>
  </si>
  <si>
    <t>到账2000，一个月要还2560，属不属于高利贷，严重影响了我的生活，催收什么时候停止爆通讯录什么时候还钱。</t>
  </si>
  <si>
    <t>2019/10/05 09:11:12</t>
  </si>
  <si>
    <t>10月3日早上看银行明细的时候发现讯联智付-汉天网络的在06:19分扣了我198元，没有收到任何短信提示，我不知道是什么鬼东西，希望尽快还回来。</t>
  </si>
  <si>
    <t>2019/10/05 09:11:03</t>
  </si>
  <si>
    <t>投诉人 王晓峰        投诉对象  MAKA        涉诉金额  58 元    问题类型    诉求类型投诉详情  maka于10月4日未通知扣费的情况下 从我微信账户扣费58圆自动续约会员 我进行申诉要求退款但无人应答 于此希望能得到maka的退款</t>
  </si>
  <si>
    <t>2019/10/05 09:08:27</t>
  </si>
  <si>
    <t>投诉人周先生投诉对象交易猫涉诉金额125元问题类型诉求类型投诉详情该用户让我私聊加他QQ，然后在QQ上诱惑我买了他另一个号，也是交易猫上的，交易猫上说是贵八，因为是传承号就跳过了验号环节，等我上去之后发现并不是贵八传承号，发现*后我就申请仲裁，那人说可以取消仲裁后联系客服换绑解决，我在不知情的情况下听信了他的话，手急一下取消了仲裁，然后骗子就把我拉黑了，电话消息不回，最后我买的那个号发现被他找回了更换了密保手机，望平台公正处理。</t>
  </si>
  <si>
    <t>2019/10/05 09:08:04</t>
  </si>
  <si>
    <t>投诉人顾先生投诉对象小赢卡贷涉诉金额11000元问题类型诉求类型投诉详情威胁恐吓电话轰炸通讯录客服态度恶劣语言讽刺。</t>
  </si>
  <si>
    <t>2019/10/05 09:07:48</t>
  </si>
  <si>
    <t>滴滴平台太垃圾，漠视优享司机生命，让他们忙的24小时不停的开车，不顾快车司机的死活，几个小时接一个毛单！。</t>
  </si>
  <si>
    <t>2019/10/05 09:07:40</t>
  </si>
  <si>
    <t>投诉人 黄先生        投诉对象  现金巴士        涉诉金额  1 000 元    问题类型    诉求类型投诉详情  借款1000 使用期限一个月 需要缴纳99元费用 百分百下款 从2016年就开始用 之前是使用14天一期 最后网贷整改 又变成30天一期 本人流水往来账也有 本人今后不会再用该产品 希望给予延 销账</t>
  </si>
  <si>
    <t>2019/10/05 09:07:35</t>
  </si>
  <si>
    <t>投诉人张先生投诉对象大麦游,立借涉诉金额2100元问题类型诉求类型投诉详情本人在立借里的大麦游借款，借款2100，砍头息525元，实际到账1575元，分三期还款，每期10天，每期还款720元，本人已还款二期，本人债务爆发，已无力承担高额砍头息及非法利息，要求以本金加合法利息销账！请聚投诉帮我协商联系平台，本人已经无力偿还，并且平台已下架该产品，但是该产品每天发送短信进行催收，请平台解决。</t>
  </si>
  <si>
    <t>2019/10/05 09:07:00</t>
  </si>
  <si>
    <t>还款的前一天，9月24日还款日我打开星象分期app始终无法打开，总显示*错误无法获取验证码进入系统还款，app上也没有自动扣款和客服联系方式，只有机器人电话来电提示还款，因此星象分期app无法打开导致我逾期，本人不是故意逾期，特要求商家客服和我联系告知还款其它方式把款还上，同时要求星象分期商家客服撤销对我的逾期记录和相关逾期费用。</t>
  </si>
  <si>
    <t>2019/10/05 09:06:37</t>
  </si>
  <si>
    <t>本人于7月7日在新橙优品平台申请贷款3000元，发现7月7日在3000元到账后前海新流大数据保险代理未经过本人同意私自扣款300元，最后核实此笔费用为新橙优品变相收取的砍头息费用！此账户就是新橙优品对公账户。</t>
  </si>
  <si>
    <t>2019/10/05 09:05:15</t>
  </si>
  <si>
    <t>今年3月份我重庆的客户给我打电话说一个角阀的阀芯断了，把户主的房子淹到了，造成了损失，得得知这家阀芯厂家有投保后我马上让厂家给我发了报单并报了保险，随后保险也安排人员去现场看了，损失估值15000元，，当时因户主和保险因为损失估值产生了争执，经过长时间的调解，在6月份户主终于同意保险公司损失估值，随后我打电话给报销工作人员要求15000元理赔时，保险工作人员以阀芯只是产品的一个配件，没有充分证据证明损失是阀芯造成的等为由一直拒绝理赔。</t>
  </si>
  <si>
    <t>2019/10/05 09:03:26</t>
  </si>
  <si>
    <t>下午18点10《接到滴滴平台派单从西南大学二号门接乘客去目的地去新天泽云山外，》18点30在北碚区双柏路段被交通执法大队人查处扣车。</t>
  </si>
  <si>
    <t>2019/10/05 09:02:33</t>
  </si>
  <si>
    <t>投诉人胡先生投诉对象哈啰出行涉诉金额4元问题类型诉求类型投诉详情晚上解锁一辆单车，还车用了我1&amp;nbsp;&amp;nbsp;20分钟搞笑。</t>
  </si>
  <si>
    <t>就这样不明情况下扣款和还款，而且没有任何的提示是用于什么地方。</t>
  </si>
  <si>
    <t>2019/10/05 09:01:44</t>
  </si>
  <si>
    <t>投诉人李女士投诉对象友信普惠上海友众,友信涉诉金额20000元问题类型诉求类型投诉详情2018年1月在友信普惠烟台分公司的业务员联系我说，我的微粒贷额度高，可以贷款友信的小额贷款，额度大概是五万多，然后有一个临沂分公司的客服联系我说以后我的账户她来负责，等我到了烟台分公司，业务员告诉我额度是2万，本来不想办理，业务员说业绩很差，这个利息低6.7%，分期36个月，可以用一段时间还清就行了，每个月还1012.9，在用一年以后，本金已经还清，准备一次性结清的时候，才发现我的贷款额度是31000，利息6000，就是</t>
  </si>
  <si>
    <t>2019/10/05 09:00:15</t>
  </si>
  <si>
    <t>我没同意免密支付，我也没输入验证码，就直接从我储蓄卡上扣钱。</t>
  </si>
  <si>
    <t>2019/10/05 08:58:39</t>
  </si>
  <si>
    <t>牛人有品是国家重点打击的非法高利贷平台，借款1900元实际到账仅为1300元，畅捷支付为其提供支付放款通道，做保护伞，本人多次投诉居然无人处理，接下来本人会继续投诉地方打黑办，银监会，我相信国家一定会有人处理这些非法机构让他们获得应有的惩罚。</t>
  </si>
  <si>
    <t>2019/10/05 08:58:10</t>
  </si>
  <si>
    <t>我不是本人，我是做为这个事情主人的朋友，人家欠你们钱没错，有必要群发短信来骚扰我们这些朋友嘛，在这普天同庆的日子里还让人家难受你们这不是黑社会是什么，别在群发短信，否则不管哪个朋友我们所有他身边的人会一一举报，你们这种行为太恶劣了，有时候人就是被你们这么逼得不想还，把人的面子名誉毁掉很好玩嘛。</t>
  </si>
  <si>
    <t>2019/10/05 08:57:11</t>
  </si>
  <si>
    <t>本人在此平台也合作过一段时间，从来没有出现过逾期，本月家里病人住院，资金紧张导致逾期，至今已逾期半个月，平台电话联系一直接听在协商还款意愿，在尽力想办法还款，昨晚接到本地催收电话说要上门，这种行为属于威胁恐吓，家里还有病人正在恢复身体，这种催收会带来很严重后果，又不是联系不上我，我态度恶劣，耍无赖不愿还款。</t>
  </si>
  <si>
    <t>2019/10/05 08:55:19</t>
  </si>
  <si>
    <t>投诉人 田先生        投诉对象  快闪卡贷        涉诉金额  15 000 元    问题类型    诉求类型投诉详情  快闪卡贷借15000元 实际到账12000元 已还5期 每一期还款3000元 共还15000元 最后一期第六期应还3000 快闪卡贷到账砍头息 不符合规定 只要求最后一期不还或者减免 多次联系工作人员没结果 请官方打我电话 银行卡扣款也老失败</t>
  </si>
  <si>
    <t>2019/10/05 08:55:16</t>
  </si>
  <si>
    <t>借款8000，6个月要还一万多，严重超过国家标准，而且无法还款，利息还不停升高，逾期利息达到50一天，要求降低还款利息，减免逾期费用！。</t>
  </si>
  <si>
    <t>2019/10/05 08:54:33</t>
  </si>
  <si>
    <t>购买一个电锯，第一次收到货，货物破损然后换货，第二次收到货，货物一拉启动就坏了，我以货物质量问题申请退货退款，商家以超过七天退货退款拒绝了，因为在换货过程中已经超过七天了，所以我不接受这理由，申请淘宝客服介入，淘宝客服判定我退货退款不成立，期间我与淘宝客服沟通处理了一个月时间，最后淘宝客服给出的答复是联系不到商家，无法处理。</t>
  </si>
  <si>
    <t>2019/10/05 08:53:29</t>
  </si>
  <si>
    <t>2018年1月在友信普惠烟台分公司的业务员联系我说，我的微粒贷额度高，可以贷款友信的小额贷款，额度大概是五万多，然后有一个临沂分公司的客服联系我说以后我的账户她来负责，等我到了烟台分公司，业务员告诉我额度是2万，本来不想办理，业务员说业绩很差，这个利息低6.7%，分期36个月，可以用一段时间还清就行了，我就去找烟台分公司要我当时面签的合同，可是烟台分公司消失了，然后有一个临沂分公司的客服联系我说，以后我的账户她来负责，合同上面的信息全部不是我填的，两个签名，第一个签名也不是我签的，第二个是复制我的签名，并且</t>
  </si>
  <si>
    <t>2019/10/05 08:52:54</t>
  </si>
  <si>
    <t>投诉人柴女士投诉对象手机借钱涉诉金额5840元问题类型诉求类型投诉详情这个客服电话永远关机，而且利息那么高，还款日当天，因为第一次打电话，我在上班不方便接电话，第二次我接了，本来想的是我靠边停车接电话的，不小心就挂了电话，然后就给我通话记录的人打电话了，然后他们的态度很不好，不听我解释原因，然后我就打那个400开头的电话，都不接电话。</t>
  </si>
  <si>
    <t>2019/10/05 08:52:10</t>
  </si>
  <si>
    <t>投诉人程先生投诉对象金鸡下蛋,支付宝,秒快贷涉诉金额5000元问题类型诉求类型投诉详情支付宝为714高炮提供还款渠道，714高炮还款都直接转入支付宝界面，由还款宝支付给不同平台商家，现要求支付宝对商家做出整顿处罚，对714高炮做出赔偿，退还高出国家的法定利率以外的非法所得。</t>
  </si>
  <si>
    <t>2019/10/05 08:51:54</t>
  </si>
  <si>
    <t>10月4号在交易猫平台购买百度端部落冲突游戏账号今晚七点半就被找回，绑定的身份信息手机号码全部被换，现游戏账号找不回，平台客服联系不上。</t>
  </si>
  <si>
    <t>2019/10/05 08:50:40</t>
  </si>
  <si>
    <t>首先，我最近是比较看好小米k20pro，当时应该是10月3号晚上大概10点左右，在小米官方旗舰店购买了一部手机k20pro，价格2999元，在第二天早上，物流显示包裹正在等待揽收，我退款了，但是第一次，商家取消了，第二次，商家说会拦截，但是顺丰那边并没有接到拦截信息，商家就让我拒收，我就想问一下，商家那边给顺丰打一个电话，进行拦截一下，顺丰不可能继续送，顺便说一句，我10月4号上午退款，退款原因是，我想在京东购买小米，并且是同款机型。</t>
  </si>
  <si>
    <t>2019/10/05 08:48:47</t>
  </si>
  <si>
    <t>爆我通讯录，之前和客服协商过，这次直接不打我电话打我家人电话一遍一遍打。</t>
  </si>
  <si>
    <t>2019/10/05 08:47:37</t>
  </si>
  <si>
    <t>捷信多次打电话威胁，发催款涵，年利率远远超过国家规定的利率，这样的公司怎么还能是持牌金融公司，希望有关部门处理。</t>
  </si>
  <si>
    <t>2019/10/05 08:46:07</t>
  </si>
  <si>
    <t>滴滴不派单，派单超少，超慢，一等一个多小时都没单，常有的事。</t>
  </si>
  <si>
    <t>2019/10/05 08:45:29</t>
  </si>
  <si>
    <t>一共从小花钱包借了两次钱，一次5000一次1万，现在在看借款本金都比实际到账金额多了百分之二十左右，在借款是并没有提醒借款利息和年利率，因为现在看不到合同还不知道有没有所谓的服务费，最近压力太大已经有点入不敷出了，已经和家里沟通，家里同意帮助我解决债务。</t>
  </si>
  <si>
    <t>2019/10/05 08:43:22</t>
  </si>
  <si>
    <t>投诉人 闫先生        投诉对象  玖富        涉诉金额  8 500 元    问题类型    诉求类型投诉详情  玖富小蓝卡已经结清本金和应该给的利息 现在还在发信息骚扰</t>
  </si>
  <si>
    <t>2019/10/05 08:41:09</t>
  </si>
  <si>
    <t>在今年七月十六号的时候，在百度上看到升学教育的广告，就心动了，然后就填了手机号码，在和销售人员的聊天中，销售人员一直催我交钱说名额有限，并且用百度有钱花办了教育分期，，还有一件事情，本来我问他有没有资料，他说有，我问他什么时候寄，他说第二天寄，第二天的时候，我问他你寄了没有，他说寄了，当时说的是寄顺丰，结果星期六时候我就问怎么快递还没有来啊，她说可能还在路中，单号是多少，她又说快递那天有事，前台也忘记了，就没有寄出来，接着我就说那我要退费，他就叫我去找班主任，我就去找班主任，结果一说退费，班主任打电话过来说</t>
  </si>
  <si>
    <t>2019/10/05 08:39:06</t>
  </si>
  <si>
    <t>借款980块，逾期一天利息达到100块，而且借款2000还3000！已严重超过国家标准！希望国家监管快点查看这公司的合法性！。</t>
  </si>
  <si>
    <t>2019/10/05 08:38:40</t>
  </si>
  <si>
    <t>投诉人 桂先生        投诉对象  来分期        涉诉金额  14 000 元    问题类型    诉求类型投诉详情  利息太高，还有就是利息不清不楚，还不上了</t>
  </si>
  <si>
    <t>2019/10/05 08:38:16</t>
  </si>
  <si>
    <t>投诉人王女士投诉对象浙江开心果网络科技有限公司涉诉金额200元问题类型诉求类型投诉详情2019年10月4日下午18点23分扣费。</t>
  </si>
  <si>
    <t>2019/10/05 08:36:17</t>
  </si>
  <si>
    <t>购买的是苹果6sp，更换过电池，2199块钱，收到后发现手机有卡顿现象，于是便发起退货，第二天发的顺丰寄回去，他们收到后硬是编造我拆过机，然后不予退换，也不予维修，之后也不把手机退回来，最后还是我觉得自己倒霉，求着让他把手机寄回来，那几天我每天都在百度搜索如何投诉它，但都无果。</t>
  </si>
  <si>
    <t>2019/10/05 08:36:06</t>
  </si>
  <si>
    <t>2019年4月15号，在分期花花贷款平台误导可以贷款10000元;扣款299会员费！申请平台推荐的全部审核不通过！以前app上边都无法退款，才知道聚投诉上边能帮助退费，希望分期花花把没有兑现的会员利益，把会员费退给我！！！。</t>
  </si>
  <si>
    <t>2019/10/05 08:34:51</t>
  </si>
  <si>
    <t>ofo共享单车迟迟不退押金，都排了半年队了，还在14376821位，这样排到什么时候，明显的欺诈消费者，要求速度退回押金99元。</t>
  </si>
  <si>
    <t>2019/10/05 08:34:29</t>
  </si>
  <si>
    <t>7月22日，本人因个人资金周转需要，在贷上钱app上借款4000元，合同上注明了分三期还款，却写上了购物金额1200元，而且每期需要还1800元，第二笔是2019年8月17日，本人因个人资金周转需要，在贷上钱app上借款3000元，合同上注明了分一期还款，却写上了购物金额750元，总的还款额度是3800多元，本人多次与其申明；承认贷款的本金，但对合同内的购物金额，利息不予承认，认为不符合国家法律相关规定，但因本人家庭出现重大事故，资金一时周转不来，约定于2019年10月8日后还款，并在客服的要求下，2019</t>
  </si>
  <si>
    <t>2019/10/05 08:33:38</t>
  </si>
  <si>
    <t>每次接到乘客订单，我都准时准点到达乘客的上车点，而好多乘客自己的定位不准，或者是司机到达上车点后，打电话给乘客，乘客让等待，一等就是5分钟，然而，滴滴公司为什么就凭乘客的恶意投诉和一面之词就扣我服务分，要求滴滴公司给我一个说法，恢复我的服务分。</t>
  </si>
  <si>
    <t>2019/10/05 08:32:41</t>
  </si>
  <si>
    <t>也就是说8000我借一期的利息高达1964.12.这不是高利贷是啥。</t>
  </si>
  <si>
    <t>2019/10/05 08:30:57</t>
  </si>
  <si>
    <t>本人借12300元，要还17000多元，多了5000多元利息，希望之前还5000多.减出来，我一次性结清。</t>
  </si>
  <si>
    <t>2019/10/05 08:30:12</t>
  </si>
  <si>
    <t>投诉人 任战领        投诉对象  云南信托        涉诉金额  1 800 元    问题类型    诉求类型投诉详情  (特约)云南信托，无缘无故盗扣银行卡钱。</t>
  </si>
  <si>
    <t>投诉人陈先生投诉对象省呗,北银消费金融公司涉诉金额4000元问题类型诉求类型投诉详情省呗通过非法手段获取个人通讯录信息，肆意传播借款人信息，恶意骚扰借款人通讯录及亲朋好友，为了正确维护个人权益，后续录音等其他证据我会保留。</t>
  </si>
  <si>
    <t>2019/10/05 08:30:03</t>
  </si>
  <si>
    <t>从小花钱包借7500块，分期还款，今天遇到点困难没有及时还款，直接电话威胁家人朋友，现在聚投诉还管事么。</t>
  </si>
  <si>
    <t>2019/10/05 08:29:42</t>
  </si>
  <si>
    <t>9月20日借款，借款13000，期限一个月，这样应该是在2019年10月20日左右还，我才借了十几天就要还，期限也没到一个月！我申请利息，还款日都调整！。</t>
  </si>
  <si>
    <t>2019/10/05 08:29:36</t>
  </si>
  <si>
    <t>借款2100，到账2100，还款3期要3100元。</t>
  </si>
  <si>
    <t>2019/10/05 08:29:24</t>
  </si>
  <si>
    <t>我9月25在淘宝三星酷爱体验店买了一个三星s9作为备用机，9月26日五点多到货因本人不方便签收就让放菜鸟所以没有当面验货，之后试了一下像素觉得像素不好跟卖家沟通卖家无正面回复，之后发现手机上显示的运行内存一直是2g/4g，以为手机是2g，因为官方发布该手机应该为4g运行内存，就咨询卖家，卖家的态度敷衍，后来指出运行程序4个为运行内存这种不负责的话，觉得卖家态度不负责怀疑产品确实存在质量问题，卖家回复第二天售后上班在问售后，我等到次日下午两点多都没有人回复，期间发现手机在卫生间就无服务，要开飞行模式重启后才有</t>
  </si>
  <si>
    <t>2019/10/05 08:27:25</t>
  </si>
  <si>
    <t>投诉人吴任投诉对象滴滴公司涉诉金额300元问题类型诉求类型投诉详情滴滴平台把很多快车订单都派给优享司机，造成快车司机没有订单，订单下滑严重。</t>
  </si>
  <si>
    <t>2019/10/05 08:24:50</t>
  </si>
  <si>
    <t>本人于2018年5月份在宜人贷借贷20000元人民币，借款期限为24个月，实际到账为17000元左右，明目张胆的砍头息，合同金额却显示为23529.41元，加之利息总还款额高达28506元,通过计算，其实际年利率已经超过60%，远远超过国家认定的高利贷标准，其中有过一次逾期，逾期当天其催收人员给本人打了将近40通电话，并且骚扰了我的同学，朋友，严重影响了本人的正常工作生活及名誉，希望有关部门予以重视，对其恶意催收，变本加利的做法给予其处罚，本人愿按照国家最高利率24还款款，剩余不合法的部分希望有关部门责令其</t>
  </si>
  <si>
    <t>2019/10/05 08:20:32</t>
  </si>
  <si>
    <t>借款65000分期57期还了10期23000多剩下的一次性还还得61700利息高于国家规定的太多，服务费20000多，他们什么也没服务就收，欺骗消费者，把国家法律法规不当回事。</t>
  </si>
  <si>
    <t>2019/10/05 08:19:52</t>
  </si>
  <si>
    <t>原12306账号注销未自动退款至原支付账户。</t>
  </si>
  <si>
    <t>2019/10/05 08:19:48</t>
  </si>
  <si>
    <t>卖一些低价位的东西高价买，不买就不让借钱，就是砍头息要求退还！。</t>
  </si>
  <si>
    <t>2019/10/05 08:18:08</t>
  </si>
  <si>
    <t>新意花小木钱包，借款2800元，分四期还款，每期8天，每期还款1022元，利息高达1280，在还款第三期时协商还款结清，客服拒绝了，各大平台现在都相互理解协商还款，现在新意花小木钱包无视国家利率政策，希望立马协商结清，如果还这样将斗争到底，也希望聚投诉在国庆举国同庆之时，给大家一个交代。</t>
  </si>
  <si>
    <t>2019/10/05 08:14:49</t>
  </si>
  <si>
    <t>本人于2017年7月在钱站一共贷款两笔，分别为3万和6万，但合同显示分别为32400和64800，分别收取首期服务费4540.8和2270.4，其余分36期归还，截止目前，已经还了27期，分别归还37723和75446，共计11万多，提前结清还需32176，本人已无力偿还，在已还款额远超出本金的情况下，希望钱站爱钱进可以终止两份合同，销帐。</t>
  </si>
  <si>
    <t>2019/10/05 08:14:19</t>
  </si>
  <si>
    <t>该两个网贷平台为手机借款提供的产品，初次接触未明显标注一期为10天且APP还款全部失败导致恶意逾期，客服联系竟然要求线下微信付款，因为担心没有证据怕遇到骗子所以未有还款，借款600030天还款竟然10000元，这不是高利贷这是什么，客服电话长期关机！诉求：按照国家正常利率还款，若继续骚扰会拨打110以及12315微博等多个互联网渠道进行曝光。</t>
  </si>
  <si>
    <t>2019/10/05 08:13:57</t>
  </si>
  <si>
    <t>造艺科技在本人毫不知情情况下恶意扣款167元，并在我之前投诉之后与我协商达成退款协定，并催促我同意结案，结案之后就再无消息，退款一直没收到，这种恶意扣款和言而无信的公司希望得到监督和严惩。</t>
  </si>
  <si>
    <t>2019/10/05 08:12:03</t>
  </si>
  <si>
    <t>高利贷，砍头贷平台，威胁打电话给亲朋好友，爆我通讯录。</t>
  </si>
  <si>
    <t>2019/10/05 08:09:17</t>
  </si>
  <si>
    <t>在农业银行绿森商城购买苹果新款手机一部，因为发货时间太久，发起退款申请，商家承诺三个工作日处理退款，商家信誉有点提高，请商家及时处理退款，保证本消费者权益。</t>
  </si>
  <si>
    <t>2019/10/05 08:08:47</t>
  </si>
  <si>
    <t>我是2018年10月在马上消费金融借款6000元，每月还款602.52元，现在已还款11期，总还款金额是6627.72元，现因家庭及身体原因有变，所以没有能力还款，因现已还金额已超出所借金额，所以希望可以等到有关减免，谢谢，现自己还要带两个小孩，所以是实在没有能力偿还了，希望可以得到理解，谢谢。</t>
  </si>
  <si>
    <t>2019/10/05 08:08:37</t>
  </si>
  <si>
    <t>钱站借款1000元，分期3个月归还，合同年化利息为35.84%，但三期还款总额为672.45+672.79+340.08=1685.32元，无法接受高额非法利息，要求调整利息，我方按规范利息还款，否则我方保留报警上诉权利。</t>
  </si>
  <si>
    <t>2019/10/05 08:08:31</t>
  </si>
  <si>
    <t>宜兴的快车司机接不到单子，都给优享车做了，乘客在边上发单，都接不到，有的乘客看见接单距离远，看见出租车直接坐出租车走了，导致乘客流逝。</t>
  </si>
  <si>
    <t>2019/10/05 08:07:45</t>
  </si>
  <si>
    <t>投诉人 陆先生        投诉对象  来这分期        涉诉金额  3 200 元    问题类型    诉求类型投诉详情  借款2000,分期4期,一期7天, 本金到账2000,一期还款800, 一共还款3200, 已经超过法定利息太多了.请求直接销账</t>
  </si>
  <si>
    <t>2019/10/05 08:05:31</t>
  </si>
  <si>
    <t>本人9月23日收到短信推广，点进去后是来花花平台，因急用钱，没注意借2000需要扣掉600的砍头息，期间因到期日，催收打电话过来说中午12点前必须处理，不然就按流程打通讯录电话，如果不能全款处理就给600续期5天！最好因为怕催收骚扰到家人，支付了600续期5天，到10月3日，下款渠道为汇潮支付，据了解汇潮支付一直为类似来花花平台系列提供放款渠道。</t>
  </si>
  <si>
    <t>2019/10/05 08:04:24</t>
  </si>
  <si>
    <t>海澜电商平台疑似传销以做网络刷单来以此诱骗人交528元钱拉人头来挣取费。</t>
  </si>
  <si>
    <t>2019/10/05 08:03:08</t>
  </si>
  <si>
    <t>2019.7.29借款1300元，到账1300元，扣砍头息100元，还款1359.09元。</t>
  </si>
  <si>
    <t>2019/10/05 07:57:28</t>
  </si>
  <si>
    <t>信用管家展示的云享贷，在云享贷借款几次了，从未逾期过，9月16借款2250元，分三期还款，每期10天，每期1029元，今天第二期到期，要求协商结清，至于是不是高利息与我无关，欠钱还钱天经地义，但是也请云享贷理解，最近环境所迫，几乎所有平台都不放款了，都在协商还款，希望大家心平气和协商，也请信用管家与云享贷沟通，别说跟你没关系，借款还款都在你们平台，也请聚投诉介入，。</t>
  </si>
  <si>
    <t>2019/10/05 07:55:10</t>
  </si>
  <si>
    <t>刚收了红包，就付不了款了，说是支付处于冻结状态。</t>
  </si>
  <si>
    <t>2019/10/05 07:55:04</t>
  </si>
  <si>
    <t>滴滴出行凌驾于规则之上，派单倾斜，不给老司机派单。</t>
  </si>
  <si>
    <t>2019/10/05 07:54:17</t>
  </si>
  <si>
    <t>电话，微信频繁催促，一点宽裕的时间都不给，说话还很难听，外包催收也请一些有素质的人吧，说话不客气不说搞得我欠了他八辈子钱一样，借3000.两期已经还了3300了，最后一期实在有点紧，还一直威胁恐吓，真的都不想还了。</t>
  </si>
  <si>
    <t>2019/10/05 07:53:44</t>
  </si>
  <si>
    <t>由于资金紧缺，在闪电借款上借的两个账单到期，已经处理了一个大的账单，还有一个小账单需要协商还款，所以希望能延长一下还款日期，本月10号发工资准时还上！。</t>
  </si>
  <si>
    <t>2019/10/05 07:50:11</t>
  </si>
  <si>
    <t>借款后发现利息超高，现在都还了好多期了，利息实在吃不消，也还不起，要求按照国家正常利息结清。</t>
  </si>
  <si>
    <t>2019/10/05 07:46:02</t>
  </si>
  <si>
    <t>刚吃完海底捞付完钱出门发现银行卡里的钱就被通联沪给扣款了，现在不敢往卡里转钱了，怕一转钱又被扣了，帮我尽快处理一下。</t>
  </si>
  <si>
    <t>2019/10/05 07:45:59</t>
  </si>
  <si>
    <t>从凌晨做到早上，8个小时做了100多块钱，没司机的时候给我派单，司机多了不给我派单。</t>
  </si>
  <si>
    <t>2019/10/05 07:44:57</t>
  </si>
  <si>
    <t>百世快递未经本人允许将我的快递放入云柜，由于当天本人不在合肥无法收取快递，延误了两天，结果快递柜第二天开始向本人收费，昨天去拿快递的时候提示必须支付3元才能开箱拿快递，本人认为此项收费极其不合理1.小区有菜鸟驿站，为什么不放菜鸟驿站，反而放这个收费的云柜里，2.百世快递为什么未经本人允许就将快递送入快递柜，3.本人认为快递送达时间不固定，收件人无法及时取快递很正常，但是江苏云柜网络技术有限公司的快递柜第二天就开始收费，收费是否合理，国家近期就已经出台相关规定：交通运输部将在10月1日后实行《智能快件箱寄递服</t>
  </si>
  <si>
    <t>2019/10/05 07:43:19</t>
  </si>
  <si>
    <t>小浦优客在本人不知道的情况下扣了我银行卡里296说是服务费，之前在网上看到的这个平台，他们让注册登陆然后绑定银行卡，绑定之后我那张卡里没钱第二天我往那张卡里转点钱有事情用了，小浦优客在我本人不知道的情况下自动给我扣了296元说是服务费，客服电话也打不通.。</t>
  </si>
  <si>
    <t>2019/10/05 07:42:54</t>
  </si>
  <si>
    <t>“聚福钱包在我不知情的情况下从我银行卡扣除了150元，收到短信却无法再正规软件商店查询到这个app，请聚帮我主持公道，要回这无故丢失的150元。</t>
  </si>
  <si>
    <t>2019/10/05 07:42:20</t>
  </si>
  <si>
    <t>1.逾期第一天上午被爆通讯录，更换不同IP地址骚扰家人电话2.威胁不还款，将继续电话骚扰我家人3.捆绑出售虚假虚拟物品，变相收取高额利息。</t>
  </si>
  <si>
    <t>2019/10/05 07:40:45</t>
  </si>
  <si>
    <t>菜鸟有钱催收辱骂通讯录联系人，高利贷1200元3天利息400。</t>
  </si>
  <si>
    <t>2019/10/05 07:37:51</t>
  </si>
  <si>
    <t>逾期两天，泄露我个人信息给第三方催收公司，利用我个信息威胁我，还要公开我个人信息及短信轰炸我通讯录好友。</t>
  </si>
  <si>
    <t>2019/10/05 07:37:31</t>
  </si>
  <si>
    <t>投诉人 吴先生        投诉对象  钱站        涉诉金额  2 000 元    问题类型    诉求类型投诉详情  收服务费 ，合同与实际借款到账金额不符，</t>
  </si>
  <si>
    <t>2019/10/05 07:36:49</t>
  </si>
  <si>
    <t>投诉人 杨先生        投诉对象  百事普惠        涉诉金额  200 元    问题类型    诉求类型投诉详情  百事普惠恶意扣费，今早起来发现被恶意扣费</t>
  </si>
  <si>
    <t>2019/10/05 07:35:18</t>
  </si>
  <si>
    <t>页面中[无忧服务]系统默认为关闭状态，无任何标注及醒目的说明此选项的功能，反而和异地还车写在一起，有意误导消费者其选项的用途，使其消费者在用车并出险后，即使在保险公司全额理赔的状态下仍需向联动云支付1500的费用，联动云此等行为有意误导消费者、恶意敛财，该公司的行为不符合《电子商务法》中的消费者知情权。</t>
  </si>
  <si>
    <t>2019/10/05 07:35:00</t>
  </si>
  <si>
    <t>投诉人 付女士        投诉对象  中金外贸信托        涉诉金额  1 565 元    问题类型    诉求类型投诉详情  中金外贸信托公司无故扣除本人银行卡的钱 望尽快处理</t>
  </si>
  <si>
    <t>2019/10/05 07:34:23</t>
  </si>
  <si>
    <t>只是在平台上注册了账号，一看要钱就没用了，退后并卸载了软件，没想到过了几天居然自动从我银行卡扣除了299元。</t>
  </si>
  <si>
    <t>2019/10/05 07:32:34</t>
  </si>
  <si>
    <t>昨天有点事情忙着忙着呢忘记了自己的今天早上准备去还的钱都但是我想问问。</t>
  </si>
  <si>
    <t>2019/10/05 07:32:27</t>
  </si>
  <si>
    <t>投诉人 吴先生        投诉对象  滴滴出行        涉诉金额  0 元    问题类型    诉求类型投诉详情  滴滴出行欺骗司机，经常长时间不派单。快车单都派给新优享了</t>
  </si>
  <si>
    <t>2019/10/05 07:24:34</t>
  </si>
  <si>
    <t>10.5凌晨一点多收到扣款信息，都不知道什么情况。</t>
  </si>
  <si>
    <t>2019/10/05 07:23:40</t>
  </si>
  <si>
    <t>1.微信小程序同程旅游购票，购票成功，出行前因个人私事没法正常出行，想要申请退票，不能网上操作，打通客服电话，人工客服告知只能去火车站窗口退票，不能网上退票，用同程旅游网上购票过程中，没有任何提示我所购买的火车票不能进行网上退款，2.选票时候显示西安站到昆山站坐票177.5元，付款的时候2张车票变成了385，无缘无故多出30元，并且没有任何明确显示多付的30元附加在哪里。</t>
  </si>
  <si>
    <t>2019/10/05 07:18:37</t>
  </si>
  <si>
    <t>低租，骗取房客一年租金跑路，不付房租，合同欺诈。</t>
  </si>
  <si>
    <t>2019/10/05 07:16:28</t>
  </si>
  <si>
    <t>豆豆钱借款10000元，到账立刻扣款899元，实际到账9101元，借款6个月，每月应个还款1946.67元，总利息高达2579元，合算下来，利率达56.7%，严重超过国家规定，要求按国家规定利率调整利息，提前结清。</t>
  </si>
  <si>
    <t>2019/10/05 07:09:45</t>
  </si>
  <si>
    <t>投诉人赵先生投诉对象爱农支付涉诉金额150000元问题类型诉求类型投诉详情投诉第三方支付公司爱农驿站，本人被引诱到一个网站宣称自己为澳门赌场合法经营，充值十几万多，后来发现是网络赌博平台，通过了解得知并非正规的购彩网站，是有后台操控的一个违法平台，另外通过中国人民银行和支付清算协会沟通得知，第三方支付业务应审核客户的相关信息，第三方支付公司不得向证券、期货、博彩等机构提供支付结算业务，作为有牌照的支付公司没有履行国家相关法律法规要求，为违法违规机构平台提供支付结算通道，即产生了洗钱的嫌疑，金融机构客户身份识</t>
  </si>
  <si>
    <t>2019/10/05 07:03:37</t>
  </si>
  <si>
    <t>微信添加后就是威胁恐吓，又要联系我的亲朋好友，又要联系街道办事处，不知道都是谁给你们的权利。</t>
  </si>
  <si>
    <t>2019/10/05 06:59:32</t>
  </si>
  <si>
    <t>投诉人 陈先生        投诉对象  亚博体育        涉诉金额  9 000 000 元    问题类型    诉求类型投诉详情  亚博体育APP传播网络赌博。诱人在平台内赌博。利用后台操作。吸取当事人钱财。被坑的人不计其数。涉案金额数以亿计。我一夜之间损失90万。</t>
  </si>
  <si>
    <t>2019/10/05 06:58:12</t>
  </si>
  <si>
    <t>唯品花莫名其妙突然停用，要求唯品会给出合计解释。</t>
  </si>
  <si>
    <t>2019/10/05 06:45:39</t>
  </si>
  <si>
    <t>得仕,广州滨宇科技有限公司,广州建乐网络科技有限公司，希望平台能为我主持公道所以在此提出投诉，恳请贵方平台帮忙追回钱款，本人在9月30号在网上看到有正规彩票平台，前后总共充值了五十多笔，冲进去就没赢过，亏损金额7万多，后来朋友看到我在平台购买彩票，跟我说了这个是境外赌博平台，有很多甚至是新闻上说的杀猪盘，后台可以自行操控开奖，根本不存在国家机构所谓的统一开奖，这些钱是我全部的积蓄，全部都输在了这些赌博平台上，经过多方咨询才知道那些商户收单机构提供入款通道给赌博平台是属于违法的，可以追究其法律责任，因为我自己</t>
  </si>
  <si>
    <t>2019/10/05 06:40:41</t>
  </si>
  <si>
    <t>10月4日晚八点到达目的地后赶紧存款，换款时就显示无法还款，根据提示换了银行卡，还是无法还款，于是充值进APP还是无法还款，操作多次现实还款中，最终导致逾期，10月5日早六点操作还款成功，严重怀疑平台有意拖延还款时间导致逾期，一样平台撤销逾期，返还违约金。</t>
  </si>
  <si>
    <t>2019/10/05 06:40:15</t>
  </si>
  <si>
    <t>我基本接不到单，一小时二小时接一单，单子都派给新优享了。</t>
  </si>
  <si>
    <t>2019/10/05 06:39:55</t>
  </si>
  <si>
    <t>投诉人 王女士        投诉对象  蚂蚁分期        涉诉金额  6 360 元    问题类型    诉求类型投诉详情  本人承诺以上说的句句属实 这个软件期间给我打过恶意的骚扰电话 说话不文明 而且还威胁我 借了4100需要还款6360当天借当天还</t>
  </si>
  <si>
    <t>2019/10/05 06:35:47</t>
  </si>
  <si>
    <t>2019/10/05 06:32:22</t>
  </si>
  <si>
    <t>之前就是不知道怎么就发来的验证码钱就被扣了。</t>
  </si>
  <si>
    <t>2019/10/05 06:26:05</t>
  </si>
  <si>
    <t>高利贷，砍头息！短信威胁，恐吓，卖个人稳私，骚扰亲朋好友。</t>
  </si>
  <si>
    <t>2019/10/05 06:22:25</t>
  </si>
  <si>
    <t>9月30号在唯品会借了五万，每天都会有利息25块钱，就想着提前还清，当我还款的时候没有部分还款的选项，只能一次性付清，然后我就往唯品钱包转了49800元，再次充值的时候系统提示失败，打电话给客服回复24小时内答复，第二天客服要求重装App，终于存入足额零钱后，然后又再次还款，系统又提示超过实名等级限额，再次联系客服，客服回复24小时处理，第三天短信回复是银行卡限额，再次联系客服是零钱包的钱，跟银行卡无关，客服答复再等24小时，第四天客服答复未实名认证，当我查询我已实名认证后再次跟客服反馈，客服继续让我等24</t>
  </si>
  <si>
    <t>2019/10/05 05:48:30</t>
  </si>
  <si>
    <t>距离上一次骚扰没多久，滴滴出行继续骚扰！恶心！总结出来滴滴的恶心事研究下给大家快出书了1.自己不会开车门，投诉你态度恶劣，这也能成立，也要申诉，也要占用申诉每月15个中其中一项！2.电话设置不听陌生电话，说不打电话给他，看了电话记录，又说投诉态度恶劣！这也能成立，也要申诉，也要占用申诉每月15个中其中一项！3.不让他车内抽烟，接过的，投诉你态度恶劣，你抽烟是没人管的，我不给你抽烟我不对的，然而这个也能成立投诉！这也能成立，也要申诉，也要占用申诉每月15个中其中一项！4.一股臭烟臭汗味，不开空调免得洗空调，态</t>
  </si>
  <si>
    <t>2019/10/05 05:27:33</t>
  </si>
  <si>
    <t>本人被引诱到一个网站充值入金200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t>
  </si>
  <si>
    <t>2019/10/05 05:24:12</t>
  </si>
  <si>
    <t>投诉人罗先生投诉对象友缘在线涉诉金额168元问题类型诉求类型投诉详情在今天凌晨，我在腾讯软件上面看见快遇爱APP，出于好奇下载了这个软件，然后看见免费体验3天VIP的窗口，打开后支付宝被免密支付两次款，一次99元，一次69元，造成了损失，希望给予退款。</t>
  </si>
  <si>
    <t>2019/10/05 05:11:59</t>
  </si>
  <si>
    <t>投诉人曾先生投诉对象GoFun出行涉诉金额250元问题类型诉求类型投诉详情本人于2019年9.18日使用车牌号为粤BDA1643的gofun共享汽车行驶在高速超车道上时发生车辆动力消失故障时，无奈只能停在应急车道上，然后致电客服，得到的回答是先行垫付拖车费用，后来垫付后，gofun这边解决问题的时间实在是恶心，致电也是各种备注加急处理就是不到账，终于等了若干天到账200，而且还不能提现，无奈只能再次致电客服，到现在还没解决！贵司这种结果问题的态度和效率真的是太让用户失望了……望贵司帮我加紧核实处理并且返还到</t>
  </si>
  <si>
    <t>2019/10/05 05:04:48</t>
  </si>
  <si>
    <t>1:我通过一个陌生号码发送的链接进入了一个借款平台，目前找不到短信记录，链接为：https://tfkj.52songma.com/generalize/dweb-clip.html2:该平台放款钱并未告知是砍头息，其借本金1400元，需还款2000，使用期限为5天，续期3天为300续期费，续期6天为600元续期费，4:支付宝作为第三方支付机构应有监管商户的责任，为何非要通过报警才能进行下一步，我可以到人民银行进行投诉或者其他行政监管部门，5；如若不处理立即做好上诉喝主管部门举报措施。</t>
  </si>
  <si>
    <t>2019/10/05 05:02:49</t>
  </si>
  <si>
    <t>投诉人仇先生投诉对象钱站,华夏银行涉诉金额18000元问题类型诉求类型投诉详情本人因资金需要在钱站app上借款18000元，但合同上私自改变了借款金额为24480元，但实际到账为18000元，分一年等额本息偿还，每月还款额为2534.7元，利息12000多元，年利率接近70%，远超国家规定的36%，实为高利贷公司，并且私自改变了借款金额，合同中所谓的20%多其实是为逃避监管。</t>
  </si>
  <si>
    <t>2019/10/05 05:01:29</t>
  </si>
  <si>
    <t>投诉人黄先生投诉对象猫眼电影涉诉金额60元问题类型诉求类型投诉详情从10月一号开始一直不能体现，既然出了活动就做好，欺骗网友不给体现是为了什么。</t>
  </si>
  <si>
    <t>2019/10/05 05:00:37</t>
  </si>
  <si>
    <t>在爱钱进旗下月光侠里贷款1900，无法取消，联系不上人工客服，，与2019年10月5日04点30分之前并未有爱钱进的账户，只有月光侠的账户，华夏银行自己内部员工连公司项目与自身站场的目的都不知道，甚至连一些查询方式，解绑银行卡方式都不知道请爱钱进的员工出来解决请华夏银行的领导出来给个解释。</t>
  </si>
  <si>
    <t>2019/10/05 04:58:16</t>
  </si>
  <si>
    <t>投诉人孙先生投诉对象多米贷,微贷网涉诉金额400元问题类型诉求类型投诉详情本人七月一日借款微贷里面多米贷2000元实际到账只有1600元现已还清需要多米贷退回多收400元砍头息。</t>
  </si>
  <si>
    <t>2019/10/05 04:53:32</t>
  </si>
  <si>
    <t>本人通过陌生人发送链接https://www.yabo60.app/download.html下载了一款软件，进去后由于诱人广告并进行了充值，该平台自称是拥有菲律宾博彩牌照的机构，但我也咨询了法律顾问，不管是哪个国家的合法博彩机构，在中国赌博都是违法的，一经发现将严惩，希望你们做第三方支付做好监管，并处理我的诉求，予以退款并对商户做一相关处理，谢谢，本人等待处理结果，如若不成将到人民银行进行投诉并下一步报警或上诉。</t>
  </si>
  <si>
    <t>2019/10/05 04:41:39</t>
  </si>
  <si>
    <t>投诉人陈先生投诉对象中金支付涉诉金额408元问题类型诉求类型投诉详情我的银行卡号密码只有我知道，中金支付四川分公司居然我在不明的情况下成功扣款，很震惊。</t>
  </si>
  <si>
    <t>2019/10/05 04:39:01</t>
  </si>
  <si>
    <t>投诉人孟先生投诉对象得仕涉诉金额3760元问题类型诉求类型投诉详情事实调查：1.违法兼职平台网站https://887365ww.com，未得到中华人民共和国的，和支付清算协会沟通得知第三方支付业务应审核客户的相关信息，第三方支付业务公司不得向证券，期货，博彩等机构提供支付结算业务，的第一章第三条，未经国务院特许，禁止发行其他彩票，禁止在中华人民共和国境内发行、销售境外彩票，总结.https://887365ww.com属于非法平台，在我国境内从事非法组织金融交易活动，诉求:得仕股份有限公司与平台商户尽快与</t>
  </si>
  <si>
    <t>2019/10/05 04:24:13</t>
  </si>
  <si>
    <t>本人在京东金条借了大概1万，京东金融客服电话也说明白本人实际本金大概1万，利息加罚息3000多，因催收暴力加威胁加制造假律师函导致本人失去工作，和亲朋好友反目成仇，导致一直没还上贷款，本人很想一次性还清所欠贷款，导致亲朋好友们每天都在高压状态下工作读书，本人经济有限，只能支持还所借本金。</t>
  </si>
  <si>
    <t>2019/10/05 04:22:44</t>
  </si>
  <si>
    <t>投诉人孙先生投诉对象淘手游涉诉金额500元问题类型诉求类型投诉详情待发货连个取消订单的接口都没有吗这明摆着只能用你们的仲裁联系客服而且客服根本联系不上不能直接退款。</t>
  </si>
  <si>
    <t>2019/10/05 04:10:22</t>
  </si>
  <si>
    <t>投诉人李女士投诉对象百事普惠,通联支付涉诉金额299元问题类型诉求类型投诉详情因为创业资金不够，下载百事普惠软件申请借款，软件提示需要生成信用评估报告才能申请借款，软件有两个选项，一个是支付299元生成信用报告，另一个是使用小银券，而且软件并没有提示小银券是需要收取费用的，我点击使用小银券生成信用报告，在生成报告之前软件要求绑定银行卡，绑定银行卡的界面显示的是放款银行卡，在绑定的同时它默认开通了免密支付，我点击完生成报告就短信提示扣了我299元所谓的报告费，扣款后软件提示会在一到两个工作日内匹配所谓的渠道都</t>
  </si>
  <si>
    <t>2019/10/05 04:08:20</t>
  </si>
  <si>
    <t>今年6月份加入货拉拉，做4个月不想做退保证金，货拉拉以我开外挂理由不让我退。</t>
  </si>
  <si>
    <t>2019/10/05 04:02:31</t>
  </si>
  <si>
    <t>你好！我十分前在北京有缘网络技术有限公司办了一个免费app结果一会他就给我扣取两笔钱，一笔99元一笔69他这个欺诈行为，我们该怎么追回。</t>
  </si>
  <si>
    <t>2019/10/05 03:55:08</t>
  </si>
  <si>
    <t>贷上钱比高利贷还黑，删除个人借款记录，只能看到当期借款详情，申请的时候，自动加购600商城权益包，这里我请问600买了什么，什么东西也没有，还有你们的商城在哪里，相当于借2000一个月要还2660，超出国家规定利率多少倍，要求赔偿2期多交的费用，共计1200元，如果做不到国家规定利率就立即下架。</t>
  </si>
  <si>
    <t>2019/10/05 03:54:23</t>
  </si>
  <si>
    <t>逾期了几天来分期，资金到账之后马上按照账单结清了账单，来分期有额度却用不了，我觉得我使用来分期已经很多年，，一直信誉良好，单凭一次逾期就冻结无法使用，这样的系统评估未免太武断吧。</t>
  </si>
  <si>
    <t>2019/10/05 03:52:40</t>
  </si>
  <si>
    <t>你好，我是2019年9月20日通过短信发来的链接下载后进入的胖胖有米借款app，进入app填写完个人信息后当时显示的借款利率并不高，但没有看到借款协议，随后便点击借款2500，但款项下来后发现只到账1375元，而且期限只有5天，预扣了1125元的所谓服务费，要求在9月24日归还2500，是上海华瑞银行发放的，很明显借款平台收取高额砍头息，纯属高利贷行为，后因本人经济困难，也无力承担此高额利息及费用，但本人有还款意向，愿以本金1375加利息100结清，但对方不依不饶进行暴力威胁，我本着实事求是的诚恳态度个对方</t>
  </si>
  <si>
    <t>2019/10/05 03:50:17</t>
  </si>
  <si>
    <t>7月10日，在马上金融贷款6500元。分24期需要还11668.9元。要求马上金融免除高利部分。</t>
  </si>
  <si>
    <t>2019/10/05 03:47:25</t>
  </si>
  <si>
    <t>投诉人 何先生        投诉对象  酷宝支付        涉诉金额  1 500 元    问题类型    诉求类型投诉详情  在我没有注册任何平台的时候 盗刷我1500</t>
  </si>
  <si>
    <t>2019/10/05 03:26:48</t>
  </si>
  <si>
    <t>投诉人钟女士投诉对象支付宝,蚂蚁金服涉诉金额0元问题类型诉求类型投诉详情两三个月左右做服装电商之前开通了商家码后收了两天款后来有个顾客说她付不了款，后来我叫我朋友试了一下她截图发给我显示的是账户存在风险，我收的好好的突然被限制，自己都不知道，找客服找不到，打客服电话也都是语音播报，大概七天左右又能收款了，收了两天又被封！在微博上找过蚂蚁金服在支付宝上找人工客服，打客服官方人工服务电话，没有一个回应，因为收款码被限制导致我在网上网购订单退款都退不回来，我真的很想知道为什么无缘无故毫无预兆的限制我收款，希望能够</t>
  </si>
  <si>
    <t>2019/10/05 03:24:45</t>
  </si>
  <si>
    <t>本人之前被朋友诱导玩了一个网赌平台，后面也戒了，也举报该平台也没用，然而每天各种网赌短信，支付宝也给网赌平台提供支付通道。</t>
  </si>
  <si>
    <t>2019/10/05 03:13:46</t>
  </si>
  <si>
    <t>10月24日，在新浪有借app上面申请的玖富贷款，当时借款8000元，分期一年，强行要购买第三方服务，2320元，属于明显的强制性购买，整体利息严重超出国家规定的年利率，现在我已经还了11期了，最后一期要玖富给我撤销，因为前11期所还9922元，已经足够满足国家规定的年利率了，所以给我撤销掉最后一期，咱们的账就一笔勾销。</t>
  </si>
  <si>
    <t>2019/10/05 03:13:17</t>
  </si>
  <si>
    <t>小赢卡贷本金一共30000，12期利率共36%，合计要归还40797.64，太不合理了，要求降低，都是之前借的贷款，都是按照这个利率归还的，希望可以把之前多余的金额归还你我贷本金一共12200，12期利率共35.95%，合计16585.44。</t>
  </si>
  <si>
    <t>2019/10/05 03:07:04</t>
  </si>
  <si>
    <t>有缘网产生恶意退款，请求退款，希望能成功退款，谢谢。</t>
  </si>
  <si>
    <t>2019/10/05 03:03:29</t>
  </si>
  <si>
    <t>投诉人 明先生        投诉对象  神人斗地主        涉诉金额  100 000 元    问题类型    诉求类型投诉详情  此平台就是赌博网站，害了不少人。经常更换网址，我随时提供网址链接。望平台协助警方抓住这些人。现在网址是:www.zsfqvm.com。</t>
  </si>
  <si>
    <t>2019/10/05 02:59:37</t>
  </si>
  <si>
    <t>投诉人 孟晏德        投诉对象  交易猫        涉诉金额  650 元    问题类型    诉求类型投诉详情  好几天了，不给退，发信息也不回。一点回应也没有。</t>
  </si>
  <si>
    <t>2019/10/05 02:51:22</t>
  </si>
  <si>
    <t>借8500分六个月还，每月还1671.65元，共计还款10030元，六个月利息1530元，你这利率早超过法律的36，当初打电话来让我借钱，感觉是在套路我，还有借款合同上什么保险费七百多是哪里来的，当初我我怎么不知道。</t>
  </si>
  <si>
    <t>2019/10/05 02:46:23</t>
  </si>
  <si>
    <t>中国银联,杉德支付,爱农支付,广东汇信,汇卡商务,HANpay，为什么这些国内合法的支付平台会给那些违法的赌博平台提供支付收款通道我已经注销所有赌博账户，希望最大程度追回损失，本人被诱导注册境外赌博网站，通过上诉支付通道充值超过5万余元，给我的生活带来极大的困扰，还严重影响了个人征信！为什么这些国内合法的支付平台会给那些违法的赌博平台提供支付收款通道，我已经注销所有赌博账户，希望最大程度追回损失！如果没有得到满意处理，一定投诉至人行等监管部门的权力。</t>
  </si>
  <si>
    <t>2019/10/05 02:44:19</t>
  </si>
  <si>
    <t>小花钱包APP上借款6500元12个月，显示可借额度也只有6500元，借款成功并实际到账6500元后，点APP借款记录里面借款合同变成8464元，要按照8464元计算利息和还本金，实际加起来12个月本息要还超过8900元，借据8464元实到6500元，整个申请过程中毫无提示。</t>
  </si>
  <si>
    <t>2019/10/05 02:40:38</t>
  </si>
  <si>
    <t>本人2019年1月2日在小赢卡贷借款2000元，分了12期，第一期还290.83元，其他11期各还220.83元，现在剩余4期未还，由于本人生活出现变故，目前资金周转困难，第8期正在逾期中，这两天贵公司催收电话不断，严重影响本人工作状态，请立刻停止骚扰，另外本人目前实在是没有还款能力，希望与贵公司协商处理还款。</t>
  </si>
  <si>
    <t>2019/10/05 02:39:41</t>
  </si>
  <si>
    <t>本人在2018年7月至2019年2月间，向融360贷款平台的吉时用借款4次，每次借款2000，，变相砍头息20%，有1次1000的，所购商品均为三无商品，3.15后了解这是违规放贷，现要求归还本人变相砍头息部分1400元，本人愿意归还已购三无商品，请贵平台帮助保障受害借款人的正常合法权益，为受害人主持公道！。</t>
  </si>
  <si>
    <t>2019/10/05 02:32:55</t>
  </si>
  <si>
    <t>本人四号还款日&amp;amp;nbsp;四号当天零点就把钱存进去了&amp;amp;nbsp;结果刚才看&amp;amp;nbsp;逾期了&amp;amp;nbsp;一直是那个银行卡还款&amp;amp;nbsp;也没更换过卡&amp;amp;nbsp;请宜人贷给我个解释&amp;amp;nbsp;或者撤销我逾期罚金&amp;amp;nbsp;正常扣款！。</t>
  </si>
  <si>
    <t>2019/10/05 02:32:31</t>
  </si>
  <si>
    <t>本人于2016.6月于捷信金融有个合同3万的贷款还到2019.9月.每期还款1434.4已还于捷信金融45888元.提前还款还需还18779元其平台除了本人贷款的3万本金以外还要支付一笔利息.客户服务费.贷款管理费.手续费等共55854元全额下来已经去到了百分之200以上的费用这也是合法的吗。</t>
  </si>
  <si>
    <t>2019/10/05 02:31:49</t>
  </si>
  <si>
    <t>本人于2017年9月因病于向钱贷借1200元，期间一直延期还款，每月延期费用350余元，一直延期至今，用金额已经近7000元，早已超过还款金额，是高利贷，5月朋友收到骚扰电话，我在向钱贷app一直查不到还款信息，以为平台已销账，今日又再收到平台的催收短信，已对我本人的生活名誉造成极大影响，希望能够销账，有需要可提供银行扣款流水。</t>
  </si>
  <si>
    <t>2019/10/05 02:29:52</t>
  </si>
  <si>
    <t>微亨加,深圳微米信息服务有限公司,深圳市广盛行小额有限公司，借款500元借款时间10天竟然高达150左右的砍头息。</t>
  </si>
  <si>
    <t>2019/10/05 02:29:50</t>
  </si>
  <si>
    <t>不仅暴力催收，还直接爆通讯录电话，工作人员换着打电话，态度极度恶劣，甚至威胁恐吓！。</t>
  </si>
  <si>
    <t>2019/10/05 02:23:00</t>
  </si>
  <si>
    <t>9月26日，本人因和多号扣费问题向东莞移动10086进行询问之后，有东莞移动10086客服人员对该问题进行了回答，因该客服人员服务态度极差丶推诿，故本人对该客服人员进行了投诉的同时也表扬了其它为我解决问题的10086客服，也于当日19点多跟东莞移动10086表示本人可能于2019年9月28日出国，出国期间本人可能接不到东莞移动回访电话，移动月结日快到了，本人会充值最低的套餐费用，如因未能及时更改套餐而造成的停机，一切责任由东莞移动承担。也于当日19点多跟东莞移动10086表示的同时，也向东莞移动10086提</t>
  </si>
  <si>
    <t>2019/10/05 02:21:42</t>
  </si>
  <si>
    <t>申请时不告知有高额利息和很短的周期，存在阴阳合同，借款1400元6天要还2000元，明显不符合国家对于贷款的利率要求，在国家严打714高炮的关头汇潮支付为其提供放款通道，支付宝为其提供还款渠道，到期当天就爆通讯录短信电话轰炸，存在软暴力催收行为，要求立即停止暴力催收行为，否则扫黑办报案处理。</t>
  </si>
  <si>
    <t>2019/10/05 02:18:55</t>
  </si>
  <si>
    <t>我在2018年9月15号的时候被一个人忽悠让我扫他的二维码往这个账号支付，结果我辛辛苦苦挣的血汗钱就莫名奇妙的被转走了！我报警了，都一年多了也没有消息，因为这次的事情给我的生活带来了很大的不幸，我因为这件事，在网上借了高利贷，现在还不起了，每天都会有很多的电话恐吓我和我的人和朋友！我希望通过这个平台能把我的钱追回来！。</t>
  </si>
  <si>
    <t>2019/10/05 02:15:21</t>
  </si>
  <si>
    <t>因为家里有急事需要用钱，就在这借了2笔贷款，总共4200元，借的时候我看分4期，结果是7天一期，一个月下来总共要还6000元多，已经还了5100元多了，超过本金跟800多利息废了，实在无力偿还，希望能够理解一下帮我销账。</t>
  </si>
  <si>
    <t>2019/10/05 02:14:24</t>
  </si>
  <si>
    <t>本人在米小花平台里面的随意现金借款两笔，实际利息只有几块钱。</t>
  </si>
  <si>
    <t>2019/10/05 02:13:03</t>
  </si>
  <si>
    <t>没有说不还，有时候资金紧张什么的，一时间也没有办法还上，但是都有在尽量还，但是这人七点钟发个信息来，给我一个小时处理，没有处理就派人来是什么意思，这算暴力催收吗，派人到我公司来，把我工作搞黄了，一分钱都没得赔！而且还款界面出现问题就要威胁我吗。</t>
  </si>
  <si>
    <t>2019/10/05 02:06:59</t>
  </si>
  <si>
    <t>第一次借款3000下款2250分四期28天.7天为一期.每期还款771.第二次申请3375分四期每期还款1151.46共需还款4605.48.放款为畅捷支付.存在砍头息.高利贷.两次还款已严重超过国家利率.现在第二次借款已还3期.剩最后一期要求协商销账.如不愿协商处理会继续向中国支付清算协会投诉到底.。</t>
  </si>
  <si>
    <t>2019/10/05 02:05:49</t>
  </si>
  <si>
    <t>1.本人于2019年5月12号向微博及贷借款4000元，在放款前看不见合同和息费说明，以及在申请借款后10分钟内致电客服要求取消借款，致电的时候并未放款，完全可以取消借款申请，但是客服不受理并拒绝了我的要求并且强制放款，2.本金借款4000元，分期12期，连本带息要还总额5344.08，后看合同和还款明细，竟然还有担保费以及账户管理费，担保费每期12元×52＝624，账户管理费12×44.8＝537.6这些都是在在借款前并未说明的，变相以其他名目收取高额利息，平台存在欺诈消费者之嫌，且利息已经超过国家最高规</t>
  </si>
  <si>
    <t>2019/10/05 02:04:07</t>
  </si>
  <si>
    <t>连水印都没有去，明目张胆的，四处找地方投诉无处可以投，好心累。</t>
  </si>
  <si>
    <t>2019/10/05 02:00:37</t>
  </si>
  <si>
    <t>有没有相关部门查一下管控制一下，不然还会有很多人像我这样着迷的去充钱被骗上当的，请求相关部门严查严打这样的平台这是他们的网站软件下载地址。</t>
  </si>
  <si>
    <t>2019/10/05 02:00:31</t>
  </si>
  <si>
    <t>查看支付宝消费记录和微信消费记录确定应该还有余额。</t>
  </si>
  <si>
    <t>2019/10/05 01:58:59</t>
  </si>
  <si>
    <t>实际到帐20000元，合同金额22000元。</t>
  </si>
  <si>
    <t>2019/10/05 01:57:48</t>
  </si>
  <si>
    <t>投诉人赵龙吉投诉对象升学教育涉诉金额5586元问题类型诉求类型投诉详情依照合同里面的24小时内可以无条件退款，但是升学教育一方一直拖延时间，让我等待，退款一点效率都没有，都把责任互相委托，说自己不负责这一方面的事情，让我感到已经侵犯到自己的消费者权益，他们是我的生活变得更加的困难，忽悠消费者盲目消费，既然这么多人都有投诉，说明这家机构是真的有问题，为什么会有这样的机构出现，却没有人能够一次性解决，让更多的人知道，以防被骗，我不止一次又一次的让他们赶紧退款，但是他们却一拖再拖，浪费时间，欺骗消费者，希望聚投诉</t>
  </si>
  <si>
    <t>2019/10/05 01:52:56</t>
  </si>
  <si>
    <t>本人于2018年11月17日在你我贷平台借款9000元，分十二期还款，第一个月和第二个月分别需要还款1577.24元，剩下十期分别每期还款907.64元，十二期总还款12230.88元，目前我已还款10期，还款总金额10415.6元，平台显示还需要再还款2期1815.28元，因本人上个月工作丢失被辞退，这个月无任何收入，财务状况全面爆发，上个月有1平台因无力偿还，已经产生逾期，导致本人精神压力很大，已经报警正在还款中的平台也一起备了案，警察建议我先与借款平台协商还款，现想与你我贷平台协商结清还款消账问题，望</t>
  </si>
  <si>
    <t>2019/10/05 01:48:22</t>
  </si>
  <si>
    <t>2500元实际到账2000，15天内还款2536元，汇聚支付违规提供第三方支付渠道本人要求退还1000元不合法砍头息，属于违法高利贷，汇聚支付违规提供第三方支付渠道，本人要求退还1000元不合法砍头息。</t>
  </si>
  <si>
    <t>2019/10/05 01:46:55</t>
  </si>
  <si>
    <t>通过QQ附近的人广告下载了友缘网的app处处，然后会出现一堆对方的信息，怀疑为有缘网故意行为，然后经过诱导开通了一个零元的体验vip但是一点用处都没有，怀疑就是在没有告知的情况下，这个操作导致的免密支付宝，，，然后发现无法回复，跟他们说的vip不一样，就弹出了一堆什么回复要钱的东西，我想关掉但不小心点到了其中一个图片，但是并没有出现什么确认之类的，支付宝就被扣了168元，并且之后那些信息就没有了，这个存在严重的欺诈行为！！希望要求有缘网进行退款！！我连注册都没注册。</t>
  </si>
  <si>
    <t>2019/10/05 01:43:15</t>
  </si>
  <si>
    <t>本人于18年贷上钱、数次借款、每次期限14天、借款2000强逼购买游戏金豆400至650元.还款2000多、后来“贷上钱”又改名字“带上钱”我又在带上钱借款、一样收取砍头息、到18年底“带上钱”又改名“极速借钱呗”我又在哪里借款一样收取高额费用、砍头息。</t>
  </si>
  <si>
    <t>2019/10/05 01:42:38</t>
  </si>
  <si>
    <t>本人在融360平台的畅玖花前后借款两次，1500元实际到账1200，15天内还款1515元属于违法高利贷，本人要求退还600元砍头息。</t>
  </si>
  <si>
    <t>2019/10/05 01:41:04</t>
  </si>
  <si>
    <t>玖富万卡旗下易美付借款4800到账5980扣款1180实际到账4800还款一年共还6240.92利息严重超过36。</t>
  </si>
  <si>
    <t>2019/10/05 01:39:47</t>
  </si>
  <si>
    <t>本人本想从58同城借款，点入借款后进入58贷款，58贷款里的极速办卡，引导链接下载了小通币咚，又再次引导下载了豹子贷，在打开豹子贷的之后引导填写信息后忽然银行卡自动扣款100+100，百度上面同遭遇的网友说卡内有钱还会自己扣款，总数为299。</t>
  </si>
  <si>
    <t>2019/10/05 01:37:54</t>
  </si>
  <si>
    <t>银联云闪付为违规赌博网站支付，而且该网站只杀不赔，赢了都拿不到钱，该网址网址如下https://1160.tv/#page1。</t>
  </si>
  <si>
    <t>2019/10/05 01:37:45</t>
  </si>
  <si>
    <t>无缘无故把我的拉卡拉余额102元，清空了，欺骗行为，欺诈侵占我的钱。</t>
  </si>
  <si>
    <t>2019/10/05 01:34:33</t>
  </si>
  <si>
    <t>每次借款，需要购买虚拟购物卡，旅游卡，根本不能用，不购买不能借款，虚拟购物卡充当借款利息，利息比高利贷还高。</t>
  </si>
  <si>
    <t>2019/10/05 01:32:05</t>
  </si>
  <si>
    <t>联动云70停车费27天到现在不退，打电话只会说加快处理。</t>
  </si>
  <si>
    <t>2019/10/05 01:28:15</t>
  </si>
  <si>
    <t>因为资金周转问题，在拍拍贷平台借款逾期八天后，拍拍贷窃取手机通讯录，一男一女催收员开始用手机和网络电话拨打通讯录里面所有人的电话，在电话里面对通讯录联系人言语恶劣，不停的侮辱，诽谤，捏造事实，言语软暴力，恐吓我通讯录里的人，明明只欠3000多，并且女催收员说要还四千多，男催收员说要还五千多，还曝光个人信息，完全就是把人逼到绝路，借款11000元，还款三个月就要还15000元，完全的高利贷。</t>
  </si>
  <si>
    <t>2019/10/05 01:24:34</t>
  </si>
  <si>
    <t>在月光下分期办理消费贷款！签订合同是4000元贷款！在提款时银行卡到账只有2800元！最后3个月要求还款4200元！说是200多利息！。</t>
  </si>
  <si>
    <t>2019/10/05 01:23:46</t>
  </si>
  <si>
    <t>10.1号晚上买的从南充到成都的火车票K9415次列车都已经付款了但是出票失败说在1到3个工作日全额退款到原支付方但是到今天已经4天了还是没有退款。</t>
  </si>
  <si>
    <t>2019/10/05 01:23:24</t>
  </si>
  <si>
    <t>如果可以请尽快给予处理，希望能尽快把扣除的款项退回，谢谢！！。</t>
  </si>
  <si>
    <t>2019/10/05 01:22:48</t>
  </si>
  <si>
    <t>申请借花钱，绑定银行卡之后直接扣款198元。</t>
  </si>
  <si>
    <t>2019/10/05 01:20:13</t>
  </si>
  <si>
    <t>我的卡在2019年9月8日被扣费216.32元，10月2日又被无故扣费216.32元这才发现问题，我从未和中智消费公司签约过合约，。</t>
  </si>
  <si>
    <t>2019/10/05 01:17:35</t>
  </si>
  <si>
    <t>我是一名达达,在京东站点配送过快递两个月天,现，在不做了,想解绑站点以便退出押金,联系站点，站点说成功解绑,了，但是人工客服又说还是绑定状态，站点说已经提交但是迟迟没有任何回应,麻烦帮忙维权！。</t>
  </si>
  <si>
    <t>2019/10/05 01:16:58</t>
  </si>
  <si>
    <t>投诉人 吴英明        投诉对象  恋爱神器        涉诉金额  198 元    问题类型    诉求类型投诉详情  我就点一下免密莫名其妙就扣我168。不奢求什么只奢求退款。</t>
  </si>
  <si>
    <t>2019/10/05 01:15:23</t>
  </si>
  <si>
    <t>本人通过某平台下载现控达人，在里面的微豆荚借款1400元与2800元，借款期限是32天，每8天一期，每期还款511.2元与1022.4元，总共要还款2044.8元与4089.6元，分别已还三期和1期，还了一期第二期要还还不了，客服也找不到，电话也打不通，导致现在逾期，我就想要个说法，又不是不还，还不了每天还要付那么高的利息，银行卡也未还款成功，并且一直联系不上客服，客服电话4008336200，app反馈也没人回，催收电话02062932982，支付通道为北京畅捷通支付技术有限公司，为高利贷提供违规支付途径</t>
  </si>
  <si>
    <t>2019/10/05 01:15:10</t>
  </si>
  <si>
    <t>2019年18日6月向携程公司借款9000元共分3期还款。</t>
  </si>
  <si>
    <t>2019/10/05 01:14:26</t>
  </si>
  <si>
    <t>投诉广州我主良缘忽悠办理巨额费用会员.要求全额退款被拒.投诉全额退款2019年7月我看到地铁上的广告我主良缘，于是填写了一下基本信息，之后就有位我主良缘的方老师多次电话联系我，说有个性格很好的女生很适合我，叫我过去了解一下，当时觉得自己单身又刚好想找一个对象，然后就答应了周末过去，去到那里之后就叫我到前台签到然后拿一张表叫我去左边的一个小房间里填，填完之后那个方老师来了，然后就是一轮接着一轮地夸奖和赞美，说我多帅多帅，又说了好几个我主良缘的成功案例，最后说叫我在她们这里办了然后让爸妈好放心，当时就心软了，之</t>
  </si>
  <si>
    <t>2019/10/05 01:14:08</t>
  </si>
  <si>
    <t>投诉人林先生投诉对象饿了么涉诉金额10000元问题类型诉求类型投诉详情无辜限制接单，无视骑手加班加点，没有明确规定违规内容。</t>
  </si>
  <si>
    <t>2019/10/05 01:12:35</t>
  </si>
  <si>
    <t>共计放款到手1240+1550+2790+3410+4030＝13020元，为2006+2507.5+4513.5+5516.5+6519.5＝21123元，并补偿我之前额外付的一万元砍头息高利贷费用，高利贷砍头息套路贷都属于国家严打对象以及扫黑除恶工作重点，希望咱们平台能心平气和与我沟通，解决我的诉求。</t>
  </si>
  <si>
    <t>2019/10/05 01:12:14</t>
  </si>
  <si>
    <t>投诉人陈女士投诉对象平安普惠i贷涉诉金额1400元问题类型诉求类型投诉详情威胁催收，打电话骚扰家人，因父母年纪大导致精神上受影响，希望给予严重处理！移花接木用我的照片，并且以光大银行名义让我本人还款，并加入保险合同，在不知情状况下。</t>
  </si>
  <si>
    <t>2019/10/05 01:11:42</t>
  </si>
  <si>
    <t>投诉人任女士投诉对象淘彩票涉诉金额200000元问题类型诉求类型投诉详情本人自2019年七月下旬意外接触以为自称可以每天盈利的平台，代理带我注册充值，每天都有不同的账户收款，自己充值，进行购买彩票，十赌九输，两个月一共输进去二十万余，找平台管理员申请理赔置之不理，说是没有这个服务，只是一味的说准备好充足的本金带我回本，输进去的钱都进去入其公司账户，哪有不能理赔一说。</t>
  </si>
  <si>
    <t>2019/10/05 01:10:52</t>
  </si>
  <si>
    <t>本人于2019年10月4日于及贷借款5400。</t>
  </si>
  <si>
    <t>2019/10/05 01:10:21</t>
  </si>
  <si>
    <t>在玖富万卡借款一万元一年要还一万三千多，出去利息，还有高额的砍头息，说是保费。</t>
  </si>
  <si>
    <t>2019/10/05 01:07:14</t>
  </si>
  <si>
    <t>钱站阴阳合同，在不知情的情况下点错了用了钱站200元分3期还，利息高达200元，这么高的利息谁能用起，让你买这又让你买那，要求销案。</t>
  </si>
  <si>
    <t>2019/10/05 01:07:01</t>
  </si>
  <si>
    <t>中国银联云闪付为违规赌博网站提供支付通道，造成本人的巨大损失，还有违反国家法律等行为，以下就是赌博网站的网址:https://www.bd275.com/。</t>
  </si>
  <si>
    <t>2019/10/05 01:06:46</t>
  </si>
  <si>
    <t>本人被引诱到一个网站充值入金500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t>
  </si>
  <si>
    <t>2019/10/05 01:04:28</t>
  </si>
  <si>
    <t>本人在钱站借了3000元，分三期来还，每期还款1585元，总共要还4700多元，简直就是高利贷呀，已经还了两期了也够本金和利息，剩下的一期不会再还了，希望能够提供销账，也望国家能够管管这些高利贷平台。</t>
  </si>
  <si>
    <t>2019/10/05 01:01:14</t>
  </si>
  <si>
    <t>本人是一家上市公司的中层人员，8月份时候因为缺钱，通过乐乐家中介平台下载了菜鸟有钱APP，并向菜鸟有钱APP申请了借款金额1500实际到账1275，需还1600，是通过汇潮支付有限公司打的款，后因还款日当天被催收威胁恐吓，还打电话骂我奶奶，没办法就找别的平台借款还这个，前前后后展期还款20多次，我已经顶不住了，昨天才刚延期，明天又是还款日，如果闹翻领导及家人哪里去我真的跳楼算了，这一两个月真的过的生不如死！针对这个我希望只给合法利息，别的退还给我，及明天账单销账，不能骚扰我联系人！。</t>
  </si>
  <si>
    <t>2019/10/05 01:01:01</t>
  </si>
  <si>
    <t>本人在融360平台的酷卡前后借款两次，1500元实际到账1200，15天内还款1522元属于违法高利贷，易宝支付违规提供第三方支付渠道，本人要求退还600元不合法砍头息。</t>
  </si>
  <si>
    <t>2019/10/05 01:00:37</t>
  </si>
  <si>
    <t>9月4日，借款金额3600元，实际到账3600元，但到账一分钟内就从我卡里扣了1008元，相当于实际到账2592元，贷款期限30天，分两期，，每期还款1840.03元，实际月利率在40%以上，明显超出国家规定，第一期我已按时还款，10月4日是第二期还款时间，我卡里余额充足，小当家又发送短信说扣款失败，我主动还款，但小当家的网页端和APP都打不开，打他们的客服电话，提示还号码不存在，联系不上他们，想还款都还了，我的诉求：1、请平台帮我联系小当家与我联系，2、现在已经过了还款时间，但是这不是我主动逾期而是由小当</t>
  </si>
  <si>
    <t>2019/10/05 00:59:56</t>
  </si>
  <si>
    <t>我与2019年1月4日与拍拍贷APP借款5000元，1.2019年8月4日我收到拍拍贷短信提示招行扣除还款失败，当时余额充足，完全足够支付还款，但是拍拍贷而已不扣款第七期566.63元，导致逾期产生利息25元，合计591元，3.为防止逾期，我于2019年10月4日晚11点，发现没有扣款后，我向拍拍贷紧急充值576元，依旧没有扣款，我认为拍拍贷存在恶意不扣款，意图谋求逾期罚金的意向，请求投诉机构核实，要求退还逾期利息，并进行严惩，删除逾期记录，恢复本人信用并道歉。</t>
  </si>
  <si>
    <t>2019/10/05 00:51:23</t>
  </si>
  <si>
    <t>2019年4月3日贷款25000元，分12期，每期还2834元，年利率高达61%，完全就是高利贷，曝光个人隐私，通过威胁、恐吓等一系列手段达到本人妥协高额利息目的，对方还放了一句话，你投诉吧，投诉有用吗！赤裸裸的挑战法律的底线。</t>
  </si>
  <si>
    <t>2019/10/05 00:50:20</t>
  </si>
  <si>
    <t>2019年6月10号通过钱站APP申请通过审核25000借款，确认借款之后提供的电子合同上却写着借款33000元，放款到账就只有25000元、分12期每期要还3458元左右，实际最终还款金额达到41000元，完全就是捏造阴阳合同，变相进行砍头息，高利贷，而且一旦逾期，每天以100元的逾期利息往上叠加，各种骚扰电话、短信铺天盖地而来，说话口气都很难听！希望有关部门和钱站的负责人出来给我一个满意的解决，否则只能做保洁处理了！。</t>
  </si>
  <si>
    <t>2019/10/05 00:48:30</t>
  </si>
  <si>
    <t>10.30突然被扣1433.3元，联系不到对方，。</t>
  </si>
  <si>
    <t>2019/10/05 00:45:42</t>
  </si>
  <si>
    <t>本人于2019年9月27日至10月1日在网址:，澳门金沙分五次，总共充了24000元，在每天会上去玩两次，就因为赢了一点，但是提现时账户的钱全没了！问客服后，客服给我的回说我是违规操作账户被冻结了，需要再充同等的金额进去才能解冻！。</t>
  </si>
  <si>
    <t>2019/10/05 00:44:38</t>
  </si>
  <si>
    <t>投诉人 许先生        投诉对象  活力花        涉诉金额  5 000 元    问题类型    诉求类型投诉详情  身体出点问题 当时家里正在还房贷。没办法，只能在上面借钱 后来又去找他们客服协商。他们态度非常强硬，他们还说要上门。要起诉我。再后来就是报通讯录。威胁恐吓我家人。国家不是规定只能打点击联系人吗？我的亲朋好友他们打过来一遍。</t>
  </si>
  <si>
    <t>2019/10/05 00:43:35</t>
  </si>
  <si>
    <t>借2100一个月竟然要还2900多而且还是7天一还啊！这不是高利贷是什么。</t>
  </si>
  <si>
    <t>2019/10/05 00:43:00</t>
  </si>
  <si>
    <t>真金服盗刷本人银行卡363.33元这是个什么垃圾平台。</t>
  </si>
  <si>
    <t>2019/10/05 00:41:53</t>
  </si>
  <si>
    <t>拍拍贷恶意催收恐吓我朋友发短信恐吓威胁我打电话恐吓威胁我。</t>
  </si>
  <si>
    <t>2019/10/05 00:41:12</t>
  </si>
  <si>
    <t>我于2019.10.4日上午10点32与京东客服确定了10月4日下午到晚上的换新取件时间，以及京东商城页面显示，取件员唐为国已经出发，电话号如下图所示，结果由于京东商城分配错误，导致未能按时来收取物品，我期间一直在取件地点等候，并未联系我，由于超时，我晚上9点36分与京东商城分配的派件员主动打电话联系，得知对方未收到通知，并且是假期，告知我联系客服，之后我与京东商城客服3322沟通投诉事宜，对方完全不正面回答问题，也无结果，根据消费者权益保护法第五十五条之规定经营者提供商品或者服务有欺诈行为的，应当按照消费</t>
  </si>
  <si>
    <t>2019/10/05 00:35:23</t>
  </si>
  <si>
    <t>本人在你我贷秒啦借了一笔款项，往期均是正常还款，今日为本人第六期还款，因你我贷在晚上19:30-23:30不允许手动还款，但一直未主动扣款，故本人担心逾期，于23:40进行了手动充值还款，有短信及银行记录显示充值成功，但你我贷app上仍旧显示余额为0，导致本人还不了款，逾期，本人诉求为:清除逾期记录，提供结清证明，并就此事进行解释！。</t>
  </si>
  <si>
    <t>2019/10/05 00:33:29</t>
  </si>
  <si>
    <t>借2250，4周还完，每期剁手服务费200多，而且利率不合。</t>
  </si>
  <si>
    <t>2019/10/05 00:31:24</t>
  </si>
  <si>
    <t>暴力催收，骚扰我的家人朋友，辱骂我的家人还有就是没有经过我的同意爆破我的通讯录，给我公司打电话导致我丢掉工作，给我朋友发短信打电话恶意骚扰。</t>
  </si>
  <si>
    <t>2019/10/05 00:30:32</t>
  </si>
  <si>
    <t>我用手机NFC功能充值20元，扣钱但未到账。</t>
  </si>
  <si>
    <t>2019/10/05 00:29:59</t>
  </si>
  <si>
    <t>我在智行上买的飞机票因为航空公司取消航班，承诺全额退款，然而智行并没有全额退款的选项。</t>
  </si>
  <si>
    <t>2019/10/05 00:28:41</t>
  </si>
  <si>
    <t>我于2019年9月25号买到的匡威1979海军蓝41码在多平台上验证为假鞋，对方给了一个广东地址要求我寄过去，但是询问如何退款却敷衍了事，只说后续品牌方会处理，我担心鞋退回去人不认账，最后有理说不清，力求在这里维权，谢谢了。</t>
  </si>
  <si>
    <t>2019/10/05 00:27:52</t>
  </si>
  <si>
    <t>平台下的存钱柜申请借款2625元，当时合同表明借款期限为4期，后来还款实际为7天一期，2625元的实际借款期限为28天，每期还款金额为895.5元，4期累计还款3582元，已经远远高于国家规定的24%-36%的利率，已经达到了违法高利贷的标准！且存钱柜频繁变更名称，，有故意逃避国家打击的嫌疑！本人现已还清3期，累计还款金额为2686.5元，本人申请最后一期协商还款！。</t>
  </si>
  <si>
    <t>2019/10/05 00:23:39</t>
  </si>
  <si>
    <t>投诉人 王先生        投诉对象  广发银行信用卡        涉诉金额  80 000 元    问题类型    诉求类型投诉详情  我有张广发银行信用卡 信用额度2.7万 使用完了 我前段时间打客服电话 问总欠款 为76250 说去年就是2018年八月办了分期还款 总欠款就为八万多 这莫名就多了五万多 我是不知情的 并且账单上没有体现这笔钱款 今年还了三万多 现在还欠七万多 直接就将多还八万多 不服气</t>
  </si>
  <si>
    <t>2019/10/05 00:19:46</t>
  </si>
  <si>
    <t>本人在交易猫购买游戏账号，账号到手之后发现有安全隐患，我就联系卖家提供下身份信息，然后卖家一直说要我确认收货，我已拒绝，然后卖家就威胁我说要找回账号，所以我在交易猫上申请仲裁，要求退货，交易猫客服还是处理为仲裁失败，结果今天账号被卖家找回，我以损失经济，希望交易猫官方客服给与解释，图片1为交易改绑截图，图片2为被找回手机号码，图片3.4为卖家发言，其余图片为交易猫仲裁，难道买家收到货之后发现安全隐患退货都不可以。</t>
  </si>
  <si>
    <t>2019/10/05 00:18:04</t>
  </si>
  <si>
    <t>本人于2019年9月25日在名下的公众号“大河票务网”购买2019年Troye，但此公司名下的售票网并不是官方合作的售票渠道并且该公司的实质是二次售票公司，不管有无门票，先收取用户定金，如果用户有意愿退票，它却没有完善的退票途径，多次打客服电话根本无人接听，该公司收取用户定金用于其他地方的行为，我相信如果有关部门愿意深查，一定会有许多问题，该公司行为恶劣，严重欺诈消费者，并且违反了多条法律法规。</t>
  </si>
  <si>
    <t>2019/10/05 00:17:53</t>
  </si>
  <si>
    <t>投诉人莫先生投诉对象滴滴出行涉诉金额0元问题类型诉求类型投诉详情我从来不会做违规的事，你们想怎么判就判，我希望能给我恢复深夜服务卡，我都是老实人。</t>
  </si>
  <si>
    <t>2019/10/05 00:16:13</t>
  </si>
  <si>
    <t>说是最低折扣，其实和别的网一样价格，1680元纯属于交了押金。</t>
  </si>
  <si>
    <t>2019/10/05 00:12:58</t>
  </si>
  <si>
    <t>投诉人郎女士投诉对象玖富涉诉金额41620元问题类型诉求类型投诉详情本人在身无分文，失业的情况下被他人蒙骗被利用在该平台借款20000，分36期还款，该笔钱被骗子提走，找不到人了，我已按期还2334.14元，但是待还款竟然有39287.45元，这严重超出国家法律规定，对我而已，简直天文数字，而且，现在我发现莫名其妙的多出一项14000多的合同，银行卡上的提款账目可以证明我并没有该项借款，另外，该平台网贷信息技术服务费9288.55元，信息咨询服务费974.56元，两项担保出函费349.62元，保障计划专款2</t>
  </si>
  <si>
    <t>2019/10/05 00:06:53</t>
  </si>
  <si>
    <t>投诉人刘先生投诉对象淘宝网涉诉金额598元问题类型诉求类型投诉详情于9月28日在淘宝购买显示器一件自购买后10分钟左右申请退款并和卖家说明情况但是卖家在没经过我同意的情况下拒绝退款强行点击发货涉嫌强买强卖且填写虚假单号，我28日购买运单27日已经开始中转且目的地不是我所在的城市，涉嫌欺z而后于29日再次申请退款且向淘宝客服进行反馈淘宝客服承诺48小时内解决至10月3日本人未收到淘宝电话且淘宝客服没有进行任何介入涉嫌欺p消费者卖家于10月3日再次拒绝退款且索赔运费涉嫌敲z勒s而后再次向淘宝客服进行投诉而淘宝客</t>
  </si>
  <si>
    <t>2019/10/05 00:05:42</t>
  </si>
  <si>
    <t>你我贷借款8500，分十二期还，前两期共还4055.15元，剩下十期每期还750.45元，共7504.5元，加上首期还的共还11559.65元，这种分期明显高利贷，而且催收十分恶劣，爆通讯录到处骚扰非借款人，恐吓威胁无所不用其极。</t>
  </si>
  <si>
    <t>2019/10/05 00:05:31</t>
  </si>
  <si>
    <t>与2019年8.6号在钱站平台借款2000元，实力还款3400元，三期还款每期1190元。</t>
  </si>
  <si>
    <t>2019/10/05 00:05:20</t>
  </si>
  <si>
    <t>投诉人 李女士        投诉对象  中金支付        涉诉金额  299 元    问题类型    诉求类型投诉详情  中金支付在未知的情况下私自扣款我299 2019年10.4 15:37 收到农业银行扣款 之后查看了是中金支付特约商户 要求严重退款 到歉</t>
  </si>
  <si>
    <t>2019/10/05 00:01:46</t>
  </si>
  <si>
    <t>我要向聚投诉，中国互联网金融协会，银监会投诉，趣花分期，还好意思说是首批合法牌照合规机构，在其平台推荐的蜜瓜钱包里申请了笔借款到账1170元，只给借6天时间竟然要还1806元，还暴力催收，借款第六天白天就打电话直接暴力催收直接打电话给我父母开口就进行多次辱骂恐吓，导致老人受到恐吓身体不适，与其协商还款不同意还要交120元一天的延期费，不交就继续恐吓家人。</t>
  </si>
  <si>
    <t>2019/10/05 00:01:43</t>
  </si>
  <si>
    <t>事情是这样的，2018年9月份在捷信做了一笔消费分期，已经还了11期了最近因为遇到了电信zhapian导致资金周转不过来逾期了，逾期期间也一直在跟客服协商还款客服也给时间了，这里谢谢客服给时间周转，前几天最后一次给客服协商还款日是10月4号，期间也和客服反应催收一事，催收说不必理会，还款就行了，不晓得今天是怎么回事捷信公司湖南0731开头的电话就一直响个不停，因为工作原因上班期间禁止接电话，没能接到电话，催收就把电话打给通讯录里的人，已经说好借钱给我周转的人接到捷信催收后拒绝借钱给我周转，导致我再一次失约，</t>
  </si>
  <si>
    <t>2019/10/05 00:01:27</t>
  </si>
  <si>
    <t>19年4月借款15000元，6个月每月还款2753元，原以为是和光大银行合作的正规贷款，没想到到账后秒扣2200多元！加上正常利息已经远远超过国家规定，而且客服电话还一直不通！没办法只能还款，并且每个月未到还款期就有奇怪的语音号码打来让还款！！现要求调整正常利率！！取消高利贷！！。</t>
  </si>
  <si>
    <t>从申请滴滴快车至今，每四天有三天晚上坚持出车，服务大众，兢兢业业不说，换不到平台的一丝关怀，投诉率极低的情况下，依旧把我的服务分限制的死死的，然后今年开始骗人买电瓶车做双证司机，开始限制派单，而且限制的特别严重，但凡像以前那样，这样的服务分我也不至于投诉啥，多少有订单给的，但是现在各种潜规则，已经把我的号几乎封死，最夸张的一次，7个小时给了2个起步价，现在车多的地方不敢停，没我的单子，车少的地方也不敢停，没乘客下单子，造成现在这个情况，平台必须负责任，要么增加长期司机的派单，要么退换所收的平台费，依法维权。</t>
  </si>
  <si>
    <t>2019/10/05 00:00:08</t>
  </si>
  <si>
    <t>9月份开始宜兴滴滴快车司机的单量大幅度下降，一天的流水少的可怜，宜兴的滴滴优享司机的单子确来不及做，个个笑嘻嘻的。</t>
  </si>
  <si>
    <t>2019/10/04 23:59:42</t>
  </si>
  <si>
    <t>本人女，于2019年9月份注册app后宫聊天，至今也有1个月了，后宫是一款男生充钱，女生陪着聊天中间赚提成，本人昨晚2019年9月20号左右莫名其妙被平台封号，永久封号，里面还有263元，不能提现到账，问客服答复是，说我服务不够，用户体验差，封号不可提现，我在你平台工作，男客户消费1元你们平台赚5毛，我赚5毛，已经达成了劳动关系了吧，我想让平台退我钱，封我号可以，但里面的钱也是我辛辛苦苦挣的。</t>
  </si>
  <si>
    <t>2019/10/04 23:56:24</t>
  </si>
  <si>
    <t>从2018年就开始申请退还我上岗时候的保证金五百退了一年多，找了几次内勤都没给我退，加上要求赔偿五百元。</t>
  </si>
  <si>
    <t>2019/10/04 23:54:30</t>
  </si>
  <si>
    <t>我急用钱的时候，接触了714网贷，现在发现这是套路贷，当我还不上714网贷的时候，喷火龙电话和短信联系我，给我链接，说额度高下款快，我借款4000，到账2400，展期费1800，展期费不是本金，是个额外费用，这1800的意义就是延长还款日5天后，还要还4000，我可以偿还本金与合法利息，但绝对不会纵容套路贷，在我没钱的时候，他们变相让我以贷养贷，收入高额利息，以前深受其害，我曾经想过死，但我不服，现在我必须勇敢站出来，举报这些人，希望得到聚投诉支持，如需要提供任何证据，我全力配合，在这个和谐的社会中，我希望</t>
  </si>
  <si>
    <t>2019/10/04 23:54:13</t>
  </si>
  <si>
    <t>手续费等名义变相收取高额利息，综合资金成本超36%，变相发行高利贷！网银在线，科技有限公司电话：010-89187658电话邮箱：jd***a地址：北京市海淀区北三环西路甲18号中鼎大厦A座719室中金支付有限公司电话：83526655邮箱：fe****i=，本金1000，已还1091.8元，单笔30天，违法所得91.8，侵犯个人隐私，违规收集个人通讯录信息及芝麻信用分！！！纯属高利贷套路贷！严重扰乱市场金融秩序，损害借款人利益！*，要求退还所有高额变相利息违法所得407.54元！！！！！。</t>
  </si>
  <si>
    <t>2019/10/04 23:53:22</t>
  </si>
  <si>
    <t>拼多多平台卖假货，平台维权专员只维护卖家侵害全国消费者的利益，根本就没有维护消费者的合法权益，至今也没有得到拼多多官方的妥善处理，说的比唱的还好听，希望有关监管部门要对拼多多平台纵容商家卖假货行为进行一次大整顿，还全国的消费者一个公平公正的消费平台，真正体现假一赔十的伟大承诺！，一个假货的出现可能是一个苍蝇屎，一顿假货的出现那就想想为什么苍蝇总在上面拉屎致拼多多，我在咱们拼多多上面出现啦一次不愉快的购物体验，就在天我满怀期待的拆开快递，连最基本的发票都没有，吊牌上也是什么都没有写，作为拼多多忠诚粉丝希望给我</t>
  </si>
  <si>
    <t>2019/10/04 23:48:06</t>
  </si>
  <si>
    <t>微信账号更换过手机号，绑定的银行卡也更换过手机号，后期消费收不到验证码就把银行卡解绑想重新绑定，结果绑定不上，微信里的钱也无法使用，找客服申诉永远是手机打不通，我微信账号是159******16，你用打以前不用的号几个意思，永远回复手持照片不清晰，手机智能的怎么就不清晰了，还得怎么怕清晰啊，快三个月了不给解决，客服电话打不通语音提示网上客服解决，网上客服永远机器人，我这事到底能解决不。</t>
  </si>
  <si>
    <t>2019/10/04 23:44:58</t>
  </si>
  <si>
    <t>本人上班时段，物流人员把电视经送到家，下班回来装发现电视内屏破了，申请退货商家不给处理，还捏造验机图片，其实验机图片不是我家里的，还冒认本人验机签字。</t>
  </si>
  <si>
    <t>2019/10/04 23:43:20</t>
  </si>
  <si>
    <t>柯基贷，也叫51金柯贷，借款18000，月还款金额1756.96，其中第一期2482.2，一天的罚息就要近百元，而且催收的态度恶劣，涉嫌威胁，爆通讯录，骚扰家人，短信轰炸，污蔑人格，诉求:按照国家规定，减免利息，催收人员作道歉，精神赔偿。</t>
  </si>
  <si>
    <t>2019/10/04 23:43:12</t>
  </si>
  <si>
    <t>在借款人不知情的情况下，把借款金额1200，在合同上写2100，现在平台在没有合理解释的情况下，还口口声声催借款人还款，请问借款为什么1200变成2100，我只借1200凭什么“合同”让我还2100。</t>
  </si>
  <si>
    <t>2019/10/04 23:41:43</t>
  </si>
  <si>
    <t>4.30日在猫眼成功抢得周杰伦演唱会门票两张，演出在即，9.27日猫眼突然单方面退款，打客服电话咨询就以系统问题搪塞，并未解释清楚原因，我认为系统问题不能作为欺骗消费者的借口，不论是系统异常还是管理疏忽都不应该是消费者买单，我和客服表示要投诉这种情况，并把票还给我，客服表示会有专人处理，第二天投诉人员回电表示没有票也没有赔偿，随便怎么投诉。</t>
  </si>
  <si>
    <t>2019/10/04 23:39:55</t>
  </si>
  <si>
    <t>立刻出行押金迟迟不退回来，7月31号申请的，到现在10月4号了还没退回来。</t>
  </si>
  <si>
    <t>2019/10/04 23:39:12</t>
  </si>
  <si>
    <t>我要投诉，oppo有一款手机oppor9splus无限重启，我的手机3499买的没有摔过没有进水，现在这个手机无限重启，一直开不了机，百度一下好多人都是这款机型有问题，出厂时带的问题，希望能给一个解决的方法。</t>
  </si>
  <si>
    <t>2019/10/04 23:37:58</t>
  </si>
  <si>
    <t>从逾期第一天开始，一天电话20个，刚开始是没钱和公司协商半个月还，到后来被电话逼疯了，不让人活了，挂了电话立马打，今天电话直接恐吓我，说我不还钱怎么怎么了，本来欠钱错在先，可是态度好点也想想办法，这样我想有钱也不还了。</t>
  </si>
  <si>
    <t>2019/10/04 23:37:27</t>
  </si>
  <si>
    <t>用了5次从小带鱼改名小当家，每次利息贼高，这回3500额度，只下款2500多，两期，一期15天还1945元，今天还款日，显示扣费失败，我卡里有1956元，要求我主动还款，链接打不开，客服电话打不通。</t>
  </si>
  <si>
    <t>2019/10/04 23:37:21</t>
  </si>
  <si>
    <t>打电话给客服说退押金，他就跟我说要帮我消掉那个理赔退款才能退给我，还说有专人联系我，打了无数个电话给客服都没专员联系我，也没人来联系我帮我解决，问客服什么时候有专人联系我，他说有可能半年有可能一年。</t>
  </si>
  <si>
    <t>2019/10/04 23:37:11</t>
  </si>
  <si>
    <t>投诉人黄先生投诉对象上海造义有限公司涉诉金额200元问题类型诉求类型投诉详情旗下拇指下款app在没有通知本人和没有经过本人同意情况下，私自扣取银行金额。</t>
  </si>
  <si>
    <t>2019/10/04 23:37:04</t>
  </si>
  <si>
    <t>10月4号晚上我在京东的夺宝岛，拍了一件商品，我拍下来之后就立马付钱，然后到后来发现地址错误了，我联系客服更改地址，客服跟我说订单量较大叫我退款重新购买，然后我退款重新购买价格就是2000多，再然后京豆就被扣了2000，我找京东客服解决，就告诉我违约，我想请问改个地址也有错吗，现在要求京东退回我的京东，我没说不要商品，凭什么扣我的。</t>
  </si>
  <si>
    <t>2019/10/04 23:36:44</t>
  </si>
  <si>
    <t>在2019年7月14号傍晚时分，接到一陌生男子的电话，上来就让我还钱，还进行人格侮辱，当时我很害怕不知道该怎么办，所以就主动提出加对方微信，以下是微信聊天截图，在聊天过程中他让我把欠款还到一个个人账户，当时因为害怕他们真的找到家里，所以便答应了他们的要求，但事后我按照他的时间段查过我的银行流水并没有此笔收取，所以我不知道任你花是否为信用口碑良好的借款平台，但现在已经造成我财产损失，我不要求赔偿，但我必须要回属于我的那1500，他们所谓的本金，我也希望可以给我一个满意的答复。</t>
  </si>
  <si>
    <t>2019/10/04 23:36:37</t>
  </si>
  <si>
    <t>我急需把贷款还上，却联系不上贷款公司，尽快联系贷款公司还清债务。</t>
  </si>
  <si>
    <t>2019/10/04 23:35:14</t>
  </si>
  <si>
    <t>投诉人杨女士投诉对象拍拍贷涉诉金额7800元问题类型诉求类型投诉详情事情是这样的，因为7月份遭遇zhapian，导致创业失败，被商铺撵了出来，损失达到17.5万，一下子周转不过来，导致逾期，也不是恶意逾期，恶意拖欠，之前一直跟客服沟通此事，一直和客服沟通只要有钱都会还，但是拍拍贷第三方催收以旧我行我素，该爆通讯录爆通讯录，该恐吓恐吓，该骚扰骚扰，现在已经发展到威胁恐吓通讯录里的人，不是我不接催收电话，因为出了zhapian一事，所有的钱都是借的到处借的，现在在去借本身就非常困难，然而多次爆通讯录的行为让我跟</t>
  </si>
  <si>
    <t>2019/10/04 23:34:52</t>
  </si>
  <si>
    <t>招联金融催收，虽然我逾期了，但贵公司催收人员做出如此行为，是不是觉得我们欠款都该这样子，在我还没有失联的情况下每天都给亲属打骚扰电话，甚至于威胁我们借款人家人亲属等，达到催收目的，无视网贷法律法规！欠款逾期是我们借款人都不想的，但是这样已经让我们欠款人的生活和心理受到了严重创伤、阴影！。</t>
  </si>
  <si>
    <t>2019/10/04 23:31:54</t>
  </si>
  <si>
    <t>投诉人李海昌投诉对象大众点评涉诉金额1500元问题类型诉求类型投诉详情本人在9-25号预定的酒店，需要9-26号入住，但9-26号到了酒店被告知超时无法入住，钱款也无法退还，询问大众点评客服，一直未收到回复，打了N个电话才有人员回复我告知只能安抚300，无法接受，被告知是最终的处理结果，订单上面显示9-26包夜2:00至少到店，商家通常办理入住是14:00点，大众点评告知我的是我时间选错了，但我订单显示的是我自己选择的，不能接受这样的说法。</t>
  </si>
  <si>
    <t>2019/10/04 23:31:35</t>
  </si>
  <si>
    <t>情本人于2019年19月4日向玖富万卡申请借款4000元，还有管理费和服务费及保险费都要做出回应要求：改利率。</t>
  </si>
  <si>
    <t>2019/10/04 23:30:13</t>
  </si>
  <si>
    <t>投诉人 黄先生        投诉对象  维信金科        涉诉金额  4 000 元    问题类型    诉求类型投诉详情  2019-10-04 18:21:12钱都还完了。还要加收400多的服务费。协商几次了都要我本人出。</t>
  </si>
  <si>
    <t>2019/10/04 23:27:11</t>
  </si>
  <si>
    <t>2019/10/04 23:26:45</t>
  </si>
  <si>
    <t>第一期10月1日开始还款，由于特殊原因逾期三天，一直到晚上11点还是显示逾期需要还款731.30元。</t>
  </si>
  <si>
    <t>2019/10/04 23:26:40</t>
  </si>
  <si>
    <t>今天下午接到自称是唯品会洁柔客服的电话，名字叫王勤，号码为171******46的电话，声称之前的洁柔因为接到客户的投诉，要对在唯品会上买了洁柔的客户进行理赔，刚开始我拒绝了，觉得才几十块钱，不要也罢，但是她一直在那边说，是洁柔公司统一进行理赔的，他们也是要业绩，我也就答应了，之后，她换了各号码打给我：171******07，之后我也就相信他了，刚开始，他让我去唯品会弄，因为我没满22周岁，所以不可以开通理赔功能，之后他又让我下了个分期乐，让我注册，绑卡，在提取额度，我也就照做了，之后他发给我个二维码，说让</t>
  </si>
  <si>
    <t>2019/10/04 23:25:45</t>
  </si>
  <si>
    <t>尊敬的聚投诉工作人员，你们好！本人为多年京东老客户，一直保持良好的信用记录，今日突然想起有一笔本应在10月3日还款的消费贷款超期了12个小时，因担心影响个人征信记录，不仅还清了当月的一笔，更将所有金条借款一次性还清，还款成功后立刻尝试京东金融APP在线客户说明本人因大意遗忘，并非恶意还款，但收到的是机械式的条款回复，请以实际征信报告为准，全无为客户考虑，帮助客户解决问题的态度及行为表现，京东金融没有在当天对我发送一条及时且明确的还款通知的短信致使我将一笔仅44元的还款遗忘，客观上不利于客户消费，更增加了风险</t>
  </si>
  <si>
    <t>2019/10/04 23:22:58</t>
  </si>
  <si>
    <t>今年因为亲人去世、所以经常会逾期还款、不是不还、我每个月都是还了的、只是逾期还而已、我希望工作人员不要打我通讯录、因为家人身体不好、在给我点时间、我会还进去、。</t>
  </si>
  <si>
    <t>2019/10/04 23:22:57</t>
  </si>
  <si>
    <t>顾客定位错误导致我其他订单超时，顾客取消订单扣款，骑手无法申请扣款。</t>
  </si>
  <si>
    <t>2019/10/04 23:22:35</t>
  </si>
  <si>
    <t>投诉人鲍先生投诉对象维信金科涉诉金额3000元问题类型诉求类型投诉详情维信金科平台自己收虚假物品费用，还允许众多高炮小贷上面放贷，肆意交易客户信息，行为影响社会，让很多人受到伤害。</t>
  </si>
  <si>
    <t>2019/10/04 23:19:11</t>
  </si>
  <si>
    <t>投诉人 王先生        投诉对象  外贸信托        涉诉金额  6 560 元    问题类型    诉求类型投诉详情  没有找这个外贸信托借过钱，无缘无故扣我钱</t>
  </si>
  <si>
    <t>2019/10/04 23:19:04</t>
  </si>
  <si>
    <t>英孚教育,广州英孚英语培训中心有限公司林和西分公司，营业执照还是我要求退款寻求业务才得知联系400电话咨询具体地址都不清楚，本人于2019年03月10日在广州英孚英语培训中心有限公司林和西分公司报名了价格43999元为期两年半的英语教程，原因有二，一为本人工作岗位调离至外地，且没有时间上课，二，带有部分虚假宣传成分，网上课程类似游戏过关，对学习毫无帮助，且课程选择少，很多重复课程，且初级课程时间安排往往和工作时间相冲突，无法上课，怀疑带有误导消费，隐瞒合同条款，具体内容如下：1.，虚假夸大宣传：报名时宣传会</t>
  </si>
  <si>
    <t>2019/10/04 23:17:34</t>
  </si>
  <si>
    <t>借款5千，一个月后要还6400元，这么明显的差距，真的不服为什么还有人借这个平台的钱。</t>
  </si>
  <si>
    <t>2019/10/04 23:17:31</t>
  </si>
  <si>
    <t>无故关闭卖家经营权限，完全不给任何理由就说账户风险。</t>
  </si>
  <si>
    <t>2019/10/04 23:16:34</t>
  </si>
  <si>
    <t>投诉人 冉先生        投诉对象  你我贷        涉诉金额  20 000 元    问题类型    诉求类型投诉详情  你我贷高利贷砍头息，利率太高，要求整治，</t>
  </si>
  <si>
    <t>2019/10/04 23:16:17</t>
  </si>
  <si>
    <t>本人应资金周转不过来，在某个平台看到信用贷可以快速下款，而且说的是低息，低门槛等诱人的条件，我就按照信用贷的平台要求完成了贷款，但是我发现实际到账金额和我预借的金额查饿是很大的，一开始我也没想那么多，也在正常还款直到在新闻上看到这个是属于高利息，砍头息之后，我就没有在还款了，后来信用贷就开始打我电话，我也就这个高利息和他们说了，但是他们的态度很不好，说我不还就打电话给我家人和朋友让他们帮我凑钱，还要爆我的通讯录，而且我也通过银行流水查到有一个他们第三方扣款的网络科技公司，这个公司其实是属于超范围经营，直到今</t>
  </si>
  <si>
    <t>2019/10/04 23:15:00</t>
  </si>
  <si>
    <t>投诉人 胡女士        投诉对象  智行        涉诉金额  108 元    问题类型    诉求类型投诉详情  订单查询不到 人工客服打不进去 导致退票延期</t>
  </si>
  <si>
    <t>2019/10/04 23:14:36</t>
  </si>
  <si>
    <t>两个月前在信用宝上借款2500，到手1750，五天时间还款，因为不能全额还款，选择了续期，每5天续一次，截至今日已经还款8400元，今日到期，六点前未能协商好，本金还款，信用宝平台开始打我手机通讯录，上来就骂别人，说欠我3000元怎么不还，然后把我的电话号码发送给对方，完成了很大的困扰，希望可以查封此平台，在这个平台受罪的绝不是我一个，每天都被恐吓。</t>
  </si>
  <si>
    <t>2019/10/04 23:12:41</t>
  </si>
  <si>
    <t>投诉人 刘先生        投诉对象  钱站,华夏银行        涉诉金额  5 200 元    问题类型    诉求类型投诉详情  钱站借款三千 3个月 服务费用以及利息高达2多而且存在阴阳合同</t>
  </si>
  <si>
    <t>2019/10/04 23:12:33</t>
  </si>
  <si>
    <t>扫码骑车后把车停到道路拐角，仅仅行驶400米，扫码时未明确提示此时已在非服务区，再打开app时说我停车在非服务区域，已收取10元调度费。</t>
  </si>
  <si>
    <t>2019/10/04 23:12:10</t>
  </si>
  <si>
    <t>2019/10/04 23:10:36</t>
  </si>
  <si>
    <t>在维信金科借款9000元，每期还款1016.91X12期，每期费用231.10元，12期手续费共2773.2元，年利息高于国家标准，属于高利贷，现在要求协商减免利息及部分费用，结清全部还款！。</t>
  </si>
  <si>
    <t>2019/10/04 23:09:28</t>
  </si>
  <si>
    <t>投诉人 周先生        投诉对象  造艺科技        涉诉金额  299 元    问题类型    诉求类型投诉详情  豹子贷恶意扣款299，请求退款。谢谢造艺科技</t>
  </si>
  <si>
    <t>2019/10/04 23:09:16</t>
  </si>
  <si>
    <t>本人于2018年11月于中腾信借款20000，到账20029.44，月利率2.99，年利率高达35.88，虽没超过36，但是属于擦边球！已经归还10期了，仍有1万3千多未还金额！要求对方调整利率！合理化！。</t>
  </si>
  <si>
    <t>2019/10/04 23:08:48</t>
  </si>
  <si>
    <t>希望借钱信能正确地对待你们所谓的公司的规章制度，你们的利率绝对算得是高利贷，不是所谓的什么服务费人工什么费，这些都是不合理的，本来是方便大家资金周转的问题是好事，但是你们这样往往是给人雪上加霜.已经是很离谱的事情了。</t>
  </si>
  <si>
    <t>2019/10/04 23:07:43</t>
  </si>
  <si>
    <t>投诉人 费先生        投诉对象  维信金科        涉诉金额  380 元    问题类型    诉求类型投诉详情  给我开通了一些付费的东西。每月多了几百的费用。协商不了也减不下来。</t>
  </si>
  <si>
    <t>2019/10/04 23:06:40</t>
  </si>
  <si>
    <t>本人通过广告下载了友缘网的app处处，点开APP，，APP内立即弹窗提醒“3天VIP0元购”，鉴于之前对约会软件普遍收费的认知，这个0元体验vip活动能帮自己免费体验这个APP的功能，所以点了充值，显示也为0元，但是却暗中绑定开通了支付宝免密支付，这就是他们给用户挖好的陷阱，本来以为开通vip能有基础体验APP的权利了，然后就放心点阅APP的各个功能，这时一堆机器人聊天轰炸过来，APP突然弹出一个页面，本来想关闭的，然后不小心点了内容，之后就没出现什么确认之类的提醒，支付宝就被扣了168，元，然后一堆机器人</t>
  </si>
  <si>
    <t>2019/10/04 23:06:10</t>
  </si>
  <si>
    <t>原十月三日还款，此前一直在京东金融app开通自动还款，一直错误提示导致，无法开通，小金库有足够金额扣款，也未收到短信，10月4日上午还款，显示违约，逾期不足24小时，打电话询问客服，说人工无法干预不良记录，已经上传至西安银行，联系西安银行，银行又让联系京东金融，始终无法处理，态度一般，系统至今也无法自动还款，希望京东金融能够消除不良记录。</t>
  </si>
  <si>
    <t>2019/10/04 23:06:00</t>
  </si>
  <si>
    <t>由于立借平台还款当天平台闪退还不了款，现在多加逾期不合理，只有投诉希望能解决问题。</t>
  </si>
  <si>
    <t>2019/10/04 23:05:03</t>
  </si>
  <si>
    <t>2019年9月12日在速金服借款3000元，合同上写的是3990，实际到账3000元，现每个月还款1788，这利息也太高了吧，有关部门怎么不下架这种高利贷。</t>
  </si>
  <si>
    <t>2019/10/04 23:03:59</t>
  </si>
  <si>
    <t>前面申请退押金后提示无法退款，需等待20个工作日后，等20个工作日后我再去申请退押金，提示申请成功，可是自2019.09.18日发起退款后到现在已有17天的时间，期间无法联系到客服，软件上说明退款到账时间1到15个工作日，然而现在进度一直是退款中，联动云公司故意拖延不归还押金，私吞他人财产！。</t>
  </si>
  <si>
    <t>2019/10/04 23:03:50</t>
  </si>
  <si>
    <t>投诉人 丁先生        投诉对象  维信金科        涉诉金额  2 200 元    问题类型    诉求类型投诉详情  涉嫌套路贷砍头息高利贷。照这样下去永远还不完。给维信金科打一辈子工</t>
  </si>
  <si>
    <t>2019/10/04 23:02:56</t>
  </si>
  <si>
    <t>欺骗我说我交的保单里的钱，可以提出来用，最少80%六个月内还不收利息，然后赠送保险，还说买了这个保险就会有贷款额度，是交的费用的十倍，结果都是忽悠我买这份保险的，现在提交了证据录音给他们售后，他们说再办再办，我询问了半个多月，都没有给任何退款时间上的任何承诺。</t>
  </si>
  <si>
    <t>2019/10/04 23:02:47</t>
  </si>
  <si>
    <t>本人与2016年在山西某企业上班，达飞工作人员进入公司并说其属于信用卡平台，利息低，并且本人征信报告多次出现石嘴山银行放贷！！从一开始使用达飞云贷的时候就已经开始上了达飞云贷的套路！从最开始的利息低借款快到后来你的各种服务包都是套路，达飞云贷公司负责提供销售获取顾客，催收保证回款，石嘴山银行负责提供资金，二方合作，发放高利贷，利息远超国家法律规定的24%，达到90%以上。</t>
  </si>
  <si>
    <t>2019/10/04 23:02:40</t>
  </si>
  <si>
    <t>在360借条里借了两万块，出借方为上海淇毓科技有限公司，现在合同已生效，我在360借条里借了两万块，出借方为上海淇毓科技有限公司，现在合同已生效，但钱在APP平台上的钱包，没有转到我的银行卡上，现在要我交5%的工本费才给密码提取，这根本就不合理也不合法，贷款合同完全是霸王条款而且下款时根本就看不到合同。</t>
  </si>
  <si>
    <t>2019/10/04 23:02:23</t>
  </si>
  <si>
    <t>立借平台无法正常还款，卡里有钱，各种办法都试验了，就是还不了，这种问题又不是借款人的问题，处理不了只有投诉解决了。</t>
  </si>
  <si>
    <t>2019/10/04 23:00:10</t>
  </si>
  <si>
    <t>投诉人 刘先生        投诉对象  维信金科        涉诉金额  1 900 元    问题类型    诉求类型投诉详情  维信金科捆绑购物协商不同意。次月还是把费用强行加进去了。</t>
  </si>
  <si>
    <t>2019/10/04 22:59:42</t>
  </si>
  <si>
    <t>本人由于工作原因两个月没发工资，省呗本期逾期一天，下午客服给我打电话让我还钱，并且态度及其恶劣不听解释和说明情况，让我自己想办法搞钱，不然就爆通讯录好友和亲人电话，在问其工号时对方直接说无权告诉我，并且恐吓我在规定时间不还钱后果自负，随即挂断电话，并且通话过程不止一次恐吓本人。</t>
  </si>
  <si>
    <t>2019/10/04 22:59:20</t>
  </si>
  <si>
    <t>9月20日，闲鱼客服闲起辰联系我，告知我必须尽快结束与田杰的纠纷，并且接受田杰自己提供的方案、否则算我不配合，将解除对田杰的惩处及相关账户封禁，之后我逼不得已再次联系田杰，但他仍然拒绝沟通，不肯给与我应有的赔偿，&amp;nbsp;&amp;nbsp;&amp;nbsp;&amp;nbsp;9月21日，闲起辰跟我所要支付宝账户，说商家将汇入2900元进入我的账户，但在我再毫不知情的情况下，发现田杰的账户及相关限制已经解除，我并没有收到任何款项，我马上联系闲鱼，但闲鱼方听闻我的描述后表示无论如何不再支持二次维权，该维权已关闭。</t>
  </si>
  <si>
    <t>2019/10/04 22:58:19</t>
  </si>
  <si>
    <t>立借平台乱扣费，提示借款人我绑卡，没有明确提示显示要扣费，存在欺诈的行为，投诉已公众。</t>
  </si>
  <si>
    <t>2019/10/04 22:58:18</t>
  </si>
  <si>
    <t>拉吉佰仟，见字如面；长话短说，还是那句话可以给你们看的投诉截图一定贴上，比较敏感更加权威的，既然你们等不及我2020年专门辞职来对付你们，那么我只好满足你们的愿望咯，继续，但是加量，加次，！我都做好跟你们打持久战准备，还是那句话，谁笑到最后，谁会伏法，被清查，被曝光，我们拭目以待。</t>
  </si>
  <si>
    <t>2019/10/04 22:56:44</t>
  </si>
  <si>
    <t>小当家app无法还款导致逾期，请尽快和我联系。</t>
  </si>
  <si>
    <t>2019/10/04 22:56:30</t>
  </si>
  <si>
    <t>借款12000分12期实际到账9600要还14459.8。</t>
  </si>
  <si>
    <t>2019/10/04 22:55:55</t>
  </si>
  <si>
    <t>投诉人 冬女士        投诉对象  维信金科        涉诉金额  3 000 元    问题类型    诉求类型投诉详情  还款中多几百块钱的费用。问了几天也没有个合理的答复。</t>
  </si>
  <si>
    <t>2019/10/04 22:54:17</t>
  </si>
  <si>
    <t>立借平台出了问题互相推脱，拒不处理，这种平台不会再有第二次合作，完全是稀烂的平台，。</t>
  </si>
  <si>
    <t>2019/10/04 22:54:16</t>
  </si>
  <si>
    <t>聚福钱包并没有在明显位置提示会扣款299，一绑定银行卡就扣款，并没有要验证码，而且长时间没有接下来的服务，希望退款。</t>
  </si>
  <si>
    <t>2019/10/04 22:54:01</t>
  </si>
  <si>
    <t>能证明小黑鲨从未拨打过本人电话沟通过，恶意结案，借款三千30天660变相砍头息的风险评测费因本人还款当天转账未及时到导致逾期七小时利息高达100多，还款之后小黑鲨删除了本人在其平台的还款记录，但是银行的还款证明消除不了，如果小黑鲨不给个说法本人可以拉通讯录详单向杭州法院提起诉讼。</t>
  </si>
  <si>
    <t>2019/10/04 22:53:30</t>
  </si>
  <si>
    <t>借款16000元，阴阳合同21120元，砍头息，华夏银行代扣5120元…。</t>
  </si>
  <si>
    <t>2019/10/04 22:53:10</t>
  </si>
  <si>
    <t>智行火车票APP账号无法注销或解绑手机号，本人现在想注销智行火车票账号。</t>
  </si>
  <si>
    <t>2019/10/04 22:53:06</t>
  </si>
  <si>
    <t>我当时打了很多的电话，支付宝的人工只是说我违反了什么条例，但是不说我违反了哪一条，然后直接挂电话，每次打电话人工就是念话术就挂断，根本不听我的问题，让我申诉无门，这次我打电话和上次的情况一模一样，态度恶劣说完就挂电话，我的支付宝使用了很多年，从来没有任何的违法事情，2、做为服务行业，支付宝对待我们的态度我无法接受。</t>
  </si>
  <si>
    <t>本人于今年9月10日在给你花平台上选择了一款名叫米多点的短期贷款产品，名义是贷款2000元，一个月还2039元，但实际平台以强制捆绑销售游戏产品为名扣除了500元的手续费，实际通过易宝支付打款给借贷人1500元，实际月利率达到35%，希望米多点贷款能取消砍头息，提前以1539元还款结清。</t>
  </si>
  <si>
    <t>2019/10/04 22:53:02</t>
  </si>
  <si>
    <t>投诉人 志先生        投诉对象  维信金科        涉诉金额  1 800 元    问题类型    诉求类型投诉详情  来我家闹了几天。邻居都看不下去要他们走。差点打起来</t>
  </si>
  <si>
    <t>2019/10/04 22:51:18</t>
  </si>
  <si>
    <t>月光侠分期，已各种名义收取砍头息，属于714高炮，难道没人管，催收爆通讯录，电话短信对当事人进行骚扰！爆通讯录这一条，就够你们处罚的，如果再进行骚扰，国庆严打，你们不是不知道，我们也已经咨询警方，要求保留证据！170******02这个手机号拨打的最多。</t>
  </si>
  <si>
    <t>2019/10/04 22:50:41</t>
  </si>
  <si>
    <t>立借平台进行排名优化，他们用违规手段进行操作，发现后拒绝退款，这不是强制行为吗。</t>
  </si>
  <si>
    <t>2019/10/04 22:50:22</t>
  </si>
  <si>
    <t>投诉人蓝豪投诉对象携趣信息科技上海有限公司,通联沪快,通联支付,易小借涉诉金额50元问题类型诉求类型投诉详情本人2019年10月4日晚上9点30分农业银行卡莫名被扣款50远整，感觉不对立即查询扣款明细，看到是通联沪快支付渠道扣款，然后又马上联系对方通联支付客服提供携趣信息科技上海有限公司号码4008888085，本人拨打打过去客服，客服称不是携趣信息科技，称这个号码是上海造艺网络技术有限公司，并且称是本人10月1日申请网络小贷易小借app评估服务299元，说是由于当时农行卡余额不足导致扣款失败，所以先扣50</t>
  </si>
  <si>
    <t>2019/10/04 22:49:56</t>
  </si>
  <si>
    <t>没有贷到款就要10130元的手续费，手机号码填错了一个号码就要2万元的改错费。</t>
  </si>
  <si>
    <t>2019/10/04 22:49:49</t>
  </si>
  <si>
    <t>下载了约会吧，经过诱导开通了一个0元的vip,但啥用都没有，怀疑是这个操作导致的免密支付宝付款，无法回复，消息乱弹一大堆，和介绍的0元支付3天vip根本不一致，退出的时候收到支付宝两笔支出，存在严重的欺诈消费者行为，要求北京有缘在线网络科技股份有限公司进行退款。</t>
  </si>
  <si>
    <t>2019/10/04 22:49:47</t>
  </si>
  <si>
    <t>2019/10/04 22:49:40</t>
  </si>
  <si>
    <t>投诉人 付先生        投诉对象  维信金科        涉诉金额  4 500 元    问题类型    诉求类型投诉详情  协商还款未果。就天天堵在我家门口不在出去。生怕我全家都跑了不还钱。</t>
  </si>
  <si>
    <t>2019/10/04 22:49:31</t>
  </si>
  <si>
    <t>投诉人 孙先生        投诉对象  来花花        涉诉金额  2 000 元    问题类型    诉求类型投诉详情  人身攻击 强烈要求 别再给我打电话打信息还有我的朋友</t>
  </si>
  <si>
    <t>2019/10/04 22:49:22</t>
  </si>
  <si>
    <t>遥控器时好时坏，第一次打电话给tcl售后，他们说拿去网点修，网点师傅不会修，放了十几天说没问题可以用，拿回来后一样经常不能用，我再次打客服电话，有个客服说叫我买新的遥控器，请问TCL你们的一年产品质保是保的什么，要用户自己买，那我买一个新的遥控器，过一个星期又坏了怎么办，还有我客厅的电视，也是你们这个垃圾TCL的，不到两年，卡的爆炸，时不时就没有响应，打给客服客服又是给那个网点师傅的电话，师傅叫我恢复出厂设置试试，我恢复出厂设置后，电视无法开机，那师傅都没上门，就跟我说是主板坏了，要换主板。</t>
  </si>
  <si>
    <t>2019/10/04 22:48:46</t>
  </si>
  <si>
    <t>借一千，分三期，每期还468元，比高利贷还高，吸人血。</t>
  </si>
  <si>
    <t>2019/10/04 22:48:08</t>
  </si>
  <si>
    <t>立借借款三千实际到账2400分期，抽取严重，这样的钱谁敢拿，不是逼的没办法了谁贷。</t>
  </si>
  <si>
    <t>2019/10/04 22:47:17</t>
  </si>
  <si>
    <t>猫眼APP拉新给佣金活动，明目张胆欺诈用户，活动上明明写着邀请新用户，会给相应的佣金，我就提现到账过一次，第二次提现就不给钱了，完全在忽悠消费者，我看网上也有很多人投诉，我想欺骗的肯定不止一两个人，希望国家有关部门处理一下，加大监督。</t>
  </si>
  <si>
    <t>2019/10/04 22:47:03</t>
  </si>
  <si>
    <t>投诉人 柯女士        投诉对象  龙虾分期        涉诉金额  3 090 元    问题类型    诉求类型投诉详情  高利贷 而且我明明银行卡里有钱也不扣 我主动还款也不让还 就是想骗钱 app里说的其他还款方式一个都没有用</t>
  </si>
  <si>
    <t>2019/10/04 22:46:33</t>
  </si>
  <si>
    <t>本人于2018年9月5号，通过支付宝倒流申请了马上金融安逸花，因为是循环额度，本人有时急用钱时，再借出，最近临近还款日，本人无意查询了下，已出还款账单，竟然才发现从第一个月开始还款时，除了归还借款本金利息外，还款金额里还有保险费用，灵活还款包费用，保证险服务费，短信费，这些本人不知情费用，而且循环借款之后，寿险费用是每期都有，一直叠加的，故本人对于保险这类费用不能理解，想查询借款合同和保险合同，发现在平台根本找不到，联系了在线自助客服，自动回复给我说是，只有当时借款审核通过之后可以查看合同，确认之后无法再查</t>
  </si>
  <si>
    <t>2019/10/04 22:46:19</t>
  </si>
  <si>
    <t>投诉人 郭女士        投诉对象  维信金科        涉诉金额  4 800 元    问题类型    诉求类型投诉详情  由于逾期被动，每天被别人打电话恐吓。请第三方来找我麻烦</t>
  </si>
  <si>
    <t>2019/10/04 22:45:33</t>
  </si>
  <si>
    <t>今年店铺转让之后就不做蓝店了，然后一直申请提现，四个月了还是提现不成功，开始的时候每个月提现额度有3000现在每个月只有1500，这就算了，1500的额度提现还到不了账，申请之后没人处理，业务员说上报到现在也没消息，打客服也一直没用，投诉都解决不了，辛苦一年的钱在里面拿不到！。</t>
  </si>
  <si>
    <t>2019/10/04 22:45:13</t>
  </si>
  <si>
    <t>投诉人张先生投诉对象武汉玖爱文化传播公司涉诉金额1980元问题类型诉求类型投诉详情我分手了在抖音上找到的情感咨询，我的情况说给他们听了之后他们说的是能够挽回，挽回的概率是90%,当时我就相信了，他们说要先付款后要做方案，当时我就咨询了如果不能换回怎么办，他们很负责任的说如果因他们的原因挽回失败，他们承担责任协商退款，他们编辑好一段话让我发给对方就是为能够加上微信，这样他们就能说有复联的效果，后面对方给我微信复联之后我不知道怎么回答后请教他们后，他们说不要回答，我还提示过说对方不喜欢这样的无缘无故的中断聊天，</t>
  </si>
  <si>
    <t>2019/10/04 22:45:01</t>
  </si>
  <si>
    <t>立借平台恶意操作失误造成客户资金损失，然后客服又不处理，一直推脱。</t>
  </si>
  <si>
    <t>2019/10/04 22:43:54</t>
  </si>
  <si>
    <t>八月四号借款8200元！扣我2050的砍头息！根本没提示有这条！联系不到客服，请求聚投诉帮忙处理！。</t>
  </si>
  <si>
    <t>2019/10/04 22:42:10</t>
  </si>
  <si>
    <t>我会一分不少连本金带国家承认的利息还进我所借的平台。</t>
  </si>
  <si>
    <t>2019/10/04 22:41:43</t>
  </si>
  <si>
    <t>2019/10/04 22:41:12</t>
  </si>
  <si>
    <t>由于资金周转紧张，前后向浪里白条平台申请过3次借款，而本人于5月29日在手机借钱APP中多宝分期申请借款2500元的借款申请，绑定银行卡提示的是富友支付发来的短信验证，通过审核后收到短信提示，分3期，没每期还款1066元，周期为7天，而作为第三方支付公司富友支付为高利贷平台提供支付渠道未能尽到对商户的合法化审核义务，联手高利贷套路贷平台坑害群众，名为支付平台，实际为高利贷套路贷团伙撑腰，而此公司并小额贷款放款权限的情况下富友支付就为此公司提供放款扣款支付渠道，于7月8日再次申请3500元，每期还款1364元</t>
  </si>
  <si>
    <t>2019/10/04 22:40:48</t>
  </si>
  <si>
    <t>立借收取所谓的荐职小秘书服务，本人从来没有买过这种东西，强加上去的变相收取服务费，属于变相砍头费用，而且一直骚扰我的亲戚朋友，言语辱骂，给我造成相当大的影响，而且已经打电话到我的领导那里去了，工作也不保了，希望能取缔这种平台。</t>
  </si>
  <si>
    <t>2019/10/04 22:39:40</t>
  </si>
  <si>
    <t>变相收取手续费，虚构贷款金额，借款2300，虚构借款金额3000，变相收取手续费700。</t>
  </si>
  <si>
    <t>2019/10/04 22:39:21</t>
  </si>
  <si>
    <t>强烈要求别再给我打电话发短信攻击我还有我的朋友。</t>
  </si>
  <si>
    <t>2019/10/04 22:38:42</t>
  </si>
  <si>
    <t>2019/10/04 22:38:04</t>
  </si>
  <si>
    <t>小花钱包与中腾信为同一公司，催收电话都接，并且跟对方说明暂时经济困难的情况下，对方完全不顾，仍然暴力催收，不停的电话短信骚扰，并且群发给联系人！！！要求中腾信小花钱包立即停止骚扰联系人，并且减免不合法的高额利息！小花及中腾信涉及阴阳合同，利率虽没超过国家规定的36%，但是年利率已经高达超过35%。</t>
  </si>
  <si>
    <t>拼多多为赌博网站提供充值平台，拼多多人员多日未与我取得联系，拼多多涉嫌欺骗顾客，为赌博网站提供便利，虚拟通道，赌博网站网址98999.com。</t>
  </si>
  <si>
    <t>2019/10/04 22:36:56</t>
  </si>
  <si>
    <t>投诉人 邓先生        投诉对象  维信金科        涉诉金额  3 600 元    问题类型    诉求类型投诉详情  维信金科借的钱都还完了。算了下好像多出了一个月的利息。去讨要无果</t>
  </si>
  <si>
    <t>2019/10/04 22:36:39</t>
  </si>
  <si>
    <t>2019/10/04 22:36:25</t>
  </si>
  <si>
    <t>没有用他们家的借款，过几天无缘无故乱扣我银行卡的钱，这什么规则。</t>
  </si>
  <si>
    <t>2019/10/04 22:33:56</t>
  </si>
  <si>
    <t>坚决投诉别再给我打电话打信息还有给的朋友打电话发信息。</t>
  </si>
  <si>
    <t>2019/10/04 22:33:52</t>
  </si>
  <si>
    <t>本人于2019年6月2日晚上22：00一张湖北省中国银行储蓄卡被深圳招商银行某金融保险账号信用卡盗刷人民币3079元整，诉求全额退回，谢谢！！。</t>
  </si>
  <si>
    <t>2019/10/04 22:33:26</t>
  </si>
  <si>
    <t>因为大学生21岁，从你我贷款借了7000，前2期还1226.74元，后面10期每期还款705.94，现无力偿还，而且本金已经还完了，协商消账，目前口袋掏不出10块钱，要逼死我了。</t>
  </si>
  <si>
    <t>2019/10/04 22:33:14</t>
  </si>
  <si>
    <t>顾客在本店购买三件商品，均已质量问题申请仅退款，表示商品已丢，我方申诉后经核实，消费者已在售后页面（或联系平台客服）提供售后问题凭证，平台介入处理仅退款，驳回申诉，其中我方提供商品质检报告后，平台驳回顾客两件商品的仅退款诉求，同意顾客一件商品的仅退款诉求，我方申诉后，平台以“经核实，消费者已在售后页面，试问顾客表示商品已丢，哪里来的售后问题凭证，如果有那为什么不能向商家提供，都知道拼多多为了维护自身品牌形象，根本就是无底线无道德的偏向买家，这种处理结果谁也不服。</t>
  </si>
  <si>
    <t>2019/10/04 22:32:47</t>
  </si>
  <si>
    <t>本人于9月5号在海小葵平台申请借款3000元，期限一个月，分两期偿还，平台扣取砍头息750元，实际到账2250元，本人已偿还一期1500多元，最近因老婆流产等原因实在是无力偿还！我的诉求是希望海小葵公司不要联系我家人，我怕他们承受不住压力做傻事！还希望海小葵公司本着人道主义的精神能给我时间凑钱归还本金加合理合法的利息！。</t>
  </si>
  <si>
    <t>2019/10/04 22:32:46</t>
  </si>
  <si>
    <t>立借这个平台是真的坑，朋友完全被逼疯了，各种手段来催收，不给人活路。</t>
  </si>
  <si>
    <t>2019/10/04 22:32:24</t>
  </si>
  <si>
    <t>借了2000分6期还了2600现在又多了800的服务费和乱七八糟的费用。</t>
  </si>
  <si>
    <t>2019/10/04 22:29:49</t>
  </si>
  <si>
    <t>我是一名来自国家级贫困县的工人，毕业多年从事维修技术工作，本身是一家工厂的消防器材管理员，了解到国家消防改革，需要大量的消防一级工程师来保障社会安全，这让我一个草根平民看见希望，然而，在这个提升路上异常坎坷啊！北京天恒教育，最关键是为了2000元的代报名的利润胡乱给学生一个大学名称参加考试就是失信，后期会对学生及子女产生重大影响 在北京，天子脚下还有这样的骗子公司，没有办学条件，没有一个正经的老师，别的学校老师都是在课堂上上课视频直播同步，他们的老师背着电脑天南海北的上课，今天出差到哪儿就在哪儿上课，偷税漏</t>
  </si>
  <si>
    <t>2019/10/04 22:28:31</t>
  </si>
  <si>
    <t>尊敬的聚投诉工作人员，你们好！本人用京东白条金条有一段时间了，一直都按时还款，就在昨天工作比较忙，金条还款日也没有任何提醒，导致逾期了一天；今晚发现后第一时间还了款，打电话给客服说解决不了，可能会影响个人征信，我也不是有意的，对方还款日也没有任何提醒，实在很难受。</t>
  </si>
  <si>
    <t>2019/10/04 22:27:51</t>
  </si>
  <si>
    <t>投诉人付先生投诉对象维信金科涉诉金额4800元问题类型诉求类型投诉详情朋友在维信金科平台上分期还款，平台乱扣费用。</t>
  </si>
  <si>
    <t>2019/10/04 22:26:51</t>
  </si>
  <si>
    <t>投诉人程先生投诉对象360借条涉诉金额4000元问题类型诉求类型投诉详情本人在平台借的钱本人也给各个客服打电话承诺了会一个一个平台还但是你们每个网贷平台找的第三方是什么意思跟客服沟通好了第三方催收该爆通讯录的爆通讯录爆完通讯录还说不是你们爆的我的个人信息只在你这几个借款平台有存档前面爆完通讯录后面就说不是你们找的第三方说的一些话我没录音我不说了我在聚投诉平台承诺我会一个一个平台还直到还清所欠每个平台的钱及国家承认的利息以上那个平台再骚扰本人的亲戚朋友及同事那你们先去法院起诉我法院怎么要我还我会一分不少还如果</t>
  </si>
  <si>
    <t>2019/10/04 22:25:28</t>
  </si>
  <si>
    <t>钱站高利贷，借两千三个月还3500多，年利率快百分之400了吧！联系客服只还本金，客服说自己利率没超过百分之36是合法的，不知道怎么算的！。</t>
  </si>
  <si>
    <t>2019/10/04 22:25:12</t>
  </si>
  <si>
    <t>在美团上面办的会员，而后竟然红包不能用，说是换了手机号就不能用，那我刚办的会员是白花钱了，还说是我换了账号了，这个事不解决完，我天天都要投诉。</t>
  </si>
  <si>
    <t>2019/10/04 22:24:42</t>
  </si>
  <si>
    <t>立借平台人员真的是态度及其差，问一点最基本的问题都不耐烦，还骂人，真的是要改善。</t>
  </si>
  <si>
    <t>2019/10/04 22:24:04</t>
  </si>
  <si>
    <t>第一次手机里充钱了扣款50，第二次手机里没钱50没成功。</t>
  </si>
  <si>
    <t>2019/10/04 22:22:50</t>
  </si>
  <si>
    <t>投诉人代伟投诉对象白条分期涉诉金额249元问题类型诉求类型投诉详情虚假平台，购买会员后只推荐几个平台，都是没用的，哪里都查的到，要求退款249元。</t>
  </si>
  <si>
    <t>2019/10/04 22:22:40</t>
  </si>
  <si>
    <t>在网易云音乐商城购买的笛子音调不准具体问题在视频中有解释。</t>
  </si>
  <si>
    <t>2019/10/04 22:21:24</t>
  </si>
  <si>
    <t>逾期后借3500三个月要还5000多，借两千一个月要还2500。</t>
  </si>
  <si>
    <t>2019/10/04 22:19:56</t>
  </si>
  <si>
    <t>暴力催收，恐吓我，爆通信录严重影响我的生活。</t>
  </si>
  <si>
    <t>2019/10/04 22:19:26</t>
  </si>
  <si>
    <t>立借平台恶劣的冒充法院人员打电话说要去当地法院报到，存在恐吓，虚假内容，。</t>
  </si>
  <si>
    <t>2019/10/04 22:19:04</t>
  </si>
  <si>
    <t>投诉人 孟万成        投诉对象  轻周转        涉诉金额  2 800 元    问题类型    诉求类型投诉详情  轻周转芒果筹系统原因不扣钱，导致我逾期。我借2800已经还了四千多点。现在还要还将近900。一个月要还利息将二千二。</t>
  </si>
  <si>
    <t>2019/10/04 22:18:23</t>
  </si>
  <si>
    <t>，客服说要交1000工本费才给提现码，没支付，也并没有金钱到账，在未说明有合同的情况下APP强制要求手动签写姓名，而后这个手写的名字就被移到到合同上了，即使没有金钱到账也视合同生效并强行按月扣取利息，实际没有金钱到账，并且咨询了律师，律师表明该情节已经涉嫌违法。</t>
  </si>
  <si>
    <t>2019/10/04 22:17:43</t>
  </si>
  <si>
    <t>投诉人 高强        投诉对象  中金,特约中智        涉诉金额  100 元    问题类型    诉求类型投诉详情  不知情情况下私自扣款，无法理解，如何解决</t>
  </si>
  <si>
    <t>2019/10/04 22:17:34</t>
  </si>
  <si>
    <t>9月25日借款1400元，到账1400元，6天要求还款2000元，没钱还款续期3天300.6天600.到目前截止9天已经付900利息。</t>
  </si>
  <si>
    <t>2019/10/04 22:17:28</t>
  </si>
  <si>
    <t>工商银行卡连续被盗刷，情况如视频，而这一切我一点都不知道，2019年10月2号连续刷6次，打电话问消费财付通，他们说系统出错了。</t>
  </si>
  <si>
    <t>2019/10/04 22:17:26</t>
  </si>
  <si>
    <t>投诉人王女士投诉对象微博借钱涉诉金额6000元问题类型诉求类型投诉详情2019年9.18日，由于我的手机头一天坏了晚上用朋友手机登微信告诉微博的人手机坏了接不了电话第二天处理，第二天早上我10点钟修好的手机，一开机父母亲戚和朋友就打电话发微信过来说微博打电话说我欠钱，我朋友说不知道，微博的人还说我朋友包庇我，还恐吓辱骂，2019.9.29进不去微博借钱，导致逾期2019.10.2进不去微博借钱，也导致逾期2019.10.4同意进不去微博借钱.什么意思，恶意导致逾期吗还有微博借钱的利息高于百分之24达到了百分</t>
  </si>
  <si>
    <t>2019/10/04 22:16:58</t>
  </si>
  <si>
    <t>缴纳后没两个小时一个买家直接全款支付并且一句话没说，我想着去取消订单结果显示我不能取消，取消了扣掉我59保证金给买家，明摆着转转联合买家盗取卖家保证金虽然我的不多才59但是我在聚投诉看了一下其实并不少，如果转转不给合理解释联合其它卖家一起去公安局报案，毕竟金额不少了，刚刚查询了一下买家注册两天买了16个可以盗保险金的机子有诈盗嫌疑希望转转官方给出合理解释否则谁都不好看。</t>
  </si>
  <si>
    <t>2019/10/04 22:15:44</t>
  </si>
  <si>
    <t>投诉人 游女士        投诉对象  借贷宝        涉诉金额  3 000 元    问题类型    诉求类型投诉详情  借款3000 实际到账2300 一周时间 收700利息 后因资金周转不开 续期 700 五天时间 不包括还款日在内</t>
  </si>
  <si>
    <t>2019/10/04 22:15:40</t>
  </si>
  <si>
    <t>立借贷款给月光侠分期提供平台，月光侠暴力催收，虚假宣传，存在传销性质。</t>
  </si>
  <si>
    <t>2019/10/04 22:14:41</t>
  </si>
  <si>
    <t>借款5000，变相收取手续费780，还砍头息。</t>
  </si>
  <si>
    <t>2019/10/04 22:14:18</t>
  </si>
  <si>
    <t>我在北京友缘在线网络科技股份有限公司旗下的app中，其显示项目为开通免密支付服务免费体验短期会员，并不会产生费用，而后我通过花呗明细中发现直接扣除了一笔99元，一笔97.54元一笔69元的费用，通过网上查询，发现该公司已被多次举报，并且都是通过该方式进行收取费用。</t>
  </si>
  <si>
    <t>2019/10/04 22:13:45</t>
  </si>
  <si>
    <t>由于本人国庆期间出去旅游，手机丢失，至少在3号还款日未能登录小花钱包App.，未能在还款日还款，等本人今天补好手机卡第一时间开机时，却发现通讯录已经被爆了，家里人说3号下午就拨打了，谁没有个急事，又没有过逾期，也没有想过不还，再来说说小花钱包的砍头息，我的额度是4000固定的，没变过，但是是循环利息，说白了，套路贷，借1150到账1000，先砍个150，没有任何说法，还款还要收取利息，本人固定4000用了一年，还了一年，现在提前结清还要还将近5000块钱，我不知道怎么算了，我要求只还本金，提前结清谢谢，不包</t>
  </si>
  <si>
    <t>2019/10/04 22:13:11</t>
  </si>
  <si>
    <t>泄露个人信息和通讯录信息给第三方，暴力催收，已经承诺还款，不同意协商，仍然发短息骚扰。</t>
  </si>
  <si>
    <t>2019/10/04 22:12:20</t>
  </si>
  <si>
    <t>给你花平台里的周周花花，借款一千五百元一个月还款两千元，属高利贷套路贷，现在周周花花平台开始威胁恐吓债权人及家人朋友，协商不成轰炸通讯录好友。</t>
  </si>
  <si>
    <t>2019/10/04 22:11:40</t>
  </si>
  <si>
    <t>投诉人 付先生        投诉对象  维信金科        涉诉金额  6 900 元    问题类型    诉求类型投诉详情  本想一次还清欠款，由于有逾期。有几天的违约金。谈了几天谈不好。</t>
  </si>
  <si>
    <t>2019/10/04 22:11:08</t>
  </si>
  <si>
    <t>立借平台打电话给现任工作单位，还打电话给老板，让别人都知道欠钱了，一点颜面都不给，。</t>
  </si>
  <si>
    <t>2019/10/04 22:10:16</t>
  </si>
  <si>
    <t>我在豆豆钱申请10000元，第二天有工作人员让我去借，结果有砍头息，到账9100，我想把9100还上，利息特别高，高利贷，希望能帮我投诉成功。</t>
  </si>
  <si>
    <t>2019/10/04 22:09:54</t>
  </si>
  <si>
    <t>给商家说了一下，我感觉商家的解决方案有点过分了，处于忙我之前没和商家过多的去说我今天给商家发图片，他们的处理态度我很生气，说给我发瓶胶水，第一鞋买回来穿的，没穿几天开胶了，可以说产品质量有问题，第二，处于忙我之前没和商家过多的去说，我今天给商家发图片，他们的处理态度我很生气，说给我发瓶胶水，第三，说给我10元补偿，我不差那10元，也能买得起胶水，把这情况反馈给京东平台平台对我的诉求回复无法处理，愿意赔付我20元京豆，我肯定不能接受了！二百多买的鞋子穿二三天开胶了。</t>
  </si>
  <si>
    <t>2019/10/04 22:08:07</t>
  </si>
  <si>
    <t>本人在马上消费金融旗下产品安逸花申请循环贷，总金额3550元，期间一直正常使用，连app都并未通知，对账号进行锁定，无法消费和提现。</t>
  </si>
  <si>
    <t>2019/10/04 22:06:46</t>
  </si>
  <si>
    <t>10月3日晚还车，还车前计划进行加油至原油位，加油后订单显示车辆可续航里程超过500km，但还提示油量不足需补足邮费，就一直加油至邮箱满，涉及金额：1、因加油过程中信息显示问题，多加了129km，的油费返还65元；2、订单中需要再补足油费金额26.88元。</t>
  </si>
  <si>
    <t>2019/10/04 22:05:32</t>
  </si>
  <si>
    <t>说话不能出尔反尔，欠人家钱要还的，今希望平台给予我最后一次机会于十月底还清所欠债务，因上月还信用卡房贷所剩不多，望请平台延迟一月我当以还清。</t>
  </si>
  <si>
    <t>2019/10/04 22:02:08</t>
  </si>
  <si>
    <t>投诉人徐先生投诉对象随心分期涉诉金额8000元问题类型诉求类型投诉详情6天短期，2500到账1625，6天时间要825的利息，不是高炮么。</t>
  </si>
  <si>
    <t>2019/10/04 22:01:27</t>
  </si>
  <si>
    <t>首先是无逾期，提前两天打我父母电话，一天到晚骚扰，存在高额利息，还有还完之后存在销账，不会有借款记录了，借款上还款金额与到期还款都不一样，一个是借3000，还款3750实际还3931.77一个是借款4000，还款5200，实际还5442.36，利率已经高利息了。</t>
  </si>
  <si>
    <t>2019/10/04 22:00:30</t>
  </si>
  <si>
    <t>本人暂时资金周转困难，导致逾期，但不是不还钱，并且承担了相应的逾期费用，逾期金额为3345.45元，催收人员凭什么私自要我还5701.34元，威胁我24小时内必须还，不还就寄逾期催收通告涵，如果我24小时内可以还完，我为什么还要逾期，承担逾期费用，现在就是把我逼死，我也不能24小时内还完，我只能保证每次还一部分，慢慢还完。</t>
  </si>
  <si>
    <t>2019/10/04 22:00:07</t>
  </si>
  <si>
    <t>，分12期，每期租金297，下单当日已扣款第一期租金297外加保障金398.截止到今日一直未退款，客服电话永远无人接听，在线客服也是无人处理问题，麻烦各位领导帮忙协调处理一下，及时退还支付款项，谢谢。</t>
  </si>
  <si>
    <t>2019/10/04 22:00:06</t>
  </si>
  <si>
    <t>爆我通讯录，打我父亲，现在我父亲都吓出病了，希望严查。</t>
  </si>
  <si>
    <t>2019/10/04 21:59:27</t>
  </si>
  <si>
    <t>购买了一个网易梦幻西游手游账号，该账号于2号到手登录发现被网易游戏方隔离限制，联系游戏方客服说由于登录第三方线下交易平台被，联系交易猫申请仲裁，说这个责任由自己承担，在购买账号之前确实承担风险，这就好比买了过期食品吃出了问题，厂家反过来怪我自己身体不好一样的道理。</t>
  </si>
  <si>
    <t>2019/10/04 21:58:30</t>
  </si>
  <si>
    <t>请问为什么这个号码套餐被手机店里的人更改了就不能退订了，老人家不懂跑到手机店结果被改成98的套餐！一个老人家用得了多少流量，要改成98元套餐，也不提前说明一下！试过了中国移动APP和电话人工客服都不能退订！望处理。</t>
  </si>
  <si>
    <t>2019/10/04 21:58:11</t>
  </si>
  <si>
    <t>宜人贷砍头息，高利贷，借款6万元，已还款53632.25元，曾试图协商按照正常利息结清，但对方未同意，让想尽一切办法进行还款，也曾经想过轻生，很想回头，可是为了几岁的孩子跟不舍，希望相关部门出面帮我解决问题。</t>
  </si>
  <si>
    <t>2019/10/04 21:57:26</t>
  </si>
  <si>
    <t>我于9月20号在京东GL格朗母婴旗舰店购买了一款，多功能恒温调奶器调乳器温奶器暖奶冲奶泡茶热奶玻璃电热水壶，商家在9月23发货，并在9月27号自己签收，我多次联系商家重新发货，商家并没有明确回应。</t>
  </si>
  <si>
    <t>2019/10/04 21:57:05</t>
  </si>
  <si>
    <t>通过广告下载了友缘网的app处处，然后会出现一堆对方的信息，怀疑为有缘网故意行为，然后经过诱导开通了一个零元的体验vip但是一点用处都没有，怀疑就是在没有告知的情况下，这个操作导致的免密支付宝，，，然后发现无法回复，跟他们说的vip不一样，就弹出了一堆什么回复要钱的东西，我想关掉但不小心点到了其中一个图片，但是并没有出现什么确认之类的，支付宝就被扣了168元，并且之后那些信息就没有了，这个存在严重的欺诈行为！！希望要求有缘网进行退款！。</t>
  </si>
  <si>
    <t>2019/10/04 21:55:42</t>
  </si>
  <si>
    <t>号单，到店发现老板为营业，立刻在骑手APP上报了异常，也拍了照片，确定有按照要做，但是联系客服竟说没有上报，就为了坑骑手的回复，，然后马上给店老板打了电话，老板也确认这个订单是上个骑手未来取餐，他等了一个小时，然后就关门下班回家，同时我帮老板打电话联系客户说明情况，让客户取消了订单，重新下其他店的，，在这中间我同时也给美团的客服gou打了电话报备这个事情，明确的说明的本订单事情，客服的也回复已经报备了，本以为这订单取消了没啥，我CTM的，第二天起来准备去跑单，谁知一打开APP，竟然收到了个餐损的扣款，YD，</t>
  </si>
  <si>
    <t>投诉人 李女士        投诉对象  卡卡贷        涉诉金额  23 400 元    问题类型    诉求类型投诉详情  超过国家规定的利率，高利贷，要求合法权益</t>
  </si>
  <si>
    <t>2019/10/04 21:54:29</t>
  </si>
  <si>
    <t>滴滴公司不公平派单，宜兴的快车有时一小时一单都接不到，而且还调度去四五公里的地方等单还是不派单，不知道滴滴公司什么意思，而优享车的单子派的很多，有时都来不及接，在热区附近快车都接不到单，希望平台能为我们快车把问题解决沟通一下，谢谢??。</t>
  </si>
  <si>
    <t>2019/10/04 21:54:12</t>
  </si>
  <si>
    <t>我在卡卡贷借款8100，每期要还901.8，共还12期，合计金额10821.6，利率高达33.5%，现协商还款，结清手续费是什么，退还保险费，保单就查不到，详细的合同也看不到。</t>
  </si>
  <si>
    <t>2019/10/04 21:52:58</t>
  </si>
  <si>
    <t>向钱站借1000元，要还1500元，已还1000元，要求销账。</t>
  </si>
  <si>
    <t>2019/10/04 21:51:59</t>
  </si>
  <si>
    <t>投诉人 陈意立        投诉对象  钱站,华夏银行        涉诉金额  2 000 元    问题类型    诉求类型投诉详情  钱站借了2000分三期 要还3000多，黑啊，太黑了。</t>
  </si>
  <si>
    <t>2019/10/04 21:51:24</t>
  </si>
  <si>
    <t>1.本人于2019.10.3在滨湖国邦美家居合肥巢翼家居品牌管理有限公司购买实木床一个，床头柜一个，床规格1.8*2，当时销售顾问王莉莉和其领导明确告知此床为纯实木，通过沟通后确定价格为3400元整，送货日期为一周内，王莉莉于10.4联系我安排送货，在此过程中与其沟通送货时间，但没有告知我具体时间，等我家人到家查看床已经安装好，安装人员和送货人员在没有任何交接确认的情况下完成了流程，且没有让我签署确认接收单，等到家发现此实木床，并非销售顾问所描述的情况，床的中间支撑部位既然不是木制品，是类似铝合金材质所构成</t>
  </si>
  <si>
    <t>2019/10/04 21:51:17</t>
  </si>
  <si>
    <t>5月20日，在去花花网贷平台申请4000元，到账3000元，捆绑保险费100元为变相砍头息，期限3个月，分6期，每14天为一期！在2019年7月26日复贷4300元，到账金额为3010元，捆绑保险费1290元为变相砍头息，分6期，每14天为一期，目前已还金额4期，已然属于违反央行规定的36%利率和银保监会在7月26日规定的现金贷捆绑保险的文件，和3.15曝光的7-14高炮网贷，未收到任何电子或书面保单，未有保险机构联系本人通知已经投保现在本人要求去花花平台协商本金，借款合同里面没有任何保险账单编号，根据银监</t>
  </si>
  <si>
    <t>2019/10/04 21:50:16</t>
  </si>
  <si>
    <t>10.3号在亚马逊日本站注册了个商家，注册完就收到信用卡扣款4900日元，紧接着收到通知说账户被冻结，不能销售产品，我多次发邮件给亚马逊要求关闭店铺，退还4900日元扣款，亚马逊一直没有对我的要求有任何回复，仅发邮件给我说让我用注册的账户邮箱联系他们就再没有下文。</t>
  </si>
  <si>
    <t>2019/10/04 21:50:11</t>
  </si>
  <si>
    <t>借款2250还款3000借款期限28天还款日子一个星期一次高利贷，爆通讯。</t>
  </si>
  <si>
    <t>2019/10/04 21:48:16</t>
  </si>
  <si>
    <t>10月4日，所谓的服务期间，未使用任何服务，他们也没有提供任何服务，而且在之前的电话投诉中，也没有对我进行任何答复，我要求平台速度退款违规扣款，并注销我在软件上的资料，停止对我的侵害，否则，将通过12377等相关方式继续投诉，举报，维护我的个人权益，扣款后软件提示会在一到两个工作日内匹配所谓的渠道截止投诉日期10月4日，所谓的服务期间，未使用任何服务，他们也没有提供任何服务，而且在之前的电话投诉中，也没有对我进行任何答复，我要求平台速度退款违规扣款，并注销我在软件上的资料，停止对我的侵害，否则，将通过123</t>
  </si>
  <si>
    <t>2019/10/04 21:43:00</t>
  </si>
  <si>
    <t>物品单价20块钱，退款变成19.06，这是为啥，好好解释一下，20块钱的东西，没买为啥就损失了9块4。</t>
  </si>
  <si>
    <t>2019/10/04 21:42:51</t>
  </si>
  <si>
    <t>投诉人吴先生投诉对象趣还钱涉诉金额2000元问题类型诉求类型投诉详情在已结清贷款前提下，对本人银行卡进行恶意扣款，无锡火球普惠，公司砍头息，暴力催收，涉嫌黑社会活动，借2000，14天还3000已经还了4000多了，还是在无人知晓的情况下恶意扣款，已报警！只求打掉这种无良商户。</t>
  </si>
  <si>
    <t>2019/10/04 21:41:28</t>
  </si>
  <si>
    <t>本人于2019年9月7日在腾讯课堂看到火鸟商学院免费公开课宣传报名他们学院实战班，从0基础开始学，亲自带，前期不懂不会，他们会亲自上手操作，不耽误挣钱同时让我慢慢学，腾讯官方认证不满意可以退，实际报名就对你爱答不理了，他们操作出来的东西也和他们课程讲的也不一样，我怀疑他们的专业性，请求退款，他们拒绝退款，称课程已经开始无法退款，腾讯课堂申请退款被拒，腾讯课堂介入也一直没有处理，该学院已经严重侵犯消费者权益，虚假宣传诱惑其报名，还不予退款，今天不知道什么原因主动联系我，说什么要退只能退1000，态度很强势，希</t>
  </si>
  <si>
    <t>2019/10/04 21:40:49</t>
  </si>
  <si>
    <t>投诉人 陈女士        投诉对象  小花钱包        涉诉金额  60 000 元    问题类型    诉求类型投诉详情  阴阳合同 实际借款14000 合同显示18000每个月还要另外加利息 逾期三天威胁我再不还款我就要出事</t>
  </si>
  <si>
    <t>2019/10/04 21:40:40</t>
  </si>
  <si>
    <t>小熊有钱未经本人确认，直接从绑定的银行卡里扣除会员费，多次投诉都没人处理，望聚投诉平台协助维权。</t>
  </si>
  <si>
    <t>2019/10/04 21:40:13</t>
  </si>
  <si>
    <t>10月3日下午，我在烟台蓬莱国际机场候机前往哈尔滨，在候机大厅被身穿制服的工作人员呼唤，说要确认我登机牌上是否是准确的登机口信息，她们身穿制服并站在服务台里，我以为她们是机场工作人员，出于信任，就过去了，她们让我出示机票，随后问我多少钱买的机票，之后说她们现在有个VIP会员卡活动，向我推销中旅贵宾VIP卡，当时工作人员对我做出承诺为预存1880元，赠送1000元，用于分次抵扣购买机票，而且承诺所购机票要比任何渠道购买的机票最低价格都要便宜，还说这个会员卡不仅可以给自己买票，还可以给别人买票，经常出行的话很划</t>
  </si>
  <si>
    <t>2019/10/04 21:39:43</t>
  </si>
  <si>
    <t>立借平台无理发短信，这个月还没过就发下个月的帐单来，不讲究一点规则性，这谁还敢贷款。</t>
  </si>
  <si>
    <t>2019/10/04 21:39:32</t>
  </si>
  <si>
    <t>本人因经济问题需要提前结清贷款，上及贷APP查看相关数据才发现，借款本金由12000变成了13491.84元，莫名多了一笔学堂会员的金额，与事实不符，拨打及贷客服反馈，对方告知是在我同意勾选之下购买的，我后续回忆借款当时根本就没有这个通知，如不是需要提前结清我至今还未知有这笔数目，然后我去看了下这所谓的学堂会员，全是虚拟教程，我完全用不到的，我根本不需要购买，我也问了客服是不是不购买这所谓会员就不下款，客服也明确表示这是增加下款利率的，我当时就向客服反应说需撤销这笔数目以及结清剩余本金，否则我们可以依法处理</t>
  </si>
  <si>
    <t>2019/10/04 21:39:30</t>
  </si>
  <si>
    <t>投诉人 张先生        投诉对象  滴滴出行        涉诉金额  0 元    问题类型    诉求类型投诉详情  滴滴公司把单子全派给对公司机 我们兼职无法生存</t>
  </si>
  <si>
    <t>2019/10/04 21:38:04</t>
  </si>
  <si>
    <t>投诉人 邓先生        投诉对象  维信金科        涉诉金额  4 800 元    问题类型    诉求类型投诉详情  先协商还款完了。又要我多出400的服务费。让我哭笑不得。给不给。不给不让走</t>
  </si>
  <si>
    <t>2019/10/04 21:37:24</t>
  </si>
  <si>
    <t>问题描述：一:投诉如下:一，法律规定:借款后的利息、逾期费用等各种综合费用，依法不得超过36%的年利率，宜人贷下款11.5万，10个月必须还17.5万，总费用66.5%，严重超过国家规定，二，《广告法》第3条规定，广告应当真实合法，符合社会主义精神文明建设的要求，图片已证明宣传利率为0.78%下款11.5万x0.78%=897元，实际综合费率已超过国家规定，虚假宣传欺骗消费者.三，以暴力、威胁手段强买强卖商品，强迫他人提供服务或者接受服务，涉嫌下列情形之一的，应予立案追诉：　　，强迫交易3次以上或者强迫3人</t>
  </si>
  <si>
    <t>2019/10/04 21:37:22</t>
  </si>
  <si>
    <t>我是上个月中旬加的他，当时跟男朋友吵架，也是着急，他当时跟我说好话，不说是我问题，但是一到学习时候我一有啥事，一问那个老师，她就说是我问题，我问他我跟我男朋友问题咋解决，他也不说怎么解决，就让我练打坐和平心静气，让我看她推荐的书，又让我听她发的音频，一点效果都没有，我这一天过得天天跟男朋友说话小心翼翼的，跟做贼似的，我一生气，这个情感老师就说是我的问题，也不知道这一万多块钱买的是课程是什么，一点实际解决问题都没有。</t>
  </si>
  <si>
    <t>2019/10/04 21:36:40</t>
  </si>
  <si>
    <t>应急白卡714高利贷，借3500，到账2100，逾期爆通讯录，严重骚扰我通讯录联系人，还发短信恐吓我，威胁我，严重侵犯肖像权，要求应急白卡尽快下架，赔偿精神损失费。</t>
  </si>
  <si>
    <t>2019/10/04 21:35:57</t>
  </si>
  <si>
    <t>砍头息188元要求退还188其他我正常还款。</t>
  </si>
  <si>
    <t>2019/10/04 21:35:50</t>
  </si>
  <si>
    <t>苏宁易购官方旗舰店,淘宝苏宁易购官方旗舰店，本人10月1日通过淘宝网在苏宁易购官方旗舰店够卖创维55寸电视一台，于10月3日送货到家里，当时送货员开箱把电视取出来给检查电视有没有破损，只是看了外观就要求签字验收电视，还是只要屏幕没有问题就可以了，当时只是通过外观看就要求签收了，在下午的时候电视弄好通电了，可是开机后发现电视屏幕上方破损的，破损大概有7公分左右，然后我马上联系淘宝的客服，按照客服的要求拍照给他们，一开始客服回复我却说电视开箱了责任自己承担，可是电视屏幕破损在不开机的情况下用眼睛是完全看不出来的</t>
  </si>
  <si>
    <t>2019/10/04 21:34:26</t>
  </si>
  <si>
    <t>11月23日，也就是快到2024年，也就是我要被锁定加上之前时间，将近7-8年，我想问，这确定不是在逗我，本人曾经使用循环额度时一直是安逸花的老客户，我不同意，要求安逸花方恢复可使用额度，解锁我的账户，我犯了什么错。</t>
  </si>
  <si>
    <t>2019/10/04 21:34:25</t>
  </si>
  <si>
    <t>分期通以可以申请5000元分期贷款为由，引诱客户在不明确的情况下开通249元会员，开通后，由客户向第三方平台申请贷款，并承诺若第三方贷款平台达到三位未能申请通过，并截图五张图片申请退款，分期通平台将会员费249元退款到平台账户，可提现至客户绑定银行卡中，并扣取三元服务费，但客户申请提现失败，分期通平台账户余额为零，客人绑定银行卡账号亦未能成功到账，该会员费不知所终……本人申请该平台直接退款到本人绑定银行卡中，请分期通遵守承诺，不作隐瞒，欺骗。</t>
  </si>
  <si>
    <t>2019/10/04 21:34:11</t>
  </si>
  <si>
    <t>玖富是黑社会，大家不要惹，远离这个高利贷诱骗平台，坑爹。</t>
  </si>
  <si>
    <t>2019/10/04 21:32:13</t>
  </si>
  <si>
    <t>投诉人谢先生投诉对象滴滴出行涉诉金额0元问题类型诉求类型投诉详情本人于2019年10月3日下午大概16:27分左右接到一笔订单，由南充市顺庆区涪江路自然美容美发到顺庆区延安路，而是距离约定地点大概100米左右的南充高中校门口，由于校门口就是黄格网线，斑马线，处于高清视频监控之下，因此，在略作询问路边的人是否是他们叫车过后，实在联系不上乘客，故取消订单，平台判我达到上车点后驶离，我有责任！试问并不是所有禁停路段都是三分钟拍照，他不在约定地点上车也就算了，但是他既然说在校门口然而我到达后是找不到人的，然后我只有</t>
  </si>
  <si>
    <t>2019/10/04 21:32:10</t>
  </si>
  <si>
    <t>及贷平台借款被拒，承诺时间内保费依然没退回，这种平台毫无人情可言，如果都这样的话那谁还借款。</t>
  </si>
  <si>
    <t>2019/10/04 21:30:51</t>
  </si>
  <si>
    <t>两万多的额度没同知下降到3000不能办分期，就这样没钱只能还最低，每个月费用五六百，无力偿还啊，百分之五加万五的费用，这是合法的高利贷，太苦逼，逾期过两次被逼的难受现在还剩一万一没还万，其中7000多是利息加费用，短短的一年啊，太苦逼了，。</t>
  </si>
  <si>
    <t>2019/10/04 21:29:45</t>
  </si>
  <si>
    <t>2019/10/04 21:27:18</t>
  </si>
  <si>
    <t>10月3日号有下载小浦优客绑定银行卡，当天点开协议看见收费然后果断卸载，10月4日18点10分银行卡里有钱莫名其妙从我的银行卡里扣费296元，关键是我只是注册个账号，绑定了银行卡都没有操作申请，我点开协议看见收费都没有申请还是直接从我银行卡划钱，这是霸王条款，绑架扣款，稀里糊涂被扣钱，要求退款，。</t>
  </si>
  <si>
    <t>2019/10/04 21:26:49</t>
  </si>
  <si>
    <t>投诉人 吴先生        投诉对象  信用管家        涉诉金额  3 800 元    问题类型    诉求类型投诉详情  还款金额和合同金额不一致。多了800无解。怎么多出来的</t>
  </si>
  <si>
    <t>2019/10/04 21:26:46</t>
  </si>
  <si>
    <t>豹子贷,上海造艺网络科技,造艺网络科技,银码头，竟然免密支付这是盗窃！而且直接连这个软件都搜不出来了！。</t>
  </si>
  <si>
    <t>2019/10/04 21:26:41</t>
  </si>
  <si>
    <t>九月份月初还款的时候，合同显示就还有两期没还，十月份一看又变成三期没还，这不是欺诈行为吗。</t>
  </si>
  <si>
    <t>2019/10/04 21:25:47</t>
  </si>
  <si>
    <t>已和达飞云贷线下人员达成高利服务包减免问题，达飞催收人员为了收回高利服务包费用，多次骚扰本人亲戚朋友，多次用恐吓暴力催收手段对本人级身边人多次骚扰，本人跟客服人员多次提出停止暴力催收，客服人员不处理。</t>
  </si>
  <si>
    <t>2019/10/04 21:24:03</t>
  </si>
  <si>
    <t>宜兴的出租车接不到单，服务分一个月也不涨一分。</t>
  </si>
  <si>
    <t>2019/10/04 21:24:00</t>
  </si>
  <si>
    <t>51人品贷公司你好申请一下延期几天还款最近遇到困难了实在周转不开指望理解一下不要有任何的爆通讯录发短信的行为我这边也积极凑上钱还上还希望给我几天时间麻烦了不会出现之前的情况这次可以放心沟通一下。</t>
  </si>
  <si>
    <t>2019/10/04 21:23:27</t>
  </si>
  <si>
    <t>分期9期，实际到账没有7000元，现目前为止已经归还本金金额5000以上，这个平台是有砍头息的并且利息很高，所以不能接受利息部分，要求销账并且停止骚扰，如果该平台不能给我销账并且还要骚扰，已经不止一次两次打电话和发信息给我包括我身边人了，那我就司法诉讼处理维权。</t>
  </si>
  <si>
    <t>2019/10/04 21:21:48</t>
  </si>
  <si>
    <t>节假日再市区一小时一单，平时就更不要说了，自从改了口碑值天天这样，希望平台回复。</t>
  </si>
  <si>
    <t>2019/10/04 21:21:25</t>
  </si>
  <si>
    <t>账号出售给买家，买家改密码后仲裁先客服无回应也不帮我处理。</t>
  </si>
  <si>
    <t>2019/10/04 21:21:22</t>
  </si>
  <si>
    <t>10月4日，软件已经关闭了推荐进程什么东西也没推荐，也没提供，既没有提供任何服务，打人工客服，客服说退款需要我手持身份证照片，还有各种证件复印件，公然要我提供我的隐私，不知是否用作其他非法之途，我要求平台马上退款违规扣款，并注销我在软件上的资料，停止对我的隐私的窃取，否则，将通过12377等相关方式继续投诉，通过110惊醒报警，维护我的个人权益，扣款后软件提示会在一到两个工作日内匹配所谓的渠道截止投诉日期10月4日，软件已经关闭了推荐进程什么东西也没推荐，也没提供，既没有提供任何服务，打人工客服，客服说退款</t>
  </si>
  <si>
    <t>2019/10/04 21:20:56</t>
  </si>
  <si>
    <t>现在的年利率达到百分之三十六，希望调整到合法的年化率百分之二十四。</t>
  </si>
  <si>
    <t>2019/10/04 21:20:50</t>
  </si>
  <si>
    <t>本人最近因为个人家庭原因，实在无法按时还款，之前与拍拍贷合作了起码三四年了，从来没有过逾期，我也不是欠钱不还的人，也跟你们客服说过到底是什么不可抗的原因了，你们催收人员也能明明白白的说出来，可就是紧抓着不放，不停的打骚扰电话窃取我个人信息，电话本里的人真是要一个不放！年轻人还好说，年纪大的亲戚真是被吓坏了！给我家人发恐吓短信，又是不还钱就要催收人员上门要债，要不就是要去司法部门起诉我，我说你们这是恐吓，我要去举报你们拍拍贷，可催收部门说，你去起诉啊！你起诉过吗，我不是恶意不还，原因你们很清楚，合作了不是一天</t>
  </si>
  <si>
    <t>2019/10/04 21:20:41</t>
  </si>
  <si>
    <t>我发布了黑胶唱片，这些都是几十年前的老唱片，多是收藏用，在发布的时候，有“古董收藏”类，也有“音像”类，放在哪个里面，系统都允许，但2019.8.22日，收到违规通知，违规ID:，被永久禁止发布商品！我想问：1.黑胶唱片为什么必须放在“图书”类，2.如果放错类别，为什么系统允许放，然后查到后再严惩，我在淘宝开店十几年了，无法接受！希望淘宝撤销处罚！。</t>
  </si>
  <si>
    <t>2019/10/04 21:20:00</t>
  </si>
  <si>
    <t>投诉人 王女士        投诉对象  萌萌钱包        涉诉金额  3 000 元    问题类型    诉求类型投诉详情  萌萌钱包提醒 务必接电话 否则一定报你通讯录连你身边跟你有关的 都闹得他们鸡犬不宁，无法入睡 这是其中一条短信提醒，</t>
  </si>
  <si>
    <t>2019/10/04 21:19:47</t>
  </si>
  <si>
    <t>花转转的樱桃小借急用8天一期的高利贷，共计4期每次，本金2800到期要还4000多，八天一次，提前4天就开始循环不间断的催收，希望大家不要上当受骗，我要求樱桃小借向我道歉，赔偿我损失，否则一直举报，举报到你公司倒闭为止我这边全部有记录！。</t>
  </si>
  <si>
    <t>2019/10/04 21:16:05</t>
  </si>
  <si>
    <t>本金到账3000.4期需还款4932,一期还款1233.我已还款3期总共3699元已超出本金699元，该平台已经超过法定利息太多了.明显高利贷，要求直接销账。</t>
  </si>
  <si>
    <t>2019/10/04 21:13:45</t>
  </si>
  <si>
    <t>广州到中山那么近都要分拣好多次，速度太慢，服务太差，经常分拣错，延误时间。</t>
  </si>
  <si>
    <t>2019/10/04 21:12:28</t>
  </si>
  <si>
    <t>买了绍兴东到重庆西的票，退票时扣了160元手续费，太坑了，本来我就是要买这两趟车，因为失误，现在手续费扣了不说，票也没有了。</t>
  </si>
  <si>
    <t>2019/10/04 21:11:21</t>
  </si>
  <si>
    <t>然后闪银不知什么时候放款到了我的冻结银行卡里。</t>
  </si>
  <si>
    <t>2019/10/04 21:10:37</t>
  </si>
  <si>
    <t>本人6月被引诱到一个网站充值约15万元其中40000为爱农驿站收取，后来发现是境外网络赌博平台，并非正规的购彩网站，根据中国人民银行和支付清算协会沟通得知第三方支付业务应审核客户的相关信息，第三方支付公司不得向证券、期货、博彩等机构提供支付结算业务，作为有牌照的支付公司没有履行国家相关法律法规要求。</t>
  </si>
  <si>
    <t>2019/10/04 21:09:08</t>
  </si>
  <si>
    <t>投诉人任女士投诉对象微博借钱涉诉金额1400元问题类型诉求类型投诉详情拒绝协商，还威胁我要移交上去，爆通讯录各种。</t>
  </si>
  <si>
    <t>2019/10/04 21:07:57</t>
  </si>
  <si>
    <t>杭州义牛网络技术有限公司，本人在该公司注册账号，现想要注销账号，拨打该公司的客服电话，客服已经核实是我本人，确实注销后，还是要我提供本人个人信息，包括本人手持身份证照片正反面，本人身份证照片正反面，还要签署他们公司拟定的所谓申明书才能完成注销，我个人认为这是变相索取客户信息，烦请受理！。</t>
  </si>
  <si>
    <t>2019/10/04 21:07:26</t>
  </si>
  <si>
    <t>莫名其妙从银行卡扣除我296元费用，打电话联系不到不接。</t>
  </si>
  <si>
    <t>2019/10/04 21:05:31</t>
  </si>
  <si>
    <t>我自己在去哪里网购买机票，现在临时有事改签，当时网页上没有告知有差价，只有手续费二百多，等我缺人改签之后有一个号码打电话给我，说是什么差价一个人80两个人160，给我发一个短信链接，让我支付，为了不影响我正常出行，我付完钱之后打客服电话询问，当时客服工作人员告知，系统问题网页上没有显示，她们会反馈处理，告知二小时后再联系，二次致电给我说是让我给他们截图，我也照做了，一直等了一个小时渺无音讯，我自己致电客服咨询，客服工作人员，明确告知他们没有错，并告知相关费用不是他们收取的，我想问为什么有差价的事在我没下订单</t>
  </si>
  <si>
    <t>2019/10/04 21:04:59</t>
  </si>
  <si>
    <t>利息极高，本人一共借款3000，一年要还4000多。</t>
  </si>
  <si>
    <t>2019/10/04 21:04:37</t>
  </si>
  <si>
    <t>投诉人李先生投诉对象Wecash闪银,云南信托涉诉金额586元问题类型诉求类型投诉详情从闪银里借款，但当时要买东西，选择了东西，结果发现买的东西与价格相差实在太大了，打电话给客服说东西不要了，但是钱还必须要支付，这就有点太霸王条款了，还有录音证据，无法上传。</t>
  </si>
  <si>
    <t>2019/10/04 21:04:31</t>
  </si>
  <si>
    <t>办了个中信白金卡，下卡后就扣我480年费！我都还没激活，都没用，直接扣我年费了！太霸王了！我要求销卡退费！。</t>
  </si>
  <si>
    <t>2019/10/04 21:04:10</t>
  </si>
  <si>
    <t>上上个月借了闪银1000，分三个月，每个月要还将近400多，而且逾期一天逾期费超级恐怖，逾期一天就被他们威胁让我马上还进去，我之前借已经还了超多砍头息，麻烦帮我销账，谢谢。</t>
  </si>
  <si>
    <t>2019/10/04 21:02:55</t>
  </si>
  <si>
    <t>10.3日在天猫桑代旗舰店看到一款收纳箱很优惠，就购买了55L透明白三件装并付款下单，并且分享给亲戚群，有十多个人都下单付款了，4日咨询客服客服何时发货，却告知产品出现质量问题不给发货，但是实际上此款产品一直在售，天猫桑代旗舰店明显是违反了合约不履行发货，如果产品出现质量问题，那么商家涉嫌销售质量问题产品，现在要求改商家把我们的订单正常发货并道歉。</t>
  </si>
  <si>
    <t>2019/10/04 21:02:19</t>
  </si>
  <si>
    <t>出口恶力还叫我弄死他老板好了，没有协商的机会。</t>
  </si>
  <si>
    <t>2019/10/04 21:01:19</t>
  </si>
  <si>
    <t>投诉人 曾女士        投诉对象  松紧贷        涉诉金额  980 元    问题类型    诉求类型投诉详情  发短信恐吓 侮辱 侮辱父母 暴力催收 还短信轰炸</t>
  </si>
  <si>
    <t>2019/10/04 21:00:28</t>
  </si>
  <si>
    <t>半天没有上游戏，一上去排位就提示信誉分不足，，都不知道什么情况被扣了7分，只提示客服系统处理，也不说明什么原因扣信誉积分，人工客服联系不上，只有机器人回复，垃圾得不能再垃圾，那么大的公司连人工客服都没有，我V7的号，是不是我最近都没充钱所以扣我积分啊。</t>
  </si>
  <si>
    <t>2019/10/04 21:00:12</t>
  </si>
  <si>
    <t>语言攻击侮辱，辱骂，态度恶劣，这就是典型的软暴力案件，加上高息，可以规划为套路贷，。</t>
  </si>
  <si>
    <t>2019/10/04 20:59:08</t>
  </si>
  <si>
    <t>投诉人 王先生        投诉对象  易直播        涉诉金额  22 000 元    问题类型    诉求类型投诉详情  很多主播发出娇喘露内裤 露胸部 穿丝袜的脚夹东西 做不雅动作</t>
  </si>
  <si>
    <t>2019/10/04 20:56:21</t>
  </si>
  <si>
    <t>平安普惠，I贷，逾期之后就疯狂打电话催收！现在几点了！，打几十个电话！不断得打！拉黑了还要打！不停得打！不断得打电话给我母亲！几十个电话轰炸！发短信微信恐吓！我母亲手机不断的被骚扰！电话轰炸！试问法律何在！在你们眼里是什么！，185******03，这个人，用电话，一连几十个，轰炸我母亲的手机！拉黑了还要继续打！你们到底是不是人！晚上了！九点了！平安I贷，给我一个解释，给我一个说法！不然明天报警，到银监会举报投诉！看能你们根本不在意因为你们无底线无下限！违法催收，违法犯罪！。</t>
  </si>
  <si>
    <t>捷信消费金融有限公司，不停地骚扰电话，骚扰家里人，恐吓威胁，上门骚扰，利息超出国家规定百分之24，超出了百分之36年利率，尽然还上门催收恐吓，威胁！这个事情如果投诉不起用我将用生命捍卫自己的利益，高利贷竟然这么猖狂，国家的法律法规竟然不顾！。</t>
  </si>
  <si>
    <t>2019/10/04 20:56:08</t>
  </si>
  <si>
    <t>办理会员是说在此平台办理借款，办理会员之后又向你提交其他平台。</t>
  </si>
  <si>
    <t>2019/10/04 20:55:24</t>
  </si>
  <si>
    <t>投诉人屈女士投诉对象海小葵涉诉金额2200元问题类型诉求类型投诉详情海小葵平台恶意骚扰，暴力催收，还非法获取村里人电话号码去骚扰，侮辱，严重影响个人生活跟信誉，希望能停止骚扰并协商处理。</t>
  </si>
  <si>
    <t>2019/10/04 20:54:30</t>
  </si>
  <si>
    <t>打电话威胁家人朋友，晚上七点打一个，九点打一个，已经严重造成了影响，而且平台已经通知拍拍贷了，可是还是没有改变，现在我和朋友担惊受怕。</t>
  </si>
  <si>
    <t>2019/10/04 20:54:03</t>
  </si>
  <si>
    <t>高利贷，2000到账1100，5天还，实际是四天，严重超过国家合法利率。</t>
  </si>
  <si>
    <t>2019/10/04 20:52:21</t>
  </si>
  <si>
    <t>钱站爱钱进借款2000元分三个月还款，系统显示每个月还款要还986.67元，而合同显示应还本息为680.16元，服务费为46.47元，这样加起来才720块钱，居然要还900多。</t>
  </si>
  <si>
    <t>2019/10/04 20:52:07</t>
  </si>
  <si>
    <t>本人于9月5日在牛人有品借款1900元，实际到账1368元，分两期，每15天还一期，还款总额1938元。</t>
  </si>
  <si>
    <t>2019/10/04 20:51:17</t>
  </si>
  <si>
    <t>投诉人 张先生        投诉对象  拍拍贷        涉诉金额  2 000 元    问题类型    诉求类型投诉详情  暴力催收，恐吓，爆通讯录。话语言辞犀利，严重影响生活和精神状态</t>
  </si>
  <si>
    <t>2019/10/04 20:50:49</t>
  </si>
  <si>
    <t>我把摩拜单车锁了之后，不到几分钟，才立马、我，我把车停到服务区之外了，叫我交20块钱的车辆管理费，并且说，如果我在24小时内可以把任意一辆服务区外的车骑回服务区，就可以退给我，然后我交了车辆管理费，我花了钱重新开锁，把自行车骑回最初停放的地方，然后就什么都没发生，也没给我退钱，停之前，不提示你，等你锁完之后才说要扣费，还说24小时停回可以退你钱，但结果呢，我真的被恶心到了，但是我没有办法，真的希望你能帮帮我们这些弱势的消费者，他这个已经算是欺骗我了，请尽快解决。</t>
  </si>
  <si>
    <t>2019/10/04 20:50:24</t>
  </si>
  <si>
    <t>高利贷，砍头息，逾期第二天开始电话短信骚扰，第三天开始骚扰通讯录。</t>
  </si>
  <si>
    <t>2019/10/04 20:49:50</t>
  </si>
  <si>
    <t>我于2019年9月8日在携程APP上携程预订了10月4号到7号入住的重庆民宿花费1439元，在10月3号晚上因为家里有急事去不了，为了不影响店家经营，取消了房间，但操作完只出现了一个不知道怎么算出来的42.08元退款，也没有一个退款详情页面，上面退订政策是：“订单确认后不可取消，入住当天12点后取消或者提前离开收取全部费用，”以上条款自相矛盾且违反《消费者权益保护法》，我也并非入住当天申请取消，不影响民宿再次销售，现在该民宿也已经被重新出租出去了，我给携程客服打电话时客服态度强硬，与商家相互踢皮球，通过与平</t>
  </si>
  <si>
    <t>2019/10/04 20:46:45</t>
  </si>
  <si>
    <t>平安普惠，借款20000，正常还款中，没到还款日就开始拼命催收，之前也骚扰通讯录，电话轰炸，微信骚扰，极度恶劣，要求停止骚扰，做出道歉，赔偿。</t>
  </si>
  <si>
    <t>2019/10/04 20:45:33</t>
  </si>
  <si>
    <t>投诉人盛先生投诉对象中国银联涉诉金额29980元问题类型诉求类型投诉详情在7-9被扣款了29980我并没有绑定什么中国联银什么的就莫名被扣款了29980可是我现在把卡号也更换掉了还能退回。</t>
  </si>
  <si>
    <t>2019/10/04 20:45:24</t>
  </si>
  <si>
    <t>投诉人 张伟康        投诉对象  智行app        涉诉金额  283 元    问题类型    诉求类型投诉详情  尽快处理退款</t>
  </si>
  <si>
    <t>2019/10/04 20:45:07</t>
  </si>
  <si>
    <t>结果过了几天被扣款了，现在连平台都找不到！。</t>
  </si>
  <si>
    <t>2019/10/04 20:43:35</t>
  </si>
  <si>
    <t>在国美易卡借贷款，为什么会遭到宝付网络科技上海有限公司的扣款。</t>
  </si>
  <si>
    <t>2019/10/04 20:42:24</t>
  </si>
  <si>
    <t>15年在京东上买的长虹55寸液晶电视，在客厅一直未动过，今天联系京东表达了想安装到墙上后，9月7日长虹一个售后到我家把电视装到墙上，因安装只有一个人，又用电钻在电视里上装卸螺丝，本人当场表达了自己的疑问：因为液晶屏特别薄，怕电钻稍有差池会损伤到电视屏幕，但是安装后，安装人打开电视后没有出现问题，于是当天下午出差，16日回到家中，未开电视，且期间家中无人，在17日下午回到家中后打开电视，电视屏幕出现明显裂屏，直面看非常像一个锤头印记，但是仔细观察后，此明显“撞击”的点正是电视后面电钻装卸的螺丝点！但是售后对此</t>
  </si>
  <si>
    <t>2019/10/04 20:42:22</t>
  </si>
  <si>
    <t>多宝分期，借款4000元，分期四期两个月，平均15天要还款1599.25元，两个月总共要还利息2397元，高利贷，借款的时候没有说明利息，申请后无法取消，希望能合理利息，谢谢，本人实在偿还困难。</t>
  </si>
  <si>
    <t>2019/10/04 20:41:50</t>
  </si>
  <si>
    <t>10月4号下午5点40无缘无故储蓄卡被扣走296元，打银行电话才得知是被小浦优品扣走，现在已经报警。</t>
  </si>
  <si>
    <t>2019/10/04 20:41:35</t>
  </si>
  <si>
    <t>投诉人 沈先生        投诉对象  小当家        涉诉金额  1 778 元    问题类型    诉求类型投诉详情  今天到期，自动扣款失败。 短信网址链接无效。</t>
  </si>
  <si>
    <t>2019/10/04 20:41:11</t>
  </si>
  <si>
    <t>投诉人王先生投诉对象开店宝支付涉诉金额369元问题类型诉求类型投诉详情开店宝业务员虚假宣传免费办理pos机，收取369手续费，操作员说免费办理，诱导我办理POS机，办开店宝POS机的时候业务员没说要任何费用，在Pos机开机后说要369元激活费，然后这个钱是存到你的账户上，然后刷完以后告诉我一年以后才会到我的账户上，现在这笔钱我在我的账户上看不到，等于虚拟资产，一年以后我找谁去，当时我再三的问他不会骗我吧，他说都是一个县城的都是老乡不会骗你的的369，我再三确认过没有任何费用才办理的，现在办理以后我看到刷卡提</t>
  </si>
  <si>
    <t>2019/10/04 20:40:16</t>
  </si>
  <si>
    <t>借3000元，到账2100元，期限6天，到期还款3014元，借款后App进不去，重新下载不了，未到期期间一直骚扰还辱骂本人。</t>
  </si>
  <si>
    <t>2019/10/04 20:37:19</t>
  </si>
  <si>
    <t>小象的工作人员直接骚扰了我所有通讯录的好友，为什么就因为一次电话没接到就直接骚扰家人好友。</t>
  </si>
  <si>
    <t>2019/10/04 20:36:23</t>
  </si>
  <si>
    <t>9月20日早上收到银行短信，被聚福钱包扣款299元，这是在不知情的情况下自动扣的，我9月18日在这个平台申请贷款但是没申请下来，现在已经不需要贷款，就把app卸载了，两天后突然收到这个扣款信息，给客服打电话问怎么回事，客服让我重新下载app要再申请他们平台匹配的4家合作贷款机构，这明明就是强制借款，还说等14天之后才能操作，今天我又打电话给客服，客服又说让我自己掏邮费寄身份证复印件和手持身份证照片复印件给他们寄过去，然后他们还要核实，实在受不了这种。</t>
  </si>
  <si>
    <t>2019/10/04 20:35:13</t>
  </si>
  <si>
    <t>小花钱包，暴力催收，短信恐吓，群发通讯录短信，骚扰通讯录。</t>
  </si>
  <si>
    <t>2019/10/04 20:35:02</t>
  </si>
  <si>
    <t>因为没还上最低还款，分期被取消，产生高额利息及罚息，本人积极跟信用卡中心联系并还款，然而第三方仍然骚扰并发恐吓信息给我的亲友且冒充律师及法院，并且对本人母亲的身心产生很糟糕的影响，本人多次致电信用卡中心协商还款，且询问所欠本金，利息多少，客服表示协商还款还在申请中，利息是收多了，也没告知欠多少本金，叫我等通知，然而今天第三方通知我：他代表银行通知我不能协商还款！本人希望招商信用卡中心能回复我：本人所欠本金、利息多少，该还的本金利息我还，但第三方对我及亲友的身心产生的负面影响怎么处理。</t>
  </si>
  <si>
    <t>2019/10/04 20:34:33</t>
  </si>
  <si>
    <t>本人没有失联，逾期开始就打电话联系客服，说会尽快处理，10.20号前处理好会在下期账单出来前处理好，催收一天好几个电话，还给联系人打电话发短信的，基本两三天主动给招联金融打电话，可还是每天催收电话不停，想问下招联金融，我没有失联的情况下，你们有什么权利打我身边人电话，你们经过我的允许了吗。</t>
  </si>
  <si>
    <t>2019/10/04 20:33:51</t>
  </si>
  <si>
    <t>投诉人 刘福兴        投诉对象  重庆移动        涉诉金额  30 元    问题类型    诉求类型投诉详情  现在的套餐98 元无限流量 不知道怎么就办理30元10G 可能是小孩不小心点的 现在客服说无法取消 已经跟移动沟通过几次了 对方说帮我记录 但是9月几号 到现在没有处理结果 本人认为 已经是无限流量 在办理30元10G 是多此一举 要求移动取消收费</t>
  </si>
  <si>
    <t>2019/10/04 20:33:02</t>
  </si>
  <si>
    <t>10月3日中午出车时突然提示账号被停止服务，随后马上联系客服，询问账号情况，并把经过简述了一下，客服答复因为安装了作弊器软件，所以封禁账号，随后申诉一下，半小时后收到短信，申诉失败，说安装了修改位置软件，随后本人通过百度了解滴滴所谓的作弊器软件到底是什么软件，再对比个人手机软件，发现滴滴所指的作弊器软件品类很多，比如WIFI密码，某些游戏加速器，包括手机自带软件，我个人为了跑滴滴，接单方便，单独又购买了一部手机，那部手机只为接单使用，而当天使用接单手机时，还剩10%的电量，所以更换了自己私用的手机，通过对比</t>
  </si>
  <si>
    <t>2019/10/04 20:32:42</t>
  </si>
  <si>
    <t>投诉人 薛育飞        投诉对象  平安银行信用卡        涉诉金额  30 000 元    问题类型    诉求类型投诉详情  平安银行信用卡雇佣外包人员 打爆通讯录 到处加朋友微信 散播 恶语 诋毁 辱骂 立即停止</t>
  </si>
  <si>
    <t>2019/10/04 20:32:34</t>
  </si>
  <si>
    <t>真的是像我说得那样找不到新的创意性借口来回应我，所以只能不断的去做什么重复投诉，申请关闭么，主动关闭评论不说我节选了这几条，简直就是最大的讽刺，看来你们总是喜欢自己打脸嘛，你们的脑子是不是因为喝了太多的三鹿奶粉，因此不具备正常人的思维逻辑，我是重复投诉没错，可是这个是你们自己造成的呀，但凡你们能像其他，做出正常的解释以及解决事情的态度，我干嘛费这劲写几万字去各大平台，媒体投诉你们?，，我每投诉一次，就可以得一次红包，费心又费时间，不过没办法，谁让你们公司以及你们的董事长都是拉吉呢，没错都是拉吉！，因为都是不</t>
  </si>
  <si>
    <t>2019/10/04 20:31:37</t>
  </si>
  <si>
    <t>家人，朋友只要是通讯录里面全部收到骚扰信息，有的还接到催收电话，很是困扰。</t>
  </si>
  <si>
    <t>2019/10/04 20:31:14</t>
  </si>
  <si>
    <t>投诉人 刘先生        投诉对象  指上旅行,指上旅游,指上分期        涉诉金额  3 000 元    问题类型    诉求类型投诉详情  3000 到账1800 1200前期费用，以还2期2060 可以还到账金额加合法利息。有还款意愿，在这家借款多次。1200的费用是支付宝转过去的. 国家规定不能以各种理由收取前期费用</t>
  </si>
  <si>
    <t>2019/10/04 20:30:47</t>
  </si>
  <si>
    <t>本人18年7月办理为期一个月的小红书会员月卡，后续却在不知情的情况下进行了自动续费，并没有任何短信告知，无意看账单发现已经扣款一年零3个月，在这期间也并未使用小红书购物，申请投诉赔偿。</t>
  </si>
  <si>
    <t>2019/10/04 20:29:00</t>
  </si>
  <si>
    <t>我前面按时还款没有任何恶意拖欠，现在我因为经济问题一时处理不了，贵公司就开始无限轰炸我的号码，不符合催收相关合法规定联系通讯录，让我的家人朋友都在担心受怕每天都有几十个电话打给他们，造成了太大的心理压力现在看见陌生电话都害怕。</t>
  </si>
  <si>
    <t>2019/10/04 20:28:54</t>
  </si>
  <si>
    <t>豆豆钱爆通讯录，后面答应退了会员费逾期费，会员费退了，逾期费300块钱一一直没有退给我，说话不算话，现在联系也联系不上。</t>
  </si>
  <si>
    <t>2019/10/04 20:27:48</t>
  </si>
  <si>
    <t>友缘在线,北京有缘在线网络科技股份有限公司，一开始诱惑用户开通支付宝免密支付，然后稀里糊涂强制用户点击按钮，最后完成扣费，之后且拨打人工客服无人理会，这就是一个骗子公司，里边都是他们公司的员工。</t>
  </si>
  <si>
    <t>2019/10/04 20:26:23</t>
  </si>
  <si>
    <t>投诉人费明荣投诉对象新易袋涉诉金额1568元问题类型诉求类型投诉详情新易袋平台以办理贷款欺骗转账1568会员，然后以更改银行卡为由欺骗缴纳保证金下款。</t>
  </si>
  <si>
    <t>2019/10/04 20:25:43</t>
  </si>
  <si>
    <t>平台客户说我超出点达范围外了！然后我点确认送达的时候，平台APP上面显示是可以点送达！没有提示违规！。</t>
  </si>
  <si>
    <t>2019/10/04 20:25:03</t>
  </si>
  <si>
    <t>2019/10/04 20:24:37</t>
  </si>
  <si>
    <t>及贷平台本金已还清，利息要求按照国家规定给，客服不协商，态度还不好，没有办法，只有投诉了。</t>
  </si>
  <si>
    <t>2019/10/04 20:24:14</t>
  </si>
  <si>
    <t>情感导师样老师收取费用后不再联系我，我打微信电话也不接，语音咨询也不回复我，更没有说好的情感指导，我现在要求退款，但实在无法联系他们，也查不到他们的电话。</t>
  </si>
  <si>
    <t>2019/10/04 20:24:06</t>
  </si>
  <si>
    <t>江苏宜兴滴滴出行不给快车派单，国庆期间用车高峰二三十个订单，只有两三辆车，还是在市中心，都不派单，单子现在全部派给新优享，老优享，无双证的司机，导致我们快车都是一个小时一个起步价，让我们怎么活！。</t>
  </si>
  <si>
    <t>2019/10/04 20:23:44</t>
  </si>
  <si>
    <t>投诉人卢先生投诉对象浦发信用卡涉诉金额17000元问题类型诉求类型投诉详情浦发银行信用卡一天打20多个电话，骚扰我，希望可以少打点电话，。</t>
  </si>
  <si>
    <t>2019/10/04 20:23:37</t>
  </si>
  <si>
    <t>投诉人张女士投诉对象时光分期涉诉金额1300元问题类型诉求类型投诉详情1300百元本金，还分期款259.98逾期两天给我年迈父母电话，乱打电话，换号打，我接过电话，说这几天就还款，我家里四口人，有个两岁的宝宝需照顾，只有先生一人赚钱，做点小生意，乱打电话给我们造成精神损失，这种不正规的平台，请核查，撤销，别再给更多的人伤害。</t>
  </si>
  <si>
    <t>2019/10/04 20:23:07</t>
  </si>
  <si>
    <t>投诉人古先生投诉对象滴滴出行涉诉金额100元问题类型诉求类型投诉详情1、滴滴平台自动派单给我的单子，跑了之后，滴滴平台无故判我作弊单子，并私自扣我的钱，请把我的血汗钱还给我；2、自从滴滴出行公司更改口碑值以来，流水及接单量与日俱下，多次沟通在线客服及人工客服，均表示账号正常我原来服务分98分，有人证，原来晚上4-5个小时流水保底100起步，平均在130-150左右，现在更改口碑值以后，经常接不到单，努力跑到半夜，流水也才六七十，万般无奈下，希望通过此平台，滴滴公司给与公平处理及解释，我朋友口碑值只有210多</t>
  </si>
  <si>
    <t>2019/10/04 20:22:20</t>
  </si>
  <si>
    <t>蟹老弟借款金额1660元，分3期，每期还款837元，已还款2期。</t>
  </si>
  <si>
    <t>2019/10/04 20:22:02</t>
  </si>
  <si>
    <t>闪银平台擅自改写借款合同，而且收取高额利息及高额服务费，在未通知借款人的情况下，制造虚假合同，擅自添加修改借款账单让借款人还款，借款后不仅需要偿还本金及正常利息，还需支付服务费以及服务费还需要利息，以各种方式变相收取高额费用，欺骗借款人，使用分期等额本息方式进行还款，每月偿还本金，利息，服务费，以及服务费利息，实际偿还总利息超过国家规定标准年利率。</t>
  </si>
  <si>
    <t>2019/10/04 20:22:00</t>
  </si>
  <si>
    <t>2019/10/04 20:19:43</t>
  </si>
  <si>
    <t>借5800要还9700多app没有记录，其中一笔5000.一笔800.逾期费用什么都看不到，全都委外处理，其中借800已经还了一期，上次6月份协商好还款金额，过几天又换了债权人，说不归他处理，叫我找客服.请问拍拍贷是不是高利贷，，@上海银监会，@中国互联网金融信息平台，，@中国律师协会，。</t>
  </si>
  <si>
    <t>2019/10/04 20:18:15</t>
  </si>
  <si>
    <t>我在360借条申请借款，审批下来两万，我就借了，结果他批下来了两万，钱在app钱包里面，想提现就要向他们财务打一千块钱，我不愿意给这1000块钱，他就说时间久了不提现，银行会向我发起还款信息，还要我给利息，滞纳金，违约金。</t>
  </si>
  <si>
    <t>2019/10/04 20:17:57</t>
  </si>
  <si>
    <t>本人因交通银行封卡导致逾期，已经还了4000多进去了，也在协商还款，交通银行雇佣骚扰我联系人员外的其他人，发短信诱导还款还不承认。</t>
  </si>
  <si>
    <t>2019/10/04 20:17:53</t>
  </si>
  <si>
    <t>投诉人 黄先生        投诉对象  微信支付        涉诉金额  41 000 元    问题类型    诉求类型投诉详情  本人付款后没收到实体货物。联系商家联系不到。微信群收款。不给退回。希望平台处理</t>
  </si>
  <si>
    <t>2019/10/04 20:17:15</t>
  </si>
  <si>
    <t>投诉人程女士投诉对象百世快递,中国邮政,韵达快递,圆通快递涉诉金额0元问题类型诉求类型投诉详情本人住在保定市清苑区孙村乡东方新城小区，所有的快递都会送到孙村的一个网点，不配送我们小区，我们要跑到2.3公里之外的地方自己去取，并且网点还收取我们每个快递1-2元的费用。</t>
  </si>
  <si>
    <t>玖富,中国人民保险集团,潍坊银行,黄河农商银行，本人于2019年1月18日在玖富万卡借款14000元分12期还款，玖富万卡收取本人5869.57元费用并自动将此笔金额分12期还款，总金额19869.57分12期还款，每期还款2261.73，因近期本人自己周转的开，故向玖富万卡申请提前还款，该平台要求本人再还6985.10元，故八个月总还款金额为25078.94元，八个月利率为25.3947%，月利率为3.17%，已超过国家24%年利率的要求！2019年7月21日在玖富万卡借款14000元分12期还款，玖富万</t>
  </si>
  <si>
    <t>2019/10/04 20:16:58</t>
  </si>
  <si>
    <t>投诉人吕先生投诉对象多宝分期涉诉金额2000元问题类型诉求类型投诉详情多宝分期借款2000元，30天3期，每期手续费高达219元，高利贷，未逾期就暴力催收，打电话骂人，恐吓，态度极其恶劣。</t>
  </si>
  <si>
    <t>2019/10/04 20:16:27</t>
  </si>
  <si>
    <t>投诉人曹先生投诉对象展鸿科技涉诉金额2000元问题类型诉求类型投诉详情本人于9月30日通过链接下载威力贷，因没具体看清详细利息及天数，申请完变通过app客服联系让取消，说取消不了，一直审核中，本想着不会下款了，10月1晚上11点到账1400，10月6日就要还2000，这事国家明文规定的高利贷，他们通过汇潮支付打的款，我给汇潮支付去电没任何结果，现要求尽快让威力贷联系我，明天见不到电话当地派出所报案。</t>
  </si>
  <si>
    <t>2019/10/04 20:15:22</t>
  </si>
  <si>
    <t>我会一直投诉下去！为广大百姓索要说法！郑海清。</t>
  </si>
  <si>
    <t>2019/10/04 20:14:55</t>
  </si>
  <si>
    <t>该公司软件处处一免费体验3天VIP为理由开通支付宝免密支付，在没有通知我的情况下扣花呗168元。</t>
  </si>
  <si>
    <t>2019/10/04 20:14:52</t>
  </si>
  <si>
    <t>恒企教育经营范围是非学历教育，却经营着自考成考等学历教育，欺骗消费者。</t>
  </si>
  <si>
    <t>2019/10/04 20:14:50</t>
  </si>
  <si>
    <t>借款700虚拟物品188相当于头息，到账只有500还款要还726多，虚拟物品未到账欺骗消费者。</t>
  </si>
  <si>
    <t>2019/10/04 20:13:50</t>
  </si>
  <si>
    <t>本人9月1日在小黑鱼点心贷借款1500，到账秒扣375元，还款当日APP显示系统升级无法还款，导致逾期，然后暴力催收，骚扰我的通讯录联系人，态度恶劣，破坏我的名誉，搞得我的生活一团糟。</t>
  </si>
  <si>
    <t>2019/10/04 20:11:31</t>
  </si>
  <si>
    <t>2019/10/04 20:11:23</t>
  </si>
  <si>
    <t>维信金科旗下安家趣花app引导充值会员之后审核失败，影响恶劣，损失谁来赔，完全是坑害老百姓。</t>
  </si>
  <si>
    <t>2019/10/04 20:10:15</t>
  </si>
  <si>
    <t>本人工人收入有限，家有老人，2个孩子，还欠40多万外账，我不是不还款，我的意思是，1个月还1000能还上，让我缓1年，1年后，1个月3000.我也能还，希望对方把我的还款期延长，高利贷我也认拉。</t>
  </si>
  <si>
    <t>2019/10/04 20:09:49</t>
  </si>
  <si>
    <t>投诉人朱女士投诉对象广州华多网络科技有限公司涉诉金额33000元问题类型诉求类型投诉详情她们利用北京劳务通人力资源管理有限公司客服的身份进行刷单行骗，说只刷一单就有佣金了，第一单的任务是在淘宝里面买五件商品一件商品是360元，五件是1800元，刷完说这个任务是需要三个连续任务一起做才能完成有佣金的，又发了几个链接，三个任务完成以后又说数据混乱，需要激活一起返款，觉得不对，就说不做了，她说必须完成要不然就没办法把钱和佣金退给我，一共被骗了33000元，收款方都是广州华多网络科技有限公司。</t>
  </si>
  <si>
    <t>我们住在保定市清苑区孙村乡东方新城小区，我们所有的快递都需要去离我们2.3公里的村子里拿快递，他们不给配送，而且一件快递还要给收取我们1-2块钱的费用。</t>
  </si>
  <si>
    <t>2019/10/04 20:09:38</t>
  </si>
  <si>
    <t>小当家的客服看见我的投诉速度联系我，我是今天到期，APP无法登录，自动扣款失败，短信链接也是无效的，客服电话也是无效的，你叫我如何还款，速度联系我还款，如果这样你还算我的逾期我将投诉到底，我的电话186******71。</t>
  </si>
  <si>
    <t>2019/10/04 20:08:54</t>
  </si>
  <si>
    <t>希望浦发银行可以给本人一条活路，现在生意失败本人一次承还不了那么多，现在也在打工阶段。</t>
  </si>
  <si>
    <t>2019/10/04 20:08:32</t>
  </si>
  <si>
    <t>2019/10/04 20:08:15</t>
  </si>
  <si>
    <t>投诉汇潮支付放高利贷、投诉支付宝协助高利贷公司回款、投诉金鸡下蛋、威力贷、菜鸟有钱、肥猫贷、来花花高利贷公司，借款1400，2-5天还款2000，实际只有一天半和4天，第五天就有人员用境外电话打过来，在未逾期的情况下威胁，辱骂，恐吓，发短信扬言让我身败名裂，为高利贷公司他提供还款通道每次扫码付款还能把商户自动跳转到我周边的商户，打电话给支付宝公司，支付宝公司拒绝提供收款人信息，支付宝也为虎作伥，为高利贷公司他提供还款通道，每次扫码付款还能把商户自动跳转到我周边的商户，打电话给支付宝公司，支付宝公司拒绝提供收</t>
  </si>
  <si>
    <t>2019/10/04 20:07:35</t>
  </si>
  <si>
    <t>抖音极速版在提现时永远显示失败，详情描述是:我们通过人工智能和大数据判断您拉来的是否为真实用户，如果是即可提现！，1、首先我总共只邀请了32人，而且保证绝对是真人，2、它邀请设置上是用手机号注册，还得看5分钟视频才给奖励，请问不是真人，为什么还有收益，有收益了为什么以不能提现，3、提现失败连具体原因也不说明，含糊其辞！，4、更可气的是没有客服，没有电话，不给你提现也不说原因，还让你想申诉连门都找不到，5、最可笑的是在帮助里写明，如遇到问题请截图，我们会尽快查看，反馈了，也没有回复！，综上:其实钱没有多少，但</t>
  </si>
  <si>
    <t>2019/10/04 20:07:10</t>
  </si>
  <si>
    <t>因为无任何理由永久封号我微信还有一些别的业务腾讯视频。</t>
  </si>
  <si>
    <t>2019/10/04 20:06:56</t>
  </si>
  <si>
    <t>诱导人查看可查金额，莫名其妙绑定银行卡，还开通免密支付，在当事人不知道的情况下扣钱，现在投诉归还金额！！！！。</t>
  </si>
  <si>
    <t>2019/10/04 20:06:47</t>
  </si>
  <si>
    <t>因我看我的京东金融帐号是147******26.叫朋友转账，居然没有到账，问客服居然说是要登入帐号，之前这个账号没有实名怎么可以转账呢，问客服怎么回事，居然说没办法解决，必须要3天以后才可以退回原来转账账号。</t>
  </si>
  <si>
    <t>2019/10/04 20:04:53</t>
  </si>
  <si>
    <t>闪银平台怎么回事，里面有钱只能充值不能提现，要求退还余额的钱款。</t>
  </si>
  <si>
    <t>2019/10/04 20:04:49</t>
  </si>
  <si>
    <t>核实后以虚拟货币为由不予退款并且我的陌陌账号也无法联系到客服不知是有意还是无意操作了我的账号，陌陌公司是一个大平台却用这种霸王条款来搪塞消费者，要求陌陌客服全额退款，保护公平公正的社会和每一位公民的利益。</t>
  </si>
  <si>
    <t>2019/10/04 20:04:17</t>
  </si>
  <si>
    <t>2019/10/04 20:03:59</t>
  </si>
  <si>
    <t>高利货，砍头息，借款时间6天，属于套路贷，扰乱贷款市场。</t>
  </si>
  <si>
    <t>2019/10/04 20:03:58</t>
  </si>
  <si>
    <t>立即贷平台未经得本人同意私自对我账户进行消费名义的扣款，10元20元100元200元300元的消费扣款，请依法协商退还。</t>
  </si>
  <si>
    <t>2019/10/04 20:03:04</t>
  </si>
  <si>
    <t>投诉人吴女士投诉对象马上消费金融涉诉金额2000元问题类型诉求类型投诉详情安逸花单方面终止合同，锁定账户，本人在马上消费金融旗下产品安逸花申请循环贷，总金额2000元，期间一直正常使用，连app都并未通知，对账号进行锁定，无法消费和提现。</t>
  </si>
  <si>
    <t>2019/10/04 20:01:50</t>
  </si>
  <si>
    <t>投诉人 陈先生        投诉对象  招联金融        涉诉金额  0 元    问题类型    诉求类型投诉详情  停止爆通信录，如果再爆通信录我毛线都没有</t>
  </si>
  <si>
    <t>2019/10/04 20:01:20</t>
  </si>
  <si>
    <t>是通过其他APP推荐下在的，说是先贷款后付款，但是一点击就立刻扣款了，下载了八个贷款品种没有下款就按要求退款，总是说不合格，后来换了贷款的品种，甚至还有贷款平台，根本不可能有拒贷的可能，因为他也是推荐其他贷款APP的，根本不会拒贷。</t>
  </si>
  <si>
    <t>2019/10/04 20:01:10</t>
  </si>
  <si>
    <t>本人在2018年12月4日购买港版Iphone，max黑色64G一台，于2019年9月4日发现屏幕内屏右上角有一凸起坏点，于2019年9月17日送修苹果官方授权售后：武汉直信创邺售后，当场工作人员检察手机符合返厂要求后返厂，本人于2019年9月26日收到直信创邺售后发来的短信取机，2019年9月28日由于本人工作原因无法取机随后委托本人母亲前去售后取机，取机当天发快递至本人单位，2019年9月29日本人收到手机，打开检查，随后发现屏幕没有修复或更换，苹果官方维修中心擅自更换本人手机主板及电池致使序列号变更，</t>
  </si>
  <si>
    <t>2019/10/04 20:00:42</t>
  </si>
  <si>
    <t>投诉人王意投诉对象尚德机构涉诉金额7800元问题类型诉求类型投诉详情2017年11月我在尚德机构咨询老师的微信指挥下，办理了自学汉语言文学本科培训，但咨询老师再三劝说办理所谓的咖啡易融学费分期，并承诺中途能退课退款，其实一开始我愿意一次性全额缴纳学费，但咨询老师再三劝说，办理所谓的咖啡易融学费分期，并承诺中途能退课退款，但一直到2018年7月，尚德机构一直拖延办理退学手续，并且和咖啡易融互相踢皮球，拖延办理退学，而且还电话骚扰我继续缴纳咖啡易融分期学费，其行为严重干扰我的正常生活，对我的人身权利造成极其恶劣</t>
  </si>
  <si>
    <t>2019/10/04 19:58:59</t>
  </si>
  <si>
    <t>700额度要购买188的虚拟礼包当利息，并没有收到实物欺骗消费者。</t>
  </si>
  <si>
    <t>2019/10/04 19:57:34</t>
  </si>
  <si>
    <t>本人通过天天贷借款人民币2000元，然而实际到账金额仅为1400元借款6天后还款，还款日当天催收恶意催收由于高额利息本人因为无力还款现在要求和天天贷协商，销账如果不行，本人只能报警立案违法套路贷。</t>
  </si>
  <si>
    <t>2019/10/04 19:57:22</t>
  </si>
  <si>
    <t>10.3号在亚马逊日本站注册了个商家，注册完就收到信用卡扣款4900日元，紧接着收到通知说账户被冻结，不能销售产品，我发邮件给亚马逊要求关闭店铺，退还4900日元扣款，亚马逊一直没有任何回复，仅发邮件给我说让我用注册的账户邮箱联系他们。</t>
  </si>
  <si>
    <t>2019/10/04 19:56:54</t>
  </si>
  <si>
    <t>投诉人项女士投诉对象苏宁易购涉诉金额699元问题类型诉求类型投诉详情本人于2019年9月24日通过手机苏宁易购APP购买康佳32寸彩电一台，此电视是买给父亲，25曰下午收货，送货时家里仅有老人，由送货师傅开箱后插电，因苏宁安装要另收服务费，所谓安装仅仅是将两个底架用镙钉固定在电视下方，故晩上我下班后自行将底架安上放在房间让老人试看一下，因老人年纪大了，视力受限，觉得此款电视图像不清晰，要求更换，我27日向苏宁客服提交退货申请，苏宁客服以电视已通电为由拒绝退货，我多次和客服协商要求更换一台分辨率高一些的，苏宁</t>
  </si>
  <si>
    <t>2019/10/04 19:56:50</t>
  </si>
  <si>
    <t>2019年9月3日在微贷网借款9400元，强行充值了1880元的游戏币，实际到账7520元，然后每月要还款3321.34元，3个月期限，借款7520元要还9964.02元，收取了2400多的利息。</t>
  </si>
  <si>
    <t>2019/10/04 19:56:26</t>
  </si>
  <si>
    <t>2019/10/04 19:56:05</t>
  </si>
  <si>
    <t>2019/10/04 19:54:57</t>
  </si>
  <si>
    <t>钱站阴阳合同，借款5000元合同却是借款9350元，要我分3期还款一个月的本金加利息是3182.87元，每一个钱站打来的电话我都接听并且协调还款，但是协调不成功过后还继续骚扰我通讯录的联系人散布谣言说联系不到我本人。</t>
  </si>
  <si>
    <t>2019/10/04 19:54:30</t>
  </si>
  <si>
    <t>小花钱包高利套路贷，暴力催收，骚扰借款人通讯录，利用通信名单恶意24小时骚扰，严重影响他人生活。</t>
  </si>
  <si>
    <t>2019/10/04 19:54:16</t>
  </si>
  <si>
    <t>2019/10/04 19:53:36</t>
  </si>
  <si>
    <t>及贷平台借款还款晚了，然后催收人员以各种理由找我，然后全部还完了，征信体现强制还款，我的要求把我征信给改过来，。</t>
  </si>
  <si>
    <t>2019/10/04 19:52:39</t>
  </si>
  <si>
    <t>投诉人 杨先生        投诉对象  信用钱包        涉诉金额  600 元    问题类型    诉求类型投诉详情  爆通讯录 辱骂家人 说话不止难听 毫无顾虑 暴力催收</t>
  </si>
  <si>
    <t>2019/10/04 19:52:28</t>
  </si>
  <si>
    <t>因近期工作，生活上出现了一些状况，导致信用卡逾期，本人真心有意愿还款，上期聚投诉得到的回复以解决，为什么还苦苦相逼，我承诺过10月31号把最低还款4860元还上，后期的钱我也会尽快还上，最晚今年除夕夜之前全还清，下面4张图片，前3张是上期平台与及浦发信用卡客服，得到回复以解决结案的图片，最后面一张是今天催收电话截图。</t>
  </si>
  <si>
    <t>2019/10/04 19:52:07</t>
  </si>
  <si>
    <t>2019/10/04 19:49:55</t>
  </si>
  <si>
    <t>2019/10/04 19:49:46</t>
  </si>
  <si>
    <t>投诉人 吴先生        投诉对象  Wecash闪银        涉诉金额  1 000 元    问题类型    诉求类型投诉详情  闪银平台违规售卖高额砍头息产品 并且收取高额逾期费用 1000元逾期7天加收36.05元 逾期6天加收30.9元 超出国家规定的逾期费用 借款1000元综合逾期年利息达到150% 要求退还多余利息费用 并且退款高额砍头息产品</t>
  </si>
  <si>
    <t>2019/10/04 19:49:26</t>
  </si>
  <si>
    <t>我在中信银行信用卡加上圆梦金和新快线一共22万左右，加上手续费现在高达320000，在今年5月份我已经无能力还款，多次提前协商沟通，要求停息挂账，之前有工作人员答应停息挂账，迟迟不给结果，现在加大催收力度，每个月我也根据自己能力去还，多家逾期，现在实在没能力，现在催收人员加大力度催收，各种想办法叫我还钱，实在没办法还，不给人活路，这里没还又叫我去其他地方贷款还中信银行的吗，我也想还，多次答应停息挂账，给个个性化分期，不是不还，希望贵平台给条出路，能帮助协商下！不是不还！。</t>
  </si>
  <si>
    <t>2019/10/04 19:49:04</t>
  </si>
  <si>
    <t>投诉人张先生投诉对象胖胖有米涉诉金额2500元问题类型诉求类型投诉详情9月11号下午2点有个号称胖胖有米催收打来电话，说了下我的情况，说可以减免，二千就可以平账，app上暂时还不了款，只能线下转钱到他们公司银行账号，我就加了他们所谓的胖胖有米财务，按照他做的转账到一张持卡人叫做胡夏亮的帐号上，他们说没问题，解决了，我应为有疑问，所以保留了当时的聊天和转账截图，现在今天下午10月4号，他们胖胖有米群发通讯录短信，如图所示，言语污秽恶心至极，说我还欠他们钱，那之前的钱转去了哪里，我的信息泄露了，就说明他们自己的</t>
  </si>
  <si>
    <t>2个月份莫名扣了100多元的增值业务费，然后又偷偷的给取消掉了，打10010查看增值业务主要是小沃科技TV平台，家里老父亲从来没有听说甚至也不会用这个平台，不知道怎么会进行扣费，这跟强盗有什么区别，联通这种乱扣费的行为也不是一次两次了，必须严惩，。</t>
  </si>
  <si>
    <t>2019/10/04 19:49:02</t>
  </si>
  <si>
    <t>投诉人谭先生投诉对象365无优贷涉诉金额6200元问题类型诉求类型投诉详情套路先是以贷款成功的名意要求你给1200的服务费然后才给提现密码然后再以银行卡异常骗取5000的风险金在然后是说处理时间太久了银行卡有风险要求买取10000元的保险才会放款。</t>
  </si>
  <si>
    <t>2019/10/04 19:48:46</t>
  </si>
  <si>
    <t>由于出险结果未出，金额暂时写0，2019年9月29号我租用神州租车大众朗逸自动苏A0Q8Y2，租用两天，下单时未买尊享服务，，取车是我告诉工作人员，我是新手，刚拿到驾照不久，后面工作人员说那你买个保险，多出一百元钱，车子刮了蹭了不用我赔，我说那行，由于我自己已经下单，自己无法更改，工作人员说他帮我改，帮我打了个电话改了一下，由于不是我自己改的，条款内容我没有阅读过，后面取车成功，我后面续租了两天，在3号去还车，还车时有工作人员在旁边指导我自助还车，还车成功后我都走出好远了，工作人员叫我回去，说车门划伤了，我</t>
  </si>
  <si>
    <t>2019/10/04 19:47:40</t>
  </si>
  <si>
    <t>投诉人陈盛雄投诉对象同程旅游涉诉金额199元问题类型诉求类型投诉详情同程旅游方说好，2天内款项原路退回，但时2天已经过去，还没退款，已经对客户失言，可耻！。</t>
  </si>
  <si>
    <t>2019/10/04 19:47:31</t>
  </si>
  <si>
    <t>安家趣花平台恶意扣钱，打人工电话，电话打我拉黑，希望能还百姓一个公道。</t>
  </si>
  <si>
    <t>2019/10/04 19:46:48</t>
  </si>
  <si>
    <t>9月25号在闲鱼拍了该人的一条项链，卖家称工作忙晚两天发货本人同意期间未催促卖家发货，但是9月30号卖家无理由私自关闭交易给出解释既然是我有差评，我认为我与别人交易发生的矛盾与该卖家无关不是她作为私自取消交易的理由要求闲鱼平台对该卖家做出相应的惩罚以维护公平交易原则。</t>
  </si>
  <si>
    <t>2019/10/04 19:46:26</t>
  </si>
  <si>
    <t>在这家超市买的有两三斤玉米吧，吃了一次发现有沙子，把剩余的挑选了一下，就选出来了这么多沙子，希望有关部门严格查处，还百姓一口健康食物。</t>
  </si>
  <si>
    <t>2019/10/04 19:45:08</t>
  </si>
  <si>
    <t>本人在网上浏览网页时无意间看到有可以购买正规彩票平台，平时我有购买彩票的习惯，因贪图方便结果掉入陷阱，询问朋友后，朋友告诉我这些彩票平台属于境外网络非法赌博平台，现在恳请贵单位帮忙协助我追回我的损失！查看了相关的法律文件，三方公司应当承担相对应的责任，明知道对方是做什么的还为其提供入款渠道，造成人民的财产损失，这样的行为属于为犯罪份子洗黑钱，欺诈的行为，希望贵公司帮助我追回钱款。</t>
  </si>
  <si>
    <t>2019/10/04 19:43:58</t>
  </si>
  <si>
    <t>打电话威胁我，还威胁朋友砸玻璃，态度恶劣相当。</t>
  </si>
  <si>
    <t>2019/10/04 19:43:18</t>
  </si>
  <si>
    <t>在360借条贷款40000元，每期还3700多元，还款周期一年，已还一期，但突因生意失败，现资金周转困难，但已开始上班，只需减缓还款计划，一年多一些时间也能还清这笔贷款，打电话给客服进行协商，客服说需要转其他部门处理，然而360借条拒绝同本人协商还款，并让本人想尽一切办法周转还款，我如实所说暂无力按原定还款计划还款，其部门催收人员直接认定本人是想抵赖还款，语气尖酸刻薄，讽刺意味浓厚，说本人是骗子，恐吓如再不还款，后续会用爆通讯录骚扰亲人好友，以及上门催收，找我父母约谈，这是近两天360借条对本人的电话骚扰，</t>
  </si>
  <si>
    <t>2019/10/04 19:42:15</t>
  </si>
  <si>
    <t>10月3日号有下载小浦优客绑定银行卡，当天点开协议看见收费然后果断卸载，10月4日18点10分银行卡里有钱莫名其妙从我的银行卡里扣费296元，关键是我只是注册个账号，绑定了银行卡都没有操作申请，我点开协议看见收费都没有申请还是直接从我银行卡划钱，这是霸王条款，绑架扣款，稀里糊涂被扣钱，要求退款，绑定银行卡也没有说要收费的。</t>
  </si>
  <si>
    <t>2019/10/04 19:42:10</t>
  </si>
  <si>
    <t>时光分期威胁恐吓，然后砍头息，高利贷，难道有关部门就不管吗。</t>
  </si>
  <si>
    <t>2019/10/04 19:42:00</t>
  </si>
  <si>
    <t>我是宜兴滴滴车主合规司机，从9月份开始派单少的可怜，租金都交不起，有时候3个小时一单没有，让我们怎么活！每天流水少的可怜！。</t>
  </si>
  <si>
    <t>2019/10/04 19:41:14</t>
  </si>
  <si>
    <t>投诉人 占女士        投诉对象  小象优品        涉诉金额  8 900 元    问题类型    诉求类型投诉详情  这么高利息无法继续偿还去，希望协商解决。</t>
  </si>
  <si>
    <t>2019/10/04 19:41:01</t>
  </si>
  <si>
    <t>因特殊原因，家庭出现事故，导致逾期没处理欠款，之前沟通，答应过段时间还款，但是新浪微博催收人员恐吓上门催收。</t>
  </si>
  <si>
    <t>2019/10/04 19:40:43</t>
  </si>
  <si>
    <t>误导消费者购买保险，轻描淡写，描述和事实不付，联系光大永明人寿保险说了处理，总是不在约定时间来电，导致我经常没空接听电话，以致不了了之。</t>
  </si>
  <si>
    <t>2019/10/04 19:40:37</t>
  </si>
  <si>
    <t>今借到微信公众号，是一个高利贷，砍头息借款平台，借款5000到账3500，一周内还款，逾期一天600元，并有今借到客服进行伪装，明面上逾期一天几元，实际工作人员会单独发资料。</t>
  </si>
  <si>
    <t>2019/10/04 19:39:43</t>
  </si>
  <si>
    <t>砍头息，2000块钱需要还2500多，高利贷，暴力催收！！！。</t>
  </si>
  <si>
    <t>2019/10/04 19:39:26</t>
  </si>
  <si>
    <t>逾期了无力偿还，猴犀利恐吓威胁本人，套路贷，高额砍头息，下款扣手续费，给亲戚朋友群发短信，打电话，骚扰，第三方催收，望请聚投诉协助处理，如猴犀利照这样下去，我会向打黑除恶办投诉，居然还要打村委，胆子不小。</t>
  </si>
  <si>
    <t>2019/10/04 19:38:19</t>
  </si>
  <si>
    <t>信用管家中的好运金自称调查组的，进行软暴力催收，威胁，冒充公检法，威胁爆通讯录，望聚投诉尽快帮忙处理，谢谢。</t>
  </si>
  <si>
    <t>2019/10/04 19:37:36</t>
  </si>
  <si>
    <t>阴阳合同，借的时候显示1万元本金，加一年1900块的利息还能勉强接受，后来仔细一算算下来连本带利总共要还近1万5千左右！实属高利贷！现在逾期一天100多费用一般人还不起啊！求助平台帮忙让对方按照国家标准利息与逾期罚息！最重要的阴阳合同强烈要求还原本着事实出借金额10000元！。</t>
  </si>
  <si>
    <t>2019/10/04 19:37:25</t>
  </si>
  <si>
    <t>购买礼包未发货，客服不给予解决，利息高！欺骗消费者。</t>
  </si>
  <si>
    <t>2019/10/04 19:35:55</t>
  </si>
  <si>
    <t>来分期给的额度45000还剩26000就是说以用19000今天问客服说我还要还30000元。</t>
  </si>
  <si>
    <t>2019/10/04 19:35:49</t>
  </si>
  <si>
    <t>借款6000分期十二个月，，前两个月每个月要还1051.49后面十个月每个月还605..09，现在已经还了十一期7548.79。</t>
  </si>
  <si>
    <t>2019/10/04 19:35:18</t>
  </si>
  <si>
    <t>投诉人陈女士投诉对象钱站涉诉金额2000元问题类型诉求类型投诉详情打电话态度不好，威胁，恐吓，暴力催收。</t>
  </si>
  <si>
    <t>2019/10/04 19:34:31</t>
  </si>
  <si>
    <t>还是九月11号还的款，到现在都还没给我消账，APP还显示我逾期费750，强烈要求马上消账。</t>
  </si>
  <si>
    <t>2019/10/04 19:34:09</t>
  </si>
  <si>
    <t>暴力催收，联系通讯录亲朋好友，催收态度恶劣，威胁，恐吓。</t>
  </si>
  <si>
    <t>2019/10/04 19:33:10</t>
  </si>
  <si>
    <t>2019年4月2日在快闪卡贷申请一笔贷款15000元，分6期归还，中途有一期逾期一天，催收暴力催收，我与客服取得联系并投诉，客服答应说给我减免利息，但到现在一直没有减免，我现在也剩下最后一期了。</t>
  </si>
  <si>
    <t>2019/10/04 19:32:55</t>
  </si>
  <si>
    <t>投诉人卓先生投诉对象平安信用卡涉诉金额10000元问题类型诉求类型投诉详情现在请求备用金逾期部分再分期，目前账单3期没有完全还清，加上违约金已累积到9084元了，目前真的经济很困难，请求平安再分期，希望账单9000这个数额再分24期，本人也愿意再重新在这个数额上重新按利息计算分期，目前真的经济很困难，外面也负债很大，压力也更大，本想平安信用卡已还到最后剩下一期了，但目前本人也山穷水尽了，绝境困境，只希望再分期，愿意再重新计算利息，只有这样还得起了，才不至于没能力还款逾期下去，雪上加霜的境况，2017年从平安</t>
  </si>
  <si>
    <t>2019/10/04 19:31:57</t>
  </si>
  <si>
    <t>本人因经济原因暂时无法偿还，希望顺延到下个月结清全部借款，但是催收不同意，坚持联系紧急联系人。</t>
  </si>
  <si>
    <t>2019/10/04 19:31:31</t>
  </si>
  <si>
    <t>投诉人陈先生投诉对象无限流量卡涉诉金额42元问题类型诉求类型投诉详情本人在此公众号购买一张物联卡，也就是那种无限不限速流量卡，购买回来他没有试用套餐，也不能叠加套餐，最后只能一次性购买了42块钱的套餐，结果手机进去只有2G网络，怎么设置都无济于事，依然是2G网，然后跟客服提出退套餐。</t>
  </si>
  <si>
    <t>2019/10/04 19:31:20</t>
  </si>
  <si>
    <t>投诉人单先生投诉对象滴滴出行涉诉金额0元问题类型诉求类型投诉详情接单量太少，有时候一二个小时不派单，希望能处理下。</t>
  </si>
  <si>
    <t>2019/10/04 19:31:07</t>
  </si>
  <si>
    <t>投诉人李明红投诉对象叮当钱包涉诉金额17900元问题类型诉求类型投诉详情2019年6月在玖富万卡借了两笔共17900元，现在已经还了19700，平台显示还需还4387元。</t>
  </si>
  <si>
    <t>2019/10/04 19:29:00</t>
  </si>
  <si>
    <t>投诉人 芈女士        投诉对象  你我贷        涉诉金额  1 000 元    问题类型    诉求类型投诉详情  客服说话太嚣张了。爱理不理。知道你早晚会还的。拖一天我多出一天的利息和违约金。</t>
  </si>
  <si>
    <t>2019/10/04 19:28:55</t>
  </si>
  <si>
    <t>威胁我，爆通讯录，态度特别不好，我内心非常恐惧。</t>
  </si>
  <si>
    <t>2019/10/04 19:27:46</t>
  </si>
  <si>
    <t>平台申请分期同意后还一直扣取高额费用，这样挣利息那个还的起钱。</t>
  </si>
  <si>
    <t>2019/10/04 19:27:12</t>
  </si>
  <si>
    <t>闪银平台收取押金，怕你逾期再从里面扣钱，规定是还款完了之后再返还，从来没听说过这种，这跟民间私贷有什么区别。</t>
  </si>
  <si>
    <t>2019/10/04 19:27:11</t>
  </si>
  <si>
    <t>在app登陆不上去的情况下，我没有办法还款，就加了说是国美易卡的微信，说不还款后果自负。</t>
  </si>
  <si>
    <t>2019/10/04 19:26:58</t>
  </si>
  <si>
    <t>违规收取相应的借款保费，擅自降额！利息高的吓人，严肃处理此类高利贷平台。</t>
  </si>
  <si>
    <t>2019/10/04 19:24:52</t>
  </si>
  <si>
    <t>本人8月7日在立借借款5500元，显示十二期，结果放款后显示三期就要6900多，后面9期每期还61.05元，致电立借客服态度差并且不予减免利息，现要求立借联系我调整利息一次结清，如不解决，家人就立案起诉处理。</t>
  </si>
  <si>
    <t>2019/10/04 19:24:38</t>
  </si>
  <si>
    <t>投诉人成先生投诉对象信用管家涉诉金额4000元问题类型诉求类型投诉详情当初和我签合同的适合没有有服务费。</t>
  </si>
  <si>
    <t>2019/10/04 19:24:36</t>
  </si>
  <si>
    <t>小浦优客在没有经过我的同意私自扣除我银行卡296元钱，请尽快退还给我。</t>
  </si>
  <si>
    <t>2019/10/04 19:24:30</t>
  </si>
  <si>
    <t>非法获取通讯录，通话记录，恐吓，威胁人民警察，贵公司请的催收做违法犯罪的事情底气很足啊，什么第三方法务公司，明显的一个皮包催收公司，能协商全额还款最好，不能协商就算了，催收不道歉咱们就走着瞧！看看伪造的法律文书和真的法律文书有什么区别！看一看谁冻结谁的账户，看看谁能把谁弄进去！。</t>
  </si>
  <si>
    <t>2019/10/04 19:24:15</t>
  </si>
  <si>
    <t>涉诉金额2474元问题类型诉求类型投诉详情1.借款9500，总还需要150002.中间收取1900快速审核费用3.每期手续费2854.高利贷5.爆收利息6.恐吓。</t>
  </si>
  <si>
    <t>2019/10/04 19:23:42</t>
  </si>
  <si>
    <t>提示微信账号使用了微信外挂，非官方客户端或模拟器，被限制登录。</t>
  </si>
  <si>
    <t>2019/10/04 19:23:14</t>
  </si>
  <si>
    <t>投诉人周先生投诉对象滴滴出行涉诉金额0元问题类型诉求类型投诉详情滴滴公司欺骗驾驶员，一边规则要求驾驶员出来服务，一边又只派单给优享而不派单给快车。</t>
  </si>
  <si>
    <t>2019/10/04 19:23:11</t>
  </si>
  <si>
    <t>来分期给的额度45000元剩余额度还有26000元。</t>
  </si>
  <si>
    <t>2019/10/04 19:22:58</t>
  </si>
  <si>
    <t>02569071058这个号码给我打电话恐吓我，说骚扰我家人，严重影响我日常生活。</t>
  </si>
  <si>
    <t>2019/10/04 19:21:48</t>
  </si>
  <si>
    <t>电话沟通无果，逾期费用加上利息加上保险费用超过国家规定年利率36％。</t>
  </si>
  <si>
    <t>2019/10/04 19:21:12</t>
  </si>
  <si>
    <t>恐吓威胁辱骂以及私自爆通讯录都是投资人个人行为，就算允许你获取了也不代表你有权私自打电话骚扰通讯录好友。</t>
  </si>
  <si>
    <t>2019/10/04 19:21:05</t>
  </si>
  <si>
    <t>朋友在平台还不起高额利息后找平台协商客服强制性挂电话。</t>
  </si>
  <si>
    <t>2019/10/04 19:20:51</t>
  </si>
  <si>
    <t>朋友在闪银平台借了几千块钱，然后就被泄露借款人的隐私，天天接到莫名其妙的电话不知道怎么回事，我也接到了好多电话，。</t>
  </si>
  <si>
    <t>2019/10/04 19:20:22</t>
  </si>
  <si>
    <t>实际借款3000元，到账3000元，可是合同上却是4710元，说是借款金额。</t>
  </si>
  <si>
    <t>2019/10/04 19:20:21</t>
  </si>
  <si>
    <t>十月一号我发现我收到手机短信说预付费4G自选套餐生效还说有合约期12个月，还说提前解约得支付违约金，这个号码之前的套餐是8元一月，很多银行卡支付宝以及公司的一些账号绑定的这个号码，但实质我用的最多的是现在的腾讯的天王卡，客服人员解释说我在9月20自己在app上办理的，如果有明确显示是48元预付费套餐我是不可能办理的，我打开app给我推送了好多次视频彩铃业务，说是0元一月我就体验了下完全不知道这是一个陷阱，这个页面没有任何说要修改套餐的介绍。</t>
  </si>
  <si>
    <t>2019/10/04 19:19:56</t>
  </si>
  <si>
    <t>由于轻信朋友，同事一面之词，导致我借款未能收回，跑路，我希望，诉求好分期给我一段时间，让我喘口气，有口还这三千多的能力，一个月就还清了，可好分期还在步步紧逼，威胁我要在八点之前做出伤害我正常工作，生活的环境，让我丢失工作，加我微信，做出各种威胁宣传让我名誉受损的动作，希望平台反映，让我有机会尽快还钱的日子。</t>
  </si>
  <si>
    <t>2019/10/04 19:19:43</t>
  </si>
  <si>
    <t>2016年开始使用平安普惠，一直是提前还没有逾期过，之前借的都提前结清，这一次32000已经还了21000，昨天还款日，我那个手机还了，登不上.晚上开机，家里人就联系说我欠平安普惠的钱，同事也问，就24小时不到，你们就爆我通讯录，我现在明确表示我会还钱，你们的利息高的我就不说了，关键你们爆我通讯录，没有联系我的QQ和微信，就开始爆我通讯录，给我造成了不可挽回的损失，我重来没有逾期过，居然爆我通讯录，那我是不是可以不还了，尽快联系我，我提前结清的时候没有给我少一分钱利息，我就迟了一天，你们就这样，我活不活了。</t>
  </si>
  <si>
    <t>2019/10/04 19:19:08</t>
  </si>
  <si>
    <t>下午突然有个信息说要我在家待着等他们兄弟上门，说来要我欠平台的钱，我不知道就回个电话过去问一下情况，说是极速花的逾期了，转给他们来上门催收的，我根本没有听说过也没有用过这个平台，完了就叫我在家等着他们来，还让我准备3000块钱的上门费，电话挂了我就去报警吧，半路上又打电话给我问我在哪，要找我，我说在派出所了还说要来派出所找我，现在扫黑除恶这么严还顶风作案，根本不把国家放在眼里吧，更何况我还根本没用过的平台说我逾期了，对比情况请求给予严惩！。</t>
  </si>
  <si>
    <t>2019/10/04 19:19:06</t>
  </si>
  <si>
    <t>2019.9.29从我建设银行扣款1790.一次扣50，100.不同金额扣款。</t>
  </si>
  <si>
    <t>2019/10/04 19:18:54</t>
  </si>
  <si>
    <t>黑客盗刷进去store里面，致电过苹果公司经理说无法退款，太气人了。</t>
  </si>
  <si>
    <t>2019/10/04 19:14:03</t>
  </si>
  <si>
    <t>在我没接电话的情况下，凭什么给我家里人打电话，我要求现在立马停止对我家里人的骚扰，否则我就去报警。</t>
  </si>
  <si>
    <t>2019/10/04 19:13:02</t>
  </si>
  <si>
    <t>借款一千，分三个月还，每期468元，刚刚到期就电话威胁，限定几点还清，不然爆通讯录，利息超高，曲型高利贷，怎么利息这么高平台还不下架，真的要有人管下了，完全吸人血。</t>
  </si>
  <si>
    <t>2019/10/04 19:10:50</t>
  </si>
  <si>
    <t>借花钱app借款填写完资料后要求绑定银行卡，然后开始审核，审核之前所有步骤都没有提到要收取198元的费用，正规借款也不会有前期费用，要求全额退款。</t>
  </si>
  <si>
    <t>2019/10/04 19:10:37</t>
  </si>
  <si>
    <t>本人父亲2019年上半年在湖南省常德市移动总公司对面营业厅参加“0元购机”活动，当时办理该活动人员已经离职，而且她应该不是移动公司的业务人员，现在到处宣传各种贷款，各种花呗套现信息，之后本人莫名其妙的接到重庆当年的电话之前没注意，因为系统显示推销电话，之后接了一下，对方一直不提是什么公司，在不停的追问下才说是马上金融公司，然后问我是不是参加过移动0元购机的活动，这才想起来，因为本人父亲是农民，从来没有接触过网络贷款，所以他并不知道事情原因，我前后加了之前给我父亲办理此活动的人微信，她说每月从银行卡扣款，没说</t>
  </si>
  <si>
    <t>2019/10/04 19:10:24</t>
  </si>
  <si>
    <t>你我贷借款8000元，24期还款，前12期每期还款579，后12期每期还款573，利率高达72%远超国家过的24%，要求降至国家法律合法范围内。</t>
  </si>
  <si>
    <t>2019/10/04 19:09:57</t>
  </si>
  <si>
    <t>及贷平台威胁说要找外包第三方上门催收，还要到老家去联系乡下的亲人，让颜面扫地。</t>
  </si>
  <si>
    <t>2019/10/04 19:09:34</t>
  </si>
  <si>
    <t>本人于9月3号邮寄一件快递，三件孩子衣服，然后没过几天快递员给我打电话说快递丢了要给我赔偿，我发过截图后再也没有消息了，期间我多次联系没有人理我，今天又联系快递员说再不处理我要投诉了人家说投诉吧。</t>
  </si>
  <si>
    <t>2019/10/04 19:08:23</t>
  </si>
  <si>
    <t>投诉人 马先生        投诉对象  四季钱庄        涉诉金额  3 500 元    问题类型    诉求类型投诉详情  到账金额2200 7天需要还3500 续费延期7天需要1330 续费过几次了 实在还不起 协商只还本金 平台不让 威胁恐吓必须还全额 望聚投诉平台彻查</t>
  </si>
  <si>
    <t>2019/10/04 19:07:43</t>
  </si>
  <si>
    <t>投诉人黄先生投诉对象人人贷涉诉金额3000元问题类型诉求类型投诉详情本人在2019年5月有事急用钱，申请了人人贷，当时借款时写的每月偿还1700多左右，感觉比较合理，就借了30000元整，后来扣费的时候发现每个月要还款2030元，多出来650元的服务费，这笔款项在借款时并没有标注出来，也没有说明还款时要偿还这650元的服务费，明显就是阴阳合同，虚假宣传，欺骗。</t>
  </si>
  <si>
    <t>2019/10/04 19:06:47</t>
  </si>
  <si>
    <t>涉诉金额1000元问题类型诉求类型投诉详情一直想去处理还款事宜，之前的申请借款号码换了几年已经不记得了，我想联系客服帮我查询并解决，但一直进不通客服电话，所以请你们帮忙联系对方。</t>
  </si>
  <si>
    <t>2019/10/04 19:06:17</t>
  </si>
  <si>
    <t>闪银平台以买游戏豆为由收取高额贷款通过费，这种应该是不合法吧。</t>
  </si>
  <si>
    <t>2019/10/04 19:06:01</t>
  </si>
  <si>
    <t>投诉人 吴平        投诉对象  维信金科        涉诉金额  6 700 元    问题类型    诉求类型投诉详情  亲人在维信借款后被泄露信息遭电话骚扰。很烦人。</t>
  </si>
  <si>
    <t>2019/10/04 19:05:00</t>
  </si>
  <si>
    <t>投诉人陈海宝投诉对象马上消费金融涉诉金额6000元问题类型诉求类型投诉详情马上金融安逸花网贷在联系本人正常的情况下，爆通讯录，给我通讯录的亲戚朋友打电话还款，骚扰我家人，在国庆节举国欢庆的时刻，我的整个国庆节都被马上金融的催收严重影响，我将保留追究法律责任的权利。</t>
  </si>
  <si>
    <t>2019/10/04 19:04:39</t>
  </si>
  <si>
    <t>投诉人 高先生        投诉对象  每推推,马鞍山每推网络科技有限公司        涉诉金额  5 135 元    问题类型    诉求类型投诉详情  前期我们商家没付款的时候 每天联系骚扰我们 各种虚假信息误导我们 让我们交钱入住 交了钱就各种理由 什么不上班 信息也不会 叫退款也不退 找售后也找不到</t>
  </si>
  <si>
    <t>2019/10/04 19:03:33</t>
  </si>
  <si>
    <t>10月2月的订单已经到了平台的保护期所谓的48小时平台仍不确认收货并不与放款，我希望平台能尽快打款到我的支付宝里。</t>
  </si>
  <si>
    <t>2019/10/04 19:02:56</t>
  </si>
  <si>
    <t>闪电借款借了900块，199买了所谓的财神黑卡才给下款，也就是所谓的砍头息！国庆期间我忙所以忘记处理，直接涨50一天的利息，还爆我通讯录！。</t>
  </si>
  <si>
    <t>2019/10/04 19:01:50</t>
  </si>
  <si>
    <t>小浦优客app申请借款，填写完资料后要求绑定银行卡，然后没有任何步骤有提到要收取296元的报告费，就直接扣款了，正规的借款没有相关前期费用，要求全额退款。</t>
  </si>
  <si>
    <t>2019/10/04 18:59:56</t>
  </si>
  <si>
    <t>2019/10/04 18:59:46</t>
  </si>
  <si>
    <t>本人在捷信金融贷款35000元，分期36期，每期本金1940.1元，已还26期总金额50440元，已归还本金并多还1.5万多利息，剩下部分我打过电话400客服协商剩下部分不归还，态度及其恶劣，而且当时贷款的时候没有跟我说有什么服务费之类的费用，请问您们给我服务了什么。</t>
  </si>
  <si>
    <t>2019/10/04 18:59:44</t>
  </si>
  <si>
    <t>逾期一天，发信息威胁人，借款六千，分十二期，已还八期，利息与高利贷一样。</t>
  </si>
  <si>
    <t>2019/10/04 18:58:42</t>
  </si>
  <si>
    <t>投诉人温先生投诉对象光大银行,云缴费涉诉金额23元问题类型诉求类型投诉详情10月3在微信云缴费小程序充值了30元话费，红包抵扣了7元，实际支付23元，但是到10月4日话费迟迟不到账，联系客服，客服没有给出解决方案，而且好多用户话费没有到账，希望光大云缴费可以尽快充值或者全额退款。</t>
  </si>
  <si>
    <t>2019/10/04 18:58:15</t>
  </si>
  <si>
    <t>招联金融群发个人信息给手机联系人同事家人纷纷受到骚扰，暴力催收，完全不给协商的余地！承诺额度长期有效的，现在冻结了可用金额！暴力催收威胁性短信！大机构想不到手段比高利贷还高利贷！坚决投诉！。</t>
  </si>
  <si>
    <t>2019/10/04 18:58:09</t>
  </si>
  <si>
    <t>滴滴公司把单子全部派给优享车，导致接不到单子，不公平。</t>
  </si>
  <si>
    <t>2019/10/04 18:58:03</t>
  </si>
  <si>
    <t>投诉人尹女士投诉对象及贷涉诉金额5000元问题类型诉求类型投诉详情及贷平台注册的时候还要收取会员费用才能完成贷款，从来没听说过还有这种平台。</t>
  </si>
  <si>
    <t>2019/10/04 18:57:57</t>
  </si>
  <si>
    <t>投诉人李东投诉对象现金巴士涉诉金额1250元问题类型诉求类型投诉详情现金巴士借1000砍头息112由于系统原因导致我逾期还必须多还200多的逾期费用现金巴士app下架微信公众号耶无法使用到账逾期现在要求减免逾期费用。</t>
  </si>
  <si>
    <t>2019/10/04 18:57:34</t>
  </si>
  <si>
    <t>宜兴地区滴滴平台不派单给快车司机全部派给优享司机导致我们没有活路。</t>
  </si>
  <si>
    <t>2019/10/04 18:56:52</t>
  </si>
  <si>
    <t>小牛电动刚开始电话联系的时候说好送尾箱，到后面拒不承认，而且态度极其恶劣。</t>
  </si>
  <si>
    <t>2019/10/04 18:56:42</t>
  </si>
  <si>
    <t>本人刚存钱进银行卡，弄得本人银行卡不能使用，被宝付支付为超过百分之36的高利贷平台秒扣，不退款的话本人将向媒体曝光，向银保监局举报，抗争到底！。</t>
  </si>
  <si>
    <t>2019/10/04 18:56:10</t>
  </si>
  <si>
    <t>借款5000，到账以后立刻以担保凭证的名义收取550费用，剩下的分三期还款每期还款1766.17！，这样的现象身边的朋友太多了，这个平台实在不可信。</t>
  </si>
  <si>
    <t>2019/10/04 18:55:10</t>
  </si>
  <si>
    <t>在京东自营买了苹果8P手机，收到之后发现后盖坏了，联系客服之后说不是他们的责任，是我的责任，说送我一个手机壳，我要求退货退款。</t>
  </si>
  <si>
    <t>2019/10/04 18:54:48</t>
  </si>
  <si>
    <t>9月7日，一孙姓老师打电话，说我以目前的学习进度今年是过不了考试的，如果想今年一次性过考试，需报他们的高端密训班，同样以挂靠证书年薪收入多少引诱升级，本人于当晚补交了17804元，该孙姓老师说让我目前只看名师应试特训课程即可，基础精讲课程就不要再看了，等10月份密训课开始后，背诵和记忆老师要求的内容即可通过考试了，三天后接到密训班老师的电话，给我安排课程的说法与孙姓老师基本一致，本人于9月11日在网上报名，有一项条件要求具有相应年限的消防工作经验，当时本人对该条件有点疑虑，但没有过多去想，在报名提交时，显示</t>
  </si>
  <si>
    <t>2019/10/04 18:54:39</t>
  </si>
  <si>
    <t>借2200实际到账1534元砍头息666元，现在要我还2500，我实际借多少就还多少。</t>
  </si>
  <si>
    <t>2019/10/04 18:54:00</t>
  </si>
  <si>
    <t>这个砍头息稳稳的，还说自己合法，然后叫我去法院起诉把衡水法院信息发给我，借款17000.实际到账14041.5..。</t>
  </si>
  <si>
    <t>2019/10/04 18:53:58</t>
  </si>
  <si>
    <t>投诉人于先生投诉对象多宝分期涉诉金额4000元问题类型诉求类型投诉详情在多宝分期上借了4000元，分四期每期1599.25一共还6397，40天利息2397。</t>
  </si>
  <si>
    <t>2019/10/04 18:53:35</t>
  </si>
  <si>
    <t>投诉人胡先生投诉对象信用管家涉诉金额299元问题类型诉求类型投诉详情信用管家私自扣款299。</t>
  </si>
  <si>
    <t>2019/10/04 18:53:32</t>
  </si>
  <si>
    <t>亲人在平台还完本金和利息后，平台还恶意电话骚扰。</t>
  </si>
  <si>
    <t>2019/10/04 18:51:43</t>
  </si>
  <si>
    <t>本来凑好钱打算去还款，一下加了300，钱又不够还了。</t>
  </si>
  <si>
    <t>2019/10/04 18:51:33</t>
  </si>
  <si>
    <t>借贷宝平台的出借人余旭杰，通过借贷宝放款，是砍头息，高利贷，例如借5000到手金额是3750，期限是7天！现在给我的亲戚朋友发我的照片，进行辱骂，及轰炸我的亲戚朋友，停止后进行协商，给我的朋友道歉！。</t>
  </si>
  <si>
    <t>2019/10/04 18:49:32</t>
  </si>
  <si>
    <t>投诉人张先生投诉对象交易猫涉诉金额500元问题类型诉求类型投诉详情买家买完账号后申请仲裁，说是账号被冻结了，由于我国庆出去玩，换绑手机并未带在身上，等第二天回来看到仲裁消息，点击找回密码时发现手机已经有我换绑前130开头变成了199开头，交易猫客服让我查询ip记录和换绑成功记录，但我没有账号密码，无法查询，这样申请仲裁成功我就钱和号都没了，希望客服名查尤其是换绑成功记录，我根本没做过什么。</t>
  </si>
  <si>
    <t>2019/10/04 18:49:27</t>
  </si>
  <si>
    <t>https://m.7down.com/game/357702.html第七下载站提供非法赌博app公开下载经本人证实，相关下载那些标题为777的全部为同一赌博app，。</t>
  </si>
  <si>
    <t>2019/10/04 18:49:26</t>
  </si>
  <si>
    <t>投诉人周先生投诉对象小浦优客涉诉金额296元问题类型诉求类型投诉详情小浦优客app申请借款，按步骤填写资料，然后最后要求绑定银行卡，绑定完成就开始审批没有额度我就卸载app了，结果第二天突然提示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</si>
  <si>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2019/10/04 18:48:35</t>
  </si>
  <si>
    <t>本人于9月6日通过立借平台在钱置宝借款3500元，期限32天，每8天一期，每期还款1278元，超过国家规定利息，正常还款2期，第三期的时候，还款失败，客服联系不到，造成被动逾期，现要求客服与我联系，协商还款消帐，不然我会投诉到底。</t>
  </si>
  <si>
    <t>2019/10/04 18:48:17</t>
  </si>
  <si>
    <t>因工作单位出现问题导致招联金融贷款逾期一期未还，跟客服多次沟通后客服态度越来越差，发威胁短信说要开始爆通讯录，逾期是我的错，可是暴力催收的你们就没错吗，我一直都按时还款，剩余金额也不多了，就一点机会也不给吗。</t>
  </si>
  <si>
    <t>2019/10/04 18:48:08</t>
  </si>
  <si>
    <t>9.22号在蘑菇街下单显示会在2：00—19：00取件，一直没有人上门取件，主动致电取件人两次以上无人接听，9.23号主动致电客服反馈，告知在上班让去公司取件提供公司地址言会尽快反馈网点取件，过了一会一个男的过来取件在电梯口把东西给对方还问他有没有袋子他说有的，直到9.30号对方一直没有收到问我，致电客服问怎么回事，言反馈网点会在下午五点前联系我，到10.2号也没人联系致电客服要工作人员失误提交错误网点导致一直没处理，，会尽快反馈，后续有网店人员回电话问我怎么回事告知了解客户诉求再回电言自己是新来的，过了一</t>
  </si>
  <si>
    <t>2019/10/04 18:47:54</t>
  </si>
  <si>
    <t>逾期2800元，加利息共3078元，协商未果，平台雇佣外包人员电话威胁，发送非法院律师函，上门催缴。</t>
  </si>
  <si>
    <t>2019/10/04 18:47:32</t>
  </si>
  <si>
    <t>投诉人刘女士投诉对象平安普惠涉诉金额1200元问题类型诉求类型投诉详情一直按时还款，没有逾期过，催收员一直暴力催收，还威胁要联系亲朋好友。</t>
  </si>
  <si>
    <t>2019/10/04 18:46:31</t>
  </si>
  <si>
    <t>投诉人熊女士投诉对象企鹅电竞涉诉金额200元问题类型诉求类型投诉详情中奖不发货，都说了一个礼拜发，然后就不见踪影了，联系客服没人理。</t>
  </si>
  <si>
    <t>2019/10/04 18:46:18</t>
  </si>
  <si>
    <t>本人没有找他们借过钱，被他们一个劲的骚扰，请急速借给出合理解释。</t>
  </si>
  <si>
    <t>2019/10/04 18:46:01</t>
  </si>
  <si>
    <t>江苏省无锡市宜兴市滴滴快车接不到单，都一起派个新老优享了，滴滴快车几个小时接不到单是很正常的，希望这种情况改进一下。</t>
  </si>
  <si>
    <t>2019/10/04 18:45:11</t>
  </si>
  <si>
    <t>投诉人 郭荣利        投诉对象  摆渡者        涉诉金额  358 元    问题类型    诉求类型投诉详情  在淘宝 摆渡者旗舰店买了个翻新机 说是十核运行 结果我只下载了个淘宝就卡住了 进不去 就是假货 我要求假一赔三！</t>
  </si>
  <si>
    <t>2019/10/04 18:44:40</t>
  </si>
  <si>
    <t>投诉人 刘女士        投诉对象  小浦优客        涉诉金额  296 元    问题类型    诉求类型投诉详情  没有经过我允许莫名其妙扣我钱 行为严重要求退款</t>
  </si>
  <si>
    <t>2019/10/04 18:44:06</t>
  </si>
  <si>
    <t>投诉人刘先生投诉对象浦发信用卡,浦发银行涉诉金额25000元问题类型诉求类型投诉详情与浦发银行协商，浦发之前同意协商结果，后来，过了几天，浦发又反复无常，说话不算数，因为我筹款要时间，所以肯定要一定时间才能筹到，浦发不能因为我要筹款，而不承认之前的协商结果吧，现在浦发一味的采取暴力软暴力精神暴力逼债，逼债手段非常卑鄙，没有经过允许爆通讯录，骚扰亲戚朋友家人，网贷及银行催收的暴力软暴力精神暴力行为，严重骚扰滋扰干扰正常生活，为什么屡禁不止，各地关于扫黑除恶横幅是十步之内必有，口号喊也很响，但是，为什么这些网贷</t>
  </si>
  <si>
    <t>2019/10/04 18:42:49</t>
  </si>
  <si>
    <t>本人从服务区骑哈啰单车出非服务区1公里不到，扣了20元，然后本人又把哈啰单车骑回服务区，给客服打电话，客服给出解释：因为本人是呼和浩特市人，该地区没有返还机制，就不给退！。</t>
  </si>
  <si>
    <t>2019/10/04 18:41:58</t>
  </si>
  <si>
    <t>投诉人 王先生        投诉对象  松紧贷        涉诉金额  2 000 元    问题类型    诉求类型投诉详情  催收人员短信骚扰，电话骚扰家里老人，恐吓</t>
  </si>
  <si>
    <t>2019/10/04 18:40:31</t>
  </si>
  <si>
    <t>你我贷借款25000，实际到账25476.10元，秒扣保险费476.10元，合同金额33000，与实际借款金额不符，并且分12期，每期需还3458.31元，总共需还41461.22元，利息高达16461.22元，年化率高达66%。</t>
  </si>
  <si>
    <t>2019/10/04 18:40:25</t>
  </si>
  <si>
    <t>本人在合顺宝平台的借款2000到账1300.在之前的电话压力下已经陆续，续期高达将近4000元，希望给我相应赔偿并立即销账处理。</t>
  </si>
  <si>
    <t>2019/10/04 18:39:48</t>
  </si>
  <si>
    <t>涉诉金额5000元问题类型诉求类型投诉详情因暴力催收轰炸通讯录，导致个人名誉扫地，欠款人神经衰弱导致自杀未遂，电话狂轰炸通讯录，谩骂！恐吓。</t>
  </si>
  <si>
    <t>2019/10/04 18:38:43</t>
  </si>
  <si>
    <t>投诉人 丁先生        投诉对象  快钱支付        涉诉金额  700 元    问题类型    诉求类型投诉详情  大半夜的突然间无缘无故被扣700元。第二天才发现，望追回</t>
  </si>
  <si>
    <t>2019/10/04 18:38:39</t>
  </si>
  <si>
    <t>投诉人葛女士投诉对象及贷涉诉金额7211元问题类型诉求类型投诉详情打电话骚扰由于我上班忙没接听电话直接爆我通讯录跟他们协商15号发工资全额还但是一直不同意坚持要我当天还款。</t>
  </si>
  <si>
    <t>2019/10/04 18:37:37</t>
  </si>
  <si>
    <t>投诉人尹女士投诉对象及贷涉诉金额6000元问题类型诉求类型投诉详情一个朋友在及贷平台借的款，填的我的手机号码联系人，然后后来一直没联系了，结果每天的骚扰电话都打到我这来，。</t>
  </si>
  <si>
    <t>2019/10/04 18:37:31</t>
  </si>
  <si>
    <t>投诉人孔女士投诉对象众安保险涉诉金额3000元问题类型诉求类型投诉详情未经任何通知方式擅自投保，本人并未投保，直接收到催款。</t>
  </si>
  <si>
    <t>2019/10/04 18:36:15</t>
  </si>
  <si>
    <t>我要提前结清全部欠款，客服不处理，或者就是敷衍了事，没有贷款的时候我就打电话讲要取消贷款，客服告诉我钱下来了在申请结清欠款，现在对我敷衍搪塞了事。</t>
  </si>
  <si>
    <t>2019/10/04 18:35:51</t>
  </si>
  <si>
    <t>投诉人 胡先生        投诉对象  信用管家        涉诉金额  0 元    问题类型    诉求类型投诉详情  看到邻居家有人上门收款。动静闹的有点大。差点打起来了。我能做的就是帮你举报他们的行为</t>
  </si>
  <si>
    <t>2019/10/04 18:33:07</t>
  </si>
  <si>
    <t>你我贷就是黑心贷，借5000块钱就要还6797.32元，中国的网络贷款存在很大问题啊！在不管还会害了更多人。</t>
  </si>
  <si>
    <t>2019/10/04 18:32:16</t>
  </si>
  <si>
    <t>投诉人吴平投诉对象维信金科涉诉金额3580元问题类型诉求类型投诉详情维信金科平台提前还款后一样收取高价利息费用。</t>
  </si>
  <si>
    <t>投诉人李先生投诉对象信用管家,91买呗,众邦银行涉诉金额2000元问题类型诉求类型投诉详情信用管家里的91买呗涉及砍头息，当时借款2000元实际到账只有1500元，共还3期，每10天一期，每期还款686.56元，共还款金额2059.68，武汉众邦银行为砍头息贷款公司提供放款，严重违反《合同法》第200条和《中华人民共和国刑法》第一百八十六条规定。</t>
  </si>
  <si>
    <t>投诉人苏先生投诉对象中信银行涉诉金额0元问题类型诉求类型投诉详情催收公司指名道姓的打电话给我，然后态度很嚣张的问我认识XX，态度极其恶劣，并且挂断以后还继续打过来，严重骚扰我，本人有抑郁症，目前因为这个事情严重心情不好，抑郁症状加深。</t>
  </si>
  <si>
    <t>投诉人尹女士投诉对象Wecash闪银涉诉金额8000元问题类型诉求类型投诉详情我一个朋友天天跟我在一起，在闪银借了8000块钱，还没逾期就开始天天打电话，真的烦，每天早上都被电话打醒。</t>
  </si>
  <si>
    <t>2019/10/04 18:31:17</t>
  </si>
  <si>
    <t>向微博钱包里借钱，2900，系统分三期一期还款1053.27，已经还还清两期，因这段时间确实没有资金还上了，逾期两天，就被高频次催打电话，电话中我也说明目前手头没有钱还，并非恶意不还，一定会还，在此声明，不管是平台还是催收公司再次这样无节制打电话，我不会接的，上征信，起诉我也好，我什么都不在乎了！。</t>
  </si>
  <si>
    <t>2019/10/04 18:29:57</t>
  </si>
  <si>
    <t>客服欺诈行为，谎称能给升级，并能再次提现，后因未谈妥便进行言语侮辱。</t>
  </si>
  <si>
    <t>2019/10/04 18:29:16</t>
  </si>
  <si>
    <t>在豆豆钱借款28400元，分12期还，已经还了5期每期还3005.67元，发现这个利率很高12期3005.67还12期需要还款36068，年利率高达46.6%已经超过了国家规定的24%，我现在要求按国家规定利率来还款，把我之前还过的5期超过的利率不给我余下的7期按24%利率来还。</t>
  </si>
  <si>
    <t>2019/10/04 18:28:56</t>
  </si>
  <si>
    <t>立借为高利贷万金海导流，合同金额4600，到账3220，每期要还1181.28，分4期还，每期7天，砍头息高达1380元，明显的套路贷，现在已经还了3期共计3543.84元，已归还本金及合法利息，现在最后一期实在无力归还，跟客服协商最后一期减免销账，客服不同意，并且态度强硬威胁转催收爆通讯录，这种无视国家法律的行为，希望国家相关职能部门坚决打击。</t>
  </si>
  <si>
    <t>2019/10/04 18:28:10</t>
  </si>
  <si>
    <t>本来热水器10.1号就坏了，让人维修，没人管，说今天维修，人都联系不上，意思是我以后也不用交房租了，等你们来催我。</t>
  </si>
  <si>
    <t>2019/10/04 18:27:14</t>
  </si>
  <si>
    <t>投诉人 福先生        投诉对象  你我贷        涉诉金额  3 500 元    问题类型    诉求类型投诉详情  冒充执法人员发先发起诉书给我。要我还款还了就不起诉我。我没有。过几天又给我发法院传票给我。</t>
  </si>
  <si>
    <t>2019/10/04 18:26:58</t>
  </si>
  <si>
    <t>几年老用户一点额度都没有，没有一开全都有了??，求额度，一定按时还款，。</t>
  </si>
  <si>
    <t>2019/10/04 18:26:49</t>
  </si>
  <si>
    <t>投诉人 王先生        投诉对象  玖富万卡        涉诉金额  30 762 元    问题类型    诉求类型投诉详情  总共我就借了11000 需要我还3万多</t>
  </si>
  <si>
    <t>2019/10/04 18:26:43</t>
  </si>
  <si>
    <t>汽车之家勾结高利贷及贷误导用户直接放款！，一个朋友跟我说的，从来没听说过还有这种借款平台8500块12期等额本息3000左右的利息，都百分之50左右了，哪里合法了，你们的计算方式是哄小孩呢，没规则没详情，放款之后才能看到三个合同！委托担保合同，借款页面哪有写着有委托担保了，谁需要担保了。</t>
  </si>
  <si>
    <t>2019/10/04 18:26:11</t>
  </si>
  <si>
    <t>9.30号晚上12点借了充电宝一两点的时候还进去，我就走了，一直到三天后才显示成功，我怀疑是街电特意搞钱。</t>
  </si>
  <si>
    <t>2019/10/04 18:26:07</t>
  </si>
  <si>
    <t>钱包易贷非法砍头息，借款7000到手5000左右，每个月还957，不经过借款人同意多次拨打借款人以外的联系人电话，。</t>
  </si>
  <si>
    <t>2019/10/04 18:24:49</t>
  </si>
  <si>
    <t>借了3000砍头息扣了500还有两期没还……协商还款。</t>
  </si>
  <si>
    <t>2019/10/04 18:24:30</t>
  </si>
  <si>
    <t>投诉人黄先生投诉对象你我贷涉诉金额383元问题类型诉求类型投诉详情发图片，发录音给亲戚朋友，行为恶劣至极。</t>
  </si>
  <si>
    <t>2019/10/04 18:24:23</t>
  </si>
  <si>
    <t>借款3000，到账3000，显示本金3990元，990元为服务费，每期要还1580，摆明的砍头息！。</t>
  </si>
  <si>
    <t>2019/10/04 18:22:42</t>
  </si>
  <si>
    <t>豹子贷恶意扣款了200元，投诉请求退款，谢谢聚投诉。</t>
  </si>
  <si>
    <t>2019/10/04 18:21:55</t>
  </si>
  <si>
    <t>投诉人 董先生        投诉对象  小虎贷        涉诉金额  5 000 元    问题类型    诉求类型投诉详情  本人与八月向小虎贷（小虎翻译）app借款1500元人民币 到手1050 期限一个礼拜 但是会锁苹果id 当时因手头紧所以选择续期 90 一天 而后至今我以处理5000余元 但是催收还是不依不挠 我没有处理就一直提醒手机 导致手机无法正常使用 平台已赚取我4000余元 希望他们适可而止 把我自己的id账号还给我 从八月六日起 到今天十月4</t>
  </si>
  <si>
    <t>2019/10/04 18:21:12</t>
  </si>
  <si>
    <t>投诉人 熊先生        投诉对象  信用管家        涉诉金额  1 600 元    问题类型    诉求类型投诉详情  钱都还完了。还要加收400多的服务费。协商几次了都要我本人出。</t>
  </si>
  <si>
    <t>2019/10/04 18:21:05</t>
  </si>
  <si>
    <t>我弟弟在闪银闪贷至尊贷接了5000块钱，结果接到客服电话要求提供验证码然后钱给划走了，，这种问题有点严重，而且客服不处理，难道这个损失就这么不管了。</t>
  </si>
  <si>
    <t>2019/10/04 18:20:54</t>
  </si>
  <si>
    <t>维信平台套路收取服务费，让朋友无故多出利息费。</t>
  </si>
  <si>
    <t>2019/10/04 18:20:51</t>
  </si>
  <si>
    <t>投诉人徐军投诉对象滴滴出行涉诉金额0元问题类型诉求类型投诉详情滴滴公司派单不合理，单子都给了优享车，对于我们快车很不公平。</t>
  </si>
  <si>
    <t>2019/10/04 18:20:02</t>
  </si>
  <si>
    <t>投诉人吴先生投诉对象滴滴出行涉诉金额0元问题类型诉求类型投诉详情滴滴出行早上我有一张昨晚抢到的预约订单，然后我儿子不舒服就让乘客重新叫车就这样判责说我诱导乘客取消订单，一直申诉不给通过！！而且当时已经跟乘客沟通解释说了我儿子不舒服去不了接他，乘客也答应了重新叫车。</t>
  </si>
  <si>
    <t>2019/10/04 18:19:44</t>
  </si>
  <si>
    <t>钱站借款25000，实际到账25476.10元，秒扣保险费476.10元，合同金额33000，与实际借款金额不符，并且分12期，每期需还3458.31元，总共需还41461.22元，利息高达16461.22元，年化率高达66%。</t>
  </si>
  <si>
    <t>2019/10/04 18:18:04</t>
  </si>
  <si>
    <t>也联系不上任何人我要通过什么途径才能拿回我被骗的资金。</t>
  </si>
  <si>
    <t>2019/10/04 18:17:57</t>
  </si>
  <si>
    <t>首先我自己不是还不起200，是我记得我已经还完了，当时绑定的是以前用的支付宝的号码，那个号码是很久以前用的，银行卡也是因为钱包丢了然后就找不到了，好几年的银行卡忘记注销了，因为记得已经还完了，所以就把软件直接删除了，招联金融随后一直骚扰家人，发律师函，并且严重影响到个人生活问题，在此，我将提出正式通告，法院见。</t>
  </si>
  <si>
    <t>2019/10/04 18:17:45</t>
  </si>
  <si>
    <t>我从南京禄口机场出发，准备过安检时，一名穿着与机场地勤相似的销售人员向我推销他们公司的贵宾卡，预存1980，卡里有40次国内机票的基建费，可以无限次享受全国二十几个主要省会城市机场贵宾厅与地面头等舱服务，卡是无限期的，本人常年在国外，偶尔出差回国，考虑无限期的服务，故付费签约，比如平时好多我经常出入的机场都没有相关服务，而且买机票只能从云端平台购买才能减免基建费用，其平台价格也没有低于其他网络平台价格，通过微信联系当时申请的服务人员，根本不给予回复，用户体验极差，而且根本不是无限期使用，经后来了解，有限期是</t>
  </si>
  <si>
    <t>2019/10/04 18:17:27</t>
  </si>
  <si>
    <t>我于2018年11月27日在万惠及贷平台借款19000元但于我借下之后跟实际不符的借款利息第一期还款就在12月27日还款本金2571.34利息高达988元剩余每期还款2115.34元每月利息532元总共需还25840.08元利息总额高达近7000元，已超出国家法定利息存在暴力催收我希望贵平台尽快做出处理本金我还。</t>
  </si>
  <si>
    <t>2019/10/04 18:16:15</t>
  </si>
  <si>
    <t>没借到钱还要挟我还贷款，让我充费员2500多，到最后说我银行卡号写错提限不了，还要挟还钱。</t>
  </si>
  <si>
    <t>2019/10/04 18:15:51</t>
  </si>
  <si>
    <t>暴力催收，威胁，高利贷，爆通讯录，能不能有人管理下这个软件，完全性的是高利贷，这个钱站的工作人员说的，你去报警，上法院都不怕，他们能存在，能请雷佳音，就是他们都能力，上下全部打点好了的。</t>
  </si>
  <si>
    <t>2019/10/04 18:14:26</t>
  </si>
  <si>
    <t>借款3000元分6期，前两期每期要还1400元，后4期每期还190元，逾期一天收三十管理费。</t>
  </si>
  <si>
    <t>2019/10/04 18:14:13</t>
  </si>
  <si>
    <t>还款日当天，在没有逾期的情况下电话短信骚扰不断，借款金额8000，十八期，需要还一万四千多。</t>
  </si>
  <si>
    <t>2019/10/04 18:13:57</t>
  </si>
  <si>
    <t>本人有一笔总额6000元的借款，分12期还，最近因为忘记还款造成逾期2天，逾期费用高达200元请客服看到立即联系我并退还逾期费用，如果无视我的投诉或不退欢高额逾期费，本人将不偿还剩余几期借款，并继续进行多方投诉！。</t>
  </si>
  <si>
    <t>2019/10/04 18:13:41</t>
  </si>
  <si>
    <t>在飞猪上预定了酒店，刚付款发现自己点错了，立刻退回飞猪退款，飞猪一分钟内出现的网页，我一分钟内退款的，飞猪客服和商家已付款上已写为名，拒绝退还费用！，但是本人退款时显示商家未确认，并且发现错误一分钟内点击退款，商家不能退款并未及时拒绝，使本人误以为已退成功，预定了其他平台的房间，这种行为违反了消费者权益法，消费者不能被强制性进行消费。</t>
  </si>
  <si>
    <t>2019/10/04 18:13:39</t>
  </si>
  <si>
    <t>借款1300，实际到账1040,一个月要还1339,利息高达300元，要求降低利息。</t>
  </si>
  <si>
    <t>2019/10/04 18:13:13</t>
  </si>
  <si>
    <t>2019年9月5日在现金借款上面借款8000元，按国家24%利率分12期还每期还826.6元，但是第一期就需要我还款1855元，余下11期每期还819元，而且分期还不是等额等息，因为5号就要还款，我需要现金借款平台给出一个合理的解决方案。</t>
  </si>
  <si>
    <t>2019/10/04 18:12:38</t>
  </si>
  <si>
    <t>都没有碰，直接扣费，还扣了这么多人的钱，请求补偿。</t>
  </si>
  <si>
    <t>2019/10/04 18:11:42</t>
  </si>
  <si>
    <t>点进去后有两个选项，一个是小银券，一个是299元选项，选择小银券后，直接绑定银行卡，扣了我50块钱，第二天，我已经卸载了该app，又自动扣除我249元。</t>
  </si>
  <si>
    <t>2019/10/04 18:11:24</t>
  </si>
  <si>
    <t>投诉人何少华投诉对象分期通涉诉金额249元问题类型诉求类型投诉详情分期通恶意收取会员费用，9月29日收取会员费用，骗取客户可以直接贷款，却引诱客户到其他APP贷款平台贷款，并承诺在分期通APP平台内申请5个贷款平台未能通过可以退还，分期通退款到平台上提示本人提现，本人按照操作提示进行提现，该平台扣取3元服务费，应退款246元，但最终未能退还，致电人工客服未能联系，查询银行，银行方表示未查询退款，该费用到底何去何从。</t>
  </si>
  <si>
    <t>2019/10/04 18:11:22</t>
  </si>
  <si>
    <t>我2019年10月3号在小浦优客app申请借款，按步骤填写资料，然后最后要求绑定银行卡，绑定完成就开始审批，后来要扣除296元个人信用报告费用，可是之前申请步骤并没有说明有这个费用，正规贷款也不应该有前期费用，涉嫌违规欺诈，为何到了10月4号下午5点多扣了我银行卡里296元钱，要求全额退还296元，因为不知道会有这种情况发生，申请过程没有截图，而且他也只是中介，扣取费用之后推荐几个app。</t>
  </si>
  <si>
    <t>2019/10/04 18:10:52</t>
  </si>
  <si>
    <t>平安普惠高利息，最后一期没有还，协商还款，前期有工作人员说会有相关人员和我协商，后然直接交给催收人员，威胁我，。</t>
  </si>
  <si>
    <t>2019/10/04 18:10:51</t>
  </si>
  <si>
    <t>神马借，借3000元还4000元，一周还1000，不但是高利贷，而且不能主动还款，客服打不通，逾期费半个月将近1000元，我要求协商还款！。</t>
  </si>
  <si>
    <t>2019/10/04 18:09:37</t>
  </si>
  <si>
    <t>首次借贷有砍头息，利率高达36%，逾期后利息高于36%，一天多次电话骚扰本人及家庭成员，并扬言天天打电话骚扰。</t>
  </si>
  <si>
    <t>2019/10/04 18:09:34</t>
  </si>
  <si>
    <t>本人从2019年6月24起使用该套路贷，期间未断过，无法全款，被威胁辱骂家人，群发短信通讯录的方式，展期，最后8.6日，2000，到手1400，都有记录，每到还款日，都会逼迫各种手段威胁你去还款，钱不够就让你花600展期，6天。</t>
  </si>
  <si>
    <t>2019/10/04 18:08:52</t>
  </si>
  <si>
    <t>投诉人 黄先生        投诉对象  你我贷        涉诉金额  3 500 元    问题类型    诉求类型投诉详情  我人不在家在外地打工。每天打电话给我。没有接到电话。就联系我家人代还。</t>
  </si>
  <si>
    <t>2019/10/04 18:08:41</t>
  </si>
  <si>
    <t>分期乐公司费率太高，希望减免综合费用，我去银行贷款然后一次性还款，往贵公司给予减免。</t>
  </si>
  <si>
    <t>2019/10/04 18:08:03</t>
  </si>
  <si>
    <t>身边有几个做了及贷平台的天天电话骚扰打到我这来，真的烦躁，。</t>
  </si>
  <si>
    <t>2019/10/04 18:06:36</t>
  </si>
  <si>
    <t>万惠投资管理有限公司名下及贷智享贷，借款1900，到帐1520，30天需还款1957，强制捆绑扣除所谓的会员费，砍头息，变相高利贷，阴阳合同。</t>
  </si>
  <si>
    <t>2019/10/04 18:06:29</t>
  </si>
  <si>
    <t>投诉人 陈女士        投诉对象  多宝分期,手机借钱        涉诉金额  3 700 元    问题类型    诉求类型投诉详情  在手机借钱里的多宝分期借了3700 三期利息1100多 严重的高利贷 这也不说了 但是现在ApP不能还款 在今天还款日 打电话叫我私下还款 因为自己之前私下还款呗被骗过 所以这一次怎么都不会私下还款 希望尽快解决</t>
  </si>
  <si>
    <t>2019/10/04 18:06:21</t>
  </si>
  <si>
    <t>投诉人 余意        投诉对象  福贷,随手记        涉诉金额  6 500 元    问题类型    诉求类型投诉详情  贷款的时候一点就下款直接收取砍头息 不想要了也不能退 后面爆我通讯录骚扰我朋友</t>
  </si>
  <si>
    <t>2019/10/04 18:05:59</t>
  </si>
  <si>
    <t>我拍拍贷逾期了、然后我还了一部分、剩下的还没有还、我都在尽量和他们沟通、我不是不还而是我一时周转不过来、有难处、所以才导致这样、但催收人员态度恶劣、还有暴力恐吓威胁，我真的接受不了。</t>
  </si>
  <si>
    <t>2019/10/04 18:04:24</t>
  </si>
  <si>
    <t>23号晚上八点左右我所购买的手机到货，由于我没在家我麻烦快递小哥帮我放到丰巢柜，第二天我拆开看了一下因为需要上班，我在第四天正式用上手机，10月1号晚上我给家人发信息，手机突然就卡顿了，我多次退出再进入程序不能使用，然后我就关机，再开机就死机了，怎么都开不了机，包括强制重启，10月2号上午9点3分京东售后上班，客服告诉我先去指定维修地点做软件升级，如果不行再联系他们，我10点半左右去客服指定的维修地点要求工作人员出具一下检测报告，得到的答复是苹果授权的维修点是不给京东出检测报告的，随后说给我刷了机，手机内所</t>
  </si>
  <si>
    <t>2019/10/04 18:04:01</t>
  </si>
  <si>
    <t>投诉人汤先生投诉对象滴滴出行科技有限公司涉诉金额0元问题类型诉求类型投诉详情对合规快车司机的不公平，为什么优享可以倾斜派单，快车就是接不到单，大家都是一样的车，一样的保险，优享出车10小时流水5_6百，快车14/15个小时流水都400不到，既然这么不公平，为什么还要我们办一样的手续。</t>
  </si>
  <si>
    <t>2019/10/04 18:03:42</t>
  </si>
  <si>
    <t>投诉人 汤女士        投诉对象  滴滴出行        涉诉金额  0 元    问题类型    诉求类型投诉详情  宜兴快车都接不到单子，单子都给优享车了。奖励多有什么用都不派单</t>
  </si>
  <si>
    <t>2019/10/04 18:03:18</t>
  </si>
  <si>
    <t>2019年6月借了一款名叫小虎贷的714高炮，借款必须绑定苹果id，借款2000元，实际到手1350元，七天后还款利息650元，每天续期费120元，从6月初到10月4日每天120续期费1，如果不给他就直接电脑轰炸手机，丢失的iphine，催收十分野蛮壕无人性，目无法纪亲口说我就是高利贷，你能怎么样，黑恶势力，希望严惩。</t>
  </si>
  <si>
    <t>2019/10/04 18:02:18</t>
  </si>
  <si>
    <t>因本人遇到困难，暂时无力还款，平安银行两次用一个私人手机号码给我以及我的母亲发短信威胁还款，如不处理需要赔付双倍违约金，还要转到户籍地全部结清，我母亲有病看到此短信已经被吓到，我并不是不还款，所以希望平安银行信用卡中心与我联系协商还款问题，请不要骚扰我的家人。</t>
  </si>
  <si>
    <t>2019/10/04 18:01:58</t>
  </si>
  <si>
    <t>投诉人曾先生投诉对象特约中智消费涉诉金额100元问题类型诉求类型投诉详情无缘无故扣银行卡里的钱，也没有信息说明什么款项。</t>
  </si>
  <si>
    <t>2019/10/04 18:01:56</t>
  </si>
  <si>
    <t>身边几个朋友都被闪银平台害的崩溃，暴力催收侮辱谩骂家人盗用本人图片进行人身攻击，性质恶劣。</t>
  </si>
  <si>
    <t>投诉人杨先生投诉对象民航通涉诉金额1980元问题类型诉求类型投诉详情当初办理时承诺的订机票无手续费，并送航空险等，都不能实现。</t>
  </si>
  <si>
    <t>2019/10/04 18:01:25</t>
  </si>
  <si>
    <t>投诉人 黄先生        投诉对象  信用管家        涉诉金额  3 600 元    问题类型    诉求类型      投诉详情  手机和手机号码换了。现在登陆不上。也还不来款。联系客服也没有办法解决。现在逾期了该怎么办</t>
  </si>
  <si>
    <t>点点通打通讯录威胁家人！！拒绝协商！！湖北武汉的电话！！群发消息！！已报警处理。</t>
  </si>
  <si>
    <t>2019/10/04 18:01:05</t>
  </si>
  <si>
    <t>2019/10/04 18:00:59</t>
  </si>
  <si>
    <t>我与2018年6月30在易鑫集团下设合作单位进行了不押车贷款，当时的工作人员设置了各种套路让我一步步的签写了各种合同，款到手后立刻就扣除了一千的所谓GPS使用费，当时客服就告诉我剩余该还21305.46元，询问了我的车抵押资料如何解押和车上安装的GPS如何拆除。</t>
  </si>
  <si>
    <t>2019/10/04 18:00:16</t>
  </si>
  <si>
    <t>投诉人钟先生投诉对象优智借涉诉金额299元问题类型诉求类型投诉详情注册绑卡就扣我299，还是分3次扣，我以为是借款平台，谁知道是推别的平台给我借，打电话客服退款也不理会。</t>
  </si>
  <si>
    <t>2019/10/04 17:59:50</t>
  </si>
  <si>
    <t>老推送赌博平台，看一两个视频，它就给推送个赌博平台，无耻至极。</t>
  </si>
  <si>
    <t>2019/10/04 17:59:34</t>
  </si>
  <si>
    <t>投诉人 黄先生        投诉对象  微信支付        涉诉金额  500 元    问题类型    诉求类型投诉详情  霸王条款、客服不处理/处理不当、账号问题</t>
  </si>
  <si>
    <t>2019/10/04 17:59:23</t>
  </si>
  <si>
    <t>拼多多以我店发布违禁毒品为由无缘无故关我店铺，并不说明哪个产品是毒品，请聚投诉帮助恢复店铺，如果真的是毒品那为啥不报警。</t>
  </si>
  <si>
    <t>2019/10/04 17:58:01</t>
  </si>
  <si>
    <t>小黑鱼软件里面的点心贷是高利贷借款1500元到账1100多。</t>
  </si>
  <si>
    <t>2019/10/04 17:57:58</t>
  </si>
  <si>
    <t>本人于6月11在新橙优品借款3000元人民币，到账金额是3000但马上又被前海新流大数据给扣走300，本人已还款2期，现要求协商还款。</t>
  </si>
  <si>
    <t>2019/10/04 17:57:45</t>
  </si>
  <si>
    <t>因资金困难导致招联金融逾期！招联金融暴力催收威胁！。</t>
  </si>
  <si>
    <t>2019/10/04 17:57:31</t>
  </si>
  <si>
    <t>在小花呗平台借3000元，实际到账2250元，已还款2310元，要求小花呗平台销账。</t>
  </si>
  <si>
    <t>2019/10/04 17:57:25</t>
  </si>
  <si>
    <t>投诉人蔡晓生投诉对象读秒钱包,读秒贷款涉诉金额4000元问题类型诉求类型投诉详情利率过高，超过国家支持利率24%以内。</t>
  </si>
  <si>
    <t>2019/10/04 17:57:05</t>
  </si>
  <si>
    <t>在本人未知情情况下购买保险，另外作为投保人的我竟然被告知不能退保。</t>
  </si>
  <si>
    <t>2019/10/04 17:56:30</t>
  </si>
  <si>
    <t>优酷电脑端客户端弹幕问题异常，看电视剧弹幕总是断断续续，几分钟弹幕正常，过几分钟弹幕就会离奇全部消失，期间是没有进行任何操作，经过测试只有测电脑端的有问题，手机上和网页版的看都全部正常，而且只有电视剧的弹幕异常，综艺也好电影也好全部正常，反馈给客服后一直不给解决，找他们处理就一直敷衍说提交反馈，然后说专员会给回复，但是5天时间过去了，专员的影子都没有见到，承诺时间，每年花好几百续费会员，就是这样的体验和服务，产品本身问题，还不积极解决，造成消费者体验变差，服务变差！！！！！！！请求让消费者消费的有意义！！！</t>
  </si>
  <si>
    <t>2019/10/04 17:56:25</t>
  </si>
  <si>
    <t>寄过去苏宁，那边售后说手机进水坏了，不值得维修，明明正常使用，屏幕都是好好的他说进水就坏了，现在第4个工作日，手机还没有信息，苏宁客服说只能交费维修。</t>
  </si>
  <si>
    <t>2019/10/04 17:56:10</t>
  </si>
  <si>
    <t>投诉人 肖先生        投诉对象  平安普惠        涉诉金额  1 332 元    问题类型    诉求类型投诉详情  还款日当天恶意骚扰 国庆期间店里比较忙 到处乱打电话 还打到我们公司 说话态度极其差 骚扰了我们老板</t>
  </si>
  <si>
    <t>2019/10/04 17:56:06</t>
  </si>
  <si>
    <t>投诉人 刘先生        投诉对象  钱站        涉诉金额  13 000 元    问题类型    诉求类型投诉详情  钱借借7千服务费和利息就要6千多 就差900和本金一样 714都没这么高吧</t>
  </si>
  <si>
    <t>2019/10/04 17:55:27</t>
  </si>
  <si>
    <t>投诉人 李女士        投诉对象  马上消费金融,马上        涉诉金额  270 元    问题类型    诉求类型投诉详情  安逸花马上金融消费平台 暴力催收 恐吓 骚扰联系人 严重影响了我的生活 已经多次和他们协商还款 为取得任何进展</t>
  </si>
  <si>
    <t>2019/10/04 17:55:25</t>
  </si>
  <si>
    <t>本人在小花钱包借款逾期第二天就开始群发信息，恐吓，侮辱，骚扰我的联系人，我也和他们协商过但是他们不以理会，小花钱包非常的嚣张，现在国家正在严打这类平台，他们在还是国庆期间就这么嚣张他们依仗的是什么，希望有过部门和领导给予处理，如果小花钱包在给我的联系人发信息打电话我就报警和投诉你们，直到有人管为止。</t>
  </si>
  <si>
    <t>2019/10/04 17:54:26</t>
  </si>
  <si>
    <t>前几天催收打电话过来说协商还款，借了2500实际到账2000，与催收人员协商一致还款了2200元。</t>
  </si>
  <si>
    <t>2019/10/04 17:53:04</t>
  </si>
  <si>
    <t>在小浦优客申请借款钱也没有借下来，按着他的提示一步步操作最后要生成报告，就让人等可等了几天等来的是扣款的短信。</t>
  </si>
  <si>
    <t>2019/10/04 17:51:38</t>
  </si>
  <si>
    <t>投诉人 季先生        投诉对象  左右钱包        涉诉金额  2 800 元    问题类型    诉求类型投诉详情  6天砍头息 借款2800 砍头息980 而且不小心点到 直接下款了 当天联系客服说明情况要求还本金销账 但是客服处理态度极差 要求本金销账</t>
  </si>
  <si>
    <t>2019/10/04 17:51:20</t>
  </si>
  <si>
    <t>当面交易，转转恶意冻结资金，申请解冻资料已提交，不处理。</t>
  </si>
  <si>
    <t>2019/10/04 17:50:47</t>
  </si>
  <si>
    <t>本人有还款意愿但是支付宝蚂蚁花呗借呗暴力催收，我警告你们要是你们催收导致我情绪不稳定影响我病情的治疗。</t>
  </si>
  <si>
    <t>2019/10/04 17:50:30</t>
  </si>
  <si>
    <t>投诉人 邓先生        投诉对象  你我贷        涉诉金额  2 600 元    问题类型    诉求类型投诉详情  泄密我的个人资料给别人来找我麻烦。威胁我的家人。骚扰我的朋友</t>
  </si>
  <si>
    <t>2019/10/04 17:50:21</t>
  </si>
  <si>
    <t>来分期平台，于每月账单日前两天各种骚扰电话轰炸。</t>
  </si>
  <si>
    <t>2019/10/04 17:49:30</t>
  </si>
  <si>
    <t>朋友在及贷平台借的钱正常还款了三期就被冻结了，要求全额还款，又不是借款人的问题，这样搞不是强制行为。</t>
  </si>
  <si>
    <t>2019/10/04 17:49:19</t>
  </si>
  <si>
    <t>投诉人高先生投诉对象乐客独角兽涉诉金额9800元问题类型诉求类型投诉详情杭州乐课网络科技有限公司抖音蓝V项目，存在浮夸宣传，诱使下家代理商付9800元代理费，网上可查，"乐客独角兽骗局＂等关键词，请还我们一个创业者公道！乐客公司推广的这个抖音篮v项目本身没问题，只是那偷换概念收取代理费，销售人员对我们进行洗脑，说这个项目很容易做，轻轻松松就很容易成交，赚大钱，画大饼，描绘美好蓝图，然后在平台上面做了很多虚假的演讲，营造出极其容易成单的假象，别的服务商上经验老道的销售人员做了很久也不能达成他们的目标，成单也就</t>
  </si>
  <si>
    <t>2019/10/04 17:49:03</t>
  </si>
  <si>
    <t>刚逾期就爆打通讯录，如果我亲朋好友接到什么短信的话，我这边一分都不会还。</t>
  </si>
  <si>
    <t>2019/10/04 17:48:55</t>
  </si>
  <si>
    <t>投诉人史女士投诉对象小浦优客涉诉金额296元问题类型诉求类型投诉详情下午偶然点了小浦优客链接，下载注册以后，发现是中介平台，就卸载了，结果晚上短信通知我扣了我296元钱，我没享受到任何服务，也没在平台借款。</t>
  </si>
  <si>
    <t>2019/10/04 17:48:40</t>
  </si>
  <si>
    <t>2.9月19日借款2500元砍头747元，实际到账1750元3.期限为7天一期分二期，第一期就需还款本金，资金通过上海富友支付发放，该公司为北京永永金典科技有限公司，客服电话是40069058854.现要求第二期支付合理利息结单。</t>
  </si>
  <si>
    <t>2019/10/04 17:48:11</t>
  </si>
  <si>
    <t>投诉人吴鸷投诉对象维信宝涉诉金额298元问题类型诉求类型投诉详情维信宝代还APP说开会员可以享受空卡代还信用卡的功能，交钱后，计划一直待审核，通过不了，属于空手套白狼，享受不了服务，要求退还会员费。</t>
  </si>
  <si>
    <t>2019/10/04 17:47:50</t>
  </si>
  <si>
    <t>九月二十号在趣花分期上面注册了好易贷借款3000到账2100，支付通道为杭州市民卡有限公司26日需还3018元26日因资金不到位花900续期了一次十月二号到期十月一日全国人民都在看国庆大阅兵的时候广东惠州电话号码为189******14就来催收从一号到四号，这个催收不停来骚扰也和她说好五号左右解决但是中间依然不停的骚扰我今天喊我加微信，天天这样骚扰威胁气不过说九号才解决然后这个催收没有经过我的同意打电话给我通讯录里的人不知道和我们公司老板说了什么，现在年终奖各项都没有了现要求好易贷做出赔偿今天分别打了本地1</t>
  </si>
  <si>
    <t>2019/10/04 17:47:43</t>
  </si>
  <si>
    <t>投诉人骆先生投诉对象酷宝支付涉诉金额300元问题类型诉求类型投诉详情本人浏览网页时被引诱到购彩网站，充值时看到有银联支付，误以为是正规平台，通过人民银行和支付清算协会沟通得知第三方支付业务应审核客户相关信息，不得向非法博彩等机构提供支付结算业务，作为有牌照的支付公司没有按国家相关法律法规要求执行，却为非法博彩机构提供支付结算业务，强烈要求第三方支付机构酷宝支付退回被扣款项。</t>
  </si>
  <si>
    <t>2019/10/04 17:47:17</t>
  </si>
  <si>
    <t>投诉人 邓先生        投诉对象  信用管家        涉诉金额  4 700 元    问题类型    诉求类型投诉详情  刚刚帮我妹妹还了几千块钱。有恐吓。有威胁。说不还后果很严重。</t>
  </si>
  <si>
    <t>2019/10/04 17:47:08</t>
  </si>
  <si>
    <t>逾期一天本来准备还款的，结果给我各种爆通讯录，现在不准备还了，先处理好爆通讯录的问题，谁给你的权利。</t>
  </si>
  <si>
    <t>2019/10/04 17:46:50</t>
  </si>
  <si>
    <t>我于9月16日支付5000元通过该公司购买了一个游戏账号，9月21发现账号被申述找回，然后立即联系客服要求提供卖家在平台提供的个人注册信息，我将以司法途径追究卖家责任，我已根据该公司要求签署了一份“要求披露卖家注册信息承诺函”并拍照发到该公司指定的邮箱，但公司一直未有任何回复，询问客服也总是告诉我1-5天会有回复，可是已经过了五天无任何回复，该公司在面对顾客已经遭受财产损失时处理事情总是拖拖拉拉，21号我都开始跟客服平台交涉，进步确如此之慢，我已经按要求签订了承诺函，要求平台立即把卖家在平台注册时的个人信息</t>
  </si>
  <si>
    <t>2019/10/04 17:46:27</t>
  </si>
  <si>
    <t>2019/10/04 17:45:59</t>
  </si>
  <si>
    <t>招联金融暴力崔收，恐吓不给商量晚几天还款，每日多次轰炸通讯录，群发信息。</t>
  </si>
  <si>
    <t>2019/10/04 17:45:51</t>
  </si>
  <si>
    <t>在完美校园充值的100元未到账，已经过去了4问客服，客服也只是敷衍的叫留下地址，姓名和联系方式之类的，压根没有实际行动来解决，当然我也不要求别的什么，只是希望把钱退回来，或者打到饭卡上，虽然一百元不是很多，但对于我们大学生来说确实一周的生活费，希望能解决，谢谢。</t>
  </si>
  <si>
    <t>2019/10/04 17:45:46</t>
  </si>
  <si>
    <t>车辆在保修期内，19年8月份车辆右前窗，副驾驶升降器坏了，玻璃降下以后，无法升起，第二天，去4s店维修，工作人员说没有配件，需要在联系厂家发货，直到今日，还没进来货，推诿扯皮，第二个问题，车辆前挡风玻璃胶条严重老化，出现裂痕，用手粘下都粉了，第三问题，车辆离合变速箱问题，车辆半联动极换挡时，顿挫感很强烈，厂里解决问题太慢，不把客户当回事，车辆质量是真差，厂里尽快解决问题。</t>
  </si>
  <si>
    <t>2019/10/04 17:45:07</t>
  </si>
  <si>
    <t>本人逾期几天，暂时没钱还，小象优品打电话过来我也表示了还款意愿只是暂时资金周转不开，不是不还，但是小象优品工作人员不听解释，骚扰我通讯录好友，盗取我通讯录好友名单，你打电话催收可以，但是你催收的对象不是我留在小象优品平台的联系人电话，而且催收骚扰我通讯录好友并且恐吓我亲戚好友，借贷关系属于我和小象优品平台两者之间的事，就算你要催收也不应该骚扰我其他通讯录亲戚朋友。</t>
  </si>
  <si>
    <t>2019/10/04 17:44:15</t>
  </si>
  <si>
    <t>莫名其妙刷了我370，我都不知道小通商城是什么。</t>
  </si>
  <si>
    <t>2019/10/04 17:43:08</t>
  </si>
  <si>
    <t>投诉人 张荣香        投诉对象  浦发银行        涉诉金额  3 000 元    问题类型    诉求类型投诉详情  打公司电话骚扰，辱骂家人，骚扰家人的公司</t>
  </si>
  <si>
    <t>2019/10/04 17:42:26</t>
  </si>
  <si>
    <t>在云享贷借款3000到账2250.要求归还本金销账。</t>
  </si>
  <si>
    <t>2019/10/04 17:41:10</t>
  </si>
  <si>
    <t>最近一段时间都接不到单，一天有时候二三个小时没有单，人家优享司机接不完的单，快车司机接不到单。</t>
  </si>
  <si>
    <t>2019/10/04 17:40:49</t>
  </si>
  <si>
    <t>朋友在立借平台借钱到期后不让还款，故意让客户逾期收取逾期费用。</t>
  </si>
  <si>
    <t>2019/10/04 17:40:19</t>
  </si>
  <si>
    <t>朋友在这平台借的1000元，1个月，要还169元担保费+1030元共计1199元，利率高达240%，典型的高炮，要求按照国家规定利率还款，下架超品并道歉，跟我说了好多次，。</t>
  </si>
  <si>
    <t>2019/10/04 17:39:54</t>
  </si>
  <si>
    <t>对方将我44万多金币恶意损毁，并且恶意挂机。</t>
  </si>
  <si>
    <t>2019/10/04 17:39:41</t>
  </si>
  <si>
    <t>2019年9月24日在淘宝上购买一款腾达免驱动USB无线网卡，安装驱动连接无线wifi上网后可以正常上网使用，但在进入网站时发现它会在每个第一次访问的网站页面内的内加入一段统计代码如下在安装驱动的时候也未有任何说明会收集客户访问信息，至于是否已造成信息泄露还不知道，这段代码还会拖累我访问网站的速度！。</t>
  </si>
  <si>
    <t>2019/10/04 17:39:30</t>
  </si>
  <si>
    <t>投诉人江先生投诉对象招联金融涉诉金额13682元问题类型诉求类型投诉详情招联金融借款突然增加平台服务费和提前还款违约金，你增加费用没关系，但是你在借款界面无任何提示，只显示一个日费率，之前借款都没有，现在借款突然有了，界面和流程和原来一摸一样，借款不透明。</t>
  </si>
  <si>
    <t>2019/10/04 17:39:21</t>
  </si>
  <si>
    <t>投诉人黄先生投诉对象美团点评涉诉金额10元问题类型诉求类型投诉详情商家出餐超15分钟不给申请扣款，说我离开店里不给申请，。</t>
  </si>
  <si>
    <t>2019/10/04 17:38:31</t>
  </si>
  <si>
    <t>想有钱都是通过微信添加，然后说有个15天的5000元，借出之后说他们要走回款记录，让我还1100.还了之后任何消息也不回复，之后我在想有钱连续两次进行续借，共600元。</t>
  </si>
  <si>
    <t>2019/10/04 17:37:38</t>
  </si>
  <si>
    <t>麻烦贵平台帮忙协调处理，追回被胡乱扣除的款项。</t>
  </si>
  <si>
    <t>2019/10/04 17:37:34</t>
  </si>
  <si>
    <t>北京友缘在线网络科技股份有限公司已经二次从支付宝自动扣款，一次99元。</t>
  </si>
  <si>
    <t>2019/10/04 17:37:11</t>
  </si>
  <si>
    <t>你我贷2笔还款今日逾期四天和五天，协商今日还款，工作人员要求18点不还就要打通讯录，。</t>
  </si>
  <si>
    <t>2019/10/04 17:36:23</t>
  </si>
  <si>
    <t>投诉人瞿女士投诉对象深圳普惠快信涉诉金额1200元问题类型诉求类型投诉详情要求还款时没人理会，自行不能还款现在来暴力催收态度恶劣。</t>
  </si>
  <si>
    <t>2019/10/04 17:35:03</t>
  </si>
  <si>
    <t>投诉人 陈女士        投诉对象  小花钱包        涉诉金额  0 元    问题类型    诉求类型投诉详情  利用通信名单恶意骚扰，严重影响个人生活</t>
  </si>
  <si>
    <t>2019/10/04 17:34:35</t>
  </si>
  <si>
    <t>玖富万卡阴阳合同，借款10000元，还了四期，每期还款577.76元，竟然还需要还款19100.57元。</t>
  </si>
  <si>
    <t>2019/10/04 17:34:13</t>
  </si>
  <si>
    <t>欠债还钱应该的但是每次都少侮辱恐吓辱骂他人这种方式催收。</t>
  </si>
  <si>
    <t>2019/10/04 17:34:12</t>
  </si>
  <si>
    <t>停止暴力催收！停止非法拨打通讯录！停止软暴力催收！友善解决问题！。</t>
  </si>
  <si>
    <t>2019/10/04 17:33:43</t>
  </si>
  <si>
    <t>拍拍贷已还完本金和百分之24利息，还暴力催收。</t>
  </si>
  <si>
    <t>2019/10/04 17:33:31</t>
  </si>
  <si>
    <t>我在钱站借款1000元但是合同上却是1400元分3期还款第一次490.98元后面2次是493.33元，3期我已经还了2期共还了984.31元，我现在还有一期，他们这是高利贷呀借1000元利息却是477.64元，我希望能把本金和合法的利息还清销账。</t>
  </si>
  <si>
    <t>2019/10/04 17:32:54</t>
  </si>
  <si>
    <t>一味的几点到账几点处理，不然爆通讯录什么的说了只是暂时周转不开催收人员完全就是机械一样。</t>
  </si>
  <si>
    <t>2019/10/04 17:32:44</t>
  </si>
  <si>
    <t>我在美团定了酒店，提前取消不给取消，必须让我入住，重庆这边雨大，不能赶到那个酒店，但是美团和酒店都不给退，不知道怎么解决。</t>
  </si>
  <si>
    <t>2019/10/04 17:32:32</t>
  </si>
  <si>
    <t>本人早期贷了拍拍贷，8月之前可以还款后循环，8月20日后拍拍贷私自转让债务，然后就只可以还款，不能借款，本人近期资金周转紧张国庆假期1-4号都收到拍拍贷电话，4日拍拍贷开始骚扰朋友及威胁电话。</t>
  </si>
  <si>
    <t>2019/10/04 17:32:28</t>
  </si>
  <si>
    <t>投诉人熊先生投诉对象喵下贷涉诉金额2000元问题类型诉求类型投诉详情喵下贷贷款是通过微信添加，然后给我链接，申请后说有大额，让我先回款，通过微信支付后，添加我的人一下说马上弄，一下又说明天弄，微信支付之后就不回消息，通过给我的付款码，支付了1419说还款，就再也不给我处理，问他们也不说话，这些平台我都有，还款时都是一个收款账号叫小黑借钱。</t>
  </si>
  <si>
    <t>2019/10/04 17:31:27</t>
  </si>
  <si>
    <t>本人已经还款，还爆我通讯录群发消息，恐吓，已经影响我正常生活，我现在要求道歉，恢复我名誉，不然走法律程序，高利贷还么嚣张，公道何在，我钱还了你凭什么群发消息坏我名誉请给我合理的解释跟解决方案。</t>
  </si>
  <si>
    <t>2019/10/04 17:31:26</t>
  </si>
  <si>
    <t>我没有按照约定还款，我已经给催收解释了，说明原因了，任何人不可能手里拿着钱，不还，天天让人催的，结果催收恶语伤人，侮辱他人。</t>
  </si>
  <si>
    <t>2019/10/04 17:30:56</t>
  </si>
  <si>
    <t>在饿了么蜂鸟众包旗下做骑手已有半年，但是就在前几天平白无故的永久拉黑我的账号，没有任何提示，任何解释，直接断了我的经济来源实数气愤，希望能给我一个明确的理由。</t>
  </si>
  <si>
    <t>2019/10/04 17:29:56</t>
  </si>
  <si>
    <t>近期资金遇到困难，希望协商还款，浦发不同意，要求全额还！！！。</t>
  </si>
  <si>
    <t>2019/10/04 17:29:47</t>
  </si>
  <si>
    <t>在本平台利息已经够本金了，然后今天发信息叫还款，给的网站链接也打不开进不去还不了，apo也登录不上也还不了，也没有客服电话，谁也找不到，也不知道怎么还明天到期。</t>
  </si>
  <si>
    <t>2019/10/04 17:29:17</t>
  </si>
  <si>
    <t>本人使用携程金融借去花，逾期一天，接到好几个电话，吓唬我，说让我必须在什么时候处理，现在怀孕八个月，实在有困难。</t>
  </si>
  <si>
    <t>2019/10/04 17:29:05</t>
  </si>
  <si>
    <t>银行卡里的500元无缘无故被扣走了，我很懵逼。</t>
  </si>
  <si>
    <t>2019/10/04 17:28:31</t>
  </si>
  <si>
    <t>朋友在维信金科借款1100元被收取以购物为由变相利息，。</t>
  </si>
  <si>
    <t>2019/10/04 17:28:04</t>
  </si>
  <si>
    <t>投诉人 候先生        投诉对象  你我贷        涉诉金额  5 600 元    问题类型    诉求类型投诉详情  妈妈病重没有住院费。我去借钱教的。现在没钱无力还款。希望理解下协商还款</t>
  </si>
  <si>
    <t>2019/10/04 17:27:43</t>
  </si>
  <si>
    <t>平安银行信用卡逾期后，在可以联系上本人的情况下，向家人催收，因妹妹刚怀孕3个月，经不住催收人员的语言刺激而出现身体不适而去医院观察。</t>
  </si>
  <si>
    <t>2019/10/04 17:27:38</t>
  </si>
  <si>
    <t>客服和本人反馈所列问题，多数推诿扯皮，解释不清，就本人说的没收到其中两件商城发来的货品，1、就本人提供“128元会员费”问题，客服解释说不保证借款，只保证放款，问其有无合同说明，客服解释说无法提供，另一款抱枕产品，本人经与快递核实，发货当时正值春节，家中无人，快递并无妥投，，已发回原地，现在快递信息显示“家人签收”，本人与信而富客服核实，均答复，自己与快递核实，快递答复已回转原地，就信而富这种推诿扯皮，拒不配合的态势，本人将维权到底，请信而富将本人的借款合同以及相关证明提供。</t>
  </si>
  <si>
    <t>2019/10/04 17:27:15</t>
  </si>
  <si>
    <t>投诉人 闫女士        投诉对象  小花钱包        涉诉金额  128 元    问题类型    诉求类型投诉详情  逾期一天 给我发短信的话直接辣眼睛 客服说的话不堪入耳 一直一直给我发短信 谩骂 骚扰 我希望严惩 并对我道歉 这种高利贷 这种人就不配存在</t>
  </si>
  <si>
    <t>2019/10/04 17:27:00</t>
  </si>
  <si>
    <t>我一个表哥跟我说之前在及贷借了款之后，被平台盗用了个人资料，然后倒卖的资料接到各行各业的推广电话，给他带来了不必要的麻烦，实在看不下去帮他投诉。</t>
  </si>
  <si>
    <t>2019/10/04 17:26:56</t>
  </si>
  <si>
    <t>我在及贷里面申请借款，然后他给我弹出来个第三方服务，给了2600的额度，提现额度时候让插队提现，我就点了，平台没有二次确认，点完之后显示需要扣除520的费用，当时已经无法取消！联系客服之后态度强硬，说让我认栽！提现2600，银行卡到账2080，然后让我还2678！这分明就是套路贷，砍头息，强烈要求道歉，减免，只还到账金额，钱在卡里一分没动！有客服通话录音，可以提供。</t>
  </si>
  <si>
    <t>2019/10/04 17:26:51</t>
  </si>
  <si>
    <t>投诉人刘晓辉投诉对象福建移动涉诉金额79元问题类型诉求类型投诉详情本人订购的中国移动宽带业务到今年10月份已经满&amp;nbsp;2年，上个月打移动客服电话取消宽带业务，移动客服人员已时间没到期为由没有办理，并说明等到10月合同到期打电话就可以办理取消，今天打电话移动客服取消办理，客服各种推脱，并说&amp;nbsp;上各种证件去办理，另外，当初办理宽带时候说免费送机顶盒，如今取消宽带要退还。</t>
  </si>
  <si>
    <t>2019/10/04 17:26:36</t>
  </si>
  <si>
    <t>在钱站APP申请贷款，借款3000，合同显示3990，分三期还款，每期1990，利息我就不知道怎么算了，十月4日借款，借款说是7天后到账，但是账单从今天开始算。</t>
  </si>
  <si>
    <t>2019/10/04 17:26:32</t>
  </si>
  <si>
    <t>冰箱到手后发现冰箱太小，要求退货，因购买时运费是我自己承担的，和客服商量运费问题，客服服务态度极差，没有商量的余地，本人一直在京东购买大小物品，这种服务态度太寒心望尽快处理。</t>
  </si>
  <si>
    <t>2019/10/04 17:25:13</t>
  </si>
  <si>
    <t>一，通过立借借的是壹本万利，收款方变成了叮当想花。</t>
  </si>
  <si>
    <t>2019/10/04 17:24:36</t>
  </si>
  <si>
    <t>投诉人蔡先生投诉对象京东商城涉诉金额238元问题类型诉求类型投诉详情支持7天无理由退货≈不能完全退货，可能有人会问为何不直接再下两箱水的订单，本人接到自称京东的商家的电话，再次向本人表达了退货需扣运费这一说法，以告知命令式的口吻，语气急躁，丝毫没有协商解决的感觉，如果消费者觉得有疑问那就晚点开发票，让消费者自己去权衡利弊，京东上的这次购物体验给本人的感觉就是“要就要，不要拉倒”，，因公司需参加一政府活动，需准备纯净水若干，出于对京东良好的物流服务及发票的考虑，本人在京东上，，并勾稽了对应的开发票的需求，填写</t>
  </si>
  <si>
    <t>9月份诱导我去一个平台充值，陆续用银生宝给他们网站提供的通道充值了人民币2000元，账号刷到1万，才发现该平台的是违法博彩平台属于违反国家法律的购彩平台，第三方支付业务公司不得向证券，期货，博彩等机构提供支付结算业务，作为有牌照的支付公司没有履行国家结算通道的义务，即产生了非法洗钱的嫌疑，金融机构客户身份识别和客户身份资料及交易记录保存管理办法，国发2011年38好文，和银发办的35号文，文件都明确提出国内任何交易公司都不能给T+0，做市商交易平台支付通道，第19条规定，支付机构应当建立健全风险准备金制度和</t>
  </si>
  <si>
    <t>2019/10/04 17:24:35</t>
  </si>
  <si>
    <t>盗窃客户通讯录，暴力催收，骚扰用户，打骚扰电话。</t>
  </si>
  <si>
    <t>2019/10/04 17:24:17</t>
  </si>
  <si>
    <t>投诉人 孔先生        投诉对象  51人品        涉诉金额  30 000 元    问题类型    诉求类型投诉详情  贷款一年还款还差3月时候。对方打电话稍扰家人朋友。 收高额利息。 还有恐核微信短信.有证据保留。还有假传票。文件已给法院</t>
  </si>
  <si>
    <t>2019/10/04 17:23:49</t>
  </si>
  <si>
    <t>8月三十一号把手机交给售后返回京东维修，由于我电话换过屏幕，而且是在苹果授权店维修的，京东方面说我的手机是三方维修的，叫我给2200块又要给我换屏幕，而且现在已经10月4日了还没维修，要给我退回来，就是我等了一个多月电话没修，又给我退回来，我怎么知道他们会不会给我换零件说我的零件不是原厂的。</t>
  </si>
  <si>
    <t>2019/10/04 17:23:37</t>
  </si>
  <si>
    <t>你们公司非法获取用户个人信息，非法爬取运营商详单并保存，我并非恶意逾期，只是资金困难，有钱我会主动联系你们公司协商处理。</t>
  </si>
  <si>
    <t>2019/10/04 17:23:32</t>
  </si>
  <si>
    <t>我在51人品贷借款，每期都是正常还款，有一次逾期了两天，他们吹收的答应我让我下午五点前还款，我答应了，我当天还款了可是不到四点就爆了我通讯录，我多次给客服打电话，客服只是推脱两天给处理，可是一直都没有给处理和答复，现在弄得我家庭凌乱，媳妇和我闹离婚，现在请求帮助，。</t>
  </si>
  <si>
    <t>2019/10/04 17:23:29</t>
  </si>
  <si>
    <t>让我一个女人去卖身卖肾还账嘛！你们催收在骚扰朋友圈只会让我没法做人，硬要给我逼上绝交，把我逼死就能有人还款了吗！最后悔的就是为了前夫办理信用卡，害得自己现在一无所有，给我时间别再让催收做无用的事情了，有钱也不会去少信用卡，催收真是为了业绩不择手段各种招摇，他们难道不是人嘛。</t>
  </si>
  <si>
    <t>2019/10/04 17:23:22</t>
  </si>
  <si>
    <t>一个从小玩到大的兄弟在闪银平台借的商品贷被套路了，单方面违约，拒不发货，而且还虚假宣传，这样恶劣的性质还明目张胆的在市场放贷，只有投诉解决了。</t>
  </si>
  <si>
    <t>2019/10/04 17:23:17</t>
  </si>
  <si>
    <t>借了生活费逾期了，我已经跟他们协商还了一部分，现在还剩七百多，今早打电话直接说打电话让我家人还，各种的。</t>
  </si>
  <si>
    <t>2019/10/04 17:22:54</t>
  </si>
  <si>
    <t>投诉人 黄先生        投诉对象  信用管家        涉诉金额  4 300 元    问题类型    诉求类型投诉详情  查点钱每天来我家讨债。每月都在还。总是还不完。什么时候是个头。</t>
  </si>
  <si>
    <t>2019/10/04 17:22:49</t>
  </si>
  <si>
    <t>投诉人 王先生        投诉对象  银谷普惠        涉诉金额  0 元    问题类型    诉求类型投诉详情  我老婆在银谷普惠贷了一笔款，银谷暴力催收</t>
  </si>
  <si>
    <t>2019/10/04 17:22:42</t>
  </si>
  <si>
    <t>朋友在立借平台借钱，平台联合黑势力做违规支付，私自收服务费。</t>
  </si>
  <si>
    <t>2019/10/04 17:22:09</t>
  </si>
  <si>
    <t>投诉人 房雨        投诉对象  小黑鱼科技        涉诉金额  2 300 元    问题类型    诉求类型投诉详情  我会提供更多的证据 一直投诉到你们平台下架 一直投诉到明年315 现在打黑除恶这么严 你们太狂了 借2300实际到账1900多 严重套路贷 等下我会继续提供证据 我有录音 有证据</t>
  </si>
  <si>
    <t>2019/10/04 17:21:47</t>
  </si>
  <si>
    <t>你好，因为资金周转问题，闪银瞬瞬哼哼申请延期，请催收不要骚扰联系人，谢谢。</t>
  </si>
  <si>
    <t>2019/10/04 17:21:08</t>
  </si>
  <si>
    <t>借款1306元，到手835.72元，而且现在还款要2000多元。</t>
  </si>
  <si>
    <t>投诉人 童先生        投诉对象  有用分期        涉诉金额  8 000 元    问题类型    诉求类型投诉详情  有用分期超利贷，借八千要还11300。利息已超出合法利息。协商全款，一次结清。</t>
  </si>
  <si>
    <t>2019/10/04 17:20:19</t>
  </si>
  <si>
    <t>我本人在小象优品借款8900元，小象优品利息超出国家法定年化利率，这是不合理的，另外小象优品在我无力偿还的时候通过骚扰电话打给我的通讯录好友，轰炸我的亲人朋友给我造成了极大的困扰，现今，我想按照国家法定年华利率24%来进行还款，并结清账单，我目前已还约8728元人民币，几乎已还完本金，还剩四期账单未还，我个人希望能够减免，我再还一期1093元，请小象优品为我结清账单，也请新浪支付能够理解，新浪作为大公司，要有大公司的担当，在此若仍有小象优品公司外包的催收人员骚扰我的家人朋友，我会通过法律途径进行维权。</t>
  </si>
  <si>
    <t>2019/10/04 17:20:03</t>
  </si>
  <si>
    <t>逾期了一天，催收人员就加微信各种威胁，一直在跟催收人员好好协商还款的事，可是催收人员不听不理会，非要说我不愿意还款，跟催收人员协商还款时间，催收人员不理会，威胁说不还款就立马移交到风控部门，我承认上个月是逾期了一次，但是立马想办法还了，也解释过这段时间家里出了事确实手头紧，上个月还款的时候催收人员态度还挺好的，但是这个月就逾期了一天，立马翻脸，说各种威胁的话，而且还给我母亲发了短信说有资金困难可以协商还款，可是我跟她联系的时候她不承认给我母亲发过短信，也不承认说过资金困难可以协商的话，恳请有关部门负责人出面</t>
  </si>
  <si>
    <t>2019/10/04 17:19:50</t>
  </si>
  <si>
    <t>投诉人韩先生投诉对象友缘在线涉诉金额168元问题类型诉求类型投诉详情本人在友缘在线app被骗了168元&amp;nbsp;说是vip能体验三天&amp;nbsp;&amp;nbsp;结果点开后&amp;nbsp;直接扣除168元&amp;nbsp;&amp;nbsp;而且还给绑定了自动续费&amp;nbsp;&amp;nbsp;表示我每个月都得扣除168元&amp;nbsp;&amp;nbsp;解除绑定&amp;nbsp;也解除不了&amp;nbsp;&amp;nbsp;而且打客服电话也不接&amp;nbsp;&amp;nbsp;要求能退款给我&amp;nbsp;&amp;nbsp;解除自动续费！。</t>
  </si>
  <si>
    <t>2019/10/04 17:18:43</t>
  </si>
  <si>
    <t>打电话威胁我，说要爆通讯录，我又不是没接电话。</t>
  </si>
  <si>
    <t>2019/10/04 17:18:23</t>
  </si>
  <si>
    <t>平安普惠的自称是员工给我打电话，我又不是不还，只是这两三年家人和我自己不断的生病住院，房子也是租的，还离婚了两个小孩，父母已经过了上班年龄，家庭收入只有3000多，根本没办法去支付，有钱了我一定会一次性还进去，要多收利息什么的没办法，当初你们办这个贷款还变相给我收了900的服务费，到手只有4100。</t>
  </si>
  <si>
    <t>2019/10/04 17:18:01</t>
  </si>
  <si>
    <t>贷上钱放高利息贷款存在砍头息，1000块直接扣除，并且对本人好友进行辱骂，威胁。</t>
  </si>
  <si>
    <t>2019/10/04 17:16:16</t>
  </si>
  <si>
    <t>投诉人 胡先生        投诉对象  短信吧        涉诉金额  0 元    问题类型    诉求类型投诉详情  刚用这个小程序的时候问客服 客服答应说半小时左右能把短信发出去 结果现在3个多小时才发出去 给他们人工客服打电话直接拒接 再打就不接了</t>
  </si>
  <si>
    <t>2019/10/04 17:14:17</t>
  </si>
  <si>
    <t>2019/10/04 17:13:58</t>
  </si>
  <si>
    <t>平安银行信用卡雇佣黑社会外包公司暴力催收，冒充公安无法无天，满世界的投诉平安银行一点也不在乎，肆无忌惮危害社会，你们平安银行难道是法外之地。</t>
  </si>
  <si>
    <t>2019/10/04 17:13:48</t>
  </si>
  <si>
    <t>在可以联系上本人的情况下，依然不停拨打家人电话进行骚扰，恐吓，本人确实存在逾期行为，但欠款的是我，并不是家里人，交通银行本末倒置，仿佛觉得家属欠他们钱一样，不停拨打不知情的家属电话，且在家属向我传递了他们意思的情况下，依然拨打，要个解释和道歉。</t>
  </si>
  <si>
    <t>2019/10/04 17:11:32</t>
  </si>
  <si>
    <t>投诉人高女士投诉对象信用管家涉诉金额3500元问题类型诉求类型投诉详情家里穷弟弟读书没有钱交学费。</t>
  </si>
  <si>
    <t>2019/10/04 17:11:25</t>
  </si>
  <si>
    <t>在拍拍贷上借了一万六，还没半年，却让我还20200，想协商一次性还完，能不能按照百分之24还完所有欠款，打给客服，客服说有工作人员会和我协商，从九月27号到现在，一直不解决，今天有他们公司的催收人员打我电话，威胁我，再不还，打我家人和朋友的电话，我说了你们这么高的利率，国家就不管，我不是不还钱，只是按照国家的还款政策，和你们协商，你们连个协商的人都没有，天天催我还钱，不解决问题，拖着有意思。</t>
  </si>
  <si>
    <t>2019/10/04 17:10:51</t>
  </si>
  <si>
    <t>新浪微博，大家心目中的大公司正规企业，就是这样的正规企业，在本人欠款逾期两天以后，疯狂的电话骚扰，短信威胁，骚扰，辱骂！微信沟通过本人确确实实是因为自己周转困难，会尽快想办法还清欠款，而且本人的欠款已经还清了大部分只剩下最后两期，加起来1900多元没有处理！但是该平台的工作人员不依不饶！今天再次打电话威胁辱骂，辱骂的内容甚至涉及到我的父母家人，污言秽语不堪入耳！我想问问这真是一个正规公司吗?正规公司又为什么会有这种社会混混，渣滓来催收！到底是正规公司还是披着公司外衣的黑社会，流氓团伙！我是欠钱了但我作为一个</t>
  </si>
  <si>
    <t>2019/10/04 17:10:49</t>
  </si>
  <si>
    <t>客服已经两三天没有联系上上百度查企业已注销在线客服一直繁忙。</t>
  </si>
  <si>
    <t>2019/10/04 17:10:06</t>
  </si>
  <si>
    <t>借8000要还11000提前还款都不能！高利贷。</t>
  </si>
  <si>
    <t>2019/10/04 17:09:15</t>
  </si>
  <si>
    <t>平台网贷不让退款，利率超过百分之三十六，还钱还到破产。</t>
  </si>
  <si>
    <t>2019/10/04 17:08:44</t>
  </si>
  <si>
    <t>现在有催款公司打电话给我说我儿子差11000要我还。</t>
  </si>
  <si>
    <t>2019/10/04 17:08:15</t>
  </si>
  <si>
    <t>小浦优客，在本人不知情没有任何提示情况下，私自扣款，恶意扣款，。</t>
  </si>
  <si>
    <t>2019/10/04 17:07:52</t>
  </si>
  <si>
    <t>借款金额10000，分21期，每期的服务费和保险费高达50多，我不知道平安普惠你们收取了保险费是为我保险什么了，还有高额的服务费是为我服务什么了。</t>
  </si>
  <si>
    <t>2019/10/04 17:07:47</t>
  </si>
  <si>
    <t>才用不到一个月申请提前结清就要收将近2000利息。</t>
  </si>
  <si>
    <t>2019/10/04 17:07:18</t>
  </si>
  <si>
    <t>爆通讯录，骚扰通讯录好友，恶意威胁催收，要求停止催收。</t>
  </si>
  <si>
    <t>2019/10/04 17:06:15</t>
  </si>
  <si>
    <t>滴滴司机因乘客半路要求下车，坐朋友的车去南安市区，要求司机半路停车，让乘客下车，司机与乘客协商同意，然后就结速车程，今天滴滴平台认定司机违规诱导乘客线下交易，扣除司机186元。</t>
  </si>
  <si>
    <t>2019/10/04 17:05:23</t>
  </si>
  <si>
    <t>相关投诉专题银行卡被无故扣款两次500共计1000元，腾安基金销售有限公司，财付通，微信支付请给我一个合理的解释并退款，谢谢我微信看了没找到腾安基金。</t>
  </si>
  <si>
    <t>2019/10/04 17:05:04</t>
  </si>
  <si>
    <t>投诉人邵女士投诉对象山西龙泽润通金融服务外包有限公司,随心花,随心花，,融泽财富,橙意钱包涉诉金额3100元问题类型诉求类型投诉详情山西龙泽润通金融服务外包有限公司暴力催收，威胁我，还要打通讯录好友电话。</t>
  </si>
  <si>
    <t>2019/10/04 17:05:00</t>
  </si>
  <si>
    <t>阴阳合同高利贷，实际额度1000元，合同1330元，3期共需要还款1684.86元，我已2次联系客服退还本金协商未果。</t>
  </si>
  <si>
    <t>2019/10/04 17:04:58</t>
  </si>
  <si>
    <t>我堂哥在及贷平台借了款，觉得利息太高了，想一次性结清的，可以节约很多利息钱，结果违约金也很高了，接受不了，希望调整。</t>
  </si>
  <si>
    <t>2019/10/04 17:04:42</t>
  </si>
  <si>
    <t>小黑鲨平台，借款2000元，10天还一期，共还3期，另杭州市民卡为高利贷提供支付通道要求杭州市民卡督促小黑鲨退还风险测评费，第1期还款1119.82元，第2期还款679.82元，第3期还款679.81元，共需还2479.45元，其中有440元，平台以风险测评费的名义，变相收取高额砍头息，现还剩余最后一期，本人实在无力偿还，要求退还440元的风险测评费，或在最后一期账单中减免。</t>
  </si>
  <si>
    <t>2019/10/04 17:04:13</t>
  </si>
  <si>
    <t>华鑫国际外汇一起冲了十一万多，盈利了他们就以各种各样的理由不给出金，这就是一家外汇黑平台，骗我血汉钱，我所有的钱都是打到一个叫广州正建科技有限公司的账户上，他们这是违法，望贵平台能帮帮我！不要让其他的人悲剧上演。</t>
  </si>
  <si>
    <t>2019/10/04 17:04:05</t>
  </si>
  <si>
    <t>开通了百度网盘超级会员的自动续费功能，协议上可以取消的，但是实际操作无法取消，想尽快取消，订单号1****************6。</t>
  </si>
  <si>
    <t>2019/10/04 17:03:48</t>
  </si>
  <si>
    <t>星星钱包一千八到账一千二金牛牛已改名天润分期两千到一千五百。</t>
  </si>
  <si>
    <t>2019/10/04 17:02:56</t>
  </si>
  <si>
    <t>网贷到期，我也不是一分钱不还，这期我也还了100多，拍拍贷没有经过我的同意，无视国家法律法规，私自联系我通讯录里的朋友，家人，让我工作，生活都受到影响，欠债还钱，天经地义，拍拍贷公司最终也是希望我们这些欠债人，还清欠债，但你们公司请的催收人员，到底是为了提成还是为了你们公司?现在国家对暴力催收正在整治，你公司催收人员还是我行我素，难道非要逼得我们这些欠债人，失去工作，众叛亲离，成为真正的无力偿还的老赖或者为了还钱铤而走险干出违法的事情，再或者受不了压力自我毁灭，才安心吗?那是你们拍拍贷公司愿意看到的结果还是</t>
  </si>
  <si>
    <t>2019/10/04 17:02:21</t>
  </si>
  <si>
    <t>信用管家提供平台，利息超出规定范围，要求调整利息，。</t>
  </si>
  <si>
    <t>2019/10/04 17:01:56</t>
  </si>
  <si>
    <t>高利贷暴力催收，借1400元，6天到期要还2000。</t>
  </si>
  <si>
    <t>2019/10/04 17:01:37</t>
  </si>
  <si>
    <t>投诉人 杰宁        投诉对象  转转        涉诉金额  0 元    问题类型    诉求类型投诉详情  封禁我账号 我不能打字发消息 都不知道怎么搞的</t>
  </si>
  <si>
    <t>2019/10/04 17:01:32</t>
  </si>
  <si>
    <t>投诉人 吴凡        投诉对象  立借        涉诉金额  2 700 元    问题类型    诉求类型投诉详情  用“呼死你”等软件轰炸我和我身边亲戚朋友。特来投诉请停止骚扰。</t>
  </si>
  <si>
    <t>2019/10/04 17:01:29</t>
  </si>
  <si>
    <t>投诉人裴先生投诉对象滴滴出行涉诉金额0元问题类型诉求类型投诉详情滴滴公司派单倾斜严重，单子都派给优享车主，我的联系电话180******89！。</t>
  </si>
  <si>
    <t>2019/10/04 17:01:27</t>
  </si>
  <si>
    <t>投诉人黄先生投诉对象Wecash闪银涉诉金额4100元问题类型诉求类型投诉详情朋友在闪银借的4100借款，要求退还至尊借款收取的720元所谓至尊担保凭证费用，客服不处理我只有帮他投诉了。</t>
  </si>
  <si>
    <t>2019/10/04 17:00:19</t>
  </si>
  <si>
    <t>投诉人 高女士        投诉对象  小花钱包        涉诉金额  4 700 元    问题类型    诉求类型投诉详情  泄露信息，恐吓，恶意催收，爆打电话，骚扰</t>
  </si>
  <si>
    <t>2019/10/04 16:59:50</t>
  </si>
  <si>
    <t>投诉人刘健投诉对象盛钱包涉诉金额300元问题类型诉求类型投诉详情盛钱包业务员已激活名义分两次刷了300元，说一个月返还现在时间到了，打电话不接，客服说联系业务员，业务员打电话说就不给，他们就这么来回踢。</t>
  </si>
  <si>
    <t>2019/10/04 16:58:51</t>
  </si>
  <si>
    <t>2018年在淘宝志高安心专卖店买了一个抽油烟机，用到2019年7.8月左右，抽油烟机就不怎么好用了，不吸烟，因为本人在外地也不太清楚家里情况，亲戚去了之后就与我联系看联系下淘宝客服，看看怎么给解决下，联系后，加了售后，也给拍了照片，视频，师傅看后说确实有问题，总是说反馈，结果就没人硬了，因为还有1个多月就过保修期了，想早点处理，但客服和售后一直拖，个人比较忙，这个事儿都是亲戚去帮忙联系的，但最后也没得到处理，希望相关部门帮忙解决下。</t>
  </si>
  <si>
    <t>2019/10/04 16:58:44</t>
  </si>
  <si>
    <t>小赢卡贷强制分期，借款不到一个月，申请提前还款，但仍收取高价利息费用。</t>
  </si>
  <si>
    <t>2019/10/04 16:58:32</t>
  </si>
  <si>
    <t>OPPOr9splus无限重启，只能等待其电量耗尽。</t>
  </si>
  <si>
    <t>2019/10/04 16:58:00</t>
  </si>
  <si>
    <t>投诉人唐遗财先生投诉对象马上消费金融涉诉金额1200元问题类型诉求类型投诉详情马上金融给我办理的的手机号码每个月消费199套餐，然后有1680元买手机优惠，我每个月都是按时交费手机从未停机还了有12个月。</t>
  </si>
  <si>
    <t>2019/10/04 16:57:54</t>
  </si>
  <si>
    <t>本来这个软件只是一个平台，他要296给个信证，问题是扣了钱也没有给一个合理的解释，正规贷款平台会有前期收钱的平台吗，她收了钱然后推出一些贷款平台，能不能贷到就不关他们的事了，我就希望吧钱退回来就行要不然我会一直举报到最上面。</t>
  </si>
  <si>
    <t>2019/10/04 16:57:06</t>
  </si>
  <si>
    <t>南京的票然后没出票成功给航司打电话航司没出票然后跟去哪网打电话拦截出票去哪网说那个是航司出的票没法拦截但是当时订单上面并没有说不可以拦截出票的，然后我挂完电话20分钟他们不给我拦截出票还给我催促让我的票给出票成功了。</t>
  </si>
  <si>
    <t>2019/10/04 16:55:38</t>
  </si>
  <si>
    <t>我已经多次发现，我近期在淘宝从未检索过的但在生活中和朋友提到的产品，淘宝会在半天之内推送给我，比如下图的去黑头产品，我严重怀疑淘宝非法监听消费者，，除此以外，宣传的广告封面引起人的极度不适，给个说法。</t>
  </si>
  <si>
    <t>2019/10/04 16:55:01</t>
  </si>
  <si>
    <t>166******89这个手机号现在停机了，登陆不上去，之前是绑定微信的，现在微信登陆上去因为绑定的另外的手机号，所以导致现在连看都看不到了，小黄车是黑定我的钱了吗。</t>
  </si>
  <si>
    <t>2019/10/04 16:54:34</t>
  </si>
  <si>
    <t>投诉人 郑女士        投诉对象  中经汇通        涉诉金额  1 720 元    问题类型    诉求类型投诉详情  各个油站无法使用 没有退款渠道 联系不到客服</t>
  </si>
  <si>
    <t>2019/10/04 16:53:19</t>
  </si>
  <si>
    <t>借11000，两年还18000多，手续费就是所谓的保险6100，我接受不了，。</t>
  </si>
  <si>
    <t>2019/10/04 16:53:12</t>
  </si>
  <si>
    <t>本人18年7月3日从平安普惠贷款10万元整，普惠业务再三电联并告知利息是8.4厘，我评估后觉得可以承受，并再三确认没有其他任何费用，所以才确认签单，每期还款4572.12元，分期36期！事后还款14期后，发现平安恶意捆绑了一笔保险费用，每个月支出760元，和其他数目的服务费！通过巧设名目收取高额利息，利息已经超过了36%的红线！现在要求平安普惠减免费用，停止骚扰，恶意催收，处罚该催收人员！并且停止保险，退回已经缴纳的保险！。</t>
  </si>
  <si>
    <t>2019/10/04 16:53:01</t>
  </si>
  <si>
    <t>投诉人 朱女士        投诉对象  马上消费金融        涉诉金额  4 681 元    问题类型    诉求类型投诉详情  暴力催收 爆我通讯录 恐吓我亲友 日日骚扰我亲友 有很多接到电话的 我自己都没号码的</t>
  </si>
  <si>
    <t>2019/10/04 16:52:29</t>
  </si>
  <si>
    <t>招联金融借款逾期了，天天暴力催收！每天多次电话已经严重影响到个人的生活作息时间，工号300709，姓杨的威胁我说再不处理将会涉及通知家人朋友还威胁我产生一切问题个人承担。</t>
  </si>
  <si>
    <t>2019年8月25日本人在卡牛瑞贷上借款16500元，到账后直接莫名扣了3300元，当时还款说明里未说明有次扣款，起先还款只说明12期，每期1656元，当天马上打电话给客服要求全额退款给卡牛瑞贷，不借了，客服不处理，现在过了一个月了，我也还没去还他，砍头息投诉无门，我希望退还给卡牛，8月25号到现在的利息300-400我可以接受。</t>
  </si>
  <si>
    <t>2019/10/04 16:51:31</t>
  </si>
  <si>
    <t>玖富万卡借款8000元，24期还款，前12期每期还款579，后12期每期还款573，利率高达72%远超国家过的24%，要求降至国家法律合法范围内。</t>
  </si>
  <si>
    <t>2019/10/04 16:51:12</t>
  </si>
  <si>
    <t>本人在榕树贷款你我贷借了3000块分12期还一共要还4078，还扬言要给我亲戚朋友打电话让他们知道我的欠款情况。</t>
  </si>
  <si>
    <t>2019/10/04 16:50:30</t>
  </si>
  <si>
    <t>利息高，借款5000要买1000多的黑卡，暴力催收，爆通讯录，威胁，服务态度不好。</t>
  </si>
  <si>
    <t>2019/10/04 16:49:52</t>
  </si>
  <si>
    <t>总共3700本金，一共要还将近六千元，利息高的可怕，还的利息早就超过了本金，一天的逾期费就要200元。</t>
  </si>
  <si>
    <t>2019/10/04 16:48:32</t>
  </si>
  <si>
    <t>投诉人 晏先生        投诉对象  安全带,连连支付        涉诉金额  3 000 元    问题类型    诉求类型投诉详情  高利贷3000分3期7天一期 一共还3642 高利贷 要求直接销账</t>
  </si>
  <si>
    <t>2019/10/04 16:48:17</t>
  </si>
  <si>
    <t>投诉人 崔女士        投诉对象  月光侠分期        涉诉金额  2 450 元    问题类型    诉求类型投诉详情  高利贷 天天催收 受不了了 希望彻查 下架</t>
  </si>
  <si>
    <t>2019/10/04 16:47:51</t>
  </si>
  <si>
    <t>银行外包公司催收，语言威胁侮辱使用信用卡人，。</t>
  </si>
  <si>
    <t>2019/10/04 16:47:46</t>
  </si>
  <si>
    <t>宜兴滴滴出行不给快车派单，单子都派给新优享了，导致我们快车没有活路！。</t>
  </si>
  <si>
    <t>2019/10/04 16:47:38</t>
  </si>
  <si>
    <t>涉诉金额21800元问题类型诉求类型投诉详情请安排酒店马上给我退款，已经半个月了，酒店一直在拖！。</t>
  </si>
  <si>
    <t>2019/10/04 16:47:34</t>
  </si>
  <si>
    <t>从去年开始本人158的号码每个月从我主卡136号码扣取近百元话费，我起初不知，今年9月份查询账单发觉有这么一张副卡，我立即前往移动公司注销此卡，事后越想越不对，我作为消费者，158的号码我自己一直不知，更不曾使用，为何每个月要扣我近百元的话费，我的主卡也是移动公司的五星用户，我也是普通老百姓，每个月辛苦赚的钱，想想一年多被扣去1000多的话费真的蛮心疼的，所以我要求浙江移动和我协商退换这一年扣去的话费。</t>
  </si>
  <si>
    <t>2019/10/04 16:47:18</t>
  </si>
  <si>
    <t>因个人情况导致逾期后，疯狂给我的通讯录所有人群发信息，严重影响她们的正常生活和工作，希望贵部门做出处理。</t>
  </si>
  <si>
    <t>2019/10/04 16:47:08</t>
  </si>
  <si>
    <t>我又没有在你这个平台上成功借款我也没有借款。</t>
  </si>
  <si>
    <t>2019/10/04 16:46:34</t>
  </si>
  <si>
    <t>亲戚在维信金科借钱，到期还钱的时候系统问题无法还款，找平台客服不管，之催还钱。</t>
  </si>
  <si>
    <t>2019/10/04 16:44:53</t>
  </si>
  <si>
    <t>投诉人吴先生投诉对象小花钱包涉诉金额18900元问题类型诉求类型投诉详情2018年10月，2019年5月，我一共从小花借了三笔借款，之后发现合同金额与实际到款金额不符，平台收取高额服务费，综合年利率高达53%，在长期的还款中支付了高额的利息，渐渐的供应不上还款，拨打了该平台客服一直无法接通，而后与该平台催收人员协商无果，该平台催收人员遂开始对我进行电话轰炸垃圾短信轰炸，而后该平台不知从何处窃取了我老家同村村民的隐私信息，并发送短信威胁我，而后竟然对我的家人好友进行了垃圾短信轰炸以及频繁电话骚扰，我有个别从事</t>
  </si>
  <si>
    <t>2019/10/04 16:44:05</t>
  </si>
  <si>
    <t>投诉人 倪先生        投诉对象  拍拍贷        涉诉金额  3 000 元    问题类型    诉求类型投诉详情  利息高，一万四，九期要4000利息。恐吓加大催收，各种不确定性。不肯协商解决</t>
  </si>
  <si>
    <t>2019/10/04 16:43:13</t>
  </si>
  <si>
    <t>借12000，只得了7000，现在要12个月要还15000，利息太高。</t>
  </si>
  <si>
    <t>2019/10/04 16:43:03</t>
  </si>
  <si>
    <t>2019-06-18到期的理财，承诺三个工作日兑付，至今已经快4个月，尚未兑付，在线客服机器人，电话客服打不通。</t>
  </si>
  <si>
    <t>2019/10/04 16:43:01</t>
  </si>
  <si>
    <t>从小花钱包借了1万块，分期还款，今天遇到点困难没有及时还款，直接电话威胁家人朋友，上个月也是这样，在聚投诉投诉也没回复我，现在聚投诉还管事么。</t>
  </si>
  <si>
    <t>2019/10/04 16:42:55</t>
  </si>
  <si>
    <t>招联好期待催收暴力催收威胁我，并且要寄催收函到我家里，给我的工作生活和家人带去无尽的骚扰！。</t>
  </si>
  <si>
    <t>2019/10/04 16:42:52</t>
  </si>
  <si>
    <t>app登录不了，还不了款明天到期，给这个平台利息已经高达本金，客服电话也没有啥也没有。</t>
  </si>
  <si>
    <t>2019/10/04 16:42:51</t>
  </si>
  <si>
    <t>我在交易猫上卖王者账号，说要退回保险金，买家已经把钱拿回去了，客服一直说在忙，迟迟不肯退钱给我。</t>
  </si>
  <si>
    <t>2019/10/04 16:42:44</t>
  </si>
  <si>
    <t>本人在马上消费金融旗下产品安逸花申请循环贷，已经连续使用好几年，可是我已经与安逸花方签协议，每笔借款都上征信，连app都并未通知，对账号进行锁定，无法消费和提现，我不同意，要求安逸花方恢复可使用额度，解锁我的账户！￼。</t>
  </si>
  <si>
    <t>2019/10/04 16:41:36</t>
  </si>
  <si>
    <t>都是分3年36期，利息超过红线，而且根据还款显示算出来的本金和实际到账本金严重不符。</t>
  </si>
  <si>
    <t>2019/10/04 16:41:12</t>
  </si>
  <si>
    <t>本人在立借app月月借借款3000元，实际到账只有2250元，借款前借款合同没有明确说明，借款分四期，每期7天，每期还款749.49元，本人已经偿还3期共2248.47元，先要求第四期本金加合法利息销账，月月借客服打电话不同意协商处理，态度极其嚣张，这种高利贷还有存在的必要吗，请平台可以帮我和对方沟通处理，以免对方对我进行骚扰，本人已报警，而且还款账户还要线下转账，对方账户为：中建。</t>
  </si>
  <si>
    <t>2019/10/04 16:40:48</t>
  </si>
  <si>
    <t>2019/10/04 16:40:22</t>
  </si>
  <si>
    <t>投诉人 吴先生        投诉对象  你我贷        涉诉金额  7 600 元    问题类型    诉求类型投诉详情  公司倒闭老板跑路。现在没有收入也拿不到工资。申请延期还款。</t>
  </si>
  <si>
    <t>2019/10/04 16:40:03</t>
  </si>
  <si>
    <t>京东金条逾期，接第三方催收电话，告知第三方催收协商处理还款日期，第三方催收不同意，并让一次还款13000元，当天处理，。</t>
  </si>
  <si>
    <t>2019/10/04 16:39:14</t>
  </si>
  <si>
    <t>本人现有三笔欠款：①借款21000元合同写36334.84元，分36期还，每期还款1213.33元，共要还43678.88元，已还25期共30333.25元，还需还11期共13345.63元，逾期费更加高的离谱日利率将尽一分，还被电话骚扰暴力催收等恐吓…望相关部门可以重视调节，严惩高利贷公司的种种劣迹，，现已无力偿还剩余非法利息，要求销账，提供结清证明，如若不然将寻求公安司法等有关部门帮助。</t>
  </si>
  <si>
    <t>2019/10/04 16:38:44</t>
  </si>
  <si>
    <t>投诉人支先生投诉对象宜人贷涉诉金额20000元问题类型诉求类型投诉详情宜人贷高利息，目前以前还超本息，借款2万目前还了26000多，目前还有3000多要还，还不上了就威胁，逾期一天费用要160，吓人，忘有人可以来处理一下！。</t>
  </si>
  <si>
    <t>2019/10/04 16:38:37</t>
  </si>
  <si>
    <t>本人通过电话推销，当时急用钱，就用了，谁知道利息这吗高，借款4000到账2600，3天后还4200，续期2天要1600，续了就又给介绍一个，客户还说他们公司财务多，明显的套路贷，希望有关部门领导查处，催收下面有聊天记录，要爆通讯录。</t>
  </si>
  <si>
    <t>2019/10/04 16:38:33</t>
  </si>
  <si>
    <t>来花花借款期限6天，借款金额2000元，到手后1400元，砍了600元，到期还不上交600元续借费用。</t>
  </si>
  <si>
    <t>2019/10/04 16:38:21</t>
  </si>
  <si>
    <t>投诉人 陆先生        投诉对象  你我贷        涉诉金额  701 元    问题类型    诉求类型投诉详情  你我贷威胁恐吓骚扰联系人 轰炸我通讯录 请求停止该行为好好协商</t>
  </si>
  <si>
    <t>2019/10/04 16:37:28</t>
  </si>
  <si>
    <t>投诉人 卢庆新        投诉对象  小花分期        涉诉金额  5 000 元    问题类型    诉求类型投诉详情  借5000 还7800 合同是借12个月</t>
  </si>
  <si>
    <t>2019/10/04 16:37:27</t>
  </si>
  <si>
    <t>在抖音看到玖富广告，申请借款22500共分12期，查询还款计划除22500外，每期额外要还款563，打客服电话说这笔12期一共要还6762的帐单是人保财险保单，然而我打了人保电话根本没有保单记录，很明显是阴阳合同虚假合同，而且这笔所谓的人保保单为什么在app里以借款形式出现，再次拨打客服电话客服解释这笔款是所谓的服务费，那么借款22500分12期到期本息一共30600，已经远远超过国家法律规定的最高年化率36%！！希望聚投诉能够帮助予以解决。</t>
  </si>
  <si>
    <t>2019/10/04 16:37:25</t>
  </si>
  <si>
    <t>暴力催收，恶意拨打三方电话，严重影响工作，朋友要求个说法，我也只能离职，钱我肯定会还，给我点时间，没说不还，害我离职那我就更还不起了！。</t>
  </si>
  <si>
    <t>2019/10/04 16:37:12</t>
  </si>
  <si>
    <t>朋友的亲弟弟在及贷借钱，别人还是在校大学生，这不是坑害学生吗，高额的费用和利息别人接受的了。</t>
  </si>
  <si>
    <t>2019/10/04 16:36:34</t>
  </si>
  <si>
    <t>借4000三个月要还5000多，借两千一个月要还2500。</t>
  </si>
  <si>
    <t>2019/10/04 16:36:29</t>
  </si>
  <si>
    <t>期期袋超高炮，贷款2400，到账1560，5天期限！续期840，只有5天时间！已经续期两个多月，偿还金额早就冲抵完本金了，希望有关部门严厉惩处这嗜血的平台，早日下架产品，停止骚扰！。</t>
  </si>
  <si>
    <t>2019/10/04 16:35:20</t>
  </si>
  <si>
    <t>来分期从未逾期，但是一到还款日，早上开始各种电话骚扰，影响正常生活，别人都不用工作的啦，每次都如此！！！太恶心了！而且额度还进去了再也取不出来了。</t>
  </si>
  <si>
    <t>2019/10/04 16:34:19</t>
  </si>
  <si>
    <t>立借平台，借10500，3个月还款14595，这个明显的高利贷，去掉其他费用，去掉不合理不合法的费用。</t>
  </si>
  <si>
    <t>2019/10/04 16:33:53</t>
  </si>
  <si>
    <t>急用钱使用了该APP，在申请查看额度时单方立即放款造成账务，结果还款金额达到三千！到账金额却只有一千四百元，在严打高利贷的国家大力法规中，居然还能在国庆期间造型高利贷超利贷，而且还未经双方同意！真的是要把人逼上跳楼的路子！还恐吓造成心灵阴影，我真的希望聚平日台能联合相关部门整治，给予我们当代年轻人一个健康社会。</t>
  </si>
  <si>
    <t>2019/10/04 16:33:44</t>
  </si>
  <si>
    <t>一个兄弟在闪银借的10笔贷款全部结清，然后因为买房，加之为了日后征信的需要，深情结清证明，在APP上联系客服，各种推脱，要自己去查征信，说什么要上征信的才给开结清证明，这种强调逻辑，那是不是意味着，在闪银的贷款，不上征信的就可以不用还。</t>
  </si>
  <si>
    <t>2019/10/04 16:33:21</t>
  </si>
  <si>
    <t>菜鸟有钱期限3天，借款1500到手1200，300砍头息，到期还不是展期服务费300元1次。</t>
  </si>
  <si>
    <t>2019/10/04 16:33:13</t>
  </si>
  <si>
    <t>捷信金融套路贷高利贷，原来借了8000，每期506，已经还了24期12144元.，还有三期，我就感觉自己被套路了，我上期的还了2年12000多元怎么还有1500多，打电话问客服，客服说原来还的都是利息，现在扣除的剩余是本金，这么一算，我借8000，还了差不多14000多，这实打实的高利贷啊，还有什么贷款管理费，灵活还款包以及客户服务费这些，我就想说这难道不是高利贷套路贷吗，原来一直还着，近期逾期了，后面我已经无力偿还，可是催收却打我朋友电话，一直骚扰我朋友，给人家生活工作都造成了困扰，甚至有捷信催收说要上门</t>
  </si>
  <si>
    <t>2019/10/04 16:33:10</t>
  </si>
  <si>
    <t>投诉人 谢女士        投诉对象  时光分期,小象优品        涉诉金额  13 500 元    问题类型    诉求类型投诉详情  暴力催收，威胁恐吓。违法爆通讯录，骚扰家人朋友</t>
  </si>
  <si>
    <t>2019/10/04 16:33:02</t>
  </si>
  <si>
    <t>我近来才发现松紧贷的高额利息，还有砍头息1600元，我致电给客服，客服说的推荐服务费，我这几天才发现当时借款是11600元，几分钟就扣掉1600的砍头息，实际到账10000元，我致电松紧贷咨询这个问题，客服态度非常不好，问，你到账不是11600元，态度非常恶劣，几分钟就扣掉1600，哪里来的11600元，这个利息简直是高利贷，而且松紧贷里面还写着我们借款11600元。</t>
  </si>
  <si>
    <t>2019/10/04 16:32:41</t>
  </si>
  <si>
    <t>投诉人 吴先生        投诉对象  信用管家        涉诉金额  4 500 元    问题类型    诉求类型投诉详情  由于还差几百块钱没有还进去。银行也没有提醒我。我以为还进去了就可以管了。3个月后提醒我逾期了。该怎么办</t>
  </si>
  <si>
    <t>2019/10/04 16:32:20</t>
  </si>
  <si>
    <t>本人因急用钱在360借条上借了4600元现金，第二天钱补上后想着赶紧把钱还掉，却被告知提前还款需要补齐一年的利息和手续费5428.24元，相当于我借了2天4600元需要还828.24元利息，不知道这个利息是不是符合国家标准，希望能为我讨回公道。</t>
  </si>
  <si>
    <t>2019/10/04 16:32:02</t>
  </si>
  <si>
    <t>砍头息高利贷，利息不符合国家规定，要求修改规定范围利息。</t>
  </si>
  <si>
    <t>2019/10/04 16:31:57</t>
  </si>
  <si>
    <t>2019/10/04 16:31:20</t>
  </si>
  <si>
    <t>因个人原因导致逾期，多次与第三方催收一直协商不成，必须要当天一次性处理，这个对于目前的我来说实在困难，我多次致微粒贷客服反馈此事，仍无结果，只是一直地客服反馈，却无果，随之而来的是催收方变本加厉，催收方伪造立案通知、开庭通告等让债务人在恐惧担心害怕中、给债务人心里造成严重压力，恳请贵司能出个能接受的方案，每天提着一口气还要上班赚钱还债。</t>
  </si>
  <si>
    <t>2019/10/04 16:30:55</t>
  </si>
  <si>
    <t>投诉人 李女士        投诉对象  玖富        涉诉金额  19 000 元    问题类型    诉求类型投诉详情  申请提前结清，无力偿还高额利息。请早联系</t>
  </si>
  <si>
    <t>2019/10/04 16:30:46</t>
  </si>
  <si>
    <t>别人欠款骚扰我，还说经过欠款人同意可以联系我，骚扰别人还强词夺理，通过软件盗取别人信息，开口就是必须通知欠款人还款，口气恶劣，你们公司全是吃屎的吗。</t>
  </si>
  <si>
    <t>2019/10/04 16:30:17</t>
  </si>
  <si>
    <t>微粒贷在能联系到我本人的情况下，频繁联系我的联系人骚扰，让大家都知道我欠款的事情，导致我现在无法借到钱还账。</t>
  </si>
  <si>
    <t>2019/10/04 16:29:55</t>
  </si>
  <si>
    <t>2017年6月6号借的钱，目前为止已经还了27个月，已还47788.11，九月三十号找客服协商要求提前还款还需要将近一万，本来就很困难，想要主动协商还款销账，客服也答应会有人打电话联系，可到现在并未有人联系，怀疑可能要恶意致使逾期，我也知道欠债还钱天经地义，而我也已经还了比本金还多一万多，现在就想2000解决事情，我所说的话我都会留下记录，我说的话我自己会承担以后的法律效应，请务必聚投诉帮忙做出正确抉择，如果买单侠恶意致使我逾期，也请聚投诉帮忙见证，我早就联系了买单侠要求协商还款，而他们对我不理不睬，非要把</t>
  </si>
  <si>
    <t>2019/10/04 16:28:58</t>
  </si>
  <si>
    <t>今年用了几次每次都要买五百多会员现在突然不放款一时承不了，有还款意愿只要减免一点费用达到我的数额立马还款。</t>
  </si>
  <si>
    <t>2019/10/04 16:28:05</t>
  </si>
  <si>
    <t>借4000砍1100的利息然后要求还4000多的714高炮。</t>
  </si>
  <si>
    <t>2019/10/04 16:27:05</t>
  </si>
  <si>
    <t>由于种种原因导致逾期还款不上，360借条平台电话骚扰，短信恐吓，暴力催收。</t>
  </si>
  <si>
    <t>2019/10/04 16:26:46</t>
  </si>
  <si>
    <t>唯品花逾期了一个月，之前我已经跟客服沟通过，因为暂时遇到困难，暂时无力偿还，先尽量去凑还一部分，可是唯品金融的工作人员就爆了我的通讯录，让我的生活一团糟，就因为几百块钱真的要逼死我。</t>
  </si>
  <si>
    <t>2019/10/04 16:25:51</t>
  </si>
  <si>
    <t>高利贷，借3000一个月分4期总共要还5000多，要求协商还款，可以还本金和合理利息。</t>
  </si>
  <si>
    <t>2019/10/04 16:25:45</t>
  </si>
  <si>
    <t>投诉人 张先生        投诉对象  钱站        涉诉金额  1 000 元    问题类型    诉求类型投诉详情  2019年7月6日向钱站申请现金贷 额度1000元 7月10日到帐人民币1000元 分三期还款 己还二期 2019年10月6日第三期还款（561.87元），钱站签阴阳合同（1600元）属于阴阳合同 属于高利贷 是否可以不还第三期等待聚投诉平台处理。</t>
  </si>
  <si>
    <t>2019/10/04 16:25:37</t>
  </si>
  <si>
    <t>真的你太嚣张了，恐吓威胁打我通讯录电话还说终止合同马上处理，还说我骗贷，呵呵笑话我骗什么贷了，你要为你今天说过的话负责到底，还叫人上门来，你就叫人来我等你们，，，我给你说过我不还款吗，都是你再说，我的你们客服也说过了拿了工资马上处理，可是谁知道到今天还没有拿钱我怎么知道怎么回事，你叫我马上处理，全款处理，你有没有资格叫我全款处理，?我好想拖到现在，你叫我去抢去偷来还吗，，真的太嚣张了，我也把电话录音录下来了，我看你有好嚣张，只要我知道你打过我通讯录电话，那就不好意思准备起诉你们。</t>
  </si>
  <si>
    <t>2019/10/04 16:25:35</t>
  </si>
  <si>
    <t>晚上办理报名交首付款524元，办理的咖啡易容分期，一共12月，每月还款523.56元，当天晚上在网上看到很多负面的新闻，决定申请退学退款，当天就给孙老师说明退款，他那边告诉我24小时内全款退学可以的，第二天售后电话来电告诉我办理退款要11月1日，但是还款日期是10月29日，我要求在还款日期之前给办理，我不想因为这个影响我的征信，所以我希望他们能尽快解除掉咖啡易融贷款，我电话联系不到人，，400的客服电话根本打不通，只能在网上沟通解决问题慢。</t>
  </si>
  <si>
    <t>2019/10/04 16:25:31</t>
  </si>
  <si>
    <t>9月26日，手机提醒淘宝号异地登录，马上打开账号显示限制登录，点击无法登录指引看见说我店铺违规操作被扣48分，限制支付宝以及淘宝账号支付提现功能，遂与客服联系，说明情况后淘宝克服推诿到支付宝，支付宝推诿倒淘宝，我的诉求只是希望能够查清楚并非本人操作导致，后来淘宝客服人员说已经上报情况等待处理结果，等了五天依然没有任何处理结果，现在的情况是我淘宝号和支付宝号都不能使用，支付宝里面的钱也没有办法使用或者提现，联系双方客服人员都不处理，我想说现在解封不了账号没问题，但是最起码你要把钱让我提出来啊，这两个号我都是用</t>
  </si>
  <si>
    <t>2019/10/04 16:25:15</t>
  </si>
  <si>
    <t>给我说话机会都没有，自己在那边一直说，还说不还就打紧急联系人，如果打了别想我还一分钱，最起来给我说话的机会吧。</t>
  </si>
  <si>
    <t>2019/10/04 16:24:44</t>
  </si>
  <si>
    <t>一天N个电话严重影响生活和工作，接了电话还爆通讯录甚至通过其他渠道联系公司老板等等，紧急联系人之外的而且还是超过通讯录之外的公司里其他人员。</t>
  </si>
  <si>
    <t>2019/10/04 16:24:39</t>
  </si>
  <si>
    <t>我哥哥在2019年在及贷平台上借款9000元分6期，实际到账8163元，今日在中国保险万事通上查询到名下有易安保险借款人意外伤害保险，经查询为及贷及易安保险未经本人同意私自够买，扣款费用与保险费用完全吻合，违反银保监会的规定，无视国家法律法规，必须帮他投诉。</t>
  </si>
  <si>
    <t>投诉人 高女士        投诉对象  你我贷        涉诉金额  8 900 元    问题类型    诉求类型投诉详情  我朋友上学的时候借了8900买苹果手机。还了几个月现在没有钱还了。也逾期了。帮她问问怎么处理</t>
  </si>
  <si>
    <t>2019/10/04 16:24:26</t>
  </si>
  <si>
    <t>拇指下款在本人不知情的情况下，利用协议漏洞盗取本人银行账户金额。</t>
  </si>
  <si>
    <t>2019/10/04 16:24:19</t>
  </si>
  <si>
    <t>朋友在维信金科里借钱被平台欺骗让朋友通讯录信息泄露。</t>
  </si>
  <si>
    <t>2019/10/04 16:23:26</t>
  </si>
  <si>
    <t>投诉人朱先生投诉对象小当家涉诉金额1813元问题类型诉求类型投诉详情我账号里明明有钱，发信息说扣款失败，想手动还款，链接打不开！客服电话说没有此电话，忙线中。</t>
  </si>
  <si>
    <t>2019/10/04 16:23:17</t>
  </si>
  <si>
    <t>拍拍贷外包催收人员未经本人同意，私自拨打本人通话记录，给领导打电话说要起诉我，并充分披露了我的个人贷款信息，包括欠款总金额、逾期金额、分期期数等信息，已构成严重的违法行为。</t>
  </si>
  <si>
    <t>2019/10/04 16:22:48</t>
  </si>
  <si>
    <t>投诉人建成先生投诉对象交易猫涉诉金额3000元问题类型诉求类型投诉详情在交易猫花了3000元购买qq账号cf手游，登陆时显示被封号，我申请仲裁，结果客服在几天后突然让我在1分钟内把验证码发给它，作为一个有工作的人，不可能24小时守着，而且1分钟内发给它太为难人，在此之后在也联系不到交易猫客服，腾讯不管，交易猫提供的最终解决方法投诉电话也不管这事。</t>
  </si>
  <si>
    <t>2019/10/04 16:22:40</t>
  </si>
  <si>
    <t>腾讯课堂上的优梯教育学院涉嫌诱导学员交费，在QQ上咨询过电商培训的问题，然后他们的员工主动和我联系大打感情牌拉拢关系，交费后就冷淡处理不闻不问，去年交费大概三天后因为有其他事情需要退学，但腾讯课堂和优梯教育都不许退学，只能无限期办理休学，以至于拖到现在也没解决，也没有工作人员和我联系。</t>
  </si>
  <si>
    <t>2019/10/04 16:20:12</t>
  </si>
  <si>
    <t>希望能够停息挂账，因公司倒闭，现申请停息挂账，手机号，187******11，催收人员联系我我已经上报了具体情况，名下两辆车已经处理用来填补债务空缺，我在逾期的上个月是全额还款的，所以逾期并不是谁乐意的，希望贵行能够给一定的时间，虽然钱不多，但是对我现在债务缠身的情况，希望能够给一定的时间。</t>
  </si>
  <si>
    <t>2019/10/04 16:20:09</t>
  </si>
  <si>
    <t>投诉人 高女士        投诉对象  信用管家        涉诉金额  3 800 元    问题类型    诉求类型投诉详情  通过通讯录联系我朋友。骗我朋友说我出事了。要我朋友带路去我家。告诉我家人我差多少钱没有还。逼我家人还。</t>
  </si>
  <si>
    <t>2019/10/04 16:19:25</t>
  </si>
  <si>
    <t>投诉人 黄先生        投诉对象  美团金融        涉诉金额  800 元    问题类型    诉求类型投诉详情  800块就一直打电话 还打联系人 我发工资了会还的</t>
  </si>
  <si>
    <t>2019/10/04 16:19:00</t>
  </si>
  <si>
    <t>高铁管家明显误导消费，在购买尚有余票情况下，把正常的付费链接明显缩小，捆绑消费蓝色突出显示。</t>
  </si>
  <si>
    <t>2019/10/04 16:18:57</t>
  </si>
  <si>
    <t>也就是10.3号，接到一个奇葩预约单，凌晨2.30去10多公里处接人送2公里，我们这是湖北潜江5线小城市，接单一般过5公里就出了城到了周边乡镇，这样一个奇怪的订单之前也老有人发，预约单给司机犹豫的时间很短，所以每次这样的单子都会司机抢到，巨亏的单我不敢拒，滴滴把司机不当人，再来说10.3号这单，乘客电话故意不接，app端回复消息故意忽悠，很明显是同行发的整人单，我向客服反应，客服告之我如果电话联系不到乘客就取消然后报备，我下午1点2点5点致电乘客，都是响一声或二声挂机，按客服操作取消了，结局是扣钱扣成交率扣</t>
  </si>
  <si>
    <t>2019/10/04 16:18:42</t>
  </si>
  <si>
    <t>客户根本不知情的就扣了各种费用，利息也是高的吓人，还有提前扣砍头息。</t>
  </si>
  <si>
    <t>2019/10/04 16:17:54</t>
  </si>
  <si>
    <t>朋友在立借平台借款，立借在我朋友完全不知情的情况下私自多次扣除银行余额。</t>
  </si>
  <si>
    <t>2019/10/04 16:17:51</t>
  </si>
  <si>
    <t>我一个初中同学前两天在一起喝酒跟我说在闪银奇异闪管家公众号上申请借款，借款1000，要收取210的砍头息，于是放弃借款，由于利息太高，以后也不打算在此借款，没有产生任何合同，但是已经绑定了银行卡，由于担心资金安全，要求客服解绑银行卡，或者注销账户，客服一再推脱，我只能帮他投诉一下希望得到重视。</t>
  </si>
  <si>
    <t>2019/10/04 16:17:31</t>
  </si>
  <si>
    <t>宙斯钱包存在高利贷，砍头息，天天打电话骚扰我的家人朋友，还发短信威胁。</t>
  </si>
  <si>
    <t>2019/10/04 16:16:58</t>
  </si>
  <si>
    <t>但是当时在中国移动APP办理时是直接先添加的成员，成功后提示详见图片第二次找客服说我没有办理成功这个业务，而且在APP中查看是有此业务生效的记录呀第三次找客服讲是添加成员了，而且被添加人并没有收到这个短信9/5办理的这个业务。</t>
  </si>
  <si>
    <t>2019/10/04 16:16:47</t>
  </si>
  <si>
    <t>逾期协商还款，本人有还款意愿，与建设银行第三方协商还款，已告知部分还款金额延迟到账，后期还电话骚扰，并且催收人员告知3天不处理完账单威胁上门，告知村委会，之前已经多次电话骚扰。</t>
  </si>
  <si>
    <t>2019/10/04 16:15:39</t>
  </si>
  <si>
    <t>在本人毫不知情的情况下本人账户被扣了一笔222元的费用，本人没有收到任何相关信息，也没收到任何扣费验证码，该平台直接就扣了，我账户安全直接没有了保障，希望能退钱。</t>
  </si>
  <si>
    <t>2019/10/04 16:15:31</t>
  </si>
  <si>
    <t>未经本人同意，没有提示私自扣费199元，欺诈消费者。</t>
  </si>
  <si>
    <t>2019/10/04 16:15:14</t>
  </si>
  <si>
    <t>叉叉助手已经停运承诺退款半年还没有退客服也联系不到。</t>
  </si>
  <si>
    <t>2019/10/04 16:14:52</t>
  </si>
  <si>
    <t>还有到月底退房的时候还一直催现在到你们退款的时候怎么没当初那么积极了。</t>
  </si>
  <si>
    <t>2019/10/04 16:14:48</t>
  </si>
  <si>
    <t>2018年，本人向石家庄瞳爱科技有限公司预先交纳了3000元近视治疗费用，用于治疗孩子的近视，在今年，因孩子转学，只治疗了23次后无时间继续治疗，本人便与该公司协商剩余治疗费用的退款问题，因当时约定3680元治疗75次，平均每次49元，本人孩子只治疗23次，约花费1127元，经协商，该公司在本人急需退款、乘人之危的情况下，逼迫本人事先写出收据并无纠纷的字条，才给本人退还了部分款项，，另余828元拒绝退还！本人强烈要求该公司本着诚信经商的原则给本人退还剩余款项，并向本人赔礼道歉！！！。</t>
  </si>
  <si>
    <t>2019/10/04 16:14:30</t>
  </si>
  <si>
    <t>我在新大陆旗下星管家app上用身份证申请的商户，收款的金额102875元被无缘无故冻结，我找客服要我提供入网时的资料，我也全部提供了，每次咨询客服都说在审核中，已经过了好几个月，现在我账号金额都被清0了，资金都是合法所得，对方到现在也没有做出明确的答复，实在是没办法，请贵司帮忙处理。</t>
  </si>
  <si>
    <t>2019/10/04 16:13:54</t>
  </si>
  <si>
    <t>小花钱包，我每个电话都接，并且说明暂时经济困难的情况下，暴力催收，不停的电话短信骚扰，并且群发给联系人！！！要求小花钱包立即停止骚扰联系人，并且减免不合法的高额利息。</t>
  </si>
  <si>
    <t>2019/10/04 16:13:41</t>
  </si>
  <si>
    <t>本人在2019年9月2日办理月光侠分期项目，分三期还款，每期应还1300元，合计金额3900元，实际到账金额2600元，存在高额费用和利息，10月1日为第一期还款日，因本人资金周转不过来，联系客服人员协商，但是协商没有结果，10月4日有自称月光侠分期委托人员电话联系本人要求还款，并且在未经本人允许的情况下私自联系亲朋好友，要求还款。</t>
  </si>
  <si>
    <t>2019/10/04 16:13:24</t>
  </si>
  <si>
    <t>投诉人陈月菊投诉对象微信涉诉金额7000元问题类型诉求类型投诉详情本人是开超市的，在10月2号晚上十点多来了几个客人买烟酒，我用二维码收的钱，不知道为什么给冻结了，希望能个解封正常使用。</t>
  </si>
  <si>
    <t>2019/10/04 16:13:01</t>
  </si>
  <si>
    <t>此订单五人乘车超载乘客说很近，我说没办法抓住一次超一个12分，我不想丢这个饭碗，乘客后来叫了一部车，乘客他明确说了给我差评，这样恶意差评平台不给处理，我只想问平台为什么超人也让我去载吗，乘客恶意差评不让申诉，我希望平台给我一个合理的解释满意的答案。</t>
  </si>
  <si>
    <t>2019/10/04 16:11:52</t>
  </si>
  <si>
    <t>买了个小米手机1399元，因为我妈不喜欢所以退货了，当时还没收到的时候我就打给快递拒签了，手机都没看到，没想到退回这么慢！一直到今天也就是10月4号才显示退回！没想到商家给我拒绝退款了，让我重新申请又不给同意！逗我玩呢，！这是我见过的最慢最麻烦的退款！没有之一！要求马上给我退款！。</t>
  </si>
  <si>
    <t>2019/10/04 16:10:15</t>
  </si>
  <si>
    <t>投诉人 张先生        投诉对象  拍拍贷        涉诉金额  2 000 元    问题类型    诉求类型投诉详情  暴力催收 短信恐吓 高额利息 高利贷性质</t>
  </si>
  <si>
    <t>2019/10/04 16:10:10</t>
  </si>
  <si>
    <t>爱钱进app，投资资金不断进行续期，app误导客户不断进行续期操作，电话客服要求公司取消续期被拒绝！导致客户资金不断续期无法取回。</t>
  </si>
  <si>
    <t>2019/10/04 16:09:23</t>
  </si>
  <si>
    <t>收取高额砍头息，贷款到账立刻自动秒扣，借1500元实际到手1125，30天需还款1545元，还款日当天并未逾期的情况下一直电话骚扰，现在要求贷款平台归还下款时收取的砍头费用375元，并停止电话骚扰。</t>
  </si>
  <si>
    <t>2019/10/04 16:08:05</t>
  </si>
  <si>
    <t>投诉人 邓先生        投诉对象  来分期        涉诉金额  20 000 元    问题类型    诉求类型投诉详情  在来分期借了20000 还了4个月了现在资金链断裂还不起 平台工作人员天天打电话给我 我家人合朋友 都是一些恐吓电话 每天打电话我还没那么气 最气人的就是这平台从抖音里面把我老婆在抖音上传我儿子的视频给转发在他自己抖音乐号里，标准题写 转告你家人邓迎春还钱 欠钱不还 四百块钱还不起 用这种手段逼我还钱</t>
  </si>
  <si>
    <t>2019/10/04 16:07:33</t>
  </si>
  <si>
    <t>火影帮高利贷砍头息，想协商还款都不允许，已经交过延期费一次，只想还到手本金加合法利息都不行，这种黑社会性质，希望能给一个说法。</t>
  </si>
  <si>
    <t>2019/10/04 16:07:17</t>
  </si>
  <si>
    <t>本人在钱包易贷借款，我在钱包易贷借了4600元、到账4600，分12个还款，每期还款424元，后来客服打电话让我缴纳一笔征信管理费，我没有理会，第一次还款居然要还606元砍头息、然后还要还424元，一查看是什么贷款管理费、钱包易贷虚假宣传，诱导用户，12期要还5136元加上砍头息606元、总共就是要还5742元、这样的利息，还能记录在中国人民银行征信系统，超出国家规定百分之36的利息，这样的高利贷还能上中国人民银行征信、还是说有长治银行这个后台就能这样、在此强烈要求利息改回百分之24的国家法定利息，退还砍头</t>
  </si>
  <si>
    <t>2019/10/04 16:07:07</t>
  </si>
  <si>
    <t>结果今天未经我允许莫名其妙被扣250说我订了什么套餐。</t>
  </si>
  <si>
    <t>2019/10/04 16:06:57</t>
  </si>
  <si>
    <t>东西没收到，申请退款，卖家不回复，也不退款，。</t>
  </si>
  <si>
    <t>2019/10/04 16:06:41</t>
  </si>
  <si>
    <t>昨天注册了一下，然后卸载了，今天下午未经允许乱扣费，无端端扣钱。</t>
  </si>
  <si>
    <t>2019/10/04 16:06:14</t>
  </si>
  <si>
    <t>平台商家串通一气，宾馆楼下ktv，无法休息，住两天只给退一天钱，。</t>
  </si>
  <si>
    <t>2019/10/04 16:06:09</t>
  </si>
  <si>
    <t>投诉人 张先生        投诉对象  海小葵        涉诉金额  3 000 元    问题类型    诉求类型投诉详情  海小葵高利贷砍头息暴力催收 侮辱恐吓 借3000实际到账2200 本人无力承担高额利息</t>
  </si>
  <si>
    <t>2019/10/04 16:05:56</t>
  </si>
  <si>
    <t>亲戚在维信金科下借的钱12个月利息3600多，还被砍头息，平台还不管。</t>
  </si>
  <si>
    <t>2019/10/04 16:05:50</t>
  </si>
  <si>
    <t>投诉人 刘先生        投诉对象  你我贷        涉诉金额  4 600 元    问题类型    诉求类型投诉详情  3月借4800还了5600我以为还完了。这个月还要我还680的违约金和服务费。费用高的离谱。</t>
  </si>
  <si>
    <t>2019/10/04 16:04:45</t>
  </si>
  <si>
    <t>中腾信、小花钱包出卖个人隐私、通讯录给外包公司鼎泰鑫，实行暴力催收、爆通讯录，根据相关法律规定，中腾信小花钱包出现年利率过高，超过年利率36%！并且在催收一事上，出现了暴力催收现象，未经借款人同意，爆借款人通讯录，并且骚扰他人，以上所述都是由中腾信小花钱包出卖借款人个人隐私信息给鼎泰鑫外包催收公司所做之事，要求中腾信小花公司停止骚扰、暴力催收、道歉、并且进行尽快与之协商，并且保留控告中腾信小花钱包暴力催收、出卖个人隐私等违法行为的赔偿权利。</t>
  </si>
  <si>
    <t>2019/10/04 16:04:41</t>
  </si>
  <si>
    <t>自由魔卡平台下六便士，高利贷放款平台，借2000元，30天，收砍头息540元，到期还2060元，远远超过国家规定的年利率，请求减免不合理砍头息部分，本着做人的信用，愿意尝还本金，但这些不合规的高贷平台，还请相关部门审查，不能让这些害群之马，扰乱金融市场，坑害弱势群体，谢谢！。</t>
  </si>
  <si>
    <t>2019/10/04 16:04:01</t>
  </si>
  <si>
    <t>我农行信用卡2019年9月8号注销以后，无故扣留我多还的钱，，中间10月4号因为操作失误，又多还了4000多元进去，我想说的是卡注销了，我的钱还能还进去，我打电话协商，它们告诉我，假如，农行信用卡我没有如期还款，给我上征信，让我多还利息，为什么扣留我的钱45天，说的还那么强硬，必须等到45天以后，我可以给农行信用卡上征信吗，可以让它给我违约金和利息吗，这是我救命的钱，无故扣留我45天，望平台尽快给我处理。</t>
  </si>
  <si>
    <t>2019/10/04 16:03:58</t>
  </si>
  <si>
    <t>到账2100，7天一期，一个月还3000多！如此严重的高利贷，立借平台给他们提供着放款渠道，让他们非法获利！不仅如此还暴力催收，因为他们软件问题导致的无法还款，却在还款日当天骚扰我及我的联系人！已还三期远超本金，之前投诉没有人管，今天又开始骚扰，严重干扰正常生活！未逾期也言语辱骂，逼迫借款人自杀！能不能有人管一下。</t>
  </si>
  <si>
    <t>2019/10/04 16:03:41</t>
  </si>
  <si>
    <t>我堂哥经常跟我说在及贷平台借了一万块钱，平台很黑，放砍头贷而且年化利息超过36％隐藏借款合同，导致他现在不想还钱了。</t>
  </si>
  <si>
    <t>2019/10/04 16:03:31</t>
  </si>
  <si>
    <t>2019/10/04 16:02:52</t>
  </si>
  <si>
    <t>投诉人 范女士        投诉对象  借东风        涉诉金额  0 元    问题类型    诉求类型投诉详情  发短信的记录刚被我删掉了我所以看不到 只有打电话的</t>
  </si>
  <si>
    <t>2019/10/04 16:02:47</t>
  </si>
  <si>
    <t>9月28号晚上到成都仁恒置地广场路易威登店买了一个价值15100，晚上回到家以后，家人说这个包包不好看，让我联系销售我去换一个，然后我就马上联系路易威登仁恒店的销售人员，她说不能退货，可以换货，我就一直放着就没有使用过了，然后就10月4号去店里面换货，结果她们说包包里面有痕迹，不能退，痕迹很不明显，她们不说我自己也没有发现，她们非要说是我们人为，就像是皮质的纹路，她们态度非常强势，说不能换，协商很久，她们都不同意，回到家我又仔细检查，发现包包的金属扣件有明显划痕，现在严重怀疑包包的瑕疵品，以次充好，不良商家</t>
  </si>
  <si>
    <t>2019/10/04 16:00:59</t>
  </si>
  <si>
    <t>最近遇到资金紧张，屡次和对方协商缓缓，因为对方多收超过国家的贷款利率，要求减息，不但不减息，还电话骚扰和恐怖，明明找了催款的无良人士，出言恐吓。</t>
  </si>
  <si>
    <t>2019/10/04 16:00:55</t>
  </si>
  <si>
    <t>投诉人黄先生投诉对象拇指下款涉诉金额200元问题类型诉求类型投诉详情拇指下款，私自刷取本人银行卡金额，并且是在本色卸载该平台app情况下，和未告知本人未经本人同意情况下。</t>
  </si>
  <si>
    <t>2019/10/04 16:00:49</t>
  </si>
  <si>
    <t>投诉人张先生投诉对象中国电信涉诉金额0元问题类型诉求类型投诉详情手机卡无缘无故不能用售后，就我跑去上海办理中国电信那么大，为什么本地办理不了呢。</t>
  </si>
  <si>
    <t>2019/10/04 15:59:45</t>
  </si>
  <si>
    <t>点融极贷产品，阴阳合同，借款本金到账10000元，合同本金13156，砍头息和所谓的各种管理费要3000多，每期也都是正常还款，不到还款日就暴力威胁催收，而而且雇佣第三方暴力催收，爆打我本人通讯录姑姑号码，和亲戚朋友号码，这些用广东的这些虚拟号码拨打来，回拨过去根本就打不通，联系官方客服10109188人工电话也是无人接听，甚至是用短信轰炸机等恶意流氓软件群发给本人和同语录朋友、家人，造成本人名誉恶劣影响，在为此本人，在聚投诉平台已经投诉多次此平台，都好几个月了，官方没有任何回复，严重侵害作为消费者权益，现</t>
  </si>
  <si>
    <t>2019/10/04 15:59:40</t>
  </si>
  <si>
    <t>在淘宝捷达食品机械买的快递已经申请退货一个多月了，运费也是我出的，卖家到现在还没有退款。</t>
  </si>
  <si>
    <t>2019/10/04 15:59:11</t>
  </si>
  <si>
    <t>我的多朋友收到还款提醒第二天就逾期了，一天就要三百啊，客服也不上班，希望你们上班之后帮我把逾期费去掉，好让我的朋友还款。</t>
  </si>
  <si>
    <t>2019/10/04 15:58:58</t>
  </si>
  <si>
    <t>催收暴力催收，恐吓威胁，电话骚扰，每天不同的人打电话给我说不同的话。</t>
  </si>
  <si>
    <t>2019/10/04 15:58:50</t>
  </si>
  <si>
    <t>我表哥在闪银借的钱，因为平台利息高了还不起了，结果他们雇佣黑社会上门威逼父母还儿子的账，这种行为还不恶劣吗。</t>
  </si>
  <si>
    <t>2019/10/04 15:58:49</t>
  </si>
  <si>
    <t>真心希望协商提前还款，利息减免，望客服来电。</t>
  </si>
  <si>
    <t>2019/10/04 15:58:29</t>
  </si>
  <si>
    <t>本人被引诱到一个网站充值入金600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t>
  </si>
  <si>
    <t>2019/10/04 15:58:04</t>
  </si>
  <si>
    <t>投诉人 王先生        投诉对象  发卡网        涉诉金额  30 元    问题类型    诉求类型投诉详情  平台购买了账号 我不会使用 当天联系不上卖家 按平台说的 当天24点前可以退款 我当天下午就申请了退款 可平台说要审核 审核不通过 就不给退钱 现在我钱也付了 东西也没法用</t>
  </si>
  <si>
    <t>2019/10/04 15:57:49</t>
  </si>
  <si>
    <t>我在2019年9月份的时候在苏宁易购里面申请任性贷出了贷款额度23400元，当时日利率是0.66%，月利率就是2%左右，符合国家最高合法年利率24%，可是当我今天打开app，发现日利率是0.1%，折算成月利率是3%，年利率是36%，这已经就是高利贷了，我跟客服交涉，他们不承认是高利贷，也不后台处理这贷款利率。</t>
  </si>
  <si>
    <t>2019/10/04 15:57:33</t>
  </si>
  <si>
    <t>宝付支付公司恶意从本人银行卡多次消费扣款，在本人不知情的情况下恶意盗扣金额累计4236.66元，。</t>
  </si>
  <si>
    <t>2019/10/04 15:57:10</t>
  </si>
  <si>
    <t>探探屏蔽我的账号，我的账号收不到任何信息，正常功能全部用不了，并且我还充了会员，这不是涉嫌欺诈，我的要求是彻查此事还消费者一个合法权益，这是无视中国法律法规，没有正视国家的法律！把国家的出台的法律当成儿戏！。</t>
  </si>
  <si>
    <t>2019/10/04 15:57:06</t>
  </si>
  <si>
    <t>本人是掌众金服旗下借款平台闪电借款老客户，一直还款情况良好，由于近期资金压力大，没办法按时还款，现特向平台申请延期或者分期还款，已经跟该平台客服联系过，客户推脱敷衍，没办法完成协商，本人在未逾期的情况下跟平台申请，请贵平台高抬贵手，贵平台包含砍头息，还有超额的逾期费用，请不要再让催收骚扰影响本人的生活，本人会在协商的时间内按时还款，谢谢！。</t>
  </si>
  <si>
    <t>2019/10/04 15:57:02</t>
  </si>
  <si>
    <t>瀚银科技及其合作商户三佳润尚商贸公司为伪装成股票收益网站的境外非法赌博公司提供支付渠道，致使本人被骗取520元，瀚银科技有责任有义务为我讨还公道！！！。</t>
  </si>
  <si>
    <t>2019/10/04 15:56:46</t>
  </si>
  <si>
    <t>投诉人南先生投诉对象我来数科涉诉金额23267元问题类型诉求类型投诉详情我来数科，打着国家法定利率36%的擦边球，实际上是高利贷，并且不提供提前还款入口，提前还款没有见面，现本人要求结清所有借款并且协商减免费用，希望客服看到后尽快联系。</t>
  </si>
  <si>
    <t>投诉人艾先生投诉对象信用管家涉诉金额7300元问题类型诉求类型投诉详情我姐姐都快要被催款公司吓疯了。</t>
  </si>
  <si>
    <t>涉诉金额1600元问题类型诉求类型投诉详情借啦1600现在要还5000多.这也太黑了国家不管吗，就让他们这样吗，我要去银监会投诉，我去啦当地派出所民警说不要还这样的高利贷。</t>
  </si>
  <si>
    <t>2019/10/04 15:56:27</t>
  </si>
  <si>
    <t>在本人未知的情况下无故扣款，且没有任何提醒！。</t>
  </si>
  <si>
    <t>2019/10/04 15:56:25</t>
  </si>
  <si>
    <t>卖家是2019年10月3号下午2:20更换的买家的手机号，qq更换绑定的手机号是需要12个小时审批，买家4号凌晨1:25上游戏就显示卖家的原号码已经由166变成187了，买家的号码都没变更完成，游戏账号已经被卖家找回了，187的号码也不是买家变更的，查询有没有申诉过，进去就需要验证手机号码，但手机号码不是买家的，所以无法查询。</t>
  </si>
  <si>
    <t>2019/10/04 15:55:55</t>
  </si>
  <si>
    <t>在闪电借款总借款包括商场买的商品在卖给商场总金额190743元，，还有最后一期应还金额3672.60元，实际买黑卡话费500元，不得不承认闪电借款比起那些714还算是有良心，借款期间付出的利息包括买黑卡和商城的折旧商品出手的总付出的利息滞纳金手续费也在四万元左右，作为，闪电借款的消费者也好老客户也罢，现在因家人住院资金出现问题希望能得到闪电借款的帮助能给最后一期的还款给予销账处理，如果按照欠债还钱的道理我是应该归还，可是按照人情世故，和我以往付出的利息和手续费这最后一期的销账并没有损害闪电借款的利益。</t>
  </si>
  <si>
    <t>2019/10/04 15:55:35</t>
  </si>
  <si>
    <t>用完车后要求返还押金，以各种理由拖后，直至无人处理！！！！！。</t>
  </si>
  <si>
    <t>2019/10/04 15:55:15</t>
  </si>
  <si>
    <t>金鸡下蛋借款6天，额度2000到手1400，还款时还2000.展期费用600等于套路贷款，存在砍头息。</t>
  </si>
  <si>
    <t>2019/10/04 15:55:06</t>
  </si>
  <si>
    <t>我本来是4号是还款期，3号就打电话叫我还款，今天是4号，按道理说，我应该4号随便什么时候还进去就可以，他们打电话叫我几点几点还进去，还说，不还进去要逾期。</t>
  </si>
  <si>
    <t>2019/10/04 15:54:26</t>
  </si>
  <si>
    <t>借款金额15000立马被恶意扣除1500砍头息高利贷。</t>
  </si>
  <si>
    <t>2019/10/04 15:53:41</t>
  </si>
  <si>
    <t>实际借款33500元，因借款是另外的人员帮助申请，期间不懂利率，借款合同有两个金额，第一个合同实际我的借款金额为33500，36期，上面写的需支付本息39833.16，我觉得是合理的；另一份，上面显示借款金额为25101.55元，，到期需支付服务费总额还有利息29847.01元，；这么高额的服务费还有服务费利息符合国家规定吗，打着说借款就看到合同，请问平台说自己是合规的，服务费是怎么合规的，现在已经还了12期了，已经还款23223.12元，希望能免除服务费，正常本息还款。</t>
  </si>
  <si>
    <t>2019/10/04 15:53:15</t>
  </si>
  <si>
    <t>本人在轻周转借款2800，8天一期共4期，每期还款金额1022，4期利息高达1200多，已经还款2期，明天第三期到期，想要和平台协商还完3期第四期销账处理，结果客服无人接听，所有的客服都不做任何回复，只说让APP反馈，但是APP一直没有回复，如果恶意造成逾期只有向广东瑞利信息咨询有限公司所在地举报。</t>
  </si>
  <si>
    <t>2019/10/04 15:52:34</t>
  </si>
  <si>
    <t>爱白条实际到账2600，三个月共需还3903，属于高利贷，要求调整利率，客服电话:010-51641653。</t>
  </si>
  <si>
    <t>2019/10/04 15:52:33</t>
  </si>
  <si>
    <t>在2018年10月21日向你我贷公司，借款6600元现已还款8224元，利息或服务费用过高，申请最后一期656元，申请减免并且维护征信，并且吹收人有搔扰父母，重点是威胁打电话告知工作地点老板，影响工作。</t>
  </si>
  <si>
    <t>2019/10/04 15:51:53</t>
  </si>
  <si>
    <t>多乐优品借1500块还2000块，分三期还每期10天，第一期就要还1000块其中500块是买强制扣尊享权益礼包。</t>
  </si>
  <si>
    <t>2019/10/04 15:51:46</t>
  </si>
  <si>
    <t>借款2200元3个月还款4570多元.这是合法利息.有些人员给这些平台做保护伞.睁着眼睛说瞎话，不怕报应。</t>
  </si>
  <si>
    <t>2019/10/04 15:51:40</t>
  </si>
  <si>
    <t>每个展期就要570元，已经连续好几个月，交的利息已经超过上万元。</t>
  </si>
  <si>
    <t>2019/10/04 15:51:22</t>
  </si>
  <si>
    <t>这不是属于盗窃行为?希望追回欠款并且严惩这个公司。</t>
  </si>
  <si>
    <t>2019/10/04 15:50:53</t>
  </si>
  <si>
    <t>平安普惠的催收人员，在我说明正在与其总部协商还款的情况下，对我进行恐吓，并且列举的借款信息并不对等！为了保障个人权利！要求平安普惠在节后积极与我联系协商还款事宜！处罚该催收人员！并且公开道歉！如果造成了通讯录人员的干扰及骚扰，本人也将在本地金融局及平安普惠所在地金融局进行维权投诉！。</t>
  </si>
  <si>
    <t>2019/10/04 15:50:35</t>
  </si>
  <si>
    <t>投诉人何女士投诉对象小浦优客涉诉金额296元问题类型诉求类型投诉详情在小浦优客app申请借款，按步骤填写资料，然后最后要求绑定银行卡，绑定完成就开始审批，然过了第二天下午就发了信息说什么报告已生成，已被扣除296元个人信用报告费用，但是申请步骤时并没有说明提示有这个费用，然后打客服电话也打不通，一直是忙音，这个app涉嫌违规欺诈，因为一般审核也不是很久，一晚上没看就卸载了app，不知道要扣费，所以过程也没有截图。</t>
  </si>
  <si>
    <t>2019/10/04 15:50:24</t>
  </si>
  <si>
    <t>九月四号上海你我贷公司暴力催收，对借款人侮辱，威胁，而且暴力催收，如果不能解决，本人决定收集材料走法律途径！。</t>
  </si>
  <si>
    <t>2019/10/04 15:50:14</t>
  </si>
  <si>
    <t>今天我下载这个软件，申请贷款，要绑定银行卡，我绑定时候直接给我买了个信用评估查询，扣了199！我不知道他们怎么可以在我不输入银行卡密码的情况下扣除我的余额！而且还强盗协议！必须要在各个网贷平台申请借款并且有6个网贷不批准才能退款！。</t>
  </si>
  <si>
    <t>2019/10/04 15:49:59</t>
  </si>
  <si>
    <t>保险公司和维信金科借款平台在客户借款申请时违规将借款合同与保险合同捆绑到一起，如不购买保险，借款申请就无法确认，客户在操作借款时，操作页面无明显提示需购买保险。</t>
  </si>
  <si>
    <t>2019/10/04 15:49:55</t>
  </si>
  <si>
    <t>在不知道情况下扣费296，要求退款，客服联系不上。</t>
  </si>
  <si>
    <t>2019/10/04 15:49:45</t>
  </si>
  <si>
    <t>大手钱包涉及高利贷，借款1500元到账只有1050元，到期还款之后没有及时销账处理，导致银行卡的钱今天又被自动扣款，严重影响了本人的资金运作，现在要求大手钱包给出合理解释被作出相应赔偿。</t>
  </si>
  <si>
    <t>2019/10/04 15:49:44</t>
  </si>
  <si>
    <t>投诉人熊先生投诉对象呗呗有钱涉诉金额1500元问题类型诉求类型投诉详情呗呗分期借款1500到手1200，期限3天，如果没有在12点前还款或者展期就是电话打来，展期费用300元。</t>
  </si>
  <si>
    <t>2019/10/04 15:48:31</t>
  </si>
  <si>
    <t>投诉人 邓先生        投诉对象  你我贷        涉诉金额  2 800 元    问题类型    诉求类型投诉详情  我朋友借了几千块钱都还了。可能还差点没有还完。每天打电话问我要人。要不到人就要我帮他还。请问这样合适吗？</t>
  </si>
  <si>
    <t>2019/10/04 15:48:04</t>
  </si>
  <si>
    <t>本人于年初在该平台上借了一万，每月还1017元，借款时长24个月，但总共要还24000多，有高利贷之嫌，之前每个月都有按时还款，上个月的确是遇到了困难才导致了逾期，并非恶意，希望该平台放宽10天还款时间，停止暴力催收。</t>
  </si>
  <si>
    <t>2019/10/04 15:48:02</t>
  </si>
  <si>
    <t>高利贷我我是逾期还款每个月最少还1500到1600多，最近实在是困难有两个月没及时还，9月25号短信提醒42000左右可是10月结果涨到61666多这不是高利贷是啥。</t>
  </si>
  <si>
    <t>2019/10/04 15:47:58</t>
  </si>
  <si>
    <t>本人2019年1月13日通过信用钱包贷款8000元，一共9期结合利息担保费共计应还10160.01元，9期的而外费用就高达2160.01元，每期的本金是861，利息高达266，先要求按正常利息偿还，本人借口都是履约，但不支持违法高利贷，不给出合理要求减息，将继续升级投诉！。</t>
  </si>
  <si>
    <t>2019/10/04 15:47:39</t>
  </si>
  <si>
    <t>10月4日，你我贷催收打电话态度强硬，威胁，恐吓，私自透露欠款人信息，私自登陆欠款人你我贷app，请聚投诉为我做主，。</t>
  </si>
  <si>
    <t>2019/10/04 15:47:34</t>
  </si>
  <si>
    <t>一个朋友说在及贷上借了钱因为资金紧张逾期了，和他们协商，说你们这利息不合法，只要修改到合法部分，我肯定还！他们说，他们就是这样的，就是放高利贷的，国家拿他们也没有办法，还恐吓我，今天就爆通讯录！。</t>
  </si>
  <si>
    <t>2019/10/04 15:46:13</t>
  </si>
  <si>
    <t>本金40000合同却写着48080利息也是按着48080来的，但是实际到账金额40000。</t>
  </si>
  <si>
    <t>2019/10/04 15:46:08</t>
  </si>
  <si>
    <t>投诉人井先生投诉对象周周花涉诉金额1345元问题类型诉求类型投诉详情张口骂我侮辱我一直骂我不停的骂我让我心里很不舒服。</t>
  </si>
  <si>
    <t>2019/10/04 15:45:52</t>
  </si>
  <si>
    <t>前段时间因为资金周转需求，所以下载了网贷平台，但是后面感觉是套路所以没有借款卸载了平台，但是讯联智付中兴付却莫名其妙扣了我两笔款，一笔100，一笔115。</t>
  </si>
  <si>
    <t>2019/10/04 15:45:34</t>
  </si>
  <si>
    <t>投诉人蔡先生投诉对象中腾信涉诉金额1999元问题类型诉求类型投诉详情中腾信提供虚假合同，刚开始借4万没说竟然要还6万，合同给发过来才发现有6万多，还款日当天就开始暴力催款，骚扰我亲人，还没逾期，你们就开始催收，太恶略了，这种非法高利贷公司，就不应该存在，群发短信，公开我身份信息，必须要投诉，国家管不了你们了。</t>
  </si>
  <si>
    <t>2019/10/04 15:44:51</t>
  </si>
  <si>
    <t>9月25日借款1400元，到账1400元，6条要求还款2000元，没钱还款续期3天300.6天600.到目前截止9天已经付900利息。</t>
  </si>
  <si>
    <t>2019/10/04 15:44:38</t>
  </si>
  <si>
    <t>我无意的看到网上说小赢卡贷的合同和还款利息金额不一致，所以我也认认真真的好了一下合同，本来我也是很感谢小赢卡贷在我最缺钱的时候帮助了我，以为小赢卡贷是正规的公司，当我再算了一下合同里借款合同的年化率7.2%，我发现这个数为什么和我还款金额差那么多，然后我就找小赢卡贷app的客服问什么回事，下面图片，合同里说的是年化率7.2%，客服跟我说您可以使用借款期限*每月还款金额+保费-借款本金/借款本金，计算出综合费率，根据《中国人民银行关于取缔地下钱庄及打击高利贷行为的通知》中规定：，民间个人借贷利率由借贷双方协商</t>
  </si>
  <si>
    <t>2019/10/04 15:44:27</t>
  </si>
  <si>
    <t>投诉人陈先生投诉对象汇豪汽车维修服务部，亨享餐饮，尚魅蜜语化,尚魅蜜语化妆品商行，婆里婆餐饮，首胜餐饮,建设街鸿琳汽车钣金喷漆行，国志汽车修理厂,靖宇镇鸿运洗车行，树田日用百货商店涉诉金额60000元问题类型诉求类型投诉详情云闪付为非法赌博平台彩813提供充值通道，刻意隐藏收单机构及订单号，中国银联为赌博平台第三方支付平台，据我所知赌博在中国是不合法的，但是银联是合法的，可是云闪付作为银联旗下产品竟然为赌博平台提供资金充值渠道，云闪付这样的做法实在是有害于明，请求云闪付撤销对赌博平台的资金支持，并且能够取消</t>
  </si>
  <si>
    <t>2019/10/04 15:44:23</t>
  </si>
  <si>
    <t>本人在活力花平台借款，在本人不知情的情况下为我购买了数份阳光保险合同，现要求全额退款，活力花平台捆绑销售阳光保险。</t>
  </si>
  <si>
    <t>2019/10/04 15:44:19</t>
  </si>
  <si>
    <t>投诉人 郭先生        投诉对象  信用管家        涉诉金额  0 元    问题类型    诉求类型投诉详情  我哥哥借了3600没有还。留的我的电话。每天20多个骚扰电话。不接怕耽误事借了都是催款的。烦</t>
  </si>
  <si>
    <t>2019/10/04 15:44:18</t>
  </si>
  <si>
    <t>由于手机坏了前几天一直在修接听不了电话，逾期了一天，贷上钱催收部门就到处到电话泄露我隐私，借款4500现在要还将近6000高利贷吗。</t>
  </si>
  <si>
    <t>2019/10/04 15:44:17</t>
  </si>
  <si>
    <t>我的朋友在立借平台上面借钱后所还的利息费不符合实际。</t>
  </si>
  <si>
    <t>2019/10/04 15:44:15</t>
  </si>
  <si>
    <t>我的朋友在闪银借的钱，平台需要联系客服处理问题结果客服从早上说反映到下午没有给一个明确的回复并且借款时需要强制购买276的商品才可以借款。</t>
  </si>
  <si>
    <t>2019/10/04 15:44:14</t>
  </si>
  <si>
    <t>本人于9月向小象优品借款3000元，用时1个月，想提前结清，客服告知只能按照每期金额提前结清，借款3000元用一个月需要支付手续费540元，简直就是高利贷，现要求提前一次结清，并调整利率。</t>
  </si>
  <si>
    <t>2019/10/04 15:44:13</t>
  </si>
  <si>
    <t>然后自动就从我卡里扣了288，还没有任何短信提醒。</t>
  </si>
  <si>
    <t>2019/10/04 15:43:33</t>
  </si>
  <si>
    <t>我很想问在联系的到我本人的情况下不停拨打我家人朋友同事的电话，上来就吼，我想说句我老婆我父母有疾病都不让说难道用互联网软件、改号软件等非法软件对于借款人亲朋好友进行骚扰，出了人命就不用负责了吗，这种骚扰与债务无关的人员，侵犯债务人隐私权，遭到了P2P网贷平台拍拍贷及其第三方委外催收机构的不法侵害和“暴力催收”，而这些行为一直在不断的挑战我和法律的底线。</t>
  </si>
  <si>
    <t>2019/10/04 15:43:31</t>
  </si>
  <si>
    <t>我这边不方便，又跟他们联系过的，但是他们威胁到我了，恐吓我，还给我家里人打电话，说不明缘由，导致我现在生活状态不好，通话记录给曝光，毁我形象。</t>
  </si>
  <si>
    <t>2019/10/04 15:43:28</t>
  </si>
  <si>
    <t>一个自称张老师的分析我的感情经历，后来付款给他们还签订了一个电子合同，之后加了一个姓刘的男的说是让他给我指导，结果一天都联系不上人。</t>
  </si>
  <si>
    <t>2019/10/04 15:43:18</t>
  </si>
  <si>
    <t>投诉人兰先生投诉对象京东金条，包银包你贷，万达万e贷涉诉金额10000元问题类型诉求类型投诉详情帐号137******59.有借有还，没有逾期过，要求恢复额度正常使用。</t>
  </si>
  <si>
    <t>2019/10/04 15:43:15</t>
  </si>
  <si>
    <t>投诉人 郭先生        投诉对象  聚富分期        涉诉金额  299 元    问题类型    诉求类型投诉详情  日子扣费，在我不知情的情况下扣钱？客服服务态度极差</t>
  </si>
  <si>
    <t>2019/10/04 15:42:38</t>
  </si>
  <si>
    <t>My钱包外包第三方违法催收，骚扰通讯录好友，严重影响通讯录好友的正常工作和生活！。</t>
  </si>
  <si>
    <t>2019/10/04 15:42:28</t>
  </si>
  <si>
    <t>投诉人刘先生投诉对象小花钱包涉诉金额667元问题类型诉求类型投诉详情群发本人信息，暴力催收，影响个人正常生活。</t>
  </si>
  <si>
    <t>2019/10/04 15:42:16</t>
  </si>
  <si>
    <t>2019/10/04 15:42:01</t>
  </si>
  <si>
    <t>投诉人 刁海洋        投诉对象  360借条        涉诉金额  1 000 元    问题类型    诉求类型投诉详情  暴力催收 辱骂 不予协商 催收员态度恶劣 威胁恐吓联系亲友</t>
  </si>
  <si>
    <t>2019/10/04 15:41:38</t>
  </si>
  <si>
    <t>中金支付四川分公司，外贸信托.在2019年9月29日凌晨2点57分，私自盗取卡内金额1174元，本人确保无任何操作记录，绝不是本人操作！现希望有关部门对中金支付作出严查严管，不要让此类吸血虫再残害老百姓，坑害老百姓的血汗钱。</t>
  </si>
  <si>
    <t>2019/10/04 15:41:37</t>
  </si>
  <si>
    <t>24号借款3000元，5天还款，28号要求还款3014.79元，5天利息高达1139.79元，下款时没有任何显示利息是多少，也没有下款通知，通过一个个人账户陶艳平实际到账1875元，打客服电话想取消借款，也联系不上，只有在消息反馈栏里留言，希望取消借款，结果没有任何回复，到了28号当天，各种渠道催收恐吓，下面是催收电话，虾米在线客服的微信和qq，最后没有办法的情况下凑到2500还款，是有中国银联有限公司广东分公司协助收取的还款，可是还是有称是虾米在线的人打电话催收，对我的生活已经造成了严重影响，电话打过来的</t>
  </si>
  <si>
    <t>2019/10/04 15:41:31</t>
  </si>
  <si>
    <t>投诉人程先生投诉对象现代金控一广州欧福科技有限公司涉诉金额199元问题类型诉求类型投诉详情本人9月由于资金需求在“借钱花呗”上按要求注册和填写完相关信息，在本人并无点击评估的情况下，该公司无故扣我199元。</t>
  </si>
  <si>
    <t>2019/10/04 15:41:17</t>
  </si>
  <si>
    <t>3日傍晚再次联系保险答复一天内有人联系我，直至目前4日下午未有人联系我，我拿着艺龙订单里的保险单号到保险官网查询保险订单信息，无法查询到任何信息，要求艺龙与保险公司给出合理解释，并退还本人支付的住宿全款及取消险442.05元。</t>
  </si>
  <si>
    <t>2019/10/04 15:41:06</t>
  </si>
  <si>
    <t>投诉人黄先生投诉对象闪管家,Wecash闪银涉诉金额0元问题类型诉求类型投诉详情我在闪银奇异闪管家公众号上申请借款，借款1000，要收取210的砍头息，于是放弃借款，由于利息太高，以后也不打算在此借款，没有产生任何合同，但是本人已经绑定了银行卡，由于担心资金安全，要求客服解绑银行卡，或者注销账户，客服一再推脱，只能在此投诉。</t>
  </si>
  <si>
    <t>2019/10/04 15:40:33</t>
  </si>
  <si>
    <t>投诉人 杜女士        投诉对象  微粒贷        涉诉金额  1 020 元    问题类型    诉求类型投诉详情  老是给我打电话，吓唬我，我说晚上也不行 我在上班，一直给我打电话，说话口气吓人</t>
  </si>
  <si>
    <t>2019/10/04 15:40:16</t>
  </si>
  <si>
    <t>客服太嚣张说什么今天就联系通讯录好友，还叫我今天全款还款，我想问下我才逾期几天，我的你们客服说过拿工资马上就处理，可是工资还没有拿到啊，，你们就这样吗，我没有不接你们电话，我每次都说了等拿工资马上处理，，你这样态度太嚣张，什么马上就打通讯录好友给他们说，什么合同终止，你想怎么办就怎么办，我等你们法院起诉我，我没有说不还钱，我说了拿了马上处理，可谁知道今天都几号了还不拿钱，，你叫我去偷去抢来给你啊，。</t>
  </si>
  <si>
    <t>2019/10/04 15:40:13</t>
  </si>
  <si>
    <t>借了1400，一个月四期，每期511.2，要还2045，远远高于国家规定的利息，本人已经还了3期，本息已经还够，最后一期联系客服协商，一直联系不上，恶意等着你过期收你逾期费用，请求取消最后一期还款或减免金额。</t>
  </si>
  <si>
    <t>2019/10/04 15:39:58</t>
  </si>
  <si>
    <t>投诉人 王广雨        投诉对象  美约app        涉诉金额  298 元    问题类型    诉求类型投诉详情  美约软件。写着免费试用 结果自动扣费。软件找不到客服</t>
  </si>
  <si>
    <t>2019/10/04 15:39:32</t>
  </si>
  <si>
    <t>本人见要收费，就卸载了，我银行卡里没钱，第二天才有的钱，不知情的情况下给我扣走了200元，说是买了什么风险评估，我也不需要，也不合理收费！！一有钱就想扣他们有这个权利吗。</t>
  </si>
  <si>
    <t>2019/10/04 15:38:45</t>
  </si>
  <si>
    <t>之前在点点平台借了22500借了一年每个月还2250。</t>
  </si>
  <si>
    <t>2019/10/04 15:38:11</t>
  </si>
  <si>
    <t>本人于2018年1月10日向中腾信申请了贷款，合同金额显示为38900元，实际到账为27010.25元，至今日已向中腾信公司账户还款24740.2元，可剩余还款如按月还款还剩下19792.16元，提前还款还需17665.42元，如按照按月还款总金额为44532.36元，得还共计利息17522.11元，现向中腾信公司申请减清部分利息，并且提前结清借款，提供结清证明。</t>
  </si>
  <si>
    <t>2019/10/04 15:37:46</t>
  </si>
  <si>
    <t>中信银行信用卡,浦发信用卡,光大银行信用卡中心。</t>
  </si>
  <si>
    <t>2019/10/04 15:37:06</t>
  </si>
  <si>
    <t>本人多次和嗨钱还有所谓嗨钱资方深圳光华普惠说app好了就还款，资方那边也说了没有问题，app好了会通知我，但是持续有人打电话给我自称嗨钱催收骚扰我，不分地点不分场合骚扰我，现在请嗨钱和光华普惠给我个解释，为什么答应的好好的却还让催收骚扰我，本人在高速上开车还持续没完没了骚扰我，我要是出事你们负责吗，催收态度恶劣，还威胁我上征信，你们app有问题为什么让我们用户负责，多少用户听了你们的方法自动划扣结果呢，满聚投诉都是嗨钱还完钱不销账的投诉帖子，这谁还敢还。</t>
  </si>
  <si>
    <t>2019/10/04 15:36:39</t>
  </si>
  <si>
    <t>超出国家规定，以及强制性，跟抢劫有什么区别。</t>
  </si>
  <si>
    <t>2019/10/04 15:36:36</t>
  </si>
  <si>
    <t>投诉人王先生投诉对象交易猫涉诉金额1300元问题类型诉求类型投诉详情我在交易猫卖号，途中一位买家联系我说叫XXqq号，然后我就加了，他说买号的之后说我付完款了，然后客服就叫我交800元的保证金，说交易完会退给我，然后我就交了，之后他准备把钱打给我，他又说信誉不够要花1000提升信誉，也是打着交易完会退的幌子，我就付了，之后客服说那些钱两天之后会打给我，到现在都没打，现在又联系不到那个客服了，买家也联系不到，之后在网上查了一下，看到了跟我一样的案例，求你们帮帮我。</t>
  </si>
  <si>
    <t>2019/10/04 15:36:20</t>
  </si>
  <si>
    <t>空调是新装的，出现问题，我们也不懂，你们售后也不检查，直接冲氟利昂，请问:新空调为啥要充氟利昂，还是没人管没人问我不打电话就没人和我说，然后今年又出现问题了，还要充，我们一说去年的情况，才不敢充了，请问:你们售后是不是也不懂，去年就是糊弄消费者的，能推一天是一天，请问是不是！！！！！在请问:这是不是你们的责任！！！！！忽悠消费者是不是很好玩！！！！！请问:在请问:7月10号把我家空调拆走，请问是不是该给我高温补贴！！！！！我和投诉到你们客服后，第一次给我装听不到了，一直不说话，第二次说有人会给我解决，但到现</t>
  </si>
  <si>
    <t>2019/10/04 15:35:09</t>
  </si>
  <si>
    <t>加入全民保后，每月分红达不到我预期收益，申请退款！之前退保收费明细也未出具，加入之后的保前确认也没有进行！违规操作，要求退费。</t>
  </si>
  <si>
    <t>2019/10/04 15:35:05</t>
  </si>
  <si>
    <t>本人实名认证的微信账号，提示支付账户被永久冻结不能提现，我全是正常营业收款，说我涉嫌赌博，违法别人早投诉我了，都是面对面二维码收款的，面对面交易的，已经提供聊天记录了，客服也不给处理，微信可以停止我的微信支付功能，但是没有权利扣押我的私人财产，我只想把钱提出来。</t>
  </si>
  <si>
    <t>2019/10/04 15:33:56</t>
  </si>
  <si>
    <t>投诉人王先生投诉对象信用飞,上海阅途网络科技有限公司涉诉金额800元问题类型诉求类型投诉详情信用飞借款4000，三个月要还5042.36，现在是以飞行权益的名义，收取800元的砍头息，请问，之前搭售保险已经被银监局禁止了，为何换个名称可以继续收取砍头息，年利率高达48%这种高利贷怎么能明目张胆的催收，我现在要求要么把之后几期的利率减免，综合年化率降到国家规定的36%，我按期还款，如果是要求我把提前结清归还砍头息这种我是不接受，就不用回电话了。</t>
  </si>
  <si>
    <t>2019/10/04 15:33:05</t>
  </si>
  <si>
    <t>投诉人刘先生投诉对象小当家涉诉金额904元问题类型诉求类型投诉详情高利贷害人害己，本想着还完赶紧远离这个平台，没想到今天无法进行登录，还款不了，导致逾期，对本人征信有问题，请做出赔偿，销账。</t>
  </si>
  <si>
    <t>2019/10/04 15:32:19</t>
  </si>
  <si>
    <t>本人八月底在青柠檬平台借款，说是3000，实际到手2136元，收取超额砍头息，分两期归还，第一期已结清，现第二期逾期费用较高，希望调整利率，本人愿积极配合以及偿还国家规定的利息，做销账处理！希望平台给予帮助。</t>
  </si>
  <si>
    <t>2019/10/04 15:31:52</t>
  </si>
  <si>
    <t>投诉人张女士投诉对象小花钱包涉诉金额6000元问题类型诉求类型投诉详情小花钱包是我见过的最缺德的网贷公司，逾期第二天就到处群发催收短信，爆通讯录，威胁恐吓，完全没有宽限期。</t>
  </si>
  <si>
    <t>2019/10/04 15:31:19</t>
  </si>
  <si>
    <t>砍头息：借款399元实际到款300元，实际利率高达百分之三十四。</t>
  </si>
  <si>
    <t>2019/10/04 15:30:59</t>
  </si>
  <si>
    <t>好分期的年利率高达32.6％，要求降低利率，同时弥补之前还的利息。</t>
  </si>
  <si>
    <t>2019/10/04 15:30:04</t>
  </si>
  <si>
    <t>本人在信用管家上申请的有盈好贷借款为3000元，实际到账2250元，借款期限为30天，每10天一期还1029元，目前已还两期金额，现在已无力偿还高额利息。</t>
  </si>
  <si>
    <t>2019/10/04 15:30:00</t>
  </si>
  <si>
    <t>一次一次打电话恶意骚扰，爆我通讯录，恐吓家人言语威胁。</t>
  </si>
  <si>
    <t>2019/10/04 15:29:20</t>
  </si>
  <si>
    <t>投诉蛋壳公寓因员工责任导致续租价格变更，工作人员推诿责任，私自定位处理结果，流程不一致，过度承诺等问题起因：因个人房租临近续租，微信咨询某管家续租事情，管家也就是蛋壳的售后，虽然蛋壳售后的服务效率和态度差的不能再差，，并且网上相关报道某流氓公司的丑文，这里不再多解释，后续贵公司需要我配合的可以致电，希望有个公平的处理方法，这里跟贵平台暂且不提了，微信沟通2950加%10服务费，比之前2800加%10已经高出一部分了，和管家沟通也可以，告知这个价钱可以，你管家去办理吧，管家反馈会打电话，当晚联系我，我告知比较</t>
  </si>
  <si>
    <t>2019/10/04 15:29:15</t>
  </si>
  <si>
    <t>投诉人雷女士投诉对象豹子贷涉诉金额299元问题类型诉求类型投诉详情在本人没点免密支付的情况下直接扣299，推荐产品三家未申请成功出现一个综合评分不足。</t>
  </si>
  <si>
    <t>2019/10/04 15:28:18</t>
  </si>
  <si>
    <t>本人于2018年双十一在天猫苏宁易购旗舰店购买创维50m7s电视机，于2019年9月初电视不通电，反馈给天猫苏宁，不予理会，让消费者自己找创维售后，后创维师傅说不保修，有问题找谁买的去找谁，我不认可维修费用，后让他走了，创维售后上门查看，说保修期不给质保，需要另外收费1000多元，买个电视才1599元，维修高达百分之九十，而且一年保修还在，后创维师傅说，不保修，有问题找谁买的去找谁，我不认可维修费用，后让他走了，后面苏宁易购的客服直接不予理睬，敷衍回复会出具处理方案，到现在10月4号还不处理事情，店大欺客，</t>
  </si>
  <si>
    <t>2019/10/04 15:28:08</t>
  </si>
  <si>
    <t>银码头,豹子贷,上海造艺网络科技,造艺网络科技，我刚开始以为是贷款软件，我就按照要求和步骤填写，谁知道莫名其妙的就陷入了陷阱，后来发现是借款推荐平台，我就卸载了软件，结果过了两三天吧，老是半夜，偷偷扣了我三次钱总共扣了我299，和他们客服联系，他们说14天以后可以退款，并撤销虚假宣传，因为以前没遇见过这种情况没截图抱歉。</t>
  </si>
  <si>
    <t>2019/10/04 15:28:07</t>
  </si>
  <si>
    <t>我这边刚刚收到你们第三方催收的电话，我也知道我逾期是我不对，但是我现在也在努力凑钱，你们这样动不动的一直在打电话，我上班都不安乐，已经完全打扰到了我上班的时间，随说不知道是不是你们的，但是你们催收说到时间联系我紧急联系人，但是我并不知道你们是联系我紧急联系人，还是直接爆我通讯录，这个我也不清楚，应为第三方催收，直接爆通讯录完全是有可能的，我现在也希望你们官方人员出来协商，我现在也是被逼不得已，已经完全打扰到我上班的时间，我下班时间你们可以打，但是请不要上班时间来轰炸我电话，这样我工作也不方便。</t>
  </si>
  <si>
    <t>2019/10/04 15:27:33</t>
  </si>
  <si>
    <t>本人于8月份投诉名校贷，名校贷公司没有受理，一直不管不问，还干着放贷的事情！贷款利息严重超过国家新规，合同各种收取费用，利息逾期费出奇的高，根本就是高利贷！，上次投诉名校贷根本未受理解决希望聚投诉可以帮助我！。</t>
  </si>
  <si>
    <t>2019/10/04 15:27:18</t>
  </si>
  <si>
    <t>活力花爆通讯录，打骚扰电话，威胁亲人朋友，干扰生活，利益不合理放高利贷。</t>
  </si>
  <si>
    <t>2019/10/04 15:26:10</t>
  </si>
  <si>
    <t>9月14日寄出，我9月19日晚上8点钟给95338打了电话要求撤回快件，9月22日12点收到撤回快件，当着快递员的面拆箱，发现快递被调包，偷梁换柱！箱底有明显拆包痕迹，并不是当初快递员亲自打包快递时原本的样子，拆箱手段高明，并不从箱子正面有封贴的那面拆箱，而是在箱子底部拆箱，底部拆箱之后用了顺丰字样胶带重新粘贴，物流显示包裹并未接触到任何第三方，完全是由顺丰全部控制快递走向，顺丰内部员工涉嫌调包价值3万元文件物品资料，顺丰打电话让我报警，请问你们内部把东西调包，你们为何不报警自查公司内部员工，简直狂妄自大！</t>
  </si>
  <si>
    <t>2019/10/04 15:25:51</t>
  </si>
  <si>
    <t>榕树贷款借款3000元，前三期为什么要还553元，三期后还款268元。</t>
  </si>
  <si>
    <t>2019/10/04 15:25:28</t>
  </si>
  <si>
    <t>莫名其妙就被扣款了，下载app然后绑定银行卡，就被扣款了，。</t>
  </si>
  <si>
    <t>2019/10/04 15:25:19</t>
  </si>
  <si>
    <t>2018年11月3日再一些网站上看到玖富万卡的广告，我就在玖富万卡注册申请了借款5200元，到这个月已经还了3815.99元，现在显示还有5217.26元未还，等于说除了本金我要多还3383.25元！已经严重超出了国家法律规定的利率！玖富公司说自己迎合国家政策，与大数据征信接轨，可是这么高的费用国家根本不认可！我现在最多能接受再还款2000元！，还有就是催收电话是催收公司，不是玖富万卡本公司！属于泄露客户信息！，希望在聚投诉这里我能得到帮助！打击这些打法律擦边球的公司！。</t>
  </si>
  <si>
    <t>2019/10/04 15:23:16</t>
  </si>
  <si>
    <t>因为资金问题像平台借款，之前就问过能不能提前还款，该平台说不能，还不能协商，态度很硬，说他们符合国际规定，不提前还款，一旦逾期就给手机通讯录的打电话，我希望该笔能提前结清。</t>
  </si>
  <si>
    <t>2019/10/04 15:22:40</t>
  </si>
  <si>
    <t>2019年10月4日早上买了四张西安秦岭野生动物园的门票，因为以前都是早上可订当天的门票，就没太注意，直接购买了票，进动物园的时候被告知日期不对，后来再去看的时候发现4号，5号不可预订，从6号才能预订，购买的票是6号的，联系客服退票，客服以特价票不退为由不给退票，但是他的票价并没有比一般平台的票便宜，一般价格，别的平台购买的票都可以退，再三沟通，对方以平台佣金不可收回，不能退票，我承诺平台的佣金可以退并要求退票，对方最终要求退票可以，但只能退80%，沟通无果后，只能选择投诉，求助聚投诉平台帮忙解决，要求全额</t>
  </si>
  <si>
    <t>2019/10/04 15:22:32</t>
  </si>
  <si>
    <t>今天是我的牛人有品还款日，当时借款1900元，实际到账只有1300多元，15天一期要还936共两期，现在最后一期本来实在无力承担这非法高利贷利息，要求450元消账，并且客服停止对我的威胁和多联系人威胁。</t>
  </si>
  <si>
    <t>2019/10/04 15:22:19</t>
  </si>
  <si>
    <t>联系不到工作人员.每天逾期费600块，太高了，想协商只还本金加利息，联系不到客服！。</t>
  </si>
  <si>
    <t>2019/10/04 15:20:58</t>
  </si>
  <si>
    <t>本人在2017.9.25日购买爱钱进的新手产品整存宝2017.10.25到期，因为钱数比较少一直没用，就一直持有，此产品的锁定期是一个月时间，我早就过了锁定期，产品标注的是随时可以转让，在持有24个月以后，我想把钱去出来，才发现转让至少需要150天，页面一直引导让去转投爱盈宝产品，140天后才能转让，我现在就想把我的钱取出来，不想再投了，打给客服也是各种敷衍。</t>
  </si>
  <si>
    <t>2019/10/04 15:20:27</t>
  </si>
  <si>
    <t>我本人因资金出现问题造成逾期，电话联系客服商讨还款事项和解决方案之后，我希望修改还款时间或者等待我这边发工资后处理订单，我自己承担逾期后果，可是订单好像转到第三方催收态度极其恶略，各种恐吓侮辱，甚至涉及到我的家人这让我不能接受，虽然逾期是我的不对但是我起码态度和还款意愿还是不错的，他们这样做让我生气，本来就是高利贷，5000的本金2000多的利息，希望能够帮到我，打压一下玖富万卡的气焰，谢谢了。</t>
  </si>
  <si>
    <t>2019/10/04 15:20:14</t>
  </si>
  <si>
    <t>投诉人 范先生        投诉对象  拍拍贷        涉诉金额  2 300 元    问题类型    诉求类型投诉详情  拍拍贷高利率，达到了36％的年利率。要求调整利率。</t>
  </si>
  <si>
    <t>2019/10/04 15:18:38</t>
  </si>
  <si>
    <t>威胁，对工作，生活照成不便，特别是工作，如果对工作，。</t>
  </si>
  <si>
    <t>2019/10/04 15:18:36</t>
  </si>
  <si>
    <t>本人于2017年10月在捷信业务员忽悠下贷了一笔现金贷，金额34000元，，我现在已经还了43436了，现在想提前还款还要还15372，已经远远超过本金和利息需要还的钱，如果在按分期还款还要再还18890，但是这么高的利息实在让人难以接受，远远超过法律利率的36以上了，请贵公司给一个合理的解决方式，否则我会向银监会联名状告你们公司，向金融管理局，市场监督局举报你们，不给出一个合理的解决途径，钱我一分也不会还了，咋们就走法律途径来解决吧！。</t>
  </si>
  <si>
    <t>2019/10/04 15:18:27</t>
  </si>
  <si>
    <t>去年办理联通宽带后，绑定的手机卡话费流失异常，手机卡月消费就五六十快，每个月有一百多快的扣费，才半年所交话费600元就用欠费了，刚开始以为是流量用多了没在意补交了200，两个月后又欠费，后来经过查询后得知手机开通了一个小沃科技TV，但是本人并没有收到任何开通确认短信和告知短信，无缘无故扣了7个月，每个月45元，自己话费被白白扣除，希望聚投诉能帮我追回损失财务。</t>
  </si>
  <si>
    <t>2019/10/04 15:17:31</t>
  </si>
  <si>
    <t>登录平台注册，被扣款298说是信用检测费用。</t>
  </si>
  <si>
    <t>2019/10/04 15:16:55</t>
  </si>
  <si>
    <t>投诉人 吕先生        投诉对象  拼多多        涉诉金额  22 元    问题类型    诉求类型投诉详情  拼多多有个活动显示那月卡超值优惠。显示点击查看。点进去直接显示购买成功不需要确认。偷偷通过支付宝免密付款。我都不知道怎么付款的涉嫌欺诈。客服都是机器人回复。恶意扣款。我都点开订单才发现把我钱扣了</t>
  </si>
  <si>
    <t>2019/10/04 15:16:52</t>
  </si>
  <si>
    <t>投诉人姚先生投诉对象小赢卡贷涉诉金额10000元问题类型诉求类型投诉详情2019.9.27申请10000元货款目前想结清，一个星期不到，本金加利息要偿还13599.70元完全超过国家规定的利息，一个星期不到利息却要本金的三分之一简直是黑恶势力。</t>
  </si>
  <si>
    <t>2019/10/04 15:16:31</t>
  </si>
  <si>
    <t>投诉人高女士投诉对象高铁管家涉诉金额30元问题类型诉求类型投诉详情用高铁管家抢票时先诱导我开通免密支付后来提示我优先支付票款成功率更高票款78自动支付时扣除我108点开一看还给我买了加速包呵呵。</t>
  </si>
  <si>
    <t>2019/10/04 15:15:32</t>
  </si>
  <si>
    <t>投诉人谷先生投诉对象造艺科技涉诉金额100元问题类型诉求类型投诉详情对方提供贷款服务前需要扣除299元所谓的详细报告，在提供推荐贷款！后来推荐的我一个都没有通过，就找客服，客服说14天之后可以联系退款！今天正好14天，我找客服，客服说钱买的详细报告，我说我29元买的天下信用详细报告比你们的详细100倍！他们的报告就给你评个分说哪里有风险，就值299元，不就是变相收费！退款还需要邮寄身份证复印件过去等待7-14个工作日！这不就是故意的吗，还很嚣张的说他们是正规公司！我说你们是银行部门。</t>
  </si>
  <si>
    <t>2019/10/04 15:15:11</t>
  </si>
  <si>
    <t>9月4日起，有多笔资金被冻结，共计有82770.44元资金被微信商业版冻结，无法提现，9月份陆续有几个孩子给我交了辅导费，通过微信商业版支付，因为是教育培训，不是实物，无法提供物流单据，申诉时提交了收据联，但微信回复是维持原判，目前资金冻结无法提现，联系不到客服，微信也未给出具体原因。</t>
  </si>
  <si>
    <t>2019/10/04 15:14:56</t>
  </si>
  <si>
    <t>平安普惠违反金融法规，收取砍头息，高额保险费和不知道什么其他费用，要求退还多收保费和其他费用，并且减免未还金额。</t>
  </si>
  <si>
    <t>2019/10/04 15:13:42</t>
  </si>
  <si>
    <t>投诉人夏先生投诉对象霍尔果斯安又心网络科技有限公司,安心记加班涉诉金额1000元问题类型诉求类型投诉详情霍尔果斯安又心网络科技有限公司APP:安心记加班.里1000元借款周期14天还款1100，每次延期费用120元延期14天连续延期九次左右，延期费用差不多超过本金，近段时间连续电话轰炸我朋友和亲戚。</t>
  </si>
  <si>
    <t>2019/10/04 15:13:11</t>
  </si>
  <si>
    <t>国庆买商铺说节日给申请的特价房，给申请87折，交了定金10万，就给了一张收据，也没让看具体内容，就签字，也没人说不能退，晚上回来看到售楼处业务员之前朋友圈发的我买的商铺88万，要求退款不同意，后期我们看手据才知道不是售楼处的，说是第三方委托的，而且上面有30多万是权益转让费，也不知道这个是干嘛的。</t>
  </si>
  <si>
    <t>2019/10/04 15:12:24</t>
  </si>
  <si>
    <t>昨天接了一单帮买充电线的，具体没有写清楚是买安卓或者苹果的，我给买家打电话，起初买家电话关机不在服务区，但是系统提示电话可以打通，让我再次联系买家，后来没有办法我直接导航去了买家所发的地址，是在北京西站7天酒店二店8307，我到了之后尝试跟买家联系，电话还是关机或者不在服务区，我让酒店前台用座机帮我联系那间房的客人，客人却说他没有买什么东西，也没有让人送什么东西，无奈之下我只有离开去接别的单，中途我再次尝试与买家联系，但还是无法联系上，我打过客服，可能是过节所以没人接，今天早上我起来系统自己取消订单，要扣我</t>
  </si>
  <si>
    <t>2019/10/04 15:11:57</t>
  </si>
  <si>
    <t>投诉人姚林投诉对象广州方鸿网络科技有限公司涉诉金额25000元问题类型诉求类型投诉详情公司名字：广州方鸿网络科技有限公司公司地址广州市天河区下元岗一丈路2号经营范围软件和信息服务业公司客服通过非法途径联系我宣传自己是正规合作的股票配资公司，跟国内几大证券公司合作，有正规合法的手续，然后客服指导注册充值资金到账户，然后进行把本金放大1到10倍的账户，中途至今合计25000元，全部被骗完，重来没有盈利过，然后后面我朋友才告知我这种平台就是假的，虚拟账户，没有一个赚钱的都是被骗的，我前前后后累计充值25000元，</t>
  </si>
  <si>
    <t>2019/10/04 15:11:48</t>
  </si>
  <si>
    <t>投诉人 马先生        投诉对象  嗨钱网        涉诉金额  6 000 元    问题类型    诉求类型投诉详情  本人在嗨钱网借款6000元 3期 还款日无法自动还款 光华普惠已经自动扣除我两期还款 但是嗨钱app上一直没有销账 严重影响我的征信和正常生活 今天是第三期还款 光华普惠又给我打电话让我还款 并且说app无法做销账 还威胁我说不还就爆通讯录 我在嗨钱网借的钱 钱应当还给嗨钱网 为什么会有第三方代扣 我认可还款金额 我也有钱还 可是还完不</t>
  </si>
  <si>
    <t>2019/10/04 15:09:24</t>
  </si>
  <si>
    <t>对方提供贷款服务前需要扣除299元所谓的详细报告，在提供推荐贷款！后来推荐的我一个都没有通过，就找客服，客服说14天之后可以联系退款！今天正好14天，我找客服，客服说钱买的详细报告，我说我29元买的天下信用详细报告比你们的详细100倍！他们的报告就给你评个分说哪里有风险，就值299元，不就是变相收费！退款还需要邮寄身份证复印件过去等待7-14个工作日！这不就是故意的吗，还很嚣张的说他们是正规公司！我说你们是银行部门。</t>
  </si>
  <si>
    <t>2019/10/04 15:09:04</t>
  </si>
  <si>
    <t>我逾期了，和他们协商，我说你们这利息不合法，只要修改到合法部分，我肯定还！他们说，他们就是这样的，就是放高利贷的，国家拿他们也没有办法，还恐吓我，今天就爆我通讯录！。</t>
  </si>
  <si>
    <t>2019/10/04 15:08:07</t>
  </si>
  <si>
    <t>客服说是印刷问题我不能接受，一个这么大的制包公司又是这么重要的一个验证码居然会印刷有问题，现在客服拖延时间非说要专员答复已经两天没有结果，由于不相信包的质量求退货退款，客服以不是7天无理由无条件拒绝我！此包于10月2号晚上6点收的货，现在客服已各种理由搪塞我拒绝退货。</t>
  </si>
  <si>
    <t>2019/10/04 15:07:12</t>
  </si>
  <si>
    <t>本人在月光侠借钱2100但是要还钱3000多三个月要900百多的利息。</t>
  </si>
  <si>
    <t>2019/10/04 15:07:05</t>
  </si>
  <si>
    <t>投诉人 孙先生        投诉对象  钱站        涉诉金额  1 600 元    问题类型    诉求类型投诉详情  阴阳合同 暴力催收 恐吓通讯录联系人</t>
  </si>
  <si>
    <t>2019/10/04 15:07:04</t>
  </si>
  <si>
    <t>下载APP后发现是超市退出后两天扣我银行卡299元，申请退款不同意，无法申请退款。</t>
  </si>
  <si>
    <t>2019/10/04 15:05:03</t>
  </si>
  <si>
    <t>投诉人陈女士投诉对象尚德机构涉诉金额8880元问题类型诉求类型投诉详情我要退学，他们再三不予许推脱，我说了没钱交学费了还不给我退，难到真的要逼死我警察局相见吗。</t>
  </si>
  <si>
    <t>2019/10/04 15:01:14</t>
  </si>
  <si>
    <t>公司营业执照名字是广州富能网络科技有限公司，公司注册地址：广州市天河区广棠西横路10号D426房，经营范围为软件和信息服务业！然后软件炒股平台叫熊猫配资，他们客服通过非法途径联系到我，宣传说自己是国内正规股票配资平台，跟国内各大证券公司合作，资金百分百是进入股票市场，可以把我们的资金放大10倍，经过他们几次的忽悠下，本人相信了他们，今年4月份到9月份至今共计充值49000元，全部被骗完了，重来没有赚过钱，然后我觉得不对，在网上和朋友说这事，他们说这根本就是骗人的，国家证监会没有批准任何公司有资质从事10倍股</t>
  </si>
  <si>
    <t>2019/10/04 14:59:29</t>
  </si>
  <si>
    <t>打电话给豆豆钱说不能注销账户，而且我又没有借款。</t>
  </si>
  <si>
    <t>2019/10/04 14:58:51</t>
  </si>
  <si>
    <t>因我之前使用即有分期买过手机，2018年10月份，即有分期业务员给我打电话说因我之前信誉良好给我一个好期贷的贷款名额，贷款14000元没月需还1540元，12个月还清，当时我手头紧考虑了不久就接受了，在第一次还款的时候还款金额变成了1724元，我当时表示不解，但催收人员说他们只负责催收，不结款就会电话通知我的家属，要我联系即有客服，我随后打有分期客服热线，但一直没有接通人工服务，在此期间我没有间断过还款，但我也一直想搞清楚，为什么还款金额变高的原因，直到2019年5月份，既有分期热线接通了，我跟客服讲每月还</t>
  </si>
  <si>
    <t>2019/10/04 14:57:34</t>
  </si>
  <si>
    <t>2019/10/04 14:56:55</t>
  </si>
  <si>
    <t>没有经过同意就私自扣了168，存在欺诈行为。</t>
  </si>
  <si>
    <t>2019/10/04 14:56:19</t>
  </si>
  <si>
    <t>京东白条让第三方催收，态度极差，资金到10月7号左右到位，威胁我要按程序走，我知道欠款是我的不对，我已经明确告知，还在走威胁语气。</t>
  </si>
  <si>
    <t>2019/10/04 14:55:54</t>
  </si>
  <si>
    <t>胖胖有米申请额度后未经本人同意直接下款，并扣除高额砍头息，6天未及时还款便暴力催收，拨打通讯录联系人电话，给通讯录联系人发短信，短信内容侮辱诽谤我及家人，要求胖胖有米立即停止这种违法行为，并道歉。</t>
  </si>
  <si>
    <t>2019/10/04 14:55:51</t>
  </si>
  <si>
    <t>8月9日，在钱站申请了一笔3000元的借款，2019年8月12日晚八点到账3000元整，可是打开APP后发现，分三期还款，每期需还款1477元，共还款4437元，近近一个月，利息高达1291元，堪比高利贷，而最过分的是，申请的3000元额度，现在在钱站的借款合同上，显示的是4200元。</t>
  </si>
  <si>
    <t>2019/10/04 14:55:47</t>
  </si>
  <si>
    <t>投诉人王先生投诉对象途虎网涉诉金额1500元问题类型诉求类型投诉详情买了贴膜，贴膜那里根本不具备施工人员和条件，施工的是外面临时找的，一个学徒在车上裁膜，后视镜车漆上划出一条刀痕，至今采用多种方法不能去掉，后车窗的水全部刮到后备箱立了，东西都湿了，施工的抹布水壶就放在座椅上，不让在车上裁膜还朝我发火。</t>
  </si>
  <si>
    <t>2019/10/04 14:55:33</t>
  </si>
  <si>
    <t>自从我在网申请一次浦发银行信用卡没通过之后，就隔三差五给我发这些个垃圾骚扰短信！很烦人！严重影响到我的正常生活，本来我申请你的卡是你的客户，你不通过，那说明我征信不好！我没话说，但是你也不能后续天天给我发这些垃圾短信啊。</t>
  </si>
  <si>
    <t>2019/10/04 14:55:29</t>
  </si>
  <si>
    <t>交通银行，暴力催收，爆通讯录！称只要是你身边的人，跟他们银行有业务来往的，银行都能查到，都会去联系，让你还款！这跟那些非法放贷的催收爆联系人通讯录有什么区别吗。</t>
  </si>
  <si>
    <t>2019/10/04 14:54:45</t>
  </si>
  <si>
    <t>取消对家人的电话骚扰，如再有电话骚扰会投诉给相关管理部门。</t>
  </si>
  <si>
    <t>2019/10/04 14:54:29</t>
  </si>
  <si>
    <t>本人在你我贷app上面于2019年9月4号借款6300元，10月4号今天是还款日，打开app上面需要还款1501.22，与当初合同上面签订的等额还款严重不符，存在阴阳合同嫌疑，现准备一次性还清欠款，咨询人工客服，需要还款8564.24，一个月时间需要还款2264.24元，严重违反了国家规定，希望重新调整利率，你我贷催收恶劣，拒绝协商，扬言以暴力催收手段，网上骂声一片，恒丰银行作为存管银行，为其背书，应当起到监督。</t>
  </si>
  <si>
    <t>2019/10/04 14:54:17</t>
  </si>
  <si>
    <t>借款申请本金为40000，合同金额为44000，为阴阳合同；首期借款就收取3824元手续费和服务费3520元，合计7344元，实际到账金额为32656元，现在已经还款31005.45元，剩余因还本金为2000不到，借款为36期，现在已经还完15期，因当时资金困难所以选择网贷，没想到一年还下来，一直感觉压力越来越大，做生意亏了，现在没有能力还款那么多，希望能提前结清本金，现在每期还款是2067.03，按这样还下去还要还43407.63，这不是高利贷是什么，希望不要官方的回复，官方回复永远都是说他们合规的。</t>
  </si>
  <si>
    <t>2019/10/04 14:53:44</t>
  </si>
  <si>
    <t>通过广告下载了有缘网的app然后会出现一堆对方的信息，怀疑为有缘网故意行为，然后经过诱导开通了一个零元的体验vip但是一点用处都没有，怀疑就是在没有告知的情况下，这个操作导致的免密支付宝，，，然后就一直弹出要求语音聊天发现无法回复，跟他们说的vip不一样，但是并没有出现什么确认之类的，支付宝就被扣了168元，并且之后那些信息就没有了，这个存在严重的欺诈行为！！希望要求有缘网进行退款！！。</t>
  </si>
  <si>
    <t>2019/10/04 14:53:22</t>
  </si>
  <si>
    <t>民生银行信用卡中心委托第三方平台，微信严重骚扰本人，一直催款，不停催款，恐吓本人要坐牢判刑、罚款，搞得人心惶惶不安，他们不是讨账，是要命，我想要和银行协商解决方案，不是不还款，现在确实资金紧张，被银行逼得生存下去的动力都没有了。</t>
  </si>
  <si>
    <t>2019/10/04 14:52:39</t>
  </si>
  <si>
    <t>这是明显的高利贷、套路贷，我在他家借过多次，每次都要交五、六百的会员费，这些会员费早就超过本金了，现在他们电话轰炸催收，严重影响了我的工作生活，我要求他们停止骚扰！还跟本人说必须要五家逾期截图才可以协商减免,很明显的套路贷。</t>
  </si>
  <si>
    <t>2019/10/04 14:50:40</t>
  </si>
  <si>
    <t>现在找当时的业务员，一直不给信息，盛POS机业务员和盛POS的客服说辞不一样。</t>
  </si>
  <si>
    <t>2019/10/04 14:50:25</t>
  </si>
  <si>
    <t>投诉人丁先生投诉对象王者钱包涉诉金额2000元问题类型诉求类型投诉详情王者钱包协商人员哪来的底气，借款2000元，到账1210元，十天后要总共要还2776元，这样的高利贷，套路贷，他们底气何来。</t>
  </si>
  <si>
    <t>2019/10/04 14:50:16</t>
  </si>
  <si>
    <t>投诉人 庞女士        投诉对象  买买乐购        涉诉金额  8 000 元    问题类型    诉求类型投诉详情  ?????????? 我很烦打电话，有钱不还你？但是这也太多了吧，每个月都还有服务费</t>
  </si>
  <si>
    <t>2019/10/04 14:50:14</t>
  </si>
  <si>
    <t>10.1期间，回老家办事，手机忘带了，钱站开始报我通讯录，骚扰我家人朋友，高利贷，砍头息。</t>
  </si>
  <si>
    <t>2019/10/04 14:49:08</t>
  </si>
  <si>
    <t>高利息，强制性买了一两千保费我都不知道，还打电话骚扰，要求减免利息，去除保费。</t>
  </si>
  <si>
    <t>2019/10/04 14:48:37</t>
  </si>
  <si>
    <t>投诉人 邓先生        投诉对象  你我贷        涉诉金额  6 800 元    问题类型    诉求类型投诉详情  找到我家里。说特难听的话气我家人。要我家人代我还钱。发话不还钱天天来闹</t>
  </si>
  <si>
    <t>2019/10/04 14:48:18</t>
  </si>
  <si>
    <t>投诉人 欧阳先生        投诉对象  360借条        涉诉金额  1 582 元    问题类型    诉求类型投诉详情  暴力催收 滥用第三方信息骚扰通讯录 电话威胁恐吓</t>
  </si>
  <si>
    <t>2019/10/04 14:48:13</t>
  </si>
  <si>
    <t>最后2期逾期几天请求协商还款月底发工资给你们。</t>
  </si>
  <si>
    <t>2019/10/04 14:47:27</t>
  </si>
  <si>
    <t>投诉人汪先生投诉对象钱伴涉诉金额6000元问题类型诉求类型投诉详情仔细算算钱伴6000元借了6期还了五期了每期1180元，等于要还7000左右，六个月你多少利率能多还2000，曾经有一次我因为忘记了逾期了一次，各种骚扰电话爆我的通讯录谩骂怎么恶心怎么来影响到我无法工作影响到我的生活。</t>
  </si>
  <si>
    <t>2019/10/04 14:46:45</t>
  </si>
  <si>
    <t>不停电话和短信一直骚扰我的朋友，让我的朋友很烦躁，本人也一样。</t>
  </si>
  <si>
    <t>2019/10/04 14:46:43</t>
  </si>
  <si>
    <t>及贷变相收取服务费，借款合同写的年利率16.482，实际利率36，其实按正规算法早已超过36！而且合同写的提前还款提前3天打电话给客服，客服居然解释提前还款是让我一期一期点起还完，没有利息减免，那这个提前还款的意义在哪。</t>
  </si>
  <si>
    <t>2019/10/04 14:46:27</t>
  </si>
  <si>
    <t>投诉人游先生投诉对象轻周转芒果筹涉诉金额13100元问题类型诉求类型投诉详情使用的第三方支付是迅联智付投诉1.本来我每次按时还款，但是9.24应该平台原因还款不了我当天就及时反应情况，25号也是直到26号，才在平台内部反馈一个转账账号给我，我及时还款，但是对方不解决因为他们内部原因造成的逾期，要我还款，第三期10.2我还款1022.4但是对方平台，拿去还款前面逾期的112，造成我本意不够，又逾期了，每天一次平台内反馈从不彻底解决问题，客服电话就是指引用的！2.到账2800还款4期1022.4属于高利贷，砍头</t>
  </si>
  <si>
    <t>2019/10/04 14:46:17</t>
  </si>
  <si>
    <t>本人已经跟当地农行协商好元旦之前还款，也签了合同！催收还是一个劲的打电话！现在搞得两口子要闹离婚，本人也是因为家里有事才拖着的，要不怎么会拿自己名义去干这种欠钱的事！现在要求催收不要骚扰家人！合同签了就要按合同上的来！。</t>
  </si>
  <si>
    <t>2019/10/04 14:46:08</t>
  </si>
  <si>
    <t>app还款无门，还了显示逾期中！利息高，协商减免处理。</t>
  </si>
  <si>
    <t>2019/10/04 14:45:48</t>
  </si>
  <si>
    <t>安逸花私自购买保险，收取手续费，高利息，我借款4100分期12期，每期还款447.48元，如果这样计算没有错的话，年利率已经超过55%，要求减免多余的收款及利息，重新计算利息！。</t>
  </si>
  <si>
    <t>2019/10/04 14:45:31</t>
  </si>
  <si>
    <t>投诉人刘女士投诉对象牛人有品,信用管家,畅捷支付涉诉金额1368元问题类型诉求类型投诉详情牛人有品在不告知砍头息情况下，诱导用户借款，由信用管家为其引流，畅捷支付为其开通通道，且牛人有品归属公司为网络科技公司，没有贷款类许可，非法放贷，上海馥岷信息科技有限公司法人名称王冰卿地址：上海市金山工业区亭卫公路6495弄168号5幢4楼1863室企业名称：上海奈罄网络科技有限公司法人名称：王冰卿地址：上海市崇明区长兴镇潘园公路1800号3号楼20764室(上海泰和经济发展区)王冰卿名下还有一个公司，暂未查询公司性质</t>
  </si>
  <si>
    <t>2019/10/04 14:45:01</t>
  </si>
  <si>
    <t>投诉人吴女士投诉对象想钱花涉诉金额0元问题类型诉求类型投诉详情今天接到‭16506168625‬这个号码说是想钱花的客服，说要我还2500，加了微信发了我的身份证照片和通讯录照片，可是我从来没有在这个平台有过任何借款，也不存在任何平台逾期，我多次说明，这个人一直骂还说要爆我通讯录.麻烦处理。</t>
  </si>
  <si>
    <t>2019/10/04 14:44:54</t>
  </si>
  <si>
    <t>投诉人李先生投诉对象随行付金融涉诉金额7400元问题类型诉求类型投诉详情在随行付还到借的钱，因为资金紧张，逾期了三天，我跟他们说晚还几天，结果第三天就爆通讯录了，到处打电话，严重骚扰，严重影响了家人级朋友的生活，要求他们停止骚扰行为，做出道歉，而且还骂人，说话相当难听。</t>
  </si>
  <si>
    <t>2019/10/04 14:43:57</t>
  </si>
  <si>
    <t>投诉人赵先生投诉对象贷上钱涉诉金额5000元问题类型诉求类型投诉详情逾期10个小时先后爆我通讯录导致我现在电话快被亲戚打爆了。</t>
  </si>
  <si>
    <t>2019/10/04 14:43:15</t>
  </si>
  <si>
    <t>借款金额2万，合同金额26854元已还了9504.95元，现与平台协商一次性还款，但平台不同意还款金额，执意要按照平台金额还款，还要还24712.87元，催收人员态度恶劣。</t>
  </si>
  <si>
    <t>2019/10/04 14:43:05</t>
  </si>
  <si>
    <t>投诉人 笑女士        投诉对象  信用管家        涉诉金额  1 900 元    问题类型    诉求类型投诉详情  打电话给我要我去公安局自首。过2天又要我去法院开庭。闹的我精神病了</t>
  </si>
  <si>
    <t>2019/10/04 14:43:04</t>
  </si>
  <si>
    <t>闪银的闪闪花花变相收取砍头息，出售远高于市场价的商品，每次借款都需要强制购买商品才可以借款，就是变相收取砍头息，闪银至尊也是同样方式变相收取高额砍头息，每笔3期有担保费金额的百分之11%，6期担保费百分之18%，要开通白条、糯米，点亮至尊勋章、霸王勋章等等条款，之后还要到商城买东西来激活额度，要求闪银退还之前买卡的钱，并停止暴力威胁催收。</t>
  </si>
  <si>
    <t>2019/10/04 14:42:48</t>
  </si>
  <si>
    <t>投诉人 吴兵        投诉对象  立借        涉诉金额  5 800 元    问题类型    诉求类型投诉详情  和平台协商不同意，天天打电话骚扰和辱骂。进行语言攻击。</t>
  </si>
  <si>
    <t>2019/10/04 14:42:11</t>
  </si>
  <si>
    <t>贷上钱app贷款强制购买一个小秘书的产品，400元不勾选无法提交贷款申请，app客服点不开联系不到。</t>
  </si>
  <si>
    <t>2019/10/04 14:42:07</t>
  </si>
  <si>
    <t>投诉人郑女士投诉对象钱站涉诉金额3231元问题类型诉求类型投诉详情钱站显示我有3000额度结果到账只有2400，当时上面好像是有些什么服务费利息的我以为是算在每期还款利息里面的，结果到还款日显示一期就要还一千五百多，我就没还等他那边打电话处理，因为这样算下来三期我就要还四千多，这利息都跟我借到的钱差不多一样了感觉有被欺骗，然后每天一直各种短信内容说了一堆，电话接到的都是机器人，到了第二天显示逾期一天一百五十多就更夸张了，我就想办法在他们平台联系客服进入人工客服留言反馈了我的问题，他们也没人联系我处理，后来好</t>
  </si>
  <si>
    <t>途家定位信息不准确，导致订单错误，不可以退单，更改订单。</t>
  </si>
  <si>
    <t>2019/10/04 14:41:39</t>
  </si>
  <si>
    <t>2019/10/04 14:41:12</t>
  </si>
  <si>
    <t>2019/10/04 14:41:10</t>
  </si>
  <si>
    <t>本人前期资金周转不周，相继在我来贷借款约20000本金，现在想要提前还清贷款，联系客服却说提前还款也要一期一期手动还，不会减息，而且态度恶劣，且在借款过程中显示的利率与实际借款利率不符，询问过程中客服回答以app实际显示为准，实际利率均高于当时合同利率，希望聚投诉为我主持公道，让我来贷解决问题。</t>
  </si>
  <si>
    <t>2019/10/04 14:41:08</t>
  </si>
  <si>
    <t>在马上金融买了会员延期，客服告诉我延期需要提前三天购买这个月买的延期的是下个月的，因本人没有注意看产品说明我认了，10月份我收到还款短信，咨询客服，客服给我搬出一堆理由，然后说会有人工客服致电我们解决问题，又是一堆理由，你们产品未写明，人工客服也是这么说的，事后让我买单，借贷讲究契约精神，平台连最起码的信任都没有，希望相关部门能尽快给我解决，这边我也会联系电视台朋友好好曝光一下你们平台！。</t>
  </si>
  <si>
    <t>2019/10/04 14:40:43</t>
  </si>
  <si>
    <t>1.合同本金为155601.65元，实际到帐为150000元，4.合同上年利率是12%，而实际还款的年利率远不止12%，具有欺骗性，贷15万，36期，每月还6802.01元。</t>
  </si>
  <si>
    <t>2019/10/04 14:40:12</t>
  </si>
  <si>
    <t>投诉人李继鹏投诉对象信用管家,浙江奇融金融信息服务有限公司,广东粤财互联网金融股份有限公司涉诉金额2000元问题类型诉求类型投诉详情合同描述借款2000元，实际到账1500元。</t>
  </si>
  <si>
    <t>2019/10/04 14:39:25</t>
  </si>
  <si>
    <t>用了一年就开始无限循环开机了，后面发热烫手，好多人都是这样，不少钱买的手机感觉被欺骗了，商家也不给予有效的对策，产品自己的问题，还要消费者买单，这种黑商家就该公之于众，避免更多人被黑心商家欺骗。</t>
  </si>
  <si>
    <t>2019/10/04 14:38:57</t>
  </si>
  <si>
    <t>投诉人 甘先生        投诉对象  分期乐        涉诉金额  2 000 元    问题类型    诉求类型投诉详情  冻结我的账号 说我账户异常 我还了再借借不出来 逾期1天电话就一直打 是不是造成了我生活影响</t>
  </si>
  <si>
    <t>2019/10/04 14:38:10</t>
  </si>
  <si>
    <t>投诉人牛先生投诉对象呗呗分期涉诉金额2400元问题类型诉求类型投诉详情超高利息，借款1200，两天后还1500，续期两天就要300，而且催收语气恶劣。</t>
  </si>
  <si>
    <t>2019/10/04 14:37:43</t>
  </si>
  <si>
    <t>催收地域黑，侮辱河南人…有录音为证…不当面道歉，继续投诉…。</t>
  </si>
  <si>
    <t>2019/10/04 14:37:27</t>
  </si>
  <si>
    <t>投诉人 徐先生        投诉对象  钱站        涉诉金额  1 000 元    问题类型    诉求类型投诉详情  本人因个人原因在钱站APP借款一千元 因为钱站是个大平台 没想到砍头息 阴阳合同 借一千还一千四百多这个我接受不了 本人声誉被钱站工作人员扰乱 生活也被无尽打扰 望聚投诉这个大平台给予帮助 万分感谢</t>
  </si>
  <si>
    <t>2019/10/04 14:36:58</t>
  </si>
  <si>
    <t>投诉人孙先生投诉对象钱置宝涉诉金额4600元问题类型诉求类型投诉详情还款还不上导致逾期，费用太高，支付宝也还不上，要求还本金，。</t>
  </si>
  <si>
    <t>2019/10/04 14:36:54</t>
  </si>
  <si>
    <t>本人一直有诚意的积极沟通百度有钱花的正规客服，想协商一个切实可行的还款方案，但百度有钱花根本不予以理会本人的诉求，却通过一些乱七八遭的号码对本人进行电话和短信骚扰，而且还在电话和短信中使用极尽威胁和恐吓的语言，说是要骚扰到我的家人，当地政府以及本人相关工作地方，还说要通过司法机构对本人采取更严厉的措施，在这里奉劝有钱花相关方，我是很有诚意的要还款的，但确实收入有限，只希望能够协商一个分期免息的方案来进行，如果有钱花不能同意，请走正式流程，但如果一味的通过一些非法渠道采取极端措施而造成本人身心或工作上受到影响</t>
  </si>
  <si>
    <t>2019/10/04 14:36:50</t>
  </si>
  <si>
    <t>还请聚投诉曝光这种平台，我是另一个手机号注册的。</t>
  </si>
  <si>
    <t>2019/10/04 14:36:48</t>
  </si>
  <si>
    <t>投诉人邱先生投诉对象维信金科涉诉金额4000元问题类型诉求类型投诉详情高利贷威胁网贷利率超过百分之三十六，逾期费高于中国人民银行规定的逾期利率，踩法律红线。</t>
  </si>
  <si>
    <t>2019/10/04 14:36:13</t>
  </si>
  <si>
    <t>投诉人牛先生投诉对象小浦优客涉诉金额296元问题类型诉求类型投诉详情小浦优客未经允许就从我自己银行账户扣钱，也从未听说过这个软件，也没有申请过任何东西，望聚投诉帮忙追回。</t>
  </si>
  <si>
    <t>2019/10/04 14:35:37</t>
  </si>
  <si>
    <t>投诉人杨女士投诉对象小赢卡贷涉诉金额15000元问题类型诉求类型投诉详情逾期五天。</t>
  </si>
  <si>
    <t>2019/10/04 14:33:50</t>
  </si>
  <si>
    <t>投诉人邓先生投诉对象你我贷涉诉金额2700元问题类型诉求类型投诉详情借款3700还款4500还了3个月还差890不知道怎么算的。</t>
  </si>
  <si>
    <t>2019/10/04 14:33:41</t>
  </si>
  <si>
    <t>019.9.27日，我在拍拍贷平台申请了18000元借款，客服人员让我提交资料看审核结果，结果收到审核成功短信后联系客服人员，客服说需要交会员费用1288才可以把钱打给我，我说不要了，他说银行已经申请成功，你不要利息也要还，我就开了会员，后来客服让我加财务人员qq，加好了后简单核实了下信息，提现之后一直没到账，后来核实说我卡号写错了，然后更改卡号说需要自己承担一部分保证金，因为怕别人冒用申请，我承担了20%的保证金打款了3600元，其他保证金拍拍贷承担，交了之后过了一天提现还没有成功，查询说银行方面说我名下</t>
  </si>
  <si>
    <t>2019/10/04 14:33:30</t>
  </si>
  <si>
    <t>高利息，没有经过同意强制性买了个什么学堂会员一千多，催款态度极其恶劣，没有任何商量的余地，要求改善服务，免除利息，停止骚扰。</t>
  </si>
  <si>
    <t>2019/10/04 14:33:23</t>
  </si>
  <si>
    <t>由于国庆假期公司工资延迟到十号，账单日是五号六号，希望能给予延期给客服打电话不给协商，本人并非恶意不还款，为了避免征信不受影响希望能协商延期，本人愿意接受合适的违约金。</t>
  </si>
  <si>
    <t>2019/10/04 14:33:03</t>
  </si>
  <si>
    <t>投诉人王先生投诉对象交通银行信用卡涉诉金额1200元问题类型诉求类型投诉详情交通银行信用卡逾期，协商全额还款，第三方催收承诺全额还款会减免三期违约金以及利息，会在一个星期以溢用金形式返还到信用卡，打银行客服得倒认证，后联系银行客服说一个月之内会返还。</t>
  </si>
  <si>
    <t>2019/10/04 14:32:51</t>
  </si>
  <si>
    <t>投诉人崔女士投诉对象新橙优品涉诉金额3000元问题类型诉求类型投诉详情放3000额度扣300砍头息3期还完每期1056高利贷。</t>
  </si>
  <si>
    <t>2019/10/04 14:32:36</t>
  </si>
  <si>
    <t>投诉人曾艳龙投诉对象小浦优客涉诉金额296元问题类型诉求类型投诉详情小浦优客APP2019年10月2日申请借款，按步骤填写资料，然后按要求绑定银行卡，绑定完成开始审批，然后推出几个借贷的APP，没兴趣就删除了，可是今天13点5分竟然扣了我296元说什么信用报告费，可是之前申请步骤并没有说明有这笔费用，因为不知道会有这种情况发生，申请过程没有截图。</t>
  </si>
  <si>
    <t>2019/10/04 14:32:12</t>
  </si>
  <si>
    <t>投诉人刘先生投诉对象美团金融,招联金融涉诉金额1000元问题类型诉求类型投诉详情一天一堆电话，逾期我11号发工资会还进去，逾期费我给，没有必要一直骚扰，现在确实没钱，再怎么催收也没钱，11号我会还进去。</t>
  </si>
  <si>
    <t>2019/10/04 14:30:55</t>
  </si>
  <si>
    <t>投诉人邱先生投诉对象及贷涉诉金额2800元问题类型诉求类型投诉详情10月1日及贷旗下的智享贷客服打电话跟我协商还款，app显示要还2800,答应只要还2575就销账，其中2500是借款本金，75是一个月的利息，要知道一个月的利息就是3%，那一年就是36%，已经和高利贷利息持平，10月2联系客服，10月4日仍显示有欠款，是不是催债人员欺骗了我。</t>
  </si>
  <si>
    <t>2019/10/04 14:30:25</t>
  </si>
  <si>
    <t>，宣传内容是127%sRGB广色域，109%NTSC广色域，但是我收到货之后用检测软件检测出来的数值远远低于宣传中的数值，联系客服也没能得到具体的解释，典型的欺骗消费者行为，没有经过实际检测，公然将虚假参数作为卖点进行宣传，我不要求赔偿什么，作为一个多年的京东消费者，一直感觉京东的电子产品是最靠谱的，但是这次的产品确实让我非常不舒服，希望京东方面的人能够正面对待这个事件，对你们的产品上架之前进行检测，对你们宣传出来的参数负责。</t>
  </si>
  <si>
    <t>2019/10/04 14:30:22</t>
  </si>
  <si>
    <t>投诉人毕先生投诉对象顺丰速运涉诉金额5999元问题类型诉求类型投诉详情20号丢件价值5999元的苹果11，因保价金额底只赔500，打电话给当地网电总是不接，一直拖延，要求顺丰赔偿全款。</t>
  </si>
  <si>
    <t>2019/10/04 14:29:40</t>
  </si>
  <si>
    <t>该平台app只能充值，所有订单期过期失效为一个月，不能及时退单，充值的钱不能提现，完全处于单方面的条款，汽车买错票还退款呢，你们约单平台为什么不能退单，霸王条款，400块钱，白白扔进了这个平台，要求约单app立即退单，退款！。</t>
  </si>
  <si>
    <t>2019/10/04 14:29:13</t>
  </si>
  <si>
    <t>这只是一部分，乱七八糟的什么都有很烦人，拦截短信里面还有很多一部分。</t>
  </si>
  <si>
    <t>2019/10/04 14:28:58</t>
  </si>
  <si>
    <t>投诉人李女士投诉对象小米金融涉诉金额5000元问题类型诉求类型投诉详情合同利率和实际收费不符合，请求聚投诉帮忙解决问题，需要撤销该笔贷款，或者按照合同上的利率调整利息。</t>
  </si>
  <si>
    <t>2019/10/04 14:28:47</t>
  </si>
  <si>
    <t>借款4000每月利息高达400，利息高达百分之40，已还款一期，共三期，要求调整费用，暴力催收，不停骚扰家人朋友，不停的打电话，侮辱人，没表示过不还，继续骚扰不解决打算不还，望解决。</t>
  </si>
  <si>
    <t>2019/10/04 14:28:03</t>
  </si>
  <si>
    <t>投诉人邓先生投诉对象信用管家涉诉金额2600元问题类型诉求类型投诉详情已经还款完了还要我在还差不多一个月的利息。</t>
  </si>
  <si>
    <t>2019/10/04 14:27:57</t>
  </si>
  <si>
    <t>投诉人吴兵投诉对象立借涉诉金额4700元问题类型诉求类型投诉详情平台以买平台提供的虚里币乱收服务费算到借钱里面。</t>
  </si>
  <si>
    <t>2019/10/04 14:27:56</t>
  </si>
  <si>
    <t>投诉人邱先生投诉对象Wecash闪银涉诉金额4000元问题类型诉求类型投诉详情本月资金紧张，账单延期还款，下月全部还清，但是客服一直不处理。</t>
  </si>
  <si>
    <t>2019/10/04 14:27:34</t>
  </si>
  <si>
    <t>投诉人左女士投诉对象安逸花涉诉金额1900元问题类型诉求类型投诉详情安逸花未经我的允许从我的卡里扣钱，利息还特别高，我借了12000，每个月还不到两千，希望贵平台解决下利息的问题。</t>
  </si>
  <si>
    <t>2019/10/04 14:26:52</t>
  </si>
  <si>
    <t>投诉人王先生投诉对象小赢卡贷涉诉金额500元问题类型诉求类型投诉详情小赢卡贷暴力催收之前一直按时还款就这一期逾期第二天我说我在周转六点之前肯定可以还然后就一直恐吓威胁态度极其恶劣还说什么要喊人上门要债我就一直表明了我说六点之前肯定能还让给几个小时时间周转一下反正就一直威胁恐吓。</t>
  </si>
  <si>
    <t>2019/10/04 14:26:50</t>
  </si>
  <si>
    <t>投诉人雷先生投诉对象快易花涉诉金额750元问题类型诉求类型投诉详情我逾期是我不对。</t>
  </si>
  <si>
    <t>2019/10/04 14:26:36</t>
  </si>
  <si>
    <t>投诉人徐先生投诉对象滴滴出行涉诉金额11元问题类型诉求类型投诉详情2019年10月3日晚23时10分许，我在杭州远洋乐堤港附近打车，车牌为浙AD53232的白色比亚迪接单，软件显示司机姓范，因为软件默认上车地点在路口，考虑到司机可能会因为违停被交警处罚，故我与母亲特地想走到司机前来路线上的合法下客点等待司机，在向下客点走过去的途中，司机提前赶到了，我向司机招手，司机没有理睬，仍然开到默认路口等待我们，于是我们又继续走到路口上车，上车后，司机开始埋怨我们为什么在这个不能停车的地方打车，我也对我之前的行为做出了</t>
  </si>
  <si>
    <t>2019/10/04 14:26:13</t>
  </si>
  <si>
    <t>合同描述贷款金额9000元，实际放款后扣掉1241.1元，实际要求还款11714.76元，我在尽力维持还款意愿，遭遇暴力催收，威胁恐吓我及联系人。</t>
  </si>
  <si>
    <t>2019/10/04 14:25:56</t>
  </si>
  <si>
    <t>投诉人周平煌投诉对象友缘在线涉诉金额168元问题类型诉求类型投诉详情是这样的今天下了个交友app然后进去之后他自己设了个什么免密支付几分钟后支付宝花呗显示扣费一共是两次一次69一次99我随后就把软件卸载了完全不是我们自己想付的钱钱虽然不多但是对于大学生来说也不容易希望能退款。</t>
  </si>
  <si>
    <t>2019/10/04 14:25:38</t>
  </si>
  <si>
    <t>到今天才扣款它上面平台都是推荐其它大众平台借款对借款人毫无帮助。</t>
  </si>
  <si>
    <t>2019/10/04 14:25:12</t>
  </si>
  <si>
    <t>时间发生在2019年9月12日下午1时工作人员电话联络我到百合网实体店了解、去到有个自称是红娘的老师带我到包厢经过解说两三个小时让我交了3000元、说可以分期、承诺一对一的服务，到2019年10月3日只见面过一个会员、期间老师也没有任何服务、之后就不了了之、完全没有服务。</t>
  </si>
  <si>
    <t>2019/10/04 14:23:19</t>
  </si>
  <si>
    <t>2019年10月1号，本人被微信陌生好友添加诱导一款名为太阳城娱乐的APP进行娱乐，至10月3号本人共计损失12300元，发现情况不对，立即向支付宝举报处理要求冻结商户，披露商户信息，支付宝作为国家认可的挂牌支付公司不作为，不仅不解决问题，还继续为太阳城娱乐提供充值渠道，为违法违规机构平台提供支付结算通道根据（中华人民共和国反洗钱法）和（金融机构反洗钱法规定）（中国人民银行令{2006}第1号发布）、（金融机构客户身份识别和客户身份资料及交易记录保存管理办法）（中国人民银行令{2007}第2号发布）等规定，</t>
  </si>
  <si>
    <t>2019/10/04 14:21:57</t>
  </si>
  <si>
    <t>投诉人魏女士投诉对象唯一视觉旅拍涉诉金额2000元问题类型诉求类型投诉详情之前在唯一旅拍定了旅拍婚纱照套餐，目前还没去拍，没有享受任何服务，19年情人节交了2000元预付款，雨见客服说以后价格只会高，不会低，结果后来价格越来越低，询问该客服，做出的回答是我的消费水平比别人高，该服务态度有问题，因为不着急拍，定了几个月之后询问套餐内容，发现与之前的不一样，雨见语音通过给我说让我别投诉他，给我发红包私下解决，后来发现套餐越来越低，网上很多评论客片与他们的精修根本不一个水平，现在联系客服说想退，但是客服说怎么也退</t>
  </si>
  <si>
    <t>2019/10/04 14:21:55</t>
  </si>
  <si>
    <t>投诉人吕先生投诉对象小花钱包涉诉金额18000元问题类型诉求类型投诉详情小花钱包逾期，借电话想协商还款，外包催收人员电话中态度恶劣不合作，骂脏话，后来发短信威胁，捏造事实说联系不上我！！。</t>
  </si>
  <si>
    <t>2019/10/04 14:21:41</t>
  </si>
  <si>
    <t>汇聚支付,信汇支付,新生支付,天下支付,得仕，通过中国人民银行和支付清算协会沟通得知第三方支付业务应审核客户的相关信息，第三方支付公司不得向证券、期货、博彩等机构提供支付结算业务，被误导进入非法博彩网站看到有银联云闪付等支付方式以为是正规网站.通过云闪付扫码充值约11万.后来经过查询得知是非法博彩网站.多家第三方支付公司利用云闪付扫码替非法博彩网站洗钱.，作为有牌照的支付公司没有履行国家相关法律法规要求，希望有工作人员能够联系，要求第三方支付机构退回被扣款项.流水很多如有需要本人愿意提供一切证据。</t>
  </si>
  <si>
    <t>2019/10/04 14:21:29</t>
  </si>
  <si>
    <t>总额9600，已经不记得下款扣了多少，还了7期利息超出36%，这不是高利贷是什么哦，总额要还13072元，不算高额利息已经算是快还清了，请求处理，并且暴力催收骚扰家人，没表示不还，望协商还清，不协商就不还了，一直在骚扰家人朋友，也一直没有相关部门联系处理。</t>
  </si>
  <si>
    <t>2019/10/04 14:21:02</t>
  </si>
  <si>
    <t>平台借钱一直重复多条借钱口子下款，这样完全就是绑票借钱赚利息。</t>
  </si>
  <si>
    <t>2019/10/04 14:20:51</t>
  </si>
  <si>
    <t>购分期app在没有提示下，扣款199元，里面提示申请5个app才能下款，我没有收到任何需要扣款的提示，直接扣款属于欺骗并套取个人信息行为。</t>
  </si>
  <si>
    <t>2019/10/04 14:20:34</t>
  </si>
  <si>
    <t>投诉人超先生投诉对象你我贷涉诉金额4600元问题类型诉求类型投诉详情先骗我朋友说找我有事要我朋友约我见面。</t>
  </si>
  <si>
    <t>2019/10/04 14:20:32</t>
  </si>
  <si>
    <t>本人均已按时还款，现依据相应法律法规要求该平台退还所谓以游戏币购买费用作为利息，我最高人民法院规定高于年利率36%以外利息，本人已保留多笔银行流水及其交易记录，贷上钱平台清除app借款记录我仍有相应证据。</t>
  </si>
  <si>
    <t>2019/10/04 14:20:29</t>
  </si>
  <si>
    <t>小浦优客app申请借款，按步骤填写资料，然后最后要求绑定银行卡，绑定完成就开始审批，过了好几天我APP都卸载了，突然收到扣款296，要求全额退还296元，因为不知道会有这种情况发生，申请过程没有截图，而且他也只是中介，扣取费用之后推荐几个app。</t>
  </si>
  <si>
    <t>2019/10/04 14:19:42</t>
  </si>
  <si>
    <t>投诉人车女士投诉对象广州梵荣生物科技有限公司涉诉金额2800元问题类型诉求类型投诉详情我在好看视频上看到广州梵荣生物科技有限公司做的产品广告，并添加了广告上提供的销售人员的微信号，通过销售人员的宣传介绍，花费2800元购买了该公司周期50天，承诺减肥25斤的减肥产品，售卖过程中，我问及销售人员关于产品的效果，以及2800元费用是否为整个周期一次性收取的费用，销售人员承诺产品保证在此周期保证减重25斤，如果减肥结束后反弹，也都后期免费提供服务，在服用1盒多之后，没有任何效果，我联系销售人员，她让我先停用，然后</t>
  </si>
  <si>
    <t>2019/10/04 14:18:52</t>
  </si>
  <si>
    <t>投诉人 范先生        投诉对象  协融借        涉诉金额  2 000 元    问题类型    诉求类型投诉详情  协融借的人暴力催收，一天打好多好多电话。还打电话给我朋友，严重影响了我的生活。除此之外，还有极短的还款周期和高额的利息。</t>
  </si>
  <si>
    <t>2019/10/04 14:17:41</t>
  </si>
  <si>
    <t>作为有牌照的第三方支付，违规为赌博网站提供支付，自查《清算法》，死猪不怕开水烫，对提供的证据视而不见，望有关部门严查，吊销其支付牌照，退回本人全部损失，：0SmtmgzpgS20*************4、交易金额。</t>
  </si>
  <si>
    <t>2019/10/04 14:17:05</t>
  </si>
  <si>
    <t>9月10日，通过网贷平台新意花内的小木钱包申请贷款，金额2800元，后于未于本人签订任何相关授权合同，畅捷支付就于9月18日，从本人银行卡中扣除人民币1078.04元，请该公司立即归还该笔金额，至本人相关银行卡！。</t>
  </si>
  <si>
    <t>2019/10/04 14:16:54</t>
  </si>
  <si>
    <t>本人由于资金紧张，逾期一个多月，我也不想，但是上司跑了资金无法追回，又换了一份工作，我就想问问几百块钱发短信，催啊，又不是不还钱，对吧！关键是资金是不是得好，还有利息超过百分之十五，纯高利贷啊！如果聚投诉影响力不大，没关系，鱼死网破。</t>
  </si>
  <si>
    <t>2019/10/04 14:16:11</t>
  </si>
  <si>
    <t>投诉人李女士投诉对象玖富涉诉金额80000元问题类型诉求类型投诉详情电话骚扰，利息还贵的要死，这个软件真的太坑了，起初没什么一起按时还，后面算了下这个利息高得无法想象，还死催，电话轰炸。</t>
  </si>
  <si>
    <t>2019/10/04 14:15:57</t>
  </si>
  <si>
    <t>投诉人罗先生投诉对象乐家易付涉诉金额11500元问题类型诉求类型投诉详情本人之前在网上发布想兼职信息，有一个人就加我QQ说有一个兼职稳赚的项目，给了我一个叫qy555.vip的网站，让我注册后跟着他操作赚钱，先是说知道开奖结果，我亏了，后面就说刷流水包赚，最后一次我感觉不对劲我在充值的时候做了录屏，后来通过朋友了解到这个网站是违法违规的，通过中国银联查询到，我在其网站充值的资金是浙江航天电子信息产业有限公司收的。</t>
  </si>
  <si>
    <t>2019/10/04 14:15:44</t>
  </si>
  <si>
    <t>投诉人超先生投诉对象信用管家涉诉金额3000元问题类型诉求类型投诉详情我是在超市门口看到做活动。</t>
  </si>
  <si>
    <t>2019/10/04 14:15:35</t>
  </si>
  <si>
    <t>我在水象优品借款9500分12期，每期1076.67元，现在第六期逾期，之后开始拨打我的通讯录电话人员，并且态度非常差，你们利息太高了，我实在无法还款，你们是否同意按照本金归回还。</t>
  </si>
  <si>
    <t>2019/10/04 14:15:28</t>
  </si>
  <si>
    <t>投诉人 闻先生        投诉对象  贷上钱        涉诉金额  3 000 元    问题类型    诉求类型投诉详情  威胁，骚扰</t>
  </si>
  <si>
    <t>2019/10/04 14:15:02</t>
  </si>
  <si>
    <t>投诉人尹女士投诉对象Wecash闪银涉诉金额4000元问题类型诉求类型投诉详情闪银科技泄露个人信息，导致本人被盗刷2312元，这样的损失谁来赔我，联系客服又不处理。</t>
  </si>
  <si>
    <t>2019/10/04 14:14:34</t>
  </si>
  <si>
    <t>平台借钱不成功，收取的压金不退压金钱，骗钱也不是这样骗的把。</t>
  </si>
  <si>
    <t>2019/10/04 14:14:30</t>
  </si>
  <si>
    <t>投诉人王先生投诉对象微粒贷涉诉金额355元问题类型诉求类型投诉详情微粒贷因为工作原因导致逾期，并非恶意不还！微粒贷催收人员威胁恐吓我要骚扰我的家人以及单位！如果微粒贷真的暴力催收我会保留证据与黑恶势力斗争到底。</t>
  </si>
  <si>
    <t>2019/10/04 14:14:02</t>
  </si>
  <si>
    <t>投诉人李先生投诉对象左右钱包,汇潮支付涉诉金额700元问题类型诉求类型投诉详情本人在左右钱包上借款2000元，到账1300元，客服让我在app上确认一下，我不小心点到立即还款，从借款到账到扣款还款前后不到一分钟，客服态度极差，说是我的问题不给退还。</t>
  </si>
  <si>
    <t>2019/10/04 14:13:28</t>
  </si>
  <si>
    <t>投诉人吴先生投诉对象滴滴出行涉诉金额0元问题类型诉求类型投诉详情接不到单，宜兴的快车单都优先派给优享了，强制变成优享单。</t>
  </si>
  <si>
    <t>2019/10/04 14:13:05</t>
  </si>
  <si>
    <t>滴滴优先派单给优享，不给快车派单，经常几个小时不派单，乘客自主取消订单，与司机毫无关系的取消，再爆单也不给派单，个吧个小时你别想接到订单。</t>
  </si>
  <si>
    <t>2019/10/04 14:12:28</t>
  </si>
  <si>
    <t>投诉人王先生投诉对象ofo小黄车涉诉金额99元问题类型诉求类型投诉详情联系客服无人应答在线客服一直在排队请尽快与我联系。</t>
  </si>
  <si>
    <t>2019/10/04 14:11:38</t>
  </si>
  <si>
    <t>投诉人魏女士投诉对象小助钱包,聚福钱包,豹子贷涉诉金额795元问题类型诉求类型投诉详情多次拨打电话要求退款，说是一周之内退款，1个多月了客服也不处理，忽悠我，在其他平台也投诉过不处理。</t>
  </si>
  <si>
    <t>2019/10/04 14:10:54</t>
  </si>
  <si>
    <t>投诉人陈女士投诉对象钱伴涉诉金额8000元问题类型诉求类型投诉详情每天打电话威胁骚扰我和朋友，已经不能正常生活。</t>
  </si>
  <si>
    <t>2019/10/04 14:10:03</t>
  </si>
  <si>
    <t>活力花平台爆我通讯录，给我手机通讯录电话一个个打，已经违反国家法律规定软暴力催收，要求立即停止，并且做出道歉！！！。</t>
  </si>
  <si>
    <t>2019/10/04 14:08:08</t>
  </si>
  <si>
    <t>本人于2019年10月2日晚上10点借款9900元，于两天后还款发现利息和保费合计122元，本人只知晓利息，并不知晓保费，对于这种强制搭售保险拒不退保行为强烈不满，要求退还保费。</t>
  </si>
  <si>
    <t>2019/10/04 14:08:04</t>
  </si>
  <si>
    <t>投诉人孙先生投诉对象多宝分期,手机借钱涉诉金额4000元问题类型诉求类型投诉详情客服电话联系不上关机，协商还款，减免利息。</t>
  </si>
  <si>
    <t>2019/10/04 14:08:00</t>
  </si>
  <si>
    <t>投诉人超先生投诉对象你我贷涉诉金额1700元问题类型诉求类型投诉详情客服态度不好。</t>
  </si>
  <si>
    <t>2019/10/04 14:07:45</t>
  </si>
  <si>
    <t>投诉人吴先生投诉对象锦鲤口袋涉诉金额1400元问题类型诉求类型投诉详情客服电话永远打不通.签约一直已满.是不是盗窃我的个人信息.麻烦给个解释。</t>
  </si>
  <si>
    <t>2019/10/04 14:07:33</t>
  </si>
  <si>
    <t>投诉人赵先生投诉对象石头管家,卡牛信用管家涉诉金额3375元问题类型诉求类型投诉详情信用管家平台里面的石头管家联系不到没有客服电话请尽快联系我剩下的一期要求协商客服赶快联系我。</t>
  </si>
  <si>
    <t>2019/10/04 14:07:24</t>
  </si>
  <si>
    <t>结清款，一直找理由不跟我算清账，让我一直都显示差钱。</t>
  </si>
  <si>
    <t>2019/10/04 14:06:35</t>
  </si>
  <si>
    <t>投诉人杨先生投诉对象微博借钱涉诉金额1500元问题类型诉求类型投诉详情个人原因商量好慢慢还，但是还是不停打电话骚扰，今天还给当地人员联系我要上门，我又不是不还，只是现在没办法，谁乐意欠钱，特别是这种贷，希望给我时间。</t>
  </si>
  <si>
    <t>2019/10/04 14:06:06</t>
  </si>
  <si>
    <t>投诉人 王先生        投诉对象  威力贷        涉诉金额  2 000 元    问题类型    诉求类型投诉详情  威力贷暴力催收 电话恐吓 高利贷模式 无法协商沟通</t>
  </si>
  <si>
    <t>2019/10/04 14:05:20</t>
  </si>
  <si>
    <t>在没有说明的情况下擅自扣除风险评估费299元，承诺14天之内推荐贷款平台，如果不成功全额退款，但是到今天一个推荐也没有而且退款程序相当复杂。</t>
  </si>
  <si>
    <t>2019/10/04 14:04:36</t>
  </si>
  <si>
    <t>投诉人蔡先生投诉对象百事普惠涉诉金额299元问题类型诉求类型投诉详情2019年10月2日晚约22时50左右，填写了百事普惠APP的相关注册信息，，然后该APP提醒是否支付299元或小银券支付报告费用，其中APP并未告知或提示小银券是否需要支付费用！我点击了使用小银券，当时我就觉得没啥用处，就把APP给删除了，也不曾多想！谁知今日一大早2019年10月4日7时48分，收到银行卡被扣款的信息！是百事普惠的299元扣款！我认为这情况必须给予我交代！现投诉举报！。</t>
  </si>
  <si>
    <t>2019/10/04 14:04:35</t>
  </si>
  <si>
    <t>投诉人赖女士投诉对象掌众金服涉诉金额121元问题类型诉求类型投诉详情借款1000元，到账990元，还款日前一天还1049元，但却意外有个购买黑卡款项115元要还！我不想购买，至今24天，变成120.44元，至今还在电话催收。</t>
  </si>
  <si>
    <t>2019/10/04 14:04:22</t>
  </si>
  <si>
    <t>投诉人孙先生投诉对象招联金融涉诉金额1800元问题类型诉求类型投诉详情除紧急联系人之外也收到了招联金融催收的电话，损毁个人名誉，以及威胁恐吓。</t>
  </si>
  <si>
    <t>2019/10/04 14:04:18</t>
  </si>
  <si>
    <t>12月14日，我在及贷一笔10800元贷款通过审批，放款过程中，及贷直接扣除1255.5元的保险费用，而此举在审贷过程中并未提示需购买保险，也没有正规购买保险所应有的流程，更加没有经过我本人的确认和许可，属于强迫捆绑消费，希望贵公司尽快给我反馈，商量解决事宜，如无反馈，我将针对此笔贷款对贵公司发起诉讼。</t>
  </si>
  <si>
    <t>2019/10/04 14:04:07</t>
  </si>
  <si>
    <t>投诉人李先生投诉对象拼多多涉诉金额1599元问题类型诉求类型投诉详情拼多多平台在今年3月份盗刷，我信用卡里的1500元当时由于个人事情比较多没有发现，而后再今年9月29号盗刷我银行卡里的99元我看到短信后去查消费记录才发现3月份被盗刷这么多钱，而后下载拼多多app查询发现自己并无购买任何商品除平时帮朋友在拼多多砍一下价并无任何商品在拼多多购买这是严重的盗刷行为。</t>
  </si>
  <si>
    <t>2019/10/04 14:03:58</t>
  </si>
  <si>
    <t>投诉人杨女士投诉对象你我贷涉诉金额9900元问题类型诉求类型投诉详情因为有点事情逾期啦五天客服打电话说逾期会让下月一次清还清了本来就高利息。</t>
  </si>
  <si>
    <t>2019/10/04 14:03:06</t>
  </si>
  <si>
    <t>借钱的时候不说明，到下款的时候私自扣服务费。</t>
  </si>
  <si>
    <t>2019/10/04 14:02:54</t>
  </si>
  <si>
    <t>变相收取的费用我不计较，但是也要给我发个过来啊，以前的我说了，今年其他发货的也就算了，但是这个锅我是一点没收到，必须退款！。</t>
  </si>
  <si>
    <t>2019/10/04 14:02:43</t>
  </si>
  <si>
    <t>投诉人 李先生        投诉对象  滴滴出行        涉诉金额  0 元    问题类型    诉求类型投诉详情  滴滴公司惨无人道 不给快车派单 经常 出车12小时接不到 几单 单子光派给优享</t>
  </si>
  <si>
    <t>2019/10/04 14:02:25</t>
  </si>
  <si>
    <t>投诉人徐合投诉对象你我贷涉诉金额600元问题类型诉求类型投诉详情今天你我贷催收人员又联系我，我在9月30日已与客服达成协议答应我10月12号还款，我才申请结案，就在刚刚催收人员不履行诺言，催我还款，言语威胁说爆我通讯录好友电话，。</t>
  </si>
  <si>
    <t>2019/10/04 14:01:40</t>
  </si>
  <si>
    <t>投诉人耿先生投诉对象信用管家涉诉金额3400元问题类型诉求类型投诉详情借款钱说的很好利息低。</t>
  </si>
  <si>
    <t>2019/10/04 14:01:12</t>
  </si>
  <si>
    <t>投诉人 龚先生        投诉对象  Wecash闪银        涉诉金额  5 000 元    问题类型    诉求类型投诉详情  昨天让开通存管账户 我觉得利息高 就没有弄 今天直接下款 利息高的吓人 有没有人管管了还 国庆节期间你们搞这种套路？ 损吗</t>
  </si>
  <si>
    <t>2019/10/04 14:00:59</t>
  </si>
  <si>
    <t>本人下载了”附近约爱”，体验一下，注册之后，有人回复消息，而后提示需要开通会员，一元体验三天，点进去支付一元准备体验，跳转支付宝支付成功，同时竟然签约代扣，免密支付，这我都不知情，在后面使用“附近约爱”软件中看到包月服务，点进去想了解详情，结果显示支付成功，这才发现“附近约爱”软件已经通过支付宝签约代扣了69元的语音豆套餐，而后与客服联系，客服长时间不回一直由机器人回话，而且那里写着语音豆不满意可退，结果客服一直不待见我，免密支付有安全隐患，支付宝审核不力，第二天核查账单才发现这笔支付，杀人于无形之中，要是</t>
  </si>
  <si>
    <t>2019/10/04 14:00:52</t>
  </si>
  <si>
    <t>投诉人张先生投诉对象钱橙无忧,恒富创融科技涉诉金额168元问题类型诉求类型投诉详情在平台贷款绑定银行卡之后点击贷款被恶意扣款168元，要求退回款项并处罚，望还一个公道很多人都遇到这种情况，要求退款168元，说是风险报告测评服务，但是我什么服务都没有得到，平台现在已经下架，问客服要链接不给，而且消费款项显示订购机票。</t>
  </si>
  <si>
    <t>2019/10/04 14:00:41</t>
  </si>
  <si>
    <t>投诉人刘女士投诉对象肥猫贷,支付宝,连连支付,威力贷涉诉金额2000元问题类型诉求类型投诉详情肥猫贷和威力贷属于高利贷，APP进去后直接让填写信息，信息填写完之后就弹出个提示下款中，并且看不到任何的合同，利息，借款天数，一直到下款后才在待还款里面看到借款1400，借款5天，还款2000元。</t>
  </si>
  <si>
    <t>2019/10/04 14:00:21</t>
  </si>
  <si>
    <t>投诉人陆先生投诉对象钱橙无忧涉诉金额168元问题类型诉求类型投诉详情莫名其妙恶意扣款，没有推荐的平台可用。</t>
  </si>
  <si>
    <t>2019/10/04 13:58:49</t>
  </si>
  <si>
    <t>支付宝委托第三方恶意催收，在能联系到我本人的情况下，多次通过0571的电话致电前同事催收，造成恶劣的影响，在我本人多次联系官方客服后，依旧要求我一次性还款，远远超出我的能力范围，我多次尝试沟通，提出36期的协商还款方案，催收人员蛮不讲理，客服也不作为，依旧被持续催收，而且在上班时间多次打扰工作，我期间也有还款行为和协商意愿，但是一直被态度恶劣的拒绝，所以只能在此投诉，希望支付宝能够停止暴力催收，并且对我的名誉损失作出道歉，协商36期的还款计划。</t>
  </si>
  <si>
    <t>2019/10/04 13:57:58</t>
  </si>
  <si>
    <t>2019/10/04 13:57:33</t>
  </si>
  <si>
    <t>畅捷支付,快付通,易票联支付,汇付天下,得仕，借款1000七天最少的都收取240的砍头息，多少人被你们害的家破人亡，是人都不会挣这些造孽钱的，马上退赔我的损失，7.21扣我240元4.17扣我400元快付通两笔6.4扣我238元4.15扣我。</t>
  </si>
  <si>
    <t>2019/10/04 13:57:00</t>
  </si>
  <si>
    <t>投诉人史女士投诉对象肥猫贷涉诉金额2000元问题类型诉求类型投诉详情打电话说必须四点钟把钱交上，顶上没有规定必须当天还款，逾期一天到三天不可以，问客服客服说催债人的信息为主，而且刚已进入网站，说的是七天后，如果不还款就会上到征信，也没有说借款到账，当天必须还款，因为工作很忙，没有接到对方的电话就开始有莫名的信息不停的发送当天最少有200条，跟他们的工作人员沟通，以后慢慢的会变少，晚上不停的打电话，因为觉得还的钱数太多，没有还款，希望你们能处理一下，借的是1400元，但是六天后还的是多了600元，周六百元钱，</t>
  </si>
  <si>
    <t>2019/10/04 13:56:40</t>
  </si>
  <si>
    <t>投诉人黄女士投诉对象小花钱包涉诉金额10000元问题类型诉求类型投诉详情本人一直在小花钱包正常还款，可是本月因公司延迟发放工资，导致逾期，小花钱包客服就一直发威胁短信过来，还表示几点未归还就拨打亲属，单位，原本想好好沟通，可是连商量的余地都没有，投诉暴力催收。</t>
  </si>
  <si>
    <t>2019/10/04 13:55:18</t>
  </si>
  <si>
    <t>投诉人 曾女士        投诉对象  小象优品        涉诉金额  4 300 元    问题类型    诉求类型投诉详情  我已经说明情况。想协商还款。逾期费用过高。一天50元。我现在想要协商还款。我也是最后一期了。现在确实没有足够的钱，也借不到钱了。</t>
  </si>
  <si>
    <t>2019/10/04 13:54:52</t>
  </si>
  <si>
    <t>投诉人赵先生投诉对象Wecash闪银涉诉金额4100元问题类型诉求类型投诉详情闪银在2019年4月21日借款4100元，期间强制购买所谓的至尊担保凭证720元,涉嫌变相砍头息，变相收取服务费用，严重扰乱金融市场秩序，实际年化远超36，而且你们的平台借款一直正常还款，从未有过逾期，无理由收取任何所谓的担保费用，担保费用也应该在客户还清后退还，现要求退还720元的前期费用，否则将继续给12315，闪银注册所在地北京网络借贷机构投诉平台进行投诉。</t>
  </si>
  <si>
    <t>2019/10/04 13:54:39</t>
  </si>
  <si>
    <t>宜人财富以短信形式邀请申请贷款，申请后在合同中修改卡号，导致资金冻结，想叫我交解冻资金，但是我没交。</t>
  </si>
  <si>
    <t>2019/10/04 13:54:18</t>
  </si>
  <si>
    <t>投诉人沈女士投诉对象信用飞涉诉金额610元问题类型诉求类型投诉详情借款3000分三期，共要还款三千九百多加上所谓的保险费610，我查看了一下合同，合同里并没有写意外险，贷款，不是出行，这交通意外险交的意义在哪。</t>
  </si>
  <si>
    <t>2019/10/04 13:54:12</t>
  </si>
  <si>
    <t>10月4日，公司一直以财务未处理为由拖延不付，要求海风教育解除我与招联金融的付款合同，退还多余金额给我。</t>
  </si>
  <si>
    <t>2019/10/04 13:53:39</t>
  </si>
  <si>
    <t>逾期第三天多个好友亲戚手机被骚扰，本人也被恐吓，扬言把我照片发给手机通讯录上的亲人好友要搞臭我，态度极其横蛮。</t>
  </si>
  <si>
    <t>2019/10/04 13:53:36</t>
  </si>
  <si>
    <t>投诉人 超先生        投诉对象  信用管家        涉诉金额  880 元    问题类型    诉求类型投诉详情  欠几百块钱天天打电话骚扰。控制我的人生自由。还要我家人带钱来才能让我走</t>
  </si>
  <si>
    <t>2019/10/04 13:53:18</t>
  </si>
  <si>
    <t>我于2018年7月18日在小象优品app借款10000元分9期归还，，每期归还1508计算一下9个月总共归还13572，利息3572远超国家的36%红线，借10000每个月利息396涉嫌高利贷，现已给欠款结清，给客服打电话说明情况，客服态度恶劣直接说不归还违规收取的利息，你去上诉吧，原本就想让她们平台人员承认个错误，电话录音短信截图我已打包好资料准备上诉，我会在今日头条实事求是发表文章，我做自媒体粉丝十几万让大家都讨论一下。</t>
  </si>
  <si>
    <t>2019/10/04 13:53:06</t>
  </si>
  <si>
    <t>投诉人 付静超        投诉对象  钱站,华夏银行        涉诉金额  2 100 元    问题类型    诉求类型投诉详情  借1200 到账1200 要还2100 已经还完1400 最多在还300 要不就不打算还了之前投诉一直没有处理 当时有事情 钱站单方面申请结案 没有取消结案标志</t>
  </si>
  <si>
    <t>2019/10/04 13:52:30</t>
  </si>
  <si>
    <t>投诉人谭先生投诉对象来花花,肥猫贷,金鸡下蛋涉诉金额7000元问题类型诉求类型投诉详情来花花，肥猫贷，金鸡下蛋这三个到账1400，借款6天需还款2000，就利息就600，请处理。</t>
  </si>
  <si>
    <t>2019/10/04 13:51:50</t>
  </si>
  <si>
    <t>投诉人焦亮投诉对象淘宝网,马云,焦氏集团涉诉金额2200元问题类型诉求类型投诉详情淘宝买了一部三星s8+128G中国大陆国行，结果手机刚用了两天，接电话刺啦声，手机屏还时不时的抖，联系客服说免费换，你把我这二手机收回去收拾收拾继续去卖，联系淘宝说你申请退款后，就对我置之不理，阿里一直都是众多微小企业学习的榜样，没想到有史以来亲自见证了阿里榜样的做事风格，对于假货只是睁眼闭眼，跟媒体报道的的对于假货绝不手软真是两个概念，希望淘宝官方基层屁孩认真履行上级部门给你们的指令，别让102年的企业毁在了基层的屁孩手里。</t>
  </si>
  <si>
    <t>2019/10/04 13:50:43</t>
  </si>
  <si>
    <t>暴露我的个人资料将我的个人信息放到网上到我家里工作单位闹，这已经是对我名誉构成侵害。</t>
  </si>
  <si>
    <t>2019/10/04 13:50:42</t>
  </si>
  <si>
    <t>投诉人陈楷敏投诉对象滴滴出行涉诉金额0元问题类型诉求类型投诉详情滴滴公司对待司机不公平，乘客恶意发单，司机有责，一直申诉不过，滴滴客服一直敷衍了事，没有用心公平合理办事。</t>
  </si>
  <si>
    <t>2019/10/04 13:49:51</t>
  </si>
  <si>
    <t>家里13岁的小孩偷大人手机，偷偷充值王者荣耀-和平精英，两款游戏充值大概5000元左右，今天联系腾讯官方，官方电话打通没有人接，全程是机器人回答，找不到人工客服。</t>
  </si>
  <si>
    <t>2019/10/04 13:49:49</t>
  </si>
  <si>
    <t>投诉人梁女士投诉对象微店涉诉金额199元问题类型诉求类型投诉详情微店对商家无任何约束力和管理力，在平台上遭遇商家因店铺倒闭而无法提供服务，微店已经判定商家退款，但对方拒绝退款，且出言不逊，微店根本无力执行。</t>
  </si>
  <si>
    <t>2019/10/04 13:49:36</t>
  </si>
  <si>
    <t>借贷平台不能提前还款，且没有自动扣除还款金额导致逾期1天收了违约金，这样的平台谁敢借。</t>
  </si>
  <si>
    <t>2019/10/04 13:48:49</t>
  </si>
  <si>
    <t>打电话威胁我，要不就找家里去，还给朋友打电话，打电话告诉我爆我通讯录。</t>
  </si>
  <si>
    <t>2019/10/04 13:48:08</t>
  </si>
  <si>
    <t>在网上买的一张电话卡，本人现在不在收货地址，让快递转运到新地址，快递员称会转运，现在过去两三天了，物流还是没有任何更新。</t>
  </si>
  <si>
    <t>2019/10/04 13:47:09</t>
  </si>
  <si>
    <t>360借条，今天给我打电话说我严重逾期，还要爆通讯录，上什么当地居委会，各种吓唬我，如果我不还款就让别人协助我还款，性质恶劣。</t>
  </si>
  <si>
    <t>2019/10/04 13:46:23</t>
  </si>
  <si>
    <t>发短信轰炸我和我的家人威逼恐吓甚至威胁我和我的家人。</t>
  </si>
  <si>
    <t>高利贷威胁网贷利率超过百分之三十六，或者是逾期费高于中国人民银行规定的逾期利率。</t>
  </si>
  <si>
    <t>2019/10/04 13:46:16</t>
  </si>
  <si>
    <t>2019/10/04 13:45:33</t>
  </si>
  <si>
    <t>投诉人李先生投诉对象来花花,呗呗分期,威力贷,金鸡下蛋涉诉金额5400元问题类型诉求类型投诉详情我一共借了4个平台，分别是呗呗分期，来花花，威力贷，金鸡下蛋，分别是3天一期和6天一期，但是那个呗呗分期还款日是3天后他们在第二天中午的时候就打电话叫我还款，那天我手里还没有钱他们就爆我通讯录骂我朋友，还骚扰我的家里人，来花花和威力贷也是是这样在第五天的时候就开始让我还款了还一直打电话过来骚扰我，我希望能通过这个平台帮我解决问题，我想只还本金。</t>
  </si>
  <si>
    <t>2019/10/04 13:44:21</t>
  </si>
  <si>
    <t>投诉人岳先生投诉对象贷上钱涉诉金额5000元问题类型诉求类型投诉详情非法套路贷死在无法忍受高昂的利息</t>
  </si>
  <si>
    <t>2019/10/04 13:43:40</t>
  </si>
  <si>
    <t>投诉人谭先生投诉对象腾讯涉诉金额268元问题类型诉求类型投诉详情我云视听会员10月4号到期，我10月3日正常在电视上续费，如同往年一样一次性续费一年，扫码续费，我电视上登录的是QQ账户，扫码续费后莫名地续费到了微信账户，可是我扫码的是电视提示的二维码，我电视登录的是QQ账户啊！！并且QQ和微信账户不互通，我第一年联系客服，第二时间再联系客服，但是云视听的客服电话是永远打不通的。</t>
  </si>
  <si>
    <t>2019/10/04 13:43:26</t>
  </si>
  <si>
    <t>打电话到他们公司去问，百世快递的人打电话给我，还理直气壮的说现在乡镇都要收费，不然没人给你把东西带下去，说除了邮政和京东，所有其他快递都要收钱！这是欺负乡下都是些老人家在家，不懂这些吗，我绝对不接受这样的解释！国家邮政现在规定了乡镇是不能另外收钱的，为什么这些快递还这么理直气壮的！。</t>
  </si>
  <si>
    <t>2019/10/04 13:43:08</t>
  </si>
  <si>
    <t>投诉人陈先生投诉对象小花钱包,中腾信涉诉金额27000元问题类型诉求类型投诉详情中腾信、小花钱包出卖个人隐私、通讯录给外包公司鼎泰鑫，实行暴力催收、爆通讯录，根据相关法律规定，中腾信小花钱包出现年利率过高，超过年利率36%！并且在催收一事上，出现了暴力催收现象，未经借款人同意，爆借款人通讯录，并且骚扰他人，以上所述都是由中腾信小花钱包出卖借款人个人隐私信息给鼎泰鑫外包催收公司所做之事，要求中腾信小花公司停止骚扰、暴力催收、道歉、并且进行尽快与之协商，并且保留控告中腾信小花钱包暴力催收、出卖个人隐私等违法行为</t>
  </si>
  <si>
    <t>2019/10/04 13:41:21</t>
  </si>
  <si>
    <t>投诉人梦先生投诉对象Wecash闪银涉诉金额20236元问题类型诉求类型投诉详情1.因为遇到事情资金紧张，多次在网银贷款，各种手续费，事先不说清，然后藏着掖着到最后才告诉我，2.10笔贷款全部结清，因为买房，加之为了日后征信的需要，深情结清证明，在APP上联系客服，各种推脱，要我自己去查征信，说什么要上征信的才给开结清证明，这种强调逻辑，那是不是意味着，在闪银的贷款，不上征信的就可以不用还，3.拨打客服电话4000106668，客服告诉我的和上面一模一样，要我自己去查征信，然后告诉他们，才给我开证明，我问是</t>
  </si>
  <si>
    <t>2019/10/04 13:40:35</t>
  </si>
  <si>
    <t>投诉人黄女士投诉对象拼多多涉诉金额13元问题类型诉求类型投诉详情商家页面上设有运费险，咨询商家后，商家也是承认有运费险，之后又说是平台问题，我联系拼多多平台客服，客服电话联系我，让我先将商品寄回去，之后联系她退运费，联系了好几个客服，之后客服让我3工作日查收，结果今天出了一个不支持！这是一个什么样的平台，言而无信，请处理。</t>
  </si>
  <si>
    <t>2019/10/04 13:40:05</t>
  </si>
  <si>
    <t>投诉人黄先生投诉对象神马借,信用管家,畅捷支付,潮州市盛林信息科技有限公司涉诉金额2625元问题类型诉求类型投诉详情2019年8月25日通过信用管家APP在神马借里面借款2625.00，分四期，每期8天，每期还款896元，总还款额3584.00，已还两期，9月19号是还款日，但是信用管家app里面的神马借无法正常还款，4008692809，4008691039二个客服电话都打不通，也没有其他联系方式能联系到客服，现在十多天过去了一直无法联系，支付宝为高利贷提供还款通道还款账号：cl*****f@163.co</t>
  </si>
  <si>
    <t>2019/10/04 13:40:00</t>
  </si>
  <si>
    <t>投诉人周会敏投诉对象拼多多充值中心涉诉金额191元问题类型诉求类型投诉详情10.2我在拼多多上买200元充值卡往本机上充结果充错了号码在还没充值成功时联系商家可他们不理会等充值成功后商家才回应拒不退款，拼多多客服说商家拒退款后一个工作日给予处理可到现在没见他们任何工作人员联系我所谓维权都是骗人的。</t>
  </si>
  <si>
    <t>2019/10/04 13:39:42</t>
  </si>
  <si>
    <t>投诉人 杨兵        投诉对象  维信金科        涉诉金额  8 900 元    问题类型    诉求类型投诉详情  不让还款，故意让合同逾期，收取高额利息费。</t>
  </si>
  <si>
    <t>2019/10/04 13:39:21</t>
  </si>
  <si>
    <t>投诉人梅先生投诉对象拼多多涉诉金额580元问题类型诉求类型投诉详情简单描述一下2019年10月2日下午3点收到拼多多站内信说，处理的通知因为9月29日2个店铺有42单+17单点击了发货，没有物流信息导致的，平台申诉也不成功，罚款410元+170元平台已于2019年9月12日下午发布通知，因国庆70周年庆祝活动影响，北京物流受到一定程度影响，承诺发货时间在2019年9月13日00:00:00至2019年10月4日23:59:58期间当时看到站内信，也问了快递公司，说国庆期间外地收货地址可以正常走件，只有本市局</t>
  </si>
  <si>
    <t>2019/10/04 13:39:08</t>
  </si>
  <si>
    <t>投诉人张先生投诉对象中国银联涉诉金额5381元问题类型诉求类型投诉详情因为本人工商银行没有短信提醒，每个月的军人最低补助款都被打入工行银行卡，今日查询少了5381元查看明细全被中国银联广东分公司专户2给支出这是什么情况，这是盗刷这是说在为虎作伥，这可是我的军人补助还让不让病退军人生活，如不马上退款查明原因，本人马上报警。</t>
  </si>
  <si>
    <t>2019/10/04 13:37:03</t>
  </si>
  <si>
    <t>投诉人 刘先生        投诉对象  聚福钱包        涉诉金额  200 元    问题类型    诉求类型投诉详情  卡里钱无缘无故被扣200。也没有通过任何的合约签约的</t>
  </si>
  <si>
    <t>2019/10/04 13:36:49</t>
  </si>
  <si>
    <t>用“呼死你”等软件轰炸用“呼死你”等软件轰炸我和我身边亲戚朋友。</t>
  </si>
  <si>
    <t>2019/10/04 13:36:27</t>
  </si>
  <si>
    <t>2019/10/04 13:36:24</t>
  </si>
  <si>
    <t>一直恐吓，骚扰，协商不愿减免砍头息，足足套路贷，本人愿还本金处理，砍头息减免，若继续恐吓，必上报相关部门，扫黑除恶，本人就是死，也不放过这些可恶的催收。</t>
  </si>
  <si>
    <t>2019/10/04 13:35:01</t>
  </si>
  <si>
    <t>借钱时候的合同还还钱不符合，找客服，客服不理人。</t>
  </si>
  <si>
    <t>2019/10/04 13:34:54</t>
  </si>
  <si>
    <t>本人于6月25号在快闪卡贷借款8000元分6月偿还，，每期还需还款1708.63元等于借款7216需要还款10251元。</t>
  </si>
  <si>
    <t>2019/10/04 13:34:30</t>
  </si>
  <si>
    <t>我来数科无法提前还款，本身利率过高，客服一直拖延时间，希望提供提前还款方式。</t>
  </si>
  <si>
    <t>2019/10/04 13:33:58</t>
  </si>
  <si>
    <t>6冒充国家执法机关冒充国家执法机关工作人员对你进行恐吓、暴力催收。</t>
  </si>
  <si>
    <t>2019/10/04 13:33:43</t>
  </si>
  <si>
    <t>今天早上我在闪电借贷APP里，申请贷款，然后他们给了我2万的额度，然后让我联系客服，客服先说需要支付800元的工本费，并给我提供了他们收款的银行卡卡号，让我转账，我800元给他们转了以后说我银行收款卡信息卡号填写错误，导致2万元没有打款成功，让我再交3000元保证金然后解冻20000给我下款，共计下款23000，并给我了他们新的收款银行卡，我把3000元给他们转过以后，又说需要回档，再需支付3000元，我就知道我上当了，希望帮我追回以上两笔钱数，一个800，一个3000，共计3800元。</t>
  </si>
  <si>
    <t>2019/10/04 13:33:41</t>
  </si>
  <si>
    <t>2019/10/04 13:33:32</t>
  </si>
  <si>
    <t>本人通过小黑鱼app下载一款叫点心贷的借款款件，从中借款1500元，期限为一个月，砍头息后实际到帐1125元，到期后因愈期产生高额滞纳金，平台不同意协商还到手本金，平台催收违法恶意骚扰本人通讯录联系人……给我工作生活与名誉造成极大的影响。</t>
  </si>
  <si>
    <t>2019/10/04 13:33:17</t>
  </si>
  <si>
    <t>投诉人陶女士投诉对象小影涉诉金额198元问题类型诉求类型投诉详情莫名其妙被小影扣除198RMB要求退款！我只是个学生198元对我来说很高我被默认购买会员自动续费订购本人过程完全不知情。</t>
  </si>
  <si>
    <t>2019/10/04 13:32:48</t>
  </si>
  <si>
    <t>投诉人 李先生        投诉对象  转转        涉诉金额  103 元    问题类型    诉求类型投诉详情  交易完成后转转恶意冻结我资金还封我号。</t>
  </si>
  <si>
    <t>2019/10/04 13:32:06</t>
  </si>
  <si>
    <t>投诉人丁先生投诉对象豹子贷,造艺科技涉诉金额299元问题类型诉求类型投诉详情无法申请退款扣费299元要求马上退款欺诈。</t>
  </si>
  <si>
    <t>2019/10/04 13:31:33</t>
  </si>
  <si>
    <t>投诉人宁得志投诉对象淘手游涉诉金额908元问题类型诉求类型投诉详情淘手游app买了个号，验号后发现是空号，连账号id都不一样，跟客服说了以后,要求取消交易，客服说要等5-10分钟后没了消息，然后就发现交易结束，只能申请仲裁了，问了客服说仲裁要等1-7天，但订单保护只有24小时，客服还向我推销保险，我又查了查同类情况，发现客服基本不管，希望尽快退款。</t>
  </si>
  <si>
    <t>2019/10/04 13:30:45</t>
  </si>
  <si>
    <t>本人在9月5日在自由魔卡信用计划借款2000，需要购买会员350，利息50元，实际到账1600，利息早就超过国家法律规定，属于国家严厉打击的高利贷利息本人已不能承担，要求平台尽快与本人联系协商，归还到帐本金和应付30天合理正常利息销账，如协商不及时擅自骚扰我通讯录，会投诉到底。</t>
  </si>
  <si>
    <t>2019/10/04 13:30:24</t>
  </si>
  <si>
    <t>本人由于近期离婚加上失业，所以没有办法按时还款，拍拍贷一直拨打我家人和我的电话，我和客服也解释过，我会尽我所能，有多少还多少，但是我现在真的走投无路，母亲身体又不好，希望拍拍贷帮忙协商，等我安顿好工作一定及时去处理欠款，如果他们强行上门催款，对我的家人造成身体或者精神上的伤害，我也只有依照法律进行维权，如果把我逼的连命都没有，拿什么还钱，希望相互理解，帮忙一下。</t>
  </si>
  <si>
    <t>2019/10/04 13:30:00</t>
  </si>
  <si>
    <t>你好本人在拍拍贷上贷款4000元分12期还，每期还453.28现在已经还10期，因这段时间出现点状况无力偿还本期钱款，希望帮忙和拍拍贷协商晚些日子还，谢谢。</t>
  </si>
  <si>
    <t>2019/10/04 13:29:22</t>
  </si>
  <si>
    <t>百事普惠恶意扣款299元，请求退款，麻烦尽快出力，谢谢。</t>
  </si>
  <si>
    <t>2019/10/04 13:28:48</t>
  </si>
  <si>
    <t>借款6600元实际到账5000元，每个月还款1100元，目前已经还款五个月5500元，实际到账跟借款差1600元，最后不仅多还出来一个月还有很多利息，而且发信息威胁，要求这笔借款钱站销账处理，这就是砍头息。</t>
  </si>
  <si>
    <t>2019/10/04 13:28:00</t>
  </si>
  <si>
    <t>砍头息，利息高于国家规定，催收一小时发一次短信，电话联系不上客服，催收短信中含有威胁恐吓内容。</t>
  </si>
  <si>
    <t>2019/10/04 13:27:24</t>
  </si>
  <si>
    <t>投诉人 杨兵        投诉对象  维信金科        涉诉金额  7 800 元    问题类型    诉求类型投诉详情  微信接钱到账强制收费，扣费不科学。求解决。</t>
  </si>
  <si>
    <t>2019/10/04 13:26:27</t>
  </si>
  <si>
    <t>拆迁安置房，由村民出款，购买的商品房，交房无质检报告，房屋质量令人发指，见图片和视频。</t>
  </si>
  <si>
    <t>2019/10/04 13:25:27</t>
  </si>
  <si>
    <t>本人向百度有钱花借款，因近期资金周转问题逾期，百度发送包含威胁，非法催收方式的短信，称要上门或去单位催收，本人不接受这种非法催收方式，你们可以通过法律渠道主张你们的权利，但想以非法暴力催收方式来收回款项，我是不会妥协的，对于因你们非法暴力催收对本人生活、名誉造成的损害，我也将通过法律途径追究你们的责任。</t>
  </si>
  <si>
    <t>2019/10/04 13:25:03</t>
  </si>
  <si>
    <t>当初因为资金问题，通过网页推荐知道我来贷平台，认为大公司平台应该还不错，首次借款的5000元都按年利率百分之36还清，再次借款21000元，没借款前系统显示每期还款在法定范围可接受，下款后直接就是按年利率36点计算的每期还款额，如今还了7期，都是按百分之36还的，有两次不小心逾期，一天逾期费300，我认了，后面因为工作调整，加上家人住院手术，无力还款，极力要求调整利率，这种打法律擦边球的贷款真恶心，为什么还能上市，逾期一天开始就电话催款，语言带有讽刺侮辱，而且催款号码经常变化，还私自加qq，正规平台会这么做</t>
  </si>
  <si>
    <t>2019/10/04 13:24:28</t>
  </si>
  <si>
    <t>给我打电话让我同意结案，可是我都没有收到申请结案的请求，我怎么同意。</t>
  </si>
  <si>
    <t>2019/10/04 13:24:04</t>
  </si>
  <si>
    <t>本人在2019年9月30号下载了钱橙无忧app，进去之后要我绑定身份信息并按要求绑定了银行卡信息，点进去有个成为会员，便有5000元额度分期，没有经过我的任何确认，于2019年10月4日上午私自从我的银行卡里进行了扣款168元，联系电话客服400-880-6092一直未得到回复，希望能通过合理途径完成退款，对此平台我将深究到底。</t>
  </si>
  <si>
    <t>2019/10/04 13:23:57</t>
  </si>
  <si>
    <t>投诉人苏先生投诉对象你我贷涉诉金额3300元问题类型诉求类型投诉详情用“呼死你”等软件轰炸我和我身边亲戚朋友。</t>
  </si>
  <si>
    <t>2019/10/04 13:23:33</t>
  </si>
  <si>
    <t>投诉人杨女士投诉对象六便士涉诉金额2060元问题类型诉求类型投诉详情自由魔卡六便士，借2000，30天利息是600，超级高利贷，要求减免利息，协商还款。</t>
  </si>
  <si>
    <t>2019/10/04 13:23:06</t>
  </si>
  <si>
    <t>投诉人胡先生投诉对象及贷涉诉金额4000元问题类型诉求类型投诉详情上门暴力收款从我朋友哪里套到我家地址，直接带人上门暴力收款。</t>
  </si>
  <si>
    <t>2019/10/04 13:22:47</t>
  </si>
  <si>
    <t>投诉人杨方投诉对象立借涉诉金额9200元问题类型诉求类型投诉详情找客服说明问题，客服不鸟人，还口头骂人，带侮辱人的话语。</t>
  </si>
  <si>
    <t>2019/10/04 13:22:12</t>
  </si>
  <si>
    <t>投诉人杨先生投诉对象Wecash闪银涉诉金额2216元问题类型诉求类型投诉详情借款2216元强制捆绑收取各项服务费500多元强制闪银商城高价购物996元实际到手金额不足千元三个月还款2300多元期间与客服人员电话沟通反应近二十次无人解决推三阻四后向聚投诉进行投诉后闪银将我在平台所有功能使用权关闭要求闪银奇异科技有限公司对我收取的各项不合理费用进行返还道歉恢复我在闪银APP的使用权利。</t>
  </si>
  <si>
    <t>2019/10/04 13:21:27</t>
  </si>
  <si>
    <t>2019/10/04 13:21:21</t>
  </si>
  <si>
    <t>短信功能锁了一年多都没有解锁，绑定的银行卡、信用卡、各个软件和网站没有办法正常使用短信功能进行设置，不能正常解绑、更换不了绑定手机号。</t>
  </si>
  <si>
    <t>2019/10/04 13:21:16</t>
  </si>
  <si>
    <t>打电话骚扰通讯录好友天天打电话给我的通讯录好友，骚扰和辱骂。</t>
  </si>
  <si>
    <t>2019/10/04 13:20:51</t>
  </si>
  <si>
    <t>因经济周转困难导致逾期2天，现已全部处理完，催收人员辱骂联系人与我本人，威胁说要上门，粗话脏话不断，随意骚扰联系人和通讯录内亲友，严重投诉。</t>
  </si>
  <si>
    <t>2019/10/04 13:18:32</t>
  </si>
  <si>
    <t>投诉人谭先生投诉对象钱橙无忧贷款app涉诉金额168元问题类型诉求类型投诉详情前几天下载了钱橙无忧借款app，当时填了基本信息，绑了银行卡，然后看到app端显示需要付费二百多审核费才能有可能匹配借款金额就果断放弃了，本人没有点击任何同意条款，然而，就在今天，当我昨天在这张卡里转了一笔钱进去之后，上午无缘无故收到扣费短信，APP恶意扣取了我168圆的个人风险自检报告费，本人当天在App上没有看到任何个人风险自检同意条款以及付费检测提醒，当我看到付费才可能匹配借款就果断退出卸载了app，可怕的是app竟然在几天</t>
  </si>
  <si>
    <t>2019/10/04 13:15:40</t>
  </si>
  <si>
    <t>贷款4500元，1000元恶魔猎手充值，到现在贷上钱不给我充，还说不是一个游戏，说恶魔猎手不是官游的恶魔猎手，竟然不是，那就还你们4500，竟然不是官网恶魔猎手就不要误倒玩家，欺骗人。</t>
  </si>
  <si>
    <t>2019/10/04 13:15:34</t>
  </si>
  <si>
    <t>让我上传身份证我没带着就没有上传完了就提现不了也不能转账也收不了红包卡也帮不上了希望官方能帮帮忙。</t>
  </si>
  <si>
    <t>2019/10/04 13:15:10</t>
  </si>
  <si>
    <t>众安保险不肯解除违规承保的保险单，愿以实名制的方式，揭发众安保险助纣为虐，帮助部分网络高利贷规避砍头息的问题，和帮助超高利率的借款平台利率合规化的种种恶劣行径。</t>
  </si>
  <si>
    <t>2019/10/04 13:14:00</t>
  </si>
  <si>
    <t>9月15日来电，接了其中一个明确拒绝，随后以短信形式以异性资料多次进行宣传和诱导，本人并未做答复，3)违约金问题当事人对自己提出的主张，有责任提供证据。并未对各项条款作出详细清晰的解释说明采用格式条款订立合同，提供格式条款的一方应当遵循公平原则确定当事人之间的权利和义务，并采取合理的方式提请对方注意免除或者限制其责任的条款，按照对方的要求，对该条款予以说明。格式条款是当事人为了重复使用而预先拟定，并在订立合同时未与对方协商的条款。25日中午到店，有专门的的红娘接待，以惯用套路和流程，身份证信息核对，填写个人</t>
  </si>
  <si>
    <t>2019/10/04 13:13:27</t>
  </si>
  <si>
    <t>投诉人 杨兵        投诉对象  及货        涉诉金额  8 100 元    问题类型    诉求类型投诉详情  不可以还钱，导致预期多出利息费。强制性套路。求帮助。</t>
  </si>
  <si>
    <t>2019/10/04 13:12:48</t>
  </si>
  <si>
    <t>路口封路，交通管制，当天已经跟乘客打电话，跟乘客沟通需要绕路过去接他，需要多等一会，乘客不愿意等待，说要重新打车，才取消订单，麻烦平台核实，恢复服务分！。</t>
  </si>
  <si>
    <t>2019/10/04 13:12:46</t>
  </si>
  <si>
    <t>“钱站”就是高利贷，本来借了60000，不知道当时为什么进来了66000，进来之后立马就扣了6000，这个就是砍头息吧，我分了36期，每期还款2667.86元，2667.86×36＝96042.96元！这种不是高利贷是什么啊，不还钱就打电话发信息，各种威胁！逾期一天就是一百块钱的利息，这不是高利贷又是什么，不知道什么时候是个头，“钱站”高利贷啊！深渊啊！这个月23号又到还款日了，我希望在23号之前，能把我借的钱，该还多少，给我好好算出来，差人钱，还钱当然是天经地义的，但是按照这个利息，按照这个赔法，我不会多</t>
  </si>
  <si>
    <t>2019/10/04 13:12:24</t>
  </si>
  <si>
    <t>我在2019.10.2因资金周转下载该公司旗下百事惠普，按照流程填写信息后，让我弄一份风险评估报告，并没有注明要付款！随后就收到短信扣了银行卡内50元，本想着花钱买个教训，哪想到昨天10.3又无故扣除我249元！今天凌晨我给客服打电话要求退款，客服要我邮寄身份证复印件，以及手持身份证照片等资料！说是需要核实，可为什么扣款时候就不向我核实呢，狼子野心，昭然若揭！随后我在黑猫投诉上投诉了一下，今天打电话让我先结案，才能退款！这明显不合理，请政府帮我！附件是扣费信息，和银行卡扣费记录，有一条扣50元的信息找不到了</t>
  </si>
  <si>
    <t>2019/10/04 13:12:00</t>
  </si>
  <si>
    <t>冲了会员没到账，打电话没有值班客服，qq客服刚接线说11人排队等了一个小时还是11个人。</t>
  </si>
  <si>
    <t>2019/10/04 13:11:22</t>
  </si>
  <si>
    <t>恶意催收，骚扰亲朋好友，冒充公检法，侮辱人格。</t>
  </si>
  <si>
    <t>2019/10/04 13:10:56</t>
  </si>
  <si>
    <t>8月26日，到9月26号，陆续通过航天电子乐家易付，敏付科技，银生宝，3家平台支付了18870元，因想提出本金，不想持续支付了，多次追问本金，理财经理人直接把我拉黑，后续通过中国人民银行和支付清算协会了解到，收款机构不得直接或变相为互联网投资理财，外汇，期货，未经监管部门批准通过互联网开展资产管理业务，以及未取得省政府批文的大宗商品交易场所等非法交易提供支付结算服务，央行也制定了《非银行支付机构网络支付业务管理办法》和《支付机构反洗钱和反恐怖融资管理办法》要求支付机构要及时跟进核查商户信息，请银生宝，敏付科</t>
  </si>
  <si>
    <t>2019/10/04 13:09:59</t>
  </si>
  <si>
    <t>我这一年已经累计还了9000元...一共还剩余700元，一直在医院没有处理...今天就接到一个号称百度有钱花外包的催收公司人员的恐吓，否则后果自负......你们打着虚假宣传说循环使用的名义，我累计还了那么多！！！现在居然还在恐吓威胁我！！非要逼死人么。</t>
  </si>
  <si>
    <t>2019/10/04 13:09:45</t>
  </si>
  <si>
    <t>你借我有,杭州市民卡,深圳市诺家科技有限公司，之前投诉你借我有借款平台迟迟不处理，不承认存在砍头息，仍然催收要求补齐砍头息部分，借款金额3100实际到账2171，现在已经还款2100，与客服催收多次沟通按国家法律规定的正常利率还款，你借我有的人态度强硬，协商无果，这没人管了么，都投诉两天了，这你借我有，杭州市民卡有限公司，深圳诺家科技有限公司，这三方就没有一家来处理，天天催收砍头息部分的款，强硬不协商。</t>
  </si>
  <si>
    <t>2019/10/04 13:09:19</t>
  </si>
  <si>
    <t>投诉人吴先生投诉对象Wecash闪银涉诉金额1800元问题类型诉求类型投诉详情将我的个人信息放到网上，或者到我家里工作单位闹，这已经是对我名誉构成侵害。</t>
  </si>
  <si>
    <t>2019/10/04 13:08:22</t>
  </si>
  <si>
    <t>投诉人曹女士投诉对象kuai jie,快捷通涉诉金额199元问题类型诉求类型投诉详情快捷通服务无缘无故扣费199，没有任何短信提醒。</t>
  </si>
  <si>
    <t>2019/10/04 13:07:51</t>
  </si>
  <si>
    <t>投诉人 何先生        投诉对象  宝付支付        涉诉金额  300 元    问题类型    诉求类型投诉详情  宝付扣了我300元钱 我要求退还，不知道为啥不能上传图片</t>
  </si>
  <si>
    <t>2019/10/04 13:06:57</t>
  </si>
  <si>
    <t>第一天信息为正常还款额度3700多，第二天竟变成了4200多！逾期一天费用竟达到400多！属于高利贷！。</t>
  </si>
  <si>
    <t>2019/10/04 13:06:44</t>
  </si>
  <si>
    <t>高利贷威胁网贷利率超过百分之三十六，逾期费高于中国人民银行规定的逾期利率。</t>
  </si>
  <si>
    <t>2019/10/04 13:06:31</t>
  </si>
  <si>
    <t>投诉人 吴先生        投诉对象  你我贷        涉诉金额  2 200 元    问题类型    诉求类型投诉详情  威逼恐吓甚至威胁我和我的家人。行为恶劣，造成精神上的恐慌。</t>
  </si>
  <si>
    <t>2019/10/04 13:05:03</t>
  </si>
  <si>
    <t>应送达时间12:37，平台显示在应送达十分钟前就显示由商家配送，结果在应送达时间到了的时候，平台系统直接自动给我取消订单，我等了将近一个小时，最后给我自动取消订单，请饿了么平台给我个合理的解释，就这么欺负消费者。</t>
  </si>
  <si>
    <t>2019/10/04 13:04:07</t>
  </si>
  <si>
    <t>本人在心意转钱老哥借款1400元，分四期还，逾期费用一天二三十，已经偿还两期，第三期准备还款打不开app，不停收到催收短信，打上面的客服打不通，找不到app，收到短信说app失效，剩余两期无法还款，利息每天都在增加，我希望钱老哥心意转主动联系我，偿还本金，逾期费用减免，给我一个满意的答复。</t>
  </si>
  <si>
    <t>2019/10/04 13:02:44</t>
  </si>
  <si>
    <t>投诉人廖女士投诉对象美团涉诉金额158元问题类型诉求类型投诉详情本人在美团订了珠江夜游船票，订单显示十月五日十点前可退款，换票后不可退，我在十月四日凌晨四点确定无法出游后马上申请退款，但是美团上的订单状况显示为已消费，我只能进行申诉退款，申诉退款也失败，美团客服说会与商家沟通，沟通后美团客服来电说商家已给我出票，但是本人并没有取过票，美团客服说再与商家协商，但是无果，希望能全额退款。</t>
  </si>
  <si>
    <t>2019/10/04 13:02:35</t>
  </si>
  <si>
    <t>投诉人杨先生投诉对象点点涉诉金额0元问题类型诉求类型投诉详情本人在点点借款APP上借款18000，已还9400多，最近因为经济出现问题导致逾期，我也跟他们催收的承诺10月国庆节后会把欠款处理，我并不是欠钱不还，欠帐还钱天经地义，点点平台催收威胁我爆通讯录，还要利用我微信图像是我女儿P图，既然还说自己不怕坐牢。</t>
  </si>
  <si>
    <t>2019/10/04 13:01:56</t>
  </si>
  <si>
    <t>投诉人李先生投诉对象用钱宝涉诉金额3000元问题类型诉求类型投诉详情我已经成功借款几十次了，都没有逾期就还了，然后我已经把它当作信用卡使用了，可是这次居然变超市了。</t>
  </si>
  <si>
    <t>投诉人吴女士投诉对象我来数科涉诉金额1133元问题类型诉求类型投诉详情我昨日还款日因为自己在外晚上还款我来数科显示银行卡不能支付还款微信也不行！我通过支付宝转账还款！对方说我逾期！。</t>
  </si>
  <si>
    <t>2019/10/04 13:01:45</t>
  </si>
  <si>
    <t>投诉人张女士投诉对象立借,青春宝涉诉金额3000元问题类型诉求类型投诉详情本人于昨日特殊原因住院就医，今天话都说不出来，青春宝一个女的打电话来，忍着身体不适回答她的问题！最后还要被她骂！试问谁没事吃多了装哑巴，紧接着说要联系我的家人！首先我借3000收到2100其次现本人已经还了三期总还款金额2311本金已经清了还有国家利息我也给你了！国家规定的利息多少心里有点数吧！还有国家现在明令禁止骚扰通讯录！青春宝顶风作案不把祖国法律放在眼里！我相信聚投诉平台是公正的！立借作为平台！推荐高利贷套路贷也是有不可推卸的责</t>
  </si>
  <si>
    <t>2019/10/04 13:01:38</t>
  </si>
  <si>
    <t>投诉人梁先生投诉对象宜信普惠涉诉金额70000元问题类型诉求类型投诉详情投诉完了，客服说三天给解决的，这都过了好几天，没人管，套路贷，砍头息，欺骗，隐瞒，我贷款7万，让我还12万多，业务员姓韩欺骗隐瞒，签合同的那个女的，隐瞒，不说实话，都是骗子，我给他们打电话，态度不好，。</t>
  </si>
  <si>
    <t>2019/10/04 13:01:16</t>
  </si>
  <si>
    <t>投诉人吕先生投诉对象交易猫涉诉金额47元问题类型诉求类型投诉详情投保无法撤销该交易在交易后买家还未确定收货时自动投保投保费用将从我的账号费用中扣除找客服无法解决问题无法撤销并退款。</t>
  </si>
  <si>
    <t>2019/10/04 13:00:34</t>
  </si>
  <si>
    <t>本人在2019年9月30号下载了钱橙无忧app，进去之后要我绑定身份信息并按要求绑定了银行卡信息，点进去有个成为会员，便有5000元额度分期，没有经过我的任何确认，于2019年10月4日上午私自从我的银行卡里进行了扣款168元，联系电话客服400-880-6092一直无法接通，希望能通过合理途径完成退款，对此平台我将深究到底。</t>
  </si>
  <si>
    <t>2019/10/04 12:59:18</t>
  </si>
  <si>
    <t>拖欠农民工程款一年多了，一直讨要未果，电话不接信息不回。</t>
  </si>
  <si>
    <t>2019/10/04 12:59:17</t>
  </si>
  <si>
    <t>投诉人刘先生投诉对象成都安睿旺蜀网络科技有限公司涉诉金额198元问题类型诉求类型投诉详情我没有在他们公司贷款成功，他们不经我个人同意就从我银行卡里扣了198元！。</t>
  </si>
  <si>
    <t>2019/10/04 12:58:29</t>
  </si>
  <si>
    <t>投诉人吴女士投诉对象信而富涉诉金额2700元问题类型诉求类型投诉详情搞额收取砍头息，强制购物，之前也买过会员，购物都是虚拟无任何商品，强制购物款早已超过本金。</t>
  </si>
  <si>
    <t>2019/10/04 12:58:05</t>
  </si>
  <si>
    <t>投诉人 吴先生        投诉对象  信用管家        涉诉金额  3 100 元    问题类型    诉求类型投诉详情  天天打电话给我的通讯录好友，骚扰和辱骂。进行语言攻击。</t>
  </si>
  <si>
    <t>2019/10/04 12:58:03</t>
  </si>
  <si>
    <t>无极钱包收取高额砍头息，还款期限6天，在还款并未逾期的前提下没有提前还款就不停的进行电话骚扰。</t>
  </si>
  <si>
    <t>2019/10/04 12:57:55</t>
  </si>
  <si>
    <t>投诉人 杨格        投诉对象  立借        涉诉金额  8 400 元    问题类型    诉求类型投诉详情  借款前说好的不乱扣钱，结果强制性扣费。。。。。。。</t>
  </si>
  <si>
    <t>2019/10/04 12:55:55</t>
  </si>
  <si>
    <t>投诉人李福星投诉对象永恒优享涉诉金额2817元问题类型诉求类型投诉详情本人通过永恒优享，借款多次，每一次实际到账650元，借款天数只有8天利息高达270多元，现在国家严禁高炮平台，本人已经没有能力承担非法高利贷利息和砍头息，还望协商解决一下！借的本金我愿意还！加点正常的利息这没问题！。</t>
  </si>
  <si>
    <t>2019/10/04 12:55:09</t>
  </si>
  <si>
    <t>投诉人黎女士投诉对象玖富万卡涉诉金额27810元问题类型诉求类型投诉详情玖富万卡前前后后估计只借30000而已，但利息高达7%，存在阴阳合同及高利贷行为，利息实在太高了，本金已还清，实在无力偿还利息，如玖富方不同意销账，只能寻求公安部门协助，请停止一切骚扰行为，也向中国互联网金融部门投诉，请停止一切骚扰行为，已经销账。</t>
  </si>
  <si>
    <t>2019/10/04 12:54:36</t>
  </si>
  <si>
    <t>2017年借了浦发的万用金将近12万，一直正常还款20个月左右，因为母亲生病住院治疗，导致资金困难，后期无力偿还剩余剩余债务，2019年7月开始被银行催收，态度恶劣，言辞侮辱，我一直都积极的接听电话，打客服电话反馈，想要协商还款，银行就是不接受，我也说了我的实际情况，现在就是一个月两千多点的死工资，希望可以和银行达成还款协议，并及时处理欠款，但是催收不同意，依然每天打电话，工作时间也打，最晚一次晚上7点还在打，还让我报家庭住址，工作单位，说我没有权利不亲口说，不说就是不配合，我觉得这属于个人隐私，而且我办卡</t>
  </si>
  <si>
    <t>2019/10/04 12:53:32</t>
  </si>
  <si>
    <t>首先，我和平台客服说明了情况，逾期4天，我属实遇到事情了，其次，我表明了我不会不还，我每个月借钱也会给还上并且央求给予时间，可是说不给时间一定要我今天12点之前还上，11点左右联系的我，如果我能一个小时之内筹到钱也不会等4天，然后该平台就开始轰炸通讯录，我已经说明了我被714所害，有理有据，派出所十一之前还联系我说那伙人在浙江被抓捕，其次，不管该平台利息怎么样，也没人逼自己借，都是被714害得，所以我会还，我一定会还，而且我已经还了3期了，不是恶意拖欠！可是该平台在我逾期4天的情况下还是打了通讯录，我也真是</t>
  </si>
  <si>
    <t>2019/10/04 12:50:58</t>
  </si>
  <si>
    <t>小浦优客app申请借款，按步骤填写资料，后面卸载了app，之前申请步骤并没有说明有这个费用，正规贷款也不应该有前期费用，涉嫌违规欺诈。</t>
  </si>
  <si>
    <t>2019/10/04 12:50:34</t>
  </si>
  <si>
    <t>投诉人刁先生投诉对象小米金融涉诉金额2000元问题类型诉求类型投诉详情小米金融暴力催收，再联系顺畅的时骚扰联系人，干扰正常生活，。</t>
  </si>
  <si>
    <t>2019/10/04 12:50:00</t>
  </si>
  <si>
    <t>之前反应过这个问题，我想让他们在跟我处理一下，我要协商还款。</t>
  </si>
  <si>
    <t>2019/10/04 12:49:19</t>
  </si>
  <si>
    <t>投诉人贺先生投诉对象钱站,华夏银行涉诉金额3000元问题类型诉求类型投诉详情高利贷，阴阳合同，高利息，骚扰亲友电话，影响日常生活。</t>
  </si>
  <si>
    <t>2019/10/04 12:47:56</t>
  </si>
  <si>
    <t>龙分期恶意收取认证服务费99元，不仅不下款还不退费。</t>
  </si>
  <si>
    <t>2019/10/04 12:47:21</t>
  </si>
  <si>
    <t>投诉人郑先生投诉对象来分期涉诉金额7000元问题类型诉求类型投诉详情之前打电话给我说，要是不还款的话，说起诉我什么上门费、起诉费、车费、爆我通讯录、叫我去亲朋好友那介绍还款，我已经跟它说明，我会还，我之前都有按时还款，只是近段时间，资金真的很困难，真没钱还，等我有钱了一定还，他还威胁我。</t>
  </si>
  <si>
    <t>2019/10/04 12:46:42</t>
  </si>
  <si>
    <t>投诉人 吴先生        投诉对象  通联沪快,宏萨信息科技        涉诉金额  296 元    问题类型    诉求类型投诉详情  无缘无故被通联沪快扣款296元，要求退款</t>
  </si>
  <si>
    <t>2019/10/04 12:46:36</t>
  </si>
  <si>
    <t>国庆前我在联动云租用一辆轿车，没有选择软件上的保险项，用车过程中发生摩擦，有事故责任认定书，交通拥堵，事后准备报保险，联动云线下客服告知我他已经把车拿去修理厂了，叫我直接把钱，然后线下服务员告知我这种小金额事故他们公司不予报保险，开车的人应该都知道，拿了事故认定书，直接转私账，那后面会不会发生什么灰色交易呢！。</t>
  </si>
  <si>
    <t>2019/10/04 12:46:04</t>
  </si>
  <si>
    <t>投诉人刘先生投诉对象国美金融涉诉金额0元问题类型诉求类型投诉详情致电国美金融，注销账户，以各种理由搪塞强行不给注销账户，客服号3038。</t>
  </si>
  <si>
    <t>2019/10/04 12:45:48</t>
  </si>
  <si>
    <t>在月光侠借款3300元，实际到账2300，三期还清，每期还1155，已还一期，还有两期，因为App无法登陆已经逾期，但是没人联系我，却给我亲戚朋友打电话，这种做法无法接受，请月光侠接到投诉后停止骚扰行为，联系本人173******77。</t>
  </si>
  <si>
    <t>2019/10/04 12:45:01</t>
  </si>
  <si>
    <t>合同写的下款10560而下款到我这里就是8000，8000半年要还11500多，典型高利贷。</t>
  </si>
  <si>
    <t>未成年人，不具有民事行为能力人，在和平精英上，用大人的银行卡充值，购买装备。</t>
  </si>
  <si>
    <t>2019/10/04 12:44:47</t>
  </si>
  <si>
    <t>汇潮支付,汇潮支付有限公司，菜鸟有钱，想有钱，，投诉想有钱跟菜鸟有钱两个高利贷App暴力催收简直是无法无天，汇潮支付是他们的帮兄，放高利贷希望聚投诉能帮助我们，爆光它们公司，。</t>
  </si>
  <si>
    <t>2019/10/04 12:44:18</t>
  </si>
  <si>
    <t>投诉人于女士投诉对象快易熊涉诉金额1500元问题类型诉求类型投诉详情快易熊最后一期逾期三天，还款失败，客服电话从一号开始打不通，昨天有个催收打电话来我们沟通过，说给我发还款链接，但是我一直没收到，家里人不时的有收到骚扰电话，现在希望客服联系我，并且减免逾期费用和过高的利息。</t>
  </si>
  <si>
    <t>2019/10/04 12:43:19</t>
  </si>
  <si>
    <t>活力花，逾期三天，偿还有困难，事情延长，客服不协商，威胁要打家人电话，公司电话，让本人精神压力大，本人愿意承担相关逾期费用，并不是不愿意偿还，希望贵公司能够理解给一点时间。</t>
  </si>
  <si>
    <t>2019/10/04 12:43:11</t>
  </si>
  <si>
    <t>高利贷，高利息，不停打电话骚扰亲友，影响我生活。</t>
  </si>
  <si>
    <t>2019/10/04 12:42:48</t>
  </si>
  <si>
    <t>未经允许扣钱，我没有在他们公司贷款，他们私自扣钱，要求退款！。</t>
  </si>
  <si>
    <t>2019/10/04 12:42:38</t>
  </si>
  <si>
    <t>投诉人陈先生投诉对象小浦优客涉诉金额296元问题类型诉求类型投诉详情10月2号，我下载了小浦优客准备贷款旅游，然后提供了身份证银行卡等信息，然而并没有通过审核，第二天我就卸载了他，我问我父母要了500块钱，存入银行，结果10月4号，他无缘无故扣了我296元钱，且事先没有任何说明，请求找我我父母的血汗钱。</t>
  </si>
  <si>
    <t>2019/10/04 12:41:12</t>
  </si>
  <si>
    <t>因孩子不当造成误冲，联系客服并且发送凭证，迟迟没有结果，询问情况没有客服出来作答，现在难道腾讯店大欺客吗。</t>
  </si>
  <si>
    <t>2019/10/04 12:39:43</t>
  </si>
  <si>
    <t>投诉人徐先生投诉对象民航通涉诉金额1980元问题类型诉求类型投诉详情本人于2019年10月3日在合肥新桥机场遇到穿着机场工作人员制服的服务人员，推荐消费1980元购买民航联盟的总统会员卡，以享受一些购票优惠等活动，办卡当日说是免费享受VIP厅服务待遇，但当时缴费前并未告诉本人我们存入卡里1980后来会按照优惠券的形式使用，只明确告知送3020的优惠券，用于购买机票抵扣一部分费用，因为当时告知会员信息等第二天才会进系统，所以方式根本无法知道这1980到底怎么形式存在在卡里，10月月4日需购买机票时，发现不能用</t>
  </si>
  <si>
    <t>2019/10/04 12:38:42</t>
  </si>
  <si>
    <t>食品问题安全问题严重，淘生鲜送过来有貌似人的假牙，而且还有铁丝，店家态度恶劣，藏匿异物，并推脱责任。</t>
  </si>
  <si>
    <t>2019/10/04 12:38:10</t>
  </si>
  <si>
    <t>1号发现号不对就仲裁了，处理了一次后说补充证明，后面就没人处理了，麻烦在4号之前处理完。</t>
  </si>
  <si>
    <t>2019/10/04 12:38:05</t>
  </si>
  <si>
    <t>当初既有分期电话销售贷款14560下款13000如今以还款20125加什么手续费跟其他费用大概有22000左右，一开始逾期几天就打电话威胁恐吓，给本人的生活与精神带来很大的困扰，上个月因协商既有分期不愿意协商，就没有在继续还款，短短的26天从875利滚利到如今的1055期间多了180元的逾期费用，既有分期年利息高达百分之42还口口声声说是合法，我不知道哪里合法了，合法在哪里，一说就是手续费，我想知道都有一些什么手续费，一开始下款就扣掉1560元的手续费，现如今多余的全是手续费利息合同14560下款13000</t>
  </si>
  <si>
    <t>2019/10/04 12:37:11</t>
  </si>
  <si>
    <t>亲近我们家孩子通过拼多多为我国打击的黑彩行业进行第三方支付充值，把我们家不到20岁的孩子的青春就这样毁了，原本以为事情没有那么严峻在聚投诉上这一看，拼拼多这个以商户的的网络app平台真的是国人的败类，为黑彩做第三方，如果拼多多不给我一个合理的说话咱们法庭见，20岁孩子的青春就被你们这些不良的网络app毁掉了。</t>
  </si>
  <si>
    <t>2019/10/04 12:36:28</t>
  </si>
  <si>
    <t>豹子贷,上海造艺网络科技,造艺网络科技,银码头，莫名其妙扣款，也没信息，不知道情况下扣款，打客服电话就直接说退不了。</t>
  </si>
  <si>
    <t>2019/10/04 12:35:54</t>
  </si>
  <si>
    <t>本人于2017年7月至2019年1月期间共在钱站借款94720元，，从开始借款至今已还款共109732.3元，实际本金已经还完，也已足足还超了15012.3元，今年六月由于本人资金周转困难逾期一天，于是钱站客服打电话给本人套路本人参加开通他们所谓的老友计划，意思是开通后就只需要还本金好了可以减轻压力，结果开通后原本马上结清的账单一下子变成了四万八千多差不多五万了，本人及时联系客服，客服玩消失，六月至八月期间无数次致电该平台客服进行沟通以及投诉，均被敷衍了事，由于没有给本人合理解释以及处理本人为保障合法权益不</t>
  </si>
  <si>
    <t>2019/10/04 12:35:36</t>
  </si>
  <si>
    <t>在立刻出行APP上申请退款；19年6月27号接受保证金退还处理；审核了几个月；到10月份还没有审核通过；要求其立刻退还给本人。</t>
  </si>
  <si>
    <t>2019/10/04 12:33:30</t>
  </si>
  <si>
    <t>中国银行信用卡临时额度到期没有任何短信提示，但是本人没有还款准备，不知情情况下卡内900额度清空，导致本人紧急情况下用钱没办法消费，希望协商恢复额度。</t>
  </si>
  <si>
    <t>2019/10/04 12:33:18</t>
  </si>
  <si>
    <t>砍头息，借1200要付砍头息324元，借2000元要付砍头息540元，第一次借款宝付支付提供通道第二次是畅捷支付提供通道，，赔偿名誉损失，直接清账！第一次借款宝付支付提供通道，第二次是畅捷支付提供通道。</t>
  </si>
  <si>
    <t>2019/10/04 12:32:24</t>
  </si>
  <si>
    <t>没有跟他签约无缘无故盗刷我的卡，我就144，tm还盗刷100。</t>
  </si>
  <si>
    <t>2019/10/04 12:32:07</t>
  </si>
  <si>
    <t>10月2日在小浦优客贷款平台填写资料和银行卡账号后一直没有额度，索性没有机会直接卸载了！今天直接没有收到任何信息电话从绑定银行卡中扣除296元！希望平台帮我追回！。</t>
  </si>
  <si>
    <t>2019/10/04 12:30:59</t>
  </si>
  <si>
    <t>中腾信，套路贷，砍头息，借25000实际到账20000元，暴力催收。</t>
  </si>
  <si>
    <t>2019/10/04 12:30:44</t>
  </si>
  <si>
    <t>2019/10/04 12:30:42</t>
  </si>
  <si>
    <t>借款5000，到账了4000，说1000是什么游戏币，套路贷还款还5000还加利息。</t>
  </si>
  <si>
    <t>2019/10/04 12:30:22</t>
  </si>
  <si>
    <t>投诉人 考先生        投诉对象  及贷        涉诉金额  13 500 元    问题类型    诉求类型投诉详情  贷款13500 本金莫名其妙成了15000多。还多了人身意外险 请给出合理解释并消除所加费用 还轰炸联系人</t>
  </si>
  <si>
    <t>2019/10/04 12:30:17</t>
  </si>
  <si>
    <t>投诉人 徐女士        投诉对象  活力花        涉诉金额  7 500 元    问题类型    诉求类型投诉详情  活力花爆通讯录 骚扰家人 盗取信息 伪造政府机关</t>
  </si>
  <si>
    <t>2019/10/04 12:29:53</t>
  </si>
  <si>
    <t>投诉人 李先生        投诉对象  转转        涉诉金额  0 元    问题类型    诉求类型投诉详情  刚刚申请转转号四天交易正在进行。昨天下午就转转号就无故禁封。请求申诉账号</t>
  </si>
  <si>
    <t>2019/10/04 12:29:17</t>
  </si>
  <si>
    <t>本人在美团订了珠江夜游船票两张，但是行程有变更想申请退款，订单显示十月五日十点前可退，换票后不可退，我第一次申请退款是在十月四日凌晨四点，因为当时才确定去不了，但是退款失败，美团订单也变更为已消费状态，美团客服说帮我跟商家沟通，但是沟通无过，希望此订单可以全额退款。</t>
  </si>
  <si>
    <t>2019/10/04 12:29:08</t>
  </si>
  <si>
    <t>在小当家申请借款2200两期，在9月14号想提前结清还款，但当时还款只显示一期，还了1500，剩下一期也没有显示，打电话客服也是空号，然后过几天本人更换了手机号码，直至过了半个月，催收拨打了家属电话，现希望小当家联系本人解决。</t>
  </si>
  <si>
    <t>2019/10/04 12:28:20</t>
  </si>
  <si>
    <t>阴阳合同，高利贷，本金借款20000，服务费高达7000多，已还款15期共13741.35，目前总欠款还有20145寻求法律帮助！停止恶意催收，恐吓！。</t>
  </si>
  <si>
    <t>2019/10/04 12:27:45</t>
  </si>
  <si>
    <t>本人通过立借平台申请钱置宝借款2100元,于9月3日通过畅捷支付到帐成功.每期八天,分四期还,前三期每期还款751.08元,第四期还款751.10元.利息已经严重超出国家规定的标准,本人已经还款3期,共计2253.24元,已经超出本金153.24元.现在要求减免第四期还款,销帐.。</t>
  </si>
  <si>
    <t>2019/10/04 12:27:10</t>
  </si>
  <si>
    <t>投诉人张先生投诉对象掌众金服涉诉金额1400元问题类型诉求类型投诉详情要求退还财神黑卡会员费，购买后发现这是非常不合理的。</t>
  </si>
  <si>
    <t>2019/10/04 12:27:05</t>
  </si>
  <si>
    <t>交通银行信用卡从没有逾期，上个月在未通知本人的情况下减额了导致逾期一个月没有还款，刚才客服打电话态度极其恶劣威胁半小时不还款半个小时通知完我所有亲戚朋友领导！中途信号不好电话自动挂断，客服强调是我自己挂断不听我任何解释！一再表明10号发工资还，客服不与协商，反复威胁半个小时暴完我通讯录。</t>
  </si>
  <si>
    <t>2019/10/04 12:26:56</t>
  </si>
  <si>
    <t>十月一假期，我手机丢后一直无法沟通，补卡后联系客服不予受理，切态度恶劣。</t>
  </si>
  <si>
    <t>2019/10/04 12:26:41</t>
  </si>
  <si>
    <t>我在2017年11月，被人骗做微交易，我当时不知道是违法的，我现在要求商银信退回我的血汗钱，请按国家的法律帮助受害者追回损失。</t>
  </si>
  <si>
    <t>2019/10/04 12:24:26</t>
  </si>
  <si>
    <t>2013年购买四季沐歌太阳能,进水开关自然脱落2次，2019年9月出现进水开关再次脱落，无法使用，跟网点联系后厂家安排工作人员上门维修，一是售后处理反馈慢，反映故障2天后才进行联系，二是维修人员上门未提前告知，因客户电话未接就不再上门处理，售后服务态度差。</t>
  </si>
  <si>
    <t>2019/10/04 12:23:44</t>
  </si>
  <si>
    <t>为什么我在别人直播间点赞和说话别人都看不到，只有我自己能看到。</t>
  </si>
  <si>
    <t>2019/10/04 12:23:33</t>
  </si>
  <si>
    <t>拍拍贷高额利息借3500还4700现在已经还了3200元，身为学生实在没有钱还了，要求合理利息提前结清，。</t>
  </si>
  <si>
    <t>2019/10/04 12:23:15</t>
  </si>
  <si>
    <t>因资金不足，一天打电话几十个催收，亲戚朋友也一直骚扰。</t>
  </si>
  <si>
    <t>2019/10/04 12:19:27</t>
  </si>
  <si>
    <t>多次通过微信等方式恐吓，骚扰本人，严重黑涩会行为，光大银行堪比黑涩会。</t>
  </si>
  <si>
    <t>宙斯钱包还款日当天不断打电话骚扰，说了当天可以处理完，隔一两个小时就打电话说逾期了，app只显示当天时间，没有具体说几点几点需要处理完成，也没有合同合约条款，而且说是5天时间，实质上只有三天多就开始催收，借3000，实质到账只有1800多，三四天就要还3011，还不断电话催收。</t>
  </si>
  <si>
    <t>2019/10/04 12:19:02</t>
  </si>
  <si>
    <t>昨天钱站到期还款日，但是昨天晚上的时候我通过app还款多次均显示失败，今天还款的时候多出了一大笔逾期金额，申请减免逾期金额。</t>
  </si>
  <si>
    <t>2019/10/04 12:18:47</t>
  </si>
  <si>
    <t>2018年11月，我被支付宝商户无辜扣款，有的商户几百，有的商户几万，有个人的名字，有公司的名字，我希望聚投诉帮我追回血汗钱，也希望支付宝能给我解决问题。</t>
  </si>
  <si>
    <t>我注册过他们app，没有申请借款，也没有申请信用报告，仅仅只填了个人信息，我又需要他们报告?我自己不会查征信?我在他们app上没有接到过任何申请信用报告的协议和点击过同意按钮。</t>
  </si>
  <si>
    <t>2019/10/04 12:17:43</t>
  </si>
  <si>
    <t>活力花是在京东金条上的入口下载的，之前借过几次，都是准时还款或者提前还款，基本上还款都没看注意那些前期费用和保险费用那些，催收客服呢，就直接是冷嘲热讽的，说什么钱用完了，就不承认了而且一个二个够这样，我还有录音呢，我一直都说了，本金和国家规定的利息我愿意还的啊，说要协商，先说不可能，让找平台客服，平台客服让找催收客服，踢皮球啊，现在要求把之前的什么前期费用和保险那些费用减掉，还要把之前的多还的减掉，一次性协商还款销账。</t>
  </si>
  <si>
    <t>2019/10/04 12:17:25</t>
  </si>
  <si>
    <t>好易借,通联支付,深圳市大地信通担保有限公司，本人在2019年7月15在好易借借了7000元分12期还完，到账后查看账单发现账单设置极其不合理，第一期3359.96元，第二期3044.96元，第三期2415.08元，，也就是前三个月就需要还款8820元，已经比本金多出了1820元了，总共还款金额为9520元，属于高利贷级别了，前两期我已经还了6404.92元了，将本金快要收回，第三期却还要还2415.08元，而且后面还有9期需要还，这样的还款方式实在不合理！本人要求还款本金加上国家规定的利息后进行销账处理！</t>
  </si>
  <si>
    <t>2019/10/04 12:16:59</t>
  </si>
  <si>
    <t>投诉人沈先生投诉对象松下空调涉诉金额380元问题类型诉求类型投诉详情松下空调收费不提供正常松下维修单，只在白纸头上写个字，我这个是个人对松下公司的业务，不是个人对个人的，需要提供松下抬头的正规维修单。</t>
  </si>
  <si>
    <t>2019/10/04 12:16:13</t>
  </si>
  <si>
    <t>投诉人刘晓轩投诉对象拼多多涉诉金额100元问题类型诉求类型投诉详情说好的完成给零钱微信到账拉了80个人结果是优惠券欺骗消费者。</t>
  </si>
  <si>
    <t>2019/10/04 12:15:46</t>
  </si>
  <si>
    <t>前几天注册了一下小浦优客的app准备借钱，填完资料后发现这个是个平台，如果想借款，需要支付推荐费，所以果断停止脚步，删除app，可是今天突然收到扣款信息，要求退还296费用。</t>
  </si>
  <si>
    <t>2019/10/04 12:15:16</t>
  </si>
  <si>
    <t>4608元逾期3个月不到利息高达1000多元，今天结清细数了一下总共还了5600多，要求退回部分利息。</t>
  </si>
  <si>
    <t>2019/10/04 12:14:14</t>
  </si>
  <si>
    <t>定了一个公寓式酒店，1.定错了，本来是要双人标间，定成了大床房,2.酒店找起来不方便，在一个小区里面，3.并没有入住，申请退款不给通过，4.联系客服后说需要扣除50%违约金，客服说，还不一定能通过申请退款，个人诉求：刚刚已经退了我99块钱，剩下的99块钱我也就不要了，在这里祝飞猪，北京和翔旅游，早日倒闭，刻不容缓。</t>
  </si>
  <si>
    <t>2019/10/04 12:12:37</t>
  </si>
  <si>
    <t>投诉人 石女士        投诉对象  钱站        涉诉金额  2 000 元    问题类型    诉求类型投诉详情  9.24借的款 到现在9.4号不到账 一直显示放款 我想取消这笔贷款 说什么不可以 说什么到账取消 收合同百分之4的砍头息 本来大家都是因为急用才借款 现在尽然不能做到给钱你 拖延大家的时间 还强制性你不能取消 2000 分3期 一期还1200 现在还不让 取消 他们的人工转钱 客服 投诉热线 都是同一个女的 真的是 态度又不好 天天都是</t>
  </si>
  <si>
    <t>2019/10/04 12:12:17</t>
  </si>
  <si>
    <t>立借平台，套路贷，暴力催收，骚扰通讯录，高利息，无合同，还拒绝协商一次性解决问题。</t>
  </si>
  <si>
    <t>2019/10/04 12:09:01</t>
  </si>
  <si>
    <t>扣费不明确，晚上扣费，扣费没有明却提醒垃圾销售手段实名举报139******86。</t>
  </si>
  <si>
    <t>2019/10/04 12:08:03</t>
  </si>
  <si>
    <t>我说了现在没有，得等人二十号还，她说不能等，而且昨天另一个人可以好好说今天又换一个人，而且逾期费一天要一百五十几，这也太黑了吧。</t>
  </si>
  <si>
    <t>2019/10/04 12:07:50</t>
  </si>
  <si>
    <t>合同与实际放款金额不符，实际借款1200合同上写1884。</t>
  </si>
  <si>
    <t>2019/10/04 12:07:05</t>
  </si>
  <si>
    <t>更换手机号后，发现智行火车票只能用短信验证码登录，之前的手机号已经无法使用，智行的账号绑定了详细的个人信息，联系不到人工客服。</t>
  </si>
  <si>
    <t>2019/10/04 12:06:22</t>
  </si>
  <si>
    <t>本人2017-4-20日在玖富万卡借贷平台借款15000元，分36期款还，现在已经还款29期，每月还款额为866.67元，现在连本带利已经还给玖富万卡25133.43元，早已超出了正常还款利息，这种超高利息国家也是允许的吗，现在本人经济有压力，本想着跟玖富平台协商减免一下利率，可玖富平台客服不予理会，一再强调不还钱就会上征信，现在家里人也都知道了，都很支持我，我现在就要求把利率调整减免罚息。</t>
  </si>
  <si>
    <t>2019/10/04 12:06:17</t>
  </si>
  <si>
    <t>来分期账单含有保险费用，我都不知道那些保险费用是干嘛的，这只是其中一些账单，还有很多账单没去查看。</t>
  </si>
  <si>
    <t>2019/10/04 12:05:12</t>
  </si>
  <si>
    <t>投诉人 高先生        投诉对象  贷款大师（快贷宝）        涉诉金额  78 元    问题类型    诉求类型投诉详情  每月扣我银行卡39元，找不到APP的链接</t>
  </si>
  <si>
    <t>2019/10/04 12:03:17</t>
  </si>
  <si>
    <t>本人在你我贷贷款12000，已偿还11期，还剩最后一期1200元未还，由于最近特殊原因。</t>
  </si>
  <si>
    <t>2019/10/04 12:03:03</t>
  </si>
  <si>
    <t>本人因欠款太多无力偿还、之前在时光分期贷款8000分12期已还8期，剩下4期可以提前结清、利率市场化按国家规定给予减免、请电话联系我。</t>
  </si>
  <si>
    <t>2019/10/04 12:02:54</t>
  </si>
  <si>
    <t>投诉人 蒋女士        投诉对象  马上消费金融        涉诉金额  13 000 元    问题类型    诉求类型投诉详情  电话态度恶劣 威胁要爆通讯录 利率过高</t>
  </si>
  <si>
    <t>2019/10/04 12:02:15</t>
  </si>
  <si>
    <t>本人于2019年3.31日在微贷网的多米贷中借款3400元，近期调取个人银行流水时，才发现实际只到账2822元，砍头息竟然扣掉了518.同时查询到本人名下保单中有一个新疆前海联合财产保险股份有限公司的保单，查询后发现是微贷网上借款时投保的，查阅了借款合同，并未在合同中发现写有保险字样的协议，投保人是微贷公司，更特别的是根据我的资料查询出来的保单，里面的被保人竟然是空白，没有我的名字，变成公司保险了，扣我的钱购买保险我自己名下没有任何投保记录，退还多扣我的钱，如不解决将向银监会，中国互金协会进一步投诉！。</t>
  </si>
  <si>
    <t>2019/10/04 12:01:52</t>
  </si>
  <si>
    <t>现在结清了想让他们把绿本退给我一直不退也没人处理，装GPS交了200押金我去取了GPS说10天退给我到现在半个多月没有消息打电话过去说我没去去GPS。</t>
  </si>
  <si>
    <t>2019/10/04 12:01:39</t>
  </si>
  <si>
    <t>拍拍贷无法注销个人信息，请求注销个人信息及账号。</t>
  </si>
  <si>
    <t>2019/10/04 12:01:04</t>
  </si>
  <si>
    <t>从胖胖有米借款2500，实际到手1350，5天时间，因为本人深陷714无力偿还，还款日当天催收开始电话不停催收，与催收协商说明情况，催收让我等着法院起诉，我同意法院起诉，法院最少也会根据实际情况规定一个时间并且按照归家规定合理利息，第二天开始各种暴力催收电话，联系通讯录，群发短信，加QQ什么，我继续和他们协商，他们催收回复报警也没用，他们一天几百个人报警，最后公安也不能把他们怎么样，警方还不是让你还钱，如此嚣张的高利贷团伙我发这个投诉贴，恳请聚投诉可以转交警方，也恳请之前因为聚投诉联系过我的警方介入处理，值</t>
  </si>
  <si>
    <t>2019/10/04 11:59:39</t>
  </si>
  <si>
    <t>2019/10/04 11:59:35</t>
  </si>
  <si>
    <t>本人在2019年9月4日和9月7日在美国亚马逊网站购买了两顶帽子，用海星桥转运到他们的NH仓库，美国亚马逊联邦快递和ups都显示9月10号，9月11号已送达，转运公司一直未入库，我联系该公司客服查询，9月23日回复我说美国仓库没收到我的包裹，让我联系购物网站以及快递公司，我联系了购物网站和快递公司，ups快递明确告知被9月10日被一个姓吴的人签收了，另一家联邦快递需要收件人给快递公司打电话确认，可是海星桥转运一说没收到二他们不提供给快递公司打电话的服务，截图为签收的信息以及转运公司不负责任的态度，不配合找到</t>
  </si>
  <si>
    <t>2019/10/04 11:59:26</t>
  </si>
  <si>
    <t>包头市东河区畅行无忧信息咨询服务部,畅行无忧,舒心安达，2019年3月在包头市二里半机场有工作人员推销畅行无忧贵宾卡，宣称可以买到价格最优惠的机票，充值金额可购买机票，充值1780元可以赠送一千元，卡内金额可以随时使用，无限制，会员外其他人也可以使用购买机票，现在卡我自己没有使用，强烈要求退款！！！另外对于使用金额的限制，购卡合同里面也没有任何约定或者明显的提示性标识，销售人员的宣传和所签订的这份合同存在明显欺诈消费者之处，后来联系对方客服均无法接通或者没有回应，现通过投诉，希望问题能够得以解决，切实维护消</t>
  </si>
  <si>
    <t>2019/10/04 11:59:05</t>
  </si>
  <si>
    <t>本人在壹心分期平台借款2100元，共两次4200，每次到账秒扣575元，实际到账1525元一个月两期，每期1071元，一共还2100元，砍头息高达575元，借款几次了，现在就剩最后一期协商畅还本金和合法利息。</t>
  </si>
  <si>
    <t>2019/10/04 11:55:07</t>
  </si>
  <si>
    <t>借款3000，到账2100，要求7天之内还款3000，多次骚扰恐吓通讯录的联系人。</t>
  </si>
  <si>
    <t>2019/10/04 11:54:26</t>
  </si>
  <si>
    <t>8月5号借款1000，到账700，砍头息300，续期300，已续期2个月，续期费用已还2400，远超本金！到期当天中午12:00就要求还款，电话骚扰，希望国家严厉惩处，撤销账单！。</t>
  </si>
  <si>
    <t>2019/10/04 11:54:25</t>
  </si>
  <si>
    <t>投诉人刘先生投诉对象杭州尚境电子科技有限公司涉诉金额13937元问题类型诉求类型投诉详情2019年初在天猫上的长虹尚境专卖店，买到长虹激光电视以及长虹专用屏幕，后来因激光电视频繁出现不同故障3月第一次噪音大，换了新机，后与商家经过长达一个多月的协商确定可以退货但需要支付相应的折旧费还需要我承担包装费运费等等，同时也在天猫的聊天记录中都有文字记录，所以本人认为在无任何问题的情况，配合商家售后检查电器包装寄回商家告知一周内退款，但一个月过去也无音讯，主动找到商家，商家已之前跟我谈折旧费等相关费用的人员已不在公司</t>
  </si>
  <si>
    <t>2019/10/04 11:53:49</t>
  </si>
  <si>
    <t>十月二号在宁津县盐百商场一楼九阳答谢会抢购买的净水机，其宣传一侧水龙头为矿泉水，一侧为直饮水，饮用其直饮水后出现腹泻，因购买净水机是为了孩子，这样也不敢让孩子喝，想退货退款，与售后沟通无解。</t>
  </si>
  <si>
    <t>2019/10/04 11:53:41</t>
  </si>
  <si>
    <t>投诉人 陈先生        投诉对象  及贷        涉诉金额  14 000 元    问题类型    诉求类型投诉详情  借14000 还19800 下款给我整了个会员 利息还没算 完全不知情 打电话催收 恐吓 这样平台我觉得害人</t>
  </si>
  <si>
    <t>2019/10/04 11:51:59</t>
  </si>
  <si>
    <t>暴力催收，砍头息，借款4000实际到账2800分4期还，每期8天，逾期一天就开始爆通讯录，目前已结清4100元，要求退回多余砍头息1000元。</t>
  </si>
  <si>
    <t>2019/10/04 11:51:30</t>
  </si>
  <si>
    <t>投诉人王先生投诉对象钱橙无忧涉诉金额249元问题类型诉求类型投诉详情本人注册后，未看到支付入口，便无故被扣费用168元，另申请借款，也未到支付入口，便扣费81。</t>
  </si>
  <si>
    <t>2019/10/04 11:50:56</t>
  </si>
  <si>
    <t>因我从8月20号缴费截止今天都没有给我上课，强烈要求，北京深海云课堂教育退回我所交费用2188元。</t>
  </si>
  <si>
    <t>2019/10/04 11:50:29</t>
  </si>
  <si>
    <t>正常订单还车提前检查车辆，上传所有车辆正常照片，因着急有事所以提前还车，评论还是5星，本应租3天，实际只用了9个小时就还车了，预付费用为878，还车时付油费22，总900！软件处理不合理，谁都有急事，突然还车就把所有钱都扣了，本应正常租车一天费用是229，服务费50，无忧费50，手续费20，车辆油耗费22，共371元，实际收费900元，申述订单还不给我们退剩下的费用，说是国庆特价包租几天就是几天，不退款，3天租车一天196，比正常的也就便宜30多，你可以扣我们正常的费用，但是不能一下把其他俩天的钱都给我们扣</t>
  </si>
  <si>
    <t>2019/10/04 11:49:46</t>
  </si>
  <si>
    <t>今年4月份，朋友向我借取招联金融账号到联通办理业务领手机，朋友告知不需要我理会，只要他每月交话费即可，账号一直在朋友手上，上月开始收到逾期信息，询问朋友，他说是欠费了，我也没注意，这个月一直收到逾期信息，我去联通咨询说这是一个业务，我不知情现在通信业务与贷款公司有挂扣，我也不知道什么情况，这一切在我不知情情况下办理，现在我也联系不上朋友，但是今天收到这个短信，不是客服号码，但是我不知道是否真实，如果是的话，这个客服号码明显存在了暴力恐吓嫌疑，现在国家提倡扫黑除恶，我已向公安部门求助，如果招联方按信息上内容泄</t>
  </si>
  <si>
    <t>2019/10/04 11:49:14</t>
  </si>
  <si>
    <t>本人已于9月16号和客服协商好还清款了，钱已经于16号扣完了，当时APP已经显示已结清，现在又有催收打电话过来要还钱。</t>
  </si>
  <si>
    <t>2019/10/04 11:48:21</t>
  </si>
  <si>
    <t>投诉人郭女士投诉对象捷信金融涉诉金额1036元问题类型诉求类型投诉详情捷信金融套路贷高利贷，原来借了一万三，还了一年多，又告诉我有六万额度，而且可以把上期结清，可是我一直申明我不用，结果客服一直说一直说，我稀里糊涂的又借了两万，可是到账了才发现，借两万，扣了10617.69元用于结清上期，到账的只有9382.31元，我就感觉自己被套路了，我上期的还了一年多怎么还有一万多，打电话问客服，客服说原来还的都是利息，现在扣除的剩余是本金，这么一算，我借一万三，还了差不多三万多，这实打实的高利贷啊，后来这两万，分了3</t>
  </si>
  <si>
    <t>2019/10/04 11:47:49</t>
  </si>
  <si>
    <t>玖富,中国人民保险集团,湖北消费金融股份有限公司，玖富万卡借款8200元，由湖北消费金融放款，放款时显示月供723.96，快要还款时月供变成923.34，通过查询到湖北消费金融公司在客户不知情的情况下，擅自用消费者的钱在中国人民保险公司为其购买两份保险，保险金额共2326.27，本人只借了8200元，承担487.59的利息，现在多了2326.27元的保费，这2326.27元的保费还需要138.34元的利息，我没有借的钱为什么要付利息，现在保险公司都可以直接为消费者办理保险，都不需要投保人签字了，典型的小贷公</t>
  </si>
  <si>
    <t>2019/10/04 11:47:27</t>
  </si>
  <si>
    <t>2018.5我在赤峰办理的卡，说的充值1000送1200优惠券，后期使用感觉被骗，哪有什么优惠，比各个平台价格都高，想退款还退不了。</t>
  </si>
  <si>
    <t>2019/10/04 11:47:14</t>
  </si>
  <si>
    <t>每月还款1193.02归还16期.国庆期间,钱站代扣失败,导致本人逾期三天,期间未有任何人与本人联系,今天钱站风控部门加我微信告诉我逾期了.立马上app查看,发现app一直闪退中,根本无法登入.本人很生气,为什么之前不联系.还款当日也没有短信电话任何提示.和风控工作人员聊还款才发现,钱站给本人使用的是阴阳合同,他们实际是按照年化百分之36给我计算还款本金和利息,在我以前截图的钱站合同上,年利率才百分之21.这明显是欺诈,现本人要求钱站退款之前归还期数超过合同标定年化利率21部分的金额.在未妥善处理好之前,本</t>
  </si>
  <si>
    <t>2019/10/04 11:46:49</t>
  </si>
  <si>
    <t>投诉人 杨先生        投诉对象  趣钱花        涉诉金额  99 元    问题类型    诉求类型投诉详情  我在趣钱花申请借款 显示初审通过让我花99元购买会员 ，我付款过后竟然显示审核失败 ，这是明显的违规收取会员费 一个人99元， 竟然不给退款，还说什么自愿的，自愿个屁。</t>
  </si>
  <si>
    <t>2019/10/04 11:46:39</t>
  </si>
  <si>
    <t>还说他们是国家法律合法的上市公司！上市公司员工就是这种素质，话语攻击，说我以后生孩子也上不了好医院，证据我将继续收集！。</t>
  </si>
  <si>
    <t>2019/10/04 11:46:19</t>
  </si>
  <si>
    <t>投诉人 刘先生        投诉对象  转转        涉诉金额  1 000 元    问题类型    诉求类型投诉详情  我的转转卖家号被封 资金被冻结 在转转平台不给解封 我已经与买家沟通过 交易是没有问题的</t>
  </si>
  <si>
    <t>2019/10/04 11:46:18</t>
  </si>
  <si>
    <t>投诉人瞿先生投诉对象及贷涉诉金额5000元问题类型诉求类型投诉详情及贷暴力催收，电话威胁，骚扰，骚扰通讯录，高利贷。</t>
  </si>
  <si>
    <t>2019/10/04 11:45:52</t>
  </si>
  <si>
    <t>小浦优客在不知情的情况下乱扣费，请及时退还。</t>
  </si>
  <si>
    <t>2019/10/04 11:45:32</t>
  </si>
  <si>
    <t>在微信上让我交费帮我下款了结果收了钱就不见踪影&amp;amp;nbsp;人也联系不到&amp;amp;nbsp;对方手机号是：171******18。</t>
  </si>
  <si>
    <t>2019/10/04 11:44:52</t>
  </si>
  <si>
    <t>投诉人 王先生        投诉对象  水云涧温泉        涉诉金额  0 元    问题类型    诉求类型投诉详情  大连三十里铺水云涧温泉。吃泡面 居然要水费2元 不符合规定准备投诉 本人系律师</t>
  </si>
  <si>
    <t>2019/10/04 11:44:10</t>
  </si>
  <si>
    <t>2019年10月4日早上11:29拍拍贷法务外联部打电话联系我，我一直在问为什么骚扰我亲朋好友，他方一直胡搅蛮缠，说是让我去银行查一下，并且威胁恐吓我，说是要上门来催收。</t>
  </si>
  <si>
    <t>2019/10/04 11:44:02</t>
  </si>
  <si>
    <t>本人因买车在钱站借贷了3万元，分36期，每期还款1586元，从未逾期都是提前还款，已经还了22期，把本金早就还完了，还多还了4000多的利息，由于钱站的利息实在是太高，已经超过国家规定的利率，我算了一下借三万就要还2万七，实在是不能理解，我这里已经逾期三天，滞纳金就给我算成一天涨了1500多，前两天钱站给我发短信不断的骚扰我还扬言要骚扰我的家人，使一家人不安，我回复了钱站想让他们把利率改得正常一点，结果钱站的人没有同意，今天还打电话过来了，直接问我为什么当初要借款，说一些嘲讽很难听的话让人难以接受，现在我的</t>
  </si>
  <si>
    <t>2019/10/04 11:44:00</t>
  </si>
  <si>
    <t>我在微信被骗，钱转到了支付宝商户吴财斌账户上，我要求他退还我的血汗钱。</t>
  </si>
  <si>
    <t>2019/10/04 11:43:35</t>
  </si>
  <si>
    <t>投诉人杨先生投诉对象爱又米涉诉金额199元问题类型诉求类型投诉详情爱又米虚假宣传，诱我开通爱又米半年会员，宣称能百分百放款，每月有一次提额机会，但实际情况，严重虚假宣传，令人心寒，使人作呕，情况如下1、实为哄取我会员费199元2、开通会员以后，每月的正常借款放款立刻被冻结3、账号属于半瘫痪状态要求如下1、退回我会员费199元2、恢复我的正常借款放款如果爱又米官方不能正视我的问题和要求，同时，我微博还有几十万粉丝，如果问题不能解决，我将会通过微博曝光。</t>
  </si>
  <si>
    <t>2019/10/04 11:43:09</t>
  </si>
  <si>
    <t>薄荷好借为什么有个会员费要849，我借5000分6期，每期还款923/6=5538，还要买个849的会员，这个会员变相的高利息，强烈要求没有会员费用。</t>
  </si>
  <si>
    <t>2019/10/04 11:42:42</t>
  </si>
  <si>
    <t>投诉人时先生投诉对象东亚银行涉诉金额8000元问题类型诉求类型投诉详情我的卡正常使用，没有任何不良记录，为什么停了我的信用卡。</t>
  </si>
  <si>
    <t>2019/10/04 11:42:35</t>
  </si>
  <si>
    <t>本人于9月3号在秒快贷借款2200元，实际放款到账1540元7天到期，到期就恐吓我就一直展期还款，到今天已还款2640元，今天到期我在很早就协商还款，可催收今天张口就骂人。</t>
  </si>
  <si>
    <t>2019/10/04 11:42:17</t>
  </si>
  <si>
    <t>平台无放贷资质，乱扣费，高利息本人借款12000元，误操作，存管银行系统未认证直接放款15200元，并与当日扣除款不明款项3200元，一年应还利息高达6324元，请官方协助调查！。</t>
  </si>
  <si>
    <t>2019/10/04 11:42:13</t>
  </si>
  <si>
    <t>投诉人张女士投诉对象小浦优客涉诉金额296元问题类型诉求类型投诉详情注册账号填写资料后，并未见到哪里需要扣钱，到了第二天没有通知就直接从银行卡内扣走296元钱。</t>
  </si>
  <si>
    <t>2019/10/04 11:42:12</t>
  </si>
  <si>
    <t>投诉人郑先平投诉对象好易借涉诉金额6000元问题类型诉求类型投诉详情申请6000，分12期，实现没有任何提醒告知，前三期必须本金还完，后9期每期50多，前三期每期金额都到2700左右，已超出本金很多，，由于资金紧张逾期，导致恶意催收，无法协商，逾期一天60多的逾期费用，实话实说为了6000块把自己套进去，心里憋气，如果每月账单都一样，也不至于导致这样，催收电话打来就两句话，第一、今天能否处理，第二、不能处理就走流程然后挂断电话，我也是佩服你们，昨晚等钱看病让朋友给我打了1000块，10分钟之内被你们直接划走</t>
  </si>
  <si>
    <t>2019/10/04 11:42:09</t>
  </si>
  <si>
    <t>个月因为利益太高最近两个月还款有延迟两三天就遭到他们平台电话短信微信加好友威胁还有通过不正规渠道取得我的通讯录给我亲朋好友打电话公开我的信息。</t>
  </si>
  <si>
    <t>2019/10/04 11:41:47</t>
  </si>
  <si>
    <t>9月4日在牛人有品借款1900，在未告知会有砍头息的情况下，扣掉砍头息，实际到账1368，由畅捷支付为其划扣，现已无力还款，要求协商还款，归还国家规定的合理利率。</t>
  </si>
  <si>
    <t>2019/10/04 11:41:00</t>
  </si>
  <si>
    <t>我四月份在上海乐刻办卡，办的一个月卡，当时办卡的时候接待我的销售让我线上买卡，但是办卡过程中没有提醒我该卡绑定后会自动续费，也没告诉我如何解除自动续费，导致我接下来五个月被自动扣费，我根本没有健身。</t>
  </si>
  <si>
    <t>2019/10/04 11:40:33</t>
  </si>
  <si>
    <t>投诉人孙先生投诉对象深圳市随寓公寓管理有限公司涉诉金额50元问题类型诉求类型投诉详情本人于2019年7月7号入住随寓公寓，租住一个月，到期后又续租一个月，至9月7号，9月19号离开，房屋管理员承诺7天之内退押金，我说今天没消息就投诉，随后退了押金，但扣了五十块押金，说是卫生费，在此声明！所谓卫生费合同中未写，退房时打扫卫生，也得到了房屋管理员的认可，要求：为拖欠押金、微信辱骂道歉，退还扣留的五十元押金！。</t>
  </si>
  <si>
    <t>2019/10/04 11:39:58</t>
  </si>
  <si>
    <t>"在立借APP申请了树林分期，年化息率高达481.74%借款2250元可以分期4期,下款成功才显示所谓的的4期就是一个月的4期，7天一个期限，一共要还3081.48元！！第一期还款770.37元，剩余三期每次还款770.37元，本人已经还款3期，本人已经通过app归还了三期，已经超过了本金，现在通过投诉平台发起投诉，要求销掉最后一期账，希望通过投诉平台可以维护自己的合法权益。</t>
  </si>
  <si>
    <t>2019/10/04 11:38:53</t>
  </si>
  <si>
    <t>投诉人娄先生投诉对象蟹老弟涉诉金额1600元问题类型诉求类型投诉详情8月19号借款。</t>
  </si>
  <si>
    <t>所以打电话去和滴滴金融沟通，说明机主已换，请马上停止侵犯我的权益。</t>
  </si>
  <si>
    <t>2019/10/04 11:37:19</t>
  </si>
  <si>
    <t>投诉人 刘女士        投诉对象  钱站,华夏银行        涉诉金额  22 400 元    问题类型    诉求类型投诉详情  借款22400元，还款28000元。利息太高，要求只还本金</t>
  </si>
  <si>
    <t>2019/10/04 11:35:58</t>
  </si>
  <si>
    <t>9月6日，因资金周转需要，我从钱站借款3000元，分三期每个月6号尝还，但是只到账2000元，砍头息1000是本金的三分之一，总还款额高达3370，并且，我是冲着客服介绍的低利率才去钱站借款的，说是月利率不会超过1.5%，合同标注年利率为10.08%，实际上钱站把服务费之类夹杂其中，实际综合年利率按照我拿到的3000元已经严重超过国家规定利率36%以上，当时没有核算实际综合年利率，才发现综合年利率高得吓人，超出了国家规定的标准，还款日当天短信威迫，如未还款将采取暴力催收，当天打联系人造成骚扰，严重影响个人以</t>
  </si>
  <si>
    <t>2019/10/04 11:35:51</t>
  </si>
  <si>
    <t>今天从三千额度提到6000了结果还是放款失败。</t>
  </si>
  <si>
    <t>2019/10/04 11:35:30</t>
  </si>
  <si>
    <t>严重影响我们的私人生活，放高利贷，请平台处理一下，谢谢。</t>
  </si>
  <si>
    <t>2019/10/04 11:35:25</t>
  </si>
  <si>
    <t>本人家弟借款点点通，目前被各平台催收逼迫，家里人也联系不到，点点通联系不到开始骚扰我们家里人，本人主动找点点通，打不通客服电话，让点点通客服看到联系我本人，想知道原情。</t>
  </si>
  <si>
    <t>2019/10/04 11:35:06</t>
  </si>
  <si>
    <t>在小浦优客申请贷款，10/2号填写身份证和绑定银行卡后就开始审批，4号收到报告生成的扣款信息，但是在APP里显示的还是报告生成中，在“我的”里面查找，又提示先填写基础信息；找到客服要求出示扣款说明，后台客服不回复，电话客服解释不清楚，说的内容跟我的APP不相符；涉嫌违规欺诈，要求退还296元的报告费用。</t>
  </si>
  <si>
    <t>2019/10/04 11:34:33</t>
  </si>
  <si>
    <t>信用星球以保险名义在放款后收取保险费，1500元，由于本人正好因家庭原因没有及时还款，信用星球催收人员在没有通知我的情况下，频繁骚扰联系人并威胁恐吓，要求停止骚扰，调整还款金额。</t>
  </si>
  <si>
    <t>2019/10/04 11:33:50</t>
  </si>
  <si>
    <t>投诉人魏先生投诉对象来分期涉诉金额0元问题类型诉求类型投诉详情我从16年就开始就用来分期了，后面又给了我3600额度借了两个月一直显示放款失败，当前人数过多，不给借就不给借，为啥还要给额度，而且借款不出来其次，重要的是它诱导性自动跳出第三方借款平台出来让你去借款。</t>
  </si>
  <si>
    <t>2019/10/04 11:33:16</t>
  </si>
  <si>
    <t>本人2019年9月19号使用ofo小黄车，交了押金149元，现在换了地方上班用不上ofo了，想退押金，系统关闭了退押金的端口，打客服电话一直打不通，有恶意不退押金的嫌疑，希望聚投诉平台尽量帮我处理，帮我追回押金。</t>
  </si>
  <si>
    <t>2019/10/04 11:33:11</t>
  </si>
  <si>
    <t>投诉人张女士投诉对象拍拍贷,国家政府涉诉金额3000元问题类型诉求类型投诉详情我希望国家政府能把这些网贷高利贷全部关闭，要不然会害死很多人。</t>
  </si>
  <si>
    <t>2019/10/04 11:31:09</t>
  </si>
  <si>
    <t>投诉人丁先生投诉对象王者借钱,王者钱袋,王者钱包涉诉金额2000元问题类型诉求类型投诉详情我借2000元，到账1210元，还款的时候要还2000元，而且10月2号到期，催收说下午四点前不还，爆通讯录，并且说出我通讯录里人的姓名威胁，我说报警他说不怕，最后被逼还了768.8续期6天，到期还要还2000元，我已经无路可走了，只有还本金。</t>
  </si>
  <si>
    <t>2019/10/04 11:31:02</t>
  </si>
  <si>
    <t>没有任何提示，直接申请了，就扣款了，我ap都删了，强行扣款，申请退款。</t>
  </si>
  <si>
    <t>2019/10/04 11:30:45</t>
  </si>
  <si>
    <t>由于本人在招联好期贷借款部分资金，现在国庆放假工资未发放，导致逾期，希望平台能给予时间处理，希望给予几天时间待国庆上班后，8号处理好账单，本人希望能协商还款时间，不要过分的暴力催收，本人有还款意愿，只需要给予时间还款。</t>
  </si>
  <si>
    <t>2019/10/04 11:30:11</t>
  </si>
  <si>
    <t>投诉人马先生投诉对象万达普惠涉诉金额2000元问题类型诉求类型投诉详情还款期到了，已经把钱都放到卡里了，自己不扣款，无脑的就知道打骚扰电话，烦不烦人。</t>
  </si>
  <si>
    <t>2019/10/04 11:30:07</t>
  </si>
  <si>
    <t>投诉人王建国投诉对象智享贷涉诉金额2400元问题类型诉求类型投诉详情我在智享贷申请了2400元借款，一直按时还款，最近家里出了点事，孩子生病，就没能及时偿还，但是我给客服打电话请求分期还，当时智享贷也同意了，第二天就还了500，然后我7号能发工资，我还能还款，但是智享贷给我来电话要把我账单外包，我不明白什么意思，我现在真的要崩溃了。</t>
  </si>
  <si>
    <t>2019/10/04 11:30:05</t>
  </si>
  <si>
    <t>从申请2019-05-20申请到2019-10-04还未成功。</t>
  </si>
  <si>
    <t>2019/10/04 11:29:33</t>
  </si>
  <si>
    <t>投诉人 吴先生        投诉对象  你我贷        涉诉金额  10 000 元    问题类型    诉求类型投诉详情  暴力催收各种威胁 已经跟它们说明的还款日期后依然各种威胁 辱骂</t>
  </si>
  <si>
    <t>2019/10/04 11:29:06</t>
  </si>
  <si>
    <t>投诉人许先生投诉对象钱站涉诉金额1元问题类型诉求类型投诉详情只能充值不能提现，要求退还余额的钱款。</t>
  </si>
  <si>
    <t>2019/10/04 11:28:46</t>
  </si>
  <si>
    <t>我在飞猪上订的酒店，到酒店后，告知没有该订单，我将订单号给酒店前台看，告知确实没有飞猪的订单，建议联系卖家，卖家电话不接，客服看了消息都不回，完全逃避该问题。</t>
  </si>
  <si>
    <t>2019/10/04 11:28:27</t>
  </si>
  <si>
    <t>本人已经说了15号发工资，16号还款，还是不停打电话，请让平台停止骚扰！影响工作！。</t>
  </si>
  <si>
    <t>2019/10/04 11:28:14</t>
  </si>
  <si>
    <t>又要往家里邮寄东西了，招联好期贷催收部门蛮横无理未进允许经常骚扰我公司领导导致工作丢了，现在征信也黑了工作也丢了而且仍然要闹到家里，这是要把人逼上绝路吗，如果继续这样下去只会闹得两败俱伤，你收不到钱，我依然没有钱正常还款！如果还这样持续得话那么你就直接到法院去起诉我，我带上证据陪你们打官司！总金额才不到三万，我名下有房产再怎么说你这个钱也不会成呆账，只是你如果继续这样的话我相信法院会有个公平公正的答案。</t>
  </si>
  <si>
    <t>本人在你我贷做了贷款！由于工资延迟，未能及时处理、遭受你我贷委托三方人员催收、本人希望和你我贷公司协商近期还款事项、本人愿意还款！。</t>
  </si>
  <si>
    <t>2019/10/04 11:28:11</t>
  </si>
  <si>
    <t>不明扣款！中金嘉盈顺不明扣款299元10月3号，15565对方户名：中国银联无卡快捷支付业务专户。</t>
  </si>
  <si>
    <t>2019/10/04 11:27:53</t>
  </si>
  <si>
    <t>胖胖有米app，砍头息，高利贷，在网上散布我个人资料信息，严重影响我的生活。</t>
  </si>
  <si>
    <t>2019/10/04 11:27:48</t>
  </si>
  <si>
    <t>投诉人栾先生投诉对象51人品涉诉金额8800元问题类型诉求类型投诉详情杭州义牛网络旗下51人品贷放高利贷给在校学生并威胁恐吓本人，本人于前几个月在51人品贷借款8800元，分12期，最终还款13000元！本人已累计偿还7000元左右，还要还5000多元，九月份因为本人开学缴费，导致资金周转不了，逾期了，催收人员对我进行暴力催收，恐吓我本人，每次电话已全部录音，我主动致电客服请求协商还款，催收不同意协商，本人表示周转不过来如果不相信我的还款诚意我可以先部分还款，部分还款了几百元，催收仍然对我进行恐吓，想问下杭</t>
  </si>
  <si>
    <t>2019/10/04 11:27:40</t>
  </si>
  <si>
    <t>前几天用了百事惠普，不过根本没用这个299，今天百事惠普私自从我银行卡使用快捷支付扣款299，希望马上退款。</t>
  </si>
  <si>
    <t>2019/10/04 11:27:37</t>
  </si>
  <si>
    <t>都在按时还款，这段时间资金周转不开，就一直联系我家人朋友，说再不还就要上门要打居委会电话，利息太高了，我都还了4期了，本金940，利息都要还400。</t>
  </si>
  <si>
    <t>2019/10/04 11:27:03</t>
  </si>
  <si>
    <t>交款后没有到账，客服态度还非常恶劣多次欺骗消费者。</t>
  </si>
  <si>
    <t>2019/10/04 11:25:11</t>
  </si>
  <si>
    <t>未经同意私自扣款，投诉无门，不予退款，态度恶劣。</t>
  </si>
  <si>
    <t>2019/10/04 11:25:06</t>
  </si>
  <si>
    <t>不积极的全额退款，强烈要求尽快全额退回我的血汗钱。</t>
  </si>
  <si>
    <t>2019/10/04 11:24:37</t>
  </si>
  <si>
    <t>本人于2019年9月15号下午.在“上海广狮汽车销售服务有限公司”店里和销售人员王某订购一辆荣威RX5汽车.定金先后支付20000元.经协商收费项目为3点分别是.裸车费用、新车购置税费用、汽车保险费，，于9月27号中午提车，提车时被告知需要额外支付3项费用，分别是，异地上牌报备费2500元、汽车出库费1500元、PDI内部检测费，投诉点1；临时乱收费，强制性消费.“上海广狮汽车销售服务有限公司”违反“上海市反不正当竞争条例”，第十一条第一项和第二项规定，限定消费者购买、使用其提供的或者其指定的经营者提供的商</t>
  </si>
  <si>
    <t>2019/10/04 11:24:32</t>
  </si>
  <si>
    <t>投诉人夏女士投诉对象浦发银行涉诉金额21000元问题类型诉求类型投诉详情我9月全款账单21000，浦发信用卡让我最低还款额也是21000，之前已还了10000，现在工作人员要求我把余下的9600全部还进去。</t>
  </si>
  <si>
    <t>2019/10/04 11:24:26</t>
  </si>
  <si>
    <t>支付宝催收人员多次拨打我的亲戚朋友电话进行骚扰。</t>
  </si>
  <si>
    <t>2019/10/04 11:23:58</t>
  </si>
  <si>
    <t>无故扣钱，没有任何消费说明，扣钱前没有任何提示，直接银行扣钱，想报警。</t>
  </si>
  <si>
    <t>2019/10/04 11:22:25</t>
  </si>
  <si>
    <t>有于前段时间资金紧张就这好分期借款4000元，到期应还5322.68，急用钱想着周转几个月就提前还了，就在今天想一次性偿还付清，看了一下在提前结清情况下仍需还款4326.10元，并不减免后续利息及各项费用，在已偿还2期金额996.58元情况下后续支付费用仍然超出我当时借款的4000元，试问借款4000用2.3个月何须支付高达1300多元利息，随后我看了一下合同实际借款利率及还款金额都与app不一致属阴阳合同，在此诉讼求好分期给出一个合理合法的还款方案。</t>
  </si>
  <si>
    <t>2019/10/04 11:20:51</t>
  </si>
  <si>
    <t>铭文碎片问题超7天就不能找回了，客服一直不处理。</t>
  </si>
  <si>
    <t>2019/10/04 11:20:14</t>
  </si>
  <si>
    <t>下载了这个APP想贷点钱，然后进去里面需要评估结果评估完之后说你审核不通过，需要等下次再评估看看能不能过，然后我就没用这个软件了，我就把它卸载了，结果第二天发现银行卡被扣了299块，这是恶意扣款，我希望能有人曝光他们，让他们公司出来解释解释，别让其他人上当受骗。</t>
  </si>
  <si>
    <t>2019/10/04 11:20:13</t>
  </si>
  <si>
    <t>大过节的一上午啥都没干呢，就光接来分期的催收电话了，况且我也没逾期，今天到期我也知道今天要还，就这一会就打了三四个了。</t>
  </si>
  <si>
    <t>2019/10/04 11:19:59</t>
  </si>
  <si>
    <t>想要解绑在51人品贷上的银行卡，客服居然说无法解绑，且注销账户的手续特别麻烦，他们这是故意捆绑客户，之前看到很多人投诉过这个问题，但是至今无整改，用户体验奇差。</t>
  </si>
  <si>
    <t>2019/10/04 11:19:03</t>
  </si>
  <si>
    <t>我在途牛旅游网9月24日预定的10月2日华东五市六日游，在10月2日10点客服告知我，由于台风天气原因导致航班取消，飞机票是下午一点35起飞，然后该航班的后一天也被取消，无奈之下我们只有退团，我们要求:不是由于客人主观原因，我们未出行该团，应全款退款给我们，但途牛客服说，要我们承担回程机票产生的损失，回程机票是940元一张，要我们损失570元一人，五人机票共需损失2850元，我们未出行该团，由于天气原因产生的问题，为什么要我们客人自己承担损失呢，然后客服说酒店住宿和行程费用也要产生相应损失，我问客服具体损失</t>
  </si>
  <si>
    <t>2019/10/04 11:18:58</t>
  </si>
  <si>
    <t>1569488208768540,http://talk.zfqno.cn，我是卖家，之前交易猫的发货客服收了我1000元的保证金，保证我作为号主，卖给买家号以后，不会找回账号，之前他发的二维码是100元，后面又发了个新的，马上变1000元，我就怀疑了，一收就是1千元，我也忍了，其他平台我卖号1500，最多也是收个七八十，几百我也接收得了，最后客服把各种信息换绑给买家，OK,交易完毕，交易猫呢，我就是个卖家，只管把号卖出去，收到钱就可以，我就没听过还要凑钱，1千元就算了，客服说得好好的，反正后面号卖出去，5</t>
  </si>
  <si>
    <t>2019/10/04 11:18:42</t>
  </si>
  <si>
    <t>未经允许私自扣钱，一直给不出合理的解释，本人也未支付密码，银行也未发送扣除短信。</t>
  </si>
  <si>
    <t>2019/10/04 11:18:07</t>
  </si>
  <si>
    <t>2019年10月1号，下午两三点我通过苹果商店下载使用Videoleap使用，软件打开后告知提供三天免费使用时间，并需要选择意向订阅时间，条款中告知如果试用后不需要订阅可以在软件试用期结束前24小时内取消订阅不会造成扣费，10月4日凌晨5点收到苹果的扣款信息，还没有到试用期结束，凌晨就扣款了，早上一看到，9点42分开始我电话联系苹果客服告知情况，37分钟的沟通时间里，苹果初级客服升级到高级客服都告知无法申请退款，且不提供拒绝退款的原因，因为已经升级到高级客服，也没有其他渠道可以继续投诉这个恶意扣费的情况，我</t>
  </si>
  <si>
    <t>2019/10/04 11:17:42</t>
  </si>
  <si>
    <t>从8月份开始在闪银借款哼哼和瞬瞬各1500元，强制性购物各300元，还需要购买征信险和拒必赔各种，一个月大概强制性消费800元左右，本人本月经济吃紧，周转不过来，在app联系客服说无法延期偿还，工作时间不方便接电话，希望在中午12点后到2点以前联系我，家人身体不好，今天是还款日，如进行暴力催收家里人定会走法律程序不让我进行还款。</t>
  </si>
  <si>
    <t>2019/10/04 11:17:09</t>
  </si>
  <si>
    <t>投诉人 王先生        投诉对象  融360,时光分期        涉诉金额  1 155 元    问题类型    诉求类型投诉详情  我的钱包国庆节期间掉了 账号也报停了，逾期遇到了第三方暴力催收。融360平台中旗下贷款时光分期</t>
  </si>
  <si>
    <t>2019/10/04 11:15:09</t>
  </si>
  <si>
    <t>高利息，催款态度急躁，要求减免利息，恢复额度，改善服务。</t>
  </si>
  <si>
    <t>2019/10/04 11:14:26</t>
  </si>
  <si>
    <t>YY信用昨日到期，小朋友拉肚子在医院，忘记还款，今天就有疯狂打电话骚扰，没有接到电话，还往支付宝转1分钱，发短信威胁爆通讯录,上次是到个人社交平台发恶心评论，YY信用，你真厉害。</t>
  </si>
  <si>
    <t>2019/10/04 11:13:37</t>
  </si>
  <si>
    <t>本人9月3日通过花转转平台借款2800元，通过畅捷支付实际到账2800元，分32天共4期每8天返还1022.4元，总计共需归还4089.6元，利息高达1289.6元，远远超过国家规定的标准，由于现在已经通过易宝支付归还3期达3067元已超出本金+利息。</t>
  </si>
  <si>
    <t>2019/10/04 11:12:30</t>
  </si>
  <si>
    <t>这个之前叫小浦优客的平台我是通过别的网站无意中看到的，每次都是下载注册进去又推荐又下载注册我也是特别的讨厌了，但是我没想到他们还有更过分的就是这个小浦优客的平台，我上去就注册登录了一下试问注册登录也用到他们的服务了吗，然后呢啥也没给我弄就无缘无故扣了296元服务费。</t>
  </si>
  <si>
    <t>2019/10/04 11:12:01</t>
  </si>
  <si>
    <t>因本人资金周转出现问题，导致在平安普惠的i贷出现逾期，平安普惠工作人员在未联系本人核实情况下就私自联系本人通讯录，且添加本人微信让本人再去其他地方借款，对本人生活造成极大困扰，且平安普惠在办理贷款时未说明就强制购买保险，还款金额已远远超过本金及法定最高利率。</t>
  </si>
  <si>
    <t>2019/10/04 11:10:43</t>
  </si>
  <si>
    <t>2800元，分4期，每七天一还，要还4000多，主动要求协商还款，对方称其后台强硬，不会协商。</t>
  </si>
  <si>
    <t>2019/10/04 11:10:39</t>
  </si>
  <si>
    <t>投诉人 石先生        投诉对象  玖富        涉诉金额  34 000 元    问题类型    诉求类型投诉详情  前几天投诉后玖富客服联系我 协商后我点击提前还款金额31700多 今天我钱准备好 点击提前还款显示金额31800多 我也认可 点击提前还款 客服又说扣款后 还需要联系客服 再额外支付2000多的费用 我借款34000 已经还了2期将近5000元 我只支付我应该支付的利息 对于玖富的变相收取费用我不认可 高利贷害人 看清楚玖富后 后悔不已</t>
  </si>
  <si>
    <t>2019/10/04 11:10:36</t>
  </si>
  <si>
    <t>借款时说开通财神黑卡能借款&amp;amp;nbsp;交完200&amp;amp;nbsp;提示额度抢完&amp;amp;nbsp;要在9点到10点借&amp;amp;nbsp;第二天&amp;amp;nbsp;九点一到借款&amp;amp;nbsp;还是提示额度抢完&amp;amp;nbsp;。</t>
  </si>
  <si>
    <t>2019/10/04 11:10:31</t>
  </si>
  <si>
    <t>投诉人梁先生投诉对象还呗涉诉金额6000元问题类型诉求类型投诉详情还呗逾期约6000左右，当时已经与客服说明具体的还款计划，但因前期没接电话导致出现爆通信录，多个亲人朋友已经收到还呗客服的催收电话，而且每天都有催收电话通知家人，导致家人身体状况出现不适，请尽快停止以上行为，本人将按计划处理逾期款项。</t>
  </si>
  <si>
    <t>2019/10/04 11:10:23</t>
  </si>
  <si>
    <t>闪银变相收取砍头息5800元，分3期收11%担保费，分6期收18%担保费，哼哼1900瞬瞬1900每个买卡199一月，要求闪银退还担保费和买卡钱，利息不高于国家标准，取消高额违约金。</t>
  </si>
  <si>
    <t>2019/10/04 11:10:10</t>
  </si>
  <si>
    <t>我在你我贷申请了一笔借款，分期12期，已经还了半年多，最近因孩子有病了，钱都给孩子看病了，当期逾期了4天，我也刚才来电话说要打我通讯录，我希望贵公司给我几天时间，一定还清，逾期费用我本人承担。</t>
  </si>
  <si>
    <t>2019/10/04 11:09:53</t>
  </si>
  <si>
    <t>玖富真的是太离谱了借40000要还9万多，真的是高利贷啊，我决定不给我处理我就报警了。</t>
  </si>
  <si>
    <t>2019/10/04 11:09:46</t>
  </si>
  <si>
    <t>莫名扣费我299元！客服不理！莫名其妙的！要求快点给我退款！。</t>
  </si>
  <si>
    <t>2019/10/04 11:08:57</t>
  </si>
  <si>
    <t>投诉人 赵先生        投诉对象  滴滴出行        涉诉金额  0 元    问题类型    诉求类型投诉详情  有个单我接不了 乘客不想取消 我就去找客服协助 客服让我自己取消然后报备就行 取消以后就判定我有责 问客服 客服让我去申诉 不成功再去找他 今天去找他 就说已经判定我有责了 没办法 你们这不是坑人吗 早知道 我再怎么也不自己取消了 现在直接影响到我接单了！</t>
  </si>
  <si>
    <t>2019/10/04 11:08:56</t>
  </si>
  <si>
    <t>在应用市场下载了趣惠买APP,申请小趣白条额度为2050，8天还款日。</t>
  </si>
  <si>
    <t>2019/10/04 11:08:51</t>
  </si>
  <si>
    <t>二零一九年十月二号通过其他软件下载的百事惠普，扭曲事实，恶意扣款，我本着借款的步骤随他进一步指导，却给我签了与百事普惠一份299元评估费用，在前期认证时没有明确显示有评估费用，由于我银行卡只剩100，就只扣了我100，我看到他后续意思是我要是银行卡有钱就扣完我299,我申请与百事普惠解除协议，请相关部门介入。</t>
  </si>
  <si>
    <t>2019/10/04 11:08:46</t>
  </si>
  <si>
    <t>百事普惠，没有任何提示，莫名其妙扣我299元。</t>
  </si>
  <si>
    <t>2019/10/04 11:08:37</t>
  </si>
  <si>
    <t>发放兼职招聘信息的时候，注明是完工现结，结果到今天第五天还没发放应得的兼职工资：190，为现场实际情况加班了3小时，要求被投诉人即时结清所有拖欠的兼职工资240.1元！！！。</t>
  </si>
  <si>
    <t>2019/10/04 11:08:28</t>
  </si>
  <si>
    <t>新浪分期高利贷！黑社会性质暴力催收！在联系得上我且我已经告知在积极凑钱还款的情况下恐吓我要一个一个联系我的亲人朋友，爆我通讯录！在不到一分钟后就联系恐吓我的家人！国庆期间，新浪分期携手黑恶势力无法无天！一定举报到底！。</t>
  </si>
  <si>
    <t>2019/10/04 11:08:08</t>
  </si>
  <si>
    <t>投诉平安普惠职员邓江东假传法律文书进行恐吓本人还款要求平安普公开道歉并进行赔偿。</t>
  </si>
  <si>
    <t>2019/10/04 11:06:29</t>
  </si>
  <si>
    <t>高利息，提前还款手续费高，要求降低利息恢复额度并且可以借款。</t>
  </si>
  <si>
    <t>2019/10/04 11:05:42</t>
  </si>
  <si>
    <t>离还款日还有五天就开始发短信和打电话提示我几月几号还款，偶尔一次两次我当做是提示，但是之后还一直打电话发短信，我上班的时候经常被这平台骚扰，有一次跟他们客服联系说明这个事说会提示催收那边，可是现在还没有看样子，我没有预期过一次，不停的骚扰我我实在忍受不了了！利息过高我都没有说什么。</t>
  </si>
  <si>
    <t>2019/10/04 11:04:49</t>
  </si>
  <si>
    <t>第一次利息是一天20元第二次利息是一天34元你们是要疯啊。</t>
  </si>
  <si>
    <t>2019/10/04 11:03:50</t>
  </si>
  <si>
    <t>乘客表示没送到嘀嗒平台无法取证导致车费不到账，嘀嗒平台没技术定位司乘位置不知道乘客在哪下车怎么保护司乘人员安全。</t>
  </si>
  <si>
    <t>2019/10/04 11:02:33</t>
  </si>
  <si>
    <t>2019.8.27盛钱包业务员以办理信用卡为由，上门推销我办理信用卡，其间根本没有提及到pos机问题，办理完硬要刷卡，说可以提升办卡额度，一再拒绝，本人并无pos机需求，最后承诺一个小时首刷款到账，才刷了，以后联系不到业务员，后投诉，十多天后，客服来解决，说上个月只能解决一半，因此退款100，说剩余部分下月返还，现在联系客服，也无音讯，我就想知道这是个什么公司，一直让我感觉再被套路，根本无法信任，我希望能尽快帮我解决，并且我需要他们给我解释这个问题以及真诚的道歉。</t>
  </si>
  <si>
    <t>2019/10/04 11:01:56</t>
  </si>
  <si>
    <t>投诉人陈嘉林投诉对象成都非凡互动科技有限公司涉诉金额600元问题类型诉求类型投诉详情2019年8月8日买了非凡优单600元套餐，客服刚开始服务好，后面没有服务，人都跑了，电话打过去也没人接，136******41，微信换了一个又一个，态度极差，公司给个交代&amp;nbsp;解释一下，而且该平台客户质量太差。</t>
  </si>
  <si>
    <t>2019/10/04 11:01:35</t>
  </si>
  <si>
    <t>小赢催收威胁打村委会电话和通讯录，我想请问这是国家赋予他们的权利吗，看了很多聚投诉内容都是暴力催收，难道这么多人反应情况都石沉大海了。</t>
  </si>
  <si>
    <t>投诉人雷女士投诉对象360借条涉诉金额10000元问题类型诉求类型投诉详情高利息，提前还款高手续费，还款后还不能借款，要求降低利息，恢复额度并且可以借款。</t>
  </si>
  <si>
    <t>2019/10/04 11:01:32</t>
  </si>
  <si>
    <t>这个app把所谓的诚意金占在app，占有30天交易不成功才会返还到app钱包中，而app钱包没有提现功能，这是属于强制消费。</t>
  </si>
  <si>
    <t>2019/10/04 11:01:30</t>
  </si>
  <si>
    <t>佑佑分期非法放贷，暴力催收骚扰通讯录，辱骂好友。</t>
  </si>
  <si>
    <t>2019/10/04 11:01:15</t>
  </si>
  <si>
    <t>9月19日，在不知情的情况下被扣款299元，之前都没有注意，所以没有留下照片证据，但是今天致电工商银行客户电话有记录。</t>
  </si>
  <si>
    <t>2019/10/04 11:01:14</t>
  </si>
  <si>
    <t>小浦优客app申请借款，按步骤填写资料，然后最后要求绑定银行卡，绑定完成就开始审批，然后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</si>
  <si>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2019/10/04 11:01:12</t>
  </si>
  <si>
    <t>购买的显示屏使用第三天，发展存在大块的坏斑，之后申请售后退回，要求更换或者退货，为不影响自己工作使用，并根据法律要求多次要求备用机，京东商城拒不提供备用机或者退款服务。</t>
  </si>
  <si>
    <t>2019/10/04 11:00:53</t>
  </si>
  <si>
    <t>投诉人 陈嘉林        投诉对象  你我贷        涉诉金额  1 450 元    问题类型    诉求类型投诉详情  逾期一天，电话暴力催收 一个上午接到五六个， 而且还恐吓</t>
  </si>
  <si>
    <t>协商好还款时间，时间未到，还恶意打家人电话，严重影响工作生活，催收很不专业，希望严肃处理。</t>
  </si>
  <si>
    <t>2019/10/04 11:00:36</t>
  </si>
  <si>
    <t>途歌拖欠我的押金这个月算下来已经整整一年了，现在相关部门也不理，推皮球，让我真的很无奈。</t>
  </si>
  <si>
    <t>2019/10/04 10:59:29</t>
  </si>
  <si>
    <t>钱站高利贷！砍头息！阴阳合同！要求合理利息！。</t>
  </si>
  <si>
    <t>2019/10/04 10:59:10</t>
  </si>
  <si>
    <t>最近几个月由于没找到工作导致上个月浦发信用卡逾期，之前也与信用卡客服协商剩下的六期分十二期还可是客服说不可以，我以前也是按时还款的，没有恶意逾期，只不过确实没有最后的钱去还了所以才协商的，但是今天浦发信用卡客服威胁说今天12点之前必须还要不然通过第三方打通讯录，希望和信用卡协商还款。</t>
  </si>
  <si>
    <t>2019/10/04 10:57:50</t>
  </si>
  <si>
    <t>本人是捷信金融商家合作商户，顾客在扫码消费支付750元后，捷信惠购款项一直不到账，到账显示否，至今一月有余，期间多次拨打客服专线，各种卡人，不与解决。</t>
  </si>
  <si>
    <t>2019/10/04 10:57:45</t>
  </si>
  <si>
    <t>百度有钱花催收骚扰我的家人，请停止骚扰我才逾期几天。</t>
  </si>
  <si>
    <t>2019/10/04 10:57:44</t>
  </si>
  <si>
    <t>投诉人孟先生投诉对象绿森数码涉诉金额10200元问题类型诉求类型投诉详情10月1日01.25分在农行绿森商城付款，因为买错iphone手机型号，10分钟内点击退款。</t>
  </si>
  <si>
    <t>2019/10/04 10:57:40</t>
  </si>
  <si>
    <t>投诉人王女士投诉对象魔借涉诉金额840元问题类型诉求类型投诉详情2018年9月30号点融公司魔借借款8000.到账7000，11期已还款9200多超过国家规定属于高利贷，最后一期由于资金问题，协商20号还款，催收恐吓爆通讯录拒绝协商！要求协商，道歉，阴阳合同。</t>
  </si>
  <si>
    <t>2019/10/04 10:57:16</t>
  </si>
  <si>
    <t>投诉人王女士投诉对象带上钱涉诉金额2000元问题类型诉求类型投诉详情贷上钱借款2000还2600一个月期限，其中600以购买游戏豆为由，还款只能还2600，2000还不了，还给我朋友群发短信，骚扰亲朋好友，暴击恐吓，以保留证据。</t>
  </si>
  <si>
    <t>2019/10/04 10:56:56</t>
  </si>
  <si>
    <t>涉诉金额4000元问题类型诉求类型投诉详情安逸花单方面终止合同，锁定账户，本人在马上消费金融旗下产品安逸花申请循环贷，总金额4000元，期间一直正常使用，连app都并未通知，对账号进行锁定，无法消费和提现，我不同意，要求安逸花方恢复可使用额度，解锁我的账户！。</t>
  </si>
  <si>
    <t>2019/10/04 10:56:50</t>
  </si>
  <si>
    <t>投诉人陈女士投诉对象海尔消费金融涉诉金额0元问题类型诉求类型投诉详情本人在海尔消费金融平台最初逾期四天的时候，工作人员已加我微信，我已积极跟平台工作人员承诺，等我过几天有了款项会马上还清借款平台工作人员是答应跟领导申请的，随后就身边的人接到骚扰电话，海尔消费金融未经本人同意非法获取通讯录，并且恐吓威胁，软暴力，搬出本人以前单位，叫我马上还钱每天多次用网络电话骚扰我我不接电话时候就骚扰我手机通讯录好友群发本人欠款信息到本人通讯录好友里面我现在生活受到严重干扰名誉受损，本人欠款已经还，还在骚扰，现在本人及通讯录</t>
  </si>
  <si>
    <t>2019/10/04 10:56:40</t>
  </si>
  <si>
    <t>投诉人何女士投诉对象小牛分期涉诉金额0元问题类型诉求类型投诉详情用微信打电话威胁谩骂本人以及父母朋友</t>
  </si>
  <si>
    <t>2019/10/04 10:56:34</t>
  </si>
  <si>
    <t>投诉人闫女士投诉对象小赢卡贷涉诉金额220元问题类型诉求类型投诉详情小赢易贷客服骚扰并且带有恐吓威胁说上交什么部门没有听清就两百块钱因为国庆前两天花销有点大说等几个小时就给还进去然后催收人说不行必须十一点之前还我就想不通几个小时的时间不给人通融的吗还说给亲戚朋友打电话不想把事情闹大希望能改变一下客服说话态度并且对我道歉。</t>
  </si>
  <si>
    <t>2019/10/04 10:55:43</t>
  </si>
  <si>
    <t>投诉人兰女士投诉对象马上消费金融涉诉金额4000元问题类型诉求类型投诉详情因家里资金紧张最近三个月末还款，我没说不还，可以还希望能减免利息及还款时间能否协商处理，你要说让我一次性拿出来，确实没有，还得分期。</t>
  </si>
  <si>
    <t>2019/10/04 10:55:38</t>
  </si>
  <si>
    <t>投诉人魏先生投诉对象信用管家,元宝宝,畅捷支付涉诉金额3000元问题类型诉求类型投诉详情信用管家里面元宝宝，高利贷套路贷收取高额利息费，本人于2019年8月22日借款2250，分四期每期八天一还，每期还款768，严重超过国家规定利率，利息远超于国家规定！！我已经还3期剩余1期由于支付通道关闭无法还款，点开还款要求支付宝还款，微信还款，但是还是还款不了，打客服电话打不通，而造成逾期，我要求元宝宝给于最后一期销帐处理。</t>
  </si>
  <si>
    <t>2019/10/04 10:55:18</t>
  </si>
  <si>
    <t>2019.10.04在闪电借款上借款1200.显示一定要购买财神黑卡330才下款.上面说不下款包退.我才购买了.然后显示今日额度已抢完.我想联系客服退款.联系不上客服.全都是机器自动客服.希望能帮到我.。</t>
  </si>
  <si>
    <t>2019/10/04 10:55:11</t>
  </si>
  <si>
    <t>投诉人李先生投诉对象钱站涉诉金额3000元问题类型诉求类型投诉详情在钱站平台借了3000，每月要还1845，三个月要还5400多，利息太高了，太离谱了！这不就是高利贷吗。</t>
  </si>
  <si>
    <t>2019/10/04 10:54:53</t>
  </si>
  <si>
    <t>投诉人兰先生投诉对象现金巴士涉诉金额2000元问题类型诉求类型投诉详情本人8月28日借款2000分三期，一期还728，砍头息就不说了，逾期5天利息一天高达20，你们怎么算的逾期费。</t>
  </si>
  <si>
    <t>2019/10/04 10:54:25</t>
  </si>
  <si>
    <t>维信卡卡贷扣款钱没有任何的短信提醒，在扣款逾期一天后手续扣款失败费100，关键是金额才863，这样的费用是否合理，合同里也未见详细的费用说明，按照国家规定逾期费用是按照逾期金额进行相应的利息收取，这样算下来算不算高利。</t>
  </si>
  <si>
    <t>2019/10/04 10:53:59</t>
  </si>
  <si>
    <t>投诉人邱先生投诉对象小浦优客涉诉金额296元问题类型诉求类型投诉详情在没有征得客户同意的情况下，恶意设定扣费陷阱，利用操作的惯性，诱导客户签约扣费，性质恶劣，请求申诉退款！。</t>
  </si>
  <si>
    <t>2019/10/04 10:53:55</t>
  </si>
  <si>
    <t>需要一个月内还款4088元，利息高达42%是明显的高利贷，我已经还款三期共计3066元，偿还够了本金和足够的利息，剩下的钱无力支付，之前找客服协商还款，可以说已经还了本金2800和200多的利息了，现在协商钱置宝联系我处理最后一期结清，销账。</t>
  </si>
  <si>
    <t>2019/10/04 10:53:01</t>
  </si>
  <si>
    <t>2019/10/04 10:52:32</t>
  </si>
  <si>
    <t>投诉人王丹投诉对象平安普惠涉诉金额860元问题类型诉求类型投诉详情天天就这样打电话骂人，这人是四川的，而且还冒充公检法，有人管吗。</t>
  </si>
  <si>
    <t>2019/10/04 10:51:53</t>
  </si>
  <si>
    <t>投诉人李女士投诉对象小浦优客涉诉金额592元问题类型诉求类型投诉详情投诉了就给我们个等待敷衍我们。</t>
  </si>
  <si>
    <t>2019/10/04 10:51:47</t>
  </si>
  <si>
    <t>首先问题都在我这，上学期间因为家里的条件并不是很好，没有多余的钱买生活用品甚至更多的东西，从我朋友那儿了解了这个唯品会，当时一看里面全是生活上需要的东西，更诱人的是先试用，分期还款，当时没有想那么多就开通了唯品花，我就买了一些生活用品以及一些需要的化妆品等等，之前一直都是提前还款或者当天还款，因为刚出来工作需要交房租还有各种地方需要花钱就不小心摊上了高利贷，就开始了以贷还贷的日子，直到现在每天都早恐惧中生活，那些网贷各种恐吓和催促严重打击了我，我心里就想着唯品会是个正规的消费公司应该不会做出那种过分的催收，</t>
  </si>
  <si>
    <t>2019/10/04 10:51:39</t>
  </si>
  <si>
    <t>投诉人 丁先生        投诉对象  每日优鲜        涉诉金额  163 元    问题类型    诉求类型投诉详情  本该十月一到的单子 一直没收到货 鉴于后续出游 无人收货 跟每日优鲜沟通退单 对方同意 让我拒收 拒收后 联系客服 客服却反馈说我已经签收后续多次联系 客服确认给予退款 却迟迟未肯退款</t>
  </si>
  <si>
    <t>2019/10/04 10:51:33</t>
  </si>
  <si>
    <t>投诉人许女士投诉对象51人品涉诉金额5300元问题类型诉求类型投诉详情本人在51人品贷有一笔5300元的贷款，最后一期逾期3天，因近期遇到困难，想与催收部门人员沟通，但是对方完全没有办法沟通，威胁要联系我的130多位联系人，不经本人同意，联系非紧急联系人，这属于损害本人个人隐私及名誉的行为，严重影响个人生活，要求道歉。</t>
  </si>
  <si>
    <t>投诉人张先生投诉对象聚福钱包,造艺科技涉诉金额200元问题类型诉求类型投诉详情快两个月了，各种理由不退款，扣款都是免密支付，本人从未开通，现在银行卡一分钱不敢放，在这平台我都未绑过银行卡，我都不知道怎么给我连上扣费的。</t>
  </si>
  <si>
    <t>投诉人刘先生投诉对象易兴速贷涉诉金额20000元问题类型诉求类型投诉详情该平台谎称宜信旗下，与多家银行合作放款平台，该平台无借款合同，微信方式联系，本人未&amp;nbsp;向其申请过，却主动联系本人。</t>
  </si>
  <si>
    <t>2019/10/04 10:51:31</t>
  </si>
  <si>
    <t>我在玖富万卡在2018年借了5200元！当时急用钱万卡直接分期36期每个月还300.44元！总金额要还10815.84元我已经还了一年多了3905.72元越还觉得不对！我就借了5200元为什么要还那么多！利息将近百分之50了我的妈呀！这不是高利贷吗，我到APP看合同也找不到打不开！我以前借的15000每个月还1578元18个月还完了利息吃了我多少才反应过来！一看账单是本金多少分期费用多少！我的妈呀一看我的5200账单还了一年多本金还有3900多！这不是坑人吗，请有关部门好好跟我解释一下！我以前借的账单利息被</t>
  </si>
  <si>
    <t>2019/10/04 10:50:44</t>
  </si>
  <si>
    <t>我不知道什么原因，当天扣款失败了，客服今天才和我联系，说要移交我居委会…我一看逾期利息一天10块钱合法嘛。</t>
  </si>
  <si>
    <t>2019/10/04 10:49:54</t>
  </si>
  <si>
    <t>借款2250元可以分期4期,下款成功才显示所谓的的4期就是一个月的4期，7天一个期限，一共要还3081.48元！！第一期还款770.37元，剩余三期每次还款770.37元，本人已经还款3期，《最高人民法院关于审理民间借贷案件适用法律若干问题的规定》第二十六条借贷双方约定的利率未超过年利率24%，出借人请求借款人按照约定的利率支付利息的，人民法院应予支持，借款人请求出借人返还已支付的超过年利率36%部分的利息的，人民法院应予支持，因为本人已经被立借引导到循环贷，现在只能和家人慢慢还款，实在无法理解为什么不合法</t>
  </si>
  <si>
    <t>2019/10/04 10:48:05</t>
  </si>
  <si>
    <t>借款3000,收取额外费用，利息高于国家标准。</t>
  </si>
  <si>
    <t>2019/10/04 10:47:51</t>
  </si>
  <si>
    <t>两款产品，非法收取我1885元，让在app买东西才可以返现，现在请帮我处理掉，退我多收取的费用，否责将采取法律手段。</t>
  </si>
  <si>
    <t>2019/10/04 10:47:28</t>
  </si>
  <si>
    <t>投诉人苏先生投诉对象中邮消费金融涉诉金额1000元问题类型诉求类型投诉详情投诉举报中邮消费金融三方催收非法泄露我个人隐私并添加微信恐吓我并辱骂我，催收人姓名曾素芬！请中邮消费金融给出解释，我现在要求中邮消费金融向我提供三方催收公司名称以及相关的催收资质。</t>
  </si>
  <si>
    <t>2019/10/04 10:47:19</t>
  </si>
  <si>
    <t>本金2100.现在本金+利息21天需要归3000.本人已经还款1900.要求第三期协商处理，无法承担高于国家规定的高利息，每天接到骚扰电话，要求协商处理，停止骚扰。</t>
  </si>
  <si>
    <t>2019/10/04 10:47:12</t>
  </si>
  <si>
    <t>投诉人郑先生投诉对象青柠檬涉诉金额2000元问题类型诉求类型投诉详情青柠檬公司涉嫌高利贷，本人贷款两千元，一个月内分两期支付，共计需偿还三千余元，贷款利率严重超过国家规定，第一期贷款本金及利息本人已经支付1600余元，目前处于逾期状态，青柠檬催收人员电话威胁本人，通过给联系人打电话、发短信，对本人造成严重不良影响。</t>
  </si>
  <si>
    <t>2019/10/04 10:46:50</t>
  </si>
  <si>
    <t>投诉人祝女士投诉对象钱伴涉诉金额13000元问题类型诉求类型投诉详情我有很强的还款意愿，请求钱伴网贷平台给与还款时间延期我本月11号之前一定跟你们协商还款全额还清该还的欠款，。</t>
  </si>
  <si>
    <t>2019/10/04 10:46:23</t>
  </si>
  <si>
    <t>投诉人 林先生        投诉对象  信用飞        涉诉金额  450 元    问题类型    诉求类型投诉详情  信用飞砍头息，贷款3000元 实际到手只有2550，要求退还费用！！</t>
  </si>
  <si>
    <t>2019/10/04 10:46:04</t>
  </si>
  <si>
    <t>平安银行信用卡委派的第三方催收人员，使用023开头号码来电，自称是来自深圳的网络电话，不肯报工号和单位名称以及详细地址，电话里多次言语威胁，声称奉陪到底，辱骂恐吓，态度极其恶劣，本人已保留通话录音，将会向深圳银保监局实名投诉此人和所属公司的恶劣行为。</t>
  </si>
  <si>
    <t>2019/10/04 10:45:54</t>
  </si>
  <si>
    <t>我就问下三个月1400的利息也是在国家规定的利息范畴之内吗，我不是不还，是真的承受不起这么高的利息，可以协商还款，可以电话联系我150******71也可以qq联系我491926188。</t>
  </si>
  <si>
    <t>2019/10/04 10:45:47</t>
  </si>
  <si>
    <t>上个月我在我来贷公司进行贷款，在贷款前他们公司就经常打电话给我让我贷款，我没怎么注意，直到我缺钱了就贷款了16000，接着到今天10.4日的时候接到我来贷的电话对我进行催账，没有哪个平台会这样对借款人催账，我还是头一次碰到，我希望对我来贷进行处罚，对我停止催账，并且以后也停止催账，否则，我将保留我的合法权益，如果可以上传录音，我愿意上传我的录音作为证明。</t>
  </si>
  <si>
    <t>2019/10/04 10:45:24</t>
  </si>
  <si>
    <t>钱咖分期高利贷，涉及金额3500本人以还3期，第一期还1949.5后面两期均为还899.5远远远超过本金了已经还了3748.5现要求协商在还款500，对方态度强硬，不给予协商！利息远远超过百分之36，放款方有易宝支付有限公司支付！现要求对方快速解决！希望有关部门重视这种套路贷，高利贷。</t>
  </si>
  <si>
    <t>2019/10/04 10:45:23</t>
  </si>
  <si>
    <t>投诉人陈女士投诉对象豆豆钱涉诉金额3018元问题类型诉求类型投诉详情本人从2017年2月27日开始在豆豆钱，一共有贷过5笔贷款，分12期还款，其中3笔已结清，另外两笔金额分别10000元跟5000元，每期各应还款金额为：541.64元跟1083.33元，，第11期跟第12期逾期一天过了12点还款增加收取我200元逾期费，本人跟豆豆钱协调无果，拖到10月3号还款，扣取我费用240逾期费用，豆豆钱未经本人同意，在本人不知情情况下，强制购买非法保险费499元，变相砍头息，以及购买担保费按每期还款扣：140元跟70</t>
  </si>
  <si>
    <t>2019/10/04 10:45:09</t>
  </si>
  <si>
    <t>好易借高利贷平台，请你停止黑社会上门威胁，停止非法骚扰通讯录的违法犯罪行为！第二期账单逾期后，客服暴力威胁，多位通讯录好友分别接到威胁电话，威胁黑社会上门协助处理！在我本人主动协商，并主动还款的情况下，通讯录好友任然接到威胁电话所有录音都已经保存请平台立即停止骚扰联系人和通讯录，有问题请和本人直接联系！。</t>
  </si>
  <si>
    <t>2019/10/04 10:44:58</t>
  </si>
  <si>
    <t>本人2019年5月20日在51公积金平台申请借款，平台推荐时光分期借款19400元，借款合同显示综合年化利率9.5%，咨询服务合同显示每期服务费1.3349%，本人还款后发现每期还款金额高达2197.69元，远远超过这两笔费用，后发现还有一个金融服务协议收取年化利率25.5%的服务费，就此计算综合年化利率高达60.8%，远远超过国家规定的红线36%。</t>
  </si>
  <si>
    <t>2019/10/04 10:44:54</t>
  </si>
  <si>
    <t>在易到用车平台上充值后，先后出现打不到车，无人接单，并于2018年12月份申请退款，客服沟通先由7-14个工作日到账，后推诿到30个工作日到账，截止目前联系客服无人应答，截至今日2019.10.04仍然无退款。</t>
  </si>
  <si>
    <t>2019/10/04 10:44:50</t>
  </si>
  <si>
    <t>1.新意花小木钱包线上App无法还款，导致我逾期，这不是我的责任，而且平台的责任，目前逾期7天，逾期费用392元，当时借款2800元，实际一个月还款4431.6，无论是利息以及逾期费用都是高利贷性质，2.该App线上无法还款，客服电话打不通，无法与其取得联系，而且App页面需要我私自转账到一个企业支付宝账户，我觉得这个是有风险的，所以需要与客服反馈但是迟迟无法与客服取得联系，3.我希望新意花小木钱包可以调整为合法的利息费用，取消逾期费用，因为这个是属于平台故障和客服失联导致我逾期的。</t>
  </si>
  <si>
    <t>2019/10/04 10:44:27</t>
  </si>
  <si>
    <t>本人10月2号在携程网订酒店共3间豪华双人房870元，已扣款没订单到了10月4号还没退款，扣款没订单严重欺诈消费者，其间造成旅行不便，影响旅行进程。</t>
  </si>
  <si>
    <t>2019/10/04 10:43:12</t>
  </si>
  <si>
    <t>我与2019年9月15号中午，通过苹果公司售后来到百邦张家口店维修音量键，并在当日中午给我打电话说手机修好了并给我发顺丰快递到我地址，据我了解，他们没有从苹果公司发配件，就给我更换，现在我不确定给我更换的是不是苹果配件正品，百邦张家口工作人员，说我当天就把手机取走了，没有在门面维修，现在联系百邦售后他们也推脱责任，现在给95004客服打电话投诉，客服工作人员也在推脱责任，说我没有从百邦维修，说我私自去维修的，那请问我手机不是从百邦修得，那是从哪里修得。</t>
  </si>
  <si>
    <t>2019/10/04 10:43:09</t>
  </si>
  <si>
    <t>手机借钱上边的多宝分期借4000分4期，每期还1599.25、每期只有15天，4期共计利息2397元，年利率高达360%，远超国家法定规定利息，且还款日早上酒有催收电话说12点之前还款、如果12点之前不还进去就说要爆通讯录、打给通讯录好友。</t>
  </si>
  <si>
    <t>2019/10/04 10:43:08</t>
  </si>
  <si>
    <t>贷上钱平台以捆绑销售游戏币为名义，实质是高利贷，年利率达到300%，不给看签订的合同，以各种理由说没有权限，不已经进行了投诉，没有人给出解决方案，并且态度恶劣，客服总是不把话说完就挂了电话，且拨打借款人通讯录电话进行骚扰，现要求贷上钱公司停止对家人朋友的骚扰，进行道歉，且提供借款合同，对强行购买的游戏币免除费用，提供账务结清报告。</t>
  </si>
  <si>
    <t>2019/10/04 10:43:02</t>
  </si>
  <si>
    <t>变相收取高额手续费当利息，暴力催收骚扰通讯录好友！。</t>
  </si>
  <si>
    <t>2019/10/04 10:42:58</t>
  </si>
  <si>
    <t>投诉人 郑女士        投诉对象  互盾科技        涉诉金额  48 元    问题类型    诉求类型投诉详情  不冲会员不让用，冲了会员就转码失败。试一早上了，一个视频都没成功过。</t>
  </si>
  <si>
    <t>2019/10/04 10:42:51</t>
  </si>
  <si>
    <t>暴力涉黑催收，电话威胁恐吓，拒绝沟通，骚扰联系人。</t>
  </si>
  <si>
    <t>2019/10/04 10:42:34</t>
  </si>
  <si>
    <t>苏宁迟迟不退保证金，已经过去几个月了，保证金迟迟不退。</t>
  </si>
  <si>
    <t>2019/10/04 10:42:28</t>
  </si>
  <si>
    <t>投诉人 崔先生        投诉对象  美团金融        涉诉金额  2 500 元    问题类型    诉求类型投诉详情  因为1号发工资因为放假所以工资延迟发 希望可以延期明天上班发工资会还上</t>
  </si>
  <si>
    <t>2019/10/04 10:41:58</t>
  </si>
  <si>
    <t>提前还款无法协商，逾期高利息，提前还款还有多还钱。</t>
  </si>
  <si>
    <t>2019/10/04 10:41:25</t>
  </si>
  <si>
    <t>派送用户定位错误，用户定位是以前旧址的工厂，，不知道美团地图没更新还是其他原因，实际工厂已搬迁到较远的地方，，本着客户第一的思想，多跑几公里把外卖送到客户手上，但是美团众包不但不补多跑的路程费用，还扣了一半运费，同时，我也在原址上报异常，打电话美团客服，上报用户地址不对，美团客服态度恶劣，不作为。</t>
  </si>
  <si>
    <t>2019/10/04 10:41:19</t>
  </si>
  <si>
    <t>本人在想有钱app借款1100，每三天还款1500，该利息远超国家合法利息，是国家严打的高炮平台，汇潮支付为其提供放款通道实属助纣为虐，催收还款日当天称2点不还就要采取措施爆通讯录，迫于压力展期，已经续期多次，利息早已超过本金，现要求给我销账。</t>
  </si>
  <si>
    <t>2019/10/04 10:41:08</t>
  </si>
  <si>
    <t>还需要一个月左右全部处理，催收就说逾期超过90天了！我看了下，逾期没超过你说的天数，而且还说爆通讯录，打电话给村委会，问我住那，上门催收吗，你们为了钱，我没说不还，还款时利息，催收费我有说减免。</t>
  </si>
  <si>
    <t>2019/10/04 10:40:51</t>
  </si>
  <si>
    <t>投诉人 骆先生        投诉对象  时光分期        涉诉金额  566 元    问题类型    诉求类型投诉详情  威胁恐吓辱骂，打联系人辱骂威胁，要求道歉</t>
  </si>
  <si>
    <t>2019/10/04 10:40:50</t>
  </si>
  <si>
    <t>本人使用广发银行信用卡长达近五年，期间偶有逾期，但两天内均还清欠款，8月底因本人突发疾病住院长达一个月之久，花费近10万元，多亏亲朋好友相助解决住院费用，现有两点要求：一、告知我近一年详细还款项目，为何越还越多，二、本人可以承诺每月想办法还一点，但无法保证还款金额，望银行尽人情给与特殊情况特殊对待！。</t>
  </si>
  <si>
    <t>2019/10/04 10:40:14</t>
  </si>
  <si>
    <t>最近全面逾期，小赢卡贷也逾期了，第二期逾期了二十多天，我也慢慢还上了，现在第三期逾期了几天，客服打电话必须上午处理，各种威胁，通知父母之类的，不同意协商，通话都有录音，通知谁我也要协商，亲友早就知道了，能帮我的也帮了，现在我要求换一个客服，第二期逾期催收的那个客服了解我的情况，我要求换他来处理，其他人我一律不接待，通讯录随便你们爆，起诉我也行！。</t>
  </si>
  <si>
    <t>2019/10/04 10:40:06</t>
  </si>
  <si>
    <t>原名小带鱼，现在叫小当家，本人在这次借款1925下款一千多，三期一共要还两千多，已经严重超过国家规定，显然非法高利贷，本人要求小当家消账最后一期，并提供结清证明，否则肯定报警处理！！并且网址打不开，打客服电话提示说，没有这个业务号码，订单号是我手机号，并且我要求查看我自己的详细合同。</t>
  </si>
  <si>
    <t>2019/10/04 10:39:35</t>
  </si>
  <si>
    <t>宜人贷利息太高，借40000手续费5400多，总得要还67000多已经是高利贷了，本人已经还款60000多现在压力太大，要求宜人贷进行销账处理，本金和合理利息都已经还够了。</t>
  </si>
  <si>
    <t>2019/10/04 10:39:26</t>
  </si>
  <si>
    <t>今天突然扣我168元，前几天申请贷款说要前期就没申请了。</t>
  </si>
  <si>
    <t>2019/10/04 10:39:06</t>
  </si>
  <si>
    <t>上午刚起床，突然收到银行卡被扣费的消息，但是我从来不知道这个东西，然后我比较担心，我就把银行卡所有金额都取出来了。</t>
  </si>
  <si>
    <t>2019/10/04 10:39:01</t>
  </si>
  <si>
    <t>我由于生病及失业原因目前没有能力偿还信用卡，之前已与中信银行信用卡工作人员联系说明过情况，上周登陆中心银行信用卡公众号，看到最低还款金额200，本人凑钱立即将200元还款还清，并且公众号上也显示最低还款已还清，本人刚找到工作不方便接电话，且抑郁症还未恢复，中信银行信用卡催收人员每天骚扰本人，今天发信息威胁要向法院投诉我，请中信银行信用卡人员核实我是否还过款，并停止恐吓，接受协商。</t>
  </si>
  <si>
    <t>2019/10/04 10:38:45</t>
  </si>
  <si>
    <t>本人于2019年9月12日在钱站APP上借款人民币6000元，分期6期偿还，当时未加详细查看，之后发现其6个月还款金额分别为2678.24，2696.39，2696.39，1035.59，1035.59，1035.58，合计还款金额达到人民币11177.78元，我向其平台客服询问答复此项费用为所谓的账户管理费，合同管理费，贷后管理费，催收管理费等等的总和，我已向平台主张根据国家相关规定，此项费用为非法畸高利息，要求其减免，已遭拒绝，经详细查看后，发现前三个月需要我每月支付所谓的服务费每月1660.80元，其</t>
  </si>
  <si>
    <t>2019/10/04 10:38:18</t>
  </si>
  <si>
    <t>投诉人林女士投诉对象及贷涉诉金额2345元问题类型诉求类型投诉详情及贷分期12期剩余两期，家中发生大变故，8月开始协商是否可以更改还款日期，客服表示没办法修改，现在剩余两期，非常有还款意向，只希望，可以宽容时间，可是每次都与客服无法联系沟通，拜托麻烦给时间了，我和我的家人都是有还款意向的，目前剩余两期，麻烦给时间谢谢。</t>
  </si>
  <si>
    <t>2019/10/04 10:38:05</t>
  </si>
  <si>
    <t>催收态度恶劣，态度极差，催收话还没请清楚就挂电话，还说暴通讯录，凭啥，造成了困扰，造成了骚扰，钱还要还，你还暴通讯录，别废话回复让我联系客服，多余，没用，我会在别的平台一起投诉，别让我打电话给客服处理，客服一点都不专业，态度又差，恶心死了讲话语气，逾期还不是收了逾期费吗，还在那叽叽歪歪的，到处打电话骚扰，那我们钱要还上，造成我们的困扰你们怎么不负责呢。</t>
  </si>
  <si>
    <t>2019/10/04 10:37:38</t>
  </si>
  <si>
    <t>借款金额2250.需归还本金+利息3500.线上无法还款，催收电话要求线下还款，利息涉及高利贷，无法偿还，要求停止催收。</t>
  </si>
  <si>
    <t>2019/10/04 10:37:13</t>
  </si>
  <si>
    <t>投诉人黄先生投诉对象唯品会涉诉金额1200元问题类型诉求类型投诉详情本人在唯品会购买价值一千二百元商品，给我发了一个价值三百九十八元商品，联系客服说叫我把发错的商品寄回去把我购买的商品补发过来，到现在为止也没有任何消息联系客服也不理睬。</t>
  </si>
  <si>
    <t>2019/10/04 10:37:12</t>
  </si>
  <si>
    <t>借款的时候，提示购买黑卡可以通过借款，现在借款失败，要把黑卡钱退给我。</t>
  </si>
  <si>
    <t>2019/10/04 10:37:05</t>
  </si>
  <si>
    <t>联系不上客服，昨天晚上已经进行投诉取消借款，一直联系不上客服，在拒绝的情况下依然下款，并且有所谓的分期两个，还有保费，套路贷，高利贷，要求撤回订单，退回两笔借款！。</t>
  </si>
  <si>
    <t>2019/10/04 10:36:47</t>
  </si>
  <si>
    <t>2019/10/04 10:36:02</t>
  </si>
  <si>
    <t>2019年10月3日晚上6点左右，我孩子玩和平精英这款游戏，在我不知情的情况下充值了两笔交易，我与苹果公司打电话申请退款，苹果公司回复这两笔钱直接到腾讯公司，苹果客服说我们没有收到这笔资金，我们只是腾讯第三方支付平台，我又与腾讯客服联系，腾讯客服让我与苹果公司联系，你们这样互推责任有意义吗，我们生活也不容易，都是打工的，我希望腾讯官方给我申请退款！万分感谢！。</t>
  </si>
  <si>
    <t>2019/10/04 10:35:54</t>
  </si>
  <si>
    <t>投诉人 柴先生        投诉对象  好分期（北京微财科技有限公司）        涉诉金额  2 700 元    问题类型    诉求类型投诉详情  签合同的时候没发现手续费的问题。要求减免高额手续费及服务费及后期利息。申请提前还清这笔高利贷并销户</t>
  </si>
  <si>
    <t>2019/10/04 10:34:59</t>
  </si>
  <si>
    <t>在该平台借款2000砍头息费用500多，前后用了十几次现在无力偿还高额费用求协商解决。</t>
  </si>
  <si>
    <t>2019/10/04 10:34:35</t>
  </si>
  <si>
    <t>上个月也是发工资处理的最低，这个月刚也说了晚点，然后催收的说必须10点处理进来，不然上征信，我说了上征信没事，我会在18号处理最低！，烦不烦，10:10之前就三个电话了，用的座机号，根本打不进去的座机号，又不是不还，一直打电话有意思，又不恶意逃避！处理时利息还不是一样处理了！别一直打电话，很烦！。</t>
  </si>
  <si>
    <t>2019/10/04 10:34:21</t>
  </si>
  <si>
    <t>九月26号在钱站APP申请的借款，直到十月四号才下的款，但是已经不用这个钱了，想提前还款，打开APP一看提前还款要还1340元，并且合同上显示我借了1197元，但是我的卡上只到账了900元，并且当时借的也是900元怎么就变成了1197，还没用就要无缘无故要多还440元，这算不算是砍头息和高利息，并且还款日期还是从26号开始算的，无形中十天的利息就是白白给的。</t>
  </si>
  <si>
    <t>2019/10/04 10:33:28</t>
  </si>
  <si>
    <t>要求退还所有不合法的利息并且销账，同时在该平台申请的六便士，借款2000就要所谓的会员卡540元，29天以后就要还2060，今天已经到期现要求还款日前客服主动联系我退还会员费，协商还款，如果协商无果本人会依靠法律武器保护自己的权益，如果因为协商不及时造成骚扰我的亲朋好友，本人会立即收集证据，去派出所备案。</t>
  </si>
  <si>
    <t>2019/10/04 10:33:15</t>
  </si>
  <si>
    <t>投诉人周先生投诉对象交易猫涉诉金额406元问题类型诉求类型投诉详情平台处理一个我这边证据确凿的单子能不能不要故意拖，能挽回点交易猫的信用吗，之前一直在平台买东西，那些平台的不作为我也就没有在意，首先，就是10.3，也就是昨天中午我大概11点买的号，还特意弄了一个vip快速发货好了，到了12点半左右才过来发货，行这个我就忍了，客服可能有点忙，然后买的账号密码发货到我这里之后，我就去登陆了，结果显示账号密码错误，我一愣神，有点懵，第一次碰到这种情况，但是当时的发货客服已经联系不到了，我就开始了仲裁，然后等等愣愣</t>
  </si>
  <si>
    <t>2019/10/04 10:33:01</t>
  </si>
  <si>
    <t>没得到解决，后被多次骚扰，今日催收小哥言语恶劣，本人2019年1月13日在快贷平台上贷款6000元、分12期的每期680、年利息36%。</t>
  </si>
  <si>
    <t>2019/10/04 10:32:58</t>
  </si>
  <si>
    <t>本人与来分期作为周转应急使用，一直保持与来分期良好的合作，从未发生逾期，也接受来分期的利息以及管理费用，近期由于本人需要资金周转重新登入来分期平台想借款以解决周转问题，但是有额度借不出来，导致资金周转困难从而影响到我的生活，请该平台恢复我的借款额度！。</t>
  </si>
  <si>
    <t>2019/10/04 10:32:56</t>
  </si>
  <si>
    <t>投诉人张先生投诉对象支冬金,杭州聪明网络科技有限公司涉诉金额10000元问题类型诉求类型投诉详情一直投资这个平台，不曾想投多了反而跑路了。</t>
  </si>
  <si>
    <t>2019/10/04 10:31:27</t>
  </si>
  <si>
    <t>投诉人廖女士投诉对象时光分期涉诉金额1145元问题类型诉求类型投诉详情还款第九期今天逾期一天，催收人员要求我必须12点还上，不然会联系到我通讯录好友，实在是有困难一时周转不过来所以逾期了，希望可以给我时间，协商一下还款时间，不要去骚扰我的通讯录好友。</t>
  </si>
  <si>
    <t>2019/10/04 10:31:23</t>
  </si>
  <si>
    <t>牛人有品高额砍头息最后一期实在无力支付，要求450元合法利息消账。</t>
  </si>
  <si>
    <t>2019/10/04 10:30:46</t>
  </si>
  <si>
    <t>经常发短信骚扰我，还没办法取消，全部是推借的是非法网贷平台，请立刻停止骚扰，否则后果自负。</t>
  </si>
  <si>
    <t>2019/10/04 10:30:45</t>
  </si>
  <si>
    <t>退单后一直未收到任何退款信息，之后也有一笔候补订单退单，申请后都是秒到的。</t>
  </si>
  <si>
    <t>2019/10/04 10:30:43</t>
  </si>
  <si>
    <t>我在原车贷贷吧借款40000，到账37300元，分36期还款每期要还1811多元，需要还65000多，现在贷吧把债务转给畅快贷现在变成了48000元，感觉无力偿还，希望畅快给我减掉高额利息，减少我还款压力以便正常偿还。</t>
  </si>
  <si>
    <t>2019/10/04 10:30:22</t>
  </si>
  <si>
    <t>投诉人王女士投诉对象卡卡贷涉诉金额1000元问题类型诉求类型投诉详情在维信卡卡贷有两笔贷款，到了还款日，不允许主动还款，把钱存入银行卡不扣款，导致逾期，收取违约金，请求处理，多余违约金我不会付一分，还有就是乱扣1499。</t>
  </si>
  <si>
    <t>2019/10/04 10:29:48</t>
  </si>
  <si>
    <t>我从没说过不还，跟客服己协商还款金额，催收竟然爆我通讯录，本人其平台道歉，态度恶劣，继续骚扰通讯录好友，给本人造成名誉损失，要求其停止骚扰并道歉。</t>
  </si>
  <si>
    <t>2019/10/04 10:26:27</t>
  </si>
  <si>
    <t>借款2800元，分4期还完，每期8天时间，总共要还4000多元，现已经还了3期共3000多，已经超过本金加利息总和，石头管家实属714套路贷，高利贷，并且现在暴力催收，还打电话发短信恐吓威胁亲友，现要求该平台与本人协商还款事宜，本金销账。</t>
  </si>
  <si>
    <t>2019/10/04 10:26:24</t>
  </si>
  <si>
    <t>点点通公司申请借款金额1737元，到账金额也是1737元现在本人已经偿还2期共1592元，现在剩余最后一期796元，加上逾期费用841元，但是点点通客服态度极其恶劣，每次协商都是要求我半小时内处理还款。</t>
  </si>
  <si>
    <t>2019/10/04 10:26:17</t>
  </si>
  <si>
    <t>本身应该昨天进行还款，但是因为资金未到账未处理，联系客服电话未打通，想着今天催收联系的时候进行协商还款！不给说话机会！直接威胁联系第三方，暴力催收！！！。</t>
  </si>
  <si>
    <t>2019/10/04 10:25:50</t>
  </si>
  <si>
    <t>开房10分钟，应酒店环境不好不干净，卫生打扫不到位，而且空调没有遥控，，与卖家沟通取消订单，卖家以不会操作的理由拒绝，不予以取消订单，一直推脱，最后超出了有效退款时间，导致无法退款，且酒店卖家态度极差。</t>
  </si>
  <si>
    <t>2019/10/04 10:25:45</t>
  </si>
  <si>
    <t>投诉人谌先生投诉对象玖富涉诉金额20330元问题类型诉求类型投诉详情玖富万卡借了1万5千6百，已经还了一期1767.9，现在提前结清还需要还款金额18700元，已经严重超出国家规定利息标准，联系玖富客服协商减免利息无果，那我只能起诉处理如果有骚扰联系人情况报案处理。</t>
  </si>
  <si>
    <t>2019/10/04 10:24:54</t>
  </si>
  <si>
    <t>投诉人黄先生投诉对象点点通,通联支付涉诉金额2350元问题类型诉求类型投诉详情通联支付违规为这些非法的高利贷提供支付平台，并且在我已经还清的情况下还在为这些平台提供服务并且想从我的账户中扣款，其次点点通我在8月1号到7号的过程中跟你们协商好加100销账的情况下还说我未还清，还在利用阴阳合同说我欠款，即使是按照法定的24%，37天我也只需要支付55元的利息，36%我也只支付82元，就算按月，两个月我也只要付80元，我支付了你们100的利息加本金还不嫌够，还在疯狂的骚扰我和我的家人朋友，我已经播打110报警，警</t>
  </si>
  <si>
    <t>2019/10/04 10:24:51</t>
  </si>
  <si>
    <t>投诉人肖先生投诉对象洋钱罐涉诉金额3000元问题类型诉求类型投诉详情本人借洋钱罐3000元，已还一期，现第二期未还，表示最近资金周转有点困难，协商缓两天，表示愿意承担一部分逾期费用，协商无用暴力催收，恐吓威胁家人，爆通讯录。</t>
  </si>
  <si>
    <t>2019/10/04 10:24:34</t>
  </si>
  <si>
    <t>投诉人关振锋投诉对象自由摩卡,超级马力贷涉诉金额2000元问题类型诉求类型投诉详情本人在9月1日通过自由摩卡，超级马力贷借款2000元，交了500元前期费用，一定强制要交的500所谓会员卡的砍头费用，实际到账1500元，期限一个月，还款2060元，超过国家规定利息，现本人债务爆发无力偿还高额利息，要求联系我协商本金加合理利息消帐，协商不好我会继续向上级投诉，一定投诉到底。</t>
  </si>
  <si>
    <t>2019/10/04 10:24:20</t>
  </si>
  <si>
    <t>投诉人谢女士投诉对象掌众金服涉诉金额300元问题类型诉求类型投诉详情闪电借款平台买了财神黑卡，变相砍头息，不给额度，还没得退款，。</t>
  </si>
  <si>
    <t>2019/10/04 10:24:05</t>
  </si>
  <si>
    <t>投诉人王先生投诉对象钱咖,信用管家涉诉金额3500元问题类型诉求类型投诉详情借款3500元可以分期4期,下款成功才显示所谓的的4期就是一个月的4期，7天一个期限，一共要还4648元！！第一期还款1949.5元，剩余三期每次还款899.5元，本人已经还款3期，放款方主体为：北京无相创利科技有限公司通过天眼查北京无相创利科技有限公司的业务范围为：技术推广服务，企业依法自主选择经营项目，开展经营活动；依法须经批准的项目，经相关部门批准后依批准的内容开展经营活动；不得从事本市产业政策禁止和限制类项目的经营活动，《最</t>
  </si>
  <si>
    <t>2019/10/04 10:24:04</t>
  </si>
  <si>
    <t>10月3日晚以抢票的方式购买郁南至广州南高铁票，在没有任何操作的情况下，10月4日早上系统显示购买加速包20元。</t>
  </si>
  <si>
    <t>2019/10/04 10:23:52</t>
  </si>
  <si>
    <t>易借逾期4天，客服打电话来威胁还款，说11.00不还爆通讯录。</t>
  </si>
  <si>
    <t>2019/10/04 10:23:44</t>
  </si>
  <si>
    <t>投诉人陈先生投诉对象瓜子二手车涉诉金额61000元问题类型诉求类型投诉详情本人在2019年8月19日与瓜子二手车平台签订二手车保卖协议，协议规定瓜子二手车平台在45天内完成，如45天内无法完成交易，将由瓜子二手车进行背户处理，现已超过45天，瓜子并未按合同规定完成过户，瓜子这种行为已属于欺骗消费者的行为，在收车过程中，各种虚假承诺，保卖合同签订后，再无任何跟进，完全至消费者的权益不顾，现要求瓜子二手车平台立刻按合同完成过户事宜，并且按合同规定赔偿。</t>
  </si>
  <si>
    <t>2019/10/04 10:23:37</t>
  </si>
  <si>
    <t>投诉人车女士投诉对象小当家涉诉金额495元问题类型诉求类型投诉详情小当家APP打不开，无法还款，电话打给我说逾期，不是不还而是还不上。</t>
  </si>
  <si>
    <t>2019/10/04 10:23:26</t>
  </si>
  <si>
    <t>投诉人邹富行投诉对象中金支付涉诉金额59元问题类型诉求类型投诉详情本人不明白中金支付四川分公司为何在2019年10月4日6点15分在我农业银行扣除了59.46元。</t>
  </si>
  <si>
    <t>2019/10/04 10:23:23</t>
  </si>
  <si>
    <t>投诉人韩女士投诉对象小米贷款,马上金融涉诉金额7500元问题类型诉求类型投诉详情小米贷款，马上金融，高利贷，利息超过国家规定，提前还款不减免利息，签订制式合同。</t>
  </si>
  <si>
    <t>2019/10/04 10:23:21</t>
  </si>
  <si>
    <t>投诉人刘庭兵投诉对象小浦优客涉诉金额296元问题类型诉求类型投诉详情在我不知情的情况下钱不知不觉就少了，这属于偷盗，小浦优客有必要负法律责任。</t>
  </si>
  <si>
    <t>2019/10/04 10:23:17</t>
  </si>
  <si>
    <t>投诉人郭先生投诉对象造艺科技涉诉金额299元问题类型诉求类型投诉详情拇指下款，无缘无故扣我299打客服说什么是报告单，我都没借到钱就扣我299，我说能不能退，他们客服就一直回避这个问题，让我去app里面多看看他们推荐的app，我严重要求退款。</t>
  </si>
  <si>
    <t>2019/10/04 10:23:09</t>
  </si>
  <si>
    <t>投诉人佘先生投诉对象给你花涉诉金额4525元问题类型诉求类型投诉详情网贷几年债台高筑，无奈向家里坦白，年迈的父母还是决定给一笔钱帮我一把，从网贷这个无尽深渊拉回来，在给你花平台借款10000元已还款剩4期，提前结清只给减免后续利息，然而每期242.84服务费仍需继续收取！打电话给客服协商未果，服务费一分不能减免，走投无路只能投诉相关部门，本次诉讼请求:提前还款减免后续利息及服务费。</t>
  </si>
  <si>
    <t>2019/10/04 10:22:17</t>
  </si>
  <si>
    <t>投诉人 陶先生        投诉对象  分期通        涉诉金额  249 元    问题类型    诉求类型投诉详情  不明不白的从卡里扣了249块钱 客服也打不通 我打114 他们说没有叫分期通的</t>
  </si>
  <si>
    <t>2019/10/04 10:22:12</t>
  </si>
  <si>
    <t>实际到账1640，还款2050，利息不符合规定范围，要求按照规定利息销账。</t>
  </si>
  <si>
    <t>2019/10/04 10:21:42</t>
  </si>
  <si>
    <t>投诉人张刚远投诉对象兴业银行信用卡,兴业银行,兴业涉诉金额20000元问题类型诉求类型投诉详情我已经在中午还完应还款项，为何下午我还要进行分期，要求取消分期并返还分期费用。</t>
  </si>
  <si>
    <t>2019/10/04 10:21:30</t>
  </si>
  <si>
    <t>投诉人林敏投诉对象时光分期涉诉金额1238元问题类型诉求类型投诉详情本人在时光分期2019年1月23日贷款11000元，每月按时还款没有逾期，现在本人出现资金周转困难，没有办法还款，已逾期，时光分期工作人员发短信恐慌，要发实体照片和视频，要我出名，我不能接受这种违法隐私行为，希望贵平台可以帮助我。</t>
  </si>
  <si>
    <t>2019/10/04 10:21:08</t>
  </si>
  <si>
    <t>暴力催收，恐吓，并不是不还钱，就是这两天之内还，还爆通讯录，影响身边的人。</t>
  </si>
  <si>
    <t>2019/10/04 10:20:58</t>
  </si>
  <si>
    <t>9月29号在皆大欢喜借款2503元实际到帐1501.8元10月3号还款期到软件无法处理还款，也没有客服联系方式，每日涨75元利息，不得骚扰，并本金销帐。</t>
  </si>
  <si>
    <t>因为最近资金周转不足，要等到15号才能换款，跟对方协商不行各种威胁爆通讯录。</t>
  </si>
  <si>
    <t>2019/10/04 10:20:45</t>
  </si>
  <si>
    <t>AC米兰体恤，购买后有味道没有穿，先进行清洗，掉毛毛非常严重，且洗了近20遍，依然掉毛！下图是清洗15遍后的照片，一开始没有想到会这样严重，所以没有拍照，一直洗，猜想会好，但依然这样！这样怎么穿，不穿一身毛吗，会不会过敏啊！太差劲了！经常从唯品上买东西，这次是真差！。</t>
  </si>
  <si>
    <t>2019/10/04 10:20:27</t>
  </si>
  <si>
    <t>本人在贷上钱里的二郎神申请的3000元借款到账金额2250，750元的砍头费，一个月期限要求我还3000，超出国家规定利率，已还两期1500元，后两期偿还不起，与客服协商要求还本金，对方不予采纳要求我再还1500加逾期费用。</t>
  </si>
  <si>
    <t>2019/10/04 10:19:49</t>
  </si>
  <si>
    <t>2019年9月25日我在武夷山机场等待飞机，忽然有一位穿机场工作服装的人员办理航旅之家会员卡，说是能够享受头等舱的休息室，后来发现根本不是就是单独租的一间屋子，也没有优先登机另外说买机票火车票能够优惠，说冲1680能够享受3000的优惠券，结果我定火车票说不能优惠，而且电话打了好几遍才有人接，办卡人员收了我快递费发票也没邮寄，回到家越想越气，什么头等舱休息室，沙发罩都脏兮兮的，另外我本想着升舱，结果发现他们根本没有这个业务，就是想以后让你们从他哪里订票，而且必须打电话才行。</t>
  </si>
  <si>
    <t>2019/10/04 10:19:18</t>
  </si>
  <si>
    <t>招联金融在能联系到我本人的情况下面，骚扰我通讯录的电话，现在已经打到我老公那边去了，你们这样去骚扰真的好吗，钱我已经在凑了，如果再去骚扰我通讯录任何一个电话，我将投诉到底。</t>
  </si>
  <si>
    <t>2019/10/04 10:18:56</t>
  </si>
  <si>
    <t>但是对公七笔还款，只销账五笔，本人也已经留言提交转账记录。</t>
  </si>
  <si>
    <t>2019/10/04 10:18:39</t>
  </si>
  <si>
    <t>小通商城在没有任何通知随意扣款，并且不知道这个小通商城是什么平台，如何在没输入密码的情况下扣了钱的。</t>
  </si>
  <si>
    <t>2019/10/04 10:18:09</t>
  </si>
  <si>
    <t>我个人已经取消订阅了，然后他还在跟我发消息，说24小时内处理，这是截图。</t>
  </si>
  <si>
    <t>2019/10/04 10:18:06</t>
  </si>
  <si>
    <t>京东白条国庆期间仍暴力催收，骚扰不断.即使客户积极协商全额还款仍不依不饶，与之前冒充公检法等事项如出一辙，可见贵司无视法律法规，无视客户权益，对客户威胁恐吓污蔑的同时仍然肆意妄为.甚至说上门催收等等.请相关监管部门严格查处并严肃处理.此事客户将追究到底.涉及电话号码051667012545。</t>
  </si>
  <si>
    <t>2019/10/04 10:17:33</t>
  </si>
  <si>
    <t>合同金额与到账金额不符，给客服打电话，客服说解决不了，到还款日，打电话暴力催收，。</t>
  </si>
  <si>
    <t>2019/10/04 10:16:33</t>
  </si>
  <si>
    <t>投诉人宋女士投诉对象百事普惠涉诉金额299元问题类型诉求类型投诉详情无扣费说明，盗刷银行卡，莫名其妙扣了299元，请求退款。</t>
  </si>
  <si>
    <t>2019/10/04 10:16:23</t>
  </si>
  <si>
    <t>投诉人孙女士投诉对象平安易贷涉诉金额4500元问题类型诉求类型投诉详情一开始说1500是看看还款能力，后来说是审核没通过要在交6000的费用才能拿到下款，后来一直交涉交了3000，说能到账，钱也交了，第二天客服就不理人了。</t>
  </si>
  <si>
    <t>2019/10/04 10:16:15</t>
  </si>
  <si>
    <t>拨打客服电话说今天早上9点之前恢复一直没有解决。</t>
  </si>
  <si>
    <t>2019/10/04 10:15:40</t>
  </si>
  <si>
    <t>投诉人庄俊杰投诉对象手机借钱,多宝分期涉诉金额6397元问题类型诉求类型投诉详情手机借钱上边的多宝分期借4000分4期，每期只有15天，4期共计利息2397元，年利率高达360%，远超国家法定24%12倍，远超高利贷36%界定标准10倍，且还款日无法手动还款造成逾期，至今无客服联系，不知道后期会不会以此为理由进行涉黑类暴力催收！。</t>
  </si>
  <si>
    <t>2019/10/04 10:15:24</t>
  </si>
  <si>
    <t>投诉人叶先生投诉对象用钱宝涉诉金额3500元问题类型诉求类型投诉详情因周转问题我于2019年7月14日申请用钱宝APP贷款共计3500元，我想提前结清，但是用钱宝APP上没有提前还款选项，不让提前结清，并且经计算，借款3500元，六个月总计还款要4129.98元，年息达59.15%，不给提前结清以及利息过高均违反了国家有关规定，现申请提前结清，并且减免本金及本期利息以外的其他违规费用。</t>
  </si>
  <si>
    <t>2019/10/04 10:15:13</t>
  </si>
  <si>
    <t>随手记福贷,账户名称：深圳仁恒资产管理有限公司。</t>
  </si>
  <si>
    <t>2019/10/04 10:14:34</t>
  </si>
  <si>
    <t>我是开的流转账收款，被微信把支付冻结了，我给客户转账转不出去，提现也提现不了，希望给解决一下，谢谢！。</t>
  </si>
  <si>
    <t>2019/10/04 10:14:33</t>
  </si>
  <si>
    <t>订单9*************1申请售后一次一个价，昨天申请因为个人原因取消，今天再次申请，审核通过后发现发现退款金额直接少了10.5块，请京东到家给个解释。</t>
  </si>
  <si>
    <t>2019/10/04 10:14:12</t>
  </si>
  <si>
    <t>我仅在小浦优客app上注册了一些信息，并没有主动要求缴费，结果等我卡里有钱的时候他就自动给我扣除了296块钱的服务费。</t>
  </si>
  <si>
    <t>2019/10/04 10:12:36</t>
  </si>
  <si>
    <t>现在催收还敢这么暴力吗，动不动就曝光，凭什么曝光。</t>
  </si>
  <si>
    <t>2019/10/04 10:12:31</t>
  </si>
  <si>
    <t>投诉人李先生投诉对象信用管家,存钱柜涉诉金额3375元问题类型诉求类型投诉详情信用管家里的金钱保申请3375元市实际要还为4600，30天分4期，每期1151.46元，本人已经还了3期，由于现在本人债台高筑，实在无力偿还如此高昂的利息，现本人要求还清本金及合法利息商家给销账。</t>
  </si>
  <si>
    <t>2019/10/04 10:12:19</t>
  </si>
  <si>
    <t>投诉人周女士投诉对象小赢卡贷涉诉金额5000元问题类型诉求类型投诉详情小赢卡贷冒充公检法寄律师函到户籍所在地，本身是高利贷砍头息并且骚扰不断，对客户及家人造成严重影响.但投诉从未得到任何反馈，暴力催收依旧，其工作人员甚至自称按照公司安排处理.由此可见，贵司对相关法律法规无视的严重程度.。</t>
  </si>
  <si>
    <t>2019/10/04 10:12:09</t>
  </si>
  <si>
    <t>投诉人 谭先生        投诉对象  微粒贷        涉诉金额  12 000 元    问题类型    诉求类型投诉详情  微粒贷违约一天就开始催收 而且态度恶劣，我因生意被骗几十万 已联系微粒贷沟通处理，但客服根本没当回事 直说还钱，逼我去借 否则骚扰家人 爆通讯录，上门催缴 加利息 真是想怎么弄怎么弄，无所不用 现在真后悔当初在微粒贷借款 用了几年了 这么对待老客户，简直堪比黑社会</t>
  </si>
  <si>
    <t>2019/10/04 10:11:59</t>
  </si>
  <si>
    <t>投诉人郭先生投诉对象52租机涉诉金额2933元问题类型诉求类型投诉详情下单之后，打电话就一直没人接，之后还是联系不到客服，一直没人接电话，现在都3天了，还没人理。</t>
  </si>
  <si>
    <t>2019/10/04 10:11:15</t>
  </si>
  <si>
    <t>投诉人华先生投诉对象银闪奇异涉诉金额1000元问题类型诉求类型投诉详情借款1000元一个月还30，相当于3%的利率，一年就是36%，打高利贷的擦边球。</t>
  </si>
  <si>
    <t>2019/10/04 10:10:56</t>
  </si>
  <si>
    <t>投诉人孙先生投诉对象Wecash闪银涉诉金额650元问题类型诉求类型投诉详情我需要时间，本来兼职的工资有钱的，但是国庆节他们那边财务转不了帐，只能国庆过后才能给我转账。</t>
  </si>
  <si>
    <t>2019/10/04 10:09:22</t>
  </si>
  <si>
    <t>投诉人刘先生投诉对象你我贷涉诉金额1070元问题类型诉求类型投诉详情你我贷国庆期间还打电话过来催收，由于在外下乡加上工资延迟发放，希望可以晚两天还款，用你我贷两三年了，第一次逾期，还希望贵公司理解。</t>
  </si>
  <si>
    <t>2019/10/04 10:08:56</t>
  </si>
  <si>
    <t>投诉人 颜先生        投诉对象  分期通        涉诉金额  249 元    问题类型    诉求类型投诉详情  诱导用户购买vip 且支付时直接扣款无须支付密码 其产品的核心内容“拒就赔”服务无法使用</t>
  </si>
  <si>
    <t>2019/10/04 10:08:49</t>
  </si>
  <si>
    <t>投诉人程女士投诉对象玖富涉诉金额2630元问题类型诉求类型投诉详情骚扰家人，爆通讯录，利息太高，要求协商还款，并不要骚扰家人。</t>
  </si>
  <si>
    <t>利率高，电话威胁，工作人员服务态度不好，暴力催收，。</t>
  </si>
  <si>
    <t>2019/10/04 10:08:40</t>
  </si>
  <si>
    <t>投诉人陈先生投诉对象妥妥e行,高德涉诉金额8元问题类型诉求类型投诉详情我是一在在妥妥注册的快车司机，本人在9月30号晚上打开妥妥e行，妥妥该平台当时给我派了一个订单，从起点接到乘客然后送到终点，全程下来是7.63毛钱，当时乘客已经付费了，但是过了两天，该平台从我余额扣了这笔费用，打电话多次给妥妥平台的客服，沟通了解问题，该平台一口咬定乘客投诉没有乘车，平台在没有任何有力的证据下，乱扣我辛辛苦苦在半夜三更乘客支付的费用，打电话给平台沟通，平台态度极其恶劣。</t>
  </si>
  <si>
    <t>2019/10/04 10:08:03</t>
  </si>
  <si>
    <t>立借平台，套路贷，暴力催收，高利息，不平等还款金额，借10000分12期还要136000，而却前3期还款金额大到13000，明显的套路贷，国家扫黑除恶严打期间顶风作案，爆通讯录，暴力催收，恐吓，通话录音我都是保存好的随时准备报警，要求商家协商，修改利息，修改还款期数正常金额，停止骚扰，暴力催收。</t>
  </si>
  <si>
    <t>2019/10/04 10:08:00</t>
  </si>
  <si>
    <t>投诉人范立男投诉对象树林分期,信用管家涉诉金额3000元问题类型诉求类型投诉详情树林分期分期高利贷，砍头息，借3000到2200，四个星期还3080.已经还了3期。</t>
  </si>
  <si>
    <t>2019/10/04 10:07:43</t>
  </si>
  <si>
    <t>投诉人狄先生投诉对象立借涉诉金额3000元问题类型诉求类型投诉详情立借平给高利贷，打广告，砍头息太高想协商还款立借平台说跟他们没一点关系。</t>
  </si>
  <si>
    <t>2019/10/04 10:07:35</t>
  </si>
  <si>
    <t>投诉人 任先生        投诉对象  钱站        涉诉金额  1 770 元    问题类型    诉求类型投诉详情  客服态度恶劣，暴力催收，恐吓威胁，骚扰。</t>
  </si>
  <si>
    <t>2019/10/04 10:07:26</t>
  </si>
  <si>
    <t>投诉人华先生投诉对象及贷涉诉金额225元问题类型诉求类型投诉详情10月1日及贷旗下的智享贷客服打电话跟我协商还款，app显示要还2800,答应只要还2575就销账，其中2500是借款本金，75是一个月的利息，要知道一个月的利息就是3%，那一年就是36%，已经和高利贷利息持平，10月2联系客服，10月4日仍显示有欠款，是不是催债人员欺骗了我。</t>
  </si>
  <si>
    <t>2019/10/04 10:07:20</t>
  </si>
  <si>
    <t>的贷款软件，借款1875元,28天分4期，共需还款2565，严重超过国家规定利率，放款方为畅捷支付，在此要求以及国家规定利率处理，我已向中国支付清算中心投诉，如不处理，我将继续投诉到底！。</t>
  </si>
  <si>
    <t>2019/10/04 10:07:15</t>
  </si>
  <si>
    <t>好易贷app由趣花分期推送，杭州市民卡放款！借款3000元，砍头息900元，实际到账2100元，周期6天！已经续期一次了，，我向其表达了不合理，并提出偿还本金！并再次提出此诉求，对方拒绝并不再理睬我，我多次联系均无反应！故投诉至贵平台以期协助处理。</t>
  </si>
  <si>
    <t>2019/10/04 10:07:00</t>
  </si>
  <si>
    <t>投诉人周先生投诉对象凡普信涉诉金额120000元问题类型诉求类型投诉详情2019年9月结清凡普快车车贷后与客服多次联系至今没有收到抵押手续和结清证明。</t>
  </si>
  <si>
    <t>2019/10/04 10:06:23</t>
  </si>
  <si>
    <t>投诉人郭先生投诉对象招联金融涉诉金额10200元问题类型诉求类型投诉详情招联金融一直打着循环额度是只要有额度就可以循环使用，没有任何逾期和不良行为，最近登陆App还款看到额度以冻结，这个属于什么，说好的循环额度呢，这个不是欺诈，你们评估怎么评估的，我都是一直按时还款从没逾期过，你们没有通知就冻结了，为什么宣传的时候说的是只要还进去额度立刻就可以使用，不用等待审核，现在你们评估。</t>
  </si>
  <si>
    <t>2019/10/04 10:05:38</t>
  </si>
  <si>
    <t>本人于2019年10月4日在宁夏中卫机场乘机时，在办理登机牌时候身着机场工作服人员带我来到自助取票机帮我取票后，劝说购买航旅之家VIP黑金卡，客服人员却说卡中的2000元只能每次分批抵扣，约几十元不等，不可一次性抵扣，办理VIP会员卡可充值998可赠送1002元，即2000元余额可购买36家航空公司机票包括，，所有票价是普通平台的便宜，可以持本卡在她提供的50家机场以及高铁站享受贵宾休息室休息，办卡后加了机场工作人员微信，她微信给我发了会员卡使用说明，可就在打电话咨询客服订机票时，客服人员却说，卡中的200</t>
  </si>
  <si>
    <t>2019/10/04 10:04:54</t>
  </si>
  <si>
    <t>逾期费用高达百分之十几！！如果你们能给出一个合理合法的逾期费用公式。</t>
  </si>
  <si>
    <t>2019/10/04 10:04:47</t>
  </si>
  <si>
    <t>本人在2018年12月份申请了60000元贷款，但是合同上却是77922.08，实际到帐是60000元，存在断头息的情况，还有就是其在最初贷款时没有说明有服务费的情况，而且总还款费用达到107701.11元，到现在已还24242.45元，后续费用需减免，按正常费用还款通过网页链接下载的APP，下载链接未保存；支付的费用有：信息咨询服务费8571.43元，管理咨询服务费9545.38元，首期服务保障金9350.65元，服务保障金3896.08元，这些费用不知情；借款期限是三年；贷款是通过银行卡的方式发放，第三</t>
  </si>
  <si>
    <t>2019/10/04 10:04:33</t>
  </si>
  <si>
    <t>本人从未开通过该平台的黑钻业务，该平台连续三个月从我账户里扣钱。</t>
  </si>
  <si>
    <t>2019/10/04 10:03:08</t>
  </si>
  <si>
    <t>闪银借贷，放款2100后，以保险费，担保费等名目费用，从帐户划走400多.然后还款时，依照2100全额收取利息，此形为于最高法，公安部下发的套路贷形为吻合。</t>
  </si>
  <si>
    <t>2019/10/04 10:03:05</t>
  </si>
  <si>
    <t>在胖胖有米app填写资料后，app中并未标明利息及天数，直接出了账单5天还款2500元，而实际到账为1375元，没几日app打不开，接到骚扰电话无数，收到很多威胁还款让加qq的消息，难辨真假，威胁不断，出言不逊，甚至辱骂亲属，内容不堪入目，本人目前经济困难，也无力承担此高额利息及费用，但本人有还款意向，愿以本金1375元加上200利息用来结清所有账目，再多的费用本人也没有能力去承担了。</t>
  </si>
  <si>
    <t>2019/10/04 10:02:47</t>
  </si>
  <si>
    <t>莫名被限制接单，说我有异常报备又不提供具体原因，直接限制我接单，客服不不能提供具体原因，。</t>
  </si>
  <si>
    <t>2019/10/04 10:02:39</t>
  </si>
  <si>
    <t>投诉人 曲女士        投诉对象  聚福钱包        涉诉金额  299 元    问题类型    诉求类型投诉详情  私自扣款299。未经允许。并不退还。强制收取</t>
  </si>
  <si>
    <t>2019/10/04 10:01:50</t>
  </si>
  <si>
    <t>投诉人杨先生投诉对象51人品涉诉金额13000元问题类型诉求类型投诉详情催收的客服，社会上请来的吧，都说了下午，还必须要我在12点之前还，我下午都没有，后天还，来你继续打电话来要挟，看似特别正规，居然是这个样子，放款前都砍头息。</t>
  </si>
  <si>
    <t>2019/10/04 10:01:11</t>
  </si>
  <si>
    <t>9月20日，借好易贷平台3000元，实际到账2100元，付款方为杭州市民卡有限公司，砍头息高达900元，周期为6天，实属高利贷，第一周期为9月26日到期，还款日当天该公司催收人员威胁爆通讯录，本来无奈续期900元，第二周期于10月2号到期，同样是还款日当天威胁，本人这次并没有妥协，现已经逾期2天，逾期费用高达361，催收号码是180******49，各种威胁恐吓，本人感觉人身安全受到了威胁。</t>
  </si>
  <si>
    <t>2019/10/04 10:00:50</t>
  </si>
  <si>
    <t>天安财产保险股份有限公司在我不知道的情况下和高利贷捆绑一起买了保险金额900元要求退保不然就到银保监会在次投诉。</t>
  </si>
  <si>
    <t>2019/10/04 10:00:39</t>
  </si>
  <si>
    <t>本人于9月4号牛人有品借款1900元，，实际到账却只有1368元分两期还完，一期各还969，第一期还完由于实在承受不住这么高的利息无力偿还，希望协商还款本金加合理利息450元消账，并且停止对我的朋友亲人的非法骚扰。</t>
  </si>
  <si>
    <t>2019/10/04 10:00:32</t>
  </si>
  <si>
    <t>本人于8月25在信用管家平台里面的石头管家申请了一笔贷款3375，分4期还一期为1151.46，最后一期因本人无力偿还高额利息而导致逾期，等到10月1号有钱还的时候却发现还款失败，今天发来恐吓短信。</t>
  </si>
  <si>
    <t>2019/10/04 10:00:11</t>
  </si>
  <si>
    <t>另外还要本金加利息钱，请聚投诉替我们广大受害群众声讨。</t>
  </si>
  <si>
    <t>2019/10/04 10:00:02</t>
  </si>
  <si>
    <t>我从五月份创业低谷之后就心里压抑受不了，住了院，以至于没有了能力该偿还账单，9月初我出了院，就找了一分工作，现在为止还不到一个月的时间，而且工地工资不是每月都能按时结清，逾期后第三天我就给客服打电话申请分期，可是却遭到拒绝，而现在该交通银行每天都会十几个电话打给我，我也要工作挣钱来还账，可是你们天天给我打电话被老板知道看到我拿什么去还，我接了后就提出了我的个人解决方案，说分期还款，可就是不同意，我不知道该怎么办，所以还希望该平台能给予帮助，欠债还钱天经地义，我没有不还的心思，只是现在好不容易找了一分工作，他</t>
  </si>
  <si>
    <t>2019/10/04 09:59:57</t>
  </si>
  <si>
    <t>本人于现金巴士8月25号申请的1500元，结果到账1095元，一月后要求我归还1545，砍头息，超出国家规定，要求协商，打客服电话后对方不予理会，并说产生的逾期费用自己承担，现要求减掉砍头的费用及利息。</t>
  </si>
  <si>
    <t>2019/10/04 09:59:45</t>
  </si>
  <si>
    <t>我不知道兴业银行信用卡是以什么定义一年扣年费的，如果我一年没有刷满6比业务，距离下半年还有4个月，就是我没有刷满为什么不已短信告知，或微信通知，这是一件很简单的事情，但是没有，故意收收取年费，我打电话问客服可不可以以别的方式减免，客服铿锵有力的告诉我不行，没有商量的余地，体验感非常差，现在我希望可以减免今年年费200元，如不可以我会继续投诉给银监会和市长热线维护我的合法权益。</t>
  </si>
  <si>
    <t>2019/10/04 09:59:42</t>
  </si>
  <si>
    <t>我今天逾期弟三天了，确实没钱，家里有老人做手术了，想这两天凑凑一次结清了，非让我今天十点处理要不就打我联系人电话十分钟一个。</t>
  </si>
  <si>
    <t>2019/10/04 09:59:23</t>
  </si>
  <si>
    <t>豹子贷扣款50元请求退款，卡里唯一的50也被扣了，太没道德了。</t>
  </si>
  <si>
    <t>2019/10/04 09:58:40</t>
  </si>
  <si>
    <t>存在砍头子，逾期一天客服打电话就跟狗一样咬人，直接命令12点之前还，我说下午6点前，还不行，不行爱咋滴咋滴，今还就不还，明天再说。</t>
  </si>
  <si>
    <t>2019/10/04 09:58:19</t>
  </si>
  <si>
    <t>10月4日，本人在中卫机场机场登机，被推销vip黑金卡，开始时并没有告知说是买机票抵消几十块钱，以为是机场人员就相信了，结果上网一搜说是虚假欺骗，我要求退卡退钱，工作人员竟然不给退，说钱进了公司就一律不给退了，这是什么理论，请相关部分解决。</t>
  </si>
  <si>
    <t>投诉人娄女士投诉对象分期通涉诉金额249元问题类型诉求类型投诉详情因为资金周转病急乱投医，下载分期通APP，注册申请出来额度，直接页面是可提现5000，分多少期都出来了，下面有个必须开通VIP，我想着有5000是5000把，开通就开通，就直接点了申请借款，结果只开通了会员，借款什么页面全部没有，而是让我去别的平台借款！而且是直接扣款！诱导用户群体缴纳249会员费用，恶意欺骗手段，利用小额免密支付服务收取249元会员费用，欺骗用户权益，会员服务没有任何实质上的意义，要求平台公司退款不同意在平台内提现，把非法受</t>
  </si>
  <si>
    <t>2019/10/04 09:57:36</t>
  </si>
  <si>
    <t>然后他们的客服居然唆使我盗用他人身份证信息去实名。</t>
  </si>
  <si>
    <t>2019/10/04 09:57:29</t>
  </si>
  <si>
    <t>投诉人狄先生投诉对象青春宝涉诉金额3000元问题类型诉求类型投诉详情借款3000分四期还砍头息750到手2250。</t>
  </si>
  <si>
    <t>2019/10/04 09:57:18</t>
  </si>
  <si>
    <t>MAKA软件在无明确条款的情况下，让绑定微信，在无说明情况下强制充值会员，从微信绑定的信用卡中擅自扣除328元，没有明确说明，在无意识下扣款328元，收到短信通知时才发现MAKA软件的扣款信息。</t>
  </si>
  <si>
    <t>2019/10/04 09:56:41</t>
  </si>
  <si>
    <t>7月分投诉保险退费，客服人员以可以续贷、协商等方法先还一期后进行协商，还款后无法续贷，再进行退保险费一直无法沟通微贷网客服。</t>
  </si>
  <si>
    <t>2019/10/04 09:54:55</t>
  </si>
  <si>
    <t>借款2800元，到账2800元，按照4期还款，每8天需还款1022元，共需还款4088元左右，即借款2800元使用32天的利息1288元，无任何说明与借款合同，现在深陷他们的套路贷，以贷养贷，实在无法承担还不干净，目前还有只有一单在还，已还三期，足够了正常利息，希望能够做销赃处理，支付通道为畅捷支付，沦为套路贷的帮凶，现在没办法，只能在此投诉，寻求协商处理，此前也有很多对立马进钱的投诉根本没有解决，只有畅捷支付才能有办法联系他们，对他们采取手段，但是毫无作为，为虎作伥！此类产品还有，花转转，新意花，小木钱包</t>
  </si>
  <si>
    <t>2019/10/04 09:53:01</t>
  </si>
  <si>
    <t>在我们不知道的情况下偷偷用我们的身份证贷款不还，造成我们征信失信。</t>
  </si>
  <si>
    <t>2019/10/04 09:52:15</t>
  </si>
  <si>
    <t>本人于9月4号牛人有品借款1900元，通过畅捷支付，实际到账却只有1368元分两期还完，一期各还969，畅捷支付为高利贷提供通道，由于实在承受不住这么高的非法利息无力偿还，希望最后一期协商还款本金加合理利息450元~500元消账。</t>
  </si>
  <si>
    <t>2019/10/04 09:51:00</t>
  </si>
  <si>
    <t>本人昨日银行卡分别两次被快钱扣款，一次2000元，一次1441.40元，请给出合理解释，谁授权你们私自从本人银行卡划账！。</t>
  </si>
  <si>
    <t>2019/10/04 09:50:55</t>
  </si>
  <si>
    <t>本人有强烈的还款意愿，但是国庆放假工资未到账！打电话给客服要求延迟三天，但客服死活不同意！希望能通过聚投诉能解决这一事。</t>
  </si>
  <si>
    <t>2019/10/04 09:50:31</t>
  </si>
  <si>
    <t>截止10月3日，品骏快递电话反馈件丢失，询问是否可以提供10元唯品币补偿，投诉原因：定于10.1婚期，预订的婚鞋在购买行列，着急用婚鞋，结果婚鞋没有使用上；9.27-9.29期间多次打电话给品骏快递和唯品会，客服均反馈协调解决，无最终解决方案；10.3唯品会反馈原物流信息会继续更新，截止10.4日物流无更新信息，建议，公司内部管理的问题，不能以牺牲消费者的耐心为代价，应该优先解决消费者的问题，然后解决内部快递人员集体辞职的问题。</t>
  </si>
  <si>
    <t>2019/10/04 09:50:00</t>
  </si>
  <si>
    <t>本人于8月初了解成人升学教育，刚好有同学在升学教育学习就推荐了杨老师，然后只是想做个简单的了解不想那么快报名，毕竟自己还需要照顾父母，父母没有工作，还要负责弟弟读书，还有房贷，压力超级大，因为老师说11号以后政策就会改革，学费水涨船高，到时候那也不一定能够报的了，还要曾加英语数学科目，有些专业还要加考微积分，让我好好考虑现在就是报名的最好时机，刚好可以和我朋友一起毕业，提升学历了收入也会改善等等各种好处，然后就说没钱报名，老师就说现在谁没有花呗信用卡几个好朋友啊，可以去想办法周转，因为担心以后可能报不了名，</t>
  </si>
  <si>
    <t>2019/10/04 09:49:46</t>
  </si>
  <si>
    <t>借款4000元分12期偿还，利息高达1494.51，利率达到百分之37。</t>
  </si>
  <si>
    <t>2019/10/04 09:49:29</t>
  </si>
  <si>
    <t>网络高利贷，典型的714＋砍头息，建议追查和下架此产品。</t>
  </si>
  <si>
    <t>2019/10/04 09:49:06</t>
  </si>
  <si>
    <t>没有原因的扣钱，也没有任何解释，直接扣钱，之前没有同类型的扣款。</t>
  </si>
  <si>
    <t>2019/10/04 09:48:57</t>
  </si>
  <si>
    <t>说下情况：小当家经常性登录不上，导致昨天想与客服协商一下还款情况，也找不到客服电话！今天早上就有催收打电话，态度恶劣！请停止骚扰，与我电话协商！。</t>
  </si>
  <si>
    <t>在融360上面申请了及贷21000元按12期还款，本人无力偿还高额利息！要求减息还款！！！在还没有逾期的情况下，就有各种电话进行骚扰，催款，本人已经精神奔溃！无法正常生活！！！要求平台伸张正义！！！强烈抵制黑恶势力。</t>
  </si>
  <si>
    <t>2019/10/04 09:47:54</t>
  </si>
  <si>
    <t>投诉人胡女士投诉对象小当家涉诉金额3000元问题类型诉求类型投诉详情贷款3000到账2160每期还1533.33昨天因APP登不进去造成逾期。</t>
  </si>
  <si>
    <t>2019/10/04 09:47:13</t>
  </si>
  <si>
    <t>2019/10/04 09:47:11</t>
  </si>
  <si>
    <t>玖富万卡借款平台高利贷，收取了11600砍头息，多次与客服沟通处理态度特别差！利息与实际宣传不符，标准的高利贷。</t>
  </si>
  <si>
    <t>2019/10/04 09:47:10</t>
  </si>
  <si>
    <t>借了30000元，已经还了2期6700，现在发现招联好期贷乱涨利息，日利息从万分之4.5涨到了万分之9.8，还款的费用也增加了很多，跟客服打电话，客服态度恶劣，现在要求招联好期贷对乱收费做出解释，不然会拒绝还款。</t>
  </si>
  <si>
    <t>2019/10/04 09:45:58</t>
  </si>
  <si>
    <t>投诉人黄先生投诉对象招联金融涉诉金额20000元问题类型诉求类型投诉详情招联金融在未经我许可的情况下爆我通讯录，对我生活和工作造成极其严重影响！同时在电话中对我人格进行侮辱贬低，以威胁的方式对我进行施压我希望招联金融公司停止使用非法手段对我进行暴力催收！同时赔偿我的精神损失！。</t>
  </si>
  <si>
    <t>2019/10/04 09:45:50</t>
  </si>
  <si>
    <t>高额买了财神黑卡，还总是放款失败，放不了款就不要扣钱，不要套路。</t>
  </si>
  <si>
    <t>2019/10/04 09:45:14</t>
  </si>
  <si>
    <t>我用了闪银得有好几年了，一直都有白条存在，昨天看了下白条就花了4000多，我现在怀孕工作停止了，无力偿还，家人在外地月末才能开工资，希望能够合理协商，不要威胁家人恐吓我，毕竟现在怀有身孕，希望能够协商处理，减免之前费用，延期还款，总共有好几笔账单，如果可以想月末协商妥善一次性还进去，谢谢。</t>
  </si>
  <si>
    <t>2019/10/04 09:44:23</t>
  </si>
  <si>
    <t>投诉人高女士投诉对象贷上钱,贷上钱清风钱包涉诉金额3075元问题类型诉求类型投诉详情骚扰无关人员！乱打电话骚扰！影响恶劣！态度蛮狠。</t>
  </si>
  <si>
    <t>2019/10/04 09:44:09</t>
  </si>
  <si>
    <t>本人于2019年10月3日在梅州机场乘机，准备办登机牌时，一位穿着类似机场的工作人员的大姐热心拉住我询问我的登机时间，然后说建国70周年办VIP卡免办卡费，她强调了充1998元可获得价值3000元的会员卡还有贵宾厅是终身免费使用，会员服务协议里的其他内容并没有跟我详细解释说明，后来10月4日凌晨1点我登陆会员是，才发现会员卡的有效期是一年，而且说的买机票比其他平台便宜也是假的，反而更贵！免除了机建费比其他平台还要贵！涉及误导消费者！我是个学生，一年之内根本用不完里面数额，现在我想退费，徳人易行官网说3个月无</t>
  </si>
  <si>
    <t>2019/10/04 09:43:29</t>
  </si>
  <si>
    <t>在10月4号凌晨5点10分，我的银行卡突然出现两笔分别是9.84，易宝支付，渠道是po机，类型是pos机消费。</t>
  </si>
  <si>
    <t>2019/10/04 09:43:26</t>
  </si>
  <si>
    <t>对方听不懂话，使劲骚扰，还恐吓我，以前真的不知道网货是这样的，要不死也不会借，希望你们把所有的网货都下架，不要在祸害人了，真的可怕。</t>
  </si>
  <si>
    <t>2019/10/04 09:42:58</t>
  </si>
  <si>
    <t>投诉人谷先生投诉对象拼多多涉诉金额22元问题类型诉求类型投诉详情拼多多四周年活动，有开通拼多多会员的页面，手滑点了一下马上扣款办理成功，没有任何确认办理的提示，我马上找到人工客户，说明情况要求退款处理，但是人工客户以客户开通免密支付为由认定会员是我自行确认开通的，我跟客服说明免密支付是应该在商品上使用而不是开通软件会员上使用之后，客户又以客户已领取优惠券为由再次拒绝退款，但是优惠券是开工会员自己赠送的，根本不是主动领取的，然后客服又说可以退款，但是需要等到四周年活动结束，10月11号之后才能退款，我认为拼多</t>
  </si>
  <si>
    <t>2019/10/04 09:41:43</t>
  </si>
  <si>
    <t>确实有资金问题，近期还不上，不恶意拖欠，每次都说有联系本人，但是一个电话都没接过。</t>
  </si>
  <si>
    <t>2019/10/04 09:41:03</t>
  </si>
  <si>
    <t>9月4号在信用管家平台石头管理借款3375元。</t>
  </si>
  <si>
    <t>2019/10/04 09:40:21</t>
  </si>
  <si>
    <t>对本人亲朋好友骚扰，暴力催收，已在公安局备案，恶意代扣后两期钱，4203，原还款2400，额外增加利息，逾期费用超过国家要求，要求退还超出利息，否则追求到底，并诉讼，机会只给你们一次！。</t>
  </si>
  <si>
    <t>2019/10/04 09:39:42</t>
  </si>
  <si>
    <t>高额砍头息，套路贷，电话恐吓，骚扰辱骂联系人，高额砍头息，套路贷，电话恐吓，骚扰辱骂联系人，高额砍头息，套路贷，电话恐吓，骚扰辱骂联系人，高额砍头息，套路贷，电话恐吓，骚扰辱骂联系人，高额砍头息，套路贷，电话恐吓，骚扰辱骂联系人，高额砍头息，套路贷，电话恐吓，骚扰辱骂联系人，高额砍头息，套路贷，电话恐吓，骚扰辱骂联系人，高额砍头息，套路贷，电话恐吓，骚扰辱骂联系人，高额砍头息，套路贷，电话恐吓，骚扰辱骂联系人，。</t>
  </si>
  <si>
    <t>2019/10/04 09:39:06</t>
  </si>
  <si>
    <t>在闪电买了财神卡，却不给借，说保留什么名额，不要了，退款。</t>
  </si>
  <si>
    <t>2019/10/04 09:38:52</t>
  </si>
  <si>
    <t>经常发借款短信，白天，晚上总发，低息引人借款，影响工作。</t>
  </si>
  <si>
    <t>2019/10/04 09:38:33</t>
  </si>
  <si>
    <t>目前第三笔总共借款4000元，6个月分期还款，实际本人需要支付4722元多，按照4722-4000=722元，，可以知道年利率已经超过36%，违背国家金融管理规定已经现行网络贷款受保护范围，且多分合同，中间涵有担保费等无端滋息费用，变相收取高额利息，前面2笔已经结清账单应该也存在该种现象，法制社会，要求媒体维护本借款人正当权益，超额利息费用，按照24%年利率收取，法律不保护外的额外支付费用退还本人，2.提前结清第3笔借款，对于剩余2期按照正常利息收取，3.停止骚扰，消除影响，消除网贷信用不良，提供结清证明。</t>
  </si>
  <si>
    <t>2019/10/04 09:37:37</t>
  </si>
  <si>
    <t>因为近期资金紧张，逾期了几天，一看一天的逾期费用2.30，简直可怕，还有今天给我打电话，要爆我通讯录，不能宽限几天吗，也是老用户了，搞得好像不还一样。</t>
  </si>
  <si>
    <t>2019/10/04 09:36:43</t>
  </si>
  <si>
    <t>我在牛人有品平台借款2200.实际到账只有1386.15天为一期还款1122.30天内还清，严重砍头息，现本借款人因砍头息太高无力承担，要求平台按实际到账+国家规定合法利率一次性结清借款！。</t>
  </si>
  <si>
    <t>2019/10/04 09:36:11</t>
  </si>
  <si>
    <t>本人因资金周转，在立借平台的钱置宝借了2100元，分四期，当时以为是分四个月，而且出账单之前并未说明7天一期，后来还款才发现，逼不得已还了三期总计2200多，最后一期在国庆期间到期，但是还款当日无法正常还款，连还款页面也进不去，导致账单逾期，今天之前联系过立借和钱置宝的客服处理，一直未得到答复！明显是套路贷，期间还接了一次钱置宝的电话恐吓我马上还款，一点交流的机会都没有就挂掉我的电话！现在我已经还清本金2100元，另外还还了100多利息！最后一期700多纯碎是高利息！无法承担，我已经报警，希望平台快点联系我</t>
  </si>
  <si>
    <t>2019/10/04 09:35:18</t>
  </si>
  <si>
    <t>卡卡贷收取高额砍头息，在本人重度抑郁重度重度焦虑住院中，逾期两天，卡卡贷多次打我通讯录电话里的人，多次辱骂本人，害得本人在亲戚朋友前抬不起头，卡卡贷多次挑起本人情绪激动，多次有轻生的念头，哪怕本人报警求助，卡卡贷还恐吓本人！！。</t>
  </si>
  <si>
    <t>2019/10/04 09:35:09</t>
  </si>
  <si>
    <t>已经好几个月了一直都是这样的分期乐收取我购买黑卡费用&amp;amp;nbsp;账号缺给我冻结。</t>
  </si>
  <si>
    <t>2019/10/04 09:34:14</t>
  </si>
  <si>
    <t>葡萄分期变相砍头利息，联合快钱支付，几次续期，续期的钱已经超过了还款的钱，要求停止收取利息，利息费用超过法定费用，并且恶意催收，。</t>
  </si>
  <si>
    <t>2019/10/04 09:33:44</t>
  </si>
  <si>
    <t>本人在壹心分期平台借款2100元，到账秒扣575元，实际到账1525元一个月两期，每期1071元，一共还2100元，由连连支付通道支付的该笔，利息高达575元，借款几次了，现在加上逾期利息高达2824元，现在就剩最后一次无力还款协商畅还本金和合法利息。</t>
  </si>
  <si>
    <t>2019/10/04 09:33:41</t>
  </si>
  <si>
    <t>投诉人余先生投诉对象ofo涉诉金额199元问题类型诉求类型投诉详情由于之前信用分只有630，需要交199的押金，但是骑行之后发现坏车较多，于是不想用了，发起退款都有大半年，一直为退款到账，下载app一直显示在排队，没次都是前面有一千多万人，客服电话也打不通。</t>
  </si>
  <si>
    <t>2019/10/04 09:33:39</t>
  </si>
  <si>
    <t>在2019年4月17日在快闪卡贷平台贷款15000元，下款时实际到账12626.45元，被快闪卡贷平台已各种理由扣除2373.55元，还款分6期，每期却要还款3009元，相当于6个月要还5427.55元的利息，这样的利息年利率高达90%以上，离国家规定的最高年利率的36%超出太多，完全是高利贷，这让我背上了沉重的经济负担，我已经正常还款5个月，还款15045元，国家规定超出年利率36%的高利贷可以不还，本人愿意提前结清，但请退还强制扣除的保险费用2373.55元，以及减免超出国家规定利率的费用最重要的是，因</t>
  </si>
  <si>
    <t>2019/10/04 09:33:34</t>
  </si>
  <si>
    <t>小黑鱼的点心贷借款，借款2000偷偷扣除500元保险费用，此行为存在欺诈消费者行为，而且此利息不合法。</t>
  </si>
  <si>
    <t>2019/10/04 09:33:27</t>
  </si>
  <si>
    <t>2019/10/04 09:33:00</t>
  </si>
  <si>
    <t>国庆期间，中信银行一直打电话骚扰，导致我，生活严重受到威胁，而且我们已经跟发卡行协商了，他们还是一直打电话骚扰。</t>
  </si>
  <si>
    <t>2019/10/04 09:32:55</t>
  </si>
  <si>
    <t>发货慢就不说了，官方客服和商家客服根本就是摆设联系不上，买回来的商品与基本不能用，就申请七天无理由，结果快一个星期了，那边显示商家签收，但是不退款，我就联系他，疯狂联系，最后商家就出来骂人，还说我退回去的不是他发过来的商品，真的是气死人，还有淘集集官方客服，基本上就是摆设，不处理问题，不知道淘集集这个平台后台是有多硬。</t>
  </si>
  <si>
    <t>2019/10/04 09:32:00</t>
  </si>
  <si>
    <t>下载软件，不怎么好玩，卸载了，莫名其妙今天被扣了298免费，没办法撤回。</t>
  </si>
  <si>
    <t>2019/10/04 09:30:35</t>
  </si>
  <si>
    <t>投诉人 管叶奇        投诉对象  百度贴吧,百度        涉诉金额  0 元    问题类型    诉求类型投诉详情  百度贴吧乱封别人账号 不给解决问题！请求处罚百度贴吧！</t>
  </si>
  <si>
    <t>2019/10/04 09:30:15</t>
  </si>
  <si>
    <t>投诉人范先生投诉对象信用管家涉诉金额2625元问题类型诉求类型投诉详情本人借款2625我.分四期还，现在已经还了3期，每期897，现在本人遇到了一点困难，希望贵公司协商还款，本人愿意支付100-200的利息，希望贵公司能协商。</t>
  </si>
  <si>
    <t>2019/10/04 09:29:47</t>
  </si>
  <si>
    <t>投诉人任先生投诉对象招联金融涉诉金额38元问题类型诉求类型投诉详情暴力催收，态度恶劣，处罚不满意，还继续催收，黑社会纯纯的黑社会，打击非法高利贷。</t>
  </si>
  <si>
    <t>2019/10/04 09:28:51</t>
  </si>
  <si>
    <t>我在51人品贷贷款10800还了9期还剩3期，现在离婚自己带孩子，经济出现了困难，没说不还款，逾期2天就打电话骚扰通讯联系人。</t>
  </si>
  <si>
    <t>2019/10/04 09:28:14</t>
  </si>
  <si>
    <t>投诉人 杜女士        投诉对象  我来贷,掏新机        涉诉金额  8 000 元    问题类型    诉求类型投诉详情  我来贷旗下掏新机 暴力催收 骚扰亲友 给亲友发信心威胁起诉 完成了很不好的影响！！！！！！</t>
  </si>
  <si>
    <t>2019/10/04 09:27:53</t>
  </si>
  <si>
    <t>天天给我打电话问我是不是谁家人，说了不是了，你们说会记录下来，还威胁我说你不配合，我们会每天给你打，需要我怎么配合，帮别人还钱，但还是每天电话轰炸，有时是人工，还威胁我说，你不配合，我们会每天给你打，需要我怎么配合，帮别人还钱，你们的确做到了这种流氓行为，有时候是机器电话，我想说话都没机会。</t>
  </si>
  <si>
    <t>2019/10/04 09:26:47</t>
  </si>
  <si>
    <t>我在分期鸭平台借款3000元，分28天还，每期7天还款1233.28天共计需要还款5000元，我现在无力承受，利息太高，逾期费一天300.现请求分期鸭平台撤销逾期费用，并调整利率，借款人愿意一次性还款！。</t>
  </si>
  <si>
    <t>2019/10/04 09:26:04</t>
  </si>
  <si>
    <t>在网络平台申请贷款，没下款的情况下已经卸载APP。</t>
  </si>
  <si>
    <t>2019/10/04 09:25:47</t>
  </si>
  <si>
    <t>七月份打电话注销账户，电话客服说帮我登记了，，十个工作日会有工作人员联系销户，然后没人理会，中途我去了华夏银行的营业厅，工作人员听说我要销户。</t>
  </si>
  <si>
    <t>2019/10/04 09:25:21</t>
  </si>
  <si>
    <t>投诉人 郑先生        投诉对象  山东高速集团电子收费中心        涉诉金额  81 元    问题类型    诉求类型投诉详情  第一次扣款失败 我就问他们了 让我不用管 弟三次扣款失败我又问了 然后当天我把钱就转进去了 结果第二天第四次扣款还是没扣成功 现在卡是挂失状态 客服又让我等48小时才能正常使用</t>
  </si>
  <si>
    <t>2019/10/04 09:25:06</t>
  </si>
  <si>
    <t>本人通过小七钱包下载金鸡下蛋、肥猫贷、不知道利息情况下下款1400，五天要还2000，下款方是汇潮支付，再到期时候暴力催收！辱骂家人、没办法逼不得已只能上去展期！展期两天收取300.18元！由支付宝代收取！法治社会下居然有如此的贷款利率！如此无视法律的平台肥猫贷威力贷金鸡下蛋这个系列是一个公司叫双辽市春天支农小额贷款公司，打着支农的旗号骗来牌照，干着吃人血馒头的714，本人现在要求退还我的展期费用本金消账处理！以下照片证据支付宝居然帮这些害人的公司！。</t>
  </si>
  <si>
    <t>2019/10/04 09:24:16</t>
  </si>
  <si>
    <t>安全带借款3000，21天分3期还，每期还款1214，本人前前后后在安全带借了七八次了，利息不知道交了多少，现最后一期实在是无力偿还了，申请销账！。</t>
  </si>
  <si>
    <t>2019/10/04 09:23:51</t>
  </si>
  <si>
    <t>借款时app并没有相关保险服务选项，而且扣款后也并不知道有关哪个保险公司，具体什么保险内容。</t>
  </si>
  <si>
    <t>2019/10/04 09:23:30</t>
  </si>
  <si>
    <t>小赢卡贷欠款第11期550逾期两天，因为周转出现问题与小赢卡贷工作人员沟通今天还款，工作人员不同意要求今天10点必须还款，否则联系通讯录。</t>
  </si>
  <si>
    <t>2019/10/04 09:23:04</t>
  </si>
  <si>
    <t>我在百度贴吧微贷网吧发帖陈述事实，吧务以不符合贴吧氛围删帖，侵犯个人陈述事实的权利，如果百度为了利益只允许利益集团虚假宣传不能让人民群众知道真相，那就是一个对社会没有责任的公司，会有更多的魏则西事件上演。</t>
  </si>
  <si>
    <t>2019/10/04 09:22:53</t>
  </si>
  <si>
    <t>误导自己然后扣起会员费希望它们退还我的会员费。</t>
  </si>
  <si>
    <t>2019/10/04 09:22:34</t>
  </si>
  <si>
    <t>明明是后来选择的手工自己支付费用，结果还是自动扣费了，而且没有电话通知当事人，在不知情的情况下，导致坐车时间已过没有办法退款。</t>
  </si>
  <si>
    <t>2019/10/04 09:22:19</t>
  </si>
  <si>
    <t>投诉人 兰先生        投诉对象  Wecash闪银        涉诉金额  2 200 元    问题类型    诉求类型投诉详情  本月资金紧张，账单延期还款，下月全部还清</t>
  </si>
  <si>
    <t>2019/10/04 09:22:07</t>
  </si>
  <si>
    <t>钱站昨天是还款日我还款后钱被锁定在钱站的账号里面。</t>
  </si>
  <si>
    <t>2019/10/04 09:21:55</t>
  </si>
  <si>
    <t>交通银行信用卡,禁止暴力催收,要求协商分期还款，我2015年办理的交通银行信用卡，之后信用卡使用良好，没有出现逾期，还给我了5万的好享贷额度，截止到现在好享贷还有不到1万就还完，但是从八月份开始，我工作发生了很大的变动，导致信用卡逾期没有还款，我多次给交通银行信用卡打电话协商还款，能不能给我办成分期，一直没有处理结果，导致交通银行信用卡中心得催收人员天天打电话催收，态度很差，恐吓我，02195559的催收不跟我协商，让我全额还款，我现在不是不想还款，现在收入减少，我想跟他们协商分期还款，他们坚决不答应，让我</t>
  </si>
  <si>
    <t>2019/10/04 09:20:13</t>
  </si>
  <si>
    <t>我在美团上预订了酒店，一个多小时还没回复我是否接单成功，我就打电话咨询，他说因为我定的房间优惠太大，原价167，我使用国庆优惠等优惠完是126，店家说这样他会赔本，不能给我安排房间，我打电话给客服，客服一直问我是否取消订单，我合理消费为啥要取消，第二天店家回复因房量不足不能接单，但是美团上还是显示房量充足，还可以预订，这是不是在欺骗消费者，商家在美团提供服务却因为利益问题不接单，这一来一回耽误了好多行程，导致我花了更多的钱和精力去预订其他酒店，希望可以对商家做出惩罚并给予满意答复。</t>
  </si>
  <si>
    <t>2019/10/04 09:18:37</t>
  </si>
  <si>
    <t>投诉人丁女士投诉对象Wecash闪银,哼哼,广东粤财信托有限公司涉诉金额2500元问题类型诉求类型投诉详情本人9月4日通过闪银app撮合向哼哼借款2500元，今日到期，因资金周转困难找闪银客服协商延期。</t>
  </si>
  <si>
    <t>2019/10/04 09:17:39</t>
  </si>
  <si>
    <t>苏州瑞小云信息科技有限公司垃圾短信骚扰！通过什么渠道违法买卖的我的各人资料……我也会投诉给工信部网信办……。</t>
  </si>
  <si>
    <t>2019/10/04 09:16:49</t>
  </si>
  <si>
    <t>投诉人 李先生        投诉对象  湖北丰和兰硕        涉诉金额  1 032 元    问题类型    诉求类型投诉详情  骚扰家人。恐吓全暴力对生活产生不良影响。</t>
  </si>
  <si>
    <t>2019/10/04 09:16:15</t>
  </si>
  <si>
    <t>投诉人杨女士投诉对象广州省悦点科技有限公司涉诉金额2000元问题类型诉求类型投诉详情广州省悦点科技有限公司高利贷，恶意骚扰联系人。</t>
  </si>
  <si>
    <t>2019/10/04 09:15:02</t>
  </si>
  <si>
    <t>刚还进去就被套路，资金匹配失败，也不知道什么时候开放。</t>
  </si>
  <si>
    <t>2019/10/04 09:14:40</t>
  </si>
  <si>
    <t>投诉人 钟玮凌        投诉对象  消费中金-嘉盈顺        涉诉金额  299 元    问题类型    诉求类型投诉详情  消费中金-嘉盈顺这是啥子 我啥子都不晓得就被扣钱了</t>
  </si>
  <si>
    <t>2019/10/04 09:08:58</t>
  </si>
  <si>
    <t>然后点进去然后我按照流程提交，写明申请贷款不通过是可以退款的，但是我打电话退款没有任何反应，推荐的也都不给批，还非得说14天结束后的5个工作日才可以申请退款，这不是在拖延时间。</t>
  </si>
  <si>
    <t>2019/10/04 09:06:16</t>
  </si>
  <si>
    <t>投诉人刘先生投诉对象吉林省吉林市中国电信涉诉金额283元问题类型诉求类型投诉详情‎‪‭‪‎‏‫‏‬‎‫‌‍⁠‌‪‬​‌​‪‫‍‍‭‎‮‎‪‭‪‎‏‫‏‬‎‫‌‍⁠‌‪‬​‌​‪‫‍‍‭‎‮‪‌​‮‪此卡问题号码已经随着手机被偷一并丢失，本人由于工作特殊原因补卡不方便，此号码里面的费用不想损失，此号码也关系到本人别的信息，此卡现在处于挂失状态，我想把此卡彻底注销拆机，立刻从本人身份证下除去名额，并且退还里面的全部费用283元。</t>
  </si>
  <si>
    <t>2019/10/04 09:06:00</t>
  </si>
  <si>
    <t>快闪卡贷借款八千，实际到账7322，分期六个月，每个月还款1700，逾期一天罚息五十，严重超过国家法定利息，现希望协商调整利息处理。</t>
  </si>
  <si>
    <t>2019/10/04 09:05:50</t>
  </si>
  <si>
    <t>投诉人刘玉雪投诉对象苏宁易购,康佳集团,PPTV涉诉金额1498元问题类型诉求类型投诉详情苏宁实体店购买电视，现场未看到现货，经销售员诱导误导推荐购买电视，送货上门发现画质明显很差，安装时老人就已经提出不清晰的问题，安装人员进一步诱导误导老人，说都是这样的，看一会儿就好了等，让老人接受，我回家后发现画质确实很差，眼睛看上去有不适感，模糊，不清晰，苏宁售后说没有故障，仅是画质问题不予退换货，不符合7天无理由退货，推诿给检测员，安排检测员，检测员不上门，推诿给安装员，联系安装员，安装员推诿给导购员，步步推诿，退</t>
  </si>
  <si>
    <t>2019/10/04 09:02:15</t>
  </si>
  <si>
    <t>投诉人丘女士投诉对象桔米贷涉诉金额247元问题类型诉求类型投诉详情未经本人同意的情况下，桔米贷从绑定账号擅自划扣49元和198元，收款方是南昌多辉网络科技有限公司，属于乱扣费，已联合多位受害者，坚决要求做出退款！。</t>
  </si>
  <si>
    <t>2019/10/04 09:00:44</t>
  </si>
  <si>
    <t>9月30日，支付宝莫名其妙无法支付，提现时显示司法冻结，联系客服后，让我联系云南省昆明市五华区刑侦大队，我人在广东，云南我去都没去过，不明白为啥要联系那边刑侦大队，为了搞清楚，我还是选择联系，，我打电话刑侦大队结果无人接，后来打支付宝客服电话也无人接，就这样我的钱被冻结在支付宝里无法使用，吃饭都要借钱吃。</t>
  </si>
  <si>
    <t>2019/10/04 08:59:43</t>
  </si>
  <si>
    <t>投诉人韩先生投诉对象以太森林涉诉金额0元问题类型诉求类型投诉详情平台开始的时候以区块链的模式运行&amp;nbsp;&amp;nbsp;大肆宣传推广下线增加收益&amp;nbsp;&amp;nbsp;当推广了一部分人的时候&amp;nbsp;&amp;nbsp;没有发放收益&amp;nbsp;&amp;nbsp;更改机制&amp;nbsp;&amp;nbsp;导致模糊不清&amp;nbsp;&amp;nbsp;联系客服根本就没有&amp;nbsp;本身的收益交易不了。</t>
  </si>
  <si>
    <t>2019/10/04 08:58:53</t>
  </si>
  <si>
    <t>投诉人黄女士投诉对象造艺科技涉诉金额299元问题类型诉求类型投诉详情造艺科技有限公司豹子贷扣款299，请求退款。</t>
  </si>
  <si>
    <t>2019/10/04 08:57:26</t>
  </si>
  <si>
    <t>利息太高了，直接就是高利贷了，太黑心了不知道会这么高。</t>
  </si>
  <si>
    <t>2019/10/04 08:56:47</t>
  </si>
  <si>
    <t>6月29日借款3900，还款分六期每期879，总还5274。</t>
  </si>
  <si>
    <t>2019/10/04 08:56:02</t>
  </si>
  <si>
    <t>投诉人 俞女士        投诉对象  小浦优品        涉诉金额  296 元    问题类型    诉求类型投诉详情  贷款提交审核后 莫名其妙扣了296块钱 要求退款</t>
  </si>
  <si>
    <t>2019/10/04 08:55:31</t>
  </si>
  <si>
    <t>投诉人 徐先生        投诉对象  哈啰出行        涉诉金额  26 元    问题类型    诉求类型投诉详情  早哈啰出行助力车停车给客服反馈。骑行20分钟内应该是2元。最后客服同意锁车但是不给锁。收费26元。客服恢复慢</t>
  </si>
  <si>
    <t>2019/10/04 08:54:13</t>
  </si>
  <si>
    <t>本人于2019年9月7日在小黑鲨平台借款3000元，30天分三期还款，10天一期，首期就要还大于借款本金一半1000+660+19.73=1679.73元的金额，其中660是什么风险测评费，算下来综合年化利率远超国家法律所规定的利率，现已还款两期，我要求小黑鲨取消660元风险测评费，减免不合理的利息，结清账单。</t>
  </si>
  <si>
    <t>2019/10/04 08:51:49</t>
  </si>
  <si>
    <t>本人在宜人贷借款53000元，到账53000元，合同金额成了62300元，宜人贷加了9300元信息咨询服务费加进去算利息，本人每月都正常还款，10月3日还款日忘记还款，10月4日7点点进去还款，发现账单还款金额是2468.49元，逾期费却要314.52元！属于高利贷，如此高的逾期费用，请宜人贷给出合理解释，为什么逾期费这么高。</t>
  </si>
  <si>
    <t>2019/10/04 08:51:05</t>
  </si>
  <si>
    <t>合同上写那里69000多，摆明就是阴阳合同，已经还了三万多了，实在没有能力还了，他们就一直打电话骚扰我，还把我亲戚朋友打个遍，前几天居然找到我家里去骚扰恐吓我家里人，说不还就全村曝光我的事情，这个事情已经严重影响到我家人生活了，擅自闯入他人住宅并威胁恐吓，已经造成了犯罪。</t>
  </si>
  <si>
    <t>2019/10/04 08:49:41</t>
  </si>
  <si>
    <t>京东到家说9*************2订单超过一定金额不需要承担运费，应付货款原路退，而且有14天退货退款售后期，今天发现原因选择不同，退款金额就不同，此单金额少退我。</t>
  </si>
  <si>
    <t>2019/10/04 08:49:30</t>
  </si>
  <si>
    <t>我在唯品会购买的大嘴猴童鞋，仅穿了两天，就出现碎面现象，唯品会出售劣质产品。</t>
  </si>
  <si>
    <t>2019/10/04 08:49:26</t>
  </si>
  <si>
    <t>投诉人 李先生        投诉对象  立借        涉诉金额  7 655 元    问题类型    诉求类型投诉详情  借了5500 三个月利息加本金竟然 7645元</t>
  </si>
  <si>
    <t>2019/10/04 08:49:09</t>
  </si>
  <si>
    <t>投诉人许先生投诉对象云端商务涉诉金额1980元问题类型诉求类型投诉详情019年10月4日早上7点半我从三亚凤凰机场出发返回南宁，自助打印登机牌时，无法取票，值机岛单子排上写着不办理登机牌，一名穿着与机场地勤相似的销售人员向我推销他们公司的贵宾卡，她称预存1980，卡里有40次国内机票的基建费，可以无限次享受全国二十几个主要省会城市机场贵宾厅和地面头等舱服务，卡是无限期的，我因为临近登机时间，听其游说，故付款签约，但是签约后才发现有好多信息与宣传不一致或有隐瞒，介绍时说可以购买机票，实际不能购买，只能提供基建</t>
  </si>
  <si>
    <t>2019/10/04 08:49:08</t>
  </si>
  <si>
    <t>在信用管家app里的好运金下款2250元，，4期实际要还3089元，高利贷断头息，杭州市民卡公司为高利贷提供服务，直接在本人银行卡扣钱。</t>
  </si>
  <si>
    <t>投诉人王先生投诉对象智行火车票涉诉金额30元问题类型诉求类型投诉详情在用智行抢火车票时，智行没有主动提示本人即将会产生多余的付费项，私自购买30块的加速包，扣款时没有提前通知，严重侵犯用户利益和知情权，诱导用户购买加速包，是对用户的欺骗，智行还建议用户开通微信免密支付，退票后，加速包也不予退还，白白损失30元钱.联系不到客服人员，没有解决通道。</t>
  </si>
  <si>
    <t>2019/10/04 08:48:32</t>
  </si>
  <si>
    <t>PS机刷卡迟迟不到账，联系不到工作人员，永远是在忙状态。</t>
  </si>
  <si>
    <t>2019/10/04 08:48:10</t>
  </si>
  <si>
    <t>投诉人杨先生投诉对象不良商家涉诉金额0元问题类型诉求类型投诉详情不知道下微信被人恶意达标，能告诉我为什么。</t>
  </si>
  <si>
    <t>2019/10/04 08:45:56</t>
  </si>
  <si>
    <t>还款相当不合理，，借款3000六个月500多利息利息，，头两期就要还2800后四期每个月还一百多，，，逾期一天几十的费用，，彻彻底底的高利贷！！！不处理我就换着平台投诉！！。</t>
  </si>
  <si>
    <t>2019/10/04 08:45:52</t>
  </si>
  <si>
    <t>我也从未受到任何快递.也从未受到任何服务.还联系不到客服.。</t>
  </si>
  <si>
    <t>2019/10/04 08:45:19</t>
  </si>
  <si>
    <t>9月30日下午一点，从浙江台州发往河北唐山，五天了还没送到，昨天中午就显示正在派送，直到现在也没和我联系，我去快递公司取，说正在派送，可是一直也没送到！。</t>
  </si>
  <si>
    <t>2019/10/04 08:44:07</t>
  </si>
  <si>
    <t>2019/10/04 08:43:32</t>
  </si>
  <si>
    <t>投诉人 赵先生        投诉对象  Wecash闪银        涉诉金额  1 530 元    问题类型    诉求类型投诉详情  昨天让开通存管账户 我觉得利息高 就没有弄 今天直接下款 利息高的吓人 有没有人管管了还 国庆节你们搞这种套路？ 损吗</t>
  </si>
  <si>
    <t>2019/10/04 08:42:23</t>
  </si>
  <si>
    <t>合同没标，利率13.1%，36期，每期2388.89元，已还24期，约6万元左右，还需在还2万9千多，5万要还11万多，这比高利贷还很呀，阴阳合同，砍头息，高利贷，已远远超出国家利率，这样的砍头息属于欺诈性，大家联合起来，这样的砍头息公司，必须严惩，还有好多好多的证据，先不一一列举，在无法解决，我们直接司法解决，玖富万卡一直不给处理。</t>
  </si>
  <si>
    <t>2019/10/04 08:42:10</t>
  </si>
  <si>
    <t>平安普惠以系统慢为由，没有对当日还款进行自动扣款，本人银行卡内有足够的余额可进行还款，为了防止逾期，然后我就自己操作手动还款，上次还款都是平安系统的问题，没有一次是成功的，平台这种行为就是欺害借款人，我们属于暗示还款的还有被逾期，身边还要还款能力出现问题的，你们平安普惠就用各种威胁手段对当事人进行骚扰。</t>
  </si>
  <si>
    <t>2019/10/04 08:41:55</t>
  </si>
  <si>
    <t>借2500，6天万875的利息给，借3000，6天要1050。</t>
  </si>
  <si>
    <t>2019/10/04 08:38:53</t>
  </si>
  <si>
    <t>我是从事微商工作的，平常在微信上销售女士包包等产品，平时就是添加客户及发布朋友圈销售商品，也经常出售物品，我可以提供我成交货品的交易记录及扫码记录，现在微信里面被冻结的钱是我做生意用来进货以及销售商品赚来的的钱，这些都是我的合法收入。</t>
  </si>
  <si>
    <t>2019/10/04 08:37:42</t>
  </si>
  <si>
    <t>1，搜集者利用诱导分享，高额返利等不当手段为诱饵诱惑客户点击升级会员，并且设置的支付非常不清晰，在客户不知情的情况下，导致客户被扣款，这期间没有任何提示，2，APP介绍详情与描述事实不符，且在无需选择的情况下被直接扣费，QQ联系开始可以发临时会话，当知道要求退款后，客服屏蔽了我，导致消息无法发送，搜集者APP客服联系方式：1，QQ：1129050415微信：aaa520194。</t>
  </si>
  <si>
    <t>2019/10/04 08:36:37</t>
  </si>
  <si>
    <t>10.1号已经核实了换绑失败说12小时取消交易并退款，三天了还没处理。</t>
  </si>
  <si>
    <t>2019/10/04 08:36:12</t>
  </si>
  <si>
    <t>2019/10/04 08:36:04</t>
  </si>
  <si>
    <t>08176074013电话拨打我号码，我告诉她我是证件办理，用了接近两年了，可是过了一天，073189585332一男的又打电话，我告诉他，这号码我用了两年了，他还说那为什么四个月之前打也是你接，我就想说我用了这个号码接近两年了，你们捷信催收有完没完，经常打电话骚扰，不给我道歉，我就到银监会投诉你们，你们要找的那个欠钱的女的，我们根本不认识，要求给我备注，以后再也不许打我电话。</t>
  </si>
  <si>
    <t>2019/10/04 08:35:09</t>
  </si>
  <si>
    <t>该公司旗下一款游戏：航海王启航2.0，于10月4日推出一款98元充值礼包。</t>
  </si>
  <si>
    <t>2019/10/04 08:34:15</t>
  </si>
  <si>
    <t>本人在宜人贷借款3万元，服务费就4000元，还清需要还5万，不明白为什么，我现在已经还了3万六千多，本金已还清了。</t>
  </si>
  <si>
    <t>2019/10/04 08:33:17</t>
  </si>
  <si>
    <t>我邀请了99人，为我点拼多多的人人领红包，，最后说我没有绑定手机或者银行卡，给我派发了优惠券，活动说可以领现金，虚假宣传，虚假活动，诱导消费者，并且我的账号也没有问题，也微信登陆了，为什么不发现金，我一个一个点到昨天1点，帮你们邀请了那么多新用户，给我发两个优惠券。</t>
  </si>
  <si>
    <t>2019/10/04 08:33:03</t>
  </si>
  <si>
    <t>本人于19年9月5日在牛人有品借款1600元，实际到账1152元，实际还款1632元。</t>
  </si>
  <si>
    <t>2019/10/04 08:32:53</t>
  </si>
  <si>
    <t>51公积金里面的51柯基贷第一期就扣取高额服务费，第二期由于国庆假期缘故，并未及时还款，然后再未告知本人情况下扣除本人高额逾期费，且远远超出国家规定！。</t>
  </si>
  <si>
    <t>2019/10/04 08:31:39</t>
  </si>
  <si>
    <t>快递四天没有物流信息，一直没有动静不知道什么时候才能到签收很麻烦。</t>
  </si>
  <si>
    <t>2019/10/04 08:31:16</t>
  </si>
  <si>
    <t>本人于2019年9月6日在信用管家申请钱咖分期4000元。</t>
  </si>
  <si>
    <t>2019/10/04 08:30:01</t>
  </si>
  <si>
    <t>2019年9月11日于美团app预订了丽江鑫蓉客栈10月3日入住10月4日退房的温馨大床房一间，期间也电话与卖家沟通过国庆期间是否需要补差价等问题，卖家均回答不需要，后本人于10月4日凌晨到店办理入住，店家告知酒店无房，无法办理入住，在app预定界面有明确显示有入住时间推迟不影响酒店留房的说明，导致我凌晨临时在街上寻找酒店入住！。</t>
  </si>
  <si>
    <t>2019/10/04 08:28:49</t>
  </si>
  <si>
    <t>2018年6月28在玖富平台借了26500元。</t>
  </si>
  <si>
    <t>2019/10/04 08:28:10</t>
  </si>
  <si>
    <t>本人逾期了一二十天，一直再积极努力干活还钱，让你们给一点时间都不肯给，我又不想逾期，再怎么逾期我钱该换还是得还，不会差你们一分钱，逾期费你们收，我也在努力搞钱，能借到就黑你们了，现在我一天上两份工作，一天只睡个两三个小时，你们打电话我接，伟经常发给你们度小满金融解释，可是你们也没必要这么对待我们这些人吧，今天做生意亏了几十万，家里父母都被我气的不行了，亲戚也不肯借钱，你们如果在爆我通讯录，在来我的户籍地闹，让我和我的父母怎么活。</t>
  </si>
  <si>
    <t>2019/10/04 08:27:33</t>
  </si>
  <si>
    <t>本人于2019年09月12日在钱站app借款2500元，但实际到账只有2000元，其从借贷本金中先行扣除利息、手续费、管理费、保证金以及设定高额逾期利息、滞纳金、罚息等，信息科技有限公司应当按实际借款数额返还借款并按国家法律规定范围内计算利息。</t>
  </si>
  <si>
    <t>2019/10/04 08:26:06</t>
  </si>
  <si>
    <t>准备一次性还清了打我电话我接了我说我在高速，我想问你们催收是催一个回来他们自己有收钱吗，这么恐吓我家里人还自己私发短信，短信字还编辑错，你自己都触犯法律你还一直威胁我吗，请你们重视，谁不知道信用卡要还，资金真的暂时周转不到，他一直一直催，各种法子联系我，联系我家人，大家不要办交通的信用卡，真的很差劲，从没有这样一个信用卡这样的，大家赶紧注销。</t>
  </si>
  <si>
    <t>2019/10/04 08:22:17</t>
  </si>
  <si>
    <t>钱站催收人员暴力催收，威胁恐吓，冒充公检法，骚扰谩骂亲戚朋友，频繁发骚扰短信，已经对借款人的工作生活造成了巨大影响。</t>
  </si>
  <si>
    <t>2019/10/04 08:19:46</t>
  </si>
  <si>
    <t>尊享贷额度50000本金才39000多，还了10期了，每期两千多，还有满易贷！越还越多。</t>
  </si>
  <si>
    <t>2019/10/04 08:19:11</t>
  </si>
  <si>
    <t>未经同意擅自扣款没有任何提示，没有输密码，没有短信直接扣款。</t>
  </si>
  <si>
    <t>2019/10/04 08:12:54</t>
  </si>
  <si>
    <t>机场里面的办卡人员诱导办卡，说里面的钱可以买机票，现在买不了，我要退款。</t>
  </si>
  <si>
    <t>2019/10/04 08:09:08</t>
  </si>
  <si>
    <t>钱站高利贷，阴阳合同，本人资金周转在钱站上借款经过审核有2000额度，申请到账也是2000，可是合同却是3000，分三期3个月要还3300左右，严重的高利贷，他们还说自己是合法的，合法的不是最多不超过年年利率36吗，这得有百分之七八百利息了，不算犯法吗，要求按国家几率算，我才借2000合同为什么写3000，这叫违法修改合同，这几天已经爆我通讯录了，半夜一点都还在打，再打我就报警了。</t>
  </si>
  <si>
    <t>2019/10/04 08:08:37</t>
  </si>
  <si>
    <t>购买的套餐不能使用，联系不到客服！没有任何解决的办法，刚开始说5.17号恢复，后来又说9.15号恢复，都没有做到！也不给个说法！要求退款。</t>
  </si>
  <si>
    <t>2019/10/04 07:58:46</t>
  </si>
  <si>
    <t>投诉人 刘先生        投诉对象  京东金融,京东白条,京东商城        涉诉金额  12 000 元    问题类型    诉求类型投诉详情  之前1.2万额度变成500。太欺负人了。要求给出合理解释并恢复正常额度</t>
  </si>
  <si>
    <t>2019/10/04 07:55:45</t>
  </si>
  <si>
    <t>玖富的这种费用太吓人，而且有些只能24个月，还有很多保险和同。</t>
  </si>
  <si>
    <t>2019/10/04 07:45:13</t>
  </si>
  <si>
    <t>乘客发一张30分钟以内的预约单，然后快速嘟司机三个电话，快速挂断，不能让司机接到，打过去通话中也算，然后马上取消订单，，这样就判司机有责，而且无法申诉，系统判责说司机威胁或者不接乘客，希望更多司机能够看到滴滴是如何不公平对待司机们的。</t>
  </si>
  <si>
    <t>2019/10/04 07:44:15</t>
  </si>
  <si>
    <t>本人在拍拍贷平台多次借款一直守约按时还款，但本期账单实在周转困难，暂时无法还款，无奈向家人求助，家人承诺在本月10号之前帮我把欠款还清账单，我本着还款诚意，在账单到期后买了停催服务，但奈何距离10号还有几天，期望平台看在过去的守约份上能宽容几天，然而催收工作人员任何解释都不肯听，威胁恐吓骚扰通讯录亲友，我明白欠债还钱天经地义，但平台这样一意孤行坚持骚扰亲友，那剩下的钱我也就不还了，反正骚扰一遍和多遍没分别了。</t>
  </si>
  <si>
    <t>2019/10/04 07:42:35</t>
  </si>
  <si>
    <t>客服打电话说是循环额度，后来还款进去不能用，告诉我信用评分不足，信用评分不足，为什么一开始能给额度，典型套路，我要求循环额度开通。</t>
  </si>
  <si>
    <t>2019/10/04 07:41:31</t>
  </si>
  <si>
    <t>时光分期借款6000元，每期要多付分期管理费140.98，合集1691.78，违规，要求退回这部分费用。</t>
  </si>
  <si>
    <t>2019/10/04 07:33:46</t>
  </si>
  <si>
    <t>违规的支付通道，让买高额虚拟物品变相收取高额砍头利息，。</t>
  </si>
  <si>
    <t>2019/10/04 07:31:48</t>
  </si>
  <si>
    <t>本人9月6日在信用管家好运金借款3000，到账2250元，分4期28天还款，每期还款772，这以超过国家规定的利率。</t>
  </si>
  <si>
    <t>2019/10/04 07:31:05</t>
  </si>
  <si>
    <t>高利率及超高逾期费用，乱扣费，本来想还款的，一看超高费用就没还了，合理费用会还。</t>
  </si>
  <si>
    <t>2019/10/04 07:28:42</t>
  </si>
  <si>
    <t>我没有交通银行的信用卡，也未欠交通银行的钱，可他们天天打电话骚扰恐慌我，跟交通银行催收人员解释了N次，也打过交通银行信用卡中心可他们就是不处理，半个月来骚扰电话达到30多，我要求交通银行的催收人员像我赔礼道歉！。</t>
  </si>
  <si>
    <t>2019/10/04 07:28:41</t>
  </si>
  <si>
    <t>新浪分期借款3000分六期，自动生成了448.2的分期服务费账单，借款3000分12期，生成了869.4分期服务费账单，违反相关规定，要求退回。</t>
  </si>
  <si>
    <t>2019/10/04 07:16:38</t>
  </si>
  <si>
    <t>扣费成功不出票，申请不退款，请立即查处高铁管家，骗人。</t>
  </si>
  <si>
    <t>2019/10/04 07:15:22</t>
  </si>
  <si>
    <t>我曾经是北京有缘网络科技股份有限公司旗下有缘网app的用户，初次使用时我通过支付宝购买了花一元钱体验三天的会员体验服务，然而在我支付一元钱的同时，未经我同意开启支付宝免密支付协议，本以为到此为止，然而，三个月后突然收到一条短信，告知我再次付款69元购买了有缘网app800语音豆。</t>
  </si>
  <si>
    <t>2019/10/04 07:10:55</t>
  </si>
  <si>
    <t>7天一期，现在已经归还2期，昨天还款日！还不了款，现在要求协商解决。</t>
  </si>
  <si>
    <t>2019/10/04 07:09:11</t>
  </si>
  <si>
    <t>投诉人刘先生投诉对象造艺科技涉诉金额299元问题类型诉求类型投诉详情聚富分期，恶意扣款，退款申请没用，客服电话也没有用，一直不给退，一直让等，都等了半个月了。</t>
  </si>
  <si>
    <t>2019/10/04 07:08:40</t>
  </si>
  <si>
    <t>投诉人 张先生        投诉对象  Wecash闪银        涉诉金额  600 元    问题类型    诉求类型投诉详情  个人资金困难，，希望闪银哼哼能够延期还款</t>
  </si>
  <si>
    <t>2019/10/04 07:07:00</t>
  </si>
  <si>
    <t>一直觉得现金巴士跟良心，也一直在用，以前都不收取任何前期，也没有高额的利息，后来现金巴士就变了，例如好信会员，，不知道买了多少次了，现在实属不能忍要求退回近期的砍头息298+318+318，以前的我可以不追究！谢谢，麻烦请聚投诉监督。</t>
  </si>
  <si>
    <t>2019/10/04 07:00:38</t>
  </si>
  <si>
    <t>拼多多监管不力为不法商家提供充值平台商家骗取钱财虚假发货拼多多无动于衷包庇商家。</t>
  </si>
  <si>
    <t>2019/10/04 06:56:24</t>
  </si>
  <si>
    <t>投诉人李先生投诉对象带上钱涉诉金额5500元问题类型诉求类型投诉详情逾期一天暴力催收，骚扰，恐吓通讯录好友砍头息。</t>
  </si>
  <si>
    <t>2019/10/04 06:53:54</t>
  </si>
  <si>
    <t>有一笔9100元的借款已提前结清，当时说提前结清会退599元砍头息，打了几次电话都没有处理，还有一笔依然扣了299元砍头息，而且这笔钱还款没有任何提醒直接就扣逾期费。</t>
  </si>
  <si>
    <t>2019/10/04 06:47:41</t>
  </si>
  <si>
    <t>在交易过程中卖家违反操作！我申请终裁无效！终裁不公正处理！。</t>
  </si>
  <si>
    <t>2019/10/04 06:40:49</t>
  </si>
  <si>
    <t>投诉人崔先生投诉对象小牛在线涉诉金额50000元问题类型诉求类型投诉详情提现几个月了，迟迟不能回款，显示已汇款的也不能到账。</t>
  </si>
  <si>
    <t>2019/10/04 06:39:09</t>
  </si>
  <si>
    <t>汇潮支付为喵下贷—714高利贷提供放款渠道，6天1300还2000，希望平台予以帮助协商还款本金和合法利息。</t>
  </si>
  <si>
    <t>2019/10/04 06:34:58</t>
  </si>
  <si>
    <t>在智享贷借了1800实际到账1400多收取了高额手续费。</t>
  </si>
  <si>
    <t>2019/10/04 06:25:11</t>
  </si>
  <si>
    <t>该平台前后共计贷款数十万元，存在高利息阴阳合同等不法行为，最后一期本金已还完，在2019年315晚会前该平台存在暴力催收爆通讯等不法行为，目前仍然存在账单逾期不断加收逾期费用，该行为给予停止，并且将之前多期不合理的费用给予退款。</t>
  </si>
  <si>
    <t>2019/10/04 06:21:25</t>
  </si>
  <si>
    <t>联易宝平台涉嫌高利贷，砍头息，借款4023元，实际到账2600元，6天利息高达1400元，要求只还本金2600元和合理利息。</t>
  </si>
  <si>
    <t>2019/10/04 06:13:29</t>
  </si>
  <si>
    <t>在安逸花分期一个蓝牙，没收到货退回去了，结果没从新发货，半个月都没处理，老是跟我说2天解决。</t>
  </si>
  <si>
    <t>2019/10/04 06:05:58</t>
  </si>
  <si>
    <t>提交借款申请，不审核，联系不到客服，绑定有信用卡，怀疑盗取信用卡信息，盗刷。</t>
  </si>
  <si>
    <t>2019/10/04 05:56:55</t>
  </si>
  <si>
    <t>今天还款日，app一直缓冲打不开，还款进不去请今天一定给我处理，在网上看到好多还不上款的案例，涉嫌套路贷，故意造成逾期。</t>
  </si>
  <si>
    <t>2019/10/04 05:53:55</t>
  </si>
  <si>
    <t>我只能说我希望平台尽快解决，毕竟那么大的平台。</t>
  </si>
  <si>
    <t>2019/10/04 05:47:58</t>
  </si>
  <si>
    <t>得仕,山东语锘建筑工程有限公司,广州瑾珑视觉创意文化传播有限公司，和支付清算协会沟通得知第三方支付业务应审核客户的相关信息，第三方支付业务公司不得向证券，期货，博彩等机构提供支付结算业务，订单号：SH20*************5，收款商户名称：广州瑾珑视觉创意文化传播有限公司订单号：SH20*************2，的第一章第三条，未经国务院特许，禁止发行其他彩票，禁止在中华人民共和国境内发行、销售境外彩票，总结.https://887365ww.com属于非法平台，在我国境内从事非法组织金融交易活</t>
  </si>
  <si>
    <t>2019/10/04 05:43:23</t>
  </si>
  <si>
    <t>凡普阴阳合同，爱钱进违规放贷，快钱为其提供划扣通道。</t>
  </si>
  <si>
    <t>2019/10/04 05:40:47</t>
  </si>
  <si>
    <t>41500元整，分期36期，每月还款2397.78，至今已还24期，共还款金额57546.72元，账单显示还需还款28773.36元，本人于2017年10月6号向玖富旗下的万普分期借款40000元整，分期36期，每月还款1888.83元，已还23期，共还款金额43443.09元，账单显示还需还款24554.79元，实际到账20000元整，合同金额26400元，，借款12期，每期还款2444.67元，已还一期，以上情况均属实，玖富和钱站涉嫌高利贷砍头息，已严重超出国家法律允许内的利息，希望调整利息到国家规定标</t>
  </si>
  <si>
    <t>2019/10/04 05:39:48</t>
  </si>
  <si>
    <t>我有一个顺丰快递在上个月30号晚饭发出，按照顺丰的速度，一般2号就可以到，但是二号没到，我一看最晚是3号到，也没多说什么，但是三号仍然没有到，而且我今天发现顺丰还私自修改了送达时限，3号晚上顺丰快递打过我电话，但是那个客服口齿不清，说了一连串，我揣摩一下意思大概是：快递超时很抱歉，我们会尽快送来.我就纳闷了，本来2号就可以到的东西，为什么可以硬生生拖到4号，而且还私自修改时限，本来4号我就要使用的，严重影响的我的购物体验，顺丰快递必须承担责任，。</t>
  </si>
  <si>
    <t>2019/10/04 05:29:51</t>
  </si>
  <si>
    <t>在福建湄洲岛妈祖博物馆标识为福建天威传媒文化有限公司的贩卖机上购买货品，以微信支付成功，但未出货品，经与机具上公示的售后电话联系，工作人员表示稍后将会退款，但至今仍未退款。</t>
  </si>
  <si>
    <t>2019/10/04 05:26:57</t>
  </si>
  <si>
    <t>投诉人雷先生投诉对象成都安睿旺蜀网络科技有限公司涉诉金额198元问题类型诉求类型投诉详情晚上莫名其妙被这个公司扣了198,本人无任何输入密码支付过望追回。</t>
  </si>
  <si>
    <t>2019/10/04 05:13:43</t>
  </si>
  <si>
    <t>投诉人 周洲        投诉对象  滴滴出行        涉诉金额  70 元    问题类型    诉求类型投诉详情  说我有作弊单 我单单都是辛苦跑出来的 给出解释 还钱</t>
  </si>
  <si>
    <t>2019/10/04 05:00:53</t>
  </si>
  <si>
    <t>被人引诱到一个网站充值入金，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为违法违规机构平台提供支付结算通道，即产生了洗钱的嫌疑，金融机构客户身份识别和客户身份资料及交易记录保存管理办法，等规定，切实履行反洗钱义务和识别客户身份的义务，希望聚投诉工作人员能够联系，要求第三方支付机构退回被扣款项。</t>
  </si>
  <si>
    <t>2019/10/04 04:52:37</t>
  </si>
  <si>
    <t>2019/10/04 04:51:05</t>
  </si>
  <si>
    <t>2019/10/04 04:44:22</t>
  </si>
  <si>
    <t>我于2019年4月还信用卡的时候，错把4072元还进8285尾号的虚拟卡里，导致4542卡逾期农业银行当时没有任何提醒，我于5月20号左右发现这个问题，主动打电话问询处理办法，客服告诉我除非全额还清16000多的欠款不然没有任何办法，当时问该客服是否可以2个卡转账，对方拒绝了，我5月住院准备生孩子，生完孩子后银行催收联系我处理逾期问题，农行信用卡中心在我多次致电后告诉我可以进行卡内转账，或销户后45，天后给我退回我多还的4072元，我生完孩子后一直没办法工作，我于8.19号打电话销号，10.3号打农行电话说</t>
  </si>
  <si>
    <t>2019/10/04 04:40:44</t>
  </si>
  <si>
    <t>希望腾讯你要避免这种事情发生，一些帐号根本不是一个孩子能做到的事情，之前一直绑定我本人成年人的防沉迷可是你腾讯有一个成年人可以修改的机会。</t>
  </si>
  <si>
    <t>2019/10/04 04:40:11</t>
  </si>
  <si>
    <t>砍头息，利息过高，现由于身体原因，希望协商处理，减轻利息。</t>
  </si>
  <si>
    <t>2019/10/04 04:36:23</t>
  </si>
  <si>
    <t>利息超过国家的规定，捷信公司长期不分白天黑夜的打电话或者发短信骚扰，请求贵公司帮忙给我处理一下。</t>
  </si>
  <si>
    <t>2019/10/04 04:29:21</t>
  </si>
  <si>
    <t>投诉人 樊女士        投诉对象  Wecash闪银        涉诉金额  650 元    问题类型    诉求类型投诉详情  借了1300结果需要付3个担保费用。。。。。。。</t>
  </si>
  <si>
    <t>2019/10/04 04:17:57</t>
  </si>
  <si>
    <t>平台提供不正当充值服务，说是购买正规中国体育竞猜，实际是网络赌博，而且还是工作人员操作，说是充值每个月固定返回20%，最后一分钱取不出来，支付宝占有主要责任，为不良平台提供充值渠道。</t>
  </si>
  <si>
    <t>2019/10/04 04:15:40</t>
  </si>
  <si>
    <t>下款28000.扣除保险费用后有27000，每个月还3713.总还38000多，因为身体原因，不肯协商，电话骚扰，恶意诋毁个人，爆通讯录，单位朋友都说。</t>
  </si>
  <si>
    <t>2019/10/04 03:53:01</t>
  </si>
  <si>
    <t>投诉人卞先生投诉对象交通银行信用卡涉诉金额6400元问题类型诉求类型投诉详情本人向交通银行办理的信用卡金额为18000以还款金额分为四次4000，1700，1900，4400一共以还款金额为11600，单单八月份就已经处理了两笔金额一共六千三，本金剩下6400，交通银行不给做出合理方案，给本人造成很大的困扰，重申：交通银行不是来调解还款，而是达到他们的业绩个人目的，联合手段和催收进行对本人的忽悠。</t>
  </si>
  <si>
    <t>2019/10/04 03:47:20</t>
  </si>
  <si>
    <t>揭阳电信霸王行为，挖坑让人跳，不合理不合法有以下几点:，2，产生欠费情况下，我信用额度是200元，在超过200元欠费下，会自动停机，3，为什么2018年11月份产生欠费情况下，一直扣费到2019年10月1日，附录：广东电信官方对信用额度定义：http://gd.189.cn/service/bmcx/sj_xydcx.htm，信用度定义：信用度就是根据您使用电信业务的时长，平均消费的额度来定允许您可以欠费的额度，信用度越高，您能欠费的金额也越高，查询结果说明：信用度的数值表明您在透支后，停机前可以继续欠费的</t>
  </si>
  <si>
    <t>2019/10/04 03:36:10</t>
  </si>
  <si>
    <t>投诉人 张先生        投诉对象  神马借        涉诉金额  3 000 元    问题类型    诉求类型投诉详情  借3000元实际到账2000多块 到头来还要还4000多</t>
  </si>
  <si>
    <t>2019/10/04 03:35:18</t>
  </si>
  <si>
    <t>2019年10月3日上午大概8点多，由于本人失误未提前往还款银行卡存入足够金额用于自动还款导致拍拍贷扣款失败，随即往卡里充入足够金额，按照拍拍贷短信提示进行手动还款，从早上自动扣款失败一直到晚上12点，我一直在进行手动还款，提交申请后拍拍贷系统一直显示还款处理中，过了几分钟又重新恢复未还款状态，系统还曾经发消息说卡限额，请问拍拍贷，中信单日限额5000怎么会导致688.25扣款超额，而且期间无数次拨打客服，竟然说国庆客服放假，这么一个纽交所上市公司竟然在放假期间没有一个客服值班，让人匪夷所思，现在凌晨3点多</t>
  </si>
  <si>
    <t>2019/10/04 03:28:24</t>
  </si>
  <si>
    <t>投诉人傅先生投诉对象现控达人涉诉金额6000元问题类型诉求类型投诉详情本人在现控达人第一次借了2000到账只有1400，第二次借了4000到账只有2800，本来2000的就剩最后一次还款了，可是就是还不了导致逾期了，4000的第一次能还，第二次就还不了了，导致逾期快十天了，逾期费也有一千多了，还款的时候一直打电话给客服就是打不通，反馈也不回。</t>
  </si>
  <si>
    <t>2019/10/04 03:25:08</t>
  </si>
  <si>
    <t>华夏银行为违法高利贷平台钱站，爱钱进提供资金存管，试问该银行是否考核钱站的资金来源是否合法，一个为高利贷提供资金存管的银行请给出合理解释借款2000，合同2800，3期每个月还980多，利息900多，试问年利率多少，国家规定多少。</t>
  </si>
  <si>
    <t>2019/10/04 03:18:55</t>
  </si>
  <si>
    <t>2018年10??️开始从小鱼带现在的小当家借款1500元，实际到账1200，7天周期，到现在3000元分期3个月，利息1000多，一直循环，本人为了小当家不爆通信录，到处借钱，骗钱，现在家也散了，朋友也没了，一起给小当家还利息1万好远，现在还有个分期没有还完，希望小当家给我条生路。</t>
  </si>
  <si>
    <t>2019/10/04 03:17:19</t>
  </si>
  <si>
    <t>钱站高利贷，利息高的吓人，试问一个年利率超过百分之三十六的违法高利贷公司是如何能存活这么久而一点事没有的借款2000，合同2800，分三期还款，每个月还980多，利息三个月900多，要求退回违法部分的金额。</t>
  </si>
  <si>
    <t>2019/10/04 03:16:39</t>
  </si>
  <si>
    <t>海南萨姆尔网络科技有限公司联合急用钱包扣款！并且无服务扣款！扣款299元！要求2天内速度退款！客服含糊不清。</t>
  </si>
  <si>
    <t>2019/10/04 03:15:19</t>
  </si>
  <si>
    <t>九月13号下单，至今没发货，退款也没退回来，希望尽快马上退款，我前两天官网下单的11已经到手，您涉嫌欺骗消费者权益，请您尽快退款，不想多说。</t>
  </si>
  <si>
    <t>2019/10/04 03:14:30</t>
  </si>
  <si>
    <t>在现控达人借钱，第一期还能还，到第二期就还不了了，客服电话也打不通，反馈也不回，导致逾期，到现在才找我，让我还款，已经逾期差不多十天了，逾期费都上千了，全都叫我自己还，之前还款日我本来就是要还的，等逾期这么多天才找我。</t>
  </si>
  <si>
    <t>2019/10/04 02:48:29</t>
  </si>
  <si>
    <t>诱导用户群体缴纳249会员费用，恶意欺骗手段，假借款骗取收取249元会员费用，欺骗用户权益，会员服务没有任何实质上的意义，要求平台公司退款，，平台不愿意退款，把非法受益249元费用打回原账户，分期通这种会员费用就是违法行为，利用大众用户群体的利益需求，以会员服务为由，让用户购买249会员，非法宣传。</t>
  </si>
  <si>
    <t>2019/10/04 02:48:12</t>
  </si>
  <si>
    <t>冯氏商贸,富和服装店,云南际云科技有限公司，我刚开淘宝店，在冯氏商贸处先进了500元的货物，但是没有发货，询问原因，他们解释我购买的太少，会比较后发货，所以我后面一段时间追加了几个订单，但是截止到今天为止，十几天的时间他们一个商品都没有发过来。</t>
  </si>
  <si>
    <t>2019/10/04 02:45:14</t>
  </si>
  <si>
    <t>上海造艺网络科技有限公司豹子贷，名为贷款平台实际是一个乱扣费平台，在我填写完资料就扣我299，钱没贷到，反倒被扣钱，他说好的是有什么14个工作日服务周期，贷不了款就退款，等了14天再打电话说了一大堆要什么身份证复印件寄到他那里去审核，算下来差不多两个月时间还不一定能退，现在就想着把我的血汗钱还给我就可以了。</t>
  </si>
  <si>
    <t>2019/10/04 02:35:04</t>
  </si>
  <si>
    <t>协融借多宝分期借款3000，分三期还，一期10天，一个月利息高达988.80，远远超过国家规定利率，现在本人要求只偿还本金或者降息，并且该平台给出一个合理解释。</t>
  </si>
  <si>
    <t>2019/10/04 02:31:27</t>
  </si>
  <si>
    <t>但是无法跟蚂蚁金服联系协商，借助聚投诉平台帮忙联系一下，款我可以还，但是必须消除我征信影响，对我造成的影响需要你们去消除，而且现在支付宝网商贷改了，记录什么都看不到了，我也无法提供了。</t>
  </si>
  <si>
    <t>2019/10/04 02:25:17</t>
  </si>
  <si>
    <t>我在钱站上申请金额为3000元，实际到账也是3000元，但是我的借款合同写的是4350元，我打电话投诉说为什么借款本金为4350，钱站的工作人员说有担保费，我就问什么担保费而且在合同中也没有写出有担保费这一项费用，希望你们能帮我，我只要求偿还本金。</t>
  </si>
  <si>
    <t>2019/10/04 02:18:10</t>
  </si>
  <si>
    <t>因周转问题我于2019年7月14日申请用钱宝APP贷款共计3500元，我想提前结清，但是用钱宝APP上没有提前还款选项，不让提前结清，并且经计算，借款3500元，六个月总计还款要4129.98元，年息达59.15%，不给提前结清以及利息过高均违反了国家有关规定，现申请提前结清，并且减免本金及本期利息以外的其他违规费用。</t>
  </si>
  <si>
    <t>2019/10/04 02:17:44</t>
  </si>
  <si>
    <t>投诉人 曹先生        投诉对象  淘宝网        涉诉金额  500 元    问题类型    诉求类型投诉详情  约定好代练押镖，今天进了苦行虚空。梦幻西游客服都说了在广东使用了押镖软件。卖家不认账，无良商家。不愿赔偿，不肯发货害怕给他差评。登录ip都很清楚了，还是不认账。希望能帮忙让卖家得到应有的差评</t>
  </si>
  <si>
    <t>2019/10/04 02:17:32</t>
  </si>
  <si>
    <t>消费了606元，然后当天喝不完的就存起来，给了一个存酒卡给我，然后第二天我继续去星光ktv，唱歌消费，然后我的存酒卡不见了，跟工作人员说明情况，存酒卡不见，但是有图片，可以拿出来吗，然而那个服务员说存酒要拿存酒卡才能取存酒，不见了卡也没有办法，那如果这样的话，我的啤酒价值几百元，那不是让星光ktv，因为我去哪里唱歌，存酒卡不见了，还是可以报电话号码，或者图片的，但是星光KTV，说不可以取出来，觉得这种有点欺骗成分，当时要求经理出来解释一下，也没有经理出来跟我们解释。</t>
  </si>
  <si>
    <t>2019/10/04 02:12:36</t>
  </si>
  <si>
    <t>2019/10/04 02:09:34</t>
  </si>
  <si>
    <t>微信莫名奇妙被冻结资金，申诉半个月没有任何答复，也联系不上客服！。</t>
  </si>
  <si>
    <t>2019/10/04 02:07:48</t>
  </si>
  <si>
    <t>投诉人 钱先生        投诉对象  苏宁易购        涉诉金额  6 900 元    问题类型    诉求类型投诉详情  按时还款甚至提前还款，但是额度无故被冻结</t>
  </si>
  <si>
    <t>2019/10/04 02:06:03</t>
  </si>
  <si>
    <t>汇潮支付,还款宝,来花花,喵下贷,肥猫贷,金鸡下蛋，汇潮支付为714高利贷提供放款渠道还款宝为714提供还款渠道，6天1400还2000，本人多次续期无力偿还，经历过多次境外电话的骚扰态度恶劣，希望平台予以解释做出处罚销账。</t>
  </si>
  <si>
    <t>2019/10/04 02:05:26</t>
  </si>
  <si>
    <t>声称送三天免费会员，诱导提前免密支付，开通后，未经同意直接扣款。</t>
  </si>
  <si>
    <t>2019/10/04 02:02:42</t>
  </si>
  <si>
    <t>合利宝为小猪商城等多个超利贷平台提供违法支付通道，扣我卡里钱，希望给出解释。</t>
  </si>
  <si>
    <t>2019/10/04 01:58:18</t>
  </si>
  <si>
    <t>2019/10/04 01:57:53</t>
  </si>
  <si>
    <t>突然莫名其妙给我冻结了，申诉了半个月一直没有给我解决，也没有任何答复。</t>
  </si>
  <si>
    <t>2019/10/04 01:55:02</t>
  </si>
  <si>
    <t>皮件有限公司,浙江省义乌市昌彤供应链管理有限公司,浙江壹科拉网络科技有限公司，浙江省壹科拉网络科技有限公司法人郑长同雇佣我为他公司工作，期间让我在他名下：昌彤上海皮件有限公司阿里巴巴店铺和其女朋友张珊珊名下义乌市昌彤供应链管理公司阿里巴巴店铺刷单，我和亲人朋友刷单垫付8w多元后，郑长同一直不返款，后来人找不到了，工资也没发，报警警察不予立案，请聚投诉帮忙把我们的血汗钱要回来，谢谢。</t>
  </si>
  <si>
    <t>2019/10/04 01:47:23</t>
  </si>
  <si>
    <t>本人之前99块钱留下怪兽充电的充电宝，已经使用了一个多月，今天再借了一个新充电宝，误将之前购买的充电宝还进了机器，新借的充电宝订单仍在计费，拨打客服电话告之要想结束订单必须把新借的充电宝也关进去，之前99块钱购买的充电宝也不能退还，客服并且改变说辞，称之前我花费的99块钱是支付的订单费用，那之前那个充电宝我用了一个多月是不是还得给你们怪兽充电补偿费用呢，我想说：我之前花了99块钱，充电宝归我了那就归我了，我今天误还进去，又变成了充电宝并不属于我，做生意一是一二是二，这么出尔反尔真的好吗。</t>
  </si>
  <si>
    <t>2019/10/04 01:46:41</t>
  </si>
  <si>
    <t>刚投诉两天，流水会好一点，今晚出来一个多小时了，一单没接过，打客服电话几次都没人接，这样就是对司机的保障吗，还有就是屏蔽给我派女子的单了，大半夜的是出来看夜景还是为了赚钱的。</t>
  </si>
  <si>
    <t>2019/10/04 01:44:02</t>
  </si>
  <si>
    <t>但是客服电话中说的是送现金券，我没接受，我说我给的是真金白银，怎么你们自身原因多收了，就给我现金券，一个正常思维，看了截图都会知道有问题的。</t>
  </si>
  <si>
    <t>2019/10/04 01:40:56</t>
  </si>
  <si>
    <t>投诉人韩先生投诉对象汇聚支付,杭州前舰网络科技有限公司涉诉金额6000元问题类型诉求类型投诉详情汇聚支付为不法高利贷提供违规通道，希望聚投诉帮我联系一下，杭州前舰网络科技有限公司，如果不联系我，我直接带着证据去杭州扫黑办。</t>
  </si>
  <si>
    <t>2019/10/04 01:40:18</t>
  </si>
  <si>
    <t>苏宁任性付给了一万额度，我一直按时还款，但是现在却不能用了，已经半年多了，总说我账号有问题，我有什么问题。</t>
  </si>
  <si>
    <t>2019/10/04 01:38:17</t>
  </si>
  <si>
    <t>2019年9月18日该平台客服打电话声称自己平台可以低利息高额度的贷款且门槛低，后来18号他们的下款人微信添加了我，给我一个应用软件的二维码就是鑫微财富，后来我就识别二维码下载了;下载完之后我就开始办理借款15000;然后开始填写我的身份证，姓名以及电话号和银行卡账号，然后把资料给提交了，提交之后上面显示需要办理会员才可以借款，我就上微信问那个下款人他就给我说我们这是需要办理会员才可以给你放款，我没提现，所以要求注销账号。</t>
  </si>
  <si>
    <t>2019/10/04 01:37:34</t>
  </si>
  <si>
    <t>本人与16年使用来分期作为周转应急使用，期间一直保持与来分期良好的合作，从未发生逾期，也接受来分期的利息以及管理费用，近期由于本人需要资金周转重新登入来分期平台想借款以解决周转问题，已经提交申请几天了但来分期平台屡因借款人数过多拒绝本人申请！。</t>
  </si>
  <si>
    <t>2019/10/04 01:37:09</t>
  </si>
  <si>
    <t>因资金需求，我于2019.10.2下载百事普惠软件申请借款，软件提示需要生成信用评估报告才能申请借款，软件有两个选项，一个是支付299元生成信用报告，另一个是使用小银券，而且软件并没有提示小银券是需要收取费用的，我点击使用小银券生成信用报告，扣款后软件提示会在一到两个工作日内匹配所谓的渠道软件已经关闭了推荐进程（所谓的服务期间，什么东西也没推荐，也没提供），既没有提供任何服务，而且在之前的投诉中，也没有对我进行任何答复，我要求平台速度退款违规扣款，并注销我在软件上的资料，停止对我的侵害，否则，将通过1237</t>
  </si>
  <si>
    <t>2019/10/04 01:35:03</t>
  </si>
  <si>
    <t>10月4号凌晨试试在网上能申请多少额度，几大平台都看了，没要一分钱，在豹子贷注册，填写资料后就直接提示扣款299，莫名其妙的扣款，一点提示都没有，直接从银行卡免密扣除。</t>
  </si>
  <si>
    <t>2019/10/04 01:32:55</t>
  </si>
  <si>
    <t>咨询京东金融客服工号28402，在已经注销白条和金条的情况下如何开具结清证明的问题，现在根据客服给予的回答就是必须在开通的情况下才能开具结清证明。</t>
  </si>
  <si>
    <t>2019/10/04 01:27:26</t>
  </si>
  <si>
    <t>中国最差的银行，交通银行，建议大家不要办他家的卡，钱不要存交通银行。</t>
  </si>
  <si>
    <t>2019/10/04 01:23:33</t>
  </si>
  <si>
    <t>投诉人冼女士投诉对象深圳市龙岗区平湖街道广域通讯手机店涉诉金额3499元问题类型诉求类型投诉详情在大街上拉人，说帮他们填一下工号就可以领免费礼品，然后说交48点保修金可以领一台手机，然后再说要充足三千多的话费才能领手机并且不能退，如果退了就要影响个人征信强迫我们购买。</t>
  </si>
  <si>
    <t>2019/10/04 01:21:20</t>
  </si>
  <si>
    <t>本人今年3月29日在快闪卡贷申请的7000元借款，之前合同没有看到，下款时到帐7000，然后秒扣1200的所谓保险费，当时想要取消借款，却不能取消，之后5月还款逾期了三天就被光大银行报上了央行征信，给本人生活带来来极大的不便，逾期费用更是高达35块钱一天，客服电话永远打不通，这样的高利贷真的是严重破坏社会和谐的存在，要求减掉罚金，本人一次还清这万恶的高利贷。</t>
  </si>
  <si>
    <t>2019/10/04 01:20:57</t>
  </si>
  <si>
    <t>在支付宝里面的来分期借款以及消费，说额度是循环的，我始终没有逾期过，现在有额度却不给用，资金周转不开，希望恢复使用！利息那么高我就不计较了，希望尽快解决。</t>
  </si>
  <si>
    <t>2019/10/04 01:17:58</t>
  </si>
  <si>
    <t>投诉人 黄先生        投诉对象  立刻出行        涉诉金额  499 元    问题类型    诉求类型投诉详情  立刻出行共享汽车不退押金，已经一个多月了。</t>
  </si>
  <si>
    <t>2019/10/04 01:15:05</t>
  </si>
  <si>
    <t>今天收到天天鉴宝平台翡翠货品一件，不满意，打算退货退款，平台不退。</t>
  </si>
  <si>
    <t>2019/10/04 01:14:43</t>
  </si>
  <si>
    <t>在钱站借款2500，分三期还款，仅到账2000，后来每期要还880多，告知多出费用为各种未告知费用，加利息总计600多，实实在在高利贷。</t>
  </si>
  <si>
    <t>2019/10/04 01:14:05</t>
  </si>
  <si>
    <t>投诉人 陈先生        投诉对象  农业银行,(特约)百度服务,        涉诉金额  300 元    问题类型    诉求类型投诉详情  10月04号半夜12点多农业银行被(特约)百度服务无缘无故扣款了300元 ，不知道什么情况 什么原因！</t>
  </si>
  <si>
    <t>2019/10/04 01:07:51</t>
  </si>
  <si>
    <t>投诉人 潘先生        投诉对象  聚福钱包        涉诉金额  299 元    问题类型    诉求类型投诉详情  当天未扣款，第二天莫名扣款299元。打客服电话就是各种推脱，给你设置障碍。</t>
  </si>
  <si>
    <t>2019/10/04 00:59:11</t>
  </si>
  <si>
    <t>投诉人高先生投诉对象友缘在线,北京有缘涉诉金额168元问题类型诉求类型投诉详情通过QQ看点下载了个有缘APP是北京有缘有限公司的，我进去之后有人跟我聊天我怀疑是有缘故意的，然后经过诱惑开通了个0元体验VIP，然后弹出东西不知道为什么想关闭却付钱在毫不知情的情况下，支付宝从银行扣钱连支付密码没显示直接扣钱了，后来信息都没了，我不知道怎么把另一个订单给删了，但是还留着一个我有图片为证我希望可以帮我讨回这些钱。</t>
  </si>
  <si>
    <t>2019/10/04 00:57:02</t>
  </si>
  <si>
    <t>银行部门私自取消用户非柜面交易导致用户损失好几万并且救命钱被冻结要求十一前能使用并未得到回应银行称这是得到法律规定的但法律并未规定一定要用户到柜面才能交易故本人一致要求银行既然可以并未通知持卡人私自取消非柜面交易那么也可以远程操作恢复非柜面交易吧不然你们银行太可怕了可以不通知持有者就可以私自动用他人财务.。</t>
  </si>
  <si>
    <t>2019/10/04 00:56:51</t>
  </si>
  <si>
    <t>所谓的服务期间，什么东西也没推荐，也没提供，扣款后软件提示会在一到两个工作日内匹配所谓的渠道截止投诉日期10月3日，软件已经关闭了推荐进程（所谓的服务期间，什么东西也没推荐，也没提供），既没有提供任何服务，而且在之前的投诉中，也没有对我进行任何答复，我要求平台速度退款违规扣款，并注销我在软件上的资料，停止对我的侵害，否则，将通过12377等相关方式继续投诉，举报，维护我的个人权益。</t>
  </si>
  <si>
    <t>2019/10/04 00:55:26</t>
  </si>
  <si>
    <t>开始虚假宣传能挽回婚姻，交全款后却提出很难挽回，不能达到所宣传的效果，后放弃挽回更改方案为提升自己，但对方收钱后迟迟不予以指导，多次发信息去不回，并以各种理由为由推脱，收取钱财后态度转变，欺骗消费者。</t>
  </si>
  <si>
    <t>2019/10/04 00:54:47</t>
  </si>
  <si>
    <t>双辽市春天支农小额贷款公司,威力贷,支付宝,合支付，本人与今年8月份由于资金难以周转在网上申请了贷款失败，但一陌生号码发送给我链接我就点了进去，谁知道下款后是砍头息，导致我火上浇油，借到手1400，五天后还款2000.6，如若没有2000.6，续期3天需要300.09，而且到期日在并无逾期的情况来电恐吓，暴力催收，侮辱人格，现在本人与你们尝试协商，如若不退还我支付的高额利息，本人将进行报警，重要的提一下：阿里巴巴身为代表中国世界五百强，旗下的蚂蚁金融，无作为，就只会配合警方这一句，你们代存管，而且也获利，你</t>
  </si>
  <si>
    <t>2019/10/04 00:48:44</t>
  </si>
  <si>
    <t>你我货的利率已经超过了国家规定的24%，借5000元，要还6790元，12个就还1790元的利息，请你我贷调整利率，退回之前所支付的利息费用。</t>
  </si>
  <si>
    <t>2019/10/04 00:46:17</t>
  </si>
  <si>
    <t>蚂蚁精帮推荐赌博性质软件，一起打麻将诱导充值。</t>
  </si>
  <si>
    <t>2019/10/04 00:44:35</t>
  </si>
  <si>
    <t>，网站以本人预留银行卡信息错误导致资金冻结，后第一次提现金额同等金额再次充值，4000.1元人民币累计冻结4801.1元人民币，解冻，解冻后申请提现，再次提现又以提现金额没有加零头为由要求本人在以冻结资金的五倍，再次汇款才可解冻资金提现，并且要求分两次转入，本人怀疑交易平台有欺骗诱导客户嫌疑，警惕没有汇款特来向此平台投诉希望贵平台能给沟通解决下问题，解冻资金并且退还本人预留在交易平台网站的银行卡账户。</t>
  </si>
  <si>
    <t>2019/10/04 00:42:02</t>
  </si>
  <si>
    <t>收不到新橙优品的还款信息，也没有电话，逾期乱扣钱！。</t>
  </si>
  <si>
    <t>2019/10/04 00:41:49</t>
  </si>
  <si>
    <t>不管你出价多高你都拍不到商品，只要你一出价总会有人跟你，你决定放弃了立马就有人抢到了，大部分真正拍到的都是平台的拖或者是人机，直给你顶高价，所以说你永远都不可能拍到一件商品，不但是拍不到，到后来你的钱也全没了，也就是说最全你是东本没买到连钱也成了人家的了，后来决定不玩了，想把剩余的钱提出来，却不让你提现，只能在里面瞎玩的把钱全部输掉，这是不是就是强制消费呢，而且现在根本登录不了，说什么没有网络，我其他APP都可以用网络很好，我怀疑他们卷款跑了，所以希望聚投诉平台为百姓做主，将我的钱全部追回来，全额退还！！！</t>
  </si>
  <si>
    <t>2019/10/04 00:41:20</t>
  </si>
  <si>
    <t>投诉人 曹先生        投诉对象  nice,nice app        涉诉金额  1 598 元    问题类型    诉求类型投诉详情  平台客服不作为，每次都说让我再等等。不可以退款，每次找客服前面排队很多人。承诺48小时发货，现在已经20多天。钱也不退，每次都说在路上，催一下。根本不实际解决问题</t>
  </si>
  <si>
    <t>2019/10/04 00:41:01</t>
  </si>
  <si>
    <t>两次扣费一次128一次268在黑猫投诉上并未得到解决退款补偿。</t>
  </si>
  <si>
    <t>2019/10/04 00:30:22</t>
  </si>
  <si>
    <t>9月5日，因虚假宣传注册并填写信息完成了龙虾钱包的资料审核，说我有3500的额度，然而通过易宝支付给我的打款确只有2100元，扣了一笔莫名的1400元费用，短短5天叫我再额外拿出来1400用于还款实在是难以做到，以至于9月9日只能用东拼西凑的1680元用于续期，后因高昂砍头息费用，以及到了还款日就开始从早上开始打电话，我不还钱就给我通讯录发消息，我只得拆东墙补西墙的再去其他借款平台借钱，偿还了13日的全款，13日的全款3605元由讯联智付代扣，因为之前拆东墙补西墙所以9月15再次借了一笔，砍头息1400元不</t>
  </si>
  <si>
    <t>2019/10/04 00:27:40</t>
  </si>
  <si>
    <t>投诉人陈先生投诉对象造艺科技涉诉金额299元问题类型诉求类型投诉详情本人9月6号在豹子贷操作，然后提示要支付299元，本人未点击确认，直接退出并删除软件，第二天在本人未知情的情况下直接从本人银行卡扣除299元，本人打电话给造艺技术客服要求退款，至今未处理。</t>
  </si>
  <si>
    <t>2019/10/04 00:26:47</t>
  </si>
  <si>
    <t>经315晚会曝光，714高炮为套路贷的定义，请连连支付认识到贵司已经违法违规，请退还非法所得。</t>
  </si>
  <si>
    <t>2019/10/04 00:25:55</t>
  </si>
  <si>
    <t>但13年开始之后，我1迷上了游戏里面的锻造，到现在为止，算是倾家荡产了，，是希望各位领导能看到，能够退还我部分钱款，挽回我们一部分损失，谢谢了。</t>
  </si>
  <si>
    <t>2019/10/04 00:20:43</t>
  </si>
  <si>
    <t>本人2019年4月3日在快闪卡贷借款15000元，被前海新流大数据保险代理有限公司强行扣除保险费2220元，相当于变相砍头息2220元，而以后6个月要每月还款3000元，相当于借款到账12780，6个月实际要还款18000元，利息高达5220元，远超国家规定的最高36％利息，利息高达90％以上，天理合在，现要求快闪卡贷减免最后一期利息，要求前海新流大数据保险代理公司退回变相砍头息。</t>
  </si>
  <si>
    <t>2019/10/04 00:18:02</t>
  </si>
  <si>
    <t>投诉人刘先生投诉对象友缘在线,友缘网涉诉金额168元问题类型诉求类型投诉详情在2019年10月3日晚上九点到十点时，我点进了友缘网，并点进了一个免费领三天VIP的活动，随后我就发现短信提醒我的钱不断被扣，前后两次，69，99，而我本人没有得到任何服务，之后我询问客服，结果客服将我禁言，不予理睬。</t>
  </si>
  <si>
    <t>2019/10/04 00:17:35</t>
  </si>
  <si>
    <t>投诉人付先生投诉对象拍拍贷涉诉金额188元问题类型诉求类型投诉详情因为别的事就忘记了今天拍拍贷关还款日，晚上突然想起来，从十一点开始我就手动还款，可是一直提示我扣款失败，每次提交都是一个结果，直到现在上面显示逾期一天我还在还款，结果问题不知道因为什么就是不扣款，导致我逾期一天，我想得到个解释，我发现很多朋友和我出现一样的问题！因为这点事导致逾期我觉得太不值了！必须把问题解决了！。</t>
  </si>
  <si>
    <t>2019/10/04 00:17:34</t>
  </si>
  <si>
    <t>今年6月全能车做活动，一年钻石会员费用118元，我6月24日购买了一年的费用，至8月份，全能车摩拜、青桔先后不营运，至九月份，哈罗单车也处于瘫痪状况，基本不能使用，，联系客服毫无回音，电话也打不通，现要求退还扣除最后服务日以前费用后的会员费85.55元。</t>
  </si>
  <si>
    <t>2019/10/04 00:12:53</t>
  </si>
  <si>
    <t>本人在玖富集团共借款4笔5000以还10期5664元，余两期需还1132.16元1300以还9期1325.97元，剩三期441.90元1000已还10期1133.2，剩两期226.72元1000已还8期462.24，剩24期1617.68元本人以有3比借款超过本金，若聚投诉认为玖富万卡利率合法本人无话可说，并且玖富万卡说费用购买了人保保险，本人在保险并未查到保单，要求玖富万卡集团提供保单和电子发票，并且调整利率，。</t>
  </si>
  <si>
    <t>2019/10/04 00:08:42</t>
  </si>
  <si>
    <t>本人工商银行卡于2019年10月3号中午11点05分产生了一笔金额为492.77元人民币的扣款，，扣款方是中国银联股份有限公司广东分公司专户07，在此本人声明绝对没有授权代扣，这样的行为不就等同于盗窃吗，我于当日中午联系了银联客服，只告诉我扣款方是中金金融，没有想要处理的意思，我联系中金金融客服告诉我是什么信而富产生的扣款，联系信而富并没有联系上，本人仔细回想，这是一个借贷平台我已于2017年就已经还清没有后续使用，这492元的扣款是怎么产生的，在本人没有授权没有允许不知情的情况下扣走了我的钱，这样的行为不</t>
  </si>
  <si>
    <t>2019/10/04 00:08:17</t>
  </si>
  <si>
    <t>714高炮，借3000到账1950，七天还3000。</t>
  </si>
  <si>
    <t>2019/10/04 00:07:11</t>
  </si>
  <si>
    <t>次日凌晨手动两次还款莫名还进账户余额，无法提现，联系钱站400客服，态度蛮横，置之不理，短信催款，口头答应划扣，却依旧短信不断，但是余额里前两次手动的还款无法取出，联系客服依旧置之不理，首先逾期费不应该出，第二，两次划扣均未消帐，第三，两次划扣的钱无法取出，第四，客服态度差，故意装作听不见说信号不好！。</t>
  </si>
  <si>
    <t>2019/10/04 00:05:55</t>
  </si>
  <si>
    <t>滴滴车主平台没调查事情的来龙去脉，就判定车主责任，要赔偿2倍的信用违约金，不顾司机的安全，如果为了几十块，发生了事故，滴滴车主平台愿意承担责任吗，这次因为有三个顾客，里面有一个喝酒，司机拒绝乘客上车，滴滴车主平台就判定是司机跟乘客存在私下交易，希望滴滴车主平台可以给出合情，合理的解释与证据。</t>
  </si>
  <si>
    <t>2019/10/04 00:05:09</t>
  </si>
  <si>
    <t>本人通过小七钱包下载卧龙钱包，申请时，app并未告知利息，申请通过后，接到回访电话，由于本人当时正在工作，未听清电话内容，直接就下款了，结果到账只有1430元，六天后需要归还2200多元，这是典型的高利贷。</t>
  </si>
  <si>
    <t>2019/10/04 00:04:13</t>
  </si>
  <si>
    <t>本人在9月17号申请聚福钱包借款，结果被秒拒，然后在9月18号早上6点从我银行卡私自扣除我200的费用，没让我输任何密码，给客户打电话说让我上传4张他们平台推荐给我的借款失败截图，我听他们的操作上传了，里面说的让我等3天的审核，可是3天审核一过，什么也没发生，我今天继续打电话问客户，说还是一样的话，让我耐心等待结果，我不知道还需要多长时间，我同时也问了他们客户，说需要多久给我一个准确时间，他们也不知道，这是在拖延时间，已经过去半个月，没有一点动静。</t>
  </si>
  <si>
    <t>2019/10/04 00:03:29</t>
  </si>
  <si>
    <t>借贷宝平台，为放高利贷者提供放高利贷的途径，平台的催除人员，对债务人进行恐吓，釆取涉黑手段进行爆力催收，爆力催收违法，但借贷宝平台，凌驾国家法律法规，纵容催收人员爆力催收，要求国家相关部门。</t>
  </si>
  <si>
    <t>2019/10/04 00:03:13</t>
  </si>
  <si>
    <t>砍头息加利息1399.61完全超过国家规定年利率最高的百分之24，希望能归还砍头息或者按正常年利率不超过百分之二十四的利息来收取贷款金额。</t>
  </si>
  <si>
    <t>2019/10/04 00:01:05</t>
  </si>
  <si>
    <t>本人在2017年7月2日借款800元，借款周期14天，利息200元，由连连支付提供第三方支付，本人要求第三方支付机构与高利贷公司协商退还非法所得。</t>
  </si>
  <si>
    <t>2019/10/03 23:58:06</t>
  </si>
  <si>
    <t>为平台提供不正当充值服务，说是购买正规中国体育竞猜，实际是网络赌博，而且还是工作人员操作，，最后一分钱取不出来，支付宝和拼多多占有主要责任，为不良平台提供充值渠道。</t>
  </si>
  <si>
    <t>2019/10/03 23:57:26</t>
  </si>
  <si>
    <t>4000多元，22号早上计入拉卡拉APP就发现店铺被关闭。</t>
  </si>
  <si>
    <t>2019/10/03 23:57:05</t>
  </si>
  <si>
    <t>本人于2019年10月3日22时许在携程旅行app订汽车票两张，10月6号由武汉到达北京，在付款时见3个套餐，为捆绑消费，选了其中最接近正常车票消费的套餐付款金额为670元，由于老婆怀孕，不能久坐，特意上网查了一下所订车票是否为卧铺，不到一分钟，退票成功，加两份5元的保险一共退583元，扣留服务费87元，作为普通百姓，买票退票时间不到20分钟，既没影响到车票的二次销售，更没浪费打印车票的纸张，就扣留了近百元的服务费，让人情何以堪。</t>
  </si>
  <si>
    <t>2019/10/03 23:53:47</t>
  </si>
  <si>
    <t>投诉上海瀚银信息技术有限公司本人被引诱到一个网站以做兼职赚佣金充值入金共计43000元，后来发现是网络赌博平台，通过了解得知并非正规的购彩网站，是有后台操控的一个违法平台，另外通过中国人民银行和支付清算协会沟通得知第三方支付业务应审核客户的相关信息，第三方支付公司不得向证券、期货、博彩等机构提供支付结算业务，根据银行流水查到资金是通过翰银科技支付的，以二维码支付以及在线银联支付方式，作为有牌照的支付公司没有履行国家相关法律法规要求，现诉求翰银信息向违规商户提供支付通道的资金，请瀚银退款。</t>
  </si>
  <si>
    <t>2019/10/03 23:53:04</t>
  </si>
  <si>
    <t>六月底在东莞长安上沙社区移动营业厅办理业务时，客服给我们推荐用198元套餐送手机的活动，每月返还90块钱，再自动从银行卡里扣90块钱充话费，到了7月初我才发现再我不知情的情况下，移动公司和贷款公司合作为我办理了分期购买手机，每个月扣的90块钱是分期购买手机的钱一共要扣24个月。</t>
  </si>
  <si>
    <t>2019/10/03 23:51:54</t>
  </si>
  <si>
    <t>讯付信息科技有限公司在我不知情况下在7月25和8月10分别扣我100和299。</t>
  </si>
  <si>
    <t>2019/10/03 23:47:40</t>
  </si>
  <si>
    <t>本人于2018年12月28日在微信公众号“百万钱包”，后更名为“百万大鹅”，公众号所属公司为：杭州鲸算闪信息技术有限公司，内申请了借款现金贷款15000元分12期还款，提交资料后，进行审批，通过后，银行卡入账15000元，随之又被扣除2340元，，最终实际到账12660元，随后我查询了还款计划，每月还款1505元，按还款内容共计还款18060元，但贷款实际到账为12660元，还款利息5400元，综合年率42.65%，远远高出国家规定年率24%，属于高利贷，已经还了8期共计12040元。</t>
  </si>
  <si>
    <t>2019/10/03 23:47:37</t>
  </si>
  <si>
    <t>10月一号晚上就开始主动还款的一直扣款不成功，后来换绑了银行卡，存入了2571元等他扣款，今天3号了一直没扣款成功显示我银行卡余额不足，不明白什么意思，下午跟客服联系，客服说查询原因还是我银行卡余额不足，我就奇了怪了，我明明卡里的钱是足够的怎么就余额不足了呢，还要我给对公账户汇款，因为之前在嗨钱被骗过，所以不敢相信对公账号还款了，只希望app能主动扣款，本人绝不想逾期不还，这样的情况导致逾期我想问问是我的责任还是新橙优品的问题，本人在此保证绝对没有不还款的想法，请聚投诉给我个公正的答复！。</t>
  </si>
  <si>
    <t>2019/10/03 23:46:50</t>
  </si>
  <si>
    <t>我就松紧贷一家借款，并没有说不还，晚上开始暴力催收，半夜打电话轰炸，给家人打电话，这么晚了，给家里老人打电话，这不是暴力催收是什么，半夜开始打电话，说不停轰炸。</t>
  </si>
  <si>
    <t>2019/10/03 23:44:49</t>
  </si>
  <si>
    <t>投诉拍拍贷我16年到19年三年时间总共借十多次款拍拍贷一直都准时还款，他们套路我借款，到我全部还完欠款，他们不恢复征信记录，退还我一部分高利息，砍头息，非常感谢聚投诉帮助我处理，。</t>
  </si>
  <si>
    <t>2019/10/03 23:44:39</t>
  </si>
  <si>
    <t>投诉人杨女士投诉对象菜鸟物流涉诉金额200元问题类型诉求类型投诉详情淘宝集运选择菜鸟物流自提服务，我在取件失败之后才收到物流商发送更改地址信息，已经第一时间联系菜鸟物流从9/19开始先后5-6次联系菜鸟物流，也不肯提供进一步投诉和直接联系当地物流商的方式，反馈中有一条回复“说更换自提柜需要在3天内联系”，而我在事发后第二天马上联系了他们，提出要求放回原来的选择点，在我提供时间证明之后，他们又说上架仓库有问题。</t>
  </si>
  <si>
    <t>2019/10/03 23:43:47</t>
  </si>
  <si>
    <t>高炮，暴力催收，爆通信录，套路贷，无限骚扰，不给活路。</t>
  </si>
  <si>
    <t>2019/10/03 23:43:02</t>
  </si>
  <si>
    <t>，要还4039.6，超过了年利率36%，跟平台反馈协商还年利率24%的利息和本金没用。</t>
  </si>
  <si>
    <t>2019/10/03 23:42:32</t>
  </si>
  <si>
    <t>被冠以手续费名义，直接收取综合资金成本600余元，砍头息，。</t>
  </si>
  <si>
    <t>2019/10/03 23:38:45</t>
  </si>
  <si>
    <t>乐家易付,酷宝支付,瀚银科技,爱农支付,网银在线,京东金融,银生宝,北京爱农驿站,汇聚支付,杉德支付，本人被一个陌生号码发送链接登录到一个境外网站，此网站拥有国外博彩证书，但在国内只要是网络赌博都是违法的，现在平台不知道从你们哪一家得知的我举报，现在已经将我账户禁用，这其中的联系我必追查到底！我现在已经快要抑郁症了，你们再不给我处理，我现在用尽所有力气，用尽各种手段让你们受到严惩，目前律师正在为我做资料，本人暂时不想报警，如若协商不了再做打算。</t>
  </si>
  <si>
    <t>2019/10/03 23:37:59</t>
  </si>
  <si>
    <t>本人于8月3日在拍拍贷平台借款2000元，分6期还款，9月3日还款正常，10月3日也就是今天，下班回家要第二期393.31元，我绑定的是农业银行卡，还了三次都还款失败，然后在拍拍贷平台再次绑定一张中国邮政银行卡，继续还款还是发来短信还款失败，明天10月4日逾期！平台客服只有机器人没人工，电话客服人工客服居然下班，我严重怀疑拍拍贷涉嫌套路贷，涉嫌故意扣款失败，从而达到客户逾期。</t>
  </si>
  <si>
    <t>2019/10/03 23:35:48</t>
  </si>
  <si>
    <t>本人确实存在困难，导致逾期未能及时处理欠款，催收人员，轰炸通讯录，群发骚扰短信，辱骂亲朋友好友，歪曲事实，欠款1650.骚扰通讯录，称我欠款16500.极大的造成声誉影响，现在导致家庭出现极大矛盾，媳妇要离婚，在本人手机通的情况下，为什么不联系本人，没有接通可以发短息，而且也加了微信，为什么还轰炸通讯录，法律规定合法催收，存在这样的工作人员，合适吗，而且称不还，那你看着办，然后又在背地轰炸通讯录，骂人，还好，有朋友录音，作为证据，请有关部门给个说法！！！！！！！！！可以联系我电话180******13...</t>
  </si>
  <si>
    <t>2019/10/03 23:35:28</t>
  </si>
  <si>
    <t>投诉人幸女士投诉对象天津龙行天下商务服务有限公司涉诉金额1888元问题类型诉求类型投诉详情龙行管家欺诈引诱游客办卡，情节恶劣！！玩文字游戏，不清楚说明，说的是充钱就能购买机票，可以购买到全网最低票价，谁知是充了1000多块，每次购买只能抵消10块20块，引诱消费者购买，而且购买到的机票几乎都是最后面的位置。</t>
  </si>
  <si>
    <t>2019/10/03 23:34:48</t>
  </si>
  <si>
    <t>因为一直没有到货就申请退款可是到现在也没有收到退款更没有回应，联系客服每次给的回复也是一样的。</t>
  </si>
  <si>
    <t>2019/10/03 23:34:23</t>
  </si>
  <si>
    <t>投诉安逸花套路客户，说是可以循环借贷，但是还进去以后各种借口不给借，要求安逸花恢复我的账户，恢复借款。</t>
  </si>
  <si>
    <t>2019/10/03 23:32:49</t>
  </si>
  <si>
    <t>最高人民法院司法解释规定，民间借贷利率年综合利率不得超过24%，超过36%的无效，请问你我贷，我在你们那的借款，年综合利率已经超过法律红线了，我还在还，毕竟借了，只是这个月工资调整到10日发放，我还款日期为3号，特殊原因我申请延期8天还，我又不是不还，只是延期8天还，这都不可以吗，催收一个又一个电话的，又不是延期多久，况且我诚心还，这有什么不可以协商。</t>
  </si>
  <si>
    <t>2019/10/03 23:30:38</t>
  </si>
  <si>
    <t>投诉人 章先生        投诉对象  聚福钱包        涉诉金额  299 元    问题类型    诉求类型投诉详情  聚投诉无缘无故扣我299元！请退款啊 希望聚投诉能帮我处理这些</t>
  </si>
  <si>
    <t>2019/10/03 23:28:38</t>
  </si>
  <si>
    <t>秒钱平台腾讯春晚推广，新浪推广坑害15000余人，。</t>
  </si>
  <si>
    <t>2019/10/03 23:28:31</t>
  </si>
  <si>
    <t>京东商城佰思达电器专营店购买的112升冰箱，收货发现是50L的冰箱，联系店铺客服说没有发错，联系京东客服也说没问题，我的质疑有以下几点：1、112升的冰箱与50升的冰箱在外观有区别的情况下为什么一个链接两种商品；2、一个链接两种商品如果是符合京东商城的规定，为什么相片详情页的图片里只有112升的冰箱有标注112升的规格而50升的没有，；3、点击购买时也只有112升的冰箱有标注“112L拉丝银”而50升的没有标注”50L拉丝银”，以上三点虚假宣传信息导致消费者购买产品错误，店铺自己的宣传不到位误导消费者购买错</t>
  </si>
  <si>
    <t>2019/10/03 23:27:42</t>
  </si>
  <si>
    <t>曲沃西关口，电子广告屏，有没有人管，现在已经晚上11点了，还在大分贝的播放广告，家里老人失眠，小孩睡不着，严重扰民，希望有关部门管管。</t>
  </si>
  <si>
    <t>2019/10/03 23:26:54</t>
  </si>
  <si>
    <t>9月13号购买的蟹卡，10月1号预约发货3号收到都是死蟹，要求退货，打开商品就找到客服了，客服称过了8小时的售后时间，问客服哪里有个8小时内才可以售后的提示，客服不给予回答，希望要个说法，。</t>
  </si>
  <si>
    <t>2019/10/03 23:25:50</t>
  </si>
  <si>
    <t>投诉人王女士投诉对象国美易卡涉诉金额50元问题类型诉求类型投诉详情催收恐吓，暴力催收，收取高额滞纳金，只逾期两天。</t>
  </si>
  <si>
    <t>2019/10/03 23:22:30</t>
  </si>
  <si>
    <t>本人今年上半年由于资金周转需要在小赢卡贷平台借了两笔贷款，已经还了几个月，现在手上资金周转困难，跟平台协商还款能否给予降息或者宽限还款日期等无果，查看贷款合同发现贷款公司签署合同上面写的利率跟实际还款所扣利率差了好几倍！已经达到高利贷的标准！协商没一点作用，并且在未经过我同意的情况下购买商业保险以及骚扰我的家人和朋友，现要求小赢卡贷平台给出合理的解释，并给我生活和工作上带来的不良影响向我道歉！调整余下期数贷款的利率，退还所购买保险的费用，否则将一直举报到底并向法院提出诉讼请求！。</t>
  </si>
  <si>
    <t>2019/10/03 23:21:56</t>
  </si>
  <si>
    <t>与拍拍贷协商一次性全都还清，免除部分利息，拍拍贷采取卑鄙的逼债手段，用软暴力精神暴力催收。</t>
  </si>
  <si>
    <t>2019/10/03 23:18:23</t>
  </si>
  <si>
    <t>预定时间还没到，按规定是可以退款的！马蜂窝客服拒绝退款，我已经联系酒店，酒店说退款是平台决定的。</t>
  </si>
  <si>
    <t>2019/10/03 23:17:33</t>
  </si>
  <si>
    <t>我是滴滴司机，每天出车20个小时，不但挣不到钱，慢慢的连养车都成问题，给平台反应过很多次，不到解决不了，而且只要和他们客服说话难听点，接单就更是问题，这就算了，最让人接受不了的事情是滴滴平台根本不顾及司机的死活，我是徐州的司机，自从更改为口碑值之后，必须要按照他们的时间出车才能不被扣分，如果不出车，就会掉分，滴滴靠的就是分数，这样一来，我们职业的滴滴司机，没办法就要一天都在跑车，而他们滴滴客服的一些所谓的小组长和我们说，没人逼你们司机这样，反而被搞得成了打工的不说还要小心翼翼的不要被扣分，在2019年9月2</t>
  </si>
  <si>
    <t>2019/10/03 23:15:11</t>
  </si>
  <si>
    <t>在本人手机未收到短信通知的情况下，自动扣款，本人毫不知情。</t>
  </si>
  <si>
    <t>2019/10/03 23:12:41</t>
  </si>
  <si>
    <t>强制性买保险，贷款1000，要买三四百的保险。</t>
  </si>
  <si>
    <t>2019/10/03 23:11:42</t>
  </si>
  <si>
    <t>1月4日，通过松紧贷APP贷款9280元，到账以后又扣回去1280元，我只得到他们的8000元，每月的4号还款，每月还908.84元现在已经还了第8期了，8期共计已还款7270.72元，希望松紧贷调整利率，还有砍头息的1280元我是不会还款的，还有前面有一期逾期一天，就直接爆了我的通讯录，还有呼死里往我手机里发了几百条短信。</t>
  </si>
  <si>
    <t>2019/10/03 23:10:06</t>
  </si>
  <si>
    <t>爱又米暴力催收，在明确表达还款意愿后仍然要爆通讯录，态度恶略。</t>
  </si>
  <si>
    <t>2019/10/03 23:05:06</t>
  </si>
  <si>
    <t>投诉人 陈宋平        投诉对象  玖富万卡        涉诉金额  18 000 元    问题类型    诉求类型投诉详情  玖富万卡阴阳合同 利息超过国家规定 借9000还18000 一年时间 提前结清根本不免除利息 9000额度已经还了10000多元 还差6000多没有还 一年时间</t>
  </si>
  <si>
    <t>2019/10/03 23:04:56</t>
  </si>
  <si>
    <t>买了两张票，只退款一张，等了7天，客服也不处理。</t>
  </si>
  <si>
    <t>2019/10/03 23:02:28</t>
  </si>
  <si>
    <t>投诉人 李女士        投诉对象  光大银行信用卡中心        涉诉金额  1 188 元    问题类型    诉求类型投诉详情  未提前电话告知就收取1188免费 然后还设置还款日期 已还款方式现在申请退款 属于欺诈行为 提前根本没有电话通知</t>
  </si>
  <si>
    <t>2019/10/03 23:00:31</t>
  </si>
  <si>
    <t>9月5日去北京旅行，下载了北京市政交通一卡通APP，在APP申请交通卡时提示需要充值，就办卡时直接充值了20元，开卡后账户卡片余额显示20元，到地铁站时刷卡无法进入，后同伴网上查询后，告知办卡需要20元押金，但是APP上办卡时无此提示，二日9月6号为了做地铁又充值了5元尝试，仍无法使用，遂放弃，晚上又对此APP充值了50元，但座地铁仍旧无法使用，于是寻找退款按钮，无法找到遂放弃，今日10月3日打开APP，提示登录，登录后发现卡包为0，即9月5日办理的交通卡被无故删除，卡内余额也消失了，本人自9月6日后从未接</t>
  </si>
  <si>
    <t>2019/10/03 22:55:56</t>
  </si>
  <si>
    <t>本人想在微拍堂上卖东西，但是微拍堂要求通过实名认证并缴纳认证费用，于是我便填写了认证资料缴纳了认证费用，可是并未通过认证，应该说是被拒绝认证了，于是在未通过认证的情况下我要求退还认证费用，该公司客服以缴纳认证费用够不予以退款为理由拒绝退款，现投该公司存在霸王条款，并且违反了合同法，再未达成交易的时候单方强行收取费用。</t>
  </si>
  <si>
    <t>2019/10/03 22:55:10</t>
  </si>
  <si>
    <t>不是属于个人原因，是因为无法使用门票，要求马上退款！而且，要求去哪网马上修改门票的预定日期！千万别在误导其他消费者！。</t>
  </si>
  <si>
    <t>2019/10/03 22:51:17</t>
  </si>
  <si>
    <t>并且还是8天一还，畅捷支付为其提供支付通道，本人深陷高利贷套路贷，目前已无力偿还这巨额利息，经查询该产品与花转转樱桃小借、新意花、小木钱包、立马进钱、轻周转等平台均属于同一家公司，广东瑞利信息咨询有限公司，希望该平台能尽快联系我协商还款并注销账户，目前本人财务状况濒临崩溃，若不解决本人会去其它各大平台投诉到底，必要时将会直接报警，已收集所有证据，加起来金额足以立案。</t>
  </si>
  <si>
    <t>2019/10/03 22:48:29</t>
  </si>
  <si>
    <t>裕恒电子商务公众号,广西裕恒电子商务有限公司，2019年10月3日13时许，在该平台成功支付5笔95元，共计475元话费充值订单，该平台为话费快充平台，至10月3日22时止，被充值的话费依旧没有到账，在订单里申请退款，也未得到任何处理，千辛万苦联系到平台客服推托回复说，等8号上班再处理！请求全额退款！。</t>
  </si>
  <si>
    <t>2019/10/03 22:48:25</t>
  </si>
  <si>
    <t>，然后又说他们填错卡密了，又说明天给我处理，客服现在不给我处理，希望聚投诉平台能够帮我追回资金，取缔不良商家！谨防他人上当！。</t>
  </si>
  <si>
    <t>2019/10/03 22:42:26</t>
  </si>
  <si>
    <t>投诉人冯先生投诉对象裕恒电子商务公众号,广西裕恒电子商务有限公司涉诉金额760元问题类型诉求类型投诉详情2019年10月3日13时许，在该平台成功支付8笔95元，共计760元话费充值订单，该平台为话费快充平台，至10月3日22时止，被充值的话费依旧没有到账，在订单里申请退款，也未得到任何处理，千辛万苦联系到平台客服推托回复说，等8号上班再处理！请求全额退款！。</t>
  </si>
  <si>
    <t>2019/10/03 22:42:12</t>
  </si>
  <si>
    <t>投诉人 黄女士        投诉对象  平安普惠        涉诉金额  17 000 元    问题类型    诉求类型投诉详情  息费很高，而且没到还款时间就开始爆通讯录</t>
  </si>
  <si>
    <t>2019/10/03 22:41:10</t>
  </si>
  <si>
    <t>本人于2019年9月18号从天猫中国移动官方旗舰店，天猫平台监管不到位才纵容了不良商家大肆横行霸道诱导消费者，本人是看重中国移动的信誉才从中国移动官方旗舰店购买手机谁知道被浙江问问科技诱导消费，严重侵犯了我的合法权益，手机一部，订单编号:6****************6，发现前置摄像头内有白色明显异物，后置摄像头左侧边框内有胶水痕迹，四个天线处均有划痕，屏幕刘海拐角处有阴影，所以于9月21号申请退款，后得知此问问售后是杭州问问科技非中国移动官方，以我已经激活手机，我的四个问题是外观问题不属于质量问题为由</t>
  </si>
  <si>
    <t>2019/10/03 22:37:20</t>
  </si>
  <si>
    <t>投诉人 阎先生        投诉对象  萌推商城        涉诉金额  19 元    问题类型    诉求类型投诉详情  我在萌推商城购买南极人护膝 订单信息上明确标注购买的南极人品牌护膝 商家发货是什么益帆护具 联系商家沟通商家表示发错货 拒不处理 多次联系萌推商城平台频繁推诿</t>
  </si>
  <si>
    <t>2019/10/03 22:36:16</t>
  </si>
  <si>
    <t>投诉人姜先生投诉对象百事惠普涉诉金额100元问题类型诉求类型投诉详情几日前本打算通过百事惠普平台借款，不过没有下款就把软件卸载了，今天突然提醒我给我扣了款，在我未知情的情况下扣款，不是钱的问题，是原则性问题，黑心公司，几日前本打算通过百事惠普平台借款，不过没有下款就把软件卸载了，今天突然提醒我给我扣了款，在我未知情的情况下扣款，不是钱的问题，是原则性问题，黑心公司。</t>
  </si>
  <si>
    <t>2019/10/03 22:36:04</t>
  </si>
  <si>
    <t>特约中智没经本人同意扣我银行卡里的钱；金额299元；请给我一个合理的解释。</t>
  </si>
  <si>
    <t>2019/10/03 22:35:41</t>
  </si>
  <si>
    <t>投诉人 马海帅        投诉对象  蚂蚁金服        涉诉金额  11 000 元    问题类型    诉求类型投诉详情  我是是欠支付宝的钱，八月份还在还款。九月份就爆通讯录，骚扰亲朋好友。委托第三方泄露个人资料，侵犯隐私权名誉权。法院见</t>
  </si>
  <si>
    <t>2019/10/03 22:34:12</t>
  </si>
  <si>
    <t>我预订了10月4日到10月6日在北京宋庄镇小堡村的一个订单，10月3号到实际地方后发现酒店地方偏远，后来发现客人评论差评被覆盖，于是10月3日晚打电话取消，去哪儿网平台告知不能取消，后告知取消可以但只能退一半费用，我想投诉平台，一是未及时审核商家信息，二是不能取消订单进行退款。</t>
  </si>
  <si>
    <t>2019/10/03 22:33:48</t>
  </si>
  <si>
    <t>通过短信给我链接进去下载的这个软件滴滴分期，借款周期4天，两天1期，说是借款1200实际到账只有720，但是却要还款1200元！！！兼职就是714高炮还高炮了！！！汇潮支付提供的放款渠道！！！麻烦聚投诉平台跟进本人愿意本金处理！。</t>
  </si>
  <si>
    <t>2019/10/03 22:32:56</t>
  </si>
  <si>
    <t>投诉人 郎先生        投诉对象  达飞云贷        涉诉金额  45 000 元    问题类型    诉求类型投诉详情  我17年在达飞云贷平台借了两万六。我18年我都按系统操作还清了。可是今年还说欠他们四万五。我不知道我的这些钱都是从哪冒出来的。你们真的是高利贷套路贷。吸血鬼。别以为这样我就告不倒你。我一定要你们把我前前后后所掏的增值包。质保金。还有高额的利息都给我。</t>
  </si>
  <si>
    <t>2019/10/03 22:32:46</t>
  </si>
  <si>
    <t>滴滴让我去办证，证办好了不给派单，在热区持续爆单一个多小时都不给派单，一天出车14小时，200多块流水，一小时十来块钱，，请退回的考证的费用。</t>
  </si>
  <si>
    <t>2019/10/03 22:31:05</t>
  </si>
  <si>
    <t>我在马上金融上借款4500元，经在马上金融查证日利息0.048％，按计算，分十八期还清，我赢还款5705.28，可他每月还款计算下来我需要还7056.06，多出来一千多，因为马上金融涉嫌隐私不能截屏，我只能发我计算的截图了。</t>
  </si>
  <si>
    <t>2019/10/03 22:26:04</t>
  </si>
  <si>
    <t>不根据我的事实情况，一味逼债，与之协商，都是霸王条件，无视我的事实情况，网贷及银行催收的暴力软暴力精神暴力行为，严重骚扰滋扰干扰正常生活，为什么屡禁不止，各地关于扫黑除恶横幅是十步之内必有，口号喊也很响，但是，为什么这些网贷及银行催收还是这么肆无忌惮，目无法纪，猖狂无比，是谁在背后让银行催收敢于在国家扫黑除恶专项行动期间依然肆无忌惮违法违规用暴力软暴力精神暴力催收，或者是国家有关部门懒政怠政庸政，不作为，使催收越来越猖狂猖獗，精神暴力软暴力不仅给受暴者带来无以言状的折磨与痛苦，其社会危害也是令人触目惊心的，</t>
  </si>
  <si>
    <t>2019/10/03 22:25:40</t>
  </si>
  <si>
    <t>本人被引诱到一个网站充值约15万元，后来发现是境外网络赌博平台，并非正规的购彩网站，根据中国人民银行和支付清算协会沟通得知第三方支付业务应审核客户的相关信息，第三方支付公司不得向证券、期货、博彩等机构提供支付结算业务，作为有牌照的支付公司没有履行国家相关法律法规要求。</t>
  </si>
  <si>
    <t>商家不退款，我微信支付的，商家说退款不能退微信，而且他们把订单取消也不给发货。</t>
  </si>
  <si>
    <t>2019/10/03 22:23:23</t>
  </si>
  <si>
    <t>之前下载了一个教师准题库，然后相关老师主动给我打电话介绍推销他们的产品，在购买力一个价值418元的考前压密试卷还有考霸速成班的100元定金，购买后发现app上做题非常卡顿，而且这两个商品都还没有使用，想退掉但是客服一直说这个产品一经售出概不退换，希望网站可以维护一下我的利益，谢谢！。</t>
  </si>
  <si>
    <t>2019/10/03 22:21:47</t>
  </si>
  <si>
    <t>gofun原注册手机号长时间不用，运营商自动回收，目前gofun账号无法登录，要求更改登录手机号，gofun方面要求提供运营商注销证明，但之前手机号并未注销，为运营商常规回收，gofun方消极处理，且后续不再进行回复，gofun账号含个人驾照等隐私信息，如果原手机号后续有人使用，本人信息将无法得到保障，且可能出现驾照被冒用违章违法等行为，故要求必须更换登录手机号。</t>
  </si>
  <si>
    <t>2019/10/03 22:21:22</t>
  </si>
  <si>
    <t>十月一期间，有三笔借款逾期，打拍拍贷电话想说明情况，人工客服时候说节假日无人接听，但是在逾期的第三天没有联系我本人的情况下，骚扰了家里人，本人并没有接到电话通知，既然客服休息了，我主动要说明情况的时候不能解决，骚扰电话来的到快，家人知道已经影响了我正常生活。</t>
  </si>
  <si>
    <t>2019/10/03 22:19:54</t>
  </si>
  <si>
    <t>杭州蓝芸青年旅舍采用误导宣传，以房价128元为噱头，吸引本人在去哪儿网预订了一间房，到店后被告知128元只是预定了一间房内的其中之一床位，且室内环境相当的差，于是本人想取消之前预订的房间，现场与蓝芸青年旅舍方面经过沟通协商:以帮青年旅舍方面在网上刷单2单和退款一半为代价，该青年旅舍同意退款，离店后，该青年旅舍又临时变卦，坚决不予退款，其后本人跟去哪儿网客服联系，客服从头到尾就一句话，退不了，本人认为去哪儿网与该旅舍有联合欺诈消费者嫌疑。</t>
  </si>
  <si>
    <t>2019/10/03 22:18:59</t>
  </si>
  <si>
    <t>贷上钱以游戏金豆名义收取高额砍头息，逾期一天就爆通讯录，对我生活和工作造成了严重的影响。</t>
  </si>
  <si>
    <t>2019/10/03 22:17:57</t>
  </si>
  <si>
    <t>中大互联教育平台推销专套本学习套餐，中大互联并说明大专免考即可拿到广东开放大学的某专业的大专毕业证，中大并言明2019即本年度五月或六月可上学信网查到学籍，结果啥都没有查到，中大互联的老师又说七月可查学档，结果又没有，我想退款，中大互联的老师又骗我说10月份就一定能查到学档，并保证说查不到档全额退款，结果到10月问中大互联，答复说要等到11月底，你嘛，，，，这不是欺诈又是什么，我要维权投诉，希望中大还我血汗钱，希望有关部门严查这家公司。</t>
  </si>
  <si>
    <t>2019/10/03 22:17:21</t>
  </si>
  <si>
    <t>在该平台借款1600元，在下款之前需要交27%的所谓会员费432元属于砍头息，要求协商正常利率还款，请尽快联系处理。</t>
  </si>
  <si>
    <t>2019/10/03 22:15:49</t>
  </si>
  <si>
    <t>投诉人谢先生投诉对象奥特莱斯,NEWBALANCE涉诉金额459元问题类型诉求类型投诉详情购买付款时系统内价格与鞋子上的标签价格不一致，系统内显示599，鞋子标签上显示559，店内有满500减100活动，付款时店员告诉我付款499，我试穿的时候留意了价格，马上提醒店员，店员也就“从善如流”得修改了价格；小票上显示付款时间16:00左右，因为我老婆试穿的时候觉得脚感很舒服，付款的时候就穿在了脚上，付款后就穿着出去继续逛其他的店了，，逛了几家店后一对比感觉这家NEWBALANCE国庆活动力度不算大，所以就查了下</t>
  </si>
  <si>
    <t>2019/10/03 22:15:05</t>
  </si>
  <si>
    <t>与浦发银行协商，浦发之前同意协商结果，后来，过了几天，浦发又反复无常，说话不算数，因为我筹款要时间，所以肯定要一定时间才能筹到，浦发不能因为我要筹款，而不承认之前的协商结果吧，现在浦发一味的采取暴力软暴力精神暴力逼债，逼债手段非常卑鄙，没有经过允许爆通讯录，骚扰亲戚朋友家人，网贷及银行催收的暴力软暴力精神暴力行为，严重骚扰滋扰干扰正常生活，为什么屡禁不止，各地关于扫黑除恶横幅是十步之内必有，口号喊也很响，但是，为什么这些网贷及银行催收还是这么肆无忌惮，目无法纪，猖狂无比，是谁在背后让银行催收敢于在国家扫黑除</t>
  </si>
  <si>
    <t>2019/10/03 22:14:41</t>
  </si>
  <si>
    <t>投诉人王女士投诉对象盈盈有钱涉诉金额8000元问题类型诉求类型投诉详情本人在2018年12元03日在盈盈有钱APP上面借款8000元，前三期每期还1499.59元，后面9期每期708.52元，现已还完第9期总共9062.85元，还有剩下3期没还，今天算了下，居然还要我还2140元，请问这是什么利率，另外催收还不停的给我的通讯录的亲戚朋友打电话告知我欠钱不还，请给我个合理的说法！如果在给我的亲戚朋友打电话，我就直接报警，今天催收的叫我借钱来还你们盈盈有钱，这明显就是套路贷。</t>
  </si>
  <si>
    <t>2019/10/03 22:12:35</t>
  </si>
  <si>
    <t>借款两次，扣除高额砍头息，本人要求归还利息，并且销账，或者延期还款本金。</t>
  </si>
  <si>
    <t>2019/10/03 22:12:16</t>
  </si>
  <si>
    <t>借3000三个月、每个月还1843、一共还5530、这不是高利贷。</t>
  </si>
  <si>
    <t>2019/10/03 22:11:43</t>
  </si>
  <si>
    <t>我1月份在新橙优品上借款3000元分三期，晋商消费金融放宽，砍头息什么都不算什么，我因为银行卡丢失，无法还款，换卡也绑不上，联系新橙客服帮我支付宝还款，有截图，也有和客服的微信截图，还款后客服告诉我销帐了，但是晋商消费金融一直给我发短信说我逾期了，我先后给新橙和晋商的客服打电话，新橙说已销帐，统一对接，之后我又打电话给新橙客服跟我说对接后征信可以消除，已经半年了，我的征信上还显示我逾期但是已结清，两个公司对接没做好，凭什么让用户背锅，立刻把我征信上的逾期去掉。</t>
  </si>
  <si>
    <t>2019/10/03 22:11:17</t>
  </si>
  <si>
    <t>我在小花钱包网贷公司的贷款逾期两天的时候接到了催收员的电话，向其解释短时间内资金紧张，请求给点缓冲时间给我，催收员不予理会，我便向小花钱包官当客服电话联系，说明自身情况，又向催收公司客服说明了情况，客服人员表示核实后回电，当天下午先是给我发了很多条侮辱性质的信息，又给我的家人打骚扰电话，各种羞辱！。</t>
  </si>
  <si>
    <t>2019/10/03 22:09:35</t>
  </si>
  <si>
    <t>投诉人来先生投诉对象玖富,玖富万卡涉诉金额50000元问题类型诉求类型投诉详情贷款5000还款10000堪比民间高利贷，比民间高利贷还高要人命了。</t>
  </si>
  <si>
    <t>2019/10/03 22:09:03</t>
  </si>
  <si>
    <t>投诉人周先生投诉对象宜信普惠涉诉金额16000元问题类型诉求类型投诉详情前段时间想做车贷，去了宜信普惠公司，然而他们这拖延那拖延，最后给我介绍高玲玲为主高利贷的生意，借3万十五天利息3000元，或者借2万借7天利息1200元，因为当时情况紧急就问他们借了钱，一共借了6-7次，利息都付了16000多，现在最后一次借款2.5万，开口要利息3000块，但讨价还价后2500元，由于经济问题，我只还了1.5万元，现在还差1万，但利息已经付过了，现在天天催，还恐吓，我有钱就还了但现在由于经济问题没钱还款。</t>
  </si>
  <si>
    <t>2019/10/03 22:08:31</t>
  </si>
  <si>
    <t>客服处理不当，未按照描述发货，收到货后两天就死机之后就不开机了。</t>
  </si>
  <si>
    <t>2019/10/03 22:07:40</t>
  </si>
  <si>
    <t>投诉人崔先生投诉对象湖北聚游旅游有限责任公司涉诉金额138元问题类型诉求类型投诉详情该公司在携程平台上挂出的淮安大白鲸世界门票，并未明示包含游玩项目，我在提出加价换极地海洋世界门票后该公司客服态度恶劣，表示我买错了就只能去，没有任何办法退改，孩子还没有一米高，没办法玩里面项目，虽然和我看错有关系，但是客观上我们无法玩嬉水世界这种情况客服不仅没有提出解决办法，还表示你买错就买错了，难道不是强买强卖吗，火车票都能改，何况这样提前两天的情况，规则你们订，就无视法律吗。</t>
  </si>
  <si>
    <t>2019/10/03 22:07:39</t>
  </si>
  <si>
    <t>分期乐在我表明有还款意愿打完情况下日夜电话骚扰我的通讯路详单，我的家人朋友已经保存通话录音和短信截图，已经向有关部门反应这种暴力催收打扰，正值打黑除恶时间，正在等待公安局和金融办回应。</t>
  </si>
  <si>
    <t>2019/10/03 22:06:06</t>
  </si>
  <si>
    <t>1.高额利息，砍头息，拒绝提供具体的利息利率2.冒充公安部门刑侦民警，要求配合调查，根据冒充人员提供的地址，到达后发展被识破，报警后否认属于公安机关人员，3.侵犯个人隐私，骚扰，恐吓短信4.委托律师事务所进行恐吓，公司内部法务部态度恶劣，蛮横，威胁说到:＂只是刚刚开始，家里能卖的都买了吧，＂5.短信威胁上门到单位催收，侵犯损毁名声。</t>
  </si>
  <si>
    <t>2019/10/03 22:04:26</t>
  </si>
  <si>
    <t>本人在京东商城购买了几部二手手机，收到货以后对手机不满意，申请七天无理由退换货，申请当天系统已经自动通过，并且快递员也上门取件成功，并支付了退货费用，今天收到了卖家发过来的恐吓信息,七天无理由退换货是我们消费者的权利，本人也不可能在从这家店铺购买手机，出售的手机按键不灵才申请退换货！忘京东对此店铺作出处罚并给一个解释，加强管理！。</t>
  </si>
  <si>
    <t>2019/10/03 22:03:11</t>
  </si>
  <si>
    <t>10月三日晚8点左右从前门东站上车，622路，三站后到崇文门西站下车换乘地铁，车费应该是1元，下车刷卡时发现竟扣了1.5元，多扣了0.5元。</t>
  </si>
  <si>
    <t>2019/10/03 22:02:40</t>
  </si>
  <si>
    <t>好易借爱分期，平台借款逾期前期一直都是按时还款处理，现在因手头债务爆发无力还款，请求平台宽限几天本来不是恶意逃债，等资金周转过来就安排处理借款，请求平台停止骚扰联系人和通讯录我尽快国庆节玩之前处理好借款，。</t>
  </si>
  <si>
    <t>2019/10/03 21:58:34</t>
  </si>
  <si>
    <t>玉林金声文化传播有限公司玉林银丰金逸影城,YY,1493187809，10月3日16点30分电影《中国机长》，在排队购买零食的时候，前台服务员及主管服务态度极其恶劣，因在官网购买的小票，前台服务员直接说到前面打印小票，打印回来后，排队购买，顾客较多，而且本人觉得已经购票了，应该在另个窗口直接领取，但是该前台人员多次走到顾客面前，也不搭理，也不解释，直接不予理睬，直至到16点31分也不没能处理，找到所谓的主管，也是一副“知道了”的表情，很多朋友都是整个玉林市服务态度最差的就是大润发的影城，今天算是领教了，本人</t>
  </si>
  <si>
    <t>2019/10/03 21:56:18</t>
  </si>
  <si>
    <t>你我贷，平台借款逾期前期一直都是按时还款处理，现在因手头债务爆发无力还款，请求平台宽限几天本来不是恶意逃债，等资金周转过来就安排处理借款，请求平台停止骚扰联系人和通讯录我尽快国庆节玩之前处理好借款，。</t>
  </si>
  <si>
    <t>2019/10/03 21:55:21</t>
  </si>
  <si>
    <t>投诉人余先生投诉对象街兔电单车涉诉金额3元问题类型诉求类型投诉详情街兔电单车虚假宣传引诱消费我被好友推荐注册街兔&amp;nbsp;获得5张免单体验券;但我用完车要支付时并不免单;免单券上还是标注的是免单券&amp;nbsp;&amp;nbsp;然后我联系客服问情况&amp;nbsp;客服又告诉我这个券只是8折券&amp;nbsp;&amp;nbsp;&amp;nbsp;但券上的确这些免单券&amp;nbsp;我觉得这是一种虚假宣传和引诱消费&amp;nbsp;然后客服告诉我让投诉部门的客服给我回电话&amp;nbsp;也没有回&amp;nbsp;有一次的无视用户&amp;nbsp;我有虚假宣传和引诱</t>
  </si>
  <si>
    <t>2019/10/03 21:54:11</t>
  </si>
  <si>
    <t>1.我在自由魔卡魔卡信用计划借款2000，需要购买会员350，利息50元，实际到账1600，属于国家严厉打击的高利贷利息本人已不能承担，2.本人已经多次续期借款，利息早就超过国家法律规定！希望销账并归还砍头息，。</t>
  </si>
  <si>
    <t>2019/10/03 21:54:10</t>
  </si>
  <si>
    <t>投诉人吕先生投诉对象拼多多涉诉金额3910元问题类型诉求类型投诉详情我们这边的快递现在是下午2.30左右来收件的，我们是晚上提前包好快递第二天下午2.30左右来收的，但是今天收到站内信提示被判虚假发货，我们也联系过快递，快递说因公司当天下午停电原因导致没电没网不能及时扫描，所以直接把货拉到淄博总公司扫描的，快递也同意给开具了我们正常发货的发货证明提交申诉后被驳回申诉，驳回理由是---审核意见：您好，贵店当日发货该批次订单中仍有部分订单正常发出，说明快递可以正常取件，贵店申诉与事实不符，申诉驳回，将按照站内信</t>
  </si>
  <si>
    <t>2019/10/03 21:52:13</t>
  </si>
  <si>
    <t>买得衣服不合适，商家同意后退货退款，当时购买了运费险，货已经收到，运费不退，希望给个说法。</t>
  </si>
  <si>
    <t>2019/10/03 21:51:34</t>
  </si>
  <si>
    <t>投诉人 丁先生        投诉对象  立借        涉诉金额  0 元    问题类型    诉求类型投诉详情  每天打电话来要我贷款。我不需要。也不知道怎么知道我的电话的。</t>
  </si>
  <si>
    <t>2019/10/03 21:51:31</t>
  </si>
  <si>
    <t>一、在小赢卡贷借款时，平台在申请时违规将借款合同与保险合同捆绑到一起，二、客户在操作借款时，操作页面无明显提示需购买保险，且保险费用从借款利息中扣除，关于保险合同的被保人、保障条款、生效时间等一概不知情，本人得知名下有4笔众安保险的保单，本人要求保险公司依法立刻退还相关保险费用，注：相关证据图片后面全部附上如不解决，将进一步向12378保监会投诉到底，保单号：82111004512221856。</t>
  </si>
  <si>
    <t>2019/10/03 21:50:59</t>
  </si>
  <si>
    <t>汽车之家勾结高利贷及贷误导用户直接放款！8500块12期等额本息3000左右的利息，都百分之50左右了，哪里合法了，你们的计算方式是哄小孩呢，没规则没详情，放款之后才能看到三个合同！委托担保合同，借款页面哪有写着有委托担保了，谁需要担保了，12期，已还7期，本金还完差不多九期，要么协商利息我把该给的给你们，要么你们催收吧，9期之后不还了！。</t>
  </si>
  <si>
    <t>2019/10/03 21:50:23</t>
  </si>
  <si>
    <t>拼多多在手机百度上做推广广告，写明小米笔记本电脑9.9元，已销售10万+，并且写明差1人成团，点击进入后诱导下载app，进入app后显示仅限2台，而且是3天后抢购，严重误导消费者。</t>
  </si>
  <si>
    <t>2019/10/03 21:49:54</t>
  </si>
  <si>
    <t>叫车，由于滴滴平台的系统问题，定位不准，最后司机很长时间才找到，并且最后按个人支付，向客服反应，客服全程表示是我个人原因造成的，推卸责任，后承认是平台问题，要求解决，滴滴不给解决让我自己找单位协商，你平台的问题凭什么让我自己找单位协商去。</t>
  </si>
  <si>
    <t>2019/10/03 21:49:45</t>
  </si>
  <si>
    <t>投诉人李先生投诉对象汇潮支付涉诉金额8000元问题类型诉求类型投诉详情高利贷，到期当天辱骂联系人，4个平台都是借2000到手1400砍头息600澳门电话一天打几十个电话。</t>
  </si>
  <si>
    <t>2019/10/03 21:49:31</t>
  </si>
  <si>
    <t>本人于2019年1月7号通过凡普信贷申请贷款，批核金额20200元，合同金额20200元，当月9号下款20200元金额后不到十分钟就以所谓服务费，信息费等多种理由一次性划扣掉5200元，其实际到手金额15000元，分十二期偿还，每期账单金额为2112.84元，合计应还总额25354.08元，综合年利率为118.2%；同时不到账单还款日期就非法催收爆通讯录，进行威胁同恐吓。</t>
  </si>
  <si>
    <t>2019/10/03 21:49:28</t>
  </si>
  <si>
    <t>由于前几天缺资金周转，找到聚富分期，但是没有申请成功，就卸载了，后来没有任何扣款提醒，没有任何操作，直接从银行卡里划走299元，强烈要求严查此公司，强烈要求退款。</t>
  </si>
  <si>
    <t>2019/10/03 21:48:53</t>
  </si>
  <si>
    <t>恒易货属于黑网贷，存在阴阳合同，合同金额29445.07，到手金额26000元，每月总共要求还2842.17元，12期共需还款34106.04元，现在已还10期，共还款28421.7元，由于无力偿还，申请提前还款，提前还的话还是收取高额费用没有减免优惠；这样的黑网贷必须关闭，请打击这种黑网贷，要不人们没法活，提前还款必须给予大力核减，达到正常本金和利息。</t>
  </si>
  <si>
    <t>2019/10/03 21:48:41</t>
  </si>
  <si>
    <t>预约了快递，超过了一天时间没有上门取件，联系物流客服，说免快递费补偿，之后28问客服为什么没有免快递费，说一到三天会转到我的支付宝，3号问客服为什么没到账，又问了一遍我什么原因，说他看不到聊天记录，发了聊天记录给客服，他却来质疑我的聊天记录，一拖再拖，每一次问都要问一遍原因，然后等，这个客服态度太牛逼了，鸡蛋里挑骨头我要投诉淘宝菜鸟裹裹物流客服.工号104325。</t>
  </si>
  <si>
    <t>2019/10/03 21:48:18</t>
  </si>
  <si>
    <t>你我贷平台恶意性质，多次上门威逼，让家人沦为笑话，严重影响。</t>
  </si>
  <si>
    <t>2019/10/03 21:45:49</t>
  </si>
  <si>
    <t>投诉人 杨先生        投诉对象  樱桃小借        涉诉金额  40 000 元    问题类型    诉求类型投诉详情  我已经还了。少还了0.02元。7天利息高达448.2。想还。还不了。强制性让你逾期。和客服沟通。要让我一次还。还有利息。不是我的原因逾期。也算给我利息比本金高了不止70%。希望你们帮我。我一天一个电话。根本联系不上他们。还有想还也不让你还。天天叫我们和APp上联系跟本不理你。属于黑恶势力。严重影响我的生活</t>
  </si>
  <si>
    <t>2019/10/03 21:45:28</t>
  </si>
  <si>
    <t>投诉人 陈先生        投诉对象  及贷        涉诉金额  1 700 元    问题类型    诉求类型投诉详情  倒卖我的资料接到各行各业的推广电话。给我带来了不必要的麻烦。</t>
  </si>
  <si>
    <t>2019/10/03 21:44:42</t>
  </si>
  <si>
    <t>闪银平台商品贷单方面违约，拒不发货，虚假宣传，。</t>
  </si>
  <si>
    <t>2019/10/03 21:44:41</t>
  </si>
  <si>
    <t>平台私自放水到714的口子借钱，让我们背高利息的锅。</t>
  </si>
  <si>
    <t>2019/10/03 21:44:33</t>
  </si>
  <si>
    <t>360借条因为个人原因导致逾期20几天，这期间我因为出车祸住院未能接到电话，但是我好几个亲朋好友接到其打的电话，当我打电话给客服时它告诉我说因为我逾期他们有权利给我通讯录里的人打电话核实情况，我想知道这真的不算侵犯隐私吗。</t>
  </si>
  <si>
    <t>2019/10/03 21:43:27</t>
  </si>
  <si>
    <t>钱站属于黑网贷，存在阴阳合同，合同金额26400元，实际到手金额20000元，每月总共要求还2766.64元，12期共需还款33199.68元，现在已还4期，共还款11066.56元，由于无力偿还，申请提前还款，提前还的话要收取19086.68元；20000元用不到五个月要多还10153.24元，这样的黑网贷必须关闭，请打击这种黑网贷，要不人们没法活。</t>
  </si>
  <si>
    <t>2019/10/03 21:42:52</t>
  </si>
  <si>
    <t>麦子金服旗下公司非法给大学生房贷并收取砍头息，还款完了以后以逾期为理由拒不退还咨询费，希望聚投诉帮帮忙，要求他们归还非法砍头息。</t>
  </si>
  <si>
    <t>2019/10/03 21:42:31</t>
  </si>
  <si>
    <t>投诉人黄先生投诉对象拼多多涉诉金额1000元问题类型诉求类型投诉详情拼多多店铺被同行买家在店铺一直恶意下单，恶意申请退款，恶意申请平台介入，店铺退款指标，平台介入指标一直不达标，一直二级处罚中，平台对这样的人毫无办法，也没有一个合理的解释，所有恶意下单的订单，实际收件人都不是收件人自己买的，打电话核实别人根本就没有买这个东西，或是无效地址或是无效电话，所牵涉到的买家有20几个，订单一百多笔，以截图为证，。</t>
  </si>
  <si>
    <t>2019/10/03 21:42:27</t>
  </si>
  <si>
    <t>购分期app在没有提示下，扣款199元，申请页面完全没有提到会扣除199，只显示额度申请，申请完后，银行卡直接扣除了199，要求全额退款，客服一直不在线，。</t>
  </si>
  <si>
    <t>2019/10/03 21:42:19</t>
  </si>
  <si>
    <t>没有经过任何人同意就直接扣款，联系客服不回复，打电话，客服说推荐成功了不退，但是推荐的都是714高利贷，没有正规产品，强行让客户接受，不退款。</t>
  </si>
  <si>
    <t>2019/10/03 21:41:15</t>
  </si>
  <si>
    <t>投诉人陈女士投诉对象美团点评涉诉金额1166元问题类型诉求类型投诉详情我在美团app预定了一家名为多米精品特色公寓的2019年12月底的三天两晚的行程，下单两个小时内不需要了，申请退款，公寓直接拒绝了，好不容易打通了公寓电话，公寓店员也一直打太极说有问题需要问店长再说吧，让我直接联系美团客服即可，不给予解决方式还说要扣一部分金额！，距离入住时间还有两个月的时间，为什么没有权力拿回全部的预定金呢。</t>
  </si>
  <si>
    <t>2019/10/03 21:40:56</t>
  </si>
  <si>
    <t>投诉人 郭先生        投诉对象  百事普惠        涉诉金额  460 元    问题类型    诉求类型投诉详情  真套路防不胜防，真没人管了无法无天明抢呢</t>
  </si>
  <si>
    <t>2019/10/03 21:40:02</t>
  </si>
  <si>
    <t>你我贷机器人电话每5分钟骚扰我，性质相当恶劣，影响正常生活。</t>
  </si>
  <si>
    <t>2019/10/03 21:40:00</t>
  </si>
  <si>
    <t>9月9日，在天猫静志数码专营店购入兄弟牌DCP-B7500D打印机一台，9月11日未发货，咨询商家得到回复是缺货，不能发货，于是投诉反馈到天猫，天猫告知商家明确表示不能发货，并作出订单付款百分之三十的天猫红包作为延迟发货的补偿，后多次反馈到天猫，得到的回复是已经赔偿百分之三十，商家表示无法发货缺货，商家于2019年9月13日开始正常销售至今，并没有下架或页面标注缺货，后反馈至杭州工商监督管理局，说通过绿色通道转入天猫进行处理，于2019年9月29日天猫客服来电称商家还是缺货并不能履行合约正常发货，而且还表示</t>
  </si>
  <si>
    <t>2019/10/03 21:39:31</t>
  </si>
  <si>
    <t>贷上钱平台借款2500元，期限30天，到期需还款3325元。</t>
  </si>
  <si>
    <t>2019/10/03 21:38:16</t>
  </si>
  <si>
    <t>投诉人王富生猪猪投诉对象Wecash闪银涉诉金额1100元问题类型诉求类型投诉详情晚上的时候急用钱，借了一笔，总共1000，有两笔保费，两个白条分期，还有利息，完全是套路贷，然后我把保费给结了，还有白条分期，联系不上客服，我又点了一个订单，又变成了两个??147，还是联系不上客服，要求对方撤销订单，销账，我退回本金。</t>
  </si>
  <si>
    <t>2019/10/03 21:38:02</t>
  </si>
  <si>
    <t>投诉人 雄润        投诉对象  信用管家        涉诉金额  8 800 元    问题类型    诉求类型投诉详情  私下随便乱扣费，钱都不知道是怎么扣的。。 。。 。。。。。。。。。。。</t>
  </si>
  <si>
    <t>2019/10/03 21:37:41</t>
  </si>
  <si>
    <t>投诉人 芬先生        投诉对象  点借        涉诉金额  4 880 元    问题类型    诉求类型投诉详情  电话轰炸，短信轰炸，每天只有关机。无法生活</t>
  </si>
  <si>
    <t>2019/10/03 21:37:13</t>
  </si>
  <si>
    <t>投诉人刘先生投诉对象支付宝涉诉金额26000元问题类型诉求类型投诉详情我在支付宝的花呗和借呗，因为家里一些变故加上我个出了车祸导致其逾期70天，之前有打电话给支付宝客服说明情况，就在10月3日晚接到自称是支付宝工作人员的电话，告诉我明天中午十二点以前不处理就联系我老婆核实情况并拘留我，问他为什么联系我老婆她告诉我说这是属于夫妻共同债务图我老婆是第二被告，在这里我想说的是钱是我借的，逾期也确实是有原因的，我最近也在积极想办法处理这一情况，为什么要牵扯我家人，为什么给你们客服反馈问题就和没说是一样的，希望可以得</t>
  </si>
  <si>
    <t>2019/10/03 21:36:28</t>
  </si>
  <si>
    <t>你我贷高利贷暴力催收侮辱谩骂家人盗用本人图片进行人身攻击，性质恶劣。</t>
  </si>
  <si>
    <t>2019/10/03 21:35:31</t>
  </si>
  <si>
    <t>投诉人 吴先生        投诉对象  淘宝网,淘宝：小时光气球        涉诉金额  76 元    问题类型    诉求类型投诉详情  淘宝卖家不断骚扰，影响我生活。为淘宝的管理无能感到失望</t>
  </si>
  <si>
    <t>2019/10/03 21:35:29</t>
  </si>
  <si>
    <t>投诉人 王先生        投诉对象  IPASON攀升        涉诉金额  500 元    问题类型    诉求类型投诉详情  主板氧化了在保修期内修不好让我买新的主板？这是什么逻辑？霸王条款？</t>
  </si>
  <si>
    <t>2019/10/03 21:34:29</t>
  </si>
  <si>
    <t>投诉人陈葡萄投诉对象章鱼哥APP,章鱼精选APP涉诉金额700元问题类型诉求类型投诉详情利用美团猫眼电影票之类的旗号的骗人充钱了结果没用两天第三天就显示在维护说下周二可以用结果到时间了还是不能用来然后客服客服也不处理加了客服的微信也不理人还把我删了。</t>
  </si>
  <si>
    <t>2019/10/03 21:34:23</t>
  </si>
  <si>
    <t>6月3日贷的水莲金条10000，分12期，第一期1904，第二期1700，第三期1700，后面9期每期是921.78。</t>
  </si>
  <si>
    <t>2019/10/03 21:30:09</t>
  </si>
  <si>
    <t>投诉人 罗涛        投诉对象  交易猫        涉诉金额  580 元    问题类型    诉求类型投诉详情  交易猫平台买了号第二天就被找回 客服又不搭理你 找回的账号又被上架 又继续卖 这个平台还不退款</t>
  </si>
  <si>
    <t>2019/10/03 21:30:08</t>
  </si>
  <si>
    <t>在携程上购买了车票，没有取过票，也没有晚点，不给予退款。</t>
  </si>
  <si>
    <t>2019/10/03 21:28:49</t>
  </si>
  <si>
    <t>10月1日，由校归家途中在火车我打开电脑，发现自带键盘不可用，此前我一直使用的是自己购买的外部键盘，沟通随即转接联想客服，当日购通了很多次，均未解决，晚上根据联想客服说的恢复电脑操作也是用不了，2019年10月3日我来到了联想3c服务中心，表明键盘不可用后，服务人员说只能更换电脑的下半部分，当即我与苏宁易购客服沟通换货，被拒绝，说过了国家7天包退15天包换的原则，国家有这个规则，苏宁难道没有自己的规则吗，这个键盘到我手里才一个月啊，这个键盘不是我的问题，我为什么要承担它被更换所带来的价值损失，不更换它对我来</t>
  </si>
  <si>
    <t>2019/10/03 21:27:21</t>
  </si>
  <si>
    <t>投诉人 黄先生        投诉对象  自由魔卡,超级马力贷        涉诉金额  2 000 元    问题类型    诉求类型投诉详情  自由魔卡超级马力贷高砍头息高利贷 电话骚扰恐吓</t>
  </si>
  <si>
    <t>2019/10/03 21:27:02</t>
  </si>
  <si>
    <t>刚入职一个月直接从我工资里面扣700元押金当做工衣工帽的押金，当初说好工作满1年无理由退还押金，我也工作满1年多，。</t>
  </si>
  <si>
    <t>2019/10/03 21:25:43</t>
  </si>
  <si>
    <t>本人被引诱到太阳城娱乐网站充值入300元，后来发现是网络赌博平台，并非正规的购彩网站，私自拿公司的账户为博彩平台提供支付通道导致本人被骗300元，，私自拿公司的账户为博彩平台提供支付通道，导致本人被骗300元，根据中国人民银行《支付结算办法规定》，任何人不得利用银行账户办理公司业务之外的收支结算，以及，金融机构客户身份识别和客户身份资料及交易记录保存管理办法，等规定，枣庄市峄城区博联电子商务中心公司没有履行国家相关法律法规要求。</t>
  </si>
  <si>
    <t>2019/10/03 21:25:18</t>
  </si>
  <si>
    <t>零钱通放了300元作为理财基金，大概在8月左右突然限制了我的微信支付，不能付款，不能提现，多次联系微信客服全部为机器人回复，未得到解决，腾讯强制采集人脸信息，请求司法介入，请求央行处理。</t>
  </si>
  <si>
    <t>2019/10/03 21:24:55</t>
  </si>
  <si>
    <t>投诉人陈先生投诉对象天天贷涉诉金额1800元问题类型诉求类型投诉详情暴利催收，辱骂侮辱人，侮辱通讯录朋友。</t>
  </si>
  <si>
    <t>2019/10/03 21:24:43</t>
  </si>
  <si>
    <t>就借了6000块钱后面看合同上才发现显示借了10800块钱。</t>
  </si>
  <si>
    <t>2019/10/03 21:23:31</t>
  </si>
  <si>
    <t>贷上钱放贷款时未对电话真实进行确认，陌生人乱用电话登记平台前期未进行审核，后期对本人进行短信电话骚挠，贷上钱给与说法。</t>
  </si>
  <si>
    <t>2019/10/03 21:21:31</t>
  </si>
  <si>
    <t>投诉人 林先生        投诉对象  月光侠分期        涉诉金额  2 334 元    问题类型    诉求类型投诉详情  不小心点了借款。要求取消借款。高利贷。找不到客服。</t>
  </si>
  <si>
    <t>2019/10/03 21:21:27</t>
  </si>
  <si>
    <t>投诉人 陈先生        投诉对象  及贷        涉诉金额  1 800 元    问题类型    诉求类型投诉详情  每天几十个催款电话和威胁短信。弄得人晕头转向。生活无法正常运行。请停止骚扰和威胁。</t>
  </si>
  <si>
    <t>2019/10/03 21:20:03</t>
  </si>
  <si>
    <t>本人被引诱到太阳城娱乐网站充值入500元，后来发现是网络赌博平台，并非正规的购彩网站，私自拿公司的账户为博彩平台提供支付通道导致本人被骗500元，，私自拿公司的账户为博彩平台提供支付通道，导致本人被骗500元，根据中国人民银行《支付结算办法规定》，任何人不得利用银行账户办理公司业务之外的收支结算，以及，金融机构客户身份识别和客户身份资料及交易记录保存管理办法，等规定，漯河市源汇区退完百货店没有履行国家相关法律法规要求。</t>
  </si>
  <si>
    <t>2019/10/03 21:18:23</t>
  </si>
  <si>
    <t>投诉人庄丽投诉对象小浦优客涉诉金额296元问题类型诉求类型投诉详情小浦优客app申请借款，按步骤填写资料，然后最后要求绑定银行卡，绑定完成就开始审批，今天下午4点发来短信扣除296元个人信用报告费用，我根本没申请过个人信用报告，而且申请步骤并没有说明有这个费用，正规贷款也不应该有前期费用，涉嫌违规欺诈，只要查询到这个页面就扣款，违规欺诈，要求全额退还296元，而且他也只是中介，扣取费用之后推荐几个app。</t>
  </si>
  <si>
    <t>2019/10/03 21:17:55</t>
  </si>
  <si>
    <t>不仅打电话威胁，还发信息，逾期一天就这么多利息，还有什么服务费，利息违约金，朋友也接到电话。</t>
  </si>
  <si>
    <t>2019/10/03 21:17:29</t>
  </si>
  <si>
    <t>我在海风教育给孩子报补习班，海风的人带我班办的代款，按合同是要全我付多少钱就退多少是不扣任何费用的，我9月1号申请退款到10月3号还没给我处理好。</t>
  </si>
  <si>
    <t>2019/10/03 21:16:40</t>
  </si>
  <si>
    <t>你我贷平台，持续骚扰非借款人员，性质恶劣，投诉。</t>
  </si>
  <si>
    <t>2019/10/03 21:16:24</t>
  </si>
  <si>
    <t>投诉人 陈先生        投诉对象  立借        涉诉金额  3 600 元    问题类型    诉求类型投诉详情  贷款成功了3天不打款。还要我重新申请贷款。每次说的都不一样。不放款就早点关门大吉我找其他平台借。</t>
  </si>
  <si>
    <t>2019/10/03 21:16:18</t>
  </si>
  <si>
    <t>投诉人 雄润        投诉对象  信用管家        涉诉金额  6 800 元    问题类型    诉求类型投诉详情  故意找人骗担保，收服务费。。。。。。。。。。。。。。。</t>
  </si>
  <si>
    <t>2019/10/03 21:16:16</t>
  </si>
  <si>
    <t>安逸花在APP里开通了一个会员通道开个月卡需要40元，有各样的福利，优惠卷很多但是购买物品时一直不能付款，一直显示抱歉你暂不符合条件。</t>
  </si>
  <si>
    <t>2019/10/03 21:15:34</t>
  </si>
  <si>
    <t>暴力催收，短信验证码骚扰，抖音骚扰，微信威胁，现在还委托外包收账公司说上门。</t>
  </si>
  <si>
    <t>2019/10/03 21:14:33</t>
  </si>
  <si>
    <t>本人被引诱到太阳城娱乐网站充值入500元，后来发现是网络赌博平台，并非正规的购彩网站，私自拿公司的账户为博彩平台提供支付通道导致本人被骗500元，，私自拿公司的账户为博彩平台提供支付通道，导致本人被骗500元，根据中国人民银行《支付结算办法规定》，任何人不得利用银行账户办理公司业务之外的收支结算，以及，金融机构客户身份识别和客户身份资料及交易记录保存管理办法，等规定，原阳县初露百货商行没有履行国家相关法律法规要求，我要求原阳县初露百货商行赔偿我的经济损失500元，并向我道歉。</t>
  </si>
  <si>
    <t>2019/10/03 21:13:15</t>
  </si>
  <si>
    <t>2018年，我在苏宁易购买的保险其中有一项是发放驴妈妈权益金，可是现在驴妈妈app里面的2018年发放的旅游权益金多次无法使用，说是在协商，可是一直不能使用，要求恢复使用权，不能这么明目张胆的糊弄消费者。</t>
  </si>
  <si>
    <t>2019/10/03 21:12:51</t>
  </si>
  <si>
    <t>及贷平台盗刷人民币，性质恶劣，必须要求退款。</t>
  </si>
  <si>
    <t>2019/10/03 21:10:44</t>
  </si>
  <si>
    <t>贷款前说的天花乱坠怎么好贷款后各种问题都发生了，虽然都是小问题但是有时候接电话很耽误我的时间也打扰到我的日常生活。</t>
  </si>
  <si>
    <t>2019/10/03 21:10:37</t>
  </si>
  <si>
    <t>创维电视酷开会员误导消费者重复消费，影视会员内容和我上月开通的银河奇异果会员内容一样，拨打客服电话，客服人员态度非常强硬，告知就是不能退费，既然不能退费，为什么要误导消费者是酷开会员呢！为什么不直接说是银河奇异果会员。</t>
  </si>
  <si>
    <t>2019/10/03 21:10:33</t>
  </si>
  <si>
    <t>不能提前还款，还有就是没有自动扣款导致逾期1天，违约金收了123.39。</t>
  </si>
  <si>
    <t>2019/10/03 21:10:04</t>
  </si>
  <si>
    <t>投诉人尹先生投诉对象Wecash闪银涉诉金额3000元问题类型诉求类型投诉详情闪银奇艺平台盗刷私自扣款要求退款，客服不处理，联系不上。</t>
  </si>
  <si>
    <t>2019/10/03 21:09:34</t>
  </si>
  <si>
    <t>投诉人苏女士投诉对象借贷宝涉诉金额5000元问题类型诉求类型投诉详情在借贷宝平台上，有个出借人联系我说可以借笔款给我，然后要求我在借贷宝平台上打5000元的欠条，一周的时间，收30%的利息，到手金额才3400元，现在我还给他们本金，但他们确要求我还5000元，一直跟他们协商，在线下还款给他们，叫他们要展期，可他们不肯，说展期必须要付1600元的费用，要不然就免谈，我也跟平台上说过了，平台也帮我反馈了，可今天这个叫出借人罗善议的，就打电话过来催我还款，我说已经交给平台去处理了，他们一听就不高兴了，威胁我说不还</t>
  </si>
  <si>
    <t>2019/10/03 21:07:50</t>
  </si>
  <si>
    <t>2019年8月28日在飞猪APP上订购9月27日雅加达飞广州的机票，与9月24日晚申请改签，需要我用下单手机联系南航改签，因为我在境外，没有开通国际漫游，我看了退票规则，订单全程无提示该机票不能退票，退票不退款，退改规则详情页只在开头显示变更客票收取手续费45美元，结果我今天查询账单得知只退了我116元的税费，告知我在退票规则有写明不予退票，我找了很多遍都没有找到，结果在一个中间的小角落，差不多将近一千字，在根本没人注意的地方写了不到10个字，告诉我不能退款，完全是霸王条款，误导消费者。</t>
  </si>
  <si>
    <t>2019/10/03 21:06:34</t>
  </si>
  <si>
    <t>投诉人马先生投诉对象扣款失败涉诉金额200元问题类型诉求类型投诉详情我的银行卡有足够还款金额但是始终扣款失败主动还款也还不上会导致明天逾期。</t>
  </si>
  <si>
    <t>2019/10/03 21:05:59</t>
  </si>
  <si>
    <t>投诉人朱女士投诉对象尚德机构,咖啡易融涉诉金额5601元问题类型诉求类型投诉详情今天我还在跟班主任讨论这个事情该怎么取消，，班主任就发不介意我这么做，然后没过多久咖啡易融平台就自动扣款了，就把这个月的分期款扣掉啦，平时都是自动28号扣的。</t>
  </si>
  <si>
    <t>2019/10/03 21:05:40</t>
  </si>
  <si>
    <t>本人被引诱到太阳城娱乐网站充值入1000元，后来发现是网络赌博平台，并非正规的购彩网站，私自拿公司的账户为博彩平台提供支付通道导致本人被骗1000元，，私自拿公司的账户为博彩平台提供支付通道，导致本人被骗1000元，根据中国人民银行《支付结算办法规定》，任何人不得利用银行账户办理公司业务之外的收支结算，以及，金融机构客户身份识别和客户身份资料及交易记录保存管理办法，等规定，漯河市郾城区佳一五号日用百货店没有履行国家相关法律法规要求，我要求漯河市郾城区佳一五号日用百货店赔偿我的经济损失1000元，并向我道歉。</t>
  </si>
  <si>
    <t>2019/10/03 21:05:00</t>
  </si>
  <si>
    <t>投诉人尹先生投诉对象及贷涉诉金额5000元问题类型诉求类型投诉详情及贷放砍头贷而且年化利息超过36％隐藏借款合同。</t>
  </si>
  <si>
    <t>2019/10/03 21:03:58</t>
  </si>
  <si>
    <t>投诉人 陈先生        投诉对象  立借        涉诉金额  2 800 元    问题类型    诉求类型投诉详情  和客服联系几次了没有协商解决好问题。导致我一直在逾期状态。一直协商不成功</t>
  </si>
  <si>
    <t>2019/10/03 21:03:37</t>
  </si>
  <si>
    <t>要求退还哼哼以及瞬瞬到账金额销账利率太高无法接受。</t>
  </si>
  <si>
    <t>2019/10/03 21:03:35</t>
  </si>
  <si>
    <t>投诉人 杨雄        投诉对象  你我贷        涉诉金额  4 700 元    问题类型    诉求类型投诉详情  强制性收费，骗合同人多出钱，利息高。。。。。。。。。</t>
  </si>
  <si>
    <t>2019/10/03 21:02:06</t>
  </si>
  <si>
    <t>本人是用钱宝老客户了，就因提前还款一次几个月了都是贷款超市而且用钱宝向我推荐的都是些非法高利贷，上个礼拜已经有在聚投诉平台投诉过一次用钱宝客服联系了我说7天以后恢复正常使用可是今天另我没想到的是，再一次的进入了贷款超市界面。</t>
  </si>
  <si>
    <t>2019/10/03 21:00:11</t>
  </si>
  <si>
    <t>本人被引诱到太阳城娱乐网站充值入2000元，后来发现是网络赌博平台，并非正规的购彩网站，私自拿公司的账户为博彩平台提供支付通道导致本人被骗2000元，，私自拿公司的账户为博彩平台提供支付通道，导致本人被骗2000元，根据中国人民银行《支付结算办法规定》，任何人不得利用银行账户办理公司业务之外的收支结算，以及，金融机构客户身份识别和客户身份资料及交易记录保存管理办法，等规定，枣庄市峄城区易威电子商务中心公司没有履行国家相关法律法规要求，我要求漯河市郾城区天吧做日用百货店赔偿我的经济损失2000元，并向我道歉。</t>
  </si>
  <si>
    <t>2019/10/03 20:59:45</t>
  </si>
  <si>
    <t>本人由于在QQ看到处处推广广告”，因信任QQ，所以下载了一个体验一下，注册处处后，有人回复消息，而后提示需要开通会员，开通免密支付可以体验三天，点进去支付准备体验，跳转支付宝支付成功，竟然签约代扣，免密支付，支付同时先后扣了99，69元，在客户不知情的前提，在后面使用处处APP中看到包月服务，点进去想了解详情，结果显示支付成功，这才发现处处APP已经通过支付宝签约代扣了99，69元2笔钱，造成后果原因处处诱导消费者签约支付宝代扣服务，再利用代扣服务后台自动扣费，骗钱，支付宝签约代扣，免密支付有安全漏洞，代扣</t>
  </si>
  <si>
    <t>2019/10/03 20:59:05</t>
  </si>
  <si>
    <t>投诉人范先生投诉对象美团外卖涉诉金额35元问题类型诉求类型投诉详情没有办理美团会员红包前，我都能正常点我喜欢的那家快餐，办理后就不能正常点他家的餐，出来中国500起送的快餐，联系美团说是系统问题，我办理会员红包无法点到我喜欢吃的快餐，所以要求退还我实际支付金额。</t>
  </si>
  <si>
    <t>2019/10/03 20:58:53</t>
  </si>
  <si>
    <t>我妹妹借的钱没还够，给我打电话让我帮她还，她30多岁的人了，和我有什么关系么，一直骚扰，电话信息都骚扰，无休止的骚扰，你们放款的时候给我一分了没有，是我借的么，还款了为什么找我，国家现在严厉打击套路贷，暴力催收，你们这么大的公司顶风作案，把国家法律都不放在眼里是么，还有没有国法，现在去网上搜搜你们平安普惠，看看民众是怎么评价你们的，羞耻。</t>
  </si>
  <si>
    <t>2019/10/03 20:58:52</t>
  </si>
  <si>
    <t>投诉人 文世荣        投诉对象  易宝支付        涉诉金额  198 元    问题类型    诉求类型投诉详情  第二次非法扣钱了。专门为非法贷款APP提供扣款。我都没有使用所谓的VIP。甚至连这个扣款方APP都找不到。第二次了。</t>
  </si>
  <si>
    <t>2019/10/03 20:57:53</t>
  </si>
  <si>
    <t>在钱站借款1500，实际到账1000元，然后因为未开工资，不小心逾期，一天利息100多，第一天就开始打电话恐吓，说要上门把家东西都拿走，p我照片发给通讯录，然后给通讯录日夜不停打电话，我感觉这是黑恶性质！并且我也不是不还，我已经说过了，下个月，一起还款，希望法律严惩。</t>
  </si>
  <si>
    <t>投诉人 高先生        投诉对象  信用管家        涉诉金额  4 300 元    问题类型    诉求类型投诉详情  还款半年了本金还是不变。账目不清不白。无法沟通</t>
  </si>
  <si>
    <t>2019/10/03 20:56:56</t>
  </si>
  <si>
    <t>新橙优品10月1号还款日前无任何短信通知，10月1号还款日无通知，10月2号逾期一天无通知，10月3号逾期两天无通知，晚上卡里有钱才自动扣，新橙优品给出解释，为什么完全不通知本人，什么消息都没有收到，而且导致逾期的记录是否会上征信跟数据，给解释，如果有记录我要求新橙优品消除记录，请联系本人解释。</t>
  </si>
  <si>
    <t>2019/10/03 20:56:21</t>
  </si>
  <si>
    <t>利息高达1788，每次都收取利息和服务费，已超过国家规定的标准，借5000，还6800，迟还一天就各种电话信息恐吓辱骂。</t>
  </si>
  <si>
    <t>2019/10/03 20:55:36</t>
  </si>
  <si>
    <t>本人在全家便利店张杨路店上班以兼职工作了6天，之前没有任何告知，没满1个月不给工资，麻烦处理，不然劳动监察大队投诉不想把事情搞大。</t>
  </si>
  <si>
    <t>2019/10/03 20:55:17</t>
  </si>
  <si>
    <t>本人被引诱到太阳城娱乐网站充值入5000元，后来发现是网络赌博平台，并非正规的购彩网站，私自拿公司的账户为博彩平台提供支付通道导致本人被骗5000元，，私自拿公司的账户为博彩平台提供支付通道，导致本人被骗5000元，根据中国人民银行《支付结算办法规定》，任何人不得利用银行账户办理公司业务之外的收支结算，以及，金融机构客户身份识别和客户身份资料及交易记录保存管理办法，等规定，枣庄市峄城区易威电子商务中心公司没有履行国家相关法律法规要求，我要求漯河市郾城区天吧做日用百货店赔偿我的经济损失5000元，并向我道歉。</t>
  </si>
  <si>
    <t>2019/10/03 20:54:22</t>
  </si>
  <si>
    <t>投诉人 高先生        投诉对象  维信金科        涉诉金额  1 600 元    问题类型    诉求类型投诉详情  我欠钱请不来打扰我的家人。造成的后果没有人来承担后果。做人做事情节严重恶劣</t>
  </si>
  <si>
    <t>2019/10/03 20:54:20</t>
  </si>
  <si>
    <t>逾期第一天就开始骚扰联系，性质恶劣，毫无规则性，。</t>
  </si>
  <si>
    <t>2019/10/03 20:53:03</t>
  </si>
  <si>
    <t>投诉人佘先生投诉对象51人品涉诉金额14000元问题类型诉求类型投诉详情借款14000，到手12000，分24个月还清，每个月还893.27，大家看看是不是高利贷。</t>
  </si>
  <si>
    <t>2019/10/03 20:52:57</t>
  </si>
  <si>
    <t>投诉人 陈女士        投诉对象  小花钱包        涉诉金额  2 000 元    问题类型    诉求类型投诉详情  小花钱包 催收 催收暴力恐吓本人 使我精神上受到压力 暴力催收 群发短信 并转告我的亲朋好友 工作单位领导 致使我被工作单位开除</t>
  </si>
  <si>
    <t>2019/10/03 20:51:52</t>
  </si>
  <si>
    <t>九月二十一日拍下，至今未发货，联系客服告知国庆阅兵快递停收无法发货，1号仓在浙江，收货地址山西，关北京什么事，望妥善处理！。</t>
  </si>
  <si>
    <t>2019/10/03 20:50:25</t>
  </si>
  <si>
    <t>及贷向在校大学生放贷款，侵犯个人隐私权，性质恶劣。</t>
  </si>
  <si>
    <t>2019/10/03 20:50:01</t>
  </si>
  <si>
    <t>我在先花一亿APP上购买了180元的测评费，上面也说明借款不成功会退款的，到现在没有退款然后联系客服申请退款怎么也联系不上客服，昨天开始到现在为止都联系不上全部都是空号空号，现在这个费用他们也无人退款给我，我联系先花一亿线上APP客服，还有微信公众号客服两天都联系不上人，打官方电话也是空号，现在怎么找也找不到客服，电话也全部都是空号。</t>
  </si>
  <si>
    <t>2019/10/03 20:48:53</t>
  </si>
  <si>
    <t>闪银平台保险与借款平台勾结不处理退保要求，恶意行为，欺骗。</t>
  </si>
  <si>
    <t>2019/10/03 20:48:43</t>
  </si>
  <si>
    <t>北京快网快讯网络信息技术有限公司的松紧贷产品，本人于2019年4月2日申请10440元借款，该款项到账后立刻该app划走推荐服务费1440元，即实际放款为9000元，但该app设置的还款计划中，仍然按照10440元作为本金计算利息，并收取如真金服服务费、服务费等其他费用，经计算12期贷款需还款总额达12228.92元，依照实际放款9000元计算，利息高达35.877%，存在阴阳合同，app无法提前还款，大大高于电子协议中写明的年化利率10.21%，且已超出法律规定的合法年化利率24%，本人之前已经正常还款五</t>
  </si>
  <si>
    <t>2019/10/03 20:46:49</t>
  </si>
  <si>
    <t>投诉人 杨雄        投诉对象  你我贷        涉诉金额  5 600 元    问题类型    诉求类型投诉详情  强制要求收保险费，性质恶烈。。。。。。。。。。</t>
  </si>
  <si>
    <t>2019/10/03 20:46:36</t>
  </si>
  <si>
    <t>投诉人汪先生投诉对象优信优卡涉诉金额9600元问题类型诉求类型投诉详情三月份用农行信用卡充了RMB9600元，就用了200元，四月份后来优信优卡客服失联了，分享一下个人惨痛的经历！。</t>
  </si>
  <si>
    <t>2019/10/03 20:46:34</t>
  </si>
  <si>
    <t>本人被引诱到太阳城娱乐网站充值入3000元，后来发现是网络赌博平台，并非正规的购彩网站，私自拿公司的账户为博彩平台提供支付通道导致本人被骗3000元，枣庄市峄城区易威电子商务中心公司作为国家企业认证的公司，私自拿公司的账户为博彩平台提供支付通道，导致本人被骗3000元，根据中国人民银行《支付结算办法规定》，任何人不得利用银行账户办理公司业务之外的收支结算，以及，金融机构客户身份识别和客户身份资料及交易记录保存管理办法，等规定，枣庄市峄城区易威电子商务中心公司没有履行国家相关法律法规要求，我要求枣庄市峄城区易</t>
  </si>
  <si>
    <t>2019/10/03 20:46:24</t>
  </si>
  <si>
    <t>9月28在钱橙无忧上填了个人资料就被莫名其妙的分两次一共扣了168元钱，这就是明显的抢劫啊。</t>
  </si>
  <si>
    <t>2019/10/03 20:45:56</t>
  </si>
  <si>
    <t>豆豆钱爆我通讯录，后面答应退了会员费逾期费，会员费退了，逾期费300块钱一一直没有退给我，说话不算话，现在联系也联系不上。</t>
  </si>
  <si>
    <t>2019/10/03 20:45:24</t>
  </si>
  <si>
    <t>投诉人张艳张女士投诉对象河南省驻马店市教育局涉诉金额3000元问题类型诉求类型投诉详情本人在古槐幼儿园工作离职之后拖欠工资不给投诉教育局一直拖时间不给解决问题也不来人处理实在没有办法所以求聚投诉介入解决。</t>
  </si>
  <si>
    <t>2019/10/03 20:44:55</t>
  </si>
  <si>
    <t>呗呗分期，高利贷平台，借款1200，隔一天要还款1500，被暴力催收，涉及9000元，希望退回利息法定框架外的多余利息，并下架该产品。</t>
  </si>
  <si>
    <t>2019/10/03 20:44:40</t>
  </si>
  <si>
    <t>利用买保险的名义，1500元只到账1125元。</t>
  </si>
  <si>
    <t>2019/10/03 20:44:25</t>
  </si>
  <si>
    <t>中国银行为非法博彩网站和商户提供支付功能，没有做到应做的义务，没有核实收款平台的信息，导致本人被引诱到一个网站充值，后来发现是网络赌博平台，并非正规的购彩网站，通过中国人民银行和支付清算协会沟通得知第三方支付业务应审核客户的相关信息，第三方支付公司不得向证券、期货、博彩等机构提供支付结算业务，因为想退回钱财，结果被以流水不足等等各种原因让我充钱，作为有牌照的支付公司没有履行国家相关法律法规要求，希望有工作人员能够联系，要求第三方支付机构退回被扣款项导致我们资金流失，请求退回我的资金。</t>
  </si>
  <si>
    <t>2019/10/03 20:43:40</t>
  </si>
  <si>
    <t>2019/10/03 20:43:32</t>
  </si>
  <si>
    <t>本人在2019年9月5号在信用管家好运金借3000元到账2250，28天分4期每期还772.48元现以还3期772.48，这以超过国家规定的利率。</t>
  </si>
  <si>
    <t>2019/10/03 20:41:31</t>
  </si>
  <si>
    <t>还款晚了，然后催收人员以各种理由找我，然后全部还完了，征信体现强制还款，我的要求把我征信给改过来，。</t>
  </si>
  <si>
    <t>2019/10/03 20:38:41</t>
  </si>
  <si>
    <t>卖我资料给别人，冒充其他司法机关来吓唬我要抓我。</t>
  </si>
  <si>
    <t>2019/10/03 20:37:40</t>
  </si>
  <si>
    <t>一个小时之内催收三次，国家规定一天内催收电话不超过三次，而且规定早上8点到晚上九点之间可以进行合法化催收，不得骚扰借贷者以外的无关人员。</t>
  </si>
  <si>
    <t>2019/10/03 20:37:38</t>
  </si>
  <si>
    <t>在能联系到我本人情况下，一直拨打我手机通讯录。</t>
  </si>
  <si>
    <t>2019/10/03 20:36:20</t>
  </si>
  <si>
    <t>9月15日后，再次充值，还是不行，打客服电话也不接，商城买东西也不发货，总之就是联系不到了。</t>
  </si>
  <si>
    <t>2019/10/03 20:35:59</t>
  </si>
  <si>
    <t>暴力催收，骚扰我的家人朋友，辱骂我的家人还有就是没有经过我的同意爆破我的通讯录。</t>
  </si>
  <si>
    <t>2019/10/03 20:34:07</t>
  </si>
  <si>
    <t>本人现在正在哺乳期，因为没有工作所以导致信用卡逾期，逾期之前打电话到银行解释过但是催收人员每天很多电话打来还发威胁信息，冒充公安人员。</t>
  </si>
  <si>
    <t>2019/10/03 20:32:41</t>
  </si>
  <si>
    <t>投诉人 余先生        投诉对象  滴滴出行        涉诉金额  7 元    问题类型    诉求类型投诉详情  爆单时一接到平台5笔派单 但是平台提供的导航路线都遇上了封路 不可同行 导致接驾距离远超3公里 依据平台取消4大规则 司机遇上不可抗拒因素 派单距离超过3公里 司机是可以报备无责取消的 可笑的是5笔订单中 平台唯独有1单没有撤销有责取消 扣钱扣我服务分 我肯请平台工作人员到现场实际核实 还我公平</t>
  </si>
  <si>
    <t>2019/10/03 20:32:39</t>
  </si>
  <si>
    <t>投诉人曹先生投诉对象分期通涉诉金额249元问题类型诉求类型投诉详情我首次使用分期通app贷款软件，注册后需要扣除249元才可以申请贷款额度，并注明贷款不成功可以退款，但我将申请贷款不成功的图片证据申请退款时，平台拒绝退款！我要投诉该软件欺诈。</t>
  </si>
  <si>
    <t>2019/10/03 20:31:51</t>
  </si>
  <si>
    <t>大过节的逾期一天就打电话威胁要爆通讯录，谁给你们权利打通讯录的，第二天不经过当事人的同意私自把仅有生活费都扣了，不够还款金额谁允许你们扣款的！。</t>
  </si>
  <si>
    <t>2019/10/03 20:30:05</t>
  </si>
  <si>
    <t>投诉人 高先生        投诉对象  维信金科        涉诉金额  3 300 元    问题类型    诉求类型投诉详情  之前说好的费率。没有落实还说没有修改记录。导致多出几百的利息。这个钱算谁的</t>
  </si>
  <si>
    <t>2019/10/03 20:30:00</t>
  </si>
  <si>
    <t>投诉人汪女士投诉对象微贷网涉诉金额100元问题类型诉求类型投诉详情微贷网在我不知情的情况下，擅自无卡消费我卡里的钱。</t>
  </si>
  <si>
    <t>2019/10/03 20:29:41</t>
  </si>
  <si>
    <t>每天不停打电话骚扰我的家人跟朋友，逾期一天就开始到处打电话。</t>
  </si>
  <si>
    <t>2019/10/03 20:29:23</t>
  </si>
  <si>
    <t>投诉人滕先生投诉对象玖富涉诉金额239元问题类型诉求类型投诉详情今日是玖富万卡还款日，显示工单正在报盘，不支持代扣，主动还款失败，卡内余额充足，为避免逾期，请客服及时处理。</t>
  </si>
  <si>
    <t>2019/10/03 20:28:03</t>
  </si>
  <si>
    <t>之前用旧手机号131******86，注册一gofun账号，并已经实名认证，上传了身份证及驾照等重要信息，现手机号已不再使用数月，无法登陆更换新手机号，联系客服几次未能解决，客服需要本人上传销号凭证，但手机号早已注销，希望官方能给销号或是更换新手机号处理，以防后续旧手机号落入他人之手，造成信息盗用等许多不必要的麻烦。</t>
  </si>
  <si>
    <t>2019/10/03 20:27:31</t>
  </si>
  <si>
    <t>及贷平台，违规冻结储蓄卡，非法占用客户资金，影响恶劣。</t>
  </si>
  <si>
    <t>2019/10/03 20:26:43</t>
  </si>
  <si>
    <t>无故多出了一笔费用不知道是利息还是其他收费说不出因为所以。</t>
  </si>
  <si>
    <t>2019/10/03 20:25:40</t>
  </si>
  <si>
    <t>还款日当日，一大早开始骚扰，说了今天会处理好，也从未逾期过，整整骚扰一整天！还款日当天未逾期就暴力催收！。</t>
  </si>
  <si>
    <t>2019/10/03 20:25:08</t>
  </si>
  <si>
    <t>给我提供结清证明！！！！不协商逾期费你们自己承担！。</t>
  </si>
  <si>
    <t>2019/10/03 20:24:26</t>
  </si>
  <si>
    <t>小浦优客在我不知情下扣了我报告费，我要举报并要求退款。</t>
  </si>
  <si>
    <t>2019/10/03 20:24:17</t>
  </si>
  <si>
    <t>我本人在支付宝蚂蚁借呗上账单逾期没有处理，已经逾期了这个我知道一直都在想办法把逾期账单处理了，今天接到支付宝第三方催收人员电话我也给他说明我逾期没有还的原因，说不处理好支付宝这边就关闭还款渠道还款也要走杭州这边去还款我说走那边去又是消费几大千，我也在积极的与他协商但催收人员就直接不给我协商的余地，催收人员是今天下午16点给我说叫我明天上午9.30处理好，不然就走法律程序在这么短的时间，我说的凑不到钱我也说了等收假了我这边想办法处理好。</t>
  </si>
  <si>
    <t>2019/10/03 20:23:42</t>
  </si>
  <si>
    <t>投诉人林先生投诉对象21CN涉诉金额0元问题类型诉求类型投诉详情21cn邮箱登陆入口不见，进去就是189邮箱app下载。</t>
  </si>
  <si>
    <t>2019/10/03 20:22:32</t>
  </si>
  <si>
    <t>严重误导消费者，回收装备秒到账，游戏中压根就找不到哪里能进行回收。</t>
  </si>
  <si>
    <t>2019/10/03 20:22:28</t>
  </si>
  <si>
    <t>月光侠分期，贷款2600还款4100打电话不让取消，一直显示放款中，。</t>
  </si>
  <si>
    <t>2019/10/03 20:21:17</t>
  </si>
  <si>
    <t>1.在火影帮借款1500元，然而仅到账1095元，首页广告说是六个月分期，实际还款期限是15天为一期，，以为是分期付款，虚假宣传，诱导用户，每续期15天就要收取高达420元，借款利率已经超过国家符合利率2.汇潮支付为其提供支付渠道，征信有限公司旗下产品，联系电话0755-2377715，公司地址:广州省深圳市福田区福华三路168号深圳国际商会中心809，4.我已经整理好所有资料，我要求还本金处理，销账，提供结清证明！。</t>
  </si>
  <si>
    <t>2019/10/03 20:20:41</t>
  </si>
  <si>
    <t>我在还款时收不到短信验证信息，所以客服让我对公还款，然后我对公还款了2205元，一直在审核中，我由于担心逾期，所以在APP上重新换了一个卡还款，于是还款成功了，所以这样的话，我相当于还款了两次2205元，请客服看到后退还我对公还款的金额2205元，图一是对公还款客服给的账户，图二是我对公还款的转账记录，图三是我在APP还款成功的截图，图四是我在App还款的银行记录。</t>
  </si>
  <si>
    <t>2019/10/03 20:19:46</t>
  </si>
  <si>
    <t>在购坊畅这个网站卖了个号，1200元，我提现的时候告知我银行卡有误，我重新填写之后。</t>
  </si>
  <si>
    <t>2019/10/03 20:19:28</t>
  </si>
  <si>
    <t>投诉人 胡先生        投诉对象  聚富分期        涉诉金额  299 元    问题类型    诉求类型投诉详情  填个银行卡信息扣了我 299块，什么都没有申请</t>
  </si>
  <si>
    <t>2019/10/03 20:17:06</t>
  </si>
  <si>
    <t>投诉第三方支付公司爱农驿站，本人被引诱到一个网站充值入金六万多，后来发现是网络赌博平台，通过了解得知并非正规的购彩网站，是有后台操控的一个违法平台，另外通过中国人民银行和支付清算协会沟通得知，第三方支付业务应审核客户的相关信息，第三方支付公司不得向证券、期货、博彩等机构提供支付结算业务，作为有牌照的支付公司没有履行国家相关法律法规要求，为违法违规机构平台提供支付结算通道，即产生了洗钱的嫌疑，金融机构客户身份识别和客户身份资料及交易记录保存管理办法，等规定，切实履行反洗钱义务和识别客户身份的义务，希望有工作人</t>
  </si>
  <si>
    <t>2019/10/03 20:16:33</t>
  </si>
  <si>
    <t>投诉人 张盟        投诉对象  我来数科        涉诉金额  10 000 元    问题类型    诉求类型投诉详情  绝对的暴力网贷 利息接近36就算了 一天就要300利息 而且不打电话通知 处理掉逾期费用 我可以立马还款</t>
  </si>
  <si>
    <t>2019/10/03 20:15:48</t>
  </si>
  <si>
    <t>投诉人范女士投诉对象蚂蚁大王卡涉诉金额3100元问题类型诉求类型投诉详情蚂蚁分期里边的蚂蚁大王卡和绿卡，存在砍头息，高利贷，恶意辱骂恐吓本人，借款提交3100到账2085，周期5天，还款3100。</t>
  </si>
  <si>
    <t>2019/10/03 20:14:21</t>
  </si>
  <si>
    <t>投诉人江先生投诉对象及贷涉诉金额6000元问题类型诉求类型投诉详情及贷平台一次性结清的违约金太高了，接受不了，希望调整。</t>
  </si>
  <si>
    <t>2019/10/03 20:13:35</t>
  </si>
  <si>
    <t>投诉人 高先生        投诉对象  立借        涉诉金额  5 800 元    问题类型    诉求类型投诉详情  无法接受和客服的沟通的方案。请尽快处理给我满意的答复</t>
  </si>
  <si>
    <t>2019/10/03 20:11:57</t>
  </si>
  <si>
    <t>2019年7月在闪银app申请一笔3258元，因本人要申请房贷急需结清证明，闪银给的答复是15天，问题是我房贷申请时间急啊，也就这几天要处理的，不然我会违约，房贷下不来，定金好几万就赔了，。</t>
  </si>
  <si>
    <t>2019/10/03 20:10:41</t>
  </si>
  <si>
    <t>投诉人深圳街电投诉对象街电涉诉金额99元问题类型诉求类型投诉详情玩手机充电的时候，不小心点了一下丢失，结果被扣了99元，之后还了充电宝，结果99元还没退给我…。</t>
  </si>
  <si>
    <t>2019/10/03 20:09:40</t>
  </si>
  <si>
    <t>9月12号通过转转购买420的游戏账号并购买50元包赔服务，9月29号账号被找回，我向客服进行反馈，10月1号第一次客服联系我说证据不充分不进行赔偿，我又重新申诉退款，第二次10月3号又说让我去找腾讯客服，交易账号为QQ账号1482242648，换绑时我的手机号为186******11，但是在29号密保手机变成了186开头的别的手机号，由于账号被找回，我不知道密码，所以不能找到申诉记录，联系客服，他就一直在推脱我去找腾讯客服，那个卖家平台有实名认证也签了转转账号转让协议。</t>
  </si>
  <si>
    <t>2019/10/03 20:08:50</t>
  </si>
  <si>
    <t>在口岸附近的道路都临时交通管制了，接单后过去接乘客的路上都走了几条路，已经尽最大的努力过去接驾了，但由于临时交通管制了，没办法到达上车点，与顾客沟通后坚持要过去接她，遇到交通管制我们进不去，难道要我们飞过去吗，都走了那么多条路，想进去都进不去，又堵得很，堵得骑电动车都难过去接驾，最后堵到无路可去我直接取消订单并没有点提示到达上车点。</t>
  </si>
  <si>
    <t>2019/10/03 20:07:07</t>
  </si>
  <si>
    <t>刚刚才看到学堂会员费，10.28晚上申请，29中午下款，但没有说到学堂会员费这一说，消费者根本不知道有会员费，就给扣了，我借款时间一年，除了该有的利息以外，这个362.5元属于砍头息，这属于欺诈，希望有关部门严查，退回这个所谓的学堂会员费，给消费者一个公道。</t>
  </si>
  <si>
    <t>2019/10/03 20:06:26</t>
  </si>
  <si>
    <t>退款后商家以节假日为由不予退还租金，和商家协商，商家态度恶劣不予理睬。</t>
  </si>
  <si>
    <t>中午12点左右通过滴滴平台预定出租车去黄花机场，司机接单后，个人为确定通过平台拨打司机电话确认，司机承诺肯定能接，晚7时许，司机电话说接不了了，在我已经把出租车作为唯一交通方式的情况下，公交已停运，通知我不来接了，随后司机单方面中止了订单，滴滴平台再次派单，接单司机再次来电，依然是接不了，并且不愿意自己放弃订单，要求我来取消订单，滴滴客服没有任何解释，只是要我再次想办法自己打别的车。</t>
  </si>
  <si>
    <t>2019/10/03 20:04:20</t>
  </si>
  <si>
    <t>恶意违约该平台先后为高利贷合作，提供支付渠道，本人共计多付利息3000余元，本人强烈诉求上级严查，退还本人利息，请速与我联系，既然已经无家可归，那就进行到底。</t>
  </si>
  <si>
    <t>2019/10/03 20:04:01</t>
  </si>
  <si>
    <t>2019.9.3是多宝分期到期还款日，021-60634782这个是催收固话，4000975858这是客服电话，恳请大家帮忙处理还我公道若这里处理不了，我将会聘请律师和向相关部门申请维权，对方致电提醒还款，因手机借钱和协融借app无法自助还款，客服告知也无法对签约银行卡发起代扣，要求我线下还款，我要求对方提供相关收款人证明方可同意线下转账，对方告知无法提供证明和合同，且态度极度恶劣，强制性要求我线下转账到：黄彬如，平安银行账户，否则爆我通讯录，对我通讯录其他联系人进行催收，本人在电话中多次强调要求提供借贷合</t>
  </si>
  <si>
    <t>2019/10/03 20:03:33</t>
  </si>
  <si>
    <t>骚扰加电话轰炸天天接到乱七八糟的电话，严重影响到我个人生活。</t>
  </si>
  <si>
    <t>2019/10/03 20:02:09</t>
  </si>
  <si>
    <t>昨天申请网上贷款业务莫名被扣款296元，这是欺诈行为。</t>
  </si>
  <si>
    <t>2019/10/03 20:01:20</t>
  </si>
  <si>
    <t>该平台先后为高利贷合作，提供支付渠道，本人共计多付利息3000余元，本人强烈诉求上级严查，退还本人利息，请速与我联系，既然已经无家可归，那就进行到底。</t>
  </si>
  <si>
    <t>2019/10/03 20:01:19</t>
  </si>
  <si>
    <t>投诉人 佳先生        投诉对象  立借        涉诉金额  4 700 元    问题类型    诉求类型投诉详情  有很多问题无法核对。利息和办理业务的时候不一样。指望此平台能帮我</t>
  </si>
  <si>
    <t>在闪银至尊借款借了2600，还了5期了，连本带息其实已经够了，最后一期请协商减免销账。</t>
  </si>
  <si>
    <t>2019/10/03 20:00:54</t>
  </si>
  <si>
    <t>2019/10/03 20:00:44</t>
  </si>
  <si>
    <t>投诉人柯先生投诉对象京小租涉诉金额9599元问题类型诉求类型投诉详情客服说10月7号之后发货，然后我等不了，在别的地方买了然后在这边退她就不退，直接说发货了。</t>
  </si>
  <si>
    <t>2019/10/03 19:58:19</t>
  </si>
  <si>
    <t>月光侠是超级高利贷&amp;nbsp;&amp;nbsp;高的吓人&amp;nbsp;额度3000元&amp;nbsp;实际放款只给2200&amp;nbsp;以后还款还要还上3500左右！并且几天都未到账&amp;nbsp;&amp;nbsp;现在已不需要这笔资金&amp;nbsp;请及时处理取消我的这笔放款订单！不需要资金周转了&amp;nbsp;请勿打电话！请尽快取消！谢谢！。</t>
  </si>
  <si>
    <t>2019/10/03 19:57:58</t>
  </si>
  <si>
    <t>自由魔卡六便士，高额砍头息，高利贷，电话骚扰。</t>
  </si>
  <si>
    <t>2019/10/03 19:57:54</t>
  </si>
  <si>
    <t>申请贷款没有成功扣了200块钱，联系客服不给退。</t>
  </si>
  <si>
    <t>2019/10/03 19:56:30</t>
  </si>
  <si>
    <t>卡号：62****************4开户行：中国交通银行银行卡绑定手机号：182******41恶意扣费时间：2019年9月26日晚上19：31：48秒扣费金额：1774元在未经过本人同意的情况下，从我交通卡里恶意划走1744元，收款方：联动优势辽宁受理机构：联动优势电子商务上海分公司此笔消费本人完全不知情，这个钱到底被联动优势公司用在哪里。</t>
  </si>
  <si>
    <t>2019/10/03 19:55:15</t>
  </si>
  <si>
    <t>本人于2018年5月受宜人贷销售人员推荐借款10W，结果合同金额与贷款金额不一致，被变相收取19047.62元高额服务费，已还15期共计68000多，一次性结清还要换8W多，，让准备相应资料，结果准备两次均不予通过，理由都一样；后催收电话告知除人死债消外，没有减免。</t>
  </si>
  <si>
    <t>2019/10/03 19:55:11</t>
  </si>
  <si>
    <t>所谓的钱站，一个垃圾软件，3000的额度，借就收990元服务费，你要是给我个十万八万额度36期还，990我给你没问题！你就一个3期还的3000额度还敢收服务费，还雷佳音代言，如果真是他代言，我连他一起投诉。</t>
  </si>
  <si>
    <t>2019/10/03 19:53:43</t>
  </si>
  <si>
    <t>本人在2019.9.29日接到珍爱网电话，并在当晚办理了一个11800元的VIP会员！，违约金问题当事人对自己提出的主张，有责任提供证据。29号中午一个自称珍爱网的红娘，说看到我在网上留的信息，而他们那正好有一位男士比较符合我的要求，说了些男士的条件来吸引我，看我有兴趣后，要求我去实体店做身份证认证，还再三确认时间，怕我不去！我下午4点赶到那里，手机号码做个了登记，也没见到联系我的人，前台说她在忙，要我等会后，然后来了一个红娘，就带我进了小屋，然后给了个平板，让我做些情感测试，来试验我，1、先是取得我的信任</t>
  </si>
  <si>
    <t>2019/10/03 19:53:38</t>
  </si>
  <si>
    <t>在未知情的情况下扣除银行卡里的钱，要求必须退回。</t>
  </si>
  <si>
    <t>2019/10/03 19:51:56</t>
  </si>
  <si>
    <t>以后还款还要还上3500左右！并且几天都未到账，请及时处理取消我的这笔放款订单！不需要资金周转了。</t>
  </si>
  <si>
    <t>2019/10/03 19:51:54</t>
  </si>
  <si>
    <t>带上钱暴力催收拨打我所有通话记录，让我工作被辞退，现在我已经报警所有资料递交给法院，所有证据还有录音，不起诉带上钱我不姓黄，。</t>
  </si>
  <si>
    <t>2019/10/03 19:51:01</t>
  </si>
  <si>
    <t>点点公司，借款人在借贷过程中并没有发现要投保。</t>
  </si>
  <si>
    <t>2019/10/03 19:49:41</t>
  </si>
  <si>
    <t>投诉人 武先生        投诉对象  用钱宝        涉诉金额  3 000 元    问题类型    诉求类型投诉详情  逾期一天 给我打了差不多30多个电话 未经自己允许 给我家人妻子打电话 还说让我在家里等着他们开车来家里收 能处理就处理 不能处理就坐等法院传票</t>
  </si>
  <si>
    <t>2019/10/03 19:49:38</t>
  </si>
  <si>
    <t>当时在钱站APP上借了900元，分了三期，三期却一共连本带利偿还1713元。</t>
  </si>
  <si>
    <t>2019/10/03 19:49:16</t>
  </si>
  <si>
    <t>因本人现在资金周转困难，且身体状况不好，难以承受过高费用，需与快贷平台协商减免服务费及利息，国庆节后还款，非常感谢！！！。</t>
  </si>
  <si>
    <t>2019/10/03 19:48:48</t>
  </si>
  <si>
    <t>小红书账号：民宿老板娘我是微博丝袜和高跟鞋的测评博主，在小红书测评各个品牌的丝袜和高跟鞋不知何种原因账号无故被封禁，冒充本人在小红书发布测评宣传个人微信公众号。</t>
  </si>
  <si>
    <t>2019/10/03 19:45:37</t>
  </si>
  <si>
    <t>乱扣费，无故冻结金额，客服联系不到，还有扣服务分，都是五公里以外的单接了客户取消也扣分，不接也扣分垃圾。</t>
  </si>
  <si>
    <t>2019/10/03 19:44:26</t>
  </si>
  <si>
    <t>商品还在售卖，自己还刚刚注册了转转专业卖家，交了注册费，然后就广告违规所以商品下架我都懵逼了，联系客服不处理，联系好多人都不管，现在收取百分之25佣金，越来越放肆了。</t>
  </si>
  <si>
    <t>2019/10/03 19:42:54</t>
  </si>
  <si>
    <t>在飞猪平台定了一间房间，第一次预定，酒店迟迟不确认，经过与酒店核实，具体原因是因为酒店房间费价格上调，与飞猪平台不符，实际价格要高出平台价格，所以酒店不给确认，第二次在飞猪平台预定，酒店方查询不到预定的定单。</t>
  </si>
  <si>
    <t>2019/10/03 19:42:32</t>
  </si>
  <si>
    <t>优信优卡虚假宣传，属于欺诈行为的非法融资，现在希望相关部门协调退款处理，还人民公道和财产安全！。</t>
  </si>
  <si>
    <t>2019/10/03 19:42:23</t>
  </si>
  <si>
    <t>投诉人杨先生投诉对象现控达人涉诉金额5000元问题类型诉求类型投诉详情本人通过贷上钱下载现控达人，在里面的微豆荚借款1400元与2800元，借款期限是32天，每8天一期，每期还款511.2元与1022.4元，总共要还款2044.8元与4089.6元，现控达人属于国家严打的高利贷套路贷，本人已经归还两期账单，因现控达人恶意制造逾期，产生逾期费用，我已无力偿还这种吸血高利贷，先要求该平台协商偿还本金及合理合法利息，支付通道为北京畅捷通支付技术有限公司，为高利贷提供违规途径，现希望聚投诉平台联系商户协助处理，调整</t>
  </si>
  <si>
    <t>2019/10/03 19:42:07</t>
  </si>
  <si>
    <t>在招联金融里面借款2240多，一年多没有还，现在暴力催收，恐吓我家人，电话骚扰，叫他们打我的不干，非要打我爸的，给他们说了我爸在工地上上班不方便接电话，出事了找他们，结果他们说不管，然后一直不停的给我爸打电话，最后协商好了叫我还2800结果还了账面上还欠880多，不给我清除掉，找他们他们来个必须全部还，这样套路我。</t>
  </si>
  <si>
    <t>2019/10/03 19:40:45</t>
  </si>
  <si>
    <t>哪天下载了这个所谓的传奇再现贷款软件，注册之后，突然从我卡里扣了296元，第二天又扣了好像169或者196，而且，它们给推荐的几个软件没有一个能贷款的，想退款其中一个软件根本无法完成贷款请求，严重怀疑这个所谓的桃子街软件就是这个公司搞出来的，目的就是不退款！。</t>
  </si>
  <si>
    <t>2019/10/03 19:40:30</t>
  </si>
  <si>
    <t>投诉人 姚先生        投诉对象  松紧贷        涉诉金额  9 533 元    问题类型    诉求类型投诉详情  松紧贷高昂服务费，砍头息。逾期一天时间电话打爆，乱发信息。钱一定会还，但是这样来催收准备报警处理！</t>
  </si>
  <si>
    <t>2019/10/03 19:40:12</t>
  </si>
  <si>
    <t>投诉人谭女士投诉对象火影帮涉诉金额1800元问题类型诉求类型投诉详情本人于2019年8月3日通过某借款平台得知火影帮借款软件，此软件打着还款周期6个月的招牌实则还款周期为15天，8月3日本人申请借款通过，借款金额为1800元，然而实际到账只有1304元，其放款方上海富友支付只放了1304元，本人事先并未知情有这么高额的砍头息，到账金额只有1304元，15天后就得全额还款1814元，本人迫于无奈只能选择续期还款，分别于8月17号续期还款504元，9月1号续期还款504元，9月16号还款504元，累计续期3次，</t>
  </si>
  <si>
    <t>2019/10/03 19:39:58</t>
  </si>
  <si>
    <t>Plus手机无限次数的重启，无磕无碰，刷机都不行，说坏就坏，说是OPPO这款手机的通病，希望官方给个合理的解决方案！。</t>
  </si>
  <si>
    <t>2019/10/03 19:39:02</t>
  </si>
  <si>
    <t>投诉人 梁定超        投诉对象  花卡速购        涉诉金额  500 元    问题类型    诉求类型投诉详情  借了一个多月，后来软件一直在维修还不了款</t>
  </si>
  <si>
    <t>2019/10/03 19:38:55</t>
  </si>
  <si>
    <t>我是一名宁德市的滴滴网约车车主，应平台要求我办理了网约车驾驶员证，与2019年9月13日上传证件客服说宁德地区上传24小时内就可以验证通过，然而我等待了20多天验证一直不给过，期间多次联系客服无果，也没有跟我讲解是什么原因导致验证下不来，就一直叫我耐心等待，最后居然还因为我多次反馈同一问题把我反馈问题的通道给关闭了。</t>
  </si>
  <si>
    <t>2019/10/03 19:38:20</t>
  </si>
  <si>
    <t>未经同意擅自扣款，投诉还不退款，打电话给客服客服拒绝。</t>
  </si>
  <si>
    <t>2019/10/03 19:38:16</t>
  </si>
  <si>
    <t>投诉人赵先生投诉对象亚博体育涉诉金额0元问题类型诉求类型投诉详情被一个朋友骗去玩亚博体育，说是正规平台，玩了之后发现是赌博网站，本人不寄希望能要回本金，只希望亚博平台能注销本人账号，还我一个清静。</t>
  </si>
  <si>
    <t>2019/10/03 19:38:00</t>
  </si>
  <si>
    <t>投诉人李女士投诉对象维信金科涉诉金额334549元问题类型诉求类型投诉详情一、无法进入维信卡卡贷app，看见其中具体内容二、利息超过百分之二十四三、存在砍头息，实际到账的金额和合同贷款金额不一样四、我希望一次性还剩余未还清本金和百分之二十四的剩余利息部分。</t>
  </si>
  <si>
    <t>2019/10/03 19:37:06</t>
  </si>
  <si>
    <t>这两年做生意亏损，现在已经无力一次性偿还7万多的账单，还有2万多的分期，在这次之前，还款记录一直很好，希望贵行能给我一次机会，不要在我公司和家人进行调查，不然别人慢慢偿还本金，我的工作都没有办法进行下去了，我拿什么来还本金，还有小孩老人要抚养，希望贵行能给我机会，免息让我偿还本金，。</t>
  </si>
  <si>
    <t>2019/10/03 19:36:37</t>
  </si>
  <si>
    <t>投诉人宣志强投诉对象新橙优品涉诉金额3000元问题类型诉求类型投诉详情还款日当天还款失败多次更换银行卡都还款失败卡内余额充足还款失败导致逾期征信受到影响。</t>
  </si>
  <si>
    <t>2019/10/03 19:36:04</t>
  </si>
  <si>
    <t>投诉人陈先生投诉对象浦发信用卡中心涉诉金额150000元问题类型诉求类型投诉详情我前期和浦发信用卡中心联系，协商还款，我已经把材料邮件发送到浦发信用卡中心了！可是过去了短时间也没人给我答复，欠钱还钱，我真心想还钱，可是我现在真的遇到困难，希望浦发信用卡中心可以协商还款，暂停利息增长，真的是没办法了才协商还款，希望可以给我分期还款，给我个还款机会，也给我个希望，现在我整天吃不下饭，睡不着觉，只希望早点吧钱还清，希望浦发信用卡可以帮我分期还，给我个还钱的机会，真的是快扛不住了，家庭快散了，压力好大，希望浦发信用</t>
  </si>
  <si>
    <t>2019/10/03 19:35:26</t>
  </si>
  <si>
    <t>投诉人 高先生        投诉对象  及贷        涉诉金额  3 900 元    问题类型    诉求类型投诉详情  没有及时还款。晚了10天就开始给我算违约金无法理解。</t>
  </si>
  <si>
    <t>2019/10/03 19:33:13</t>
  </si>
  <si>
    <t>通过小浦优客app申请借款,按步骤填写资料,然后最后要求绑定银行卡,绑定完成就开始审批,审批未通过,突然扣了296元个人信用报告费用,可是之前申请步骤并没有说明有这个费用,正规贷款也不应该有前期费用,涉嫌违规欺诈，今天星期四小浦优客尊敬的用户您好,感谢您对小浦优客的支持,您的报告已经生成,您已成功支付服务费296.0元整,如有疑问可拨打电话021-69076118联系官方客服。</t>
  </si>
  <si>
    <t>2019/10/03 19:32:53</t>
  </si>
  <si>
    <t>支付宝上绑定的银行卡被盗刷了408.76元，保险公司认为提供银行无法提供的证明。</t>
  </si>
  <si>
    <t>2019/10/03 19:31:13</t>
  </si>
  <si>
    <t>投诉人 刘先生        投诉对象  正印融资租赁        涉诉金额  1 347 元    问题类型    诉求类型投诉详情  无故被扣款1346.91元，本人毫不知情。要求退款。</t>
  </si>
  <si>
    <t>2019/10/03 19:31:05</t>
  </si>
  <si>
    <t>你我贷平台非本人借款，还一直往家里寄催收函。</t>
  </si>
  <si>
    <t>2019/10/03 19:30:59</t>
  </si>
  <si>
    <t>已经还完所有款项，无辜多出来一个月的利息钱。</t>
  </si>
  <si>
    <t>2019/10/03 19:30:26</t>
  </si>
  <si>
    <t>本人多次使用信而富借款、多次购买400多元的会员服务、却没收到会员信息及提示、希望贵公司给予退还。</t>
  </si>
  <si>
    <t>2019/10/03 19:30:04</t>
  </si>
  <si>
    <t>昨天我在手机上申请借款时下栽了小浦优客app，填了部分资料我发现这平台事先要收取报告费，我随即就退出申请并删了此软件，不想今天下午发来银行卡的信息，说小浦优客扣了我卡里296元，这个平台分明故意挖坑给别人跳，还没真正出额度和审核先叫人绑卡，赚钱不择手段，也不想想在这些平台借款的都是手头特紧的。</t>
  </si>
  <si>
    <t>2019/10/03 19:29:29</t>
  </si>
  <si>
    <t>改善你的态度，可以协商还款，就剩300块钱了，你也不想我一直拖着吧，希望聚投诉帮我处理下，让他不要骚扰我的家人，和我谢谢。</t>
  </si>
  <si>
    <t>2019/10/03 19:28:41</t>
  </si>
  <si>
    <t>投诉人 赵先生        投诉对象  来分期        涉诉金额  1 630 元    问题类型    诉求类型投诉详情  在来分期本人从16年开始使用 并且没有逾期 近期因工作原因导致资金困难。并且来分期额度不能使用 致使不能按时还款 希望来分期可以协商推迟还款或者开放借款</t>
  </si>
  <si>
    <t>2019/10/03 19:28:13</t>
  </si>
  <si>
    <t>闪银于2019年9月27日晚放款5060元到我的银行卡，我于2019年9月28下午4点28分接到电话声称是闪银客服问我收到5060元款项没有我说收到，并读了我的名字身份证号码及银行卡信息等，然后说系统需要我提供验证码给他，只能手动操作，我问了APP不可以吗他说不行，然后我就把验证码提供给他，第一次说没听清，第二次说完结果出现了扣款现象4722元，他还说下午6点会恢复正常，我已于2019年9月29日中午报警，怀疑闪银泄露客户信息并涉及电话欺诈。</t>
  </si>
  <si>
    <t>2019/10/03 19:27:59</t>
  </si>
  <si>
    <t>投诉人杨雄投诉对象立借涉诉金额6600元问题类型诉求类型投诉详情借钱3000多，到账2000，利息还很高。</t>
  </si>
  <si>
    <t>2019/10/03 19:27:58</t>
  </si>
  <si>
    <t>从去年开始无故封停本人支付宝账号，无法进行交易，付款，让我提交资料，点进去以后无法进行提交资料解封，客服电话打不通。</t>
  </si>
  <si>
    <t>2019/10/03 19:27:07</t>
  </si>
  <si>
    <t>之前跟催收人员协商还款结清，结果钱还了还有一期不给结清，第一次客服打电话过来说说系统在调账，第二次打电话过去说没有还完，只看见有还款记录，然后让我微信公众号联系人工客服把还款记录和聊天记录发给他们，结果发了三次都给我一个回答是，已经反馈等候通知，结果都过去一个月了还没有消息！。</t>
  </si>
  <si>
    <t>2019/10/03 19:25:50</t>
  </si>
  <si>
    <t>投诉人 李女士        投诉对象  白云租        涉诉金额  4 750 元    问题类型    诉求类型投诉详情  本人在支付宝看到白云租 租物服务中心租了一台华为p30 分期30天一天还款157 现在商家没发货 支付宝还出现服务使用中 严重欺诈消费者 请贵平台联系白云租平台 撤销本人订单 对此做出解释</t>
  </si>
  <si>
    <t>2019/10/03 19:25:21</t>
  </si>
  <si>
    <t>借款4200一个月分四期每期还款1697第二期还款日当天就爆通讯录并且没有丝毫可商量余地现要求偿还本金并给出合理利息并且还款日当天爆通讯录需要给个说法。</t>
  </si>
  <si>
    <t>2019/10/03 19:25:01</t>
  </si>
  <si>
    <t>已经还了两期2400+要求按合理的利息还款销账！。</t>
  </si>
  <si>
    <t>2019/10/03 19:24:39</t>
  </si>
  <si>
    <t>盗用我个人通讯录联系我的朋友套话来知道我家在哪里。</t>
  </si>
  <si>
    <t>2019/10/03 19:23:40</t>
  </si>
  <si>
    <t>投诉人 杨先生        投诉对象  找靓机        涉诉金额  1 650 元    问题类型    诉求类型投诉详情  机器买上两个礼拜的时候机器屏幕出现问题 我嫌找他们修麻烦于是自己换了屏幕 然后用了有两个月手机无信号 给他们邮过去他们说我自己拆机不给我修 我说退款 他们也不给退 说已经过了七天 于是我找了一家专业修手机的店家修 直接看出我买的是二手手机 说这部手机是暗病机 之前就修过 翻新机 修不好非得换主板 我1650买个手机就想安安心心的用 他们</t>
  </si>
  <si>
    <t>2019/10/03 19:20:55</t>
  </si>
  <si>
    <t>投诉人 潘世        投诉对象  聚富分期        涉诉金额  299 元    问题类型    诉求类型投诉详情  网贷 没有任何短信 就扣款了 平台也进不去</t>
  </si>
  <si>
    <t>2019/10/03 19:19:49</t>
  </si>
  <si>
    <t>19年8月6日在上海美莱美容医院做雀斑治疗，说好了8月6号做皮秒手术，考虑到可能会反弹，三个月内不适合做第二次，约好了国庆节再做光感嫩肤手术，两次手术共3660，国庆节到医院准备第二次手术时被告知8月6号时已做好两次手术，现在针对反弹情况要我自己再付1000元做皮秒，我对医院这个解决结果感到非常不满。</t>
  </si>
  <si>
    <t>2019/10/03 19:19:40</t>
  </si>
  <si>
    <t>极速passwordBox,极速贷,天津市迈广科技发展有限公司，本人于9月25日在极速passwordBox，通过苹果手机id贷款了2000元，到账了1400，于10.2日到期，没有贷款合同，只是私下转入我的银行卡，今天收到很多国外骚扰电话，通过QQ骂人，现在通讯录已经被爆。</t>
  </si>
  <si>
    <t>2019/10/03 19:18:39</t>
  </si>
  <si>
    <t>接到乘客，我就问乘客去的目的地，乘客要求走高速，全程高速，西塘上，乘客赶时间，我问的时候还没开启行程，下面走才72公里左右，全程高速要97公里，西塘高速上，走申嘉湖到常台高速，直接到他小区附近，可马上到常台高速了，我一看那时堵的很，国庆高速免费，不是一般的堵，比下面江城大道都要慢20分钟，乘客又赶时间，看了看，没办法太堵，就走了快速路，快速路虽然时间快了，但要远6公里，乘客当时也是同意的，到目的地时，乘客还没说什么，我也不在意，因为我是按乘客路线走全场高速，后面改了江城大道，不过滴滴导航刚开始是走下面的，才</t>
  </si>
  <si>
    <t>2019/10/03 19:18:17</t>
  </si>
  <si>
    <t>当初租房子的时候工作人员说用银行卡支付房租没有手续费，现在每个月支付房租都要百分之三的手续费。</t>
  </si>
  <si>
    <t>2019/10/03 19:18:14</t>
  </si>
  <si>
    <t>本人5月29号在钱站合同金额是27060块，分12期第一期还2475.80元其余还每一期还大概2444.23元，利息超级高43.2%，比高利贷还要厉害，要求退调整利息，国家进行管控罚款！！！不然一直投诉到底！所有信贷投诉量最大的一家公司，没必要再听其解释太多。</t>
  </si>
  <si>
    <t>2019/10/03 19:17:17</t>
  </si>
  <si>
    <t>已故障扣钱客服也不理会，贵平台处理一下坑人。</t>
  </si>
  <si>
    <t>2019/10/03 19:16:25</t>
  </si>
  <si>
    <t>投诉人 邓先生        投诉对象  及贷        涉诉金额  3 600 元    问题类型    诉求类型投诉详情  不知道怎么知道我家的。天天去我家闹。闹的鸡犬不宁</t>
  </si>
  <si>
    <t>2019/10/03 19:16:13</t>
  </si>
  <si>
    <t>在开启免密支付后自动扣除加速包费用，并且在取消订单后不予退还加速包差价。</t>
  </si>
  <si>
    <t>2019/10/03 19:12:55</t>
  </si>
  <si>
    <t>打电话给我，问我有没有在家，他们上门去要钱了，威胁我，说的有钱了就还，只要按照国家的利息，我会还利息和本金，不用你们说。</t>
  </si>
  <si>
    <t>2019/10/03 19:12:47</t>
  </si>
  <si>
    <t>投诉人 邓先生        投诉对象  维信金科        涉诉金额  560 元    问题类型    诉求类型投诉详情  已进还清欠款为什么还要扣费。费用哪里来的也说不清。感觉上当受骗了</t>
  </si>
  <si>
    <t>2019/10/03 19:11:47</t>
  </si>
  <si>
    <t>卡早上无缘无故扣了249、之前都没遇到过这种情况、查询也查询不到。</t>
  </si>
  <si>
    <t>2019/10/03 19:09:32</t>
  </si>
  <si>
    <t>到九阳电话说晚上有答谢会，有礼品送，一开始介绍友诺空气净化机，号称可以送10台，后经查是杂牌产品，无国家CCC认证，然后介绍水质健康的重要性，做吓人的实验，最后介绍净水机，用墨汁和垃圾还有臭袜子放在水槽里，用净水机净化后给现场观众品尝，还没上市，官方售价5999，现在只要3999，属于未上市体验价，因为本身是通程电器老客户，相信这个企业，并且家里确实可以买一个净水机，当场全额付款，说是上门安装人员安装时开发票，回家发现现场赠送的空气净化器以及枕头等其他小礼品都是三无产品，开始怀疑这场洗脑式的答谢会，于是上网</t>
  </si>
  <si>
    <t>2019/10/03 19:07:45</t>
  </si>
  <si>
    <t>我在蟹老弟借款2880元，到账2880元，分2次还半个月需要还4060元，严重超出国家法律规定，今天到期我登陆蟹老弟网页，却显示打不开，我已经还了2030.74元了，希望可以协商在还本金，如果不行，我只能选择报警，备注下，当时我借款时根本不显示有这么高的利息，钱还没到账时我给客服打电话说不想贷款，想取消，客服说取消不了，刚挂电话2分钟就到账2880，一看还款需要还4060多。</t>
  </si>
  <si>
    <t>2019/10/03 19:06:21</t>
  </si>
  <si>
    <t>我于8月18号在交易猫平台上购买了穿越火线账号，价格：3160元，卖家和我都签署了协议，经过46天于10.1号晚上9:05分微信提示账号更改密码风险提现，我赶快去看QQ安全中心发现已经登录不上了，绑定手机也已经不是我的了，我就找交易猫平台协议申诉，经过两天了，客服一直跟我踢皮球说已经在处理了，专员于24h联系我，可是两天都没收到来电，由于卖家违约，我可以依法按照当初签署的协议起诉卖家，但是没有起诉对象需要交易猫平台提供给我完整的卖家协议，我才能起诉合法维护我的权益。</t>
  </si>
  <si>
    <t>2019/10/03 19:04:52</t>
  </si>
  <si>
    <t>7月20号下款4685，下款后有两张条子一张就是3天后自动还款500元，但是实际我只下款4685元，这500元就是变相砍头息，逾期一天给我各种打电话，威胁，暴力催收，几点几点前，如果我有钱还需要借这个钱么，加上剩下一期以及利息3个月需要归还5516.2.超出国家规定利息，请平台做出协商，调整利息，归还砍头息，一次性还款。</t>
  </si>
  <si>
    <t>2019/10/03 19:03:32</t>
  </si>
  <si>
    <t>需要联系客服处理问题客服从早上说反映到下午没有给一个明确的回复并且借款时需要强制购买276的商品才可以借款。</t>
  </si>
  <si>
    <t>2019/10/03 19:03:10</t>
  </si>
  <si>
    <t>直接找到我家里去见人就报我的名字问认不认识。</t>
  </si>
  <si>
    <t>2019/10/03 19:02:24</t>
  </si>
  <si>
    <t>饿了么欺诈，敷衍态度，打骚扰电话，希望退款。</t>
  </si>
  <si>
    <t>2019/10/03 19:01:53</t>
  </si>
  <si>
    <t>投诉人孙先生投诉对象小花钱包涉诉金额803元问题类型诉求类型投诉详情暴力催收骚扰爆通讯录骚扰父母打电话威胁。</t>
  </si>
  <si>
    <t>2019/10/03 19:01:47</t>
  </si>
  <si>
    <t>投诉人尹先生投诉对象信用管家涉诉金额4000元问题类型诉求类型投诉详情信用管家恐吓暴力催收钱线上无法还款希望协商处理。</t>
  </si>
  <si>
    <t>2019/10/03 19:01:27</t>
  </si>
  <si>
    <t>投诉人杜先生投诉对象造艺科技涉诉金额299元问题类型诉求类型投诉详情2019年10月3日下载该公司的聚富分期app后注册时诱导用户开通银行卡快捷支付并在本人不知情的情况下通过注册流程诱导用户要求我生成一个信用报告有两个选项一个是直接支付299元一个是使用小银卷我点击使用小银卷没有任何提示然后叫我绑定银行卡也没有任何扣款提示之后未经本人同意擅自从银行卡扣款299元并且app内无法联系到人工客服希望能尽快处理退还不正当扣款的费用299元。</t>
  </si>
  <si>
    <t>2019/10/03 19:00:35</t>
  </si>
  <si>
    <t>投诉人王先生投诉对象威力贷涉诉金额15000元问题类型诉求类型投诉详情因本人急用钱，在网页上下载了肥猫贷想有钱，喵下贷，威力贷等系列11个714产品，每个1100左右，借款时没显示多久还款，还款多少，放款之后才看到借款1100三天之后还1500！利息三天高达400！并且到期日就有人打电话催收，态度恶劣，称中午12点之前没处理爆通讯录！还不到逾期那天就说要骚扰通讯录了！我无奈只能一直延期，1100元延期三天就要400！今天算了下半个月不到，延期金额已经支付了8000多！但是我借款11个总到账金额只有12000</t>
  </si>
  <si>
    <t>2019/10/03 18:59:40</t>
  </si>
  <si>
    <t>2017年用钱宝到期当时协商本金加利息还款不同意，恶意拨打通讯录电话，ps短信群发，支付宝负面申诉3次不消除。</t>
  </si>
  <si>
    <t>2019/10/03 18:57:37</t>
  </si>
  <si>
    <t>本人无力偿还砍头部分，协商还款本金加合适利息，本来一周前客服回电话同意协商还款。</t>
  </si>
  <si>
    <t>2019/10/03 18:55:34</t>
  </si>
  <si>
    <t>马上金融在催收过程中，威胁恐吓，暴力催收，一边打着了解情况的幌子，一边胡说八道，无中生有，不给你解释情况的机会，本人情况已多次向催收人员进行解释，如果不同意协商还款，就请停止骚扰，走合法程序要回，本人将整理好所需证据，积极应诉，本人因个人原因导致逾期的费用愿意承担，催收过程中对本人及亲朋好友造成的身心伤害，本人也将全力追究责任，如同意协商还款，请贵公司指派一名可以正常交流的人员进行协商还款事宜，如拒绝协商，本人愿就近通过法院来还款。</t>
  </si>
  <si>
    <t>2019/10/03 18:55:12</t>
  </si>
  <si>
    <t>投诉人 孙先生        投诉对象  及贷        涉诉金额  6 900 元    问题类型    诉求类型投诉详情  先请人打电话骚扰。未果请人上门暴力收款。闹的邻居都知道了。几千块钱至于吗。</t>
  </si>
  <si>
    <t>2019/10/03 18:54:07</t>
  </si>
  <si>
    <t>用了很多次，买过一台笔记本电脑和衣服，桔子分期说是循环使用消费额度，本人都是按时还款，但是现在额度被冻结了不能使用，连个短信电话都没有，app也没有冻结额度的推送，他这冻结了我的额度是在欺骗消费者，说是循环使用额度，为什么冻结，连个理由都没有，还款也是按时还的，请桔子分期恢复我的额度，你的循环使用呢，别说什么综合评分欺骗人，银行评分不足还有代码让你查理由呢，再次要求桔子分期恢复额度，在模棱两可的处理就银监局见！。</t>
  </si>
  <si>
    <t>2019/10/03 18:52:14</t>
  </si>
  <si>
    <t>投诉人 杨先生        投诉对象  Wecash闪银        涉诉金额  580 元    问题类型    诉求类型投诉详情  从19号发货到29号 显示签收可是本人无签收 联系客服一直说下一位客服会说 要不就是说已经在催促</t>
  </si>
  <si>
    <t>2019/10/03 18:51:11</t>
  </si>
  <si>
    <t>投诉人 彭浩        投诉对象  小花钱包        涉诉金额  499 元    问题类型    诉求类型投诉详情  今天投诉两次了，依旧是群发短信。这样有钱也不会还的</t>
  </si>
  <si>
    <t>2019/10/03 18:51:06</t>
  </si>
  <si>
    <t>投诉人杨先生投诉对象蜜瓜钱包,汇潮支付涉诉金额2800元问题类型诉求类型投诉详情蜜瓜钱包借款金额1820元由汇潮支付放款6天需还款2810元已支付2次延期费共计1960元已超过本金现本人已债务过重无力支付且该平台工作人员到期之日狂打电话威胁我必须几点几点还进去否则要爆我通讯录我再三强调我是到期了非逾期对方依旧恐吓我扬言要曝通讯录现求助于聚投诉望平台能协助销账。</t>
  </si>
  <si>
    <t>2019/10/03 18:50:49</t>
  </si>
  <si>
    <t>前两天网上贷到期找朋友借了2700块钱想着网上贷还进去之后还可以再用就先把网上贷给还了，但是还你之后往上带账户直接显示无法提供贷款希望该平台可以跟网上贷协商，先让我度过眼前这半年的难关现在网上带给我停止贷款让我压力非常大。</t>
  </si>
  <si>
    <t>2019/10/03 18:50:39</t>
  </si>
  <si>
    <t>投诉人 孙先生        投诉对象  维信金科        涉诉金额  3 800 元    问题类型    诉求类型投诉详情  泄漏个人隐私，不经过本人同意。联系我朋友。败坏我个人名声。还威胁我诅咒我</t>
  </si>
  <si>
    <t>2019/10/03 18:50:33</t>
  </si>
  <si>
    <t>虚假宣传，当时在机场骗我们办卡，有购票优惠，商务候机室等。</t>
  </si>
  <si>
    <t>投诉人 江先生        投诉对象  你我贷        涉诉金额  3 000 元    问题类型    诉求类型投诉详情  你我贷还款未到期 就有你我贷工作人员催收 要求道歉 不准骚扰</t>
  </si>
  <si>
    <t>2019/10/03 18:50:25</t>
  </si>
  <si>
    <t>有钱花逾期几天就爆通讯录，威胁恐吓！然后群发短信骚扰，后致失业，生病，现生不如死！要求有钱花销帐，道歉！。</t>
  </si>
  <si>
    <t>2019/10/03 18:49:50</t>
  </si>
  <si>
    <t>欢乐抢红包通过虚假宣传引诱别人注册抢红包抢到红包还要继续拉人头提现成功自己才能提现，跟宣传注册实名就能抢红包提现严重不符，而且首页有赌博网站广告，就是一个欺诈别人分享引流的骗子平台，希望官方严肃处理，实名认证信息还有可能被平台出卖给别人获得不当收益，坚决维护网络绿色公平公正，所以举报。</t>
  </si>
  <si>
    <t>2019/10/03 18:49:09</t>
  </si>
  <si>
    <t>投诉人 余辉        投诉对象  小象优品        涉诉金额  11 000 元    问题类型    诉求类型投诉详情  逾期费率超高群发通讯录信息打朋友骚扰电话</t>
  </si>
  <si>
    <t>2019/10/03 18:48:19</t>
  </si>
  <si>
    <t>投诉人 江先生        投诉对象  Wecash闪银        涉诉金额  6 000 元    问题类型    诉求类型投诉详情  不小心多申请了两笔 到账的钱都没有原封不动 要求另外两笔退回去 还有申请的时候 有三个订购服务自动帮我勾选了 得多还三笔服务费</t>
  </si>
  <si>
    <t>2019/10/03 18:48:05</t>
  </si>
  <si>
    <t>钱站借款3000，当时没注意看，然后合同上写的是4500……这费用超级高哦！当时没注意，没留证据，再申请，截图上传，图片不是我投诉的，只是钱站套路的证据。</t>
  </si>
  <si>
    <t>2019/10/03 18:47:12</t>
  </si>
  <si>
    <t>现在本人已经持续还款8个月能否追回我额外交纳的金额。</t>
  </si>
  <si>
    <t>2019/10/03 18:45:34</t>
  </si>
  <si>
    <t>信用管家好运金真坑，我以还过一期请信用管家好运金把符合国家规定的利率计算好的金额减去我以还的金额协商。</t>
  </si>
  <si>
    <t>2019/10/03 18:45:29</t>
  </si>
  <si>
    <t>泄漏个人隐私，不经过本人同意，获取本人通讯录信息，骚扰通讯录无关人员对本人言语辱骂，及通讯录联系人进行辱骂。</t>
  </si>
  <si>
    <t>2019/10/03 18:45:18</t>
  </si>
  <si>
    <t>本人购买aji旗舰店饼干，饼干开启签就有漏气现象，开启后饼干明显不脆，要求退货，卖家以已经开启拒绝售后，申请小二介入后，卖家提供的证据仅仅是进货单和质检报告，和产品漏气不脆毫无关系，但天猫小二直接判罚驳回售后，一个无关的质检报告，成为商家在淘宝天猫万能挡箭牌，正是因为天猫小二黑白颠倒，保护商家利益，作为平台，不能公平客观处理维权，天猫大店欺客，让人发指！。</t>
  </si>
  <si>
    <t>2019/10/03 18:42:46</t>
  </si>
  <si>
    <t>投诉人侯金平投诉对象辽宁双盈因私出入境服务有限公司涉诉金额1800元问题类型诉求类型投诉详情通过网络联系到该公司，了解到可以办劳务签证，需要交1800元报名费，办理不通过可以退还报名费，通过微信转账1800元后，告知不可以办理劳务签证，之后说只能办理非法转移民的手续，之后又要我交23500元，如果不交之前的报名费也不予退还，考虑到受骗了，向贵平台请求帮助。</t>
  </si>
  <si>
    <t>2019/10/03 18:42:39</t>
  </si>
  <si>
    <t>活动标注购手机凭购买订单截图送魔兽世界7日游戏时间兑换码，以及晒图3张并好评饭1000京豆的活动，因京东小米客服给予的兑换码在暴雪战网上兑换不了，在咨询暴雪战网客服后，给予回答是兑换码只有13位，而京东的小米客服对于活动只提供兑换码，再三咨询是否是兑换码有问题还是兑换的地址是否有其他，客服给予的回答是“您自行搜索网站兑换”，联系京东客服，回答说这个他们不管的，让我联系京东的小米客服，敢问东西是在你店里买的，出了问题你说这个事情不是你管的，你找营业员吧，是这个意思吗。</t>
  </si>
  <si>
    <t>2019/10/03 18:41:14</t>
  </si>
  <si>
    <t>本人因为急事逾期了51人品贷短短10几个小时。</t>
  </si>
  <si>
    <t>2019/10/03 18:40:50</t>
  </si>
  <si>
    <t>本人在2018年9月至2019年4月期间在点点金融四次借款，金额合计26100元，在我不知情的情况下，点点金融联合众安保险强行搭售四笔个人借款保证保险，金额高达4321元，而且根据IRR计算方法，点点金融的年利率已高达40.21%，严重超出了法律规定36%的红线，现本人郑重要求：1、减免15000元借款的第十二期还款，并提供结清证明；2、调整未还清的三笔借款利率为24%；3、全额退还四笔保费4321元；4、停止每日的电话骚扰。</t>
  </si>
  <si>
    <t>2019/10/03 18:40:16</t>
  </si>
  <si>
    <t>玖富万卡平台无理由暴力催收，其第三方催债电话甚至存在威胁语气，种种迹象表明不正规的平台包括其客服都存在不正规操作嫌疑，请官方核查，本人于平台借款30000元，其当时已收取高额费用1401.74元，现我已还清35431.86元，请求开具结清证明，其不但没有合规处理，反倒让第三方平台一而再再而三来电话骚乱，让还款一万多，血淋淋的高利贷、套路贷，请求封杀，不要再迫害更多无辜老百姓的血汗钱！另外，致电玖富客服之后，其强调贷款年利率为36%，远超国家法定的24%范围，超出部分无力偿还也不讲偿还高利率部分，客服让我自行</t>
  </si>
  <si>
    <t>2019/10/03 18:35:00</t>
  </si>
  <si>
    <t>投诉人 彭浩        投诉对象  小花钱包        涉诉金额  499 元    问题类型    诉求类型投诉详情  今天投诉两次依旧群发短信，无视投诉内容！</t>
  </si>
  <si>
    <t>2019/10/03 18:34:24</t>
  </si>
  <si>
    <t>本人于2019年9月2号从好易贷平台借款3000元，实际到账2100为期6天，砍头息900.期间手机坏了，找不到APP，客服联系不上，9月29号客服催收让还4500，经协商还2800销账，在平台还过后，客服电话打不通微信被拉黑，10月3号又催收让还1700，并骚扰本人亲戚，朋友，进行辱骂。</t>
  </si>
  <si>
    <t>2019/10/03 18:34:07</t>
  </si>
  <si>
    <t>投诉人张先生投诉对象钱站涉诉金额1330元问题类型诉求类型投诉详情一天一百块钱的违约金高利息威胁还说后果自负。</t>
  </si>
  <si>
    <t>2019/10/03 18:33:19</t>
  </si>
  <si>
    <t>本人通过助力钱包在金贷保借款3000到账2100，7天要还3000，不还一天300的逾期费，骚扰家人，要求还本金，合法利息，销账。</t>
  </si>
  <si>
    <t>2019/10/03 18:32:36</t>
  </si>
  <si>
    <t>2019/10/03 18:32:35</t>
  </si>
  <si>
    <t>我在闪银旗下百万钱包平台借款5000元，分12期，到账后扣走砍头息，还了2期以后我想提前还款，给平台打电话协商减免后面没到期部分的手续费，平台拒绝了，于是我将3到11期，现在要求闪银百万钱包退还我的砍头息和后面多付的手续费。</t>
  </si>
  <si>
    <t>2019/10/03 18:32:30</t>
  </si>
  <si>
    <t>2019/10/03 18:31:37</t>
  </si>
  <si>
    <t>本人于2019年8月4日在玖富万卡网贷平台借款5000元，其后在未通知本人的情况下分两次扣款1165余元，其后需分12期还款，每期566.36元，合计应还6796.32元，利息高达近3000元，其本质是高利贷行为，严重违反国家法律的相关规定，并侵犯了本人的相关权利，希望有关领导重视调查，停止该公司对本人的侵害，并做出相应的减息及赔偿。</t>
  </si>
  <si>
    <t>2019/10/03 18:31:35</t>
  </si>
  <si>
    <t>51人品贷的催收各种打电话侮辱威胁爆通讯录不协商强迫本人威胁本人。</t>
  </si>
  <si>
    <t>2019/10/03 18:30:55</t>
  </si>
  <si>
    <t>我要投诉微信团队，由于我的工作原因我的工作号要两个手机来回登录给客户发资料，导致我的账号提示登录限制被封，前几日找了腾讯客服因为身份证泄露过导致不法分子盗用我身份证去实名微信，找客服要求注销本人名下非别人使用的微信号，客服不予处理推三倒四，也不知道盗用wo身份信息去实名微信做什么非法事情，要求腾讯微信部门给予做出解释，还有把我自己使用的账号恢复正常。</t>
  </si>
  <si>
    <t>2019/10/03 18:30:29</t>
  </si>
  <si>
    <t>我这个，1万分了45期，每期410，还了9期，之前逾期，要我一次性还清，9700，两三个月，就要10300多了，每天利息，7快，还款日还扣60，这利息也太高了，天天打电话骚扰我家人，还寄信件恐吓。</t>
  </si>
  <si>
    <t>2019/10/03 18:29:16</t>
  </si>
  <si>
    <t>本人于2019年6月在你我贷秒啦借款11000元左右前两期每期还款2200多，第三期需还款800多元，因本人长期生病住院，导致工作有变，第三期无法按时还款，因此请求贵公司视本人特殊情况给予宽限期！并避免催收骚扰！本人承诺尽快处理个人事宜！万分感谢。</t>
  </si>
  <si>
    <t>2019/10/03 18:28:49</t>
  </si>
  <si>
    <t>他家是明显的高利贷、套路贷，每次借款2000都要先交五百多的会员费，我借过多次，会员费早就超过本金了，他们现在暴力催收，爆通讯录，严重影响了我的生活，我要求他们立即停止这种恶劣行为！。</t>
  </si>
  <si>
    <t>2019/10/03 18:28:25</t>
  </si>
  <si>
    <t>突然收到这样的短信，然后就拨打短信里的电话，发现是一个网贷公司：维信豆豆钱，说是担保的费用，我确实在2019年9月20日申请过一笔贷款，但是当时完全没说有这一笔保证金！我完全不知情，也不认可！如果当时看到，就不会再继续申请。</t>
  </si>
  <si>
    <t>2019/10/03 18:27:58</t>
  </si>
  <si>
    <t>投诉人梁女士投诉对象立刻出行涉诉金额499元问题类型诉求类型投诉详情立刻出行一直不退押金499元，联系客服电话一直不通，说是5_10退押金，现在都过去20多天了，还未退款。</t>
  </si>
  <si>
    <t>2019/10/03 18:26:57</t>
  </si>
  <si>
    <t>还款日期还没到就开始催收电话，现在逾期第二天就群发通讯录短信，态度恶劣！像贵平台投诉两次仍然在群发短信。</t>
  </si>
  <si>
    <t>2019/10/03 18:26:29</t>
  </si>
  <si>
    <t>投诉人石先生投诉对象17740675494,18608623685涉诉金额0元问题类型诉求类型投诉详情此事与本人无关，对方一直电话短信骚扰，态度恶劣，影响本人正常生活！！！希望有关方对这类事件加强打击力度！！！。</t>
  </si>
  <si>
    <t>2019/10/03 18:25:37</t>
  </si>
  <si>
    <t>信用管家里的树林分期，青春宝分期，金钱豹，都是高利贷，借款3000到账2200，不到一个月。</t>
  </si>
  <si>
    <t>2019/10/03 18:24:24</t>
  </si>
  <si>
    <t>本人在2019年8月份因应急，在省呗APP上借款4000元，由于时间匆忙，没注意对方利息已达到年化利率36%，根据法律规定，超出24%年利率的借款行为，不受法律保护，跟他们客服协商，对方态度恶劣，并明确表示不能降低还款利息，感谢聚投诉能给群众提供维权的地方，仅要求对方给我降低利率到24%便可，谢谢。</t>
  </si>
  <si>
    <t>2019/10/03 18:23:58</t>
  </si>
  <si>
    <t>当时借了1860，5天后需要还2500，现在逾期费一天几十，这应该是一种高利贷，需要相关部门核实处理。</t>
  </si>
  <si>
    <t>2019/10/03 18:23:47</t>
  </si>
  <si>
    <t>无良商家给假单号坑骗买家，转转二手交易客服明知商家是骗子不给极速退款！。</t>
  </si>
  <si>
    <t>2019/10/03 18:22:50</t>
  </si>
  <si>
    <t>小浦优客未经本人同意以生成报告为理由扣去注册者的钱款，而且有钱一直扣，短信一直来，构成私自盗刷长期扣款可能严重犯罪。</t>
  </si>
  <si>
    <t>2019/10/03 18:22:38</t>
  </si>
  <si>
    <t>5天前下载APP填写资料完成通知要扣费就卸载并且申请未成功，5天后今天分两笔84元共扣除我168元，未经我同意乱扣费，强烈要求退款。</t>
  </si>
  <si>
    <t>2019/10/03 18:21:58</t>
  </si>
  <si>
    <t>，多宝分期严重超过了国家规定利率，要求协商本金还款。</t>
  </si>
  <si>
    <t>2019/10/03 18:21:46</t>
  </si>
  <si>
    <t>2019/10/03 18:21:43</t>
  </si>
  <si>
    <t>钱橙无忧，当时申请，看到是需要支付会员费，没有点击确认，马上卸载app，今天突然收到了扣款信息。</t>
  </si>
  <si>
    <t>2019/10/03 18:21:22</t>
  </si>
  <si>
    <t>这是明显的高利贷、套路贷，我在他家借过多次，每次都要交五、六百的会员费，这些会员费早就超过本金了，现在他们电话轰炸催收，严重影响了我的工作生活，我要求他们停止骚扰！。</t>
  </si>
  <si>
    <t>2019/10/03 18:21:18</t>
  </si>
  <si>
    <t>投诉人 谢雷        投诉对象  豆豆钱        涉诉金额  399 元    问题类型    诉求类型投诉详情  刚刚放完款 就立马莫名其妙扣掉我399 我都不知道谁扣的 后面才知道</t>
  </si>
  <si>
    <t>2019/10/03 18:21:06</t>
  </si>
  <si>
    <t>投诉人胡梅投诉对象小花钱包涉诉金额29189元问题类型诉求类型投诉详情在中腾信旗下小花钱包陆陆续续借款29189元，其中分7个合同，利息高不说我主动借的我认，但是还款日时手头实在拿不出那么多钱，想着等两天发工资了就还上，我这逾期第二天你们的专员打电话过来我也好好说明了情况只要求再给一天的时间第三天就给还进去，我已经说了很清楚明天下午你们再查帐我答应的事情没做到我爆通讯录我认，但是一直是没有协商的余地，都是你们专员说了算，才刚挂电话马上给了我联系男朋友发短信进行催收！。</t>
  </si>
  <si>
    <t>2019/10/03 18:20:46</t>
  </si>
  <si>
    <t>非法窃取用户手机隐私，短信威胁，读取了我的联系人，对亲朋好友进行骚扰，验证码轰炸通讯录联系人，1000元分期，每期还100，一共12期，逾期20天本金100，需要还300。</t>
  </si>
  <si>
    <t>2019/10/03 18:18:24</t>
  </si>
  <si>
    <t>我的卡是逾期了为什么8月账单要还11861.76，9月份的账单就变成了15148.64，就算是再怎么涨能涨了3200多块钱。</t>
  </si>
  <si>
    <t>2019/10/03 18:17:51</t>
  </si>
  <si>
    <t>投诉人 徐先生        投诉对象  钱站        涉诉金额  5 000 元    问题类型    诉求类型投诉详情  打电话过来说自己是钱站总部的 没说几句话我说我会还钱 他就开始凶态度很差很差 把自己当成高利贷催收人员了？搞得我会被吓住一样 什么态度 什么玩意</t>
  </si>
  <si>
    <t>2019/10/03 18:17:45</t>
  </si>
  <si>
    <t>砍头息，阴阳合同1.借款18750,到账15135.602.合同还款共24000,分12期3.费用共8864.4，利息将近60%。</t>
  </si>
  <si>
    <t>2019/10/03 18:17:21</t>
  </si>
  <si>
    <t>本人还款一向守信，9月1自动扣款失败产生1笔逾期费100多元，打了半个月的电话客服才说会退款到账号，10月1的还款因国庆银行系统还款失败，1天100的逾期费，假如一个月岂不是3000的逾期费。</t>
  </si>
  <si>
    <t>2019/10/03 18:17:05</t>
  </si>
  <si>
    <t>牛人有品1900元砍头息实际到账1368元，一个月分两期偿还，每期需还969元，远超国家规定利息，目前已还款一期，且第一期还款时，在本人未逾期情况下，催收一直短信电话让本人处理，威胁要联系本人通讯录亲朋好友，投诉要求牛人有品联系我协商还款剩余本金及合理利息，目前牛人有品无视投诉，并未联系本人。</t>
  </si>
  <si>
    <t>2019/10/03 18:16:51</t>
  </si>
  <si>
    <t>宜人财富更改银行卡号，提示放款失败，资金冻结，需要缴纳20%解冻金才能放款。</t>
  </si>
  <si>
    <t>2019/10/03 18:15:39</t>
  </si>
  <si>
    <t>投诉人田女士投诉对象国美涉诉金额1799元问题类型诉求类型投诉详情我从qq群发现有刷单店铺刷单，一单8元，一天三次五次，我通过微信加上她，她说刷单不需要自己支付，利用企业代付，可是我确定花呗支付后，确定已付款，根本没出现企业代付的界面，确定付款了1799元以后，我发现自己被糊弄了，然后让对方退款，也迟迟没有退，第二天我就去报警了，办了受案回执单，我找了国美客服，国美也不提供订单详情，我还是个大学生，不敢和家里人说起自己支付的经历，生活费需要支出，家里爸爸又落下疾病，只有靠妈妈一人教师工资生活，希望能把钱追回</t>
  </si>
  <si>
    <t>2019/10/03 18:15:15</t>
  </si>
  <si>
    <t>当时需要钱，不小心进入了网络贷款，没想到是714高炮，借款1400，期限6天就需要还2000，对方电话催收语气带有威胁，希望相关部门核实处理！。</t>
  </si>
  <si>
    <t>2019/10/03 18:15:07</t>
  </si>
  <si>
    <t>借款3500，三期已经还'了3700多，还有一期899.5这不是高利贷是什么，要求钱小咖进行销账处理，消除对本人征信的影响。</t>
  </si>
  <si>
    <t>2019/10/03 18:14:19</t>
  </si>
  <si>
    <t>投诉人 樊先生        投诉对象  造艺科技        涉诉金额  299 元    问题类型    诉求类型投诉详情  我9月21号在聚富分期上注册 想查询是否可以借款 聚富分期绑定了我的银行卡 在9月23号 我不知情的情况下扣了我299元 9月23号打客服电话要求退款 客服反馈后 下午4点多有工作人员打电话过来答应退款 1到3个工作日内退款到原账户 至今没退款 现强烈要求立即退款</t>
  </si>
  <si>
    <t>2019/10/03 18:14:07</t>
  </si>
  <si>
    <t>闪银平台不能解绑银行卡，希望以后能增加这个功能，让客户方便。</t>
  </si>
  <si>
    <t>2019/10/03 18:13:00</t>
  </si>
  <si>
    <t>电话骚扰，还给家里打电话，给家里带来很大困扰，还有卖我的个人信息！！。</t>
  </si>
  <si>
    <t>2019/10/03 18:11:39</t>
  </si>
  <si>
    <t>本人于你我贷平台借款13100元，但是未曾见到合同，只见到还款详情，本人已按照app显示偿还7期，共计11197.12元，之前未曾注意，本次还款想看下合同约定，却在app中未曾找到，仔细计算后，发现还款方式不合理，前两期的还款金额高达2295.76，如此算来，2期之后本金所剩不多，虽然年化不超过36%，但是按照月利计算属于高利贷，故要求解释和协商剩余还款事宜，本人也将明细列出，请予以沟通！另本人在贵公司曾多次借款并已结清，现需要贵公司提供之前已经结清的账单明细和合同，本人需要核查！。</t>
  </si>
  <si>
    <t>2019/10/03 18:11:24</t>
  </si>
  <si>
    <t>导致本人被公司开除，失去经济来源，给本人日常生活带来严重影向，导致本人心里负担及大，几近崩溃。</t>
  </si>
  <si>
    <t>2019/10/03 18:10:42</t>
  </si>
  <si>
    <t>5月份约的婚纱照说只能约到9月13号，当天下雨重新预约给安排到22号，拍摄完有几套没拍好，合同有重拍服务，再次重新预约说估计要预约到11月底了，申请退款找别家影楼说退不了，让重新安排重拍也安排不了。</t>
  </si>
  <si>
    <t>2019/10/03 18:10:35</t>
  </si>
  <si>
    <t>爱又米抱米花借款，存在给出3000额度，但是需要600所谓的风险评估服务，实则砍头息，分期6个月，连本带息共需要归还3310元，年利率接近100%，就是高利贷，尝试跟客服沟通，一直在推皮球，希望有关部门加强对这类高利贷的监管，值此共和国70周年华诞，国家大力打击714高炮的时期，竟然还会有这些所谓的正规平台，使用砍头息，阴阳合同这类的方式来欺瞒消费者，实在是不可饶恕。</t>
  </si>
  <si>
    <t>2019/10/03 18:10:18</t>
  </si>
  <si>
    <t>10月1号是还款日还款金额2150，本人于23点9分主动还款后，尾号3771银行卡有余额但一直未收到扣款信息，于是登录APP确认，显示本人处于还款中，请稍候查看还款是否成功，退出重新登录依旧是还款中，结果到10月2号显示未还款，加收70逾期费，处于逾期账单。</t>
  </si>
  <si>
    <t>2019/10/03 18:09:29</t>
  </si>
  <si>
    <t>三个月借4000要还8000多，前期两单一期2500。</t>
  </si>
  <si>
    <t>2019/10/03 18:08:36</t>
  </si>
  <si>
    <t>跑了3千单，也没几单，个数单量跨成单，我还是服务分高，五星，违反平台原则，强烈给解释，问问老说我号没问题，那为什么这样。</t>
  </si>
  <si>
    <t>2019/10/03 18:08:26</t>
  </si>
  <si>
    <t>起初在发货当地的网点停留三天不更新信息不发走货物，联系客服后当晚有更新，到分拨中心准备发往本人所在地，但是直到今天，又一个三天过去，仍然没有任何信息更新，询问客服后给的答复就是已经在发往本人所在地，这跟我自己在发货信息里看到的一样，并没有得到解决！只能在他们公众号上投诉，随后接到电话，该电话客服表示目前货物仍然在宿迁分拨中心，是已经装车了但没有满一车所以没发走，具体还要我自己去联系宿迁分拨中心，她也无法给我确切的发走时间！已经第八天了，其中两次都是三天不发走不更新的状态，浪费了我的时间，这是大件货物，本应该</t>
  </si>
  <si>
    <t>2019/10/03 18:08:03</t>
  </si>
  <si>
    <t>贷上钱天下有借高利息借2500元，实际到账1750分4期。</t>
  </si>
  <si>
    <t>2019/10/03 18:05:53</t>
  </si>
  <si>
    <t>投诉一个月没人给我处理，每天骚扰电话打不停，本人现在要求捷信公司退回多收我的利息和费用，本人现在终止再还任何一分钱，必须给我退款，不然我就起诉，起诉书我已经准备好了，再不给我解决我就立马起诉。</t>
  </si>
  <si>
    <t>2019/10/03 18:04:21</t>
  </si>
  <si>
    <t>本人因失业外加身体原因，导致光大信用卡无法及时还款逾期十多天，但光大银行委外催收机构迪扬资产的工作人员直接打着银行的名义来电要求立即还款，并不给协商的余地，并威胁不立即还款，直接到我所在地的公安经侦部门报案。</t>
  </si>
  <si>
    <t>2019/10/03 18:04:04</t>
  </si>
  <si>
    <t>打电话有通话记录，接电话开口就骂，态度恶劣！。</t>
  </si>
  <si>
    <t>2019/10/03 18:04:03</t>
  </si>
  <si>
    <t>9月18号去学校那儿平台订了深圳飞河内航空，日期还没有选择好网络系统问题卡着付款，第一时间联系平台申请退款在平台规定时间内，但是平台推卸自然说无法联系代理商，后续一直反馈但是就不予解决，而且没买票我的信息他们填写错误却是一点没有企业责任感说我写错肯定自己负责但是你们买票为快也是错的难道你们是怎么承担责任。</t>
  </si>
  <si>
    <t>2019/10/03 18:02:14</t>
  </si>
  <si>
    <t>说500是购物的可以自己去购物，我去买什么，非法集资放贷，手机丢了拿以前旧手机用下载他们平台下载不了还说我恶意的，高利贷，高额砍头息，暴力催收，非法爆通讯录，请贵平台立即停止对我通讯录骚扰和信息，否则我将贵平台起诉法院或者上报公安你不让我好过我也不让你们好过！我相信不止我一个人被你们公司坑了，也算是为民除害。</t>
  </si>
  <si>
    <t>2019/10/03 18:02:03</t>
  </si>
  <si>
    <t>借一千分三个月每个月还402多一点，这样算下来年化利率就是82%多，找客服他说是在合理范围内，希望把利息调整在我36%以内在进行还款。</t>
  </si>
  <si>
    <t>2019/10/03 18:01:49</t>
  </si>
  <si>
    <t>对方态度恶劣，进行人身攻击，威胁利诱，恐吓。</t>
  </si>
  <si>
    <t>2019/10/03 18:01:21</t>
  </si>
  <si>
    <t>10月2号小浦优客app申请借款，按步骤填写资料，然后最后要求绑定银行卡，绑定完成就开始审批，10月3号下午收到短信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</si>
  <si>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2019/10/03 17:59:50</t>
  </si>
  <si>
    <t>本来申请的12期，但还款基本上都集中在了前3期，年化利率172%。</t>
  </si>
  <si>
    <t>2019/10/03 17:59:41</t>
  </si>
  <si>
    <t>于2019年7月19日在豆豆钱贷了39000元，现已还款2期，第一期还款4342元，第二次因本人资金转未到账，还款日为18号，第二天19号准备还款发现增加收取我200元逾期费，本人跟豆豆钱协调无果，拖到9月30号还款4575.32元，扣取我费用233元，豆豆钱未经本人同意，强制购买非法保险费1399元，变相砍头息，以及购买担保费按每期还款扣：858.63元，第一期担保费扣取858.63元，第二期扣取担保费为：1076.62元，两笔费用为：1935.25元，在国家规定的借款利率不得超过36%的情况下，豆豆钱已</t>
  </si>
  <si>
    <t>2019/10/03 17:59:40</t>
  </si>
  <si>
    <t>本人从未使用该公司产品，联系客服，说无法取消该账号和本人新号码的绑定关系。</t>
  </si>
  <si>
    <t>2019/10/03 17:59:36</t>
  </si>
  <si>
    <t>本人于8月22在闪银行贷贷1000元贷款后来发现太们在我不知道的情况下乱扣我钱，他们在8月25日16点02分18秒的时候乱扣我新人保证金180元然后还没完，我今天去银行查我销费明细才知道我之后在9月28哼哼上借的1000块钱在10月1号14点47到56之间连续乱扣我新人保证金两笔共299元我要求给我解释加道歉，叫赔偿。</t>
  </si>
  <si>
    <t>2019/10/03 17:57:01</t>
  </si>
  <si>
    <t>你我贷，收取高额服务费，不仅不支持提前全部结清，而且绑定的银行卡在余额充足的情况下扣款失败，由于他们自身问题，却在一天内多次拨打电话骚扰，并且态度不好，在晚上7:30之后还不让主动还款，最关键是根本联系不到客服，真实太可恶了。</t>
  </si>
  <si>
    <t>2019/10/03 17:56:28</t>
  </si>
  <si>
    <t>已经通过白金钱包还款，但是app上边还是显示逾期。</t>
  </si>
  <si>
    <t>2019/10/03 17:55:54</t>
  </si>
  <si>
    <t>本人于2019年8月24日在抖音推荐的卡牛瑞贷申请了19000元的贷款，到账后马上扣了两笔费用，经查实本人并没有消费这两笔费用，两笔费用合共3800元，实际到款15200元，这属于欺诈行为，到账15200元，每月却需要还款1907.9元，还款总额却高达22894.83元，，利息高达7694.83元，本人现要求卡牛瑞贷赔偿该两笔费用。</t>
  </si>
  <si>
    <t>2019/10/03 17:55:39</t>
  </si>
  <si>
    <t>2019/10/03 17:55:31</t>
  </si>
  <si>
    <t>投诉人 贾铭        投诉对象  招联金融        涉诉金额  265 元    问题类型    诉求类型投诉详情  和客服协商以后，一直打通讯录，严重骚扰。说明情况以后还骚扰</t>
  </si>
  <si>
    <t>2019/10/03 17:53:22</t>
  </si>
  <si>
    <t>投诉人 王女士        投诉对象  通联支付        涉诉金额  517 元    问题类型    诉求类型投诉详情  在不知情的情况下扣款，返钱，道歉。这个犯法的行为。</t>
  </si>
  <si>
    <t>2019/10/03 17:53:01</t>
  </si>
  <si>
    <t>为依法惩治侵犯公民个人信息犯罪活动，保护公民个人信息安全和合法权益，根据《中华人民共和国刑法》《中华人民共和国刑事诉讼法》的有关规定，违反国家有关规定，在履行职责、提供服务过程中收集公民个人信息的，属于刑法第二百五十三条之一第三款规定的“以其他方法非法获取公民个人信息”，非法获取个人信息用于生产经营，已经涉嫌犯罪，上海维信荟智金融科技有限公司旗下平台，在借款人注册和借贷放款服务过程中，大量获取借款人敏感隐私信息--通讯录/联系人名单，用于软暴力催收电话骚扰，严重侵犯了借款人的名誉权和声誉权。</t>
  </si>
  <si>
    <t>2019/10/03 17:51:47</t>
  </si>
  <si>
    <t>该平台为高利贷平台，放款以收取会员费为由，先后一共27次，每次扣款，多收取会员费300元，合计7000余元，本人已经投诉上海以及广东越秀区相关金融部门，但是一直没有给予确定答复，部门之间相互推诿，拒不处理，我已经，报案并申请法律援助，相信党和国家以及法律会还我一个公道，因为这个高利贷我已经家破人散，数不清多少个日夜，天天以泪洗面，同时欠下了巨额的家庭债务，已经没有办法可以面对人生了，请迅速与我联系，并且退还我所有的费用。</t>
  </si>
  <si>
    <t>2019/10/03 17:51:44</t>
  </si>
  <si>
    <t>投诉人薛先生投诉对象裕恒电子商务涉诉金额900元问题类型诉求类型投诉详情公众号，裕恒电子上午，话费充值不到账，不处理，不退款，订单有9单，群里还有十几人，同样的问题，订单号:SH20191003132836468844订单号:SH20191003132807222022订单号:SH20191003132728683488订单号:SH20191003132652761216订单号:SH20191003132615668031订单号:SH20191003132543671582订单号:SH20191003132</t>
  </si>
  <si>
    <t>昨天打电话跟我沟通的一个初步结果是:我交的399定金不会退给我，我支付的3000幸福管家的套餐我要支付30%，就是900，另外你司认为，我一共接受了5天的服务，我必须要支付你司1300以上的服务费，最终结果是我可以退回是700左右的服务费，该导师让我尽量多主动说这样才能了解我的情况，期间该导师有几次停顿，告知我有其他学员在询问信息，他需要回复，我表示了解，我开始时也在说后该导师职责我有打岔，上钢上线，说话不站在别人角度上考虑问题等毛病辅导给我的心理压力特别大，后面基本我听导师说，再作出回应，导师又指出我口是</t>
  </si>
  <si>
    <t>2019/10/03 17:51:03</t>
  </si>
  <si>
    <t>被骗了199，叫它退款它不理人，希望能给出回应。</t>
  </si>
  <si>
    <t>2019/10/03 17:50:50</t>
  </si>
  <si>
    <t>少发货，拍了7套洗手液发了六套，交涉天猫说并无少发，但事实是只收到六套。</t>
  </si>
  <si>
    <t>2019/10/03 17:50:29</t>
  </si>
  <si>
    <t>严重暴力催收，欠的是钱，不是命，欠债还钱是天经地义，约定分期的要一次性还清怎么还。</t>
  </si>
  <si>
    <t>2019/10/03 17:50:16</t>
  </si>
  <si>
    <t>本人于5月5日在快贷平台借款6500元，分6期每期还款1278.33元，共需还款7669.98元，利息高达1169.98元，远超国家法律规定的年利率，属于高利贷，剩余2556.66元未还，希望提前结清并减免利息及有关的服务费。</t>
  </si>
  <si>
    <t>2019/10/03 17:48:34</t>
  </si>
  <si>
    <t>前几天就疯狂炸我通讯里还群发短信语音，接了几个说了手头紧，这几天找钱还或者下个月发工资还上，沟通了还是这样暴力催收，今天还发个信息来恐吓威胁P图群发。</t>
  </si>
  <si>
    <t>2019/10/03 17:48:15</t>
  </si>
  <si>
    <t>投诉人 孙女士        投诉对象  玖富        涉诉金额  39 000 元    问题类型    诉求类型投诉详情  玖富万卡借了3万9 还了一年还要还4万3 之前协商期间还擅自银行卡扣款 协商金额一直拖 并不是诚心协商 如果玖富不诚恳那我只能起诉处理 如果有骚扰联系人情况报案处理</t>
  </si>
  <si>
    <t>2019/10/03 17:47:49</t>
  </si>
  <si>
    <t>玖富借款到账秒扣处费用，切计算费用按照借款费用。</t>
  </si>
  <si>
    <t>2019/10/03 17:47:38</t>
  </si>
  <si>
    <t>支付宝网商银行催收不知道他今天是不是吃错药了下午一点打电话打到5.44还不停地再打。</t>
  </si>
  <si>
    <t>2019/10/03 17:47:10</t>
  </si>
  <si>
    <t>投诉人孙女士投诉对象购分期涉诉金额299元问题类型诉求类型投诉详情购分期贷款审核不通过，强制购买VIP不退款，还要提供五家网贷平台审核不通过图片，霸王条款，。</t>
  </si>
  <si>
    <t>2019/10/03 17:47:04</t>
  </si>
  <si>
    <t>曝通迅录，骚扰家人朋友同事，高利贷，砍头息，，电话威胁恐吓！严重打乱我的工作和生活，给我造成难以挽回的伤害。</t>
  </si>
  <si>
    <t>2019/10/03 17:46:52</t>
  </si>
  <si>
    <t>要求唯品会退差价，刚买了化妆品是468，就降价成419，要求补差价。</t>
  </si>
  <si>
    <t>2019/10/03 17:46:50</t>
  </si>
  <si>
    <t>两三个礼拜每天给我打四五个电话，拉黑一个换一个打，不想说什么了图在这，都是被我拉黑的捷信的电话接听一次也是机械的声音骂的也没用，麻烦快点处理让它停止。</t>
  </si>
  <si>
    <t>2019/10/03 17:45:36</t>
  </si>
  <si>
    <t>本人于2019年9月4号在信用管家里的云享贷，贷款3000元，实际到账2250，分三期还，10天一期，每期还1029.1，今天还清了。</t>
  </si>
  <si>
    <t>2019/10/03 17:45:28</t>
  </si>
  <si>
    <t>贷上钱收取所谓的荐职小秘书服务，本人从来没有买过这种东西，强加上去的变相收取服务费，属于变相砍头费用，而且一直骚扰我的亲戚朋友，言语辱骂，给我造成相当大的影响，而且已经打电话到我的领导那里去了，工作也不保了，希望能取缔这种平台。</t>
  </si>
  <si>
    <t>2019/10/03 17:45:05</t>
  </si>
  <si>
    <t>每次借款都要购买财神黑卡，每借款6400，手续费320，财神黑卡1100，期限50天，在闪电借款共计约50000元。</t>
  </si>
  <si>
    <t>2019/10/03 17:44:12</t>
  </si>
  <si>
    <t>投诉人廖先生投诉对象月光侠分期涉诉金额2500元问题类型诉求类型投诉详情本人在8月1号在月光侠借款2500元人民币。</t>
  </si>
  <si>
    <t>2019/10/03 17:43:27</t>
  </si>
  <si>
    <t>投诉人杨柳投诉对象豹子贷,上海造艺网络科技,造艺网络科技,银码头涉诉金额290元问题类型诉求类型投诉详情一开始填写信息也是豹子贷平台要求填写我并不知道填写了你们就可以随意扣费别的软件也没有这样我只是抱着想要分期的了解心理而且你们扣费也并没有提前告知而是直接扣费这已经造成了对我的人身财产的威胁跟欺骗如果我后期那个卡里再存钱进去，你们还是会自动扣除所以这已经对我的财产信息构成了威胁我请求立即退款并消除信息。</t>
  </si>
  <si>
    <t>2019/10/03 17:42:52</t>
  </si>
  <si>
    <t>乱扣费，不给解决！，还要让等15个工作日，。</t>
  </si>
  <si>
    <t>2019/10/03 17:42:22</t>
  </si>
  <si>
    <t>投诉人朱女士投诉对象吉吉钱包涉诉金额3000元问题类型诉求类型投诉详情吉吉钱包直接放款想取消都没有机会，砍头息高的吓人，跟客服协商本金还款不同意，威胁恐吓骚扰，现在要求平台本金销账，停止骚扰。</t>
  </si>
  <si>
    <t>2019/10/03 17:41:57</t>
  </si>
  <si>
    <t>本人因生意失败，欠下大额债务，暂时资金困难，导致于，安逸花平台借款产生逾期，本人还款欲望强烈，只因暂时困难与之协商缓期还款，其公司不予理会，每天用网络电话骚扰威胁本人及亲友。</t>
  </si>
  <si>
    <t>2019/10/03 17:41:15</t>
  </si>
  <si>
    <t>本人9月27日在国美购买airpods一台，收到货后airpods会在未开盖的情况下自动连接蓝牙，光我在用手机期间就出现过几十次，明显的质量问题，售后被国美踢皮球找苹果，苹果方表示售后问题由出售方提供。</t>
  </si>
  <si>
    <t>2019/10/03 17:39:38</t>
  </si>
  <si>
    <t>拒绝结案，系统默认结案、本人不同意结案，黑网贷套路贷，。</t>
  </si>
  <si>
    <t>2019/10/03 17:38:09</t>
  </si>
  <si>
    <t>投诉人 雪雪先生        投诉对象  交易猫        涉诉金额  500 元    问题类型    诉求类型投诉详情  没有骗钱 也没违规不给退款可以查 好几天了客服不处理</t>
  </si>
  <si>
    <t>2019/10/03 17:38:04</t>
  </si>
  <si>
    <t>之前花呗账务出现问题，导致没有按时还款，客户给我银行卡转了一笔钱，导致被花呗扣掉，无法给客户回款，客户投诉我恶意挪用公款，导致被扣押最近才回家，请支付宝与我联系，我要一个说法，把账单返回扣款账号，我继续上诉银监会及互金协会。</t>
  </si>
  <si>
    <t>2019/10/03 17:38:00</t>
  </si>
  <si>
    <t>投诉人陈先生投诉对象小浦优客涉诉金额296元问题类型诉求类型投诉详情未经过本人同意私自扣款，要求退全款，解除与银行卡绑定！。</t>
  </si>
  <si>
    <t>2019/10/03 17:37:14</t>
  </si>
  <si>
    <t>本人于2019年7月6日在新橙优品借款软件上借款3000元，到账金额为2700元，被扣所谓的300元保险，分3期一期1个月还清，每期还款金额为1165元，实际利息3个月也就是795元！远远超过了国家规定的利率百分之36。</t>
  </si>
  <si>
    <t>2019/10/03 17:34:27</t>
  </si>
  <si>
    <t>打了30多分钟给客服，一直再说协商还款，我说国庆银行不开门呀，一直打电话过来就是系统改不了，然后另外的催收电话就一直打过来。</t>
  </si>
  <si>
    <t>2019/10/03 17:33:51</t>
  </si>
  <si>
    <t>-北京，K396抢票成功，取票号EJ27727598，武志强。</t>
  </si>
  <si>
    <t>2019/10/03 17:33:25</t>
  </si>
  <si>
    <t>投诉人 刘璐        投诉对象  钱站        涉诉金额  2 000 元    问题类型    诉求类型投诉详情  盗取客户通讯录，打通讯录电话。恐吓，威胁，利息暴力。</t>
  </si>
  <si>
    <t>2019/10/03 17:33:04</t>
  </si>
  <si>
    <t>支付宝与高利贷合作，提供扣费交易平台，请归还我的血汗钱，涉案金额高达7500元，因为此事已经家破人散，请与我联系归还我的血汗钱。</t>
  </si>
  <si>
    <t>2019/10/03 17:32:45</t>
  </si>
  <si>
    <t>每天骚扰电话，爆我通讯录等利息相当吓人，被套路高利货。</t>
  </si>
  <si>
    <t>2019/10/03 17:32:44</t>
  </si>
  <si>
    <t>本人于国庆2号订购了4张门票，仅仅订购后一个小时后申请退款，却被美团告知因为超时申请退款不给我退钱，我明确表示我不知道里面有限时退款，在沟通不成情况下，我请求平台给与帮助，美团并没提醒和告知有这个条例，本人不曾看到！而且在我付款一个小时后就说不能退款，我都没消费就被强制消费，我都未于你们达成口头或者书面协议，你们这种单方面合约就是无效的，霸王条例，在法律层面也是无效的，违反消费者权益保护法！。</t>
  </si>
  <si>
    <t>2019/10/03 17:31:44</t>
  </si>
  <si>
    <t>昨天注册小浦优客就卸了，没有开通任何东西，今天突然被私自扣款296元，。</t>
  </si>
  <si>
    <t>2019/10/03 17:31:25</t>
  </si>
  <si>
    <t>履行合同,虚假，美团榛果民宿霸王条款，全额扣取消费者款项，跟抢有什么区别，那家民宿在小区内，没有营业执照事情经过：昨晚小蛮腰放烟花，和朋友原本定榛果民宿，后因为交通拥堵，没办法过去，半小时内联系民宿，民宿告知房间已订出，1小时后则在被告知，房间没有被订出，不让退，现在被房东拉黑，联系不上房东处理后续，什么都是房东说了算，那房东的行为造成的租客的损失*，！美团商家不解决问题，回复的越来越敷衍了，希望黑猫能向有关部门反应相关问题，毕竟有很多人也和我一样受到了很大损失，我们没有别的要求，仅仅只是退款而已，网上好多</t>
  </si>
  <si>
    <t>2019/10/03 17:31:17</t>
  </si>
  <si>
    <t>投诉人李敏投诉对象立借涉诉金额5400元问题类型诉求类型投诉详情捷信严重暴力催收，欠的是钱，不是命，欠债还钱是天经地义，约定分期的要一次性还清怎么还。</t>
  </si>
  <si>
    <t>2019/10/03 17:30:41</t>
  </si>
  <si>
    <t>当时借款时，工作人员说可以提前还款，但是没说提前还款需要多还这么多，借了39000元，本人已还了21期共34341.93元，剩余24期共还有39247.92元。</t>
  </si>
  <si>
    <t>2019/10/03 17:30:06</t>
  </si>
  <si>
    <t>本人还款一向守信，7月1自动扣款失败产生1笔逾期费100元，打了半个月的电话客服才说会退款到账号，10月1的还款因国庆银行系统还款失败，1天100的逾期费，假如一个月岂不是3000的逾期费。</t>
  </si>
  <si>
    <t>2019/10/03 17:28:47</t>
  </si>
  <si>
    <t>投诉人 邹先生        投诉对象  转转        涉诉金额  460 元    问题类型    诉求类型投诉详情  本人在转转上面卖了一个帐号 可是 今天本该提现 可是一觉醒来 下午3点多的时候直接处理我的号封15天 我不知道什么情况本人一直正常操作转转号</t>
  </si>
  <si>
    <t>2019/10/03 17:27:34</t>
  </si>
  <si>
    <t>投诉人蒋先生投诉对象立借,青春宝涉诉金额3000元问题类型诉求类型投诉详情本人于2019年9月6号通过立借APP一键申请青春宝贷款3000元，实际到账2250元，砍头息750元，还款周期28天，7天一还，每期还款770.37元，超过法定利率，本人已经偿还3期，共计2311.11元，已还完本金，要求立借青春宝尽快和本人联系协商还款，否则将向有关部门进行举报！。</t>
  </si>
  <si>
    <t>2019/10/03 17:27:19</t>
  </si>
  <si>
    <t>投诉人 尹先生        投诉对象  Wecash闪银        涉诉金额  5 000 元    问题类型    诉求类型投诉详情  闪银存在很大漏洞。因手机丢失后无法登录。密码修改不了找不回。唯一服务专线打不通客服联系不上 该责任闪银公司自行承担 因一次机会知道贵平台，希望可以解决此事</t>
  </si>
  <si>
    <t>2019/10/03 17:26:43</t>
  </si>
  <si>
    <t>在嘀嗒平台上打车，然而司机是一个黑车司机，诱导我点击开始行程后，又去各种途径找了三个人来拼车，向嘀嗒投诉，客服表示最多能帮我申请变成嘀嗒1+1拼车的费用，但是事实是车上有四个人，满载，并且耽搁了我大量时间，我认为平台还应做更多赔偿。</t>
  </si>
  <si>
    <t>2019/10/03 17:26:20</t>
  </si>
  <si>
    <t>投诉人 郑先生        投诉对象  不思议棋牌游戏        涉诉金额  0 元    问题类型    诉求类型投诉详情  每天都有这种短信烦人又不玩没事干每天发？？？？？？</t>
  </si>
  <si>
    <t>投诉人 张艺平        投诉对象  浦发银行        涉诉金额  23 000 元    问题类型    诉求类型投诉详情  本人由于投资失败 收入太少 导致多张信用卡逾期 也明确向银行催收人员说明情况 延长还款或分期还款 没有躲避还款 可是一天还是接到很多浦发的催收电话 态度恶劣 恐吓会拍社会人士上面 已经给我的生活带来很多恐惧感 接电话后聊了十几分钟已经告知在上班 还是不依不饶的打电话 我想不通这是让人还钱吗？难道把我唯一一个维持生计的工作搞没了 才是</t>
  </si>
  <si>
    <t>2019/10/03 17:25:51</t>
  </si>
  <si>
    <t>一开始我卡里没钱他页面上面有个小银票支付我就点了，完全就是骗人的！我现在要求退款，并且解除与我卡绑定的扣款信息，防止动不动就扣款！。</t>
  </si>
  <si>
    <t>2019/10/03 17:25:28</t>
  </si>
  <si>
    <t>我于2018年12月12日日在捷信金融贷款65000元，分57期，每期还款2349.02元，捷信金融说我要分期到2020年1月25日才能一次信还款，我贷款65000元一年要还910886.63元。</t>
  </si>
  <si>
    <t>2019/10/03 17:25:21</t>
  </si>
  <si>
    <t>手机号被他人注册了去哪儿并绑定了他人信息，，本人为该号码持有人，该号码也是个人信息办理的，不想个人信息过多泄露，想要注销在去哪儿平台上本人名下号码绑定的他人身份信息，但是该平台客服强制要求本人上传个人信息换绑才给注销，，个人信息就是不想过多泄露才要注销，现在又强制要求我上传才能注销，这逻辑合适吗。</t>
  </si>
  <si>
    <t>2019/10/03 17:25:18</t>
  </si>
  <si>
    <t>本人于2019年5月14日在你我贷APP贷款10000元，分12期还，前面两期就已经还了账单将近一半，后面的账单还要收取全部账单的利息，要是这样算的话接近要还13594.56元，账单不合理，涉及高利贷，希望降低利率，重新计算合法利息或者延长账单日期，因为我大学刚毕业不久，没那么多钱，爸妈已年迈，希望谅解，谢谢。</t>
  </si>
  <si>
    <t>2019/10/03 17:25:08</t>
  </si>
  <si>
    <t>今天突然扣我168元，前几天申请贷款说要前期就没申请了，然后绑定了银行卡也没经过本人同意就扣钱，要求退钱。</t>
  </si>
  <si>
    <t>2019/10/03 17:23:58</t>
  </si>
  <si>
    <t>打电话骚扰联系人，，打电话威胁我，严重影响我正常生活。</t>
  </si>
  <si>
    <t>2019/10/03 17:23:37</t>
  </si>
  <si>
    <t>该平台与高利贷合作，私自套取客户信息并扣费，先后已经高达5000余元，请该平台速与我联系，高利贷与平台，我将依法追回我的血汗钱，相信国家会还我一个公道，同时我将进行依法的投诉，保证我的血汗钱能够回来，因为高利贷与该平台，我已经家破人亡，四处流浪，法律，请还我公道。</t>
  </si>
  <si>
    <t>2019/10/03 17:23:31</t>
  </si>
  <si>
    <t>本人在万惠及贷中总共借款金额为10000元整，前期还款记录一直良好，直到还款的最后一期，本人因为失业，家庭发生重大事故导致资金暂时周转不灵，本人在还款前期第一时间联系了万惠及贷的工作人员，并向万惠及贷说明的了经济情况，向万惠及贷申请协商延时还款，当时的工作人员表示认可，说会在APP上备注清楚的，在到了还款日期我没有进行还款，在第三日我的亲朋好友就收到了万惠及贷不同的电话打扰，催收电话打到了我的公司，我的老板那里，并且对我的日常生活造成了极大的困扰，而且万惠及贷的催收人员还用非法软件对我的手机号码和我的亲朋好</t>
  </si>
  <si>
    <t>2019/10/03 17:23:06</t>
  </si>
  <si>
    <t>在借款途中，看到借款三千就点击了借款，结果弹出来的事3900多的金额，打他们家客服。</t>
  </si>
  <si>
    <t>2019/10/03 17:22:43</t>
  </si>
  <si>
    <t>3号还款日，三号就开始一直催，怎么说都听不进，又是电话又是微信，真的烦人。</t>
  </si>
  <si>
    <t>2019/10/03 17:21:39</t>
  </si>
  <si>
    <t>衫德久付虚假宣传，客服人员在推销的时候，本人一再询问需不需要押金及其他任何费用，客服人员告诉不需要任何费用就可以享受0.5不加3，然后在填写发货地址时说要交20元快递费，机器激活后会返还，，机器收到之后客服要求刷一笔金额来激活机器，然后再截张图给她以确认，刷完之后本人发现到账金额不对，询问客服，客服回答说是因为扣了一个激活费用128元，在我本人不知道的情况下被扣了，提前也没有告诉本人要扣这个费用，比较过分的是根据这扣款本人又算了一下账目还是不对，结果客服告诉我激活第一笔费用是0.6，要求客服退还金额，对方要</t>
  </si>
  <si>
    <t>2019/10/03 17:21:16</t>
  </si>
  <si>
    <t>百事普惠,通联支付,上海造艺网络技术有限公司,造艺科技,上海携趣信息科技有限公司，，因资金需求，注册资料，平台让我绑定收款银行卡后，出现小银劵，和直接支付，在本人毫不知情的情况下点了小银劵，以为是先放款后支付，却在本人毫不知情的情况下于2019年10月3日下午5点从银行卡被扣取200元，却联系不到平台，同时平台上一个放款显示也没有，希望平台因没有服务返还200，同时并解除绑定我的银行卡，如若不然，本人将继续走其他投诉平台进行投诉，同时与银行投诉进行沟通，并通过联系12377网贷投诉平台电话来解决这个问题，必</t>
  </si>
  <si>
    <t>2019/10/03 17:20:41</t>
  </si>
  <si>
    <t>牛人有品借1900元实际到账1300多，要买会员卡500多才放款，一个月分两期还款，要求本金➕。</t>
  </si>
  <si>
    <t>2019/10/03 17:20:29</t>
  </si>
  <si>
    <t>之前没有钱，借了网货，但我借的应该还是没有问题，问题是都没有借到钱，你凭什么扣我钱。</t>
  </si>
  <si>
    <t>2019/10/03 17:20:13</t>
  </si>
  <si>
    <t>720逾期利息一天20，2000的借款砍头息318，忍了，超高利贷年化400%多，怎么不去抢，逾期我错在先，愿意承担逾期费用，请贵公司调整合理的罚息。</t>
  </si>
  <si>
    <t>2019/10/03 17:19:23</t>
  </si>
  <si>
    <t>百事普惠恶意扣款请求退款，感谢你们了，麻烦退款给我，谢谢，。</t>
  </si>
  <si>
    <t>2019/10/03 17:19:18</t>
  </si>
  <si>
    <t>本人于2019年9月26日在宜人贷贷款75000元，9月29日下款后想一次性清，发现需还102714.68元，其中有服务咨询费4000元和前期服务保障金21000元为国家明令禁止收取的砍头息。</t>
  </si>
  <si>
    <t>2019/10/03 17:19:03</t>
  </si>
  <si>
    <t>投诉人 李敏        投诉对象  玖富        涉诉金额  6 200 元    问题类型    诉求类型投诉详情  欺诈消费，骗钱，爆通讯录威胁。无法正常生活。</t>
  </si>
  <si>
    <t>2019/10/03 17:18:00</t>
  </si>
  <si>
    <t>刚才发现中信银行8月偷偷扣了我一百元的年费，银行都不守信用。</t>
  </si>
  <si>
    <t>2019/10/03 17:17:32</t>
  </si>
  <si>
    <t>借款2000合同3000还不接受协商正规利息还款！还骚扰亲朋好友。</t>
  </si>
  <si>
    <t>2019/10/03 17:17:22</t>
  </si>
  <si>
    <t>2019/10/03 17:16:53</t>
  </si>
  <si>
    <t>淘宝卖家虚假宣传，宣传的产品没有货，我拍下了套餐，确定好有货，然而卖家在我不知情的情况下修改套餐，用我身份证办理卡号，我退款，卖家坚决不同意，说可以退给我十元，后来又说可以退给24元！像这样的卖家，我要求淘宝从严处理！我要求退给我47.52元，并按照相关规定罚款！并给我一定精神补偿！。</t>
  </si>
  <si>
    <t>2019/10/03 17:15:56</t>
  </si>
  <si>
    <t>要求降低利率和按12期等额还款，停止骚扰和暴力催收。</t>
  </si>
  <si>
    <t>2019/10/03 17:15:46</t>
  </si>
  <si>
    <t>招联金融一直打着循环额度是只要有额度就可以循环使用，我已经启用了3个年头，没有任何逾期和不良行为，专属额度就是用一次申请一次，今天登陆App还款看到额度以冻结，这个属于什么，说好的循环额度呢，这个不是欺诈，你们评估怎么评估的，我正信也没问题，我也没逾期过，你们没有通知就冻结了，这个问题我会继续投诉，总有能治你们的地方，为什么宣传的时候说的是只要还进去额度立刻就可以使用，不用等待审核，现在你们评估。</t>
  </si>
  <si>
    <t>2019/10/03 17:15:38</t>
  </si>
  <si>
    <t>nice发布虚假回购承诺，对符合回购标准的商品拒不回购，客服态度极其不专业，无法解释原因发生这种情况有两种可能1是公司的产品和技术能力极差，无法正确履行承诺2是公司品质恶劣，预先囤积大量商品，然后针对商品进行活动，引诱消费者购买，看到价格升高之后，故意发布虚假回购承诺，放着用户砸盘，同时将平台自己手中的货全部出掉。</t>
  </si>
  <si>
    <t>2019/10/03 17:15:21</t>
  </si>
  <si>
    <t>本人在小鱼儿借款平台上借了3000，期限6天，实际到账，2500元，存在砍头息。</t>
  </si>
  <si>
    <t>2019/10/03 17:14:27</t>
  </si>
  <si>
    <t>10月1号预约凌晨三点10分的快车去武昌火车站坐火车回家，9月30号就预约的快车，预约成功后还和司机确认时间，司机明确表示会准时到达，可是第二天到了约定时间司机没来打电话也没接，地图显示距离我40多公里，可是凌晨三点哪里去找临时车，火车是4点10开的，车票是武昌到孝感，没办法急着回孝感办事，和不耽误之前的规划，只有打个黑车回孝感车费花了180多，后来滴滴只是一味的说怎么处罚司机，和官方口气走流程式的道歉，说只能申请50优惠券的赔偿，要就要，不要以后还可以要！这就是解决问题的态度吗。</t>
  </si>
  <si>
    <t>2019/10/03 17:14:05</t>
  </si>
  <si>
    <t>小龟链接:https://app.dimenjia.com/landing/index.php/download。</t>
  </si>
  <si>
    <t>2019/10/03 17:12:57</t>
  </si>
  <si>
    <t>闪银平台恶意收取高额手续费，承担不起，到手金额完全不理想。</t>
  </si>
  <si>
    <t>2019/10/03 17:11:59</t>
  </si>
  <si>
    <t>未经过通知为高利贷提供服务盗刷卡内存款72791.71元。</t>
  </si>
  <si>
    <t>2019/10/03 17:10:55</t>
  </si>
  <si>
    <t>投诉人邱鸿儒投诉对象招商银行涉诉金额1760元问题类型诉求类型投诉详情由于工作原因导致招商银行逾期还款招商银行信用卡催款客服打电话质问侮辱还骚扰我的亲朋好友给我造成了很严重的精神压力。</t>
  </si>
  <si>
    <t>造艺，答应退投诉2次了，都不给处理299还给我好吗。</t>
  </si>
  <si>
    <t>2019/10/03 17:10:33</t>
  </si>
  <si>
    <t>本人9月29号通过短信推荐下载金鸡下蛋app，借款1400元周期6天，实际只有5天之后需要还2000，通过汇潮支付通道下款，还款只能用支付宝还款，而借款时并无提示，当天下款后我一直找不到客服电话，联系不到金鸡下蛋商家要求退款，只有求助聚投诉，本人愿意协商还本金及合法利息，。</t>
  </si>
  <si>
    <t>2019/10/03 17:09:48</t>
  </si>
  <si>
    <t>强制收取保费！！！！！！！！！！！！！！！！！！。</t>
  </si>
  <si>
    <t>2019/10/03 17:09:44</t>
  </si>
  <si>
    <t>你我贷，多次轻侮我本人，并且骚扰亲友家人，不把国家体制放在眼里，顶风作案，与黑社会无异。</t>
  </si>
  <si>
    <t>2019/10/03 17:09:10</t>
  </si>
  <si>
    <t>小浦优客无故从未办理借款客户卡中扣钱，已经存在犯罪行为，请有关部门多加关注这个，尽快退回我的钱，给本人造成的伤害，希望政府部门督促这个小浦优客给予本人补偿。</t>
  </si>
  <si>
    <t>2019/10/03 17:08:02</t>
  </si>
  <si>
    <t>在钱站申请了额度，期间多次打电话催促提现，提现时合同上6650元，实际到账5000元，虚假合同，大额砍头息，必须补回原有资金。</t>
  </si>
  <si>
    <t>2019/10/03 17:07:53</t>
  </si>
  <si>
    <t>砍头息，高利贷，软件出问题逾期费用还需要出，利息高出规定范围一大截，不协商处理直接报案。</t>
  </si>
  <si>
    <t>2019/10/03 17:07:33</t>
  </si>
  <si>
    <t>2019/10/03 17:07:25</t>
  </si>
  <si>
    <t>联系催收人员，让他停止骚扰通讯录联系人，我来想办法还款，催收不同意，一天不还款，就一直骚扰通讯录好友，客服也联系不上。</t>
  </si>
  <si>
    <t>2019/10/03 17:06:47</t>
  </si>
  <si>
    <t>投诉人 李女士        投诉对象  小浦优客        涉诉金额  296 元    问题类型    诉求类型投诉详情  小浦优客app未提示扣取报告费要求退回！</t>
  </si>
  <si>
    <t>2019/10/03 17:06:35</t>
  </si>
  <si>
    <t>投诉人汪汪平投诉对象聚富分期涉诉金额299元问题类型诉求类型投诉详情在app申请贷款没下隔了好多天无故扣我银行卡299元。</t>
  </si>
  <si>
    <t>2019/10/03 17:06:27</t>
  </si>
  <si>
    <t>10.2通过金融平台下载小浦优客，以为是借款平台，就注册了信息，绑定了银行卡，但是最终发现只是提供借款的平台，10.3日下午4点多突然收到信息说小浦优客扣费296元，打客服电话02169076118，要不就是没人接，要不就是忙线中，这完全就是抢劫，希望小浦优客退回我的全款！！！！。</t>
  </si>
  <si>
    <t>2019/10/03 17:04:08</t>
  </si>
  <si>
    <t>投诉人姜先生投诉对象建设银行信用卡涉诉金额410元问题类型诉求类型投诉详情我建设信用卡账单是一万九千多，我已经还了一万四千多了，还是给我计全额的利息，要求返还利息。</t>
  </si>
  <si>
    <t>2019/10/03 17:03:56</t>
  </si>
  <si>
    <t>我来贷平台我的第五期还款因为资金出现问题出现逾期，现在逾期第四十二天，对方逾期费用是200元，咨询对方客服说是5000元以上贷款只要出现逾期就是200元，我想要还款，可是对方这么高的逾期费真是还不了。</t>
  </si>
  <si>
    <t>2019/10/03 17:01:55</t>
  </si>
  <si>
    <t>借钱合同和还钱合同不同，借钱上写的利息和还款时候的不同，还款利息太高。</t>
  </si>
  <si>
    <t>2019/10/03 17:01:53</t>
  </si>
  <si>
    <t>本人于2019年7月1向钱站爱钱进公司借款2400元，放款成功收看到合同金额为4488的本金，其利息高了不止一半，现己经还款两期还剩一期，其还款金额也已经超过了本金的和正常利息，现请求平台帮忙解决最后一期还款，。</t>
  </si>
  <si>
    <t>2019/10/03 17:01:41</t>
  </si>
  <si>
    <t>9月30日我打电话给客服要求办理下个月的套餐，客服叫我下个月来吧，过1分钟客服回电话叫我在微信公众号上自己操作，我怕弄错了就没有操作，今天打电话给客服套餐改不了，我投诉也没有用客服说来说去就是我的问题。</t>
  </si>
  <si>
    <t>2019/10/03 17:01:30</t>
  </si>
  <si>
    <t>天猫商城九阳博诺思专卖店诱导我添加一个微信号进行买卖沟通，后以1999元的价格谈好买一台九阳Y88型号的破壁机，在天猫链接里券后价为2999元，卖家说他们是天猫店铺不能改价，提出收到货后退款的要求，我没同意，觉得没保障，卖家还说，如果不放心到时可以申请退货退款，不会有问题，在我不愿付2999元的情况下，店家让我拍了个价格为1599的炒菜机器人，外加400元邮费，凑齐了1999元，结果，噩梦开始了！9月20日顺丰快递把货品放在楼下超市代签收，我在外地上班，25日回到家后，把机器打开准备清洗第二天使用，结果一打</t>
  </si>
  <si>
    <t>2019/10/03 17:00:25</t>
  </si>
  <si>
    <t>去年生个孩子，娃子一直吃奶粉，孩子她妈为带孩子也没打工，我自己妈妈带孩子，在还款方面延迟，资金出站困难，中信催收部调查我家里基本情况，也到我单位催收，影响我工作，现在直接冻结我银行卡，导致我孩子没钱买奶粉，孩子生活困难，现在才一岁，家里还有病号，我一个人打工，请相关人员给与满意的答复！。</t>
  </si>
  <si>
    <t>2019/10/03 17:00:13</t>
  </si>
  <si>
    <t>会员，没开通之前说是可以免审核下款，本人在爱又米平台从未逾期过，好几次都是提前结清，没开会员的时候老是有电销打电话过来说是可以免审核下款，里面的会员权益也只是一些券，我连借款购物都不行，我要这些券有什么用，摆设吗，这分明是对消费者的一种欺骗，我要求立刻退还的我费用。</t>
  </si>
  <si>
    <t>2019/10/03 16:58:18</t>
  </si>
  <si>
    <t>阴阳合同，借钱的时候说好的利息，到还款的时候利息超过了合同上的利息。</t>
  </si>
  <si>
    <t>2019/10/03 16:58:17</t>
  </si>
  <si>
    <t>在玖富万卡上分两次分别借款5300元分1年还款和20300元分3年还！共计借款本金25600元，加上分期费用跟审核费用，还有其它乱七八糟的费用总共需要还49570元！截止2019年10月共计还款14929.22，剩余34641未还款！这种分期利息合法吗！要求还本金跟国家法律允许的合法利息，之前还款产生的不合法利息于与退还，实在不行只能走司法程序，法院判我还多少我就还多少。</t>
  </si>
  <si>
    <t>2019/10/03 16:58:15</t>
  </si>
  <si>
    <t>我在武汉青山建设7路邮政银行申请了一笔房贷，每月3号还款，今天是还款日，还没逾期，邮政的工作人员不停的打电话骚扰催着还款，严重影响到了我的生活和工作。</t>
  </si>
  <si>
    <t>2019/10/03 16:57:34</t>
  </si>
  <si>
    <t>本人于2019年10月1日在烟台蓬莱机场乘坐飞机到长沙，被几个身穿制服的工作人员叫住，询问我的飞机说她们现在有VIP卡享受机票比其他平台低至少70元的优惠，办卡还可以直接去国内各大机场的贵宾接待室等候，现在活动是充1880送1000，卡里总价值是2880，当时说的是存的是随时买机票的钱，当时举例说买300元的机票只需要额外支付30元即可，400元的机票40元，也可以帮朋友订票，没有限制，但是办理之后打他们的电话咨询，发现与办卡人员说的并不相符，因时间仓促，再后来上网查询，全部都是关于西部明珠贵宾卡的欺诈信息</t>
  </si>
  <si>
    <t>2019/10/03 16:56:57</t>
  </si>
  <si>
    <t>2019年10月1日闪银哼哼不小心点到了申请额度，没有任何提示就直接给你下借款订单，还要强制收取169元的担保费用，找客服说要退订借款订单，客服说不能退，这是属于强买强卖，还有169元得担保费用属于砍头息，现在希望闪银能退掉我的借款订单，给我我一个合理的解释，还有希望把这款坑人的平台给取缔。</t>
  </si>
  <si>
    <t>2019/10/03 16:56:42</t>
  </si>
  <si>
    <t>无故扣款248.76元签约平台没有扣款，联系不到小通商城。</t>
  </si>
  <si>
    <t>2019/10/03 16:56:10</t>
  </si>
  <si>
    <t>投诉人 陈先生        投诉对象  微信支付        涉诉金额  170 000 元    问题类型    诉求类型投诉详情  本人付款后没收到实体货物。联系商家联系不到。微信群收款。不给退回。希望平台处理</t>
  </si>
  <si>
    <t>2019/10/03 16:55:52</t>
  </si>
  <si>
    <t>不停电话骚扰，打给家人，朋友，单位，让人无法正常生活。</t>
  </si>
  <si>
    <t>2019/10/03 16:54:22</t>
  </si>
  <si>
    <t>利息过高，骚扰不断，砍头息以商品劵为理由提前扣除900元。</t>
  </si>
  <si>
    <t>2019/10/03 16:54:15</t>
  </si>
  <si>
    <t>我本来是你我贷的老用户了，但是上月我还完进去，就借不出来了，还显示说我征信评分不足，但是我征信没问题没有逾期记录，而且你我贷的款项也从来没有逾期过，每次都按时还款，然后我打客服，客服叫我晚点申请，晚点我申请也一样，然后又打客服，客服说下个月，我下个月申请又显示什么申请受限，现在导致我公司资金周转不开了，尽然我相信你们，每次否按时还款，你们也应该讲诚信，希望你们能严肃处理，现在我严重怀疑你们套取我个人信息，虚伪宣传产品！而且我额度都看得到，但是不让借了，我有权怀疑！你们这种公司就应该下架。</t>
  </si>
  <si>
    <t>2019/10/03 16:54:13</t>
  </si>
  <si>
    <t>投诉人 叶先生        投诉对象  自由魔卡,六便士        涉诉金额  2 000 元    问题类型    诉求类型投诉详情  自由魔卡六便士 借2000 30天利息是600 超级高利贷 要求减免利息 协商</t>
  </si>
  <si>
    <t>2019/10/03 16:54:08</t>
  </si>
  <si>
    <t>投诉人 王先生        投诉对象  玖富        涉诉金额  2 600 元    问题类型    诉求类型投诉详情  盗用我通讯录资料。骚扰我的朋友。威胁我本人，希望处理和停止一切的行为。</t>
  </si>
  <si>
    <t>2019/10/03 16:53:36</t>
  </si>
  <si>
    <t>就因为还款日忙忘记了，多收100利息费，找客服他也是拖着！100快我还了，也要恶心下他。</t>
  </si>
  <si>
    <t>2019/10/03 16:52:51</t>
  </si>
  <si>
    <t>砍头息超高利贷爆力催收，要求余下6期减免还款。</t>
  </si>
  <si>
    <t>2019/10/03 16:51:15</t>
  </si>
  <si>
    <t>捷信没诚意，客服说给我换原厂屏幕，我去指定维修站啦，维修的说不知道还给换副厂屏，捷信给我打电话说让我结案他们在处理，告诉我不结案也没人管啦，说他们已处理啦，一个外企就这样一在的说给换到维修站就不给换，捷信你就不能说话算话吗，我一再的让步，就是这个结果吗，大家不要在相信捷信这个骗局啦，中国人的钱都让捷信带国外去啦，我有电话录音，做为证据，谢谢聚投诉平台，为消费者维权。</t>
  </si>
  <si>
    <t>2019/10/03 16:50:11</t>
  </si>
  <si>
    <t>账号被卖家换了手机号仲裁一直没结果赶紧退款。</t>
  </si>
  <si>
    <t>2019/10/03 16:49:13</t>
  </si>
  <si>
    <t>投诉人潘先生投诉对象新橙优品涉诉金额10000元问题类型诉求类型投诉详情9月初申请的借款，9月15左右审核通过，第一次打电话给客服说十月1放款，今天又打，又说十月7之后放款，这样的服务态度不想多说什么，只是希望能尽快放款。</t>
  </si>
  <si>
    <t>2019/10/03 16:49:04</t>
  </si>
  <si>
    <t>投诉人向先生投诉对象汇收宜,湖北汇收宜网络科技有限公司涉诉金额7995元问题类型诉求类型投诉详情我于2019年6月20日用汇收宜公司的POS机刷卡7995元，一直未到账，该公司客服一直敷衍，不予退款，望有关部门给予处理，谢谢。</t>
  </si>
  <si>
    <t>2019/10/03 16:48:42</t>
  </si>
  <si>
    <t>本人是2018年因为老丈人病危！需要用钱！忘了通过某平台看到钱站平台！然后通过注册测试一下额度有6万！当时想看看6万额度分36期！看看利息多少！谁知道点进去借钱！下一步没有任何确认键，也没有提供借款利息详情页面！直接跳转借款成功！而且无法取消该笔订单！隔天到账6万！看到合同后吓死人！分36期要还9万8！而且合同写的是6万6！直接扣掉所谓的6000服务费！现要求该平台退还6000砍头息和修改利息！合同写的是年化率19！其实每期违法收600多服务费！坑人集团！高利贷！还款前3天开始每天发2-5条短信！2-5个电</t>
  </si>
  <si>
    <t>2019/10/03 16:47:58</t>
  </si>
  <si>
    <t>不停电话骚扰，还款中还打电话给我的家人和朋友，很烦人，又不是比还钱。</t>
  </si>
  <si>
    <t>2019/10/03 16:47:51</t>
  </si>
  <si>
    <t>投诉人周先生投诉对象GraceEX涉诉金额350000元问题类型诉求类型投诉详情GraceEx团伙还我们血汗钱受害者组团报案维权、恳求公安机关尽快破案前言这是一个真实的事件，一群刚刚经历网络的受害者，自发组织在一起，控诉GraceEx平台及其团伙，讲述其受害经历，报案立案，走上艰苦维权的漫长道路，我们先看看这帮坏人在他们的直播间公告栏是如何杜撰这个黑平台和诱导做比特币的公告，GraceEx比特币双边市场经大赛组委会考察和评估，作为安全合法正规有效的投资平台，是国际主流的权威的双边投资品种，投资者众多。基于比</t>
  </si>
  <si>
    <t>2019/10/03 16:46:49</t>
  </si>
  <si>
    <t>协商退款不给退.他们微信公众号是小云人工.客服电话171******85。</t>
  </si>
  <si>
    <t>2019/10/03 16:46:38</t>
  </si>
  <si>
    <t>今日最好能给我放款到账！另外电话接不到，请在这里留言！谢谢！。</t>
  </si>
  <si>
    <t>2019/10/03 16:45:47</t>
  </si>
  <si>
    <t>被亚博平台骗去网赌，该公司为网赌平台收取了我的钱。</t>
  </si>
  <si>
    <t>2019/10/03 16:45:33</t>
  </si>
  <si>
    <t>8月13日，苏宁客服打电话说是苏宁答谢会，免费领取车载吸尘器，到达苏宁易购湖南省华容店，之后被忽悠花了3980元，，然而惠而浦官网根本找不到食材清洗机的相关信息，京东淘宝也没有相关产品，后来*查询，这几款产品均为“苏宁答谢会”的产品，销量为答谢会推销的销量，原价6999元，现价3980元，经网上查询这骗局已持续好几个月了，因为有苏宁品牌的背书，所以相信了产品的宣传，但没想到会*，希望平台也可以帮助我成功退货退款，感谢！月3日，苏宁客服打电话说是苏宁答谢会，免费领取车载吸尘器，到达苏宁易购福建省龙岩市长汀店，</t>
  </si>
  <si>
    <t>2019/10/03 16:45:06</t>
  </si>
  <si>
    <t>投诉人文女士投诉对象好运金涉诉金额2800元问题类型诉求类型投诉详情本人在2019年9月13号在信用管家好运金借3000元到账2250，28天分4期每期还772.48元现以还1期772.48，这以超过国家规定的利率，他们催收人员还恐吓我，要报通讯录，不敢说出催收公司名称和工号，还不给客服电话，协商还款。</t>
  </si>
  <si>
    <t>2019/10/03 16:44:23</t>
  </si>
  <si>
    <t>开店宝操作员虚假宣传免费办理pos机，收取298手续费，操作员说免费&amp;nbsp;&amp;nbsp;无条件一月后钱返还帐户，今联系不上操作员，联系不回信息，说刷卡秒到，试刷不到账，客服说次日到账，刷卡账户和实际账号不符，要求退货退款&amp;nbsp;&amp;nbsp;现在操作员微信改名字了。</t>
  </si>
  <si>
    <t>2019/10/03 16:42:53</t>
  </si>
  <si>
    <t>10月3日，本人申请一笔贷款，无意间来到百世普惠金融平台，在点击查询信用额度时被恶意扣款，转账方式扣去299元，拨通客服电话找各种理由不予退款，并且强行要求本人要在14个工作日内进行他司介绍的软件中完成贷款，如果资质不够，无法完成贷款，需要发身份证复印件正反面和本人手持身份证复印件、和扣款账单截图复印件快递到他们公司！盗取我的个人信息不说，还恶意盗刷我的银行卡！上海造艺*科技有限公司太坑人了，求有关部门管管。</t>
  </si>
  <si>
    <t>肥猫贷借款1400元，要还款2000元，六天时间，今天到期恐吓威胁我，爆通讯录，使用香港澳门的电话拨打过来的，催收员牛逼哄哄说要弄死我，轰炸我手机号。</t>
  </si>
  <si>
    <t>2019/10/03 16:42:30</t>
  </si>
  <si>
    <t>因本人手机损坏几天延迟快易花最后一期还款，手机拿到也告知对方原因表示今天会处理，逾期几天你不通报，联系上我才说全网通报，这不是威胁是什么。</t>
  </si>
  <si>
    <t>2019/10/03 16:42:27</t>
  </si>
  <si>
    <t>在玖富万卡借款4800.本人已还了11期了、每月还302.21.现想提前结清还需要还3920.他们就是高利贷！还说自己合法合规！希望平台给出合理的提前还款全额！。</t>
  </si>
  <si>
    <t>2019/10/03 16:42:26</t>
  </si>
  <si>
    <t>恐吓，要求道歉，我这边都有录音，你以为我怕你呀，还有我要求还完钱交通银行给我销卡。</t>
  </si>
  <si>
    <t>2019/10/03 16:42:16</t>
  </si>
  <si>
    <t>2019/10/03 16:41:59</t>
  </si>
  <si>
    <t>借钱的利息和还款利息不同，还款周期时间长，利息高。</t>
  </si>
  <si>
    <t>2019/10/03 16:41:32</t>
  </si>
  <si>
    <t>助力钱包公然为高利贷极速钱包提供平台，本人在极速钱包借款4000，到账2600，分4期还，7天一期，每期还款1015，已严重超过国家规定利息，属于超级高利贷，现在已还3期，要求平台销账处理，不然将上告公安扫黑除恶办公室，经侦。</t>
  </si>
  <si>
    <t>2019/10/03 16:40:50</t>
  </si>
  <si>
    <t>造艺科技通过豹子贷app的注册漏洞无故扣款，扣款前并未提醒且未说明，同时我也没收到所谓的评估报告也没有贷款！！。</t>
  </si>
  <si>
    <t>2019/10/03 16:40:29</t>
  </si>
  <si>
    <t>注册之时没上传身份证，就绑了银行卡，私自扣钱。</t>
  </si>
  <si>
    <t>2019/10/03 16:40:23</t>
  </si>
  <si>
    <t>砍头息，高利贷平台---“微贷”刚过完祖国建国70周年，国庆节前又刮起一阵“净网”行动，全国人民都在喜悦中，祝愿我们国家越来越强大，人民幸福美满，法治社会主义伟大而自豪.最近全国9月1日展开的“净网”行动，包含打击高利贷问题，本人慎重考虑了，自己遇到了也是遇到过砍头息，高利贷平台---“微贷”我要拿起法律权利保障我自己的权益，而且我本人也浏览了相关的新闻发现这个“微贷”平台，受害者都在黑猫/21CN聚投都有举例投诉的案例---砍头息！！！本人在2019年7月3日，在“分期花”平台申请贷款，直接平台链结到“微</t>
  </si>
  <si>
    <t>2019/10/03 16:40:01</t>
  </si>
  <si>
    <t>本人因暂无能力处理欠款，一直就想协商还款，都协商不下，居然发恐吓短信，让我去深圳法院，三点开庭，对此威胁恐吓短信深表气愤。</t>
  </si>
  <si>
    <t>2019/10/03 16:39:03</t>
  </si>
  <si>
    <t>借款11000，分12个月还清，好易借app上也没说明前三期就必须还12000多，相当于是分三期就必须带利息还清，后面的九期每一期都是一百多块的利息，第二期因为国庆假期货款未及时到账造成逾期，每天的逾期费用竟然高达一百多块，逾期金额是按照借款金额的1%，在与好易借工作人员沟通还款过程中，直接打爆了我通讯录的每一个人，连续用网络电话轰炸几十通，对我的家人及朋友造成了恶劣的骚扰！严重影响我的生活，我要求平台立即停止对我和我的亲戚朋友的骚扰。</t>
  </si>
  <si>
    <t>2019/10/03 16:38:20</t>
  </si>
  <si>
    <t>你我贷平台，还款当日规定不能手动还款，10月2日晚上23点37分充值1386元，平台余额仍然显示零，一整天都在试手动还款，就是不行，这样他们导致我逾期了，怎么能这样啊！。</t>
  </si>
  <si>
    <t>2019/10/03 16:38:05</t>
  </si>
  <si>
    <t>介绍是申请失败截图申请退款，可是我发了两次申请退款都没有通过，就是不给退款。</t>
  </si>
  <si>
    <t>2019/10/03 16:36:48</t>
  </si>
  <si>
    <t>投诉人 刘晓宁        投诉对象  中信银行信用卡        涉诉金额  8 000 元    问题类型    诉求类型投诉详情  16年办的信用卡 办理过程全权业务员办理 办理时未告知此信用卡年费2000 每次还信用卡都是支付宝绑定的自动还款 今年9月份发现扣费异常金额不符 才知道每年年费2000 连扣4年 跟客服沟通 客服只表示可以申请退一年年费</t>
  </si>
  <si>
    <t>2019/10/03 16:36:28</t>
  </si>
  <si>
    <t>要么修改金额按照国家规定要么申请联名申请制裁维护个人权益。</t>
  </si>
  <si>
    <t>2019/10/03 16:36:26</t>
  </si>
  <si>
    <t>2019/10/03 16:34:18</t>
  </si>
  <si>
    <t>在闪银里面的产品，哼哼借了3000元，不知道怎么出来个白条两个155元，310元的产品，第三天就要还，联系客服说不要商品，客服说不可以退，商品就是随便给你一袋零食，。</t>
  </si>
  <si>
    <t>2019/10/03 16:33:41</t>
  </si>
  <si>
    <t>在小浦优客上填了个人信息，最后一看要收费，本人并未在其app点确认信息，却被其扣掉了卡里的钱，要求退回。</t>
  </si>
  <si>
    <t>2019/10/03 16:33:20</t>
  </si>
  <si>
    <t>投诉人 荀女士        投诉对象  小赢卡贷        涉诉金额  15 000 元    问题类型    诉求类型投诉详情  连着两个月还款困难 上个月折腾半天给还了 现在客服一直不说话 也不解决 逾期算谁的</t>
  </si>
  <si>
    <t>2019/10/03 16:32:24</t>
  </si>
  <si>
    <t>利息太高，承受不了，而且还上征信，要我怎么活。</t>
  </si>
  <si>
    <t>2019/10/03 16:31:36</t>
  </si>
  <si>
    <t>因本人急用钱，在网页上下载了呗呗分期，喵下贷，威力贷等系列11个714产品，每个1100左右，借款时没显示多久还款，还款多少，放款之后才看到借款1100三天之后还1500！利息三天高达400！并且到期日就有人打电话催收，态度恶劣，称中午12点之前没处理爆通讯录！还不到逾期那天就说要骚扰通讯录了！我无奈只能一直延期，1100元延期三天就要400！今天算了下半个月不到，延期金额已经支付了8000多！但是我借款11个总到账金额只有12000多一点！放款方都是汇潮支付，我希望能销8000的账！剩下的4000多本金加</t>
  </si>
  <si>
    <t>2019/10/03 16:30:14</t>
  </si>
  <si>
    <t>单位很久以前发了7张卖座网电影卡，为了避免遗失我把卡都绑在了微信里，今天订票说要接受验证码，还是最早前注册的手机号，什么霸王条款，不让修改手机号，你不换手机号的吗，问客服，什么客服，我没问完就给我显示会话完毕，我搜了一下，发现遇到同样问题的不止我一个，一样卖座网予以重视，给消费者添堵也是你们的业务吗。</t>
  </si>
  <si>
    <t>2019/10/03 16:28:09</t>
  </si>
  <si>
    <t>还款未及时还款就开始打电话，因假期在路上一直未到，就逼着还款，哪怕是在高速上也让下车去还，因为此情况直接爆通讯录辱骂通讯录好友以及发短信威胁。</t>
  </si>
  <si>
    <t>本人于2019年9月18号在拼多多平台皓宇拆车店铺内购买两个轮胎合计金额1160元，9月20号接到商家电话让我确认收货，当时看了下物流货已显示被本人签收，因平时购买的商品快递都是放在门卫，由老家父母拿快递，当时联系了家人有没有收到货，家里人说这几天农忙没有时间去拿，商家又一直催我收货，当时便确认了收货，9月23号商家又联系我说平台考核让我帮一下忙让我跟客服聊天并说收到货了，我说我在外地，家里人也一直没时间去拿，还没去拿快递，商家跟我保证只要我跟客服聊天货收到很好用，我拿到货不满意可以七天无理由申请退货或者退</t>
  </si>
  <si>
    <t>2019/10/03 16:27:44</t>
  </si>
  <si>
    <t>随手记借了随心微粒，因为过节资金出问题，逾期一天，催收就骚扰亲朋，要求立马处理，给客服打电话备注8号，催收不听态度很差，。</t>
  </si>
  <si>
    <t>2019/10/03 16:27:21</t>
  </si>
  <si>
    <t>钱站阴阳合同，合同金额2660，实际到账金额2000元整，需还款2960.01元，合同金额与本人借款金额不符，希望还款实际到账金额及利息！。</t>
  </si>
  <si>
    <t>2019/10/03 16:27:04</t>
  </si>
  <si>
    <t>湖南阿德贸易有限公司以合作为由，让我预存货款2666元，当时说合作期间在该公司拿货打5折，中途不想合作了可以申请退还剩余货款，但是我申请退剩余货款之后就一直联系不上该公司的客服，剩余的货款也没退回来。</t>
  </si>
  <si>
    <t>2019/10/03 16:24:04</t>
  </si>
  <si>
    <t>小浦优客未经本人知晓和允许私自收费，要求尽快退款。</t>
  </si>
  <si>
    <t>2019/10/03 16:23:50</t>
  </si>
  <si>
    <t>本人在自由魔卡app上申请六便士借款2000元，通过畅捷支付放款，同时六便士以需要购买vip才能下款为由，收取540的高额砍头息，且这个会员卡根本毫无作用，借款期限30天到期需归还2060元，这是典型的高利贷，套路贷，要求国家依法严厉打击，给的利息已经超过本金还多。</t>
  </si>
  <si>
    <t>2019/10/03 16:23:21</t>
  </si>
  <si>
    <t>你我贷多次骚扰亲友，并且言语恶劣，轻侮傲慢。</t>
  </si>
  <si>
    <t>2019/10/03 16:23:06</t>
  </si>
  <si>
    <t>这个月欠小花钱包5000元，逾期两天开始电话骚扰，短信威胁，还恐吓要爆通讯录，我已经尽量还款4000元，还剩下1000元没还，协商说要隔天才能补上，被暴力催收人员一定要今天还，还恐吓说不还就问父母和单位要，已经严重影响我的生活。</t>
  </si>
  <si>
    <t>2019/10/03 16:22:03</t>
  </si>
  <si>
    <t>换工作了 资金紧张无法按时还款 与省呗公众号人工客服协商不成 就是让我按时还款 我也和客服说的很清楚 告诉我无法协商 现在我是真的有困难 无力偿还了 怎么说都没用 不还款逾期了转交给催收部门 这几个月我想着法的借钱还 现在朋友都借了个遍 已经无力还款 我朋友也是结婚生子还贷款 只能维持他们自己的生活了 谁都有困难不便的时候 省呗你们真要往死里逼吗。</t>
  </si>
  <si>
    <t>2019/10/03 16:21:52</t>
  </si>
  <si>
    <t>我在钱站借款1000元，分三期，每期要还590多元，已经还了两期，还款金额超过1200元，现在又来催收我第三期的590多块，加上逾期的一共650块左右，这样算下来的话借款1000块三个月利息达到800块左右，很明显的非法的高利贷，然而它合同里面的本金是1750元，我收到的本金是1000元，虚假的合同，欺诈借款的用户，诈取高额的利息。</t>
  </si>
  <si>
    <t>2019/10/03 16:21:36</t>
  </si>
  <si>
    <t>贷款10000元，广州市骑鹅游信息技术咨询有限公司扣款1721.87元，实际贷款本金8278.13元，分期9个月，每月需还款1411.11元，共需还款12699.99元，利息总计4421.86元，远超国家法定利率，明知故犯，涉嫌高利贷，砍头息，违规编制催收信息骚扰。</t>
  </si>
  <si>
    <t>2019/10/03 16:21:09</t>
  </si>
  <si>
    <t>在聚富分期申请借款时，要求我生成一个信用报告，有两个选项一个是直接支付299元，一个是使用小银卷，我点击使用小银卷没有任何提示，然后叫我绑定银行卡，也没有任何提示扣款，然后就直接从我卡里扣走50元，没有经过我的同意，请马上退款。</t>
  </si>
  <si>
    <t>2019/10/03 16:21:06</t>
  </si>
  <si>
    <t>本人从8月20日借款2500元，到账1800元，说700元是打赏借款人，每15天为一期，不还本金2525元就继续打赏700元，本人已付2100元打赏费，望平台帮帮忙处理，只还剩余的到账金额，不然无止境的收取不合理费用！！！。</t>
  </si>
  <si>
    <t>2019/10/03 16:20:21</t>
  </si>
  <si>
    <t>豹子贷,上海造艺网络科技,造艺网络科技,银码头，扣掉299，这个是自愿买点会员，写明申请点贷款不通过是可以退款的，但是我退款的时候一点反应都没有，要求退款。</t>
  </si>
  <si>
    <t>2019/10/03 16:20:02</t>
  </si>
  <si>
    <t>10月2日，我在爱奇艺看点下载了一个单身交友软件，进去后聊天要充会员，然而他们有个按钮是开通免密支付可以免费体验三天会员，我给支付宝弄了免密支付之后，回到页面弹出窗口有两个按钮，一个是不聊，一个是充值会员，我以为是弄完免密支付之后需要点击充值才可以得那三天会员体验，谁知道他直接就扣了我的钱，希望能够帮我解决这个烦恼。</t>
  </si>
  <si>
    <t>2019/10/03 16:19:47</t>
  </si>
  <si>
    <t>aji惊奇脆片不规则饼干1.蜂蜜黄油味打开食用后明显不脆，和描述不符，且大部分是碎片2.卖家客服aji旗舰店:小阳态度恶劣，拒绝退货3.卖家客服aji旗舰店:小阳拉黑买家，在申请天猫售后后拒绝退货根据订单显示，公司为济南大商电子商务有限公司。</t>
  </si>
  <si>
    <t>2019/10/03 16:19:11</t>
  </si>
  <si>
    <t>当时借一千到账7百然后在今借到上面打2千的借条。</t>
  </si>
  <si>
    <t>2019/10/03 16:17:35</t>
  </si>
  <si>
    <t>在玖富万卡借款5100.本人已还了11期了、每月还302.21.现想提前结清还需要还3920.他们就是高利贷！还说自己合法合规！希望平台给出合理的提前还款全额！。</t>
  </si>
  <si>
    <t>2019/10/03 16:17:15</t>
  </si>
  <si>
    <t>立借上的钱置宝本人借款2100下款2100分四期每周要还快800元，已经还了两期，但是最后两期始终还不上了，至今客服电话打不通，还款显示失败，至今逾期12天，明天就13天了，今天接到催收电话要求还款，解释原因后，催收不管不问就是要求还款，求问，立借上的钱置宝支付宝还款在哪里，，遭到催收直接挂电话，要求撤销逾期撤销账目。</t>
  </si>
  <si>
    <t>2019/10/03 16:15:09</t>
  </si>
  <si>
    <t>假如你们想个跟我玩心思，那我就陪你们玩到底，反正你们软件也不是什么好软件。</t>
  </si>
  <si>
    <t>2019/10/03 16:15:06</t>
  </si>
  <si>
    <t>欺诈感情受伤的女生，诱导欺诈付费，让退费还不退，没有帮助解决任何问题，而且态度恶劣，希望感情受伤的女生，不要被情感机构蒙蔽了双眼。</t>
  </si>
  <si>
    <t>2019/10/03 16:15:04</t>
  </si>
  <si>
    <t>9月11日，是我的还款日，在还款日前一天我就联系过现金巴士客服，说我的手机号码换了，怎么更改，客服回答说不能更改，因为还有账没有结清，她说直接把钱存进卡里，她们会自动扣款，但是现在手机号码换了，收不到验证码，登陆不了app，我去问客服，她说我已经逾期22天了，费用580元，10号我给你们说了，你们说不能改电话，叫直接存卡上，好，这个是你们平台自己的问题，客服还一脸傲气，你现在是逾期状态，有专员跟进，我不会认这个东西的，借的钱我会还，但如果这个逾期费用要我承担，绝对不可能。</t>
  </si>
  <si>
    <t>2019/10/03 16:14:45</t>
  </si>
  <si>
    <t>本人于在深圳国金征信有限公司旗下的火影帮借款1800，仅到账1300，15天就需要还款，而首页广告说是六个月分期，在就是本人已续期一次费用是505元，以为是分期付款，虚假宣传，诱导用户，每续期15天就要收取高达505元每期的费用，已远超国家标准本人现已逾期七八次，砍头息超本金，利息三千多，杭州市民卡有限公司为其提供支付渠道，公司地址:广州省深圳市福田区福华三路168号深圳国际商会中心809。</t>
  </si>
  <si>
    <t>2019/10/03 16:14:37</t>
  </si>
  <si>
    <t>客车票是于十月二号晚定的，定了十月三号九点四十，由于定错了，在网上无法退款，于九月三号早九点在嘉兴北站进行退款，但在车站，无法查询任何此车票信息，由于没有车票信息，根本不存在，车站人员无法进行退款，解释十分敷衍，车站人员无法解决，在飞猪人工客服也无法解决，订单下的联系电话也是空号。</t>
  </si>
  <si>
    <t>2019/10/03 16:14:36</t>
  </si>
  <si>
    <t>还款日当天直接爆通讯录辱骂通讯录好友，电话打过来就说你不还款直接爆了，草泥马什么的。</t>
  </si>
  <si>
    <t>2019/10/03 16:13:22</t>
  </si>
  <si>
    <t>投诉人 王先生        投诉对象  信而富        涉诉金额  1 700 元    问题类型    诉求类型投诉详情  信而富砍头息，变相的让你买东西，才能放款</t>
  </si>
  <si>
    <t>2019/10/03 16:12:07</t>
  </si>
  <si>
    <t>2019年10月2日注册了小浦优客app，然后删除了小浦优客app，然后10月3日下午收的钱，在未经过许可的和未告知本人的情况下私自扣除了我服务费296元，此app在未经过我许可的情况下扣除了我银行卡里的钱，属于欺骗消费者的行为，必须全额退款，坚决与这种行为抗争到底。</t>
  </si>
  <si>
    <t>2019/10/03 16:11:50</t>
  </si>
  <si>
    <t>投诉人陈静投诉对象京东商城,拍拍验机涉诉金额6149元问题类型诉求类型投诉详情在京东拍拍验机购买手机，实物与验机报告多处不符合，我想要进行退换货，但是我在不知情情况下撕掉了防拆码，然后他们以此为由就不予以退换货。</t>
  </si>
  <si>
    <t>2019/10/03 16:11:48</t>
  </si>
  <si>
    <t>第一次扣款，第二次打电话问客服说完成最后一个个人信息认证就可以借款。</t>
  </si>
  <si>
    <t>2019/10/03 16:11:39</t>
  </si>
  <si>
    <t>6月初在丰巢存放一件物品，后来因为不在北京遗忘，一直到现在提示需要支付246元费用，但是丰巢协议里说了超过30天未取走，丰巢会清柜自行处理物品，从6月份到现在4个月时间，丰巢不通知，不清柜处理，任由物品存放涨价，丰巢客服各种狡辩，任何涉及协议问题都是说丰巢不管。</t>
  </si>
  <si>
    <t>2019/10/03 16:11:37</t>
  </si>
  <si>
    <t>2019/10/03 16:10:56</t>
  </si>
  <si>
    <t>中国移动云南公司乱扣费，我一号交的费用，3号今天收到短信就欠费，我放假在家你们流量我直接不用，电话我都不打一个，联系客服客服解释含糊其辞，我的套餐费用我不清楚吗，打过去就是说扣套餐费，问具体的扣费明细直接不说，移动公司乱扣希望有关部门能查查。</t>
  </si>
  <si>
    <t>2019/10/03 16:08:55</t>
  </si>
  <si>
    <t>10月3日下午，无故扣费288，正准备还卡呢，一查是易宝支付盗刷了，导致我还卡的钱不够了，请平台尽快处理退款。</t>
  </si>
  <si>
    <t>2019/10/03 16:08:28</t>
  </si>
  <si>
    <t>及贷尽然直接在客户放款的金额中直接扣除课程费等费用，这是在申请放款过程中没有任何提示的一笔费用。</t>
  </si>
  <si>
    <t>2019/10/03 16:08:06</t>
  </si>
  <si>
    <t>聚美颜值贷,重庆市南岸区崇天小额贷款有限公司，本人在聚美优品app上通过颜值贷申请借款，10月1日还款的时候系统上显示的待还账单中只有三笔，因为之前由于个人工作原因，资金周转问题，有过几笔借款未及时还款，本月，本人在还款日当天及时按照该平台上的还款账单悉数全额还款了！今日登陆该平台发现账单中又出现一笔没有还款的账单！因为已经超过还款日，目前已经是逾期状态！马上联系了该平台在线客服，客服人员推诿丝毫没有解决问题的态度！现为国庆假期，客服居然让我等两个工作日才能给出答复！现在账单已经是逾期！等到处理结果不就逾期</t>
  </si>
  <si>
    <t>2019/10/03 16:06:52</t>
  </si>
  <si>
    <t>已经注册两个月左右了，于2019年78月13日左右开始接单，都可以正常接单，但从2019.9.30日19点30分左右到至今，除了晚上6点过后才能接到单，白天根本接不到单，咨询客服，客服说账号无问题，但问题一直没解决。</t>
  </si>
  <si>
    <t>2019/10/03 16:05:26</t>
  </si>
  <si>
    <t>本人于19年5月24号从随手记贷款10000，到账10000，就立即扣除1000元，扣款对象是随记.卡牛，贷前客服有核实资料并没有提莫名扣款！每期还款里已含有利息和服务费！请贵平台退还这1000莫名的费用！。</t>
  </si>
  <si>
    <t>2019/10/03 16:04:59</t>
  </si>
  <si>
    <t>我媳妇在手机借钱借了3500应急，分四期每期还款1381.75，还款日当天，就开始爆通讯录，又不是逾期不还，我本打算节日过后还清就算了，这种套路贷，高利贷属实害人！！！！。</t>
  </si>
  <si>
    <t>2019/10/03 16:04:50</t>
  </si>
  <si>
    <t>爆通讯录，打电话恐吓骚扰，半夜三更让我去人无法休息。</t>
  </si>
  <si>
    <t>2019/10/03 16:04:24</t>
  </si>
  <si>
    <t>9月17日，还款当天该公司支付通道无法支付，第二期还款金额1022.4还款日为9月26日，当日无法联系客服，也无法接通该公司电话，通过APP提示，将金额打入该公司支付宝，账户为:kb***a该公司非法收取好额利息，服务费。</t>
  </si>
  <si>
    <t>2019/10/03 16:04:17</t>
  </si>
  <si>
    <t>微信卡卡贷系统不扣款，导致逾期第2天，在我不知情的情况下从银行卡扣除756.8担保费。</t>
  </si>
  <si>
    <t>2019/10/03 16:03:31</t>
  </si>
  <si>
    <t>宝付支付涉嫌给714平台提供第三方扣款谋利费用.从2018年9月到2019年3月份宝付支付在本人银行卡扣款总额为102379.28元.要求宝付支付多扣除的费用请求退款.。</t>
  </si>
  <si>
    <t>2019/10/03 16:02:30</t>
  </si>
  <si>
    <t>电玩城app，一款网络赌博软件，不给人提现。</t>
  </si>
  <si>
    <t>2019/10/03 16:02:06</t>
  </si>
  <si>
    <t>我本人中国建设银行卡，在不知情的情况下，无缘无故被第三方中国银联向文达智通技术扣款999元，请求解释，全额退款！。</t>
  </si>
  <si>
    <t>2019/10/03 16:01:57</t>
  </si>
  <si>
    <t>1.存管银行系统不完善2.分期购物资质不齐全3.存在高息贷款现象4.电话恶意骚扰。</t>
  </si>
  <si>
    <t>2019/10/03 16:01:50</t>
  </si>
  <si>
    <t>投诉人王女士投诉对象威力贷涉诉金额6000元问题类型诉求类型投诉详情投诉汇潮支付放高利贷、投诉支付宝协助高利贷公司回款、投诉威力贷、想有钱、来花花，金宝盆，佑佑分期高利贷公司，借款1100，3天还款1500，实际只有两天半，第五天就有人员用境外电话打过来，在未逾期的情况下威胁，辱骂，恐吓，发短信扬言让我身败名裂，为高利贷公司他提供还款通道每次扫码付款还能把商户自动跳转到我周边的商户，打电话给支付宝公司，支付宝公司拒绝提供收款人信息，支付宝也为虎作伥，为高利贷公司他提供还款通道，每次扫码付款还能把商户自动跳转</t>
  </si>
  <si>
    <t>2019/10/03 16:01:42</t>
  </si>
  <si>
    <t>我在立借app里面的钱置宝借款2100元，还款额是3000元，在于还款到第三期的时候，以往都是自动扣款的，第三期开始不扣款，今天下午的时候，催收联系我，态度凶狠，并且不听我解释，直接挂了我的电话，钱置宝自己不扣款，不是说我不还，是他自身的问题，并不是我的问题导致的逾期，但是让我去买这个单，我本人不愿意。</t>
  </si>
  <si>
    <t>2019/10/03 16:01:09</t>
  </si>
  <si>
    <t>投诉人 黄先生        投诉对象  Wecash闪银        涉诉金额  6 000 元    问题类型    诉求类型投诉详情  闪银泄密我个人资料。经常收到电话骚扰。影响我个人生活。希望不要在继续这样违法的操作。希望尽快处理。</t>
  </si>
  <si>
    <t>2019/10/03 16:00:26</t>
  </si>
  <si>
    <t>你好！是这样的我请求采访我！我姐前天吃安眠药了，吓死我了真的，魂都吓没了，幸好真的没什么事，是这样的她分期乐有欠款但是因为这一年发生了太多的事她没有钱了，就一直最低还款度过，现在有工作了，她想说有多少还多少留点吃饭钱，但是人家说不行，不给她调整，还要她证明，这怎么证明，是让我们去公安局让警察打个电话帮我们证明一下吗，律师那边因为我没有给足费用也没有可以证明的东西，诉讼书她都没整完因为没有钱了，这不代表她没有经历过那些难受的日子，最近她和我说给她逼的想死，什么都不好，我真的当时挺担心她，因为之前就有抑郁症，还</t>
  </si>
  <si>
    <t>2019/10/03 15:58:41</t>
  </si>
  <si>
    <t>投诉人林女士投诉对象信而富涉诉金额1500元问题类型诉求类型投诉详情信而富平台多次借还款，以购物买卡的名义收取砍头息，借款1500须买旅游卡388等不同金额旅游卡并未有任何实物，要求信而富给予赔偿！。</t>
  </si>
  <si>
    <t>2019/10/03 15:58:29</t>
  </si>
  <si>
    <t>我在该公司购买了七天畅聊会员，并没有勾选自动续费，但收到该公司短信说我已开通免密支付，并生成到期自动续费。</t>
  </si>
  <si>
    <t>2019/10/03 15:57:50</t>
  </si>
  <si>
    <t>投诉人 周先生        投诉对象  大米贷        涉诉金额  2 000 元    问题类型    诉求类型投诉详情  七天贷 高利息 借2000到手1400七天后还1994 剩下6元分三期还款 之前威胁说不处理就报通讯录 无奈多次展期 现请求销账</t>
  </si>
  <si>
    <t>2019/10/03 15:57:24</t>
  </si>
  <si>
    <t>正常交易，收款一千元不给于结算，拉卡拉惠码。</t>
  </si>
  <si>
    <t>2019/10/03 15:56:42</t>
  </si>
  <si>
    <t>9月30号下载app个人认证和银行卡手机验证完成，反正根本不可以借款就是推荐给其他借款APP，这个坑钱了APP，最后黑猫投诉客服电话显示境外。</t>
  </si>
  <si>
    <t>2019年9月27号在钱站app借款2000共三个月连同服务费利息本金一共接近3000.审核通过迟迟不给放款，又不是不用给利息的迟迟一个礼拜不放款！这绝对坑人的app,想要取消订单客服说不行，什么霸王条款，是不是一个月在放款也是他们说了算！严厉打击这种坑人公司！希望平台介入取消这订单！。</t>
  </si>
  <si>
    <t>2019/10/03 15:56:28</t>
  </si>
  <si>
    <t>，逾期半天，五一人品贷威胁爆通讯录给周边朋友，限一个小时还清，本就是最后一期没人要赖账不还，但是催收威胁恐吓，造成严重的影响。</t>
  </si>
  <si>
    <t>2019/10/03 15:56:21</t>
  </si>
  <si>
    <t>以收取工本费，卡号填错后以收取修改卡号费用，汇款4400元人民币！。</t>
  </si>
  <si>
    <t>2019/10/03 15:56:07</t>
  </si>
  <si>
    <t>投诉人黄先生投诉对象钱站涉诉金额600元问题类型诉求类型投诉详情本人于2019年8月5日在钱站APP上借款1000元，到账1000元，分3期还款，借款后发现3期总共要还款1682.96元后在借款合同上发现，借款本金为1600元，与我借款本金根本不相符，不仅借款本金提高，而且每个月还要继续扣除服务费，不知道是什么人有这么大的权利，可以擅自修改借款人的本金，提高利息，收取高额服务费，提供阴阳合同。</t>
  </si>
  <si>
    <t>2019/10/03 15:55:40</t>
  </si>
  <si>
    <t>本人之前就解释过，基金到账遇到国庆节，要延迟几天，逾期费我照样给，没说不还款，可是现金巴中来电话态度恶劣，必须下午五点等等之类得，砍头息跟利息那么高，我们也就认了，可是一点宽限期都不给。</t>
  </si>
  <si>
    <t>2019/10/03 15:54:43</t>
  </si>
  <si>
    <t>投诉人胡伟投诉对象拜米租车涉诉金额9元问题类型诉求类型投诉详情你好领导！拜米租车乱扣费欺骗消费者，以自动还车为理由乱扣费说不在还车范围之内这是违法行为，跟他们客服沟通不但没处理还特别牛逼，已经警告他了客服还说随便投诉……。</t>
  </si>
  <si>
    <t>2019/10/03 15:53:38</t>
  </si>
  <si>
    <t>喵下贷借款1300元6天还2000元，严重超过国家标准，属于违法高利贷，而汇潮支付却为这样的违法高利贷提供支付通道，望贵平台能联系该平台，我愿支付合理本息，绝不会支付其高额利息。</t>
  </si>
  <si>
    <t>2019/10/03 15:53:32</t>
  </si>
  <si>
    <t>当天送完上一个乘客！平台马上指派了新的订单给我！此时我在的位置堵车很严重！我就给客户打了电话！告知堵车！不知道多久能出去！如果着急在下一个单！避免耽误他的时间！乘客也说再下一单！他着急！！平台有录音！也可以核实！我在此地车辆拥堵半个多小时才离开！本平台指派单就很少！我很想拿奖励！我申诉两次电话打几次都为解决！怎么可能诱导乘客取消订单！下面有我当时通知群内其他师傅不要开进这路得截图！饶道走！。</t>
  </si>
  <si>
    <t>小通商城无故在我银行卡里扣了560多元，我没用过，也没买过东西。</t>
  </si>
  <si>
    <t>在我不知情的情况下免密支付，扣了我267元，是个骗子。</t>
  </si>
  <si>
    <t>2019/10/03 15:52:50</t>
  </si>
  <si>
    <t>借了3000元12个月后要换4075元，我已经还了3167.35元，身为学生实在是还不起这个高额利息了，我想申请合理利息提前结清。</t>
  </si>
  <si>
    <t>2019/10/03 15:52:26</t>
  </si>
  <si>
    <t>请智行APP推送10255404587/10255546924/10700777680三个飞机票订单的电子发票至我的邮箱12******0@qq.com，客服回复的不能推送，或者花油费20元邮寄给我，作为消费者我觉得有权利免费获取我的电子发票。</t>
  </si>
  <si>
    <t>2019/10/03 15:52:24</t>
  </si>
  <si>
    <t>投诉人张冀平投诉对象用钱宝涉诉金额554元问题类型诉求类型投诉详情我现在资金出了状况跟你们协商好了有钱了马上还了况且就还最后一期了我要不还我还还这么多期干嘛让催收把爆了我通讯录了已经现在又要发我照片说给我p图如果在这么威胁我我会有相应的反击。</t>
  </si>
  <si>
    <t>2019/10/03 15:51:55</t>
  </si>
  <si>
    <t>投诉人 周先生        投诉对象  佑佑分期        涉诉金额  2 000 元    问题类型    诉求类型投诉详情  借的时候不知道是三天贷平台 借1500到手1100 处理晚了就威胁说爆通讯录 没办法只能展期多次 希望有关部门可以处理 并进行销账和补偿</t>
  </si>
  <si>
    <t>2019/10/03 15:48:33</t>
  </si>
  <si>
    <t>今天打电话给我说五点之前一定要还不还就要爆我通讯录。</t>
  </si>
  <si>
    <t>2019/10/03 15:48:28</t>
  </si>
  <si>
    <t>青春宝高利贷，砍头息，借3000到2200，四个星期还3080.已经还了3期。</t>
  </si>
  <si>
    <t>2019/10/03 15:48:23</t>
  </si>
  <si>
    <t>辱骂过程持有录音，态度极其恶劣变相辱骂直接挂断电话。</t>
  </si>
  <si>
    <t>2019/10/03 15:47:55</t>
  </si>
  <si>
    <t>购买来分期商城里物品比同类物品高处一倍而且还是假货，来分期在我完全不知情的情况下私自多次扣除我支付宝余额。</t>
  </si>
  <si>
    <t>2019/10/03 15:47:37</t>
  </si>
  <si>
    <t>投诉人 兰先生        投诉对象  时光分期        涉诉金额  8 000 元    问题类型    诉求类型投诉详情  本人曾在时光分期借款8000元。已还6期。但因变故暂时未还剩下金额。时光分期的就发短信恐吓我。导致精神状态不好。严重影响工作</t>
  </si>
  <si>
    <t>2019/10/03 15:47:10</t>
  </si>
  <si>
    <t>9月14日农行绿森商城购买苹果11手机一部，10月1日上午发来短信，说已经发货单号00*************1，十月2号.3号一直查不到，开始打电话追问，说苏宁物流问题，打电话问苏宁物流，苏宁物流给的答复是10月2日已经退款成功，单子已经返回绿森，再问绿森却说手机已经发出，耐心等待，就是查不到物流，下午又告诉我没发出，重新发，具体什么时候发还不知道，我就想说，从一开始就欺骗，明明没发货却说发货，现在退款也没反应，等手机也不知道什么时候发，。</t>
  </si>
  <si>
    <t>2019/10/03 15:46:47</t>
  </si>
  <si>
    <t>昨天在汇信汽车服务做贷款初审说买车得需要1500元GPS钱今天不想买车了不退钱。</t>
  </si>
  <si>
    <t>2019/10/03 15:46:39</t>
  </si>
  <si>
    <t>借钱的时候没有说明白&amp;amp;nbsp;三天贷&amp;amp;nbsp;高额砍头息&amp;amp;nbsp;借2000到手1400&amp;amp;nbsp;借1700到手1275&amp;amp;nbsp;&amp;amp;nbsp;威胁不换就给通讯录打电话&amp;amp;nbsp;已展期多次&amp;amp;nbsp;请求销账。</t>
  </si>
  <si>
    <t>2019/10/03 15:44:12</t>
  </si>
  <si>
    <t>我和买家进行了双方交易以后，钱到我的帐上了，然后的话我去提现上面显示你的账号已被冻结，不能进行提现操作，然后给客服打电话，客服说被冻结了，就没有办法了。</t>
  </si>
  <si>
    <t>2019/10/03 15:43:41</t>
  </si>
  <si>
    <t>北京闪银奇异，客服躲避拒绝回复销户相关流程问题，只要问如何销户，一整天避而不答，已经多次联系，仍无回复。</t>
  </si>
  <si>
    <t>投诉人 孙先生        投诉对象  读秒钱包,积木盒子        涉诉金额  700 元    问题类型    诉求类型投诉详情  之前有在读秒钱包上借款6000元 二月便还款 但是多出了700的费用 已经超过国家规定利息要求退回</t>
  </si>
  <si>
    <t>2019/10/03 15:42:44</t>
  </si>
  <si>
    <t>投诉人 侯女士        投诉对象  米么金服        涉诉金额  0 元    问题类型    诉求类型投诉详情  打电话发信息就辱骂 自己的利息不看清楚 还p图 真是够可以的哈 看看谁能弄过谁 打电话轮番轰炸 上来就骂 真是可以的 够厉害的 2年前的照片都能翻出来 厉害厉害</t>
  </si>
  <si>
    <t>2019/10/03 15:42:28</t>
  </si>
  <si>
    <t>在我不知情的情况下扣了我银行卡50元，说是什么评估报告，请求退款。</t>
  </si>
  <si>
    <t>2019/10/03 15:42:16</t>
  </si>
  <si>
    <t>现在已还9期，已还5700还剩1200利率超过国家规定。</t>
  </si>
  <si>
    <t>2019/10/03 15:41:13</t>
  </si>
  <si>
    <t>高额砍头息，要求调整利率，归还他们本金，停止骚扰。</t>
  </si>
  <si>
    <t>7月2日，玖富万卡还款1315元失败，无法手动还款，咨询客服有三天宽限期，第二天早晨还款完毕，玖富万卡恶意上报央行征信，给正常生活和金融服务造成重大影响。</t>
  </si>
  <si>
    <t>2019/10/03 15:40:31</t>
  </si>
  <si>
    <t>微信无权冻结私人财产，如果本人使用过程中违反了使用规章制度，微信软件开发商可以停止本人的使用收款功能，但是我收到了朋友的钱，我却提现不了，我认为微信超越了服务和管控范围，本人要求立刻退还本人私有财产。</t>
  </si>
  <si>
    <t>2019/10/03 15:39:35</t>
  </si>
  <si>
    <t>捷信说话不算数，业务员打电话告诉我了让我最低还多少然后让我去APP去查一下结清证明结果根本查不到，赶紧给我个解释。</t>
  </si>
  <si>
    <t>2019/10/03 15:39:25</t>
  </si>
  <si>
    <t>金鸡下蛋app暴力催收以及高额砍头息，借2000六天实际只有5天，到账1400，协商还本金以及法定利息不准，当前续期2天300高额利息，当前未逾期就拨打通讯录暴力催收，望国家取缔该平台不法平台，该平台催收电话08开头的境外电话。</t>
  </si>
  <si>
    <t>2019/10/03 15:39:19</t>
  </si>
  <si>
    <t>树林分期分期高利贷，砍头息，借3000到2200，四个星期还3080.已经还了3期。</t>
  </si>
  <si>
    <t>2019/10/03 15:39:05</t>
  </si>
  <si>
    <t>自称立借委托方的，一男一女，天天给我打电话让我处理金融业务，已经被骚扰得不能正常生活了。</t>
  </si>
  <si>
    <t>2019/10/03 15:38:35</t>
  </si>
  <si>
    <t>在买买乐购借款到手11000已经还款10期，每期还款1340已经还款了13400,还要还款2期，利息太高，还不起，申请后面俩个月不还款，。</t>
  </si>
  <si>
    <t>2019/10/03 15:38:18</t>
  </si>
  <si>
    <t>微信公众号：微品100，该平台涉嫌高利贷，套路贷，暴力催收，一个月前本人因为资金周转在该平台借款2300元，到账后发现要还2900多，中间有个什么服务费600元，借款前合同并没有显示会收这笔钱，今天接到微品的恶意催收电话，本人要求还本金并对其中600元服务费提出质疑。</t>
  </si>
  <si>
    <t>2019/10/03 15:37:26</t>
  </si>
  <si>
    <t>投诉人郑先生投诉对象淘宝网涉诉金额3300元问题类型诉求类型投诉详情我是淘宝卖家，被人恶意投诉，淘宝网现在要把我店铺封了，还让我给投诉人转账，支付宝的几千块也拿不出来了，我要起诉淘宝网，谁能帮忙垃圾无良淘宝坑我3300多元，没人管了，起诉无门，店大欺客。</t>
  </si>
  <si>
    <t>2019/10/03 15:37:23</t>
  </si>
  <si>
    <t>投诉人 赵先生        投诉对象  盈盈有钱        涉诉金额  1 100 元    问题类型    诉求类型投诉详情  上次协商还款他们同意了。后面天天催收 并且出言侮辱 10.15还款结清</t>
  </si>
  <si>
    <t>2019/10/03 15:36:47</t>
  </si>
  <si>
    <t>投诉人张先生投诉对象玖富涉诉金额40000元问题类型诉求类型投诉详情玖富万卡黑高利贷短信发过来的还款金额和APP上相差很大，还有就是借款44000元要还80000多元，提前结清都要很高的利息，试问玖富你们利息这么高怎么跟国家利率相比，你们就是钻法律空隙，我在这声明如玖富不把我的利率降下来我是不会还款的。</t>
  </si>
  <si>
    <t>2019/10/03 15:35:25</t>
  </si>
  <si>
    <t>来分期暴力催收，严重影响到正常生活，客服人员性质恶劣，。</t>
  </si>
  <si>
    <t>2019/10/03 15:35:06</t>
  </si>
  <si>
    <t>我下载了小浦优客app，填写了资料，但并未说明需要扣钱，在十月三号竟从我中国银行卡里无缘无故扣我296元钱，下面是小浦优客发的扣钱信息:小浦优客尊敬的用户您好，感谢您对小浦优客的支持，您的报告已经生成，您已成功支付服务费296.0元整，如有疑问可拨打电话。</t>
  </si>
  <si>
    <t>2019/10/03 15:34:38</t>
  </si>
  <si>
    <t>中国银联,云闪付,乐家易付,深圳市元成辉科技有限公司，通过中国人民银行和支付清算协会沟通得知第三方支付业务应审核客户的相关信息，第三方支付公司不得向证券、期货、博彩等机构提供支付结算业务，本人被引诱到一个网站充值入金2000元，后来发现是网络赌博平台，并非正规的购彩网站，作为有牌照的支付公司没有履行国家相关法律法规要求，希望有工作人员能够联系，强烈要求第三方支付机构退回被扣款。</t>
  </si>
  <si>
    <t>2019/10/03 15:34:35</t>
  </si>
  <si>
    <t>我是在2019年6月19日在及贷平台贷款6000元分期12期每期还款623.46元，可是我前两天才发现给我下款只有5000元砍头息1000元合同开始都没有标明，下款以后只有本金6000可是下款只有5000客服跟我绕舌头说服务费，合同根本没有这回事，合同本金6000只放款5000弄出一个阴阳合同，也没有提前结清的通道看我头息，本金少了我1000元，希望平台能帮助我追回我的本金1000元，不要让这些网络套路贷继续下去了网上很多都说这个公司特别黑，也没有提前结清的通道，看我头息，本金少了我1000元。</t>
  </si>
  <si>
    <t>2019/10/03 15:33:08</t>
  </si>
  <si>
    <t>1泄漏个人隐私，不经过本人同意，获取本人通讯录信息，2骚扰通讯录无关人员3对本人言语辱骂，及通讯录联系人进行辱骂诋毁，并以第二联系人的说辞，进行骚扰！4对本人，及通讯录联系人进行恐吓！5采用软件轰炸本人，以及本人通讯录联系人进行骚扰，严重影响到个人，及通讯录联系人的正常生活，7在我不知情的情况下扣走我银行卡里的钱8在通讯录联系人故意诋毁本人声誉，导致本人被公司开除，失去经济来源，给本人日常生活带来严重影向，导致本人心里负担及大，几近崩溃边缘！。</t>
  </si>
  <si>
    <t>2019/10/03 15:32:34</t>
  </si>
  <si>
    <t>对于小通商城无故扣款十分气愤，没有标明扣款原因就进行了扣款和盗刷无异。</t>
  </si>
  <si>
    <t>2019/10/03 15:32:22</t>
  </si>
  <si>
    <t>及贷暴力催收，影响我家人的正常生活跟我朋友的正常生活。</t>
  </si>
  <si>
    <t>2019/10/03 15:31:34</t>
  </si>
  <si>
    <t>我本人的微信在骗子拿不到验证码的时候可以被盗走登录我的微信，骗子一直登录抢登我的账号，，现在绑定的手机号也绑定不了，严重不安全，麻烦尽快处理。</t>
  </si>
  <si>
    <t>2019/10/03 15:31:16</t>
  </si>
  <si>
    <t>速金服，9月27号我缺钱申请了借款，填写了基本信息，1000块钱我急用，不是让你显示放款中还要等不知道何年何月，今天打电话客服，客服说无法取消，等放款后24小时内致电客服需要支付30%违约费用，这是app上的金融服务，这不受国家法律管控吗，2，是不是我也可以开发个app，不管是谁都可以来注册，注册后立马给你审核通过然后放款中，只要你申请了就一定会显示放款，就一定会收取费用，我相信国家应该有能力管控这些违法的金融企业，严厉管控小额贷款公司，尤其这些放贷1000,2000的小贷公司，他们放1000收2000，放</t>
  </si>
  <si>
    <t>2019/10/03 15:31:01</t>
  </si>
  <si>
    <t>投诉人 张先生        投诉对象  维信金科        涉诉金额  4 000 元    问题类型    诉求类型投诉详情  非法扣除前期费用 利息加这个保险都要超过3分多了。谁服呢</t>
  </si>
  <si>
    <t>2019/10/03 15:30:59</t>
  </si>
  <si>
    <t>花转转樱桃小借，到账2800，还款4100，由于app问题不能还款，支付宝还款后该平台一直没有消除账单，。</t>
  </si>
  <si>
    <t>2019/10/03 15:29:41</t>
  </si>
  <si>
    <t>未逾期早上就开始催，态度极其恶劣，还威胁恐吓要爆通讯录，影响正常生活。</t>
  </si>
  <si>
    <t>2019/10/03 15:29:37</t>
  </si>
  <si>
    <t>2019/10/03 15:29:35</t>
  </si>
  <si>
    <t>投诉人 邢女士        投诉对象  小浦优客        涉诉金额  296 元    问题类型    诉求类型投诉详情  未经本人许可私自扣掉费用 在填写资料过程中并无费用的提示 打客服电话永远都在占线中</t>
  </si>
  <si>
    <t>2019/10/03 15:29:31</t>
  </si>
  <si>
    <t>我是2018年11月31日查出患恶性淋巴瘤、经过6个月的治疗、现在在家休养、公公2017年7月查出患鼻炎癌、经过两年的治疗无效于2019年9月过世、就在前一个月才到处借钱把公公安葬了、现在家里只有我老公一个人上班、有个女儿6岁、的确没有能力大额还款、希望聚投诉能帮忙协调我能与这两家银行做60期的协商还款！我是很有还款意愿的、只是现在还不上那么多、不是不还！。</t>
  </si>
  <si>
    <t>2019/10/03 15:29:26</t>
  </si>
  <si>
    <t>操作时他们诚若交146就能贷出款，又套路了299也不下款客服也不理，真是牛的很，提聚投诉了人家说随便你。</t>
  </si>
  <si>
    <t>2019/10/03 15:29:21</t>
  </si>
  <si>
    <t>由于本人住院没有能力还款美团生活费今天没有直接联系我而是直接发了条恐吓短信。</t>
  </si>
  <si>
    <t>2019/10/03 15:29:16</t>
  </si>
  <si>
    <t>投诉人 甘先生        投诉对象  来分期        涉诉金额  2 500 元    问题类型    诉求类型投诉详情  常常收到信息外透的短信 几乎天天都发那些用钱的信息</t>
  </si>
  <si>
    <t>2019/10/03 15:29:05</t>
  </si>
  <si>
    <t>7月31日，扣款140元；2018年8月1日，扣款140元；2018年8月2日，扣款140元；2018年8月3日，扣款140元；2018年8月4日，扣款140元；2018年8月5日，扣款140元；扣款方均为易宝支付有限公司共计6笔，840元，要求退还，易宝支付有限公司为714套路贷提供违规支付渠道收取高额展期费，本人于2018年8月累计被套路840元，具体如下：2018年7月31日，扣款140元；2018年8月1日，扣款140元；2018年8月2日，扣款140元；2018年8月3日，扣款140元；2018年</t>
  </si>
  <si>
    <t>2019/10/03 15:27:24</t>
  </si>
  <si>
    <t>6月底7月初，用过几个网贷，在国家的严厉打击下，网贷平台已倒闭，但是支付渠道富友支付还在，我用的这个平台借款4800，到我的账上只有3360，7天以后归还4823，高达1400多元的砍头息，本金及合法利息我可以不追究，但是高额的砍头息我希望退回我的账户，请富友支付给我一个合理的说法，我用了两次，希望退款2880元。</t>
  </si>
  <si>
    <t>2019/10/03 15:26:36</t>
  </si>
  <si>
    <t>打电话客服说要寄身份证复印件去上海才能退掉。</t>
  </si>
  <si>
    <t>2019/10/03 15:26:29</t>
  </si>
  <si>
    <t>小浦优客莫名其妙的扣款，根本没有提示，诉求退还不当扣款。</t>
  </si>
  <si>
    <t>2019/10/03 15:26:20</t>
  </si>
  <si>
    <t>投诉人仇女士投诉对象有用分期涉诉金额16600元问题类型诉求类型投诉详情客服人员让我先结案再退钱我不接受要先退款再结案还要我多交500块钱的违约金。</t>
  </si>
  <si>
    <t>2019/10/03 15:26:18</t>
  </si>
  <si>
    <t>投诉人 陈先生        投诉对象  小娜迦,小当家        涉诉金额  4 000 元    问题类型    诉求类型投诉详情  高利贷，暴力催收，爆通讯录，天天骚扰。。。。</t>
  </si>
  <si>
    <t>2019/10/03 15:24:52</t>
  </si>
  <si>
    <t>9月21日我在该平台进行手机回收下单，型号为iPhone8plus，根据手机使用情况评估价格为2770元，价格正常，该平台收货后，进行评估，评估价格为1180元，与平台预估相差巨大，，但该报告截图中并未看出有异常，怀疑其故意用手段压价，另外，在未经我同意，也没有通知我的情况下，进行了拆机开盖处理，此行为严重影响我手机再次销售价格，这样就只能在该平台以超低价被回收，商家以此谋取暴利，经过在网上进行调查，有相当多一部分消费者被该平台套路，强烈要求引起重视！。</t>
  </si>
  <si>
    <t>2019/10/03 15:24:27</t>
  </si>
  <si>
    <t>暴力催收，威胁恐吓！催收人员说不在规定内时间完成就电话轰炸联系家人朋友，请他们协助我处理！之前协商好的，这个客服态度极其恶劣，强烈要求尽快解决问题！给一个合理解释！。</t>
  </si>
  <si>
    <t>2019/10/03 15:23:20</t>
  </si>
  <si>
    <t>我的中国银行卡里的钱被钱橙无忧的网站无缘无故的扣了168元打电话过去他们口气强硬还不处理。</t>
  </si>
  <si>
    <t>2019/10/03 15:23:17</t>
  </si>
  <si>
    <t>投诉人卓先生投诉对象威力贷涉诉金额2000元问题类型诉求类型投诉详情威力贷高利贷，借1400六天要还2000，实际还只有5天，当天还未过就一直催收，用的全是港澳台电话，要求道歉，去掉利息，只还本金！。</t>
  </si>
  <si>
    <t>2019/10/03 15:22:29</t>
  </si>
  <si>
    <t>投诉人郑先生投诉对象贷上钱涉诉金额2560元问题类型诉求类型投诉详情贷上钱非法收取服务费，借款2000元，30天要收取不合法费用500元，利息60元，和他们协商处理问题他们总是敷衍，并且国家有关规定收取服务费、会员费及购买商品发放贷款都是违法的，但是他们不顾国家规定强制违法，贷上钱不与本人联系直接拨打本人通讯录，给本人亲朋好友生活工作造成严重影响，他们应该做出赔礼道歉，第三由于他们暴力催收导致本人工作受到严重影响，直接导致本人利益受损，要求他们消除影响，赔礼道歉，希望有关部门能够提供有效法律援助，对他们这种</t>
  </si>
  <si>
    <t>2019/10/03 15:21:49</t>
  </si>
  <si>
    <t>我只是注册填写李资料，结果无缘无故点就扣掉296元，联系客服也没有解决，说是注册点右下角有个协议，也没看见啊，根本没有标注需要花钱点内容之类的，这不纯属欺诈么~。</t>
  </si>
  <si>
    <t>2019/10/03 15:20:53</t>
  </si>
  <si>
    <t>借款6000月利息200，利息高达百分之40，实际扣款四期却显示还款两期，还暴力催收，侮辱人。</t>
  </si>
  <si>
    <t>2019/10/03 15:19:30</t>
  </si>
  <si>
    <t>两年前左右开通唯品花，对于唯品花使用，从未逾期从未有过不正当使用，今天我使用唯品花购买了一个手机，两个小时以后收到退款的短信，我从未逾期或不正当使用，就被停止使用唯品花，就因为使用唯品花买了一个手机就要被停用吗。</t>
  </si>
  <si>
    <t>2019/10/03 15:19:03</t>
  </si>
  <si>
    <t>投诉人 陶先生        投诉对象  小浦优客        涉诉金额  296 元    问题类型    诉求类型投诉详情  只是注册了下，就扣款？随意扣款，要求退款赔偿</t>
  </si>
  <si>
    <t>2019/10/03 15:18:41</t>
  </si>
  <si>
    <t>投诉人 周先生        投诉对象  菜鸟有钱        涉诉金额  2 000 元    问题类型    诉求类型投诉详情  借钱的时候没看到是三天贷 借1700到手1275 三天就打电话催还钱 还进行辱骂 被逼无奈我已展期多次 希望有关部门可以处理一下 并进行销账</t>
  </si>
  <si>
    <t>2019/10/03 15:17:32</t>
  </si>
  <si>
    <t>因朋友周转，所以当时我在平台借了9000元，借9期，每期1270元，现在已还6期7620元，因本人现在经济困难，可能到还款日无法还款，特提前与客服沟通希望可以减免利息偿还剩下本金1380元，可沟通未果，说还不了会有催收打电话进行催收，我只是资金确实不够想协商还款而已，希望贵公司可以解决问题。</t>
  </si>
  <si>
    <t>2019/10/03 15:16:45</t>
  </si>
  <si>
    <t>诱导人查看可查金额，莫名其妙绑定银行卡，还开通免密支付，在当事人不知道的情况下扣了299，现在投诉归还金额！！！！。</t>
  </si>
  <si>
    <t>2019/10/03 15:15:12</t>
  </si>
  <si>
    <t>我不需要公司赠送，只希望自己的充值可以一次性当机票抵充，不再和贵司合作，3️⃣厦门机场说同行人要收取150元的服务费，我会发微博，大众点评来让大家看看还要不要在你们这里办卡了。</t>
  </si>
  <si>
    <t>2019/10/03 15:14:28</t>
  </si>
  <si>
    <t>投诉人 朴女士        投诉对象  人人贷        涉诉金额  3 000 元    问题类型    诉求类型投诉详情  本来就是等着急用 两天没放款 麻烦更进一下尽快放款 另外手机无法接听 请在这里留言 谢谢</t>
  </si>
  <si>
    <t>2019/10/03 15:14:22</t>
  </si>
  <si>
    <t>月光侠分期平台客服电话4001056556借款金额3500，2450本金，分3期数，每期还1225.7，已还1期1225.7，钱未还2451，平台显示提前还款金额2439元，综合年化达到198.37%诉求：一次性结清剩余本金+合法利息。</t>
  </si>
  <si>
    <t>2019/10/03 15:13:55</t>
  </si>
  <si>
    <t>我在闪银借款4次，每次借款都要去WECASH超市去买东西才能借款而且它里面的东西比外面贵好多，借1100就要花200多去买东西，后来我借的1300就要花400多买东西，这可是禁止的不得捆绑销售的，所以我要求退还多收的880元。</t>
  </si>
  <si>
    <t>2019/10/03 15:13:33</t>
  </si>
  <si>
    <t>投诉人黄先生投诉对象信用计划,超级马力贷涉诉金额4000元问题类型诉求类型投诉详情信用计划与超级马力贷借款各两千，但是其中超级马力贷收取前期费用五百元，信用计划收取三百六十元。</t>
  </si>
  <si>
    <t>2019/10/03 15:13:07</t>
  </si>
  <si>
    <t>扣保费不退，我借款看合理才借的借款后出来个保费到账49000扣18000保费，现在要还五万三，实际借款只有31000都被扣完了。</t>
  </si>
  <si>
    <t>2019/10/03 15:12:48</t>
  </si>
  <si>
    <t>投诉人王先生投诉对象月光侠分期涉诉金额1500元问题类型诉求类型投诉详情月光侠分期涉嫌非法高利贷，催收通过非法暴力方式恐吓威胁侮辱。</t>
  </si>
  <si>
    <t>2019/10/03 15:12:43</t>
  </si>
  <si>
    <t>我在进行宽带网拓宽业务时，电信公司送了一个手机，同时办了两张副卡，其中152的这张卡字开通以来一直遭到捷信金融的电话骚扰，接通说明情况后仍有不同的电话打进来，虽然这个手机我们一直放着没有使用，但也挺恶心人的，另一方面也不得不佩服这些人的锲而不舍：回收的号码再投放出来，中间一般有半年无人使用了吧，没想到刚启用就会被骚扰，这种情况解释是没用的，只能投诉了。</t>
  </si>
  <si>
    <t>2019/10/03 15:12:14</t>
  </si>
  <si>
    <t>2019/10/03 15:11:57</t>
  </si>
  <si>
    <t>本人于9月29日下载注册钱橙无忧，未经过我允许，从我银行卡扣钱，我要求立马退钱。</t>
  </si>
  <si>
    <t>2019/10/03 15:11:54</t>
  </si>
  <si>
    <t>及贷在客户收取还款金额后，除了每天产生的利息金额。</t>
  </si>
  <si>
    <t>借款2900不到还4000多，希望协商还款。</t>
  </si>
  <si>
    <t>2019/10/03 15:11:36</t>
  </si>
  <si>
    <t>8月3日借钱，因为本人工资每月10日发放，申请还款日期由3日改至10日</t>
  </si>
  <si>
    <t>2019/10/03 15:10:41</t>
  </si>
  <si>
    <t>恐吓，暴力催收，骚扰，高利贷，利息超过36%。</t>
  </si>
  <si>
    <t>2019/10/03 15:10:20</t>
  </si>
  <si>
    <t>投诉人 周先生        投诉对象  威力贷        涉诉金额  2 000 元    问题类型    诉求类型投诉详情  之前在他们平台借钱用 接的时候并没有告知是三天期限 借2000到手1150 三天就打电话催还钱 由于手头确实紧 他们就给通讯录打电话 还进行辱骂 希望有关部门销账进行补偿 并查封该平台</t>
  </si>
  <si>
    <t>2019/10/03 15:10:12</t>
  </si>
  <si>
    <t>按照中国互联网金融协会明确推荐使用的IRR计算方式，快贷的年化率已高达86.83%，严重超出了法律规定的36%的红线，因此，本人要求快贷平台免除最后一期的还款，并提供结清证明，停止一日多次的电话骚扰。</t>
  </si>
  <si>
    <t>2019/10/03 15:09:32</t>
  </si>
  <si>
    <t>500彩票www.88428.com代理创盈集团，以高额收益稳赚不赔的方式做诱饵，宣传有专业的导师带赚，让其高额充值，然后导师带不但没赚，还以走势跳跃为借口，让你赔光所有本金，最后在让你充值一倍的本金，说保证能带你赚回来，就这样为了自己的本金，被他们骗取了89500元人民币。</t>
  </si>
  <si>
    <t>2019/10/03 15:09:31</t>
  </si>
  <si>
    <t>投诉人 李明        投诉对象  新浪分期        涉诉金额  0 元    问题类型    诉求类型投诉详情  新浪分期雇佣外包黑社会成员 采用黑恶手段爆通讯录 骚扰通讯录中的非借款人 暴力恐吓 本人非借款人 也是新浪分期骚扰受害者 现已向公安扫黑部门报警 请平台曝光新浪分期的违法行为</t>
  </si>
  <si>
    <t>2019/10/03 15:09:13</t>
  </si>
  <si>
    <t>投诉人杨先生投诉对象宜贷分期,海南易联普惠涉诉金额3000元问题类型诉求类型投诉详情3000二十天时间还4900&amp;amp;nbsp;高利贷要求本金加合法利息处理。</t>
  </si>
  <si>
    <t>2019/10/03 15:08:42</t>
  </si>
  <si>
    <t>2019/10/03 15:06:31</t>
  </si>
  <si>
    <t>上海吴良材眼镜店,上海吴良材眼镜店川沙一店，9月22号在吴良材眼镜店配了副眼镜，带了一星期，眼睛不适，头晕，看东西重影，店长解释镜框问题，更换镜框，重新验光更换，又带了一星期，第二幅问题依旧，头晕，不适，本人用吴良材的镜框在另外一家店重新配镜，没有上述问题，而且眼睛舒适，通过老板观察了解对比发现，吴良材的眼镜验光瞳距作的有偏差，散光不对，眼镜材质低廉，导致眼睛不适问题出现，虽然瞳距误差2毫米属于正常误差，但不适于眼睛敏感的人群，吴良材店长推脱责任，态度傲慢，没有为顾客的角度处理问题，强制性叫我去适应眼镜来解</t>
  </si>
  <si>
    <t>2019/10/03 15:05:07</t>
  </si>
  <si>
    <t>合同写借款2660，实际到账2000，，分3个月，每期还1100多，这样算不算高利贷。</t>
  </si>
  <si>
    <t>2019/10/03 15:04:54</t>
  </si>
  <si>
    <t>但在付押金时没有及时弹出提示来说明需要20天才能退款的情况，你们主平台是有说明规则但是你们有没有想过别人可能智商低点没看懂或者是其他情况，我作为那个智商低点的人就没看懂傻傻的以为租完就退押金。</t>
  </si>
  <si>
    <t>2019/10/03 15:04:28</t>
  </si>
  <si>
    <t>如图所示，超出800多公里未保养，未及时检查轮胎情况，把用户的生命安全置之度外，导致在途中突然中途爆胎，9.29日半夜4：30一直折腾到早上10：30才自己拖车换好轮胎，而go，fun对此置之不理，一分钱后果也不承担，我的诉求是最起码此单免单112元。</t>
  </si>
  <si>
    <t>本人向催收人员协商法定利率归还，催收置之不理，要求走司法程序，催收人员威胁联系我的周边，浙江没有公道我就去北京，还这个世道朗朗乾坤，本人已经被这些高利贷催收惹火了，现在已经无力归还高利贷，不协商，那就不处理，如果在我朋友，同事那里得知我通讯录已经被爆，我承诺向浙江省委，纪委，检察院，公安局，实名举报，未经本人同意，侵犯本人信息，51人品贷在聚投诉这么多爆通讯录投诉，为什么还能继续存在，爆通讯录的行为是不是已经侵犯公民信息安全，为什么还能继续违法行为，监管是不是到位，到底谁是这个公司的保护伞，违法犯罪的公司，</t>
  </si>
  <si>
    <t>2019/10/03 15:04:15</t>
  </si>
  <si>
    <t>投诉人张先生投诉对象钱站涉诉金额3000元问题类型诉求类型投诉详情1.我没有看清利率&amp;nbsp;&amp;nbsp;我借款金额是3000元，分3期需要还款金额约4500元，因为我还没有下款，所以我打电话给他们客户帮我取消借款，客服态度傲慢说无法取消，只能等款到我的银行卡后才可以取消，不过需要支付合同金额3980+上150元的违约金，我借款3000元钱站直接按3980回收我的本金这样合法吗，2.平台没有很明确的提示我借3000元，本金多出来的980元是那些费用，3.我现在就是想在没有之前取消借款，还有就是这样的平台合</t>
  </si>
  <si>
    <t>投诉人陈先生投诉对象钱站涉诉金额5000元问题类型诉求类型投诉详情本人因为资金问题在钱站平台上借款5000元，一直以为是三个月还完的，然后也联系了在线的客服，也是说了一堆听不懂的，后面就不理人了。</t>
  </si>
  <si>
    <t>2019/10/03 15:03:47</t>
  </si>
  <si>
    <t>打电话说两点前处理，钱不够跟他说晚一点，两点五十分左右直接给亲戚朋友打电话辱骂他人。</t>
  </si>
  <si>
    <t>2019/10/03 15:03:33</t>
  </si>
  <si>
    <t>爆我通讯路，和我身边朋友打电话，严重影响我的朋友正常生活，必须做出赔偿，。</t>
  </si>
  <si>
    <t>2019/10/03 15:03:14</t>
  </si>
  <si>
    <t>当事人于2019年10月1日于如期分期申请贷款18000元整，10月2日收到由晋商银行贷出的人民币18000元整，但立即以“风险评估”和“担保费”名义在本人银行卡自动扣除900+1710元整，按照《中华人民共和国合同法》第二百条“借款的利息不得预先在本金中扣除，利息预先在本金中扣除的，应当按照实际借款数额返还借款并计算利息”规定，该行为涉嫌构成以其他形式提前扣除贷款本金的行为，特申请退回此两笔合计2610元“砍头息”，如无法执行上述方案，当时人将按照法律规定贷款年化利率不超过36%的相关规定，按照本金为18</t>
  </si>
  <si>
    <t>2019/10/03 15:03:10</t>
  </si>
  <si>
    <t>因本人家人生病，导致资金紧张逾期，微粒贷就暴力催收，群发发短信骚扰，威胁恐吓说要上门，爆通讯录，上班期间骚扰我，导致工作丢失，此举已经影响我的工作和生活。</t>
  </si>
  <si>
    <t>2019/10/03 15:02:53</t>
  </si>
  <si>
    <t>佑佑分期借钱时显示3天还，但是没有显示利息，而下款后却直接显示要还款1500元，这个利息严重超过国家标准，要求停对我的骚扰，更改借款利息。</t>
  </si>
  <si>
    <t>2019/10/03 14:59:25</t>
  </si>
  <si>
    <t>还款当天不扣款，还不了款，强制逾期6天，又可以还款了，打电话联系客服不处理，让我自己承担逾期费，平台强制逾期为什么要我承担，请求处罚平台，退回逾期费，谢谢。</t>
  </si>
  <si>
    <t>2019/10/03 14:58:04</t>
  </si>
  <si>
    <t>借款期限12个月，借款合同年利率为36%，咨询服务协议单独列出每月收借款本金的1.2821%作为服务费，提前结清手续费固定为180元，逾期违约金固定为100元每期，为什么借的时候没说到现在来说反过来才发现这样的话，在只考虑本金、利息、服务费的情况下，本人每月实际需付679.7，实际利率已经高达60.86%，远高于国家规定的红线36%，如果加上提前结清手续费、逾期费用等，则会更高，因利息太高，已经还了8期，希望提前结清时能减免提前结清手续费，跟客服沟通态度极差，还说不是所有的利息计算都是同一个方法，如果发现利</t>
  </si>
  <si>
    <t>2019/10/03 14:57:30</t>
  </si>
  <si>
    <t>用钱宝借3000砍700.之前协商11月处理，突然反悔，打电话骚扰威胁，辱骂家人，恐吓。</t>
  </si>
  <si>
    <t>2019/10/03 14:56:57</t>
  </si>
  <si>
    <t>急用钱包扣款，150投诉请求退款，谢谢聚投诉，感谢。</t>
  </si>
  <si>
    <t>2019/10/03 14:56:01</t>
  </si>
  <si>
    <t>贷款3000一个月还3800多，还完款，就贷不出来了。</t>
  </si>
  <si>
    <t>2019/10/03 14:54:34</t>
  </si>
  <si>
    <t>开口就骂家人，短信炸通讯录已经连续炸了两天。</t>
  </si>
  <si>
    <t>2019/10/03 14:54:01</t>
  </si>
  <si>
    <t>给平台联系，一直推脱，威胁说给我家人联系，说过了会在两天内处理。</t>
  </si>
  <si>
    <t>2019/10/03 14:54:00</t>
  </si>
  <si>
    <t>从上午到现在就一直扣款失败，不知道去哪还款。</t>
  </si>
  <si>
    <t>2019/10/03 14:52:23</t>
  </si>
  <si>
    <t>黑心的马上金融，无缘无故扣我50，说我冲话费了，我27账单还完，重复扣款，扣527多，就剩下400多，你们竟然说是我自己冲了50话费，你们的马上只能一次冲100，请问我去哪里冲的，我把我账号上面的全部近期充值记录拉出来，求公证！每个账号你恶意扣50，全中国多少人！而且客服态度恶劣，给我每次回访就一次客服说话还挺好，六次电话都非说是我自己充值了话费！我的天啊，我至于吗50块钱去跟你客服拜齿3天！！！是我的一分都不能少，用你钱没给你利息。</t>
  </si>
  <si>
    <t>2019/10/03 14:51:11</t>
  </si>
  <si>
    <t>我来贷的贷款里捆绑保险销售，利息严重不符合国家标准，明显套路，多次联系众安保险退保未果，不给退，只说给补偿50元话费。</t>
  </si>
  <si>
    <t>2019/10/03 14:47:19</t>
  </si>
  <si>
    <t>小赢卡贷借款直接砍头息，天天借款一共做了两期砍头息收了2400多。</t>
  </si>
  <si>
    <t>2019/10/03 14:44:54</t>
  </si>
  <si>
    <t>借贷宝平台纵容高息短期贷款，本人从2019年3月26号以来借款12左右，已还本金及利息已有178400，仍有10500未还清，欠条都是7天周期，到手金额只有借款金额的70%–80%。</t>
  </si>
  <si>
    <t>2019/10/03 14:43:59</t>
  </si>
  <si>
    <t>9月30日到期，因银行卡限额，所以用对公账户还款，因节假日微博公司一直没有处理，催收从10月1日起一直电话微信骚扰，并且威胁恐吓诽谤本人，在国庆期间非法催收顶风作案，希望平台给我一个说法。</t>
  </si>
  <si>
    <t>2019/10/03 14:42:19</t>
  </si>
  <si>
    <t>每天打电话给我催收名叫罗开帅的欠款，本人并不认识罗开帅，已经解释多次但是平台还是已经每天有人打电话给我，对我的生活工作造成困扰。</t>
  </si>
  <si>
    <t>投诉人 伊先生        投诉对象  月光侠分期        涉诉金额  2 100 元    问题类型    诉求类型投诉详情  不给取消借款 过几天不用钱 不给取消钱到了也不还款 我还要报警</t>
  </si>
  <si>
    <t>2019/10/03 14:41:55</t>
  </si>
  <si>
    <t>10月2号晚上18:45分我提现完一笔小额以后显示提现支付功能关闭.打电话给客服咨询说要3个月后才能申请提现功能那我想问下我这笔钱拿不出来了吗我等着急用.望各位部门相关配合.让我支付宝功能提现功能恢复.而且还给我道歉.然后把钱拿出来.不然这事一直投诉到底.还说淘宝账号问题.我那个淘宝店铺啥时候开的我都不知道.。</t>
  </si>
  <si>
    <t>2019/10/03 14:41:30</t>
  </si>
  <si>
    <t>2019/10/03 14:41:04</t>
  </si>
  <si>
    <t>10月3号是还款日，我在10月1号就开始主动还款，一直显示二级商户没有可用渠道，开通了自动代扣，等到今天10月3日也显示代扣失败。</t>
  </si>
  <si>
    <t>2019/10/03 14:40:26</t>
  </si>
  <si>
    <t>小浦优客APP在我不知情的情况下在我的银行卡里扣走了296元。</t>
  </si>
  <si>
    <t>2019/10/03 14:40:18</t>
  </si>
  <si>
    <t>小黑鲨平台贷款，借款3000元，每10天还款一次1000元，首期就扣平台服务费660元，要求减免服务费。</t>
  </si>
  <si>
    <t>2019/10/03 14:39:59</t>
  </si>
  <si>
    <t>2019/10/03 14:38:33</t>
  </si>
  <si>
    <t>易宝支付跟套路贷砍头息的贷款商户合作，在本人不知情情况下为无良商家代扣黑心套路贷的砍头息。</t>
  </si>
  <si>
    <t>2019/10/03 14:37:34</t>
  </si>
  <si>
    <t>投诉人 孔先生        投诉对象  钱站        涉诉金额  1 000 元    问题类型    诉求类型投诉详情  到账慢 我不想借了 客服不给我取消</t>
  </si>
  <si>
    <t>2019/10/03 14:36:59</t>
  </si>
  <si>
    <t>在借款时没有看到合同和还款计划，而后在还款时APP无法打开，催收人员爆通讯录，后打开APP后查看合同发现：合同金额16990元，但实际到账13000元，分六期合计应还21581.7元，综合年化利率132%，在还款时向催收人员询问3990元款项为何和需要查看相关合同时，催收人员却爆通讯录，。</t>
  </si>
  <si>
    <t>2019/10/03 14:36:40</t>
  </si>
  <si>
    <t>投诉人 徐先生        投诉对象  活力花        涉诉金额  500 元    问题类型    诉求类型投诉详情  就因为手机掉家里 没有及时还款 连着打了几十个电话 座机 手机都有 ！还款意愿全无！</t>
  </si>
  <si>
    <t>2019/10/03 14:36:21</t>
  </si>
  <si>
    <t>投诉人李先生投诉对象拼多多涉诉金额3098元问题类型诉求类型投诉详情有骗子在网站上骗我投注时时彩，给我了一个二维码，然后让我扫码付款，我点了，我支付宝一看是拼多多商户，然后我还没反应过来的时候，钱就付出去了，但是拼多多没有任何提示，骗子网站是7207.com，是利用一个客服网站跟我联系的，当我在返回去的时候，已经联系不上客服了。</t>
  </si>
  <si>
    <t>2019/10/03 14:35:44</t>
  </si>
  <si>
    <t>第一期7天后还款2106.57元，第二期8天后还款917.51元。</t>
  </si>
  <si>
    <t>2019/10/03 14:35:19</t>
  </si>
  <si>
    <t>2019/10/03 14:34:27</t>
  </si>
  <si>
    <t>2017年朋友诱导下到顺德友信信贷公司借款10万元，合同写明利息加本金还款14980，每月还款4779.88元，分36期，计算后总金额达178020万元，存在欺骗借款问题，每月1-4日小时电话轰炸催款，软件写明4号18点前还款，4号9点就打电话给家人说我逾期收取高利息，我2017年10月到现在2019年10月已还款114720，每一期都没逾期，友信工作人员1-4号天天电话骚扰我说我要逾期。</t>
  </si>
  <si>
    <t>2019/10/03 14:33:54</t>
  </si>
  <si>
    <t>我媳妇在多宝分期借款6000，分4期15天一期，总还款额9595.2，已还款一期，联系客服要求协商还款本金，联系不上。</t>
  </si>
  <si>
    <t>2019/10/03 14:33:30</t>
  </si>
  <si>
    <t>投诉人 周先生        投诉对象  普惠快信,国银盛达        涉诉金额  35 500 元    问题类型    诉求类型投诉详情  一单10000元和一单9500的以结清。</t>
  </si>
  <si>
    <t>2019/10/03 14:32:54</t>
  </si>
  <si>
    <t>我在钱站进行二次贷款，二次贷没那么多的合约之类的，于是我就进行了贷款，他们APP也没有提示一些利息利率的详细说明，于是我就进行了贷款，没有想到利息这么高，远超合同上的28.5382%，借了总共1100元，需要还款2096.14元，我觉得我被套路贷了，希望能够解决。</t>
  </si>
  <si>
    <t>2019/10/03 14:32:52</t>
  </si>
  <si>
    <t>本人之前由于生意失败一时间无力偿还拍拍贷的借款，但在8月份资金有所缓解的时候，主动联系拍拍贷公司表示愿意协商还清款项，希望减免费用，也并留新的联系方式，之后工作人员坚决不能协调在没有任何通知的情况之下，曝光通讯录，向不熟悉或熟悉的人发布欠款，法务告知的文件，也多次骚扰他人，本人认为拍拍贷有收取贷款前期费用希望减免，并停止对他人继续骚扰和道歉，本人再次声明，8月份多次打电话拍拍贷公司比你们打给我的多，凭什么说我拒绝还款。</t>
  </si>
  <si>
    <t>2019/10/03 14:32:47</t>
  </si>
  <si>
    <t>我银行卡无故被你扣了3笔费用，这个钱你必须退给我，这样对待消费者，这样会遭报应的！。</t>
  </si>
  <si>
    <t>2019/10/03 14:31:59</t>
  </si>
  <si>
    <t>投诉人曾先生投诉对象造艺科技涉诉金额100元问题类型诉求类型投诉详情百事普惠恶意扣款100，元，还有199没扣，客服说还要扣，请求退款。</t>
  </si>
  <si>
    <t>2019/10/03 14:31:24</t>
  </si>
  <si>
    <t>我在2019年2月13日于佛山南苑机场被误导消费办理了一张与您同行的终身会员卡，希望注销个人信息并退回1380元消费款，具体缘由如下说明：我在2月13日早上到达佛山南苑机场办完登机牌后准备进入安检时便被柜台穿着制服的小姐姐叫住了，看穿着打扮便是航空公司的工作人员，过多次询问后她立即向我推出他们所谓的黑金会员卡坐飞机有着各种各样的优惠与方便,现在只需交纳1380就能激活，而且激活后还有赠送的1000元代金券，相当于此卡一共有2380，以后买票可以直接抵扣，拥有此卡也可以直接去贵宾室休息，因为时间原因本人着急登</t>
  </si>
  <si>
    <t>2019/10/03 14:30:57</t>
  </si>
  <si>
    <t>我根本就没有同意，莫名其妙就被扣了，客服电话也打不通。</t>
  </si>
  <si>
    <t>2019/10/03 14:30:12</t>
  </si>
  <si>
    <t>玖富万卡高利贷，污蔑人，谁不接电话了，没打电话过来就说联系不上，你们自己去查哪次电话打开没接，我还主动给你们留过手机号码让联系我，先前联系你们客服，你们客服不是说只会联系借款人本人，不会联系其他人的吗，该还的钱我一定会还，请你们做好自己的工作，有什么都可以打来电话沟通，我不会不接电话，如果因为你们公司的行为发生什么事情，你们负责，我一定不会善罢甘休。</t>
  </si>
  <si>
    <t>2019/10/03 14:28:56</t>
  </si>
  <si>
    <t>投诉人曾先生投诉对象喜鹊快贷涉诉金额18000元问题类型诉求类型投诉详情我的借款金额本金18000借款协议合同本金确是出25235，我想问一下还有7235本金哪里去了！你们相关部门不说清楚我就算是逾期我也不会还款的！。</t>
  </si>
  <si>
    <t>2019/10/03 14:28:30</t>
  </si>
  <si>
    <t>涉诉金额500元问题类型诉求类型投诉详情还没到还款时间。</t>
  </si>
  <si>
    <t>2019/10/03 14:28:24</t>
  </si>
  <si>
    <t>豹子贷APP恶意扣款299元，需要退款扣我299元，恶意扣款。</t>
  </si>
  <si>
    <t>2019/10/03 14:28:15</t>
  </si>
  <si>
    <t>本人通过立借APP一键申请青春宝贷款3000元，实际到账2250元，砍头750元，还款周期28天，7天一还，每期还款770.37元，超过法定利率，本人已经偿还3期，共计2311.11元，已还完本金，因本人债务爆发，无力偿还第四期账单，要求立借青春宝与本人联系协商还款。</t>
  </si>
  <si>
    <t>2019/10/03 14:28:07</t>
  </si>
  <si>
    <t>投诉人范先生投诉对象青春宝,信用管家,广州清辉网络科技有限公司涉诉金额2250元问题类型诉求类型投诉详情本人9月5日在信用管家推送借款青春宝2250，实际还款需要3080，每期770.37，利息远超国家标准，现最后期到期信用管家也无法还款，造成目前逾期一天，现要求平台协助合理本金加利息结清这期借款，停止恶意骚扰。</t>
  </si>
  <si>
    <t>2019/10/03 14:27:52</t>
  </si>
  <si>
    <t>砍头息，暴力催收，恶意骚扰，严重影响国庆期间生活工作。</t>
  </si>
  <si>
    <t>2019/10/03 14:27:05</t>
  </si>
  <si>
    <t>看到3点前联系我，协商还款，过时没钱，谢谢。</t>
  </si>
  <si>
    <t>投诉人肖女士投诉对象国美易卡涉诉金额619元问题类型诉求类型投诉详情暴力催收，威胁恐吓，骚扰通讯录，群发短信。</t>
  </si>
  <si>
    <t>2019/10/03 14:26:50</t>
  </si>
  <si>
    <t>投诉人蔡先生投诉对象花转转涉诉金额1400元问题类型诉求类型投诉详情还款了说没还还加五天逾期费350，请马上查明。</t>
  </si>
  <si>
    <t>2019/10/03 14:25:17</t>
  </si>
  <si>
    <t>投诉人 舒先生        投诉对象  交通银行信用卡        涉诉金额  20 000 元    问题类型    诉求类型投诉详情  暴力催收，史上最强。电话威胁，第三方上门。</t>
  </si>
  <si>
    <t>2019/10/03 14:24:29</t>
  </si>
  <si>
    <t>投诉人范先生投诉对象重庆美团三快小额贷款有限公司涉诉金额9000元问题类型诉求类型投诉详情由于本人住院中美团生活费不予理睬暴力催收不协商。</t>
  </si>
  <si>
    <t>2019/10/03 14:24:22</t>
  </si>
  <si>
    <t>投诉人 胡先生        投诉对象  立借        涉诉金额  3 000 元    问题类型    诉求类型投诉详情  立借平台爆通讯录，骚扰亲朋好友，性质恶劣。</t>
  </si>
  <si>
    <t>2019/10/03 14:23:54</t>
  </si>
  <si>
    <t>催收人员违法催收，跟本人造成很大的困扰，家人还在住院！。</t>
  </si>
  <si>
    <t>2019/10/03 14:22:27</t>
  </si>
  <si>
    <t>本人于2018年12月5日在微信号“S.Queen玥萱.??，??”的推荐下购买了“创和小镇”平台里“S.Queen皮肤管理”商家的2000代金券，微信号“S.Queen玥萱.??，??”作为“S.Queen皮肤管理”的联系人承诺购买此产品可全额返款，但是至今为止返款进度非常之慢，在长达10个月的时间里，返款进度才到10分之一；现我与微信号“S.Queen玥萱.??，??”协商退款事宜，但“S.Queen玥萱.??，??”提出要扣取我百分之二十五的费用！我认为这不合理，所购买的产品我一次也没试用过，毫无损害商家利益，平台应</t>
  </si>
  <si>
    <t>2019/10/03 14:22:06</t>
  </si>
  <si>
    <t>转入资金开通白条，资金转入了，白天没开通，资金也转不出来完了。</t>
  </si>
  <si>
    <t>2019/10/03 14:18:40</t>
  </si>
  <si>
    <t>朋友在这个平台有借款，因为遇到了些事情钱被骗走了很多也丢了工作没能力还款，你们平台就暴力催收打到我这里来，也打了好几通严重影响到了我的生活工作，你们这种公司和黑社会的有什么区别，我也看了我朋友的贷款计划，在你们那里借了两万，居然需要还款三万两千多，典型高利贷，以建议朋友走法律程序！。</t>
  </si>
  <si>
    <t>投诉人郑女士投诉对象及贷,智享贷涉诉金额1700元问题类型诉求类型投诉详情当时看及贷利息不高就申请借了一个1700的借款，随后收到了一个叫智享贷1360的转账，再看及贷app就显示借款成功了，一个月期满还1751！这样的话就收了我391的利息了！放款的时候并没有告知我会收取这340块钱砍头息！逾期第一天催收就打遍通讯录联系人！现在威胁我不还就要骚扰我的家人…。</t>
  </si>
  <si>
    <t>2019/10/03 14:18:29</t>
  </si>
  <si>
    <t>本人8月26日在立借借款10000元，显示十二期，结果放款后显示三期就要还完12600，后面9期每期还111，致电立借客服态度差并且不予减免利息，现要求立借联系我调整利息一次结清，如不解决，家人就立案起诉处理。</t>
  </si>
  <si>
    <t>2019/10/03 14:18:16</t>
  </si>
  <si>
    <t>我在10月03号早上9点多购买代充商品，可是两个小时过去也没有到货，想取消订单的时候说在备货，无法取消订单，客服也不说话。</t>
  </si>
  <si>
    <t>2019/10/03 14:18:00</t>
  </si>
  <si>
    <t>投诉人詹女士投诉对象水莲金条涉诉金额10000元问题类型诉求类型投诉详情曾在正规渠道下载水莲金条APP现已无法打开，在苹果商店和华为应用商城正规渠道无法再次查看APP，现我已无法知道剩余期数，无法进行还款，手机号也已变更，更无从查看。</t>
  </si>
  <si>
    <t>2019/10/03 14:17:56</t>
  </si>
  <si>
    <t>10月2号晚上八点半，携程APP上订购珠海西苑酒店，20:34扣款成功885元，其中银行卡支付881.04元，支付宝集分宝支付3.96元，，但是携程APP上一直显示未支付，后打酒店电话查询说未查到我这笔订单，让找携程，从20:40开始一直打携程电话95010和在APP上找在线客服，但一直联系不上，后面从我下单过后半个小时，订单就显示失效和删除订单，后面一直在联系携程，但一直未联系上，于3号早上才打通携程客服电话，却告诉我订单已成功，没法退，因为一直以为这订单没成功，已经重新做了计划安排，此酒店已确定不要了，</t>
  </si>
  <si>
    <t>2019/10/03 14:17:37</t>
  </si>
  <si>
    <t>投诉人 裴先生        投诉对象  小当家        涉诉金额  900 元    问题类型    诉求类型投诉详情  骚扰威胁爆通讯录，国庆顶风作案，无视法纪</t>
  </si>
  <si>
    <t>2019/10/03 14:17:22</t>
  </si>
  <si>
    <t>投诉人黄先生投诉对象数来宝涉诉金额4000元问题类型诉求类型投诉详情4000元到手2880，逾期直接打联系人电话。</t>
  </si>
  <si>
    <t>2019/10/03 14:16:57</t>
  </si>
  <si>
    <t>微信支付永久冻结，无法提现零钱，也无法申请解封。</t>
  </si>
  <si>
    <t>2019/10/03 14:16:25</t>
  </si>
  <si>
    <t>申请中不知不觉被扣走了299元，纯套路要严办。</t>
  </si>
  <si>
    <t>2019/10/03 14:15:32</t>
  </si>
  <si>
    <t>借5000砍头息1000不知情的情况扣的，每月还1750左右，要求还本金加国家规定利息。</t>
  </si>
  <si>
    <t>2019/10/03 14:15:16</t>
  </si>
  <si>
    <t>我是河北省石家庄的一名居民我姓张，去年购买的喜悦系列太阳雨牌太阳能，从9月份开始太阳能总是自动上水，水位还有75%就上水，洗澡时候经常是刚关闭水龙头就自动上水，本来水是热的一下子全部变凉，无法洗澡了，9月15号开始向厂家反映，一直没有人上门维修，更恶劣的是厂家一直未给答复，客户态度不好，我家太阳能在质量保证期内，厂家就是拖延时间不给修，想拖过质量保证期。</t>
  </si>
  <si>
    <t>2019/10/03 14:14:33</t>
  </si>
  <si>
    <t>投诉人 江女士        投诉对象  嘀嗒出行        涉诉金额  150 元    问题类型    诉求类型投诉详情  车主迟到 害我没有及时赶上动车 并且预约的是本田车 结果车主开了一个五菱宏光来</t>
  </si>
  <si>
    <t>2019/10/03 14:14:25</t>
  </si>
  <si>
    <t>整天打电话来说要告我，起诉，利息高，我不是不还，他们说自己公司有人大代表后台，语言攻击我，让我不还，就想听我说不还钱他们才高兴，还钱还不乐意，电话打了没说明白就挂电话，打进去又不是同一个人，网络骚扰电话，利息也是非常高的，不讲理。</t>
  </si>
  <si>
    <t>2019/10/03 14:13:47</t>
  </si>
  <si>
    <t>在还款日就开始暴力崔收，而且利用鼎泰鑫催收公司进行短信威胁我！。</t>
  </si>
  <si>
    <t>2019/10/03 14:13:44</t>
  </si>
  <si>
    <t>安享宝平台打不开，嗨钱网还款还不了，芒果筹之前还不了款，支付宝转账显示账户被封，现在可以还了，产生高额利息。</t>
  </si>
  <si>
    <t>2019/10/03 14:12:49</t>
  </si>
  <si>
    <t>投诉人 万先生        投诉对象  京东商城        涉诉金额  6 299 元    问题类型    诉求类型投诉详情  我与8.20日预定一台华为手机。26号支付尾款显示29号发货。至今未发出。今天询问客服得知需要半个月才能发货。相当于我买一部手机要等一个月。严重影响到消费者权益</t>
  </si>
  <si>
    <t>2019/10/03 14:10:43</t>
  </si>
  <si>
    <t>立借上面的万金海涉嫌套路贷，之前已经进行过投诉，4600元借款结果下款的时候只收到3220元，28天分四期还款，每期7天，每期需要还款1181.28现在本人已经还了3期共计3543.84元，上次投诉已经说明了还款已经超过了本金加国家规定的36的利息红线，最后一期要求销账处理，今天收到万金海不停的电话骚扰，要求归还最后一期，这种高炮的骚扰行如不停止，本人将直接向公安机关举报！现在要求停止骚扰销账最后一期。</t>
  </si>
  <si>
    <t>2019/10/03 14:09:37</t>
  </si>
  <si>
    <t>小花钱包还没到期就开始电话催收，第二天开始群发短信威胁！像你们投诉了也没用，依然暴力催收。</t>
  </si>
  <si>
    <t>2019/10/03 14:09:35</t>
  </si>
  <si>
    <t>我在他们平台有借款，但是从来没有逾期，都是按时还款，但是最近不知道是怎么回事一到还款日整天不停的电话骚扰，有时候还了钱他们不看系统还是继续电话骚扰，严重影响了生活……望有关部门整顿……借钱还债天经地义，但是别人签订的借款协议没有违约，借款没有逾期，这样整天电话骚扰不仅会破坏自己公司的名声，也确实影响别人正常生活。</t>
  </si>
  <si>
    <t>2019/10/03 14:08:54</t>
  </si>
  <si>
    <t>平安i贷故意隐藏已借款记录、已还款记录、借款合同和协议！不让用户查看！，《关于规范整顿“现金贷”业务的通知》明确规定：不得撮合或变相撮合不符合法律有关利率规定的借贷业务；禁止从借贷本金中先行扣除利息、手续费、管理费、保证金以及设定高额逾期利息、滞纳金、罚息等，平安普惠利用普通民众对于金融和法律政策不清等情况下，利用平安普惠，平安普惠担保，平安陆金所，平安财产险等旗下机构，进行虚假宣传，设计类似”套路贷”等贷款产品，，旗下平安普惠业务员通过隐瞒，诱导等方式忽悠普通民众在其平安普惠平台贷款；其对外宣传利息低至八</t>
  </si>
  <si>
    <t>2019/10/03 14:08:37</t>
  </si>
  <si>
    <t>他们提供的退款渠道已经过了2个月，我申请的退款一点的都没有回来，也不和我聊，甚至客服都不回我信息。</t>
  </si>
  <si>
    <t>2019/10/03 14:08:30</t>
  </si>
  <si>
    <t>银行卡余额充足的情况下，点击还款的时候一直提示扣款失败，联系客服让我线下转账去，我们有理由保持担忧，希望平台帮助解决，不然马上到逾期日期，造成的影响很大，希望平台帮忙解决。</t>
  </si>
  <si>
    <t>2019/10/03 14:08:28</t>
  </si>
  <si>
    <t>投诉人 包先生        投诉对象  钱伴        涉诉金额  1 700 元    问题类型    诉求类型投诉详情  5号还款日因国庆假期 工资延迟发放 联系钱伴在线客服想延迟到10号 但是在线客服不给商量的余地</t>
  </si>
  <si>
    <t>2019/10/03 14:08:25</t>
  </si>
  <si>
    <t>投诉人宋女士投诉对象小霸王涉诉金额2000元问题类型诉求类型投诉详情小霸王暴力催收，链接打不开，一个月后暴力催收，时间过长，请求不还款，暴力威胁，根本未接着电话，打的电话全是境外的，未有国内电话，还给了个电话也不知真假132******81，具体金额我忘了，到账本金不是实际借款金额。</t>
  </si>
  <si>
    <t>2019/10/03 14:07:00</t>
  </si>
  <si>
    <t>投诉人农先生投诉对象钱站,华夏银行涉诉金额1000元问题类型诉求类型投诉详情高利贷砍头息虚假合同。</t>
  </si>
  <si>
    <t>2019/10/03 14:06:55</t>
  </si>
  <si>
    <t>我都记不清什么时候在这个软件申请过贷款，平台软件早就删除了，全程没有被告知需要支付296元服务费，而且当时我卡里也一分钱没有，如果需要支付服务费，我是绝对不可能主动点击的，现在都不知道过了几天，今天刚存入卡里的2300元，在没有任何告知和我本人确定的前提下就突然给我绑定的银行卡扣除了296元费用，我真是人都要炸了，此APP在未经过我允许情况下，强行扣除我银行卡的钱，这种平台大家都清楚，不管能不能借款申请的时候都需要绑卡，所以开通了快捷支付，但是我未在此平台主动进行过任何交易行为，这是赤裸裸的强买强卖行为，我</t>
  </si>
  <si>
    <t>2019/10/03 14:06:39</t>
  </si>
  <si>
    <t>下载一款上海吉跃公司的一款app叫拇指下款然后莫名其妙被扣299给客服打电话一直说抱歉不给退还不知道怎么办了恳求做出处罚并退款已经不是我这一个案例了给客服打电话不给处理。</t>
  </si>
  <si>
    <t>2019/10/03 14:06:13</t>
  </si>
  <si>
    <t>投诉人孙先生投诉对象拼多多涉诉金额30元问题类型诉求类型投诉详情作为拼多多商家，我有缴纳平台每笔订单的服务费，且有购买运费险，我是拼多多平台的消费者，可是平台在处理售后问题时，不履行拼多多平台应该履行的职责，在消费者不退货的情况下擅自把资金退给消费者，并且扣除商家资金，这样的事情并不是我一个人身上发生的，比比皆是，那么我花钱买的运费险是摆设，我的消费者在申请仅退款而不退货的情况下我拒绝了，消费者直接要求平台介入，平台二话不说就直接退款给买家，那么我的货谁赔，我的快递费谁承担，要求拼多多对我发出的2个订单做出</t>
  </si>
  <si>
    <t>贷上钱平台借4500一个月到期要还5800超期1天还再继续收费！每天用不同的网络电话持续不断骚扰恐吓威胁我还有我的家人，催收客服态度十分恶劣不停的威胁恐吓。</t>
  </si>
  <si>
    <t>2019/10/03 14:05:38</t>
  </si>
  <si>
    <t>拍拍贷短信App及电话都未通知导致本人逾期并爆通讯录，而当我要还款时App频繁扣款未成功且因国庆无法联系到客服，而催收人员却可以打我通讯录其他人！合同明白写着第三方有义务保密，且另一笔扣款合同显示金额和还款日期都不一致，合同写的是10-10扣款172，却在3号扣款196，涉嫌阴阳合同！App的消息也都是活动消息没有任何逾期通知，短信也一样，电话可能有但是都是网络电话被手机拦截导致本人未及时收到通知而逾期，App也未有任何客服及电话联系方式，还是通过宝付支付提供给我，这么大一个公司这么差的服务居然而且还骚扰，</t>
  </si>
  <si>
    <t>2019/10/03 14:05:25</t>
  </si>
  <si>
    <t>借款2700元，实际到账1890元，期限一个月，这种砍头息没人管吗。</t>
  </si>
  <si>
    <t>2019/10/03 14:04:58</t>
  </si>
  <si>
    <t>月13号在钱站上借款5000元，实际到款5000元，每月要还1650.49元，要还6个月，7月30号因为觉得利息太高，想提前还款，结果总共还了9690.36元，借了不到半个月，结果多还了4690.36元，钱站这样的高炮平台现在还存在，要求退款高额的砍头息利息部分。</t>
  </si>
  <si>
    <t>2019/10/03 14:04:40</t>
  </si>
  <si>
    <t>本人未申请过浦发银行信用卡，今日浦发银行发来一条降低额度信用，请问浦发银行审核面签这一块的漏洞是有多大，别人盗用我的身份信息，都能通过，如果什么法律责任，与本人无关。</t>
  </si>
  <si>
    <t>2019/10/03 14:04:18</t>
  </si>
  <si>
    <t>因为上月周转不过来资金，我在马上消费金融一笔账单逾期了10天，我没有说不处理，我主动联系过他们客服，想要协商一下还款时间，但是刚刚给我来电话说再不处理，他们会外包给第三方上门催收，我在想，如果上门催收，给我造成影响，丢了工作，没有收入来源，后续的还款我又要怎么还。</t>
  </si>
  <si>
    <t>2019/10/03 14:04:05</t>
  </si>
  <si>
    <t>我因为手头资金周转困难，钱站打电话给我要求我还款，我说了原因，我把困难说出来了，也说10好左右就还上，但是钱站的人非要我今天解决把钱还上，逾期才一天，变相威胁我要爆我通讯录，电话一天十几个。</t>
  </si>
  <si>
    <t>白条分期不提供贷款，只提供智能推荐，承诺智能推荐的被拒就全额退款，已申请8家公司均被拒，但现在却不退款了。</t>
  </si>
  <si>
    <t>2019/10/03 14:03:39</t>
  </si>
  <si>
    <t>或者最低最低还款，现在是太难了，我也不可能拆东墙补西墙的了，这东西的确意志力不好的人容易陷进去。</t>
  </si>
  <si>
    <t>2019/10/03 14:02:05</t>
  </si>
  <si>
    <t>2017年9月1日孙希涛本人邮政银行卡62****************2被联动优势福建资金归集莫名扣走1万元。</t>
  </si>
  <si>
    <t>2019/10/03 14:01:36</t>
  </si>
  <si>
    <t>2019/10/03 14:00:49</t>
  </si>
  <si>
    <t>投诉人马先生投诉对象带上钱涉诉金额12000元问题类型诉求类型投诉详情贷上钱平台长期以购买游戏金豆为名，在贷款上收取高额砍头息，实则为高利贷行为，百度钱包为其提供第三方支付，用于扣款高额游戏豆也就是砍头息。</t>
  </si>
  <si>
    <t>2019/10/03 14:00:11</t>
  </si>
  <si>
    <t>2019/10/03 14:00:06</t>
  </si>
  <si>
    <t>714高炮，由于本人现在工资没到账，跟客服沟通要求4点半还钱，客服人员恐吓，要求4点之前还款。</t>
  </si>
  <si>
    <t>2019/10/03 13:58:05</t>
  </si>
  <si>
    <t>本人于9月6日从牛人有品借款，金额2200，分两期，15天一期，实际到账1584元，本人第一期已经还款1122元，10月6日最后一期还需要还款1122，利息超高，本人要求最后偿还500元销账，如果不行，我将继续升级投诉，包括当地公安部门，扫黑办等。</t>
  </si>
  <si>
    <t>2019/10/03 13:57:02</t>
  </si>
  <si>
    <t>贷上钱平台借4500一个月到期要还5800！每天用不同的网络电话持续不断骚扰恐吓威胁我。</t>
  </si>
  <si>
    <t>2019/10/03 13:56:44</t>
  </si>
  <si>
    <t>投诉人翟先生投诉对象中国银联涉诉金额2470元问题类型诉求类型投诉详情2019年10月3日上午10:30分左右，本人银行卡号为62****************1的工商银行卡被无缘无辜扣除了2470元，这时我想起了在10秒前接到的冒充闪银公司的工作人员找我要短信验证码，一开始我不相信，后来骗子还提供了我的个人身份证号，手机号以及银行卡号，然后我就相信了，把验证码给他后就发现银行卡里的2470元被转走了，已报警，希望银联可以撤销转账，本人的确是在不知情的情况之下被人骗取了验证码，望追回。</t>
  </si>
  <si>
    <t>很明显的虚假宣传诱导消费者，打了很多个电话给客服。</t>
  </si>
  <si>
    <t>2019/10/03 13:56:19</t>
  </si>
  <si>
    <t>合同上写借款3458，实际到账2600，三个月还，每个月1300多，算不算高利贷。</t>
  </si>
  <si>
    <t>2019/10/03 13:56:14</t>
  </si>
  <si>
    <t>投诉人 刘女士        投诉对象  熊大猫        涉诉金额  4 500 元    问题类型    诉求类型投诉详情  高利贷恐吓威胁，骚扰我的亲朋好友。发短信威胁！</t>
  </si>
  <si>
    <t>2019/10/03 13:54:35</t>
  </si>
  <si>
    <t>暴力催收侵犯我个人隐私盗取我通讯记录骚扰我家人朋友。</t>
  </si>
  <si>
    <t>2019/10/03 13:53:29</t>
  </si>
  <si>
    <t>10月8号携程订的吉隆坡飞香港机票，总价1531人民币，由于计划选择退票结果扣了1430手续费，仅仅只返还了101人民币，泰国国际航空吃像太难看，希望处理下。</t>
  </si>
  <si>
    <t>2019/10/03 13:53:04</t>
  </si>
  <si>
    <t>百事普惠胡乱扣费，未进同意自动购买评估报告。</t>
  </si>
  <si>
    <t>2019/10/03 13:52:50</t>
  </si>
  <si>
    <t>投诉人胡先生投诉对象菜鸟有钱涉诉金额1500元问题类型诉求类型投诉详情收取高额利息，还没到期就开始打电话辱骂，并对亲友手机号码进行短信轰炸。</t>
  </si>
  <si>
    <t>2019/10/03 13:51:53</t>
  </si>
  <si>
    <t>无缘无故被酷宝支付扣款，现在也联系不上客服。</t>
  </si>
  <si>
    <t>2019/10/03 13:51:45</t>
  </si>
  <si>
    <t>今天看到了短信，可是我并没有操作任何支付他们款项的地方，也没有购买意向，只是填了个资料就强制扣费了。</t>
  </si>
  <si>
    <t>2019/10/03 13:51:41</t>
  </si>
  <si>
    <t>连连支付,连连科技,51短期贷,Y小贷,北京月租宝科技有限公司，法人：刘亚文；企业信用代码：9****************4，非法参与金融贷款，收取砍头息，实行套路贷，涉嫌集资融资，自设资金池；连连银通为其提供违规支付渠道代为扣款，参与获利，本人查询到该公司并无放贷资质，也未持有金融牌照，而是一家技术推广服务；经济贸易咨询；企业管理咨询；企业管理；市场调查；家庭劳务服务；清洁服务，但是，该公司却在2017年违规参与小额贷款，每笔额度1000元，砍头息190元，到账810元，借款周期7天，一周后还款106</t>
  </si>
  <si>
    <t>2019/10/03 13:51:21</t>
  </si>
  <si>
    <t>10月3日，12时50分别被百度特约从农业银行刷走188.72元，请平台帮助追回，并请对方解释道歉，停止违法活动。</t>
  </si>
  <si>
    <t>2019/10/03 13:51:03</t>
  </si>
  <si>
    <t>和信息就扣除我的钱啊！没有任何提示说要什么手续费的。</t>
  </si>
  <si>
    <t>2019/10/03 13:50:35</t>
  </si>
  <si>
    <t>贝贷您本期应还121.61元，最晚今天内还款，请备足资金存入尾号为的卡，如未及时还款导致逾期将可能影响到个人信用,还款戳，真可笑，给人家发信息还威胁人家，我就是不还，爱咋咋地，让你威胁爆我隐私，让我还钱，处非你给我赔偿跟道歉，，要不然不可能，。</t>
  </si>
  <si>
    <t>2019/10/03 13:50:06</t>
  </si>
  <si>
    <t>多次询问客服解决办法，客服以规定为由多次拒绝，且不给本人合理的解决方案，本人在此，需求将300退还至本人账户内，或是现金钱包内。</t>
  </si>
  <si>
    <t>2019/10/03 13:49:11</t>
  </si>
  <si>
    <t>本人在2018年7月至2019年2月间，向融360贷款平台的蛋花花借款2次，每次借款1500，，变相砍头息20%，所购商品均为三无商品，3.15后了解这是违规放贷，现要求归还本人变相砍头息部分600元，本人愿意归还已购三无商品，请贵平台帮助保障受害借款人的正常合法权益，为受害人主持公道！！。</t>
  </si>
  <si>
    <t>2019/10/03 13:47:55</t>
  </si>
  <si>
    <t>交通银行客服服务态度极度恶劣，未经我允许拨打我信用卡预留电话以外通讯录电话，对我进行恐吓，对我通讯录好友进行骚扰。</t>
  </si>
  <si>
    <t>2019/10/03 13:47:08</t>
  </si>
  <si>
    <t>打开APP还款，根本还不上一直还款失败就要逾期了，已经试了很多天都是这样一直还款失败！银行卡里面有钱就是一直还不上，都快逾期了不知道该怎么办！。</t>
  </si>
  <si>
    <t>2019/10/03 13:46:56</t>
  </si>
  <si>
    <t>今天下午看到了短信，可是我并没有操作任何支付他们款项的地方，也没有购买意向，只是想申请贷款。</t>
  </si>
  <si>
    <t>2019/10/03 13:46:54</t>
  </si>
  <si>
    <t>及贷,万汇投资管理有限公司,广州璟诚担保有限公司，及贷变相收取服务费，借款合同写的年利率16.482，实际利率36，其实按正规算法早已超过36！而且合同写的提前还款提前3天打电话给客服，客服居然解释提前还款是让我一期一期点起还完，没有利息减免，那这个提前还款的意义在哪。</t>
  </si>
  <si>
    <t>2019/10/03 13:46:14</t>
  </si>
  <si>
    <t>投诉人张先生投诉对象瑞卡租车,深圳瑞卡租车有限公司,携程涉诉金额613元问题类型诉求类型投诉详情[cp]本人于2019年10月2日下午16时通过携程小程序下单租车，由于比较着急就马上下单付款了，，在该过程的相关条款我并没有勾选同意，都是系统默认勾选的，我觉得这么重要的信息是不是要以比较显眼的方式提醒消费者，本以为是当日用车，可是小程序默认的是次日早上10时取车，然后先致电给瑞卡取车门店，瑞卡店员让我联系携程客服，然后通过客服的提示取消了订单，在确认取消前，我本人并不知道取消规则，然后携程就发信息给我说是扣除</t>
  </si>
  <si>
    <t>2019/10/03 13:44:24</t>
  </si>
  <si>
    <t>玩西瓜视频有段日子了，充值打赏钻石数五十多万，这次小孩子乱按造成误充值两万元人民币，只是协商平台退款，我个人会另行充值其他金额，回复给我平台没有任何退款和逆向兑换，个人觉得这是霸王条款，请处理退款，改善服务。</t>
  </si>
  <si>
    <t>2019/10/03 13:43:19</t>
  </si>
  <si>
    <t>聚福钱包恶意扣款了200元，请求退款，这笔钱对我很重要，谢谢。</t>
  </si>
  <si>
    <t>2019/10/03 13:42:49</t>
  </si>
  <si>
    <t>在闪银里面的产品，哼哼借了1200元，不知道怎么出来个白条两个155元，310元的产品，第三天就要还，联系客服说不要商品，客服说不可以退，商品就是随便给你一袋零食，。</t>
  </si>
  <si>
    <t>2019/10/03 13:42:38</t>
  </si>
  <si>
    <t>投诉人王女士投诉对象起来嗨涉诉金额2800元问题类型诉求类型投诉详情申请贷款2800实际到账2088，十五天一期，每期居然归还1482，利息高得吓人。</t>
  </si>
  <si>
    <t>2019/10/03 13:41:31</t>
  </si>
  <si>
    <t>投诉人张先生投诉对象易博国际网站51866k.com涉诉金额23000元问题类型诉求类型投诉详情彩票网站51866k.com存在，首先把你拉进微信群，群里有个计划导师叫你跟着买彩票稳赚，一开始我还以为是正规平台、到后来我才知道是被p了，被为p金额23000，希望各导领彻底打击这个犯罪团伙。</t>
  </si>
  <si>
    <t>2019/10/03 13:40:01</t>
  </si>
  <si>
    <t>刚买的aj拿到手就发现明显的，鞋头开胶，和侧边开胶，这样的瑕疵品都能卖给客户，良心何在，我掏一千多块钱，就是为了买你们瑕疵品。</t>
  </si>
  <si>
    <t>2019/10/03 13:39:55</t>
  </si>
  <si>
    <t>本人逾期了十几天，打电话给客服说明了情况，不是不还钱，有钱了肯定还，我在慢慢找人借，给几天时间，这两天在老家干农活，看看能不能收点水稻卖了把你们这个钱还进去，可是这个催收的一直打电话，发信息，威胁恐吓，我又不是不还钱，哪次打电话我没接，为什么还要爆我的通讯录，为什么还要来我户籍地，把我欠款的事让所有人知道，一个村几千人都知道了我就有钱了吗，我在努力搞钱还，逾期利息你们可以收，但是爆通讯录只能是鱼死网破，我做生意亏了几十万，现在家里可以说是家徒四壁，亲戚都怕我家，一但你们做出这种事，我可以说，我只能靠去自杀来</t>
  </si>
  <si>
    <t>2019/10/03 13:38:16</t>
  </si>
  <si>
    <t>在2017年8月28日被中移电子商务有限公司，在不知情的情况下银行卡签约，同日被莫名扣走1万元。</t>
  </si>
  <si>
    <t>2019/10/03 13:38:00</t>
  </si>
  <si>
    <t>投诉人 丁先生        投诉对象  白条分期        涉诉金额  199 元    问题类型    诉求类型投诉详情  申请退款 平台拒绝 希望能退款的。 本人因扣费后软件登入不上了前日找回链接</t>
  </si>
  <si>
    <t>2019/10/03 13:37:57</t>
  </si>
  <si>
    <t>现在还需要还2100多，现在家人生病无力承担那么多的利息，希望可以协商减免结清欠款，老家农村可能会信号不好，电话不通加微信182******82，本人是有诚意还款的，希望贵公司可以协商。</t>
  </si>
  <si>
    <t>2019/10/03 13:37:52</t>
  </si>
  <si>
    <t>金鸡下蛋、肥猫贷、均有高额砍头息如借2000实际到账为1400、借1500到账1200、催缴还款时态度特别恶劣，本人无奈已多次延期，并且多次协商还款本金不同意，该公司为高利贷平台提供支付渠道本人已经收集资料准备上诉金融协会，以上app下款方均为汇潮支付，该公司为高利贷平台提供支付渠道，本人已经收集资料准备上诉金融协会，。</t>
  </si>
  <si>
    <t>2019/10/03 13:36:14</t>
  </si>
  <si>
    <t>投诉人 陈女士        投诉对象  宝付支付        涉诉金额  1 949 元    问题类型    诉求类型投诉详情  未曾使用过宝付这个快捷支付 无原因扣了我的款？？</t>
  </si>
  <si>
    <t>2019/10/03 13:35:28</t>
  </si>
  <si>
    <t>自由摩卡里头的超级马力贷借款2000款，以收取会员费为名变相砍头息500元，且借款期限仅有30天不到，违反国家法定利息，属于高利贷，现希望本金销账。</t>
  </si>
  <si>
    <t>2019/10/03 13:35:25</t>
  </si>
  <si>
    <t>本身454.5元的票，智行扣了我502.5元，没有任何依据就扣了50元，欺诈消费者。</t>
  </si>
  <si>
    <t>2019/10/03 13:34:57</t>
  </si>
  <si>
    <t>投诉人 马女士        投诉对象  小浦优客        涉诉金额  296 元    问题类型    诉求类型投诉详情  不分缘故的扣费是不是有失一个公司的信誉度</t>
  </si>
  <si>
    <t>2019/10/03 13:33:14</t>
  </si>
  <si>
    <t>逾期以后不给我本人打电话，一直都是骚扰朋友，搞得朋友工作都没心情，整天跟我这埋怨，我就想知道不给欠钱的打电话是啥意思。</t>
  </si>
  <si>
    <t>2019/10/03 13:32:52</t>
  </si>
  <si>
    <t>陌单app里面，交易失败后定金只能退到陌单账户里，并不能提现到自己的微信支付宝账户里面。</t>
  </si>
  <si>
    <t>2019/10/03 13:32:05</t>
  </si>
  <si>
    <t>钱站的催收一天到晚发短信威胁说什么要调取我的资料，回过去他们又收不到，还一天到晚说我不愿意处理。</t>
  </si>
  <si>
    <t>2019/10/03 13:30:50</t>
  </si>
  <si>
    <t>小咪花5天高利贷，借款1950还款3150，严重违规违法，多次联系客服无效，还款方式：中行～周浩。</t>
  </si>
  <si>
    <t>2019/10/03 13:30:31</t>
  </si>
  <si>
    <t>一共借了两万一，平台分两笔款帮我下款的，本来就是借错了，下款当天我都要还给他们，已经电话主动联系他们至少两次，在线联系多次，他们没有回复我，当时借款看不到合同，现在打开APP我都打不开合同内容呢。</t>
  </si>
  <si>
    <t>2019/10/03 13:30:29</t>
  </si>
  <si>
    <t>10.1号注册小浦优客，没有任何借款通过！10.3号间隔一天无故扣款！没有任何电话通知也没有短信提醒！直接扣款！！退款！！。</t>
  </si>
  <si>
    <t>2019/10/03 13:30:02</t>
  </si>
  <si>
    <t>投诉人 张先生        投诉对象  小哪吒,水莲金条        涉诉金额  2 000 元    问题类型    诉求类型投诉详情  本人通过某平台借款 下载小哪吒app 借款2000到账1300 两天一期 通用看到是和水莲金条同一平台 本人愿退还款项 不借了</t>
  </si>
  <si>
    <t>2019/10/03 13:29:36</t>
  </si>
  <si>
    <t>10月1日早上8点的顺风车订单，已经拼车成功，但是拼单完成后没有按照相关规则退回预付款差价，联系在线客服提示有相关规定，后联系电话客服，工号85142被告知无法查询到订单，工号84073被感知无法处理，服务态度极其恶劣！请贵公司核实具体情况，尽快给我一个满意的答复！。</t>
  </si>
  <si>
    <t>2019/10/03 13:28:49</t>
  </si>
  <si>
    <t>9月30日，我在钱橙无忧贷款平台贷款钱借不到还要扣168块自动扣费网上我也看了也有其他人投诉</t>
  </si>
  <si>
    <t>2019/10/03 13:27:58</t>
  </si>
  <si>
    <t>各种电话及微信骚扰、恐吓、威胁，在借款初期扣除两千多手续费，并且在借款明细中不体现，套路贷。</t>
  </si>
  <si>
    <t>2019/10/03 13:27:41</t>
  </si>
  <si>
    <t>本人在9月5日通过自由摩卡，信用计划借款2000元，交了360元前期费用，实际到账1640元，期限一个月，还款2050元，超过国家规定利息，现本人无力偿还，要求联系我协商本金加合理利息消帐，现在国庆严打期间，协商不好我会继续向上级投诉，保留证据。</t>
  </si>
  <si>
    <t>2019/10/03 13:27:12</t>
  </si>
  <si>
    <t>逾期第一天，差不多1个小时打一次电话，问钱到账了没，什么时候还。</t>
  </si>
  <si>
    <t>2019/10/03 13:26:43</t>
  </si>
  <si>
    <t>平安公司旗下的壹钱包于2019年10月2号10点未经本人同意无故扣除我建行资金1000元钱保险费，之前我从未在壹钱包买过任何一份保险，望壹钱包给个说法并全额退款给我，请务必受理此投诉。</t>
  </si>
  <si>
    <t>2019/10/03 13:26:39</t>
  </si>
  <si>
    <t>本人在9月4日借款2160元，实际到账金额为1555.2元，还款时却要求分2期每期还款1104.02元。</t>
  </si>
  <si>
    <t>2019/10/03 13:24:55</t>
  </si>
  <si>
    <t>投诉人 朱先生        投诉对象  聚福钱包        涉诉金额  299 元    问题类型    诉求类型投诉详情  未经同意私自扣我银行卡299元。打客服电话不予退款</t>
  </si>
  <si>
    <t>2019/10/03 13:22:55</t>
  </si>
  <si>
    <t>投诉人 李女士        投诉对象  聚福钱包        涉诉金额  150 元    问题类型    诉求类型投诉详情  9月16号下载聚福钱包 未经允许乱扣费 因为那张卡当时只有100元 扣除我100元后 还通知我将继续扣除我剩余的199元 21号那张卡有淘宝店铺退款 前脚退 后脚就扣除我50元 现那张卡没用了 希望此次投诉 聚福钱包将扣除我150元的钱退给我</t>
  </si>
  <si>
    <t>2019/10/03 13:22:20</t>
  </si>
  <si>
    <t>投诉人 李先生        投诉对象  百事普惠        涉诉金额  100 元    问题类型    诉求类型投诉详情  本来想贷款 临时不需要了 然后就莫名其妙扣了100 操作过程中需要填写银行卡号和取钱密码 真的坑</t>
  </si>
  <si>
    <t>2019/10/03 13:20:38</t>
  </si>
  <si>
    <t>高利贷，催收态度恶心，恐吓，工号我都有证据，我有录音，有需要我可以提供。</t>
  </si>
  <si>
    <t>2019/10/03 13:20:33</t>
  </si>
  <si>
    <t>本人使用浦发银行信用卡已经一年多，一直都是按时还款，从来没有过逾期，但是这一年多了，一次提额都没有过，甚至取现额度还给我降低了，万用金更是不见踪影，我就想知道，到底在浦发银行什么样的人才能被提额，我的要求不多，多多少少你给我提一点，2000块钱的额度够干嘛的，用不用又有什么区别。</t>
  </si>
  <si>
    <t>2019/10/03 13:20:24</t>
  </si>
  <si>
    <t>以贷款名义私自扣取本人卡内钱财，现在要求还回本人钱财。</t>
  </si>
  <si>
    <t>2019/10/03 13:20:14</t>
  </si>
  <si>
    <t>高利贷、今天是最后一期分期还款日、主动还款失败、客服联系给了一个银行账号、我们有理由不相信！客服说等相信了再还款！态度恶劣！本金到账6000、总还9587.2，已经超出本金1196.4！要求销帐！本来觉得最后一期还完就算、但是客服的态度实在不能接受！。</t>
  </si>
  <si>
    <t>2019/10/03 13:19:04</t>
  </si>
  <si>
    <t>本人在微品分期贷款2300，加上服务费一个月要还2900，今天就是还款日，可是银行卡也没自动划扣，app也打不开，客服电话打通一次说要把原app卸载了再安装，照着做可也是闪退打不开无法还款，然后再一直打客服电话就没人接，要求微品分期赶快处理，不要造成我逾期。</t>
  </si>
  <si>
    <t>2019/10/03 13:18:49</t>
  </si>
  <si>
    <t>投诉人 李凡        投诉对象  智行火车票        涉诉金额  611 元    问题类型    诉求类型投诉详情  昨日订的酒店没有确认，住不成功也无法退款。马上20个小时还没有解决问题。客服打不通，人工客服忙。钱还没有退，然后酒店的日期马上就要过去了。第一天的已经结束了，还没有退钱。</t>
  </si>
  <si>
    <t>2019/10/03 13:18:44</t>
  </si>
  <si>
    <t>在京东2018年7月20号购买的机械革命Z2到今年5月出现故障，键盘背光没有、键盘失灵，自动重复打字、没有外接电源开机立即自动关机、7月维修好到9月出现相同问题，相同问题用了一天又出现开机蓝屏在没有外接电源还是一样自动关机、这么多问题，现在直接不能使用，抱着好奇的态度在网上查了一下，不查不知道一查才知道网友反馈都这样的问题，京东售后只接受维修、什么问题到他们哪里就变成另外的问题了！现在不相信这个机械革命了更不能相信京东不维护客服权益、现在只想退货退款维护自己合法权益，如果电话联系请在每天下午五点之后其他无时</t>
  </si>
  <si>
    <t>2019/10/03 13:16:34</t>
  </si>
  <si>
    <t>投诉人 江先生        投诉对象  钱站,华夏银行        涉诉金额  1 000 元    问题类型    诉求类型投诉详情  借款1000元，分3期，要还1800多元。远远超过国家规定的最高利率</t>
  </si>
  <si>
    <t>2019/10/03 13:15:47</t>
  </si>
  <si>
    <t>投诉人向先生投诉对象上海游族信息技术涉诉金额288元问题类型诉求类型投诉详情本人在游族网络公司旗下玩少年三国志其中道具游戏卡了自动用掉我没有得到任何奖励，其中包含我今天充值288元的红包，客服一句后台无法核实就不管了，我冲的钱动打水漂，这还有王法吗?。</t>
  </si>
  <si>
    <t>2019/10/03 13:15:19</t>
  </si>
  <si>
    <t>或者帮我把这个12期改成6期，6期每期也是200多，真不想产生太多额外的费用，协商一下行吗。</t>
  </si>
  <si>
    <t>2019/10/03 13:15:18</t>
  </si>
  <si>
    <t>不看账单不知道，一看吓一跳，怎么就突然无缘无故扣了800多。</t>
  </si>
  <si>
    <t>2019/10/03 13:13:32</t>
  </si>
  <si>
    <t>本人在2018年10月从百度金融有钱花借出47000元，一直正常按时还款，因工作原因导致本期欠款未能全额还款，，今天百度金融催收在不经过同意的情况下违法获取家人信息并联系家人进行催收，并告知讲寄出法院传票到当地派出所，严重影响个人形象，本人已经承诺今天下午6点以前还款，但是催收依然骚扰家人，威胁家人，并对本人进行侮辱，说借款去干违法乱纪的事情，希望取消百度金融催收，并且道歉，侵犯个人隐私权，剩余欠款将逐步还清。</t>
  </si>
  <si>
    <t>2019/10/03 13:13:28</t>
  </si>
  <si>
    <t>收取服务费，收取服务费，收取服务费，收取服务费，。</t>
  </si>
  <si>
    <t>2019/10/03 13:13:17</t>
  </si>
  <si>
    <t>希望不要有太多的人被骗了，国美泄露个人信息过分至极。</t>
  </si>
  <si>
    <t>2019/10/03 13:13:13</t>
  </si>
  <si>
    <t>之前万用金一直正常使用，总共36期已偿还30期，八月查出宫外孕手术后查出肿瘤，现无力按照合同承担相应还款金额想与贵行协商能否将卡片停用所有欠款分期在每个月3000左右来偿还，可提供医院诊断证明。</t>
  </si>
  <si>
    <t>2019/10/03 13:13:10</t>
  </si>
  <si>
    <t>新橙优品逾期费一天35，经投诉有官方人员联系处理，可是联系还没处理好就没有后文了，导致我的逾期一直存在。</t>
  </si>
  <si>
    <t>2019/10/03 13:13:09</t>
  </si>
  <si>
    <t>投诉人林先生投诉对象qq涉诉金额40元问题类型诉求类型投诉详情此人通过代单加我，后我付款于他，跑路，删除好友。</t>
  </si>
  <si>
    <t>2019/10/03 13:12:49</t>
  </si>
  <si>
    <t>欠费100多，冲值200，只扣一部分冲值剩下的变专用话费，不能扣欠款，要继续冲值。</t>
  </si>
  <si>
    <t>2019/10/03 13:12:12</t>
  </si>
  <si>
    <t>深圳市恒富创融科技有限公司于2019年10月3号11点37分48秒无故扣取本人银行卡内168元款项，本人强烈要求退还本人款项168元人民币。</t>
  </si>
  <si>
    <t>2019/10/03 13:12:10</t>
  </si>
  <si>
    <t>威力贷均有高额砍头息如借2000实际到账为1400、借1500到账1200、还款一周期2-7天，催缴还款时态度特别恶劣，本人无奈已多次延期，并且多次协商还款本金不同意，以上app下款方均为汇潮支付，还款为支付宝还款。</t>
  </si>
  <si>
    <t>2019/10/03 13:11:15</t>
  </si>
  <si>
    <t>立借说好分期十二期，但是前三期就已经把钱和利息都收回去了，本来就是因为缺钱才借的，借了5500.结果第一个月就需要还五千多。</t>
  </si>
  <si>
    <t>2019/10/03 13:11:13</t>
  </si>
  <si>
    <t>每个月2号还款，每个月2号没到，平安普惠金融客服人员就开始威胁恐吓，没逾期就说逾期了，要爆通讯录，辱骂贷款人和其亲属，要求赔礼道歉。</t>
  </si>
  <si>
    <t>2019/10/03 13:10:48</t>
  </si>
  <si>
    <t>北京快乐时代科技发展有限公司，来分期平台对我违规催收，其催收人员对我进行恐吓威胁，声称要上门，让我准备好，他们要告知我的亲朋好友。</t>
  </si>
  <si>
    <t>2019/10/03 13:09:24</t>
  </si>
  <si>
    <t>app不能登陆，今天是还款日，绑定签约的银行卡有充足金额也不去扣款，这样造成逾期算谁的责任！。</t>
  </si>
  <si>
    <t>2019/10/03 13:08:28</t>
  </si>
  <si>
    <t>钱站催收恶意，国庆期间严重打扰到我家里人通讯录的正常作息时间，事先我联系过客服不予协商，现在催收恶毒电话都是辱骂性质，还威胁我家人上门，。</t>
  </si>
  <si>
    <t>2019/10/03 13:08:18</t>
  </si>
  <si>
    <t>宙斯钱包714平台，威胁我，要爆我通讯录，高利贷，砍头息。</t>
  </si>
  <si>
    <t>2019/10/03 13:07:39</t>
  </si>
  <si>
    <t>投诉人 李先生        投诉对象  小象优品        涉诉金额  566 元    问题类型    诉求类型投诉详情  逾期3天 本人电话畅通 并承诺马上还款 还打紧急联系人电话</t>
  </si>
  <si>
    <t>2019/10/03 13:07:32</t>
  </si>
  <si>
    <t>无缘无故扣款299，还借不到钱，找客服退钱不给退！！！。</t>
  </si>
  <si>
    <t>2019/10/03 13:06:30</t>
  </si>
  <si>
    <t>本人于2019年10月3日在智行火车票购买酒泉到兰州火车票一张，买票时没有出现任何购买加速包的页面提示和付款及付款数额提示，只是显示分享好友加速，购买成功后直接从微信绑定的银行卡扣除费用，发现多扣40元，查明明细发现购买了加速包一份，存在误导与不提前告知消费者行为，并且此前本人用过该APP，并无发生过此现象。</t>
  </si>
  <si>
    <t>2019/10/03 13:04:48</t>
  </si>
  <si>
    <t>本人因某种原因暂无还款能力，马上消费金融已经逾期了，他们就对我展开暴力催收，威胁我本人，骚扰我父母，爆我的通讯录，丝毫不顾及别人的感受，其行为无耻至极！我已说明我的情况，并没有逃避不还，只是真的暂时没有还款能力，可是没钱每天电话轰炸催收和骚扰我就能变出钱来了吗已经严重影响了我的生活并毁坏了我的名誉，我要求马上消费金融立即停止任何骚、扰和威胁，不得再骚扰我父母和通讯录朋友给我一个满意解释与道歉。</t>
  </si>
  <si>
    <t>2019/10/03 13:02:00</t>
  </si>
  <si>
    <t>2018年2月10日在玖富万卡申请的33000元贷款。</t>
  </si>
  <si>
    <t>2019/10/03 13:01:51</t>
  </si>
  <si>
    <t>今天早晨七点多的时候看短信有一条扣款信息，上面显示小通商城消费619元，当时我就感觉不对，我也没没在上面消费过，而且贷款代扣也没有这个小通商城，然后就打电话给银行客服，客服也说不出个所以然，只是问我有没有贷款到期的，我自己的贷款还款时间我都知道的，从来没有这个小通商城扣款的，而且客服还说在9月23号还扣了两笔，我一查还真是的，之前可能没注意，我在网上查了一下什么原因，结果有好多人都在自己不知道什么消费的情况下扣款的，而且也联系不上客服，这个属于盗刷银行卡啊，希望有关部门能管管，在今天这个法治社会上，这也太嚣</t>
  </si>
  <si>
    <t>2019/10/03 13:01:33</t>
  </si>
  <si>
    <t>肥猫贷与客服协商无果，借款1400，5天还款2000，要求归还本金，客服道歉，支付渠道，汇潮支付联系方式：962110，还款方式为支付宝，客服qq号793648800。</t>
  </si>
  <si>
    <t>2019/10/03 13:00:09</t>
  </si>
  <si>
    <t>投诉人 关女士        投诉对象  51信用卡管家,51人品贷        涉诉金额  2 831 元    问题类型    诉求类型投诉详情  近期实在还不上知道不经协商 威胁暴力催款</t>
  </si>
  <si>
    <t>2019/10/03 12:59:10</t>
  </si>
  <si>
    <t>投诉人 王先生        投诉对象  小浦优客        涉诉金额  296 元    问题类型    诉求类型投诉详情  小浦优客恶意扣款 什么时候扣的都不知道而且没有输入任何密码</t>
  </si>
  <si>
    <t>2019/10/03 12:59:05</t>
  </si>
  <si>
    <t>不是很满意，所以改签抢票又交了一份票，改签成功后结果就退了改签之前上铺的差价，剩下的都没有退，然而12306官网上已经显示剩下的钱退款成功了，而智行确说还没有退款迟迟不退我钱。</t>
  </si>
  <si>
    <t>2019/10/03 12:58:55</t>
  </si>
  <si>
    <t>小浦优客app申请借款，按步骤填写资料，然后最后要求绑定银行卡，绑定完成就开始审批，过了一会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</si>
  <si>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2019/10/03 12:55:27</t>
  </si>
  <si>
    <t>今日10：39分建行短信提醒有一笔1237.5的无卡自助消费，经联系建行客服查证是名为，，中智还款的公司扣的款项，但是这个公司没有联系过我，也没有给我任何的消费明细，就恶意盗刷我的银行卡，行为令人发指，现希望此单位尽快给予退款！。</t>
  </si>
  <si>
    <t>2019/10/03 12:54:09</t>
  </si>
  <si>
    <t>本人通过呗呗分期的推广短信，下载了该app，于10月1日借款1200元，仅3天时间就产生息费300元，共需要归还1500元，该利息远超国家合法利息，是国家严打的高炮平台，在国庆当天呗呗分期依旧顶风作案，正常放款，汇潮支付为其提供放款通道实属助纣为虐，催收还款日当天称12点不还就要采取措施爆通讯录，现要求以合法利息加本金销账。</t>
  </si>
  <si>
    <t>2019/10/03 12:53:25</t>
  </si>
  <si>
    <t>没到还款日就一直打电话催催催催，有病吧，逾期的话再打电话不行吗。</t>
  </si>
  <si>
    <t>2019/10/03 12:53:01</t>
  </si>
  <si>
    <t>投诉人王越投诉对象建设银行信用卡涉诉金额50000元问题类型诉求类型投诉详情信用卡额度50000，8月份还最低还款7188，扣除利息以后可用额度剩余5346.85。</t>
  </si>
  <si>
    <t>2019/10/03 12:52:42</t>
  </si>
  <si>
    <t>昨天想网贷，然后就下载了豹子贷，输入了验证码，后来看着挺麻烦的，也就把豹子贷卸载了，然而今天上午无缘无故的从银行卡里面扣了299元，他说这是购买了个人风险等级估评报告，我现在想把钱退过来，我就打人工客服，她说这是自愿的，不能退款，一直在解释这个报告的问题。</t>
  </si>
  <si>
    <t>2019/10/03 12:52:31</t>
  </si>
  <si>
    <t>在月光侠分期借款3300到账2310每月还款1155.26分三期。</t>
  </si>
  <si>
    <t>2019/10/03 12:51:40</t>
  </si>
  <si>
    <t>152******94，小浦优客在我不知情况下乱扣钱。</t>
  </si>
  <si>
    <t>2019/10/03 12:49:06</t>
  </si>
  <si>
    <t>2019/10/03 12:48:56</t>
  </si>
  <si>
    <t>融360平台里的好分期贷款app涉嫌砍头息，私自扣押部分贷款，5000贷款1000作为押金砍掉头息500到手3500。</t>
  </si>
  <si>
    <t>2019/10/03 12:48:41</t>
  </si>
  <si>
    <t>我要投诉微众银行微粒贷催收员对我进行暴力违法催收，威胁恐吓爆通讯录，说要上门通知家人朋友帮忙还钱，对我生活工作造成严重影响，)《中华人民共和国网络安全法》中明确指出网络运营者不得泄露、篡改、毁损其收集的个人信息以及未经被收集者同意，不得向他人提供个人信息，要求当事催收员对我进行赔礼道歉，消除影响，停止骚扰，对我本人进行停催，并解释清楚是用什么样的途径获取本人通讯录的，关于爆通讯录的录音不知道怎么上传，有需要请联系，同时，任何个人和组织不得窃取或者以其他非法方式获取个人信息，不得非法出售或者非法向他人提供个人</t>
  </si>
  <si>
    <t>2019/10/03 12:48:01</t>
  </si>
  <si>
    <t>投诉人 吴女士        投诉对象  小浦优客        涉诉金额  296 元    问题类型    诉求类型投诉详情  乱扣费，这个软件都没听过，突然就扣费。电话也没人接</t>
  </si>
  <si>
    <t>2019/10/03 12:47:45</t>
  </si>
  <si>
    <t>投诉人王先生投诉对象钱橙无忧涉诉金额168元问题类型诉求类型投诉详情钱橙无忧，已经都不知道是哪个平台了，也没借到过钱，今天居然无缘无故被扣款，也联系不上。</t>
  </si>
  <si>
    <t>2019/10/03 12:46:15</t>
  </si>
  <si>
    <t>按时还款了，还是逾期，一直电话骚扰我说我逾期了。</t>
  </si>
  <si>
    <t>2019/10/03 12:46:05</t>
  </si>
  <si>
    <t>立借平台高利贷乱收费，借6500，逾期十几天要还9945，其中收取费用没有任何解释，尤其“其他”这一项让人误解，，而且分12期归还，前三期要还4224,2827,2242剩余9期归还72，分期不合理，催收人员协商态度强硬，根本没有协商的余地，只能按照他们说的来，得不到解决，要求平台取消利息以外其他费用，正常收取本金+利息！。</t>
  </si>
  <si>
    <t>2019/10/03 12:45:41</t>
  </si>
  <si>
    <t>投诉人 孙女士        投诉对象  奥特莱斯        涉诉金额  1 800 元    问题类型    诉求类型投诉详情  态度恶劣，不理解，霸王条款，互相推诿。商家和商场</t>
  </si>
  <si>
    <t>2019/10/03 12:43:34</t>
  </si>
  <si>
    <t>9月30日，我在钱橙无忧贷款平台贷款钱借不到还要扣168块自动扣费网上我也看了也有其他人投诉，本人基于人与人之间的基本信任，点击了确认，但此平台直接跳过了密码支付，本人并未在此平台开通过免密支付，经等待后，该平台的审核一直处于第一阶段，人工客服又一直繁忙，审核不批，钱款不退，该平台大概是张以这种无赖的方式侵吞我等的财产，钱橙无忧侵犯了我等的合法权益，希望聚投诉平台能给我们一个合理的说法并追回我们损失的财产！。</t>
  </si>
  <si>
    <t>2019/10/03 12:43:03</t>
  </si>
  <si>
    <t>注销账户跟贷款手续一样要身份证正反面还要手持身份证拍照。</t>
  </si>
  <si>
    <t>2019/10/03 12:42:53</t>
  </si>
  <si>
    <t>我于9月22日在想有钱借款1100元，截止目前，已经还款2000元，他们还要我还款1500元，另外汇潮支付为高利贷提供支付通道目无国家法律，请他们给我一个说法，我不能接受这种高利贷行为，另外汇潮支付为高利贷提供支付通道，目无国家法律，请他们给我一个说法。</t>
  </si>
  <si>
    <t>2019/10/03 12:42:21</t>
  </si>
  <si>
    <t>佑佑分期借款1100，三天还款1500，3天利息400严重高利贷该产品还款方式为支付宝，放款渠道为汇潮支付，渠道联系电话：962110，多次联系不上佑佑分期客服，要求归还本金，销账。</t>
  </si>
  <si>
    <t>2019/10/03 12:41:57</t>
  </si>
  <si>
    <t>10月28日，联系客服他们给了我一个快递单号，是顺丰的！我打电话给顺丰客服，他们说这个快递单号是空的，压根不存在，后来我就申请了退款，蚂蚁之家客服说今天会处理，结果今天就拒绝了退款，然后我联系他们客服，他们客服又把那个所谓的快递单号发给了我，我联系了拼多多电话客服，把具体问题告诉了他们，结果拼多多客服态度极其敷衍！。</t>
  </si>
  <si>
    <t>2019/10/03 12:41:30</t>
  </si>
  <si>
    <t>套路贷！一天利息70、借一千二、到账八百！每周还款吓人、威胁恐吓。</t>
  </si>
  <si>
    <t>2019/10/03 12:41:02</t>
  </si>
  <si>
    <t>一是迟迟不下款，本来就是应急用的，自己都已经解决问题了，要么就下款，要么直接取消订单，给我账号注销。</t>
  </si>
  <si>
    <t>2019/10/03 12:40:30</t>
  </si>
  <si>
    <t>进行贷款申请资料完善，绑定银行卡后自动签订《授权扣款服务协议》，在未提醒对象进行生成评估报告是需要299元的费用时进行银行卡强制扣款，该平台并没有达成贷款申请，而且评估报告并不真实只是违法收费的幌子，评估费并不合理，现要求聚富分期平台立即退还299所谓的评估费。</t>
  </si>
  <si>
    <t>2019/10/03 12:39:16</t>
  </si>
  <si>
    <t>到了还款日，还款不成功，银行卡绑定不了，支付宝还款又不提供账号，而且恶意造成逾期，我这叫有钱还不进去！。</t>
  </si>
  <si>
    <t>2019/10/03 12:38:52</t>
  </si>
  <si>
    <t>我是2019年10月2日晚上在唯品会用我的唯品花买的苹果手机，第二天也就是今天唯品会克服给我打电话，我在睡觉，手机静音就没接上，后来我醒过来后看到未接，然后我登录我的唯品会手机自动退款了，还有我的唯品花永久暂停使用，不至于吧，我用唯品会已经是几年了，接不上电话，无缘无故就暂停使用唯品花，我真的是奇了怪了，一直特别喜欢支持唯品会，这次太让我失望了，求解决。</t>
  </si>
  <si>
    <t>2019/10/03 12:37:46</t>
  </si>
  <si>
    <t>交通银行信用卡催收部门，是我见过软暴力催收最厉害的，问他是外包还是银行内部，他不告诉你就是气SI你，截止今天逾期快两期的真实经历~原来公司拖延发工资，导致逾期，我接催收电话，我承认会履行还款义务，协商处理欠款，但是交通银行无间断暴力催收，无休止从早上8点半到晚上8点的每天12小时骚扰，每天不间断10个以上电话轰炸，，威胁恐吓要调查我的公司工作岗位，要给我所以亲朋好友打电话调查我的经济能力，我只是因为换工作，未能及时偿还，在与我协商还款期间就给我亲朋友好友打了电话，这是算个什么事呀，导致我前两个月不敢接听任何</t>
  </si>
  <si>
    <t>2019/10/03 12:37:13</t>
  </si>
  <si>
    <t>百事通惠在没有告知我的情况下，恶意扣款150，后续还会扣149，我慌不择路，选择了在百度贴吧寻找解决办法，最后付了30元，请求他人帮我退款，我想曝光这个贴吧和这两QQ，以及找回我的退款.。</t>
  </si>
  <si>
    <t>2019/10/03 12:36:29</t>
  </si>
  <si>
    <t>汇潮支付为肥猫贷提供放款渠道，支付宝为其提供还款渠道，本人续期费用远远高于本金，希望可以销账处理。</t>
  </si>
  <si>
    <t>2019/10/03 12:35:55</t>
  </si>
  <si>
    <t>本人于2019年5月25日在信用钱包借款12000元分12期，每期还款1360元，名义年利率36%，真实年利率达到66.5%，已严重超过法定年利率24%的标准，且本人向信用钱包申请提前结清未还本金并免除未还息费，遭到该平台拒绝，其要求可以结清但是后期息费仍然收取，借12000元4个月时间居然要还4320元息费，月利率达到惊人的9%，这不是赤裸裸的高利贷吗，本人要求信用钱包为本人提供一次性提前结清所有借款并免除剩余8期的所有息费并出具结清证明！。</t>
  </si>
  <si>
    <t>2019/10/03 12:34:42</t>
  </si>
  <si>
    <t>在美团外卖购买的外卖会员红包到期时间在国庆长假内，因回老家，不在常驻地，希望美团给延长使用时间。</t>
  </si>
  <si>
    <t>2019/10/03 12:34:37</t>
  </si>
  <si>
    <t>10月2号下载了小浦优客app申请贷款在里面填写了资料绑定银行卡，里面没有说明有这个费用，然后我就卸载了这个app，今天就收到短信从我卡里面扣了296元，客服电话也打不通，要求全额退还296元。</t>
  </si>
  <si>
    <t>2019/10/03 12:33:26</t>
  </si>
  <si>
    <t>招联金融不联系本人，频繁骚扰亲人，朋友严重影响工作生活，一天不停的打电话骚扰，已经对工作造成的影响，一天逾期费20多，请有关部门调查，给以道歉，继续骚扰亲友不排除保留录音，短信证据走法律途径。</t>
  </si>
  <si>
    <t>2019/10/03 12:33:23</t>
  </si>
  <si>
    <t>当时借了2000也到帐了2000今天去钱站上看了借钱合同却写了借钱2660可我只收到了2000却要总共还3600多，要多还1600明显超过国家的规定！同时还存在阴阳合同欺诈受害者！要求钱站给个说法！要么免除660要么再补齐660！。</t>
  </si>
  <si>
    <t>2019/10/03 12:33:13</t>
  </si>
  <si>
    <t>还没到时间就开始电话催收，现在第二天直接短信威胁，黑色会惹不起。</t>
  </si>
  <si>
    <t>2019/10/03 12:32:15</t>
  </si>
  <si>
    <t>投诉人陈先生投诉对象雅鹿,雅鹿控股股份有限公司,南通意尔达纺织品有限公司涉诉金额0元问题类型诉求类型投诉详情购买雅鹿石墨烯暖绒被套&amp;nbsp;扫码没有该货物任何证明&amp;nbsp;以及商标&amp;nbsp;电话也是虚假号码&amp;nbsp;打电话是某官方家长电话&amp;nbsp;卖家一再表明是雅鹿品牌&amp;nbsp;扫码出来的是游戏码&amp;nbsp;赌博码&amp;nbsp;强烈要求商家解释&amp;nbsp;不管价格多少钱&amp;nbsp;品牌价就是品牌价&amp;nbsp;不是品牌&amp;nbsp;宁可不要也不要便宜假货。</t>
  </si>
  <si>
    <t>2019/10/03 12:31:02</t>
  </si>
  <si>
    <t>本人十天前订了酒店，今天入住前酒店说与公司停止合作无法入住，联系飞猪可说给我解决方案，二十分钟内打电话联系，都等一个小时了还没打电话处理。</t>
  </si>
  <si>
    <t>2019/10/03 12:30:41</t>
  </si>
  <si>
    <t>小浦优客app申请借款，按步骤填写资料，然后最后要求绑定银行卡，绑定完成就开始审批，过了一天短信直接提示扣除296元个人信用报告费用，可是之前申请步骤并没有说明有这个费用也没说过要收费，正规贷款也不应该有前期费用，涉嫌违规欺诈，因为不知道会有这种情况发生，申请过程没有截图。</t>
  </si>
  <si>
    <t>2019/10/03 12:30:27</t>
  </si>
  <si>
    <t>本人通过云闪付支付充值3000元，本以为通过中国银联正规线上支付是正规彩票机构，后来才知道是非法境外购彩平台得知被骗，和支付清算协会沟通得知第三方支付业务应审核客户的相关信息，第三方支付业务公司不得向证券，期货，博彩等机构提供支付结算业务，通过中国人民银行，中国银联，和支付清算协会沟通得知，第三方支付业务应审核客户的相关信息，第三方支付业务公司不得向证券，期货，博彩等机构提供支付结算业务，作为有牌照的支付公司没有履行国家结算通道的义务，即产生了非法洗钱的嫌疑，金融机构客户身份识别和客户身份资料及交易记录保存</t>
  </si>
  <si>
    <t>2019/10/03 12:30:19</t>
  </si>
  <si>
    <t>暴力催收，5天期限，到账1400还款2000，联系不上客服，销账，该平台通过支付宝还款，聚合支付渠道联系方式：95016。</t>
  </si>
  <si>
    <t>2019/10/03 12:29:59</t>
  </si>
  <si>
    <t>本人通过想有钱的推广短信，下载了该app，分别于8月31日、9月20日、9月25日借款1100元，仅3天时间就产生息费400元，共需要归还1500元，该利息远超国家合法利息，是国家严打的高炮平台，汇潮支付为其提供放款通道实属助纣为虐，催收还款日当天称12点不还就要采取措施爆通讯录，迫于压力分别于9月27日、29日和1日进行展期，共1200元。</t>
  </si>
  <si>
    <t>2019/10/03 12:28:23</t>
  </si>
  <si>
    <t>小蒲优客未经同意扣款服务费296元.要求其平台全额退款。</t>
  </si>
  <si>
    <t>2019/10/03 12:28:08</t>
  </si>
  <si>
    <t>本人愿实名举报：本人承诺以上举报符合事实，另附带有证据：短信证据，录音证据，视频证据！因平台原因三大证据将于法院起诉之时公开！本人2017年下半年在济南艺星整形医院做关于脸部的护理之类的业务，当天就缴纳了所有的费用，在几天里做了第一次，因为一共做两个项目，而我只做了一个，当时天黑了我也没注意仔细问，后来过了几天去问，当时该院的医生说的是第二个没法做，得过段时间，可是就这样拖到了2019年10月，昨天该院的某位医生给我来电话说，我当时缴纳完钱还没做第二个，让我去做，我说，你们都两年了才联系我做，你们当时可没这</t>
  </si>
  <si>
    <t>2019/10/03 12:28:04</t>
  </si>
  <si>
    <t>成都公司都已经找不到了，地图也没车辆可以使用！。</t>
  </si>
  <si>
    <t>2019/10/03 12:27:57</t>
  </si>
  <si>
    <t>我在小象有一笔10000分12期的借款，今天国庆节，小象的催收人员不断用各种境外电话拨打我手机，一直威胁我还款，就在上个月，小象的催收人员就已经爆了我的通讯录，这个月又这样，催收人员威胁我下午2点不还款就再次爆我的通讯录，国家70年国庆，这些恶劣分子又出来搞事情。</t>
  </si>
  <si>
    <t>2019/10/03 12:27:55</t>
  </si>
  <si>
    <t>投诉人李先生投诉对象Wecash闪银涉诉金额2312元问题类型诉求类型投诉详情闪银科技泄露个人信息，导致本人被盗刷2312元。</t>
  </si>
  <si>
    <t>2019/10/03 12:25:25</t>
  </si>
  <si>
    <t>曝光隐私！！私自骚扰通讯录联系人！！态度恶劣！。</t>
  </si>
  <si>
    <t>2019/10/03 12:24:51</t>
  </si>
  <si>
    <t>我是房东，10月2日在途家平台接到订单，因当时订单提示需要住客线下交给房东保洁费60元和押金500元，房东多次联系客人，客人不予理会，房东无奈只能联系平台，让平台联系客人，但是平台一直不回复房东怎么解决，房东联系平台客服，客服就一直很机械化的回复很空洞的语言，根本不作为，而且前后说话矛盾，刚接通咨询的时候说他们还没人跟进，被追问了又说已经有人跟进了，这让房东如何相信，现在我做为房东两点诉求：1、保洁费客人联系不上的，平台承担，2、必须道歉，并做出端口调整。</t>
  </si>
  <si>
    <t>2019/10/03 12:24:49</t>
  </si>
  <si>
    <t>我七月份新办理的手机卡，9月开始捷信的**玩意一直给打骚扰电话，每天上午9点到晚上7点，每个小时一个骚扰电话。</t>
  </si>
  <si>
    <t>2019/10/03 12:24:17</t>
  </si>
  <si>
    <t>投诉人梁先生投诉对象金鸡下蛋,想有钱,来花花,呗呗分期涉诉金额1400元问题类型诉求类型投诉详情时间没到，暴力催收，恐吓，电话通讯录骚扰等等。</t>
  </si>
  <si>
    <t>2019/10/03 12:24:14</t>
  </si>
  <si>
    <t>汇潮支付为来花花提供放款渠道，支付宝为其提供还款渠道，本人续期费用远远高于本金，希望可以销账处理。</t>
  </si>
  <si>
    <t>2019/10/03 12:23:49</t>
  </si>
  <si>
    <t>借款8900，分12期还，每期还款金额1008.67，总还金额高达12104，远远超出国家法定金额诉求。</t>
  </si>
  <si>
    <t>2019/10/03 12:23:37</t>
  </si>
  <si>
    <t>家里有一张银行卡平时没用，近期用的时候发现上面钱少了900多，根本不知道是怎么少的，去银行打清单只能看到每次被69，99的扣费，根本不知道是从哪里扣的，然后就把卡里的钱都取了出来，本以为这样就没事了，然后今天突然收到支付宝的短信，说有266的花呗要还款，那个支付宝账号是我爸手机号注册的，平时都没用，我上去查才发现，最近几个月一直再被这个友缘公司恶意扣费！！我们连这个友缘公司是什么东西都不知道！！他们开始从银行卡里扣费，后来银行卡没钱了，就从支付宝花呗扣费！！希望平台能帮忙讨回公道！！我爸五十多了，平时哪里会</t>
  </si>
  <si>
    <t>2019/10/03 12:23:19</t>
  </si>
  <si>
    <t>在天猫奥朵母婴旗舰店购买的湿巾全部没有生产日期保质期，但是天猫客服不予处理，并要求我提供凭证，我已经把商品拍视频发给客服了，所以投诉不成立，难道有质检报告就可以证明每一件商品都没有问题么，没有生产日期保质期的商品还在家里保存着，发票也已经下载好，12315已经投诉但是找不到商家地址已经拉倒经营异常名录，这样的商家为什么还可以在天猫平台继续售卖没有生产日期保质期的东西。</t>
  </si>
  <si>
    <t>2019/10/03 12:22:53</t>
  </si>
  <si>
    <t>投诉人 武先生        投诉对象  盈盈有钱        涉诉金额  3 000 元    问题类型    诉求类型投诉详情  因为本人工作没看手机 一中午打了十几个催收电话 还用私人电话联系我 我问她工号 她说凭什么告诉你 这就是催收的态度吗 还打电话给我老婆 我老婆怀着孕气的不行 我就想知道逾期一天爆通讯录是否合法</t>
  </si>
  <si>
    <t>2019/10/03 12:22:51</t>
  </si>
  <si>
    <t>本人借款5000元分9期利息高达1780.5不过已经无所为了我今天已经还齐了，早上9点催收电话来了说我已经逾期该还款了我说知道了，11点又来电话了问我我说现没钱还他说12点之前钱必须还上问我能不能还上我说下午行不行他说不行12点要是在没还上就打电话给你爸妈我说你这是要爆通讯录么，客服可笑的是还说经核实没有暴力威胁催收真是好笑啊我今天来投诉就是要让大家看看这是个什么样的平台。</t>
  </si>
  <si>
    <t>2019/10/03 12:22:38</t>
  </si>
  <si>
    <t>前几天投诉立借阴阳合同，借款显示等额本息，还款时要求前三期还完，并且本金6500，要还8840，利息已经违法，然后立借联系我给出的方案是，两天内还5000，加上之前我第一期还的3000多，加起来有8000多了，就是说不到一个半月要我还8000多，已经造成违法放高利贷，希望立借能在法律合理情况下给出方案，不然我将会到深圳银监局举报。</t>
  </si>
  <si>
    <t>2019/10/03 12:22:33</t>
  </si>
  <si>
    <t>投诉人何先生投诉对象钱橙无忧,恒富创融科技有限公司涉诉金额168元问题类型诉求类型投诉详情之前下载了这个软件，看到是导流借贷平台就没有继续操作一个贷款也没有看就删除了，今天莫名被扣款，在本人不知道没有同意的情况下无故扣款。</t>
  </si>
  <si>
    <t>2019/10/03 12:22:17</t>
  </si>
  <si>
    <t>也就是说此对于不经常用流量的客户才给于20元40g流量的开通。</t>
  </si>
  <si>
    <t>2019/10/03 12:22:09</t>
  </si>
  <si>
    <t>完全在我不知情的情况下，无缘无故的从银行卡上扣了296元！希望平台能帮助退回来！。</t>
  </si>
  <si>
    <t>2019/10/03 12:21:45</t>
  </si>
  <si>
    <t>被恶意软件恶意扣费刚注册时显示零元领三天vip，然后点击后诱导开启免密支付，开启后再次点击零元领三天vip时自动扣款两项vip费用，共计168元。</t>
  </si>
  <si>
    <t>2019/10/03 12:21:35</t>
  </si>
  <si>
    <t>高利息超过国家规定，借款6680，第一个月提前还款就要还7998，这已经超过国家的法律规定利息！要求调整，如果不调整拒绝还款！。</t>
  </si>
  <si>
    <t>2019/10/03 12:21:25</t>
  </si>
  <si>
    <t>百事普惠恶意扣款150元，提示还有150没扣，好变态。</t>
  </si>
  <si>
    <t>2019/10/03 12:20:59</t>
  </si>
  <si>
    <t>利息高于百分之24达到了百分之30提前还清不允许照收利息。</t>
  </si>
  <si>
    <t>2019/10/03 12:20:43</t>
  </si>
  <si>
    <t>1.我在自由魔卡魔卡信用计划借款2000，需要购买会员350，利息50元，实际到账1600，属于国家严厉打击的高利贷利息本人已不能承担，2.本人已经多次续期借款，利息早就超过国家法律规定！。</t>
  </si>
  <si>
    <t>2019/10/03 12:20:40</t>
  </si>
  <si>
    <t>9月18日起，聚福钱包，私自在我不知情的情况下，在我银行卡扣299元人民币，至今一直在违反协议的情况下，一直拒退，这笔费用，我要求退款。</t>
  </si>
  <si>
    <t>2019/10/03 12:16:59</t>
  </si>
  <si>
    <t>投诉人陈先生投诉对象广东天宸网络科技,奇迹暖暖涉诉金额50元问题类型诉求类型投诉详情请商家给于说法，在游戏未有验证是否是未成年人，诱导进行充值，尽快退款，不要推卸责任，拒不退款，继续投诉直到成功！！！。</t>
  </si>
  <si>
    <t>2019/10/03 12:16:52</t>
  </si>
  <si>
    <t>汇潮支付为威力贷提供放款渠道，支付宝为其提供还款渠道，本人续期费用远远高于本金，希望可以销账处理。</t>
  </si>
  <si>
    <t>2019/10/03 12:16:44</t>
  </si>
  <si>
    <t>在智行app上购买的重庆到广安的汽车票，购买的时候并没有标明不能在线退款，而且退票按钮也是可以点击的，退烧的时候却提示不能退款。</t>
  </si>
  <si>
    <t>2019/10/03 12:16:43</t>
  </si>
  <si>
    <t>投诉人胡先生投诉对象贷上钱涉诉金额2670元问题类型诉求类型投诉详情贷上钱平台借2000一个月到期要还2500超期1天还再继续收费！每天用不同的网络电话持续不断骚扰恐吓威胁我还有我的家人。</t>
  </si>
  <si>
    <t>2019/10/03 12:16:36</t>
  </si>
  <si>
    <t>本人通过来花花的推广短信，下载了该app，分别于8月23日、9月13日、9月24日借款1400元，仅5天时间就需要归还600元，该利息远超国家合法利息，是国家严打的高炮平台，汇潮支付为其提供放款通道实属助纣为虐，催收还款日当天称12点不还就要采取措施爆通讯录，迫于压力分别于9月24日和9月27日进行展期，共600元。</t>
  </si>
  <si>
    <t>2019/10/03 12:16:30</t>
  </si>
  <si>
    <t>我在快贷借款6000，分9期，一期八百多，因老板拖欠工资没及时还钱，快贷工作人员打电话爆通讯录，他们工作人员加我微信让我还款，我一期才要还款八百多，然而他们工作人员要让我这一期还款8500，不然就爆我通讯录！还威胁我说他们315扫黑都不怕，会怕什么！。</t>
  </si>
  <si>
    <t>2019/10/03 12:16:20</t>
  </si>
  <si>
    <t>在闲鱼上买到一个二手烤箱，东西太大没有验货，闲鱼小法庭赢了以后退回去，拒收磕碰到了，卖家拒绝退款，当时发快递的时候，快递已经说了，保丢不保损。</t>
  </si>
  <si>
    <t>2019/10/03 12:16:18</t>
  </si>
  <si>
    <t>阴阳合同，借款三千块，合同3700多，最终还款4000多，一年利息一千多年化几千的利率，遇到困难，逾期两天，威胁恐吓，不给时间处理。</t>
  </si>
  <si>
    <t>2019/10/03 12:15:54</t>
  </si>
  <si>
    <t>微信账号登录本来就是有提示风险的，我手机号码QQ，邮箱全部解绑，卖的那个微信已经绑定买家号码，账号密码都没错。</t>
  </si>
  <si>
    <t>2019/10/03 12:14:40</t>
  </si>
  <si>
    <t>投诉人 易先生        投诉对象  京东白条        涉诉金额  190 元    问题类型    诉求类型投诉详情  国庆节放假期间不停的催收 并且不停的打我电话 严重影响我正常生活</t>
  </si>
  <si>
    <t>2019/10/03 12:14:21</t>
  </si>
  <si>
    <t>2017.11.9号放爱钱进里面1000元当时协议一年的，后面今年2019.5月左右想提现试试看但是一直都排队，打过几次人工服务都说他们也不知道具体时间，这几个月了都提现不成功不是相当于只能放拿不出来吗.。</t>
  </si>
  <si>
    <t>2019/10/03 12:14:11</t>
  </si>
  <si>
    <t>国庆期间小鱼卡催收不停骚扰我，要求我还高利贷，不然就要弄死我，从手机到微信到qq不停骚扰我和家人。</t>
  </si>
  <si>
    <t>2019/10/03 12:13:24</t>
  </si>
  <si>
    <t>本人在助力钱包里申请极速钱包一笔贷款，金额为4000元，实际到账金额为2600元，扣除了高达1400元的砍头息，账单分四期，每期为7天，共28天，每期还款金额为1015元，现在本人已经还清三期，金额为3045元，本人要求第四期结清处理，并将第四期销账，高额砍头息本人无力偿还，如无处理结果，将上报当地扫黑办公安局请平台处理谢谢。</t>
  </si>
  <si>
    <t>2019/10/03 12:13:15</t>
  </si>
  <si>
    <t>小浦优客未有任何提示，也未经用户同意，直接予以扣款296元购买其平台服务！且客服电话无法联系！。</t>
  </si>
  <si>
    <t>2019/10/03 12:13:05</t>
  </si>
  <si>
    <t>在本人为借款的情况下乱收费乱扣服务费，给客服打电话故意不接，这种欺诈行为希望尽快给予处理，要求全额退款，并主动给我打电话说明不接电话的原因。</t>
  </si>
  <si>
    <t>2019/10/03 12:12:44</t>
  </si>
  <si>
    <t>交通银行95559客服编号B018757暴力催收，威胁恐吓爆通讯录，一天15通催收电话，包括021开头的银行电话。</t>
  </si>
  <si>
    <t>2019/10/03 12:11:49</t>
  </si>
  <si>
    <t>高利贷，点率严重超过国家定性标准，要求严格惩罚管理。</t>
  </si>
  <si>
    <t>2019/10/03 12:10:28</t>
  </si>
  <si>
    <t>本人因为有资金需求通过一个平台的推荐下载了人人花并进行注册，在注册过程中需要绑定银行卡它显示会有一个0.1元的手续费我就同意了，结果同意完下一步还有个什么要进行评估服务上面写服务需要288米币，以为是虚拟货币什么的就同意了，注册完了之后准备申请发现是中介平台而且没有任何推荐就没管他，然后再同一天我用同一张银行卡转账的时候提示余额不足，然后我想起这个288米币于是问平台客服结果说288人民币，我要求退款的时候才知道可能卡里没有288元还是什么原因扣了我198元，最后一直处理了到快10天才说只能退50%，我不同</t>
  </si>
  <si>
    <t>2019/10/03 12:10:21</t>
  </si>
  <si>
    <t>于2019年5月借款6000我以为前几期多还点，后面就还的少，没想到我多还了1000多人名币。</t>
  </si>
  <si>
    <t>2019/10/03 12:10:14</t>
  </si>
  <si>
    <t>还款一直失败，打了客服电话叫我从新换卡绑卡也没效果，换了3,4张卡眼看就要到逾期时间了却一直扣款失败，难道要导致我强制逾期，卡里面也一直都有足够的存款余额，就是扣款失败.。</t>
  </si>
  <si>
    <t>2019/10/03 12:10:09</t>
  </si>
  <si>
    <t>平台打着给百姓服务的旗号，一直宣传赌博，因此与女友分手，婚没有结成，很多平台都在此微信号宣传，希望能此做出处罚。</t>
  </si>
  <si>
    <t>2019/10/03 12:09:50</t>
  </si>
  <si>
    <t>招联金融这样的公司居然暴利催收还威胁爆通讯录，逾期10多天因为家庭工作因素导致目前没有还款能力，主动打电话沟通过，催收居然打电话威胁我给我3秒钟时间，不然爆我通讯录。</t>
  </si>
  <si>
    <t>2019/10/03 12:09:38</t>
  </si>
  <si>
    <t>汇潮支付为菜鸟有钱提供放款渠道，支付宝为其提供还款渠道，本人续期费用远远高于本金，希望可以销账处理。</t>
  </si>
  <si>
    <t>2019/10/03 12:09:30</t>
  </si>
  <si>
    <t>在不知情情况下乱扣费，并且app没有任何扣费提示！。</t>
  </si>
  <si>
    <t>2019/10/03 12:07:52</t>
  </si>
  <si>
    <t>本人在未看清楚合同的情况下，向钱站借款2000元，合同上写着2600，三个月还三千多加利息，利息已超过国家法律规定！这不就是高利贷么，打客服电话要求取消，客服告知要缴纳违约金79元，本人已取消借款，为什么还存在约金，这和去大道上直接抢钱有什么区别，希望钱站尽快停止放款，取消借款服务！。</t>
  </si>
  <si>
    <t>2019/10/03 12:07:16</t>
  </si>
  <si>
    <t>前几天申请了普惠分期，卡里没钱，今天卡里有钱了，突然恶意扣费，也没通知我。</t>
  </si>
  <si>
    <t>2019/10/03 12:06:42</t>
  </si>
  <si>
    <t>投诉人 刘女士        投诉对象  微贷网,多米贷        涉诉金额  15 600 元    问题类型    诉求类型投诉详情  微贷多米贷有砍头息 催收也是威胁 恐吓 我借款15600到账14040 这一期逾期了三天打通电话就逼迫 恐吓我还款 我想提前结清 客服不愿意让我还清这一期再说 态度很不好</t>
  </si>
  <si>
    <t>2019/10/03 12:06:40</t>
  </si>
  <si>
    <t>借款2000，还2994，有600另外强制购买，逾期一天暴力催收，打爆通讯录所有电话，威胁，恐吓，每天20元利息，一直叠加，套路贷。</t>
  </si>
  <si>
    <t>2019/10/03 12:05:59</t>
  </si>
  <si>
    <t>投诉人 陈先生        投诉对象  造艺科技        涉诉金额  299 元    问题类型    诉求类型投诉详情  豹子贷恶意扣款299，请求退款谢谢。聚投诉感谢。</t>
  </si>
  <si>
    <t>2019/10/03 12:04:39</t>
  </si>
  <si>
    <t>我是淘集集商家，由于我的经营不善，打算换行业，但是因为有4款产品是隐身上架，一直不能下架，找客服打电话一直没有人接，也没有效果，希望能通过给我处理一下，而且提现这让我提交资料，我把注册店铺的资料提交，一直不能通过审核，不让我提现，我希望官方尽快给我解决。</t>
  </si>
  <si>
    <t>2019/10/03 12:03:47</t>
  </si>
  <si>
    <t>51人品贷，骚扰我家人，借三万还的只剩最后一期1618.86元，今天逾期一天，竟然威胁我还要还三万多！这事必须要跟我道歉，并作出合理的解释逾期1618.86，要还三万多！189******53‬。</t>
  </si>
  <si>
    <t>2019/10/03 12:03:32</t>
  </si>
  <si>
    <t>汇潮支付为金鸡下蛋提供放款渠道，支付宝为其提供还款渠道，本人续期费用远远高于本金，希望可以销账处理。</t>
  </si>
  <si>
    <t>2019/10/03 12:03:19</t>
  </si>
  <si>
    <t>不断的骚扰我，我们已经跟还呗公司协商了，还会有骚扰。</t>
  </si>
  <si>
    <t>2019/10/03 12:02:50</t>
  </si>
  <si>
    <t>钱橙无忧平台app借款未通过，都已经卸载后五天了，未经同意随意扣款168元，要求退还款项，扣款方为深圳市恒富创融科技有限公司。</t>
  </si>
  <si>
    <t>2019/10/03 12:02:04</t>
  </si>
  <si>
    <t>交易猫账号已经过了96小时，依旧没有把钱给我。</t>
  </si>
  <si>
    <t>2019/10/03 12:01:55</t>
  </si>
  <si>
    <t>已还清又继续诱导借款！这个来花花有没有弄管的！难道得不到法律的制裁吗！。</t>
  </si>
  <si>
    <t>2019/10/03 11:59:11</t>
  </si>
  <si>
    <t>暴力催收，威胁恐吓，爆通讯录，高频率打电话。</t>
  </si>
  <si>
    <t>2019/10/03 11:58:43</t>
  </si>
  <si>
    <t>2019/10/03 11:58:16</t>
  </si>
  <si>
    <t>在智行上买火车票，明明没有买加速包，私自就给我增加了30元的加速包，前面提示买到票了才扣款，现在还没买到票就提前给我扣款了，要求退款，人工客服根本就联系不上，一直都是占线，太黑了！！这样还有谁敢用这个网站！！。</t>
  </si>
  <si>
    <t>2019/10/03 11:56:30</t>
  </si>
  <si>
    <t>在信用管家里的石头管家借款3000元，通过畅捷支付3000，七天还一期，一共四期，每期还款1024总共要还4094利息高达1094，还款通道为杭州市民卡，本人已经还了三期，共计3070多块钱，现在实在无力偿还高利贷，希望协商本金加一定利息处理销账，请速度联系。</t>
  </si>
  <si>
    <t>2019/10/03 11:56:27</t>
  </si>
  <si>
    <t>投诉人董先生投诉对象肥猫贷涉诉金额8800元问题类型诉求类型投诉详情从8月开始，在肥猫贷借款1400元，期间由于无法全额还款，该公司催收人员以电话，短信方式强迫进行还款。</t>
  </si>
  <si>
    <t>投诉人王先生投诉对象汇潮支付,来花花涉诉金额2000元问题类型诉求类型投诉详情本人通过短信链接，再在来花花APP上借款1400元，实际到账也是1400元，借时并无任何提示，结果却要在6天后归还2000元，无客服电话联系，通过APP的在线客服联系，拒协商，拒提供电话，此高利贷，是通过汇潮支付这个支付通道放款，经过核查，汇潮支付作为合作平台，长期为高利贷提供支付通道，继续参与违法行为。</t>
  </si>
  <si>
    <t>2019/10/03 11:56:16</t>
  </si>
  <si>
    <t>在本人完全不知情的情况下从我工商银行卡中扣款。</t>
  </si>
  <si>
    <t>2019/10/03 11:55:52</t>
  </si>
  <si>
    <t>http://moba.qq.com/webplat/info/news_version3/15332/19598/19599/19602/m13441/201806/731234.shtml，这是全民超神官方网址的公告，里面只有一条补偿方案，《腾讯提供以下精品游戏的礼包作为补偿/替换方案：《QQ华夏手游》和《自由幻想手游》的超值礼包替换服务，玩家仅可根据自己的账号余额的具体情况选择兑换其中一款游戏的礼包，试问你让我充值了人民币，现在让我补偿两个不知名游戏的礼包，实属霸王条款，不仅如此，《全民超神》在公告最</t>
  </si>
  <si>
    <t>2019/10/03 11:54:41</t>
  </si>
  <si>
    <t>投诉人 邱先生        投诉对象  钱橙无忧        涉诉金额  80 元    问题类型    诉求类型投诉详情  擅自扣款</t>
  </si>
  <si>
    <t>2019/10/03 11:54:39</t>
  </si>
  <si>
    <t>闪电借款早上九点抢额度，抢到了提示打款中，十一点十一分提示放款失败让重新申请，几乎就抢不到额度了，，好不容易抢到额度，继续提示放款中，如果是拒绝放款，应当告知于我，而不是一次一次让我申请等待，现在申请的还没有结果，我希望你们能像你们宣传的那样，做点真事而不是套路我们这些一直信任你们的贷款人！图，为第二次申请，第二张图是第一次申请以后两小时显示打款失败的。</t>
  </si>
  <si>
    <t>2019/10/03 11:54:31</t>
  </si>
  <si>
    <t>腾讯游戏和平精英用抽奖等方式诱导未成年人充值，无任何通知扣款。</t>
  </si>
  <si>
    <t>2019/10/03 11:53:57</t>
  </si>
  <si>
    <t>10月1日下午在超市购买了一包谷妈咪面条，到家后拆开煮给小孩吃，然后发现底部封口是开的，面条于5月份生产，封口开了这么长时间，怕感染什么细菌，很担心小孩吃了会有什么不良反应。</t>
  </si>
  <si>
    <t>2019/10/03 11:53:49</t>
  </si>
  <si>
    <t>说规定时间不还款就打电话给亲朋好友，限制我的出行，我想知道谁给他们的权利！国家规定，不能暴力催收，爆通讯录，难道国家的规定对他们没有用吗。</t>
  </si>
  <si>
    <t>2019/10/03 11:52:41</t>
  </si>
  <si>
    <t>由于晚还了一天，然后就各种骚扰，辱骂，威胁。</t>
  </si>
  <si>
    <t>2019/10/03 11:52:29</t>
  </si>
  <si>
    <t>本人于9月9号资金周转紧张从六便士平台借款2000元一个月期限，当时需要支付540才给下款，相当于我借2000实际到账1440，一个月时间高达500多的利息，这已经严重违反国家规定的利率，属于高利贷行为，目前诉求本金销帐。</t>
  </si>
  <si>
    <t>2019/10/03 11:52:26</t>
  </si>
  <si>
    <t>拍拍贷贷款已经超过国家规定利息额度，望贵公司重视。</t>
  </si>
  <si>
    <t>2019/10/03 11:52:14</t>
  </si>
  <si>
    <t>我在玖富4笔借款1.2019年2.16借一笔10000元分12期还，每期还1133.26元，连本带利共还13603.92，2.2018年12月12借10000元分24期每期还716元，连本带利共还17184元3.2019年5月2号，借一笔10000元分12期还，每期还1096.68元，连本带利共还13152元4.2019年4月24号借一笔5000元分12期还，连本带利6816元这几笔贷款的利息已经远远高于国家标准的范围.有一笔已经结清，还有3笔正在还款，前后还了一年了，请求平台严查玖富，给我们一个说法，正常</t>
  </si>
  <si>
    <t>2019/10/03 11:51:01</t>
  </si>
  <si>
    <t>2019/10/03 11:50:24</t>
  </si>
  <si>
    <t>投诉人李先生投诉对象ofo涉诉金额199元问题类型诉求类型投诉详情收取1千多万消费者押金金额数十亿为什么不退还押金虽然我只占金额199元人命币等待退押金按照时间排队我入土都拿不到。</t>
  </si>
  <si>
    <t>2019/10/03 11:50:14</t>
  </si>
  <si>
    <t>无意间在网上看到他们的广告，就注册了会员，申请了贷款额度，可是评估没有通过，没有任何的交易，就想注消帐号清除个人信息，可是他们拒绝了，特在此向该公司进行投诉，希望能得到聚投诉平台的帮助。</t>
  </si>
  <si>
    <t>2019/10/03 11:49:34</t>
  </si>
  <si>
    <t>无法登录平台，平台故意给我们造成逾期，这种行为试问合法吗?。</t>
  </si>
  <si>
    <t>2019/10/03 11:49:07</t>
  </si>
  <si>
    <t>本人因资金周转需求9月4日在自由魔卡app里面的信用计划平台借款2000元，平台以加入会员购买会员需要支付备付金为借口，变相收取砍头息360元，实际借款所得其实为1640元，还款周期一个月应还为2050元，所加入的会员并无实际作用，只是作为平台变相收取砍头息的手段，这是赤裸裸的高利贷，因本人之前也在该平台借款多次，现无力偿还高额还款费用和砍头息，投诉信用计划其实是高利贷平台，要求平台尽快与本人联系协商，本人绝不接受客服人员所谓会员费合理合法的狡辩，本人要求协商归还到账本金和应付30天合理正常利息销账，并承诺</t>
  </si>
  <si>
    <t>2019/10/03 11:47:37</t>
  </si>
  <si>
    <t>由于本人资金紧张在自由魔卡平台导流的超级玛丽贷进行了一键申请借款，出借方为超级玛丽贷，借2000元，支付500元会员卡后实际到账只有2000元，借款周期30天，总共需要还2060元，还支付了500元声称会员卡费实际为利息的费用，简直是名副其实的超利贷，自由魔卡为这种超利贷导流不可能不收取费用的，所以首先请不要撇清关系，本人已无力偿还剩余高额费用，现请求与超级玛丽贷协商还款，还款1500元销账，退回500元的砍头息！。</t>
  </si>
  <si>
    <t>2019/10/03 11:47:25</t>
  </si>
  <si>
    <t>投诉人 马先生        投诉对象  宙斯钱包        涉诉金额  1 800 元    问题类型    诉求类型投诉详情  高额利息 到款1800 6天需还3000 续期2次了 每次续期1200 这次显示逾期 罚息近1500 需要还款近4500 望聚投诉认真审核此平台</t>
  </si>
  <si>
    <t>2019/10/03 11:46:09</t>
  </si>
  <si>
    <t>诱导扣款，扣款不需要本人输入密码和验证码吗。</t>
  </si>
  <si>
    <t>2019/10/03 11:45:17</t>
  </si>
  <si>
    <t>投诉人王女士投诉对象蜜瓜钱包,汇潮支付,玖鱼钱包,花✘悫涉诉金额2208元问题类型诉求类型投诉详情蜜瓜钱包超级高利贷，额度2200，到账1430，到期还2207.92，客服联系不上！qq提醒是风险用户！贷款平台超级不正规，放款当天就发起投诉要求处理，一直无人联系，钱都没敢动！明天还款日！希望马上的到处理，望汇潮支付有限公司协助！或告知此平台在国家信息公示系统能查得到的注册名称！本人可采取报警处理，向多国家平台举报投诉！要求下架此平台，受害人不止我一个，6天就要830多利息你咋不去抢呢，我相信总能给你查个水落</t>
  </si>
  <si>
    <t>2019/10/03 11:44:50</t>
  </si>
  <si>
    <t>银联为套路贷平台提供扣款渠道，很多扣款都显示是银联代扣，请银联予以协助要回损失。</t>
  </si>
  <si>
    <t>2019/10/03 11:43:23</t>
  </si>
  <si>
    <t>一共俩次每次都让支付宝转高达200多逾期费退换。</t>
  </si>
  <si>
    <t>2019/10/03 11:42:04</t>
  </si>
  <si>
    <t>1.本人于2016年开始在支付宝平台里的网商银行进行借款，2019年9月29日晚22：40，在本人不知情且未授权划扣的情况下，网商银行通过支付宝平台多次故意盗刷用户资金，违规划扣本人在支付宝绑定的银行卡，金额2531.65元和2372.47元，没有任何支出验证码及短信通知，我第一时间在支付宝平台报案申请理赔，客服告知审核不符合理赔条件，我多次反复申诉未果，才知道原来是网商银行通过支付宝划扣的钱，支付宝怎么可能判定网商银行是盗取行为！，2.经过多日的投诉，网商银行和支付宝客服以及支付宝理赔客户均霸道告诉我：只</t>
  </si>
  <si>
    <t>2019/10/03 11:41:58</t>
  </si>
  <si>
    <t>2019/10/03 11:41:54</t>
  </si>
  <si>
    <t>本人在平安普惠一共贷款18000，还剩不知道几百，看合同貌似就剩下几百块没有还，至于平安普惠的利息多高，保险多坑，就不说了，1.由于我手机号不用了，但我每个月都按时还款，两个月前，我打400客服电话要求结清，客服说三天内回复，到现在已经2个月了，影子都没看到，要求这个客户给我做出解释，并且立马道歉，2.上次还款，app自己写着在壹钱包账户扣款，钱存到壹钱包不扣款，在我本人电话有效的前提下，打电话到我朋友手机，说什么平安保险，我有笔业务没处理，骚扰我朋友，要求，此人立马道歉，3.本次又是，钱存到账户不扣款，发</t>
  </si>
  <si>
    <t>2019/10/03 11:40:31</t>
  </si>
  <si>
    <t>投诉人秦先生投诉对象捷信金融涉诉金额24000元问题类型诉求类型投诉详情当时做生意缺钱，做了网贷，当时也不懂第一次贷款，做了捷信公司的，当时贷了24000元整，砍头息收了我2400元整，到我手里就剩21600元整，现在还了九个月了，每个月还1433元，现在还要我还21800元，捷信你们咋不来抢钱来，我跟捷信公司沟通从来没有说不还吧，从来没有说过不还吧，我把砍头息所有的信息都提交给了捷信的工作人员，到头来一再推脱，到现在还没有给一个答复，没有解决，捷信的小催口气牛的很说我就是捷信公司的，还给我妈打电话说这事，</t>
  </si>
  <si>
    <t>2019/10/03 11:40:04</t>
  </si>
  <si>
    <t>之前在快易熊结过一次，也是还清的，现在这次虽然申请金额是3300，但是实际到账都不到2000，希望能够协商还本金销账。</t>
  </si>
  <si>
    <t>2019/10/03 11:39:54</t>
  </si>
  <si>
    <t>无人反馈回复解决，现在还处在了逾期中，每天五十多的滚利息，就是没人解决，每天接到一个广东的电话，催收，不沟通直接挂电话，个人经过查找，新意花小木钱包属于广州瑞利信息咨询有限公司，旗下产品有新意花，轻周转，小木钱包，花转转，樱桃小借等等10多种！！在他们的威逼利诱下，受害者被一个套一个，在国家严厉打击高利贷的当下，他们为何一直不受到影响，而且畅捷支付，还做为合作放款渠道，简直同属一气，仅聚投诉上这些产品被投诉的涉及金额都好几亿，何况没有投诉的大部分受害者，而且他们的投诉基本都没有解决，希望有关部门强烈关注！！</t>
  </si>
  <si>
    <t>2019/10/03 11:39:34</t>
  </si>
  <si>
    <t>投放不成功，申请退款退不了，联系客服也不回复，。</t>
  </si>
  <si>
    <t>2019/10/03 11:38:59</t>
  </si>
  <si>
    <t>精灵e贷的客服联系不上贷款已经通过审核可是没有放款，贷款没有到账，还扣款了，说风险审核扣的！。</t>
  </si>
  <si>
    <t>2019/10/03 11:38:07</t>
  </si>
  <si>
    <t>10月2号没还款，第二天3号马上产生100元利息费用，并要求在当天下午3点前还款，过时开始催收！。</t>
  </si>
  <si>
    <t>2019/10/03 11:37:23</t>
  </si>
  <si>
    <t>投诉人赖先生投诉对象快闪卡贷涉诉金额3008元问题类型诉求类型投诉详情纯属高利贷，借8000到账7200左右，6期，每期还1708，超过年率百分之36，点个借款都不用按确定的钱就出来了，还上征信。</t>
  </si>
  <si>
    <t>2019/10/03 11:37:02</t>
  </si>
  <si>
    <t>2019年7月2号在喜鹊快贷借了10000的款，每期还1263.32元，已经还了2期，但在还未逾期的情况下对家人和朋友进行电话恶意骚扰，暴力催收，辱骂等话语，在还款后微信任然对我进行人身攻击，请问我还敢还款吗，国家现在对黑恶势力进行打击，他们还敢如此猖狂，请求有关部门介入此事，早日铲除黑恶势力！。</t>
  </si>
  <si>
    <t>2019/10/03 11:36:38</t>
  </si>
  <si>
    <t>投诉人徐女士投诉对象小浦优客涉诉金额296元问题类型诉求类型投诉详情下载了app，要求绑定银行卡，生成报告，未经同意私自扣款，也并没有提到服务费，也没有表明服务费的价格，希望投入能得到及时的处理，贴吧里也有很多人都被这样骗了。</t>
  </si>
  <si>
    <t>投诉人刘女士投诉对象星辰花涉诉金额1675元问题类型诉求类型投诉详情星辰花714高炮，与其协商还款，对方态度恶劣，P图威胁还款。</t>
  </si>
  <si>
    <t>2019/10/03 11:36:17</t>
  </si>
  <si>
    <t>本人在百度有钱花分两次借款共15500元，因经济出现困难，暂时无法还款。</t>
  </si>
  <si>
    <t>2019/10/03 11:34:58</t>
  </si>
  <si>
    <t>信息科技有限公司旗下月光侠app申请贷款5000元分期三期，起初本金加利息一共5280元，当时下款期间没有合同没有任何说明，下款以后本人收到本金4000元少放款1000元可是我每个月却要还1765.39元，月光侠阴阳合同，套路贷，说好本金5000，扣除本金直接扣除，没有客服通知，本人投诉申请还我剩余本金。</t>
  </si>
  <si>
    <t>2019/10/03 11:34:57</t>
  </si>
  <si>
    <t>万达快易花逾期了，一直有协商还款，上月9月30号中国银行卡发工资了，今天急用钱才发现没钱了银行查到的信息是10月2日被快易花自动扣费，我的中国银行卡无进行任何绑定，不知道快易花是如何盗取信息绑定的，我这边无操作也无收到任何银行卡绑卡的提醒和验证码不知道如何绑定的，这都能被绑定，今天查看快易花app看到绑卡这里多了两个银行卡，真不明白快易花是如何绑定的，这么明目张胆的盗窃行为，就没人管管么。</t>
  </si>
  <si>
    <t>2019/10/03 11:34:46</t>
  </si>
  <si>
    <t>首先我是在一个广告里面看到信用管家，然后我以为它是借款平台，没想到当时一申请看到的是714高炮砍头息平台的聚集地！！等于就是把这类高利贷、自动审核下款的平台聚集在一起，你申请，它就会自动把你匹配，匹配到了就成功申请下款，没想到一申请就堕入了无尽黑暗的深渊！！这种广撒网的平台，它可能就收取中介费，让更多人的受害借这种几千块翻滚到几万块的利息费714高炮平台，到最后让你偿还不了，就可以暴力威胁催收，为所欲为了！！我希望各有关部门真的要重视起来了，把这类平台坚决清除扫除掉，以正网络之风，维护更多年轻人的权益，让他</t>
  </si>
  <si>
    <t>2019/10/03 11:34:13</t>
  </si>
  <si>
    <t>投诉人 赵先生        投诉对象  库博体育        涉诉金额  700 元    问题类型    诉求类型投诉详情  充值过后提现不让提说还要我在充值才能提现</t>
  </si>
  <si>
    <t>2019/10/03 11:34:02</t>
  </si>
  <si>
    <t>10月2号上午大概9点多左右，我在交易猫购买了一个2000元梦幻西游手游账号，商品上架时显示是首次交易，还有协议保障和被找回被封号的保险，我下单之后还没点击确认收货，上号检查商品和下单之前看到的截图是否一致，可没过多久角色就被封了。</t>
  </si>
  <si>
    <t>2019/10/03 11:33:37</t>
  </si>
  <si>
    <t>投诉人 魏女士        投诉对象  马上消费金融        涉诉金额  9 000 元    问题类型    诉求类型投诉详情  不要威胁恐吓我说下午两点前必须处理 不然就要爆通讯录了 我电话里都说了 我没有不还 是我现在有困难了 我之前每次都还了吧 没有说我有钱不还吧 是我现在确实有困难 所以麻烦你们不要去威胁恐吓我的家人和朋友 你们把我逼的有家不能回 我还怎么去解决呢</t>
  </si>
  <si>
    <t>2019/10/03 11:32:58</t>
  </si>
  <si>
    <t>投诉人 刘先生        投诉对象  小黑鱼科技        涉诉金额  375 元    问题类型    诉求类型投诉详情  小黑鱼点心贷 前期收取意外团险费用375 交易账户 证通股份有限公司 该团险个人无法退款 国家早已禁止网贷平台搭售保险 保险公司我也投诉了 借款1500 扣除前期375 到账1125！！ 请聚投诉帮助</t>
  </si>
  <si>
    <t>2019/10/03 11:32:16</t>
  </si>
  <si>
    <t>投诉人 吴女士        投诉对象  聚富分期        涉诉金额  299 元    问题类型    诉求类型投诉详情  莫名其妙不经同意扣费</t>
  </si>
  <si>
    <t>2019/10/03 11:31:15</t>
  </si>
  <si>
    <t>2019/10/03 11:30:45</t>
  </si>
  <si>
    <t>本人在9月23日因需要资金周转下载了‘钱橙无忧’APP，按照正常贷款程序认证了个人资料，后面又认证了银行卡，接着该推荐我进行借款，APP上右下角提示我马上提款，我便进行了点击，当时未借款成功，当即我就卸载了APP，钱橙无忧APP未经本人允许擅自划扣我名下银行卡内的钱，分两次总共扣走了168元！钱被扣以后该公司的客服电话一直打不通，联系不上，使用钱橙无忧APP本意是借款，没想到钱没借到，还恶意扣款，该公司的恶意牟利的行径真是令人愤慨！，界面里面都没一个确定取消选项，点一下提款就默认勾选扣费，也没有明确提示是个</t>
  </si>
  <si>
    <t>2019/10/03 11:29:03</t>
  </si>
  <si>
    <t>易存证给高利贷提供平台，请求关闭该平台，给广大人民一个交代。</t>
  </si>
  <si>
    <t>2019/10/03 11:27:53</t>
  </si>
  <si>
    <t>投诉人李先生投诉对象中国联通涉诉金额60元问题类型诉求类型投诉详情每月158块钱的月租，从六月到九月总共充值730元，十月份变更三十六块钱套餐，请问为什么九月份还欠了60块钱。</t>
  </si>
  <si>
    <t>2019/10/03 11:26:12</t>
  </si>
  <si>
    <t>我直接卸载了，10月3号早上宏萨信息科技有限公司从我的银行卡扣除了296元。</t>
  </si>
  <si>
    <t>2019/10/03 11:26:09</t>
  </si>
  <si>
    <t>滴滴制定的规则，订单作弊处以奖金三倍罚款和停止服务，有人作弊被滴滴查到了，30号的订单到现在都没有罚款和停止服务，请问你们平台的规则就是个摆设还是滴滴有什么保护伞罩着他。</t>
  </si>
  <si>
    <t>2019/10/03 11:25:59</t>
  </si>
  <si>
    <t>投诉人李女士投诉对象你我贷涉诉金额5000元问题类型诉求类型投诉详情一直正常还款没有逾期提前还款之后再申请告诉信用评分不足要求恢复额度。</t>
  </si>
  <si>
    <t>2019/10/03 11:25:51</t>
  </si>
  <si>
    <t>暴力催收影响他人生活安宁，电话一天不少于8个。</t>
  </si>
  <si>
    <t>2019/10/03 11:25:45</t>
  </si>
  <si>
    <t>我在自由魔卡信用计划申请1300元的贷款，但下款前需要提前交付20%所谓的会员费260，实际下款1040元，要求协商还款，请尽快联系。</t>
  </si>
  <si>
    <t>2019/10/03 11:25:25</t>
  </si>
  <si>
    <t>喵下贷借之前没有任何提示借款手续费和周期，借款后才知道借1300，还2000，期限6天，续费一次349，2天，也联系不上客服，还款日当天在未逾期的情况下，本人友好的跟催收协商，对方不同意沟通，态度恶劣，扬言如果3点之前不还钱就骚扰通讯录亲友，在银行信息里面看到的是汇潮公司放的款，然后支付宝为虎作伥，为其收款通道，本人强烈要求放款公司跟我联系，我愿意通过友好协商解决此事。</t>
  </si>
  <si>
    <t>2019/10/03 11:25:21</t>
  </si>
  <si>
    <t>投诉人 张先生        投诉对象  中国移动        涉诉金额  0 元    问题类型    诉求类型投诉详情  我想问下你们为什么我的手机网速越来越慢。我消费少吗？128保底的现在手机网速有时打不开网页。无限流量居然这样的真寒心。以前以为月底限流量了。现在月头也是这样。老是显示125b/s 现在连个kb都没。给个解释看。打电话给客服就说给你刷新一下后台。根本没解决问题</t>
  </si>
  <si>
    <t>2019/10/03 11:23:49</t>
  </si>
  <si>
    <t>爱又米平台，咨询客服询问注销事宜，客服予以回复，注销系统升级，去年问就在升级，今年还是升级，而且，不要扯这些有的没的，速度注销。</t>
  </si>
  <si>
    <t>2019/10/03 11:23:07</t>
  </si>
  <si>
    <t>交通银行信用卡中心催收人员无视国家法律法规。</t>
  </si>
  <si>
    <t>2019/10/03 11:22:55</t>
  </si>
  <si>
    <t>易宝支付扣款3笔:266，200，300元金额，要求退款。</t>
  </si>
  <si>
    <t>2019/10/03 11:22:23</t>
  </si>
  <si>
    <t>国庆节工作忙，手机没放身上，我还款最后一期，遭短信轰炸，电话骚扰。</t>
  </si>
  <si>
    <t>2019/10/03 11:22:05</t>
  </si>
  <si>
    <t>在智行app上预定了酒店，提前一天退房，酒店说可以提前退房，但是房费需要在app上退款，但是智行客服电话021-22268939始终无法接通，联系在线客服也只会让打客服电话，导致无法退房费。</t>
  </si>
  <si>
    <t>2019/10/03 11:22:02</t>
  </si>
  <si>
    <t>投诉人许先生投诉对象小浦优客涉诉金额296元问题类型诉求类型投诉详情突然收到扣款信息，小浦优客在我不知情的情况下扣了我296块钱，没有验证码，也没有提示输入密码，这跟盗窃有区别吗。</t>
  </si>
  <si>
    <t>2019/10/03 11:21:55</t>
  </si>
  <si>
    <t>之前唯品会被商家牵着鼻子走不给我退货，我在聚投诉上投诉才给我退货，电话里说的是尽快处理现在又拖着不给我退款，是因为我太好说话了吗，这次唯品会不给我个满意的处理，我是绝对不会撤诉的。</t>
  </si>
  <si>
    <t>2019/10/03 11:20:29</t>
  </si>
  <si>
    <t>投诉人钱陟投诉对象苏宁易购涉诉金额9400元问题类型诉求类型投诉详情本人在苏宁易购上购买两张床，商家一直推迟发货，催了多次无用，原先买的乳胶床垫现收到的为弹簧床垫，上面仅有一小层乳胶，且商品磕碰过多，皮具泛黄，像二手翻新床，便申请退货，本人已买运费险，苏宁易购方面说我18号已经确认收货，现无法使用运费险，本人28号才收到床，且收到床的当天就要求退货，为什么说我18号确认收货了，客服说应该在18号之前申请退货，我18号之前我东西都没看到，怎么确定我要退货呢，对于苏宁易购这种不合理的欺骗行为，请认真处理，给消费</t>
  </si>
  <si>
    <t>2019/10/03 11:20:16</t>
  </si>
  <si>
    <t>催收人员暴力催收，高额砍头息，标准的714高炮，电话qq威胁恐吓，泄露个人信息。</t>
  </si>
  <si>
    <t>2019/10/03 11:20:13</t>
  </si>
  <si>
    <t>聚福钱包请退款，请求退款，聚福钱包恶意扣款299。</t>
  </si>
  <si>
    <t>2019/10/03 11:19:43</t>
  </si>
  <si>
    <t>投诉人王女士投诉对象及贷涉诉金额3800元问题类型诉求类型投诉详情我之前告诉及贷催收我10.15才能得工资，它们催收非要我去借，我借不到钱，现在他们催收就不停打我和我家人电话和不停发骚扰信息给我和我家人。</t>
  </si>
  <si>
    <t>2019/10/03 11:18:59</t>
  </si>
  <si>
    <t>在平台蟹老弟借了2520元，到账2520，但是收取我的手续费很高，希望协商，。</t>
  </si>
  <si>
    <t>2019/10/03 11:18:52</t>
  </si>
  <si>
    <t>马上消费金融公司安逸花最后一期我欠款400多，因为在开会没接电话，就对我进行短信轰炸，威胁恐吓…还有很多截图及电话录音，我会后续补充资料中添加。</t>
  </si>
  <si>
    <t>2019/10/03 11:18:08</t>
  </si>
  <si>
    <t>现在这高利贷平台---“唐老鸭”找不到入口了，只能在卡农那里提供一些图片资料，（贷款通过汇入本人的工商银行卡渠道发放上海富友支付服务股份有限公司，是在“国美易卡”贷款超市渠道下面的APP，点“唐老鸭”直接下载链接最近全国9月1日展开的“净网”行动，包含打击高利贷问题，本人慎重考虑了，自己遇到了也是吹头息，高利贷平台，我要拿起法律权利保障我自己的权益，贷款4000元，确认借款之前都没有看到借款合同条款之类的，直至当天晚上22点05分直接把贷款打到我工商银行，但实际到帐才是2800元，直接吹头息，下午17点09</t>
  </si>
  <si>
    <t>2019/10/03 11:18:02</t>
  </si>
  <si>
    <t>借款，太吓人了，保费那么贵，凭啥呀！专坑平明老百姓啊！。</t>
  </si>
  <si>
    <t>2019/10/03 11:17:52</t>
  </si>
  <si>
    <t>在本人不知情的情况下扣保险费用，一个月的期限，保险费用就是600，请问是什么保险一个月要600块。</t>
  </si>
  <si>
    <t>2019/10/03 11:17:47</t>
  </si>
  <si>
    <t>这个商家的商品出售页面没有一个是关于商品版本以及内存的相关内容，通篇废话，而且这玩意和他页面描述的根本不是同一个东西吧,你说的那些游戏这破东西能玩?卡的要死好吧，什么都干不了，如果不相信可以拍视频作证，还有那些好评都是商家用这个返30的东西刷出来的，希望拼多多有关部门能好好管管吗?购物体验真的差,我说的这些都有证据,希望商家有点良心，我申请了仅退款，但是拼多多商家拒绝了，拼多多官方也不能支持仅退款让我退货退款，就买这破东西，完全就是欺诈消费者啊，拼多多那么喜欢骗子商家吗，十块钱我都嫌它，什么玩意，能卡上天去</t>
  </si>
  <si>
    <t>2019/10/03 11:17:31</t>
  </si>
  <si>
    <t>用钱宝高利贷不说还有砍头息本人由于资金紧张导致还款晚了几天。</t>
  </si>
  <si>
    <t>2019/10/03 11:17:07</t>
  </si>
  <si>
    <t>天天给我打电话，我没借过他们的，天天打电话骚扰我，态度极其恶劣，威胁我要走流程，我都没借过，。</t>
  </si>
  <si>
    <t>2019/10/03 11:17:02</t>
  </si>
  <si>
    <t>投诉人陈先生投诉对象小浦优客涉诉金额296元问题类型诉求类型投诉详情填写资料过后。</t>
  </si>
  <si>
    <t>2019/10/03 11:16:32</t>
  </si>
  <si>
    <t>投诉人 薛女士        投诉对象  万达贷        涉诉金额  10 000 元    问题类型    诉求类型投诉详情  昨天本人主动还款 还款一直失败 联系客服说更换银行卡 今天更换银行卡还是失败 要求万达贷给予解决方式 停止催收 本人又不是不还 是一直还款失败</t>
  </si>
  <si>
    <t>2019/10/03 11:16:25</t>
  </si>
  <si>
    <t>投诉人陶先生投诉对象上海馥岷信息科技有限公司,牛人有品,畅捷支付涉诉金额1900元问题类型诉求类型投诉详情本人于19年9月5日在牛人有品借款1900元，通过畅捷支付通道实际到账1368元，实际还款1983元涉嫌砍头息，现要求按合法利率本金+50元于今日还款销账。</t>
  </si>
  <si>
    <t>2019/10/03 11:14:26</t>
  </si>
  <si>
    <t>投诉人李先生投诉对象51人品贷涉诉金额5200元问题类型诉求类型投诉详情本人于最近借款到期，由于资金外借，一直没要回来，朋友一直在拖欠，本人也在想办法，已凑到三千多元，平台方一直电话骚扰，还威胁说要联系周边亲友，本人一直电话都是畅通的，不存在任何恶意不还款意向，希望平台方做出处理。</t>
  </si>
  <si>
    <t>2019/10/03 11:14:11</t>
  </si>
  <si>
    <t>投诉人吕先生投诉对象360借条涉诉金额17000元问题类型诉求类型投诉详情提前还款扔收取高额利息，而且利息高达百分之30，而且协商提前还款只换本金，可以态度极其恶劣，基本上是答非所问，我强烈要求仲裁360借条，提前还款应该只还本金，高额利息应该豁免。</t>
  </si>
  <si>
    <t>2019/10/03 11:14:03</t>
  </si>
  <si>
    <t>投诉人黄先生投诉对象时光分期涉诉金额500元问题类型诉求类型投诉详情时光分期，因本人没拿到东西，差我金额500元，请求退款，。</t>
  </si>
  <si>
    <t>2019/10/03 11:12:23</t>
  </si>
  <si>
    <t>信用管家,新意花,小木钱包,畅捷支付,潮州市盛林信息科技有限公司，本人通过信用管家下载申请了新意花，里面的小木钱包贷款，第一次借款2200，到期还3000多已经结清，第二次借2800，一个月到期要还4089，7天还一次，是实在受不了这个平台了，利息过高，无力承担，当初因为取消借款失败，所以就用了这笔钱，要求最后一期直接销账，第二笔借款已经还了3067元，最后一期还需要花1000多的利息，，因为本人第一次借款已经承担了高额息费，故要求最后一期直接销账，并且此平台特别不正规，每次还款都费九牛二虎之力，几经辗转才</t>
  </si>
  <si>
    <t>2019/10/03 11:12:00</t>
  </si>
  <si>
    <t>投诉人秦女士投诉对象博学教育涉诉金额15894元问题类型诉求类型投诉详情博学教育的刘老师让我交钱报名，说就可以参加成人高考了，结果交了，到了快考试的时候，他有告诉我要交钱报名，我告诉他，他们的课程根本就是直播，没有学习性，还有，我看了一次，后面的根本没看，要他退钱，他却不理我。</t>
  </si>
  <si>
    <t>2019/10/03 11:11:48</t>
  </si>
  <si>
    <t>钱站账单还款日一个星期前就打电话让还款，还款日当天就威胁说几点之前必须还上，没有逾期在还款日当天就开始暴力催收，说不还就一直打电话。</t>
  </si>
  <si>
    <t>2019/10/03 11:11:38</t>
  </si>
  <si>
    <t>态度极其恶劣，就连最基本那个公司工号都不愿意提供，群发信息，需要解释清楚。</t>
  </si>
  <si>
    <t>2019/10/03 11:11:25</t>
  </si>
  <si>
    <t>联通公司，之前天天打电话要送宽带，要收设备费，宣传为百兆宽带，安装以后，发现网络很卡，连上无线网平常刷个抖音都卡，反应给当地联通，有师傅上门检查，检测网络为33兆的宽带，检测师傅说是正常的，后来检测因为不是光纤入户，无法到达宣传的100m宽带，联通公司在明知道小区不是光纤入户无法到达100m的宽带的情况下，还隐瞒客户安装宽带，多次向联通反应问题，要求退设备退款，联通说做不到，无法退款，我想知道为何达不到宣传效果，设备还不能退，这不是强盗行为。</t>
  </si>
  <si>
    <t>2019/10/03 11:11:21</t>
  </si>
  <si>
    <t>投诉人郑先生投诉对象京东商城涉诉金额8000元问题类型诉求类型投诉详情2019年8月2日在京东商城购买HP暗影精灵电脑一台，价值近八千元，收到货后出现质量问题，京东售后4日安排换货，但之后京东一直以没货为借口不给发货，期间用户多次催促京东尽快发货，没有结果，京东一直拖了近两个月于9月30日才把电脑寄给用户，收到电脑后，通过系统检测，发现电脑硬盘已经使用76小时、硬盘使用次数高达78次，而且在出厂日期，1、用户付款后买卖合同已经形成，京东拖延近两个月才给用户发货，京东至今没有给用户一个合肥的处理意见，用户要求</t>
  </si>
  <si>
    <t>2019/10/03 11:11:19</t>
  </si>
  <si>
    <t>2019年8.11在闪电借款借了4200，砍头息先付了510，但是借款失败了，有截图为证，闪电借款要求在9.29号要还4400，严重套路贷，本人多次联系客服，客服要求提供银行流水，本人也积极配合去银行打银行流水，但是客服多次草草了事，只会说已反馈，并未实质解决，催收一直在催，先是打电话威胁要爆通讯录，不等解释就挂电话加微信，现本人要求掌众金服退还非法利息，退还收取的非法款项，停止一切催收手段，并及时销账，作出道歉，如不履行，本人将投诉至互联网金融举报信息平台，拨打12363至人民银行投诉到底，给出你们时间去</t>
  </si>
  <si>
    <t>2019/10/03 11:11:09</t>
  </si>
  <si>
    <t>本人于7月19日在樱桃小借借款2500，实际到账1750，分四期还款，由于期间周转不开，导致逾期，现在想偿还，在APP上无法进行还款，并且显示不明朗，打客服电话也无法明确解决。</t>
  </si>
  <si>
    <t>2019/10/03 11:11:01</t>
  </si>
  <si>
    <t>首先这个软件我之前是在拍拍贷平台看到的，并且也是他们推荐的，当时是说低利息、放款快、仅用一张身份证就可以下款了！！没想到现在用了这个平台之后，才知道这个平台是714高炮平台，他们让你逾期，逾期久了，就直接转催收，催收骂人的话简直不堪入耳，甚至还会涉及暴力催收！所以这个平台我希望政府能尽快处理解决掉这种类似的高炮砍头息平台，以免祸害更多的祖国的青年！逾期一天利息都上到了30多块一天，你觉得这种平台是解决别人所需的平台吗，我也希望国家再不断地发展和日渐壮大起来，能把这些拖后腿、破坏祖国的法治的平台企业公司都清除</t>
  </si>
  <si>
    <t>2019/10/03 11:10:37</t>
  </si>
  <si>
    <t>平台私自下款，收取服务费及高额利息，虚假宣传，无法正常还款，暴利催收，欺骗性月周期贷款，诉求归还本金和法定息费无果，以至于预期产生高额罚息，特此投诉，依法维权。</t>
  </si>
  <si>
    <t>2019/10/03 11:08:52</t>
  </si>
  <si>
    <t>2019/10/03 11:08:10</t>
  </si>
  <si>
    <t>以前的借款每期都提前还款从未逾期，因本人最近资金困难已无力偿还那么多金额，想联系客服沟通协商还款问题，可是联系不到客服，眼看就要到还款日期了，想尽快解决问题。</t>
  </si>
  <si>
    <t>2019/10/03 11:08:05</t>
  </si>
  <si>
    <t>投诉人田女士投诉对象平安普惠涉诉金额10000元问题类型诉求类型投诉详情本人在平安普惠的i贷上借款，一直正常还款中！但是这两个月我的工作发生了变化，生意没了，上个月还是勉强还上的！刚找的工作也才没几天，我一个人带两个孩子，生活都是问题！小儿子这几天又摔住了，正在住院，很害怕他们给我家人打电话！想看能不能协商一下，给我点时间让我还钱！或者分期还！谢谢。</t>
  </si>
  <si>
    <t>2019/10/03 11:08:04</t>
  </si>
  <si>
    <t>投诉人卢星投诉对象聚福钱包涉诉金额299元问题类型诉求类型投诉详情下载app绑定银行卡之后恶意扣款299元不予退款。</t>
  </si>
  <si>
    <t>2019/10/03 11:07:37</t>
  </si>
  <si>
    <t>投诉人朱培元投诉对象交通银行,交通银行信用卡涉诉金额4200元问题类型诉求类型投诉详情本人之前一直正常使用交通银行信用卡，最近两个月经济出现正常状况导致逾期了十几天，本人一直在努力筹集资金还款，上午交通银行的催收人员就开始打电话暴力催收，说如果下午两点之前不能还款，将会通知单位和亲属强制使本人失去还款能力。</t>
  </si>
  <si>
    <t>2019/10/03 11:06:44</t>
  </si>
  <si>
    <t>在聚富钱包申请借款，申请过程要求支付评估费用，选择小银劵扣除，未选择银行卡内现金扣除，因卡内余额不足299，该公司36****************5账号于9月30日上午10：09扣我尾号为6080的工商银行卡内100元，10月1日上午10：10该公司215500685扣调6080卡内199元，聚福钱包在我没有同意免密支付，聚福钱包就可以自动从银行卡扣款，本想在聚福钱包借款，没想到款没借到确被恶意扣掉299，,并且这莫名其妙的评估费，在我未知情的情况下扣费，已经侵犯了我的知情权跟财产安全，我并没有收到扣费</t>
  </si>
  <si>
    <t>2019/10/03 11:05:30</t>
  </si>
  <si>
    <t>投诉人 王女士        投诉对象  马上消费金融        涉诉金额  11 000 元    问题类型    诉求类型投诉详情  马上金融账户借款已经逾期 当时已经跟他们催收说了现在困难 缓一个月在还 催收当时说知道了 结果后面每天都几十个电话骚扰 希望骚扰电话能不要这么多 严重影响正常生活了</t>
  </si>
  <si>
    <t>2019/10/03 11:05:29</t>
  </si>
  <si>
    <t>我于10月3号预定一家酒店，早上8点40分到酒店，于是，我拖着疲惫得身体打车又倒了另一家酒店，找在线客服，在线客服显示十几个人排队终于到我了，无法回答我的问题，因为订单显示14:00没有取消订单将不予退款，迫不得已打电话到人工客服从9:12分一直打到10:44分中间打了不下于40个电话都是无人接听状态，而且还会自动断线嘟嘟嘟的声音，又联线在线客服依旧显示占线，打客服电话无人接听大到30多个的时候呼叫已经没有铃声了，前台说第三方网站你要找他们退款就好了，2点之前必须取消如果不取消就退不了。</t>
  </si>
  <si>
    <t>2019/10/03 11:04:41</t>
  </si>
  <si>
    <t>马上消费金融，无休止的骚扰，本期应还金额1800多，本人已经还了1100多了，这两天会再找朋友凑齐钱，然后还进去，本人是十分有还款意愿的，但是马上消费金融早上十点就给我打了六通电话，给我的工作带来了严重的骚扰！！如果骚扰问题得不到解决，回继续向地方信访领导写信反映问题。</t>
  </si>
  <si>
    <t>2019/10/03 11:02:55</t>
  </si>
  <si>
    <t>本店有国家认可的出版物经营许可证，营业执照，出售的书籍都是从天猫商城书店、京东、当当网进货，或是一件天猫店铺代发，9月30日五个商品被淘宝网判售假，扣10分，在出具了天猫代购店铺的正版授权证明、订单截图、本店代发订单截图、代购店铺发票、出版物许可证、营业执照等证据后依然被判申诉不成立！。</t>
  </si>
  <si>
    <t>2019/10/03 11:02:28</t>
  </si>
  <si>
    <t>投诉人邹先生投诉对象携程旅游涉诉金额566元问题类型诉求类型投诉详情在携程上面预定了两天房间，由于行程原因无法办理入住，已与该酒店房东协商好办理退房退款，有录音为证，房东告知需联系平台客服，已拨打十多次客服电话无人接通甚至直接挂断，平台后台也不可办理取消订单，试问携程如此大平台，现在是在强买强卖，强制入住吗，现要求该平台尽快与我方联系，给出解释，办理退房退款，如不退款，我方将会持续往各大平台进行投诉，维护消费者权益！！！！。</t>
  </si>
  <si>
    <t>2019/10/03 11:02:20</t>
  </si>
  <si>
    <t>营销时，宣传的户外广告、宣传彩页、图文、沙盘、微信公众号、样板房等等都是商住两用公寓用途进行宣传销售并签约合同，现在交房的房屋用途是办公，按法规办公性质的商品房不能居住，我们业主要收的房屋是销售承诺的商住两用用途的公寓.主要诉求：本人要求退房，开发商赔偿由此带来的一切损失。</t>
  </si>
  <si>
    <t>2019/10/03 11:02:19</t>
  </si>
  <si>
    <t>投诉人李先生投诉对象闪信分期涉诉金额5500元问题类型诉求类型投诉详情首期借款1500，砍头息就有400多，上个月还款后就不能用了，利息累计多收了7000多。</t>
  </si>
  <si>
    <t>2019/10/03 11:02:15</t>
  </si>
  <si>
    <t>投诉人李先生投诉对象智行,贵阳惠德嘉酒店式公寓涉诉金额89元问题类型诉求类型投诉详情投诉一：我确实是在智行平台预订了酒店，但是，我行程有变，住不了了！我当天预订，当天早上九点就开始取消，但是，平台上被设置了不可取消，这是霸王条款投诉二，我在平台找了线上智行客服，客服全程用机器人的语气和我交流，下面有截图！这是客服处理不当，投诉三：智行客服说他处理不了，让我打02122268939，我听他的，我打了几十个，下面有截图！大部分拨出去几秒钟就自动挂断，有一个，我听了五分钟的音乐也没人接，这很明显，他们的客服电话出</t>
  </si>
  <si>
    <t>2019/10/03 11:02:09</t>
  </si>
  <si>
    <t>高利贷，电话轰炸催收，在我一直积极协商配合且未失联的情况下电话骚扰我的家人，让与此事无关的我的家人日常生活受到严重影响，甚至威胁要“轰炸”我通讯录内所有无辜的亲朋好友来偿还我个人的债务。</t>
  </si>
  <si>
    <t>2019/10/03 11:01:12</t>
  </si>
  <si>
    <t>玖富万卡的费用分期都快超过了借款本息，本人2018年6月3号在玖富万卡上借的一笔12000元分48期还款，费用分期就需要还款11000元已经主动还款14期共还了8538.46元人民币！如果现在结清这笔还需要15450.，94元，第二笔借款2018年11月9号借款本金7400元分36期还款，分期费用需要5544.08，已经主动还款10期共还了4275.4剩余未还本息加费用分期分别为4867.67和3646.85共8514.52！还有一笔借款6200元整本息已经还了，还需要还款费用分期3505.64！现在感觉一</t>
  </si>
  <si>
    <t>2019/10/03 11:01:11</t>
  </si>
  <si>
    <t>微信账号被盗，绑定手机被盗号者更改，所有的好友均被盗号者拉黑，无法完成自己申诉，联系微信官方客服一直无法接通，微信客服公众号无法完成诉求，零钱里面的余额无法取出，望微信官方速处理，联系电话：182******94。</t>
  </si>
  <si>
    <t>2019/10/03 11:00:54</t>
  </si>
  <si>
    <t>投诉人伍先生投诉对象滴滴出行涉诉金额18元问题类型诉求类型投诉详情2019.9.2发现滴滴账号上出现了几个订单，都不是本人操作，更不是本人乘车，马上致电订单中的滴滴师傅，我说我没下单怎么会显示坐你的车，马上联系滴滴客服要求要求提供当时的录音录像，后来滴滴客服来了几次电话说这个单给你取消，录音录像就给不了你，就这样就不了了之，到今日整整一个月过去了，订单还挂在上面还需要我付费还是没有人联系我提供录音录像，没有滴滴人员解释这是什么情况！这是安全问题阿，消费者需要有知情权！该怎么样处理。</t>
  </si>
  <si>
    <t>2019/10/03 10:59:54</t>
  </si>
  <si>
    <t>诱骗我进行所谓的信用评估，然后绑定银行卡免密支付，最后恶意扣款。</t>
  </si>
  <si>
    <t>2019/10/03 10:59:04</t>
  </si>
  <si>
    <t>科技有限公司,深圳市陆压道君贸易有限公司,云闪付，通过中国人民银行和支付清算协会沟通得知第三方支付业务应审核客户的相关信息，第三方支付公司不得向证券、期货、博彩等机构提供支付结算业务，本人被引诱到一个网站充值入金1800元，后来发现是网络赌博平台，并非正规的购彩网站，作为有牌照的支付公司没有履行国家相关法律法规要求。</t>
  </si>
  <si>
    <t>2019/10/03 10:58:59</t>
  </si>
  <si>
    <t>暴力催收，高利贷，强搭保险和服务费，逾期暴力催收工作人员给父母打好几个电话威胁恐吓。</t>
  </si>
  <si>
    <t>2019/10/03 10:58:48</t>
  </si>
  <si>
    <t>2017年6月2号在捷信借款45000还到今天还有17没还，现在做生意赔钱了无力偿还，我算了一下利息比本金还高，请求聚投诉给解决一下给个活路。</t>
  </si>
  <si>
    <t>2019/10/03 10:58:41</t>
  </si>
  <si>
    <t>投诉人 徐远鹏        投诉对象  瓜子二手车        涉诉金额  17 116 元    问题类型    诉求类型投诉详情  看车的时候车是17万左右 利息算下来车需要20多万元 超出预算太多 所以不打算要了</t>
  </si>
  <si>
    <t>2019/10/03 10:58:36</t>
  </si>
  <si>
    <t>出现顶号，卖家恶意破坏，损号，恶意找回，我想把我的186块退回来。</t>
  </si>
  <si>
    <t>2019/10/03 10:58:23</t>
  </si>
  <si>
    <t>投诉樊登读书会不退钱，app缴费后根本用不了，推卸责任，樊登的客服电话根本没人接只发个邮件让找苹果app，苹果app让找樊登，几天了，都没有处理，就发个邮件，让找苹果退钱，还说按天扣钱，谈什么教书育人只懂广谋财，根本不懂教书育人。</t>
  </si>
  <si>
    <t>2019/10/03 10:56:38</t>
  </si>
  <si>
    <t>未经本人同意私自违法拖车，给本人造成很大影响。</t>
  </si>
  <si>
    <t>2019/10/03 10:55:28</t>
  </si>
  <si>
    <t>投诉人宋亚超投诉对象闪电公积金涉诉金额2000元问题类型诉求类型投诉详情本人家里出了困难一时还不上给他们协商不行利息太高。</t>
  </si>
  <si>
    <t>2019/10/03 10:55:23</t>
  </si>
  <si>
    <t>在2019年4月23在快闪卡贷平台贷款15000元，下款时实际到账12626.45元，被快闪卡贷平台已各种理由扣除2373.55元，还款分6期，每期去要还款3009元，相当于6个月要还5427.55元的利息，这样的利息年利率高达90%以上，离国家规定的最高年利率的36%超出太多，完全是高利贷，这让我背上了沉重的经济负担，我已经正常还款5个月，还款15045元，国家规定超出年利率36%的高利贷可以不还，因还其他套路贷一环套一环，其他平台已经同意销账。</t>
  </si>
  <si>
    <t>2019/10/03 10:54:52</t>
  </si>
  <si>
    <t>高利贷来花花，借款到账1400，5天后要还，2000元，续期3天，实际2天，要300.18，续期2次通过支付宝，都是通过汇潮支付下的款，还的利息早就超过本金了，希望协商处理，每天都是还款日，如果不处理，本人会投诉到底，下面有到账金额，和还款金额，都是通过汇潮支付。</t>
  </si>
  <si>
    <t>2019/10/03 10:54:48</t>
  </si>
  <si>
    <t>投诉人冯先生投诉对象快闪卡贷涉诉金额10000元问题类型诉求类型投诉详情本人于2019.4.22号从快闪卡贷借了一笔合同金额10000元，转账到卡后立马被快闪卡贷转走1480元，借合同金额10000元实际到手8520元，在我不知情的情况下转走借款，希望贵平台给一个合理解释，账单分6期还，每期1835.79元，总还款金额高达11014.74元，我现在强烈要求快闪卡贷补转1480元，按照合同借款金额10000元给到我手！并且年利率高达90%以上，离国家规定的最高年利率的36%超出太多，完全是高利贷，让我背上了沉</t>
  </si>
  <si>
    <t>2019/10/03 10:54:42</t>
  </si>
  <si>
    <t>投诉人兰先生投诉对象唯品会涉诉金额69元问题类型诉求类型投诉详情本人于2019年6月11日在唯品会购买花花公子皮带一条，15日收到货，25日开始使用，到8月底发小皮带扣右下角有点脱漆，没有在意，后来脱漆面积越来越大，我就用指甲刮了下，发下用指甲很容易把漆刮下来，10月1日和唯品会沟通，说是和店家联系沟通，10月2日15时14分，唯品客服回复说皮带属于消耗品，且已过维保期，但是可以给我维修，我不接受调节，唯品客服说是再去沟通，并请求我现在是70周年庆典期间不要把事情闹大，他们公然售假，问题败露后还玩起踢皮球！</t>
  </si>
  <si>
    <t>2019/10/03 10:54:31</t>
  </si>
  <si>
    <t>投诉人石先生投诉对象手机借钱涉诉金额6000元问题类型诉求类型投诉详情多宝分期高利贷！借款4000，分四期还款，每期15天！要还6397，利息高达2397！这是典型的高利贷！超出国家规定多少了！在国庆这个时候给国家抹黑，已经还完3期，已经还完本金还多出500元！今天不给解决，投诉到底！。</t>
  </si>
  <si>
    <t>2019/10/03 10:54:13</t>
  </si>
  <si>
    <t>本人9月份资金周转困难遂在闪银借款一个月周转，已于9月30日还款，10月2日在提交申请，但未开通资金存管账号的情况下仍然放款至本人0719的农行卡上，对这一情况本人于10月3日致电闪银客服表示愿意偿还本金3000元以及一个月利息90元，不想还他们的担保凭证也就是砍头息共计398元，接通客服电话只问了本人号码是否为办理贷款号码之后再也打不通了。</t>
  </si>
  <si>
    <t>2019/10/03 10:52:22</t>
  </si>
  <si>
    <t>我10/2在携程app上预定了澳门威尼斯人酒店，，订单是三晚连着预定的，价格是26141，已经在网上支付完成，但是10/3一早在携程网上看，三晚分别预定的价格分别是5058，，总价只要13577，三晚连着订的总价一样是26141，所有房型条件一样的情况下，价差却有一倍左右，所以打电话跟携程投诉申请取消订单后重新预定，但是携程跟酒店房协调后，回复我说酒店不同意取消，要酒店方同意，我联系酒店，酒店却说这个是携程那边才能处理，因目前仍未到入住时间，希望通过贵平台投诉携程的不能取消条款及价格机制问题。</t>
  </si>
  <si>
    <t>2019/10/03 10:52:12</t>
  </si>
  <si>
    <t>投诉人 马女士        投诉对象  买单侠        涉诉金额  6 000 元    问题类型    诉求类型投诉详情  发短信恐吓我以及我的朋友家人 恶意骚扰 暴力催收</t>
  </si>
  <si>
    <t>2019/10/03 10:51:28</t>
  </si>
  <si>
    <t>投诉人吴金昌投诉对象美团点评涉诉金额298元问题类型诉求类型投诉详情中国建设银行卡9月28日下午被美团点评扣款297.85元，向美团客服查询说没有查询到订单，无法解决，但扣款账号为美团点评账号。</t>
  </si>
  <si>
    <t>2019/10/03 10:51:14</t>
  </si>
  <si>
    <t>投诉人王先生投诉对象牛人有品,畅捷支付涉诉金额1900元问题类型诉求类型投诉详情牛人有品借款1900到账1300多15天一期本人最近被714害的身无分文催收威胁我不还就打通讯录如果畅捷支付在不处理本人将会走法律程序如果对我暴力催收本人一定去打黑办投诉去报警。</t>
  </si>
  <si>
    <t>2019/10/03 10:49:42</t>
  </si>
  <si>
    <t>每天都有显示光大银行来电，说找谁谁谁，严重影响生活，。</t>
  </si>
  <si>
    <t>2019/10/03 10:49:17</t>
  </si>
  <si>
    <t>买家收货却不在平台确认收货，并于10月3号00:16发起恶意仲裁。</t>
  </si>
  <si>
    <t>2019/10/03 10:47:49</t>
  </si>
  <si>
    <t>买家29号因为人脸识别原因仲裁，期间客服处理过一次，要我提供姓名，已经人脸识别的视频，到现在为止，我已经多次催促加急处理，可是都无人回应，现在个人隐私信息已经提供给交易猫，却没有给我答复，有理由怀疑隐私外漏的安全问题，希望交易猫给我个答复，加急处理这个订单。</t>
  </si>
  <si>
    <t>2019/10/03 10:47:40</t>
  </si>
  <si>
    <t>于2019/10/03在没有被告知的情况下恶意扣款。</t>
  </si>
  <si>
    <t>2019/10/03 10:47:39</t>
  </si>
  <si>
    <t>拉卡拉扣留我结算资金2291元，资料我都提交了，让我等待审核，都半个月过去了，还不给我处理，账号也给我关闭了，资金也不给我结算，希望结算资金，谢谢。</t>
  </si>
  <si>
    <t>2019/10/03 10:45:27</t>
  </si>
  <si>
    <t>中邮消费金融循环贷款，现在只能还款不能借款，冻结额度。</t>
  </si>
  <si>
    <t>2019/10/03 10:45:21</t>
  </si>
  <si>
    <t>昨天晚上下午六点多，邮箱收到苹果自动发送邮件提醒账号在一台未使用过的电脑或者设备上登陆，马上手机上就弹出三条扣款短信，显示在一款手机游戏上连续购买了三个钻石包，每个648元人民币，本人并没有下载过该款游戏，当下联系苹果官方进行处理，管理账号的客服人员在了解盗刷情况后，帮我提交了退款申请，但以官方系统不予退款为由拒绝了我的退款申请，本人再三坚持让对方给我一个退款不成功理由，后来转接到高级经理处，再次了解盗刷经过以及确认盗刷的笔数以及金额，提交了二次退款申请，同样以官方系统不予退款为由拒绝了我的申请，并且告知苹</t>
  </si>
  <si>
    <t>2019/10/03 10:44:53</t>
  </si>
  <si>
    <t>现在希望三家平台协商解决还款问题，现在资金不足我会尽快安排处理好逾期欠款，要是在骚扰联系人和家人我就报警除里，和银监会中国互联网金融机构举报投诉。</t>
  </si>
  <si>
    <t>2019/10/03 10:44:45</t>
  </si>
  <si>
    <t>而且该软件提示有六人点了喜欢，但实际只有一人，且从注册开始一直无法修改个人资料，存在严重欺骗消费者，。</t>
  </si>
  <si>
    <t>2019/10/03 10:44:16</t>
  </si>
  <si>
    <t>投诉人 白女士        投诉对象  玖富        涉诉金额  43 000 元    问题类型    诉求类型投诉详情  玖富万卡借了3万9 还了一年还要还4万3 之前协商期间还擅自银行卡扣款 协商金额一直拖 并不是诚心协商 如果玖富不诚恳那我只能起诉处理 如果有骚扰联系人情况报案处理。</t>
  </si>
  <si>
    <t>2019/10/03 10:44:06</t>
  </si>
  <si>
    <t>2019年8月借款8000，现在利息高达百分之30，实在在我承受范围之外了，望小象优品能降低手续费，8000要还10872。</t>
  </si>
  <si>
    <t>2019/10/03 10:44:04</t>
  </si>
  <si>
    <t>2019/10/03 10:43:49</t>
  </si>
  <si>
    <t>昨天已经和客服还有催收协商了今日还款，说明了情况，国庆在老家不方便存钱还款，答应了不爆通讯录。</t>
  </si>
  <si>
    <t>2019/10/03 10:43:22</t>
  </si>
  <si>
    <t>预期了一有了钱一定第一时间给你们买请你们停止对我母亲的我父亲。</t>
  </si>
  <si>
    <t>2019/10/03 10:42:15</t>
  </si>
  <si>
    <t>自2019年9月18日至今十四个规定时间已经他们拒不退款。</t>
  </si>
  <si>
    <t>2019/10/03 10:41:42</t>
  </si>
  <si>
    <t>本人9月30号在APP上提交资料，没通过，但是今天他们把我自动扣款，。</t>
  </si>
  <si>
    <t>2019/10/03 10:41:39</t>
  </si>
  <si>
    <t>投诉人靖迎彬投诉对象美好分期平台,套路贷涉诉金额5000元问题类型诉求类型投诉详情恐吓骚扰不好好协商语气强硬。</t>
  </si>
  <si>
    <t>2019/10/03 10:41:29</t>
  </si>
  <si>
    <t>借款12500，十二个月，最后还款19974。</t>
  </si>
  <si>
    <t>2019/10/03 10:41:19</t>
  </si>
  <si>
    <t>投诉人夏季飘逸投诉对象造艺科技,聚富分期涉诉金额299元问题类型诉求类型投诉详情未经同意擅自扣款没有任何提示，没有输密码，没有短信直接扣款。</t>
  </si>
  <si>
    <t>2019/10/03 10:41:13</t>
  </si>
  <si>
    <t>投诉人 毕女士        投诉对象  马上消费金融        涉诉金额  600 元    问题类型    诉求类型投诉详情  恶意爆通讯录影响家人正常上班生活 影响本人生活工作</t>
  </si>
  <si>
    <t>2019/10/03 10:40:56</t>
  </si>
  <si>
    <t>平台，是高利贷平台，本人由于资金周转困难在该平台借款3000元人民币，一共分4期偿还，每7一天还一期，每期需还款1023.52元，现已偿还3期，共3070.56元，已经高于实际到账金额，并且APP不显示任何还款记录，让受害者无从投诉，10月4日为最后一期还款日，本人已无任何能力再支付这种吸人血的利息，现要求平台方尽快与我联系协商还款销账，不然我只能向相关金融部门继续投诉举报！。</t>
  </si>
  <si>
    <t>2019/10/03 10:40:14</t>
  </si>
  <si>
    <t>投诉人胡先生投诉对象拼多多涉诉金额15元问题类型诉求类型投诉详情买家单方面的不满意商品，我们同意退货退款，拼多多处理人员擅自退款给买家，不分青红皂白，处理态度相当的不负责任，社会影响恶劣！现在投诉拼多多官方给出处理结果，要求赔偿金额，道歉！后续负责人的处理售后严格负责。</t>
  </si>
  <si>
    <t>2019/10/03 10:39:37</t>
  </si>
  <si>
    <t>玖富万卡高利贷，污蔑人，谁不接电话了，没打电话过来就说联系不上，你们自己去查哪次电话打开没接，我还主动给你们留过手机号码让联系我，先前联系你们客服，你们客服不是说只会联系借款人本人，不会联系其他人的吗，该还的钱我一定会还，请你们做好自己的工作，有什么都可以打来电话沟通，我不会不接电话，如果因为你们公司的行为发生什么事情，你们负责，我一定不会善罢甘休！。</t>
  </si>
  <si>
    <t>2019/10/03 10:39:33</t>
  </si>
  <si>
    <t>助力钱包30号到期，现在才3号，逾期几天利息就变这么高，这属于高利贷吧！说的下午4点前还款，我要不要还呢。</t>
  </si>
  <si>
    <t>2019/10/03 10:38:58</t>
  </si>
  <si>
    <t>贷上钱清风钱包还在打我通讯录，甚至跟我通讯录里的人吵架！9月30日晚还给我打电话说十月一号还要给我通讯录打电话，让我亲朋好友连节都过不好！。</t>
  </si>
  <si>
    <t>2019/10/03 10:38:47</t>
  </si>
  <si>
    <t>投诉人陈女士投诉对象拍拍贷涉诉金额260000元问题类型诉求类型投诉详情每天换不同的电话打电话来，一会合肥，一会上海的。</t>
  </si>
  <si>
    <t>2019/10/03 10:38:33</t>
  </si>
  <si>
    <t>投诉人 徐先生        投诉对象  买单侠        涉诉金额  1 200 元    问题类型    诉求类型投诉详情  强行让我们多还一千多元 目前只欠427元 强行要求我还1757.34元 多出了1330元</t>
  </si>
  <si>
    <t>2019/10/03 10:38:28</t>
  </si>
  <si>
    <t>停止恶意寻找联系人乱打电话，并给出合理理由。</t>
  </si>
  <si>
    <t>2019/10/03 10:36:47</t>
  </si>
  <si>
    <t>已经打电话给光大分行协商还款了，他们却依然在国庆期间打电话骚扰，强烈要求光大停止骚扰。</t>
  </si>
  <si>
    <t>2019/10/03 10:36:11</t>
  </si>
  <si>
    <t>一面前我在广西移动办理手机卡的时候，在我明确告知我不需要办理副卡的情况下广西移动工作人员表示必须办理副卡，这是强制捆绑行为，我的副卡有半年没有使用过，于今年7月份8月份9月份共三次去广西移动营业厅提出要注销副业业务，到现在广西移动始终不给我办理注销业务，10月份的资费套餐里多出了一个副卡共享业务收费，中国移动，广西移动这是恶意捆绑销售，工作人员不作为，欺瞒和敷衍消费者。</t>
  </si>
  <si>
    <t>2019/10/03 10:36:07</t>
  </si>
  <si>
    <t>投诉人洋洋投诉对象易到用车涉诉金额2132元问题类型诉求类型投诉详情易到用车退款，要求退款2132元，退还到充值原账户。</t>
  </si>
  <si>
    <t>2019/10/03 10:36:04</t>
  </si>
  <si>
    <t>投诉人张先生投诉对象途虎养车网涉诉金额1000元问题类型诉求类型投诉详情途虎广告点击得1000油卡，点击进入是花钱抽奖！客服牛的很，多次问工号都不说！这种企业欺骗客户，太过分，店大欺客，请国家有关部门好好整治，谢谢！图片都有大了上不了，随时调看，包括牛气的客服对话！这种企业不倒闭，天理不容！。</t>
  </si>
  <si>
    <t>2019/10/03 10:34:48</t>
  </si>
  <si>
    <t>投诉编号：CN1250247通过这个编号的帖子已经和多米贷协商还款金额为787元9月30多米贷己经扣款但还没销帐还有催收人员打电话给我。</t>
  </si>
  <si>
    <t>2019/10/03 10:33:13</t>
  </si>
  <si>
    <t>投诉人管女士投诉对象滴滴金融,滴滴出行涉诉金额10000元问题类型诉求类型投诉详情昨天有一笔借款到期手动还款一直显示网络问题其他借款都可以正常还款就这一笔一直不行系统问题导致我现在逾期一天影响了我的个人征信希望能尽快帮我解决一下这个问题谢谢。</t>
  </si>
  <si>
    <t>2019/10/03 10:32:06</t>
  </si>
  <si>
    <t>9月2日网贷，在贷上钱贷款了2500元，利息75元，还额外收取600元，而这600元购买酒店购物卷，这酒店购物卷并未入我名下，类似像勒索索取另外不知名费用，另外就是贷上钱客服以及催收人员态度极差，而且催收人员以恐吓名义威胁我与家人和朋友，暴力催收不成就骚扰通讯录里朋友以及家人，本人因2019年9月17日辞去工作，因患了慢性肝炎疾病，要我还钱可以，我要选择分期还款，如果不能分期还款我自己也无能力为力，最多只能分期还款。</t>
  </si>
  <si>
    <t>2019/10/03 10:31:01</t>
  </si>
  <si>
    <t>国庆假期的一大早，又是短信轰炸，又是电话轰炸，又是微信骚扰，我在以前就跟微粒贷催收说过，我最近有些困难，但也在一点点还款，没有不还款微粒贷、微众银行，依然不断暴力催收，不只是我还有我的家人朋友深受其害，国庆节违法犯罪，作为腾讯旗下的公司真的就逍遥法外吗。</t>
  </si>
  <si>
    <t>2019/10/03 10:30:04</t>
  </si>
  <si>
    <t>投诉人 张女士        投诉对象  翼钱包        涉诉金额  2 000 元    问题类型    诉求类型投诉详情  砍头息展期费用高达630七天 714高炮</t>
  </si>
  <si>
    <t>2019/10/03 10:29:32</t>
  </si>
  <si>
    <t>借款人在2019年福州凡普金科福州门店实际借款58000，合同还款金额为9万多，收取砍头息，分36个月还每月还3700左右，属于高利息，已还3期，逾期两天就进行爆力催收，未经本人同意到处发送亲朋好友短信和在微信上告知借款人的亲朋好友跟领导，影响朋友的正常生活并使个人名誉受到损害，要求进行处理。</t>
  </si>
  <si>
    <t>2019/10/03 10:29:13</t>
  </si>
  <si>
    <t>我在2019.1.6在及贷上申请了笔8400元的贷款，分12期，每期还款为952元，这样算下来12期一共要还11424元，3024元的利息还是等额本息，已经属于高利贷了，而且最近登APP一直登不进去，我根本看不到自己的借款合同，我有理由相信是他们公司刻意而为之，因为他们有和第三方合作每月直接从我绑定的卡里扣钱，我现在还了8期，一共7616元，利息超过国家规定的36％的事觉得理所当然，现要求还最后784元，销账结清。</t>
  </si>
  <si>
    <t>2019/10/03 10:29:06</t>
  </si>
  <si>
    <t>虚假宣传活动，又不兑现奖励，找客服一开始说赔偿张15红包，我没有同意，后来又找客服，就说我用不了那个券，那邀请的时候为什么不说。</t>
  </si>
  <si>
    <t>2019/10/03 10:28:29</t>
  </si>
  <si>
    <t>714高炮，收取高额砍头息，明天写的30天实际6天，借款3000实际放款2100，六天，爆通讯录，恐吓！。</t>
  </si>
  <si>
    <t>2019/10/03 10:28:08</t>
  </si>
  <si>
    <t>从来没有联系我本人，直接跟我家人打电话，暴力催收，我家人本就脆弱，导致他们有轻生的想法，希望你们能处理一下，谢谢。</t>
  </si>
  <si>
    <t>2019/10/03 10:28:06</t>
  </si>
  <si>
    <t>投诉人詹女士投诉对象腾讯应用宝涉诉金额0元问题类型诉求类型投诉详情未经在苹果系统和安卓系统认证的网贷平台，可在腾讯应用宝显示，严重影响了用户的信息安全，希望对应用宝的网贷平台进行整理关闭，检查应用宝里的网贷平台是否合法！。</t>
  </si>
  <si>
    <t>2019/10/03 10:28:01</t>
  </si>
  <si>
    <t>信用管家APP纵容高利贷平台91买呗、收取高额砍头息，借2000，砍头息500，客服不处理就报警了。</t>
  </si>
  <si>
    <t>2019/10/03 10:27:54</t>
  </si>
  <si>
    <t>催收不停的骚扰我不停的给我发短信跟电话，信息我删掉了，催收电话我留着，。</t>
  </si>
  <si>
    <t>2019/10/03 10:27:45</t>
  </si>
  <si>
    <t>玖富万卡到账了不能提现，而且产生利息，严重的欺骗消费者。</t>
  </si>
  <si>
    <t>2019/10/03 10:27:42</t>
  </si>
  <si>
    <t>十月三日上午九点四十多无故扣款，怀疑盗刷，窃取个人信息。</t>
  </si>
  <si>
    <t>2019/10/03 10:27:38</t>
  </si>
  <si>
    <t>投诉人王先生投诉对象立借涉诉金额6500元问题类型诉求类型投诉详情明明是分12期，我以为是等额，利息我也能接受，但是为什么前三期就全部要还完。</t>
  </si>
  <si>
    <t>2019/10/03 10:26:15</t>
  </si>
  <si>
    <t>借款3000实际到账2千三期一共还款3500多逾期一天一期还1200多。</t>
  </si>
  <si>
    <t>2019/10/03 10:25:39</t>
  </si>
  <si>
    <t>我一直想还款，也努力配合还款，也接电话，只是一下子还不上全款，但是都有还款记录，为什么就上了老懒。</t>
  </si>
  <si>
    <t>2019/10/03 10:25:28</t>
  </si>
  <si>
    <t>本人因经济原因在2019年6月6日在信用飞借款4000元，平台年化利息20%，但是在放款后收取了800的保险费用，涉嫌违规搭售，这样算来年化利息达到了40%！国家三令五申现金贷业务不得收取砍头息和违规搭售，希望公司作出解释并且退换费用。</t>
  </si>
  <si>
    <t>2019/10/03 10:24:55</t>
  </si>
  <si>
    <t>投诉人明先生投诉对象豹子贷,造艺科技涉诉金额100元问题类型诉求类型投诉详情“豹子贷”平台是套路贷----8月2日登陆注册平台就强扣捆邦银行卡100元祖国建国70周年，国庆节前又刮起一阵“净网”行动，全国人民都在喜悦中，祝愿我们国家越来越强大，人民幸福美满，法治社会主义伟大而自豪回忆我8月份有一件未完成的投诉的事情，就是“豹子贷”平台是套路贷，平台是套路贷强扣捆邦银行卡费用个人申请资格评估服务，他们这个平台这费用所谓“个人申请资格评估服务”强扣费用，在8月2日他们平台有强扣费用的短信，当时没有意识到保存好些</t>
  </si>
  <si>
    <t>2019/10/03 10:24:43</t>
  </si>
  <si>
    <t>投诉人张先生投诉对象通联支付涉诉金额249元问题类型诉求类型投诉详情在我不知情的情况下，也没有输密码，就无缘无故把我的钱扣掉了！还有没有王法。</t>
  </si>
  <si>
    <t>2019/10/03 10:23:28</t>
  </si>
  <si>
    <t>2019/10/03 10:22:57</t>
  </si>
  <si>
    <t>今日头条钱包放心借逾期，由中银消费金融支持放款，一直短信提示还款，但是根本没有还款通道，导致滞纳金不停增加，希望平台方能做出解释，并尽快解决，。</t>
  </si>
  <si>
    <t>2019/10/03 10:22:47</t>
  </si>
  <si>
    <t>因为生意出现了问题，信用卡逾期，催收暴力催收，我已经说明了问题，父母年纪大了，在家务农，没有什么钱，孩子小，老婆没有工作，所以希望银行催收不要恐吓我，威胁我，有什么问题可以找我，还有母亲有心脏病，希望银行不要借题发挥，特意找我母亲，吓唬老人家，只要有钱了，到时候我会立马还，以后都不用交通信用卡，现在逾期了，银行就来说为什么要办信用卡，以后交通给别人办信用卡，马后炮来找事，还威胁我，说要来抓我坐牢，反正我有钱了肯定立马还，不是不还，是现在确实没钱，请不要买威胁我说找我父母，然后如果银行真来抓我，请来找我，不要</t>
  </si>
  <si>
    <t>2019/10/03 10:22:14</t>
  </si>
  <si>
    <t>投诉人李先生投诉对象智行涉诉金额114元问题类型诉求类型投诉详情在智行火车票app订了车票后顺便订了酒店，后来因故不能去住，联系客服电话打不通，在线客服来来回回就让我打客服电话，怀疑是机器人，要求尽快和我联系，取消订单。</t>
  </si>
  <si>
    <t>2019/10/03 10:21:23</t>
  </si>
  <si>
    <t>和平台协商后还款、免除逾期费用、平台同意了、可还款后没有减免逾期费用、又开始催收。</t>
  </si>
  <si>
    <t>2019/10/03 10:21:15</t>
  </si>
  <si>
    <t>借款7000，到账8776.23元然后又秒扣1776.23元我看了一下app还款金额仍然是8776.23元，催收直接说两小时不处理就让你的通讯录里的人帮你处理，我本着协商的态度和你们商量，你们要曝光个人隐私，现在一句话不能满足你们，你们就开始侵犯隐私，国庆期间知法犯法了吗。</t>
  </si>
  <si>
    <t>2019/10/03 10:20:44</t>
  </si>
  <si>
    <t>借款两千到手一千四，已经陆续展期一年多了，一个月展期费1100元，展期费已经远超本金了，对方自称小小借条，没有APP，一直微信联系，对方账户是王海瑞，对方手机号‭153。</t>
  </si>
  <si>
    <t>2019/10/03 10:20:35</t>
  </si>
  <si>
    <t>2019年7月借款到账9100却要还11840多收取出2740的保费，这不是变相的高利贷是什么，变相收砍头息，望给个解释，。</t>
  </si>
  <si>
    <t>2019/10/03 10:20:24</t>
  </si>
  <si>
    <t>煮过的猪肉不积极解决，拖了十几天三号消费者如何退货，9.13第一次在京东商城熊氏牧场自营旗舰店下单购买荷兰冻肉和加拿大冻肉，送达时外包装滴水，第一时间放进冰箱，晚上拆开荷兰冻肉，煮开后味道怪异，捞出一闻，臭味极重，明显变质不新鲜！京东客服让消费者把煮熟的猪骨打包，三天内上门退货，京东不积极解决问题，每天来电响一声没及时接听就不再来电，一天拖一天，十几天后依然要求退货才能退款，你们来告诉消费者怎么给你退，煮过又不能吃的东西放在家里长虫招老鼠蟑螂吗，不合情不合理，如果坚持强卖强买，要消费者承担，必定投诉至相关食</t>
  </si>
  <si>
    <t>2019/10/03 10:19:22</t>
  </si>
  <si>
    <t>恐吓我，电话骚扰，骚扰朋友，骚扰家人，骚扰同事。</t>
  </si>
  <si>
    <t>2019/10/03 10:18:12</t>
  </si>
  <si>
    <t>本来在智行app定了10月2日和10月3日两晚的武汉泰华商务宾馆，后改变行程，只住了10月2日一晚，我们又定了武汉如家快捷酒店，大老远打车去到，说住不了，说携程后台崩溃了，没有收到我们的信息，这个订单也不给我们退。</t>
  </si>
  <si>
    <t>2019/10/03 10:17:25</t>
  </si>
  <si>
    <t>投诉人 马先生先生        投诉对象  钱站        涉诉金额  1 000 元    问题类型    诉求类型投诉详情  借款两千，三个月到期还款三千。逾期暴力催收，骚扰恐吓通讯录联系人</t>
  </si>
  <si>
    <t>2019/10/03 10:17:00</t>
  </si>
  <si>
    <t>本人于十月一日需还款一千八百多，但因本人资金不足，所以想申请最低还款！。</t>
  </si>
  <si>
    <t>2019/10/03 10:16:29</t>
  </si>
  <si>
    <t>该行催收人员轮流换私人手机号对我进行骚扰，一个冒充刘律师，一个冒充当地可以上门的执法人员，我电话打得通他们也可以找到我，就是威胁我一顿就要去找我家人，对我提出的疑问不愿回答觉得我是嚣张态度不好，毫无业务能力，希望有一个解决办法。</t>
  </si>
  <si>
    <t>2019/10/03 10:16:10</t>
  </si>
  <si>
    <t>钱站私立阴阳合同，非法套路贷，非法收取高额利息和服务费，本人借款4000元分3期，每个月还款2590元，3期一共还款7500多元！先不说这个利息太高，合同里竟然写的是我借了七千多元，借款金额是七千多，为何到账的是4000元，而不是7500元，在不经本人确认同意的情况下私自制定阴阳合同，而侵害本人合法权益，现在已经还了两期，已经还了5千多元，还剩一期，现在到期了钱站非法骚扰，电话，短信轰炸，已经影响到了我的生活，还恐吓我，恐吓我的家人，爆我通讯录，严重侵犯了我的个人隐私和侵犯我家人及通讯录的朋友生活！我已经在</t>
  </si>
  <si>
    <t>2019/10/03 10:15:42</t>
  </si>
  <si>
    <t>我在豆豆钱贷款6600，每期还款698.5，分12期还，因为客户有时累积打款会推迟，今天逾期了，可是逾期费一天高达100，还款界面变成了要还798.5，不可思议！！！平民家100元这么好挣，还乱打亲戚朋友的号码！说是紧急联系人！前面的几次我都还了，现在我需要给个说法！。</t>
  </si>
  <si>
    <t>2019/10/03 10:15:02</t>
  </si>
  <si>
    <t>投诉人毋先生投诉对象河南联通涉诉金额315元问题类型诉求类型投诉详情应该是从三月份开始手机话费就莫名其妙扣的很快，办理宽带的时候交了600块钱话费，没几个月就用完了，但是手机固定套餐费跟流量费用远远用不了这么快8月欠费后又交了200，现在又欠费了，查了之后才发现莫名其妙多了一个小沃科技TV扣费，一个月45块钱扣了7个月，自己也没有收到任何关于开通业务的提示和确认通知，莫名其妙多花了几百块钱而且自己根本不知道，希望联通方面能停止这种乱扣费现象并且退还这几个月多扣的增值业务费用。</t>
  </si>
  <si>
    <t>2019/10/03 10:14:58</t>
  </si>
  <si>
    <t>投诉人刘亚超投诉对象滴滴出行涉诉金额0元问题类型诉求类型投诉详情我是一名在北京跑滴滴快车的专职司机2017年8月加入滴滴对公司机做了两年的对公司机9月份车到期了我想退出对公司机模式对公公司以各种理由不给我解除对公模式导致我不能添加车辆正常出车联系滴滴客服它们一直不给处理一直托。</t>
  </si>
  <si>
    <t>2019/10/03 10:14:28</t>
  </si>
  <si>
    <t>在app上退款显示有理赔单未处理无法退款，打客服电话叫帮我把理赔单取消了客服总说会有当地工作人员联系我！已经打了三四次客服电话了都是同样的说法！但一直没有所谓的工作人员联系过！。</t>
  </si>
  <si>
    <t>2019/10/03 10:14:10</t>
  </si>
  <si>
    <t>骚扰家人，暴力催收，高利贷放款，在骚扰报警处理。</t>
  </si>
  <si>
    <t>2019/10/03 10:14:01</t>
  </si>
  <si>
    <t>在此投诉好分期，在不停的发骚扰信息，希望停止骚扰。</t>
  </si>
  <si>
    <t>2019/10/03 10:13:30</t>
  </si>
  <si>
    <t>10月3日，我已经还了本金19500元，利息1646.44元，管理费及服务费2723.26元，保险费3277.26元，现今平台上面还显示需要还11752.46元。</t>
  </si>
  <si>
    <t>2019/10/03 10:13:04</t>
  </si>
  <si>
    <t>投诉人林华投诉对象瀚银科技,首信易支付,爱农支付,丰付支付,汇聚支付,传化支付,天下支付涉诉金额300000元问题类型诉求类型投诉详情本人2018年在经人怂恿的情况下，在黑平台购买彩票，我想起来为什么非法的网站会有人民银行发放正规牌照的三方支付公司提供的充值渠道于是我去银行调出了我的流水，我发现资金都是由第三方支付公司进行非法划转的，居然为非法网站提供充值通道严重违反了中国人民银行《非银行支付机构网络支付业务管理办法》，其中包括但不限于：1、根据该办法第六条及第九条：本人觉得这些三方并未对收款客户进行过有效</t>
  </si>
  <si>
    <t>2019/10/03 10:12:49</t>
  </si>
  <si>
    <t>投诉人吴先生投诉对象微品分期涉诉金额2300元问题类型诉求类型投诉详情存在欺诈，不符合国家贷款标准，使用套路方式引导。</t>
  </si>
  <si>
    <t>2019/10/03 10:11:57</t>
  </si>
  <si>
    <t>请他用合法手段进行催收，停止骚扰和我无关的人。</t>
  </si>
  <si>
    <t>2019/10/03 10:11:15</t>
  </si>
  <si>
    <t>天天电话骚扰，我是逾期6天，有钱我立马就还了，现在告诉我，我逾期严重，告诉我必须12点之前还清，不还就要爆通讯录，让我通讯录里的人还，还要让第三方催收，一切后果自己负责，钱我肯定会还给你们，你们一直控吓，威胁，那好，我就一条命，你们来拿，说我态度不好，就是因为没按你们要求去处理还款，现在是法律社会，不是你们这种黑吃黑，已经还了那么多利息。</t>
  </si>
  <si>
    <t>2019/10/03 10:09:47</t>
  </si>
  <si>
    <t>本人在闪电借款借了6600元期限为50天借款利息为330元，但是闪电借款在放款时以购买有效期为30天的财神黑卡收取了我1200元，财神黑卡没有任何实质性的用途，这样就相当本人借了6600元使用50天后要偿还8130元，我之前也在闪电借款借过钱都没有收取过其他费用，所以本人认为财神黑卡就是套路贷，本人诉求归还正常的借款6600元及利息330合计6930元，请闪电借款退还之前收取的1200元的财神黑卡的费用！劳烦聚投诉的工作人员帮忙跟进次投诉。</t>
  </si>
  <si>
    <t>2019/10/03 10:08:37</t>
  </si>
  <si>
    <t>使用高铁管家抢票功能，却被默认购买增值服务，默认自动付款，提示不明显，导致购买到重复车票，而且抢到的票居然在2号才提示抢票成功，3号的票，你2号才和我说抢票成功，我早就另外买好一张票了，还等你那缓慢的抢票系统，你这样导致我买到重复的票，我现在只想把这张重复的票全款退掉，是全款！包含票价和那个默认购买的加速包！简直就是霸王条款！强制消费！真当消费者是瞎子吗。</t>
  </si>
  <si>
    <t>2019/10/03 10:08:36</t>
  </si>
  <si>
    <t>2019年7月借款玖富万卡联合平安壹账通所谓的合作平台放款9100，上面却写着11840，还有2740的保费，按11840费用来算取利息，。</t>
  </si>
  <si>
    <t>2019/10/03 10:08:01</t>
  </si>
  <si>
    <t>投诉人赵先生投诉对象金鸡下蛋涉诉金额2000元问题类型诉求类型投诉详情电话暴力催收，问候家人，极其恶劣和嚣张，要求道歉赔偿，退还不合法的利息。</t>
  </si>
  <si>
    <t>2019/10/03 10:07:19</t>
  </si>
  <si>
    <t>借款4000元，三个月的利息是1064元，高利贷，每个月还款1680.79元，逾期一天，20块钱利息，如果不减免，去银监会投诉，金融互联网协会，等等投诉。</t>
  </si>
  <si>
    <t>2019/10/03 10:07:11</t>
  </si>
  <si>
    <t>功夫熊猫，旺金福，彩虹桥，玖鱼钱包，马尔代富，樱桃分期，易容花，壹本万利，联易宝，早早有钱，壹卡通，易达钱包，现控达人，微豆荚，立即有钱，宙斯钱包，好借易卡，蓝月掌柜这些平台在苹果官方和华为官方是无法查询，可在任何手机浏览器是可以看到，不小心的话跳出框就会中招，而且无借款会被恶意下款，而且对155******89和137******85机主进行恶意催收，砍头息，泄露信息，骚扰通讯录，严重影响日常生活和工作！我希望能将这些不法一网打进，不要再任何浏览器可以显示！希望相关部门能对这些APP进行处理，以及任何没有</t>
  </si>
  <si>
    <t>2019/10/03 10:06:39</t>
  </si>
  <si>
    <t>投诉人韩先生投诉对象钱站,华夏银行涉诉金额4000元问题类型诉求类型投诉详情钱站公司高利贷，华夏银行为其开管存通道，本人在2019年8月2日向钱站借款2000元分三期还款，合同填写金额3960元，实际到账2000元，钱站非法利息额度太高，。</t>
  </si>
  <si>
    <t>投诉人杨健投诉对象立借,钱置宝,畅捷支付涉诉金额2100元问题类型诉求类型投诉详情本人在立借平台提供的钱置宝9月2号借款2100元，由北京畅捷通支付技术有限公司备付金放款，28天需要还款3000元，利息高达900多元，现在已经还款2253元，真心没有钱还剩下的高额利息，请求平台减免利息销账处理！。</t>
  </si>
  <si>
    <t>2019/10/03 10:06:30</t>
  </si>
  <si>
    <t>投诉人刘先生投诉对象嗨钱网,笑脸金融涉诉金额9000元问题类型诉求类型投诉详情还款多次没有一次销账，客服电话也打不通，让对公转账也转了，也有代扣的一笔都没有销账过、已经还了8000多了、部分截图，一分钱没消过账。</t>
  </si>
  <si>
    <t>2019/10/03 10:05:51</t>
  </si>
  <si>
    <t>即有分期平台泄露隐私信息，不择手段，高利贷，没有妥协方案。</t>
  </si>
  <si>
    <t>2019/10/03 10:05:21</t>
  </si>
  <si>
    <t>投诉人吴女士投诉对象微品分期,连连支付涉诉金额3000元问题类型诉求类型投诉详情本人因资金周转原因，在8.6号微品分期借款2300元，一个月还款2938.3元，9.6号复贷2300元，10.6号要求还2938.3元！仔细看还款才看到有600服务费！请退还不合理服务费，我付国家规定合理利息本金！！！。</t>
  </si>
  <si>
    <t>2019/10/03 10:04:29</t>
  </si>
  <si>
    <t>我在钱站上借款2000元、合同上确显示借款3200元、还了1200元以后现巳无力偿还。</t>
  </si>
  <si>
    <t>2019/10/03 10:04:05</t>
  </si>
  <si>
    <t>打电话威胁恐吓我！说不还钱就打通讯录联系人，在不还钱就不止打电话这么简单了！语气极差。</t>
  </si>
  <si>
    <t>2019/10/03 10:02:46</t>
  </si>
  <si>
    <t>协融借多宝分期无法还款，主动还款全部扣款失败，客服电话关机，是要故意造成逾期吗。</t>
  </si>
  <si>
    <t>2019/10/03 10:02:35</t>
  </si>
  <si>
    <t>闪电借款掌众金服客服自称逾期就会全权把个人资料交给第三方催收，催收！客服不给协商！我所谓的协商是因为这两天周转不开，联系客服说延缓几天还款！并未说过一毛不还的话！我说一句，客服就发一条链接让反馈！闪电借款，我想问你们，你们就不能给借款人好好协商的机会吗，就非要外泄个人资料给第三方催收公司咄咄逼人吗，我主动联系你们协商，是因为我当时手贱的欠了你们2730元，但是到手的并没有2730，你们吃砍头息，让借款人债台高筑，已经不是以前有良心的借款平台了！已经变质了！我的话暂时说到这里，延缓几天还款！望你们闪电借款能理</t>
  </si>
  <si>
    <t>2019/10/03 10:02:03</t>
  </si>
  <si>
    <t>在阿迪达斯官方买的一个上衣一个下衣，由于大了，退货，发一个包裹出去，阿迪达斯签收了，然后就给我上衣退款了，下衣没退，如果有质量问题肯定两个都拒收的，但是没有，一个给我退款，另一个没退，是不是故意的，这样人家不注意以为退款了，钻空子，找客服理论5遍以上，一直说退7退，这都第八天还是态度敷衍，不予退款。</t>
  </si>
  <si>
    <t>2019/10/03 10:01:32</t>
  </si>
  <si>
    <t>高利贷，年化利息36%，提前还款不允许，而且提前还也要还36%一直协商无果，国家支持的利息是月利息2%，年利息24%，而且小赢的催收一直电话骚扰家人。</t>
  </si>
  <si>
    <t>2019/10/03 10:01:09</t>
  </si>
  <si>
    <t>投诉人翟先生投诉对象小花钱包涉诉金额0元问题类型诉求类型投诉详情骚扰电话，不是本人借款逾期，还威胁本人，本来不认识的人还强加于你认识，泄密本人身份资料等重要信息。</t>
  </si>
  <si>
    <t>2019/10/03 09:59:33</t>
  </si>
  <si>
    <t>套路贷款，点击后就下款，砍头集体，不能联系到客服。</t>
  </si>
  <si>
    <t>2019/10/03 09:59:03</t>
  </si>
  <si>
    <t>买了车票短信有退票提示，致电协商退票对方拒绝。</t>
  </si>
  <si>
    <t>2019/10/03 09:59:01</t>
  </si>
  <si>
    <t>10月2号下午5点06分接到了订单从滨城大厦到珍珠湾海景酒店，我当时在珍珠湾海景酒店旁边接到了这个订单然后我第一时间打电话给乘客说明我这边的路况，我说现在很堵车过去可能会时间久了点后来乘客说赶时间然后取消了，从外沙岛去滨城大厦必经两个最堵的路口，北海老城旅游景点和北部湾广场，滴滴公司说我诱导乘客取消订单，扣了我服务分。</t>
  </si>
  <si>
    <t>2019/10/03 09:58:54</t>
  </si>
  <si>
    <t>1月4日，通过读秒平台借款45000元，但是今天，才发现实际到账42000元，中间3000去哪里了，问客服，客服态度很差，现在还款已经还了20000多了，中间的利息根本不知道是哪里产生的利息，合同更是阴阳合同，现在要求只还本金，不允许爆通讯录。</t>
  </si>
  <si>
    <t>2019/10/03 09:58:22</t>
  </si>
  <si>
    <t>在本人不知道情况下从银行卡里乱扣费，强烈要求退款。</t>
  </si>
  <si>
    <t>2019/10/03 09:58:14</t>
  </si>
  <si>
    <t>买了一双鞋，因为国庆物流限制所以3号才收到，早上八点多顺丰给我送到家，打开盒子准备看下鞋子怎么样，鞋子里面带着一双别人穿过的增高鞋垫，鞋垫都踩的有别人的脚印了，联系他们客服，我说换货，他们说现在没库存换不了，让我关注他们店铺商品库存，这是在开玩笑吗，开国际玩笑吧，而且客服一直用快捷短语重复回复一样的话，就是不给你换，这种处理方式真的是店大欺客，客服就是比老板还牛啊！。</t>
  </si>
  <si>
    <t>2019/10/03 09:58:05</t>
  </si>
  <si>
    <t>才工作还没到发薪日，逾期4天给亲朋好友打电话。</t>
  </si>
  <si>
    <t>2019/10/03 09:57:21</t>
  </si>
  <si>
    <t>我昨天预定的酒店房间，今天订单还没处理，给酒店打电话说根本就没有，希望可以尽快给予处理。</t>
  </si>
  <si>
    <t>2019/10/03 09:56:55</t>
  </si>
  <si>
    <t>本人2019年4月在里面贷款15000.实际到账12600，现在每个月要还3000，六个月要还18000，远远高于国家规定的几倍了。</t>
  </si>
  <si>
    <t>2019/10/03 09:56:32</t>
  </si>
  <si>
    <t>打电话和我家里人说正规的借款公司，我还了三个月，发现每次到账的不是同一个地方。</t>
  </si>
  <si>
    <t>2019/10/03 09:54:55</t>
  </si>
  <si>
    <t>分三期还每期还5500多，还了一期，还有两期费用没有还，现在逾期费用比高利贷都还高，两期没有还逾期加本金要还25000左右了。</t>
  </si>
  <si>
    <t>2019/10/03 09:53:59</t>
  </si>
  <si>
    <t>提现说两三个工作日到的，可是都过去很久了，还是没有到账，而且那里的拉人提速到账的也不行的，客服也联系不到。</t>
  </si>
  <si>
    <t>2019/10/03 09:53:49</t>
  </si>
  <si>
    <t>58分期，虚假广告诱导申请贷款，已无息为诱饵，到账后秒扣888元会员费，实际为砍头息，还变相包转其套路贷行径，借款2500元，7天一期，每期偿还625元现就888元头息会员费做出合理解释，这个会员一点权益没有，完全就是变相套路头息，借款1600一个月利息居然要900块，超高利息放款及扣款均通过通联支付放款方广东耀东投资有限公司此公司违法行径还请聚投诉像有关部门反映，现就违规头息费用要求退回，或根据到账金额做合理利息销账。</t>
  </si>
  <si>
    <t>2019/10/03 09:52:22</t>
  </si>
  <si>
    <t>2019.10.3上午8.26，骑行1.8KM就超区了！其余的摩拜单车都用的好好的！你自己霸王条款划分这么小的范围叫我们怎么用。</t>
  </si>
  <si>
    <t>2019/10/03 09:52:19</t>
  </si>
  <si>
    <t>借款30000，4期每8天一期每期还1024，利息太高了，要求退还不符合法律规定的利息。</t>
  </si>
  <si>
    <t>2019/10/03 09:51:43</t>
  </si>
  <si>
    <t>中国银联云闪付为非法博彩网站和商户提供支付功能，没有做到应做的义务，没有核实收款平台的信息，导致本人被引诱到一个网站充值，后来发现是网络赌博平台，并非正规的购彩网站，通过中国人民银行和支付清算协会沟通得知第三方支付业务应审核客户的相关信息，第三方支付公司不得向证券、期货、博彩等机构提供支付结算业务，因为想退回钱财，结果被以流水不足等等各种原因让我充钱，作为有牌照的支付公司没有履行国家相关法律法规要求，希望有工作人员能够联系，要求第三方支付机构退回被扣款项导致我们资金流失，请求退回我的资金。</t>
  </si>
  <si>
    <t>2019/10/03 09:50:35</t>
  </si>
  <si>
    <t>达飞云贷，你们真的咄咄逼人，不仅一个联系人员都没有，而且高利贷，我起初借的26000到现在本金连利息5万了，早打给你们，要协商还款，你们一个联系人员，一个能做主来协商都没有，现在越加越多，你们是想让人死吗，这样你们钱拿得到吗，请不要一味催收，爆我通讯录，威胁恐吓我，甚至发短信，打电话骚扰我家人，朋友，亲戚，这样你们更拿不到钱，希望你们做出合理解释，还我的信用，恢复我的信用，不然你们一分钱都拿不到，希望深受达飞云贷的人能一起联名，让他们不再迫害他人，造成多少人的深陷其中，这些高利贷，也请有关部门查一下他们，拯</t>
  </si>
  <si>
    <t>2019/10/03 09:50:32</t>
  </si>
  <si>
    <t>钱站势头强劲，果然名不虚传！不是没有道理的！。</t>
  </si>
  <si>
    <t>2019/10/03 09:48:49</t>
  </si>
  <si>
    <t>投诉人庄伟强投诉对象中国银联涉诉金额25000元问题类型诉求类型投诉详情在群里被人拉了说是正规平台，属于国家的有云闪付充值，云闪付为非法赌博平台提供充值通道刻意隐藏收单机构及订单号，为赌博平台第三方支付结算平台，据我所知赌博在中国是不合法的，但是银联是合法的，可是云闪付作为银联旗下产品竟然为赌博平台提供资金充值渠道，云闪付这样的做法实在是有害于明，请求云闪付撤销对赌博平台的资金支持，并且能够取消对赌博平台的充值通道。</t>
  </si>
  <si>
    <t>2019/10/03 09:47:51</t>
  </si>
  <si>
    <t>魔借APP不能打开，银行卡已存钱，但一直收到电话机械留言说已逾期请打开APP还，现在没有地方还款，而魔借也没有官方信息告诉如何还款，但是仍然造成逾期，不知如何处理。</t>
  </si>
  <si>
    <t>2019/10/03 09:47:20</t>
  </si>
  <si>
    <t>投诉人 鄂鹏        投诉对象  虾米在线        涉诉金额  3 017 元    问题类型    诉求类型投诉详情  虾米在线网贷。平台到期还款根本点不了。造成逾期。逾期一天600。现在已经逾期6天了。强制逾期。APP还款抄作不了。只能干看着等逾期。</t>
  </si>
  <si>
    <t>2019/10/03 09:46:47</t>
  </si>
  <si>
    <t>投诉人刘先生投诉对象你借我有涉诉金额3100元问题类型诉求类型投诉详情借款3100被扣砍头息930，8天期限，已经还款2100，与平台协商按正常利息还款销账，平台拒绝。</t>
  </si>
  <si>
    <t>2019/10/03 09:46:05</t>
  </si>
  <si>
    <t>投诉人方先生投诉对象平安普惠涉诉金额10000元问题类型诉求类型投诉详情平安普惠催收自称融关，暴力催收，扬言让我后悔，并且用呼死你骚扰我，扬言联系家人朋友帮助我还款，并且多次语言侮辱我是黑社会。</t>
  </si>
  <si>
    <t>在淘宝的苏宁易购旗舰店购买了索尼1000XM3，产品页面明确显示支持七天无理由退换货，本人仅拆封试听，包装全都完好，但是客服却已拆封了为理由，不给退货，说拆封了就不能享受七天无理由退换货了。</t>
  </si>
  <si>
    <t>2019/10/03 09:43:52</t>
  </si>
  <si>
    <t>借款2000，到账1100，逾期一天利息100，希望平台能合法的收取，已经还过一期了，如果平台不合法处理，恐吓我的家人，爆通讯录，我也只能维权了。</t>
  </si>
  <si>
    <t>2019/10/03 09:43:35</t>
  </si>
  <si>
    <t>本人于2017年11月去丰田4s店购车，被4s店要死在工商银行贷款，结果工商银行和汽车服务有限公司合作，每个月在我的还款里面多加了300的手续费，共计近1万元，要求立刻处理。</t>
  </si>
  <si>
    <t>2019/10/03 09:41:43</t>
  </si>
  <si>
    <t>2019年9月三号在优信定了一辆08款得本田飞度豪华型，车价39000服务费3300，做的分期两年，九月三号黑优信付了首付12690，保险没在首付里，保险我自己交，九月十二号优信线下人员再安阳把车提到滑县了，我对车不懂，当时问销售车况怎么样，他们说内问题，我就开走了，九月13号到濮阳走亲戚，14号在濮阳去做保险发现车况不符合，轮胎和车门有问题，就主动打电话联系销售，他让我拍照给他，我当时拍给她了，后来这个车况的事处理的特别慢，拖了7天他们才开始帮我的车答应去修复，跑了两家店他们显修复价格高，不过后来我退让一</t>
  </si>
  <si>
    <t>2019/10/03 09:41:28</t>
  </si>
  <si>
    <t>借闪电借款10000元，要买2000元财神黑卡，8月15号通过尾号1910的工商银行卡付了2000元，，其实就是收取变相的砍头息，实际只是相当于借了8000元，50天后还10493.15元，年化利率高达400%，严重超出国家规定的合法利率24%！。</t>
  </si>
  <si>
    <t>2019/10/03 09:40:06</t>
  </si>
  <si>
    <t>由于本人资金紧张周转不开逾期刚一天，本应还986元现在让还1087，一天涨100多块，这是不是高利贷，而且还要不停的打电话骚扰我的家人及朋友，这是不是违法行为，是不是高利贷，我已经提前给客服打过电话说过宽裕几天就还上，但是客服说没有这项服务，是不是钱站要把人逼死啊！已死来证明么，21聚投诉应该处理这个问题，谢谢。</t>
  </si>
  <si>
    <t>2019/10/03 09:39:54</t>
  </si>
  <si>
    <t>2019.10.02上午十点多在昆山市花桥镇乐尚四楼青龙堂纹身，第一次纹身纹完以后老板推荐修复膏说什么150和100，150的进口的，100国产的，第一次也不懂这个产品的价格，事后上网查询网络平台不到三块钱的商品开价一百多，由于回工作地方的原因晚上找商场微信平台投诉，客服反馈了事情上层领导说公平交易无权干涉！。</t>
  </si>
  <si>
    <t>2019/10/03 09:39:23</t>
  </si>
  <si>
    <t>我等了一个月还没退押金，现在非常生气，怎么能这样欺骗消费者，客服电话打不通押金审核也不通过，退也不退，非常生气。</t>
  </si>
  <si>
    <t>2019/10/03 09:38:56</t>
  </si>
  <si>
    <t>因为逾期所以想早一点还钱，可是钱被银行扣走以后就存到了它们的账户里不划扣，现在还显示逾期，因为它们的缘故多出来的逾期费也不知道谁来承担。</t>
  </si>
  <si>
    <t>2019/10/03 09:38:22</t>
  </si>
  <si>
    <t>钱站借了3000元，分3期最后一期逾期了一天，结果违约金要100元一天，钱站也太黑了吧，就是高利贷。</t>
  </si>
  <si>
    <t>2019/10/03 09:38:08</t>
  </si>
  <si>
    <t>我在马上消费金融借了一笔借款，拖欠了2年了，现在利息不知道算多少了，我希望他们能跟我联系并且协商还款分期还款，而不是一味的催收，恐吓，我的借款号码是187******46，希望他们能协商的人员跟我联系，并且好好说话，而不是一味催收的态度，爆我的通讯录，请联系我新号码187******40。</t>
  </si>
  <si>
    <t>2019/10/03 09:37:58</t>
  </si>
  <si>
    <t>投诉人 石先生        投诉对象  玖富        涉诉金额  30 000 元    问题类型    诉求类型投诉详情  借3万要还6万多，还不起，高利贷。典型的套路贷</t>
  </si>
  <si>
    <t>2019/10/03 09:37:51</t>
  </si>
  <si>
    <t>投诉人张先生投诉对象借贷宝涉诉金额40000元问题类型诉求类型投诉详情通过借贷宝借给好友4万元，宽限期给朋友进行销账没有成功，第二天平台要收2000多催收费，早晨9点就给打电话沟通无效。</t>
  </si>
  <si>
    <t>2019/10/03 09:37:06</t>
  </si>
  <si>
    <t>投诉人 杜女士        投诉对象  圆通,赔偿        涉诉金额  1 200 元    问题类型    诉求类型投诉详情  20190919寄出三件衣服 到今天20191003无人处理 投诉电话打过多次 也没处理 哪知道我该找谁</t>
  </si>
  <si>
    <t>2019/10/03 09:34:21</t>
  </si>
  <si>
    <t>合同里写的是借款11100，年利率7.5％，实际到手只有一万，分六期，已经还了3966.04，还要还7987.56，已经超过国家规定的了。</t>
  </si>
  <si>
    <t>2019/10/03 09:33:23</t>
  </si>
  <si>
    <t>签收当日不在公司，让快递周二的时候送，一直到周四还没送，到周四的时候发个信息问了下，居然说我的快递没有了，给我买一件，我就很搞不懂，就这么几天，快递能去哪呢，周五着急着要用，居然说我的快递没有了，搞笑的吗。</t>
  </si>
  <si>
    <t>2019/10/03 09:32:02</t>
  </si>
  <si>
    <t>好易贷app由趣花分期推送，杭州市民卡放款！借款3000元，砍头息900元，实际到账2100元，周期6天！已经续期一次了，今其催收江苏扬州地区号码189******61‭联系我，我向其表达了不合理，并提出偿还本金！并再次提出此诉求，对方拒绝并不再理睬我，我多次联系均无反应！故投诉至贵平台以期协助处理！。</t>
  </si>
  <si>
    <t>2019/10/03 09:31:40</t>
  </si>
  <si>
    <t>投诉人 邹先生        投诉对象  自由摩卡,诺和信用计划        涉诉金额  2 000 元    问题类型    诉求类型投诉详情  本人在自由摩卡内的诺和信用计划借款过两次 每次砍头息360元 还要交60元的费用 到账2000元 实际为2000到账1500多 诺和信用计划已经涉及砍头息 要求退还所有不合法的利息并且销账 本人会依靠法律武器保护自己的权益 在新中国成立70年之际 不应该有这种砍头息套路贷的问题存在</t>
  </si>
  <si>
    <t>2019/10/03 09:30:23</t>
  </si>
  <si>
    <t>濮阳市人民医院3楼怪兽充电归还后显示使用中，充电宝归还后没有异常现象，但仍显示使用中。</t>
  </si>
  <si>
    <t>2019/10/03 09:30:00</t>
  </si>
  <si>
    <t>投诉人周先生投诉对象玖富涉诉金额7700元问题类型诉求类型投诉详情2019年3月14日在玖富万卡平台借了7700元，已经还了6期，每一期还872,元，总共已经还了5280元，由于利息太高，想提前结清，发现提前结清需要4417元，那么已还的5280提前结清4417=9697元，7700元借半年1997元，相当于每个月的利息332元，4分多息！！。</t>
  </si>
  <si>
    <t>2019/10/03 09:29:58</t>
  </si>
  <si>
    <t>9.25的一起预约单取消之后，产生的后续问题，因为乘客责任，我取消了一单预约单，以后降低了我的成交率，罚我款，扣我分，申诉成功之后，服务分，跟钱都恢复了，可是成交率一直没给解决，都一星期多了，我要求补偿跟恢复到接那单预约单之前的成交率。</t>
  </si>
  <si>
    <t>2019/10/03 09:28:47</t>
  </si>
  <si>
    <t>本人于2019年9月28日于交易猫平台购买了一款王者荣耀手游账号，花费850元，并且花费85元购买了交易猫平台推荐的60天的账号找回包赔保险，交易猫平台显示此账号首次出售，无近期申诉记录，此账号在2019年10月1日早上6点被卖家登录，我提交交易猫平台仲裁，卖家联系我说是不小心点错，鉴于卖家在交易猫平台描述着“已上协议，找回包赔”字样，以及交易猫平台并未告知过我取消仲裁后无法再次申请仲裁，我点击取消仲裁后，交易猫平台在未经本人允许的情况下自动对此交易订单进行了确认收货操作，此账号于2019年10月2号早6点</t>
  </si>
  <si>
    <t>2019/10/03 09:28:37</t>
  </si>
  <si>
    <t>打电话威胁我和朋友，而且说解决会有私人催收继续骚扰。</t>
  </si>
  <si>
    <t>2019/10/03 09:28:17</t>
  </si>
  <si>
    <t>交通银行信用卡催收态度恶劣，询问父母电话，说他们有权通知，且我说我会一部分一部分还款，他们说如果逾期全额不处理，对我工作，生活造成的影响他们不管，威胁我，！让我告知我家里人，造成不必要影响，这样太暴力了！希望平台给予维护，大家监督，我有电话录音！。</t>
  </si>
  <si>
    <t>2019/10/03 09:23:35</t>
  </si>
  <si>
    <t>未经我个人同意，也未提醒，扣除了我一年的费用，严重侵犯了我的权益。</t>
  </si>
  <si>
    <t>2019/10/03 09:23:20</t>
  </si>
  <si>
    <t>我来贷改名了，收到我来数科的还款提醒还以为是骗子，第二天一看逾期了，一天就要三百啊，国庆客服也不上班，希望你们上班之后帮我把逾期费去掉，我即可立即还款，三百也太高了。</t>
  </si>
  <si>
    <t>2019/10/03 09:22:36</t>
  </si>
  <si>
    <t>随意扣我卡里的余额，今天10月3号一大早就莫名其妙扣我卡里的余额，说什么是报告费用，但是我并没有贷款。</t>
  </si>
  <si>
    <t>2019/10/03 09:22:26</t>
  </si>
  <si>
    <t>投诉人陈先生投诉对象滴滴出行涉诉金额0元问题类型诉求类型投诉详情恶意欺骗滴滴司机，骗取滴滴司机办理双证合规车。</t>
  </si>
  <si>
    <t>2019/10/03 09:22:00</t>
  </si>
  <si>
    <t>我是小区业主在你们门店放盘卖房！我的实收底价已经告诉你们门店的销售人员220万！，曾志良我这里有保存的聊天记录合截图证据！我现在实名投诉，，还要去房管局投诉！！太没有职业道德了！古格什么时候连这种垃圾都招！。</t>
  </si>
  <si>
    <t>2019/10/03 09:18:22</t>
  </si>
  <si>
    <t>易起来砍头息借款2500，实际到账2200，分三期还款，每期还款1140，共还款3500，逾期一天，群发通讯录说我欠款不还，催收人员多次辱骂恐吓本人说上门收款和打我本人通讯录里的亲戚朋友帮我还还款，说我毁了名誉，本人已经还款三期，因为本人生病加上利息砍头息太高，说过两天还，暂时还不上就收到易起来的恐吓辱骂，本人报警，投诉到相关部门，希望平台曝光！！。</t>
  </si>
  <si>
    <t>2019/10/03 09:16:54</t>
  </si>
  <si>
    <t>叉叉IPA精灵,叉叉助手,广州游顺网络科技有限公司，就是想尽快退款，账号就是199******01手机号。</t>
  </si>
  <si>
    <t>2019/10/03 09:16:04</t>
  </si>
  <si>
    <t>本人于2019年10月2日接到TCL、海尔客服电话，邀请前往参加所谓的“TCL、海尔老客户答谢会”，由于确实是购买过TCL和海尔的家电，一台TCL手机和2台海尔洗衣机，对此次邀请深信不疑，收到厂家邀请短信如下：[欢迎TCL与海尔客户]，亲CCTV大国品牌，邀请您参加大型国庆节老客户答谢会，于10月2日18：30入场，凭此短信享邀请2个好友名额到场，凡是到场者均可免费领取高端吸尘器一套，还可参加，免费加点大抽奖，地址：顺德区，顺联温德姆酒店3楼，顺联广场旁，现场特别热闹，免费停车，期待您的光临！J电：188*</t>
  </si>
  <si>
    <t>2019/10/03 09:15:30</t>
  </si>
  <si>
    <t>有一笔放款14000，但是还款了几期之后发现不对，每期还款808，共还36期，一共需要还款29000多。</t>
  </si>
  <si>
    <t>2019/10/03 09:15:01</t>
  </si>
  <si>
    <t>投诉人 陆先生        投诉对象  平安普惠        涉诉金额  80 000 元    问题类型    诉求类型投诉详情  还没到还款日期就不停地打电话催收 投诉几次都没用</t>
  </si>
  <si>
    <t>2019/10/03 09:14:55</t>
  </si>
  <si>
    <t>凌晨在飞猪平台，成都要出发旅游专营店购买一份价值463元的酒店订单，早上起床收到短信发现预订错误，立即点击退款，客服打电话态度强硬恶劣：不予退款，你随便去哪投诉！一.未入住，为何不可退款，二.不可以取消，此种霸王条约，法律赋予你权利了，三.诚心诚意退款，客服态度恶劣，服务人员售前售后两个模样。</t>
  </si>
  <si>
    <t>2019/10/03 09:14:01</t>
  </si>
  <si>
    <t>昨晚玩手机突然接到一条扣费信息，我就查了一下，我这几天什么都没签约给钱为什么会有金融保险-生意批发的账单，望主持公道。</t>
  </si>
  <si>
    <t>2019/10/03 09:13:25</t>
  </si>
  <si>
    <t>本人9月3号通过真多银推送的吉顺通借款到账1451.58元，分15天一期还！总共借二笔，还款方式一样，，今日已到还款日，本人联系不到平台客服，现请聚投诉帮忙联系对方与我协商还款，官方客服电话：132******75还款链接：http://t.cn/AiYi0N1m下载地址链接：http://t.cn/AiTGTQnK。</t>
  </si>
  <si>
    <t>2019/10/03 09:13:11</t>
  </si>
  <si>
    <t>我在钱站借款1100，合同显示三期每期377.79元+服务费25.44元，借款后服务费变成235.73元每期要还613.52元。</t>
  </si>
  <si>
    <t>2019/10/03 09:12:39</t>
  </si>
  <si>
    <t>投诉人李先生投诉对象借贷宝涉诉金额5000元问题类型诉求类型投诉详情今年五月份急需用钱，通过借贷宝平台补了一份5000元的借条，对方承诺先补借条然后放款3500，但实际对方并未放款，具体证据请见截图，且已向平台反馈，包括发送邮件，但是，借贷宝方不仅不及时销账处理，反而协同对方对我进行持续的电话轰炸！！！这种丧尽天良的平台什么时候国家才会出手整治！！！！。</t>
  </si>
  <si>
    <t>2019/10/03 09:11:58</t>
  </si>
  <si>
    <t>9月5日，因资金周转需要，我从钱站借了1000元，现资金充足，想要提前结清，进去APP查看了还款金额1573.71，致电咨询客服什么情况，客服表示合同金额1330，钱站擅自修改借款协议合同金额为1330元，一次性收取了了330元的砍头息，我只拿到1000元，并且，我是冲着客服介绍的低利率才去钱站借款的，说是月利率不会超过1.5%，合同标注年利率为10.08%，实际上钱站把服务费之类夹杂其中，实际综合年利率按照我拿到的1000元已经严重超过国家规定利率36%以上，当时没有核算实际综合年利率，才发现综合年利率高</t>
  </si>
  <si>
    <t>2019/10/03 09:10:46</t>
  </si>
  <si>
    <t>本人在聚投诉投诉过易宝支付，后来易宝支付对本人在其他地方的还款进行风控拦截，导致本人无法还款，逾期，要求解除风控，道歉。</t>
  </si>
  <si>
    <t>2019/10/03 09:09:43</t>
  </si>
  <si>
    <t>租了充电宝，但是没有电，三分钟内立马换一个，还是扣了我钱，规定是五分钟内不会扣钱的，而且平台没有售后，公众号和小程序没有售后回复，也没有他们的客服电话，非常不合理。</t>
  </si>
  <si>
    <t>2019/10/03 09:04:21</t>
  </si>
  <si>
    <t>分期通说办会员249元，如果申请三个平台没通过就可以退款，可我申请了几个平台都没有通过，分期通却不给我退款，咨询客服，客服就说一两个工作日退，可却一直都不受理。</t>
  </si>
  <si>
    <t>2019/10/03 09:03:17</t>
  </si>
  <si>
    <t>砍头息，高利贷，借1000，有199担保费，而且是借出来了后面在卡里扣的，借3000，要还3600块，要求只偿还合法本息。</t>
  </si>
  <si>
    <t>2019/10/03 09:03:14</t>
  </si>
  <si>
    <t>我在融360平台下借的我来数科，一万12个月利息3600多，以前还款也不一定准时，可能晚个一两天，也没有加砍头息，这个月又晚了三天，想还款一看，三天加了三百的砍头息，昨天发了聚投诉，但是融360回复他们只是平台不管借款，然后我今天看，没有多收今天的砍头息，但原先的三百砍头息依然在，请求撤销那三百的砍头息，然后我才好还款。</t>
  </si>
  <si>
    <t>2019/10/03 09:02:59</t>
  </si>
  <si>
    <t>投诉人 艾先生        投诉对象  易分期        涉诉金额  4 000 元    问题类型    诉求类型投诉详情  高额利息，要求降息调整，退换多余还款。。</t>
  </si>
  <si>
    <t>2019/10/03 09:02:33</t>
  </si>
  <si>
    <t>2019/10/03 09:02:03</t>
  </si>
  <si>
    <t>国庆之前9.30号马上金融工作人员打电话让我还一部分，其余在10.7号之前还清就可以，当天我还了一部分，今天换了一个工作人员打我电话，威胁本人说今天不还就有人上门，我想问之前答应的好好的就这样出尔反尔，我没有不还我只是需要时间，而且之前工作人员已经沟通好了，现在又来威胁本人，电话录音我都有，而且这个女的客服态度很差，马上金融不给我个满意的答复我只能报警，威胁本人上门就是你们的态度。</t>
  </si>
  <si>
    <t>2019/10/03 09:01:26</t>
  </si>
  <si>
    <t>投诉人 丁先生        投诉对象  中国银联,七秒贷        涉诉金额  3 500 元    问题类型    诉求类型投诉详情  带国家名字开头不是正规的吗？我不懂为什么，利益熏陶所有良心和合法吗？正规机构都信不过，百姓的活路在哪里？多的不想说，下方看图</t>
  </si>
  <si>
    <t>2019/10/03 09:00:16</t>
  </si>
  <si>
    <t>10.1号注册百事普惠APP，注册完后，说是推荐贷款平台，然后一直并未推荐，并且是在我填写的放款银行卡号账号扣款了100元，我联系他们客服，客服回答说，1—他们推荐系统会自动为我做做一个评分，要收取299的评分服务费，2这个费用收取不予退还，无关后期贷款成功与否，希望相关大大给予帮助，此类平台出发点完全是欺诈。</t>
  </si>
  <si>
    <t>2019/10/03 08:59:55</t>
  </si>
  <si>
    <t>贷款利息高，加上各种隐形条款超过法律规定标准。</t>
  </si>
  <si>
    <t>2019/10/03 08:56:51</t>
  </si>
  <si>
    <t>逾期三天，三百砍头息，请求去掉砍头息，正常利息。</t>
  </si>
  <si>
    <t>2019/10/03 08:55:58</t>
  </si>
  <si>
    <t>该商首先让人开通免密码服务后，未经本人同意私自扣钱。</t>
  </si>
  <si>
    <t>2019/10/03 08:55:37</t>
  </si>
  <si>
    <t>变相收取服务费用，外加利息，年化率达36%。</t>
  </si>
  <si>
    <t>2019/10/03 08:54:23</t>
  </si>
  <si>
    <t>我贷款3000到账2400砍了我600利息还快总共还3314多出来914的利息高利贷我经济能力有限还不来。</t>
  </si>
  <si>
    <t>2019/10/03 08:53:03</t>
  </si>
  <si>
    <t>本人因资金紧张于9月13日在微品分期借款2000元，为期一个月，到期还款金额为2555.3元，后得知此利率远远超过国家规定，触犯国家法律，百行征信竟然与这样的高利贷合作，所以我将维护我的合法权益，将向有关部门包括警方报案处理，本人要求与本人协商还款本金与法律规定的合理利息60元，若协商失败，本人将报警处理，请警方进行协助，并与当地银监会以及扫黑进行联络，维护本人的合法权益。</t>
  </si>
  <si>
    <t>2019/10/03 08:52:20</t>
  </si>
  <si>
    <t>借了2700三个月，前期费用就五百，要求返还，只偿还合法本息。</t>
  </si>
  <si>
    <t>2019/10/03 08:51:49</t>
  </si>
  <si>
    <t>钱站这贷款平台，借款有砍头利息，借89600元，到手只有80000元，分期付款36期，每期还款4229.84元，其中服务费1326.08元，本金2903.76元，没有提供任何服务，要我偿还服务费，而且有霸王条款，主要霸王条款平台倒闭或银行系统问题无法还款，他们没有任何责任，逾期和罚息都有我本人承担，其他逾期罚息以本金加服务费收取百分之0.05%按日收费，如果连续逾期每期单独收取罚息，这还不算逾期费用，每期逾期本金加服务费的百分之5，全部提前还款还要加服务费，已经累计用户信用卡和其他贷款还款，无法偿还贷款，我</t>
  </si>
  <si>
    <t>2019/10/03 08:48:58</t>
  </si>
  <si>
    <t>2019年10月1日晚7点半左右打开饿了么APP主页广告滚动栏显示饿了么超级会员日限开会员2元，点进去后页面显示限时特惠原件15元，现在只需要2元，因为是用支付宝支付，需要绑定饿了么免密支付，实际支付的时候不显示付了多少金额，只能是绑定免密支付后就默认支付了开通会员费用，我查询账单实际扣了10元钱，当晚给客服反映情况客服说只能补偿10元优惠券，本身这已经形成了欺诈行为，我要求商家退一赔三。</t>
  </si>
  <si>
    <t>2019/10/03 08:48:49</t>
  </si>
  <si>
    <t>本人于2019年9月10日通过信用管家平台下载了新意花软件，借款2800元，32天共需还款4090元，已经还了2045，实在无力承担高额利息，要求协商还款.。</t>
  </si>
  <si>
    <t>2019/10/03 08:47:11</t>
  </si>
  <si>
    <t>拍拍贷还款2号到期，充值到余额，不能还款，导致逾期罚息，各个电话无人接听，要求撤消罚息，消除征信不良。</t>
  </si>
  <si>
    <t>2019/10/03 08:46:04</t>
  </si>
  <si>
    <t>我们2号订的房费，因为去不了天津了，就要退，给酒店联系说，是他们平台的问题，钱是平台收的，然后我就给平台联系，这个平台一直说是酒店的原因，还说不能退，也不退钱，最后打了好几个，说了句补偿92，结果现在打电话没人接，我一直认为这是官方账号，没想到也会遇到这种事，我们又没有住，而且退房时间也够啊，之前退房也没有遇到这种事，上面说的也是联系酒店，真是骗子。</t>
  </si>
  <si>
    <t>2019/10/03 08:42:30</t>
  </si>
  <si>
    <t>肥猫贷,喵下贷,金鸡下蛋,汇潮支付,支付宝，汇潮支付为了牟取不当利益违规为其提供支付通道支付宝平台为其提供还款通道，在国家扫黑除恶高压态势下，仍然无视国家法律法规进行高利贷套路贷放款，本人在这些平台分别借款1400元，5天后就要还款2000元，有的借款1100，3天后还款1500元，这完全是国家明令禁止打击的网络高利贷，现我要求协商处理还款，否则我会将相关材料递交扫黑除恶专项斗争巡视组，将支付宝和汇潮支付的相关材料一并递交。</t>
  </si>
  <si>
    <t>2019/10/03 08:41:03</t>
  </si>
  <si>
    <t>本来借款多少都还行，就是不上征信还要扣100元费用，还有担保费199元，。</t>
  </si>
  <si>
    <t>2019/10/03 08:40:15</t>
  </si>
  <si>
    <t>平台借款10000，分九期还款，每期1411.08元，国庆外出没有注意，还款银行卡所在银行预留证件信息冻结被冻结账户，造成代扣失败，也不支持更换银行卡还款和微信还款，昨天晚上23点多回来才发现处理，处理之后发起还款，平台上23：00-7：00不能发起还款，今早就加了两天逾期催收费用300。</t>
  </si>
  <si>
    <t>2019/10/03 08:39:42</t>
  </si>
  <si>
    <t>本因为生病没能还上钱，借了不到一万，现在确要还一万多，钱是越还越多，厉害太吓人一天利息五百多，要求只还本付息，。</t>
  </si>
  <si>
    <t>2019/10/03 08:39:04</t>
  </si>
  <si>
    <t>2019年9月18日通过微信群陌生网友推荐理财链接，平台都提供带有英文的牌照，本人深信不疑，陆续充值13笔订单合计金额5900元用于理财，后续发现该平台虽然充值有奖励收入却提款不了，需要购买彩票产生一倍流水才能提款，这时本人才发现已陷入非法博彩网站，资金已套牢，本人错信慧金宝工作人员，就去敏付官方客服那边撤诉录音，并提供给该商户，提供撤诉录音后，商户确实履行自己承诺并退款，但其中有4笔订单却未处理，本人联系敏付官方客服，该司却以不接受二次投诉为由拒接受理，4笔订单号：61*************1；61*</t>
  </si>
  <si>
    <t>2019/10/03 08:38:33</t>
  </si>
  <si>
    <t>投诉人 梁先生        投诉对象  阿尔法（法兰克）        涉诉金额  2 000 元    问题类型    诉求类型投诉详情  借款2000到账1400 违法高利贷 请及时销账</t>
  </si>
  <si>
    <t>2019/10/03 08:37:07</t>
  </si>
  <si>
    <t>本人销售产品为自主品牌，却被专利流氓以B字母投诉，直接删除链接扣除2分，已经严重影响店铺的正常经营，要求对知识产权流氓的投诉不予通过审核。</t>
  </si>
  <si>
    <t>2019/10/03 08:36:39</t>
  </si>
  <si>
    <t>投诉人魏小桥投诉对象尚德机构涉诉金额7382元问题类型诉求类型投诉详情我是2018年12月在成都尚德报名，开始我还没有报名的意愿我只是浏览了一下尚德的网站然后就一直给我打电话最后我报名了，成都市草兰街38号，由于我个人的原因我眼睛做了近视矫正手术，然后还要报考消防员，这些原因我也跟他们说过，不能看手机和电脑尚德的课程全手机电脑观看，我申请了退学退款，开始我找成都尚德他们说只有总部北京尚德才能办理退学，我就在APP上申请了退款，开始尚德的人忽悠我不让我退款我不愿意，后来直接跟我说不能办理办理不了这种业务，就联</t>
  </si>
  <si>
    <t>2019/10/03 08:33:14</t>
  </si>
  <si>
    <t>投诉人 熊曙        投诉对象  小电        涉诉金额  98 元    问题类型    诉求类型投诉详情  充电宝疑似自动挂失 不能进页面 不能归还 充电宝没遗失 强制扣款99元</t>
  </si>
  <si>
    <t>2019/10/03 08:30:03</t>
  </si>
  <si>
    <t>8月26日起，陆续在龙虾分期APP借款9次，每次周期五天，实际只有4天。</t>
  </si>
  <si>
    <t>2019/10/03 08:28:15</t>
  </si>
  <si>
    <t>本人在今年3月28日通过团贷网站充值，转帐入厦门银行100000元，彼时团贷网以于3月27日晚被经侦介入官宣28日立案，厦门银行为合作单位应有知悉，不应再接收此笔存管资金，并长久不归还，因团贷网暴雷，此款项未曾出借，因此并不涉案非吸，厦门银行至今未曾返还，作为存管银行，厦门银行作为金融企业，作为存管的被信任方，当有所担当，珍惜自身信用，尽快返还存管金额.。</t>
  </si>
  <si>
    <t>2019/10/03 08:25:13</t>
  </si>
  <si>
    <t>下载借钱花平台，绑定银行卡就自动扣款，也没有点击确认借款，要求退款198元，联系不上平台。</t>
  </si>
  <si>
    <t>2019/10/03 08:24:26</t>
  </si>
  <si>
    <t>青岛地区滴滴司机服务经理于鹤，司机反映问题不处理，滥用职权将司机师傅拉出团队孤立司机，造成司机团队PK赛等奖励全没有了，严重侵害了司机权益，多次向滴滴致电反映问题无果。</t>
  </si>
  <si>
    <t>2019/10/03 08:20:48</t>
  </si>
  <si>
    <t>首先，买车的时候，销售顾问，一直引导这是特惠车，让消费者误以为是库存车，购车过程中，从始至终未提到过这是调表车，故意隐瞒车辆实情，，电脑截图是销售那边的，用手机号个人登陆网页端是看不到购买记录的，提车时被告知需要点击里程上的叹号才会提示为调表车，卖车，也就是付款前从未提醒过，买车过程我是全程录音的，需要提供，也可提供，然后，App上，不管主页还是检测报告都没有明确告知这是调表车；，接下来，我是在提车的时候，才被告知，这是调表车，App显示是明显故意隐瞒，最后，自己也是新手，找朋友去提车的时候，被服务顾问告知</t>
  </si>
  <si>
    <t>2019/10/03 08:19:21</t>
  </si>
  <si>
    <t>信用卡出账单，才知道扣钱了，我都不知道是怎么回事，就莫名扣款。</t>
  </si>
  <si>
    <t>2019/10/03 08:18:55</t>
  </si>
  <si>
    <t>我因急用款于2019年8月申请小桔猫网贷，回过头计算利率却发现小桔猫高利贷，借款10000元，到手10000元，共12期，每期还款1133.33，没有任何的借款协议或合同可看，其中每期技术服务费及资方服务费高达262.52，年利率已经高达60%，远超国家法律规定，现在要求小桔猫扣除技术服务费及资方服务费，重新出具账单！。</t>
  </si>
  <si>
    <t>2019/10/03 08:17:06</t>
  </si>
  <si>
    <t>根据官网提供的信息，融魂圣炉的成功率高达百分之50以上，可是我昨天晚上200多万魔石，别说重铸阿拉玛之魂上18级，连16级都上不去，这不是骗人吗。</t>
  </si>
  <si>
    <t>2019/10/03 08:16:27</t>
  </si>
  <si>
    <t>由于平台把酒店地址写错，导致不能入住，客服电话一直打不通，问题解决不了，平台给的地址在张家界火车站附近，但是酒店实际的地址却在几十公里之外的地方，地址根本不对，导致我两晚都不能入住原来订的酒店，酒店老板还说看不见我们的订单信息，联系不到我们，平台有很大问题，信息严重错误，现在要求必须全额退款两晚住宿费用。</t>
  </si>
  <si>
    <t>2019/10/03 08:16:13</t>
  </si>
  <si>
    <t>不经过本人同意骚扰家人给通讯录打电话，给客服联系没有任何效果如果不行我只能提起诉讼保护自己，借款每次需要买199元的会员这个算不算违法操作。</t>
  </si>
  <si>
    <t>2019/10/03 08:16:01</t>
  </si>
  <si>
    <t>我一还12000多怎么还有23000多，在之前打电话骚扰，导致我老婆过于激动流产也没个说法，现在又来了。</t>
  </si>
  <si>
    <t>2019/10/03 08:14:55</t>
  </si>
  <si>
    <t>本人9月在立借里面的青春宝分期贷款一笔钱3000到手2250，希望青春宝分期工作人员及时与我联系协商销账。</t>
  </si>
  <si>
    <t>2019/10/03 08:14:51</t>
  </si>
  <si>
    <t>身份证号5****************6，使用本人实名手机号176******09在及贷上借款，借款5300实到4800，强制性购买学堂会员504元，现要求退款。</t>
  </si>
  <si>
    <t>2019/10/03 08:13:45</t>
  </si>
  <si>
    <t>投诉人 胡女士        投诉对象  钱包易贷        涉诉金额  6 400 元    问题类型    诉求类型投诉详情  高利贷有砍头息！！逾期费两天要80，！！</t>
  </si>
  <si>
    <t>2019/10/03 08:11:40</t>
  </si>
  <si>
    <t>本人在省呗里面大额借款，借款后显示利率35..99，34严重踩着国家监管红线边缘！并且提前还款不减利息！严重高利贷！与宣传的利息严重不符！到目前为止还是有额度显示可借但是利率还是36！要求提前还款清帐，提前还款的3.7万里面只还本金！。</t>
  </si>
  <si>
    <t>2019/10/03 08:11:33</t>
  </si>
  <si>
    <t>虾米在线,来花花,蜜瓜钱包,展鸿科技,呗呗分期,小菜花,喵下贷,菜鸟有钱,威力贷,微品分期，第一次借呗呗分期贷1200还1500！300砍头息！借款成功后会跳出其他高利贷品台！让你下载后已贷养贷！利息越滚越多！半个月时间从欠款1500变成现在欠款20000多！借出来的钱可能就用几百块！其它的都是在还贷款！拆东墙补西墙。</t>
  </si>
  <si>
    <t>2019/10/03 08:11:00</t>
  </si>
  <si>
    <t>信用管家,蓝莓金服,易宝支付,深圳市广盛行小额贷款有限公司，本人于2019年9月5日在信用管家平台申请了蓝莓金服贷款，借款2100元，一个月还款2914元，远超国家法律标准百分之36利率，合同里显示贷款方为深圳市广盛行小额贷款有限公司，易宝支付为非法高利贷平台提供扣款渠道，助长其违法犯罪行为，希望有关部门尽快处理，回归合理利率，及时清账。</t>
  </si>
  <si>
    <t>2019/10/03 08:09:59</t>
  </si>
  <si>
    <t>在商家购买家具时一时大意用支付宝付款后发现被骗了，对方是一个空头公司，发现此事时后及时向支付宝报案并申请保险赔偿调查，支付宝却在推脱责任说与他们没有关系，你们支付软件的监督与安全就做的这么差劲吗，客服的不轻描淡写与失职，保险公司的秒拒，以及不能二次申请，我每个月在支付宝交的保险钱只是看的，关键时刻遇到被骗一案就是纸上谈兵，根本不起作用，那么请问我每个月支付宝的账户安全险的保险钱用来做什么了。</t>
  </si>
  <si>
    <t>2019/10/03 08:06:38</t>
  </si>
  <si>
    <t>说是按日起息，我提前还款利息照收，算下来2494.27元，可是一点提前还款显示要还2693.27。</t>
  </si>
  <si>
    <t>2019/10/03 08:04:35</t>
  </si>
  <si>
    <t>套路贷无故扣款，第一次扣我299第二次又扣了个299。</t>
  </si>
  <si>
    <t>2019/10/03 08:04:32</t>
  </si>
  <si>
    <t>2019年2月16日在融360的快借借款2500实际到账2000，十五天后还款2536元，收取高昂的购物砍头息，现要求退还五百砍头息[]融360违反国家规定，重复授信，不当催收，利息高，在平台借款的时候，平台以捆绑搭售物品的方式，收取高额砍头息，借2500收取500，借2000收取400，借1500收取300，借1000收取200，如果平台不收取高额砍头息，借多少到账多少，那我完全承担得起利息，融360重复授信，无视银监会关于现金贷业务的相关文件，以短信的方式推广借款入口。</t>
  </si>
  <si>
    <t>2019/10/03 08:02:24</t>
  </si>
  <si>
    <t>9月21日08:2258.18/17.19km=4.071/km9月16日06:3851.29/13.04km=3.933/km10月3日05:5736+36*0.25=9。</t>
  </si>
  <si>
    <t>2019/10/03 08:02:03</t>
  </si>
  <si>
    <t>我有一笔贷款10月3号到期，我从9月30号开始主动还款，但是一直还款不进去，微信还款也不行，找他们App也没有，我的银行卡状态正常，联系客服说是他们系统问题，但是今天催收电话就打过来了！客服说让我逾期后去打流水，我很怕他们骚扰电话打到我亲友手机上，非常着急。</t>
  </si>
  <si>
    <t>2019/10/03 08:01:38</t>
  </si>
  <si>
    <t>百事普惠,上海造艺网络技术有限公司,通联支付，，因资金需求，注册资料，平台让我绑定收款银行卡后，出现小银劵，和直接支付，在本人毫不知情的情况下点了小银劵，以为是先放款后支付，却在本人毫不知情的情况下于2019年10月2日晚十点多银行卡被扣取299元，却联系不到平台，同时平台上一个放款显示也没有，希望平台因没有服务返还299，同时并解除绑定我的银行卡，如若不然，本人将继续走其他投诉平台进行投诉，同时与银行投诉进行沟通，并通过联系12377网贷投诉平台电话来解决这个问题，必须强力有力的对这种欺诈行为进行投诉，并</t>
  </si>
  <si>
    <t>2019/10/03 07:54:27</t>
  </si>
  <si>
    <t>因急用钱，下载馒头借钱APP，注册过程中提供了银行卡号及验证码，在我不知情的情况下无故分三次从我银行卡中扣款72元、146元及286元.收到扣款短信后立即打电话给客服，她说是评估费，在我不知情的情况下直接从我银行卡扣评估费，太不可思议了，我投诉馒头借钱偷窃我银行卡里的钱。</t>
  </si>
  <si>
    <t>2019/10/03 07:53:03</t>
  </si>
  <si>
    <t>我现在将把我的通讯清单和亲朋好友的请单整理出来继续投诉不行组织人去银监会继续投诉和公安经贞投诉投诉到有政府管为止。</t>
  </si>
  <si>
    <t>2019/10/03 07:49:51</t>
  </si>
  <si>
    <t>创客照妖镜软件不合理，打标人就可以免费使用次数，存在恶意打标得现像。</t>
  </si>
  <si>
    <t>2019/10/03 07:48:59</t>
  </si>
  <si>
    <t>本人于2019.9.28通过网络推送下载了蜜瓜钱包，并在app软件上借款2200元，但实际到账却只有1430元，5天之后却要还款2200元，是妥妥的714高炮高利贷，而汇潮支付为其提供放款渠道无疑是助长这些吸血鬼的气焰，希望通过贵平台给予合理的解决方案，本人愿意归还本金及支付合理利息。</t>
  </si>
  <si>
    <t>2019/10/03 07:46:27</t>
  </si>
  <si>
    <t>马上金融旗下，安逸花闪付超国家规定借款利息，还私自用购买寿保以及收取灵活还款包服务费，我要求退还购买保险费及服务费，我要求全额退购买保险及服务费用。</t>
  </si>
  <si>
    <t>2019/10/03 07:44:40</t>
  </si>
  <si>
    <t>白条分期app，扣了我269的会员费，以图片不符拒绝退款，请让他退给我，客户态度还很差。</t>
  </si>
  <si>
    <t>2019/10/03 07:43:19</t>
  </si>
  <si>
    <t>投诉人蒋先生投诉对象钱站,华夏银行涉诉金额2805元问题类型诉求类型投诉详情钱站，阴阳合同，高利贷，借款1500元，分3期每期要还953元，早已还了本金和国家规定的利息，要求钱站给我销账。</t>
  </si>
  <si>
    <t>2019/10/03 07:36:31</t>
  </si>
  <si>
    <t>投诉人卢乐投诉对象滴滴出行涉诉金额90368元问题类型诉求类型投诉详情本人之2017年5月起开始从事滴滴出行网约车这行也快两年过去了，开始几个月滴滴出行的派单量还是可以的，收入也还不错，在2017年的8月份单量就开始下降了，随着不规范的车辆增多，我们公司，的规定参加网约车驾驶员培训，每人报名费是368元整.在经过一个礼拜的培训考试本人以优异的成绩拿到网约车驾驶执照，在后来我的滴滴出行服务分是80分在我不解努力达到98分，星级评定5分，还是优享司机，那时心里就想如果这样长期下去的话就看到希望，还没等想完，第二</t>
  </si>
  <si>
    <t>2019/10/03 07:36:12</t>
  </si>
  <si>
    <t>我于9月30号在舒城维也纳酒店举办婚礼，在之前的我要求酒店将一楼宴会厅门口的自助演餐厅用屏风隔开，酒店并没有做到，酒店餐饮部经理说12块钱，我们自己还是出的起，再有，我在29号晚上去领酒店赠送的套房的时候要我家里人等近一个小时，这些由于我当天结婚，就没有与酒店一方进行任何形式的对话，就把餐饮费就结清，我又在10月2号晚上将我在婚宴上还剩3桌酒席去使用完由于人员多我又加一桌酒席，酒店上菜速度太慢，导致我岳母吃到一半就先行离去，当酒店将所点菜都上齐，我宴请的宾客都差不多离去，只留下一桌人，结账的时候，我就以这些</t>
  </si>
  <si>
    <t>2019/10/03 07:34:09</t>
  </si>
  <si>
    <t>投诉人傅先生投诉对象来分期涉诉金额1500元问题类型诉求类型投诉详情违规爆我通讯录现在让我身边的亲朋好友都知道让我颜面扫地，当今是新社会欠债也是有尊严的不是说在旧社会你们想干嘛就干嘛的还威胁让地痞流氓来上门摧收，当今高利贷横行霸道打者法律的差边球为非作歹，希望当今政府可以出来管管给打压，我现在将把我的通讯清单和亲朋好友的请单整理出来继续投诉不行组织人去银监会继续投诉和公安经贞投诉投诉到有政府管为止八月下旬已经还了一万七难道你们还不满足吗。</t>
  </si>
  <si>
    <t>2019/10/03 07:33:29</t>
  </si>
  <si>
    <t>未经用户同意擅自从用户银行卡上扣款199元。</t>
  </si>
  <si>
    <t>2019/10/03 07:30:44</t>
  </si>
  <si>
    <t>投诉人赵女士投诉对象汇潮支付，威力贷涉诉金额2000元问题类型诉求类型投诉详情汇潮支付为威力贷提供支付通道，借款1400，六天后还款2000，实际只有四天。</t>
  </si>
  <si>
    <t>2019/10/03 07:24:27</t>
  </si>
  <si>
    <t>本人于2019年7月4日通过新橙优品平台借款7000元，当日被扣取保险费700元，实际到手6300，而每个月还款达到2718，总计8154，三个月就要近30%的利息，实在无力承受.要求最后一期协商还款。</t>
  </si>
  <si>
    <t>2019/10/03 07:16:48</t>
  </si>
  <si>
    <t>乾掌柜零用贷app高利贷，我因6月手头资金紧张，进行了借款，借款金额10000元，到手10000元分30周进行还款，每周还款683.33，但是经查询提供服务的深圳斳海商务咨询有限公司已经注销，而出借方除了姓名未提供任何信息，且每周支付宝还款扣款均是不同的餐饮公司，现怀疑该app有洗钱及高利贷行为，目前我已还了15期共计10249.15元，本金已还清，要求该app进行销账停止还款并进行下架停止服务，不再祸害其他借款人利益！。</t>
  </si>
  <si>
    <t>2019/10/03 07:11:47</t>
  </si>
  <si>
    <t>为赌博平台提供支付渠道！特别气愤！这么信任！。</t>
  </si>
  <si>
    <t>2019/10/03 07:11:29</t>
  </si>
  <si>
    <t>叫我接电话说要协商一下，接了又是骚扰电话，要协商说一下你们固定电话号码发给我我就接固定号码，请不要骚扰我的家人和亲朋好友了，欠债是我个人的不关他们什么事如果在再骚扰他们我就叫他们把通讯清单打出来继续告和投诉我就不相信国家没有可以管得住你们这些打者法律差边球的高利贷天天骚扰国庆也不放过艹。</t>
  </si>
  <si>
    <t>2019/10/03 07:08:40</t>
  </si>
  <si>
    <t>投诉人 石女士        投诉对象  蟹老弟        涉诉金额  2 318 元    问题类型    诉求类型投诉详情  账号登不上去了，已经逾期 没办法还款了 我怎么办 快点联系我打这个电话 151******06</t>
  </si>
  <si>
    <t>2019/10/03 07:02:54</t>
  </si>
  <si>
    <t>投诉人王女士投诉对象重信金服涉诉金额10000元问题类型诉求类型投诉详情上海重信零用贷是否合法，在上海重信零用贷借款10000，到手8787元，分15周还，说是扣掉最后一期还款以及平台服务费1213元，借款当时只说了千3的利息，当时急用钱所以就借了，到账之后问我收取500元平台费，本人已经偿还了9期，前后加起来已还8208元，还差579元本金就能还清！现在手头实在没钱，我希望一次性能了了此事，请求平台帮忙。</t>
  </si>
  <si>
    <t>2019/10/03 06:54:00</t>
  </si>
  <si>
    <t>投诉人 陈女士        投诉对象  Wecash闪银,哼哼        涉诉金额  1 000 元    问题类型    诉求类型投诉详情  前几天手头紧。通过闪银哼哼贷。借款1000，说是一个月以后还1030。等于年利率已经是36%。这个我也认了。没有超过高利贷利率。问题是不知道怎么回事。隔了三天。又扣200多的什么担保费。这纯属变相砍头息。望相关部门给个说法</t>
  </si>
  <si>
    <t>2019/10/03 06:53:16</t>
  </si>
  <si>
    <t>9月25日，因家中亲戚看病急需用钱，之前收到360借条推广信息说利息低，无奈之下注册登录申请借款，申请过后并未到账，对方客服说需要2500元工本费提取密码才能到账，期间对方换过几个收款账号，后给他转账后，借款还未到账，再次询问客服，这次说我填写的银行卡号不对，让我确认卡号，我看了个人资料上的卡号跟我的卡号相差一个数字，银行卡其中一个数字1被改成2，如果卡号错误的话当时肯定就不能绑定银行卡了因为要输入银行卡在银行预留的手机号才能绑定，而且我在输入资料的当时核对过三次确定自己并未输错账号；再次询问客服如何解决，</t>
  </si>
  <si>
    <t>2019/10/03 06:50:17</t>
  </si>
  <si>
    <t>该app通过在各大app平台投放广告，引诱用户下载，然后暗地开通用户支付宝自动扣款，弹出虚假窗口强制扣费99元，虽然99元不多，但是我一个刚毕业的学生的好几天的饭钱，真的很难受，此类app严重干扰用户体验，社会信用代码：9****************3，纳税人识别号：9****************3，注册地址：北京市密云区经济开发区西统路8号西田各庄镇政府办公楼508室-83，经营期限：2008-06-24至2028-06-23，邮箱地址：li***g公司网址：http://www.youyuan.</t>
  </si>
  <si>
    <t>2019/10/03 06:37:37</t>
  </si>
  <si>
    <t>小浦优客aPP下载借款，登录身份证明，银行卡卡号后，平台显示要先扣296元什么信用查询费用，个人感觉先扣钱就是无良骗款平台，果断拒绝，直接卸载APP，我已于9月25日和客服取得联系，态度极其不好，说给退款，三个工作日到账，于29日我又再次打电话沟通，还是没有到账，30日我第三次打电话，客户一再推脱，至今还未到账。</t>
  </si>
  <si>
    <t>2019/10/03 06:27:10</t>
  </si>
  <si>
    <t>投诉人 姚先生        投诉对象  北京诚讯信息咨询,银联电子支付        涉诉金额  39 元    问题类型    诉求类型投诉详情  今天早上莫名其妙收到扣费39元的信息 都不知道是什么 莫名其妙就自动乱扣 请求退回费用 并且解释道歉处罚</t>
  </si>
  <si>
    <t>2019/10/03 06:24:08</t>
  </si>
  <si>
    <t>高利贷高炮还爆我通讯录还恐吓我利息还高还恐吓我家人。</t>
  </si>
  <si>
    <t>2019/10/03 06:21:48</t>
  </si>
  <si>
    <t>9月26日兑换，因多次查询运单编号，无物流信息，于28号本人去外地出差，在跟京东客服，京东厂家客服联系过以后，时间改为10月1号配送，协商同意后，我出差在外，但商家仍执意把货发出，让京东快递人员私自把我所购买的商品带到其自己家中存放数日，10月2日给我打电话问我是否配送，我说没有看到物流单号，京东快递说她放自己家中了，现在食品这么不安全，这种生鲜食品怎么能随便放在一个陌生人家中数日，给你你敢吃好吗，吃出病来责任在谁。</t>
  </si>
  <si>
    <t>2019/10/03 06:19:30</t>
  </si>
  <si>
    <t>朋友介绍一款借款平台软件，叫洋钱罐，注册申请了一下，结果看到年化率太高了几乎临界，这是变相高利贷吧，利息其实一般，主要还有各种手续费，服务费乱七八糟。</t>
  </si>
  <si>
    <t>2019/10/03 06:11:24</t>
  </si>
  <si>
    <t>飞猪系统繁忙出票失败钱一直不退款找客服一直都是几个工作日后退款。</t>
  </si>
  <si>
    <t>2019/10/03 06:04:28</t>
  </si>
  <si>
    <t>无缘无故行卡被扣钱，本人就没听过什么百付宝，。</t>
  </si>
  <si>
    <t>2019/10/03 06:01:12</t>
  </si>
  <si>
    <t>速金服借款1000元，实际到账700元，分三期，每个月还款635.32元，相当于三个月总还款1905.96元，砍头息加高利息，本人表示不能接受，到账700三个月要还1905.96。</t>
  </si>
  <si>
    <t>2019/10/03 05:57:57</t>
  </si>
  <si>
    <t>美团外卖商家封面写着大额满减，吸引顾客进店，实际上进去后全是9.8折，9.9折，根本没法使用满减，涉嫌虚假宣传，实在是恶心人，不知道这是商家的问题还美团的问题，美团作为第三方，有义务诚信经营，有义务监管，有义务维护我们消费者的权益，倘若它不贴上满减的标签，我根本不会点进去，就不会被恶心到，另外这不是个例，几乎10家有9家都这样，起码贵阳周围是这样，记得以前有一段时间是可以自动选择最大优惠的，现在直接不让用满减。</t>
  </si>
  <si>
    <t>2019/10/03 05:39:58</t>
  </si>
  <si>
    <t>2019年8月11号在玖富万卡借款16000万，，实际到账20800元，几秒后账户被玖富万卡划走4800元，在本人不知情的情况下被玖富万卡买保险，这是套路贷，请问玖富万卡平台你们是以什么名义给我本人买的保险。</t>
  </si>
  <si>
    <t>2019/10/03 05:38:58</t>
  </si>
  <si>
    <t>钱站上面显示放款额度是3990，分三个月还款，可是实际到账是3000，每个月还款1584，相当于三个月总还款4752，到账3000，显示到账3990，3个月利息实际就是1752，太夸张了。</t>
  </si>
  <si>
    <t>2019/10/03 05:32:45</t>
  </si>
  <si>
    <t>本人2018年通过小花钱包下款14000元，分20期还清，今年九月出现首次逾期，这才发现小花钱包没有客服，无法进行沟通处理，逾期后催收公司响应迅速，由中腾信控股旗下的鼎鑫泰进行追账，手段极其恶劣，拒绝协商，恐吓本人，骚扰通讯录好友，通过技术手段使手机会不停的接到莫名其妙的验证码，每天催收电话超过20，最高峰达到每小时20个，并且在晚上9点后仍然会收到非技术手段的验证码，骚扰电话，并且这种情况是群体性的，很多好友也是每天会被很多验证码骚扰，电话骚扰，目前我已经在当地公安备案，在本人名誉权没有恢复的前提下，在隐</t>
  </si>
  <si>
    <t>2019/10/03 05:31:04</t>
  </si>
  <si>
    <t>投诉人 覃先生        投诉对象  万惠及贷        涉诉金额  7 200 元    问题类型    诉求类型投诉详情  提前收取砍头息、强烈要求返还所谓的服务费</t>
  </si>
  <si>
    <t>2019/10/03 05:27:48</t>
  </si>
  <si>
    <t>9月7号在毕节飞机场赶飞机时，有工作人员上前推销悦程出行卡，说1880元办卡送1000元，可以用来购买机票，想到于多送了一张飞机票，当时急着赶飞机，又觉得这个卡很划算，就办了，直到今天购买飞机票时才发现这个卡实际上买机票根本用不了，只能够抵扣燃油费，而且用来抵扣燃油费之后买的机票，托运任何东西都得花钱，那这也太气人了，办卡的时候工作人员只字未提此卡只能抵扣燃油费的事实，现在导致这个卡完全用不完，又不经常坐飞机，而且用此卡坐飞机，得坐60次才能用完，中间还有隐形消费。</t>
  </si>
  <si>
    <t>2019/10/03 05:21:03</t>
  </si>
  <si>
    <t>约单app霸王条款，需要30天退还诚意金，我未得到任何服务，不使用该软件了，需要立刻取消订单，该平台没有任何理由扣押我的钱。</t>
  </si>
  <si>
    <t>2019/10/03 05:03:00</t>
  </si>
  <si>
    <t>本人在信用管家申请了一款叫金钱保的贷款软件，第一次借款3000实际到账，2250元.28天分四期7天为一期.每期771元.借款结清后.本人因急用钱再次申请.第二次借款到账3375元.28天分四期7天为一起.每期1151.48.共需还款4605.84.已还3期.还剩一期未还.要求协商销赃.因以严重超过国家规定利率.10月4日还款日.希望尽快处理.如不处理会继续向清算协会举报.。</t>
  </si>
  <si>
    <t>2019/10/03 04:58:26</t>
  </si>
  <si>
    <t>浏览网页弹出来一个彩票网站，以为是正规平台，点进去注册了个账号，充值时看到有银联支付，以为是正规购彩平台，家人知道后说是违法赌博平台，，酷宝支付作为有牌照的支付公司，却为违法机构，非法赌博平台提供第三方支付接口，误导人认为该平台是合法购彩的，希望贵机构能帮忙联系该酷宝公司并警告，停止为非法购彩平台提供第三方支付，并退回本人款项。</t>
  </si>
  <si>
    <t>2019/10/03 04:55:54</t>
  </si>
  <si>
    <t>客服已经表示我在淘手游买的英雄联盟诺克萨斯区的号已被找回，让我去申请保单，可我申请完了，申保结果好几天不动，我希望我既然在这个软件买了号，希望他们能把号给我找回，或者给我做出相应的赔偿。</t>
  </si>
  <si>
    <t>2019/10/03 04:54:12</t>
  </si>
  <si>
    <t>本人自2018年6月份起，多次在立即贷借款，立即贷周期为14天，每次放款扣除300多的砍头息，然后还要再去收取利息，属于典型的714黑恶高炮、在我拒绝偿还高额利息后，采用电话骚扰，短信轰炸、人格侮辱等方式暴力催收，，严重影响了我的正常生活，并且对个人名誉造成了不可挽回的伤害！该平台被严查后，删除了我后台借款记录，但仍要求我偿还高额利息，并持续骚扰！请求相关部门严惩不法分子，并要求立即贷退还高额利息！！。</t>
  </si>
  <si>
    <t>2019/10/03 04:51:24</t>
  </si>
  <si>
    <t>优酷视频免费用三天打鱼三天以后自动续费，可不可以退款。</t>
  </si>
  <si>
    <t>2019/10/03 04:50:26</t>
  </si>
  <si>
    <t>钱站公司高利贷，本人9月11号在钱站借了10000块，合同金额却是13200元，分12期还每一期还大概1380元左右，利息非常高，变相的高利贷，问是哪个公司的又说不清楚，客服态度很无所谓，现在要求提前结清只偿还本金及正常利息！。</t>
  </si>
  <si>
    <t>2019/10/03 04:34:41</t>
  </si>
  <si>
    <t>本人在爱又米平台借款3次，每次9000块钱，已全部如期还清本金及合法利息，爱又米利息严重高于国家规定标准，并存在砍头息现象，在本人拒绝偿还高额的900元利息之后，该公司恶意骚扰我通讯录亲朋好友，电话轰炸、短信骚扰、名誉诽谤、冒充公检法人员，严重影响了我个人生活，对我的个人名誉造成了不可挽回的伤害。</t>
  </si>
  <si>
    <t>2019/10/03 04:32:06</t>
  </si>
  <si>
    <t>投诉人 刘先生        投诉对象  信而富        涉诉金额  1 700 元    问题类型    诉求类型投诉详情  客服说好砍头消账 之后不消账 银行卡被强制扣款</t>
  </si>
  <si>
    <t>2019/10/03 04:22:05</t>
  </si>
  <si>
    <t>9月11日与交通银行内部催收协商还款，确认金额与时间一次性清账，本人按照协商内容，按时全额还款，交通银行不履行承诺。</t>
  </si>
  <si>
    <t>2019/10/03 04:16:07</t>
  </si>
  <si>
    <t>在2019年5月份，我在银码头app上申请了两次贷款，但是银码头的客服跟我说，要我支付推荐费199元，我支付了就可以推荐我借款了，他们工作就说这个他们也不太清楚，一直都是脱，他们客服就跟我说没有推荐成功的客户，申请退款只能在申请的30天内才可以退款，我之后支付了199元，可是之后从没有推荐过我什么借款，我打电话客服，客服跟我说您在开会耐心等待几天，可是之后还是没有推荐成功，我等了几天还是没有推荐成功，我再给客服打电话，客服跟我说他们没有权限办这个事情，在5月我之后有点了申请借款，这是第二次，又在我银行卡里扣</t>
  </si>
  <si>
    <t>2019/10/03 04:15:23</t>
  </si>
  <si>
    <t>投诉人严家荣大众彩票投诉对象224.com大众彩票涉诉金额103元问题类型诉求类型投诉详情已送彩金为由诱骗去赌博！赢钱不能提现！账号里面的钱直接清零！。</t>
  </si>
  <si>
    <t>2019/10/03 04:13:01</t>
  </si>
  <si>
    <t>支付宝为非法高利贷714高炮提供收款服务，证据确凿，要求支付宝给一个说法，冻结非法网贷账户，退还套路贷款项。</t>
  </si>
  <si>
    <t>2019/10/03 04:08:30</t>
  </si>
  <si>
    <t>本来只打算借款3个月周转，你我贷公司强制借款12个月，借款本金10200元，一年12个月利息3665.48元，利息高的吓人，高利贷啊，我现在只想跟你我贷公司协调提前还款，按正常利息天数算。</t>
  </si>
  <si>
    <t>2019/10/03 04:07:06</t>
  </si>
  <si>
    <t>投诉人江先生投诉对象滴滴出行涉诉金额20000元问题类型诉求类型投诉详情自从今年开始，滴滴出行平台依靠销售四轮电动车收取大量资金，并恶意限制我的派单，指定派单给了四轮电动车，经过大半天的观察和分析，我的派单收到了严重的恶意限制，走到热点区都不派单，周围的车一个接一个走了，一个接一个又回来，始终不给我派单，同样的问题申诉过很多次，没有部门约束和管理平台的恶意行为，既然你把订单给了别人，请多收别人的平台费，把我的还给我，或者减免，我不跟你们平台废话了，今年的接单情况是前所未有的，同样的问题同样的诉求我已经懒得重</t>
  </si>
  <si>
    <t>2019/10/03 04:05:44</t>
  </si>
  <si>
    <t>中国银联快捷支付和建设银行，自2016年8月起至今，长期为非法赌博网站提供支付通道，是不想查处非法赌博网站，还是与他们同流合污榨取百姓的血汗钱，并且建设银行龙支付清除了本人交易记录，中国银联云闪付也称本人身份证信息被盗用不能查询交易记录，需要很久才能修改信息去查看记录，铁证如山，本人有大量交易记录为证，希望相关部门给予查处整顿，还百姓一个公道！。</t>
  </si>
  <si>
    <t>2019/10/03 04:05:38</t>
  </si>
  <si>
    <t>重新来电的都是马上用呼死你，骚扰通讯录，暴打催收电话，恐吓，各种套路，威胁借款人，上门暴力催收。</t>
  </si>
  <si>
    <t>2019/10/03 03:43:46</t>
  </si>
  <si>
    <t>投诉人张先生投诉对象拼多多,支付宝涉诉金额100000元问题类型诉求类型投诉详情为平台提供不正当充值服务，说是购买正规中国体育竞猜，实际是网络赌博，而且还是工作人员操作，说是充值每个月固定返回20%，最后一分钱取不出来，支付宝和拼多多占有主要责任，为不良平台提供充值渠道。</t>
  </si>
  <si>
    <t>2019/10/03 03:41:51</t>
  </si>
  <si>
    <t>为什么我的卡里半夜三更平白无故的给扣了两千多，我也也和你们易宝支付特约什么。</t>
  </si>
  <si>
    <t>2019/10/03 03:41:31</t>
  </si>
  <si>
    <t>本人是19届的毕业生，2018年大三出去实习，找不到实习，于是和同学一起参加了一个面试，合肥奥蓝科技当时面试的时候将自己的专业知识贬低，并告知需要进行学习，在他那学习后会给你安排工作，并且最开始月薪至少三千，在工作中有不会的也可以联系他们寻求帮助，但是之前需要缴纳19800的费用，由于本人没有那么多钱，他们公司说可以贷款，之后经公司手在找我学上贷款19800，弹性分期6➕18，还款要24353.46，在合肥奥蓝期间并未教学到具体知识，教师都是一带而过，之后自行找工作遇到困难并没有得到帮助，并且找我学平台打电</t>
  </si>
  <si>
    <t>2019/10/03 03:35:38</t>
  </si>
  <si>
    <t>本人是一名淘宝卖家，本人于上个月上架了一款玩具水弹手枪，因为此款水弹手枪全网很多店家在卖，而本人的图片也是从阿里巴巴的批发商拿的图，本人致电淘宝商家客服，跟他反映了这个问题，也说明得很清楚，锦绣是淘宝热销的品牌，出的产品不可能会违规，而且淘宝网中很多卖家都有在售卖同款，用的图片也几乎都是一样的，第一个小二客服态度很好，说会帮我反映，系统也有可能会出错，2天后也没有结果反馈，因为被扣了六分，导致无法参加双十一活动，本人再此致电淘宝商家客服，第二个客服小二，态度很不好，他就说是系统排查到的，不会有错，我问他，那</t>
  </si>
  <si>
    <t>2019/10/03 03:30:47</t>
  </si>
  <si>
    <t>我的账户已经出了额度，因平台在借款时有风险评估服务费用，本人不想使用，并且担心在手机丢失等意外条件下被恶意操作，所以要求注销账户，客服以不附合注销条件为由不给注销。</t>
  </si>
  <si>
    <t>2019/10/03 03:28:29</t>
  </si>
  <si>
    <t>，此饭店晚上11点至凌晨3点的时候炒菜的炉头噪音很大声！吵着附近很多人睡觉。</t>
  </si>
  <si>
    <t>2019/10/03 03:26:54</t>
  </si>
  <si>
    <t>投诉人刘先生投诉对象王者荣耀涉诉金额0元问题类型诉求类型投诉详情我每一局游戏都很认真的在玩，只是而且我都排位6连胜了，这局游戏队友开始选人就乱来，游戏中更是有抱怨的话语，我没有理会积极认真地游戏，结果就因为队友是vip，输了不爽就可以举报我送人头，扣了我7分信誉分，已经被恶意举报几次了，都成功了，国庆节还这个态度！申诉还说经核查我确实送人头了，完全没有根据，可以去看录像，我积极的带线牵制然后回头参团，就因为我是近战抗伤害被秒死的多了就是送人头，我认为王者荣耀对我的名誉权造成了损害，没有依据事实进行处理，客服</t>
  </si>
  <si>
    <t>2019/10/03 03:09:48</t>
  </si>
  <si>
    <t>借款3000元三个月还款5366.99元，利息太高了，而且客服态度蛮横无理，无视国家法律规定，顶风作案，最牛逼的就是说投诉哪里有没用，到最后还得全部按他们公司还款。</t>
  </si>
  <si>
    <t>2019/10/03 03:06:17</t>
  </si>
  <si>
    <t>实际借款2000，钻了不看合同的空子,还有和app的显示完全不一样，借款合同写着借款，2660综合年利率24%，每个月还1312.三个月共还。</t>
  </si>
  <si>
    <t>2019/10/03 03:03:29</t>
  </si>
  <si>
    <t>本人2019.9.2在贷上钱申请了一笔2000元的借款还款要多付500元的恶魔猎手钻石币的金额，还有一笔2500元的借款同样是要多还500元的恶魔猎手钻石币的金额，总共借款4500，一月后还款总共5657，而其中2000那笔借款已扣除我款项，在此请求取消砍头息，本人合理的支付利息并还款，并做出解释，恶魔猎手钻石币是干什么的，我什么都没有看到，亦没有享受过什么服务。</t>
  </si>
  <si>
    <t>2019/10/03 02:59:59</t>
  </si>
  <si>
    <t>支付宝、淘宝店铺，常年为非法网络赌博平台提供收款结算服务，请问支付宝官方，赌博网站以淘宝商店的名义收款你们不知道吗，铁证如山，我有大量支付宝店铺交易截图，望相关部门加以严惩，还百姓公道。</t>
  </si>
  <si>
    <t>2019/10/03 02:50:42</t>
  </si>
  <si>
    <t>投诉人韩女士投诉对象拼多多涉诉金额100元问题类型诉求类型投诉详情异常助力根本没有显示，也没有算在助力里，又凭什么算作异常，所有的活动规则都有平台制定，最终解释权也归平台，这就是霸王条款，法律并不承认的好么，对你们有利的，你们就用，那对参与活动者有利的就没有，既然是活动，由于平台出现的漏洞和问题，不能让参与者来承担不利后果，不要总是用同样的话给予回复，请拿出确实说明、证据及解决方案。</t>
  </si>
  <si>
    <t>2019/10/03 02:42:15</t>
  </si>
  <si>
    <t>2019/10/03 02:40:54</t>
  </si>
  <si>
    <t>我在网上无意间看到可以购买正规彩票平台，平时我有购买彩票的习惯，贪图方便结果掉入黑彩平台！现在恳请贵单位帮忙协助我追回我的损失！查看了相关的法律文件，三方公司应当承担相对应的责任，明知道对方是做什么的还为其提供入款渠道，造成人民的财产损失，这样的行为属于为犯罪份子洗黑钱，欺诈的行为！。</t>
  </si>
  <si>
    <t>2019/10/03 02:28:50</t>
  </si>
  <si>
    <t>玖富万卡借款，本金总为13400元平均都已经还了20期，超过10000元仍显示，剩余欠款11899.19元希望玖富，计算剩余利息，给予解释。</t>
  </si>
  <si>
    <t>2019/10/03 02:28:08</t>
  </si>
  <si>
    <t>投诉人马先生投诉对象趣花钱网贷app涉诉金额5000元问题类型诉求类型投诉详情无法正常还款，无客服联系方式，怕产生逾期。</t>
  </si>
  <si>
    <t>2019/10/03 02:27:04</t>
  </si>
  <si>
    <t>我的国美金融账户已经出了额度，为防止因手机丢失等意外原因被恶意操作，所以要求注销账户。</t>
  </si>
  <si>
    <t>2019/10/03 02:26:02</t>
  </si>
  <si>
    <t>相关部门不作为，无论是网页还是公众号，故意让投诉人无法进行投诉，浪费纳税人的钱。</t>
  </si>
  <si>
    <t>2019/10/03 02:16:29</t>
  </si>
  <si>
    <t>本人于6.6日在平台借款10000元，6.7日还款，发现一次结清需还15000多，和客服协商一直未给出回复，本人想一次性还清，可是平台给的金额本人还不起。</t>
  </si>
  <si>
    <t>2019/10/03 02:16:09</t>
  </si>
  <si>
    <t>8月1日借钱，本人工资10日固定发放，能否将还款日期改为10日，别再威胁骚扰我了，我10日肯定还</t>
  </si>
  <si>
    <t>2019/10/03 02:15:55</t>
  </si>
  <si>
    <t>就没看到是女士的被人男士所以酒店前台也不让办理入住也叫我退款，也不回复也不理人电话也是机器人人工根本打不进去。</t>
  </si>
  <si>
    <t>2019/10/03 02:14:28</t>
  </si>
  <si>
    <t>在聚福平台扣了两次评估费299元和100元，后续我往卡里面充钱在扣我199元评估报告费。</t>
  </si>
  <si>
    <t>2019/10/03 02:03:57</t>
  </si>
  <si>
    <t>手机是正规实体店买的，用了一年多，没重摔过，没进过水，没维修过，正常待机出现无限重启，通过网络和贴吧发现很多和我一样购买这个型号的手机都已经陆续出现卡死无限重启了，集中在12月份出现，也就是大部分手机都只用了一年几个月刚过保修期，实体店咨询，oppo官网投诉都各种推卸，要换主板，一块主板得950元，9型号手机都没有出现问题，唯独最贵的r9s，，别人手机用三年四年才坏，我们买这个就一年多就报废，这是对消费者的欺骗和不公。</t>
  </si>
  <si>
    <t>2019/10/03 01:59:06</t>
  </si>
  <si>
    <t>投诉人 关先生        投诉对象  今借到        涉诉金额  2 000 元    问题类型    诉求类型投诉详情  突然有人给我打电话问我需不需要贷款。然后引导我打的2000元借条。只给我放款1400。而且只有7天时间，明显的714高炮砍头贷。超出国家最高规定的60多倍</t>
  </si>
  <si>
    <t>2019/10/03 01:54:02</t>
  </si>
  <si>
    <t>借款手续费一期200多，一共收取3次，是不是符合国家规定。</t>
  </si>
  <si>
    <t>2019/10/03 01:53:57</t>
  </si>
  <si>
    <t>松紧贷暴力催收，并多次发送短信威胁，威胁爆通讯录，骚扰家人朋友！。</t>
  </si>
  <si>
    <t>2019/10/03 01:48:58</t>
  </si>
  <si>
    <t>19年9月15日19日的分别像爱钱进旗下的钱站，速金服分别借款2000元，1000元，当时着急用钱没在意，今天查了下到账金额又看了下还款金额不对劲我就看了合同，一看借款金额是2660元和1330元，这明显是欺诈行为，这比高利贷都狠，我也看了投诉里，爱钱进的钱站投诉量最多，而且大多都没有解决，如果这里不能解决我准备去互联网金融投诉官网去投诉！最后附上一张互联网金融规定。</t>
  </si>
  <si>
    <t>2019/10/03 01:46:53</t>
  </si>
  <si>
    <t>2019年10月2日晚上九点通过美团预订的上海古象酒店两间客房，到店后酒店前台告知没有接到美团确认单无法办理入住，我第一时间拨打客服要求解决问题，其声称半小时回电，我一直等了两三个小时才接到回电，期间多次拨打客服问题均未解决，到现在客房无法入住，要求退款客服多次辩解推脱，投诉无效，难道美团就没人能管的了吗。</t>
  </si>
  <si>
    <t>2019/10/03 01:45:51</t>
  </si>
  <si>
    <t>8月2日借钱，因为工资发放时间为每个月固定10日，向协商解决还款日期改为每月10日</t>
  </si>
  <si>
    <t>2019/10/03 01:36:33</t>
  </si>
  <si>
    <t>我逾期是我自己的原因，那是因为家里人病了住院挺严重的，照顾病人还要照看八个月大的宝宝，卡里余额不够扣除还款金额，钱在微信里还没转到卡里，我也实在没时间看手机也不知道有账单要还才导致逾期了两天，就是三百多块的欠款，我之前一直都正常还款，从未逾期过，难道还会差这三百多块拖着不还吗，知道还款的第一时间我赶紧就登陆还上了，再试下提现就显示风控检测未通过，我希望苏宁易购这边能体谅我一次，我也不是要故意拖欠账单不还的，就因为家里生病忙不过来才没及时处理！这么长时间以来才第一次逾期，谢谢！。</t>
  </si>
  <si>
    <t>2019/10/03 01:35:59</t>
  </si>
  <si>
    <t>2019/10/03 01:33:09</t>
  </si>
  <si>
    <t>凌晨00.41分莫名其妙扣除银行卡金额，华夏盛世怎么还有这样的公司莫名其妙的刷走了银行卡里的钱，真的太可怕了，想想都觉得人心惶恐，半夜手机突然来个信息卡里钱被刷走了，真心的希望你们能帮忙处理一下谢谢，真心的希望不要再有这样的事情发生了。</t>
  </si>
  <si>
    <t>2019/10/03 01:31:45</t>
  </si>
  <si>
    <t>由于误操作，导致900多微信余额全部用于充值游戏道具。</t>
  </si>
  <si>
    <t>2019/10/03 01:30:58</t>
  </si>
  <si>
    <t>非常的无语，同样的问题申诉了N次，最后都是被无尽的骚扰电话折服，满大街的乱七八糟是人是鬼都在开，平台也照样派单，甚至有什么东风的面包车还在开，市场极其混乱，一个月开几次的也有，服务分都是刷出来的，平台也照样派单给他们，每次打电话都说改进改进改进，看看，这就是改进的效果，一个半小时2单，周围各种各样的东西都接单走了，就不给我单子，搞笑。</t>
  </si>
  <si>
    <t>2019/10/03 01:27:38</t>
  </si>
  <si>
    <t>本人在网上被人诱骗以做兼职，赚流水等理由被人拉进兼职群，以购买彩票方式赚取佣金，中国银联，和支付清算协会沟通得知，第三方支付业务应审核客户的相关信息，第三方支付公司不得向证券、期货、博彩等机构提供支付结算业务，作为有牌照的支付公司没有履行国家相关法律法规要求，希望聚投诉工作人员能够联系，要求第三方支付机构退回被扣款项，希望贵支付公司立即冻结该款项，关闭该商户的充值接口，做退款处理。</t>
  </si>
  <si>
    <t>2019/10/03 01:22:13</t>
  </si>
  <si>
    <t>，因个人工资10号发放，希望贵公司能给到延期还款时间。</t>
  </si>
  <si>
    <t>2019/10/03 01:18:36</t>
  </si>
  <si>
    <t>使用智行APP抢票功能，却被默认购买增值服务，默认自动付款，提示不明显，导致购买到重复车票，而且抢到的票居然在2号才提示抢票成功，3号的票，你2号才和我说抢票成功，我早就另外买好一张票了，还等你那缓慢的抢票系统，你这样导致我买到重复的票，我现在只想把这张重复的票全款退掉，是全款！包含票价和那个默认购买的加速包！简直就是霸王条款！强制消费！真当消费者是瞎子吗。</t>
  </si>
  <si>
    <t>2019/10/03 01:14:01</t>
  </si>
  <si>
    <t>本人在2019年10月1日晚上看见朋友推广花薪花呀服务号公众号的链接，邀请我注册就可以抽奖，很大机会可以抽到50元现金红包，因为很多人都抽到了，于是我就注册了，然后真的也抽到了50，结果提现的时候要提交身份证绑定银行卡，可能有很多人在抽的原因，公众号太卡认证不了身份证，于是我就没理他，邀请别人注册也可以继续抽，于是我就邀请别人又抽了50，之后抽到10，抽到5元，一共加起来115元，想着提现，结果绑定绑不了提示我明天再来，结果今天登录进去看到自己抽奖的余额福利金不见了，这难道不是骗人，我看见很多人在网页论坛说</t>
  </si>
  <si>
    <t>2019/10/03 01:05:46</t>
  </si>
  <si>
    <t>9月28号在皆大欢喜借款2000元，实际到账1300，10月2号还款期到软件无法处理还款，也没有客服联系方式，每日涨60元利息。</t>
  </si>
  <si>
    <t>2019/10/03 01:05:19</t>
  </si>
  <si>
    <t>安逸花多还的一笔溢缴款无法提现退还，本身此平台规则是溢缴款不拿无法借款，而溢缴款本来就是我这边多还的钱，多次尝试都无法提现，客服联系不上。</t>
  </si>
  <si>
    <t>2019/10/03 01:04:48</t>
  </si>
  <si>
    <t>投诉人花先生投诉对象友缘在线涉诉金额169元问题类型诉求类型投诉详情北京友缘在线网络科技股份有限公司已经二次从支付宝自动扣款，一次99元。</t>
  </si>
  <si>
    <t>2019/10/03 01:03:51</t>
  </si>
  <si>
    <t>金鸡下蛋套路贷，1400元6天还2100，还威胁p图群发通讯录，造成严重骚扰。</t>
  </si>
  <si>
    <t>2019/10/03 01:00:48</t>
  </si>
  <si>
    <t>本人在2018年7月至2019年2月间，向融360贷款平台的花无愁借款4次，每次借款1500，，变相砍头息20%，所购商品均为三无商品，3.15后了解这是违规放贷，现要求归还本人变相砍头息部分1200元，本人愿意归还已购三无商品，请贵平台帮助保障受害借款人的正常合法权益，为受害人主持公道2019年1月8日放款1200，1月23日扣款15222019年1月24放款1200，2月7日扣款15222019年2月7日放款1200。</t>
  </si>
  <si>
    <t>2019/10/03 00:59:38</t>
  </si>
  <si>
    <t>手机支付宝实名被限制，不能实名认证，需要解除实名限制。</t>
  </si>
  <si>
    <t>2019/10/03 00:59:25</t>
  </si>
  <si>
    <t>投诉人 庞先生        投诉对象  微转转        涉诉金额  280 元    问题类型    诉求类型投诉详情  说好邀一个人有10块钱的 然后等我们邀完骗提现不到账 说好两三天到账的 可是一样不到 只到了新手进去的那一块而已 客服又联系不上 要求给予补偿</t>
  </si>
  <si>
    <t>2019/10/03 00:57:49</t>
  </si>
  <si>
    <t>上订的酒店，结果去了商家说不合作了，打oyo客服电话也没人接，退款也退不了。</t>
  </si>
  <si>
    <t>2019/10/03 00:56:33</t>
  </si>
  <si>
    <t>我在2019年10月3号注册购分期，从我银行卡私自扣款299.00元，在此期间平台没有任何提示，盗取客户资金，希望退款并解释。</t>
  </si>
  <si>
    <t>2019/10/03 00:55:00</t>
  </si>
  <si>
    <t>在微贷的多米贷中借款8400元，近期调取个人银行流水时，才发现实际只到账7056元，直接比借款金额少了1344，但并不知道扣去哪里了，借款8400，6个月，每期1547，1547*6=9282，借款人标的本金利息才8527.86，运营费用110*6=660，8527.86+660=9187.86，请问其他的94.14在哪，现在已经剩下最后一期，按照国家规定不允许收取砍头息的，要求退还砍头息，结清销帐。</t>
  </si>
  <si>
    <t>2019/10/03 00:51:54</t>
  </si>
  <si>
    <t>客户自己下单拍错了尺寸，拍大了，一定要我们承担运费，这个是客户自己拍错的，我们让他拍90码，他自己要拍100码，然后穿不了，要我们给运费或者补钱给他，我们不同意，他们就找平台，平台就直接给他们退款6元。</t>
  </si>
  <si>
    <t>2019/10/03 00:50:15</t>
  </si>
  <si>
    <t>货品送到站点以后，派送员不予配送，而且多次更改我的收货时间，体谅他们，自己去站点拿过几次货，但是，他们一而再再而三，更改我的收货时间，还谎称不是他们快递公司配送，职业道德一点没有。</t>
  </si>
  <si>
    <t>2019/10/03 00:47:39</t>
  </si>
  <si>
    <t>投诉人 陈旭        投诉对象  财付通,微信支付        涉诉金额  4 818 元    问题类型    诉求类型投诉详情  财付通无缘无故扣我银行卡里的钱，丧尽天良</t>
  </si>
  <si>
    <t>2019/10/03 00:46:22</t>
  </si>
  <si>
    <t>整么就被扣款了望贵公司给我一个解释给予退款谢谢。</t>
  </si>
  <si>
    <t>2019/10/03 00:44:17</t>
  </si>
  <si>
    <t>，打着合法贷款的名义干着高利贷的勾当，伪造合同，暴力催收，利息率完全不符合国家规定，合同注明1330元的贷款，实际到账只有1000，希望有关部门，能尽快取缔钱站这家打着合法贷款，却干着高利贷勾当的公司。</t>
  </si>
  <si>
    <t>2019/10/03 00:43:19</t>
  </si>
  <si>
    <t>本人于2019年10月2日下午通过携程网预定了维也纳国际酒店，酒店前台说携程网当天下午系统就出故障了，他们一直没有收到该网站的订单信息，所以我们得订单没有确认，我们定的房间不存在，3间1晚的房间，付款成功后，本人在晚上携家人驱车到达酒店，酒店前台说：携程网当天下午系统就出故障了，他们一直没有收到该网站的订单信息，所以我们得订单没有确认，我们定的房间不存在，由于正值国庆高峰期，我们一时找不到宾馆，又是玩上时间，给我与家人带来了极大的不便，后通过别的网站又临时定了一个酒店，一直折腾到晚上10点才入住，后来携程网</t>
  </si>
  <si>
    <t>2019/10/03 00:42:36</t>
  </si>
  <si>
    <t>投诉人张先生投诉对象建设银行,中金支付,华夏基金涉诉金额299元问题类型诉求类型投诉详情23点45分，直接给我扣款299，我根本就什么都不知道的情况下，怎么会直接扣款。</t>
  </si>
  <si>
    <t>2019/10/03 00:41:25</t>
  </si>
  <si>
    <t>无端端推送贷款广告，点进去输入资料注册后没有任何贷款有关的审核及内容，不断地推送多个贷款类平台广告诱使你一个接一个的app下载及注册，并在部分app引导下输入过身份证及银行卡，其中出现一个，的app莫名出了一个类似征信报告的公司，但没什么内容，也没有实质性报告，大约注册后24小时左右，手机收到扣费通知并从银行卡中被扣取296元，称报告已生成，并有服务电话021-69076118！拨此号无人接听，投诉无门！。</t>
  </si>
  <si>
    <t>2019/10/03 00:41:05</t>
  </si>
  <si>
    <t>属于国家严打的高利贷，其服务费就是高炮里的砍头息，换汤不换药，本人想协商还款，请客服与我联系。</t>
  </si>
  <si>
    <t>2019/10/03 00:39:54</t>
  </si>
  <si>
    <t>投诉人 钟玮凌        投诉对象  旺卡猫        涉诉金额  199 元    问题类型    诉求类型投诉详情  说是贷款 绑定银行卡就被扣了199 客服打电话找一些理由就是不退钱</t>
  </si>
  <si>
    <t>2019/10/03 00:31:14</t>
  </si>
  <si>
    <t>交了押金后一直不能退还，电话也打不通，现在急等着用钱呢。</t>
  </si>
  <si>
    <t>2019/10/03 00:26:34</t>
  </si>
  <si>
    <t>152******77这个手机号码已不再使用。</t>
  </si>
  <si>
    <t>2019/10/03 00:23:55</t>
  </si>
  <si>
    <t>刚注册时显示零元领三天vip，然后点击后诱导开启免密支付，开启后再次点击零元领三天vip时自动扣款两项vip费用，共计168元。</t>
  </si>
  <si>
    <t>2019/10/03 00:23:40</t>
  </si>
  <si>
    <t>今天我打开美团需要买东西的时候，无意间发现我的美团订单里面有一笔9月17日我根本就没有消费的99元酒店住宿订单，然后我就查看支付宝、微信账单后，发现这笔订单是通过我的另一个很少用的微信付款支付的，而且我查看9月17号的微信账单记录的时候，竟然是，先是二维码收款99元后，然后再用于酒店住宿的消费，随后我给酒店打电话描述了这件事情后工作人说没事，以后就立马挂断电话。</t>
  </si>
  <si>
    <t>2019/10/03 00:20:53</t>
  </si>
  <si>
    <t>本人在牛人有品借款1900到账1368扣了五百多的服务费，本人已经还了一期还有一起即将到期希望协商减免额度还款。</t>
  </si>
  <si>
    <t>2019/10/03 00:18:17</t>
  </si>
  <si>
    <t>豹子贷,上海造艺网络科技,造艺网络科技,银码头，2019年9月26日从豹子APP平台审请贷款时，需要评估费299元，我卡里没钱了，后来自动扣去我卡里299，联系客服也一直在排队，现在我想退出豹子贷借款平台，取消订单，退回我的费用。</t>
  </si>
  <si>
    <t>2019/10/03 00:18:08</t>
  </si>
  <si>
    <t>我在平安普惠借了四笔贷款，都看不了合同具体内容，借的有几期，什么时候还清款款项，利息服务费高的离谱不说，我们还得不明白.要求平安普惠给我一个借款还款明细.。</t>
  </si>
  <si>
    <t>2019/10/03 00:11:33</t>
  </si>
  <si>
    <t>交易不合法，要求云闪付及中国银联核查后采取退款措施！据中国人民银行和支付清算协会，第三方支付公司应审查客户的相关信息，第三方支付公司不得向证券、期货、博彩等机构提供支付结算服务。</t>
  </si>
  <si>
    <t>2019/10/03 00:10:12</t>
  </si>
  <si>
    <t>请看截图时间证明最后一张，时间才没多久出现的事情，一出事情我就知道发生事情，马上申请仲裁，在交易猫买了个号，根据客服发的账号密码上游戏，结果被号主一群的亲友说盗号，号主根本没卖，号主说在交易猫挂过但是没有卖，试问那账号怎么在交易猫出售，原号主还说申诉QQ中，现在买个号都那么不省心，登录游戏一上号就像通缉令一样，别说什么要证据什么申诉，单是买家又不是黑客怎么知道对方的所以信息，况且还是超级会员的QQ，等级那么高，750多天的连续登录，财付通实名认证也解不了，看游戏里面的显示QQ好友是10个吗怎么看都不像是不玩</t>
  </si>
  <si>
    <t>2019/10/03 00:09:01</t>
  </si>
  <si>
    <t>在携程网上预订酒店，到酒店后，酒店出现问题，需要退款退单退酒店，连续七个小时联系携程客服，不是接不通，就是无回复，非常生气，对携程机器失望，已经是多年的老客户，如果是这样的服务品质，真的准备卸载了。</t>
  </si>
  <si>
    <t>2019/10/03 00:05:26</t>
  </si>
  <si>
    <t>投诉人张超杰投诉对象美约app涉诉金额298元问题类型诉求类型投诉详情美约恶意扣费298。</t>
  </si>
  <si>
    <t>2019/10/03 00:05:23</t>
  </si>
  <si>
    <t>投诉人庞先生投诉对象Wecash闪银涉诉金额169元问题类型诉求类型投诉详情2019年101日我在闪银哼哼里面不小心点到了申请额度，没有经过本人同意就下借款订单，多次要求取消哼哼借款订单，客服不给取消，典型的强买强卖，现在于0点左右下款成功1100元，一个月后要我还1133元，还要变相强制收取169元的担保凭证费用，现在望闪银公司能对这169元进行销帐，我可以还合理的本金和利息1133元。</t>
  </si>
  <si>
    <t>2019/10/03 00:05:08</t>
  </si>
  <si>
    <t>投诉人王女士投诉对象你我贷涉诉金额8000元问题类型诉求类型投诉详情你我贷平台，还款当日规定不能手动还款，10月2日晚上23点37分充值1386元，平台余额仍然显示零，一整天都在试手动还款，就是不行，这样他们导致我逾期了，怎么能这样啊！。</t>
  </si>
  <si>
    <t>2019/10/03 00:03:18</t>
  </si>
  <si>
    <t>逾期一天就一天打超过三个电话，第二天没联系到我就打电话给我朋友。</t>
  </si>
  <si>
    <t>2019/10/03 00:02:56</t>
  </si>
  <si>
    <t>投诉人凌先生投诉对象达达涉诉金额500元问题类型诉求类型投诉详情本人跑达达一年多了，最近不准备做了，在退押金时无法退还，联系站长，站长说解绑过了，一直在推诿中。</t>
  </si>
  <si>
    <t>2019/10/03 00:01:08</t>
  </si>
  <si>
    <t>上个月急用钱在钱站贷款3000元，三个月要还款5366.99，高出国家规定，打电话给客服要求调整利率，客服态度蛮横说符合国家规定，你们哪来的勇气说符合国家规定，还说到哪里投诉也没用，到最后还得按这个还款，难道国家法律对你们公司一点约束力都没有，真的是太牛逼了。</t>
  </si>
  <si>
    <t>2019/10/03 00:00:42</t>
  </si>
  <si>
    <t>2019年9月30日那天早上7点多，还在家有事不能出车所以就开的不听实时单，听预约单，结果人脸验证后点击出车可能又恢复了原设置，来了一单实时单，我一时急了，怕耽误乘客上班时间，没多想就直接给乘客打了电话说明了情况，让他要么重新叫一辆车，并非故意挑单拒单，结果平台就判我有责诱导乘客取消订单，二次申诉也失败告终，我跑滴滴还不久，好不容易按照规定办理双证全职跑滴滴，虽然单量还不算多，每单都是全心全意去服务好每一位乘客，那天真的是个意外，滴滴就始终坚持说维持原判，扣了我2分服务分，滴滴真的是扣滴滴司机服务分没商量啊</t>
  </si>
  <si>
    <t>2019/10/02 23:57:31</t>
  </si>
  <si>
    <t>投诉人濮先生投诉对象月光侠分期涉诉金额3300元问题类型诉求类型投诉详情月光侠分期利息太高本人我接受不了请求取消借款请月光侠抓紧处理。</t>
  </si>
  <si>
    <t>2019/10/02 23:57:24</t>
  </si>
  <si>
    <t>智行app在购买时火车票时，经常会显示无座，需要抢票，现在12306的候补购票是最便捷的方式，抢票有的时候根本没有用，只是通过网络爬虫不断获取12306数据，而智行抢票一直要求用加速包，不用加速包就感觉抢不到票，智行希望充会员，送加速券，但还不能退这个加速的钱，我代表不是我自己，是广大消费者都被这个信息不对称给骗了，加速包没有用，还希望我们买，试问加速包有什么用?希望智行给出解释，不退款也可以，只是想让智行这样的软件给我们广大消费者一个解释，你可以标明了赚辛苦费手续费，但不能用加速包来骗取广大消费者。</t>
  </si>
  <si>
    <t>2019/10/02 23:56:11</t>
  </si>
  <si>
    <t>此前通过2345贷款王渠道下载来花花8月7日开始使用，每次下款金额为1050，借款周期六天，实际需要还款金额为1500.41，通过汇潮支付放款，聚合支付收款，变相收取搞利息费用，每期为450元，现本人经济出现问题，负债累累，无力再偿还9月22日借的这一期，要求销账处理，并退还此前超过规定都利息费用。</t>
  </si>
  <si>
    <t>2019/10/02 23:55:15</t>
  </si>
  <si>
    <t>投诉人白先生投诉对象宇宙链Energyclub涉诉金额50000元问题类型诉求类型投诉详情黑平台不让提现，9月30日中午十二点申请提现被无故取消，9月30日下午五点才发公告说9月29日修改提现规则，欺诈消费者，要求赔偿，下架整改。</t>
  </si>
  <si>
    <t>2019/10/02 23:54:12</t>
  </si>
  <si>
    <t>投诉人 王先生        投诉对象  滴滴出行        涉诉金额  0 元    问题类型    诉求类型投诉详情  我已经投诉过了 滴滴客服有联系我 但是得不到解决 着急</t>
  </si>
  <si>
    <t>2019/10/02 23:49:22</t>
  </si>
  <si>
    <t>投诉人区女士投诉对象立刻出行涉诉金额299元问题类型诉求类型投诉详情7.24申请立刻出行退押金299，一直没有退押金。</t>
  </si>
  <si>
    <t>2019/10/02 23:49:04</t>
  </si>
  <si>
    <t>投诉人陈先生投诉对象胖胖有米涉诉金额2500元问题类型诉求类型投诉详情未经本人同意私自下款！下款后发现五天一千多的手续费！高额的利息无法承受！通过个人账号打款我以报警。</t>
  </si>
  <si>
    <t>2019/10/02 23:47:34</t>
  </si>
  <si>
    <t>投诉人覃女士投诉对象你我贷,秒啦涉诉金额505元问题类型诉求类型投诉详情你我贷秒啦最后一期，还款日已扣款充值成功，但是APP上账户余额却为零，无法还款，账单也没消除，请给予合理解释并销账！。</t>
  </si>
  <si>
    <t>2019/10/02 23:46:46</t>
  </si>
  <si>
    <t>投诉人陆先生投诉对象力蕴汽车,美利车金融涉诉金额56000元问题类型诉求类型投诉详情本人在2019年9月26日在合肥二手车市场看中一辆二手车，车价48000元，车行告知如果做分期的话每月也就七八厘的利息，我想了一下利息也不高就分期还吧，然后美利车金融的业务员就直接给我提单子了，首付了8000元，贷了4万，然后又告知我分期有手续费gps费，又向我要了1300元，然后当天有点晚，让我第二天早上去签合同，第二天，也就是9月27号，我上午去签的合同，业务员老是催我快点签，说车行老板在车管所等着我去选牌过户，我急急忙</t>
  </si>
  <si>
    <t>2019/10/02 23:46:07</t>
  </si>
  <si>
    <t>本人被九州娱乐平台诱骗购买彩票，通过广东信汇汇款损失2万左右，希望全额退款。</t>
  </si>
  <si>
    <t>2019/10/02 23:44:43</t>
  </si>
  <si>
    <t>投诉人苏先生投诉对象滴滴涉诉金额0元问题类型诉求类型投诉详情我辛苦近一年，严格按照平台要求操作，服务分只提高2分，滴滴平台没有对乘客评价做出改善，规则不明确，有的人很快就满分了，有的跟我一样，辛苦几个月也不加分或加分缓慢，不公开具体涨分规则和影响服务分变化的相关数据，但是2019年9月15日我因为特殊情况忘记收车，并手机静音，没有听到乘客电话，平台判定我责任，扣除服务分2分，我一年白努力，后续客服再没有电话联系我了解实际情况，也没有理会我的申诉，我再这单之后再没有接过单，因为我有事，不是故意拒接，单平台不听</t>
  </si>
  <si>
    <t>2019/10/02 23:43:40</t>
  </si>
  <si>
    <t>投诉人邱女士投诉对象蚂蚁钱庄,融360涉诉金额4058元问题类型诉求类型投诉详情本人在融360中的蚂蚁钱庄先后借款2000元，到账1600元，一起800元的购物费，实则砍头息，现要求退还不合理砍头息和利息。</t>
  </si>
  <si>
    <t>2019/10/02 23:42:50</t>
  </si>
  <si>
    <t>投诉人刘女士投诉对象拼多多平台,拼多多商家涉诉金额104元问题类型诉求类型投诉详情我于9月16日在拼多多平台下单购买了一个玩具收纳箱，商家虚假发货，提供单号为别人的单号，我跑了很远去找货，去和快递交涉，遂与拼多多平台客服沟通，明确表示不需要退款要货，平台表示会要求商家补发，然后商家逾期未处理，导致系统自动退款，之后多次与拼多多客服沟通，对方每次都是拖延时间，在承诺回复时间内并未主动和我联系，商家至今也没有对虚假发货作出解释和道歉，拼多多平台也没有给到一个处理结果，根据《消费者保护法》第五十五条，要求商家三倍</t>
  </si>
  <si>
    <t>2019/10/02 23:40:40</t>
  </si>
  <si>
    <t>本人使用的r9splus正常使用突然无限重启刷机也没有用，上网一查都说是质量问题cpu通病，几千元手机不能就扔了，希望oppo公司给个说法。</t>
  </si>
  <si>
    <t>2019/10/02 23:40:29</t>
  </si>
  <si>
    <t>在智行火车票购买的烟台南-济南西G6988次列车，后改签为烟台-济南西D9462次列车，有事情需退票，到车站后退票成功，并知晓会扣取一部分手续费，与今晚收到退票费三十，不明不白的少了一百多块钱，我们要求智行方给予解释，其余的款项补齐，并给予道歉，否则将通过法律途径予以解决。</t>
  </si>
  <si>
    <t>2019/10/02 23:39:06</t>
  </si>
  <si>
    <t>投诉人牛女士投诉对象照妖镜涉诉金额0元问题类型诉求类型投诉详情微信莫名其妙就被给打标成了狐狸，是骗子的意思，凭什么呢，如果有，我没意见，但是你又没证据，就因为我购物买到了不好的东西，给了差评，就直接可以打标说我是骗子，请取消我的打标！请以后打标有证据才可以通过，不然随意打标的吗。</t>
  </si>
  <si>
    <t>2019/10/02 23:38:13</t>
  </si>
  <si>
    <t>投诉人黄先生投诉对象钱站,华夏银行涉诉金额99616元问题类型诉求类型投诉详情本人于2018年11月27日于钱站aap进行借款，申请金额50000元，合同本金61600元，实际到账61600元，首期服务费合同显示3944.55元，实际收取6600元。</t>
  </si>
  <si>
    <t>2019/10/02 23:36:47</t>
  </si>
  <si>
    <t>移动公司工作人员给我打电话说，我在他们公司资费达标可以免费送一部手机，但后来又让我必须要捆绑关联张新卡用上两个月，而且资费要调到258元，我当时的资费是200左右，也就同意了，但现在我由于业务问题，用不了这么多话费了，我要调整资费128元的套餐，他们说不行，必须要一年时间才能调，要12月底才行，我六月就给他们打电话到现在都不给我处理，当时他们也没有说要一年才可以调资费，而且当时送手机是说已经达到他们的送机要求，免费的，现在他们不让降低资费，我要求投诉四川移动，不要让我捆绑消费，我用不了那么多话费，我要降底资</t>
  </si>
  <si>
    <t>2019/10/02 23:36:37</t>
  </si>
  <si>
    <t>投诉人陈先生投诉对象钱站涉诉金额3800元问题类型诉求类型投诉详情在钱站借3000元，3个月实际要还款4200元，合同上写的借款本金3960，实际是本人借款3000元，实际到账3000。</t>
  </si>
  <si>
    <t>2019/10/02 23:36:31</t>
  </si>
  <si>
    <t>今天刚发现近几日小孩玩手机不慎在一款腾讯旗下和平精英的一款游戏，在监护人不知情的情况下不知做了什么扣了我微信的钱。</t>
  </si>
  <si>
    <t>2019/10/02 23:36:12</t>
  </si>
  <si>
    <t>我在17年绵阳机场，遇到我以为的机场工作人员推销民航通，她说充值1000元下次买票可以抵扣，说在民航通官网买票比在外面买便宜，让我办卡，但没有说一次只能低30元，我想着反正一年来来回回的都要买票，反正下次也能用，就办了，结果下次我买票的时候才发现这上面的票不仅比其他途径的贵好多，而且不能一次性抵消我充值的钱，只能一次低30元，我觉得这和当初推荐我办卡的人的说法完全不一样，感觉自己被骗了，所以一直没有用这个，因为太不划算了。</t>
  </si>
  <si>
    <t>2019/10/02 23:31:20</t>
  </si>
  <si>
    <t>什么鬼的小通商城无缘无故扣我一百多块钱，要求退款。</t>
  </si>
  <si>
    <t>2019/10/02 23:31:15</t>
  </si>
  <si>
    <t>今天下载了一个附近约爱的app然后上面有一个说0元试用3天会员然后开完免密支付以后自动就扣了我168元钱。</t>
  </si>
  <si>
    <t>2019/10/02 23:30:55</t>
  </si>
  <si>
    <t>2月7日，在鄂尔多斯机场被穿制服工作人员拦截，穿着和机场的工作人员一样，推荐办理龙行天下会员卡，当时介绍办理会员，交1380元可冲抵3000元的机票，还可以享受机场诸多服务等，还介绍可享受全国连锁龙行天下休息点的服务等，后来第一次买机票并没有抵消会员卡里面的面值，买机票每次只能抵消10元机票钱，存在欺诈宣传，误导消费者，我作为一名普通人，每年坐飞机屈指可数，这样的3000元，可想而知，而且那个推销办卡的人员，介绍说加微信，以后有任何机票业务可联系办理，结果没过一周失联，现投诉退会员卡费用1380元。</t>
  </si>
  <si>
    <t>2019/10/02 23:30:50</t>
  </si>
  <si>
    <t>贷上钱非法窃取使用公民信息骚扰通讯录暴力催收，下款必须购买游戏豆套路贷高利贷，本人已保存历次借款证据，请退还历次借款不合理费用，已向监管部门报案。</t>
  </si>
  <si>
    <t>2019/10/02 23:30:09</t>
  </si>
  <si>
    <t>今天晚上申请的浪里白条、借款2000元、6天期限、实际到帐1200元、砍头息800元，直接审核完就下款，都没确认就打到银行卡里！不想借了，取消不了，联系平台退款。</t>
  </si>
  <si>
    <t>2019/10/02 23:29:50</t>
  </si>
  <si>
    <t>投诉人牛女士投诉对象创客工具箱涉诉金额0元问题类型诉求类型投诉详情微信莫名其妙就被给打标成了狐狸，是骗子的意思，凭什么呢，如果有，我没意见，但是你又没证据，就因为我购物买到了不好的东西，给了差评，就直接可以打标说我是骗子，请取消我的打标！请以后打标有证据才可以通过，不然随意打标的吗。</t>
  </si>
  <si>
    <t>2019/10/02 23:29:03</t>
  </si>
  <si>
    <t>投诉人陈凯投诉对象汇潮支付,肥猫贷,金鸡下蛋涉诉金额6000元问题类型诉求类型投诉详情本人在小七钱包app里推送中看见金鸡下蛋、肥猫贷填写资料后申请借款！借款后发现高额利息砍头息！并且联系不上客服撤销不了订单！强行下款阴阳合同、暴力催收！现家人与我无法正常生活！要求退回砍头息跟展期费！道歉！如我不处理我将到当地公安报警！将这些在国家70年大庆的人绳之以法。</t>
  </si>
  <si>
    <t>2019/10/02 23:27:59</t>
  </si>
  <si>
    <t>今天下午五点多在智行上预订的酒店因为等了很久，就想取消订单打了电话客服说系统升级无法取消订单，酒店也无法接受订单就等，因为太累就在其它的地方订了酒店住下了，八点又发信息给我说订单完成了，现在是又取消不了订单，又不能改入住时间，住不了还要多出钱，是不是有点过分了，我取消订单扣我的违约金我都不会说而且后面再打智行官方客服电话也打不通，能不能改下系统设置，我取消订单扣我的违约金我都不会说，而且后面再打智行官方客服电话也打不通。</t>
  </si>
  <si>
    <t>2019/10/02 23:24:24</t>
  </si>
  <si>
    <t>投诉人李先生投诉对象马上消费金融涉诉金额20000元问题类型诉求类型投诉详情本来在马上金融借口20000元要还32160元已经还了14740元因近段时间资金比较紧张没来得及还款，马上金融工作人员催收部打电话催收，还威胁要爆我的通讯录，我在和他们理论利息的问题，他们说他们的利息是合法的，我都有录音，请有关部门严查，请马上金融立即停止骚扰。</t>
  </si>
  <si>
    <t>2019/10/02 23:17:33</t>
  </si>
  <si>
    <t>根据国家法律规定禁止为赌博违法平台提供一切服务。</t>
  </si>
  <si>
    <t>2019/10/02 23:15:45</t>
  </si>
  <si>
    <t>高利贷，砍头息，六天利息百分之三十三，到期当天拨打通讯录电话，微信进行辱骂恐吓。</t>
  </si>
  <si>
    <t>2019/10/02 23:13:01</t>
  </si>
  <si>
    <t>月光侠高利贷，砍头息，借款3000到账2100，已还两期本金，也有相对的利息，要求最后一期销账。</t>
  </si>
  <si>
    <t>2019/10/02 23:12:12</t>
  </si>
  <si>
    <t>2019/10/02 23:12:05</t>
  </si>
  <si>
    <t>只不过是个小队长，天天跟员工要东西，家里东西都堆成山，拿着公款报销私用，领导还给报，上好几十年班了，真的是哪个单位都有这样的人阿，。</t>
  </si>
  <si>
    <t>2019/10/02 23:11:45</t>
  </si>
  <si>
    <t>今天第一次乘飞机，刚进机场大厅有穿着类似航空公司工作人员让我用身份证注册会员，提到只要在他们平台订机票就可以享受各种优惠政策，存卡费1500送500，可用卡余额订票，并未说明用多少金额，并说会在明天收到短信回复，之后便在百度了解到有许多旅客碰到类似的问题，与商旅工作人员联系并为得到回应。</t>
  </si>
  <si>
    <t>2019/10/02 23:10:55</t>
  </si>
  <si>
    <t>非法放贷，砍头息，暴力催收，辱骂恐吓，平台不作为，。</t>
  </si>
  <si>
    <t>2019/10/02 23:10:14</t>
  </si>
  <si>
    <t>请解决征信问题与撤销征信不良记录，解决不能还款的问题。</t>
  </si>
  <si>
    <t>2019/10/02 23:07:35</t>
  </si>
  <si>
    <t>2019年9月29日下午大概两点多打电话给光大银行修改预留手机号，客服他只问我旧手机号能不能用，能不能接收短信，我说可以，结果30日下午6点将近7点发来短信说无法修改，因为我旧手机打不通，这第一点客服就没有说明，导致我无法修改，也导致无法及时修改，为什么，因为国庆放假了，他们银行没有人能给我短时间内及时修改，否则按正常进度就是48小时内可以解决，这是第二点，在假期前一天下午近7点才发短信来告诉我无法修改，导致我又不能及时在当日及时联系他们，第三点，30日晚7点至10点间我给客服打电话，他们跟我说了放假也有什</t>
  </si>
  <si>
    <t>2019/10/02 23:06:51</t>
  </si>
  <si>
    <t>时光分期高利贷，借款八千，还了三期后还剩8100多，等于说12期需要还款一万多，利息咨询费已经超出国家标准，易宝支付为高利贷提供支付通道。</t>
  </si>
  <si>
    <t>2019/10/02 23:06:03</t>
  </si>
  <si>
    <t>投诉人宋先生投诉对象平安普惠涉诉金额260000元问题类型诉求类型投诉详情申请贷款的时候一再问利率是多少！平安普惠的工作人员说只有贷款出来下来才能看清利率，反正很低！没有服务费！申请完后看到服务费，保险费！问他们，他们就说这是利息不是服务费！我算了一下分36期，要13万多的利息啊。</t>
  </si>
  <si>
    <t>2019/10/02 23:05:52</t>
  </si>
  <si>
    <t>2019年7月27日在网上看到久富打的免息广告，然后就在玖富的公众号上申请了借款，2019年9月3日收到总借款3000元，放款机构：昆仑银行，分12期还，每期总还339.34元，我就好奇为什么多出那么多，于是下载APP查看，现本人才发现玖富万卡显示还需要还款4072元，于是查看借款合同，合同中借款贷款年利率为7.9%，但是多出保险费用870元，我没有签订任何保险单，也没有收到任何保费详细，打人保官方电话和公众号都未查询到本人的投保信息，所以玖富万卡、昆仑银行和人保串通伪造虚假合同来欺骗借款人，玖富万卡平台擅</t>
  </si>
  <si>
    <t>2019/10/02 23:05:47</t>
  </si>
  <si>
    <t>本人于2017年9月19日在《闪银》借款1653元，借款周期2个月，借款利息高达317.82元，年利率高达115%，严重超过36%的国家红线，请《深圳提回借》与《闪银》协商退还非法所得，《重庆市众网小额贷款有限公司》为放款方，是否最终获得高额暴力收益，请退还非法所得或与《闪银》协商退还非法所得。</t>
  </si>
  <si>
    <t>2019/10/02 23:04:44</t>
  </si>
  <si>
    <t>本人已经使用智行app很久，在上面消费多次，并且还购买了智行的铂金会员，现在账号里还有未使用的酒店订单，今天app更新后账号不小心退出了，再登陆的时候发现只能用原来的的手机号和验证码，但是那个手机号早就不用了，现在账号无法登陆进去，后台账号服务太不完善了！希望智行尽快处理这个问题，将我现使用的手机号155******13绑定到我原来的账号176******12上，让我能正常使用原来的各种订单信息以及我的铂金会员，这很重要，酒店马上就要入住，订单信息都没有了！希望智行尽快给我解决，否则我将在各大投诉平台投诉直</t>
  </si>
  <si>
    <t>2019/10/02 23:04:13</t>
  </si>
  <si>
    <t>投诉人徐先生投诉对象美团点评涉诉金额1060元问题类型诉求类型投诉详情人在中国的景区巨石阵门口买票，直接给我定位国外的的巨石阵.我直接拍了7张.到了去取票的地方，工作人员说不能取，马上就开始联系美团，说给我处理，一直到现在都没有给我推款，我就问问你们这是不是在欺骗消费者，我们就像维护自己的权益就这么难吗。</t>
  </si>
  <si>
    <t>2019/10/02 23:03:56</t>
  </si>
  <si>
    <t>手机突然支付拼多多付款4577元盗刷，都不知道买了什么东西就扣款了，而且本人从来都没有买过拼多多产品，之后报警处理，警察调查拼多多确实有盗刷支付4577元，经过对拼多多客服多次投诉协商退回盗刷钱，拼多多一直不处理，说等48小时处理，从2019年9月4号到现在一直没有处理，而且拼多多管方知道这些钱盗刷到那个商家，就是一直不跟我处理，已经一个多月了，难道拼多多和非法盗刷犯罪分子是一家亲吗，希望聚投诉能帮帮穷苦人民曝光他们这样私心包庇情况，。</t>
  </si>
  <si>
    <t>2019/10/02 23:03:15</t>
  </si>
  <si>
    <t>投诉人 师女士        投诉对象  造艺科技,百事普惠        涉诉金额  250 元    问题类型    诉求类型投诉详情  无扣费说明 ，盗刷银行卡 ，莫名其妙扣了250元，请求退款。</t>
  </si>
  <si>
    <t>2019/10/02 23:02:03</t>
  </si>
  <si>
    <t>分期十二个月到账11700元，已偿还十个月14100元，超出本金和法定利息，下款存在违规捆绑保险。</t>
  </si>
  <si>
    <t>2019/10/02 23:01:52</t>
  </si>
  <si>
    <t>2019/8/30在智享贷借了一笔1300跟一笔1200一个月，分别到账1053跟972，说什么成长费扣了四百多，2019/9/28到期后还要还二千六百多，29号才欠了一天就打爆我电话，发信息威胁我，亲戚朋友都被打了电话，我已经还了一笔本金1300加利息1397元，还有一笔1200没还，要求只还本金。</t>
  </si>
  <si>
    <t>2019/10/02 23:00:55</t>
  </si>
  <si>
    <t>14:55:48本人于在深圳国金征信有限公司旗下的火影帮借款1300，仅到账946元，15天就需要还款，而首页广告说是六个月分期，在就是本人已续期一次费用是351元，以为是分期付款，虚假宣传，诱导用户，每续期15天就要收取高达351元每期的费用，已远超国家标准杭州市民卡有限公司为其提供支付渠道，公司地址:广州省深圳市福田区福华三路168号深圳国际商会中心809。</t>
  </si>
  <si>
    <t>2019/10/02 22:59:30</t>
  </si>
  <si>
    <t>在玖富万卡借款39200总共分24期总共要还84000现在还的还剩79000。</t>
  </si>
  <si>
    <t>2019/10/02 22:58:56</t>
  </si>
  <si>
    <t>投诉人 巩先生        投诉对象  友缘在线        涉诉金额  168 元    问题类型    诉求类型投诉详情  这是欺骗消费者的行为 一元三天的体验我开通了支付宝免密支付 而后自动扣了两次 一笔69元一次99元</t>
  </si>
  <si>
    <t>2019/10/02 22:58:46</t>
  </si>
  <si>
    <t>APP付款能领优惠券还不让领，付款时候不说，付完就在哪里这加点钱哪里加点钱，说退款还在哪里说要七个工作日，银行卡照片。</t>
  </si>
  <si>
    <t>2019/10/02 22:55:24</t>
  </si>
  <si>
    <t>投诉人袁先生投诉对象应用宝涉诉金额29元问题类型诉求类型投诉详情10月1日上午在永远的七日之都游戏里，转到qq充值后，一直没有收到。</t>
  </si>
  <si>
    <t>2019/10/02 22:55:12</t>
  </si>
  <si>
    <t>投诉人杜先生投诉对象维信金科涉诉金额5000元问题类型诉求类型投诉详情为依法惩治侵犯公民个人信息犯罪活动，保护公民个人信息安全和合法权益，根据《中华人民共和国刑法》《中华人民共和国刑事诉讼法》的有关规定，违反国家有关规定，在履行职责、提供服务过程中收集公民个人信息的，属于刑法第二百五十三条之一第三款规定的“以其他方法非法获取公民个人信息”，非法获取个人信息用于生产经营，已经涉嫌犯罪，上海维信荟智金融科技有限公司旗下平台豆豆钱APP在借款人注册和借贷放款服务过程中，大量获取借款人敏感隐私信息--通讯录/联系人</t>
  </si>
  <si>
    <t>2019/10/02 22:53:56</t>
  </si>
  <si>
    <t>投诉人曹先生投诉对象银生宝,网银在线涉诉金额490元问题类型诉求类型投诉详情本人与2017年4月22日在《闪银奇异》借款3400元，借款周期3个月，总还款金额3889.77元，利息高达489.77元，年利率高达57%，请《银生宝》《网银在线》联系《闪银奇异》退还高于36%以上部分非法所得。</t>
  </si>
  <si>
    <t>2019/10/02 22:53:31</t>
  </si>
  <si>
    <t>投诉人杨先生投诉对象500彩票网创盈团队涉诉金额89500元问题类型诉求类型投诉详情已高额收益，零风险，做诱导，让你充值，专门又导师带赚。</t>
  </si>
  <si>
    <t>2019/10/02 22:51:12</t>
  </si>
  <si>
    <t>易美付借款25000元，还款金额42912元，而且平台也无法找到借款合同等信息，联系对方也没有给合同等相关签订资料。</t>
  </si>
  <si>
    <t>2019/10/02 22:50:13</t>
  </si>
  <si>
    <t>投诉人马先生投诉对象钱站,华夏银行涉诉金额2000元问题类型诉求类型投诉详情阴阳合同高利贷，借款2000元，合同上却是3400元，三期每期1192.67元，共要还3578.01元，三个月利息高达1578元！年息百分之四百多！！这就是所谓的正规平台。</t>
  </si>
  <si>
    <t>2019/10/02 22:48:22</t>
  </si>
  <si>
    <t>，可以直接在APP上购买彩票，所中奖金全都会在APP里，并且还有优惠活动、多充多送、如果不买了可以直接提现到银行卡里，我问他会不会提现不了，他说这个APP充值通道是经过第三方支付公司监管的、银联入账的、所以非常安全的、放心充值购买，我一听是有监管的、就放心大胆的充值，直到我母亲住院做手术需要急用钱、这个平台不让提现了。</t>
  </si>
  <si>
    <t>2019/10/02 22:48:18</t>
  </si>
  <si>
    <t>拼多多上购买商品有问题，像平台反馈并投诉了商家，后来被商家诬陷，商家威胁我，并散播我的谣言，到处泄漏我的个人信息，影响我的工作和声誉，拼多多不给我处理问题，不封杀商家，让商家获取我的更多信息。</t>
  </si>
  <si>
    <t>2019/10/02 22:46:52</t>
  </si>
  <si>
    <t>6月24日开始，与猪八戒网服务商“优享佳科技”洽谈微信小程序定制开发项目，最终在7月1日以26000的价格确定了该项目的开发总价，并在当天22点左右交了2000元定金，开发周期是40个工作日，，直到7月22日追加了13600元作为开发款，分三期支付，首期支付6成，即6-2-2三期，，7月23日起开始计算开发周期，40个工作日刚好是9月16日，但对方9月17日发布第一个版本，前端后台处处乱七八糟，我进入后台后发现是微擎的系统而不是独立开发，后来对方承诺系统是独立的，不受官方的管控和规则约束，并保证后台是商业版</t>
  </si>
  <si>
    <t>2019/10/02 22:46:04</t>
  </si>
  <si>
    <t>不是第一次吃这种，也知道物价，这一次带了朋友吃，店家估计以为我外地人没吃过，这次收费高了两三倍，太过分。</t>
  </si>
  <si>
    <t>2019/10/02 22:46:03</t>
  </si>
  <si>
    <t>2019/10/02 22:45:14</t>
  </si>
  <si>
    <t>投诉人曹先生投诉对象民生银行,京东金融涉诉金额116元问题类型诉求类型投诉详情《京东支付》《中国民生银行股份有限公司新兴支付清算中心》违规为高利贷提供清结算业务，本人与2017年8月21日在《闪银奇异》借款1100元，借款周期1个月，息费115.50元，年利率高达126%，严重超过36%红线，顾请《京东支付》《中国民生银行股份有限公司新兴支付清算中心》与该企业协商退还非法所得。</t>
  </si>
  <si>
    <t>2019/10/02 22:44:54</t>
  </si>
  <si>
    <t>在不知情的情况下，没用支付密码就扣除了银行卡里的钱。</t>
  </si>
  <si>
    <t>2019/10/02 22:44:14</t>
  </si>
  <si>
    <t>我已经去做过笔录！借钱是我借的！还我也没逾期过！但是你不让我还还恐吓我就是你的不对了！大半夜的我多不容易还在要求主动还款！如果明天有通讯录爆炸！我一分都会追究到底！法律不是看看的！我爱祖国！。</t>
  </si>
  <si>
    <t>投诉人杜先生投诉对象玖富涉诉金额20400元问题类型诉求类型投诉详情9月25日在玖富万卡申请借款20400元，在经过名为保费11310元砍头息后，实际到账20400元，却要偿还还本金31710元，连本带息要还35083多元严重违反国家规定的年利率24%以内，另外超出24%-36%的部分本人不同意。</t>
  </si>
  <si>
    <t>2019/10/02 22:44:12</t>
  </si>
  <si>
    <t>投诉人苏伟投诉对象聚富分期涉诉金额250元问题类型诉求类型投诉详情恶意扣费，存在欺诈，在不知情的情况下扣除我的费用。</t>
  </si>
  <si>
    <t>2019/10/02 22:43:55</t>
  </si>
  <si>
    <t>从携程定的酒店，费已经扣了，app上显示未付款，给酒店打电话也是没有收到信息，一直都很信任携程，现在搞得我不光损失了钱，还耽误了我的行程，打了一下午客服也没人理。</t>
  </si>
  <si>
    <t>2019/10/02 22:42:09</t>
  </si>
  <si>
    <t>投诉人廖女士投诉对象尚德机构涉诉金额2600元问题类型诉求类型投诉详情2017年在网上看到尚德机构的联系方式得到对方主动联系，在客服添加我微信狗多方劝导让我订购了会计考证+实操共计2680左右，当时客服老师说让我尝试学习，考证你很容易，就算考不起还能退款，但是当我学习半年左右第一次参加考试我有及格没有顺利通过考试，我向尚德机构的老师提起退款，但是对方说因为我已经学习过理论所以不可以退款，而且还说有协议在我只要使用了app就是默认我同意了里面的内容，可是我从缴费单学习都没有人告诉我要看什么协议，协议的内容我一</t>
  </si>
  <si>
    <t>2019/10/02 22:40:46</t>
  </si>
  <si>
    <t>投诉人杨先生投诉对象智行涉诉金额40元问题类型诉求类型投诉详情在用智行购买火车票时，智行没有主动明确提示本人此操作会产生多余付费项，最后也没有明确显示扣除金额的详细情况，严重侵犯用户的利益和知情权，诱导用户操作在不明情况下购买加速包，是对用户的欺诈，是对消费者保护法的挑衅，若非后来查看银行卡余额，私自乱扣费难以发现，造成用户不必要损失。</t>
  </si>
  <si>
    <t>2019/10/02 22:40:40</t>
  </si>
  <si>
    <t>本人于2017年在捷信金融消费有限公司现金贷50000元，分45期，以还28期59205.44元，还剩17期35946.16元，提前结清还需2510.55元，现在已无力还款。</t>
  </si>
  <si>
    <t>2019/10/02 22:39:39</t>
  </si>
  <si>
    <t>投诉人张春杰投诉对象中国银行,中国银联涉诉金额8596元问题类型诉求类型投诉详情不知情被扣了8596元，中国银行让找银联，银联目前不确定。</t>
  </si>
  <si>
    <t>2019/10/02 22:39:32</t>
  </si>
  <si>
    <t>在QQ群：185432345看到人员发微信公号号的图片，，就扫一下二维码还是个微信公众号还有认证，加后就发了佣金一单5元就做了，第一单95元，然后他们就发了扫码支付的在支付宝就付了，然后他们叫我发我的二维码收款，收到了100元后，就开始了第二单4380元，第三单3990元，第四单12880元，都是499元扫过去的，收款平台叫:广州华多网络科技有限公司的，他们说一单一算，第二三四单就可以了，他们就说还差二万多还没付结不了，当时我就发现了是骗子的，我就说要报警了，然后就说十五日退还，他们说报警我们也是没有任何错</t>
  </si>
  <si>
    <t>2019/10/02 22:38:25</t>
  </si>
  <si>
    <t>投诉人杜先生投诉对象维信金科涉诉金额5000元问题类型诉求类型投诉详情诱导客户购买会员审核然后购买完之后审核还是失败推荐的什么都是失败的。</t>
  </si>
  <si>
    <t>2019/10/02 22:35:53</t>
  </si>
  <si>
    <t>2019年9月14日接连打了7个玖富客服电话打通无人员不接听，发现利息高，借款28500元要还38763元，想取消借款合同，客服就是不接听，通了就是不接，故意的，导致我现在要求他们停止逾期利息和之前所谓的合同利息，只还本金和合法利息，现在接到的玖富电话都是催收人员无休止的催款，不给协商。</t>
  </si>
  <si>
    <t>2019/10/02 22:35:05</t>
  </si>
  <si>
    <t>1月21日，在你我贷嘉卡贷借了15000，已还8期，总计14333.84，还剩4期，每期1512.73，总计还款金额20384.76，利息太高了，已超出国家规定的24%，利率已高达35.9%，并且在头两期收的各种不合理费用，贷后管理，贷后服务，现申请提前还款，减免不合理费用，和高额利息。</t>
  </si>
  <si>
    <t>2019/10/02 22:33:45</t>
  </si>
  <si>
    <t>投诉人吕先生投诉对象带上钱涉诉金额5000元问题类型诉求类型投诉详情贷上钱为高利贷平台导流收取高额砍头息并且私自购买我的身份轨迹。</t>
  </si>
  <si>
    <t>我在携程订酒店，付款成功后查询不到订单信息，打电话给客服没有人接听，恶意扣款。</t>
  </si>
  <si>
    <t>2019/10/02 22:33:25</t>
  </si>
  <si>
    <t>2019/10/02 22:32:33</t>
  </si>
  <si>
    <t>本人2019年7月8号买的一台二手马自达6的车，美利车贷人员帮我计算的利息是6厘九，我在美利车贷49000元，按照我每个月供1940元，分36期，按照6厘九的利息来算，根本算不出，甚至高出数十倍利息，怎么和只是贷款人员计算的不一样了，而且高出来的利息，高在哪里，我是有权知道的，可是联系之前办理贷款的人，信息都不回一下，我感觉美利车贷存在欺骗，隐瞒，不正当的手法欺骗我们这些消费者，我们想通过这方式来维护我们消费者的权益，希望能得到有关部门的重视，关注，如果这样的话，我们是不是不该在月供，，如果我们不月供，那美</t>
  </si>
  <si>
    <t>2019/10/02 22:31:17</t>
  </si>
  <si>
    <t>拼多多根本不怕你21CN投诉，咱们12315打起来，工商局，消费者协会我就不信他不怕，虚假宣传，诱导用户上当～别忘了，后面还有腾讯这艘大船，找客服人家根本不鸟你。</t>
  </si>
  <si>
    <t>投诉人 练先生        投诉对象  易宝支付,易宝支付有限公司        涉诉金额  582 元    问题类型    诉求类型投诉详情  2019年4月16日 从卡里盗刷资金 总共4笔 分别为128.83 130.92 133.04 134.89 合计582元</t>
  </si>
  <si>
    <t>2019/10/02 22:31:03</t>
  </si>
  <si>
    <t>2019/10/02 22:30:27</t>
  </si>
  <si>
    <t>镯子跟描述不符，质量有问题欺骗消费者，承诺质量问题包退，现在就是不给退，9.22申请退款，现在都不受理。</t>
  </si>
  <si>
    <t>2019/10/02 22:29:45</t>
  </si>
  <si>
    <t>在不知情的情况下，不用支付密码，就转走了299元。</t>
  </si>
  <si>
    <t>2019/10/02 22:28:58</t>
  </si>
  <si>
    <t>投诉人徐静投诉对象捷信消费金融涉诉金额23000元问题类型诉求类型投诉详情保险费?第一次听说贷款还要交保险费，从来没听捷信任何人说过这事，打电话问业务员，结果业务员说:必须买保险。</t>
  </si>
  <si>
    <t>2019/10/02 22:27:41</t>
  </si>
  <si>
    <t>投诉人张先生投诉对象达飞云贷涉诉金额0元问题类型诉求类型投诉详情达飞云贷在未经过我个人同意的情况下，导致我个人信息被公司业务员随意调取，并曝光在网络上，对我的生活造成很大影响，而且有员工还对我进行辱骂，更重要的是，我在达飞云贷申请贷款是四年前，而且没有通过，也就是说我不是达飞的客户，达飞从来没有借给我一分钱，那么达飞就不应该再保留我的个人信息，尤其是不能允许员工随意查询调取，据我了解，调取我个人信息的员工并不是我们本地的员工，也就是说，只要是达飞的员工，都可以调取我的个人资料，这对我的个人信息泄露存在极大隐</t>
  </si>
  <si>
    <t>2019/10/02 22:27:03</t>
  </si>
  <si>
    <t>投诉人俞先生投诉对象交易猫涉诉金额5300元问题类型诉求类型投诉详情本人于9月25号在交易猫购买游戏账号本应是24小时候后手机换绑然后结束交易然而该账号在24小时换绑成功前先被卖家锁定账号后又被取消换绑之后又被更改密码也就是说该次交易失败账号已被卖家改回我申请仲裁要求退款今天整整七天客服介入后从无联系于我也不仲裁退款所有卖家关于锁定账号取消换绑手机更改密码的证据我已提供我是买家该账号所有安全信息仍是手机尾号377。</t>
  </si>
  <si>
    <t>2019/10/02 22:26:58</t>
  </si>
  <si>
    <t>借款2100元，期限三十天，还款金额2884元。</t>
  </si>
  <si>
    <t>2019/10/02 22:26:45</t>
  </si>
  <si>
    <t>下了一单看他一直在配餐然后取消了取消完了我又下一单给我送来了说好的24小时退款呢。</t>
  </si>
  <si>
    <t>2019/10/02 22:25:43</t>
  </si>
  <si>
    <t>投诉人高先生投诉对象携程涉诉金额149元问题类型诉求类型投诉详情返回投诉详情保存在微信公众号携程里下单预定酒店，结果钱扣了，酒店却一直显示未提交，去到酒店咨询，酒店前台说根本没有我预定的单子，我想取消订单，却一直提示我没有权限取消，要我联系预定人，我就是那个预定人啊，手机号码，身份证号码都是我本人，我却取消不了订单，我打了所有的携程联系电话却没有一个能打通的，根本找不到人来处理，此事给我造成极大不便。</t>
  </si>
  <si>
    <t>2019/10/02 22:24:22</t>
  </si>
  <si>
    <t>于2019年9月29日进去建设银行手机银行查询发现2019年9月28日有笔金额为1843.56元的扣款，扣款单位名称是易宝支付，现要求易宝支付给出合理的解释，并且退还赔礼道歉！。</t>
  </si>
  <si>
    <t>2019/10/02 22:20:51</t>
  </si>
  <si>
    <t>贷款利率极高，我逾期27天，金额竟然翻了不到一倍。</t>
  </si>
  <si>
    <t>2019/10/02 22:20:28</t>
  </si>
  <si>
    <t>投诉人冯磊投诉对象钱橙无忧涉诉金额168元问题类型诉求类型投诉详情9月29日我因需要资金周转下载了‘钱橙无忧’APP，按照正常贷款程序认证了个人资料，后面又认证了银行卡，接着该推荐我进行借款，APP上右下角提示我马上提款，我便进行了点击，然后该APP在没有任何提示，输入密码等操作的情况下直接在我绑定的银行卡内就行划扣，但是当时我卡内所剩得余额刚好够他们扣除的，所以扣除成功，钱橙无忧APP未经本人允许擅自划扣我名下银行卡内的钱，总共扣走了168元！钱被扣以后该公司的客服电话一直打不通，联系不上，使用钱橙无忧A</t>
  </si>
  <si>
    <t>2019/10/02 22:19:04</t>
  </si>
  <si>
    <t>辛辛苦苦赚点血汗钱无辜冻结，不解冻，不回复，申诉无果。</t>
  </si>
  <si>
    <t>2019/10/02 22:17:39</t>
  </si>
  <si>
    <t>投诉人张先生投诉对象维信金科涉诉金额5000元问题类型诉求类型投诉详情使用豆豆钱，按时主动还款的情况下，一个名叫“鸿飞担保”的未知来源未经允许从绑定的还款提款账户提走一笔目的未知的金额，金额300元，根据询问p2p金融相关人士得知鸿飞担保与豆豆钱有关联，在此质疑豆豆钱平台是否使用第三方平台机构额外收取未知“服务费”并有意识规避投诉风险，“鸿飞担保”在聚投诉平台尚未搜索到，通过百度查询“鸿飞担保”，在新浪“黑猫投诉”平台下可以找到类似案例，同样是“鸿飞担保”的盗刷问题，质疑豆豆家平台在正常合理收款的同时通过“</t>
  </si>
  <si>
    <t>2019/10/02 22:17:31</t>
  </si>
  <si>
    <t>投诉人邢女士投诉对象真情万里行,民航机场贵宾服务涉诉金额980元问题类型诉求类型投诉详情我父亲在淮安机场转机时，被穿着机场制服的工作人员诱导办卡，告知我父亲预存980元可以办理一张金卡赠送1000元在卡里，即在卡里预存1980元以后可以使用，诱导其消费，并以以后买机票都是全网最低折扣为诱饵让我父亲办卡，而实际上，1980元是分次使用且每次可以使用的金额被告知都不固定，可能十几元钱一次，并且并未实现全网最低价，在提出质疑后客服人员说他们保证那时那刻是全网最低且并没有实据，客服很不专业，对于退改签等问题也不能及</t>
  </si>
  <si>
    <t>2019/10/02 22:15:30</t>
  </si>
  <si>
    <t>本人新浪微博账号：别看了我很大无故被冻结，无法登录，希望能够解冻账号。</t>
  </si>
  <si>
    <t>2019/10/02 22:14:48</t>
  </si>
  <si>
    <t>上午在小浦优客app申请借款，填写完资料，要求绑定银行卡开始审批，然后下午就有信息来说是扣除296元个人信用报告费用，未取得同意乱扣费客服电话一直打不通。</t>
  </si>
  <si>
    <t>2019/10/02 22:14:41</t>
  </si>
  <si>
    <t>好易借在我不知情的情况下强行银行扣款3000元，分3笔直接划走，每一笔1000元，直接无法无天了！黑社会性质阿！请聚投诉严查此种黑社会的违法行为，并马上退还我的钱，不然我会上诉到底！现在的社会还有没有法律的存在。</t>
  </si>
  <si>
    <t>2019/10/02 22:14:34</t>
  </si>
  <si>
    <t>变相收取各种费用、高利息，借款金额38000元，36期要还79040.16元，利息+各种费用一共收取41040.16元，比本金还高，即时提前还款也要收取剩下期数的服务费用。</t>
  </si>
  <si>
    <t>2019/10/02 22:13:30</t>
  </si>
  <si>
    <t>本人于9月26号在飞猪平台订了10月3号入住广东省江门恩平山泉湾温泉酒店的一间山景子母房，但是连续五天都酒店那边都查无预定，多次与平台客服沟通，一直说安排不了房间入住，但是也一直不给予退款，作为消费者我这边付费没有得到应该得到的服务，但是平台一直扣着款说不退，而且无法给我安排我预定的房间，麻烦大家帮帮忙！谢谢！。</t>
  </si>
  <si>
    <t>2019/10/02 22:12:49</t>
  </si>
  <si>
    <t>贷上钱高额砍头息，第一次因资金周转借了一笔，想着也就500块，结果过了两三天卡里又多了2000，查了账户明细才发现是贷上钱导流平台的一款产品给我放款2000，问他们工作人员说是我自己借的，他们不可能私自放款，可这第二笔我确实没有借，这样下来就莫名其妙的多了500块的购物金，两笔加起来有1000块，然后就只能借了还，还了再借出来还第二个，这样反复两次，2000块就没有了，现在第三次又要还了，资金周转不过来，和他们商议延期还款，工作人员不同意，工作人员告诉我找朋友周转一下，还了之后再借出来，想这样反复赚购物金，</t>
  </si>
  <si>
    <t>2019/10/02 22:12:37</t>
  </si>
  <si>
    <t>投诉人王先生投诉对象中国银联涉诉金额6000元问题类型诉求类型投诉详情中国银联云闪付为非法博彩网站和商户提供支付功能，没有做到应做的义务，没有核实收款平台的信息，导致本人被引诱到一个网站充值，后来发现是网络赌博平台，并非正规的购彩网站，通过中国人民银行和支付清算协会沟通得知第三方支付业务应审核客户的相关信息，第三方支付公司不得向证券、期货、博彩等机构提供支付结算业务，因为想退回钱财，结果被以流水不足等等各种原因让我充钱，作为有牌照的支付公司没有履行国家相关法律法规要求，希望有工作人员能够联系，要求第三方支付</t>
  </si>
  <si>
    <t>2019/10/02 22:12:22</t>
  </si>
  <si>
    <t>货款提现将近两个月还是待财务审核，7405货款不到账退店也退不了，9个店铺保证金还有18000，这种平台还有哪个商家敢做，客服电话打不进去，有时候微信客服也爱理不理的，真让人火大。</t>
  </si>
  <si>
    <t>2019/10/02 22:11:49</t>
  </si>
  <si>
    <t>投诉人王女士投诉对象钱站,京东金融涉诉金额1000元问题类型诉求类型投诉详情本人从钱站借款1000元，但是合同上面却写着借了1400元，借1000，三个月，要还1500，利息高等吓人，京东作为扣款方，希望作出合理解释，现在我还剩最后一期，希望减免最后一期还款，要不就把合同上面多出来的四百元还给我！希望尽快作出解决办法。</t>
  </si>
  <si>
    <t>2019/10/02 22:10:09</t>
  </si>
  <si>
    <t>投诉人吴先生投诉对象微信支付涉诉金额2228元问题类型诉求类型投诉详情这个钱是我卖产品，客户转入的钱，东西收到后，又举报我。</t>
  </si>
  <si>
    <t>2019/10/02 22:09:54</t>
  </si>
  <si>
    <t>借用充电宝之后点了遗失充电宝，后面找到了也归还了设备，跟客服沟通后说只退还30元，那69元显示为赔偿金。</t>
  </si>
  <si>
    <t>2019/10/02 22:09:46</t>
  </si>
  <si>
    <t>投诉人马先生投诉对象维信金科涉诉金额42900元问题类型诉求类型投诉详情维信金科旗下贷款产品豆豆钱，阴阳合同，利用担保费变相收取高利率，贷款42900元一年12期，每月定额归还利息，，每期4776.2元，一年总计57314.4元，在每月在归还本金3575元的方式下，以担保费的形式变相收取高额利息，其年化利率从第一期33.6%到最后一期403.2%，远超国家规定36%红线，利率之恐怖，这样一个高利贷公司是如何成为上市公司的。</t>
  </si>
  <si>
    <t>2019/10/02 22:09:07</t>
  </si>
  <si>
    <t>投诉人杨先生投诉对象嘀嗒出行涉诉金额38元问题类型诉求类型投诉详情上午接的顺风车车费38块多送乘客到达乘客确认付款我点了到达终点到现在晚上钱一直没到账了打开一看书乘客取消行程钱都已经预付给你们平台为什么不立马转入司机账户，为什么乘客付款后到晚上乘客还能取消如果是这样那每个人座车是不是都可以这样这个钱是不是被嘀嗒平台黑了严厉打击非法平台。</t>
  </si>
  <si>
    <t>2019/10/02 22:08:52</t>
  </si>
  <si>
    <t>投诉人陈先生投诉对象中金支付涉诉金额1174元问题类型诉求类型投诉详情无任何通知，无故扣款，什么费用。</t>
  </si>
  <si>
    <t>2019/10/02 22:08:49</t>
  </si>
  <si>
    <t>客服人员根本提供不了贷款合同，所谓的保险单号也无法在相应的平台查到保险合同，快闪卡贷app平台也不再显示每期还款的本金、利息与服务费，于是快闪卡贷一直与我们借款者之间僵持不下，直到把我们拉进征信黑名单，快闪卡贷的同事每次联系我们都声称可以减免还款费用，就我自己来说，申请¥12000，下款才¥10101，一共六期，我第一期还了¥2500，剩下5期，总计还要我¥12200，那就是说一共要还¥14700，快闪卡贷公司其实是否能认识到自己砍头息、高利贷的问题，到底什么时候能让催收人员白纸黑字提供合同给我，不要一来就</t>
  </si>
  <si>
    <t>2019/10/02 22:07:25</t>
  </si>
  <si>
    <t>松紧贷之前各种电话骚扰，有事打电话打到半夜，还不停的打到我办公室，还骚扰我朋友和我家人，不停的发一堆验证码，我差点丢了工作，不得已我还了这笔钱，领导说让我一次性的还完，我还能还吗。</t>
  </si>
  <si>
    <t>2019/10/02 22:07:08</t>
  </si>
  <si>
    <t>投诉人 靖迎彬        投诉对象  支付宝        涉诉金额  4 000 元    问题类型    诉求类型投诉详情  以前都是按时还款，四千多的借呗 我还完钱就降一千了 这样以后怎么信支付宝 都是按时守约，支付宝这点这的差劲</t>
  </si>
  <si>
    <t>2019/10/02 22:06:24</t>
  </si>
  <si>
    <t>该公司就是一个赌博游戏公司，而且该公司电话也是永远不会有人接。</t>
  </si>
  <si>
    <t>2019/10/02 22:05:48</t>
  </si>
  <si>
    <t>投诉人姜女士投诉对象汇潮支付,支付宝,金鸡下蛋涉诉金额2000元问题类型诉求类型投诉详情本人通过短信链接，下载了金鸡下蛋APP上借款1400元，实际到账也是1400元，借时并无任何提示，结果却要在6天后归还2000元，无客服电话联系，1.高利贷，均是通过汇潮支付这个支付通道放款，经过核查，汇潮支付作为合作平台，本人愿意归还本金和合法利息，希望通过平台解决问题3.平台上联系不到客服和联系电话，为此只有从第三方支付平台处取得联系方式。</t>
  </si>
  <si>
    <t>2019/10/02 22:05:44</t>
  </si>
  <si>
    <t>主动还款一直加载不出来，难道是想导致还款人恶意逾期吗，8月份已经有这样一次了，这次为什么还这样。</t>
  </si>
  <si>
    <t>2019/10/02 22:04:35</t>
  </si>
  <si>
    <t>10月2日了，还一直不退，希望尽快处理我的退款，电话：134******78姓名：刘淼奎希望聚投诉平台尽快帮我协商，要求立刻出行把钱尽快退回给我，还我一个公道！老百姓赚钱不容易。</t>
  </si>
  <si>
    <t>2019/10/02 22:03:49</t>
  </si>
  <si>
    <t>在拼多多五禾食品专营店购买了十个粽子，第四个吃到了一个螺丝钉，跟商家反馈后商家态度特别不屑，让我们把剩下粽子自行退回后只赔付一个粽子的价格大约三块钱，至今快递已寄出商家仍未退回快递费，要不是我们吃食物的时候比较当心，螺丝钉不管是吃下肚子或者咬到牙齿，后果将不堪设想，难以想象厂家的生产环境多么令人发指，根据《食品安全法》第九十六条第二款：，生产不符合食品安全标准的食品或者销售明知是不符合食品安全标准的食品，消费者除要求赔偿损失外，还可以向生产者或者销售者要求支付价款十倍的赔偿金，除能得到十倍赔偿外，还可以向主</t>
  </si>
  <si>
    <t>2019/10/02 22:03:43</t>
  </si>
  <si>
    <t>投诉人曹先生投诉对象微信支付,微信,应用宝涉诉金额260元问题类型诉求类型投诉详情微信为高利贷《北京闪银奇异科技有限公司》提供支付、公众号、软件下载推广，本人与2018年12月11日借款1000元，但是实际付出的利息高达259.9元，借款周期1个月，微信支付为该公司提供企业微信收款账户，应用宝为该公司提供下载途径，微信公众号为该公司提供营销账户，年利率已经高达390%，请相关企业停止与高利贷企业合作，并且退还非法所得。</t>
  </si>
  <si>
    <t>2019/10/02 22:03:11</t>
  </si>
  <si>
    <t>10月2日，我在QQ看点下载了一个单身交友软件，进去后聊天要充会员，然而他们有个按钮是开通免密支付可以免费体验三天会员，我给支付宝弄了免密支付之后，回到页面弹出窗口有两个按钮，一个是不聊，一个是充值会员，我以为是弄完免密支付之后需要点击充值才可以得那三天会员体验，谁知道他直接就扣了我两笔钱，一共是168块钱，希望能够帮我解决这个烦恼，我是农村人，高中生，这是我一个月的生活费啊。</t>
  </si>
  <si>
    <t>2019/10/02 22:02:22</t>
  </si>
  <si>
    <t>投诉人鲁合站投诉对象淘宝：中国移动数码直销店涉诉金额3000元问题类型诉求类型投诉详情投诉支付宝拼多多微信云闪付中国移动这些披着羊皮的狼跟非法赌博平台提供充值。</t>
  </si>
  <si>
    <t>2019/10/02 22:02:20</t>
  </si>
  <si>
    <t>问客服说是新鲜日期的奶，结果六个月保质期过了差不多三个月，属于虚假宣传，欺瞒消费者的行为，属于特价买卖这么高的价格，还说不适用于退货，让我取消退款申请。</t>
  </si>
  <si>
    <t>2019/10/02 22:02:16</t>
  </si>
  <si>
    <t>卡卡贷之前用过一次后被他人冒用，时间长达3年，像这样审核放款随意的机构谁来监管。</t>
  </si>
  <si>
    <t>2019/10/02 21:59:39</t>
  </si>
  <si>
    <t>申请账号，看到一个电话下能连6个账号，就申请了3个，然后开开心心的去买东西了，等到晚上的时候再登就登不进去了，告诉我恶意注册，我是注册了30个还是300个啊，完全按照支付宝的操作来的，还让我上传户口本的首页、户主页和本人页，我的天，！淘宝让上传身份证我能理解关键是要把你户口本也上交出去，关键你们也不是派出所啊……[联系客服就是：抱歉，麻烦您了一个解决办法有没有，我说你退我钱吧，东西我不要了，客服又说退不了钱，这样不上不下算什么，而且，你封我账号也得通知我一声吧，没有，什么都没有，莫名其妙就封了[/cp]。</t>
  </si>
  <si>
    <t>2019/10/02 21:58:42</t>
  </si>
  <si>
    <t>通过广告下载了友缘网的app处处，然后会出现一堆对方的信息，怀疑为有缘网故意行为，然后经过诱导开通了一个零元的体验vip但是一点用处都没有，怀疑就是在没有告知的情况下，这个操作导致的免密支付宝，，，然后发现无法回复，跟他们说的vip不一样，就弹出了一堆什么回复要钱的东西，我想关掉但不小心点到了其中一个图片，但是并没有出现什么确认之类的，支付宝就被扣了168元，并且之后那些信息就没有了，这个存在严重的欺诈行为！！希望要求有缘网进行退款！！我连注册都没注册。</t>
  </si>
  <si>
    <t>2019/10/02 21:58:32</t>
  </si>
  <si>
    <t>本人在2019年7月底再玖富万卡申请贷款7100元，玖富万卡账单显示欠款11196.95元，还多出一个账单，实际到账7100元！投诉玖富万卡有砍头息或高利贷行为。</t>
  </si>
  <si>
    <t>2019/10/02 21:58:18</t>
  </si>
  <si>
    <t>投诉人范先生投诉对象友缘在线涉诉金额336元问题类型诉求类型投诉详情自动开启免密支付，强行扣除费用，共扣除336，希望有关部门给予严厉惩罚，打击便宜。</t>
  </si>
  <si>
    <t>2019/10/02 21:57:40</t>
  </si>
  <si>
    <t>投诉人 刘女士        投诉对象  腾讯游戏        涉诉金额  0 元    问题类型    诉求类型投诉详情  明明我这个QQ号上绑定身份证的 明明成年了 登王者不能实名认证 登和平精英被限制说我是未成年 明年才能玩 我身份证明明是99年的怎么就这样了</t>
  </si>
  <si>
    <t>2019/10/02 21:56:29</t>
  </si>
  <si>
    <t>订的二天的酒店一直不给确认，联系客服催促，在线客服不理人，电话客服没人接一直打不通，根本就没有订成功，取消还要扣手续费。</t>
  </si>
  <si>
    <t>2019/10/02 21:56:27</t>
  </si>
  <si>
    <t>投诉人李女士投诉对象造艺科技涉诉金额299元问题类型诉求类型投诉详情2019年10月2日通过其他软件推荐下载百事普惠申请借款，按平台指引完成认证后，提示我看信用额，却与百事普惠签订了一份299元评估费用，明显的欺骗行为，它显示我下一步操作，没有显示是扣钱的，在前期认证时也没有明确显示有评估费用，由于我银行卡只剩100，就只扣了我100，还剩199没扣，我看到他后续意思是我要是银行卡有钱就扣完我剩下的199,我申请与百事普惠解除协议，退还我的钱，请相关部门介入。</t>
  </si>
  <si>
    <t>2019/10/02 21:54:47</t>
  </si>
  <si>
    <t>投诉人 刘先生        投诉对象  维信金科        涉诉金额  5 000 元    问题类型    诉求类型投诉详情  非法扣除前期费用 利息加这个保险都要超过3分多了。谁承受的了</t>
  </si>
  <si>
    <t>2019/10/02 21:54:43</t>
  </si>
  <si>
    <t>说银行卡输入错误需要解冻银行卡，提现不到账银行卡不是只有银行才有权力冻结吗。</t>
  </si>
  <si>
    <t>2019/10/02 21:53:11</t>
  </si>
  <si>
    <t>投诉人顿阳阳先生投诉对象支付宝涉诉金额2809元问题类型诉求类型投诉详情支付宝旗下咸鱼二手交易平台，第一时间发现我去了当地的派出所报案警察说不够立案标准没有立案也第一时间联系了支付宝客服咸鱼客服把相关资料发给了他们说帮忙申诉十几天了一点消息也没有，今天突然发现支付宝支付功能被关闭了.不能提现和充值淘宝也不能用了.我就联系的支付宝淘宝咸鱼客服根本没有用来回踢皮球意思就是别人挪用了多少钱，让我把钱赔偿给受害人.就能正常使用支付宝了我想说凭什么.你们是干什么吃的支付宝赶紧给我处理让我支付宝功能都能正常使用。</t>
  </si>
  <si>
    <t>2019/10/02 21:52:28</t>
  </si>
  <si>
    <t>投诉人李先生投诉对象拼多多涉诉金额2290元问题类型诉求类型投诉详情拼多多平台商家承认售假。</t>
  </si>
  <si>
    <t>2019/10/02 21:52:01</t>
  </si>
  <si>
    <t>投诉人杨先生投诉对象玖富涉诉金额9000元问题类型诉求类型投诉详情本人在玖富万卡借款9000元，每期还款1016.91X12期，每期费用231.10元，12期手续费共2773.2元，年利息高于国家标准，属于高利贷，现在要求协商减免利息及部分费用，结清全部还款！。</t>
  </si>
  <si>
    <t>2019/10/02 21:50:02</t>
  </si>
  <si>
    <t>投诉人陈先生投诉对象中金外贸信托涉诉金额1147元问题类型诉求类型投诉详情照片为什么不能上传。</t>
  </si>
  <si>
    <t>2019/10/02 21:49:52</t>
  </si>
  <si>
    <t>投诉人孔女士投诉对象玖富涉诉金额5000元问题类型诉求类型投诉详情已经反应过很多次了，贵平台未正面回应，一直拿什么年化敷衍了事：。</t>
  </si>
  <si>
    <t>2019/10/02 21:49:02</t>
  </si>
  <si>
    <t>10月1日到期，10月2号自动扣款失败，2号上午10点左右主动还款成功，到以后仍然接到维信卡卡贷催收电话，并且9月16号提交的投诉问题维信卡卡贷没有解决，要求严惩，赔偿道歉，停止骚扰家人，下面附上维信卡卡贷联系的外包催收电话。</t>
  </si>
  <si>
    <t>2019/10/02 21:48:12</t>
  </si>
  <si>
    <t>投诉人郭先生投诉对象中金支付,信而富涉诉金额3500元问题类型诉求类型投诉详情信而富平台提供借款购买虚拟产品，变相砍头息，卖旅游卡，加速包，3526元，购买后才提供借款，中金支付合伙提供违规操作违规扣款，云南信托提供的放款，投诉举报后中金说处理，后续半个月没有反应。</t>
  </si>
  <si>
    <t>2019/10/02 21:48:11</t>
  </si>
  <si>
    <t>投诉人王威先生投诉对象淘集集涉诉金额2000元问题类型诉求类型投诉详情本人缴纳了商家开店的保证金以后，发现根本没有流量，于是就退店，但是退店总是有一些理由在拖时间，但是那些都是慢慢过来了，已经通过审核为什么都一个多月了还要审核，难道每天都有那么多的商家在退店，希望淘集集给一个合理的解释，并给予我退店退还保证金。</t>
  </si>
  <si>
    <t>2019/10/02 21:47:28</t>
  </si>
  <si>
    <t>投诉人陆先生投诉对象滴滴出行科技有限公司涉诉金额0元问题类型诉求类型投诉详情跑了近三年的滴滴，也受了三年的气，经常性无理由限制派单，由其是节假日奖励多的时候，10月1日和2日连续两天接不到一个女乘客，有数据显示打滴滴的女乘客占65%以上，接不到女乘客就意味着接单慢，等单时间长，日单量下降一半以上，自然收入也减半左右，看着女乘客在我车头前下单我接不到，平台派两公里以外的车来接，车停在订单爆发点中心都接不到单，只能眼睁睁看着一个个服务分比我低，星级比我低且没有人证的司机在我面前接单却无可奈何！我可是服务分99分</t>
  </si>
  <si>
    <t>2019/10/02 21:47:09</t>
  </si>
  <si>
    <t>10月2日晚通过携程旅行网订酒店，按程序填好信息缴了费，却显示订单不存在或被删除，再试一次，还是如此，查询费用，被扣了两次，再查订单，却显示未提交，打携程24小时客服，多次均无人接听或打不通，因担心国庆假期酒店紧张，害得我只好再次直接向酒店缴一次费用。</t>
  </si>
  <si>
    <t>2019/10/02 21:47:05</t>
  </si>
  <si>
    <t>10月1日去签到，才发现云钻直接过期5万，打客服后登记回电，告诉我无法退还，可以给予20元优惠券补偿，无论我如何说就告诉我这是最终结果，不接受可以投诉！是苏宁系统不稳未提醒，为何让客户自己买单，！ps.云钻不显示哪天过期，只显示哪个月底前到期，所以在未提醒本月底前多少云钻过期的话，客户无法直观的看到什么时间过期。</t>
  </si>
  <si>
    <t>2019/10/02 21:45:57</t>
  </si>
  <si>
    <t>投诉人骆先生投诉对象小浦优客涉诉金额296元问题类型诉求类型投诉详情小浦优客app申请借款，按步骤填写资料然后绑定银行卡，绑定完就开始审批，然后发信息说报告已生成，要扣296元的服务费，可是之前申请步骤没说有这费用，涉嫌违规欺诈，要求全额退换296元。</t>
  </si>
  <si>
    <t>2019/10/02 21:45:52</t>
  </si>
  <si>
    <t>投诉人 赵鑫        投诉对象  聚富分期        涉诉金额  200 元    问题类型    诉求类型投诉详情  因为需要钱周转。下载了聚富分期。填完申请资料。绑定了银行卡。申请没通过。就卸了该软件。谁知三天以后扣了我卡里的200元我 打客服说后续还要扣98。我说我根本就没申请成功。他说平台给的一份什么报告就要扣298。还说想退款就要复印身份证 银行卡等等一些材料。必须是A4纸。寄到上海。申请。凭什么你们随意扣了我银行卡的钱。我要拿回自己的钱。你们还提</t>
  </si>
  <si>
    <t>2019/10/02 21:45:14</t>
  </si>
  <si>
    <t>本金已经换清，当时借款13000为什么现在合同上借款是22000。</t>
  </si>
  <si>
    <t>2019/10/02 21:44:31</t>
  </si>
  <si>
    <t>借款2000，确要还3000，这钱利息太高了，希望有待解决。</t>
  </si>
  <si>
    <t>2019/10/02 21:44:22</t>
  </si>
  <si>
    <t>投诉人陈先生投诉对象中金支付，中南大宗商品涉诉金额1147元问题类型诉求类型投诉详情2019年10月2日凌晨12.57分移中金外贸信托莫名奇妙扣我银行卡上的钱，金额1147。</t>
  </si>
  <si>
    <t>2019/10/02 21:41:12</t>
  </si>
  <si>
    <t>在携程网订房，付款后显示付款成功预订不成功，订单丢失，但是钱被扣走，无法联系到携程客服。</t>
  </si>
  <si>
    <t>2019/10/02 21:40:23</t>
  </si>
  <si>
    <t>照片还有很多，你们这样是违法，盗窃我隐私，我可以告你们。</t>
  </si>
  <si>
    <t>2019/10/02 21:40:22</t>
  </si>
  <si>
    <t>投诉人 李先生        投诉对象  玖富        涉诉金额  5 600 元    问题类型    诉求类型投诉详情  5600到账只有4000多，这种钱谁拿？服务费这么高，利息也高，实在还不下去了</t>
  </si>
  <si>
    <t>2019/10/02 21:37:20</t>
  </si>
  <si>
    <t>投诉人李先生投诉对象天猫：中国移动官方旗舰店,浙江问问网络科技有限公司涉诉金额3296元问题类型诉求类型投诉详情本人于2019年9月27日在淘宝天猫中国移动官方旗舰店购买苹果2019款iPadAir金色一部，购买价格3296元，订单号6****************3，9月29日经顺丰速运送达商品，收货时只是打开快递纸箱，查看了下货物数量是否与订单相符，并没有拆封iPad的塑封膜与包装盒，到了办公室拆封后，发现iPad背面有几处不明擦痕，无法消除，另外快递清单中商家名称为：浙江问问网络科技有限公司，，为此</t>
  </si>
  <si>
    <t>2019/10/02 21:35:32</t>
  </si>
  <si>
    <t>分12个月还第一个月674接下去11个月每个月561。</t>
  </si>
  <si>
    <t>2019/10/02 21:35:14</t>
  </si>
  <si>
    <t>转转网说72小时给我退款，半个月没退，我一联系就说平台介入中。</t>
  </si>
  <si>
    <t>2019/10/02 21:34:27</t>
  </si>
  <si>
    <t>本人在马上消费金融旗下产品安逸花申请循环贷，总金额6000元，期间一直正常使用，连app都并未通知，对账号进行锁定，无法消费和提现，我不同意，要求安逸花方恢复可使用额度，解锁我的账户！。</t>
  </si>
  <si>
    <t>2019/10/02 21:32:50</t>
  </si>
  <si>
    <t>本人因在毛豆新车网上看车想买台新车，之后就有销售一直打电话给我，我说没时间，最后销售直接来到我家里给我介绍说他们的车现在有优惠过了今天明天就没了，然后就定购了一台，叫我在手机上签了名字付了首付！就可以了！后来我经过朋友了解我不是买的车而是租的车…我不信就问一下销售，他说是以租代购的，车辆的所拥有权还是毛豆新车的，我说在买的时候你怎么不说，他说我没问，我实在是接受不了他们是欺骗了我！我是买车不是租车…我现在要求退款他们说退不了要扣我钱…我说为什么他说我签了合同！我就问我什么时候签的，他说就在我手机上签的，后来</t>
  </si>
  <si>
    <t>2019/10/02 21:30:41</t>
  </si>
  <si>
    <t>2018年12月26日在京东的国通石油官方旗舰店购买了京东官方和国通合作发行的京通天下大国卡，2019年8月开始不太好转储，经常转储失败，但勉强可用，让人不知道是一个月，还是一年，于是10月1日申请要求京东督促国通正常转储使用，谁知京东要求我自己和国通石油联系，国通石油客服不回，服务电话永远打不进，让我怎么联系，京东完全是推卸责任，我们认京东的牌子才买京东和国通联合发行的油卡，京东作为储值卡发行的其中一方，同时也是平台管理方，负有不可推卸的责任！。</t>
  </si>
  <si>
    <t>2019/10/02 21:29:06</t>
  </si>
  <si>
    <t>投诉人戴丹林先生投诉对象钱站,华夏银行涉诉金额3000元问题类型诉求类型投诉详情钱站给我回消息符合规定我就笑了这么高的利息我不可能还钱的我借了30003期一共要还5366符合规定你们在搞笑吗。</t>
  </si>
  <si>
    <t>2019/10/02 21:28:50</t>
  </si>
  <si>
    <t>投诉人陈先生投诉对象汇潮支付,喵下贷涉诉金额999元问题类型诉求类型投诉详情喵下贷下款650元，6天后归还999元，续期一次要3百多元，现已续期两次，实在无法支持高额利息，汇潮支付违规为其提供放款通道。</t>
  </si>
  <si>
    <t>2019/10/02 21:28:30</t>
  </si>
  <si>
    <t>借10000分一年12期还，利息高达3659.6，年息高达36.59%，加上两次罚息600，总利息有4259.6年息高达42.596%，不断换陌生网络电话催收，提及孩子，压力过大几次想自杀，希望监管部门能帮我调整为正常利息，能够彻底清账，回归正常生活。</t>
  </si>
  <si>
    <t>2019/10/02 21:27:36</t>
  </si>
  <si>
    <t>本人曾在2017年的时候玩过，充了200多，现在登录游戏已经找不到账号，给我一个理由。</t>
  </si>
  <si>
    <t>2019/10/02 21:26:38</t>
  </si>
  <si>
    <t>投诉人刘女士投诉对象宙斯钱包涉诉金额3000元问题类型诉求类型投诉详情超利贷砍头息暴力催收威胁恐吓敲诈骚扰通讯录。</t>
  </si>
  <si>
    <t>2019/10/02 21:26:11</t>
  </si>
  <si>
    <t>借款金额3000元，分3期还每期1724元总共还将近5172远超国家标准。</t>
  </si>
  <si>
    <t>2019/10/02 21:24:54</t>
  </si>
  <si>
    <t>投诉人利升投诉对象51人品涉诉金额6000元问题类型诉求类型投诉详情清算利息不符合，也联系不到五一人品的客服，。</t>
  </si>
  <si>
    <t>2019/10/02 21:24:02</t>
  </si>
  <si>
    <t>投诉人 吴先生        投诉对象  维信金科        涉诉金额  4 000 元    问题类型    诉求类型投诉详情  信用卡8号到期希望能下款快点。毕竟你们口号宣称保卫信用卡。希望能快点我也是老客户了。从来未逾期过。都是急用钱才找你们公司。谢谢</t>
  </si>
  <si>
    <t>2019/10/02 21:24:01</t>
  </si>
  <si>
    <t>投诉人 何先生        投诉对象  钱站        涉诉金额  10 000 元    问题类型    诉求类型投诉详情  本金还完了还多还了8千多利息。还有8千多</t>
  </si>
  <si>
    <t>2019/10/02 21:23:48</t>
  </si>
  <si>
    <t>投诉人郭先生投诉对象小花钱包涉诉金额20000元问题类型诉求类型投诉详情小花钱包，暴力催收，并且我借款20000，合同显示24398，阴阳合同，并且暴力催收还爆我通讯录，给我通讯录发骚扰短信，利用呼死你对我通讯录进行骚扰。</t>
  </si>
  <si>
    <t>2019/10/02 21:23:23</t>
  </si>
  <si>
    <t>投诉人康忠福投诉对象淘宝网涉诉金额6500元问题类型诉求类型投诉详情店家欺骗消费者说是原装新机买来我也不懂手机用了两个月洗澡的时候听歌随便有点水渍在听筒就进水了苹果max都是防水的不至于这样拿给我修手机同学看他看一下就说屏幕不是原装的而且手机里面还少螺丝手机里面还盖了个章希望淘宝平台能惩戒该店家。</t>
  </si>
  <si>
    <t>2019/10/02 21:21:51</t>
  </si>
  <si>
    <t>投诉人黄先生投诉对象玖富涉诉金额6100元问题类型诉求类型投诉详情2019年1月借款玖富和新浪普惠所谓的合作平台6100元。</t>
  </si>
  <si>
    <t>2019/10/02 21:21:35</t>
  </si>
  <si>
    <t>投诉人陈先生投诉对象现金巴士涉诉金额1000元问题类型诉求类型投诉详情现金巴士借款1000到手1000然后自己扣180的白条现在app下架无法还款逾期费一天10块钱高额逾期费要求减免逾期费如果无法处理只能不归还。</t>
  </si>
  <si>
    <t>2019/10/02 21:21:13</t>
  </si>
  <si>
    <t>投诉人靖迎彬投诉对象钱站涉诉金额1000元问题类型诉求类型投诉详情借一千三个月就四百多的利息，要求降息上次不借了让取消，客服说取消不了。</t>
  </si>
  <si>
    <t>2019/10/02 21:17:51</t>
  </si>
  <si>
    <t>9.24日借款6000元分3期还款，第一个月还3139.80第二期2812.20第三期1308，总共还7260利息太高，而且这样的分期方式实属欺诈。</t>
  </si>
  <si>
    <t>2019/10/02 21:17:00</t>
  </si>
  <si>
    <t>我在豆豆钱贷款50000，每期还款5167，分12期还，因为客户有时累积打款会推迟，今天逾期了，可是逾期费一天高达200，还款界面变成了要还5367，不可思议！！！平民家200元这么好挣。</t>
  </si>
  <si>
    <t>2019/10/02 21:16:28</t>
  </si>
  <si>
    <t>没有经过我的同意，有打爆我的通讯录，骚扰我的家人，朋友。</t>
  </si>
  <si>
    <t>2019/10/02 21:15:53</t>
  </si>
  <si>
    <t>因为资金需求，注册了造艺技术的APP，点了注册协议以后看见是高利贷就没借把app卸载了，9月2日莫名其妙扣了100问了客服，说是评估费用，会更好推荐贷款平台，结果推荐的全是高利贷，马上联系客服退款，客服说在14天之内是退款的，必须全部申请失败才能退，逼着消费者去借高利贷，如果不退款，我会一直投诉，不管在什么平台我都会投诉，直到退款，上次他们客服打电话给我说2号会退还，叫我先同意解决，我们卡里有钱他们秒退，退款要等三天，三天我等了钱还没退，这次钱不到账我不同意解决。</t>
  </si>
  <si>
    <t>2019/10/02 21:14:21</t>
  </si>
  <si>
    <t>7月31日在贷上钱借了40003个月要还5200。</t>
  </si>
  <si>
    <t>2019/10/02 21:14:01</t>
  </si>
  <si>
    <t>砍头息，借款1750，分三期每月还875，超过国家规定利率上限。</t>
  </si>
  <si>
    <t>2019/10/02 21:13:11</t>
  </si>
  <si>
    <t>玖富平台黑心，坑害身边的朋友，利息太高还不起，逼疯了，而且骚扰电话一直打到我来了。</t>
  </si>
  <si>
    <t>2019/10/02 21:12:13</t>
  </si>
  <si>
    <t>投诉人 靖迎彬        投诉对象  好分期        涉诉金额  5 000 元    问题类型    诉求类型投诉详情  我借五千元，分12月，利息就一千七百多 这是高利贷</t>
  </si>
  <si>
    <t>2019/10/02 21:10:13</t>
  </si>
  <si>
    <t>借了充电宝还了没退押金，联系不上，要求联系相关部门处理此事，防止消费者受骗。</t>
  </si>
  <si>
    <t>2019/10/02 21:08:55</t>
  </si>
  <si>
    <t>态度不好&amp;nbsp;敷衍，一直不处理，打骚扰电话，希望给个说法。</t>
  </si>
  <si>
    <t>2019/10/02 21:08:03</t>
  </si>
  <si>
    <t>投诉人 叶先生        投诉对象  维信金科        涉诉金额  15 000 元    问题类型    诉求类型投诉详情  信用卡8号到期希望能下款快点。毕竟你们口号宣称保卫信用卡。希望能快点我也是老客户了。从来未逾期过。都是急用钱才找你们公司。谢谢</t>
  </si>
  <si>
    <t>2019/10/02 21:06:59</t>
  </si>
  <si>
    <t>由于十一黄金周又带了老人和小孩就去看了一下他们推荐的酒店，经过工商所介入后又给我说能帮我们协调房间了。</t>
  </si>
  <si>
    <t>2019/10/02 21:06:56</t>
  </si>
  <si>
    <t>投诉人连女士投诉对象嘀嗒出行涉诉金额0元问题类型诉求类型投诉详情9月13日乘坐从西安到临潼的顺风车，车主迟到将近44分钟，因为放假探亲不是很着急，我也没有说什么，上车后，司机给我说一会还要接2个人，我心有疑问，问司机嘀嗒后台显示我这次出行没有拼单成功，他要接的两个人是从哪拼的，司机态度非常不好的说你快点点到达，我说 ，司机就开始说， 我没有理他，继续去后备箱取东西，他跟在我身后下来，说还有过路费快给我，我背对着他而且带着耳机没听见，他就走到我面前说过路费快给我，我一下就艹了，我说 司机一看我艹了，又开始说，</t>
  </si>
  <si>
    <t>2019/10/02 21:06:31</t>
  </si>
  <si>
    <t>投诉人刘女士投诉对象有用分期涉诉金额5000元问题类型诉求类型投诉详情各种侮辱信息，恐吓，骚扰我家人朋友，骚扰短信全部发到我朋友那里，我没有说不还钱，但是现在威胁我。</t>
  </si>
  <si>
    <t>2019/10/02 21:06:02</t>
  </si>
  <si>
    <t>我在盛世传承注册了帐号，这是一家古董藏品的注册平台、我怀疑我被他们违规获取了会员费365元，我在注册前，又很多人问藏品问题，一旦交了会员费365元，就没有人问了，我问了他们业务员，他说是在维护，于是我在网上查了一下，很多人都在说是为了获取会员费，我想请贵平台帮忙解决一下问题，不交会员费，就不允许交流，如果在想上架，还要交200元，我感觉我上了大当了，敬请贵平台帮助我们。</t>
  </si>
  <si>
    <t>2019/10/02 21:04:37</t>
  </si>
  <si>
    <t>本人在2018年借款11000当时因为家里有点急事！现在本人已经还完借款本金11000但是宜人贷公司还在让我还款并且每月都收我服务费！借款的时候都收了我1900的服务费了，现在每期都收取我服务费！希望宜人贷给我个解释！并且马上销账！！！！借款11000让我还16000。</t>
  </si>
  <si>
    <t>2019/10/02 21:03:28</t>
  </si>
  <si>
    <t>好易贷是714高利贷平台，希望有关部门介入严格查处，借款2100要还还3014，续费每期900，己续3期，远远超过本金，望好易贷平台㔹商销帐，停止骚扰。</t>
  </si>
  <si>
    <t>2019/10/02 21:03:00</t>
  </si>
  <si>
    <t>投诉人唐先生投诉对象转转涉诉金额1799元问题类型诉求类型投诉详情退货以后卖家一直不确认收货已经好几天了，微信也把他寄过来的运费还给她了，还是这么磨磨唧唧的。</t>
  </si>
  <si>
    <t>2019/10/02 21:02:08</t>
  </si>
  <si>
    <t>陪玩骂人，服务差，不是第一次了，投诉回复相当慢。</t>
  </si>
  <si>
    <t>2019/10/02 21:01:44</t>
  </si>
  <si>
    <t>今日我快递一件数码产品到湖南永州，稍后由于他们自身系统的原因导致标枪无法扫描快件，电话沟通了五六次，最后还是给我退回来了，而我的要求是他们内部沟通，他们给我的就是踢皮球，一会儿让我联系快递员，一会儿让我联系快递柜，他们内部的问题，当误我一天的时间，为何让我们客户承担损失，店大欺客，目无王法。</t>
  </si>
  <si>
    <t>2019/10/02 21:01:13</t>
  </si>
  <si>
    <t>跟我们一个组的有个战队作弊刷单，系统你们也检测到了，9月30号的奖励都被取消了，为什么不取消他参赛资格，还有没有一点公平。</t>
  </si>
  <si>
    <t>2019/10/02 21:00:14</t>
  </si>
  <si>
    <t>阳光出行无故恶意扣司机钱包里的余额，阳光出行司机端没有客服没有任何解释，无故扣款。</t>
  </si>
  <si>
    <t>2019/10/02 20:57:09</t>
  </si>
  <si>
    <t>本人与2014年开始使用现在的手机号码，现今已有5年时间，因为今年国家重大资费调整，本人已经用不了这么高的套餐，故有意向调整套餐，在这个过程中得知，更改套餐被告知，必须高于200元，低于200元的套餐，都是按200收取，另外经过查询告知还有2个月就可以更改套餐了，也就是11月左右，但是无法改低套餐，改低还是按200元费用收取，属于强制消费，现行使用的是2014年的乐享4G199套餐，外加副卡，并且通过自助查询登陆电信官方网站后也查询到，本人手机号名下共有两项抵消，实则显示为共计抵消为0元，请电信领导给予解决</t>
  </si>
  <si>
    <t>2019/10/02 20:57:04</t>
  </si>
  <si>
    <t>投诉人 邓先生        投诉对象  带上钱        涉诉金额  30 000 元    问题类型    诉求类型投诉详情  历史各笔借贷记录超三万以上有(截图保存)，被套路了高额的购物游豆等类收费。拒绝继续还款义务，交由各监管部门处理。</t>
  </si>
  <si>
    <t>2019/10/02 20:56:43</t>
  </si>
  <si>
    <t>催收骚扰加人，承诺还钱后消除芝麻分负面，现在不予处理。</t>
  </si>
  <si>
    <t>2019/10/02 20:55:24</t>
  </si>
  <si>
    <t>邮储银行19年09月22日13:40您尾号628账户银联快捷金额100.00元，余额175.02元。</t>
  </si>
  <si>
    <t>2019/10/02 20:55:05</t>
  </si>
  <si>
    <t>投诉人 杜女士        投诉对象  借贷宝        涉诉金额  5 000 元    问题类型    诉求类型投诉详情  还了钱不消账，还把我拉黑，态度太差 威胁我</t>
  </si>
  <si>
    <t>2019/10/02 20:54:05</t>
  </si>
  <si>
    <t>对方打电话持续骚扰无奈之下只能选择900续期后。</t>
  </si>
  <si>
    <t>2019/10/02 20:50:06</t>
  </si>
  <si>
    <t>通过中国人民银行，中国银联，和支付清算协会沟通得知，第三方支付业务应审核客户的相关信息，第三方支付业务公司不得向证券，期货，博彩等机构提供支付结算业务，作为有牌照的支付公司没有履行国家结算通道的义务，即产生了非法洗钱的嫌疑，金融机构客户身份识别和客户身份资料及交易记录保存管理办法，国发2011年38好文，和银发办的35号文，文件都明确提出国内任何交易公司都不能给T+0，做市商交易平台支付通道，第19条规定，支付机构应当建立健全风险准备金制度和交易赔付制度，并对不能有效证明因客户原因导致的资金损失及时现行赔付</t>
  </si>
  <si>
    <t>2019/10/02 20:49:47</t>
  </si>
  <si>
    <t>投诉人 胡女士        投诉对象  携程旅游,携程        涉诉金额  152 元    问题类型    诉求类型投诉详情  定酒店显示已经扣款 却没有订到 人工客服也找不到</t>
  </si>
  <si>
    <t>2019/10/02 20:49:15</t>
  </si>
  <si>
    <t>本人2019年被朋友诱惑网上投资，经过一段时我下载一网站，然后注册，充值，几个月不到亏损好几十万，后经查询该公司没有任何国家和地方政府批文和备案,第三方违规为商户接入博彩平台，从而导致本人资金损失，希望追回资金，原路退回。</t>
  </si>
  <si>
    <t>2019/10/02 20:49:06</t>
  </si>
  <si>
    <t>而且平台不于协商处理.完全得按他们霸王条款办事不然就爆通讯录去骚扰其他无关人员！希望平台可以协助我帮我终止合同！停止还款！。</t>
  </si>
  <si>
    <t>2019/10/02 20:48:11</t>
  </si>
  <si>
    <t>投诉人葛鹏投诉对象义乌猫选网络科技有限公司涉诉金额1300元问题类型诉求类型投诉详情猫选在微信群里发布信息链接，承诺通过链接购买商品，而后指定时间退回全款。</t>
  </si>
  <si>
    <t>2019/10/02 20:45:52</t>
  </si>
  <si>
    <t>借款2800，31天需还4088，每8天还1022，其中本金700，利息322，利息远超国家标准，最近APP扣不了款，造成逾期每天逾期费50多，后在平台反馈后，平台马上通过前海付通扣款，因花转转自身原因，却要我来承担逾期费，希望退回我这100的逾期费，现在已还三千，希望花转转公司联系本人给予销账。</t>
  </si>
  <si>
    <t>2019/10/02 20:44:29</t>
  </si>
  <si>
    <t>26号在平台买了个洗衣机，然后28号凌晨发货，发货之后物流一直没更新，问卖家说是帮忙催促，然后就不回了，又问又说帮忙催，然后又不回了！最后自己打给顺丰快递，快递说是因为失误，这个货没发！这个时候快递已经超过72小时没更新了！然后我要求卖家马上帮我补发一个耽误那么久了，然后卖家，永远就是会优先帮你补发，然后就是没动静！，投诉到平台方，平台的态度就是补你50块，你退款，或者要求商家赶紧补发，还是两天没效果，并且耽误了我重新下单！平台专员就会说要不拿50要不就慢慢等，就这样，随便你！！而且我投诉了之后商家的排名越</t>
  </si>
  <si>
    <t>2019/10/02 20:42:53</t>
  </si>
  <si>
    <t>侵犯个人隐私，要求封锁平台，依法对催收人员进行刑事处理。</t>
  </si>
  <si>
    <t>2019/10/02 20:38:48</t>
  </si>
  <si>
    <t>投诉人毕先生投诉对象凡普信涉诉金额189877元问题类型诉求类型投诉详情在凡普信贷借了169400元，实际到帐125600元，砍头息，贷了24期，本人已还18期还了142398元，要求公安机关立案侦查，凡普提供原合同。</t>
  </si>
  <si>
    <t>2019/10/02 20:37:57</t>
  </si>
  <si>
    <t>一个月用五千，利息1100多，由于利益太高，没办法还清就一直循环使用，将近用了快一年了，光利息差不多都快一万了，刚逾期了一天，在一直接他们电话协商还款的同时，他们催收就打我亲友电话。</t>
  </si>
  <si>
    <t>2019/10/02 20:36:24</t>
  </si>
  <si>
    <t>轻信网上所谓的赚钱项目通过爱农支付被骗了很多钱，本以为通过中国银联正规线上支付是正规彩票机构，后来才知道是非法赌博平台.，和支付清算协会沟通得知第三方支付业务应审核客户的相关信息，第三方支付业务公司不得向证券，期货，博彩等机构提供支付结算业务，通过中国人民银行，中国银联，和支付清算协会沟通得知，第三方支付业务应审核客户的相关信息，第三方支付业务公司不得向证券，期货，博彩等机构提供支付结算业务，作为有牌照的支付公司没有履行国家结算通道的义务，即产生了非法洗钱的嫌疑，金融机构客户身份识别和客户身份资料及交易记录</t>
  </si>
  <si>
    <t>2019/10/02 20:33:34</t>
  </si>
  <si>
    <t>投诉人 叶女士        投诉对象  支付宝        涉诉金额  9 500 元    问题类型    诉求类型投诉详情  支付宝账号被盗刷了。之前买了安全险，但是支付宝现在不理赔</t>
  </si>
  <si>
    <t>2019/10/02 20:33:25</t>
  </si>
  <si>
    <t>投诉人朱文宇投诉对象猎吧出行涉诉金额17元问题类型诉求类型投诉详情余额无法提取，在充值时并没有明确提出余额无法提取，欺诈消费者。</t>
  </si>
  <si>
    <t>2019/10/02 20:32:38</t>
  </si>
  <si>
    <t>投诉人袁景超投诉对象爱农支付,爱农驿站涉诉金额300000元问题类型诉求类型投诉详情因受境外赌博网站九州娱乐诱骗，充值30万元左右，主要通过爱农驿站第三方支付，只退款42250，其余款项爱农驿站不与处理，请求全额退款。</t>
  </si>
  <si>
    <t>2019/10/02 20:32:35</t>
  </si>
  <si>
    <t>投诉人樊女士投诉对象拼多多涉诉金额1162元问题类型诉求类型投诉详情店铺开了半年，去年12月份申请退店，经历了长达6个月的时间，终于在5月31日退回保证金，以为没事了就没登录店铺，7月份关联店铺收到欠费通知1078元，说是原来的店铺有售后工单没处理被扣款，于是开始处理原来店铺的售后工单，于8月底处理完所有售后，成功退店，无法再登录原来的店铺，刚过了一个月关联店铺又收到一条欠费通知，欠款1162.5元，拼多多真的是让我大开眼界，已经退店的店铺依然可以不断产生欠款，于是赶紧联系平台客服，得到的回复是经核实您的店</t>
  </si>
  <si>
    <t>2019/10/02 20:32:13</t>
  </si>
  <si>
    <t>投诉人 胡女士        投诉对象  51人品        涉诉金额  35 000 元    问题类型    诉求类型投诉详情  已经还了七个月了你们看看这不是高利贷是啥？提前还清还要收手续费？是不是有毛病？逼人太甚了吧</t>
  </si>
  <si>
    <t>2019/10/02 20:31:43</t>
  </si>
  <si>
    <t>投诉人李先生投诉对象江苏移动涉诉金额0元问题类型诉求类型投诉详情无故封禁短信功能，导致短信发不出去，影响工作与生活。</t>
  </si>
  <si>
    <t>2019/10/02 20:29:03</t>
  </si>
  <si>
    <t>投诉人 李女士        投诉对象  元宝宝        涉诉金额  714 元    问题类型    诉求类型投诉详情  还款金额早超过时间到账金额，要求平台销账。</t>
  </si>
  <si>
    <t>2019/10/02 20:28:31</t>
  </si>
  <si>
    <t>投诉人钟先生投诉对象优信,优信二手车涉诉金额23000元问题类型诉求类型投诉详情本人于2018年9月通过优信二手车公司购买一辆猎豹xel，车价261200元，实际首付56718，，gps费1800，过户费1500，保险8000多，加首付56718元，共计141330元&amp;amp;lt;br&amp;amp;gt;&amp;amp;lt;br&amp;amp;gt;但优信二手车app公对客数据显示，只首付33898元，贷款金额224047元，与本人实际付款金额不符，与本人实际贷款金额不符，提前还款剩下两年车贷，优信app对客软件显示数</t>
  </si>
  <si>
    <t>2019/10/02 20:28:07</t>
  </si>
  <si>
    <t>松紧贷又开始骚扰我朋友了，通讯录所有朋友都收到他们的电话和短信，上次他们让我结案，我没理，又开始了，辱骂侮辱我的家人朋友，非法盗取客户信息，没法过了。</t>
  </si>
  <si>
    <t>2019/10/02 20:25:11</t>
  </si>
  <si>
    <t>投诉人牛先生投诉对象翼钱包涉诉金额1000元问题类型诉求类型投诉详情我在翼钱包借了五次左右的钱，有百分之三十的砍头息，原来不懂，现在知道国家规定利息才知道他们涉及高利贷，套路贷，我要他们退回我国家规定利息之外的钱。</t>
  </si>
  <si>
    <t>2019/10/02 20:24:55</t>
  </si>
  <si>
    <t>投诉人郭先生投诉对象玖富涉诉金额16000元问题类型诉求类型投诉详情玖富万卡年利率35.67%，现在协商一次性结清，结清的款项过高，接受不了。</t>
  </si>
  <si>
    <t>2019/10/02 20:23:47</t>
  </si>
  <si>
    <t>本人于2019年2月14日-2019年6月5日通过银联支付被诱导充值到所谓的投资理财平台上，本以为通过中国银联正规线上支付是正规彩票机构，后来才知道是非法境外购彩平台得知被骗，和支付清算协会沟通得知第三方支付业务应审核客户的相关信息，第三方支付业务公司不得向证券，期货，博彩等机构提供支付结算业务，通过中国人民银行，中国银联，和支付清算协会沟通得知，第三方支付业务应审核客户的相关信息，第三方支付业务公司不得向证券，期货，博彩等机构提供支付结算业务，作为有牌照的支付公司没有履行国家结算通道的义务，即产生了非法洗</t>
  </si>
  <si>
    <t>2019/10/02 20:22:46</t>
  </si>
  <si>
    <t>聚富分期apP收取信用评估费299元后，转到永道小贷后，审核通过过后，一直在放款中，己有十天，拨打客服电话要求取消订单，告知取消不了，又不放款又不能取消订单。</t>
  </si>
  <si>
    <t>2019/10/02 20:22:14</t>
  </si>
  <si>
    <t>本人与2018.9.14在玖富万卡上借款，贷款期限为24期，每月还款1863.29，贷款本金为26000元，两年还款共计本息为44718.96，我已还款1年！申请中未看到贷款金额，审核通过后才发现利息如此之高，现在已无力偿还，很影响家庭生活，请聚投诉给予法律支持！尽快让平台给个合理解释！血淋淋的高利贷，变相砍头息公司！请法律制裁！。</t>
  </si>
  <si>
    <t>2019/10/02 20:22:08</t>
  </si>
  <si>
    <t>投诉人马先生投诉对象立借涉诉金额10000元问题类型诉求类型投诉详情10000元分十二期，到手一看前三期就要还12600元，月息达到34.66%！！后九个月每个月才还111共一千。</t>
  </si>
  <si>
    <t>2019/10/02 20:21:49</t>
  </si>
  <si>
    <t>投诉人马先生投诉对象无忧简单极速贷涉诉金额2200元问题类型诉求类型投诉详情无忧简单极速贷和蚂蚁闪电借两家借款都是同一家公司的，借完这个他就发信息链接给你去借另一个，实际两家都是一个公司！每个APP本人都借过，所谓的什么会员卡费用加起来比本金还高，变相收取高额砍头息！还推荐714高炮平台，。</t>
  </si>
  <si>
    <t>2019/10/02 20:19:09</t>
  </si>
  <si>
    <t>没有任何询问，直接扣款，找了客服，客服说辞就是脱时间，说要15个工作日，然后在等15个工作日。</t>
  </si>
  <si>
    <t>2019/10/02 20:18:25</t>
  </si>
  <si>
    <t>本人9月3日在北京鼎力创世科技有限公司旗下的给你花平台推荐贷款商家周周花花贷款2000，实际下款1500元，订单分30天归还，总计却要还款2039元，这就是国家大力打击的套路贷，打款机构以及还款收取机构易宝支付，明知此为高利贷产品却仍然提供非法服务，违反支付业务账号规定，希望易宝支付公司，给你花平台、周周花花公司做出合理解决方式，在此国庆之际，希望易宝支付和给我花平台尽快与本人联系，进行销账，本人在收集证据，将向银监会举报易宝支付。</t>
  </si>
  <si>
    <t>2019/10/02 20:17:09</t>
  </si>
  <si>
    <t>携程排队购买火车票，后已到出行时间仍买不到返程的票，便自驾出行，后在携程app行程里面删除了对应订单，结果仍在排队抢票，导致刚通知我抢票成功，只能退票产生了相应手续费。</t>
  </si>
  <si>
    <t>2019/10/02 20:13:23</t>
  </si>
  <si>
    <t>打一个电话联系不到借款本人，留给借款亲属打电话，夸大其词吓唬家人。</t>
  </si>
  <si>
    <t>2019/10/02 20:13:16</t>
  </si>
  <si>
    <t>投诉人箫先生投诉对象蜂鸟配送,屈臣氏天猫涉诉金额78元问题类型诉求类型投诉详情我在屈臣氏天猫上下单，要求送货时间是下午五点到七点，屈臣氏选择的蜂鸟配送未按我的要求在四点就提前送货，联系我的时候刚好我手机没电关机了，期间我立刻充电并开机，从光机到开机时间间隔不过两分钟，送货员居然说一直电话我不接，所以直接把东西扔在保安处，就直接在后台点击货物已签收，实际上我并未签收，我要求送货员送货上门，他拒绝了我并且言语辱骂我，态度极其恶劣！后来我通过饿了么投诉该快递员，客服居然说我给的单号不存在，我要求对蜂鸟配送对本次订</t>
  </si>
  <si>
    <t>2019/10/02 20:11:28</t>
  </si>
  <si>
    <t>与事实协商不符，态度恶劣，挑衅客户，涉嫌欺诈。</t>
  </si>
  <si>
    <t>2019/10/02 20:09:01</t>
  </si>
  <si>
    <t>保单过了减肥日期不能缴费也不给退费，简直霸王条款，坑害无辜的人民的钱，虽然钱不多但是全国保险的人多，你一百我一百的这个坑人的平台。</t>
  </si>
  <si>
    <t>2019/10/02 20:08:52</t>
  </si>
  <si>
    <t>投诉人周先生投诉对象汇潮支付,蜜瓜钱包涉诉金额2200元问题类型诉求类型投诉详情本人因需短期资金周转于2019年10月1日在蜜瓜钱包平台借款2200元，实际到账1430元，砍头息770元，汇潮支付为其提供支付通道，申请的时候显示期限为6天，并无提示该笔砍头息费用，现希望平台收回该笔借款，但客服电话是一个没有区号的空号电话联系不上，需要聚投诉帮忙联系沟通。</t>
  </si>
  <si>
    <t>2019/10/02 20:07:48</t>
  </si>
  <si>
    <t>我来贷本金也已经还起剩下的利息已经超过国家规定的24，如果不同意因为还款问题影响我老公抢救，我会拼死也让我来贷公司抵命。</t>
  </si>
  <si>
    <t>2019/10/02 20:06:36</t>
  </si>
  <si>
    <t>在京东商城购买雷霆主机，因质量问题退货退款，退货退款后仍收取分期服务费。</t>
  </si>
  <si>
    <t>2019/10/02 20:06:35</t>
  </si>
  <si>
    <t>投诉人崔女士投诉对象瑞彩祥云涉诉金额960元问题类型诉求类型投诉详情聚众赌博还利用平台卡顿黑玩家的钱，专门找托说带彩民回本，利用投资赚钱的说法引诱他人赌搏。</t>
  </si>
  <si>
    <t>2019/10/02 20:06:25</t>
  </si>
  <si>
    <t>投诉人吴先生投诉对象来分期,长银消费金融,中信百信银行股份有限公司涉诉金额0元问题类型诉求类型投诉详情本人于2019年4月21日在来分期平台向中信百信银行及陕西长银消费金融有限公司分别借款2000元及10000元，因来分期平台拒不提供借款合同，故本人向中信百信银行及陕西长银消费金融有限公司申请提供借款合同，中信百信银行及陕西长银消费金融有限公司客服人员均推脱要去找来分期平台索要，因中信百信银行及陕西长银消费金融有限公司是出借方，故要求中信百信银行及陕西长银消费金融有限公司提供借款合同。</t>
  </si>
  <si>
    <t>2019/10/02 20:05:00</t>
  </si>
  <si>
    <t>得士股份有限公司,4008895135,云闪付,中国银联，陆陆续续被骗了2-3十万.通过中国人民银行和支付清算协会沟通得知第三方支付业务应审核客户的相关信息，第三方支付公司不得向证券、期货、博彩等机构提供支付结算业务，本人被引诱到一个网站充值，后来发现是网络赌博平台，并非正规的购彩网站，作为有牌照的支付公司没有履行国家相关法律法规要求，希望有工作人员能够联系，要求第三方支付机构退回被扣款项。</t>
  </si>
  <si>
    <t>2019/10/02 20:01:30</t>
  </si>
  <si>
    <t>最近资金周转困难，松紧贷平台逾期，我合理怀疑松紧贷暴力催收，恐吓我要爆通讯录，国家规定爆通讯录属于暴力催收，是违法行为，希望给出合理解释并停止催收，而且我已经还了快十期，本金已差不多还清，还威胁我要爆通讯录，对我的生活造成影响。</t>
  </si>
  <si>
    <t>2019/10/02 20:01:03</t>
  </si>
  <si>
    <t>在充值的过程中看到有银联支付，且各大第三方支付公司都支持，本以为有正规的支付牌照接口是国家的合法购彩平台，朋友了解情况后告诉我这是违法的境外赌博平台，但为时已晚，已经损失了巨额财产，通过中国人民银行，中国银联，和支付清算协会沟通得知，第三方支付业务应审核客户的相关信息，第三方支付公司不得向证券、期货、博彩等机构提供支付结算业务，作为有牌照的支付公司没有履行国家相关法律法规要求，为违法违规机构平台提供支付结算通道，即产生了洗钱的嫌疑，金融机构客户身份识别和客户身份资料及交易记录保存管理办法，等规定，切实履行反</t>
  </si>
  <si>
    <t>2019/10/02 19:59:26</t>
  </si>
  <si>
    <t>2019/10/02 19:57:02</t>
  </si>
  <si>
    <t>逾期一天，未经同意私自拨打紧急联系人电话，造成不良影响，且当日多次进行电话骚扰，通话内容均为恐吓言语。</t>
  </si>
  <si>
    <t>2019/10/02 19:55:40</t>
  </si>
  <si>
    <t>我在饿了么订餐有3年了，但是在2019.9.29订餐时被饿了么以账户异常为由强制取消订单，客服建议我更换账户点餐，我更换账户下单后订单再次被强制取消，而且没收了我参与活动平台赠送给我的4个红包，我在9.29-10.2多次致电饿了么客服，客服皆不予处理我的问题，说我的账户异常，没有办法处理，不给我恢复账户状态，图为取消订单的图片及饿了么客服给我的回复，我多次致电饿了么客服都说我的账户异常建议我更换账户或设备下单，这样的解决方式无异于饮鸩止渴，如果是我的账户异常，饿了么应该查清异常原因，是技术问题应该从技术上进</t>
  </si>
  <si>
    <t>2019/10/02 19:53:37</t>
  </si>
  <si>
    <t>家里两个癌症病人，这几天病重了，钱站逾期一天，逾期费一天就200块钱，经协商不给减免逾期费，不光利息高，逾期费也这么高，抢钱吗。</t>
  </si>
  <si>
    <t>2019/10/02 19:52:49</t>
  </si>
  <si>
    <t>嘀嗒出行车主拖延时间绕路导致赶不上火车致电嘀嗒客服推卸责任态度恶劣，车程20分钟的路提前40分钟上的车，出发路上到一半司机接到拼单又去接人，导致没赶上动车，车票也退不了，打电话给客服客服推卸责任，说跟嘀嗒没有关系，是我们乘客自己的责任，怪我们没有提前上车，我们提前一个半小时叫的车！那请问是不是早上叫晚上的车才会给我们按时送到，请嘀嗒出行的工作人员给一个解释以及赔偿。</t>
  </si>
  <si>
    <t>2019/10/02 19:52:44</t>
  </si>
  <si>
    <t>投诉人陆先生投诉对象nice好赞涉诉金额3999元问题类型诉求类型投诉详情我发到nice闪购一双鞋子，发出时完好无缺，并且顺利进入nice闪购，后在其他某单字平台售出这双鞋子，我就召回并直接发到单字平台，单字平台收到鞋子直接进行查验发现鞋子存在多处瑕疵，经与单字平台的客服专员电话沟通后了解，单字平台对于鞋子的查验都是带着白手套在白桌布上检查，并且客服专员也确认过说她看过当时的查验视频，查验方式没有问题，确实是在收到鞋子的时候就存在了瑕疵的情况，根据公司规定不能提供相关视频，而nice却强人所难，说一定要视频</t>
  </si>
  <si>
    <t>2019/10/02 19:51:33</t>
  </si>
  <si>
    <t>友缘在线用0元体验3天的会员的方式，在我支付0元的同时，未经过我同意开启支付宝免密支付的协议，两次扣除共168元。</t>
  </si>
  <si>
    <t>2019/10/02 19:51:20</t>
  </si>
  <si>
    <t>汇聚支付,信汇支付,新生支付,天下支付,得仕，和支付清算协会沟通得知第三方支付业务应审核客户的相关信息，第三方支付业务公司不得向证券，期货，博彩等机构提供支付结算业务，强烈要求云闪付停止为网络赌博提供第三方充值渠道，通过中国人民银行，中国银联，和支付清算协会沟通得知，第三方支付业务应审核客户的相关信息，第三方支付业务公司不得向证券，期货，博彩等机构提供支付结算业务，作为有牌照的支付公司没有履行国家结算通道的义务，即产生了非法洗钱的嫌疑，金融机构客户身份识别和客户身份资料及交易记录保存管理办法，国发2011年</t>
  </si>
  <si>
    <t>2019/10/02 19:50:57</t>
  </si>
  <si>
    <t>投诉人裴晨晨投诉对象赏乐帮涉诉金额13元问题类型诉求类型投诉详情在赏乐帮做任务他们的赏主故意审核不通过，因为他发布任务都自相矛盾，然后一直联系他们客服他们都不带理会的，直到今天他们联系我告诉我让我在聚投诉取消投诉然后他们今天给我处理好，说不让我投诉补助我3块钱，呵呵我差那3块钱。</t>
  </si>
  <si>
    <t>2019/10/02 19:49:14</t>
  </si>
  <si>
    <t>黑龙江黑山市和山东潍坊市的号码找什么孙江还钱，老子知道孙江市那颗葱那颗蒜，一个女的打电话还骂我，管我什么事，你妈才花了人家钱，你全家都花了人家钱，不赔礼道歉继续投诉，银监会，巡查组，金融办，工商所全都来一遍好吧不要让我提供借款人信息什么的，找的孙江，自己去查山东潍坊市171尾号1896黑龙江黑山131尾号9539。</t>
  </si>
  <si>
    <t>2019/10/02 19:49:05</t>
  </si>
  <si>
    <t>本人于2019年9月27日晚使用该app购买火车票，付款时并未留意选项信息，后购买回程票再次付款时发现铁友存在强制捆版消费行为，立即申请退款，但多日以来，铁友仅退还火车票票钱，并未对捆版消费的20元酒店优惠券费用进行退还。</t>
  </si>
  <si>
    <t>2019/10/02 19:48:11</t>
  </si>
  <si>
    <t>在京东买了一个雅兰仕的音箱，原因是本人母亲想跳广场舞使用，到家发现做工很差，音量又不够，首先我先说一下，在京东买贵重物品我都会看是不是拆包装就不能七天无理由退货，但是这个音箱没多少钱，况且外包装跟烂，我就没看，打开了，后期客服申请退货，客服也联系我了，说因为经常在京东买东西，给个特例，帮忙退掉，快递上门取货，说是有要求配件齐全，音箱，说明书，充电线，合格证，可是我收到货打开看了之后就放回去了，我不知道，是不是我的原因合格证没了，取件员给我取消了退货订单，客服又来电话说退不了了，我下面图片，请看一下这音响的包</t>
  </si>
  <si>
    <t>2019/10/02 19:47:42</t>
  </si>
  <si>
    <t>小通商城恶意扣款，我并没有在他们这里办过什么业务，随意扣费，请相关部门作出整顿，归还1400块资金。</t>
  </si>
  <si>
    <t>2019/10/02 19:46:07</t>
  </si>
  <si>
    <t>投诉人陈王锦投诉对象微信支付,微信涉诉金额3000元问题类型诉求类型投诉详情希望聚投诉帮帮我：事情经过由于我2019年3月17号凌晨2点30分左右急需3000元应急使用，所以我当时就打电话给一个现实朋友，和他借3000元进行应急，打完电话之后我朋友于2019年3月17号凌晨2点58分通过微信给我转账3000元借我，我于2019年3月59分领取我朋友给我的转账，结果领取之后我去使用却使用不了，转账，提现全都使用不了，后来第二天通过电话联系官方客服咨询原因，但是官方客服给我的结果只有一句话，说我的微信存在风险，</t>
  </si>
  <si>
    <t>2019/10/02 19:45:10</t>
  </si>
  <si>
    <t>1：在银码头app申请信贷，提示让充值299元方可继续，2：充值成功后让继续充值99元才可进行下一步操作，意识到被骗，打电话给银码头客服，告知不可以退款.3：公司规定章程就是让我继续充值99元！但充值后也不能确定得到相关服务！4：所以该公司存在欺骗消费者进行充值！充值后进行套路贷！不可退款！5：现投诉该公司对客户存在欺诈行为！套路贷行为！要求退回充值金额50元！删除客户个人信息！6。</t>
  </si>
  <si>
    <t>2019/10/02 19:44:39</t>
  </si>
  <si>
    <t>投诉人王先生投诉对象小花呗,富友支付涉诉金额3000元问题类型诉求类型投诉详情申请3000，到账2100，然后第一周就要还2120，剩下的880还要继续还，现在就剩最后一期173块钱，要求他们销账，他们不肯，还扬言报警也没用，说不还就找第三方来，威胁我。</t>
  </si>
  <si>
    <t>2019/10/02 19:44:02</t>
  </si>
  <si>
    <t>我于2017年8月6日向普惠快信申请一笔4500元的现金贷，当时分18期还款，一个月428元，年化率达到了76.73%，已经严重超过合法年化率24%，我还了2个月后因资金出了问题，导致无法还款，今天查看还款金额后，居然达到了7688元，而且还非法上了我的征信，现要求该公司对我的还款金额做出减免，并重新分期还款。</t>
  </si>
  <si>
    <t>2019/10/02 19:43:09</t>
  </si>
  <si>
    <t>提前一个月预订无人机，发货前再三提醒，结果只发了一个收据；卖家嚣张的说，我们十个人的计划被彻底打乱了，卖家的态度我不认为赔付38元可以解决。</t>
  </si>
  <si>
    <t>2019/10/02 19:41:54</t>
  </si>
  <si>
    <t>投诉人 蒋先生        投诉对象  甜甜圈        涉诉金额  9 000 元    问题类型    诉求类型投诉详情  甜甜圈暴力催收，没有逾期就威胁要爆通讯录。而且甜甜圈app上没有电话联系。只有一个qq。</t>
  </si>
  <si>
    <t>2019/10/02 19:41:05</t>
  </si>
  <si>
    <t>汇潮支付跟714高炮违法平台合作为违法平台提供放款，导致我损失了12771元，他合作的平台有铜花花，金牛牛，借老弟这3个都是714砍头息违法平台，希望尽快处理退还我的损失，。</t>
  </si>
  <si>
    <t>2019/10/02 19:40:42</t>
  </si>
  <si>
    <t>投诉人王先生投诉对象购分期涉诉金额299元问题类型诉求类型投诉详情本人在购分期App申请贷款登录，绑卡，紧急联系人，到第4步完成提现时，需填入验证码，平台没通知要付费开通会员，误导我填写验证码后自动扣费299元后才知道被扣费，本人如知须开通付费会员才能申请贷款我不会开通申请，联系客服要求退款被告知须申请5个不是拒就赔的产品被拒截图才能办理退款，本人发现该平台产品全是拒就赔的产品且都是人人知道可自己申请的产品，我急需用钱才申请网贷，卡里就300元钱被扣了，医药费都交不上了，没贷到钱反被恶意扣除了最后一点钱，该</t>
  </si>
  <si>
    <t>2019/10/02 19:36:41</t>
  </si>
  <si>
    <t>小浦优客aPP下载借款，登录身份证明，银行卡卡号后，平台显示要先扣296元什么信用查询费用，个人感觉先扣钱就是无良骗款平台，果断拒绝，直接卸载APP。</t>
  </si>
  <si>
    <t>2019/10/02 19:34:51</t>
  </si>
  <si>
    <t>买票的时候看错了就付款了，但是跟客服沟通，客服不退款。</t>
  </si>
  <si>
    <t>家教兼职群里加的我，索取我中介费200元后，一直不给我家长联系方式，回来在群里问了才知道她是假的，我让她还钱她没反应，最后把我拉黑了，下面有她的qq和微信聊天记录。</t>
  </si>
  <si>
    <t>2019/10/02 19:33:29</t>
  </si>
  <si>
    <t>各种以购物跟买什么东西变相收取高额回报私自盗取用户通讯录，无端骚扰通讯录的人，要求严打这种打擦边球挂羊头卖狗肉的高利贷。</t>
  </si>
  <si>
    <t>2019/10/02 19:31:27</t>
  </si>
  <si>
    <t>我要投诉上海造艺网络有限公司旗下百事普惠app乱扣走我的299元不肯回还，2019.9.27号下午经过下载百事普惠app注册时忽然扣走我邮政卡里的299元，问了线上客服说这是风险评估费虽然我不知道是什么，但是客服说这是可以退的不用担心，评估费，我想请问您们对我做了什么评估就那么一张不正确的报告就是你们！所谓的评估！我要求退还我的299元。</t>
  </si>
  <si>
    <t>2019/10/02 19:30:37</t>
  </si>
  <si>
    <t>投诉人朱女士投诉对象VIP高利贷涉诉金额7000元问题类型诉求类型投诉详情骚扰家人朋友，天天发威胁信息。</t>
  </si>
  <si>
    <t>2019/10/02 19:28:42</t>
  </si>
  <si>
    <t>在本人不知情的情况下绑定银行卡马上自动扣费，无需密码自动支付，联系客服不给退款，还有很多和我一样的受害者，希望管管。</t>
  </si>
  <si>
    <t>2019/10/02 19:28:34</t>
  </si>
  <si>
    <t>我告诉司机师傅在紫薇城市花园把我放下就可以把同事送到紫薇花园，司机快到地方后告诉我他走的不是一条线路不可以停车。</t>
  </si>
  <si>
    <t>2019/10/02 19:28:20</t>
  </si>
  <si>
    <t>投诉人蔡先生投诉对象渤海国际信托涉诉金额310元问题类型诉求类型投诉详情在我不知情的情况下故扣款310.59元，希望给予退回。</t>
  </si>
  <si>
    <t>2019/10/02 19:28:13</t>
  </si>
  <si>
    <t>投诉人卜女士投诉对象月光侠贷款分期涉诉金额4000元问题类型诉求类型投诉详情我在月光侠贷款2800，实际到账2800.分三期，每一期要求还款1400，实际利息已经超出国家规定，我希望调整利息，我归还本金和国家规定利息。</t>
  </si>
  <si>
    <t>2019/10/02 19:26:52</t>
  </si>
  <si>
    <t>投诉人丁女士投诉对象马上消费金融涉诉金额4500元问题类型诉求类型投诉详情微博借钱才逾期一天人家催收就让我还款恶意骚扰我，还有微博安逸花天天023开头的电话骚扰我。</t>
  </si>
  <si>
    <t>2019/10/02 19:25:44</t>
  </si>
  <si>
    <t>10月2日本人银行卡突然收到1430元汇款，随后收到一条短信说是双鱼钱包平台下款的，我并没有申请过，还款时间为6天后需还款2300元，我根本没有下载这个App不知道为什么会有借款，这完全就是非法高利贷，根本没有通过本人同意就随便放款，请求平台联系对方。</t>
  </si>
  <si>
    <t>2019/10/02 19:25:24</t>
  </si>
  <si>
    <t>百事普惠恶意扣款299元，请求退款，谢谢聚投诉。</t>
  </si>
  <si>
    <t>2019/10/02 19:25:15</t>
  </si>
  <si>
    <t>9月20日在红月亮申请借款金额1700，但实际到账1241，一期时间是十五天，需要还1717.。</t>
  </si>
  <si>
    <t>2019/10/02 19:22:21</t>
  </si>
  <si>
    <t>在钱站借款三千.六期每个月要还1200.已经超过国家规定的百分之24的利率。</t>
  </si>
  <si>
    <t>2019/10/02 19:21:54</t>
  </si>
  <si>
    <t>已同当地法律专员协商好了，但是每天都有客服电话骚扰本人及家人，。</t>
  </si>
  <si>
    <t>2019/10/02 19:20:21</t>
  </si>
  <si>
    <t>10月2日，于智行APP上预订酒店一晚，全额付款。</t>
  </si>
  <si>
    <t>2019/10/02 19:19:56</t>
  </si>
  <si>
    <t>在该平台借款两笔第一笔借款1200收取了280的会员费用，已还清，！第二笔借款2009收取了540的会员费用！一个月期限。</t>
  </si>
  <si>
    <t>2019/10/02 19:19:35</t>
  </si>
  <si>
    <t>投诉人林先生先生投诉对象嗨钱网涉诉金额6000元问题类型诉求类型投诉详情第一期正常还款，第二期第三期因为系统问题，已资金方代扣。</t>
  </si>
  <si>
    <t>2019/10/02 19:19:26</t>
  </si>
  <si>
    <t>投诉人杨杨梦月投诉对象招商银行涉诉金额10000元问题类型诉求类型投诉详情利息太高太高了，这是高利贷吧，而且完全不知道这个利息是怎么给我算的，只有几千块没还，利息却有五六七百。</t>
  </si>
  <si>
    <t>2019/10/02 19:19:18</t>
  </si>
  <si>
    <t>2019/10/02 19:17:54</t>
  </si>
  <si>
    <t>投诉人朱先生投诉对象快闪卡贷涉诉金额15000元问题类型诉求类型投诉详情2019年4月份在快闪卡贷贷了15000千元到账12.626.45元我后期想客服人员咨询客服人员说购买保险。</t>
  </si>
  <si>
    <t>2019/10/02 19:17:30</t>
  </si>
  <si>
    <t>投诉人在轻易贷平台上进行短期投资，到期后轻易贷平台不给投资人提现，反而修改提现规则，未经投资人同意就强制复投。</t>
  </si>
  <si>
    <t>2019/10/02 19:17:27</t>
  </si>
  <si>
    <t>2019/10/02 19:16:38</t>
  </si>
  <si>
    <t>我10月1号中午下的单，2号晚上卖家才告知说商品无货，让我申请退款，由于我使用了优惠券，现在退款导致我优惠券直接过期，退货前一再跟卖家确认如果过期卖家承担优惠券费用，但是退货后卖家就直接不理人了，本来我可以用优惠券买别家东西，这导致我相当于损失了6元钱和两天的时间，要求退回优惠券金额6元，，并承担导致延误我商品使用补偿10元，以及未履行承诺补偿20元，商品链接https://mobile.yangkeduo.com/goods1.html?goods_id=5029413325&amp;page_from=101&amp;</t>
  </si>
  <si>
    <t>2019/10/02 19:15:04</t>
  </si>
  <si>
    <t>中原消费金融有限公司，以消费贷的名义，非法采集公民信息，以及本人身份信息，视频认真信息，银行卡信息，要求注销账号，解绑银行卡，自己采集到的个人信息。</t>
  </si>
  <si>
    <t>2019/10/02 19:13:39</t>
  </si>
  <si>
    <t>今年年初入驻，由于经营不佳，之前申请提现出了个公告驳回7月份之前的提现款，本来提现就要45天左右，又驳回了，现在都又一个月多过去了，，还是提现不到账，所以要进行退店，电联平台客服一直推脱，联系QQ客服也是爱答不理的，希望尽快联系我处理退店！。</t>
  </si>
  <si>
    <t>2019/10/02 19:12:31</t>
  </si>
  <si>
    <t>投诉人徐女士投诉对象悦程出行涉诉金额1988元问题类型诉求类型投诉详情在桂林机场有身着空姐服装样式的销售人员推荐我办卡，充值1998元赠送1000元，其间我也询问是否可以用卡里的钱直接购买机票，销售人员说可以，之后在悦程出行公众号里查询到只能抵扣基建燃油费用，销售人员存在误导顾客消费行为，请求给予退款。</t>
  </si>
  <si>
    <t>2019/10/02 19:10:53</t>
  </si>
  <si>
    <t>2016年10月份达飞云贷业务员上门推销达飞云贷，说是利息低每个月只还利息，用90天还本金，一开始授信额度是14307元，用了差不多一年提过一次额提到2万多点具体多少记不得了，到2019年时候出了点事情就没钱还得上本金，然后达飞工作人员说可以提额借出来来还前面要还的账单，就这样还过几次，现在莫名其妙要还本金4万多，从17年开始就收取服务费而且借款时候还扣除+的质保金，，现在是利息高服务费高，授信额度44700元利息加服务费每个月要还3500多远远超过国家规定的年利率36％了，要求达飞云贷公司把还了的利息在3</t>
  </si>
  <si>
    <t>2019/10/02 19:10:37</t>
  </si>
  <si>
    <t>过了24时就逾期了，所以绑定的银行卡里有钱，自己手动了半天就是还款不上，有两个129的需要还，也设置了拍拍贷自动扣款，但是到了日期拍拍贷却不自动扣款，担心导致还款失败，不希望导致逾期而收取高利贷一般的利息和征信不良记录，所以希望维权，打击不良征信虚构网络。</t>
  </si>
  <si>
    <t>2019/10/02 19:10:11</t>
  </si>
  <si>
    <t>投诉人张女士投诉对象京东,蟹知香旗舰店涉诉金额38元问题类型诉求类型投诉详情大闸蟹虚假售卖，一直无法预约。</t>
  </si>
  <si>
    <t>2019/10/02 19:10:05</t>
  </si>
  <si>
    <t>由于原来留的银行卡遗失，上个月造成逾期遭到国美易卡的暴力催收，威胁恐吓，爆通讯录，所以上个月在还款的时候就已经添加新的还款银行卡，结果国美易卡还是在原来的银行卡里扣款，别家的添加新卡后都扣款成功，就他家扣不了！扣款失败了就开始各种暴力催收，威胁恐吓，今天接到电话去还款就显示逾期费用50块，我不知道这个怎么算出来的，这不是高利贷是什么，还正规贷款，贷款的时候就强制扣了好多保险费，，这不是变相收费是什么，还有杂七杂八的费用没有算呢。</t>
  </si>
  <si>
    <t>2019/10/02 19:09:06</t>
  </si>
  <si>
    <t>投诉人陈女士投诉对象淘集集涉诉金额3784元问题类型诉求类型投诉详情本人于6月份入驻淘集集，6月17号开始出单发货，淘集集估计拖延货款，至今3个月还不打回货款，要求速速退回货款并退回保证金合计3784.78元。</t>
  </si>
  <si>
    <t>2019/10/02 19:08:44</t>
  </si>
  <si>
    <t>手机刚收到结果就降价了想要补差却被以各种理由推脱，苏宁这种侵害欺骗消费者的做法真的让人寒心。</t>
  </si>
  <si>
    <t>2019/10/02 19:08:36</t>
  </si>
  <si>
    <t>霸王旗舰店虚假宣传，用虚假图片引导消费，挂羊头卖狗肉，我在淘宝上搜霸王头皮营养液，然后出来如图1的链接，我看是官方旗舰店的，就点进去购买，购买链接的标题上也写着育发等字眼，且首张宣传页面上挂的就是两瓶头皮营养液，结果发来的是另外一套产品，找客服反馈，客服说是他们卖的本来就是这个发来的产品，说最后两页有商品说明，那么请问，五张图片，前面三张都是如图1所示的宣传黄瓶营养液，为什么该链接卖的是后面两张图片里卖的内容，这是否为商家故意混淆视听，引导消费者错误消费，注，图1/2为商品链接，图3/4为实际收到商品，图5</t>
  </si>
  <si>
    <t>2019/10/02 19:08:00</t>
  </si>
  <si>
    <t>投诉人方先生投诉对象畅捷支付,信用管家,元宝宝,神马借涉诉金额2625元问题类型诉求类型投诉详情本人9月8日通过信用管家app申请一款名为神马借的贷款，实际到账2625元，分为4期，每期8天，竟然要还3584元，利息高达959元，属于典型的超利贷，套路贷，信用管家涉嫌为这种典型的违法超利贷导流本人要已还两期，要求第三期本金销账处理，为其提供支付通道客服为元宝宝公司，怀疑是一家公司。</t>
  </si>
  <si>
    <t>2019/10/02 19:07:43</t>
  </si>
  <si>
    <t>借款5000两个月还将近8000，在未逾期的情况下打电话给通讯录的人进行骚扰，说得很难听。</t>
  </si>
  <si>
    <t>2019/10/02 19:07:42</t>
  </si>
  <si>
    <t>后想在网上想找点兼职网赚点小钱养家糊口，奈何被人诱骗充值赚流水等理由被人拉进兼职群，以购买彩票方式赚取佣金，后来才知道是非法赌博平台，和支付清算协会沟通得知第三方支付业务应审核客户的相关信息，第三方支付公司不得向证券、期货、博彩等机构提供支付结算业务，现在全家进入负债经济困难时期，可以说吃了上顿没下顿的状态，通过中国人民银行，中国银联，和支付清算协会沟通得知，第三方支付业务应审核客户的相关信息，第三方支付公司不得向证券、期货、博彩等机构提供支付结算业务，作为有牌照的支付公司没有履行国家相关法律法规要求，为违</t>
  </si>
  <si>
    <t>2019/10/02 19:07:29</t>
  </si>
  <si>
    <t>钱包易贷违法收取高额砍头息并且还款还要保险维护费本来到账4300多，要还6400多严重超过国家标准的36%的年利率。</t>
  </si>
  <si>
    <t>2019/10/02 19:06:07</t>
  </si>
  <si>
    <t>本人于2019年10月2日下午16时通过携程小程序下单租车，由于比较着急就马上下单付款了，本以为是当日用车，可是小程序默认的是次日早上10时取车，然后先致电给取车门店，店员让我联系携程客服，然后通过客服的提示取消了订单，在确认取消前，我本人并不知道取消规则，然后携程就发信息给我说是扣除所有费用作为违约费，然后就一直和携程客服沟通，最后沟通的是让我下一个同样的订单，然后帮我申请退还之前的费用否则就没法退款，后面我发现那家门店由于没有可租的车，所以已经没法再在那家店生成订单，我觉得这对于消费着来说存在比较大的不</t>
  </si>
  <si>
    <t>2019/10/02 19:05:35</t>
  </si>
  <si>
    <t>出售死的坏的海鲜给消费者，端上来就有明显的臭味，给老板说了，态度极其恶劣，必须赔礼道歉。</t>
  </si>
  <si>
    <t>2019/10/02 19:04:56</t>
  </si>
  <si>
    <t>杭州市民卡,小黑鲨,海南易联普惠,温州敏驿网络科技有限公司，本人于9月2号在短信诱导下借款3000，10天一期，共三期，第一期还款1679.73，第二期还款1019.45，今天第三期，杭州市民卡有限公司，私自扣扣305.91，共计还款3005.29，已经超过本金，但今天催收一直骚扰威胁，请求平台协助处理！。</t>
  </si>
  <si>
    <t>2019/10/02 19:04:08</t>
  </si>
  <si>
    <t>9月29号晚上忽然发现滴滴账号口碑值在不情的情况下变更成服务分导致长时间听不到单！接到号136******05。</t>
  </si>
  <si>
    <t>2019/10/02 19:00:27</t>
  </si>
  <si>
    <t>刚存了一千就扣了，你们是干嘛的，那个平台扣费得，也没个解释什么的。</t>
  </si>
  <si>
    <t>2019/10/02 19:00:07</t>
  </si>
  <si>
    <t>申请成功后，我提款的时候显示是13000，到账也是13000，我是分12期还款的，一期要还1784.99，也就是一共要还21408。</t>
  </si>
  <si>
    <t>2019/10/02 18:59:34</t>
  </si>
  <si>
    <t>投诉人崔先生投诉对象马上消费金融涉诉金额8700元问题类型诉求类型投诉详情之前就骚扰我家人已经投诉过一次了，他们停止了骚扰，现在又开始暴力吹收，给我父母亲戚打电话，骚扰我的家人，而且还恶意宣传，传播谣言不实还款金额，对我本人和家人造成了严重的影响，这样子对我造成了恶劣的影响，没有办法正常去生活。</t>
  </si>
  <si>
    <t>2019/10/02 18:58:54</t>
  </si>
  <si>
    <t>投诉人金先生投诉对象分期还呗涉诉金额0元问题类型诉求类型投诉详情一天收到三天短信，我并不需要这些贷款，还有一条短信称都到短信就可以放款，让我注意接听放款电话，我并没有申请，也不需要，，我不希望再向我发送这些短信，对生活带来困扰。</t>
  </si>
  <si>
    <t>2019/10/02 18:57:44</t>
  </si>
  <si>
    <t>投诉：上海蛋壳公寓公司，签约方名字为紫梧桐，公寓管理有限公司，签约租赁地址为：东靖路393弄29号401室B室，本人家庭小朋友刚毕业预备去上海工作，通过网上在上海蛋壳公寓签约了一个租房，远程签约方式，没有真正看过房源，销售仅提供一张照片，且提供的照片也与实际房源情况不符，销售人员一路的要求，在未看房源之间签约，所谓的提供折扣，并且保证房屋质量问题可以退款，我们在9月30号签了合同，并且在10月2号飞往上海查看实地情况，但发现房屋存在质量问题，入门就能够看到到处掉灰，同时，租房所有的道路偏僻且开挖，销售人员也</t>
  </si>
  <si>
    <t>2019/10/02 18:57:41</t>
  </si>
  <si>
    <t>投诉人唐先生投诉对象弹个车涉诉金额6800元问题类型诉求类型投诉详情弹个车在未通知本人的情况下，私自拖走车辆！并且在协商一致后，通知本人取车，但到了弹个车提示的地点时，车辆不见了！电话客服投诉，没有任何答复！。</t>
  </si>
  <si>
    <t>2019/10/02 18:55:56</t>
  </si>
  <si>
    <t>投诉人吴新源投诉对象交易猫涉诉金额1904元问题类型诉求类型投诉详情我在交易猫里买了一个steam账号，玩了没有一天就被卖家找回了账号我登录不上去了，我申请交易猫保险赔偿，交易猫说我提前收货不给赔偿，但是是在客服换绑的时候把我的QQ透露给了卖家，卖家加我QQ让我提前收货，之后有发了一个软件把我买的号给锁定了，之后不到3小时被找回，交易猫让我提供steam的申述记录steam申述记录只有卖家的初始邮箱才可以查看卖家把邮箱手机什么的都改了steam的申述记录只会发在卖家的初始邮箱里面我根本不可能看的见，我现在上</t>
  </si>
  <si>
    <t>2019/10/02 18:55:42</t>
  </si>
  <si>
    <t>现在确实还不上了，所以载这里请信用钱包商量下，到最后一次一次性还清，，当初借的12000一年时间需要支付。</t>
  </si>
  <si>
    <t>2019/10/02 18:54:00</t>
  </si>
  <si>
    <t>本人于2019年9月23日在协融借app多宝分期借款4000元，总共要还5198.49元，利息高的可怕，而且还款还不能还，一直显示还款失败，并且还威胁要骚扰家人，还说app维护让我线下给他们转账，但是我转了却说不行，导致我被骗了3465.86元。</t>
  </si>
  <si>
    <t>2019/10/02 18:53:08</t>
  </si>
  <si>
    <t>投诉人 张先生        投诉对象  多宝分期        涉诉金额  4 895 元    问题类型    诉求类型投诉详情  多宝分期。手动还款一直显示失败。平台也没有去扣。客户也联系不到。</t>
  </si>
  <si>
    <t>2019/10/02 18:52:23</t>
  </si>
  <si>
    <t>2019/10/02 18:52:13</t>
  </si>
  <si>
    <t>投诉人 廖俊洪        投诉对象  羊城通        涉诉金额  50 元    问题类型    诉求类型投诉详情  nfc充值羊城通不到账</t>
  </si>
  <si>
    <t>2019/10/02 18:51:42</t>
  </si>
  <si>
    <t>中信银行在我按时还款，无逾期的情况下无故5天内连降信用卡一半额度，给生活消费带来不便。</t>
  </si>
  <si>
    <t>2019/10/02 18:49:40</t>
  </si>
  <si>
    <t>投诉人 金先生        投诉对象  分期花呗        涉诉金额  0 元    问题类型    诉求类型投诉详情  我没有申请任何贷款 ，莫名收到短信，要求停止发送短信</t>
  </si>
  <si>
    <t>2019/10/02 18:49:38</t>
  </si>
  <si>
    <t>投诉人官先生投诉对象抖音涉诉金额0元问题类型诉求类型投诉详情抖音视频为网贷平台提供误导性宣传。</t>
  </si>
  <si>
    <t>2019/10/02 18:48:10</t>
  </si>
  <si>
    <t>投诉人陈女士投诉对象钱站涉诉金额4000元问题类型诉求类型投诉详情已经两个朋友微信我了，还有好几个朋友打电话给我，全部都被威胁了，而且态度恶劣，不仅让我本人身败名裂，让我朋友也不能消停，会天天给朋友打电话。</t>
  </si>
  <si>
    <t>2019/10/02 18:47:45</t>
  </si>
  <si>
    <t>投诉人罗先生投诉对象滴滴出行,滴滴公司涉诉金额599元问题类型诉求类型投诉详情滴滴公司骗司机安装桔视记录仪就可以获取深夜服务卡，599块钱安装了，深夜服务卡遥遥无期，完全就是骗局，我希望要吗给深夜服务卡，要吗给我拆了退钱，安装这个就是为了深夜服务卡，结果装了还是没有哪我装来干嘛。</t>
  </si>
  <si>
    <t>2019/10/02 18:45:58</t>
  </si>
  <si>
    <t>有过逾期吗但是都及时补上了.这俩个月家里出事.母亲住院.生意失败。</t>
  </si>
  <si>
    <t>2019/10/02 18:44:58</t>
  </si>
  <si>
    <t>投诉人石先生投诉对象U卡贷涉诉金额20000元问题类型诉求类型投诉详情本人在U卡贷APP借款20000，到账20000，实际合同金额28492.04，属于阴阳合同，每月还款1711.06,18个月共计应还30799.08，远超过国家规定的法定利率36%，且APP无提前结清入口，提前结清无任何减免。</t>
  </si>
  <si>
    <t>2019/10/02 18:44:56</t>
  </si>
  <si>
    <t>投诉人张先生投诉对象武汉优讯通科技有限公司涉诉金额50元问题类型诉求类型投诉详情本人于5月30日晚17:30分于支付宝内置的武汉通充值向卡里充值50块交易成功后无后续确认选项查看账单支付成功查询充值订单和余额却没有增加随后打客服电话却无人接听要求补偿损失或者退款。</t>
  </si>
  <si>
    <t>2019/10/02 18:44:37</t>
  </si>
  <si>
    <t>本人于19年9月5日在牛人有品app上借款1900，然而仅到账1368元。</t>
  </si>
  <si>
    <t>2019/10/02 18:43:50</t>
  </si>
  <si>
    <t>提前还款一直失败，打电话给客服，客服说了让滴滴专线95066联系我也没联系，10月1号借的款，分36期还款，10月2号提前还款，结果还款失败，第一期还款日是11月1号，客服就说我已经还款逾期，多了三块钱利息，这种手段太可怕。</t>
  </si>
  <si>
    <t>2019/10/02 18:39:55</t>
  </si>
  <si>
    <t>两只鞋垫破损，有很多黄色的污渍，并且这并不下他们承诺的正常现象中，鞋子明显被人穿过鞋垫才会那么脏，客服人员说我没有证据证明破损和污渍是他们的原因，反而说是我自己弄的，不然换货也不让退，明显就在欺诈消费者，希望有关部门高度重视。</t>
  </si>
  <si>
    <t>2019/10/02 18:38:33</t>
  </si>
  <si>
    <t>后再次购买就账号用不了了，同一时间朋友正常下单，而我的新账号无法下单，淘宝小蜜和人工客服无法解决问题。</t>
  </si>
  <si>
    <t>2019/10/02 18:37:14</t>
  </si>
  <si>
    <t>投诉人李女士投诉对象信用管家,分期鸭涉诉金额5372元问题类型诉求类型投诉详情本人此前通过信用管家渠道下载分期鸭借款金额3000元，期限为20天，分四周还，每周还款1233元，本金为750元/期，利息费用为483元/期，费用利息之高由此可见，本人经于8月25日开始使用至今，都按时还款，现因经济还款出现了问题，已无力偿还最后一笔贷款，要求平台做销账处理，此前多付利息不予以追讨。</t>
  </si>
  <si>
    <t>2019/10/02 18:37:12</t>
  </si>
  <si>
    <t>投诉人卢先生投诉对象乐客独角兽涉诉金额9800元问题类型诉求类型投诉详情客独角兽销售经理诱导诱骗偷换概念收取会员代理费，结算方面，为什么加入前不告诉我要开发票去交税，去税务大厅要20点税，这是什么意思，后来又说可以公司代开发票，还有他们销售经理当时说的返利和结算方式完全不同，赤裸裸的在忽悠我，涉嫌欺诈消费者，本人有大量销售经理和我承诺的服务与盈利不符证据，我都有截图和对话记录，缴费前业务员的承若和各项介绍完全跟缴钱后的政策不同，现在只争取维护我的合法权益退还我相应的费用，本人还有其他受害者，如不处理本人将集</t>
  </si>
  <si>
    <t>2019/10/02 18:36:33</t>
  </si>
  <si>
    <t>2018年三月27日本人向白领贷贷款平台贷款6万元，已经累计还款18个月，还款金额已超过6万8千元，前六个月该平台以信息服务费为由每月还款6300+，每月信息费超过4千元，后面12个月每月还款2740+，每月信息费790元，本人现在想要终止合同提前结清欠款，还需要还35000元，6万元用一年半还款10万5千，希望平台与其沟通按国家合法利率降低还款费用。</t>
  </si>
  <si>
    <t>2019/10/02 18:36:19</t>
  </si>
  <si>
    <t>钱站公司高利贷，顶风作案，阴阳合同，暴力催收，本人8月2号在钱站借了4000块，合同金额却是7200块，每期要还2380.5元，利息超级高，远远超过法定的36年利率，逾期一天逾期费一百多，催收威胁打爆通讯录，要求按照国家法定收费销账，不然一直投诉到底！所有信贷投诉量最大的一家公司，没必要再听其解释太多，作为一家在香港挂牌的被撤回的上市公司，哎真的是耻辱啊，希望有关部门介入调查，打击高利贷，维护正义。</t>
  </si>
  <si>
    <t>2019/10/02 18:36:01</t>
  </si>
  <si>
    <t>投诉人何女士投诉对象现金巴士涉诉金额1000元问题类型诉求类型投诉详情首先1000到账800违规收取砍头息，逾期费用过高估计几天就是几百块，我希望现金巴士可以减免逾期费用。</t>
  </si>
  <si>
    <t>2019/10/02 18:35:18</t>
  </si>
  <si>
    <t>本人乐意花APP借款10000，每月还款1239.2，12个月共还14834.4，远远超过国家规定的法定利率36%，属于违法违规行为，且APP无法提前还款，提前还款无任何减免，希望乐意花相关人员看到后尽快与本人联系协商。</t>
  </si>
  <si>
    <t>2019/10/02 18:34:58</t>
  </si>
  <si>
    <t>投诉人 刘先生        投诉对象  立刻出行        涉诉金额  499 元    问题类型    诉求类型投诉详情  立刻出行押金难退，一个多月了退不了啊</t>
  </si>
  <si>
    <t>2019/10/02 18:34:02</t>
  </si>
  <si>
    <t>特约中归在未经本人允许并且不知情的情况下，无故扣除本人建行卡内的金额385.11元，希望达到妥善解决，退回金额。</t>
  </si>
  <si>
    <t>2019/10/02 18:33:41</t>
  </si>
  <si>
    <t>借款2000元，实到2000元，分三期，但是查看合同写的却是借款2800元，一共要还3000元，严重的欺瞒客户，变相高利贷，砍头息，并且还骚扰客户，现在我要求只还本金加正常利息，不然将继续投诉中国互联网金融中心和银监会。</t>
  </si>
  <si>
    <t>2019/10/02 18:32:54</t>
  </si>
  <si>
    <t>在2019.9.26晚上7点过的时候即付宝的工作人员过来给我我办信用卡，在我不知情的情况下，扣了我信用卡的100块，我是到2019年10.1号才发现，我完全不知道这个情况，我觉得这个都属于恶意的期瞒了，我们几个同事都着了，公司里有监控的，可以调。</t>
  </si>
  <si>
    <t>2019/10/02 18:32:35</t>
  </si>
  <si>
    <t>投诉人黎先生投诉对象快狗打车涉诉金额500元问题类型诉求类型投诉详情本人在广东佛山市，加入快狗打车以来，每天听单都没几单，而且抢不到，几个月来只接到一单，大失所望快狗打车APP车主端竟然没有设置退还押金选项，属霸王条款，联系客服一直接不通，现求助聚投诉平台，谢谢！。</t>
  </si>
  <si>
    <t>2019/10/02 18:31:59</t>
  </si>
  <si>
    <t>投诉人解开女士投诉对象既用钱涉诉金额500元问题类型诉求类型投诉详情扣钱的那个账单是七月份的实在找不到了这个软件在没征得本人同意就扣除卡里的500钱我是在帮家里人投诉他们还不相信被骗了。</t>
  </si>
  <si>
    <t>2019/10/02 18:31:35</t>
  </si>
  <si>
    <t>客服永远都是让我等96小时本来就该给钱，但是没给我客服让我在等24小时，然而还没给，然后今天还是让我等24小时，这本来就是我卖账号的钱，本来交易成功了，交易猫说钱已经到账了，结果我看了下支付宝，并没有钱，我很生气去找客服理论，但客服说让专员处理，无限制的说让我等24小时。</t>
  </si>
  <si>
    <t>2019/10/02 18:29:31</t>
  </si>
  <si>
    <t>花薪,"花薪"是深圳前海仓实信息技术有限公司，以国庆的名义发起邀请送福利活动，在本人完成相应邀请任务后获得100元现金卷，活动注明可提现，中途该公司app无法上传证件及银行卡，后续更是直接无理由回收获得的现金卷，目前邀请奖励除现金卷之外其余都还在，强烈要求该公司赔偿本人，并且取消该活动，此虚假行为严重影响群众切身利益，请求仲裁该公司本次活动负责人。</t>
  </si>
  <si>
    <t>2019/10/02 18:29:24</t>
  </si>
  <si>
    <t>投诉人 苟先生        投诉对象  天天爱彩票        涉诉金额  3 200 元    问题类型    诉求类型投诉详情  居然这告诉我，不是他们的问题。客服态度很好不好，有问题不给处理。</t>
  </si>
  <si>
    <t>2019/10/02 18:29:08</t>
  </si>
  <si>
    <t>投诉人侯先生投诉对象微信etc涉诉金额99元问题类型诉求类型投诉详情无论怎么弄就是无法连接</t>
  </si>
  <si>
    <t>2019/10/02 18:27:56</t>
  </si>
  <si>
    <t>下载后填写身份证信息，联系人信息，个人信息，单位信息，卡号信息，并直接审核通过，给用户额度数字，然后直接在钱没到账的情况下，建立贷款合同以及账单，合同上面的银行卡号，私自更改数字，伪造一个合同给用户，然后提示打款不正确，钱被监管了，双方都拿不到这笔钱，要求客户私人转账给出解冻金，给完第一份之后继续再给等等，并且在还款界面，需要还款钱包来还款，还款钱包找不到任何入口，那么是否是直接私人转账还款，申请过程中没有任何验证码，视频人脸验证，通话记录导入等等，那么我是不是随便乱填资料，随便填任何人的资料呢，本次投诉指</t>
  </si>
  <si>
    <t>2019/10/02 18:26:40</t>
  </si>
  <si>
    <t>本人于3月15日在水莲金条APP借款15000，实际到账15000，立马扣除砍头息3000，实际到账12000，由深圳光华普惠科技有限公司，提供资金并放款，13个月共还款17106.05，收取砍头息属于违法违规行为，打着国家法定利率36%的擦边球，并且提前结清无任何减免，本人已还7期，剩余金额要求协商还款结清，要么提前结清并减免，要么退回违扣的砍头息，希望水莲金条相关工作人员看到后尽快与本人联系协商。</t>
  </si>
  <si>
    <t>2019/10/02 18:24:38</t>
  </si>
  <si>
    <t>我是淘宝卖家，店铺被盗大量发布售假商品，非本人所操作，要冻结我的保证金，联系淘宝客服无望，店铺被肆意大量发布虚假产品、不到一个小时发布进200个商品、几乎一秒上新一个，显然不是人所为操作。</t>
  </si>
  <si>
    <t>2019/10/02 18:24:37</t>
  </si>
  <si>
    <t>本人在你我贷贷款9600块钱，已经还了六千多，剩余还款还有六千七八百，因为最近这一段时间，个人经济原因，还款能力不足，希望可以跟官方客服这边协商还款，重新调整下利率，分期还款！希望官方这边可以尽快联系。</t>
  </si>
  <si>
    <t>2019/10/02 18:23:59</t>
  </si>
  <si>
    <t>投诉人 刘先生        投诉对象  Wecash闪银        涉诉金额  3 000 元    问题类型    诉求类型投诉详情  闪银收取砍头息及高利率还无法取消借贷。。</t>
  </si>
  <si>
    <t>2019/10/02 18:23:46</t>
  </si>
  <si>
    <t>仲裁客服让我向游戏方要证据游戏方不给证据，仲裁客服就一直让我要，我特别为难，我当时很无奈不知道该怎么办，但是账号并不想我手里我提供不了别的证据我只知道账号绑定着手机密保，但是仲裁客服说没绑定我的手机号我知道是多少，让我最生气的是，仲裁客服就只会说一句话向游戏方要证明，我要了我也把人家不给的图片给他了，他不他就一直发让我找证明，不说别的，你好歹说一下别的呀，搞得我当时不知道该怎么办人家不给我也给他看图片老了，他就是让我要，什么意思，人家买家不用证明，人家买家好几个选项，我就一个，偏袒买家，我问交易猫客服，他们</t>
  </si>
  <si>
    <t>2019/10/02 18:23:38</t>
  </si>
  <si>
    <t>我在京东先后买了三次同款显示器，前2次都是生产日期超过半年的，我怀疑是二手的，都退了，第三次在我要求下终于发了个生产日期新点的，并按照对方的要求对该格式条款予以说明的采用格式条款订立合同的，提供格式条款的一方应当遵循公平原则确定当事人之间的权利和义务，并采取合理的方式提请对方注意免除或者限制其责任的条款，按照对方的要求，对该条款予以说明。格式条款是当事人为了重复使用而预先拟定，并在订立合同时未与对方协商的条款。，这次看着还可以，准备留用了，结果第二次买的显示器不给退，，具体情况如下，望尽快解决，本人是京东的</t>
  </si>
  <si>
    <t>2019/10/02 18:23:12</t>
  </si>
  <si>
    <t>本人于9月23日14时左右在flashmob店铺购买一苹果11max镜头膜，订单编号190923-1*************4。</t>
  </si>
  <si>
    <t>2019/10/02 18:22:39</t>
  </si>
  <si>
    <t>13:18:34豆豆钱借款10000到账9000，砍头息899.每期还款1113*分12期还款一共要还13356，一年利息高达3356.加上砍头息14256属于高利贷，借款合同的还款金额与实际还款金额不一样，合同金额每期还款893.我的实际还款是1113.违反国家法律，平台还私自未经本人同意购买担保，强制购买保险，因忘记存款逾期利息一天能高达100元，视国家法律视而不见……坑害社会！。</t>
  </si>
  <si>
    <t>2019/10/02 18:22:14</t>
  </si>
  <si>
    <t>投诉人周先生投诉对象宁波宜信暴力催收涉诉金额30000元问题类型诉求类型投诉详情各种暴力催收，每天各种骚扰电话，言语恐吓，打联系人电话，打公司电话。</t>
  </si>
  <si>
    <t>2019/10/02 18:21:52</t>
  </si>
  <si>
    <t>投诉人戴先生投诉对象立刻出行涉诉金额499元问题类型诉求类型投诉详情等了好几个月了就是没退下来押金，打电话也一直没人接，不知道什么时候能退下来，真的无奈了。</t>
  </si>
  <si>
    <t>2019/10/02 18:21:49</t>
  </si>
  <si>
    <t>投诉人徐红乐投诉对象广发银行涉诉金额50000元问题类型诉求类型投诉详情广发银行信用卡9月30日下午6点28电话推销分期消费金产品，说的不清不楚纠缠30余分钟后，我仍拒绝办理，我说下来自己看看后决定，我说下来看看再说对方还是持续纠缠，我已经有点蒙圈，我心理认为这个利率是未还款金额的利率，下来看到广发的app还款计划里面，才发现是全款利率，年利率高达15.6%，目前这个还在申请未批的阶段，打95508取消，不予办理，最后对方推不了这个产品，说有个5万的产品，可以取现，发送到银行借记卡，月利率只有0.65，对方</t>
  </si>
  <si>
    <t>2019/10/02 18:21:38</t>
  </si>
  <si>
    <t>投诉人梁先生投诉对象来花花,金鸡下蛋,肥猫贷,呗呗分期,菜鸟有钱,汇潮支付,喵下贷涉诉金额12000元问题类型诉求类型投诉详情金鸡下蛋、来花花、肥猫贷、呗呗分期、喵下贷、菜鸟有钱均有高额砍头息如借2000实际到账为1400、借1500到账1200、还款一周期2-7天，催缴还款时态度特别恶劣，本人无奈已多次延期，并且多次协商还款本金不同意，以上app下款方均为汇潮支付，该公司为高利贷平台提供支付渠道！！。</t>
  </si>
  <si>
    <t>2019/10/02 18:21:34</t>
  </si>
  <si>
    <t>我在融360平台导流的你我贷贷款7000元，前两个月每期还款1226.74元，剩余十个月每月还款705.94元，按照实际利率测算综合年利率达到61%，已经还款九期，《关于规范整顿“现金贷”业务的通知》明确规定：不得撮合或变相撮合不符合法律有关利率规定的借贷业务；禁止从借贷本金中先行扣除利息、手续费、管理费、保证金以及设定高额逾期利息、滞纳金、罚息等，融360在国家严管之下频频被曝光，却各种违法违规不知整改，扰乱社会金融秩序，违背社会公序良俗，为各种违法违规贷款进行导流。</t>
  </si>
  <si>
    <t>2019/10/02 18:21:33</t>
  </si>
  <si>
    <t>本人此前通过贷上钱渠道下载金椰树借款金额2100元，期限一周，通过汇潮支付发放实际贷款1365元，砍头息费用735元，典型714高炮，本人经于8月13日开始使用至今，都按时还款，现因经济还款出现了问题，已无力偿还最后一笔贷款，要求平台做销账处理，此前多付利息不予以追讨。</t>
  </si>
  <si>
    <t>2019/10/02 18:20:33</t>
  </si>
  <si>
    <t>依照合同里面的24小时内可以无条件退款，但是升学教育一方一直拖延时间，让我等待，退款一点效率都没有，都把责任互相委托，说自己不负责这一方面的事情，让我感到已经侵犯到自己的消费者权益，他们是我的生活变得更加的困难，忽悠消费者盲目消费，既然这么多人都有投诉，说明这家机构是真的有问题，为什么会有这样的机构出现，却没有人能够一次性解决，让更多的人知道，以防被骗，我不止一次又一次的让他们赶紧退款，但是他们却一拖再拖，浪费时间，欺骗消费者，希望聚投诉能够帮助我们得到更快的解决，谢谢。</t>
  </si>
  <si>
    <t>2019/10/02 18:20:11</t>
  </si>
  <si>
    <t>今天发短信给我的亲朋好友，还骂我父亲，侮辱我父亲。</t>
  </si>
  <si>
    <t>2019/10/02 18:19:59</t>
  </si>
  <si>
    <t>投诉人杨先生投诉对象拼多多涉诉金额12元问题类型诉求类型投诉详情漏发口气还大，还说原路返回还说邮费自理，还素质呀都，真是的。</t>
  </si>
  <si>
    <t>2019/10/02 18:18:31</t>
  </si>
  <si>
    <t>要求退款，无缘无故扣费，找不到客服…………。</t>
  </si>
  <si>
    <t>2019/10/02 18:16:48</t>
  </si>
  <si>
    <t>投诉人杜女士投诉对象Wecash闪银涉诉金额3733元问题类型诉求类型投诉详情1.本人于2019年3月份经过第三方平台导流，申请借款3000元，期间看不到合同和每期还款账单，事先也并没有说明要购买什么保险费，直接放款3520元，放款方是拉卡拉支付有限公司，后未经本人允许银行卡直接扣款528元，扣款方是北京闪银奇异有限公司，2.扣款后才下载闪银app看明细，才知道528是捆绑消费的担保费，这个并没有提前说明，完全是在不知道的情况下扣除，且从头到尾都没有看见过合同，3.期间只申请借款3000，平台私自修改款项为</t>
  </si>
  <si>
    <t>2019/10/02 18:16:28</t>
  </si>
  <si>
    <t>手机摄像头进灰，换了3-4次，都是这个问题，换的都是别人的退货机，要求去米家直接换机。</t>
  </si>
  <si>
    <t>2019/10/02 18:14:04</t>
  </si>
  <si>
    <t>国家明令禁止的714高额砍头息香港号区电话骚扰短信威胁爆破通讯录无协商还款途径态度恶劣。</t>
  </si>
  <si>
    <t>2019/10/02 18:13:45</t>
  </si>
  <si>
    <t>投诉人程先生投诉对象惠民汇付,金鸡钱包涉诉金额2000元问题类型诉求类型投诉详情9月27日在金鸡钱包借款2000元，实际到账1220元，5天要还2000元，利息5天高达780！惠民汇付为这种高利贷提供支付渠道！。</t>
  </si>
  <si>
    <t>2019/10/02 18:13:05</t>
  </si>
  <si>
    <t>投诉人刘女士投诉对象盛钱包,银盛支付涉诉金额496元问题类型诉求类型投诉详情盛pos的业务员到店里来说可以免费办理pos机，我正好有这样的需求，信了他的免费，他帮我注册好，然后说需要首刷298是会退还的，我也就信了他的话刷了298，结果刷完我发现没有退，他才告诉我不是立刻退还，要三个月之后才给退，这我就忍了，他马上又拿出来一个小的，说这个送给我作为补偿，又刷走我198之后直接变成了什么鼓励金，是不会退的，变成了在用他的机器时扣的手续费，在这些操作之前他没有任何说明，完全是拿着我的信任欺诈，很气！后来我让业务</t>
  </si>
  <si>
    <t>2019/10/02 18:12:44</t>
  </si>
  <si>
    <t>开始跟我说播24天，每天4小时，一个月96小时。</t>
  </si>
  <si>
    <t>2019/10/02 18:11:34</t>
  </si>
  <si>
    <t>试了一下车辆发现车辆有异响就准备换车，结束订单。</t>
  </si>
  <si>
    <t>2019/10/02 18:11:26</t>
  </si>
  <si>
    <t>本人被刷流水稳定赚钱为由引诱到一个网站充值入金40万多，后来发现是网络部不正规平台，并非正规的购彩网站，和支付清算协会沟通得知第三方支付业务应审核客户的相关信息，第三方支付业务公司不得向证券，期货，博彩等机构提供支付结算业务，本以为通过云闪付正规线上支付是正规彩票机构，后来才知道是非法赌博平台，充值后不达到流水不可提现，强制要求下注，通过中国人民银行，中国银联，和支付清算协会沟通得知，第三方支付业务应审核客户的相关信息，第三方支付业务公司不得向证券，期货，博彩等机构提供支付结算业务，作为有牌照的支付公司没有</t>
  </si>
  <si>
    <t>2019/10/02 18:11:08</t>
  </si>
  <si>
    <t>信息辱骂我人家，短信群发，爆我通讯录P图发朋友圈，骚扰我家人朋友给他们带来了生活干扰。</t>
  </si>
  <si>
    <t>2019/10/02 18:10:33</t>
  </si>
  <si>
    <t>2019/10/02 18:05:26</t>
  </si>
  <si>
    <t>口味排骨中有彩色塑料，餐厅仅退款处理，未考虑顾客已食用含有异物菜品，顾客身体健康如何保证。</t>
  </si>
  <si>
    <t>2019/10/02 18:05:01</t>
  </si>
  <si>
    <t>本人之前一直在还，这个月出现问题，希望能延期几天还款。</t>
  </si>
  <si>
    <t>2019/10/02 18:04:55</t>
  </si>
  <si>
    <t>投诉人王女士投诉对象欧诗漫涉诉金额0元问题类型诉求类型投诉详情欧诗漫官方活动回馈粉丝，一分钱送面膜，送到半路却快递撤单返回，快递方面让我重新联系商家，商家并不回应我，我不要面膜了，就想看看欧诗漫怎么解释，如果一分钱活动都做不起，为啥还要搞活动。</t>
  </si>
  <si>
    <t>2019/10/02 18:04:07</t>
  </si>
  <si>
    <t>暴力催收，电话各种骚扰，骚扰我家人和朋友，利息太高不想还了，威胁到我的生活和朋友的生活，还不停的打到我办公室，还发一堆验证码。</t>
  </si>
  <si>
    <t>2019/10/02 18:04:05</t>
  </si>
  <si>
    <t>投诉人章女士投诉对象淘宝网涉诉金额340元问题类型诉求类型投诉详情9.30号的婚期，9.24通过淘宝购买了4套伴娘服，26号查看记录发现还未发货，联系卖家，卖家不回复信息，再找到客服处理，客服说联系卖家发货，晚上的时候卖家提交了一个单号，显示揽收，等了一天还是不见物流记录，28号时再联系客服，客服依然是说帮忙联系，再就没有任何消息，再三催促。</t>
  </si>
  <si>
    <t>2019/10/02 18:03:20</t>
  </si>
  <si>
    <t>投诉人陈先生投诉对象分期乐涉诉金额5000元问题类型诉求类型投诉详情购买的一部xr拿到手我就要退款觉得机身有问题客服打电话各种说不让退用了四个月现在手机出问题了别人电话都打不进来信号也差画质也不行跟别人都不一样别总这样欺负人。</t>
  </si>
  <si>
    <t>2019/10/02 18:02:44</t>
  </si>
  <si>
    <t>1、点了该外卖，原预计送达时间17点18分2、17:27商家打来电话，向我索要个人电话号码，说是配送需要，被取消的订单去投诉通道只有等饿了么的人工回复，请问怎么解决，此时已经超时九分钟，然而居然还未开始配送3.在17：35分商家再次打来电话，表明无人配送，要我取消订单，我没同意，但是还没挂电话，立刻看到商家自己取消了订单，4、请问平台如何把控商家随意取消用户订单的风险，5、被取消的订单去投诉通道，只有等饿了么的人工回复，请问怎么解决。</t>
  </si>
  <si>
    <t>2019/10/02 18:02:26</t>
  </si>
  <si>
    <t>恶意欺诈还找借口信用报告，卡里没钱就默认购买了，你家买东西绑卡，卡里没钱人家也给你东西，等你卡里有钱再扣的。</t>
  </si>
  <si>
    <t>2019/10/02 18:01:06</t>
  </si>
  <si>
    <t>不知道为啥八九十月份都扣了我一个靓号递消的费用。</t>
  </si>
  <si>
    <t>2019/10/02 18:00:55</t>
  </si>
  <si>
    <t>投诉人谭先生投诉对象洋钱灌借款涉诉金额5000元问题类型诉求类型投诉详情本人于8月份的时候，应资金转周转在洋钱灌借款平台上借款5000元，分六期还款，每月还950元，第二因国庆放假没发工资，逾期了一天开始，平台不停的打电话催收骚扰，还不停的打我身边亲戚朋友的电话骚扰，这样己经影响到我的生活了，逾期一天的时间就差不多每天三十元一天，这不是高利贷吗。</t>
  </si>
  <si>
    <t>2019/10/02 18:00:43</t>
  </si>
  <si>
    <t>2016年12月捷信现金贷3万，合计42期，每期1593元，已还款32期，合计已还款50976元，根据法律法规学习，年利率远高于36%的国家法定，请做出解释。</t>
  </si>
  <si>
    <t>2019/10/02 18:00:00</t>
  </si>
  <si>
    <t>米点点，高利贷，不停地骚扰，及恐吓，，，，。</t>
  </si>
  <si>
    <t>2019/10/02 17:59:05</t>
  </si>
  <si>
    <t>另外活动权益产生的偶然所得税，却已经由中信银行代扣，只是给出物流顺丰单号，单号为：SFxxxxxxxxxxxxx,经过顺丰物流查询，该单号并没有顺丰上门揽件，也就是没有实质性发货，另外不承认原来的活动规则是9月底收到货，而是9月底发货，投诉没有在活动约定好的时间内履约让我收到权益货物华为p30手机，投诉中信银行信用卡中心为了完成他们更改规则以后的规则即9月底完成发货，利用物流公司的物流单完成虚假发货，即有物流单，但是物流没有上门揽件，也没有完成实际发货，通过虚假发货来欺骗广大的权益人，对违约行为、货物价格下</t>
  </si>
  <si>
    <t>2019/10/02 17:58:01</t>
  </si>
  <si>
    <t>投诉人闭海龙投诉对象豹子贷,上海造艺涉诉金额299元问题类型诉求类型投诉详情上海造艺网络科技有限公司表面上是贷款公司，实则欺诈客户钱财，豹子贷APP，10月1日输入各种验证身份证后申请未通过便卸载了，10月2日12点25分未经过本人扣我299元，美名其曰征信自我评估费用。</t>
  </si>
  <si>
    <t>2019/10/02 17:54:28</t>
  </si>
  <si>
    <t>投诉人张先生投诉对象电滴出行涉诉金额150元问题类型诉求类型投诉详情收费超标，超区停车前后扣了150左右，而平台宣传一天最多扣24。</t>
  </si>
  <si>
    <t>2019/10/02 17:52:34</t>
  </si>
  <si>
    <t>投诉人庞先生投诉对象及贷涉诉金额1200元问题类型诉求类型投诉详情本人在万惠及贷中总共借款金额为10000元整，前期还款记录一直良好，直到还款的最后一期，本人因为失业，家庭发生重大事故导致资金暂时周转不灵，本人在还款前期第一时间联系了万惠及贷的工作人员，并向万惠及贷说明的了经济情况，向万惠及贷申请协商延时还款，当时的工作人员表示认可，说会在APP上备注清楚的，在到了还款日期我没有进行还款，在第三日我的亲朋好友就收到了万惠及贷不同的电话打扰，催收电话打到了我的公司，我的老板那里，并且对我的日常生活造成了极大的</t>
  </si>
  <si>
    <t>2019/10/02 17:52:00</t>
  </si>
  <si>
    <t>投诉人王女士投诉对象北京友缘网络科技股份有限公司涉诉金额168元问题类型诉求类型投诉详情下载了北京友缘网络科技股份有限公司的交易软件，说可以体验0元3天免费会员但要开通免密支付，正值祖国70周年大庆，没想到居然还有如此败坏良心，恶意偷取钱财的公司，我要求有关部门必须严惩，还网络一个清澈的环境，并给我全额退款，如果没有及时解决此事，本人必将由政府渠道法律渠道工商渠道等一切途径，依法投诉到底，势必讨回公道！。</t>
  </si>
  <si>
    <t>2019/10/02 17:51:05</t>
  </si>
  <si>
    <t>投诉人鄂先生投诉对象武汉交警涉诉金额0元问题类型诉求类型投诉详情我是一名运营车司机，在武汉楚善路乘客开后车门把一辆电动车刮倒，电动车上来就讹人，说这里疼那里疼，请问这辆电动车是否是合规合法的电动车，那我想问一问你扣我的车是不是需要判责书，扣车凭证，我的车停在机动车道虚线前下客，没有占他非机动车倒，交警不查电动车是否合法能不能上路行驶，直接判我全责，判我全责也就算了，要扣我的车，说是安全事故，我不能开车了，那我想问一问，你扣我的车是不是需要判责书，扣车凭证，我现在什么凭证都没有拿到，车就被扣到了武昌交通大队。</t>
  </si>
  <si>
    <t>2019/10/02 17:49:22</t>
  </si>
  <si>
    <t>支付宝账号被恶意投诉导致账号支付功能被限制，支付宝要求联系付款方可是付款方根本不与我联系，支付宝要求的凭证我也上传了还是不给解封，联系客服也不能转人工。</t>
  </si>
  <si>
    <t>投诉人高先生投诉对象聚福钱包涉诉金额299元问题类型诉求类型投诉详情私自扣款，乱收费，评估报告没一点用扣款299，。</t>
  </si>
  <si>
    <t>2019/10/02 17:47:41</t>
  </si>
  <si>
    <t>2019.10.02无故被小通商城扣款338.93元，要求解释。</t>
  </si>
  <si>
    <t>2019/10/02 17:47:18</t>
  </si>
  <si>
    <t>投诉人方先生投诉对象小浦优客,通联支付,宏萨，信息科技有限公司涉诉金额296元问题类型诉求类型投诉详情本人在小浦优客app，无任何操作，直接在绑定银行卡扣除296元，性质极其恶劣，没有为本人提供任何服务通联支付为支付通道要求马上把被扣金额退回卡中。</t>
  </si>
  <si>
    <t>2019/10/02 17:46:08</t>
  </si>
  <si>
    <t>投诉了之后客服跟我联系过，但是找不到下载松紧贷app的地方，骚扰继续，还威胁。</t>
  </si>
  <si>
    <t>2019/10/02 17:45:48</t>
  </si>
  <si>
    <t>投诉人梁先生投诉对象猫眼电影涉诉金额180元问题类型诉求类型投诉详情猫眼给他邀请人不给提现了，欺骗用户能走的远吗我想问。</t>
  </si>
  <si>
    <t>2019/10/02 17:44:27</t>
  </si>
  <si>
    <t>投诉人魏先生投诉对象滴滴出行涉诉金额50元问题类型诉求类型投诉详情滴滴司机绕路，态度恶劣，客服不能给我处理，告知客服对初六结果不满意，然后关闭我的投诉。</t>
  </si>
  <si>
    <t>2019/10/02 17:44:25</t>
  </si>
  <si>
    <t>投诉人 孙先生        投诉对象  现金巴士        涉诉金额  2 000 元    问题类型    诉求类型投诉详情  现金巴士 苹果商店下架 微信公众号打不开 导致逾期 逾期费用太高 要求去掉多余费用</t>
  </si>
  <si>
    <t>2019/10/02 17:44:15</t>
  </si>
  <si>
    <t>投诉人林先生投诉对象周周花花涉诉金额2000元问题类型诉求类型投诉详情本人于8月20号在周周花花借款2000元，到账确只有1500元，一个月后要还2039元，砍头息严重，利息539元，年息既高达400%完全属于高利贷，期间由于受不了催收人员的骚扰先支付379，去平台一看379既然是延迟七天的利息，易宝支付给这些违规平台提供代扣服务这样是否合法合规，在国家近期严打各种违法小贷，周周花花还敢违规违放贷，本人保留各种证据，届时各种证据投稿各种报社与纪检监察机关。</t>
  </si>
  <si>
    <t>2019/10/02 17:43:56</t>
  </si>
  <si>
    <t>投诉人梁先生投诉对象壹本万利涉诉金额4000元问题类型诉求类型投诉详情壹本万利是立借平台引流的714高炮，该平台4000借款到账2600利息一期7天1400。</t>
  </si>
  <si>
    <t>2019/10/02 17:43:18</t>
  </si>
  <si>
    <t>豹子贷未经允许扣款，属于违规行为，请立即退款，谢谢，。</t>
  </si>
  <si>
    <t>2019/10/02 17:42:25</t>
  </si>
  <si>
    <t>远远超过48小时发货期限，未收到货申请退款却强行填上已收到货。</t>
  </si>
  <si>
    <t>2019/10/02 17:41:17</t>
  </si>
  <si>
    <t>给家人，通讯路所有人疯狂打电话，言语恐吓，威逼利诱，严重侵犯个人隐私。</t>
  </si>
  <si>
    <t>2019/10/02 17:40:31</t>
  </si>
  <si>
    <t>投诉人夏女士投诉对象交易猫,中国人寿财产保险有限公司涉诉金额121元问题类型诉求类型投诉详情一开始投诉不解决，强行交易问题不决绝，账号没有，钱也不给退，申请理赔也不赔付，查了一下保单，显示不存在，说明交易猫让我们买的保险是假的.。</t>
  </si>
  <si>
    <t>2019/10/02 17:38:55</t>
  </si>
  <si>
    <t>给猫眼拉了很多人，现在提现不给提了，猫眼给个解释。</t>
  </si>
  <si>
    <t>2019/10/02 17:37:26</t>
  </si>
  <si>
    <t>桔米贷在五月份自己扣了我银行卡里198元，分两次扣的，我联系他们，他们说要一个月后再打电话才能退回，结果等了一个月再联系一直联系不上，电话根本打不通了，投诉多次了都没有结果，只希望相关部门重处他们，退回我的钱。</t>
  </si>
  <si>
    <t>2019/10/02 17:37:04</t>
  </si>
  <si>
    <t>投诉人杨先生投诉对象榕易借,汇潮支付,支付宝涉诉金额2810元问题类型诉求类型投诉详情本人于2019年9月17号在榕易贷平台第三次借款借款到账金额1876元6天需还款2810元这是典型的超高高利贷因债务爆发无力支付每次到期就支付延期费，而延期费5天就要840元仅15天已支付3次延期费共计2520元已超过本金数百元现求助于聚投诉望协助销账。</t>
  </si>
  <si>
    <t>2019/10/02 17:36:17</t>
  </si>
  <si>
    <t>威力贷,汇潮支付,北京众安融通网络科技有限公司，一开始申请审核阶段我就联系客服，不要了，让取消，说不能取消，1号晚上11点多钱下来了，我立即留言说不要了，退回去，没人理我，今天联系的客服，客服说取消不了，我不用了这是强迫交易，处理不了我扫黑办实名举报。</t>
  </si>
  <si>
    <t>2019/10/02 17:35:59</t>
  </si>
  <si>
    <t>在天天快递公众号寄快递，多天发现快递未送达，快递出现延误，从广东省中山市寄往广东省广州市的快递，四天了还不送到，严重延误，咨询网点客服，迟迟未解决，微信客服咨询说会回电，但迟迟没有收到电话解决。</t>
  </si>
  <si>
    <t>2019/10/02 17:34:00</t>
  </si>
  <si>
    <t>现在回长春改回来后服务分变成58了也没办法干了。</t>
  </si>
  <si>
    <t>2019/10/02 17:33:41</t>
  </si>
  <si>
    <t>本人于2016年10月1日在名校贷上申请了4000元借款，扣除了咨询费800，到账3200，还了5400，期间有几次系统问题一直还不上，但都于第二天还上，严重怀疑用系统问题来导致逾期拒绝退换咨询费，希望能给我个答复，退还不多的800块，你们已经赚了很多了！。</t>
  </si>
  <si>
    <t>2019/10/02 17:32:58</t>
  </si>
  <si>
    <t>我接到惠丰催收的电话，说是信用管家，让消账，催收人员清楚说出身份证号等，还款后，联系不上。</t>
  </si>
  <si>
    <t>2019/10/02 17:32:13</t>
  </si>
  <si>
    <t>投诉人孙先生投诉对象米多点涉诉金额500元问题类型诉求类型投诉详情因广告勿入米多点借款，借款2000元实则到账1500如此高额砍头息，期间国家打击非法高利贷入口关闭无法找到客服，后续还款时才有人联系处理，但是产生了非常多多余的费用，遂无法接受。</t>
  </si>
  <si>
    <t>2019/10/02 17:31:56</t>
  </si>
  <si>
    <t>在自由魔卡超级马力贷借款2000元扣540元会员费，要求协商！。</t>
  </si>
  <si>
    <t>2019/10/02 17:31:16</t>
  </si>
  <si>
    <t>在闲鱼购买声卡，收到货后经测试，声卡无论连接麦克风与不连接麦克风，都会收到电台广播声音，这种干扰的声音在里面根本无法录到纯净的声音，闲鱼小二要求录视频上传网站然后把视频连接发给闲鱼平台，可是闲鱼小二不给结论一直耗时间最后以买家已收货为理由判卖家胜，视频链接https://v.youku.com/v_show/id_XNDM3Njk5Mjk3Ng==.html?spm=a2h3j.8428770.3416059.1，视频连接https://m.youku.com/video/id_XNDM4MzA3MTgxN</t>
  </si>
  <si>
    <t>2019/10/02 17:30:31</t>
  </si>
  <si>
    <t>投诉招联金融暴力催收之后，经与工作人员沟通协商，仍存在暴力催收，并且催收公然评论，骚扰通讯录好友，群发短信，并通过手机号码添加通讯录好友微信，变本加厉。</t>
  </si>
  <si>
    <t>2019/10/02 17:26:45</t>
  </si>
  <si>
    <t>今天下午莫名其妙接到‭155******06号码电话及短信暴力催收，本人并未在此人所说的简单花平台申请过借款，曾多次恐吓要上门要账，在本人要求提供借款凭据是直接发来链接让自行登陆查看，在拒绝后仍然辱骂威胁，已经严重影响本人生活及工作，现在强烈要求简单花平台作出合理的解释及相应的处罚，并且强烈要求追究该平台的法律责任，否则会直接起诉。</t>
  </si>
  <si>
    <t>2019/10/02 17:25:43</t>
  </si>
  <si>
    <t>首先我逾期是因为我家里出了一点事情，再加上额度被冻结，不能随借随还所以导致逾期，而且逾期的天数到9天，期间招联金融各种手段都用上了，群发各种短信和打爆我的通讯录，你们这样是协商还款吗，是正常催收吗，所有的逾期都是因为有原因又不是恶意去拖欠，用招联已经有几年了，第一次遇到这么恶心的事情，催收的态度法律在他们眼里都不是玩意了，你们招联也是这个态度吗。</t>
  </si>
  <si>
    <t>2019/10/02 17:25:38</t>
  </si>
  <si>
    <t>投诉人吴女士投诉对象小雨点涉诉金额5418元问题类型诉求类型投诉详情2019年2月，在实体店买的一部手机，手机价值3698，我首付500，意思是我在优亿金融分期了3198，当时说的分期12个，现如今本金加利息要我还5418，利息高达2220，超过国家规定36%高达59%，并且优亿金融私自把我分期数改为18期，并且把我的信息转给小雨点，并给我一份我从没见过的电子合同，并用本金加利息5418给我上了正在，现如今我我已还了7期每个月301，合计我已经还了，2107，我从没逾期过，我不知道哪来的2220，我希望优亿</t>
  </si>
  <si>
    <t>2019/10/02 17:25:25</t>
  </si>
  <si>
    <t>小赢申请贷款日期为20181227，申请金额15000！当时没有捆绑保险的提示出来，所以并没有觉得有问题！20190126首期还款为2181.21！其中525为众安保险的保费金额！这是我不知情的情况下出来的！剩下每个月还款为1656.21元！这个利率已经超标了！国家规定的民间借贷合法利率24%！等额本息为多少，我也通过银行贷款的算过，正常应该还多少！我想说的是利率超标，外加保险，在本人不知情的情况下购买！我是通过什么途径知道的呢，今年6月份，我有逾期2年，问他们客服，他们说有保险的！我就去众安保险官网查了，</t>
  </si>
  <si>
    <t>2019/10/02 17:25:20</t>
  </si>
  <si>
    <t>小浦优客在不知情情况下从农行扣走296元，投诉后才短信告知。</t>
  </si>
  <si>
    <t>2019/10/02 17:25:03</t>
  </si>
  <si>
    <t>本人9月2日通过信用管家下载了百优分期，明面上写着2300的金额，但是实际到账只有1610，高额砍头息690元，虽然已经全完成了还款，昨天最后一期身上只有500元与其协商500还款不通过催收人员疯狂骚扰，期间我有致电百优分期客服反馈问题，但是百优分期不作为，我只能通过聚投诉来维护自身权益。</t>
  </si>
  <si>
    <t>投诉人张女士投诉对象高铁管家涉诉金额181元问题类型诉求类型投诉详情本人于9月3号在微信小程序高铁管家购买了一张从茂名火车站至广州南站的高铁票，后因个人原因改签，到茂名火车站前台服务改善后服务站承诺15个工作日内退款回来，但是到现在10月2号已经超过了15个工作日，退款仍未完成，本人多次询问12306中国铁路客服询问对方给出的答复是已经退款成功且退款至本人支付宝，但是我是用微信购买的，后来我又找到了支付宝客服查询，又找不出这笔退款单号，我又找了微信客服，微信客服不仅没有提供人工服务并又让我致电12306客服</t>
  </si>
  <si>
    <t>2019/10/02 17:25:00</t>
  </si>
  <si>
    <t>投诉人 薛慧文        投诉对象  造艺科技        涉诉金额  299 元    问题类型    诉求类型投诉详情  百事普惠扣款 请求退款 谢谢聚投诉。谢谢造艺科技</t>
  </si>
  <si>
    <t>2019/10/02 17:24:50</t>
  </si>
  <si>
    <t>借款2700元，只能分9期，每期还354元,利息严重超标，而且逾期一天逾期费用高达50元，严重投诉高利贷祸害群众。</t>
  </si>
  <si>
    <t>2019/10/02 17:24:30</t>
  </si>
  <si>
    <t>本人被引诱到一个网站充值入金3800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希望有工作人员能够联系，要求第三方支付机构退回被扣款项。</t>
  </si>
  <si>
    <t>2019/10/02 17:24:08</t>
  </si>
  <si>
    <t>本人9月12号考试，9月23号拿到广州市网约车驾驶员资格证，可是平台一直不给我上传人证，比我后7天考试的兄弟都已经在国庆前滴滴平台显示人证验真通过了，这样严重影响了我国庆期间接单效率及收入，国庆前多次催促滴滴人工客服处理迟迟无果，有滴滴专员多次与我联系！但都无法解决问题希望滴滴平台做出合理的解释&amp;nbsp;&amp;nbsp;尽快让我人证验真通过&amp;nbsp;&amp;nbsp;本人接单号码175******85&amp;nbsp;&amp;nbsp;万分感谢！。</t>
  </si>
  <si>
    <t>2019/10/02 17:23:14</t>
  </si>
  <si>
    <t>亚博体育APP借着体育彩金等广告让用户进来体验，引导用户充值，已后台操控模式致使本人流失财产14万，恳请有关部门能帮其尽快解决，本人已申请多方面渠道配合公安刑侦支队提交相关证据，已上传部分照片，还有很多，如有需要可以全部提供。</t>
  </si>
  <si>
    <t>2019/10/02 17:22:39</t>
  </si>
  <si>
    <t>1曾于9.26日申请贷款，填写资料申请过程中放弃，但今天10.2日突然私自放款但我个人账户，并提示扣除砍头款，已经打客户电话要求玖富万卡终止侵权，撤销贷款，对方表示2个工作日内回复，我不满意，请相关部门联系我，终止贷款。</t>
  </si>
  <si>
    <t>2019/10/02 17:21:55</t>
  </si>
  <si>
    <t>本人于2019年9月18日于京东平台在线购买清水牌暖水瓶，于2019年9月22日收到货品，经试用不满意，于2019年9月23日早晨申请“七天无理由退款退货”并备注试用不满意原因，另文字照片说明退回商品完好，原包装及吊卡完好，同商家寄来时相同，退货产品符合“七天无理由退货”，被商家及京东拒绝退款退货，并关闭服务单，依据《中华人民国消费者权益保护法》第二十五条，经营者采用网络，电视，电话，邮购等方式销售商品，消费者有权自收到商品之日起七日内退货，且无需说明理由，并依据国家工商行政管理总局《网络购买商品七日无理由</t>
  </si>
  <si>
    <t>2019/10/02 17:21:13</t>
  </si>
  <si>
    <t>今日下午16时30分通联支付在我不知情的情况下对我招商银行储蓄卡账户莫名扣款50元。</t>
  </si>
  <si>
    <t>2019/10/02 17:20:48</t>
  </si>
  <si>
    <t>因受伤没有还款，就打我联系人，停止骚扰我联系人。</t>
  </si>
  <si>
    <t>2019/10/02 17:20:25</t>
  </si>
  <si>
    <t>蜜瓜钱包今天到期，各种骚扰电话，上班没有接到电话，本金到账1435，5天还款2210，利息700多，高利贷，砍头息、骚扰恐吓，说在不还钱就爆我通讯录，让亲朋好友都知道我欠钱了，要24小时轰炸我的家人，要群发批图发恶心的短信，现在扫黑除恶，这种催收风气严打都没整治了吗。</t>
  </si>
  <si>
    <t>2019/10/02 17:18:47</t>
  </si>
  <si>
    <t>翼支付平台擅自给我购买众安保险的贷款代偿类服务，联系众安保险的客服称：购买保险的时候有页面上有明确的展示出来借款协议投保协议、投保须知、并且说这个协议占取了3分之1，但我并没有看到所谓的投保协议和须知，打开翼支付APP只有还款选项和息费的一些金额展示，打开借还记录也不能看到任何的协议。</t>
  </si>
  <si>
    <t>2019/10/02 17:18:06</t>
  </si>
  <si>
    <t>投诉人龚永投诉对象微信支付,微信涉诉金额11153元问题类型诉求类型投诉详情微信支付账户被永久冻结，目前零钱剩余11153元无法提现，已经严重影响我的日常，诉求归还零钱，尽快解决。</t>
  </si>
  <si>
    <t>2019/10/02 17:17:36</t>
  </si>
  <si>
    <t>投诉人 李女士        投诉对象  联动云租车        涉诉金额  0 元    问题类型    诉求类型投诉详情  第一次注册就提示身份证被占用一直解决不了</t>
  </si>
  <si>
    <t>2019/10/02 17:17:27</t>
  </si>
  <si>
    <t>投诉人钟先生投诉对象中国银联股份公司广东分公司涉诉金额408元问题类型诉求类型投诉详情为什么他们公司可以进行无卡密扣款，而且还是在用户毫不知情无任何消费授权代扣的前提下！！强烈要求应高度重视，我肯定不是第一个受害者！严重侵犯个人隐私！！损害我们消费者的利益！！要求退款道歉！！退款道歉！！。</t>
  </si>
  <si>
    <t>2019/10/02 17:17:06</t>
  </si>
  <si>
    <t>京东到家购买的商品缺货，要求退款，在线客服表示会在两小时内审核48小时内处理，可现在已过去4小时，之前也尝试过这种情况，根本就不会在48小时内处理，时间一到，京东到家平台便会强制取消退款申请。</t>
  </si>
  <si>
    <t>2019/10/02 17:15:57</t>
  </si>
  <si>
    <t>外贸信托，在2019年9月29日凌晨2点57分扣本人银行卡1174元，本人无任何消费和支付，而且也不知道外贸信托是什么公司，也没和外贸信托有过任何来往，请有关部门严查外贸信托，避免更多人财产损失，在黑猫投诉平台已有10几例被恶意扣款的案例！。</t>
  </si>
  <si>
    <t>2019/10/02 17:15:32</t>
  </si>
  <si>
    <t>投诉人 殷女士        投诉对象  淘宝闲鱼        涉诉金额  590 元    问题类型    诉求类型投诉详情  我在闲鱼卖了一个游戏账号 一位买家买了之后使用了一个星期 然后在游戏中开挂 导致游戏账号被永久冻结 然后买家又来闲鱼找我投诉要求我退款 现在闲鱼给了处罚给我 然后还把我的支付宝支付功能给关闭了 导致我的花呗 不能还款 不能还款就会逾期 逾期就会上征信 影响我的征信 请求官方 认真给我处理 闲鱼真的是欺负我们这些卖家。</t>
  </si>
  <si>
    <t>2019/10/02 17:14:29</t>
  </si>
  <si>
    <t>投诉人李先生投诉对象杭州市民卡涉诉金额3000元问题类型诉求类型投诉详情为高利贷，套路贷，砍头贷提供渠道，希望处理。</t>
  </si>
  <si>
    <t>2019/10/02 17:13:45</t>
  </si>
  <si>
    <t>不接受处理就一直打电话，并且我言语警告对方要求不要继续拨打，依然不依不饶继续拨打。</t>
  </si>
  <si>
    <t>2019/10/02 17:13:43</t>
  </si>
  <si>
    <t>投诉人 郑先生        投诉对象  钱置宝        涉诉金额  3 000 元    问题类型    诉求类型投诉详情  钱置宝砍头息 借款2100 还款3000</t>
  </si>
  <si>
    <t>2019/10/02 17:11:20</t>
  </si>
  <si>
    <t>2019/10/02 17:10:19</t>
  </si>
  <si>
    <t>10月1日，TCL再次联系我父亲，邀请他们去参加活动，我跟随我父母一同前往，想一探究竟，到达现场后，先统计个人信息，并承诺会分发一些礼品，我们确实在结束之后得到一些廉价生活物品，有限公司的杨清经济负责主持，其称答谢会主要目的就是为老客户分发礼品，顺便展示几个新产品，后来健康讲座，讲空气污染的严重，点燃三片老式蚊香用亚克力罩住启动一款海尔空气净化器，几秒钟的时间烟雾净化完，说这款机器目前市面上还买不到，两个月后才买得到，为了回馈老客户现场免费送，接着讲水污染的问题并用墨水，白酒，醋，食用盐倒入水中，净化水能直</t>
  </si>
  <si>
    <t>2019/10/02 17:10:14</t>
  </si>
  <si>
    <t>每天被这些高利贷平台骚扰，压得人喘不过气来，借2000元，实际到到账1400元，这么高的利息合法吗?。</t>
  </si>
  <si>
    <t>2019/10/02 17:10:02</t>
  </si>
  <si>
    <t>7月3日，保质期90天，已过期2天，要求退货赔偿1000元，沃尔玛杭州古墩店联系方式0571-89871600，实际金额为2.75元。</t>
  </si>
  <si>
    <t>2019/10/02 17:09:05</t>
  </si>
  <si>
    <t>还没到约定日期又打电话骚扰，骚扰电话恐吓威胁。</t>
  </si>
  <si>
    <t>2019/10/02 17:07:45</t>
  </si>
  <si>
    <t>我是2019年9月三号交的首付，九月12号提的车，提车以后去做保养，发现车况不符合，让销售去修复，中间都是我主动联系他们，拖了七天左右才拿去修，修好以后我就提回来了，他们马上让我交3006的全险，我去平安保险公司问了下，车上有全险没法重保，买不了保险，平安保险公司说车上的保险退了我才可以买，要么让卖车的过户给我就行，我后来联系客服，他们说让联系销售，销售不接电话，也没给个说法，客服说我不买他们的保险就是违约，关键是我买不了，也联系不上销售，觉得优信好坑，太坑了，交了首付12690.交了钱以后销售态度就很垃圾</t>
  </si>
  <si>
    <t>2019/10/02 17:07:21</t>
  </si>
  <si>
    <t>投诉人陈先生投诉对象花转转涉诉金额4088元问题类型诉求类型投诉详情广东瑞利信息咨询有限公司官方电话4008889096旗下花转转放高利贷，现在改名叫好又贷借款，本人已经归还3期，，客服电话4008336200客服电话打进去说不给处理玩踢皮球，本人借款2800周期一个月分四期还款，每期还款1022.4元利息高达1300已经超过国家法定息费，，现本人要求偿还本金给予消账，不接受私人转账，要么对公处理希望有关部门能够有力打击这些非法平台，这些平台总是可以过段时间换个马甲又来祸害，希望能够从根源清除毒瘤如果贵公司</t>
  </si>
  <si>
    <t>2019/10/02 17:06:53</t>
  </si>
  <si>
    <t>吹头息，高利贷平台---“可乐贷”最近全国9月1日展开的“净网”行动，包含打击高利贷问题，本人慎重考虑了，自己遇到了也是吹头息，高利贷平台，我要拿起法律权利保障我自己的权益，贷款3000元，当时这个平台APP只显示了借款金额与期数，并没有显示所有还款计划，确认借款之前都没有看到借款合同条款之类的，直至当天下午16点40分直接把贷款打到我工商银行，但实际到帐才是2100元，直接吹头息，上午11点左右我只能还他们周利息也还了900元，900元吹头息+还900元周利息+结清900元本周=1800元的高利息，高利贷</t>
  </si>
  <si>
    <t>2019/10/02 17:06:33</t>
  </si>
  <si>
    <t>胡乱任由他人打标我淘宝号，使我淘宝号降权，经过我同意没有，连申诉的权利都没有，淘宝号就是我的私人淘宝号，有本事提供证据，严肃投诉创客工具箱，，怎么会有这样的软件！。</t>
  </si>
  <si>
    <t>2019/10/02 17:06:09</t>
  </si>
  <si>
    <t>在“智行火车票”订了往返两张山东航空公司的机票，共3017元，付完款了，申请退票，客服说机票钱一分不能退，只能退往返的机建费共160元，我给山东航空公司客服打电话，客服按照乘客的身份证号码查询到了这两张机票，说两张机票都符合退票规定，并且介绍了两张机票适用的退票收费标准，我一算，应该退两千多元钱呢，“智行火车票”太黑了。</t>
  </si>
  <si>
    <t>2019/10/02 17:05:28</t>
  </si>
  <si>
    <t>拍拍贷借了6180元一共12期每期还696.5还了10期还够本金了现在不还了每天往我们村委会打电话，还给我发短信要给我p图威胁恐吓说发给我通讯录。</t>
  </si>
  <si>
    <t>2019/10/02 17:05:23</t>
  </si>
  <si>
    <t>无能力一次性还清所有欠款，天天给银行打电话协商还款，银行只说给登记，之后有人联系，一直都没人联系我，反倒是我天天给银行打电话，想转接值班经理或转接协商部门也不给转接，我现在想协商都不知道找谁，我可以提供无能力一次性偿还证明，银行也不同意，还一直发外包催收函还要上门，。</t>
  </si>
  <si>
    <t>2019/10/02 17:05:19</t>
  </si>
  <si>
    <t>本来开开心心过国庆！三天前就把款存进去了，就为避免逾期，结果今天客服打电话说我扣款失败已经逾期，我就奇怪了然后查了一下，发现是平安问题，而且它App和我收到短信还款金额完全不符合，我把证据上传到聚投诉，请给出合理解。</t>
  </si>
  <si>
    <t>2019/10/02 17:04:29</t>
  </si>
  <si>
    <t>收到十万彩礼钱之后联系不到人了，包括她的家人都联系不到，我在她店里等了两天都不敢露面了，微信给我删了，电话拉黑，连媒人的电话都不接了。</t>
  </si>
  <si>
    <t>2019/10/02 17:03:50</t>
  </si>
  <si>
    <t>及贷我2018年借款分12期还款，首期还款1759..34.后面11期每期还款1447.34元，而民间借贷的合法利息为年化24%……如果按等额本息计算，我每期应还为1229.27，总额为14751.3..而利息应当是1751.3！而现在我的年利率为57.18%！及贷头期还款还是1759.34增加了别的费用不说，利率不合法，超标！我要求提前结清，最后一期不还！。</t>
  </si>
  <si>
    <t>2019/10/02 17:03:48</t>
  </si>
  <si>
    <t>10.1祖国70周年华诞.周周花花顶风作案。</t>
  </si>
  <si>
    <t>2019/10/02 17:02:02</t>
  </si>
  <si>
    <t>因欠微粒贷，因本人资金周转不开，第三方催收威胁上门催收！。</t>
  </si>
  <si>
    <t>2019/10/02 17:01:52</t>
  </si>
  <si>
    <t>造艺科技旗下app百事恶意扣款，投诉了，打我电话没接到，麻烦再次拨打，谢谢。</t>
  </si>
  <si>
    <t>2019/10/02 17:01:10</t>
  </si>
  <si>
    <t>自由魔卡存在砍头息，变相高利贷行为，借贷2000，要先花540购买没有任何用途的所谓会员卡，才会下款，现在本人要求减免会员费用540元，修改成本金和合法利息。</t>
  </si>
  <si>
    <t>2019/10/02 17:01:02</t>
  </si>
  <si>
    <t>投诉人杨先生投诉对象YOHOBUY有货涉诉金额1837元问题类型诉求类型投诉详情拒不监测、发货超出约定时间2天并一直推迟。</t>
  </si>
  <si>
    <t>2019/10/02 17:00:55</t>
  </si>
  <si>
    <t>投诉人李女士投诉对象威力贷涉诉金额1400元问题类型诉求类型投诉详情在威力贷平台借2000元，实际到账1400元，这种高利贷高得离谱，请问我符合国家规定的范围内呢?。</t>
  </si>
  <si>
    <t>2019/10/02 17:00:43</t>
  </si>
  <si>
    <t>续期一次，六天费用九百元，借三千实际到账2100元，以续期一次，要求退回续期金额。</t>
  </si>
  <si>
    <t>2019/10/02 17:00:42</t>
  </si>
  <si>
    <t>中腾信三十六期，已还十八期，十月二号到还款曰，早上开始就电话恐吓威胁，说二十分钟不还就曝通迅录，我还没逾期就电话恐吓威胁。</t>
  </si>
  <si>
    <t>2019/10/02 16:56:21</t>
  </si>
  <si>
    <t>我在居家易贷里借款2500，实际到账1750，只有7天时间，实在拿不出来这么，跟客服协商后，说好了2000，支付宝转给了财务，结果客服反悔说，财务不同意销账，请求处理。</t>
  </si>
  <si>
    <t>2019/10/02 16:56:17</t>
  </si>
  <si>
    <t>投诉人 刘女士        投诉对象  马上消费金融        涉诉金额  0 元    问题类型    诉求类型投诉详情  有马上金融人员致电第三方亲属电话。态度不好，老人心脏不好。不想在接电话，否则银监会，21cn 媒体投诉。</t>
  </si>
  <si>
    <t>2019/10/02 16:56:12</t>
  </si>
  <si>
    <t>投诉人何先生投诉对象捷信金融涉诉金额30000元问题类型诉求类型投诉详情有购买他们推出的灵活还款服务包，但是不予更改还款日期，并且要求延期还款未到日期，爆通讯录还上门骚扰家人，一天最少打几十个电话给本人和家人，对日常生活构成严重干扰！。</t>
  </si>
  <si>
    <t>2019/10/02 16:56:02</t>
  </si>
  <si>
    <t>投诉人龙先生投诉对象钱站涉诉金额1000元问题类型诉求类型投诉详情9月30日申请的一笔借款，钱站宣传是解决短期快速周转，我自己也已经解决问题，不需要这1000了，之后我联系钱站客服和投诉热线，基本打了几次都没有人接，按照中华人民共和国合同法，我有权在合同未有下款前终止合同，因为此合同还未生效，如果钱站不撤销合同，我有权保留法律追究其责任，且在申请初期钱站没有说明有服务管理费的问题，存在虚假宣传隐瞒客户嫌疑。</t>
  </si>
  <si>
    <t>2019/10/02 16:55:59</t>
  </si>
  <si>
    <t>被无缘无故扣款，都不知道什么平台，网上也查不出来，网上查被无缘无故扣款的人特别多。</t>
  </si>
  <si>
    <t>2019/10/02 16:54:38</t>
  </si>
  <si>
    <t>投诉人吕先生投诉对象重庆乐鸿酒店专营店涉诉金额93元问题类型诉求类型投诉详情10月1日在支付宝飞猪酒店预订了房间，到达酒店酒店无法接收飞猪订单，所以选择退款，卖家拒绝退款！。</t>
  </si>
  <si>
    <t>2019/10/02 16:53:12</t>
  </si>
  <si>
    <t>投诉人徐女士投诉对象水莲金条,融360,笑脸金融涉诉金额15000元问题类型诉求类型投诉详情本人于2019年2月27日通过融360申请水莲金条贷款，贷得水莲金条15000元，分12期，砍头3000实际到账12000元，需要还17106元利息太高，目前还剩余5期，现要求协商还本金和法定利息。</t>
  </si>
  <si>
    <t>2019/10/02 16:51:27</t>
  </si>
  <si>
    <t>投诉人院先生投诉对象指上旅行涉诉金额3000元问题类型诉求类型投诉详情高利贷高额砍头息，暴利催收&amp;nbsp;3000元收&amp;nbsp;990元服务费。</t>
  </si>
  <si>
    <t>2019/10/02 16:50:44</t>
  </si>
  <si>
    <t>信用卡欠款三万元是因为朋友出车祸之后钱借了出去，至今未收到朋友的任何消息，欠款是我不对，也在努力和银行协商分期付款，因为银行拒绝分期现无能力一次还清，工作也是因为银行的电话暴力催收导致丢失，现换了新工作，希望银行不要十几二十几通电话不断的骚扰，电话会接也会积极协商，请聚投诉平台帮忙协商一下，让信用卡催收中心停止对我以及家人同事的骚扰，催收中心的电话骚扰已经严重影响到我家人与朋友的日常生活与工作，我并未失联，也没有逃避欠款问题。</t>
  </si>
  <si>
    <t>2019/10/02 16:50:30</t>
  </si>
  <si>
    <t>在2019年10月一日购买了游戏账号，结果十月二号还不发货，想要退款也无法退款。</t>
  </si>
  <si>
    <t>2019/10/02 16:50:10</t>
  </si>
  <si>
    <t>高利贷，年利率远远超过36%，恶意骚扰通讯录联系人，频繁联系骚扰联系人，严重影响其生活。</t>
  </si>
  <si>
    <t>2019/10/02 16:50:01</t>
  </si>
  <si>
    <t>9月27日，在唯品会APP自营店，购买，选购时，照片显示，做工整齐，细致，无爆线，无瑕疵，，快递到货后，开箱检查，有明显瑕疵，爆线，多处未缝合，经营者存在虚假宣传误导消费者！。</t>
  </si>
  <si>
    <t>2019/10/02 16:48:20</t>
  </si>
  <si>
    <t>本人在交易猫卖号时，在未通知我并且未经我同意的情况下，默认购买了199.9元的保险，并且不予以退还，国家规定寿险都可以有反悔期，更何况我是被你们默认购买的，虽然是个人投诉，但有这种情况的人很多，默认捆绑保险且未经本人同意过二次确认的，本身就不合理，并严重损害了我的权益与利益，希望予以解决请予以退还保险费。</t>
  </si>
  <si>
    <t>2019/10/02 16:48:07</t>
  </si>
  <si>
    <t>投诉人 许先生        投诉对象  快捷通支付        涉诉金额  198 元    问题类型    诉求类型投诉详情  无缘无故扣我款，是扣什么的请解释。而且还能直接在我银行扣？</t>
  </si>
  <si>
    <t>2019/10/02 16:47:44</t>
  </si>
  <si>
    <t>投诉人王先生投诉对象顺丰速运涉诉金额150元问题类型诉求类型投诉详情26号寄的东西，顺丰送到手里已经是2号的十一点左右了，跟他们协商，他们却给我说放假结束后才能有结果，那我想问问耽误的时间，耽误我的事就这样算了，给人家答应的事，让我失信于人，我的损失谁赔，就这样一句不清不楚的结果打发了，而且东西我也是拒收了，客服态度恶劣，。</t>
  </si>
  <si>
    <t>2019/10/02 16:47:35</t>
  </si>
  <si>
    <t>投诉人蒋先生投诉对象玖富万卡涉诉金额6300元问题类型诉求类型投诉详情借了6300，还了7166.36还要还8159.18，怎么办。</t>
  </si>
  <si>
    <t>2019/10/02 16:47:24</t>
  </si>
  <si>
    <t>微信商业版说我涉嫌违规交易，冻结了我的余额，我是做广告设计策划的，联系了客服，也提供了交易收据，但是微信还是维持原判，我现在只想把我的钱拿出来，我现在都不敢用微信商业版收款了。</t>
  </si>
  <si>
    <t>2019/10/02 16:46:56</t>
  </si>
  <si>
    <t>中信银行信用卡暴力催收，到本人母亲家中骚扰，未经本人同意情况下私自录音录像，在本人第一次投诉后，该催收打电话对本人进行辱骂，并扬言称这是银行授权的正常工作流程，请中信银行处理此催收，并给出说法，否则本人将追究到底，并将监控视频在各大平台媒体发布，曝光此催收，鱼死网破。</t>
  </si>
  <si>
    <t>2019/10/02 16:46:42</t>
  </si>
  <si>
    <t>年初在融360申请的水莲金条贷款，2日是还款日，去融360app操作还款，均显示还款失败，现诉求尽快解决还款失败问题，如出现催收，逾期等问题，全是放款方责任。</t>
  </si>
  <si>
    <t>2019/10/02 16:46:13</t>
  </si>
  <si>
    <t>投诉人 徐先生        投诉对象  宜人万花        涉诉金额  43 000 元    问题类型    诉求类型投诉详情  平台改个人信息 不放款 到要求还款 要求取消还款 道歉</t>
  </si>
  <si>
    <t>2019/10/02 16:45:55</t>
  </si>
  <si>
    <t>投诉人范女士投诉对象中原消费金融涉诉金额2500元问题类型诉求类型投诉详情打电话骂人，威胁我，挑衅我，恐吓我，说要给我父母打电话，还和我说要走法律程序，请尽快联系我，我有意在协商，我有还款意愿，我有收入了才能还款，请他们领导尽快联系我，已经威胁我，恐吓我说要去联系我的父母。</t>
  </si>
  <si>
    <t>2019/10/02 16:45:54</t>
  </si>
  <si>
    <t>昨天国庆节第一天，我跟朋友一起在外面，当时因为个别因素，我出门未带手机，回来后朋友告诉我接到一个上海的手机打的电话，说是替交通银行催款的，语气特别冲，质问我朋友为什么要替我接电话，说我涉嫌信用卡诈骗，说我朋友帮我躲避信用卡还款也是犯法，还问我朋友我是不是死了不能接电话了，还说要来上门催收，我朋友说他语言攻击我，可以告他，他很牛的，直接说让去派出所告，相当的厉害，我的信用卡用了两年，都没通知我直接就降额了，我一下子也还不上那么多，我申请分期，每次电话打到客服都收不到回复，他们催收打电话我也好话跟他们说我现在工</t>
  </si>
  <si>
    <t>2019/10/02 16:45:34</t>
  </si>
  <si>
    <t>投诉人 江先生        投诉对象  及贷,易安保险        涉诉金额  623 元    问题类型    诉求类型投诉详情  强制性购买保险，并非本人自愿签字购买。要求退回保险费用。</t>
  </si>
  <si>
    <t>2019/10/02 16:45:07</t>
  </si>
  <si>
    <t>猴犀利高利贷，没有放款资格的平台，违规放贷，放款3300，到手仅2400块钱，分两期还，一期15天，已经还了一期的情况下，与其协商还本金和合法利息，该平台客服仍然不同意，现在通讯录也被他们爆了，群发了短信给我所有的人，并且还发短信给了我老家的村委，让我家人在老家抬不起头，希望聚投诉平台好好整治这种违规放贷的平台。</t>
  </si>
  <si>
    <t>2019/10/02 16:44:46</t>
  </si>
  <si>
    <t>投诉人徐女士投诉对象水莲金条,融360,智莲科技,笑脸金融涉诉金额15000元问题类型诉求类型投诉详情本人于2019年2月27日通过融360申请水莲金条贷款，贷得水莲金条15000元，分12期，砍头3000实际到账12000元，需要还17106元利息太高，现要求协商还本金和法定利息。</t>
  </si>
  <si>
    <t>2019/10/02 16:44:22</t>
  </si>
  <si>
    <t>投诉人 宋亚超        投诉对象  闪电公积金        涉诉金额  15 000 元    问题类型    诉求类型投诉详情  停止骚扰 协商还款请 闪电公积金尽快解决</t>
  </si>
  <si>
    <t>2019/10/02 16:43:48</t>
  </si>
  <si>
    <t>我租了他家的共享电动自行车，交了299的押金，后来不用了想退押金，让我在微信公众号里填表，我前后几个月提交了好几次，可是都没有消息，现在大半年过去了，还是没有处理。</t>
  </si>
  <si>
    <t>2019/10/02 16:43:24</t>
  </si>
  <si>
    <t>投诉人颜女士投诉对象小花钱包涉诉金额5999元问题类型诉求类型投诉详情典型黑恶势力，私自窃取通讯录隐私，利用电话短信及微信骚扰本人及亲朋好友，冒充本人好友辱骂亲人，言语恶劣，人身攻击，侵犯人权，对本人及亲朋好友生活及工作造成极其恶劣影响！！！。</t>
  </si>
  <si>
    <t>2019/10/02 16:43:02</t>
  </si>
  <si>
    <t>买家以衣服质量原因退货，收到货物我发现衣服严重受损，申请小二介入，在提供了各种证据后，小二不作为直接给买家退款了，证据很直接的证明发货前的衣服是完好无损的，收到买家退回来的衣服衣领严重受损，小二无视证据，直接给买家退款，衣服受损严重完全无法二次销售，我要求赔偿，要求赔款！！也有快递公司给我开的证明，当晚是在快递员的见证下打开的包裹，但是淘宝说我没有提供证据为由直接给买家打款了，试问这样，以后还如何刚在闲鱼卖东西！。</t>
  </si>
  <si>
    <t>2019/10/02 16:41:31</t>
  </si>
  <si>
    <t>投诉人 廖先生        投诉对象  贷上钱        涉诉金额  2 000 元    问题类型    诉求类型投诉详情  暴力搔扰，高利贷，电话恐吓，多方掻扰。希望有关部门部门介入，打击网络套路贷</t>
  </si>
  <si>
    <t>2019/10/02 16:40:54</t>
  </si>
  <si>
    <t>2019/10/02 16:39:03</t>
  </si>
  <si>
    <t>本人在厦门，机场工作服的服务人员过来和我说办理民航联盟会员卡一事，她避重就轻和我说了办理会员卡的好处，说该卡是由中国民航局与全国所有航司合作推里面的钱可以用来抵扣购买机票，付款后才告诉我按比例抵扣机票金额，以及使用国内大部分的机场休息室，尤其是购票会比一些app第三方软件便宜，并说会在第二天激活会员，激活会员后发现该卡用途并没有推销人员所说那么实用，甚至南辕北辙，该app上的机票比大部分*还要贵上不少、并且没有折扣，而且卡里金额每次只是抵扣二三十元，并没有宣传时按比例抵扣，贵宾厅也仅能在一年内使用，这些信息</t>
  </si>
  <si>
    <t>2019/10/02 16:39:00</t>
  </si>
  <si>
    <t>投诉人严先生投诉对象中国银联云闪付涉诉金额20000元问题类型诉求类型投诉详情事件描述：2019年10月1日23:23和23:25两个时间分别通过云闪付APP用农行卡借记卡各还款1万元到交通银行的信用卡，系统提示交易失败但农行卡的款却被扣走了，本以为系统会自动冲正返还，到了10月2日15点还不见系统返还，联系了中国银联在线客服咨询，经银联客服查询反馈这2笔交易失败，银联会通过系统通知农行返回资金，时间需要7个工作日，由于7个工作日实在太久我就问银联客服有没其他更快的办法，银联客服说交易失败资金是滞留在发卡行</t>
  </si>
  <si>
    <t>2019/10/02 16:38:06</t>
  </si>
  <si>
    <t>本人并没有借双鱼钱包，今天下午突然收到转款1755，然后收到短信说双鱼钱包下款，我是果机，我连app都没有！真的很吓人，我是孕妇经不起吓！！！！请尽快联系我处理！！！！！谢谢。</t>
  </si>
  <si>
    <t>2019/10/02 16:37:06</t>
  </si>
  <si>
    <t>我于2018年2月3日在广西邮政网上商城购买了一台格力-大松方型电饭锅，，正常使用1年多，现在发现电饭锅内胆的涂层起泡脱落了，用洗碗巾轻轻擦洗也会碰到卷起的涂层，购买此电饭锅本来就是冲着格力的品牌而买，但如此质量问题让我太失望了，而且现在我最担心的是，脱落的涂层随着食物吃进肚子里会不会对身体有害。</t>
  </si>
  <si>
    <t>2019/10/02 16:36:37</t>
  </si>
  <si>
    <t>分12期，每期还款1026.64，至今已还7期，现在想提前结清销账，进app查看，还需要还5133.24，说好等额本息，那我7个月每个月还款1026.64元，本金才还4400元，本人愿意承担合理合法的利息，还有之后5期的本金。</t>
  </si>
  <si>
    <t>2019/10/02 16:36:34</t>
  </si>
  <si>
    <t>微品分期砍头息，2300元扣取300元得利息，在合同中没有体现出来，到期了威胁本人和家人，停止对本人及家人骚扰。</t>
  </si>
  <si>
    <t>2019/10/02 16:36:11</t>
  </si>
  <si>
    <t>投诉人陈先生投诉对象造艺科技涉诉金额299元问题类型诉求类型投诉详情造艺科技百事普惠恶意扣款299元，投诉请求退款谢谢。</t>
  </si>
  <si>
    <t>2019/10/02 16:35:35</t>
  </si>
  <si>
    <t>在信用管家的存钱柜贷款2625元，分四期还，每期还款869元，等放款后才知道所谓的四期还款原来是七天为一期，七天利息就是接近240元，完全就是高利贷，本人已经还了三期，还剩最后一期，前三期的还款金额已经远远超过了本金金额，所以剩的最后一次希望和存钱柜的工作人员协商合理的还款本金，但是没有任何地方查到存钱柜的客户电话，本人借好多本金愿意归还，也愿意给合理的利息，不合理的高利贷不能接受，图三有张截图是之前所谓的工作人员发来短信的手机号，但是我联系他没给我回复。</t>
  </si>
  <si>
    <t>2019/10/02 16:35:19</t>
  </si>
  <si>
    <t>钱站利息太高，与宣传不符，今天才发现到账，不想要了。</t>
  </si>
  <si>
    <t>2019/10/02 16:35:10</t>
  </si>
  <si>
    <t>投诉人王先生投诉对象玖富,中国人民保险集团,潍坊银行涉诉金额6200元问题类型诉求类型投诉详情潍坊银行联合玖富万卡进行套路贷，高利贷，收到潍坊银行放款4800元，合同写着利息229.2，实际12个月却要还给玖富万卡6527.99，银行联合玖富放高利贷，套路贷，黑心银行，无视国家法律，不知情的情况下被购买了中国人保，中国人保拒不退还保险费用，无视相关保险法律，请给消费者一个公道。</t>
  </si>
  <si>
    <t>2019/10/02 16:34:49</t>
  </si>
  <si>
    <t>投诉人徐先生投诉对象美团点评涉诉金额1060元问题类型诉求类型投诉详情定位不准，我在国内旅游景点门口搜索，却给我只显示国外的，没有显示国内的，导致我买错了票，事后找客服老是敷衍我，不正面给我解决问题，只拿不会出现这种情况，或者让我出事照片或者视频，当我出示这些证据后，也不承认是她们的问题，借口就是商家不给退为由拒绝我，还有一次打电话居然说找不到该订单，后面我说我之前打过电话，我说完才说搜到了，这之间一分钟都不到，让我怀疑他们逃避，而且我多次沟通他们回复都是不能退，不能办理这些话来搪塞我，还推卸责任，每次回答</t>
  </si>
  <si>
    <t>2019/10/02 16:34:42</t>
  </si>
  <si>
    <t>原于2019年9月30号还款日，但是国庆本人公司没有发工资，导致账单逾期2日，还款日当天到逾期第2天都收到钱站的第三方催收发的威胁恐吓短信给本人在生活工作上造成严重的困扰，还威胁我要打我联系人爆通讯录，而且逾期一天就是100元的逾期费，本人觉得钱站完全是变相收取高额的逾期费，或者协商减免逾期费，也请贵平台给我主持公道。</t>
  </si>
  <si>
    <t>2019/10/02 16:33:03</t>
  </si>
  <si>
    <t>投诉人 覃先生        投诉对象  活力花        涉诉金额  1 257 元    问题类型    诉求类型投诉详情  恶意催收 读取通讯录侵犯用户隐私 给用户生活造成极大困扰和损失 逾期费用过高 达到12元一天</t>
  </si>
  <si>
    <t>2019/10/02 16:31:37</t>
  </si>
  <si>
    <t>在该平台添加了几个微信号，想做兼职，加好友后竞然是赌博网站，。</t>
  </si>
  <si>
    <t>2019/10/02 16:31:20</t>
  </si>
  <si>
    <t>拍拍贷没有经过本人同意直接打电话给家里人，并且骚扰家里人，爆通讯录，对本人生活带来很大的影响，要求有关部门严查拍拍贷。</t>
  </si>
  <si>
    <t>2019/10/02 16:30:59</t>
  </si>
  <si>
    <t>投诉人李先生投诉对象造艺科技涉诉金额299元问题类型诉求类型投诉详情在我不知道的情况下，造艺公司旗下的百事普惠App，盗刷我银行卡299元，由于银行卡余额不足只扣了100，剩下的199客服说有钱了也会扣，客服说话态度恶劣。</t>
  </si>
  <si>
    <t>2019/10/02 16:30:07</t>
  </si>
  <si>
    <t>投诉人蔡先生投诉对象新意花涉诉金额3000元问题类型诉求类型投诉详情高额利息，分一个月，到账2100还款4000。</t>
  </si>
  <si>
    <t>2019/10/02 16:29:48</t>
  </si>
  <si>
    <t>本人在上个月9月份在家了解网上兼职赚钱，然而诱导我去一个平台充值，陆续用银生宝收单机构给他们网站提供的通道充值了人民币5500元，后来发现该平台的是违法博彩平台属于违反国家法律的购彩平台，第三方支付业务公司不得向证券，期货，博彩等机构提供支付结算业务，作为有牌照的支付公司没有履行国家结算通道的义务，即产生了非法洗钱的嫌疑，金融机构客户身份识别和客户身份资料及交易记录保存管理办法，国发2011年38好文，和银发办的35号文，文件都明确提出国内任何交易公司都不能给T+0，做市商交易平台支付通道，第19条规定，支</t>
  </si>
  <si>
    <t>2019/10/02 16:29:13</t>
  </si>
  <si>
    <t>闪银哼哼借款1500元，借款期限27天，要还350元的利息，望调整利息，太高了，变相的收取各种费用，望合理调整。</t>
  </si>
  <si>
    <t>2019/10/02 16:28:37</t>
  </si>
  <si>
    <t>投诉人周女士投诉对象智行,阳朔酒店涉诉金额185元问题类型诉求类型投诉详情本人于9月初预定了阳朔县喜窝民宿客栈10-4晚上单间，由于国庆期间行程有变，无法前往住宿，已跟智行客服沟通，也答应会去跟客栈人员沟通，但是反馈是不允许退房退款，本人亲自与客栈人员打电话，说可以退款，让智行客服去处理，而且并没有收到智行客服电话，本人把客栈的意思转达给智行客服，智行客服说再一次通话客栈人员，但是对方不允许退款，今天是10-2，距离10-4还有2个晚上，为什么不能退房退款。</t>
  </si>
  <si>
    <t>2019/10/02 16:28:34</t>
  </si>
  <si>
    <t>高额利息，一直骚扰我，电话一直打个不停，还威胁骚扰我亲友，影响我正常工作。</t>
  </si>
  <si>
    <t>2019/10/02 16:26:56</t>
  </si>
  <si>
    <t>缴费299元，说能贷款，14天内会推荐贷款利率给你，但是14天过后什么都没，费用也不提出来！打电话客服说退不了款。</t>
  </si>
  <si>
    <t>2019/10/02 16:26:14</t>
  </si>
  <si>
    <t>投诉人刘先生投诉对象松紧带涉诉金额10000元问题类型诉求类型投诉详情黑龙江黑山市和山东潍坊市的号码找什么孙江还钱，老子知道孙江市那颗葱那颗蒜，打电话还骂我，你妈才花了人家钱，你全家都花了人家钱，不赔礼道歉继续投诉，银监会，巡查组，金融办，工商所全都来一遍好吧不要跟老子说我没贷款什么的屁话，电话说找孙江，你们自己找是哪个人。</t>
  </si>
  <si>
    <t>2019/10/02 16:25:35</t>
  </si>
  <si>
    <t>本人在立借app中的钱置宝借款2100元，周期一个月，一个月内分为四期归还，在第三期归还时归还数额已经打到2295，利息非法过高，已经归还了本金2100加上195元的利息，于是和立借里钱置宝的客服协商还款，还完第三期就此销账，后续无人联系我，发现账单还在，接到提示还款的电话态度恶劣，而我再打立借的客服电话踢皮球表示解决不了问题，也无法安排钱置宝的客服人员联系我，现在希望能让他们的客服人员出来销账或者协商。</t>
  </si>
  <si>
    <t>2019/10/02 16:25:18</t>
  </si>
  <si>
    <t>投诉人徐先生投诉对象新生支付,北京逸秋太商贸有限公司涉诉金额3878元问题类型诉求类型投诉详情新生支付HANpay为伪装成股票收益的境外非法赌博网站提供支付渠道，并且北京逸秋太商贸有限公司为该赌博平台在新生支付的商家，新生支付在违反中华人民共和国相关法律法规的同时，对本人造成了直接经济损失，希望新生支付能严查商家资质，退回我的血汗钱！。</t>
  </si>
  <si>
    <t>2019/10/02 16:25:06</t>
  </si>
  <si>
    <t>此贷款于2017年9月28日贷下来的，每期应还644.56分24期还完，当时没想。</t>
  </si>
  <si>
    <t>2019/10/02 16:24:14</t>
  </si>
  <si>
    <t>投诉人孙先生投诉对象活力花涉诉金额600元问题类型诉求类型投诉详情活力花我现在逾期了，我给他们说了十号还，十月一号到现在这两天一直骚扰我，而且还有催收恐吓我，让我等着，还给我家人打电话让我听着，一直骚扰个不停。</t>
  </si>
  <si>
    <t>2019/10/02 16:24:10</t>
  </si>
  <si>
    <t>网络黑贷，借款审核的时候直接从我绑定的银行卡卡里扣钱，我申请的时候并不知道有这项额外扣款，扣款后再打开APP就根本没有审核栏了，客服也找不到，点击借款就说失败。</t>
  </si>
  <si>
    <t>2019/10/02 16:23:54</t>
  </si>
  <si>
    <t>我是9月29号报考的健康管理师，报名时没有合同没有协议，也没提供照片身份证之类的，我就感觉有点担心，钱交过之后他们没有在她们规定的时间内给我报考，就说明我还有退款的权利，前天说第二天上班给我申请，一直到现在这个咨询师都没给我回复。</t>
  </si>
  <si>
    <t>2019/10/02 16:22:33</t>
  </si>
  <si>
    <t>本人从2019年9月15号就开始找马上金融去调取本人合同，另外，在跟客服人员打电话的过程中得知贷款里面是有寿险计划的，那么请问马上金融你们给客户购买寿险的时候是否有告知客户，那么现在我严重怀疑马上金融平台捆绑销售寿险，网贷公司是不可以在客户不知晓的情况下对客户强加寿险，以下是我最近几天跟马上金融平台打电话的记录。</t>
  </si>
  <si>
    <t>2019/10/02 16:22:17</t>
  </si>
  <si>
    <t>今天在豹子贷申请借款，填写完资料，绑定银行卡，授权完后就马上扣了我150快钱的什么报告费用，后来评分不足，又借不到钱，希望给一个合理得解释和退款。</t>
  </si>
  <si>
    <t>2019/10/02 16:21:26</t>
  </si>
  <si>
    <t>申请借款，申请借款无名额，他给我推荐跳转至轻借钱包，要我交99元就能在轻借钱包借到钱，没借到赔付129，我发现自己被套路要求退费，该公司要我申请至少5个网贷被拒才能退款99，推荐的网贷又都是高炮714类型的高利贷砍头息的贷款公司，为了保护自己的征信和不掉进高利贷.砍头息的陷阱，因此未申请。</t>
  </si>
  <si>
    <t>2019/10/02 16:21:16</t>
  </si>
  <si>
    <t>还款当天平台闪退还不了款，现在多加逾期不合理。</t>
  </si>
  <si>
    <t>2019/10/02 16:21:08</t>
  </si>
  <si>
    <t>投诉人严女士投诉对象灵活借涉诉金额3600元问题类型诉求类型投诉详情灵活借高炮，协商还款态度恶劣，语言夹带威胁，借款3600，实际到账2100，6天收利息1400。</t>
  </si>
  <si>
    <t>2019/10/02 16:20:59</t>
  </si>
  <si>
    <t>投诉人白女士投诉对象招联金融涉诉金额3400元问题类型诉求类型投诉详情因为上一期催收原因导致我这个月生活都困难，根本无法还款，催收答应的重新把剩下的未还款从新做一个分期也没有实现，上次投诉后消停了几天，现在就开始直接爆我通讯录了，天天骚扰我朋友有意思嘛！现在在一接电话工作人员就像机器人一样，要求今天必须还款，不还款后果自负。</t>
  </si>
  <si>
    <t>2019/10/02 16:20:49</t>
  </si>
  <si>
    <t>借钱两千分三个月，就要还三千多，这利息要的也太狠了吧。</t>
  </si>
  <si>
    <t>2019/10/02 16:19:57</t>
  </si>
  <si>
    <t>8月10日的时候，本人欠有钱花490元，逾期54天，现在已经还了！当时有钱花的第三方催收人员打电话骚扰我预留联系人以外的朋友！当时朋友在外面工作，没有实际证据，当时投诉了但拿不出实际证据，就不了了之！现在有了通话录音证据！刚好十一放假回来，我听了朋友的通话录音，确定了是同一个人打的电话！我是独立民事行为人，我的债务是个人的，不是我父母朋友的！一直打电话给我父母朋友说转告我！想通过外围的压力让我还钱，还想打法律的插边球，说转告我！明明就是未经本人允许就拨打非预留联系人的电话，已经违反规定和法律了！催收人员已经</t>
  </si>
  <si>
    <t>2019/10/02 16:19:45</t>
  </si>
  <si>
    <t>微粒贷由于个人原因逾期了几天，从第三天就开始加微信骚扰，然后什么结案中心的人给我打电话告诉我几点之前还不进来就上门催收！我跟他们商量我说晚几天行不行，每天微信，电话。</t>
  </si>
  <si>
    <t>2019/10/02 16:19:16</t>
  </si>
  <si>
    <t>投诉人闫先生投诉对象智行涉诉金额426元问题类型诉求类型投诉详情通过智行抢北京到郑州的火车票，前两次提交订单后没过多久就被系统取消了，联系客服回复说系统问题，并且保证之后不会再次出现，后来再次提交订单，并且排队了了直达车次z1的候补两张，单张票价93，在抢到票的同时订单又被取消！并且把候补退单了！！！联系客服，客服给出的解决方案是让我进行跨站抢票，差价到时候给补，所以我开启了跨站抢票！抢到了北京到汉口的车票价格522,比到郑州多了213每张，最多补300多，并且强迫我去接受！！！这种无法信守承诺让人实在没办</t>
  </si>
  <si>
    <t>2019/10/02 16:16:39</t>
  </si>
  <si>
    <t>在挖财信用卡APP上如期分期借款3000元，由晋商消费金融放款，当时合同说的3000分12期总共还3562.87元，结果在未告知的情况下直接在下款10分钟之内收取了420元的砍头息，我很生气，结果现在挖财信用卡合同都看不到了。</t>
  </si>
  <si>
    <t>2019/10/02 16:16:00</t>
  </si>
  <si>
    <t>马上金融旗下，安逸花借款超国家规定借款利息，还私自用我们借款人的钱去购买寿保，我要求退还购买保险费，一拖再拖，已经超过一个月，希望聚投诉给个公平，我要求全额退还用于购买保险费用。</t>
  </si>
  <si>
    <t>2019/10/02 16:15:44</t>
  </si>
  <si>
    <t>投诉人华先生投诉对象快闪卡贷涉诉金额15000元问题类型诉求类型投诉详情2019年3月30日在快闪卡贷平台贷款15000元，下款时实际到账12600元，被快闪卡贷平台已各种理由扣除2400元，还款分6期，每期去要还款3008.9元，相当于6个月要还5468元的利息，年利率高达90%以上，离国家规定的最高年利率的36%超出太多，完全是高利贷！我已经正常还款5个月，还款15024元，国家规定超出年利率36%的高利贷可以不还，要求最后一期销账，结清贷款。</t>
  </si>
  <si>
    <t>2019/10/02 16:15:16</t>
  </si>
  <si>
    <t>一开始抱着试一试的态度就在平台上发布了预约单，在提交订单的过程中红字提醒充值越多成功概率越高！并无提示订单不成功要一个月退款！也没说明将会收取退款服务费，发布订单后给出的服务者都是价格高的离谱并且距离远，联系客服退款客服表示一个月后退款，并且不告知工商注册地！现合理怀疑打着介绍服务的幌子利用假的注册信息和拉长退款时间的手段非法吸收公共资金的欺诈行。</t>
  </si>
  <si>
    <t>2019/10/02 16:15:04</t>
  </si>
  <si>
    <t>客服联系我以后就没有后续了！也没有带扣和销账！。</t>
  </si>
  <si>
    <t>2019/10/02 16:14:33</t>
  </si>
  <si>
    <t>不知道为什么突然接到短信说小浦优品生成什么报告，在我不知情的情况下扣了我296块钱，不知道是什么钱，在哪扣的都不知道，要求退款，这不属于盗窃吗。</t>
  </si>
  <si>
    <t>2019/10/02 16:12:54</t>
  </si>
  <si>
    <t>在我不知道的情况下绑定支付宝免密支付自动扣款168元。</t>
  </si>
  <si>
    <t>2019/10/02 16:12:19</t>
  </si>
  <si>
    <t>投诉人陈先生投诉对象滴滴出行涉诉金额0元问题类型诉求类型投诉详情除了休息没出车，其余都是出车状态，最难的一天是七个多小时接了六七单八十多块的流水。</t>
  </si>
  <si>
    <t>2019/10/02 16:10:25</t>
  </si>
  <si>
    <t>水莲金条逾期四天，恶意催收，恶意骚扰，爆通讯录，停止骚扰。</t>
  </si>
  <si>
    <t>2019/10/02 16:09:53</t>
  </si>
  <si>
    <t>投诉人路安雅投诉对象今借到涉诉金额2500元问题类型诉求类型投诉详情这就是今借到一个叫陈林娒的出借人说的话。</t>
  </si>
  <si>
    <t>已经邮寄两次催收函件，导致我名义受损，要求作出处罚。</t>
  </si>
  <si>
    <t>2019/10/02 16:09:28</t>
  </si>
  <si>
    <t>投诉人 张先生        投诉对象  唯品会        涉诉金额  0 元    问题类型    诉求类型投诉详情  快递员来取退货产品 说我穿过被弄脏了 让我打电话报备 然后不告诉我给谁打 我让他稍等 结果他不等 走的时候进行辱骂 由于本人客户还在就让其先走了</t>
  </si>
  <si>
    <t>2019/10/02 16:09:15</t>
  </si>
  <si>
    <t>投诉人 赵先生        投诉对象  小树时代        涉诉金额  2 000 元    问题类型    诉求类型投诉详情  还款未消账一个月了 到现在还没有消 请及时处理还有第二笔也还了</t>
  </si>
  <si>
    <t>2019/10/02 16:07:56</t>
  </si>
  <si>
    <t>投诉人高先生投诉对象淘宝闲鱼涉诉金额20元问题类型诉求类型投诉详情双方协定48小时内发货，期间该卖家不回复信息，后我提起退款要求，对方秒点发货，给我一个虚假单号后又点了同城交易！现在该卖家对我进行辱骂攻击后讲我拉黑！请平台给予我一个合理答复，莫不要店大欺人。</t>
  </si>
  <si>
    <t>2019/10/02 16:07:36</t>
  </si>
  <si>
    <t>投诉人陈先生投诉对象现金巴士涉诉金额1650元问题类型诉求类型投诉详情充值提供贷款变相砍头息每天1%高额逾期费。</t>
  </si>
  <si>
    <t>2019/10/02 16:06:47</t>
  </si>
  <si>
    <t>2019/10/02 16:06:28</t>
  </si>
  <si>
    <t>赚赚科技代理人跟我说开通vip可以使用信用卡代还功能，可以有循环额度来给我还信用卡，然后我付款之后就不回复，从昨天打电话到现在都没有接，赚赚科技的公司电话也没有接，管理员说他没有权限管理这些事情，客服说要通过什么检测，我没有通过，用不了，那我付了款，什么都没享受的权益，什么也不做回复，就是欺负消费者，付了款到现在什么也没有得到，也联系不上，我服了款，什么都没有得到，公司电话管理电话都打不通。</t>
  </si>
  <si>
    <t>投诉人张女士投诉对象新世界教育涉诉金额12000元问题类型诉求类型投诉详情2018年在深圳新世界教育罗湖校区办理大专及自考本科学历，第一：办理时工作人员打包票称大专学历两年能拿，现在需要等到2021年才能拿到证书，第二：缴费前，工作人员称多送一门英语课程，一直未收到通知，后续再联系那位工作人员，声称自己已经离职，不管此事，自考本科有两种费用，一种便宜的是自己报考自己买书；第二种收费贵的是由专门的班主任来通知学生报考，及缴费，及通知拿书，通知我去拿书，学校缺书，我让班主任书到了，通知我我去拿，一年半载没回复，</t>
  </si>
  <si>
    <t>2019/10/02 16:06:13</t>
  </si>
  <si>
    <t>购买虚拟旅游卡，什么都没有，一个月就是几百块，高利贷，变相砍头息。</t>
  </si>
  <si>
    <t>2019/10/02 16:06:05</t>
  </si>
  <si>
    <t>上海造艺网络科技有限公司在本人不知情的情况下私自扣款299元…并且退款还必须要让去其他平台借款…借款失败才能退…明显的骗子…希望聚投诉平台可以帮我追回299元的血汗钱。</t>
  </si>
  <si>
    <t>2019/10/02 16:06:01</t>
  </si>
  <si>
    <t>聚福钱包借款没有成功还乱扣费，帮我查明下，。</t>
  </si>
  <si>
    <t>2019/10/02 16:05:35</t>
  </si>
  <si>
    <t>投诉人查女士投诉对象现金借款涉诉金额200元问题类型诉求类型投诉详情现金借款app我作为使用过四五次的老用户我之前提前还款没有一次减免利息虽然首页上写着提前结清可以减免利息但是我也没有要求你们要给我减免现在这一期之差两百本金就还完了，你们就一天的不停的打电话来我也不是恶意拖欠，谁没有出事情的时候啊难道老用户就这样对待吗还打电话骚扰我的通讯录你们不是杜绝暴力催收的吗用了四五次利息没有一次给我减免现在请停止对我和通讯录的骚扰。</t>
  </si>
  <si>
    <t>2019/10/02 16:05:32</t>
  </si>
  <si>
    <t>投诉人李女士投诉对象闪电狗涉诉金额1690元问题类型诉求类型投诉详情高利贷平台，还所有人一个平静的生活环境，如此高的砍头息，利率已无力偿还，希望有关部门制止这些行为。</t>
  </si>
  <si>
    <t>2019/10/02 16:05:10</t>
  </si>
  <si>
    <t>投诉人杨先生投诉对象拼多多涉诉金额100元问题类型诉求类型投诉详情我完成了他们所谓的天天领现金活动的拉人需求，最后以作弊的说法发放给我2张50元为期一天的优惠券。</t>
  </si>
  <si>
    <t>2019/10/02 16:04:35</t>
  </si>
  <si>
    <t>本人于2019年8月30日申请月光侠分期3200元贷款，于当日到账3200元，到账后app显示分三期每期还1596.33元，等于我要还4788.99元，本人诉求愿意偿还本金和符合国家标准的银行利息，请贵公司通过正常法律途径来找本人，停止对本人及本人通讯录的骚扰！否则本人将同时向银保监会、地方金融办、当地公安机关举报违法事实。</t>
  </si>
  <si>
    <t>2019/10/02 16:04:24</t>
  </si>
  <si>
    <t>投诉人庄先生投诉对象立刻出行涉诉金额499元问题类型诉求类型投诉详情我从8月23曰开始申请退还押金却一直在审核。</t>
  </si>
  <si>
    <t>2019/10/02 16:03:46</t>
  </si>
  <si>
    <t>同程提钱游显示需要买黑卡才能借款，买了黑卡以信用不足拒绝，但是199元的黑卡以虚拟卡的名义拒不退款，与客服沟通无果，强烈要求这类不符合规定更改规则，并退还假借借款名义的收取的费用！！。</t>
  </si>
  <si>
    <t>2019/10/02 16:03:26</t>
  </si>
  <si>
    <t>捷信金融公司一而再再二三的骚扰电话，以前投诉过，客服来电说已经设置，不会再收到电话，明确表示不认识所谓的客户王潘潘，再来电话会在聚投诉，315官网，互联网金融平台，银监会投诉，但是捷信公司依然我行我素打骚扰电话！如果不解决，我会继续投诉，一个外资公司在中国坑害老百姓，还这么嚣张，没有部门管的了你们！。</t>
  </si>
  <si>
    <t>2019/10/02 16:02:52</t>
  </si>
  <si>
    <t>2019年1月借款玖富和新浪普惠所谓的合作平台6100元。</t>
  </si>
  <si>
    <t>2019/10/02 15:59:43</t>
  </si>
  <si>
    <t>本人于2016年十二月份在南阳市邮储银行办理车贷业务，后续一直还款，如今剩下三期未还，我跟银行相关人员沟通看可以把我的车辆登记证拿回来吗！银行相关负责人却说我后期两期保险都是自己买的，由于没在银行购买保险，他们要收取违约金！这样合理吗。</t>
  </si>
  <si>
    <t>2019/10/02 15:58:43</t>
  </si>
  <si>
    <t>立刻出行共享汽车消费者押金不予退还，存在欺诈消费者，本人于2019年6月23日开始用车，于2019年7月30日开始在立刻出行APP退保证金，但是到现在为止还未退还，中途打客服人员电话都需要打几次才能接通，接通后客服人员表示我的退款申请已处理，财务已将款项打出，需以银行到账时间为准！但是时间过去两个月，退款仍未到账！就在前两日再次拨打客服电话但已无法接通，本人郑重承诺此条投诉真实有效，需要立刻出行共享汽车公司给予退款及作出合理解释！。</t>
  </si>
  <si>
    <t>2019/10/02 15:57:08</t>
  </si>
  <si>
    <t>在去哪儿网订购了香港富豪九龙酒店十月二号和三号晚的房间，因为一号香港发生了暴乱，所以我们带着自身安全存在隐患，就跟去哪儿网沟通把房间退了，工作人员告知必须酒店同意才行，酒店沟通之后说只要去哪儿网同意退就可以了，因为不是直接找酒店订的，联系了去哪儿网，又被告知说是跟第三方合作的，十月二号中午十一点多一直沟通等结果，直到下午四点还没解决方案，去哪儿网就踢皮球，说得酒店同意，后来又说第三方不同意，问其第三方是谁，说这是隐私，不能告知，就这么踢皮球踢了几个小时没解决，求沟通解决处理。</t>
  </si>
  <si>
    <t>2019/10/02 15:56:22</t>
  </si>
  <si>
    <t>快钱支付跟富友支付狼狈为奸给小白来花里面的高利贷提供放款扣款渠道！银行扣款显示快钱支付，信息发过来显示富友支付，投诉三个月无果，富友说商户联系不上不处理，快钱也是同样的态度不处理，让他提供商户名称也不提供，，里面大大小小有十几个高利贷都是他们放款扣款的，银行流水快钱扣款，富友发的信息都有记录！。</t>
  </si>
  <si>
    <t>2019/10/02 15:56:15</t>
  </si>
  <si>
    <t>投诉人晋先生投诉对象重庆海尔小额贷款有限公司涉诉金额2500元问题类型诉求类型投诉详情海尔云贷催收部天天给我家人打电话威胁，电话里说给我家人每人做了一套寿衣，我家人天天担惊受怕的，我父亲也不堪天天受到他们的威胁，现在已经生病住院了，我家人要是出现一点意外，我绝不会放过海尔云贷的。</t>
  </si>
  <si>
    <t>2019/10/02 15:55:57</t>
  </si>
  <si>
    <t>助八借，新生支付有限公司乱扣钱，要求新生支付有限公司归还我被扣的钱………………………………………………………………………………………………………………………………………………………………………………………………………………………………………………………………………………………………………………………………………………………强烈要求退款。</t>
  </si>
  <si>
    <t>2019/10/02 15:55:34</t>
  </si>
  <si>
    <t>百事普惠恶意扣款299，投诉请求退款，这个钱对我很重要，这是我的饭钱，。</t>
  </si>
  <si>
    <t>2019/10/02 15:55:03</t>
  </si>
  <si>
    <t>投诉人李女士投诉对象我我贷涉诉金额1690元问题类型诉求类型投诉详情这些违法平台还如此的猖狂，望执法部门对这些高利贷平台严厉打击。</t>
  </si>
  <si>
    <t>2019/10/02 15:54:53</t>
  </si>
  <si>
    <t>投诉人芮先生投诉对象Wecash闪银涉诉金额550元问题类型诉求类型投诉详情借款会自动产生担保费用，不告知用户此费用，借款后再要求缴纳。</t>
  </si>
  <si>
    <t>2019/10/02 15:51:44</t>
  </si>
  <si>
    <t>在钱站APP里借款2100元，到账1200元。</t>
  </si>
  <si>
    <t>2019/10/02 15:51:35</t>
  </si>
  <si>
    <t>现金巴士平台砍头息放款，借款1000砍头息188元一次，要求退还砍头息，并道歉。</t>
  </si>
  <si>
    <t>2019/10/02 15:50:49</t>
  </si>
  <si>
    <t>投诉人张先生投诉对象助八借涉诉金额132元问题类型诉求类型投诉详情客服一直拖延时间，7天了还没有退款，要求全额退款。</t>
  </si>
  <si>
    <t>2019/10/02 15:50:46</t>
  </si>
  <si>
    <t>投诉人邱女士投诉对象米小花涉诉金额9000元问题类型诉求类型投诉详情米小花借款7天费用要收450元借款2700两周利息要收880多逾期一天费用100元还款日还有逾期一天催收狂打电话爆通讯录米小花平台随意白卡是714高炮平台，违规收取高额砍头息，且偷偷把之前借款记录偷偷删除，本人要求其平台退还全部砍头息和多收的不合法利息，希望有关部门严查此类高炮平台。</t>
  </si>
  <si>
    <t>2019/10/02 15:50:37</t>
  </si>
  <si>
    <t>我前年在兴业银行办了一张2万4的卡，卡到手就如600年费，办卡的时候没说，是他们私自到我店里办的，今年5月份消费单我全还清了，当5月底还980元再去消费说我的卡冻结了，因为这卡还进去的钱可以继续消费，到7月份突然变成28600，8月份变成29900元，9月份变成31600，这利息比高利息还高，之前他们找人打电话巩吓家人，我姐按这个电话打过去他们找他们还钱可以少几千元利息。</t>
  </si>
  <si>
    <t>2019/10/02 15:49:26</t>
  </si>
  <si>
    <t>该公司贷款产品涉及高利贷贷款2053元分期三个月个月要还2805.32随后逾期两天又产生250.64费用，并在后来进行电话轰炸，已经对正常生活产生严重干扰。</t>
  </si>
  <si>
    <t>2019/10/02 15:48:50</t>
  </si>
  <si>
    <t>钱站爱钱进阴阳合同，借款3000，到账3000，结果合同借款3990，第一期还1722.85，，第二期还1724.19，第三期1724.21，共还5171.25，高利贷中的高利贷！！太缺德了，收取高额的服务费，制造阴阳合同！要求整改利率！不要进行暴力催收！！！！！！！！！！！！！！！！！！！！！！！。</t>
  </si>
  <si>
    <t>2019/10/02 15:48:44</t>
  </si>
  <si>
    <t>投诉人 李先生        投诉对象  掌众金服        涉诉金额  74 000 元    问题类型    诉求类型投诉详情  闪电借款，要求买会员下款，相当于砍头利息。套路贷</t>
  </si>
  <si>
    <t>2019/10/02 15:48:19</t>
  </si>
  <si>
    <t>其中借出本人30000元，已含高额费率1401.74元，，现24期中已还14期总额为35431.86元，已远超出当初借款本金，现玖富万卡还在继续电话暴力催款，未提供结清证明，投诉其违规违法行为。</t>
  </si>
  <si>
    <t>2019/10/02 15:47:48</t>
  </si>
  <si>
    <t>原本十月二号出发的行程，整整延误一天，造成行程压缩！总共玩4天变成3天。</t>
  </si>
  <si>
    <t>2019/10/02 15:47:44</t>
  </si>
  <si>
    <t>我买了一双鞋，拿回来试穿了一下，发现鞋码小，当时我问客服了，客服说码数正常，我就拍了，收到之后发现小了，找客服，客服说退货，我退回去后客服拒收，说鞋底有磨损，我就试穿不到1分钟，在光滑的木地板上面试穿的，结果客服说有磨损不给退，拒收了，我家地板天天拖地，哪来的磨损和脏污呢，而且我怀疑卖家给我发的是别人退货产品，本来开开心心的买一双鞋国庆穿的，结果弄成这样，希望聚投诉能给我作证，谢谢，图片是卖家说的码数正常，我穿别的41码的鞋子都有点大，唯独他家的小，还给我说正常码数，国庆没鞋子穿，真坑人。</t>
  </si>
  <si>
    <t>投诉人周先生投诉对象王者钱包涉诉金额1240元问题类型诉求类型投诉详情借款1240五天利息768.8高炮，协商还款不给处理。</t>
  </si>
  <si>
    <t>2019/10/02 15:47:38</t>
  </si>
  <si>
    <t>投诉人李世明投诉对象钱站涉诉金额19635元问题类型诉求类型投诉详情钱站工作人员欺骗借款人借新款还旧账，钱站工作人员在借款人没有能力偿还借款时，打电话欺骗我说给我申请到一笔优惠贷款，贷款成功后，之前的逾期账单就不用还了，申请多少金额就一分不少的到账多少金额，下个月开始只需要还新的账单就可以，可新借款申请成功后，一分钱都没到账，他们系统后台就直接在借款人不知情的情况下用来还了旧的欠款，之后工作人员一直不接电话，，这就是赤裸裸的欺诈。</t>
  </si>
  <si>
    <t>2019/10/02 15:46:17</t>
  </si>
  <si>
    <t>我在钱站借钱1000块分三期每期还660多，三期总的要还1800多，是属于高利贷严重违法，现在以还一期下期开始还本金跟合法利息，现在发现合同是假合同借钱1000合同上写1330是欺骗借款人，希望有关部门严肃处理，这种金融公司不查天理不容。</t>
  </si>
  <si>
    <t>2019/10/02 15:45:42</t>
  </si>
  <si>
    <t>没有在来分期有过借款，但来分期频繁短信骚扰用户，诱惑借款，不堪其扰。</t>
  </si>
  <si>
    <t>2019/10/02 15:45:22</t>
  </si>
  <si>
    <t>投诉人周先生投诉对象宜人贷涉诉金额50000元问题类型诉求类型投诉详情高额逾期费用，不符合国家法律规定，阴阳合同误导借款人。</t>
  </si>
  <si>
    <t>2019/10/02 15:45:05</t>
  </si>
  <si>
    <t>投诉人徐先生投诉对象小浦优客涉诉金额296元问题类型诉求类型投诉详情小浦优客app申请借款，按步骤填写资料，然后最后要求绑定银行卡，绑定完成就开始审批，过了一个小时说是扣除296元个人信用报告费用，可是之前申请步骤并没有说明有这个费用，正规贷款也不应该有前期费用，涉嫌违规欺诈，因为不知道会有这种情况发生，申请过程没有截图，而且他也只是中介，扣取费用之后推荐几个app。</t>
  </si>
  <si>
    <t>2019/10/02 15:42:28</t>
  </si>
  <si>
    <t>设备退回去俩月了，系统不给取消订单，电话打了好多好多次。</t>
  </si>
  <si>
    <t>2019/10/02 15:41:53</t>
  </si>
  <si>
    <t>投诉人平女士投诉对象钱站涉诉金额1144元问题类型诉求类型投诉详情9月16日显示钱站app扣款1144.39元，在平台借款早已还清，给银行打电话显示钱站app扣款，但是钱站不承认扣款！。</t>
  </si>
  <si>
    <t>2019/10/02 15:41:39</t>
  </si>
  <si>
    <t>1泄漏个人隐私，不经过本人同意，获取本人通讯录信息，2骚扰通讯录无关人员3对本人言语辱骂，及通讯录联系人进行辱骂诋毁，并以第二联系人的说辞，进行骚扰！4对本人，及通讯录联系人进行恐吓！5采用软件轰炸本人，以及本人通讯录联系人进行骚扰，严重影响到个人，及通讯录联系人的正常生活，导致本人被公司开除，失去经济来源，给本人日常生活带来严重影向，导致本人心里负担及大，几近崩溃边缘！8工作人员骗取重新签订合同，未告知条款就催促签订，而且有隐藏条款。</t>
  </si>
  <si>
    <t>2019/10/02 15:41:29</t>
  </si>
  <si>
    <t>投诉人黄先生投诉对象自由魔卡涉诉金额2000元问题类型诉求类型投诉详情本人因资金周转需求在自由魔卡app里面的信用计划平台借款2000元，平台以加入会员购买会员需要支付备付金为借口，变相收取砍头息360元，实际借款所得其实为1640元，还款周期一个月应还为2050元，所加入的会员并无实际作用，只是作为平台变相收取砍头息的手段，这是赤裸裸的高利贷，因本人之前也在该平台借款多次，现无力偿还高额还款费用和砍头息，投诉信用计划其实是高利贷平台，要求平台尽快与本人联系协商，本人绝不接受客服人员所谓会员费合理合法的狡辩</t>
  </si>
  <si>
    <t>2019/10/02 15:41:21</t>
  </si>
  <si>
    <t>读秒钱包借款45000元，借款合同约定利息9.5年化，分了12期，实际到账42000，已还9期43164.47，发现还需还款，，仔细查看合同，才发现还有借款服务协议和中介服务协议，收取多种咨询服务费、技术使用费、风险评估费等等，如此高的各种费用条款，全部为格式化条款，读秒钱包没有对本人做任何电话和人为提示，非本人真实意思的表达，违反合同法，本人提前结清，客服表示只能按APP金额结清，现希望能协商结清，不要法院见。</t>
  </si>
  <si>
    <t>2019/10/02 15:40:05</t>
  </si>
  <si>
    <t>明天借款1000快30天还款，利息30元，实际到账竟然只有900，年利息高达百分之170以上远远超过国家规定36红线。</t>
  </si>
  <si>
    <t>2019/10/02 15:38:46</t>
  </si>
  <si>
    <t>投诉人刘女士投诉对象钱站涉诉金额3500元问题类型诉求类型投诉详情因家里有两个癌症病人，逾期还款了一天，逾期费一天就将近二块钱，和客服协商减免逾期费，不同意，希望能给减免逾期费。</t>
  </si>
  <si>
    <t>2019/10/02 15:38:38</t>
  </si>
  <si>
    <t>钱站高额利息，砍头息，套路贷，恐吓借款人，索要服务费发票不给开局，。</t>
  </si>
  <si>
    <t>2019/10/02 15:38:26</t>
  </si>
  <si>
    <t>投诉人王先生投诉对象钱站,华夏银行涉诉金额2660元问题类型诉求类型投诉详情借款时显示借款本金2660，实际到账只有2000，分三期共要还2960，严重超出36%的标准。</t>
  </si>
  <si>
    <t>2019/10/02 15:38:15</t>
  </si>
  <si>
    <t>达飞云贷高利贷，借12000砍头息2400到手9600，3个月期限每月利息300元30-50元的手续费，由于本人现在资金周转困难，无法还款，有钱了会还，但是你们的催收持续骚扰我，换不同的人打电话，还恐吓威胁我，甚至还扬言爆我通讯录，骚扰我家人和朋友，你们以为我法盲吗，爆通讯录是违法的行为，你们这样严重影响到了我的生活，我要求你们停止骚扰并给出合理的解释甚至赔偿。</t>
  </si>
  <si>
    <t>2019/10/02 15:37:33</t>
  </si>
  <si>
    <t>投诉人 占女士        投诉对象  小花钱包        涉诉金额  42 000 元    问题类型    诉求类型投诉详情  言语恐吓威胁。骚扰家人 暴力催收扬言对我方家人使用武力</t>
  </si>
  <si>
    <t>2019/10/02 15:37:04</t>
  </si>
  <si>
    <t>投诉人林先生投诉对象用钱宝涉诉金额40000元问题类型诉求类型投诉详情暴力催收，不断的骚扰我的家人，砍头息，催的家人不得安宁，祸害朋友。</t>
  </si>
  <si>
    <t>2019/10/02 15:36:36</t>
  </si>
  <si>
    <t>一共借了四千五，一个月为期，要还五千四，因资金周转不开，逾期了两天，和平台商议延期或者分期拒之，不经本人同意就爆通讯录，给我的亲人朋友造成了很大的伤害！被工作单位炒了，还罚款，强烈要求贵公司下调利息，道歉并赔偿损失！。</t>
  </si>
  <si>
    <t>2019/10/02 15:36:25</t>
  </si>
  <si>
    <t>本来想在聚富分期app借点钱的，钱没借到，反而没有我的同意下就开始乱扣费，要求退还扣我的150元，还有解除绑定我的银行卡。</t>
  </si>
  <si>
    <t>2019/10/02 15:36:09</t>
  </si>
  <si>
    <t>10月11日到期，这辆车车况很差，从8月开始，经常开着开着方向盘抱死转不动，十分不安全，9月16日在高速上又突然转不动方向盘，差点来不及刹车与前车相撞，去了4s店也没有解决问题，我想跟迅福汽车租赁有限公司商量换一辆车况好的车，他们以合同为由不给解绑，就一直僵持着，导致我不能正常出车，至今已经过了半个多月，我上有老下有小，一家人要养活，就靠这一点微薄的收入，为什么平台不能体谅司机的情况给解绑，这个是车辆有问题，难道车有问题我还要硬着头皮开吗，况且现在我还有五千的押金在迅福租赁公司，他们并没有任何损失，恳请滴滴</t>
  </si>
  <si>
    <t>投诉人 李女士        投诉对象  嗨钱网        涉诉金额  5 000 元    问题类型    诉求类型投诉详情  还进去不销账 还有人家微信威胁还款……</t>
  </si>
  <si>
    <t>2019/10/02 15:35:55</t>
  </si>
  <si>
    <t>投诉人郑先生投诉对象钱伴涉诉金额6000元问题类型诉求类型投诉详情本人在钱伴平台借钱，审核通过后下款6000元，本人当时不了解所谓的利率，账单显示每期还款1025.82元，分6期，但是借完款以后才发现前两期每期要还462.53元的服务费，合计还款7080.97元，实际年化率已经接近36%，与合同严重不符合，超过国家年息24%，现要求钱伴app协商免去未还期数服务费，一次结清，如果协商无果，本人将继续举报至全国消协，互金会，贷款公司所在地信访、金融办、工商等部门，维护自身合法权益。</t>
  </si>
  <si>
    <t>2019/10/02 15:34:30</t>
  </si>
  <si>
    <t>有米钱庄是7天的高利贷平台，快钱支付跟富友支付提供放款扣款渠道，放款是富友支付，扣款是快钱支付，百分之30的联系，投诉三个月他们一直在推卸责任，说商户联系不上等等理由不处理！银行流水是快钱扣的，信息发来是富友！狼狈为奸，。</t>
  </si>
  <si>
    <t>2019/10/02 15:33:14</t>
  </si>
  <si>
    <t>10月1号在苏宁易购购买了一包黄豆，10月2号收到黄豆，收获日期是2018年9月，检验日期是2019年3月，保质期是1个月，根据农产品包装和标示管理办法，植物产品的生产日期指的是收获日期并非检验日期，该黄豆已经过期，苏宁易购客服不顾用户安全，告知用户该黄豆没过期，随后又说补偿5元，根据食品安全法规定，销售过期食品该怎样处罚，附上客服工号130201，苏宁销售过期食品2，告知客服以后客服知道食品已经过期了，缺告诉用户食品没过期3，用户在给出明确的食品安全条款之后想不了了之提出补偿5元。</t>
  </si>
  <si>
    <t>2019/10/02 15:32:36</t>
  </si>
  <si>
    <t>本人因为临时周转，通过短信链接，下载了威力贷app还有肥猫贷，借款1400元，到账1400元，借时并无任何提示，于10月1日登录app意外发现要在6天后归还2000元！！现在欠债十几万，想协商还款，因无客服电话联系方式，无法协商，1.因无有效联系方式，查看银行明细发现订单是通过汇潮支付这个支付通道放款，汇潮支付作为合规的支付平台却为国家明令禁止的高利贷公司提供支付渠道！2.威力贷肥猫贷还款通道为支付宝，希望支付宝禁止这种行为，关闭与之相关的还款通道，本人愿意归还本金和合法利息，希望通过平台解决问题，谢谢。</t>
  </si>
  <si>
    <t>2019/10/02 15:32:33</t>
  </si>
  <si>
    <t>投诉人 刘先生        投诉对象  捷信金融        涉诉金额  15 000 元    问题类型    诉求类型投诉详情  贷款29000 需要还款56429.28 提前十天开始每天电催 明显高利贷 望有关部门及时处理</t>
  </si>
  <si>
    <t>2019/10/02 15:32:30</t>
  </si>
  <si>
    <t>投诉人吴女士投诉对象拼多多涉诉金额2000元问题类型诉求类型投诉详情拼多多商家找客服不给退保证金，非要发官方话糊弄我，客服敷衍要了电话从不回复，我要投诉所有骗过我的客服。</t>
  </si>
  <si>
    <t>2019/10/02 15:31:39</t>
  </si>
  <si>
    <t>第一次在及贷借钱是2018年12月份，借款9000，实际到账8162，分六期还款，每期还款1673，利息已经超过国家规定的百分之36，我后面又借了几次，全部按时还钱，今年8月30号我在及贷借款13200元，因资金周转不过来，找客服申请减免一部分手续费，客服不同意，昨天及贷催收人员加我微信，我提出减一部分手续费，催收人员不同意并且把我删了，昨天晚上十点，及贷催收人员打电话骚扰我爸妈，并骂我老赖，说我不还款会继续骚扰我爸妈，我的要求是减免手续费，催收人员跟我道歉，希望及贷这边能处理这件事，我已经录音了，不处理或</t>
  </si>
  <si>
    <t>2019/10/02 15:30:57</t>
  </si>
  <si>
    <t>投诉人唐先生投诉对象自由摩卡,信用计划涉诉金额2000元问题类型诉求类型投诉详情本人于8.29号在自由摩卡信用计划，借款2000，会费360，9.27号需还款2050，砍头息，因国庆发工资延迟，催收一直再打电话，现在要求协商还本金，支持国家扫黑除恶，打击高利贷打击套路贷。</t>
  </si>
  <si>
    <t>2019/10/02 15:30:40</t>
  </si>
  <si>
    <t>之前不知道的情况下借的，不知道前期要扣除600这么多，天啊，才借了一个月就600，我一个月工资才3000，我哪有那么多钱；要还只能还本金，这样会逼死我的，是不是要我去跳楼。</t>
  </si>
  <si>
    <t>2019/10/02 15:30:15</t>
  </si>
  <si>
    <t>投诉人邹先生投诉对象腾讯游戏涉诉金额60元问题类型诉求类型投诉详情2019年10月2号下午15点，腾讯公司旗下QQ华夏手游，在未通知我的情况下无缘无故改我角色名称。</t>
  </si>
  <si>
    <t>2019/10/02 15:29:49</t>
  </si>
  <si>
    <t>投诉人老先生投诉对象微信支付涉诉金额18422元问题类型诉求类型投诉详情微信支付转账收款等功能一律被停使用，未收到微信提示就给封了，也联系不到微信客服人员，请求微信回复支付功能，钱包里的钱不能消费，不能转账，也不能收钱！我去哪里说理。</t>
  </si>
  <si>
    <t>2019/10/02 15:29:43</t>
  </si>
  <si>
    <t>不经过我的允许，私自骚扰我的家人，亲戚，搞到我家人人心惶惶，本想赚到钱就慢慢还上，但小花钱包公司一开始就轰炸通讯录，导致我失去工作。</t>
  </si>
  <si>
    <t>2019/10/02 15:29:38</t>
  </si>
  <si>
    <t>原本是想通过小浦优客贷款！这个平台没有贷款服务直接要查询信息！在我毫不知情的情况下收取了一笔296元的报告费用，我都没有同意也没有完成对方平台的信息基础认证！就在我毫不知情的情况下收取费用！要求退款！并说明原因！。</t>
  </si>
  <si>
    <t>2019/10/02 15:29:03</t>
  </si>
  <si>
    <t>砍头息变相高利货，1500元收了300手续费，1500元三个月还款总额差不多2000块。</t>
  </si>
  <si>
    <t>2019/10/02 15:27:37</t>
  </si>
  <si>
    <t>投诉人莫女士投诉对象平安涉诉金额7000元问题类型诉求类型投诉详情平安享贷已手续费和保证金为由被了我7000元现在，我有给他们公司财务的微信转账记录和他们公司业务经理的微信聊天记录，原于我弟弟结婚需要过彩礼钱，我在平安享贷上贷款20000元，业务经理说审核通过了需要转1000元的手续费给他们公司财务，于是我转了1000给他们财务，后来他们又说由于我的银行卡号错了，需要6000元的保证金去银行改正我的银行卡卡号，我又转了给他们，后来我感觉不对劲了，我就申请退款，不再向他们平安享贷贷款了，我要求他们退还我的手续</t>
  </si>
  <si>
    <t>2019/10/02 15:27:16</t>
  </si>
  <si>
    <t>投诉人 裴先生        投诉对象  Wecash闪银        涉诉金额  1 800 元    问题类型    诉求类型投诉详情  闪银存在很大漏洞。因手机丢失后无法登录。密码修改不了找不回。唯一服务专线打不通客服联系不上 该责任闪银公司自行承担 因一次机会知道贵平台，希望可以解决此事</t>
  </si>
  <si>
    <t>2019/10/02 15:26:49</t>
  </si>
  <si>
    <t>用钱宝APP一进去就是贷款超市，希望帮我们老客户恢复额度，。</t>
  </si>
  <si>
    <t>2019/10/02 15:26:19</t>
  </si>
  <si>
    <t>投诉人王先生投诉对象哈罗出行涉诉金额20元问题类型诉求类型投诉详情扫码骑出以后去的地方提示超出骑行范围，然后骑回来还车，第一次用助力车，觉得存车地方就可以停，停车后发现扣费22元，骑57分钟扣22元，很是郁闷，完后联系客服没有人接听。</t>
  </si>
  <si>
    <t>2019/10/02 15:25:43</t>
  </si>
  <si>
    <t>我的交通银行信用卡一直正常使用，15000信用额度，8月份突然变成2000额度，只能还款不能刷卡，导致我一时还款困难，突然被降额一时周转不过来，催收人员02195559的号码打过来的，态度极其强硬，语言非常难听，拨打了我家人和公司的电话进行骚扰，我与之协商，分期还款，付出应有的万分之五的违约金其不同意，说银行等不了，沟通非常不愉快，一点协商机会也不给，我也不是故意拖欠，就要走流程，说即使我还款了也要追缴我的责任，天天打我电话，严重影响我正常生活！以下是仅仅两天的部分电话，都是交通银行催收部的电话，不给协商机</t>
  </si>
  <si>
    <t>2019/10/02 15:25:25</t>
  </si>
  <si>
    <t>投诉人侯女士投诉对象快闪卡贷,阳光保险集团涉诉金额2220元问题类型诉求类型投诉详情本人于2019年4月6日在快闪卡贷贷款15000千元，分六期每期偿还约2750元，但到账一分钟便自动从银行卡划走2220元，后来才得知该公司私下在阳光保险给我买了什么保险，阳光保险也未通过任何方式告知购买保险事宜，这种行为是典型的以买保险为掩饰，变相砍头息，以违法了相关法律，也向快闪客服打过电话要求退还保险，贵公司客服以各种理由拒绝退还保险，本人唯有通过投诉要求贵公司退还保险费2220元。</t>
  </si>
  <si>
    <t>2019/10/02 15:24:13</t>
  </si>
  <si>
    <t>本人未做任何贷款申请，还呗竟然说我申请了8700元贷款，什么意思。</t>
  </si>
  <si>
    <t>2019/10/02 15:22:05</t>
  </si>
  <si>
    <t>第一期还款的时候他们客服联系了我，我表示了银行卡更换并且解释因为家里的问题暂时资金周转不开，他们同意可以让我缓和一下，后面我在联系他们都没有回我，电话客服一直都联系不上总是坐席繁忙，APP上面的一直都联系不上，今天我上了APP要还款银行卡更换不了，给我上了失信名单提起诉讼！我需要一个合理的解释。</t>
  </si>
  <si>
    <t>2019/10/02 15:21:25</t>
  </si>
  <si>
    <t>已经在这个平台投诉达飞云贷一个月了，到现在问题没给解决不说，达飞云贷客服天天发信息，起诉，冻结名下财产，说我逃避还款，你们这么高的利息，我已经还好几年了，现在陆续又出来质保金，必须在你们达飞的商场购买东西，利息现在有二毛了，让我怎么还，我要结本金，达飞客服不让，必须把利息还了，最开始办达飞达飞客服说利息二分多，这样承受了也就用了，现在陆续出来这个那个，不还不行，不还就各种威胁找上门，现在又发信息说起诉冻结财产，第一次在这个网站投诉达飞，达飞商家让给打电话说给解决，现在一个月了，给达飞打电话不承认这件事，说没</t>
  </si>
  <si>
    <t>2019/10/02 15:20:48</t>
  </si>
  <si>
    <t>拼多多作为电商平台非法为网络赌博平台提供收款服务获取非法收入金额巨大该平台推卸责任称与平台本身无关，请问该平台监管力度何在。</t>
  </si>
  <si>
    <t>2019/10/02 15:19:42</t>
  </si>
  <si>
    <t>2017年1月19日因家里出现异常，在宜人贷借款5万元，服务费6100元，2017年2月19日-12月14日还款14期，合计还款33266元，2017月12月21追加贷款到账29953元，合同金额变成74600，其中服务费28013.6元，2019年4月1日追加贷款到账30000元，合同金额变成91339.31，其中服务费17951.71，合计到账金额：109953元，已还93314元，现在申请一次结清，APP显示要还83781元，3次贷款，服务费合计52065元之所以次次追加贷款，迫于家庭异常压力造成，当</t>
  </si>
  <si>
    <t>2019/10/02 15:18:56</t>
  </si>
  <si>
    <t>平安银行为小白来花里面的米盒贷提供放款扣款渠道，米盒贷是7天的高利贷平台，借1500到账1125，7天还1500，在合利宝，快钱已投诉三个月无结果，他们以联系不上商户为理由一直拖，反正就是各种理由拖着，不解决，希望有关部门介入处理，。</t>
  </si>
  <si>
    <t>2019/10/02 15:18:37</t>
  </si>
  <si>
    <t>无故冻结商户资金，资料提供给代理商，一直说不行，后面代理跟我说不然就等半年自动解冻，半年过去了，还是不给解，又要让我们提供付款人的凭证，付款人我们都不认识，让我们上那找，坑商户，骗商户钱，霸王条款。</t>
  </si>
  <si>
    <t>2019/10/02 15:18:30</t>
  </si>
  <si>
    <t>投诉人杨先生投诉对象聚福分期app涉诉金额150元问题类型诉求类型投诉详情我没有在他app借过款，也没欠他平台钱，今天在我不知情乱扣我银行卡钱，打电话他们客服不处理，态度相当恶劣，希望能帮我追回。</t>
  </si>
  <si>
    <t>2019/10/02 15:18:23</t>
  </si>
  <si>
    <t>爆我的通讯录联系人，一直不停给我以及我的通讯录好友，对我造成很大的伤害，导致我精神衰弱，。</t>
  </si>
  <si>
    <t>2019/10/02 15:16:38</t>
  </si>
  <si>
    <t>我在宜贷分期做过两次贷款，第一次贷2000元，20天还款3288元已经还清，由于以贷养贷，又进行了第二次借款，金额3000元，总算下来，借了5000元，30天我已经还了5748元。</t>
  </si>
  <si>
    <t>2019/10/02 15:16:04</t>
  </si>
  <si>
    <t>投诉人 罗先生        投诉对象  小浦优客        涉诉金额  296 元    问题类型    诉求类型投诉详情  本人没在此平台消费过 软件注册时也没说明要扣款 注册完了之后就卸载 今天就无缘故扣款 这是欺诈行为 要求原路退回 不然维权到底希望大家警惕</t>
  </si>
  <si>
    <t>2019/10/02 15:15:30</t>
  </si>
  <si>
    <t>扣款当天银行卡余额充足自动扣款失败-收取高额的逾期管理费-主动还款一直扣款失败。</t>
  </si>
  <si>
    <t>2019/10/02 15:15:25</t>
  </si>
  <si>
    <t>投诉人 郭荣利        投诉对象  融360        涉诉金额  1 600 元    问题类型    诉求类型投诉详情  融360里面的水莲金条 借款8000砍头息1600 每期还款760.27 是不是高利贷 我要求减免四期本金加利息 要么一分钱没有</t>
  </si>
  <si>
    <t>2019/10/02 15:15:19</t>
  </si>
  <si>
    <t>本人在钱站APP借款1000元,实际发放了1200元，三个月居然要还差不多2300元，每期760多元，明显就是高利贷，以各种服务费，担保费为幌子收取高利贷费用，跟他们客服联系提前还款也不给解决，本人现在只接受1200元的本金和使用时间的正常利息。</t>
  </si>
  <si>
    <t>2019/10/02 15:14:47</t>
  </si>
  <si>
    <t>昨晚向微博借钱平台发起借款，起初是因为首页面日息百分之0.04被吸引而发起借款，期间借款时候并未提现平台利息的结算方式，只有跳出了每期还款利息+本金，然后协议跟合同那些是都没有看到的，该平台涉嫌挂羊头卖狗肉的模式，误导性的借款操作，只有借完款了才有显示每期需还多少钱，其中结算，以日息结算还是月息结算，期间息费是多少都没有体现.事后我算完我所有借款利息+本金，本金7900借6个月，利息居然要1400多，年利率高达百分之36，希望相关部分可以介入调查，毕竟网贷如此透明的情况下，银监会管制如此严厉的情况下，今日跟</t>
  </si>
  <si>
    <t>2019/10/02 15:13:21</t>
  </si>
  <si>
    <t>9月12日还款，实在无力全额还款，协商后2000元还款并销账，并有杭州市民卡平台进行收款，前后3次一共支付利息2130元，杭州市民卡协助网贷平台收取高额砍头息，无视国家法律，本人已经投诉了18天，一直没有工作人员给予正面回复，此利息已经远远高出国家标准利息几百倍，想问杭州市民卡，你们就没有一点责任吗。</t>
  </si>
  <si>
    <t>2019/10/02 15:13:05</t>
  </si>
  <si>
    <t>我在2017年12月3日因资金问题在宜人贷借款10000分期36期，但是打来之后我看到我剩余还款是6999.76，合同上写着借款金额11900但是我到账只有10000，相当于我到手了10000却要还17000左右，现在我对宜人贷提出质疑你们是高利贷，且还有砍头息，跟到账金额不符而且到账之后要共还款17000。</t>
  </si>
  <si>
    <t>2019/10/02 15:12:04</t>
  </si>
  <si>
    <t>微博对微博借钱产品高利贷、暴力催收问题不管不问，客服直接不受理。</t>
  </si>
  <si>
    <t>2019/10/02 15:11:08</t>
  </si>
  <si>
    <t>投诉人史女士投诉对象钱站涉诉金额1000元问题类型诉求类型投诉详情在钱站借了1000分三期还让我每个月还600多一共下来还了1800多利息高的吓人我希望可以协商还本金和多余正常的利息我已经还过一期了一样可以协商还剩下的本金。</t>
  </si>
  <si>
    <t>2019/10/02 15:10:33</t>
  </si>
  <si>
    <t>我买了一双鞋，拿回来试穿了一下，发现鞋码小，当时我问客服了，客服说码数正常，我就拍了，收到之后发现小了，找客服，客服说退货，我退回去后客服拒收，说鞋底有磨损，我就试穿不到1分钟，在光滑的木地板上面试穿的，结果客服说有磨损不给退，拒收了，我家地板天天拖地，哪来的磨损和脏污呢，而且我怀疑卖家给我发的是别人退货产品，本来开开心心的买一双鞋国庆穿的，结果弄成这样，希望聚投诉能给我作证，谢谢，图片是卖家说的码数正常，我穿别的41码的鞋子都有点大，唯独他家的小，还给我说正常码数。</t>
  </si>
  <si>
    <t>投诉人 陈先生        投诉对象  钱站,华夏银行        涉诉金额  4 100 元    问题类型    诉求类型投诉详情  虚假合同欺贷款人，客服无视我们，希望严惩</t>
  </si>
  <si>
    <t>2019/10/02 15:10:27</t>
  </si>
  <si>
    <t>投诉人张乐投诉对象拼多多涉诉金额10000元问题类型诉求类型投诉详情拼多多为网络赌博平台提供收款代付服务，钱是拼多多平台出去的，对商户的监管力度一点都没有，国家明令禁止的违法行为在拼多多电商眼里成了与他们无关，不需要他们负责！拼多多平台维护不良商家请平台一定给我个说法！。</t>
  </si>
  <si>
    <t>2019/10/02 15:08:45</t>
  </si>
  <si>
    <t>恶意篡改合同借款20000到期要还款27502还要收取服务费担保费国家是不允许这样的年利率已经超过国家贷款的利率合同上写的26000多实际到账20000元如果不降低利息和取消服务费我是不会还款的。</t>
  </si>
  <si>
    <t>2019/10/02 15:08:30</t>
  </si>
  <si>
    <t>解绑注销个人身份信息却要下载苏宁金融，并且客服表示解绑需要本人手持身份证拍照传给特定邮箱，后来客服打电话来也是这样说的，本人又不贷款想注销自己的身份信息还不能注销，流氓app。</t>
  </si>
  <si>
    <t>2019/10/02 15:07:43</t>
  </si>
  <si>
    <t>利用网络顶风作案放超高利贷，利用虚拟号骚扰，态度恶劣，。</t>
  </si>
  <si>
    <t>2019/10/02 15:07:09</t>
  </si>
  <si>
    <t>各种威胁暴力催收，扬言要让我所有的亲戚朋友都知道我欠钱不还，还威胁我必需马上处理，不处理就要上门来找我，我跟招联工作人员好言相商，最近确实困难，能否宽限这日子，对方不听，还一味的非逼，要我不管怎么样，今天必须处理，我问对方是否真的必须要逼到我违法犯罪也要处理，对方说是，我很想问问，这就是四大行对待人民的态度吗，难不成中国的那些违法的都是被四大行逼出来了，我想有很大的原因吧，本人真是一度被逼的快要去违法犯罪了，求求国家能看到吧，你的人民正快被逼的走投无路了，。</t>
  </si>
  <si>
    <t>2019/10/02 15:06:30</t>
  </si>
  <si>
    <t>投诉人王女士投诉对象易起来涉诉金额3500元问题类型诉求类型投诉详情原来的小当家现在的易起来…高利息套路贷，还砍头息…借款3500当时砍了980的利息…到账2520分15天一期每期还款1788，远超国家规定标准，而且已经借了几次了…要求这次销账处理。</t>
  </si>
  <si>
    <t>2019/10/02 15:05:43</t>
  </si>
  <si>
    <t>投诉人郑先生投诉对象红月亮涉诉金额2500元问题类型诉求类型投诉详情砍头息，套路贷，暴力催收，骚扰家人没要求立刻停止骚扰。</t>
  </si>
  <si>
    <t>2019/10/02 15:05:28</t>
  </si>
  <si>
    <t>10.1日下午买的课程，当天登录上软件老是闪退，还提示多次异常，联系班主任还联系不到，吃个饭就吃了这么久，一直到我给报名的那个老师说我要退款，班主任才联系我，我才报名就出现这么多问题，明明是她们的问题，还要扣我40%的手续费，这不是霸王条款是什么，就是一说就是问题解决了，那买的鞋子刚拿回去就开胶了，拿到店里，人家给你上点胶水，谁愿意就这样把鞋子再拿回去。</t>
  </si>
  <si>
    <t>2019/10/02 15:04:26</t>
  </si>
  <si>
    <t>9月10日，预定租赁沃兰多汽车从10.3到10.9，在2019.10.2早上10:16分收到短信通知被取消，随后我电话沟通说说是门店没车所以取消订单，需要3-7个工作日处理反馈，14:20沟通的客服，我问定金怎么退还，首汽单方面取消怎么赔偿，我多次确认客服明确回答不保证退还定金。</t>
  </si>
  <si>
    <t>2019/10/02 15:02:54</t>
  </si>
  <si>
    <t>我在智行9月24号订了一张暹粒飞长沙的机票，但是直到10月3号都没有出票，期间多次催促出票但是一直无人受理，由于一直无法出票不敢保证出行，我要求取消出票退回全额票款但是遭到客服拒绝说特价票不能退票，但是一直没有出票成功，也没有产生任何具体票号，为什么不能拦截取消出票。</t>
  </si>
  <si>
    <t>2019/10/02 15:02:14</t>
  </si>
  <si>
    <t>投诉人程女士投诉对象多宝分期涉诉金额4000元问题类型诉求类型投诉详情本人八月中旬在手机借钱多宝分期平台借了4000元本金，当时看了两个月利息是797可是后来分四期还每个月要1599元，今天最后一期他就打电话给我家人进行恐吓。</t>
  </si>
  <si>
    <t>2019/10/02 15:01:58</t>
  </si>
  <si>
    <t>淘宝苏宁易购官方旗舰店，9月9号洗衣机付款前10名半价活动，我是11秒付款的，在我之后付款的人都在半价名单中，去询问客服后回复说是由于之前产生的退款取消了名额，退款是9月18号天猫消费者热线让我在订单中申请退的墙面破损的维修费，赔偿的150元，活动是活动，赔偿是赔偿，因为苏宁安装洗衣机人员的失误导致的墙面破损赔偿款150元，明明就是两回事，半价是半价，赔偿是赔偿，赔偿的钱怎么能算成退款，赔偿的钱完全可以支付宝转账给我，150元是墙面破损赔偿的钱，不能因为苏宁安装人员的失误导致的赔偿而影响我的半价资格。</t>
  </si>
  <si>
    <t>2019/10/02 15:01:28</t>
  </si>
  <si>
    <t>客服态度恶劣威胁我，又叫了第三方公司催收，逾期费用太高我无力偿还。</t>
  </si>
  <si>
    <t>2019/10/02 15:01:21</t>
  </si>
  <si>
    <t>在小当家APP借款2300，只放款1600多元，实属砍头息、现要求协商还本金还款。</t>
  </si>
  <si>
    <t>2019/10/02 15:01:14</t>
  </si>
  <si>
    <t>合同上写的26000多实际到账20000元。</t>
  </si>
  <si>
    <t>2019/10/02 15:00:56</t>
  </si>
  <si>
    <t>投诉人庹先生投诉对象来花花,汇潮支付涉诉金额2000元问题类型诉求类型投诉详情本人于2019年9月29号在来花花平台借款1400，由汇潮支付放款，2019年10月2号还款2000.6元，4天利息高达600.6元，希望这样的平台下架，别坑人了。</t>
  </si>
  <si>
    <t>2019/10/02 15:00:50</t>
  </si>
  <si>
    <t>钱站爱钱进app高额砍头息，借3990，到账3000，每期还款1600多，合计约5000，高利息，要求降利息，下架调整。</t>
  </si>
  <si>
    <t>2019/10/02 15:00:27</t>
  </si>
  <si>
    <t>投诉人王永川投诉对象360同城帮涉诉金额79元问题类型诉求类型投诉详情贪图购物折扣，购买了网站包年的会员服务，现在购买的手机多少天了还没发货，他们平台是承诺24小时发货，现在怀疑对方根本没货，联系对方表示订单可以申请退货，但是捆绑的会员没法退，看了他们相关会员的规定，会员的确购买了不能退，这个规定执行的这么严格，那发货时效的规定就是随口说说。</t>
  </si>
  <si>
    <t>2019/10/02 15:00:05</t>
  </si>
  <si>
    <t>投诉人 杨女士        投诉对象  及贷        涉诉金额  20 000 元    问题类型    诉求类型投诉详情  本人逾期一天 因钱未到账说了下午3点前还进去 客服人员020 66339514号一直不听劝 执意打电话骚扰朋友 态度恶劣 说还款与他无关 执意要骚扰家人朋友 并且及贷本身利率极高 变相砍头息 希望官方给个说法</t>
  </si>
  <si>
    <t>2019/10/02 14:59:33</t>
  </si>
  <si>
    <t>本人一直正常使用交通银行信用卡，本来30000额度，无故被降到2000，导致资金周转困难，短期内无法还上账单金额，信用卡中心委托第三方不断短信诱导套现，还有诱导我不还款，还威逼说上门催收，我一直积极筹钱还款，下图就有我的还款记录，但是第三方公司一直威胁说还这几百块有什么用，要一次性还5000多元，我有这么多钱还还需要逾期，请停止短信骚扰，我会一步步还款，我越还款越骚扰频繁，是不是连吃饭钱都不允许我留着。</t>
  </si>
  <si>
    <t>2019/10/02 14:59:16</t>
  </si>
  <si>
    <t>投诉人陈俊杰投诉对象我来数科涉诉金额25000元问题类型诉求类型投诉详情1、收取高额利息，我于该平台借款一万元、12月还清每月还款1133元总计利息3600元；不符合法律相关规定2、收取高额手续费、我于该平台借款1.45万元、12月还每月还款1643元总利息5216元，不符合相关法律规定3、因月底忘记还款逾期两天加收我300元手续费，不符合法律规定4、跟客服沟通客服口口声声说她们是按照法律规定做的，这是抹黑我们国家的法律法规。</t>
  </si>
  <si>
    <t>2019/10/02 14:58:49</t>
  </si>
  <si>
    <t>投诉人丁琼投诉对象秀动网涉诉金额130元问题类型诉求类型投诉详情本人于2019年10月2号13:03在秀动网购买一张演出预售票，因跟朋友购买重复了，想申请退款，客服不予受理，死咬非演出场地变更其他情况不予退款。</t>
  </si>
  <si>
    <t>2019/10/02 14:58:21</t>
  </si>
  <si>
    <t>从8月27日开始在你点马上有借款平台进行借款，连续2次，借款为周期为6天，一次8月27日借款2200元，实际到账1386元，9月1日到期应该还款2200元，没有钱还款做了一期延期，到了7号凑齐了2200元做了还款，9月7号又做了1次借款，到12号还款，实在拿不出来，协商后少了200元，结果是2000元结清，一共12天一共2212的利息，并是有合利宝科技有限公司进行扣款，现在要求合利宝广州科技有限公司协助联系你点马上有平台进行协商，退还收取的高出国家标准利率的利息，事情已经过去了18天，合利宝广州科技有限公司</t>
  </si>
  <si>
    <t>2019/10/02 14:58:02</t>
  </si>
  <si>
    <t>投诉人周女士投诉对象智行涉诉金额49元问题类型诉求类型投诉详情在智行火车票App上改签改签成功后莫名被扣款给客服打电话说查询不到扣款订单不予受理。</t>
  </si>
  <si>
    <t>2019/10/02 14:57:53</t>
  </si>
  <si>
    <t>投诉人王先生投诉对象洋钱罐借款涉诉金额120元问题类型诉求类型投诉详情非法收取逾期费用暴力催收骚扰朋友利率太高。</t>
  </si>
  <si>
    <t>2019/10/02 14:57:46</t>
  </si>
  <si>
    <t>投诉人苑先生投诉对象卡分期涉诉金额249元问题类型诉求类型投诉详情卡分期恶意收取会员费249元，收取之后客服还是一样无回复，明显的欺诈。</t>
  </si>
  <si>
    <t>2019/10/02 14:57:32</t>
  </si>
  <si>
    <t>投诉人罗先生投诉对象小度有钱涉诉金额198元问题类型诉求类型投诉详情投诉小度有钱，已注册名义填骗取个人信息和银行卡号，获取权限，在我不知情的情况下扣取198会员费，客服拒绝退款，而且app已经无法下载使用，请帮助处理。</t>
  </si>
  <si>
    <t>2019/10/02 14:57:01</t>
  </si>
  <si>
    <t>投诉人韩先生投诉对象虾米在线涉诉金额6000元问题类型诉求类型投诉详情宙斯女神，虾米钱包，胖胖有米这几个都是一个系列的，骚扰短信等联络方式都是一样的，在国家严厉打击期间继续顶风推广，群发消息，威胁要倒卖个人资料，本就是超高利贷，不依据法律进行取缔处理，还在这里进行协商解决，这是什么情况，要是光走个形式而已还弄这套投诉有什么意义呢。</t>
  </si>
  <si>
    <t>2019/10/02 14:56:42</t>
  </si>
  <si>
    <t>投诉人李女士投诉对象钱站爱钱进涉诉金额1500元问题类型诉求类型投诉详情在钱站爱钱进借1500元，合同写的2805元，分三个月，每月不953.92元，因手头资金紧张，麻烦聚投诉和钱站爱钱进工作人员联系，免第三期所有的费用，万分的感聚投诉和钱站爱钱进全体工作人员。</t>
  </si>
  <si>
    <t>2019/10/02 14:55:40</t>
  </si>
  <si>
    <t>投诉人吴先生投诉对象现金巴士涉诉金额1200元问题类型诉求类型投诉详情现金巴士暴力催收！我说10号发工资还！它说明天不还威胁爆通讯录！。</t>
  </si>
  <si>
    <t>2019/10/02 14:54:19</t>
  </si>
  <si>
    <t>玖富万卡利息太高，还有什么服务费交的比本金还高，均已还不起！。</t>
  </si>
  <si>
    <t>2019/10/02 14:52:26</t>
  </si>
  <si>
    <t>投诉人 王梦超先生        投诉对象  现金借款        涉诉金额  120 元    问题类型    诉求类型投诉详情  逾期一天 费用收取四十多元暴力催收利息太高</t>
  </si>
  <si>
    <t>2019/10/02 14:50:58</t>
  </si>
  <si>
    <t>2017款斯巴鲁傲虎，发动机怠速抖动，4s店维修几次没找到原因，已经1年来。</t>
  </si>
  <si>
    <t>2019/10/02 14:49:42</t>
  </si>
  <si>
    <t>买家收到后洗过退回，包裹申通放凉茶店代签收，淘宝小二和申述专家组处理结果都是支持退款，理由是买家退回的包裹我已正常签收，现在快递都要做时效业绩，我跟他们说如果太晚包裹就第二天派送都不行，是不是只有快递录了签收我就只能认。</t>
  </si>
  <si>
    <t>2019/10/02 14:48:11</t>
  </si>
  <si>
    <t>小花钱包暴力催收，年化率33%点多，暴力催收亲戚朋友，用本人手机号码各种注册网站。</t>
  </si>
  <si>
    <t>2019/10/02 14:46:41</t>
  </si>
  <si>
    <t>投诉人晋先生投诉对象捷信金融涉诉金额1200元问题类型诉求类型投诉详情捷信公司天天给我家人打电话骚扰，威胁，我父亲不堪他们的骚扰已经生病住院，要是他老人家有任何意外发生，我一定不会放过捷信公司，投诉到他们关门。</t>
  </si>
  <si>
    <t>2019/10/02 14:46:07</t>
  </si>
  <si>
    <t>不得不说哈喽单车真的很坑，我是8月22日去做的兼职，做之前因为系统看到有一些车子没录入，我就跟主管说为什么我这边做的没数据，后面他就说发工资的时候会给我补上，后面一直拖到现在都没给我补齐工资，怪不得一直说招不到人，这种管理如何做的下去呢，希望再去做兼职的朋友要小心点，虽然说工资不多也就500左右，但是一个500两个就1000十个就5000想想就觉得不公正，希望在这里投诉会有有效的解决方案吧。</t>
  </si>
  <si>
    <t>2019/10/02 14:45:25</t>
  </si>
  <si>
    <t>在米条联盟就是原来的凭证区借3200三笔，到账1800，到期因为钱不够晚还一天，暴利催收，本金还完要逾期费50%，只有2000了，不给销账，还要什么通讯录销毁费4800。</t>
  </si>
  <si>
    <t>2019/10/02 14:44:50</t>
  </si>
  <si>
    <t>当时在钱站借款5000元，分三期还款，每期还款竟高达2377元合计还款7131元，这明显与国家规定的利息不符，严重超出国家规定的利息，明显属于高利贷，强制签署阴阳合同！强烈要求钱站退款超出国家应当合理收取的利息！！！。</t>
  </si>
  <si>
    <t>2019/10/02 14:44:42</t>
  </si>
  <si>
    <t>九月三十四在通过支付宝在小猪短租订了成都一家民宿，房东说房间已满让我取消订单，十月二号支付宝把我在小猪短租的房费扣了79.2，在软件上联系不到客服。</t>
  </si>
  <si>
    <t>2019/10/02 14:43:55</t>
  </si>
  <si>
    <t>投诉人王先生投诉对象宜人万花涉诉金额0元问题类型诉求类型投诉详情我在宜人万花上申请了50000块钱的贷款审核通过后在放款的过程中失败说是账户信息有误，联系客服查看后说是我银行卡号填写错了资金冻结了，解冻要先交10000元的解冻金，还好查询之后知道了银监会监管局是没有冻结资金权力的，没有上当给他们打钱，我绑定的银行卡完全是正确的，合同上面的银行卡是错误的平台私自更改，账单也出来了我就是没收到他们平台的放款，那到时候到期了不是要我还钱，他们这个就是一个虚拟平台，欺骗行为，盗取他人信息”要求宜人万花马上撤消贷款合</t>
  </si>
  <si>
    <t>2019/10/02 14:43:42</t>
  </si>
  <si>
    <t>上海棵浣科技在小白来花里面的人人速贷借2000到账1400，7天还2000，我在上面有5笔，有两笔是易宝支付的已退款解决，其他的是快钱支付跟富友支付的未解决，他们以联系不上商户为理由不解决问题，在快钱支付跟富友支付上已投诉三个月无果，快钱跟富友的没有协商退款，也没有提供任何证明！。</t>
  </si>
  <si>
    <t>2019/10/02 14:43:16</t>
  </si>
  <si>
    <t>投诉人 陈女士        投诉对象  清风钱包,贷上钱        涉诉金额  2 000 元    问题类型    诉求类型投诉详情  2019年8.21号:在贷上钱 清风钱包借款2000元 9.20号需还款：2500元。还款日那几天 我多次存钱进去 就被别的平台扣掉 后来经过沟通 我去重新办卡 重新存钱 。这期间 工作人员不断的对我进行骚扰 还说各种难听的话 威胁我 甚至爆打我联系人的电话 对他们加强恐吓 工作人员说我没钱直接说就行了 没必要在这说谎 我都说</t>
  </si>
  <si>
    <t>2019/10/02 14:43:13</t>
  </si>
  <si>
    <t>投诉人黄女士投诉对象淘钱钱,汇潮支付涉诉金额1900元问题类型诉求类型投诉详情在淘钱钱上借款2000只放1100.砍头期900我到期就找客服协商解决问题，说还1300他不同意要我跟催收协商，然后客服只能减免100。</t>
  </si>
  <si>
    <t>2019/10/02 14:43:09</t>
  </si>
  <si>
    <t>投诉人车先生投诉对象恒丰银行涉诉金额0元问题类型诉求类型投诉详情恒丰银行业务太差！在恒丰银行办个ETC，必须关联信用卡不说，快一个月了信用卡也没收到，跑了几次高速也就30几块的过路费现在没法还款，问怎么还款，回复让我先打客服问什么虚拟号还！这就是你们所谓的保证客户资金安全！催好几回以后给我来个电话，家人接的，也不知道咋的，下午就收信息说信用卡申请不通过！让我寄回ETC设备，我不是求着你要用你们家信用卡，我只是图个方便快捷，本人有自己的公司，信用良好，申请个ETC的信用卡你跟我说被拒了，如果以后跟贵行有资金业</t>
  </si>
  <si>
    <t>2019/10/02 14:42:49</t>
  </si>
  <si>
    <t>投诉人兰女士投诉对象卡牛信用管家涉诉金额3876元问题类型诉求类型投诉详情我是用信用卡贷的，说有3500的额度，结果只有三千一百元左右，我问了下这算是砍头息，175元和245元是什么费用，借了三千五百块，这上面却显示我要还三千八百多，这个我要怎么还，还联系不到客服，请给予处理，退我四百二十。</t>
  </si>
  <si>
    <t>2019/10/02 14:42:26</t>
  </si>
  <si>
    <t>投诉人丁先生投诉对象立借,月月借涉诉金额2100元问题类型诉求类型投诉详情立借app上面无法还款，联系立借客服给了线下还款的账户，按照要求线下还款了，但是一直不销账，再次联系立借客服，客服说需要几天查账，结果过去6天了还不给销账一直算逾期，这样的还款不给销账的套路恶意致使我们逾期，还收取逾期费用的行为谁负责。</t>
  </si>
  <si>
    <t>2019/10/02 14:41:50</t>
  </si>
  <si>
    <t>为什么我在钱站上面借14000，合同上写的是18480，真正拿到手的也就是14000，按国家利率算每个月怎么都不要1866.61这个钱，这个钱我是一年还的，按照这个还法我一年就要还22399.32，足足单利息要还八千多！我还了7个月足足还了1万三千多，越还越不对劲的！想叫钱站调息，外加上那本来借14000的怎么会写成18480去了，那四千多跑哪去了。</t>
  </si>
  <si>
    <t>2019/10/02 14:41:37</t>
  </si>
  <si>
    <t>逾期一天利息三百多，国庆节工资还没发，一天几十个暴力催收短信，。</t>
  </si>
  <si>
    <t>2019/10/02 14:40:04</t>
  </si>
  <si>
    <t>开卡金额为19.9开完后各家饮品消费还需另外付钱，其中“首两次立减10元，开卡成本瞬间赚回”这句话就是立减完20元抵消了19.9开卡。</t>
  </si>
  <si>
    <t>2019/10/02 14:39:44</t>
  </si>
  <si>
    <t>投诉：1、高利息，申请前提示利息低，审核通过后显示利息等费用要高很多，且借款金额与合同金额同，借款申请为50000元，申请成功后，合同金额为55000元，而这时发现有问题，却无法撤销贷款申请，存在欺诈行为，借款合同年化利率显示为10.500%，50000元按24期计算应还60500元，但实际要还3391.64*24=81399.36元，2、不能提前还款，如果要提前结清，需要还后期所有期数的利息费用，3、合同内容完全是套路贷的玩法，霸王条款，必须起诉，诉求：说明高出来的利息怎么算的，给予按现在发生的费用进行结</t>
  </si>
  <si>
    <t>2019/10/02 14:38:45</t>
  </si>
  <si>
    <t>投诉人代先生投诉对象苹果公司涉诉金额300元问题类型诉求类型投诉详情苹果商店未经允许，胡乱扣费，反馈无人处理，推脱责任。</t>
  </si>
  <si>
    <t>2019/10/02 14:38:31</t>
  </si>
  <si>
    <t>投诉人刘先生投诉对象钱橙无忧涉诉金额168元问题类型诉求类型投诉详情我已明确跟他们售后说取消订单，第二天还是扣我的钱！。</t>
  </si>
  <si>
    <t>2019/10/02 14:38:26</t>
  </si>
  <si>
    <t>因为家人前天刚做完手术，现还在重症监护室抢救，所以和现代管家协商晚几天还款，其他平台都同意了，对方不同意也就算了，直接语言威胁，骚扰，谩骂。</t>
  </si>
  <si>
    <t>2019/10/02 14:38:22</t>
  </si>
  <si>
    <t>小富商城无故从农业银行中扣款420.57元。</t>
  </si>
  <si>
    <t>2019/10/02 14:38:14</t>
  </si>
  <si>
    <t>投诉人罗女士投诉对象Wecash闪银涉诉金额6000元问题类型诉求类型投诉详情我在闪银奇异上借了六千块钱，要让我交1080的担保费，还有59元的服务费，借了六个月每个月还收取107.4的利息费，我希望平台能给我处理，谢谢！。</t>
  </si>
  <si>
    <t>2019/10/02 14:38:01</t>
  </si>
  <si>
    <t>打骚扰电话，给亲戚朋友，我要求赔偿在说还款的事。</t>
  </si>
  <si>
    <t>2019/10/02 14:37:28</t>
  </si>
  <si>
    <t>投诉人曹女士投诉对象钱站涉诉金额15000元问题类型诉求类型投诉详情钱站逾期3天，不联系本人，直接爆通讯录！。</t>
  </si>
  <si>
    <t>2019/10/02 14:36:59</t>
  </si>
  <si>
    <t>快易花逾期一天，上午催收打电话回复下午处理，催收直接说不行，接着就联系我家人，下午打电话我质问又来了一个男的接电话对我恐吓辱骂。</t>
  </si>
  <si>
    <t>2019/10/02 14:36:18</t>
  </si>
  <si>
    <t>交通银行信用卡9月7日是账单日，10月2日是还款日！，从9月27日开始就天天打电话来，都是机器人，报账单！节假日也是如此，国庆节还是电话骚扰！还没逾期都这样，简直无法无天！。</t>
  </si>
  <si>
    <t>2019/10/02 14:34:29</t>
  </si>
  <si>
    <t>本人在火影帮借款1200，砍头息将近400余元，借款期限15天。</t>
  </si>
  <si>
    <t>2019/10/02 14:34:12</t>
  </si>
  <si>
    <t>投诉人 王先生        投诉对象  拼多多        涉诉金额  3 000 元    问题类型    诉求类型投诉详情  商户刷单 骗走钱后不退款，联系不上商家 拼多多平台也不提供商家联系方式</t>
  </si>
  <si>
    <t>2019/10/02 14:33:36</t>
  </si>
  <si>
    <t>投诉人张先生投诉对象www.jj.cn涉诉金额5000元问题类型诉求类型投诉详情玩家在游戏里面有可以用参赛积分兑换游戏物品，每个星期可以领取相应的成就工资也就是游戏金币，现在游戏把这个功能成就工资取消了，现在光有物品一点用错处也没有，客服说后续有什么的，那是以后的事情，现在要求赔偿玩家参赛积分，物品收走，就好好像人民把钱存银行，就是为了利息或者分红什么的，总不能那天银行突然说利息没有了，然后本金也不给了，可笑吗！现在国家杜绝赌博游戏存，游戏厅什么的，都把打鱼游戏取缔了，为何现在这个游戏里面还存在！至于为什么</t>
  </si>
  <si>
    <t>2019/10/02 14:33:30</t>
  </si>
  <si>
    <t>借款金额显示1333.实际到账1000元，要三期还款金额达到1600多，几率超过百分之百，要求减息。</t>
  </si>
  <si>
    <t>2019/10/02 14:32:58</t>
  </si>
  <si>
    <t>投诉人庞先生投诉对象Wecash闪银涉诉金额0元问题类型诉求类型投诉详情2019年10月1日闪银哼哼不小心点到了申请额度，没有任何提示就直接给你下借款订单，还要强制收取169元的担保费用，找客服说要退订借款订单，客服说不能退，这是属于强买强卖，还有169元得担保费用属于砍头息，现在希望闪银能退掉我的借款订单，给我我一个合理的解释，还有希望把这款坑人的平台给取缔。</t>
  </si>
  <si>
    <t>2019/10/02 14:30:47</t>
  </si>
  <si>
    <t>投诉人张先生投诉对象好易贷涉诉金额10000元问题类型诉求类型投诉详情利息非常高，还款日当天没经过本人允许拨打通讯录家人电话，三个月要还2600利息，三个月要还12600元剩下九个月每个月要还111.总计应还：13599。</t>
  </si>
  <si>
    <t>2019/10/02 14:30:16</t>
  </si>
  <si>
    <t>投诉人 姚先生        投诉对象  现金白卡        涉诉金额  0 元    问题类型    诉求类型投诉详情  还有更多的图片。我这么久才来投诉是因为才知道可以投诉。循环借了应该十次左右吧。最后还侮辱我批图群发彩印。现在这个记录应该是找不到了。希望能还世间一点光明。让黑暗与罪恶消失。暴力催收对人是一种侮辱催收。抗压能力弱点的都选择跳楼。活下来的都远走他乡。有家都没脸回。还请还我尊严。给我道歉赔偿。以及把多余的还款退还</t>
  </si>
  <si>
    <t>2019/10/02 14:30:00</t>
  </si>
  <si>
    <t>投诉人张女士投诉对象达飞云贷涉诉金额12000元问题类型诉求类型投诉详情达飞云贷每天超过两个电话对我进行言语威胁恐吓，严重影响本人工作以及精神状态，以至工作出错，被罚款，扣工资，还威胁时间必须还清，经本人诚心解释沟通之后，仍以言语威胁，说要联系我的亲朋好友帮忙代还，还诽谤说我没有还款意愿，态度不好，拒不还款，对我造成心理上的伤害。</t>
  </si>
  <si>
    <t>2019/10/02 14:29:51</t>
  </si>
  <si>
    <t>买买乐购，我申请了12000，加起来一共要还17677.86，利率为47%多，早就超过了高利贷，我希望将我以前还的，超过高利贷部分退还给我，或者免除我剩余还款金额，现在我还的款已经超过了借款及利息。</t>
  </si>
  <si>
    <t>2019/10/02 14:28:06</t>
  </si>
  <si>
    <t>26接单扣款通知，打电话说1-3个工作日扣款，今天打电话说得十一过后。</t>
  </si>
  <si>
    <t>2019/10/02 14:27:41</t>
  </si>
  <si>
    <t>第一次使用高铁管家的抢票功能，一步步被引导开通了免密支付，后续我自己购买了车票，但高铁管家未提示取消抢票，随后我收到信息，帮我抢票成功，已自动扣掉我的抢票费用，此时我有重复的两张票，我只能选择退票，但退票产生的手续费与客服沟通后无法退还，我认为这是因为对方平台的流程有问题才会发生这样的事情，我希望对方承担我退票的手续费。</t>
  </si>
  <si>
    <t>2019/10/02 14:26:08</t>
  </si>
  <si>
    <t>投诉人吴女士投诉对象钱站,华夏银行涉诉金额1000元问题类型诉求类型投诉详情钱站高利贷三个月要还一千六百多，最后一期已经没偿还能力了，要求协商销账。</t>
  </si>
  <si>
    <t>2019/10/02 14:25:27</t>
  </si>
  <si>
    <t>投诉人刘先生投诉对象豹子货涉诉金额298元问题类型诉求类型投诉详情绑定银行卡没申请自动扣款客服不给退款有电话录音为证。</t>
  </si>
  <si>
    <t>2019/10/02 14:25:13</t>
  </si>
  <si>
    <t>投诉人 宋先生        投诉对象  钱站        涉诉金额  4 000 元    问题类型    诉求类型投诉详情  借款时2000 3个月说每月还款700多 现在突然变成每月还1200接受不了</t>
  </si>
  <si>
    <t>2019/10/02 14:25:06</t>
  </si>
  <si>
    <t>小浦优客在本人填写资料过后不知情的套路扣我296元。</t>
  </si>
  <si>
    <t>2019/10/02 14:24:52</t>
  </si>
  <si>
    <t>涉诉金额7000元问题类型诉求类型投诉详情安逸花单方面终止合同，锁定账户，本人在马上消费金融旗下产品安逸花申请循环贷，总金额7000元，期间一直正常使用，连app都并未通知，对账号进行锁定，无法消费和提现，我不同意，要求安逸花方恢复可使用额度，解锁我的账户！。</t>
  </si>
  <si>
    <t>2019/10/02 14:24:44</t>
  </si>
  <si>
    <t>笑脸金融,嗨钱网,深圳光华普惠科技有限公司，我之前在嗨钱app有过借款，都是一直按时还款，直到今年7月份时，app上就无法还款了，我一直给嗨钱官方客服打电话：4000205566,但那边一直无人接听，我也联系多次在线客服，但一直没人回复我！一直到八月份时，有个自称嗨钱的给我打电话，让我还钱，我当时就问你是嗨钱工作人员吗，他回答的吞吞吐吐的，最后才说是深圳光华普惠的，自称什么第三方，我告诉他，我是从嗨钱借的钱，我只会还给嗨钱，之后我又联系了嗨钱官方，这次打了几个后终于打通了，嗨钱官方给我的答复是他们的app正</t>
  </si>
  <si>
    <t>2019/10/02 14:23:52</t>
  </si>
  <si>
    <t>微信支付违规冻结我帐户，不可以绑卡，不可以提现，侵占人民的财产，打人工电话打不通，一直提醒提供手持身份证，上传无数次都没有用。</t>
  </si>
  <si>
    <t>2019/10/02 14:23:16</t>
  </si>
  <si>
    <t>在京东上面卖笔记本给爱回收，验货完成短信提示两小时内放款，但是我迟迟没收到。</t>
  </si>
  <si>
    <t>2019/10/02 14:22:57</t>
  </si>
  <si>
    <t>本人2月3日在北京三借科技有限公司旗下的藕丁钱包申请3000元贷款，借款期限为3个月，前期却扣除了900元的砍头息实际到账2100元，每期还款1090元，实际还款3270元，2100元的借款3个月却要还3270元，明显的高利贷本人已经还清希望退还本人900元砍头息，合同及具体明细甲方单位地址等在图片里。</t>
  </si>
  <si>
    <t>2019/10/02 14:22:33</t>
  </si>
  <si>
    <t>浙江电信霸王条款，7月份办理当前手机号码以便于使用，期间告知有赠送一条宽带，免初装费，后因故未能安装，便保留在内，告知如有需要，可随时免费上门安装，后9月份搬到另外个地址，重新要求安装，告知需要初装费200元，因不满费用问题询问店员如何解决，店员告知更换套餐，将现号码变更为副号，为尽快解决网络问题，我按照要求更改，套餐从优惠68元每月变更为了99每月，其余不变，至此，宽带安装完成，九月26日，手机流量告急，达到20G阀值，因无法加入提速包20元10个G而致电人工客服，人工表示新套餐不支持20元10个G，只能</t>
  </si>
  <si>
    <t>2019/10/02 14:21:45</t>
  </si>
  <si>
    <t>套路贷借完钱还了不让带了不到还款期打骚扰电话和发骚扰短信。</t>
  </si>
  <si>
    <t>2019/10/02 14:21:35</t>
  </si>
  <si>
    <t>投诉人文先生投诉对象程咬金借款涉诉金额2200元问题类型诉求类型投诉详情本人于2019年5月20号，使用这个平台借款，现在给的利息已经远远大于本金，是本金好几倍，协商时间还款，完全不行，逾期第二天，就打我联系人，骚扰我的家人，我现在给他们利息已经远远大于本金和合法利息。</t>
  </si>
  <si>
    <t>2019/10/02 14:21:34</t>
  </si>
  <si>
    <t>投诉人王女士投诉对象钱站涉诉金额826元问题类型诉求类型投诉详情今天是还款日，上午电话不停的再打，我又没有逾期，今天晚上12点之前我几点还款是我自由，有病啊，一上午挂了又打，说话真的太嚣张了，是不是有病啊。</t>
  </si>
  <si>
    <t>2019/10/02 14:21:06</t>
  </si>
  <si>
    <t>投诉人刘先生投诉对象借贷宝涉诉金额3000元问题类型诉求类型投诉详情借贷宝借款人通过qq聊天说可以给我放款但要我先打借条因为本人最近急用钱也没想那么多就打了然后借款人以要流水为名义叫我支付宝先给他600然后他钱转给我3600我不答应要求他撤销借条他要收取5%手续费才肯撤销我怕被骗5%手续费后还是不会撤销就找借贷宝客服客服叫我报警与他们无关。</t>
  </si>
  <si>
    <t>2019/10/02 14:20:38</t>
  </si>
  <si>
    <t>投诉人林先生投诉对象福利到手贷款公司涉诉金额2000元问题类型诉求类型投诉详情乱收费，暴力催收，之前谈好还的款项，现在换了个客服款项就变了。</t>
  </si>
  <si>
    <t>2019/10/02 14:20:22</t>
  </si>
  <si>
    <t>手机号是我爸的159******39,手机被我小女儿拿着玩误点了一些收费的业务，收费太贵了，流量费也太贵了，希望中国移动返回我的话费，恢复我爸的手机号。</t>
  </si>
  <si>
    <t>2019/10/02 14:19:53</t>
  </si>
  <si>
    <t>投诉人邓先生投诉对象拼多多涉诉金额2648元问题类型诉求类型投诉详情无故被拼多多扣款2648元让客服查运单号购买商家和收货人电话姓名半个月一直没有结果客服不管平台不管。</t>
  </si>
  <si>
    <t>2019/10/02 14:19:26</t>
  </si>
  <si>
    <t>微信第三方平台小程序应用商店，对第三方游戏内容无加强监管，不断弹出诱导性充值购买消费指引，未成年无行为能力人在使用平台后被诱导，不明就里根据指引不断购买平台虚拟道具，投诉反馈商家与腾讯均不予处理，淘宝，京东还有三天无理由退货，苹果第三方支付充值会员都有15天用户保障，腾讯如果对第三方平台监管保障用户安全。</t>
  </si>
  <si>
    <t>2019/10/02 14:18:56</t>
  </si>
  <si>
    <t>2019年9月14日我在闪银哼哼借了1000元，一个月后收我1030元，外加强制购买的一个169元的担保凭证费用，一共一个月后要我还就是1199元，这已经是属于高利贷了，现在希望闪银能把多收取的169元退还我，希望能给我一个合理得解释，退还你们多收取的我的169元。</t>
  </si>
  <si>
    <t>2019/10/02 14:17:57</t>
  </si>
  <si>
    <t>小白来花里面的鑫能贷是714高利贷平台，平安银行提供放款，快钱支付扣款，在快钱支付投三个月，没有解决问题，商户并未联系我，一直拖着，不于解决，，利息百分之30，2000到账1400，7天以后还2000。</t>
  </si>
  <si>
    <t>2019/10/02 14:17:53</t>
  </si>
  <si>
    <t>本人在马上消费金融旗下产品安逸花申请循环贷，总金额3400元，期间一直正常使用，因2019年一月份还款问题，我在我里面已经分期，并偿还了当期应还额度，app里也显示分期和还款都已成功，但是第三天安逸花要求我偿还全额，说后台显示分期失败，期间打客服协商，本人就全部偿还了剩下金额，但是账号就锁定了，分期失败原因为安逸花方系统机构问题，造成本人逾期，期间与安逸花客服联系过沟通了这个问题，并且保有电话录音，处理好了该还的金额后马上金融安逸花方单方面锁定我账号额度，并且不做任何通知，因为这次安逸花在我本人不知情的情况</t>
  </si>
  <si>
    <t>2019/10/02 14:17:52</t>
  </si>
  <si>
    <t>；针对短信通知的扣款，不提前短信通知客户，在逻辑上不合理；年收短信服务费本身不合理，应改为大多数银行的月收短信服务费制度；年收短信费不得退换，在服务的任何阶段都不具备退款的可能性，是隐形的霸王条款和不合理举措。</t>
  </si>
  <si>
    <t>2019/10/02 14:16:47</t>
  </si>
  <si>
    <t>投诉人李女士投诉对象钱包易贷涉诉金额883元问题类型诉求类型投诉详情我在去年12月申请的钱包易贷，6700的本金，扣了我883.16的砍头息，扣除后实际到账5817，我一共12个月需要还7500多元。</t>
  </si>
  <si>
    <t>2019/10/02 14:16:44</t>
  </si>
  <si>
    <t>我2019年8月贷款了一笔2000块钱的款项还款日是2019年9月29日，逾期一天就爆电话通讯录已经影响到我的生活了。</t>
  </si>
  <si>
    <t>2019/10/02 14:16:42</t>
  </si>
  <si>
    <t>投诉人熊胜投诉对象银生宝涉诉金额21500元问题类型诉求类型投诉详情上海银生宝为非法博彩公司收单结算资金，请求上海银生宝退还我的血汗钱。</t>
  </si>
  <si>
    <t>2019/10/02 14:16:27</t>
  </si>
  <si>
    <t>投诉人刘世全投诉对象爱又米涉诉金额3000元问题类型诉求类型投诉详情爱又米又用了三四年了，结果突然额度不能用接着有爱又米客服加我qq，叫我在爱又米上买加油卡解除风控就能用爱又米额度，结果油卡也没有用，后来才发现自己被...，打电话给爱又米客服推卸责任，说不关他们事，服务差不解决问题，现在天天恐吓，催款，投诉过一次，打电话问问就说是和我协商了，这样不是推卸责任，如果他们给的额度能用，我怎么会花3000买加油卡被....，怎么不和他们无关，爱又米必须给出接触问题的方法还我3000。</t>
  </si>
  <si>
    <t>投诉人李世焕投诉对象玖富万卡,玖富涉诉金额9000元问题类型诉求类型投诉详情我借了不到一万块钱，五万还19000多元。</t>
  </si>
  <si>
    <t>2019/10/02 14:16:22</t>
  </si>
  <si>
    <t>昨天还款日联系了客服协商还款，借款1600到账1152，在9.16日已经还款816元，剩余账单816元昨天到期，但实际本金只有336元，客服态度强硬，只减免200元，并威胁投诉一分不减，我在昨晚已和该客服说明十点不回复我就走聚投诉，该客服一直未回复，今早接到上海电话说是牛人有品客服，第一通电话在明知我已经聚投诉切逾期一天的时候答应350元销账处理，并告知我撤了案就行，之后加了我的微信，让我撤案之后截图给她，后我为了确定是否可以销账再次在微信上问了她，之后她又打电话过来告诉我350销账可以，先撤案再去申请，挂</t>
  </si>
  <si>
    <t>2019/10/02 14:13:47</t>
  </si>
  <si>
    <t>投诉人刘先生投诉对象数来宝涉诉金额1125元问题类型诉求类型投诉详情在数来宝平台申请贷款2200到帐1584元，还2250元，套路贷高利贷暴力催收！。</t>
  </si>
  <si>
    <t>2019/10/02 14:13:21</t>
  </si>
  <si>
    <t>投诉人 拉拉巴旦增        投诉对象  特约川程        涉诉金额  988 元    问题类型    诉求类型投诉详情  川程无故扣款 我与川程 并无 任何 交易往来</t>
  </si>
  <si>
    <t>2019/10/02 14:12:48</t>
  </si>
  <si>
    <t>投诉人柳先生投诉对象肥猫贷涉诉金额1040元问题类型诉求类型投诉详情高利贷套路贷6天借款期限，到账1050，还款要1500，客服人员无故短信轰炸，态度恶劣.。</t>
  </si>
  <si>
    <t>2019/10/02 14:12:29</t>
  </si>
  <si>
    <t>投诉人王女士投诉对象随手记,福袋涉诉金额6000元问题类型诉求类型投诉详情随手记福袋工作人员，态度极其恶劣，出言不逊，威胁恐吓再不还钱就要爆通讯录。</t>
  </si>
  <si>
    <t>2019/10/02 14:12:28</t>
  </si>
  <si>
    <t>投诉人蒋先生投诉对象月光侠分期涉诉金额2800元问题类型诉求类型投诉详情月光侠借款4000到账2800分三期，每期还1400多，刚看了下合同有2000说是信息咨询费，总额度才2800你何来4000的合同。</t>
  </si>
  <si>
    <t>2019/10/02 14:11:11</t>
  </si>
  <si>
    <t>本人第一次借款10万，还款时发现要还16万，第二次借款7.2万还款时发现11万，请问这可处理不，。</t>
  </si>
  <si>
    <t>2019/10/02 14:10:11</t>
  </si>
  <si>
    <t>投诉人 朱先生        投诉对象  立借        涉诉金额  9 000 元    问题类型    诉求类型投诉详情  误点确认借款，想取消订单。一直在放款中，利息太高。高利贷 ，分期还款没有详细列表，现在钱还没到账。需要取消订单。</t>
  </si>
  <si>
    <t>2019/10/02 14:10:06</t>
  </si>
  <si>
    <t>玖鱼钱包,来花花,支付宝,蚂蚁金服,汇潮支付，本投诉为重新投诉，因为无人处理，追加投诉！望支付宝平台可以协助处理！本人通过玖鱼钱包下载申请的来花花贷款平台，借款1400，6天需要还2000.6，没有明确合同，客服不处理，告诉我等聚投诉客服处理，但是我必须得还款，不然就要采取他们的手段催收！催收人员也不处理，我就申请了一个延期，说是3天，但是也就2天，就花了300块钱，明天又要到还款日了，如此不合法的高利贷，本人实在无力承担！望贵平台可以跟进处理！感觉这个借款平台一点也不正规，扫码付的是个餐饮店！如果再不给我</t>
  </si>
  <si>
    <t>2019/10/02 14:09:46</t>
  </si>
  <si>
    <t>要求达飞云贷返还高额利息，并且出面道歉还老百姓公道。</t>
  </si>
  <si>
    <t>2019/10/02 14:09:08</t>
  </si>
  <si>
    <t>本人在微博借钱上，总计借款有12万，期间，微博平台告诉我还款利率为国家规定的利率之内，但是实际的还款利率是他们自己用他们的计算公式算出来的，与国家规定的法定利率并不一样，已经超出国家规定的最高36的利率，希望平台联系我，对我的账单进行调整，对我已支付的超额利息进行返还，否则我将在法院投诉，追回我支付的超额利息，本金一万元，六月分期还款，百分之36国家认可利率，如果等额本息还款，月还款应该是1845.总计11075.85.而平台的还款金额11795.88，请聚投诉平台联系该平台，给我解释并调整利率，退还多支付</t>
  </si>
  <si>
    <t>2019/10/02 14:08:14</t>
  </si>
  <si>
    <t>投诉人钟先生投诉对象牛人有品涉诉金额2200元问题类型诉求类型投诉详情在牛人有品上借款2200元，到手才1500元，阴阳合同，砍头息太高，现无力尝还。</t>
  </si>
  <si>
    <t>2019/10/02 14:07:48</t>
  </si>
  <si>
    <t>投诉人 刘先生        投诉对象  小浦优客        涉诉金额  296 元    问题类型    诉求类型投诉详情  填了卡号没过几天无缘无故扣我钱？我什么都没做就扣钱</t>
  </si>
  <si>
    <t>2019/10/02 14:07:36</t>
  </si>
  <si>
    <t>为通知我就自动扣款打客服电话不退服务态度恶劣。</t>
  </si>
  <si>
    <t>2019/10/02 14:04:06</t>
  </si>
  <si>
    <t>因个人家庭原因导致本期暂时需要延期还款，和万达贷app没在线客服协商延迟，并愿意支付逾期的违约金，客服说不能协商，今天一整天有一个江苏的电话催收，保险起见，我想要对方工号来确认一下，是否是公司的工作人员，或者是可以进行有效协商的，对方拒绝提供工号，并持续骚扰，希望万达贷能提供一个可以协商切正规的人员联系。</t>
  </si>
  <si>
    <t>2019/10/02 14:03:41</t>
  </si>
  <si>
    <t>借款2700，到账2500分4期，每期15天一共要还3200。</t>
  </si>
  <si>
    <t>2019/10/02 14:02:22</t>
  </si>
  <si>
    <t>金卡钱包，借款2000，到账1300，6天期限，到期还2007.2，续期6天700，到期晚还的话直接威胁要催收，现已经续了很多期了，早吧本金还完了！先要求撤销账单！。</t>
  </si>
  <si>
    <t>2019/10/02 14:02:21</t>
  </si>
  <si>
    <t>肥猫贷,玖鱼钱包,支付宝,蚂蚁金服,汇潮支付，9.29通过玖鱼钱包也叫花✘悫，下载的肥猫贷，借款1400，6天后还2000.6，费用600，但是申请时并没有合同明确说明！诱导放贷，到账登录app后才知道需要还2000，客服联系不上，也没有电话！通过汇潮支付放款，还款方式支付宝也为其提供方便！现申请本金➕，法定利息处理！销账！支付宝试了两次，收款方每次都不一样的，所以希望支付宝平台可以协助处理，查明对方公司信息。</t>
  </si>
  <si>
    <t>2019/10/02 14:01:21</t>
  </si>
  <si>
    <t>投诉人张女士投诉对象Wecash闪银涉诉金额2708元问题类型诉求类型投诉详情不小心多申请了两笔到账的钱都没有原封不动要求另外两笔退回去还有申请的时候有三个订购服务自动帮我勾选了得多还三笔服务费。</t>
  </si>
  <si>
    <t>2019/10/02 14:01:13</t>
  </si>
  <si>
    <t>投诉人王先生投诉对象多宝分期涉诉金额5840元问题类型诉求类型投诉详情多宝分期高利贷！借款3700，分四期还款，每期15天！要还5860，利息高达2140！这是典型的高利贷！超出国家规定多少了！在国庆这个时候给国家抹黑，已经还完两期，要求还完一起销账！今天还款日！今天不给解决，投诉到底。</t>
  </si>
  <si>
    <t>2019/10/02 14:00:58</t>
  </si>
  <si>
    <t>投诉人梁女士投诉对象卡卡贷涉诉金额22800元问题类型诉求类型投诉详情本人在维信卡卡贷借款的已经还清，现在要求退回多出部分砍头息，保费，会员费等。</t>
  </si>
  <si>
    <t>2019/10/02 14:00:48</t>
  </si>
  <si>
    <t>投诉人黄女士投诉对象优米多涉诉金额99元问题类型诉求类型投诉详情收取99元会员费，收了会员费以后，借不了款，要求退费，一直推脱。</t>
  </si>
  <si>
    <t>2019/10/02 13:59:46</t>
  </si>
  <si>
    <t>在直播间，买了两块原石当场切开，客服诱导消费说我开到好原石叫我去加工，然后加加工师傅添加了我的微信，付了800定金手工雕山水牌一块龙牌一块，然后价格师傅隔了十来天拿来一堆机雕地摊货给我，也不是用我切开的原石雕刻的，然后管我要7800的手工费我不给7800就没收了我的800&amp;nbsp;等于花了1000多&amp;nbsp;啥都没捞到。</t>
  </si>
  <si>
    <t>2019/10/02 13:59:34</t>
  </si>
  <si>
    <t>投诉人姚先生投诉对象融360,原子贷,时光分期涉诉金额5100元问题类型诉求类型投诉详情一共借款五次。</t>
  </si>
  <si>
    <t>2019/10/02 13:58:56</t>
  </si>
  <si>
    <t>砍头息，套路贷，高利贷，威胁借款人，骚扰亲朋好友。</t>
  </si>
  <si>
    <t>2019/10/02 13:56:40</t>
  </si>
  <si>
    <t>2019年10月1日18点三十分左右，在京台高速0894公里高速路上遇交通拥堵，占用了应急车道，高速一大队的交通警察跑上来就拍车，还说我跟主席一样忙，说的那些话不中听，大呼大叫的让我交出驾证和行驶证，又不止我一个人占用了应急车道，为什么要处罚我，那么多车他怎么不都去处罚呢，这样的处罚不公平，但是出言不逊，是不是有了点权利在手里就可以随他吗。</t>
  </si>
  <si>
    <t>2019/10/02 13:56:10</t>
  </si>
  <si>
    <t>什么逾期违约金就100钱站这个评台利息'这么高就没人管吗。</t>
  </si>
  <si>
    <t>2019/10/02 13:55:25</t>
  </si>
  <si>
    <t>3月1日，在钱包易贷借款了9400元钱，期限是12个月，当时实际到账了9400然后立马就扣除了1240，砍了头息说是贷款管理费，当时就不想借了直接并没有告诉我，下款了才知道！然后每个月还款1007元，这样算下来就借了8200不到需要还12000元，利息简直太黑了，由于这个月经济有点紧张，就逾期了一天，主动找客服协商，但是并被辱骂，并威胁今天下午3点不还就爆通讯录！态度嚣张至极。</t>
  </si>
  <si>
    <t>2019/10/02 13:53:22</t>
  </si>
  <si>
    <t>小花钱包暴力催收，恶意轰炸我通讯录，散发我个人信息，和证件，联系方式，并且骚扰我的亲戚朋友客户，导致我没法工作，我没有说不还对吧，挣钱慢慢还，要求停止骚扰，停息挂账，。</t>
  </si>
  <si>
    <t>2019/10/02 13:52:51</t>
  </si>
  <si>
    <t>投诉人石先生投诉对象钱站涉诉金额6000元问题类型诉求类型投诉详情在钱站申请贷款十月一日前说到账，国庆需要用，但是到今天也迟迟未到，申请贷款就是为了国庆用，国庆过后给我我还用什么，而且贷款6000，分6个月每个月让我还款1700多，综合费用还敢说在36%以内，电话投诉要撤销订单，客服说撤销交违约金，钱都没到还要交违约金吗。</t>
  </si>
  <si>
    <t>2019/10/02 13:52:47</t>
  </si>
  <si>
    <t>本人逾期，但是马上消费金融莫名其妙发短信给联系人，联系人没有任何帮我还款的义务，凭什么随便发什么还款账号之类的给联系人。</t>
  </si>
  <si>
    <t>2019/10/02 13:51:59</t>
  </si>
  <si>
    <t>投诉人周女士投诉对象融360,我来数科涉诉金额14000元问题类型诉求类型投诉详情逾期一天一百砍头息、高利贷，求处理！融360和我来数科。</t>
  </si>
  <si>
    <t>2019/10/02 13:50:52</t>
  </si>
  <si>
    <t>投诉人吕女士投诉对象中腾信涉诉金额28000元问题类型诉求类型投诉详情中腾信现在手机下载的app叫轻松借第一条：借款本金28000每月2号还款1655还24期！利息不合法合规总共要还39720！第二条：本月卡里余额非常充足中腾信没有扣款的情况下，因为国庆放假看阅兵睡的晚陌生号一直没接心想卡里有钱直接扣就好了，还给我发信息说我还不处理还加我微信说下午2点前不处理好要联系我家人协助协商处理！电话骚扰吓唬我要联系我父母，本人每期都还！第三：之前曾经遭到客服的严重恶意惊吓，上午10点就给打电话说如果你在中午12点前</t>
  </si>
  <si>
    <t>2019/10/02 13:47:16</t>
  </si>
  <si>
    <t>因本人原因，造成交通银行信用卡未及时还款，交通银行不停催收，还发信息威胁上门，联系家里老人家，简直无法无天，因本人原因，正在想办法周转，银行这样，简直太没人性，还没人管。</t>
  </si>
  <si>
    <t>2019/10/02 13:45:13</t>
  </si>
  <si>
    <t>投诉人庞先生投诉对象立刻出行涉诉金额499元问题类型诉求类型投诉详情不退款立刻出行499迟迟不退款。</t>
  </si>
  <si>
    <t>2019/10/02 13:44:54</t>
  </si>
  <si>
    <t>8000额度信用卡，每月按时还款，突然被降低信用额度，现在变成5000，要求恢复额度。</t>
  </si>
  <si>
    <t>2019/10/02 13:44:02</t>
  </si>
  <si>
    <t>我的交行信用卡应该9月11号还款但最近因为经济身体各方面原因没有还款已经逾期21天，我想能够协商还款慢慢分期还，但是交行工号211686点客服一直恐吓噢还打我全家电话来进行催款，大概意思就是不还款就去死吧，我已经说了我生病有甲状腺癌，她说你已经这样了那就问全家借钱呗，不借她帮忙，对我的生活身体有很大影响，我说是不是要我去死才行，她说这是你自己的想法，她只是要钱只要钱其他不管。</t>
  </si>
  <si>
    <t>2019/10/02 13:43:47</t>
  </si>
  <si>
    <t>投诉人陈先生投诉对象吉顺通涉诉金额3300元问题类型诉求类型投诉详情吉顺通之前已投诉，和客服也协商了还款金额，但由于当时家里有人住院后续未联系，之后吉顺通开始频繁联系本人的联系人，每次均用不同号码，并发短信威胁。</t>
  </si>
  <si>
    <t>2019/10/02 13:43:29</t>
  </si>
  <si>
    <t>投诉人 杨先生        投诉对象  维信金科        涉诉金额  899 元    问题类型    诉求类型投诉详情  非法扣除前期费用 利息加这个保险都要超过3分多了。谁服呢</t>
  </si>
  <si>
    <t>2019/10/02 13:43:28</t>
  </si>
  <si>
    <t>投诉人尤先生投诉对象360借条涉诉金额31374元问题类型诉求类型投诉详情在抖音上看到360借条，下载并注册了一个，然后客服一直打电话让我借钱，前几天公司缺钱应急，我借了27000，还开通了会员，可以随时还款，享受首月免息，结果昨天要还款才知道要还一年的利息，广告宣传上借40000以下免息，结果借了27000，要还4000多，这跟高利贷没有差别吧。</t>
  </si>
  <si>
    <t>2019/10/02 13:43:06</t>
  </si>
  <si>
    <t>好易贷,海南易联普惠,易宝支付,杭州市民卡，这两笔交易均由杭州杭州市民卡有限公司提供支付渠道10月2日还款3014元结清，有易宝支付提供支付渠道，现要求好易贷及其支付渠道易宝支付按照国家法定利息退回非法所得，否则将向当地金融办及扫黑办进行反映，本人于2019年9月20日申请好易贷3000元，实际放款金额为2100元，砍头息900元，在6天后9月26号就要还款3000元，由于当时资金周转不开选择了续期，支付了900元，这两笔交易均由杭州杭州市民卡有限公司提供支付渠道，10月2日还款3014元结清，有易宝支付提</t>
  </si>
  <si>
    <t>2019/10/02 13:42:41</t>
  </si>
  <si>
    <t>投诉人 张力        投诉对象  融易帮帮        涉诉金额  0 元    问题类型    诉求类型投诉详情  你们发布的这个借款信息真的假的 联系不上你们客服微信公众号也进不去</t>
  </si>
  <si>
    <t>2019/10/02 13:42:07</t>
  </si>
  <si>
    <t>移动手机绑定宽带电视！里面的一些增值业务在没有得到机主本人同意的情况下扣费！家里5岁小孩在电视里面订购了增值业务！在本人没有同意的情况下乱扣费！打电话反应情况客服说当时已经发短信通知！可是机主本人当时在移动APP上查过并没有增值业务的订单！以为是移动发错了！原来只有在电视客户端上才能查到订单消息而且也只有在电视机里面的APP才能退订！移动公司在没有经过本人同意的情况下扣费实属不合理！要求退还扣掉的费用。</t>
  </si>
  <si>
    <t>2019/10/02 13:41:52</t>
  </si>
  <si>
    <t>并且未逾期的账单全部显示逾期！并且跟客服协商按原账单进行分期还款，客服拒绝，经济困难确实是我个人的原因我的错，但是没逾期的账单也显示逾期了，想部分还款也无法调，利息、滞纳金和服务费都那么高，本来就是欺负老百姓，这霸王条款也太厉害了吧。</t>
  </si>
  <si>
    <t>2019/10/02 13:40:59</t>
  </si>
  <si>
    <t>分期乐，刚开始逾期了然后一次性还清了，结果想复借直接给我套路了。</t>
  </si>
  <si>
    <t>2019/10/02 13:39:43</t>
  </si>
  <si>
    <t>我于2017年4月入职泰安通广，2019年1月离职，期间从未按月发放工资，截止目前，还拖欠半年左右的工资，现诉求公司给结清剩余全部工资。</t>
  </si>
  <si>
    <t>2019/10/02 13:39:36</t>
  </si>
  <si>
    <t>由于一些原因，导致未能按时如期还款，这个月发工资之后就可以换进去，我每天兼职两份工作，还威胁要爆我通讯录，造成我的精神压力高度紧张，导致我不能如期，按时工作，影响后续还款，难道想把我往死里逼吗。</t>
  </si>
  <si>
    <t>2019/10/02 13:38:38</t>
  </si>
  <si>
    <t>投诉人郭女士投诉对象淘天下app涉诉金额2487元问题类型诉求类型投诉详情淘天下app在微信群发布彩票投注任务，跟着投每单能赚多少钱，一开始让人赚到小部分的钱，后面开始坑人，把我投进去的本金吃了，还让人继续充值说带我们赚回来，两个号一共被坑2487，一开始是说APP排名推广垫付单任务佣金总和15元，点击链接打开：http://y48ag.kai.864q3z.cn/Ljefo根据提示下载，下载成功打开APP-点击右下角会员-进行注册邀请码10096，联系客服，把垫付的50元截图发给客服，并提供用户名，垫付到</t>
  </si>
  <si>
    <t>2019/10/02 13:38:01</t>
  </si>
  <si>
    <t>投诉人李先生投诉对象交易猫涉诉金额150元问题类型诉求类型投诉详情交易猫交易平台出售一个账号，填写资料时我本人并没有选择购买任何保险，交易猫平台默认给我选择保险并且费用高达1350元，国家规定寿险都可以有反悔期，更何况我是被你们默认购买的。</t>
  </si>
  <si>
    <t>2019/10/02 13:38:00</t>
  </si>
  <si>
    <t>广州小钥贸易部62*************6自己看图吧。</t>
  </si>
  <si>
    <t>2019/10/02 13:37:19</t>
  </si>
  <si>
    <t>利息高德吓人，借款14000，一年要还11000的利息，年利率达多少，。</t>
  </si>
  <si>
    <t>2019/10/02 13:37:11</t>
  </si>
  <si>
    <t>在爱上街商城用金币兑换的商品，地址不小心填错了，赶紧找客服给修改，o给修改，可是我看规则是因为地址问题发错或者无法发货，将视为放弃，投诉，给改回正确地址，山东省济宁市嘉祥街道兖兰东路立国如意花园。</t>
  </si>
  <si>
    <t>2019/10/02 13:36:58</t>
  </si>
  <si>
    <t>来花花,威力贷,卧龙钱包,肥猫贷,汇潮支付，高额利息，严重超过国家规定、现在想协商还款，还本金。</t>
  </si>
  <si>
    <t>2019/10/02 13:36:28</t>
  </si>
  <si>
    <t>到贵州省凯里市办事处办理贷款，并与凡普信签订了信息咨询及管理服务协议，协议约定贷款金额为5.56万元，期限为2年，6月20日到账5.56万元，被扣除1.66万元平台服务费，实际上仅到账3.9万元，却要按5.56万元的贷款来还，两年共需还利息等费用3.535344万元，实际上年利率达到45%，月利率达到37%，远远高出国家规定的借款利息上线，希望聚投诉能与凡普信公司协调，撤销我与他们签到的贷款合同，免除虚增1.66万元平台服务费，按实际到账金额3.9万元还款。</t>
  </si>
  <si>
    <t>2019/10/02 13:35:59</t>
  </si>
  <si>
    <t>属于高利贷，app已经被下架，使用虚假购物app进行高利贷操作，强烈要求按照国家标准年利率不超过百分之36还款，居然借2000一个月还2660什么概念。</t>
  </si>
  <si>
    <t>2019/10/02 13:34:17</t>
  </si>
  <si>
    <t>本应28日自动扣款，结果无法自动还款，客服也不说什么，造成逾期给本人带来其他负面影响。</t>
  </si>
  <si>
    <t>2019/10/02 13:33:40</t>
  </si>
  <si>
    <t>投诉人 赖女士        投诉对象  微粒贷        涉诉金额  1 800 元    问题类型    诉求类型投诉详情  微粒贷威胁恐吓手机号码132 9016 6151</t>
  </si>
  <si>
    <t>2019/10/02 13:33:10</t>
  </si>
  <si>
    <t>本人之前做朋友圈微商代理，没什么生意，以后被陌生人拉拉至一个qq群，说是可以进行兼职什么的，后面告诉我网站，告诉我可以拿流水钱，从开始到现在我才想起来，我是上当了，损失了近万元人民币，上海瀚银为不正当平台提供支付通道，在无奈之下我咨询身边懂法律的朋友后，她告诉我可以通过次投诉进行维权，并明确告诉我以下法律根据《中华人民共和国刑法》第二百八十七条之二：，明知他人利用信息网络实施犯罪，为其犯罪提供互联网接入、服务器托管、网络存储、通讯传输等技术支持，或者提供广告推广、支付结算等帮助，情节严重的，处三年以下有期徒</t>
  </si>
  <si>
    <t>2019/10/02 13:33:08</t>
  </si>
  <si>
    <t>本人8月30在及贷APP里面的智享贷贷款，2700元，实际到账2187元，扣除所谓信用成长计划费用513元，借款钱并没有任何提示，阴阳合同，一个月时间，现在要求我还款2902！要求退换所谓信用成长计划费用513元，黑心网贷，国家严打，还变相砍头息，顶风作案！。</t>
  </si>
  <si>
    <t>2019/10/02 13:33:04</t>
  </si>
  <si>
    <t>投诉人张小雷投诉对象达飞云贷涉诉金额30000元问题类型诉求类型投诉详情达飞云贷，门槛低利息高，属于高利贷现在我和我媳妇都被达飞云贷套牢，什么服务费质保金基础维护费，为还达飞云贷信用卡逾期倾家荡产！希望有关部门出面解决把我和我媳妇还的多余的利息退回来。</t>
  </si>
  <si>
    <t>2019/10/02 13:32:27</t>
  </si>
  <si>
    <t>投诉人唐先生投诉对象钱水艇涉诉金额137元问题类型诉求类型投诉详情昨晚被恶意扣款，在不知情的情况下.没有借款。</t>
  </si>
  <si>
    <t>2019/10/02 13:31:51</t>
  </si>
  <si>
    <t>投诉人刘先生投诉对象立借涉诉金额10000元问题类型诉求类型投诉详情高利息，不合理还款方式。</t>
  </si>
  <si>
    <t>2019/10/02 13:30:24</t>
  </si>
  <si>
    <t>流量超额导致欠费，却一直不给我停机，欠费200多元都没有停机，流量超了900兆收取200多元费用价格高得离谱，变相恶意收取流量费用。</t>
  </si>
  <si>
    <t>2019/10/02 13:29:30</t>
  </si>
  <si>
    <t>本人在2019年9月25日在钱伴平台借钱，审核通过后下款25000元，本人当时不了解所谓的利率，账单显示每期还款4274.26元，，分6期，但是借完款以后才发现前两期每期要还1927元的服务费，合计还款29500元，实际年化率已经接近36%，与合同严重不符合，简直是比高利贷还要坑人的借款，我已经还了第一期，本人现在因套路贷已经欠下巨债，家里也被我掏空了，经过家人规劝已经报警处理，现要求钱伴app协商免去未还期数服务费，一次结清，永不再使用，如果协商无果，本人将继续举报至全国消协，互金会，贷款公司所在地信访、</t>
  </si>
  <si>
    <t>2019/10/02 13:29:29</t>
  </si>
  <si>
    <t>我在玖富万卡借款3300，玖富万卡给我4300，有1000是保险费，到账4300后马上扣去1000，分期12个月，现在没个月还373.85，一年连本带利息要4486，高利贷。</t>
  </si>
  <si>
    <t>2019/10/02 13:26:34</t>
  </si>
  <si>
    <t>！害了多少中国家庭！张娜娜北京东方梅地亚支行62****************4。</t>
  </si>
  <si>
    <t>2019/10/02 13:25:52</t>
  </si>
  <si>
    <t>借款时会要求扣除保证金保险金各种各样金额，每笔借款扣除200-300不等。</t>
  </si>
  <si>
    <t>2019/10/02 13:25:02</t>
  </si>
  <si>
    <t>不要给我玩躲猫猫，里面的钱不能提现，提现审核大半年，微博客服电话永远打不通，再这样我只有报警处理了。</t>
  </si>
  <si>
    <t>2019/10/02 13:22:19</t>
  </si>
  <si>
    <t>"在信用管家APP申请了树林分期，信用管家平台已经改名LC分期贷款，年化息率高达481.74%出借人：南京新博天网络科技有限公司信息技术服务方：杭州信牛网络科技有限公司资金居间方：南京新博天网络科技有限公司借款2250元可以分期4期,下款成功才显示所谓的的4期就是一个月的4期，7天一个期限，一共要还3081.48元！！第一期还款770.37元，剩余三期每次还款770.37元，本人已经还款3期，因为本人已经被信用管家引导到循环贷，现在只能慢慢还款，每次都是当天打电话开始催收，要求几点之前必须还款，态度强硬恶劣</t>
  </si>
  <si>
    <t>2019/10/02 13:21:17</t>
  </si>
  <si>
    <t>此平台属于高炮，高利息，借了2500，实际到账1625元，期限7天，总利息875元，希望平台改善合情合理，并把高额利息赔偿于我！。</t>
  </si>
  <si>
    <t>2019/10/02 13:20:46</t>
  </si>
  <si>
    <t>爱奇艺在本人于一月前以取消自动扣费的状态下。</t>
  </si>
  <si>
    <t>2019/10/02 13:20:19</t>
  </si>
  <si>
    <t>投诉人郑先生投诉对象盈盈有钱涉诉金额8000元问题类型诉求类型投诉详情借了8000分12期，前三个月还了4500后面一个月还708，这样算下来年利率不低于45个点，强烈要求销账，已经还了8748了，现在app也下架了。</t>
  </si>
  <si>
    <t>2019/10/02 13:19:45</t>
  </si>
  <si>
    <t>广州椰奥食品有限公司产品益力十饮料瓶身包装同其他品牌一样，但是并没有明显注明品牌信息。</t>
  </si>
  <si>
    <t>2019/10/02 13:18:34</t>
  </si>
  <si>
    <t>投诉人陈女士投诉对象豆豆钱涉诉金额15000元问题类型诉求类型投诉详情豆豆钱借款10000到账9000，砍头息899.每期还款1113*分12期还款一共要还13356，一年利息高达3356.加上砍头息14256属于高利贷，第二次借款5000到账4501砍砍头息499.第三次借款2400到账2100砍头息299.借款合同的还款金额与实际还款金额不一样，合同金额每期还款876.我的实际还款是1113.违反国家法律，平台还私自未经本人同意购买担保，强制购买保险，因忘记存款逾期利息一天能高达100元，视国家法律视而</t>
  </si>
  <si>
    <t>2019/10/02 13:16:54</t>
  </si>
  <si>
    <t>"在信用管家APP申请了青春宝分期，信用管家平台已经改名LC分期贷款，年化息率高达481.74%出借人：广州清辉网络科技有限公司信息技术服务方：杭州信牛网络科技有限公司资金居间方：广州清辉网络科技有限公司借款2250元可以分期4期,下款成功才显示所谓的的4期就是一个月的4期，7天一个期限，一共要还3081.48元！！第一期还款770.37元，剩余三期每次还款770.37元，本人已经还款3期，因为本人已经被信用管家引导到循环贷，现在只能慢慢还款，每次都是当天打电话开始催收，要求几点之前必须还款，态度强硬恶劣.</t>
  </si>
  <si>
    <t>2019/10/02 13:16:08</t>
  </si>
  <si>
    <t>投诉人马宗源投诉对象微信支付涉诉金额950元问题类型诉求类型投诉详情微信被投诉冻结现需要提取财产要等一个月急用联系不到客服零钱急需取出希望核实。</t>
  </si>
  <si>
    <t>2019/10/02 13:15:44</t>
  </si>
  <si>
    <t>投诉人徐先生投诉对象盈盈有钱涉诉金额10500元问题类型诉求类型投诉详情本人于2018年12月1日在盈盈有钱平台借款10500元，分12期还款，前三期每期还款1968.21元，第四期开始每期929.94元，现在已还至第9期，总共已还款11688.87元，而且本人已明确表明我没有拒绝沟通和拒绝还款，而该公司催收人员利用他们所谓的催收话术一直逼问我，说我是不是要拒绝还款，根本没有插的上话的机会，一直咄咄逼人，和该平台公司签订的相关合同和协议中，收取各种各样的高额服务费等等其他相关费用，实为变相收取高额费用，想以</t>
  </si>
  <si>
    <t>2019/10/02 13:14:23</t>
  </si>
  <si>
    <t>投诉人熊先生投诉对象六便士涉诉金额2000元问题类型诉求类型投诉详情本人于9月9号资金周转紧张从六便士平台借款2000元一个月期限，当时需要支付500多的前期才给下款由于当时急需用钱就给了，相当于我借2000实际到账1500一个月时间高达500多的利息，这已经严重违反国家规定的利率加上本人最近的确没钱还高额的利息，希望六便士客服人员主动联系我协商还款清账。</t>
  </si>
  <si>
    <t>2019/10/02 13:14:10</t>
  </si>
  <si>
    <t>投诉人汪先生投诉对象携趣信息科技上海有限公涉诉金额149元问题类型诉求类型投诉详情请解决。</t>
  </si>
  <si>
    <t>2019/10/02 13:13:16</t>
  </si>
  <si>
    <t>投诉人 宋焱        投诉对象  首汽约车        涉诉金额  158 元    问题类型    诉求类型投诉详情  乘客未付车费 平台不给催账 不给乘客电话号码</t>
  </si>
  <si>
    <t>2019/10/02 13:12:57</t>
  </si>
  <si>
    <t>有限公司借款6万，并签订了相关合同，该公司收取了我信息咨询服务费17922.08元，经多次向该公司索要发票，该公司才在时隔9个月后于2019年9月5日向我开具了票面23346.05元的信息咨询服务费发票，1.按照财税〔2016〕36号《财政部国家税务总局关于全面推开营业税改征增值税试点的通知》政策规定，《宜人贷借款协议》的年利率为12%，该公司应向我开具贷款服务利息收入的增值税发票，现还没有收到，2.按照《中华人民共和国发票管理办法实施细则》第二十六条，“填开发票的单位和个人必须在发生经营业务确认营业收入时</t>
  </si>
  <si>
    <t>2019/10/02 13:12:46</t>
  </si>
  <si>
    <t>钱包易贷强制保险，一个月1千多，算下来利息都5分了。</t>
  </si>
  <si>
    <t>2019/10/02 13:12:38</t>
  </si>
  <si>
    <t>以贷款为名，虚假宣传，绑定银行卡扣款，分批3次扣款，每次50元。</t>
  </si>
  <si>
    <t>2019/10/02 13:12:04</t>
  </si>
  <si>
    <t>10月2日12点40分左右，下载“百事普惠”并注册，平台并未提供任何消费订单选项直接从绑定银行卡内扣299元。</t>
  </si>
  <si>
    <t>2019/10/02 13:11:55</t>
  </si>
  <si>
    <t>1.该公司似乎涉嫌恶意区别对待客户，记得以前是联通三星级客户现在可能因为找客服反映了一些事情导致被降为二星级客户2.2019年10月1日至2019年10月2日联通方面发送提醒短信说已使用163分钟，在我致电垂询联通客服时通话时长变为179分钟，严重脱离事实。</t>
  </si>
  <si>
    <t>2019/10/02 13:11:07</t>
  </si>
  <si>
    <t>投诉人王先生投诉对象小羽分期涉诉金额800元问题类型诉求类型投诉详情无法还款一直在轰炸！打公司电话没人接，直接导致骚扰我的生活！本金800元！现在就可以处理欠款！因为还不进去肯定会有利息让我联系管理员没有人回我，相隔1小时轰炸一次直接导致无法沟通！希望立马处理帮我联系该公司的服务人员！。</t>
  </si>
  <si>
    <t>2019/10/02 13:10:57</t>
  </si>
  <si>
    <t>投诉人林先生投诉对象中国银联涉诉金额3722元问题类型诉求类型投诉详情违规网站用云闪付收款，希望云闪付协助追回损失资金。</t>
  </si>
  <si>
    <t>2019/10/02 13:10:09</t>
  </si>
  <si>
    <t>恶意扣款296元，不知原因，请帮忙追回，无处了解扣款原因。</t>
  </si>
  <si>
    <t>2019/10/02 13:09:30</t>
  </si>
  <si>
    <t>投诉人倪先生投诉对象自由摩卡，,超级马力贷,诺和信用计划,畅捷通涉诉金额3150元问题类型诉求类型投诉详情在自由魔卡里提供的超级马力贷，借款2000元，以收取会员费为由变相砍头500元，借款期限30天，到期还款2060，即总利息560元，现希望客服联系我协商解决，本人有还款意愿，在自由摩卡的信用计划申请了一笔2000元的借款，一开始以加入信用计划为由收取了350元的信用计划卡费，周期30天，到期需还2050元，即总利息是400元。</t>
  </si>
  <si>
    <t>2019/10/02 13:07:21</t>
  </si>
  <si>
    <t>我用这个app的时候没有提到有一个哼哼借款担保凭证。</t>
  </si>
  <si>
    <t>2019/10/02 13:05:37</t>
  </si>
  <si>
    <t>投诉人何先生投诉对象一刻分期涉诉金额10000元问题类型诉求类型投诉详情一刻分期的利息超高，远超国家规定利息，借10000分12期，每期要还1133。</t>
  </si>
  <si>
    <t>2019/10/02 13:04:43</t>
  </si>
  <si>
    <t>投诉人李女士投诉对象猎趣,YY直播涉诉金额500元问题类型诉求类型投诉详情本人在手机app上下载了猎趣app，是个买卖2手平台，有买家向我下单说下不了，找猎趣在线客服，客服说我要缴纳担保费用，缴纳显示是YY直播，缴纳成功还显示还要交1800元，我叫客服退款之前的500元，客服说退不了，打电话去YY那边，那边说根本没和猎趣有关联，没关联为什么会到账你们YY呢，打猎趣电话也无法接通！事先客服没说还要交其他费用。</t>
  </si>
  <si>
    <t>2019/10/02 13:04:36</t>
  </si>
  <si>
    <t>投诉人 苏先生        投诉对象  现金巴士        涉诉金额  866 元    问题类型    诉求类型投诉详情  现金巴士违反国家法律高额砍头息 下款自动扣款186元会员费 违反国家法定规定 逾期利息过高 要求减免逾期费</t>
  </si>
  <si>
    <t>2019/10/02 13:04:18</t>
  </si>
  <si>
    <t>由于问题没解决逾期期间产生的逾期费希望免除。</t>
  </si>
  <si>
    <t>2019/10/02 13:04:14</t>
  </si>
  <si>
    <t>投诉人苏先生投诉对象圈圈分期涉诉金额2060元问题类型诉求类型投诉详情贷上钱里的圈圈分期贷款，申请2000实际到账1400元，砍头息7天一期28天需要还2060元，还第三期时和客服协商销账，客服说申请好了，还了3期共1545元实际未销账，第四期到期仍继续催收，微信语音侮辱本人，现在投诉望销账并对本人道歉。</t>
  </si>
  <si>
    <t>2019/10/02 13:03:58</t>
  </si>
  <si>
    <t>盗刷扣款，打电话过去，还推卸责任，只负责扣钱，钱不在中金，那么你们没经过本人同意，就扣款，就是属于盗刷。</t>
  </si>
  <si>
    <t>2019/10/02 13:03:53</t>
  </si>
  <si>
    <t>投诉人陈先生投诉对象喵下贷,汇潮支付,支付宝涉诉金额1999元问题类型诉求类型投诉详情本人于9月30日通过网络链接推送接触到了喵下贷网络贷款app，因app首页超低利率等宣传字样内容借款1300元，提交借款订单后才发现到账1300元，借款周期6天，到期还款1999元，利息700元！慌乱之下于10月1日上午当及联系app站内客服，等之许久无人回应，望支付宝关闭还款通道终止此app的违法行为，此app主体责任单位所牟取的利息远远高于国家规定，是妥妥的714高炮吸血鬼高利贷！1.因无有效电联方式，通过银行收支明细</t>
  </si>
  <si>
    <t>2019/10/02 13:03:40</t>
  </si>
  <si>
    <t>投诉人舒先生投诉对象饿了么涉诉金额0元问题类型诉求类型投诉详情饿了么会员问题8月末我没开会员每天依然享有饿了么每天赠送的满60-15和满35-5.1的品质联盟红包但是9月初开了会员之后没有了这些红包当时反馈客服，客服说是账户或者设备异常很遗憾我在同一设备下登陆了别人的会员账户别人正常获得红包又在别人的设备上登陆了我的账户依然没有获得上述红包，10.1号会员到期登陆客户端获得了上述红包，随后开了会员10.2日红包消失并得知周围还有一人情况与我一样，这些鞥雨是损害了既得利益那这样，不开会员每天有两个红包而开了会</t>
  </si>
  <si>
    <t>2019/10/02 13:03:31</t>
  </si>
  <si>
    <t>本人9.6号申请退保证金、到了9.28号还没退。</t>
  </si>
  <si>
    <t>2019/10/02 13:02:05</t>
  </si>
  <si>
    <t>投诉人李先生投诉对象达飞云贷涉诉金额50000元问题类型诉求类型投诉详情达飞云贷就是变相高利贷，套路贷，借的时候告诉跟信用卡一样，利息低，用上达飞也就算上走上一条不归路了，利息高不说，等没钱还本金的时候公司就说可以帮着垫还，一万块钱三百利息，也就是用我们自己软件里的额度他们可以调整把软件的钱，取出来帮着倒钱，而且弄的本金越来越多，利息越来越高，还有扣百分之二十质保金，没有也是他们从软件里把额度给你调高借出来的，同样收着利息，我实际用的金额2万多，现在都变成五万多了，本金还一分没还，现在显示本金和利息还有什么</t>
  </si>
  <si>
    <t>2019/10/02 13:01:18</t>
  </si>
  <si>
    <t>我在交易猫上的佳艺手游代充，他们给我充了后不久账号里的勾玉就被冻结，涉嫌黑卡充值或ios退款，仲裁乱来。</t>
  </si>
  <si>
    <t>2019/10/02 12:59:55</t>
  </si>
  <si>
    <t>投诉人罗女士投诉对象神马借,畅捷支付涉诉金额4096元问题类型诉求类型投诉详情神马借高利贷，借款三千一个月利息高达一千多元。</t>
  </si>
  <si>
    <t>2019/10/02 12:57:23</t>
  </si>
  <si>
    <t>没有立牌查车，我的车子挂的临时牌，说我没有行驶证，我提档的时候本来资料都收了我哪来的行驶证。</t>
  </si>
  <si>
    <t>2019/10/02 12:57:17</t>
  </si>
  <si>
    <t>投诉卡牛信用管家，高额逾期费，完全不合理！本人因9月23号还款日当天，资金周转不过来，逾期了卡牛，逾期一天逾期费竟然高达189元！后来我及时还上了，没见过如此高的逾期费，简直就是黑心高利贷，本人强烈要求退还这不合理的人逾期费用！另外对你们平台的逾期利息进行整改！。</t>
  </si>
  <si>
    <t>2019/10/02 12:57:04</t>
  </si>
  <si>
    <t>引导借款，注册扣款，连客服电话都没有，无法联系。</t>
  </si>
  <si>
    <t>21号刚开始下载钱橙无忧贷款，进入以后让交168说审核，极速贷款让交81元，显示极速在线审核，交过以后一直停那里，说好的极速贷款，一天还是没动，欺骗手续费，现在2号了已经过去一周了还没审核，要求退款，。</t>
  </si>
  <si>
    <t>2019/10/02 12:57:02</t>
  </si>
  <si>
    <t>被恶意扣款296元，无任何扣款说明，完全无从查证，要追回。</t>
  </si>
  <si>
    <t>2019/10/02 12:56:56</t>
  </si>
  <si>
    <t>投诉人陈先生投诉对象汇潮支付,金鸡下蛋,虫虫快借涉诉金额2000元问题类型诉求类型投诉详情汇潮支付为金鸡下蛋，虫虫快借提供放款通道，金鸡下蛋1400元借款6天需要还款2000元，该平台催收通过境外电话暴力催收，涉及威胁恐吓，拒不协商，放款方为汇潮支付，本人持还款态度沟通无果，寻求贵平台的帮助，而且本人迫于压力在金鸡下蛋平台已支付三次续期费用，每次300元两天，愿归还本金以及符合国家规定的合理利息，虫虫快借1100元需要还2000元，实则吸血鬼，该平台催收通过境外电话暴力催收，涉及威胁恐吓，拒不协商，放款方为</t>
  </si>
  <si>
    <t>2019/10/02 12:55:12</t>
  </si>
  <si>
    <t>被一个声称刷单客服诱导充值被拉黑，充了5000多块钱进去。</t>
  </si>
  <si>
    <t>2019/10/02 12:54:50</t>
  </si>
  <si>
    <t>去年通过易到用车平台审核，注册账号跑了几十单，总共337元，平台规定每周最后一个工作日提现，但是每一次都无法提现，都过去1年多了，一直都无法提现。</t>
  </si>
  <si>
    <t>2019/10/02 12:54:24</t>
  </si>
  <si>
    <t>本人与2019.10.2在支付宝淘宝小程序里美莱旗舰店下单了一款海薇M+破尿酸打算送给女朋友，下单成功后到是查询不到订单，支付宝有交易记录。</t>
  </si>
  <si>
    <t>2019/10/02 12:54:07</t>
  </si>
  <si>
    <t>投诉人吴先生投诉对象快闪卡贷涉诉金额15000元问题类型诉求类型投诉详情本人于5个月前通过快闪卡贷贷款用于周转，借款时页面显示金额为1万5，实际到账只有1万2千6左右，当时以为是利息一次性扣除，本人一直银行卡扣款，到这个月查询居然还有一期要还，金额3008.99，咨询客服，客服告知当时借款时收取的是保险费，但是本人至今也没有查到他们所说的保险保单，客服还说保险是不买不扣费，本人明确告知当时借款时并无保险选项，客服回电时说当时软件页面有问题，保险选项很小，不容易看到，现在已经改良，对此我是不认可的，我已经还款</t>
  </si>
  <si>
    <t>2019/10/02 12:53:07</t>
  </si>
  <si>
    <t>投诉人 林先生        投诉对象  月光侠分期        涉诉金额  3 000 元    问题类型    诉求类型投诉详情  借款3000，到手2100，要还3150</t>
  </si>
  <si>
    <t>2019/10/02 12:52:12</t>
  </si>
  <si>
    <t>由于国庆没发工资，要推迟几天还款，今天收到威胁短信，希望停止骚扰。</t>
  </si>
  <si>
    <t>2019/10/02 12:52:05</t>
  </si>
  <si>
    <t>于2019年10月2日在成都安睿旺蜀网络科技旗下申请贷款产品，在本人不知情的情况下恶意扣出本人卡内198元，期间并未通知需要扣这笔费用，并且未签署任何协议，要求全额退还！。</t>
  </si>
  <si>
    <t>2019/10/02 12:51:43</t>
  </si>
  <si>
    <t>投诉人 高先生        投诉对象  万利游戏        涉诉金额  1 500 元    问题类型    诉求类型投诉详情  充值了1000多 然后打到了1500。提现的时候他就帮我罚没了。客服也不帮我解决</t>
  </si>
  <si>
    <t>2019/10/02 12:50:57</t>
  </si>
  <si>
    <t>之前在贵平台投诉兴业消费金融提前还款收取违约金，后续9.29号客服与我联系协商还款，我将款项当天打入该客服所发邮件的对公账户，后续一直未结清我的欠款，打客服电话说不负责后台的业务，沟通无果，已经过了3.4天了，我已经提前还清所有欠款了，一直不给我结清账目，10.15号就是第一期还款日了，我希望能够结清账目，不要影响我的征信。</t>
  </si>
  <si>
    <t>2019/10/02 12:50:49</t>
  </si>
  <si>
    <t>借款700不到两个月不算本金，利息已经超过2000元，且锁掉苹果手机。</t>
  </si>
  <si>
    <t>2019/10/02 12:48:54</t>
  </si>
  <si>
    <t>提现成功一直未到账，也联系不上客服！都是机器人，救命的钱一直提不出不知道怎么办。</t>
  </si>
  <si>
    <t>2019/10/02 12:47:47</t>
  </si>
  <si>
    <t>正常还款下，现在不能借款，导致资金周转困难。</t>
  </si>
  <si>
    <t>2019/10/02 12:47:14</t>
  </si>
  <si>
    <t>投诉人莫先生投诉对象聚富分期涉诉金额299元问题类型诉求类型投诉详情聚富分期在我不知道的情况下扣除我的299元钱。</t>
  </si>
  <si>
    <t>2019/10/02 12:47:03</t>
  </si>
  <si>
    <t>家里亲戚在360借款，然后这个软件给我打电话态度恶劣，我有电话录音，我要报警求助。</t>
  </si>
  <si>
    <t>2019/10/02 12:46:11</t>
  </si>
  <si>
    <t>投诉人 姜小小        投诉对象  小影        涉诉金额  198 元    问题类型    诉求类型投诉详情  打了苹果客服 态度非常好 这软件太气人了也 没有提示的乱扣费用</t>
  </si>
  <si>
    <t>2019/10/02 12:45:39</t>
  </si>
  <si>
    <t>有限公司贵州省凯里市分公司，与宜信惠民、宜信惠普公司签到了借款协议，合同编号p604010190611-115700713，，合同规定借款金额为10.891552万元，借款年利率为12%，借款期限为三年，不慎误入宜信公司设下的套路贷，与其签订了借款信息咨询与服务协议的阴阳合同，，被以信息咨询费、管理服务费、服务保障金的名义虚增贷款金额3.891552万元，2019年6月12日我实际收到宜信惠民公司的借款仅7万元，但我确要还宜信公司10.891552万元的借款，如果按照只借7万本金，却要按照10.891552</t>
  </si>
  <si>
    <t>2019/10/02 12:45:27</t>
  </si>
  <si>
    <t>前期协商还款最低，本期还未到，小花钱包就开始恶意催收，给通讯录联系人打电话，发垃圾短信！！我现在精神恍惚，真的不想活了，压力太大了。</t>
  </si>
  <si>
    <t>2019/10/02 12:44:31</t>
  </si>
  <si>
    <t>本人于10月1号0时50分左右使用金大宝POS机刷卡三笔，业务模式均为T+0，前两笔实时到账，第三笔显示刷卡成功却迟迟未到账，客服联系不上，找售后也没用，请尽快处理，急需用钱！。</t>
  </si>
  <si>
    <t>2019/10/02 12:43:48</t>
  </si>
  <si>
    <t>2019年2月办开店宝POS机的时候业务员没说要任何费用，在Pos机开机后说要298元激活费，激活3个月会退还288元，，然后我就在pos机上刷了288，现在押金还没退业务员也联系不上。</t>
  </si>
  <si>
    <t>2019/10/02 12:43:38</t>
  </si>
  <si>
    <t>我于9月30号在小黑鲨app上借款3500，第一期要还1959.68第二期要还1189.68第三期要还1189.68总共4339.04元，变相高利贷，请平台联系小黑鲨联系我，今天协商还款销账。</t>
  </si>
  <si>
    <t>2019/10/02 12:43:07</t>
  </si>
  <si>
    <t>本人于2019年8.21日通过《贷款猪》借款4000元，放款方显示为《多宝分期》，无法查看合同，下款后查看分四期还款需还近6400元，已严重触及国家规定高利贷红线！1.本人于2019.8.21日从app，2.借款前知晓需付手续费，但不知道已超过国家规定最高利率，借款本金4000，实际到账4000，分四期还款共需归还6400，60天期限其中息费及服务费共高达2400元，利息及各项费用已远超法定利率，现需按正常利率一次结清！。</t>
  </si>
  <si>
    <t>2019/10/02 12:43:02</t>
  </si>
  <si>
    <t>智行火车票在没有任何提醒的情况下，抢票后多扣五十元，联系客服根本没有人工服务，欺骗平台。</t>
  </si>
  <si>
    <t>2019/10/02 12:42:26</t>
  </si>
  <si>
    <t>好评数之前没记录，从9月11开始记录，乘客当我面点的好评才记录，没当面的没有记录，每隔3-5天就与客服人员结合一次服务分涨分问题服务分是按近300单的服务情况来判定的，每天6:00系统自动更新，多要好评，会涨的……等等等等，实际可能比这数量多，乘客下车后给的没有记录。</t>
  </si>
  <si>
    <t>2019/10/02 12:42:12</t>
  </si>
  <si>
    <t>马上消费金融一直存在暴力催收，一天能打几十个电话骚扰你，本人一直有在还款，上月26号发工资了马上处理了，这月还有几百块没有余钱处理，跟客服协商等到我26号发工资处理，客服直接拒绝，并且骚扰电话不断，严重暴力催收，已上征信威胁，。</t>
  </si>
  <si>
    <t>2019/10/02 12:42:06</t>
  </si>
  <si>
    <t>投诉人任女士投诉对象马上金融安逸花涉诉金额1000元问题类型诉求类型投诉详情电话威胁，骚扰紧急联系人，暴力催收。</t>
  </si>
  <si>
    <t>2019/10/02 12:41:56</t>
  </si>
  <si>
    <t>投诉人姚康投诉对象青春宝,信用管家涉诉金额3000元问题类型诉求类型投诉详情在信用管家APP申请了青春宝分期，信用管家平台已经改名LC分期贷款，借款2250元可以分期4期,下款成功才显示所谓的的4期就是一个月的4期，7天一个期限，一共要还3081.48元！！第一期还款770.37元，剩余三期每次还款770.37元，本人已经还款3期，因为本人已经被信用管家引导到循环贷，现在只能和家人慢慢还款，每次都是当天打电话开始催收，要求几点之前必须还款，态度强硬恶劣.今天添加催收的微信，还是不给协商，实在无法理解为什么不</t>
  </si>
  <si>
    <t>2019/10/02 12:41:53</t>
  </si>
  <si>
    <t>投诉人范先生投诉对象立刻出行涉诉金额499元问题类型诉求类型投诉详情因为目前所在地没有立刻出行网点，故申退回押金，多次申请无效，一直显示在审核中。</t>
  </si>
  <si>
    <t>2019/10/02 12:41:27</t>
  </si>
  <si>
    <t>今天在闪银借了一千，分期六个月，各种扣钱三天就到，六个月加一起利息已经两百多了，加上这些扣的，我能剩多少。</t>
  </si>
  <si>
    <t>2019/10/02 12:40:59</t>
  </si>
  <si>
    <t>饿了么在配送时间到了的时候，在没有与用户联系的情况下单方取消订单。</t>
  </si>
  <si>
    <t>2019/10/02 12:40:28</t>
  </si>
  <si>
    <t>投诉人楼先生投诉对象贷上钱涉诉金额5000元问题类型诉求类型投诉详情高额砍头息，骚扰我亲朋好友，对我个人诽谤。</t>
  </si>
  <si>
    <t>2019/10/02 12:40:18</t>
  </si>
  <si>
    <t>投诉人 姜小小        投诉对象  小影        涉诉金额  198 元    问题类型    诉求类型投诉详情  直接扣费 太过分了 我都从来没用过那个软件</t>
  </si>
  <si>
    <t>2019/10/02 12:39:58</t>
  </si>
  <si>
    <t>被不认识的人加微信，说能在家兼职赚钱，诱导我去一个叫298棋牌的平台充值，用银生宝为他们网站提供的通道充值了3200元，后来发现该平台的彩票种类都是私自开奖，而且中奖不给出款，属于违反国家法律的购彩平台，这是我两个月的生活费，这样被骗我一定不会善罢甘休第三方支付业务公司不得向证券，期货，博彩等机构提供支付结算业务，作为有牌照的支付公司没有履行国家结算通道的义务，即产生了非法洗钱的嫌疑，金融机构客户身份识别和客户身份资料及交易记录保存管理办法，国发2011年38好文，和银发办的35号文，文件都明确提出国内任何</t>
  </si>
  <si>
    <t>2019/10/02 12:39:32</t>
  </si>
  <si>
    <t>2019/10/02 12:35:48</t>
  </si>
  <si>
    <t>湖南易催催网络科技有限公司，是马上金融把我的信息授权给易催催公司，进行催债，我的个人隐私完全暴露，易催催公司典型的催债公司，骚扰，软暴力，要求立即停止，有什么权利打我的通讯录，本人精神收到极大的伤害，我怀疑你们是黑社会，对我生活也造成影响，把我的信息透露给别人，差点失去工作，走投无路！。</t>
  </si>
  <si>
    <t>2019/10/02 12:35:34</t>
  </si>
  <si>
    <t>本人在壹心分期平台借款2100元，到账秒扣575元，实际到账1525元一个月两期，每期1071元，一共还2100元，由连连支付通道支付的该笔，利息高达575元，借款几次了，现在就剩最后一期协商畅还本金和合法利息。</t>
  </si>
  <si>
    <t>2019/10/02 12:34:51</t>
  </si>
  <si>
    <t>不开加速包抢票概率只有个位数，开启候补抢票开通加速包一点提示没有直接就扣除了加速包的费用，订单一出才有那么一小行字写着40元每人，没次都等到退还差价的时候才能知道自己开了加速包，这是在欺骗消费者。</t>
  </si>
  <si>
    <t>2019/10/02 12:34:47</t>
  </si>
  <si>
    <t>投诉人 何先生        投诉对象  亲亲花,好享用,蓉捷通,鑫速达        涉诉金额  8 000 元    问题类型    诉求类型投诉详情  2000到手1600 15天期限 逾期暴力催收 等等</t>
  </si>
  <si>
    <t>2019/10/02 12:34:18</t>
  </si>
  <si>
    <t>投诉人 李女士        投诉对象  微博借钱        涉诉金额  800 元    问题类型    诉求类型投诉详情  由于借款昨天到期，家里人再用的手机卡 158******68 不要给这个号码打电话 不能打联系客服 我给他们说 我下午就处理，客服不管 说他们处理不了 几个小时都不给 我也可以一分钱都不还 给158打一个电话 一分钱都不处理 可以给184******64打电话</t>
  </si>
  <si>
    <t>2019/10/02 12:32:44</t>
  </si>
  <si>
    <t>本人通过短信推荐，下载呗呗分期，还款时间只有3天，300元，已经续期两次次了，说是三天，其实只有一天，2.而且唯一还款通道是支付宝，收款方为虚假商家平台，27号借款1200，已经还了600了现在还要支付1500.1.催收人员态度极其恶劣、威胁家人，1.这个高利贷是通过汇潮支付这个支付通道放款，经过核查，汇潮支付作为合作平台，有其主体公司和联系电话，但拒提供，继续参与违法行为，本人愿意归还本金和合法利息，希望通过平台解决问题3.二个平台都拒提供客服联系电话，为此只有从第三方支付平台处取得联系方式。</t>
  </si>
  <si>
    <t>2019/10/02 12:31:52</t>
  </si>
  <si>
    <t>投诉人朱女士投诉对象梧桐诚选涉诉金额115000元问题类型诉求类型投诉详情10月1日申请了提前转让季季升和双季智选，当时排名43880，结果2号就变成了44288，不提前反而往后推了，不知道什么时候能排上，联系客服说是10月初预计采取底层回款，也不知道靠谱不靠谱。</t>
  </si>
  <si>
    <t>2019/10/02 12:30:53</t>
  </si>
  <si>
    <t>投诉人卞先生投诉对象广东欢太科技有限公司涉诉金额592元问题类型诉求类型投诉详情儿童没经过家长同意购买游戏道具，希望游戏厂家退款，撤销在游戏上的道具。</t>
  </si>
  <si>
    <t>2019/10/02 12:30:24</t>
  </si>
  <si>
    <t>本人在玖富万卡借款9000元，每期还款1016.91X12期，每期费用231.10元，12期手续费共2773.2元，年利息高于国家标准，属于高利贷，现在要求协商减免利息及部分费用，结清全部还款！。</t>
  </si>
  <si>
    <t>2019/10/02 12:29:14</t>
  </si>
  <si>
    <t>今天无意打开交行APP发现2019年十月一日早上7:22:37被[特约]，中建投[银企入金]无卡扣除1015.70元，我与此账户从无交集，感觉是被盗刷，特此投诉，。</t>
  </si>
  <si>
    <t>2019/10/02 12:28:47</t>
  </si>
  <si>
    <t>投诉人黄先生投诉对象新意花涉诉金额2800元问题类型诉求类型投诉详情本人在2019/9/9号在新意花里的小木钱包借款2800元到账2800元分四期还，每期七天，每期还款1022.4元，总还4088元，实属高利贷，现在已经偿还三期，已够本金，现在已无力偿还，希望最后一期给200元清账。</t>
  </si>
  <si>
    <t>2019/10/02 12:28:34</t>
  </si>
  <si>
    <t>投诉人黄先生投诉对象河源市饿了么,河源市好厉害网络科技有限公司涉诉金额200元问题类型诉求类型投诉详情本人河源饿了么兼职骑手，在职期间任劳任怨没有差评，没有投诉，事由2019.9.30下午16点20分左右我刚送完一个恒大的订单出车库人还在1.8-2公里以外的地方，接到其他组长，电话说有个单改给你了你去送一下，我一看就在站点附近不到一百米的菜市场，我问他为啥什么人在那么远要派给我，他说就我手上没单，说是本来配送的同事不舒服送不了随便哪个借口敷衍我，等我赶回公司，三四个骑手在站点无所事事，玩手机的玩手机，睡觉的</t>
  </si>
  <si>
    <t>2019/10/02 12:28:09</t>
  </si>
  <si>
    <t>本人手术期间由于资金周转不开跟对方协商沟通晚两天还款时间对方一直是机器人联系。</t>
  </si>
  <si>
    <t>2019/10/02 12:26:06</t>
  </si>
  <si>
    <t>前天在闪银借1000块，一个月还款1030，但是今天突然收到平台信息，让我先还229的担保费，请问征信担保跟个人担保在借款时候你好像都没有说到吧，打客服电话，就是一句话，必须的还，我说我现在本金给你，还要担保费，真不怕我们报警，昨天是国庆节，你们就这么猖狂。</t>
  </si>
  <si>
    <t>2019/10/02 12:25:29</t>
  </si>
  <si>
    <t>投诉人戴女士投诉对象四季钱庄,米奇分期涉诉金额14001800元问题类型诉求类型投诉详情存在714高利贷，砍头息，实际到账金额不符，利息超出国家规定，恶意骚扰。</t>
  </si>
  <si>
    <t>2019/10/02 12:25:16</t>
  </si>
  <si>
    <t>牛人有品借款1900到账1400多万15天一期本人最近被714害的身无分文要求延后还款。</t>
  </si>
  <si>
    <t>2019/10/02 12:24:56</t>
  </si>
  <si>
    <t>本人于2019年申请点点通4000元小额贷款，期限一个月，到手2800元他们收取服务费1200元，偿还费用包括利息共计还需要4088元，本人这次贷款实际到手2800，还款金额高达4088.本人现在已经还款2080元，目前还需要还款2064元，本人不服，并且还威胁爆通讯录这些恶劣行为，本人也跟所有联系人提前告知这个实情了，如果不纠正这些违法行为，本人将采取法律手段维护自己正当权益。</t>
  </si>
  <si>
    <t>2019/10/02 12:24:17</t>
  </si>
  <si>
    <t>投诉人秦先生投诉对象有钱花涉诉金额80000元问题类型诉求类型投诉详情之前好多次投诉百度有钱花了，4月借款10万元，因为自身原因，每个月还款9000，已经还了3个月，因6月我爷爷重病去世，我和我父亲管亲戚朋友都借了很多钱，家里的房子在9月份卖出，可是定金没有给多少，买房的人像快点买，在利率改革之前，我家也想尽快卖，定金只有不到1万，我爸也拿去还他的钱了，百度也给他打过电话核实，我家在等10月份首付到了才能还我的这笔钱，具体情况之前百度催收来电话也说过了，今天给我打电话的催收态度很不好，直呼我姓名，有恐吓意味</t>
  </si>
  <si>
    <t>2019/10/02 12:23:25</t>
  </si>
  <si>
    <t>，直接扣走965.30，目前该平台涉及砍头利息！。</t>
  </si>
  <si>
    <t>2019/10/02 12:22:21</t>
  </si>
  <si>
    <t>智行火车票订票平台飞机票时间有误，耽误行程。</t>
  </si>
  <si>
    <t>2019/10/02 12:21:26</t>
  </si>
  <si>
    <t>本人于2017年11月在机蜜平台租下iPhone，256g手机一部，价值标定元，出租方机蜜手机租赁公司，由芝麻信用为免押条款按每月469元租金，并且收入取了1000元莫名其妙的溢价款以及398元保险费用，未详细解释此溢价收费为什么费用，租赁手机可以涨价1000，当消费者是什么，这是第一点，机蜜存在乱收费情况！！！第二点，与机蜜签订租期12个月电子协议，标明到期租赁物可归还，可买断，首期就支付了1867元，至2018年11月到期本人总共支付7026费用，而这是机蜜只有买断选项与当初机蜜承诺可续租完全不符，经过</t>
  </si>
  <si>
    <t>2019/10/02 12:21:14</t>
  </si>
  <si>
    <t>在平台买卖成功后钱被冻结，然后说需买家解冻，联系买家解冻后还是不能解冻，一直就是拖，就说稍等，然后解冻时间本来是24小时，买家和客服说解冻以后变成3天，和客服说客服就说等。</t>
  </si>
  <si>
    <t>2019/10/02 12:19:34</t>
  </si>
  <si>
    <t>投诉人刘先生投诉对象信用管家,LC分期贷款,青春宝涉诉金额2250元问题类型诉求类型投诉详情信用管家平台的青春宝，现已改名为LC分期贷款，借2250元需要还款3000多，28天每七天一期，已还三期超过本金2250元总共2300多元，因债务暴发最后一期770已无法偿还，要求协商销账，已保留到账信息，账单详情将继续投诉到12315，银监会来保障我的合法权益。</t>
  </si>
  <si>
    <t>2019/10/02 12:19:06</t>
  </si>
  <si>
    <t>投诉人倪先生投诉对象小黑鲨,深圳市财付通支付科技有限公司涉诉金额3000元问题类型诉求类型投诉详情本人于2019年9月4日在小黑鲨平台借款3000元，30天分三期还款，10天一期，首期就要还大于借款本金一半1000+560+19.73=1579.3元的金额，其中560是什么风险测评费，算下来综合年化利率远超国家法律所规定的利率，我要求小黑鲨取消560元风险测评费，减免不合理的利息，结清账单。</t>
  </si>
  <si>
    <t>2019/10/02 12:18:30</t>
  </si>
  <si>
    <t>投诉人高女士投诉对象佑佑分期,威力贷,金鸡下蛋,肥猫贷,呗呗分期涉诉金额9000元问题类型诉求类型投诉详情借款时没出现利息，借款后利息太高，仅仅5天时间1400来块钱就要600元利息，顶不住压力，续期3天，花了300块钱！今天到期又催收我，还上不了，希望平台给予支持！另外汇潮支付和支付宝作为第三方支付平台给高利贷犯罪团伙提供平台，导致多人受到不公平对待，请平台给予帮助。</t>
  </si>
  <si>
    <t>2019/10/02 12:17:41</t>
  </si>
  <si>
    <t>投诉人刘先生投诉对象顺上商贸有限公司涉诉金额3500元问题类型诉求类型投诉详情该平台诱导客户购买产品，缺始终以发货的形式继续诱导客户购买，客户在一次次的被诱导购买，该商户缺拒不发货，也联系不上，希望聚投诉平台能帮我追回钱款，以及惩罚该商户的不法行为。</t>
  </si>
  <si>
    <t>2019/10/02 12:17:30</t>
  </si>
  <si>
    <t>平台私自确认贷款，而且是714高炮，砍头息，事后联系不到客服。</t>
  </si>
  <si>
    <t>2019/10/02 12:14:14</t>
  </si>
  <si>
    <t>投诉人王琦投诉对象小赢卡贷涉诉金额20000元问题类型诉求类型投诉详情本人于2019年7月在小赢卡贷上申请一笔20000借款，但是在查看两笔借款合同时发现，借款合同文件明确说明借款年利率为7.2%，等额本息计算，按照7.2%年利率，实际应还总额为21440，实际上第一期还款2908.21，后面每一期还款2208.21，按此还款额计算实际年利率35%，已是7.2%的4倍多，因实际还款利率高出合同利率4倍多，利息过高无法继续按此阴阳合同进行偿还，已尝试主动联系对方希望表达了以下愿望：一、希望尽快重新按合同上7.</t>
  </si>
  <si>
    <t>2019/10/02 12:13:10</t>
  </si>
  <si>
    <t>投诉人 刘女士        投诉对象  小凡分期        涉诉金额  3 000 元    问题类型    诉求类型投诉详情  利息过高，收取服务费用，拒绝协商。希望一次性结清本金销账。</t>
  </si>
  <si>
    <t>2019/10/02 12:12:40</t>
  </si>
  <si>
    <t>投诉人陈先生投诉对象福州米茜茜网络科技有限公司,金鹰钱包涉诉金额3000元问题类型诉求类型投诉详情金鹰钱包APP借款1800元，5天后归还3000元，实属高利贷，扣款公司为福州米茜茜网络科技有限公司，希望平台给予反馈，予以协商。</t>
  </si>
  <si>
    <t>2019/10/02 12:12:31</t>
  </si>
  <si>
    <t>创业亏损，逾期一天就打电话给我的亲朋好友威胁他们，导致我名誉受损。</t>
  </si>
  <si>
    <t>2019/10/02 12:10:37</t>
  </si>
  <si>
    <t>钱站一家吸人血的公司，在这里投诉7月8月9月都是第一，为什么没有解决，是因为他后台太大怕了吗，逾期一天利息100多，第一个借款1万钱站放款1.3万难后砍头息3千每个月还款1280多12个月要还1.5万多，加上砍头息利息一共8千多，借1万利息8千，国家都不管吗，第二个借了5千，3个月要还8千多，利息3千多，逾期一天100多，现在暴力催收我妈妈高血压发作了现在还在医院，我现在要和他们干到底，欠债还钱天经地义，本金还多出来的利息一分都不给，今天这个平台解决不了，明天找其他平台，现在中国70周年我还不相信没人解决你</t>
  </si>
  <si>
    <t>2019/10/02 12:09:00</t>
  </si>
  <si>
    <t>本人于快贷平台借款六千，本月最后一期还款，因资金链断了，没办法及时还上，拨打贵公司400电话，让注意接听催收电话与其沟通，但是接到的都是人工智能电话，最近几天还不了款，还请贵公司工作人员回电话，能在一定范围内协商下时间，谢谢！。</t>
  </si>
  <si>
    <t>2019/10/02 12:08:32</t>
  </si>
  <si>
    <t>投诉人岳文淑投诉对象交通银行信用卡中心涉诉金额5021元问题类型诉求类型投诉详情我拥有交通银行信用卡该卡每月2日是还款日7日为帐单日我于2019年9月2日当天为我父亲在哈医大一院交5000住院押金我还款日为2019年10月2日9月15日我父亲去世9月20日我办理了父亲医保报销总共返中信银行5000交通银行两笔一笔10000一笔1787元左右到9月29日交通银行给我发来短信催我还那个5021我给交通银行客服打电话好像是307客服答应给与处理此事核销此笔帐单我等到10月2日帐单还款日还没有答复又致电交通银行客服</t>
  </si>
  <si>
    <t>2019/10/02 12:07:12</t>
  </si>
  <si>
    <t>投诉人王女士投诉对象银川市兴庆区玛塔小镇餐饮音乐会所涉诉金额0元问题类型诉求类型投诉详情银川市兴庆区玛塔小镇餐饮音乐会所信用机构代码92640103MA765F5R6K位于宁夏回族自治区银川市兴庆区居民区兰溪谷对面离居民区甚至是一条马路的距离居民因其平日里的炮仗声不堪骚扰分贝过高震耳欲聋物业多次协商依旧无果！炮仗污染环境国家已经明令禁止要保护环境创城希望该单位响应号召！。</t>
  </si>
  <si>
    <t>2019/10/02 12:06:26</t>
  </si>
  <si>
    <t>本人于2017年12月31日在卡牛信用卡管家申请了中腾信的卡易贷产品，每个月2号按时还款，这个高利贷公司阴阳合同砍头息不说，每个月2号早上准时骚扰，合同明文规定是2号还款，2号早上就不停催收恐吓联系通讯录，和工作单位，在国家严厉惩治违法贷款和暴力催收的现况下，中腾信顶风作案，严重影响个人生活，本人要求做出解释。</t>
  </si>
  <si>
    <t>2019/10/02 12:06:16</t>
  </si>
  <si>
    <t>借款2500块一月后要还3250块，现在逾期爆我通讯录严重影响我朋友的生活跟工作，。</t>
  </si>
  <si>
    <t>2019/10/02 12:05:25</t>
  </si>
  <si>
    <t>打着借款平台的名义，让填写个人信息，然后让捆绑收款账号，然后竟然无视银行卡密码，私自扣除卡内299元！！！众多网友被坑299元！可以百度搜索下，请严格处理这个平台，法制天下，怎么还会存在这样的套路平台！！而且已经冷了那么多消费者，竟然没人管！。</t>
  </si>
  <si>
    <t>2019/10/02 12:05:20</t>
  </si>
  <si>
    <t>本人因资金周转，下载了蜜瓜钱包app，借钱时额度2000，实际到账1430，期限六天，到期还款需要还2207.92！还款日当天就开始催收，而且电话里态度及其恶劣，后续直接打紧急联系人骚扰，恐吓！我希望蜜瓜钱包给我一个合理处理方案，电话恐吓已经录音。</t>
  </si>
  <si>
    <t>2019/10/02 12:05:12</t>
  </si>
  <si>
    <t>打电话过来协商还款，一直威胁今天不还就直接爆我通讯录，我说发工资肯定还，还直接开口辱骂我，并且继续威胁。</t>
  </si>
  <si>
    <t>2019/10/02 12:05:06</t>
  </si>
  <si>
    <t>微品分期砍头息，高利贷，客服恐吓，借3000到账2300利息，然后偷摸下架，私发短信，恐吓，违法催收。</t>
  </si>
  <si>
    <t>2019/10/02 12:04:47</t>
  </si>
  <si>
    <t>投诉人王先生投诉对象长治银行,钱包易贷涉诉金额4100元问题类型诉求类型投诉详情钱包易贷联合长治银行，放套路贷，高利贷，砍头息，借款资金到账之后，立马扣掉高额砍头资金，无视国家法律，请退还砍头息，贷款管理费就是砍头息。</t>
  </si>
  <si>
    <t>2019/10/02 12:03:33</t>
  </si>
  <si>
    <t>2019年8月25日借款二笔共计4500元，9月24日到期第一笔2000元，购买金豆，到期还款5778元，加上高额逾期费现在要还6036元。</t>
  </si>
  <si>
    <t>2019/10/02 12:02:25</t>
  </si>
  <si>
    <t>高利贷，借款3500实际到账2100，所谓的平台服务费就要1400，利息100，这样的高利贷就没人管吗。</t>
  </si>
  <si>
    <t>2019/10/02 12:01:25</t>
  </si>
  <si>
    <t>借贷宝平台纵容高利贷，借5000给3700一星期还。</t>
  </si>
  <si>
    <t>2019/10/02 12:01:22</t>
  </si>
  <si>
    <t>使用高铁管家进行抢票，过程中仅开通了免密支付，但是购票，成功后发现有20元的套餐费，而且是直接从支付宝默认扣款，而且软件里面根本查询不到20元的收费信息，退票的时候也只退车票费，这边要求退还这个所谓的抢票套餐费20元！！！并且希望软件加强管理，！！目前的坑蒙拐骗。</t>
  </si>
  <si>
    <t>2019/10/02 12:01:11</t>
  </si>
  <si>
    <t>本人在马上消费金融旗下产品安逸花申请循环贷，总金额7500元，期间一直正常使用，8月开始安逸花无故锁定我的账户，不能消费和提现，合同未到期的前提下，与宣传的循环额度相悖，虚假宣传！！要求安逸花方恢复可使用额度，解锁我的账户！。</t>
  </si>
  <si>
    <t>2019/10/02 12:01:03</t>
  </si>
  <si>
    <t>他给我打不同地区的骚扰电话，还给我发叫什么学习通的验证码。</t>
  </si>
  <si>
    <t>2019/10/02 11:59:37</t>
  </si>
  <si>
    <t>由于不想使用花薪平台，要求他们注销账户，删除资料，。</t>
  </si>
  <si>
    <t>2019/10/02 11:59:12</t>
  </si>
  <si>
    <t>话费充值到空号，该号码无人用，移动和腾讯都拒不退款，相互推责任。</t>
  </si>
  <si>
    <t>2019/10/02 11:58:49</t>
  </si>
  <si>
    <t>本人与9月份在贷上钱借款2000元，其中有300元是购买什么商场权益，不然无法借款，现逾期一天已经开始爆我通讯录，而且还是在能联系本人的情况下，我知道逾期是我的不对，我也没有说不还，就开始爆我的通讯录，还恐吓我的家里人，借款我会还上，逾期费用你可以算上，但是请不要骚扰我家里人和我的朋友。</t>
  </si>
  <si>
    <t>2019/10/02 11:58:38</t>
  </si>
  <si>
    <t>钱站群发通讯录骚扰朋友，不联系本人直接发短信恐吓联系。</t>
  </si>
  <si>
    <t>2019/10/02 11:58:25</t>
  </si>
  <si>
    <t>投诉人刘先生投诉对象华夏保险涉诉金额1200元问题类型诉求类型投诉详情和高利贷合作，暗中在我银行卡扣了1200元买他们公司的保险，我投诉看看有没有效果，不行我就打保监会电话投诉。</t>
  </si>
  <si>
    <t>2019/10/02 11:57:06</t>
  </si>
  <si>
    <t>投诉人 马先生        投诉对象  金宝盆        涉诉金额  1 100 元    问题类型    诉求类型投诉详情  通过短信链接下载了app 申请提交资料后就下款了 后面才知道借款2天利息四百 款到1100 2天后还1500 今天还打电话来威胁恐吓 而且态度恶劣骂人。</t>
  </si>
  <si>
    <t>2019/10/02 11:56:35</t>
  </si>
  <si>
    <t>投诉人吴女士投诉对象小花钱包涉诉金额13700元问题类型诉求类型投诉详情小花钱包暴力催收，爆我通讯录，这是我个人的，跟我那些亲戚朋友无关，我知道还钱天经地义，没有说我不还，我已沟通协商挣钱就还、现在没有、还是到处散发我信息，聊天记录，证件照之类的，给我通讯录所有人打骚扰电话，骚扰我生活，导致我没法工作，要求停止骚扰、停发一切散发信息，我丢了工作还怎么还钱请问，请紧急处理。</t>
  </si>
  <si>
    <t>2019/10/02 11:55:28</t>
  </si>
  <si>
    <t>借款1800，6天要求偿还3000，属于714高利贷，要求更改还款金额。</t>
  </si>
  <si>
    <t>2019/10/02 11:54:48</t>
  </si>
  <si>
    <t>本人于2019年2月14号在上海维信荟智金融科技有限公司旗下的豆豆钱借款一笔5000，结果放款时被强制性的买一份保险，保险费用为499，实际到账金额为4501,按照借款协议每月需还款1792元,总共要还5396,按照等额本息计算,其年化利率高达114%,大大超过了国家规定的年化36%的最高标准,是最高标准的3倍多,本人按时还款两期,还了3594，剩下最后一期1792没还，本人要求该公司按照国家规定的合同利息收取，多次协商无果，导致本人逾期，产生很高的逾期费用，现在还款金额已经涨到2000多，我一直在主动和该</t>
  </si>
  <si>
    <t>2019/10/02 11:54:28</t>
  </si>
  <si>
    <t>投诉人吴女士投诉对象小赢卡贷涉诉金额4368元问题类型诉求类型投诉详情本人去年分别在小赢卡贷借了30000元，合计利息➕本金➕服务信息费一共需要还38000元，分期为12个月，现在本人已经还了本金➕利息一共33700，请问本人是否按照国家规定的年化率超过36%的不用还，多次骚扰本人母亲，一天打10几个电话威胁骚扰亲朋好友，现在我已还够本金和应还的利息。</t>
  </si>
  <si>
    <t>2019/10/02 11:54:04</t>
  </si>
  <si>
    <t>投诉人李女士投诉对象多宝分期,手机借钱涉诉金额2000元问题类型诉求类型投诉详情本人8月19号在手机借款里面的多宝分期借款2000元分四期每期799.55元.四期一共要还3198元已经远远超过了国家规定的利息标准属于高利贷行为，现已经还了两期共1599.1元，由于家里突发情况没有能力偿还现在希望和平台协商归还合理的本金及利息销账。</t>
  </si>
  <si>
    <t>2019/10/02 11:53:42</t>
  </si>
  <si>
    <t>四年时间合阿拉玛之魂冲了五万块钱全被网龙拿去了。</t>
  </si>
  <si>
    <t>2019/10/02 11:53:29</t>
  </si>
  <si>
    <t>投诉人刘女士投诉对象微信支付涉诉金额1400元问题类型诉求类型投诉详情微信被恶意举报变成保护模式了自己也不知道什么情况一直索要凭证微信里的财产怎么办希望可以解决。</t>
  </si>
  <si>
    <t>2019/10/02 11:53:09</t>
  </si>
  <si>
    <t>9月份无缘无故停了号码，致电客服给解除退费了，10月1号乱扣费查询才知道扣了107.1元，打了客服电话，客服推卸责任不予受理，2016年本人名下的手机号码133******94，因手机遗失已打电话客服暂停服务，现查询欠费1千多元，希望电信运营商能够给出一个解释。</t>
  </si>
  <si>
    <t>2019/10/02 11:53:03</t>
  </si>
  <si>
    <t>投诉人陈霜女士投诉对象中国移动涉诉金额500元问题类型诉求类型投诉详情我用了四年的移动卡，昨天短信一直提示我流量使用了多少，因为要看阅兵，我就想着大不了扣掉话费，结果在我余额一百左右的情况下，晚上直接短信提示我扣了我五百元，打电话给客服要求给出一个解决办法，一直不给解决，一直和我扯流量超额会扣等问题。</t>
  </si>
  <si>
    <t>2019/10/02 11:50:43</t>
  </si>
  <si>
    <t>小浦优客app申请借款，按步骤填写资料，然后最后要求绑定银行卡，绑定后就开始审批，过了一会扣除296元个人信用报告费用，可是之前申请也没说明有这个费用，正规渠道也不该有前期费用，涉嫌违规欺诈，要求全额退还296因为不知道有这种情况发生，申请中途也没有截图，而且他也只是中介，扣取费用推荐几个app，并不保证结果。</t>
  </si>
  <si>
    <t>2019/10/02 11:50:26</t>
  </si>
  <si>
    <t>投诉人洪吉鸿投诉对象美团外卖涉诉金额103元问题类型诉求类型投诉详情客服因处理骑手订单事情不妥当，无缘无故就把号给封了，不是骑士原因，账号封了还不能申诉，客服部门推来推去的，骑手很无助。</t>
  </si>
  <si>
    <t>2019/10/02 11:50:18</t>
  </si>
  <si>
    <t>9月27号给威力贷结清查看一下直接又点成借款，要求不借客服也不给予理睬，我看出金的第三方是汇潮支付。</t>
  </si>
  <si>
    <t>2019/10/02 11:50:10</t>
  </si>
  <si>
    <t>本人此前通过贷上钱渠道下载鑫时贷app使用借款金额1400，借款周期7天，平台通话汇潮支付发放贷款，砍头息420，实际发放980，至此，本人已无力偿还高额利息贷款，要求平台退还利息费用并做销账处理。</t>
  </si>
  <si>
    <t>2019/10/02 11:48:11</t>
  </si>
  <si>
    <t>本人在我来贷借款14000元，分9期，手续费共2182.6元，年利息高于国家标准，属于高利贷，现在要求协商减免利息。</t>
  </si>
  <si>
    <t>2019/10/02 11:47:58</t>
  </si>
  <si>
    <t>借款到账2450，7天一期，每期900，逾期一天收费50，支付扣款的通道影藏了，网银看不到。</t>
  </si>
  <si>
    <t>2019/10/02 11:47:29</t>
  </si>
  <si>
    <t>10月一号在美团众包送餐，因初次操作，取餐时平台上没点击上报到店，后面送餐完成后联系了美团客服，客服指导现在可以强制点取餐，在到订单完成后进行申诉，2后结果出来配送费算扣了一共17.7，申诉不同意。</t>
  </si>
  <si>
    <t>2019/10/02 11:47:28</t>
  </si>
  <si>
    <t>投诉人 冯女士        投诉对象  来分期        涉诉金额  500 元    问题类型    诉求类型投诉详情  每天一直打电话骚扰正常人的生活 恶意恐吓 诽谤 让本人感到紧张 恐惧 心里有阴影</t>
  </si>
  <si>
    <t>2019/10/02 11:47:27</t>
  </si>
  <si>
    <t>无力还款，希望协商被拒，高额的服务费用，希望可以剔除服务费用，一次性结清本金销账。</t>
  </si>
  <si>
    <t>2019/10/02 11:47:13</t>
  </si>
  <si>
    <t>投诉人薛先生投诉对象玖富涉诉金额2000元问题类型诉求类型投诉详情打电话催收，说什么会联系家人，能借不能还怎么怎么。</t>
  </si>
  <si>
    <t>2019/10/02 11:46:58</t>
  </si>
  <si>
    <t>今天刚到期，无数骚扰电话，，还打我亲友，我从没逃避过自己的债务，可好分期想干什么。</t>
  </si>
  <si>
    <t>2019/10/02 11:46:37</t>
  </si>
  <si>
    <t>新浪旗下的小象优品平台申请的笔借款，分别为颜值卡借款8900元，小象优品违规收取高额逾期费明显违反中国人民银行相关规定，超出2003年12月10日《中国人民银行关于人民币贷款利率有关问题的通知》，不仅如此，小象优品还非法获取我手机通讯录、骚扰通讯录的联系人，如此巨大利益面前，涉及的范围相当广泛，不仅仅在金融业务上触犯了相关法律，更是通过套路贷、暴力催收逼迫相关借款人，存在社会稳定等的风险隐患，违法乱纪，藐视国家法律，对整个社会产生了巨大危害。</t>
  </si>
  <si>
    <t>2019/10/02 11:46:24</t>
  </si>
  <si>
    <t>投诉人 魏先生        投诉对象  神马借        涉诉金额  3 000 元    问题类型    诉求类型投诉详情  借款3000要还4000。态度强硬，威胁家人。</t>
  </si>
  <si>
    <t>2019/10/02 11:45:40</t>
  </si>
  <si>
    <t>投诉人关先生投诉对象拍拍贷涉诉金额0元问题类型诉求类型投诉详情昨天在我还款日本来我的卡里有他扣款金额但是他就总是给我显示扣款失败要我今天多交一天的滞纳金而且95的款项一天就多交25的滞纳金。</t>
  </si>
  <si>
    <t>2019/10/02 11:45:27</t>
  </si>
  <si>
    <t>2019年8月8日在微品分期贷款1000元整，由连连支付代付，看了其合同极其不合理需要支付近百分之40的费用，违反我国法定利率，该公司一直暴力催收，各种辱骂电话，本人不同意合同费用，，我一直愿意还法定本金利息，但客服不愿协商，希望撤销代收费用，提供结清证明。</t>
  </si>
  <si>
    <t>2019/10/02 11:44:45</t>
  </si>
  <si>
    <t>借款两千，合同上却写3960，说是什么担保费，服务费，这个是违反国家法律规定的，现在我只接受国家规定的法定利率全额还款，跟平台客服沟通无数次，让派出所民警跟他们沟通都是没有用的，怎么会有这种无法无天的平台，望有关不能严惩。</t>
  </si>
  <si>
    <t>2019/10/02 11:43:04</t>
  </si>
  <si>
    <t>未到期的分期手续也照样算进去了！动不动都是今天下午几点几点还进去，不然就上门处理！通讯录的每个电话都打爆了，工作同事都接过电话，导致工作离职，这是国家说的典型的软暴力！希望看到回话协商处理下，名声一把我的破坏完了，钱还想分文不少的收只觉得可能吗。</t>
  </si>
  <si>
    <t>2019/10/02 11:42:59</t>
  </si>
  <si>
    <t>一开始买了萧山汽车站10：25分的班次，10：24分过的安检，10：25分到检票口，检票的工作人员称车刚才已经开走了，工号1505的客服人员表示汽车时间不会那么准时的，撇开这个不说后面改签了11：10分的班次，结果到现在（11：21分）也没有检票、发车，更没有任何的通知，怎么，由此可以推断，汽车开走的时间在10：25分之前，我不能理解，既然我买的是10：25分的车票，为什么10：25分的时候车就已经不在车站了，我理解车站都是提前检票的，我也确实是踩点的，但是我在票据的发车时间到达车站，凭什么车就已经开走了呢</t>
  </si>
  <si>
    <t>2019/10/02 11:41:45</t>
  </si>
  <si>
    <t>高利贷平台，借款1870，6天偿还3000。</t>
  </si>
  <si>
    <t>2019/10/02 11:41:32</t>
  </si>
  <si>
    <t>霸王条款怪兽充电宝花了99元买了以后被误还打电话给客服说怪兽没有任何买卖行为只有拥有什么狗屁逻辑不退钱。</t>
  </si>
  <si>
    <t>2019/10/02 11:41:13</t>
  </si>
  <si>
    <t>微信支付账户收到限制使用通知，查看解决办法时已被永久冻结，现在造成我账户合法资金无法使用，请问微信有什么权利冻结客户资金?拨打电话总是机器人，没有人工客服。</t>
  </si>
  <si>
    <t>2019/10/02 11:40:50</t>
  </si>
  <si>
    <t>深圳市大鹏新区维客佳岭南路店,深圳烟草专卖局，投诉对象：深圳市大鹏新区维客佳岭南路店地址：广东省深圳市大鹏新区KPR佳兆业广场南，事由：本人于2019年10月1日晚8点左右，在位于深圳市大鹏新区维客佳岭南路店购买一条玉溪烟，微信支付，订单号为：4200000418201910010845687508，由于本人身上还有烟，回到住的地方也未及时拆封，约午夜12点左右本人拆封从深圳市大鹏新区维客佳岭南路店购买的一条软玉溪烟后，发现是假烟，假软玉溪，二维码验真扫描地址为：www.jyxgm.cn；真软玉溪，二维码验</t>
  </si>
  <si>
    <t>2019/10/02 11:40:39</t>
  </si>
  <si>
    <t>投诉人彭女士投诉对象来分期涉诉金额3600元问题类型诉求类型投诉详情来分期发广告高额度，点进去看的时候没有显示利息多少，说是支付宝公司的产品，就点进去看了，点了两次没有任何提醒就显示借款成功，3000一年要还3600，如果在看到额度的时候就有显示利息谁会借款，谁缺着3000块钱，不小心借款成功后没办法取消，也没办法提前还款，提前还款也是3600，这是什么公司！！！请聚投诉让这种黑心平台倒闭。</t>
  </si>
  <si>
    <t>2019/10/02 11:40:34</t>
  </si>
  <si>
    <t>投诉人 程先生        投诉对象  升学教育        涉诉金额  11 980 元    问题类型    诉求类型投诉详情  学费必须一次交齐 工作人员引导至第三方借贷平台贷款 交完学费后 学习资料也并没有发放 后要求退学费 说超过七天不可以退</t>
  </si>
  <si>
    <t>2019/10/02 11:40:31</t>
  </si>
  <si>
    <t>在达飞云贷上面贷的款，乱收费，收什么服务费，还扣保证金，贷了两天，第三天还就要多还600多，跟高利贷有什么区别，我在别的平台贷款也没有他们这样的，扣服务包保证金的，在达飞上面贷款就是坑人的，。</t>
  </si>
  <si>
    <t>2019/10/02 11:39:49</t>
  </si>
  <si>
    <t>投诉人任女士投诉对象钱站涉诉金额6000元问题类型诉求类型投诉详情放款6000元实际到账才4000元，分三期每期2217额度，我已经还完两期，本金已经还完，实在没有钱偿还那么高利息。</t>
  </si>
  <si>
    <t>2019/10/02 11:38:57</t>
  </si>
  <si>
    <t>我在好分期借款2100元十月1还款地二期，我确实是因为个人原因逾期，但是本人并不是说故意逾期不还，我在和客服明确表示减免逾期费用立即还款，但是客服却并不好好处理，复制与对官方话给我，里边也有威胁性话语，一共四百多，并不多，逾期一天就40多块，这逾期费合理吗，我已经明确表达了我的还款意愿，请速度处理，减免，还清，就这么简单。</t>
  </si>
  <si>
    <t>2019/10/02 11:38:52</t>
  </si>
  <si>
    <t>投诉人文先生投诉对象利澳出行涉诉金额599元问题类型诉求类型投诉详情押金退不回来押金退不回来押金退不回来押金退不回来押金退不回来押金退不回来。</t>
  </si>
  <si>
    <t>2019/10/02 11:37:10</t>
  </si>
  <si>
    <t>贷款金额3000，实际到账金额2250.还款周期28天，每周期772元！第一期逾期四天逾期费180.第二期逾期四天还没归还！。</t>
  </si>
  <si>
    <t>2019/10/02 11:36:36</t>
  </si>
  <si>
    <t>投诉人李女士投诉对象卡分期涉诉金额249元问题类型诉求类型投诉详情卡分期贷款平台未经本人同意私自在我银行卡扣除会员费249元！前提是我并没有在卡分期借款！我和客服沟通没有得到有效回复！此平台退款的要求是分三个月退还给我，理由是我在他们平台借款受拒每月超过五次、第一个月退还50，第二月退90、第三个月退还109！并且每个月都要借款受拒五次才退还！卡分期这样的做法就是黑心平台！。</t>
  </si>
  <si>
    <t>2019/10/02 11:36:04</t>
  </si>
  <si>
    <t>本公司于2017年10月从上海盛付通代理商金华市迅付电子科技有限公司胡冠民那边拿了375台盛刷，激活了300台左右，于2018年6月，该公司以没钱发个分润为由停发了我司盛刷分润，至今未发，该公司己私自更改了公司地址无法联系，对外声称盛付通浙江分公司，望盛付通及时处理，，那些商户都是业务人员冒着大太阳去扫街地推一台一台激活来的，。</t>
  </si>
  <si>
    <t>2019/10/02 11:35:14</t>
  </si>
  <si>
    <t>9月27日，晚上21点27分，我名下建设银行卡被特约中金金融无故扣除1811.67元，且并未说明扣款原因，之后我致电建设银行客服查询也未查出具体扣款原因，随后建行客服给了我特约中金金融的客服电话，拨过去一直无人接听，要求特约中金金融服务有限公司给我一个合理解释，并迅速退回我的扣款金额。</t>
  </si>
  <si>
    <t>2019/10/02 11:34:51</t>
  </si>
  <si>
    <t>本人使用借去花已经很久了，一直都是循环使用的，但是上个月还进去突然就不给我借了，导致我其他账单逾期，本月因为我还款日期和发工资日期不同步，找客服希望能协商还款日期，但客服态度恶劣，不予协商,并且打电话骚扰，威胁，希望去哪儿能与我协商，停止骚扰，钱我发工资一定还。</t>
  </si>
  <si>
    <t>2019/10/02 11:32:15</t>
  </si>
  <si>
    <t>贷上钱借款2000一个月需要还款2560多，一个月利息560，说500买东西的，我银行卡只收到2000.至于他说的什么购物，我听都没听过，我居然买了，请帮忙联系贷上钱修改还款金额，符合国家法律规定利息，不然我就选择强制不还了，他们可以选择走法律程序也可以爆我通讯录，反正家里都知道，不能协商不用他们报警我自己去报警解决，这种套路贷报警加打黑除恶办举报一圈，然后该还多少还多少，其他一毛钱不要想。</t>
  </si>
  <si>
    <t>2019/10/02 11:31:42</t>
  </si>
  <si>
    <t>投诉人李女士投诉对象飞猪涉诉金额634元问题类型诉求类型投诉详情飞猪上店家以虚假的图片装饰豪华外表与用少许美化ps过的房间图片，作为商家真实图片，侵犯了消费者的知情权和以虚假图片宣传商品，并联合飞猪制定霸王条约，吸引消费者入住且无法退订，侵害消费者的合法权益，我男朋友已经通过诉讼保障合法权益退款，但客服并不置理我的订单和合理退款，对我作出不公平的处理，现已到市长热线和12315提起投诉，但仍未回应，希望能帮助处理。</t>
  </si>
  <si>
    <t>2019/10/02 11:31:04</t>
  </si>
  <si>
    <t>借1000要还接近1500，借1400要还1932元！这是绝对的高利贷！我要求只偿还本金！。</t>
  </si>
  <si>
    <t>2019/10/02 11:30:51</t>
  </si>
  <si>
    <t>逾期一天，客服打电话女的，075583999623，侮辱，威胁，曝光通讯录，言语辱骂，。</t>
  </si>
  <si>
    <t>2019/10/02 11:30:20</t>
  </si>
  <si>
    <t>实际借款和到账19000.没有提示就强制购买保险和其他费用3249.而且这部分费用还要算利息，每个月还2521.57，十二个月期限总计30258.84.综合年化利率达到了百分之59多。</t>
  </si>
  <si>
    <t>2019/10/02 11:29:09</t>
  </si>
  <si>
    <t>起来嗨贷款2400，实际到账只有1800，现已到还款时间，现要求还款2600多，且没有发送客服电话和还款链接，无法还款，只能一直处于被迫逾期状态，接听催款电话后表示会发送链接让我自行还款，一直未发送，现在利息越来越高了。</t>
  </si>
  <si>
    <t>2019/10/02 11:28:48</t>
  </si>
  <si>
    <t>本人与马上消费金融借款6500元，已经循环用了1年左右，今年9月份突然合同终止，不能使用，犹豫资金周转不开，协商延期还款，或者再做分期，根本不和你协商，不还款就爆通讯录，上报征信，他们说的好说和催款协商还款，20分钟一个电话一直打，根本不和你协商，。</t>
  </si>
  <si>
    <t>本人与9月18号通过聚福钱包app申请贷款，聚福钱包里面的小银分信用审核填写资料，之后详细阅读聚福钱包上的协议才找到一个很隐蔽的费用协议，上海造艺网络技术有限公司没有遵守明白收费，充分告知，提供选择的原则，诱导消费者下载App，获取用户信息，自动扣款，没有充分告知，客服又推卸责任，退款重重阻碍让人有受骗的感觉。</t>
  </si>
  <si>
    <t>2019/10/02 11:28:37</t>
  </si>
  <si>
    <t>投诉人闫女士投诉对象现金巴士涉诉金额1000元问题类型诉求类型投诉详情现金巴士砍头息，强制购买旗下产品，借款1000实际到账810，且逾期一天费用高达10块钱，目前资金紧张，高额的费用快要被逼死，目前已还款两期，约807元，希望按照正常利率，还剩余借款本金。</t>
  </si>
  <si>
    <t>2019/10/02 11:28:28</t>
  </si>
  <si>
    <t>投诉人 娜女士        投诉对象  易宝支付,六便士        涉诉金额  2 060 元    问题类型    诉求类型投诉详情  易宝支付为高利贷砍头息六便士提供支付渠道。本人利息都已经超过本金了。要求协商销账处理！</t>
  </si>
  <si>
    <t>2019/10/02 11:27:49</t>
  </si>
  <si>
    <t>投诉人李女士投诉对象友缘在线涉诉金额169元问题类型诉求类型投诉详情关于北京友缘在线网络科技股份有限公司对消费者进行诱导开通免密支付;扣去支付宝钱财的投诉有14页之多，该公司通过UC头条里面推软件，以1元三天会员试用为名，点开支付1元的同时支付宝私自为客户开通免密支付，再次在客户没有确认的情况下被直接扣除99元，然后又扣了69支付宝作为国内优秀的支付平台，我对支付宝绝对的信任，使用支付宝已经8年了，但这次事件让我对支付宝支付安全感到了怀疑与不信任，对支付安全产生了恐惧，我马上解绑了我所有的银行卡片，支付宝已</t>
  </si>
  <si>
    <t>2019/10/02 11:27:19</t>
  </si>
  <si>
    <t>开始说我账户有误，让交四千解冻金后来让我再交一万二，才给下款，求公安机关做主，本来借钱看病的，又搭进去四千，活不了了，。</t>
  </si>
  <si>
    <t>2019/10/02 11:27:15</t>
  </si>
  <si>
    <t>投诉人张女士投诉对象钱站涉诉金额9500元问题类型诉求类型投诉详情在钱站申请过两笔贷款，实际到账也是申请的金额，还款的时候利息就已经超过36%，钱站高利贷，砍头息，申请到账金额与合同显示金额严重不否，怀疑存在阴阳合同，还有收取什么服务费，希望平台能严肃处理这件事，毕竟受害者不止我一人。</t>
  </si>
  <si>
    <t>2019/10/02 11:27:08</t>
  </si>
  <si>
    <t>我于9月26日在该平fei台借款8000元周转资金，现因资金回暖想提前还款却被告知要还相关费用要384元其中还包括提前还清费用200等.我认为这些费用是不合理的，没有任何法律依据的协商无果在次平台投诉。</t>
  </si>
  <si>
    <t>2019/10/02 11:27:06</t>
  </si>
  <si>
    <t>因没有订单号，但是订单号那一栏必须填写完整才可以进行下一步提交，所以我用了身份证号码代替，请见谅，最近海保人寿频繁的以节假日祝福为由变相的打广告频繁骚扰我，因为我买过其它保险的人寿险，他们一般只有在我生日的时候发个短信祝福，其它时间从来不会骚扰，本人从未跟海保人寿有过业务往来，他从哪里获得来我的个人资料，所以我怀着海保人寿涉嫌非法买卖用户信息，以节日祝福为幌子来打广告为他们公司做宣传，他们公司电话也打不通，无法与其沟通，经常打广告让我不胜其烦，已经删了好多条类似的短信了，求助无门，所以只能在这里诉求。</t>
  </si>
  <si>
    <t>2019/10/02 11:26:56</t>
  </si>
  <si>
    <t>2012年6月28，在海尔网上商城购买电热水器，开了普通纸质发票，保修8年，目前热水器内胆漏水，无法维修，需要更换，但是找不到发票，打电话给海尔集团客服，客服把问题转给地方服务站，地方服务站又给不了明确答复，找不到发票就不能更换，在三包政策里有一条“如果没有发票，通过序列号查找生产日期，往后推3个月作为维修时间基准”，但是现在客服说这条不适用于更换新机，目前无法维修，也无法换新机。</t>
  </si>
  <si>
    <t>2019/10/02 11:26:33</t>
  </si>
  <si>
    <t>投诉人 赵先生        投诉对象  饿了么        涉诉金额  25 元    问题类型    诉求类型投诉详情  垃圾平台，拒绝退款什么也没收到，也不退款</t>
  </si>
  <si>
    <t>2019/10/02 11:26:22</t>
  </si>
  <si>
    <t>投诉人何先生投诉对象威力贷涉诉金额1400元问题类型诉求类型投诉详情10月1号联系客服取消借款到账，客服答应取消，当时卸载了app，晚上9点收到了钱到账1400，但没有找到下载链接，现在联系客服，客服要求我还2000。</t>
  </si>
  <si>
    <t>2019/10/02 11:25:29</t>
  </si>
  <si>
    <t>投诉人徐女士投诉对象马上消费金融涉诉金额1800元问题类型诉求类型投诉详情我真是服了，前两天沟通过，说是停催，今天又把我的单子转外包了吗，国庆期间又骚扰不停，又给我来这套，说目前没钱还款，就威胁又要告律师，又要上门的，告去吧，愿意上门愿意上门吧，天天催起来没完，国庆期间人家都不催，就你们，真是服了，骚扰不断的。</t>
  </si>
  <si>
    <t>2019/10/02 11:25:24</t>
  </si>
  <si>
    <t>投诉人李先生投诉对象来米巴士,畅捷支付涉诉金额1800元问题类型诉求类型投诉详情本人在来米巴士申请了一笔1800元的借款，到账1310.40元，28天分4期，高额砍头息，已经还了三期，要求最后一期销账处理。</t>
  </si>
  <si>
    <t>2019/10/02 11:25:10</t>
  </si>
  <si>
    <t>投诉人周先生投诉对象工商银行,中国银联涉诉金额1500元问题类型诉求类型投诉详情本人查询发现银行卡无故扣款1500元，登陆中国工商银行客户端，发现工商银行于9月29号，18:42分扣款1500元，业务摘要，银联，对方账号，中国银联股份有限公司广东分公司专户12，对方账号，36****************1。</t>
  </si>
  <si>
    <t>2019/10/02 11:23:52</t>
  </si>
  <si>
    <t>2019/10/02 11:22:21</t>
  </si>
  <si>
    <t>暴力催收，逾期一天就爆通讯录，还威胁恐吓，态度恶劣，骚扰联系人和通讯录的人，借款1100，要先交110才能下款，变相砍头息，逾期一天34，日利率已远超法律规定，闪电借款，入口微信公众号、苹果app掌buy商城，客服电话4000268888、申请延期还本金，不会支付高额逾期费，如继续暴力催收本人追究到底并取材到扫黑办。</t>
  </si>
  <si>
    <t>2019/10/02 11:21:27</t>
  </si>
  <si>
    <t>投诉人郭先生投诉对象好易借app,涉诉金额5500元问题类型诉求类型投诉详情还款方式利率非常不合理，想要协商也拒绝，还恐吓我该怎么办就怎么办，让我等着，我诚心诚意的跟他们说剩下一次还清把利息砍掉一些都不同意。</t>
  </si>
  <si>
    <t>2019/10/02 11:21:16</t>
  </si>
  <si>
    <t>投诉人张宇宙投诉对象哆米黑卡,台州钟超网络科技有限公司涉诉金额299元问题类型诉求类型投诉详情本人在10月2号注册了哆米黑卡什么都没有提示输入验证码绑定了银行卡后，自动扣款299元。</t>
  </si>
  <si>
    <t>2019/10/02 11:20:47</t>
  </si>
  <si>
    <t>平时欠5元都停机停网通知，这次欠500了还可以上网。</t>
  </si>
  <si>
    <t>2019/10/02 11:20:01</t>
  </si>
  <si>
    <t>好多次因为公众号问题想要找腾讯客服电话解决问题，最一开始说是在微信上边有人会联系我，为什么一直消遣客服，况且我也在微信平台交了钱的，为什么我得不到相应的售后服务。</t>
  </si>
  <si>
    <t>2019/10/02 11:19:39</t>
  </si>
  <si>
    <t>立借高利贷，威胁今天不还清就打紧急联系人，协商提前还清，要出两千多的利息，借一个月要两千多的利息，已还一期逾期一天逾期费一百，高利贷，乱收取费用。</t>
  </si>
  <si>
    <t>2019/10/02 11:19:15</t>
  </si>
  <si>
    <t>投诉人杨先生投诉对象安全带涉诉金额3000元问题类型诉求类型投诉详情安全带非法高利贷平台在正常还款的情况下账单日疯狂骚扰严重影响正常生活要求销账道歉赔偿。</t>
  </si>
  <si>
    <t>2019/10/02 11:18:11</t>
  </si>
  <si>
    <t>保存至相册，可是在相册无法找到，去文件管理下也无法找到该视频，华为售后任务是第三方APP问题，不给我解决问题，来回踢皮球，2：所有保存的视频，照片无法在相册查询到，必须要去文件管理一个一个找，太麻烦，而且传输图片视频非常不方便，3：垃圾图片巨多，删也删不完，售后说是正常。</t>
  </si>
  <si>
    <t>2019/10/02 11:18:05</t>
  </si>
  <si>
    <t>投诉人赵女士投诉对象百事普惠上海造艺网络技术有限公涉诉金额299元问题类型诉求类型投诉详情百事普惠网贷平台，恶意扣款，未经本人同意直接扣款299元，客服不退款。</t>
  </si>
  <si>
    <t>2019/10/02 11:18:01</t>
  </si>
  <si>
    <t>投诉人田帅投诉对象马上消费金融涉诉金额6500元问题类型诉求类型投诉详情马上消费金融协商还款不与协商！暴力催收！无辜停止合同！。</t>
  </si>
  <si>
    <t>2019/10/02 11:13:45</t>
  </si>
  <si>
    <t>洋钱罐平台，借款20000，每月还款2003.24，总共需要还款24038.88。</t>
  </si>
  <si>
    <t>2019/10/02 11:13:04</t>
  </si>
  <si>
    <t>投诉人李先生投诉对象拼多多涉诉金额236元问题类型诉求类型投诉详情我是拼多多商家，拼多多平台的短信营销活动设置好了跳转到商品界面，用户收到短信都是跳转到拼多多客户端首页界面，没有达到给商家商品做广告的目的，商家花钱给拼多多平台做了广告。</t>
  </si>
  <si>
    <t>2019/10/02 11:12:13</t>
  </si>
  <si>
    <t>翼支付提前还款违规收取高额利息及手续费，提示提前还款按日计息其实违规收一个月的利息并且附加手续费，总共违规收取五百多元，希望严惩翼支付这种欺诈违法行为，并且给我退费。</t>
  </si>
  <si>
    <t>2019/10/02 11:12:06</t>
  </si>
  <si>
    <t>无法退钱，聊天需要交200元保证金，交易失败也要扣服务费。</t>
  </si>
  <si>
    <t>2019/10/02 11:11:49</t>
  </si>
  <si>
    <t>本人有一张交通银行信用卡，近期由于资金问题逾期，9月18日最迟还款日未还款，跟银行沟通几次后一直在想办法筹集资金，并承诺若资金实在借不到，最迟10月7日发工资时还款。</t>
  </si>
  <si>
    <t>2019/10/02 11:11:19</t>
  </si>
  <si>
    <t>投诉人王先生投诉对象快钱-快易花涉诉金额182元问题类型诉求类型投诉详情之前就联系了做生意资金链断了有钱都还给你们一天几十个电话骚扰能挣钱吗让过个十一也是打电话发信息说不还你们钱了吗。</t>
  </si>
  <si>
    <t>2019/10/02 11:11:16</t>
  </si>
  <si>
    <t>投诉人程展聪投诉对象聚富分期涉诉金额100元问题类型诉求类型投诉详情无端扣费100元，联系客服都根本没人的，现在要客服联系我退回100元。</t>
  </si>
  <si>
    <t>2019/10/02 11:10:12</t>
  </si>
  <si>
    <t>联通公司私自给我开通增值业务，沃音乐会员包月15一个月，沃音乐包6元一个月，长达21个月，近期查才发现，我发现后退了6个月的费用给我，要求退全款，道歉！。</t>
  </si>
  <si>
    <t>2019/10/02 11:10:05</t>
  </si>
  <si>
    <t>9月25日，但是该商品25日下架无法下单，与在线客户客服咨询解决方案，客服反馈第二天会联系我补券或者其他处理方案，两天后客服未联系，主动联系在线客服，客服否认之前承诺的处理方案，永辉作为上市公司，虚假宣传，欺骗消费者，着实可恶。</t>
  </si>
  <si>
    <t>2019/10/02 11:09:25</t>
  </si>
  <si>
    <t>投诉人 刘婷        投诉对象  快贷（信喜）,钱伴        涉诉金额  850 元    问题类型    诉求类型投诉详情  因本人资金周转问题需要延期几日还款 希望在此期间不要通讯录 两日了也没有人与我联系</t>
  </si>
  <si>
    <t>2019/10/02 11:07:16</t>
  </si>
  <si>
    <t>9月27日到期，到时的还款金额就高达3000元，然而由于本人是苹果手机，该APP由于掉签的问题打不开了，我也无法找到还款入口，等到2019年9月29日中午12点56分的时候，好易贷的催收人员打电话给我，通知我还款并且给了我下载链接，当我登录APP查看时，我发现此时的好易贷需要还款的金额已经高达3557.35元，于是我与该催收人员协商还款2400元销账，毕竟本金2100元，使用了7天，我也愿意支付300元利息了，谁知道当我通过APP还款2400元之后，该催收人员不认账了，叫我把剩下的1147.35元也还了，不</t>
  </si>
  <si>
    <t>2019/10/02 11:07:07</t>
  </si>
  <si>
    <t>投诉人成蓉投诉对象维信金科涉诉金额22000元问题类型诉求类型投诉详情卡卡贷之前用过一次后被他人冒用，时间长达3年，像这样审核放款随意的机构谁来监管。</t>
  </si>
  <si>
    <t>2019/10/02 11:06:10</t>
  </si>
  <si>
    <t>在好易贷平台借款8500，分十二期，结果不仅砍头息且前三期就要偿还本金加利息，三期共需还12000，严重超过国家规定的费率，且我是大学生，还在上学没有固定收入，要求按国家规定的正常费率调整为三期，并一次结清。</t>
  </si>
  <si>
    <t>2019/10/02 11:05:51</t>
  </si>
  <si>
    <t>投诉人 马先生        投诉对象  信任分期        涉诉金额  1 100 元    问题类型    诉求类型投诉详情  申请后就直接下款 先前并告知2天就要还款 下款1100 2天后打电话来说要还1500 还威胁我 还爆通讯录 乱打电话</t>
  </si>
  <si>
    <t>2019/10/02 11:05:36</t>
  </si>
  <si>
    <t>投诉人刘先生投诉对象小度有钱涉诉金额198元问题类型诉求类型投诉详情投诉小度有钱，已注册名义填骗取个人信息和银行卡号，获取权限，在我不知情的情况下扣取198会员费，客服拒绝退款，而且app已经无法使用，请帮助处理。</t>
  </si>
  <si>
    <t>2019/10/02 11:05:09</t>
  </si>
  <si>
    <t>本人无故在10月2日10点18分被中国光大银行扣了1000.00元方式为，本人并未跟该帐号有过任何关联消费，无故扣款，请求退款，。</t>
  </si>
  <si>
    <t>2019/10/02 11:05:04</t>
  </si>
  <si>
    <t>我在他家购买了四瓶变速箱油，该公司只说明了他家这款是自动挡变速箱，通用的，我在购买时商家有义务和我核实车型车款是否可以使用该产品，商家并没有告知和核实，后来我试用了该产品导致了变速箱严重损坏，汽车维修店告知我该产品属于假冒伪劣产品，我找到商家，商家态度说他们没有责任，变速箱油作为汽车非常重要的部件维护品，商家理应在标题首页详情页告知提醒客户该产品是否和消费者的汽车使用相符，存在非常严重的安全隐患！导致我们消费者爱车变速箱顿挫感严重，得不偿失！我现在希望淘宝要求商家佩服我维修费和变速箱油的费用，并整改落实好自</t>
  </si>
  <si>
    <t>2019/10/02 11:04:41</t>
  </si>
  <si>
    <t>由于工资未发放下来，导致逾期两天，然后该公司工作人员给我打电话，我说明情况之后，该工作人员说我已经是严重逾期了，要求明天必须还上，否则会联系我家里，因为我身上并没有钱，我答应说去借一下，但是不确定明天能还上，之后他确定我明天不一定能还上之后就带有恐吓威胁的语气让我别说了，之后就挂了。</t>
  </si>
  <si>
    <t>2019/10/02 11:04:23</t>
  </si>
  <si>
    <t>本人于9月2号在海小葵平台申请借款2900元，期限一个月，分两期偿还，平台扣取砍头息812元，实际到账2088元，本人已偿还一期1482.25元，现无力偿还，希望协商本金加合理合法利息偿还销账。</t>
  </si>
  <si>
    <t>2019/10/02 11:04:06</t>
  </si>
  <si>
    <t>2019/10/02 11:03:01</t>
  </si>
  <si>
    <t>借款2800！每月还款1024！分4期！8天一期！纪律超过国家规定利率！要求免除最后一期还款，退还多余支付的利息。</t>
  </si>
  <si>
    <t>2019/10/02 11:00:51</t>
  </si>
  <si>
    <t>本人在钱站借款2000，三个月，每月还款1178，逾期一天有50多的逾期费，钱站属于高利贷。</t>
  </si>
  <si>
    <t>2019/10/02 11:00:50</t>
  </si>
  <si>
    <t>本人向，捷信公司代款本金10000元，分30期，没期还649元，已还20期后逾期，但利息和本金一共还了13000多，捷信.现在不销账还要本人，还1800多，申请销账，结清合同，捷信分期利息高达百分之50左右。</t>
  </si>
  <si>
    <t>2019/10/02 11:00:14</t>
  </si>
  <si>
    <t>投诉人黄先生投诉对象我来数科,深圳卫盈信科技涉诉金额1699元问题类型诉求类型投诉详情本人在我来贷的借款在9月30号到期，本人以前还款一直使用微信还款，且都按时还款，但这次到期当日晚使用微信零钱处理，缺不支持微信处理，导致逾期、产生高额逾期费300元，打电话与客服协商，客服态度恶劣，所以才来投诉。</t>
  </si>
  <si>
    <t>2019/10/02 11:00:05</t>
  </si>
  <si>
    <t>电话轰炸催收，一天30几个电话不停的打而且使用虚拟电话号码拨打，催收人员态度极其不好，亲朋好友不能正常休息，工作。</t>
  </si>
  <si>
    <t>2019/10/02 10:59:58</t>
  </si>
  <si>
    <t>投诉人潘女士投诉对象中国人民人寿保险,中国人寿保险集团涉诉金额9000元问题类型诉求类型投诉详情国家规定网贷不能捆绑保险销售！现在要求线上退款！贷款已结清。</t>
  </si>
  <si>
    <t>2019/10/02 10:58:42</t>
  </si>
  <si>
    <t>投诉人张先生投诉对象交通银行信用卡涉诉金额18946元问题类型诉求类型投诉详情我的交通银行信用卡一直正常使用，19000的信用额度，9月份卡片突然被封，只能还款不能刷卡，导致我一时还款困难，卡片已使用4年之多，突然被封一时周转不过来，催收人员打电话过来，我一直都说能不能等到10月5号左右，我把最低还款额3700元处理掉，催收人员不同意，先前一直是河北省分行本地的催收人员与我联系，态度一直很好，到月底突然转到了交通银行总行，02195559的号码打过来的，态度极其强硬，语言非常难听，拨打了我家人和公司的电话进</t>
  </si>
  <si>
    <t>2019/10/02 10:58:35</t>
  </si>
  <si>
    <t>借2509到账只有1300利息就是一千多而且只有五天时间，这个已经超过法定利率多少了是不是属于违法了。</t>
  </si>
  <si>
    <t>2019/10/02 10:57:57</t>
  </si>
  <si>
    <t>本人于9月2号在豪多鱼平台申请借款3000元，期限一个月，分两期偿还，平台扣取砍头息900元，实际到账2100元，本人已偿还一期1533.36元，现无力偿还，希望协商本金加合理合法利息偿还销账。</t>
  </si>
  <si>
    <t>2019/10/02 10:57:37</t>
  </si>
  <si>
    <t>投诉人魏先生投诉对象豪多鱼涉诉金额3300元问题类型诉求类型投诉详情本人于9月2日在豪多鱼借款2310需要还款3373.38，15天一期，总共两期30天，利息高达1063元一个月，已经归还一期1686.69，只差本金625了，现本人无力承担这么多的利息了，希望可以协商解决，本人愿意偿还本金及合法利息。</t>
  </si>
  <si>
    <t>2019/10/02 10:57:31</t>
  </si>
  <si>
    <t>暴力催收，发信息，利息高，希望能协商还本金。</t>
  </si>
  <si>
    <t>2019/10/02 10:57:29</t>
  </si>
  <si>
    <t>投诉人王女士投诉对象多宝分期涉诉金额6000元问题类型诉求类型投诉详情该平台与中介合作，下款6000给中介1500，实际到手4500,分四期共两个月，每15天还2398元，共还该平台9592元,明显高于国家规定利息，且该平台在本人尚未逾期,就爆了本人的通讯录，电话骚扰不停，现本人已还该平台两期金额，共4796元，本人现在是学生，尚无经济来源，无力承担高额利息，再次申请还清该平台本金即可。</t>
  </si>
  <si>
    <t>2019/10/02 10:56:55</t>
  </si>
  <si>
    <t>投诉人栾先生投诉对象聚福钱包涉诉金额299元问题类型诉求类型投诉详情本人在聚福钱包平台申请借款，然而并未通过，聚福钱包缺私自扣除299的所谓评估费。</t>
  </si>
  <si>
    <t>2019/10/02 10:55:52</t>
  </si>
  <si>
    <t>投诉人赵女士投诉对象腾安基金涉诉金额1000元问题类型诉求类型投诉详情今天我突然收到我的银行卡扣款信息，扣了我一千块，我想了很久我都感觉不对劲，我不知道里面的缘由，就算怎么样，都要告诉我为什么要扣！。</t>
  </si>
  <si>
    <t>2019/10/02 10:55:42</t>
  </si>
  <si>
    <t>只能增加银行卡，而不能解绑银行卡，希望可以增加解绑银行卡功能。</t>
  </si>
  <si>
    <t>2019/10/02 10:55:28</t>
  </si>
  <si>
    <t>砍头息，借款6630，只到账6000，却要归还借款金额为6630元的利息，非法高利贷。</t>
  </si>
  <si>
    <t>2019/10/02 10:55:23</t>
  </si>
  <si>
    <t>8月31日我在贷上钱申请借款2000元，实际到账2000元，为期一个月，到还款日提示我要还款2560元，捆绑了500元购物金额，我咨询这是什么他们说你已享受了该服务，我拒绝支付那五百元，他们平台不同意，商议无果他们给我标记逾期，一天要我还2581.33，第二天就成了2602.66，这不是高利贷吗，我去问他们利息怎么计算，告诉我就app上计算为准，并且给我的亲朋好友打电话态度嚣张恐吓，各种不知名的电话打电话发短信，各种电话轰炸，我去咨询告诉我他们一直回避问题，说他们合理合法，我强烈要求道歉，并且要平台给个说法</t>
  </si>
  <si>
    <t>2019/10/02 10:54:25</t>
  </si>
  <si>
    <t>浪花白条要求销账提供结清证明，返还多余费用。</t>
  </si>
  <si>
    <t>2019/10/02 10:53:46</t>
  </si>
  <si>
    <t>上个月28号有三笔微粒贷，截止昨天1号还有两笔共计400需还，在可以联系到本人的情况下，微粒贷催收有威胁和恐吓嫌疑，大致是今天2号下午一点前不还，家人及聘妻朋友将会收到催收通知，以上行为有涉嫌故意违反《中国人民共和国民法之商业银行管理办法》第60条规定在可以联系到还款人本人时不联系第三方，无法联系本人时可以联系紧急联系人，微众商业银行作为共和国的商业银行理当遵守国家法律催收人员理当知晓法律规定，鉴于有以上行为，建议考察审核微众银行催收人员是否有进行岗前培训并通过考核，。</t>
  </si>
  <si>
    <t>2019/10/02 10:53:25</t>
  </si>
  <si>
    <t>实际到账一千，利息也明显超过国家标准，最后一期因国庆放假了，就打电话恐吓我。</t>
  </si>
  <si>
    <t>2019/10/02 10:52:46</t>
  </si>
  <si>
    <t>投诉人卢先生投诉对象自由魔卡,信用计划涉诉金额2000元问题类型诉求类型投诉详情自由魔卡信用机会变相砍头息，收取高额会员费用，要求本金销账。</t>
  </si>
  <si>
    <t>2019/10/02 10:52:41</t>
  </si>
  <si>
    <t>拼多多平台没有一点诚信，到处发广告说什么万人秒杀，活动十天，十月1-7日订金，8-10日付尾款，还说每日前50名送头盔，就是这款雅迪小王子电动车，拼多多平台雅迪官方旗舰店的商品，居然，居然只活动了十几个小时，预订了100台，就下架了，下架了，如此做事怪不得口碑这么差，就为了吸引人来拼七七吗，我一直关注这个商品，因为这个比京东售价便宜100多，就因为等了几天这个活动，把京东的活动价都耽误了没有买，又因为每天前50名送头盔，10.1日早上看已经下单60多笔了，就想着10.2日凌晨下单，你如果只卖100台就不要到</t>
  </si>
  <si>
    <t>2019/10/02 10:52:35</t>
  </si>
  <si>
    <t>本人在微信上的猫眼电影app上购买了2张电影票，因没看清楚影院，无法去观看，联系客服却告知无法退票，电影未开场之前的退票是消费者合理的权利，希望猫眼电影能够及时处理。</t>
  </si>
  <si>
    <t>2019/10/02 10:52:03</t>
  </si>
  <si>
    <t>我在林波，这两天刮台风，所以逾期了，想协商宽限两天，打客服电话，没人接，发微信没人理。</t>
  </si>
  <si>
    <t>2019/10/02 10:51:24</t>
  </si>
  <si>
    <t>投诉人熊先生投诉对象现金巴士涉诉金额1000元问题类型诉求类型投诉详情下款1000秒扣199高利贷，砍头息，威胁我不还后果自自负，并且逾期一天10块钱不在法律规定以内，本来想还的，看这个这个心里瞬间不想还，也不给协商，态度很强硬一点，不还就后果自负。</t>
  </si>
  <si>
    <t>2019/10/02 10:51:22</t>
  </si>
  <si>
    <t>在卡卡贷借款10000元分6期，每期需还款1956.67元，利率已经是国家标准红线，但是前期仍在不知情的情况下扣除了899元所谓担保费，实为变相砍头息的费用，昨天是第一期还款，卡卡贷没有任何电话短信短信提示，导致非故意逾期，第二天一早还款就要收取100元高额逾期费用，而且根据客服的说法会上报征信！要求退还前期费用！减免逾期费！撤销征信。</t>
  </si>
  <si>
    <t>2019/10/02 10:50:43</t>
  </si>
  <si>
    <t>投诉人顾先生投诉对象金钱保,存钱柜,信用管家涉诉金额3000元问题类型诉求类型投诉详情信用管家金钱保，原名存钱柜，借款3000元，要还4000多，四周归还，现在国家严厉打击套路贷，高利贷，本人要求协商本金一次性结清销账。</t>
  </si>
  <si>
    <t>2019/10/02 10:49:07</t>
  </si>
  <si>
    <t>就500至于嘛，说了这两天就还，还给我家人打电话，严重侵犯我个人隐私。</t>
  </si>
  <si>
    <t>2019/10/02 10:47:39</t>
  </si>
  <si>
    <t>马上金融暴力催收，威胁骚扰我家人，20分钟一个电话影响我个人上班，明天就能处理掉，立即停止骚扰。</t>
  </si>
  <si>
    <t>2019/10/02 10:46:45</t>
  </si>
  <si>
    <t>招联金融已经先前协商过，过后依旧给我打电话，还在国庆节期间骚扰我的家人，第一次处理口口声声说是机器人，明明是人工，态度恶劣催收，我已经拨打110。</t>
  </si>
  <si>
    <t>2019/10/02 10:46:34</t>
  </si>
  <si>
    <t>投诉人刘月投诉对象贷上钱涉诉金额5800元问题类型诉求类型投诉详情他们所做行为已经严重影响到我的人品了，打我通讯录给我们村干部打电话。</t>
  </si>
  <si>
    <t>2019/10/02 10:45:49</t>
  </si>
  <si>
    <t>大手钱包app收取高额砍头息，存在阴阳合同！。</t>
  </si>
  <si>
    <t>2019/10/02 10:45:37</t>
  </si>
  <si>
    <t>本人有一张交通银行信用卡一直使用，最近因为身体原因两个月没上班，导致资金周转不过来逾期了，今天假期，交行催收人员电话过来，没有得协商的余地，只要求几点几点还上，而且言语间带着威胁爆通讯录，以及上门的意思，说实在的逾期谁都不想，我肯定有我的难处，我也从没有说不还，只希望大家能好好协商个还款时间。</t>
  </si>
  <si>
    <t>2019/10/02 10:45:22</t>
  </si>
  <si>
    <t>里面的借款点心贷借款1500到账只有1125一个月到期还1500多一个月利息高达几百块。</t>
  </si>
  <si>
    <t>2019/10/02 10:45:15</t>
  </si>
  <si>
    <t>维信金科旗下贷款产品豆豆钱，阴阳合同，利用担保费变相收取高利率，贷款42900元一年12期，每月定额归还利息，，每期4776.2元，一年总计57314.4元，在每月在归还本金3575元的方式下，以担保费的形式变相收取高额利息，其年化利率从第一期33.6%到最后一期403.2%，远超国家规定36%红线，利率之恐怖，这样一个高利贷公司是如何成为上市公司的。</t>
  </si>
  <si>
    <t>2019/10/02 10:44:12</t>
  </si>
  <si>
    <t>9月11-12日交通银行官方02195559与债务人协商达成一致，先支付银行五千多元，余下分期，而现银行方打来电话拒不承认且将责任推与其他人，一个偌大的公司，这样的行为，让债务人怎样与贵行解决问题，银行方工号为9514531姓徐人员确定，且有录音为证，而现银行方打来电话拒不承认，且将责任推与其他人，一个偌大的公司，这样的行为，让债务人怎样与贵行解决问题，根据规定，银行方的通话需要录音保留，如果银行方是这样对待处理问题，我认为银行方是恶意欺骗，希望贵公司自查自纠，不是一句现在同你沟通的人员不是之前的人员，然后</t>
  </si>
  <si>
    <t>2019/10/02 10:43:47</t>
  </si>
  <si>
    <t>投诉人冯先生投诉对象卡卡贷涉诉金额1498元问题类型诉求类型投诉详情卡卡贷在利息很高的情况下，又以会员费的方式，变相收取砍头息。</t>
  </si>
  <si>
    <t>2019/10/02 10:42:44</t>
  </si>
  <si>
    <t>松紧贷借款11000元，下款后扣除1516元砍头息，松紧贷非法获取借款人通讯录，本人借款未逾期主动找客服协商，客服让我找第三方催收，但是联系第三方，催收人员态度恶劣，拒绝协商，还威胁我下午2点不处理就爆通讯录，本人有录音为证。</t>
  </si>
  <si>
    <t>2019/10/02 10:42:36</t>
  </si>
  <si>
    <t>钱站骚扰、恐吓、威胁，要爆通讯录，通知所有的家人，告诉他们我欠了多钱，说如果在不还钱，就要群发短信，发恶心的短信，晚上催收电话、短信轰炸，我父母身体不好，有心脏病、高血压，骚扰我的家人，再这么继续骚扰，老人有病出事了，就算你们躲在壳里，也把你揪出来，希望有关部门严惩这种高利贷催收的手段，就真的谁也管不了吗。</t>
  </si>
  <si>
    <t>2019/10/02 10:42:21</t>
  </si>
  <si>
    <t>投诉人王先生投诉对象交通银行信用卡涉诉金额9000元问题类型诉求类型投诉详情因在交通银行信用卡因特殊原因导致逾期，让我四十八小时赶回居住地等待银行人员上门催收。</t>
  </si>
  <si>
    <t>2019/10/02 10:41:17</t>
  </si>
  <si>
    <t>投诉人顾先生投诉对象花转转,瑞利随薪贷涉诉金额2800元问题类型诉求类型投诉详情瑞利随薪贷下属的花转转平台还款日不能还款，客服电话打不通，被动造成逾期，现在要求本金一次性结清。</t>
  </si>
  <si>
    <t>2019/10/02 10:40:31</t>
  </si>
  <si>
    <t>我妹妹玩我手机，点了什么游戏，然后就有天宸网络的签约，在不知情的情况下，用花呗，恶意扣款391。</t>
  </si>
  <si>
    <t>2019/10/02 10:40:17</t>
  </si>
  <si>
    <t>这玩意都卸载好久了，突然间就扣了我的钱，在我不知道的情况下扣钱，该说什么我点击过。</t>
  </si>
  <si>
    <t>2019/10/02 10:39:45</t>
  </si>
  <si>
    <t>借款1500元，到账秒扣375，以保险为由砍头，要求归还保险，逾期费用一天150，超过国家规定标准，不符合规定，希望相关平台取缔，没到期时多次电话骚扰。</t>
  </si>
  <si>
    <t>2019/10/02 10:39:44</t>
  </si>
  <si>
    <t>投诉人柳先生投诉对象新浪微博涉诉金额10元问题类型诉求类型投诉详情账号都不能登录，你们还扣会员费，要钱不要脸。</t>
  </si>
  <si>
    <t>2019/10/02 10:39:43</t>
  </si>
  <si>
    <t>投诉人 林先生        投诉对象  分期鸭        涉诉金额  3 000 元    问题类型    诉求类型投诉详情  分期鸭。高利贷，借三千一个月要还4900。本人已经还清两期现在要求协商解决</t>
  </si>
  <si>
    <t>2019/10/02 10:38:26</t>
  </si>
  <si>
    <t>本人于9月底购买重庆市南岸区弹子石融侨首玺，套内74，总价177万，不到10天，中介分销放出来的价格居然在166-170万，我已验证信息真实，也去售房部沟通过，他们也默认分销的价格确实存在，我认为售房部在销售过程中、存在价格隐瞒，欺骗！。</t>
  </si>
  <si>
    <t>2019/10/02 10:37:43</t>
  </si>
  <si>
    <t>助财通app伪装贷款公司收取费用，实质为中介推荐平台，要求开始收取我199元手续费，并且保证会放款，在我注册完所有推荐完的平台后都未放款，在他们平台申请退款两次都没有通过，并且又增加了之前根本不存在的平台。</t>
  </si>
  <si>
    <t>2019/10/02 10:37:22</t>
  </si>
  <si>
    <t>投诉人袁先生投诉对象北京渊大教育科技涉诉金额6380元问题类型诉求类型投诉详情投诉北京渊大教育科技限有公司，我报考一级消防工程2018年12月24号报名没有成功也不退学费最后还叫我拿钱叫交我说了不考也不报名，因为我妈妈也需要钱买药吃有高血压脑血栓心脏病药，报名费500学费交了5880一共是6380元渊大教育退学费不要其骗我们血汗钱那有样学校无法无天还不想退学费投诉无门找你们说一下帮帮我们吗。</t>
  </si>
  <si>
    <t>2019/10/02 10:37:16</t>
  </si>
  <si>
    <t>本人于2019年7月19日在51人品贷上看到月光侠分期，出于好奇心态点了进去填写资料后，月光侠分期直接给打款3800元，而上面显示的借款金额却是5054元，分为三期还款，每一期要还1744元，三期下来要还5232多元，远远超过国家法律规定利息，这是严重的高利贷，砍头息，我已经还了两期3490元了，希望平台能够做出合理的利息调整，。</t>
  </si>
  <si>
    <t>2019/10/02 10:35:59</t>
  </si>
  <si>
    <t>本人申请了卡牛瑞贷贷款10500元，下款当天被以服务费为由扣除1550实际到账8950元，却需要还款13135.15元，综合利率46.76%，超出规定利率36%，属于高利贷，并且合同上说明逾期30天内按当天应还未还金额的千分之二收取罚息，但是实际上逾期一天即被收取了160多的罚息，实际息率百分之十六，为合同规定的八十倍！。</t>
  </si>
  <si>
    <t>2019/10/02 10:35:36</t>
  </si>
  <si>
    <t>本人18年5月份在瓜子二手车买了一辆家用汽车。</t>
  </si>
  <si>
    <t>2019/10/02 10:33:44</t>
  </si>
  <si>
    <t>投诉人彭先生投诉对象Wecash闪银涉诉金额2000元问题类型诉求类型投诉详情本人于8月22在闪银行贷贷1000元贷款后来发现太们在我不知道的情况下乱扣我钱，他们在8月25日16点02分18秒的时候乱扣我新人保证金180元然后还没完，我今天去银行查我销费明细才知道我之后在9月28哼哼上借的1000块钱在10月1号14点47到56之间连续乱扣我新人保证金两笔共299元我要求给我解释加道歉，叫赔偿。</t>
  </si>
  <si>
    <t>2019/10/02 10:33:32</t>
  </si>
  <si>
    <t>，鞋子出现质量问题，就是一个小小的退换都在拖拉。</t>
  </si>
  <si>
    <t>2019/10/02 10:32:39</t>
  </si>
  <si>
    <t>投诉人谢先生投诉对象玖富万卡涉诉金额29800元问题类型诉求类型投诉详情2019年9月14日接连打了7个玖富客服电话打通无人员不接听，发现利息高借款28500元要还38763元，想取消借款合同，客服就是不接听，通了就是不接，故意的，导致我现在要求他们停止逾期利息和之前所谓的合同利息，只还本金和合法利息，现在接到的玖富电话都是催收人员无休止的催款，不给协商。</t>
  </si>
  <si>
    <t>2019/10/02 10:31:47</t>
  </si>
  <si>
    <t>存在高利贷行为，超过国家规定的利率，存在乱收服务费。</t>
  </si>
  <si>
    <t>2019/10/02 10:31:03</t>
  </si>
  <si>
    <t>，在借款是没有明显的提醒用户的还款账单，借10000，前三期的还款已经超过12500，已经属于变相高利贷，不属于在国家规定的合法利率之类，一直找客服协商提前还款，但客服态度强硬，提前还款没有任何减免措施，账单到期日还不停打电话，威胁爆通讯录，此行为完全违反了国家法律规定，已涉嫌黑社会催收行为，先要求立借平台做出合理解释，并按照国家规定利息减免利息。</t>
  </si>
  <si>
    <t>2019/10/02 10:30:57</t>
  </si>
  <si>
    <t>在瑞利随薪贷旗下花转转借有2笔樱桃小借，到账2800，还款4100，投诉畅捷支付提供违规资金支付渠道投诉瑞利随薪贷套路贷、高利贷、暴力催收、辱骂，由于app问题不能还款，客服电话也没人接导致我被动逾期产生高额逾期费用，随后就有人恶意联系我的非紧急联系人的朋友，以及单位电话并且恶意辱骂。</t>
  </si>
  <si>
    <t>2019/10/02 10:30:46</t>
  </si>
  <si>
    <t>高利贷放款平台，借3500元，分两期，一期15天，每期还1788.92元，扣砍头息980元，远远超过国家规定的年利率，请求减免不合理砍头息部分，本着做人的信用，愿意尝还本金，但这些不合规的高贷平台，还请相关部门审查，不能让这些害群之马，扰乱金融市场，坑害弱势群体，谢谢！。</t>
  </si>
  <si>
    <t>2019/10/02 10:30:29</t>
  </si>
  <si>
    <t>投诉人 蒙先生        投诉对象  现金借款        涉诉金额  3 500 元    问题类型    诉求类型投诉详情  借3000人民币分的六期 可是前面两期就基本要把钱还完 后面都是利息 希望能改为六期平均的还款金额</t>
  </si>
  <si>
    <t>2019/10/02 10:30:13</t>
  </si>
  <si>
    <t>因生活所需，我于2019年8月22日在淘宝网一家名ID为:6年日默瓦工厂的卖家购买了一个26寸的日默瓦行李箱，行李箱到货后我发现行李箱存在诸多瑕疵，而且标牌上也并非日默瓦品牌，于是我去询问卖家他卖的是否为假冒商品，卖家亲口承认所售商品为日默瓦1:1的高仿品，淘宝网有明确规定，禁止出售假冒商品，但该卖家竟还铤而走险，出售淘宝明令禁止的假冒商品，为维护我作为一名消费者的正当权益，我再次进行投诉，希望卖家能赔偿我的损失，也希望淘宝网能加强监控！希望平台能为我做主。</t>
  </si>
  <si>
    <t>2019/10/02 10:29:49</t>
  </si>
  <si>
    <t>月光侠分期借款2300一个月需要还款3050多，一个月利息700，我9.26号申请借款，现在10.2还是放款中，我现在不需要这种高利贷，还没法取消。</t>
  </si>
  <si>
    <t>2019/10/02 10:29:43</t>
  </si>
  <si>
    <t>投诉人 裴菊苓        投诉对象  易到用车        涉诉金额  1 000 元    问题类型    诉求类型投诉详情  一年了电话打了几遍 投诉几遍 ，也没个效率，易到拖了又拖 打电话过来，就说在给我催办。催办了一年了还在催办 ，真的是欺骗行为，骗子易到 。</t>
  </si>
  <si>
    <t>2019/10/02 10:29:24</t>
  </si>
  <si>
    <t>投诉人许先生投诉对象现金借款涉诉金额8000元问题类型诉求类型投诉详情暴击催收，不能申请延期，无法提前还款，高利贷。</t>
  </si>
  <si>
    <t>2019/10/02 10:28:17</t>
  </si>
  <si>
    <t>之前在机蜜上面租了一个机子，后面支付宝被封，就还剩下买断的金额没给，机子价格6100现在还了三千，现在还要我还五千多。</t>
  </si>
  <si>
    <t>2019/10/02 10:27:53</t>
  </si>
  <si>
    <t>打我朋友亲戚通讯录一天到晚的打一会都不停止怎么投诉也不解决。</t>
  </si>
  <si>
    <t>2019/10/02 10:27:32</t>
  </si>
  <si>
    <t>投诉人 张先生        投诉对象  找靓机        涉诉金额  1 899 元    问题类型    诉求类型投诉详情  从6月1号买的手机 8月1号左右坏一次 经过10几天的售后才处理好 （手机坏的原因非人为） 8月10号左右收到手机 9月20号左右手机又出现质量问题返回售后（检测出来非人为因素导致） 找靓机一直拖延售后服务 客服一直搪塞 我要求贵公司给我一个质量上一个合理的解释</t>
  </si>
  <si>
    <t>2019/10/02 10:25:16</t>
  </si>
  <si>
    <t>本人从海小葵和沙琪豆两个APP分别借款，砍头息严重，而且暴力催收，拨打侮辱联系人，现在国庆期间这些高炮改如此猖獗，希望有关部门处理一下。</t>
  </si>
  <si>
    <t>2019/10/02 10:24:57</t>
  </si>
  <si>
    <t>中银消费金融客服让我还款到对公账户上面去，结果还了APP上不显示，给客服打电话又说没有这笔还款，微信给他们人员联系又一直再说在解决，半个月了，没有回应，还是没有入账，要求给出合理的解释，必须！钱是被私吞了还是哪里去了！。</t>
  </si>
  <si>
    <t>2019/10/02 10:23:58</t>
  </si>
  <si>
    <t>投诉人林先生投诉对象广西天亿科技涉诉金额899元问题类型诉求类型投诉详情广西天亿科技公司创立的万户点评，开高级VIP要899元，然后一天可以做5个任务，一个任务6元，一天就可以赚30元，结果开通几天后系统一直维护，维护完之后出的任务都不知道是什么鬼，提现都提不了，就这样899块没了。</t>
  </si>
  <si>
    <t>2019/10/02 10:23:17</t>
  </si>
  <si>
    <t>天猫商家利用福袋让消费者购买，买了之后让消费者确认收货，其承诺72小时之内把款型打到我的银行卡上，结果过了3至4天，不给打款在让消费者申请退运费！商家从而占用消费者的资金，而天猫平台却没人处理。</t>
  </si>
  <si>
    <t>2019/10/02 10:23:09</t>
  </si>
  <si>
    <t>投诉人 陆先生        投诉对象  交通银行        涉诉金额  6 000 元    问题类型    诉求类型投诉详情  我说我10月17号才能还最低还款 因为发工资就这样 我实在是没有办法的办法 天天打电话过来骚扰 催债 我欠他的是我的错 整天说给我机会 机会就是当天最低还进去 给你机会你不珍惜 ok 过了不还进去我现在需要你还全款 现在分期也不给 要我还全款 那种语气特别的 有些机会感觉把我往死了逼 他说我也不想和你废话啦。要我还全款。最低都还不了怎</t>
  </si>
  <si>
    <t>2019/10/02 10:20:18</t>
  </si>
  <si>
    <t>立借钱置宝，2100元分期4周，每周还750元，超过国家规定利率年36%。</t>
  </si>
  <si>
    <t>2019/10/02 10:19:35</t>
  </si>
  <si>
    <t>投诉人徐女士投诉对象活力花涉诉金额6000元问题类型诉求类型投诉详情总共借了6000元，分三期利息共540元，还了一个月2180元，剩下第二个月家里出了急事暂时还不上，逾期了几天，每天利息十几二十块，每天电话轰炸，说不还打通讯录电话。</t>
  </si>
  <si>
    <t>2019/10/02 10:19:13</t>
  </si>
  <si>
    <t>本人在2017年11月15日淘宝网天猫买的手机，代签收的时候发现里面是空盒和石头，因为这事我第一时间反馈给顺丰客服，没有任何结果，多次沟通最后要陪赏我一百元，我想问难道我这一千多元手机，就值这一百元吗，还有他们诱骗我签字，说签了字不是从发就是退款，我真想不通这多大公司就这样欺骗消费者的，还有一件事，我不知道他们给淘宝发个签字是谁签的，因为这字体，根本就不是我签的，我就问问这个薛字到底是谁签的，他们太了，这后面就是骗我签的，说签了就从发或者退款。</t>
  </si>
  <si>
    <t>2019/10/02 10:18:18</t>
  </si>
  <si>
    <t>办理借款，豹子贷以评估费为由，直接扣取我银行卡299元钱！豹子贷恶意引导客户进行强制消费，在整个引导过程中没有任何的提示要扣除费用的信息，强烈要求退款。</t>
  </si>
  <si>
    <t>2019/10/02 10:18:03</t>
  </si>
  <si>
    <t>卡牛，瑞贷，借款9000每月还款851，利息63.75，服务费66.06。</t>
  </si>
  <si>
    <t>2019/10/02 10:17:20</t>
  </si>
  <si>
    <t>一自称贷上钱工作人员，威胁，恐吓本人，打着协商的幌子实施暴力催收，请求协商几天后还款，利息，本金不少不成，并在通话中威胁说要通知当地工作人员进行上门催收，并且暴通讯录，态度极其恶劣，因本人个人原因，目前无法还账，只好在这里请求帮助。</t>
  </si>
  <si>
    <t>2019/10/02 10:17:18</t>
  </si>
  <si>
    <t>信用管家平台引流的青春宝高利贷，借款3000元，实际到账2250，分四期偿还，每七天一期每期就要还款770元，变相砍头息，远超国家利率，现在本人已偿还两期，共1540元，第三期要求支付本金加合理的利息并给予销帐，否则向打黑办投诉到底。</t>
  </si>
  <si>
    <t>2019/10/02 10:16:34</t>
  </si>
  <si>
    <t>持卡人大学毕业一年，没有稳定工作及收入，中信银行发卡3万多的额度，在三月四月几天时间内在未审核卡人是否有能力还款的情况下，给持卡人圆梦金及现金分期10多万，导致总欠款高达20万左右，本人现在加上其他银行总欠款40万左右，没有能力承担，精神压力过大，寻死觅活，家里人想办法东拼西凑还了10多万，由于中信银行欠款较多，多次与银行协商，一直不解决，让我们继续还钱，说没有到减免的时候，现在投诉银行没有审核清楚的情况下就个客户放款这么多，导致无力偿还。</t>
  </si>
  <si>
    <t>2019/10/02 10:14:33</t>
  </si>
  <si>
    <t>腾安基金销售无故盗刷，扣费，我没点击任何基金。</t>
  </si>
  <si>
    <t>2019/10/02 10:13:15</t>
  </si>
  <si>
    <t>投诉人杜女士投诉对象同程提钱游涉诉金额2200元问题类型诉求类型投诉详情同程提钱游走前期收取199权益费用，不给审核就不会给通过，我一共给了3次199，而且这个权益卡我并没有给我服务多少，相当于变相砍头利息，今天催收态度恶劣，上午10点不还款直接打通讯录，威胁，恐吓！希望给个说法。</t>
  </si>
  <si>
    <t>2019/10/02 10:12:42</t>
  </si>
  <si>
    <t>投诉人 曹先生        投诉对象  街电        涉诉金额  50 元    问题类型    诉求类型投诉详情  给我退款说退款需要人工审核 说他们人工放假 我要求他们马上退款不要墨迹了</t>
  </si>
  <si>
    <t>2019/10/02 10:12:31</t>
  </si>
  <si>
    <t>玖富之前有申请额度已经剩下最后俩期吧，因为里面有第三方服务费用，再加上我目前资金有点紧张周转不过来，和他们沟通不予协商，电话过来就是骂人后来转第三方更是离谱，威胁我的家人和通讯录，国家规定一天三个催收电话，玖富是无所不用其极，没有关系，你们要上门就来吧，催收上门那一刻，我不自杀在你们面前，让你们被彻查出名我就是你孙子，截图很多都没有保存，。</t>
  </si>
  <si>
    <t>2019/10/02 10:12:18</t>
  </si>
  <si>
    <t>希望大家别碰这个平台，太可恶了，只要逾期一天就给你催收。</t>
  </si>
  <si>
    <t>2019/10/02 10:09:59</t>
  </si>
  <si>
    <t>要求闪银降低利息，要还我也只有15号才能还,不是我不还，闪银收取不合法利息，我现在真的没钱也还不起，只有15号，要求停止对我骚扰，停止和我紧急联系人和家人骚扰，否则我只能报警，我会还只有等到15号，人人都有困难，希望理解。</t>
  </si>
  <si>
    <t>2019/10/02 10:09:57</t>
  </si>
  <si>
    <t>9月26七再想有钱app借款1100元，三天要还1500元，我已经续期4次，还款金额1600元，这个公司去不折不扣得高利贷，现在我已经想该公司第三方支付平台申请查阅该公司资料，随后报警，请聚投诉把这个高利贷套路贷平台曝光出来！！！我只有一个诉求，把我多还的500给我退400元。</t>
  </si>
  <si>
    <t>2019/10/02 10:09:40</t>
  </si>
  <si>
    <t>移动积分兑换了腾讯视频38天，实际只给了30天。</t>
  </si>
  <si>
    <t>2019/10/02 10:06:16</t>
  </si>
  <si>
    <t>10月2日的票，从苏州北到商丘，我选择的是抢到票后再付款—&gt;抢到票再通知我手动付款，结果却被自动付款，联系客服，结果客服却说因为开通了免密支付，所以是信用付，那抢到票再通知我手动付款这个选项只是摆设吗，被强行扣款326元，幸亏及时看到申请了退款，但仍无辜损失65元，另外临近开车时间出票，12点36分发车，8点39分出票，只有4个小时，还是国庆假期期间，赶到车站的时间都不够，完全是被迫消费，被迫退票，还收取了20%的退票费，完全就是恶意消费。</t>
  </si>
  <si>
    <t>2019/10/02 10:05:19</t>
  </si>
  <si>
    <t>淘集集新注册用户发5元优惠券并可以购买优惠商品，但是物流显示签收，签收地根本不是收货地，收件人也根本没有收到货，联系客服，只是让客户申请退款，但是优惠券不给退，优惠商品也不能再购买，商家也不给补发，怀疑是平台和商家联合起来搞虚假活动虚假物流刷单。</t>
  </si>
  <si>
    <t>2019/10/02 10:05:08</t>
  </si>
  <si>
    <t>10月1日到期，因之前都是银行卡直接划扣，其平台不划扣，恶意导致本人逾期一天，逾期费用一天350.1元。</t>
  </si>
  <si>
    <t>2019/10/02 10:03:41</t>
  </si>
  <si>
    <t>投诉人程先生投诉对象点点通涉诉金额3500元问题类型诉求类型投诉详情申请3500元。</t>
  </si>
  <si>
    <t>2019/10/02 10:02:15</t>
  </si>
  <si>
    <t>投诉人高雅投诉对象苏打优选涉诉金额0元问题类型诉求类型投诉详情苏打绑定的手机号码已不再使用，需要更换，但是联系不到客服。</t>
  </si>
  <si>
    <t>2019/10/02 10:01:04</t>
  </si>
  <si>
    <t>在其平台借款10000元分6期还清发现其年化超过了36%的，参考法条《规定》第25条第一款，第31条跟《规定》法条地26条，第28条，第32条明文规定年利率24%～36%属于自愿支付，法院不干预，不愿支付费用也不会支持出借人要求借款人支付现在已经还清发现其利息超过36%，其跟众安保险捆绑销售作为你们这种金融公司都是知道其APR的算法是算不出来真正的年化率的，我的年利率是35.99%国家金融协会是承认IRR的算法。</t>
  </si>
  <si>
    <t>2019/10/02 10:00:49</t>
  </si>
  <si>
    <t>随便填了个单号，就想在这问问广大网友，能投诉的钱站的平台有没有。</t>
  </si>
  <si>
    <t>2019/10/02 10:00:35</t>
  </si>
  <si>
    <t>投诉人 胡先生        投诉对象  旺卡猫        涉诉金额  199 元    问题类型    诉求类型投诉详情  没有同意就扣款成功，没有任何理由的扣款。是属于盗取他人财富。</t>
  </si>
  <si>
    <t>2019/10/02 10:00:04</t>
  </si>
  <si>
    <t>51信息卡之前有过投诉，今天联系我说是西湖公安分局，警号115346，姓季的警官，电话全程录音，51信用卡如果不能解决问我这边向西湖公安分局去报案。</t>
  </si>
  <si>
    <t>2019/10/02 09:59:14</t>
  </si>
  <si>
    <t>希望腾讯微信支付解冻我的个人微信支付，希望贵公司给我造成的困扰尽快给我解冻。</t>
  </si>
  <si>
    <t>2019/10/02 09:58:38</t>
  </si>
  <si>
    <t>投诉人于先生投诉对象现金借款涉诉金额1148元问题类型诉求类型投诉详情因公司拖欠工资，手头没有经济来源，无法按时还款，所以申请延期还款。</t>
  </si>
  <si>
    <t>2019/10/02 09:58:05</t>
  </si>
  <si>
    <t>本人在平安，多次借款，支付砍头息，均按时还款，没有逾期！提前还款时，支付了高额提前还款服务费！现在平台以系统审核不通过，为理由，冻结了本人额度！现在要求立即恢复额度，可以借款。</t>
  </si>
  <si>
    <t>2019/10/02 09:57:37</t>
  </si>
  <si>
    <t>10.1号刷的25万，超过15万限额的部分现在都没有到账。</t>
  </si>
  <si>
    <t>2019/10/02 09:56:08</t>
  </si>
  <si>
    <t>投诉人李先生投诉对象即有分期涉诉金额9000元问题类型诉求类型投诉详情在即有分期上借了一万块钱分24期还款当时到账只有9千后面每期还款793还24期逾期几天就爆通讯录骚扰家人做法相当恶劣望相关部门帮忙已经还了23期最后一期实在没能力还了希望能给点时间。</t>
  </si>
  <si>
    <t>2019/10/02 09:56:02</t>
  </si>
  <si>
    <t>投诉人倪先生投诉对象天辉发卡网www.vipkm.com涉诉金额700元问题类型诉求类型投诉详情天辉发卡跑路不给商家结算资金，结错资金，700多资金无法收回，9月15日提现的100元平台上面显示提现成功可我并没有收到这笔钱，我去问客服客服回了我一句说在等等，等了有几个星期了，后面就联系不上客服了，打咨询热线电话还是关机状态，随后的9月16日9月18日提现的到账了，但9月20日提现和9月22日提现的迟迟没有到账，随后再也联系不上工作人员了，估计这次事件至少有上百名商家经济损失涉案余额少说也有几万到几十万了，天</t>
  </si>
  <si>
    <t>2019/10/02 09:55:13</t>
  </si>
  <si>
    <t>本人这是第四次在贵平台借款，之前三次都是按时正常还款，这一次由于刚换了工作，造成资金困难，期望和贵平台协商还款，往后宽限一个月时间，本人愿意承担这一个月所带来的合法利息，有什么问题直接拨打我本人电话就可以，谢谢。</t>
  </si>
  <si>
    <t>2019/10/02 09:54:09</t>
  </si>
  <si>
    <t>昨天是还款日，卡里有钱，拍拍贷自动扣款不给扣，主动还款还不进去，故意让客户逾期，导致个人损失，故意收利息，一天24元。</t>
  </si>
  <si>
    <t>2019/10/02 09:54:00</t>
  </si>
  <si>
    <t>被借据商行的一帮骗子诱导套路贷，再借据商行打欠条，2000到账1300时间5天，前三笔多还了2900本人再还第四笔500销账。</t>
  </si>
  <si>
    <t>2019/10/02 09:53:23</t>
  </si>
  <si>
    <t>开始虚假宣传能挽回和前任的感情，后交款后却不能达到所宣传的效果，并要本人增加服务项目。</t>
  </si>
  <si>
    <t>2019/10/02 09:53:17</t>
  </si>
  <si>
    <t>投诉人 李先生        投诉对象  合禾旅游        涉诉金额  2 400 元    问题类型    诉求类型投诉详情  第一次借款全部都还上了 多还了1000多 第二次与客服沟通过要还 逾期一天就给家人打电话骚扰 然后与客服协商只还本金 协商未成炸我通讯录</t>
  </si>
  <si>
    <t>2019/10/02 09:51:42</t>
  </si>
  <si>
    <t>投诉人刘先生投诉对象聚富分期涉诉金额299元问题类型诉求类型投诉详情这个平台恶意扣299块钱非用刚开始没有任何的说明也没有任何的提示你这个需要扣除299块钱的。</t>
  </si>
  <si>
    <t>2019/10/02 09:51:04</t>
  </si>
  <si>
    <t>2019年9月28日平安贷客服电话157******73，接单经理电话:152******64打电话给我问我需要做贷款帮我做3万元，我向卡里存了10000多，直接被他利用京东金融平台肯特瑞小金库网银平台把10000元钱转走了，先用平安银行肯特瑞基金业务清算向我转了5000元再让我把5000转给另一个邮政账户，就这样先套走了我1万元然后又让我预交了第一期还款利息983元才能放款。</t>
  </si>
  <si>
    <t>2019/10/02 09:50:24</t>
  </si>
  <si>
    <t>投诉人姚女士投诉对象支付宝涉诉金额55000元问题类型诉求类型投诉详情去年2018年微信加我的人让我做微交易，我不知道是骗子，以为是正规公司，结果钱全部骗了，我查流水，才知道都转到了支付宝个人或公司的账户里，支付宝替骗子提供支付渠道，希望聚投诉能帮我要回我的血汗钱。</t>
  </si>
  <si>
    <t>2019/10/02 09:49:59</t>
  </si>
  <si>
    <t>投诉人 陈女士        投诉对象  白金钱包        涉诉金额  737 元    问题类型    诉求类型投诉详情  还款日白金钱包自动扣款金额大于还款金额。该还款金额为616，实际扣款737。我要求退款多余金额</t>
  </si>
  <si>
    <t>2019/10/02 09:49:19</t>
  </si>
  <si>
    <t>借款3000元分两期还款，一期是借了750但是一个月后要还1000，还有一个是借款1700元左右要还是2000元，砍头息扣掉百分之20，违反国家还款定律，照这样来算每天逾期扣90元，一个月下来要扣2700元，我现在严重要求还款本金1500元左右算上上次还款的1000元在内，为了不让我投诉闪电借款这个平台竟然把我的借款记录的软件都看不到了！！！！！！我现在被逼的全家不得安宁，希望你们救救我，求你们了。</t>
  </si>
  <si>
    <t>2019/10/02 09:47:18</t>
  </si>
  <si>
    <t>我在八月二十六在360上一个软件上玖富万卡借款，当是申请金额是8000元，当时没有成功，事隔两天突然银行卡收到一笔12760元但是不到一分钟就被划走了4760元，我看到银行卡里收到8000元的借款，当时也没多想，等这个月收到他们电话要还款的时候下载了玖富万卡这个APP,仔细一看竟然要还13700多，而且是分期24个月，当时这个两年的分期我压根都是不清楚的，我直接就懵了，我当时就打电话投诉，他们说要是不认可完全可以申请提前还，我就操作了提前还，我一看竟然还要还12700多，我又打电话给他们的投诉部门，他们说有</t>
  </si>
  <si>
    <t>2019/10/02 09:46:29</t>
  </si>
  <si>
    <t>平安银行信用卡中心在本人接了电话的情况下多次练习第三方，并且随意向第三方透露相关情况。</t>
  </si>
  <si>
    <t>2019/10/02 09:46:09</t>
  </si>
  <si>
    <t>投诉人李先生投诉对象闪电借款,掌众金服涉诉金额1035元问题类型诉求类型投诉详情一共借五千分六期还已经还了四期最后两期现在真没办法及时还是所以导致逾期三天并且本人一直表示还款诚意有钱就还进去希望能协商。</t>
  </si>
  <si>
    <t>2019/10/02 09:45:52</t>
  </si>
  <si>
    <t>投诉人高先生投诉对象苏宁金融涉诉金额15000元问题类型诉求类型投诉详情本人在苏宁借款15000元后，使用两个月，按时还款，并提前结清！后续平台以资质为借口，冻结了额度，无法借款！宣传时说循环额度，随借随还！。</t>
  </si>
  <si>
    <t>2019/10/02 09:45:39</t>
  </si>
  <si>
    <t>投诉人霍先生投诉对象立借,钱置宝涉诉金额2100元问题类型诉求类型投诉详情钱置宝借款2100需要一个月内还款3004.22元，利息高达42%是明显的高利贷，我已经还款三期共计2253.24元，偿还够了本金和足够的利息，剩下的钱无力支付，协商钱置宝联系我处理最后一期结清，销账。</t>
  </si>
  <si>
    <t>2019/10/02 09:45:37</t>
  </si>
  <si>
    <t>借款的是松紧贷，借款7000，还款每个月905元，一共12期，十月一日到期还款松紧贷没法主动扣费，我主动还款也无法完成，十月二日收到松紧贷的骚扰电话，让我还款到个人支付宝账户，我不同意，随后骚扰我家人和好友，骚扰电话号132******52，171******12。</t>
  </si>
  <si>
    <t>2019/10/02 09:45:35</t>
  </si>
  <si>
    <t>投诉人曹先生投诉对象松紧贷,给你花,金柯贷，涉诉金额8000元问题类型诉求类型投诉详情逾期一天40元罚息！借款8000到账就扣了1103.2元。</t>
  </si>
  <si>
    <t>2019/10/02 09:44:56</t>
  </si>
  <si>
    <t>投诉人李女士投诉对象京东商城涉诉金额96元问题类型诉求类型投诉详情本人因为单位需购买红霉素眼膏，涂于术后眼部，接触到眼球，在购买期间买错药品买成了红霉素软膏，治疗皮肤溃烂疱疹用的，因为采购数量比较大，50支，我自己是无法消耗的，所以申请退货或者换货，京东平台拒绝退换货，但是在购买前后，客服也并没有告知提醒顾客用药方法，注意事项，适用于什么部位，。</t>
  </si>
  <si>
    <t>2019/10/02 09:44:26</t>
  </si>
  <si>
    <t>投诉人王女士投诉对象东方融资网,上海钱智金融信息服务有限公司涉诉金额5800元问题类型诉求类型投诉详情178年下半年，东方融资网的人联系我说可以大额低息贷款，交了5800，现在快一年了，当时负责人不接电话，公司电话没人接，不退款。</t>
  </si>
  <si>
    <t>2019/10/02 09:44:19</t>
  </si>
  <si>
    <t>本人在马上消费金融旗下产品安逸花申请循环贷，总金额3800元，期间一直正常使用，连app都并未通知，对账号进行锁定，无法消费和提现，我不同意，要求安逸花方恢复可使用额度，解锁我的账户！。</t>
  </si>
  <si>
    <t>2019/10/02 09:43:30</t>
  </si>
  <si>
    <t>我在小赢卡贷及旗下品牌小赢易贷借的两笔贷款，平台在我不知情的情况下给我购买的保险，我并没有签字确认及看到保单，人工审核来电也没有说明需要入保险，我在借款第二天就致电要求退保，被客服拒绝。</t>
  </si>
  <si>
    <t>2019/10/02 09:43:12</t>
  </si>
  <si>
    <t>本人7月4日在新橙优品借款3000元，分三期，每期还款1166元，三月共计还款3500元，利息高我也认了，但新橙优品以保险费名义在到账时扣款300元，实际到手2700元，利息远超国家标准，现本人要求退还所谓的保险费300元，并调整利率，如不能协商解决，我将通过司法渠道解决。</t>
  </si>
  <si>
    <t>2019/10/02 09:43:06</t>
  </si>
  <si>
    <t>维信金科，维信-豆豆钱，借款13000，12个月总还款16047.16，利息3047.16，收取高额利息，进行暴力催收，未经本人同意，盗取曝光个人信息，通讯录，对本人，亲友进行骚扰，恐吓，该还的金额一定会还，但是对本人进行骚扰，希望作出处罚。</t>
  </si>
  <si>
    <t>2019/10/02 09:42:58</t>
  </si>
  <si>
    <t>不小心点了一下他在银行卡里自动扣了99块钱，申请退款！谢谢！。</t>
  </si>
  <si>
    <t>2019/10/02 09:42:55</t>
  </si>
  <si>
    <t>投诉人王女士投诉对象汇付数据涉诉金额105055元问题类型诉求类型投诉详情2019/8/8以短信兼职的形式，给我提供账号里面有3000RMB，代玩让我在盛大彩票平台里面跟着计划专员下注，盈利500给我50的兼职费，盈利500后，提出兼职费时，要求我在平台网址sd999999.com注册账号，兼职费打在帐户里，提现的时候发现要求投注量必须大于50才能提现，就在群里跟着专员下注，开始的两天有盈利，后面又给换了一个大群，里面还是跟着专员下注，但是经常会有一些玩家开车，也就是计划下注，经常还有一些发盈利的，还发QQ</t>
  </si>
  <si>
    <t>2019/10/02 09:41:36</t>
  </si>
  <si>
    <t>存在阴阳合同，欺骗借款人，暴力催收，乱打电话。</t>
  </si>
  <si>
    <t>2019/10/02 09:41:08</t>
  </si>
  <si>
    <t>投诉人谢女士投诉对象马上消费金融涉诉金额337元问题类型诉求类型投诉详情在主动还款之后。</t>
  </si>
  <si>
    <t>2019/10/02 09:40:41</t>
  </si>
  <si>
    <t>建设银行2次扣款，在我没有授权的和接收任何验证信息的情况下，无故扣款！要求解释和退款！。</t>
  </si>
  <si>
    <t>2019/10/02 09:40:15</t>
  </si>
  <si>
    <t>涉诉金额9000元问题类型诉求类型投诉详情马上消费金融公司我欠款本来是9000后面有人跟我说总借款达到37000元一直没给我个我认同的解释今天打电话过来我问他工号多少他竟然说你不能要我工号你要我工号干嘛，你们是做了什么亏心的事了吗说我不能要你工号190530。</t>
  </si>
  <si>
    <t>2019/10/02 09:38:39</t>
  </si>
  <si>
    <t>众安保险联合小赢卡贷强制捆绑销售牟取保费利益！极大的损害了借款人的身心和切实利益！要求退保被拒绝，这属于欺骗消费者，中华人民共和国反不正当竞争法里第十二条明确表示经营者销售商品 不得违背购买者的意愿搭售商品或者附加其他不合理的条件，非法捆绑销售，中华人民共和国反不正当竞争法里第十二条明确表示：经营者销售商品，保险法也规定：1.不得欺骗投保人，被保险人或者受益人:；2.不得对投保人隐瞒与保险合同有关的重要情况;3.不得阻碍投保人履行本法规定的如实告知义务，或者诱导其不履行本法规定的如实告知义务;4.不得给予或</t>
  </si>
  <si>
    <t>2019/10/02 09:38:38</t>
  </si>
  <si>
    <t>投诉人何鑫投诉对象腾讯游戏涉诉金额68元问题类型诉求类型投诉详情腾讯游戏剑魂之刃充值68元未到账，打客服电话无人接通，腾讯客服公众号也无法解决问题。</t>
  </si>
  <si>
    <t>2019/10/02 09:38:24</t>
  </si>
  <si>
    <t>立借还款当日套路我还不进去，之后逾期了，借6500让我还一万，一直爆通讯录。</t>
  </si>
  <si>
    <t>2019/10/02 09:37:10</t>
  </si>
  <si>
    <t>因本人资金困难导致招联金融逾期！招联金融暴力催收！威胁我。</t>
  </si>
  <si>
    <t>2019/10/02 09:36:26</t>
  </si>
  <si>
    <t>10月1日，立借app就开始催收，要求马上还款，我当时就打开app就进行还款，谁知道第一笔还款时4799.95元，我当时就吓到了，然后就没有处理，等待催收电话过来协商，客服过来3个小时样子，电话过来了，我把现在的情况和他说明了下，想要协商，客服说当时借款的时候合同上就有注明三期还，我说三期还，利息就超过了国家标准了，他没有理会，就说我还不还，不还就交给催收打我的通讯录里面的人协助还款，第一笔要还本金3000+利息449.95+其他1450元，我就很纳闷这样的换算是不是高利贷了！10月2日，9点10分样子，催</t>
  </si>
  <si>
    <t>2019/10/02 09:32:51</t>
  </si>
  <si>
    <t>卡牛瑞贷，利息高，逾期费用高！下款2500六个月还款总额2900。</t>
  </si>
  <si>
    <t>2019/10/02 09:32:32</t>
  </si>
  <si>
    <t>本人在小象优品借款20000元，每期还款2008.67X12期，每期手续费342元，12期手续费共4104元，年利息高于国家标准，属于高利贷，现在要求协商减免利息，结清全部还款！无法提前结清欠款，要求给予减免超过国家年息部分！。</t>
  </si>
  <si>
    <t>2019/10/02 09:31:59</t>
  </si>
  <si>
    <t>2345贷款有限公司,广州二三四五互联网小额贷款有限公司，广州2345互联网小额贷款有限公司糊乱扣费，退换扣费资金。</t>
  </si>
  <si>
    <t>2019/10/02 09:29:59</t>
  </si>
  <si>
    <t>还款说没有还款，邮箱百度上的还不接受很厉害。</t>
  </si>
  <si>
    <t>2019/10/02 09:28:47</t>
  </si>
  <si>
    <t>投诉人王女士投诉对象中腾信涉诉金额45000元问题类型诉求类型投诉详情在小花平台借款涉及阴阳合同，我借款了4000，平台上面显示的是5900，然后每个月的计算利息是从5900开始算，已经严重超过了国家规定的36%，属于砍头息、高利贷的范畴了，而且小花人员暴力催收，稍微逾期1天就发短信威胁，骚扰你，对方还扬言要喊社会人去你家门口蹲守，必要时才采取暴力措施，已经涉及到黑社会的范畴了，打电话和发短信，加你微信和QQ，侮辱父母、亲属，言辞实在恶劣不堪，首先说明下，我并不是一个不守信的人，不然我之前也不会一直还款了，</t>
  </si>
  <si>
    <t>2019/10/02 09:27:55</t>
  </si>
  <si>
    <t>投诉人娜女士投诉对象融360,要钱快,快钱支付涉诉金额1500元问题类型诉求类型投诉详情315晚会曝光的融360上的要钱快，前后用了2次，每次都是1500元，300元强制购物费砍头息，购物的的物品全是三无产品，没有正规发票和购物合同说明，还有强制收取，不购物不下款，到账和实际借款不符合，直接扣除！严重违反国家禁止规定的所谓变相的购物费，优惠券形式的砍头息，而且算了下年利率超过36，还属于14天产品，国家要求可以追回超过的部分，目前要求退回砍头息，不然本人会升级向人民银行投诉快钱，工商局投诉融360，金融办投</t>
  </si>
  <si>
    <t>2019/10/02 09:27:06</t>
  </si>
  <si>
    <t>投诉人 秦先生        投诉对象  豹子贷        涉诉金额  299 元    问题类型    诉求类型投诉详情  恶意扣我钱299 卡里是没钱的 有钱了就自动扣 你们有这个权利吗！ 合法吗！</t>
  </si>
  <si>
    <t>2019/10/02 09:26:36</t>
  </si>
  <si>
    <t>信用管家违法高利贷提供平台，本人在信用管家申请了一个云享贷，申请2250，还3期，一期10天，一共要还3087.3，整整要800多的利息，违法行为，易宝支付还提供给高利贷放款，请有关部门严肃处理。</t>
  </si>
  <si>
    <t>2019/10/02 09:26:27</t>
  </si>
  <si>
    <t>投诉人麦小姐投诉对象玖富万卡涉诉金额79040元问题类型诉求类型投诉详情变相收取各种费用、高利息，借款金额38000元，36期要还79040.16元，利息+各种费用一共收取41040.16元，比本金还高，即时提前还款也要收取剩下期数的服务费用。</t>
  </si>
  <si>
    <t>2019/10/02 09:26:08</t>
  </si>
  <si>
    <t>一开始借的是松紧贷，中间不知道什么原因他们改名叫柯基贷，借款7000每月还905元，一共十二期，每次都正常还款，十月一日又到还款日，但是松紧贷没法主动扣费，我主动还款也无法完成，十月二日收到柯基贷的骚扰恐吓电话，家人也同样收到，让我还款到个人账户。</t>
  </si>
  <si>
    <t>2019/10/02 09:26:01</t>
  </si>
  <si>
    <t>到账4000，三个月要还款六千七八，最后一期协商不成，逾期一天多出两百。</t>
  </si>
  <si>
    <t>2019/10/02 09:25:35</t>
  </si>
  <si>
    <t>投诉人朱先生投诉对象水莲金条涉诉金额708元问题类型诉求类型投诉详情我打算昨日按期还钱，昨日有点小意外，把钱挪用了，首先得承认自己的错误，导致逾期，我错在先，无话可说，只能打电话协商还款日期，不过多次打电话一直没有联系上，只能再此向水莲金条借款方致歉，还有就是希望水莲金条能宽限我三天还款，5日肯定能还款，强调一下，再此不是投诉，毕竟是我逾期在先，错在我。</t>
  </si>
  <si>
    <t>2019/10/02 09:24:13</t>
  </si>
  <si>
    <t>本人在马上消费金融旗下产品安逸花申请循环贷，总金额13279元，期间一直正常使用，每期扣款都有保险费用跟灵活还款金，期间与安逸花客服联系过沟通了这个问题，并且保有电话录音，现在马上金融安逸花方单方面锁定我账号额度，并且不做任何通知，合同签的有效期是一年，因为这次安逸花在我本人不知情的情况下单方面终止合同，我不认可！要求安逸花方恢复可使用额度，解锁我的账户！。</t>
  </si>
  <si>
    <t>2019/10/02 09:23:31</t>
  </si>
  <si>
    <t>10月2日早收到，检测屏幕新增两处人为划痕，不在爱回收检测划痕之处，请聚投诉为本人争取，让爱回收赔偿，道歉。</t>
  </si>
  <si>
    <t>2019/10/02 09:20:30</t>
  </si>
  <si>
    <t>轻周转芒果筹借款2800元，到账2800元，32天分4期还款，每期1022.4，总计总共还款4089.6元。</t>
  </si>
  <si>
    <t>2019/10/02 09:20:26</t>
  </si>
  <si>
    <t>投诉人陈先生投诉对象信用管家,蓝莓金服涉诉金额2100元问题类型诉求类型投诉详情本人于9月6日在信用管家里面的蓝莓金服，借款2100元，一个月要还2900多，十天一期，明摆着的高利贷，已归还2期1946元，现因本人多头借贷，实在无力偿还，现要求相关工作人员尽快联系我协商还款，本人愿意归还本金和合理利息销账，本人保留向更高平台举报投诉的权利，必要时会直接联系当地公安寻求帮助，转账人账户姓名：符薇。</t>
  </si>
  <si>
    <t>2019/10/02 09:19:54</t>
  </si>
  <si>
    <t>投诉人何女士投诉对象特约中归涉诉金额859元问题类型诉求类型投诉详情特约中归还款昨天和今天在本人不知情的情况下扣款859.69疑似盗取信息，卡一直在身上，望查明全额退款。</t>
  </si>
  <si>
    <t>2019/10/02 09:19:13</t>
  </si>
  <si>
    <t>投诉人陈女士投诉对象掌众金服涉诉金额2800元问题类型诉求类型投诉详情本人在app上借款2600.变相收取所谓的会员卡710，到手实际只有1890现已无力偿还，希望把710减去。</t>
  </si>
  <si>
    <t>2019/10/02 09:18:40</t>
  </si>
  <si>
    <t>投诉人高先生投诉对象百度有钱花涉诉金额65000元问题类型诉求类型投诉详情本人在有钱花借款65000元，按时还款未有逾期！并支付砍头息，提前还款违约金和罚息！提前结清欠款！后续再次借款，百度以系统审核为理由，擅自关闭额度！。</t>
  </si>
  <si>
    <t>2019/10/02 09:17:33</t>
  </si>
  <si>
    <t>一点分期，借款7200，每月还款1415.28，其中本金1200，综合费用215.28。</t>
  </si>
  <si>
    <t>2019/10/02 09:16:46</t>
  </si>
  <si>
    <t>天天贷714高炮不到还款日，催收人员暴力催收骚扰，要求给出解释。</t>
  </si>
  <si>
    <t>2019/10/02 09:16:34</t>
  </si>
  <si>
    <t>本人通过安居客认识了郑州喜客公寓管理有限公司职工李市委并经其与该公司签订了为期三个月的租房合同，合同期限在2019年6月11到2019年9月10日，月租金1500，物业费每月115，押金1500，门禁卡押金100，到期前我把房间打扫干净，并按李市委要求拍摄照片和视频发给李市委，房间打扫情况得到了李市委的认可，之后李市委说我门口垃圾未带走，没收拾干净，我跟他协商之后他同意把我剩余的水电费用作为对公司的补偿，不再让我回去收垃圾，然而合同中约定的保洁服务，是指在租赁期间我要是要求保洁服务，要付保洁费用。</t>
  </si>
  <si>
    <t>2019/10/02 09:15:43</t>
  </si>
  <si>
    <t>投诉人韩先生投诉对象恒昌利通涉诉金额127000元问题类型诉求类型投诉详情借款和借款合同的数额不一样存在严重砍头息问题。</t>
  </si>
  <si>
    <t>2019/10/02 09:15:41</t>
  </si>
  <si>
    <t>投诉人束保华投诉对象钱站涉诉金额1000元问题类型诉求类型投诉详情钱站多次违规暴力催收，爆通讯录，这次因国庆放单位工资十号才发，就立刻发催收短信威胁恐吓。</t>
  </si>
  <si>
    <t>2019/10/02 09:15:22</t>
  </si>
  <si>
    <t>投诉人王先生投诉对象米米罐涉诉金额1900元问题类型诉求类型投诉详情之前在平台延期两次，今天账单再次到期，但是本人没那么多钱还想再次续期等有钱了还进去，没想到米米罐客服处理事情太散漫，导致本人逾期，本人并且逾期之后没人打电话和我沟通，联系不到客服，逾期费用我可以承担，但是为什么没有一个客服出来解决事情。</t>
  </si>
  <si>
    <t>2019/10/02 09:15:18</t>
  </si>
  <si>
    <t>2018年4月在捷信金融通过电话借款16000，已还17期，还有将近8000没还！只要一逾期各种各样的电话打到你爆。</t>
  </si>
  <si>
    <t>2019/10/02 09:11:15</t>
  </si>
  <si>
    <t>宣传提现到微信零钱，结果只给了一天的500－50的劵。</t>
  </si>
  <si>
    <t>2019/10/02 09:10:50</t>
  </si>
  <si>
    <t>我在新浪分期借款8900已还一期，现在还需要还款一万多，第二期逾期三天直接就对我的亲戚朋友发信息打电话，而且不支持一次付清，电话联系说让我联系人工客服，给我对公账号还清，约定好晚上八点半前我主动联系，结果我七点半联系就没有人了，现在我需要对方给我能够一次结清，和结清证明。</t>
  </si>
  <si>
    <t>2019/10/02 09:10:36</t>
  </si>
  <si>
    <t>支付宝检测到你的账户存在风险，为保障资金安全，现决定对你账户未来3天的收款资金延迟3天结算，可登录"商家中心-&gt;我的商家服务-&gt;账户余额"查看你的延迟金额，即不可用金额，延迟结束后此部分资金自动到账，刚收到短信，感觉挺奇怪的，难道是某个客户他的支付宝有问题，遇到不懂的事就联系客服咨询吧，收到短信时是晚上8点左右，“目前人工服务繁忙中”，次日继续联系，还是提示繁忙，app现在客服不好使，那就电话联系95188.结果直接就一个选择，自动语音提示我的账户存在风险，资金冻结三天，没有其他选择，app无人工，电话无人</t>
  </si>
  <si>
    <t>2019/10/02 09:10:34</t>
  </si>
  <si>
    <t>360客服跟我讲没有拖欠期，一直讲转账还款，都讲了钱在卡里，还说逾期要扣我许多各种利息和逾期费，客服也不怕投诉，我说我投诉你，客服讲你投诉好了，态度强硬，我跟他讲不要联系我第三方，都不回我，一点都不人性化，给人感觉暴力催收，我是今天还款日期，哪个愿意贷款逾期，要不是银行卡被锁，也是没得办法，特意跟客服讲一下，太让人生气了，用360借条也一年了，不带这样的，你要是敢扣我各种利息费我就继续投诉你。</t>
  </si>
  <si>
    <t>2019/10/02 09:07:34</t>
  </si>
  <si>
    <t>十月一日到期拍拍贷故意不扣款，我主动还款他们老是处理中造成我还款失败，还收取逾期费用46元，联系客服也没人回应，今天早晨还款扣了我的款也不销账，。</t>
  </si>
  <si>
    <t>2019/10/02 09:06:52</t>
  </si>
  <si>
    <t>跟投诉发起人说的情况一样，正常使用时突然重启，然后就一直在oppo界面一直重启，无法使用。</t>
  </si>
  <si>
    <t>2019/10/02 09:03:58</t>
  </si>
  <si>
    <t>投诉人 邹先生        投诉对象  明世教育        涉诉金额  6 735 元    问题类型    诉求类型投诉详情  报考该学校 说好的合同没有 这边说的分期学习 然后居然是贷款 严重欺诈 他们的学习软件写的报名一天内的全额退费 这边就是不处理 老是推脱 现在国庆节 就算退了又不知道会被扣多少钱 就是个骗子机构 我要求取消贷款 退费 就这么简单</t>
  </si>
  <si>
    <t>2019/10/02 09:03:32</t>
  </si>
  <si>
    <t>我来贷借款7天申请结清，我来贷原因，推迟到10月1号还清，由于本人银行卡属二类卡，限额无法一次性还清，遂于银行升级，升级后显示今日无法继续用银行卡还清，给客服打电话说等两个小时再还，两个小时候仍然无法继续还款，再次给客服打电话说是会产生罚息，我对罚息不满，并非我恶意逾期，要求撤销600罚息。</t>
  </si>
  <si>
    <t>2019/10/02 09:02:13</t>
  </si>
  <si>
    <t>本人在9月29日因需要资金周转下载了‘钱橙无忧’APP，按照正常贷款程序认证了个人资料，后面又认证了银行卡，接着该推荐我进行借款，APP上右下角提示我马上提款，我便进行了点击，当时未借款成功，当即我就卸载了APP，可是30下午，钱橙无忧APP未经本人允许擅自划扣我名下银行卡内的钱，分两次总共扣走了168元！钱被扣以后该公司的客服电话一直打不通，联系不上，使用钱橙无忧APP本意是借款，没想到钱没借到，还恶意扣款，该公司的恶意牟利的行径真是令人愤慨！，界面里面都没一个确定取消选项，点一下提款就默认勾选扣费，也没</t>
  </si>
  <si>
    <t>2019/10/02 09:00:20</t>
  </si>
  <si>
    <t>本人昨天收到余额提醒短信，显示余额还有8.37元，今天早上发现手机停机，于是续交话费30，还是停机，以为没有到账，联系淘宝客服称话费已到账，联系电信客服称还欠60元话费，问客服这一天之内做什么可以用100话费，而且一旦欠费就停机了，这一百块钱话费怎么欠的，客服称系统显示确实这样，只能向专员反应，截止到现在还没有人联系我，无奈之下只能再充100元保持手机的正常使用，投诉客服不专业，专员不及时处理问题，电信乱扣费！。</t>
  </si>
  <si>
    <t>2019/10/02 09:00:18</t>
  </si>
  <si>
    <t>因工作丢失，无收入来源导致无法按时还款，一旦有钱第一时间处理，若还怕我不偿还骚扰本人通讯录，一定拒绝还款，希望理解，同时由于新找的工作生产电子产品，导致手机等电子产品不能随身携带，加之上下班时间尴尬，不能接听到工作人员电话，在这里希望客服添加我微信号，就是本人注册手机号。</t>
  </si>
  <si>
    <t>2019/10/02 08:58:26</t>
  </si>
  <si>
    <t>本人不知情的情况下自动续费一年会员，要求退款道歉。</t>
  </si>
  <si>
    <t>2019/10/02 08:58:05</t>
  </si>
  <si>
    <t>爆利催收恐吓，威胁，辱骂干扰隐私生活！！！。</t>
  </si>
  <si>
    <t>2019/10/02 08:56:55</t>
  </si>
  <si>
    <t>投诉人 曾刘米        投诉对象  捷信金融        涉诉金额  50 000 元    问题类型    诉求类型投诉详情  借了五万还了22期 共计五万六千四百九十五还显示有17期没还 等于还有四万三千多没还 算不算高利贷？！我要求减免全部现在 无力偿还 把剩下的十七期全部减免 你们还赚了六千四百九 够了吧</t>
  </si>
  <si>
    <t>2019/10/02 08:55:55</t>
  </si>
  <si>
    <t>2019年10月1日晚上10点我到武汉天河机场乘坐前往成都的航班，进去之后办理取票业务后，这时一名穿着制度的服务人员帮我检查登机票，我以为是机场工作人员，检查完飞机票后给我介绍出行唯选的会员卡办理，当时未付款之前说充值1998送1000块，并且可以用来买飞机票还有优惠折扣价，当时还问了是不是像发廊一样赠送的钱不能享受优惠机票，服务人员说不是，我就以为充值和赠送的钱都可以用于购买机票，可当我充值完之后才知道她们不是机场工作人员，并且服务人员一直用一种听起来模凌两可的销售话术强调这个金额的用途，经我再三追问下才</t>
  </si>
  <si>
    <t>2019/10/02 08:55:12</t>
  </si>
  <si>
    <t>投诉人郝先生投诉对象汇潮支付,肥猫贷,来花花,金鸡下蛋,菜鸟有钱涉诉金额5000元问题类型诉求类型投诉详情这是一个系列，借款到账1400，5天后要还，2000元，续期3天，实际2天，要300.18，续期通过支付宝，都是通过汇潮支付下的款，还的利息早就超过本金了，希望协商处理，每天都是还款日，如果不处理，本人会投诉到底，下面有到账金额，和还款金额，都是通过汇潮支付。</t>
  </si>
  <si>
    <t>2019/10/02 08:52:46</t>
  </si>
  <si>
    <t>投诉人石先生投诉对象滴滴出行涉诉金额0元问题类型诉求类型投诉详情本人已经在武汉跑满了130多单了但是还是无法修改注册城市，打了3次电话也没解决，人工客服也是一推再推。</t>
  </si>
  <si>
    <t>2019/10/02 08:47:39</t>
  </si>
  <si>
    <t>3000本金分期鸭28天要换1233*4共计4932高利贷。</t>
  </si>
  <si>
    <t>2019/10/02 08:46:19</t>
  </si>
  <si>
    <t>第一骗：我从9月17日上传人证车证，人证几天就验真通过了，可是车证至今没通过，客服告诉我按照规定青岛八天过，如今十四五天了，期间每次联系客服或者客服给我回访就是说给我记录并加急，让我耐心等待！我问你们规定八天但是你们逾期了咋办，客服说没办法！现在十月一都没给我过，强烈要求迅速给我通过车证验真！第二骗：滴滴放风说没合法证件的逐渐减少派单，9月20日没参加培训的全天停止派单，可是到现在为止，没有网约车任何合法证件的、没有合规车辆的，甚至信誉分不高德，派单量一样比部分有证人员要多！70年国庆，滴滴说话跟耍赖皮一样</t>
  </si>
  <si>
    <t>2019/10/02 08:44:34</t>
  </si>
  <si>
    <t>本人昨天接到订单时，刚好遇到联合执法抓异地营运车辆，乘客上车点就在他们执法附近，枪打出头鸟你们应该懂吧，我不可能当着他们的面接订单，为了不给公司造成不必要的损失，没去完成订单，结果平台判我诱导乘客取消订单，要扣我服务分，一次申诉直接失败，二次我也不想申诉了，平台太让人失望，以后遇到这种联合执法的该怎么接就怎么接，公司应该有的是钱，不怕赔付，当时公安车就在我附近，他们执法的照片没敢拍，因为之前一个朋友拍了，被发现了直接过来要求删除又现场做了登记和询问笔录。</t>
  </si>
  <si>
    <t>2019/10/02 08:43:56</t>
  </si>
  <si>
    <t>投诉人祁先生投诉对象拍拍贷涉诉金额1644元问题类型诉求类型投诉详情拍拍贷，我一号到还款日我主动还款他们一直不扣款，我联系客服也没人回应，今天就收取我的逾期费用46元，要求拍拍贷作出解释！。</t>
  </si>
  <si>
    <t>2019/10/02 08:37:20</t>
  </si>
  <si>
    <t>盼达租车占用我1000押金迟迟不退，从申请退款已经4个月！希望公司信守承诺，赶紧退押金！我急用钱！。</t>
  </si>
  <si>
    <t>2019/10/02 08:36:55</t>
  </si>
  <si>
    <t>2019年8月30日普惠分期的催收部多次打电话骚扰和威胁我家人让我还款4千，我通过支付宝方式还款4千元后，他们催收部告诉我多还了2500元，平均每周我打3个电话过去询问他们的说辞都是让我耐性等待3个工作日，然后在9月份我就不停的给普惠分期的客服打电话协商退款的事，他们就不停的推托，平均每周我打3个电话过去询问，他们的说辞都是让我耐性等待3个工作日。</t>
  </si>
  <si>
    <t>2019/10/02 08:35:40</t>
  </si>
  <si>
    <t>涉诉金额10000元问题类型诉求类型投诉详情利息很高，必须要整顿，就跟高利贷一样，我没注意一下进入坑了。</t>
  </si>
  <si>
    <t>2019/10/02 08:31:11</t>
  </si>
  <si>
    <t>网商贷，我已经告知我妈得癌症，目前资金困难，我也在想办法去还，可是他们在联系我本人情况下，还给我亲戚朋友打电话告知我欠款，他们如此违规催收，影响我妈妈病情，如果我妈出事，我会利用一切法律起诉到底。</t>
  </si>
  <si>
    <t>2019/10/02 08:29:47</t>
  </si>
  <si>
    <t>下载迅捷视频转换器后使用，使用时弹出窗口提醒只有充会员才能继续使用，不然只能使用一次，转换一个文件，于是我充了88元会员，但充钱以后使用了，发现转换出来的视频根本看不了，不管什么文件转换都失败。</t>
  </si>
  <si>
    <t>2019/10/02 08:28:59</t>
  </si>
  <si>
    <t>小黑鲨,广州银联网络支付,银联电子支付,中国银联，借款4000，一个月要还5200，暴力催收，套路贷，高利贷，不停电话骚扰，差点导致本人车祸，要求协商按合理金额还款，短信说欠款4300多，手机app却高达5200，而且逾期费还在继续，求有关部门救救我。</t>
  </si>
  <si>
    <t>2019/10/02 08:26:50</t>
  </si>
  <si>
    <t>本人通过网络链接接触到了小鱼儿平台贷款，当时显示的是借款3000元，为期一个月，实际借完才发现，不仅一个月要分四期还款，每期7天，并且7天后的第一期就要还3000元，剩下3期每期仅还19.8，而到手仅2100元，跟714高利贷并无两样！后来9月30号我与客服沟通希望可以归还本金及合理利息，客服承诺会有专人联系我，时至今日杳无音信并且客服再也没有理过我，此家小贷利用砍头息手续费阴阳合同等不良手段诱导客户借款并从中牟取高额暴利，利息远远高于国家规定！！是妥妥的714吸血鬼高利贷！！而汇潮支付及支付宝为其提供放还</t>
  </si>
  <si>
    <t>2019/10/02 08:26:46</t>
  </si>
  <si>
    <t>快递始终在深圳停留不给发出，至今已经停留五天，反馈客服说是给催一下，但是现在还是在深圳停留，希望马上发出，当时看快递信息说是最晚30号就能收到，但现在别说收到，连发出都没有发出，希望赶紧运送。</t>
  </si>
  <si>
    <t>2019/10/02 08:26:03</t>
  </si>
  <si>
    <t>借1000，放款1000.前三天就要还199的担保费砍头息，27天后还本金1000+30利息，提前还款没有减免，我借他1000块本金一个星期内还了借反复三次等于利息90+597的担保费实际1000就还了1687.国家规定年利率不能超过36%就是一千块一年利息不能超过360.国家规定合法的利息是24%，这样算闪银一个月就229.一千块循环借一年就2748,已经高出本金两倍多，年利率274.8%，实在离谱，国家应该管管这样的黑心平台让他下架，再人困难的时候又在人伤口狠割一刀。</t>
  </si>
  <si>
    <t>2019/10/02 08:25:16</t>
  </si>
  <si>
    <t>捷信，借款一万已经还了19期，共计还款13000多，之前逾期协商还款，要求减免罚息未果，今天发消息，取消我分期还款，要求一次性还款3450元，其中罚息345元，我想问问你们啥高利贷，罚息为啥都是你们订的，之前还罚了好多，我现在借一万共计要还16000多，你们怎么算的，，现在我要求，捷信联系我，免掉所有罚息，撤销对我征信的影响，并且我之前，缴纳的罚息，计算到我还款的本金里面，要不就去告我，不要使用下三滥的手段，威胁我家里人，。</t>
  </si>
  <si>
    <t>2019/10/02 08:25:04</t>
  </si>
  <si>
    <t>投诉人施女士投诉对象贷上钱,清风钱包涉诉金额2580元问题类型诉求类型投诉详情贷上钱平台多次改名，现苹果app改名打球了吗，实为超利贷平台，之前因贷上钱钱陷入套路贷，借款2000，7天还款2500，315后该平台改为借款2000，已买游戏币为名，一个月还款2580元，该利息超过国家法律规定，现在要求协商解决，如再爆通讯录，报警处理。</t>
  </si>
  <si>
    <t>2019/10/02 08:24:45</t>
  </si>
  <si>
    <t>月月有钱app无法登陆还款，望恢复还款系统，由于系统问题造成的逾期本人不承担任何费用，如因系统问题造成个人征信影响将追究平台责任。</t>
  </si>
  <si>
    <t>2019/10/02 08:24:26</t>
  </si>
  <si>
    <t>借助通收取198元的会员费，不下款，要求退回，后台一申请退款就维护中。</t>
  </si>
  <si>
    <t>2019/10/02 08:24:21</t>
  </si>
  <si>
    <t>本人因资金周转需求，在信用管家下载了聚宝来申请借款金额为1800，实际到账只有1314期限30天，分四期还款，七天一期，通过畅捷支付放款，现已还第一期，要求还本金加合法利息，由于本人资金困难无法偿还高额砍头息。</t>
  </si>
  <si>
    <t>2019/10/02 08:22:43</t>
  </si>
  <si>
    <t>易小借恶意扣款299元，申请退款，谢谢造艺科技工作人员。</t>
  </si>
  <si>
    <t>2019/10/02 08:21:16</t>
  </si>
  <si>
    <t>投诉人朱先生投诉对象小黑鲨涉诉金额1660元问题类型诉求类型投诉详情本人与9月3日通过短信下载小黑鲨app下款3000.元.，但有660元测评费属于变相坎头息，第一期还款减免100元，测评费为560元，现最后一期还款1019元，本人无力处理，正值国庆期间希望小黑鲨收取本金合理国家利息，减免测评费，结清账单处理，。</t>
  </si>
  <si>
    <t>2019/10/02 08:18:29</t>
  </si>
  <si>
    <t>2019/10/02 08:13:08</t>
  </si>
  <si>
    <t>投诉人杨女士投诉对象钱站,爱钱进涉诉金额35880元问题类型诉求类型投诉详情借26000合同上却是35880，分12起差不多还40000多，我一直和他们客服有联系，利息如果不降低我是不会还的，还有如果按合同扣利息就补9880跟我，居然昨天扣了我钱还是算我逾期了一天，刚刚看多了100多，而且昨天一早就开始跟我打电话，然后一直发信息，他们客服却一直说10跟我答复，我不知道他们为什么收取这么高的费用，我第一期16000，合同上是17000多我都接受了，但是这次26000合同上是35880我接受不了。</t>
  </si>
  <si>
    <t>2019/10/02 08:12:29</t>
  </si>
  <si>
    <t>不知道这家公司是用什么方式从我工商银行卡里扣了39元，我希望这家公司先退款，然后再给我一个合理的解释！。</t>
  </si>
  <si>
    <t>2019/10/02 08:11:21</t>
  </si>
  <si>
    <t>投诉人王女士投诉对象汇潮支付,喵下贷涉诉金额7200元问题类型诉求类型投诉详情本人通过网络链接接触到了喵下贷，当时写着到手1300，借完却发现6天后要还1999元，放款通道均为汇潮支付，此小贷利用砍头息手续费阴阳合同等不良手段诱导客户借款并从中牟取高额暴利，利息远远高于国家规定！！是妥妥的714吸血鬼高利贷！！而汇潮支付及支付宝为其提供放还款渠道，无疑是在助纣为虐！希望通过贵平台打击这些高炮小贷，本人愿意归还本金及合理利息！！！。</t>
  </si>
  <si>
    <t>2019/10/02 08:10:41</t>
  </si>
  <si>
    <t>现在已还9期，已还4700还剩1300利率超过国家规定。</t>
  </si>
  <si>
    <t>2019/10/02 08:08:06</t>
  </si>
  <si>
    <t>本人在9月4日通过自由摩卡，信用计划借款2000元，交了360元前期费用，实际到账1640元，期限一个月，还款2050元，超过国家规定利息，现本人无力偿还，要求联系我协商本金加合理利息消帐，协商不好我会继续向上级投诉，一定投诉到底。</t>
  </si>
  <si>
    <t>2019/10/02 08:07:54</t>
  </si>
  <si>
    <t>在9月29日哪天打了我的通讯录，最先给我的家人打，。</t>
  </si>
  <si>
    <t>2019/10/02 08:03:15</t>
  </si>
  <si>
    <t>10月1日，早上进行购票，由于太急未发现购票日期错误，后来发现购票错误时，由于票已经取出，只能于柜台办理退票，只有一张即时到账，另外一张后进查询到账失败，当时我是于微信零钱支付，微信支付中的同程艺龙进行购买，后与微信方进行联系，表示并未收到退款申请。</t>
  </si>
  <si>
    <t>2019/10/02 07:57:05</t>
  </si>
  <si>
    <t>本人于2019.9.28通过网络推送在借可爱平台借了一笔2500的贷款，当时写的是借贷期限一个月，没想到借完才发现这一个月不仅分为四期还款每七天一期，而且第一期就要归还2500元贷款，剩下三期每期仅还19.8元，这是打着一个月贷款期限旗号的隐藏高利贷！跟714高炮并无区别！而杭州民卡有限公司为其提供放款渠道无疑是助纣为虐！后来我与客服协商还取本金及合理利息，客服在9月30号承诺会有专人联系我之后便杳无音信，希望通过贵平台可以整顿这些小额贷款714吸血鬼！本人愿意归还本金及合理利息！。</t>
  </si>
  <si>
    <t>2019/10/02 07:54:35</t>
  </si>
  <si>
    <t>2019/10/02 07:52:44</t>
  </si>
  <si>
    <t>我在淘手游买了一个王者荣耀账号，过了几天确认收货了，卖家马上就找回了，手机号也直接改成他的了，现在已经登不上了，客服不处理仲裁订单。</t>
  </si>
  <si>
    <t>2019/10/02 07:50:06</t>
  </si>
  <si>
    <t>贷上钱以购买游戏豆为名收取高额利息，两笔3000的借款均被收取不同金额的砍头息。</t>
  </si>
  <si>
    <t>2019/10/02 07:49:33</t>
  </si>
  <si>
    <t>投诉人 江女士        投诉对象  Wecash闪银        涉诉金额  1 900 元    问题类型    诉求类型投诉详情  本人因为晚了还款两天就打电话催收。国庆期间工厂很忙。封闭式工厂每一段时间才会完工。我已经解释了。可是催收的就是不听。还骂我。恐吓我。现在每天提心吊胆对生活产生了很大的影响。</t>
  </si>
  <si>
    <t>2019/10/02 07:49:25</t>
  </si>
  <si>
    <t>投诉人刘女士投诉对象钱站,凡普信,华夏银行涉诉金额3000元问题类型诉求类型投诉详情钱站app到期不扣款逾期一天费用80多，一直打客服电话说会有人联系我，3天后有人联系我说可以减免，说让我先还款包括逾期费用也先还了，然后领导批准了她在帮我处理好，我把钱还了包括逾期的钱都还了最后客服不搭理我了，400客服也不受理了这不是明显的骗人吗，申请3000到期3个月还4800多，你放高利贷也就算了，还这么的坑人！现在我要求返还我支付的利息，希望平台作出公正的处理，一并处罚华夏银行为高利贷提供收款渠道。</t>
  </si>
  <si>
    <t>2019/10/02 07:48:55</t>
  </si>
  <si>
    <t>多宝分期申请借款说分四期，以为是四个月就借了6000元，但是一期只有15天，每期还款2368.8元，借款，相当于6000元借了两个月就要还9475.2元，利息高达3475.2元，利息过高，今天第三期还款日，今天还款后就已经还清了本金➕1106元利息，不加第四期年化利率也已经高达110%，远超国家高利贷36%的年化利率上限，要求减免利息协商还款，免除第四期销账。</t>
  </si>
  <si>
    <t>2019/10/02 07:48:16</t>
  </si>
  <si>
    <t>9月4号申请了1900，实到1368，砍头息532，实际要还969+950=1919，总计利息551，可以减免一半利息还款。</t>
  </si>
  <si>
    <t>2019/10/02 07:47:37</t>
  </si>
  <si>
    <t>我在在线查到2017.10.20日为一个叫邓轩贤的人作担保贷款人，本人并不认识此人，也从未向该银行提供过什么担保，广东南粤银行为经过本人同意既盗用我的信息为他人担保贷款，要求撤销。</t>
  </si>
  <si>
    <t>2019/10/02 07:46:14</t>
  </si>
  <si>
    <t>我公司是淘宝商家，在淘宝网经营家具生意已经5年了，是支付宝企业用户，10月1号，企业支付宝无故突然被限制收款了，我和厂里的工人一起给支付宝客服打了很多电话，支付宝的人工客服没有人能够说明是什么原因引起的、违反了哪一条规则，然后直接挂电话，并且把所有打电话咨询此事的手机号码屏蔽，根本不听我们的问题，直接是语音播放语音，我们申诉无门、厂里库存积压，我的压力实在是没有办法承受，我们公司在淘宝经验多年，企业支付宝使用了多年，从来没有任何的违法事情，真心希望支付宝、蚂蚁金服这样的大企业能够有担当，切实解决问题而不是一</t>
  </si>
  <si>
    <t>2019/10/02 07:45:15</t>
  </si>
  <si>
    <t>在小赢卡贷借了20000，前五期正常还款！最后一期工资发不下来，所以希望延期，或者再分期，可接受合理的延期或者分期的费用！客服说不可以，希望平台人员能够协商解决。</t>
  </si>
  <si>
    <t>2019/10/02 07:44:43</t>
  </si>
  <si>
    <t>投诉人陈女士投诉对象带上钱,章鱼钱包涉诉金额2441元问题类型诉求类型投诉详情带上钱里的章鱼钱包借款2000，七天后还款2441。</t>
  </si>
  <si>
    <t>2019/10/02 07:43:35</t>
  </si>
  <si>
    <t>涉诉金额300元问题类型诉求类型投诉详情好分期到还款日前几天就收到催收电话，一天好几个，影响了正常生活，如果有事还款日当天逾期到十二点后、就得罚款到50-100不等的罚息，本人在好分期平台贷了4000元分9个月还，一共要还5000多，，有照片为证请官方给一个正确处理方式！。</t>
  </si>
  <si>
    <t>2019/10/02 07:41:55</t>
  </si>
  <si>
    <t>投诉人杨先生投诉对象信用管家,宜贷分期,汇潮支付涉诉金额3000元问题类型诉求类型投诉详情宜贷分期下款3000二十天还接近4900高利贷已经还了两期2400+要求按合理的利息还款销账！。</t>
  </si>
  <si>
    <t>2019/10/02 07:41:54</t>
  </si>
  <si>
    <t>汇潮支付为金鸡下蛋提供放款通道，金鸡下蛋1400元借款6天需要还款2000元，实则吸血鬼，在祖国七十周年庆怎么能容忍这种平台的存在！！！。</t>
  </si>
  <si>
    <t>2019/10/02 07:41:52</t>
  </si>
  <si>
    <t>滴滴出行不发放奖励，怀疑有一订单有作弊，我已报备，也电话给平台说明没有作弊行为，更何况车上装有滴滴公司配备的桔视记录仪可供回看查实，但是公司客服告诉我平台专员是人工核查，那请问贵公司给我们安装记录仪意义何在，我要投诉核查专员却无门，请问我还可以找谁说理去，请聚投诉给我这个无辜的人讨还一个公道，谢谢！。</t>
  </si>
  <si>
    <t>2019/10/02 07:41:19</t>
  </si>
  <si>
    <t>我2018年5月份在周大福买的戒指戴了不到一年戒指就断了、这是质量的问题，戴的好好怎么能断了，并且我去过周大福也没过多的解释、周大福作为商家应该要保质的、要不谁敢买、请求赔偿、要不不花钱更换。</t>
  </si>
  <si>
    <t>2019/10/02 07:39:58</t>
  </si>
  <si>
    <t>在经过名为保费11310元砍头息后，实际到账20400元，却要偿还还本金31710元，连本带息要还35083多元严重违反国家规定的年利率24%以内，另外超出24%-36%的部分本人不同意。</t>
  </si>
  <si>
    <t>2019/10/02 07:39:36</t>
  </si>
  <si>
    <t>该公司未跟本人同意，分3次私自盗取我银行卡里200元，该行为极其恶劣，导致我现在不敢往银行卡里存钱，严重影响我的生活，望本平台能帮我找回我的钱，并让该公司不再私自盗取我的财产，谢谢！。</t>
  </si>
  <si>
    <t>2019/10/02 07:38:19</t>
  </si>
  <si>
    <t>投诉人王先生投诉对象智行涉诉金额34元问题类型诉求类型投诉详情支付宝免密支付了，抢票成功自动付款出票，看了金额才发现，智行自动添加了加速包，然后找了好几遍才知道在一个小角落里有那个加速包，之前毫无提示，请回复解决，谢谢了??。</t>
  </si>
  <si>
    <t>2019/10/02 07:35:26</t>
  </si>
  <si>
    <t>，利用直播球赛拉人进群注册充值外围非法博彩网站，，谋取巨额非法利益，在朋友圈鼓吹赌博致富，无视国家法律，诱导许多无知少年误入歧途，企鹅直播监管不力，纵容旗下主播公然进行违法犯罪活动，请求全额退款。</t>
  </si>
  <si>
    <t>2019/10/02 07:32:44</t>
  </si>
  <si>
    <t>投诉人王先生投诉对象好易借社保贷涉诉金额30000元问题类型诉求类型投诉详情本人在2018年8月份在融360的好易借社保贷借款20000没想到到账只有14000先是砍头息而且利率也超国家规定我已经还款13期早已经超额还款6000多还需要8500才能还清还款日当天爆通讯录态度恶劣影响我的正常工作和家人朋友的休息我妈妈身体不好差点被吓病砍头息高利贷求国家给个处理。</t>
  </si>
  <si>
    <t>2019/10/02 07:31:49</t>
  </si>
  <si>
    <t>今天逾期了确实还不上，昨天打钱站客服想让宽裕几天我就能还上，客服说没这项服务，我想说今天还不上是不是爆我通讯录，这是不是违法行为，希望给予解决办法，谢谢。</t>
  </si>
  <si>
    <t>2019/10/02 07:30:05</t>
  </si>
  <si>
    <t>投诉人崔浩文投诉对象Wecash闪银涉诉金额1000元问题类型诉求类型投诉详情高利贷加暴力催收不停地轰炸我的家人，导致我的家人有轻生的想法。</t>
  </si>
  <si>
    <t>2019/10/02 07:28:32</t>
  </si>
  <si>
    <t>本人于2019年十月一日晚八点十三分叫的滴滴出行一辆车，车辆到达后我门说明中途有人下车，而司机说我叫的是拼车不提供这个服务，因为不常打车也不知道这项所谓的拼车概念，只能选择取消订单，司机当时就不高兴，甩脸子给我，然后轰的一声把车开出去三四米，我老婆是一名待产孕妇，吓了一跳，这还不算完，他竟然停在那辱骂我，譬如草泥马这类的语言，骂完开车扬长而去，一会我竟收到了扣款短信，我就联系滴滴要求他们让司机给我道歉，并且退还车费，而滴滴的不作为让我更生气，客服说当晚十点会有专人联系我，到目前为止还没有联系，退款也无进展，</t>
  </si>
  <si>
    <t>2019/10/02 07:20:29</t>
  </si>
  <si>
    <t>抢票取消后，不小心把订单删除了，当时钱已经给自动扣款了。</t>
  </si>
  <si>
    <t>2019/10/02 07:16:43</t>
  </si>
  <si>
    <t>网贷APP催收不停骚扰我同事朋友和租住房房东，网贷时只填写了两个联系人，但是贷上钱套取我的通讯录信息，极其恶劣的欺骗我租住房房东说我用租住房房东担保贷款，导致我租住房房东担惊受怕并影响了我租住房，恶意骚扰恐吓我同事朋友和租住房房东，曝我通讯录，要求严惩！。</t>
  </si>
  <si>
    <t>2019/10/02 07:14:24</t>
  </si>
  <si>
    <t>涉诉金额4200元问题类型诉求类型投诉详情本人在马上消费金融旗下产品安逸花申请循环贷，总金额4200元，期间一直正常使用，这次因为安逸花系统方对我进行银行卡代扣，而导致我本人对公账户还款失败，还款失败原因为安逸花方系统机构问题，后来我手动还款也没有逾期，处理好了该还的金额后马上金融安逸花方单方面锁定我账号额度，并且不做任何通知，合同签的有效期是一年，因为这次安逸花在我本人不知情的情况下单方面终止合同，我不认可！要求安逸花方恢复可使用额度，解锁我的账户！。</t>
  </si>
  <si>
    <t>2019/10/02 07:11:38</t>
  </si>
  <si>
    <t>本人借款2.5万，第三期还款时找不见还款通道。</t>
  </si>
  <si>
    <t>2019/10/02 07:10:27</t>
  </si>
  <si>
    <t>百事普惠恶意扣款！我昨天看到百事普惠然后注册一下！注册时两个选项，第一条没有写明缴纳金额就写着优惠卡，第二条为299查询！我选了第一条就莫名被扣款！我现在要求退款。</t>
  </si>
  <si>
    <t>2019/10/02 07:06:45</t>
  </si>
  <si>
    <t>畅捷支付为牛人有品提供支付通道，借款1900元，到账1368元，砍头息高达532元，多次与牛人有品协商还本金和合适利息，均没有达成协议，由于牛人有品APP已无法正常还款，导致逾期，希望牛人优品客服联系本人，协商处理还款。</t>
  </si>
  <si>
    <t>2019/10/02 07:00:10</t>
  </si>
  <si>
    <t>本人在安逸花申请循环贷，期间一直正常使用和正常还款，打电话问客户说我综合评分不足，用了几年安逸花毫无征兆地，突然无法借款和消费并锁定帐号。</t>
  </si>
  <si>
    <t>2019/10/02 06:51:29</t>
  </si>
  <si>
    <t>于9月2号借款1900元，通过畅捷支付，实际到账却只有1368元分两期还完，一期各还969，畅捷支付为高利贷提供通道，由于实在承受不住这么高的利息无力偿还，希望协商还款本金加合理利息消账。</t>
  </si>
  <si>
    <t>2019/10/02 06:48:13</t>
  </si>
  <si>
    <t>你我贷，老客户几年了，每次都是提前还款，现在告诉我评分不足，尝试几个月了！。</t>
  </si>
  <si>
    <t>2019/10/02 06:46:33</t>
  </si>
  <si>
    <t>投诉人 宋先生        投诉对象  安逸花（跃吉科技）        涉诉金额  0 元    问题类型    诉求类型投诉详情  安逸花正常使用几年了，不给提现或者消费了</t>
  </si>
  <si>
    <t>2019/10/02 06:44:11</t>
  </si>
  <si>
    <t>投诉人 唐先生        投诉对象  魔域        涉诉金额  50 000 元    问题类型    诉求类型投诉详情  这游戏爬阿拉玛和合阿拉玛 都没有赢过 几年输了五万块钱</t>
  </si>
  <si>
    <t>2019/10/02 06:38:16</t>
  </si>
  <si>
    <t>豆豆钱贷款收取高额砍头息担保费，借款下来后才反应过来，天下课立即扣了我保险费，要求退还砍头息，合理归还本息。</t>
  </si>
  <si>
    <t>2019/10/02 06:35:32</t>
  </si>
  <si>
    <t>利息和罚息都高，还用网络电话轰炸我，严重影响我的生活。</t>
  </si>
  <si>
    <t>2019/10/02 06:33:11</t>
  </si>
  <si>
    <t>已还三期896×3，超过了申请金额2634，希望能销账！。</t>
  </si>
  <si>
    <t>2019/10/02 06:30:21</t>
  </si>
  <si>
    <t>2018年8月14在易分期借款15000元，目前还让再还2300多，催收一天天不停打电话导致本人无法正常生活，还有催收发短信欺骗我说让和他联系可以减免多少金额，希望有关部门出面制止来分期的催收骚扰。</t>
  </si>
  <si>
    <t>2019/10/02 06:29:17</t>
  </si>
  <si>
    <t>本人通过信用管家app下载了一个叫宜贷分期的借款软件，在上面借3000元20天时间，管理费300元，下款时软件才显示是分4期还，每期要还1230元，也就是说借3千，20天要还4920元，这是明显的欺诈，高利贷行为，严重超出国家规定的利率，我要求撤销高利贷部分。</t>
  </si>
  <si>
    <t>2019/10/02 06:28:17</t>
  </si>
  <si>
    <t>我在玖富万卡上借了两笔借款，一笔7000元本金的，一笔3000元本金的，借款当时签订的合同里并未说明还有服务费以及服务费的利息，后发现还款时需要多还服务费以及服务费的利息，提前结清还需要还完本金加利息加服务费的本金及利息，现要求仅偿还本金加利息其余附加费用已还的打进未还款账单里。</t>
  </si>
  <si>
    <t>2019/10/02 06:27:24</t>
  </si>
  <si>
    <t>，预计时间送到9月27日，结果9月28日送到，并去门卫取件，门卫告知快递拿走了，说是我拒收，当当未经本人同意的情况下，擅自说我拒收，并将该件发往东莞！可以想象是否存在8她们自己寄给自己这种操作模式来欺骗消费者，！其次，电话多次反馈客服，最后33159客服答应48小时内退款，，结果10.1另一客服告知要国庆节结束才退给我，说话不算数，并且售后退款页面根本就没有，无法申请！！！她们说后台操作的，那请问为什么不能按照正常流程操作退款，未收到货，并且没有退款选项，这是不是存在问题，现在要求马上退款并赔偿加处理擅自修</t>
  </si>
  <si>
    <t>2019/10/02 06:27:06</t>
  </si>
  <si>
    <t>之前在交易猫上面买个账号，当天就被找回了，仲裁之后已经20天了，客服一直不给处理，，催他也没反应。</t>
  </si>
  <si>
    <t>2019/10/02 06:19:15</t>
  </si>
  <si>
    <t>嗨钱app不能正常还款，之前还清的订单也没有还清证明，现在又来催收，担心还钱不销账，忘处理。</t>
  </si>
  <si>
    <t>2019/10/02 06:13:36</t>
  </si>
  <si>
    <t>乘客找不到停车地点，司机停车位置有抓拍已等15分钟左右，乘客找不到车，恶意不取消订单，联系客服让取消订单报备处理，我照做之后，扣我成交率没办法接单了。</t>
  </si>
  <si>
    <t>2019/10/02 06:10:46</t>
  </si>
  <si>
    <t>手机借钱里面多宝分期借了3000元，分4期,一期要1184.4元，两个月要还4737.6元，利息两个月要1737.6元！利息太高了。</t>
  </si>
  <si>
    <t>2019/10/02 06:10:11</t>
  </si>
  <si>
    <t>恶意扣款，在没有说明，什么都没有，直接就是扣款，要求退款。</t>
  </si>
  <si>
    <t>2019/10/02 06:09:27</t>
  </si>
  <si>
    <t>我于2019年7月1日在信用飞APP申请贷款3000元，下款3000秒扣610元，实际到账金额2390元，信用飞的解释是610元是保险费用，这不就是变相的砍头息吗，在国家明令禁止贷款违规搭售保险，虚增贷款金额的情况下，本人要求信用飞退还610元的保险费用，或者抵扣本人的第三期还款，我查询了我名下保险并没有看到信用飞的这个保险，我怀疑信用飞存在欺骗行为。</t>
  </si>
  <si>
    <t>2019/10/02 06:08:59</t>
  </si>
  <si>
    <t>第一次贷款6000.，每月还款602.7，还款7232.4，利息1232.4，第二笔贷款10800，已还8期9848.16元，未还本金951.84，和之前的利息抵消，我已被他们骚扰得家庭破裂，无法工作，51人品贷存在砍头息高额利息的情况，51人品贷催收在不经过本人同意的情况下骚扰我通讯录联系人，向我通讯录联系人群发我欠款短信，严重损害了本人的隐私权及名誉权，这是个法制社会，本身放高利贷收砍头息就是违法的，竟然在国家大力扫黑除恶的时候还顶风作案实行暴利催收，试问你们51人品贷老板很牛，后台很硬，以至于让你们都</t>
  </si>
  <si>
    <t>2019/10/02 06:08:39</t>
  </si>
  <si>
    <t>本人在安逸花申请循环贷，总金额3500元，期间一直正常使用，这次因为安逸花系统方对我进行银行卡代扣，而导致我本人对公账户还款失败，还款失败原因为安逸花方系统机构问题，造成本人逾期，期间与安逸花客服联系过沟通了这个问题，并且保有电话录音，处理好了该还的金额后马上金融安逸花方单方面锁定我账号额度，并且不做任何通知，合同签的有效期是一年，因为这次安逸花在我本人不知情的情况下单方面终止合同，我不认可！要求安逸花方恢复可使用额度，重新签署合同。</t>
  </si>
  <si>
    <t>2019/10/02 06:08:12</t>
  </si>
  <si>
    <t>借1000元，1个月，要还169元担保费+1030元共计1199元，利率高达240%，典型的高炮，要求按照国家规定利率还款，下架超品并道歉。</t>
  </si>
  <si>
    <t>2019/10/02 06:06:53</t>
  </si>
  <si>
    <t>投诉人杨祖旭投诉对象钱站涉诉金额168元问题类型诉求类型投诉详情昨天到期忘记还款了今天早上5点多起来才想起来逾期一天利息100多太高让钱站客服加我微信电话打不通的协商。</t>
  </si>
  <si>
    <t>2019/10/02 06:05:13</t>
  </si>
  <si>
    <t>发的短信说有3天还款期，结果显示逾期一天，直接违约金100，是啥情况，平台给出解释。</t>
  </si>
  <si>
    <t>2019/10/02 06:03:38</t>
  </si>
  <si>
    <t>我的多多农场，获得的金币少一半，不公平，要求给我回复正常！。</t>
  </si>
  <si>
    <t>2019/10/02 06:03:25</t>
  </si>
  <si>
    <t>2019年9月2日我在信用管家金猪钱包借款2250，分四期，每期7天，第一期还款795元，第二三期都是750元，已经还款2295元，第四期还要求还款750元，这利息远远超过国家法定利息，要求减免不合理利息，并且销账。</t>
  </si>
  <si>
    <t>2019/10/02 05:57:09</t>
  </si>
  <si>
    <t>本人平常爱买中国体育彩票，一次偶然的情况下得知网上也可以投注，无需到彩票实体店去购买，本着试试看的心态，通过上海瀚银支付充值了金额，在网上投注，后来才发现网上投注是非法的，仔细调查之下，瀚银支付也属于违规给网络博彩公司提供支付渠道，并且一些收款明目都是子虚乌有的百货销售，我本人并没有购买其任何商品，第三方支付业务应审核客户的相关信息，不得向证券，期货，博彩等机构提供支付结算业务，作为有牌照的支付公司没有履行国家结算通道的义务，即产生了非法洗钱的嫌疑，金融机构客户身份识别和客户身份资料及交易记录保存管理办法，</t>
  </si>
  <si>
    <t>2019/10/02 05:56:50</t>
  </si>
  <si>
    <t>投诉人雷先生投诉对象Wecash闪银涉诉金额2000元问题类型诉求类型投诉详情闪银速贷，借2000元，3个月要还400担保费+2121.18=2521.18元，等额本息运用计算器利率高达150%，另外闪银贷款没有合同，不合法。</t>
  </si>
  <si>
    <t>2019/10/02 05:54:48</t>
  </si>
  <si>
    <t>本人兴业银行办理一张一万六的信用卡，由于自己一直处于创业时期，经济周转不过来，导致暂时无力还款，兴业银行第三催收工作人员态度恶劣，信口雌黄，诽谤我在逃避债务，对我进行恐吓催收，同时，还爆我通讯录，打电话对我70多岁的父亲态度恶劣，威胁恐吓我父亲，施加压力还款，导致我现在家庭矛盾激化，无家可归，多头50多万贷款，催收的天天轰炸，导致我现在无力正常生活和工作，精神混乱，情绪失常，我必须要求第三方催收给予我合理的经济赔偿损失！。</t>
  </si>
  <si>
    <t>2019/10/02 05:47:30</t>
  </si>
  <si>
    <t>昨天到期钱站，在钱站借款本金5万，共36期，每期还2528.4元，一共还了21期一共53096.4元，本金已全部还完，就剩下高额的利息，已无能力偿还，昨天还没逾期就开始骚扰、恐吓、威胁，要爆通讯录，通知所有的家人，告诉他们我欠了多钱，说如果在不还钱，就要群发短信，P图发恶心的短信，到了晚上催收就轰炸了了我的电话，我父亲身体不好，一直在床上躺着，有心脏病、高血压，骚扰我的家人，在这么继续骚扰，老人有病出事了，我就找你们负责，希望有关部门严惩这种高利贷催收的手段，就真的谁也管不了吗。</t>
  </si>
  <si>
    <t>2019/10/02 05:29:27</t>
  </si>
  <si>
    <t>安逸花我联系了3次客服&amp;nbsp;一直套路我导致不能使用&amp;nbsp;说好的循环额度&amp;nbsp;起因40块的什么灵活还款包费用&amp;nbsp;利息我照给的&amp;nbsp;由于工作问题两部手机&amp;nbsp;都是还款日才看&amp;nbsp;起初第一个月不用还款&amp;nbsp;到了下一个月才发现有这么一个款项&amp;nbsp;我就顺带着还了&amp;nbsp;结果就不能使用安逸花了&amp;nbsp;只能还&amp;nbsp;问了客服是因为我逾期那40块钱&amp;nbsp;我后来查了查安逸花会上征信&amp;nbsp;因为40上征信，我很生气&amp;nbsp;期间是没有电话通知短信通</t>
  </si>
  <si>
    <t>2019/10/02 05:24:37</t>
  </si>
  <si>
    <t>2019/10/02 05:17:12</t>
  </si>
  <si>
    <t>可是滴滴平台不提前给任何解释就把女乘客的订单给屏蔽了，本人从事滴滴那么久从未对任何乘客做过出格的事。</t>
  </si>
  <si>
    <t>2019/10/02 05:15:33</t>
  </si>
  <si>
    <t>乘客在我边上叫车你们都不派，身处热区也不派，怎么。</t>
  </si>
  <si>
    <t>2019/10/02 05:12:27</t>
  </si>
  <si>
    <t>2019/10/02 05:10:26</t>
  </si>
  <si>
    <t>投诉人 詹女士        投诉对象  潍坊银行        涉诉金额  5 170 元    问题类型    诉求类型投诉详情  本人通过潍坊银行资金借款4000元 潍坊银行合同显示贷款年利率八点起 但实际上暗藏阴阳合同 多出费用一千多元 本人当初并未签订该合同 潍坊银行阴阳合同 虚增本人债务 并捆绑还款 影响本人征信问题 作为银行单位 不做榜样 依法知法犯法 恳求聚投诉平台处理 谢谢</t>
  </si>
  <si>
    <t>2019/10/02 04:59:58</t>
  </si>
  <si>
    <t>原名小带鱼，现在叫小当家，本人在小当家，第一次2808元，一共两期每期要还款1979.97元，利息每期544.75元，逾期一天利息20多元已经严重超过国家规定，显然非法高利贷，本人要求小当家消账最后一期，并提供结清证明，否则肯定报警处理。</t>
  </si>
  <si>
    <t>2019/10/02 04:49:23</t>
  </si>
  <si>
    <t>本人在御剑飞行平台借款3500，到账2100，砍头息1400，5天到期归还3500，超过国家正常利息几千倍，上海华瑞银行为这种高利贷提供支付通道，如合理要求得不到解决，下一步将走银监，公安，经侦。</t>
  </si>
  <si>
    <t>2019/10/02 04:49:03</t>
  </si>
  <si>
    <t>放款1100元，立即扣了60元不知道什么款项，3天后又需要还199什么担保款项，一个月归还1150.现在款项已还清，要求199这个担保金给予销账。</t>
  </si>
  <si>
    <t>2019/10/02 04:46:16</t>
  </si>
  <si>
    <t>借款6天其实只有5天，借1400还2000，因为每次催收电话很凶也威胁要是几点之前不还就要被爆通讯录，我害怕被爆炸通讯录所以还了几次或者续了几次，但是慢慢发现这个是无底洞，300块钱只能续期1天多，填不满！现在支付是通过支付宝扫码支付，每次都是不同的餐饮商家。</t>
  </si>
  <si>
    <t>2019/10/02 04:38:29</t>
  </si>
  <si>
    <t>本人平常爱在中国体育彩票中心购买体育彩票娱乐，在一次偶然的情况下得知可以不用每天跑到体彩店去购买彩票，只需要在网上直接投注即刻，仔细一查得知北京爱农支付公司也涉嫌为该非法博彩网站提供充值渠道涉嫌洗钱，虚拟交易，我存款过去，回单上显示的都是全国各省外地的一些公司，名曰百货消费，但其实只是转钱洗钱的方式而已，并没有实际消费和购买商品，敬请彻查，我若资料提供不足之处，请提醒我补充，我怀着试新奇的心情去体验了一下，在云闪付上通过上海瀚银支付渠道存款后，因为是持牌正规渠道，就没有怀疑，一直用到现在，目前得知该博彩公司</t>
  </si>
  <si>
    <t>2019/10/02 04:30:49</t>
  </si>
  <si>
    <t>投诉人 颜女士        投诉对象  捷信金融        涉诉金额  100 000 元    问题类型    诉求类型投诉详情  借款5000元分期48期 利息高达%50</t>
  </si>
  <si>
    <t>2019/10/02 04:21:52</t>
  </si>
  <si>
    <t>投诉人欧阳女士投诉对象钱站app涉诉金额1780元问题类型诉求类型投诉详情钱站借1千元分三期需要还款1789元，没借款时查看每个月还多少时，没有写清楚，属于骗贷行为，只显示1-2期7百多利息34,第3期340，故意把1.2期连起来一起写，害我以为跟第3期一样每个月还3百多，下完款查看才发现实际前2期每个月还724，3期240，利息差不多8百了&amp;lt;图片上传不了&amp;gt;。</t>
  </si>
  <si>
    <t>2019/10/02 04:19:20</t>
  </si>
  <si>
    <t>投诉人 符女士        投诉对象  智享贷        涉诉金额  1 900 元    问题类型    诉求类型投诉详情  之前接到说说智享贷客服的电话 告诉我有额度 我看了一下放款需要开通会员需要费用 就没有用 客服告诉我不用开通也可以 只是审核慢一点 然后第二天再进去看就换了一个界面 这个也没有显示需要什么费用 勾选的那块也只是0.0元保险费 结果就是换汤不换药 诱导我用另一种方式开会员 放款金额1900 到账1600 一个月的期限 300的砍头息！ 要</t>
  </si>
  <si>
    <t>2019/10/02 03:54:14</t>
  </si>
  <si>
    <t>上个月在微品分期借款3000元，为期1个月，到期还款3800多元，利息远高于国家法定利率，连连支付作为出资方并为微品分期这样的高利贷提供支付渠道属违法乱纪，本人要求进行协商还款本金与国家法定的利息，本人已联络货连连支付客服，客服表示稍后会与我联络，但是本人并没有接到与本人协商的电话，请速与我联系进行协商，10月2日为还款日，若本人遭到暴力催收，将进行录音报警处理。</t>
  </si>
  <si>
    <t>2019/10/02 03:45:26</t>
  </si>
  <si>
    <t>离还款日还有十多天，不能提前还款，利息每天都涨，客服也不解决，合同规定可以提前还款。</t>
  </si>
  <si>
    <t>2019/10/02 03:37:11</t>
  </si>
  <si>
    <t>离还款日还有十多天，点击提前还款还不了，利息每天都涨，客服也不解决，合同上写着能提前还款。</t>
  </si>
  <si>
    <t>2019/10/02 03:33:24</t>
  </si>
  <si>
    <t>投诉人 雷先生        投诉对象  ofo        涉诉金额  100 元    问题类型    诉求类型投诉详情  该公司破产后还不注销该APP 仍然开通充值通道 缺没有车使用 并且关闭退款通道 只可以充值不可以退款 望尽快解决！！！</t>
  </si>
  <si>
    <t>2019/10/02 03:27:17</t>
  </si>
  <si>
    <t>投诉人谢先生投诉对象优逸贷涉诉金额99元问题类型诉求类型投诉详情优逸贷会员，说开通会员一定能通过审核，然而没有任何用处，平台本身就是一个中介，申请的借款平台也是一个套一个中介。</t>
  </si>
  <si>
    <t>2019/10/02 03:25:31</t>
  </si>
  <si>
    <t>10月1日上午八点左右无故从我银行卡中扣除408.76元，我打他公司客服电话，告知我这是2017年从他公司旗下平台借款收取的利息，银行工作人员告诉我也查不到这笔款怎么扣除的，现在还在落实。</t>
  </si>
  <si>
    <t>2019/10/02 03:21:14</t>
  </si>
  <si>
    <t>我这边在租赁公司租车，然后告诉我账号不能修改注册地，不知道账号被谁盗用还是滴滴公司原因，导致修改注册地次数用完，导致账号现在不能修改注册地，必须要6个月以后，那么我现在就不能绑定车辆，导致每月租车损失4000元保险什么的费用，联系客服客服不给改，说是去滴滴车主之家搞定，我这边都没有滴滴车主之家，打电话4000000666客服也不给处理，请帮忙解决问题，滴滴公司霸王条款，欺负我们司机不是人，有关系一句话就给修改注册地，没关系的，死都不给改，一直都说只能在平台上改，别人有关系就直接改，霸王条款来的吗，请公司处理</t>
  </si>
  <si>
    <t>2019/10/02 03:06:32</t>
  </si>
  <si>
    <t>投诉人张先生投诉对象广东联通涉诉金额199元问题类型诉求类型投诉详情本人在2017-10-01入网，在朋友介绍下，预存500，赠送1200话费，每月返还50电子券，但是因为工作需要，每个月199元套餐觉得划算，但是因为现在本人失业，号码也是一直付费状态，打电话联系客服帮忙修改套餐，但是客服碍于需要遵守公司制度，无法修改，现通过聚投诉公司，恳求联通公司帮忙修改套餐，因为现在失业状态下，每月199元套餐对我也是没有用。</t>
  </si>
  <si>
    <t>2019/10/02 03:05:36</t>
  </si>
  <si>
    <t>信用管家里面元宝宝，高利贷套路贷收取高额利息费，本人于2019年8月22日借款2250，分四期每期八天一还，每期还款768，严重超过国家规定利率，利息远超于国家规定！！我已经还3期剩余1期由于支付通道关闭无法还款，点开还款要求支付宝还款，微信还款，但是还是还款不了，打客服电话打不通，而造成逾期，我要求元宝宝减免利息和他们原因造成的逾期费！协商最后一期销帐处理。</t>
  </si>
  <si>
    <t>2019/10/02 03:02:38</t>
  </si>
  <si>
    <t>刚开始接触是在给你花，每次借出来都是一个月，借2000扣掉砍头息500，一个月还，用了2次，后面给你花没有这个软件，我直接下载周周花花app，没多想，点开直接申请，下来之后看到一个月要分4期，每期7天，一个月，出了扣除砍头息，每7天还得多交500元，跟前两次给你花里面申请完全不一样，这简直高利贷中的高利贷，我就想问这事赤裸裸要钱还是要人命。</t>
  </si>
  <si>
    <t>2019/10/02 02:54:11</t>
  </si>
  <si>
    <t>借款3990，实际到账3000，接下来还要每一期还1585！远远超出了国家要求的标准。</t>
  </si>
  <si>
    <t>2019/10/02 02:51:26</t>
  </si>
  <si>
    <t>10月1日，本人在该公司的手机软件“云闪充”个人账户上发现，该软件上本人个人账户上显示该公司已经为本人充值200元，但是本人油卡上并没有收到该充值。</t>
  </si>
  <si>
    <t>2019/10/02 02:46:32</t>
  </si>
  <si>
    <t>没代扣，导致逾期，借款3000，六个月，被砍头600，实际到手2400，每期691.8，六期还款共4150，已按时还款三期，要求按照正常利息协商还款，利息太高，并且联系不上官方。</t>
  </si>
  <si>
    <t>2019/10/02 02:40:34</t>
  </si>
  <si>
    <t>本人在该平台借款数次利息已高达数千元本人在套路贷高额利息的压迫下已无力偿还，在国家严打整治的情况下连连支付依然违规提供支付平台做非法套路贷的后盾。</t>
  </si>
  <si>
    <t>2019/10/02 02:36:49</t>
  </si>
  <si>
    <t>借款1300，六天一期还款1999.41，利息费用高达700元，现本人已无力偿还高额费用，要求退还费用及销账处理。</t>
  </si>
  <si>
    <t>2019/10/02 02:34:47</t>
  </si>
  <si>
    <t>豹子贷,上海造艺网络科技,造艺网络科技,银码头，恶意扣款，我没点扣款那就自己扣款了，这些借款平台都是这么坑人的吗。</t>
  </si>
  <si>
    <t>2019/10/02 02:34:19</t>
  </si>
  <si>
    <t>投诉人高先生投诉对象钱站,华夏银行涉诉金额2800元问题类型诉求类型投诉详情高利贷阴阳合同，借2000元合同额是2800元套路贷，希望聚投诉平台能给我一个好的答复，处罚套路贷，也就是爱钱进或者钱站app下面是证据我的到账流水和不合法合同额综合利息25%也不低。</t>
  </si>
  <si>
    <t>2019/10/02 02:32:42</t>
  </si>
  <si>
    <t>贷款完成后还收取什么风险费每次300-400元不等，每期本金加利息要还2054.5元，每月利息387.83元超过国家规定年利率。</t>
  </si>
  <si>
    <t>2019/10/02 02:31:26</t>
  </si>
  <si>
    <t>违规网站利用支付宝进行支付结算，希望支付宝协助追回损失。</t>
  </si>
  <si>
    <t>2019/10/02 02:26:56</t>
  </si>
  <si>
    <t>别人欠钱，拍拍贷爆我手机号，被这个叫刘义的负责人暴力催收，恐吓威胁，他号码是158******60。</t>
  </si>
  <si>
    <t>2019/10/02 02:24:37</t>
  </si>
  <si>
    <t>投诉人赵先生投诉对象OYO酒店涉诉金额390元问题类型诉求类型投诉详情打电话给客服，电话无人接听，打了几十个有人借了，还处理不了问题，半个小时，又半个小时，这个到底什么时候退款。</t>
  </si>
  <si>
    <t>2019/10/02 02:21:17</t>
  </si>
  <si>
    <t>闪银已各种会员的方式收取砍头息，如图显示第一笔的手续费就是第三笔贷款收取的利息，收取利息51元手续费208元分两期一期104元，手上的每次贷款都有手续费300-500不等，一旦还款就不显示这个手续费了。</t>
  </si>
  <si>
    <t>2019/10/02 02:18:15</t>
  </si>
  <si>
    <t>欺骗消费者&amp;nbsp;&amp;nbsp;服务员说得价格跟结账的消费余额不一致。</t>
  </si>
  <si>
    <t>2019/10/02 02:15:54</t>
  </si>
  <si>
    <t>本人作为一个淘宝卖家，有个订单号5****************7，淘宝小二得理是支持卖家，然后直接退货退款，直接把货款全款给买家。</t>
  </si>
  <si>
    <t>2019/10/02 02:15:41</t>
  </si>
  <si>
    <t>乐乐钱袋,微品分期,江西省乐乐科技有限公司，本人此前通过微品分期下载乐乐钱袋在9月22日申请借款2300，借款周期为7天，还款3500，利息费用共计1200元，现要求退还超出规定的利息费用并作销账处理。</t>
  </si>
  <si>
    <t>2019/10/02 02:13:03</t>
  </si>
  <si>
    <t>360就剩两期未还！高额逾期利息高达1500不知道怎么算！贷8000总体要还1万1。</t>
  </si>
  <si>
    <t>2019/10/02 02:09:41</t>
  </si>
  <si>
    <t>趣花分期通过借款，恶意套取会员费，99元会员费使用期只有7天，他们存在骗取会员费行为，要求他们立即退还会员费。</t>
  </si>
  <si>
    <t>2019/10/02 02:05:28</t>
  </si>
  <si>
    <t>投诉人 王先生        投诉对象  维信金科        涉诉金额  79 元    问题类型    诉求类型投诉详情  诱导客户购买会员审核 然后购买完之后审核还是失败 推荐的什么都是失败的</t>
  </si>
  <si>
    <t>2019/10/02 02:04:52</t>
  </si>
  <si>
    <t>因厨房主管道堵塞！导致整个房间木质地板泡水！蛋壳公寓只给了！免责换租！当时给客服打电话问客服换租能参加换租房子的活动吗！客服说问销售人员！但是问销售人员，销售人员说要问客服，他们说了不算！现在客服人员又说先住着！等几天看看房间情况再说！现在就是换房子必须是原价换租，要不就是扣除押金百分之七十退租！反正是地板没办到解决！已经拖了4天了！不给答复！一直在拖！房间现在太太太……潮湿了！。</t>
  </si>
  <si>
    <t>2019/10/02 02:04:28</t>
  </si>
  <si>
    <t>9月17日借第二次3000元，已结清2466元，现剩余两期2810元，要求做销账处理，并退回超出年化利率36%之多付利息。</t>
  </si>
  <si>
    <t>2019/10/02 02:03:40</t>
  </si>
  <si>
    <t>本人通过想有钱App借款1100元，隔一天就要还1500.被催收威胁己续期还款4期每期400元，严重高利贷，远远超过本金，史要求销帐。</t>
  </si>
  <si>
    <t>2019/10/02 02:02:42</t>
  </si>
  <si>
    <t>高利贷不给协商解决，仗着上征信！恶意催收！发手持身份证！爆通讯录！当初10000砍头息600！，但客服一口咬定不可协商，按照账单多少来还！。</t>
  </si>
  <si>
    <t>2019/10/02 01:57:43</t>
  </si>
  <si>
    <t>丽水市九代工艺品有限公司,木马人家具旗舰店，购买搓衣板，碰水后发霉，商家描述无提供此信息，后发现本人购买的是圆头，发成方头，主要还是发霉，描述未提及质量问题，让人误以为楠竹不会出现发霉情况，消保法属于欺诈，要求商家退一赔三！。</t>
  </si>
  <si>
    <t>2019/10/02 01:56:50</t>
  </si>
  <si>
    <t>本人于10月1注册卡分期APP，在点击借款后，私自从本人卡里扣除249元会员费，并且还需从他们APP里其他借款平台从新注册借款，他们存在骗取会员费，要求他们退还会员费。</t>
  </si>
  <si>
    <t>2019/10/02 01:51:52</t>
  </si>
  <si>
    <t>钱站阴阳合同，1000元一天利息100元，打电话威胁爆同学录，咒骂恐吓，希望调整正常利率，延期还款。</t>
  </si>
  <si>
    <t>2019/10/02 01:50:15</t>
  </si>
  <si>
    <t>晚上比较渴，点了一杯饮料，买的准时宝，本来想可以快点送到，结果还是超时了，外卖员给我打电话时候语气，极其恶劣，让我走很远去拿外卖，他在那等我，试想一下，如果我都走到外面大街上了，我为什么要点外卖，但是客服跟我说外卖员说送不到，你退款吧，这单不送了，我说客服不应该是制约着外卖员吗，如果不存在一种制约关系，那么要客服有什么用，我跟客服说我不需要赔偿和退款，把这单送到就好了，但是客服明确表示，这单肯定不能送，一定要退款，定了这么多年的美团，这是美团的规则要求改了吗，外卖员说，正好他渴了，要是我不去拿，就让我退款，</t>
  </si>
  <si>
    <t>2019/10/02 01:48:04</t>
  </si>
  <si>
    <t>霸王条款，客服跟我说可以退款，现在跟我推卸责任。</t>
  </si>
  <si>
    <t>2019/10/02 01:44:12</t>
  </si>
  <si>
    <t>其余1100被划走了，然后没隔月要我还358.55，分12期。</t>
  </si>
  <si>
    <t>2019/10/02 01:42:33</t>
  </si>
  <si>
    <t>借款3000，20天，还4920，逾期一天逾期费290，利息太高。</t>
  </si>
  <si>
    <t>2019/10/02 01:38:46</t>
  </si>
  <si>
    <t>点了确认还款，他们平台不受理，一直产生费用。</t>
  </si>
  <si>
    <t>2019/10/02 01:36:09</t>
  </si>
  <si>
    <t>2019/10/02 01:32:48</t>
  </si>
  <si>
    <t>10天前前就和客服说了要退机票，客服说给处理，但明天就到了起飞时间，还是没给我退票，提交退票的当天晚上，工作人员向我要了两个银行卡说是在3~5天内把前退到我的卡上，但迟迟没有结果。</t>
  </si>
  <si>
    <t>2019/10/02 01:30:25</t>
  </si>
  <si>
    <t>本人在信用钱包借款20000元，每月还款2267元，分12月还，已经超过合法利息，今逾期一天，利息高达近百元，实属丧心病狂！国家打击套路贷高利贷，信用钱包顶风作案，实属罕见。</t>
  </si>
  <si>
    <t>2019/10/02 01:27:38</t>
  </si>
  <si>
    <t>商家取消投诉，没有投诉人，为什么还写个投诉罚单，就算我有其他违规，那也应该改违规操作。</t>
  </si>
  <si>
    <t>2019/10/02 01:27:14</t>
  </si>
  <si>
    <t>10月2日，一共缴纳了21期，一共5180元，如不按时缴纳，就收到暴力催收和锁机，本人要求小榕白卡销账，并返还本人21期还进去超出国家利息利率的4000元钱。</t>
  </si>
  <si>
    <t>2019/10/02 01:26:30</t>
  </si>
  <si>
    <t>钱站砍头息，已经超出国家规定，在本平台借款很多次起初借的是三千，分三期还款，每期1600多，相当于多收1200多费用，这次借款八百也是三期，每期还800多，要还一千六百多，可以微信协商！在此如果对我朋友，家人，通讯录进行威胁，暴打等，我将会进行截图跟录音上报公安机关！也忘聚投诉给这些砍头息，跟暴力催收平台给予处罚！谢谢。</t>
  </si>
  <si>
    <t>2019/10/02 01:24:31</t>
  </si>
  <si>
    <t>投诉人 张先生        投诉对象  滴滴出行        涉诉金额  0 元    问题类型    诉求类型投诉详情  在热力图区域内，订单数量多余车辆数量！ 一个小时，不派单！ 为什么？</t>
  </si>
  <si>
    <t>2019/10/02 01:24:27</t>
  </si>
  <si>
    <t>投诉人 毕女士        投诉对象  安逸花（跃吉科技）        涉诉金额  151 元    问题类型    诉求类型投诉详情  全部提前还款成功溢缴款取不出 说没有溢缴款</t>
  </si>
  <si>
    <t>2019/10/02 01:20:05</t>
  </si>
  <si>
    <t>r9splus无线重启，手机已经强制板砖，大面积用户都出现这种情况，要求厂家给个说法。</t>
  </si>
  <si>
    <t>2019/10/02 01:15:25</t>
  </si>
  <si>
    <t>之前说你们去联系那边公司但是一天都骚扰我和我身边的人。</t>
  </si>
  <si>
    <t>2019/10/02 01:15:03</t>
  </si>
  <si>
    <t>投诉人李女士投诉对象携程涉诉金额223元问题类型诉求类型投诉详情本人于2019年10月1日订了一个星光酒店的房间，本来是在酒店附近订的看到地址是附近的，不知道为什么最终定下来是国外的酒店，申请取消，不能取消，这属于协议的格式条款，本人最终下单没有与酒店确认也有错误，申请退款60%，且未入住，却显示已入住。</t>
  </si>
  <si>
    <t>2019/10/02 01:14:32</t>
  </si>
  <si>
    <t>毫无察觉的情况下被多扣除115元，我选择是抢票后付款，却自动扣款，蓄意设置消费陷阱，请核实情况，责令其退款，并作出纠正。</t>
  </si>
  <si>
    <t>2019/10/02 01:14:23</t>
  </si>
  <si>
    <t>本人曾在玖富上借款900元，还款时发现竟然总计要还1798元，赤裸裸的高利贷，曾打电话与客服联系沟通，客服不予理会，说是正常的。</t>
  </si>
  <si>
    <t>2019/10/02 01:12:27</t>
  </si>
  <si>
    <t>我2019年注册的，刚输完身份信息，一单没跑就给我永久拉黑了，我又没有被客人投诉过，也没有过什么差评，就因为蜂鸟众包无缘无故拉黑了我，不要我干就应该给我注销账号，我今天注销账号显示两百多年后才可以注销，中国无期徒刑还可以改有期，我不想看到我去世了以后，公安局注销掉我的户口，你们都还保留我的信息，希望你们领导看在眼里帮帮我吧！我很需要这份工作，如果真的不需要我，那请给我注销掉我的账号吧，你们一直保留我的信息放在人才网让每个公司企业看，是不是侵犯了我的隐私啊，我上有老下有小要生活啊，现在是互联网时代，我都想不到</t>
  </si>
  <si>
    <t>2019/10/02 01:11:56</t>
  </si>
  <si>
    <t>我在2019.9.18向时光分期借款15000，利息+应还本金=16175.57，我不知道所谓的咨询服务费是什么。</t>
  </si>
  <si>
    <t>2019/10/02 01:09:13</t>
  </si>
  <si>
    <t>借款时付了保费，玖富客服一直说3到5天内会退回保费，23号至今依然没有退回保费，希望快点处理。</t>
  </si>
  <si>
    <t>2019/10/02 01:05:36</t>
  </si>
  <si>
    <t>我自己开了个淘宝店，然后有人联系我说可以帮忙运营，一开始说只需要交380然后就包括&amp;nbsp;装修&amp;nbsp;上架爆款&amp;nbsp;&amp;nbsp;做推广&amp;nbsp;&amp;nbsp;做销量和信誉&amp;nbsp;&amp;nbsp;做权重&amp;nbsp;和标题优化&amp;nbsp;&amp;nbsp;做引流&amp;nbsp;&amp;nbsp;打造三心&amp;nbsp;&amp;nbsp;&amp;nbsp;上报活动的&amp;nbsp;&amp;nbsp;这些都是扶持你店铺三年的&amp;nbsp;&amp;nbsp;货源是永久提供的&amp;nbsp;终身售后的，我问他还有没有别的费用，告诉我没有，然后我交了钱又告诉我</t>
  </si>
  <si>
    <t>2019/10/02 01:03:40</t>
  </si>
  <si>
    <t>通过网页下载北京友缘网络科技股份有限公司的交友软件，说可以体验0元3天免费会员但需要开通支付宝免密支付，开通后没点击啥操作，其也没有给我发扣款短信等，支付宝来消息看到被扣两笔，说的是到期自动续费我随时取消，我就想着体验下开通了直接取消免密支付，但未来的及取消就被恶意扣款，望相关部门给予严惩，整顿网络，要求全额给我退款，来电道歉解释，清除网络毒瘤，净化网络，还网民一个干净的网络环境。</t>
  </si>
  <si>
    <t>2019/10/02 00:57:13</t>
  </si>
  <si>
    <t>投诉人 邢先生        投诉对象  钱站,华夏银行        涉诉金额  18 000 元    问题类型    诉求类型投诉详情  借款18000…最后还完要28800 ，去哪儿找这么高的利息</t>
  </si>
  <si>
    <t>2019/10/02 00:54:39</t>
  </si>
  <si>
    <t>投诉人 罗先生        投诉对象  大鹅购        涉诉金额  2 500 元    问题类型    诉求类型投诉详情  本人从大鹅购借款三次 每次借款2500 实际到帐2000 第一次七天 后面两次十天 直接500砍头息 超级高利贷 并电话骚扰我家人 朋友 同事对我生活造成很大的影响 现要求大鹅购退还砍头息。</t>
  </si>
  <si>
    <t>2019/10/02 00:52:52</t>
  </si>
  <si>
    <t>借花钱软件上申请时没有说会扣费的钱就莫名其妙给扣了。</t>
  </si>
  <si>
    <t>2019/10/02 00:52:03</t>
  </si>
  <si>
    <t>一笔二千，要还2581.33；一笔二千五，要还3096.67，，因当时资金周转不开，恳请宽限几天或者分期，拒之、态度恶劣，只逾期了半天，每一笔加五十的利息！下午就用不同的电话打爆了通讯录，每一个都打了十几次！单位的电话也打爆了，我被公司开除了，在警局关了六个小时，被扣了三个月的工资，罚款一千，说我抹黑了公司！被警局罚了一千！强烈要求贷上钱平台道歉、赔偿并下架！。</t>
  </si>
  <si>
    <t>2019/10/02 00:52:01</t>
  </si>
  <si>
    <t>投诉人张乐投诉对象钱站涉诉金额150000元问题类型诉求类型投诉详情钱站借了10万，分一年还清，还了将近18万，利息高于国家法定标准，而且还有砍头息，逼的人走投无路。</t>
  </si>
  <si>
    <t>2019/10/02 00:50:42</t>
  </si>
  <si>
    <t>投诉人 刘先生        投诉对象  微信支付        涉诉金额  1 892 元    问题类型    诉求类型投诉详情  我是卖调料得。平时忙。朋友那边接到订单，但是货不够。就让客户把钱扫我这了。我给他发货。但钱到了第二天却没有提现到账。小微商户关闭了我的提现权限。不让提现了。</t>
  </si>
  <si>
    <t>2019/10/02 00:50:18</t>
  </si>
  <si>
    <t>由于老丈人生病急用钱，借了百万钱包的小百贷12000元，当时就联系客服要解释这个砍头息，所以这个1606.8也拖了好几天才被强制扣走，想不通为什么除了应有的利息之外还有这种费用，希望有关部门能及时有效的处理一下这种不正当的借贷关系，谢谢！。</t>
  </si>
  <si>
    <t>2019/10/02 00:49:30</t>
  </si>
  <si>
    <t>投诉人孙女士投诉对象北京盛通财富担保有限公司涉诉金额50076元问题类型诉求类型投诉详情我在盛通财富申请10万，客服经理让我交中级会员费，又说交高级的，说是会和贷款一起到APP钱包里再转到银行卡里的，要让我交10000的风险保证金，＋8000风控金，第二天联系说变疑问订单，说要叫9000，重新申请，之后风控部又冻结我的全部金额，怀疑我不是自己贷款，一定要交5期16890，我想想这么多钱转过去了，不交的话那些也回不来了，还是交了，说是一定马上到账，结果三小时左右问客户经理说开通绿色通道就马上到的，我又交了40</t>
  </si>
  <si>
    <t>2019/10/02 00:47:51</t>
  </si>
  <si>
    <t>10月1日，也没有收到，我想要个解释，然后要么马上发货，要么给我撤消订单</t>
  </si>
  <si>
    <t>2019/10/02 00:46:26</t>
  </si>
  <si>
    <t>投诉人 陈先生        投诉对象  拍拍贷        涉诉金额  180 元    问题类型    诉求类型投诉详情  还款日自动扣款失效，主动还款也无法还款。零点过后直接导致逾期，产生额外费用</t>
  </si>
  <si>
    <t>2019/10/02 00:46:02</t>
  </si>
  <si>
    <t>利息高，银行卡有钱不代扣造成逾期要求还清本金结清证明。</t>
  </si>
  <si>
    <t>2019/10/02 00:45:08</t>
  </si>
  <si>
    <t>淘宝购买婴儿车物流显示签收以为到货，误点确认收货，联系不上卖家，联系快递查到包裹重量为0.5千克，重量不符，申请淘宝售后退款，向淘宝客服说明情况后竟然关闭退款，没收到货没有本人签收底单，快递重量不符，查看淘宝该店铺竟然已经关闭，淘宝客服包庇商家。</t>
  </si>
  <si>
    <t>2019/10/02 00:39:52</t>
  </si>
  <si>
    <t>2017年12月19号，在微信公众号看到现金巴士，申请了借款，当时也是由于急用钱，应急，借了14天1000元，到期后没那么多本金还钱，只能续期，续期14天是120元，续期了10次以后都超过本金了，不想再续期了，找客服销账，客服也不管，只让我还钱，以至于拖到现在还没有给我销账，请平台给我做主，让他们给我销账。</t>
  </si>
  <si>
    <t>2019/10/02 00:39:43</t>
  </si>
  <si>
    <t>2019年8月份之前一直都是使用立刷，但是发现立刷的利息自动上调，刷卡14000扣94.89元，12000扣82.29元手续费，所以我没有继续使用立刷，然后隔三差五立刷就打电话骚扰我要求我用回立刷，直到2019年9月30号立刷销售员打电话来开始骂人威胁我，打着立刷的旗号说就是要涨我手续费，就是要我用回立刷，否则要我在现实中和他碰一碰，电话录音及短信截图为证！我的个人信息之前在立刷都有注册，现在已经威胁到我的人身安全！。</t>
  </si>
  <si>
    <t>2019/10/02 00:38:55</t>
  </si>
  <si>
    <t>投诉人刘先生投诉对象微信支付涉诉金额1892元问题类型诉求类型投诉详情我朋友卖出去得调料，他那里没货，让我收了款。</t>
  </si>
  <si>
    <t>2019/10/02 00:38:00</t>
  </si>
  <si>
    <t>,小花钱包涉诉金额4700元问题类型诉求类型投诉详情贷款4700实际到账4700，分9期合同签订时为5490，而且过了一个星期变成6300多，现在逾期没有处理，催收爆通讯录恶意用他人手机号恶意注册，一分钟能收到几十条注册信息验证码，需要停止非法手段，做出处理，将合同利息改到合法范围，再协商还款。</t>
  </si>
  <si>
    <t>2019/10/02 00:36:32</t>
  </si>
  <si>
    <t>我是齐齐哈尔市美团外卖加盟商上海中臣齐齐哈尔体育场站的员工，我八月二十四号请假回家父亲住院护理，在此期间中臣城市经理忠源带领其员工高杨和王佳彬，偷了我的餐箱，我的车在朋友家楼下停着，事发后我朋友报警，我九月二号回来后去派出所做的笔录，之后派出去一直没有答复期间王佳彬和我说报警也没有用找人了，回来后我无法工作餐箱在派出所扣押，十五天后系统自动把我工号删除了，由于我一直在追究餐箱的问题，站长也为给我打电话上我上班，在做工资表的时候也未通知我，以我九月份旷工为由扣除我八月份工资，一千二百元，我八月份请假站长让我发</t>
  </si>
  <si>
    <t>2019/10/02 00:35:05</t>
  </si>
  <si>
    <t>本人于十月1号23点25分被中金支付盗刷一笔100块的扣款信息本人从未办理和签约中金支付所有产品。</t>
  </si>
  <si>
    <t>2019/10/02 00:34:16</t>
  </si>
  <si>
    <t>不是本人操作，支付宝账号被骗，别人盗走，况且显示的交易关闭。</t>
  </si>
  <si>
    <t>2019/10/02 00:31:43</t>
  </si>
  <si>
    <t>免单27.9，但却给我30的优惠券，条款写的是同等金额的优惠券，不管是不是满减，都必须按条款讲的。</t>
  </si>
  <si>
    <t>由于银行卡限额一万，导致无法按时还款，并且该后台设定不能分两次还款，或者用支付宝或者微信还款，导致逾期或者影响个人征信，希望能够予以解决，不是个人原因导致的款项未及时归还。</t>
  </si>
  <si>
    <t>2019/10/02 00:30:45</t>
  </si>
  <si>
    <t>投诉人杨先生投诉对象约单涉诉金额200元问题类型诉求类型投诉详情充值进去的钱就不让拿出来了，刚开始说是过一个月可以提现，现在过了一个月了，根本连体现选项都没有，根本就是欺瞒消费者。</t>
  </si>
  <si>
    <t>2019/10/02 00:26:18</t>
  </si>
  <si>
    <t>投诉人 穆先生        投诉对象  微信支付        涉诉金额  1 600 元    问题类型    诉求类型投诉详情  永久冻结微信支付 我的钱怎么办 现在让我差了很多钱</t>
  </si>
  <si>
    <t>2019/10/02 00:25:34</t>
  </si>
  <si>
    <t>我买了一台价值5437元的手机，因为我有特殊情况无法验货且收货，在快递没有收到的情况下，我联系客服拒收货物，转转客服认为交易完成不退款，一方面说无人签收会退回平台，一方面说拒签不会退款，一方面又说交易完成平台不支持退款，建议我联系卖家解决，我是在验机平台上面购买的，验机平台发的货，，而且在没有签收的情况下，说交易完成不支持退款，我并没有收到货而且手机没有到手，经过聊天我更加不相信转转平台可以保护我的权益，在调解无效的情况下，我选择21cn聚投诉，希望可以解决问题。</t>
  </si>
  <si>
    <t>2019/10/02 00:22:42</t>
  </si>
  <si>
    <t>在同一时间取消订单，结果支付的预付款没能及时退回，反而直接扣除。</t>
  </si>
  <si>
    <t>2019/10/02 00:22:40</t>
  </si>
  <si>
    <t>滴滴出行乱扣车主的服务分！现在过去十几天了一直不给解决！本人一直礼貌接送乘客从末发生冲突！无缘无故被扣六分，平台这是不让司机说话的节奏你们平台就是这样坑司机的吗。</t>
  </si>
  <si>
    <t>2019/10/02 00:17:56</t>
  </si>
  <si>
    <t>砍头息太多了，正常利息也就不说了，希望有关部门处理一下这种问题，谢谢！。</t>
  </si>
  <si>
    <t>2019/10/02 00:16:22</t>
  </si>
  <si>
    <t>暴力催收，给通讯录里的亲戚同事朋友打电话，干扰正常生活。</t>
  </si>
  <si>
    <t>2019/10/02 00:15:09</t>
  </si>
  <si>
    <t>借款2000分3期,为什么另外还产生了其他都费用总共358。</t>
  </si>
  <si>
    <t>2019/10/02 00:13:41</t>
  </si>
  <si>
    <t>投诉人刘垒投诉对象拼多多涉诉金额860元问题类型诉求类型投诉详情我在拼多多平台上卖衣服，买家拿到商品后要求仅退款不退货，后拼多多平台介入后，买家将衣服邮寄到拼多多平台，拼多多平台也不退还给我，希望能通过这种方式维权，平台能把衣服退回商家，谢谢！。</t>
  </si>
  <si>
    <t>2019/10/02 00:12:38</t>
  </si>
  <si>
    <t>投诉人王先生投诉对象青春宝,信用管家,立借涉诉金额2250元问题类型诉求类型投诉详情在信用管家APP申请了青春宝分期借款2250元可以分期4期,下款成功才显示所谓的的4期就是一个月的4期，7天一个期限，一共要还3081.48元！！第一期还款770.37元，剩余三期每次还款770.37元，本人已经还款3期，《最高人民法院关于审理民间借贷案件适用法律若干问题的规定》第二十六条借贷双方约定的利率未超过年利率24%，出借人请求借款人按照约定的利率支付利息的，人民法院应予支持，借款人请求出借人返还已支付的超过年利率3</t>
  </si>
  <si>
    <t>2019/10/02 00:12:21</t>
  </si>
  <si>
    <t>投诉人李祝雄投诉对象多米贷涉诉金额600元问题类型诉求类型投诉详情本人在融360平台，多米贷申请贷款，实际到账和贷款金额不一致，实际到账2400元，贷款额度显示3000元，还款额度3180元，其中所标的利息和费用不吻合，有砍头息的嫌疑，本人希望多米贷平台能够反还不明的600元费用，希望公司能正规正确的对待每个贷款人。</t>
  </si>
  <si>
    <t>2019/10/02 00:11:52</t>
  </si>
  <si>
    <t>投诉人吴先生投诉对象佰仟金融涉诉金额10000元问题类型诉求类型投诉详情拉吉佰仟，无限亲启；你们这是怎么了，怎么就像一下子注入了新的血液一样，突然变得通人性了，就像我这里填写的诉求赔偿，道歉销账一样，官方之所以这么设置说明完全是可行的，可是你们作为一家总是自己喜欢宣称我们是合法正规金融大公司，怎么面对我多次的投诉选择沉默了，就像我之前说的，你们非要喜欢把简单的事情复杂化，我没理由不满足你们，现在升级了，因为你们不道德，不承担，不回应，不解决！那就让暴风雨来的更强烈些吧，把事情变成事件，为了我的清白和名誉，我</t>
  </si>
  <si>
    <t>2019/10/02 00:11:37</t>
  </si>
  <si>
    <t>投诉人鲁先生投诉对象快捷通支付,杭州伟福科技有限公司涉诉金额299元问题类型诉求类型投诉详情未经本人同意，本人也没有签订任何代扣协议的情况下！更没有跟这个公司打过任何交道也没有任何往来！直接把我银行卡的钱扣走了！。</t>
  </si>
  <si>
    <t>2019/10/02 00:11:11</t>
  </si>
  <si>
    <t>安徽合肥岸香咖连水路店不让人离职，逼人自离，本人已经提前两个多月报备，员工手册写的是离职提前15天，难道员工手册只是一个摆设，，但是岸香咖啡不仅不体恤员工而且连走正常离职程序也一直不让办理，气愤的是已经提前两个多月报备领导也没用，现在病托的越来越严重了只好选择自离，第一步我只是投诉希望引起岸香集团高级领导层重视，如果得不到解决那就劳动局见。</t>
  </si>
  <si>
    <t>2019/10/02 00:11:07</t>
  </si>
  <si>
    <t>投诉人肖先生投诉对象中经汇通涉诉金额1990元问题类型诉求类型投诉详情我于2019年4月25日通过中经油马APP购买中经汇通电子商务有限公司的小马车主电子卡，使用至7月底发现油站无法使用，di*****a@chinaexpresscard.com，遂按中经汇通微信公众号公告退款方法于9月2日提出退款申请！但至今没有任何回复！投诉中经汇通不履行合约提供服务，要求解释原因并完成退款！。</t>
  </si>
  <si>
    <t>2019/10/02 00:06:39</t>
  </si>
  <si>
    <t>友缘在线，处处app诱导开通免密支付，在客服不知情恶意扣款99元做任务领话费，要求商家退回被扣款，改善此服务。</t>
  </si>
  <si>
    <t>2019/10/02 00:05:56</t>
  </si>
  <si>
    <t>投诉人 盘先生        投诉对象  成都安睿旺蜀网络科技有限公司        涉诉金额  198 元    问题类型    诉求类型投诉详情  成都安睿旺蜀网络科技有限公， 收费问题,恶意扣费</t>
  </si>
  <si>
    <t>2019/10/02 00:03:17</t>
  </si>
  <si>
    <t>张家界机场人员，说充值1980，可以有5000的余额，机票可以在上面买，还有会员价，结果是5000优惠券，一次只能抵扣30元，机票根本没有优惠，虚假宣传欺骗消费者，希望还我们一个公道。</t>
  </si>
  <si>
    <t>2019/10/02 00:03:08</t>
  </si>
  <si>
    <t>投诉人 孙先生        投诉对象  点心贷        涉诉金额  375 元    问题类型    诉求类型投诉详情  强制购买保险。直接算在贷款里面了。借一千现在要还一千五</t>
  </si>
  <si>
    <t>2019/10/02 00:01:26</t>
  </si>
  <si>
    <t>借款13500元，现已还10期共15359.6元，已超过本金1859.6元，现要求剩余2期减免不合理的利息并销账。</t>
  </si>
  <si>
    <t>2019/10/01 23:58:30</t>
  </si>
  <si>
    <t>2019/10/01 23:58:00</t>
  </si>
  <si>
    <t>投诉人杨云鹏投诉对象小铜钱涉诉金额299元问题类型诉求类型投诉详情未经本人允许直接扣除我银行卡里金额299元，黑猫投诉过，但是没有给我答复，回复我的就是玩文字游戏，推卸责任，我都没有下过app强行说我签过合同，希望能联系我退还我的金额。</t>
  </si>
  <si>
    <t>2019/10/01 23:57:26</t>
  </si>
  <si>
    <t>投诉人刘女士投诉对象期待科技,正德咨询涉诉金额10000元问题类型诉求类型投诉详情在期待合伙人借款11天提前还款收取服务费及违约金400元，显示账单已结清，后又有名叫正徳咨询的私自扣款750元。</t>
  </si>
  <si>
    <t>2019/10/01 23:56:08</t>
  </si>
  <si>
    <t>本人与团贷网3.28暴雷前，收到一笔还款8559元，归还在厦门银行个人存管账户里，当时我已发起提现申请但是，厦门银行没有及时到账，反而被冻结，迟迟不给解冻，目前我还欠国家开发银行助学贷款15000块没有还清，如果厦门银行还迟迟不给解冻，我没钱还款给国家开发银行，经过咨询律师，如果我不还款给国家开发银行会被上征信，导致我成为老赖，期望厦门银行给我解冻个人合法私有财产，来还国家开发银行的钱。</t>
  </si>
  <si>
    <t>2019/10/01 23:55:43</t>
  </si>
  <si>
    <t>贷上钱暴力催收，给通讯录好友打电话骚扰，对家里人进行侮辱，严重干扰身边人正常生活。</t>
  </si>
  <si>
    <t>2019/10/01 23:54:02</t>
  </si>
  <si>
    <t>投诉人 黄先生        投诉对象  拍拍贷        涉诉金额  1 200 元    问题类型    诉求类型投诉详情  我银行卡有钱 一直说我卡余额不足或强制逾期骗取逾期费</t>
  </si>
  <si>
    <t>2019/10/01 23:53:12</t>
  </si>
  <si>
    <t>2019年9月6日在信用管家APP申请了钱咖分期又名，借款3500元可以分期4期,下款成功才显示所谓的的4期就是一个月的4期，7天一个期限，一共要还4648元！！第一期还款1949.5元，剩余三期每次还款899.5元，本人已经还款3期，放款方主体为：北京无相创利科技有限公司通过天眼查北京无相创利科技有限公司的业务范围为：技术推广服务，企业依法自主选择经营项目，开展经营活动；依法须经批准的项目，经相关部门批准后依批准的内容开展经营活动；不得从事本市产业政策禁止和限制类项目的经营活动，《最高人民法院关于审理民间</t>
  </si>
  <si>
    <t>2019/10/01 23:50:43</t>
  </si>
  <si>
    <t>月月借高利贷，到账2200还3000多，还了三期已经远超本金，第四期不给销账，还款日还还不进去款，是要强制让借款人逾期再套路多收费！暴力催收，各种骚扰，没有逾期还骚扰我联系人！严重干扰正常生活！立借平台也不管！。</t>
  </si>
  <si>
    <t>2019/10/01 23:49:28</t>
  </si>
  <si>
    <t>在手机贷的平台上，导流到这个平台，上面有喵下贷，威力贷，菜鸟有钱，佑佑钱包，上面写着90天，月利息0.3%，填完资料就直接放款到银行卡，借款之前没有看到任何合同，放款成功以后发现到账1100还款1500，期限2天，今天到期，各种境外电话骚扰，恐吓，爆通讯录，严重影响个人生活和工作，实在被逼无奈，今天偿还了700元的利息，借款2200，2天的利息就700，请聚投诉平台关注此事。</t>
  </si>
  <si>
    <t>2019/10/01 23:49:18</t>
  </si>
  <si>
    <t>本人在玖富万卡共有三笔账单，第一笔到手金额3900，分12期，已经偿还了2784.25，目前平台还要我还1966.37，第二笔到手金额12000，24期已经还了6054.26，目前该平台还要我还12108.61，第三笔9600，分36期，已经还了2850.98，目前该平台要我还16639.2，我协商处理后，要我总共还19432.24，合同金额签订的金额如下，多出来要我还的2千是什么意思！今天我再次协商，要我还20400多，我不接受这个金额，说后续会有人联系我，就没有下文了。</t>
  </si>
  <si>
    <t>2019/10/01 23:46:36</t>
  </si>
  <si>
    <t>不是本人操作，非本人进行支付，望贵平台核实。</t>
  </si>
  <si>
    <t>2019/10/01 23:45:29</t>
  </si>
  <si>
    <t>本人于2017年8月在捷信业务员忽悠下贷了一笔现金贷，金额43000元，，我现在已经还了56000多了，现在想提前还款还要还19000已经远远超过本金和利息需要还的钱，如果在按分期还款还要再还2万多，但是这么高的利息实在让人难以接受，远远超过法律利率的36以上了，请贵公司给一个合理的解决方式，否则我会向银监会联名状告你们公司，向天津金融管理局，市场监督局举报你们，不给出一个合理的解决途径，钱我一分也不会还了，咋们就走法律途径来解决吧！。</t>
  </si>
  <si>
    <t>2019/10/01 23:35:59</t>
  </si>
  <si>
    <t>10月1日晚23：10收到农业银行的扣款提醒，“完成网银在线交易人民币-196.38”。</t>
  </si>
  <si>
    <t>2019/10/01 23:34:24</t>
  </si>
  <si>
    <t>本人今年四月二十一日在尚德机构报名，当时销售一名姓刘的老师打电话过来推荐我报名，说了一大堆好听的，考试不过是有退款的，我说我可能没时间在考虑考虑，实在不行也是可以退还一部分费用的然后说今年国家政策更新晚了话以后就没机会在学习了，然后我就被蛊惑的报了名，然后搞了他们一个易融咖啡的一个分期，给了身份证照片以后完全就是他们那单方面操作，说是AI不过退费又没看到任何相关的保险合同，，现在由于个人工作原因不想学了申请退坑不退，就说只能冻结课程和当初电话里说的完全不一样，完全把人当猴耍。</t>
  </si>
  <si>
    <t>2019/10/01 23:33:48</t>
  </si>
  <si>
    <t>投诉人韩策投诉对象来分期涉诉金额0元问题类型诉求类型投诉详情我在来分期商场租赁一个手机，后来买断，要求开发票，客服不予开票，还多次骚扰我，对我生活工作造成影响。</t>
  </si>
  <si>
    <t>2019/10/01 23:32:39</t>
  </si>
  <si>
    <t>投诉人叶先生投诉对象51人品涉诉金额8000元问题类型诉求类型投诉详情套路贷套路贷款人，还款额度里面含利息还有服务费，尤其是服务费比利息还高综合下来超过国家规定的利率，还有未尽本人同意盗取通讯录名单拨打亲朋好友电话。</t>
  </si>
  <si>
    <t>2019/10/01 23:32:34</t>
  </si>
  <si>
    <t>投诉人陈女士投诉对象享元金融涉诉金额6797元问题类型诉求类型投诉详情前几天微信享元金融加我，说可以贷款，2019.9.29就在享元金融申请借款，10多分钟借款就通过了，然后客服就叫我提现&amp;nbsp;，但是提现的时候叫我缴纳499的季度会员费，交了才能提现，我交了，后面又显示要交年度会员1498才能提现，客服说在第一次还款时，会员费就全额退还给我，交了后，提现密码给了，我点开看了，第一次没记住，第二次点开看，提现密码就看不了，显示说联系客服，客服说是我个人问题没记住密码，要再办理会员，重新给一个提现密码，说</t>
  </si>
  <si>
    <t>2019/10/01 23:31:44</t>
  </si>
  <si>
    <t>本人在工商银行的车贷卡，每个月20号-25号正常还款，上个月逾期的了四天，逾期费工商银行扣掉了，然后第五天，工商银行催收打电话让我还钱，还差240，我都还过了还让我还，没有打我电话，直接爆我联系人的电话，我都没接接到他电话，没有经过我同意就直接爆我联系人，还违规收费让我交240块逾期费，逾期费工商银行扣过了逾期费，怎么还要收费，不合理呀，工商银行违规收费，乱收费。</t>
  </si>
  <si>
    <t>2019/10/01 23:31:12</t>
  </si>
  <si>
    <t>投诉人 李先生        投诉对象  淘宝闲鱼        涉诉金额  102 元    问题类型    诉求类型投诉详情  我在咸鱼卖出的东西 买家自己选的货到了没有任何质量问题 直接就给我仲裁让给退回来 我这损失没人承担？ 有任何质量问题我二话不说给退 他自己原音 整一些没用的接口你们客服就给退了？ 没考虑我？</t>
  </si>
  <si>
    <t>2019/10/01 23:30:52</t>
  </si>
  <si>
    <t>投诉人 王先生        投诉对象  oppo        涉诉金额  0 元    问题类型    诉求类型投诉详情  严重质量问题 影响消费者利益 对品牌的质量严重怀疑</t>
  </si>
  <si>
    <t>2019/10/01 23:29:55</t>
  </si>
  <si>
    <t>投诉人张女士投诉对象BetterMe涉诉金额140元问题类型诉求类型投诉详情在未使用该app的情况下，未经本人同意验证，分两次扣款140元。</t>
  </si>
  <si>
    <t>2019/10/01 23:29:21</t>
  </si>
  <si>
    <t>我的账号手机已经长达一年多未使用，放款的银行卡也长达13个月没有一分流水，但是9月10号却说我申请了贷上钱的借款，我花了一年多才上岸，我疯了又跳下去，我想退还却要我多给60元利息和500元什么恶魔猎手的钻石购买钱，我觉得不合理，希望贷上钱的人能联系我解决一下。</t>
  </si>
  <si>
    <t>2019/10/01 23:28:22</t>
  </si>
  <si>
    <t>在平安普惠借了10万，给我转银行卡9万7，我现在已经还了12万了，按照他3年就的还190000，我实在还不起了，和他们协商他们不行，还给我上征信。</t>
  </si>
  <si>
    <t>2019/10/01 23:25:31</t>
  </si>
  <si>
    <t>联动云9.19可以使用芝麻分免押服务，可是客服说要二十个工作日才能退款，天天使用，无限延期二十个工作日，这一千元是不是就退不回来了，望联动云处理一下。</t>
  </si>
  <si>
    <t>2019/10/01 23:25:18</t>
  </si>
  <si>
    <t>本人因短时间资金问题出现逾期，省呗平台就这样了，希望严格查处。</t>
  </si>
  <si>
    <t>2019/10/01 23:25:00</t>
  </si>
  <si>
    <t>投诉人 王先生        投诉对象  oppo,广东欧珀移动有限公司        涉诉金额  0 元    问题类型    诉求类型投诉详情  OPPO r9s plus 有严重的质量问题</t>
  </si>
  <si>
    <t>2019/10/01 23:23:25</t>
  </si>
  <si>
    <t>淘手游下单后客服不接单，投诉也无人回复，不能退款。</t>
  </si>
  <si>
    <t>2019/10/01 23:22:33</t>
  </si>
  <si>
    <t>投诉人彭先生投诉对象好易借,合众财富,广州市渡林电子商务有限公司涉诉金额5500元问题类型诉求类型投诉详情变相高利贷，当时本人没看清这笔贷款一下来本人就申请取消了，好易贷不给本人取消，第一期没当时当时不了解是否可以协商怕逾期就还了，结果客服不肯协商现在到第二期还款期了，还款当天就不停骚扰本人身边家人朋友，且出口难听威胁本人，本人借5500元是想减轻一点生活压力，反到给他们套进去了，这等于套路了本人，让本来好好的生活让他们弄得非常不堪，本人诉求：1、本人可以一次性把5500借款按年利率最高36合理按日算付给你</t>
  </si>
  <si>
    <t>2019/10/01 23:22:28</t>
  </si>
  <si>
    <t>10月1日，苏宁客服打电话说是苏宁品鉴会，免费领取多功能扫地机，到达迎泽区桥头街二号宁化府醋厂对面苏宁易购，，还有一个据说是厂家生产专门为这次活动的一个回飞锅，然而惠而浦官网根本找不到食材清洗机和破壁料理机的相关信息，京东淘宝也没有相关产品，后来在网上查询，这几款产品均为“苏宁答谢会”的产品，销量均为零，原价6999元，现价3980元，经网上查询这骗局已持续好几个月了，因为有苏宁品牌的背书，所以相信了产品的宣传，但没想到会被骗。</t>
  </si>
  <si>
    <t>2019/10/01 23:21:21</t>
  </si>
  <si>
    <t>投诉人 刘乾龙        投诉对象  刀锋网络科技有限公司,租号玩        涉诉金额  25 元    问题类型    诉求类型投诉详情  客服冰冰制裁错误。申诉也没有用。失败。找客服让我找仲裁员。找他半天不回复信息的。</t>
  </si>
  <si>
    <t>2019/10/01 23:20:36</t>
  </si>
  <si>
    <t>我下载了app，点进借款详情，写的明明是我没有任何借款记录，凭什么扣我的钱。</t>
  </si>
  <si>
    <t>2019/10/01 23:20:06</t>
  </si>
  <si>
    <t>投诉人 李先生        投诉对象  微博借钱        涉诉金额  7 800 元    问题类型    诉求类型投诉详情  在微博借钱7800元 由于最近资金周转不开 逾期了9天 微博借钱就盗取我的个人信息 对我的朋友进行轰炸 骚扰等 这个钱我没有说不还 只是最近实在是周转不开</t>
  </si>
  <si>
    <t>2019/10/01 23:18:59</t>
  </si>
  <si>
    <t>非本人借款，一直跟我打骚扰电话，我又不欠你钱。</t>
  </si>
  <si>
    <t>2019/10/01 23:18:49</t>
  </si>
  <si>
    <t>投诉人刘先生投诉对象融信涉诉金额27050元问题类型诉求类型投诉详情8月2日本人在美团e借呗app里借款，向该平台借款3万，该平台声称要支付1200元工本费，合同到期后退还，支付工本费后，又说操作越时需要7500元激活才能借到钱，先后支付激活款共26050元，激活成功后又说需等7至15天退回，并可放款，等到十多天后，己进不了该平台了，该平台全称为美团e借呗金融信息服务有限公司，注册地址为北京市西城区金城坊街2号楼04层402，但我扫码的地址都是甘肃省庆阳市西峰区的，希望聚投诉能给予帮助。</t>
  </si>
  <si>
    <t>2019/10/01 23:16:56</t>
  </si>
  <si>
    <t>本人浦发银行卡，从未签订代扣协议，今晚8点24分收到付款信息，政通股份直接从银行卡里扣除461.52元…请问未经本人同意，这算是违法吗。</t>
  </si>
  <si>
    <t>2019/10/01 23:16:53</t>
  </si>
  <si>
    <t>投诉人刘先生投诉对象中金支付涉诉金额1099元问题类型诉求类型投诉详情9月28号凌晨1点，我的工商银行收到扣款1099元的短信，显示是中金支付鸿飞担保，按照短信的客服打过去，并没有该款项的详细信息，怀疑是恶意盗刷，要求退款并取消代扣协议。</t>
  </si>
  <si>
    <t>2019/10/01 23:15:01</t>
  </si>
  <si>
    <t>高炮，要求退还所有款项，并且做出处理，打击高利贷。</t>
  </si>
  <si>
    <t>2019/10/01 23:14:47</t>
  </si>
  <si>
    <t>连续十多天都提示打款失败，每次连续客服都说是银行反馈打款失败，建议换卡重新申请，联系十几天都是这样换了三家银行银行卡都打款失败，有点敷衍了事！。</t>
  </si>
  <si>
    <t>2019/10/01 23:14:38</t>
  </si>
  <si>
    <t>及贷还款第八期，因本人生病住院做手术两个月没上班，暂无法还款，望延期还款，之前都是按时还款，逾期一天也接了电话，直接催收打家里人电话，并且微信威胁恐吓要起诉我，没有表示不还，并且私自获取通讯录电话一直骚扰，并且恐吓如果不还加大力度骚扰家人，烦请协商，并且利息已超36%，并且要求协商还款金额。</t>
  </si>
  <si>
    <t>2019/10/01 23:14:05</t>
  </si>
  <si>
    <t>贷款8900元还12096元贷款18000元还24615元还砍了头息。</t>
  </si>
  <si>
    <t>本人在淘宝信用好，但是在淘宝正常购买商品期间的时候遇到点问题，一直在买东西的时候，每家商家都是未能发货把钱退给我，反反复复的购买退款，导致淘宝对我存在误解限制我的账号说我滥用购买商品申请退款，这个本来就是商家自己没货退给我的，搞的像我这个消费者做了什么错事一样。</t>
  </si>
  <si>
    <t>2019/10/01 23:13:23</t>
  </si>
  <si>
    <t>投诉人刘先生投诉对象买单侠涉诉金额1200元问题类型诉求类型投诉详情我借款12000元，到账10800，其中1200元被买单侠暗中在我不知情的情况下在汇中保险经纪买了1200的保险，我实际到账10800，分6期还款，按照国家利息的话，我等于借10800，分6期要还14154元，6个月3300多的利息，我强烈要求，买单侠退还我1200元的保险费，不然我一分不会还款，同时我会打电话举报这家叫汇中保险经纪的保险公司。</t>
  </si>
  <si>
    <t>2019/10/01 23:12:36</t>
  </si>
  <si>
    <t>投诉人刘先生投诉对象京东支付涉诉金额1200元问题类型诉求类型投诉详情我在买单侠现金分期借款12000元，到账12000元，被京东支付秒支付1200元给一家叫汇中保险经纪的公司买保险，京东支付给高利贷买单侠提供代扣，买单侠分期12000被京东支付买保险1200元，到账10800元，一期还款2359.99元，分6期还完，一共要还14154元，严重超出国家利息标准，京东为高利贷提供代扣违法支付，明天我要去市公安局扫黑办报警，难道京东现在也参与高利贷非法放贷了。</t>
  </si>
  <si>
    <t>2019/10/01 23:12:14</t>
  </si>
  <si>
    <t>投诉人 吴女士        投诉对象  毒APP        涉诉金额  5 元    问题类型    诉求类型投诉详情  我鉴定了两个 第一个免费的 第二个要五元 我这鞋子买的是7百多 刚到的时候上面有商标 我穿了一段时间 在毒app上鉴定了一下 结果竟然是假的？ 你家假鞋上面有商标？？</t>
  </si>
  <si>
    <t>2019/10/01 23:10:48</t>
  </si>
  <si>
    <t>投诉人 吴先生        投诉对象  及贷        涉诉金额  3 000 元    问题类型    诉求类型投诉详情  及贷平台客服处理不行，不让我注销账户，。。</t>
  </si>
  <si>
    <t>2019/10/01 23:10:30</t>
  </si>
  <si>
    <t>钱站借2000.到账2000不到，三期要还2千8百多，虚假合同又写着借款2660，套路虚假，这不抢钱！。</t>
  </si>
  <si>
    <t>2019/10/01 23:09:40</t>
  </si>
  <si>
    <t>收取高额手续费，利息高达百分之36，要合同不给，说没有合同只有费用说明。</t>
  </si>
  <si>
    <t>2019/10/01 23:09:04</t>
  </si>
  <si>
    <t>12月21日，在我准备在合肥新桥机场登机的时候，被民航通工作人员推销，本人误以为是机场工作人员，被诱导误办理会员卡，该工作人员声称说是通过民航通旗下民航联盟平台买机票可以有低价机票，比飞猪等平台购票更划算，还有好多机场可以享受优先服务和贵宾服务等，冲1698元可得5000元的额度，但后来发现该工作人员所说与实际不符，多次购票时，对比民航联盟和飞猪等平台机票价格，发现民航通价格比其他正常订单网站买下来还高；而且有好多机场贵宾服务无法提供，故民航通工作人员存在诱导欺骗消费者，投诉请求该平台返还会员卡办理费用16</t>
  </si>
  <si>
    <t>2019/10/01 23:07:10</t>
  </si>
  <si>
    <t>投诉人荆先生投诉对象江苏友趣网络科技有限公司涉诉金额30元问题类型诉求类型投诉详情付费与试用效果不一样拒不退款，霸王条款不退费用，尝试换了多个加速节点与模式游戏还是频繁掉线。</t>
  </si>
  <si>
    <t>2019/10/01 23:07:08</t>
  </si>
  <si>
    <t>图1和图2为两个购买的订单！！可以看标题确认商家标注的是美码！页面尺码是参考美码的！美码英文标识是US！通过图一图二可知我买了两双美码5.5的，两双美码5的！，可是我实际收到的鞋子尺码为图3和图4！！可以知道尺码全都发错了！于是我在第一时间联系了客服，客服说要核实，第二天联系我告知是他们弄错了，美码发成了英码，英码标识为UK，发错尺码了！可知是考拉海淘的责任导致的这个售后问题！于是我提出换货，可是考拉海购客服告知是保税仓物品不能换，但是可以在原链接重新拍下补差价按照原来的价格给我，就是换一种方式换货，可是原</t>
  </si>
  <si>
    <t>2019/10/01 23:05:16</t>
  </si>
  <si>
    <t>投诉人关女士投诉对象Jieyoumofa20涉诉金额300元问题类型诉求类型投诉详情卖家通过闲鱼发布商品，我因为比较忙，工作期间只能微信，微信沟通产品，结果发现全程下来，和我平时沟通的根本不一样，卖家无任何解释，态度恶劣，也不理人，甚至到最后还侮辱人。</t>
  </si>
  <si>
    <t>2019/10/01 23:03:33</t>
  </si>
  <si>
    <t>投诉人 陶先生        投诉对象  拍拍贷        涉诉金额  400 元    问题类型    诉求类型投诉详情  暴力催收，恐吓辱骂，骚扰家人 希望只给自己打电话</t>
  </si>
  <si>
    <t>2019/10/01 23:02:50</t>
  </si>
  <si>
    <t>投诉人 邓先生        投诉对象  随手记        涉诉金额  1 200 元    问题类型    诉求类型投诉详情  到账秒扣1200。 违规、变相收取砍头息，</t>
  </si>
  <si>
    <t>2019/10/01 22:59:03</t>
  </si>
  <si>
    <t>投诉人曲女士投诉对象苹果公司,支付宝,建设银行信用卡涉诉金额12662元问题类型诉求类型投诉详情本人2019年9月8日为在Applestore购买软件大约在下午15时15分左右绑定支付宝，随后因工作搁置手机，随后15时32分至16时12分之间产生23笔交易，共计盗刷本人支付宝花呗及建设信用卡费用共计12662元，充值到一款名为“人生若只如初见”的游戏，本人于下午1700左右发现并立即取消支付宝付款方式，晚上登录本人AppleID后一分钟内被异地修改密码强制退出本人账号，自此账号无法登录，多次联系苹果账号安全</t>
  </si>
  <si>
    <t>2019/10/01 22:58:56</t>
  </si>
  <si>
    <t>9月1日结清，由于资金周转问题再次复借，依然是1600元只到账1152元，强行收取448元购买同程会员，今天是最后一期还款日，早上打电话我在上班不方便接，让他们加我微信等我下班处理，六点多的时候我在微信和他们工作人员协商减免事宜，该客服人员态度强硬只减免200元，也就是还要我还616元，两次借款总金额3200元，实际到账只有2304元，已经还款2448元，从8.11号到10.1号，总共51天时间，你们却要收取六百多利息，本人今日于客服协商还款失败，只能求助聚投诉平台，希望帮忙转达，如果发生骚扰联系人，发骚扰</t>
  </si>
  <si>
    <t>2019/10/01 22:57:19</t>
  </si>
  <si>
    <t>本人在拼多多平台购买床垫95元，没有使用多久床垫就严重起毛团，我就找商家协商处理，商家老拖着不给处理，后来我申请拼多多平能介入协助我处理问题，但是拼多多处理专员态度很傲慢，也不给处理，请聚投会督促拼多多实质性解决问题，谢谢！！！。</t>
  </si>
  <si>
    <t>2019/10/01 22:56:57</t>
  </si>
  <si>
    <t>就是微信用微信支付转了几次帐，开通了微信小账本，就给我冻结了，也不知道为什么，说我违反了支付协议。</t>
  </si>
  <si>
    <t>2019/10/01 22:54:22</t>
  </si>
  <si>
    <t>购买了五斤梭子蟹，收到货全部变质且发臭，与商家沟通无果，平台不予全额退款，且不与商家沟通，完全不负责任的平台。</t>
  </si>
  <si>
    <t>2019/10/01 22:53:46</t>
  </si>
  <si>
    <t>投诉人陆先生投诉对象转转涉诉金额699元问题类型诉求类型投诉详情笔记本本根本玩不了游戏，3开游戏cpu都95度以上了，介绍上说的5开梦幻一点问题没有的！卖家态度及其恶劣！。</t>
  </si>
  <si>
    <t>2019/10/01 22:52:20</t>
  </si>
  <si>
    <t>投诉人邢先生投诉对象小通商城涉诉金额383元问题类型诉求类型投诉详情2019.10.1日18:55银行卡北小通商城无故扣费两次总计382.99元，当时本人手机不在身边并无操作，不清楚扣的是什么钱，也并无关系，为何会从卡上把钱划走，网上查阅后都显示的盗刷，也有人在这个平台投诉过，希望做出解释。</t>
  </si>
  <si>
    <t>2019/10/01 22:51:08</t>
  </si>
  <si>
    <t>工作人员说三万结清倒是现在都还没有处理麻烦钱站给给解释马上结清，8月工作人员已经说三万结清，然后就扣期款九月又来骗吗，到现在还没有处理还让钱在卡上为什么扣期款不是结清，如果还是这样以后钱就不还了。</t>
  </si>
  <si>
    <t>2019/10/01 22:51:03</t>
  </si>
  <si>
    <t>投诉人檀先生投诉对象自由摩卡,六便士涉诉金额2000元问题类型诉求类型投诉详情六便士老头子，借款2000，需要540买卡，一个月之后还2000多，我已经用过好几次了，利息加起来也已经超过本金了，要求赔偿砍头息，或者销账，惩黑除恶，希望聚投诉能找回公道，暂时出差在外地，希望过几天有人联系我解决，下面附图。</t>
  </si>
  <si>
    <t>2019/10/01 22:51:01</t>
  </si>
  <si>
    <t>投诉人石雪峰投诉对象探探涉诉金额48元问题类型诉求类型投诉详情探探软件绑定微信未经本人允许私自扣除会员费。</t>
  </si>
  <si>
    <t>2019/10/01 22:50:51</t>
  </si>
  <si>
    <t>投诉人王先生投诉对象淘宝网涉诉金额26元问题类型诉求类型投诉详情我在淘宝买棵橘子树死了，商家说八月份给我补发的，现在商家联系不上了，淘宝客服说他们也不管了。</t>
  </si>
  <si>
    <t>2019/10/01 22:50:49</t>
  </si>
  <si>
    <t>6月28日，我按照之前约好的时间中午2点到达位于武汉我主良缘罗湖分公司，然后她不停的游说套取我的财产情况，看到我的经济情况，特殊跟公司总监申请了按优惠价20000元，还说可以等介绍成功后可以让未来的男朋友帮你支付什么的，我反复强调我对个人信息非常敏感，要求保密，不能外泄，对方说让我放心，资料是非常安全的，一直聊到下午五点，以后有合适的再说第二个是一个研究所的，也是加了微信没联系，黄就不说话了，我后续问了句，要不要删了那个男的微信，他说人家不联系我是因为没意愿交往，可以不删微信当个朋友，这次见面时黄对我第二次</t>
  </si>
  <si>
    <t>2019/10/01 22:49:27</t>
  </si>
  <si>
    <t>本人9月30日13：00之13：02分之间被盗刷7226元，包括11笔648元以及1笔98元，本人立刻终止了付款方式，随后仍然有大量的648元订单在排队，期间苹果公司未作出任何终止行为，随后13:04分收到苹果公司的邮件提醒我苹果ID在之前从未使用过的设备上登录并下载了APP，随后本人报警立案，拨打支付宝客服，支付宝客服以本人开通免密支付为由将责任推脱给苹果公司，随后本人拨打了苹果公司客服电话共计7次，客服人员从1线转至2线部门，然后再转至部门主管，均口头表示很愿意帮助，但是以系统不通过退款为由拒绝了退款，</t>
  </si>
  <si>
    <t>2019/10/01 22:48:57</t>
  </si>
  <si>
    <t>给我发信息让我申请的，2400到账1600，昨天到期，在上班没有接到电话，来了好几遍电话让还款，不知道这么高的利息，超过了国家的标准，发信息恐吓威胁让我还款，今天轰炸我电话，一直轰炸，到现在还有人骚扰，没有有关部门能管理吗。</t>
  </si>
  <si>
    <t>2019/10/01 22:48:53</t>
  </si>
  <si>
    <t>2019/10/01 22:48:51</t>
  </si>
  <si>
    <t>领取免费试用会员的时候并没有明确说要自动续费高额会员，利用消费者不注意或者忙于工作忘记取消霸王扣费，而且还是大额扣费，找了很久也没有明确说明如何取消自动续费，扣费前也没有任何通知，消费者根本没有考虑的时间和余地，就被莫名其妙扣掉了328元，如果你推出三天免费会员，消费者觉得好用，她自然是会续费的，但我绝不接受在毫无通知毫无提醒的情况下的霸王扣方式，希望有关部门尽快处理，并全额退款，扣费以来我也没有使用过会员模板，我希望不要各种拖延找借口，否则会走法律途径。</t>
  </si>
  <si>
    <t>2019/10/01 22:48:46</t>
  </si>
  <si>
    <t>投诉人陈女士投诉对象智行涉诉金额0元问题类型诉求类型投诉详情本人原智行账号绑定手机号159******98已停用，希望注销该账号并解绑该账号相关12306信息，但客户端并无渠道，在线客服也没有有效回应，若手机号被其他人获得，便能得到我原智行账号上所有乘车人身份证号等个人信息，造成极大风险，在此要求智行为用户提供注销账号并解除12306绑定服务，请尽快处理。</t>
  </si>
  <si>
    <t>2019/10/01 22:48:41</t>
  </si>
  <si>
    <t>借款额度1200，完成借款后，借款合同变成2100。</t>
  </si>
  <si>
    <t>2019/10/01 22:47:20</t>
  </si>
  <si>
    <t>买的东西没收到，和商家核实了，商家都愿意退款，拼多多平台驳回，不给退款，我想要回自己的钱。</t>
  </si>
  <si>
    <t>2019/10/01 22:46:00</t>
  </si>
  <si>
    <t>京东白条软暴力，违规催收，霸王条款，公司规定大过我国法律法规，京东白条委托第三方催收公司打电话让我明天九点必须回户籍所在地协助调查我说我在外地过几天吧！催收人员说我不管你在没在家，你不在家我就去联系你的家人，我连夜的火车赶紧往家赶，然后我给京东白条客服打电话来核实上门催收人员信息京东白条客服说查不到，我想问一下你们东京委托的什么公司和上门催收的人员你们自己都不知道让我怎么能安心的和他协商，我都怕催收人员冒充派出所的人员把我带走，心里很害怕，然后我就去投诉京东白条的客服了今天居然给我打电话说，你逾期我们公司就</t>
  </si>
  <si>
    <t>2019/10/01 22:44:44</t>
  </si>
  <si>
    <t>投诉人张先生投诉对象交易猫涉诉金额70元问题类型诉求类型投诉详情在交易猫平台购买帐号然后开始换绑定的时候，客服不理人不见了联系不到也退不了款。</t>
  </si>
  <si>
    <t>2019/10/01 22:41:44</t>
  </si>
  <si>
    <t>投诉人 樊女士        投诉对象  你我贷        涉诉金额  8 000 元    问题类型    诉求类型投诉详情  上面显示三天不收越期费 可是刚到三天 还款时 本来是还1900 可是显示我要还3000多 这是什么 这不是骗人吗 这还不算高利贷吗 越期三天一千多的越期费 问题是上面说了三天以内 没有越期费</t>
  </si>
  <si>
    <t>2019/10/01 22:40:13</t>
  </si>
  <si>
    <t>投诉人 肖先生        投诉对象  多宝分期        涉诉金额  1 500 元    问题类型    诉求类型投诉详情  无法正常还款 强制被逾期 还款一直失败 卡里有钱不扣</t>
  </si>
  <si>
    <t>2019/10/01 22:38:42</t>
  </si>
  <si>
    <t>钱站APP申请借款审批额度4200实际到账金额3000元，分3个月还每期还款1480，利息高的吓人，现提出提前结清实际到账金额，不予受理联系客服多次也不理睬，暴力催收，欺骗。</t>
  </si>
  <si>
    <t>2019/10/01 22:38:34</t>
  </si>
  <si>
    <t>投诉人吴女士投诉对象宜人贷涉诉金额98000元问题类型诉求类型投诉详情2018年3月，因个人资金原因在宜人贷追加贷！合同金额80705.88元，实际到账68600元，收取服务费12010.88元！！两年总共要求还款97787元！！！现在每月还4050.29远！我已经还了19期，共计76955.51元！！！远远本金已经还完，而且是等额本息。</t>
  </si>
  <si>
    <t>2019/10/01 22:38:24</t>
  </si>
  <si>
    <t>我在qq账号1270303999上购买了qq会员，腾讯视频会员等服务，结果现在腾讯把我的账号进行了封禁直接导致我不能使用腾讯视频会员等服务，并且我的账号内有很多有价值的道具和未体现金额，现在都不能进行操作。</t>
  </si>
  <si>
    <t>2019/10/01 22:36:06</t>
  </si>
  <si>
    <t>信用极好的wang842088009做地推，按照其引导加微信，9月3号按他指引通过支付宝付款500元地推，因为对方芝麻信用极高而且是支付宝收款码收款，所以当时就放心的付款了，到5号一个都没有执行，微信和闲鱼沟通对方均不回复，投诉，并截取了所有举证截图，支付宝对此订单投诉敷衍了事，后来通过闲鱼继续投诉，其店铺下架了所有商品，也就佐证了违规行径，但是支付宝和闲鱼任何一方没有对其惩罚，也没有退回我的500元，并且连回访调查都没有，到今天10月1号，仍旧没有收到任何真正结果信息，支付宝、芝麻和闲鱼都有其实名信息，而</t>
  </si>
  <si>
    <t>2019/10/01 22:33:55</t>
  </si>
  <si>
    <t>360安全个屁云盘，2015年开始用的这个垃圾软件，当时云盘里就属于百度云盘和这个360两家，那时候不知道哪根筋抽了，每次拍照都选择用360云盘存，当初广告打的很牛逼，永久免费，特安全，我整个高中的回忆全在这个360里面，高中学业繁忙，也就是在这几年，这个狗屁平台说什么停止服务，那时候也没注意，后面就开始收费开会员才能下载，现在上了大学，感觉回忆和那一百多块钱相比，还是回忆更重要，就开了会员，这事情本来可以愉快地结束的，我特码越说越气，这图片找回也找回不了，下载十几二十次总说什么超时，就流量，wifi，，网</t>
  </si>
  <si>
    <t>2019/10/01 22:33:39</t>
  </si>
  <si>
    <t>19年10月1号本人述说所属事情，如有虚假愿承担法律责任今天接到一个贷款平台电话，加了qq发给我一个他们的代办客服，下载了他们平台的APP按照他们的程序操作，平台借款申请有4万的金额，需要我给宋权打所谓包装费用2400才能提现，我转账过去了，我问工作人员情况后，说是我申请的钱提现因为账户信息出现错误存在恶意申请网贷，在监管部门那边要解冻才能提现，因为我银行账户填写错误需要公司跟监管部门报备说客户资料填写错误，让我再转1.2万进去解冻，不然说我已经申请的4万元，每个月按照分期都会从我身份证绑定的银行卡里扣，并</t>
  </si>
  <si>
    <t>2019/10/01 22:30:57</t>
  </si>
  <si>
    <t>京东无法提供售后及退换货服务，可于10月2日上门收货，由京东返回苹果，但返回苹果日期在10月2日之后，超出一年维保期限，后续费用客户自理，在客户追问维修费用详情后，京东要求客户10月2日联系苹果官方自行维修，并提供售后服务”条款，因手表故障在1年维保期内，由京东提供售后服务，本次维修产生的费用由京东支付，与客户无关，如京东认定需客户自行联系厂商进行维修服务，请京东支付客户往返苹果商店费用，并取消商城页面“由。</t>
  </si>
  <si>
    <t>2019/10/01 22:28:49</t>
  </si>
  <si>
    <t>，其宣传页面均未提及“下载限速”、“下载限量”或类似宣传语，咨询客服后收到答复“每天使用总量前200G提供高速流量，超过200G部分将单个文件的下载速率调整为50kb/s”，该类似的表达在http://cloud.189.cn/vipMain.action页面和移动端APP显示的用户协议里均找不到相同或相似的描述。</t>
  </si>
  <si>
    <t>2019/10/01 22:27:37</t>
  </si>
  <si>
    <t>钱站APP借款4200实际到账3000元，分3个月没期还款1480，高利息，暴力催收。</t>
  </si>
  <si>
    <t>2019/10/01 22:27:31</t>
  </si>
  <si>
    <t>投诉人聂先生投诉对象友缘在线涉诉金额168元问题类型诉求类型投诉详情这个APP打着交友的幌子诱导开通免密支付，在没经过任何同意的情况下连着扣走了我99和69元，希望能帮我讨回公道，曝光这种骗子公司让它早日倒闭别再祸害别人。</t>
  </si>
  <si>
    <t>2019/10/01 22:27:24</t>
  </si>
  <si>
    <t>9月30日，到天津美莱医院口腔科咨询牙齿矫正，在咨询师建议下拍摄口腔全景片，交费用220元，然后在医生的建议下最后选择了时代天使隐形矫正，取了牙模，交了押金3680元，第二天，2019年10月1日，我早上起床后发现牙龈肿痛，担心被感染了，于是联系美莱咨询师要求退款,不继续矫正了，当天下午到其门店后，咨询师和经理相互推脱，最后主治医生接受我不继续矫正，其经理和咨询师核算，欺骗我说我的费用总计是5000多，居然还要我交钱，在其经理的欺骗和吹嘘下，我听取了折中处理，他们给我洗牙继续观察牙齿情况是否要继续，回家后我</t>
  </si>
  <si>
    <t>2019/10/01 22:26:55</t>
  </si>
  <si>
    <t>投诉人杨永东投诉对象友缘在线涉诉金额168元问题类型诉求类型投诉详情友缘在线旗下app处处本人第一次使用这个app账号完全是系统自己临时给的未注册电话身份证证件等资料在本人点开一个类似三元开通会员的标题后自动进去支付宝页面支付宝页面并未显示扣款或者金额本人以为不是扣款就输入了支付宝密码之后返回app再次点击三元会员的界面后竟在此app上扣除本人支付宝金额168元找支付宝和此app客服联系未果本人严重要求退款在我不知情未经同意的情况下扣取我支付宝金额！。</t>
  </si>
  <si>
    <t>合利宝支付与高利贷套路贷平台合作扣款，违规提供支付通道，违反非银行支付机构的相应条例，要求合利宝退还该笔砍头息900元。</t>
  </si>
  <si>
    <t>2019/10/01 22:23:55</t>
  </si>
  <si>
    <t>投诉人关女士投诉对象拼多多涉诉金额17元问题类型诉求类型投诉详情拼多多我很久以前绑定了支付宝免密支付，然后很久没没有用，这些天打开支付宝就收到花呗扣款通知，点开是拼多多免密支付扣的款，我也没有买东西，不知道款是在哪方面扣的。</t>
  </si>
  <si>
    <t>2019/10/01 22:23:13</t>
  </si>
  <si>
    <t>每天威胁恐吓我的家人，同事，朋友，暴力催收。</t>
  </si>
  <si>
    <t>2019/10/01 22:20:11</t>
  </si>
  <si>
    <t>本人在途虎购买火花塞更换后的出现抖动怠速不稳定，我马上更换点火线圈，在不到3个月的又出现抖动，维修人员轻轻一拧火花塞断在缸体内敛接着连续断了3根，人为不可能一次性造成3根都断在缸内，找人取火花塞头取了几个小时，以及更换新火花塞，前后花了1200多。</t>
  </si>
  <si>
    <t>2019/10/01 22:18:59</t>
  </si>
  <si>
    <t>约虾软件试用了一下没用，就卸载了，但是仍然继续每天向我的手机推送约会信息，太讨厌了，请停止推送！。</t>
  </si>
  <si>
    <t>2019/10/01 22:18:35</t>
  </si>
  <si>
    <t>后有购票优惠，但是解释并不详细，购票后才知道虽然首单返现，还得按照app的要求在上面住酒店，并且没有首单返现，实际上并未享受到任何VIP，购票界面的会员借读避重就轻，只说好的，诱导消费，且在并没有使用到任何智行APP优惠的情况下不予会员退订，欺骗消费者！！！。</t>
  </si>
  <si>
    <t>2019/10/01 22:16:42</t>
  </si>
  <si>
    <t>2020年6.8日在杭州一个手机门店里面用捷信分期了一台3000块的手机，我本来想分3或者6期但是工作人员说只有12期能给分，我就跟他说要提前还款，他说三个月后打电话给公司就能还完了，我说首付1000他还说可以少点一百块钱就可以给我办，但是我想着多给点早点分完，然后就一直等到十月份打了电话4000271262联系说提前还款必须要提前申请，今天打电话明年1.8号才能一次还完，当时我明明说了要提前还款，现在又这样子说联系当时工作人员也处理不了，这算不算欺骗消费者，当时明明承诺说打个电话就完事了现在还要产生3个月</t>
  </si>
  <si>
    <t>2019/10/01 22:15:22</t>
  </si>
  <si>
    <t>我未在贵公司有贷款业务，结果打电话骚扰家人，威胁邻居，威胁我和肚子里的胎儿，说话难听刺耳。</t>
  </si>
  <si>
    <t>2019/10/01 22:13:03</t>
  </si>
  <si>
    <t>投诉人邢女士投诉对象拼多多涉诉金额1990元问题类型诉求类型投诉详情未收到实物，商家承认发错货了，同意给我退款，但是拼多多平台不给我退。</t>
  </si>
  <si>
    <t>2019/10/01 22:12:42</t>
  </si>
  <si>
    <t>投诉人 徐先生        投诉对象  上海造艺网络技术有限公司        涉诉金额  299 元    问题类型    诉求类型投诉详情  在本人不知情的情况下扣除银行卡余额</t>
  </si>
  <si>
    <t>2019/10/01 22:11:26</t>
  </si>
  <si>
    <t>因国庆原因工资未能正常到账，希望贵公司可以让我逾期6天还款，产生的逾期费用我会正常支付，希望贵公司催收不要骚扰我和我的家人。</t>
  </si>
  <si>
    <t>2019/10/01 22:10:13</t>
  </si>
  <si>
    <t>今天晚上6点多接到一个电话说是金鹰钱包派来催收的，而且据我查询已经10几个人跟我一样的情况了。</t>
  </si>
  <si>
    <t>2019/10/01 22:10:12</t>
  </si>
  <si>
    <t>投诉人黎先生投诉对象银盛支付涉诉金额299元问题类型诉求类型投诉详情盛pos机销售人员办理信用卡为由忽悠我买刷卡机，他说百分之百可以办下来，说人工审核，然后用我的信用卡刷了299元，他说信用卡下来可以退，可是信用卡没有下来，当时他还说我的信用卡已经下来叫我去银行面签，然后我打信用卡客服问，信用卡客服说信用卡没有通过，现在他们盛ops机客服电话打不通，。</t>
  </si>
  <si>
    <t>2019/10/01 22:10:09</t>
  </si>
  <si>
    <t>投诉人郝先生投诉对象及时钱包,金运通支付涉诉金额2000元问题类型诉求类型投诉详情本人在及时钱包借钱二次、2000元到帐1560元、砍头息450元、第一次平台提前2天扣款、这次2号到期、29号催收提醒还款、因为我工资10号发、希望聚投诉帮忙协商至10号还款、免除逾期费用。</t>
  </si>
  <si>
    <t>2019/10/01 22:09:38</t>
  </si>
  <si>
    <t>本人9月2号在钱站借了24000块，合同金额却是31680块，分12期还每一期还大概3300元，12个月一共还了接近40000元，要求退还多余本金！！！不然一直投诉到底！所有信贷投诉量最大的一家公司，没必要再听其解释太多，作为一家在香港挂牌的被撤回的上市公司，哎真的是耻辱啊，希望有关部门介入调查，打击高利贷，维护正义。</t>
  </si>
  <si>
    <t>2019/10/01 22:05:43</t>
  </si>
  <si>
    <t>投诉人由先生投诉对象杭州伟福科技有限公司乱扣涉诉金额299元问题类型诉求类型投诉详情贷款乱收费，我什么也没点开，储蓄卡里就扣了我299元。</t>
  </si>
  <si>
    <t>2019/10/01 22:05:37</t>
  </si>
  <si>
    <t>由于急用钱，借了维信卡卡贷的代还信用卡金额12000元，提示到账后要在储蓄卡里扣款800元，不明白为什么要扣我的这个钱，正常的利息我可以接受，到是800的什么担保费用不明白，希望退还处理！。</t>
  </si>
  <si>
    <t>2019/10/01 22:04:13</t>
  </si>
  <si>
    <t>投诉人刘先生投诉对象微信支付涉诉金额18400元问题类型诉求类型投诉详情要求关闭我爸的微信支付，自己我爸接触网络后，懂的使用微信，这两年我爸被广州三石文化传媒有限公司古董交易骗取服务费18840元，通过微信支付转账给对方公司，搞的现在一家人不和睦，一家人怕我爸会再次通过微信转账给对方，所以请求腾讯公司关闭我爸的微信支付使用，我爸的微信号是159******58.刘长财，身份证号3****************3，我爸微信零钱就退回到他银行卡，我的微信186******63，刘文辉，3***********</t>
  </si>
  <si>
    <t>2019/10/01 22:03:15</t>
  </si>
  <si>
    <t>本人9月21号在京东app参与以旧换新，把自己的iphone8plus估价3380，中途出现了手机在快递员手中几天没有发货，快递物流丢失，单号合并等多种问题.，最后爱回收收到手机后只付给我1490元，与承诺价格相差数额巨大.要求爱回收给这一系列事件作出合理解释并举行合同.。</t>
  </si>
  <si>
    <t>2019/10/01 21:59:07</t>
  </si>
  <si>
    <t>去年10月份左右接到上海拍拍贷电话说我可以贷款2万块钱.当时刚刚好要用，我就下载注册看了一下，实际给我额度是2000，我说2000我就不借了，工作人员说后面会涨额度，并且额度可以循环使用，后来我就申请了，结果就是一直没有给我循环额度，利息达到35%之多，我借了2000.还了11期每期226.还有1期没还，2000一年时间利息712，你们的钱怎么那么好挣，你们虚假宣传，有额度借不到，说涨额度也是骗人，我重来没有逾期过，但我觉得你们欺骗我，我决定最后一期不还了。</t>
  </si>
  <si>
    <t>2019/10/01 21:58:40</t>
  </si>
  <si>
    <t>投诉人李先生投诉对象钱站,爱钱进涉诉金额2000元问题类型诉求类型投诉详情钱站app当时从他们那借款2000让分3个月还款，第一个月还936.67，第二个月还933.12，第三个月还936.66，共还款金额2806.45元，利息806.45元严重超过国家规定利率，要求做出解释。</t>
  </si>
  <si>
    <t>2019/10/01 21:58:30</t>
  </si>
  <si>
    <t>在九月四号，在河南郑州二阳电动车行，购买了一辆电动车，价值2800，买的时候说加100块钱可以换黑金电池，最少跑80公里，也换了，使用过程中发现实际里程只有65公里左右，电动车里程也只有75公里左右，经过多次试验，一直是这样，也去台铃售后去了，师傅说确实是只能跑60多公里，现在说的跟实际的不一致，我需要当时承诺的里程数，起码80以上，不然就去电视台让你们台铃风光风光。</t>
  </si>
  <si>
    <t>2019/10/01 21:58:10</t>
  </si>
  <si>
    <t>投诉人白先生投诉对象同程提钱游,萤火虫小贷涉诉金额600元问题类型诉求类型投诉详情同程旅游里的“提钱游”每次借款都需要强制购买“轻奢出行权益卡”，不购买则借款失败，属于国家禁止收入的砍头息，借款共3300元合计三次，需要先购买199元的轻奢卡或者借钱加速包，借款期限为一个月到期需还款1235.34元，本人愿意归还本金及国家规定标准利息，本人在“提钱游”共借款3次，每次强制要求购买199轻奢出行权益卡，本人要求退还不合法费用合计597元。</t>
  </si>
  <si>
    <t>2019/10/01 21:56:44</t>
  </si>
  <si>
    <t>投诉人徐先生投诉对象百姓钱包涉诉金额2100元问题类型诉求类型投诉详情通讯录轰炸，骚扰联系人，国家非法高利贷，2100到账1400多，微信恐吓，在不停对我骚扰后，答应给他处理，但是还是不停骚扰联系人，包括本人手机号，已经严重影响通讯录，包括我的生活，平台现在每天给通讯录的人打电话，人家不接都要一直打，而且恐吓，说什么小心点，别让我找到你，弄死你之内的话，特别吓人。</t>
  </si>
  <si>
    <t>2019/10/01 21:56:39</t>
  </si>
  <si>
    <t>银生宝联系到了,发了订单号和个人信息做了记录，处理了1个多月一直未帮我处理，希望聚投诉再帮我联系其公司，再不处理的话举报人行。</t>
  </si>
  <si>
    <t>2019/10/01 21:56:29</t>
  </si>
  <si>
    <t>投诉人王女士投诉对象对啊网涉诉金额5800元问题类型诉求类型投诉详情本人于8.21号购买了对啊网的本科学历课程，宣传老师说在他们那购买的自考课程通过率很高，零基础学员也可快速提升学历，实则并非如此，诱导性消费，这需要学员花费大量的时间学习而且还并不能保证一定通过考试，本人由于工作无法抽出大量学习时间，所以想退费，可是客服却说课程不能退费，霸王条款！而且当时宣传说是全程直播，但是购买后发现百分之九十是录播课了！。</t>
  </si>
  <si>
    <t>2019/10/01 21:55:23</t>
  </si>
  <si>
    <t>投诉人纪先生投诉对象拼多多,拼多多商家涉诉金额75元问题类型诉求类型投诉详情商家描述跟实际发出的商品不同，描述100抽的纸巾发出来只有45抽，尺寸也明显缺钱，跟别人的产品对比少了一半，描述说送30包纸巾，结果送的都是小小包的，完全就是虚假宣传，欺骗消费者，找了平台客服让我退货，5个包裹一个15元共75运费退回后，平台却不退我运费，要我提供各种凭证，之前联系也没说明需要凭证，我都说明了数量和价格情况，平台客服还保证会给我处理，都寄这么多天了现在我哪里找凭证去，这不是坑吗，价格你们可以去咨询快递公司，这是商家货</t>
  </si>
  <si>
    <t>2019/10/01 21:53:34</t>
  </si>
  <si>
    <t>闪银公司产品高额前期费用，暴力催收，高额前期费用。</t>
  </si>
  <si>
    <t>2019/10/01 21:53:32</t>
  </si>
  <si>
    <t>投诉人董先生投诉对象玖富万卡涉诉金额5900元问题类型诉求类型投诉详情高利贷，借款5900要还10300多，这是倍fan啊。</t>
  </si>
  <si>
    <t>2019/10/01 21:52:15</t>
  </si>
  <si>
    <t>投诉人吕先生投诉对象捷信金融涉诉金额30000元问题类型诉求类型投诉详情利息太高、服务费我根本就不知情、我想协商看看我还有多少本金没还、进行销账。</t>
  </si>
  <si>
    <t>2019/10/01 21:52:01</t>
  </si>
  <si>
    <t>借款2000实到1400，分四期还款每期还款500+。</t>
  </si>
  <si>
    <t>2019/10/01 21:51:49</t>
  </si>
  <si>
    <t>可我就是想让大家看看这个赏乐帮怎么处理问题。</t>
  </si>
  <si>
    <t>2019/10/01 21:50:12</t>
  </si>
  <si>
    <t>然后我是个男的，资料填写也男的，非要我拿的女的身份证才能给我认证，故意不让我提现。</t>
  </si>
  <si>
    <t>2019/10/01 21:49:04</t>
  </si>
  <si>
    <t>投诉人陈女士投诉对象信用管家,树林分期涉诉金额3080元问题类型诉求类型投诉详情树林分期分期高利贷，砍头息，借2250，四个星期还3080.已经还了3期。</t>
  </si>
  <si>
    <t>2019/10/01 21:48:48</t>
  </si>
  <si>
    <t>来花花俺婆婆借款1500，实际到账1050，5天期限，续期2天费用高代225元，放款渠道是汇潮支付，现本人因无力偿还高额利息，希望偿还本金加合理利息。</t>
  </si>
  <si>
    <t>2019/10/01 21:48:35</t>
  </si>
  <si>
    <t>我是玩神武3的，游戏里有个客服总是恶意锁定我的游戏账号，ky****6@163.com这个游戏账号刚注册去登录游戏就被锁定了，这绝对是针对我刚注册的游戏账号啥都没干就被锁定，我要求给我解除锁定，还有另外几个游戏账号也被锁定了也要帮我解除锁定。</t>
  </si>
  <si>
    <t>2019/10/01 21:48:30</t>
  </si>
  <si>
    <t>本人于今年在拍拍贷优选贷分别贷款五笔，由于环保工厂停产，无力偿还，暴力催收，逾期一星期就爆通讯录，多次骚扰亲朋好友。</t>
  </si>
  <si>
    <t>2019/10/01 21:48:03</t>
  </si>
  <si>
    <t>九月28号在交易猫上买了一个大话西游账号，换绑过后发现角色被限制交易功能，然后我马上发起仲裁，并提交了相凭证，直到9月29号客服才受理，但是到现在已经三天过去了，也没结果，我现在等着急用钱，能不能让交易猫客服效率快一点，马上出结果。</t>
  </si>
  <si>
    <t>2019/10/01 21:47:58</t>
  </si>
  <si>
    <t>投诉人金先生投诉对象汇潮支付涉诉金额2000元问题类型诉求类型投诉详情本人因资金周转想在网上申请一笔贷款。</t>
  </si>
  <si>
    <t>2019/10/01 21:47:11</t>
  </si>
  <si>
    <t>易宝支付违规为714高炮平台提供支付通道本人在向钱贷借款多次，砍头息5000左右，客服服务态度差，不解决问题，向客服反馈几十次，每次都说向高级客服反馈，就是不解决问题，投诉客服服务态度不好，已经半月了也没给任何回复，本次诉求，客服公开道歉，易宝支付全额退还所扣款项，同时希望有关部门严查，取缔易宝支付的支付牌照，。</t>
  </si>
  <si>
    <t>2019/10/01 21:47:06</t>
  </si>
  <si>
    <t>投诉人柏先生投诉对象探探涉诉金额100元问题类型诉求类型投诉详情探探未有任何提示账号无法正常使用，使用新账号也不可以，充值会员费不允理睬。</t>
  </si>
  <si>
    <t>2019/10/01 21:45:40</t>
  </si>
  <si>
    <t>本人因受骗,打电话给瀚银客服,订单号做了记录，商户也联系了写了,协商好,写了退款声明.和撤诉声明.钱过1个月到了还是不退.打电话只说帮催,前几天去上海瀚银处理部门,不给接待去了两天每天在在楼下等了两个小时,故意拒之门外,打电话给400客户一直说让人来接待我一直没下来,故意让我在楼下等.希望瀚银联系我给我个解释,已记录瀚银在平台罪证,不给回复和受理,在假期之后将联系媒体去处理部门曝光,并将相关罪证提交到相关部门。</t>
  </si>
  <si>
    <t>2019/10/01 21:44:34</t>
  </si>
  <si>
    <t>投诉人沈女士投诉对象信而富,中金支付,云南信托,中智消费涉诉金额212元问题类型诉求类型投诉详情信而富砍头息，本人在信而富借款多次，每次借款都需要购买商品来激活借款额度，借款一千多要购买三百多的商品，期间购买过雨伞，墨镜，商品根本就是几十块钱的低档货，被卖到了三百多两百多，最后几次借款购买的宠物抵扣券、美食优惠券、优先特权包等等，共816元，以前每个月的就不算了，要求退还费用，按国家规定利率还款，还有投诉中金支付为信而富收取砍头息，请求聚投诉帮助。</t>
  </si>
  <si>
    <t>2019/10/01 21:44:29</t>
  </si>
  <si>
    <t>投诉人 吕先生        投诉对象  我来数科        涉诉金额  9 900 元    问题类型    诉求类型投诉详情  利息太高、9900用一年。要还13500多。太多人、希望减免两千！！！</t>
  </si>
  <si>
    <t>2019/10/01 21:43:54</t>
  </si>
  <si>
    <t>贷款逾期，在9月12号已经连本金带利息全部结清，但是现在通讯录还是受到骚扰，app上都显示结清了，还是天天打电话来说欠款。</t>
  </si>
  <si>
    <t>2019/10/01 21:43:37</t>
  </si>
  <si>
    <t>催收协商以还本金结案手段，骗取还本金后不再处理。</t>
  </si>
  <si>
    <t>2019/10/01 21:41:35</t>
  </si>
  <si>
    <t>投诉人曹先生投诉对象交易猫涉诉金额705元问题类型诉求类型投诉详情交易猫客服给我仲裁失败7个订单，我卖的是2980邮箱的号，这种号是不包赔的，然后那个客服说什么有风险所以仲裁失败这是乱来，2980邮箱是不包赔的我截图给你们看。</t>
  </si>
  <si>
    <t>2019/10/01 21:39:38</t>
  </si>
  <si>
    <t>投诉人郭先生投诉对象聚富分期涉诉金额299元问题类型诉求类型投诉详情9.30号注册聚富分期贷款，并没有通过，当时卡里没钱，从朋友手中借300，10.1号无缘无故扣除299，通过中金收款方西安嘉盈顺，联系客服说是聚富分期个人评估费299元，当时没有显示评估费，要求退款，客服不给退，维护个人权益请求帮助谢谢。</t>
  </si>
  <si>
    <t>2019/10/01 21:38:53</t>
  </si>
  <si>
    <t>买家明明修改金额300元，但是客服判决全额归还2700元给买家，卖家损失2400元。</t>
  </si>
  <si>
    <t>2019/10/01 21:38:22</t>
  </si>
  <si>
    <t>投诉人代女士投诉对象月光侠分期涉诉金额2500元问题类型诉求类型投诉详情借款三期90天。</t>
  </si>
  <si>
    <t>2019/10/01 21:35:26</t>
  </si>
  <si>
    <t>天天快报发起拉新任务，我依据规则拉新，总计354元，已发放150.5元，还剩203.5提现时候总是提示风险账号，多次联系天天快报客服都没有处理。</t>
  </si>
  <si>
    <t>2019/10/01 21:35:08</t>
  </si>
  <si>
    <t>投诉人 吴先生        投诉对象  钱站        涉诉金额  2 000 元    问题类型    诉求类型投诉详情  恐吓 骚扰通讯录 催收部 服务态度极差</t>
  </si>
  <si>
    <t>2019/10/01 21:31:38</t>
  </si>
  <si>
    <t>投诉人潘女士投诉对象广发涉诉金额36000元问题类型诉求类型投诉详情年龄大，没有劳动能力，协商解决还款问题！。</t>
  </si>
  <si>
    <t>2019/10/01 21:30:49</t>
  </si>
  <si>
    <t>拼多多为赌博网站提供充值，洗流水，要求退款。</t>
  </si>
  <si>
    <t>2019/10/01 21:30:24</t>
  </si>
  <si>
    <t>投诉人刘先生投诉对象拍拍贷涉诉金额4500元问题类型诉求类型投诉详情借了四千五还五千还了一期871还有五期830.69。</t>
  </si>
  <si>
    <t>2019/10/01 21:29:46</t>
  </si>
  <si>
    <t>投诉人郭先生投诉对象中国移动涉诉金额0元问题类型诉求类型投诉详情家里安装的是移动宽带电视，今天早上观看祖国成立70周年纪念日，居然看不了，一直卡在连接中！要不只有小画面！真的太气人了！。</t>
  </si>
  <si>
    <t>2019/10/01 21:29:04</t>
  </si>
  <si>
    <t>投诉人林先生投诉对象你我贷涉诉金额7000元问题类型诉求类型投诉详情国家规定支持是24%而你我贷却是用着各种各样的方式把利息推感到36%我要求你我贷调整利息，同时我愿意按每月合规利息加本金继续还款，而不同意高利息的还款方案。</t>
  </si>
  <si>
    <t>2019/10/01 21:26:26</t>
  </si>
  <si>
    <t>问我需要不需要，我核算可以使用因为利息不高，对方客服说为了保证我有还款能力需要验资以及要有3个月的月还款金额，叫我存在卡里，共计2张卡&amp;nbsp;26500元，客服并且说终审完毕后5万借款以及26500元，共计：76500元一起到我卡里，在这个过程当中分多次以短信验证码形式划走到我要举报投诉以及报案的这些人卡里，我等了至少10分钟钱也没有到我卡里，直到现在电话打不通，QQ号把我拉黑，我现在身无分文，接下来面临的房贷、车贷、信用卡无力偿还，肯请聚投诉各位领导帮助我追回26500元以及我的精神损失。</t>
  </si>
  <si>
    <t>2019/10/01 21:25:45</t>
  </si>
  <si>
    <t>合同上变成了18300元，这5300元是什么意思。</t>
  </si>
  <si>
    <t>2019/10/01 21:25:26</t>
  </si>
  <si>
    <t>投诉人徐先生投诉对象翼锋网涉诉金额250元问题类型诉求类型投诉详情质检完成几天不放款也不接电话，行为十分恶劣。</t>
  </si>
  <si>
    <t>2019/10/01 21:23:16</t>
  </si>
  <si>
    <t>长期以来在来分期都是按时还款，也喜欢来分期，最近老板欠薪，希望能够通过来分期解决生活问题，有循环额度！但是来分期不给下款！希望来分期能打开通道，正常下款。</t>
  </si>
  <si>
    <t>2019/10/01 21:20:28</t>
  </si>
  <si>
    <t>在95分球鞋买了双球鞋，标码44，收到后是43，由于我没有在家，鞋子过几天才看到，客服说退不了，鞋子和收到时一样，防盗扣扔了，客服不理睬，说退不了。</t>
  </si>
  <si>
    <t>2019/10/01 21:20:27</t>
  </si>
  <si>
    <t>上海翰银为赌博输平台收单，请求瀚银为我退款挽回经济损失。</t>
  </si>
  <si>
    <t>2019/10/01 21:19:53</t>
  </si>
  <si>
    <t>投诉人叶女士投诉对象平安财产保险,平安普惠涉诉金额0元问题类型诉求类型投诉详情本人因情绪抑郁暂时无法工作没有还款能力，一个月来一直耐心和平安i贷协商沟通提前一次性还清争取减免问题，但平安i贷始终不同意跟我减免一分钱，天天打电话催收我及家人！具体沟通过程详见帖子CN1318011和CN1306347，本人累计借款100400，累计还款88844.09，平安i贷让我一次性结清还要还24196.26，理由是这是剩余待还本金，不可能亏本倒贴给我减免！我又沟通可否对之前收取利息多少进行一些减免，催收说之前利息都给银行</t>
  </si>
  <si>
    <t>2019/10/01 21:17:43</t>
  </si>
  <si>
    <t>投诉人吕先生投诉对象拼多多涉诉金额1640元问题类型诉求类型投诉详情我们这边的快递现在是下午2.30左右来收件的，我们是晚上提前包好快递第二天下午2.30左右来收的，但是今天收到站内信提示28号的货有161单被判虚假发货，我们也联系过快递，快递说因公司当天下午停电原因导致没电没网不能及时扫描，所以直接把货拉到淄博总公司扫描的。</t>
  </si>
  <si>
    <t>2019/10/01 21:17:24</t>
  </si>
  <si>
    <t>高利贷，套路贷借3000还5100借2600还4200，希望有关部门予以取缔，不要再危害社会。</t>
  </si>
  <si>
    <t>2019/10/01 21:16:49</t>
  </si>
  <si>
    <t>投诉人任长玲投诉对象万达贷涉诉金额24000元问题类型诉求类型投诉详情用了万达贷也有两年半了利息一共赚了我将尽两万了，一直觉得利率还可以没想到私自给我涨利率不调整本人拒不还款。</t>
  </si>
  <si>
    <t>2019/10/01 21:14:52</t>
  </si>
  <si>
    <t>使用豆豆钱，按时主动还款的情况下，一个名叫“鸿飞担保”的未知来源未经允许从绑定的还款提款账户提走一笔目的未知的金额，金额300元，根据询问p2p金融相关人士得知鸿飞担保与豆豆钱有关联，在此质疑豆豆钱平台是否使用第三方平台机构额外收取未知“服务费”并有意识规避投诉风险，“鸿飞担保”在聚投诉平台尚未搜索到，通过百度查询“鸿飞担保”，在新浪“黑猫投诉”平台下可以找到类似案例，同样是“鸿飞担保”的盗刷问题，质疑豆豆家平台在正常合理收款的同时通过“鸿飞担保”收取不正当“服务费”，一方面还可以规避投诉风险，将盗刷、未经</t>
  </si>
  <si>
    <t>2019/10/01 21:13:59</t>
  </si>
  <si>
    <t>投诉人鲁先生投诉对象尚德机构涉诉金额7280元问题类型诉求类型投诉详情9月22日我在尚德机构报名专升本，总价7280元，我注册时没有任何审核，只需告诉尚德工作人员基本信息和毕业院校即可通过，也没有给我看课程协议，严重怀疑该机构借款存在各种弊端，完全可以冒用他人身份贷款，9月23日我通过工作人员发给我的二维码付款成功交了定金并下载了有钱花，我交了728元定金，又在有钱花申请的教育贷款分期付款，加上定金已经交付1456元，后因其他原因不学了，申请退课，工作人员联系我说要扣除15%的手续费，我同意了，工作人员说要</t>
  </si>
  <si>
    <t>2019/10/01 21:12:56</t>
  </si>
  <si>
    <t>我在8月初的时候接触海风教育的，刚开始在手机上试听了一节课，后面一直有客服电话打来介绍说叫我们买课程，说可以先付首付的10%，先听10节课，如果10节课后不满意是可以全额退款的，当时我就和客服说清楚，我主要就是想暑假里补一下课，等孩子开学以后基本没有时间补课，客服只是一再强调10节课不满意或者不想学了可以全额退款，然后让我在淘宝上付了首付，他帮我办了按揭，8月份我学了九节课就终止了，原因是没有什么效果，加上后期也没有时间去这里学习，这些我都和当时的客服讲得很清楚，他们也答应说给我退款，答应的时间是15个工作</t>
  </si>
  <si>
    <t>2019/10/01 21:12:36</t>
  </si>
  <si>
    <t>投诉人李雷投诉对象捷信金融涉诉金额40000元问题类型诉求类型投诉详情骚扰朋友，家人，恐吓，态度不好，我贷了4万还了1.5万了，还让还3.9万，我都不闹不明白，催收打来电话就是要钱，让他们解释怎么还那么多他们也不说，合同都给我解除还的让还利息，态度也恶劣，不给我给合理的解释就法法律解决。</t>
  </si>
  <si>
    <t>2019/10/01 21:11:23</t>
  </si>
  <si>
    <t>威力贷,金鸡下蛋,肥猫贷,汇潮支付,支付宝,蚂蚁金服，本金早已经还清，现在还让我还款，最近一次逾期了两次3天，一次3天300块，支付宝提供在线支付还款的，汇潮支付提供放款的实际到账金额只有1400，现在要求销账，肥猫贷今天还款日轰炸通讯录了，群发短信，还辱骂我通讯录的联系人，现在国庆期间，如果没有妥善解决我这里就会直接抱紧，和打黑办，互金所投诉我的要求就是销账，我已经还款金额超过本金，这才几天时间。</t>
  </si>
  <si>
    <t>2019/10/01 21:10:06</t>
  </si>
  <si>
    <t>钱站到款金额5000，可是合同莫名其妙写了6650，还有服务费等，还款金额达到7000多！多出本金2000，达到了40％的利息，在国家管控的情况下还放高利贷！希望平台能帮助我们维权。</t>
  </si>
  <si>
    <t>2019/10/01 21:09:40</t>
  </si>
  <si>
    <t>我平时在家联的无线网，出门也开过几次流量，扣费也有短信，但是9月份开始，每个月乱扣费，我没有开数据也是扣费，给客服反馈，客服说后台有数据使用，我联的无线网没有什么吗，移动故意乱扣费还不承认想逼我开更高的月租套餐，太不要脸了，而且我还没有开数据，移动故意乱扣费还不承认，想逼我开更高的月租套餐，太不要脸了。</t>
  </si>
  <si>
    <t>2019/10/01 21:07:30</t>
  </si>
  <si>
    <t>投诉人 武女士        投诉对象  维信金科,卡卡贷        涉诉金额  100 元    问题类型    诉求类型投诉详情  每月还款时也没有短信通知 给客服打电话说有短信有的人收不到 请问这是在搞笑嘛 续期了才通知 但是一天要收取100元 自动还款也无法还款 就是想收取费用 自动还款同时还提醒不能一次性结清 这就是觉得是平台故意收取此费用</t>
  </si>
  <si>
    <t>2019/10/01 21:06:46</t>
  </si>
  <si>
    <t>滴滴司机打电话说到了下着大雨我们再找他打他电话说他就在那个地方根本没有我们淋着雨来回找并且态度非常恶略，也不听解释，告诉司机我们不做他的车了就骂人并且私自开始定单并且结束订单。</t>
  </si>
  <si>
    <t>2019/10/01 21:05:13</t>
  </si>
  <si>
    <t>投诉人梁先生投诉对象钱站涉诉金额3000元问题类型诉求类型投诉详情钱站高利贷，在还款期多次收取乱七八糟的费用，我借款三千元，年利率百分二十三点几，为何要我还6000块。</t>
  </si>
  <si>
    <t>2019/10/01 21:03:52</t>
  </si>
  <si>
    <t>刷卡成功，已经五六天了没有到账，不知道什么原因。</t>
  </si>
  <si>
    <t>2019/10/01 21:03:35</t>
  </si>
  <si>
    <t>免费三天VIP，却在没有任何的提示下撸了我168元。</t>
  </si>
  <si>
    <t>2019/10/01 21:03:19</t>
  </si>
  <si>
    <t>钱站联合华夏存管，凡普互金进行高利贷，砍头息，本人在钱站借款实际到账4000元，但钱站不作为，更是变本加厉，近日各种威胁，恐吓，爆通讯录等违法催收手段，还说他们的利息是合法的，我这里都有录音证据，请相关部门严查。</t>
  </si>
  <si>
    <t>2019/10/01 21:02:19</t>
  </si>
  <si>
    <t>本人在小象优品贷款，9号还款日，因为本人最近信用卡降低额度共6W，资金周转不灵，实在无力还这次贷款，故告知客服，自行承担滞纳金，但小象优品催收人员，态度极为恶劣，暴力威胁，表示今天不还就打亲戚朋友还有同事领导电话，让他们替本人还款，严重暴力催收，并向第三方透露个人信息，毁坏个人名誉，本人十分不满！本人尽力想办法解决欠款！本人已经承担了未还欠款的滞纳金，催收说被列入高风险名单，如果不还，就会派当地相关有人上门核实还款能力，并且委托当地外包部门负责上门催收，”主动电话客服电话，发现很难打得通，，，只能等待客服电</t>
  </si>
  <si>
    <t>2019/10/01 21:02:15</t>
  </si>
  <si>
    <t>借款8900元，分12期到期需还12100元，。</t>
  </si>
  <si>
    <t>2019/10/01 21:01:42</t>
  </si>
  <si>
    <t>之前在维信闪贷借款7000元，过后还扣除保费499元，分6期还款，每期还款金额1400元，共还款金额八千多，严重属于高利贷行为，现要求维信闪贷修改还款金额，并退换保费或者在还款金额里减除。</t>
  </si>
  <si>
    <t>2019/10/01 21:00:48</t>
  </si>
  <si>
    <t>开了会员，半年了，领取不了任何优惠券，参加活动也太火爆了，找客服一直说领券存在概率性，让我多尝试，但是几个月了，都领不到，很不正常把。</t>
  </si>
  <si>
    <t>2019/10/01 21:00:43</t>
  </si>
  <si>
    <t>7号才到还款日，从30号开始就狂轰乱炸，没完没了发短信，打电话。</t>
  </si>
  <si>
    <t>2019/10/01 21:00:05</t>
  </si>
  <si>
    <t>2019年2月，贷款4万元，实际到手3万元，36期，已还8期，合计已还款14636元，36期合计应还65863元，利率高达40%现在申请提前结清，中腾信APP显示还要还39075元！，远远超出了到手本金！还款当天没还款，申请协商提前结清，遭拒绝，下午就被威胁，暴力催收！希望平台帮忙解决，协商还款，我愿意承担已用月份且国家规定的利率利息，加剩余本金。</t>
  </si>
  <si>
    <t>2019/10/01 20:58:16</t>
  </si>
  <si>
    <t>投诉人朱伟投诉对象交通银行信用卡涉诉金额7000元问题类型诉求类型投诉详情我用信用卡用了五年了，说停用就停用！耽误我用钱！说我违规操作。</t>
  </si>
  <si>
    <t>2019/10/01 20:58:15</t>
  </si>
  <si>
    <t>本人在立借里的大麦游借款，借款2100，砍头息525元，实际到账1575元，分三期还款，每期10天，每期还款720元，本人已还款二期，本人债务爆发，已无力承担高额砍头息及非法利息，要求以本金加合法利息销账！请聚投诉帮我协商联系平台，本人已经无力偿还，并且平台已下架该产品，但是该产品每天发送短信进行催收，请平台解决。</t>
  </si>
  <si>
    <t>2019/10/01 20:57:27</t>
  </si>
  <si>
    <t>有优惠的那种我是学生，用的学生教育优惠，京东不给发货，自动退款，我治不了京东的无赖，我能告诉大家京东无赖而且是买的京东推荐的一个套装，ipad加保护套和保护膜，结果保护套保护膜昨天就给我送到了，我满心欢喜的等着ipad，前几天客服给我说调货让我等等，，说一般三天了就发货了，我就等着，等着等着就自动给我取消订单了，客服说让我重新下单买，重新下单买比之前贵1500块，我一个学生，的消费能力这么大吗。</t>
  </si>
  <si>
    <t>2019/10/01 20:56:02</t>
  </si>
  <si>
    <t>联通公司在不公开明示收费的情况下，将收费项目植入联通电视盒子系统，小孩子不知情点入即收费，并即刻发来信息表示订阅成功，如有异议，需回复短信验证码，在这个时代请问谁敢随便回复验证码，如果不回复60分钟后即长期生效，这是赤裸裸的套路，希望有关部门能重视这种大企业的无良商业行为，还老百姓一方安心理得，垦求聚投诉能重视一下这些小个案，让老百姓不再被这些无良商家套路坑害，在此代表千千万万同样受害的老百姓感谢聚投诉工作人员！谢谢。</t>
  </si>
  <si>
    <t>2019/10/01 20:54:50</t>
  </si>
  <si>
    <t>2019/10/01 20:54:42</t>
  </si>
  <si>
    <t>钱站利息太高，典型的高利贷借1000还1514，。</t>
  </si>
  <si>
    <t>2019/10/01 20:54:01</t>
  </si>
  <si>
    <t>投诉人李女士投诉对象捷信金融涉诉金额4000元问题类型诉求类型投诉详情捷信分期一天给我的家人打了十一个电话，还冒充司法人员来家里。</t>
  </si>
  <si>
    <t>2019/10/01 20:53:49</t>
  </si>
  <si>
    <t>投诉人闫女士投诉对象临泉县海航电子商务有限公司涉诉金额980元问题类型诉求类型投诉详情本人于2019年08月08日新开了一个淘宝小店,当时我对淘宝的运营一无所知，临泉县海航电子商务有限公司的工作人员找到我，提出可以和我签订一个980元的合同，承诺我可以在七天内就把店铺打造成三心的信誉，并且再无后续收费，三心的信誉需要41单销量，而且他们承诺这41单销量是真实的销量，我相信了他们，签了合同，两次给他们打款980元，实际情况是，七天以后，他们并没有帮我完成41单的销量，还出现了淘宝认为是虚假交易的判定，我联系他</t>
  </si>
  <si>
    <t>2019/10/01 20:53:25</t>
  </si>
  <si>
    <t>投诉人常慧斌投诉对象钱包易贷涉诉金额900元问题类型诉求类型投诉详情砍头息直接收1000块钱的手续费客服一直打电话。</t>
  </si>
  <si>
    <t>2019/10/01 20:52:14</t>
  </si>
  <si>
    <t>投诉人樊女士投诉对象企鹅科技涉诉金额5元问题类型诉求类型投诉详情机器故障共享洗衣机已付费无工作要求退款。</t>
  </si>
  <si>
    <t>2019/10/01 20:51:06</t>
  </si>
  <si>
    <t>之前在新橙优品借款3000元，过后还扣除保费，分6期还款，每期还款金额663.21元，共还款金额四千多元，严重属于高利贷行为，现要求新橙优品修改还款金额，并退还保费或者在还款金额里减除。</t>
  </si>
  <si>
    <t>2019/10/01 20:49:32</t>
  </si>
  <si>
    <t>本人9月13在平台购买的steam账号，已经购买保险，保险费用应该是120，然后不管不问后果都给我一个人承担?这就是你们平台和保险的处理方式?，购买价格的十分一吧，保险写的清清楚楚找回包赔，我买的是60天保险，账号购买一周左右就给卖家找回了，被找回后我有联系steam客服申诉，但是客服回答这个不是我本人账号，不会给我找回和信息，我申诉了很多遍，什么理由都用了，但是steam客服根本不提供卖家信息申诉时间和地址，我找保险理赔也没用，说我证据不足直接就给我关闭仲裁了，平台也不联系卖家核实，也没有人工联系我处理理</t>
  </si>
  <si>
    <t>2019/10/01 20:46:12</t>
  </si>
  <si>
    <t>我要投诉，马上金融公司，其下软件现金贷款app安逸花，本人在安逸花贷款3880，现已还清所有欠款，查帐单的时候，才发现，在没经过本人同意，安逸花每个月多扣一百多，给本人买了，每一期还款的，所谓，寿险和还款灵活包，本人要求退还，扣我的寿险费和还款灵活包，这两项是没经过本人同意，而算入我的还款帐单的，安逸花不支持截图，所以希望有关部门能跟进处理一下谢谢！。</t>
  </si>
  <si>
    <t>2019/10/01 20:45:47</t>
  </si>
  <si>
    <t>投诉人 常慧斌        投诉对象  玖富万卡        涉诉金额  18 000 元    问题类型    诉求类型投诉详情  已经还一年了 利息都没还完 利息感觉太高了</t>
  </si>
  <si>
    <t>2019/10/01 20:45:46</t>
  </si>
  <si>
    <t>投诉人刘先生投诉对象美团外卖涉诉金额28元问题类型诉求类型投诉详情本人于2019年10月1日国庆当晚18：49分在美团外卖上一家烧烤店点了外卖，19：30左右在其中的“凉拌毛豆”中不小心吃进一条虫子，起初我以为是毛豆的豆荚，吐出来后才发现是一条虫子，我即刻向美团外卖平台进行投诉，但是并没有受到理睬，《中华人民共和国食品安全法》第148条规定：生产不符合食品安全标准的食品，或者经营明知是不符合食品安全标准的食品，消费者除要求赔偿损失外，还可以向生产者或者经营者要求支付价款10倍或者损失3倍的赔偿金；增加赔偿的</t>
  </si>
  <si>
    <t>2019/10/01 20:44:51</t>
  </si>
  <si>
    <t>自由魔卡中的超级马力贷，借款2000元，期限30天，需要先缴纳500元会员费才可下款，但是并无实质会员内容，就是为了下款用，不缴纳不下款，到期还款2060元，也就是说实际借款1500元到期还款2060元，严重超出国家规定标准，我在该平台借款数次，利息已经高于本金，希望与超级马力贷沟通，协商解决欠款事宜。</t>
  </si>
  <si>
    <t>2019/10/01 20:43:39</t>
  </si>
  <si>
    <t>中归这个，打银行电话是中金金融我从来没听说过。</t>
  </si>
  <si>
    <t>2019/10/01 20:40:26</t>
  </si>
  <si>
    <t>在钱站上借了1000，合同上写的1330，实际到账1000，分期三个月要还1800。</t>
  </si>
  <si>
    <t>2019/10/01 20:35:27</t>
  </si>
  <si>
    <t>投诉人 吴女士        投诉对象  川程        涉诉金额  1 844 元    问题类型    诉求类型投诉详情  没有过贷款 也没有还款通知 更没有扣款信息</t>
  </si>
  <si>
    <t>2019/10/01 20:34:26</t>
  </si>
  <si>
    <t>淘宝通过信息层面判断我们出售假冒、盗版商品，违规编号：151******72，但是商品平没有售假，是我自己的版权，我申诉的每个步骤与环节都打电话咨询了淘宝小二，但是淘宝综合您的账户行为判定申诉不成立，没有给出任何原因，我是个人卖家，小店没有任何推广，但是我绝对绝对绝对不会售假，给我的处罚我不认，给我的失败原因我也不认，希望能重新处理，给我一个公正；在我看来售假是犯罪，，淘宝小二仅仅通过一个系统信息层面就判定我犯罪，我不认。</t>
  </si>
  <si>
    <t>2019/10/01 20:32:40</t>
  </si>
  <si>
    <t>现在到期了打电话给移动公司说不可以取消，只能降低为每月70块钱的套餐，不可以取消，还说这与宽带绑定了，我说要是冲突了宽带也可以取消，结果他说都不可以取消，我认为这是在欺诈消费，强制性消费。</t>
  </si>
  <si>
    <t>2019/10/01 20:32:14</t>
  </si>
  <si>
    <t>高利贷就不说了，还款日当天无限来电话骚扰，打联系人，因为在开会，说了晚上给处理好，还在打电话一直催款，导致被公司领导知道，丢了工作。</t>
  </si>
  <si>
    <t>2019/10/01 20:32:09</t>
  </si>
  <si>
    <t>本人这几个月被网上的黑彩票平台误导进行充值，要求退款，订单都是通过云闪付在线扫一扫给个人的。</t>
  </si>
  <si>
    <t>2019/10/01 20:31:28</t>
  </si>
  <si>
    <t>我在有间钱庄借了2000元，分4期还，每期还款822，这个利息真的高的离谱，但是之前着急用钱，也就算了，结果第三期还款的时候，发现APP登不进去了，就想办法在微信平台上搜索他们的公众号，搜到了，加了他们客服的QQ号，通过线下还款还了，然后今天是第四期还款，我还是通过QQ去联系他们客服，想早点把这笔结清，但是他们客服今天一直不回我，我就觉得很奇怪，但是如果今天不还款，就会逾期，所以我又去微信上搜索他们的公众平台，然后搜到一个叫有间钱庄APP助手的，通过链接我在上面和客服联系，客服说他们的APP在维护，只能通过</t>
  </si>
  <si>
    <t>2019/10/01 20:31:19</t>
  </si>
  <si>
    <t>，故此只绑定手机号码，之后被卖家修改了密码，故此还被仲裁失败，买家的可追回的钱，缺被交易猫仲裁客服导致损失现只想交易买退回买家的钱。</t>
  </si>
  <si>
    <t>2019/10/01 20:29:55</t>
  </si>
  <si>
    <t>本人因在钱站办理网贷，借款1200还款2000元，因工作原因未及时还款，今早打算还款却发现利息涨了70多，联系问其原因不予解答。</t>
  </si>
  <si>
    <t>2019/10/01 20:29:16</t>
  </si>
  <si>
    <t>本人因为资金周转需要，在深圳玖富消金科技有限公司旗下的玖富万卡平台借了4000元，按照合同要求，借12个月每个月还款453，这样一共需要还款5400，已经相当于有1400的利息费用了，而平台却另外莫名其妙需要支付一笔1100多的什么保费，而且好像必须缴纳这1100多保费才能进行后期的还款，这不明摆着高利贷砍头息敲诈吗，忘有关部门给予调查和处罚，完全高于国家的36%的最高借款利率！。</t>
  </si>
  <si>
    <t>2019/10/01 20:29:12</t>
  </si>
  <si>
    <t>投诉人李先生投诉对象聚富分期涉诉金额299元问题类型诉求类型投诉详情9.30注册了聚富分期，然后绑定了银行卡，10.1号就给我扣了299元，打了客服电话说啥退款要什么流程之类的，能不能别搞这么繁琐。</t>
  </si>
  <si>
    <t>2019/10/01 20:28:11</t>
  </si>
  <si>
    <t>投诉人赵女士投诉对象汇潮支付，菜鸟有钱，威力贷，金鸡下蛋涉诉金额5600元问题类型诉求类型投诉详情汇潮支付为菜鸟有钱，威力贷，金鸡下蛋提供支付通道。</t>
  </si>
  <si>
    <t>2019/10/01 20:27:56</t>
  </si>
  <si>
    <t>投诉人胡女士投诉对象中国铁路12306涉诉金额224元问题类型诉求类型投诉详情9月中旬候补订单退单后一直没有退款，打客服电话也一直说繁忙要求app自己查询讯息。</t>
  </si>
  <si>
    <t>2019/10/01 20:27:42</t>
  </si>
  <si>
    <t>投诉人王建华投诉对象现金巴士涉诉金额726元问题类型诉求类型投诉详情2019.5.26/7.1/7.29分别向现金巴士借款2000元，每次借款前期收取298的好信码加速器，分三期，一共还2180元，现本人在现金巴士共欠款726元，于2019.10.29到期，因你司之前收取我298*3=894元的前期费用，属于违法行为，违反我国金融法规，故2019.10.29到期726元你司作销账处理，现我已被你们这些高利贷公司害惨我了，查实你司根本于金融牌照，属于违法放贷行为，本人于国庆节后，向上海金融局指控你司非法放贷，</t>
  </si>
  <si>
    <t>2019/10/01 20:26:37</t>
  </si>
  <si>
    <t>借3天实际只有2天，而且当天就会发微信威胁要给家人打电话，从7月份续期到现在已经超过本金不知道多少倍了，希望注销借款。</t>
  </si>
  <si>
    <t>2019/10/01 20:26:32</t>
  </si>
  <si>
    <t>10月1日，网页打开一个对话框对方说付款可以立返赚取佣金，对方发来链接，我就点了付了款，上午付了1万多，对方说必须付够一定金额才能返款我的款项并给我佣金，我就相信了继续付了多比，知道下午四点支付宝发来短信说您账户可能存在风险我才意识那时候已经付过了5万多，我问他商户之类他也不说因为这个属于代付链接，现在请求有关部门帮助，希望拼多多联系商户进行退款，本人请求相关部门监督催促，联系网页对话框的人那边一直说一会给我结账一直也没有消息，这些钱都是我平时一点点攒起来的，我看了下账单全部都是拼多多商户，所以然后我就立即</t>
  </si>
  <si>
    <t>2019/10/01 20:24:41</t>
  </si>
  <si>
    <t>收取高额服务费，提前还款仍旧需要高额手续费，下款时秒到账没有通过电话审核有强买强卖嫌疑。</t>
  </si>
  <si>
    <t>2019/10/01 20:24:16</t>
  </si>
  <si>
    <t>投诉人 陈中华        投诉对象  中金支付        涉诉金额  408 元    问题类型    诉求类型投诉详情  非法盗刷银行卡金额408.76元 经发卡行 银联查询 确认为中金支付</t>
  </si>
  <si>
    <t>2019/10/01 20:21:54</t>
  </si>
  <si>
    <t>1307‬经过投诉客服人员来电答应1400元结清，可迟迟未改金额，此平台到期日自动弹出来的逾期本人以为是更改的额度。</t>
  </si>
  <si>
    <t>2019/10/01 20:21:18</t>
  </si>
  <si>
    <t>一个自称趣豆钱工作人9月17号给我打电话让我结案，然后给我退钱，后来没注意看自动结案，但是私自扣的钱一直未返还，请求严厉制裁这种恶劣行为。</t>
  </si>
  <si>
    <t>2019/10/01 20:19:44</t>
  </si>
  <si>
    <t>贷上钱强制让贷款人购买游戏金豆为由收取高额服务费，私自打我家人电话要钱！由于经济原因跟他们工作人员协商好的还款本金2000元和利息82.61元后，高额服务费暂时不还，说好的等我资金宽裕后再去结清！协商好还了本金和利息后不到一天时间又打电话来催收以购买游戏金豆为由的高额服务费！还说不还会走法律程序，把我的资料和借款下发到我户籍所在地的地方相关部门！如果贷款属于一件事，购买这游戏豆是另一件，那么这种强制购买商品这违反了消费者的自主选择权和公平交易权，那你就把这没还的服务费提交到我户籍所在地的相关部门去吧！。</t>
  </si>
  <si>
    <t>2019/10/01 20:19:25</t>
  </si>
  <si>
    <t>本人因资金周转需求在自由魔卡app里面的信用计划平台借款2000元，平台以加入会员购买会员需要支付备付金为由，变相收取砍头息360元，实际借款所得其实为1640元，还款周期一个月应还为2050元，所加入的会员并无实际作用，只是作为平台变相收取砍头息的手段，这是赤裸裸的高利贷，因本人之前也在该平台借款多次，现无力偿还高额还款费用和砍头息，投诉信用计划其实是高利贷平台，要求平台尽快与本人联系协商，本人绝不接受客服人员所谓会员费合理合法的狡辩，本人要求协商归还到账本金和应付30天合理正常利息销账，并承诺此后不在该</t>
  </si>
  <si>
    <t>2019/10/01 20:18:43</t>
  </si>
  <si>
    <t>2019/10/01 20:17:31</t>
  </si>
  <si>
    <t>2019/10/01 20:17:16</t>
  </si>
  <si>
    <t>小象优品的借款我接受还款，但是超出国家范围的部分和逾期费我不接受，他们态度就是非常的硬，超出了国家规定的利息，他们也从来没有怕过谁，跟他们协商也从来没有意过，我只想他们按照国家规定的来，高利贷，暴力催收，严重影响到本人的今天打电话骚扰我爸心脏病都出来了，严重影响生活，我已经向银监会举报，深圳赢众通金融公司等非法放高利贷，想要看借款合同都不愿给，合法的为啥要躲躲藏藏的呢。</t>
  </si>
  <si>
    <t>2019/10/01 20:16:26</t>
  </si>
  <si>
    <t>投诉人常信投诉对象爱钱进涉诉金额25000元问题类型诉求类型投诉详情5000元到期不给钱债转投资了3个月，昨天看变成了自动续期，经过我同意了吗，还有一个10000元本来到期，想到期了提现出来，客服说只能取消自动续期一次。</t>
  </si>
  <si>
    <t>2019/10/01 20:13:54</t>
  </si>
  <si>
    <t>投诉人汤伯虎投诉对象展业达人钱包涉诉金额28000元问题类型诉求类型投诉详情业务员办理的时候说没有附加，费利息低。</t>
  </si>
  <si>
    <t>2019/10/01 20:12:37</t>
  </si>
  <si>
    <t>投诉人贾女士女士投诉对象滴滴出行涉诉金额0元问题类型诉求类型投诉详情我于10月1号凌晨1点20分接到滴滴平台给我派了一单距离超过三公里我取消了，平台为什么还要判我有责扣我服务分还要降我口碑值，这样的处罚太不合理了，我申诉了两次还都失败了，我有截图为证，当时接到订单我正在新桥大道与春兰路的中国石化加油在，我当时规划了一下导航路线发现有4.8公里，因为平台派单超过三公里我无法正常接单，乘客打车才2.5公里的路程我却要用4.8公里去接他，请问你们滴滴平台这样给我派单合理吗，我当时压根就没有动弹平台居然还显示我划了</t>
  </si>
  <si>
    <t>2019/10/01 20:10:51</t>
  </si>
  <si>
    <t>投诉人刘女士投诉对象SYSC潮流基地涉诉金额150元问题类型诉求类型投诉详情SYSC潮流基地客服态度恶劣.言语什么不好.刚收到包裹第一天.开线.掉毛.内衣上面都是毛.去跟她说明.客服态度恶劣.并且拒绝退款.。</t>
  </si>
  <si>
    <t>2019/10/01 20:06:56</t>
  </si>
  <si>
    <t>投诉人 陈先生        投诉对象  汇有钱        涉诉金额  0 元    问题类型    诉求类型投诉详情  找不到还款入口害怕逾期</t>
  </si>
  <si>
    <t>2019/10/01 20:06:35</t>
  </si>
  <si>
    <t>投诉人蔡利花女士投诉对象飘红天下,携手共赢直播间,DeagonEX涉诉金额110000元问题类型诉求类型投诉详情9月2日微信认识名叫温黛琳，被邀请加进入“飘红天下，携手共赢”直播间网址：http://chzb.xiaohengji.cn/v/801gh?tdsourcetag=s_pcqq_aiomsg，每天股市开市时间还有晚上时间几位老师分析股市行情，以10月中旬建仓为由进而介绍操作BTC指数，指借操作BTC指数赚翻倍为由达到加大资金国庆后大建仓购买牛股，拉进几位开户专员开户，下载操作平台DragonEx</t>
  </si>
  <si>
    <t>2019/10/01 20:06:04</t>
  </si>
  <si>
    <t>涉诉金额500元问题类型诉求类型投诉详情这个腾安基金销售从我邮政卡里转走了500块，我想利用这个平台来追回我的钱。</t>
  </si>
  <si>
    <t>2019/10/01 20:05:45</t>
  </si>
  <si>
    <t>我贷款30000元，实际到账也是30000元，，贷款12个月总共要还49800元，等额本息运用计算器算出利率高达106%，简直无法无天，催收人员暴力催收，威胁恐吓爆通讯录。</t>
  </si>
  <si>
    <t>2019/10/01 20:05:30</t>
  </si>
  <si>
    <t>骚扰我的家人朋友影响到我的正常生活，态度也很差。</t>
  </si>
  <si>
    <t>2019/10/01 20:04:31</t>
  </si>
  <si>
    <t>本人在自由魔卡app上申请六便士借款2000元，通过畅捷支付放款，同时六便士以需要购买vip才能下款为由，收取540的高额砍头息，且这个会员卡根本毫无作用，借款期限30天到期需归还2060元，这是典型的高利贷，套路贷，我已经在该公司的平台循环申请数笔，给的利息已经超过本金还多。</t>
  </si>
  <si>
    <t>2019/10/01 20:03:54</t>
  </si>
  <si>
    <t>投诉人吕先生投诉对象360借条涉诉金额1000元问题类型诉求类型投诉详情放款不成功依然计算利息借款也未到账。</t>
  </si>
  <si>
    <t>2019/10/01 20:03:41</t>
  </si>
  <si>
    <t>投诉人刘先生投诉对象星河国际涉诉金额1500元问题类型诉求类型投诉详情2019.9.24我从山东临沂沐埠机场办理值机手续准备飞往深圳，一个自称是机场工作人员的女士热情向我推销领航商务金卡，说充值1500送1000元卡内一共2500元可以用来买机票订酒店等等，比网上购票要便宜很多，但是并未向我说明会员卡里的钱一次只能抵扣几十块钱，近日我电话咨询他们的订票客服，结果同一时间的机票价格比网上的还要贵出一百块，并且只能抵扣50元！我这才明白过来这跟当初宣传的不一样！有涉嫌虚假宣传，误导消费的嫌疑，故投诉，希望能给予</t>
  </si>
  <si>
    <t>2019/10/01 20:02:08</t>
  </si>
  <si>
    <t>在玖富万卡那里借5000元要强制购买个人贷款保证保险1500元，现在是打击这种网贷，你们还无法无天，还顶风作案。</t>
  </si>
  <si>
    <t>2019/10/01 19:59:50</t>
  </si>
  <si>
    <t>合同上显示借款金额是6650，为什么到账是5000元，我想知道我的1650去哪里了，还有我借款是三个月，每个月都有服务费，我问客服了，他说我这1650也是服务费，我就好奇，一开始借的时候有服务费，还的时候还有，这个服务费收的是不是重复了！要求赔偿！。</t>
  </si>
  <si>
    <t>2019/10/01 19:59:47</t>
  </si>
  <si>
    <t>之后就卸载了突然提醒有一笔新交易253元的莫名被订阅。</t>
  </si>
  <si>
    <t>2019/10/01 19:59:21</t>
  </si>
  <si>
    <t>借闪电借款10000元，要买2000元财神黑卡，就是收取变相的砍头息，实际到账8000元，50天后还10493.15元，年化利率高达400%，严重超出国家规定的合法利率24%，请退还财神黑卡2000元！。</t>
  </si>
  <si>
    <t>2019/10/01 19:58:36</t>
  </si>
  <si>
    <t>投诉人吴先生投诉对象及贷涉诉金额4000元问题类型诉求类型投诉详情及贷平台爆通讯录，到处跟亲朋好友打电话，夸大其词。</t>
  </si>
  <si>
    <t>2019/10/01 19:57:52</t>
  </si>
  <si>
    <t>投诉人 徐磊        投诉对象  联动云租车        涉诉金额  0 元    问题类型    诉求类型投诉详情  不能取消驾驶证绑定 也没人人工客服 也不能注销账号</t>
  </si>
  <si>
    <t>2019/10/01 19:56:56</t>
  </si>
  <si>
    <t>投诉人陈先生投诉对象拼多多平台涉诉金额72元问题类型诉求类型投诉详情拼多多平台没有合理和客观的处理，买家购买了两件裤子，只退回一条裤子却申请退两条裤子的钱，平台小二却不按客观实际强制退款的买家，是退货少件，退货少件！购买的两件，只退回一件，却申请退两件的钱，快递包裹是完好的，没有破损，里面只有一条裤子，退货单号700483582197寄件网点揽收重量是0.4kg附有网点揽件重量截图和一条裤子的称重截图0.35kg，我这边发货给买家的快递单号YT9023509741975揽收重量是0.72kg,单一条裤子称重</t>
  </si>
  <si>
    <t>2019/10/01 19:53:26</t>
  </si>
  <si>
    <t>工商银行为这个赌博网站提供收款账号，我没有损失金钱，只是找不到举报方式所以来贵平台试试，只是不想太多人继续被骗下去。</t>
  </si>
  <si>
    <t>2019/10/01 19:52:32</t>
  </si>
  <si>
    <t>投诉人 李女士        投诉对象  聚福钱包        涉诉金额  299 元    问题类型    诉求类型投诉详情  无故扣款。 聚福钱包无故扣款非常强烈的投诉聚福钱包</t>
  </si>
  <si>
    <t>2019/10/01 19:50:34</t>
  </si>
  <si>
    <t>本人2017年开始从拍拍贷平台借款，期间一直都有按时还款，今年5月份本人资金链全断，导致逾期，但是本人也有积极处理，因为从拍拍贷平台借款次数不止一笔，本人又资金紧张，所以导致在处理逾期的时候只能先处理小金额的，从逾期开始，拍拍贷就不停打电话给本人，威胁本人要爆通讯录，我是实在没钱，之后拍拍贷给本人通讯录基本上打遍了，包括本人通讯录里没有的本人之前客户公司的座机也打了一遍，直接导致本人没法在公司工作，只能离职，也致使本人严重抑郁，欠债还钱天经地义，本人没想过不还，只是现在真的没钱，你们总不能让我去偷去抢吧。</t>
  </si>
  <si>
    <t>2019/10/01 19:48:39</t>
  </si>
  <si>
    <t>发短信邀请以贷款名义，，还骂人，希望平台能追回金额儒骂精神损失费。</t>
  </si>
  <si>
    <t>2019/10/01 19:48:09</t>
  </si>
  <si>
    <t>牛人有品在本人表达出愿意归还本金加合法利息的情况下，依旧暴力催收、威胁。</t>
  </si>
  <si>
    <t>2019/10/01 19:47:55</t>
  </si>
  <si>
    <t>10月1日是拍拍贷其中一个借款的还款时间，这之前尝试提前还款失败，我就等着道时间了再还，可是今天十怎么也还不了，卡里有钱，充值上也有钱，尝试很多次很多办法，甚至把代还的卡绑定解除再绑定，也还是还不了，这样明天就违约了，联系客服还联系不到，我在网上也看到了跟我一样的事情发生过，希望给予帮忙处理。</t>
  </si>
  <si>
    <t>2019/10/01 19:47:30</t>
  </si>
  <si>
    <t>上海银生宝为非法博彩公司收单结算资金，请求上海银生宝退还我的血汗钱。</t>
  </si>
  <si>
    <t>2019/10/01 19:47:14</t>
  </si>
  <si>
    <t>投诉人赵先生投诉对象拼多多涉诉金额275元问题类型诉求类型投诉详情拼多多代付被骗了275，商家说发货了，拼多多官方一直打转转，说等什么专员处理，我等了这么久也没看到一个电话。</t>
  </si>
  <si>
    <t>2019/10/01 19:46:22</t>
  </si>
  <si>
    <t>及贷平台变相收取巨额担保费，实在承受不起，。</t>
  </si>
  <si>
    <t>2019/10/01 19:46:13</t>
  </si>
  <si>
    <t>在钱置宝借款2800，没看清借一个月需还款4200，并且到期还款账号里余额充足但是不让我还款，且产生庞大的滞纳金，逾期第二天已经和平台联系，让我等电话会联系我处理，一直至今未处理，滞纳金一天比一天多，主动还款还是还不了。</t>
  </si>
  <si>
    <t>2019/10/01 19:45:29</t>
  </si>
  <si>
    <t>投诉人郭先生投诉对象消费中金涉诉金额299元问题类型诉求类型投诉详情9.30号在聚富分期贷款，并没有通过，卡里也没钱，傍晚从朋友借300快，10月1号从卡里扣除299。</t>
  </si>
  <si>
    <t>2019/10/01 19:45:19</t>
  </si>
  <si>
    <t>贷款30000，平台说我卡号提交错误，让我付20％的解冻金，我让撤销，对方还不愿意，我说报警，对方说报警也处理不了。</t>
  </si>
  <si>
    <t>2019/10/01 19:44:42</t>
  </si>
  <si>
    <t>本人于2019年9月15日在轻周转借款，借款2800元实际到账2800，分4期每期8天，但是每期还款1022元，共需要还款4039元，本人已还前三期，已还够本金，要求销账处理。</t>
  </si>
  <si>
    <t>2019/10/01 19:38:58</t>
  </si>
  <si>
    <t>投诉人田先生投诉对象中国移动涉诉金额78元问题类型诉求类型投诉详情之前有10085工作人员给我说让我升级套餐，之前是68元套餐有活动每月月租28元就可以享受，客服给我打电话说让我升级78元套餐，活动价格34元每个月，然后我同意了，套餐也更改了，后来我还不相信，然后打了客服电话，第一个客服给我说&amp;amp;amp;nbsp;现在就是78元套餐，没有任何的活动，我说能不能更改成之前的68元每月活动价28元，客服说不可以，然后我挂断电话，又打了一遍河南客服10086电话，第二个客服给我说，我的套餐就是78元的套餐是</t>
  </si>
  <si>
    <t>2019/10/01 19:38:43</t>
  </si>
  <si>
    <t>白条分期app上申请借款，填完资料确认就收到扣费提示购买会员249元，然后就是推荐各种借款平台，说白了就是类似中介的平台，联系客服申请退款说要按规定申请5家被拒就可以退款，被拒5家后申请退款又说不符合要求，还是不退款。</t>
  </si>
  <si>
    <t>2019/10/01 19:38:19</t>
  </si>
  <si>
    <t>有一个月受伤一个月没上班借了贷上钱，清风钱包，从此陷入高利贷深渊，高额利息偿还不起，只能又借别的网贷，每个月的工资全部拿来还利息，有一个月晚还一天就打我父母电话，打公司领导电话，害我丢了工作，我现在希望聚投诉能帮协商还款，这几个月我已经支付了7000多的钱来买游戏豆，以前的借款记录贷上钱的人都给我删了，高利贷网贷害了太多的年轻人。</t>
  </si>
  <si>
    <t>2019/10/01 19:38:11</t>
  </si>
  <si>
    <t>投诉人王先生投诉对象叉叉IPA精灵,叉叉助手,广州游顺网络科技有限公司涉诉金额168元问题类型诉求类型投诉详情脚本不能使用，而且不更新，影响用户体验。</t>
  </si>
  <si>
    <t>2019/10/01 19:37:54</t>
  </si>
  <si>
    <t>投诉人孙先生投诉对象及贷涉诉金额2000元问题类型诉求类型投诉详情及贷平台不明事理，朋友欠钱的骚扰电话一直打到我这里来。</t>
  </si>
  <si>
    <t>2019/10/01 19:37:03</t>
  </si>
  <si>
    <t>多宝分期28号到期，本金到账5000，分4期，1期要还1973.95元，4期一共要还7896，当时借没有看到这么高的利息，一个月2896元的利息，利息超出国家的标准，当天在上班没有及时接到电话，催收发来信息，恐吓威胁，不还款就爆通讯录，群发批图发短信，让所有人知道我欠钱了，晚上就开始轰炸我的电话，连续轰炸了2个小时，严重影响了我的工作，这种暴力催收没有人管吗。</t>
  </si>
  <si>
    <t>2019/10/01 19:33:42</t>
  </si>
  <si>
    <t>及贷智享贷恶意收取学堂费，超好费用完全接受不了。</t>
  </si>
  <si>
    <t>2019/10/01 19:33:29</t>
  </si>
  <si>
    <t>九月份月初还款的时候，合同显示就还有两期没还，十月份一看又变成三期没还。</t>
  </si>
  <si>
    <t>2019/10/01 19:32:31</t>
  </si>
  <si>
    <t>本人28号早上申请借款审核成功一直到今天一号都显示放款中，希望钱站今天能快速打款，谁不是急用才借的，你们三四天不到账怎么办。</t>
  </si>
  <si>
    <t>2019/10/01 19:32:13</t>
  </si>
  <si>
    <t>小牛在线理财产品已到期近1年，可是迟迟不能让我提取钱款，公司客服总是说平台清退中，连几千块都提取不了，更别说我们的几十万血汗钱了。</t>
  </si>
  <si>
    <t>2019/10/01 19:29:58</t>
  </si>
  <si>
    <t>微零花有额度不让用，我怀疑人为的，客服说不是，我要求立马恢复我额度，要不然不会再还。</t>
  </si>
  <si>
    <t>2019/10/01 19:28:46</t>
  </si>
  <si>
    <t>暴力催收报通讯录打骚扰电话恐吓他人短信轰炸。</t>
  </si>
  <si>
    <t>2019/10/01 19:28:26</t>
  </si>
  <si>
    <t>一个假公司扣我钱说是审核费，但是交钱就是会员费，服务费，强制每个月申请5个贷款被拒才退钱，分三个月退，诱导我每个月去申请贷款，还有上海烈熊委培抹额都不要我输密码就扣我款，卡分期连公司的电话客服都没有。</t>
  </si>
  <si>
    <t>2019/10/01 19:26:56</t>
  </si>
  <si>
    <t>之前做生意用了京东金条50000额度全部使用，后续慢慢还了4w、生意赔了之后信用卡降额，整个资金链断层，无力偿还，固联系京东金融客服协商还款，未果，并在话没讲完的情况下挂断电话，并施加不还款的罪名，我逾期确实是我的责任，并在逾期之后联系平台寻求解决方案，如果是不还款的话，5w我拿出来就一分不会还了。</t>
  </si>
  <si>
    <t>2019/10/01 19:26:34</t>
  </si>
  <si>
    <t>涉诉金额2700元问题类型诉求类型投诉详情利率非常高已无力还款要求调整降低给条活路。</t>
  </si>
  <si>
    <t>2019/10/01 19:24:15</t>
  </si>
  <si>
    <t>自动扣款，未履行付费带来的方便，误导消费者。</t>
  </si>
  <si>
    <t>2019/10/01 19:23:54</t>
  </si>
  <si>
    <t>高利贷阴阳合同，借款1100，分三期还每个月要还600多。</t>
  </si>
  <si>
    <t>2019/10/01 19:21:34</t>
  </si>
  <si>
    <t>请立即停止违法，退还资金，在国家大庆之际还互联网支付一片蓝天。</t>
  </si>
  <si>
    <t>2019/10/01 19:21:08</t>
  </si>
  <si>
    <t>卧龙钱包高利贷砍头息，今天到期，本金到了1435元，5天还款2207.92，5天利息700多，没接电话，一遍一遍的短信催收，轰炸我电话，不还款就通知我通讯录里面所有的亲朋好友，告诉他们我诈骗，要爆通讯录，群发批图，骚扰恐吓，请有关部门严查套路贷。</t>
  </si>
  <si>
    <t>2019/10/01 19:20:17</t>
  </si>
  <si>
    <t>投诉人赵先生投诉对象广州招聘王企业管理服务有限公司涉诉金额0元问题类型诉求类型投诉详情广州招聘王企业管理服务有限公司，在微信公众号《深圳兼职全职》发布国庆兼职招聘信息，本人通过公众号上的联系方式联系招聘人，约好10月1日下午2点在深圳后海地铁站H出口集合签到，本人准时到达约定地点签到，领队让我们在那里等他去领工作服。</t>
  </si>
  <si>
    <t>2019/10/01 19:14:15</t>
  </si>
  <si>
    <t>哆咪黑卡以诱导方式开通支付通道，无故扣款199元，并在扣款后无法再次登录！哆咪黑卡是从熊分期中进去！。</t>
  </si>
  <si>
    <t>2019/10/01 19:09:17</t>
  </si>
  <si>
    <t>不知为什么，聚福钱包突然扣款299，希望彻查。</t>
  </si>
  <si>
    <t>2019/10/01 19:08:58</t>
  </si>
  <si>
    <t>退款，系统bug导致我只能买一张票，我两个人，结果我要退款，告知我无法退款，这不是霸王条款是什么，还说有告知页面有无法退票的显示，结果我一看是有，但是好小，这不仅霸王条款还存在欺骗。</t>
  </si>
  <si>
    <t>2019/10/01 19:07:24</t>
  </si>
  <si>
    <t>投诉人娄先生投诉对象米来花涉诉金额12600元问题类型诉求类型投诉详情我在米来花借款4次，每次都提前收取百分之30的利息一共多收取12600元，每次都是借3000扣900到账2100，希望赶紧处理，不然报警告他们敲诈勒索了。</t>
  </si>
  <si>
    <t>2019/10/01 19:06:58</t>
  </si>
  <si>
    <t>投诉人 戴先生        投诉对象  既有分期        涉诉金额  3 000 元    问题类型    诉求类型投诉详情  借六千，要还一万多。已经还了一年了，要求只还本金，停止骚扰</t>
  </si>
  <si>
    <t>2019/10/01 19:04:02</t>
  </si>
  <si>
    <t>两期都扣款成功，但是都是显示逾期！客服联系不上。</t>
  </si>
  <si>
    <t>2019/10/01 19:03:27</t>
  </si>
  <si>
    <t>投诉人钟先生投诉对象北京龙创悦动网络科技有限公司涉诉金额7000元问题类型诉求类型投诉详情该公司旗下游戏守望黎明游戏中存在工作人员恶意刺激玩家消费，并且无故对玩家做出禁言处理。</t>
  </si>
  <si>
    <t>2019/10/01 19:03:08</t>
  </si>
  <si>
    <t>投诉人姚先生投诉对象淘宝网,淘宝用户tb063106419涉诉金额300元问题类型诉求类型投诉详情我对我接下来所说的所有内容负法律责任淘宝账号47******0@qq.com现在被处罚情况淘宝封禁支付宝封禁支付转账所有功能封禁不惜一切代价将此案件申诉至还我清白聊天凭证三个客服6573e9ec|20190901|20191001|cntaobao坑萌萌|cntaobao泰叹酒f4dcb390|20190901|20191001|cntaobao坑萌萌|cntaobao夏泓羽c34a4201|20190901|</t>
  </si>
  <si>
    <t>2019/10/01 19:02:36</t>
  </si>
  <si>
    <t>投诉人郎先生投诉对象国泰产险,淘宝网涉诉金额12元问题类型诉求类型投诉详情买家填写退货快递单号正确，核实无误，且卖家收到货后同意退款，买家退货时间均在7天之内，也在确认收货之前申请的退货退款，不知道为什么邮费险拒赔，还找不到保险客服，无法咨询情况，故投诉。</t>
  </si>
  <si>
    <t>2019/10/01 19:02:15</t>
  </si>
  <si>
    <t>投诉人谢锋投诉对象聚富分期涉诉金额50元问题类型诉求类型投诉详情不经授权直接扣款。</t>
  </si>
  <si>
    <t>2019/10/01 19:00:32</t>
  </si>
  <si>
    <t>投诉人陈女士投诉对象畅捷支付,自由魔卡,超级马力贷,六便士,诺和信用计划涉诉金额5300元问题类型诉求类型投诉详情在自由魔卡里提供的超级马力贷，借款2000元，以收取会员费为由变相砍头540元，借款期限30天，自由魔卡的诺和信用计划一开始以加入信用计划为由收取了260元的信用计划卡费，而后又以备付金为由收取了65元费用，即共收取了325元的高额前期，实际到账金额只有935元，周期30天，到期需还1336元在自由魔卡超级马力贷借款2000元，以收取会员费为由变相收取540元砍头息，借款期限30天，我在自由魔卡</t>
  </si>
  <si>
    <t>2019/10/01 18:59:26</t>
  </si>
  <si>
    <t>投诉人齐女士投诉对象唯品会涉诉金额4898元问题类型诉求类型投诉详情2019年9月19号在唯品会下单苹果XR，次日20号到货激活使用，23号视频聊天开着免提有电流声，刺拉刺拉响，没太在意，到24号视频聊天开着免提还有电流声，意识到是手机的问题，联系唯品会客服说要我提供苹果售后的检测报告才给退手机，我告诉他们我们这里是小地方没有苹果售后，我说，你们可以提供地方我邮过去检测，客服说48小时给我处理结果，结果我等了48小时没人联系我，我又给唯品会客服打电话，客服说24小时给我苹果售后地址，然后我又等了24个小时，</t>
  </si>
  <si>
    <t>2019/10/01 18:59:08</t>
  </si>
  <si>
    <t>投诉人琚先生投诉对象厦门悦游网络科技有限公司涉诉金额5000元问题类型诉求类型投诉详情天域苍穹游戏关服了，充值了有将近5000，然后我找客服想叫他们补偿点平台币。</t>
  </si>
  <si>
    <t>2019/10/01 18:58:55</t>
  </si>
  <si>
    <t>投诉人刘女士投诉对象广发银行信用卡涉诉金额3500元问题类型诉求类型投诉详情我是一名农村妇女，几年前因家庭原因遭受老公折磨，精神一度严重抑郁，甚至轻生，这个时候一个老公的朋友推荐办了广发信用卡，不知道广发银行信用卡的工作人员怎么审核的客户资质傻子也可以吗，账单汇报错误不说说的两个工作日内回复电话给我，结果拖拉了四五天才给我回电话，总是推脱，并且以返还利息诱导我不要再打电话纠缠，征信不能给予修复，难道银行利息可以退，征信就不管了吗，强烈要求还我公道还我孩子的大好前程，不要拿我的生命开玩笑，如果这个问题得不到解</t>
  </si>
  <si>
    <t>2019/10/01 18:58:29</t>
  </si>
  <si>
    <t>现金巴士，申请1000元借款，砍头息200，到手800元，还了第一个月，第二期因为有情况导致账单逾期，逾期后，现金巴士以每天10块钱的利息累计了15天，现在联系我要我还款，还威胁我不还款就联系第三方。</t>
  </si>
  <si>
    <t>2019/10/01 18:57:31</t>
  </si>
  <si>
    <t>因为不充值会员就无法大量转换视频，故今天下午我花费88元充值了迅捷视频转换器的终身会员，但是之后的视频全部转换失败，需要全额退款，但找不到售后服务。</t>
  </si>
  <si>
    <t>2019/10/01 18:55:52</t>
  </si>
  <si>
    <t>我在人人贷贷款一万块钱到还款时发现要还11662.5元其中利息57元，所谓的相关费用335.98元，还有服务费11662.5元国家规定收取服务费就不合法的还有未到还款日就有催收电话打来说赶紧还款，我还未说话就挂电话，这是什么行为。</t>
  </si>
  <si>
    <t>2019/10/01 18:55:12</t>
  </si>
  <si>
    <t>借款平台下载好之后，资料填写完绑定银行卡之后没有标明收费，然后银行卡立马钱就被扣了，联系电话是空号，人工服务没人理，全是假的，我想把钱要回来。</t>
  </si>
  <si>
    <t>2019/10/01 18:52:17</t>
  </si>
  <si>
    <t>希望立马停止骚扰，并且停止发短信打电话等手段。</t>
  </si>
  <si>
    <t>2019/10/01 18:51:20</t>
  </si>
  <si>
    <t>投诉人 高先生        投诉对象  拍拍贷        涉诉金额  350 元    问题类型    诉求类型投诉详情  具体原因我也说个，时间给我没错 我说过的也没做到 但是我也没办法 我肯定会还的</t>
  </si>
  <si>
    <t>2019/10/01 18:51:11</t>
  </si>
  <si>
    <t>投诉人尹先生投诉对象月光侠分期涉诉金额3000元问题类型诉求类型投诉详情借款显示3000元，到帐2100元，还款三个月，每月还款1051，我去，这是借2100还3153啊！这是超级高利贷啊，我招联借一万一年期才还一万一！好几次短信提醒我才仔细看看！太坑了这个！严重投诉啊，不解决百度那继续投！。</t>
  </si>
  <si>
    <t>2019/10/01 18:51:02</t>
  </si>
  <si>
    <t>最近我是在中国保险万事通才看到自己在不知情的情况下购买了保险！在此本人有权怀疑合众人寿保险与借款平台由保险费变相砍头息的恶意行为，这种捆绑式的销售，严重欺骗顾客，严重违反国家法律！本人希望尽快退保，并退款，已经严重侵犯个人权益了。</t>
  </si>
  <si>
    <t>2019/10/01 18:50:40</t>
  </si>
  <si>
    <t>投诉人王奇投诉对象即有分期涉诉金额500元问题类型诉求类型投诉详情既有分期多次催收部门打电话恐吓威胁，给房子改风水，家人安全等，本人录音后联系既有客服，客服答复不是既有催收人员所为不给解决，录音中明确既有工作人员，后又读取通讯录，给朋友家人发短信，以严重形象各人生活。</t>
  </si>
  <si>
    <t>2019/10/01 18:49:39</t>
  </si>
  <si>
    <t>本人于2018年12月在51人品贷贷款50500分24期还至今已还本金17539.85➕利息3855.04➕服务费15454.31，本人于2018年12月在51人品贷贷款50500分24期还至今已还本金17539.85➕利息3855.04➕服务费15454.31 近期想要提前结清 但是对于提前结清的各项费用多次对客服提出质疑 与平台签订的服务协议上关于提前结清这项内容明确规定 提取结清除了应交本期本金利息以及服务费之外 应对剩余服务费进行减免 但是提前结清页面显示各项费用=当前服务费➕提前结清手续费 其中提</t>
  </si>
  <si>
    <t>2019/10/01 18:49:32</t>
  </si>
  <si>
    <t>在初次放票没有抢到票后，根据美团“备选方案”提示建议，增加跨站抢票，一直在以反问和美团抢票页面没有提示，九月三十号晚上抢到从日照到临沂的火车票，准备上车补票，当我补票的时候工作人员告诉我从临沂到日照的票几乎全是空的，为什么不直接买直达的票，并且为了方便帮我补了原座位从临沂到日照的票，这说明美团抢到的14号车厢15号上铺的票，明明可以是直达到日照，美团却优先把车票变成到临沂，以至于我多花了几乎和原车票一样的钱，只为了补最后两站车票，在我买票包括选择跨站抢票的过程中，美团始终没有明确的提示告诉我跨站抢票的规则是</t>
  </si>
  <si>
    <t>2019/10/01 18:47:56</t>
  </si>
  <si>
    <t>本来日子就不好过，想出去挣点钱，没想到遇到这个公司，真是雪上加霜啊，恳请聚投诉能帮帮我！。</t>
  </si>
  <si>
    <t>2019/10/01 18:46:32</t>
  </si>
  <si>
    <t>一直不到账，客服电话为空号，网站进不去，找不到处理部门。</t>
  </si>
  <si>
    <t>2019/10/01 18:46:01</t>
  </si>
  <si>
    <t>同程旅游中萤火虫小贷 高利贷 暴力催收 在本人不知情的情况下 爆通讯录 涉嫌侵犯个人隐私权 还说继续打电话给我朋友 并强制购买购物卡 利率超出正常国家利率 如果再骚扰本人通讯录 本人已报警 将依法处理这件事情 还群发短信 国家严厉打击的情况下 同程旅游公然为高利贷做平台。</t>
  </si>
  <si>
    <t>2019/10/01 18:44:29</t>
  </si>
  <si>
    <t>造艺科技恶意扣款上次投诉答应给我退，到现在不退，所以再次投诉，。</t>
  </si>
  <si>
    <t>2019/10/01 18:44:02</t>
  </si>
  <si>
    <t>本来想借款的，申请期间在本人不知情的情况下扣款250元，没有明确告知我要收钱，不然我也不会去申请，严重侵犯了我的知情权，我强烈要求退还。</t>
  </si>
  <si>
    <t>2019/10/01 18:43:24</t>
  </si>
  <si>
    <t>08:37:34看房时，销售告知电费分摊方式是公共区域均摊，各自房间各自承担；但实际却是不管公共区域还是自己的房间都是均摊，多次联系客服，给的反馈是这是销售个人的承诺，公司会对销售问题核实处理，但电费只能均摊，这是最终的解决方案，我回问他们，是不是销售的话不能信，合同上没写明的水燃费如何计算合同上写得明明白白，但是电费并未写明分摊方式，我得向谁了解，不是销售是谁，现在把锅都甩给销售，难道看房时销售不代表你们蛋壳吗，这难道不是你们蛋壳的责任吗，不管是在线客服还是电话客服，在我多次询问蛋壳有没有责任，有的话请赔</t>
  </si>
  <si>
    <t>2019/10/01 18:42:32</t>
  </si>
  <si>
    <t>看看这利息，一个利息，一个服务费，请问你服务我哪里了，每个月本金才1370，服务费加利息比本金都多。</t>
  </si>
  <si>
    <t>2019/10/01 18:42:23</t>
  </si>
  <si>
    <t>16年购买的海尔滚筒洗衣机，18年就出现噪音增大现象，奔着海尔的质量和服务，认为没事，19年出现自动洗衣不能完成，致电客服，维修到场说无法判定，需要拉走，晚上回复内筒外筒和轴承都需要更换，六百费用，超出了三年，和维修交流，刚修完一个一年半内外筒损坏，海尔洗衣机质量堪忧，海尔已经不是以前的海尔了。</t>
  </si>
  <si>
    <t>2019/10/01 18:42:07</t>
  </si>
  <si>
    <t>投诉人孙先生投诉对象中信银行涉诉金额50000元问题类型诉求类型投诉详情信用卡分期成功，未能及时取消，影响到我正常的用卡权益，导致我损失，信用卡客服中心员工工号GK160421和GK130210，以业务规则、系统原因等借口不予处理，且业务知识差，态度差。</t>
  </si>
  <si>
    <t>2019/10/01 18:41:26</t>
  </si>
  <si>
    <t>投诉人 张先生        投诉对象  拍拍贷        涉诉金额  2 800 元    问题类型    诉求类型投诉详情  高达百分之35过的 逾过1次期 工号1117的男的 说他们就可以高利 叫我尽量投诉 拿他们拍拍贷是没办法的 钱 你1块都少不了 减不了不还继续加逾期费</t>
  </si>
  <si>
    <t>2019/10/01 18:40:20</t>
  </si>
  <si>
    <t>投诉人游新颖投诉对象支付宝涉诉金额85元问题类型诉求类型投诉详情支付宝用了10来天吧，因为我14岁，还在上初中，没有身份证没有银行卡，然后就是用的户口本上的身份证号码，今天在超市就是扫了一下码付了个款，然后到别的地方去买东西，支付宝就不能用了，人工客服也联系不到,在别的官网上登也是不能登录，然后支付宝APP上一直让我输入卡号，我没有银行卡，我希望能给我恢复账号。</t>
  </si>
  <si>
    <t>2019/10/01 18:39:52</t>
  </si>
  <si>
    <t>投诉人郭先生投诉对象永安财产保险公司涉诉金额593元问题类型诉求类型投诉详情最近我是在中国保险万事通才看到自己在不知情的情况下购买了保险！在此本人有权怀疑永安保险与借款平台由保险费变相砍头息的恶意行为，联系永安保险客服要求退保退款，而永安保险已结清贷款为由才能退保，拒绝我的退保退款申请，这种捆绑式的销售，严重欺骗顾客，严重违反国家法律！本人希望尽快退保，并退款，已经严重侵犯个人权益了。</t>
  </si>
  <si>
    <t>2019/10/01 18:39:44</t>
  </si>
  <si>
    <t>期限六天，借款4000元，到手2500元，严重超过国家规定利息。</t>
  </si>
  <si>
    <t>2019/10/01 18:39:37</t>
  </si>
  <si>
    <t>借款到账金额4000实际合同上的借款本金是4400。</t>
  </si>
  <si>
    <t>2019/10/01 18:38:06</t>
  </si>
  <si>
    <t>在小魔鱼平台借款4000元到账2600元，6天还款4000元，利息实在太高了，我和平台协商我说3000块钱我还但是客服不同意，希望平台可以给我解决。</t>
  </si>
  <si>
    <t>2019/10/01 18:37:00</t>
  </si>
  <si>
    <t>2019/10/01 18:36:12</t>
  </si>
  <si>
    <t>本人于2019年3月份与8月份在安逸花进行借款时，未经本人许可，安逸花强行搭售保险与其它产品。</t>
  </si>
  <si>
    <t>2019/10/01 18:34:36</t>
  </si>
  <si>
    <t>投诉人 汪涛        投诉对象  晋商消费金融        涉诉金额  1 835 元    问题类型    诉求类型投诉详情  无故扣卡里的钱。这天下没王法了？晋商消费金融这么强盗一样国家不管？</t>
  </si>
  <si>
    <t>2019/10/01 18:34:29</t>
  </si>
  <si>
    <t>投诉人李先生投诉对象MY钱包涉诉金额4000元问题类型诉求类型投诉详情my钱包套路贷，本来说是循环额度，结果还进去后无法再次使用，套路贷，要求恢复额度，继续使用，而且利息相当高，借4000还4840。</t>
  </si>
  <si>
    <t>2019/10/01 18:34:20</t>
  </si>
  <si>
    <t>投诉人李先生投诉对象雅思兰贷涉诉金额4000元问题类型诉求类型投诉详情期限六天，借款4000只到手2400元，严重超过国家规定利息。</t>
  </si>
  <si>
    <t>2019/10/01 18:33:49</t>
  </si>
  <si>
    <t>我从2018年开始在该公司开始借款，叫轻量子的时候每次会员费300—500不等，后来改名为零压贷，每次都要收取500的会员费，前后累积已经收取会员费高达几千元左右，就这样该平台说不为我服务就立马终止贷款服务了，现在要求退还砍头息，因为该平台聪明的很把历史账单都隐藏了，客户查不到，所以我只能提供能查到的银行流水！。</t>
  </si>
  <si>
    <t>2019/10/01 18:33:16</t>
  </si>
  <si>
    <t>可是刚绑定了银行卡就莫名其妙扣了50说是什么申请资格评估费，我连扣款验证码都没收到，。</t>
  </si>
  <si>
    <t>2019/10/01 18:32:58</t>
  </si>
  <si>
    <t>投诉人王先生投诉对象青春宝,立借涉诉金额3000元问题类型诉求类型投诉详情客服联系说必须要还400元，不然无法销账！本人于2019年9月3号通过立借APP一键申请青春宝贷款3000元，实际到账2250元，砍头750元，还款周期28天，7天一还，每期还款770.37元，超过法定利率，本人已经偿还3期，共计2311.11元，已还完本金，因本人债务爆发，无力偿还第四期账单，要求立借青春宝与本人联系协商还款。</t>
  </si>
  <si>
    <t>2019/10/01 18:32:53</t>
  </si>
  <si>
    <t>信用卡逾期了不到十天客服即频频的拨打电话，先是电脑语音然后是人工，今天来电客服态度很差，照本宣科的进行暴力催收，我连插话的机会都没有，对方一直态度恶劣的质问我为什么不还钱，最后限我在十五分内还上欠款并威胁要通知家人，最后不由分说的挂掉电话，在此郑重声明如果对方拨打家人及朋友电话我一定加大投诉力度。</t>
  </si>
  <si>
    <t>2019/10/01 18:31:18</t>
  </si>
  <si>
    <t>涉诉金额3722元问题类型诉求类型投诉详情本月资金周转出现困难，希望马上消费金融安逸花与我协商下还款时间，所产生的逾期费用本人可以承担。</t>
  </si>
  <si>
    <t>2019/10/01 18:31:02</t>
  </si>
  <si>
    <t>本人无意中查知，易安先后在本人不知情的情况下搭售了保险，保险名目为借款人意外伤害险，希望易安保险公司能够尽快处理此事，全额退还不知情下所扣掉的保费，，如不及时处理，我会到相关部门举报并联系媒体曝光+银保监会投诉。</t>
  </si>
  <si>
    <t>2019/10/01 18:30:54</t>
  </si>
  <si>
    <t>骚扰诽谤，严重影响了正常的生活，恐吓，盗取手机通讯录，侵犯了他人的隐私，。</t>
  </si>
  <si>
    <t>2019/10/01 18:30:48</t>
  </si>
  <si>
    <t>在消费者不知情的情况下恶意扣款用作信息查询。</t>
  </si>
  <si>
    <t>2019/10/01 18:30:31</t>
  </si>
  <si>
    <t>在微信卡卡贷上借了一万一,一共分了3期，每个月需要还利息3974.67，年综合利息高达百分之33.6不仅如此，这个平台还和担保公司合作，扣了我798的担保费，这样一算利息高达41了，典型的套路贷，高利贷！我只想还本金，或者年化24%以内的利息！而且放款后还扣了保险费，捆绑销售！这种公司还能上征信真的没救了！。</t>
  </si>
  <si>
    <t>2019/10/01 18:29:53</t>
  </si>
  <si>
    <t>逾期不是故意逾期，逾期你们收了罚息，违约金，利息等，10号准时还款，你们的催收人员每次的电话本人都在接听与其沟通，还款意愿强烈，也愿意接受罚息，违约金，说实话网贷多，本月只能等10号工资统一还款，请不要骚扰，打本公司的电话，影响本人还款的唯一收入，你们的催收人员爆过本人通讯录，打过本公司的电话，因此也丢过工作，希望停止暴力催收，合理协商。</t>
  </si>
  <si>
    <t>2019/10/01 18:29:40</t>
  </si>
  <si>
    <t>本人于2019年1月在工银E生活App中的贷款Mall中向马上消费金融贷款3500元整，分9期归还，现已经还了8期，在九月份通过朋友才得知本人这笔贷款年化利率已经远超国家法律规定的24%，现本人通过贵平台向马上消费金融要求按国家法律规定的年华利率24%来给予本人把贷款结清。</t>
  </si>
  <si>
    <t>2019/10/01 18:29:17</t>
  </si>
  <si>
    <t>其中包含所谓的游戏购物费用400,明显变相砍头息。</t>
  </si>
  <si>
    <t>2019/10/01 18:29:10</t>
  </si>
  <si>
    <t>投诉人何先生投诉对象钱置宝涉诉金额3000元问题类型诉求类型投诉详情已经和客服协的还清款，但是催收又打电话㑩我还钱。</t>
  </si>
  <si>
    <t>2019/10/01 18:28:47</t>
  </si>
  <si>
    <t>豹子贷恶意扣款了299元，这是我的生活费，感谢聚投诉，感谢造艺科技。</t>
  </si>
  <si>
    <t>2019/10/01 18:27:19</t>
  </si>
  <si>
    <t>投诉人丁先生投诉对象信用管家,树林分期涉诉金额3000元问题类型诉求类型投诉详情在信用管家借款3000元，实际到账2250，七天一期，现在已经还款三期，无法联系到客服，希望本金加利息销账。</t>
  </si>
  <si>
    <t>2019/10/01 18:27:18</t>
  </si>
  <si>
    <t>我于2019年1月8号通过人人车平台购买了一辆二手车，并与1月23日已完成过户手续，当时买车时给人人车交了500元押金，人人车说押金是在过户后七个工作日内返还，直到现在已经8个多月了也没有退还，网上一查看很多人都是这样情况，我打过多次电话，就是一直各种理由拖着不退，全说是让专人回复，结果就没下文了。</t>
  </si>
  <si>
    <t>2019/10/01 18:27:07</t>
  </si>
  <si>
    <t>1、本人于2017年12月19日购买信而富会员一年期，，而到2018年9月份就被信而富强行搭售牙刷、雨伞等物品进行强行消费才能借款，所谓的“会员”名存实亡，信而富这种收取以购物为由变相利息的行为，产生的利息远远高于国家法定标准，请信而富及关联单位作出解释、道歉及退款。</t>
  </si>
  <si>
    <t>2019/10/01 18:26:31</t>
  </si>
  <si>
    <t>投诉人齐女士投诉对象淘票票涉诉金额71元问题类型诉求类型投诉详情我订的票，忘记去看了，不让他们退款，说让改签，不给改。</t>
  </si>
  <si>
    <t>2019/10/01 18:25:12</t>
  </si>
  <si>
    <t>投诉人陈先生投诉对象滴滴公司涉诉金额128元问题类型诉求类型投诉详情滴滴这个吸血鬼平台搞这个奖励出来完全是想把司机师傅们往死里搞9月30号为了完成任务午饭都没吃到晚上将近9点才回家吃饭该死的平台居然把我辛辛苦苦跑出来的奖励吃点打客服电话完全在推脱希望这个投诉能帮到我。</t>
  </si>
  <si>
    <t>2019/10/01 18:24:58</t>
  </si>
  <si>
    <t>嗨钱网借款4000，到账4000后立马扣除800，富友放款4000宝付扣款800，现要求嗨钱网退回砍头息，并且按36％年化率还款，退回多出的钱，共计1354元。</t>
  </si>
  <si>
    <t>2019/10/01 18:24:19</t>
  </si>
  <si>
    <t>平安不会当时说的是年利率8%，然后给我们贷款，结果年利率达到多少，你自己算你也别骗老百姓，现在我还到12000，还差你5000块钱，你这利率怎么算的，我一个月还你本金800你利息311总共加起来，我一个月还你1110多，我想你是把我当傻子，还是说你这个比高利贷还高利贷呢，把之前还的多余的钱全部给我退，一次性给我退回来。</t>
  </si>
  <si>
    <t>2019/10/01 18:23:05</t>
  </si>
  <si>
    <t>合同显示借款3900，实际到账3000分期3月每月还款1780.。</t>
  </si>
  <si>
    <t>2019/10/01 18:23:00</t>
  </si>
  <si>
    <t>联动云租车平台，服务态度极其恶劣，计时租车，一到200的额度，自动锁车，不允许客户使用，希望官方核实，严查，这种属于坑消费者！！！。</t>
  </si>
  <si>
    <t>2019/10/01 18:20:57</t>
  </si>
  <si>
    <t>客服跟我说我当时没同意那个方案现在又说什么政策变了。</t>
  </si>
  <si>
    <t>2019/10/01 18:20:13</t>
  </si>
  <si>
    <t>给我手机的所以联系人发信息，我在沟通处理，打电话恐吓我，逾期一天100，说不怕投诉，有本事举报，。</t>
  </si>
  <si>
    <t>2019/10/01 18:19:36</t>
  </si>
  <si>
    <t>投诉人 肖寒        投诉对象  先花一亿元        涉诉金额  500 元    问题类型    诉求类型投诉详情  交了测评费。没下款。联系不到客服。也没人联系我</t>
  </si>
  <si>
    <t>2019/10/01 18:19:00</t>
  </si>
  <si>
    <t>乱扣钱，打电话给客服，客服叫弄什么流程要十多二十天，这样下来有什么意思。</t>
  </si>
  <si>
    <t>2019/10/01 18:18:43</t>
  </si>
  <si>
    <t>本人7月19日左右在立借借款12000元，分12期，实际前3期就要换15000多，简直就是变相的高利贷，打着国家规定利率36%的擦边球，而且提前还款不提供减免，本人要求提前还清所有欠款并协商减免，希望相关客服看到后进款联系协商。</t>
  </si>
  <si>
    <t>2019/10/01 18:18:15</t>
  </si>
  <si>
    <t>投诉人孙先生投诉对象小黑鲨涉诉金额460元问题类型诉求类型投诉详情本人听信广告误入小黑鲨高利贷平台，借款3000元要多付660元的砍头息，由于他们平台给了50元减高利息券，本人不得不提前还完，现要求小黑鲨退回我的砍头息已减去减息券200退回我460元。</t>
  </si>
  <si>
    <t>2019/10/01 18:17:45</t>
  </si>
  <si>
    <t>投诉人杨雪投诉对象今借到涉诉金额15000元问题类型诉求类型投诉详情我在微信公众号上跟人家打的借条，线下交易，反复用了两个月吧，利息给了一万多了，现在本金欠了5000，还了3500，说可以销账。</t>
  </si>
  <si>
    <t>2019/10/01 18:16:17</t>
  </si>
  <si>
    <t>投诉人张女士投诉对象小邓海鲜涉诉金额465元问题类型诉求类型投诉详情本人于9月29日下午在大连熟食品交易中心小邓海鲜处买了17只飞蟹，30日中午蒸了6只，三只里面全是水，没有任何一点点肉，三只正常的，找商家反映质量问题，商家说全市场都是这样的，态度极其恶劣，让把螃蟹活着拿回去才给退款，期间多次强调他们整个市场都这样，爱怎样怎样，期间说到投诉，丝毫不把消协当回事，直言随便投诉，之后为了证明他螃蟹有问题，本人把余下的11只飞蟹拍视频打开，大多数都是一包水，一点点肉什么都没有，遂投诉贵处，望解决，钱不多，但是这种</t>
  </si>
  <si>
    <t>投诉人曹先生投诉对象北京龙创悦动网络科技有限公司涉诉金额15000元问题类型诉求类型投诉详情无缘无故封我账号，20天充值了15000，你可以随便封，请退钱。</t>
  </si>
  <si>
    <t>2019/10/01 18:13:26</t>
  </si>
  <si>
    <t>优酷恶意扣费，莫名其妙的从我微信里扣钱，扣了106。</t>
  </si>
  <si>
    <t>2019/10/01 18:11:40</t>
  </si>
  <si>
    <t>投诉人付先生投诉对象带上钱涉诉金额2600元问题类型诉求类型投诉详情借的2000，还的时候2600，借的时候没有明确说有600费用，利息也收了。</t>
  </si>
  <si>
    <t>2019/10/01 18:11:20</t>
  </si>
  <si>
    <t>投诉人李先生投诉对象小米贷款涉诉金额25000元问题类型诉求类型投诉详情小米贷款开通额度，使用后，突然关闭额度，本来是循环额度，现在导致无法使用，要求小米贷款恢复额度，继续使用，不在出现套路贷。</t>
  </si>
  <si>
    <t>2019/10/01 18:10:24</t>
  </si>
  <si>
    <t>投诉人 郭先生        投诉对象  分期通        涉诉金额  249 元    问题类型    诉求类型投诉详情  申请退款 不给我退 态度坚决就是不退 只能开不能退 诱导我们开会员</t>
  </si>
  <si>
    <t>2019/10/01 18:10:15</t>
  </si>
  <si>
    <t>投诉人蒋女士投诉对象畅捷支付,自由魔卡,超级马力贷涉诉金额2000元问题类型诉求类型投诉详情自由魔卡中的超级马力贷，借款2000元，期限30天，需要先缴纳500元会员费才可下款，但是并无实质会员内容，就是为了下款用，不缴纳不下款，到期还款2060元，也就是说实际借款1500元到期还款2060元，严重超出国家规定标准，我在该平台借款数次，利息已经高于本金，希望与超级马力贷沟通，协商解决欠款事宜。</t>
  </si>
  <si>
    <t>2019/10/01 18:10:09</t>
  </si>
  <si>
    <t>安逸花在我已经还清账单的情况下依然从我银行卡里扣了两次钱，一次25一次198.25，安逸花好赖也是正规的大公司，怎么可以这么随意的从用户卡里扣钱呢，还有没有王法了，置国家的法律法规为何物。</t>
  </si>
  <si>
    <t>2019/10/01 18:08:14</t>
  </si>
  <si>
    <t>投诉人李先生投诉对象京东金融涉诉金额26638元问题类型诉求类型投诉详情18年5月6月时，手机出现多笔支付订单。</t>
  </si>
  <si>
    <t>2019/10/01 18:07:57</t>
  </si>
  <si>
    <t>打着国家法定利率36%的擦边球，实际上是高利贷，并且不提供提前还款入口，提前还款没有见面，现本人要求结清所有借款并且协商减免费用，希望客服看到后尽快联系。</t>
  </si>
  <si>
    <t>2019/10/01 18:06:55</t>
  </si>
  <si>
    <t>投诉人徐先生投诉对象借贷宝涉诉金额4500元问题类型诉求类型投诉详情个人在借贷宝平台放高利贷，弄假的借条，诱导别人，打了借条，不给别人钱。</t>
  </si>
  <si>
    <t>2019/10/01 18:06:35</t>
  </si>
  <si>
    <t>本人在2019年9月18号在信用管家好运金借3000元到账2250，28天分4期每期还772.48元现以还1期772.48，这以超过国家规定的利率。</t>
  </si>
  <si>
    <t>2019/10/01 18:05:27</t>
  </si>
  <si>
    <t>本人在融360平台借款的你我贷申请金额4000元分12期，已经完全超过国家规定利息，要求减免超出利息！结清贷款。</t>
  </si>
  <si>
    <t>2019/10/01 18:02:29</t>
  </si>
  <si>
    <t>投诉人向先生投诉对象淘手游涉诉金额2300元问题类型诉求类型投诉详情9月29日卖了一个手游的账号，我在卖之前就说明了已经绑定了手机邮箱，手机可以换绑，邮箱可以赠送邮箱虽然实名了但是不是自己的身份证，可以提供身份证查询，买家买下来以后改了所有绑定反手一个仲裁，2天以后客服才回复，让我和买家协调，这个平台私聊功能都不能用让我怎么协调，游戏里私聊买家也根本不回复我，现在平台卡着钱买家拿着我的号一天玩的不亦乐乎我现在什么都没了。</t>
  </si>
  <si>
    <t>2019/10/01 18:01:49</t>
  </si>
  <si>
    <t>本人于2018年4月后分九次在小花钱包借款共计49000元，后一直按时还款，现在因为资金不足逾期，期间多次电话骚扰朋友家人同事，言语侮辱恐吓，多次短信轰炸，以致于现在失业，更加没有还款来源，详细看了借款合同，每个合同都有服务费，砍头息，要求停止暴力催收。</t>
  </si>
  <si>
    <t>2019/10/01 18:00:24</t>
  </si>
  <si>
    <t>元分三期，含有好信码，变相砍头息，在我上两期还款已经达到，天逾期，特此借聚投诉平台跟商家协商解决问题。</t>
  </si>
  <si>
    <t>2019/10/01 17:59:47</t>
  </si>
  <si>
    <t>投诉人 杨先生        投诉对象  建设银行        涉诉金额  15 000 元    问题类型    诉求类型投诉详情  本人举报建设银行 购机违法商户给赌博平台提供支付结算 涉赌商户希望银行交给当地公安机关 违规商户广州蓝瑜百货商行 银行帐号 62*************1</t>
  </si>
  <si>
    <t>2019/10/01 17:57:51</t>
  </si>
  <si>
    <t>投诉人吴先生投诉对象马上消费金融涉诉金额3300元问题类型诉求类型投诉详情快一年了每个月都有，隐形欺骗消费者，每个月服务费收双份。</t>
  </si>
  <si>
    <t>2019/10/01 17:57:46</t>
  </si>
  <si>
    <t>投诉人褚先生投诉对象造艺科技涉诉金额299元问题类型诉求类型投诉详情私自划扣银行卡里的钱，截图都是九月五号的，打电话给客服就和稀泥瞎比搞一直说有人会联系但是并没有一直拖拖拖，今天说要ems给提交身份证和拿身份证照片给他们不知道有什么想法。</t>
  </si>
  <si>
    <t>2019/10/01 17:57:32</t>
  </si>
  <si>
    <t>投诉人颜先生投诉对象瀚银科技,瀚银支付涉诉金额29077元问题类型诉求类型投诉详情本人在网上被人诱骗以做兼职，赚流水等理由被人拉进兼职群，以购买彩票方式赚取佣金，后来才知道是非法赌博平台，骗取我的血汗钱！请求瀚银公司为我讨回公道！。</t>
  </si>
  <si>
    <t>2019/10/01 17:57:30</t>
  </si>
  <si>
    <t>2019/10/01 17:57:28</t>
  </si>
  <si>
    <t>投诉人吴先生投诉对象豹子贷涉诉金额299元问题类型诉求类型投诉详情2019年9月26日从豹子APP平台审请贷款时，需要评估费299元，我卡里没钱了，后来自动扣去我卡里299，联系客服也一直在排队，现在我想退出豹子贷借款平台，取退回我的费用。</t>
  </si>
  <si>
    <t>2019/10/01 17:55:56</t>
  </si>
  <si>
    <t>查看借款合同时候看见不同的放款方，而且翼支付客服却说无法随意变更放款方，但是又无缘无故帮我变更了放款方，同时要求换回原来放款方而翼支付说不能变更，事实却不是翼支付口中的无法随意变更，无法变更只是借口，而是他们想怎么样就怎么样，而且我当时资料授信是我原放款方，但是现在翼支付随意把资料给了别的放款方同时也把之前口中的无法变更相违背！同时翼支付把现在的放款方当作银行，如果按翼支付的说法存在严重安全后果，现在能把我资料给一个合作方也能给另外一个。</t>
  </si>
  <si>
    <t>2019/10/01 17:54:50</t>
  </si>
  <si>
    <t>在安逸花马上消费金融绑定的还款银行卡，本人未做任何操作，分9次，扣走卡里5000块钱，客服解释，逾期了就是可以扣，但没有任何条款说任意时间可随意不经过本人直接扣款，涉嫌违法操作。</t>
  </si>
  <si>
    <t>2019/10/01 17:54:37</t>
  </si>
  <si>
    <t>到处打电话，恐吓，我老婆，父母，同事全部都打了。</t>
  </si>
  <si>
    <t>2019/10/01 17:54:29</t>
  </si>
  <si>
    <t>本人在2019年在及贷平台上借款9000元分6期，实际到账8163元，今日在中国保险万事通上查询到本人名下有易安保险借款人意外伤害保险，经查询为及贷及易安保险未经本人同意私自够买，扣款费用与保险费用完全吻合，违反银保监会的规定，无视国家法律法规。</t>
  </si>
  <si>
    <t>2019/10/01 17:54:19</t>
  </si>
  <si>
    <t>9月18号在你借我有平台借款2500元，借款期限15天，实际14天，到账只有1750元，750元以游戏券的形式发放，其实就是变相的高利贷，最近经济出现问题，没法还款，希望聚投诉能帮助协商还款。</t>
  </si>
  <si>
    <t>2019/10/01 17:54:11</t>
  </si>
  <si>
    <t>投诉人少华女士投诉对象现金巴士涉诉金额2000元问题类型诉求类型投诉详情借款多次，利息高，希望能追回来，借款1000，利息200多块。</t>
  </si>
  <si>
    <t>2019/10/01 17:53:43</t>
  </si>
  <si>
    <t>本人于2019年9月30下午通过微信给广州海瑶贸易有限公司转账650元购物，改公司客服玩失踪信息不回电话打不通，我想不通一个公司竟然能骗几百块钱，收款不发货，企查查能查询到真有这个公司我就把钱通过微信转给他，，，，，，，，，，，，，，，，，，，，，不好意思凑个字数。</t>
  </si>
  <si>
    <t>2019/10/01 17:52:32</t>
  </si>
  <si>
    <t>本人于2019年09月30日18点38分在瑞信银提供的pos机刷了一笔金额5871元单子,本来是现刷现到,后来瑞信银客服说当天超限额,得等到10月8日才能到账,这是严重欺骗消费者行为；瑞信银为了提高pos机市场占有率,增加收入,任何一个客户只要交288元,凭一张身份证就可以办理一部瑞信银pos机进行刷现,严重影响金融市场,将向人行、银保监、消费者协会进行举报。</t>
  </si>
  <si>
    <t>分了两次转款，非法为黑平台提供入款通道，希望全额退回！不然投诉到底！。</t>
  </si>
  <si>
    <t>2019/10/01 17:51:22</t>
  </si>
  <si>
    <t>易宝支付公司为融714高炮小贷公司蛋花花，动物系列等公司提供支付渠道，经查是违反国家规定的小贷公司，易宝支付公司是合作商户，也是扣款第三方公司，本人一共30笔、30笔为300-7200不等的7天砍头息、，本人要求易宝支付公司严查商户放贷资质，并要求易宝支付，动物系列高炮平台，蛋花花公司，天津通融退保理公司退还我30笔砍头息，请您们做出解释。</t>
  </si>
  <si>
    <t>2019/10/01 17:51:02</t>
  </si>
  <si>
    <t>投诉人 柴天淇        投诉对象  小象优品        涉诉金额  2 000 元    问题类型    诉求类型投诉详情  小象优品催收人员恶意骚扰。朋友借款，恶意骚扰我。</t>
  </si>
  <si>
    <t>2019/10/01 17:50:43</t>
  </si>
  <si>
    <t>这手续费就是利息，情侣卡5900，手续费就2124，颜值卡8900，手续费就3204，这么高的利息让人情何以堪！实在是承受不起呀。</t>
  </si>
  <si>
    <t>2019/10/01 17:49:22</t>
  </si>
  <si>
    <t>苏宁任性贷开通额度候，当借款后，又关闭额度，导致有额度，无法使用，出现套路贷，。</t>
  </si>
  <si>
    <t>2019/10/01 17:47:43</t>
  </si>
  <si>
    <t>投诉人刘女士投诉对象多宝分期涉诉金额6000元问题类型诉求类型投诉详情高利贷，骚扰违法，希望调整利息，贷款平台上不去，延期不是自己责任也要付罚息。</t>
  </si>
  <si>
    <t>2019/10/01 17:47:08</t>
  </si>
  <si>
    <t>投诉人李先生投诉对象分期乐涉诉金额2800元问题类型诉求类型投诉详情9月23日分期乐详单到期还款二千八百多我最近也周转不开就没有去及时还款但是他们每天打的电话我都在接有一次早上10点多我在上班他们打电话过来响铃才19年我没接上就直接给我联系人打去了对我造成影响而且当时沟通的是我有还款意愿我原来分期乐不管逾期多少天我都会还上而且我也承担了相应的逾期罚息当时沟通完我身上只有一百多催收人员说让我还进去我就还了一百他们打电话我一直再接然而今天国庆节发短信威胁我说他们联系不上我我电话一直在身边怎么会联系不到对我生活都</t>
  </si>
  <si>
    <t>2019/10/01 17:46:56</t>
  </si>
  <si>
    <t>在贷上钱借了两笔2000元，一共4000元本金，一个月的时间让我还5200，1200的利息已经远远超过了国家规定的标准，逾期第一天就骚扰我的家人朋友，希望聚投诉能够向贷上钱的公司上海腾桥信息有限公司讨个说法！。</t>
  </si>
  <si>
    <t>2019/10/01 17:46:46</t>
  </si>
  <si>
    <t>暴力催收，恐吓威胁谩骂，利息很高，之前还的续期费用远远超过了本金。</t>
  </si>
  <si>
    <t>2019/10/01 17:46:16</t>
  </si>
  <si>
    <t>投诉人郭先生投诉对象小赢卡贷,众安保险涉诉金额1309元问题类型诉求类型投诉详情众安在线财产保险股份有限公司和小赢卡贷借款平台在客户借款申请时违规将借款合同与保险合同捆绑到一起，如不购买保险，借款申请就无法确认，客户在操作借款时，操作页面无明显提示需购买保险，且保险费用从借款利息中扣除，关于保险合同的被保人、保障条款、生效时间等一概不知情，本人得知名下有2笔众安保险的保单后，要求保险公司依法退还相关保险费用时被拒绝，严厉打击强制捆绑销售保险，保护消费者合法权益！。</t>
  </si>
  <si>
    <t>2019/10/01 17:45:50</t>
  </si>
  <si>
    <t>小花钱包逾期一天爆通讯录催收，骚扰家人朋友，一天向每位亲戚朋友发上百条短信，无数个电话，本人申明不是我不还，上一期你们是怎么对我的，28号还款1113,协商好说5号还款1200，可你们换个催收说3号必须还否则爆通讯录，我也还了，到了10号你们又来一个催收说还有一个合同510多没还，还钱可以，我说钱我还了你们必须向我亲戚朋友发短信道歉，因为我按时还了款你们还爆通讯录，严重影响我的名声，别以为我不知道，现在国家严厉打击非法网贷平台，中银消费金融属于中国银行旗下的公司都已经倒闭，何况你们这些高利贷公司，现在刑侦队</t>
  </si>
  <si>
    <t>2019/10/01 17:44:42</t>
  </si>
  <si>
    <t>小花钱包高利贷，恶意催收，威胁恐吓通讯录亲友及本人，已严重骚扰到我的生活导致我失去工作，并直言威胁要让通讯录亲友无法好好过节，并言语恐吓我父母。</t>
  </si>
  <si>
    <t>2019/10/01 17:43:25</t>
  </si>
  <si>
    <t>因资金没到位，逾期一天，说了我尽快处理，不肯协商还恐吓爆通讯录，态度及差，还挂我电话。</t>
  </si>
  <si>
    <t>2019/10/01 17:43:24</t>
  </si>
  <si>
    <t>借款4000，三个月要还7631，严重高利贷，三个月利息达到3631！要求按国家规定利息付款，多还的钱退我！！。</t>
  </si>
  <si>
    <t>2019/10/01 17:41:32</t>
  </si>
  <si>
    <t>协融借多宝分期无法还款，请明日尽快联系我还款，。</t>
  </si>
  <si>
    <t>2019/10/01 17:40:44</t>
  </si>
  <si>
    <t>投诉人陈先生投诉对象淘宝网,天猫商城,阿里1688涉诉金额199元问题类型诉求类型投诉详情在天猫优衣库买了个卫衣，商家赠送了保价服务，但是在买的第二天商品降价了，于是去找客服询问怎么办，他们客服态度极其傲慢，淘宝有这项服务而不履行服务，是对规则的无视和法律的藐视，而且又一个客服还让我提前收货，按照他们客服的指导流程，现在退款被关闭了，还说什么不会拒绝，你们良心不会痛吗，淘宝真的是越来越垃圾了，和京东的服务比差远了，有这项服务而不履行服务，而且他们的客服小二也是有偏袒商家的行为，根本不和我协商，淘宝提供服务而</t>
  </si>
  <si>
    <t>2019/10/01 17:40:34</t>
  </si>
  <si>
    <t>中腾信旗下小花钱包恶意催收，言语恶劣，且拿不出借款合同，已准备当地起诉，请准备好应诉。</t>
  </si>
  <si>
    <t>2019/10/01 17:39:06</t>
  </si>
  <si>
    <t>来花花网贷借款金额1500，周期6天，实际下款金额1050，利息费用450/6天，高利息，催收恐吓爆通讯录，要求退回利息，销账处理。</t>
  </si>
  <si>
    <t>2019/10/01 17:38:47</t>
  </si>
  <si>
    <t>微粒贷恶心崔收，想不到微粒贷这么大的平台居然干这事，连小孩的奶粉也买不起，也在想办法还款，就给一点点时间不行么，欠钱要还理所当然，但是实在有困难就想给一点时间，微粒贷平台上面已显示10月3日就要上传征信了。</t>
  </si>
  <si>
    <t>2019/10/01 17:37:59</t>
  </si>
  <si>
    <t>因为之前缺点资金，误以为是正规平台，录完信息直接就放款了，金额3000到手1875，期限只有6天，典型高利贷，然后客服联系不上，到期之后跟那边电话商量，不同意我退款，而且逾期费用一天600。</t>
  </si>
  <si>
    <t>2019/10/01 17:37:58</t>
  </si>
  <si>
    <t>投诉人邓先生投诉对象钱站涉诉金额2800元问题类型诉求类型投诉详情借款2800按三个月还款，到账2250，每期还1050，昨天该还第三期，因为手机关机问题没及时还款，今天准备还款一看逾期费用100一天，请问这不是高利贷是什么。</t>
  </si>
  <si>
    <t>2019/10/01 17:37:01</t>
  </si>
  <si>
    <t>投诉人 杨先生        投诉对象  工商银行        涉诉金额  15 000 元    问题类型    诉求类型投诉详情  本人 十月1日 通过一款6167.com 叫做中国城的赌博平台 发现里面支付通道都是工商银行合作的商户 给赌博平台提供支付结算 希望工商银行 核查该商户 制止该商户的违法行为 本人如实像情况反馈给人民银行 涉赌商户希望银行交给当地公安机关 广州蓝瑜百货商行 银行帐号 62*************1 广州怡宇水果店银行账户 62**</t>
  </si>
  <si>
    <t>2019/10/01 17:36:33</t>
  </si>
  <si>
    <t>恶意扣款，一次100元，一次199元，共299元，申请期间在本人不知情的情况下恶意扣款两次，，需要退款还要邮寄身份证复印件这种涉及个人隐私的文件，邮寄证明了还要让客户等半个月才能处理，退款到账还要在等半个月，恶意拖欠客户退款，客服还保证借款不成功会全额退款，请平台尽快退还299元的所谓的报告费用，。</t>
  </si>
  <si>
    <t>2019/10/01 17:35:11</t>
  </si>
  <si>
    <t>投诉人 张先生        投诉对象  特约中归        涉诉金额  148 元    问题类型    诉求类型投诉详情  凌晨莫名其妙的被扣款148。特来投诉追回扣款</t>
  </si>
  <si>
    <t>2019/10/01 17:34:54</t>
  </si>
  <si>
    <t>借款5000，到手3500，协商只还本金消账，结果把钱转给他了，他不给消账。</t>
  </si>
  <si>
    <t>2019/10/01 17:33:55</t>
  </si>
  <si>
    <t>投诉人肖先生投诉对象喵下贷涉诉金额2154元问题类型诉求类型投诉详情还款后不销账威胁谩骂还要转钱才给销账。</t>
  </si>
  <si>
    <t>2019/10/01 17:32:33</t>
  </si>
  <si>
    <t>投诉人薛先生投诉对象钱站涉诉金额1574元问题类型诉求类型投诉详情本人在钱站上借款5000元，借款成功后合同上变成8400元，每期还款1449.82元，总还款金额高达8698.92元，远高于国家规定的利率，还不断给我同个朋友打电话说如果我不处理就会一直打她电话，一直折磨，简直就是黑恶势力，因国庆资金无法到账，还不了款，钱站催收人员不断加微信进行恐吓催收，中午因手机静音未能接到他们电话，就开始拨打联系人电话，拨打钱站客服电话后催收人员还是进行加微信当时催收。</t>
  </si>
  <si>
    <t>2019/10/01 17:31:57</t>
  </si>
  <si>
    <t>本人在跟捷信总部，捷信催收人员达成协商后，按照协商结果要求金额准时把剩余欠款一次性换到催收指定要求账户，但是捷信不履行当初协商承诺依然实行催收，在有结清证明情况下依然继续骚扰恐吓我家人，给我和我家人造成造成极度不适跟不良影响，捷信要求把之前协商之前的金额继续还清，也就是说协商的结果不作数了，这种行为是非常失信于人，对于直接骚扰恐吓家人的事情捷信必须给予赔偿，欠债还钱天经地义，我已经结清你们凭什么继续骚扰恐吓我家人还是在能联系到我的情况下，第一要求捷信必须给予合理解释，我债务已经结清凭什么可以在联系到我的情况</t>
  </si>
  <si>
    <t>2019/10/01 17:31:28</t>
  </si>
  <si>
    <t>投诉人李先生投诉对象拼多多,支付宝涉诉金额2800元问题类型诉求类型投诉详情本人于5.20号左右看到网上有人加我说可以兼职刷单，经过一段时间了解感觉可以;我决定尝试一下;骗子发给我拼多多的链接;让我付款说是开始做一单隔天返现，次日我联系了骗子公司&amp;nbsp;他说我的钱被拼多多平台卡住了，之后我了解到我被骗的钱全部到了一个博彩公司的账户，我请求聚投诉平台通知拼多多平台;我我需要一个合理的解释，我将12315起诉各种方式维护我自己的权利！。</t>
  </si>
  <si>
    <t>2019/10/01 17:29:53</t>
  </si>
  <si>
    <t>立借高利贷平台，不断的打电话恐吓骚扰我家人，给我的生活造成了严重的影响。</t>
  </si>
  <si>
    <t>2019/10/01 17:29:49</t>
  </si>
  <si>
    <t>说好了保底工资3000月底却又不发了，找各理由。</t>
  </si>
  <si>
    <t>2019/10/01 17:29:42</t>
  </si>
  <si>
    <t>本人多次投诉9月24~25日宝付支付非法盗刷绑定粤通卡后，瞬间同时非法盗刷本人月银行卡费用多次！！！！前面的投诉后，接到过宝付支付来电，踢皮球说是粤通卡的责任，但是证据表示仍然还是宝付支付的行为！请见本人提供证据，另外，本人在21CN上的投诉，一次回答后就再也不能打开，难道又有什么别的猫腻。</t>
  </si>
  <si>
    <t>2019/10/01 17:26:50</t>
  </si>
  <si>
    <t>10月1日，本人在三亚凤凰机场取票准备登机看见该公司人员，然后说办理vip卡可以省下基建费，购买飞机票相对其他平台更加便宜，但经查询才知道购买机票钱仍然是从微信支付宝扣款，2000元仅用于扣基建费，而并不是机票钱也算在内，本人飞机乘坐少，计算估计需要十几年才用完两千。</t>
  </si>
  <si>
    <t>2019/10/01 17:22:42</t>
  </si>
  <si>
    <t>本人9月的时候误进入一个彩票网站，后来才知道是违法的国家不允许的，当时是通过银联快捷支付的，我输入了通过建行卡支付然后直接就给我付款了，我看了下收款机构显示的是支付宝……现在要求把我钱退还给我！。</t>
  </si>
  <si>
    <t>2019/10/01 17:20:44</t>
  </si>
  <si>
    <t>恶意骚扰，轰炸手机，恐吓不停，骚扰本人，影响生活。</t>
  </si>
  <si>
    <t>2019/10/01 17:20:15</t>
  </si>
  <si>
    <t>‎宜人贷收‎取所谓的前期服务保证障金‎高额砍‎头息，‎合同六万贷‎款金额，实‎际到账只有四万‎五，‎还款利息也是‎按六万来算，利‎息太高，还了三期之后，本金还有57781.1元，已附图请相关部门负责人核查实情，帮助追回15000元所谓的砍头息，并按照实际贷款金额45000来计算利息，多谢，感恩帮助??。</t>
  </si>
  <si>
    <t>2019/10/01 17:19:33</t>
  </si>
  <si>
    <t>9.30日我在首汽租车平台下单租车，我按约定时间去到门店位置，找了半天却无法找到门店，工作人员电话也无人接听，我着急用车，只好取消订单，第二次下单后，由于时间不合理，我10秒内又再次取消，又再一次重新下单，打客服电话被告知前两单由于节假日无法退款，我想知道我找不到门店，工作人员电话也不接，我不取消应该怎样做，第二笔订单我下单到消不过10秒钟，而且两笔订单我下单和取消都没有提示说我取消的话会被扣掉预付金。</t>
  </si>
  <si>
    <t>2019/10/01 17:19:01</t>
  </si>
  <si>
    <t>本人于2019.07.19，向还呗平台借款12000左右，现想提前还款，但是还呗平台客服答复提前还，后面利息不与减免，但是这些并没有合同协议规定，也不符合我家相关法律法规。</t>
  </si>
  <si>
    <t>2019/10/01 17:19:00</t>
  </si>
  <si>
    <t>高额贷款，贷款，要购买黑卡410块，高利息。</t>
  </si>
  <si>
    <t>2019/10/01 17:18:49</t>
  </si>
  <si>
    <t>广州万合信息科技有限公司,神马借,合利宝,信用管家，2019年8月中旬初接到信用管家推销的电话及1065开头的短信说本人的还款资质良好，可以在他们信用管家的平台申请下款1到5万的分期低息贷款，结果发现确实打着分期名号的“套路贷”，在下款申请时候显示是4期，结果还款时候确实7天的还款周期！下款3000，却要还4096，按照国家法律规定的最高年化率36%计算是利息人民币1024元，而且每到还款日，信用管家里面的神马借这个的合同上“协议各方于2019-09-29同意签署本合同并接受本合同之法律约束”中的2019-</t>
  </si>
  <si>
    <t>2019/10/01 17:18:42</t>
  </si>
  <si>
    <t>投诉人张女士投诉对象树林分期涉诉金额3000元问题类型诉求类型投诉详情树林分期分期高利贷，砍头息，借3000到2200，四个星期还3080.已经还了3期。</t>
  </si>
  <si>
    <t>2019/10/01 17:18:40</t>
  </si>
  <si>
    <t>本人于今日到期还款，主动联系了之前的微信催收人员已经客服微信，均无人回复，线上并且显示无法操作还款，由于涉及到即将逾期，我需要尽快帮我处理此事～这款产品属于714高炮，利息远远高于国家标准，本人早已还足本金，希望有相关部门处理。</t>
  </si>
  <si>
    <t>2019/10/01 17:17:06</t>
  </si>
  <si>
    <t>我于2019年10月1日下午一点多定了两张下午五点从茶店子出发到西昌的汽车票，我是从五点的那趟车次点进去下单,中间也没有勾选过同意默认班次等选项，但是在下午四点左右临出门时才发现，订单变成了四点的车次，携程擅自更换车次导致我的车票无法退回，也导致我当日不能顺利坐其他班次回家，严重耽误了我的行程，请求处理，联系客服，客服一直让我提供截图，可是正常情况下，有谁会边订票边将每一步操作截图呢。</t>
  </si>
  <si>
    <t>2019/10/01 17:16:16</t>
  </si>
  <si>
    <t>投诉人薛先生投诉对象百事普惠涉诉金额299元问题类型诉求类型投诉详情app上午登陆进去了，下午就在银行卡扣了299元。</t>
  </si>
  <si>
    <t>2019/10/01 17:15:15</t>
  </si>
  <si>
    <t>投诉人 杨先生        投诉对象  支付宝        涉诉金额  20 000 元    问题类型    诉求类型投诉详情  反映10月1日 本人通过6157.com 一款游戏平台通过支付宝支付20000 元给支付宝商户 支付后账户被冻结 里面前无法出款 支付宝给赌博 商户提供支付结算 通过支付宝客服电话 要求披露 商户信息 支付宝庇护该商家 一直没有得到商户任何信息</t>
  </si>
  <si>
    <t>2019/10/01 17:14:28</t>
  </si>
  <si>
    <t>投诉人唐先生投诉对象小赢卡贷,深圳市赢众通金融信息服务股份有限公司涉诉金额0元问题类型诉求类型投诉详情本人在该平台上借款已全额还清，且无任何不良记录，按银监会关于规范P2P网络金融服务内明确各平台需完善用户退出机制，现本人通过该软件人工客服沟通注销该平台帐号，对方以各种理由拒绝办理该业务，得到我强硬态度必须注销时，又变相复杂化注销流程，需提供多种侵犯个人隐私且与该业务无关的材料，包括需在银行内打出进半年银行流水等单据、个人手持身份证正反面照。</t>
  </si>
  <si>
    <t>2019/10/01 17:14:27</t>
  </si>
  <si>
    <t>投诉人张女士投诉对象青春宝,立借涉诉金额3000元问题类型诉求类型投诉详情本人于2019年9月6号通过立借APP一键申请青春宝贷款3000元，实际到账2250元，砍头750元，还款周期28天，7天一还，每期还款770.37元，超过法定利率，本人已经偿还3期，共计2311.11元，已还完本金，因本人债务爆发，无力偿还第四期账单，要求立借青春宝与本人联系协商还款。</t>
  </si>
  <si>
    <t>2019/10/01 17:14:18</t>
  </si>
  <si>
    <t>投诉人黄庆投诉对象分期乐涉诉金额199元问题类型诉求类型投诉详情不给我退货他们说不给，为什么不给我退货无理由不给我退啊我又没有拆开过。</t>
  </si>
  <si>
    <t>2019/10/01 17:12:47</t>
  </si>
  <si>
    <t>钱包易贷十月份已经还清当期还款，并且客户端显示已归还，在今天国庆期间接到催收电话，说我没有还清，委托的第三方催收。</t>
  </si>
  <si>
    <t>2019/10/01 17:11:08</t>
  </si>
  <si>
    <t>投诉人叶先生投诉对象周周花花涉诉金额2500元问题类型诉求类型投诉详情本人与7月17日在北京鼎力创世科技有限公司旗下的给你花平台推荐贷款商家周周花花借款2000，实际到账1500元，借款一个月，30天需要还款2039，期间因为逾期，周周花花的催款人员暴力催收，打遍我手机通讯录，而且还伴随着各种辱骂和威胁，后因资金紧张与8月27日再次向周周花花借款2000，实际到账1500，借款一个月，加上逾期费需要还款2119，电话沟通根本不协商，就是要求还款2119，而且还伴随着辱骂与威胁，在国家严厉打击714非法高利贷</t>
  </si>
  <si>
    <t>2019/10/01 17:10:57</t>
  </si>
  <si>
    <t>投诉人费先生投诉对象带上钱涉诉金额4500元问题类型诉求类型投诉详情我在贷上钱有2笔借款，1笔2560到账2500扣除500买了所谓的兼职小秘书，一笔3075到账扣除500买兼职小秘书这不是砍头息这是什么，巧立名目设置砍头息和高额利息要求只还本金和规定的利息。</t>
  </si>
  <si>
    <t>2019/10/01 17:10:36</t>
  </si>
  <si>
    <t>带砍头息面高利息，分四期，十月一号是最后一期还款，1208元，本人在多宝分期平台已点还款，后他们电话我说平台维护，不能还款扣款，要求走私人银行卡号，我不同意我坚持走平台扣款还款，当天还款日还没逾期，他们马上爆我通讯录，骚扰我联系人朋友家人，情况实在是恶劣。</t>
  </si>
  <si>
    <t>2019/10/01 17:09:42</t>
  </si>
  <si>
    <t>投诉人刘明海投诉对象中国联通涉诉金额211元问题类型诉求类型投诉详情无锡联通未能余额不足及时停机，造成本人流量使用超过二百多，请及时返还！051266001315这个人的电话还不承认是联通经理！态度不好！未及时停机造成的话费，请无锡联通返还！。</t>
  </si>
  <si>
    <t>2019/10/01 17:09:37</t>
  </si>
  <si>
    <t>投诉人王女士投诉对象造艺科技涉诉金额50元问题类型诉求类型投诉详情平台推荐豹子贷、想在上面借钱、资料的填写好了、什么也弄完了、可是借不到钱、也没有说也扣款、我就把App删了、可是在今天收到短信提示、需要扣款299、现已经扣款50、看到这个我当时就蒙了、现在扣款都是这么随便的嘛、想怎么扣就怎么扣、打客服电话也不接、现在都不知道该怎么办了、我希望他给我退款、。</t>
  </si>
  <si>
    <t>2019/10/01 17:09:24</t>
  </si>
  <si>
    <t>跟贷上钱沟通，暂时没能力还款，沟通10号还款不行，就走流程爆通讯录，骚扰联系人，恐吓当事人。</t>
  </si>
  <si>
    <t>2019/10/01 17:09:05</t>
  </si>
  <si>
    <t>在快闪卡贷借款，app上显示我借了12000元，实际到账10101.16元，经艰难的三番五次的查询，查询到是联合中国人保变相收取了砍头息，中国人保这样一家央企也和这种无良小贷公司干这样的勾当了。</t>
  </si>
  <si>
    <t>不断的给朋友打电话，发信息，严重扰乱生活！还打电话威胁！。</t>
  </si>
  <si>
    <t>2019/10/01 17:08:17</t>
  </si>
  <si>
    <t>投诉人孙先生投诉对象联动优势,深圳刷宝科技有限公司,花薪闪借,花薪,花薪猫,富翔，股权投资基金合伙企业,上海峰瑞创业投资中心，,重庆峰瑞卓越一期股权投资基金合伙企业,杨蜀,吕金麟涉诉金额185元问题类型诉求类型投诉详情花薪系列均为该公司产品，更新版本后为花薪闪借，“联动优势”为非法高炮贷款”花薪“实际控制方”深圳刷宝科技有限公司"违规提供支付通道，隐匿扣款方！*要求退还所有高额变相利息违法所得185元！深圳刷宝科技有限公司电话：131******36邮箱：li****g@taojinjia.com网址：ba</t>
  </si>
  <si>
    <t>2019/10/01 17:07:14</t>
  </si>
  <si>
    <t>借款1000三天内却要支付199元的担保凭证费用。</t>
  </si>
  <si>
    <t>2019/10/01 17:07:02</t>
  </si>
  <si>
    <t>9月19一笔定单12点14分东港嘉园出发到西溪水岸。</t>
  </si>
  <si>
    <t>2019/10/01 17:06:34</t>
  </si>
  <si>
    <t>来分期app上借款5200元，分9期还款，每期还款667.86，现在想提前结清，查看了还款总额，还需要5342.88，还了一期金额没有减少，反而比本金金额还要高。</t>
  </si>
  <si>
    <t>2019/10/01 17:03:09</t>
  </si>
  <si>
    <t>以借款诱导人购买VIP，实际上是虚假产品，无法退费，也无法借款。</t>
  </si>
  <si>
    <t>2019/10/01 17:03:07</t>
  </si>
  <si>
    <t>虚假广告，把游戏里的元宝，当成现实人民币，欺骗消费者。</t>
  </si>
  <si>
    <t>2019/10/01 17:02:53</t>
  </si>
  <si>
    <t>今天是举国欢庆之日，而我们一家人却极度的崩溃，女儿在校读书时在分期乐贷款高达14次，在第一次贷款还未还清的状况下，都还能给在校学生贷款无数次，感觉是给学生套路贷，女儿刚毕业不久，没有工作，分期乐暴通讯录，暴力催收恐吓，催收电话每天几次，逼得我们一家人险些好几次丧命，为了永久还不完的高利贷借款，我们不想再分期还款了，我与分期乐客服催收工作人员前后协商了近20天左右，要求减免费用，只还本金，一次性结清余款销帐，直到现在也未得到回复处理结果，我在聚投诉也投诉了几次，主动给客服打电话联系几次，分期乐是否势力太大，到</t>
  </si>
  <si>
    <t>2019/10/01 17:00:58</t>
  </si>
  <si>
    <t>投诉人 单先生        投诉对象  Wecash闪银        涉诉金额  3 000 元    问题类型    诉求类型投诉详情  本人在闪银科技分别借款瞬瞬和哼哼 那个时候因为资金短缺无奈之下借了应急 之前一直还款信用良好 但因为生意失败和父亲精神疾病的困扰 协商分期还款但被拒绝 之后闪银科技一直打电话骚扰恐吓 借款当中的每借成功一笔 闪银科技都会扣取100块钱的服务费 并且强制购物 以下图片可以证明 没有收到东西 强制消费者购物 不付款就变成逾期 希望</t>
  </si>
  <si>
    <t>2019/10/01 16:59:48</t>
  </si>
  <si>
    <t>预定酒店的时候，你注意看时间，然后去住的时候发现时间错误，然后想要协商更改时间，发现更改不了后面想退换，但是不给退，酒店还是有空房的。</t>
  </si>
  <si>
    <t>2019/10/01 16:57:47</t>
  </si>
  <si>
    <t>接了一个订单顾客途中有事我就把他放到路边，提前确认了到达，被认定私下交易，270之前容易挣么。</t>
  </si>
  <si>
    <t>2019/10/01 16:57:38</t>
  </si>
  <si>
    <t>本人于2018年在久富万卡APP平台借款18000元，合同金额18000.年利率11.9%，分24期偿还共20194.08，其阴阳合同包含一笔8634.6借款合同，该项借款并未到账，该平台客服称此款项并不会转账给客户，但每个月客户仍需按月还款，多次与该平台协商处理提前结清，本人意愿还清剩余借款，拒绝偿还多出的高额费用，与客服协商没有结果，现投诉久富万卡阴阳合同，伪造合同，超出国家规定利率。</t>
  </si>
  <si>
    <t>2019/10/01 16:57:33</t>
  </si>
  <si>
    <t>瑞卡贷通过多种渠道获取借款人家人、朋友的联系方式、住址，然后进行电话骚扰，4：不是不还，在国外办事，有时差，以说明情况，他们的软件打不开5：不还的原因是告诉了他们原因，还收到了他们的威胁，爆通讯录，6：不解决投诉，不可能还钱，可以直接去法院起诉我。</t>
  </si>
  <si>
    <t>2019/10/01 16:57:10</t>
  </si>
  <si>
    <t>钱站阴阳合同，非法高利贷，暴力催收，为什么没人管，披着法律的狼，，。</t>
  </si>
  <si>
    <t>2019/10/01 16:56:32</t>
  </si>
  <si>
    <t>9月29日到期，本人以前还款一直使用微信还款，且都按时还款，但这次到期当日晚使用微信零钱处理，缺不支持微信处理，导致逾期、产生高额逾期费200元，打电话与客服协商，客服态度恶劣，所以才来投诉。</t>
  </si>
  <si>
    <t>2019/10/01 16:56:26</t>
  </si>
  <si>
    <t>，一直显示扣款中，然后一直还不上，然后进行拍拍贷充值，，还款就还不上，马上就要逾期了，严重怀疑拍拍贷恶意制造逾期，坑客户的逾期费用，人为制造逾期，并且客服只有机器客服，联系不上人工。</t>
  </si>
  <si>
    <t>2019/10/01 16:55:51</t>
  </si>
  <si>
    <t>2019年6月28日在活力花借贷8000，实际到账只有7760元，扣除了所谓的服务费240元，已还款两期，分别每期2906.67元，已还款共计5813.34元，不存在恶意骗贷的行为，由于本人哺乳期没有办法上班，所以最后一期没有还上，从而逾期3天，要求解决减免罚息和利息，却被活力花平台的无良催收辱骂且轮番电话骚扰恐吓，现要求解决如下，按照正常到账7760的借款结算并结清此笔借款，按照正常的24%利率来结算利息，并向我道歉，否则只接受法律起诉，我定奉陪，该我的责任我会承担，但该平台给我带来的负面影响和精神伤害，</t>
  </si>
  <si>
    <t>2019/10/01 16:55:42</t>
  </si>
  <si>
    <t>投诉人杨先生投诉对象优信二手车涉诉金额22300元问题类型诉求类型投诉详情优信app上显示，我八月八号就付了首付款，一共三万一千元，而后的金融贷款没有获批，所有我要求退回首付款，过了几天以后，接到一个手机打来的电话，说要扣除车价款百分之十的违约金，虽然觉得太高，为了尽快退款，我也同意了，但是到时至今日，近两个月了，退款还是没有退！基本销售一直各种理由推诿，打优信的投诉电话，也一直没有合理和满意的答复，我要求优信官方尽快出面，尽快把该退的钱退给我！。</t>
  </si>
  <si>
    <t>2019/10/01 16:55:18</t>
  </si>
  <si>
    <t>本人于2019年8月26日在钱站借款16000元用于生意周转，由于当时时间紧急没仔细看借款合同，10月1日还款日发现还款金额不对，进去查看合同上竟然写的借款是21120元，每月还款2051.75，分十二期，总还款金额24621减去实际借款金额16000元多还8621，本人在该平台借款多次，之前利息收费没觉得什么，但发现本期合同金额不对后去查看之前结清贷款合同金额也是做了改变，诉求把本人名下所有借款合同按国家法律规定金额收取利息等费用，退回多收取的费用或抵除未还款项，剩余款项给做36期还款，因为现在每月还款金</t>
  </si>
  <si>
    <t>2019/10/01 16:55:08</t>
  </si>
  <si>
    <t>投诉人张先生投诉对象东风风行涉诉金额0元问题类型诉求类型投诉详情东风风行2017款景逸X51.5Tcvt尊享版主副驾车门异响，服务站给出无法处理的答复。</t>
  </si>
  <si>
    <t>2019/10/01 16:55:07</t>
  </si>
  <si>
    <t>投诉人胡先生投诉对象51即刻有涉诉金额8700元问题类型诉求类型投诉详情我在51即刻有平台借款两次更为8700其中第一次借款额度是5000元分12期还款其中服务费是1338元，第二次借款3700元分十二期还款其中服务费高达990元，现在国家不允许收取服务费而51既刻有仍在触碰国家法律。</t>
  </si>
  <si>
    <t>2019/10/01 16:54:56</t>
  </si>
  <si>
    <t>本人在金鸡下蛋借款1400，6天时间还款2000，而且还款当天短信电话威胁骚扰家人朋友，有录音有截图，汇潮支付，展鸿科技明明知道却给非法套路贷高利贷提供支付便利更加可恶，若得不到合理解决，必举报至打黑办，银监会。</t>
  </si>
  <si>
    <t>2019/10/01 16:52:45</t>
  </si>
  <si>
    <t>投诉人任先生投诉对象小铜钱涉诉金额299元问题类型诉求类型投诉详情因有资金需求，想在网上寻求网贷，于是就在九月27号下载小铜钱app，按要求填完内容，并绑定银行卡卡号，但没有看到有要交“风险评估费”，随后感觉没有意义，就卸载了，但是，九月30号早晨信息通知分三次扣除了299元风险评估费，一头雾水，一觉醒来损失299，而且都不经过本人同意，吓得我都不敢用改卡了，风险评估是啥。</t>
  </si>
  <si>
    <t>2019/10/01 16:52:15</t>
  </si>
  <si>
    <t>钱站不小心点上了，结果一看利息高得吓人，打客服电话直接说没法取消，三个月一千的利息，不取消就算了，而且都好一周了还不到账不说，等到账估计又要还款了，国家打控这个严厉为什么还有这样的平台存在，像这样的平台应该严厉打击，早点关闭，依法打击不合理的平台，对这个平台老板做出惩罚或者拘留。</t>
  </si>
  <si>
    <t>2019/10/01 16:51:52</t>
  </si>
  <si>
    <t>饿了么,来个鲜果喂嘟嘟水果店南昌八一广场店，19.9.4通过饿了么平台在南昌来个鲜果喂嘟嘟水果店买了份水果，价值114.5，当时选定的商家是可以开发票的，结果卖家发货后没有发票，后来联系卖家他说尽快给我开票，所以没有退货，等了好久商家不开票，找了饿了么平台介入，商家过了一周才把发票发我，当时我没有仔细看，只看到收到信息就没有再追究责任了，等最近仔细看才发现，发票是浙江发票，另外上面的内容和我购买的内容完全不搭，就是虚假开发票，找饿了么平台介入后平台就不再管此事了，既不能帮我重新开发票又不能退款。</t>
  </si>
  <si>
    <t>2019/10/01 16:51:34</t>
  </si>
  <si>
    <t>本人注册联动云汽车，但是在交付押金时候系统并没有提示我说押金必须到20天以后才能用，我以为是还车之后就能退，我现在需要急用押金交学费，但是联动云不退，所以希望能提前退款。</t>
  </si>
  <si>
    <t>2019/10/01 16:50:34</t>
  </si>
  <si>
    <t>于融360平台上借款8000，分9期还款，计算后为2000+人民币，年利率严重超过国家红线的36%！。</t>
  </si>
  <si>
    <t>2019/10/01 16:50:27</t>
  </si>
  <si>
    <t>云集买的奶粉有破损，联系客服同意换货，商品寄回9月27号就签收了，28号联系告诉我没有入库，10.1联系告诉我还没有入库，说快递刚送过来，然而快递在27号就签收了，联系客服一直说尽快处理，然而从27号尽快到现在退回的商品告诉我还没有入库，迟迟不补发给我，客服拖延，没有处理问题态度，而且云集没有联系电话，只能等他们联系我，一直没有联系，要求云集补发我的商品并且道歉赔偿。</t>
  </si>
  <si>
    <t>2019/10/01 16:50:23</t>
  </si>
  <si>
    <t>向钱贷14天高利贷，逾期一天联系朋友同事，。</t>
  </si>
  <si>
    <t>2019/10/01 16:50:08</t>
  </si>
  <si>
    <t>蜜芽上买东西买了半个月了还没有更新物流信息，问客服客服也说不出来，总在清关中退款还得等半个月，垃圾平台。</t>
  </si>
  <si>
    <t>2019/10/01 16:49:44</t>
  </si>
  <si>
    <t>投诉人黄金投诉对象小赢卡贷涉诉金额3586元问题类型诉求类型投诉详情本人2019年9月29号在小赢卡贷商城分期买了个手机。</t>
  </si>
  <si>
    <t>2019/10/01 16:49:23</t>
  </si>
  <si>
    <t>投诉人王迎文投诉对象美团外卖涉诉金额20元问题类型诉求类型投诉详情美团外卖不负责任。</t>
  </si>
  <si>
    <t>2019/10/01 16:48:53</t>
  </si>
  <si>
    <t>投诉人叶女士投诉对象期待合伙人涉诉金额9000元问题类型诉求类型投诉详情在期待合伙人借了俩笔，一千6千到6千，到手却发现被扣了500加速服务费，另一笔3千扣多少服务费忘记了，共9千分12期，还没借款时显示是头一期还一千五百多，剩下每一期还本金加利息也不超过一千，可问题是借款成功后，第一期还一千五百多，本以为下一期不用还那么多，结果下一期也要一千五百多，还要还什么加速服务费，这样算，12期加本金各种服务费，那算起来都一万8/9了吧，发现被这个平台套路，跟工作人员协商一次结清还本金，刚开始同意后又不给协商，还连</t>
  </si>
  <si>
    <t>2019/10/01 16:45:21</t>
  </si>
  <si>
    <t>投诉人石女士投诉对象分期乐,乐信涉诉金额4316元问题类型诉求类型投诉详情本人分期乐10，6日还款4316.52元，因为国庆期间钱到不了账，1号主动和客服联系可以分期或者还最低，要不就协商一下给2天时间8号正常上班到账立马还进去，可是客服态度恶劣，我分期乐重来没有逾期过，里面还有4000多的额度，可是无法使用，请给我合理解释，并且要求协商处理。</t>
  </si>
  <si>
    <t>2019/10/01 16:44:57</t>
  </si>
  <si>
    <t>投诉人冉先生投诉对象立借涉诉金额8000元问题类型诉求类型投诉详情立借app借款8000三期还11000+剩下九期还720。</t>
  </si>
  <si>
    <t>2019/10/01 16:44:27</t>
  </si>
  <si>
    <t>本人通过贷上钱下载现控达人，在里面的微豆荚借款1400元与2800元，借款期限是32天，每8天一期，每期还款511.2元与1022.4元，总共要还款2044.8元与4089.6元，现控达人属于国家严打的高利贷套路贷，分别已还三期和两期，已无力还款，现要求还款合理的本金利息，今天还有催收要求还款电话02066684564新的支付通道：讯联智付。</t>
  </si>
  <si>
    <t>2019/10/01 16:44:07</t>
  </si>
  <si>
    <t>投诉人孙先生投诉对象周周花花涉诉金额3000元问题类型诉求类型投诉详情周周花花平台，借款3000元，还款方式为两种，1，分四期，每期七天，每期还款1285.50元，总金额为5142元，年利率多少都不用算肯定是违法，其中包含的套路截图会有显示，2，借款日七天后提前结清总金额约为3500余元，还款一期，后，第二期还款时提前结清剩余总金额2785.5元，共计4071元，仍然属于高利贷范畴，图1为借款金额，图二为还款一期后第二期提前结清需要金额，图三为借款界面，游戏点劵为周周花花公众号自己开创的劣质游戏。</t>
  </si>
  <si>
    <t>2019/10/01 16:43:43</t>
  </si>
  <si>
    <t>投诉人 赵女士        投诉对象  多乐优品        涉诉金额  1 945 元    问题类型    诉求类型投诉详情  多乐优品存在权益礼包，30天多还450元</t>
  </si>
  <si>
    <t>2019/10/01 16:43:29</t>
  </si>
  <si>
    <t>投诉人蔡先生投诉对象信用管家,树林分期,青春宝分期,金钱保涉诉金额9000元问题类型诉求类型投诉详情信用管家里的树林分期，青春宝分期，金钱豹，都是高利贷，借款3000到账2200，不到一个月。</t>
  </si>
  <si>
    <t>2019/10/01 16:43:28</t>
  </si>
  <si>
    <t>逾期第一日，未联系借款人本人，即骚扰借款人的联系人，第二日依然未联系本人，再次骚扰联系人，且属于变相高利贷，用服务费的方式掩饰高额利息，目前逾期的款项已还款，要求后续分期减免相关利息，并停止骚扰联系人等违规操作。</t>
  </si>
  <si>
    <t>2019/10/01 16:42:08</t>
  </si>
  <si>
    <t>投诉人 梁先生        投诉对象  来分期        涉诉金额  3 255 元    问题类型    诉求类型投诉详情  用了一个月提前还款 还要收取全部的利息 软件不支持分期一个月 但是看合同说是按天计费 提前还款也没有规定不可以 第一次就弄了次这 客服说可以打客服电话提前还款 还完款联系客服把多余的利息返还给我 这次又弄了个这 这次跟客服联系直接不给退了 我还用了免息券 客服说就能返还180多块 你们多收我了500多利息 第二次打电话又说一点都不给返还</t>
  </si>
  <si>
    <t>2019/10/01 16:41:23</t>
  </si>
  <si>
    <t>投诉人 陈先生        投诉对象  玖富万卡        涉诉金额  2 000 元    问题类型    诉求类型投诉详情  高额分期费用，暴力催收！要求减免超出利息</t>
  </si>
  <si>
    <t>2019/10/01 16:41:08</t>
  </si>
  <si>
    <t>投诉人黎女士投诉对象天天有钱花涉诉金额0元问题类型诉求类型投诉详情没借款，收到催收电话，说我借款逾期，什么时候处理。</t>
  </si>
  <si>
    <t>2019/10/01 16:40:36</t>
  </si>
  <si>
    <t>投诉人陈先生投诉对象京东商城AEMAPE京东自营官方,京东商城涉诉金额88元问题类型诉求类型投诉详情AEMAPE在京东的保护下狂得不行，找客服联系，半天没有反应，后来我再三催促，客服才一副勉为其难的样子给我答复，我问他这个售后问题怎么解决，一直只重复一句：退换货运费自付，你们明明是在京东写着自营，从哪里发货是你们自己的事情，但是你京东不地道，不像其他自营一样，给我按第三方的方式走中通，我收到货发现尺寸不对，比我预想的还要小，打算退换货，结果申请的时候发现只有快递到商家这个选项，这也叫自营，还不能走到付，我退</t>
  </si>
  <si>
    <t>2019/10/01 16:40:28</t>
  </si>
  <si>
    <t>投诉人张先生投诉对象玖富涉诉金额14000元问题类型诉求类型投诉详情2019年5月从玖富万卡上借款14000元分12期还，每期还款1534.22元，已还4个月，共计6136.88，想要提前结清，显示还需要还款11432.58，经客服沟通，减免到9913元，共计要还款16049.88，4个月时间14000元的利息高达2043.88，每月利息520.5，已超出国家规定利率。</t>
  </si>
  <si>
    <t>2019/10/01 16:38:47</t>
  </si>
  <si>
    <t>投诉人王女士投诉对象分期通涉诉金额249元问题类型诉求类型投诉详情因为资金周转下载分期通APP，注册申请出来额度，直接页面是可提现20000，分多少期都出来了，下面有个必须开通VIP，就直接点了申请借款，结果只开通了会员，借款什么页面全部没有，而是让我去别的平台借款！而且是直接扣款！一分钱没借到，VIP会费用花了249，我希望有关部门能确实调查一下这个公司，应该不止我一个人被骗，推荐到其它平台依然需要交会员费，而且直接被拒，图一是提示页面，图二是点立刻申请，但是没有页面，图三是订单，另：打客服很多次，根本打</t>
  </si>
  <si>
    <t>2019/10/01 16:38:07</t>
  </si>
  <si>
    <t>投诉人尚女士投诉对象树林分期涉诉金额2250元问题类型诉求类型投诉详情助力钱包是一款贷款导流app，本人通过助力钱包申请了树林分期这一贷款产品，借2250元还3081.48元，分4期还，7天一期，本人已经通过app归还了三期，已经超过了本金，本人现在处于病期，无力偿还高利贷，现在通过投诉平台发起投诉，要求销掉最后一期账，希望通过投诉平台可以维护自己的合法权益。</t>
  </si>
  <si>
    <t>2019/10/01 16:36:47</t>
  </si>
  <si>
    <t>电视机是在淘宝TCL官网购买的，正常使用的情况下，刚打开就是漏液状态，开启电视机屏幕中间有一团黑，大约9月，TCL维修人员上门拍了几张照片，简单查看之后离去，表示要向上级请示如何处理，次日TCL维修那边来电话说电视机故障是漏液导致的，漏液是不明液体流进去导致的，直接说电视屏幕漏液是不保修的，据我了解售后政策，屏幕开裂或者破损才不保修，漏液是保修的，还有就是简单的用眼睛检测，拍几张照片就可以判断是不明液体流进去导致漏液吗，之后，又连续打了几次客服电话，说加急处理，直到现在都没有处理好，然而，售后就在刚刚来电话</t>
  </si>
  <si>
    <t>2019/10/01 16:36:30</t>
  </si>
  <si>
    <t>请易宝支付查明我此款去向，无辜扣费要求退还。</t>
  </si>
  <si>
    <t>2019/10/01 16:35:34</t>
  </si>
  <si>
    <t>实际到账200000元！签订合同28000元！每月还款还需要还款1311元/共48期。</t>
  </si>
  <si>
    <t>2019/10/01 16:34:35</t>
  </si>
  <si>
    <t>投诉人 王女士        投诉对象  想花钱包        涉诉金额  0 元    问题类型    诉求类型投诉详情  发短信说要逾期 加微信处理 加了微信除了一个条 剩下的什么都不能提供 线上还款又说系统维护 而且时间都不对</t>
  </si>
  <si>
    <t>2019/10/01 16:34:19</t>
  </si>
  <si>
    <t>投诉人李梓恒捷信金融投诉对象捷信金融,来分期涉诉金额5000元问题类型诉求类型投诉详情电话号骚扰我，打电话给我家里，利息高，贷款4100要还6000。</t>
  </si>
  <si>
    <t>2019/10/01 16:34:10</t>
  </si>
  <si>
    <t>本人换了手机有了一副无线耳机，原来的苹果耳机不想用了，就在咸鱼上挂卖，结果呢一奇葩买家对我各种人身攻击，不买就算骂人侮辱人哪个给他的勇气，在咸鱼上举报投诉，事先声明本人母亲刚做完心脏手术，如果发生任何意外通通由贵公司和买家承担。</t>
  </si>
  <si>
    <t>2019/10/01 16:33:58</t>
  </si>
  <si>
    <t>我在51人品借款两次第一次额度是6000元其中51人品贷收取高额的1606.6元的服务费，第二次我在51人品贷借款4000元他们收取1060元服务费，现在国家不允许收取服务费而51人品贷他们一直都在顶峰作案。</t>
  </si>
  <si>
    <t>2019/10/01 16:33:43</t>
  </si>
  <si>
    <t>投诉人 杨先生        投诉对象  安全带        涉诉金额  3 000 元    问题类型    诉求类型投诉详情  安全带非法高利贷平台 借3000元20天每7天一期 需还3600多 超出国家利息标准 且在正常还款情况下 账单日疯狂频繁电话骚扰 严重影响正常休息生活 现要求其停止骚扰 销账 退还非法利息 如变本加厉 将投诉扫黑除恶办 国家金融中心 依法取缔 直至其被依法查处</t>
  </si>
  <si>
    <t>2019/10/01 16:33:26</t>
  </si>
  <si>
    <t>立借平台贷款，额度10000元正！实际到账8600元，分12期还款共需要还13600！砍头息加高利贷！今天还款期，收到催收电话告知如果逾期就必须全额还136000！利息高得可怕！催收电话陆续骚扰威胁！催收威胁转外包公司进行恐吓催收，已在佛山公安局扫黑1-3扫黑备案！。</t>
  </si>
  <si>
    <t>2019/10/01 16:33:16</t>
  </si>
  <si>
    <t>投诉人王飞龙投诉对象钱站,华夏银行涉诉金额89904元问题类型诉求类型投诉详情钱站阴阳合同，高利贷，利息远远高出国家规定。</t>
  </si>
  <si>
    <t>2019/10/01 16:33:11</t>
  </si>
  <si>
    <t>今天在美团众包跑外卖，接到美团众包的运单，到了美团显示商家的地方，找了5-6分钟都没找到商家，又给商家打电话，商家说自己找，就挂了，我又仔细看美团众包上地图显示的地方，就是没有商家，问了3个店铺老板，说没听过这个商家店铺名，我就报备在异常中说明了情况，取消掉了订单，美团直接扣了我10元钱，我一脸懵逼，给商家打电话说完自己找就挂掉了，再打不接，又问附近的商家，说都没听说过这个商家店铺名，解释给美团了还扣钱，这钱可是人民的血汗钱，说扣就扣，我又在网上找了好多关于美团众包乱扣钱，盗取中华人民共和国人民的劳动成果要</t>
  </si>
  <si>
    <t>2019/10/01 16:31:47</t>
  </si>
  <si>
    <t>借钱站1200元分期三个月每个月714元总共要还2100多。</t>
  </si>
  <si>
    <t>2019/10/01 16:31:32</t>
  </si>
  <si>
    <t>套路，私扣我的银行卡里的钱要严办这些不法网贷。</t>
  </si>
  <si>
    <t>2019/10/01 16:30:47</t>
  </si>
  <si>
    <t>刚下款第二天本人及通讯录亲人朋友就收到对方推荐别的品种贷款。</t>
  </si>
  <si>
    <t>2019/10/01 16:30:30</t>
  </si>
  <si>
    <t>逾期的情况下被降低信用分到81.1因近期在京东商城，彪马PUMA官方旗舰店购买服装发生尺码更换，运费问题之前询问客服说活动期间内全场包邮支付尾款期间内加收我运费故申请退款解决，退款结束第二个月一号就发现京东分降低了原本以为个人原因，近期看到申请退货货理赔会降低信用分的新闻我今日刚好有东西需要申请维护故问了京东客服，因信用分降低京东金条也将我的额度冻结不可使用，我方任务京东方面这种行为是对消费者使用者的不尊重我方如不能得到妥善处理将持续维权！！。</t>
  </si>
  <si>
    <t>2019/10/01 16:30:26</t>
  </si>
  <si>
    <t>投诉人简先生投诉对象酷宝支付涉诉金额2999元问题类型诉求类型投诉详情本人时常有在网上购买正规彩票，今天无意间看到一个彩票平台，我以为是正规平台，就充值了一笔2999.当本金与获利金额达到13273.01时，该彩票平台不让我退款，我问了朋友才知道这是境外网络非法赌博平台，所以我要投诉他们商户广州茜茜，还有收单机构酷宝支付，违规为网络非法平台提供入款通道而且网站赢钱不让退款，已经涉及欺诈，他们商户为其收取资金，也是违法。</t>
  </si>
  <si>
    <t>2019/10/01 16:30:16</t>
  </si>
  <si>
    <t>投诉人吴女士投诉对象聚福钱包涉诉金额299元问题类型诉求类型投诉详情聚福钱包未允许私自扣除本人299元，打了几次客服电话为什么借款没通过要求退款依然没有什么作用，希望给我退款不需要在这个平台借贷了。</t>
  </si>
  <si>
    <t>2019/10/01 16:30:13</t>
  </si>
  <si>
    <t>投诉人王女士投诉对象腾讯游戏涉诉金额1000元问题类型诉求类型投诉详情未成年人只有8岁，经常拿着本人手机打王者荣耀和和平精英，本人是他的监护人婆孙关系，近日发现他买游戏装备在5月和9月接近1000元，想联系腾讯客服协商解决，但是试了多种方式无果，永远只有机器人客服，打腾讯官方客服也打不进去，确实没办法认可。</t>
  </si>
  <si>
    <t>2019/10/01 16:29:29</t>
  </si>
  <si>
    <t>投诉人胡先生投诉对象51即刻有涉诉金额4000元问题类型诉求类型投诉详情涉嫌高利贷，暴力催收，严重影响我的生活和工作，爆我通讯录，骚扰我的朋友，还款第一期有个服务费300多，已经超过国家规定的利息，要求重新签订还款合同，安照她们的还款合同我是不会还款的，希望有关部门介入，谢谢。</t>
  </si>
  <si>
    <t>2019/10/01 16:28:25</t>
  </si>
  <si>
    <t>钱包易贷放款平台、借款金额10600、到帐后平台立马从银行卡扣回1320元所谓担保费、涉嫌砍头息违规操作。</t>
  </si>
  <si>
    <t>2019/10/01 16:28:06</t>
  </si>
  <si>
    <t>2018年11月因家中有事需要用钱，向东方银谷平台借款四万元整，分为24期还清，每月还款2513.66元，还完第八期之后，因为经济原因无力周转，不得不逾期暂停还款，但一直和对方积极回应，可银谷时不时电话到我单位，进行骚扰，说好不骚扰后便转为短信沟通，先说明下到款是有问题的，我借款四万，合同上却写着53040元，实际银行到账只有四万，按照24期分期还款，每期还2513.66元，现在已经还了八期，已还20109.28元，剩余19890.72元未还款，可还款平台写着还要还39640.97元，这明显是高利贷，现在对</t>
  </si>
  <si>
    <t>2019/10/01 16:25:58</t>
  </si>
  <si>
    <t>投诉人许女士投诉对象天猫，蟹知香旗舰店涉诉金额59元问题类型诉求类型投诉详情蟹知香旗舰店广告虚假宣传，欺骗消费者，欺诈性消费，售卖公四两母三两大闸蟹8只，收到货只有8只一两多的螃蟹，其中还有两只死蟹，天猫客服明明知道却纵容无良商家，不维护消费者利益，不惩罚不守信商家！。</t>
  </si>
  <si>
    <t>2019/10/01 16:25:31</t>
  </si>
  <si>
    <t>2019/10/01 16:25:27</t>
  </si>
  <si>
    <t>投诉人葛先生投诉对象淘钱涉诉金额2000元问题类型诉求类型投诉详情借款2000实际到账才1100手续费900五天高利贷杀人贷。</t>
  </si>
  <si>
    <t>2019/10/01 16:25:26</t>
  </si>
  <si>
    <t>投诉人 于女士        投诉对象  钱站,华夏银行        涉诉金额  2 000 元    问题类型    诉求类型投诉详情  钱站借款2000元 在我不知情的情况下到账。本来是已经取消的，结果到账 要求还款金额高达3600多元</t>
  </si>
  <si>
    <t>2019/10/01 16:23:53</t>
  </si>
  <si>
    <t>投诉人 黄庆        投诉对象  分期乐        涉诉金额  58 元    问题类型    诉求类型投诉详情  分期乐在他的平台买东西不给退款。打电话告诉我不给退款</t>
  </si>
  <si>
    <t>2019/10/01 16:23:49</t>
  </si>
  <si>
    <t>投诉人陈先生投诉对象快钱支付,金鹰钱包涉诉金额1800元问题类型诉求类型投诉详情金鹰钱包高利贷平台，借款1800，5天后归还3000元。</t>
  </si>
  <si>
    <t>2019/10/01 16:23:38</t>
  </si>
  <si>
    <t>投诉人郭先生投诉对象白条分期涉诉金额249元问题类型诉求类型投诉详情操作中银行卡被扣走249元，说是什么会员费，然后给你推荐一些不靠谱的小网贷，纯是套路要求严办。</t>
  </si>
  <si>
    <t>2019/10/01 16:23:03</t>
  </si>
  <si>
    <t>投诉人 王先生        投诉对象  好易借        涉诉金额  8 500 元    问题类型    诉求类型投诉详情  暴力催收，爆通讯录。人生攻击，停止攻击。</t>
  </si>
  <si>
    <t>2019/10/01 16:22:12</t>
  </si>
  <si>
    <t>借款3000元，分4期，每期7天，每次还款1233，总共需还4932，28天利息1932。</t>
  </si>
  <si>
    <t>2019/10/01 16:21:31</t>
  </si>
  <si>
    <t>10月1日到期，现在手头不方便，希望能协商一下还款，打电话给客服，客服说没办法，希望能帮帮忙处理一下</t>
  </si>
  <si>
    <t>2019/10/01 16:19:17</t>
  </si>
  <si>
    <t>2019.10.01.01.12分在别样购买一双鞋，不小心付款，发现尺码下错误，客服回应称他们别样与footlock合作，不能取消，后续九点多继续联系客服，客服回应称超过20分钟未发货的订单，需要取消收取6美金的手续费，我在下完订单那个时候就已经联系客服了，无人回应，我也留言了，巨我海淘的经验，footlock是可以取消订单的，在未发货情况下联系网站客服取消或者发邮件就行，后续我说那给我订单号我自己联系footlock取消，所以就是一系列的条款我们什么都做不了，之前经常下的订单，24小时之后又被告知订单失败</t>
  </si>
  <si>
    <t>2019/10/01 16:19:12</t>
  </si>
  <si>
    <t>自由魔卡里的六超市，借款2000，需要支付一个540得会员费，这个会员费一点用处也没有，然后一个月后还款2060，明显就是高利贷，现在已经无力偿还，要求协商本金销账，如此高利贷，请国家打击。</t>
  </si>
  <si>
    <t>2019/10/01 16:18:27</t>
  </si>
  <si>
    <t>投诉人廖先生投诉对象通联支付涉诉金额200元问题类型诉求类型投诉详情通联支付，在本人不知情的情况下扣款200元，要求退回。</t>
  </si>
  <si>
    <t>2019/10/01 16:18:07</t>
  </si>
  <si>
    <t>投诉人王先生投诉对象造艺科技涉诉金额299元问题类型诉求类型投诉详情百事普惠恶意扣款299，造艺科技旗下的软件，投诉退款，谢谢。</t>
  </si>
  <si>
    <t>2019/10/01 16:17:01</t>
  </si>
  <si>
    <t>在360借条上只想看一下额度，结果在不知情的前提下给直接放款了。</t>
  </si>
  <si>
    <t>2019/10/01 16:16:59</t>
  </si>
  <si>
    <t>投诉人董女士投诉对象名校贷,麦子金服,诺诺镑客涉诉金额1440元问题类型诉求类型投诉详情名校贷借款7200，拒绝退款咨询费1440，客服联系我以各种理由拒绝，本人当时还款期间联系客服无人回应，坚持通过法律途径维护权益，。</t>
  </si>
  <si>
    <t>2019/10/01 16:15:36</t>
  </si>
  <si>
    <t>本人在钱站旗下软件速金服借款1000，合同上确写1330，实际还款1500多元，阴阳合同，高利贷，，要求协商还款。</t>
  </si>
  <si>
    <t>2019/10/01 16:15:05</t>
  </si>
  <si>
    <t>立借高利贷，借八千三个月就要还一万多，还款也不合理，要求调整还款额度，。</t>
  </si>
  <si>
    <t>2019/10/01 16:14:46</t>
  </si>
  <si>
    <t>投诉人蒋先生投诉对象贷上钱涉诉金额5400元问题类型诉求类型投诉详情借4000元，借款时间3个月，每个月还款1810元，强行购买游戏豆1200元！现在也还两期。</t>
  </si>
  <si>
    <t>2019/10/01 16:13:12</t>
  </si>
  <si>
    <t>小花钱包借款2000元一个多月没到账！但是账单出了叫我还款^_^并且扣了我一期300请小花钱包客服尽快跟我联系处理解决问题^_^我们根本无法联系上小花钱包。</t>
  </si>
  <si>
    <t>2019/10/01 16:12:26</t>
  </si>
  <si>
    <t>我于2019年9月18日通过携程旅行网预定桂林悦榕庄2019年10月6日-10月7日一晚房间，房间是到店付，收房间全款担保金，由于信誉良好免担保金，但如不如期入住平台会自动扣款，通过与平台联系，房间不可取消，我认为酒店预定是一个合同协议，不给取消违反了《消费者权益保护法》第二十六条这种完全排除对方权益的霸王格式条款也不符合《合同法》规定，况且我提前6天联系携程与酒店，酒店完全可以再销售，希望贵平台予以协调可以取消订单。</t>
  </si>
  <si>
    <t>2019/10/01 16:12:11</t>
  </si>
  <si>
    <t>2019年9月13日在去哪网定了2019年10.18-20号的两间巴厘岛的AYANA酒店，于2019年9月30日查出有身孕，并伴有先兆流产的迹象，于是和去哪儿协调取消订单，但是对方并没有同意，理由是下面的代理商不同意退款，我订购酒店的时候确实写着“不可取消”，但目前这种情况确非本身意愿，实为身体原因，确实无法前行，而且我提前了18天去对方协调，并不影响二次销售，另外，我认为条款本身存在不平等条约，在间接地免除或者减少经营者责任，加重消费者责任，对消费者也存在不合理,不公平的规定，去哪儿网给出的不同意退款的理</t>
  </si>
  <si>
    <t>2019/10/01 16:11:57</t>
  </si>
  <si>
    <t>阴阳合同不与协商催收态度恶劣，要求国家有关部门要严惩。</t>
  </si>
  <si>
    <t>2019/10/01 16:11:27</t>
  </si>
  <si>
    <t>恶意不处理，逼迫你贷款，希望处理客服不管用。</t>
  </si>
  <si>
    <t>2019/10/01 16:10:51</t>
  </si>
  <si>
    <t>投诉人 徐女士        投诉对象  梧桐诚选        涉诉金额  2 000 元    问题类型    诉求类型投诉详情  已提交转让一个月的这些还有不能转让的2万</t>
  </si>
  <si>
    <t>2019/10/01 16:10:24</t>
  </si>
  <si>
    <t>到了还款日期无法还款，请问多宝分期是不是套路贷，卡里有钱不扣，让我联系客服打款给个人账号，打客服电话是关机状态。</t>
  </si>
  <si>
    <t>2019/10/01 16:10:20</t>
  </si>
  <si>
    <t>其在校期间宣传达内培训，承诺没有钱可以先报名，后期只要没去上课这笔钱都是会退的，然而让其退钱一直拖延，至今发消息从之前的秒回到现在的发n条过几天才回复。</t>
  </si>
  <si>
    <t>2019/10/01 16:10:09</t>
  </si>
  <si>
    <t>投诉人王先生投诉对象快闪卡贷涉诉金额0元问题类型诉求类型投诉详情快闪卡贷宣传30分钟审核！三天了还在审核中！虚假宣传……原来跟新橙优品是一家公司，晋中龙信的两个马甲……新橙优品我借款后砍头息高利贷下款两天后我聚投诉投诉，网信办投诉，晋中市公安局举报，给我解决了！聚投诉里快闪卡贷投诉砍头息高利贷也这么多！快闪卡贷别给我下款了，我也不需要高利贷了……你们给我撤销审核，撤销放款吧！注销账号！。</t>
  </si>
  <si>
    <t>2019/10/01 16:09:55</t>
  </si>
  <si>
    <t>聚富分期扣款299，说是14天内推荐借款平台，然后第16天了，还没有匹配到，打电话让退款，对面工作人员一直各种理由推脱。</t>
  </si>
  <si>
    <t>2019/10/01 16:09:54</t>
  </si>
  <si>
    <t>智行火车票抢票成功，APP无提醒，擅自扣款，使消费者错过乘车，无法退款，还擅自加了加油包50，50在我的要求下已经退款，希望能在投诉平台得到解决。</t>
  </si>
  <si>
    <t>2019/10/01 16:09:16</t>
  </si>
  <si>
    <t>投诉人张女士投诉对象浦发信用卡涉诉金额98000元问题类型诉求类型投诉详情由于家庭情况，本人离婚，生病，还要负担孩子的学费生活费，导致浦发信用卡逾期，本人有很强的意愿要还钱，而且在这几个月里手里一有闲钱就归还，并且一直接听电话，，一直也努力凑钱还账，29号时我说钱要等节过完才能凑齐，浦发信用卡第三方人员必须要我在30号之前凑到，两天时间第三方电话每分钟都来，并且威胁我要上门，报警！而且我给客服打电话，客服态度恶劣，问我早干嘛呢，我要等节过完才能想办法抵押房产，没有到逼不得已谁会抵押房产，所以在此希望浦发信用</t>
  </si>
  <si>
    <t>2019/10/01 16:08:22</t>
  </si>
  <si>
    <t>现代管家高利贷，3516，已经续期好几次，每次都是1200，本金都已经超过了，现在协商本金还款，拒绝协商，请聚投诉解决。</t>
  </si>
  <si>
    <t>2019/10/01 16:07:40</t>
  </si>
  <si>
    <t>投诉人张先生投诉对象平安i贷涉诉金额8000元问题类型诉求类型投诉详情从大概16年开始用，开始的每月还利息，从去年3月费左右，系统说什么系统升级，可以提高额度，开始每月分期还款，整个账单变的不一样，现在还了一年了，还有3000多块，每月管理费和保险费用，高达本金！请平安银行解释下，国家规定严格贷款有管理费用和保险费用，平安这样的大银行依旧我行我素，甚至聚投诉从不回复投诉！暴力催收就不说了，请解释下！。</t>
  </si>
  <si>
    <t>2019/10/01 16:07:05</t>
  </si>
  <si>
    <t>于9月6日借款1900元实际到账却只有1368元分两期还完，一期各还969，赤裸裸的套路贷砍头，属实猖狂完全不顾国家最近一系列的打击行动，已还一期，由于实在承受不住这么高的利息无力偿还，要求协商本金销账。</t>
  </si>
  <si>
    <t>2019/10/01 16:06:57</t>
  </si>
  <si>
    <t>投诉人施女士投诉对象拼多多,多品旗舰店涉诉金额100元问题类型诉求类型投诉详情我从未在拼多多商家多品旗舰店买过东西，我个人信息被商家从非法途径买到，作为刷单收件之用我先是接到商家空包裹，最近又收到商家寄来的垃圾脏碎布条，告知拼多多该商家老是为自己刷单，寄送空包或垃圾包骚扰我，拼多多说已解决，对该商家进行限流限制排名处罚，并禁止该商家参加拼多多平台任何活动，但我竟然看到拼多多国庆活动商家赫然在内说明拼多多说一套做一套忽悠消费者，根本没处理！。</t>
  </si>
  <si>
    <t>2019/10/01 16:06:25</t>
  </si>
  <si>
    <t>投诉人魏先生投诉对象松紧贷涉诉金额566元问题类型诉求类型投诉详情刚睡醒准备还款就被恐吓，从始至终都在恐吓极其恶劣金额已还。</t>
  </si>
  <si>
    <t>2019/10/01 16:05:52</t>
  </si>
  <si>
    <t>投诉人岳先生投诉对象肥猫贷涉诉金额1000元问题类型诉求类型投诉详情今天到期，我说一会处理，客服催收就开始骂人，语言侮辱，挂了电话就开始短信轰炸！！！1000本金续期2天费用150，续了6期了。</t>
  </si>
  <si>
    <t>2019/10/01 16:05:06</t>
  </si>
  <si>
    <t>投诉人 普先生        投诉对象  杭州伟福科技有限公司        涉诉金额  199 元    问题类型    诉求类型投诉详情  下个APP胡乱扣费 没有任何服务和提醒 要求退还款项</t>
  </si>
  <si>
    <t>2019/10/01 16:04:51</t>
  </si>
  <si>
    <t>投诉人冯先生投诉对象蛋壳公寓涉诉金额2560元问题类型诉求类型投诉详情蛋壳公寓销售人员&amp;nbsp;在销售服务出租承诺退租不需要违约金&amp;nbsp;我和我舍友签订的合同一样&amp;nbsp;在退租时我舍友&amp;nbsp;没有交违约金&amp;nbsp;我比舍友迟退租一周&amp;nbsp;需要掏违约金。</t>
  </si>
  <si>
    <t>2019/10/01 16:03:54</t>
  </si>
  <si>
    <t>投诉人蔡先生投诉对象及贷,智享贷,广州京信小额贷款有限公司涉诉金额1000元问题类型诉求类型投诉详情及贷智享贷每天分不同时间段给我朋友打电话，我没有填写那些人电话，私自过去我通话记录电话。</t>
  </si>
  <si>
    <t>2019/10/01 16:03:38</t>
  </si>
  <si>
    <t>投诉人马先生投诉对象魅族涉诉金额3299元问题类型诉求类型投诉详情摄像头漏光，触控失灵，卖家推魅族，魅族推卖家，不给退货，让我送检，送检后说没问题，但是不给退。</t>
  </si>
  <si>
    <t>2019/10/01 16:02:11</t>
  </si>
  <si>
    <t>投诉人吴女士投诉对象特约里网涉诉金额1884元问题类型诉求类型投诉详情没在这个上有贷款啊也不曾有过还款记录还款信息无缘无故扣款。</t>
  </si>
  <si>
    <t>2019/10/01 16:01:51</t>
  </si>
  <si>
    <t>总共在玖富万卡就借了35000元！现在已经还了11个月！还欠50000多！原本以为是年利率36！国家规定！我无话可说！但是后来朋友告诉我已经60了！已经是高利贷了！我找他们协商无果！。</t>
  </si>
  <si>
    <t>2019/10/01 16:01:21</t>
  </si>
  <si>
    <t>说过尽快处理后，还对家人进行骚扰，暴力催收。</t>
  </si>
  <si>
    <t>2019/10/01 16:01:07</t>
  </si>
  <si>
    <t>2019年9月15日在高铁管家买了一张票，因为没赶上动车去窗口退票了，到今天已经过去15个工作日了，可高铁管家app一直没有将退票金额退还给我。</t>
  </si>
  <si>
    <t>2019/10/01 16:00:32</t>
  </si>
  <si>
    <t>钱站,快钱支付,华夏银行,华夏存管,通联支付，借款3800，到期需要还款6000多，且期间想协商还款，联系拨打客服电话无人反馈，催收加上微信告诉我，扬言告诉我他们都是合法的，并要求我立即处理欠款。</t>
  </si>
  <si>
    <t>2019/10/01 15:59:16</t>
  </si>
  <si>
    <t>借款2千块钱3期要还3940块钱，高利息高达1940块钱。</t>
  </si>
  <si>
    <t>2019/10/01 15:57:58</t>
  </si>
  <si>
    <t>投诉人曾先生投诉对象造艺科技涉诉金额299元问题类型诉求类型投诉详情造艺科技扣款协议299元，行为违规，请求退款，谢谢合作。</t>
  </si>
  <si>
    <t>2019/10/01 15:57:11</t>
  </si>
  <si>
    <t>投诉人邢先生投诉对象淘宝涉诉金额5699元问题类型诉求类型投诉详情立减300的卷领到了，然后就是提示无法下单，经过网络上查找办法了解之后，网友们管这个叫做“黑号”。</t>
  </si>
  <si>
    <t>2019/10/01 15:56:52</t>
  </si>
  <si>
    <t>投诉人刘女士投诉对象立借,月月借涉诉金额3000元问题类型诉求类型投诉详情立借里的月月借，借2100元要还3000多元，。</t>
  </si>
  <si>
    <t>2019/10/01 15:55:49</t>
  </si>
  <si>
    <t>投诉人 邢女士        投诉对象  爱又米        涉诉金额  10 000 元    问题类型    诉求类型投诉详情  多次寄邮件，发短信骚扰家里人，不文明用语</t>
  </si>
  <si>
    <t>2019/10/01 15:53:22</t>
  </si>
  <si>
    <t>本人在月光侠分期借款2800，到账2200，实际三个月每个月还1400，已经还了一期了，第二期的时候app也打不开了，资金有点困难，这个月周转不开，客服打电话也加我微信了，我说跟朋友借，没得商量，说几点前处理完，没有商量的余地，态度很强硬，还说不还就要爆通讯录，然后法律起诉我，本人愿意协商还本金和合理范围内的利息，拒绝高利贷。</t>
  </si>
  <si>
    <t>2019/10/01 15:53:21</t>
  </si>
  <si>
    <t>9月20号寄的快递，收件人收件时发现快递已经被拆过，里面的东西也少了一半，丢失三千左右的商品，韵达快递公司以未保价为由不予全额赔偿，现我也不要求全额赔偿，只要求韵达快递承担三分之二，剩余我自己补给收件人，现已协商七天，仍然未果。</t>
  </si>
  <si>
    <t>2019/10/01 15:53:04</t>
  </si>
  <si>
    <t>投诉人张女士投诉对象捷信金融涉诉金额29000元问题类型诉求类型投诉详情本人在2017年10月左右在捷信金融贷款29000，分30期还款，当时说提前结清没有利息诱导我分长期并没有说什么服务费，灵活还款包等情况！后还款22期共计37226.64元！剩余打算结清，致电捷信客服说是需要在还款12000多！说我37226还款里面本金还款18000，剩余一半都是服务费和利息真是高的可怕！后协商不成捷信开始电话疯狂骚扰，一天能打估计上百个电话！给我和家人造成工作生活很大的压力！还威胁不还款就要上门处理！电话中也含有威胁</t>
  </si>
  <si>
    <t>2019/10/01 15:52:47</t>
  </si>
  <si>
    <t>投诉人彭女士投诉对象手机借钱涉诉金额3000元问题类型诉求类型投诉详情本人于9月12号在多宝分期借款3000元，高额的利息并且10天一期这些都是在到款之后才发现的，要求将第三期调整国家承认最高36%年利率即可，即。</t>
  </si>
  <si>
    <t>2019/10/01 15:52:30</t>
  </si>
  <si>
    <t>高利贷，借款7000元到手4200砍首尾期，逾期一次500元，暴力催收恐吓。</t>
  </si>
  <si>
    <t>2019/10/01 15:51:54</t>
  </si>
  <si>
    <t>投诉人黄文艺投诉对象中信银行涉诉金额14000元问题类型诉求类型投诉详情中信银行太黑了，乱收违约金和利息，额度14000元，每个月都有还款，现在变13840元。</t>
  </si>
  <si>
    <t>2019/10/01 15:51:48</t>
  </si>
  <si>
    <t>9月21日还款，我当时跟前两期催收的北京证大向上金融服务有限公司，的经办人说了资金出现点问题要过几天还，但是国庆前一定还，结果好说歹说不听，还换了个男的疯狂打电话催收，未经我同意，非法窃取了我的通讯录，除了骚扰我给他们留的三个重要联系人的号码之外，还打给了我的一些工作上的关系单位的人和朋友，一分钟四次，连续一个小时的打，手机都不能用了，一直震动，太过分了。</t>
  </si>
  <si>
    <t>2019/10/01 15:51:39</t>
  </si>
  <si>
    <t>投诉人张先生投诉对象你我贷涉诉金额7000元问题类型诉求类型投诉详情2019年3月借款7000元，分12期还，前3期收取1318.02元，后面9期每期还款618.02元，剩余6期，想提前结清，还要还款3626.41。</t>
  </si>
  <si>
    <t>2019/10/01 15:51:20</t>
  </si>
  <si>
    <t>投诉人郑先生投诉对象钱站,华夏银行涉诉金额3000元问题类型诉求类型投诉详情本人与9月一号在钱站借款3000元，分3期.每期要还1906.57元，三期要还5700多，现在第一期以还，下期开始还本金合法利息，而且我现在发现借3000合同上写3996.57元分明是假合同，严重违法，比高利贷还要高，希望有关部门严重处理。</t>
  </si>
  <si>
    <t>2019/10/01 15:50:57</t>
  </si>
  <si>
    <t>9.30号预约16点长沙南方职业学院到长沙火车站的滴滴，滴滴16.20才到，17.20把我送到距长沙火车站上一站的地铁站，让我自己过去，导致我无法乘坐17.28火车，而且火车票超时无法退票，损失107.5元，后来临时排队购票抢到一张23.49的无座火车票，中途损失6个多小时，第二天差点当误早上7点行程，然后我的诉求滴滴费用，火车票过期无法退票的费用，还有中途当误6个多小时的损失，需要滴滴公司承担这一切损失，第三张图由于目前在外火车票不在身上，后续可以补上。</t>
  </si>
  <si>
    <t>2019/10/01 15:49:38</t>
  </si>
  <si>
    <t>投诉人夏青女士投诉对象宜信普惠涉诉金额115000元问题类型诉求类型投诉详情我贷款11.5万，要求还款19.7万，我已还10.6万，我单位发工资不及时，我甚至到他们门店找到经理要求提前结清，按本金等，并说明了情况，他们还不断骚扰我家人、同事、妹妹。</t>
  </si>
  <si>
    <t>2019/10/01 15:49:28</t>
  </si>
  <si>
    <t>下载了试用软件忘记取消订单，但是造成扣款，不需要这个软件，希望可以退款。</t>
  </si>
  <si>
    <t>2019/10/01 15:48:35</t>
  </si>
  <si>
    <t>贷款3200到账2300多每期还1635，昨天因APP登不进去造成逾期。</t>
  </si>
  <si>
    <t>2019/10/01 15:48:03</t>
  </si>
  <si>
    <t>投诉人张先生投诉对象Wecash闪银涉诉金额2400元问题类型诉求类型投诉详情因为最近资金出现问题，闪银哼哼，瞬瞬服务要求延期，自主联系客服不同意。</t>
  </si>
  <si>
    <t>2019/10/01 15:47:56</t>
  </si>
  <si>
    <t>本人名下光大银行信用卡，总额度人民币20000整，，请求聚投诉主持公道银行方面出来解决一下，谢谢，于2018年3月16日全额还款20000元整，银行当时催收联系我说一次性还清本金就行，滞纳金及罚息可以减免，但是我还了之后，就联系不上催收人员，联系信用卡客服，客服告知我他们没有这个权限，此后不了了之，滞纳金金额罚息一直停在2814.71，没增加也没减少，也没有人找我协商如何处理，请求聚投诉主持公道，银行方面出来解决一下，谢谢，信用卡账号:62*************7，当初还款2万元之后，卡片就无法使用至今</t>
  </si>
  <si>
    <t>2019/10/01 15:47:30</t>
  </si>
  <si>
    <t>投诉人梁先生投诉对象福利到手涉诉金额8000元问题类型诉求类型投诉详情福利到手，714高炮，9/1号借款，9/5号还款，借4000，实际到账2480，目前要偿还8000多元。</t>
  </si>
  <si>
    <t>2019/10/01 15:44:57</t>
  </si>
  <si>
    <t>蚂蚁转转承诺推广平台每个人给10块钱注册每个人送25元然后80可以提现，从早上提现到现在还没有处理，我怀疑这是虚假平台！！！！！。</t>
  </si>
  <si>
    <t>2019/10/01 15:44:54</t>
  </si>
  <si>
    <t>电话不停的打，发信息到朋友手机，诋毁名声，。</t>
  </si>
  <si>
    <t>2019/10/01 15:44:49</t>
  </si>
  <si>
    <t>本人和家人于2019年8月29日在甘肃省陇南市成县机场被一个穿着机场工作服的工作人员突然搭讪，并主动帮我取票，因为她穿着机场工作服，所以当时并没有怀疑什么，随后就误导我办理星河航空联盟的会员，缴付1300然后送1300的现金券，说终身有效国内外都可以使用并且办理此会员卡可以享受一到两个折扣，并且让我加了她的微信，让我以后直接通过她买公司内部价格的机票，但实际上并不是有什么折扣，机票价格甚至比各网站上贵，买机票时还要自己另外出钱，所打的折扣却要从付的1300里边扣除，我现在还是学生，没有固定收入，一千多块钱对</t>
  </si>
  <si>
    <t>2019/10/01 15:43:53</t>
  </si>
  <si>
    <t>我是滴滴车主，在9月27日晚上九点多抢到一单预约单，这个预约单是预约9月28日早上六点钟左右用车，然后我继续接单，在9月27日晚上十点半的时候接到一个实时单，这个实时单是从0826铜锣湾码头到西溪阳光的订单，我到达上车点，发现上车乘客醉酒，而且很大酒味，我报备平台乘客醉酒，然后对方乘客上了4个人还在继续上人，说要挤一个，我就告知对方不行，超载了，这引起了对方几个人的不满，进而对我进行谩骂，甚至开始说着说着动手打人，没有办法我赶紧下车报警，对方依旧不依不饶，追着我骂，追着我打，多次言语挑衅我，还对我车发泄怒火</t>
  </si>
  <si>
    <t>2019/10/01 15:42:51</t>
  </si>
  <si>
    <t>投诉人陈先生投诉对象小花钱包涉诉金额27000元问题类型诉求类型投诉详情骚扰朋友，私自盗用通讯录。</t>
  </si>
  <si>
    <t>2019/10/01 15:42:16</t>
  </si>
  <si>
    <t>冒充公检法人员，按国家最高法解释我不存在信用卡诈骗！。</t>
  </si>
  <si>
    <t>2019/10/01 15:41:39</t>
  </si>
  <si>
    <t>投诉人曾先生投诉对象造艺科技涉诉金额100元问题类型诉求类型投诉详情造艺科技在本人不知道的情况下扣我卡里的钱。</t>
  </si>
  <si>
    <t>2019/10/01 15:39:49</t>
  </si>
  <si>
    <t>招商银行信用卡，无缘无故冻结我的卡片，客服不处理。</t>
  </si>
  <si>
    <t>2019/10/01 15:39:36</t>
  </si>
  <si>
    <t>从事情出了到现在，一直没联系我，一直攻击我家里人，频繁打电话，我从来没说不还钱，这个暴力催收，国家不管吗，天天打电话，你就继续打，你牛逼，不想和我处理这个事情，就搞啊。</t>
  </si>
  <si>
    <t>2019/10/01 15:38:33</t>
  </si>
  <si>
    <t>，给我回电竟然和商家的说词一样，本以为聚美会为顾客解决事情，，没想到这么失望，手拿着过敏的面膜根本用不了，也不知去哪里投诉！。</t>
  </si>
  <si>
    <t>2019/10/01 15:38:10</t>
  </si>
  <si>
    <t>投诉人李先生投诉对象滴滴平台涉诉金额134元问题类型诉求类型投诉详情2019年10月1日9时50分接一个订单，是从车博仕汽车美容装饰到长水新村，接到该订单后我立即就赶去接乘客，到达预约起点乘客来坐上车，车还没有走，乘客就把订单取消了，我问乘客怎么把订单取消了，乘客说不小心点了取消了，之后到10月1日14时39分我收到短信，滴滴说我诱导乘客取消线下交易，然后钱包哪里显示作弊扣款，扣了我134.19元人民币，我就想问你们滴滴平台是怎么核实的，从一开始我就没有叫乘客取消过订单，是乘客自己取消的，你们凭什么说我有责</t>
  </si>
  <si>
    <t>2019/10/01 15:38:00</t>
  </si>
  <si>
    <t>本人通过短信接触到御剑飞行这个网贷平台，该平台严重违法国家网贷规定，借款3500元实际到账2100元，在还款日当天该平台催收通过境外电话暴力催收，涉及威胁恐吓，拒不协商，放款方为，本人持还款态度沟通无果，寻求贵平台的帮助，愿归还本金以及符合国家规定的合理利息，砍头息部分拒不接受。</t>
  </si>
  <si>
    <t>2019/10/01 15:37:39</t>
  </si>
  <si>
    <t>投诉人刘先生投诉对象来米巴士涉诉金额1400元问题类型诉求类型投诉详情借1400到账1020还了1100后面没还上直接爆我通讯录恐吓我父母暴力催收附上催收号码。</t>
  </si>
  <si>
    <t>2019/10/01 15:37:11</t>
  </si>
  <si>
    <t>带上钱以买金豆的名义变像砍头息逾期一天，各种威胁跟骚扰。</t>
  </si>
  <si>
    <t>2019/10/01 15:36:40</t>
  </si>
  <si>
    <t>投诉人穆女士投诉对象中国移动涉诉金额22元问题类型诉求类型投诉详情有流量仍然扣超出流量费！！！中国移动很多次这样了！！！并且客服说有专人解决根本没有！！！这种行为非常恶劣！！！。</t>
  </si>
  <si>
    <t>2019/10/01 15:36:06</t>
  </si>
  <si>
    <t>投诉人唐先生投诉对象恒丰银行涉诉金额10000元问题类型诉求类型投诉详情我2019年8月20日通过恒丰银行微信公众号申请了ETC设备，在不知情的情况下自动申请了改行的恒星白金卡，9月28号跑高速用的ETC，但是后来没有扣费成功，我就拨打了恒丰银行的电话，客服告知我我的实体卡没有下卡无法使用ETC，叫我自己去联系山东ETC退回设备并注销ETC，我就纳闷了，无法使用为什么给我通过ETC专属卡，在此我要求恒丰银行消除掉我征信上面的信用卡记录，并且对我安装ETC和邮寄ETC所浪费的时间给以赔偿。</t>
  </si>
  <si>
    <t>2019/10/01 15:36:05</t>
  </si>
  <si>
    <t>我在给你花平台米多点借款2000元，到手只有1500元，砍头息500元，利息高的怕人，要求退还利息。</t>
  </si>
  <si>
    <t>2019/10/01 15:35:37</t>
  </si>
  <si>
    <t>2019/10/01 15:35:05</t>
  </si>
  <si>
    <t>高利贷暴力催收，额度5000元，都已经还了几点千元，现在又叫我处理3814元。</t>
  </si>
  <si>
    <t>2019/10/01 15:34:46</t>
  </si>
  <si>
    <t>根据本人需求下载安装城信APP，并充值1100元，新账号使用中发现充值后并不能将自己的钱提现回自己的银行卡，多次联系客服，且没有回复，试图寻找客服电话联系方式，并没有电话。</t>
  </si>
  <si>
    <t>2019/10/01 15:34:43</t>
  </si>
  <si>
    <t>投诉人项女士投诉对象工商银行涉诉金额200元问题类型诉求类型投诉详情本人于2019年7月20日在极地盛世名都小区看到工商银行设点宣传，称信用卡办理ETC可享受省内通行8折优惠后，于2019年7月23日下午在江西省九江市九瑞大道工商银行营业厅通过工作人员引导，使用微信小程序“快易通”，用尾号为3227的信用卡申请办理了ETC，当时工作人员明确表示信用卡办理ETC可享受省内高速通行8折，全国9.5折，但8月和9月我多次高速通行费用显示的扣费都是95折优惠后的费用，并非银行所承诺的8折，于是我又联系了当时给我办理</t>
  </si>
  <si>
    <t>2019/10/01 15:34:38</t>
  </si>
  <si>
    <t>前两天找客服，麻烦，我两单让我填了两个表格，今天发短袖给我，说我照片不行，布料质量我是照片可以拍出来的吗。</t>
  </si>
  <si>
    <t>2019/10/01 15:34:11</t>
  </si>
  <si>
    <t>投诉人王先生投诉对象好易借涉诉金额7000元问题类型诉求类型投诉详情好易借，7000申请12期。</t>
  </si>
  <si>
    <t>投诉人程女士投诉对象携程,携程旅游涉诉金额6556元问题类型诉求类型投诉详情8月份在携程购买了9月23-9月28号两个人的巴厘岛自由行套餐，包含来回机票+5日酒店+一日游，在国外旅游期间，回国的航班提前7小时起飞，航空公司官网变更了起飞时间，但是携程没有将这么重要的信息触达我，导致在国外误机，重新买机票损失人民币6556元，具体的：1、在国外旅游期间，印尼的这趟直飞南京的航班变更了起飞时间，携程说给我打电话没有打通，因为我们出国都是换流量卡所以打不通，导致没有通知到，但是在出发之前，其实携程工作人员就加了我</t>
  </si>
  <si>
    <t>2019/10/01 15:33:58</t>
  </si>
  <si>
    <t>投诉人石先生投诉对象建设银行涉诉金额0元问题类型诉求类型投诉详情开通手机银行时一直提示验证码输入错误，输入几次后卡被锁，打客服找不出卡被锁原因，无法解决。</t>
  </si>
  <si>
    <t>2019/10/01 15:33:33</t>
  </si>
  <si>
    <t>投诉人温先生投诉对象翼钱包涉诉金额1000元问题类型诉求类型投诉详情电话推荐，714高炮平台，1000块钱8天手续费300，超过国家法定的利率。</t>
  </si>
  <si>
    <t>2019/10/01 15:32:41</t>
  </si>
  <si>
    <t>投诉人陈先生投诉对象拉卡拉金融涉诉金额0元问题类型诉求类型投诉详情本人与2017年申请拉卡拉易分期3万元，后来由于逾期被拉卡拉起诉至广州市越秀区人民法院，被起诉后已经第一时间还清所有欠款，但几个月后却莫名其妙的上了失信被执行人名单和限制消费人员名单、芝麻信用负面记录，请拉卡拉给出一个合理的解释并赔礼道歉，同时删除芝麻信用负面记录。</t>
  </si>
  <si>
    <t>2019/10/01 15:32:38</t>
  </si>
  <si>
    <t>投诉人黄先生投诉对象北京云广教育,品课教育涉诉金额7980元问题类型诉求类型投诉详情要求退款不退，不合理做，已经损失了7980。</t>
  </si>
  <si>
    <t>2019/10/01 15:32:10</t>
  </si>
  <si>
    <t>投诉人周先生投诉对象城信APP涉诉金额850元问题类型诉求类型投诉详情一个Q友叫我玩城信说做兼职，充了850、城信APP提现不到账，联系客服询问单号，手机号之后直接把我删除，反馈意见：第一次说银行掉单延迟到账，接着再反馈问题，直接说我涉嫌诈骗。</t>
  </si>
  <si>
    <t>2019/10/01 15:30:16</t>
  </si>
  <si>
    <t>我借贷上钱1000块钱，一个月下来还1345，利息高于国家规定，逾期一天就爆我通讯录，严重影响我现在的生活，我要求道歉。</t>
  </si>
  <si>
    <t>2019/10/01 15:29:20</t>
  </si>
  <si>
    <t>2019/10/01 15:29:15</t>
  </si>
  <si>
    <t>我借的时候是1400元，现在我算了一下没期还744.95元分三期，这下来2234.85元这利息太高，我接受不了，我还不起，我现在只能还本金，。</t>
  </si>
  <si>
    <t>2019/10/01 15:25:49</t>
  </si>
  <si>
    <t>我与女友分手后心情不佳，碰巧我是在抖音上看到玖爱抖音账号，于是和客服进行了沟通，通过加微信详细述说我的情感问题之后，他们承诺这个可以挽回并且成功概率90%,然后就说这个情感挽回服务是收费并且是先收费后才能做个人一对一的方案，玖爱承诺一个月内能帮助7天能恢复联系方式，恢复联系方式后一个月能成功挽回，我特意问过不能挽回怎么办，他们回复的是如果按照他们的方案做下去，不能挽回他们可以退款，于是我交了1980元，我交了钱后他们给了我一个方案，当时我就质疑过他们的方案有问题，方案就是网上照搬过来的，后来他们解释是文员发</t>
  </si>
  <si>
    <t>2019/10/01 15:25:06</t>
  </si>
  <si>
    <t>在国庆前做好了详细的出游计划并选择了智行预定往返的飞机票，结果在出发当天收到短信告知我们航班取消，这打乱了我们所有的计划，在接到短信的第一时间我们就联系了客服进行退票申请，在前后打了五六个电话之后告知我去程可以全额退票给我，但是返程没有办法，说是航空公司的规定并让我们咨询航空公司有没有其他解决方案，结果我们电话咨询国航后对方告知我们不是在他们的平台购买的飞机票且实际飞机是深圳航空，国航只负责承运没办法进行操作，我们就这样被踢皮球了一早上，原本举国同庆的日子里我却在因为行程的问题沮丧，所以在此恳请平台协助我们</t>
  </si>
  <si>
    <t>2019/10/01 15:23:53</t>
  </si>
  <si>
    <t>本人于2017年6月一次偶然急用钱无奈之下在我来贷平台借款8000起初利息都是达到30%以上的利率，后来生意亏了挣得辛苦钱全部给高额度利息收取，只能再去贷，利息我来贷越来越高，借款7000钻都要还9600元的，本人利息前后还了高大3万元左右其中有六个月，九个月，不等，我来贷砍头息，只会客服复制回复，无法无天，根本不重视，不理睬我们，给我们太大压力，只能不断去贷补洞，整治贷款软件，赔偿多余利息，下调利率，这么高的利息没人会同意。</t>
  </si>
  <si>
    <t>2019/10/01 15:23:34</t>
  </si>
  <si>
    <t>从我建设银行6232****1566于2019-10-01，但是从没有办理过什么信托就直接扣款，去银行查也是无果，这个公司怎么可以直接划走我们银行卡的钱呢，好奇怪，但是只有701元警方也不会立案，我们也是真的没办了，是不是等到再扣1000元才能报警呢。</t>
  </si>
  <si>
    <t>2019/10/01 15:21:48</t>
  </si>
  <si>
    <t>投诉人方先生投诉对象月光侠分期涉诉金额2100元问题类型诉求类型投诉详情月光侠高利贷，变相假合同，借3000实际到账2100，申请取消申请不了，到期不给协商，直接爆通讯录，威胁联系人。</t>
  </si>
  <si>
    <t>2019/10/01 15:18:03</t>
  </si>
  <si>
    <t>着急退款，刚看到网上有很多不给退款的问题，我需要他立刻退款，交押金前并没有提前声明20天后才退押金。</t>
  </si>
  <si>
    <t>2019/10/01 15:17:48</t>
  </si>
  <si>
    <t>投诉人姚先生投诉对象活力花涉诉金额861元问题类型诉求类型投诉详情逾期3天轰炸通讯录，利息高，还恐吓，态度恶劣。</t>
  </si>
  <si>
    <t>2019/10/01 15:16:54</t>
  </si>
  <si>
    <t>投诉人张先生投诉对象联动云租车涉诉金额999元问题类型诉求类型投诉详情本人急需用钱就只想把钱抓紧退回回不了家。</t>
  </si>
  <si>
    <t>2019/10/01 15:16:40</t>
  </si>
  <si>
    <t>补充说明：我没购买凭证，后单号不可能是我有的，所以我不可能能做这些步骤的，希望官方尽快将钱款退回，这号我也没必要继续什么了不安全，不可能还买，就50不多我也陆续被找回5-6次了也和客服说明了，路过不行，我现在授我现在这个室友影响，，被找回和大家投诉一样要，交易猫回答一模一样就是不管呗。</t>
  </si>
  <si>
    <t>2019/10/01 15:12:15</t>
  </si>
  <si>
    <t>顺丰快递不返款，显示已签收，但是半个月过去了，一直未返款给我，每次打电话去问都是各种理由推脱，说什么在处理，从9.18号到10.1号打电话给客服处理，客服一直未处理，钱也不返款，欺骗消费者权益，刚开始说25号给我返款，结果25号又说30号返款，到30号打电话又说还在处理，纯粹就是骗子，已经超过14个工作日了，顺丰已经违背他们自己的条约，本人要求立刻给我返款。</t>
  </si>
  <si>
    <t>2019/10/01 15:12:00</t>
  </si>
  <si>
    <t>今天没到只是还款日就打电话威胁打通讯录还钱。</t>
  </si>
  <si>
    <t>2019/10/01 15:11:58</t>
  </si>
  <si>
    <t>投诉人张女士投诉对象捷信金融涉诉金额29000元问题类型诉求类型投诉详情本人在2017年10月左右，在捷信贷款29000分30期还款，当时说提前结清没有利息，后还款22期共计37226.64元！剩余打算提前结清，致电捷信客服说是需要在还款12000多，说我本金只还了18000，其他19000左右有9700服务费，9000多是利息，后协商不成捷信公司疯狂骚扰通讯录！导致工作生活造成很大压力！还威胁说要上门处理！现在需要捷信公司给出合理解释，本人愿意按照国家规定利息来还款，坚决抵制他这欺诈消费者行为！我这里有捷</t>
  </si>
  <si>
    <t>2019/10/01 15:11:40</t>
  </si>
  <si>
    <t>投诉人王先生投诉对象现金巴士涉诉金额6000元问题类型诉求类型投诉详情首先在现金巴士借了三千块钱分三期，拿到手只有两千多点！有砍头息，其次，在刚逾期的时候就准备和客服协商！客服不给任何减免！每天逾期费高的吓人！今天我又找客服协商，还是不行！我只想早点还完费用！减免逾期费！毕竟现在拿到手只有两千多点本金，逾期六十天已经利滚利达到四千多了！我现在只想减免逾期费还款！我这个要求对于你们这种不符合国家法律的砍头息，不符合国家法律的利息，和不符合国家法律的逾期费，要求并不高！。</t>
  </si>
  <si>
    <t>2019/10/01 15:11:38</t>
  </si>
  <si>
    <t>本人在趣花分期借钱3000元实际到账2250元需还款3090元，一个月的时间，利息840元，严重超出国家36%利率，其中强制收取会员费征信保750元，要求全额退还750元砍头息！！！。</t>
  </si>
  <si>
    <t>2019/10/01 15:10:22</t>
  </si>
  <si>
    <t>2019年4月以后本人已经注销了用钱宝账户，卸载了app，今天却收到了还款短信，要求还款，已经半年根本没有使用这个东西了，说我九月借了5000块钱，请平台认真核查该笔记录！。</t>
  </si>
  <si>
    <t>2019/10/01 15:09:20</t>
  </si>
  <si>
    <t>小花钱包暴力催收，使用不合法的阴阳合同，导致利滚利使我陷进高利贷圈，目前暂时无力偿还申请延期无果，非要轰炸本人手机联系人，电话信息不断骚扰我亲朋好友，我已无力再承担这一切，请求法律保护我合法的隐私。</t>
  </si>
  <si>
    <t>2019/10/01 15:09:18</t>
  </si>
  <si>
    <t>提前结清，后面几期只还本金，因为前面还了好多利息了。</t>
  </si>
  <si>
    <t>2019/10/01 15:09:14</t>
  </si>
  <si>
    <t>涉诉金额14000元问题类型诉求类型投诉详情金柯网暴力催收、跑到我厂里用大喇叭骚扰同事、利用我的手机号在网上到处注册信息！。</t>
  </si>
  <si>
    <t>2019/10/01 15:09:13</t>
  </si>
  <si>
    <t>我一直有使用名为贷上钱的网贷平台，使用了大概1年多，2019年9月份资金周转困难，9月18日到期的金额共3100元左右没能及时还上，期间催收一直打电话进行骚扰，我跟催收说我大概10月7号左右就能周转过来，不是故意拖欠，催收不停，一直坚持让我立马还款，态度极其恶略，对我进行恐吓，说我涉嫌骗贷，我想说的是我在贷上钱贡献的利息都上万了，而且只有这一次逾期了，高利息我认了，只求能和我协商一个日子还款，停止进行骚扰和恐吓，还有就是逾期滞纳金高的吓人，实在太高了，逾期3100块钱，12天滞纳金已高达600多元，这个无论</t>
  </si>
  <si>
    <t>2019/10/01 15:09:10</t>
  </si>
  <si>
    <t>投诉人涂先生投诉对象苏宁易购涉诉金额10000元问题类型诉求类型投诉详情我于2018-12-2017:32:07申请关店到今天为止一直未退回押金，联系客服，一直拖延不退款。</t>
  </si>
  <si>
    <t>2019/10/01 15:08:38</t>
  </si>
  <si>
    <t>钱站催收暴力催收，恐吓，骚扰，催收表示我朋友不还款，要一直不断地给我打电话。</t>
  </si>
  <si>
    <t>2019/10/01 15:06:18</t>
  </si>
  <si>
    <t>申请贷款4000元，系统强制选定9月，9个月需还款5200元，本人第一次协商还款无果，客服致电不能减免，只能给两个红包券，并没有告知逾期不能使用该券，还款日当天晚还几个小时，该券无法使用致电客服后一直无果，本人已还了600多利息，希望能合理销账，不然将投诉到底。</t>
  </si>
  <si>
    <t>2019/10/01 15:06:08</t>
  </si>
  <si>
    <t>本人在现金巴士借款十多次期间每次借款都是一个月单期每次收取一百元不明费用期间本人一直还款记录良好无任何逾期，知道上个月开始现金巴士出现问题无法在借出款来只能还款本人这个月债务比较多实在无法处理本次欠款请求延期十多天处理期间一切费用本人自行承担，期间联系客服协商客服拒不协商希望贵公司本着人道精神处理一下。</t>
  </si>
  <si>
    <t>2019/10/01 15:05:50</t>
  </si>
  <si>
    <t>投诉人冯先生投诉对象有用分期涉诉金额7273元问题类型诉求类型投诉详情本人因有急事在2019年9月2号在有用分期平台申请14000和2019年9月17号申请的8000的现金贷后面算算利息他们的利息高得吓人完全超过了国家规定的利息14000分十二期还款每期要还1703十二期就要还204368000的也是分十二期还款每期要还1037十二期就要还12444后来查看合同才知道原本借的14000和8000变成了18194和11079收了账号管理费而且账号管理费高的吓人比利息还要高14000的收41948000的收30</t>
  </si>
  <si>
    <t>2019/10/01 15:05:13</t>
  </si>
  <si>
    <t>立刻出行押金不退，余额也是加油的钱也不退，现在也没车，请求帮助，谢谢。</t>
  </si>
  <si>
    <t>2019/10/01 15:05:01</t>
  </si>
  <si>
    <t>借款3000，一个月后要还款3832.95，利率太高，明显的高利贷。</t>
  </si>
  <si>
    <t>2019/10/01 15:04:24</t>
  </si>
  <si>
    <t>今天客服打电话来说我购买了800元钻石会员权益，客服让我必须还款，否则从我银行卡自动扣钱，这个钱也算是我借款的，我要求取消我的飞行权益，我不买飞行权益，不用飞行权益，也不会付这个钱。</t>
  </si>
  <si>
    <t>2019/10/01 15:03:40</t>
  </si>
  <si>
    <t>投诉人卫先生投诉对象达飞云贷,海尔消费金融,上海阔礼商务咨询有限公司涉诉金额20000元问题类型诉求类型投诉详情达飞云贷受害群，当我们第一天开始用达飞云贷的时候就已经被套路了，刚开始利息很低，当你越借越多的时候突然给你增加服务包利息质保金。</t>
  </si>
  <si>
    <t>2019/10/01 15:01:12</t>
  </si>
  <si>
    <t>借款砍头息，以保险名义进行扣除现在恐吓，骚扰联系人要求恢复正常还款金额，进行道歉，对催收进行处罚。</t>
  </si>
  <si>
    <t>2019/10/01 15:00:58</t>
  </si>
  <si>
    <t>在不经用户同意强行免密扣除199元会员费，并提供知名贷款平台要求申请贷款，声称如果申请了6家都不放款，方可退199元会员费。</t>
  </si>
  <si>
    <t>2019/10/01 15:00:08</t>
  </si>
  <si>
    <t>微信客服不作为，冻结我的零钱不能给我合理解释！永久冻结。</t>
  </si>
  <si>
    <t>2019/10/01 14:59:08</t>
  </si>
  <si>
    <t>及贷里面的智享贷是国家严厉打击的套路贷，和之前的714如出一辙，借1300有234的砍头息！！而且暴力催收，逾期一天就爆通讯录，侮辱骚扰我的同学，同事和家人，我因为你们的暴力催收失去了工作！！，每天不停的暴力催收，我已经是精神压力很大，游走在自杀的边缘，我已决定报案处理，国家是坚决打击你们这样的砍头息，暴力催收的，你们一点也不怕国家的法律，我相信国家会主持公道，我已经决定报案处理。</t>
  </si>
  <si>
    <t>2019/10/01 14:59:00</t>
  </si>
  <si>
    <t>现金巴士砍头息，借款1500根本没有到账1500，现在要求和本人协商还款。</t>
  </si>
  <si>
    <t>2019/10/01 14:58:29</t>
  </si>
  <si>
    <t>本人通过短信接触到来花花这个网贷平台，该平台严重违法国家网贷规定，借款2000元实际到账1400元，在还款日当天该平台催收通过境外电话暴力催收，涉及威胁恐吓，拒不协商，放款方为汇潮支付，本人持还款态度沟通无果，寻求贵平台的帮助，愿归还本金以及符合国家规定的合理利息，砍头息部分拒不接受。</t>
  </si>
  <si>
    <t>2019/10/01 14:57:53</t>
  </si>
  <si>
    <t>本人通过贷上钱下载现控达人，在里面的微豆荚借款1400元与2800元，借款期限是32天，每8天一期，每期还款511.2元与1022.4元，总共要还款2044.8元与4089.6元，现控达人属于国家严打的高利贷套路贷，本人已经归还两期账单，因现控达人恶意制造逾期，产生逾期费用，我已无力偿还这种吸血高利贷，先要求该平台协商偿还本金及合理合法利息，支付通道为北京畅捷通支付技术有限公司，为高利贷提供违规途径，现希望聚投诉平台联系商户协助处理，调整合法利率，销账处理，谢谢！。</t>
  </si>
  <si>
    <t>2019/10/01 14:57:43</t>
  </si>
  <si>
    <t>易宝支付渠道为14天小额贷款产品提供支付渠道，且小贷产品催收态度非常恶劣，爆通讯录且威胁本人还款，且国家也严厉打击套路贷，由于现在app登陆不进去，所以无法查看有多少订单，但是大概金额我清楚，现在我要求易宝支付渠道跟商家进行协商退款事宜，否则我将继续进行投诉。</t>
  </si>
  <si>
    <t>2019/10/01 14:57:28</t>
  </si>
  <si>
    <t>投诉人唐先生投诉对象捷信金融涉诉金额30000元问题类型诉求类型投诉详情我之前还款记录好，一直给我打电话让我办贷款，后来因为有事在2018.5.18办理的30000现金贷，分了42期，每个月1318，已经还了15期，共19770，现在我上app看了一下还有27期，却还要还35586，这明显是高利贷啊，现在因为出现一些情况没法还款，却一直打电话骚扰，一天打20多个，已经严重影响我的生活，我要求终止合同，赔偿损失，一天天无休止的电话已经让我没法好好生活。</t>
  </si>
  <si>
    <t>2019/10/01 14:57:13</t>
  </si>
  <si>
    <t>投诉人 仇女士        投诉对象  有用分期        涉诉金额  16 600 元    问题类型    诉求类型投诉详情  刚开始款没下来 我要取消借款 结果显示取消不了 过2退就直接给我下款了 下了23000多 直接扣了6000多 到账16600 利息太高了的吓人 我现在要求把16600的本金归还给他们 我要求人工电话联系 结果连个客服电话 都没有</t>
  </si>
  <si>
    <t>2019/10/01 14:55:48</t>
  </si>
  <si>
    <t>投诉人张先生投诉对象火影帮借款,杭州市民卡涉诉金额2121元问题类型诉求类型投诉详情本人于在深圳国金征信有限公司旗下的火影帮借款2100，仅到账1533元，15天就需要还款，而首页广告说是六个月分期，在就是本人已续期一次费用是588元，以为是分期付款，虚假宣传，诱导用户，每续期15天就要收取高达588元每期的费用，已远超国家标准，公司地址:广州省深圳市福田区福华三路168号深圳国际商会中心809，目前已还和续期金额一期，本人要求协商销账调整利率一次付清所有。</t>
  </si>
  <si>
    <t>2019/10/01 14:55:19</t>
  </si>
  <si>
    <t>投诉人余先生投诉对象腾安基金涉诉金额50000元问题类型诉求类型投诉详情在9月16日深圳腾安基金销售有限公司未经许可盗刷我账户资金，要求退款。</t>
  </si>
  <si>
    <t>2019/10/01 14:55:10</t>
  </si>
  <si>
    <t>投诉人谭先生投诉对象中邮消费金融涉诉金额4500元问题类型诉求类型投诉详情中邮消费金融违规收取高额利率，胡乱停止使用功能，本人拨打客服咨询利率问题，客服告知的最高利率和平台app显示的利率不同，平台利率高于中邮消费的告知，违规收取！其二，一直都是按时，或者提前还款，重来不逾期，也经常使用，他们不做任何通知，关闭使用！询问当初开放功能通知的非常勤，现在变了脸霸王处理了是吗，之前投诉过，他们回复，第一次回电没处理问题，说再会回复的，到此至今没接到电话，工单还被关闭，在不处理截图，录音，发送银监会！。</t>
  </si>
  <si>
    <t>2019/10/01 14:53:43</t>
  </si>
  <si>
    <t>投诉人李先生投诉对象众人帮涉诉金额6元问题类型诉求类型投诉详情此悬赏主不想给赏金！百度贴吧有人曝光了！全程按照他的要求来做的，用他的链接注册，用他的邀请码，提交的任务截图完全符合要求，但是却不给通过不给赏金！还故意拖了7天才审核，7天前提交，到国庆才来审核！还审核不给过！敢情就是本来就不想给赏金的，故意拖你到国庆，然后因为国庆放假，你去举报也没人受理！众人帮客服完全是摆设的！任务发布者举报做任务的人有用，做任务的人举报发布者是没用！官方庇护发布者！。</t>
  </si>
  <si>
    <t>2019/10/01 14:52:36</t>
  </si>
  <si>
    <t>投诉人许先生投诉对象钱站涉诉金额1200元问题类型诉求类型投诉详情当初借款额度是1200，点击确定借款后，借款金额变成2100，而且不可以撤销借款，接着就是要分3期还款，每期714，我现在只还了1期，第2期不想再还了，除非能够协商还款，凭什么让没有法律效力的合同牵着走，太不值了。</t>
  </si>
  <si>
    <t>2019/10/01 14:52:27</t>
  </si>
  <si>
    <t>小花钱包违法阴阳合同，暴力轰炸通讯录名单，导致本人生活严重收到影响，家庭已经破裂。</t>
  </si>
  <si>
    <t>2019/10/01 14:52:24</t>
  </si>
  <si>
    <t>快递9月1号下单，发往呼伦贝尔市，9月10号反馈快递丢了，快递让我补发快递，9月29号早晨快递说东西找到了，把快递给我送来了，说快递延误，延误20天呀，就赔我2倍快递费用，我东西过期了，谁赔付我的损失，，没有责任心，推卸责任，。</t>
  </si>
  <si>
    <t>2019/10/01 14:51:59</t>
  </si>
  <si>
    <t>投诉人 谷女士        投诉对象  水莲金条        涉诉金额  5 000 元    问题类型    诉求类型投诉详情  水莲金条暴力催收。说明天还他，一直打电话骂我。一直发信息骂我。我已报警。</t>
  </si>
  <si>
    <t>2019/10/01 14:51:28</t>
  </si>
  <si>
    <t>投诉人朱女士投诉对象多宝分期,手机借钱涉诉金额9595元问题类型诉求类型投诉详情手机借钱app里的多宝分期申请6000，每期还2398.8两个月总共还9595.2，利息高达3595.2，存在严重的高利贷行为，要求三期销账，后续不得进行骚扰，扣款方为上海嘉定小贷。</t>
  </si>
  <si>
    <t>2019/10/01 14:51:12</t>
  </si>
  <si>
    <t>投诉人王女士投诉对象宙斯钱包涉诉金额3000元问题类型诉求类型投诉详情宙斯钱包app填写信息后，本人未确认的情况下，强制下款到账到账1860元，账单显示七天后还款3017.75元其中1200元为展期服务费，马上联系软件上显示的客服电话可是无人接听，联系相关银行进行退回或取消该笔交易未认可处理；之后两三天就有人催收线下要加微信要求还款到期之后协商还本金无果暴力恐吓侮辱炸我通讯录严重的打扰了我的生活手机拦截到好几个境外转接电话，暂未接到宙斯钱包客服联系，想致电宙斯钱包客服，未能接通，今发现逾期一天费用高达363</t>
  </si>
  <si>
    <t>2019/10/01 14:51:04</t>
  </si>
  <si>
    <t>今天下午2点左右，小区业主违规噪音装修，打电话到物业公司投诉，接听电话客服态度差，不作为，还反问业主今天可以装修你不知道吗，再次投诉说其他业主装修影响休息，客服直接挂电话！非常恶劣！。</t>
  </si>
  <si>
    <t>2019/10/01 14:47:05</t>
  </si>
  <si>
    <t>投诉人 张女士        投诉对象  信用管家云享贷        涉诉金额  3 060 元    问题类型    诉求类型投诉详情  在信用管家云享贷申请借款30天 到账2250到期要还3087 高额砍头息 联系不到客服导致被骗了500元</t>
  </si>
  <si>
    <t>2019/10/01 14:46:58</t>
  </si>
  <si>
    <t>平台利息高，到期还款没有打电话或者短信提示导致我逾期，逾期后才打电话通知我还款导致我逾期上征信，该平台的利息已经超过中国人民银行规定的民间借贷利息，要求还呗公司退还多付利息以及撤销上传征信记录。</t>
  </si>
  <si>
    <t>2019/10/01 14:46:20</t>
  </si>
  <si>
    <t>投诉人张先生投诉对象海尔,海尔电子塑料涉诉金额2140元问题类型诉求类型投诉详情我就是一个普普通通的学生，在海尔电子塑料部门工作了1个多月，从7.12号到8.26号，已经这么多天了，工资一直拖一直拖，到现在才发完了七月份的工资，今天又刚发了8月份的500，还差我2140，不光是这样，他还里里外外的扣钱！我不明白是海尔电子塑料的会计人品有毛病还是海尔已经落魄到连2000多块钱都发不起了！拖欠一个16岁的人工资那么长时间，你们良心不会痛吗。</t>
  </si>
  <si>
    <t>2019/10/01 14:45:01</t>
  </si>
  <si>
    <t>上海得仕企业服务有限公司为非法博彩网站和商户提供支付功能，没有做到应做的义务，没有核实收款平台的信息，导致本人被引诱到一个网站充值，后来发现是网络赌博平台，并非正规的购彩网站，通过中国人民银行和支付清算协会沟通得知第三方支付业务应审核客户的相关信息，第三方支付公司不得向证券、期货、博彩等机构提供支付结算业务，因为想退回钱财，结果被以流水不足等等各种原因让我充钱，作为有牌照的支付公司没有履行国家相关法律法规要求，希望有工作人员能够联系，要求第三方支付机构退回被扣款项导致我们资金流失，请求退回我的资金。</t>
  </si>
  <si>
    <t>2019/10/01 14:43:25</t>
  </si>
  <si>
    <t>投诉人 马先生        投诉对象  爱钱进        涉诉金额  37 612 元    问题类型    诉求类型投诉详情  合同里面加了各种服务费担保费。找客服协商解决客服态度强硬不与以协商。</t>
  </si>
  <si>
    <t>2019/10/01 14:42:55</t>
  </si>
  <si>
    <t>借款一千，周期三期，总共还2200多，不是高利贷，不是阴阳合同是什么。</t>
  </si>
  <si>
    <t>2019/10/01 14:42:45</t>
  </si>
  <si>
    <t>投诉人马先生投诉对象月光侠分期,钱站涉诉金额3000元问题类型诉求类型投诉详情在给你花上借3000分3期，实际到账2100，每期要还1032.64，联系一个月没有一个客服回复。</t>
  </si>
  <si>
    <t>2019/10/01 14:42:16</t>
  </si>
  <si>
    <t>本人9月4日在火影帮申请借款由杭州市民卡有限公司放款，国金，征信有限公司提供服务，实际到账1175元，十五天以后要还款1918元，第一个账期由于资金不足续期支付700元，此网贷存在高利贷砍头息，申请协商本金加正常利息还款，合同上显示火影帮是国金，公司地址：广州省深圳市福田区福华三路168号深圳国际商会中心809。</t>
  </si>
  <si>
    <t>2019/10/01 14:39:31</t>
  </si>
  <si>
    <t>10月3日第三期，现要求协商还款，希望大家相互理解</t>
  </si>
  <si>
    <t>2019/10/01 14:36:21</t>
  </si>
  <si>
    <t>本人因为在城镇居住，自己做生意每天都很忙，无法抽出时间去市里，交通信用卡到期了，这是第二次补卡，我一直没收到！拨打客服咨询，告知我手机号没人接通，已经退回！因为办卡比较早，手机号也更改了多次，之前第一次补卡也是同样的问题，告诉了客服，银行记录了我的新地址，电话给我邮寄过来了！现在银行信用卡客服已各种理由推脱这事，不处理问题，拨打银行信用卡客服人员，其中工号39966,31022，33835这3个客服不处理问题，还直接挂我电话，我重新拨打客服，每次都要等待10多分钟才会接听，告诉他们对于他们的服务不满意，需要</t>
  </si>
  <si>
    <t>2019/10/01 14:35:27</t>
  </si>
  <si>
    <t>借款500，天天骚扰我和我的家人，使用侮辱，暴力，骚扰性催收，现在查了一下，说要还1200多元金额。</t>
  </si>
  <si>
    <t>2019/10/01 14:33:42</t>
  </si>
  <si>
    <t>投诉人杨爽投诉对象YY涉诉金额2000元问题类型诉求类型投诉详情本来是要开通闲鱼，但是有个买家说没有权限让我扫码，我扫了联系了客服，客服又给我一个二维码，说我需要2000元流动资金，付给他后，激活权限成功后会还给我，我扫完码，现实激活未成功，两千元却近了YY直播平台，我要求退款却无人理我。</t>
  </si>
  <si>
    <t>2019/10/01 14:32:56</t>
  </si>
  <si>
    <t>投诉人周女士投诉对象来分期涉诉金额800元问题类型诉求类型投诉详情本人来分期今日到期，需还近150元，本人银行卡金额充足来分期没有划扣，本人主动还款也失败，试问来分期是不是在故意制造逾期！。</t>
  </si>
  <si>
    <t>2019/10/01 14:32:11</t>
  </si>
  <si>
    <t>投诉人陈先生投诉对象北银消费金融公司涉诉金额6000元问题类型诉求类型投诉详情北银消费金融骗贷&amp;nbsp;贷款6000&amp;nbsp;目前还了1700&amp;nbsp;把我账号冻结了&amp;nbsp;不允许复借&amp;nbsp;纯属套路贷&amp;nbsp;欺诈广大公民&amp;nbsp;还款了1700&amp;nbsp;不允许再复借&amp;nbsp;非法冻结我账号。</t>
  </si>
  <si>
    <t>2019/10/01 14:31:30</t>
  </si>
  <si>
    <t>淘宝店卖宠物的店铺虚假宣传，诱导加微信，现象普遍，望聚投诉平台督促淘宝改正，并对店铺做出处罚。</t>
  </si>
  <si>
    <t>2019/10/01 14:30:36</t>
  </si>
  <si>
    <t>投诉人陈女士投诉对象中铁物流集团,中铁物流,中铁物流集团飞豹物流涉诉金额2000元问题类型诉求类型投诉详情我买的空调到了两天了不给我派送，我打电话他告诉我让我自己去拿去，过了几个小时我在次打电话，结果告诉我，没办法给我派送，中铁物流总部客服还辱骂我，我就想知道这种物流公司还留着他干什么，好好的十一，这么激动人心，这么激动昂扬的十一就让我这么度过是吗，我要是买的小件，我要是不着急走，我等着就等着了，家里80多岁的老太太，他们接收这么大的货物，货物到了之后谁给老太太安装，难道就没有法律法规治一治这么野蛮的物流了</t>
  </si>
  <si>
    <t>投诉人王先生投诉对象交易猫涉诉金额400元问题类型诉求类型投诉详情在9月30号晚上8点这样，买家在交易猫恶意仲裁，我的确在密保手机审核期不小心改了次密码，在12小时后买家手机换绑成功后，买家把账号密码改了，后来客服告诉我如果找不到买家二次换绑的证据那我就财号两空了啊！怎么办，请求聚投诉解决谢谢。</t>
  </si>
  <si>
    <t>投诉人李女士投诉对象宜人贷涉诉金额20000元问题类型诉求类型投诉详情宜人贷贷款20000分24期，结果没有到账显示银行卡号写错，需要交20%解冻资金，才可以放款，钱钱没到账还有账单，客服明显套路客户，就是骗子公司，要求处理完解除合同。</t>
  </si>
  <si>
    <t>2019/10/01 14:30:09</t>
  </si>
  <si>
    <t>投诉人李女士投诉对象广东乐王实业涉诉金额27500元问题类型诉求类型投诉详情账户里的资金被乐王无理的盗刷了，要求退款。</t>
  </si>
  <si>
    <t>2019/10/01 14:29:57</t>
  </si>
  <si>
    <t>现在我要求退换两次所谓的会员卡砍头息费用，富友支付为他们提供的扣款那个会员卡费用的渠道，实际到账只有812元，现在我要求退还两次借款扣除的费用，每次借款都要扣除188元的会员卡费用，可每次到账明明只有812元，要求退还两次分别扣除的188元。</t>
  </si>
  <si>
    <t>2019/10/01 14:29:46</t>
  </si>
  <si>
    <t>拍拍贷这期没还逾期15天恶意催收，爆我手机通讯录今天给我姐打电话了，骚扰我的家人要是继续这样我一分钱都不会还，停止催收骚扰。</t>
  </si>
  <si>
    <t>2019/10/01 14:29:45</t>
  </si>
  <si>
    <t>投诉人石石女士投诉对象飞猪涉诉金额194元问题类型诉求类型投诉详情因担心国庆放天买不到票，影响重要出行，本人于2019年8月29日在飞猪平台预订一张高铁票，国庆节当天，顶着台风和雨水，本人在提前将近两个小时的情况下赶到虹桥火车站领了票，鉴于此情况，要求平台对此作出合理解释，并给到解决方案！。</t>
  </si>
  <si>
    <t>2019/10/01 14:28:31</t>
  </si>
  <si>
    <t>10月2日第三期，目前无力偿还，要求协商还款，也请理解</t>
  </si>
  <si>
    <t>2019/10/01 14:28:30</t>
  </si>
  <si>
    <t>本人借款2000但是合同金额直接是3000.阴阳合同.2000块钱一个月需要还款1050多相当百分之400利率。</t>
  </si>
  <si>
    <t>2019/10/01 14:27:50</t>
  </si>
  <si>
    <t>投诉人戴先生投诉对象来分期涉诉金额1000元问题类型诉求类型投诉详情来分期在我还款日前不断发短信最后还打电话到亲戚手机上最后导致无法还款，最后上了芝麻负面联系了几次芝麻分然后芝麻分联系了来分期多次都是恶劣态度回电导致无法沟通希望自己去查查你们催收的记录什么时候开始打的发了多少短信还有麻烦聚投诉帮忙处理一下，订单时间是2018年3月份的不是2019年的麻烦看清楚，最后说一下每次来分期联系到了我这边我觉得完全不听我要说的是什么自己说自己的很自大还有你们客服真的是很难理解我要说什么自以为是。</t>
  </si>
  <si>
    <t>2019/10/01 14:27:43</t>
  </si>
  <si>
    <t>先在线取消不了，又人工服务取消，都取消不了，半月后突然下款，资料填写完之后才能看到利息！！！！又取消不了，2000元3期还3800！！！当时急用是2万看错了！不过也幸亏看错了！只是心里真的很不舒服，我给催收说了我等聚投诉的处理结果，他直接就说：处理不了！！有后台的就这么牛逼吗。</t>
  </si>
  <si>
    <t>2019/10/01 14:27:37</t>
  </si>
  <si>
    <t>投诉人王先生投诉对象高铁管家涉诉金额1279元问题类型诉求类型投诉详情我定的十月一日从马尼拉飞北京的机票，由于飞机延误申请退票，高铁管家一直显示退票中，说已经联系航空公司处理，我打电话给航空公司，航空公司说没有接到任何来电，现在航空公司已经给我退了，高铁管家不给我退钱。</t>
  </si>
  <si>
    <t>2019/10/01 14:27:19</t>
  </si>
  <si>
    <t>投诉人 施先生        投诉对象  麦游捕鱼        涉诉金额  2 000 元    问题类型    诉求类型投诉详情  退还一半钱，捕鱼命中率太低，请速作出处理</t>
  </si>
  <si>
    <t>2019/10/01 14:26:42</t>
  </si>
  <si>
    <t>聚福钱包当天下载下载扣了我100元，今天莫名其妙的扣了我199，请求退回。</t>
  </si>
  <si>
    <t>2019/10/01 14:25:58</t>
  </si>
  <si>
    <t>投诉人刘先生投诉对象钱站涉诉金额4800元问题类型诉求类型投诉详情9月初借款在没有到账之前已经联系客服要求取消借款，在没有我确认同意的情况下，钱站仍然放款，并要收取高额利息，在我要求取消借款的情况下，钱站仍然放款，不到高利贷，而且还强买强卖，请政府对钱站进行严肃处理！。</t>
  </si>
  <si>
    <t>2019/10/01 14:24:40</t>
  </si>
  <si>
    <t>投诉人寇女士投诉对象新流保险代理涉诉金额960元问题类型诉求类型投诉详情本人在快闪卡贷申请借款金额10000元，到账直接扣款980元，给我在前海新流保险购买个人意外险，并未通过任何方式告知，要求平台调整利率与退还保险费，并且改平台并无放款资质。</t>
  </si>
  <si>
    <t>2019/10/01 14:23:59</t>
  </si>
  <si>
    <t>投诉人李女士投诉对象宜人万花涉诉金额20000元问题类型诉求类型投诉详情宜人财富贷款20000分24期，钱没到账说我卡号写错了，需要缴纳我20%解冻资金才可以，钱没到账还出账单，明显套路客户，要求消除合同。</t>
  </si>
  <si>
    <t>2019/10/01 14:23:56</t>
  </si>
  <si>
    <t>投诉人 马先生        投诉对象  钱站,华夏银行        涉诉金额  37 612 元    问题类型    诉求类型投诉详情  阴阳合同，到账金额和合同本金不符合。协商不同意协商</t>
  </si>
  <si>
    <t>2019/10/01 14:21:39</t>
  </si>
  <si>
    <t>豹子贷在未作出说明情况下前期扣费299，然后下款不成功，申请失败要求退款，找不到客服，打电话不接。</t>
  </si>
  <si>
    <t>2019/10/01 14:21:00</t>
  </si>
  <si>
    <t>借款2250元，分四期，一期7天，每期还款770.37元，利息高达830元，现已经还了三期2310元，10月2日最后一期，要求协商销账，不要说和立借没关系，借款还款都是在你们平台，希望聚投诉跟进。</t>
  </si>
  <si>
    <t>2019/10/01 14:20:47</t>
  </si>
  <si>
    <t>投诉人庞女士投诉对象华润通涉诉金额23000元问题类型诉求类型投诉详情在华润通金融借款，共交了23000元，其中包括3000元的包装费，5000元的手续费，15000元的保证金，结果贷款冻结，没下来，他们不给退款。</t>
  </si>
  <si>
    <t>2019/10/01 14:20:36</t>
  </si>
  <si>
    <t>投诉人段先生投诉对象国美易卡,国美涉诉金额610元问题类型诉求类型投诉详情本人在国美易卡借款已经还完4期，第5期现由于周转资金不足，导致逾期2天，给客服打电话客服不解决，今天催收打来电话协商很久才约定5点半以后还款，但没到5点半催收就不经过本人同意就骚扰家人亲朋好友，希望平台给予解决，我会今天还款，但国美催收咄咄逼人骚扰家人朋友太过分。</t>
  </si>
  <si>
    <t>2019/10/01 14:20:22</t>
  </si>
  <si>
    <t>投诉人万女士投诉对象佰草集旗舰店涉诉金额0元问题类型诉求类型投诉详情当天入会可以付邮费领取面膜&amp;nbsp;很多人入会都领到了&amp;nbsp;而且入会页面和我不一样他们入会上方有个礼包我没有&amp;nbsp;客服就是今天入会才有&amp;nbsp;我就是今天入的会&amp;nbsp;还说自己系统没问题&amp;nbsp;无语。</t>
  </si>
  <si>
    <t>2019/10/01 14:20:15</t>
  </si>
  <si>
    <t>投诉人谭先生投诉对象捷诚金融涉诉金额588元问题类型诉求类型投诉详情欺骗消费者，APP&amp;amp;amp;nbsp;上贷款审核通过，要加微信交会员费，交了588中级会员会提现不了，又说要交高级会员费，不办了又不给退。</t>
  </si>
  <si>
    <t>2019/10/01 14:19:31</t>
  </si>
  <si>
    <t>早几个月前因为利息高还不起希望提前还款，减少利息，就是不同意，说提前还利息一分不少。</t>
  </si>
  <si>
    <t>2019/10/01 14:18:40</t>
  </si>
  <si>
    <t>在本人毫不知情的情况下无端扣费200，，要求退回款项。</t>
  </si>
  <si>
    <t>2019/10/01 14:17:19</t>
  </si>
  <si>
    <t>投诉人杨杨雨林投诉对象极速贷涉诉金额2000元问题类型诉求类型投诉详情语言上暴力威胁通讯录群发短信，每天120元还了3个120元。</t>
  </si>
  <si>
    <t>2019/10/01 14:16:27</t>
  </si>
  <si>
    <t>2019/10/01 14:15:26</t>
  </si>
  <si>
    <t>在招联金融借了一笔1000元的借款，因公司倒闭资金周转不了，已在想办法筹钱还款，但才逾期没多久，招联金融工作人员便不断打电话发短信骚扰，还威胁打联系人电话骚扰通讯录的人，说我本人没钱还就让亲戚朋友他们给我凑，看我的脸还要不要了，几十岁了丢不丢人，还扬言要上门追讨，如此恐吓催收，已对本人及其家人朋友造成极大身心困扰，希望国家好好整治这种无底线的本台，谢谢！。</t>
  </si>
  <si>
    <t>2019/10/01 14:14:16</t>
  </si>
  <si>
    <t>本人2019年3月27日在小象优品借款8900元，分12期还款，已还5期，因家中有事本月未在28日还款，小象优品疯狂骚扰通讯录，国庆当日群发本人欠款短信，对本人造成恶劣影响，中午家里老人休息时连续骚扰，无良催收给亲友带来极大困扰。</t>
  </si>
  <si>
    <t>2019/10/01 14:13:56</t>
  </si>
  <si>
    <t>杭州边锋网络技术有限公司,边锋杭麻圈,闲聊，聚众赌博，提供赌博，发布虚假信息，严重扰乱公共资源。</t>
  </si>
  <si>
    <t>2019/10/01 14:13:20</t>
  </si>
  <si>
    <t>投诉人李女士投诉对象玖富万卡涉诉金额51800元问题类型诉求类型投诉详情共借2笔，希望按玖富的巜借款协议》来还款。</t>
  </si>
  <si>
    <t>2019/10/01 14:12:54</t>
  </si>
  <si>
    <t>投诉人张女士投诉对象郑州铁凯网络科技有限公司涉诉金额500元问题类型诉求类型投诉详情本人在信用管家的云享贷里借的网贷10.2号到期本人想找客服协商还款由于找不到客服电话就搜了微信上云享贷的公众号和客服协商答应500还款销帐于是用本人的邮政银行给郑州铁凯网络科技有限公司转账500元。</t>
  </si>
  <si>
    <t>2019/10/01 14:11:48</t>
  </si>
  <si>
    <t>2019年9月29日上午接到滴滴平台的指派订单，将乘客送达目的地后，乘客下车后打电话跟我说她有物品落在我车上，我和乘客经协商一致，物品我替乘客暂时保管，答应于10月1日国庆节任意时间归还给乘客，29日至30日期间我和乘客的虚拟号码是可以互相打通并通话的，我给乘客打电话发现号码打不通，我便赶紧和滴滴客服联系找客服帮忙解决要乘客号码，当时是12:20打的客服电话，因为我快到乘客之前打车的上车点了，所以我要求客服两分钟给予我回复，挂掉电话后一两分钟我到达乘客之前上车点，在此等候滴滴客服的回复，两分钟过去了滴滴客服</t>
  </si>
  <si>
    <t>2019/10/01 14:10:48</t>
  </si>
  <si>
    <t>投诉人 刘先生        投诉对象  杭州伟福科技有限公司        涉诉金额  199 元    问题类型    诉求类型投诉详情  注册购分期平台 绑定卡卡号 无故被扣钱</t>
  </si>
  <si>
    <t>2019/10/01 14:10:06</t>
  </si>
  <si>
    <t>借款2600分三期，每期还款1300，强制签署借款合同3714.28，借款本人无力偿还，家属主动联系月光侠客服商谈还款回复不可提前还款，态度嚣张，现怀疑此APP涉及超级高利贷，虚假合同，霸王条款，不公平等合同，严重违反国家法律法规，望有关部门查处。</t>
  </si>
  <si>
    <t>2019/10/01 14:08:40</t>
  </si>
  <si>
    <t>投诉人王女士投诉对象智行涉诉金额136元问题类型诉求类型投诉详情2019年10月1日在智行APP上买汽车票，买错出发站点，正确出发点为达州汽车站，点错广元汽车站，需在线退票退款，但智行不支持在线退票退款，要求到广元汽车站去退票，达州到广元几百公里，从达州开车到广元也需要3个多小时，在所买车票13点50分出发时间前是无法到达，多次给客服打电话一直说不支持在线退票，非让去广元退票，请马上处理。</t>
  </si>
  <si>
    <t>2019/10/01 14:07:47</t>
  </si>
  <si>
    <t>货上钱、旗下网贷平台暴力催收、扣砍头息、高利息。</t>
  </si>
  <si>
    <t>2019/10/01 14:07:34</t>
  </si>
  <si>
    <t>下载贷上钱后我打算在这个上面借2000元的，到了确认借款那一步的时候，自动要购买一个500元的荐职小秘书权益宝，一个月还款利息60，总共要还2560元，我就不想借了，半小时后，贷上钱发信息给我说我的借款已进入放款环节，完成“开户”即可下款，，再过几分钟我在贷上钱绑定的银行卡收到2000元，上贷上钱APP看说我的借款已通过预计23小时内到账，我根本没跟贷上钱借钱，他们强行借款乱收费，希望解决。</t>
  </si>
  <si>
    <t>2019/10/01 14:06:56</t>
  </si>
  <si>
    <t>本人和室友经郑州悦如公寓经办人杨先生介绍，在郑州南三环悦如公寓租房三个月，并在他们的公众号上面押一付三签订合同，共交了三个月租金一个月押金，当时经办人承诺押金租期到了会退，八月初租期到了之后，和经办人结交了该付的水电费等费用，经办人让我们自己在他们的公众号上面提现押金1400元，我们按他的要求操作一个月该公众号都提示在提现中，一直提现不成功，给客服打电话，她们说她们也无能为力，给之前的经办人发信息一直未回应，从八月十二号到今天已经一个月十八天未解决也找不到解决的渠道，还望协助处理。</t>
  </si>
  <si>
    <t>2019/10/01 14:06:41</t>
  </si>
  <si>
    <t>投诉人赵先生投诉对象百事普惠涉诉金额299元问题类型诉求类型投诉详情无缘无故扣款，并没有同意，却私自扣去钱，希望有关部门注重。</t>
  </si>
  <si>
    <t>2019/10/01 14:05:53</t>
  </si>
  <si>
    <t>投诉人席先生投诉对象微信支付涉诉金额3538元问题类型诉求类型投诉详情本人是做微商，9.30日晚间客户扫我微信二维码支付100元货款，送货时候下楼踩空崴脚手机摔掉了，导致与客户失联，客户误会跑单，于是发起投诉，早上的时候与客户恢复联系，并作出说明，退款和道歉，客户表示谅解并撤销投诉，所以该笔交易纠纷已经解决，不存在任何欺诈行为，我也提交了客户的谅解对话纪录和撤销申诉截图，但是微信仍然以涉嫌欺诈为由直接冻结了我的微信支付功能，导致我账户内3538.29元全部无法提现和使用，我想问一下，微信是执法机关么，有任何</t>
  </si>
  <si>
    <t>2019/10/01 14:05:17</t>
  </si>
  <si>
    <t>投诉人 甘先生        投诉对象  钱站,华夏银行        涉诉金额  3 000 元    问题类型    诉求类型投诉详情  借款3000 三期还款5100多 写阴阳合同 客服说一切合法合规 若有诽谤 愿承担一切法律责任</t>
  </si>
  <si>
    <t>2019/10/01 14:05:16</t>
  </si>
  <si>
    <t>本人借款7000元，前两期每期还款1226.74元，后七期每期还款705.94元，共还九期，已还总额7395.06元，现想协商还款，app上的提前结清依旧需要很多利息，利率高，现无力偿还太多，要求协商减少，提前结清。</t>
  </si>
  <si>
    <t>2019/10/01 14:05:14</t>
  </si>
  <si>
    <t>投诉人周女士投诉对象中国移动涉诉金额50元问题类型诉求类型投诉详情本人于2019年9月30日晚充错一笔金额为50元的话费，于2019年10月1日拨打10086通过人工服务说明情况，后有移动方客诉工号为2296的工作人员告知我他们无法处理解决这个问题，让我自行找充错机主协商，但充错机主电话始终停机状态，我个人并不能够与机主取得联系，移动方客服2296对于这种情况，依然坚持不予处理，声称是要保护客户账户，我的利益已经受到损害，而移动方并不能给予我相应的帮助，我很失望，态度强硬，没有对于这种特殊情况处理的态度，我</t>
  </si>
  <si>
    <t>2019/10/01 14:04:21</t>
  </si>
  <si>
    <t>立借内钱置宝，借款2100，一个月分四期还款，总还款金额3005，利息远超国家标准，现已还三期，今日需还第四期，，催收不同意协商，希望贵公司给出合理解决方案，最后一期销账，减免超标准利息。</t>
  </si>
  <si>
    <t>2019/10/01 14:03:35</t>
  </si>
  <si>
    <t>本人缴纳了商家开店的保证金以后，后看到平台各方面并不完善，申请退店退还保证金，一直显示财务审核，联系客服无回复无后续，一个多月迟迟不予退店退款。</t>
  </si>
  <si>
    <t>2019/10/01 14:02:54</t>
  </si>
  <si>
    <t>收到几条扣我我卡内余额一共六七笔小到6元大到1000一共扣走余额2800直到卡内余额没有钱，卡在身边手里在我身边我要是卡里有个几万是不是都要扣走了这个平台太不安全了。</t>
  </si>
  <si>
    <t>2019/10/01 14:02:02</t>
  </si>
  <si>
    <t>新意花旗下app小木钱包，借款2800元，到账2800元，分四期还款，每期7天，每期还款1022.4元。</t>
  </si>
  <si>
    <t>2019/10/01 14:01:56</t>
  </si>
  <si>
    <t>投诉人杨女士投诉对象高铁管家涉诉金额200元问题类型诉求类型投诉详情高铁管家取消抢票，软件上显示退款成功，可支付宝还没有到账。</t>
  </si>
  <si>
    <t>2019/10/01 14:01:52</t>
  </si>
  <si>
    <t>滴滴公里数多出几公里，要求：退款多出公里数钱。</t>
  </si>
  <si>
    <t>2019/10/01 14:01:05</t>
  </si>
  <si>
    <t>投诉人陈先生投诉对象立借涉诉金额4100元问题类型诉求类型投诉详情立借平台提供高利贷砍头息平台，万金海客服协商无果，暴利催收，本金三期就已经归还，超过法定利息，借款4100，到账3220，每期还款1181.28，三期已经归还3543.84。</t>
  </si>
  <si>
    <t>2019/10/01 14:00:49</t>
  </si>
  <si>
    <t>投诉人张先生投诉对象达丰电脑上海有限公司涉诉金额4000元问题类型诉求类型投诉详情我在达丰电脑上班半年了，组长说只能请两天假在家事情办了四天来的时候系统上面就显示自动离职了，我是28号来公司的27显示自离的到现在都没给我办理离职手续我还得上班还得生活，他们说星期2可以办理今天到了星期2他们又说不行了，但是那个厂里还有人上班加班为什么就不办理呢。</t>
  </si>
  <si>
    <t>2019/10/01 14:00:48</t>
  </si>
  <si>
    <t>2018年购买30000元私教课，因工作调动距离太远于2019年2月申请退费，直到2019年7月才予以答应，并由开始说的扣除20%滞纳金变为扣除40%，只想尽快退款已答应，并提交相关退款资料，对方承诺60个工作日内退还，期间多次催促和询问，直到昨天，对方说上级还未批准，无法退款。</t>
  </si>
  <si>
    <t>2019/10/01 14:00:35</t>
  </si>
  <si>
    <t>投诉人吴女士投诉对象微粒贷涉诉金额2000元问题类型诉求类型投诉详情微粒贷逾期了，然后什么结案中心的人给我打电话告诉我3点之前还不进来就上门催收！我跟他们商量我说节后行不行，告诉我不行！然后挂了电话就有人用私人号码给我发短信，还让我安排什么银行专员的车旅费，太搞笑了！。</t>
  </si>
  <si>
    <t>2019/10/01 13:59:09</t>
  </si>
  <si>
    <t>投诉人张女士投诉对象拼多多涉诉金额215元问题类型诉求类型投诉详情参加拼多多0元购的砍价活动，好不容易砍到还剩200块，突然被拼多多从后台改了砍价金额，再砍就变成几分几分的，之前都是几块，本人自始至终遵守砍价规定，都是邀请真人帮忙砍，拼多多却擅自给风控，有恶意干扰正常砍价的嫌疑。</t>
  </si>
  <si>
    <t>2019/10/01 13:59:03</t>
  </si>
  <si>
    <t>身份信息还有银行卡绑定我是填了，但这是作为贷款前必填的信息吧，我填这些是为了贷款，，我们消费者都是冲着贷款去填的这些信息，结果你弄了个扣费协议在里面，这不是偷换概念，就像我去医院看胃病，结果医生把我拉到外科观察来观察去，你们就是利用我们消费者不会百分百认真看协议去钻这个空子，有本事你去统计一下你们有多少客户被扣了这个钱之后去找你们讨回的，有多少被扣了钱之后当什么都没发生继续贷款的。</t>
  </si>
  <si>
    <t>2019/10/01 13:58:41</t>
  </si>
  <si>
    <t>投诉人曹先生投诉对象捷信金融涉诉金额96949元问题类型诉求类型投诉详情贷款本金¥34000整，要求还款96949.8万元，超过国家最高利息36%，现已还款54938.22万元，请求取消合同，停止停止放款还款。</t>
  </si>
  <si>
    <t>2019/10/01 13:58:05</t>
  </si>
  <si>
    <t>最后我的手机频繁有陌生人打来电话问我是不是小姐，可我已通过种种推断确定是此人泄露我的号码并加以颜色。</t>
  </si>
  <si>
    <t>2019/10/01 13:57:23</t>
  </si>
  <si>
    <t>没消费，自主扣费，解释退款，说明一下，这是怎么回事。</t>
  </si>
  <si>
    <t>2019/10/01 13:56:57</t>
  </si>
  <si>
    <t>高利贷高额砍头息，借3440到2482，还两期1758；需协商还款销账。</t>
  </si>
  <si>
    <t>2019/10/01 13:56:26</t>
  </si>
  <si>
    <t>9月10号临时需要些资金周转，点击了百事普惠，贷款额度都没有得情况下，先让用户绑定银行卡还必须开启免密支付，后面就开始套路查询个人征信为由套路扣除299元，3个工作日后还是显示1到2个工作日匹配，联系客服退钱，客服说必须14个工作日后，app名称百事普惠，扣款为造艺技术你们很好的利用了需要贷款客户的急切心理，一步一步引导，你们还真成功了，299扣除后还迟迟推荐不出一个结果，还用自己所谓的流程强行占用用户资金，后来在别的平台投诉你们，完事你们客服知道联系我了，让我撤销投诉，然后发送撤销投诉的凭证给你们，然后给</t>
  </si>
  <si>
    <t>2019/10/01 13:55:49</t>
  </si>
  <si>
    <t>下载豹子贷主要是想要贷款，它的同意书上面没写清扣费情况，客户勾了同意之后，直接扣掉客户银行卡钱款。</t>
  </si>
  <si>
    <t>2019/10/01 13:55:07</t>
  </si>
  <si>
    <t>投诉人周女士投诉对象平安普惠涉诉金额100000元问题类型诉求类型投诉详情本人已经如数还款，然而有自称平安普惠的工作人员却违反国家相关法律法规，并说本人涉嫌“骗贷”和“要判刑”态度恶劣，用词不当，明显违背相关法律常识，根据《中华人民共和国刑法》第246条，该业务员涉嫌捏造事实，人身攻击恶意诽谤，该业务员以电信，微信的方式向本人索要钱财，违反金融机构相关规定，本人要求其道歉并做出相应处罚。</t>
  </si>
  <si>
    <t>2019/10/01 13:54:42</t>
  </si>
  <si>
    <t>第一，逾期两天违法收取高额逾期费，本金1654.66元，逾期两天收取，逾期利息85.13元，逾期罚息34.80元，逾期违约金86.99元，两天逾期费用总计206.92元，属违法套路贷，高利贷，第二，每天对我进行短信轰炸，威胁还款，威胁通讯录，要求，立即停止对我和我的通讯录进行骚扰，免掉上面说的206元逾期费用，我马上处理还款。</t>
  </si>
  <si>
    <t>2019/10/01 13:51:30</t>
  </si>
  <si>
    <t>于2019年10月份开始每月至少还款两千元，但10月1日开始给我父母打电话说是不还款就起诉，所以我请求招商银行极其下属或者第三方催收部门请不要再给我和我的家人打电话了。</t>
  </si>
  <si>
    <t>2019/10/01 13:49:44</t>
  </si>
  <si>
    <t>本人在酷花花平台借款3000元，平台要求7天一期还款1285，总共要还5140元，利息为，我希望该平台与我协商将多出的利息退还给我，并消除高额利息的账单。</t>
  </si>
  <si>
    <t>2019/10/01 13:48:51</t>
  </si>
  <si>
    <t>投诉人陈先生投诉对象信任分期涉诉金额1100元问题类型诉求类型投诉详情信任分期借款1100，三天利息400，纯属高利贷，现在对借款人的连系人进行骚扰，请有关部门尽快处理。</t>
  </si>
  <si>
    <t>2019/10/01 13:48:27</t>
  </si>
  <si>
    <t>投诉人安先生投诉对象拍拍贷涉诉金额2000元问题类型诉求类型投诉详情本人和拍拍贷贷后保持联系，最近几个陌生号码没接到，拍拍贷说本人无意还款失联，现在发信息让在三天内联系，但是现在联系不上他们，还要给户籍地寄律师函。</t>
  </si>
  <si>
    <t>2019/10/01 13:46:49</t>
  </si>
  <si>
    <t>本人淘宝买家号莫名其妙被标记，说是降权处置。</t>
  </si>
  <si>
    <t>2019/10/01 13:45:42</t>
  </si>
  <si>
    <t>投诉人袁先生投诉对象今日头条涉诉金额0元问题类型诉求类型投诉详情我的今日头条账号什么警告都没有就直接封了，我的分值还是100分，都没扣一分，直接封了，不给任何解释的机会，强烈要求今日头条恢复我的账号。</t>
  </si>
  <si>
    <t>2019/10/01 13:45:17</t>
  </si>
  <si>
    <t>为什么这种超利贷公司还那么嚣张跋扈的存在呢。</t>
  </si>
  <si>
    <t>2019/10/01 13:42:53</t>
  </si>
  <si>
    <t>投诉人吴先生投诉对象闪银闪贷至尊贷涉诉金额4722元问题类型诉求类型投诉详情闪银于2019年9月27日晚放款5060元到我的银行卡，我于2019年9月28下午4点28分接到电话声称是闪银客服问我收到5060元款项没有我说收到，并读了我的名字身份证号码及银行卡信息等，然后说系统需要我提供验证码给他，只能手动操作，我问了APP不可以吗他说不行，然后我就把验证码提供给他，第一次说没听清，第二次说完结果出现了扣款现象4722元，他还说下午6点会恢复正常，我已于2019年9月29日中午报警，怀疑闪银泄露客户信息并涉及</t>
  </si>
  <si>
    <t>2019/10/01 13:41:45</t>
  </si>
  <si>
    <t>2017年1月1日第一次捷信金融贷了50000，分57期偿还，按照等额本息每期还款1886.67元，还了一年到2018年1月1日共偿还22640.04。</t>
  </si>
  <si>
    <t>2019/10/01 13:40:39</t>
  </si>
  <si>
    <t>今天早上申请的浪里白条、借款2000元、6天期限、实际到帐1200元、砍头息800元、不想借了、可取消不了、刚刚到帐1200元、联系平台退款。</t>
  </si>
  <si>
    <t>2019/10/01 13:40:20</t>
  </si>
  <si>
    <t>投诉人宋一方投诉对象金猪钱包,信用管家涉诉金额3000元问题类型诉求类型投诉详情在信用管家里面的金猪钱包借款2250一个月，账单却有3000元，属于明显高利贷，砍头息已经还了2250要求销账处理！。</t>
  </si>
  <si>
    <t>2019/10/01 13:39:51</t>
  </si>
  <si>
    <t>投诉人祝女士投诉对象带上钱涉诉金额2600元问题类型诉求类型投诉详情贷上钱涉嫌套路贷，以购买游戏币的方式让我们背上更多的贷款。</t>
  </si>
  <si>
    <t>2019/10/01 13:39:31</t>
  </si>
  <si>
    <t>国庆外出，在智行抢票，一张合肥到淮南的硬卧69左右，智行扣除我107.5，随后我把票退了，智行退还给我55，多次联系智行，联系不上，如果此平台不能解决，我还会投诉，我只是要一个说法！。</t>
  </si>
  <si>
    <t>2019/10/01 13:39:26</t>
  </si>
  <si>
    <t>投诉人陈先生投诉对象天津金城银行涉诉金额1022元问题类型诉求类型投诉详情无故盗扣银行卡的钱，要求解释归还，祥细说明。</t>
  </si>
  <si>
    <t>2019/10/01 13:39:25</t>
  </si>
  <si>
    <t>投诉人 陈先生        投诉对象  信而富        涉诉金额  500 元    问题类型    诉求类型投诉详情  信而富商城砍头息、2次一次300 一次200 要求退还费用，商城捆绑销售。国家命令禁止的信而富顶风做案。要求退还费用</t>
  </si>
  <si>
    <t>2019/10/01 13:33:06</t>
  </si>
  <si>
    <t>钱站高利贷，阴阳合同，本想跟他们协商看能不能一到半个月以后还款，看能不能只还本金，因为之前借八万已经还清了11万多，现在实在没有能力还了，去找客服被拒绝了，他只说提前还款只能减免部分费用，我只能求助了。</t>
  </si>
  <si>
    <t>2019/10/01 13:31:44</t>
  </si>
  <si>
    <t>来了机场比较着急，说是提供一对一服务，可以优先登机，可以买机票扣钱，以为是机场服务，后来发现不是机场工作人员，后来一查才知道只能扣基建，并且要在一年之内重要，一年怎么可能做四十多次飞机呢。</t>
  </si>
  <si>
    <t>2019/10/01 13:31:33</t>
  </si>
  <si>
    <t>当时有钱花平台贷款2500元，每期按时还款，一共12期，每期200多块，并非本人个人原因不还款，当时出现事故，平台上了征信，严重影响个人生活，当时还持续催收，联系朋友爆通讯录，要求有钱花平台给个说法。</t>
  </si>
  <si>
    <t>2019/10/01 13:30:58</t>
  </si>
  <si>
    <t>本人我来贷平台借款本金一万，分12期共需还款13659.6元，年利超过国家规定合法利息，逾期还款没有宽限期，逾期两天加收300元逾期费，致电客服要求消除逾期费，客服回复逾期两天按照逾期一期，收取逾期费，我想知道谁给你们的规定，欺压百姓血汗钱，要求国家相关部门介入还百姓一个公道，停止高利贷。</t>
  </si>
  <si>
    <t>2019/10/01 13:30:28</t>
  </si>
  <si>
    <t>投诉人莫先生投诉对象微粒贷,微众银行涉诉金额30000元问题类型诉求类型投诉详情本人因为最近资金周转不开，微粒贷借款逾期了几天，系统也提示了4号之前还款，昨天有催收人员骚扰，并以不就联系亲朋及单位来恐吓威胁我，我明确告知了4号前会还的，结果今天还骚扰我，而且还骚扰了我单位同事，本人投诉其恶意骚扰行为，此举已经影响了我生活和工作，及我个人名誉，要求停止骚扰，做出道歉，本人不排除以法律手段来维护自己的权益！。</t>
  </si>
  <si>
    <t>2019/10/01 13:30:26</t>
  </si>
  <si>
    <t>投诉人孙女士投诉对象淘宝网,店铺名:凤凰奇传涉诉金额2358元问题类型诉求类型投诉详情8月25号买的家具，申请退款，商家拒绝，以发货为由拒绝退款，要求退回货物再退款，之后我申请第二次退款，29日商家拒绝，理由:买家已签收，在此期间我从未签收任务货物，也并没有派件员打电话要求签收家具，随后，卖家甩出物流底单，上面并且有我的签名，然而我并没有签收过，按照卖家给出的物流底单，打过多次电话，都表示查不到此订单，卖家所说的物流公司的物流点在我家这边根本不存在，卖家虚假发货，一直狡辩，伪造物流底单！！！。</t>
  </si>
  <si>
    <t>2019/10/01 13:29:40</t>
  </si>
  <si>
    <t>投诉人张萌投诉对象分期通涉诉金额249元问题类型诉求类型投诉详情显示额度合同有个买会员，不买点不了借款，点了直接扣款，不显示需要支付密码，属于欺诈行为。</t>
  </si>
  <si>
    <t>2019/10/01 13:29:03</t>
  </si>
  <si>
    <t>9月25号应该发的8月1号到8月28号的工资没有发，本人2019年7月9号入职上海晨光文具 8月28号离职 在 8月25号发了一次工资（工资是7月份的工资） 随后 有其他原因 8月20号提出离职 （按照签的合同上面 试用期两个月 就是7月9日到9月9日 试用期内离职要提前七天提出） 于是8月20我提出离职 上级 领导却告知我 厂里实际根本没有试用期 进去都是正式工 要最少提前一个月 在之后每天都找领导谈话 但都不给批准8月28号离职 最后我说我8月28号自离 公司人事部说自离没有工资 8月1号到8月28上的</t>
  </si>
  <si>
    <t>2019/10/01 13:28:34</t>
  </si>
  <si>
    <t>投诉人卞先生投诉对象淘手游涉诉金额1350元问题类型诉求类型投诉详情今天在淘手游上买了个影之诗账号，结果联系不上卖家，我就和客服说退订，结果都没有回复我钱也不有给我，客服电话不接，那为什么不给我退款，账号不给我钱不退给我，那么是不是一千三百五十块钱就没得了。</t>
  </si>
  <si>
    <t>2019/10/01 13:27:54</t>
  </si>
  <si>
    <t>投诉人付先生投诉对象威力贷,汇潮支付涉诉金额5600元问题类型诉求类型投诉详情在国家扫黑除恶高压态势下，威力贷、仍然无视国家法律法规进行高利贷套路贷放款，汇潮支付为了牟取不当利益违规为其提供支付通道支付宝平台为其提供还款通道，本人在这个平台分别借款1400元，5天后就要还款2000元，这完全是国家明令禁止打击的网络高利贷，现我要求协商处理还款，否则我会将相关材料递交扫黑除恶专项斗争巡视组，将支付宝和汇潮支付的相关材料一并递交。</t>
  </si>
  <si>
    <t>2019/10/01 13:27:31</t>
  </si>
  <si>
    <t>投诉人姚女士投诉对象钱站,爱钱进涉诉金额2000元问题类型诉求类型投诉详情2019.9.12在钱站app借款2000元，至到账前一直没有详细还款明细，查询相关合同发现贷款金额2660与当初借款金额2000不符。</t>
  </si>
  <si>
    <t>2019/10/01 13:25:04</t>
  </si>
  <si>
    <t>特别是实体店，没有资源，你还没付费就整天找你，找到你都怕，好了交完钱6800元服务费，就介绍不靠谱的人和你见面，，一个星期介绍一个，过了两个月，就不约你见面了，服务期已到期了，珍爱网实体店就是坑钱的平台现在我要求全额退款，不要让更多的消费者受到更多损失。</t>
  </si>
  <si>
    <t>2019/10/01 13:24:50</t>
  </si>
  <si>
    <t>本人在平安银行有一张信用卡，因投资失败，导致信用卡逾期，多次与银行联系协商还款问题，遭到银行催收拒绝，本人一个人最高能接受500元还款，诚心诚意跟银行协商，很想把钱靠我自己的努力慢慢还给银行，确实经济能力有限，希望聚投诉帮助我谢谢。</t>
  </si>
  <si>
    <t>2019/10/01 13:24:15</t>
  </si>
  <si>
    <t>投诉人常先生投诉对象先花一亿元涉诉金额1000元问题类型诉求类型投诉详情辱骂我，轰炸我，打我通讯录，骚扰我朋友，威胁我。</t>
  </si>
  <si>
    <t>2019/10/01 13:21:49</t>
  </si>
  <si>
    <t>严重的虚假宣传，而且利率超出国家标准，而且还有不明费用，希望能解释一下，双方沟通处理。</t>
  </si>
  <si>
    <t>2019/10/01 13:21:44</t>
  </si>
  <si>
    <t>投诉人黄先生投诉对象闪电借款涉诉金额380元问题类型诉求类型投诉详情联系过几次客服都说退了我钱，可我明明没收到。</t>
  </si>
  <si>
    <t>2019/10/01 13:20:53</t>
  </si>
  <si>
    <t>在钱咖分期借款4000元，要我还5312元，而且到期我点击还款根本还不进去，涉嫌严重砍头息，高利贷，要求按标准利息以及正常方式还款。</t>
  </si>
  <si>
    <t>2019/10/01 13:20:51</t>
  </si>
  <si>
    <t>上个月18号下午七点半接到一个假冒唯品会客服电话，称我在唯品会上买了两个门帘，经厂家检测甲醇超标，厂家现在要回收门帘，并双倍退款，还会有人上门来收货，对方准确的说出我的订单金额，个人收货地址，姓名和电话，因为经常在唯品会买东西，再加上她又知道我的唯品会个人信息，所以就相信对方是唯品会工作人员，然后加了QQ，音频联系，在她的一步步诱导之下，先后才唯品花和支付宝借呗套现一万七，对于唯品会没保护好消费者个人信息导致财产损失应承担主要责任。</t>
  </si>
  <si>
    <t>2019/10/01 13:18:56</t>
  </si>
  <si>
    <t>投诉人许先生投诉对象捷信金融涉诉金额0元问题类型诉求类型投诉详情我是自己主动致电捷信客服主动还款的，而不是征信上所显示的强制提前还款，请把征信上的强制提前还款撤回，请问捷信金融你们强制了我什么，是不是我主动还款的，你们可以查询电话录音！。</t>
  </si>
  <si>
    <t>2019/10/01 13:18:20</t>
  </si>
  <si>
    <t>本人由8月22号在李掌柜借款到9月29日借款2015，但已经还了五期利息，每期一千多，现在无力还款了，本金还没还，但利息已经五千多，要求从已经给的利息中扣除本金销账。</t>
  </si>
  <si>
    <t>2019/10/01 13:17:16</t>
  </si>
  <si>
    <t>投诉人刘先生投诉对象上海造艺网络科技,豹子贷涉诉金额200元问题类型诉求类型投诉详情昨天通过借款平台app“豹子贷”注册手机号为180******25，绑定银行卡后，今天下午就被上海造艺网络科技有限公司恶意扣费200元，几经周折联系到贵公司的客服后，客服告诉我，被扣除的余额是评估报告的服务费299元，由于我卡里面余额不足，只扣了200元，还差他们99元，他们还会对我的银行卡账户进行持续查询，并根据查询结果持续进行自动扣款，直至足额扣除费用为止，如果要退款，需要根据她们app上推荐的借款公司申请被拒绝后，提供</t>
  </si>
  <si>
    <t>2019/10/01 13:17:14</t>
  </si>
  <si>
    <t>投诉人宣先生投诉对象玖富万卡涉诉金额6000元问题类型诉求类型投诉详情总借款10000，还了4000多了，结清还要16000多，这种高利贷平台金融监督部门怎么还允许它存在。</t>
  </si>
  <si>
    <t>2019/10/01 13:16:25</t>
  </si>
  <si>
    <t>投诉人任先生投诉对象铜钱贷,小铜钱涉诉金额299元问题类型诉求类型投诉详情9月27号下载了小铜钱app，按要求填完内容，并没有看到需要交“风险评估费”，后感觉没什么用，就卸载了，可是九月30号早晨莫名其妙从我当时绑定银行卡卡里扣除299元，说是风险评估费，评估啥。</t>
  </si>
  <si>
    <t>2019/10/01 13:16:21</t>
  </si>
  <si>
    <t>泄露个人电话，今天不处理就报给银监会，你我贷004号客服。</t>
  </si>
  <si>
    <t>2019/10/01 13:14:57</t>
  </si>
  <si>
    <t>去哪儿网购买安心抢，其他订单已经够买到后这个不给退款，强制消费，说抢不到就给退不给退，属于隐藏捆绑消费。</t>
  </si>
  <si>
    <t>2019/10/01 13:14:37</t>
  </si>
  <si>
    <t>早上有几个上海电话分别是138******17和159******73骂我。</t>
  </si>
  <si>
    <t>2019/10/01 13:14:19</t>
  </si>
  <si>
    <t>本人从饿了么韩食小厨商家订餐，一共煎蛋10个20元，牛肉酱汤32.8，满减优惠，在加我饿了么5元红包，在线支付33.3元，本人收到餐品只有一个煎蛋，差9个，本人不管吃也好，扔也好，订了10个，就是10个，没错吧，这是商家不诚信表现，作为支付宝饿了么超级会员用户，对此很没有责心提个建议，本人也和客服沟通这件事，客服说，可能是商家太忙忘了，要是在让他送回来路太远，要给我发个10块红包做歉意，本人说不要，谁差你这10块钱，本人告诉那个客服转告商家，不能做这种不诚信表现，而且我订的汤，里面牛肉里面几块，还是特别小块</t>
  </si>
  <si>
    <t>2019/10/01 13:14:02</t>
  </si>
  <si>
    <t>贷上钱恶意催收爆通讯录，借2500一个月要还3118。</t>
  </si>
  <si>
    <t>2019/10/01 13:13:58</t>
  </si>
  <si>
    <t>通过信用管家在钱咖分期借款3500，分四期，以为一期是一个月，但是却是七天，一个月需要还款4600.今天还自称钱咖分期的，要线下还款，怕是骗子，对我进行了骚扰。</t>
  </si>
  <si>
    <t>2019/10/01 13:13:45</t>
  </si>
  <si>
    <t>业务员到店铺办大pos机说7个月退押金，现在业务员不干了联系不到，给总公司打电话说一年刷够88万就退，如果业务员这样说我是不会办理，总公司要负起责任，要求退押金。</t>
  </si>
  <si>
    <t>2019/10/01 13:12:53</t>
  </si>
  <si>
    <t>投诉人肖腾投诉对象易行商旅涉诉金额1500元问题类型诉求类型投诉详情9月30日晚上7点到兴义机场乘坐到贵阳飞机，有个工作人员接待我带我去打印登机牌，期间像我推荐易行卡，说充值1500抵2000，比网上订票便宜，机票费用可以用里面的钱抵扣，结果今天10月一日我打电话进去订票，他们只能抵扣50元，当时工作人员并没有说清楚是按照这样的方式抵扣，后来我看协议，协议确实写了每次抵扣3-20个百分点，当时没敢飞机没注意看，本人不常坐飞机，如果当时知道这样抵扣我肯定是不会办理的。</t>
  </si>
  <si>
    <t>2019/10/01 13:12:51</t>
  </si>
  <si>
    <t>捷信消费金融暴力催收，每天电话几十个，不断骚扰本人，而且还经常骚扰家人，并且还联合当地的催收部门上门，给家里人带来恐慌！20000元分期已经还了20000多了，还了20期了，每期是1115.76，借20000，分36期，最后总的要还40000多，直接就是高利贷！。</t>
  </si>
  <si>
    <t>2019/10/01 13:11:49</t>
  </si>
  <si>
    <t>前海涉诉金额129元问题类型诉求类型投诉详情与2019年10月1号早上5点26在工商银行的一笔不明扣费，金额是129.12元，对于这笔扣费我没有收到任何短信提示，也未有电话提醒，我希望能知道关于这笔扣费的具体原因。</t>
  </si>
  <si>
    <t>2019/10/01 13:11:35</t>
  </si>
  <si>
    <t>我定了两张票，收了我1268去哪100出的，我要求把多收的1168原路退回到原支付账号。</t>
  </si>
  <si>
    <t>2019/10/01 13:10:48</t>
  </si>
  <si>
    <t>投诉人吴女士投诉对象小黑鲨涉诉金额3000元问题类型诉求类型投诉详情在小黑鲨申请借款3000元，实际到账三千元，分三期10天一期首期还款1679，二期还款1019，前面两期已还，费率高于国家规定水平，由于费用太高，先无力偿还，要求本金加利息两百结清贷款。</t>
  </si>
  <si>
    <t>2019/10/01 13:10:05</t>
  </si>
  <si>
    <t>今借到平台是一个打借条平台，业务员和我谈好后让我打条我也打好了，他也确认了，然后让我转1500风控费，再我转后不再回复我的消息。</t>
  </si>
  <si>
    <t>2019/10/01 13:08:46</t>
  </si>
  <si>
    <t>下了么app，借1700，到手935，服务费765元，5天后还1700，超高利息，砍头息，要求下了么将砍头息退回。</t>
  </si>
  <si>
    <t>2019/10/01 13:06:45</t>
  </si>
  <si>
    <t>本人于九月初借款2000元，合同金额是2660元，到款2000元，三期还款要还3000，利息高的吓人，砍头息。</t>
  </si>
  <si>
    <t>2019/10/01 13:06:42</t>
  </si>
  <si>
    <t>投诉人陶安祥投诉对象滴滴出行涉诉金额0元问题类型诉求类型投诉详情我是一名对公司机请求客服帮我离职司管好几个月了我在谷雨上离职提示当前城市未开通此功能。</t>
  </si>
  <si>
    <t>2019/10/01 13:05:40</t>
  </si>
  <si>
    <t>投诉人陈先生投诉对象小花钱包涉诉金额1421元问题类型诉求类型投诉详情小花钱包每天对本人电话骚扰，短信轰炸！爆我手机通讯录里的好友、威胁辱骂他们！简直猖狂至极！。</t>
  </si>
  <si>
    <t>2019/10/01 13:04:02</t>
  </si>
  <si>
    <t>8月19日下午，收到短信推荐申请借款，借款金额1500，通过快钱支付结算账户到账1000，存在严重砍头息，第5天就开始疯狂打电话发微信，第6天在未逾期的情况下疯狂打电话催收并且威胁要爆通讯录，对支付宝公司账户沧州卓诚信息技术咨询有限公司先后6次转账续期，共支付3000，现要求快钱支付和支付宝公司退回我超额支付的利息，并且联系我享花app和沧州卓诚信息技术咨询有限公司退款，销账，停止催收和威胁通讯录。</t>
  </si>
  <si>
    <t>2019/10/01 13:03:55</t>
  </si>
  <si>
    <t>本人自2018年9月16日在来分期APP贷款7500元，分18期还款，本息合计9815.76元，想提前结清还款，被告知是手续费，非利息，提前还款不能减免利息！现要求提前结清减免手续费等其他费用！。</t>
  </si>
  <si>
    <t>2019/10/01 13:03:35</t>
  </si>
  <si>
    <t>投诉人李先生投诉对象天猫国际涉诉金额1518元问题类型诉求类型投诉详情正在与客服沟通，可是客服就只要求退款！并且把投诉入口关闭，要求我们退款！按照规定，长时间不发货，应该按照百分之30%补偿，结果现在不处理，店大欺人！一直推脱，不给处理！。</t>
  </si>
  <si>
    <t>2019/10/01 13:02:40</t>
  </si>
  <si>
    <t>农行卡上发现9月，10月1日早上6点莫名其秒消费被分别扣掉39元，打农行电话查询叫打银联，打银联电话叫我打114查询扣款公司，都相互推，北京诚讯信息咨询有限公司到底是什么公司，可以随意扣款，请退回违法扣的款回来，并立即停止继续扣款。</t>
  </si>
  <si>
    <t>2019/10/01 13:02:29</t>
  </si>
  <si>
    <t>我在小当家网贷app借了2期钱，每期还999元，今天是最后1期还款日，本来是app主动扣款的，但是没有，所以我就主动还款，但是一直还不上，然后联系客服，客服说app维护，不能还款，让我转账还款，然后我转账了。</t>
  </si>
  <si>
    <t>2019/10/01 13:02:26</t>
  </si>
  <si>
    <t>投诉人邬先生投诉对象机灵宝涉诉金额3700元问题类型诉求类型投诉详情本人与9月2日通过机灵宝app借款3700元变相砍头服务费1110到账2590元，分2期15天一期，每期还款1891.14，已经还款一期，之前借过几次利息早已经超过本金，app也打不开了，现在本人已经无力偿还高额利息不再向高利贷妥协要求协商减免最后一次砍头利息归还剩余本家和合理利息。</t>
  </si>
  <si>
    <t>2019/10/01 12:59:29</t>
  </si>
  <si>
    <t>因为，前段时间手头紧，在月光侠分期借了一笔钱，额度是2100，可是贷款合同是3000多的，因为第二期手机原因迟了一天还是两天没还上，就联系我通讯录，这样的公司有什么后台吗，听说跟钱站是一家公司。</t>
  </si>
  <si>
    <t>2019/10/01 12:59:26</t>
  </si>
  <si>
    <t>投诉人李女士投诉对象广州京熙科技有限公司涉诉金额54002元问题类型诉求类型投诉详情投诉广州京熙科技有限公司，通过中国人民银行和支付清算协会沟通得知第三方支付业务应审核客户的相关信息，第三方支付公司不得向证券、期货、博彩等机构提供支付结算业务，为违法违规机构平台提供支付结算通道希望有工作人员能够联系，要求第三方支付机构退回被扣款项，本人被引诱到一个网站充值入金54002元，后来发现是网络赌博平台，并非正规的购彩网站，作为有牌照的支付公司没有履行国家相关法律法规要求。</t>
  </si>
  <si>
    <t>2019/10/01 12:58:37</t>
  </si>
  <si>
    <t>投诉人宗先生投诉对象Wecash闪银涉诉金额8000元问题类型诉求类型投诉详情闪银每一笔借款，下款前都扣了一笔，下款后又要每个月还要连本带息一起付，利息超高！最过分的是，我在他们信用商城买的东西都拒收退货了，还要我还款！。</t>
  </si>
  <si>
    <t>2019/10/01 12:58:28</t>
  </si>
  <si>
    <t>投诉人明明月投诉对象马上消费金融涉诉金额6000元问题类型诉求类型投诉详情假冒律师函威胁恐吓学生，马上金融迟迟没有解决。</t>
  </si>
  <si>
    <t>2019/10/01 12:58:11</t>
  </si>
  <si>
    <t>投诉人张先生投诉对象京东支付-端洲区参好百货店,云闪付,京东金融涉诉金额1800元问题类型诉求类型投诉详情投诉银联扫码转账支付公司，通过中国人民银行和支付清算协会沟通得知第三方支付业务应审核客户的相关信息，第三方支付公司不得向证券、期货、博彩等机构提供支付结算业务，本人被引诱到一个网站充值入金1800元，后来发现是网络赌博平台，并非正规的购彩网站，作为有牌照的支付公司没有履行国家相关法律法规要求，希望有工作人员能够联系，要求第三方支付机构退回被扣款项。</t>
  </si>
  <si>
    <t>2019/10/01 12:57:43</t>
  </si>
  <si>
    <t>投诉人麦先生投诉对象广东移动涉诉金额0元问题类型诉求类型投诉详情2019年6月份，广东移动发信息说本人可以免费体验88元无限量套餐服务，客服说我取消体验套餐后就没有无限流量套餐了，58元的一个月10G.超出套餐外的按照5块1G计算，但是客服之前没跟我说88块体验套餐如果取消了就没无限流量套餐了。</t>
  </si>
  <si>
    <t>2019/10/01 12:57:20</t>
  </si>
  <si>
    <t>50元购买智行app抢票券，数次抢票失败，要求退款，请问收钱不作为，app是如此坑骗用户的钱吗，客服给的解释：因为之前有在智行买过火车票，因此这次买的抢票券，不管有没有用，都不给退款。</t>
  </si>
  <si>
    <t>2019/10/01 12:57:10</t>
  </si>
  <si>
    <t>投诉人巫先生投诉对象我来数科涉诉金额0元问题类型诉求类型投诉详情要求我来数科注销我的账号，请尽快的把我的账号注销掉。</t>
  </si>
  <si>
    <t>2019/10/01 12:56:30</t>
  </si>
  <si>
    <t>9月29日借款，今天10月1日2天，还款1500。</t>
  </si>
  <si>
    <t>2019/10/01 12:55:52</t>
  </si>
  <si>
    <t>投诉人黄女士投诉对象云端商务涉诉金额1680元问题类型诉求类型投诉详情本人10月1号在江北机场乘坐10点05分飞机，8点20分到达出发点，云端商务卡宣传人员假装指导，告知我走错航站楼，需打车到新出发口，并强调告知我时间来不及了，给我介绍他们这个商务卡，说是可以过应急通道，且充值费用可以抵扣机建费，而且不限次数享受机场贵宾室服务，期间我有反问曾经到机场t2至t3可以走中间连接通道，她便反驳我说不行，误导我立即办卡，后续我使用卡片自己看到应急通道只有一年有效期，和工作人员提示完全不符，强烈要求退款。</t>
  </si>
  <si>
    <t>2019/10/01 12:55:33</t>
  </si>
  <si>
    <t>投诉人裴女士投诉对象捷信金融涉诉金额70000元问题类型诉求类型投诉详情1.催收人员泄露客户信息，告知老母亲贷款的事项，导致老母亲心里承受不了高血压升高，去医院检查后来不承担费用2.由于本人现在没有工作无能力一次偿还贷款，捷信不给办理分期，陆续排人上门和家里人催收，导致我爱人要离婚，婆婆住院，3.捷信客服不给解决问题，天天打电话让一次性来结清贷款。</t>
  </si>
  <si>
    <t>2019/10/01 12:54:28</t>
  </si>
  <si>
    <t>八月份做一份微信收款过户的兼职，做了两天流水达到三万八，下午的时候收到微信支付受限，理由是被投诉欺诈，我当时很纳闷，我人在家里欺诈谁了，微信支付客服就随意听别人说我欺诈就把我限制支付功能，不分青红皂白也不调查一下。</t>
  </si>
  <si>
    <t>2019/10/01 12:52:17</t>
  </si>
  <si>
    <t>我在智行app买了十月二号的票，后来改签成九月30号的票，改签后我又付了30号的票，但是二号的票钱一直没有退给我，人工客服一直打不通，在智行app里面也查询不到退款详情。</t>
  </si>
  <si>
    <t>2019/10/01 12:49:57</t>
  </si>
  <si>
    <t>我从闲鱼平台，一个卖家处760买了一个红色索尼xzp手机，9月26号收到手机，我看手机外观和卖家描述相符，挺新的，就确认收获了，隐隐发出一股塑料烧焦的味道我立马把手机放在床上躲开，过了一会儿手机不烫了，但开不了机了，我第二天早上联系卖家，但卖家读了我的消息也不回，直接逃避问题，刚开始我就感觉手机有点烫，我以为是正常问题，毕竟骁龙835的旧手机，谁知道仅仅拿到手机四天，9月30日晚我在床上拿着手机看电子书，突然手机黑屏了，我还以为是没电了，接着我感觉手机玻璃后盖滚烫，隐隐发出一股塑料烧焦的味道，我立马把手机放</t>
  </si>
  <si>
    <t>2019/10/01 12:48:30</t>
  </si>
  <si>
    <t>本人通过短信推荐，下载威力贷，还款时间只有3天，300元，已经续期几次了，现在本人已经无力偿还，准备得忧郁症了，1.这个高利贷是通过汇潮支付这个支付通道放款，经过核查，汇潮支付作为合作平台，有其主体公司和联系电话，但拒提供，继续参与违法行为，2.而且唯一还款通道是支付宝，收款方为聚合支付，本人愿意归还本金和合法利息，希望通过平台解决问题3.二个平台都拒提供客服联系电话，为此只有从第三方支付平台处取得联系方式。</t>
  </si>
  <si>
    <t>2019/10/01 12:48:16</t>
  </si>
  <si>
    <t>投诉人王女士投诉对象新橙优品涉诉金额3000元问题类型诉求类型投诉详情新橙优品本身就是套路贷，有300砍头息，然后我就还款，还款卡里面金额足够，新橙优品没扣，导致逾期，与新橙优品工作客服人员协商减免因他们工作失误导致的逾期费用失败。</t>
  </si>
  <si>
    <t>2019/10/01 12:48:13</t>
  </si>
  <si>
    <t>国庆期间不给退票退钱在没取没超时情况下不过退票。</t>
  </si>
  <si>
    <t>2019/10/01 12:48:07</t>
  </si>
  <si>
    <t>本人被引诱到一个网站充值入金700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希望有工作人员能够联系，要求第三方支付机构退回被扣款项。</t>
  </si>
  <si>
    <t>2019/10/01 12:47:09</t>
  </si>
  <si>
    <t>投诉人郭先生投诉对象江苏移动涉诉金额0元问题类型诉求类型投诉详情嗯，中国移动中国江苏移动客服，我要打过去他，然后他一直在等我，你投诉我啊，你投诉我啊你反正你我又没骂你怎么样说话态度贼冲，然后还私自挂我电话，挂完电话之后我又打过去了，还是他还是他，他跟我说怎么又是你呀，然后挂完我电话，然后我再也打不通了，我拨了23分钟后都没有打通，然后他服务态度真的极差，他的工号是7s00878我都不知道，一个客服说话可以那么冲，还可以屏蔽他的客户，不让他客服打进去，我真的而且我找他们投诉他们还屏蔽我，我真的对中国移动这个产</t>
  </si>
  <si>
    <t>2019/10/01 12:46:27</t>
  </si>
  <si>
    <t>投诉人陈小年投诉对象哆咪黑卡平台涉诉金额299元问题类型诉求类型投诉详情多哆咪黑卡是一个套路借款平台，在让我输入验证码绑卡我本人不知情的状态下扣了我建设银行621,00*************9帐号299元，在和客服交涉无果的情况下来投诉。</t>
  </si>
  <si>
    <t>2019/10/01 12:45:39</t>
  </si>
  <si>
    <t>2018年10月通过电话在捷信办理了20000块钱贷款分30期，还完30000多，利息太高，于是2019年6月申请提前还款，2019年8月已还10250，9月一次性还清还得再还15636，由于利息过高，2019年9月10号开始打客服协商，态度强硬，不给协商。</t>
  </si>
  <si>
    <t>2019/10/01 12:45:07</t>
  </si>
  <si>
    <t>软件页面涉及虚假宣传、避重就轻，只提日息，引导消费者以为产品与市面产品，以借贷20000元为例，若一个月提前还款也需要还款2304.24元，月利率达11.6%，远超于国家规定的年利率24%的要求，在整个借贷过程中，从未提示客户借款不可提前还款，且在最后账单页面只出现“等本等息”专业术语，从未解释该名次含义，导致大量用户不明所以，未保护客户知情权，在本人搜索过程中，加入相关问题维权小组，发现360外包催收公司，此类公司电话威胁、上门打砸行为屡见不鲜，虽本人尚未逾期，且一直保持与360的妥善沟通，但也害怕出现类</t>
  </si>
  <si>
    <t>2019/10/01 12:45:04</t>
  </si>
  <si>
    <t>投诉人 涂先生        投诉对象  盈花花丽人贷分期        涉诉金额  3 000 元    问题类型    诉求类型投诉详情  还钱利息高骚扰电话 暴击催收恐吓用不正当手段骚扰我身边的人</t>
  </si>
  <si>
    <t>2019/10/01 12:44:40</t>
  </si>
  <si>
    <t>本人被引诱到一个网站充值入金XX万多，后来发现是网络赌博平台，并非正规的购彩网站，通过中国人民银行和支付清算协会沟通得知第三方支付业务应审核客户的相关信息，第三方支付公司不得向证券、期货、博彩等机构提供支付结算业务，为违法违规机构平台提供支付结算通道希望有工作人员能够联系，要求第三方支付机构退回被扣款项，作为有牌照的支付公司没有履行国家相关法律法规要求。</t>
  </si>
  <si>
    <t>2019/10/01 12:44:15</t>
  </si>
  <si>
    <t>投诉人叶女士投诉对象众安保险,小赢卡贷涉诉金额0元问题类型诉求类型投诉详情本人因情绪抑郁暂时无法工作没有还款能力故一个月来一直耐心和小赢卡贷协商沟通，希望提前一次性结清来争取减免，图片负债清单随附平台联系方式，可去核实其中任何一笔款项，希望可以在还够本金尽力保证24%的利息最高不超过36%的利息来结清，结果小赢卡贷坚持要我还高于36%的利息，并且搬出保险代偿上征信来威胁我，至此我才知道原来还被办了一份众安保险，关于我和小赢卡贷沟通全过程可见帖子CN1326148，CN1290882，CN1276736，首先</t>
  </si>
  <si>
    <t>2019/10/01 12:43:08</t>
  </si>
  <si>
    <t>贷上钱以买游戏豆未名收取高额服务费，还款本金和利息后又催收服务费！又说要把借款资料下发到地方政府！好像是正规机构一样的话语催收服务费，还说要上征信，会影响小孩上学什么的！我问他们服务费还能上征信，他说这是属于借款本金！打电话来的催收跟一个催收说法不一样！我要求结清，并停止打电话！。</t>
  </si>
  <si>
    <t>2019/10/01 12:41:43</t>
  </si>
  <si>
    <t>小度有钱于2019年10月1日私自扣取我198元，向其客服申诉其退款，客服说下载APP按要求操作，然申请VIP退款需向其提供的8个借款平台均借款失败才能申请，其中一借款平台豆豆钱借款平台，无法进行真人人脸验证，无法申请借款，其中二360借条借款平台无法进行联系人添加，无法申请借款，联系其客服，客服转专员，根本转不过去，有一次假装转过去了，故意说话间隔一段时间，最后挂断，中间浪费我话费20多元，手机差点停机，下面图片是其私自扣费的短信信息和无法申请借款的两个平台的图片和8个借款平台及小度有钱平台VIP退款的凭</t>
  </si>
  <si>
    <t>2019/10/01 12:40:33</t>
  </si>
  <si>
    <t>本人通过短信推荐，下载呗呗分期，还款时间只有3天，300元，已经续期几次了，现在本人已经无力偿还，准备得忧郁症了，1.这个高利贷是通过汇潮支付这个支付通道放款，经过核查，汇潮支付作为合作平台，有其主体公司和联系电话，但拒提供，继续参与违法行为，2.而且唯一还款通道是支付宝，收款方为聚合支付，本人愿意归还本金和合法利息，希望通过平台解决问题3.二个平台都拒提供客服联系电话，为此只有从第三方支付平台处取得联系方式。</t>
  </si>
  <si>
    <t>2019/10/01 12:39:51</t>
  </si>
  <si>
    <t>本人被引诱到一个网站充值入金1000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希望有工作人员能够联系，要求第三方支付机构退回被扣款项。</t>
  </si>
  <si>
    <t>2019/10/01 12:39:35</t>
  </si>
  <si>
    <t>投诉人周先生投诉对象小花钱包涉诉金额290元问题类型诉求类型投诉详情本人遭遇变故生活困难，以多次说明发工资会偿还，正常情况钱并不多，并表示一定会还，小花钱包私自盗取我通讯录信息，联系不想干的通讯录好友，还威胁我，国庆期间我会在各个机构持续投诉，如果小花钱包不给说法，群殴会继续逾期，你们可以通过法律途径来起诉我，我该承担的责任我定会承担该还的钱也一分不会少，但小花钱包无视法律必须受到处罚，并给被骚扰的无关人等道歉。</t>
  </si>
  <si>
    <t>2019/10/01 12:39:32</t>
  </si>
  <si>
    <t>投诉人邹湾投诉对象广东移动涉诉金额300元问题类型诉求类型投诉详情9月份扣了我一次，结果快一周才解决，原因是我的套餐是旧版，所以误扣了，后面协商返还了我话费，升级了我的套餐，当时再三确认说帮我升级了套餐，不会再误扣，说要我相信他们，他们是有录音的，结果今天一早又扣了，投诉了说反馈了会有人联系，一直没有，停机网络都没，给我带来很大的不便，现在都不带现金出门的，麻烦尽快帮忙解决，谢谢。</t>
  </si>
  <si>
    <t>2019/10/01 12:39:09</t>
  </si>
  <si>
    <t>投诉人王女士投诉对象捷信金融涉诉金额70000元问题类型诉求类型投诉详情捷信金融涉嫌高利贷，暴力催收，每天电话无数，平均半小时一个电话，本人最早在捷信办理的现金贷金额43000元的48期还款，每期还一千四百多，还了26期了然后捷信客服打电话说我有最高70000元的额度可以办理，当时也是急用钱后来就办理了，可是到手却不是七万元，还得扣除我之前办理现金贷剩余的钱，我还了26期，一次性还款却还要还三万七千多，到手的只有三万二千多，分60期还款，每期要还2471.35元，还了10期了，可是这期由于自身原因确实没那么</t>
  </si>
  <si>
    <t>2019/10/01 12:38:56</t>
  </si>
  <si>
    <t>中介在未告知的的情况下，操作了注册深圳快付通，有代扣协议及绑定2张银行卡，本人不认可！为安全考虑必须解绑银行卡并注销相关服务！。</t>
  </si>
  <si>
    <t>2019/10/01 12:38:47</t>
  </si>
  <si>
    <t>今天爱奇艺app早上8点半左右的样子居然又从我支付宝里面自动续费扣费15元钱，已经是第二次遇到这种情况了，每次都是在我没钱只有唯一15元钱不知道的时候就给我扣费去了，把我气的要死每次都是在急用钱的时候才看到他们自动扣费的消息，联系了客服了正在办理退款流程还需要等待3-10天怎么可能嘛，扣费的时候就从来没有想过别人是不是唯一的钱或者是有急用救命的钱呢，今天一天的所有计划和所有心情都被他们的行为给我打乱了我反正是今天没有收到退款我就不要了非要投诉举报他们这些所有商家的自动续费扣费的行为感到恶心，扣钱的时候就是分</t>
  </si>
  <si>
    <t>2019/10/01 12:38:38</t>
  </si>
  <si>
    <t>我9月28日租借充完电吧充电宝拉到车上了，车被朋友开走了，今天才会来，我找客服协商金额，之前都可以协商的，今天直接说全额付款。</t>
  </si>
  <si>
    <t>2019/10/01 12:37:48</t>
  </si>
  <si>
    <t>本人被引诱到一个网站充值入金1000元，后来发现是网络赌博平台，并非正规的购彩网站，通过中国人民银行和支付清算协会沟通得知第三方支付业务应审核客户的相关信息，第三方支付公司不得向证券、期货、博彩等机构提供支付结算业务，为违法违规机构平台提供支付结算通道希望有工作人员能够联系，要求第三方支付机构退回被扣款项，作为有牌照的支付公司没有履行国家相关法律法规要求。</t>
  </si>
  <si>
    <t>2019/10/01 12:36:59</t>
  </si>
  <si>
    <t>投诉人李女士投诉对象网易云音乐商城涉诉金额119元问题类型诉求类型投诉详情耳机刚买两天还没收到货就降价20找客服也没人理退货也无人受理。</t>
  </si>
  <si>
    <t>2019/10/01 12:36:07</t>
  </si>
  <si>
    <t>在利港这边等了三个小时，都没有轮渡从靖江过来，说是靖江没有汽车过来，所以没有空轮渡过来。</t>
  </si>
  <si>
    <t>2019/10/01 12:35:25</t>
  </si>
  <si>
    <t>在国家扫黑除恶高压态势下，威力贷仍然无视国家法律法规进行高利贷套路贷放款，汇潮支付为了牟取不当利益违规为其提供支付通道支付宝平台为其提供还款通道，本人在这个平台分别借款1400元，5天后就要还款2000元，这完全是国家明令禁止打击的网络高利贷，现我要求协商处理还款，否则我会将相关材料递交沈阳扫黑除恶专项斗争巡视组，将支付宝和汇潮支付的相关材料一并递交。</t>
  </si>
  <si>
    <t>2019/10/01 12:34:49</t>
  </si>
  <si>
    <t>投诉人黄先生投诉对象玖富涉诉金额904元问题类型诉求类型投诉详情还款日自动还款失败后，选择主动还款也失败，请解决征信问题与撤销征信不良记录，解决不能还款的问题。</t>
  </si>
  <si>
    <t>2019/10/01 12:34:39</t>
  </si>
  <si>
    <t>投诉人 兰女士        投诉对象  拍拍贷        涉诉金额  410 元    问题类型    诉求类型投诉详情  手机号用不了联系客服还款一直联系不到 已经反应问题没有得到解决 催收家人</t>
  </si>
  <si>
    <t>2019/10/01 12:33:27</t>
  </si>
  <si>
    <t>快递9月27号从甘肃天水发出来，28号到达西安并在23:25:28显示已由西安发出，今天都10月1号了物流信息还是显示由西安发出，打电话给百世客服，客服说要10月中旬才能发出来，什么情况啊、客服说话很坚定，就说10月中旬才能恢复。</t>
  </si>
  <si>
    <t>2019/10/01 12:32:08</t>
  </si>
  <si>
    <t>今天是十一国庆节，贷上钱连环抠，电话一个接一个！因为洪水致使这个月账单逾期，已经多次主动与客服联系过，今天仍有电话不依不饶，这边台风下暴雨，我在雨中接着电话，跟他们说先了解一下之前协商的包括客服已经备注的，催收的仍然不罢休，中午11点多的时候，我在做饭，电话没接到，直接打给顾客和孩子的老师，我是淘宝做了七八年，这些都是老顾客，他们接到催收电话，催收人员跟他们谎称我把他们加入紧急联系人，顾客电话斥责我，并且还有孩子的老师，这严重影响我后续的生意，还有孩子的声誉，孩子是未成年人，受法律保护，催收的凭什么影响到孩</t>
  </si>
  <si>
    <t>2019/10/01 12:31:59</t>
  </si>
  <si>
    <t>不经过允许就扣钱，联系客服说，借不了款就退钱，一个月过去了，一点消息没有，软件都下架了。</t>
  </si>
  <si>
    <t>2019/10/01 12:31:52</t>
  </si>
  <si>
    <t>投诉人王先生投诉对象国美易卡涉诉金额1100元问题类型诉求类型投诉详情8月28号就还了款说销账，这都1个月了账单还没有消除，当时我也录音的，。</t>
  </si>
  <si>
    <t>2019/10/01 12:31:47</t>
  </si>
  <si>
    <t>我要求平台把钱退给我就行，钱不推给我我就一直投诉！。</t>
  </si>
  <si>
    <t>2019/10/01 12:31:36</t>
  </si>
  <si>
    <t>高利贷，广告宣传虚假，利息惊人，提前还款隔天就要月期利息。</t>
  </si>
  <si>
    <t>2019/10/01 12:31:02</t>
  </si>
  <si>
    <t>2019/10/01 12:30:44</t>
  </si>
  <si>
    <t>投诉人詹先生投诉对象深圳普惠快信涉诉金额3000元问题类型诉求类型投诉详情普惠快信超高利贷，暴力催收，不给提供账单，还款金额由催收人员随意定。</t>
  </si>
  <si>
    <t>2019/10/01 12:29:10</t>
  </si>
  <si>
    <t>咸鱼商家出售违禁物品，因为商家没有烟草许可证，网上卖烟也是犯法的，咸鱼处理的不妥当，而且咸鱼还设立小法庭，客服都没有取证，他们说他们支持小法庭。</t>
  </si>
  <si>
    <t>2019/10/01 12:29:07</t>
  </si>
  <si>
    <t>投诉人黄女士投诉对象柯基贷,柯基贷卡分期涉诉金额680元问题类型诉求类型投诉详情松紧你以超期，务必于下午两点点之前务必搞好，过时将走流程，珍惜信誉，不要闹不愉快！150******02是否是柯基贷的工作人员，本人于去年在网上被人骗，贷了柯基贷分期，到账金额6000，那个人说过了到账了就让我给他转1200作为手续费！所以我到账也就4800，目前已经还了10期，远远高于到账金额！上个月我晚还一天，他们安排人暴力催收，威胁恐吓！这次还是这样！你们赚这样的黑心钱心里安心吗，我要用法律保护自己了！要求有关部门进行调查</t>
  </si>
  <si>
    <t>2019/10/01 12:28:57</t>
  </si>
  <si>
    <t>投诉人徐先生投诉对象金鸡下蛋,汇潮支付,支付宝涉诉金额2600元问题类型诉求类型投诉详情在国家扫黑除恶高压态势下，金鸡下蛋仍然无视国家法律法规进行高利贷套路贷放款，汇潮支付为了牟取不当利益违规为其提供支付通道支付宝平台为其提供还款通道，本人在这个平台分别借款1400元，5天后就要还款2000元，这完全是国家明令禁止打击的网络高利贷，现我要求协商处理还款，否则我会将相关材料递交沈阳扫黑除恶专项斗争巡视组，将支付宝和汇潮支付的相关材料一并递交。</t>
  </si>
  <si>
    <t>2019/10/01 12:28:49</t>
  </si>
  <si>
    <t>凭什么用不上提前还车，后面没用上的费用不退。</t>
  </si>
  <si>
    <t>2019/10/01 12:28:35</t>
  </si>
  <si>
    <t>投诉人刘鹏投诉对象淘宝闲鱼涉诉金额3100元问题类型诉求类型投诉详情我是卖家，买家9月20日购买商品21号收到商品，然后恶意申请退款，我多次拒绝并且要求申请平台介入，平台回复7天过后才能介入，过7天联系客服介入，答应介入，事后并没有介入，一直无处理，现在钱货两空，致电平台客服，不予处理。</t>
  </si>
  <si>
    <t>2019/10/01 12:28:25</t>
  </si>
  <si>
    <t>砍头息，到账1300左右，要求还款1950，已还一期，现在剩下第二期950左右，协商500还款不肯，威胁爆通讯录，骚扰家里人，求处理。</t>
  </si>
  <si>
    <t>2019/10/01 12:28:17</t>
  </si>
  <si>
    <t>投诉人王先生投诉对象钱站,华夏银行涉诉金额3000元问题类型诉求类型投诉详情钱站高利贷，砍头息，今天给钱站客服打电话，然后他们说是平台收取的手机什么费用，明明说的是借款2000然后平台收取费用还要1000多。</t>
  </si>
  <si>
    <t>2019/10/01 12:28:05</t>
  </si>
  <si>
    <t>http://snjr.ta55n.cn,https://dw.pub/jKqm，通过qq名“代办客服”下载名叫“苏宁普惠”APP，办理5万元贷款业务，批下来后先让我转账4467元才给我放款，转账过去后放款失败，说资金被冻结，要求我再转25000进行核实，我不同意，要求协商退钱，对方不肯，还造假中国银监会的文件威吓我。</t>
  </si>
  <si>
    <t>2019/10/01 12:26:32</t>
  </si>
  <si>
    <t>未经本人，变相收取巨额担保费，不给退，总利息已超过国家规定百分之35。</t>
  </si>
  <si>
    <t>2019/10/01 12:26:29</t>
  </si>
  <si>
    <t>今借到泄露个人信息，把我的信息推送给平台高利贷。</t>
  </si>
  <si>
    <t>2019/10/01 12:26:21</t>
  </si>
  <si>
    <t>投诉人寇女士投诉对象汇潮支付,威力贷涉诉金额2000元问题类型诉求类型投诉详情1急用钱，我从一短信链接下载了威力贷app，它上面说利息低，放款快，额度高，就注册看了一下，给了2000额度，就同意了，没想到借2000到账才1400，砍了600的头息，而且才五天时间就要还款2000，2到还款日，催收电话打过来让还款，说没有本金可以续期，我去app看了一下，三天续期300五天续期600，我说等一下我凑凑还上得了，但是催收电话一直打，还威胁我要不还就爆我通讯录，没办法只好选择续期，最后还款是想要协商一下，问客服电话</t>
  </si>
  <si>
    <t>2019/10/01 12:26:09</t>
  </si>
  <si>
    <t>2019年7月份拼多多平台为国内和国外博彩公司提供收款平台。</t>
  </si>
  <si>
    <t>2019/10/01 12:26:06</t>
  </si>
  <si>
    <t>9月27日上午，网店接到8笔虚假下单行为，一笔有效订单，于是本人查看后台实时数据发现，唯一的有效订单，竟然是来自该公司同城的订单，在签订合同之前该公司客服承诺将以年费合同提供完整服务，本人认为这些行为已经违反合同约定，便不予理睬，本人承诺上述情况均为事实，该公司违规操作店铺，违约停止推广服务，违反合同在先，理应按照合同退还本人交纳定金1000元，并赔偿本人店铺经营损失1000元的合法诉求，①本人在本帖及后续所发布的内容属实，经仔细自查确认，无违法违规情形，没有捏造事实，没有侵犯他人隐私权，没有诬陷诽谤他人，</t>
  </si>
  <si>
    <t>2019/10/01 12:25:54</t>
  </si>
  <si>
    <t>投诉人张先生投诉对象广西标汇商贸有限公司,云闪付涉诉金额4500元问题类型诉求类型投诉详情投诉银联扫码转账支付公司，通过中国人民银行和支付清算协会沟通得知第三方支付业务应审核客户的相关信息，第三方支付公司不得向证券、期货、博彩等机构提供支付结算业务，本人被引诱到一个网站充值入金4500元，后来发现是网络赌博平台，并非正规的购彩网站，作为有牌照的支付公司没有履行国家相关法律法规要求，希望有工作人员能够联系，要求第三方支付机构退回被扣款项收。</t>
  </si>
  <si>
    <t>2019/10/01 12:24:11</t>
  </si>
  <si>
    <t>投诉人 朱先生        投诉对象  火影帮        涉诉金额  1 300 元    问题类型    诉求类型投诉详情  在火影帮借款1900元实际到账1300元 期间续期还款1000多 现在还要还1900元 加起来借款1300要还2900 套路贷 贩卖个人信息 总能接到骚扰电话 找客服协商再还1000销账不同意</t>
  </si>
  <si>
    <t>2019/10/01 12:22:09</t>
  </si>
  <si>
    <t>投诉人陈先生投诉对象分期通涉诉金额249元问题类型诉求类型投诉详情本人郑重承诺以下所说全属事实：分期通公司利用界面诱导引用套路消费开通会员，利用小额免密支付，恶意收取高额249元会员费用！！开通会员也没有所谓的借款通道，全部是第三方产品的推荐！公司自身并没有提供平台，但是退款条件上却是需要去申请了3-4个借贷app且全部被拒才有机会申请！！！这属违反个人用户贷款消费权益！！！开通会员之后，用户未使用任何app上所谓的会员权益，我意识到不需要该公司平台会员，立即申请全额退款，没有使用过其他产品，但客服却以已使</t>
  </si>
  <si>
    <t>2019/10/01 12:21:23</t>
  </si>
  <si>
    <t>信用管家里的诚薪贷申请3000元市实际到账2250，30天分3期，每期1029.1元，本人已经还了2期，由于现在本人债台高筑，实在无力偿还如此高昂的利息，现本人要求还清本金及合法利息商家给销账。</t>
  </si>
  <si>
    <t>2019/10/01 12:21:11</t>
  </si>
  <si>
    <t>置国家法律与不顾，年化利息高达百分之八十六催熟人员暴力催收，调整国家规定合理利率结清剩下账单进行销账。</t>
  </si>
  <si>
    <t>2019/10/01 12:19:48</t>
  </si>
  <si>
    <t>本人淘宝店在没有销售的情况下被珠海市华丰食品工业，有限公司以商标权名义投诉我店该产品售假，淘宝同意了对方的投诉并且对我店进行扣分处罚，事后了解到，该商标魔法士品牌在企业查上面查到是等待驳回复审，淘宝网这种无缘无故就处罚店铺的行为纯属不合理行为，对我店造成很大影响，最主要的是我店截止到现在，该商品一件也没有售出。</t>
  </si>
  <si>
    <t>2019/10/01 12:14:56</t>
  </si>
  <si>
    <t>本人于9月25日在京东商城购买了该款显卡，收到商品后发现商品外壳缝隙处有一干涸黑色圆球物，类似墨水笔或材质融化所致，产品还带有强烈塑料融化的气味，20分钟后就申请换货，26日13:01电话主动追问得知产品上午到了售后，检测完毕确实是使用过的产品，还发了两张划痕的照片，我申请换货的要求是基于产品多处瑕疵疑似不是新品，并不是七天无理由退货，也不是维修，京东应当按照自身页面描述“如果情况属实，我们会在4-7天内为您处理完成换货”遵守承诺，客服从未主动联系过我，均我主动联系，得到答复均是敷衍和前后不一致的理由，例如</t>
  </si>
  <si>
    <t>2019/10/01 12:13:59</t>
  </si>
  <si>
    <t>借款2500实际到账2500一个月叫我还3200另一个借款2000实际到账2000一个月叫我还2560，都是在贷上钱借的。</t>
  </si>
  <si>
    <t>2019/10/01 12:13:22</t>
  </si>
  <si>
    <t>陌陌会员自动续费无法解除，人工客服打不进，本人不知道自动扣费，要求取消服务及退费。</t>
  </si>
  <si>
    <t>2019/10/01 12:13:05</t>
  </si>
  <si>
    <t>当时没有任何提醒说要还那么多，今天一看，利息就是高利贷，我想协商调整利率。</t>
  </si>
  <si>
    <t>2019/10/01 12:12:41</t>
  </si>
  <si>
    <t>2019年9月26从御剑飞行借款3500元实际到账2100。</t>
  </si>
  <si>
    <t>本人于今年1月份在小赢卡贷前后借款2笔资金，以下是我的还款记录和小赢公司给我的打款记录。</t>
  </si>
  <si>
    <t>2019/10/01 12:11:20</t>
  </si>
  <si>
    <t>本人被引诱到一个网站充值入金2000元，后来发现是网络赌博平台，并非正规的购彩网站，通过中国人民银行和支付清算协会沟通得知第三方支付业务应审核客户的相关信息，第三方支付公司不得向证券、期货、博彩等机构提供支付结算业务，作为有牌照的支付公司没有履行国家相关法律法规要求，希望有工作人员能够联系，要求第三方支付机构退回被扣款项收。</t>
  </si>
  <si>
    <t>2019/10/01 12:10:32</t>
  </si>
  <si>
    <t>我是商家，买家在我处购买1千克食用色素墨，货到手买家说不能用，跟之前买的商品前后不一样，但是买家之前根本就没到我处买过一样的商品，还有买家说不能用的时候，我方也叫工厂的技术人员给与买家技术指导，买家不按工厂的技术指导去操作，后来买家退货回来的货物是已经破坏包装，而且渗漏出来很多，影响二次销售，针对买家买的这罐食用色素墨我方出具了很多测试证明，也按阿里巴巴的要求出具了商品破坏渗漏影响二次销售的物流公章证明，阿里巴巴最后无视我们的证据直接判断给买家退货，投诉阿里巴巴判断不公，需要阿里巴巴为我方承担损失，这个是最</t>
  </si>
  <si>
    <t>2019/10/01 12:09:12</t>
  </si>
  <si>
    <t>投诉人叶先生投诉对象Wecash闪银涉诉金额169元问题类型诉求类型投诉详情借1000一个月利息30今早以担保为名自动扣款169元综合30利息一个月要199远超国家规定闪银能给我解释。</t>
  </si>
  <si>
    <t>2019/10/01 12:07:42</t>
  </si>
  <si>
    <t>投诉人盛先生投诉对象信任分期涉诉金额1500元问题类型诉求类型投诉详情本人2019年9月29日在信任分期app申请一笔1500元借款，实际到账只有1100元，周期时长仅有3天，在不知情情况下将其放款至我名下银行卡，期间每天伴随着各种类似平台的骚扰，现求助平台能让这个app主动联系我协商销帐，并曝光惩戒此类平台。</t>
  </si>
  <si>
    <t>2019/10/01 12:06:24</t>
  </si>
  <si>
    <t>刚开始他们在线客服说，，，今天放水比较好赢，，，我就充2000一直玩把把不中，，，一直输前前后后一共输了50000。</t>
  </si>
  <si>
    <t>2019/10/01 12:05:32</t>
  </si>
  <si>
    <t>借款3000，到账2250，已还2300多，借款期限28天，按周还款，还显示欠款800多，每天发信息要求还款，骚扰。</t>
  </si>
  <si>
    <t>2019/10/01 12:04:57</t>
  </si>
  <si>
    <t>拍拍贷借款利息太高，总额2万9千多，我已经还了1千多了，分期还的，还一次不问多少，利息都好几百，后来因为家庭困难遇到事情了，还不起了，老是打电话给我家人亲戚朋友，骚扰影响人生活与工作了。</t>
  </si>
  <si>
    <t>2019/10/01 12:03:41</t>
  </si>
  <si>
    <t>退还服务费，收服务费的时候马上扣，退还服务费的时候手续复杂。</t>
  </si>
  <si>
    <t>2019/10/01 12:02:17</t>
  </si>
  <si>
    <t>一个酒店搞得那么隐蔽，找了好久找不到联系客服说二个小时回复，我联系你们是1点30等二小时，那我开这个房子还有什么意义。</t>
  </si>
  <si>
    <t>2019/10/01 12:02:11</t>
  </si>
  <si>
    <t>银行卡被上海造艺网络科技有限公司恶意扣款！要求马上退款。</t>
  </si>
  <si>
    <t>2019/10/01 12:01:48</t>
  </si>
  <si>
    <t>国庆直播期间，无任何一个小频道直播国庆，多次举报此直播平台涉黄，数据造假，国庆本应是直播国庆，却为了利益，真的体现真实现实企业情况。</t>
  </si>
  <si>
    <t>2019/10/01 11:58:36</t>
  </si>
  <si>
    <t>投诉人 王女士        投诉对象  现金巴士        涉诉金额  1 540 元    问题类型    诉求类型投诉详情  遇见套路贷导致逾期。逾期不是我本意。并没有故意拖欠。开工资第一时间就联系现金巴士。希望减免逾期费用。马上处理。可和对方沟通。对方客服打着能下款的程序说是合法。不合法就不能下款了。在逾期期间协商还了600块钱。对方还软暴力。说是正常流程。希望减免逾期费用马上处理。我现在借都借不来了。</t>
  </si>
  <si>
    <t>2019/10/01 11:54:51</t>
  </si>
  <si>
    <t>2019/10/01 11:54:25</t>
  </si>
  <si>
    <t>投诉人张军投诉对象深圳市元成辉科技有限公司,云闪付,中国银联涉诉金额2000元问题类型诉求类型投诉详情投诉银联扫码转账支付公司，通过中国人民银行和支付清算协会沟通得知第三方支付业务应审核客户的相关信息，第三方支付公司不得向证券、期货、博彩等机构提供支付结算业务，本人被引诱到一个网站充值入金2000元，后来发现是网络赌博平台，并非正规的购彩网站，作为有牌照的支付公司没有履行国家相关法律法规要求，希望有工作人员能够联系，要求第三方支付机构退回被扣款项。</t>
  </si>
  <si>
    <t>2019/10/01 11:53:49</t>
  </si>
  <si>
    <t>对我朋友的贷款附带砍头息，借款3200到账2000，爆通讯录催收。</t>
  </si>
  <si>
    <t>2019/10/01 11:53:26</t>
  </si>
  <si>
    <t>冒名客服收取费用，我不希望腾讯因为小小的25元钱就失去广发群众的信任！。</t>
  </si>
  <si>
    <t>2019/10/01 11:52:58</t>
  </si>
  <si>
    <t>投诉人张先生投诉对象牛人有品涉诉金额1900元问题类型诉求类型投诉详情牛人有品在本人表达出愿意归还本金加合法利息的情况下，依旧暴力催收、威胁。</t>
  </si>
  <si>
    <t>2019/10/01 11:50:25</t>
  </si>
  <si>
    <t>培训机构利用我找工作心切的心理，在我不知情的情况下套路我贷款，是在宜学贷上面贷的，我现在已经还够了本金，剩下的实在无力偿还了，打电话给宜信客服，但是那边却不解决问题。</t>
  </si>
  <si>
    <t>2019/10/01 11:48:55</t>
  </si>
  <si>
    <t>1.2019年9月27日下单在淘宝恒洁卫浴官方旗舰店购买两只马桶，当天询问客服能否发货，客服肯定说可以，因为国庆节放假回老家等着用，所以比较着急，可以后来拖到第二天才发货，并且是苏宁快递，速度比较慢就申请退款了，2.在淘宝两次申请退款都被拒绝了，后来申请淘宝小蜜介入也是拒绝了，但是恒洁官方旗舰店明显字样写着‘‘七天无理由退货’’没有写明收取其他费用。</t>
  </si>
  <si>
    <t>2019/10/01 11:46:40</t>
  </si>
  <si>
    <t>我要知道为什么逾期12小时不到，我想问1.3天是怎么来。</t>
  </si>
  <si>
    <t>2019/10/01 11:46:36</t>
  </si>
  <si>
    <t>5月6日订单，51自由花结款5000，分3期还，前两期已经按期归还，最后一期8月6号，系统绑定不了还款卡的开户行，导致主动还不了，也无客服电话，现在已经产生逾期费用363.要求平台尽快核实我的诉求，撤销逾期信息，取消逾期费用，按照8月6号的还款金额我全额还清，结款订单结清。</t>
  </si>
  <si>
    <t>2019/10/01 11:46:27</t>
  </si>
  <si>
    <t>购买欢乐世界门票一张，因景区调价，收到短信通知未使用就能退款，但是沟通后不给退款，其他一起买的朋友都退了，差别对待客户。</t>
  </si>
  <si>
    <t>2019/10/01 11:46:23</t>
  </si>
  <si>
    <t>投诉人王先生投诉对象立借,月月借涉诉金额749元问题类型诉求类型投诉详情立借月月借今天还最后一期，但是立借不能线上还，并且给提供线下账号，还了之后却不销账，如果因你们未及时销账导致逾期，必投诉追究到底。</t>
  </si>
  <si>
    <t>2019/10/01 11:46:09</t>
  </si>
  <si>
    <t>本人因为相信网友在网上做兼职，被骗在一个网站充值250元，都充值成功才发现是个非法网站，后面我通过银联查询才发现是敏付公司旗下慧金宝支付扣的款。</t>
  </si>
  <si>
    <t>2019/10/01 11:46:02</t>
  </si>
  <si>
    <t>贷上钱以购物金额的方式收取高额利息..本人并没享受到该项服务..再能联系到我的情况下.恶意.暴力骚扰我家人.亲朋好友..之前有发过贴投诉.她们所谓的投诉部门骗我说可以减免.让我先结案.结果到现在都没处理.现在第三方催收又开始催收.。</t>
  </si>
  <si>
    <t>2019/10/01 11:45:55</t>
  </si>
  <si>
    <t>投诉人 姚先生        投诉对象  助借通        涉诉金额  1 282 元    问题类型    诉求类型投诉详情  无故扣款，找不到扣款平台。找百度客服不是繁忙就是不接！</t>
  </si>
  <si>
    <t>2019/10/01 11:45:29</t>
  </si>
  <si>
    <t>特约烈熊，联合卡分期收取我249元会员费，我要退款，不让我退，霸王条款。</t>
  </si>
  <si>
    <t>2019/10/01 11:44:48</t>
  </si>
  <si>
    <t>2天后需要还款1500元，续期300两天，我已经续期了1次300元，还款日当天开始催收。</t>
  </si>
  <si>
    <t>2019/10/01 11:44:43</t>
  </si>
  <si>
    <t>来分期在本人的帐单还没有逾期的情况下，违反国家法律，法规，以5到10分钟一个电话的频率，给本人拨打电话，恶意骚扰，对我的生活，工作造成严重影响，期间打过电话给来分期客服，咨询是哪个部门给我打的电话，得到的回复是，催收部门，那我就更不能理解了，没有逾期，何来催收！希望有关部门能够及时纠正来分期的违法行为，打击不合法。</t>
  </si>
  <si>
    <t>2019/10/01 11:44:09</t>
  </si>
  <si>
    <t>京东客服说24小时可以申请现在两天了还是不行，我一直在京东买东西，现在全部冻结我的额度，我怎么有资金周转，你们京东难道就是这样套路老客户吗。</t>
  </si>
  <si>
    <t>2019/10/01 11:44:08</t>
  </si>
  <si>
    <t>投诉人王女士投诉对象活力花涉诉金额2250元问题类型诉求类型投诉详情遇见套路贷，导致京东活力花逾期。</t>
  </si>
  <si>
    <t>2019/10/01 11:43:41</t>
  </si>
  <si>
    <t>信诚,建设银行涉诉金额1479元问题类型诉求类型投诉详情，9月30号晚上凌晨三点多，在未知情况下，无故扣款！本人要求全额退款，赔礼道歉！。</t>
  </si>
  <si>
    <t>2019/10/01 11:41:33</t>
  </si>
  <si>
    <t>本人于2019年9月27日在京东商城金可儿旗舰店购买三张美国金可儿碧玺-经典版1.8米*2米床垫，商家当日致电可48小时发货，其后商家于2019年9月28日来电告知由于商家自身问题价格设置错误，拒不发货。</t>
  </si>
  <si>
    <t>2019/10/01 11:40:59</t>
  </si>
  <si>
    <t>放款3000，期限28天，每周还款，已还3200多，还有700多欠款，协商处理尾款不同意。</t>
  </si>
  <si>
    <t>2019/10/01 11:40:56</t>
  </si>
  <si>
    <t>我本人在钱站网贷平台借了5000块钱，当时记得好像是要本息还六千多吧，结果昨天看了一下，要还九千多块，这是什么贷款利息呢，完全是断头息嘛，希望有关部门能管管这样的的害人平台，。</t>
  </si>
  <si>
    <t>2019/10/01 11:39:54</t>
  </si>
  <si>
    <t>本人因为周转需要在现控达人微豆荚借款两笔，第一笔2800元，到账2800元，分4期还清.1期7天，前三期每期应还1022.4元，第四期应还972.4元，第一期已成功还款，可是第二期怎么也还不了，app上也还不了，支付宝也显示不能还款，第二笔1400元，分四期还清，每期511.2元，共计要还2044.8，望有关部门处理，免除多余利息手续费和逾期费，本人接受本金和一切合法利息得支付。</t>
  </si>
  <si>
    <t>2019/10/01 11:39:04</t>
  </si>
  <si>
    <t>投诉人 侯先生        投诉对象  拼多多        涉诉金额  4 608 元    问题类型    诉求类型投诉详情  博彩网站利用拼多多虚假商户来进行彩金收取 各种诱导用户进行充值 实际订单并查不到各种订单 只有微信上的账单可以查询 另外就是 在充值的时候 二维码扫了之后显示的是拼多多帮别人付款 很多套路 赌博害多少人家破人亡 希望能严惩。</t>
  </si>
  <si>
    <t>2019/10/01 11:38:43</t>
  </si>
  <si>
    <t>投诉人薛先生投诉对象玖富涉诉金额1072元问题类型诉求类型投诉详情2019年7月27日在网上看到久富打的免息广告，然后就在玖富的公众号上申请了借款，2019年9月3日收到总借款3000元，放款机构：昆仑银行，分12期还，每期总还339.34元，我就好奇为什么多出那么多，于是下载APP查看，现本人才发现玖富万卡显示还需要还款4072元，于是查看借款合同，合同中借款贷款年利率为7.9%，但是多出保险费用870元，我没有签订任何保险单，也没有收到任何保费详细，打人保官方电话和公众号都未查询到本人的投保信息，所以玖</t>
  </si>
  <si>
    <t>2019/10/01 11:38:03</t>
  </si>
  <si>
    <t>本人在网上借款，没有下款就被这个公司扣钱，而且在我不知情的情况下，这个是不合理的抢劫，在大庭广众之下扣钱，赤裸裸的坑害消费者，这种黑心企业在祖国国庆之前干出这种事，真是胆大包天，良心让狗吃了吗，这种全国上下庆贺之际，净做出这种事，无法无天，目无王法，法不容情，情难开口的行为表示谴责，祖国同庆之日。</t>
  </si>
  <si>
    <t>2019/10/01 11:37:20</t>
  </si>
  <si>
    <t>实际到账4000，但是合同填写金额6520，因为逾期，现在在骚扰我的联系人，对我的生活工作照成严重的干扰。</t>
  </si>
  <si>
    <t>2019/10/01 11:35:21</t>
  </si>
  <si>
    <t>非法催收，爆通讯录，严重影响我的工作以及家人朋友！要求赔偿…。</t>
  </si>
  <si>
    <t>2019/10/01 11:34:46</t>
  </si>
  <si>
    <t>投诉人褚先生投诉对象纳纳钱包涉诉金额199元问题类型诉求类型投诉详情我投诉是三月份的事情这都九月份了给我打个电话说让我同意撤诉然后把钱给我返回来然后给我发个邮件我一直在忙也没看居然自动同意结案。</t>
  </si>
  <si>
    <t>2019/10/01 11:34:08</t>
  </si>
  <si>
    <t>10/1日早6:08分，中国银行卡号为62****************1的钱款被特约，代收费1000元，已经致电给中国银行及特约，查询不到卡号：27430148149999的银行账户。</t>
  </si>
  <si>
    <t>2019/10/01 11:33:21</t>
  </si>
  <si>
    <t>提前还款利息较高，21000本金四个月后一次性还完需要3070的利息。</t>
  </si>
  <si>
    <t>2019/10/01 11:33:04</t>
  </si>
  <si>
    <t>三期10天还款一次，每期975，总的要还2925，，超过了国家原定的利率，已经还款两期，现在还剩最后一期，要求本金加200销账。</t>
  </si>
  <si>
    <t>2019/10/01 11:32:46</t>
  </si>
  <si>
    <t>投诉人张先生投诉对象中国联通,工信部涉诉金额1800元问题类型诉求类型投诉详情本人自2014年办理中国联通手机号码，并在办理当时签署了靓号协议：最低消费100，最低消费为五年的协议！在我今年协议到期以后，于9月份到联通营业厅办理更改套餐手续，结果被潍坊市潍城区西城营业厅工作人员告知：我的手机号码是永久协议消费，不得更改任何套餐！随即马上询问当时开户营业厅:开户营业厅工作人员明确告知我：当时给我办理的最低消费协议为五年，至于后来为什么成了终身协议他们也不知道！然后我就向10010及10015发起投诉，并提交证</t>
  </si>
  <si>
    <t>2019/10/01 11:30:36</t>
  </si>
  <si>
    <t>投诉人王凯投诉对象钱站,华夏银行涉诉金额20000元问题类型诉求类型投诉详情钱站公司高利贷，顶风作案，本人在钱站分3次借了20000块，合同金额却是30000多块，由于十一本人资金出现问题，积极主动去协商延期还款，对方拒绝协商，并安排人员进行微信及电话轰炸，而且还威胁爆通讯录联系父母等，是否该公司有后台保护，本人不知道只希望能处理好，不然法律意义何在，作为一家在香港挂牌的被撤回的上市公司，我不评价。</t>
  </si>
  <si>
    <t>2019/10/01 11:30:02</t>
  </si>
  <si>
    <t>借款2800元分四次还款，还款金额高达4256元。</t>
  </si>
  <si>
    <t>2019/10/01 11:29:57</t>
  </si>
  <si>
    <t>闪电借款，入口微信公众号、客服电话4000268888、申请延期还本金，不会支付高额逾期费，如强行上征信本人考虑法律途径。</t>
  </si>
  <si>
    <t>2019/10/01 11:29:39</t>
  </si>
  <si>
    <t>投诉人施先生投诉对象汇通信诚租赁有限公司广西分公司涉诉金额1798元问题类型诉求类型投诉详情9月份的账单在当天到期的时候，就已经通过转账到汇通信诚的对公账户还款了，当天我还通过400电话多次联系他们，一直无人接听，这几天我也一直在联系他们，还是没办法联系上，但是这几天就收到说我逾期的短信，真的像新闻上说的故意让客户逾期吗，而且他们的催收也是非常的暴力，之前逾期了，就骚扰我家里人，派人去我家里问家里的老人要钱，然后收取1100的上门费，我真的不知道这种收费方式是否真的合理，希望引起有关部门的重视。</t>
  </si>
  <si>
    <t>2019/10/01 11:29:22</t>
  </si>
  <si>
    <t>投诉人蔡先生投诉对象钱站,华夏支付涉诉金额4000元问题类型诉求类型投诉详情到账金额4000，合同金额确是6000，已还两期，远超本金和正常利息，催收骚扰联系人，不停骚扰电话，要求严查黑心网贷。</t>
  </si>
  <si>
    <t>2019/10/01 11:29:21</t>
  </si>
  <si>
    <t>在苏宁易购买东西，苏宁快递从来都不打电话联系收件人，所以快件都显示签收，刚开始联系客服，客服答应赔偿，多次电话都有通话记录，后来直接让我们报警处理，服务态度极差。</t>
  </si>
  <si>
    <t>2019/10/01 11:28:38</t>
  </si>
  <si>
    <t>投诉人熊女士投诉对象闪电借款涉诉金额1422元问题类型诉求类型投诉详情没收到任何提醒还款，逾期才联系我还款，逾期一天要收五十多逾期费，客服说修改金额还款可以免去逾期费，修改后依然扣了我1422元。</t>
  </si>
  <si>
    <t>2019/10/01 11:28:09</t>
  </si>
  <si>
    <t>第一次1200到手780第二次1400到手980第三次1600到手1180第四次1800到手1380第五次2000到手1580我没还，他们这种无法无天的行为希望公安机关严厉惩处。</t>
  </si>
  <si>
    <t>2019/10/01 11:27:20</t>
  </si>
  <si>
    <t>投诉人 张女士        投诉对象  马上消费金融        涉诉金额  8 000 元    问题类型    诉求类型投诉详情  高利贷！暴力催收，要求协商还款！减免利息</t>
  </si>
  <si>
    <t>2019/10/01 11:27:16</t>
  </si>
  <si>
    <t>9月29日在太原桥头街苏宁易购，苏宁易购事先以短信和电话通知让去参加回馈活动领礼品，期间活动方宣传空气净化器，破壁机，食材清洗机等产品，并说明10个名额免费赠送，言语很有诱导性，最后活动变为花100元购买vip卡才可以领到那些礼品，然后需3880购买食材清洗机，才可以送另外4个商品，回来以后感觉很亏，部分产品网上价格只有几百，而且几乎销量为0，同事百度查到很多网友类似经历，各地苏宁易购都存在这种虚假宣传误导消费的回馈活动，不知道是不是他人冒充苏宁易购，后面附加有产品照片，刷卡单证，发票等，希望可以退回全款3</t>
  </si>
  <si>
    <t>2019/10/01 11:27:03</t>
  </si>
  <si>
    <t>交通银行疯狂暴力催收，侮辱，态度恶劣，无穷无尽的骚扰。</t>
  </si>
  <si>
    <t>2019/10/01 11:26:33</t>
  </si>
  <si>
    <t>上次投诉了之后，造艺技术打电话来说只要我申请结案了就可以退款，可是这完全是一种忽悠，我至今都没看到退款，这平台就是一个流氓平台，一直都在欺骗借款人，电话我都有录音。</t>
  </si>
  <si>
    <t>2019/10/01 11:26:19</t>
  </si>
  <si>
    <t>投诉人高先生投诉对象交易猫涉诉金额2000元问题类型诉求类型投诉详情我在交易猫平台卖号，有人买了以后，我这显示交易失败，对方成功退款，但我的密码和密保信息全被修改了，而且对方拿我的号在猫上上架，交易次数比我之前多了一次，也就是说那笔订单既把我号发给了对方又让对方取消了交易。</t>
  </si>
  <si>
    <t>2019/10/01 11:23:49</t>
  </si>
  <si>
    <t>多出来914的利息高利贷我经济能力有限还不来。</t>
  </si>
  <si>
    <t>2019/10/01 11:23:09</t>
  </si>
  <si>
    <t>投诉人吴女士投诉对象立借涉诉金额10880元问题类型诉求类型投诉详情今天到期催收就打电话来催收~高利贷，要求调整还款金额。</t>
  </si>
  <si>
    <t>2019/10/01 11:22:49</t>
  </si>
  <si>
    <t>e换电,e换电华阳服务点,刘开联电话19180409269，收30退电池，说好的3天左右，从9月23到现在完全没消息，打电话问态度太差。</t>
  </si>
  <si>
    <t>2019/10/01 11:22:22</t>
  </si>
  <si>
    <t>2019/10/01 11:21:51</t>
  </si>
  <si>
    <t>投诉人周先生投诉对象有用分期涉诉金额16600元问题类型诉求类型投诉详情有用分期工作人员多次拨打电话进行推销借款产品，推销时告知年利率百分之10，借款可提前结清，在APP借款成功后借款合同显示借款分12期还清每期1931元，借款合同未显示借款金额，到账20630以后马上扣除了4030元，实际到账金额16600，实际年利率超过36％，虚拟销售人员，存在砍头息行为，多次联系客服协商提前还清本金都是转接过程中就中断通话了。</t>
  </si>
  <si>
    <t>2019/10/01 11:21:35</t>
  </si>
  <si>
    <t>app登录不了催收叫我联系客服销账了但是态度恶劣。</t>
  </si>
  <si>
    <t>2019/10/01 11:21:34</t>
  </si>
  <si>
    <t>酒水不支持七天无理由退换，快递刚签收降价20，不退差价。</t>
  </si>
  <si>
    <t>2019/10/01 11:19:49</t>
  </si>
  <si>
    <t>投诉人 张女士        投诉对象  宙斯钱包        涉诉金额  2 000 元    问题类型    诉求类型投诉详情  三番两次的威胁人。恐吓人。而且高利贷。。。。。</t>
  </si>
  <si>
    <t>2019/10/01 11:19:43</t>
  </si>
  <si>
    <t>本人在马上消费金融旗下产品安逸花申请循环贷，总金额15000元，期间一直正常使用，这次因为安逸花系统方对我进行银行卡代扣，而导致我本人对公账户还款失败，还款失败原因为安逸花方系统机构问题，造成本人逾期，期间与安逸花客服联系过沟通了这个问题，并且保有电话录音，处理好了该还的金额后马上金融安逸花方单方面锁定我账号额度，并且不做任何通知，合同签的有效期是一年，因为这次安逸花在我本人不知情的情况下单方面终止合同，我不认可！要求安逸花方恢复可使用额度，解锁我的账户！。</t>
  </si>
  <si>
    <t>2019/10/01 11:19:25</t>
  </si>
  <si>
    <t>自由魔卡平台上的六便士，借款2000元，一个月，砍头息540，强制购买540元的会员卡，本人多次使用现在利息已经超出本金了，要求协商销账处理！。</t>
  </si>
  <si>
    <t>2019/10/01 11:18:29</t>
  </si>
  <si>
    <t>新橙优品借款3000到账2700砍头300，今天问了一下客服说是风险保障金，贷款还完之后是不与退换的。</t>
  </si>
  <si>
    <t>2019/10/01 11:18:00</t>
  </si>
  <si>
    <t>9月9日在信用管家app里的好运金借款，实际到账2250元，分四期，每期7天还款，可是实际还款却要每期还款772元，总还款要3088元，与合同不符，利息严重超过国家规定的合法息费，目前已还款2期，合计金额1544.6元，现要求还剩余本金，但客服还要求我还1000，本人有还款意愿，前提是利息合理，如果擅自骚扰我通讯录，本人会报警并且投诉到底。</t>
  </si>
  <si>
    <t>2019/10/01 11:17:35</t>
  </si>
  <si>
    <t>爆通讯录，侮辱恐吓骚扰本人及亲朋好友，这种高利贷砍头息直接关掉。</t>
  </si>
  <si>
    <t>2019/10/01 11:16:37</t>
  </si>
  <si>
    <t>没有提示扣除款项，而且申请退款后需要各种反锁手续。</t>
  </si>
  <si>
    <t>2019/10/01 11:14:39</t>
  </si>
  <si>
    <t>我已经还完所有款项，天天骚扰通讯录，爆通讯录好友，已经严重影响通讯录联系人的生活！。</t>
  </si>
  <si>
    <t>2019/10/01 11:14:16</t>
  </si>
  <si>
    <t>投诉人王女士投诉对象聚富分期涉诉金额299元问题类型诉求类型投诉详情聚富分期私自扣除我299费用，我打客服电话说不让退。</t>
  </si>
  <si>
    <t>2019/10/01 11:14:00</t>
  </si>
  <si>
    <t>本人在立借app月月借上申请一笔2100元，实际要支付770*4期，共计3000多元，现在已经还款3期，还剩一期无力偿还，现要求平台合理协商处理。</t>
  </si>
  <si>
    <t>2019/10/01 11:12:57</t>
  </si>
  <si>
    <t>投诉人张先生投诉对象超级马力贷涉诉金额2000元问题类型诉求类型投诉详情本人在自由魔卡app里面的超级马力贷借款2000元变相收取砍头息500元，实际到账150，还款周期一个月，本人要求协商归还到账本金和应付30天合理正常利息销账。</t>
  </si>
  <si>
    <t>2019/10/01 11:12:28</t>
  </si>
  <si>
    <t>投诉人 刘女士        投诉对象  牛人有品        涉诉金额  1 000 元    问题类型    诉求类型投诉详情  牛人有品砍头息 本人已还第一期 现在实在困难 想协商还款第二期 本期加合理利息 催收人员威胁恐吓 拒绝协商 言语侮辱</t>
  </si>
  <si>
    <t>2019/10/01 11:10:28</t>
  </si>
  <si>
    <t>易宝支付为高额砍头息高利贷提供支付渠道，严重侵害我的权益，现要求易宝支付作出解释本退还相应金额。</t>
  </si>
  <si>
    <t>2019/10/01 11:10:04</t>
  </si>
  <si>
    <t>借款七百，五天要还1000，因为之前不知道这么高，协商不行，威胁爆通讯录，已经续期三天150，，今天到期还要续期150，希望帮忙沟通。</t>
  </si>
  <si>
    <t>2019/10/01 11:08:36</t>
  </si>
  <si>
    <t>本人被引诱到一个网站充值入金7万多，后来发现是网络赌博平台，并非正规的购彩网站，通过中国人民银行和支付清算协会沟通得知第三方支付业务应审核客户的相关信息，第三方支付公司不得向证券、期货、博彩等机构提供支付结算业务，为违法违规机构平台提供支付结算通道希望有工作人员能够联系，要求第三方支付机构退回被扣款项，作为有牌照的支付公司没有履行国家相关法律法规要求。</t>
  </si>
  <si>
    <t>2019/10/01 11:07:06</t>
  </si>
  <si>
    <t>投诉人 王先生        投诉对象  活力花        涉诉金额  6 000 元    问题类型    诉求类型投诉详情  本人在活力花贷款一直还款良好 近期资金周转有问题 活力花客服一直通过微信骚扰我恐吓我</t>
  </si>
  <si>
    <t>2019/10/01 11:06:48</t>
  </si>
  <si>
    <t>发信息威胁恐吓借款人，说扫描了我的人脸拍成遗照到处张贴。</t>
  </si>
  <si>
    <t>2019/10/01 11:05:56</t>
  </si>
  <si>
    <t>投诉人兰先生投诉对象我来贷涉诉金额10000元问题类型诉求类型投诉详情本人于18年11月在我来贷app借款10000元，催收人员30号联系我了，我说1号能还也就是延迟几个小时，这样都不行还发送信息恐吓，拨打其他联系人号码，同时合同中提到借款年利率10.2％，还款清单中每月多两百多管理费是什么，恳请聚投诉平台明查，要求我来贷平台减免逾期费用或退还多支付的还款费用。</t>
  </si>
  <si>
    <t>2019/10/01 11:04:26</t>
  </si>
  <si>
    <t>9月7号申请退回押金，到目前为止没有退回，打客服电话无人接听，。</t>
  </si>
  <si>
    <t>2019/10/01 11:04:00</t>
  </si>
  <si>
    <t>9月28日我用携程和智行抢票，携程先抢到票，之后智行也抢到了同天同车次不同座位号的车票，当时我联系不上客服，就退了智行的车票，但是退款手续费没有返还给我，请问怎么处理。</t>
  </si>
  <si>
    <t>2019/10/01 11:02:40</t>
  </si>
  <si>
    <t>10月1日，我登录app查看，依然是待还款状态，我再次微信联系新橙客服，对方告知已经催促财务，我已经结清欠款10天了，但是app没有给我销账，并且征信没有更新，严重影响我的个人征信，新橙属于欺诈，是想骗钱吗，请新橙优品的给个解释，并且今天之内销账更新我的个人征信！。</t>
  </si>
  <si>
    <t>2019/10/01 11:01:53</t>
  </si>
  <si>
    <t>当初借好易借这个产品是看中他时间长，分12个月还清，好易借app上也没说明前三期就必须还6000多，相当于是分三期就必须还清，后面的九期每一期都是几十块，逾期一天的费用是一百多，砍头息是一千多，上个月的我还了一千，实在还不起了，好易借工作人员没有与我沟通，直接打爆了我通讯录的每一个人，连续用网络电话轰炸几十通，对我的家人及朋友造成了恶劣的骚扰！下图是我第二期还款1000后产生的逾期费用，17天就要还接近2400，当初放款只收到4100，已经还了3000多，还需还款4700多，这不是高利贷吗。</t>
  </si>
  <si>
    <t>2019/10/01 11:01:48</t>
  </si>
  <si>
    <t>投诉人赵先生投诉对象拼多多涉诉金额15000元问题类型诉求类型投诉详情由于本人把手机给孩子玩，不知道点了什么链接，一直给拼多多商户付款，总共有15000，并且拼多多查不到订单，只有支付宝付款信息，一样贵平台可以协助追回钱款。</t>
  </si>
  <si>
    <t>2019/10/01 11:01:22</t>
  </si>
  <si>
    <t>投诉人郭先生投诉对象平安ｉ贷涉诉金额2000元问题类型诉求类型投诉详情本人在平安ｉ贷多笔款项，贷款之前本人记得每笔分为一年12期，基本以前app.更新之前没有看到所有的分期贷款利率等等，后来app多次更新就成了每笔默认20期，本人还的贷款压力越来越大，精神受到了打击，有过协商，才好一些，可是还一年多了，还没还完！希望官方给一个正确的处理方式！谢谢。</t>
  </si>
  <si>
    <t>2019/10/01 11:01:03</t>
  </si>
  <si>
    <t>本人于2016年8月26日向名校贷发起一笔借款，借款6000，收取1200的所谓咨询费，真心希望有一个监管部门为我主持公道打击校园贷的嚣张气焰，之后名校贷客服给我打电话，说给我提供再借一笔服务，不仅可以结清上一笔，还可以再下一笔，当时年轻不懂事，现在才知道这就是所谓的套路贷，并且套路的对象正是大学生，之后我便于2017年2月27日又发起了一笔借款，20000的合同，为期24个月，每个月还1032元，合计24768元，我在这两年期间仅有一次逾期，是因为系统原因卡顿了五秒收不到验证码，还清后我向客服联系，客服却</t>
  </si>
  <si>
    <t>2019/10/01 11:01:01</t>
  </si>
  <si>
    <t>，说会跟我解决问题，骗我结案，今天又出现暴力催收，这种态度极度恶劣。</t>
  </si>
  <si>
    <t>2019/10/01 11:00:49</t>
  </si>
  <si>
    <t>投诉人 万先生        投诉对象  沃易贷,易借        涉诉金额  4 000 元    问题类型    诉求类型投诉详情  暴力催收 态度恶劣 蛮横 特别拽 大国庆的 公安不管吗 本人将去公安扫黑除恶办举报 投诉 能抓人直接抓人</t>
  </si>
  <si>
    <t>投诉人刘先生投诉对象贷上钱涉诉金额3000元问题类型诉求类型投诉详情带上钱逾期一天威胁骚扰我通讯录所有人，带有威胁，所有证据录音已经交给警察，并且已经报警，如果在继续骚扰我会通过法律程序来维权，并且通过法律把带上钱告上法庭。</t>
  </si>
  <si>
    <t>2019/10/01 11:00:30</t>
  </si>
  <si>
    <t>投诉人万先生投诉对象325棋牌涉诉金额0元问题类型诉求类型投诉详情这是挑战法律，已经无法无天了。</t>
  </si>
  <si>
    <t>2019/10/01 11:00:22</t>
  </si>
  <si>
    <t>投诉人张先生投诉对象闪电借款涉诉金额3600元问题类型诉求类型投诉详情本人因资金问题曾多次在闪电借款平台反复借贷，累计近30次，闪电借款平台前期用商城券变相收取百分之二十的前期费用，借款时长一个月，现在通过用黑卡的方式收取高额的前期费用，本人两年多本金月借1500到4000左右不等，三年统计还平台将近三万元，远远超出年利率百分之百以上，本人于上月借平台3600元，前期会员费用1000元，而且平台的收费标准还变化不断，根本违反相关民间借贷，平台的催收还在未经过本人允许的情况下私自拨打通讯录电话，而且本人授权的</t>
  </si>
  <si>
    <t>2019/10/01 10:58:40</t>
  </si>
  <si>
    <t>微信被盗以后，改了手机号，我就用人脸冻结了，然而我解冻不了，解冻成功登录不上，说什么操作频繁，然而这么大一个公司，找不到人工客服，难道我们的微信号还怎么敢安全的用。</t>
  </si>
  <si>
    <t>2019/10/01 10:57:23</t>
  </si>
  <si>
    <t>2019年10月1号6点14左右依次扣我50元。</t>
  </si>
  <si>
    <t>2019/10/01 10:57:17</t>
  </si>
  <si>
    <t>投诉人李女士投诉对象广州阁绮五金店涉诉金额39003元问题类型诉求类型投诉详情投诉广州阁绮五金店，通过中国人民银行和支付清算协会沟通得知第三方支付业务应审核客户的相关信息，第三方支付公司不得向证券、期货、博彩等机构提供支付结算业务，本人被引诱到一个网站充值入金39003元，后来发现是网络赌博平台，并非正规的购彩网站，作为有牌照的支付公司没有履行国家相关法律法规要求，希望有工作人员能够联系，要求第三方支付机构退回被扣款项。</t>
  </si>
  <si>
    <t>2019/10/01 10:56:27</t>
  </si>
  <si>
    <t>投诉人 吴女士        投诉对象  钱站        涉诉金额  2 000 元    问题类型    诉求类型投诉详情  逾期三天 给我打电话恐吓我 还给我通讯录好友打电话</t>
  </si>
  <si>
    <t>2019/10/01 10:56:26</t>
  </si>
  <si>
    <t>投诉人汪先生投诉对象汇潮支付涉诉金额9000元问题类型诉求类型投诉详情投诉汇潮支付放高利贷、投诉支付宝协助高利贷公司回款、投诉金鸡下蛋、肥猫贷、威力贷、喵下贷、想有钱、来花花高利贷公司，借款1400，2-5天还款2000，实际只有一天半和4天，第五天就有人员用境外电话打过来，在未逾期的情况下威胁，辱骂，恐吓，发短信扬言让我身败名裂，为高利贷公司他提供还款通道每次扫码付款还能把商户自动跳转到我周边的商户，打电话给支付宝公司，支付宝公司拒绝提供收款人信息，支付宝也为虎作伥，为高利贷公司他提供还款通道，每次扫码付</t>
  </si>
  <si>
    <t>2019/10/01 10:56:24</t>
  </si>
  <si>
    <t>本人于2019年8月30日在轻周转芒果筹平台借款2100元，30天要还款3000元，超过国家规定的合法利率，属于高利贷了，前两期都是直接银卡划扣正常还了，第三期开始到了还款日没有自动划扣，并且app无法正常打开，一直还不了款，拨打客服电话，客服也不处理，之后app能打开了，通过支付宝也无法还款，去后台反馈客服也没有处理，现在app又不能正常使用了，已造成高额逾期费用！并且有骚扰电话020-66374177&amp;nbsp;020-66374175打进来！严重骚扰了我的生活！要求平台停止骚扰，主动联系我减免逾期费用</t>
  </si>
  <si>
    <t>2019/10/01 10:56:04</t>
  </si>
  <si>
    <t>贷上钱客服多次爆我通讯录，骚扰我通讯录多人，侵犯我的个人隐私。</t>
  </si>
  <si>
    <t>2019/10/01 10:52:47</t>
  </si>
  <si>
    <t>投诉人汤先生投诉对象来这分期涉诉金额2000元问题类型诉求类型投诉详情借款2000,分期4期,一期7天,本金到账2000,一期还款800,一共还款3200,已经超过法定利息太多了.请求直接销账。</t>
  </si>
  <si>
    <t>2019/10/01 10:52:34</t>
  </si>
  <si>
    <t>本人于2019年1月份在钱包易贷借了5000元分12期到账5000元，但在5分钟内以贷款管理费的名义自动扣取砍头息659元实际到账4341，实际还款5702元，实际利息之高，本人按时还款8期，砍头息是国家不允许的，钱包易贷阴阳合同高利贷，要求退还砍头息659，本人该还钱包易贷的款的按时还。</t>
  </si>
  <si>
    <t>2019/10/01 10:52:19</t>
  </si>
  <si>
    <t>投诉人叶子子投诉对象苏宁易购,苏宁涉诉金额1700元问题类型诉求类型投诉详情商家4天不发货，联系苏宁处理赔付百分之十，170元，按照平台规则是百分30，说百分10考虑下，然后同意了后叫客服联系我，又说100元，并且私自给我取消订单，我说我不同意，依旧强制，流氓公司。</t>
  </si>
  <si>
    <t>2019/10/01 10:51:31</t>
  </si>
  <si>
    <t>投诉人李女士投诉对象银联扫码转账涉诉金额40202元问题类型诉求类型投诉详情投诉银联扫码转账支付公司，通过中国人民银行和支付清算协会沟通得知第三方支付业务应审核客户的相关信息，第三方支付公司不得向证券、期货、博彩等机构提供支付结算业务，本人被引诱到一个网站充值入金40202元，后来发现是网络赌博平台，并非正规的购彩网站，作为有牌照的支付公司没有履行国家相关法律法规要求，希望有工作人员能够联系，要求第三方支付机构退回被扣款项。</t>
  </si>
  <si>
    <t>2019/10/01 10:50:48</t>
  </si>
  <si>
    <t>被中信百信银行无故扣款三次，三次扣六千五百多元。</t>
  </si>
  <si>
    <t>2019/10/01 10:50:44</t>
  </si>
  <si>
    <t>借款1400，在借款周期为期6天的情况下需要还款2000，并在还款日当天早上就开始电话轰炸，并要求中午12点前还款，否则就爆通讯录，迫于无奈我只好选择续借，但是续借费用高昂，3天一期需要300元的续借费用，6天一期的需要600。</t>
  </si>
  <si>
    <t>2019/10/01 10:50:25</t>
  </si>
  <si>
    <t>本人8月份主动给中邮消费金融公司打电话协商还款事项，且说明不与第三方催收协商还款，还完款之后才知道给我打电话跟我协商的是第三方催收人员，达成一致，本人提供公司证明，征信报告，还款承诺书，当天下午他们给我来电让我第二天，下午四点以前还清贷款2500元整即销户，免除滞纳金等利息部分，本人第二天，大概过了一个星期左右他们给我来电说审核未通过让我处理余下800元，本人感觉自己明显受到他们公司的欺骗，即多次给他们打电话了解情况，9月中旬给他们隔三差五打个电话，他们每次给我同样的话，给我反应问题，让我等1到3个工作日，</t>
  </si>
  <si>
    <t>2019/10/01 10:50:23</t>
  </si>
  <si>
    <t>造成的月光账单逾期，借款2600实到2600合同分三期每期1300.25元，三方催收人员来电询问逾期问题，我说账单处理时间要2-3天以后，三方催收言语带有威胁手段，什么你申请时的通讯录，我会每一个打电话给你的亲朋好友凑钱，钱不要了也要搞臭你名誉之类的，不是逾期不还，因为住院手术费用原因暂时不能偿还逾期费用，协商个2-3治疗费用保险费用报销下来，还电话里刺裸裸拿着我通讯录好友的威胁本人！互联网金融协会新修订金融行业催收法律法规条文规定，在这帮催收人员眼里就是无视国家法律法规，凡普金科旗下月光侠分期APP内部对</t>
  </si>
  <si>
    <t>2019/10/01 10:49:49</t>
  </si>
  <si>
    <t>天天打电话我朋友电话声音都不敢开，严重影响正常的生活工作。</t>
  </si>
  <si>
    <t>2019/10/01 10:49:18</t>
  </si>
  <si>
    <t>投诉人林先生投诉对象钱咖,北京无相创利科技有限公司,信用管家涉诉金额3000元问题类型诉求类型投诉详情2019年8月26日年信用管家推销客服引导本人申请下款信用管家里面的神马借，在还不起神马借的网贷后，2019年9月月3日在信用管家APP申请了钱咖分期又名，借款3000元可以分期4期,下款成功才显示所谓的的4期就是一个月的4期，7天一个期限，第一期还款1671元，剩余三期每次还款771元，本人已经还款3期，放款方主体为：北京无相创利科技有限公司通过天眼查北京无相创利科技有限公司的业务范围为：技术推广服务，企</t>
  </si>
  <si>
    <t>2019/10/01 10:47:17</t>
  </si>
  <si>
    <t>就刚刚，10月1日国庆节上午10点，想在家中看阅兵，突然发现电视只有小画面，没有大画面，这么重要的日子，阅兵都看不成，我以为是我家中的问题，结果发现邻居家中都是这个情况，中国移动宽带就是这么坑人的吗，国庆，阅兵重要时刻电视没法看了。</t>
  </si>
  <si>
    <t>2019/10/01 10:46:06</t>
  </si>
  <si>
    <t>本人借了500，分三期还，每期还221.89，因为忘记了还款日，导致逾期一天，结果逾期费钱站费一天高达100，简直是吸血贷，希望减肥一天的逾期费，还每期的应还金额221.89。</t>
  </si>
  <si>
    <t>2019/10/01 10:45:53</t>
  </si>
  <si>
    <t>贷款6000元，分12期，一年需还8186.4元，利息2186.4元，在我已还10期7000多元，也跟客服说明我现在生意失败，现属于失业了的情况下，能否减免剩余利息。</t>
  </si>
  <si>
    <t>2019/10/01 10:45:31</t>
  </si>
  <si>
    <t>投诉人宋女士投诉对象微信涉诉金额251525元问题类型诉求类型投诉详情不知道因为什么微信支付永久冻结零钱无法提现。</t>
  </si>
  <si>
    <t>2019/10/01 10:44:59</t>
  </si>
  <si>
    <t>借款1400，周期只有6天，但是要还2000元，还款当天早上就开始催款，超过中午12点就要爆通讯录，续借分为3天300元续借费用和6天600元续借费用。</t>
  </si>
  <si>
    <t>2019/10/01 10:44:30</t>
  </si>
  <si>
    <t>投诉人 陈女士        投诉对象  钱包易贷        涉诉金额  9 100 元    问题类型    诉求类型投诉详情  每月2号还款日1号就开始扣了 提前还款利息一点不少 逾期一天爆通讯录 贷后管理费900多 在第一期还款日额外扣了 并且不在账单显示 很黑 扣就扣吧还不显示贷后管理费 给别人一种正常利息假象</t>
  </si>
  <si>
    <t>2019/10/01 10:42:31</t>
  </si>
  <si>
    <t>投诉人王先生投诉对象马上消费金融涉诉金额9000元问题类型诉求类型投诉详情本人系2018年9月17在马上金融专属现金里借了9000元，分24期，每期还款618.43元，现在已经还了11期，应当时借款是不懂国家利率规定，现在算下来，14842.32两年的利息是，5842.32元，这样的利息已经超过国家规定范围，。</t>
  </si>
  <si>
    <t>2019/10/01 10:42:24</t>
  </si>
  <si>
    <t>本人于2019年9月2日在小黑鲨平台借款3500元，30天分三期还款，10天一期，首期就要还大于借款本金一半的1859元的金额，其中770是什么风险测评费，算下来一共就要还4337元综合年化利率远超国家法律所规定的利率，我要求小黑鲨取消770元风险测评费，减免不合理的利息，结清账单，目前国家正在严厉打击网络高利贷，如果应协商不及时导致亲朋好友被电话骚扰，本人立即收集证据报案。</t>
  </si>
  <si>
    <t>2019/10/01 10:41:21</t>
  </si>
  <si>
    <t>我在9月28号买的长安奔奔MINI汽车零部件，卖家虚假发货，发送虚假物流，物流显示虚假签收，卖家推辞说d速快递弄丢货，可是物流说已签收了，科投服饰这个卖家行为很恶劣。</t>
  </si>
  <si>
    <t>2019/10/01 10:41:05</t>
  </si>
  <si>
    <t>投诉人温温双双投诉对象捷信金融涉诉金额30000元问题类型诉求类型投诉详情捷信金融有限公司！贷款我做的现金贷业务员给我以商品贷方式给我做的贷款，贷款总额3万，事实我拿到的钱只有2万7一共少拿3千，分期24期还的，我现在已经还够本金的两万七了，两年利息问我要1万5，属于高利贷，说不给起诉我！催收的也上门催收了两次，影响到我的家庭生活了！一天打十几遍，本金还够了！利息高处国家规定了！不合法。</t>
  </si>
  <si>
    <t>2019/10/01 10:40:17</t>
  </si>
  <si>
    <t>高利贷，阴阳合同，贷款放款额跟合同不一样典型714高炮。</t>
  </si>
  <si>
    <t>2019/10/01 10:39:33</t>
  </si>
  <si>
    <t>在该3个平台借款，在借款周期只有6天的情况下借1400需要还2000，由于资金一时困难，本想协商一下，但是催收人员表示超过时间马上会联系家人。</t>
  </si>
  <si>
    <t>2019/10/01 10:38:15</t>
  </si>
  <si>
    <t>每次350，续期费用早已经超越了本金，容捷通和富友就像吸血鬼一样，本人现在住院了，已经没有任何钱治疗，无力偿还，明天容捷通又会前来催收。</t>
  </si>
  <si>
    <t>2019/10/01 10:37:53</t>
  </si>
  <si>
    <t>本人于2019年8月21日信用管家APP内的神马借平台，借款人民币2250元，贷款期限4周，到期要求我还款3072元，平台已经超过跟合法利息了，剩下的2期本人想一次结清，结果由于神马借平台APP不能正常还款一直处于维护状态高额得利息一直在涨，本人在2019年9月18日通过神马借的公众号客户还款给神马借的客服提供的银行账号分别转了两次账一共3126元，，导致多还1563，至今未退回，而且APP平台的账单至今还是没有消除，希望平台给我一个合理的解释，已经去公安局立案，要求神马分期APP平台销账把多处理的钱归还给</t>
  </si>
  <si>
    <t>2019/10/01 10:33:51</t>
  </si>
  <si>
    <t>本人在玖富万卡借款3000出现两个合同每月还银行262元，还要还玖富万卡77元手续费，这次发现可以只还银行的钱，但是玖富万卡一直对本人进行骚扰，要求这77元的还款，本人已经还了7个月了不知道为何每个月还要还一个手续费，服务费，不知道你们一年中如何服务我了，如果是利息为什么不是直接还给银行，而是还给你玖富万卡。</t>
  </si>
  <si>
    <t>2019/10/01 10:33:01</t>
  </si>
  <si>
    <t>小象优品公司因为一个账单300多块逾期两天左右，请查实处理，已经在小象优品还款大约1.5万元，因为300多块被骚扰联系人，影响太大，请贵公司尽快查实，本人会在3天内处理欠款。</t>
  </si>
  <si>
    <t>2019/10/01 10:32:20</t>
  </si>
  <si>
    <t>投诉人 李先生        投诉对象  造艺科技        涉诉金额  50 元    问题类型    诉求类型投诉详情  百事普惠恶意扣款50元，请求退款。谢谢聚投诉。谢谢造艺科技</t>
  </si>
  <si>
    <t>2019/10/01 10:29:36</t>
  </si>
  <si>
    <t>帮助赌博平台刷单转移资金，希望有关部门严查，追回被骗资金。</t>
  </si>
  <si>
    <t>2019/10/01 10:27:41</t>
  </si>
  <si>
    <t>非法暴力催收一天打二十几个电话，非法搭售保险，阴阳合同，非法利率，真正的高利贷，客服人员态度极其恶劣，利率高达百分之五十已超出国家的法定范围。</t>
  </si>
  <si>
    <t>2019/10/01 10:27:04</t>
  </si>
  <si>
    <t>投诉人 陈先生        投诉对象  及贷        涉诉金额  5 000 元    问题类型    诉求类型投诉详情  之前一直都是准时还款 最近没发工资资金周转不灵 希望能做展期处理</t>
  </si>
  <si>
    <t>2019/10/01 10:25:33</t>
  </si>
  <si>
    <t>投诉人陈先生投诉对象及贷涉诉金额3000元问题类型诉求类型投诉详情高利贷阴阳合同借款只有3000元合同显示3480不处理不会归还本金。</t>
  </si>
  <si>
    <t>2019/10/01 10:25:21</t>
  </si>
  <si>
    <t>2019年7月17日在新橙优品上贷款3000实际到账2700砍头300分三期每期还款1056.69，实际利息3000元三个月470，利息远超国家标准百分百之36希望有关监管部门管理一下。</t>
  </si>
  <si>
    <t>2019/10/01 10:23:21</t>
  </si>
  <si>
    <t>维信卡卡贷纯在不合理的扣费，昨天我银行卡被维信卡卡贷莫名奇妙扣除499的担保费，然后我打电话去他们公司并没有给我合理的解释，只是说就是要扣的，这是风险评估费用，然后我拿我朋友的手机同样按流程走了一遍合同，合同上确实有风险评估一项，但是合同里没有写明收费标准，怎么样收费，维信卡卡贷存在恶意扣费。</t>
  </si>
  <si>
    <t>2019/10/01 10:22:22</t>
  </si>
  <si>
    <t>现在希望平台给予帮助与客服沟通进行协商处理最低还款和分期。</t>
  </si>
  <si>
    <t>2019/10/01 10:21:35</t>
  </si>
  <si>
    <t>北京友缘在线网络科技有限公司二次在本人支付宝自动扣款一次99元一次69元，通过app服务欺瞒消费者，利用支付宝免密支付服务自动签约自动免密扣款业务，同时app内会自动接到不知名语音电话和短信，只要接通电话，就会自动扣款，根本没有任何提示消费提醒，做到不知不觉的退款。</t>
  </si>
  <si>
    <t>2019/10/01 10:21:34</t>
  </si>
  <si>
    <t>有些时候阵容就烂，肉都没有，英雄乱选，都是脆皮，前排没有，出去就死，要么就被越塔强杀，我哪里挂机了，又说我拒不参团，又扣分，你们客服有没有去认真审核。</t>
  </si>
  <si>
    <t>2019/10/01 10:20:55</t>
  </si>
  <si>
    <t>微信正常使用，零钱功能被永久冻结，提不了现，不能支付，连一个人工客服都没有，找个解决的地方都没有。</t>
  </si>
  <si>
    <t>2019/10/01 10:20:32</t>
  </si>
  <si>
    <t>其中一千五说是购买游戏豆，电话协商还款金额不同意。</t>
  </si>
  <si>
    <t>2019/10/01 10:20:14</t>
  </si>
  <si>
    <t>我对售后工单的判决有异议，买家在工单和售后两个平台同时申请仅退款，说我售假，双方上传相关证据后售后平台已经关闭了买家的申诉，工单里买家什么证据都没传，也没说明我假冒什么品牌，只有我上传了证据，本产品是个性定制，不具有品牌，产品和包装上也不存在品牌LOGO，而且把详情页和聊天记录，产品包装图上传上去，因为工单只能传三张图，我还留言了买家同时申请了售后退款，更多的证据请查看售后记录，结果工单平台极速退款了，请问是什么原因，两个平台两个结果，我要求复议，退回294元货款，撤销纠纷处罚本商品原于个性定制，本来就不具</t>
  </si>
  <si>
    <t>2019/10/01 10:19:32</t>
  </si>
  <si>
    <t>投诉人赵女士投诉对象贷上钱涉诉金额2000元问题类型诉求类型投诉详情还完钱后不给消账，还在涨罚息客服联系不上。</t>
  </si>
  <si>
    <t>2019/10/01 10:19:03</t>
  </si>
  <si>
    <t>审核失败说的是3到5天退保险金，现在已经第7天还是不给退换，就是算工作日也够5天了，客服打电话永远让再等3到5天，非法扣押钱财。</t>
  </si>
  <si>
    <t>2019/10/01 10:18:32</t>
  </si>
  <si>
    <t>我于3个月前充值原力值购买了永久服务，结果平台倒闭了，并没有退款途径，故投诉，望尽快得到解决。</t>
  </si>
  <si>
    <t>2019/10/01 10:17:01</t>
  </si>
  <si>
    <t>暴力催收，恐吓，违反了《商业银行信用卡业务监督管理办法》第六十八条：发卡银行应当对债务人本人及其担保人进行催收，不得对与债务无关的第三人进行催收，不得采用暴力、胁迫、恐吓或辱骂等不当催收行为，拨打第三方电话，还说一口咬定我写了他们电话。</t>
  </si>
  <si>
    <t>2019/10/01 10:16:26</t>
  </si>
  <si>
    <t>9月30日1点14分左右接单，餐品于凌晨1点40分左右送到客户手中，时间太晚着急回家忘记点送达，但实际情况是我已经将商品送到了客户手中，第二天起来看到单子已经被饿了么平台超时取消，我联系点我达客服说让我联系饿了么平台客服，但是打饿了么平台客服没有点我达骑手相关的服务，凌晨送单属实很累，着急回家睡觉，谁都会有犯迷糊的时候，但我记着我应该是点了送达的，毕竟我也干了大半年的骑手了，联系点我达客服点我达说会扣20元违约金并且扣餐损，我已经将餐品完整的送到，还需要我赔偿，规则是规则，但是你们也没提醒啊，更何况我模糊的</t>
  </si>
  <si>
    <t>2019/10/01 10:16:19</t>
  </si>
  <si>
    <t>之前在信用管家里面借的，还了这个是第二次借，实在没办法偿还高利息，想协商还本金消账，第一次借已经赚了那么钱了，现在软件进不去联系不上客服，我这边得一家一家协商，欠了好多。</t>
  </si>
  <si>
    <t>2019/10/01 10:15:10</t>
  </si>
  <si>
    <t>本人于2019年9月20日收到平安车险销售人员电话，说购买车险赠送礼品，加微信联系后，于2019年9月26日完成车险的下单购买，其中部分礼品说以物流快递方式寄送，但目前为止还没收到礼品，本人于9月29,9月30销售人员了解情况，但都没收到回复，因此发现上当受骗，对此，我认为：1、平安车险任由其销售人员对赠送礼品吹嘘作假，对出现这种违规销售行为有监督不力责任，，结果购买车险后联系不上人，其中经过多少层销售代理不得而知，3、其中让我最不满的是，本来购买车险是你情我愿的，你老老实实的销售，我肯定会择优选择最适合的</t>
  </si>
  <si>
    <t>2019/10/01 10:14:26</t>
  </si>
  <si>
    <t>本人在分期乐贷款7000，分期还款，之前还款正常，但是限制账号冻结，而且客服不分青红皂白冻结，现在想继续使用，本人也不想在还不起款的情况下被你们催收，谢谢。</t>
  </si>
  <si>
    <t>2019/10/01 10:14:18</t>
  </si>
  <si>
    <t>我没有确认借款，他们强制放的款，到期还款的时候工作人员联系我，说他们的app正在升级，没法正常还款，让我把钱打到财务帐上，我怕有逾期就打了，第一遍还款完事，她说我打款的时候留言处写错了，让我在打一笔，然后说这比款会24小时之内给我退回来，结果没给我退款不说，平台还说我没还款，还继续打电话骚扰我，恐吓我，1950元的借款，还了2次共计3900元了，还爆我通讯录。</t>
  </si>
  <si>
    <t>2019/10/01 10:14:11</t>
  </si>
  <si>
    <t>百事普惠打着借钱的骗局，进入后自动划扣客户299费用，我最后填写资料捆绑银行卡时，跳出提示&amp;quot;是否同意免密支付&amp;quot;，发现是骗子，就没有同意立马退出界面，但账户却被扣钱。</t>
  </si>
  <si>
    <t>2019/10/01 10:12:51</t>
  </si>
  <si>
    <t>投诉人 刘先生        投诉对象  大诚网游专营店        涉诉金额  60 元    问题类型    诉求类型投诉详情  退款选项 被关闭 无法退款 没有一系列的申请售后 无法退款 ，耽误我整整一天时间要求赔偿</t>
  </si>
  <si>
    <t>2019/10/01 10:12:20</t>
  </si>
  <si>
    <t>之前一直在轻周转芒果筹借款，正常还款，四期2800元，还款金额4000多，第三期还款时因为app打不开，产生了逾期，后来自己找到了app，因为联系不上客服，又怕逾期费越来越多，只好将逾期费也一并还了，现在最后一期，28号到期，app打不开，客服电话打不通，芒果筹属于714高利贷，而且我已经还够了本金。</t>
  </si>
  <si>
    <t>2019/10/01 10:12:00</t>
  </si>
  <si>
    <t>月光侠分期，借2100三个月还3150，高利贷，本人已还清本金2100，恶意骚扰本人通讯录，侵犯本人隐私，已录音取证，要求停止骚扰，道歉，否则将带录音证据去当地公安局报警。</t>
  </si>
  <si>
    <t>2019/10/01 10:11:54</t>
  </si>
  <si>
    <t>投诉人冯元辉投诉对象嘀嗒出行涉诉金额313元问题类型诉求类型投诉详情我前两天订了从黄石到长沙的顺风车，然后准备十一出去，结果前一天晚上十二点司机取消了，平台发短信跟我说司机有偿取消了，并把钱退回了app里面，打给客服，客服说他们只是一个平台，管不了顺风车，如此推卸责任我也是无话可说，我说那把钱及时退给我我好买票，她说一时半会退不了，更离谱的是我说司机有偿取消，我也没看见补偿，难不成司机取消了补偿是给你们吗。</t>
  </si>
  <si>
    <t>2019/10/01 10:11:39</t>
  </si>
  <si>
    <t>镇江万科前几日做投票点赞活动，奖品为：周杰伦南京演唱会门票！在活动截止后，丝毫没有提前提醒或者电话联系沟通，私下直接将活动点赞数靠前的数名参赛者全部取消资格！仅凭一句话：你存在刷票行为，下面四张图1.微信推文留言是最终的公布结果 2.名单是活动结束前的最终数据 3. 红框里为四位获奖名单，全部都是跳着来的，然而最关键的是，镇江万科公布了四名最终的门票获取者名单，而这些名单的票数也并不低，而且为什么你们取消资格不是从上而下的依次取消，而是跳着名单取消，我是不是有理由严重怀疑这几位获奖者就是你们镇江/南京万科内</t>
  </si>
  <si>
    <t>2019/10/01 10:10:50</t>
  </si>
  <si>
    <t>今天准备在淘宝购物，发现淘宝账号被冻结了，问客服说不能申诉，让我重新再创个账号，我这个账户一直正常消费，请淘宝给个说法。</t>
  </si>
  <si>
    <t>2019/10/01 10:10:24</t>
  </si>
  <si>
    <t>6月份瑞银信来店里推销办pos机，说安全正规我就办了一台当时交了299的押金说三个月以后就退，我当时就问他们业务员说着三个月就有没规定刷多少，三个月过了我去找他们要押金又说我刷的少，让我再用一年才退这不是耍无赖骗人吗。</t>
  </si>
  <si>
    <t>2019/10/01 10:09:19</t>
  </si>
  <si>
    <t>借款时候要求购买的财神黑卡没有享受权益，要求退款。</t>
  </si>
  <si>
    <t>2019/10/01 10:09:11</t>
  </si>
  <si>
    <t>投诉人 高先生        投诉对象  优分期,畅捷支付        涉诉金额  3 000 元    问题类型    诉求类型投诉详情  本人通过信用管家APP下载百优分期。借款3000元实际到账2100元。已还3期，每期770元。请求合理利息本金销账处理。</t>
  </si>
  <si>
    <t>2019/10/01 10:09:06</t>
  </si>
  <si>
    <t>我在送小宝app借了一笔借款，这个软件就是人们常说的714，利息吓人，恶意骚扰通讯录，曾经我的网贷有30多万，后来和家里坦白了，家里帮我都还上了，那段时间我怕家里发现我手机里的借款app，就把所有的借款app都删了，送小宝就是其中落下的一个，我先声明，这个软件我的确逾期很长时间了，家里给我处理的30多万有很多都是这种714，所以我没有不想还的意思，我已经还了700了，当初到账1500，借款2000，还差800本金还好，我要真不想还，我干嘛还要还这700！国家打压网贷这么厉害，况且这又是违法的网贷，也不上征信</t>
  </si>
  <si>
    <t>2019/10/01 10:07:20</t>
  </si>
  <si>
    <t>本人通过短信接触到千金鼎这个网贷平台，该平台严重违法国家网贷规定，借款到账1102元，实际还款1900元，期限5天，在还款日当天该平台涉拒不协商，放款方为汇潮支付，本人持还款态度沟通无果，寻求贵平台的帮助，愿归还本金以及符合国家规定的合理利息，砍头息部分拒不接受。</t>
  </si>
  <si>
    <t>2019/10/01 10:06:57</t>
  </si>
  <si>
    <t>我这边没有催收，不知道哪里来的我的家里人的电话，死的我读不想还了，我家人朋友隔三差五的就接到各种京东的骚扰电话和信息，我留的紧急联系人到时一个也没有打过，我就想不通了。</t>
  </si>
  <si>
    <t>2019/10/01 10:06:38</t>
  </si>
  <si>
    <t>该公司在9月15日1点48分突然无故扣费我银行卡里的金额299元，并且是在本人并不知情的情况下，利用急用钱包app盗取本人信息，以及银行卡免密支付的盗刷金额，造成本人经济损失，希望贵公司马上处理并退还资金，页面只显示可以进行贷款引导我绑定银行卡后自动扣除299元，我联系客服后，客服要求我必须在他们推荐的六家贷款平台都借款失败，并出具失败的证明才能退款，我的个人信用报告只有央行中国人民银行有权利查询，造艺科技出具的信用报告，我是否可以理解为严重的个人信息侵犯。</t>
  </si>
  <si>
    <t>2019/10/01 10:06:34</t>
  </si>
  <si>
    <t>投诉人文先生投诉对象平安普惠涉诉金额5000元问题类型诉求类型投诉详情七十周年大庆，举国欢庆！我守在电视机前见证这伟大一刻！手机上居然又接到平安的催收信息！中国人站起来了，网贷把我们年轻人又打趴下了！别的时间我不生气！在这一刻，我很生气！中国平安，你是不是中国企业。</t>
  </si>
  <si>
    <t>2019/10/01 10:06:20</t>
  </si>
  <si>
    <t>荷围居科技公司7000元，慧金宝9000元，以上公司为赌博网站提供充值平台，其行为危害社会，本人充值记录，订单号及一切相关证据都准备充足。</t>
  </si>
  <si>
    <t>2019/10/01 10:06:01</t>
  </si>
  <si>
    <t>说好房子到期7个工作日退押金，但是一直没有到账，房管也是一直让我等，结果最后还是没有退。</t>
  </si>
  <si>
    <t>2019/10/01 10:04:46</t>
  </si>
  <si>
    <t>我于2019年9月30日晚定了诺心数字蛋糕，当时活动是第一个原件第二个半价第三个免单，我当时选择了2个还没选择第三个就提交订单了，我今天发现了马上联系客服，告知不能修改，我没有要求退货没有要求更换样式只是在活动内在加上一个，客服告诉我不能改，说售后3-5个工作日联系我，但是我定的是蛋糕他们3到5天以后给我答复根本没有用了，我在微信公众号订购的，根本没有订购须知！没有告知消费者订单产生后有什么需要了解的，而且我晚上用，他们客服一上班我就联系，告知不能修改！。</t>
  </si>
  <si>
    <t>2019/10/01 10:04:20</t>
  </si>
  <si>
    <t>在本人不知情，和未签约的情况下扣了我412.50元。</t>
  </si>
  <si>
    <t>2019/10/01 10:02:28</t>
  </si>
  <si>
    <t>借款3000，实际到账2275，砍头息750。</t>
  </si>
  <si>
    <t>2019/10/01 10:01:31</t>
  </si>
  <si>
    <t>投诉他们，随便扣取别人的钱要求退款，给他们狠狠的教训。</t>
  </si>
  <si>
    <t>2019/10/01 10:01:29</t>
  </si>
  <si>
    <t>投诉人王女士投诉对象新橙优品涉诉金额3000元问题类型诉求类型投诉详情什么平台哟借3000到账2700每个月还660多，还6个月，你们说这是多么高的利息了！这不是高利贷，而且这300还是我都还了两期才莫名其妙的给我扣掉。</t>
  </si>
  <si>
    <t>收取砍头息，一周就收取利息和本金，给我的通讯录好友一直造成骚扰和恐吓。</t>
  </si>
  <si>
    <t>2019/10/01 10:00:44</t>
  </si>
  <si>
    <t>投诉人 郭先生        投诉对象  点点        涉诉金额  10 000 元    问题类型    诉求类型投诉详情  暴力吹收，爆通信录，群发信息。对本人的正常生活影响严重</t>
  </si>
  <si>
    <t>2019/10/01 10:00:42</t>
  </si>
  <si>
    <t>本人于2019年8月2日申请了3000元，到帐了，没注意看，直接强制划扣了300保险费，根本不经本人同意，再着说借3000元扣了300，现在第一期还1089.79.第二期是1059.86第三期还没有出利息，300+89.79+59.86=加上还有一期得费用，这难道不超国家规定得利息。</t>
  </si>
  <si>
    <t>2019/10/01 09:59:26</t>
  </si>
  <si>
    <t>备用金什么的都不能用了，淘宝账号也是显示异常，支付宝账户异常。</t>
  </si>
  <si>
    <t>2019/10/01 09:57:40</t>
  </si>
  <si>
    <t>2019年9月2号在贷上钱app借款2000，其中利息60元，服务费600元，期限30天！到期一次性给付2660元！投诉贷上钱，要求结清正常的本息和消除在贷上钱的银行卡绑定和帐号。</t>
  </si>
  <si>
    <t>2019/10/01 09:55:50</t>
  </si>
  <si>
    <t>联通沃钱包易借，非法获取客户通讯录，再能联系到本人的情况下，逾期一天就开始疯狂骚扰通讯记录里的号码，态度极其恶劣，侮辱，恐吓，威胁联系人。</t>
  </si>
  <si>
    <t>2019/10/01 09:55:43</t>
  </si>
  <si>
    <t>投诉人 陈先生        投诉对象  聚福钱包        涉诉金额  49 元    问题类型    诉求类型投诉详情  未经同意 私自快捷扣款49元 要求退款</t>
  </si>
  <si>
    <t>2019/10/01 09:52:45</t>
  </si>
  <si>
    <t>投诉人梁海兵投诉对象来花花,金鸡下蛋,威力贷涉诉金额6000元问题类型诉求类型投诉详情本人在来花花金鸡下蛋威力贷，贷共4200元，6天期限到期还款6000，三个平台，。</t>
  </si>
  <si>
    <t>2019/10/01 09:52:39</t>
  </si>
  <si>
    <t>我不想借款，要取消借款，取消不了，利息太高，借900还1800。</t>
  </si>
  <si>
    <t>2019/10/01 09:52:30</t>
  </si>
  <si>
    <t>本人去年因急需用钱，向360借条借款！用了几天后想提前还清，发现要偿还全补利息，跟客户沟通一直无果！偶然机会发现了这个平台，希望聚投诉协助我联系360借条，协商解决，未使用期数免息提前还款。</t>
  </si>
  <si>
    <t>2019/10/01 09:52:25</t>
  </si>
  <si>
    <t>去火车站退票，火车站说退了，结果一直没到，然后又去问，火车站工作人员说如果用第三方软件买，就在第三方上退，去查智行，一直没动静。</t>
  </si>
  <si>
    <t>2019/10/01 09:51:57</t>
  </si>
  <si>
    <t>021开头的电话，10点多打过来让我12点前必须还钱，不然打我亲朋好友的电话，95559的客服打电话过来态度恶劣，。</t>
  </si>
  <si>
    <t>2019/10/01 09:51:08</t>
  </si>
  <si>
    <t>投诉人赵先生投诉对象招联金融涉诉金额1500元问题类型诉求类型投诉详情招联金融要挟用户，说要让派出所来抓人，我又不是不还我用的着为2800块钱不还吗。</t>
  </si>
  <si>
    <t>2019/10/01 09:50:51</t>
  </si>
  <si>
    <t>投诉人高女士投诉对象贷上钱包,贷上钱涉诉金额2000元问题类型诉求类型投诉详情骚扰无关人员！态度强硬！不听解释！一天十几个电话。</t>
  </si>
  <si>
    <t>2019/10/01 09:50:49</t>
  </si>
  <si>
    <t>我第一次使用搜狐，充了会员，后来第二个月我不想续费，他没有经过我的同意直接续费没有任何消息，我这是今天看见钱少了才知道少了15块钱。</t>
  </si>
  <si>
    <t>2019/10/01 09:50:35</t>
  </si>
  <si>
    <t>9月30日晚上9:30分已经存进去该扣款账户，但该催收人员还恶意催收，10月1日早上还打过来说没有扣到费用，12点前不还款就爆通讯录，存在恶意催收情况，今天还款日还恶意催收，视国家法律如粪土，藐视国家法律法规，严重影响中国公民正常生活，希望可以得到法律制裁！。</t>
  </si>
  <si>
    <t>2019/10/01 09:50:23</t>
  </si>
  <si>
    <t>投诉人子豪先生投诉对象永道小贷涉诉金额1500元问题类型诉求类型投诉详情匹配贷款机构永道小贷9.22号显示放款中到今天10.1号还是放款中公司规定3天内到账都是骗人的不到账卡里有钱的还会恶意扣款客服电话打不通。</t>
  </si>
  <si>
    <t>2019/10/01 09:49:41</t>
  </si>
  <si>
    <t>投诉人 薛先生        投诉对象  交通银行信用卡        涉诉金额  15 000 元    问题类型    诉求类型投诉详情  交通银行恶意骚扰客服人员电话恐吓侮辱 以及诱导有录音为证</t>
  </si>
  <si>
    <t>2019/10/01 09:49:25</t>
  </si>
  <si>
    <t>在未经本人同意得情况下扣我84元，用于风险评估！打客服电话一直无人接听！希望能把钱退给我。</t>
  </si>
  <si>
    <t>2019/10/01 09:47:42</t>
  </si>
  <si>
    <t>投诉人李女士投诉对象拍拍贷涉诉金额3000元问题类型诉求类型投诉详情我不是贷款本人每次给我电话都说找个叫崔龙的我都说不认识说了好多次怎么像听不懂似的呢打电话说话态度极其恶劣我说不认识了没完没了太烦人了希望有关部门给予处理不要在骚扰我...。</t>
  </si>
  <si>
    <t>2019/10/01 09:47:38</t>
  </si>
  <si>
    <t>本人预计于19年10月1日晚8点从上海飞哈尔滨，航班取消，并于10月1日00点15分提交改签申请，平台显示2.15分处理完成，但是现在是9点42分还处于改签中状态，无法值机机场服务台也无法处理，这个问题到底谁能处理！消费者的损失谁承担！。</t>
  </si>
  <si>
    <t>2019/10/01 09:47:37</t>
  </si>
  <si>
    <t>本人通过网页推广知道这个平台，被引诱到一个网站充值入金后发现是非正规的购彩平台，多次充值金额达数万元。</t>
  </si>
  <si>
    <t>2019/10/01 09:47:19</t>
  </si>
  <si>
    <t>福利到手app已经登录不上去，仍旧电话，短信骚扰恐吓我和家人！借款3000到账2100，6天还款。</t>
  </si>
  <si>
    <t>2019/10/01 09:46:24</t>
  </si>
  <si>
    <t>莫名其妙的就被盗刷了，由于是凌晨都不知道，而且我也没有收到信息说什么要扣款，怎么就能盗刷我卡里的钱呢。</t>
  </si>
  <si>
    <t>2019/10/01 09:46:04</t>
  </si>
  <si>
    <t>使用长城宽带，网络出现问题，拨打客服电话，回应说24小时内有回应，结果无。</t>
  </si>
  <si>
    <t>2019/10/01 09:45:48</t>
  </si>
  <si>
    <t>联通公司旗下易借，无视国家法律法规，出现逾期，该公司就与联通公司串通，非法调取客户通话记录，疯狂骚扰联系人及通话记录中的电话号码，每天能打几十个电话，客服态度极其恶劣，诽谤，辱骂，侮辱，威胁，无所不用其极。</t>
  </si>
  <si>
    <t>2019/10/01 09:43:58</t>
  </si>
  <si>
    <t>投诉人李女士投诉对象乐乐钱袋涉诉金额3458元问题类型诉求类型投诉详情乐乐钱袋属7天高炮，借款金额2300，七天还款3500，利息高的离谱，要求退还费用作销账处理，并停止电话催收。</t>
  </si>
  <si>
    <t>2019/10/01 09:43:53</t>
  </si>
  <si>
    <t>我本来交了定金准备分期付款的，后来看到网上对这家公司退款问题很差，结果我就问他能不能退，他说1个月之内都可以退，还非要让我试学一个月，我知道他的意思，到那时候再退肯定退不了，他说如果不愿意说就必须交完学费才能有售后帮你退款，我交完他更不会管我。</t>
  </si>
  <si>
    <t>2019/10/01 09:43:15</t>
  </si>
  <si>
    <t>请有关部门查处此机构！给国民一个健康的金融环境。</t>
  </si>
  <si>
    <t>2019/10/01 09:42:42</t>
  </si>
  <si>
    <t>借款合同为6500元，到账金额5000，分6个月6期还款，每期需要还款1658.5元，总共需要还款9951元，按实际到账金额计算，半年综合利率约100%，一年利率约200%，这个还不按照先息后本的计算公式，如果按照先息后本的公司计算年综利率估计400%以上。</t>
  </si>
  <si>
    <t>2019/10/01 09:42:32</t>
  </si>
  <si>
    <t>中腾信放任黑势力催收在国家扫黑除恶期间，任然猖狂行动，威胁上门，警告后果严重现要求立即停止恐吓催收。</t>
  </si>
  <si>
    <t>2019/10/01 09:40:46</t>
  </si>
  <si>
    <t>投诉人 陈女士        投诉对象  现金借款,洋钱罐app        涉诉金额  20 000 元    问题类型    诉求类型投诉详情  迟了一天还就打电话规定几点几分之前还 一天利息50多 这也太狠了吧这个app 那如果是人在国外收不到短信呢 逾期了几天还得了？国庆法律是这样规定的嘛？一天手续费就50多？这是按什么比例做到的</t>
  </si>
  <si>
    <t>2019/10/01 09:37:57</t>
  </si>
  <si>
    <t>10月1日早9时，对方告知电脑不是原装盒寄送不了，现已造成本人余6000元商品滞留。</t>
  </si>
  <si>
    <t>2019/10/01 09:37:54</t>
  </si>
  <si>
    <t>交通银行信用卡涉嫌暴力催收，工作人员态度十分恶劣，语言威胁、恐吓，辱骂。</t>
  </si>
  <si>
    <t>2019/10/01 09:37:29</t>
  </si>
  <si>
    <t>投诉人邱先生投诉对象中国银联股份有限公司广东分公司专户07涉诉金额159元问题类型诉求类型投诉详情今天收到短信提示被工商银行支出，53元，不明不白扣的钱，上网银一查，在9月24号和9月17号也相应的扣了我53元。</t>
  </si>
  <si>
    <t>2019/10/01 09:37:06</t>
  </si>
  <si>
    <t>两天前结清贷款结清不了，结婚扣了我银行卡1132.71什么维仕担保。</t>
  </si>
  <si>
    <t>2019/10/01 09:35:16</t>
  </si>
  <si>
    <t>由于本人资金困难，导致平安普惠贷款逾期了两天，平安普惠工作人员就暴力催收，威胁恐吓。</t>
  </si>
  <si>
    <t>2019/10/01 09:34:52</t>
  </si>
  <si>
    <t>在信用管家里面借的2300到账1400严重的砍头息，请贵平台严厉打击这种高利贷砍头息的网贷平台。</t>
  </si>
  <si>
    <t>2019/10/01 09:34:49</t>
  </si>
  <si>
    <t>现在人在医院，让下午处理最低的350，不处理就爆我的通信录，在今天举国欢庆的日子，还有这样的高利贷威胁性的暴力催收。</t>
  </si>
  <si>
    <t>2019/10/01 09:33:39</t>
  </si>
  <si>
    <t>非法获取通讯录好友，必须停止！违法催收，严重影响家人朋友生活。</t>
  </si>
  <si>
    <t>2019/10/01 09:32:40</t>
  </si>
  <si>
    <t>借40003个月还5500高利贷逾期一天各种爆通讯录威胁诽谤我家人现要求只还国家标准利息。</t>
  </si>
  <si>
    <t>2019/10/01 09:32:31</t>
  </si>
  <si>
    <t>我在还款日当晚手动还款失败，导致我逾期一天！。</t>
  </si>
  <si>
    <t>2019/10/01 09:31:39</t>
  </si>
  <si>
    <t>2017年12月1日我被工作人员介绍、办理了捷信48000的贷款、每期还款2500、现在已还款20期、超过了本金、当时工作人员办理了套路贷，不跟我说利息多少，只告诉我每个月还多少，还了之后才觉得不对劲，算了一下还得还40000、实在无力偿还，求通过，求结案、如果不行只有通过法律手段解决了。</t>
  </si>
  <si>
    <t>2019/10/01 09:31:05</t>
  </si>
  <si>
    <t>10月1号龙华汽车站至廉江站早上八点出发的车辆，九点半还没有到，检票员一直说堵车，说从龙岗过来，结果堵了一个半小时，打电话给客服人员直接挂电话，也没有给回复！必须道歉，作出赔偿。</t>
  </si>
  <si>
    <t>2019/10/01 09:30:36</t>
  </si>
  <si>
    <t>前年银行推了一个圆梦金，说能分期的就试了一下，没想到到后面利息越来越多，加上家里人接二连三住院，现在还不上了，一个月账单要十几万，最低都要还很多，差不多还了一年最低，利息被收走2000左右一个月，到现在还是还不清，这个月最低要一万三千多，跟客服打电话说了半个月了，这都要到逾期日子了还没给好好处理，中信银行信用卡以后真是不能用了，跟国有的差太多了。</t>
  </si>
  <si>
    <t>2019/10/01 09:30:23</t>
  </si>
  <si>
    <t>投诉人 许先生        投诉对象  智享贷        涉诉金额  3 300 元    问题类型    诉求类型投诉详情  之前都是按时还款 目前工资没有发 希望可以开设延期</t>
  </si>
  <si>
    <t>2019/10/01 09:29:32</t>
  </si>
  <si>
    <t>完成订单之后，物品没有归还据现在了解，物品丢失不解决不赔偿。</t>
  </si>
  <si>
    <t>2019/10/01 09:29:22</t>
  </si>
  <si>
    <t>投诉人周先生投诉对象数来宝涉诉金额2500元问题类型诉求类型投诉详情实际金额2500，到账仅1800，砍了700砍头息，而且是15天一还，要还2555.6。</t>
  </si>
  <si>
    <t>2019/10/01 09:28:39</t>
  </si>
  <si>
    <t>投诉人 彭先生        投诉对象  立借        涉诉金额  5 500 元    问题类型    诉求类型投诉详情  经常打电话给我 网络电话或者座机和手机骚扰我和我家里人 很影响我们正常生活</t>
  </si>
  <si>
    <t>2019/10/01 09:28:22</t>
  </si>
  <si>
    <t>本人于9月2号在蟹老弟APP申请借款4000元，实际到账2800元，分2期还款，每期15天，9月17号已经还款2045元，10月2号还需还款2030元就可以结清。</t>
  </si>
  <si>
    <t>2019/10/01 09:27:06</t>
  </si>
  <si>
    <t>借2600，1月还3600，分四期，我还第三期的时候好像正好信用管家出事还是怎么，当天还了7.8次都没有成功，然后第二天凌晨4点多试了下直接扣款成功，并且还收了我50块左右的逾期费，不是我的问题还收这么高的逾期费，之后有人联系我让我还第四期时我跟他们提了下，直接不理只说让我还第4期然后就挂了，现在也一直找不到他们联系方式，第4期我也没还，希望可以第四期只还本金给我销账，然后他们平台的云享贷申请半个月了没放款，也无法联系客服，如果他们平台还活着让他们帮我把订单取消，我不需要了。</t>
  </si>
  <si>
    <t>2019/10/01 09:25:29</t>
  </si>
  <si>
    <t>投诉人李亚娟投诉对象平安普惠涉诉金额28000元问题类型诉求类型投诉详情有两人自称平安普惠工作人员通过特殊手段找到我曾居住过的地址，上门骚扰我亲戚、还要我本人不走公司账户把资金要全部转给他个人账户！打着平安普惠员工的名号拿着我的信息上门进行催收，望有关部门给予交代！。</t>
  </si>
  <si>
    <t>2019/10/01 09:22:14</t>
  </si>
  <si>
    <t>宜人贷本人实际借款3万，分36期还款，现已还款30期，每期还款1397.89元，实际归还贷款本息41936.7，所以第31期还款已逾期，每天电话，短信催收骚扰，还威胁要P图合同群发通讯录，合同金额是3.4万，其中平台服务费4000被放款前就扣了，也不知道怎么处理，请有关部门指教。</t>
  </si>
  <si>
    <t>2019/10/01 09:22:03</t>
  </si>
  <si>
    <t>25号本人从钱站借款，被告知8号才能到账，而隔了那么多天我已经不需要那比钱，钱站并不能取消借款，该借款还需要支付高额保险，借款1500需要还款2000，之前借过几次是因为确实解决了问题，而不是时隔十几天后才到，并且客服没有能力解决也不接受我的反馈。</t>
  </si>
  <si>
    <t>2019/10/01 09:17:36</t>
  </si>
  <si>
    <t>投诉人杨先生投诉对象聚福钱包涉诉金额299元问题类型诉求类型投诉详情2019年9月13日本人申请聚福钱包并于2019.9.15缴纳了征信费用299元后一直不放款，多次致电客服均未得到明确的回复，要求退款时客服说法不一，第一次要求退款时男客服说满14天后可以从聚福钱包APP小银分申请退款，2019.9.30致电要求女客服退款又另外说法，要寄身份证复印件正反面和手持身份证照片，用邮政寄到上海浦东。</t>
  </si>
  <si>
    <t>2019/10/01 09:16:19</t>
  </si>
  <si>
    <t>想撤销继续还款，手续费6500不用还，我继续按照原来的还款。</t>
  </si>
  <si>
    <t>2019/10/01 09:12:42</t>
  </si>
  <si>
    <t>本人在管家下载的新意花小木钱包上借款2800元，借款为32天，每8天一期还款，共需还款4088元！利息高达1288元！！因APP银行问题无法还款，打电话给客服一直无法接通，导致逾期，逾期费用高达一天52元！支付通道为畅捷支付，下载平台为信用管家，为高利贷提供下载宣传入口，本人已还款2期，现希望平台联系商户协商处理，取消高额逾期费用，一次性偿还剩余2期，免除最后1期，只要求清账，总结：本人小木钱包借款2800元，已还2044，而且已经结清过一次，2800这个是复贷。</t>
  </si>
  <si>
    <t>2019/10/01 09:12:10</t>
  </si>
  <si>
    <t>投诉人王先生投诉对象我来数科涉诉金额5000元问题类型诉求类型投诉详情申请提前还款，减掉后期利息，请按合理合法的要求办事。</t>
  </si>
  <si>
    <t>2019/10/01 09:10:29</t>
  </si>
  <si>
    <t>本人9月3号在立借月月借款，借款2100元分四期还每期还749.49现已经还了3期2300元由于现在资金出现问题没有能力偿还最后一期，希望跟平台协商还款。</t>
  </si>
  <si>
    <t>2019/10/01 09:10:27</t>
  </si>
  <si>
    <t>违规为套路贷平台提供支付通道，要求汇聚支付，畅捷支付24小时内联系商家并协商处理，如不处理，我将投诉互金办，并报警处理！！！！。</t>
  </si>
  <si>
    <t>2019/10/01 09:10:23</t>
  </si>
  <si>
    <t>这个时候他们代理又会诱导你和他们一起做代理。</t>
  </si>
  <si>
    <t>2019/10/01 09:10:15</t>
  </si>
  <si>
    <t>我在别的软件推荐上下载的，那个软件我忘了叫什么了，我在拇指下款这个软件上填写资料，让我添加银行卡，我就填写了，然后银行卡就被扣了299，我现在挺缺钱的，这个软件这么坑我们，给客服打电话他说有提示我没有看到有扣款的提示，接着再打电话就没人接，求解决啊，我真的不容易还被他们扣了300，。</t>
  </si>
  <si>
    <t>2019/10/01 09:09:36</t>
  </si>
  <si>
    <t>信用卡逾期后，在4月份与华夏信用卡外包公司，协商减免解决，并且已经还入，7月份至今一直打客服要求复通卡片或者马上销卡，每次都回复都是3-5个工作日有专人联系，至今未接到一次电话，投诉效率，投诉华夏银行外包公司不按承诺减免，后面账户还有欠款我已经补齐，但任然没得到销卡也未得到回复，几个月过去了一直影响着征信，后续会继续向相关监管执法部门投诉。</t>
  </si>
  <si>
    <t>2019/10/01 09:08:08</t>
  </si>
  <si>
    <t>投诉人罗敏投诉对象立借,钱置宝涉诉金额2100元问题类型诉求类型投诉详情立借平台中钱置宝高利贷砍头息，借款2100元，期限28天，共4期，每期751.1元，还款金额高达3000元，已还3期，要求还本金合理利息，销帐。</t>
  </si>
  <si>
    <t>2019/10/01 09:06:47</t>
  </si>
  <si>
    <t>2019.09.29因为资金周转病急乱投医，下载分期通APP，注册申请出来额度，直接页面是可提现5000，分多少期都出来了，下面有个必须开通VIP，我想着有5000是5000把，开通就开通，就直接点了申请借款，结果只开通了会员，借款什么页面全部没有，而是让我去别的平台借款！而且是直接扣款！申请退款被拒，理由是:使用过信用评估权益，拒就赔页面根本没反应，一分钱没借到，VIP费用确花了249。</t>
  </si>
  <si>
    <t>2019/10/01 09:06:41</t>
  </si>
  <si>
    <t>投诉人刘女士投诉对象分秒花app涉诉金额199元问题类型诉求类型投诉详情一样，被扣了199，而且，还有199因为我重复试了一下，但是是空卡所以没有扣款成功，不知道有钱之后会不会被扣款。</t>
  </si>
  <si>
    <t>2019/10/01 09:05:36</t>
  </si>
  <si>
    <t>五月份用过车之后，六月份就开始退款，中途不小心点到一次取消退款，又重新申请，审核限制也没问题，用车三十天后，无违章，说是15个工作日内退款，这都多少个15个工作日了，很多人都投诉盼达不退押金，可是好像并没有什么用的样子，盼达也没有给出什么所谓的解释，客服也什么都说不上来，难道就这样一直僵着吗，要收押金，正常呀，用户也相信你们才愿意交，盼达这个问题一来以后谁还用交押金的东西。</t>
  </si>
  <si>
    <t>2019/10/01 09:04:14</t>
  </si>
  <si>
    <t>本人于2019年9月29日在厦门高崎机场遇到穿着机场工作人员制服的服务人员，推荐消费1980元购买民航联盟的会员卡，以享受一些购票优惠等活动，办卡当日说充值1980享受5000元积分，并在我反复提问下坚持表示可以使用该会员卡积分直接购买飞机票或火车票而无需再次花费任何金额，且可以享受免费机场VIP厅，因为当时告知会员信息等第二天才会进系统，所以根本无法知道这5000积分到底怎么形式存在在卡里，今日购买机票登录公众号时才知道那5000积分并非可以随意购买机票，而是只能以极小的比例进行抵用，再次查询机票价钱并没</t>
  </si>
  <si>
    <t>2019/10/01 09:03:06</t>
  </si>
  <si>
    <t>投诉人 游先生        投诉对象  捷信金融        涉诉金额  0 元    问题类型    诉求类型投诉详情  捷信暴力催收，恐吓我。不是我欠钱一天给我打这么多电话。对我生活造成困扰。希望有关部门重视。</t>
  </si>
  <si>
    <t>2019/10/01 09:02:52</t>
  </si>
  <si>
    <t>客服说我的课程是18年到期的，这段时间我没有接到过电话通知说自己的课程已过期，我当时印象最深的就是自己已休学，那时正忙于工作，一直就再没登账号学习过，今年是看到心理学的课程才想起来，对啊网那里也可以学，登录账号才发现，自己以前的会计课程都没了，我看到公开课才明白课程有些变化，并且班级进不去了，就别再想心理学了，自己并找以前讲课的西瓜老师咨询，才知账号过期，并且推荐找客服联系，望能恢复课程，实在不行退款也行呀！总不能交的钱就这样打水漂吧！我觉得对啊网后期服务不到位，应该在一定的时间内回馈一下学员对课程讲解满意</t>
  </si>
  <si>
    <t>2019/10/01 09:02:39</t>
  </si>
  <si>
    <t>滴滴金融虚假宣传循环贷款，要求，履行循环贷款合同，金额：2000元。</t>
  </si>
  <si>
    <t>2019/10/01 09:00:00</t>
  </si>
  <si>
    <t>平台客服打电话已经协商过逾期还款问题，现在又出现威胁，恐吓的短信，跟此平台合作几年来，第一次因资金周转困难导致逾期，在没逾期之前就跟客服联系过，之前接听催收电话也是一直给工作人员表示歉意，强烈表明还款意愿，请平台给我解释发出这种威胁，恐吓短信是什么意思。</t>
  </si>
  <si>
    <t>2019/10/01 08:59:07</t>
  </si>
  <si>
    <t>贷上钱乱收费，2000元用了一月多收费660元，以买游戏币的形式多收660元，而且游戏币一点用的没有，。</t>
  </si>
  <si>
    <t>2019/10/01 08:57:32</t>
  </si>
  <si>
    <t>建设银行5000卡额度上月发短信让还5300多，短短一个月竟然涨了1000块的利息。</t>
  </si>
  <si>
    <t>2019/10/01 08:56:17</t>
  </si>
  <si>
    <t>中国工商银行微信小程序申请ETC快一个月还在申请审核中，想取消订单，都没有后续！让给发行方陕西交通打电话！给陕西交通打电话说撤销不了要找工商银行第二次打说找三秦通，给三秦通打电话她们说他们不办理业务！我觉得他们这是在踢皮球！。</t>
  </si>
  <si>
    <t>2019/10/01 08:56:01</t>
  </si>
  <si>
    <t>投诉人许女士投诉对象分期鸭涉诉金额3000元问题类型诉求类型投诉详情在放款前未提示每期还多少，放款3000元，7天为一期周一期1233元，也就是说3000元28天利息高达1932元，入款方是易宝支付有限公司，本人已还一期，现在APP不能线上还款导致的逾期费本人不能接受，要求本金结清。</t>
  </si>
  <si>
    <t>2019/10/01 08:53:48</t>
  </si>
  <si>
    <t>小狸阅读虚假宣传，谎称邀请好友就可以获得奖励，已达到为该平台带来用户的目地，我从8月11日左右第一次提现，苦苦期待7天，等来的却是时间超时自动返还，到了17号我再次提交申请，满了7个工作日，居然连时间超时都没有了，直接无视用户，可以说态度极其恶劣了，希望该平台能够结清我的应得奖励，并对该平台作出触发，最好能下架产品，如能下架该产品，我也可以不要这份奖励了，以免更多人上当受骗！。</t>
  </si>
  <si>
    <t>2019/10/01 08:50:58</t>
  </si>
  <si>
    <t>借2000，分三期还，每期还936，30%以上的利息，这算高利贷吧。</t>
  </si>
  <si>
    <t>2019/10/01 08:50:12</t>
  </si>
  <si>
    <t>本人通过短信链接，下载了来花花APP上借款1400元，实际到账也是1400元，借时并无任何提示，结果却要在6天后归还2000元，佑佑分期借款1100，3天还款1500，无客服电话联系，1.高利贷，均是通过汇潮支付这个支付通道放款，经过核查，汇潮支付作为合作平台，本人愿意归还本金和合法利息，希望通过平台解决问题3.平台上联系不到客服和联系电话，为此只有从第三方支付平台处取得联系方式。</t>
  </si>
  <si>
    <t>2019/10/01 08:50:07</t>
  </si>
  <si>
    <t>今年8月份，我在玩一款游戏，突然有人加我好友说有另一款游戏要不要一起玩，于是就建了个群，拉了好多人，跟我们介绍这款游戏的基本都是女的微信号，然后就下载了，湖南六六九互动娱乐有限公司旗下游戏御龙弑天之青云国战，玩了有两个月，期间当初加我的那女的一直说战力低，让我充钱，当时也没注意，就充了几百，后来又说要结婚，然后花了800多，期间就一直催促着我充钱，我觉得不对劲，就跟她说不充了以后，慢慢玩，然后从那以后就不再联系我了，我就自己玩，跟我一起进来的朋友，充值几万的都有，昨天晚上还好好的，今天国庆第一天，早上醒来，</t>
  </si>
  <si>
    <t>2019/10/01 08:45:06</t>
  </si>
  <si>
    <t>本人于2019年9月3号通过立借APP一键申请青春宝贷款3000元，实际到账2250元，砍头750元，还款周期28天，7天一还，每期还款770.37元，超过法定利率，本人已经偿还3期，共计2311.11元，已还完本金，无力偿还第四期账单，要求立借青春宝与本人联系协商还款。</t>
  </si>
  <si>
    <t>2019/10/01 08:44:45</t>
  </si>
  <si>
    <t>本人2019年9月27日在虫虫快借app申请一笔2000元借款，实际到账只有1100元，周期时长仅有5天到账还款日，而且续期费用居然高达640元，当天上午就以短信、电话轰炸等方式对本人进行骚扰与谩骂.现已对本人造成了极大的身心伤害，现求助平台对此类APP作出曝光和惩戒处理，能让app协商销帐。</t>
  </si>
  <si>
    <t>2019/10/01 08:43:37</t>
  </si>
  <si>
    <t>处理借款过程中一再骚扰家人，垃圾威胁短信和电话。</t>
  </si>
  <si>
    <t>2019/10/01 08:42:52</t>
  </si>
  <si>
    <t>10月2日退房，后因没有抢到去时火车票，本打算直接取消订单，但发现订单显示“取消扣全款“，9月30日第一时间得知抢票失败，本想取消订单，但发现无法取消，致电去哪儿网客服，去哪儿表示跟酒店沟通进行沟通，给我的答案是不予退订不能改时间，我认为酒店和去哪儿都违反了消费者权益保护法第四条和第二十六条，第一去哪儿网没有明确的在显眼位置告知这个订单情况，第二这是格式条款，霸王条款，取消扣全款不合法也不合规，虽然是由于本人问题取消，本人愿意承担5%～10%的违约金，但扣全款明显不合法，以后谁还愿意去入住，我希望酒店给我一</t>
  </si>
  <si>
    <t>2019/10/01 08:42:08</t>
  </si>
  <si>
    <t>新ipad去转转验机，居然被划！让拍照不给拍，辛亏买家不在意，要不我得给我退回来，买家说验机就是坑，本来我还不相信，现在知道了，昨天买手机没经过转转验机，直接让卖家给我发货，今天就不能发布订单了，要发必须强制验机的订单！真是个坑货平台，曝光出来让更多的人看到这家骗子平台。</t>
  </si>
  <si>
    <t>2019/10/01 08:40:33</t>
  </si>
  <si>
    <t>投诉人 张先生        投诉对象  凡普信贷        涉诉金额  38 700 元    问题类型    诉求类型投诉详情  借款金额和到账金额不符，实到账28000。</t>
  </si>
  <si>
    <t>2019/10/01 08:40:20</t>
  </si>
  <si>
    <t>立借提供平台让月月借放高利贷，借2100要还3000。</t>
  </si>
  <si>
    <t>2019/10/01 08:39:59</t>
  </si>
  <si>
    <t>本人在信用管家app上申请的有盈好贷借款为3000元，实际到账2250元，砍头息近750元，借款期限为30天，每10天一期还1029.1元，远超国家规定利息，明显的高利贷，套路贷，目前本人已还两期金额2058.2元，已经无力偿还高额利息，希望减免协商偿还本金跟合法利息，否则只能选择报警跟到当地扫黑办举报到底。</t>
  </si>
  <si>
    <t>2019/10/01 08:38:30</t>
  </si>
  <si>
    <t>自由魔卡中的超级马力贷借款2000需要支付500的砍头息，远超国家标准，因在自由魔卡中进行过多次借款，所付砍头息远超本金，要求销账处理。</t>
  </si>
  <si>
    <t>2019/10/01 08:38:15</t>
  </si>
  <si>
    <t>史洪芝的弟弟致电处理花呗欠款工作人员协商还款，而花呗催收人员不肯协商，还暴露信息，让手机一直被拨打，使用非法软件拨打，威胁要上门对其强制措施，已经对起生活造成严重影响，精神也面临崩溃，如不及时严重处理，必造成严重后果，投诉的对象为9月30号处理的催收人员，如果这个换工作人员处理，依然被骚扰以及信息被暴露，侵害其正常生活工作，依然会维权投诉9月30号处理的工作人员，忘严肃处理，谢谢。</t>
  </si>
  <si>
    <t>2019/10/01 08:37:26</t>
  </si>
  <si>
    <t>拍拍贷没有协商的同时威胁还款，希望能得到处理。</t>
  </si>
  <si>
    <t>2019/10/01 08:36:17</t>
  </si>
  <si>
    <t>投诉人沈先生投诉对象汇潮支付,肥猫贷涉诉金额2000元问题类型诉求类型投诉详情此公司电话：‭18516431307‬经过投诉客服人员来电答应1400元结清，可迟迟未改金额，此平台到期日自动弹出来的逾期本人以为是更改的额度。</t>
  </si>
  <si>
    <t>2019/10/01 08:35:01</t>
  </si>
  <si>
    <t>信用管家中的91买呗收取高额砍头息，利息惊人，借2000，到账1500，还要还2000。</t>
  </si>
  <si>
    <t>2019/10/01 08:34:45</t>
  </si>
  <si>
    <t>本人5月24号在钱站借了2000块，合同金额却是3568块，要求退还多余本金！！！不然一直投诉到底！所有信贷投诉量最大的一家公司，没必要再听其解释太多，作为一家在香港挂牌的被撤回的上市公司，哎真的是耻辱啊，希望有关部门介入调查，打击高利贷，维护正义。</t>
  </si>
  <si>
    <t>2019/10/01 08:28:19</t>
  </si>
  <si>
    <t>钱站app阴阳合同，伪造合同，虚假虚假高额增加钱数分三期第一期1187.92元。</t>
  </si>
  <si>
    <t>2019/10/01 08:27:42</t>
  </si>
  <si>
    <t>投诉人 王先生        投诉对象  现控达人        涉诉金额  4 000 元    问题类型    诉求类型投诉详情  高利贷。套路贷。到账2800分四期。8天一期。现已还三期。要求第四期消账结清。因债务已涉及到家庭父母。下定决心对这样的违法平台斗到底。已报警。请聚投诉加大力度处理。</t>
  </si>
  <si>
    <t>2019/10/01 08:27:41</t>
  </si>
  <si>
    <t>投诉人李女士投诉对象蚂蚁借呗,支付宝涉诉金额3900元问题类型诉求类型投诉详情使用蚂蚁借呗好多年了，并且信誉一直不错，每个月在淘宝的消费最少也要一两千，虽然芝麻信用分像凝固了一样不涨，但是我还是一如既往的信任支付宝，我一直都对芝麻信用，负面，这些规则不太清楚，只是知道不,要逾期.但是谁没有意外呢！上个月12号当天，我在安阳的一个村子里，身上没有装银行卡，而且借呗的短信时有时无，不规律.我知道当天该还了，但是银行卡没带，也没有绑定这张卡，想着第二天到单位了再还，就几个小时，借呗显示说2-3天之内没事，我就没在</t>
  </si>
  <si>
    <t>2019/10/01 08:26:10</t>
  </si>
  <si>
    <t>芒果筹高利贷&amp;amp;nbsp;&amp;amp;nbsp;砍头息&amp;amp;nbsp;&amp;amp;nbsp;实际到账2800&amp;amp;nbsp;却要还4088已严重超过国家规定&amp;amp;nbsp;本人现已还清三期&amp;amp;nbsp;&amp;amp;nbsp;已足够本金利息&amp;amp;nbsp;&amp;amp;nbsp;&amp;amp;nbsp;要求销账。</t>
  </si>
  <si>
    <t>2019/10/01 08:25:53</t>
  </si>
  <si>
    <t>因为改变行程，在异地想要退票退钱，客服不理睬不退款。</t>
  </si>
  <si>
    <t>2019/10/01 08:24:57</t>
  </si>
  <si>
    <t>共两次第一次运营商说需要升级，强行吞掉我提前一个月交的续费套餐，这次我也既往不咎了，但新卡来之后，他们的套餐有十种，出于保险，我先购买了二十五元的套餐，于24号订购30号晚上用完于是我就去公众号上续费所谓的加油流量包，碍于他们的规则是，不到三十天不能购买基础的套餐包，只能购买加油包，但是购买加油包后，期限为24天可以重购的基础包又刷新为三十天，如果购买加油包也会刷新基础套餐期限，那之后购买流量都会比之前贵上很多，出于两次坑人的服务态度，我找他们电话客服那边反映他们的服务态度，表明在不使用他们的产品，于是于今</t>
  </si>
  <si>
    <t>2019/10/01 08:23:58</t>
  </si>
  <si>
    <t>快捷通-成都安睿旺蜀网络科技有限公司在我不知情的情况下口我建设银行卡的钱，恶意扣费，要求退回。</t>
  </si>
  <si>
    <t>2019/10/01 08:22:22</t>
  </si>
  <si>
    <t>尽快处理，还我受害者一份公道，马上这期又到期了，。</t>
  </si>
  <si>
    <t>2019/10/01 08:20:26</t>
  </si>
  <si>
    <t>申请借款7000元，账单出来后才发现借款7000，要还9200，无奈账单已出，只能按月偿还，可是来分期，宣传是说可以循环使用，并且不会套路贷的，但是刚正常使用两个月，就无法正常使用了，先是下架能正常借款的趣店app，然后是以各种套路无法循环借款，再就是无缘无故降额为o，并且还款日没有短信提醒，像客服反应了也没有用，还款没有短信提醒，导致逾期一天就开始对我和通讯录骚扰，非常的莫名其妙，并且客服不解决任何问题，机械式的回复让人非常气愤！。</t>
  </si>
  <si>
    <t>2019/10/01 08:19:49</t>
  </si>
  <si>
    <t>六便士及超级马力有砍头息，信用计划交了费用借不出款不退费用。</t>
  </si>
  <si>
    <t>2019/10/01 08:16:23</t>
  </si>
  <si>
    <t>钱站超高利息，属于超利贷了！平台老友计划，又是套路，原合同本本金早就还清了。</t>
  </si>
  <si>
    <t>2019/10/01 08:16:01</t>
  </si>
  <si>
    <t>投诉人 刘宇金        投诉对象  MY钱包        涉诉金额  936 元    问题类型    诉求类型投诉详情  撤销担保服务费。。上一次借了收了担保费费，这次又收担保费</t>
  </si>
  <si>
    <t>2019/10/01 08:12:25</t>
  </si>
  <si>
    <t>我和卖家都在线，已经等了8个小时了，不想再等了，这个服务态度真的是。</t>
  </si>
  <si>
    <t>2019/10/01 08:11:27</t>
  </si>
  <si>
    <t>投诉人罗先生投诉对象Wecash闪银涉诉金额2366元问题类型诉求类型投诉详情变相收取高额砍头息，要开通白条、糯米，点亮至尊勋章、霸王勋章等等条款，之后还要到商城买东西来激活额度。</t>
  </si>
  <si>
    <t>2019/10/01 08:10:41</t>
  </si>
  <si>
    <t>威力贷,信任分期,支付宝,汇潮支付,北京众安融通网络科技有限公司，唯一还款通道是支付宝，收款方为聚合支付，本人通过短信链接，下载了威力贷，信任分期2个APP上各借款1400元和1100元实际到账也是1400元和1100元，借时并无任何提示，结果却要在6天后归还2000元以及2天后归还1500元，无客服电话联系，通过APP的在线客服联系，拒协商，拒提供电话，1.两个高利贷，均是通过汇潮支付这个支付通道放款，经过核查，汇潮支付作为合作平台，有其信任分期的主体公司和联系电话，但拒提供，继续参与违法行为，本人愿意归</t>
  </si>
  <si>
    <t>2019/10/01 08:10:04</t>
  </si>
  <si>
    <t>卧龙钱包蜜瓜钱包均为6天高利贷平台，到账1400元，6天后归还2200元，汇潮支付为其提供放款通道，现本人经济困难，希望平台给予反馈，协商处理。</t>
  </si>
  <si>
    <t>2019/10/01 08:09:39</t>
  </si>
  <si>
    <t>投诉人徐先生投诉对象来花花,佑佑分期涉诉金额4000元问题类型诉求类型投诉详情高利贷，借款2000块五天利息高达600，严重违反国家要求。</t>
  </si>
  <si>
    <t>2019/10/01 08:09:37</t>
  </si>
  <si>
    <t>投诉人施先生投诉对象牛帮涉诉金额288元问题类型诉求类型投诉详情想在牛帮发布悬赏，充了88会员，又充了200块钱，然后发布悬赏一直通过不了，也没客服说为啥通过不了，然后200块钱提出来，手续费扣我10块，你们收了我会员费，我享受啥服务了，砸进去288，只能拿出190，你们咋不去抢钱。</t>
  </si>
  <si>
    <t>2019/10/01 08:08:16</t>
  </si>
  <si>
    <t>借款.四次，砍头共1500元，只退回来500元，本人要求继续投诉。</t>
  </si>
  <si>
    <t>2019/10/01 08:03:36</t>
  </si>
  <si>
    <t>银行卡上面一直有钱，不扣款就不说了，利息一天27，你不扣款怪我。</t>
  </si>
  <si>
    <t>2019/10/01 08:03:29</t>
  </si>
  <si>
    <t>投诉人槐先生投诉对象微信涉诉金额0元问题类型诉求类型投诉详情微信账号被盗联系客服申诉客服不让申诉通过账号都是我自己冻结的在线客服已各种理由拒绝帮忙申诉通过打电话给腾讯客服一直没有人接电话希望腾讯客服给一个处理结果号都是我自己的。</t>
  </si>
  <si>
    <t>2019/10/01 08:01:28</t>
  </si>
  <si>
    <t>在9月30日早上5点左右对我个人银行卡发起金额为99元的盗刷扣款，且扣款无任何短信通知，也无任何平台短信消费扣款提醒，本人也没有任何与深州市快付通网络金融有限公司存在经济关系。</t>
  </si>
  <si>
    <t>2019/10/01 08:00:57</t>
  </si>
  <si>
    <t>投诉人刘女士投诉对象你我贷涉诉金额5500元问题类型诉求类型投诉详情上次投诉完了没有消息态度不好请协商处理谢谢。</t>
  </si>
  <si>
    <t>2019/10/01 07:56:42</t>
  </si>
  <si>
    <t>2019年5月到9月份我的乐刷代理分润至今没发放！还有代理费用400元，我的机具已经全部激活但是400元尚未退还给我！还有2台乐刷激活奖励160元尚未发放给我！。</t>
  </si>
  <si>
    <t>2019/10/01 07:56:36</t>
  </si>
  <si>
    <t>投诉人欧阳先生投诉对象淘手游涉诉金额400元问题类型诉求类型投诉详情联系不到淘手游客服，我和卖家都在线，所以决定退款。</t>
  </si>
  <si>
    <t>2019/10/01 07:46:25</t>
  </si>
  <si>
    <t>我在高铁管家上买票抢票，还弄了候补抢票，但系统一直显示我没有成功，最好玩的是我的抢票一直取消不了！而且我买的票在订单详情里也没有显示，然后我就在10.1机器取票发现我一直没成功抢票的G1483居然显示了让我取票，然后我想取消我因没有抢票成功而买的票居然没有显示订单！很晕！。</t>
  </si>
  <si>
    <t>2019/10/01 07:37:40</t>
  </si>
  <si>
    <t>投诉人 赵女士        投诉对象  肥猫贷        涉诉金额  500 元    问题类型    诉求类型投诉详情  借款350，六天还500。还款日当天短信电话骚扰</t>
  </si>
  <si>
    <t>2019/10/01 07:37:00</t>
  </si>
  <si>
    <t>投诉人 刘先生        投诉对象  苏州开心盒子软件        涉诉金额  98 元    问题类型    诉求类型投诉详情  不能恢复昨晚误删的微信聊天，希望早点退款</t>
  </si>
  <si>
    <t>2019/10/01 07:36:22</t>
  </si>
  <si>
    <t>机场办卡人员对卡的作用虚假宣传，宣传此卡可抵机票全额且可以他人购买，贵宾室可以亲朋使用，经过事后查明，代理人描述与事实不符，涉嫌虚假宣传，霸王合同，要求退款。</t>
  </si>
  <si>
    <t>2019/10/01 07:32:34</t>
  </si>
  <si>
    <t>投诉人包女士投诉对象国美易卡涉诉金额10500元问题类型诉求类型投诉详情昨天23点前进app还款一直还不了，今天早上起来还款就显示逾期费用50块，我不知道这个怎么算出来的，这不是高利贷是什么，还正规贷款，贷款的时候保险就扣了保险六百多，这不是变相收费是什么，还有杂七杂八的费用没有算呢。</t>
  </si>
  <si>
    <t>2019/10/01 07:28:25</t>
  </si>
  <si>
    <t>今早起床发现银行余额无故被扣2笔，5点12一笔544.04查看订单显示渤海国际信托股份有限公司扣的，5点39另一笔63.39我赶紧把剩下钱转出去以防被扣更多，我赶紧查了下网贷发现根本没有这笔款项要还账单也没更新，现在要求渤海信托国际股份有限公司退还这笔钱，同时要求查看是那个app扣的款。</t>
  </si>
  <si>
    <t>2019/10/01 07:27:55</t>
  </si>
  <si>
    <t>投诉人郭先生投诉对象乐意花涉诉金额10000元问题类型诉求类型投诉详情我在乐意花屏体申请贷款10000块分12期每期需要还款1239元，已经还了9期剩余3期要求免除利息。</t>
  </si>
  <si>
    <t>2019/10/01 07:24:41</t>
  </si>
  <si>
    <t>投诉人贾先生投诉对象滴滴出行涉诉金额0元问题类型诉求类型投诉详情你好，我是一名新加入的滴滴司机账号显示1319天，我是2016年在云南昆明朋友推荐注册的，但是我确实是2019年9月3号才开始在滴滴汽车商城下单租车，我在加入滴滴司机时进入滴滴出行司机端有定位东莞，我在东莞市我就点了确认，现在车牌是东莞市的车牌，车证也验证通过了，但是我账号的注册地变成阿拉善盟的了，这个地方我没去过，没听说过，我也不知道是不是我按错了还是怎么了，滴滴司机端显示我修改地超限了，打了客服电话，一直机械化的重复等半年，我一个月的车租4</t>
  </si>
  <si>
    <t>2019/10/01 07:23:44</t>
  </si>
  <si>
    <t>提前还款还不了，想微信还款根本不行，卡里的钱不扣，。</t>
  </si>
  <si>
    <t>2019/10/01 07:20:49</t>
  </si>
  <si>
    <t>投诉人万子钰投诉对象毒APP涉诉金额765元问题类型诉求类型投诉详情我昨天创建了2个订单，今天他给我取消了，并涨价，明天故意讹诈消费者请公正协商，我真的很想这个价买下来。</t>
  </si>
  <si>
    <t>2019/10/01 07:20:46</t>
  </si>
  <si>
    <t>本人8月17日入职深圳市兴广正电子有限公司到月底辞职，他们承诺9月30日结清我所有工资，9月30日并没有发给我。</t>
  </si>
  <si>
    <t>2019/10/01 07:17:40</t>
  </si>
  <si>
    <t>当时有点无知，看到门店说旧手机换新手机，就进去了，刚开始说补两百的差价就可以换新手机，后来说什么活动有it话费送，慢慢的绕我并且并没有详细告诉我it话费卡的用途，让我用买单侠分期说2300多就可以得4000多it话费卡，她操控手机我在旁边看着有点看不懂，说好2300多就给我分期用处到那部vivoy93，后来谈的差不多在我不知道的情况下，第一次分期看发现是356一期，仔细一算有4219，4219买一部1300左右的手机，刚开始找过其他人问过说签了合同没办法，我就想来聚投诉试试，还有就是那个it话费卡并没有什么</t>
  </si>
  <si>
    <t>2019/10/01 07:12:23</t>
  </si>
  <si>
    <t>以前投诉过暴力催收爆通讯录的问题不解决，现在仍然在暴力催收爆我通讯录，居然打电话给我七十一岁老妈的手机上，聚投诉和金融监管部门就真的管不了吗。</t>
  </si>
  <si>
    <t>2019/10/01 07:11:07</t>
  </si>
  <si>
    <t>斗牛士，借款3500元，到账只有2100元，到期要还将近3600元，期间，到期了没还上，延迟还款要交1750元，延长5天，这些钱，我前后还过两次1750元，再加上一次1000元，现在一共还过4500元了，催收还在跟我要还本金3500加300元，我看了网上律师咨询的，说借款实际到账算本金，利息不能超过36%，超过36%的不受法律保护，起诉，超过部分是必须追回的，按着这样计算，我应该还2856元就够了，可是现在，我已经还了4500元以后，还让我还3800，这是我不能接受的，我的投诉意愿是，解决这个问题，我还的已</t>
  </si>
  <si>
    <t>2019/10/01 07:07:30</t>
  </si>
  <si>
    <t>各种资料也提供给银生宝了，之后就一直不联系也不处理，咨询客服也是各种理由推脱，。</t>
  </si>
  <si>
    <t>2019/10/01 06:53:57</t>
  </si>
  <si>
    <t>投诉人 杨女士        投诉对象  天猫：雷士官方旗舰店        涉诉金额  1 043 元    问题类型    诉求类型投诉详情  商家宣传了几天。说前3秒免单的。现在是前3秒付款。商家现在不承认了。投诉天猫。天猫直接把我订单确认收货了。要求商家按照宣传兑现承诺。对这样的没有诚信的商家做出处罚</t>
  </si>
  <si>
    <t>2019/10/01 06:44:20</t>
  </si>
  <si>
    <t>两次借款，第一次借款1600，实际到账1100多第二次借款1900，实际到账1300多，两次砍头息1000左右，还款日当天不停电话骚扰威胁，暴力催收，祖国70年生日，已经准备联系金融部门并且报警。</t>
  </si>
  <si>
    <t>2019/10/01 06:32:13</t>
  </si>
  <si>
    <t>之前投诉过，无人处理，现在单独投诉，威力贷放款无明确说明，到账1400，6天到期还2000.6，高利贷，无力偿还，汇潮支付不作为，无人主动联系，哪个有业务的正规公司十一无人加班，先要求本金加合法利息处理！。</t>
  </si>
  <si>
    <t>2019/10/01 06:28:44</t>
  </si>
  <si>
    <t>本人在平安普惠借款20万元按时还本金及利息共15个月，现欠7万左右，因从这个9月份资金周转困难，迟还的第一天已跟他们说我有钱马上还，现迟还款2-3天时间不停骚扰我的同事及家人，今天上门说收快件，没想到老妈打开门，我老妈已有70多岁了，说的就不是这个了，用不实的语言说"我欠他们20万不还"家母本来有高血压，心脏病，听了他们的话心脏马上出问题，他们还把上门的图片恐吓并威协自己，导致现在我妈病倒，我担惊害怕因家里还有一个近80岁的老爸，他们的恐吓，骚扰，诽谤导致我现在精神崩溃。</t>
  </si>
  <si>
    <t>2019/10/01 06:21:35</t>
  </si>
  <si>
    <t>本人通过京东app支付，被违法平台诱骗，损失钱财，京东不愿承担责任，并不愿处理，重要的要提的就是：其中多笔是京东作为收单机构的，我通过你们支付信任你们，你们这样对待，收单相关通过你们收到钱，你们的监管在哪里，本人向你们反馈已经数日，还没有结果，逃避，作为你们的注册用户，你们查询我的相关订单难道比我困难，明明就是在逃避，二维码只有京东可以扫，你们还继续推诿的话，等待你们的将会是审判。</t>
  </si>
  <si>
    <t>2019/10/01 06:21:07</t>
  </si>
  <si>
    <t>第一在信用飞借4000只到帐3600；而且逾期利息一天20:他们派人催而且态度极差不给商量就用上征信威胁我，如果不给我解决我不但不还一分钱而且我一年365天进行投诉直到给我解决。</t>
  </si>
  <si>
    <t>2019/10/01 06:16:44</t>
  </si>
  <si>
    <t>看CC直播，然后用支付宝充值，不小心将1000元点成了10000元。</t>
  </si>
  <si>
    <t>2019/10/01 06:16:13</t>
  </si>
  <si>
    <t>投诉人李女士投诉对象拍拍贷涉诉金额703元问题类型诉求类型投诉详情昨天还款日账户余额有钱缺扣不了款，提现却要8号到帐导致我逾期一天，现在放假客服也不在会不会导致我逾期三天?原本要还702.04现在一天逾期费就是35.43本来能准时还款的为啥要我背这个锅。</t>
  </si>
  <si>
    <t>2019/10/01 06:14:30</t>
  </si>
  <si>
    <t>18:13:27《商业银行信用卡业务监督管理办法》中的第六十八条规定：发卡行应对债务本人及其担保人进行催收，不得对与债务人无关的第三人人催收，不得采取暴力，胁迫，恐吓和辱骂等不当催收行为，对催收过程应当进行录音，录音资料至少保留两年备查，最近我因为失业了暂时还没有找到工作，从而失去了收入，导致了交通银行的信用卡逾期，在逾期的这段时间里，我想投诉交通银行信用卡的逾期催收工作人员在与我取得联系的情况下，还要三番四次的去骚扰无关的第三方联系人，这不已经在违规泄露我的个人隐私了吗，我是信用卡逾期，我也没说不还，为了</t>
  </si>
  <si>
    <t>2019/10/01 06:11:54</t>
  </si>
  <si>
    <t>国际机票订错时间，第一时间打电话给同程旅游客服！没有做出回复，841元退56元，这样坑消费者。</t>
  </si>
  <si>
    <t>2019/10/01 06:11:46</t>
  </si>
  <si>
    <t>投诉人张先生投诉对象钱站涉诉金额1390元问题类型诉求类型投诉详情贷款合同没有显示这一笔钱为什么收的客服说是什么担保费用。</t>
  </si>
  <si>
    <t>2019/10/01 06:10:42</t>
  </si>
  <si>
    <t>投诉人张梦宇投诉对象农业银行涉诉金额100元问题类型诉求类型投诉详情在本人不知情的情况下刷走我银行卡里的钱银行安全有问题。</t>
  </si>
  <si>
    <t>2019/10/01 06:10:01</t>
  </si>
  <si>
    <t>实际到账2000多点，还完第一期又给了额度，三个月要还3000多，还完第一期给的额度可以看看，1000要多还一半。</t>
  </si>
  <si>
    <t>2019/10/01 06:06:28</t>
  </si>
  <si>
    <t>家里的小弟玩蓝月至尊版传奇，充值用的我微信支付宝里付的款，然后趁我不注意的时候把消费记录都清除了，最近今天着急用钱，发现少了至少50000万元，询问之后才知道是玩这款游戏充值了，与客服联系说无法退款，所以在此申诉，着急用钱，希望可以帮帮忙。</t>
  </si>
  <si>
    <t>2019/10/01 05:57:47</t>
  </si>
  <si>
    <t>无理黑贷，借款3000，实际到账2400，分三期还没个月要一百多的利息，每到还款日，一天几个电话骚扰，联系不到客服，我想知道这个伟大贷款平台，国家不管的嘛。</t>
  </si>
  <si>
    <t>2019/10/01 05:54:36</t>
  </si>
  <si>
    <t>2018年8月，点佰趣业务员找我办理了一台点佰趣m9POS机，298元压金，说的是半年后退压金，半年后也不见退，今年8月份开始有次刷信用卡2341元，倍银行风控部门封卡，原因是晚上十点重庆市一小吃店消费，我人在郑州，小票账单显示的重庆市，谁晚上十点多吃个小吃会2341元，然后我给业务员打电话，业务员说这个他管不了，是支付公司的系统问题，这几个月一直是重庆市，浙江省，安徽省地区一直跳，出现问题故障，反应多次，无人解决，望各位领导和有关部门，严厉打击，帮我退回压金。</t>
  </si>
  <si>
    <t>2019/10/01 05:51:43</t>
  </si>
  <si>
    <t>本人通过信用管家申请青春宝贷款3000元，实际到账2250元，砍头息为750元，是为高利贷，还款周期28天，7天一还，每期还款770.37元，超过法定利率，本人已经偿还3期，共计2311.11元，已还完本金，现要求青春宝尽快与本人联系，进行沟通协商还款，合理利息进行处理销账，请信用管家方协助处理此事。</t>
  </si>
  <si>
    <t>2019/10/01 05:46:07</t>
  </si>
  <si>
    <t>在贷上钱借钱两次一次4000分3期总共还5443.25，一次2000一个月还2560。</t>
  </si>
  <si>
    <t>2019/10/01 05:42:04</t>
  </si>
  <si>
    <t>我本人在自己已经还完了这一期的钱，下一期还有一个月的情况下，马上消费金融今天凌晨四点又私自扣费，难道马上消费金融就这么霸道吗。</t>
  </si>
  <si>
    <t>2019/10/01 05:30:07</t>
  </si>
  <si>
    <t>约的是平台顺风车其实是黑车在平台接单的，高速服务区为了接别的客户把我换到朋友车上，结果朋友没有给我送到目的地半路强行就给我丢下，还把我的行李和鸡蛋都摔碎了，我自己打车回的目的地，到家给哈啰客服投诉结果平台没有给出回应，直接把我钱扣除没有任何解释，这种不顾人生命安全的平台如果不监管不惩罚后期必出人命，第一张照片是我约的哈啰出行的定单第二张是我丢的地点我打车的地方第三张是司机打碎我的鸡蛋，。</t>
  </si>
  <si>
    <t>2019/10/01 05:27:59</t>
  </si>
  <si>
    <t>2019年4月30日在闪卡快贷借钱7000，实际到账5892.34，分六期每期还1404.2总共要还8425.2。</t>
  </si>
  <si>
    <t>2019/10/01 05:23:44</t>
  </si>
  <si>
    <t>投诉人 戴栋粱        投诉对象  百事普惠        涉诉金额  299 元    问题类型    诉求类型投诉详情  骗子公司 恶意扣款 没有道德底线 没经过本人同意直接银行卡扣款299</t>
  </si>
  <si>
    <t>2019/10/01 05:09:10</t>
  </si>
  <si>
    <t>投诉人 李女士        投诉对象  拍拍贷        涉诉金额  610 元    问题类型    诉求类型投诉详情  在拍拍贷分期借款3000 之前一直主动还款 最近由于工资迟发 逾期了几天 想要协商还款 延迟几天 工作人员并不同意 用第三方催收威胁我 说会联系我的通讯录</t>
  </si>
  <si>
    <t>2019/10/01 05:08:18</t>
  </si>
  <si>
    <t>收取担保凭证费用，实是变相利息，等于600元一个月100多块利息。</t>
  </si>
  <si>
    <t>2019/10/01 05:08:03</t>
  </si>
  <si>
    <t>2019/10/01 05:04:54</t>
  </si>
  <si>
    <t>在我不知情的情况下浙江中华联合保险强制扣945元保险费，另外保单呢。</t>
  </si>
  <si>
    <t>2019/10/01 05:02:44</t>
  </si>
  <si>
    <t>投诉人 戴栋粱        投诉对象  急借钱包        涉诉金额  299 元    问题类型    诉求类型投诉详情  百事普惠就是这家公司的APP 这家公司有几十个同样类型APP</t>
  </si>
  <si>
    <t>2019/10/01 05:00:02</t>
  </si>
  <si>
    <t>我工行工资卡尾号0205，9月30号8点43分莫名其妙产生一笔1485元的中国银联无卡快捷支付业务专户的消费。</t>
  </si>
  <si>
    <t>2019/10/01 04:58:17</t>
  </si>
  <si>
    <t>我都不知道怎么被扣的没支付都不用就私自扣我299。</t>
  </si>
  <si>
    <t>2019/10/01 04:57:12</t>
  </si>
  <si>
    <t>投诉人张先生投诉对象我来贷,我来数科涉诉金额9900元问题类型诉求类型投诉详情申请的9900分12期我每一期还款1121.96第11期没有收到还款短信提醒更没有收到扣款失败提醒而且现在还款还更换不了还款卡号导致了逾期2天刚刚想起来看了吓了一跳逾期费200现在申请免除第11期逾期费200剩余的第12期减免所有息费提前还本金因为第12期我没用1121.96的月还款逾期一天100块钱再也不敢用了不说合法不合法良心何在。</t>
  </si>
  <si>
    <t>2019/10/01 04:56:53</t>
  </si>
  <si>
    <t>投诉人 曾瑶岸        投诉对象  造艺技术        涉诉金额  100 元    问题类型    诉求类型投诉详情  9月27号承诺退款 迟迟不退款</t>
  </si>
  <si>
    <t>2019/10/01 04:34:17</t>
  </si>
  <si>
    <t>给你花平台严重骚扰通讯录，说了月底发工资了还还要打第三方联系人，打了第三方联系人还要打当初申请网贷给你花读取了手机里面半年通话记录的联系人，认识的不认识的只要打过我电话的都发短信打电话说我欠给你花网贷平台多少钱，多少钱，还有可能把我个人信息发给了第三方专业催收的，严重的影响了我的个人借款信息，现在结清了，给你花公司把我的信息泄露给的第三方催收工作的又推荐一些乱七八糟的贷款app！希望有关管理部门治治这些网贷平台。</t>
  </si>
  <si>
    <t>2019/10/01 04:29:56</t>
  </si>
  <si>
    <t>聚福钱包，上海造艺科技有限公司阴阳合同私自扣款，概不退还。</t>
  </si>
  <si>
    <t>2019/10/01 04:20:26</t>
  </si>
  <si>
    <t>亚博体育彩金后台操作，违规等不正当营运，希望尽快答复。</t>
  </si>
  <si>
    <t>2019/10/01 04:19:39</t>
  </si>
  <si>
    <t>立借平台，借8000，1年还10880，这么看利息没有超过年利率36%，联系客服无反应，请尽快联系我调整每月还款额度。</t>
  </si>
  <si>
    <t>2019/10/01 04:19:38</t>
  </si>
  <si>
    <t>本人在9月29日因需要资金周转下载了‘钱橙无忧’APP，按照正常贷款程序认证了个人资料，后面又认证了银行卡，接着该推荐我进行借款，APP上右下角提示我马上提款，我便进行了点击，当时未借款成功，当即我就卸载了APP，可是30下午，钱橙无忧APP未经本人允许擅自划扣我名下银行卡内的钱，分两次总共扣走了168元！使用钱橙无忧APP本意是借款，没想到钱没借到，还恶意扣款，界面里面都没一个确定取消选项，点一下提款就默认勾选扣费，也没有明确提示是个人征信报告费用，隐藏胡乱扣款，那要是误操作多点几次是不是就扣个不停了，他</t>
  </si>
  <si>
    <t>2019/10/01 04:10:33</t>
  </si>
  <si>
    <t>醉酒乘客弄坏车辆报备上传照片加99费用公司说违规扣除99加五十罚款司机公平公正何在手机相册没有拍照片报备上传照片就有希望贵公司能主持公道还司机一个公道。</t>
  </si>
  <si>
    <t>2019/10/01 04:04:30</t>
  </si>
  <si>
    <t>通过支付宝进入芝麻信用的共享汽车使用的立刻出行，在支付宝完成押金支付与订单，在提交申请退还押金后，支付宝平台已经找不到立刻出行的入口，支付宝-&gt;芝麻信用-&gt;共享汽车已经把立刻出行入口关闭了；截图是支付宝平台的支付押金的账单信息和立刻出行的账单信息；支付宝对于商家的进驻应该负有审核监督的责任，商家出现违规或者拖欠费用的纠纷时，支付宝应该及时联系到商家，以确保用户的合法权益，现在立刻出行已经超出规定时间不退押金，支付宝平台入口也毫无征兆就撤掉。</t>
  </si>
  <si>
    <t>2019/10/01 03:56:37</t>
  </si>
  <si>
    <t>我已经用招联金融10年，额度也升到挺高的，差不多4万，每期都准时还款，但从今年从6月份开始招联账号突然给冻结了，钱还进去就不能借出来，直到8月份，本人因身负多笔贷款，实在没办法还了，但也还了差不多2千,每期应还大概4.5千左右，直到过期几天后就一直打我手机，逾期后每次我都跟催收说我尽量想办法，各种催收套路，我也一再打电话客服那边强调，暂时还不了，结果就是客服说得一次性结清欠款29000多，我能一次性结清，我还干嘛分期，客服一再把协商的权益都推脱给催收人员去处理，说他们客服只负责反映我的需求，没办法处理我的要</t>
  </si>
  <si>
    <t>2019/10/01 03:51:52</t>
  </si>
  <si>
    <t>！本来哪里的高速费显示是142元！没有塞车一路畅通！就选择了这条线路！结果到收费站的时候就是195元！存在故意欺诈欺骗客户的问题。</t>
  </si>
  <si>
    <t>2019/10/01 03:48:33</t>
  </si>
  <si>
    <t>小象优品暴力催收，爆我通讯录发给我的每个朋友说我欠钱，小象优品侵犯隐私！！以下图片就是小象优品发给我通讯录好友的短信！！电话里辱骂我，短信骚扰我通讯录！！我要求小象优品跟我好好协商跟我道歉！！。</t>
  </si>
  <si>
    <t>2019/10/01 03:32:01</t>
  </si>
  <si>
    <t>结果直到10.01凌晨收到提醒我乘车的信息，因为没有显示订单，我已经乘大巴回家。</t>
  </si>
  <si>
    <t>2019/10/01 03:22:11</t>
  </si>
  <si>
    <t>本人购买的包裹快递到达中国邮政站点以后配送员一个电话都没给我打过就私自退回说联系不到客户，电话不打短信不发怎么能联系到我?。</t>
  </si>
  <si>
    <t>2019/10/01 03:20:16</t>
  </si>
  <si>
    <t>我在及贷上申请了笔10000元的贷款，可实际放款只有9000每月还款1059块多还12期，这样算下来12期一共要还1278，接近4000的利息还是等额本息，已经属于高利贷了，而且最近登APP一直登不进去，我根本看不到自己的借款合同，我有理由相信是他们公司刻意而为之，现在我很被动，因为他们有和第三方合作每月直接从我绑定的卡里扣钱，银行方面给我的建议是注销扣款银行卡，我觉得没必要，我现在还了两期了，一共2118，我也没想过不还，我现在就是想跟他们协商还款还掉剩余本金，哪怕多一个月利息或者适当的费用我都可以接受，</t>
  </si>
  <si>
    <t>2019/10/01 03:17:37</t>
  </si>
  <si>
    <t>上海造艺*有限公司利用豹子贷这个软件划走我银行卡中299元，但是他的软件让我们上传他们推荐出来的5家借款平台借款失败信息才能退款，而且推荐出来的其中一家借款平台还让我们继续支付评估费用。</t>
  </si>
  <si>
    <t>2019/10/01 03:16:05</t>
  </si>
  <si>
    <t>8月12号借的闪电借款，昨日到期，银行卡也支付受限无法还款导致逾期，还款日之前已经反馈给客服也无人电联，2600元额度需要交650元买所谓的财神黑卡才能下款，在app跳转支付宝付钱，到账2600元，还2730，实际我只是借了2000元，阴阳合同，只能接受本金加合理费用协商处理，如遇暴力催收将录音于扫黑办报警备案，希望尽快处理这笔账单。</t>
  </si>
  <si>
    <t>2019/10/01 03:12:27</t>
  </si>
  <si>
    <t>根本没有在询问是否支付的情况下就强迫自行扣款，不小心点开APP，并且就关不掉绑定页面，然后就自己扣款。</t>
  </si>
  <si>
    <t>2019/10/01 03:02:30</t>
  </si>
  <si>
    <t>申请借款2000元，账单还款2056元，实际另外缴纳会员费用360元，银行流水可证明。</t>
  </si>
  <si>
    <t>2019/10/01 02:59:46</t>
  </si>
  <si>
    <t>本人是一名滴滴双证全职司机师傅，司机师傅遵守平台规则，为什么双证司机没有订单派，反而无双证有订单派，双证司机去到广州市白云机场等几个小时没有订单派，无双证司机去到广州市白云机场一个小时内有订单派，双证司机的车行符合平台升级为优享司机，平台不让双证司机的车升级，反而无双证司机车行升级为优享司机，这样子平台不公平，双证司机派单不是优质，订单，双证司机一天十几小时在工作，一天的收入500-600元，无双证司机600-1000元，双证全职司机一天500-600够用吗，一天车租150加油费100大概250元，个人用品</t>
  </si>
  <si>
    <t>2019/10/01 02:57:12</t>
  </si>
  <si>
    <t>由于急需，在贷上钱申请一笔贷款，2000元，一个月还款2480元，420元没买东西算购金额，利息等于480元纯粹的高利贷，这也就算了，谁让我急需，结果我就开户一笔，给我打来两笔，今天要没认真看了下，查下银行卡还不知道，另一笔看了下2000元还2560，还有这么操作的套路贷。</t>
  </si>
  <si>
    <t>2019/10/01 02:53:02</t>
  </si>
  <si>
    <t>立借APP里面的钱置宝借款平台，借款2100分四期，8天一期，每期还款751.08，借款32天总共需还款3004.4元，利息高达近1000元，远超过国家规定利率，立借为钱置宝这种高利贷平台提宣传和借款通道有着不可推卸的责任，目前本人还溥第一期及第二期总共1502.2元，第三期还款日时无法还款，也无法联系上客服，导致逾期，截止到今天已逾期八天，逾期费336元，期间一直无法联系上客服，也无法还款，这属于明显的恶意套路逾期，现本人希望相关人员能及时联系我，还清本金及国定规范围内利息，作销帐处理。</t>
  </si>
  <si>
    <t>2019/10/01 02:51:00</t>
  </si>
  <si>
    <t>由于当时企业处于企业改制期间，我需要临时周转资金，由2017年7月20日前往平安普惠宝安办理处，办理小额贷款，总额贷款为40万元，当时年度利息为8.4%，但是2017年7月22日实际到款为388000元，合同前期费率为3%，5、我在2019年8月份还款之后就向平安普惠总部电话询问计算利息为何与约定利息8.4%不一致时，需要他们回复才能后续还款事项，对方一直未回复我，在9月15日还没有到期还款和因我出差在外，随意电话恐吓和威胁家人和朋友，诱骗朋友和家人替我还款，是否涉嫌欺诈，，一次性扣款12000元，2017</t>
  </si>
  <si>
    <t>2019/10/01 02:49:49</t>
  </si>
  <si>
    <t>记得不到一个月，我现在想把问他提前还清要多少钱，我也知道这人家钱要还利息，我看一下利息能不能少一点就跟他们协商，我已经主动跟他们协商了，但是他们用第三方的电话那个态度很恶劣。</t>
  </si>
  <si>
    <t>2019/10/01 02:38:29</t>
  </si>
  <si>
    <t>既然未成年不能通过实名认证，那为什么不实名也能发布商品。</t>
  </si>
  <si>
    <t>2019/10/01 02:36:16</t>
  </si>
  <si>
    <t>斗鱼平台作为一个上市公司，旗下传奇分区主播，直播一款传奇私服游戏，这款游戏含有胖妞赌博功能，人民币充值元宝换成欢乐豆进行赌博，举报给斗鱼客服不封禁直播房间，害人害己，图片上画圈就是证据。</t>
  </si>
  <si>
    <t>2019/10/01 02:35:21</t>
  </si>
  <si>
    <t>爱农驿站违反国家法律规定，为赌博平台提供充值通道。</t>
  </si>
  <si>
    <t>2019/10/01 02:34:16</t>
  </si>
  <si>
    <t>在不知情的情况下，消费了69元，并未有过提示消费金额。</t>
  </si>
  <si>
    <t>2019/10/01 02:29:39</t>
  </si>
  <si>
    <t>8月27日，2019年9月22日,2019年9月27日分别借款三次，并以每期6天600元的利息还清了三期，还有一期未还，其间还于2019年9月1日花300元利息续期三天，截止目前总共四期借款到帐1400元，借款21天已还利息2100元，已超本金700元，汇潮支付为对方提供支付通道扣掉600元砍头息，只有1400元到我的银行卡内，希望汇潮支付通道能及时联系威力贷平台，国家允许范围内的利息我可以交，但是砍头息必须给我退回账户 查看威力贷还款通道为支付宝，希望支付宝禁止这种行为，关闭与之相关的还款通道，查看银行到</t>
  </si>
  <si>
    <t>2019/10/01 02:28:28</t>
  </si>
  <si>
    <t>本人因资金周转不开2019年6月30日在小当家平台上借款2500元，当时扣除了250元砍头息，加上250元砍头息，需还款3700元，高出国家规定率利，已经60%的利率了。</t>
  </si>
  <si>
    <t>2019/10/01 02:27:18</t>
  </si>
  <si>
    <t>在信用管家神马借借款3000以还款2期每期1024第三期支付通道关闭支付宝销账觉得不安全。</t>
  </si>
  <si>
    <t>2019/10/01 02:22:34</t>
  </si>
  <si>
    <t>投诉人邹女士投诉对象世纪佳缘涉诉金额19800元问题类型诉求类型投诉详情本人于2019年9月29号与世纪佳缘签订合同，服务时间为2019年9月30号开始服务，本人这四年来受到世纪佳缘销售的电话轰炸，终于被诱拐到门店，经过长达几个小时的洗脑，不断劝说，终于诱导我刷了pos机，分期付款5940，此时一位世纪佳缘许先生不停拿我的手机在操作，然后我接到了一个电话，那位许先生说你只要回答是就可以了，然后由于封闭的空间，本人很疲惫，不知道电话那头具体说了什么，我就不停说是，然后回到家我发现我手机多了一笔贷款，我的天呐，</t>
  </si>
  <si>
    <t>2019/10/01 02:18:15</t>
  </si>
  <si>
    <t>去单位家里找我做什么！你们崔的是钱不是命！催收不要带有报复心理！我也是干催收的。</t>
  </si>
  <si>
    <t>2019/10/01 02:15:56</t>
  </si>
  <si>
    <t>本来说12期之后能还款，后面发现13期之后才能还款本金差不多一万六，说利息一千多块，事实上利息高达五千多，总的下来要还两万多，还领了折扣券，可是感觉没什么用，而且我打开合同发现每期实际还款与合同不符，合同上面写的是每期还款约717，但是软件里是每期还款871，而且别人的利息好像没有我这么高吧，为什么会有区别对待呢，说是根据芝麻分定的，难道芝麻分高的人付的利息就要多一些。</t>
  </si>
  <si>
    <t>2019/10/01 02:09:21</t>
  </si>
  <si>
    <t>投诉人 祁先生        投诉对象  钱站,华夏银行        涉诉金额  30 000 元    问题类型    诉求类型投诉详情  我只借了3万 可合同上多了4500的本金 砍头息太贵 分一年要还4万1 已经还了3期了 问能不能延迟一礼拜还钱 直接拒绝 银行都能延期 它比银行还厉害</t>
  </si>
  <si>
    <t>2019/10/01 02:08:03</t>
  </si>
  <si>
    <t>利用买手机套现还说能提前还款结果逾期几天手续费高达10块钱一天，还暴力催收一直发信息给我家人朋友，给我跟家人朋友的生活造成困扰！借4400实际到手2000块钱线下工作人员砍头息600块，我已经归还了我借到手的本金，希望买单侠道歉赔偿并且销帐。</t>
  </si>
  <si>
    <t>2019/10/01 02:06:45</t>
  </si>
  <si>
    <t>投诉人陈先生投诉对象微卡贷,中银消费金融涉诉金额5000元问题类型诉求类型投诉详情死活还不了款，然后恶意加收逾期费！怎么点都点不了还款。</t>
  </si>
  <si>
    <t>2019/10/01 02:05:56</t>
  </si>
  <si>
    <t>我已经成年了，一个星期给我四五次人脸识别，超级烦，一个月就几十次，麻烦你不要针对我好吗。</t>
  </si>
  <si>
    <t>2019/10/01 02:04:22</t>
  </si>
  <si>
    <t>投诉人 户诚        投诉对象  河南有线        涉诉金额  0 元    问题类型    诉求类型投诉详情  这是与他们客服对话记录 他们也不给解决啊 我到底怎办啊</t>
  </si>
  <si>
    <t>2019/10/01 01:49:40</t>
  </si>
  <si>
    <t>2019/10/01 01:42:41</t>
  </si>
  <si>
    <t>8月25日借了3000，每期却要还1500左右，申请了之后就没办法取消，，然后就开始给我打电话，态度特别不好，给我打我可以理解，然后没有联系我所留的紧急联系人，直接骚扰其他家人朋友，还说是我留的人家的电话，还让朋友帮我还钱，每天好多个电话，态度极其恶略，完全影响了家人朋友的正常生活，逾期费用也特别高。</t>
  </si>
  <si>
    <t>2019/10/01 01:41:26</t>
  </si>
  <si>
    <t>逾期一天，就非法给通讯录的所有亲友打电话喊还钱，严重影响个人隐私，骚扰亲朋好友。</t>
  </si>
  <si>
    <t>2019/10/01 01:39:41</t>
  </si>
  <si>
    <t>投诉人王女士投诉对象沪太路车站涉诉金额200元问题类型诉求类型投诉详情下午6点36的车辆直接把人扔在长兴服务区不走了，而且车站卖票之前不告知车辆只能行驶到凌晨2点。</t>
  </si>
  <si>
    <t>2019/10/01 01:39:35</t>
  </si>
  <si>
    <t>因为家人住院急需用钱在好分期借了4000元，分12期要还5392元，每期都有服务费和风险保障费，但是合同上写着年利息百分之10.20，实际上是高利贷，协商提前还款，。</t>
  </si>
  <si>
    <t>2019/10/01 01:36:29</t>
  </si>
  <si>
    <t>因为我的客户突然取消订单，导致这些鸭蛋用不了，于是我不得已选择拒收，然后便和卖家沟通此事，9.30号我再次申请退款，客服直接敷衍，还让我填写退回单号。</t>
  </si>
  <si>
    <t>2019/10/01 01:30:55</t>
  </si>
  <si>
    <t>投诉人 许先生        投诉对象  及贷        涉诉金额  3 300 元    问题类型    诉求类型投诉详情  之前一直按时还款 但是本月因为工资迟发没有办法按时还款 希望可以协商还款事项</t>
  </si>
  <si>
    <t>2019/10/01 01:29:54</t>
  </si>
  <si>
    <t>贷上钱平台写着待付款那么我可以选择不付款，因为我不用荐职小秘书服务，可是还款的时候我还是要还2660，60块钱的利息我是可以接受，请问捆绑销售莫名其妙的让我多了600块钱是什么意思。</t>
  </si>
  <si>
    <t>2019/10/01 01:29:08</t>
  </si>
  <si>
    <t>借款6万，到账6万，合同金额却写了70500，宜人贷加了10500的服务费进去算利息，我每个月都正常还款，9.30还款日当天晚上11点，我点进去还款，显示非还款时间不能还款，然后一直到0点后突然又能还款了，但是账单也逾期了，还款金额是2617.26，逾期费却要355.93！这是不是高利贷！请宜人贷给出合理解释，为什么逾期费这么高！还有未到0点却不能主动还款，是想让大家逾期吗！。</t>
  </si>
  <si>
    <t>2019/10/01 01:27:39</t>
  </si>
  <si>
    <t>利息太高，而且还扣了我500元的砍头息就给我六千。</t>
  </si>
  <si>
    <t>2019/10/01 01:25:13</t>
  </si>
  <si>
    <t>钱站合同4800实际下款金额3000收取1800高额手续费，分三期每期1684，本人已经无奈还款两期1700，和1684，第一期逾期两天收到暴力恐吓催收，电话辱骂家人，无奈已还本息3384元，第三期想协商还款，转入公司账户协商金额予以销账！希望凡普金科工作人员看到此投诉能在10月4日前及时与我联系！如果4号没有联系我，骚扰辱骂家人，我会余生用我全力与凡普金科打官司！这不仅仅是一千多块钱的问题，钱站是我所有网贷中见到性质最恶劣的平台，没有之一！另外雷佳音代言钱站实在是有损艺人形象！。</t>
  </si>
  <si>
    <t>2019/10/01 01:23:16</t>
  </si>
  <si>
    <t>聚富钱包，绑定银行卡之后把我250扣了，打电话协商说一到三个工作日，过了打电话又拖。</t>
  </si>
  <si>
    <t>2019/10/01 01:21:25</t>
  </si>
  <si>
    <t>百事普惠APP是上海造艺网络科技有限公司的，2019年9月6号刚注册时被诱导绑定银行卡，无缘无故就被扣除299元，按照他们提示申请退款然后就可种走程序各种理由推脱。</t>
  </si>
  <si>
    <t>2019/10/01 01:16:48</t>
  </si>
  <si>
    <t>本人于9月末通过抖音APP＂创业找崔磊＂直播间推送的创业微信加了乐客独角兽的项目销售人员，然后他们的项目负责人就开始推送创业项目，介绍乐客独角兽公司，说公司有五个项目！销售开始给我打电话聊他们项目有多好做，简单提成高，好赚钱，零经验，宝妈学生党都能做，一对一的创业培训指导，强烈的给我心里暗示别人一月挣三四万轻松创业，抓住我想挣钱想创业的心理，电话微信给我洗脑，以名额有限，费用即将上涨等制造名额紧张的假象，告诉过了今天，费一年要从9800涨到12800而且也没有说明第二年是要续费的，于是在9月30号下午，在他</t>
  </si>
  <si>
    <t>2019/10/01 01:13:28</t>
  </si>
  <si>
    <t>投诉人鄢先生投诉对象分期通涉诉金额249元问题类型诉求类型投诉详情分期通诱导用户交249的会员费，且前提没有任何提示直接从银行卡扣款，结果会员权益根本没有实际意义，欺骗用户，严重侵犯了用户的权益。</t>
  </si>
  <si>
    <t>2019/10/01 01:11:48</t>
  </si>
  <si>
    <t>本人于2019年9月17日在威力贷上申请贷款，到账1400元，5天后却要还2000元，砍头息5天600元，由汇潮支付放款，本人因为生病无力还款，五天后续期三百，直到今天已续6次，每次300元，已经还清本金，还多还几百元，现在要求和威力贷协商，销账，请汇潮支付支付宝帮我速度处理销账，本人陷入套路贷生活已不能自理。</t>
  </si>
  <si>
    <t>2019/10/01 01:10:57</t>
  </si>
  <si>
    <t>我一个人住，工作日上班，以前水电费交给这的房东，后来房东交给蛋壳管理，之前每月大概交100多左右，结果蛋壳管理后突然就要交436元，收费单子上的水费和电费与实际不符，受不住啊。</t>
  </si>
  <si>
    <t>2019/10/01 01:10:36</t>
  </si>
  <si>
    <t>投诉人刘先生投诉对象拼多多涉诉金额400元问题类型诉求类型投诉详情被误导充值，请拼多多平台追回款项，现本人联系不到商户退款，请拼多多平台提供帮助。</t>
  </si>
  <si>
    <t>2019/10/01 01:07:05</t>
  </si>
  <si>
    <t>这些是交易凭证，还有很多，我到时候会一一上传的。</t>
  </si>
  <si>
    <t>2019/10/01 01:02:38</t>
  </si>
  <si>
    <t>我于9月28号在美团预订了10月1号的酒店，9月30日同一天的房间美团降价了一半多的价钱，寻找美团客服，酒店前台询问，得到的答案是不能退款，不能退房，不补差价，跟美团客服寻求帮助被粗暴挂电话。</t>
  </si>
  <si>
    <t>2019/10/01 01:02:36</t>
  </si>
  <si>
    <t>投诉人徐拓投诉对象立刻出行涉诉金额499元问题类型诉求类型投诉详情每天几十个电话打给客服，每一个人接听，并做出合理的解释，连续一个月了，每天都打电话，想都不知道找谁了，我现在还是一名大三的学生，将自己的生活费都给压进去了，现在都得不到一个回复。</t>
  </si>
  <si>
    <t>2019/10/01 01:02:34</t>
  </si>
  <si>
    <t>半夜12点多被特约百度扣款500元是什么原因。</t>
  </si>
  <si>
    <t>2019/10/01 01:01:30</t>
  </si>
  <si>
    <t>投诉人莫先生投诉对象借贷宝涉诉金额1200元问题类型诉求类型投诉详情本人在借贷宝借了一笔贷款，账单是4000的，到账才2800，只有七天时间！虽然是高利贷，不过当时急用就借了，还款日已经跟出借方协商还款了，因为有过几期的展期，出借方同意3200销帐的，但是我钱转过去后，出借方只销帐2800，还剩1200的账没有消，并导致现在逾期了！我已经在借贷宝那边申诉，要求冻结对方帐号，并把我的借条销帐，但是说我线下还款，不受他们管，尽管我提供了截图还有其他的转账证据，借贷宝方也一直没有处理！9月30号更是骚扰到我家里人</t>
  </si>
  <si>
    <t>2019/10/01 01:00:09</t>
  </si>
  <si>
    <t>投诉人 范先生        投诉对象  微粒贷        涉诉金额  21 000 元    问题类型    诉求类型投诉详情  招联 都没有 像你们这群疯狗一样 威胁过，敢来逼着我用 棍棒 刀具，对待你们</t>
  </si>
  <si>
    <t>2019/10/01 01:00:03</t>
  </si>
  <si>
    <t>投诉人 周先生        投诉对象  快易熊        涉诉金额  1 500 元    问题类型    诉求类型投诉详情  APP还款上不去 网站上不去 之前联系客服电话是一个手机号 打通了接了不说话</t>
  </si>
  <si>
    <t>2019/10/01 00:59:19</t>
  </si>
  <si>
    <t>你好，今天我从昆明难高铁站去深圳北，车票是3点23分的，我到站时间3点，因为人流大，安检速度慢，导致刚过安检检票已经结束，我去窗口改签，窗口工作人员告诉我，因为今天这是最后一班去深圳的高铁，没办法改签，说规定不能改签第二天的这似乎不合理，我要求找他们站长，，他说让我等下，他自己过去问站长，一会过来告诉我没办法，改签不了，我很纳闷，，2:我是从飞猪平台购买的车票，我在路上看时间比较紧张，所以在开车前半个小时通过飞猪平台退票，显示开车前半小时没办法网络退票，结果没赶上车，和车站理论完以后，也就是四点半左右，我打</t>
  </si>
  <si>
    <t>2019/10/01 00:56:01</t>
  </si>
  <si>
    <t>展鸿科技,呗呗分期,聚合支付,汇潮支付,支付宝，本人于2019年9月23在呗呗分期上申请贷款，到账1200元，3天后却要还1500元，砍头息三天300元，由汇潮支付放款，本人因为生病无力还款，三天后续期三百，直到今天已续5次，每次300元，已经还清本金，现在要求和以前呗呗分期协商，销账，请汇潮支付支付宝帮我速度处理，被套路贷款套路我已无力偿还。</t>
  </si>
  <si>
    <t>2019/10/01 00:55:31</t>
  </si>
  <si>
    <t>投诉起因与过程描述：本人于19年3-5月期间在同程旅游，提前游平台借款三笔，每笔金额为1000元，在第一次申请借款过程中确实有看到需要购买增信产品，的弹出窗口提示，而第二次和第三次申请借款时也同样弹出该提示，由于我第一次已经被扣款199元，被误认为第二次与第三次的提示仅对于非增信用户的提示，就被误导性的继续点击并申请借款！而上周在对银行卡明细对账的时候，发现后面两次居然每次都扣我199元用于购买所谓的，这三笔贷前扣款，首先作为借款人的我自认为后面两次有失仔细，但作为同程平台，贷前向客户强制消费，且该权益卡完</t>
  </si>
  <si>
    <t>2019/10/01 00:55:19</t>
  </si>
  <si>
    <t>投诉人吴先生投诉对象玖富涉诉金额12000元问题类型诉求类型投诉详情一开始额度1万2，所以在还款日前一天非常诚恳的主动和玖富客服联系说明情况，玖富你是要把我们一家往死路上逼吗?请把钱退还给我。</t>
  </si>
  <si>
    <t>2019/10/01 00:53:02</t>
  </si>
  <si>
    <t>投诉人朱女士投诉对象急借钱包涉诉金额299元问题类型诉求类型投诉详情9月23号下半夜，我从支付宝里提现的500块，刚提进卡里充值到微信就余额不足了，我以为是我的身份证过期了银行卡的有些服务晚上用不了，然后第二天中午我充值就发现少了299，直到昨天我查了银行明细才知道是被什么造艺网络技术有限公司扣了，我都一脸蒙，我都不知道是哪个app扣的款，而且都是免密直接扣的。</t>
  </si>
  <si>
    <t>2019/10/01 00:51:35</t>
  </si>
  <si>
    <t>投诉人吴先生投诉对象中国银联,信汇支付,广东信汇涉诉金额24551元问题类型诉求类型投诉详情闪付为广东信汇提供非法境外博彩平台提供现现金充值通道，请求广东信汇为我退款挽回经济损失。</t>
  </si>
  <si>
    <t>2019/10/01 00:48:09</t>
  </si>
  <si>
    <t>本人今天5月6号帮湖南移动郴州分公司装宽带，在帮一用户安装宽带的时候需要收200元出装费，但是移动和包系统漏洞，两个同事同时通过和包支付了200元，郴州移动相互推脱，拒不退还重复支付的200元。</t>
  </si>
  <si>
    <t>2019/10/01 00:47:31</t>
  </si>
  <si>
    <t>投诉人 何文强        投诉对象  国银盛达        涉诉金额  4 623 元    问题类型    诉求类型投诉详情  还我征信清白 本人今年年底买车什么贷款都下不来， 快速处理</t>
  </si>
  <si>
    <t>2019/10/01 00:45:00</t>
  </si>
  <si>
    <t>9月26日镇江万科举办周杰伦演唱会门票线上投票活动，虚假宣传，欺骗粉丝，内部腐败，严重伤害了周杰伦粉丝感情和万科品牌形象，具体如下:1.在没有任何通知情况下，私自取消了我的活动资格，至今未给我做出合理的解释，伤害了一名普通消费者的知情权；2.内部员工暗箱操作，把最终获奖名单给了内部人员，这种行为丧失了万科员工该有的职业道德素养；3.内部腐败，内部监督不力，廉政文化建设意识薄弱；4.虚假宣传，对外宣传送十张门票，结果只送八张，并未对其他两张门票的去向做任何解释希望万科恢复我的活动资格，并给我做出合理的解释！。</t>
  </si>
  <si>
    <t>2019/10/01 00:44:07</t>
  </si>
  <si>
    <t>投诉人李女士投诉对象寺库网涉诉金额82元问题类型诉求类型投诉详情寺库海外直邮快递同时两条物流走件记录1.27号同一天，一条国外悉尼待清关，一条国内已发往上海分拨中心2.联系客服回复待清关、请耐心等待，第二天电话客服解释说国内清关很快的，whatareyoutalkingabout。</t>
  </si>
  <si>
    <t>2019/10/01 00:43:14</t>
  </si>
  <si>
    <t>肥猫贷,合支付,聚合财务,支付宝,汇潮支付,展鸿科技，本人于2019年9月2通过短信链接在肥猫贷上申请贷款，到账1400元，5天后却要还2000元，砍头息5天600元，由汇潮支付放款，本人因为生病无力还款，每两天后续期三百，直到今天已续期10几次次了，每次300元，已经还进去快4000多了，支付宝提供的还款续期通道，现在要求和肥猫贷协商销账，请汇潮支付支付宝帮我速度处理，本人已经无力偿还。</t>
  </si>
  <si>
    <t>2019/10/01 00:43:01</t>
  </si>
  <si>
    <t>我的微信收款商业版突然有一天不会自动提现了，我一打开看，发现被关闭了提现权限，需要我申诉，第一次我提交了对方付款的截图凭证，被驳回说维持原判！第二次我又提交了发快递的快递单，也提交了营业执照，又是维持原判！！第三次我继续提交了所有能提供的资料！！总共提交了上次都是维持原判！！！一直打不进去腾讯的人工，一直就是让提交资料！！！这并不是小数目，是我国庆前店面做的一场活动，从早上8.30开始忙到晚上10点多，就是趁活动时间才收的这16000多块钱，我觉得腾讯公司如果有感觉哪里异常了可以详细查一查我的营业执照是否是</t>
  </si>
  <si>
    <t>2019/10/01 00:40:36</t>
  </si>
  <si>
    <t>几年前办理了交通银行信用卡，后来通过银行短信连接申请又给发了一张金卡，链接也没什么详细介绍，一直也不知道年费这么高，卡片办下来一直是我前男友在用，分开后卡片我也没有拿回来，后来导致逾期，给我上了征信，银行把我卡片锁了，近半年只能还钱，不能使用，还有三千多就还完了，今天上去还款突然发现被扣了一千的年费，第一没有人跟我说过这个年费会这么高，第二，卡片已经被锁死至少半年，早已经不能使用！现在硬性扣费实在不能接受。</t>
  </si>
  <si>
    <t>2019/10/01 00:36:42</t>
  </si>
  <si>
    <t>2019/10/01 00:34:45</t>
  </si>
  <si>
    <t>投诉人崔女士投诉对象天津和信涉诉金额100000元问题类型诉求类型投诉详情本人在天津和信借款，十三万元，已还十几期，每期还款金额6510，我跟他们说钱是我借的没错，但实际使用人是我前夫，我们之间的流水证据我都有，而且我前夫承认是他使用的，可是和信公司拒不联系我前夫，只骚扰我一个人，说钱是你借的，你签的字，我们就找你，款项于2018年借的，2019年2月我们协议离婚，在夫妻关系存续期间，前夫生意出现问题，我天津小贷借了十几家，用于资金周转，在离婚协议中，明确标注我尚欠小贷一百六十万，归前夫偿还，前夫还至201</t>
  </si>
  <si>
    <t>2019/10/01 00:33:54</t>
  </si>
  <si>
    <t>中奖者都占有2到3个名字有改名中奖这一特征。</t>
  </si>
  <si>
    <t>2019/10/01 00:33:29</t>
  </si>
  <si>
    <t>投诉人崔先生投诉对象摇钱花,小赢钱包涉诉金额1600元问题类型诉求类型投诉详情27日为还款日27日下午系统就开始扣款了由于早上卡里面没有钱下午五点左右把钱存进卡里面了，晚上九点左右系统再次划扣，不知道为什么划扣失败了，事后我看账单显示银行卡受限制，第二天我打开app看到是逾期状态就马上进行主动还款，但也是还款失败，显示银行卡受限制，我马上给客服打电话，客服说这种情况需要更换银行卡，但是当时银行卡不在身上记不得卡号，我把情况给客服说明白了。</t>
  </si>
  <si>
    <t>2019/10/01 00:33:05</t>
  </si>
  <si>
    <t>9月30日，在飞猪app订了广州中路138号奥园越时代大厦左岸假日公寓的飞猪特惠房，到酒店以后发现实际与商家描述不一样，商家描述酒店含有窗户，到了酒店前台告知没有窗户，我要求看房，前台告知看不了，我说那就退房，前台工作人员说直接在平台发起退款，然后我申请退房一直没有人受理，给飞猪平台客服打电话，客服说可以换成有窗的房间，但是我已经入住到别的酒店了，就没有接受换房，客服说不换房就没有办法处理，因为定的是不可取消的酒店，当晚我又给平台客服投诉商家，。</t>
  </si>
  <si>
    <t>2019/10/01 00:32:39</t>
  </si>
  <si>
    <t>投诉人赵女士投诉对象平安普惠涉诉金额31500元问题类型诉求类型投诉详情2018.8月份申请平安惠普共计31500元，分了20期，前后累计还款共26991.45元.剩余本金只要还4508.55就可以了，现在合同显示居然还要还14408.39，每期的保险费和服务费真的是高的吓人，最近几个月真的是资金周转不开，所以才造成逾期，他们居然说是恶意拖欠，请问，真的是恶意的话，还会还这么多吗，不止这些，每天短信和电话骚扰不断，三更半夜还在短信骚扰我，节假日还要来我家面谈，让我家人配合他们，这对我的生活和工作真的很影响，</t>
  </si>
  <si>
    <t>2019/10/01 00:30:36</t>
  </si>
  <si>
    <t>用钱宝给我推荐其他的贷款产品，还是强制性的，在app无法进行其他操作，只能按只能按home键强行退出，。</t>
  </si>
  <si>
    <t>2019/10/01 00:29:47</t>
  </si>
  <si>
    <t>在两年里，在现金巴士借款超过15次，头息望归还，本人才会还款。</t>
  </si>
  <si>
    <t>2019/10/01 00:28:38</t>
  </si>
  <si>
    <t>投诉人 黄先生        投诉对象  交易猫        涉诉金额  53 元    问题类型    诉求类型投诉详情  我在交易猫上买一个号。第二天因为网易换绑手机号问题没有换绑成功。我马上仲裁。交易猫也审定为换绑不成功。。之后我让交易猫联系卖家或者再次换绑或退款。可是交易猫一直在办理没人回复</t>
  </si>
  <si>
    <t>2019/10/01 00:28:33</t>
  </si>
  <si>
    <t>是上海造艺科技*有限公司，恶意扣款299元，本来想借款的，申请期间在本人不知情的情况下扣款299元，没有明确告知我要收钱，不然我也不会去申请，严重侵犯了我的知情权，我强烈要求退还钱。</t>
  </si>
  <si>
    <t>2019/10/01 00:27:04</t>
  </si>
  <si>
    <t>投诉人李女士投诉对象高铁管家涉诉金额90元问题类型诉求类型投诉详情通过高铁管家抢票，是默认闪电抢票，毫无察觉的情况下被扣除90元，我选择是抢票后付款，却自动扣款蓄意设置消费陷阱，请核实情况，责令其退款，并作出纠正。</t>
  </si>
  <si>
    <t>2019/10/01 00:26:23</t>
  </si>
  <si>
    <t>没什么好说的，如果一个正规合格的软件，安装需要关闭杀毒软件的话，那个人隐私真是毫无可以保护的了，况且，一些游戏明文规定帐号不允许共享，为什么在这个平台上他就可以被出租，被别人租走呢，客服服务态度差，卸载上号器的时候我在c盘发现了两个和租号玩有关的木马软件插件，我现在十分担心我的电脑的隐私问题，上边的钱必须满50才能退款，我就当5块钱买了瓶水喝了好吧，图片没有，不过我相信租号玩那方应该有，毕竟他们的上号器会截取用户屏幕的行为也算是众人皆知了，不过除了屏幕截取以外，其他有没有什么隐私被泄露的问题我就不知道了，这</t>
  </si>
  <si>
    <t>2019/10/01 00:24:40</t>
  </si>
  <si>
    <t>支付宝商家发行优惠券，领取使用以后商量要求支付优惠金额，不然不给走，投诉到支付宝对于商家发行优惠券不承认问题不核实，不处理，这属于欺诈消费，。</t>
  </si>
  <si>
    <t>2019/10/01 00:23:46</t>
  </si>
  <si>
    <t>砍头利息，超级高利贷，借2000三个月还4000多。</t>
  </si>
  <si>
    <t>2019/10/01 00:19:45</t>
  </si>
  <si>
    <t>本金逾期费2350元，然后我们说好了，还1600，我分1400和200转两笔，他们说分两笔就不能有减免，所以还有750未给我清账。</t>
  </si>
  <si>
    <t>2019/10/01 00:19:30</t>
  </si>
  <si>
    <t>投诉人刘先生投诉对象来分期涉诉金额23000元问题类型诉求类型投诉详情之前来分期天天打电话给我说借一下款可以提额，然后20190924日就按客服人员说的操作进去贷了两单试试，本以为可以提前还款就浪费一点利息，谁知道提前还款也要付全部利息，加起来有要八九千，我现在只想还本金加一点点利息，那么多利息谁受得住哦，不想试试借款的然后没事提前还款的，现在搞的要多出那么多利息还要全部是利息，本来就是打工的，受不住那么利息，请来分期取消订单还本金。</t>
  </si>
  <si>
    <t>2019/10/01 00:17:52</t>
  </si>
  <si>
    <t>它们老友计划下款未到银行卡变相提高利率，一天违约金超过法律规定范围，阴阳合同。</t>
  </si>
  <si>
    <t>2019/10/01 00:17:04</t>
  </si>
  <si>
    <t>投诉人 吴女士        投诉对象  钱站        涉诉金额  1 000 元    问题类型    诉求类型投诉详情  高利贷阴阳合同 只借了一千元 合同上些一千多 本金已还清 该付的利息已付 下款之后才知道阴阳合同。分三期还，一期500多元。现已还了两期。已还够本金。今天还发短信让我还最后一期。现希望钱站重新计算合理利息。不希望多支付548的利息 已经超出国家36%的利率 。之前的利息也高 借1500三期 总的要还利息高达1000</t>
  </si>
  <si>
    <t>2019/10/01 00:16:30</t>
  </si>
  <si>
    <t>找了很久的原来是网盘软件里面还有个自动续费的我晕，找客服投诉反馈，首先百度云网盘是没有反馈投诉电话的。</t>
  </si>
  <si>
    <t>2019/10/01 00:16:23</t>
  </si>
  <si>
    <t>预付款显示金额，但是客服说没有支付，双通道都已经开启，候补购票抢票失败后不予退预付款中的金额，查看消费记录也显示扣款的金额。</t>
  </si>
  <si>
    <t>2019/10/01 00:15:21</t>
  </si>
  <si>
    <t>本人于9月25日在钱站申请一笔6期5000元的借款，累计需还款9000+，钱站宣传“3分钟极速到账”，结果一天后还未到账，联系客服被告知“放款时效为3-5个工作日”，到了9月30日晚上借款还未到账，因时间太长，申请取消借款，被告知放中不能取消，需要放款成功后支付3％的违约金才能取消，晚上9点30左右，钱站告知我的银行卡异常，放款失败，让我更换银行卡。</t>
  </si>
  <si>
    <t>2019/10/01 00:14:46</t>
  </si>
  <si>
    <t>我购买的Dell笔记本电脑，电脑预装McAfee杀毒软件，2019年7月份显示过期，我于2019年9月30日通过支付宝支付80元进行续订，但是软件仍然显示过期。</t>
  </si>
  <si>
    <t>2019/10/01 00:14:25</t>
  </si>
  <si>
    <t>钱被扣了，在晚上8.27的时候扣的是什么钱，帮忙看一下。</t>
  </si>
  <si>
    <t>2019/10/01 00:13:27</t>
  </si>
  <si>
    <t>恶意扣款，欺骗消费者，客服联系不上，还我血汗钱。</t>
  </si>
  <si>
    <t>2019/10/01 00:11:20</t>
  </si>
  <si>
    <t>几百块钱到现在没声音了，都这么久了都不做出退款。</t>
  </si>
  <si>
    <t>2019/10/01 00:10:59</t>
  </si>
  <si>
    <t>虚假宣传，借款4500元分期12，确要还款高达6150.6元，未经我本人允许，非法窃取我的通讯录信息，对我的亲戚朋友进行多次骚扰和恐吓，通过电话和短信频繁电话轰炸，严重干扰了我亲戚朋友的日常生活！甚至还冒充司法机关工作人员对我本人和亲戚还有朋友进行威胁和恐吓！非法获取我朋友和亲戚的个人信息，行为恶劣！。</t>
  </si>
  <si>
    <t>2019/10/01 00:10:17</t>
  </si>
  <si>
    <t>蟹老弟高额砍头息，协商还款不一致后，暴力催收电话，并以上户籍所在地轰炸短信电话威逼。</t>
  </si>
  <si>
    <t>2019/10/01 00:10:00</t>
  </si>
  <si>
    <t>诱导用户群体缴纳239会员费用，恶意欺骗手段，利用小额免密支付服务，收取239元会员费用，欺骗用户权益，会员服务没有任何实质上的意义，要求平台公司退款，不同意在平台内提现，把非法受益239元费用打回原账户，分期通这种会员费用就是违法行为，利用大众用户群体的利益需求，以会员服务为由，让用户购买239会员，非法宣传。</t>
  </si>
  <si>
    <t>2019/10/01 00:09:13</t>
  </si>
  <si>
    <t>投诉人郑先生投诉对象交警，警号021076涉诉金额0元问题类型诉求类型投诉详情由广东省甬莞高速行驶，进入福建省边界，中间不算过路费路段，并无合国标明显限速标志，在经过收费处取卡之后，被警号021076拦下车辆，在我明确要求要看限速标志的时候并无法给我指出符合国家标准的限速标志！现要求给出公正解释！当时罚我的限速是80公里每小时。</t>
  </si>
  <si>
    <t>2019/10/01 00:08:09</t>
  </si>
  <si>
    <t>本人在拍拍有几笔小额借款，近两年因父母多病各种花钱，导致无力偿还逾期了，近期想看看剩余多少欠款准备还清，一看利息高的吓人，其中有一笔借款为3000元整，分了12期还款，简直让人无法相信，我希望可以给出合理的解决方法。</t>
  </si>
  <si>
    <t>2019/10/01 00:03:53</t>
  </si>
  <si>
    <t>投诉人 黄先生        投诉对象  玖富        涉诉金额  210 元    问题类型    诉求类型投诉详情  因玖富的问题 造成强制逾期！收取逾期费用 请撤销逾期 并减去不应该收取的费用</t>
  </si>
  <si>
    <t>2019/10/01 00:01:29</t>
  </si>
  <si>
    <t>到期还款还不进去，联系不客服，联系畅捷支付也一直没给答复。</t>
  </si>
  <si>
    <t>2019/10/01 00:00:38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</si>
</sst>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等线"/>
      <family val="2"/>
      <scheme val="minor"/>
    </font>
    <font>
      <b/>
      <sz val="11"/>
      <color indexed="9"/>
      <name val="宋体"/>
      <charset val="134"/>
    </font>
    <font>
      <sz val="11"/>
      <color indexed="8"/>
      <name val="宋体"/>
      <charset val="134"/>
    </font>
    <font>
      <sz val="9"/>
      <name val="等线"/>
      <family val="3"/>
      <charset val="134"/>
      <scheme val="minor"/>
    </font>
  </fonts>
  <fills count="3">
    <fill>
      <patternFill patternType="none"/>
    </fill>
    <fill>
      <patternFill patternType="gray125"/>
    </fill>
    <fill>
      <patternFill patternType="solid">
        <fgColor indexed="3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2" borderId="1" xfId="0" applyFont="1" applyFill="1" applyBorder="1" applyAlignment="1">
      <alignment horizontal="center" vertical="center"/>
    </xf>
    <xf numFmtId="0" fontId="2" fillId="0" borderId="1" xfId="0" applyFont="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2441"/>
  <sheetViews>
    <sheetView tabSelected="1" workbookViewId="0">
      <selection activeCell="G1" sqref="G1:G1048576"/>
    </sheetView>
  </sheetViews>
  <sheetFormatPr defaultRowHeight="13.8" x14ac:dyDescent="0.25"/>
  <cols>
    <col min="1" max="1" width="21" customWidth="1"/>
    <col min="2" max="2" width="41" customWidth="1"/>
    <col min="3" max="3" width="11" customWidth="1"/>
    <col min="4" max="4" width="16" customWidth="1"/>
    <col min="5" max="5" width="41" customWidth="1"/>
    <col min="6" max="6" width="16" customWidth="1"/>
    <col min="7" max="7" width="21" customWidth="1"/>
    <col min="8" max="8" width="41" customWidth="1"/>
  </cols>
  <sheetData>
    <row r="1" spans="1:8" ht="30" customHeight="1" x14ac:dyDescent="0.25">
      <c r="A1" s="1" t="s">
        <v>0</v>
      </c>
      <c r="B1" s="1" t="s">
        <v>1</v>
      </c>
      <c r="C1" s="1" t="s">
        <v>2</v>
      </c>
      <c r="D1" s="1" t="s">
        <v>3</v>
      </c>
      <c r="E1" s="1" t="s">
        <v>4</v>
      </c>
      <c r="F1" s="1" t="s">
        <v>5</v>
      </c>
      <c r="G1" s="1" t="s">
        <v>6</v>
      </c>
      <c r="H1" s="1" t="s">
        <v>7</v>
      </c>
    </row>
    <row r="2" spans="1:8" ht="25.05" customHeight="1" x14ac:dyDescent="0.25">
      <c r="A2" s="2" t="s">
        <v>8</v>
      </c>
      <c r="B2" s="2" t="str">
        <f>HYPERLINK("http://ts.21cn.com/tousu/show/id/1330380","无良滴滴冻结订单金额")</f>
        <v>无良滴滴冻结订单金额</v>
      </c>
      <c r="C2" s="2" t="s">
        <v>9</v>
      </c>
      <c r="D2" s="2" t="s">
        <v>10</v>
      </c>
      <c r="E2" s="2" t="str">
        <f>HYPERLINK("http://ts.21cn.com/tousu/show/id/1330380","http://ts.21cn.com/tousu/show/id/1330380")</f>
        <v>http://ts.21cn.com/tousu/show/id/1330380</v>
      </c>
      <c r="F2" s="2" t="s">
        <v>11</v>
      </c>
      <c r="G2" s="2" t="s">
        <v>44162</v>
      </c>
      <c r="H2" s="2" t="s">
        <v>25243</v>
      </c>
    </row>
    <row r="3" spans="1:8" ht="25.05" customHeight="1" x14ac:dyDescent="0.25">
      <c r="A3" s="2" t="s">
        <v>8</v>
      </c>
      <c r="B3" s="2" t="str">
        <f>HYPERLINK("http://ts.21cn.com/tousu/show/id/1330381","还款还不进去，要求协商只还本金")</f>
        <v>还款还不进去，要求协商只还本金</v>
      </c>
      <c r="C3" s="2" t="s">
        <v>34</v>
      </c>
      <c r="D3" s="2" t="s">
        <v>10</v>
      </c>
      <c r="E3" s="2" t="str">
        <f>HYPERLINK("http://ts.21cn.com/tousu/show/id/1330381","http://ts.21cn.com/tousu/show/id/1330381")</f>
        <v>http://ts.21cn.com/tousu/show/id/1330381</v>
      </c>
      <c r="F3" s="2" t="s">
        <v>11</v>
      </c>
      <c r="G3" s="2" t="s">
        <v>44160</v>
      </c>
      <c r="H3" s="2" t="s">
        <v>44161</v>
      </c>
    </row>
    <row r="4" spans="1:8" ht="25.05" customHeight="1" x14ac:dyDescent="0.25">
      <c r="A4" s="2" t="s">
        <v>8</v>
      </c>
      <c r="B4" s="2" t="str">
        <f>HYPERLINK("http://ts.21cn.com/tousu/show/id/1330382","玖富万卡无法主动还款造成强制逾期收取逾期费用")</f>
        <v>玖富万卡无法主动还款造成强制逾期收取逾期费用</v>
      </c>
      <c r="C4" s="2" t="s">
        <v>9</v>
      </c>
      <c r="D4" s="2" t="s">
        <v>10</v>
      </c>
      <c r="E4" s="2" t="str">
        <f>HYPERLINK("http://ts.21cn.com/tousu/show/id/1330382","http://ts.21cn.com/tousu/show/id/1330382")</f>
        <v>http://ts.21cn.com/tousu/show/id/1330382</v>
      </c>
      <c r="F4" s="2" t="s">
        <v>11</v>
      </c>
      <c r="G4" s="2" t="s">
        <v>44158</v>
      </c>
      <c r="H4" s="2" t="s">
        <v>44159</v>
      </c>
    </row>
    <row r="5" spans="1:8" ht="25.05" customHeight="1" x14ac:dyDescent="0.25">
      <c r="A5" s="2" t="s">
        <v>8</v>
      </c>
      <c r="B5" s="2" t="str">
        <f>HYPERLINK("http://ts.21cn.com/tousu/show/id/1330383","高利息，泄露个人通讯隐私")</f>
        <v>高利息，泄露个人通讯隐私</v>
      </c>
      <c r="C5" s="2" t="s">
        <v>9</v>
      </c>
      <c r="D5" s="2" t="s">
        <v>10</v>
      </c>
      <c r="E5" s="2" t="str">
        <f>HYPERLINK("http://ts.21cn.com/tousu/show/id/1330383","http://ts.21cn.com/tousu/show/id/1330383")</f>
        <v>http://ts.21cn.com/tousu/show/id/1330383</v>
      </c>
      <c r="F5" s="2" t="s">
        <v>11</v>
      </c>
      <c r="G5" s="2" t="s">
        <v>44156</v>
      </c>
      <c r="H5" s="2" t="s">
        <v>44157</v>
      </c>
    </row>
    <row r="6" spans="1:8" ht="25.05" customHeight="1" x14ac:dyDescent="0.25">
      <c r="A6" s="2" t="s">
        <v>8</v>
      </c>
      <c r="B6" s="2" t="str">
        <f>HYPERLINK("http://ts.21cn.com/tousu/show/id/1330384","交警警察无故强扣我驾照分")</f>
        <v>交警警察无故强扣我驾照分</v>
      </c>
      <c r="C6" s="2" t="s">
        <v>9</v>
      </c>
      <c r="D6" s="2" t="s">
        <v>10</v>
      </c>
      <c r="E6" s="2" t="str">
        <f>HYPERLINK("http://ts.21cn.com/tousu/show/id/1330384","http://ts.21cn.com/tousu/show/id/1330384")</f>
        <v>http://ts.21cn.com/tousu/show/id/1330384</v>
      </c>
      <c r="F6" s="2" t="s">
        <v>11</v>
      </c>
      <c r="G6" s="2" t="s">
        <v>44154</v>
      </c>
      <c r="H6" s="2" t="s">
        <v>44155</v>
      </c>
    </row>
    <row r="7" spans="1:8" ht="25.05" customHeight="1" x14ac:dyDescent="0.25">
      <c r="A7" s="2" t="s">
        <v>8</v>
      </c>
      <c r="B7" s="2" t="str">
        <f>HYPERLINK("http://ts.21cn.com/tousu/show/id/1330385","分期通恶意收取会员费用")</f>
        <v>分期通恶意收取会员费用</v>
      </c>
      <c r="C7" s="2" t="s">
        <v>9</v>
      </c>
      <c r="D7" s="2" t="s">
        <v>10</v>
      </c>
      <c r="E7" s="2" t="str">
        <f>HYPERLINK("http://ts.21cn.com/tousu/show/id/1330385","http://ts.21cn.com/tousu/show/id/1330385")</f>
        <v>http://ts.21cn.com/tousu/show/id/1330385</v>
      </c>
      <c r="F7" s="2" t="s">
        <v>11</v>
      </c>
      <c r="G7" s="2" t="s">
        <v>44152</v>
      </c>
      <c r="H7" s="2" t="s">
        <v>44153</v>
      </c>
    </row>
    <row r="8" spans="1:8" ht="25.05" customHeight="1" x14ac:dyDescent="0.25">
      <c r="A8" s="2" t="s">
        <v>8</v>
      </c>
      <c r="B8" s="2" t="str">
        <f>HYPERLINK("http://ts.21cn.com/tousu/show/id/1330386","蟹老弟暴力催收，高额砍头息")</f>
        <v>蟹老弟暴力催收，高额砍头息</v>
      </c>
      <c r="C8" s="2" t="s">
        <v>9</v>
      </c>
      <c r="D8" s="2" t="s">
        <v>10</v>
      </c>
      <c r="E8" s="2" t="str">
        <f>HYPERLINK("http://ts.21cn.com/tousu/show/id/1330386","http://ts.21cn.com/tousu/show/id/1330386")</f>
        <v>http://ts.21cn.com/tousu/show/id/1330386</v>
      </c>
      <c r="F8" s="2" t="s">
        <v>11</v>
      </c>
      <c r="G8" s="2" t="s">
        <v>44150</v>
      </c>
      <c r="H8" s="2" t="s">
        <v>44151</v>
      </c>
    </row>
    <row r="9" spans="1:8" ht="25.05" customHeight="1" x14ac:dyDescent="0.25">
      <c r="A9" s="2" t="s">
        <v>8</v>
      </c>
      <c r="B9" s="2" t="str">
        <f>HYPERLINK("http://ts.21cn.com/tousu/show/id/1330387","上海拍拍贷暴力催收，非法窃取个人通讯录进行电话轰炸")</f>
        <v>上海拍拍贷暴力催收，非法窃取个人通讯录进行电话轰炸</v>
      </c>
      <c r="C9" s="2" t="s">
        <v>9</v>
      </c>
      <c r="D9" s="2" t="s">
        <v>10</v>
      </c>
      <c r="E9" s="2" t="str">
        <f>HYPERLINK("http://ts.21cn.com/tousu/show/id/1330387","http://ts.21cn.com/tousu/show/id/1330387")</f>
        <v>http://ts.21cn.com/tousu/show/id/1330387</v>
      </c>
      <c r="F9" s="2" t="s">
        <v>11</v>
      </c>
      <c r="G9" s="2" t="s">
        <v>44148</v>
      </c>
      <c r="H9" s="2" t="s">
        <v>44149</v>
      </c>
    </row>
    <row r="10" spans="1:8" ht="25.05" customHeight="1" x14ac:dyDescent="0.25">
      <c r="A10" s="2" t="s">
        <v>8</v>
      </c>
      <c r="B10" s="2" t="str">
        <f>HYPERLINK("http://ts.21cn.com/tousu/show/id/1330388","闪银不退款")</f>
        <v>闪银不退款</v>
      </c>
      <c r="C10" s="2" t="s">
        <v>9</v>
      </c>
      <c r="D10" s="2" t="s">
        <v>10</v>
      </c>
      <c r="E10" s="2" t="str">
        <f>HYPERLINK("http://ts.21cn.com/tousu/show/id/1330388","http://ts.21cn.com/tousu/show/id/1330388")</f>
        <v>http://ts.21cn.com/tousu/show/id/1330388</v>
      </c>
      <c r="F10" s="2" t="s">
        <v>11</v>
      </c>
      <c r="G10" s="2" t="s">
        <v>44146</v>
      </c>
      <c r="H10" s="2" t="s">
        <v>44147</v>
      </c>
    </row>
    <row r="11" spans="1:8" ht="25.05" customHeight="1" x14ac:dyDescent="0.25">
      <c r="A11" s="2" t="s">
        <v>8</v>
      </c>
      <c r="B11" s="2" t="str">
        <f>HYPERLINK("http://ts.21cn.com/tousu/show/id/1330389","哪吒钱包与上海况珩信息科技有限公司套路客户，恶意扣费")</f>
        <v>哪吒钱包与上海况珩信息科技有限公司套路客户，恶意扣费</v>
      </c>
      <c r="C11" s="2" t="s">
        <v>9</v>
      </c>
      <c r="D11" s="2" t="s">
        <v>10</v>
      </c>
      <c r="E11" s="2" t="str">
        <f>HYPERLINK("http://ts.21cn.com/tousu/show/id/1330389","http://ts.21cn.com/tousu/show/id/1330389")</f>
        <v>http://ts.21cn.com/tousu/show/id/1330389</v>
      </c>
      <c r="F11" s="2" t="s">
        <v>11</v>
      </c>
      <c r="G11" s="2" t="s">
        <v>44144</v>
      </c>
      <c r="H11" s="2" t="s">
        <v>44145</v>
      </c>
    </row>
    <row r="12" spans="1:8" ht="25.05" customHeight="1" x14ac:dyDescent="0.25">
      <c r="A12" s="2" t="s">
        <v>8</v>
      </c>
      <c r="B12" s="2" t="str">
        <f>HYPERLINK("http://ts.21cn.com/tousu/show/id/1330392","莫名其妙钱被扣了")</f>
        <v>莫名其妙钱被扣了</v>
      </c>
      <c r="C12" s="2" t="s">
        <v>34</v>
      </c>
      <c r="D12" s="2" t="s">
        <v>10</v>
      </c>
      <c r="E12" s="2" t="str">
        <f>HYPERLINK("http://ts.21cn.com/tousu/show/id/1330392","http://ts.21cn.com/tousu/show/id/1330392")</f>
        <v>http://ts.21cn.com/tousu/show/id/1330392</v>
      </c>
      <c r="F12" s="2" t="s">
        <v>11</v>
      </c>
      <c r="G12" s="2" t="s">
        <v>44142</v>
      </c>
      <c r="H12" s="2" t="s">
        <v>44143</v>
      </c>
    </row>
    <row r="13" spans="1:8" ht="25.05" customHeight="1" x14ac:dyDescent="0.25">
      <c r="A13" s="2" t="s">
        <v>8</v>
      </c>
      <c r="B13" s="2" t="str">
        <f>HYPERLINK("http://ts.21cn.com/tousu/show/id/1330393","迈克菲软件过期续费后仍不能正常使用")</f>
        <v>迈克菲软件过期续费后仍不能正常使用</v>
      </c>
      <c r="C13" s="2" t="s">
        <v>9</v>
      </c>
      <c r="D13" s="2" t="s">
        <v>10</v>
      </c>
      <c r="E13" s="2" t="str">
        <f>HYPERLINK("http://ts.21cn.com/tousu/show/id/1330393","http://ts.21cn.com/tousu/show/id/1330393")</f>
        <v>http://ts.21cn.com/tousu/show/id/1330393</v>
      </c>
      <c r="F13" s="2" t="s">
        <v>11</v>
      </c>
      <c r="G13" s="2" t="s">
        <v>44140</v>
      </c>
      <c r="H13" s="2" t="s">
        <v>44141</v>
      </c>
    </row>
    <row r="14" spans="1:8" ht="25.05" customHeight="1" x14ac:dyDescent="0.25">
      <c r="A14" s="2" t="s">
        <v>8</v>
      </c>
      <c r="B14" s="2" t="str">
        <f>HYPERLINK("http://ts.21cn.com/tousu/show/id/1330394","钱站高利贷强制贷")</f>
        <v>钱站高利贷强制贷</v>
      </c>
      <c r="C14" s="2" t="s">
        <v>9</v>
      </c>
      <c r="D14" s="2" t="s">
        <v>10</v>
      </c>
      <c r="E14" s="2" t="str">
        <f>HYPERLINK("http://ts.21cn.com/tousu/show/id/1330394","http://ts.21cn.com/tousu/show/id/1330394")</f>
        <v>http://ts.21cn.com/tousu/show/id/1330394</v>
      </c>
      <c r="F14" s="2" t="s">
        <v>11</v>
      </c>
      <c r="G14" s="2" t="s">
        <v>44138</v>
      </c>
      <c r="H14" s="2" t="s">
        <v>44139</v>
      </c>
    </row>
    <row r="15" spans="1:8" ht="25.05" customHeight="1" x14ac:dyDescent="0.25">
      <c r="A15" s="2" t="s">
        <v>8</v>
      </c>
      <c r="B15" s="2" t="str">
        <f>HYPERLINK("http://ts.21cn.com/tousu/show/id/1330395","智行预付款抢票失败后不予退款")</f>
        <v>智行预付款抢票失败后不予退款</v>
      </c>
      <c r="C15" s="2" t="s">
        <v>9</v>
      </c>
      <c r="D15" s="2" t="s">
        <v>10</v>
      </c>
      <c r="E15" s="2" t="str">
        <f>HYPERLINK("http://ts.21cn.com/tousu/show/id/1330395","http://ts.21cn.com/tousu/show/id/1330395")</f>
        <v>http://ts.21cn.com/tousu/show/id/1330395</v>
      </c>
      <c r="F15" s="2" t="s">
        <v>11</v>
      </c>
      <c r="G15" s="2" t="s">
        <v>44136</v>
      </c>
      <c r="H15" s="2" t="s">
        <v>44137</v>
      </c>
    </row>
    <row r="16" spans="1:8" ht="25.05" customHeight="1" x14ac:dyDescent="0.25">
      <c r="A16" s="2" t="s">
        <v>8</v>
      </c>
      <c r="B16" s="2" t="str">
        <f>HYPERLINK("http://ts.21cn.com/tousu/show/id/1330396","百度网盘自动续费不予退款")</f>
        <v>百度网盘自动续费不予退款</v>
      </c>
      <c r="C16" s="2" t="s">
        <v>9</v>
      </c>
      <c r="D16" s="2" t="s">
        <v>10</v>
      </c>
      <c r="E16" s="2" t="str">
        <f>HYPERLINK("http://ts.21cn.com/tousu/show/id/1330396","http://ts.21cn.com/tousu/show/id/1330396")</f>
        <v>http://ts.21cn.com/tousu/show/id/1330396</v>
      </c>
      <c r="F16" s="2" t="s">
        <v>11</v>
      </c>
      <c r="G16" s="2" t="s">
        <v>44134</v>
      </c>
      <c r="H16" s="2" t="s">
        <v>44135</v>
      </c>
    </row>
    <row r="17" spans="1:8" ht="25.05" customHeight="1" x14ac:dyDescent="0.25">
      <c r="A17" s="2" t="s">
        <v>8</v>
      </c>
      <c r="B17" s="2" t="str">
        <f>HYPERLINK("http://ts.21cn.com/tousu/show/id/1330399","钱站高利贷阴阳合同")</f>
        <v>钱站高利贷阴阳合同</v>
      </c>
      <c r="C17" s="2" t="s">
        <v>9</v>
      </c>
      <c r="D17" s="2" t="s">
        <v>10</v>
      </c>
      <c r="E17" s="2" t="str">
        <f>HYPERLINK("http://ts.21cn.com/tousu/show/id/1330399","http://ts.21cn.com/tousu/show/id/1330399")</f>
        <v>http://ts.21cn.com/tousu/show/id/1330399</v>
      </c>
      <c r="F17" s="2" t="s">
        <v>11</v>
      </c>
      <c r="G17" s="2" t="s">
        <v>44132</v>
      </c>
      <c r="H17" s="2" t="s">
        <v>44133</v>
      </c>
    </row>
    <row r="18" spans="1:8" ht="25.05" customHeight="1" x14ac:dyDescent="0.25">
      <c r="A18" s="2" t="s">
        <v>8</v>
      </c>
      <c r="B18" s="2" t="str">
        <f>HYPERLINK("http://ts.21cn.com/tousu/show/id/1330400","逾期违约金")</f>
        <v>逾期违约金</v>
      </c>
      <c r="C18" s="2" t="s">
        <v>9</v>
      </c>
      <c r="D18" s="2" t="s">
        <v>10</v>
      </c>
      <c r="E18" s="2" t="str">
        <f>HYPERLINK("http://ts.21cn.com/tousu/show/id/1330400","http://ts.21cn.com/tousu/show/id/1330400")</f>
        <v>http://ts.21cn.com/tousu/show/id/1330400</v>
      </c>
      <c r="F18" s="2" t="s">
        <v>11</v>
      </c>
      <c r="G18" s="2" t="s">
        <v>44130</v>
      </c>
      <c r="H18" s="2" t="s">
        <v>44131</v>
      </c>
    </row>
    <row r="19" spans="1:8" ht="25.05" customHeight="1" x14ac:dyDescent="0.25">
      <c r="A19" s="2" t="s">
        <v>8</v>
      </c>
      <c r="B19" s="2" t="str">
        <f>HYPERLINK("http://ts.21cn.com/tousu/show/id/1330401","诱惑借款")</f>
        <v>诱惑借款</v>
      </c>
      <c r="C19" s="2" t="s">
        <v>34</v>
      </c>
      <c r="D19" s="2" t="s">
        <v>10</v>
      </c>
      <c r="E19" s="2" t="str">
        <f>HYPERLINK("http://ts.21cn.com/tousu/show/id/1330401","http://ts.21cn.com/tousu/show/id/1330401")</f>
        <v>http://ts.21cn.com/tousu/show/id/1330401</v>
      </c>
      <c r="F19" s="2" t="s">
        <v>11</v>
      </c>
      <c r="G19" s="2" t="s">
        <v>44128</v>
      </c>
      <c r="H19" s="2" t="s">
        <v>44129</v>
      </c>
    </row>
    <row r="20" spans="1:8" ht="25.05" customHeight="1" x14ac:dyDescent="0.25">
      <c r="A20" s="2" t="s">
        <v>8</v>
      </c>
      <c r="B20" s="2" t="str">
        <f>HYPERLINK("http://ts.21cn.com/tousu/show/id/1330402","上海拍拍贷不讲信用")</f>
        <v>上海拍拍贷不讲信用</v>
      </c>
      <c r="C20" s="2" t="s">
        <v>9</v>
      </c>
      <c r="D20" s="2" t="s">
        <v>10</v>
      </c>
      <c r="E20" s="2" t="str">
        <f>HYPERLINK("http://ts.21cn.com/tousu/show/id/1330402","http://ts.21cn.com/tousu/show/id/1330402")</f>
        <v>http://ts.21cn.com/tousu/show/id/1330402</v>
      </c>
      <c r="F20" s="2" t="s">
        <v>11</v>
      </c>
      <c r="G20" s="2" t="s">
        <v>44126</v>
      </c>
      <c r="H20" s="2" t="s">
        <v>44127</v>
      </c>
    </row>
    <row r="21" spans="1:8" ht="25.05" customHeight="1" x14ac:dyDescent="0.25">
      <c r="A21" s="2" t="s">
        <v>8</v>
      </c>
      <c r="B21" s="2" t="str">
        <f>HYPERLINK("http://ts.21cn.com/tousu/show/id/1330405","钱站高利贷阴阳合同")</f>
        <v>钱站高利贷阴阳合同</v>
      </c>
      <c r="C21" s="2" t="s">
        <v>9</v>
      </c>
      <c r="D21" s="2" t="s">
        <v>10</v>
      </c>
      <c r="E21" s="2" t="str">
        <f>HYPERLINK("http://ts.21cn.com/tousu/show/id/1330405","http://ts.21cn.com/tousu/show/id/1330405")</f>
        <v>http://ts.21cn.com/tousu/show/id/1330405</v>
      </c>
      <c r="F21" s="2" t="s">
        <v>11</v>
      </c>
      <c r="G21" s="2" t="s">
        <v>44124</v>
      </c>
      <c r="H21" s="2" t="s">
        <v>44125</v>
      </c>
    </row>
    <row r="22" spans="1:8" ht="25.05" customHeight="1" x14ac:dyDescent="0.25">
      <c r="A22" s="2" t="s">
        <v>8</v>
      </c>
      <c r="B22" s="2" t="str">
        <f>HYPERLINK("http://ts.21cn.com/tousu/show/id/1330397","对于商家欺诈不处理")</f>
        <v>对于商家欺诈不处理</v>
      </c>
      <c r="C22" s="2" t="s">
        <v>9</v>
      </c>
      <c r="D22" s="2" t="s">
        <v>10</v>
      </c>
      <c r="E22" s="2" t="str">
        <f>HYPERLINK("http://ts.21cn.com/tousu/show/id/1330397","http://ts.21cn.com/tousu/show/id/1330397")</f>
        <v>http://ts.21cn.com/tousu/show/id/1330397</v>
      </c>
      <c r="F22" s="2" t="s">
        <v>11</v>
      </c>
      <c r="G22" s="2" t="s">
        <v>44122</v>
      </c>
      <c r="H22" s="2" t="s">
        <v>44123</v>
      </c>
    </row>
    <row r="23" spans="1:8" ht="25.05" customHeight="1" x14ac:dyDescent="0.25">
      <c r="A23" s="2" t="s">
        <v>8</v>
      </c>
      <c r="B23" s="2" t="str">
        <f>HYPERLINK("http://ts.21cn.com/tousu/show/id/1330406","租号玩上号器有安全隐患")</f>
        <v>租号玩上号器有安全隐患</v>
      </c>
      <c r="C23" s="2" t="s">
        <v>9</v>
      </c>
      <c r="D23" s="2" t="s">
        <v>10</v>
      </c>
      <c r="E23" s="2" t="str">
        <f>HYPERLINK("http://ts.21cn.com/tousu/show/id/1330406","http://ts.21cn.com/tousu/show/id/1330406")</f>
        <v>http://ts.21cn.com/tousu/show/id/1330406</v>
      </c>
      <c r="F23" s="2" t="s">
        <v>11</v>
      </c>
      <c r="G23" s="2" t="s">
        <v>44120</v>
      </c>
      <c r="H23" s="2" t="s">
        <v>44121</v>
      </c>
    </row>
    <row r="24" spans="1:8" ht="25.05" customHeight="1" x14ac:dyDescent="0.25">
      <c r="A24" s="2" t="s">
        <v>8</v>
      </c>
      <c r="B24" s="2" t="str">
        <f>HYPERLINK("http://ts.21cn.com/tousu/show/id/1330407","高铁管家故意设置闪电抢票陷阱")</f>
        <v>高铁管家故意设置闪电抢票陷阱</v>
      </c>
      <c r="C24" s="2" t="s">
        <v>34</v>
      </c>
      <c r="D24" s="2" t="s">
        <v>10</v>
      </c>
      <c r="E24" s="2" t="str">
        <f>HYPERLINK("http://ts.21cn.com/tousu/show/id/1330407","http://ts.21cn.com/tousu/show/id/1330407")</f>
        <v>http://ts.21cn.com/tousu/show/id/1330407</v>
      </c>
      <c r="F24" s="2" t="s">
        <v>11</v>
      </c>
      <c r="G24" s="2" t="s">
        <v>44118</v>
      </c>
      <c r="H24" s="2" t="s">
        <v>44119</v>
      </c>
    </row>
    <row r="25" spans="1:8" ht="25.05" customHeight="1" x14ac:dyDescent="0.25">
      <c r="A25" s="2" t="s">
        <v>8</v>
      </c>
      <c r="B25" s="2" t="str">
        <f>HYPERLINK("http://ts.21cn.com/tousu/show/id/1330408","聚富分期乱扣费，提示叫我绑卡，没有明确提示显示要扣费")</f>
        <v>聚富分期乱扣费，提示叫我绑卡，没有明确提示显示要扣费</v>
      </c>
      <c r="C25" s="2" t="s">
        <v>9</v>
      </c>
      <c r="D25" s="2" t="s">
        <v>10</v>
      </c>
      <c r="E25" s="2" t="str">
        <f>HYPERLINK("http://ts.21cn.com/tousu/show/id/1330408","http://ts.21cn.com/tousu/show/id/1330408")</f>
        <v>http://ts.21cn.com/tousu/show/id/1330408</v>
      </c>
      <c r="F25" s="2" t="s">
        <v>11</v>
      </c>
      <c r="G25" s="2" t="s">
        <v>44116</v>
      </c>
      <c r="H25" s="2" t="s">
        <v>44117</v>
      </c>
    </row>
    <row r="26" spans="1:8" ht="25.05" customHeight="1" x14ac:dyDescent="0.25">
      <c r="A26" s="2" t="s">
        <v>8</v>
      </c>
      <c r="B26" s="2" t="str">
        <f>HYPERLINK("http://ts.21cn.com/tousu/show/id/1330409","交易猫仲裁没有结果")</f>
        <v>交易猫仲裁没有结果</v>
      </c>
      <c r="C26" s="2" t="s">
        <v>34</v>
      </c>
      <c r="D26" s="2" t="s">
        <v>10</v>
      </c>
      <c r="E26" s="2" t="str">
        <f>HYPERLINK("http://ts.21cn.com/tousu/show/id/1330409","http://ts.21cn.com/tousu/show/id/1330409")</f>
        <v>http://ts.21cn.com/tousu/show/id/1330409</v>
      </c>
      <c r="F26" s="2" t="s">
        <v>11</v>
      </c>
      <c r="G26" s="2" t="s">
        <v>44114</v>
      </c>
      <c r="H26" s="2" t="s">
        <v>44115</v>
      </c>
    </row>
    <row r="27" spans="1:8" ht="25.05" customHeight="1" x14ac:dyDescent="0.25">
      <c r="A27" s="2" t="s">
        <v>8</v>
      </c>
      <c r="B27" s="2" t="str">
        <f>HYPERLINK("http://ts.21cn.com/tousu/show/id/1330410","现金巴士砍头息，高利贷")</f>
        <v>现金巴士砍头息，高利贷</v>
      </c>
      <c r="C27" s="2" t="s">
        <v>9</v>
      </c>
      <c r="D27" s="2" t="s">
        <v>10</v>
      </c>
      <c r="E27" s="2" t="str">
        <f>HYPERLINK("http://ts.21cn.com/tousu/show/id/1330410","http://ts.21cn.com/tousu/show/id/1330410")</f>
        <v>http://ts.21cn.com/tousu/show/id/1330410</v>
      </c>
      <c r="F27" s="2" t="s">
        <v>11</v>
      </c>
      <c r="G27" s="2" t="s">
        <v>44112</v>
      </c>
      <c r="H27" s="2" t="s">
        <v>44113</v>
      </c>
    </row>
    <row r="28" spans="1:8" ht="25.05" customHeight="1" x14ac:dyDescent="0.25">
      <c r="A28" s="2" t="s">
        <v>8</v>
      </c>
      <c r="B28" s="2" t="str">
        <f>HYPERLINK("http://ts.21cn.com/tousu/show/id/1330411","给我推荐高利贷")</f>
        <v>给我推荐高利贷</v>
      </c>
      <c r="C28" s="2" t="s">
        <v>9</v>
      </c>
      <c r="D28" s="2" t="s">
        <v>10</v>
      </c>
      <c r="E28" s="2" t="str">
        <f>HYPERLINK("http://ts.21cn.com/tousu/show/id/1330411","http://ts.21cn.com/tousu/show/id/1330411")</f>
        <v>http://ts.21cn.com/tousu/show/id/1330411</v>
      </c>
      <c r="F28" s="2" t="s">
        <v>11</v>
      </c>
      <c r="G28" s="2" t="s">
        <v>44110</v>
      </c>
      <c r="H28" s="2" t="s">
        <v>44111</v>
      </c>
    </row>
    <row r="29" spans="1:8" ht="25.05" customHeight="1" x14ac:dyDescent="0.25">
      <c r="A29" s="2" t="s">
        <v>8</v>
      </c>
      <c r="B29" s="2" t="str">
        <f>HYPERLINK("http://ts.21cn.com/tousu/show/id/1330390","短信骚扰，暴力催收，恐吓，高利贷")</f>
        <v>短信骚扰，暴力催收，恐吓，高利贷</v>
      </c>
      <c r="C29" s="2" t="s">
        <v>9</v>
      </c>
      <c r="D29" s="2" t="s">
        <v>10</v>
      </c>
      <c r="E29" s="2" t="str">
        <f>HYPERLINK("http://ts.21cn.com/tousu/show/id/1330390","http://ts.21cn.com/tousu/show/id/1330390")</f>
        <v>http://ts.21cn.com/tousu/show/id/1330390</v>
      </c>
      <c r="F29" s="2" t="s">
        <v>11</v>
      </c>
      <c r="G29" s="2" t="s">
        <v>44108</v>
      </c>
      <c r="H29" s="2" t="s">
        <v>44109</v>
      </c>
    </row>
    <row r="30" spans="1:8" ht="25.05" customHeight="1" x14ac:dyDescent="0.25">
      <c r="A30" s="2" t="s">
        <v>8</v>
      </c>
      <c r="B30" s="2" t="str">
        <f>HYPERLINK("http://ts.21cn.com/tousu/show/id/1330404","飞猪商家欺骗消费者")</f>
        <v>飞猪商家欺骗消费者</v>
      </c>
      <c r="C30" s="2" t="s">
        <v>9</v>
      </c>
      <c r="D30" s="2" t="s">
        <v>10</v>
      </c>
      <c r="E30" s="2" t="str">
        <f>HYPERLINK("http://ts.21cn.com/tousu/show/id/1330404","http://ts.21cn.com/tousu/show/id/1330404")</f>
        <v>http://ts.21cn.com/tousu/show/id/1330404</v>
      </c>
      <c r="F30" s="2" t="s">
        <v>11</v>
      </c>
      <c r="G30" s="2" t="s">
        <v>44106</v>
      </c>
      <c r="H30" s="2" t="s">
        <v>44107</v>
      </c>
    </row>
    <row r="31" spans="1:8" ht="25.05" customHeight="1" x14ac:dyDescent="0.25">
      <c r="A31" s="2" t="s">
        <v>8</v>
      </c>
      <c r="B31" s="2" t="str">
        <f>HYPERLINK("http://ts.21cn.com/tousu/show/id/1330412","摇钱花因为银行卡限制还款失败封额度")</f>
        <v>摇钱花因为银行卡限制还款失败封额度</v>
      </c>
      <c r="C31" s="2" t="s">
        <v>9</v>
      </c>
      <c r="D31" s="2" t="s">
        <v>10</v>
      </c>
      <c r="E31" s="2" t="str">
        <f>HYPERLINK("http://ts.21cn.com/tousu/show/id/1330412","http://ts.21cn.com/tousu/show/id/1330412")</f>
        <v>http://ts.21cn.com/tousu/show/id/1330412</v>
      </c>
      <c r="F31" s="2" t="s">
        <v>11</v>
      </c>
      <c r="G31" s="2" t="s">
        <v>44104</v>
      </c>
      <c r="H31" s="2" t="s">
        <v>44105</v>
      </c>
    </row>
    <row r="32" spans="1:8" ht="25.05" customHeight="1" x14ac:dyDescent="0.25">
      <c r="A32" s="2" t="s">
        <v>8</v>
      </c>
      <c r="B32" s="2" t="str">
        <f>HYPERLINK("http://ts.21cn.com/tousu/show/id/1330413","斗鱼引导改名")</f>
        <v>斗鱼引导改名</v>
      </c>
      <c r="C32" s="2" t="s">
        <v>34</v>
      </c>
      <c r="D32" s="2" t="s">
        <v>10</v>
      </c>
      <c r="E32" s="2" t="str">
        <f>HYPERLINK("http://ts.21cn.com/tousu/show/id/1330413","http://ts.21cn.com/tousu/show/id/1330413")</f>
        <v>http://ts.21cn.com/tousu/show/id/1330413</v>
      </c>
      <c r="F32" s="2" t="s">
        <v>11</v>
      </c>
      <c r="G32" s="2" t="s">
        <v>44102</v>
      </c>
      <c r="H32" s="2" t="s">
        <v>44103</v>
      </c>
    </row>
    <row r="33" spans="1:8" ht="25.05" customHeight="1" x14ac:dyDescent="0.25">
      <c r="A33" s="2" t="s">
        <v>8</v>
      </c>
      <c r="B33" s="2" t="str">
        <f>HYPERLINK("http://ts.21cn.com/tousu/show/id/1330414","暴力催收，拨打非联系人电话进行骚扰，破口大骂。")</f>
        <v>暴力催收，拨打非联系人电话进行骚扰，破口大骂。</v>
      </c>
      <c r="C33" s="2" t="s">
        <v>9</v>
      </c>
      <c r="D33" s="2" t="s">
        <v>10</v>
      </c>
      <c r="E33" s="2" t="str">
        <f>HYPERLINK("http://ts.21cn.com/tousu/show/id/1330414","http://ts.21cn.com/tousu/show/id/1330414")</f>
        <v>http://ts.21cn.com/tousu/show/id/1330414</v>
      </c>
      <c r="F33" s="2" t="s">
        <v>11</v>
      </c>
      <c r="G33" s="2" t="s">
        <v>44100</v>
      </c>
      <c r="H33" s="2" t="s">
        <v>44101</v>
      </c>
    </row>
    <row r="34" spans="1:8" ht="25.05" customHeight="1" x14ac:dyDescent="0.25">
      <c r="A34" s="2" t="s">
        <v>8</v>
      </c>
      <c r="B34" s="2" t="str">
        <f>HYPERLINK("http://ts.21cn.com/tousu/show/id/1330415","及贷平台第三方智享贷放款未经许可乱扣所谓的学堂会员费欺诈消费者")</f>
        <v>及贷平台第三方智享贷放款未经许可乱扣所谓的学堂会员费欺诈消费者</v>
      </c>
      <c r="C34" s="2" t="s">
        <v>9</v>
      </c>
      <c r="D34" s="2" t="s">
        <v>10</v>
      </c>
      <c r="E34" s="2" t="str">
        <f>HYPERLINK("http://ts.21cn.com/tousu/show/id/1330415","http://ts.21cn.com/tousu/show/id/1330415")</f>
        <v>http://ts.21cn.com/tousu/show/id/1330415</v>
      </c>
      <c r="F34" s="2" t="s">
        <v>11</v>
      </c>
      <c r="G34" s="2" t="s">
        <v>44099</v>
      </c>
      <c r="H34" s="2" t="s">
        <v>36313</v>
      </c>
    </row>
    <row r="35" spans="1:8" ht="25.05" customHeight="1" x14ac:dyDescent="0.25">
      <c r="A35" s="2" t="s">
        <v>8</v>
      </c>
      <c r="B35" s="2" t="str">
        <f>HYPERLINK("http://ts.21cn.com/tousu/show/id/1330416","交通银行信用卡免费")</f>
        <v>交通银行信用卡免费</v>
      </c>
      <c r="C35" s="2" t="s">
        <v>34</v>
      </c>
      <c r="D35" s="2" t="s">
        <v>10</v>
      </c>
      <c r="E35" s="2" t="str">
        <f>HYPERLINK("http://ts.21cn.com/tousu/show/id/1330416","http://ts.21cn.com/tousu/show/id/1330416")</f>
        <v>http://ts.21cn.com/tousu/show/id/1330416</v>
      </c>
      <c r="F35" s="2" t="s">
        <v>11</v>
      </c>
      <c r="G35" s="2" t="s">
        <v>44097</v>
      </c>
      <c r="H35" s="2" t="s">
        <v>44098</v>
      </c>
    </row>
    <row r="36" spans="1:8" ht="25.05" customHeight="1" x14ac:dyDescent="0.25">
      <c r="A36" s="2" t="s">
        <v>8</v>
      </c>
      <c r="B36" s="2" t="str">
        <f>HYPERLINK("http://ts.21cn.com/tousu/show/id/1330417","微信收款商业版无故关闭提现权限")</f>
        <v>微信收款商业版无故关闭提现权限</v>
      </c>
      <c r="C36" s="2" t="s">
        <v>9</v>
      </c>
      <c r="D36" s="2" t="s">
        <v>10</v>
      </c>
      <c r="E36" s="2" t="str">
        <f>HYPERLINK("http://ts.21cn.com/tousu/show/id/1330417","http://ts.21cn.com/tousu/show/id/1330417")</f>
        <v>http://ts.21cn.com/tousu/show/id/1330417</v>
      </c>
      <c r="F36" s="2" t="s">
        <v>11</v>
      </c>
      <c r="G36" s="2" t="s">
        <v>44095</v>
      </c>
      <c r="H36" s="2" t="s">
        <v>44096</v>
      </c>
    </row>
    <row r="37" spans="1:8" ht="25.05" customHeight="1" x14ac:dyDescent="0.25">
      <c r="A37" s="2" t="s">
        <v>8</v>
      </c>
      <c r="B37" s="2" t="str">
        <f>HYPERLINK("http://ts.21cn.com/tousu/show/id/1330418","肥猫贷高利贷不知情情况下套路我")</f>
        <v>肥猫贷高利贷不知情情况下套路我</v>
      </c>
      <c r="C37" s="2" t="s">
        <v>9</v>
      </c>
      <c r="D37" s="2" t="s">
        <v>10</v>
      </c>
      <c r="E37" s="2" t="str">
        <f>HYPERLINK("http://ts.21cn.com/tousu/show/id/1330418","http://ts.21cn.com/tousu/show/id/1330418")</f>
        <v>http://ts.21cn.com/tousu/show/id/1330418</v>
      </c>
      <c r="F37" s="2" t="s">
        <v>11</v>
      </c>
      <c r="G37" s="2" t="s">
        <v>44093</v>
      </c>
      <c r="H37" s="2" t="s">
        <v>44094</v>
      </c>
    </row>
    <row r="38" spans="1:8" ht="25.05" customHeight="1" x14ac:dyDescent="0.25">
      <c r="A38" s="2" t="s">
        <v>8</v>
      </c>
      <c r="B38" s="2" t="str">
        <f>HYPERLINK("http://ts.21cn.com/tousu/show/id/1330419","寺库虚假海外直邮因员工操作失误败露")</f>
        <v>寺库虚假海外直邮因员工操作失误败露</v>
      </c>
      <c r="C38" s="2" t="s">
        <v>9</v>
      </c>
      <c r="D38" s="2" t="s">
        <v>10</v>
      </c>
      <c r="E38" s="2" t="str">
        <f>HYPERLINK("http://ts.21cn.com/tousu/show/id/1330419","http://ts.21cn.com/tousu/show/id/1330419")</f>
        <v>http://ts.21cn.com/tousu/show/id/1330419</v>
      </c>
      <c r="F38" s="2" t="s">
        <v>11</v>
      </c>
      <c r="G38" s="2" t="s">
        <v>44091</v>
      </c>
      <c r="H38" s="2" t="s">
        <v>44092</v>
      </c>
    </row>
    <row r="39" spans="1:8" ht="25.05" customHeight="1" x14ac:dyDescent="0.25">
      <c r="A39" s="2" t="s">
        <v>8</v>
      </c>
      <c r="B39" s="2" t="str">
        <f>HYPERLINK("http://ts.21cn.com/tousu/show/id/1330420","镇江万科虚假活动，内部腐败")</f>
        <v>镇江万科虚假活动，内部腐败</v>
      </c>
      <c r="C39" s="2" t="s">
        <v>9</v>
      </c>
      <c r="D39" s="2" t="s">
        <v>10</v>
      </c>
      <c r="E39" s="2" t="str">
        <f>HYPERLINK("http://ts.21cn.com/tousu/show/id/1330420","http://ts.21cn.com/tousu/show/id/1330420")</f>
        <v>http://ts.21cn.com/tousu/show/id/1330420</v>
      </c>
      <c r="F39" s="2" t="s">
        <v>11</v>
      </c>
      <c r="G39" s="2" t="s">
        <v>44089</v>
      </c>
      <c r="H39" s="2" t="s">
        <v>44090</v>
      </c>
    </row>
    <row r="40" spans="1:8" ht="25.05" customHeight="1" x14ac:dyDescent="0.25">
      <c r="A40" s="2" t="s">
        <v>8</v>
      </c>
      <c r="B40" s="2" t="str">
        <f>HYPERLINK("http://ts.21cn.com/tousu/show/id/1330421","为什么我征信上有保证人代偿信息")</f>
        <v>为什么我征信上有保证人代偿信息</v>
      </c>
      <c r="C40" s="2" t="s">
        <v>34</v>
      </c>
      <c r="D40" s="2" t="s">
        <v>10</v>
      </c>
      <c r="E40" s="2" t="str">
        <f>HYPERLINK("http://ts.21cn.com/tousu/show/id/1330421","http://ts.21cn.com/tousu/show/id/1330421")</f>
        <v>http://ts.21cn.com/tousu/show/id/1330421</v>
      </c>
      <c r="F40" s="2" t="s">
        <v>11</v>
      </c>
      <c r="G40" s="2" t="s">
        <v>44087</v>
      </c>
      <c r="H40" s="2" t="s">
        <v>44088</v>
      </c>
    </row>
    <row r="41" spans="1:8" ht="25.05" customHeight="1" x14ac:dyDescent="0.25">
      <c r="A41" s="2" t="s">
        <v>8</v>
      </c>
      <c r="B41" s="2" t="str">
        <f>HYPERLINK("http://ts.21cn.com/tousu/show/id/1330422","重复收费拒不退还")</f>
        <v>重复收费拒不退还</v>
      </c>
      <c r="C41" s="2" t="s">
        <v>9</v>
      </c>
      <c r="D41" s="2" t="s">
        <v>10</v>
      </c>
      <c r="E41" s="2" t="str">
        <f>HYPERLINK("http://ts.21cn.com/tousu/show/id/1330422","http://ts.21cn.com/tousu/show/id/1330422")</f>
        <v>http://ts.21cn.com/tousu/show/id/1330422</v>
      </c>
      <c r="F41" s="2" t="s">
        <v>11</v>
      </c>
      <c r="G41" s="2" t="s">
        <v>44085</v>
      </c>
      <c r="H41" s="2" t="s">
        <v>44086</v>
      </c>
    </row>
    <row r="42" spans="1:8" ht="25.05" customHeight="1" x14ac:dyDescent="0.25">
      <c r="A42" s="2" t="s">
        <v>8</v>
      </c>
      <c r="B42" s="2" t="str">
        <f>HYPERLINK("http://ts.21cn.com/tousu/show/id/1328516","闪付为广东信汇提供非法境外博彩平台提供现现金充值通道，请求广东信汇为我退款挽回经济损失")</f>
        <v>闪付为广东信汇提供非法境外博彩平台提供现现金充值通道，请求广东信汇为我退款挽回经济损失</v>
      </c>
      <c r="C42" s="2" t="s">
        <v>9</v>
      </c>
      <c r="D42" s="2" t="s">
        <v>10</v>
      </c>
      <c r="E42" s="2" t="str">
        <f>HYPERLINK("http://ts.21cn.com/tousu/show/id/1328516","http://ts.21cn.com/tousu/show/id/1328516")</f>
        <v>http://ts.21cn.com/tousu/show/id/1328516</v>
      </c>
      <c r="F42" s="2" t="s">
        <v>11</v>
      </c>
      <c r="G42" s="2" t="s">
        <v>44083</v>
      </c>
      <c r="H42" s="2" t="s">
        <v>44084</v>
      </c>
    </row>
    <row r="43" spans="1:8" ht="25.05" customHeight="1" x14ac:dyDescent="0.25">
      <c r="A43" s="2" t="s">
        <v>8</v>
      </c>
      <c r="B43" s="2" t="str">
        <f>HYPERLINK("http://ts.21cn.com/tousu/show/id/1330424","上海造艺网络技术有限公司")</f>
        <v>上海造艺网络技术有限公司</v>
      </c>
      <c r="C43" s="2" t="s">
        <v>9</v>
      </c>
      <c r="D43" s="2" t="s">
        <v>10</v>
      </c>
      <c r="E43" s="2" t="str">
        <f>HYPERLINK("http://ts.21cn.com/tousu/show/id/1330424","http://ts.21cn.com/tousu/show/id/1330424")</f>
        <v>http://ts.21cn.com/tousu/show/id/1330424</v>
      </c>
      <c r="F43" s="2" t="s">
        <v>11</v>
      </c>
      <c r="G43" s="2" t="s">
        <v>44081</v>
      </c>
      <c r="H43" s="2" t="s">
        <v>44082</v>
      </c>
    </row>
    <row r="44" spans="1:8" ht="25.05" customHeight="1" x14ac:dyDescent="0.25">
      <c r="A44" s="2" t="s">
        <v>8</v>
      </c>
      <c r="B44" s="2" t="str">
        <f>HYPERLINK("http://ts.21cn.com/tousu/show/id/1330425","玖富万卡不给我解决我不活了")</f>
        <v>玖富万卡不给我解决我不活了</v>
      </c>
      <c r="C44" s="2" t="s">
        <v>9</v>
      </c>
      <c r="D44" s="2" t="s">
        <v>10</v>
      </c>
      <c r="E44" s="2" t="str">
        <f>HYPERLINK("http://ts.21cn.com/tousu/show/id/1330425","http://ts.21cn.com/tousu/show/id/1330425")</f>
        <v>http://ts.21cn.com/tousu/show/id/1330425</v>
      </c>
      <c r="F44" s="2" t="s">
        <v>11</v>
      </c>
      <c r="G44" s="2" t="s">
        <v>44079</v>
      </c>
      <c r="H44" s="2" t="s">
        <v>44080</v>
      </c>
    </row>
    <row r="45" spans="1:8" ht="25.05" customHeight="1" x14ac:dyDescent="0.25">
      <c r="A45" s="2" t="s">
        <v>8</v>
      </c>
      <c r="B45" s="2" t="str">
        <f>HYPERLINK("http://ts.21cn.com/tousu/show/id/1330426","贷前强制扣款购买增信卡")</f>
        <v>贷前强制扣款购买增信卡</v>
      </c>
      <c r="C45" s="2" t="s">
        <v>9</v>
      </c>
      <c r="D45" s="2" t="s">
        <v>10</v>
      </c>
      <c r="E45" s="2" t="str">
        <f>HYPERLINK("http://ts.21cn.com/tousu/show/id/1330426","http://ts.21cn.com/tousu/show/id/1330426")</f>
        <v>http://ts.21cn.com/tousu/show/id/1330426</v>
      </c>
      <c r="F45" s="2" t="s">
        <v>11</v>
      </c>
      <c r="G45" s="2" t="s">
        <v>44077</v>
      </c>
      <c r="H45" s="2" t="s">
        <v>44078</v>
      </c>
    </row>
    <row r="46" spans="1:8" ht="25.05" customHeight="1" x14ac:dyDescent="0.25">
      <c r="A46" s="2" t="s">
        <v>8</v>
      </c>
      <c r="B46" s="2" t="str">
        <f>HYPERLINK("http://ts.21cn.com/tousu/show/id/1330427","呗呗分期高利贷套路贷款")</f>
        <v>呗呗分期高利贷套路贷款</v>
      </c>
      <c r="C46" s="2" t="s">
        <v>9</v>
      </c>
      <c r="D46" s="2" t="s">
        <v>10</v>
      </c>
      <c r="E46" s="2" t="str">
        <f>HYPERLINK("http://ts.21cn.com/tousu/show/id/1330427","http://ts.21cn.com/tousu/show/id/1330427")</f>
        <v>http://ts.21cn.com/tousu/show/id/1330427</v>
      </c>
      <c r="F46" s="2" t="s">
        <v>11</v>
      </c>
      <c r="G46" s="2" t="s">
        <v>44075</v>
      </c>
      <c r="H46" s="2" t="s">
        <v>44076</v>
      </c>
    </row>
    <row r="47" spans="1:8" ht="25.05" customHeight="1" x14ac:dyDescent="0.25">
      <c r="A47" s="2" t="s">
        <v>8</v>
      </c>
      <c r="B47" s="2" t="str">
        <f>HYPERLINK("http://ts.21cn.com/tousu/show/id/1329767","投诉飞猪售票平台")</f>
        <v>投诉飞猪售票平台</v>
      </c>
      <c r="C47" s="2" t="s">
        <v>9</v>
      </c>
      <c r="D47" s="2" t="s">
        <v>10</v>
      </c>
      <c r="E47" s="2" t="str">
        <f>HYPERLINK("http://ts.21cn.com/tousu/show/id/1329767","http://ts.21cn.com/tousu/show/id/1329767")</f>
        <v>http://ts.21cn.com/tousu/show/id/1329767</v>
      </c>
      <c r="F47" s="2" t="s">
        <v>11</v>
      </c>
      <c r="G47" s="2" t="s">
        <v>44073</v>
      </c>
      <c r="H47" s="2" t="s">
        <v>44074</v>
      </c>
    </row>
    <row r="48" spans="1:8" ht="25.05" customHeight="1" x14ac:dyDescent="0.25">
      <c r="A48" s="2" t="s">
        <v>8</v>
      </c>
      <c r="B48" s="2" t="str">
        <f>HYPERLINK("http://ts.21cn.com/tousu/show/id/1330428","快易熊还款")</f>
        <v>快易熊还款</v>
      </c>
      <c r="C48" s="2" t="s">
        <v>34</v>
      </c>
      <c r="D48" s="2" t="s">
        <v>10</v>
      </c>
      <c r="E48" s="2" t="str">
        <f>HYPERLINK("http://ts.21cn.com/tousu/show/id/1330428","http://ts.21cn.com/tousu/show/id/1330428")</f>
        <v>http://ts.21cn.com/tousu/show/id/1330428</v>
      </c>
      <c r="F48" s="2" t="s">
        <v>11</v>
      </c>
      <c r="G48" s="2" t="s">
        <v>44071</v>
      </c>
      <c r="H48" s="2" t="s">
        <v>44072</v>
      </c>
    </row>
    <row r="49" spans="1:8" ht="25.05" customHeight="1" x14ac:dyDescent="0.25">
      <c r="A49" s="2" t="s">
        <v>8</v>
      </c>
      <c r="B49" s="2" t="str">
        <f>HYPERLINK("http://ts.21cn.com/tousu/show/id/1330429","高利贷微粒贷")</f>
        <v>高利贷微粒贷</v>
      </c>
      <c r="C49" s="2" t="s">
        <v>9</v>
      </c>
      <c r="D49" s="2" t="s">
        <v>10</v>
      </c>
      <c r="E49" s="2" t="str">
        <f>HYPERLINK("http://ts.21cn.com/tousu/show/id/1330429","http://ts.21cn.com/tousu/show/id/1330429")</f>
        <v>http://ts.21cn.com/tousu/show/id/1330429</v>
      </c>
      <c r="F49" s="2" t="s">
        <v>11</v>
      </c>
      <c r="G49" s="2" t="s">
        <v>44069</v>
      </c>
      <c r="H49" s="2" t="s">
        <v>44070</v>
      </c>
    </row>
    <row r="50" spans="1:8" ht="25.05" customHeight="1" x14ac:dyDescent="0.25">
      <c r="A50" s="2" t="s">
        <v>8</v>
      </c>
      <c r="B50" s="2" t="str">
        <f>HYPERLINK("http://ts.21cn.com/tousu/show/id/1330423","借贷宝恶意催收，高利贷另类温床")</f>
        <v>借贷宝恶意催收，高利贷另类温床</v>
      </c>
      <c r="C50" s="2" t="s">
        <v>9</v>
      </c>
      <c r="D50" s="2" t="s">
        <v>10</v>
      </c>
      <c r="E50" s="2" t="str">
        <f>HYPERLINK("http://ts.21cn.com/tousu/show/id/1330423","http://ts.21cn.com/tousu/show/id/1330423")</f>
        <v>http://ts.21cn.com/tousu/show/id/1330423</v>
      </c>
      <c r="F50" s="2" t="s">
        <v>11</v>
      </c>
      <c r="G50" s="2" t="s">
        <v>44067</v>
      </c>
      <c r="H50" s="2" t="s">
        <v>44068</v>
      </c>
    </row>
    <row r="51" spans="1:8" ht="25.05" customHeight="1" x14ac:dyDescent="0.25">
      <c r="A51" s="2" t="s">
        <v>8</v>
      </c>
      <c r="B51" s="2" t="str">
        <f>HYPERLINK("http://ts.21cn.com/tousu/show/id/1330430","半夜农行卡被特约百度扣了500元")</f>
        <v>半夜农行卡被特约百度扣了500元</v>
      </c>
      <c r="C51" s="2" t="s">
        <v>34</v>
      </c>
      <c r="D51" s="2" t="s">
        <v>10</v>
      </c>
      <c r="E51" s="2" t="str">
        <f>HYPERLINK("http://ts.21cn.com/tousu/show/id/1330430","http://ts.21cn.com/tousu/show/id/1330430")</f>
        <v>http://ts.21cn.com/tousu/show/id/1330430</v>
      </c>
      <c r="F51" s="2" t="s">
        <v>11</v>
      </c>
      <c r="G51" s="2" t="s">
        <v>44065</v>
      </c>
      <c r="H51" s="2" t="s">
        <v>44066</v>
      </c>
    </row>
    <row r="52" spans="1:8" ht="25.05" customHeight="1" x14ac:dyDescent="0.25">
      <c r="A52" s="2" t="s">
        <v>8</v>
      </c>
      <c r="B52" s="2" t="str">
        <f>HYPERLINK("http://ts.21cn.com/tousu/show/id/1330431","立刻出行押金退不了")</f>
        <v>立刻出行押金退不了</v>
      </c>
      <c r="C52" s="2" t="s">
        <v>9</v>
      </c>
      <c r="D52" s="2" t="s">
        <v>10</v>
      </c>
      <c r="E52" s="2" t="str">
        <f>HYPERLINK("http://ts.21cn.com/tousu/show/id/1330431","http://ts.21cn.com/tousu/show/id/1330431")</f>
        <v>http://ts.21cn.com/tousu/show/id/1330431</v>
      </c>
      <c r="F52" s="2" t="s">
        <v>11</v>
      </c>
      <c r="G52" s="2" t="s">
        <v>44063</v>
      </c>
      <c r="H52" s="2" t="s">
        <v>44064</v>
      </c>
    </row>
    <row r="53" spans="1:8" ht="25.05" customHeight="1" x14ac:dyDescent="0.25">
      <c r="A53" s="2" t="s">
        <v>8</v>
      </c>
      <c r="B53" s="2" t="str">
        <f>HYPERLINK("http://ts.21cn.com/tousu/show/id/1330432","美团预订酒店临时降价却不处理")</f>
        <v>美团预订酒店临时降价却不处理</v>
      </c>
      <c r="C53" s="2" t="s">
        <v>9</v>
      </c>
      <c r="D53" s="2" t="s">
        <v>10</v>
      </c>
      <c r="E53" s="2" t="str">
        <f>HYPERLINK("http://ts.21cn.com/tousu/show/id/1330432","http://ts.21cn.com/tousu/show/id/1330432")</f>
        <v>http://ts.21cn.com/tousu/show/id/1330432</v>
      </c>
      <c r="F53" s="2" t="s">
        <v>11</v>
      </c>
      <c r="G53" s="2" t="s">
        <v>44061</v>
      </c>
      <c r="H53" s="2" t="s">
        <v>44062</v>
      </c>
    </row>
    <row r="54" spans="1:8" ht="25.05" customHeight="1" x14ac:dyDescent="0.25">
      <c r="A54" s="2" t="s">
        <v>8</v>
      </c>
      <c r="B54" s="2" t="str">
        <f>HYPERLINK("http://ts.21cn.com/tousu/show/id/1330434","上海翰银为赌博输平台收单，请求瀚银为我退款挽回经济损失")</f>
        <v>上海翰银为赌博输平台收单，请求瀚银为我退款挽回经济损失</v>
      </c>
      <c r="C54" s="2" t="s">
        <v>9</v>
      </c>
      <c r="D54" s="2" t="s">
        <v>10</v>
      </c>
      <c r="E54" s="2" t="str">
        <f>HYPERLINK("http://ts.21cn.com/tousu/show/id/1330434","http://ts.21cn.com/tousu/show/id/1330434")</f>
        <v>http://ts.21cn.com/tousu/show/id/1330434</v>
      </c>
      <c r="F54" s="2" t="s">
        <v>11</v>
      </c>
      <c r="G54" s="2" t="s">
        <v>44059</v>
      </c>
      <c r="H54" s="2" t="s">
        <v>44060</v>
      </c>
    </row>
    <row r="55" spans="1:8" ht="25.05" customHeight="1" x14ac:dyDescent="0.25">
      <c r="A55" s="2" t="s">
        <v>8</v>
      </c>
      <c r="B55" s="2" t="str">
        <f>HYPERLINK("http://ts.21cn.com/tousu/show/id/1330435","误导充值")</f>
        <v>误导充值</v>
      </c>
      <c r="C55" s="2" t="s">
        <v>9</v>
      </c>
      <c r="D55" s="2" t="s">
        <v>10</v>
      </c>
      <c r="E55" s="2" t="str">
        <f>HYPERLINK("http://ts.21cn.com/tousu/show/id/1330435","http://ts.21cn.com/tousu/show/id/1330435")</f>
        <v>http://ts.21cn.com/tousu/show/id/1330435</v>
      </c>
      <c r="F55" s="2" t="s">
        <v>11</v>
      </c>
      <c r="G55" s="2" t="s">
        <v>44057</v>
      </c>
      <c r="H55" s="2" t="s">
        <v>44058</v>
      </c>
    </row>
    <row r="56" spans="1:8" ht="25.05" customHeight="1" x14ac:dyDescent="0.25">
      <c r="A56" s="2" t="s">
        <v>8</v>
      </c>
      <c r="B56" s="2" t="str">
        <f>HYPERLINK("http://ts.21cn.com/tousu/show/id/1330436","蛋壳公寓重复乱收费，一个月400多")</f>
        <v>蛋壳公寓重复乱收费，一个月400多</v>
      </c>
      <c r="C56" s="2" t="s">
        <v>9</v>
      </c>
      <c r="D56" s="2" t="s">
        <v>10</v>
      </c>
      <c r="E56" s="2" t="str">
        <f>HYPERLINK("http://ts.21cn.com/tousu/show/id/1330436","http://ts.21cn.com/tousu/show/id/1330436")</f>
        <v>http://ts.21cn.com/tousu/show/id/1330436</v>
      </c>
      <c r="F56" s="2" t="s">
        <v>11</v>
      </c>
      <c r="G56" s="2" t="s">
        <v>44055</v>
      </c>
      <c r="H56" s="2" t="s">
        <v>44056</v>
      </c>
    </row>
    <row r="57" spans="1:8" ht="25.05" customHeight="1" x14ac:dyDescent="0.25">
      <c r="A57" s="2" t="s">
        <v>8</v>
      </c>
      <c r="B57" s="2" t="str">
        <f>HYPERLINK("http://ts.21cn.com/tousu/show/id/1330437","威力贷套路贷高利贷")</f>
        <v>威力贷套路贷高利贷</v>
      </c>
      <c r="C57" s="2" t="s">
        <v>9</v>
      </c>
      <c r="D57" s="2" t="s">
        <v>10</v>
      </c>
      <c r="E57" s="2" t="str">
        <f>HYPERLINK("http://ts.21cn.com/tousu/show/id/1330437","http://ts.21cn.com/tousu/show/id/1330437")</f>
        <v>http://ts.21cn.com/tousu/show/id/1330437</v>
      </c>
      <c r="F57" s="2" t="s">
        <v>11</v>
      </c>
      <c r="G57" s="2" t="s">
        <v>44053</v>
      </c>
      <c r="H57" s="2" t="s">
        <v>44054</v>
      </c>
    </row>
    <row r="58" spans="1:8" ht="25.05" customHeight="1" x14ac:dyDescent="0.25">
      <c r="A58" s="2" t="s">
        <v>8</v>
      </c>
      <c r="B58" s="2" t="str">
        <f>HYPERLINK("http://ts.21cn.com/tousu/show/id/1330438","分期通恶意收取会员费用")</f>
        <v>分期通恶意收取会员费用</v>
      </c>
      <c r="C58" s="2" t="s">
        <v>9</v>
      </c>
      <c r="D58" s="2" t="s">
        <v>10</v>
      </c>
      <c r="E58" s="2" t="str">
        <f>HYPERLINK("http://ts.21cn.com/tousu/show/id/1330438","http://ts.21cn.com/tousu/show/id/1330438")</f>
        <v>http://ts.21cn.com/tousu/show/id/1330438</v>
      </c>
      <c r="F58" s="2" t="s">
        <v>11</v>
      </c>
      <c r="G58" s="2" t="s">
        <v>44051</v>
      </c>
      <c r="H58" s="2" t="s">
        <v>44052</v>
      </c>
    </row>
    <row r="59" spans="1:8" ht="25.05" customHeight="1" x14ac:dyDescent="0.25">
      <c r="A59" s="2" t="s">
        <v>8</v>
      </c>
      <c r="B59" s="2" t="str">
        <f>HYPERLINK("http://ts.21cn.com/tousu/show/id/1330440","虚假宣传，诱导消费者交会费，不予退款")</f>
        <v>虚假宣传，诱导消费者交会费，不予退款</v>
      </c>
      <c r="C59" s="2" t="s">
        <v>9</v>
      </c>
      <c r="D59" s="2" t="s">
        <v>10</v>
      </c>
      <c r="E59" s="2" t="str">
        <f>HYPERLINK("http://ts.21cn.com/tousu/show/id/1330440","http://ts.21cn.com/tousu/show/id/1330440")</f>
        <v>http://ts.21cn.com/tousu/show/id/1330440</v>
      </c>
      <c r="F59" s="2" t="s">
        <v>11</v>
      </c>
      <c r="G59" s="2" t="s">
        <v>44049</v>
      </c>
      <c r="H59" s="2" t="s">
        <v>44050</v>
      </c>
    </row>
    <row r="60" spans="1:8" ht="25.05" customHeight="1" x14ac:dyDescent="0.25">
      <c r="A60" s="2" t="s">
        <v>8</v>
      </c>
      <c r="B60" s="2" t="str">
        <f>HYPERLINK("http://ts.21cn.com/tousu/show/id/1330441","百事普惠恶意扣款")</f>
        <v>百事普惠恶意扣款</v>
      </c>
      <c r="C60" s="2" t="s">
        <v>9</v>
      </c>
      <c r="D60" s="2" t="s">
        <v>10</v>
      </c>
      <c r="E60" s="2" t="str">
        <f>HYPERLINK("http://ts.21cn.com/tousu/show/id/1330441","http://ts.21cn.com/tousu/show/id/1330441")</f>
        <v>http://ts.21cn.com/tousu/show/id/1330441</v>
      </c>
      <c r="F60" s="2" t="s">
        <v>11</v>
      </c>
      <c r="G60" s="2" t="s">
        <v>44047</v>
      </c>
      <c r="H60" s="2" t="s">
        <v>44048</v>
      </c>
    </row>
    <row r="61" spans="1:8" ht="25.05" customHeight="1" x14ac:dyDescent="0.25">
      <c r="A61" s="2" t="s">
        <v>8</v>
      </c>
      <c r="B61" s="2" t="str">
        <f>HYPERLINK("http://ts.21cn.com/tousu/show/id/1330443","扣款250，打电话一直拖")</f>
        <v>扣款250，打电话一直拖</v>
      </c>
      <c r="C61" s="2" t="s">
        <v>34</v>
      </c>
      <c r="D61" s="2" t="s">
        <v>10</v>
      </c>
      <c r="E61" s="2" t="str">
        <f>HYPERLINK("http://ts.21cn.com/tousu/show/id/1330443","http://ts.21cn.com/tousu/show/id/1330443")</f>
        <v>http://ts.21cn.com/tousu/show/id/1330443</v>
      </c>
      <c r="F61" s="2" t="s">
        <v>11</v>
      </c>
      <c r="G61" s="2" t="s">
        <v>44045</v>
      </c>
      <c r="H61" s="2" t="s">
        <v>44046</v>
      </c>
    </row>
    <row r="62" spans="1:8" ht="25.05" customHeight="1" x14ac:dyDescent="0.25">
      <c r="A62" s="2" t="s">
        <v>8</v>
      </c>
      <c r="B62" s="2" t="str">
        <f>HYPERLINK("http://ts.21cn.com/tousu/show/id/1330444","钱站不支持协商黑社会恐吓")</f>
        <v>钱站不支持协商黑社会恐吓</v>
      </c>
      <c r="C62" s="2" t="s">
        <v>9</v>
      </c>
      <c r="D62" s="2" t="s">
        <v>10</v>
      </c>
      <c r="E62" s="2" t="str">
        <f>HYPERLINK("http://ts.21cn.com/tousu/show/id/1330444","http://ts.21cn.com/tousu/show/id/1330444")</f>
        <v>http://ts.21cn.com/tousu/show/id/1330444</v>
      </c>
      <c r="F62" s="2" t="s">
        <v>11</v>
      </c>
      <c r="G62" s="2" t="s">
        <v>44043</v>
      </c>
      <c r="H62" s="2" t="s">
        <v>44044</v>
      </c>
    </row>
    <row r="63" spans="1:8" ht="25.05" customHeight="1" x14ac:dyDescent="0.25">
      <c r="A63" s="2" t="s">
        <v>8</v>
      </c>
      <c r="B63" s="2" t="str">
        <f>HYPERLINK("http://ts.21cn.com/tousu/show/id/1330445","活力花逾期太高")</f>
        <v>活力花逾期太高</v>
      </c>
      <c r="C63" s="2" t="s">
        <v>9</v>
      </c>
      <c r="D63" s="2" t="s">
        <v>10</v>
      </c>
      <c r="E63" s="2" t="str">
        <f>HYPERLINK("http://ts.21cn.com/tousu/show/id/1330445","http://ts.21cn.com/tousu/show/id/1330445")</f>
        <v>http://ts.21cn.com/tousu/show/id/1330445</v>
      </c>
      <c r="F63" s="2" t="s">
        <v>11</v>
      </c>
      <c r="G63" s="2" t="s">
        <v>44041</v>
      </c>
      <c r="H63" s="2" t="s">
        <v>44042</v>
      </c>
    </row>
    <row r="64" spans="1:8" ht="25.05" customHeight="1" x14ac:dyDescent="0.25">
      <c r="A64" s="2" t="s">
        <v>8</v>
      </c>
      <c r="B64" s="2" t="str">
        <f>HYPERLINK("http://ts.21cn.com/tousu/show/id/1330446","宜人贷高额逾期费")</f>
        <v>宜人贷高额逾期费</v>
      </c>
      <c r="C64" s="2" t="s">
        <v>9</v>
      </c>
      <c r="D64" s="2" t="s">
        <v>10</v>
      </c>
      <c r="E64" s="2" t="str">
        <f>HYPERLINK("http://ts.21cn.com/tousu/show/id/1330446","http://ts.21cn.com/tousu/show/id/1330446")</f>
        <v>http://ts.21cn.com/tousu/show/id/1330446</v>
      </c>
      <c r="F64" s="2" t="s">
        <v>11</v>
      </c>
      <c r="G64" s="2" t="s">
        <v>44039</v>
      </c>
      <c r="H64" s="2" t="s">
        <v>44040</v>
      </c>
    </row>
    <row r="65" spans="1:8" ht="25.05" customHeight="1" x14ac:dyDescent="0.25">
      <c r="A65" s="2" t="s">
        <v>8</v>
      </c>
      <c r="B65" s="2" t="str">
        <f>HYPERLINK("http://ts.21cn.com/tousu/show/id/1330447","贷上钱隐藏消费（荐职小秘书）")</f>
        <v>贷上钱隐藏消费（荐职小秘书）</v>
      </c>
      <c r="C65" s="2" t="s">
        <v>9</v>
      </c>
      <c r="D65" s="2" t="s">
        <v>10</v>
      </c>
      <c r="E65" s="2" t="str">
        <f>HYPERLINK("http://ts.21cn.com/tousu/show/id/1330447","http://ts.21cn.com/tousu/show/id/1330447")</f>
        <v>http://ts.21cn.com/tousu/show/id/1330447</v>
      </c>
      <c r="F65" s="2" t="s">
        <v>11</v>
      </c>
      <c r="G65" s="2" t="s">
        <v>44037</v>
      </c>
      <c r="H65" s="2" t="s">
        <v>44038</v>
      </c>
    </row>
    <row r="66" spans="1:8" ht="25.05" customHeight="1" x14ac:dyDescent="0.25">
      <c r="A66" s="2" t="s">
        <v>8</v>
      </c>
      <c r="B66" s="2" t="str">
        <f>HYPERLINK("http://ts.21cn.com/tousu/show/id/1330448","希望做延期处理")</f>
        <v>希望做延期处理</v>
      </c>
      <c r="C66" s="2" t="s">
        <v>9</v>
      </c>
      <c r="D66" s="2" t="s">
        <v>10</v>
      </c>
      <c r="E66" s="2" t="str">
        <f>HYPERLINK("http://ts.21cn.com/tousu/show/id/1330448","http://ts.21cn.com/tousu/show/id/1330448")</f>
        <v>http://ts.21cn.com/tousu/show/id/1330448</v>
      </c>
      <c r="F66" s="2" t="s">
        <v>11</v>
      </c>
      <c r="G66" s="2" t="s">
        <v>44035</v>
      </c>
      <c r="H66" s="2" t="s">
        <v>44036</v>
      </c>
    </row>
    <row r="67" spans="1:8" ht="25.05" customHeight="1" x14ac:dyDescent="0.25">
      <c r="A67" s="2" t="s">
        <v>8</v>
      </c>
      <c r="B67" s="2" t="str">
        <f>HYPERLINK("http://ts.21cn.com/tousu/show/id/1330449","和卖家协商后仍不退款")</f>
        <v>和卖家协商后仍不退款</v>
      </c>
      <c r="C67" s="2" t="s">
        <v>9</v>
      </c>
      <c r="D67" s="2" t="s">
        <v>10</v>
      </c>
      <c r="E67" s="2" t="str">
        <f>HYPERLINK("http://ts.21cn.com/tousu/show/id/1330449","http://ts.21cn.com/tousu/show/id/1330449")</f>
        <v>http://ts.21cn.com/tousu/show/id/1330449</v>
      </c>
      <c r="F67" s="2" t="s">
        <v>11</v>
      </c>
      <c r="G67" s="2" t="s">
        <v>44033</v>
      </c>
      <c r="H67" s="2" t="s">
        <v>44034</v>
      </c>
    </row>
    <row r="68" spans="1:8" ht="25.05" customHeight="1" x14ac:dyDescent="0.25">
      <c r="A68" s="2" t="s">
        <v>8</v>
      </c>
      <c r="B68" s="2" t="str">
        <f>HYPERLINK("http://ts.21cn.com/tousu/show/id/1330450","好分期高利贷")</f>
        <v>好分期高利贷</v>
      </c>
      <c r="C68" s="2" t="s">
        <v>9</v>
      </c>
      <c r="D68" s="2" t="s">
        <v>10</v>
      </c>
      <c r="E68" s="2" t="str">
        <f>HYPERLINK("http://ts.21cn.com/tousu/show/id/1330450","http://ts.21cn.com/tousu/show/id/1330450")</f>
        <v>http://ts.21cn.com/tousu/show/id/1330450</v>
      </c>
      <c r="F68" s="2" t="s">
        <v>11</v>
      </c>
      <c r="G68" s="2" t="s">
        <v>44031</v>
      </c>
      <c r="H68" s="2" t="s">
        <v>44032</v>
      </c>
    </row>
    <row r="69" spans="1:8" ht="25.05" customHeight="1" x14ac:dyDescent="0.25">
      <c r="A69" s="2" t="s">
        <v>8</v>
      </c>
      <c r="B69" s="2" t="str">
        <f>HYPERLINK("http://ts.21cn.com/tousu/show/id/1330451","车辆停在服务区不走了")</f>
        <v>车辆停在服务区不走了</v>
      </c>
      <c r="C69" s="2" t="s">
        <v>34</v>
      </c>
      <c r="D69" s="2" t="s">
        <v>10</v>
      </c>
      <c r="E69" s="2" t="str">
        <f>HYPERLINK("http://ts.21cn.com/tousu/show/id/1330451","http://ts.21cn.com/tousu/show/id/1330451")</f>
        <v>http://ts.21cn.com/tousu/show/id/1330451</v>
      </c>
      <c r="F69" s="2" t="s">
        <v>11</v>
      </c>
      <c r="G69" s="2" t="s">
        <v>44029</v>
      </c>
      <c r="H69" s="2" t="s">
        <v>44030</v>
      </c>
    </row>
    <row r="70" spans="1:8" ht="25.05" customHeight="1" x14ac:dyDescent="0.25">
      <c r="A70" s="2" t="s">
        <v>8</v>
      </c>
      <c r="B70" s="2" t="str">
        <f>HYPERLINK("http://ts.21cn.com/tousu/show/id/1330452","爆通讯录，给通讯录所有人打电话")</f>
        <v>爆通讯录，给通讯录所有人打电话</v>
      </c>
      <c r="C70" s="2" t="s">
        <v>9</v>
      </c>
      <c r="D70" s="2" t="s">
        <v>10</v>
      </c>
      <c r="E70" s="2" t="str">
        <f>HYPERLINK("http://ts.21cn.com/tousu/show/id/1330452","http://ts.21cn.com/tousu/show/id/1330452")</f>
        <v>http://ts.21cn.com/tousu/show/id/1330452</v>
      </c>
      <c r="F70" s="2" t="s">
        <v>11</v>
      </c>
      <c r="G70" s="2" t="s">
        <v>44027</v>
      </c>
      <c r="H70" s="2" t="s">
        <v>44028</v>
      </c>
    </row>
    <row r="71" spans="1:8" ht="25.05" customHeight="1" x14ac:dyDescent="0.25">
      <c r="A71" s="2" t="s">
        <v>8</v>
      </c>
      <c r="B71" s="2" t="str">
        <f>HYPERLINK("http://ts.21cn.com/tousu/show/id/1330453","高利贷暴力催收骚扰")</f>
        <v>高利贷暴力催收骚扰</v>
      </c>
      <c r="C71" s="2" t="s">
        <v>9</v>
      </c>
      <c r="D71" s="2" t="s">
        <v>10</v>
      </c>
      <c r="E71" s="2" t="str">
        <f>HYPERLINK("http://ts.21cn.com/tousu/show/id/1330453","http://ts.21cn.com/tousu/show/id/1330453")</f>
        <v>http://ts.21cn.com/tousu/show/id/1330453</v>
      </c>
      <c r="F71" s="2" t="s">
        <v>11</v>
      </c>
      <c r="G71" s="2" t="s">
        <v>44025</v>
      </c>
      <c r="H71" s="2" t="s">
        <v>44026</v>
      </c>
    </row>
    <row r="72" spans="1:8" ht="25.05" customHeight="1" x14ac:dyDescent="0.25">
      <c r="A72" s="2" t="s">
        <v>8</v>
      </c>
      <c r="B72" s="2" t="str">
        <f>HYPERLINK("http://ts.21cn.com/tousu/show/id/1330454","携程旅游")</f>
        <v>携程旅游</v>
      </c>
      <c r="C72" s="2" t="s">
        <v>9</v>
      </c>
      <c r="D72" s="2" t="s">
        <v>10</v>
      </c>
      <c r="E72" s="2" t="str">
        <f>HYPERLINK("http://ts.21cn.com/tousu/show/id/1330454","http://ts.21cn.com/tousu/show/id/1330454")</f>
        <v>http://ts.21cn.com/tousu/show/id/1330454</v>
      </c>
      <c r="F72" s="2" t="s">
        <v>11</v>
      </c>
      <c r="G72" s="2" t="s">
        <v>44024</v>
      </c>
      <c r="H72" s="2" t="s">
        <v>43296</v>
      </c>
    </row>
    <row r="73" spans="1:8" ht="25.05" customHeight="1" x14ac:dyDescent="0.25">
      <c r="A73" s="2" t="s">
        <v>8</v>
      </c>
      <c r="B73" s="2" t="str">
        <f>HYPERLINK("http://ts.21cn.com/tousu/show/id/1330455","办理了河南有线宽带网站营业厅无法登录客服解决不满意")</f>
        <v>办理了河南有线宽带网站营业厅无法登录客服解决不满意</v>
      </c>
      <c r="C73" s="2" t="s">
        <v>9</v>
      </c>
      <c r="D73" s="2" t="s">
        <v>10</v>
      </c>
      <c r="E73" s="2" t="str">
        <f>HYPERLINK("http://ts.21cn.com/tousu/show/id/1330455","http://ts.21cn.com/tousu/show/id/1330455")</f>
        <v>http://ts.21cn.com/tousu/show/id/1330455</v>
      </c>
      <c r="F73" s="2" t="s">
        <v>11</v>
      </c>
      <c r="G73" s="2" t="s">
        <v>44022</v>
      </c>
      <c r="H73" s="2" t="s">
        <v>44023</v>
      </c>
    </row>
    <row r="74" spans="1:8" ht="25.05" customHeight="1" x14ac:dyDescent="0.25">
      <c r="A74" s="2" t="s">
        <v>8</v>
      </c>
      <c r="B74" s="2" t="str">
        <f>HYPERLINK("http://ts.21cn.com/tousu/show/id/1330456","人脸识别太频繁")</f>
        <v>人脸识别太频繁</v>
      </c>
      <c r="C74" s="2" t="s">
        <v>9</v>
      </c>
      <c r="D74" s="2" t="s">
        <v>10</v>
      </c>
      <c r="E74" s="2" t="str">
        <f>HYPERLINK("http://ts.21cn.com/tousu/show/id/1330456","http://ts.21cn.com/tousu/show/id/1330456")</f>
        <v>http://ts.21cn.com/tousu/show/id/1330456</v>
      </c>
      <c r="F74" s="2" t="s">
        <v>11</v>
      </c>
      <c r="G74" s="2" t="s">
        <v>44020</v>
      </c>
      <c r="H74" s="2" t="s">
        <v>44021</v>
      </c>
    </row>
    <row r="75" spans="1:8" ht="25.05" customHeight="1" x14ac:dyDescent="0.25">
      <c r="A75" s="2" t="s">
        <v>8</v>
      </c>
      <c r="B75" s="2" t="str">
        <f>HYPERLINK("http://ts.21cn.com/tousu/show/id/1330457","微博微卡贷新易贷还不了款")</f>
        <v>微博微卡贷新易贷还不了款</v>
      </c>
      <c r="C75" s="2" t="s">
        <v>9</v>
      </c>
      <c r="D75" s="2" t="s">
        <v>10</v>
      </c>
      <c r="E75" s="2" t="str">
        <f>HYPERLINK("http://ts.21cn.com/tousu/show/id/1330457","http://ts.21cn.com/tousu/show/id/1330457")</f>
        <v>http://ts.21cn.com/tousu/show/id/1330457</v>
      </c>
      <c r="F75" s="2" t="s">
        <v>11</v>
      </c>
      <c r="G75" s="2" t="s">
        <v>44018</v>
      </c>
      <c r="H75" s="2" t="s">
        <v>44019</v>
      </c>
    </row>
    <row r="76" spans="1:8" ht="25.05" customHeight="1" x14ac:dyDescent="0.25">
      <c r="A76" s="2" t="s">
        <v>8</v>
      </c>
      <c r="B76" s="2" t="str">
        <f>HYPERLINK("http://ts.21cn.com/tousu/show/id/1330458","补偿我的个人损失协商处理")</f>
        <v>补偿我的个人损失协商处理</v>
      </c>
      <c r="C76" s="2" t="s">
        <v>9</v>
      </c>
      <c r="D76" s="2" t="s">
        <v>10</v>
      </c>
      <c r="E76" s="2" t="str">
        <f>HYPERLINK("http://ts.21cn.com/tousu/show/id/1330458","http://ts.21cn.com/tousu/show/id/1330458")</f>
        <v>http://ts.21cn.com/tousu/show/id/1330458</v>
      </c>
      <c r="F76" s="2" t="s">
        <v>11</v>
      </c>
      <c r="G76" s="2" t="s">
        <v>44016</v>
      </c>
      <c r="H76" s="2" t="s">
        <v>44017</v>
      </c>
    </row>
    <row r="77" spans="1:8" ht="25.05" customHeight="1" x14ac:dyDescent="0.25">
      <c r="A77" s="2" t="s">
        <v>8</v>
      </c>
      <c r="B77" s="2" t="str">
        <f>HYPERLINK("http://ts.21cn.com/tousu/show/id/1330459","钱站高利贷阴阳合同")</f>
        <v>钱站高利贷阴阳合同</v>
      </c>
      <c r="C77" s="2" t="s">
        <v>9</v>
      </c>
      <c r="D77" s="2" t="s">
        <v>10</v>
      </c>
      <c r="E77" s="2" t="str">
        <f>HYPERLINK("http://ts.21cn.com/tousu/show/id/1330459","http://ts.21cn.com/tousu/show/id/1330459")</f>
        <v>http://ts.21cn.com/tousu/show/id/1330459</v>
      </c>
      <c r="F77" s="2" t="s">
        <v>11</v>
      </c>
      <c r="G77" s="2" t="s">
        <v>44014</v>
      </c>
      <c r="H77" s="2" t="s">
        <v>44015</v>
      </c>
    </row>
    <row r="78" spans="1:8" ht="25.05" customHeight="1" x14ac:dyDescent="0.25">
      <c r="A78" s="2" t="s">
        <v>8</v>
      </c>
      <c r="B78" s="2" t="str">
        <f>HYPERLINK("http://ts.21cn.com/tousu/show/id/1330461","分期乐利息实际需还款项与合同不符")</f>
        <v>分期乐利息实际需还款项与合同不符</v>
      </c>
      <c r="C78" s="2" t="s">
        <v>9</v>
      </c>
      <c r="D78" s="2" t="s">
        <v>10</v>
      </c>
      <c r="E78" s="2" t="str">
        <f>HYPERLINK("http://ts.21cn.com/tousu/show/id/1330461","http://ts.21cn.com/tousu/show/id/1330461")</f>
        <v>http://ts.21cn.com/tousu/show/id/1330461</v>
      </c>
      <c r="F78" s="2" t="s">
        <v>11</v>
      </c>
      <c r="G78" s="2" t="s">
        <v>44012</v>
      </c>
      <c r="H78" s="2" t="s">
        <v>44013</v>
      </c>
    </row>
    <row r="79" spans="1:8" ht="25.05" customHeight="1" x14ac:dyDescent="0.25">
      <c r="A79" s="2" t="s">
        <v>8</v>
      </c>
      <c r="B79" s="2" t="str">
        <f>HYPERLINK("http://ts.21cn.com/tousu/show/id/1330462","钱不是不还！还有去单位家里搞事情")</f>
        <v>钱不是不还！还有去单位家里搞事情</v>
      </c>
      <c r="C79" s="2" t="s">
        <v>9</v>
      </c>
      <c r="D79" s="2" t="s">
        <v>10</v>
      </c>
      <c r="E79" s="2" t="str">
        <f>HYPERLINK("http://ts.21cn.com/tousu/show/id/1330462","http://ts.21cn.com/tousu/show/id/1330462")</f>
        <v>http://ts.21cn.com/tousu/show/id/1330462</v>
      </c>
      <c r="F79" s="2" t="s">
        <v>11</v>
      </c>
      <c r="G79" s="2" t="s">
        <v>44010</v>
      </c>
      <c r="H79" s="2" t="s">
        <v>44011</v>
      </c>
    </row>
    <row r="80" spans="1:8" ht="25.05" customHeight="1" x14ac:dyDescent="0.25">
      <c r="A80" s="2" t="s">
        <v>8</v>
      </c>
      <c r="B80" s="2" t="str">
        <f>HYPERLINK("http://ts.21cn.com/tousu/show/id/1330463","世纪佳缘诱导消费，本人不知情的情况下贷款，合同内容与世纪佳缘红娘说的不一致")</f>
        <v>世纪佳缘诱导消费，本人不知情的情况下贷款，合同内容与世纪佳缘红娘说的不一致</v>
      </c>
      <c r="C80" s="2" t="s">
        <v>9</v>
      </c>
      <c r="D80" s="2" t="s">
        <v>10</v>
      </c>
      <c r="E80" s="2" t="str">
        <f>HYPERLINK("http://ts.21cn.com/tousu/show/id/1330463","http://ts.21cn.com/tousu/show/id/1330463")</f>
        <v>http://ts.21cn.com/tousu/show/id/1330463</v>
      </c>
      <c r="F80" s="2" t="s">
        <v>11</v>
      </c>
      <c r="G80" s="2" t="s">
        <v>44008</v>
      </c>
      <c r="H80" s="2" t="s">
        <v>44009</v>
      </c>
    </row>
    <row r="81" spans="1:8" ht="25.05" customHeight="1" x14ac:dyDescent="0.25">
      <c r="A81" s="2" t="s">
        <v>8</v>
      </c>
      <c r="B81" s="2" t="str">
        <f>HYPERLINK("http://ts.21cn.com/tousu/show/id/1330465","神马借不能还款")</f>
        <v>神马借不能还款</v>
      </c>
      <c r="C81" s="2" t="s">
        <v>34</v>
      </c>
      <c r="D81" s="2" t="s">
        <v>10</v>
      </c>
      <c r="E81" s="2" t="str">
        <f>HYPERLINK("http://ts.21cn.com/tousu/show/id/1330465","http://ts.21cn.com/tousu/show/id/1330465")</f>
        <v>http://ts.21cn.com/tousu/show/id/1330465</v>
      </c>
      <c r="F81" s="2" t="s">
        <v>11</v>
      </c>
      <c r="G81" s="2" t="s">
        <v>44006</v>
      </c>
      <c r="H81" s="2" t="s">
        <v>44007</v>
      </c>
    </row>
    <row r="82" spans="1:8" ht="25.05" customHeight="1" x14ac:dyDescent="0.25">
      <c r="A82" s="2" t="s">
        <v>8</v>
      </c>
      <c r="B82" s="2" t="str">
        <f>HYPERLINK("http://ts.21cn.com/tousu/show/id/1330466","超级高利贷不能还款")</f>
        <v>超级高利贷不能还款</v>
      </c>
      <c r="C82" s="2" t="s">
        <v>9</v>
      </c>
      <c r="D82" s="2" t="s">
        <v>10</v>
      </c>
      <c r="E82" s="2" t="str">
        <f>HYPERLINK("http://ts.21cn.com/tousu/show/id/1330466","http://ts.21cn.com/tousu/show/id/1330466")</f>
        <v>http://ts.21cn.com/tousu/show/id/1330466</v>
      </c>
      <c r="F82" s="2" t="s">
        <v>11</v>
      </c>
      <c r="G82" s="2" t="s">
        <v>44004</v>
      </c>
      <c r="H82" s="2" t="s">
        <v>44005</v>
      </c>
    </row>
    <row r="83" spans="1:8" ht="25.05" customHeight="1" x14ac:dyDescent="0.25">
      <c r="A83" s="2" t="s">
        <v>8</v>
      </c>
      <c r="B83" s="2" t="str">
        <f>HYPERLINK("http://ts.21cn.com/tousu/show/id/1330467","威力贷汇潮支付通道高利贷砍头息，还款当天辱骂暴力催收")</f>
        <v>威力贷汇潮支付通道高利贷砍头息，还款当天辱骂暴力催收</v>
      </c>
      <c r="C83" s="2" t="s">
        <v>9</v>
      </c>
      <c r="D83" s="2" t="s">
        <v>10</v>
      </c>
      <c r="E83" s="2" t="str">
        <f>HYPERLINK("http://ts.21cn.com/tousu/show/id/1330467","http://ts.21cn.com/tousu/show/id/1330467")</f>
        <v>http://ts.21cn.com/tousu/show/id/1330467</v>
      </c>
      <c r="F83" s="2" t="s">
        <v>11</v>
      </c>
      <c r="G83" s="2" t="s">
        <v>44002</v>
      </c>
      <c r="H83" s="2" t="s">
        <v>44003</v>
      </c>
    </row>
    <row r="84" spans="1:8" ht="25.05" customHeight="1" x14ac:dyDescent="0.25">
      <c r="A84" s="2" t="s">
        <v>8</v>
      </c>
      <c r="B84" s="2" t="str">
        <f>HYPERLINK("http://ts.21cn.com/tousu/show/id/1330464","APP消费未知情况下被花钱")</f>
        <v>APP消费未知情况下被花钱</v>
      </c>
      <c r="C84" s="2" t="s">
        <v>9</v>
      </c>
      <c r="D84" s="2" t="s">
        <v>10</v>
      </c>
      <c r="E84" s="2" t="str">
        <f>HYPERLINK("http://ts.21cn.com/tousu/show/id/1330464","http://ts.21cn.com/tousu/show/id/1330464")</f>
        <v>http://ts.21cn.com/tousu/show/id/1330464</v>
      </c>
      <c r="F84" s="2" t="s">
        <v>11</v>
      </c>
      <c r="G84" s="2" t="s">
        <v>44000</v>
      </c>
      <c r="H84" s="2" t="s">
        <v>44001</v>
      </c>
    </row>
    <row r="85" spans="1:8" ht="25.05" customHeight="1" x14ac:dyDescent="0.25">
      <c r="A85" s="2" t="s">
        <v>8</v>
      </c>
      <c r="B85" s="2" t="str">
        <f>HYPERLINK("http://ts.21cn.com/tousu/show/id/1330468","北京爱农全额退款")</f>
        <v>北京爱农全额退款</v>
      </c>
      <c r="C85" s="2" t="s">
        <v>34</v>
      </c>
      <c r="D85" s="2" t="s">
        <v>10</v>
      </c>
      <c r="E85" s="2" t="str">
        <f>HYPERLINK("http://ts.21cn.com/tousu/show/id/1330468","http://ts.21cn.com/tousu/show/id/1330468")</f>
        <v>http://ts.21cn.com/tousu/show/id/1330468</v>
      </c>
      <c r="F85" s="2" t="s">
        <v>11</v>
      </c>
      <c r="G85" s="2" t="s">
        <v>43998</v>
      </c>
      <c r="H85" s="2" t="s">
        <v>43999</v>
      </c>
    </row>
    <row r="86" spans="1:8" ht="25.05" customHeight="1" x14ac:dyDescent="0.25">
      <c r="A86" s="2" t="s">
        <v>8</v>
      </c>
      <c r="B86" s="2" t="str">
        <f>HYPERLINK("http://ts.21cn.com/tousu/show/id/1330469","斗鱼平台，传奇主播直播游戏含有赌博功能")</f>
        <v>斗鱼平台，传奇主播直播游戏含有赌博功能</v>
      </c>
      <c r="C86" s="2" t="s">
        <v>9</v>
      </c>
      <c r="D86" s="2" t="s">
        <v>10</v>
      </c>
      <c r="E86" s="2" t="str">
        <f>HYPERLINK("http://ts.21cn.com/tousu/show/id/1330469","http://ts.21cn.com/tousu/show/id/1330469")</f>
        <v>http://ts.21cn.com/tousu/show/id/1330469</v>
      </c>
      <c r="F86" s="2" t="s">
        <v>11</v>
      </c>
      <c r="G86" s="2" t="s">
        <v>43996</v>
      </c>
      <c r="H86" s="2" t="s">
        <v>43997</v>
      </c>
    </row>
    <row r="87" spans="1:8" ht="25.05" customHeight="1" x14ac:dyDescent="0.25">
      <c r="A87" s="2" t="s">
        <v>8</v>
      </c>
      <c r="B87" s="2" t="str">
        <f>HYPERLINK("http://ts.21cn.com/tousu/show/id/1330470","末满18不通过实名认证")</f>
        <v>末满18不通过实名认证</v>
      </c>
      <c r="C87" s="2" t="s">
        <v>9</v>
      </c>
      <c r="D87" s="2" t="s">
        <v>10</v>
      </c>
      <c r="E87" s="2" t="str">
        <f>HYPERLINK("http://ts.21cn.com/tousu/show/id/1330470","http://ts.21cn.com/tousu/show/id/1330470")</f>
        <v>http://ts.21cn.com/tousu/show/id/1330470</v>
      </c>
      <c r="F87" s="2" t="s">
        <v>11</v>
      </c>
      <c r="G87" s="2" t="s">
        <v>43994</v>
      </c>
      <c r="H87" s="2" t="s">
        <v>43995</v>
      </c>
    </row>
    <row r="88" spans="1:8" ht="25.05" customHeight="1" x14ac:dyDescent="0.25">
      <c r="A88" s="2" t="s">
        <v>8</v>
      </c>
      <c r="B88" s="2" t="str">
        <f>HYPERLINK("http://ts.21cn.com/tousu/show/id/1330471","卡牛瑞贷套路714")</f>
        <v>卡牛瑞贷套路714</v>
      </c>
      <c r="C88" s="2" t="s">
        <v>9</v>
      </c>
      <c r="D88" s="2" t="s">
        <v>10</v>
      </c>
      <c r="E88" s="2" t="str">
        <f>HYPERLINK("http://ts.21cn.com/tousu/show/id/1330471","http://ts.21cn.com/tousu/show/id/1330471")</f>
        <v>http://ts.21cn.com/tousu/show/id/1330471</v>
      </c>
      <c r="F88" s="2" t="s">
        <v>11</v>
      </c>
      <c r="G88" s="2" t="s">
        <v>43992</v>
      </c>
      <c r="H88" s="2" t="s">
        <v>43993</v>
      </c>
    </row>
    <row r="89" spans="1:8" ht="25.05" customHeight="1" x14ac:dyDescent="0.25">
      <c r="A89" s="2" t="s">
        <v>8</v>
      </c>
      <c r="B89" s="2" t="str">
        <f>HYPERLINK("http://ts.21cn.com/tousu/show/id/1330472","关于平安普惠小额贷款手续费用扣缴及提前还款违约金事项的咨询和投诉")</f>
        <v>关于平安普惠小额贷款手续费用扣缴及提前还款违约金事项的咨询和投诉</v>
      </c>
      <c r="C89" s="2" t="s">
        <v>9</v>
      </c>
      <c r="D89" s="2" t="s">
        <v>10</v>
      </c>
      <c r="E89" s="2" t="str">
        <f>HYPERLINK("http://ts.21cn.com/tousu/show/id/1330472","http://ts.21cn.com/tousu/show/id/1330472")</f>
        <v>http://ts.21cn.com/tousu/show/id/1330472</v>
      </c>
      <c r="F89" s="2" t="s">
        <v>11</v>
      </c>
      <c r="G89" s="2" t="s">
        <v>43990</v>
      </c>
      <c r="H89" s="2" t="s">
        <v>43991</v>
      </c>
    </row>
    <row r="90" spans="1:8" ht="25.05" customHeight="1" x14ac:dyDescent="0.25">
      <c r="A90" s="2" t="s">
        <v>8</v>
      </c>
      <c r="B90" s="2" t="str">
        <f>HYPERLINK("http://ts.21cn.com/tousu/show/id/1330474","立借－钱置宝高利贷，恶意套路逾期，无法还款，无法联系客服。")</f>
        <v>立借－钱置宝高利贷，恶意套路逾期，无法还款，无法联系客服。</v>
      </c>
      <c r="C90" s="2" t="s">
        <v>9</v>
      </c>
      <c r="D90" s="2" t="s">
        <v>10</v>
      </c>
      <c r="E90" s="2" t="str">
        <f>HYPERLINK("http://ts.21cn.com/tousu/show/id/1330474","http://ts.21cn.com/tousu/show/id/1330474")</f>
        <v>http://ts.21cn.com/tousu/show/id/1330474</v>
      </c>
      <c r="F90" s="2" t="s">
        <v>11</v>
      </c>
      <c r="G90" s="2" t="s">
        <v>43988</v>
      </c>
      <c r="H90" s="2" t="s">
        <v>43989</v>
      </c>
    </row>
    <row r="91" spans="1:8" ht="25.05" customHeight="1" x14ac:dyDescent="0.25">
      <c r="A91" s="2" t="s">
        <v>8</v>
      </c>
      <c r="B91" s="2" t="str">
        <f>HYPERLINK("http://ts.21cn.com/tousu/show/id/1330475","套路贷")</f>
        <v>套路贷</v>
      </c>
      <c r="C91" s="2" t="s">
        <v>9</v>
      </c>
      <c r="D91" s="2" t="s">
        <v>10</v>
      </c>
      <c r="E91" s="2" t="str">
        <f>HYPERLINK("http://ts.21cn.com/tousu/show/id/1330475","http://ts.21cn.com/tousu/show/id/1330475")</f>
        <v>http://ts.21cn.com/tousu/show/id/1330475</v>
      </c>
      <c r="F91" s="2" t="s">
        <v>11</v>
      </c>
      <c r="G91" s="2" t="s">
        <v>43986</v>
      </c>
      <c r="H91" s="2" t="s">
        <v>43987</v>
      </c>
    </row>
    <row r="92" spans="1:8" ht="25.05" customHeight="1" x14ac:dyDescent="0.25">
      <c r="A92" s="2" t="s">
        <v>8</v>
      </c>
      <c r="B92" s="2" t="str">
        <f>HYPERLINK("http://ts.21cn.com/tousu/show/id/1330476","滴滴平台不派单")</f>
        <v>滴滴平台不派单</v>
      </c>
      <c r="C92" s="2" t="s">
        <v>9</v>
      </c>
      <c r="D92" s="2" t="s">
        <v>10</v>
      </c>
      <c r="E92" s="2" t="str">
        <f>HYPERLINK("http://ts.21cn.com/tousu/show/id/1330476","http://ts.21cn.com/tousu/show/id/1330476")</f>
        <v>http://ts.21cn.com/tousu/show/id/1330476</v>
      </c>
      <c r="F92" s="2" t="s">
        <v>11</v>
      </c>
      <c r="G92" s="2" t="s">
        <v>43984</v>
      </c>
      <c r="H92" s="2" t="s">
        <v>43985</v>
      </c>
    </row>
    <row r="93" spans="1:8" ht="25.05" customHeight="1" x14ac:dyDescent="0.25">
      <c r="A93" s="2" t="s">
        <v>8</v>
      </c>
      <c r="B93" s="2" t="str">
        <f>HYPERLINK("http://ts.21cn.com/tousu/show/id/1330478","自由魔卡信用计划")</f>
        <v>自由魔卡信用计划</v>
      </c>
      <c r="C93" s="2" t="s">
        <v>34</v>
      </c>
      <c r="D93" s="2" t="s">
        <v>10</v>
      </c>
      <c r="E93" s="2" t="str">
        <f>HYPERLINK("http://ts.21cn.com/tousu/show/id/1330478","http://ts.21cn.com/tousu/show/id/1330478")</f>
        <v>http://ts.21cn.com/tousu/show/id/1330478</v>
      </c>
      <c r="F93" s="2" t="s">
        <v>11</v>
      </c>
      <c r="G93" s="2" t="s">
        <v>43982</v>
      </c>
      <c r="H93" s="2" t="s">
        <v>43983</v>
      </c>
    </row>
    <row r="94" spans="1:8" ht="25.05" customHeight="1" x14ac:dyDescent="0.25">
      <c r="A94" s="2" t="s">
        <v>8</v>
      </c>
      <c r="B94" s="2" t="str">
        <f>HYPERLINK("http://ts.21cn.com/tousu/show/id/1330480","北京有缘欺骗消费")</f>
        <v>北京有缘欺骗消费</v>
      </c>
      <c r="C94" s="2" t="s">
        <v>9</v>
      </c>
      <c r="D94" s="2" t="s">
        <v>10</v>
      </c>
      <c r="E94" s="2" t="str">
        <f>HYPERLINK("http://ts.21cn.com/tousu/show/id/1330480","http://ts.21cn.com/tousu/show/id/1330480")</f>
        <v>http://ts.21cn.com/tousu/show/id/1330480</v>
      </c>
      <c r="F94" s="2" t="s">
        <v>11</v>
      </c>
      <c r="G94" s="2" t="s">
        <v>43980</v>
      </c>
      <c r="H94" s="2" t="s">
        <v>43981</v>
      </c>
    </row>
    <row r="95" spans="1:8" ht="25.05" customHeight="1" x14ac:dyDescent="0.25">
      <c r="A95" s="2" t="s">
        <v>8</v>
      </c>
      <c r="B95" s="2" t="str">
        <f>HYPERLINK("http://ts.21cn.com/tousu/show/id/1330481","掌众金服闪电借款变相砍头")</f>
        <v>掌众金服闪电借款变相砍头</v>
      </c>
      <c r="C95" s="2" t="s">
        <v>9</v>
      </c>
      <c r="D95" s="2" t="s">
        <v>10</v>
      </c>
      <c r="E95" s="2" t="str">
        <f>HYPERLINK("http://ts.21cn.com/tousu/show/id/1330481","http://ts.21cn.com/tousu/show/id/1330481")</f>
        <v>http://ts.21cn.com/tousu/show/id/1330481</v>
      </c>
      <c r="F95" s="2" t="s">
        <v>11</v>
      </c>
      <c r="G95" s="2" t="s">
        <v>43978</v>
      </c>
      <c r="H95" s="2" t="s">
        <v>43979</v>
      </c>
    </row>
    <row r="96" spans="1:8" ht="25.05" customHeight="1" x14ac:dyDescent="0.25">
      <c r="A96" s="2" t="s">
        <v>8</v>
      </c>
      <c r="B96" s="2" t="str">
        <f>HYPERLINK("http://ts.21cn.com/tousu/show/id/1330482","没有用他们家的借款，过几天无缘无故乱扣我银行卡的钱")</f>
        <v>没有用他们家的借款，过几天无缘无故乱扣我银行卡的钱</v>
      </c>
      <c r="C96" s="2" t="s">
        <v>9</v>
      </c>
      <c r="D96" s="2" t="s">
        <v>10</v>
      </c>
      <c r="E96" s="2" t="str">
        <f>HYPERLINK("http://ts.21cn.com/tousu/show/id/1330482","http://ts.21cn.com/tousu/show/id/1330482")</f>
        <v>http://ts.21cn.com/tousu/show/id/1330482</v>
      </c>
      <c r="F96" s="2" t="s">
        <v>11</v>
      </c>
      <c r="G96" s="2" t="s">
        <v>43976</v>
      </c>
      <c r="H96" s="2" t="s">
        <v>43977</v>
      </c>
    </row>
    <row r="97" spans="1:8" ht="25.05" customHeight="1" x14ac:dyDescent="0.25">
      <c r="A97" s="2" t="s">
        <v>8</v>
      </c>
      <c r="B97" s="2" t="str">
        <f>HYPERLINK("http://ts.21cn.com/tousu/show/id/1330483","及贷放砍头贷而且年化利息超过36％隐藏借款合同")</f>
        <v>及贷放砍头贷而且年化利息超过36％隐藏借款合同</v>
      </c>
      <c r="C97" s="2" t="s">
        <v>9</v>
      </c>
      <c r="D97" s="2" t="s">
        <v>10</v>
      </c>
      <c r="E97" s="2" t="str">
        <f>HYPERLINK("http://ts.21cn.com/tousu/show/id/1330483","http://ts.21cn.com/tousu/show/id/1330483")</f>
        <v>http://ts.21cn.com/tousu/show/id/1330483</v>
      </c>
      <c r="F97" s="2" t="s">
        <v>11</v>
      </c>
      <c r="G97" s="2" t="s">
        <v>43974</v>
      </c>
      <c r="H97" s="2" t="s">
        <v>43975</v>
      </c>
    </row>
    <row r="98" spans="1:8" ht="25.05" customHeight="1" x14ac:dyDescent="0.25">
      <c r="A98" s="2" t="s">
        <v>8</v>
      </c>
      <c r="B98" s="2" t="str">
        <f>HYPERLINK("http://ts.21cn.com/tousu/show/id/1330484","未经过本人同意私自退货")</f>
        <v>未经过本人同意私自退货</v>
      </c>
      <c r="C98" s="2" t="s">
        <v>9</v>
      </c>
      <c r="D98" s="2" t="s">
        <v>10</v>
      </c>
      <c r="E98" s="2" t="str">
        <f>HYPERLINK("http://ts.21cn.com/tousu/show/id/1330484","http://ts.21cn.com/tousu/show/id/1330484")</f>
        <v>http://ts.21cn.com/tousu/show/id/1330484</v>
      </c>
      <c r="F98" s="2" t="s">
        <v>11</v>
      </c>
      <c r="G98" s="2" t="s">
        <v>43972</v>
      </c>
      <c r="H98" s="2" t="s">
        <v>43973</v>
      </c>
    </row>
    <row r="99" spans="1:8" ht="25.05" customHeight="1" x14ac:dyDescent="0.25">
      <c r="A99" s="2" t="s">
        <v>8</v>
      </c>
      <c r="B99" s="2" t="str">
        <f>HYPERLINK("http://ts.21cn.com/tousu/show/id/1330486","在智行购票成功后查询不到订单")</f>
        <v>在智行购票成功后查询不到订单</v>
      </c>
      <c r="C99" s="2" t="s">
        <v>34</v>
      </c>
      <c r="D99" s="2" t="s">
        <v>10</v>
      </c>
      <c r="E99" s="2" t="str">
        <f>HYPERLINK("http://ts.21cn.com/tousu/show/id/1330486","http://ts.21cn.com/tousu/show/id/1330486")</f>
        <v>http://ts.21cn.com/tousu/show/id/1330486</v>
      </c>
      <c r="F99" s="2" t="s">
        <v>11</v>
      </c>
      <c r="G99" s="2" t="s">
        <v>43970</v>
      </c>
      <c r="H99" s="2" t="s">
        <v>43971</v>
      </c>
    </row>
    <row r="100" spans="1:8" ht="25.05" customHeight="1" x14ac:dyDescent="0.25">
      <c r="A100" s="2" t="s">
        <v>8</v>
      </c>
      <c r="B100" s="2" t="str">
        <f>HYPERLINK("http://ts.21cn.com/tousu/show/id/1330488","小象优品爆通讯录乱发短信")</f>
        <v>小象优品爆通讯录乱发短信</v>
      </c>
      <c r="C100" s="2" t="s">
        <v>9</v>
      </c>
      <c r="D100" s="2" t="s">
        <v>10</v>
      </c>
      <c r="E100" s="2" t="str">
        <f>HYPERLINK("http://ts.21cn.com/tousu/show/id/1330488","http://ts.21cn.com/tousu/show/id/1330488")</f>
        <v>http://ts.21cn.com/tousu/show/id/1330488</v>
      </c>
      <c r="F100" s="2" t="s">
        <v>11</v>
      </c>
      <c r="G100" s="2" t="s">
        <v>43968</v>
      </c>
      <c r="H100" s="2" t="s">
        <v>43969</v>
      </c>
    </row>
    <row r="101" spans="1:8" ht="25.05" customHeight="1" x14ac:dyDescent="0.25">
      <c r="A101" s="2" t="s">
        <v>8</v>
      </c>
      <c r="B101" s="2" t="str">
        <f>HYPERLINK("http://ts.21cn.com/tousu/show/id/1330489","使用高德地图导航故意隐藏过桥费")</f>
        <v>使用高德地图导航故意隐藏过桥费</v>
      </c>
      <c r="C101" s="2" t="s">
        <v>9</v>
      </c>
      <c r="D101" s="2" t="s">
        <v>10</v>
      </c>
      <c r="E101" s="2" t="str">
        <f>HYPERLINK("http://ts.21cn.com/tousu/show/id/1330489","http://ts.21cn.com/tousu/show/id/1330489")</f>
        <v>http://ts.21cn.com/tousu/show/id/1330489</v>
      </c>
      <c r="F101" s="2" t="s">
        <v>11</v>
      </c>
      <c r="G101" s="2" t="s">
        <v>43966</v>
      </c>
      <c r="H101" s="2" t="s">
        <v>43967</v>
      </c>
    </row>
    <row r="102" spans="1:8" ht="25.05" customHeight="1" x14ac:dyDescent="0.25">
      <c r="A102" s="2" t="s">
        <v>8</v>
      </c>
      <c r="B102" s="2" t="str">
        <f>HYPERLINK("http://ts.21cn.com/tousu/show/id/1328790","招联")</f>
        <v>招联</v>
      </c>
      <c r="C102" s="2" t="s">
        <v>9</v>
      </c>
      <c r="D102" s="2" t="s">
        <v>10</v>
      </c>
      <c r="E102" s="2" t="str">
        <f>HYPERLINK("http://ts.21cn.com/tousu/show/id/1328790","http://ts.21cn.com/tousu/show/id/1328790")</f>
        <v>http://ts.21cn.com/tousu/show/id/1328790</v>
      </c>
      <c r="F102" s="2" t="s">
        <v>11</v>
      </c>
      <c r="G102" s="2" t="s">
        <v>43964</v>
      </c>
      <c r="H102" s="2" t="s">
        <v>43965</v>
      </c>
    </row>
    <row r="103" spans="1:8" ht="25.05" customHeight="1" x14ac:dyDescent="0.25">
      <c r="A103" s="2" t="s">
        <v>8</v>
      </c>
      <c r="B103" s="2" t="str">
        <f>HYPERLINK("http://ts.21cn.com/tousu/show/id/1330490","支付宝缴纳的共享汽车保证金499元没有退还")</f>
        <v>支付宝缴纳的共享汽车保证金499元没有退还</v>
      </c>
      <c r="C103" s="2" t="s">
        <v>9</v>
      </c>
      <c r="D103" s="2" t="s">
        <v>10</v>
      </c>
      <c r="E103" s="2" t="str">
        <f>HYPERLINK("http://ts.21cn.com/tousu/show/id/1330490","http://ts.21cn.com/tousu/show/id/1330490")</f>
        <v>http://ts.21cn.com/tousu/show/id/1330490</v>
      </c>
      <c r="F103" s="2" t="s">
        <v>11</v>
      </c>
      <c r="G103" s="2" t="s">
        <v>43962</v>
      </c>
      <c r="H103" s="2" t="s">
        <v>43963</v>
      </c>
    </row>
    <row r="104" spans="1:8" ht="25.05" customHeight="1" x14ac:dyDescent="0.25">
      <c r="A104" s="2" t="s">
        <v>8</v>
      </c>
      <c r="B104" s="2" t="str">
        <f>HYPERLINK("http://ts.21cn.com/tousu/show/id/1330491","乘客损坏车辆公司扣罚司机钱")</f>
        <v>乘客损坏车辆公司扣罚司机钱</v>
      </c>
      <c r="C104" s="2" t="s">
        <v>9</v>
      </c>
      <c r="D104" s="2" t="s">
        <v>10</v>
      </c>
      <c r="E104" s="2" t="str">
        <f>HYPERLINK("http://ts.21cn.com/tousu/show/id/1330491","http://ts.21cn.com/tousu/show/id/1330491")</f>
        <v>http://ts.21cn.com/tousu/show/id/1330491</v>
      </c>
      <c r="F104" s="2" t="s">
        <v>11</v>
      </c>
      <c r="G104" s="2" t="s">
        <v>43960</v>
      </c>
      <c r="H104" s="2" t="s">
        <v>43961</v>
      </c>
    </row>
    <row r="105" spans="1:8" ht="25.05" customHeight="1" x14ac:dyDescent="0.25">
      <c r="A105" s="2" t="s">
        <v>8</v>
      </c>
      <c r="B105" s="2" t="str">
        <f>HYPERLINK("http://ts.21cn.com/tousu/show/id/1330492","欺诈胡乱扣款")</f>
        <v>欺诈胡乱扣款</v>
      </c>
      <c r="C105" s="2" t="s">
        <v>9</v>
      </c>
      <c r="D105" s="2" t="s">
        <v>10</v>
      </c>
      <c r="E105" s="2" t="str">
        <f>HYPERLINK("http://ts.21cn.com/tousu/show/id/1330492","http://ts.21cn.com/tousu/show/id/1330492")</f>
        <v>http://ts.21cn.com/tousu/show/id/1330492</v>
      </c>
      <c r="F105" s="2" t="s">
        <v>11</v>
      </c>
      <c r="G105" s="2" t="s">
        <v>43958</v>
      </c>
      <c r="H105" s="2" t="s">
        <v>43959</v>
      </c>
    </row>
    <row r="106" spans="1:8" ht="25.05" customHeight="1" x14ac:dyDescent="0.25">
      <c r="A106" s="2" t="s">
        <v>8</v>
      </c>
      <c r="B106" s="2" t="str">
        <f>HYPERLINK("http://ts.21cn.com/tousu/show/id/1330493","高利贷")</f>
        <v>高利贷</v>
      </c>
      <c r="C106" s="2" t="s">
        <v>9</v>
      </c>
      <c r="D106" s="2" t="s">
        <v>10</v>
      </c>
      <c r="E106" s="2" t="str">
        <f>HYPERLINK("http://ts.21cn.com/tousu/show/id/1330493","http://ts.21cn.com/tousu/show/id/1330493")</f>
        <v>http://ts.21cn.com/tousu/show/id/1330493</v>
      </c>
      <c r="F106" s="2" t="s">
        <v>11</v>
      </c>
      <c r="G106" s="2" t="s">
        <v>43956</v>
      </c>
      <c r="H106" s="2" t="s">
        <v>43957</v>
      </c>
    </row>
    <row r="107" spans="1:8" ht="25.05" customHeight="1" x14ac:dyDescent="0.25">
      <c r="A107" s="2" t="s">
        <v>8</v>
      </c>
      <c r="B107" s="2" t="str">
        <f>HYPERLINK("http://ts.21cn.com/tousu/show/id/1330494","亚博全站APP")</f>
        <v>亚博全站APP</v>
      </c>
      <c r="C107" s="2" t="s">
        <v>9</v>
      </c>
      <c r="D107" s="2" t="s">
        <v>10</v>
      </c>
      <c r="E107" s="2" t="str">
        <f>HYPERLINK("http://ts.21cn.com/tousu/show/id/1330494","http://ts.21cn.com/tousu/show/id/1330494")</f>
        <v>http://ts.21cn.com/tousu/show/id/1330494</v>
      </c>
      <c r="F107" s="2" t="s">
        <v>11</v>
      </c>
      <c r="G107" s="2" t="s">
        <v>43954</v>
      </c>
      <c r="H107" s="2" t="s">
        <v>43955</v>
      </c>
    </row>
    <row r="108" spans="1:8" ht="25.05" customHeight="1" x14ac:dyDescent="0.25">
      <c r="A108" s="2" t="s">
        <v>8</v>
      </c>
      <c r="B108" s="2" t="str">
        <f>HYPERLINK("http://ts.21cn.com/tousu/show/id/1330496","聚福钱包未经许可私自扣款")</f>
        <v>聚福钱包未经许可私自扣款</v>
      </c>
      <c r="C108" s="2" t="s">
        <v>9</v>
      </c>
      <c r="D108" s="2" t="s">
        <v>10</v>
      </c>
      <c r="E108" s="2" t="str">
        <f>HYPERLINK("http://ts.21cn.com/tousu/show/id/1330496","http://ts.21cn.com/tousu/show/id/1330496")</f>
        <v>http://ts.21cn.com/tousu/show/id/1330496</v>
      </c>
      <c r="F108" s="2" t="s">
        <v>11</v>
      </c>
      <c r="G108" s="2" t="s">
        <v>43952</v>
      </c>
      <c r="H108" s="2" t="s">
        <v>43953</v>
      </c>
    </row>
    <row r="109" spans="1:8" ht="25.05" customHeight="1" x14ac:dyDescent="0.25">
      <c r="A109" s="2" t="s">
        <v>8</v>
      </c>
      <c r="B109" s="2" t="str">
        <f>HYPERLINK("http://ts.21cn.com/tousu/show/id/1330497","51即可有（原叫给你花）平台虽然电话通讯录")</f>
        <v>51即可有（原叫给你花）平台虽然电话通讯录</v>
      </c>
      <c r="C109" s="2" t="s">
        <v>9</v>
      </c>
      <c r="D109" s="2" t="s">
        <v>10</v>
      </c>
      <c r="E109" s="2" t="str">
        <f>HYPERLINK("http://ts.21cn.com/tousu/show/id/1330497","http://ts.21cn.com/tousu/show/id/1330497")</f>
        <v>http://ts.21cn.com/tousu/show/id/1330497</v>
      </c>
      <c r="F109" s="2" t="s">
        <v>11</v>
      </c>
      <c r="G109" s="2" t="s">
        <v>43950</v>
      </c>
      <c r="H109" s="2" t="s">
        <v>43951</v>
      </c>
    </row>
    <row r="110" spans="1:8" ht="25.05" customHeight="1" x14ac:dyDescent="0.25">
      <c r="A110" s="2" t="s">
        <v>8</v>
      </c>
      <c r="B110" s="2" t="str">
        <f>HYPERLINK("http://ts.21cn.com/tousu/show/id/1330499","造艺旗下聚福钱包退款")</f>
        <v>造艺旗下聚福钱包退款</v>
      </c>
      <c r="C110" s="2" t="s">
        <v>34</v>
      </c>
      <c r="D110" s="2" t="s">
        <v>10</v>
      </c>
      <c r="E110" s="2" t="str">
        <f>HYPERLINK("http://ts.21cn.com/tousu/show/id/1330499","http://ts.21cn.com/tousu/show/id/1330499")</f>
        <v>http://ts.21cn.com/tousu/show/id/1330499</v>
      </c>
      <c r="F110" s="2" t="s">
        <v>11</v>
      </c>
      <c r="G110" s="2" t="s">
        <v>43948</v>
      </c>
      <c r="H110" s="2" t="s">
        <v>43949</v>
      </c>
    </row>
    <row r="111" spans="1:8" ht="25.05" customHeight="1" x14ac:dyDescent="0.25">
      <c r="A111" s="2" t="s">
        <v>8</v>
      </c>
      <c r="B111" s="2" t="str">
        <f>HYPERLINK("http://ts.21cn.com/tousu/show/id/1330500","高额逾期费一天100")</f>
        <v>高额逾期费一天100</v>
      </c>
      <c r="C111" s="2" t="s">
        <v>9</v>
      </c>
      <c r="D111" s="2" t="s">
        <v>10</v>
      </c>
      <c r="E111" s="2" t="str">
        <f>HYPERLINK("http://ts.21cn.com/tousu/show/id/1330500","http://ts.21cn.com/tousu/show/id/1330500")</f>
        <v>http://ts.21cn.com/tousu/show/id/1330500</v>
      </c>
      <c r="F111" s="2" t="s">
        <v>11</v>
      </c>
      <c r="G111" s="2" t="s">
        <v>43946</v>
      </c>
      <c r="H111" s="2" t="s">
        <v>43947</v>
      </c>
    </row>
    <row r="112" spans="1:8" ht="25.05" customHeight="1" x14ac:dyDescent="0.25">
      <c r="A112" s="2" t="s">
        <v>8</v>
      </c>
      <c r="B112" s="2" t="str">
        <f>HYPERLINK("http://ts.21cn.com/tousu/show/id/1330501","上海造艺网络技术有限公司")</f>
        <v>上海造艺网络技术有限公司</v>
      </c>
      <c r="C112" s="2" t="s">
        <v>9</v>
      </c>
      <c r="D112" s="2" t="s">
        <v>10</v>
      </c>
      <c r="E112" s="2" t="str">
        <f>HYPERLINK("http://ts.21cn.com/tousu/show/id/1330501","http://ts.21cn.com/tousu/show/id/1330501")</f>
        <v>http://ts.21cn.com/tousu/show/id/1330501</v>
      </c>
      <c r="F112" s="2" t="s">
        <v>11</v>
      </c>
      <c r="G112" s="2" t="s">
        <v>43944</v>
      </c>
      <c r="H112" s="2" t="s">
        <v>43945</v>
      </c>
    </row>
    <row r="113" spans="1:8" ht="25.05" customHeight="1" x14ac:dyDescent="0.25">
      <c r="A113" s="2" t="s">
        <v>8</v>
      </c>
      <c r="B113" s="2" t="str">
        <f>HYPERLINK("http://ts.21cn.com/tousu/show/id/1330502","无缘无故消费1485")</f>
        <v>无缘无故消费1485</v>
      </c>
      <c r="C113" s="2" t="s">
        <v>34</v>
      </c>
      <c r="D113" s="2" t="s">
        <v>10</v>
      </c>
      <c r="E113" s="2" t="str">
        <f>HYPERLINK("http://ts.21cn.com/tousu/show/id/1330502","http://ts.21cn.com/tousu/show/id/1330502")</f>
        <v>http://ts.21cn.com/tousu/show/id/1330502</v>
      </c>
      <c r="F113" s="2" t="s">
        <v>11</v>
      </c>
      <c r="G113" s="2" t="s">
        <v>43942</v>
      </c>
      <c r="H113" s="2" t="s">
        <v>43943</v>
      </c>
    </row>
    <row r="114" spans="1:8" ht="25.05" customHeight="1" x14ac:dyDescent="0.25">
      <c r="A114" s="2" t="s">
        <v>8</v>
      </c>
      <c r="B114" s="2" t="str">
        <f>HYPERLINK("http://ts.21cn.com/tousu/show/id/1330503","上海造艺网络技术有限公司")</f>
        <v>上海造艺网络技术有限公司</v>
      </c>
      <c r="C114" s="2" t="s">
        <v>34</v>
      </c>
      <c r="D114" s="2" t="s">
        <v>10</v>
      </c>
      <c r="E114" s="2" t="str">
        <f>HYPERLINK("http://ts.21cn.com/tousu/show/id/1330503","http://ts.21cn.com/tousu/show/id/1330503")</f>
        <v>http://ts.21cn.com/tousu/show/id/1330503</v>
      </c>
      <c r="F114" s="2" t="s">
        <v>11</v>
      </c>
      <c r="G114" s="2" t="s">
        <v>43940</v>
      </c>
      <c r="H114" s="2" t="s">
        <v>43941</v>
      </c>
    </row>
    <row r="115" spans="1:8" ht="25.05" customHeight="1" x14ac:dyDescent="0.25">
      <c r="A115" s="2" t="s">
        <v>8</v>
      </c>
      <c r="B115" s="2" t="str">
        <f>HYPERLINK("http://ts.21cn.com/tousu/show/id/1330504","退保费")</f>
        <v>退保费</v>
      </c>
      <c r="C115" s="2" t="s">
        <v>9</v>
      </c>
      <c r="D115" s="2" t="s">
        <v>10</v>
      </c>
      <c r="E115" s="2" t="str">
        <f>HYPERLINK("http://ts.21cn.com/tousu/show/id/1330504","http://ts.21cn.com/tousu/show/id/1330504")</f>
        <v>http://ts.21cn.com/tousu/show/id/1330504</v>
      </c>
      <c r="F115" s="2" t="s">
        <v>11</v>
      </c>
      <c r="G115" s="2" t="s">
        <v>43938</v>
      </c>
      <c r="H115" s="2" t="s">
        <v>43939</v>
      </c>
    </row>
    <row r="116" spans="1:8" ht="25.05" customHeight="1" x14ac:dyDescent="0.25">
      <c r="A116" s="2" t="s">
        <v>8</v>
      </c>
      <c r="B116" s="2" t="str">
        <f>HYPERLINK("http://ts.21cn.com/tousu/show/id/1330505","豹子贷无故扣钱不需要还要扣")</f>
        <v>豹子贷无故扣钱不需要还要扣</v>
      </c>
      <c r="C116" s="2" t="s">
        <v>9</v>
      </c>
      <c r="D116" s="2" t="s">
        <v>10</v>
      </c>
      <c r="E116" s="2" t="str">
        <f>HYPERLINK("http://ts.21cn.com/tousu/show/id/1330505","http://ts.21cn.com/tousu/show/id/1330505")</f>
        <v>http://ts.21cn.com/tousu/show/id/1330505</v>
      </c>
      <c r="F116" s="2" t="s">
        <v>11</v>
      </c>
      <c r="G116" s="2" t="s">
        <v>43937</v>
      </c>
      <c r="H116" s="2" t="s">
        <v>15916</v>
      </c>
    </row>
    <row r="117" spans="1:8" ht="25.05" customHeight="1" x14ac:dyDescent="0.25">
      <c r="A117" s="2" t="s">
        <v>8</v>
      </c>
      <c r="B117" s="2" t="str">
        <f>HYPERLINK("http://ts.21cn.com/tousu/show/id/1330506","变相要求付担保凭证，希望退还")</f>
        <v>变相要求付担保凭证，希望退还</v>
      </c>
      <c r="C117" s="2" t="s">
        <v>9</v>
      </c>
      <c r="D117" s="2" t="s">
        <v>10</v>
      </c>
      <c r="E117" s="2" t="str">
        <f>HYPERLINK("http://ts.21cn.com/tousu/show/id/1330506","http://ts.21cn.com/tousu/show/id/1330506")</f>
        <v>http://ts.21cn.com/tousu/show/id/1330506</v>
      </c>
      <c r="F117" s="2" t="s">
        <v>11</v>
      </c>
      <c r="G117" s="2" t="s">
        <v>43935</v>
      </c>
      <c r="H117" s="2" t="s">
        <v>43936</v>
      </c>
    </row>
    <row r="118" spans="1:8" ht="25.05" customHeight="1" x14ac:dyDescent="0.25">
      <c r="A118" s="2" t="s">
        <v>8</v>
      </c>
      <c r="B118" s="2" t="str">
        <f>HYPERLINK("http://ts.21cn.com/tousu/show/id/1330507","拍拍贷协商还款不同意第三方威胁打通讯录")</f>
        <v>拍拍贷协商还款不同意第三方威胁打通讯录</v>
      </c>
      <c r="C118" s="2" t="s">
        <v>9</v>
      </c>
      <c r="D118" s="2" t="s">
        <v>10</v>
      </c>
      <c r="E118" s="2" t="str">
        <f>HYPERLINK("http://ts.21cn.com/tousu/show/id/1330507","http://ts.21cn.com/tousu/show/id/1330507")</f>
        <v>http://ts.21cn.com/tousu/show/id/1330507</v>
      </c>
      <c r="F118" s="2" t="s">
        <v>11</v>
      </c>
      <c r="G118" s="2" t="s">
        <v>43933</v>
      </c>
      <c r="H118" s="2" t="s">
        <v>43934</v>
      </c>
    </row>
    <row r="119" spans="1:8" ht="25.05" customHeight="1" x14ac:dyDescent="0.25">
      <c r="A119" s="2" t="s">
        <v>8</v>
      </c>
      <c r="B119" s="2" t="str">
        <f>HYPERLINK("http://ts.21cn.com/tousu/show/id/1330508","百事普惠恶意扣款")</f>
        <v>百事普惠恶意扣款</v>
      </c>
      <c r="C119" s="2" t="s">
        <v>9</v>
      </c>
      <c r="D119" s="2" t="s">
        <v>10</v>
      </c>
      <c r="E119" s="2" t="str">
        <f>HYPERLINK("http://ts.21cn.com/tousu/show/id/1330508","http://ts.21cn.com/tousu/show/id/1330508")</f>
        <v>http://ts.21cn.com/tousu/show/id/1330508</v>
      </c>
      <c r="F119" s="2" t="s">
        <v>11</v>
      </c>
      <c r="G119" s="2" t="s">
        <v>43931</v>
      </c>
      <c r="H119" s="2" t="s">
        <v>43932</v>
      </c>
    </row>
    <row r="120" spans="1:8" ht="25.05" customHeight="1" x14ac:dyDescent="0.25">
      <c r="A120" s="2" t="s">
        <v>8</v>
      </c>
      <c r="B120" s="2" t="str">
        <f>HYPERLINK("http://ts.21cn.com/tousu/show/id/1330510","闪卡快贷涉嫌违法")</f>
        <v>闪卡快贷涉嫌违法</v>
      </c>
      <c r="C120" s="2" t="s">
        <v>9</v>
      </c>
      <c r="D120" s="2" t="s">
        <v>10</v>
      </c>
      <c r="E120" s="2" t="str">
        <f>HYPERLINK("http://ts.21cn.com/tousu/show/id/1330510","http://ts.21cn.com/tousu/show/id/1330510")</f>
        <v>http://ts.21cn.com/tousu/show/id/1330510</v>
      </c>
      <c r="F120" s="2" t="s">
        <v>11</v>
      </c>
      <c r="G120" s="2" t="s">
        <v>43929</v>
      </c>
      <c r="H120" s="2" t="s">
        <v>43930</v>
      </c>
    </row>
    <row r="121" spans="1:8" ht="25.05" customHeight="1" x14ac:dyDescent="0.25">
      <c r="A121" s="2" t="s">
        <v>8</v>
      </c>
      <c r="B121" s="2" t="str">
        <f>HYPERLINK("http://ts.21cn.com/tousu/show/id/1330511","哈啰顺风车半路丢乘客")</f>
        <v>哈啰顺风车半路丢乘客</v>
      </c>
      <c r="C121" s="2" t="s">
        <v>9</v>
      </c>
      <c r="D121" s="2" t="s">
        <v>10</v>
      </c>
      <c r="E121" s="2" t="str">
        <f>HYPERLINK("http://ts.21cn.com/tousu/show/id/1330511","http://ts.21cn.com/tousu/show/id/1330511")</f>
        <v>http://ts.21cn.com/tousu/show/id/1330511</v>
      </c>
      <c r="F121" s="2" t="s">
        <v>11</v>
      </c>
      <c r="G121" s="2" t="s">
        <v>43927</v>
      </c>
      <c r="H121" s="2" t="s">
        <v>43928</v>
      </c>
    </row>
    <row r="122" spans="1:8" ht="25.05" customHeight="1" x14ac:dyDescent="0.25">
      <c r="A122" s="2" t="s">
        <v>8</v>
      </c>
      <c r="B122" s="2" t="str">
        <f>HYPERLINK("http://ts.21cn.com/tousu/show/id/1330512","马上消费金融从银行卡里乱扣钱")</f>
        <v>马上消费金融从银行卡里乱扣钱</v>
      </c>
      <c r="C122" s="2" t="s">
        <v>9</v>
      </c>
      <c r="D122" s="2" t="s">
        <v>10</v>
      </c>
      <c r="E122" s="2" t="str">
        <f>HYPERLINK("http://ts.21cn.com/tousu/show/id/1330512","http://ts.21cn.com/tousu/show/id/1330512")</f>
        <v>http://ts.21cn.com/tousu/show/id/1330512</v>
      </c>
      <c r="F122" s="2" t="s">
        <v>11</v>
      </c>
      <c r="G122" s="2" t="s">
        <v>43925</v>
      </c>
      <c r="H122" s="2" t="s">
        <v>43926</v>
      </c>
    </row>
    <row r="123" spans="1:8" ht="25.05" customHeight="1" x14ac:dyDescent="0.25">
      <c r="A123" s="2" t="s">
        <v>8</v>
      </c>
      <c r="B123" s="2" t="str">
        <f>HYPERLINK("http://ts.21cn.com/tousu/show/id/1330513","贷上钱强制购买简职小秘书，变相高利贷")</f>
        <v>贷上钱强制购买简职小秘书，变相高利贷</v>
      </c>
      <c r="C123" s="2" t="s">
        <v>9</v>
      </c>
      <c r="D123" s="2" t="s">
        <v>10</v>
      </c>
      <c r="E123" s="2" t="str">
        <f>HYPERLINK("http://ts.21cn.com/tousu/show/id/1330513","http://ts.21cn.com/tousu/show/id/1330513")</f>
        <v>http://ts.21cn.com/tousu/show/id/1330513</v>
      </c>
      <c r="F123" s="2" t="s">
        <v>11</v>
      </c>
      <c r="G123" s="2" t="s">
        <v>43923</v>
      </c>
      <c r="H123" s="2" t="s">
        <v>43924</v>
      </c>
    </row>
    <row r="124" spans="1:8" ht="25.05" customHeight="1" x14ac:dyDescent="0.25">
      <c r="A124" s="2" t="s">
        <v>8</v>
      </c>
      <c r="B124" s="2" t="str">
        <f>HYPERLINK("http://ts.21cn.com/tousu/show/id/1330514","信用管家青春宝高利贷砍头息")</f>
        <v>信用管家青春宝高利贷砍头息</v>
      </c>
      <c r="C124" s="2" t="s">
        <v>9</v>
      </c>
      <c r="D124" s="2" t="s">
        <v>10</v>
      </c>
      <c r="E124" s="2" t="str">
        <f>HYPERLINK("http://ts.21cn.com/tousu/show/id/1330514","http://ts.21cn.com/tousu/show/id/1330514")</f>
        <v>http://ts.21cn.com/tousu/show/id/1330514</v>
      </c>
      <c r="F124" s="2" t="s">
        <v>11</v>
      </c>
      <c r="G124" s="2" t="s">
        <v>43921</v>
      </c>
      <c r="H124" s="2" t="s">
        <v>43922</v>
      </c>
    </row>
    <row r="125" spans="1:8" ht="25.05" customHeight="1" x14ac:dyDescent="0.25">
      <c r="A125" s="2" t="s">
        <v>8</v>
      </c>
      <c r="B125" s="2" t="str">
        <f>HYPERLINK("http://ts.21cn.com/tousu/show/id/1330516","开店宝期诈")</f>
        <v>开店宝期诈</v>
      </c>
      <c r="C125" s="2" t="s">
        <v>9</v>
      </c>
      <c r="D125" s="2" t="s">
        <v>10</v>
      </c>
      <c r="E125" s="2" t="str">
        <f>HYPERLINK("http://ts.21cn.com/tousu/show/id/1330516","http://ts.21cn.com/tousu/show/id/1330516")</f>
        <v>http://ts.21cn.com/tousu/show/id/1330516</v>
      </c>
      <c r="F125" s="2" t="s">
        <v>11</v>
      </c>
      <c r="G125" s="2" t="s">
        <v>43919</v>
      </c>
      <c r="H125" s="2" t="s">
        <v>43920</v>
      </c>
    </row>
    <row r="126" spans="1:8" ht="25.05" customHeight="1" x14ac:dyDescent="0.25">
      <c r="A126" s="2" t="s">
        <v>8</v>
      </c>
      <c r="B126" s="2" t="str">
        <f>HYPERLINK("http://ts.21cn.com/tousu/show/id/1330517","黑心贷款，堪比高利贷，暴力")</f>
        <v>黑心贷款，堪比高利贷，暴力</v>
      </c>
      <c r="C126" s="2" t="s">
        <v>9</v>
      </c>
      <c r="D126" s="2" t="s">
        <v>10</v>
      </c>
      <c r="E126" s="2" t="str">
        <f>HYPERLINK("http://ts.21cn.com/tousu/show/id/1330517","http://ts.21cn.com/tousu/show/id/1330517")</f>
        <v>http://ts.21cn.com/tousu/show/id/1330517</v>
      </c>
      <c r="F126" s="2" t="s">
        <v>11</v>
      </c>
      <c r="G126" s="2" t="s">
        <v>43917</v>
      </c>
      <c r="H126" s="2" t="s">
        <v>43918</v>
      </c>
    </row>
    <row r="127" spans="1:8" ht="25.05" customHeight="1" x14ac:dyDescent="0.25">
      <c r="A127" s="2" t="s">
        <v>8</v>
      </c>
      <c r="B127" s="2" t="str">
        <f>HYPERLINK("http://ts.21cn.com/tousu/show/id/1330518","游戏退款")</f>
        <v>游戏退款</v>
      </c>
      <c r="C127" s="2" t="s">
        <v>9</v>
      </c>
      <c r="D127" s="2" t="s">
        <v>10</v>
      </c>
      <c r="E127" s="2" t="str">
        <f>HYPERLINK("http://ts.21cn.com/tousu/show/id/1330518","http://ts.21cn.com/tousu/show/id/1330518")</f>
        <v>http://ts.21cn.com/tousu/show/id/1330518</v>
      </c>
      <c r="F127" s="2" t="s">
        <v>11</v>
      </c>
      <c r="G127" s="2" t="s">
        <v>43915</v>
      </c>
      <c r="H127" s="2" t="s">
        <v>43916</v>
      </c>
    </row>
    <row r="128" spans="1:8" ht="25.05" customHeight="1" x14ac:dyDescent="0.25">
      <c r="A128" s="2" t="s">
        <v>8</v>
      </c>
      <c r="B128" s="2" t="str">
        <f>HYPERLINK("http://ts.21cn.com/tousu/show/id/1330519","高利贷")</f>
        <v>高利贷</v>
      </c>
      <c r="C128" s="2" t="s">
        <v>9</v>
      </c>
      <c r="D128" s="2" t="s">
        <v>10</v>
      </c>
      <c r="E128" s="2" t="str">
        <f>HYPERLINK("http://ts.21cn.com/tousu/show/id/1330519","http://ts.21cn.com/tousu/show/id/1330519")</f>
        <v>http://ts.21cn.com/tousu/show/id/1330519</v>
      </c>
      <c r="F128" s="2" t="s">
        <v>11</v>
      </c>
      <c r="G128" s="2" t="s">
        <v>43913</v>
      </c>
      <c r="H128" s="2" t="s">
        <v>43914</v>
      </c>
    </row>
    <row r="129" spans="1:8" ht="25.05" customHeight="1" x14ac:dyDescent="0.25">
      <c r="A129" s="2" t="s">
        <v>8</v>
      </c>
      <c r="B129" s="2" t="str">
        <f>HYPERLINK("http://ts.21cn.com/tousu/show/id/1330520","中国农业银行特约小富商城")</f>
        <v>中国农业银行特约小富商城</v>
      </c>
      <c r="C129" s="2" t="s">
        <v>9</v>
      </c>
      <c r="D129" s="2" t="s">
        <v>10</v>
      </c>
      <c r="E129" s="2" t="str">
        <f>HYPERLINK("http://ts.21cn.com/tousu/show/id/1330520","http://ts.21cn.com/tousu/show/id/1330520")</f>
        <v>http://ts.21cn.com/tousu/show/id/1330520</v>
      </c>
      <c r="F129" s="2" t="s">
        <v>11</v>
      </c>
      <c r="G129" s="2" t="s">
        <v>43911</v>
      </c>
      <c r="H129" s="2" t="s">
        <v>43912</v>
      </c>
    </row>
    <row r="130" spans="1:8" ht="25.05" customHeight="1" x14ac:dyDescent="0.25">
      <c r="A130" s="2" t="s">
        <v>8</v>
      </c>
      <c r="B130" s="2" t="str">
        <f>HYPERLINK("http://ts.21cn.com/tousu/show/id/1330521","贷款收取额外担保费用")</f>
        <v>贷款收取额外担保费用</v>
      </c>
      <c r="C130" s="2" t="s">
        <v>34</v>
      </c>
      <c r="D130" s="2" t="s">
        <v>10</v>
      </c>
      <c r="E130" s="2" t="str">
        <f>HYPERLINK("http://ts.21cn.com/tousu/show/id/1330521","http://ts.21cn.com/tousu/show/id/1330521")</f>
        <v>http://ts.21cn.com/tousu/show/id/1330521</v>
      </c>
      <c r="F130" s="2" t="s">
        <v>11</v>
      </c>
      <c r="G130" s="2" t="s">
        <v>43909</v>
      </c>
      <c r="H130" s="2" t="s">
        <v>43910</v>
      </c>
    </row>
    <row r="131" spans="1:8" ht="25.05" customHeight="1" x14ac:dyDescent="0.25">
      <c r="A131" s="2" t="s">
        <v>8</v>
      </c>
      <c r="B131" s="2" t="str">
        <f>HYPERLINK("http://ts.21cn.com/tousu/show/id/1330522","同程旅游退票不给退款")</f>
        <v>同程旅游退票不给退款</v>
      </c>
      <c r="C131" s="2" t="s">
        <v>9</v>
      </c>
      <c r="D131" s="2" t="s">
        <v>10</v>
      </c>
      <c r="E131" s="2" t="str">
        <f>HYPERLINK("http://ts.21cn.com/tousu/show/id/1330522","http://ts.21cn.com/tousu/show/id/1330522")</f>
        <v>http://ts.21cn.com/tousu/show/id/1330522</v>
      </c>
      <c r="F131" s="2" t="s">
        <v>11</v>
      </c>
      <c r="G131" s="2" t="s">
        <v>43907</v>
      </c>
      <c r="H131" s="2" t="s">
        <v>43908</v>
      </c>
    </row>
    <row r="132" spans="1:8" ht="25.05" customHeight="1" x14ac:dyDescent="0.25">
      <c r="A132" s="2" t="s">
        <v>8</v>
      </c>
      <c r="B132" s="2" t="str">
        <f>HYPERLINK("http://ts.21cn.com/tousu/show/id/1330523","严重骚扰，爆通讯录，")</f>
        <v>严重骚扰，爆通讯录，</v>
      </c>
      <c r="C132" s="2" t="s">
        <v>9</v>
      </c>
      <c r="D132" s="2" t="s">
        <v>10</v>
      </c>
      <c r="E132" s="2" t="str">
        <f>HYPERLINK("http://ts.21cn.com/tousu/show/id/1330523","http://ts.21cn.com/tousu/show/id/1330523")</f>
        <v>http://ts.21cn.com/tousu/show/id/1330523</v>
      </c>
      <c r="F132" s="2" t="s">
        <v>11</v>
      </c>
      <c r="G132" s="2" t="s">
        <v>43905</v>
      </c>
      <c r="H132" s="2" t="s">
        <v>43906</v>
      </c>
    </row>
    <row r="133" spans="1:8" ht="25.05" customHeight="1" x14ac:dyDescent="0.25">
      <c r="A133" s="2" t="s">
        <v>8</v>
      </c>
      <c r="B133" s="2" t="str">
        <f>HYPERLINK("http://ts.21cn.com/tousu/show/id/1330524","拍拍贷系统问题账户余额有钱还款失败导致逾期现在还有逾期费用")</f>
        <v>拍拍贷系统问题账户余额有钱还款失败导致逾期现在还有逾期费用</v>
      </c>
      <c r="C133" s="2" t="s">
        <v>34</v>
      </c>
      <c r="D133" s="2" t="s">
        <v>10</v>
      </c>
      <c r="E133" s="2" t="str">
        <f>HYPERLINK("http://ts.21cn.com/tousu/show/id/1330524","http://ts.21cn.com/tousu/show/id/1330524")</f>
        <v>http://ts.21cn.com/tousu/show/id/1330524</v>
      </c>
      <c r="F133" s="2" t="s">
        <v>11</v>
      </c>
      <c r="G133" s="2" t="s">
        <v>43903</v>
      </c>
      <c r="H133" s="2" t="s">
        <v>43904</v>
      </c>
    </row>
    <row r="134" spans="1:8" ht="25.05" customHeight="1" x14ac:dyDescent="0.25">
      <c r="A134" s="2" t="s">
        <v>8</v>
      </c>
      <c r="B134" s="2" t="str">
        <f>HYPERLINK("http://ts.21cn.com/tousu/show/id/1330525","CC直播充值错误1000误充10000了、未消费请求退款")</f>
        <v>CC直播充值错误1000误充10000了、未消费请求退款</v>
      </c>
      <c r="C134" s="2" t="s">
        <v>34</v>
      </c>
      <c r="D134" s="2" t="s">
        <v>10</v>
      </c>
      <c r="E134" s="2" t="str">
        <f>HYPERLINK("http://ts.21cn.com/tousu/show/id/1330525","http://ts.21cn.com/tousu/show/id/1330525")</f>
        <v>http://ts.21cn.com/tousu/show/id/1330525</v>
      </c>
      <c r="F134" s="2" t="s">
        <v>11</v>
      </c>
      <c r="G134" s="2" t="s">
        <v>43901</v>
      </c>
      <c r="H134" s="2" t="s">
        <v>43902</v>
      </c>
    </row>
    <row r="135" spans="1:8" ht="25.05" customHeight="1" x14ac:dyDescent="0.25">
      <c r="A135" s="2" t="s">
        <v>8</v>
      </c>
      <c r="B135" s="2" t="str">
        <f>HYPERLINK("http://ts.21cn.com/tousu/show/id/1330526","投诉信用飞高额砍头息；而且和他们认真商量还款事宜不但不同意还用征信威胁。而且服务态度非常差拉黑我微信")</f>
        <v>投诉信用飞高额砍头息；而且和他们认真商量还款事宜不但不同意还用征信威胁。而且服务态度非常差拉黑我微信</v>
      </c>
      <c r="C135" s="2" t="s">
        <v>9</v>
      </c>
      <c r="D135" s="2" t="s">
        <v>10</v>
      </c>
      <c r="E135" s="2" t="str">
        <f>HYPERLINK("http://ts.21cn.com/tousu/show/id/1330526","http://ts.21cn.com/tousu/show/id/1330526")</f>
        <v>http://ts.21cn.com/tousu/show/id/1330526</v>
      </c>
      <c r="F135" s="2" t="s">
        <v>11</v>
      </c>
      <c r="G135" s="2" t="s">
        <v>43899</v>
      </c>
      <c r="H135" s="2" t="s">
        <v>43900</v>
      </c>
    </row>
    <row r="136" spans="1:8" ht="25.05" customHeight="1" x14ac:dyDescent="0.25">
      <c r="A136" s="2" t="s">
        <v>8</v>
      </c>
      <c r="B136" s="2" t="str">
        <f>HYPERLINK("http://ts.21cn.com/tousu/show/id/1330509","我怀疑京东涉嫌洗黑钱")</f>
        <v>我怀疑京东涉嫌洗黑钱</v>
      </c>
      <c r="C136" s="2" t="s">
        <v>9</v>
      </c>
      <c r="D136" s="2" t="s">
        <v>10</v>
      </c>
      <c r="E136" s="2" t="str">
        <f>HYPERLINK("http://ts.21cn.com/tousu/show/id/1330509","http://ts.21cn.com/tousu/show/id/1330509")</f>
        <v>http://ts.21cn.com/tousu/show/id/1330509</v>
      </c>
      <c r="F136" s="2" t="s">
        <v>11</v>
      </c>
      <c r="G136" s="2" t="s">
        <v>43897</v>
      </c>
      <c r="H136" s="2" t="s">
        <v>43898</v>
      </c>
    </row>
    <row r="137" spans="1:8" ht="25.05" customHeight="1" x14ac:dyDescent="0.25">
      <c r="A137" s="2" t="s">
        <v>8</v>
      </c>
      <c r="B137" s="2" t="str">
        <f>HYPERLINK("http://ts.21cn.com/tousu/show/id/1330527","上门骚扰自家父母并使用不实的话导致年七十多岁老人病倒")</f>
        <v>上门骚扰自家父母并使用不实的话导致年七十多岁老人病倒</v>
      </c>
      <c r="C137" s="2" t="s">
        <v>9</v>
      </c>
      <c r="D137" s="2" t="s">
        <v>10</v>
      </c>
      <c r="E137" s="2" t="str">
        <f>HYPERLINK("http://ts.21cn.com/tousu/show/id/1330527","http://ts.21cn.com/tousu/show/id/1330527")</f>
        <v>http://ts.21cn.com/tousu/show/id/1330527</v>
      </c>
      <c r="F137" s="2" t="s">
        <v>11</v>
      </c>
      <c r="G137" s="2" t="s">
        <v>43895</v>
      </c>
      <c r="H137" s="2" t="s">
        <v>43896</v>
      </c>
    </row>
    <row r="138" spans="1:8" ht="25.05" customHeight="1" x14ac:dyDescent="0.25">
      <c r="A138" s="2" t="s">
        <v>8</v>
      </c>
      <c r="B138" s="2" t="str">
        <f>HYPERLINK("http://ts.21cn.com/tousu/show/id/1330528","威力贷高额砍头息6天高炮")</f>
        <v>威力贷高额砍头息6天高炮</v>
      </c>
      <c r="C138" s="2" t="s">
        <v>9</v>
      </c>
      <c r="D138" s="2" t="s">
        <v>10</v>
      </c>
      <c r="E138" s="2" t="str">
        <f>HYPERLINK("http://ts.21cn.com/tousu/show/id/1330528","http://ts.21cn.com/tousu/show/id/1330528")</f>
        <v>http://ts.21cn.com/tousu/show/id/1330528</v>
      </c>
      <c r="F138" s="2" t="s">
        <v>11</v>
      </c>
      <c r="G138" s="2" t="s">
        <v>43893</v>
      </c>
      <c r="H138" s="2" t="s">
        <v>43894</v>
      </c>
    </row>
    <row r="139" spans="1:8" ht="25.05" customHeight="1" x14ac:dyDescent="0.25">
      <c r="A139" s="2" t="s">
        <v>8</v>
      </c>
      <c r="B139" s="2" t="str">
        <f>HYPERLINK("http://ts.21cn.com/tousu/show/id/1330531","套路贷")</f>
        <v>套路贷</v>
      </c>
      <c r="C139" s="2" t="s">
        <v>9</v>
      </c>
      <c r="D139" s="2" t="s">
        <v>10</v>
      </c>
      <c r="E139" s="2" t="str">
        <f>HYPERLINK("http://ts.21cn.com/tousu/show/id/1330531","http://ts.21cn.com/tousu/show/id/1330531")</f>
        <v>http://ts.21cn.com/tousu/show/id/1330531</v>
      </c>
      <c r="F139" s="2" t="s">
        <v>11</v>
      </c>
      <c r="G139" s="2" t="s">
        <v>43891</v>
      </c>
      <c r="H139" s="2" t="s">
        <v>43892</v>
      </c>
    </row>
    <row r="140" spans="1:8" ht="25.05" customHeight="1" x14ac:dyDescent="0.25">
      <c r="A140" s="2" t="s">
        <v>8</v>
      </c>
      <c r="B140" s="2" t="str">
        <f>HYPERLINK("http://ts.21cn.com/tousu/show/id/1330533","天猫雷士旗舰店虚假宣传")</f>
        <v>天猫雷士旗舰店虚假宣传</v>
      </c>
      <c r="C140" s="2" t="s">
        <v>9</v>
      </c>
      <c r="D140" s="2" t="s">
        <v>10</v>
      </c>
      <c r="E140" s="2" t="str">
        <f>HYPERLINK("http://ts.21cn.com/tousu/show/id/1330533","http://ts.21cn.com/tousu/show/id/1330533")</f>
        <v>http://ts.21cn.com/tousu/show/id/1330533</v>
      </c>
      <c r="F140" s="2" t="s">
        <v>11</v>
      </c>
      <c r="G140" s="2" t="s">
        <v>43889</v>
      </c>
      <c r="H140" s="2" t="s">
        <v>43890</v>
      </c>
    </row>
    <row r="141" spans="1:8" ht="25.05" customHeight="1" x14ac:dyDescent="0.25">
      <c r="A141" s="2" t="s">
        <v>8</v>
      </c>
      <c r="B141" s="2" t="str">
        <f>HYPERLINK("http://ts.21cn.com/tousu/show/id/1330534","银生宝一直不处理投诉")</f>
        <v>银生宝一直不处理投诉</v>
      </c>
      <c r="C141" s="2" t="s">
        <v>9</v>
      </c>
      <c r="D141" s="2" t="s">
        <v>10</v>
      </c>
      <c r="E141" s="2" t="str">
        <f>HYPERLINK("http://ts.21cn.com/tousu/show/id/1330534","http://ts.21cn.com/tousu/show/id/1330534")</f>
        <v>http://ts.21cn.com/tousu/show/id/1330534</v>
      </c>
      <c r="F141" s="2" t="s">
        <v>11</v>
      </c>
      <c r="G141" s="2" t="s">
        <v>43887</v>
      </c>
      <c r="H141" s="2" t="s">
        <v>43888</v>
      </c>
    </row>
    <row r="142" spans="1:8" ht="25.05" customHeight="1" x14ac:dyDescent="0.25">
      <c r="A142" s="2" t="s">
        <v>8</v>
      </c>
      <c r="B142" s="2" t="str">
        <f>HYPERLINK("http://ts.21cn.com/tousu/show/id/1330535","斗牛士app，在不知合同和同意的情况下强制下款，收取高额利息，望解决！")</f>
        <v>斗牛士app，在不知合同和同意的情况下强制下款，收取高额利息，望解决！</v>
      </c>
      <c r="C142" s="2" t="s">
        <v>9</v>
      </c>
      <c r="D142" s="2" t="s">
        <v>10</v>
      </c>
      <c r="E142" s="2" t="str">
        <f>HYPERLINK("http://ts.21cn.com/tousu/show/id/1330535","http://ts.21cn.com/tousu/show/id/1330535")</f>
        <v>http://ts.21cn.com/tousu/show/id/1330535</v>
      </c>
      <c r="F142" s="2" t="s">
        <v>11</v>
      </c>
      <c r="G142" s="2" t="s">
        <v>43885</v>
      </c>
      <c r="H142" s="2" t="s">
        <v>43886</v>
      </c>
    </row>
    <row r="143" spans="1:8" ht="25.05" customHeight="1" x14ac:dyDescent="0.25">
      <c r="A143" s="2" t="s">
        <v>8</v>
      </c>
      <c r="B143" s="2" t="str">
        <f>HYPERLINK("http://ts.21cn.com/tousu/show/id/1330536","快贷违规催收")</f>
        <v>快贷违规催收</v>
      </c>
      <c r="C143" s="2" t="s">
        <v>9</v>
      </c>
      <c r="D143" s="2" t="s">
        <v>10</v>
      </c>
      <c r="E143" s="2" t="str">
        <f>HYPERLINK("http://ts.21cn.com/tousu/show/id/1330536","http://ts.21cn.com/tousu/show/id/1330536")</f>
        <v>http://ts.21cn.com/tousu/show/id/1330536</v>
      </c>
      <c r="F143" s="2" t="s">
        <v>11</v>
      </c>
      <c r="G143" s="2" t="s">
        <v>43883</v>
      </c>
      <c r="H143" s="2" t="s">
        <v>43884</v>
      </c>
    </row>
    <row r="144" spans="1:8" ht="25.05" customHeight="1" x14ac:dyDescent="0.25">
      <c r="A144" s="2" t="s">
        <v>8</v>
      </c>
      <c r="B144" s="2" t="str">
        <f>HYPERLINK("http://ts.21cn.com/tousu/show/id/1329666","高利息没有说明白")</f>
        <v>高利息没有说明白</v>
      </c>
      <c r="C144" s="2" t="s">
        <v>9</v>
      </c>
      <c r="D144" s="2" t="s">
        <v>10</v>
      </c>
      <c r="E144" s="2" t="str">
        <f>HYPERLINK("http://ts.21cn.com/tousu/show/id/1329666","http://ts.21cn.com/tousu/show/id/1329666")</f>
        <v>http://ts.21cn.com/tousu/show/id/1329666</v>
      </c>
      <c r="F144" s="2" t="s">
        <v>11</v>
      </c>
      <c r="G144" s="2" t="s">
        <v>43881</v>
      </c>
      <c r="H144" s="2" t="s">
        <v>43882</v>
      </c>
    </row>
    <row r="145" spans="1:8" ht="25.05" customHeight="1" x14ac:dyDescent="0.25">
      <c r="A145" s="2" t="s">
        <v>8</v>
      </c>
      <c r="B145" s="2" t="str">
        <f>HYPERLINK("http://ts.21cn.com/tousu/show/id/1330537","不发工资")</f>
        <v>不发工资</v>
      </c>
      <c r="C145" s="2" t="s">
        <v>9</v>
      </c>
      <c r="D145" s="2" t="s">
        <v>10</v>
      </c>
      <c r="E145" s="2" t="str">
        <f>HYPERLINK("http://ts.21cn.com/tousu/show/id/1330537","http://ts.21cn.com/tousu/show/id/1330537")</f>
        <v>http://ts.21cn.com/tousu/show/id/1330537</v>
      </c>
      <c r="F145" s="2" t="s">
        <v>11</v>
      </c>
      <c r="G145" s="2" t="s">
        <v>43879</v>
      </c>
      <c r="H145" s="2" t="s">
        <v>43880</v>
      </c>
    </row>
    <row r="146" spans="1:8" ht="25.05" customHeight="1" x14ac:dyDescent="0.25">
      <c r="A146" s="2" t="s">
        <v>8</v>
      </c>
      <c r="B146" s="2" t="str">
        <f>HYPERLINK("http://ts.21cn.com/tousu/show/id/1330538","集体投诉：毒APP商品质量差、退货收取高额手续费、鉴定服务不靠谱")</f>
        <v>集体投诉：毒APP商品质量差、退货收取高额手续费、鉴定服务不靠谱</v>
      </c>
      <c r="C146" s="2" t="s">
        <v>9</v>
      </c>
      <c r="D146" s="2" t="s">
        <v>10</v>
      </c>
      <c r="E146" s="2" t="str">
        <f>HYPERLINK("http://ts.21cn.com/tousu/show/id/1330538","http://ts.21cn.com/tousu/show/id/1330538")</f>
        <v>http://ts.21cn.com/tousu/show/id/1330538</v>
      </c>
      <c r="F146" s="2" t="s">
        <v>11</v>
      </c>
      <c r="G146" s="2" t="s">
        <v>43877</v>
      </c>
      <c r="H146" s="2" t="s">
        <v>43878</v>
      </c>
    </row>
    <row r="147" spans="1:8" ht="25.05" customHeight="1" x14ac:dyDescent="0.25">
      <c r="A147" s="2" t="s">
        <v>8</v>
      </c>
      <c r="B147" s="2" t="str">
        <f>HYPERLINK("http://ts.21cn.com/tousu/show/id/1330539","我来贷逾期暴力征收")</f>
        <v>我来贷逾期暴力征收</v>
      </c>
      <c r="C147" s="2" t="s">
        <v>9</v>
      </c>
      <c r="D147" s="2" t="s">
        <v>10</v>
      </c>
      <c r="E147" s="2" t="str">
        <f>HYPERLINK("http://ts.21cn.com/tousu/show/id/1330539","http://ts.21cn.com/tousu/show/id/1330539")</f>
        <v>http://ts.21cn.com/tousu/show/id/1330539</v>
      </c>
      <c r="F147" s="2" t="s">
        <v>11</v>
      </c>
      <c r="G147" s="2" t="s">
        <v>43875</v>
      </c>
      <c r="H147" s="2" t="s">
        <v>43876</v>
      </c>
    </row>
    <row r="148" spans="1:8" ht="25.05" customHeight="1" x14ac:dyDescent="0.25">
      <c r="A148" s="2" t="s">
        <v>8</v>
      </c>
      <c r="B148" s="2" t="str">
        <f>HYPERLINK("http://ts.21cn.com/tousu/show/id/1330540","更改注册地，无门，")</f>
        <v>更改注册地，无门，</v>
      </c>
      <c r="C148" s="2" t="s">
        <v>34</v>
      </c>
      <c r="D148" s="2" t="s">
        <v>10</v>
      </c>
      <c r="E148" s="2" t="str">
        <f>HYPERLINK("http://ts.21cn.com/tousu/show/id/1330540","http://ts.21cn.com/tousu/show/id/1330540")</f>
        <v>http://ts.21cn.com/tousu/show/id/1330540</v>
      </c>
      <c r="F148" s="2" t="s">
        <v>11</v>
      </c>
      <c r="G148" s="2" t="s">
        <v>43873</v>
      </c>
      <c r="H148" s="2" t="s">
        <v>43874</v>
      </c>
    </row>
    <row r="149" spans="1:8" ht="25.05" customHeight="1" x14ac:dyDescent="0.25">
      <c r="A149" s="2" t="s">
        <v>8</v>
      </c>
      <c r="B149" s="2" t="str">
        <f>HYPERLINK("http://ts.21cn.com/tousu/show/id/1330542","乐意花")</f>
        <v>乐意花</v>
      </c>
      <c r="C149" s="2" t="s">
        <v>34</v>
      </c>
      <c r="D149" s="2" t="s">
        <v>10</v>
      </c>
      <c r="E149" s="2" t="str">
        <f>HYPERLINK("http://ts.21cn.com/tousu/show/id/1330542","http://ts.21cn.com/tousu/show/id/1330542")</f>
        <v>http://ts.21cn.com/tousu/show/id/1330542</v>
      </c>
      <c r="F149" s="2" t="s">
        <v>11</v>
      </c>
      <c r="G149" s="2" t="s">
        <v>43871</v>
      </c>
      <c r="H149" s="2" t="s">
        <v>43872</v>
      </c>
    </row>
    <row r="150" spans="1:8" ht="25.05" customHeight="1" x14ac:dyDescent="0.25">
      <c r="A150" s="2" t="s">
        <v>8</v>
      </c>
      <c r="B150" s="2" t="str">
        <f>HYPERLINK("http://ts.21cn.com/tousu/show/id/1330543","渤海国际信托股份有限公司无故扣款")</f>
        <v>渤海国际信托股份有限公司无故扣款</v>
      </c>
      <c r="C150" s="2" t="s">
        <v>9</v>
      </c>
      <c r="D150" s="2" t="s">
        <v>10</v>
      </c>
      <c r="E150" s="2" t="str">
        <f>HYPERLINK("http://ts.21cn.com/tousu/show/id/1330543","http://ts.21cn.com/tousu/show/id/1330543")</f>
        <v>http://ts.21cn.com/tousu/show/id/1330543</v>
      </c>
      <c r="F150" s="2" t="s">
        <v>11</v>
      </c>
      <c r="G150" s="2" t="s">
        <v>43869</v>
      </c>
      <c r="H150" s="2" t="s">
        <v>43870</v>
      </c>
    </row>
    <row r="151" spans="1:8" ht="25.05" customHeight="1" x14ac:dyDescent="0.25">
      <c r="A151" s="2" t="s">
        <v>8</v>
      </c>
      <c r="B151" s="2" t="str">
        <f>HYPERLINK("http://ts.21cn.com/tousu/show/id/1330544","高利贷，砍头息")</f>
        <v>高利贷，砍头息</v>
      </c>
      <c r="C151" s="2" t="s">
        <v>9</v>
      </c>
      <c r="D151" s="2" t="s">
        <v>10</v>
      </c>
      <c r="E151" s="2" t="str">
        <f>HYPERLINK("http://ts.21cn.com/tousu/show/id/1330544","http://ts.21cn.com/tousu/show/id/1330544")</f>
        <v>http://ts.21cn.com/tousu/show/id/1330544</v>
      </c>
      <c r="F151" s="2" t="s">
        <v>11</v>
      </c>
      <c r="G151" s="2" t="s">
        <v>43867</v>
      </c>
      <c r="H151" s="2" t="s">
        <v>43868</v>
      </c>
    </row>
    <row r="152" spans="1:8" ht="25.05" customHeight="1" x14ac:dyDescent="0.25">
      <c r="A152" s="2" t="s">
        <v>8</v>
      </c>
      <c r="B152" s="2" t="str">
        <f>HYPERLINK("http://ts.21cn.com/tousu/show/id/1330545","龙行天下机场办卡虚假宣传")</f>
        <v>龙行天下机场办卡虚假宣传</v>
      </c>
      <c r="C152" s="2" t="s">
        <v>9</v>
      </c>
      <c r="D152" s="2" t="s">
        <v>10</v>
      </c>
      <c r="E152" s="2" t="str">
        <f>HYPERLINK("http://ts.21cn.com/tousu/show/id/1330545","http://ts.21cn.com/tousu/show/id/1330545")</f>
        <v>http://ts.21cn.com/tousu/show/id/1330545</v>
      </c>
      <c r="F152" s="2" t="s">
        <v>11</v>
      </c>
      <c r="G152" s="2" t="s">
        <v>43865</v>
      </c>
      <c r="H152" s="2" t="s">
        <v>43866</v>
      </c>
    </row>
    <row r="153" spans="1:8" ht="25.05" customHeight="1" x14ac:dyDescent="0.25">
      <c r="A153" s="2" t="s">
        <v>8</v>
      </c>
      <c r="B153" s="2" t="str">
        <f>HYPERLINK("http://ts.21cn.com/tousu/show/id/1330546","卓大师没有恢复微信聊天功能")</f>
        <v>卓大师没有恢复微信聊天功能</v>
      </c>
      <c r="C153" s="2" t="s">
        <v>34</v>
      </c>
      <c r="D153" s="2" t="s">
        <v>10</v>
      </c>
      <c r="E153" s="2" t="str">
        <f>HYPERLINK("http://ts.21cn.com/tousu/show/id/1330546","http://ts.21cn.com/tousu/show/id/1330546")</f>
        <v>http://ts.21cn.com/tousu/show/id/1330546</v>
      </c>
      <c r="F153" s="2" t="s">
        <v>11</v>
      </c>
      <c r="G153" s="2" t="s">
        <v>43863</v>
      </c>
      <c r="H153" s="2" t="s">
        <v>43864</v>
      </c>
    </row>
    <row r="154" spans="1:8" ht="25.05" customHeight="1" x14ac:dyDescent="0.25">
      <c r="A154" s="2" t="s">
        <v>8</v>
      </c>
      <c r="B154" s="2" t="str">
        <f>HYPERLINK("http://ts.21cn.com/tousu/show/id/1330547","高利贷")</f>
        <v>高利贷</v>
      </c>
      <c r="C154" s="2" t="s">
        <v>9</v>
      </c>
      <c r="D154" s="2" t="s">
        <v>10</v>
      </c>
      <c r="E154" s="2" t="str">
        <f>HYPERLINK("http://ts.21cn.com/tousu/show/id/1330547","http://ts.21cn.com/tousu/show/id/1330547")</f>
        <v>http://ts.21cn.com/tousu/show/id/1330547</v>
      </c>
      <c r="F154" s="2" t="s">
        <v>11</v>
      </c>
      <c r="G154" s="2" t="s">
        <v>43861</v>
      </c>
      <c r="H154" s="2" t="s">
        <v>43862</v>
      </c>
    </row>
    <row r="155" spans="1:8" ht="25.05" customHeight="1" x14ac:dyDescent="0.25">
      <c r="A155" s="2" t="s">
        <v>8</v>
      </c>
      <c r="B155" s="2" t="str">
        <f>HYPERLINK("http://ts.21cn.com/tousu/show/id/1330548","高铁管家退票")</f>
        <v>高铁管家退票</v>
      </c>
      <c r="C155" s="2" t="s">
        <v>34</v>
      </c>
      <c r="D155" s="2" t="s">
        <v>10</v>
      </c>
      <c r="E155" s="2" t="str">
        <f>HYPERLINK("http://ts.21cn.com/tousu/show/id/1330548","http://ts.21cn.com/tousu/show/id/1330548")</f>
        <v>http://ts.21cn.com/tousu/show/id/1330548</v>
      </c>
      <c r="F155" s="2" t="s">
        <v>11</v>
      </c>
      <c r="G155" s="2" t="s">
        <v>43859</v>
      </c>
      <c r="H155" s="2" t="s">
        <v>43860</v>
      </c>
    </row>
    <row r="156" spans="1:8" ht="25.05" customHeight="1" x14ac:dyDescent="0.25">
      <c r="A156" s="2" t="s">
        <v>8</v>
      </c>
      <c r="B156" s="2" t="str">
        <f>HYPERLINK("http://ts.21cn.com/tousu/show/id/1330549","淘手游上买了号但是客服一直不接单")</f>
        <v>淘手游上买了号但是客服一直不接单</v>
      </c>
      <c r="C156" s="2" t="s">
        <v>34</v>
      </c>
      <c r="D156" s="2" t="s">
        <v>10</v>
      </c>
      <c r="E156" s="2" t="str">
        <f>HYPERLINK("http://ts.21cn.com/tousu/show/id/1330549","http://ts.21cn.com/tousu/show/id/1330549")</f>
        <v>http://ts.21cn.com/tousu/show/id/1330549</v>
      </c>
      <c r="F156" s="2" t="s">
        <v>11</v>
      </c>
      <c r="G156" s="2" t="s">
        <v>43857</v>
      </c>
      <c r="H156" s="2" t="s">
        <v>43858</v>
      </c>
    </row>
    <row r="157" spans="1:8" ht="25.05" customHeight="1" x14ac:dyDescent="0.25">
      <c r="A157" s="2" t="s">
        <v>8</v>
      </c>
      <c r="B157" s="2" t="str">
        <f>HYPERLINK("http://ts.21cn.com/tousu/show/id/1330550","2019年5月份到9月份的分润和奖金还有代理押金未发放给我")</f>
        <v>2019年5月份到9月份的分润和奖金还有代理押金未发放给我</v>
      </c>
      <c r="C157" s="2" t="s">
        <v>34</v>
      </c>
      <c r="D157" s="2" t="s">
        <v>10</v>
      </c>
      <c r="E157" s="2" t="str">
        <f>HYPERLINK("http://ts.21cn.com/tousu/show/id/1330550","http://ts.21cn.com/tousu/show/id/1330550")</f>
        <v>http://ts.21cn.com/tousu/show/id/1330550</v>
      </c>
      <c r="F157" s="2" t="s">
        <v>11</v>
      </c>
      <c r="G157" s="2" t="s">
        <v>43855</v>
      </c>
      <c r="H157" s="2" t="s">
        <v>43856</v>
      </c>
    </row>
    <row r="158" spans="1:8" ht="25.05" customHeight="1" x14ac:dyDescent="0.25">
      <c r="A158" s="2" t="s">
        <v>8</v>
      </c>
      <c r="B158" s="2" t="str">
        <f>HYPERLINK("http://ts.21cn.com/tousu/show/id/1330551","你我贷暴力催收")</f>
        <v>你我贷暴力催收</v>
      </c>
      <c r="C158" s="2" t="s">
        <v>9</v>
      </c>
      <c r="D158" s="2" t="s">
        <v>10</v>
      </c>
      <c r="E158" s="2" t="str">
        <f>HYPERLINK("http://ts.21cn.com/tousu/show/id/1330551","http://ts.21cn.com/tousu/show/id/1330551")</f>
        <v>http://ts.21cn.com/tousu/show/id/1330551</v>
      </c>
      <c r="F158" s="2" t="s">
        <v>11</v>
      </c>
      <c r="G158" s="2" t="s">
        <v>43853</v>
      </c>
      <c r="H158" s="2" t="s">
        <v>43854</v>
      </c>
    </row>
    <row r="159" spans="1:8" ht="25.05" customHeight="1" x14ac:dyDescent="0.25">
      <c r="A159" s="2" t="s">
        <v>8</v>
      </c>
      <c r="B159" s="2" t="str">
        <f>HYPERLINK("http://ts.21cn.com/tousu/show/id/1330552","快付通乱扣费")</f>
        <v>快付通乱扣费</v>
      </c>
      <c r="C159" s="2" t="s">
        <v>9</v>
      </c>
      <c r="D159" s="2" t="s">
        <v>10</v>
      </c>
      <c r="E159" s="2" t="str">
        <f>HYPERLINK("http://ts.21cn.com/tousu/show/id/1330552","http://ts.21cn.com/tousu/show/id/1330552")</f>
        <v>http://ts.21cn.com/tousu/show/id/1330552</v>
      </c>
      <c r="F159" s="2" t="s">
        <v>11</v>
      </c>
      <c r="G159" s="2" t="s">
        <v>43851</v>
      </c>
      <c r="H159" s="2" t="s">
        <v>43852</v>
      </c>
    </row>
    <row r="160" spans="1:8" ht="25.05" customHeight="1" x14ac:dyDescent="0.25">
      <c r="A160" s="2" t="s">
        <v>8</v>
      </c>
      <c r="B160" s="2" t="str">
        <f>HYPERLINK("http://ts.21cn.com/tousu/show/id/1330554","微信账号被盗申请找回微信客服已各种理由拒绝帮忙找回")</f>
        <v>微信账号被盗申请找回微信客服已各种理由拒绝帮忙找回</v>
      </c>
      <c r="C160" s="2" t="s">
        <v>9</v>
      </c>
      <c r="D160" s="2" t="s">
        <v>10</v>
      </c>
      <c r="E160" s="2" t="str">
        <f>HYPERLINK("http://ts.21cn.com/tousu/show/id/1330554","http://ts.21cn.com/tousu/show/id/1330554")</f>
        <v>http://ts.21cn.com/tousu/show/id/1330554</v>
      </c>
      <c r="F160" s="2" t="s">
        <v>11</v>
      </c>
      <c r="G160" s="2" t="s">
        <v>43849</v>
      </c>
      <c r="H160" s="2" t="s">
        <v>43850</v>
      </c>
    </row>
    <row r="161" spans="1:8" ht="25.05" customHeight="1" x14ac:dyDescent="0.25">
      <c r="A161" s="2" t="s">
        <v>8</v>
      </c>
      <c r="B161" s="2" t="str">
        <f>HYPERLINK("http://ts.21cn.com/tousu/show/id/1330555","闪电借款套路太深")</f>
        <v>闪电借款套路太深</v>
      </c>
      <c r="C161" s="2" t="s">
        <v>9</v>
      </c>
      <c r="D161" s="2" t="s">
        <v>10</v>
      </c>
      <c r="E161" s="2" t="str">
        <f>HYPERLINK("http://ts.21cn.com/tousu/show/id/1330555","http://ts.21cn.com/tousu/show/id/1330555")</f>
        <v>http://ts.21cn.com/tousu/show/id/1330555</v>
      </c>
      <c r="F161" s="2" t="s">
        <v>11</v>
      </c>
      <c r="G161" s="2" t="s">
        <v>43847</v>
      </c>
      <c r="H161" s="2" t="s">
        <v>43848</v>
      </c>
    </row>
    <row r="162" spans="1:8" ht="25.05" customHeight="1" x14ac:dyDescent="0.25">
      <c r="A162" s="2" t="s">
        <v>8</v>
      </c>
      <c r="B162" s="2" t="str">
        <f>HYPERLINK("http://ts.21cn.com/tousu/show/id/1330556","云享贷扣除砍头息只归还了一小部分")</f>
        <v>云享贷扣除砍头息只归还了一小部分</v>
      </c>
      <c r="C162" s="2" t="s">
        <v>34</v>
      </c>
      <c r="D162" s="2" t="s">
        <v>10</v>
      </c>
      <c r="E162" s="2" t="str">
        <f>HYPERLINK("http://ts.21cn.com/tousu/show/id/1330556","http://ts.21cn.com/tousu/show/id/1330556")</f>
        <v>http://ts.21cn.com/tousu/show/id/1330556</v>
      </c>
      <c r="F162" s="2" t="s">
        <v>11</v>
      </c>
      <c r="G162" s="2" t="s">
        <v>43845</v>
      </c>
      <c r="H162" s="2" t="s">
        <v>43846</v>
      </c>
    </row>
    <row r="163" spans="1:8" ht="25.05" customHeight="1" x14ac:dyDescent="0.25">
      <c r="A163" s="2" t="s">
        <v>8</v>
      </c>
      <c r="B163" s="2" t="str">
        <f>HYPERLINK("http://ts.21cn.com/tousu/show/id/1330558","牛帮app充了会员充了钱悬赏发布一直被拒")</f>
        <v>牛帮app充了会员充了钱悬赏发布一直被拒</v>
      </c>
      <c r="C163" s="2" t="s">
        <v>9</v>
      </c>
      <c r="D163" s="2" t="s">
        <v>10</v>
      </c>
      <c r="E163" s="2" t="str">
        <f>HYPERLINK("http://ts.21cn.com/tousu/show/id/1330558","http://ts.21cn.com/tousu/show/id/1330558")</f>
        <v>http://ts.21cn.com/tousu/show/id/1330558</v>
      </c>
      <c r="F163" s="2" t="s">
        <v>11</v>
      </c>
      <c r="G163" s="2" t="s">
        <v>43843</v>
      </c>
      <c r="H163" s="2" t="s">
        <v>43844</v>
      </c>
    </row>
    <row r="164" spans="1:8" ht="25.05" customHeight="1" x14ac:dyDescent="0.25">
      <c r="A164" s="2" t="s">
        <v>8</v>
      </c>
      <c r="B164" s="2" t="str">
        <f>HYPERLINK("http://ts.21cn.com/tousu/show/id/1330559","佑佑分期，来花花高利贷，阴阳合同，暴力催收")</f>
        <v>佑佑分期，来花花高利贷，阴阳合同，暴力催收</v>
      </c>
      <c r="C164" s="2" t="s">
        <v>9</v>
      </c>
      <c r="D164" s="2" t="s">
        <v>10</v>
      </c>
      <c r="E164" s="2" t="str">
        <f>HYPERLINK("http://ts.21cn.com/tousu/show/id/1330559","http://ts.21cn.com/tousu/show/id/1330559")</f>
        <v>http://ts.21cn.com/tousu/show/id/1330559</v>
      </c>
      <c r="F164" s="2" t="s">
        <v>11</v>
      </c>
      <c r="G164" s="2" t="s">
        <v>43841</v>
      </c>
      <c r="H164" s="2" t="s">
        <v>43842</v>
      </c>
    </row>
    <row r="165" spans="1:8" ht="25.05" customHeight="1" x14ac:dyDescent="0.25">
      <c r="A165" s="2" t="s">
        <v>8</v>
      </c>
      <c r="B165" s="2" t="str">
        <f>HYPERLINK("http://ts.21cn.com/tousu/show/id/1330560","高利贷平台收取高额砍头息")</f>
        <v>高利贷平台收取高额砍头息</v>
      </c>
      <c r="C165" s="2" t="s">
        <v>9</v>
      </c>
      <c r="D165" s="2" t="s">
        <v>10</v>
      </c>
      <c r="E165" s="2" t="str">
        <f>HYPERLINK("http://ts.21cn.com/tousu/show/id/1330560","http://ts.21cn.com/tousu/show/id/1330560")</f>
        <v>http://ts.21cn.com/tousu/show/id/1330560</v>
      </c>
      <c r="F165" s="2" t="s">
        <v>11</v>
      </c>
      <c r="G165" s="2" t="s">
        <v>43839</v>
      </c>
      <c r="H165" s="2" t="s">
        <v>43840</v>
      </c>
    </row>
    <row r="166" spans="1:8" ht="25.05" customHeight="1" x14ac:dyDescent="0.25">
      <c r="A166" s="2" t="s">
        <v>8</v>
      </c>
      <c r="B166" s="2" t="str">
        <f>HYPERLINK("http://ts.21cn.com/tousu/show/id/1330561","威力贷信任分期高利贷套路贷")</f>
        <v>威力贷信任分期高利贷套路贷</v>
      </c>
      <c r="C166" s="2" t="s">
        <v>9</v>
      </c>
      <c r="D166" s="2" t="s">
        <v>10</v>
      </c>
      <c r="E166" s="2" t="str">
        <f>HYPERLINK("http://ts.21cn.com/tousu/show/id/1330561","http://ts.21cn.com/tousu/show/id/1330561")</f>
        <v>http://ts.21cn.com/tousu/show/id/1330561</v>
      </c>
      <c r="F166" s="2" t="s">
        <v>11</v>
      </c>
      <c r="G166" s="2" t="s">
        <v>43837</v>
      </c>
      <c r="H166" s="2" t="s">
        <v>43838</v>
      </c>
    </row>
    <row r="167" spans="1:8" ht="25.05" customHeight="1" x14ac:dyDescent="0.25">
      <c r="A167" s="2" t="s">
        <v>8</v>
      </c>
      <c r="B167" s="2" t="str">
        <f>HYPERLINK("http://ts.21cn.com/tousu/show/id/1330553","变相收取高额砍头息")</f>
        <v>变相收取高额砍头息</v>
      </c>
      <c r="C167" s="2" t="s">
        <v>9</v>
      </c>
      <c r="D167" s="2" t="s">
        <v>10</v>
      </c>
      <c r="E167" s="2" t="str">
        <f>HYPERLINK("http://ts.21cn.com/tousu/show/id/1330553","http://ts.21cn.com/tousu/show/id/1330553")</f>
        <v>http://ts.21cn.com/tousu/show/id/1330553</v>
      </c>
      <c r="F167" s="2" t="s">
        <v>11</v>
      </c>
      <c r="G167" s="2" t="s">
        <v>43835</v>
      </c>
      <c r="H167" s="2" t="s">
        <v>43836</v>
      </c>
    </row>
    <row r="168" spans="1:8" ht="25.05" customHeight="1" x14ac:dyDescent="0.25">
      <c r="A168" s="2" t="s">
        <v>8</v>
      </c>
      <c r="B168" s="2" t="str">
        <f>HYPERLINK("http://ts.21cn.com/tousu/show/id/1330562","淘手游无法退款")</f>
        <v>淘手游无法退款</v>
      </c>
      <c r="C168" s="2" t="s">
        <v>34</v>
      </c>
      <c r="D168" s="2" t="s">
        <v>10</v>
      </c>
      <c r="E168" s="2" t="str">
        <f>HYPERLINK("http://ts.21cn.com/tousu/show/id/1330562","http://ts.21cn.com/tousu/show/id/1330562")</f>
        <v>http://ts.21cn.com/tousu/show/id/1330562</v>
      </c>
      <c r="F168" s="2" t="s">
        <v>11</v>
      </c>
      <c r="G168" s="2" t="s">
        <v>43833</v>
      </c>
      <c r="H168" s="2" t="s">
        <v>43834</v>
      </c>
    </row>
    <row r="169" spans="1:8" ht="25.05" customHeight="1" x14ac:dyDescent="0.25">
      <c r="A169" s="2" t="s">
        <v>8</v>
      </c>
      <c r="B169" s="2" t="str">
        <f>HYPERLINK("http://ts.21cn.com/tousu/show/id/1330563","变相收费")</f>
        <v>变相收费</v>
      </c>
      <c r="C169" s="2" t="s">
        <v>9</v>
      </c>
      <c r="D169" s="2" t="s">
        <v>10</v>
      </c>
      <c r="E169" s="2" t="str">
        <f>HYPERLINK("http://ts.21cn.com/tousu/show/id/1330563","http://ts.21cn.com/tousu/show/id/1330563")</f>
        <v>http://ts.21cn.com/tousu/show/id/1330563</v>
      </c>
      <c r="F169" s="2" t="s">
        <v>11</v>
      </c>
      <c r="G169" s="2" t="s">
        <v>43831</v>
      </c>
      <c r="H169" s="2" t="s">
        <v>43832</v>
      </c>
    </row>
    <row r="170" spans="1:8" ht="25.05" customHeight="1" x14ac:dyDescent="0.25">
      <c r="A170" s="2" t="s">
        <v>8</v>
      </c>
      <c r="B170" s="2" t="str">
        <f>HYPERLINK("http://ts.21cn.com/tousu/show/id/1330564","钱站老友计划套路贷，阴阳合同。")</f>
        <v>钱站老友计划套路贷，阴阳合同。</v>
      </c>
      <c r="C170" s="2" t="s">
        <v>9</v>
      </c>
      <c r="D170" s="2" t="s">
        <v>10</v>
      </c>
      <c r="E170" s="2" t="str">
        <f>HYPERLINK("http://ts.21cn.com/tousu/show/id/1330564","http://ts.21cn.com/tousu/show/id/1330564")</f>
        <v>http://ts.21cn.com/tousu/show/id/1330564</v>
      </c>
      <c r="F170" s="2" t="s">
        <v>11</v>
      </c>
      <c r="G170" s="2" t="s">
        <v>43829</v>
      </c>
      <c r="H170" s="2" t="s">
        <v>43830</v>
      </c>
    </row>
    <row r="171" spans="1:8" ht="25.05" customHeight="1" x14ac:dyDescent="0.25">
      <c r="A171" s="2" t="s">
        <v>8</v>
      </c>
      <c r="B171" s="2" t="str">
        <f>HYPERLINK("http://ts.21cn.com/tousu/show/id/1330565","自由魔卡借款平台的六便士及超级马力贷，放款前收前期费用，另外其诺和信用计划收会员费后无法借款不退会员费。")</f>
        <v>自由魔卡借款平台的六便士及超级马力贷，放款前收前期费用，另外其诺和信用计划收会员费后无法借款不退会员费。</v>
      </c>
      <c r="C171" s="2" t="s">
        <v>9</v>
      </c>
      <c r="D171" s="2" t="s">
        <v>10</v>
      </c>
      <c r="E171" s="2" t="str">
        <f>HYPERLINK("http://ts.21cn.com/tousu/show/id/1330565","http://ts.21cn.com/tousu/show/id/1330565")</f>
        <v>http://ts.21cn.com/tousu/show/id/1330565</v>
      </c>
      <c r="F171" s="2" t="s">
        <v>11</v>
      </c>
      <c r="G171" s="2" t="s">
        <v>43827</v>
      </c>
      <c r="H171" s="2" t="s">
        <v>43828</v>
      </c>
    </row>
    <row r="172" spans="1:8" ht="25.05" customHeight="1" x14ac:dyDescent="0.25">
      <c r="A172" s="2" t="s">
        <v>8</v>
      </c>
      <c r="B172" s="2" t="str">
        <f>HYPERLINK("http://ts.21cn.com/tousu/show/id/1330566","来分期套路贷，坑害我太深")</f>
        <v>来分期套路贷，坑害我太深</v>
      </c>
      <c r="C172" s="2" t="s">
        <v>9</v>
      </c>
      <c r="D172" s="2" t="s">
        <v>10</v>
      </c>
      <c r="E172" s="2" t="str">
        <f>HYPERLINK("http://ts.21cn.com/tousu/show/id/1330566","http://ts.21cn.com/tousu/show/id/1330566")</f>
        <v>http://ts.21cn.com/tousu/show/id/1330566</v>
      </c>
      <c r="F172" s="2" t="s">
        <v>11</v>
      </c>
      <c r="G172" s="2" t="s">
        <v>43825</v>
      </c>
      <c r="H172" s="2" t="s">
        <v>43826</v>
      </c>
    </row>
    <row r="173" spans="1:8" ht="25.05" customHeight="1" x14ac:dyDescent="0.25">
      <c r="A173" s="2" t="s">
        <v>8</v>
      </c>
      <c r="B173" s="2" t="str">
        <f>HYPERLINK("http://ts.21cn.com/tousu/show/id/1330568","遭遇小米贷款套路贷催收反复骚扰，精神崩溃，抑郁严重，尽快处理，早日还我一个公道！")</f>
        <v>遭遇小米贷款套路贷催收反复骚扰，精神崩溃，抑郁严重，尽快处理，早日还我一个公道！</v>
      </c>
      <c r="C173" s="2" t="s">
        <v>9</v>
      </c>
      <c r="D173" s="2" t="s">
        <v>10</v>
      </c>
      <c r="E173" s="2" t="str">
        <f>HYPERLINK("http://ts.21cn.com/tousu/show/id/1330568","http://ts.21cn.com/tousu/show/id/1330568")</f>
        <v>http://ts.21cn.com/tousu/show/id/1330568</v>
      </c>
      <c r="F173" s="2" t="s">
        <v>11</v>
      </c>
      <c r="G173" s="2" t="s">
        <v>43823</v>
      </c>
      <c r="H173" s="2" t="s">
        <v>43824</v>
      </c>
    </row>
    <row r="174" spans="1:8" ht="25.05" customHeight="1" x14ac:dyDescent="0.25">
      <c r="A174" s="2" t="s">
        <v>8</v>
      </c>
      <c r="B174" s="2" t="str">
        <f>HYPERLINK("http://ts.21cn.com/tousu/show/id/1330571","快捷通-成都安睿旺蜀网络科技有限公司在我不知情的情况下口我建设银行卡的钱，恶意扣费，要求退回")</f>
        <v>快捷通-成都安睿旺蜀网络科技有限公司在我不知情的情况下口我建设银行卡的钱，恶意扣费，要求退回</v>
      </c>
      <c r="C174" s="2" t="s">
        <v>9</v>
      </c>
      <c r="D174" s="2" t="s">
        <v>10</v>
      </c>
      <c r="E174" s="2" t="str">
        <f>HYPERLINK("http://ts.21cn.com/tousu/show/id/1330571","http://ts.21cn.com/tousu/show/id/1330571")</f>
        <v>http://ts.21cn.com/tousu/show/id/1330571</v>
      </c>
      <c r="F174" s="2" t="s">
        <v>11</v>
      </c>
      <c r="G174" s="2" t="s">
        <v>43821</v>
      </c>
      <c r="H174" s="2" t="s">
        <v>43822</v>
      </c>
    </row>
    <row r="175" spans="1:8" ht="25.05" customHeight="1" x14ac:dyDescent="0.25">
      <c r="A175" s="2" t="s">
        <v>8</v>
      </c>
      <c r="B175" s="2" t="str">
        <f>HYPERLINK("http://ts.21cn.com/tousu/show/id/1330572","流量卡商蛮横服务")</f>
        <v>流量卡商蛮横服务</v>
      </c>
      <c r="C175" s="2" t="s">
        <v>9</v>
      </c>
      <c r="D175" s="2" t="s">
        <v>10</v>
      </c>
      <c r="E175" s="2" t="str">
        <f>HYPERLINK("http://ts.21cn.com/tousu/show/id/1330572","http://ts.21cn.com/tousu/show/id/1330572")</f>
        <v>http://ts.21cn.com/tousu/show/id/1330572</v>
      </c>
      <c r="F175" s="2" t="s">
        <v>11</v>
      </c>
      <c r="G175" s="2" t="s">
        <v>43819</v>
      </c>
      <c r="H175" s="2" t="s">
        <v>43820</v>
      </c>
    </row>
    <row r="176" spans="1:8" ht="25.05" customHeight="1" x14ac:dyDescent="0.25">
      <c r="A176" s="2" t="s">
        <v>8</v>
      </c>
      <c r="B176" s="2" t="str">
        <f>HYPERLINK("http://ts.21cn.com/tousu/show/id/1330573","智行火车票不支持在线退汽车票")</f>
        <v>智行火车票不支持在线退汽车票</v>
      </c>
      <c r="C176" s="2" t="s">
        <v>9</v>
      </c>
      <c r="D176" s="2" t="s">
        <v>10</v>
      </c>
      <c r="E176" s="2" t="str">
        <f>HYPERLINK("http://ts.21cn.com/tousu/show/id/1330573","http://ts.21cn.com/tousu/show/id/1330573")</f>
        <v>http://ts.21cn.com/tousu/show/id/1330573</v>
      </c>
      <c r="F176" s="2" t="s">
        <v>11</v>
      </c>
      <c r="G176" s="2" t="s">
        <v>43817</v>
      </c>
      <c r="H176" s="2" t="s">
        <v>43818</v>
      </c>
    </row>
    <row r="177" spans="1:8" ht="25.05" customHeight="1" x14ac:dyDescent="0.25">
      <c r="A177" s="2" t="s">
        <v>8</v>
      </c>
      <c r="B177" s="2" t="str">
        <f>HYPERLINK("http://ts.21cn.com/tousu/show/id/1330567","芒果筹轻周转高利贷砍头息")</f>
        <v>芒果筹轻周转高利贷砍头息</v>
      </c>
      <c r="C177" s="2" t="s">
        <v>9</v>
      </c>
      <c r="D177" s="2" t="s">
        <v>10</v>
      </c>
      <c r="E177" s="2" t="str">
        <f>HYPERLINK("http://ts.21cn.com/tousu/show/id/1330567","http://ts.21cn.com/tousu/show/id/1330567")</f>
        <v>http://ts.21cn.com/tousu/show/id/1330567</v>
      </c>
      <c r="F177" s="2" t="s">
        <v>11</v>
      </c>
      <c r="G177" s="2" t="s">
        <v>43815</v>
      </c>
      <c r="H177" s="2" t="s">
        <v>43816</v>
      </c>
    </row>
    <row r="178" spans="1:8" ht="25.05" customHeight="1" x14ac:dyDescent="0.25">
      <c r="A178" s="2" t="s">
        <v>8</v>
      </c>
      <c r="B178" s="2" t="str">
        <f>HYPERLINK("http://ts.21cn.com/tousu/show/id/1221673","蚂蚁借呗，导致我受到很大影响！")</f>
        <v>蚂蚁借呗，导致我受到很大影响！</v>
      </c>
      <c r="C178" s="2" t="s">
        <v>9</v>
      </c>
      <c r="D178" s="2" t="s">
        <v>10</v>
      </c>
      <c r="E178" s="2" t="str">
        <f>HYPERLINK("http://ts.21cn.com/tousu/show/id/1221673","http://ts.21cn.com/tousu/show/id/1221673")</f>
        <v>http://ts.21cn.com/tousu/show/id/1221673</v>
      </c>
      <c r="F178" s="2" t="s">
        <v>11</v>
      </c>
      <c r="G178" s="2" t="s">
        <v>43813</v>
      </c>
      <c r="H178" s="2" t="s">
        <v>43814</v>
      </c>
    </row>
    <row r="179" spans="1:8" ht="25.05" customHeight="1" x14ac:dyDescent="0.25">
      <c r="A179" s="2" t="s">
        <v>8</v>
      </c>
      <c r="B179" s="2" t="str">
        <f>HYPERLINK("http://ts.21cn.com/tousu/show/id/1330575","现控达人里的豌豆荚高额利息，套路贷。")</f>
        <v>现控达人里的豌豆荚高额利息，套路贷。</v>
      </c>
      <c r="C179" s="2" t="s">
        <v>9</v>
      </c>
      <c r="D179" s="2" t="s">
        <v>10</v>
      </c>
      <c r="E179" s="2" t="str">
        <f>HYPERLINK("http://ts.21cn.com/tousu/show/id/1330575","http://ts.21cn.com/tousu/show/id/1330575")</f>
        <v>http://ts.21cn.com/tousu/show/id/1330575</v>
      </c>
      <c r="F179" s="2" t="s">
        <v>11</v>
      </c>
      <c r="G179" s="2" t="s">
        <v>43811</v>
      </c>
      <c r="H179" s="2" t="s">
        <v>43812</v>
      </c>
    </row>
    <row r="180" spans="1:8" ht="25.05" customHeight="1" x14ac:dyDescent="0.25">
      <c r="A180" s="2" t="s">
        <v>8</v>
      </c>
      <c r="B180" s="2" t="str">
        <f>HYPERLINK("http://ts.21cn.com/tousu/show/id/1330576","钱站高利贷阴阳合同")</f>
        <v>钱站高利贷阴阳合同</v>
      </c>
      <c r="C180" s="2" t="s">
        <v>9</v>
      </c>
      <c r="D180" s="2" t="s">
        <v>10</v>
      </c>
      <c r="E180" s="2" t="str">
        <f>HYPERLINK("http://ts.21cn.com/tousu/show/id/1330576","http://ts.21cn.com/tousu/show/id/1330576")</f>
        <v>http://ts.21cn.com/tousu/show/id/1330576</v>
      </c>
      <c r="F180" s="2" t="s">
        <v>11</v>
      </c>
      <c r="G180" s="2" t="s">
        <v>43809</v>
      </c>
      <c r="H180" s="2" t="s">
        <v>43810</v>
      </c>
    </row>
    <row r="181" spans="1:8" ht="25.05" customHeight="1" x14ac:dyDescent="0.25">
      <c r="A181" s="2" t="s">
        <v>8</v>
      </c>
      <c r="B181" s="2" t="str">
        <f>HYPERLINK("http://ts.21cn.com/tousu/show/id/1330579","钱站")</f>
        <v>钱站</v>
      </c>
      <c r="C181" s="2" t="s">
        <v>9</v>
      </c>
      <c r="D181" s="2" t="s">
        <v>10</v>
      </c>
      <c r="E181" s="2" t="str">
        <f>HYPERLINK("http://ts.21cn.com/tousu/show/id/1330579","http://ts.21cn.com/tousu/show/id/1330579")</f>
        <v>http://ts.21cn.com/tousu/show/id/1330579</v>
      </c>
      <c r="F181" s="2" t="s">
        <v>11</v>
      </c>
      <c r="G181" s="2" t="s">
        <v>43807</v>
      </c>
      <c r="H181" s="2" t="s">
        <v>43808</v>
      </c>
    </row>
    <row r="182" spans="1:8" ht="25.05" customHeight="1" x14ac:dyDescent="0.25">
      <c r="A182" s="2" t="s">
        <v>8</v>
      </c>
      <c r="B182" s="2" t="str">
        <f>HYPERLINK("http://ts.21cn.com/tousu/show/id/1330580","信用管家中的91买呗收取高额砍头息")</f>
        <v>信用管家中的91买呗收取高额砍头息</v>
      </c>
      <c r="C182" s="2" t="s">
        <v>34</v>
      </c>
      <c r="D182" s="2" t="s">
        <v>10</v>
      </c>
      <c r="E182" s="2" t="str">
        <f>HYPERLINK("http://ts.21cn.com/tousu/show/id/1330580","http://ts.21cn.com/tousu/show/id/1330580")</f>
        <v>http://ts.21cn.com/tousu/show/id/1330580</v>
      </c>
      <c r="F182" s="2" t="s">
        <v>11</v>
      </c>
      <c r="G182" s="2" t="s">
        <v>43805</v>
      </c>
      <c r="H182" s="2" t="s">
        <v>43806</v>
      </c>
    </row>
    <row r="183" spans="1:8" ht="25.05" customHeight="1" x14ac:dyDescent="0.25">
      <c r="A183" s="2" t="s">
        <v>8</v>
      </c>
      <c r="B183" s="2" t="str">
        <f>HYPERLINK("http://ts.21cn.com/tousu/show/id/1330577","持牌机构714高利贷")</f>
        <v>持牌机构714高利贷</v>
      </c>
      <c r="C183" s="2" t="s">
        <v>9</v>
      </c>
      <c r="D183" s="2" t="s">
        <v>10</v>
      </c>
      <c r="E183" s="2" t="str">
        <f>HYPERLINK("http://ts.21cn.com/tousu/show/id/1330577","http://ts.21cn.com/tousu/show/id/1330577")</f>
        <v>http://ts.21cn.com/tousu/show/id/1330577</v>
      </c>
      <c r="F183" s="2" t="s">
        <v>11</v>
      </c>
      <c r="G183" s="2" t="s">
        <v>43803</v>
      </c>
      <c r="H183" s="2" t="s">
        <v>43804</v>
      </c>
    </row>
    <row r="184" spans="1:8" ht="25.05" customHeight="1" x14ac:dyDescent="0.25">
      <c r="A184" s="2" t="s">
        <v>8</v>
      </c>
      <c r="B184" s="2" t="str">
        <f>HYPERLINK("http://ts.21cn.com/tousu/show/id/1330581","骚扰加威胁")</f>
        <v>骚扰加威胁</v>
      </c>
      <c r="C184" s="2" t="s">
        <v>9</v>
      </c>
      <c r="D184" s="2" t="s">
        <v>10</v>
      </c>
      <c r="E184" s="2" t="str">
        <f>HYPERLINK("http://ts.21cn.com/tousu/show/id/1330581","http://ts.21cn.com/tousu/show/id/1330581")</f>
        <v>http://ts.21cn.com/tousu/show/id/1330581</v>
      </c>
      <c r="F184" s="2" t="s">
        <v>11</v>
      </c>
      <c r="G184" s="2" t="s">
        <v>43801</v>
      </c>
      <c r="H184" s="2" t="s">
        <v>43802</v>
      </c>
    </row>
    <row r="185" spans="1:8" ht="25.05" customHeight="1" x14ac:dyDescent="0.25">
      <c r="A185" s="2" t="s">
        <v>8</v>
      </c>
      <c r="B185" s="2" t="str">
        <f>HYPERLINK("http://ts.21cn.com/tousu/show/id/1330583","花呗催收人对史洪芝恶意催收")</f>
        <v>花呗催收人对史洪芝恶意催收</v>
      </c>
      <c r="C185" s="2" t="s">
        <v>9</v>
      </c>
      <c r="D185" s="2" t="s">
        <v>10</v>
      </c>
      <c r="E185" s="2" t="str">
        <f>HYPERLINK("http://ts.21cn.com/tousu/show/id/1330583","http://ts.21cn.com/tousu/show/id/1330583")</f>
        <v>http://ts.21cn.com/tousu/show/id/1330583</v>
      </c>
      <c r="F185" s="2" t="s">
        <v>11</v>
      </c>
      <c r="G185" s="2" t="s">
        <v>43799</v>
      </c>
      <c r="H185" s="2" t="s">
        <v>43800</v>
      </c>
    </row>
    <row r="186" spans="1:8" ht="25.05" customHeight="1" x14ac:dyDescent="0.25">
      <c r="A186" s="2" t="s">
        <v>8</v>
      </c>
      <c r="B186" s="2" t="str">
        <f>HYPERLINK("http://ts.21cn.com/tousu/show/id/1330584","自由魔卡高额砍头息")</f>
        <v>自由魔卡高额砍头息</v>
      </c>
      <c r="C186" s="2" t="s">
        <v>34</v>
      </c>
      <c r="D186" s="2" t="s">
        <v>10</v>
      </c>
      <c r="E186" s="2" t="str">
        <f>HYPERLINK("http://ts.21cn.com/tousu/show/id/1330584","http://ts.21cn.com/tousu/show/id/1330584")</f>
        <v>http://ts.21cn.com/tousu/show/id/1330584</v>
      </c>
      <c r="F186" s="2" t="s">
        <v>11</v>
      </c>
      <c r="G186" s="2" t="s">
        <v>43797</v>
      </c>
      <c r="H186" s="2" t="s">
        <v>43798</v>
      </c>
    </row>
    <row r="187" spans="1:8" ht="25.05" customHeight="1" x14ac:dyDescent="0.25">
      <c r="A187" s="2" t="s">
        <v>8</v>
      </c>
      <c r="B187" s="2" t="str">
        <f>HYPERLINK("http://ts.21cn.com/tousu/show/id/1330582","信用管家有盈好贷高利贷砍头息")</f>
        <v>信用管家有盈好贷高利贷砍头息</v>
      </c>
      <c r="C187" s="2" t="s">
        <v>9</v>
      </c>
      <c r="D187" s="2" t="s">
        <v>10</v>
      </c>
      <c r="E187" s="2" t="str">
        <f>HYPERLINK("http://ts.21cn.com/tousu/show/id/1330582","http://ts.21cn.com/tousu/show/id/1330582")</f>
        <v>http://ts.21cn.com/tousu/show/id/1330582</v>
      </c>
      <c r="F187" s="2" t="s">
        <v>11</v>
      </c>
      <c r="G187" s="2" t="s">
        <v>43795</v>
      </c>
      <c r="H187" s="2" t="s">
        <v>43796</v>
      </c>
    </row>
    <row r="188" spans="1:8" ht="25.05" customHeight="1" x14ac:dyDescent="0.25">
      <c r="A188" s="2" t="s">
        <v>8</v>
      </c>
      <c r="B188" s="2" t="str">
        <f>HYPERLINK("http://ts.21cn.com/tousu/show/id/1330585","立借APP月月借收取高额利息")</f>
        <v>立借APP月月借收取高额利息</v>
      </c>
      <c r="C188" s="2" t="s">
        <v>9</v>
      </c>
      <c r="D188" s="2" t="s">
        <v>10</v>
      </c>
      <c r="E188" s="2" t="str">
        <f>HYPERLINK("http://ts.21cn.com/tousu/show/id/1330585","http://ts.21cn.com/tousu/show/id/1330585")</f>
        <v>http://ts.21cn.com/tousu/show/id/1330585</v>
      </c>
      <c r="F188" s="2" t="s">
        <v>11</v>
      </c>
      <c r="G188" s="2" t="s">
        <v>43793</v>
      </c>
      <c r="H188" s="2" t="s">
        <v>43794</v>
      </c>
    </row>
    <row r="189" spans="1:8" ht="25.05" customHeight="1" x14ac:dyDescent="0.25">
      <c r="A189" s="2" t="s">
        <v>8</v>
      </c>
      <c r="B189" s="2" t="str">
        <f>HYPERLINK("http://ts.21cn.com/tousu/show/id/1330586","非法网贷")</f>
        <v>非法网贷</v>
      </c>
      <c r="C189" s="2" t="s">
        <v>9</v>
      </c>
      <c r="D189" s="2" t="s">
        <v>10</v>
      </c>
      <c r="E189" s="2" t="str">
        <f>HYPERLINK("http://ts.21cn.com/tousu/show/id/1330586","http://ts.21cn.com/tousu/show/id/1330586")</f>
        <v>http://ts.21cn.com/tousu/show/id/1330586</v>
      </c>
      <c r="F189" s="2" t="s">
        <v>11</v>
      </c>
      <c r="G189" s="2" t="s">
        <v>43791</v>
      </c>
      <c r="H189" s="2" t="s">
        <v>43792</v>
      </c>
    </row>
    <row r="190" spans="1:8" ht="25.05" customHeight="1" x14ac:dyDescent="0.25">
      <c r="A190" s="2" t="s">
        <v>8</v>
      </c>
      <c r="B190" s="2" t="str">
        <f>HYPERLINK("http://ts.21cn.com/tousu/show/id/1330587","转转强制验机")</f>
        <v>转转强制验机</v>
      </c>
      <c r="C190" s="2" t="s">
        <v>9</v>
      </c>
      <c r="D190" s="2" t="s">
        <v>10</v>
      </c>
      <c r="E190" s="2" t="str">
        <f>HYPERLINK("http://ts.21cn.com/tousu/show/id/1330587","http://ts.21cn.com/tousu/show/id/1330587")</f>
        <v>http://ts.21cn.com/tousu/show/id/1330587</v>
      </c>
      <c r="F190" s="2" t="s">
        <v>11</v>
      </c>
      <c r="G190" s="2" t="s">
        <v>43789</v>
      </c>
      <c r="H190" s="2" t="s">
        <v>43790</v>
      </c>
    </row>
    <row r="191" spans="1:8" ht="25.05" customHeight="1" x14ac:dyDescent="0.25">
      <c r="A191" s="2" t="s">
        <v>8</v>
      </c>
      <c r="B191" s="2" t="str">
        <f>HYPERLINK("http://ts.21cn.com/tousu/show/id/1330588","去哪儿网")</f>
        <v>去哪儿网</v>
      </c>
      <c r="C191" s="2" t="s">
        <v>9</v>
      </c>
      <c r="D191" s="2" t="s">
        <v>10</v>
      </c>
      <c r="E191" s="2" t="str">
        <f>HYPERLINK("http://ts.21cn.com/tousu/show/id/1330588","http://ts.21cn.com/tousu/show/id/1330588")</f>
        <v>http://ts.21cn.com/tousu/show/id/1330588</v>
      </c>
      <c r="F191" s="2" t="s">
        <v>11</v>
      </c>
      <c r="G191" s="2" t="s">
        <v>43787</v>
      </c>
      <c r="H191" s="2" t="s">
        <v>43788</v>
      </c>
    </row>
    <row r="192" spans="1:8" ht="25.05" customHeight="1" x14ac:dyDescent="0.25">
      <c r="A192" s="2" t="s">
        <v>8</v>
      </c>
      <c r="B192" s="2" t="str">
        <f>HYPERLINK("http://ts.21cn.com/tousu/show/id/1330589","借呗威胁骚扰家人")</f>
        <v>借呗威胁骚扰家人</v>
      </c>
      <c r="C192" s="2" t="s">
        <v>9</v>
      </c>
      <c r="D192" s="2" t="s">
        <v>10</v>
      </c>
      <c r="E192" s="2" t="str">
        <f>HYPERLINK("http://ts.21cn.com/tousu/show/id/1330589","http://ts.21cn.com/tousu/show/id/1330589")</f>
        <v>http://ts.21cn.com/tousu/show/id/1330589</v>
      </c>
      <c r="F192" s="2" t="s">
        <v>11</v>
      </c>
      <c r="G192" s="2" t="s">
        <v>43785</v>
      </c>
      <c r="H192" s="2" t="s">
        <v>43786</v>
      </c>
    </row>
    <row r="193" spans="1:8" ht="25.05" customHeight="1" x14ac:dyDescent="0.25">
      <c r="A193" s="2" t="s">
        <v>8</v>
      </c>
      <c r="B193" s="2" t="str">
        <f>HYPERLINK("http://ts.21cn.com/tousu/show/id/1330590","714高利贷高炮砍头息暴力催收")</f>
        <v>714高利贷高炮砍头息暴力催收</v>
      </c>
      <c r="C193" s="2" t="s">
        <v>9</v>
      </c>
      <c r="D193" s="2" t="s">
        <v>10</v>
      </c>
      <c r="E193" s="2" t="str">
        <f>HYPERLINK("http://ts.21cn.com/tousu/show/id/1330590","http://ts.21cn.com/tousu/show/id/1330590")</f>
        <v>http://ts.21cn.com/tousu/show/id/1330590</v>
      </c>
      <c r="F193" s="2" t="s">
        <v>11</v>
      </c>
      <c r="G193" s="2" t="s">
        <v>43783</v>
      </c>
      <c r="H193" s="2" t="s">
        <v>43784</v>
      </c>
    </row>
    <row r="194" spans="1:8" ht="25.05" customHeight="1" x14ac:dyDescent="0.25">
      <c r="A194" s="2" t="s">
        <v>8</v>
      </c>
      <c r="B194" s="2" t="str">
        <f>HYPERLINK("http://ts.21cn.com/tousu/show/id/1330591","立借青春宝高利贷砍头息")</f>
        <v>立借青春宝高利贷砍头息</v>
      </c>
      <c r="C194" s="2" t="s">
        <v>9</v>
      </c>
      <c r="D194" s="2" t="s">
        <v>10</v>
      </c>
      <c r="E194" s="2" t="str">
        <f>HYPERLINK("http://ts.21cn.com/tousu/show/id/1330591","http://ts.21cn.com/tousu/show/id/1330591")</f>
        <v>http://ts.21cn.com/tousu/show/id/1330591</v>
      </c>
      <c r="F194" s="2" t="s">
        <v>11</v>
      </c>
      <c r="G194" s="2" t="s">
        <v>43781</v>
      </c>
      <c r="H194" s="2" t="s">
        <v>43782</v>
      </c>
    </row>
    <row r="195" spans="1:8" ht="25.05" customHeight="1" x14ac:dyDescent="0.25">
      <c r="A195" s="2" t="s">
        <v>8</v>
      </c>
      <c r="B195" s="2" t="str">
        <f>HYPERLINK("http://ts.21cn.com/tousu/show/id/1330593","游戏杀猪盘")</f>
        <v>游戏杀猪盘</v>
      </c>
      <c r="C195" s="2" t="s">
        <v>9</v>
      </c>
      <c r="D195" s="2" t="s">
        <v>10</v>
      </c>
      <c r="E195" s="2" t="str">
        <f>HYPERLINK("http://ts.21cn.com/tousu/show/id/1330593","http://ts.21cn.com/tousu/show/id/1330593")</f>
        <v>http://ts.21cn.com/tousu/show/id/1330593</v>
      </c>
      <c r="F195" s="2" t="s">
        <v>11</v>
      </c>
      <c r="G195" s="2" t="s">
        <v>43779</v>
      </c>
      <c r="H195" s="2" t="s">
        <v>43780</v>
      </c>
    </row>
    <row r="196" spans="1:8" ht="25.05" customHeight="1" x14ac:dyDescent="0.25">
      <c r="A196" s="2" t="s">
        <v>8</v>
      </c>
      <c r="B196" s="2" t="str">
        <f>HYPERLINK("http://ts.21cn.com/tousu/show/id/1330578","展鸿科技，汇潮支付高利贷")</f>
        <v>展鸿科技，汇潮支付高利贷</v>
      </c>
      <c r="C196" s="2" t="s">
        <v>9</v>
      </c>
      <c r="D196" s="2" t="s">
        <v>10</v>
      </c>
      <c r="E196" s="2" t="str">
        <f>HYPERLINK("http://ts.21cn.com/tousu/show/id/1330578","http://ts.21cn.com/tousu/show/id/1330578")</f>
        <v>http://ts.21cn.com/tousu/show/id/1330578</v>
      </c>
      <c r="F196" s="2" t="s">
        <v>11</v>
      </c>
      <c r="G196" s="2" t="s">
        <v>43777</v>
      </c>
      <c r="H196" s="2" t="s">
        <v>43778</v>
      </c>
    </row>
    <row r="197" spans="1:8" ht="25.05" customHeight="1" x14ac:dyDescent="0.25">
      <c r="A197" s="2" t="s">
        <v>8</v>
      </c>
      <c r="B197" s="2" t="str">
        <f>HYPERLINK("http://ts.21cn.com/tousu/show/id/1330594","钱站APP高利贷")</f>
        <v>钱站APP高利贷</v>
      </c>
      <c r="C197" s="2" t="s">
        <v>9</v>
      </c>
      <c r="D197" s="2" t="s">
        <v>10</v>
      </c>
      <c r="E197" s="2" t="str">
        <f>HYPERLINK("http://ts.21cn.com/tousu/show/id/1330594","http://ts.21cn.com/tousu/show/id/1330594")</f>
        <v>http://ts.21cn.com/tousu/show/id/1330594</v>
      </c>
      <c r="F197" s="2" t="s">
        <v>11</v>
      </c>
      <c r="G197" s="2" t="s">
        <v>43775</v>
      </c>
      <c r="H197" s="2" t="s">
        <v>43776</v>
      </c>
    </row>
    <row r="198" spans="1:8" ht="25.05" customHeight="1" x14ac:dyDescent="0.25">
      <c r="A198" s="2" t="s">
        <v>8</v>
      </c>
      <c r="B198" s="2" t="str">
        <f>HYPERLINK("http://ts.21cn.com/tousu/show/id/1330595","小狸阅读虚假宣传")</f>
        <v>小狸阅读虚假宣传</v>
      </c>
      <c r="C198" s="2" t="s">
        <v>9</v>
      </c>
      <c r="D198" s="2" t="s">
        <v>10</v>
      </c>
      <c r="E198" s="2" t="str">
        <f>HYPERLINK("http://ts.21cn.com/tousu/show/id/1330595","http://ts.21cn.com/tousu/show/id/1330595")</f>
        <v>http://ts.21cn.com/tousu/show/id/1330595</v>
      </c>
      <c r="F198" s="2" t="s">
        <v>11</v>
      </c>
      <c r="G198" s="2" t="s">
        <v>43773</v>
      </c>
      <c r="H198" s="2" t="s">
        <v>43774</v>
      </c>
    </row>
    <row r="199" spans="1:8" ht="25.05" customHeight="1" x14ac:dyDescent="0.25">
      <c r="A199" s="2" t="s">
        <v>8</v>
      </c>
      <c r="B199" s="2" t="str">
        <f>HYPERLINK("http://ts.21cn.com/tousu/show/id/1330599","分期鸭高利贷")</f>
        <v>分期鸭高利贷</v>
      </c>
      <c r="C199" s="2" t="s">
        <v>9</v>
      </c>
      <c r="D199" s="2" t="s">
        <v>10</v>
      </c>
      <c r="E199" s="2" t="str">
        <f>HYPERLINK("http://ts.21cn.com/tousu/show/id/1330599","http://ts.21cn.com/tousu/show/id/1330599")</f>
        <v>http://ts.21cn.com/tousu/show/id/1330599</v>
      </c>
      <c r="F199" s="2" t="s">
        <v>11</v>
      </c>
      <c r="G199" s="2" t="s">
        <v>43771</v>
      </c>
      <c r="H199" s="2" t="s">
        <v>43772</v>
      </c>
    </row>
    <row r="200" spans="1:8" ht="25.05" customHeight="1" x14ac:dyDescent="0.25">
      <c r="A200" s="2" t="s">
        <v>8</v>
      </c>
      <c r="B200" s="2" t="str">
        <f>HYPERLINK("http://ts.21cn.com/tousu/show/id/1330597","工行小程序申请ETC无法撤单")</f>
        <v>工行小程序申请ETC无法撤单</v>
      </c>
      <c r="C200" s="2" t="s">
        <v>9</v>
      </c>
      <c r="D200" s="2" t="s">
        <v>10</v>
      </c>
      <c r="E200" s="2" t="str">
        <f>HYPERLINK("http://ts.21cn.com/tousu/show/id/1330597","http://ts.21cn.com/tousu/show/id/1330597")</f>
        <v>http://ts.21cn.com/tousu/show/id/1330597</v>
      </c>
      <c r="F200" s="2" t="s">
        <v>11</v>
      </c>
      <c r="G200" s="2" t="s">
        <v>43769</v>
      </c>
      <c r="H200" s="2" t="s">
        <v>43770</v>
      </c>
    </row>
    <row r="201" spans="1:8" ht="25.05" customHeight="1" x14ac:dyDescent="0.25">
      <c r="A201" s="2" t="s">
        <v>8</v>
      </c>
      <c r="B201" s="2" t="str">
        <f>HYPERLINK("http://ts.21cn.com/tousu/show/id/1330598","建行信用卡高利贷高额利息和手续费")</f>
        <v>建行信用卡高利贷高额利息和手续费</v>
      </c>
      <c r="C201" s="2" t="s">
        <v>9</v>
      </c>
      <c r="D201" s="2" t="s">
        <v>10</v>
      </c>
      <c r="E201" s="2" t="str">
        <f>HYPERLINK("http://ts.21cn.com/tousu/show/id/1330598","http://ts.21cn.com/tousu/show/id/1330598")</f>
        <v>http://ts.21cn.com/tousu/show/id/1330598</v>
      </c>
      <c r="F201" s="2" t="s">
        <v>11</v>
      </c>
      <c r="G201" s="2" t="s">
        <v>43767</v>
      </c>
      <c r="H201" s="2" t="s">
        <v>43768</v>
      </c>
    </row>
    <row r="202" spans="1:8" ht="25.05" customHeight="1" x14ac:dyDescent="0.25">
      <c r="A202" s="2" t="s">
        <v>8</v>
      </c>
      <c r="B202" s="2" t="str">
        <f>HYPERLINK("http://ts.21cn.com/tousu/show/id/1330600","贷上钱通过买游戏豆乱收费用")</f>
        <v>贷上钱通过买游戏豆乱收费用</v>
      </c>
      <c r="C202" s="2" t="s">
        <v>9</v>
      </c>
      <c r="D202" s="2" t="s">
        <v>10</v>
      </c>
      <c r="E202" s="2" t="str">
        <f>HYPERLINK("http://ts.21cn.com/tousu/show/id/1330600","http://ts.21cn.com/tousu/show/id/1330600")</f>
        <v>http://ts.21cn.com/tousu/show/id/1330600</v>
      </c>
      <c r="F202" s="2" t="s">
        <v>11</v>
      </c>
      <c r="G202" s="2" t="s">
        <v>43765</v>
      </c>
      <c r="H202" s="2" t="s">
        <v>43766</v>
      </c>
    </row>
    <row r="203" spans="1:8" ht="25.05" customHeight="1" x14ac:dyDescent="0.25">
      <c r="A203" s="2" t="s">
        <v>8</v>
      </c>
      <c r="B203" s="2" t="str">
        <f>HYPERLINK("http://ts.21cn.com/tousu/show/id/1330601","平台发出威胁，恐吓短信")</f>
        <v>平台发出威胁，恐吓短信</v>
      </c>
      <c r="C203" s="2" t="s">
        <v>9</v>
      </c>
      <c r="D203" s="2" t="s">
        <v>10</v>
      </c>
      <c r="E203" s="2" t="str">
        <f>HYPERLINK("http://ts.21cn.com/tousu/show/id/1330601","http://ts.21cn.com/tousu/show/id/1330601")</f>
        <v>http://ts.21cn.com/tousu/show/id/1330601</v>
      </c>
      <c r="F203" s="2" t="s">
        <v>11</v>
      </c>
      <c r="G203" s="2" t="s">
        <v>43763</v>
      </c>
      <c r="H203" s="2" t="s">
        <v>43764</v>
      </c>
    </row>
    <row r="204" spans="1:8" ht="25.05" customHeight="1" x14ac:dyDescent="0.25">
      <c r="A204" s="2" t="s">
        <v>8</v>
      </c>
      <c r="B204" s="2" t="str">
        <f>HYPERLINK("http://ts.21cn.com/tousu/show/id/1330603","滴滴金融虚假宣传循环贷款")</f>
        <v>滴滴金融虚假宣传循环贷款</v>
      </c>
      <c r="C204" s="2" t="s">
        <v>9</v>
      </c>
      <c r="D204" s="2" t="s">
        <v>10</v>
      </c>
      <c r="E204" s="2" t="str">
        <f>HYPERLINK("http://ts.21cn.com/tousu/show/id/1330603","http://ts.21cn.com/tousu/show/id/1330603")</f>
        <v>http://ts.21cn.com/tousu/show/id/1330603</v>
      </c>
      <c r="F204" s="2" t="s">
        <v>11</v>
      </c>
      <c r="G204" s="2" t="s">
        <v>43761</v>
      </c>
      <c r="H204" s="2" t="s">
        <v>43762</v>
      </c>
    </row>
    <row r="205" spans="1:8" ht="25.05" customHeight="1" x14ac:dyDescent="0.25">
      <c r="A205" s="2" t="s">
        <v>8</v>
      </c>
      <c r="B205" s="2" t="str">
        <f>HYPERLINK("http://ts.21cn.com/tousu/show/id/1330604","希望对啊网给予完成学业的机会或者退款")</f>
        <v>希望对啊网给予完成学业的机会或者退款</v>
      </c>
      <c r="C205" s="2" t="s">
        <v>9</v>
      </c>
      <c r="D205" s="2" t="s">
        <v>10</v>
      </c>
      <c r="E205" s="2" t="str">
        <f>HYPERLINK("http://ts.21cn.com/tousu/show/id/1330604","http://ts.21cn.com/tousu/show/id/1330604")</f>
        <v>http://ts.21cn.com/tousu/show/id/1330604</v>
      </c>
      <c r="F205" s="2" t="s">
        <v>11</v>
      </c>
      <c r="G205" s="2" t="s">
        <v>43759</v>
      </c>
      <c r="H205" s="2" t="s">
        <v>43760</v>
      </c>
    </row>
    <row r="206" spans="1:8" ht="25.05" customHeight="1" x14ac:dyDescent="0.25">
      <c r="A206" s="2" t="s">
        <v>8</v>
      </c>
      <c r="B206" s="2" t="str">
        <f>HYPERLINK("http://ts.21cn.com/tousu/show/id/1330605","捷信一直骚扰我，对我生活造成影响，希望有光部门管理一下")</f>
        <v>捷信一直骚扰我，对我生活造成影响，希望有光部门管理一下</v>
      </c>
      <c r="C206" s="2" t="s">
        <v>9</v>
      </c>
      <c r="D206" s="2" t="s">
        <v>10</v>
      </c>
      <c r="E206" s="2" t="str">
        <f>HYPERLINK("http://ts.21cn.com/tousu/show/id/1330605","http://ts.21cn.com/tousu/show/id/1330605")</f>
        <v>http://ts.21cn.com/tousu/show/id/1330605</v>
      </c>
      <c r="F206" s="2" t="s">
        <v>11</v>
      </c>
      <c r="G206" s="2" t="s">
        <v>43757</v>
      </c>
      <c r="H206" s="2" t="s">
        <v>43758</v>
      </c>
    </row>
    <row r="207" spans="1:8" ht="25.05" customHeight="1" x14ac:dyDescent="0.25">
      <c r="A207" s="2" t="s">
        <v>8</v>
      </c>
      <c r="B207" s="2" t="str">
        <f>HYPERLINK("http://ts.21cn.com/tousu/show/id/1330606","申请民航联盟会员卡退款退卡")</f>
        <v>申请民航联盟会员卡退款退卡</v>
      </c>
      <c r="C207" s="2" t="s">
        <v>9</v>
      </c>
      <c r="D207" s="2" t="s">
        <v>10</v>
      </c>
      <c r="E207" s="2" t="str">
        <f>HYPERLINK("http://ts.21cn.com/tousu/show/id/1330606","http://ts.21cn.com/tousu/show/id/1330606")</f>
        <v>http://ts.21cn.com/tousu/show/id/1330606</v>
      </c>
      <c r="F207" s="2" t="s">
        <v>11</v>
      </c>
      <c r="G207" s="2" t="s">
        <v>43755</v>
      </c>
      <c r="H207" s="2" t="s">
        <v>43756</v>
      </c>
    </row>
    <row r="208" spans="1:8" ht="25.05" customHeight="1" x14ac:dyDescent="0.25">
      <c r="A208" s="2" t="s">
        <v>8</v>
      </c>
      <c r="B208" s="2" t="str">
        <f>HYPERLINK("http://ts.21cn.com/tousu/show/id/1330609","盼达不退押金")</f>
        <v>盼达不退押金</v>
      </c>
      <c r="C208" s="2" t="s">
        <v>9</v>
      </c>
      <c r="D208" s="2" t="s">
        <v>10</v>
      </c>
      <c r="E208" s="2" t="str">
        <f>HYPERLINK("http://ts.21cn.com/tousu/show/id/1330609","http://ts.21cn.com/tousu/show/id/1330609")</f>
        <v>http://ts.21cn.com/tousu/show/id/1330609</v>
      </c>
      <c r="F208" s="2" t="s">
        <v>11</v>
      </c>
      <c r="G208" s="2" t="s">
        <v>43753</v>
      </c>
      <c r="H208" s="2" t="s">
        <v>43754</v>
      </c>
    </row>
    <row r="209" spans="1:8" ht="25.05" customHeight="1" x14ac:dyDescent="0.25">
      <c r="A209" s="2" t="s">
        <v>8</v>
      </c>
      <c r="B209" s="2" t="str">
        <f>HYPERLINK("http://ts.21cn.com/tousu/show/id/1330610","分秒花恶意扣款")</f>
        <v>分秒花恶意扣款</v>
      </c>
      <c r="C209" s="2" t="s">
        <v>9</v>
      </c>
      <c r="D209" s="2" t="s">
        <v>10</v>
      </c>
      <c r="E209" s="2" t="str">
        <f>HYPERLINK("http://ts.21cn.com/tousu/show/id/1330610","http://ts.21cn.com/tousu/show/id/1330610")</f>
        <v>http://ts.21cn.com/tousu/show/id/1330610</v>
      </c>
      <c r="F209" s="2" t="s">
        <v>11</v>
      </c>
      <c r="G209" s="2" t="s">
        <v>43751</v>
      </c>
      <c r="H209" s="2" t="s">
        <v>43752</v>
      </c>
    </row>
    <row r="210" spans="1:8" ht="25.05" customHeight="1" x14ac:dyDescent="0.25">
      <c r="A210" s="2" t="s">
        <v>8</v>
      </c>
      <c r="B210" s="2" t="str">
        <f>HYPERLINK("http://ts.21cn.com/tousu/show/id/1330611","分期通拒绝退还VIP")</f>
        <v>分期通拒绝退还VIP</v>
      </c>
      <c r="C210" s="2" t="s">
        <v>9</v>
      </c>
      <c r="D210" s="2" t="s">
        <v>10</v>
      </c>
      <c r="E210" s="2" t="str">
        <f>HYPERLINK("http://ts.21cn.com/tousu/show/id/1330611","http://ts.21cn.com/tousu/show/id/1330611")</f>
        <v>http://ts.21cn.com/tousu/show/id/1330611</v>
      </c>
      <c r="F210" s="2" t="s">
        <v>11</v>
      </c>
      <c r="G210" s="2" t="s">
        <v>43749</v>
      </c>
      <c r="H210" s="2" t="s">
        <v>43750</v>
      </c>
    </row>
    <row r="211" spans="1:8" ht="25.05" customHeight="1" x14ac:dyDescent="0.25">
      <c r="A211" s="2" t="s">
        <v>8</v>
      </c>
      <c r="B211" s="2" t="str">
        <f>HYPERLINK("http://ts.21cn.com/tousu/show/id/1330612","立借中钱置宝高利贷砍头息")</f>
        <v>立借中钱置宝高利贷砍头息</v>
      </c>
      <c r="C211" s="2" t="s">
        <v>9</v>
      </c>
      <c r="D211" s="2" t="s">
        <v>10</v>
      </c>
      <c r="E211" s="2" t="str">
        <f>HYPERLINK("http://ts.21cn.com/tousu/show/id/1330612","http://ts.21cn.com/tousu/show/id/1330612")</f>
        <v>http://ts.21cn.com/tousu/show/id/1330612</v>
      </c>
      <c r="F211" s="2" t="s">
        <v>11</v>
      </c>
      <c r="G211" s="2" t="s">
        <v>43747</v>
      </c>
      <c r="H211" s="2" t="s">
        <v>43748</v>
      </c>
    </row>
    <row r="212" spans="1:8" ht="25.05" customHeight="1" x14ac:dyDescent="0.25">
      <c r="A212" s="2" t="s">
        <v>8</v>
      </c>
      <c r="B212" s="2" t="str">
        <f>HYPERLINK("http://ts.21cn.com/tousu/show/id/1330613","投诉华夏银行不让销卡，各种理由")</f>
        <v>投诉华夏银行不让销卡，各种理由</v>
      </c>
      <c r="C212" s="2" t="s">
        <v>9</v>
      </c>
      <c r="D212" s="2" t="s">
        <v>10</v>
      </c>
      <c r="E212" s="2" t="str">
        <f>HYPERLINK("http://ts.21cn.com/tousu/show/id/1330613","http://ts.21cn.com/tousu/show/id/1330613")</f>
        <v>http://ts.21cn.com/tousu/show/id/1330613</v>
      </c>
      <c r="F212" s="2" t="s">
        <v>11</v>
      </c>
      <c r="G212" s="2" t="s">
        <v>43745</v>
      </c>
      <c r="H212" s="2" t="s">
        <v>43746</v>
      </c>
    </row>
    <row r="213" spans="1:8" ht="25.05" customHeight="1" x14ac:dyDescent="0.25">
      <c r="A213" s="2" t="s">
        <v>8</v>
      </c>
      <c r="B213" s="2" t="str">
        <f>HYPERLINK("http://ts.21cn.com/tousu/show/id/1330614","在没有告知我的情况下扣我钱")</f>
        <v>在没有告知我的情况下扣我钱</v>
      </c>
      <c r="C213" s="2" t="s">
        <v>9</v>
      </c>
      <c r="D213" s="2" t="s">
        <v>10</v>
      </c>
      <c r="E213" s="2" t="str">
        <f>HYPERLINK("http://ts.21cn.com/tousu/show/id/1330614","http://ts.21cn.com/tousu/show/id/1330614")</f>
        <v>http://ts.21cn.com/tousu/show/id/1330614</v>
      </c>
      <c r="F213" s="2" t="s">
        <v>11</v>
      </c>
      <c r="G213" s="2" t="s">
        <v>43743</v>
      </c>
      <c r="H213" s="2" t="s">
        <v>43744</v>
      </c>
    </row>
    <row r="214" spans="1:8" ht="25.05" customHeight="1" x14ac:dyDescent="0.25">
      <c r="A214" s="2" t="s">
        <v>8</v>
      </c>
      <c r="B214" s="2" t="str">
        <f>HYPERLINK("http://ts.21cn.com/tousu/show/id/1330616","德众棋牌是一款打着国家允许的旗号说是一款绿色游戏诱导贫民无辜上当")</f>
        <v>德众棋牌是一款打着国家允许的旗号说是一款绿色游戏诱导贫民无辜上当</v>
      </c>
      <c r="C214" s="2" t="s">
        <v>34</v>
      </c>
      <c r="D214" s="2" t="s">
        <v>10</v>
      </c>
      <c r="E214" s="2" t="str">
        <f>HYPERLINK("http://ts.21cn.com/tousu/show/id/1330616","http://ts.21cn.com/tousu/show/id/1330616")</f>
        <v>http://ts.21cn.com/tousu/show/id/1330616</v>
      </c>
      <c r="F214" s="2" t="s">
        <v>11</v>
      </c>
      <c r="G214" s="2" t="s">
        <v>43741</v>
      </c>
      <c r="H214" s="2" t="s">
        <v>43742</v>
      </c>
    </row>
    <row r="215" spans="1:8" ht="25.05" customHeight="1" x14ac:dyDescent="0.25">
      <c r="A215" s="2" t="s">
        <v>8</v>
      </c>
      <c r="B215" s="2" t="str">
        <f>HYPERLINK("http://ts.21cn.com/tousu/show/id/1329850","高利贷砍头息，套路贷")</f>
        <v>高利贷砍头息，套路贷</v>
      </c>
      <c r="C215" s="2" t="s">
        <v>9</v>
      </c>
      <c r="D215" s="2" t="s">
        <v>10</v>
      </c>
      <c r="E215" s="2" t="str">
        <f>HYPERLINK("http://ts.21cn.com/tousu/show/id/1329850","http://ts.21cn.com/tousu/show/id/1329850")</f>
        <v>http://ts.21cn.com/tousu/show/id/1329850</v>
      </c>
      <c r="F215" s="2" t="s">
        <v>11</v>
      </c>
      <c r="G215" s="2" t="s">
        <v>43739</v>
      </c>
      <c r="H215" s="2" t="s">
        <v>43740</v>
      </c>
    </row>
    <row r="216" spans="1:8" ht="25.05" customHeight="1" x14ac:dyDescent="0.25">
      <c r="A216" s="2" t="s">
        <v>8</v>
      </c>
      <c r="B216" s="2" t="str">
        <f>HYPERLINK("http://ts.21cn.com/tousu/show/id/1330615","立借月月钱包高利贷")</f>
        <v>立借月月钱包高利贷</v>
      </c>
      <c r="C216" s="2" t="s">
        <v>9</v>
      </c>
      <c r="D216" s="2" t="s">
        <v>10</v>
      </c>
      <c r="E216" s="2" t="str">
        <f>HYPERLINK("http://ts.21cn.com/tousu/show/id/1330615","http://ts.21cn.com/tousu/show/id/1330615")</f>
        <v>http://ts.21cn.com/tousu/show/id/1330615</v>
      </c>
      <c r="F216" s="2" t="s">
        <v>11</v>
      </c>
      <c r="G216" s="2" t="s">
        <v>43737</v>
      </c>
      <c r="H216" s="2" t="s">
        <v>43738</v>
      </c>
    </row>
    <row r="217" spans="1:8" ht="25.05" customHeight="1" x14ac:dyDescent="0.25">
      <c r="A217" s="2" t="s">
        <v>8</v>
      </c>
      <c r="B217" s="2" t="str">
        <f>HYPERLINK("http://ts.21cn.com/tousu/show/id/1330617","我来贷提前还款付高利息")</f>
        <v>我来贷提前还款付高利息</v>
      </c>
      <c r="C217" s="2" t="s">
        <v>34</v>
      </c>
      <c r="D217" s="2" t="s">
        <v>10</v>
      </c>
      <c r="E217" s="2" t="str">
        <f>HYPERLINK("http://ts.21cn.com/tousu/show/id/1330617","http://ts.21cn.com/tousu/show/id/1330617")</f>
        <v>http://ts.21cn.com/tousu/show/id/1330617</v>
      </c>
      <c r="F217" s="2" t="s">
        <v>11</v>
      </c>
      <c r="G217" s="2" t="s">
        <v>43735</v>
      </c>
      <c r="H217" s="2" t="s">
        <v>43736</v>
      </c>
    </row>
    <row r="218" spans="1:8" ht="25.05" customHeight="1" x14ac:dyDescent="0.25">
      <c r="A218" s="2" t="s">
        <v>8</v>
      </c>
      <c r="B218" s="2" t="str">
        <f>HYPERLINK("http://ts.21cn.com/tousu/show/id/1330618","新意花高利贷")</f>
        <v>新意花高利贷</v>
      </c>
      <c r="C218" s="2" t="s">
        <v>9</v>
      </c>
      <c r="D218" s="2" t="s">
        <v>10</v>
      </c>
      <c r="E218" s="2" t="str">
        <f>HYPERLINK("http://ts.21cn.com/tousu/show/id/1330618","http://ts.21cn.com/tousu/show/id/1330618")</f>
        <v>http://ts.21cn.com/tousu/show/id/1330618</v>
      </c>
      <c r="F218" s="2" t="s">
        <v>11</v>
      </c>
      <c r="G218" s="2" t="s">
        <v>43733</v>
      </c>
      <c r="H218" s="2" t="s">
        <v>43734</v>
      </c>
    </row>
    <row r="219" spans="1:8" ht="25.05" customHeight="1" x14ac:dyDescent="0.25">
      <c r="A219" s="2" t="s">
        <v>8</v>
      </c>
      <c r="B219" s="2" t="str">
        <f>HYPERLINK("http://ts.21cn.com/tousu/show/id/1330620","宁波银行万利金提前还款想撤销继续分期")</f>
        <v>宁波银行万利金提前还款想撤销继续分期</v>
      </c>
      <c r="C219" s="2" t="s">
        <v>9</v>
      </c>
      <c r="D219" s="2" t="s">
        <v>10</v>
      </c>
      <c r="E219" s="2" t="str">
        <f>HYPERLINK("http://ts.21cn.com/tousu/show/id/1330620","http://ts.21cn.com/tousu/show/id/1330620")</f>
        <v>http://ts.21cn.com/tousu/show/id/1330620</v>
      </c>
      <c r="F219" s="2" t="s">
        <v>11</v>
      </c>
      <c r="G219" s="2" t="s">
        <v>43731</v>
      </c>
      <c r="H219" s="2" t="s">
        <v>43732</v>
      </c>
    </row>
    <row r="220" spans="1:8" ht="25.05" customHeight="1" x14ac:dyDescent="0.25">
      <c r="A220" s="2" t="s">
        <v>8</v>
      </c>
      <c r="B220" s="2" t="str">
        <f>HYPERLINK("http://ts.21cn.com/tousu/show/id/1330608","聚福钱包不放款并承诺不放款退回征信费")</f>
        <v>聚福钱包不放款并承诺不放款退回征信费</v>
      </c>
      <c r="C220" s="2" t="s">
        <v>9</v>
      </c>
      <c r="D220" s="2" t="s">
        <v>10</v>
      </c>
      <c r="E220" s="2" t="str">
        <f>HYPERLINK("http://ts.21cn.com/tousu/show/id/1330608","http://ts.21cn.com/tousu/show/id/1330608")</f>
        <v>http://ts.21cn.com/tousu/show/id/1330608</v>
      </c>
      <c r="F220" s="2" t="s">
        <v>11</v>
      </c>
      <c r="G220" s="2" t="s">
        <v>43729</v>
      </c>
      <c r="H220" s="2" t="s">
        <v>43730</v>
      </c>
    </row>
    <row r="221" spans="1:8" ht="25.05" customHeight="1" x14ac:dyDescent="0.25">
      <c r="A221" s="2" t="s">
        <v>8</v>
      </c>
      <c r="B221" s="2" t="str">
        <f>HYPERLINK("http://ts.21cn.com/tousu/show/id/1330622","钱站借款")</f>
        <v>钱站借款</v>
      </c>
      <c r="C221" s="2" t="s">
        <v>9</v>
      </c>
      <c r="D221" s="2" t="s">
        <v>10</v>
      </c>
      <c r="E221" s="2" t="str">
        <f>HYPERLINK("http://ts.21cn.com/tousu/show/id/1330622","http://ts.21cn.com/tousu/show/id/1330622")</f>
        <v>http://ts.21cn.com/tousu/show/id/1330622</v>
      </c>
      <c r="F221" s="2" t="s">
        <v>11</v>
      </c>
      <c r="G221" s="2" t="s">
        <v>43727</v>
      </c>
      <c r="H221" s="2" t="s">
        <v>43728</v>
      </c>
    </row>
    <row r="222" spans="1:8" ht="25.05" customHeight="1" x14ac:dyDescent="0.25">
      <c r="A222" s="2" t="s">
        <v>8</v>
      </c>
      <c r="B222" s="2" t="str">
        <f>HYPERLINK("http://ts.21cn.com/tousu/show/id/1330623","关于宜人贷平台骚扰性催收的投诉")</f>
        <v>关于宜人贷平台骚扰性催收的投诉</v>
      </c>
      <c r="C222" s="2" t="s">
        <v>9</v>
      </c>
      <c r="D222" s="2" t="s">
        <v>10</v>
      </c>
      <c r="E222" s="2" t="str">
        <f>HYPERLINK("http://ts.21cn.com/tousu/show/id/1330623","http://ts.21cn.com/tousu/show/id/1330623")</f>
        <v>http://ts.21cn.com/tousu/show/id/1330623</v>
      </c>
      <c r="F222" s="2" t="s">
        <v>11</v>
      </c>
      <c r="G222" s="2" t="s">
        <v>43725</v>
      </c>
      <c r="H222" s="2" t="s">
        <v>43726</v>
      </c>
    </row>
    <row r="223" spans="1:8" ht="25.05" customHeight="1" x14ac:dyDescent="0.25">
      <c r="A223" s="2" t="s">
        <v>8</v>
      </c>
      <c r="B223" s="2" t="str">
        <f>HYPERLINK("http://ts.21cn.com/tousu/show/id/1330607","平安普惠不合法催收")</f>
        <v>平安普惠不合法催收</v>
      </c>
      <c r="C223" s="2" t="s">
        <v>9</v>
      </c>
      <c r="D223" s="2" t="s">
        <v>10</v>
      </c>
      <c r="E223" s="2" t="str">
        <f>HYPERLINK("http://ts.21cn.com/tousu/show/id/1330607","http://ts.21cn.com/tousu/show/id/1330607")</f>
        <v>http://ts.21cn.com/tousu/show/id/1330607</v>
      </c>
      <c r="F223" s="2" t="s">
        <v>11</v>
      </c>
      <c r="G223" s="2" t="s">
        <v>43723</v>
      </c>
      <c r="H223" s="2" t="s">
        <v>43724</v>
      </c>
    </row>
    <row r="224" spans="1:8" ht="25.05" customHeight="1" x14ac:dyDescent="0.25">
      <c r="A224" s="2" t="s">
        <v>8</v>
      </c>
      <c r="B224" s="2" t="str">
        <f>HYPERLINK("http://ts.21cn.com/tousu/show/id/1330621","信用管家里的神马借高额利息，故意使人逾期")</f>
        <v>信用管家里的神马借高额利息，故意使人逾期</v>
      </c>
      <c r="C224" s="2" t="s">
        <v>9</v>
      </c>
      <c r="D224" s="2" t="s">
        <v>10</v>
      </c>
      <c r="E224" s="2" t="str">
        <f>HYPERLINK("http://ts.21cn.com/tousu/show/id/1330621","http://ts.21cn.com/tousu/show/id/1330621")</f>
        <v>http://ts.21cn.com/tousu/show/id/1330621</v>
      </c>
      <c r="F224" s="2" t="s">
        <v>11</v>
      </c>
      <c r="G224" s="2" t="s">
        <v>43721</v>
      </c>
      <c r="H224" s="2" t="s">
        <v>43722</v>
      </c>
    </row>
    <row r="225" spans="1:8" ht="25.05" customHeight="1" x14ac:dyDescent="0.25">
      <c r="A225" s="2" t="s">
        <v>8</v>
      </c>
      <c r="B225" s="2" t="str">
        <f>HYPERLINK("http://ts.21cn.com/tousu/show/id/1330625","蟹老弟高利贷砍头息现要求协商还款")</f>
        <v>蟹老弟高利贷砍头息现要求协商还款</v>
      </c>
      <c r="C225" s="2" t="s">
        <v>9</v>
      </c>
      <c r="D225" s="2" t="s">
        <v>10</v>
      </c>
      <c r="E225" s="2" t="str">
        <f>HYPERLINK("http://ts.21cn.com/tousu/show/id/1330625","http://ts.21cn.com/tousu/show/id/1330625")</f>
        <v>http://ts.21cn.com/tousu/show/id/1330625</v>
      </c>
      <c r="F225" s="2" t="s">
        <v>11</v>
      </c>
      <c r="G225" s="2" t="s">
        <v>43719</v>
      </c>
      <c r="H225" s="2" t="s">
        <v>43720</v>
      </c>
    </row>
    <row r="226" spans="1:8" ht="25.05" customHeight="1" x14ac:dyDescent="0.25">
      <c r="A226" s="2" t="s">
        <v>8</v>
      </c>
      <c r="B226" s="2" t="str">
        <f>HYPERLINK("http://ts.21cn.com/tousu/show/id/1330626","网贷平台骚扰")</f>
        <v>网贷平台骚扰</v>
      </c>
      <c r="C226" s="2" t="s">
        <v>9</v>
      </c>
      <c r="D226" s="2" t="s">
        <v>10</v>
      </c>
      <c r="E226" s="2" t="str">
        <f>HYPERLINK("http://ts.21cn.com/tousu/show/id/1330626","http://ts.21cn.com/tousu/show/id/1330626")</f>
        <v>http://ts.21cn.com/tousu/show/id/1330626</v>
      </c>
      <c r="F226" s="2" t="s">
        <v>11</v>
      </c>
      <c r="G226" s="2" t="s">
        <v>43717</v>
      </c>
      <c r="H226" s="2" t="s">
        <v>43718</v>
      </c>
    </row>
    <row r="227" spans="1:8" ht="25.05" customHeight="1" x14ac:dyDescent="0.25">
      <c r="A227" s="2" t="s">
        <v>8</v>
      </c>
      <c r="B227" s="2" t="str">
        <f>HYPERLINK("http://ts.21cn.com/tousu/show/id/1330628","数来宝高利贷，高额砍头息！")</f>
        <v>数来宝高利贷，高额砍头息！</v>
      </c>
      <c r="C227" s="2" t="s">
        <v>9</v>
      </c>
      <c r="D227" s="2" t="s">
        <v>10</v>
      </c>
      <c r="E227" s="2" t="str">
        <f>HYPERLINK("http://ts.21cn.com/tousu/show/id/1330628","http://ts.21cn.com/tousu/show/id/1330628")</f>
        <v>http://ts.21cn.com/tousu/show/id/1330628</v>
      </c>
      <c r="F227" s="2" t="s">
        <v>11</v>
      </c>
      <c r="G227" s="2" t="s">
        <v>43715</v>
      </c>
      <c r="H227" s="2" t="s">
        <v>43716</v>
      </c>
    </row>
    <row r="228" spans="1:8" ht="25.05" customHeight="1" x14ac:dyDescent="0.25">
      <c r="A228" s="2" t="s">
        <v>8</v>
      </c>
      <c r="B228" s="2" t="str">
        <f>HYPERLINK("http://ts.21cn.com/tousu/show/id/1330627","UU跑腿跑腿，完成订单物品至今未还")</f>
        <v>UU跑腿跑腿，完成订单物品至今未还</v>
      </c>
      <c r="C228" s="2" t="s">
        <v>34</v>
      </c>
      <c r="D228" s="2" t="s">
        <v>10</v>
      </c>
      <c r="E228" s="2" t="str">
        <f>HYPERLINK("http://ts.21cn.com/tousu/show/id/1330627","http://ts.21cn.com/tousu/show/id/1330627")</f>
        <v>http://ts.21cn.com/tousu/show/id/1330627</v>
      </c>
      <c r="F228" s="2" t="s">
        <v>11</v>
      </c>
      <c r="G228" s="2" t="s">
        <v>43713</v>
      </c>
      <c r="H228" s="2" t="s">
        <v>43714</v>
      </c>
    </row>
    <row r="229" spans="1:8" ht="25.05" customHeight="1" x14ac:dyDescent="0.25">
      <c r="A229" s="2" t="s">
        <v>8</v>
      </c>
      <c r="B229" s="2" t="str">
        <f>HYPERLINK("http://ts.21cn.com/tousu/show/id/1330630","目前没有能力还上希望开设延期")</f>
        <v>目前没有能力还上希望开设延期</v>
      </c>
      <c r="C229" s="2" t="s">
        <v>9</v>
      </c>
      <c r="D229" s="2" t="s">
        <v>10</v>
      </c>
      <c r="E229" s="2" t="str">
        <f>HYPERLINK("http://ts.21cn.com/tousu/show/id/1330630","http://ts.21cn.com/tousu/show/id/1330630")</f>
        <v>http://ts.21cn.com/tousu/show/id/1330630</v>
      </c>
      <c r="F229" s="2" t="s">
        <v>11</v>
      </c>
      <c r="G229" s="2" t="s">
        <v>43711</v>
      </c>
      <c r="H229" s="2" t="s">
        <v>43712</v>
      </c>
    </row>
    <row r="230" spans="1:8" ht="25.05" customHeight="1" x14ac:dyDescent="0.25">
      <c r="A230" s="2" t="s">
        <v>8</v>
      </c>
      <c r="B230" s="2" t="str">
        <f>HYPERLINK("http://ts.21cn.com/tousu/show/id/1330629","中信银行乱收利息不作为")</f>
        <v>中信银行乱收利息不作为</v>
      </c>
      <c r="C230" s="2" t="s">
        <v>9</v>
      </c>
      <c r="D230" s="2" t="s">
        <v>10</v>
      </c>
      <c r="E230" s="2" t="str">
        <f>HYPERLINK("http://ts.21cn.com/tousu/show/id/1330629","http://ts.21cn.com/tousu/show/id/1330629")</f>
        <v>http://ts.21cn.com/tousu/show/id/1330629</v>
      </c>
      <c r="F230" s="2" t="s">
        <v>11</v>
      </c>
      <c r="G230" s="2" t="s">
        <v>43709</v>
      </c>
      <c r="H230" s="2" t="s">
        <v>43710</v>
      </c>
    </row>
    <row r="231" spans="1:8" ht="25.05" customHeight="1" x14ac:dyDescent="0.25">
      <c r="A231" s="2" t="s">
        <v>8</v>
      </c>
      <c r="B231" s="2" t="str">
        <f>HYPERLINK("http://ts.21cn.com/tousu/show/id/1330631","龙华汽车站车辆延迟未给出解释")</f>
        <v>龙华汽车站车辆延迟未给出解释</v>
      </c>
      <c r="C231" s="2" t="s">
        <v>9</v>
      </c>
      <c r="D231" s="2" t="s">
        <v>10</v>
      </c>
      <c r="E231" s="2" t="str">
        <f>HYPERLINK("http://ts.21cn.com/tousu/show/id/1330631","http://ts.21cn.com/tousu/show/id/1330631")</f>
        <v>http://ts.21cn.com/tousu/show/id/1330631</v>
      </c>
      <c r="F231" s="2" t="s">
        <v>11</v>
      </c>
      <c r="G231" s="2" t="s">
        <v>43707</v>
      </c>
      <c r="H231" s="2" t="s">
        <v>43708</v>
      </c>
    </row>
    <row r="232" spans="1:8" ht="25.05" customHeight="1" x14ac:dyDescent="0.25">
      <c r="A232" s="2" t="s">
        <v>8</v>
      </c>
      <c r="B232" s="2" t="str">
        <f>HYPERLINK("http://ts.21cn.com/tousu/show/id/1330632","阴阳合同、高利贷、黑心贷")</f>
        <v>阴阳合同、高利贷、黑心贷</v>
      </c>
      <c r="C232" s="2" t="s">
        <v>9</v>
      </c>
      <c r="D232" s="2" t="s">
        <v>10</v>
      </c>
      <c r="E232" s="2" t="str">
        <f>HYPERLINK("http://ts.21cn.com/tousu/show/id/1330632","http://ts.21cn.com/tousu/show/id/1330632")</f>
        <v>http://ts.21cn.com/tousu/show/id/1330632</v>
      </c>
      <c r="F232" s="2" t="s">
        <v>11</v>
      </c>
      <c r="G232" s="2" t="s">
        <v>43705</v>
      </c>
      <c r="H232" s="2" t="s">
        <v>43706</v>
      </c>
    </row>
    <row r="233" spans="1:8" ht="25.05" customHeight="1" x14ac:dyDescent="0.25">
      <c r="A233" s="2" t="s">
        <v>8</v>
      </c>
      <c r="B233" s="2" t="str">
        <f>HYPERLINK("http://ts.21cn.com/tousu/show/id/1330633","潍坊银行，玖富万卡。还款日当晚不支持手动还款导致我逾期！")</f>
        <v>潍坊银行，玖富万卡。还款日当晚不支持手动还款导致我逾期！</v>
      </c>
      <c r="C233" s="2" t="s">
        <v>34</v>
      </c>
      <c r="D233" s="2" t="s">
        <v>10</v>
      </c>
      <c r="E233" s="2" t="str">
        <f>HYPERLINK("http://ts.21cn.com/tousu/show/id/1330633","http://ts.21cn.com/tousu/show/id/1330633")</f>
        <v>http://ts.21cn.com/tousu/show/id/1330633</v>
      </c>
      <c r="F233" s="2" t="s">
        <v>11</v>
      </c>
      <c r="G233" s="2" t="s">
        <v>43703</v>
      </c>
      <c r="H233" s="2" t="s">
        <v>43704</v>
      </c>
    </row>
    <row r="234" spans="1:8" ht="25.05" customHeight="1" x14ac:dyDescent="0.25">
      <c r="A234" s="2" t="s">
        <v>8</v>
      </c>
      <c r="B234" s="2" t="str">
        <f>HYPERLINK("http://ts.21cn.com/tousu/show/id/1330634","贷上钱高利贷威胁诽谤个人名誉")</f>
        <v>贷上钱高利贷威胁诽谤个人名誉</v>
      </c>
      <c r="C234" s="2" t="s">
        <v>9</v>
      </c>
      <c r="D234" s="2" t="s">
        <v>10</v>
      </c>
      <c r="E234" s="2" t="str">
        <f>HYPERLINK("http://ts.21cn.com/tousu/show/id/1330634","http://ts.21cn.com/tousu/show/id/1330634")</f>
        <v>http://ts.21cn.com/tousu/show/id/1330634</v>
      </c>
      <c r="F234" s="2" t="s">
        <v>11</v>
      </c>
      <c r="G234" s="2" t="s">
        <v>43701</v>
      </c>
      <c r="H234" s="2" t="s">
        <v>43702</v>
      </c>
    </row>
    <row r="235" spans="1:8" ht="25.05" customHeight="1" x14ac:dyDescent="0.25">
      <c r="A235" s="2" t="s">
        <v>8</v>
      </c>
      <c r="B235" s="2" t="str">
        <f>HYPERLINK("http://ts.21cn.com/tousu/show/id/1330635","你我贷违法催收")</f>
        <v>你我贷违法催收</v>
      </c>
      <c r="C235" s="2" t="s">
        <v>9</v>
      </c>
      <c r="D235" s="2" t="s">
        <v>10</v>
      </c>
      <c r="E235" s="2" t="str">
        <f>HYPERLINK("http://ts.21cn.com/tousu/show/id/1330635","http://ts.21cn.com/tousu/show/id/1330635")</f>
        <v>http://ts.21cn.com/tousu/show/id/1330635</v>
      </c>
      <c r="F235" s="2" t="s">
        <v>11</v>
      </c>
      <c r="G235" s="2" t="s">
        <v>43699</v>
      </c>
      <c r="H235" s="2" t="s">
        <v>43700</v>
      </c>
    </row>
    <row r="236" spans="1:8" ht="25.05" customHeight="1" x14ac:dyDescent="0.25">
      <c r="A236" s="2" t="s">
        <v>8</v>
      </c>
      <c r="B236" s="2" t="str">
        <f>HYPERLINK("http://ts.21cn.com/tousu/show/id/1330637","暴力催收，高利贷")</f>
        <v>暴力催收，高利贷</v>
      </c>
      <c r="C236" s="2" t="s">
        <v>9</v>
      </c>
      <c r="D236" s="2" t="s">
        <v>10</v>
      </c>
      <c r="E236" s="2" t="str">
        <f>HYPERLINK("http://ts.21cn.com/tousu/show/id/1330637","http://ts.21cn.com/tousu/show/id/1330637")</f>
        <v>http://ts.21cn.com/tousu/show/id/1330637</v>
      </c>
      <c r="F236" s="2" t="s">
        <v>11</v>
      </c>
      <c r="G236" s="2" t="s">
        <v>43697</v>
      </c>
      <c r="H236" s="2" t="s">
        <v>43698</v>
      </c>
    </row>
    <row r="237" spans="1:8" ht="25.05" customHeight="1" x14ac:dyDescent="0.25">
      <c r="A237" s="2" t="s">
        <v>8</v>
      </c>
      <c r="B237" s="2" t="str">
        <f>HYPERLINK("http://ts.21cn.com/tousu/show/id/1330636","砍头息高利贷")</f>
        <v>砍头息高利贷</v>
      </c>
      <c r="C237" s="2" t="s">
        <v>9</v>
      </c>
      <c r="D237" s="2" t="s">
        <v>10</v>
      </c>
      <c r="E237" s="2" t="str">
        <f>HYPERLINK("http://ts.21cn.com/tousu/show/id/1330636","http://ts.21cn.com/tousu/show/id/1330636")</f>
        <v>http://ts.21cn.com/tousu/show/id/1330636</v>
      </c>
      <c r="F237" s="2" t="s">
        <v>11</v>
      </c>
      <c r="G237" s="2" t="s">
        <v>43695</v>
      </c>
      <c r="H237" s="2" t="s">
        <v>43696</v>
      </c>
    </row>
    <row r="238" spans="1:8" ht="25.05" customHeight="1" x14ac:dyDescent="0.25">
      <c r="A238" s="2" t="s">
        <v>8</v>
      </c>
      <c r="B238" s="2" t="str">
        <f>HYPERLINK("http://ts.21cn.com/tousu/show/id/1330639","暴力催收威胁恐吓")</f>
        <v>暴力催收威胁恐吓</v>
      </c>
      <c r="C238" s="2" t="s">
        <v>9</v>
      </c>
      <c r="D238" s="2" t="s">
        <v>10</v>
      </c>
      <c r="E238" s="2" t="str">
        <f>HYPERLINK("http://ts.21cn.com/tousu/show/id/1330639","http://ts.21cn.com/tousu/show/id/1330639")</f>
        <v>http://ts.21cn.com/tousu/show/id/1330639</v>
      </c>
      <c r="F238" s="2" t="s">
        <v>11</v>
      </c>
      <c r="G238" s="2" t="s">
        <v>43693</v>
      </c>
      <c r="H238" s="2" t="s">
        <v>43694</v>
      </c>
    </row>
    <row r="239" spans="1:8" ht="25.05" customHeight="1" x14ac:dyDescent="0.25">
      <c r="A239" s="2" t="s">
        <v>8</v>
      </c>
      <c r="B239" s="2" t="str">
        <f>HYPERLINK("http://ts.21cn.com/tousu/show/id/1330640","我结清贷款，贷款未结清两天扣了我1132.71元担保费")</f>
        <v>我结清贷款，贷款未结清两天扣了我1132.71元担保费</v>
      </c>
      <c r="C239" s="2" t="s">
        <v>9</v>
      </c>
      <c r="D239" s="2" t="s">
        <v>10</v>
      </c>
      <c r="E239" s="2" t="str">
        <f>HYPERLINK("http://ts.21cn.com/tousu/show/id/1330640","http://ts.21cn.com/tousu/show/id/1330640")</f>
        <v>http://ts.21cn.com/tousu/show/id/1330640</v>
      </c>
      <c r="F239" s="2" t="s">
        <v>11</v>
      </c>
      <c r="G239" s="2" t="s">
        <v>43691</v>
      </c>
      <c r="H239" s="2" t="s">
        <v>43692</v>
      </c>
    </row>
    <row r="240" spans="1:8" ht="25.05" customHeight="1" x14ac:dyDescent="0.25">
      <c r="A240" s="2" t="s">
        <v>8</v>
      </c>
      <c r="B240" s="2" t="str">
        <f>HYPERLINK("http://ts.21cn.com/tousu/show/id/1330641","个人工商银行账户被其他代理业务资金_中国银联股份有限公司广东分公司专户07/12刷走3笔款")</f>
        <v>个人工商银行账户被其他代理业务资金_中国银联股份有限公司广东分公司专户07/12刷走3笔款</v>
      </c>
      <c r="C240" s="2" t="s">
        <v>9</v>
      </c>
      <c r="D240" s="2" t="s">
        <v>10</v>
      </c>
      <c r="E240" s="2" t="str">
        <f>HYPERLINK("http://ts.21cn.com/tousu/show/id/1330641","http://ts.21cn.com/tousu/show/id/1330641")</f>
        <v>http://ts.21cn.com/tousu/show/id/1330641</v>
      </c>
      <c r="F240" s="2" t="s">
        <v>11</v>
      </c>
      <c r="G240" s="2" t="s">
        <v>43689</v>
      </c>
      <c r="H240" s="2" t="s">
        <v>43690</v>
      </c>
    </row>
    <row r="241" spans="1:8" ht="25.05" customHeight="1" x14ac:dyDescent="0.25">
      <c r="A241" s="2" t="s">
        <v>8</v>
      </c>
      <c r="B241" s="2" t="str">
        <f>HYPERLINK("http://ts.21cn.com/tousu/show/id/1330643","交通银行信用卡暴力催收威胁恐吓")</f>
        <v>交通银行信用卡暴力催收威胁恐吓</v>
      </c>
      <c r="C241" s="2" t="s">
        <v>9</v>
      </c>
      <c r="D241" s="2" t="s">
        <v>10</v>
      </c>
      <c r="E241" s="2" t="str">
        <f>HYPERLINK("http://ts.21cn.com/tousu/show/id/1330643","http://ts.21cn.com/tousu/show/id/1330643")</f>
        <v>http://ts.21cn.com/tousu/show/id/1330643</v>
      </c>
      <c r="F241" s="2" t="s">
        <v>11</v>
      </c>
      <c r="G241" s="2" t="s">
        <v>43687</v>
      </c>
      <c r="H241" s="2" t="s">
        <v>43688</v>
      </c>
    </row>
    <row r="242" spans="1:8" ht="25.05" customHeight="1" x14ac:dyDescent="0.25">
      <c r="A242" s="2" t="s">
        <v>8</v>
      </c>
      <c r="B242" s="2" t="str">
        <f>HYPERLINK("http://ts.21cn.com/tousu/show/id/1330642","服务态度极差")</f>
        <v>服务态度极差</v>
      </c>
      <c r="C242" s="2" t="s">
        <v>9</v>
      </c>
      <c r="D242" s="2" t="s">
        <v>10</v>
      </c>
      <c r="E242" s="2" t="str">
        <f>HYPERLINK("http://ts.21cn.com/tousu/show/id/1330642","http://ts.21cn.com/tousu/show/id/1330642")</f>
        <v>http://ts.21cn.com/tousu/show/id/1330642</v>
      </c>
      <c r="F242" s="2" t="s">
        <v>11</v>
      </c>
      <c r="G242" s="2" t="s">
        <v>43685</v>
      </c>
      <c r="H242" s="2" t="s">
        <v>43686</v>
      </c>
    </row>
    <row r="243" spans="1:8" ht="25.05" customHeight="1" x14ac:dyDescent="0.25">
      <c r="A243" s="2" t="s">
        <v>8</v>
      </c>
      <c r="B243" s="2" t="str">
        <f>HYPERLINK("http://ts.21cn.com/tousu/show/id/1330646","洋钱罐借款app")</f>
        <v>洋钱罐借款app</v>
      </c>
      <c r="C243" s="2" t="s">
        <v>9</v>
      </c>
      <c r="D243" s="2" t="s">
        <v>10</v>
      </c>
      <c r="E243" s="2" t="str">
        <f>HYPERLINK("http://ts.21cn.com/tousu/show/id/1330646","http://ts.21cn.com/tousu/show/id/1330646")</f>
        <v>http://ts.21cn.com/tousu/show/id/1330646</v>
      </c>
      <c r="F243" s="2" t="s">
        <v>11</v>
      </c>
      <c r="G243" s="2" t="s">
        <v>43683</v>
      </c>
      <c r="H243" s="2" t="s">
        <v>43684</v>
      </c>
    </row>
    <row r="244" spans="1:8" ht="25.05" customHeight="1" x14ac:dyDescent="0.25">
      <c r="A244" s="2" t="s">
        <v>8</v>
      </c>
      <c r="B244" s="2" t="str">
        <f>HYPERLINK("http://ts.21cn.com/tousu/show/id/1330648","中腾信小花暴力催收威胁")</f>
        <v>中腾信小花暴力催收威胁</v>
      </c>
      <c r="C244" s="2" t="s">
        <v>9</v>
      </c>
      <c r="D244" s="2" t="s">
        <v>10</v>
      </c>
      <c r="E244" s="2" t="str">
        <f>HYPERLINK("http://ts.21cn.com/tousu/show/id/1330648","http://ts.21cn.com/tousu/show/id/1330648")</f>
        <v>http://ts.21cn.com/tousu/show/id/1330648</v>
      </c>
      <c r="F244" s="2" t="s">
        <v>11</v>
      </c>
      <c r="G244" s="2" t="s">
        <v>43681</v>
      </c>
      <c r="H244" s="2" t="s">
        <v>43682</v>
      </c>
    </row>
    <row r="245" spans="1:8" ht="25.05" customHeight="1" x14ac:dyDescent="0.25">
      <c r="A245" s="2" t="s">
        <v>8</v>
      </c>
      <c r="B245" s="2" t="str">
        <f>HYPERLINK("http://ts.21cn.com/tousu/show/id/1330647","钱站借5000元6个月需要还款9951元")</f>
        <v>钱站借5000元6个月需要还款9951元</v>
      </c>
      <c r="C245" s="2" t="s">
        <v>34</v>
      </c>
      <c r="D245" s="2" t="s">
        <v>10</v>
      </c>
      <c r="E245" s="2" t="str">
        <f>HYPERLINK("http://ts.21cn.com/tousu/show/id/1330647","http://ts.21cn.com/tousu/show/id/1330647")</f>
        <v>http://ts.21cn.com/tousu/show/id/1330647</v>
      </c>
      <c r="F245" s="2" t="s">
        <v>11</v>
      </c>
      <c r="G245" s="2" t="s">
        <v>43679</v>
      </c>
      <c r="H245" s="2" t="s">
        <v>43680</v>
      </c>
    </row>
    <row r="246" spans="1:8" ht="25.05" customHeight="1" x14ac:dyDescent="0.25">
      <c r="A246" s="2" t="s">
        <v>8</v>
      </c>
      <c r="B246" s="2" t="str">
        <f>HYPERLINK("http://ts.21cn.com/tousu/show/id/1330649","壹心分期，高利贷，砍头息对投诉置之不理。")</f>
        <v>壹心分期，高利贷，砍头息对投诉置之不理。</v>
      </c>
      <c r="C246" s="2" t="s">
        <v>9</v>
      </c>
      <c r="D246" s="2" t="s">
        <v>10</v>
      </c>
      <c r="E246" s="2" t="str">
        <f>HYPERLINK("http://ts.21cn.com/tousu/show/id/1330649","http://ts.21cn.com/tousu/show/id/1330649")</f>
        <v>http://ts.21cn.com/tousu/show/id/1330649</v>
      </c>
      <c r="F246" s="2" t="s">
        <v>11</v>
      </c>
      <c r="G246" s="2" t="s">
        <v>43677</v>
      </c>
      <c r="H246" s="2" t="s">
        <v>43678</v>
      </c>
    </row>
    <row r="247" spans="1:8" ht="25.05" customHeight="1" x14ac:dyDescent="0.25">
      <c r="A247" s="2" t="s">
        <v>8</v>
      </c>
      <c r="B247" s="2" t="str">
        <f>HYPERLINK("http://ts.21cn.com/tousu/show/id/1330651","抢尚德机构不愿意退还我的订金")</f>
        <v>抢尚德机构不愿意退还我的订金</v>
      </c>
      <c r="C247" s="2" t="s">
        <v>34</v>
      </c>
      <c r="D247" s="2" t="s">
        <v>10</v>
      </c>
      <c r="E247" s="2" t="str">
        <f>HYPERLINK("http://ts.21cn.com/tousu/show/id/1330651","http://ts.21cn.com/tousu/show/id/1330651")</f>
        <v>http://ts.21cn.com/tousu/show/id/1330651</v>
      </c>
      <c r="F247" s="2" t="s">
        <v>11</v>
      </c>
      <c r="G247" s="2" t="s">
        <v>43675</v>
      </c>
      <c r="H247" s="2" t="s">
        <v>43676</v>
      </c>
    </row>
    <row r="248" spans="1:8" ht="25.05" customHeight="1" x14ac:dyDescent="0.25">
      <c r="A248" s="2" t="s">
        <v>8</v>
      </c>
      <c r="B248" s="2" t="str">
        <f>HYPERLINK("http://ts.21cn.com/tousu/show/id/1330652","乐乐钱袋高利息")</f>
        <v>乐乐钱袋高利息</v>
      </c>
      <c r="C248" s="2" t="s">
        <v>9</v>
      </c>
      <c r="D248" s="2" t="s">
        <v>10</v>
      </c>
      <c r="E248" s="2" t="str">
        <f>HYPERLINK("http://ts.21cn.com/tousu/show/id/1330652","http://ts.21cn.com/tousu/show/id/1330652")</f>
        <v>http://ts.21cn.com/tousu/show/id/1330652</v>
      </c>
      <c r="F248" s="2" t="s">
        <v>11</v>
      </c>
      <c r="G248" s="2" t="s">
        <v>43673</v>
      </c>
      <c r="H248" s="2" t="s">
        <v>43674</v>
      </c>
    </row>
    <row r="249" spans="1:8" ht="25.05" customHeight="1" x14ac:dyDescent="0.25">
      <c r="A249" s="2" t="s">
        <v>8</v>
      </c>
      <c r="B249" s="2" t="str">
        <f>HYPERLINK("http://ts.21cn.com/tousu/show/id/1330653","联通易借非法获取通话记录，疯狂骚扰联系人")</f>
        <v>联通易借非法获取通话记录，疯狂骚扰联系人</v>
      </c>
      <c r="C249" s="2" t="s">
        <v>9</v>
      </c>
      <c r="D249" s="2" t="s">
        <v>10</v>
      </c>
      <c r="E249" s="2" t="str">
        <f>HYPERLINK("http://ts.21cn.com/tousu/show/id/1330653","http://ts.21cn.com/tousu/show/id/1330653")</f>
        <v>http://ts.21cn.com/tousu/show/id/1330653</v>
      </c>
      <c r="F249" s="2" t="s">
        <v>11</v>
      </c>
      <c r="G249" s="2" t="s">
        <v>43671</v>
      </c>
      <c r="H249" s="2" t="s">
        <v>43672</v>
      </c>
    </row>
    <row r="250" spans="1:8" ht="25.05" customHeight="1" x14ac:dyDescent="0.25">
      <c r="A250" s="2" t="s">
        <v>8</v>
      </c>
      <c r="B250" s="2" t="str">
        <f>HYPERLINK("http://ts.21cn.com/tousu/show/id/1330654","使用长城宽带，网络有问题拨打客服电话，回应说24小时内有回应，结果无")</f>
        <v>使用长城宽带，网络有问题拨打客服电话，回应说24小时内有回应，结果无</v>
      </c>
      <c r="C250" s="2" t="s">
        <v>34</v>
      </c>
      <c r="D250" s="2" t="s">
        <v>10</v>
      </c>
      <c r="E250" s="2" t="str">
        <f>HYPERLINK("http://ts.21cn.com/tousu/show/id/1330654","http://ts.21cn.com/tousu/show/id/1330654")</f>
        <v>http://ts.21cn.com/tousu/show/id/1330654</v>
      </c>
      <c r="F250" s="2" t="s">
        <v>11</v>
      </c>
      <c r="G250" s="2" t="s">
        <v>43669</v>
      </c>
      <c r="H250" s="2" t="s">
        <v>43670</v>
      </c>
    </row>
    <row r="251" spans="1:8" ht="25.05" customHeight="1" x14ac:dyDescent="0.25">
      <c r="A251" s="2" t="s">
        <v>8</v>
      </c>
      <c r="B251" s="2" t="str">
        <f>HYPERLINK("http://ts.21cn.com/tousu/show/id/1330638","建行还我被盗刷的钱")</f>
        <v>建行还我被盗刷的钱</v>
      </c>
      <c r="C251" s="2" t="s">
        <v>9</v>
      </c>
      <c r="D251" s="2" t="s">
        <v>10</v>
      </c>
      <c r="E251" s="2" t="str">
        <f>HYPERLINK("http://ts.21cn.com/tousu/show/id/1330638","http://ts.21cn.com/tousu/show/id/1330638")</f>
        <v>http://ts.21cn.com/tousu/show/id/1330638</v>
      </c>
      <c r="F251" s="2" t="s">
        <v>11</v>
      </c>
      <c r="G251" s="2" t="s">
        <v>43667</v>
      </c>
      <c r="H251" s="2" t="s">
        <v>43668</v>
      </c>
    </row>
    <row r="252" spans="1:8" ht="25.05" customHeight="1" x14ac:dyDescent="0.25">
      <c r="A252" s="2" t="s">
        <v>8</v>
      </c>
      <c r="B252" s="2" t="str">
        <f>HYPERLINK("http://ts.21cn.com/tousu/show/id/1330655","福利到手app套路贷暴力催收")</f>
        <v>福利到手app套路贷暴力催收</v>
      </c>
      <c r="C252" s="2" t="s">
        <v>9</v>
      </c>
      <c r="D252" s="2" t="s">
        <v>10</v>
      </c>
      <c r="E252" s="2" t="str">
        <f>HYPERLINK("http://ts.21cn.com/tousu/show/id/1330655","http://ts.21cn.com/tousu/show/id/1330655")</f>
        <v>http://ts.21cn.com/tousu/show/id/1330655</v>
      </c>
      <c r="F252" s="2" t="s">
        <v>11</v>
      </c>
      <c r="G252" s="2" t="s">
        <v>43665</v>
      </c>
      <c r="H252" s="2" t="s">
        <v>43666</v>
      </c>
    </row>
    <row r="253" spans="1:8" ht="25.05" customHeight="1" x14ac:dyDescent="0.25">
      <c r="A253" s="2" t="s">
        <v>8</v>
      </c>
      <c r="B253" s="2" t="str">
        <f>HYPERLINK("http://ts.21cn.com/tousu/show/id/1330658","上海翰银为赌博输平台收单，请求瀚银为我退款挽回经济损失")</f>
        <v>上海翰银为赌博输平台收单，请求瀚银为我退款挽回经济损失</v>
      </c>
      <c r="C253" s="2" t="s">
        <v>9</v>
      </c>
      <c r="D253" s="2" t="s">
        <v>10</v>
      </c>
      <c r="E253" s="2" t="str">
        <f>HYPERLINK("http://ts.21cn.com/tousu/show/id/1330658","http://ts.21cn.com/tousu/show/id/1330658")</f>
        <v>http://ts.21cn.com/tousu/show/id/1330658</v>
      </c>
      <c r="F253" s="2" t="s">
        <v>11</v>
      </c>
      <c r="G253" s="2" t="s">
        <v>43663</v>
      </c>
      <c r="H253" s="2" t="s">
        <v>43664</v>
      </c>
    </row>
    <row r="254" spans="1:8" ht="25.05" customHeight="1" x14ac:dyDescent="0.25">
      <c r="A254" s="2" t="s">
        <v>8</v>
      </c>
      <c r="B254" s="2" t="str">
        <f>HYPERLINK("http://ts.21cn.com/tousu/show/id/1330656","机票改签9个小时没有任何说法导致无法乘机")</f>
        <v>机票改签9个小时没有任何说法导致无法乘机</v>
      </c>
      <c r="C254" s="2" t="s">
        <v>9</v>
      </c>
      <c r="D254" s="2" t="s">
        <v>10</v>
      </c>
      <c r="E254" s="2" t="str">
        <f>HYPERLINK("http://ts.21cn.com/tousu/show/id/1330656","http://ts.21cn.com/tousu/show/id/1330656")</f>
        <v>http://ts.21cn.com/tousu/show/id/1330656</v>
      </c>
      <c r="F254" s="2" t="s">
        <v>11</v>
      </c>
      <c r="G254" s="2" t="s">
        <v>43661</v>
      </c>
      <c r="H254" s="2" t="s">
        <v>43662</v>
      </c>
    </row>
    <row r="255" spans="1:8" ht="25.05" customHeight="1" x14ac:dyDescent="0.25">
      <c r="A255" s="2" t="s">
        <v>8</v>
      </c>
      <c r="B255" s="2" t="str">
        <f>HYPERLINK("http://ts.21cn.com/tousu/show/id/1330657","拍拍贷各种骚扰不是本人贷款各种骚扰我")</f>
        <v>拍拍贷各种骚扰不是本人贷款各种骚扰我</v>
      </c>
      <c r="C255" s="2" t="s">
        <v>9</v>
      </c>
      <c r="D255" s="2" t="s">
        <v>10</v>
      </c>
      <c r="E255" s="2" t="str">
        <f>HYPERLINK("http://ts.21cn.com/tousu/show/id/1330657","http://ts.21cn.com/tousu/show/id/1330657")</f>
        <v>http://ts.21cn.com/tousu/show/id/1330657</v>
      </c>
      <c r="F255" s="2" t="s">
        <v>11</v>
      </c>
      <c r="G255" s="2" t="s">
        <v>43659</v>
      </c>
      <c r="H255" s="2" t="s">
        <v>43660</v>
      </c>
    </row>
    <row r="256" spans="1:8" ht="25.05" customHeight="1" x14ac:dyDescent="0.25">
      <c r="A256" s="2" t="s">
        <v>8</v>
      </c>
      <c r="B256" s="2" t="str">
        <f>HYPERLINK("http://ts.21cn.com/tousu/show/id/1330659","钱橙无忧乱扣钱")</f>
        <v>钱橙无忧乱扣钱</v>
      </c>
      <c r="C256" s="2" t="s">
        <v>9</v>
      </c>
      <c r="D256" s="2" t="s">
        <v>10</v>
      </c>
      <c r="E256" s="2" t="str">
        <f>HYPERLINK("http://ts.21cn.com/tousu/show/id/1330659","http://ts.21cn.com/tousu/show/id/1330659")</f>
        <v>http://ts.21cn.com/tousu/show/id/1330659</v>
      </c>
      <c r="F256" s="2" t="s">
        <v>11</v>
      </c>
      <c r="G256" s="2" t="s">
        <v>43657</v>
      </c>
      <c r="H256" s="2" t="s">
        <v>43658</v>
      </c>
    </row>
    <row r="257" spans="1:8" ht="25.05" customHeight="1" x14ac:dyDescent="0.25">
      <c r="A257" s="2" t="s">
        <v>8</v>
      </c>
      <c r="B257" s="2" t="str">
        <f>HYPERLINK("http://ts.21cn.com/tousu/show/id/1330660","交通银行恶意骚扰客服人员态度恶劣")</f>
        <v>交通银行恶意骚扰客服人员态度恶劣</v>
      </c>
      <c r="C257" s="2" t="s">
        <v>9</v>
      </c>
      <c r="D257" s="2" t="s">
        <v>10</v>
      </c>
      <c r="E257" s="2" t="str">
        <f>HYPERLINK("http://ts.21cn.com/tousu/show/id/1330660","http://ts.21cn.com/tousu/show/id/1330660")</f>
        <v>http://ts.21cn.com/tousu/show/id/1330660</v>
      </c>
      <c r="F257" s="2" t="s">
        <v>11</v>
      </c>
      <c r="G257" s="2" t="s">
        <v>43655</v>
      </c>
      <c r="H257" s="2" t="s">
        <v>43656</v>
      </c>
    </row>
    <row r="258" spans="1:8" ht="25.05" customHeight="1" x14ac:dyDescent="0.25">
      <c r="A258" s="2" t="s">
        <v>8</v>
      </c>
      <c r="B258" s="2" t="str">
        <f>HYPERLINK("http://ts.21cn.com/tousu/show/id/1330661","虚假贷款公司长时间不放款")</f>
        <v>虚假贷款公司长时间不放款</v>
      </c>
      <c r="C258" s="2" t="s">
        <v>9</v>
      </c>
      <c r="D258" s="2" t="s">
        <v>10</v>
      </c>
      <c r="E258" s="2" t="str">
        <f>HYPERLINK("http://ts.21cn.com/tousu/show/id/1330661","http://ts.21cn.com/tousu/show/id/1330661")</f>
        <v>http://ts.21cn.com/tousu/show/id/1330661</v>
      </c>
      <c r="F258" s="2" t="s">
        <v>11</v>
      </c>
      <c r="G258" s="2" t="s">
        <v>43653</v>
      </c>
      <c r="H258" s="2" t="s">
        <v>43654</v>
      </c>
    </row>
    <row r="259" spans="1:8" ht="25.05" customHeight="1" x14ac:dyDescent="0.25">
      <c r="A259" s="2" t="s">
        <v>8</v>
      </c>
      <c r="B259" s="2" t="str">
        <f>HYPERLINK("http://ts.21cn.com/tousu/show/id/1330664","到还款日还恶意催收")</f>
        <v>到还款日还恶意催收</v>
      </c>
      <c r="C259" s="2" t="s">
        <v>9</v>
      </c>
      <c r="D259" s="2" t="s">
        <v>10</v>
      </c>
      <c r="E259" s="2" t="str">
        <f>HYPERLINK("http://ts.21cn.com/tousu/show/id/1330664","http://ts.21cn.com/tousu/show/id/1330664")</f>
        <v>http://ts.21cn.com/tousu/show/id/1330664</v>
      </c>
      <c r="F259" s="2" t="s">
        <v>11</v>
      </c>
      <c r="G259" s="2" t="s">
        <v>43651</v>
      </c>
      <c r="H259" s="2" t="s">
        <v>43652</v>
      </c>
    </row>
    <row r="260" spans="1:8" ht="25.05" customHeight="1" x14ac:dyDescent="0.25">
      <c r="A260" s="2" t="s">
        <v>8</v>
      </c>
      <c r="B260" s="2" t="str">
        <f>HYPERLINK("http://ts.21cn.com/tousu/show/id/1330662","搜狐视频在没有经过我的同意下给我续费会员没有任何消息")</f>
        <v>搜狐视频在没有经过我的同意下给我续费会员没有任何消息</v>
      </c>
      <c r="C260" s="2" t="s">
        <v>9</v>
      </c>
      <c r="D260" s="2" t="s">
        <v>10</v>
      </c>
      <c r="E260" s="2" t="str">
        <f>HYPERLINK("http://ts.21cn.com/tousu/show/id/1330662","http://ts.21cn.com/tousu/show/id/1330662")</f>
        <v>http://ts.21cn.com/tousu/show/id/1330662</v>
      </c>
      <c r="F260" s="2" t="s">
        <v>11</v>
      </c>
      <c r="G260" s="2" t="s">
        <v>43649</v>
      </c>
      <c r="H260" s="2" t="s">
        <v>43650</v>
      </c>
    </row>
    <row r="261" spans="1:8" ht="25.05" customHeight="1" x14ac:dyDescent="0.25">
      <c r="A261" s="2" t="s">
        <v>8</v>
      </c>
      <c r="B261" s="2" t="str">
        <f>HYPERLINK("http://ts.21cn.com/tousu/show/id/1330663","骚扰家人")</f>
        <v>骚扰家人</v>
      </c>
      <c r="C261" s="2" t="s">
        <v>34</v>
      </c>
      <c r="D261" s="2" t="s">
        <v>10</v>
      </c>
      <c r="E261" s="2" t="str">
        <f>HYPERLINK("http://ts.21cn.com/tousu/show/id/1330663","http://ts.21cn.com/tousu/show/id/1330663")</f>
        <v>http://ts.21cn.com/tousu/show/id/1330663</v>
      </c>
      <c r="F261" s="2" t="s">
        <v>11</v>
      </c>
      <c r="G261" s="2" t="s">
        <v>43647</v>
      </c>
      <c r="H261" s="2" t="s">
        <v>43648</v>
      </c>
    </row>
    <row r="262" spans="1:8" ht="25.05" customHeight="1" x14ac:dyDescent="0.25">
      <c r="A262" s="2" t="s">
        <v>8</v>
      </c>
      <c r="B262" s="2" t="str">
        <f>HYPERLINK("http://ts.21cn.com/tousu/show/id/1330665","招联金融")</f>
        <v>招联金融</v>
      </c>
      <c r="C262" s="2" t="s">
        <v>9</v>
      </c>
      <c r="D262" s="2" t="s">
        <v>10</v>
      </c>
      <c r="E262" s="2" t="str">
        <f>HYPERLINK("http://ts.21cn.com/tousu/show/id/1330665","http://ts.21cn.com/tousu/show/id/1330665")</f>
        <v>http://ts.21cn.com/tousu/show/id/1330665</v>
      </c>
      <c r="F262" s="2" t="s">
        <v>11</v>
      </c>
      <c r="G262" s="2" t="s">
        <v>43645</v>
      </c>
      <c r="H262" s="2" t="s">
        <v>43646</v>
      </c>
    </row>
    <row r="263" spans="1:8" ht="25.05" customHeight="1" x14ac:dyDescent="0.25">
      <c r="A263" s="2" t="s">
        <v>8</v>
      </c>
      <c r="B263" s="2" t="str">
        <f>HYPERLINK("http://ts.21cn.com/tousu/show/id/1330667","暴力催收，威胁拨打通讯录")</f>
        <v>暴力催收，威胁拨打通讯录</v>
      </c>
      <c r="C263" s="2" t="s">
        <v>9</v>
      </c>
      <c r="D263" s="2" t="s">
        <v>10</v>
      </c>
      <c r="E263" s="2" t="str">
        <f>HYPERLINK("http://ts.21cn.com/tousu/show/id/1330667","http://ts.21cn.com/tousu/show/id/1330667")</f>
        <v>http://ts.21cn.com/tousu/show/id/1330667</v>
      </c>
      <c r="F263" s="2" t="s">
        <v>11</v>
      </c>
      <c r="G263" s="2" t="s">
        <v>43643</v>
      </c>
      <c r="H263" s="2" t="s">
        <v>43644</v>
      </c>
    </row>
    <row r="264" spans="1:8" ht="25.05" customHeight="1" x14ac:dyDescent="0.25">
      <c r="A264" s="2" t="s">
        <v>8</v>
      </c>
      <c r="B264" s="2" t="str">
        <f>HYPERLINK("http://ts.21cn.com/tousu/show/id/1330669","智行不退钱")</f>
        <v>智行不退钱</v>
      </c>
      <c r="C264" s="2" t="s">
        <v>9</v>
      </c>
      <c r="D264" s="2" t="s">
        <v>10</v>
      </c>
      <c r="E264" s="2" t="str">
        <f>HYPERLINK("http://ts.21cn.com/tousu/show/id/1330669","http://ts.21cn.com/tousu/show/id/1330669")</f>
        <v>http://ts.21cn.com/tousu/show/id/1330669</v>
      </c>
      <c r="F264" s="2" t="s">
        <v>11</v>
      </c>
      <c r="G264" s="2" t="s">
        <v>43641</v>
      </c>
      <c r="H264" s="2" t="s">
        <v>43642</v>
      </c>
    </row>
    <row r="265" spans="1:8" ht="25.05" customHeight="1" x14ac:dyDescent="0.25">
      <c r="A265" s="2" t="s">
        <v>8</v>
      </c>
      <c r="B265" s="2" t="str">
        <f>HYPERLINK("http://ts.21cn.com/tousu/show/id/1330668","360借条，提前还款收取全部利息费用")</f>
        <v>360借条，提前还款收取全部利息费用</v>
      </c>
      <c r="C265" s="2" t="s">
        <v>9</v>
      </c>
      <c r="D265" s="2" t="s">
        <v>10</v>
      </c>
      <c r="E265" s="2" t="str">
        <f>HYPERLINK("http://ts.21cn.com/tousu/show/id/1330668","http://ts.21cn.com/tousu/show/id/1330668")</f>
        <v>http://ts.21cn.com/tousu/show/id/1330668</v>
      </c>
      <c r="F265" s="2" t="s">
        <v>11</v>
      </c>
      <c r="G265" s="2" t="s">
        <v>43639</v>
      </c>
      <c r="H265" s="2" t="s">
        <v>43640</v>
      </c>
    </row>
    <row r="266" spans="1:8" ht="25.05" customHeight="1" x14ac:dyDescent="0.25">
      <c r="A266" s="2" t="s">
        <v>8</v>
      </c>
      <c r="B266" s="2" t="str">
        <f>HYPERLINK("http://ts.21cn.com/tousu/show/id/1330670","我不想借款了取消不了，利息太高了900还1800")</f>
        <v>我不想借款了取消不了，利息太高了900还1800</v>
      </c>
      <c r="C266" s="2" t="s">
        <v>9</v>
      </c>
      <c r="D266" s="2" t="s">
        <v>10</v>
      </c>
      <c r="E266" s="2" t="str">
        <f>HYPERLINK("http://ts.21cn.com/tousu/show/id/1330670","http://ts.21cn.com/tousu/show/id/1330670")</f>
        <v>http://ts.21cn.com/tousu/show/id/1330670</v>
      </c>
      <c r="F266" s="2" t="s">
        <v>11</v>
      </c>
      <c r="G266" s="2" t="s">
        <v>43637</v>
      </c>
      <c r="H266" s="2" t="s">
        <v>43638</v>
      </c>
    </row>
    <row r="267" spans="1:8" ht="25.05" customHeight="1" x14ac:dyDescent="0.25">
      <c r="A267" s="2" t="s">
        <v>8</v>
      </c>
      <c r="B267" s="2" t="str">
        <f>HYPERLINK("http://ts.21cn.com/tousu/show/id/1330645","来花花和金鸡下蛋和威力贷平台非法收高额利息，实际到账1400到期还款2000，5天期限，已经远超过国家利息，")</f>
        <v>来花花和金鸡下蛋和威力贷平台非法收高额利息，实际到账1400到期还款2000，5天期限，已经远超过国家利息，</v>
      </c>
      <c r="C267" s="2" t="s">
        <v>9</v>
      </c>
      <c r="D267" s="2" t="s">
        <v>10</v>
      </c>
      <c r="E267" s="2" t="str">
        <f>HYPERLINK("http://ts.21cn.com/tousu/show/id/1330645","http://ts.21cn.com/tousu/show/id/1330645")</f>
        <v>http://ts.21cn.com/tousu/show/id/1330645</v>
      </c>
      <c r="F267" s="2" t="s">
        <v>11</v>
      </c>
      <c r="G267" s="2" t="s">
        <v>43635</v>
      </c>
      <c r="H267" s="2" t="s">
        <v>43636</v>
      </c>
    </row>
    <row r="268" spans="1:8" ht="25.05" customHeight="1" x14ac:dyDescent="0.25">
      <c r="A268" s="2" t="s">
        <v>8</v>
      </c>
      <c r="B268" s="2" t="str">
        <f>HYPERLINK("http://ts.21cn.com/tousu/show/id/1330672","聚福钱包未经同意擅自快捷扣款49")</f>
        <v>聚福钱包未经同意擅自快捷扣款49</v>
      </c>
      <c r="C268" s="2" t="s">
        <v>34</v>
      </c>
      <c r="D268" s="2" t="s">
        <v>10</v>
      </c>
      <c r="E268" s="2" t="str">
        <f>HYPERLINK("http://ts.21cn.com/tousu/show/id/1330672","http://ts.21cn.com/tousu/show/id/1330672")</f>
        <v>http://ts.21cn.com/tousu/show/id/1330672</v>
      </c>
      <c r="F268" s="2" t="s">
        <v>11</v>
      </c>
      <c r="G268" s="2" t="s">
        <v>43633</v>
      </c>
      <c r="H268" s="2" t="s">
        <v>43634</v>
      </c>
    </row>
    <row r="269" spans="1:8" ht="25.05" customHeight="1" x14ac:dyDescent="0.25">
      <c r="A269" s="2" t="s">
        <v>8</v>
      </c>
      <c r="B269" s="2" t="str">
        <f>HYPERLINK("http://ts.21cn.com/tousu/show/id/1330673","联通沃钱包易借暴力催收，非法调取客户通讯录及通讯记录")</f>
        <v>联通沃钱包易借暴力催收，非法调取客户通讯录及通讯记录</v>
      </c>
      <c r="C269" s="2" t="s">
        <v>9</v>
      </c>
      <c r="D269" s="2" t="s">
        <v>10</v>
      </c>
      <c r="E269" s="2" t="str">
        <f>HYPERLINK("http://ts.21cn.com/tousu/show/id/1330673","http://ts.21cn.com/tousu/show/id/1330673")</f>
        <v>http://ts.21cn.com/tousu/show/id/1330673</v>
      </c>
      <c r="F269" s="2" t="s">
        <v>11</v>
      </c>
      <c r="G269" s="2" t="s">
        <v>43631</v>
      </c>
      <c r="H269" s="2" t="s">
        <v>43632</v>
      </c>
    </row>
    <row r="270" spans="1:8" ht="25.05" customHeight="1" x14ac:dyDescent="0.25">
      <c r="A270" s="2" t="s">
        <v>8</v>
      </c>
      <c r="B270" s="2" t="str">
        <f>HYPERLINK("http://ts.21cn.com/tousu/show/id/1330675","贷上钱为高利贷平台")</f>
        <v>贷上钱为高利贷平台</v>
      </c>
      <c r="C270" s="2" t="s">
        <v>9</v>
      </c>
      <c r="D270" s="2" t="s">
        <v>10</v>
      </c>
      <c r="E270" s="2" t="str">
        <f>HYPERLINK("http://ts.21cn.com/tousu/show/id/1330675","http://ts.21cn.com/tousu/show/id/1330675")</f>
        <v>http://ts.21cn.com/tousu/show/id/1330675</v>
      </c>
      <c r="F270" s="2" t="s">
        <v>11</v>
      </c>
      <c r="G270" s="2" t="s">
        <v>43629</v>
      </c>
      <c r="H270" s="2" t="s">
        <v>43630</v>
      </c>
    </row>
    <row r="271" spans="1:8" ht="25.05" customHeight="1" x14ac:dyDescent="0.25">
      <c r="A271" s="2" t="s">
        <v>8</v>
      </c>
      <c r="B271" s="2" t="str">
        <f>HYPERLINK("http://ts.21cn.com/tousu/show/id/1330676","支付宝账户异常一年多")</f>
        <v>支付宝账户异常一年多</v>
      </c>
      <c r="C271" s="2" t="s">
        <v>34</v>
      </c>
      <c r="D271" s="2" t="s">
        <v>10</v>
      </c>
      <c r="E271" s="2" t="str">
        <f>HYPERLINK("http://ts.21cn.com/tousu/show/id/1330676","http://ts.21cn.com/tousu/show/id/1330676")</f>
        <v>http://ts.21cn.com/tousu/show/id/1330676</v>
      </c>
      <c r="F271" s="2" t="s">
        <v>11</v>
      </c>
      <c r="G271" s="2" t="s">
        <v>43627</v>
      </c>
      <c r="H271" s="2" t="s">
        <v>43628</v>
      </c>
    </row>
    <row r="272" spans="1:8" ht="25.05" customHeight="1" x14ac:dyDescent="0.25">
      <c r="A272" s="2" t="s">
        <v>8</v>
      </c>
      <c r="B272" s="2" t="str">
        <f>HYPERLINK("http://ts.21cn.com/tousu/show/id/1330679","信用飞借钱变相划扣")</f>
        <v>信用飞借钱变相划扣</v>
      </c>
      <c r="C272" s="2" t="s">
        <v>9</v>
      </c>
      <c r="D272" s="2" t="s">
        <v>10</v>
      </c>
      <c r="E272" s="2" t="str">
        <f>HYPERLINK("http://ts.21cn.com/tousu/show/id/1330679","http://ts.21cn.com/tousu/show/id/1330679")</f>
        <v>http://ts.21cn.com/tousu/show/id/1330679</v>
      </c>
      <c r="F272" s="2" t="s">
        <v>11</v>
      </c>
      <c r="G272" s="2" t="s">
        <v>43625</v>
      </c>
      <c r="H272" s="2" t="s">
        <v>43626</v>
      </c>
    </row>
    <row r="273" spans="1:8" ht="25.05" customHeight="1" x14ac:dyDescent="0.25">
      <c r="A273" s="2" t="s">
        <v>8</v>
      </c>
      <c r="B273" s="2" t="str">
        <f>HYPERLINK("http://ts.21cn.com/tousu/show/id/1330680","暴力吹收，爆通信录")</f>
        <v>暴力吹收，爆通信录</v>
      </c>
      <c r="C273" s="2" t="s">
        <v>9</v>
      </c>
      <c r="D273" s="2" t="s">
        <v>10</v>
      </c>
      <c r="E273" s="2" t="str">
        <f>HYPERLINK("http://ts.21cn.com/tousu/show/id/1330680","http://ts.21cn.com/tousu/show/id/1330680")</f>
        <v>http://ts.21cn.com/tousu/show/id/1330680</v>
      </c>
      <c r="F273" s="2" t="s">
        <v>11</v>
      </c>
      <c r="G273" s="2" t="s">
        <v>43623</v>
      </c>
      <c r="H273" s="2" t="s">
        <v>43624</v>
      </c>
    </row>
    <row r="274" spans="1:8" ht="25.05" customHeight="1" x14ac:dyDescent="0.25">
      <c r="A274" s="2" t="s">
        <v>8</v>
      </c>
      <c r="B274" s="2" t="str">
        <f>HYPERLINK("http://ts.21cn.com/tousu/show/id/1330681","新橙优品高利贷")</f>
        <v>新橙优品高利贷</v>
      </c>
      <c r="C274" s="2" t="s">
        <v>9</v>
      </c>
      <c r="D274" s="2" t="s">
        <v>10</v>
      </c>
      <c r="E274" s="2" t="str">
        <f>HYPERLINK("http://ts.21cn.com/tousu/show/id/1330681","http://ts.21cn.com/tousu/show/id/1330681")</f>
        <v>http://ts.21cn.com/tousu/show/id/1330681</v>
      </c>
      <c r="F274" s="2" t="s">
        <v>11</v>
      </c>
      <c r="G274" s="2" t="s">
        <v>43620</v>
      </c>
      <c r="H274" s="2" t="s">
        <v>43621</v>
      </c>
    </row>
    <row r="275" spans="1:8" ht="25.05" customHeight="1" x14ac:dyDescent="0.25">
      <c r="A275" s="2" t="s">
        <v>8</v>
      </c>
      <c r="B275" s="2" t="str">
        <f>HYPERLINK("http://ts.21cn.com/tousu/show/id/1330683","暴力催收")</f>
        <v>暴力催收</v>
      </c>
      <c r="C275" s="2" t="s">
        <v>9</v>
      </c>
      <c r="D275" s="2" t="s">
        <v>10</v>
      </c>
      <c r="E275" s="2" t="str">
        <f>HYPERLINK("http://ts.21cn.com/tousu/show/id/1330683","http://ts.21cn.com/tousu/show/id/1330683")</f>
        <v>http://ts.21cn.com/tousu/show/id/1330683</v>
      </c>
      <c r="F275" s="2" t="s">
        <v>11</v>
      </c>
      <c r="G275" s="2" t="s">
        <v>43620</v>
      </c>
      <c r="H275" s="2" t="s">
        <v>43622</v>
      </c>
    </row>
    <row r="276" spans="1:8" ht="25.05" customHeight="1" x14ac:dyDescent="0.25">
      <c r="A276" s="2" t="s">
        <v>8</v>
      </c>
      <c r="B276" s="2" t="str">
        <f>HYPERLINK("http://ts.21cn.com/tousu/show/id/1330682","奇异果APP随便扣取钱财")</f>
        <v>奇异果APP随便扣取钱财</v>
      </c>
      <c r="C276" s="2" t="s">
        <v>34</v>
      </c>
      <c r="D276" s="2" t="s">
        <v>10</v>
      </c>
      <c r="E276" s="2" t="str">
        <f>HYPERLINK("http://ts.21cn.com/tousu/show/id/1330682","http://ts.21cn.com/tousu/show/id/1330682")</f>
        <v>http://ts.21cn.com/tousu/show/id/1330682</v>
      </c>
      <c r="F276" s="2" t="s">
        <v>11</v>
      </c>
      <c r="G276" s="2" t="s">
        <v>43618</v>
      </c>
      <c r="H276" s="2" t="s">
        <v>43619</v>
      </c>
    </row>
    <row r="277" spans="1:8" ht="25.05" customHeight="1" x14ac:dyDescent="0.25">
      <c r="A277" s="2" t="s">
        <v>8</v>
      </c>
      <c r="B277" s="2" t="str">
        <f>HYPERLINK("http://ts.21cn.com/tousu/show/id/1330677","贷款砍头息")</f>
        <v>贷款砍头息</v>
      </c>
      <c r="C277" s="2" t="s">
        <v>34</v>
      </c>
      <c r="D277" s="2" t="s">
        <v>10</v>
      </c>
      <c r="E277" s="2" t="str">
        <f>HYPERLINK("http://ts.21cn.com/tousu/show/id/1330677","http://ts.21cn.com/tousu/show/id/1330677")</f>
        <v>http://ts.21cn.com/tousu/show/id/1330677</v>
      </c>
      <c r="F277" s="2" t="s">
        <v>11</v>
      </c>
      <c r="G277" s="2" t="s">
        <v>43616</v>
      </c>
      <c r="H277" s="2" t="s">
        <v>43617</v>
      </c>
    </row>
    <row r="278" spans="1:8" ht="25.05" customHeight="1" x14ac:dyDescent="0.25">
      <c r="A278" s="2" t="s">
        <v>8</v>
      </c>
      <c r="B278" s="2" t="str">
        <f>HYPERLINK("http://ts.21cn.com/tousu/show/id/1330685","强制扣费")</f>
        <v>强制扣费</v>
      </c>
      <c r="C278" s="2" t="s">
        <v>9</v>
      </c>
      <c r="D278" s="2" t="s">
        <v>10</v>
      </c>
      <c r="E278" s="2" t="str">
        <f>HYPERLINK("http://ts.21cn.com/tousu/show/id/1330685","http://ts.21cn.com/tousu/show/id/1330685")</f>
        <v>http://ts.21cn.com/tousu/show/id/1330685</v>
      </c>
      <c r="F278" s="2" t="s">
        <v>11</v>
      </c>
      <c r="G278" s="2" t="s">
        <v>43614</v>
      </c>
      <c r="H278" s="2" t="s">
        <v>43615</v>
      </c>
    </row>
    <row r="279" spans="1:8" ht="25.05" customHeight="1" x14ac:dyDescent="0.25">
      <c r="A279" s="2" t="s">
        <v>8</v>
      </c>
      <c r="B279" s="2" t="str">
        <f>HYPERLINK("http://ts.21cn.com/tousu/show/id/1330686","订单无法修改")</f>
        <v>订单无法修改</v>
      </c>
      <c r="C279" s="2" t="s">
        <v>9</v>
      </c>
      <c r="D279" s="2" t="s">
        <v>10</v>
      </c>
      <c r="E279" s="2" t="str">
        <f>HYPERLINK("http://ts.21cn.com/tousu/show/id/1330686","http://ts.21cn.com/tousu/show/id/1330686")</f>
        <v>http://ts.21cn.com/tousu/show/id/1330686</v>
      </c>
      <c r="F279" s="2" t="s">
        <v>11</v>
      </c>
      <c r="G279" s="2" t="s">
        <v>43612</v>
      </c>
      <c r="H279" s="2" t="s">
        <v>43613</v>
      </c>
    </row>
    <row r="280" spans="1:8" ht="25.05" customHeight="1" x14ac:dyDescent="0.25">
      <c r="A280" s="2" t="s">
        <v>8</v>
      </c>
      <c r="B280" s="2" t="str">
        <f>HYPERLINK("http://ts.21cn.com/tousu/show/id/1330689","美丽屋租房没如期退押金")</f>
        <v>美丽屋租房没如期退押金</v>
      </c>
      <c r="C280" s="2" t="s">
        <v>9</v>
      </c>
      <c r="D280" s="2" t="s">
        <v>10</v>
      </c>
      <c r="E280" s="2" t="str">
        <f>HYPERLINK("http://ts.21cn.com/tousu/show/id/1330689","http://ts.21cn.com/tousu/show/id/1330689")</f>
        <v>http://ts.21cn.com/tousu/show/id/1330689</v>
      </c>
      <c r="F280" s="2" t="s">
        <v>11</v>
      </c>
      <c r="G280" s="2" t="s">
        <v>43610</v>
      </c>
      <c r="H280" s="2" t="s">
        <v>43611</v>
      </c>
    </row>
    <row r="281" spans="1:8" ht="25.05" customHeight="1" x14ac:dyDescent="0.25">
      <c r="A281" s="2" t="s">
        <v>8</v>
      </c>
      <c r="B281" s="2" t="str">
        <f>HYPERLINK("http://ts.21cn.com/tousu/show/id/1330674","违规为赌博网站提供充值平台")</f>
        <v>违规为赌博网站提供充值平台</v>
      </c>
      <c r="C281" s="2" t="s">
        <v>9</v>
      </c>
      <c r="D281" s="2" t="s">
        <v>10</v>
      </c>
      <c r="E281" s="2" t="str">
        <f>HYPERLINK("http://ts.21cn.com/tousu/show/id/1330674","http://ts.21cn.com/tousu/show/id/1330674")</f>
        <v>http://ts.21cn.com/tousu/show/id/1330674</v>
      </c>
      <c r="F281" s="2" t="s">
        <v>11</v>
      </c>
      <c r="G281" s="2" t="s">
        <v>43608</v>
      </c>
      <c r="H281" s="2" t="s">
        <v>43609</v>
      </c>
    </row>
    <row r="282" spans="1:8" ht="25.05" customHeight="1" x14ac:dyDescent="0.25">
      <c r="A282" s="2" t="s">
        <v>8</v>
      </c>
      <c r="B282" s="2" t="str">
        <f>HYPERLINK("http://ts.21cn.com/tousu/show/id/921178","建国七十周年，举国欢庆，平安普惠催收不止！")</f>
        <v>建国七十周年，举国欢庆，平安普惠催收不止！</v>
      </c>
      <c r="C282" s="2" t="s">
        <v>34</v>
      </c>
      <c r="D282" s="2" t="s">
        <v>10</v>
      </c>
      <c r="E282" s="2" t="str">
        <f>HYPERLINK("http://ts.21cn.com/tousu/show/id/921178","http://ts.21cn.com/tousu/show/id/921178")</f>
        <v>http://ts.21cn.com/tousu/show/id/921178</v>
      </c>
      <c r="F282" s="2" t="s">
        <v>11</v>
      </c>
      <c r="G282" s="2" t="s">
        <v>43606</v>
      </c>
      <c r="H282" s="2" t="s">
        <v>43607</v>
      </c>
    </row>
    <row r="283" spans="1:8" ht="25.05" customHeight="1" x14ac:dyDescent="0.25">
      <c r="A283" s="2" t="s">
        <v>8</v>
      </c>
      <c r="B283" s="2" t="str">
        <f>HYPERLINK("http://ts.21cn.com/tousu/show/id/1330690","上海造艺网络技术有限公司旗下迅付泸快急用钱包恶意扣款299元")</f>
        <v>上海造艺网络技术有限公司旗下迅付泸快急用钱包恶意扣款299元</v>
      </c>
      <c r="C283" s="2" t="s">
        <v>9</v>
      </c>
      <c r="D283" s="2" t="s">
        <v>10</v>
      </c>
      <c r="E283" s="2" t="str">
        <f>HYPERLINK("http://ts.21cn.com/tousu/show/id/1330690","http://ts.21cn.com/tousu/show/id/1330690")</f>
        <v>http://ts.21cn.com/tousu/show/id/1330690</v>
      </c>
      <c r="F283" s="2" t="s">
        <v>11</v>
      </c>
      <c r="G283" s="2" t="s">
        <v>43604</v>
      </c>
      <c r="H283" s="2" t="s">
        <v>43605</v>
      </c>
    </row>
    <row r="284" spans="1:8" ht="25.05" customHeight="1" x14ac:dyDescent="0.25">
      <c r="A284" s="2" t="s">
        <v>8</v>
      </c>
      <c r="B284" s="2" t="str">
        <f>HYPERLINK("http://ts.21cn.com/tousu/show/id/1330691","京东白条到处骚扰")</f>
        <v>京东白条到处骚扰</v>
      </c>
      <c r="C284" s="2" t="s">
        <v>9</v>
      </c>
      <c r="D284" s="2" t="s">
        <v>10</v>
      </c>
      <c r="E284" s="2" t="str">
        <f>HYPERLINK("http://ts.21cn.com/tousu/show/id/1330691","http://ts.21cn.com/tousu/show/id/1330691")</f>
        <v>http://ts.21cn.com/tousu/show/id/1330691</v>
      </c>
      <c r="F284" s="2" t="s">
        <v>11</v>
      </c>
      <c r="G284" s="2" t="s">
        <v>43602</v>
      </c>
      <c r="H284" s="2" t="s">
        <v>43603</v>
      </c>
    </row>
    <row r="285" spans="1:8" ht="25.05" customHeight="1" x14ac:dyDescent="0.25">
      <c r="A285" s="2" t="s">
        <v>8</v>
      </c>
      <c r="B285" s="2" t="str">
        <f>HYPERLINK("http://ts.21cn.com/tousu/show/id/1330688","汇潮支付有限公司旗下千金鼎砍头息套路贷！")</f>
        <v>汇潮支付有限公司旗下千金鼎砍头息套路贷！</v>
      </c>
      <c r="C285" s="2" t="s">
        <v>9</v>
      </c>
      <c r="D285" s="2" t="s">
        <v>10</v>
      </c>
      <c r="E285" s="2" t="str">
        <f>HYPERLINK("http://ts.21cn.com/tousu/show/id/1330688","http://ts.21cn.com/tousu/show/id/1330688")</f>
        <v>http://ts.21cn.com/tousu/show/id/1330688</v>
      </c>
      <c r="F285" s="2" t="s">
        <v>11</v>
      </c>
      <c r="G285" s="2" t="s">
        <v>43600</v>
      </c>
      <c r="H285" s="2" t="s">
        <v>43601</v>
      </c>
    </row>
    <row r="286" spans="1:8" ht="25.05" customHeight="1" x14ac:dyDescent="0.25">
      <c r="A286" s="2" t="s">
        <v>8</v>
      </c>
      <c r="B286" s="2" t="str">
        <f>HYPERLINK("http://ts.21cn.com/tousu/show/id/1330693","送小宝app砍头息，暴力催收")</f>
        <v>送小宝app砍头息，暴力催收</v>
      </c>
      <c r="C286" s="2" t="s">
        <v>9</v>
      </c>
      <c r="D286" s="2" t="s">
        <v>10</v>
      </c>
      <c r="E286" s="2" t="str">
        <f>HYPERLINK("http://ts.21cn.com/tousu/show/id/1330693","http://ts.21cn.com/tousu/show/id/1330693")</f>
        <v>http://ts.21cn.com/tousu/show/id/1330693</v>
      </c>
      <c r="F286" s="2" t="s">
        <v>11</v>
      </c>
      <c r="G286" s="2" t="s">
        <v>43598</v>
      </c>
      <c r="H286" s="2" t="s">
        <v>43599</v>
      </c>
    </row>
    <row r="287" spans="1:8" ht="25.05" customHeight="1" x14ac:dyDescent="0.25">
      <c r="A287" s="2" t="s">
        <v>8</v>
      </c>
      <c r="B287" s="2" t="str">
        <f>HYPERLINK("http://ts.21cn.com/tousu/show/id/1330666","高利贷，恐吓，骚扰")</f>
        <v>高利贷，恐吓，骚扰</v>
      </c>
      <c r="C287" s="2" t="s">
        <v>9</v>
      </c>
      <c r="D287" s="2" t="s">
        <v>10</v>
      </c>
      <c r="E287" s="2" t="str">
        <f>HYPERLINK("http://ts.21cn.com/tousu/show/id/1330666","http://ts.21cn.com/tousu/show/id/1330666")</f>
        <v>http://ts.21cn.com/tousu/show/id/1330666</v>
      </c>
      <c r="F287" s="2" t="s">
        <v>11</v>
      </c>
      <c r="G287" s="2" t="s">
        <v>43596</v>
      </c>
      <c r="H287" s="2" t="s">
        <v>43597</v>
      </c>
    </row>
    <row r="288" spans="1:8" ht="25.05" customHeight="1" x14ac:dyDescent="0.25">
      <c r="A288" s="2" t="s">
        <v>8</v>
      </c>
      <c r="B288" s="2" t="str">
        <f>HYPERLINK("http://ts.21cn.com/tousu/show/id/1330684","财神黑卡")</f>
        <v>财神黑卡</v>
      </c>
      <c r="C288" s="2" t="s">
        <v>34</v>
      </c>
      <c r="D288" s="2" t="s">
        <v>10</v>
      </c>
      <c r="E288" s="2" t="str">
        <f>HYPERLINK("http://ts.21cn.com/tousu/show/id/1330684","http://ts.21cn.com/tousu/show/id/1330684")</f>
        <v>http://ts.21cn.com/tousu/show/id/1330684</v>
      </c>
      <c r="F288" s="2" t="s">
        <v>11</v>
      </c>
      <c r="G288" s="2" t="s">
        <v>43594</v>
      </c>
      <c r="H288" s="2" t="s">
        <v>43595</v>
      </c>
    </row>
    <row r="289" spans="1:8" ht="25.05" customHeight="1" x14ac:dyDescent="0.25">
      <c r="A289" s="2" t="s">
        <v>8</v>
      </c>
      <c r="B289" s="2" t="str">
        <f>HYPERLINK("http://ts.21cn.com/tousu/show/id/1330694","办瑞银信pos机，交押金299说三个月以后不管pos三个月没刷多少就退，到期不退耍无赖")</f>
        <v>办瑞银信pos机，交押金299说三个月以后不管pos三个月没刷多少就退，到期不退耍无赖</v>
      </c>
      <c r="C289" s="2" t="s">
        <v>9</v>
      </c>
      <c r="D289" s="2" t="s">
        <v>10</v>
      </c>
      <c r="E289" s="2" t="str">
        <f>HYPERLINK("http://ts.21cn.com/tousu/show/id/1330694","http://ts.21cn.com/tousu/show/id/1330694")</f>
        <v>http://ts.21cn.com/tousu/show/id/1330694</v>
      </c>
      <c r="F289" s="2" t="s">
        <v>11</v>
      </c>
      <c r="G289" s="2" t="s">
        <v>43592</v>
      </c>
      <c r="H289" s="2" t="s">
        <v>43593</v>
      </c>
    </row>
    <row r="290" spans="1:8" ht="25.05" customHeight="1" x14ac:dyDescent="0.25">
      <c r="A290" s="2" t="s">
        <v>8</v>
      </c>
      <c r="B290" s="2" t="str">
        <f>HYPERLINK("http://ts.21cn.com/tousu/show/id/1330650","淘宝账号被限制下单永久")</f>
        <v>淘宝账号被限制下单永久</v>
      </c>
      <c r="C290" s="2" t="s">
        <v>9</v>
      </c>
      <c r="D290" s="2" t="s">
        <v>10</v>
      </c>
      <c r="E290" s="2" t="str">
        <f>HYPERLINK("http://ts.21cn.com/tousu/show/id/1330650","http://ts.21cn.com/tousu/show/id/1330650")</f>
        <v>http://ts.21cn.com/tousu/show/id/1330650</v>
      </c>
      <c r="F290" s="2" t="s">
        <v>11</v>
      </c>
      <c r="G290" s="2" t="s">
        <v>43590</v>
      </c>
      <c r="H290" s="2" t="s">
        <v>43591</v>
      </c>
    </row>
    <row r="291" spans="1:8" ht="25.05" customHeight="1" x14ac:dyDescent="0.25">
      <c r="A291" s="2" t="s">
        <v>8</v>
      </c>
      <c r="B291" s="2" t="str">
        <f>HYPERLINK("http://ts.21cn.com/tousu/show/id/1330696","镇江万科对外活动搞内部黑幕！恶心！")</f>
        <v>镇江万科对外活动搞内部黑幕！恶心！</v>
      </c>
      <c r="C291" s="2" t="s">
        <v>9</v>
      </c>
      <c r="D291" s="2" t="s">
        <v>10</v>
      </c>
      <c r="E291" s="2" t="str">
        <f>HYPERLINK("http://ts.21cn.com/tousu/show/id/1330696","http://ts.21cn.com/tousu/show/id/1330696")</f>
        <v>http://ts.21cn.com/tousu/show/id/1330696</v>
      </c>
      <c r="F291" s="2" t="s">
        <v>11</v>
      </c>
      <c r="G291" s="2" t="s">
        <v>43588</v>
      </c>
      <c r="H291" s="2" t="s">
        <v>43589</v>
      </c>
    </row>
    <row r="292" spans="1:8" ht="25.05" customHeight="1" x14ac:dyDescent="0.25">
      <c r="A292" s="2" t="s">
        <v>8</v>
      </c>
      <c r="B292" s="2" t="str">
        <f>HYPERLINK("http://ts.21cn.com/tousu/show/id/1330697","推卸责任")</f>
        <v>推卸责任</v>
      </c>
      <c r="C292" s="2" t="s">
        <v>9</v>
      </c>
      <c r="D292" s="2" t="s">
        <v>10</v>
      </c>
      <c r="E292" s="2" t="str">
        <f>HYPERLINK("http://ts.21cn.com/tousu/show/id/1330697","http://ts.21cn.com/tousu/show/id/1330697")</f>
        <v>http://ts.21cn.com/tousu/show/id/1330697</v>
      </c>
      <c r="F292" s="2" t="s">
        <v>11</v>
      </c>
      <c r="G292" s="2" t="s">
        <v>43586</v>
      </c>
      <c r="H292" s="2" t="s">
        <v>43587</v>
      </c>
    </row>
    <row r="293" spans="1:8" ht="25.05" customHeight="1" x14ac:dyDescent="0.25">
      <c r="A293" s="2" t="s">
        <v>8</v>
      </c>
      <c r="B293" s="2" t="str">
        <f>HYPERLINK("http://ts.21cn.com/tousu/show/id/1330698","月光侠恶意骚扰通讯录")</f>
        <v>月光侠恶意骚扰通讯录</v>
      </c>
      <c r="C293" s="2" t="s">
        <v>9</v>
      </c>
      <c r="D293" s="2" t="s">
        <v>10</v>
      </c>
      <c r="E293" s="2" t="str">
        <f>HYPERLINK("http://ts.21cn.com/tousu/show/id/1330698","http://ts.21cn.com/tousu/show/id/1330698")</f>
        <v>http://ts.21cn.com/tousu/show/id/1330698</v>
      </c>
      <c r="F293" s="2" t="s">
        <v>11</v>
      </c>
      <c r="G293" s="2" t="s">
        <v>43584</v>
      </c>
      <c r="H293" s="2" t="s">
        <v>43585</v>
      </c>
    </row>
    <row r="294" spans="1:8" ht="25.05" customHeight="1" x14ac:dyDescent="0.25">
      <c r="A294" s="2" t="s">
        <v>8</v>
      </c>
      <c r="B294" s="2" t="str">
        <f>HYPERLINK("http://ts.21cn.com/tousu/show/id/1330699","轻周转芒果筹还不了款")</f>
        <v>轻周转芒果筹还不了款</v>
      </c>
      <c r="C294" s="2" t="s">
        <v>9</v>
      </c>
      <c r="D294" s="2" t="s">
        <v>10</v>
      </c>
      <c r="E294" s="2" t="str">
        <f>HYPERLINK("http://ts.21cn.com/tousu/show/id/1330699","http://ts.21cn.com/tousu/show/id/1330699")</f>
        <v>http://ts.21cn.com/tousu/show/id/1330699</v>
      </c>
      <c r="F294" s="2" t="s">
        <v>11</v>
      </c>
      <c r="G294" s="2" t="s">
        <v>43582</v>
      </c>
      <c r="H294" s="2" t="s">
        <v>43583</v>
      </c>
    </row>
    <row r="295" spans="1:8" ht="25.05" customHeight="1" x14ac:dyDescent="0.25">
      <c r="A295" s="2" t="s">
        <v>8</v>
      </c>
      <c r="B295" s="2" t="str">
        <f>HYPERLINK("http://ts.21cn.com/tousu/show/id/1330700","淘宝店家")</f>
        <v>淘宝店家</v>
      </c>
      <c r="C295" s="2" t="s">
        <v>9</v>
      </c>
      <c r="D295" s="2" t="s">
        <v>10</v>
      </c>
      <c r="E295" s="2" t="str">
        <f>HYPERLINK("http://ts.21cn.com/tousu/show/id/1330700","http://ts.21cn.com/tousu/show/id/1330700")</f>
        <v>http://ts.21cn.com/tousu/show/id/1330700</v>
      </c>
      <c r="F295" s="2" t="s">
        <v>11</v>
      </c>
      <c r="G295" s="2" t="s">
        <v>43580</v>
      </c>
      <c r="H295" s="2" t="s">
        <v>43581</v>
      </c>
    </row>
    <row r="296" spans="1:8" ht="25.05" customHeight="1" x14ac:dyDescent="0.25">
      <c r="A296" s="2" t="s">
        <v>8</v>
      </c>
      <c r="B296" s="2" t="str">
        <f>HYPERLINK("http://ts.21cn.com/tousu/show/id/1330695","百事普惠打着借钱的幌子，进入后自动划扣客户299费用")</f>
        <v>百事普惠打着借钱的幌子，进入后自动划扣客户299费用</v>
      </c>
      <c r="C296" s="2" t="s">
        <v>9</v>
      </c>
      <c r="D296" s="2" t="s">
        <v>10</v>
      </c>
      <c r="E296" s="2" t="str">
        <f>HYPERLINK("http://ts.21cn.com/tousu/show/id/1330695","http://ts.21cn.com/tousu/show/id/1330695")</f>
        <v>http://ts.21cn.com/tousu/show/id/1330695</v>
      </c>
      <c r="F296" s="2" t="s">
        <v>11</v>
      </c>
      <c r="G296" s="2" t="s">
        <v>43578</v>
      </c>
      <c r="H296" s="2" t="s">
        <v>43579</v>
      </c>
    </row>
    <row r="297" spans="1:8" ht="25.05" customHeight="1" x14ac:dyDescent="0.25">
      <c r="A297" s="2" t="s">
        <v>8</v>
      </c>
      <c r="B297" s="2" t="str">
        <f>HYPERLINK("http://ts.21cn.com/tousu/show/id/1330701","通讯录被爆了")</f>
        <v>通讯录被爆了</v>
      </c>
      <c r="C297" s="2" t="s">
        <v>9</v>
      </c>
      <c r="D297" s="2" t="s">
        <v>10</v>
      </c>
      <c r="E297" s="2" t="str">
        <f>HYPERLINK("http://ts.21cn.com/tousu/show/id/1330701","http://ts.21cn.com/tousu/show/id/1330701")</f>
        <v>http://ts.21cn.com/tousu/show/id/1330701</v>
      </c>
      <c r="F297" s="2" t="s">
        <v>11</v>
      </c>
      <c r="G297" s="2" t="s">
        <v>43576</v>
      </c>
      <c r="H297" s="2" t="s">
        <v>43577</v>
      </c>
    </row>
    <row r="298" spans="1:8" ht="25.05" customHeight="1" x14ac:dyDescent="0.25">
      <c r="A298" s="2" t="s">
        <v>8</v>
      </c>
      <c r="B298" s="2" t="str">
        <f>HYPERLINK("http://ts.21cn.com/tousu/show/id/1330703","分期乐不分青红皂白冻结")</f>
        <v>分期乐不分青红皂白冻结</v>
      </c>
      <c r="C298" s="2" t="s">
        <v>9</v>
      </c>
      <c r="D298" s="2" t="s">
        <v>10</v>
      </c>
      <c r="E298" s="2" t="str">
        <f>HYPERLINK("http://ts.21cn.com/tousu/show/id/1330703","http://ts.21cn.com/tousu/show/id/1330703")</f>
        <v>http://ts.21cn.com/tousu/show/id/1330703</v>
      </c>
      <c r="F298" s="2" t="s">
        <v>11</v>
      </c>
      <c r="G298" s="2" t="s">
        <v>43574</v>
      </c>
      <c r="H298" s="2" t="s">
        <v>43575</v>
      </c>
    </row>
    <row r="299" spans="1:8" ht="25.05" customHeight="1" x14ac:dyDescent="0.25">
      <c r="A299" s="2" t="s">
        <v>8</v>
      </c>
      <c r="B299" s="2" t="str">
        <f>HYPERLINK("http://ts.21cn.com/tousu/show/id/1330704","投诉平安车监管不力及其销售人员违规推销")</f>
        <v>投诉平安车监管不力及其销售人员违规推销</v>
      </c>
      <c r="C299" s="2" t="s">
        <v>9</v>
      </c>
      <c r="D299" s="2" t="s">
        <v>10</v>
      </c>
      <c r="E299" s="2" t="str">
        <f>HYPERLINK("http://ts.21cn.com/tousu/show/id/1330704","http://ts.21cn.com/tousu/show/id/1330704")</f>
        <v>http://ts.21cn.com/tousu/show/id/1330704</v>
      </c>
      <c r="F299" s="2" t="s">
        <v>11</v>
      </c>
      <c r="G299" s="2" t="s">
        <v>43572</v>
      </c>
      <c r="H299" s="2" t="s">
        <v>43573</v>
      </c>
    </row>
    <row r="300" spans="1:8" ht="25.05" customHeight="1" x14ac:dyDescent="0.25">
      <c r="A300" s="2" t="s">
        <v>8</v>
      </c>
      <c r="B300" s="2" t="str">
        <f>HYPERLINK("http://ts.21cn.com/tousu/show/id/1330692","高利贷联系不上客服想协商")</f>
        <v>高利贷联系不上客服想协商</v>
      </c>
      <c r="C300" s="2" t="s">
        <v>9</v>
      </c>
      <c r="D300" s="2" t="s">
        <v>10</v>
      </c>
      <c r="E300" s="2" t="str">
        <f>HYPERLINK("http://ts.21cn.com/tousu/show/id/1330692","http://ts.21cn.com/tousu/show/id/1330692")</f>
        <v>http://ts.21cn.com/tousu/show/id/1330692</v>
      </c>
      <c r="F300" s="2" t="s">
        <v>11</v>
      </c>
      <c r="G300" s="2" t="s">
        <v>43570</v>
      </c>
      <c r="H300" s="2" t="s">
        <v>43571</v>
      </c>
    </row>
    <row r="301" spans="1:8" ht="25.05" customHeight="1" x14ac:dyDescent="0.25">
      <c r="A301" s="2" t="s">
        <v>8</v>
      </c>
      <c r="B301" s="2" t="str">
        <f>HYPERLINK("http://ts.21cn.com/tousu/show/id/1330705","外卖订单忘记点送达")</f>
        <v>外卖订单忘记点送达</v>
      </c>
      <c r="C301" s="2" t="s">
        <v>9</v>
      </c>
      <c r="D301" s="2" t="s">
        <v>10</v>
      </c>
      <c r="E301" s="2" t="str">
        <f>HYPERLINK("http://ts.21cn.com/tousu/show/id/1330705","http://ts.21cn.com/tousu/show/id/1330705")</f>
        <v>http://ts.21cn.com/tousu/show/id/1330705</v>
      </c>
      <c r="F301" s="2" t="s">
        <v>11</v>
      </c>
      <c r="G301" s="2" t="s">
        <v>43568</v>
      </c>
      <c r="H301" s="2" t="s">
        <v>43569</v>
      </c>
    </row>
    <row r="302" spans="1:8" ht="25.05" customHeight="1" x14ac:dyDescent="0.25">
      <c r="A302" s="2" t="s">
        <v>8</v>
      </c>
      <c r="B302" s="2" t="str">
        <f>HYPERLINK("http://ts.21cn.com/tousu/show/id/1330706","交行暴力催收")</f>
        <v>交行暴力催收</v>
      </c>
      <c r="C302" s="2" t="s">
        <v>9</v>
      </c>
      <c r="D302" s="2" t="s">
        <v>10</v>
      </c>
      <c r="E302" s="2" t="str">
        <f>HYPERLINK("http://ts.21cn.com/tousu/show/id/1330706","http://ts.21cn.com/tousu/show/id/1330706")</f>
        <v>http://ts.21cn.com/tousu/show/id/1330706</v>
      </c>
      <c r="F302" s="2" t="s">
        <v>11</v>
      </c>
      <c r="G302" s="2" t="s">
        <v>43566</v>
      </c>
      <c r="H302" s="2" t="s">
        <v>43567</v>
      </c>
    </row>
    <row r="303" spans="1:8" ht="25.05" customHeight="1" x14ac:dyDescent="0.25">
      <c r="A303" s="2" t="s">
        <v>8</v>
      </c>
      <c r="B303" s="2" t="str">
        <f>HYPERLINK("http://ts.21cn.com/tousu/show/id/1330708","停运，不更新")</f>
        <v>停运，不更新</v>
      </c>
      <c r="C303" s="2" t="s">
        <v>9</v>
      </c>
      <c r="D303" s="2" t="s">
        <v>10</v>
      </c>
      <c r="E303" s="2" t="str">
        <f>HYPERLINK("http://ts.21cn.com/tousu/show/id/1330708","http://ts.21cn.com/tousu/show/id/1330708")</f>
        <v>http://ts.21cn.com/tousu/show/id/1330708</v>
      </c>
      <c r="F303" s="2" t="s">
        <v>11</v>
      </c>
      <c r="G303" s="2" t="s">
        <v>43564</v>
      </c>
      <c r="H303" s="2" t="s">
        <v>43565</v>
      </c>
    </row>
    <row r="304" spans="1:8" ht="25.05" customHeight="1" x14ac:dyDescent="0.25">
      <c r="A304" s="2" t="s">
        <v>8</v>
      </c>
      <c r="B304" s="2" t="str">
        <f>HYPERLINK("http://ts.21cn.com/tousu/show/id/1330709","玖富万卡审核失败保险费不退还")</f>
        <v>玖富万卡审核失败保险费不退还</v>
      </c>
      <c r="C304" s="2" t="s">
        <v>9</v>
      </c>
      <c r="D304" s="2" t="s">
        <v>10</v>
      </c>
      <c r="E304" s="2" t="str">
        <f>HYPERLINK("http://ts.21cn.com/tousu/show/id/1330709","http://ts.21cn.com/tousu/show/id/1330709")</f>
        <v>http://ts.21cn.com/tousu/show/id/1330709</v>
      </c>
      <c r="F304" s="2" t="s">
        <v>11</v>
      </c>
      <c r="G304" s="2" t="s">
        <v>43562</v>
      </c>
      <c r="H304" s="2" t="s">
        <v>43563</v>
      </c>
    </row>
    <row r="305" spans="1:8" ht="25.05" customHeight="1" x14ac:dyDescent="0.25">
      <c r="A305" s="2" t="s">
        <v>8</v>
      </c>
      <c r="B305" s="2" t="str">
        <f>HYPERLINK("http://ts.21cn.com/tousu/show/id/1330710","贷上钱还完钱以后不处理，还在涨罚息")</f>
        <v>贷上钱还完钱以后不处理，还在涨罚息</v>
      </c>
      <c r="C305" s="2" t="s">
        <v>9</v>
      </c>
      <c r="D305" s="2" t="s">
        <v>10</v>
      </c>
      <c r="E305" s="2" t="str">
        <f>HYPERLINK("http://ts.21cn.com/tousu/show/id/1330710","http://ts.21cn.com/tousu/show/id/1330710")</f>
        <v>http://ts.21cn.com/tousu/show/id/1330710</v>
      </c>
      <c r="F305" s="2" t="s">
        <v>11</v>
      </c>
      <c r="G305" s="2" t="s">
        <v>43560</v>
      </c>
      <c r="H305" s="2" t="s">
        <v>43561</v>
      </c>
    </row>
    <row r="306" spans="1:8" ht="25.05" customHeight="1" x14ac:dyDescent="0.25">
      <c r="A306" s="2" t="s">
        <v>8</v>
      </c>
      <c r="B306" s="2" t="str">
        <f>HYPERLINK("http://ts.21cn.com/tousu/show/id/1330712","拼多多工单客服处理不当")</f>
        <v>拼多多工单客服处理不当</v>
      </c>
      <c r="C306" s="2" t="s">
        <v>9</v>
      </c>
      <c r="D306" s="2" t="s">
        <v>10</v>
      </c>
      <c r="E306" s="2" t="str">
        <f>HYPERLINK("http://ts.21cn.com/tousu/show/id/1330712","http://ts.21cn.com/tousu/show/id/1330712")</f>
        <v>http://ts.21cn.com/tousu/show/id/1330712</v>
      </c>
      <c r="F306" s="2" t="s">
        <v>11</v>
      </c>
      <c r="G306" s="2" t="s">
        <v>43558</v>
      </c>
      <c r="H306" s="2" t="s">
        <v>43559</v>
      </c>
    </row>
    <row r="307" spans="1:8" ht="25.05" customHeight="1" x14ac:dyDescent="0.25">
      <c r="A307" s="2" t="s">
        <v>8</v>
      </c>
      <c r="B307" s="2" t="str">
        <f>HYPERLINK("http://ts.21cn.com/tousu/show/id/1330714","贷上钱高利贷违规催收乱打通讯录")</f>
        <v>贷上钱高利贷违规催收乱打通讯录</v>
      </c>
      <c r="C307" s="2" t="s">
        <v>9</v>
      </c>
      <c r="D307" s="2" t="s">
        <v>10</v>
      </c>
      <c r="E307" s="2" t="str">
        <f>HYPERLINK("http://ts.21cn.com/tousu/show/id/1330714","http://ts.21cn.com/tousu/show/id/1330714")</f>
        <v>http://ts.21cn.com/tousu/show/id/1330714</v>
      </c>
      <c r="F307" s="2" t="s">
        <v>11</v>
      </c>
      <c r="G307" s="2" t="s">
        <v>43556</v>
      </c>
      <c r="H307" s="2" t="s">
        <v>43557</v>
      </c>
    </row>
    <row r="308" spans="1:8" ht="25.05" customHeight="1" x14ac:dyDescent="0.25">
      <c r="A308" s="2" t="s">
        <v>8</v>
      </c>
      <c r="B308" s="2" t="str">
        <f>HYPERLINK("http://ts.21cn.com/tousu/show/id/1330715","我自己的钱我不明白为什么我提不了现，")</f>
        <v>我自己的钱我不明白为什么我提不了现，</v>
      </c>
      <c r="C308" s="2" t="s">
        <v>9</v>
      </c>
      <c r="D308" s="2" t="s">
        <v>10</v>
      </c>
      <c r="E308" s="2" t="str">
        <f>HYPERLINK("http://ts.21cn.com/tousu/show/id/1330715","http://ts.21cn.com/tousu/show/id/1330715")</f>
        <v>http://ts.21cn.com/tousu/show/id/1330715</v>
      </c>
      <c r="F308" s="2" t="s">
        <v>11</v>
      </c>
      <c r="G308" s="2" t="s">
        <v>43554</v>
      </c>
      <c r="H308" s="2" t="s">
        <v>43555</v>
      </c>
    </row>
    <row r="309" spans="1:8" ht="25.05" customHeight="1" x14ac:dyDescent="0.25">
      <c r="A309" s="2" t="s">
        <v>8</v>
      </c>
      <c r="B309" s="2" t="str">
        <f>HYPERLINK("http://ts.21cn.com/tousu/show/id/1330716","王者荣耀客服恶意扣分")</f>
        <v>王者荣耀客服恶意扣分</v>
      </c>
      <c r="C309" s="2" t="s">
        <v>9</v>
      </c>
      <c r="D309" s="2" t="s">
        <v>10</v>
      </c>
      <c r="E309" s="2" t="str">
        <f>HYPERLINK("http://ts.21cn.com/tousu/show/id/1330716","http://ts.21cn.com/tousu/show/id/1330716")</f>
        <v>http://ts.21cn.com/tousu/show/id/1330716</v>
      </c>
      <c r="F309" s="2" t="s">
        <v>11</v>
      </c>
      <c r="G309" s="2" t="s">
        <v>43552</v>
      </c>
      <c r="H309" s="2" t="s">
        <v>43553</v>
      </c>
    </row>
    <row r="310" spans="1:8" ht="25.05" customHeight="1" x14ac:dyDescent="0.25">
      <c r="A310" s="2" t="s">
        <v>8</v>
      </c>
      <c r="B310" s="2" t="str">
        <f>HYPERLINK("http://ts.21cn.com/tousu/show/id/1330717","要求北京友缘在线网络科技有限公司给予退款")</f>
        <v>要求北京友缘在线网络科技有限公司给予退款</v>
      </c>
      <c r="C310" s="2" t="s">
        <v>9</v>
      </c>
      <c r="D310" s="2" t="s">
        <v>10</v>
      </c>
      <c r="E310" s="2" t="str">
        <f>HYPERLINK("http://ts.21cn.com/tousu/show/id/1330717","http://ts.21cn.com/tousu/show/id/1330717")</f>
        <v>http://ts.21cn.com/tousu/show/id/1330717</v>
      </c>
      <c r="F310" s="2" t="s">
        <v>11</v>
      </c>
      <c r="G310" s="2" t="s">
        <v>43550</v>
      </c>
      <c r="H310" s="2" t="s">
        <v>43551</v>
      </c>
    </row>
    <row r="311" spans="1:8" ht="25.05" customHeight="1" x14ac:dyDescent="0.25">
      <c r="A311" s="2" t="s">
        <v>8</v>
      </c>
      <c r="B311" s="2" t="str">
        <f>HYPERLINK("http://ts.21cn.com/tousu/show/id/1330718","协商处理")</f>
        <v>协商处理</v>
      </c>
      <c r="C311" s="2" t="s">
        <v>34</v>
      </c>
      <c r="D311" s="2" t="s">
        <v>10</v>
      </c>
      <c r="E311" s="2" t="str">
        <f>HYPERLINK("http://ts.21cn.com/tousu/show/id/1330718","http://ts.21cn.com/tousu/show/id/1330718")</f>
        <v>http://ts.21cn.com/tousu/show/id/1330718</v>
      </c>
      <c r="F311" s="2" t="s">
        <v>11</v>
      </c>
      <c r="G311" s="2" t="s">
        <v>43548</v>
      </c>
      <c r="H311" s="2" t="s">
        <v>43549</v>
      </c>
    </row>
    <row r="312" spans="1:8" ht="25.05" customHeight="1" x14ac:dyDescent="0.25">
      <c r="A312" s="2" t="s">
        <v>8</v>
      </c>
      <c r="B312" s="2" t="str">
        <f>HYPERLINK("http://ts.21cn.com/tousu/show/id/1330719","维信卡卡贷乱收费")</f>
        <v>维信卡卡贷乱收费</v>
      </c>
      <c r="C312" s="2" t="s">
        <v>9</v>
      </c>
      <c r="D312" s="2" t="s">
        <v>10</v>
      </c>
      <c r="E312" s="2" t="str">
        <f>HYPERLINK("http://ts.21cn.com/tousu/show/id/1330719","http://ts.21cn.com/tousu/show/id/1330719")</f>
        <v>http://ts.21cn.com/tousu/show/id/1330719</v>
      </c>
      <c r="F312" s="2" t="s">
        <v>11</v>
      </c>
      <c r="G312" s="2" t="s">
        <v>43546</v>
      </c>
      <c r="H312" s="2" t="s">
        <v>43547</v>
      </c>
    </row>
    <row r="313" spans="1:8" ht="25.05" customHeight="1" x14ac:dyDescent="0.25">
      <c r="A313" s="2" t="s">
        <v>8</v>
      </c>
      <c r="B313" s="2" t="str">
        <f>HYPERLINK("http://ts.21cn.com/tousu/show/id/1330721","砍头息")</f>
        <v>砍头息</v>
      </c>
      <c r="C313" s="2" t="s">
        <v>9</v>
      </c>
      <c r="D313" s="2" t="s">
        <v>10</v>
      </c>
      <c r="E313" s="2" t="str">
        <f>HYPERLINK("http://ts.21cn.com/tousu/show/id/1330721","http://ts.21cn.com/tousu/show/id/1330721")</f>
        <v>http://ts.21cn.com/tousu/show/id/1330721</v>
      </c>
      <c r="F313" s="2" t="s">
        <v>11</v>
      </c>
      <c r="G313" s="2" t="s">
        <v>43544</v>
      </c>
      <c r="H313" s="2" t="s">
        <v>43545</v>
      </c>
    </row>
    <row r="314" spans="1:8" ht="25.05" customHeight="1" x14ac:dyDescent="0.25">
      <c r="A314" s="2" t="s">
        <v>8</v>
      </c>
      <c r="B314" s="2" t="str">
        <f>HYPERLINK("http://ts.21cn.com/tousu/show/id/1330720","高利贷砍头息阴阳合同")</f>
        <v>高利贷砍头息阴阳合同</v>
      </c>
      <c r="C314" s="2" t="s">
        <v>9</v>
      </c>
      <c r="D314" s="2" t="s">
        <v>10</v>
      </c>
      <c r="E314" s="2" t="str">
        <f>HYPERLINK("http://ts.21cn.com/tousu/show/id/1330720","http://ts.21cn.com/tousu/show/id/1330720")</f>
        <v>http://ts.21cn.com/tousu/show/id/1330720</v>
      </c>
      <c r="F314" s="2" t="s">
        <v>11</v>
      </c>
      <c r="G314" s="2" t="s">
        <v>43542</v>
      </c>
      <c r="H314" s="2" t="s">
        <v>43543</v>
      </c>
    </row>
    <row r="315" spans="1:8" ht="25.05" customHeight="1" x14ac:dyDescent="0.25">
      <c r="A315" s="2" t="s">
        <v>8</v>
      </c>
      <c r="B315" s="2" t="str">
        <f>HYPERLINK("http://ts.21cn.com/tousu/show/id/1330722","希望做延期处理")</f>
        <v>希望做延期处理</v>
      </c>
      <c r="C315" s="2" t="s">
        <v>9</v>
      </c>
      <c r="D315" s="2" t="s">
        <v>10</v>
      </c>
      <c r="E315" s="2" t="str">
        <f>HYPERLINK("http://ts.21cn.com/tousu/show/id/1330722","http://ts.21cn.com/tousu/show/id/1330722")</f>
        <v>http://ts.21cn.com/tousu/show/id/1330722</v>
      </c>
      <c r="F315" s="2" t="s">
        <v>11</v>
      </c>
      <c r="G315" s="2" t="s">
        <v>43540</v>
      </c>
      <c r="H315" s="2" t="s">
        <v>43541</v>
      </c>
    </row>
    <row r="316" spans="1:8" ht="25.05" customHeight="1" x14ac:dyDescent="0.25">
      <c r="A316" s="2" t="s">
        <v>8</v>
      </c>
      <c r="B316" s="2" t="str">
        <f>HYPERLINK("http://ts.21cn.com/tousu/show/id/1330723","暴力催收，骚扰家人，高利贷，非法搭售保险，阴阳合同！")</f>
        <v>暴力催收，骚扰家人，高利贷，非法搭售保险，阴阳合同！</v>
      </c>
      <c r="C316" s="2" t="s">
        <v>9</v>
      </c>
      <c r="D316" s="2" t="s">
        <v>10</v>
      </c>
      <c r="E316" s="2" t="str">
        <f>HYPERLINK("http://ts.21cn.com/tousu/show/id/1330723","http://ts.21cn.com/tousu/show/id/1330723")</f>
        <v>http://ts.21cn.com/tousu/show/id/1330723</v>
      </c>
      <c r="F316" s="2" t="s">
        <v>11</v>
      </c>
      <c r="G316" s="2" t="s">
        <v>43538</v>
      </c>
      <c r="H316" s="2" t="s">
        <v>43539</v>
      </c>
    </row>
    <row r="317" spans="1:8" ht="25.05" customHeight="1" x14ac:dyDescent="0.25">
      <c r="A317" s="2" t="s">
        <v>8</v>
      </c>
      <c r="B317" s="2" t="str">
        <f>HYPERLINK("http://ts.21cn.com/tousu/show/id/1330711","拼多多商户")</f>
        <v>拼多多商户</v>
      </c>
      <c r="C317" s="2" t="s">
        <v>9</v>
      </c>
      <c r="D317" s="2" t="s">
        <v>10</v>
      </c>
      <c r="E317" s="2" t="str">
        <f>HYPERLINK("http://ts.21cn.com/tousu/show/id/1330711","http://ts.21cn.com/tousu/show/id/1330711")</f>
        <v>http://ts.21cn.com/tousu/show/id/1330711</v>
      </c>
      <c r="F317" s="2" t="s">
        <v>11</v>
      </c>
      <c r="G317" s="2" t="s">
        <v>43536</v>
      </c>
      <c r="H317" s="2" t="s">
        <v>43537</v>
      </c>
    </row>
    <row r="318" spans="1:8" ht="25.05" customHeight="1" x14ac:dyDescent="0.25">
      <c r="A318" s="2" t="s">
        <v>8</v>
      </c>
      <c r="B318" s="2" t="str">
        <f>HYPERLINK("http://ts.21cn.com/tousu/show/id/1330727","百事普惠恶意扣款")</f>
        <v>百事普惠恶意扣款</v>
      </c>
      <c r="C318" s="2" t="s">
        <v>9</v>
      </c>
      <c r="D318" s="2" t="s">
        <v>10</v>
      </c>
      <c r="E318" s="2" t="str">
        <f>HYPERLINK("http://ts.21cn.com/tousu/show/id/1330727","http://ts.21cn.com/tousu/show/id/1330727")</f>
        <v>http://ts.21cn.com/tousu/show/id/1330727</v>
      </c>
      <c r="F318" s="2" t="s">
        <v>11</v>
      </c>
      <c r="G318" s="2" t="s">
        <v>43534</v>
      </c>
      <c r="H318" s="2" t="s">
        <v>43535</v>
      </c>
    </row>
    <row r="319" spans="1:8" ht="25.05" customHeight="1" x14ac:dyDescent="0.25">
      <c r="A319" s="2" t="s">
        <v>8</v>
      </c>
      <c r="B319" s="2" t="str">
        <f>HYPERLINK("http://ts.21cn.com/tousu/show/id/1330728","小象优品恶意催收爆通讯录")</f>
        <v>小象优品恶意催收爆通讯录</v>
      </c>
      <c r="C319" s="2" t="s">
        <v>9</v>
      </c>
      <c r="D319" s="2" t="s">
        <v>10</v>
      </c>
      <c r="E319" s="2" t="str">
        <f>HYPERLINK("http://ts.21cn.com/tousu/show/id/1330728","http://ts.21cn.com/tousu/show/id/1330728")</f>
        <v>http://ts.21cn.com/tousu/show/id/1330728</v>
      </c>
      <c r="F319" s="2" t="s">
        <v>11</v>
      </c>
      <c r="G319" s="2" t="s">
        <v>43532</v>
      </c>
      <c r="H319" s="2" t="s">
        <v>43533</v>
      </c>
    </row>
    <row r="320" spans="1:8" ht="25.05" customHeight="1" x14ac:dyDescent="0.25">
      <c r="A320" s="2" t="s">
        <v>8</v>
      </c>
      <c r="B320" s="2" t="str">
        <f>HYPERLINK("http://ts.21cn.com/tousu/show/id/1330729","玖富万卡高利贷，一个借款还两个")</f>
        <v>玖富万卡高利贷，一个借款还两个</v>
      </c>
      <c r="C320" s="2" t="s">
        <v>9</v>
      </c>
      <c r="D320" s="2" t="s">
        <v>10</v>
      </c>
      <c r="E320" s="2" t="str">
        <f>HYPERLINK("http://ts.21cn.com/tousu/show/id/1330729","http://ts.21cn.com/tousu/show/id/1330729")</f>
        <v>http://ts.21cn.com/tousu/show/id/1330729</v>
      </c>
      <c r="F320" s="2" t="s">
        <v>11</v>
      </c>
      <c r="G320" s="2" t="s">
        <v>43530</v>
      </c>
      <c r="H320" s="2" t="s">
        <v>43531</v>
      </c>
    </row>
    <row r="321" spans="1:8" ht="25.05" customHeight="1" x14ac:dyDescent="0.25">
      <c r="A321" s="2" t="s">
        <v>8</v>
      </c>
      <c r="B321" s="2" t="str">
        <f>HYPERLINK("http://ts.21cn.com/tousu/show/id/1330730","信用钱包神马借多还1563，而且未销账")</f>
        <v>信用钱包神马借多还1563，而且未销账</v>
      </c>
      <c r="C321" s="2" t="s">
        <v>9</v>
      </c>
      <c r="D321" s="2" t="s">
        <v>10</v>
      </c>
      <c r="E321" s="2" t="str">
        <f>HYPERLINK("http://ts.21cn.com/tousu/show/id/1330730","http://ts.21cn.com/tousu/show/id/1330730")</f>
        <v>http://ts.21cn.com/tousu/show/id/1330730</v>
      </c>
      <c r="F321" s="2" t="s">
        <v>11</v>
      </c>
      <c r="G321" s="2" t="s">
        <v>43528</v>
      </c>
      <c r="H321" s="2" t="s">
        <v>43529</v>
      </c>
    </row>
    <row r="322" spans="1:8" ht="25.05" customHeight="1" x14ac:dyDescent="0.25">
      <c r="A322" s="2" t="s">
        <v>8</v>
      </c>
      <c r="B322" s="2" t="str">
        <f>HYPERLINK("http://ts.21cn.com/tousu/show/id/1330687","容捷通非法高利贷，富友支付是幕后资方")</f>
        <v>容捷通非法高利贷，富友支付是幕后资方</v>
      </c>
      <c r="C322" s="2" t="s">
        <v>9</v>
      </c>
      <c r="D322" s="2" t="s">
        <v>10</v>
      </c>
      <c r="E322" s="2" t="str">
        <f>HYPERLINK("http://ts.21cn.com/tousu/show/id/1330687","http://ts.21cn.com/tousu/show/id/1330687")</f>
        <v>http://ts.21cn.com/tousu/show/id/1330687</v>
      </c>
      <c r="F322" s="2" t="s">
        <v>11</v>
      </c>
      <c r="G322" s="2" t="s">
        <v>43526</v>
      </c>
      <c r="H322" s="2" t="s">
        <v>43527</v>
      </c>
    </row>
    <row r="323" spans="1:8" ht="25.05" customHeight="1" x14ac:dyDescent="0.25">
      <c r="A323" s="2" t="s">
        <v>8</v>
      </c>
      <c r="B323" s="2" t="str">
        <f>HYPERLINK("http://ts.21cn.com/tousu/show/id/1330724","高率贷")</f>
        <v>高率贷</v>
      </c>
      <c r="C323" s="2" t="s">
        <v>34</v>
      </c>
      <c r="D323" s="2" t="s">
        <v>10</v>
      </c>
      <c r="E323" s="2" t="str">
        <f>HYPERLINK("http://ts.21cn.com/tousu/show/id/1330724","http://ts.21cn.com/tousu/show/id/1330724")</f>
        <v>http://ts.21cn.com/tousu/show/id/1330724</v>
      </c>
      <c r="F323" s="2" t="s">
        <v>11</v>
      </c>
      <c r="G323" s="2" t="s">
        <v>43524</v>
      </c>
      <c r="H323" s="2" t="s">
        <v>43525</v>
      </c>
    </row>
    <row r="324" spans="1:8" ht="25.05" customHeight="1" x14ac:dyDescent="0.25">
      <c r="A324" s="2" t="s">
        <v>8</v>
      </c>
      <c r="B324" s="2" t="str">
        <f>HYPERLINK("http://ts.21cn.com/tousu/show/id/1330733","钱站高利贷阴阳合同")</f>
        <v>钱站高利贷阴阳合同</v>
      </c>
      <c r="C324" s="2" t="s">
        <v>9</v>
      </c>
      <c r="D324" s="2" t="s">
        <v>10</v>
      </c>
      <c r="E324" s="2" t="str">
        <f>HYPERLINK("http://ts.21cn.com/tousu/show/id/1330733","http://ts.21cn.com/tousu/show/id/1330733")</f>
        <v>http://ts.21cn.com/tousu/show/id/1330733</v>
      </c>
      <c r="F324" s="2" t="s">
        <v>11</v>
      </c>
      <c r="G324" s="2" t="s">
        <v>43522</v>
      </c>
      <c r="H324" s="2" t="s">
        <v>43523</v>
      </c>
    </row>
    <row r="325" spans="1:8" ht="25.05" customHeight="1" x14ac:dyDescent="0.25">
      <c r="A325" s="2" t="s">
        <v>8</v>
      </c>
      <c r="B325" s="2" t="str">
        <f>HYPERLINK("http://ts.21cn.com/tousu/show/id/1330735","捷信消费金融有限公司")</f>
        <v>捷信消费金融有限公司</v>
      </c>
      <c r="C325" s="2" t="s">
        <v>9</v>
      </c>
      <c r="D325" s="2" t="s">
        <v>10</v>
      </c>
      <c r="E325" s="2" t="str">
        <f>HYPERLINK("http://ts.21cn.com/tousu/show/id/1330735","http://ts.21cn.com/tousu/show/id/1330735")</f>
        <v>http://ts.21cn.com/tousu/show/id/1330735</v>
      </c>
      <c r="F325" s="2" t="s">
        <v>11</v>
      </c>
      <c r="G325" s="2" t="s">
        <v>43520</v>
      </c>
      <c r="H325" s="2" t="s">
        <v>43521</v>
      </c>
    </row>
    <row r="326" spans="1:8" ht="25.05" customHeight="1" x14ac:dyDescent="0.25">
      <c r="A326" s="2" t="s">
        <v>8</v>
      </c>
      <c r="B326" s="2" t="str">
        <f>HYPERLINK("http://ts.21cn.com/tousu/show/id/1330734","拼多多商家虚假物流")</f>
        <v>拼多多商家虚假物流</v>
      </c>
      <c r="C326" s="2" t="s">
        <v>9</v>
      </c>
      <c r="D326" s="2" t="s">
        <v>10</v>
      </c>
      <c r="E326" s="2" t="str">
        <f>HYPERLINK("http://ts.21cn.com/tousu/show/id/1330734","http://ts.21cn.com/tousu/show/id/1330734")</f>
        <v>http://ts.21cn.com/tousu/show/id/1330734</v>
      </c>
      <c r="F326" s="2" t="s">
        <v>11</v>
      </c>
      <c r="G326" s="2" t="s">
        <v>43518</v>
      </c>
      <c r="H326" s="2" t="s">
        <v>43519</v>
      </c>
    </row>
    <row r="327" spans="1:8" ht="25.05" customHeight="1" x14ac:dyDescent="0.25">
      <c r="A327" s="2" t="s">
        <v>8</v>
      </c>
      <c r="B327" s="2" t="str">
        <f>HYPERLINK("http://ts.21cn.com/tousu/show/id/1330737","小黑鲨高利贷")</f>
        <v>小黑鲨高利贷</v>
      </c>
      <c r="C327" s="2" t="s">
        <v>9</v>
      </c>
      <c r="D327" s="2" t="s">
        <v>10</v>
      </c>
      <c r="E327" s="2" t="str">
        <f>HYPERLINK("http://ts.21cn.com/tousu/show/id/1330737","http://ts.21cn.com/tousu/show/id/1330737")</f>
        <v>http://ts.21cn.com/tousu/show/id/1330737</v>
      </c>
      <c r="F327" s="2" t="s">
        <v>11</v>
      </c>
      <c r="G327" s="2" t="s">
        <v>43516</v>
      </c>
      <c r="H327" s="2" t="s">
        <v>43517</v>
      </c>
    </row>
    <row r="328" spans="1:8" ht="25.05" customHeight="1" x14ac:dyDescent="0.25">
      <c r="A328" s="2" t="s">
        <v>8</v>
      </c>
      <c r="B328" s="2" t="str">
        <f>HYPERLINK("http://ts.21cn.com/tousu/show/id/1330736","利息超过国家规定")</f>
        <v>利息超过国家规定</v>
      </c>
      <c r="C328" s="2" t="s">
        <v>9</v>
      </c>
      <c r="D328" s="2" t="s">
        <v>10</v>
      </c>
      <c r="E328" s="2" t="str">
        <f>HYPERLINK("http://ts.21cn.com/tousu/show/id/1330736","http://ts.21cn.com/tousu/show/id/1330736")</f>
        <v>http://ts.21cn.com/tousu/show/id/1330736</v>
      </c>
      <c r="F328" s="2" t="s">
        <v>11</v>
      </c>
      <c r="G328" s="2" t="s">
        <v>43514</v>
      </c>
      <c r="H328" s="2" t="s">
        <v>43515</v>
      </c>
    </row>
    <row r="329" spans="1:8" ht="25.05" customHeight="1" x14ac:dyDescent="0.25">
      <c r="A329" s="2" t="s">
        <v>8</v>
      </c>
      <c r="B329" s="2" t="str">
        <f>HYPERLINK("http://ts.21cn.com/tousu/show/id/1330738","钱包易贷变相高利息贷后管理费提前扣贷款逾期一天爆通讯录还不允许提前还款")</f>
        <v>钱包易贷变相高利息贷后管理费提前扣贷款逾期一天爆通讯录还不允许提前还款</v>
      </c>
      <c r="C329" s="2" t="s">
        <v>9</v>
      </c>
      <c r="D329" s="2" t="s">
        <v>10</v>
      </c>
      <c r="E329" s="2" t="str">
        <f>HYPERLINK("http://ts.21cn.com/tousu/show/id/1330738","http://ts.21cn.com/tousu/show/id/1330738")</f>
        <v>http://ts.21cn.com/tousu/show/id/1330738</v>
      </c>
      <c r="F329" s="2" t="s">
        <v>11</v>
      </c>
      <c r="G329" s="2" t="s">
        <v>43512</v>
      </c>
      <c r="H329" s="2" t="s">
        <v>43513</v>
      </c>
    </row>
    <row r="330" spans="1:8" ht="25.05" customHeight="1" x14ac:dyDescent="0.25">
      <c r="A330" s="2" t="s">
        <v>8</v>
      </c>
      <c r="B330" s="2" t="str">
        <f>HYPERLINK("http://ts.21cn.com/tousu/show/id/1330739","威力贷高利贷")</f>
        <v>威力贷高利贷</v>
      </c>
      <c r="C330" s="2" t="s">
        <v>9</v>
      </c>
      <c r="D330" s="2" t="s">
        <v>10</v>
      </c>
      <c r="E330" s="2" t="str">
        <f>HYPERLINK("http://ts.21cn.com/tousu/show/id/1330739","http://ts.21cn.com/tousu/show/id/1330739")</f>
        <v>http://ts.21cn.com/tousu/show/id/1330739</v>
      </c>
      <c r="F330" s="2" t="s">
        <v>11</v>
      </c>
      <c r="G330" s="2" t="s">
        <v>43510</v>
      </c>
      <c r="H330" s="2" t="s">
        <v>43511</v>
      </c>
    </row>
    <row r="331" spans="1:8" ht="25.05" customHeight="1" x14ac:dyDescent="0.25">
      <c r="A331" s="2" t="s">
        <v>8</v>
      </c>
      <c r="B331" s="2" t="str">
        <f>HYPERLINK("http://ts.21cn.com/tousu/show/id/1330740","微信支付被永久冻结零钱无法提现")</f>
        <v>微信支付被永久冻结零钱无法提现</v>
      </c>
      <c r="C331" s="2" t="s">
        <v>9</v>
      </c>
      <c r="D331" s="2" t="s">
        <v>10</v>
      </c>
      <c r="E331" s="2" t="str">
        <f>HYPERLINK("http://ts.21cn.com/tousu/show/id/1330740","http://ts.21cn.com/tousu/show/id/1330740")</f>
        <v>http://ts.21cn.com/tousu/show/id/1330740</v>
      </c>
      <c r="F331" s="2" t="s">
        <v>11</v>
      </c>
      <c r="G331" s="2" t="s">
        <v>43508</v>
      </c>
      <c r="H331" s="2" t="s">
        <v>43509</v>
      </c>
    </row>
    <row r="332" spans="1:8" ht="25.05" customHeight="1" x14ac:dyDescent="0.25">
      <c r="A332" s="2" t="s">
        <v>8</v>
      </c>
      <c r="B332" s="2" t="str">
        <f>HYPERLINK("http://ts.21cn.com/tousu/show/id/1330743","融360贷款平台利息让人发指")</f>
        <v>融360贷款平台利息让人发指</v>
      </c>
      <c r="C332" s="2" t="s">
        <v>9</v>
      </c>
      <c r="D332" s="2" t="s">
        <v>10</v>
      </c>
      <c r="E332" s="2" t="str">
        <f>HYPERLINK("http://ts.21cn.com/tousu/show/id/1330743","http://ts.21cn.com/tousu/show/id/1330743")</f>
        <v>http://ts.21cn.com/tousu/show/id/1330743</v>
      </c>
      <c r="F332" s="2" t="s">
        <v>11</v>
      </c>
      <c r="G332" s="2" t="s">
        <v>43506</v>
      </c>
      <c r="H332" s="2" t="s">
        <v>43507</v>
      </c>
    </row>
    <row r="333" spans="1:8" ht="25.05" customHeight="1" x14ac:dyDescent="0.25">
      <c r="A333" s="2" t="s">
        <v>8</v>
      </c>
      <c r="B333" s="2" t="str">
        <f>HYPERLINK("http://ts.21cn.com/tousu/show/id/1330742","钱站逾期费严重超出国家法定范围")</f>
        <v>钱站逾期费严重超出国家法定范围</v>
      </c>
      <c r="C333" s="2" t="s">
        <v>34</v>
      </c>
      <c r="D333" s="2" t="s">
        <v>10</v>
      </c>
      <c r="E333" s="2" t="str">
        <f>HYPERLINK("http://ts.21cn.com/tousu/show/id/1330742","http://ts.21cn.com/tousu/show/id/1330742")</f>
        <v>http://ts.21cn.com/tousu/show/id/1330742</v>
      </c>
      <c r="F333" s="2" t="s">
        <v>11</v>
      </c>
      <c r="G333" s="2" t="s">
        <v>43504</v>
      </c>
      <c r="H333" s="2" t="s">
        <v>43505</v>
      </c>
    </row>
    <row r="334" spans="1:8" ht="25.05" customHeight="1" x14ac:dyDescent="0.25">
      <c r="A334" s="2" t="s">
        <v>8</v>
      </c>
      <c r="B334" s="2" t="str">
        <f>HYPERLINK("http://ts.21cn.com/tousu/show/id/1330744","中国移动宽带国庆阅兵没法看电视")</f>
        <v>中国移动宽带国庆阅兵没法看电视</v>
      </c>
      <c r="C334" s="2" t="s">
        <v>9</v>
      </c>
      <c r="D334" s="2" t="s">
        <v>10</v>
      </c>
      <c r="E334" s="2" t="str">
        <f>HYPERLINK("http://ts.21cn.com/tousu/show/id/1330744","http://ts.21cn.com/tousu/show/id/1330744")</f>
        <v>http://ts.21cn.com/tousu/show/id/1330744</v>
      </c>
      <c r="F334" s="2" t="s">
        <v>11</v>
      </c>
      <c r="G334" s="2" t="s">
        <v>43502</v>
      </c>
      <c r="H334" s="2" t="s">
        <v>43503</v>
      </c>
    </row>
    <row r="335" spans="1:8" ht="25.05" customHeight="1" x14ac:dyDescent="0.25">
      <c r="A335" s="2" t="s">
        <v>8</v>
      </c>
      <c r="B335" s="2" t="str">
        <f>HYPERLINK("http://ts.21cn.com/tousu/show/id/1330745","信用管家里面钱咖收取高额利息")</f>
        <v>信用管家里面钱咖收取高额利息</v>
      </c>
      <c r="C335" s="2" t="s">
        <v>9</v>
      </c>
      <c r="D335" s="2" t="s">
        <v>10</v>
      </c>
      <c r="E335" s="2" t="str">
        <f>HYPERLINK("http://ts.21cn.com/tousu/show/id/1330745","http://ts.21cn.com/tousu/show/id/1330745")</f>
        <v>http://ts.21cn.com/tousu/show/id/1330745</v>
      </c>
      <c r="F335" s="2" t="s">
        <v>11</v>
      </c>
      <c r="G335" s="2" t="s">
        <v>43500</v>
      </c>
      <c r="H335" s="2" t="s">
        <v>43501</v>
      </c>
    </row>
    <row r="336" spans="1:8" ht="25.05" customHeight="1" x14ac:dyDescent="0.25">
      <c r="A336" s="2" t="s">
        <v>8</v>
      </c>
      <c r="B336" s="2" t="str">
        <f>HYPERLINK("http://ts.21cn.com/tousu/show/id/1330746","一直打电话")</f>
        <v>一直打电话</v>
      </c>
      <c r="C336" s="2" t="s">
        <v>9</v>
      </c>
      <c r="D336" s="2" t="s">
        <v>10</v>
      </c>
      <c r="E336" s="2" t="str">
        <f>HYPERLINK("http://ts.21cn.com/tousu/show/id/1330746","http://ts.21cn.com/tousu/show/id/1330746")</f>
        <v>http://ts.21cn.com/tousu/show/id/1330746</v>
      </c>
      <c r="F336" s="2" t="s">
        <v>11</v>
      </c>
      <c r="G336" s="2" t="s">
        <v>43498</v>
      </c>
      <c r="H336" s="2" t="s">
        <v>43499</v>
      </c>
    </row>
    <row r="337" spans="1:8" ht="25.05" customHeight="1" x14ac:dyDescent="0.25">
      <c r="A337" s="2" t="s">
        <v>8</v>
      </c>
      <c r="B337" s="2" t="str">
        <f>HYPERLINK("http://ts.21cn.com/tousu/show/id/1330748","凡普金科旗下月光侠APP暴力催收")</f>
        <v>凡普金科旗下月光侠APP暴力催收</v>
      </c>
      <c r="C337" s="2" t="s">
        <v>9</v>
      </c>
      <c r="D337" s="2" t="s">
        <v>10</v>
      </c>
      <c r="E337" s="2" t="str">
        <f>HYPERLINK("http://ts.21cn.com/tousu/show/id/1330748","http://ts.21cn.com/tousu/show/id/1330748")</f>
        <v>http://ts.21cn.com/tousu/show/id/1330748</v>
      </c>
      <c r="F337" s="2" t="s">
        <v>11</v>
      </c>
      <c r="G337" s="2" t="s">
        <v>43496</v>
      </c>
      <c r="H337" s="2" t="s">
        <v>43497</v>
      </c>
    </row>
    <row r="338" spans="1:8" ht="25.05" customHeight="1" x14ac:dyDescent="0.25">
      <c r="A338" s="2" t="s">
        <v>8</v>
      </c>
      <c r="B338" s="2" t="str">
        <f>HYPERLINK("http://ts.21cn.com/tousu/show/id/1330747","本人投诉不予理睬，请速度解决问题")</f>
        <v>本人投诉不予理睬，请速度解决问题</v>
      </c>
      <c r="C338" s="2" t="s">
        <v>9</v>
      </c>
      <c r="D338" s="2" t="s">
        <v>10</v>
      </c>
      <c r="E338" s="2" t="str">
        <f>HYPERLINK("http://ts.21cn.com/tousu/show/id/1330747","http://ts.21cn.com/tousu/show/id/1330747")</f>
        <v>http://ts.21cn.com/tousu/show/id/1330747</v>
      </c>
      <c r="F338" s="2" t="s">
        <v>11</v>
      </c>
      <c r="G338" s="2" t="s">
        <v>43494</v>
      </c>
      <c r="H338" s="2" t="s">
        <v>43495</v>
      </c>
    </row>
    <row r="339" spans="1:8" ht="25.05" customHeight="1" x14ac:dyDescent="0.25">
      <c r="A339" s="2" t="s">
        <v>8</v>
      </c>
      <c r="B339" s="2" t="str">
        <f>HYPERLINK("http://ts.21cn.com/tousu/show/id/1330749","金鸡下蛋高利贷")</f>
        <v>金鸡下蛋高利贷</v>
      </c>
      <c r="C339" s="2" t="s">
        <v>9</v>
      </c>
      <c r="D339" s="2" t="s">
        <v>10</v>
      </c>
      <c r="E339" s="2" t="str">
        <f>HYPERLINK("http://ts.21cn.com/tousu/show/id/1330749","http://ts.21cn.com/tousu/show/id/1330749")</f>
        <v>http://ts.21cn.com/tousu/show/id/1330749</v>
      </c>
      <c r="F339" s="2" t="s">
        <v>11</v>
      </c>
      <c r="G339" s="2" t="s">
        <v>43492</v>
      </c>
      <c r="H339" s="2" t="s">
        <v>43493</v>
      </c>
    </row>
    <row r="340" spans="1:8" ht="25.05" customHeight="1" x14ac:dyDescent="0.25">
      <c r="A340" s="2" t="s">
        <v>8</v>
      </c>
      <c r="B340" s="2" t="str">
        <f>HYPERLINK("http://ts.21cn.com/tousu/show/id/1330750","被中信百信银行无故扣款")</f>
        <v>被中信百信银行无故扣款</v>
      </c>
      <c r="C340" s="2" t="s">
        <v>34</v>
      </c>
      <c r="D340" s="2" t="s">
        <v>10</v>
      </c>
      <c r="E340" s="2" t="str">
        <f>HYPERLINK("http://ts.21cn.com/tousu/show/id/1330750","http://ts.21cn.com/tousu/show/id/1330750")</f>
        <v>http://ts.21cn.com/tousu/show/id/1330750</v>
      </c>
      <c r="F340" s="2" t="s">
        <v>11</v>
      </c>
      <c r="G340" s="2" t="s">
        <v>43490</v>
      </c>
      <c r="H340" s="2" t="s">
        <v>43491</v>
      </c>
    </row>
    <row r="341" spans="1:8" ht="25.05" customHeight="1" x14ac:dyDescent="0.25">
      <c r="A341" s="2" t="s">
        <v>8</v>
      </c>
      <c r="B341" s="2" t="str">
        <f>HYPERLINK("http://ts.21cn.com/tousu/show/id/1330751","银联扫码转账公司违规给博彩平台提供支付通道")</f>
        <v>银联扫码转账公司违规给博彩平台提供支付通道</v>
      </c>
      <c r="C341" s="2" t="s">
        <v>9</v>
      </c>
      <c r="D341" s="2" t="s">
        <v>10</v>
      </c>
      <c r="E341" s="2" t="str">
        <f>HYPERLINK("http://ts.21cn.com/tousu/show/id/1330751","http://ts.21cn.com/tousu/show/id/1330751")</f>
        <v>http://ts.21cn.com/tousu/show/id/1330751</v>
      </c>
      <c r="F341" s="2" t="s">
        <v>11</v>
      </c>
      <c r="G341" s="2" t="s">
        <v>43488</v>
      </c>
      <c r="H341" s="2" t="s">
        <v>43489</v>
      </c>
    </row>
    <row r="342" spans="1:8" ht="25.05" customHeight="1" x14ac:dyDescent="0.25">
      <c r="A342" s="2" t="s">
        <v>8</v>
      </c>
      <c r="B342" s="2" t="str">
        <f>HYPERLINK("http://ts.21cn.com/tousu/show/id/1330752","苏宁易购商品不发货赔付不到账。")</f>
        <v>苏宁易购商品不发货赔付不到账。</v>
      </c>
      <c r="C342" s="2" t="s">
        <v>9</v>
      </c>
      <c r="D342" s="2" t="s">
        <v>10</v>
      </c>
      <c r="E342" s="2" t="str">
        <f>HYPERLINK("http://ts.21cn.com/tousu/show/id/1330752","http://ts.21cn.com/tousu/show/id/1330752")</f>
        <v>http://ts.21cn.com/tousu/show/id/1330752</v>
      </c>
      <c r="F342" s="2" t="s">
        <v>11</v>
      </c>
      <c r="G342" s="2" t="s">
        <v>43486</v>
      </c>
      <c r="H342" s="2" t="s">
        <v>43487</v>
      </c>
    </row>
    <row r="343" spans="1:8" ht="25.05" customHeight="1" x14ac:dyDescent="0.25">
      <c r="A343" s="2" t="s">
        <v>8</v>
      </c>
      <c r="B343" s="2" t="str">
        <f>HYPERLINK("http://ts.21cn.com/tousu/show/id/1330753","钱包易贷，高利贷.砍头息")</f>
        <v>钱包易贷，高利贷.砍头息</v>
      </c>
      <c r="C343" s="2" t="s">
        <v>9</v>
      </c>
      <c r="D343" s="2" t="s">
        <v>10</v>
      </c>
      <c r="E343" s="2" t="str">
        <f>HYPERLINK("http://ts.21cn.com/tousu/show/id/1330753","http://ts.21cn.com/tousu/show/id/1330753")</f>
        <v>http://ts.21cn.com/tousu/show/id/1330753</v>
      </c>
      <c r="F343" s="2" t="s">
        <v>11</v>
      </c>
      <c r="G343" s="2" t="s">
        <v>43484</v>
      </c>
      <c r="H343" s="2" t="s">
        <v>43485</v>
      </c>
    </row>
    <row r="344" spans="1:8" ht="25.05" customHeight="1" x14ac:dyDescent="0.25">
      <c r="A344" s="2" t="s">
        <v>8</v>
      </c>
      <c r="B344" s="2" t="str">
        <f>HYPERLINK("http://ts.21cn.com/tousu/show/id/1330754","超过法定利息,请求协商减免")</f>
        <v>超过法定利息,请求协商减免</v>
      </c>
      <c r="C344" s="2" t="s">
        <v>9</v>
      </c>
      <c r="D344" s="2" t="s">
        <v>10</v>
      </c>
      <c r="E344" s="2" t="str">
        <f>HYPERLINK("http://ts.21cn.com/tousu/show/id/1330754","http://ts.21cn.com/tousu/show/id/1330754")</f>
        <v>http://ts.21cn.com/tousu/show/id/1330754</v>
      </c>
      <c r="F344" s="2" t="s">
        <v>11</v>
      </c>
      <c r="G344" s="2" t="s">
        <v>43482</v>
      </c>
      <c r="H344" s="2" t="s">
        <v>43483</v>
      </c>
    </row>
    <row r="345" spans="1:8" ht="25.05" customHeight="1" x14ac:dyDescent="0.25">
      <c r="A345" s="2" t="s">
        <v>8</v>
      </c>
      <c r="B345" s="2" t="str">
        <f>HYPERLINK("http://ts.21cn.com/tousu/show/id/1330757","贷上钱私自爆通讯录，侵犯我个人隐私")</f>
        <v>贷上钱私自爆通讯录，侵犯我个人隐私</v>
      </c>
      <c r="C345" s="2" t="s">
        <v>9</v>
      </c>
      <c r="D345" s="2" t="s">
        <v>10</v>
      </c>
      <c r="E345" s="2" t="str">
        <f>HYPERLINK("http://ts.21cn.com/tousu/show/id/1330757","http://ts.21cn.com/tousu/show/id/1330757")</f>
        <v>http://ts.21cn.com/tousu/show/id/1330757</v>
      </c>
      <c r="F345" s="2" t="s">
        <v>11</v>
      </c>
      <c r="G345" s="2" t="s">
        <v>43480</v>
      </c>
      <c r="H345" s="2" t="s">
        <v>43481</v>
      </c>
    </row>
    <row r="346" spans="1:8" ht="25.05" customHeight="1" x14ac:dyDescent="0.25">
      <c r="A346" s="2" t="s">
        <v>8</v>
      </c>
      <c r="B346" s="2" t="str">
        <f>HYPERLINK("http://ts.21cn.com/tousu/show/id/1330755","轻周转芒果筹无法还款造成逾期")</f>
        <v>轻周转芒果筹无法还款造成逾期</v>
      </c>
      <c r="C346" s="2" t="s">
        <v>9</v>
      </c>
      <c r="D346" s="2" t="s">
        <v>10</v>
      </c>
      <c r="E346" s="2" t="str">
        <f>HYPERLINK("http://ts.21cn.com/tousu/show/id/1330755","http://ts.21cn.com/tousu/show/id/1330755")</f>
        <v>http://ts.21cn.com/tousu/show/id/1330755</v>
      </c>
      <c r="F346" s="2" t="s">
        <v>11</v>
      </c>
      <c r="G346" s="2" t="s">
        <v>43478</v>
      </c>
      <c r="H346" s="2" t="s">
        <v>43479</v>
      </c>
    </row>
    <row r="347" spans="1:8" ht="25.05" customHeight="1" x14ac:dyDescent="0.25">
      <c r="A347" s="2" t="s">
        <v>8</v>
      </c>
      <c r="B347" s="2" t="str">
        <f>HYPERLINK("http://ts.21cn.com/tousu/show/id/1330725","投诉汇潮支付幕后高利贷公司、支付宝协助高利贷公司收款")</f>
        <v>投诉汇潮支付幕后高利贷公司、支付宝协助高利贷公司收款</v>
      </c>
      <c r="C347" s="2" t="s">
        <v>9</v>
      </c>
      <c r="D347" s="2" t="s">
        <v>10</v>
      </c>
      <c r="E347" s="2" t="str">
        <f>HYPERLINK("http://ts.21cn.com/tousu/show/id/1330725","http://ts.21cn.com/tousu/show/id/1330725")</f>
        <v>http://ts.21cn.com/tousu/show/id/1330725</v>
      </c>
      <c r="F347" s="2" t="s">
        <v>11</v>
      </c>
      <c r="G347" s="2" t="s">
        <v>43476</v>
      </c>
      <c r="H347" s="2" t="s">
        <v>43477</v>
      </c>
    </row>
    <row r="348" spans="1:8" ht="25.05" customHeight="1" x14ac:dyDescent="0.25">
      <c r="A348" s="2" t="s">
        <v>8</v>
      </c>
      <c r="B348" s="2" t="str">
        <f>HYPERLINK("http://ts.21cn.com/tousu/show/id/1330759","被网贷催收")</f>
        <v>被网贷催收</v>
      </c>
      <c r="C348" s="2" t="s">
        <v>9</v>
      </c>
      <c r="D348" s="2" t="s">
        <v>10</v>
      </c>
      <c r="E348" s="2" t="str">
        <f>HYPERLINK("http://ts.21cn.com/tousu/show/id/1330759","http://ts.21cn.com/tousu/show/id/1330759")</f>
        <v>http://ts.21cn.com/tousu/show/id/1330759</v>
      </c>
      <c r="F348" s="2" t="s">
        <v>11</v>
      </c>
      <c r="G348" s="2" t="s">
        <v>43474</v>
      </c>
      <c r="H348" s="2" t="s">
        <v>43475</v>
      </c>
    </row>
    <row r="349" spans="1:8" ht="25.05" customHeight="1" x14ac:dyDescent="0.25">
      <c r="A349" s="2" t="s">
        <v>8</v>
      </c>
      <c r="B349" s="2" t="str">
        <f>HYPERLINK("http://ts.21cn.com/tousu/show/id/1329738","广州阁绮五金店公司违规给博彩平台提供支付通道")</f>
        <v>广州阁绮五金店公司违规给博彩平台提供支付通道</v>
      </c>
      <c r="C349" s="2" t="s">
        <v>9</v>
      </c>
      <c r="D349" s="2" t="s">
        <v>10</v>
      </c>
      <c r="E349" s="2" t="str">
        <f>HYPERLINK("http://ts.21cn.com/tousu/show/id/1329738","http://ts.21cn.com/tousu/show/id/1329738")</f>
        <v>http://ts.21cn.com/tousu/show/id/1329738</v>
      </c>
      <c r="F349" s="2" t="s">
        <v>11</v>
      </c>
      <c r="G349" s="2" t="s">
        <v>43472</v>
      </c>
      <c r="H349" s="2" t="s">
        <v>43473</v>
      </c>
    </row>
    <row r="350" spans="1:8" ht="25.05" customHeight="1" x14ac:dyDescent="0.25">
      <c r="A350" s="2" t="s">
        <v>8</v>
      </c>
      <c r="B350" s="2" t="str">
        <f>HYPERLINK("http://ts.21cn.com/tousu/show/id/1330760","天翼电子商务有限公司乱扣我工商银行账号钱")</f>
        <v>天翼电子商务有限公司乱扣我工商银行账号钱</v>
      </c>
      <c r="C350" s="2" t="s">
        <v>9</v>
      </c>
      <c r="D350" s="2" t="s">
        <v>10</v>
      </c>
      <c r="E350" s="2" t="str">
        <f>HYPERLINK("http://ts.21cn.com/tousu/show/id/1330760","http://ts.21cn.com/tousu/show/id/1330760")</f>
        <v>http://ts.21cn.com/tousu/show/id/1330760</v>
      </c>
      <c r="F350" s="2" t="s">
        <v>11</v>
      </c>
      <c r="G350" s="2" t="s">
        <v>43470</v>
      </c>
      <c r="H350" s="2" t="s">
        <v>43471</v>
      </c>
    </row>
    <row r="351" spans="1:8" ht="25.05" customHeight="1" x14ac:dyDescent="0.25">
      <c r="A351" s="2" t="s">
        <v>8</v>
      </c>
      <c r="B351" s="2" t="str">
        <f>HYPERLINK("http://ts.21cn.com/tousu/show/id/1330761","微信解冻")</f>
        <v>微信解冻</v>
      </c>
      <c r="C351" s="2" t="s">
        <v>9</v>
      </c>
      <c r="D351" s="2" t="s">
        <v>10</v>
      </c>
      <c r="E351" s="2" t="str">
        <f>HYPERLINK("http://ts.21cn.com/tousu/show/id/1330761","http://ts.21cn.com/tousu/show/id/1330761")</f>
        <v>http://ts.21cn.com/tousu/show/id/1330761</v>
      </c>
      <c r="F351" s="2" t="s">
        <v>11</v>
      </c>
      <c r="G351" s="2" t="s">
        <v>43468</v>
      </c>
      <c r="H351" s="2" t="s">
        <v>43469</v>
      </c>
    </row>
    <row r="352" spans="1:8" ht="25.05" customHeight="1" x14ac:dyDescent="0.25">
      <c r="A352" s="2" t="s">
        <v>8</v>
      </c>
      <c r="B352" s="2" t="str">
        <f>HYPERLINK("http://ts.21cn.com/tousu/show/id/1330756","闪电借款收取高额前期费用，砍头，催收骚扰")</f>
        <v>闪电借款收取高额前期费用，砍头，催收骚扰</v>
      </c>
      <c r="C352" s="2" t="s">
        <v>9</v>
      </c>
      <c r="D352" s="2" t="s">
        <v>10</v>
      </c>
      <c r="E352" s="2" t="str">
        <f>HYPERLINK("http://ts.21cn.com/tousu/show/id/1330756","http://ts.21cn.com/tousu/show/id/1330756")</f>
        <v>http://ts.21cn.com/tousu/show/id/1330756</v>
      </c>
      <c r="F352" s="2" t="s">
        <v>11</v>
      </c>
      <c r="G352" s="2" t="s">
        <v>43466</v>
      </c>
      <c r="H352" s="2" t="s">
        <v>43467</v>
      </c>
    </row>
    <row r="353" spans="1:8" ht="25.05" customHeight="1" x14ac:dyDescent="0.25">
      <c r="A353" s="2" t="s">
        <v>8</v>
      </c>
      <c r="B353" s="2" t="str">
        <f>HYPERLINK("http://ts.21cn.com/tousu/show/id/1330765","325棋牌违规")</f>
        <v>325棋牌违规</v>
      </c>
      <c r="C353" s="2" t="s">
        <v>9</v>
      </c>
      <c r="D353" s="2" t="s">
        <v>10</v>
      </c>
      <c r="E353" s="2" t="str">
        <f>HYPERLINK("http://ts.21cn.com/tousu/show/id/1330765","http://ts.21cn.com/tousu/show/id/1330765")</f>
        <v>http://ts.21cn.com/tousu/show/id/1330765</v>
      </c>
      <c r="F353" s="2" t="s">
        <v>11</v>
      </c>
      <c r="G353" s="2" t="s">
        <v>43464</v>
      </c>
      <c r="H353" s="2" t="s">
        <v>43465</v>
      </c>
    </row>
    <row r="354" spans="1:8" ht="25.05" customHeight="1" x14ac:dyDescent="0.25">
      <c r="A354" s="2" t="s">
        <v>8</v>
      </c>
      <c r="B354" s="2" t="str">
        <f>HYPERLINK("http://ts.21cn.com/tousu/show/id/1330764","沃易贷易借暴力催收态度恶劣")</f>
        <v>沃易贷易借暴力催收态度恶劣</v>
      </c>
      <c r="C354" s="2" t="s">
        <v>9</v>
      </c>
      <c r="D354" s="2" t="s">
        <v>10</v>
      </c>
      <c r="E354" s="2" t="str">
        <f>HYPERLINK("http://ts.21cn.com/tousu/show/id/1330764","http://ts.21cn.com/tousu/show/id/1330764")</f>
        <v>http://ts.21cn.com/tousu/show/id/1330764</v>
      </c>
      <c r="F354" s="2" t="s">
        <v>11</v>
      </c>
      <c r="G354" s="2" t="s">
        <v>43461</v>
      </c>
      <c r="H354" s="2" t="s">
        <v>43462</v>
      </c>
    </row>
    <row r="355" spans="1:8" ht="25.05" customHeight="1" x14ac:dyDescent="0.25">
      <c r="A355" s="2" t="s">
        <v>8</v>
      </c>
      <c r="B355" s="2" t="str">
        <f>HYPERLINK("http://ts.21cn.com/tousu/show/id/1330763","贷上钱暴力催收恐吓威胁爆通讯录")</f>
        <v>贷上钱暴力催收恐吓威胁爆通讯录</v>
      </c>
      <c r="C355" s="2" t="s">
        <v>9</v>
      </c>
      <c r="D355" s="2" t="s">
        <v>10</v>
      </c>
      <c r="E355" s="2" t="str">
        <f>HYPERLINK("http://ts.21cn.com/tousu/show/id/1330763","http://ts.21cn.com/tousu/show/id/1330763")</f>
        <v>http://ts.21cn.com/tousu/show/id/1330763</v>
      </c>
      <c r="F355" s="2" t="s">
        <v>11</v>
      </c>
      <c r="G355" s="2" t="s">
        <v>43461</v>
      </c>
      <c r="H355" s="2" t="s">
        <v>43463</v>
      </c>
    </row>
    <row r="356" spans="1:8" ht="25.05" customHeight="1" x14ac:dyDescent="0.25">
      <c r="A356" s="2" t="s">
        <v>8</v>
      </c>
      <c r="B356" s="2" t="str">
        <f>HYPERLINK("http://ts.21cn.com/tousu/show/id/1330766","贷上钱虚假承诺")</f>
        <v>贷上钱虚假承诺</v>
      </c>
      <c r="C356" s="2" t="s">
        <v>9</v>
      </c>
      <c r="D356" s="2" t="s">
        <v>10</v>
      </c>
      <c r="E356" s="2" t="str">
        <f>HYPERLINK("http://ts.21cn.com/tousu/show/id/1330766","http://ts.21cn.com/tousu/show/id/1330766")</f>
        <v>http://ts.21cn.com/tousu/show/id/1330766</v>
      </c>
      <c r="F356" s="2" t="s">
        <v>11</v>
      </c>
      <c r="G356" s="2" t="s">
        <v>43459</v>
      </c>
      <c r="H356" s="2" t="s">
        <v>43460</v>
      </c>
    </row>
    <row r="357" spans="1:8" ht="25.05" customHeight="1" x14ac:dyDescent="0.25">
      <c r="A357" s="2" t="s">
        <v>8</v>
      </c>
      <c r="B357" s="2" t="str">
        <f>HYPERLINK("http://ts.21cn.com/tousu/show/id/1330767","名校贷非法侵占拒不退咨询费")</f>
        <v>名校贷非法侵占拒不退咨询费</v>
      </c>
      <c r="C357" s="2" t="s">
        <v>9</v>
      </c>
      <c r="D357" s="2" t="s">
        <v>10</v>
      </c>
      <c r="E357" s="2" t="str">
        <f>HYPERLINK("http://ts.21cn.com/tousu/show/id/1330767","http://ts.21cn.com/tousu/show/id/1330767")</f>
        <v>http://ts.21cn.com/tousu/show/id/1330767</v>
      </c>
      <c r="F357" s="2" t="s">
        <v>11</v>
      </c>
      <c r="G357" s="2" t="s">
        <v>43457</v>
      </c>
      <c r="H357" s="2" t="s">
        <v>43458</v>
      </c>
    </row>
    <row r="358" spans="1:8" ht="25.05" customHeight="1" x14ac:dyDescent="0.25">
      <c r="A358" s="2" t="s">
        <v>8</v>
      </c>
      <c r="B358" s="2" t="str">
        <f>HYPERLINK("http://ts.21cn.com/tousu/show/id/1330774","套路网贷")</f>
        <v>套路网贷</v>
      </c>
      <c r="C358" s="2" t="s">
        <v>9</v>
      </c>
      <c r="D358" s="2" t="s">
        <v>10</v>
      </c>
      <c r="E358" s="2" t="str">
        <f>HYPERLINK("http://ts.21cn.com/tousu/show/id/1330774","http://ts.21cn.com/tousu/show/id/1330774")</f>
        <v>http://ts.21cn.com/tousu/show/id/1330774</v>
      </c>
      <c r="F358" s="2" t="s">
        <v>11</v>
      </c>
      <c r="G358" s="2" t="s">
        <v>43455</v>
      </c>
      <c r="H358" s="2" t="s">
        <v>43456</v>
      </c>
    </row>
    <row r="359" spans="1:8" ht="25.05" customHeight="1" x14ac:dyDescent="0.25">
      <c r="A359" s="2" t="s">
        <v>8</v>
      </c>
      <c r="B359" s="2" t="str">
        <f>HYPERLINK("http://ts.21cn.com/tousu/show/id/1330762","拼多多收款却没有订单")</f>
        <v>拼多多收款却没有订单</v>
      </c>
      <c r="C359" s="2" t="s">
        <v>34</v>
      </c>
      <c r="D359" s="2" t="s">
        <v>10</v>
      </c>
      <c r="E359" s="2" t="str">
        <f>HYPERLINK("http://ts.21cn.com/tousu/show/id/1330762","http://ts.21cn.com/tousu/show/id/1330762")</f>
        <v>http://ts.21cn.com/tousu/show/id/1330762</v>
      </c>
      <c r="F359" s="2" t="s">
        <v>11</v>
      </c>
      <c r="G359" s="2" t="s">
        <v>43453</v>
      </c>
      <c r="H359" s="2" t="s">
        <v>43454</v>
      </c>
    </row>
    <row r="360" spans="1:8" ht="25.05" customHeight="1" x14ac:dyDescent="0.25">
      <c r="A360" s="2" t="s">
        <v>8</v>
      </c>
      <c r="B360" s="2" t="str">
        <f>HYPERLINK("http://ts.21cn.com/tousu/show/id/1330769","好易借高利贷，暴力催收，砍头息，恐吓骚扰")</f>
        <v>好易借高利贷，暴力催收，砍头息，恐吓骚扰</v>
      </c>
      <c r="C360" s="2" t="s">
        <v>9</v>
      </c>
      <c r="D360" s="2" t="s">
        <v>10</v>
      </c>
      <c r="E360" s="2" t="str">
        <f>HYPERLINK("http://ts.21cn.com/tousu/show/id/1330769","http://ts.21cn.com/tousu/show/id/1330769")</f>
        <v>http://ts.21cn.com/tousu/show/id/1330769</v>
      </c>
      <c r="F360" s="2" t="s">
        <v>11</v>
      </c>
      <c r="G360" s="2" t="s">
        <v>43451</v>
      </c>
      <c r="H360" s="2" t="s">
        <v>43452</v>
      </c>
    </row>
    <row r="361" spans="1:8" ht="25.05" customHeight="1" x14ac:dyDescent="0.25">
      <c r="A361" s="2" t="s">
        <v>8</v>
      </c>
      <c r="B361" s="2" t="str">
        <f>HYPERLINK("http://ts.21cn.com/tousu/show/id/1330772","结清借款11天没有销账")</f>
        <v>结清借款11天没有销账</v>
      </c>
      <c r="C361" s="2" t="s">
        <v>9</v>
      </c>
      <c r="D361" s="2" t="s">
        <v>10</v>
      </c>
      <c r="E361" s="2" t="str">
        <f>HYPERLINK("http://ts.21cn.com/tousu/show/id/1330772","http://ts.21cn.com/tousu/show/id/1330772")</f>
        <v>http://ts.21cn.com/tousu/show/id/1330772</v>
      </c>
      <c r="F361" s="2" t="s">
        <v>11</v>
      </c>
      <c r="G361" s="2" t="s">
        <v>43449</v>
      </c>
      <c r="H361" s="2" t="s">
        <v>43450</v>
      </c>
    </row>
    <row r="362" spans="1:8" ht="25.05" customHeight="1" x14ac:dyDescent="0.25">
      <c r="A362" s="2" t="s">
        <v>8</v>
      </c>
      <c r="B362" s="2" t="str">
        <f>HYPERLINK("http://ts.21cn.com/tousu/show/id/1330773","我已买到火车票，智行又给我抢到同天同次不同座位号的车票，关于退款手续费的问题")</f>
        <v>我已买到火车票，智行又给我抢到同天同次不同座位号的车票，关于退款手续费的问题</v>
      </c>
      <c r="C362" s="2" t="s">
        <v>9</v>
      </c>
      <c r="D362" s="2" t="s">
        <v>10</v>
      </c>
      <c r="E362" s="2" t="str">
        <f>HYPERLINK("http://ts.21cn.com/tousu/show/id/1330773","http://ts.21cn.com/tousu/show/id/1330773")</f>
        <v>http://ts.21cn.com/tousu/show/id/1330773</v>
      </c>
      <c r="F362" s="2" t="s">
        <v>11</v>
      </c>
      <c r="G362" s="2" t="s">
        <v>43447</v>
      </c>
      <c r="H362" s="2" t="s">
        <v>43448</v>
      </c>
    </row>
    <row r="363" spans="1:8" ht="25.05" customHeight="1" x14ac:dyDescent="0.25">
      <c r="A363" s="2" t="s">
        <v>8</v>
      </c>
      <c r="B363" s="2" t="str">
        <f>HYPERLINK("http://ts.21cn.com/tousu/show/id/1330775","立刻出行退押金")</f>
        <v>立刻出行退押金</v>
      </c>
      <c r="C363" s="2" t="s">
        <v>9</v>
      </c>
      <c r="D363" s="2" t="s">
        <v>10</v>
      </c>
      <c r="E363" s="2" t="str">
        <f>HYPERLINK("http://ts.21cn.com/tousu/show/id/1330775","http://ts.21cn.com/tousu/show/id/1330775")</f>
        <v>http://ts.21cn.com/tousu/show/id/1330775</v>
      </c>
      <c r="F363" s="2" t="s">
        <v>11</v>
      </c>
      <c r="G363" s="2" t="s">
        <v>43445</v>
      </c>
      <c r="H363" s="2" t="s">
        <v>43446</v>
      </c>
    </row>
    <row r="364" spans="1:8" ht="25.05" customHeight="1" x14ac:dyDescent="0.25">
      <c r="A364" s="2" t="s">
        <v>8</v>
      </c>
      <c r="B364" s="2" t="str">
        <f>HYPERLINK("http://ts.21cn.com/tousu/show/id/1330776","我来贷违规收取高额费用")</f>
        <v>我来贷违规收取高额费用</v>
      </c>
      <c r="C364" s="2" t="s">
        <v>9</v>
      </c>
      <c r="D364" s="2" t="s">
        <v>10</v>
      </c>
      <c r="E364" s="2" t="str">
        <f>HYPERLINK("http://ts.21cn.com/tousu/show/id/1330776","http://ts.21cn.com/tousu/show/id/1330776")</f>
        <v>http://ts.21cn.com/tousu/show/id/1330776</v>
      </c>
      <c r="F364" s="2" t="s">
        <v>11</v>
      </c>
      <c r="G364" s="2" t="s">
        <v>43443</v>
      </c>
      <c r="H364" s="2" t="s">
        <v>43444</v>
      </c>
    </row>
    <row r="365" spans="1:8" ht="25.05" customHeight="1" x14ac:dyDescent="0.25">
      <c r="A365" s="2" t="s">
        <v>8</v>
      </c>
      <c r="B365" s="2" t="str">
        <f>HYPERLINK("http://ts.21cn.com/tousu/show/id/1330777","恐吓")</f>
        <v>恐吓</v>
      </c>
      <c r="C365" s="2" t="s">
        <v>9</v>
      </c>
      <c r="D365" s="2" t="s">
        <v>10</v>
      </c>
      <c r="E365" s="2" t="str">
        <f>HYPERLINK("http://ts.21cn.com/tousu/show/id/1330777","http://ts.21cn.com/tousu/show/id/1330777")</f>
        <v>http://ts.21cn.com/tousu/show/id/1330777</v>
      </c>
      <c r="F365" s="2" t="s">
        <v>11</v>
      </c>
      <c r="G365" s="2" t="s">
        <v>43441</v>
      </c>
      <c r="H365" s="2" t="s">
        <v>43442</v>
      </c>
    </row>
    <row r="366" spans="1:8" ht="25.05" customHeight="1" x14ac:dyDescent="0.25">
      <c r="A366" s="2" t="s">
        <v>8</v>
      </c>
      <c r="B366" s="2" t="str">
        <f>HYPERLINK("http://ts.21cn.com/tousu/show/id/1330778","活力花催收手段恶劣")</f>
        <v>活力花催收手段恶劣</v>
      </c>
      <c r="C366" s="2" t="s">
        <v>9</v>
      </c>
      <c r="D366" s="2" t="s">
        <v>10</v>
      </c>
      <c r="E366" s="2" t="str">
        <f>HYPERLINK("http://ts.21cn.com/tousu/show/id/1330778","http://ts.21cn.com/tousu/show/id/1330778")</f>
        <v>http://ts.21cn.com/tousu/show/id/1330778</v>
      </c>
      <c r="F366" s="2" t="s">
        <v>11</v>
      </c>
      <c r="G366" s="2" t="s">
        <v>43439</v>
      </c>
      <c r="H366" s="2" t="s">
        <v>43440</v>
      </c>
    </row>
    <row r="367" spans="1:8" ht="25.05" customHeight="1" x14ac:dyDescent="0.25">
      <c r="A367" s="2" t="s">
        <v>8</v>
      </c>
      <c r="B367" s="2" t="str">
        <f>HYPERLINK("http://ts.21cn.com/tousu/show/id/1326867","广州胜易服饰店违规给博彩平台提供支付通道")</f>
        <v>广州胜易服饰店违规给博彩平台提供支付通道</v>
      </c>
      <c r="C367" s="2" t="s">
        <v>9</v>
      </c>
      <c r="D367" s="2" t="s">
        <v>10</v>
      </c>
      <c r="E367" s="2" t="str">
        <f>HYPERLINK("http://ts.21cn.com/tousu/show/id/1326867","http://ts.21cn.com/tousu/show/id/1326867")</f>
        <v>http://ts.21cn.com/tousu/show/id/1326867</v>
      </c>
      <c r="F367" s="2" t="s">
        <v>11</v>
      </c>
      <c r="G367" s="2" t="s">
        <v>43437</v>
      </c>
      <c r="H367" s="2" t="s">
        <v>43438</v>
      </c>
    </row>
    <row r="368" spans="1:8" ht="25.05" customHeight="1" x14ac:dyDescent="0.25">
      <c r="A368" s="2" t="s">
        <v>8</v>
      </c>
      <c r="B368" s="2" t="str">
        <f>HYPERLINK("http://ts.21cn.com/tousu/show/id/1330780","高利贷，砍头息")</f>
        <v>高利贷，砍头息</v>
      </c>
      <c r="C368" s="2" t="s">
        <v>9</v>
      </c>
      <c r="D368" s="2" t="s">
        <v>10</v>
      </c>
      <c r="E368" s="2" t="str">
        <f>HYPERLINK("http://ts.21cn.com/tousu/show/id/1330780","http://ts.21cn.com/tousu/show/id/1330780")</f>
        <v>http://ts.21cn.com/tousu/show/id/1330780</v>
      </c>
      <c r="F368" s="2" t="s">
        <v>11</v>
      </c>
      <c r="G368" s="2" t="s">
        <v>43435</v>
      </c>
      <c r="H368" s="2" t="s">
        <v>43436</v>
      </c>
    </row>
    <row r="369" spans="1:8" ht="25.05" customHeight="1" x14ac:dyDescent="0.25">
      <c r="A369" s="2" t="s">
        <v>8</v>
      </c>
      <c r="B369" s="2" t="str">
        <f>HYPERLINK("http://ts.21cn.com/tousu/show/id/1330781","易宝支付为714提供支付平台")</f>
        <v>易宝支付为714提供支付平台</v>
      </c>
      <c r="C369" s="2" t="s">
        <v>9</v>
      </c>
      <c r="D369" s="2" t="s">
        <v>10</v>
      </c>
      <c r="E369" s="2" t="str">
        <f>HYPERLINK("http://ts.21cn.com/tousu/show/id/1330781","http://ts.21cn.com/tousu/show/id/1330781")</f>
        <v>http://ts.21cn.com/tousu/show/id/1330781</v>
      </c>
      <c r="F369" s="2" t="s">
        <v>11</v>
      </c>
      <c r="G369" s="2" t="s">
        <v>43433</v>
      </c>
      <c r="H369" s="2" t="s">
        <v>43434</v>
      </c>
    </row>
    <row r="370" spans="1:8" ht="25.05" customHeight="1" x14ac:dyDescent="0.25">
      <c r="A370" s="2" t="s">
        <v>8</v>
      </c>
      <c r="B370" s="2" t="str">
        <f>HYPERLINK("http://ts.21cn.com/tousu/show/id/1330782","牛人有品高利贷暴力催收")</f>
        <v>牛人有品高利贷暴力催收</v>
      </c>
      <c r="C370" s="2" t="s">
        <v>9</v>
      </c>
      <c r="D370" s="2" t="s">
        <v>10</v>
      </c>
      <c r="E370" s="2" t="str">
        <f>HYPERLINK("http://ts.21cn.com/tousu/show/id/1330782","http://ts.21cn.com/tousu/show/id/1330782")</f>
        <v>http://ts.21cn.com/tousu/show/id/1330782</v>
      </c>
      <c r="F370" s="2" t="s">
        <v>11</v>
      </c>
      <c r="G370" s="2" t="s">
        <v>43431</v>
      </c>
      <c r="H370" s="2" t="s">
        <v>43432</v>
      </c>
    </row>
    <row r="371" spans="1:8" ht="25.05" customHeight="1" x14ac:dyDescent="0.25">
      <c r="A371" s="2" t="s">
        <v>8</v>
      </c>
      <c r="B371" s="2" t="str">
        <f>HYPERLINK("http://ts.21cn.com/tousu/show/id/1325722","超级马力贷高额砍头息高利贷")</f>
        <v>超级马力贷高额砍头息高利贷</v>
      </c>
      <c r="C371" s="2" t="s">
        <v>9</v>
      </c>
      <c r="D371" s="2" t="s">
        <v>10</v>
      </c>
      <c r="E371" s="2" t="str">
        <f>HYPERLINK("http://ts.21cn.com/tousu/show/id/1325722","http://ts.21cn.com/tousu/show/id/1325722")</f>
        <v>http://ts.21cn.com/tousu/show/id/1325722</v>
      </c>
      <c r="F371" s="2" t="s">
        <v>11</v>
      </c>
      <c r="G371" s="2" t="s">
        <v>43429</v>
      </c>
      <c r="H371" s="2" t="s">
        <v>43430</v>
      </c>
    </row>
    <row r="372" spans="1:8" ht="25.05" customHeight="1" x14ac:dyDescent="0.25">
      <c r="A372" s="2" t="s">
        <v>8</v>
      </c>
      <c r="B372" s="2" t="str">
        <f>HYPERLINK("http://ts.21cn.com/tousu/show/id/1330783","立借月月借平台联合收取高额砍头息，暴力催收")</f>
        <v>立借月月借平台联合收取高额砍头息，暴力催收</v>
      </c>
      <c r="C372" s="2" t="s">
        <v>9</v>
      </c>
      <c r="D372" s="2" t="s">
        <v>10</v>
      </c>
      <c r="E372" s="2" t="str">
        <f>HYPERLINK("http://ts.21cn.com/tousu/show/id/1330783","http://ts.21cn.com/tousu/show/id/1330783")</f>
        <v>http://ts.21cn.com/tousu/show/id/1330783</v>
      </c>
      <c r="F372" s="2" t="s">
        <v>11</v>
      </c>
      <c r="G372" s="2" t="s">
        <v>43427</v>
      </c>
      <c r="H372" s="2" t="s">
        <v>43428</v>
      </c>
    </row>
    <row r="373" spans="1:8" ht="25.05" customHeight="1" x14ac:dyDescent="0.25">
      <c r="A373" s="2" t="s">
        <v>8</v>
      </c>
      <c r="B373" s="2" t="str">
        <f>HYPERLINK("http://ts.21cn.com/tousu/show/id/1330784","私自扣除我299评估费用")</f>
        <v>私自扣除我299评估费用</v>
      </c>
      <c r="C373" s="2" t="s">
        <v>9</v>
      </c>
      <c r="D373" s="2" t="s">
        <v>10</v>
      </c>
      <c r="E373" s="2" t="str">
        <f>HYPERLINK("http://ts.21cn.com/tousu/show/id/1330784","http://ts.21cn.com/tousu/show/id/1330784")</f>
        <v>http://ts.21cn.com/tousu/show/id/1330784</v>
      </c>
      <c r="F373" s="2" t="s">
        <v>11</v>
      </c>
      <c r="G373" s="2" t="s">
        <v>43425</v>
      </c>
      <c r="H373" s="2" t="s">
        <v>43426</v>
      </c>
    </row>
    <row r="374" spans="1:8" ht="25.05" customHeight="1" x14ac:dyDescent="0.25">
      <c r="A374" s="2" t="s">
        <v>8</v>
      </c>
      <c r="B374" s="2" t="str">
        <f>HYPERLINK("http://ts.21cn.com/tousu/show/id/1330785","闪电公积金金盈贷暴力催收")</f>
        <v>闪电公积金金盈贷暴力催收</v>
      </c>
      <c r="C374" s="2" t="s">
        <v>9</v>
      </c>
      <c r="D374" s="2" t="s">
        <v>10</v>
      </c>
      <c r="E374" s="2" t="str">
        <f>HYPERLINK("http://ts.21cn.com/tousu/show/id/1330785","http://ts.21cn.com/tousu/show/id/1330785")</f>
        <v>http://ts.21cn.com/tousu/show/id/1330785</v>
      </c>
      <c r="F374" s="2" t="s">
        <v>11</v>
      </c>
      <c r="G374" s="2" t="s">
        <v>43423</v>
      </c>
      <c r="H374" s="2" t="s">
        <v>43424</v>
      </c>
    </row>
    <row r="375" spans="1:8" ht="25.05" customHeight="1" x14ac:dyDescent="0.25">
      <c r="A375" s="2" t="s">
        <v>8</v>
      </c>
      <c r="B375" s="2" t="str">
        <f>HYPERLINK("http://ts.21cn.com/tousu/show/id/1330786","审批不过，退费时间极长，手续反锁")</f>
        <v>审批不过，退费时间极长，手续反锁</v>
      </c>
      <c r="C375" s="2" t="s">
        <v>34</v>
      </c>
      <c r="D375" s="2" t="s">
        <v>10</v>
      </c>
      <c r="E375" s="2" t="str">
        <f>HYPERLINK("http://ts.21cn.com/tousu/show/id/1330786","http://ts.21cn.com/tousu/show/id/1330786")</f>
        <v>http://ts.21cn.com/tousu/show/id/1330786</v>
      </c>
      <c r="F375" s="2" t="s">
        <v>11</v>
      </c>
      <c r="G375" s="2" t="s">
        <v>43421</v>
      </c>
      <c r="H375" s="2" t="s">
        <v>43422</v>
      </c>
    </row>
    <row r="376" spans="1:8" ht="25.05" customHeight="1" x14ac:dyDescent="0.25">
      <c r="A376" s="2" t="s">
        <v>8</v>
      </c>
      <c r="B376" s="2" t="str">
        <f>HYPERLINK("http://ts.21cn.com/tousu/show/id/1330788","套路贷砍头息高利贷，而且骚扰辱骂侮辱别人")</f>
        <v>套路贷砍头息高利贷，而且骚扰辱骂侮辱别人</v>
      </c>
      <c r="C376" s="2" t="s">
        <v>9</v>
      </c>
      <c r="D376" s="2" t="s">
        <v>10</v>
      </c>
      <c r="E376" s="2" t="str">
        <f>HYPERLINK("http://ts.21cn.com/tousu/show/id/1330788","http://ts.21cn.com/tousu/show/id/1330788")</f>
        <v>http://ts.21cn.com/tousu/show/id/1330788</v>
      </c>
      <c r="F376" s="2" t="s">
        <v>11</v>
      </c>
      <c r="G376" s="2" t="s">
        <v>43419</v>
      </c>
      <c r="H376" s="2" t="s">
        <v>43420</v>
      </c>
    </row>
    <row r="377" spans="1:8" ht="25.05" customHeight="1" x14ac:dyDescent="0.25">
      <c r="A377" s="2" t="s">
        <v>8</v>
      </c>
      <c r="B377" s="2" t="str">
        <f>HYPERLINK("http://ts.21cn.com/tousu/show/id/1330789","信用管家好运金714高炮高利贷阴阳合同")</f>
        <v>信用管家好运金714高炮高利贷阴阳合同</v>
      </c>
      <c r="C377" s="2" t="s">
        <v>9</v>
      </c>
      <c r="D377" s="2" t="s">
        <v>10</v>
      </c>
      <c r="E377" s="2" t="str">
        <f>HYPERLINK("http://ts.21cn.com/tousu/show/id/1330789","http://ts.21cn.com/tousu/show/id/1330789")</f>
        <v>http://ts.21cn.com/tousu/show/id/1330789</v>
      </c>
      <c r="F377" s="2" t="s">
        <v>11</v>
      </c>
      <c r="G377" s="2" t="s">
        <v>43417</v>
      </c>
      <c r="H377" s="2" t="s">
        <v>43418</v>
      </c>
    </row>
    <row r="378" spans="1:8" ht="25.05" customHeight="1" x14ac:dyDescent="0.25">
      <c r="A378" s="2" t="s">
        <v>8</v>
      </c>
      <c r="B378" s="2" t="str">
        <f>HYPERLINK("http://ts.21cn.com/tousu/show/id/1330790","风险保障金")</f>
        <v>风险保障金</v>
      </c>
      <c r="C378" s="2" t="s">
        <v>34</v>
      </c>
      <c r="D378" s="2" t="s">
        <v>10</v>
      </c>
      <c r="E378" s="2" t="str">
        <f>HYPERLINK("http://ts.21cn.com/tousu/show/id/1330790","http://ts.21cn.com/tousu/show/id/1330790")</f>
        <v>http://ts.21cn.com/tousu/show/id/1330790</v>
      </c>
      <c r="F378" s="2" t="s">
        <v>11</v>
      </c>
      <c r="G378" s="2" t="s">
        <v>43415</v>
      </c>
      <c r="H378" s="2" t="s">
        <v>43416</v>
      </c>
    </row>
    <row r="379" spans="1:8" ht="25.05" customHeight="1" x14ac:dyDescent="0.25">
      <c r="A379" s="2" t="s">
        <v>8</v>
      </c>
      <c r="B379" s="2" t="str">
        <f>HYPERLINK("http://ts.21cn.com/tousu/show/id/1330791","自由魔卡六便士高利贷砍头息")</f>
        <v>自由魔卡六便士高利贷砍头息</v>
      </c>
      <c r="C379" s="2" t="s">
        <v>9</v>
      </c>
      <c r="D379" s="2" t="s">
        <v>10</v>
      </c>
      <c r="E379" s="2" t="str">
        <f>HYPERLINK("http://ts.21cn.com/tousu/show/id/1330791","http://ts.21cn.com/tousu/show/id/1330791")</f>
        <v>http://ts.21cn.com/tousu/show/id/1330791</v>
      </c>
      <c r="F379" s="2" t="s">
        <v>11</v>
      </c>
      <c r="G379" s="2" t="s">
        <v>43413</v>
      </c>
      <c r="H379" s="2" t="s">
        <v>43414</v>
      </c>
    </row>
    <row r="380" spans="1:8" ht="25.05" customHeight="1" x14ac:dyDescent="0.25">
      <c r="A380" s="2" t="s">
        <v>8</v>
      </c>
      <c r="B380" s="2" t="str">
        <f>HYPERLINK("http://ts.21cn.com/tousu/show/id/1330792","马上消费金融公司安逸花无故锁定账号")</f>
        <v>马上消费金融公司安逸花无故锁定账号</v>
      </c>
      <c r="C380" s="2" t="s">
        <v>9</v>
      </c>
      <c r="D380" s="2" t="s">
        <v>10</v>
      </c>
      <c r="E380" s="2" t="str">
        <f>HYPERLINK("http://ts.21cn.com/tousu/show/id/1330792","http://ts.21cn.com/tousu/show/id/1330792")</f>
        <v>http://ts.21cn.com/tousu/show/id/1330792</v>
      </c>
      <c r="F380" s="2" t="s">
        <v>11</v>
      </c>
      <c r="G380" s="2" t="s">
        <v>43411</v>
      </c>
      <c r="H380" s="2" t="s">
        <v>43412</v>
      </c>
    </row>
    <row r="381" spans="1:8" ht="25.05" customHeight="1" x14ac:dyDescent="0.25">
      <c r="A381" s="2" t="s">
        <v>8</v>
      </c>
      <c r="B381" s="2" t="str">
        <f>HYPERLINK("http://ts.21cn.com/tousu/show/id/1330793","宙斯钱包高利贷")</f>
        <v>宙斯钱包高利贷</v>
      </c>
      <c r="C381" s="2" t="s">
        <v>9</v>
      </c>
      <c r="D381" s="2" t="s">
        <v>10</v>
      </c>
      <c r="E381" s="2" t="str">
        <f>HYPERLINK("http://ts.21cn.com/tousu/show/id/1330793","http://ts.21cn.com/tousu/show/id/1330793")</f>
        <v>http://ts.21cn.com/tousu/show/id/1330793</v>
      </c>
      <c r="F381" s="2" t="s">
        <v>11</v>
      </c>
      <c r="G381" s="2" t="s">
        <v>43409</v>
      </c>
      <c r="H381" s="2" t="s">
        <v>43410</v>
      </c>
    </row>
    <row r="382" spans="1:8" ht="25.05" customHeight="1" x14ac:dyDescent="0.25">
      <c r="A382" s="2" t="s">
        <v>8</v>
      </c>
      <c r="B382" s="2" t="str">
        <f>HYPERLINK("http://ts.21cn.com/tousu/show/id/1330794","唯品会七天内降价20，不支持退差价")</f>
        <v>唯品会七天内降价20，不支持退差价</v>
      </c>
      <c r="C382" s="2" t="s">
        <v>34</v>
      </c>
      <c r="D382" s="2" t="s">
        <v>10</v>
      </c>
      <c r="E382" s="2" t="str">
        <f>HYPERLINK("http://ts.21cn.com/tousu/show/id/1330794","http://ts.21cn.com/tousu/show/id/1330794")</f>
        <v>http://ts.21cn.com/tousu/show/id/1330794</v>
      </c>
      <c r="F382" s="2" t="s">
        <v>11</v>
      </c>
      <c r="G382" s="2" t="s">
        <v>43407</v>
      </c>
      <c r="H382" s="2" t="s">
        <v>43408</v>
      </c>
    </row>
    <row r="383" spans="1:8" ht="25.05" customHeight="1" x14ac:dyDescent="0.25">
      <c r="A383" s="2" t="s">
        <v>8</v>
      </c>
      <c r="B383" s="2" t="str">
        <f>HYPERLINK("http://ts.21cn.com/tousu/show/id/1330795","暴力催收")</f>
        <v>暴力催收</v>
      </c>
      <c r="C383" s="2" t="s">
        <v>9</v>
      </c>
      <c r="D383" s="2" t="s">
        <v>10</v>
      </c>
      <c r="E383" s="2" t="str">
        <f>HYPERLINK("http://ts.21cn.com/tousu/show/id/1330795","http://ts.21cn.com/tousu/show/id/1330795")</f>
        <v>http://ts.21cn.com/tousu/show/id/1330795</v>
      </c>
      <c r="F383" s="2" t="s">
        <v>11</v>
      </c>
      <c r="G383" s="2" t="s">
        <v>43405</v>
      </c>
      <c r="H383" s="2" t="s">
        <v>43406</v>
      </c>
    </row>
    <row r="384" spans="1:8" ht="25.05" customHeight="1" x14ac:dyDescent="0.25">
      <c r="A384" s="2" t="s">
        <v>8</v>
      </c>
      <c r="B384" s="2" t="str">
        <f>HYPERLINK("http://ts.21cn.com/tousu/show/id/1330787","有用分期高利贷砍头息")</f>
        <v>有用分期高利贷砍头息</v>
      </c>
      <c r="C384" s="2" t="s">
        <v>9</v>
      </c>
      <c r="D384" s="2" t="s">
        <v>10</v>
      </c>
      <c r="E384" s="2" t="str">
        <f>HYPERLINK("http://ts.21cn.com/tousu/show/id/1330787","http://ts.21cn.com/tousu/show/id/1330787")</f>
        <v>http://ts.21cn.com/tousu/show/id/1330787</v>
      </c>
      <c r="F384" s="2" t="s">
        <v>11</v>
      </c>
      <c r="G384" s="2" t="s">
        <v>43403</v>
      </c>
      <c r="H384" s="2" t="s">
        <v>43404</v>
      </c>
    </row>
    <row r="385" spans="1:8" ht="25.05" customHeight="1" x14ac:dyDescent="0.25">
      <c r="A385" s="2" t="s">
        <v>8</v>
      </c>
      <c r="B385" s="2" t="str">
        <f>HYPERLINK("http://ts.21cn.com/tousu/show/id/1330797","你我贷利息过高，账单不合理。")</f>
        <v>你我贷利息过高，账单不合理。</v>
      </c>
      <c r="C385" s="2" t="s">
        <v>9</v>
      </c>
      <c r="D385" s="2" t="s">
        <v>10</v>
      </c>
      <c r="E385" s="2" t="str">
        <f>HYPERLINK("http://ts.21cn.com/tousu/show/id/1330797","http://ts.21cn.com/tousu/show/id/1330797")</f>
        <v>http://ts.21cn.com/tousu/show/id/1330797</v>
      </c>
      <c r="F385" s="2" t="s">
        <v>11</v>
      </c>
      <c r="G385" s="2" t="s">
        <v>43402</v>
      </c>
      <c r="H385" s="2" t="s">
        <v>36767</v>
      </c>
    </row>
    <row r="386" spans="1:8" ht="25.05" customHeight="1" x14ac:dyDescent="0.25">
      <c r="A386" s="2" t="s">
        <v>8</v>
      </c>
      <c r="B386" s="2" t="str">
        <f>HYPERLINK("http://ts.21cn.com/tousu/show/id/1330798","E换电电池已退，压金迟迟没退")</f>
        <v>E换电电池已退，压金迟迟没退</v>
      </c>
      <c r="C386" s="2" t="s">
        <v>34</v>
      </c>
      <c r="D386" s="2" t="s">
        <v>10</v>
      </c>
      <c r="E386" s="2" t="str">
        <f>HYPERLINK("http://ts.21cn.com/tousu/show/id/1330798","http://ts.21cn.com/tousu/show/id/1330798")</f>
        <v>http://ts.21cn.com/tousu/show/id/1330798</v>
      </c>
      <c r="F386" s="2" t="s">
        <v>11</v>
      </c>
      <c r="G386" s="2" t="s">
        <v>43400</v>
      </c>
      <c r="H386" s="2" t="s">
        <v>43401</v>
      </c>
    </row>
    <row r="387" spans="1:8" ht="25.05" customHeight="1" x14ac:dyDescent="0.25">
      <c r="A387" s="2" t="s">
        <v>8</v>
      </c>
      <c r="B387" s="2" t="str">
        <f>HYPERLINK("http://ts.21cn.com/tousu/show/id/1330799","立借催收高利贷")</f>
        <v>立借催收高利贷</v>
      </c>
      <c r="C387" s="2" t="s">
        <v>9</v>
      </c>
      <c r="D387" s="2" t="s">
        <v>10</v>
      </c>
      <c r="E387" s="2" t="str">
        <f>HYPERLINK("http://ts.21cn.com/tousu/show/id/1330799","http://ts.21cn.com/tousu/show/id/1330799")</f>
        <v>http://ts.21cn.com/tousu/show/id/1330799</v>
      </c>
      <c r="F387" s="2" t="s">
        <v>11</v>
      </c>
      <c r="G387" s="2" t="s">
        <v>43398</v>
      </c>
      <c r="H387" s="2" t="s">
        <v>43399</v>
      </c>
    </row>
    <row r="388" spans="1:8" ht="25.05" customHeight="1" x14ac:dyDescent="0.25">
      <c r="A388" s="2" t="s">
        <v>8</v>
      </c>
      <c r="B388" s="2" t="str">
        <f>HYPERLINK("http://ts.21cn.com/tousu/show/id/1330800","砍头息、我要求退还我的砍头息")</f>
        <v>砍头息、我要求退还我的砍头息</v>
      </c>
      <c r="C388" s="2" t="s">
        <v>9</v>
      </c>
      <c r="D388" s="2" t="s">
        <v>10</v>
      </c>
      <c r="E388" s="2" t="str">
        <f>HYPERLINK("http://ts.21cn.com/tousu/show/id/1330800","http://ts.21cn.com/tousu/show/id/1330800")</f>
        <v>http://ts.21cn.com/tousu/show/id/1330800</v>
      </c>
      <c r="F388" s="2" t="s">
        <v>11</v>
      </c>
      <c r="G388" s="2" t="s">
        <v>43396</v>
      </c>
      <c r="H388" s="2" t="s">
        <v>43397</v>
      </c>
    </row>
    <row r="389" spans="1:8" ht="25.05" customHeight="1" x14ac:dyDescent="0.25">
      <c r="A389" s="2" t="s">
        <v>8</v>
      </c>
      <c r="B389" s="2" t="str">
        <f>HYPERLINK("http://ts.21cn.com/tousu/show/id/1330801","因平台客服处理失误造成经济损失")</f>
        <v>因平台客服处理失误造成经济损失</v>
      </c>
      <c r="C389" s="2" t="s">
        <v>9</v>
      </c>
      <c r="D389" s="2" t="s">
        <v>10</v>
      </c>
      <c r="E389" s="2" t="str">
        <f>HYPERLINK("http://ts.21cn.com/tousu/show/id/1330801","http://ts.21cn.com/tousu/show/id/1330801")</f>
        <v>http://ts.21cn.com/tousu/show/id/1330801</v>
      </c>
      <c r="F389" s="2" t="s">
        <v>11</v>
      </c>
      <c r="G389" s="2" t="s">
        <v>43394</v>
      </c>
      <c r="H389" s="2" t="s">
        <v>43395</v>
      </c>
    </row>
    <row r="390" spans="1:8" ht="25.05" customHeight="1" x14ac:dyDescent="0.25">
      <c r="A390" s="2" t="s">
        <v>8</v>
      </c>
      <c r="B390" s="2" t="str">
        <f>HYPERLINK("http://ts.21cn.com/tousu/show/id/1330802","造艺技术不退款")</f>
        <v>造艺技术不退款</v>
      </c>
      <c r="C390" s="2" t="s">
        <v>9</v>
      </c>
      <c r="D390" s="2" t="s">
        <v>10</v>
      </c>
      <c r="E390" s="2" t="str">
        <f>HYPERLINK("http://ts.21cn.com/tousu/show/id/1330802","http://ts.21cn.com/tousu/show/id/1330802")</f>
        <v>http://ts.21cn.com/tousu/show/id/1330802</v>
      </c>
      <c r="F390" s="2" t="s">
        <v>11</v>
      </c>
      <c r="G390" s="2" t="s">
        <v>43392</v>
      </c>
      <c r="H390" s="2" t="s">
        <v>43393</v>
      </c>
    </row>
    <row r="391" spans="1:8" ht="25.05" customHeight="1" x14ac:dyDescent="0.25">
      <c r="A391" s="2" t="s">
        <v>8</v>
      </c>
      <c r="B391" s="2" t="str">
        <f>HYPERLINK("http://ts.21cn.com/tousu/show/id/1330803","交通银行疯狂催收，语言暴力，侮辱。")</f>
        <v>交通银行疯狂催收，语言暴力，侮辱。</v>
      </c>
      <c r="C391" s="2" t="s">
        <v>9</v>
      </c>
      <c r="D391" s="2" t="s">
        <v>10</v>
      </c>
      <c r="E391" s="2" t="str">
        <f>HYPERLINK("http://ts.21cn.com/tousu/show/id/1330803","http://ts.21cn.com/tousu/show/id/1330803")</f>
        <v>http://ts.21cn.com/tousu/show/id/1330803</v>
      </c>
      <c r="F391" s="2" t="s">
        <v>11</v>
      </c>
      <c r="G391" s="2" t="s">
        <v>43390</v>
      </c>
      <c r="H391" s="2" t="s">
        <v>43391</v>
      </c>
    </row>
    <row r="392" spans="1:8" ht="25.05" customHeight="1" x14ac:dyDescent="0.25">
      <c r="A392" s="2" t="s">
        <v>8</v>
      </c>
      <c r="B392" s="2" t="str">
        <f>HYPERLINK("http://ts.21cn.com/tousu/show/id/1328032","苏宁易购回馈顾客为由，现场虚假宣传，诱导高价购买三无产品。")</f>
        <v>苏宁易购回馈顾客为由，现场虚假宣传，诱导高价购买三无产品。</v>
      </c>
      <c r="C392" s="2" t="s">
        <v>9</v>
      </c>
      <c r="D392" s="2" t="s">
        <v>10</v>
      </c>
      <c r="E392" s="2" t="str">
        <f>HYPERLINK("http://ts.21cn.com/tousu/show/id/1328032","http://ts.21cn.com/tousu/show/id/1328032")</f>
        <v>http://ts.21cn.com/tousu/show/id/1328032</v>
      </c>
      <c r="F392" s="2" t="s">
        <v>11</v>
      </c>
      <c r="G392" s="2" t="s">
        <v>43388</v>
      </c>
      <c r="H392" s="2" t="s">
        <v>43389</v>
      </c>
    </row>
    <row r="393" spans="1:8" ht="25.05" customHeight="1" x14ac:dyDescent="0.25">
      <c r="A393" s="2" t="s">
        <v>8</v>
      </c>
      <c r="B393" s="2" t="str">
        <f>HYPERLINK("http://ts.21cn.com/tousu/show/id/1330804","马上消费金融，暴力催收，群发短信，恐吓催收")</f>
        <v>马上消费金融，暴力催收，群发短信，恐吓催收</v>
      </c>
      <c r="C393" s="2" t="s">
        <v>9</v>
      </c>
      <c r="D393" s="2" t="s">
        <v>10</v>
      </c>
      <c r="E393" s="2" t="str">
        <f>HYPERLINK("http://ts.21cn.com/tousu/show/id/1330804","http://ts.21cn.com/tousu/show/id/1330804")</f>
        <v>http://ts.21cn.com/tousu/show/id/1330804</v>
      </c>
      <c r="F393" s="2" t="s">
        <v>11</v>
      </c>
      <c r="G393" s="2" t="s">
        <v>43386</v>
      </c>
      <c r="H393" s="2" t="s">
        <v>43387</v>
      </c>
    </row>
    <row r="394" spans="1:8" ht="25.05" customHeight="1" x14ac:dyDescent="0.25">
      <c r="A394" s="2" t="s">
        <v>8</v>
      </c>
      <c r="B394" s="2" t="str">
        <f>HYPERLINK("http://ts.21cn.com/tousu/show/id/1330805","被网贷app爆通讯录")</f>
        <v>被网贷app爆通讯录</v>
      </c>
      <c r="C394" s="2" t="s">
        <v>9</v>
      </c>
      <c r="D394" s="2" t="s">
        <v>10</v>
      </c>
      <c r="E394" s="2" t="str">
        <f>HYPERLINK("http://ts.21cn.com/tousu/show/id/1330805","http://ts.21cn.com/tousu/show/id/1330805")</f>
        <v>http://ts.21cn.com/tousu/show/id/1330805</v>
      </c>
      <c r="F394" s="2" t="s">
        <v>11</v>
      </c>
      <c r="G394" s="2" t="s">
        <v>43384</v>
      </c>
      <c r="H394" s="2" t="s">
        <v>43385</v>
      </c>
    </row>
    <row r="395" spans="1:8" ht="25.05" customHeight="1" x14ac:dyDescent="0.25">
      <c r="A395" s="2" t="s">
        <v>8</v>
      </c>
      <c r="B395" s="2" t="str">
        <f>HYPERLINK("http://ts.21cn.com/tousu/show/id/1330806","未收到该平台任何还款提醒，逾期后联系我，逾期一天要收取五十多逾期费")</f>
        <v>未收到该平台任何还款提醒，逾期后联系我，逾期一天要收取五十多逾期费</v>
      </c>
      <c r="C395" s="2" t="s">
        <v>9</v>
      </c>
      <c r="D395" s="2" t="s">
        <v>10</v>
      </c>
      <c r="E395" s="2" t="str">
        <f>HYPERLINK("http://ts.21cn.com/tousu/show/id/1330806","http://ts.21cn.com/tousu/show/id/1330806")</f>
        <v>http://ts.21cn.com/tousu/show/id/1330806</v>
      </c>
      <c r="F395" s="2" t="s">
        <v>11</v>
      </c>
      <c r="G395" s="2" t="s">
        <v>43382</v>
      </c>
      <c r="H395" s="2" t="s">
        <v>43383</v>
      </c>
    </row>
    <row r="396" spans="1:8" ht="25.05" customHeight="1" x14ac:dyDescent="0.25">
      <c r="A396" s="2" t="s">
        <v>8</v>
      </c>
      <c r="B396" s="2" t="str">
        <f>HYPERLINK("http://ts.21cn.com/tousu/show/id/1330808","苏宁易购各项服务都不行")</f>
        <v>苏宁易购各项服务都不行</v>
      </c>
      <c r="C396" s="2" t="s">
        <v>9</v>
      </c>
      <c r="D396" s="2" t="s">
        <v>10</v>
      </c>
      <c r="E396" s="2" t="str">
        <f>HYPERLINK("http://ts.21cn.com/tousu/show/id/1330808","http://ts.21cn.com/tousu/show/id/1330808")</f>
        <v>http://ts.21cn.com/tousu/show/id/1330808</v>
      </c>
      <c r="F396" s="2" t="s">
        <v>11</v>
      </c>
      <c r="G396" s="2" t="s">
        <v>43380</v>
      </c>
      <c r="H396" s="2" t="s">
        <v>43381</v>
      </c>
    </row>
    <row r="397" spans="1:8" ht="25.05" customHeight="1" x14ac:dyDescent="0.25">
      <c r="A397" s="2" t="s">
        <v>8</v>
      </c>
      <c r="B397" s="2" t="str">
        <f>HYPERLINK("http://ts.21cn.com/tousu/show/id/1330810","钱站高利贷阴阳合同")</f>
        <v>钱站高利贷阴阳合同</v>
      </c>
      <c r="C397" s="2" t="s">
        <v>9</v>
      </c>
      <c r="D397" s="2" t="s">
        <v>10</v>
      </c>
      <c r="E397" s="2" t="str">
        <f>HYPERLINK("http://ts.21cn.com/tousu/show/id/1330810","http://ts.21cn.com/tousu/show/id/1330810")</f>
        <v>http://ts.21cn.com/tousu/show/id/1330810</v>
      </c>
      <c r="F397" s="2" t="s">
        <v>11</v>
      </c>
      <c r="G397" s="2" t="s">
        <v>43378</v>
      </c>
      <c r="H397" s="2" t="s">
        <v>43379</v>
      </c>
    </row>
    <row r="398" spans="1:8" ht="25.05" customHeight="1" x14ac:dyDescent="0.25">
      <c r="A398" s="2" t="s">
        <v>8</v>
      </c>
      <c r="B398" s="2" t="str">
        <f>HYPERLINK("http://ts.21cn.com/tousu/show/id/1330809","汇通信诚租赁恶意让客户逾期")</f>
        <v>汇通信诚租赁恶意让客户逾期</v>
      </c>
      <c r="C398" s="2" t="s">
        <v>9</v>
      </c>
      <c r="D398" s="2" t="s">
        <v>10</v>
      </c>
      <c r="E398" s="2" t="str">
        <f>HYPERLINK("http://ts.21cn.com/tousu/show/id/1330809","http://ts.21cn.com/tousu/show/id/1330809")</f>
        <v>http://ts.21cn.com/tousu/show/id/1330809</v>
      </c>
      <c r="F398" s="2" t="s">
        <v>11</v>
      </c>
      <c r="G398" s="2" t="s">
        <v>43376</v>
      </c>
      <c r="H398" s="2" t="s">
        <v>43377</v>
      </c>
    </row>
    <row r="399" spans="1:8" ht="25.05" customHeight="1" x14ac:dyDescent="0.25">
      <c r="A399" s="2" t="s">
        <v>8</v>
      </c>
      <c r="B399" s="2" t="str">
        <f>HYPERLINK("http://ts.21cn.com/tousu/show/id/1330811","高利率，逾期费用已经违法")</f>
        <v>高利率，逾期费用已经违法</v>
      </c>
      <c r="C399" s="2" t="s">
        <v>9</v>
      </c>
      <c r="D399" s="2" t="s">
        <v>10</v>
      </c>
      <c r="E399" s="2" t="str">
        <f>HYPERLINK("http://ts.21cn.com/tousu/show/id/1330811","http://ts.21cn.com/tousu/show/id/1330811")</f>
        <v>http://ts.21cn.com/tousu/show/id/1330811</v>
      </c>
      <c r="F399" s="2" t="s">
        <v>11</v>
      </c>
      <c r="G399" s="2" t="s">
        <v>43374</v>
      </c>
      <c r="H399" s="2" t="s">
        <v>43375</v>
      </c>
    </row>
    <row r="400" spans="1:8" ht="25.05" customHeight="1" x14ac:dyDescent="0.25">
      <c r="A400" s="2" t="s">
        <v>8</v>
      </c>
      <c r="B400" s="2" t="str">
        <f>HYPERLINK("http://ts.21cn.com/tousu/show/id/1330768","现控达人高利贷")</f>
        <v>现控达人高利贷</v>
      </c>
      <c r="C400" s="2" t="s">
        <v>9</v>
      </c>
      <c r="D400" s="2" t="s">
        <v>10</v>
      </c>
      <c r="E400" s="2" t="str">
        <f>HYPERLINK("http://ts.21cn.com/tousu/show/id/1330768","http://ts.21cn.com/tousu/show/id/1330768")</f>
        <v>http://ts.21cn.com/tousu/show/id/1330768</v>
      </c>
      <c r="F400" s="2" t="s">
        <v>11</v>
      </c>
      <c r="G400" s="2" t="s">
        <v>43372</v>
      </c>
      <c r="H400" s="2" t="s">
        <v>43373</v>
      </c>
    </row>
    <row r="401" spans="1:8" ht="25.05" customHeight="1" x14ac:dyDescent="0.25">
      <c r="A401" s="2" t="s">
        <v>8</v>
      </c>
      <c r="B401" s="2" t="str">
        <f>HYPERLINK("http://ts.21cn.com/tousu/show/id/1330796","钱站高利贷阴阳合同")</f>
        <v>钱站高利贷阴阳合同</v>
      </c>
      <c r="C401" s="2" t="s">
        <v>9</v>
      </c>
      <c r="D401" s="2" t="s">
        <v>10</v>
      </c>
      <c r="E401" s="2" t="str">
        <f>HYPERLINK("http://ts.21cn.com/tousu/show/id/1330796","http://ts.21cn.com/tousu/show/id/1330796")</f>
        <v>http://ts.21cn.com/tousu/show/id/1330796</v>
      </c>
      <c r="F401" s="2" t="s">
        <v>11</v>
      </c>
      <c r="G401" s="2" t="s">
        <v>43370</v>
      </c>
      <c r="H401" s="2" t="s">
        <v>43371</v>
      </c>
    </row>
    <row r="402" spans="1:8" ht="25.05" customHeight="1" x14ac:dyDescent="0.25">
      <c r="A402" s="2" t="s">
        <v>8</v>
      </c>
      <c r="B402" s="2" t="str">
        <f>HYPERLINK("http://ts.21cn.com/tousu/show/id/1330814","联通公司欺诈消费者，并通过职务便利威胁恐吓投诉人")</f>
        <v>联通公司欺诈消费者，并通过职务便利威胁恐吓投诉人</v>
      </c>
      <c r="C402" s="2" t="s">
        <v>9</v>
      </c>
      <c r="D402" s="2" t="s">
        <v>10</v>
      </c>
      <c r="E402" s="2" t="str">
        <f>HYPERLINK("http://ts.21cn.com/tousu/show/id/1330814","http://ts.21cn.com/tousu/show/id/1330814")</f>
        <v>http://ts.21cn.com/tousu/show/id/1330814</v>
      </c>
      <c r="F402" s="2" t="s">
        <v>11</v>
      </c>
      <c r="G402" s="2" t="s">
        <v>43368</v>
      </c>
      <c r="H402" s="2" t="s">
        <v>43369</v>
      </c>
    </row>
    <row r="403" spans="1:8" ht="25.05" customHeight="1" x14ac:dyDescent="0.25">
      <c r="A403" s="2" t="s">
        <v>8</v>
      </c>
      <c r="B403" s="2" t="str">
        <f>HYPERLINK("http://ts.21cn.com/tousu/show/id/1330815","变相高利贷，骚扰")</f>
        <v>变相高利贷，骚扰</v>
      </c>
      <c r="C403" s="2" t="s">
        <v>9</v>
      </c>
      <c r="D403" s="2" t="s">
        <v>10</v>
      </c>
      <c r="E403" s="2" t="str">
        <f>HYPERLINK("http://ts.21cn.com/tousu/show/id/1330815","http://ts.21cn.com/tousu/show/id/1330815")</f>
        <v>http://ts.21cn.com/tousu/show/id/1330815</v>
      </c>
      <c r="F403" s="2" t="s">
        <v>11</v>
      </c>
      <c r="G403" s="2" t="s">
        <v>43366</v>
      </c>
      <c r="H403" s="2" t="s">
        <v>43367</v>
      </c>
    </row>
    <row r="404" spans="1:8" ht="25.05" customHeight="1" x14ac:dyDescent="0.25">
      <c r="A404" s="2" t="s">
        <v>8</v>
      </c>
      <c r="B404" s="2" t="str">
        <f>HYPERLINK("http://ts.21cn.com/tousu/show/id/1330816","高利贷")</f>
        <v>高利贷</v>
      </c>
      <c r="C404" s="2" t="s">
        <v>9</v>
      </c>
      <c r="D404" s="2" t="s">
        <v>10</v>
      </c>
      <c r="E404" s="2" t="str">
        <f>HYPERLINK("http://ts.21cn.com/tousu/show/id/1330816","http://ts.21cn.com/tousu/show/id/1330816")</f>
        <v>http://ts.21cn.com/tousu/show/id/1330816</v>
      </c>
      <c r="F404" s="2" t="s">
        <v>11</v>
      </c>
      <c r="G404" s="2" t="s">
        <v>43364</v>
      </c>
      <c r="H404" s="2" t="s">
        <v>43365</v>
      </c>
    </row>
    <row r="405" spans="1:8" ht="25.05" customHeight="1" x14ac:dyDescent="0.25">
      <c r="A405" s="2" t="s">
        <v>8</v>
      </c>
      <c r="B405" s="2" t="str">
        <f>HYPERLINK("http://ts.21cn.com/tousu/show/id/1330817","在当事人不知情的情况下，中国银行钱款被徽商银行代收费，渠道显示银企对接，但当事人并不知是什么费用")</f>
        <v>在当事人不知情的情况下，中国银行钱款被徽商银行代收费，渠道显示银企对接，但当事人并不知是什么费用</v>
      </c>
      <c r="C405" s="2" t="s">
        <v>9</v>
      </c>
      <c r="D405" s="2" t="s">
        <v>10</v>
      </c>
      <c r="E405" s="2" t="str">
        <f>HYPERLINK("http://ts.21cn.com/tousu/show/id/1330817","http://ts.21cn.com/tousu/show/id/1330817")</f>
        <v>http://ts.21cn.com/tousu/show/id/1330817</v>
      </c>
      <c r="F405" s="2" t="s">
        <v>11</v>
      </c>
      <c r="G405" s="2" t="s">
        <v>43362</v>
      </c>
      <c r="H405" s="2" t="s">
        <v>43363</v>
      </c>
    </row>
    <row r="406" spans="1:8" ht="25.05" customHeight="1" x14ac:dyDescent="0.25">
      <c r="A406" s="2" t="s">
        <v>8</v>
      </c>
      <c r="B406" s="2" t="str">
        <f>HYPERLINK("http://ts.21cn.com/tousu/show/id/1330818","纳纳钱包恶意扣款")</f>
        <v>纳纳钱包恶意扣款</v>
      </c>
      <c r="C406" s="2" t="s">
        <v>9</v>
      </c>
      <c r="D406" s="2" t="s">
        <v>10</v>
      </c>
      <c r="E406" s="2" t="str">
        <f>HYPERLINK("http://ts.21cn.com/tousu/show/id/1330818","http://ts.21cn.com/tousu/show/id/1330818")</f>
        <v>http://ts.21cn.com/tousu/show/id/1330818</v>
      </c>
      <c r="F406" s="2" t="s">
        <v>11</v>
      </c>
      <c r="G406" s="2" t="s">
        <v>43360</v>
      </c>
      <c r="H406" s="2" t="s">
        <v>43361</v>
      </c>
    </row>
    <row r="407" spans="1:8" ht="25.05" customHeight="1" x14ac:dyDescent="0.25">
      <c r="A407" s="2" t="s">
        <v>8</v>
      </c>
      <c r="B407" s="2" t="str">
        <f>HYPERLINK("http://ts.21cn.com/tousu/show/id/1330819","非法催收，要求赔偿")</f>
        <v>非法催收，要求赔偿</v>
      </c>
      <c r="C407" s="2" t="s">
        <v>9</v>
      </c>
      <c r="D407" s="2" t="s">
        <v>10</v>
      </c>
      <c r="E407" s="2" t="str">
        <f>HYPERLINK("http://ts.21cn.com/tousu/show/id/1330819","http://ts.21cn.com/tousu/show/id/1330819")</f>
        <v>http://ts.21cn.com/tousu/show/id/1330819</v>
      </c>
      <c r="F407" s="2" t="s">
        <v>11</v>
      </c>
      <c r="G407" s="2" t="s">
        <v>43358</v>
      </c>
      <c r="H407" s="2" t="s">
        <v>43359</v>
      </c>
    </row>
    <row r="408" spans="1:8" ht="25.05" customHeight="1" x14ac:dyDescent="0.25">
      <c r="A408" s="2" t="s">
        <v>8</v>
      </c>
      <c r="B408" s="2" t="str">
        <f>HYPERLINK("http://ts.21cn.com/tousu/show/id/1330820","钱站高利贷阴阳合同")</f>
        <v>钱站高利贷阴阳合同</v>
      </c>
      <c r="C408" s="2" t="s">
        <v>9</v>
      </c>
      <c r="D408" s="2" t="s">
        <v>10</v>
      </c>
      <c r="E408" s="2" t="str">
        <f>HYPERLINK("http://ts.21cn.com/tousu/show/id/1330820","http://ts.21cn.com/tousu/show/id/1330820")</f>
        <v>http://ts.21cn.com/tousu/show/id/1330820</v>
      </c>
      <c r="F408" s="2" t="s">
        <v>11</v>
      </c>
      <c r="G408" s="2" t="s">
        <v>43356</v>
      </c>
      <c r="H408" s="2" t="s">
        <v>43357</v>
      </c>
    </row>
    <row r="409" spans="1:8" ht="25.05" customHeight="1" x14ac:dyDescent="0.25">
      <c r="A409" s="2" t="s">
        <v>8</v>
      </c>
      <c r="B409" s="2" t="str">
        <f>HYPERLINK("http://ts.21cn.com/tousu/show/id/1330821","杭州伟福科技有限公司乱扣钱")</f>
        <v>杭州伟福科技有限公司乱扣钱</v>
      </c>
      <c r="C409" s="2" t="s">
        <v>9</v>
      </c>
      <c r="D409" s="2" t="s">
        <v>10</v>
      </c>
      <c r="E409" s="2" t="str">
        <f>HYPERLINK("http://ts.21cn.com/tousu/show/id/1330821","http://ts.21cn.com/tousu/show/id/1330821")</f>
        <v>http://ts.21cn.com/tousu/show/id/1330821</v>
      </c>
      <c r="F409" s="2" t="s">
        <v>11</v>
      </c>
      <c r="G409" s="2" t="s">
        <v>43354</v>
      </c>
      <c r="H409" s="2" t="s">
        <v>43355</v>
      </c>
    </row>
    <row r="410" spans="1:8" ht="25.05" customHeight="1" x14ac:dyDescent="0.25">
      <c r="A410" s="2" t="s">
        <v>8</v>
      </c>
      <c r="B410" s="2" t="str">
        <f>HYPERLINK("http://ts.21cn.com/tousu/show/id/1330822","贷款3000还款要还4072.08高利贷呀")</f>
        <v>贷款3000还款要还4072.08高利贷呀</v>
      </c>
      <c r="C410" s="2" t="s">
        <v>9</v>
      </c>
      <c r="D410" s="2" t="s">
        <v>10</v>
      </c>
      <c r="E410" s="2" t="str">
        <f>HYPERLINK("http://ts.21cn.com/tousu/show/id/1330822","http://ts.21cn.com/tousu/show/id/1330822")</f>
        <v>http://ts.21cn.com/tousu/show/id/1330822</v>
      </c>
      <c r="F410" s="2" t="s">
        <v>11</v>
      </c>
      <c r="G410" s="2" t="s">
        <v>43352</v>
      </c>
      <c r="H410" s="2" t="s">
        <v>43353</v>
      </c>
    </row>
    <row r="411" spans="1:8" ht="25.05" customHeight="1" x14ac:dyDescent="0.25">
      <c r="A411" s="2" t="s">
        <v>8</v>
      </c>
      <c r="B411" s="2" t="str">
        <f>HYPERLINK("http://ts.21cn.com/tousu/show/id/1330823","拼多多商户为博彩网站收款")</f>
        <v>拼多多商户为博彩网站收款</v>
      </c>
      <c r="C411" s="2" t="s">
        <v>9</v>
      </c>
      <c r="D411" s="2" t="s">
        <v>10</v>
      </c>
      <c r="E411" s="2" t="str">
        <f>HYPERLINK("http://ts.21cn.com/tousu/show/id/1330823","http://ts.21cn.com/tousu/show/id/1330823")</f>
        <v>http://ts.21cn.com/tousu/show/id/1330823</v>
      </c>
      <c r="F411" s="2" t="s">
        <v>11</v>
      </c>
      <c r="G411" s="2" t="s">
        <v>43350</v>
      </c>
      <c r="H411" s="2" t="s">
        <v>43351</v>
      </c>
    </row>
    <row r="412" spans="1:8" ht="25.05" customHeight="1" x14ac:dyDescent="0.25">
      <c r="A412" s="2" t="s">
        <v>8</v>
      </c>
      <c r="B412" s="2" t="str">
        <f>HYPERLINK("http://ts.21cn.com/tousu/show/id/1330824","现控达人，微豆荚高利贷")</f>
        <v>现控达人，微豆荚高利贷</v>
      </c>
      <c r="C412" s="2" t="s">
        <v>9</v>
      </c>
      <c r="D412" s="2" t="s">
        <v>10</v>
      </c>
      <c r="E412" s="2" t="str">
        <f>HYPERLINK("http://ts.21cn.com/tousu/show/id/1330824","http://ts.21cn.com/tousu/show/id/1330824")</f>
        <v>http://ts.21cn.com/tousu/show/id/1330824</v>
      </c>
      <c r="F412" s="2" t="s">
        <v>11</v>
      </c>
      <c r="G412" s="2" t="s">
        <v>43348</v>
      </c>
      <c r="H412" s="2" t="s">
        <v>43349</v>
      </c>
    </row>
    <row r="413" spans="1:8" ht="25.05" customHeight="1" x14ac:dyDescent="0.25">
      <c r="A413" s="2" t="s">
        <v>8</v>
      </c>
      <c r="B413" s="2" t="str">
        <f>HYPERLINK("http://ts.21cn.com/tousu/show/id/1330826","钱站网贷平台的高利贷")</f>
        <v>钱站网贷平台的高利贷</v>
      </c>
      <c r="C413" s="2" t="s">
        <v>9</v>
      </c>
      <c r="D413" s="2" t="s">
        <v>10</v>
      </c>
      <c r="E413" s="2" t="str">
        <f>HYPERLINK("http://ts.21cn.com/tousu/show/id/1330826","http://ts.21cn.com/tousu/show/id/1330826")</f>
        <v>http://ts.21cn.com/tousu/show/id/1330826</v>
      </c>
      <c r="F413" s="2" t="s">
        <v>11</v>
      </c>
      <c r="G413" s="2" t="s">
        <v>43346</v>
      </c>
      <c r="H413" s="2" t="s">
        <v>43347</v>
      </c>
    </row>
    <row r="414" spans="1:8" ht="25.05" customHeight="1" x14ac:dyDescent="0.25">
      <c r="A414" s="2" t="s">
        <v>8</v>
      </c>
      <c r="B414" s="2" t="str">
        <f>HYPERLINK("http://ts.21cn.com/tousu/show/id/1330825","暴力催收，超高利率，714套路贷")</f>
        <v>暴力催收，超高利率，714套路贷</v>
      </c>
      <c r="C414" s="2" t="s">
        <v>9</v>
      </c>
      <c r="D414" s="2" t="s">
        <v>10</v>
      </c>
      <c r="E414" s="2" t="str">
        <f>HYPERLINK("http://ts.21cn.com/tousu/show/id/1330825","http://ts.21cn.com/tousu/show/id/1330825")</f>
        <v>http://ts.21cn.com/tousu/show/id/1330825</v>
      </c>
      <c r="F414" s="2" t="s">
        <v>11</v>
      </c>
      <c r="G414" s="2" t="s">
        <v>43344</v>
      </c>
      <c r="H414" s="2" t="s">
        <v>43345</v>
      </c>
    </row>
    <row r="415" spans="1:8" ht="25.05" customHeight="1" x14ac:dyDescent="0.25">
      <c r="A415" s="2" t="s">
        <v>8</v>
      </c>
      <c r="B415" s="2" t="str">
        <f>HYPERLINK("http://ts.21cn.com/tousu/show/id/1330827","金可儿网上商城拒不发货")</f>
        <v>金可儿网上商城拒不发货</v>
      </c>
      <c r="C415" s="2" t="s">
        <v>9</v>
      </c>
      <c r="D415" s="2" t="s">
        <v>10</v>
      </c>
      <c r="E415" s="2" t="str">
        <f>HYPERLINK("http://ts.21cn.com/tousu/show/id/1330827","http://ts.21cn.com/tousu/show/id/1330827")</f>
        <v>http://ts.21cn.com/tousu/show/id/1330827</v>
      </c>
      <c r="F415" s="2" t="s">
        <v>11</v>
      </c>
      <c r="G415" s="2" t="s">
        <v>43342</v>
      </c>
      <c r="H415" s="2" t="s">
        <v>43343</v>
      </c>
    </row>
    <row r="416" spans="1:8" ht="25.05" customHeight="1" x14ac:dyDescent="0.25">
      <c r="A416" s="2" t="s">
        <v>8</v>
      </c>
      <c r="B416" s="2" t="str">
        <f>HYPERLINK("http://ts.21cn.com/tousu/show/id/1330829","特约信诚消费入金无故扣款")</f>
        <v>特约信诚消费入金无故扣款</v>
      </c>
      <c r="C416" s="2" t="s">
        <v>34</v>
      </c>
      <c r="D416" s="2" t="s">
        <v>10</v>
      </c>
      <c r="E416" s="2" t="str">
        <f>HYPERLINK("http://ts.21cn.com/tousu/show/id/1330829","http://ts.21cn.com/tousu/show/id/1330829")</f>
        <v>http://ts.21cn.com/tousu/show/id/1330829</v>
      </c>
      <c r="F416" s="2" t="s">
        <v>11</v>
      </c>
      <c r="G416" s="2" t="s">
        <v>43340</v>
      </c>
      <c r="H416" s="2" t="s">
        <v>43341</v>
      </c>
    </row>
    <row r="417" spans="1:8" ht="25.05" customHeight="1" x14ac:dyDescent="0.25">
      <c r="A417" s="2" t="s">
        <v>8</v>
      </c>
      <c r="B417" s="2" t="str">
        <f>HYPERLINK("http://ts.21cn.com/tousu/show/id/1330830","京东活力花")</f>
        <v>京东活力花</v>
      </c>
      <c r="C417" s="2" t="s">
        <v>9</v>
      </c>
      <c r="D417" s="2" t="s">
        <v>10</v>
      </c>
      <c r="E417" s="2" t="str">
        <f>HYPERLINK("http://ts.21cn.com/tousu/show/id/1330830","http://ts.21cn.com/tousu/show/id/1330830")</f>
        <v>http://ts.21cn.com/tousu/show/id/1330830</v>
      </c>
      <c r="F417" s="2" t="s">
        <v>11</v>
      </c>
      <c r="G417" s="2" t="s">
        <v>43338</v>
      </c>
      <c r="H417" s="2" t="s">
        <v>43339</v>
      </c>
    </row>
    <row r="418" spans="1:8" ht="25.05" customHeight="1" x14ac:dyDescent="0.25">
      <c r="A418" s="2" t="s">
        <v>8</v>
      </c>
      <c r="B418" s="2" t="str">
        <f>HYPERLINK("http://ts.21cn.com/tousu/show/id/1330831","恢复额度使用")</f>
        <v>恢复额度使用</v>
      </c>
      <c r="C418" s="2" t="s">
        <v>9</v>
      </c>
      <c r="D418" s="2" t="s">
        <v>10</v>
      </c>
      <c r="E418" s="2" t="str">
        <f>HYPERLINK("http://ts.21cn.com/tousu/show/id/1330831","http://ts.21cn.com/tousu/show/id/1330831")</f>
        <v>http://ts.21cn.com/tousu/show/id/1330831</v>
      </c>
      <c r="F418" s="2" t="s">
        <v>11</v>
      </c>
      <c r="G418" s="2" t="s">
        <v>43336</v>
      </c>
      <c r="H418" s="2" t="s">
        <v>43337</v>
      </c>
    </row>
    <row r="419" spans="1:8" ht="25.05" customHeight="1" x14ac:dyDescent="0.25">
      <c r="A419" s="2" t="s">
        <v>8</v>
      </c>
      <c r="B419" s="2" t="str">
        <f>HYPERLINK("http://ts.21cn.com/tousu/show/id/1330833","来分期恶意骚扰我的正常生活！")</f>
        <v>来分期恶意骚扰我的正常生活！</v>
      </c>
      <c r="C419" s="2" t="s">
        <v>9</v>
      </c>
      <c r="D419" s="2" t="s">
        <v>10</v>
      </c>
      <c r="E419" s="2" t="str">
        <f>HYPERLINK("http://ts.21cn.com/tousu/show/id/1330833","http://ts.21cn.com/tousu/show/id/1330833")</f>
        <v>http://ts.21cn.com/tousu/show/id/1330833</v>
      </c>
      <c r="F419" s="2" t="s">
        <v>11</v>
      </c>
      <c r="G419" s="2" t="s">
        <v>43334</v>
      </c>
      <c r="H419" s="2" t="s">
        <v>43335</v>
      </c>
    </row>
    <row r="420" spans="1:8" ht="25.05" customHeight="1" x14ac:dyDescent="0.25">
      <c r="A420" s="2" t="s">
        <v>8</v>
      </c>
      <c r="B420" s="2" t="str">
        <f>HYPERLINK("http://ts.21cn.com/tousu/show/id/1330832","高利贷，暴力催收")</f>
        <v>高利贷，暴力催收</v>
      </c>
      <c r="C420" s="2" t="s">
        <v>9</v>
      </c>
      <c r="D420" s="2" t="s">
        <v>10</v>
      </c>
      <c r="E420" s="2" t="str">
        <f>HYPERLINK("http://ts.21cn.com/tousu/show/id/1330832","http://ts.21cn.com/tousu/show/id/1330832")</f>
        <v>http://ts.21cn.com/tousu/show/id/1330832</v>
      </c>
      <c r="F420" s="2" t="s">
        <v>11</v>
      </c>
      <c r="G420" s="2" t="s">
        <v>43332</v>
      </c>
      <c r="H420" s="2" t="s">
        <v>43333</v>
      </c>
    </row>
    <row r="421" spans="1:8" ht="25.05" customHeight="1" x14ac:dyDescent="0.25">
      <c r="A421" s="2" t="s">
        <v>8</v>
      </c>
      <c r="B421" s="2" t="str">
        <f>HYPERLINK("http://ts.21cn.com/tousu/show/id/1330834","联合卡分期扣除我249元会员费")</f>
        <v>联合卡分期扣除我249元会员费</v>
      </c>
      <c r="C421" s="2" t="s">
        <v>9</v>
      </c>
      <c r="D421" s="2" t="s">
        <v>10</v>
      </c>
      <c r="E421" s="2" t="str">
        <f>HYPERLINK("http://ts.21cn.com/tousu/show/id/1330834","http://ts.21cn.com/tousu/show/id/1330834")</f>
        <v>http://ts.21cn.com/tousu/show/id/1330834</v>
      </c>
      <c r="F421" s="2" t="s">
        <v>11</v>
      </c>
      <c r="G421" s="2" t="s">
        <v>43330</v>
      </c>
      <c r="H421" s="2" t="s">
        <v>43331</v>
      </c>
    </row>
    <row r="422" spans="1:8" ht="25.05" customHeight="1" x14ac:dyDescent="0.25">
      <c r="A422" s="2" t="s">
        <v>8</v>
      </c>
      <c r="B422" s="2" t="str">
        <f>HYPERLINK("http://ts.21cn.com/tousu/show/id/1330835","助借通无故扣费拒绝退款")</f>
        <v>助借通无故扣费拒绝退款</v>
      </c>
      <c r="C422" s="2" t="s">
        <v>9</v>
      </c>
      <c r="D422" s="2" t="s">
        <v>10</v>
      </c>
      <c r="E422" s="2" t="str">
        <f>HYPERLINK("http://ts.21cn.com/tousu/show/id/1330835","http://ts.21cn.com/tousu/show/id/1330835")</f>
        <v>http://ts.21cn.com/tousu/show/id/1330835</v>
      </c>
      <c r="F422" s="2" t="s">
        <v>11</v>
      </c>
      <c r="G422" s="2" t="s">
        <v>43328</v>
      </c>
      <c r="H422" s="2" t="s">
        <v>43329</v>
      </c>
    </row>
    <row r="423" spans="1:8" ht="25.05" customHeight="1" x14ac:dyDescent="0.25">
      <c r="A423" s="2" t="s">
        <v>8</v>
      </c>
      <c r="B423" s="2" t="str">
        <f>HYPERLINK("http://ts.21cn.com/tousu/show/id/1330837","贷上钱高利贷.暴力催收")</f>
        <v>贷上钱高利贷.暴力催收</v>
      </c>
      <c r="C423" s="2" t="s">
        <v>9</v>
      </c>
      <c r="D423" s="2" t="s">
        <v>10</v>
      </c>
      <c r="E423" s="2" t="str">
        <f>HYPERLINK("http://ts.21cn.com/tousu/show/id/1330837","http://ts.21cn.com/tousu/show/id/1330837")</f>
        <v>http://ts.21cn.com/tousu/show/id/1330837</v>
      </c>
      <c r="F423" s="2" t="s">
        <v>11</v>
      </c>
      <c r="G423" s="2" t="s">
        <v>43326</v>
      </c>
      <c r="H423" s="2" t="s">
        <v>43327</v>
      </c>
    </row>
    <row r="424" spans="1:8" ht="25.05" customHeight="1" x14ac:dyDescent="0.25">
      <c r="A424" s="2" t="s">
        <v>8</v>
      </c>
      <c r="B424" s="2" t="str">
        <f>HYPERLINK("http://ts.21cn.com/tousu/show/id/1330836","慧金宝支付给非法平台收款")</f>
        <v>慧金宝支付给非法平台收款</v>
      </c>
      <c r="C424" s="2" t="s">
        <v>9</v>
      </c>
      <c r="D424" s="2" t="s">
        <v>10</v>
      </c>
      <c r="E424" s="2" t="str">
        <f>HYPERLINK("http://ts.21cn.com/tousu/show/id/1330836","http://ts.21cn.com/tousu/show/id/1330836")</f>
        <v>http://ts.21cn.com/tousu/show/id/1330836</v>
      </c>
      <c r="F424" s="2" t="s">
        <v>11</v>
      </c>
      <c r="G424" s="2" t="s">
        <v>43324</v>
      </c>
      <c r="H424" s="2" t="s">
        <v>43325</v>
      </c>
    </row>
    <row r="425" spans="1:8" ht="25.05" customHeight="1" x14ac:dyDescent="0.25">
      <c r="A425" s="2" t="s">
        <v>8</v>
      </c>
      <c r="B425" s="2" t="str">
        <f>HYPERLINK("http://ts.21cn.com/tousu/show/id/1330838","立借月月借只能线下还款但不销账")</f>
        <v>立借月月借只能线下还款但不销账</v>
      </c>
      <c r="C425" s="2" t="s">
        <v>34</v>
      </c>
      <c r="D425" s="2" t="s">
        <v>10</v>
      </c>
      <c r="E425" s="2" t="str">
        <f>HYPERLINK("http://ts.21cn.com/tousu/show/id/1330838","http://ts.21cn.com/tousu/show/id/1330838")</f>
        <v>http://ts.21cn.com/tousu/show/id/1330838</v>
      </c>
      <c r="F425" s="2" t="s">
        <v>11</v>
      </c>
      <c r="G425" s="2" t="s">
        <v>43322</v>
      </c>
      <c r="H425" s="2" t="s">
        <v>43323</v>
      </c>
    </row>
    <row r="426" spans="1:8" ht="25.05" customHeight="1" x14ac:dyDescent="0.25">
      <c r="A426" s="2" t="s">
        <v>8</v>
      </c>
      <c r="B426" s="2" t="str">
        <f>HYPERLINK("http://ts.21cn.com/tousu/show/id/1330841","购买欢乐世界门票不给退款")</f>
        <v>购买欢乐世界门票不给退款</v>
      </c>
      <c r="C426" s="2" t="s">
        <v>9</v>
      </c>
      <c r="D426" s="2" t="s">
        <v>10</v>
      </c>
      <c r="E426" s="2" t="str">
        <f>HYPERLINK("http://ts.21cn.com/tousu/show/id/1330841","http://ts.21cn.com/tousu/show/id/1330841")</f>
        <v>http://ts.21cn.com/tousu/show/id/1330841</v>
      </c>
      <c r="F426" s="2" t="s">
        <v>11</v>
      </c>
      <c r="G426" s="2" t="s">
        <v>43320</v>
      </c>
      <c r="H426" s="2" t="s">
        <v>43321</v>
      </c>
    </row>
    <row r="427" spans="1:8" ht="25.05" customHeight="1" x14ac:dyDescent="0.25">
      <c r="A427" s="2" t="s">
        <v>8</v>
      </c>
      <c r="B427" s="2" t="str">
        <f>HYPERLINK("http://ts.21cn.com/tousu/show/id/1330839","51自由花主动还款还不了导致逾期")</f>
        <v>51自由花主动还款还不了导致逾期</v>
      </c>
      <c r="C427" s="2" t="s">
        <v>9</v>
      </c>
      <c r="D427" s="2" t="s">
        <v>10</v>
      </c>
      <c r="E427" s="2" t="str">
        <f>HYPERLINK("http://ts.21cn.com/tousu/show/id/1330839","http://ts.21cn.com/tousu/show/id/1330839")</f>
        <v>http://ts.21cn.com/tousu/show/id/1330839</v>
      </c>
      <c r="F427" s="2" t="s">
        <v>11</v>
      </c>
      <c r="G427" s="2" t="s">
        <v>43318</v>
      </c>
      <c r="H427" s="2" t="s">
        <v>43319</v>
      </c>
    </row>
    <row r="428" spans="1:8" ht="25.05" customHeight="1" x14ac:dyDescent="0.25">
      <c r="A428" s="2" t="s">
        <v>8</v>
      </c>
      <c r="B428" s="2" t="str">
        <f>HYPERLINK("http://ts.21cn.com/tousu/show/id/1330840","逾期12小时，怎么就算1.3天，我早知道怎么算的！")</f>
        <v>逾期12小时，怎么就算1.3天，我早知道怎么算的！</v>
      </c>
      <c r="C428" s="2" t="s">
        <v>9</v>
      </c>
      <c r="D428" s="2" t="s">
        <v>10</v>
      </c>
      <c r="E428" s="2" t="str">
        <f>HYPERLINK("http://ts.21cn.com/tousu/show/id/1330840","http://ts.21cn.com/tousu/show/id/1330840")</f>
        <v>http://ts.21cn.com/tousu/show/id/1330840</v>
      </c>
      <c r="F428" s="2" t="s">
        <v>11</v>
      </c>
      <c r="G428" s="2" t="s">
        <v>43316</v>
      </c>
      <c r="H428" s="2" t="s">
        <v>43317</v>
      </c>
    </row>
    <row r="429" spans="1:8" ht="25.05" customHeight="1" x14ac:dyDescent="0.25">
      <c r="A429" s="2" t="s">
        <v>8</v>
      </c>
      <c r="B429" s="2" t="str">
        <f>HYPERLINK("http://ts.21cn.com/tousu/show/id/1330844","淘宝恒洁卫浴官方旗舰店退款收取返件费用")</f>
        <v>淘宝恒洁卫浴官方旗舰店退款收取返件费用</v>
      </c>
      <c r="C429" s="2" t="s">
        <v>9</v>
      </c>
      <c r="D429" s="2" t="s">
        <v>10</v>
      </c>
      <c r="E429" s="2" t="str">
        <f>HYPERLINK("http://ts.21cn.com/tousu/show/id/1330844","http://ts.21cn.com/tousu/show/id/1330844")</f>
        <v>http://ts.21cn.com/tousu/show/id/1330844</v>
      </c>
      <c r="F429" s="2" t="s">
        <v>11</v>
      </c>
      <c r="G429" s="2" t="s">
        <v>43314</v>
      </c>
      <c r="H429" s="2" t="s">
        <v>43315</v>
      </c>
    </row>
    <row r="430" spans="1:8" ht="25.05" customHeight="1" x14ac:dyDescent="0.25">
      <c r="A430" s="2" t="s">
        <v>8</v>
      </c>
      <c r="B430" s="2" t="str">
        <f>HYPERLINK("http://ts.21cn.com/tousu/show/id/1330849","套路贷款")</f>
        <v>套路贷款</v>
      </c>
      <c r="C430" s="2" t="s">
        <v>9</v>
      </c>
      <c r="D430" s="2" t="s">
        <v>10</v>
      </c>
      <c r="E430" s="2" t="str">
        <f>HYPERLINK("http://ts.21cn.com/tousu/show/id/1330849","http://ts.21cn.com/tousu/show/id/1330849")</f>
        <v>http://ts.21cn.com/tousu/show/id/1330849</v>
      </c>
      <c r="F430" s="2" t="s">
        <v>11</v>
      </c>
      <c r="G430" s="2" t="s">
        <v>43312</v>
      </c>
      <c r="H430" s="2" t="s">
        <v>43313</v>
      </c>
    </row>
    <row r="431" spans="1:8" ht="25.05" customHeight="1" x14ac:dyDescent="0.25">
      <c r="A431" s="2" t="s">
        <v>8</v>
      </c>
      <c r="B431" s="2" t="str">
        <f>HYPERLINK("http://ts.21cn.com/tousu/show/id/1330852","牛人有品高利贷、砍头息，暴力催收")</f>
        <v>牛人有品高利贷、砍头息，暴力催收</v>
      </c>
      <c r="C431" s="2" t="s">
        <v>9</v>
      </c>
      <c r="D431" s="2" t="s">
        <v>10</v>
      </c>
      <c r="E431" s="2" t="str">
        <f>HYPERLINK("http://ts.21cn.com/tousu/show/id/1330852","http://ts.21cn.com/tousu/show/id/1330852")</f>
        <v>http://ts.21cn.com/tousu/show/id/1330852</v>
      </c>
      <c r="F431" s="2" t="s">
        <v>11</v>
      </c>
      <c r="G431" s="2" t="s">
        <v>43310</v>
      </c>
      <c r="H431" s="2" t="s">
        <v>43311</v>
      </c>
    </row>
    <row r="432" spans="1:8" ht="25.05" customHeight="1" x14ac:dyDescent="0.25">
      <c r="A432" s="2" t="s">
        <v>8</v>
      </c>
      <c r="B432" s="2" t="str">
        <f>HYPERLINK("http://ts.21cn.com/tousu/show/id/1330853","利用QQ平台客服的名义收取费用")</f>
        <v>利用QQ平台客服的名义收取费用</v>
      </c>
      <c r="C432" s="2" t="s">
        <v>34</v>
      </c>
      <c r="D432" s="2" t="s">
        <v>10</v>
      </c>
      <c r="E432" s="2" t="str">
        <f>HYPERLINK("http://ts.21cn.com/tousu/show/id/1330853","http://ts.21cn.com/tousu/show/id/1330853")</f>
        <v>http://ts.21cn.com/tousu/show/id/1330853</v>
      </c>
      <c r="F432" s="2" t="s">
        <v>11</v>
      </c>
      <c r="G432" s="2" t="s">
        <v>43308</v>
      </c>
      <c r="H432" s="2" t="s">
        <v>43309</v>
      </c>
    </row>
    <row r="433" spans="1:8" ht="25.05" customHeight="1" x14ac:dyDescent="0.25">
      <c r="A433" s="2" t="s">
        <v>8</v>
      </c>
      <c r="B433" s="2" t="str">
        <f>HYPERLINK("http://ts.21cn.com/tousu/show/id/1330854","套路贷")</f>
        <v>套路贷</v>
      </c>
      <c r="C433" s="2" t="s">
        <v>9</v>
      </c>
      <c r="D433" s="2" t="s">
        <v>10</v>
      </c>
      <c r="E433" s="2" t="str">
        <f>HYPERLINK("http://ts.21cn.com/tousu/show/id/1330854","http://ts.21cn.com/tousu/show/id/1330854")</f>
        <v>http://ts.21cn.com/tousu/show/id/1330854</v>
      </c>
      <c r="F433" s="2" t="s">
        <v>11</v>
      </c>
      <c r="G433" s="2" t="s">
        <v>43306</v>
      </c>
      <c r="H433" s="2" t="s">
        <v>43307</v>
      </c>
    </row>
    <row r="434" spans="1:8" ht="25.05" customHeight="1" x14ac:dyDescent="0.25">
      <c r="A434" s="2" t="s">
        <v>8</v>
      </c>
      <c r="B434" s="2" t="str">
        <f>HYPERLINK("http://ts.21cn.com/tousu/show/id/1330855","云闪付为非法网站提供支付通道")</f>
        <v>云闪付为非法网站提供支付通道</v>
      </c>
      <c r="C434" s="2" t="s">
        <v>9</v>
      </c>
      <c r="D434" s="2" t="s">
        <v>10</v>
      </c>
      <c r="E434" s="2" t="str">
        <f>HYPERLINK("http://ts.21cn.com/tousu/show/id/1330855","http://ts.21cn.com/tousu/show/id/1330855")</f>
        <v>http://ts.21cn.com/tousu/show/id/1330855</v>
      </c>
      <c r="F434" s="2" t="s">
        <v>11</v>
      </c>
      <c r="G434" s="2" t="s">
        <v>43304</v>
      </c>
      <c r="H434" s="2" t="s">
        <v>43305</v>
      </c>
    </row>
    <row r="435" spans="1:8" ht="25.05" customHeight="1" x14ac:dyDescent="0.25">
      <c r="A435" s="2" t="s">
        <v>8</v>
      </c>
      <c r="B435" s="2" t="str">
        <f>HYPERLINK("http://ts.21cn.com/tousu/show/id/1330856","造艺科技配合高利贷平台强制收取服务费")</f>
        <v>造艺科技配合高利贷平台强制收取服务费</v>
      </c>
      <c r="C435" s="2" t="s">
        <v>9</v>
      </c>
      <c r="D435" s="2" t="s">
        <v>10</v>
      </c>
      <c r="E435" s="2" t="str">
        <f>HYPERLINK("http://ts.21cn.com/tousu/show/id/1330856","http://ts.21cn.com/tousu/show/id/1330856")</f>
        <v>http://ts.21cn.com/tousu/show/id/1330856</v>
      </c>
      <c r="F435" s="2" t="s">
        <v>11</v>
      </c>
      <c r="G435" s="2" t="s">
        <v>43303</v>
      </c>
      <c r="H435" s="2" t="s">
        <v>42994</v>
      </c>
    </row>
    <row r="436" spans="1:8" ht="25.05" customHeight="1" x14ac:dyDescent="0.25">
      <c r="A436" s="2" t="s">
        <v>8</v>
      </c>
      <c r="B436" s="2" t="str">
        <f>HYPERLINK("http://ts.21cn.com/tousu/show/id/1330857","现金巴士")</f>
        <v>现金巴士</v>
      </c>
      <c r="C436" s="2" t="s">
        <v>9</v>
      </c>
      <c r="D436" s="2" t="s">
        <v>10</v>
      </c>
      <c r="E436" s="2" t="str">
        <f>HYPERLINK("http://ts.21cn.com/tousu/show/id/1330857","http://ts.21cn.com/tousu/show/id/1330857")</f>
        <v>http://ts.21cn.com/tousu/show/id/1330857</v>
      </c>
      <c r="F436" s="2" t="s">
        <v>11</v>
      </c>
      <c r="G436" s="2" t="s">
        <v>43301</v>
      </c>
      <c r="H436" s="2" t="s">
        <v>43302</v>
      </c>
    </row>
    <row r="437" spans="1:8" ht="25.05" customHeight="1" x14ac:dyDescent="0.25">
      <c r="A437" s="2" t="s">
        <v>8</v>
      </c>
      <c r="B437" s="2" t="str">
        <f>HYPERLINK("http://ts.21cn.com/tousu/show/id/1330859","涉黄")</f>
        <v>涉黄</v>
      </c>
      <c r="C437" s="2" t="s">
        <v>9</v>
      </c>
      <c r="D437" s="2" t="s">
        <v>10</v>
      </c>
      <c r="E437" s="2" t="str">
        <f>HYPERLINK("http://ts.21cn.com/tousu/show/id/1330859","http://ts.21cn.com/tousu/show/id/1330859")</f>
        <v>http://ts.21cn.com/tousu/show/id/1330859</v>
      </c>
      <c r="F437" s="2" t="s">
        <v>11</v>
      </c>
      <c r="G437" s="2" t="s">
        <v>43299</v>
      </c>
      <c r="H437" s="2" t="s">
        <v>43300</v>
      </c>
    </row>
    <row r="438" spans="1:8" ht="25.05" customHeight="1" x14ac:dyDescent="0.25">
      <c r="A438" s="2" t="s">
        <v>8</v>
      </c>
      <c r="B438" s="2" t="str">
        <f>HYPERLINK("http://ts.21cn.com/tousu/show/id/1330860","上海造艺网络科技有限公司")</f>
        <v>上海造艺网络科技有限公司</v>
      </c>
      <c r="C438" s="2" t="s">
        <v>9</v>
      </c>
      <c r="D438" s="2" t="s">
        <v>10</v>
      </c>
      <c r="E438" s="2" t="str">
        <f>HYPERLINK("http://ts.21cn.com/tousu/show/id/1330860","http://ts.21cn.com/tousu/show/id/1330860")</f>
        <v>http://ts.21cn.com/tousu/show/id/1330860</v>
      </c>
      <c r="F438" s="2" t="s">
        <v>11</v>
      </c>
      <c r="G438" s="2" t="s">
        <v>43297</v>
      </c>
      <c r="H438" s="2" t="s">
        <v>43298</v>
      </c>
    </row>
    <row r="439" spans="1:8" ht="25.05" customHeight="1" x14ac:dyDescent="0.25">
      <c r="A439" s="2" t="s">
        <v>8</v>
      </c>
      <c r="B439" s="2" t="str">
        <f>HYPERLINK("http://ts.21cn.com/tousu/show/id/1330862","同程旅游")</f>
        <v>同程旅游</v>
      </c>
      <c r="C439" s="2" t="s">
        <v>9</v>
      </c>
      <c r="D439" s="2" t="s">
        <v>10</v>
      </c>
      <c r="E439" s="2" t="str">
        <f>HYPERLINK("http://ts.21cn.com/tousu/show/id/1330862","http://ts.21cn.com/tousu/show/id/1330862")</f>
        <v>http://ts.21cn.com/tousu/show/id/1330862</v>
      </c>
      <c r="F439" s="2" t="s">
        <v>11</v>
      </c>
      <c r="G439" s="2" t="s">
        <v>43295</v>
      </c>
      <c r="H439" s="2" t="s">
        <v>43296</v>
      </c>
    </row>
    <row r="440" spans="1:8" ht="25.05" customHeight="1" x14ac:dyDescent="0.25">
      <c r="A440" s="2" t="s">
        <v>8</v>
      </c>
      <c r="B440" s="2" t="str">
        <f>HYPERLINK("http://ts.21cn.com/tousu/show/id/1330863","乱收钱")</f>
        <v>乱收钱</v>
      </c>
      <c r="C440" s="2" t="s">
        <v>9</v>
      </c>
      <c r="D440" s="2" t="s">
        <v>10</v>
      </c>
      <c r="E440" s="2" t="str">
        <f>HYPERLINK("http://ts.21cn.com/tousu/show/id/1330863","http://ts.21cn.com/tousu/show/id/1330863")</f>
        <v>http://ts.21cn.com/tousu/show/id/1330863</v>
      </c>
      <c r="F440" s="2" t="s">
        <v>11</v>
      </c>
      <c r="G440" s="2" t="s">
        <v>43293</v>
      </c>
      <c r="H440" s="2" t="s">
        <v>43294</v>
      </c>
    </row>
    <row r="441" spans="1:8" ht="25.05" customHeight="1" x14ac:dyDescent="0.25">
      <c r="A441" s="2" t="s">
        <v>8</v>
      </c>
      <c r="B441" s="2" t="str">
        <f>HYPERLINK("http://ts.21cn.com/tousu/show/id/1330864","拍拍贷")</f>
        <v>拍拍贷</v>
      </c>
      <c r="C441" s="2" t="s">
        <v>9</v>
      </c>
      <c r="D441" s="2" t="s">
        <v>10</v>
      </c>
      <c r="E441" s="2" t="str">
        <f>HYPERLINK("http://ts.21cn.com/tousu/show/id/1330864","http://ts.21cn.com/tousu/show/id/1330864")</f>
        <v>http://ts.21cn.com/tousu/show/id/1330864</v>
      </c>
      <c r="F441" s="2" t="s">
        <v>11</v>
      </c>
      <c r="G441" s="2" t="s">
        <v>43291</v>
      </c>
      <c r="H441" s="2" t="s">
        <v>43292</v>
      </c>
    </row>
    <row r="442" spans="1:8" ht="25.05" customHeight="1" x14ac:dyDescent="0.25">
      <c r="A442" s="2" t="s">
        <v>8</v>
      </c>
      <c r="B442" s="2" t="str">
        <f>HYPERLINK("http://ts.21cn.com/tousu/show/id/1330865","高利贷，砍头息")</f>
        <v>高利贷，砍头息</v>
      </c>
      <c r="C442" s="2" t="s">
        <v>9</v>
      </c>
      <c r="D442" s="2" t="s">
        <v>10</v>
      </c>
      <c r="E442" s="2" t="str">
        <f>HYPERLINK("http://ts.21cn.com/tousu/show/id/1330865","http://ts.21cn.com/tousu/show/id/1330865")</f>
        <v>http://ts.21cn.com/tousu/show/id/1330865</v>
      </c>
      <c r="F442" s="2" t="s">
        <v>11</v>
      </c>
      <c r="G442" s="2" t="s">
        <v>43289</v>
      </c>
      <c r="H442" s="2" t="s">
        <v>43290</v>
      </c>
    </row>
    <row r="443" spans="1:8" ht="25.05" customHeight="1" x14ac:dyDescent="0.25">
      <c r="A443" s="2" t="s">
        <v>8</v>
      </c>
      <c r="B443" s="2" t="str">
        <f>HYPERLINK("http://ts.21cn.com/tousu/show/id/1330867","网络博彩")</f>
        <v>网络博彩</v>
      </c>
      <c r="C443" s="2" t="s">
        <v>34</v>
      </c>
      <c r="D443" s="2" t="s">
        <v>10</v>
      </c>
      <c r="E443" s="2" t="str">
        <f>HYPERLINK("http://ts.21cn.com/tousu/show/id/1330867","http://ts.21cn.com/tousu/show/id/1330867")</f>
        <v>http://ts.21cn.com/tousu/show/id/1330867</v>
      </c>
      <c r="F443" s="2" t="s">
        <v>11</v>
      </c>
      <c r="G443" s="2" t="s">
        <v>43287</v>
      </c>
      <c r="H443" s="2" t="s">
        <v>43288</v>
      </c>
    </row>
    <row r="444" spans="1:8" ht="25.05" customHeight="1" x14ac:dyDescent="0.25">
      <c r="A444" s="2" t="s">
        <v>8</v>
      </c>
      <c r="B444" s="2" t="str">
        <f>HYPERLINK("http://ts.21cn.com/tousu/show/id/1330869","信任分期app收取高额利息砍头费")</f>
        <v>信任分期app收取高额利息砍头费</v>
      </c>
      <c r="C444" s="2" t="s">
        <v>9</v>
      </c>
      <c r="D444" s="2" t="s">
        <v>10</v>
      </c>
      <c r="E444" s="2" t="str">
        <f>HYPERLINK("http://ts.21cn.com/tousu/show/id/1330869","http://ts.21cn.com/tousu/show/id/1330869")</f>
        <v>http://ts.21cn.com/tousu/show/id/1330869</v>
      </c>
      <c r="F444" s="2" t="s">
        <v>11</v>
      </c>
      <c r="G444" s="2" t="s">
        <v>43285</v>
      </c>
      <c r="H444" s="2" t="s">
        <v>43286</v>
      </c>
    </row>
    <row r="445" spans="1:8" ht="25.05" customHeight="1" x14ac:dyDescent="0.25">
      <c r="A445" s="2" t="s">
        <v>8</v>
      </c>
      <c r="B445" s="2" t="str">
        <f>HYPERLINK("http://ts.21cn.com/tousu/show/id/1330870","闪银利息超国家规定")</f>
        <v>闪银利息超国家规定</v>
      </c>
      <c r="C445" s="2" t="s">
        <v>34</v>
      </c>
      <c r="D445" s="2" t="s">
        <v>10</v>
      </c>
      <c r="E445" s="2" t="str">
        <f>HYPERLINK("http://ts.21cn.com/tousu/show/id/1330870","http://ts.21cn.com/tousu/show/id/1330870")</f>
        <v>http://ts.21cn.com/tousu/show/id/1330870</v>
      </c>
      <c r="F445" s="2" t="s">
        <v>11</v>
      </c>
      <c r="G445" s="2" t="s">
        <v>43283</v>
      </c>
      <c r="H445" s="2" t="s">
        <v>43284</v>
      </c>
    </row>
    <row r="446" spans="1:8" ht="25.05" customHeight="1" x14ac:dyDescent="0.25">
      <c r="A446" s="2" t="s">
        <v>8</v>
      </c>
      <c r="B446" s="2" t="str">
        <f>HYPERLINK("http://ts.21cn.com/tousu/show/id/1330871","阿里巴巴网处理交易纠纷不公，偏袒客户，无视事实证据。给我方交易造成货财两空")</f>
        <v>阿里巴巴网处理交易纠纷不公，偏袒客户，无视事实证据。给我方交易造成货财两空</v>
      </c>
      <c r="C446" s="2" t="s">
        <v>9</v>
      </c>
      <c r="D446" s="2" t="s">
        <v>10</v>
      </c>
      <c r="E446" s="2" t="str">
        <f>HYPERLINK("http://ts.21cn.com/tousu/show/id/1330871","http://ts.21cn.com/tousu/show/id/1330871")</f>
        <v>http://ts.21cn.com/tousu/show/id/1330871</v>
      </c>
      <c r="F446" s="2" t="s">
        <v>11</v>
      </c>
      <c r="G446" s="2" t="s">
        <v>43281</v>
      </c>
      <c r="H446" s="2" t="s">
        <v>43282</v>
      </c>
    </row>
    <row r="447" spans="1:8" ht="25.05" customHeight="1" x14ac:dyDescent="0.25">
      <c r="A447" s="2" t="s">
        <v>8</v>
      </c>
      <c r="B447" s="2" t="str">
        <f>HYPERLINK("http://ts.21cn.com/tousu/show/id/1330872","云闪付为非法网站提供支付通道")</f>
        <v>云闪付为非法网站提供支付通道</v>
      </c>
      <c r="C447" s="2" t="s">
        <v>9</v>
      </c>
      <c r="D447" s="2" t="s">
        <v>10</v>
      </c>
      <c r="E447" s="2" t="str">
        <f>HYPERLINK("http://ts.21cn.com/tousu/show/id/1330872","http://ts.21cn.com/tousu/show/id/1330872")</f>
        <v>http://ts.21cn.com/tousu/show/id/1330872</v>
      </c>
      <c r="F447" s="2" t="s">
        <v>11</v>
      </c>
      <c r="G447" s="2" t="s">
        <v>43279</v>
      </c>
      <c r="H447" s="2" t="s">
        <v>43280</v>
      </c>
    </row>
    <row r="448" spans="1:8" ht="25.05" customHeight="1" x14ac:dyDescent="0.25">
      <c r="A448" s="2" t="s">
        <v>8</v>
      </c>
      <c r="B448" s="2" t="str">
        <f>HYPERLINK("http://ts.21cn.com/tousu/show/id/1330874","御剑飞行高利贷砍头息")</f>
        <v>御剑飞行高利贷砍头息</v>
      </c>
      <c r="C448" s="2" t="s">
        <v>9</v>
      </c>
      <c r="D448" s="2" t="s">
        <v>10</v>
      </c>
      <c r="E448" s="2" t="str">
        <f>HYPERLINK("http://ts.21cn.com/tousu/show/id/1330874","http://ts.21cn.com/tousu/show/id/1330874")</f>
        <v>http://ts.21cn.com/tousu/show/id/1330874</v>
      </c>
      <c r="F448" s="2" t="s">
        <v>11</v>
      </c>
      <c r="G448" s="2" t="s">
        <v>43276</v>
      </c>
      <c r="H448" s="2" t="s">
        <v>43277</v>
      </c>
    </row>
    <row r="449" spans="1:8" ht="25.05" customHeight="1" x14ac:dyDescent="0.25">
      <c r="A449" s="2" t="s">
        <v>8</v>
      </c>
      <c r="B449" s="2" t="str">
        <f>HYPERLINK("http://ts.21cn.com/tousu/show/id/1330873","小赢卡贷超过法定利率不肯协商高利贷")</f>
        <v>小赢卡贷超过法定利率不肯协商高利贷</v>
      </c>
      <c r="C449" s="2" t="s">
        <v>9</v>
      </c>
      <c r="D449" s="2" t="s">
        <v>10</v>
      </c>
      <c r="E449" s="2" t="str">
        <f>HYPERLINK("http://ts.21cn.com/tousu/show/id/1330873","http://ts.21cn.com/tousu/show/id/1330873")</f>
        <v>http://ts.21cn.com/tousu/show/id/1330873</v>
      </c>
      <c r="F449" s="2" t="s">
        <v>11</v>
      </c>
      <c r="G449" s="2" t="s">
        <v>43276</v>
      </c>
      <c r="H449" s="2" t="s">
        <v>43278</v>
      </c>
    </row>
    <row r="450" spans="1:8" ht="25.05" customHeight="1" x14ac:dyDescent="0.25">
      <c r="A450" s="2" t="s">
        <v>8</v>
      </c>
      <c r="B450" s="2" t="str">
        <f>HYPERLINK("http://ts.21cn.com/tousu/show/id/1330875","钱站利息太高")</f>
        <v>钱站利息太高</v>
      </c>
      <c r="C450" s="2" t="s">
        <v>9</v>
      </c>
      <c r="D450" s="2" t="s">
        <v>10</v>
      </c>
      <c r="E450" s="2" t="str">
        <f>HYPERLINK("http://ts.21cn.com/tousu/show/id/1330875","http://ts.21cn.com/tousu/show/id/1330875")</f>
        <v>http://ts.21cn.com/tousu/show/id/1330875</v>
      </c>
      <c r="F450" s="2" t="s">
        <v>11</v>
      </c>
      <c r="G450" s="2" t="s">
        <v>43274</v>
      </c>
      <c r="H450" s="2" t="s">
        <v>43275</v>
      </c>
    </row>
    <row r="451" spans="1:8" ht="25.05" customHeight="1" x14ac:dyDescent="0.25">
      <c r="A451" s="2" t="s">
        <v>8</v>
      </c>
      <c r="B451" s="2" t="str">
        <f>HYPERLINK("http://ts.21cn.com/tousu/show/id/1330876","陌陌会员自动续费")</f>
        <v>陌陌会员自动续费</v>
      </c>
      <c r="C451" s="2" t="s">
        <v>9</v>
      </c>
      <c r="D451" s="2" t="s">
        <v>10</v>
      </c>
      <c r="E451" s="2" t="str">
        <f>HYPERLINK("http://ts.21cn.com/tousu/show/id/1330876","http://ts.21cn.com/tousu/show/id/1330876")</f>
        <v>http://ts.21cn.com/tousu/show/id/1330876</v>
      </c>
      <c r="F451" s="2" t="s">
        <v>11</v>
      </c>
      <c r="G451" s="2" t="s">
        <v>43272</v>
      </c>
      <c r="H451" s="2" t="s">
        <v>43273</v>
      </c>
    </row>
    <row r="452" spans="1:8" ht="25.05" customHeight="1" x14ac:dyDescent="0.25">
      <c r="A452" s="2" t="s">
        <v>8</v>
      </c>
      <c r="B452" s="2" t="str">
        <f>HYPERLINK("http://ts.21cn.com/tousu/show/id/1330877","贷上钱以买游戏豆为由收取高额贷款通过费")</f>
        <v>贷上钱以买游戏豆为由收取高额贷款通过费</v>
      </c>
      <c r="C452" s="2" t="s">
        <v>34</v>
      </c>
      <c r="D452" s="2" t="s">
        <v>10</v>
      </c>
      <c r="E452" s="2" t="str">
        <f>HYPERLINK("http://ts.21cn.com/tousu/show/id/1330877","http://ts.21cn.com/tousu/show/id/1330877")</f>
        <v>http://ts.21cn.com/tousu/show/id/1330877</v>
      </c>
      <c r="F452" s="2" t="s">
        <v>11</v>
      </c>
      <c r="G452" s="2" t="s">
        <v>43270</v>
      </c>
      <c r="H452" s="2" t="s">
        <v>43271</v>
      </c>
    </row>
    <row r="453" spans="1:8" ht="25.05" customHeight="1" x14ac:dyDescent="0.25">
      <c r="A453" s="2" t="s">
        <v>8</v>
      </c>
      <c r="B453" s="2" t="str">
        <f>HYPERLINK("http://ts.21cn.com/tousu/show/id/1330878","在京东购买的显卡，收到后商品有烧塑料味和异物附着，申请换货，京东以各种理由拒绝换货")</f>
        <v>在京东购买的显卡，收到后商品有烧塑料味和异物附着，申请换货，京东以各种理由拒绝换货</v>
      </c>
      <c r="C453" s="2" t="s">
        <v>9</v>
      </c>
      <c r="D453" s="2" t="s">
        <v>10</v>
      </c>
      <c r="E453" s="2" t="str">
        <f>HYPERLINK("http://ts.21cn.com/tousu/show/id/1330878","http://ts.21cn.com/tousu/show/id/1330878")</f>
        <v>http://ts.21cn.com/tousu/show/id/1330878</v>
      </c>
      <c r="F453" s="2" t="s">
        <v>11</v>
      </c>
      <c r="G453" s="2" t="s">
        <v>43268</v>
      </c>
      <c r="H453" s="2" t="s">
        <v>43269</v>
      </c>
    </row>
    <row r="454" spans="1:8" ht="25.05" customHeight="1" x14ac:dyDescent="0.25">
      <c r="A454" s="2" t="s">
        <v>8</v>
      </c>
      <c r="B454" s="2" t="str">
        <f>HYPERLINK("http://ts.21cn.com/tousu/show/id/1330881","本人的一家淘宝店其中一款宝贝没有销售，在刚上架情况下被厂家投诉售假，淘宝对本店进行扣分处罚，现在查到该厂家注册商标无效。")</f>
        <v>本人的一家淘宝店其中一款宝贝没有销售，在刚上架情况下被厂家投诉售假，淘宝对本店进行扣分处罚，现在查到该厂家注册商标无效。</v>
      </c>
      <c r="C454" s="2" t="s">
        <v>9</v>
      </c>
      <c r="D454" s="2" t="s">
        <v>10</v>
      </c>
      <c r="E454" s="2" t="str">
        <f>HYPERLINK("http://ts.21cn.com/tousu/show/id/1330881","http://ts.21cn.com/tousu/show/id/1330881")</f>
        <v>http://ts.21cn.com/tousu/show/id/1330881</v>
      </c>
      <c r="F454" s="2" t="s">
        <v>11</v>
      </c>
      <c r="G454" s="2" t="s">
        <v>43266</v>
      </c>
      <c r="H454" s="2" t="s">
        <v>43267</v>
      </c>
    </row>
    <row r="455" spans="1:8" ht="25.05" customHeight="1" x14ac:dyDescent="0.25">
      <c r="A455" s="2" t="s">
        <v>8</v>
      </c>
      <c r="B455" s="2" t="str">
        <f>HYPERLINK("http://ts.21cn.com/tousu/show/id/1330882","我来贷高利贷")</f>
        <v>我来贷高利贷</v>
      </c>
      <c r="C455" s="2" t="s">
        <v>9</v>
      </c>
      <c r="D455" s="2" t="s">
        <v>10</v>
      </c>
      <c r="E455" s="2" t="str">
        <f>HYPERLINK("http://ts.21cn.com/tousu/show/id/1330882","http://ts.21cn.com/tousu/show/id/1330882")</f>
        <v>http://ts.21cn.com/tousu/show/id/1330882</v>
      </c>
      <c r="F455" s="2" t="s">
        <v>11</v>
      </c>
      <c r="G455" s="2" t="s">
        <v>43264</v>
      </c>
      <c r="H455" s="2" t="s">
        <v>43265</v>
      </c>
    </row>
    <row r="456" spans="1:8" ht="25.05" customHeight="1" x14ac:dyDescent="0.25">
      <c r="A456" s="2" t="s">
        <v>8</v>
      </c>
      <c r="B456" s="2" t="str">
        <f>HYPERLINK("http://ts.21cn.com/tousu/show/id/1330883","高利贷")</f>
        <v>高利贷</v>
      </c>
      <c r="C456" s="2" t="s">
        <v>9</v>
      </c>
      <c r="D456" s="2" t="s">
        <v>10</v>
      </c>
      <c r="E456" s="2" t="str">
        <f>HYPERLINK("http://ts.21cn.com/tousu/show/id/1330883","http://ts.21cn.com/tousu/show/id/1330883")</f>
        <v>http://ts.21cn.com/tousu/show/id/1330883</v>
      </c>
      <c r="F456" s="2" t="s">
        <v>11</v>
      </c>
      <c r="G456" s="2" t="s">
        <v>43262</v>
      </c>
      <c r="H456" s="2" t="s">
        <v>43263</v>
      </c>
    </row>
    <row r="457" spans="1:8" ht="25.05" customHeight="1" x14ac:dyDescent="0.25">
      <c r="A457" s="2" t="s">
        <v>8</v>
      </c>
      <c r="B457" s="2" t="str">
        <f>HYPERLINK("http://ts.21cn.com/tousu/show/id/1330879","分期通恶意收取会员费用")</f>
        <v>分期通恶意收取会员费用</v>
      </c>
      <c r="C457" s="2" t="s">
        <v>9</v>
      </c>
      <c r="D457" s="2" t="s">
        <v>10</v>
      </c>
      <c r="E457" s="2" t="str">
        <f>HYPERLINK("http://ts.21cn.com/tousu/show/id/1330879","http://ts.21cn.com/tousu/show/id/1330879")</f>
        <v>http://ts.21cn.com/tousu/show/id/1330879</v>
      </c>
      <c r="F457" s="2" t="s">
        <v>11</v>
      </c>
      <c r="G457" s="2" t="s">
        <v>43260</v>
      </c>
      <c r="H457" s="2" t="s">
        <v>43261</v>
      </c>
    </row>
    <row r="458" spans="1:8" ht="25.05" customHeight="1" x14ac:dyDescent="0.25">
      <c r="A458" s="2" t="s">
        <v>8</v>
      </c>
      <c r="B458" s="2" t="str">
        <f>HYPERLINK("http://ts.21cn.com/tousu/show/id/1330880","火影帮借款高利贷")</f>
        <v>火影帮借款高利贷</v>
      </c>
      <c r="C458" s="2" t="s">
        <v>9</v>
      </c>
      <c r="D458" s="2" t="s">
        <v>10</v>
      </c>
      <c r="E458" s="2" t="str">
        <f>HYPERLINK("http://ts.21cn.com/tousu/show/id/1330880","http://ts.21cn.com/tousu/show/id/1330880")</f>
        <v>http://ts.21cn.com/tousu/show/id/1330880</v>
      </c>
      <c r="F458" s="2" t="s">
        <v>11</v>
      </c>
      <c r="G458" s="2" t="s">
        <v>43258</v>
      </c>
      <c r="H458" s="2" t="s">
        <v>43259</v>
      </c>
    </row>
    <row r="459" spans="1:8" ht="25.05" customHeight="1" x14ac:dyDescent="0.25">
      <c r="A459" s="2" t="s">
        <v>8</v>
      </c>
      <c r="B459" s="2" t="str">
        <f>HYPERLINK("http://ts.21cn.com/tousu/show/id/1330888","云闪付为非法网站提供支付通道")</f>
        <v>云闪付为非法网站提供支付通道</v>
      </c>
      <c r="C459" s="2" t="s">
        <v>9</v>
      </c>
      <c r="D459" s="2" t="s">
        <v>10</v>
      </c>
      <c r="E459" s="2" t="str">
        <f>HYPERLINK("http://ts.21cn.com/tousu/show/id/1330888","http://ts.21cn.com/tousu/show/id/1330888")</f>
        <v>http://ts.21cn.com/tousu/show/id/1330888</v>
      </c>
      <c r="F459" s="2" t="s">
        <v>11</v>
      </c>
      <c r="G459" s="2" t="s">
        <v>43256</v>
      </c>
      <c r="H459" s="2" t="s">
        <v>43257</v>
      </c>
    </row>
    <row r="460" spans="1:8" ht="25.05" customHeight="1" x14ac:dyDescent="0.25">
      <c r="A460" s="2" t="s">
        <v>8</v>
      </c>
      <c r="B460" s="2" t="str">
        <f>HYPERLINK("http://ts.21cn.com/tousu/show/id/1326942","襄阳云兴网络科技有限公司虚假宣传，违规操作，导致消费者网店倒闭")</f>
        <v>襄阳云兴网络科技有限公司虚假宣传，违规操作，导致消费者网店倒闭</v>
      </c>
      <c r="C460" s="2" t="s">
        <v>9</v>
      </c>
      <c r="D460" s="2" t="s">
        <v>10</v>
      </c>
      <c r="E460" s="2" t="str">
        <f>HYPERLINK("http://ts.21cn.com/tousu/show/id/1326942","http://ts.21cn.com/tousu/show/id/1326942")</f>
        <v>http://ts.21cn.com/tousu/show/id/1326942</v>
      </c>
      <c r="F460" s="2" t="s">
        <v>11</v>
      </c>
      <c r="G460" s="2" t="s">
        <v>43254</v>
      </c>
      <c r="H460" s="2" t="s">
        <v>43255</v>
      </c>
    </row>
    <row r="461" spans="1:8" ht="25.05" customHeight="1" x14ac:dyDescent="0.25">
      <c r="A461" s="2" t="s">
        <v>8</v>
      </c>
      <c r="B461" s="2" t="str">
        <f>HYPERLINK("http://ts.21cn.com/tousu/show/id/1330889","拼多多为赌博网站博彩公司收钱")</f>
        <v>拼多多为赌博网站博彩公司收钱</v>
      </c>
      <c r="C461" s="2" t="s">
        <v>9</v>
      </c>
      <c r="D461" s="2" t="s">
        <v>10</v>
      </c>
      <c r="E461" s="2" t="str">
        <f>HYPERLINK("http://ts.21cn.com/tousu/show/id/1330889","http://ts.21cn.com/tousu/show/id/1330889")</f>
        <v>http://ts.21cn.com/tousu/show/id/1330889</v>
      </c>
      <c r="F461" s="2" t="s">
        <v>11</v>
      </c>
      <c r="G461" s="2" t="s">
        <v>43252</v>
      </c>
      <c r="H461" s="2" t="s">
        <v>43253</v>
      </c>
    </row>
    <row r="462" spans="1:8" ht="25.05" customHeight="1" x14ac:dyDescent="0.25">
      <c r="A462" s="2" t="s">
        <v>8</v>
      </c>
      <c r="B462" s="2" t="str">
        <f>HYPERLINK("http://ts.21cn.com/tousu/show/id/1330866","威力贷暴力催收")</f>
        <v>威力贷暴力催收</v>
      </c>
      <c r="C462" s="2" t="s">
        <v>9</v>
      </c>
      <c r="D462" s="2" t="s">
        <v>10</v>
      </c>
      <c r="E462" s="2" t="str">
        <f>HYPERLINK("http://ts.21cn.com/tousu/show/id/1330866","http://ts.21cn.com/tousu/show/id/1330866")</f>
        <v>http://ts.21cn.com/tousu/show/id/1330866</v>
      </c>
      <c r="F462" s="2" t="s">
        <v>11</v>
      </c>
      <c r="G462" s="2" t="s">
        <v>43250</v>
      </c>
      <c r="H462" s="2" t="s">
        <v>43251</v>
      </c>
    </row>
    <row r="463" spans="1:8" ht="25.05" customHeight="1" x14ac:dyDescent="0.25">
      <c r="A463" s="2" t="s">
        <v>8</v>
      </c>
      <c r="B463" s="2" t="str">
        <f>HYPERLINK("http://ts.21cn.com/tousu/show/id/1330891","今借到包庇高利贷在平台放高利贷")</f>
        <v>今借到包庇高利贷在平台放高利贷</v>
      </c>
      <c r="C463" s="2" t="s">
        <v>9</v>
      </c>
      <c r="D463" s="2" t="s">
        <v>10</v>
      </c>
      <c r="E463" s="2" t="str">
        <f>HYPERLINK("http://ts.21cn.com/tousu/show/id/1330891","http://ts.21cn.com/tousu/show/id/1330891")</f>
        <v>http://ts.21cn.com/tousu/show/id/1330891</v>
      </c>
      <c r="F463" s="2" t="s">
        <v>11</v>
      </c>
      <c r="G463" s="2" t="s">
        <v>43248</v>
      </c>
      <c r="H463" s="2" t="s">
        <v>43249</v>
      </c>
    </row>
    <row r="464" spans="1:8" ht="25.05" customHeight="1" x14ac:dyDescent="0.25">
      <c r="A464" s="2" t="s">
        <v>8</v>
      </c>
      <c r="B464" s="2" t="str">
        <f>HYPERLINK("http://ts.21cn.com/tousu/show/id/1330890","变相收取巨额担保费")</f>
        <v>变相收取巨额担保费</v>
      </c>
      <c r="C464" s="2" t="s">
        <v>9</v>
      </c>
      <c r="D464" s="2" t="s">
        <v>10</v>
      </c>
      <c r="E464" s="2" t="str">
        <f>HYPERLINK("http://ts.21cn.com/tousu/show/id/1330890","http://ts.21cn.com/tousu/show/id/1330890")</f>
        <v>http://ts.21cn.com/tousu/show/id/1330890</v>
      </c>
      <c r="F464" s="2" t="s">
        <v>11</v>
      </c>
      <c r="G464" s="2" t="s">
        <v>43246</v>
      </c>
      <c r="H464" s="2" t="s">
        <v>43247</v>
      </c>
    </row>
    <row r="465" spans="1:8" ht="25.05" customHeight="1" x14ac:dyDescent="0.25">
      <c r="A465" s="2" t="s">
        <v>8</v>
      </c>
      <c r="B465" s="2" t="str">
        <f>HYPERLINK("http://ts.21cn.com/tousu/show/id/1330893","退还解冻资金")</f>
        <v>退还解冻资金</v>
      </c>
      <c r="C465" s="2" t="s">
        <v>9</v>
      </c>
      <c r="D465" s="2" t="s">
        <v>10</v>
      </c>
      <c r="E465" s="2" t="str">
        <f>HYPERLINK("http://ts.21cn.com/tousu/show/id/1330893","http://ts.21cn.com/tousu/show/id/1330893")</f>
        <v>http://ts.21cn.com/tousu/show/id/1330893</v>
      </c>
      <c r="F465" s="2" t="s">
        <v>11</v>
      </c>
      <c r="G465" s="2" t="s">
        <v>43244</v>
      </c>
      <c r="H465" s="2" t="s">
        <v>43245</v>
      </c>
    </row>
    <row r="466" spans="1:8" ht="25.05" customHeight="1" x14ac:dyDescent="0.25">
      <c r="A466" s="2" t="s">
        <v>8</v>
      </c>
      <c r="B466" s="2" t="str">
        <f>HYPERLINK("http://ts.21cn.com/tousu/show/id/1330570","钱站高利贷阴阳合同")</f>
        <v>钱站高利贷阴阳合同</v>
      </c>
      <c r="C466" s="2" t="s">
        <v>9</v>
      </c>
      <c r="D466" s="2" t="s">
        <v>10</v>
      </c>
      <c r="E466" s="2" t="str">
        <f>HYPERLINK("http://ts.21cn.com/tousu/show/id/1330570","http://ts.21cn.com/tousu/show/id/1330570")</f>
        <v>http://ts.21cn.com/tousu/show/id/1330570</v>
      </c>
      <c r="F466" s="2" t="s">
        <v>11</v>
      </c>
      <c r="G466" s="2" t="s">
        <v>43242</v>
      </c>
      <c r="H466" s="2" t="s">
        <v>43243</v>
      </c>
    </row>
    <row r="467" spans="1:8" ht="25.05" customHeight="1" x14ac:dyDescent="0.25">
      <c r="A467" s="2" t="s">
        <v>8</v>
      </c>
      <c r="B467" s="2" t="str">
        <f>HYPERLINK("http://ts.21cn.com/tousu/show/id/1330894","牛人有品威胁爆通讯录")</f>
        <v>牛人有品威胁爆通讯录</v>
      </c>
      <c r="C467" s="2" t="s">
        <v>9</v>
      </c>
      <c r="D467" s="2" t="s">
        <v>10</v>
      </c>
      <c r="E467" s="2" t="str">
        <f>HYPERLINK("http://ts.21cn.com/tousu/show/id/1330894","http://ts.21cn.com/tousu/show/id/1330894")</f>
        <v>http://ts.21cn.com/tousu/show/id/1330894</v>
      </c>
      <c r="F467" s="2" t="s">
        <v>11</v>
      </c>
      <c r="G467" s="2" t="s">
        <v>43240</v>
      </c>
      <c r="H467" s="2" t="s">
        <v>43241</v>
      </c>
    </row>
    <row r="468" spans="1:8" ht="25.05" customHeight="1" x14ac:dyDescent="0.25">
      <c r="A468" s="2" t="s">
        <v>8</v>
      </c>
      <c r="B468" s="2" t="str">
        <f>HYPERLINK("http://ts.21cn.com/tousu/show/id/1330895","淘宝闲鱼买家恶意退款，申请平台介入，平台不处理")</f>
        <v>淘宝闲鱼买家恶意退款，申请平台介入，平台不处理</v>
      </c>
      <c r="C468" s="2" t="s">
        <v>9</v>
      </c>
      <c r="D468" s="2" t="s">
        <v>10</v>
      </c>
      <c r="E468" s="2" t="str">
        <f>HYPERLINK("http://ts.21cn.com/tousu/show/id/1330895","http://ts.21cn.com/tousu/show/id/1330895")</f>
        <v>http://ts.21cn.com/tousu/show/id/1330895</v>
      </c>
      <c r="F468" s="2" t="s">
        <v>11</v>
      </c>
      <c r="G468" s="2" t="s">
        <v>43238</v>
      </c>
      <c r="H468" s="2" t="s">
        <v>43239</v>
      </c>
    </row>
    <row r="469" spans="1:8" ht="25.05" customHeight="1" x14ac:dyDescent="0.25">
      <c r="A469" s="2" t="s">
        <v>8</v>
      </c>
      <c r="B469" s="2" t="str">
        <f>HYPERLINK("http://ts.21cn.com/tousu/show/id/1330898","联动云短租提前还车不退钱")</f>
        <v>联动云短租提前还车不退钱</v>
      </c>
      <c r="C469" s="2" t="s">
        <v>34</v>
      </c>
      <c r="D469" s="2" t="s">
        <v>10</v>
      </c>
      <c r="E469" s="2" t="str">
        <f>HYPERLINK("http://ts.21cn.com/tousu/show/id/1330898","http://ts.21cn.com/tousu/show/id/1330898")</f>
        <v>http://ts.21cn.com/tousu/show/id/1330898</v>
      </c>
      <c r="F469" s="2" t="s">
        <v>11</v>
      </c>
      <c r="G469" s="2" t="s">
        <v>43236</v>
      </c>
      <c r="H469" s="2" t="s">
        <v>43237</v>
      </c>
    </row>
    <row r="470" spans="1:8" ht="25.05" customHeight="1" x14ac:dyDescent="0.25">
      <c r="A470" s="2" t="s">
        <v>8</v>
      </c>
      <c r="B470" s="2" t="str">
        <f>HYPERLINK("http://ts.21cn.com/tousu/show/id/1330896","金鸡下蛋高利贷放款，汇潮支付协助放款")</f>
        <v>金鸡下蛋高利贷放款，汇潮支付协助放款</v>
      </c>
      <c r="C470" s="2" t="s">
        <v>9</v>
      </c>
      <c r="D470" s="2" t="s">
        <v>10</v>
      </c>
      <c r="E470" s="2" t="str">
        <f>HYPERLINK("http://ts.21cn.com/tousu/show/id/1330896","http://ts.21cn.com/tousu/show/id/1330896")</f>
        <v>http://ts.21cn.com/tousu/show/id/1330896</v>
      </c>
      <c r="F470" s="2" t="s">
        <v>11</v>
      </c>
      <c r="G470" s="2" t="s">
        <v>43234</v>
      </c>
      <c r="H470" s="2" t="s">
        <v>43235</v>
      </c>
    </row>
    <row r="471" spans="1:8" ht="25.05" customHeight="1" x14ac:dyDescent="0.25">
      <c r="A471" s="2" t="s">
        <v>8</v>
      </c>
      <c r="B471" s="2" t="str">
        <f>HYPERLINK("http://ts.21cn.com/tousu/show/id/1330897","柯基贷套路，高利贷暴力催收")</f>
        <v>柯基贷套路，高利贷暴力催收</v>
      </c>
      <c r="C471" s="2" t="s">
        <v>9</v>
      </c>
      <c r="D471" s="2" t="s">
        <v>10</v>
      </c>
      <c r="E471" s="2" t="str">
        <f>HYPERLINK("http://ts.21cn.com/tousu/show/id/1330897","http://ts.21cn.com/tousu/show/id/1330897")</f>
        <v>http://ts.21cn.com/tousu/show/id/1330897</v>
      </c>
      <c r="F471" s="2" t="s">
        <v>11</v>
      </c>
      <c r="G471" s="2" t="s">
        <v>43232</v>
      </c>
      <c r="H471" s="2" t="s">
        <v>43233</v>
      </c>
    </row>
    <row r="472" spans="1:8" ht="25.05" customHeight="1" x14ac:dyDescent="0.25">
      <c r="A472" s="2" t="s">
        <v>8</v>
      </c>
      <c r="B472" s="2" t="str">
        <f>HYPERLINK("http://ts.21cn.com/tousu/show/id/1330899","闲鱼商家出售违禁物品")</f>
        <v>闲鱼商家出售违禁物品</v>
      </c>
      <c r="C472" s="2" t="s">
        <v>9</v>
      </c>
      <c r="D472" s="2" t="s">
        <v>10</v>
      </c>
      <c r="E472" s="2" t="str">
        <f>HYPERLINK("http://ts.21cn.com/tousu/show/id/1330899","http://ts.21cn.com/tousu/show/id/1330899")</f>
        <v>http://ts.21cn.com/tousu/show/id/1330899</v>
      </c>
      <c r="F472" s="2" t="s">
        <v>11</v>
      </c>
      <c r="G472" s="2" t="s">
        <v>43230</v>
      </c>
      <c r="H472" s="2" t="s">
        <v>43231</v>
      </c>
    </row>
    <row r="473" spans="1:8" ht="25.05" customHeight="1" x14ac:dyDescent="0.25">
      <c r="A473" s="2" t="s">
        <v>8</v>
      </c>
      <c r="B473" s="2" t="str">
        <f>HYPERLINK("http://ts.21cn.com/tousu/show/id/1330901","普惠快信超高利贷暴力催收，威胁，侮辱")</f>
        <v>普惠快信超高利贷暴力催收，威胁，侮辱</v>
      </c>
      <c r="C473" s="2" t="s">
        <v>9</v>
      </c>
      <c r="D473" s="2" t="s">
        <v>10</v>
      </c>
      <c r="E473" s="2" t="str">
        <f>HYPERLINK("http://ts.21cn.com/tousu/show/id/1330901","http://ts.21cn.com/tousu/show/id/1330901")</f>
        <v>http://ts.21cn.com/tousu/show/id/1330901</v>
      </c>
      <c r="F473" s="2" t="s">
        <v>11</v>
      </c>
      <c r="G473" s="2" t="s">
        <v>43228</v>
      </c>
      <c r="H473" s="2" t="s">
        <v>43229</v>
      </c>
    </row>
    <row r="474" spans="1:8" ht="25.05" customHeight="1" x14ac:dyDescent="0.25">
      <c r="A474" s="2" t="s">
        <v>8</v>
      </c>
      <c r="B474" s="2" t="str">
        <f>HYPERLINK("http://ts.21cn.com/tousu/show/id/1330903","呗呗分期套路贷")</f>
        <v>呗呗分期套路贷</v>
      </c>
      <c r="C474" s="2" t="s">
        <v>9</v>
      </c>
      <c r="D474" s="2" t="s">
        <v>10</v>
      </c>
      <c r="E474" s="2" t="str">
        <f>HYPERLINK("http://ts.21cn.com/tousu/show/id/1330903","http://ts.21cn.com/tousu/show/id/1330903")</f>
        <v>http://ts.21cn.com/tousu/show/id/1330903</v>
      </c>
      <c r="F474" s="2" t="s">
        <v>11</v>
      </c>
      <c r="G474" s="2" t="s">
        <v>43227</v>
      </c>
      <c r="H474" s="2" t="s">
        <v>43188</v>
      </c>
    </row>
    <row r="475" spans="1:8" ht="25.05" customHeight="1" x14ac:dyDescent="0.25">
      <c r="A475" s="2" t="s">
        <v>8</v>
      </c>
      <c r="B475" s="2" t="str">
        <f>HYPERLINK("http://ts.21cn.com/tousu/show/id/1330904","360借条高利贷")</f>
        <v>360借条高利贷</v>
      </c>
      <c r="C475" s="2" t="s">
        <v>9</v>
      </c>
      <c r="D475" s="2" t="s">
        <v>10</v>
      </c>
      <c r="E475" s="2" t="str">
        <f>HYPERLINK("http://ts.21cn.com/tousu/show/id/1330904","http://ts.21cn.com/tousu/show/id/1330904")</f>
        <v>http://ts.21cn.com/tousu/show/id/1330904</v>
      </c>
      <c r="F475" s="2" t="s">
        <v>11</v>
      </c>
      <c r="G475" s="2" t="s">
        <v>43225</v>
      </c>
      <c r="H475" s="2" t="s">
        <v>43226</v>
      </c>
    </row>
    <row r="476" spans="1:8" ht="25.05" customHeight="1" x14ac:dyDescent="0.25">
      <c r="A476" s="2" t="s">
        <v>8</v>
      </c>
      <c r="B476" s="2" t="str">
        <f>HYPERLINK("http://ts.21cn.com/tousu/show/id/1330892","中国移动公司拼多多平台百度涉嫌赌博")</f>
        <v>中国移动公司拼多多平台百度涉嫌赌博</v>
      </c>
      <c r="C476" s="2" t="s">
        <v>9</v>
      </c>
      <c r="D476" s="2" t="s">
        <v>10</v>
      </c>
      <c r="E476" s="2" t="str">
        <f>HYPERLINK("http://ts.21cn.com/tousu/show/id/1330892","http://ts.21cn.com/tousu/show/id/1330892")</f>
        <v>http://ts.21cn.com/tousu/show/id/1330892</v>
      </c>
      <c r="F476" s="2" t="s">
        <v>11</v>
      </c>
      <c r="G476" s="2" t="s">
        <v>43223</v>
      </c>
      <c r="H476" s="2" t="s">
        <v>43224</v>
      </c>
    </row>
    <row r="477" spans="1:8" ht="25.05" customHeight="1" x14ac:dyDescent="0.25">
      <c r="A477" s="2" t="s">
        <v>8</v>
      </c>
      <c r="B477" s="2" t="str">
        <f>HYPERLINK("http://ts.21cn.com/tousu/show/id/1330905","已还款未销账")</f>
        <v>已还款未销账</v>
      </c>
      <c r="C477" s="2" t="s">
        <v>34</v>
      </c>
      <c r="D477" s="2" t="s">
        <v>10</v>
      </c>
      <c r="E477" s="2" t="str">
        <f>HYPERLINK("http://ts.21cn.com/tousu/show/id/1330905","http://ts.21cn.com/tousu/show/id/1330905")</f>
        <v>http://ts.21cn.com/tousu/show/id/1330905</v>
      </c>
      <c r="F477" s="2" t="s">
        <v>11</v>
      </c>
      <c r="G477" s="2" t="s">
        <v>43221</v>
      </c>
      <c r="H477" s="2" t="s">
        <v>43222</v>
      </c>
    </row>
    <row r="478" spans="1:8" ht="25.05" customHeight="1" x14ac:dyDescent="0.25">
      <c r="A478" s="2" t="s">
        <v>8</v>
      </c>
      <c r="B478" s="2" t="str">
        <f>HYPERLINK("http://ts.21cn.com/tousu/show/id/1330906","易小借未经本人同意恶意扣款")</f>
        <v>易小借未经本人同意恶意扣款</v>
      </c>
      <c r="C478" s="2" t="s">
        <v>9</v>
      </c>
      <c r="D478" s="2" t="s">
        <v>10</v>
      </c>
      <c r="E478" s="2" t="str">
        <f>HYPERLINK("http://ts.21cn.com/tousu/show/id/1330906","http://ts.21cn.com/tousu/show/id/1330906")</f>
        <v>http://ts.21cn.com/tousu/show/id/1330906</v>
      </c>
      <c r="F478" s="2" t="s">
        <v>11</v>
      </c>
      <c r="G478" s="2" t="s">
        <v>43219</v>
      </c>
      <c r="H478" s="2" t="s">
        <v>43220</v>
      </c>
    </row>
    <row r="479" spans="1:8" ht="25.05" customHeight="1" x14ac:dyDescent="0.25">
      <c r="A479" s="2" t="s">
        <v>8</v>
      </c>
      <c r="B479" s="2" t="str">
        <f>HYPERLINK("http://ts.21cn.com/tousu/show/id/1330907","贷上钱爆紧急联系人外的电话")</f>
        <v>贷上钱爆紧急联系人外的电话</v>
      </c>
      <c r="C479" s="2" t="s">
        <v>9</v>
      </c>
      <c r="D479" s="2" t="s">
        <v>10</v>
      </c>
      <c r="E479" s="2" t="str">
        <f>HYPERLINK("http://ts.21cn.com/tousu/show/id/1330907","http://ts.21cn.com/tousu/show/id/1330907")</f>
        <v>http://ts.21cn.com/tousu/show/id/1330907</v>
      </c>
      <c r="F479" s="2" t="s">
        <v>11</v>
      </c>
      <c r="G479" s="2" t="s">
        <v>43217</v>
      </c>
      <c r="H479" s="2" t="s">
        <v>43218</v>
      </c>
    </row>
    <row r="480" spans="1:8" ht="25.05" customHeight="1" x14ac:dyDescent="0.25">
      <c r="A480" s="2" t="s">
        <v>8</v>
      </c>
      <c r="B480" s="2" t="str">
        <f>HYPERLINK("http://ts.21cn.com/tousu/show/id/1330908","快递消失了、百世客服不解决")</f>
        <v>快递消失了、百世客服不解决</v>
      </c>
      <c r="C480" s="2" t="s">
        <v>34</v>
      </c>
      <c r="D480" s="2" t="s">
        <v>10</v>
      </c>
      <c r="E480" s="2" t="str">
        <f>HYPERLINK("http://ts.21cn.com/tousu/show/id/1330908","http://ts.21cn.com/tousu/show/id/1330908")</f>
        <v>http://ts.21cn.com/tousu/show/id/1330908</v>
      </c>
      <c r="F480" s="2" t="s">
        <v>11</v>
      </c>
      <c r="G480" s="2" t="s">
        <v>43215</v>
      </c>
      <c r="H480" s="2" t="s">
        <v>43216</v>
      </c>
    </row>
    <row r="481" spans="1:8" ht="25.05" customHeight="1" x14ac:dyDescent="0.25">
      <c r="A481" s="2" t="s">
        <v>8</v>
      </c>
      <c r="B481" s="2" t="str">
        <f>HYPERLINK("http://ts.21cn.com/tousu/show/id/1330911","拍拍贷还款因为手机号码变了更改不了还不进去钱反馈问题后一直没有解决在没有解决问题的情况下联系家人")</f>
        <v>拍拍贷还款因为手机号码变了更改不了还不进去钱反馈问题后一直没有解决在没有解决问题的情况下联系家人</v>
      </c>
      <c r="C481" s="2" t="s">
        <v>9</v>
      </c>
      <c r="D481" s="2" t="s">
        <v>10</v>
      </c>
      <c r="E481" s="2" t="str">
        <f>HYPERLINK("http://ts.21cn.com/tousu/show/id/1330911","http://ts.21cn.com/tousu/show/id/1330911")</f>
        <v>http://ts.21cn.com/tousu/show/id/1330911</v>
      </c>
      <c r="F481" s="2" t="s">
        <v>11</v>
      </c>
      <c r="G481" s="2" t="s">
        <v>43213</v>
      </c>
      <c r="H481" s="2" t="s">
        <v>43214</v>
      </c>
    </row>
    <row r="482" spans="1:8" ht="25.05" customHeight="1" x14ac:dyDescent="0.25">
      <c r="A482" s="2" t="s">
        <v>8</v>
      </c>
      <c r="B482" s="2" t="str">
        <f>HYPERLINK("http://ts.21cn.com/tousu/show/id/1330912","玖富亿贝卡自动与主动还款都失败要求撤销征信记录")</f>
        <v>玖富亿贝卡自动与主动还款都失败要求撤销征信记录</v>
      </c>
      <c r="C482" s="2" t="s">
        <v>9</v>
      </c>
      <c r="D482" s="2" t="s">
        <v>10</v>
      </c>
      <c r="E482" s="2" t="str">
        <f>HYPERLINK("http://ts.21cn.com/tousu/show/id/1330912","http://ts.21cn.com/tousu/show/id/1330912")</f>
        <v>http://ts.21cn.com/tousu/show/id/1330912</v>
      </c>
      <c r="F482" s="2" t="s">
        <v>11</v>
      </c>
      <c r="G482" s="2" t="s">
        <v>43211</v>
      </c>
      <c r="H482" s="2" t="s">
        <v>43212</v>
      </c>
    </row>
    <row r="483" spans="1:8" ht="25.05" customHeight="1" x14ac:dyDescent="0.25">
      <c r="A483" s="2" t="s">
        <v>8</v>
      </c>
      <c r="B483" s="2" t="str">
        <f>HYPERLINK("http://ts.21cn.com/tousu/show/id/1330913","威力贷高利贷放款，汇潮支付违规协助放款")</f>
        <v>威力贷高利贷放款，汇潮支付违规协助放款</v>
      </c>
      <c r="C483" s="2" t="s">
        <v>9</v>
      </c>
      <c r="D483" s="2" t="s">
        <v>10</v>
      </c>
      <c r="E483" s="2" t="str">
        <f>HYPERLINK("http://ts.21cn.com/tousu/show/id/1330913","http://ts.21cn.com/tousu/show/id/1330913")</f>
        <v>http://ts.21cn.com/tousu/show/id/1330913</v>
      </c>
      <c r="F483" s="2" t="s">
        <v>11</v>
      </c>
      <c r="G483" s="2" t="s">
        <v>43209</v>
      </c>
      <c r="H483" s="2" t="s">
        <v>43210</v>
      </c>
    </row>
    <row r="484" spans="1:8" ht="25.05" customHeight="1" x14ac:dyDescent="0.25">
      <c r="A484" s="2" t="s">
        <v>8</v>
      </c>
      <c r="B484" s="2" t="str">
        <f>HYPERLINK("http://ts.21cn.com/tousu/show/id/1330914","轮渡一定要有车子才会走吗")</f>
        <v>轮渡一定要有车子才会走吗</v>
      </c>
      <c r="C484" s="2" t="s">
        <v>34</v>
      </c>
      <c r="D484" s="2" t="s">
        <v>10</v>
      </c>
      <c r="E484" s="2" t="str">
        <f>HYPERLINK("http://ts.21cn.com/tousu/show/id/1330914","http://ts.21cn.com/tousu/show/id/1330914")</f>
        <v>http://ts.21cn.com/tousu/show/id/1330914</v>
      </c>
      <c r="F484" s="2" t="s">
        <v>11</v>
      </c>
      <c r="G484" s="2" t="s">
        <v>43207</v>
      </c>
      <c r="H484" s="2" t="s">
        <v>43208</v>
      </c>
    </row>
    <row r="485" spans="1:8" ht="25.05" customHeight="1" x14ac:dyDescent="0.25">
      <c r="A485" s="2" t="s">
        <v>8</v>
      </c>
      <c r="B485" s="2" t="str">
        <f>HYPERLINK("http://ts.21cn.com/tousu/show/id/1330915","耳机退货无人受理")</f>
        <v>耳机退货无人受理</v>
      </c>
      <c r="C485" s="2" t="s">
        <v>9</v>
      </c>
      <c r="D485" s="2" t="s">
        <v>10</v>
      </c>
      <c r="E485" s="2" t="str">
        <f>HYPERLINK("http://ts.21cn.com/tousu/show/id/1330915","http://ts.21cn.com/tousu/show/id/1330915")</f>
        <v>http://ts.21cn.com/tousu/show/id/1330915</v>
      </c>
      <c r="F485" s="2" t="s">
        <v>11</v>
      </c>
      <c r="G485" s="2" t="s">
        <v>43205</v>
      </c>
      <c r="H485" s="2" t="s">
        <v>43206</v>
      </c>
    </row>
    <row r="486" spans="1:8" ht="25.05" customHeight="1" x14ac:dyDescent="0.25">
      <c r="A486" s="2" t="s">
        <v>8</v>
      </c>
      <c r="B486" s="2" t="str">
        <f>HYPERLINK("http://ts.21cn.com/tousu/show/id/1330917","投诉为赌博平台提供充值渠道")</f>
        <v>投诉为赌博平台提供充值渠道</v>
      </c>
      <c r="C486" s="2" t="s">
        <v>9</v>
      </c>
      <c r="D486" s="2" t="s">
        <v>10</v>
      </c>
      <c r="E486" s="2" t="str">
        <f>HYPERLINK("http://ts.21cn.com/tousu/show/id/1330917","http://ts.21cn.com/tousu/show/id/1330917")</f>
        <v>http://ts.21cn.com/tousu/show/id/1330917</v>
      </c>
      <c r="F486" s="2" t="s">
        <v>11</v>
      </c>
      <c r="G486" s="2" t="s">
        <v>43203</v>
      </c>
      <c r="H486" s="2" t="s">
        <v>43204</v>
      </c>
    </row>
    <row r="487" spans="1:8" ht="25.05" customHeight="1" x14ac:dyDescent="0.25">
      <c r="A487" s="2" t="s">
        <v>8</v>
      </c>
      <c r="B487" s="2" t="str">
        <f>HYPERLINK("http://ts.21cn.com/tousu/show/id/1330921","霸王条款，")</f>
        <v>霸王条款，</v>
      </c>
      <c r="C487" s="2" t="s">
        <v>9</v>
      </c>
      <c r="D487" s="2" t="s">
        <v>10</v>
      </c>
      <c r="E487" s="2" t="str">
        <f>HYPERLINK("http://ts.21cn.com/tousu/show/id/1330921","http://ts.21cn.com/tousu/show/id/1330921")</f>
        <v>http://ts.21cn.com/tousu/show/id/1330921</v>
      </c>
      <c r="F487" s="2" t="s">
        <v>11</v>
      </c>
      <c r="G487" s="2" t="s">
        <v>43201</v>
      </c>
      <c r="H487" s="2" t="s">
        <v>43202</v>
      </c>
    </row>
    <row r="488" spans="1:8" ht="25.05" customHeight="1" x14ac:dyDescent="0.25">
      <c r="A488" s="2" t="s">
        <v>8</v>
      </c>
      <c r="B488" s="2" t="str">
        <f>HYPERLINK("http://ts.21cn.com/tousu/show/id/1330920","爱奇艺自动扣费")</f>
        <v>爱奇艺自动扣费</v>
      </c>
      <c r="C488" s="2" t="s">
        <v>9</v>
      </c>
      <c r="D488" s="2" t="s">
        <v>10</v>
      </c>
      <c r="E488" s="2" t="str">
        <f>HYPERLINK("http://ts.21cn.com/tousu/show/id/1330920","http://ts.21cn.com/tousu/show/id/1330920")</f>
        <v>http://ts.21cn.com/tousu/show/id/1330920</v>
      </c>
      <c r="F488" s="2" t="s">
        <v>11</v>
      </c>
      <c r="G488" s="2" t="s">
        <v>43199</v>
      </c>
      <c r="H488" s="2" t="s">
        <v>43200</v>
      </c>
    </row>
    <row r="489" spans="1:8" ht="25.05" customHeight="1" x14ac:dyDescent="0.25">
      <c r="A489" s="2" t="s">
        <v>8</v>
      </c>
      <c r="B489" s="2" t="str">
        <f>HYPERLINK("http://ts.21cn.com/tousu/show/id/1330922","怎么解绑深圳快付通")</f>
        <v>怎么解绑深圳快付通</v>
      </c>
      <c r="C489" s="2" t="s">
        <v>34</v>
      </c>
      <c r="D489" s="2" t="s">
        <v>10</v>
      </c>
      <c r="E489" s="2" t="str">
        <f>HYPERLINK("http://ts.21cn.com/tousu/show/id/1330922","http://ts.21cn.com/tousu/show/id/1330922")</f>
        <v>http://ts.21cn.com/tousu/show/id/1330922</v>
      </c>
      <c r="F489" s="2" t="s">
        <v>11</v>
      </c>
      <c r="G489" s="2" t="s">
        <v>43197</v>
      </c>
      <c r="H489" s="2" t="s">
        <v>43198</v>
      </c>
    </row>
    <row r="490" spans="1:8" ht="25.05" customHeight="1" x14ac:dyDescent="0.25">
      <c r="A490" s="2" t="s">
        <v>8</v>
      </c>
      <c r="B490" s="2" t="str">
        <f>HYPERLINK("http://ts.21cn.com/tousu/show/id/1330923","捷信暴力催收")</f>
        <v>捷信暴力催收</v>
      </c>
      <c r="C490" s="2" t="s">
        <v>9</v>
      </c>
      <c r="D490" s="2" t="s">
        <v>10</v>
      </c>
      <c r="E490" s="2" t="str">
        <f>HYPERLINK("http://ts.21cn.com/tousu/show/id/1330923","http://ts.21cn.com/tousu/show/id/1330923")</f>
        <v>http://ts.21cn.com/tousu/show/id/1330923</v>
      </c>
      <c r="F490" s="2" t="s">
        <v>11</v>
      </c>
      <c r="G490" s="2" t="s">
        <v>43195</v>
      </c>
      <c r="H490" s="2" t="s">
        <v>43196</v>
      </c>
    </row>
    <row r="491" spans="1:8" ht="25.05" customHeight="1" x14ac:dyDescent="0.25">
      <c r="A491" s="2" t="s">
        <v>8</v>
      </c>
      <c r="B491" s="2" t="str">
        <f>HYPERLINK("http://ts.21cn.com/tousu/show/id/1330924","中国移动随意乱扣取费用")</f>
        <v>中国移动随意乱扣取费用</v>
      </c>
      <c r="C491" s="2" t="s">
        <v>9</v>
      </c>
      <c r="D491" s="2" t="s">
        <v>10</v>
      </c>
      <c r="E491" s="2" t="str">
        <f>HYPERLINK("http://ts.21cn.com/tousu/show/id/1330924","http://ts.21cn.com/tousu/show/id/1330924")</f>
        <v>http://ts.21cn.com/tousu/show/id/1330924</v>
      </c>
      <c r="F491" s="2" t="s">
        <v>11</v>
      </c>
      <c r="G491" s="2" t="s">
        <v>43193</v>
      </c>
      <c r="H491" s="2" t="s">
        <v>43194</v>
      </c>
    </row>
    <row r="492" spans="1:8" ht="25.05" customHeight="1" x14ac:dyDescent="0.25">
      <c r="A492" s="2" t="s">
        <v>8</v>
      </c>
      <c r="B492" s="2" t="str">
        <f>HYPERLINK("http://ts.21cn.com/tousu/show/id/1330925","小花钱包威胁暴力催收短信轰炸")</f>
        <v>小花钱包威胁暴力催收短信轰炸</v>
      </c>
      <c r="C492" s="2" t="s">
        <v>9</v>
      </c>
      <c r="D492" s="2" t="s">
        <v>10</v>
      </c>
      <c r="E492" s="2" t="str">
        <f>HYPERLINK("http://ts.21cn.com/tousu/show/id/1330925","http://ts.21cn.com/tousu/show/id/1330925")</f>
        <v>http://ts.21cn.com/tousu/show/id/1330925</v>
      </c>
      <c r="F492" s="2" t="s">
        <v>11</v>
      </c>
      <c r="G492" s="2" t="s">
        <v>43191</v>
      </c>
      <c r="H492" s="2" t="s">
        <v>43192</v>
      </c>
    </row>
    <row r="493" spans="1:8" ht="25.05" customHeight="1" x14ac:dyDescent="0.25">
      <c r="A493" s="2" t="s">
        <v>8</v>
      </c>
      <c r="B493" s="2" t="str">
        <f>HYPERLINK("http://ts.21cn.com/tousu/show/id/1330926","云闪付为非法网站提供支付通道")</f>
        <v>云闪付为非法网站提供支付通道</v>
      </c>
      <c r="C493" s="2" t="s">
        <v>9</v>
      </c>
      <c r="D493" s="2" t="s">
        <v>10</v>
      </c>
      <c r="E493" s="2" t="str">
        <f>HYPERLINK("http://ts.21cn.com/tousu/show/id/1330926","http://ts.21cn.com/tousu/show/id/1330926")</f>
        <v>http://ts.21cn.com/tousu/show/id/1330926</v>
      </c>
      <c r="F493" s="2" t="s">
        <v>11</v>
      </c>
      <c r="G493" s="2" t="s">
        <v>43189</v>
      </c>
      <c r="H493" s="2" t="s">
        <v>43190</v>
      </c>
    </row>
    <row r="494" spans="1:8" ht="25.05" customHeight="1" x14ac:dyDescent="0.25">
      <c r="A494" s="2" t="s">
        <v>8</v>
      </c>
      <c r="B494" s="2" t="str">
        <f>HYPERLINK("http://ts.21cn.com/tousu/show/id/1330928","菜鸟有钱")</f>
        <v>菜鸟有钱</v>
      </c>
      <c r="C494" s="2" t="s">
        <v>9</v>
      </c>
      <c r="D494" s="2" t="s">
        <v>10</v>
      </c>
      <c r="E494" s="2" t="str">
        <f>HYPERLINK("http://ts.21cn.com/tousu/show/id/1330928","http://ts.21cn.com/tousu/show/id/1330928")</f>
        <v>http://ts.21cn.com/tousu/show/id/1330928</v>
      </c>
      <c r="F494" s="2" t="s">
        <v>11</v>
      </c>
      <c r="G494" s="2" t="s">
        <v>43187</v>
      </c>
      <c r="H494" s="2" t="s">
        <v>43188</v>
      </c>
    </row>
    <row r="495" spans="1:8" ht="25.05" customHeight="1" x14ac:dyDescent="0.25">
      <c r="A495" s="2" t="s">
        <v>8</v>
      </c>
      <c r="B495" s="2" t="str">
        <f>HYPERLINK("http://ts.21cn.com/tousu/show/id/1330929","小度有钱乱扣钱，不退还")</f>
        <v>小度有钱乱扣钱，不退还</v>
      </c>
      <c r="C495" s="2" t="s">
        <v>9</v>
      </c>
      <c r="D495" s="2" t="s">
        <v>10</v>
      </c>
      <c r="E495" s="2" t="str">
        <f>HYPERLINK("http://ts.21cn.com/tousu/show/id/1330929","http://ts.21cn.com/tousu/show/id/1330929")</f>
        <v>http://ts.21cn.com/tousu/show/id/1330929</v>
      </c>
      <c r="F495" s="2" t="s">
        <v>11</v>
      </c>
      <c r="G495" s="2" t="s">
        <v>43185</v>
      </c>
      <c r="H495" s="2" t="s">
        <v>43186</v>
      </c>
    </row>
    <row r="496" spans="1:8" ht="25.05" customHeight="1" x14ac:dyDescent="0.25">
      <c r="A496" s="2" t="s">
        <v>8</v>
      </c>
      <c r="B496" s="2" t="str">
        <f>HYPERLINK("http://ts.21cn.com/tousu/show/id/1330930","贷上钱催收服务费")</f>
        <v>贷上钱催收服务费</v>
      </c>
      <c r="C496" s="2" t="s">
        <v>9</v>
      </c>
      <c r="D496" s="2" t="s">
        <v>10</v>
      </c>
      <c r="E496" s="2" t="str">
        <f>HYPERLINK("http://ts.21cn.com/tousu/show/id/1330930","http://ts.21cn.com/tousu/show/id/1330930")</f>
        <v>http://ts.21cn.com/tousu/show/id/1330930</v>
      </c>
      <c r="F496" s="2" t="s">
        <v>11</v>
      </c>
      <c r="G496" s="2" t="s">
        <v>43183</v>
      </c>
      <c r="H496" s="2" t="s">
        <v>43184</v>
      </c>
    </row>
    <row r="497" spans="1:8" ht="25.05" customHeight="1" x14ac:dyDescent="0.25">
      <c r="A497" s="2" t="s">
        <v>8</v>
      </c>
      <c r="B497" s="2" t="str">
        <f>HYPERLINK("http://ts.21cn.com/tousu/show/id/1330931","众安保险勾结高利贷小赢卡贷欺瞒借款人，保险合同漏洞百出")</f>
        <v>众安保险勾结高利贷小赢卡贷欺瞒借款人，保险合同漏洞百出</v>
      </c>
      <c r="C497" s="2" t="s">
        <v>9</v>
      </c>
      <c r="D497" s="2" t="s">
        <v>10</v>
      </c>
      <c r="E497" s="2" t="str">
        <f>HYPERLINK("http://ts.21cn.com/tousu/show/id/1330931","http://ts.21cn.com/tousu/show/id/1330931")</f>
        <v>http://ts.21cn.com/tousu/show/id/1330931</v>
      </c>
      <c r="F497" s="2" t="s">
        <v>11</v>
      </c>
      <c r="G497" s="2" t="s">
        <v>43181</v>
      </c>
      <c r="H497" s="2" t="s">
        <v>43182</v>
      </c>
    </row>
    <row r="498" spans="1:8" ht="25.05" customHeight="1" x14ac:dyDescent="0.25">
      <c r="A498" s="2" t="s">
        <v>8</v>
      </c>
      <c r="B498" s="2" t="str">
        <f>HYPERLINK("http://ts.21cn.com/tousu/show/id/1330932","厦门栎拓建材有限公司违规给博彩平台提供支付通道")</f>
        <v>厦门栎拓建材有限公司违规给博彩平台提供支付通道</v>
      </c>
      <c r="C498" s="2" t="s">
        <v>9</v>
      </c>
      <c r="D498" s="2" t="s">
        <v>10</v>
      </c>
      <c r="E498" s="2" t="str">
        <f>HYPERLINK("http://ts.21cn.com/tousu/show/id/1330932","http://ts.21cn.com/tousu/show/id/1330932")</f>
        <v>http://ts.21cn.com/tousu/show/id/1330932</v>
      </c>
      <c r="F498" s="2" t="s">
        <v>11</v>
      </c>
      <c r="G498" s="2" t="s">
        <v>43179</v>
      </c>
      <c r="H498" s="2" t="s">
        <v>43180</v>
      </c>
    </row>
    <row r="499" spans="1:8" ht="25.05" customHeight="1" x14ac:dyDescent="0.25">
      <c r="A499" s="2" t="s">
        <v>8</v>
      </c>
      <c r="B499" s="2" t="str">
        <f>HYPERLINK("http://ts.21cn.com/tousu/show/id/1330933","贷分期")</f>
        <v>贷分期</v>
      </c>
      <c r="C499" s="2" t="s">
        <v>9</v>
      </c>
      <c r="D499" s="2" t="s">
        <v>10</v>
      </c>
      <c r="E499" s="2" t="str">
        <f>HYPERLINK("http://ts.21cn.com/tousu/show/id/1330933","http://ts.21cn.com/tousu/show/id/1330933")</f>
        <v>http://ts.21cn.com/tousu/show/id/1330933</v>
      </c>
      <c r="F499" s="2" t="s">
        <v>11</v>
      </c>
      <c r="G499" s="2" t="s">
        <v>43177</v>
      </c>
      <c r="H499" s="2" t="s">
        <v>43178</v>
      </c>
    </row>
    <row r="500" spans="1:8" ht="25.05" customHeight="1" x14ac:dyDescent="0.25">
      <c r="A500" s="2" t="s">
        <v>8</v>
      </c>
      <c r="B500" s="2" t="str">
        <f>HYPERLINK("http://ts.21cn.com/tousu/show/id/1330934","提前还款，及时终止双方借贷关系")</f>
        <v>提前还款，及时终止双方借贷关系</v>
      </c>
      <c r="C500" s="2" t="s">
        <v>9</v>
      </c>
      <c r="D500" s="2" t="s">
        <v>10</v>
      </c>
      <c r="E500" s="2" t="str">
        <f>HYPERLINK("http://ts.21cn.com/tousu/show/id/1330934","http://ts.21cn.com/tousu/show/id/1330934")</f>
        <v>http://ts.21cn.com/tousu/show/id/1330934</v>
      </c>
      <c r="F500" s="2" t="s">
        <v>11</v>
      </c>
      <c r="G500" s="2" t="s">
        <v>43175</v>
      </c>
      <c r="H500" s="2" t="s">
        <v>43176</v>
      </c>
    </row>
    <row r="501" spans="1:8" ht="25.05" customHeight="1" x14ac:dyDescent="0.25">
      <c r="A501" s="2" t="s">
        <v>8</v>
      </c>
      <c r="B501" s="2" t="str">
        <f>HYPERLINK("http://ts.21cn.com/tousu/show/id/1330935","利息类似高利贷，协商不给协商，客服强硬，一点都不给协商的机会，没有通知本人乱打通讯录")</f>
        <v>利息类似高利贷，协商不给协商，客服强硬，一点都不给协商的机会，没有通知本人乱打通讯录</v>
      </c>
      <c r="C501" s="2" t="s">
        <v>9</v>
      </c>
      <c r="D501" s="2" t="s">
        <v>10</v>
      </c>
      <c r="E501" s="2" t="str">
        <f>HYPERLINK("http://ts.21cn.com/tousu/show/id/1330935","http://ts.21cn.com/tousu/show/id/1330935")</f>
        <v>http://ts.21cn.com/tousu/show/id/1330935</v>
      </c>
      <c r="F501" s="2" t="s">
        <v>11</v>
      </c>
      <c r="G501" s="2" t="s">
        <v>43173</v>
      </c>
      <c r="H501" s="2" t="s">
        <v>43174</v>
      </c>
    </row>
    <row r="502" spans="1:8" ht="25.05" customHeight="1" x14ac:dyDescent="0.25">
      <c r="A502" s="2" t="s">
        <v>8</v>
      </c>
      <c r="B502" s="2" t="str">
        <f>HYPERLINK("http://ts.21cn.com/tousu/show/id/1330936","套路，恶意扣费")</f>
        <v>套路，恶意扣费</v>
      </c>
      <c r="C502" s="2" t="s">
        <v>9</v>
      </c>
      <c r="D502" s="2" t="s">
        <v>10</v>
      </c>
      <c r="E502" s="2" t="str">
        <f>HYPERLINK("http://ts.21cn.com/tousu/show/id/1330936","http://ts.21cn.com/tousu/show/id/1330936")</f>
        <v>http://ts.21cn.com/tousu/show/id/1330936</v>
      </c>
      <c r="F502" s="2" t="s">
        <v>11</v>
      </c>
      <c r="G502" s="2" t="s">
        <v>43171</v>
      </c>
      <c r="H502" s="2" t="s">
        <v>43172</v>
      </c>
    </row>
    <row r="503" spans="1:8" ht="25.05" customHeight="1" x14ac:dyDescent="0.25">
      <c r="A503" s="2" t="s">
        <v>8</v>
      </c>
      <c r="B503" s="2" t="str">
        <f>HYPERLINK("http://ts.21cn.com/tousu/show/id/1330937","中国移动客服怒怼客户")</f>
        <v>中国移动客服怒怼客户</v>
      </c>
      <c r="C503" s="2" t="s">
        <v>9</v>
      </c>
      <c r="D503" s="2" t="s">
        <v>10</v>
      </c>
      <c r="E503" s="2" t="str">
        <f>HYPERLINK("http://ts.21cn.com/tousu/show/id/1330937","http://ts.21cn.com/tousu/show/id/1330937")</f>
        <v>http://ts.21cn.com/tousu/show/id/1330937</v>
      </c>
      <c r="F503" s="2" t="s">
        <v>11</v>
      </c>
      <c r="G503" s="2" t="s">
        <v>43169</v>
      </c>
      <c r="H503" s="2" t="s">
        <v>43170</v>
      </c>
    </row>
    <row r="504" spans="1:8" ht="25.05" customHeight="1" x14ac:dyDescent="0.25">
      <c r="A504" s="2" t="s">
        <v>8</v>
      </c>
      <c r="B504" s="2" t="str">
        <f>HYPERLINK("http://ts.21cn.com/tousu/show/id/1330938","云闪付为非法网站提供支付通道")</f>
        <v>云闪付为非法网站提供支付通道</v>
      </c>
      <c r="C504" s="2" t="s">
        <v>9</v>
      </c>
      <c r="D504" s="2" t="s">
        <v>10</v>
      </c>
      <c r="E504" s="2" t="str">
        <f>HYPERLINK("http://ts.21cn.com/tousu/show/id/1330938","http://ts.21cn.com/tousu/show/id/1330938")</f>
        <v>http://ts.21cn.com/tousu/show/id/1330938</v>
      </c>
      <c r="F504" s="2" t="s">
        <v>11</v>
      </c>
      <c r="G504" s="2" t="s">
        <v>43167</v>
      </c>
      <c r="H504" s="2" t="s">
        <v>43168</v>
      </c>
    </row>
    <row r="505" spans="1:8" ht="25.05" customHeight="1" x14ac:dyDescent="0.25">
      <c r="A505" s="2" t="s">
        <v>8</v>
      </c>
      <c r="B505" s="2" t="str">
        <f>HYPERLINK("http://ts.21cn.com/tousu/show/id/1330939","不给退票")</f>
        <v>不给退票</v>
      </c>
      <c r="C505" s="2" t="s">
        <v>9</v>
      </c>
      <c r="D505" s="2" t="s">
        <v>10</v>
      </c>
      <c r="E505" s="2" t="str">
        <f>HYPERLINK("http://ts.21cn.com/tousu/show/id/1330939","http://ts.21cn.com/tousu/show/id/1330939")</f>
        <v>http://ts.21cn.com/tousu/show/id/1330939</v>
      </c>
      <c r="F505" s="2" t="s">
        <v>11</v>
      </c>
      <c r="G505" s="2" t="s">
        <v>43165</v>
      </c>
      <c r="H505" s="2" t="s">
        <v>43166</v>
      </c>
    </row>
    <row r="506" spans="1:8" ht="25.05" customHeight="1" x14ac:dyDescent="0.25">
      <c r="A506" s="2" t="s">
        <v>8</v>
      </c>
      <c r="B506" s="2" t="str">
        <f>HYPERLINK("http://ts.21cn.com/tousu/show/id/1330909","新橙优品代扣失败导致逾期，并且官方失联")</f>
        <v>新橙优品代扣失败导致逾期，并且官方失联</v>
      </c>
      <c r="C506" s="2" t="s">
        <v>9</v>
      </c>
      <c r="D506" s="2" t="s">
        <v>10</v>
      </c>
      <c r="E506" s="2" t="str">
        <f>HYPERLINK("http://ts.21cn.com/tousu/show/id/1330909","http://ts.21cn.com/tousu/show/id/1330909")</f>
        <v>http://ts.21cn.com/tousu/show/id/1330909</v>
      </c>
      <c r="F506" s="2" t="s">
        <v>11</v>
      </c>
      <c r="G506" s="2" t="s">
        <v>43163</v>
      </c>
      <c r="H506" s="2" t="s">
        <v>43164</v>
      </c>
    </row>
    <row r="507" spans="1:8" ht="25.05" customHeight="1" x14ac:dyDescent="0.25">
      <c r="A507" s="2" t="s">
        <v>8</v>
      </c>
      <c r="B507" s="2" t="str">
        <f>HYPERLINK("http://ts.21cn.com/tousu/show/id/1330940","威力贷套路贷")</f>
        <v>威力贷套路贷</v>
      </c>
      <c r="C507" s="2" t="s">
        <v>9</v>
      </c>
      <c r="D507" s="2" t="s">
        <v>10</v>
      </c>
      <c r="E507" s="2" t="str">
        <f>HYPERLINK("http://ts.21cn.com/tousu/show/id/1330940","http://ts.21cn.com/tousu/show/id/1330940")</f>
        <v>http://ts.21cn.com/tousu/show/id/1330940</v>
      </c>
      <c r="F507" s="2" t="s">
        <v>11</v>
      </c>
      <c r="G507" s="2" t="s">
        <v>43161</v>
      </c>
      <c r="H507" s="2" t="s">
        <v>43162</v>
      </c>
    </row>
    <row r="508" spans="1:8" ht="25.05" customHeight="1" x14ac:dyDescent="0.25">
      <c r="A508" s="2" t="s">
        <v>8</v>
      </c>
      <c r="B508" s="2" t="str">
        <f>HYPERLINK("http://ts.21cn.com/tousu/show/id/1330916","闲鱼买到手机突然第四天后盖滚烫烧焦坏掉")</f>
        <v>闲鱼买到手机突然第四天后盖滚烫烧焦坏掉</v>
      </c>
      <c r="C508" s="2" t="s">
        <v>9</v>
      </c>
      <c r="D508" s="2" t="s">
        <v>10</v>
      </c>
      <c r="E508" s="2" t="str">
        <f>HYPERLINK("http://ts.21cn.com/tousu/show/id/1330916","http://ts.21cn.com/tousu/show/id/1330916")</f>
        <v>http://ts.21cn.com/tousu/show/id/1330916</v>
      </c>
      <c r="F508" s="2" t="s">
        <v>11</v>
      </c>
      <c r="G508" s="2" t="s">
        <v>43159</v>
      </c>
      <c r="H508" s="2" t="s">
        <v>43160</v>
      </c>
    </row>
    <row r="509" spans="1:8" ht="25.05" customHeight="1" x14ac:dyDescent="0.25">
      <c r="A509" s="2" t="s">
        <v>8</v>
      </c>
      <c r="B509" s="2" t="str">
        <f>HYPERLINK("http://ts.21cn.com/tousu/show/id/1330941","智行app改签后，原车票钱不退款。")</f>
        <v>智行app改签后，原车票钱不退款。</v>
      </c>
      <c r="C509" s="2" t="s">
        <v>9</v>
      </c>
      <c r="D509" s="2" t="s">
        <v>10</v>
      </c>
      <c r="E509" s="2" t="str">
        <f>HYPERLINK("http://ts.21cn.com/tousu/show/id/1330941","http://ts.21cn.com/tousu/show/id/1330941")</f>
        <v>http://ts.21cn.com/tousu/show/id/1330941</v>
      </c>
      <c r="F509" s="2" t="s">
        <v>11</v>
      </c>
      <c r="G509" s="2" t="s">
        <v>43157</v>
      </c>
      <c r="H509" s="2" t="s">
        <v>43158</v>
      </c>
    </row>
    <row r="510" spans="1:8" ht="25.05" customHeight="1" x14ac:dyDescent="0.25">
      <c r="A510" s="2" t="s">
        <v>8</v>
      </c>
      <c r="B510" s="2" t="str">
        <f>HYPERLINK("http://ts.21cn.com/tousu/show/id/1330942","被人恶意投诉导致微信支付受限")</f>
        <v>被人恶意投诉导致微信支付受限</v>
      </c>
      <c r="C510" s="2" t="s">
        <v>9</v>
      </c>
      <c r="D510" s="2" t="s">
        <v>10</v>
      </c>
      <c r="E510" s="2" t="str">
        <f>HYPERLINK("http://ts.21cn.com/tousu/show/id/1330942","http://ts.21cn.com/tousu/show/id/1330942")</f>
        <v>http://ts.21cn.com/tousu/show/id/1330942</v>
      </c>
      <c r="F510" s="2" t="s">
        <v>11</v>
      </c>
      <c r="G510" s="2" t="s">
        <v>43155</v>
      </c>
      <c r="H510" s="2" t="s">
        <v>43156</v>
      </c>
    </row>
    <row r="511" spans="1:8" ht="25.05" customHeight="1" x14ac:dyDescent="0.25">
      <c r="A511" s="2" t="s">
        <v>8</v>
      </c>
      <c r="B511" s="2" t="str">
        <f>HYPERLINK("http://ts.21cn.com/tousu/show/id/1330943","捷信套路贷")</f>
        <v>捷信套路贷</v>
      </c>
      <c r="C511" s="2" t="s">
        <v>9</v>
      </c>
      <c r="D511" s="2" t="s">
        <v>10</v>
      </c>
      <c r="E511" s="2" t="str">
        <f>HYPERLINK("http://ts.21cn.com/tousu/show/id/1330943","http://ts.21cn.com/tousu/show/id/1330943")</f>
        <v>http://ts.21cn.com/tousu/show/id/1330943</v>
      </c>
      <c r="F511" s="2" t="s">
        <v>11</v>
      </c>
      <c r="G511" s="2" t="s">
        <v>43153</v>
      </c>
      <c r="H511" s="2" t="s">
        <v>43154</v>
      </c>
    </row>
    <row r="512" spans="1:8" ht="25.05" customHeight="1" x14ac:dyDescent="0.25">
      <c r="A512" s="2" t="s">
        <v>8</v>
      </c>
      <c r="B512" s="2" t="str">
        <f>HYPERLINK("http://ts.21cn.com/tousu/show/id/1330945","海云端商务卡虚假宣传欺诈办卡")</f>
        <v>海云端商务卡虚假宣传欺诈办卡</v>
      </c>
      <c r="C512" s="2" t="s">
        <v>9</v>
      </c>
      <c r="D512" s="2" t="s">
        <v>10</v>
      </c>
      <c r="E512" s="2" t="str">
        <f>HYPERLINK("http://ts.21cn.com/tousu/show/id/1330945","http://ts.21cn.com/tousu/show/id/1330945")</f>
        <v>http://ts.21cn.com/tousu/show/id/1330945</v>
      </c>
      <c r="F512" s="2" t="s">
        <v>11</v>
      </c>
      <c r="G512" s="2" t="s">
        <v>43151</v>
      </c>
      <c r="H512" s="2" t="s">
        <v>43152</v>
      </c>
    </row>
    <row r="513" spans="1:8" ht="25.05" customHeight="1" x14ac:dyDescent="0.25">
      <c r="A513" s="2" t="s">
        <v>8</v>
      </c>
      <c r="B513" s="2" t="str">
        <f>HYPERLINK("http://ts.21cn.com/tousu/show/id/1330946","佑佑分期，菜鸟有钱，砍头息，高利贷，暴力催收")</f>
        <v>佑佑分期，菜鸟有钱，砍头息，高利贷，暴力催收</v>
      </c>
      <c r="C513" s="2" t="s">
        <v>9</v>
      </c>
      <c r="D513" s="2" t="s">
        <v>10</v>
      </c>
      <c r="E513" s="2" t="str">
        <f>HYPERLINK("http://ts.21cn.com/tousu/show/id/1330946","http://ts.21cn.com/tousu/show/id/1330946")</f>
        <v>http://ts.21cn.com/tousu/show/id/1330946</v>
      </c>
      <c r="F513" s="2" t="s">
        <v>11</v>
      </c>
      <c r="G513" s="2" t="s">
        <v>43149</v>
      </c>
      <c r="H513" s="2" t="s">
        <v>43150</v>
      </c>
    </row>
    <row r="514" spans="1:8" ht="25.05" customHeight="1" x14ac:dyDescent="0.25">
      <c r="A514" s="2" t="s">
        <v>8</v>
      </c>
      <c r="B514" s="2" t="str">
        <f>HYPERLINK("http://ts.21cn.com/tousu/show/id/1330947","我来数科不让注销账号")</f>
        <v>我来数科不让注销账号</v>
      </c>
      <c r="C514" s="2" t="s">
        <v>34</v>
      </c>
      <c r="D514" s="2" t="s">
        <v>10</v>
      </c>
      <c r="E514" s="2" t="str">
        <f>HYPERLINK("http://ts.21cn.com/tousu/show/id/1330947","http://ts.21cn.com/tousu/show/id/1330947")</f>
        <v>http://ts.21cn.com/tousu/show/id/1330947</v>
      </c>
      <c r="F514" s="2" t="s">
        <v>11</v>
      </c>
      <c r="G514" s="2" t="s">
        <v>43147</v>
      </c>
      <c r="H514" s="2" t="s">
        <v>43148</v>
      </c>
    </row>
    <row r="515" spans="1:8" ht="25.05" customHeight="1" x14ac:dyDescent="0.25">
      <c r="A515" s="2" t="s">
        <v>8</v>
      </c>
      <c r="B515" s="2" t="str">
        <f>HYPERLINK("http://ts.21cn.com/tousu/show/id/1330948","投诉智行app霸王条款")</f>
        <v>投诉智行app霸王条款</v>
      </c>
      <c r="C515" s="2" t="s">
        <v>9</v>
      </c>
      <c r="D515" s="2" t="s">
        <v>10</v>
      </c>
      <c r="E515" s="2" t="str">
        <f>HYPERLINK("http://ts.21cn.com/tousu/show/id/1330948","http://ts.21cn.com/tousu/show/id/1330948")</f>
        <v>http://ts.21cn.com/tousu/show/id/1330948</v>
      </c>
      <c r="F515" s="2" t="s">
        <v>11</v>
      </c>
      <c r="G515" s="2" t="s">
        <v>43145</v>
      </c>
      <c r="H515" s="2" t="s">
        <v>43146</v>
      </c>
    </row>
    <row r="516" spans="1:8" ht="25.05" customHeight="1" x14ac:dyDescent="0.25">
      <c r="A516" s="2" t="s">
        <v>8</v>
      </c>
      <c r="B516" s="2" t="str">
        <f>HYPERLINK("http://ts.21cn.com/tousu/show/id/1330910","维护消费者")</f>
        <v>维护消费者</v>
      </c>
      <c r="C516" s="2" t="s">
        <v>9</v>
      </c>
      <c r="D516" s="2" t="s">
        <v>10</v>
      </c>
      <c r="E516" s="2" t="str">
        <f>HYPERLINK("http://ts.21cn.com/tousu/show/id/1330910","http://ts.21cn.com/tousu/show/id/1330910")</f>
        <v>http://ts.21cn.com/tousu/show/id/1330910</v>
      </c>
      <c r="F516" s="2" t="s">
        <v>11</v>
      </c>
      <c r="G516" s="2" t="s">
        <v>43143</v>
      </c>
      <c r="H516" s="2" t="s">
        <v>43144</v>
      </c>
    </row>
    <row r="517" spans="1:8" ht="25.05" customHeight="1" x14ac:dyDescent="0.25">
      <c r="A517" s="2" t="s">
        <v>8</v>
      </c>
      <c r="B517" s="2" t="str">
        <f>HYPERLINK("http://ts.21cn.com/tousu/show/id/1330949","云闪付为非法网站提供支付通道")</f>
        <v>云闪付为非法网站提供支付通道</v>
      </c>
      <c r="C517" s="2" t="s">
        <v>9</v>
      </c>
      <c r="D517" s="2" t="s">
        <v>10</v>
      </c>
      <c r="E517" s="2" t="str">
        <f>HYPERLINK("http://ts.21cn.com/tousu/show/id/1330949","http://ts.21cn.com/tousu/show/id/1330949")</f>
        <v>http://ts.21cn.com/tousu/show/id/1330949</v>
      </c>
      <c r="F517" s="2" t="s">
        <v>11</v>
      </c>
      <c r="G517" s="2" t="s">
        <v>43141</v>
      </c>
      <c r="H517" s="2" t="s">
        <v>43142</v>
      </c>
    </row>
    <row r="518" spans="1:8" ht="25.05" customHeight="1" x14ac:dyDescent="0.25">
      <c r="A518" s="2" t="s">
        <v>8</v>
      </c>
      <c r="B518" s="2" t="str">
        <f>HYPERLINK("http://ts.21cn.com/tousu/show/id/1330950","马上金融涉嫌假冒律师函对学生进行恐吓威胁")</f>
        <v>马上金融涉嫌假冒律师函对学生进行恐吓威胁</v>
      </c>
      <c r="C518" s="2" t="s">
        <v>9</v>
      </c>
      <c r="D518" s="2" t="s">
        <v>10</v>
      </c>
      <c r="E518" s="2" t="str">
        <f>HYPERLINK("http://ts.21cn.com/tousu/show/id/1330950","http://ts.21cn.com/tousu/show/id/1330950")</f>
        <v>http://ts.21cn.com/tousu/show/id/1330950</v>
      </c>
      <c r="F518" s="2" t="s">
        <v>11</v>
      </c>
      <c r="G518" s="2" t="s">
        <v>43139</v>
      </c>
      <c r="H518" s="2" t="s">
        <v>43140</v>
      </c>
    </row>
    <row r="519" spans="1:8" ht="25.05" customHeight="1" x14ac:dyDescent="0.25">
      <c r="A519" s="2" t="s">
        <v>8</v>
      </c>
      <c r="B519" s="2" t="str">
        <f>HYPERLINK("http://ts.21cn.com/tousu/show/id/1330951","闪银砍头息高利贷")</f>
        <v>闪银砍头息高利贷</v>
      </c>
      <c r="C519" s="2" t="s">
        <v>9</v>
      </c>
      <c r="D519" s="2" t="s">
        <v>10</v>
      </c>
      <c r="E519" s="2" t="str">
        <f>HYPERLINK("http://ts.21cn.com/tousu/show/id/1330951","http://ts.21cn.com/tousu/show/id/1330951")</f>
        <v>http://ts.21cn.com/tousu/show/id/1330951</v>
      </c>
      <c r="F519" s="2" t="s">
        <v>11</v>
      </c>
      <c r="G519" s="2" t="s">
        <v>43137</v>
      </c>
      <c r="H519" s="2" t="s">
        <v>43138</v>
      </c>
    </row>
    <row r="520" spans="1:8" ht="25.05" customHeight="1" x14ac:dyDescent="0.25">
      <c r="A520" s="2" t="s">
        <v>8</v>
      </c>
      <c r="B520" s="2" t="str">
        <f>HYPERLINK("http://ts.21cn.com/tousu/show/id/1330952","广州京熙科技有限公司违规给博彩平台提供支付通道")</f>
        <v>广州京熙科技有限公司违规给博彩平台提供支付通道</v>
      </c>
      <c r="C520" s="2" t="s">
        <v>9</v>
      </c>
      <c r="D520" s="2" t="s">
        <v>10</v>
      </c>
      <c r="E520" s="2" t="str">
        <f>HYPERLINK("http://ts.21cn.com/tousu/show/id/1330952","http://ts.21cn.com/tousu/show/id/1330952")</f>
        <v>http://ts.21cn.com/tousu/show/id/1330952</v>
      </c>
      <c r="F520" s="2" t="s">
        <v>11</v>
      </c>
      <c r="G520" s="2" t="s">
        <v>43135</v>
      </c>
      <c r="H520" s="2" t="s">
        <v>43136</v>
      </c>
    </row>
    <row r="521" spans="1:8" ht="25.05" customHeight="1" x14ac:dyDescent="0.25">
      <c r="A521" s="2" t="s">
        <v>8</v>
      </c>
      <c r="B521" s="2" t="str">
        <f>HYPERLINK("http://ts.21cn.com/tousu/show/id/1330953","月光侠高利贷，变相砍头息，阴阳合同")</f>
        <v>月光侠高利贷，变相砍头息，阴阳合同</v>
      </c>
      <c r="C521" s="2" t="s">
        <v>9</v>
      </c>
      <c r="D521" s="2" t="s">
        <v>10</v>
      </c>
      <c r="E521" s="2" t="str">
        <f>HYPERLINK("http://ts.21cn.com/tousu/show/id/1330953","http://ts.21cn.com/tousu/show/id/1330953")</f>
        <v>http://ts.21cn.com/tousu/show/id/1330953</v>
      </c>
      <c r="F521" s="2" t="s">
        <v>11</v>
      </c>
      <c r="G521" s="2" t="s">
        <v>43133</v>
      </c>
      <c r="H521" s="2" t="s">
        <v>43134</v>
      </c>
    </row>
    <row r="522" spans="1:8" ht="25.05" customHeight="1" x14ac:dyDescent="0.25">
      <c r="A522" s="2" t="s">
        <v>8</v>
      </c>
      <c r="B522" s="2" t="str">
        <f>HYPERLINK("http://ts.21cn.com/tousu/show/id/1330954","机灵宝高额砍头息变相高利贷")</f>
        <v>机灵宝高额砍头息变相高利贷</v>
      </c>
      <c r="C522" s="2" t="s">
        <v>9</v>
      </c>
      <c r="D522" s="2" t="s">
        <v>10</v>
      </c>
      <c r="E522" s="2" t="str">
        <f>HYPERLINK("http://ts.21cn.com/tousu/show/id/1330954","http://ts.21cn.com/tousu/show/id/1330954")</f>
        <v>http://ts.21cn.com/tousu/show/id/1330954</v>
      </c>
      <c r="F522" s="2" t="s">
        <v>11</v>
      </c>
      <c r="G522" s="2" t="s">
        <v>43131</v>
      </c>
      <c r="H522" s="2" t="s">
        <v>43132</v>
      </c>
    </row>
    <row r="523" spans="1:8" ht="25.05" customHeight="1" x14ac:dyDescent="0.25">
      <c r="A523" s="2" t="s">
        <v>8</v>
      </c>
      <c r="B523" s="2" t="str">
        <f>HYPERLINK("http://ts.21cn.com/tousu/show/id/1330955","已经转账还款，对方不于理睬")</f>
        <v>已经转账还款，对方不于理睬</v>
      </c>
      <c r="C523" s="2" t="s">
        <v>34</v>
      </c>
      <c r="D523" s="2" t="s">
        <v>10</v>
      </c>
      <c r="E523" s="2" t="str">
        <f>HYPERLINK("http://ts.21cn.com/tousu/show/id/1330955","http://ts.21cn.com/tousu/show/id/1330955")</f>
        <v>http://ts.21cn.com/tousu/show/id/1330955</v>
      </c>
      <c r="F523" s="2" t="s">
        <v>11</v>
      </c>
      <c r="G523" s="2" t="s">
        <v>43129</v>
      </c>
      <c r="H523" s="2" t="s">
        <v>43130</v>
      </c>
    </row>
    <row r="524" spans="1:8" ht="25.05" customHeight="1" x14ac:dyDescent="0.25">
      <c r="A524" s="2" t="s">
        <v>8</v>
      </c>
      <c r="B524" s="2" t="str">
        <f>HYPERLINK("http://ts.21cn.com/tousu/show/id/1330956","农行卡上被莫名其妙扣款39元")</f>
        <v>农行卡上被莫名其妙扣款39元</v>
      </c>
      <c r="C524" s="2" t="s">
        <v>9</v>
      </c>
      <c r="D524" s="2" t="s">
        <v>10</v>
      </c>
      <c r="E524" s="2" t="str">
        <f>HYPERLINK("http://ts.21cn.com/tousu/show/id/1330956","http://ts.21cn.com/tousu/show/id/1330956")</f>
        <v>http://ts.21cn.com/tousu/show/id/1330956</v>
      </c>
      <c r="F524" s="2" t="s">
        <v>11</v>
      </c>
      <c r="G524" s="2" t="s">
        <v>43127</v>
      </c>
      <c r="H524" s="2" t="s">
        <v>43128</v>
      </c>
    </row>
    <row r="525" spans="1:8" ht="25.05" customHeight="1" x14ac:dyDescent="0.25">
      <c r="A525" s="2" t="s">
        <v>8</v>
      </c>
      <c r="B525" s="2" t="str">
        <f>HYPERLINK("http://ts.21cn.com/tousu/show/id/1330957","天猫国际美国直营不发货")</f>
        <v>天猫国际美国直营不发货</v>
      </c>
      <c r="C525" s="2" t="s">
        <v>9</v>
      </c>
      <c r="D525" s="2" t="s">
        <v>10</v>
      </c>
      <c r="E525" s="2" t="str">
        <f>HYPERLINK("http://ts.21cn.com/tousu/show/id/1330957","http://ts.21cn.com/tousu/show/id/1330957")</f>
        <v>http://ts.21cn.com/tousu/show/id/1330957</v>
      </c>
      <c r="F525" s="2" t="s">
        <v>11</v>
      </c>
      <c r="G525" s="2" t="s">
        <v>43125</v>
      </c>
      <c r="H525" s="2" t="s">
        <v>43126</v>
      </c>
    </row>
    <row r="526" spans="1:8" ht="25.05" customHeight="1" x14ac:dyDescent="0.25">
      <c r="A526" s="2" t="s">
        <v>8</v>
      </c>
      <c r="B526" s="2" t="str">
        <f>HYPERLINK("http://ts.21cn.com/tousu/show/id/1330959","来分期贷款不能提前结清还款")</f>
        <v>来分期贷款不能提前结清还款</v>
      </c>
      <c r="C526" s="2" t="s">
        <v>34</v>
      </c>
      <c r="D526" s="2" t="s">
        <v>10</v>
      </c>
      <c r="E526" s="2" t="str">
        <f>HYPERLINK("http://ts.21cn.com/tousu/show/id/1330959","http://ts.21cn.com/tousu/show/id/1330959")</f>
        <v>http://ts.21cn.com/tousu/show/id/1330959</v>
      </c>
      <c r="F526" s="2" t="s">
        <v>11</v>
      </c>
      <c r="G526" s="2" t="s">
        <v>43123</v>
      </c>
      <c r="H526" s="2" t="s">
        <v>43124</v>
      </c>
    </row>
    <row r="527" spans="1:8" ht="25.05" customHeight="1" x14ac:dyDescent="0.25">
      <c r="A527" s="2" t="s">
        <v>8</v>
      </c>
      <c r="B527" s="2" t="str">
        <f>HYPERLINK("http://ts.21cn.com/tousu/show/id/1330958","快钱支付和支付宝沧州卓诚信息技术公司利用我享花app套路贷高利贷")</f>
        <v>快钱支付和支付宝沧州卓诚信息技术公司利用我享花app套路贷高利贷</v>
      </c>
      <c r="C527" s="2" t="s">
        <v>9</v>
      </c>
      <c r="D527" s="2" t="s">
        <v>10</v>
      </c>
      <c r="E527" s="2" t="str">
        <f>HYPERLINK("http://ts.21cn.com/tousu/show/id/1330958","http://ts.21cn.com/tousu/show/id/1330958")</f>
        <v>http://ts.21cn.com/tousu/show/id/1330958</v>
      </c>
      <c r="F527" s="2" t="s">
        <v>11</v>
      </c>
      <c r="G527" s="2" t="s">
        <v>43121</v>
      </c>
      <c r="H527" s="2" t="s">
        <v>43122</v>
      </c>
    </row>
    <row r="528" spans="1:8" ht="25.05" customHeight="1" x14ac:dyDescent="0.25">
      <c r="A528" s="2" t="s">
        <v>8</v>
      </c>
      <c r="B528" s="2" t="str">
        <f>HYPERLINK("http://ts.21cn.com/tousu/show/id/1330960","暴力催收威胁恐吓")</f>
        <v>暴力催收威胁恐吓</v>
      </c>
      <c r="C528" s="2" t="s">
        <v>9</v>
      </c>
      <c r="D528" s="2" t="s">
        <v>10</v>
      </c>
      <c r="E528" s="2" t="str">
        <f>HYPERLINK("http://ts.21cn.com/tousu/show/id/1330960","http://ts.21cn.com/tousu/show/id/1330960")</f>
        <v>http://ts.21cn.com/tousu/show/id/1330960</v>
      </c>
      <c r="F528" s="2" t="s">
        <v>11</v>
      </c>
      <c r="G528" s="2" t="s">
        <v>43119</v>
      </c>
      <c r="H528" s="2" t="s">
        <v>43120</v>
      </c>
    </row>
    <row r="529" spans="1:8" ht="25.05" customHeight="1" x14ac:dyDescent="0.25">
      <c r="A529" s="2" t="s">
        <v>8</v>
      </c>
      <c r="B529" s="2" t="str">
        <f>HYPERLINK("http://ts.21cn.com/tousu/show/id/1330963","滴滴客服不作为")</f>
        <v>滴滴客服不作为</v>
      </c>
      <c r="C529" s="2" t="s">
        <v>9</v>
      </c>
      <c r="D529" s="2" t="s">
        <v>10</v>
      </c>
      <c r="E529" s="2" t="str">
        <f>HYPERLINK("http://ts.21cn.com/tousu/show/id/1330963","http://ts.21cn.com/tousu/show/id/1330963")</f>
        <v>http://ts.21cn.com/tousu/show/id/1330963</v>
      </c>
      <c r="F529" s="2" t="s">
        <v>11</v>
      </c>
      <c r="G529" s="2" t="s">
        <v>43117</v>
      </c>
      <c r="H529" s="2" t="s">
        <v>43118</v>
      </c>
    </row>
    <row r="530" spans="1:8" ht="25.05" customHeight="1" x14ac:dyDescent="0.25">
      <c r="A530" s="2" t="s">
        <v>8</v>
      </c>
      <c r="B530" s="2" t="str">
        <f>HYPERLINK("http://ts.21cn.com/tousu/show/id/1330962","钱站高利贷阴阳合同")</f>
        <v>钱站高利贷阴阳合同</v>
      </c>
      <c r="C530" s="2" t="s">
        <v>9</v>
      </c>
      <c r="D530" s="2" t="s">
        <v>10</v>
      </c>
      <c r="E530" s="2" t="str">
        <f>HYPERLINK("http://ts.21cn.com/tousu/show/id/1330962","http://ts.21cn.com/tousu/show/id/1330962")</f>
        <v>http://ts.21cn.com/tousu/show/id/1330962</v>
      </c>
      <c r="F530" s="2" t="s">
        <v>11</v>
      </c>
      <c r="G530" s="2" t="s">
        <v>43115</v>
      </c>
      <c r="H530" s="2" t="s">
        <v>43116</v>
      </c>
    </row>
    <row r="531" spans="1:8" ht="25.05" customHeight="1" x14ac:dyDescent="0.25">
      <c r="A531" s="2" t="s">
        <v>8</v>
      </c>
      <c r="B531" s="2" t="str">
        <f>HYPERLINK("http://ts.21cn.com/tousu/show/id/1330964","下了么高利贷砍头息")</f>
        <v>下了么高利贷砍头息</v>
      </c>
      <c r="C531" s="2" t="s">
        <v>9</v>
      </c>
      <c r="D531" s="2" t="s">
        <v>10</v>
      </c>
      <c r="E531" s="2" t="str">
        <f>HYPERLINK("http://ts.21cn.com/tousu/show/id/1330964","http://ts.21cn.com/tousu/show/id/1330964")</f>
        <v>http://ts.21cn.com/tousu/show/id/1330964</v>
      </c>
      <c r="F531" s="2" t="s">
        <v>11</v>
      </c>
      <c r="G531" s="2" t="s">
        <v>43113</v>
      </c>
      <c r="H531" s="2" t="s">
        <v>43114</v>
      </c>
    </row>
    <row r="532" spans="1:8" ht="25.05" customHeight="1" x14ac:dyDescent="0.25">
      <c r="A532" s="2" t="s">
        <v>8</v>
      </c>
      <c r="B532" s="2" t="str">
        <f>HYPERLINK("http://ts.21cn.com/tousu/show/id/1330965","今借到平台砍头息，高利贷，确认借条后不转账，")</f>
        <v>今借到平台砍头息，高利贷，确认借条后不转账，</v>
      </c>
      <c r="C532" s="2" t="s">
        <v>9</v>
      </c>
      <c r="D532" s="2" t="s">
        <v>10</v>
      </c>
      <c r="E532" s="2" t="str">
        <f>HYPERLINK("http://ts.21cn.com/tousu/show/id/1330965","http://ts.21cn.com/tousu/show/id/1330965")</f>
        <v>http://ts.21cn.com/tousu/show/id/1330965</v>
      </c>
      <c r="F532" s="2" t="s">
        <v>11</v>
      </c>
      <c r="G532" s="2" t="s">
        <v>43111</v>
      </c>
      <c r="H532" s="2" t="s">
        <v>43112</v>
      </c>
    </row>
    <row r="533" spans="1:8" ht="25.05" customHeight="1" x14ac:dyDescent="0.25">
      <c r="A533" s="2" t="s">
        <v>8</v>
      </c>
      <c r="B533" s="2" t="str">
        <f>HYPERLINK("http://ts.21cn.com/tousu/show/id/1330966","变相714骚扰")</f>
        <v>变相714骚扰</v>
      </c>
      <c r="C533" s="2" t="s">
        <v>9</v>
      </c>
      <c r="D533" s="2" t="s">
        <v>10</v>
      </c>
      <c r="E533" s="2" t="str">
        <f>HYPERLINK("http://ts.21cn.com/tousu/show/id/1330966","http://ts.21cn.com/tousu/show/id/1330966")</f>
        <v>http://ts.21cn.com/tousu/show/id/1330966</v>
      </c>
      <c r="F533" s="2" t="s">
        <v>11</v>
      </c>
      <c r="G533" s="2" t="s">
        <v>43109</v>
      </c>
      <c r="H533" s="2" t="s">
        <v>43110</v>
      </c>
    </row>
    <row r="534" spans="1:8" ht="25.05" customHeight="1" x14ac:dyDescent="0.25">
      <c r="A534" s="2" t="s">
        <v>8</v>
      </c>
      <c r="B534" s="2" t="str">
        <f>HYPERLINK("http://ts.21cn.com/tousu/show/id/1330968","去哪网多收票款还不退")</f>
        <v>去哪网多收票款还不退</v>
      </c>
      <c r="C534" s="2" t="s">
        <v>34</v>
      </c>
      <c r="D534" s="2" t="s">
        <v>10</v>
      </c>
      <c r="E534" s="2" t="str">
        <f>HYPERLINK("http://ts.21cn.com/tousu/show/id/1330968","http://ts.21cn.com/tousu/show/id/1330968")</f>
        <v>http://ts.21cn.com/tousu/show/id/1330968</v>
      </c>
      <c r="F534" s="2" t="s">
        <v>11</v>
      </c>
      <c r="G534" s="2" t="s">
        <v>43107</v>
      </c>
      <c r="H534" s="2" t="s">
        <v>43108</v>
      </c>
    </row>
    <row r="535" spans="1:8" ht="25.05" customHeight="1" x14ac:dyDescent="0.25">
      <c r="A535" s="2" t="s">
        <v>8</v>
      </c>
      <c r="B535" s="2" t="str">
        <f>HYPERLINK("http://ts.21cn.com/tousu/show/id/1330967","（特约）前海不明扣费")</f>
        <v>（特约）前海不明扣费</v>
      </c>
      <c r="C535" s="2" t="s">
        <v>34</v>
      </c>
      <c r="D535" s="2" t="s">
        <v>10</v>
      </c>
      <c r="E535" s="2" t="str">
        <f>HYPERLINK("http://ts.21cn.com/tousu/show/id/1330967","http://ts.21cn.com/tousu/show/id/1330967")</f>
        <v>http://ts.21cn.com/tousu/show/id/1330967</v>
      </c>
      <c r="F535" s="2" t="s">
        <v>11</v>
      </c>
      <c r="G535" s="2" t="s">
        <v>43105</v>
      </c>
      <c r="H535" s="2" t="s">
        <v>43106</v>
      </c>
    </row>
    <row r="536" spans="1:8" ht="25.05" customHeight="1" x14ac:dyDescent="0.25">
      <c r="A536" s="2" t="s">
        <v>8</v>
      </c>
      <c r="B536" s="2" t="str">
        <f>HYPERLINK("http://ts.21cn.com/tousu/show/id/1330970","捷信暴力催收")</f>
        <v>捷信暴力催收</v>
      </c>
      <c r="C536" s="2" t="s">
        <v>9</v>
      </c>
      <c r="D536" s="2" t="s">
        <v>10</v>
      </c>
      <c r="E536" s="2" t="str">
        <f>HYPERLINK("http://ts.21cn.com/tousu/show/id/1330970","http://ts.21cn.com/tousu/show/id/1330970")</f>
        <v>http://ts.21cn.com/tousu/show/id/1330970</v>
      </c>
      <c r="F536" s="2" t="s">
        <v>11</v>
      </c>
      <c r="G536" s="2" t="s">
        <v>43103</v>
      </c>
      <c r="H536" s="2" t="s">
        <v>43104</v>
      </c>
    </row>
    <row r="537" spans="1:8" ht="25.05" customHeight="1" x14ac:dyDescent="0.25">
      <c r="A537" s="2" t="s">
        <v>8</v>
      </c>
      <c r="B537" s="2" t="str">
        <f>HYPERLINK("http://ts.21cn.com/tousu/show/id/1330944","兴义机场成都易行商旅信息技术有限公司误导办卡")</f>
        <v>兴义机场成都易行商旅信息技术有限公司误导办卡</v>
      </c>
      <c r="C537" s="2" t="s">
        <v>9</v>
      </c>
      <c r="D537" s="2" t="s">
        <v>10</v>
      </c>
      <c r="E537" s="2" t="str">
        <f>HYPERLINK("http://ts.21cn.com/tousu/show/id/1330944","http://ts.21cn.com/tousu/show/id/1330944")</f>
        <v>http://ts.21cn.com/tousu/show/id/1330944</v>
      </c>
      <c r="F537" s="2" t="s">
        <v>11</v>
      </c>
      <c r="G537" s="2" t="s">
        <v>43101</v>
      </c>
      <c r="H537" s="2" t="s">
        <v>43102</v>
      </c>
    </row>
    <row r="538" spans="1:8" ht="25.05" customHeight="1" x14ac:dyDescent="0.25">
      <c r="A538" s="2" t="s">
        <v>8</v>
      </c>
      <c r="B538" s="2" t="str">
        <f>HYPERLINK("http://ts.21cn.com/tousu/show/id/1330971","点佰趣大pos机押金退款")</f>
        <v>点佰趣大pos机押金退款</v>
      </c>
      <c r="C538" s="2" t="s">
        <v>34</v>
      </c>
      <c r="D538" s="2" t="s">
        <v>10</v>
      </c>
      <c r="E538" s="2" t="str">
        <f>HYPERLINK("http://ts.21cn.com/tousu/show/id/1330971","http://ts.21cn.com/tousu/show/id/1330971")</f>
        <v>http://ts.21cn.com/tousu/show/id/1330971</v>
      </c>
      <c r="F538" s="2" t="s">
        <v>11</v>
      </c>
      <c r="G538" s="2" t="s">
        <v>43099</v>
      </c>
      <c r="H538" s="2" t="s">
        <v>43100</v>
      </c>
    </row>
    <row r="539" spans="1:8" ht="25.05" customHeight="1" x14ac:dyDescent="0.25">
      <c r="A539" s="2" t="s">
        <v>8</v>
      </c>
      <c r="B539" s="2" t="str">
        <f>HYPERLINK("http://ts.21cn.com/tousu/show/id/1330961","钱咖分期高利贷")</f>
        <v>钱咖分期高利贷</v>
      </c>
      <c r="C539" s="2" t="s">
        <v>9</v>
      </c>
      <c r="D539" s="2" t="s">
        <v>10</v>
      </c>
      <c r="E539" s="2" t="str">
        <f>HYPERLINK("http://ts.21cn.com/tousu/show/id/1330961","http://ts.21cn.com/tousu/show/id/1330961")</f>
        <v>http://ts.21cn.com/tousu/show/id/1330961</v>
      </c>
      <c r="F539" s="2" t="s">
        <v>11</v>
      </c>
      <c r="G539" s="2" t="s">
        <v>43097</v>
      </c>
      <c r="H539" s="2" t="s">
        <v>43098</v>
      </c>
    </row>
    <row r="540" spans="1:8" ht="25.05" customHeight="1" x14ac:dyDescent="0.25">
      <c r="A540" s="2" t="s">
        <v>8</v>
      </c>
      <c r="B540" s="2" t="str">
        <f>HYPERLINK("http://ts.21cn.com/tousu/show/id/1330972","贷上钱恶意催收变相砍头息")</f>
        <v>贷上钱恶意催收变相砍头息</v>
      </c>
      <c r="C540" s="2" t="s">
        <v>9</v>
      </c>
      <c r="D540" s="2" t="s">
        <v>10</v>
      </c>
      <c r="E540" s="2" t="str">
        <f>HYPERLINK("http://ts.21cn.com/tousu/show/id/1330972","http://ts.21cn.com/tousu/show/id/1330972")</f>
        <v>http://ts.21cn.com/tousu/show/id/1330972</v>
      </c>
      <c r="F540" s="2" t="s">
        <v>11</v>
      </c>
      <c r="G540" s="2" t="s">
        <v>43095</v>
      </c>
      <c r="H540" s="2" t="s">
        <v>43096</v>
      </c>
    </row>
    <row r="541" spans="1:8" ht="25.05" customHeight="1" x14ac:dyDescent="0.25">
      <c r="A541" s="2" t="s">
        <v>8</v>
      </c>
      <c r="B541" s="2" t="str">
        <f>HYPERLINK("http://ts.21cn.com/tousu/show/id/1330973","饿了么商家不诚实")</f>
        <v>饿了么商家不诚实</v>
      </c>
      <c r="C541" s="2" t="s">
        <v>9</v>
      </c>
      <c r="D541" s="2" t="s">
        <v>10</v>
      </c>
      <c r="E541" s="2" t="str">
        <f>HYPERLINK("http://ts.21cn.com/tousu/show/id/1330973","http://ts.21cn.com/tousu/show/id/1330973")</f>
        <v>http://ts.21cn.com/tousu/show/id/1330973</v>
      </c>
      <c r="F541" s="2" t="s">
        <v>11</v>
      </c>
      <c r="G541" s="2" t="s">
        <v>43093</v>
      </c>
      <c r="H541" s="2" t="s">
        <v>43094</v>
      </c>
    </row>
    <row r="542" spans="1:8" ht="25.05" customHeight="1" x14ac:dyDescent="0.25">
      <c r="A542" s="2" t="s">
        <v>8</v>
      </c>
      <c r="B542" s="2" t="str">
        <f>HYPERLINK("http://ts.21cn.com/tousu/show/id/1330974","畅捷支付给小贷提供通道")</f>
        <v>畅捷支付给小贷提供通道</v>
      </c>
      <c r="C542" s="2" t="s">
        <v>9</v>
      </c>
      <c r="D542" s="2" t="s">
        <v>10</v>
      </c>
      <c r="E542" s="2" t="str">
        <f>HYPERLINK("http://ts.21cn.com/tousu/show/id/1330974","http://ts.21cn.com/tousu/show/id/1330974")</f>
        <v>http://ts.21cn.com/tousu/show/id/1330974</v>
      </c>
      <c r="F542" s="2" t="s">
        <v>11</v>
      </c>
      <c r="G542" s="2" t="s">
        <v>43091</v>
      </c>
      <c r="H542" s="2" t="s">
        <v>43092</v>
      </c>
    </row>
    <row r="543" spans="1:8" ht="25.05" customHeight="1" x14ac:dyDescent="0.25">
      <c r="A543" s="2" t="s">
        <v>8</v>
      </c>
      <c r="B543" s="2" t="str">
        <f>HYPERLINK("http://ts.21cn.com/tousu/show/id/1330975","去哪网搭售额外消费服务，不给退款")</f>
        <v>去哪网搭售额外消费服务，不给退款</v>
      </c>
      <c r="C543" s="2" t="s">
        <v>9</v>
      </c>
      <c r="D543" s="2" t="s">
        <v>10</v>
      </c>
      <c r="E543" s="2" t="str">
        <f>HYPERLINK("http://ts.21cn.com/tousu/show/id/1330975","http://ts.21cn.com/tousu/show/id/1330975")</f>
        <v>http://ts.21cn.com/tousu/show/id/1330975</v>
      </c>
      <c r="F543" s="2" t="s">
        <v>11</v>
      </c>
      <c r="G543" s="2" t="s">
        <v>43089</v>
      </c>
      <c r="H543" s="2" t="s">
        <v>43090</v>
      </c>
    </row>
    <row r="544" spans="1:8" ht="25.05" customHeight="1" x14ac:dyDescent="0.25">
      <c r="A544" s="2" t="s">
        <v>8</v>
      </c>
      <c r="B544" s="2" t="str">
        <f>HYPERLINK("http://ts.21cn.com/tousu/show/id/1330977","你我贷暴力催收")</f>
        <v>你我贷暴力催收</v>
      </c>
      <c r="C544" s="2" t="s">
        <v>9</v>
      </c>
      <c r="D544" s="2" t="s">
        <v>10</v>
      </c>
      <c r="E544" s="2" t="str">
        <f>HYPERLINK("http://ts.21cn.com/tousu/show/id/1330977","http://ts.21cn.com/tousu/show/id/1330977")</f>
        <v>http://ts.21cn.com/tousu/show/id/1330977</v>
      </c>
      <c r="F544" s="2" t="s">
        <v>11</v>
      </c>
      <c r="G544" s="2" t="s">
        <v>43087</v>
      </c>
      <c r="H544" s="2" t="s">
        <v>43088</v>
      </c>
    </row>
    <row r="545" spans="1:8" ht="25.05" customHeight="1" x14ac:dyDescent="0.25">
      <c r="A545" s="2" t="s">
        <v>8</v>
      </c>
      <c r="B545" s="2" t="str">
        <f>HYPERLINK("http://ts.21cn.com/tousu/show/id/1330976","小铜钱私自扣款")</f>
        <v>小铜钱私自扣款</v>
      </c>
      <c r="C545" s="2" t="s">
        <v>9</v>
      </c>
      <c r="D545" s="2" t="s">
        <v>10</v>
      </c>
      <c r="E545" s="2" t="str">
        <f>HYPERLINK("http://ts.21cn.com/tousu/show/id/1330976","http://ts.21cn.com/tousu/show/id/1330976")</f>
        <v>http://ts.21cn.com/tousu/show/id/1330976</v>
      </c>
      <c r="F545" s="2" t="s">
        <v>11</v>
      </c>
      <c r="G545" s="2" t="s">
        <v>43085</v>
      </c>
      <c r="H545" s="2" t="s">
        <v>43086</v>
      </c>
    </row>
    <row r="546" spans="1:8" ht="25.05" customHeight="1" x14ac:dyDescent="0.25">
      <c r="A546" s="2" t="s">
        <v>8</v>
      </c>
      <c r="B546" s="2" t="str">
        <f>HYPERLINK("http://ts.21cn.com/tousu/show/id/1330978","玖富万卡高利贷平台")</f>
        <v>玖富万卡高利贷平台</v>
      </c>
      <c r="C546" s="2" t="s">
        <v>9</v>
      </c>
      <c r="D546" s="2" t="s">
        <v>10</v>
      </c>
      <c r="E546" s="2" t="str">
        <f>HYPERLINK("http://ts.21cn.com/tousu/show/id/1330978","http://ts.21cn.com/tousu/show/id/1330978")</f>
        <v>http://ts.21cn.com/tousu/show/id/1330978</v>
      </c>
      <c r="F546" s="2" t="s">
        <v>11</v>
      </c>
      <c r="G546" s="2" t="s">
        <v>43083</v>
      </c>
      <c r="H546" s="2" t="s">
        <v>43084</v>
      </c>
    </row>
    <row r="547" spans="1:8" ht="25.05" customHeight="1" x14ac:dyDescent="0.25">
      <c r="A547" s="2" t="s">
        <v>8</v>
      </c>
      <c r="B547" s="2" t="str">
        <f>HYPERLINK("http://ts.21cn.com/tousu/show/id/1330979","上海造艺网络科技有限公司恶意扣费")</f>
        <v>上海造艺网络科技有限公司恶意扣费</v>
      </c>
      <c r="C547" s="2" t="s">
        <v>9</v>
      </c>
      <c r="D547" s="2" t="s">
        <v>10</v>
      </c>
      <c r="E547" s="2" t="str">
        <f>HYPERLINK("http://ts.21cn.com/tousu/show/id/1330979","http://ts.21cn.com/tousu/show/id/1330979")</f>
        <v>http://ts.21cn.com/tousu/show/id/1330979</v>
      </c>
      <c r="F547" s="2" t="s">
        <v>11</v>
      </c>
      <c r="G547" s="2" t="s">
        <v>43081</v>
      </c>
      <c r="H547" s="2" t="s">
        <v>43082</v>
      </c>
    </row>
    <row r="548" spans="1:8" ht="25.05" customHeight="1" x14ac:dyDescent="0.25">
      <c r="A548" s="2" t="s">
        <v>8</v>
      </c>
      <c r="B548" s="2" t="str">
        <f>HYPERLINK("http://ts.21cn.com/tousu/show/id/1330980","李掌柜利息太高，一个月已经展期前后还了5000多利息")</f>
        <v>李掌柜利息太高，一个月已经展期前后还了5000多利息</v>
      </c>
      <c r="C548" s="2" t="s">
        <v>9</v>
      </c>
      <c r="D548" s="2" t="s">
        <v>10</v>
      </c>
      <c r="E548" s="2" t="str">
        <f>HYPERLINK("http://ts.21cn.com/tousu/show/id/1330980","http://ts.21cn.com/tousu/show/id/1330980")</f>
        <v>http://ts.21cn.com/tousu/show/id/1330980</v>
      </c>
      <c r="F548" s="2" t="s">
        <v>11</v>
      </c>
      <c r="G548" s="2" t="s">
        <v>43079</v>
      </c>
      <c r="H548" s="2" t="s">
        <v>43080</v>
      </c>
    </row>
    <row r="549" spans="1:8" ht="25.05" customHeight="1" x14ac:dyDescent="0.25">
      <c r="A549" s="2" t="s">
        <v>8</v>
      </c>
      <c r="B549" s="2" t="str">
        <f>HYPERLINK("http://ts.21cn.com/tousu/show/id/1330982","撤回强制提前还款")</f>
        <v>撤回强制提前还款</v>
      </c>
      <c r="C549" s="2" t="s">
        <v>9</v>
      </c>
      <c r="D549" s="2" t="s">
        <v>10</v>
      </c>
      <c r="E549" s="2" t="str">
        <f>HYPERLINK("http://ts.21cn.com/tousu/show/id/1330982","http://ts.21cn.com/tousu/show/id/1330982")</f>
        <v>http://ts.21cn.com/tousu/show/id/1330982</v>
      </c>
      <c r="F549" s="2" t="s">
        <v>11</v>
      </c>
      <c r="G549" s="2" t="s">
        <v>43077</v>
      </c>
      <c r="H549" s="2" t="s">
        <v>43078</v>
      </c>
    </row>
    <row r="550" spans="1:8" ht="25.05" customHeight="1" x14ac:dyDescent="0.25">
      <c r="A550" s="2" t="s">
        <v>8</v>
      </c>
      <c r="B550" s="2" t="str">
        <f>HYPERLINK("http://ts.21cn.com/tousu/show/id/1330983","唯品会泄露客户信息")</f>
        <v>唯品会泄露客户信息</v>
      </c>
      <c r="C550" s="2" t="s">
        <v>9</v>
      </c>
      <c r="D550" s="2" t="s">
        <v>10</v>
      </c>
      <c r="E550" s="2" t="str">
        <f>HYPERLINK("http://ts.21cn.com/tousu/show/id/1330983","http://ts.21cn.com/tousu/show/id/1330983")</f>
        <v>http://ts.21cn.com/tousu/show/id/1330983</v>
      </c>
      <c r="F550" s="2" t="s">
        <v>11</v>
      </c>
      <c r="G550" s="2" t="s">
        <v>43075</v>
      </c>
      <c r="H550" s="2" t="s">
        <v>43076</v>
      </c>
    </row>
    <row r="551" spans="1:8" ht="25.05" customHeight="1" x14ac:dyDescent="0.25">
      <c r="A551" s="2" t="s">
        <v>8</v>
      </c>
      <c r="B551" s="2" t="str">
        <f>HYPERLINK("http://ts.21cn.com/tousu/show/id/1330984","信用管家旗下钱咖分期无法还款，砍头息")</f>
        <v>信用管家旗下钱咖分期无法还款，砍头息</v>
      </c>
      <c r="C551" s="2" t="s">
        <v>9</v>
      </c>
      <c r="D551" s="2" t="s">
        <v>10</v>
      </c>
      <c r="E551" s="2" t="str">
        <f>HYPERLINK("http://ts.21cn.com/tousu/show/id/1330984","http://ts.21cn.com/tousu/show/id/1330984")</f>
        <v>http://ts.21cn.com/tousu/show/id/1330984</v>
      </c>
      <c r="F551" s="2" t="s">
        <v>11</v>
      </c>
      <c r="G551" s="2" t="s">
        <v>43073</v>
      </c>
      <c r="H551" s="2" t="s">
        <v>43074</v>
      </c>
    </row>
    <row r="552" spans="1:8" ht="25.05" customHeight="1" x14ac:dyDescent="0.25">
      <c r="A552" s="2" t="s">
        <v>8</v>
      </c>
      <c r="B552" s="2" t="str">
        <f>HYPERLINK("http://ts.21cn.com/tousu/show/id/1330986","黑卡退款未到账")</f>
        <v>黑卡退款未到账</v>
      </c>
      <c r="C552" s="2" t="s">
        <v>9</v>
      </c>
      <c r="D552" s="2" t="s">
        <v>10</v>
      </c>
      <c r="E552" s="2" t="str">
        <f>HYPERLINK("http://ts.21cn.com/tousu/show/id/1330986","http://ts.21cn.com/tousu/show/id/1330986")</f>
        <v>http://ts.21cn.com/tousu/show/id/1330986</v>
      </c>
      <c r="F552" s="2" t="s">
        <v>11</v>
      </c>
      <c r="G552" s="2" t="s">
        <v>43071</v>
      </c>
      <c r="H552" s="2" t="s">
        <v>43072</v>
      </c>
    </row>
    <row r="553" spans="1:8" ht="25.05" customHeight="1" x14ac:dyDescent="0.25">
      <c r="A553" s="2" t="s">
        <v>8</v>
      </c>
      <c r="B553" s="2" t="str">
        <f>HYPERLINK("http://ts.21cn.com/tousu/show/id/1330985","套路贷，虚假宣传，不明费用")</f>
        <v>套路贷，虚假宣传，不明费用</v>
      </c>
      <c r="C553" s="2" t="s">
        <v>9</v>
      </c>
      <c r="D553" s="2" t="s">
        <v>10</v>
      </c>
      <c r="E553" s="2" t="str">
        <f>HYPERLINK("http://ts.21cn.com/tousu/show/id/1330985","http://ts.21cn.com/tousu/show/id/1330985")</f>
        <v>http://ts.21cn.com/tousu/show/id/1330985</v>
      </c>
      <c r="F553" s="2" t="s">
        <v>11</v>
      </c>
      <c r="G553" s="2" t="s">
        <v>43069</v>
      </c>
      <c r="H553" s="2" t="s">
        <v>43070</v>
      </c>
    </row>
    <row r="554" spans="1:8" ht="25.05" customHeight="1" x14ac:dyDescent="0.25">
      <c r="A554" s="2" t="s">
        <v>8</v>
      </c>
      <c r="B554" s="2" t="str">
        <f>HYPERLINK("http://ts.21cn.com/tousu/show/id/1330989","辱骂我，轰炸我")</f>
        <v>辱骂我，轰炸我</v>
      </c>
      <c r="C554" s="2" t="s">
        <v>9</v>
      </c>
      <c r="D554" s="2" t="s">
        <v>10</v>
      </c>
      <c r="E554" s="2" t="str">
        <f>HYPERLINK("http://ts.21cn.com/tousu/show/id/1330989","http://ts.21cn.com/tousu/show/id/1330989")</f>
        <v>http://ts.21cn.com/tousu/show/id/1330989</v>
      </c>
      <c r="F554" s="2" t="s">
        <v>11</v>
      </c>
      <c r="G554" s="2" t="s">
        <v>43067</v>
      </c>
      <c r="H554" s="2" t="s">
        <v>43068</v>
      </c>
    </row>
    <row r="555" spans="1:8" ht="25.05" customHeight="1" x14ac:dyDescent="0.25">
      <c r="A555" s="2" t="s">
        <v>8</v>
      </c>
      <c r="B555" s="2" t="str">
        <f>HYPERLINK("http://ts.21cn.com/tousu/show/id/1330990","平安信用卡")</f>
        <v>平安信用卡</v>
      </c>
      <c r="C555" s="2" t="s">
        <v>9</v>
      </c>
      <c r="D555" s="2" t="s">
        <v>10</v>
      </c>
      <c r="E555" s="2" t="str">
        <f>HYPERLINK("http://ts.21cn.com/tousu/show/id/1330990","http://ts.21cn.com/tousu/show/id/1330990")</f>
        <v>http://ts.21cn.com/tousu/show/id/1330990</v>
      </c>
      <c r="F555" s="2" t="s">
        <v>11</v>
      </c>
      <c r="G555" s="2" t="s">
        <v>43065</v>
      </c>
      <c r="H555" s="2" t="s">
        <v>43066</v>
      </c>
    </row>
    <row r="556" spans="1:8" ht="25.05" customHeight="1" x14ac:dyDescent="0.25">
      <c r="A556" s="2" t="s">
        <v>8</v>
      </c>
      <c r="B556" s="2" t="str">
        <f>HYPERLINK("http://ts.21cn.com/tousu/show/id/1330991","珍爱网集体投诉专题")</f>
        <v>珍爱网集体投诉专题</v>
      </c>
      <c r="C556" s="2" t="s">
        <v>9</v>
      </c>
      <c r="D556" s="2" t="s">
        <v>10</v>
      </c>
      <c r="E556" s="2" t="str">
        <f>HYPERLINK("http://ts.21cn.com/tousu/show/id/1330991","http://ts.21cn.com/tousu/show/id/1330991")</f>
        <v>http://ts.21cn.com/tousu/show/id/1330991</v>
      </c>
      <c r="F556" s="2" t="s">
        <v>11</v>
      </c>
      <c r="G556" s="2" t="s">
        <v>43063</v>
      </c>
      <c r="H556" s="2" t="s">
        <v>43064</v>
      </c>
    </row>
    <row r="557" spans="1:8" ht="25.05" customHeight="1" x14ac:dyDescent="0.25">
      <c r="A557" s="2" t="s">
        <v>8</v>
      </c>
      <c r="B557" s="2" t="str">
        <f>HYPERLINK("http://ts.21cn.com/tousu/show/id/1330992","钱站（爱钱进）砍头息违规利息阴阳合同")</f>
        <v>钱站（爱钱进）砍头息违规利息阴阳合同</v>
      </c>
      <c r="C557" s="2" t="s">
        <v>9</v>
      </c>
      <c r="D557" s="2" t="s">
        <v>10</v>
      </c>
      <c r="E557" s="2" t="str">
        <f>HYPERLINK("http://ts.21cn.com/tousu/show/id/1330992","http://ts.21cn.com/tousu/show/id/1330992")</f>
        <v>http://ts.21cn.com/tousu/show/id/1330992</v>
      </c>
      <c r="F557" s="2" t="s">
        <v>11</v>
      </c>
      <c r="G557" s="2" t="s">
        <v>43061</v>
      </c>
      <c r="H557" s="2" t="s">
        <v>43062</v>
      </c>
    </row>
    <row r="558" spans="1:8" ht="25.05" customHeight="1" x14ac:dyDescent="0.25">
      <c r="A558" s="2" t="s">
        <v>8</v>
      </c>
      <c r="B558" s="2" t="str">
        <f>HYPERLINK("http://ts.21cn.com/tousu/show/id/1330987","威力贷高利贷放款，汇潮支付协助放款")</f>
        <v>威力贷高利贷放款，汇潮支付协助放款</v>
      </c>
      <c r="C558" s="2" t="s">
        <v>9</v>
      </c>
      <c r="D558" s="2" t="s">
        <v>10</v>
      </c>
      <c r="E558" s="2" t="str">
        <f>HYPERLINK("http://ts.21cn.com/tousu/show/id/1330987","http://ts.21cn.com/tousu/show/id/1330987")</f>
        <v>http://ts.21cn.com/tousu/show/id/1330987</v>
      </c>
      <c r="F558" s="2" t="s">
        <v>11</v>
      </c>
      <c r="G558" s="2" t="s">
        <v>43059</v>
      </c>
      <c r="H558" s="2" t="s">
        <v>43060</v>
      </c>
    </row>
    <row r="559" spans="1:8" ht="25.05" customHeight="1" x14ac:dyDescent="0.25">
      <c r="A559" s="2" t="s">
        <v>8</v>
      </c>
      <c r="B559" s="2" t="str">
        <f>HYPERLINK("http://ts.21cn.com/tousu/show/id/1330994","在淘手游交易，由于卖家未回复，于是我去和客服说退款，没想到客服没有理我，客服电话也不接，仍然杳无音讯")</f>
        <v>在淘手游交易，由于卖家未回复，于是我去和客服说退款，没想到客服没有理我，客服电话也不接，仍然杳无音讯</v>
      </c>
      <c r="C559" s="2" t="s">
        <v>9</v>
      </c>
      <c r="D559" s="2" t="s">
        <v>10</v>
      </c>
      <c r="E559" s="2" t="str">
        <f>HYPERLINK("http://ts.21cn.com/tousu/show/id/1330994","http://ts.21cn.com/tousu/show/id/1330994")</f>
        <v>http://ts.21cn.com/tousu/show/id/1330994</v>
      </c>
      <c r="F559" s="2" t="s">
        <v>11</v>
      </c>
      <c r="G559" s="2" t="s">
        <v>43057</v>
      </c>
      <c r="H559" s="2" t="s">
        <v>43058</v>
      </c>
    </row>
    <row r="560" spans="1:8" ht="25.05" customHeight="1" x14ac:dyDescent="0.25">
      <c r="A560" s="2" t="s">
        <v>8</v>
      </c>
      <c r="B560" s="2" t="str">
        <f>HYPERLINK("http://ts.21cn.com/tousu/show/id/1330995","厂家不发工资")</f>
        <v>厂家不发工资</v>
      </c>
      <c r="C560" s="2" t="s">
        <v>9</v>
      </c>
      <c r="D560" s="2" t="s">
        <v>10</v>
      </c>
      <c r="E560" s="2" t="str">
        <f>HYPERLINK("http://ts.21cn.com/tousu/show/id/1330995","http://ts.21cn.com/tousu/show/id/1330995")</f>
        <v>http://ts.21cn.com/tousu/show/id/1330995</v>
      </c>
      <c r="F560" s="2" t="s">
        <v>11</v>
      </c>
      <c r="G560" s="2" t="s">
        <v>43055</v>
      </c>
      <c r="H560" s="2" t="s">
        <v>43056</v>
      </c>
    </row>
    <row r="561" spans="1:8" ht="25.05" customHeight="1" x14ac:dyDescent="0.25">
      <c r="A561" s="2" t="s">
        <v>8</v>
      </c>
      <c r="B561" s="2" t="str">
        <f>HYPERLINK("http://ts.21cn.com/tousu/show/id/1330996","分期通恶意扣款")</f>
        <v>分期通恶意扣款</v>
      </c>
      <c r="C561" s="2" t="s">
        <v>9</v>
      </c>
      <c r="D561" s="2" t="s">
        <v>10</v>
      </c>
      <c r="E561" s="2" t="str">
        <f>HYPERLINK("http://ts.21cn.com/tousu/show/id/1330996","http://ts.21cn.com/tousu/show/id/1330996")</f>
        <v>http://ts.21cn.com/tousu/show/id/1330996</v>
      </c>
      <c r="F561" s="2" t="s">
        <v>11</v>
      </c>
      <c r="G561" s="2" t="s">
        <v>43053</v>
      </c>
      <c r="H561" s="2" t="s">
        <v>43054</v>
      </c>
    </row>
    <row r="562" spans="1:8" ht="25.05" customHeight="1" x14ac:dyDescent="0.25">
      <c r="A562" s="2" t="s">
        <v>8</v>
      </c>
      <c r="B562" s="2" t="str">
        <f>HYPERLINK("http://ts.21cn.com/tousu/show/id/1330998","所买家具并未签收，卖家虚假发货，伪造物流单号证据")</f>
        <v>所买家具并未签收，卖家虚假发货，伪造物流单号证据</v>
      </c>
      <c r="C562" s="2" t="s">
        <v>9</v>
      </c>
      <c r="D562" s="2" t="s">
        <v>10</v>
      </c>
      <c r="E562" s="2" t="str">
        <f>HYPERLINK("http://ts.21cn.com/tousu/show/id/1330998","http://ts.21cn.com/tousu/show/id/1330998")</f>
        <v>http://ts.21cn.com/tousu/show/id/1330998</v>
      </c>
      <c r="F562" s="2" t="s">
        <v>11</v>
      </c>
      <c r="G562" s="2" t="s">
        <v>43051</v>
      </c>
      <c r="H562" s="2" t="s">
        <v>43052</v>
      </c>
    </row>
    <row r="563" spans="1:8" ht="25.05" customHeight="1" x14ac:dyDescent="0.25">
      <c r="A563" s="2" t="s">
        <v>8</v>
      </c>
      <c r="B563" s="2" t="str">
        <f>HYPERLINK("http://ts.21cn.com/tousu/show/id/1330997","微粒贷恶意催收，骚扰，影响我工作")</f>
        <v>微粒贷恶意催收，骚扰，影响我工作</v>
      </c>
      <c r="C563" s="2" t="s">
        <v>9</v>
      </c>
      <c r="D563" s="2" t="s">
        <v>10</v>
      </c>
      <c r="E563" s="2" t="str">
        <f>HYPERLINK("http://ts.21cn.com/tousu/show/id/1330997","http://ts.21cn.com/tousu/show/id/1330997")</f>
        <v>http://ts.21cn.com/tousu/show/id/1330997</v>
      </c>
      <c r="F563" s="2" t="s">
        <v>11</v>
      </c>
      <c r="G563" s="2" t="s">
        <v>43049</v>
      </c>
      <c r="H563" s="2" t="s">
        <v>43050</v>
      </c>
    </row>
    <row r="564" spans="1:8" ht="25.05" customHeight="1" x14ac:dyDescent="0.25">
      <c r="A564" s="2" t="s">
        <v>8</v>
      </c>
      <c r="B564" s="2" t="str">
        <f>HYPERLINK("http://ts.21cn.com/tousu/show/id/1330999","我来贷非法高利贷")</f>
        <v>我来贷非法高利贷</v>
      </c>
      <c r="C564" s="2" t="s">
        <v>9</v>
      </c>
      <c r="D564" s="2" t="s">
        <v>10</v>
      </c>
      <c r="E564" s="2" t="str">
        <f>HYPERLINK("http://ts.21cn.com/tousu/show/id/1330999","http://ts.21cn.com/tousu/show/id/1330999")</f>
        <v>http://ts.21cn.com/tousu/show/id/1330999</v>
      </c>
      <c r="F564" s="2" t="s">
        <v>11</v>
      </c>
      <c r="G564" s="2" t="s">
        <v>43047</v>
      </c>
      <c r="H564" s="2" t="s">
        <v>43048</v>
      </c>
    </row>
    <row r="565" spans="1:8" ht="25.05" customHeight="1" x14ac:dyDescent="0.25">
      <c r="A565" s="2" t="s">
        <v>8</v>
      </c>
      <c r="B565" s="2" t="str">
        <f>HYPERLINK("http://ts.21cn.com/tousu/show/id/1331001","有钱花，暴力催收，恶意上逾期")</f>
        <v>有钱花，暴力催收，恶意上逾期</v>
      </c>
      <c r="C565" s="2" t="s">
        <v>9</v>
      </c>
      <c r="D565" s="2" t="s">
        <v>10</v>
      </c>
      <c r="E565" s="2" t="str">
        <f>HYPERLINK("http://ts.21cn.com/tousu/show/id/1331001","http://ts.21cn.com/tousu/show/id/1331001")</f>
        <v>http://ts.21cn.com/tousu/show/id/1331001</v>
      </c>
      <c r="F565" s="2" t="s">
        <v>11</v>
      </c>
      <c r="G565" s="2" t="s">
        <v>43045</v>
      </c>
      <c r="H565" s="2" t="s">
        <v>43046</v>
      </c>
    </row>
    <row r="566" spans="1:8" ht="25.05" customHeight="1" x14ac:dyDescent="0.25">
      <c r="A566" s="2" t="s">
        <v>8</v>
      </c>
      <c r="B566" s="2" t="str">
        <f>HYPERLINK("http://ts.21cn.com/tousu/show/id/1331000","云端商务诱导消费")</f>
        <v>云端商务诱导消费</v>
      </c>
      <c r="C566" s="2" t="s">
        <v>9</v>
      </c>
      <c r="D566" s="2" t="s">
        <v>10</v>
      </c>
      <c r="E566" s="2" t="str">
        <f>HYPERLINK("http://ts.21cn.com/tousu/show/id/1331000","http://ts.21cn.com/tousu/show/id/1331000")</f>
        <v>http://ts.21cn.com/tousu/show/id/1331000</v>
      </c>
      <c r="F566" s="2" t="s">
        <v>11</v>
      </c>
      <c r="G566" s="2" t="s">
        <v>43043</v>
      </c>
      <c r="H566" s="2" t="s">
        <v>43044</v>
      </c>
    </row>
    <row r="567" spans="1:8" ht="25.05" customHeight="1" x14ac:dyDescent="0.25">
      <c r="A567" s="2" t="s">
        <v>8</v>
      </c>
      <c r="B567" s="2" t="str">
        <f>HYPERLINK("http://ts.21cn.com/tousu/show/id/1331003","钱站高利贷阴阳合同")</f>
        <v>钱站高利贷阴阳合同</v>
      </c>
      <c r="C567" s="2" t="s">
        <v>9</v>
      </c>
      <c r="D567" s="2" t="s">
        <v>10</v>
      </c>
      <c r="E567" s="2" t="str">
        <f>HYPERLINK("http://ts.21cn.com/tousu/show/id/1331003","http://ts.21cn.com/tousu/show/id/1331003")</f>
        <v>http://ts.21cn.com/tousu/show/id/1331003</v>
      </c>
      <c r="F567" s="2" t="s">
        <v>11</v>
      </c>
      <c r="G567" s="2" t="s">
        <v>43041</v>
      </c>
      <c r="H567" s="2" t="s">
        <v>43042</v>
      </c>
    </row>
    <row r="568" spans="1:8" ht="25.05" customHeight="1" x14ac:dyDescent="0.25">
      <c r="A568" s="2" t="s">
        <v>8</v>
      </c>
      <c r="B568" s="2" t="str">
        <f>HYPERLINK("http://ts.21cn.com/tousu/show/id/1331006","信而富砍头捆绑销售")</f>
        <v>信而富砍头捆绑销售</v>
      </c>
      <c r="C568" s="2" t="s">
        <v>34</v>
      </c>
      <c r="D568" s="2" t="s">
        <v>10</v>
      </c>
      <c r="E568" s="2" t="str">
        <f>HYPERLINK("http://ts.21cn.com/tousu/show/id/1331006","http://ts.21cn.com/tousu/show/id/1331006")</f>
        <v>http://ts.21cn.com/tousu/show/id/1331006</v>
      </c>
      <c r="F568" s="2" t="s">
        <v>11</v>
      </c>
      <c r="G568" s="2" t="s">
        <v>43039</v>
      </c>
      <c r="H568" s="2" t="s">
        <v>43040</v>
      </c>
    </row>
    <row r="569" spans="1:8" ht="25.05" customHeight="1" x14ac:dyDescent="0.25">
      <c r="A569" s="2" t="s">
        <v>8</v>
      </c>
      <c r="B569" s="2" t="str">
        <f>HYPERLINK("http://ts.21cn.com/tousu/show/id/1331007","盗刷")</f>
        <v>盗刷</v>
      </c>
      <c r="C569" s="2" t="s">
        <v>9</v>
      </c>
      <c r="D569" s="2" t="s">
        <v>10</v>
      </c>
      <c r="E569" s="2" t="str">
        <f>HYPERLINK("http://ts.21cn.com/tousu/show/id/1331007","http://ts.21cn.com/tousu/show/id/1331007")</f>
        <v>http://ts.21cn.com/tousu/show/id/1331007</v>
      </c>
      <c r="F569" s="2" t="s">
        <v>11</v>
      </c>
      <c r="G569" s="2" t="s">
        <v>43037</v>
      </c>
      <c r="H569" s="2" t="s">
        <v>43038</v>
      </c>
    </row>
    <row r="570" spans="1:8" ht="25.05" customHeight="1" x14ac:dyDescent="0.25">
      <c r="A570" s="2" t="s">
        <v>8</v>
      </c>
      <c r="B570" s="2" t="str">
        <f>HYPERLINK("http://ts.21cn.com/tousu/show/id/1331009","智行火车票恶意扣费")</f>
        <v>智行火车票恶意扣费</v>
      </c>
      <c r="C570" s="2" t="s">
        <v>9</v>
      </c>
      <c r="D570" s="2" t="s">
        <v>10</v>
      </c>
      <c r="E570" s="2" t="str">
        <f>HYPERLINK("http://ts.21cn.com/tousu/show/id/1331009","http://ts.21cn.com/tousu/show/id/1331009")</f>
        <v>http://ts.21cn.com/tousu/show/id/1331009</v>
      </c>
      <c r="F570" s="2" t="s">
        <v>11</v>
      </c>
      <c r="G570" s="2" t="s">
        <v>43035</v>
      </c>
      <c r="H570" s="2" t="s">
        <v>43036</v>
      </c>
    </row>
    <row r="571" spans="1:8" ht="25.05" customHeight="1" x14ac:dyDescent="0.25">
      <c r="A571" s="2" t="s">
        <v>8</v>
      </c>
      <c r="B571" s="2" t="str">
        <f>HYPERLINK("http://ts.21cn.com/tousu/show/id/1331008","贷上钱以买游戏豆为由收取高额贷款通过费")</f>
        <v>贷上钱以买游戏豆为由收取高额贷款通过费</v>
      </c>
      <c r="C571" s="2" t="s">
        <v>9</v>
      </c>
      <c r="D571" s="2" t="s">
        <v>10</v>
      </c>
      <c r="E571" s="2" t="str">
        <f>HYPERLINK("http://ts.21cn.com/tousu/show/id/1331008","http://ts.21cn.com/tousu/show/id/1331008")</f>
        <v>http://ts.21cn.com/tousu/show/id/1331008</v>
      </c>
      <c r="F571" s="2" t="s">
        <v>11</v>
      </c>
      <c r="G571" s="2" t="s">
        <v>43033</v>
      </c>
      <c r="H571" s="2" t="s">
        <v>43034</v>
      </c>
    </row>
    <row r="572" spans="1:8" ht="25.05" customHeight="1" x14ac:dyDescent="0.25">
      <c r="A572" s="2" t="s">
        <v>8</v>
      </c>
      <c r="B572" s="2" t="str">
        <f>HYPERLINK("http://ts.21cn.com/tousu/show/id/1331002","信用管家金猪钱包砍头息，高利贷")</f>
        <v>信用管家金猪钱包砍头息，高利贷</v>
      </c>
      <c r="C572" s="2" t="s">
        <v>9</v>
      </c>
      <c r="D572" s="2" t="s">
        <v>10</v>
      </c>
      <c r="E572" s="2" t="str">
        <f>HYPERLINK("http://ts.21cn.com/tousu/show/id/1331002","http://ts.21cn.com/tousu/show/id/1331002")</f>
        <v>http://ts.21cn.com/tousu/show/id/1331002</v>
      </c>
      <c r="F572" s="2" t="s">
        <v>11</v>
      </c>
      <c r="G572" s="2" t="s">
        <v>43031</v>
      </c>
      <c r="H572" s="2" t="s">
        <v>43032</v>
      </c>
    </row>
    <row r="573" spans="1:8" ht="25.05" customHeight="1" x14ac:dyDescent="0.25">
      <c r="A573" s="2" t="s">
        <v>8</v>
      </c>
      <c r="B573" s="2" t="str">
        <f>HYPERLINK("http://ts.21cn.com/tousu/show/id/1331010","高利贷马上还款")</f>
        <v>高利贷马上还款</v>
      </c>
      <c r="C573" s="2" t="s">
        <v>9</v>
      </c>
      <c r="D573" s="2" t="s">
        <v>10</v>
      </c>
      <c r="E573" s="2" t="str">
        <f>HYPERLINK("http://ts.21cn.com/tousu/show/id/1331010","http://ts.21cn.com/tousu/show/id/1331010")</f>
        <v>http://ts.21cn.com/tousu/show/id/1331010</v>
      </c>
      <c r="F573" s="2" t="s">
        <v>11</v>
      </c>
      <c r="G573" s="2" t="s">
        <v>43029</v>
      </c>
      <c r="H573" s="2" t="s">
        <v>43030</v>
      </c>
    </row>
    <row r="574" spans="1:8" ht="25.05" customHeight="1" x14ac:dyDescent="0.25">
      <c r="A574" s="2" t="s">
        <v>8</v>
      </c>
      <c r="B574" s="2" t="str">
        <f>HYPERLINK("http://ts.21cn.com/tousu/show/id/1331011","捷信变相高利贷，65000分期57期还了20期。一次性再还清还需要偿还54083.16，")</f>
        <v>捷信变相高利贷，65000分期57期还了20期。一次性再还清还需要偿还54083.16，</v>
      </c>
      <c r="C574" s="2" t="s">
        <v>9</v>
      </c>
      <c r="D574" s="2" t="s">
        <v>10</v>
      </c>
      <c r="E574" s="2" t="str">
        <f>HYPERLINK("http://ts.21cn.com/tousu/show/id/1331011","http://ts.21cn.com/tousu/show/id/1331011")</f>
        <v>http://ts.21cn.com/tousu/show/id/1331011</v>
      </c>
      <c r="F574" s="2" t="s">
        <v>11</v>
      </c>
      <c r="G574" s="2" t="s">
        <v>43027</v>
      </c>
      <c r="H574" s="2" t="s">
        <v>43028</v>
      </c>
    </row>
    <row r="575" spans="1:8" ht="25.05" customHeight="1" x14ac:dyDescent="0.25">
      <c r="A575" s="2" t="s">
        <v>8</v>
      </c>
      <c r="B575" s="2" t="str">
        <f>HYPERLINK("http://ts.21cn.com/tousu/show/id/1330731","接到客服电话要求提供验证码然后钱给划走了，闪银闪贷至尊贷")</f>
        <v>接到客服电话要求提供验证码然后钱给划走了，闪银闪贷至尊贷</v>
      </c>
      <c r="C575" s="2" t="s">
        <v>9</v>
      </c>
      <c r="D575" s="2" t="s">
        <v>10</v>
      </c>
      <c r="E575" s="2" t="str">
        <f>HYPERLINK("http://ts.21cn.com/tousu/show/id/1330731","http://ts.21cn.com/tousu/show/id/1330731")</f>
        <v>http://ts.21cn.com/tousu/show/id/1330731</v>
      </c>
      <c r="F575" s="2" t="s">
        <v>11</v>
      </c>
      <c r="G575" s="2" t="s">
        <v>43025</v>
      </c>
      <c r="H575" s="2" t="s">
        <v>43026</v>
      </c>
    </row>
    <row r="576" spans="1:8" ht="25.05" customHeight="1" x14ac:dyDescent="0.25">
      <c r="A576" s="2" t="s">
        <v>8</v>
      </c>
      <c r="B576" s="2" t="str">
        <f>HYPERLINK("http://ts.21cn.com/tousu/show/id/1331012","钱站超利贷")</f>
        <v>钱站超利贷</v>
      </c>
      <c r="C576" s="2" t="s">
        <v>9</v>
      </c>
      <c r="D576" s="2" t="s">
        <v>10</v>
      </c>
      <c r="E576" s="2" t="str">
        <f>HYPERLINK("http://ts.21cn.com/tousu/show/id/1331012","http://ts.21cn.com/tousu/show/id/1331012")</f>
        <v>http://ts.21cn.com/tousu/show/id/1331012</v>
      </c>
      <c r="F576" s="2" t="s">
        <v>11</v>
      </c>
      <c r="G576" s="2" t="s">
        <v>43023</v>
      </c>
      <c r="H576" s="2" t="s">
        <v>43024</v>
      </c>
    </row>
    <row r="577" spans="1:8" ht="25.05" customHeight="1" x14ac:dyDescent="0.25">
      <c r="A577" s="2" t="s">
        <v>8</v>
      </c>
      <c r="B577" s="2" t="str">
        <f>HYPERLINK("http://ts.21cn.com/tousu/show/id/1331013","今日头条账号被封")</f>
        <v>今日头条账号被封</v>
      </c>
      <c r="C577" s="2" t="s">
        <v>34</v>
      </c>
      <c r="D577" s="2" t="s">
        <v>10</v>
      </c>
      <c r="E577" s="2" t="str">
        <f>HYPERLINK("http://ts.21cn.com/tousu/show/id/1331013","http://ts.21cn.com/tousu/show/id/1331013")</f>
        <v>http://ts.21cn.com/tousu/show/id/1331013</v>
      </c>
      <c r="F577" s="2" t="s">
        <v>11</v>
      </c>
      <c r="G577" s="2" t="s">
        <v>43021</v>
      </c>
      <c r="H577" s="2" t="s">
        <v>43022</v>
      </c>
    </row>
    <row r="578" spans="1:8" ht="25.05" customHeight="1" x14ac:dyDescent="0.25">
      <c r="A578" s="2" t="s">
        <v>8</v>
      </c>
      <c r="B578" s="2" t="str">
        <f>HYPERLINK("http://ts.21cn.com/tousu/show/id/1331014","莫名其妙的自己的买家淘宝号被标记")</f>
        <v>莫名其妙的自己的买家淘宝号被标记</v>
      </c>
      <c r="C578" s="2" t="s">
        <v>34</v>
      </c>
      <c r="D578" s="2" t="s">
        <v>10</v>
      </c>
      <c r="E578" s="2" t="str">
        <f>HYPERLINK("http://ts.21cn.com/tousu/show/id/1331014","http://ts.21cn.com/tousu/show/id/1331014")</f>
        <v>http://ts.21cn.com/tousu/show/id/1331014</v>
      </c>
      <c r="F578" s="2" t="s">
        <v>11</v>
      </c>
      <c r="G578" s="2" t="s">
        <v>43019</v>
      </c>
      <c r="H578" s="2" t="s">
        <v>43020</v>
      </c>
    </row>
    <row r="579" spans="1:8" ht="25.05" customHeight="1" x14ac:dyDescent="0.25">
      <c r="A579" s="2" t="s">
        <v>8</v>
      </c>
      <c r="B579" s="2" t="str">
        <f>HYPERLINK("http://ts.21cn.com/tousu/show/id/1331015","客服联系不上")</f>
        <v>客服联系不上</v>
      </c>
      <c r="C579" s="2" t="s">
        <v>9</v>
      </c>
      <c r="D579" s="2" t="s">
        <v>10</v>
      </c>
      <c r="E579" s="2" t="str">
        <f>HYPERLINK("http://ts.21cn.com/tousu/show/id/1331015","http://ts.21cn.com/tousu/show/id/1331015")</f>
        <v>http://ts.21cn.com/tousu/show/id/1331015</v>
      </c>
      <c r="F579" s="2" t="s">
        <v>11</v>
      </c>
      <c r="G579" s="2" t="s">
        <v>43017</v>
      </c>
      <c r="H579" s="2" t="s">
        <v>43018</v>
      </c>
    </row>
    <row r="580" spans="1:8" ht="25.05" customHeight="1" x14ac:dyDescent="0.25">
      <c r="A580" s="2" t="s">
        <v>8</v>
      </c>
      <c r="B580" s="2" t="str">
        <f>HYPERLINK("http://ts.21cn.com/tousu/show/id/1331016","信任分期骚扰借款人通讯录")</f>
        <v>信任分期骚扰借款人通讯录</v>
      </c>
      <c r="C580" s="2" t="s">
        <v>9</v>
      </c>
      <c r="D580" s="2" t="s">
        <v>10</v>
      </c>
      <c r="E580" s="2" t="str">
        <f>HYPERLINK("http://ts.21cn.com/tousu/show/id/1331016","http://ts.21cn.com/tousu/show/id/1331016")</f>
        <v>http://ts.21cn.com/tousu/show/id/1331016</v>
      </c>
      <c r="F580" s="2" t="s">
        <v>11</v>
      </c>
      <c r="G580" s="2" t="s">
        <v>43015</v>
      </c>
      <c r="H580" s="2" t="s">
        <v>43016</v>
      </c>
    </row>
    <row r="581" spans="1:8" ht="25.05" customHeight="1" x14ac:dyDescent="0.25">
      <c r="A581" s="2" t="s">
        <v>8</v>
      </c>
      <c r="B581" s="2" t="str">
        <f>HYPERLINK("http://ts.21cn.com/tousu/show/id/1331017","酷花花非法收取高利贷")</f>
        <v>酷花花非法收取高利贷</v>
      </c>
      <c r="C581" s="2" t="s">
        <v>9</v>
      </c>
      <c r="D581" s="2" t="s">
        <v>10</v>
      </c>
      <c r="E581" s="2" t="str">
        <f>HYPERLINK("http://ts.21cn.com/tousu/show/id/1331017","http://ts.21cn.com/tousu/show/id/1331017")</f>
        <v>http://ts.21cn.com/tousu/show/id/1331017</v>
      </c>
      <c r="F581" s="2" t="s">
        <v>11</v>
      </c>
      <c r="G581" s="2" t="s">
        <v>43013</v>
      </c>
      <c r="H581" s="2" t="s">
        <v>43014</v>
      </c>
    </row>
    <row r="582" spans="1:8" ht="25.05" customHeight="1" x14ac:dyDescent="0.25">
      <c r="A582" s="2" t="s">
        <v>8</v>
      </c>
      <c r="B582" s="2" t="str">
        <f>HYPERLINK("http://ts.21cn.com/tousu/show/id/1331018","协商还款后给家里人打电话威胁")</f>
        <v>协商还款后给家里人打电话威胁</v>
      </c>
      <c r="C582" s="2" t="s">
        <v>9</v>
      </c>
      <c r="D582" s="2" t="s">
        <v>10</v>
      </c>
      <c r="E582" s="2" t="str">
        <f>HYPERLINK("http://ts.21cn.com/tousu/show/id/1331018","http://ts.21cn.com/tousu/show/id/1331018")</f>
        <v>http://ts.21cn.com/tousu/show/id/1331018</v>
      </c>
      <c r="F582" s="2" t="s">
        <v>11</v>
      </c>
      <c r="G582" s="2" t="s">
        <v>43011</v>
      </c>
      <c r="H582" s="2" t="s">
        <v>43012</v>
      </c>
    </row>
    <row r="583" spans="1:8" ht="25.05" customHeight="1" x14ac:dyDescent="0.25">
      <c r="A583" s="2" t="s">
        <v>8</v>
      </c>
      <c r="B583" s="2" t="str">
        <f>HYPERLINK("http://ts.21cn.com/tousu/show/id/1331019","钱站违法收取高额逾期费")</f>
        <v>钱站违法收取高额逾期费</v>
      </c>
      <c r="C583" s="2" t="s">
        <v>9</v>
      </c>
      <c r="D583" s="2" t="s">
        <v>10</v>
      </c>
      <c r="E583" s="2" t="str">
        <f>HYPERLINK("http://ts.21cn.com/tousu/show/id/1331019","http://ts.21cn.com/tousu/show/id/1331019")</f>
        <v>http://ts.21cn.com/tousu/show/id/1331019</v>
      </c>
      <c r="F583" s="2" t="s">
        <v>11</v>
      </c>
      <c r="G583" s="2" t="s">
        <v>43009</v>
      </c>
      <c r="H583" s="2" t="s">
        <v>43010</v>
      </c>
    </row>
    <row r="584" spans="1:8" ht="25.05" customHeight="1" x14ac:dyDescent="0.25">
      <c r="A584" s="2" t="s">
        <v>8</v>
      </c>
      <c r="B584" s="2" t="str">
        <f>HYPERLINK("http://ts.21cn.com/tousu/show/id/1331021","平安普惠工作人员恶意诽谤")</f>
        <v>平安普惠工作人员恶意诽谤</v>
      </c>
      <c r="C584" s="2" t="s">
        <v>9</v>
      </c>
      <c r="D584" s="2" t="s">
        <v>10</v>
      </c>
      <c r="E584" s="2" t="str">
        <f>HYPERLINK("http://ts.21cn.com/tousu/show/id/1331021","http://ts.21cn.com/tousu/show/id/1331021")</f>
        <v>http://ts.21cn.com/tousu/show/id/1331021</v>
      </c>
      <c r="F584" s="2" t="s">
        <v>11</v>
      </c>
      <c r="G584" s="2" t="s">
        <v>43007</v>
      </c>
      <c r="H584" s="2" t="s">
        <v>43008</v>
      </c>
    </row>
    <row r="585" spans="1:8" ht="25.05" customHeight="1" x14ac:dyDescent="0.25">
      <c r="A585" s="2" t="s">
        <v>8</v>
      </c>
      <c r="B585" s="2" t="str">
        <f>HYPERLINK("http://ts.21cn.com/tousu/show/id/1331024","乱扣费")</f>
        <v>乱扣费</v>
      </c>
      <c r="C585" s="2" t="s">
        <v>9</v>
      </c>
      <c r="D585" s="2" t="s">
        <v>10</v>
      </c>
      <c r="E585" s="2" t="str">
        <f>HYPERLINK("http://ts.21cn.com/tousu/show/id/1331024","http://ts.21cn.com/tousu/show/id/1331024")</f>
        <v>http://ts.21cn.com/tousu/show/id/1331024</v>
      </c>
      <c r="F585" s="2" t="s">
        <v>11</v>
      </c>
      <c r="G585" s="2" t="s">
        <v>43005</v>
      </c>
      <c r="H585" s="2" t="s">
        <v>43006</v>
      </c>
    </row>
    <row r="586" spans="1:8" ht="25.05" customHeight="1" x14ac:dyDescent="0.25">
      <c r="A586" s="2" t="s">
        <v>8</v>
      </c>
      <c r="B586" s="2" t="str">
        <f>HYPERLINK("http://ts.21cn.com/tousu/show/id/1331025","百事普惠恶意套路399元")</f>
        <v>百事普惠恶意套路399元</v>
      </c>
      <c r="C586" s="2" t="s">
        <v>9</v>
      </c>
      <c r="D586" s="2" t="s">
        <v>10</v>
      </c>
      <c r="E586" s="2" t="str">
        <f>HYPERLINK("http://ts.21cn.com/tousu/show/id/1331025","http://ts.21cn.com/tousu/show/id/1331025")</f>
        <v>http://ts.21cn.com/tousu/show/id/1331025</v>
      </c>
      <c r="F586" s="2" t="s">
        <v>11</v>
      </c>
      <c r="G586" s="2" t="s">
        <v>43003</v>
      </c>
      <c r="H586" s="2" t="s">
        <v>43004</v>
      </c>
    </row>
    <row r="587" spans="1:8" ht="25.05" customHeight="1" x14ac:dyDescent="0.25">
      <c r="A587" s="2" t="s">
        <v>8</v>
      </c>
      <c r="B587" s="2" t="str">
        <f>HYPERLINK("http://ts.21cn.com/tousu/show/id/1331026","易起来高利贷")</f>
        <v>易起来高利贷</v>
      </c>
      <c r="C587" s="2" t="s">
        <v>9</v>
      </c>
      <c r="D587" s="2" t="s">
        <v>10</v>
      </c>
      <c r="E587" s="2" t="str">
        <f>HYPERLINK("http://ts.21cn.com/tousu/show/id/1331026","http://ts.21cn.com/tousu/show/id/1331026")</f>
        <v>http://ts.21cn.com/tousu/show/id/1331026</v>
      </c>
      <c r="F587" s="2" t="s">
        <v>11</v>
      </c>
      <c r="G587" s="2" t="s">
        <v>43001</v>
      </c>
      <c r="H587" s="2" t="s">
        <v>43002</v>
      </c>
    </row>
    <row r="588" spans="1:8" ht="25.05" customHeight="1" x14ac:dyDescent="0.25">
      <c r="A588" s="2" t="s">
        <v>8</v>
      </c>
      <c r="B588" s="2" t="str">
        <f>HYPERLINK("http://ts.21cn.com/tousu/show/id/1331029","自主扣费")</f>
        <v>自主扣费</v>
      </c>
      <c r="C588" s="2" t="s">
        <v>34</v>
      </c>
      <c r="D588" s="2" t="s">
        <v>10</v>
      </c>
      <c r="E588" s="2" t="str">
        <f>HYPERLINK("http://ts.21cn.com/tousu/show/id/1331029","http://ts.21cn.com/tousu/show/id/1331029")</f>
        <v>http://ts.21cn.com/tousu/show/id/1331029</v>
      </c>
      <c r="F588" s="2" t="s">
        <v>11</v>
      </c>
      <c r="G588" s="2" t="s">
        <v>42999</v>
      </c>
      <c r="H588" s="2" t="s">
        <v>43000</v>
      </c>
    </row>
    <row r="589" spans="1:8" ht="25.05" customHeight="1" x14ac:dyDescent="0.25">
      <c r="A589" s="2" t="s">
        <v>8</v>
      </c>
      <c r="B589" s="2" t="str">
        <f>HYPERLINK("http://ts.21cn.com/tousu/show/id/1322098","欠钱不还")</f>
        <v>欠钱不还</v>
      </c>
      <c r="C589" s="2" t="s">
        <v>9</v>
      </c>
      <c r="D589" s="2" t="s">
        <v>10</v>
      </c>
      <c r="E589" s="2" t="str">
        <f>HYPERLINK("http://ts.21cn.com/tousu/show/id/1322098","http://ts.21cn.com/tousu/show/id/1322098")</f>
        <v>http://ts.21cn.com/tousu/show/id/1322098</v>
      </c>
      <c r="F589" s="2" t="s">
        <v>11</v>
      </c>
      <c r="G589" s="2" t="s">
        <v>42997</v>
      </c>
      <c r="H589" s="2" t="s">
        <v>42998</v>
      </c>
    </row>
    <row r="590" spans="1:8" ht="25.05" customHeight="1" x14ac:dyDescent="0.25">
      <c r="A590" s="2" t="s">
        <v>8</v>
      </c>
      <c r="B590" s="2" t="str">
        <f>HYPERLINK("http://ts.21cn.com/tousu/show/id/1331030","捷信金融非法高利贷")</f>
        <v>捷信金融非法高利贷</v>
      </c>
      <c r="C590" s="2" t="s">
        <v>9</v>
      </c>
      <c r="D590" s="2" t="s">
        <v>10</v>
      </c>
      <c r="E590" s="2" t="str">
        <f>HYPERLINK("http://ts.21cn.com/tousu/show/id/1331030","http://ts.21cn.com/tousu/show/id/1331030")</f>
        <v>http://ts.21cn.com/tousu/show/id/1331030</v>
      </c>
      <c r="F590" s="2" t="s">
        <v>11</v>
      </c>
      <c r="G590" s="2" t="s">
        <v>42995</v>
      </c>
      <c r="H590" s="2" t="s">
        <v>42996</v>
      </c>
    </row>
    <row r="591" spans="1:8" ht="25.05" customHeight="1" x14ac:dyDescent="0.25">
      <c r="A591" s="2" t="s">
        <v>8</v>
      </c>
      <c r="B591" s="2" t="str">
        <f>HYPERLINK("http://ts.21cn.com/tousu/show/id/1331032","造艺科技强行收取高额咨询费")</f>
        <v>造艺科技强行收取高额咨询费</v>
      </c>
      <c r="C591" s="2" t="s">
        <v>9</v>
      </c>
      <c r="D591" s="2" t="s">
        <v>10</v>
      </c>
      <c r="E591" s="2" t="str">
        <f>HYPERLINK("http://ts.21cn.com/tousu/show/id/1331032","http://ts.21cn.com/tousu/show/id/1331032")</f>
        <v>http://ts.21cn.com/tousu/show/id/1331032</v>
      </c>
      <c r="F591" s="2" t="s">
        <v>11</v>
      </c>
      <c r="G591" s="2" t="s">
        <v>42993</v>
      </c>
      <c r="H591" s="2" t="s">
        <v>42994</v>
      </c>
    </row>
    <row r="592" spans="1:8" ht="25.05" customHeight="1" x14ac:dyDescent="0.25">
      <c r="A592" s="2" t="s">
        <v>8</v>
      </c>
      <c r="B592" s="2" t="str">
        <f>HYPERLINK("http://ts.21cn.com/tousu/show/id/1331031","拼多多操控砍价系统")</f>
        <v>拼多多操控砍价系统</v>
      </c>
      <c r="C592" s="2" t="s">
        <v>9</v>
      </c>
      <c r="D592" s="2" t="s">
        <v>10</v>
      </c>
      <c r="E592" s="2" t="str">
        <f>HYPERLINK("http://ts.21cn.com/tousu/show/id/1331031","http://ts.21cn.com/tousu/show/id/1331031")</f>
        <v>http://ts.21cn.com/tousu/show/id/1331031</v>
      </c>
      <c r="F592" s="2" t="s">
        <v>11</v>
      </c>
      <c r="G592" s="2" t="s">
        <v>42991</v>
      </c>
      <c r="H592" s="2" t="s">
        <v>42992</v>
      </c>
    </row>
    <row r="593" spans="1:8" ht="25.05" customHeight="1" x14ac:dyDescent="0.25">
      <c r="A593" s="2" t="s">
        <v>8</v>
      </c>
      <c r="B593" s="2" t="str">
        <f>HYPERLINK("http://ts.21cn.com/tousu/show/id/1331033","用私人的号码给我短信威胁我")</f>
        <v>用私人的号码给我短信威胁我</v>
      </c>
      <c r="C593" s="2" t="s">
        <v>9</v>
      </c>
      <c r="D593" s="2" t="s">
        <v>10</v>
      </c>
      <c r="E593" s="2" t="str">
        <f>HYPERLINK("http://ts.21cn.com/tousu/show/id/1331033","http://ts.21cn.com/tousu/show/id/1331033")</f>
        <v>http://ts.21cn.com/tousu/show/id/1331033</v>
      </c>
      <c r="F593" s="2" t="s">
        <v>11</v>
      </c>
      <c r="G593" s="2" t="s">
        <v>42989</v>
      </c>
      <c r="H593" s="2" t="s">
        <v>42990</v>
      </c>
    </row>
    <row r="594" spans="1:8" ht="25.05" customHeight="1" x14ac:dyDescent="0.25">
      <c r="A594" s="2" t="s">
        <v>8</v>
      </c>
      <c r="B594" s="2" t="str">
        <f>HYPERLINK("http://ts.21cn.com/tousu/show/id/1331037","银座健身未在60个工作日内退款")</f>
        <v>银座健身未在60个工作日内退款</v>
      </c>
      <c r="C594" s="2" t="s">
        <v>9</v>
      </c>
      <c r="D594" s="2" t="s">
        <v>10</v>
      </c>
      <c r="E594" s="2" t="str">
        <f>HYPERLINK("http://ts.21cn.com/tousu/show/id/1331037","http://ts.21cn.com/tousu/show/id/1331037")</f>
        <v>http://ts.21cn.com/tousu/show/id/1331037</v>
      </c>
      <c r="F594" s="2" t="s">
        <v>11</v>
      </c>
      <c r="G594" s="2" t="s">
        <v>42987</v>
      </c>
      <c r="H594" s="2" t="s">
        <v>42988</v>
      </c>
    </row>
    <row r="595" spans="1:8" ht="25.05" customHeight="1" x14ac:dyDescent="0.25">
      <c r="A595" s="2" t="s">
        <v>8</v>
      </c>
      <c r="B595" s="2" t="str">
        <f>HYPERLINK("http://ts.21cn.com/tousu/show/id/1331035","达丰电脑")</f>
        <v>达丰电脑</v>
      </c>
      <c r="C595" s="2" t="s">
        <v>9</v>
      </c>
      <c r="D595" s="2" t="s">
        <v>10</v>
      </c>
      <c r="E595" s="2" t="str">
        <f>HYPERLINK("http://ts.21cn.com/tousu/show/id/1331035","http://ts.21cn.com/tousu/show/id/1331035")</f>
        <v>http://ts.21cn.com/tousu/show/id/1331035</v>
      </c>
      <c r="F595" s="2" t="s">
        <v>11</v>
      </c>
      <c r="G595" s="2" t="s">
        <v>42985</v>
      </c>
      <c r="H595" s="2" t="s">
        <v>42986</v>
      </c>
    </row>
    <row r="596" spans="1:8" ht="25.05" customHeight="1" x14ac:dyDescent="0.25">
      <c r="A596" s="2" t="s">
        <v>8</v>
      </c>
      <c r="B596" s="2" t="str">
        <f>HYPERLINK("http://ts.21cn.com/tousu/show/id/1331038","投诉立借非法提供高利贷平台万金海")</f>
        <v>投诉立借非法提供高利贷平台万金海</v>
      </c>
      <c r="C596" s="2" t="s">
        <v>9</v>
      </c>
      <c r="D596" s="2" t="s">
        <v>10</v>
      </c>
      <c r="E596" s="2" t="str">
        <f>HYPERLINK("http://ts.21cn.com/tousu/show/id/1331038","http://ts.21cn.com/tousu/show/id/1331038")</f>
        <v>http://ts.21cn.com/tousu/show/id/1331038</v>
      </c>
      <c r="F596" s="2" t="s">
        <v>11</v>
      </c>
      <c r="G596" s="2" t="s">
        <v>42983</v>
      </c>
      <c r="H596" s="2" t="s">
        <v>42984</v>
      </c>
    </row>
    <row r="597" spans="1:8" ht="25.05" customHeight="1" x14ac:dyDescent="0.25">
      <c r="A597" s="2" t="s">
        <v>8</v>
      </c>
      <c r="B597" s="2" t="str">
        <f>HYPERLINK("http://ts.21cn.com/tousu/show/id/1331039","滴滴出行公里数多出几公里")</f>
        <v>滴滴出行公里数多出几公里</v>
      </c>
      <c r="C597" s="2" t="s">
        <v>34</v>
      </c>
      <c r="D597" s="2" t="s">
        <v>10</v>
      </c>
      <c r="E597" s="2" t="str">
        <f>HYPERLINK("http://ts.21cn.com/tousu/show/id/1331039","http://ts.21cn.com/tousu/show/id/1331039")</f>
        <v>http://ts.21cn.com/tousu/show/id/1331039</v>
      </c>
      <c r="F597" s="2" t="s">
        <v>11</v>
      </c>
      <c r="G597" s="2" t="s">
        <v>42981</v>
      </c>
      <c r="H597" s="2" t="s">
        <v>42982</v>
      </c>
    </row>
    <row r="598" spans="1:8" ht="25.05" customHeight="1" x14ac:dyDescent="0.25">
      <c r="A598" s="2" t="s">
        <v>8</v>
      </c>
      <c r="B598" s="2" t="str">
        <f>HYPERLINK("http://ts.21cn.com/tousu/show/id/1331040","退款")</f>
        <v>退款</v>
      </c>
      <c r="C598" s="2" t="s">
        <v>34</v>
      </c>
      <c r="D598" s="2" t="s">
        <v>10</v>
      </c>
      <c r="E598" s="2" t="str">
        <f>HYPERLINK("http://ts.21cn.com/tousu/show/id/1331040","http://ts.21cn.com/tousu/show/id/1331040")</f>
        <v>http://ts.21cn.com/tousu/show/id/1331040</v>
      </c>
      <c r="F598" s="2" t="s">
        <v>11</v>
      </c>
      <c r="G598" s="2" t="s">
        <v>42979</v>
      </c>
      <c r="H598" s="2" t="s">
        <v>42980</v>
      </c>
    </row>
    <row r="599" spans="1:8" ht="25.05" customHeight="1" x14ac:dyDescent="0.25">
      <c r="A599" s="2" t="s">
        <v>8</v>
      </c>
      <c r="B599" s="2" t="str">
        <f>HYPERLINK("http://ts.21cn.com/tousu/show/id/1331041","新意花小木钱包")</f>
        <v>新意花小木钱包</v>
      </c>
      <c r="C599" s="2" t="s">
        <v>9</v>
      </c>
      <c r="D599" s="2" t="s">
        <v>10</v>
      </c>
      <c r="E599" s="2" t="str">
        <f>HYPERLINK("http://ts.21cn.com/tousu/show/id/1331041","http://ts.21cn.com/tousu/show/id/1331041")</f>
        <v>http://ts.21cn.com/tousu/show/id/1331041</v>
      </c>
      <c r="F599" s="2" t="s">
        <v>11</v>
      </c>
      <c r="G599" s="2" t="s">
        <v>42977</v>
      </c>
      <c r="H599" s="2" t="s">
        <v>42978</v>
      </c>
    </row>
    <row r="600" spans="1:8" ht="25.05" customHeight="1" x14ac:dyDescent="0.25">
      <c r="A600" s="2" t="s">
        <v>8</v>
      </c>
      <c r="B600" s="2" t="str">
        <f>HYPERLINK("http://ts.21cn.com/tousu/show/id/1331043","易宝支付莫名其妙扣走我卡内余额")</f>
        <v>易宝支付莫名其妙扣走我卡内余额</v>
      </c>
      <c r="C600" s="2" t="s">
        <v>34</v>
      </c>
      <c r="D600" s="2" t="s">
        <v>10</v>
      </c>
      <c r="E600" s="2" t="str">
        <f>HYPERLINK("http://ts.21cn.com/tousu/show/id/1331043","http://ts.21cn.com/tousu/show/id/1331043")</f>
        <v>http://ts.21cn.com/tousu/show/id/1331043</v>
      </c>
      <c r="F600" s="2" t="s">
        <v>11</v>
      </c>
      <c r="G600" s="2" t="s">
        <v>42975</v>
      </c>
      <c r="H600" s="2" t="s">
        <v>42976</v>
      </c>
    </row>
    <row r="601" spans="1:8" ht="25.05" customHeight="1" x14ac:dyDescent="0.25">
      <c r="A601" s="2" t="s">
        <v>8</v>
      </c>
      <c r="B601" s="2" t="str">
        <f>HYPERLINK("http://ts.21cn.com/tousu/show/id/1331044","淘集集迟迟不退还商家的保证金")</f>
        <v>淘集集迟迟不退还商家的保证金</v>
      </c>
      <c r="C601" s="2" t="s">
        <v>9</v>
      </c>
      <c r="D601" s="2" t="s">
        <v>10</v>
      </c>
      <c r="E601" s="2" t="str">
        <f>HYPERLINK("http://ts.21cn.com/tousu/show/id/1331044","http://ts.21cn.com/tousu/show/id/1331044")</f>
        <v>http://ts.21cn.com/tousu/show/id/1331044</v>
      </c>
      <c r="F601" s="2" t="s">
        <v>11</v>
      </c>
      <c r="G601" s="2" t="s">
        <v>42973</v>
      </c>
      <c r="H601" s="2" t="s">
        <v>42974</v>
      </c>
    </row>
    <row r="602" spans="1:8" ht="25.05" customHeight="1" x14ac:dyDescent="0.25">
      <c r="A602" s="2" t="s">
        <v>8</v>
      </c>
      <c r="B602" s="2" t="str">
        <f>HYPERLINK("http://ts.21cn.com/tousu/show/id/1331045","钱置宝砍头息高利息")</f>
        <v>钱置宝砍头息高利息</v>
      </c>
      <c r="C602" s="2" t="s">
        <v>9</v>
      </c>
      <c r="D602" s="2" t="s">
        <v>10</v>
      </c>
      <c r="E602" s="2" t="str">
        <f>HYPERLINK("http://ts.21cn.com/tousu/show/id/1331045","http://ts.21cn.com/tousu/show/id/1331045")</f>
        <v>http://ts.21cn.com/tousu/show/id/1331045</v>
      </c>
      <c r="F602" s="2" t="s">
        <v>11</v>
      </c>
      <c r="G602" s="2" t="s">
        <v>42971</v>
      </c>
      <c r="H602" s="2" t="s">
        <v>42972</v>
      </c>
    </row>
    <row r="603" spans="1:8" ht="25.05" customHeight="1" x14ac:dyDescent="0.25">
      <c r="A603" s="2" t="s">
        <v>8</v>
      </c>
      <c r="B603" s="2" t="str">
        <f>HYPERLINK("http://ts.21cn.com/tousu/show/id/1331047","充错话费移动不作为")</f>
        <v>充错话费移动不作为</v>
      </c>
      <c r="C603" s="2" t="s">
        <v>9</v>
      </c>
      <c r="D603" s="2" t="s">
        <v>10</v>
      </c>
      <c r="E603" s="2" t="str">
        <f>HYPERLINK("http://ts.21cn.com/tousu/show/id/1331047","http://ts.21cn.com/tousu/show/id/1331047")</f>
        <v>http://ts.21cn.com/tousu/show/id/1331047</v>
      </c>
      <c r="F603" s="2" t="s">
        <v>11</v>
      </c>
      <c r="G603" s="2" t="s">
        <v>42969</v>
      </c>
      <c r="H603" s="2" t="s">
        <v>42970</v>
      </c>
    </row>
    <row r="604" spans="1:8" ht="25.05" customHeight="1" x14ac:dyDescent="0.25">
      <c r="A604" s="2" t="s">
        <v>8</v>
      </c>
      <c r="B604" s="2" t="str">
        <f>HYPERLINK("http://ts.21cn.com/tousu/show/id/1331048","你我贷高利贷")</f>
        <v>你我贷高利贷</v>
      </c>
      <c r="C604" s="2" t="s">
        <v>9</v>
      </c>
      <c r="D604" s="2" t="s">
        <v>10</v>
      </c>
      <c r="E604" s="2" t="str">
        <f>HYPERLINK("http://ts.21cn.com/tousu/show/id/1331048","http://ts.21cn.com/tousu/show/id/1331048")</f>
        <v>http://ts.21cn.com/tousu/show/id/1331048</v>
      </c>
      <c r="F604" s="2" t="s">
        <v>11</v>
      </c>
      <c r="G604" s="2" t="s">
        <v>42967</v>
      </c>
      <c r="H604" s="2" t="s">
        <v>42968</v>
      </c>
    </row>
    <row r="605" spans="1:8" ht="25.05" customHeight="1" x14ac:dyDescent="0.25">
      <c r="A605" s="2" t="s">
        <v>8</v>
      </c>
      <c r="B605" s="2" t="str">
        <f>HYPERLINK("http://ts.21cn.com/tousu/show/id/1331049","钱站高利贷阴阳合同")</f>
        <v>钱站高利贷阴阳合同</v>
      </c>
      <c r="C605" s="2" t="s">
        <v>9</v>
      </c>
      <c r="D605" s="2" t="s">
        <v>10</v>
      </c>
      <c r="E605" s="2" t="str">
        <f>HYPERLINK("http://ts.21cn.com/tousu/show/id/1331049","http://ts.21cn.com/tousu/show/id/1331049")</f>
        <v>http://ts.21cn.com/tousu/show/id/1331049</v>
      </c>
      <c r="F605" s="2" t="s">
        <v>11</v>
      </c>
      <c r="G605" s="2" t="s">
        <v>42965</v>
      </c>
      <c r="H605" s="2" t="s">
        <v>42966</v>
      </c>
    </row>
    <row r="606" spans="1:8" ht="25.05" customHeight="1" x14ac:dyDescent="0.25">
      <c r="A606" s="2" t="s">
        <v>8</v>
      </c>
      <c r="B606" s="2" t="str">
        <f>HYPERLINK("http://ts.21cn.com/tousu/show/id/1331036","微信支付被投诉，投诉方已撤诉可是微信依然停止我微信支付功能")</f>
        <v>微信支付被投诉，投诉方已撤诉可是微信依然停止我微信支付功能</v>
      </c>
      <c r="C606" s="2" t="s">
        <v>9</v>
      </c>
      <c r="D606" s="2" t="s">
        <v>10</v>
      </c>
      <c r="E606" s="2" t="str">
        <f>HYPERLINK("http://ts.21cn.com/tousu/show/id/1331036","http://ts.21cn.com/tousu/show/id/1331036")</f>
        <v>http://ts.21cn.com/tousu/show/id/1331036</v>
      </c>
      <c r="F606" s="2" t="s">
        <v>11</v>
      </c>
      <c r="G606" s="2" t="s">
        <v>42963</v>
      </c>
      <c r="H606" s="2" t="s">
        <v>42964</v>
      </c>
    </row>
    <row r="607" spans="1:8" ht="25.05" customHeight="1" x14ac:dyDescent="0.25">
      <c r="A607" s="2" t="s">
        <v>8</v>
      </c>
      <c r="B607" s="2" t="str">
        <f>HYPERLINK("http://ts.21cn.com/tousu/show/id/1331052","百事普惠恶意扣款")</f>
        <v>百事普惠恶意扣款</v>
      </c>
      <c r="C607" s="2" t="s">
        <v>9</v>
      </c>
      <c r="D607" s="2" t="s">
        <v>10</v>
      </c>
      <c r="E607" s="2" t="str">
        <f>HYPERLINK("http://ts.21cn.com/tousu/show/id/1331052","http://ts.21cn.com/tousu/show/id/1331052")</f>
        <v>http://ts.21cn.com/tousu/show/id/1331052</v>
      </c>
      <c r="F607" s="2" t="s">
        <v>11</v>
      </c>
      <c r="G607" s="2" t="s">
        <v>42961</v>
      </c>
      <c r="H607" s="2" t="s">
        <v>42962</v>
      </c>
    </row>
    <row r="608" spans="1:8" ht="25.05" customHeight="1" x14ac:dyDescent="0.25">
      <c r="A608" s="2" t="s">
        <v>8</v>
      </c>
      <c r="B608" s="2" t="str">
        <f>HYPERLINK("http://ts.21cn.com/tousu/show/id/1331053","郑州悦如公寓租房押金超一个半月不返还")</f>
        <v>郑州悦如公寓租房押金超一个半月不返还</v>
      </c>
      <c r="C608" s="2" t="s">
        <v>9</v>
      </c>
      <c r="D608" s="2" t="s">
        <v>10</v>
      </c>
      <c r="E608" s="2" t="str">
        <f>HYPERLINK("http://ts.21cn.com/tousu/show/id/1331053","http://ts.21cn.com/tousu/show/id/1331053")</f>
        <v>http://ts.21cn.com/tousu/show/id/1331053</v>
      </c>
      <c r="F608" s="2" t="s">
        <v>11</v>
      </c>
      <c r="G608" s="2" t="s">
        <v>42959</v>
      </c>
      <c r="H608" s="2" t="s">
        <v>42960</v>
      </c>
    </row>
    <row r="609" spans="1:8" ht="25.05" customHeight="1" x14ac:dyDescent="0.25">
      <c r="A609" s="2" t="s">
        <v>8</v>
      </c>
      <c r="B609" s="2" t="str">
        <f>HYPERLINK("http://ts.21cn.com/tousu/show/id/1331056","贷上钱强行借款乱收费")</f>
        <v>贷上钱强行借款乱收费</v>
      </c>
      <c r="C609" s="2" t="s">
        <v>9</v>
      </c>
      <c r="D609" s="2" t="s">
        <v>10</v>
      </c>
      <c r="E609" s="2" t="str">
        <f>HYPERLINK("http://ts.21cn.com/tousu/show/id/1331056","http://ts.21cn.com/tousu/show/id/1331056")</f>
        <v>http://ts.21cn.com/tousu/show/id/1331056</v>
      </c>
      <c r="F609" s="2" t="s">
        <v>11</v>
      </c>
      <c r="G609" s="2" t="s">
        <v>42957</v>
      </c>
      <c r="H609" s="2" t="s">
        <v>42958</v>
      </c>
    </row>
    <row r="610" spans="1:8" ht="25.05" customHeight="1" x14ac:dyDescent="0.25">
      <c r="A610" s="2" t="s">
        <v>8</v>
      </c>
      <c r="B610" s="2" t="str">
        <f>HYPERLINK("http://ts.21cn.com/tousu/show/id/1331055","高利息砍头息暴力催收")</f>
        <v>高利息砍头息暴力催收</v>
      </c>
      <c r="C610" s="2" t="s">
        <v>9</v>
      </c>
      <c r="D610" s="2" t="s">
        <v>10</v>
      </c>
      <c r="E610" s="2" t="str">
        <f>HYPERLINK("http://ts.21cn.com/tousu/show/id/1331055","http://ts.21cn.com/tousu/show/id/1331055")</f>
        <v>http://ts.21cn.com/tousu/show/id/1331055</v>
      </c>
      <c r="F610" s="2" t="s">
        <v>11</v>
      </c>
      <c r="G610" s="2" t="s">
        <v>42955</v>
      </c>
      <c r="H610" s="2" t="s">
        <v>42956</v>
      </c>
    </row>
    <row r="611" spans="1:8" ht="25.05" customHeight="1" x14ac:dyDescent="0.25">
      <c r="A611" s="2" t="s">
        <v>8</v>
      </c>
      <c r="B611" s="2" t="str">
        <f>HYPERLINK("http://ts.21cn.com/tousu/show/id/1331022","智行不允许在线退改汽车票")</f>
        <v>智行不允许在线退改汽车票</v>
      </c>
      <c r="C611" s="2" t="s">
        <v>34</v>
      </c>
      <c r="D611" s="2" t="s">
        <v>10</v>
      </c>
      <c r="E611" s="2" t="str">
        <f>HYPERLINK("http://ts.21cn.com/tousu/show/id/1331022","http://ts.21cn.com/tousu/show/id/1331022")</f>
        <v>http://ts.21cn.com/tousu/show/id/1331022</v>
      </c>
      <c r="F611" s="2" t="s">
        <v>11</v>
      </c>
      <c r="G611" s="2" t="s">
        <v>42953</v>
      </c>
      <c r="H611" s="2" t="s">
        <v>42954</v>
      </c>
    </row>
    <row r="612" spans="1:8" ht="25.05" customHeight="1" x14ac:dyDescent="0.25">
      <c r="A612" s="2" t="s">
        <v>8</v>
      </c>
      <c r="B612" s="2" t="str">
        <f>HYPERLINK("http://ts.21cn.com/tousu/show/id/1331057","月光侠，超级高利贷")</f>
        <v>月光侠，超级高利贷</v>
      </c>
      <c r="C612" s="2" t="s">
        <v>9</v>
      </c>
      <c r="D612" s="2" t="s">
        <v>10</v>
      </c>
      <c r="E612" s="2" t="str">
        <f>HYPERLINK("http://ts.21cn.com/tousu/show/id/1331057","http://ts.21cn.com/tousu/show/id/1331057")</f>
        <v>http://ts.21cn.com/tousu/show/id/1331057</v>
      </c>
      <c r="F612" s="2" t="s">
        <v>11</v>
      </c>
      <c r="G612" s="2" t="s">
        <v>42951</v>
      </c>
      <c r="H612" s="2" t="s">
        <v>42952</v>
      </c>
    </row>
    <row r="613" spans="1:8" ht="25.05" customHeight="1" x14ac:dyDescent="0.25">
      <c r="A613" s="2" t="s">
        <v>8</v>
      </c>
      <c r="B613" s="2" t="str">
        <f>HYPERLINK("http://ts.21cn.com/tousu/show/id/1331058","注册绑定卡被无故扣钱")</f>
        <v>注册绑定卡被无故扣钱</v>
      </c>
      <c r="C613" s="2" t="s">
        <v>9</v>
      </c>
      <c r="D613" s="2" t="s">
        <v>10</v>
      </c>
      <c r="E613" s="2" t="str">
        <f>HYPERLINK("http://ts.21cn.com/tousu/show/id/1331058","http://ts.21cn.com/tousu/show/id/1331058")</f>
        <v>http://ts.21cn.com/tousu/show/id/1331058</v>
      </c>
      <c r="F613" s="2" t="s">
        <v>11</v>
      </c>
      <c r="G613" s="2" t="s">
        <v>42949</v>
      </c>
      <c r="H613" s="2" t="s">
        <v>42950</v>
      </c>
    </row>
    <row r="614" spans="1:8" ht="25.05" customHeight="1" x14ac:dyDescent="0.25">
      <c r="A614" s="2" t="s">
        <v>8</v>
      </c>
      <c r="B614" s="2" t="str">
        <f>HYPERLINK("http://ts.21cn.com/tousu/show/id/1331059","送还滴滴乘客的遗失物品，滴滴平台不给电话，导致违章，平台不予处理")</f>
        <v>送还滴滴乘客的遗失物品，滴滴平台不给电话，导致违章，平台不予处理</v>
      </c>
      <c r="C614" s="2" t="s">
        <v>9</v>
      </c>
      <c r="D614" s="2" t="s">
        <v>10</v>
      </c>
      <c r="E614" s="2" t="str">
        <f>HYPERLINK("http://ts.21cn.com/tousu/show/id/1331059","http://ts.21cn.com/tousu/show/id/1331059")</f>
        <v>http://ts.21cn.com/tousu/show/id/1331059</v>
      </c>
      <c r="F614" s="2" t="s">
        <v>11</v>
      </c>
      <c r="G614" s="2" t="s">
        <v>42947</v>
      </c>
      <c r="H614" s="2" t="s">
        <v>42948</v>
      </c>
    </row>
    <row r="615" spans="1:8" ht="25.05" customHeight="1" x14ac:dyDescent="0.25">
      <c r="A615" s="2" t="s">
        <v>8</v>
      </c>
      <c r="B615" s="2" t="str">
        <f>HYPERLINK("http://ts.21cn.com/tousu/show/id/1331054","郑州铁凯网络科技有限公司客服")</f>
        <v>郑州铁凯网络科技有限公司客服</v>
      </c>
      <c r="C615" s="2" t="s">
        <v>34</v>
      </c>
      <c r="D615" s="2" t="s">
        <v>10</v>
      </c>
      <c r="E615" s="2" t="str">
        <f>HYPERLINK("http://ts.21cn.com/tousu/show/id/1331054","http://ts.21cn.com/tousu/show/id/1331054")</f>
        <v>http://ts.21cn.com/tousu/show/id/1331054</v>
      </c>
      <c r="F615" s="2" t="s">
        <v>11</v>
      </c>
      <c r="G615" s="2" t="s">
        <v>42945</v>
      </c>
      <c r="H615" s="2" t="s">
        <v>42946</v>
      </c>
    </row>
    <row r="616" spans="1:8" ht="25.05" customHeight="1" x14ac:dyDescent="0.25">
      <c r="A616" s="2" t="s">
        <v>8</v>
      </c>
      <c r="B616" s="2" t="str">
        <f>HYPERLINK("http://ts.21cn.com/tousu/show/id/1330981","玖富万卡擅自改写合同，变相收取费用，高利贷")</f>
        <v>玖富万卡擅自改写合同，变相收取费用，高利贷</v>
      </c>
      <c r="C616" s="2" t="s">
        <v>9</v>
      </c>
      <c r="D616" s="2" t="s">
        <v>10</v>
      </c>
      <c r="E616" s="2" t="str">
        <f>HYPERLINK("http://ts.21cn.com/tousu/show/id/1330981","http://ts.21cn.com/tousu/show/id/1330981")</f>
        <v>http://ts.21cn.com/tousu/show/id/1330981</v>
      </c>
      <c r="F616" s="2" t="s">
        <v>11</v>
      </c>
      <c r="G616" s="2" t="s">
        <v>42943</v>
      </c>
      <c r="H616" s="2" t="s">
        <v>42944</v>
      </c>
    </row>
    <row r="617" spans="1:8" ht="25.05" customHeight="1" x14ac:dyDescent="0.25">
      <c r="A617" s="2" t="s">
        <v>8</v>
      </c>
      <c r="B617" s="2" t="str">
        <f>HYPERLINK("http://ts.21cn.com/tousu/show/id/1331061","杭麻圈")</f>
        <v>杭麻圈</v>
      </c>
      <c r="C617" s="2" t="s">
        <v>9</v>
      </c>
      <c r="D617" s="2" t="s">
        <v>10</v>
      </c>
      <c r="E617" s="2" t="str">
        <f>HYPERLINK("http://ts.21cn.com/tousu/show/id/1331061","http://ts.21cn.com/tousu/show/id/1331061")</f>
        <v>http://ts.21cn.com/tousu/show/id/1331061</v>
      </c>
      <c r="F617" s="2" t="s">
        <v>11</v>
      </c>
      <c r="G617" s="2" t="s">
        <v>42941</v>
      </c>
      <c r="H617" s="2" t="s">
        <v>42942</v>
      </c>
    </row>
    <row r="618" spans="1:8" ht="25.05" customHeight="1" x14ac:dyDescent="0.25">
      <c r="A618" s="2" t="s">
        <v>8</v>
      </c>
      <c r="B618" s="2" t="str">
        <f>HYPERLINK("http://ts.21cn.com/tousu/show/id/1331062","小象优品暴力催收疯狂骚扰通讯录")</f>
        <v>小象优品暴力催收疯狂骚扰通讯录</v>
      </c>
      <c r="C618" s="2" t="s">
        <v>9</v>
      </c>
      <c r="D618" s="2" t="s">
        <v>10</v>
      </c>
      <c r="E618" s="2" t="str">
        <f>HYPERLINK("http://ts.21cn.com/tousu/show/id/1331062","http://ts.21cn.com/tousu/show/id/1331062")</f>
        <v>http://ts.21cn.com/tousu/show/id/1331062</v>
      </c>
      <c r="F618" s="2" t="s">
        <v>11</v>
      </c>
      <c r="G618" s="2" t="s">
        <v>42939</v>
      </c>
      <c r="H618" s="2" t="s">
        <v>42940</v>
      </c>
    </row>
    <row r="619" spans="1:8" ht="25.05" customHeight="1" x14ac:dyDescent="0.25">
      <c r="A619" s="2" t="s">
        <v>8</v>
      </c>
      <c r="B619" s="2" t="str">
        <f>HYPERLINK("http://ts.21cn.com/tousu/show/id/1331064","招联金融暴力催收，恐吓威胁")</f>
        <v>招联金融暴力催收，恐吓威胁</v>
      </c>
      <c r="C619" s="2" t="s">
        <v>9</v>
      </c>
      <c r="D619" s="2" t="s">
        <v>10</v>
      </c>
      <c r="E619" s="2" t="str">
        <f>HYPERLINK("http://ts.21cn.com/tousu/show/id/1331064","http://ts.21cn.com/tousu/show/id/1331064")</f>
        <v>http://ts.21cn.com/tousu/show/id/1331064</v>
      </c>
      <c r="F619" s="2" t="s">
        <v>11</v>
      </c>
      <c r="G619" s="2" t="s">
        <v>42937</v>
      </c>
      <c r="H619" s="2" t="s">
        <v>42938</v>
      </c>
    </row>
    <row r="620" spans="1:8" ht="25.05" customHeight="1" x14ac:dyDescent="0.25">
      <c r="A620" s="2" t="s">
        <v>8</v>
      </c>
      <c r="B620" s="2" t="str">
        <f>HYPERLINK("http://ts.21cn.com/tousu/show/id/1331065","云闪付为非法商户和赌博平台提供支付通道")</f>
        <v>云闪付为非法商户和赌博平台提供支付通道</v>
      </c>
      <c r="C620" s="2" t="s">
        <v>9</v>
      </c>
      <c r="D620" s="2" t="s">
        <v>10</v>
      </c>
      <c r="E620" s="2" t="str">
        <f>HYPERLINK("http://ts.21cn.com/tousu/show/id/1331065","http://ts.21cn.com/tousu/show/id/1331065")</f>
        <v>http://ts.21cn.com/tousu/show/id/1331065</v>
      </c>
      <c r="F620" s="2" t="s">
        <v>11</v>
      </c>
      <c r="G620" s="2" t="s">
        <v>42936</v>
      </c>
      <c r="H620" s="2" t="s">
        <v>38318</v>
      </c>
    </row>
    <row r="621" spans="1:8" ht="25.05" customHeight="1" x14ac:dyDescent="0.25">
      <c r="A621" s="2" t="s">
        <v>8</v>
      </c>
      <c r="B621" s="2" t="str">
        <f>HYPERLINK("http://ts.21cn.com/tousu/show/id/1331067","714高炮暴力没素质钱转他了还要我拍视频给他道歉")</f>
        <v>714高炮暴力没素质钱转他了还要我拍视频给他道歉</v>
      </c>
      <c r="C621" s="2" t="s">
        <v>9</v>
      </c>
      <c r="D621" s="2" t="s">
        <v>10</v>
      </c>
      <c r="E621" s="2" t="str">
        <f>HYPERLINK("http://ts.21cn.com/tousu/show/id/1331067","http://ts.21cn.com/tousu/show/id/1331067")</f>
        <v>http://ts.21cn.com/tousu/show/id/1331067</v>
      </c>
      <c r="F621" s="2" t="s">
        <v>11</v>
      </c>
      <c r="G621" s="2" t="s">
        <v>42934</v>
      </c>
      <c r="H621" s="2" t="s">
        <v>42935</v>
      </c>
    </row>
    <row r="622" spans="1:8" ht="25.05" customHeight="1" x14ac:dyDescent="0.25">
      <c r="A622" s="2" t="s">
        <v>8</v>
      </c>
      <c r="B622" s="2" t="str">
        <f>HYPERLINK("http://ts.21cn.com/tousu/show/id/1331068","无端扣费要求退回")</f>
        <v>无端扣费要求退回</v>
      </c>
      <c r="C622" s="2" t="s">
        <v>9</v>
      </c>
      <c r="D622" s="2" t="s">
        <v>10</v>
      </c>
      <c r="E622" s="2" t="str">
        <f>HYPERLINK("http://ts.21cn.com/tousu/show/id/1331068","http://ts.21cn.com/tousu/show/id/1331068")</f>
        <v>http://ts.21cn.com/tousu/show/id/1331068</v>
      </c>
      <c r="F622" s="2" t="s">
        <v>11</v>
      </c>
      <c r="G622" s="2" t="s">
        <v>42932</v>
      </c>
      <c r="H622" s="2" t="s">
        <v>42933</v>
      </c>
    </row>
    <row r="623" spans="1:8" ht="25.05" customHeight="1" x14ac:dyDescent="0.25">
      <c r="A623" s="2" t="s">
        <v>8</v>
      </c>
      <c r="B623" s="2" t="str">
        <f>HYPERLINK("http://ts.21cn.com/tousu/show/id/1331069","利息高高利贷")</f>
        <v>利息高高利贷</v>
      </c>
      <c r="C623" s="2" t="s">
        <v>9</v>
      </c>
      <c r="D623" s="2" t="s">
        <v>10</v>
      </c>
      <c r="E623" s="2" t="str">
        <f>HYPERLINK("http://ts.21cn.com/tousu/show/id/1331069","http://ts.21cn.com/tousu/show/id/1331069")</f>
        <v>http://ts.21cn.com/tousu/show/id/1331069</v>
      </c>
      <c r="F623" s="2" t="s">
        <v>11</v>
      </c>
      <c r="G623" s="2" t="s">
        <v>42930</v>
      </c>
      <c r="H623" s="2" t="s">
        <v>42931</v>
      </c>
    </row>
    <row r="624" spans="1:8" ht="25.05" customHeight="1" x14ac:dyDescent="0.25">
      <c r="A624" s="2" t="s">
        <v>8</v>
      </c>
      <c r="B624" s="2" t="str">
        <f>HYPERLINK("http://ts.21cn.com/tousu/show/id/1331023","网贷套路会员费")</f>
        <v>网贷套路会员费</v>
      </c>
      <c r="C624" s="2" t="s">
        <v>9</v>
      </c>
      <c r="D624" s="2" t="s">
        <v>10</v>
      </c>
      <c r="E624" s="2" t="str">
        <f>HYPERLINK("http://ts.21cn.com/tousu/show/id/1331023","http://ts.21cn.com/tousu/show/id/1331023")</f>
        <v>http://ts.21cn.com/tousu/show/id/1331023</v>
      </c>
      <c r="F624" s="2" t="s">
        <v>11</v>
      </c>
      <c r="G624" s="2" t="s">
        <v>42928</v>
      </c>
      <c r="H624" s="2" t="s">
        <v>42929</v>
      </c>
    </row>
    <row r="625" spans="1:8" ht="25.05" customHeight="1" x14ac:dyDescent="0.25">
      <c r="A625" s="2" t="s">
        <v>8</v>
      </c>
      <c r="B625" s="2" t="str">
        <f>HYPERLINK("http://ts.21cn.com/tousu/show/id/1331060","店铺入会有个礼包消费者入会却没有")</f>
        <v>店铺入会有个礼包消费者入会却没有</v>
      </c>
      <c r="C625" s="2" t="s">
        <v>34</v>
      </c>
      <c r="D625" s="2" t="s">
        <v>10</v>
      </c>
      <c r="E625" s="2" t="str">
        <f>HYPERLINK("http://ts.21cn.com/tousu/show/id/1331060","http://ts.21cn.com/tousu/show/id/1331060")</f>
        <v>http://ts.21cn.com/tousu/show/id/1331060</v>
      </c>
      <c r="F625" s="2" t="s">
        <v>11</v>
      </c>
      <c r="G625" s="2" t="s">
        <v>42926</v>
      </c>
      <c r="H625" s="2" t="s">
        <v>42927</v>
      </c>
    </row>
    <row r="626" spans="1:8" ht="25.05" customHeight="1" x14ac:dyDescent="0.25">
      <c r="A626" s="2" t="s">
        <v>8</v>
      </c>
      <c r="B626" s="2" t="str">
        <f>HYPERLINK("http://ts.21cn.com/tousu/show/id/1331071","国美易卡不经本人直接拨打联系人")</f>
        <v>国美易卡不经本人直接拨打联系人</v>
      </c>
      <c r="C626" s="2" t="s">
        <v>9</v>
      </c>
      <c r="D626" s="2" t="s">
        <v>10</v>
      </c>
      <c r="E626" s="2" t="str">
        <f>HYPERLINK("http://ts.21cn.com/tousu/show/id/1331071","http://ts.21cn.com/tousu/show/id/1331071")</f>
        <v>http://ts.21cn.com/tousu/show/id/1331071</v>
      </c>
      <c r="F626" s="2" t="s">
        <v>11</v>
      </c>
      <c r="G626" s="2" t="s">
        <v>42924</v>
      </c>
      <c r="H626" s="2" t="s">
        <v>42925</v>
      </c>
    </row>
    <row r="627" spans="1:8" ht="25.05" customHeight="1" x14ac:dyDescent="0.25">
      <c r="A627" s="2" t="s">
        <v>8</v>
      </c>
      <c r="B627" s="2" t="str">
        <f>HYPERLINK("http://ts.21cn.com/tousu/show/id/1331075","在华润通借款，共交了23000元，最后贷款冻结，没下来，他们不给退款")</f>
        <v>在华润通借款，共交了23000元，最后贷款冻结，没下来，他们不给退款</v>
      </c>
      <c r="C627" s="2" t="s">
        <v>9</v>
      </c>
      <c r="D627" s="2" t="s">
        <v>10</v>
      </c>
      <c r="E627" s="2" t="str">
        <f>HYPERLINK("http://ts.21cn.com/tousu/show/id/1331075","http://ts.21cn.com/tousu/show/id/1331075")</f>
        <v>http://ts.21cn.com/tousu/show/id/1331075</v>
      </c>
      <c r="F627" s="2" t="s">
        <v>11</v>
      </c>
      <c r="G627" s="2" t="s">
        <v>42922</v>
      </c>
      <c r="H627" s="2" t="s">
        <v>42923</v>
      </c>
    </row>
    <row r="628" spans="1:8" ht="25.05" customHeight="1" x14ac:dyDescent="0.25">
      <c r="A628" s="2" t="s">
        <v>8</v>
      </c>
      <c r="B628" s="2" t="str">
        <f>HYPERLINK("http://ts.21cn.com/tousu/show/id/1331072","协商还款")</f>
        <v>协商还款</v>
      </c>
      <c r="C628" s="2" t="s">
        <v>34</v>
      </c>
      <c r="D628" s="2" t="s">
        <v>10</v>
      </c>
      <c r="E628" s="2" t="str">
        <f>HYPERLINK("http://ts.21cn.com/tousu/show/id/1331072","http://ts.21cn.com/tousu/show/id/1331072")</f>
        <v>http://ts.21cn.com/tousu/show/id/1331072</v>
      </c>
      <c r="F628" s="2" t="s">
        <v>11</v>
      </c>
      <c r="G628" s="2" t="s">
        <v>42920</v>
      </c>
      <c r="H628" s="2" t="s">
        <v>42921</v>
      </c>
    </row>
    <row r="629" spans="1:8" ht="25.05" customHeight="1" x14ac:dyDescent="0.25">
      <c r="A629" s="2" t="s">
        <v>8</v>
      </c>
      <c r="B629" s="2" t="str">
        <f>HYPERLINK("http://ts.21cn.com/tousu/show/id/1331073","豹子贷违规扣款客服联系消失")</f>
        <v>豹子贷违规扣款客服联系消失</v>
      </c>
      <c r="C629" s="2" t="s">
        <v>9</v>
      </c>
      <c r="D629" s="2" t="s">
        <v>10</v>
      </c>
      <c r="E629" s="2" t="str">
        <f>HYPERLINK("http://ts.21cn.com/tousu/show/id/1331073","http://ts.21cn.com/tousu/show/id/1331073")</f>
        <v>http://ts.21cn.com/tousu/show/id/1331073</v>
      </c>
      <c r="F629" s="2" t="s">
        <v>11</v>
      </c>
      <c r="G629" s="2" t="s">
        <v>42918</v>
      </c>
      <c r="H629" s="2" t="s">
        <v>42919</v>
      </c>
    </row>
    <row r="630" spans="1:8" ht="25.05" customHeight="1" x14ac:dyDescent="0.25">
      <c r="A630" s="2" t="s">
        <v>8</v>
      </c>
      <c r="B630" s="2" t="str">
        <f>HYPERLINK("http://ts.21cn.com/tousu/show/id/1331074","钱站高利贷阴阳合同")</f>
        <v>钱站高利贷阴阳合同</v>
      </c>
      <c r="C630" s="2" t="s">
        <v>9</v>
      </c>
      <c r="D630" s="2" t="s">
        <v>10</v>
      </c>
      <c r="E630" s="2" t="str">
        <f>HYPERLINK("http://ts.21cn.com/tousu/show/id/1331074","http://ts.21cn.com/tousu/show/id/1331074")</f>
        <v>http://ts.21cn.com/tousu/show/id/1331074</v>
      </c>
      <c r="F630" s="2" t="s">
        <v>11</v>
      </c>
      <c r="G630" s="2" t="s">
        <v>42916</v>
      </c>
      <c r="H630" s="2" t="s">
        <v>42917</v>
      </c>
    </row>
    <row r="631" spans="1:8" ht="25.05" customHeight="1" x14ac:dyDescent="0.25">
      <c r="A631" s="2" t="s">
        <v>8</v>
      </c>
      <c r="B631" s="2" t="str">
        <f>HYPERLINK("http://ts.21cn.com/tousu/show/id/1331066","宜人万花道歉")</f>
        <v>宜人万花道歉</v>
      </c>
      <c r="C631" s="2" t="s">
        <v>9</v>
      </c>
      <c r="D631" s="2" t="s">
        <v>10</v>
      </c>
      <c r="E631" s="2" t="str">
        <f>HYPERLINK("http://ts.21cn.com/tousu/show/id/1331066","http://ts.21cn.com/tousu/show/id/1331066")</f>
        <v>http://ts.21cn.com/tousu/show/id/1331066</v>
      </c>
      <c r="F631" s="2" t="s">
        <v>11</v>
      </c>
      <c r="G631" s="2" t="s">
        <v>42914</v>
      </c>
      <c r="H631" s="2" t="s">
        <v>42915</v>
      </c>
    </row>
    <row r="632" spans="1:8" ht="25.05" customHeight="1" x14ac:dyDescent="0.25">
      <c r="A632" s="2" t="s">
        <v>8</v>
      </c>
      <c r="B632" s="2" t="str">
        <f>HYPERLINK("http://ts.21cn.com/tousu/show/id/1331034","不明保险费用")</f>
        <v>不明保险费用</v>
      </c>
      <c r="C632" s="2" t="s">
        <v>34</v>
      </c>
      <c r="D632" s="2" t="s">
        <v>10</v>
      </c>
      <c r="E632" s="2" t="str">
        <f>HYPERLINK("http://ts.21cn.com/tousu/show/id/1331034","http://ts.21cn.com/tousu/show/id/1331034")</f>
        <v>http://ts.21cn.com/tousu/show/id/1331034</v>
      </c>
      <c r="F632" s="2" t="s">
        <v>11</v>
      </c>
      <c r="G632" s="2" t="s">
        <v>42912</v>
      </c>
      <c r="H632" s="2" t="s">
        <v>42913</v>
      </c>
    </row>
    <row r="633" spans="1:8" ht="25.05" customHeight="1" x14ac:dyDescent="0.25">
      <c r="A633" s="2" t="s">
        <v>8</v>
      </c>
      <c r="B633" s="2" t="str">
        <f>HYPERLINK("http://ts.21cn.com/tousu/show/id/1331077","要求取消借款，仍然放款，放款3000，要还4800，需要取消借款")</f>
        <v>要求取消借款，仍然放款，放款3000，要还4800，需要取消借款</v>
      </c>
      <c r="C633" s="2" t="s">
        <v>9</v>
      </c>
      <c r="D633" s="2" t="s">
        <v>10</v>
      </c>
      <c r="E633" s="2" t="str">
        <f>HYPERLINK("http://ts.21cn.com/tousu/show/id/1331077","http://ts.21cn.com/tousu/show/id/1331077")</f>
        <v>http://ts.21cn.com/tousu/show/id/1331077</v>
      </c>
      <c r="F633" s="2" t="s">
        <v>11</v>
      </c>
      <c r="G633" s="2" t="s">
        <v>42910</v>
      </c>
      <c r="H633" s="2" t="s">
        <v>42911</v>
      </c>
    </row>
    <row r="634" spans="1:8" ht="25.05" customHeight="1" x14ac:dyDescent="0.25">
      <c r="A634" s="2" t="s">
        <v>8</v>
      </c>
      <c r="B634" s="2" t="str">
        <f>HYPERLINK("http://ts.21cn.com/tousu/show/id/1331079","聚福钱包未经许可私自扣款")</f>
        <v>聚福钱包未经许可私自扣款</v>
      </c>
      <c r="C634" s="2" t="s">
        <v>9</v>
      </c>
      <c r="D634" s="2" t="s">
        <v>10</v>
      </c>
      <c r="E634" s="2" t="str">
        <f>HYPERLINK("http://ts.21cn.com/tousu/show/id/1331079","http://ts.21cn.com/tousu/show/id/1331079")</f>
        <v>http://ts.21cn.com/tousu/show/id/1331079</v>
      </c>
      <c r="F634" s="2" t="s">
        <v>11</v>
      </c>
      <c r="G634" s="2" t="s">
        <v>42908</v>
      </c>
      <c r="H634" s="2" t="s">
        <v>42909</v>
      </c>
    </row>
    <row r="635" spans="1:8" ht="25.05" customHeight="1" x14ac:dyDescent="0.25">
      <c r="A635" s="2" t="s">
        <v>8</v>
      </c>
      <c r="B635" s="2" t="str">
        <f>HYPERLINK("http://ts.21cn.com/tousu/show/id/1331080","捕鱼命中率太低")</f>
        <v>捕鱼命中率太低</v>
      </c>
      <c r="C635" s="2" t="s">
        <v>34</v>
      </c>
      <c r="D635" s="2" t="s">
        <v>10</v>
      </c>
      <c r="E635" s="2" t="str">
        <f>HYPERLINK("http://ts.21cn.com/tousu/show/id/1331080","http://ts.21cn.com/tousu/show/id/1331080")</f>
        <v>http://ts.21cn.com/tousu/show/id/1331080</v>
      </c>
      <c r="F635" s="2" t="s">
        <v>11</v>
      </c>
      <c r="G635" s="2" t="s">
        <v>42906</v>
      </c>
      <c r="H635" s="2" t="s">
        <v>42907</v>
      </c>
    </row>
    <row r="636" spans="1:8" ht="25.05" customHeight="1" x14ac:dyDescent="0.25">
      <c r="A636" s="2" t="s">
        <v>8</v>
      </c>
      <c r="B636" s="2" t="str">
        <f>HYPERLINK("http://ts.21cn.com/tousu/show/id/1331081","高铁管家不退钱")</f>
        <v>高铁管家不退钱</v>
      </c>
      <c r="C636" s="2" t="s">
        <v>9</v>
      </c>
      <c r="D636" s="2" t="s">
        <v>10</v>
      </c>
      <c r="E636" s="2" t="str">
        <f>HYPERLINK("http://ts.21cn.com/tousu/show/id/1331081","http://ts.21cn.com/tousu/show/id/1331081")</f>
        <v>http://ts.21cn.com/tousu/show/id/1331081</v>
      </c>
      <c r="F636" s="2" t="s">
        <v>11</v>
      </c>
      <c r="G636" s="2" t="s">
        <v>42904</v>
      </c>
      <c r="H636" s="2" t="s">
        <v>42905</v>
      </c>
    </row>
    <row r="637" spans="1:8" ht="25.05" customHeight="1" x14ac:dyDescent="0.25">
      <c r="A637" s="2" t="s">
        <v>8</v>
      </c>
      <c r="B637" s="2" t="str">
        <f>HYPERLINK("http://ts.21cn.com/tousu/show/id/1331082","钱站高利贷阴阳合同")</f>
        <v>钱站高利贷阴阳合同</v>
      </c>
      <c r="C637" s="2" t="s">
        <v>9</v>
      </c>
      <c r="D637" s="2" t="s">
        <v>10</v>
      </c>
      <c r="E637" s="2" t="str">
        <f>HYPERLINK("http://ts.21cn.com/tousu/show/id/1331082","http://ts.21cn.com/tousu/show/id/1331082")</f>
        <v>http://ts.21cn.com/tousu/show/id/1331082</v>
      </c>
      <c r="F637" s="2" t="s">
        <v>11</v>
      </c>
      <c r="G637" s="2" t="s">
        <v>42902</v>
      </c>
      <c r="H637" s="2" t="s">
        <v>42903</v>
      </c>
    </row>
    <row r="638" spans="1:8" ht="25.05" customHeight="1" x14ac:dyDescent="0.25">
      <c r="A638" s="2" t="s">
        <v>8</v>
      </c>
      <c r="B638" s="2" t="str">
        <f>HYPERLINK("http://ts.21cn.com/tousu/show/id/1331083","来分期提前催收")</f>
        <v>来分期提前催收</v>
      </c>
      <c r="C638" s="2" t="s">
        <v>9</v>
      </c>
      <c r="D638" s="2" t="s">
        <v>10</v>
      </c>
      <c r="E638" s="2" t="str">
        <f>HYPERLINK("http://ts.21cn.com/tousu/show/id/1331083","http://ts.21cn.com/tousu/show/id/1331083")</f>
        <v>http://ts.21cn.com/tousu/show/id/1331083</v>
      </c>
      <c r="F638" s="2" t="s">
        <v>11</v>
      </c>
      <c r="G638" s="2" t="s">
        <v>42900</v>
      </c>
      <c r="H638" s="2" t="s">
        <v>42901</v>
      </c>
    </row>
    <row r="639" spans="1:8" ht="25.05" customHeight="1" x14ac:dyDescent="0.25">
      <c r="A639" s="2" t="s">
        <v>8</v>
      </c>
      <c r="B639" s="2" t="str">
        <f>HYPERLINK("http://ts.21cn.com/tousu/show/id/1331084","钱站高利贷阴阳合同")</f>
        <v>钱站高利贷阴阳合同</v>
      </c>
      <c r="C639" s="2" t="s">
        <v>9</v>
      </c>
      <c r="D639" s="2" t="s">
        <v>10</v>
      </c>
      <c r="E639" s="2" t="str">
        <f>HYPERLINK("http://ts.21cn.com/tousu/show/id/1331084","http://ts.21cn.com/tousu/show/id/1331084")</f>
        <v>http://ts.21cn.com/tousu/show/id/1331084</v>
      </c>
      <c r="F639" s="2" t="s">
        <v>11</v>
      </c>
      <c r="G639" s="2" t="s">
        <v>42898</v>
      </c>
      <c r="H639" s="2" t="s">
        <v>42899</v>
      </c>
    </row>
    <row r="640" spans="1:8" ht="25.05" customHeight="1" x14ac:dyDescent="0.25">
      <c r="A640" s="2" t="s">
        <v>8</v>
      </c>
      <c r="B640" s="2" t="str">
        <f>HYPERLINK("http://ts.21cn.com/tousu/show/id/1331085","高利贷砍头息")</f>
        <v>高利贷砍头息</v>
      </c>
      <c r="C640" s="2" t="s">
        <v>9</v>
      </c>
      <c r="D640" s="2" t="s">
        <v>10</v>
      </c>
      <c r="E640" s="2" t="str">
        <f>HYPERLINK("http://ts.21cn.com/tousu/show/id/1331085","http://ts.21cn.com/tousu/show/id/1331085")</f>
        <v>http://ts.21cn.com/tousu/show/id/1331085</v>
      </c>
      <c r="F640" s="2" t="s">
        <v>11</v>
      </c>
      <c r="G640" s="2" t="s">
        <v>42896</v>
      </c>
      <c r="H640" s="2" t="s">
        <v>42897</v>
      </c>
    </row>
    <row r="641" spans="1:8" ht="25.05" customHeight="1" x14ac:dyDescent="0.25">
      <c r="A641" s="2" t="s">
        <v>8</v>
      </c>
      <c r="B641" s="2" t="str">
        <f>HYPERLINK("http://ts.21cn.com/tousu/show/id/1331087","飞猪购票信息误导人，导致我跑错车站，没赶上车")</f>
        <v>飞猪购票信息误导人，导致我跑错车站，没赶上车</v>
      </c>
      <c r="C641" s="2" t="s">
        <v>9</v>
      </c>
      <c r="D641" s="2" t="s">
        <v>10</v>
      </c>
      <c r="E641" s="2" t="str">
        <f>HYPERLINK("http://ts.21cn.com/tousu/show/id/1331087","http://ts.21cn.com/tousu/show/id/1331087")</f>
        <v>http://ts.21cn.com/tousu/show/id/1331087</v>
      </c>
      <c r="F641" s="2" t="s">
        <v>11</v>
      </c>
      <c r="G641" s="2" t="s">
        <v>42894</v>
      </c>
      <c r="H641" s="2" t="s">
        <v>42895</v>
      </c>
    </row>
    <row r="642" spans="1:8" ht="25.05" customHeight="1" x14ac:dyDescent="0.25">
      <c r="A642" s="2" t="s">
        <v>8</v>
      </c>
      <c r="B642" s="2" t="str">
        <f>HYPERLINK("http://ts.21cn.com/tousu/show/id/1331089","拍拍贷恶意催收")</f>
        <v>拍拍贷恶意催收</v>
      </c>
      <c r="C642" s="2" t="s">
        <v>9</v>
      </c>
      <c r="D642" s="2" t="s">
        <v>10</v>
      </c>
      <c r="E642" s="2" t="str">
        <f>HYPERLINK("http://ts.21cn.com/tousu/show/id/1331089","http://ts.21cn.com/tousu/show/id/1331089")</f>
        <v>http://ts.21cn.com/tousu/show/id/1331089</v>
      </c>
      <c r="F642" s="2" t="s">
        <v>11</v>
      </c>
      <c r="G642" s="2" t="s">
        <v>42892</v>
      </c>
      <c r="H642" s="2" t="s">
        <v>42893</v>
      </c>
    </row>
    <row r="643" spans="1:8" ht="25.05" customHeight="1" x14ac:dyDescent="0.25">
      <c r="A643" s="2" t="s">
        <v>8</v>
      </c>
      <c r="B643" s="2" t="str">
        <f>HYPERLINK("http://ts.21cn.com/tousu/show/id/1331088","富友支付，要求现金巴士退还砍头息")</f>
        <v>富友支付，要求现金巴士退还砍头息</v>
      </c>
      <c r="C643" s="2" t="s">
        <v>34</v>
      </c>
      <c r="D643" s="2" t="s">
        <v>10</v>
      </c>
      <c r="E643" s="2" t="str">
        <f>HYPERLINK("http://ts.21cn.com/tousu/show/id/1331088","http://ts.21cn.com/tousu/show/id/1331088")</f>
        <v>http://ts.21cn.com/tousu/show/id/1331088</v>
      </c>
      <c r="F643" s="2" t="s">
        <v>11</v>
      </c>
      <c r="G643" s="2" t="s">
        <v>42890</v>
      </c>
      <c r="H643" s="2" t="s">
        <v>42891</v>
      </c>
    </row>
    <row r="644" spans="1:8" ht="25.05" customHeight="1" x14ac:dyDescent="0.25">
      <c r="A644" s="2" t="s">
        <v>8</v>
      </c>
      <c r="B644" s="2" t="str">
        <f>HYPERLINK("http://ts.21cn.com/tousu/show/id/1331090","乐王盗刷我的账户资金")</f>
        <v>乐王盗刷我的账户资金</v>
      </c>
      <c r="C644" s="2" t="s">
        <v>9</v>
      </c>
      <c r="D644" s="2" t="s">
        <v>10</v>
      </c>
      <c r="E644" s="2" t="str">
        <f>HYPERLINK("http://ts.21cn.com/tousu/show/id/1331090","http://ts.21cn.com/tousu/show/id/1331090")</f>
        <v>http://ts.21cn.com/tousu/show/id/1331090</v>
      </c>
      <c r="F644" s="2" t="s">
        <v>11</v>
      </c>
      <c r="G644" s="2" t="s">
        <v>42888</v>
      </c>
      <c r="H644" s="2" t="s">
        <v>42889</v>
      </c>
    </row>
    <row r="645" spans="1:8" ht="25.05" customHeight="1" x14ac:dyDescent="0.25">
      <c r="A645" s="2" t="s">
        <v>8</v>
      </c>
      <c r="B645" s="2" t="str">
        <f>HYPERLINK("http://ts.21cn.com/tousu/show/id/1331095","中铁物流不给送货，我打电话。他辱骂我")</f>
        <v>中铁物流不给送货，我打电话。他辱骂我</v>
      </c>
      <c r="C645" s="2" t="s">
        <v>9</v>
      </c>
      <c r="D645" s="2" t="s">
        <v>10</v>
      </c>
      <c r="E645" s="2" t="str">
        <f>HYPERLINK("http://ts.21cn.com/tousu/show/id/1331095","http://ts.21cn.com/tousu/show/id/1331095")</f>
        <v>http://ts.21cn.com/tousu/show/id/1331095</v>
      </c>
      <c r="F645" s="2" t="s">
        <v>11</v>
      </c>
      <c r="G645" s="2" t="s">
        <v>42884</v>
      </c>
      <c r="H645" s="2" t="s">
        <v>42885</v>
      </c>
    </row>
    <row r="646" spans="1:8" ht="25.05" customHeight="1" x14ac:dyDescent="0.25">
      <c r="A646" s="2" t="s">
        <v>8</v>
      </c>
      <c r="B646" s="2" t="str">
        <f>HYPERLINK("http://ts.21cn.com/tousu/show/id/1331093","交易猫卖号被买家二次换绑并恶意仲裁")</f>
        <v>交易猫卖号被买家二次换绑并恶意仲裁</v>
      </c>
      <c r="C646" s="2" t="s">
        <v>9</v>
      </c>
      <c r="D646" s="2" t="s">
        <v>10</v>
      </c>
      <c r="E646" s="2" t="str">
        <f>HYPERLINK("http://ts.21cn.com/tousu/show/id/1331093","http://ts.21cn.com/tousu/show/id/1331093")</f>
        <v>http://ts.21cn.com/tousu/show/id/1331093</v>
      </c>
      <c r="F646" s="2" t="s">
        <v>11</v>
      </c>
      <c r="G646" s="2" t="s">
        <v>42884</v>
      </c>
      <c r="H646" s="2" t="s">
        <v>42886</v>
      </c>
    </row>
    <row r="647" spans="1:8" ht="25.05" customHeight="1" x14ac:dyDescent="0.25">
      <c r="A647" s="2" t="s">
        <v>8</v>
      </c>
      <c r="B647" s="2" t="str">
        <f>HYPERLINK("http://ts.21cn.com/tousu/show/id/1331046","宜人贷套路贷解冻资金")</f>
        <v>宜人贷套路贷解冻资金</v>
      </c>
      <c r="C647" s="2" t="s">
        <v>9</v>
      </c>
      <c r="D647" s="2" t="s">
        <v>10</v>
      </c>
      <c r="E647" s="2" t="str">
        <f>HYPERLINK("http://ts.21cn.com/tousu/show/id/1331046","http://ts.21cn.com/tousu/show/id/1331046")</f>
        <v>http://ts.21cn.com/tousu/show/id/1331046</v>
      </c>
      <c r="F647" s="2" t="s">
        <v>11</v>
      </c>
      <c r="G647" s="2" t="s">
        <v>42884</v>
      </c>
      <c r="H647" s="2" t="s">
        <v>42887</v>
      </c>
    </row>
    <row r="648" spans="1:8" ht="25.05" customHeight="1" x14ac:dyDescent="0.25">
      <c r="A648" s="2" t="s">
        <v>8</v>
      </c>
      <c r="B648" s="2" t="str">
        <f>HYPERLINK("http://ts.21cn.com/tousu/show/id/1331092","投诉淘宝店家虚假宣传")</f>
        <v>投诉淘宝店家虚假宣传</v>
      </c>
      <c r="C648" s="2" t="s">
        <v>9</v>
      </c>
      <c r="D648" s="2" t="s">
        <v>10</v>
      </c>
      <c r="E648" s="2" t="str">
        <f>HYPERLINK("http://ts.21cn.com/tousu/show/id/1331092","http://ts.21cn.com/tousu/show/id/1331092")</f>
        <v>http://ts.21cn.com/tousu/show/id/1331092</v>
      </c>
      <c r="F648" s="2" t="s">
        <v>11</v>
      </c>
      <c r="G648" s="2" t="s">
        <v>42882</v>
      </c>
      <c r="H648" s="2" t="s">
        <v>42883</v>
      </c>
    </row>
    <row r="649" spans="1:8" ht="25.05" customHeight="1" x14ac:dyDescent="0.25">
      <c r="A649" s="2" t="s">
        <v>8</v>
      </c>
      <c r="B649" s="2" t="str">
        <f>HYPERLINK("http://ts.21cn.com/tousu/show/id/1331086","北银消费金融套路贷")</f>
        <v>北银消费金融套路贷</v>
      </c>
      <c r="C649" s="2" t="s">
        <v>9</v>
      </c>
      <c r="D649" s="2" t="s">
        <v>10</v>
      </c>
      <c r="E649" s="2" t="str">
        <f>HYPERLINK("http://ts.21cn.com/tousu/show/id/1331086","http://ts.21cn.com/tousu/show/id/1331086")</f>
        <v>http://ts.21cn.com/tousu/show/id/1331086</v>
      </c>
      <c r="F649" s="2" t="s">
        <v>11</v>
      </c>
      <c r="G649" s="2" t="s">
        <v>42880</v>
      </c>
      <c r="H649" s="2" t="s">
        <v>42881</v>
      </c>
    </row>
    <row r="650" spans="1:8" ht="25.05" customHeight="1" x14ac:dyDescent="0.25">
      <c r="A650" s="2" t="s">
        <v>8</v>
      </c>
      <c r="B650" s="2" t="str">
        <f>HYPERLINK("http://ts.21cn.com/tousu/show/id/1331094","来分期套路客户，故意制造逾期")</f>
        <v>来分期套路客户，故意制造逾期</v>
      </c>
      <c r="C650" s="2" t="s">
        <v>9</v>
      </c>
      <c r="D650" s="2" t="s">
        <v>10</v>
      </c>
      <c r="E650" s="2" t="str">
        <f>HYPERLINK("http://ts.21cn.com/tousu/show/id/1331094","http://ts.21cn.com/tousu/show/id/1331094")</f>
        <v>http://ts.21cn.com/tousu/show/id/1331094</v>
      </c>
      <c r="F650" s="2" t="s">
        <v>11</v>
      </c>
      <c r="G650" s="2" t="s">
        <v>42878</v>
      </c>
      <c r="H650" s="2" t="s">
        <v>42879</v>
      </c>
    </row>
    <row r="651" spans="1:8" ht="25.05" customHeight="1" x14ac:dyDescent="0.25">
      <c r="A651" s="2" t="s">
        <v>8</v>
      </c>
      <c r="B651" s="2" t="str">
        <f>HYPERLINK("http://ts.21cn.com/tousu/show/id/1331078","扫码被转走2000元")</f>
        <v>扫码被转走2000元</v>
      </c>
      <c r="C651" s="2" t="s">
        <v>9</v>
      </c>
      <c r="D651" s="2" t="s">
        <v>10</v>
      </c>
      <c r="E651" s="2" t="str">
        <f>HYPERLINK("http://ts.21cn.com/tousu/show/id/1331078","http://ts.21cn.com/tousu/show/id/1331078")</f>
        <v>http://ts.21cn.com/tousu/show/id/1331078</v>
      </c>
      <c r="F651" s="2" t="s">
        <v>11</v>
      </c>
      <c r="G651" s="2" t="s">
        <v>42876</v>
      </c>
      <c r="H651" s="2" t="s">
        <v>42877</v>
      </c>
    </row>
    <row r="652" spans="1:8" ht="25.05" customHeight="1" x14ac:dyDescent="0.25">
      <c r="A652" s="2" t="s">
        <v>8</v>
      </c>
      <c r="B652" s="2" t="str">
        <f>HYPERLINK("http://ts.21cn.com/tousu/show/id/1331098","借款500元现在要要求我们还1200多")</f>
        <v>借款500元现在要要求我们还1200多</v>
      </c>
      <c r="C652" s="2" t="s">
        <v>9</v>
      </c>
      <c r="D652" s="2" t="s">
        <v>10</v>
      </c>
      <c r="E652" s="2" t="str">
        <f>HYPERLINK("http://ts.21cn.com/tousu/show/id/1331098","http://ts.21cn.com/tousu/show/id/1331098")</f>
        <v>http://ts.21cn.com/tousu/show/id/1331098</v>
      </c>
      <c r="F652" s="2" t="s">
        <v>11</v>
      </c>
      <c r="G652" s="2" t="s">
        <v>42874</v>
      </c>
      <c r="H652" s="2" t="s">
        <v>42875</v>
      </c>
    </row>
    <row r="653" spans="1:8" ht="25.05" customHeight="1" x14ac:dyDescent="0.25">
      <c r="A653" s="2" t="s">
        <v>8</v>
      </c>
      <c r="B653" s="2" t="str">
        <f>HYPERLINK("http://ts.21cn.com/tousu/show/id/1331099","交通银行信用卡客服")</f>
        <v>交通银行信用卡客服</v>
      </c>
      <c r="C653" s="2" t="s">
        <v>9</v>
      </c>
      <c r="D653" s="2" t="s">
        <v>10</v>
      </c>
      <c r="E653" s="2" t="str">
        <f>HYPERLINK("http://ts.21cn.com/tousu/show/id/1331099","http://ts.21cn.com/tousu/show/id/1331099")</f>
        <v>http://ts.21cn.com/tousu/show/id/1331099</v>
      </c>
      <c r="F653" s="2" t="s">
        <v>11</v>
      </c>
      <c r="G653" s="2" t="s">
        <v>42872</v>
      </c>
      <c r="H653" s="2" t="s">
        <v>42873</v>
      </c>
    </row>
    <row r="654" spans="1:8" ht="25.05" customHeight="1" x14ac:dyDescent="0.25">
      <c r="A654" s="2" t="s">
        <v>8</v>
      </c>
      <c r="B654" s="2" t="str">
        <f>HYPERLINK("http://ts.21cn.com/tousu/show/id/1331100","协商还款")</f>
        <v>协商还款</v>
      </c>
      <c r="C654" s="2" t="s">
        <v>34</v>
      </c>
      <c r="D654" s="2" t="s">
        <v>10</v>
      </c>
      <c r="E654" s="2" t="str">
        <f>HYPERLINK("http://ts.21cn.com/tousu/show/id/1331100","http://ts.21cn.com/tousu/show/id/1331100")</f>
        <v>http://ts.21cn.com/tousu/show/id/1331100</v>
      </c>
      <c r="F654" s="2" t="s">
        <v>11</v>
      </c>
      <c r="G654" s="2" t="s">
        <v>42870</v>
      </c>
      <c r="H654" s="2" t="s">
        <v>42871</v>
      </c>
    </row>
    <row r="655" spans="1:8" ht="25.05" customHeight="1" x14ac:dyDescent="0.25">
      <c r="A655" s="2" t="s">
        <v>8</v>
      </c>
      <c r="B655" s="2" t="str">
        <f>HYPERLINK("http://ts.21cn.com/tousu/show/id/1331101","投诉火影帮暴力催收")</f>
        <v>投诉火影帮暴力催收</v>
      </c>
      <c r="C655" s="2" t="s">
        <v>9</v>
      </c>
      <c r="D655" s="2" t="s">
        <v>10</v>
      </c>
      <c r="E655" s="2" t="str">
        <f>HYPERLINK("http://ts.21cn.com/tousu/show/id/1331101","http://ts.21cn.com/tousu/show/id/1331101")</f>
        <v>http://ts.21cn.com/tousu/show/id/1331101</v>
      </c>
      <c r="F655" s="2" t="s">
        <v>11</v>
      </c>
      <c r="G655" s="2" t="s">
        <v>42868</v>
      </c>
      <c r="H655" s="2" t="s">
        <v>42869</v>
      </c>
    </row>
    <row r="656" spans="1:8" ht="25.05" customHeight="1" x14ac:dyDescent="0.25">
      <c r="A656" s="2" t="s">
        <v>8</v>
      </c>
      <c r="B656" s="2" t="str">
        <f>HYPERLINK("http://ts.21cn.com/tousu/show/id/1331096","钱站旗下月光侠高利贷，砍头息")</f>
        <v>钱站旗下月光侠高利贷，砍头息</v>
      </c>
      <c r="C656" s="2" t="s">
        <v>9</v>
      </c>
      <c r="D656" s="2" t="s">
        <v>10</v>
      </c>
      <c r="E656" s="2" t="str">
        <f>HYPERLINK("http://ts.21cn.com/tousu/show/id/1331096","http://ts.21cn.com/tousu/show/id/1331096")</f>
        <v>http://ts.21cn.com/tousu/show/id/1331096</v>
      </c>
      <c r="F656" s="2" t="s">
        <v>11</v>
      </c>
      <c r="G656" s="2" t="s">
        <v>42866</v>
      </c>
      <c r="H656" s="2" t="s">
        <v>42867</v>
      </c>
    </row>
    <row r="657" spans="1:8" ht="25.05" customHeight="1" x14ac:dyDescent="0.25">
      <c r="A657" s="2" t="s">
        <v>8</v>
      </c>
      <c r="B657" s="2" t="str">
        <f>HYPERLINK("http://ts.21cn.com/tousu/show/id/1331103","钱站高利贷阴阳合同")</f>
        <v>钱站高利贷阴阳合同</v>
      </c>
      <c r="C657" s="2" t="s">
        <v>9</v>
      </c>
      <c r="D657" s="2" t="s">
        <v>10</v>
      </c>
      <c r="E657" s="2" t="str">
        <f>HYPERLINK("http://ts.21cn.com/tousu/show/id/1331103","http://ts.21cn.com/tousu/show/id/1331103")</f>
        <v>http://ts.21cn.com/tousu/show/id/1331103</v>
      </c>
      <c r="F657" s="2" t="s">
        <v>11</v>
      </c>
      <c r="G657" s="2" t="s">
        <v>42864</v>
      </c>
      <c r="H657" s="2" t="s">
        <v>42865</v>
      </c>
    </row>
    <row r="658" spans="1:8" ht="25.05" customHeight="1" x14ac:dyDescent="0.25">
      <c r="A658" s="2" t="s">
        <v>8</v>
      </c>
      <c r="B658" s="2" t="str">
        <f>HYPERLINK("http://ts.21cn.com/tousu/show/id/1331104","钱站阴阳合同。到账本金与合同不符。")</f>
        <v>钱站阴阳合同。到账本金与合同不符。</v>
      </c>
      <c r="C658" s="2" t="s">
        <v>9</v>
      </c>
      <c r="D658" s="2" t="s">
        <v>10</v>
      </c>
      <c r="E658" s="2" t="str">
        <f>HYPERLINK("http://ts.21cn.com/tousu/show/id/1331104","http://ts.21cn.com/tousu/show/id/1331104")</f>
        <v>http://ts.21cn.com/tousu/show/id/1331104</v>
      </c>
      <c r="F658" s="2" t="s">
        <v>11</v>
      </c>
      <c r="G658" s="2" t="s">
        <v>42862</v>
      </c>
      <c r="H658" s="2" t="s">
        <v>42863</v>
      </c>
    </row>
    <row r="659" spans="1:8" ht="25.05" customHeight="1" x14ac:dyDescent="0.25">
      <c r="A659" s="2" t="s">
        <v>8</v>
      </c>
      <c r="B659" s="2" t="str">
        <f>HYPERLINK("http://ts.21cn.com/tousu/show/id/1331106","为违法赌博网站和商户提供支付通道")</f>
        <v>为违法赌博网站和商户提供支付通道</v>
      </c>
      <c r="C659" s="2" t="s">
        <v>9</v>
      </c>
      <c r="D659" s="2" t="s">
        <v>10</v>
      </c>
      <c r="E659" s="2" t="str">
        <f>HYPERLINK("http://ts.21cn.com/tousu/show/id/1331106","http://ts.21cn.com/tousu/show/id/1331106")</f>
        <v>http://ts.21cn.com/tousu/show/id/1331106</v>
      </c>
      <c r="F659" s="2" t="s">
        <v>11</v>
      </c>
      <c r="G659" s="2" t="s">
        <v>42860</v>
      </c>
      <c r="H659" s="2" t="s">
        <v>42861</v>
      </c>
    </row>
    <row r="660" spans="1:8" ht="25.05" customHeight="1" x14ac:dyDescent="0.25">
      <c r="A660" s="2" t="s">
        <v>8</v>
      </c>
      <c r="B660" s="2" t="str">
        <f>HYPERLINK("http://ts.21cn.com/tousu/show/id/1331107","海尔电子塑料拖欠工资")</f>
        <v>海尔电子塑料拖欠工资</v>
      </c>
      <c r="C660" s="2" t="s">
        <v>9</v>
      </c>
      <c r="D660" s="2" t="s">
        <v>10</v>
      </c>
      <c r="E660" s="2" t="str">
        <f>HYPERLINK("http://ts.21cn.com/tousu/show/id/1331107","http://ts.21cn.com/tousu/show/id/1331107")</f>
        <v>http://ts.21cn.com/tousu/show/id/1331107</v>
      </c>
      <c r="F660" s="2" t="s">
        <v>11</v>
      </c>
      <c r="G660" s="2" t="s">
        <v>42858</v>
      </c>
      <c r="H660" s="2" t="s">
        <v>42859</v>
      </c>
    </row>
    <row r="661" spans="1:8" ht="25.05" customHeight="1" x14ac:dyDescent="0.25">
      <c r="A661" s="2" t="s">
        <v>8</v>
      </c>
      <c r="B661" s="2" t="str">
        <f>HYPERLINK("http://ts.21cn.com/tousu/show/id/1331109","还呗黑心软件高利息")</f>
        <v>还呗黑心软件高利息</v>
      </c>
      <c r="C661" s="2" t="s">
        <v>9</v>
      </c>
      <c r="D661" s="2" t="s">
        <v>10</v>
      </c>
      <c r="E661" s="2" t="str">
        <f>HYPERLINK("http://ts.21cn.com/tousu/show/id/1331109","http://ts.21cn.com/tousu/show/id/1331109")</f>
        <v>http://ts.21cn.com/tousu/show/id/1331109</v>
      </c>
      <c r="F661" s="2" t="s">
        <v>11</v>
      </c>
      <c r="G661" s="2" t="s">
        <v>42856</v>
      </c>
      <c r="H661" s="2" t="s">
        <v>42857</v>
      </c>
    </row>
    <row r="662" spans="1:8" ht="25.05" customHeight="1" x14ac:dyDescent="0.25">
      <c r="A662" s="2" t="s">
        <v>8</v>
      </c>
      <c r="B662" s="2" t="str">
        <f>HYPERLINK("http://ts.21cn.com/tousu/show/id/1331110","信用管家云享贷高额砍头息")</f>
        <v>信用管家云享贷高额砍头息</v>
      </c>
      <c r="C662" s="2" t="s">
        <v>9</v>
      </c>
      <c r="D662" s="2" t="s">
        <v>10</v>
      </c>
      <c r="E662" s="2" t="str">
        <f>HYPERLINK("http://ts.21cn.com/tousu/show/id/1331110","http://ts.21cn.com/tousu/show/id/1331110")</f>
        <v>http://ts.21cn.com/tousu/show/id/1331110</v>
      </c>
      <c r="F662" s="2" t="s">
        <v>11</v>
      </c>
      <c r="G662" s="2" t="s">
        <v>42854</v>
      </c>
      <c r="H662" s="2" t="s">
        <v>42855</v>
      </c>
    </row>
    <row r="663" spans="1:8" ht="25.05" customHeight="1" x14ac:dyDescent="0.25">
      <c r="A663" s="2" t="s">
        <v>8</v>
      </c>
      <c r="B663" s="2" t="str">
        <f>HYPERLINK("http://ts.21cn.com/tousu/show/id/1331113","业主违规噪音装修物业公司不作为")</f>
        <v>业主违规噪音装修物业公司不作为</v>
      </c>
      <c r="C663" s="2" t="s">
        <v>9</v>
      </c>
      <c r="D663" s="2" t="s">
        <v>10</v>
      </c>
      <c r="E663" s="2" t="str">
        <f>HYPERLINK("http://ts.21cn.com/tousu/show/id/1331113","http://ts.21cn.com/tousu/show/id/1331113")</f>
        <v>http://ts.21cn.com/tousu/show/id/1331113</v>
      </c>
      <c r="F663" s="2" t="s">
        <v>11</v>
      </c>
      <c r="G663" s="2" t="s">
        <v>42852</v>
      </c>
      <c r="H663" s="2" t="s">
        <v>42853</v>
      </c>
    </row>
    <row r="664" spans="1:8" ht="25.05" customHeight="1" x14ac:dyDescent="0.25">
      <c r="A664" s="2" t="s">
        <v>8</v>
      </c>
      <c r="B664" s="2" t="str">
        <f>HYPERLINK("http://ts.21cn.com/tousu/show/id/1331112","宙斯钱包高利贷套路贷违法")</f>
        <v>宙斯钱包高利贷套路贷违法</v>
      </c>
      <c r="C664" s="2" t="s">
        <v>9</v>
      </c>
      <c r="D664" s="2" t="s">
        <v>10</v>
      </c>
      <c r="E664" s="2" t="str">
        <f>HYPERLINK("http://ts.21cn.com/tousu/show/id/1331112","http://ts.21cn.com/tousu/show/id/1331112")</f>
        <v>http://ts.21cn.com/tousu/show/id/1331112</v>
      </c>
      <c r="F664" s="2" t="s">
        <v>11</v>
      </c>
      <c r="G664" s="2" t="s">
        <v>42850</v>
      </c>
      <c r="H664" s="2" t="s">
        <v>42851</v>
      </c>
    </row>
    <row r="665" spans="1:8" ht="25.05" customHeight="1" x14ac:dyDescent="0.25">
      <c r="A665" s="2" t="s">
        <v>8</v>
      </c>
      <c r="B665" s="2" t="str">
        <f>HYPERLINK("http://ts.21cn.com/tousu/show/id/1331114","多宝分期利息过高高利贷")</f>
        <v>多宝分期利息过高高利贷</v>
      </c>
      <c r="C665" s="2" t="s">
        <v>9</v>
      </c>
      <c r="D665" s="2" t="s">
        <v>10</v>
      </c>
      <c r="E665" s="2" t="str">
        <f>HYPERLINK("http://ts.21cn.com/tousu/show/id/1331114","http://ts.21cn.com/tousu/show/id/1331114")</f>
        <v>http://ts.21cn.com/tousu/show/id/1331114</v>
      </c>
      <c r="F665" s="2" t="s">
        <v>11</v>
      </c>
      <c r="G665" s="2" t="s">
        <v>42848</v>
      </c>
      <c r="H665" s="2" t="s">
        <v>42849</v>
      </c>
    </row>
    <row r="666" spans="1:8" ht="25.05" customHeight="1" x14ac:dyDescent="0.25">
      <c r="A666" s="2" t="s">
        <v>8</v>
      </c>
      <c r="B666" s="2" t="str">
        <f>HYPERLINK("http://ts.21cn.com/tousu/show/id/1331115","暴力催收涉黑，无法无天")</f>
        <v>暴力催收涉黑，无法无天</v>
      </c>
      <c r="C666" s="2" t="s">
        <v>9</v>
      </c>
      <c r="D666" s="2" t="s">
        <v>10</v>
      </c>
      <c r="E666" s="2" t="str">
        <f>HYPERLINK("http://ts.21cn.com/tousu/show/id/1331115","http://ts.21cn.com/tousu/show/id/1331115")</f>
        <v>http://ts.21cn.com/tousu/show/id/1331115</v>
      </c>
      <c r="F666" s="2" t="s">
        <v>11</v>
      </c>
      <c r="G666" s="2" t="s">
        <v>42846</v>
      </c>
      <c r="H666" s="2" t="s">
        <v>42847</v>
      </c>
    </row>
    <row r="667" spans="1:8" ht="25.05" customHeight="1" x14ac:dyDescent="0.25">
      <c r="A667" s="2" t="s">
        <v>8</v>
      </c>
      <c r="B667" s="2" t="str">
        <f>HYPERLINK("http://ts.21cn.com/tousu/show/id/1331116","投诉圆通快递的不作为，和不负责任")</f>
        <v>投诉圆通快递的不作为，和不负责任</v>
      </c>
      <c r="C667" s="2" t="s">
        <v>9</v>
      </c>
      <c r="D667" s="2" t="s">
        <v>10</v>
      </c>
      <c r="E667" s="2" t="str">
        <f>HYPERLINK("http://ts.21cn.com/tousu/show/id/1331116","http://ts.21cn.com/tousu/show/id/1331116")</f>
        <v>http://ts.21cn.com/tousu/show/id/1331116</v>
      </c>
      <c r="F667" s="2" t="s">
        <v>11</v>
      </c>
      <c r="G667" s="2" t="s">
        <v>42844</v>
      </c>
      <c r="H667" s="2" t="s">
        <v>42845</v>
      </c>
    </row>
    <row r="668" spans="1:8" ht="25.05" customHeight="1" x14ac:dyDescent="0.25">
      <c r="A668" s="2" t="s">
        <v>8</v>
      </c>
      <c r="B668" s="2" t="str">
        <f>HYPERLINK("http://ts.21cn.com/tousu/show/id/1331117","小花钱包暴力催收轰炸联系人名单")</f>
        <v>小花钱包暴力催收轰炸联系人名单</v>
      </c>
      <c r="C668" s="2" t="s">
        <v>9</v>
      </c>
      <c r="D668" s="2" t="s">
        <v>10</v>
      </c>
      <c r="E668" s="2" t="str">
        <f>HYPERLINK("http://ts.21cn.com/tousu/show/id/1331117","http://ts.21cn.com/tousu/show/id/1331117")</f>
        <v>http://ts.21cn.com/tousu/show/id/1331117</v>
      </c>
      <c r="F668" s="2" t="s">
        <v>11</v>
      </c>
      <c r="G668" s="2" t="s">
        <v>42842</v>
      </c>
      <c r="H668" s="2" t="s">
        <v>42843</v>
      </c>
    </row>
    <row r="669" spans="1:8" ht="25.05" customHeight="1" x14ac:dyDescent="0.25">
      <c r="A669" s="2" t="s">
        <v>8</v>
      </c>
      <c r="B669" s="2" t="str">
        <f>HYPERLINK("http://ts.21cn.com/tousu/show/id/1331105","非法高利贷、利用软暴力催收")</f>
        <v>非法高利贷、利用软暴力催收</v>
      </c>
      <c r="C669" s="2" t="s">
        <v>9</v>
      </c>
      <c r="D669" s="2" t="s">
        <v>10</v>
      </c>
      <c r="E669" s="2" t="str">
        <f>HYPERLINK("http://ts.21cn.com/tousu/show/id/1331105","http://ts.21cn.com/tousu/show/id/1331105")</f>
        <v>http://ts.21cn.com/tousu/show/id/1331105</v>
      </c>
      <c r="F669" s="2" t="s">
        <v>11</v>
      </c>
      <c r="G669" s="2" t="s">
        <v>42840</v>
      </c>
      <c r="H669" s="2" t="s">
        <v>42841</v>
      </c>
    </row>
    <row r="670" spans="1:8" ht="25.05" customHeight="1" x14ac:dyDescent="0.25">
      <c r="A670" s="2" t="s">
        <v>8</v>
      </c>
      <c r="B670" s="2" t="str">
        <f>HYPERLINK("http://ts.21cn.com/tousu/show/id/1331027","众人帮做任务，悬赏主不给通过不给赏金！贴吧已被曝光！故意拖到国庆才审，然后不给赏金，让你因为国庆放假举报无门")</f>
        <v>众人帮做任务，悬赏主不给通过不给赏金！贴吧已被曝光！故意拖到国庆才审，然后不给赏金，让你因为国庆放假举报无门</v>
      </c>
      <c r="C670" s="2" t="s">
        <v>9</v>
      </c>
      <c r="D670" s="2" t="s">
        <v>10</v>
      </c>
      <c r="E670" s="2" t="str">
        <f>HYPERLINK("http://ts.21cn.com/tousu/show/id/1331027","http://ts.21cn.com/tousu/show/id/1331027")</f>
        <v>http://ts.21cn.com/tousu/show/id/1331027</v>
      </c>
      <c r="F670" s="2" t="s">
        <v>11</v>
      </c>
      <c r="G670" s="2" t="s">
        <v>42838</v>
      </c>
      <c r="H670" s="2" t="s">
        <v>42839</v>
      </c>
    </row>
    <row r="671" spans="1:8" ht="25.05" customHeight="1" x14ac:dyDescent="0.25">
      <c r="A671" s="2" t="s">
        <v>8</v>
      </c>
      <c r="B671" s="2" t="str">
        <f>HYPERLINK("http://ts.21cn.com/tousu/show/id/1331122","中邮消费金融")</f>
        <v>中邮消费金融</v>
      </c>
      <c r="C671" s="2" t="s">
        <v>9</v>
      </c>
      <c r="D671" s="2" t="s">
        <v>10</v>
      </c>
      <c r="E671" s="2" t="str">
        <f>HYPERLINK("http://ts.21cn.com/tousu/show/id/1331122","http://ts.21cn.com/tousu/show/id/1331122")</f>
        <v>http://ts.21cn.com/tousu/show/id/1331122</v>
      </c>
      <c r="F671" s="2" t="s">
        <v>11</v>
      </c>
      <c r="G671" s="2" t="s">
        <v>42836</v>
      </c>
      <c r="H671" s="2" t="s">
        <v>42837</v>
      </c>
    </row>
    <row r="672" spans="1:8" ht="25.05" customHeight="1" x14ac:dyDescent="0.25">
      <c r="A672" s="2" t="s">
        <v>8</v>
      </c>
      <c r="B672" s="2" t="str">
        <f>HYPERLINK("http://ts.21cn.com/tousu/show/id/1331121","投诉深圳腾安基金销售有限公司未经许可盗刷账户资金")</f>
        <v>投诉深圳腾安基金销售有限公司未经许可盗刷账户资金</v>
      </c>
      <c r="C672" s="2" t="s">
        <v>9</v>
      </c>
      <c r="D672" s="2" t="s">
        <v>10</v>
      </c>
      <c r="E672" s="2" t="str">
        <f>HYPERLINK("http://ts.21cn.com/tousu/show/id/1331121","http://ts.21cn.com/tousu/show/id/1331121")</f>
        <v>http://ts.21cn.com/tousu/show/id/1331121</v>
      </c>
      <c r="F672" s="2" t="s">
        <v>11</v>
      </c>
      <c r="G672" s="2" t="s">
        <v>42834</v>
      </c>
      <c r="H672" s="2" t="s">
        <v>42835</v>
      </c>
    </row>
    <row r="673" spans="1:8" ht="25.05" customHeight="1" x14ac:dyDescent="0.25">
      <c r="A673" s="2" t="s">
        <v>8</v>
      </c>
      <c r="B673" s="2" t="str">
        <f>HYPERLINK("http://ts.21cn.com/tousu/show/id/1331111","火影帮借款联合杭州市民卡套路贷砍头息")</f>
        <v>火影帮借款联合杭州市民卡套路贷砍头息</v>
      </c>
      <c r="C673" s="2" t="s">
        <v>9</v>
      </c>
      <c r="D673" s="2" t="s">
        <v>10</v>
      </c>
      <c r="E673" s="2" t="str">
        <f>HYPERLINK("http://ts.21cn.com/tousu/show/id/1331111","http://ts.21cn.com/tousu/show/id/1331111")</f>
        <v>http://ts.21cn.com/tousu/show/id/1331111</v>
      </c>
      <c r="F673" s="2" t="s">
        <v>11</v>
      </c>
      <c r="G673" s="2" t="s">
        <v>42832</v>
      </c>
      <c r="H673" s="2" t="s">
        <v>42833</v>
      </c>
    </row>
    <row r="674" spans="1:8" ht="25.05" customHeight="1" x14ac:dyDescent="0.25">
      <c r="A674" s="2" t="s">
        <v>8</v>
      </c>
      <c r="B674" s="2" t="str">
        <f>HYPERLINK("http://ts.21cn.com/tousu/show/id/1331125","我要取消借款 没人理会")</f>
        <v>我要取消借款 没人理会</v>
      </c>
      <c r="C674" s="2" t="s">
        <v>9</v>
      </c>
      <c r="D674" s="2" t="s">
        <v>10</v>
      </c>
      <c r="E674" s="2" t="str">
        <f>HYPERLINK("http://ts.21cn.com/tousu/show/id/1331125","http://ts.21cn.com/tousu/show/id/1331125")</f>
        <v>http://ts.21cn.com/tousu/show/id/1331125</v>
      </c>
      <c r="F674" s="2" t="s">
        <v>11</v>
      </c>
      <c r="G674" s="2" t="s">
        <v>42830</v>
      </c>
      <c r="H674" s="2" t="s">
        <v>42831</v>
      </c>
    </row>
    <row r="675" spans="1:8" ht="25.05" customHeight="1" x14ac:dyDescent="0.25">
      <c r="A675" s="2" t="s">
        <v>8</v>
      </c>
      <c r="B675" s="2" t="str">
        <f>HYPERLINK("http://ts.21cn.com/tousu/show/id/1331126","高利贷，频繁骚扰")</f>
        <v>高利贷，频繁骚扰</v>
      </c>
      <c r="C675" s="2" t="s">
        <v>9</v>
      </c>
      <c r="D675" s="2" t="s">
        <v>10</v>
      </c>
      <c r="E675" s="2" t="str">
        <f>HYPERLINK("http://ts.21cn.com/tousu/show/id/1331126","http://ts.21cn.com/tousu/show/id/1331126")</f>
        <v>http://ts.21cn.com/tousu/show/id/1331126</v>
      </c>
      <c r="F675" s="2" t="s">
        <v>11</v>
      </c>
      <c r="G675" s="2" t="s">
        <v>42828</v>
      </c>
      <c r="H675" s="2" t="s">
        <v>42829</v>
      </c>
    </row>
    <row r="676" spans="1:8" ht="25.05" customHeight="1" x14ac:dyDescent="0.25">
      <c r="A676" s="2" t="s">
        <v>8</v>
      </c>
      <c r="B676" s="2" t="str">
        <f>HYPERLINK("http://ts.21cn.com/tousu/show/id/1331119","易宝支付为分期还提供支付渠道")</f>
        <v>易宝支付为分期还提供支付渠道</v>
      </c>
      <c r="C676" s="2" t="s">
        <v>9</v>
      </c>
      <c r="D676" s="2" t="s">
        <v>10</v>
      </c>
      <c r="E676" s="2" t="str">
        <f>HYPERLINK("http://ts.21cn.com/tousu/show/id/1331119","http://ts.21cn.com/tousu/show/id/1331119")</f>
        <v>http://ts.21cn.com/tousu/show/id/1331119</v>
      </c>
      <c r="F676" s="2" t="s">
        <v>11</v>
      </c>
      <c r="G676" s="2" t="s">
        <v>42826</v>
      </c>
      <c r="H676" s="2" t="s">
        <v>42827</v>
      </c>
    </row>
    <row r="677" spans="1:8" ht="25.05" customHeight="1" x14ac:dyDescent="0.25">
      <c r="A677" s="2" t="s">
        <v>8</v>
      </c>
      <c r="B677" s="2" t="str">
        <f>HYPERLINK("http://ts.21cn.com/tousu/show/id/1331127","现控达人故意制造逾期")</f>
        <v>现控达人故意制造逾期</v>
      </c>
      <c r="C677" s="2" t="s">
        <v>9</v>
      </c>
      <c r="D677" s="2" t="s">
        <v>10</v>
      </c>
      <c r="E677" s="2" t="str">
        <f>HYPERLINK("http://ts.21cn.com/tousu/show/id/1331127","http://ts.21cn.com/tousu/show/id/1331127")</f>
        <v>http://ts.21cn.com/tousu/show/id/1331127</v>
      </c>
      <c r="F677" s="2" t="s">
        <v>11</v>
      </c>
      <c r="G677" s="2" t="s">
        <v>42824</v>
      </c>
      <c r="H677" s="2" t="s">
        <v>42825</v>
      </c>
    </row>
    <row r="678" spans="1:8" ht="25.05" customHeight="1" x14ac:dyDescent="0.25">
      <c r="A678" s="2" t="s">
        <v>8</v>
      </c>
      <c r="B678" s="2" t="str">
        <f>HYPERLINK("http://ts.21cn.com/tousu/show/id/1331128","来花花高利贷暴力催收")</f>
        <v>来花花高利贷暴力催收</v>
      </c>
      <c r="C678" s="2" t="s">
        <v>9</v>
      </c>
      <c r="D678" s="2" t="s">
        <v>10</v>
      </c>
      <c r="E678" s="2" t="str">
        <f>HYPERLINK("http://ts.21cn.com/tousu/show/id/1331128","http://ts.21cn.com/tousu/show/id/1331128")</f>
        <v>http://ts.21cn.com/tousu/show/id/1331128</v>
      </c>
      <c r="F678" s="2" t="s">
        <v>11</v>
      </c>
      <c r="G678" s="2" t="s">
        <v>42822</v>
      </c>
      <c r="H678" s="2" t="s">
        <v>42823</v>
      </c>
    </row>
    <row r="679" spans="1:8" ht="25.05" customHeight="1" x14ac:dyDescent="0.25">
      <c r="A679" s="2" t="s">
        <v>8</v>
      </c>
      <c r="B679" s="2" t="str">
        <f>HYPERLINK("http://ts.21cn.com/tousu/show/id/1331130","现金巴士砍头息")</f>
        <v>现金巴士砍头息</v>
      </c>
      <c r="C679" s="2" t="s">
        <v>34</v>
      </c>
      <c r="D679" s="2" t="s">
        <v>10</v>
      </c>
      <c r="E679" s="2" t="str">
        <f>HYPERLINK("http://ts.21cn.com/tousu/show/id/1331130","http://ts.21cn.com/tousu/show/id/1331130")</f>
        <v>http://ts.21cn.com/tousu/show/id/1331130</v>
      </c>
      <c r="F679" s="2" t="s">
        <v>11</v>
      </c>
      <c r="G679" s="2" t="s">
        <v>42820</v>
      </c>
      <c r="H679" s="2" t="s">
        <v>42821</v>
      </c>
    </row>
    <row r="680" spans="1:8" ht="25.05" customHeight="1" x14ac:dyDescent="0.25">
      <c r="A680" s="2" t="s">
        <v>8</v>
      </c>
      <c r="B680" s="2" t="str">
        <f>HYPERLINK("http://ts.21cn.com/tousu/show/id/1331129","及贷里面的智享贷有砍头息，暴力催收")</f>
        <v>及贷里面的智享贷有砍头息，暴力催收</v>
      </c>
      <c r="C680" s="2" t="s">
        <v>9</v>
      </c>
      <c r="D680" s="2" t="s">
        <v>10</v>
      </c>
      <c r="E680" s="2" t="str">
        <f>HYPERLINK("http://ts.21cn.com/tousu/show/id/1331129","http://ts.21cn.com/tousu/show/id/1331129")</f>
        <v>http://ts.21cn.com/tousu/show/id/1331129</v>
      </c>
      <c r="F680" s="2" t="s">
        <v>11</v>
      </c>
      <c r="G680" s="2" t="s">
        <v>42818</v>
      </c>
      <c r="H680" s="2" t="s">
        <v>42819</v>
      </c>
    </row>
    <row r="681" spans="1:8" ht="25.05" customHeight="1" x14ac:dyDescent="0.25">
      <c r="A681" s="2" t="s">
        <v>8</v>
      </c>
      <c r="B681" s="2" t="str">
        <f>HYPERLINK("http://ts.21cn.com/tousu/show/id/1331131","零钱被冻结，无法解除保护模式")</f>
        <v>零钱被冻结，无法解除保护模式</v>
      </c>
      <c r="C681" s="2" t="s">
        <v>9</v>
      </c>
      <c r="D681" s="2" t="s">
        <v>10</v>
      </c>
      <c r="E681" s="2" t="str">
        <f>HYPERLINK("http://ts.21cn.com/tousu/show/id/1331131","http://ts.21cn.com/tousu/show/id/1331131")</f>
        <v>http://ts.21cn.com/tousu/show/id/1331131</v>
      </c>
      <c r="F681" s="2" t="s">
        <v>11</v>
      </c>
      <c r="G681" s="2" t="s">
        <v>42816</v>
      </c>
      <c r="H681" s="2" t="s">
        <v>42817</v>
      </c>
    </row>
    <row r="682" spans="1:8" ht="25.05" customHeight="1" x14ac:dyDescent="0.25">
      <c r="A682" s="2" t="s">
        <v>8</v>
      </c>
      <c r="B682" s="2" t="str">
        <f>HYPERLINK("http://ts.21cn.com/tousu/show/id/1331132","哆咪黑卡APP恶意扣费199元")</f>
        <v>哆咪黑卡APP恶意扣费199元</v>
      </c>
      <c r="C682" s="2" t="s">
        <v>9</v>
      </c>
      <c r="D682" s="2" t="s">
        <v>10</v>
      </c>
      <c r="E682" s="2" t="str">
        <f>HYPERLINK("http://ts.21cn.com/tousu/show/id/1331132","http://ts.21cn.com/tousu/show/id/1331132")</f>
        <v>http://ts.21cn.com/tousu/show/id/1331132</v>
      </c>
      <c r="F682" s="2" t="s">
        <v>11</v>
      </c>
      <c r="G682" s="2" t="s">
        <v>42814</v>
      </c>
      <c r="H682" s="2" t="s">
        <v>42815</v>
      </c>
    </row>
    <row r="683" spans="1:8" ht="25.05" customHeight="1" x14ac:dyDescent="0.25">
      <c r="A683" s="2" t="s">
        <v>8</v>
      </c>
      <c r="B683" s="2" t="str">
        <f>HYPERLINK("http://ts.21cn.com/tousu/show/id/1331133","活力花恶意收取费用")</f>
        <v>活力花恶意收取费用</v>
      </c>
      <c r="C683" s="2" t="s">
        <v>9</v>
      </c>
      <c r="D683" s="2" t="s">
        <v>10</v>
      </c>
      <c r="E683" s="2" t="str">
        <f>HYPERLINK("http://ts.21cn.com/tousu/show/id/1331133","http://ts.21cn.com/tousu/show/id/1331133")</f>
        <v>http://ts.21cn.com/tousu/show/id/1331133</v>
      </c>
      <c r="F683" s="2" t="s">
        <v>11</v>
      </c>
      <c r="G683" s="2" t="s">
        <v>42812</v>
      </c>
      <c r="H683" s="2" t="s">
        <v>42813</v>
      </c>
    </row>
    <row r="684" spans="1:8" ht="25.05" customHeight="1" x14ac:dyDescent="0.25">
      <c r="A684" s="2" t="s">
        <v>8</v>
      </c>
      <c r="B684" s="2" t="str">
        <f>HYPERLINK("http://ts.21cn.com/tousu/show/id/1331135","达飞云贷高利贷套路群号维权")</f>
        <v>达飞云贷高利贷套路群号维权</v>
      </c>
      <c r="C684" s="2" t="s">
        <v>9</v>
      </c>
      <c r="D684" s="2" t="s">
        <v>10</v>
      </c>
      <c r="E684" s="2" t="str">
        <f>HYPERLINK("http://ts.21cn.com/tousu/show/id/1331135","http://ts.21cn.com/tousu/show/id/1331135")</f>
        <v>http://ts.21cn.com/tousu/show/id/1331135</v>
      </c>
      <c r="F684" s="2" t="s">
        <v>11</v>
      </c>
      <c r="G684" s="2" t="s">
        <v>42810</v>
      </c>
      <c r="H684" s="2" t="s">
        <v>42811</v>
      </c>
    </row>
    <row r="685" spans="1:8" ht="25.05" customHeight="1" x14ac:dyDescent="0.25">
      <c r="A685" s="2" t="s">
        <v>8</v>
      </c>
      <c r="B685" s="2" t="str">
        <f>HYPERLINK("http://ts.21cn.com/tousu/show/id/1331136","信用飞变相收取砍头息")</f>
        <v>信用飞变相收取砍头息</v>
      </c>
      <c r="C685" s="2" t="s">
        <v>9</v>
      </c>
      <c r="D685" s="2" t="s">
        <v>10</v>
      </c>
      <c r="E685" s="2" t="str">
        <f>HYPERLINK("http://ts.21cn.com/tousu/show/id/1331136","http://ts.21cn.com/tousu/show/id/1331136")</f>
        <v>http://ts.21cn.com/tousu/show/id/1331136</v>
      </c>
      <c r="F685" s="2" t="s">
        <v>11</v>
      </c>
      <c r="G685" s="2" t="s">
        <v>42808</v>
      </c>
      <c r="H685" s="2" t="s">
        <v>42809</v>
      </c>
    </row>
    <row r="686" spans="1:8" ht="25.05" customHeight="1" x14ac:dyDescent="0.25">
      <c r="A686" s="2" t="s">
        <v>8</v>
      </c>
      <c r="B686" s="2" t="str">
        <f>HYPERLINK("http://ts.21cn.com/tousu/show/id/1331138","高利贷")</f>
        <v>高利贷</v>
      </c>
      <c r="C686" s="2" t="s">
        <v>9</v>
      </c>
      <c r="D686" s="2" t="s">
        <v>10</v>
      </c>
      <c r="E686" s="2" t="str">
        <f>HYPERLINK("http://ts.21cn.com/tousu/show/id/1331138","http://ts.21cn.com/tousu/show/id/1331138")</f>
        <v>http://ts.21cn.com/tousu/show/id/1331138</v>
      </c>
      <c r="F686" s="2" t="s">
        <v>11</v>
      </c>
      <c r="G686" s="2" t="s">
        <v>42806</v>
      </c>
      <c r="H686" s="2" t="s">
        <v>42807</v>
      </c>
    </row>
    <row r="687" spans="1:8" ht="25.05" customHeight="1" x14ac:dyDescent="0.25">
      <c r="A687" s="2" t="s">
        <v>8</v>
      </c>
      <c r="B687" s="2" t="str">
        <f>HYPERLINK("http://ts.21cn.com/tousu/show/id/1331137","立刻出行不退押金")</f>
        <v>立刻出行不退押金</v>
      </c>
      <c r="C687" s="2" t="s">
        <v>9</v>
      </c>
      <c r="D687" s="2" t="s">
        <v>10</v>
      </c>
      <c r="E687" s="2" t="str">
        <f>HYPERLINK("http://ts.21cn.com/tousu/show/id/1331137","http://ts.21cn.com/tousu/show/id/1331137")</f>
        <v>http://ts.21cn.com/tousu/show/id/1331137</v>
      </c>
      <c r="F687" s="2" t="s">
        <v>11</v>
      </c>
      <c r="G687" s="2" t="s">
        <v>42804</v>
      </c>
      <c r="H687" s="2" t="s">
        <v>42805</v>
      </c>
    </row>
    <row r="688" spans="1:8" ht="25.05" customHeight="1" x14ac:dyDescent="0.25">
      <c r="A688" s="2" t="s">
        <v>8</v>
      </c>
      <c r="B688" s="2" t="str">
        <f>HYPERLINK("http://ts.21cn.com/tousu/show/id/1331139","希望有用分期能够诚心诚意的还我一个公正")</f>
        <v>希望有用分期能够诚心诚意的还我一个公正</v>
      </c>
      <c r="C688" s="2" t="s">
        <v>9</v>
      </c>
      <c r="D688" s="2" t="s">
        <v>10</v>
      </c>
      <c r="E688" s="2" t="str">
        <f>HYPERLINK("http://ts.21cn.com/tousu/show/id/1331139","http://ts.21cn.com/tousu/show/id/1331139")</f>
        <v>http://ts.21cn.com/tousu/show/id/1331139</v>
      </c>
      <c r="F688" s="2" t="s">
        <v>11</v>
      </c>
      <c r="G688" s="2" t="s">
        <v>42802</v>
      </c>
      <c r="H688" s="2" t="s">
        <v>42803</v>
      </c>
    </row>
    <row r="689" spans="1:8" ht="25.05" customHeight="1" x14ac:dyDescent="0.25">
      <c r="A689" s="2" t="s">
        <v>8</v>
      </c>
      <c r="B689" s="2" t="str">
        <f>HYPERLINK("http://ts.21cn.com/tousu/show/id/1331140","现金巴士延期还款")</f>
        <v>现金巴士延期还款</v>
      </c>
      <c r="C689" s="2" t="s">
        <v>9</v>
      </c>
      <c r="D689" s="2" t="s">
        <v>10</v>
      </c>
      <c r="E689" s="2" t="str">
        <f>HYPERLINK("http://ts.21cn.com/tousu/show/id/1331140","http://ts.21cn.com/tousu/show/id/1331140")</f>
        <v>http://ts.21cn.com/tousu/show/id/1331140</v>
      </c>
      <c r="F689" s="2" t="s">
        <v>11</v>
      </c>
      <c r="G689" s="2" t="s">
        <v>42800</v>
      </c>
      <c r="H689" s="2" t="s">
        <v>42801</v>
      </c>
    </row>
    <row r="690" spans="1:8" ht="25.05" customHeight="1" x14ac:dyDescent="0.25">
      <c r="A690" s="2" t="s">
        <v>8</v>
      </c>
      <c r="B690" s="2" t="str">
        <f>HYPERLINK("http://ts.21cn.com/tousu/show/id/1331141","我来数科套路贷高利贷")</f>
        <v>我来数科套路贷高利贷</v>
      </c>
      <c r="C690" s="2" t="s">
        <v>9</v>
      </c>
      <c r="D690" s="2" t="s">
        <v>10</v>
      </c>
      <c r="E690" s="2" t="str">
        <f>HYPERLINK("http://ts.21cn.com/tousu/show/id/1331141","http://ts.21cn.com/tousu/show/id/1331141")</f>
        <v>http://ts.21cn.com/tousu/show/id/1331141</v>
      </c>
      <c r="F690" s="2" t="s">
        <v>11</v>
      </c>
      <c r="G690" s="2" t="s">
        <v>42798</v>
      </c>
      <c r="H690" s="2" t="s">
        <v>42799</v>
      </c>
    </row>
    <row r="691" spans="1:8" ht="25.05" customHeight="1" x14ac:dyDescent="0.25">
      <c r="A691" s="2" t="s">
        <v>8</v>
      </c>
      <c r="B691" s="2" t="str">
        <f>HYPERLINK("http://ts.21cn.com/tousu/show/id/1331142","钱站催收恐吓第三方")</f>
        <v>钱站催收恐吓第三方</v>
      </c>
      <c r="C691" s="2" t="s">
        <v>9</v>
      </c>
      <c r="D691" s="2" t="s">
        <v>10</v>
      </c>
      <c r="E691" s="2" t="str">
        <f>HYPERLINK("http://ts.21cn.com/tousu/show/id/1331142","http://ts.21cn.com/tousu/show/id/1331142")</f>
        <v>http://ts.21cn.com/tousu/show/id/1331142</v>
      </c>
      <c r="F691" s="2" t="s">
        <v>11</v>
      </c>
      <c r="G691" s="2" t="s">
        <v>42796</v>
      </c>
      <c r="H691" s="2" t="s">
        <v>42797</v>
      </c>
    </row>
    <row r="692" spans="1:8" ht="25.05" customHeight="1" x14ac:dyDescent="0.25">
      <c r="A692" s="2" t="s">
        <v>8</v>
      </c>
      <c r="B692" s="2" t="str">
        <f>HYPERLINK("http://ts.21cn.com/tousu/show/id/1331143","苏宁易购不按照时间规定处理退店退押金")</f>
        <v>苏宁易购不按照时间规定处理退店退押金</v>
      </c>
      <c r="C692" s="2" t="s">
        <v>9</v>
      </c>
      <c r="D692" s="2" t="s">
        <v>10</v>
      </c>
      <c r="E692" s="2" t="str">
        <f>HYPERLINK("http://ts.21cn.com/tousu/show/id/1331143","http://ts.21cn.com/tousu/show/id/1331143")</f>
        <v>http://ts.21cn.com/tousu/show/id/1331143</v>
      </c>
      <c r="F692" s="2" t="s">
        <v>11</v>
      </c>
      <c r="G692" s="2" t="s">
        <v>42794</v>
      </c>
      <c r="H692" s="2" t="s">
        <v>42795</v>
      </c>
    </row>
    <row r="693" spans="1:8" ht="25.05" customHeight="1" x14ac:dyDescent="0.25">
      <c r="A693" s="2" t="s">
        <v>8</v>
      </c>
      <c r="B693" s="2" t="str">
        <f>HYPERLINK("http://ts.21cn.com/tousu/show/id/1331145","贷上钱暴力催收，逾期滞纳金12天时间高达600元，不同意协商还款")</f>
        <v>贷上钱暴力催收，逾期滞纳金12天时间高达600元，不同意协商还款</v>
      </c>
      <c r="C693" s="2" t="s">
        <v>9</v>
      </c>
      <c r="D693" s="2" t="s">
        <v>10</v>
      </c>
      <c r="E693" s="2" t="str">
        <f>HYPERLINK("http://ts.21cn.com/tousu/show/id/1331145","http://ts.21cn.com/tousu/show/id/1331145")</f>
        <v>http://ts.21cn.com/tousu/show/id/1331145</v>
      </c>
      <c r="F693" s="2" t="s">
        <v>11</v>
      </c>
      <c r="G693" s="2" t="s">
        <v>42792</v>
      </c>
      <c r="H693" s="2" t="s">
        <v>42793</v>
      </c>
    </row>
    <row r="694" spans="1:8" ht="25.05" customHeight="1" x14ac:dyDescent="0.25">
      <c r="A694" s="2" t="s">
        <v>8</v>
      </c>
      <c r="B694" s="2" t="str">
        <f>HYPERLINK("http://ts.21cn.com/tousu/show/id/1331146","暴力催收")</f>
        <v>暴力催收</v>
      </c>
      <c r="C694" s="2" t="s">
        <v>9</v>
      </c>
      <c r="D694" s="2" t="s">
        <v>10</v>
      </c>
      <c r="E694" s="2" t="str">
        <f>HYPERLINK("http://ts.21cn.com/tousu/show/id/1331146","http://ts.21cn.com/tousu/show/id/1331146")</f>
        <v>http://ts.21cn.com/tousu/show/id/1331146</v>
      </c>
      <c r="F694" s="2" t="s">
        <v>11</v>
      </c>
      <c r="G694" s="2" t="s">
        <v>42790</v>
      </c>
      <c r="H694" s="2" t="s">
        <v>42791</v>
      </c>
    </row>
    <row r="695" spans="1:8" ht="25.05" customHeight="1" x14ac:dyDescent="0.25">
      <c r="A695" s="2" t="s">
        <v>8</v>
      </c>
      <c r="B695" s="2" t="str">
        <f>HYPERLINK("http://ts.21cn.com/tousu/show/id/1331144","来分期高利贷")</f>
        <v>来分期高利贷</v>
      </c>
      <c r="C695" s="2" t="s">
        <v>9</v>
      </c>
      <c r="D695" s="2" t="s">
        <v>10</v>
      </c>
      <c r="E695" s="2" t="str">
        <f>HYPERLINK("http://ts.21cn.com/tousu/show/id/1331144","http://ts.21cn.com/tousu/show/id/1331144")</f>
        <v>http://ts.21cn.com/tousu/show/id/1331144</v>
      </c>
      <c r="F695" s="2" t="s">
        <v>11</v>
      </c>
      <c r="G695" s="2" t="s">
        <v>42788</v>
      </c>
      <c r="H695" s="2" t="s">
        <v>42789</v>
      </c>
    </row>
    <row r="696" spans="1:8" ht="25.05" customHeight="1" x14ac:dyDescent="0.25">
      <c r="A696" s="2" t="s">
        <v>8</v>
      </c>
      <c r="B696" s="2" t="str">
        <f>HYPERLINK("http://ts.21cn.com/tousu/show/id/1331147","小花钱包暴力催收轰炸本人亲朋好友电话")</f>
        <v>小花钱包暴力催收轰炸本人亲朋好友电话</v>
      </c>
      <c r="C696" s="2" t="s">
        <v>9</v>
      </c>
      <c r="D696" s="2" t="s">
        <v>10</v>
      </c>
      <c r="E696" s="2" t="str">
        <f>HYPERLINK("http://ts.21cn.com/tousu/show/id/1331147","http://ts.21cn.com/tousu/show/id/1331147")</f>
        <v>http://ts.21cn.com/tousu/show/id/1331147</v>
      </c>
      <c r="F696" s="2" t="s">
        <v>11</v>
      </c>
      <c r="G696" s="2" t="s">
        <v>42786</v>
      </c>
      <c r="H696" s="2" t="s">
        <v>42787</v>
      </c>
    </row>
    <row r="697" spans="1:8" ht="25.05" customHeight="1" x14ac:dyDescent="0.25">
      <c r="A697" s="2" t="s">
        <v>8</v>
      </c>
      <c r="B697" s="2" t="str">
        <f>HYPERLINK("http://ts.21cn.com/tousu/show/id/1331148","没有借款怎么要我还款")</f>
        <v>没有借款怎么要我还款</v>
      </c>
      <c r="C697" s="2" t="s">
        <v>34</v>
      </c>
      <c r="D697" s="2" t="s">
        <v>10</v>
      </c>
      <c r="E697" s="2" t="str">
        <f>HYPERLINK("http://ts.21cn.com/tousu/show/id/1331148","http://ts.21cn.com/tousu/show/id/1331148")</f>
        <v>http://ts.21cn.com/tousu/show/id/1331148</v>
      </c>
      <c r="F697" s="2" t="s">
        <v>11</v>
      </c>
      <c r="G697" s="2" t="s">
        <v>42784</v>
      </c>
      <c r="H697" s="2" t="s">
        <v>42785</v>
      </c>
    </row>
    <row r="698" spans="1:8" ht="25.05" customHeight="1" x14ac:dyDescent="0.25">
      <c r="A698" s="2" t="s">
        <v>8</v>
      </c>
      <c r="B698" s="2" t="str">
        <f>HYPERLINK("http://ts.21cn.com/tousu/show/id/1331149","趣花分期（手机贷）高额砍头息")</f>
        <v>趣花分期（手机贷）高额砍头息</v>
      </c>
      <c r="C698" s="2" t="s">
        <v>9</v>
      </c>
      <c r="D698" s="2" t="s">
        <v>10</v>
      </c>
      <c r="E698" s="2" t="str">
        <f>HYPERLINK("http://ts.21cn.com/tousu/show/id/1331149","http://ts.21cn.com/tousu/show/id/1331149")</f>
        <v>http://ts.21cn.com/tousu/show/id/1331149</v>
      </c>
      <c r="F698" s="2" t="s">
        <v>11</v>
      </c>
      <c r="G698" s="2" t="s">
        <v>42782</v>
      </c>
      <c r="H698" s="2" t="s">
        <v>42783</v>
      </c>
    </row>
    <row r="699" spans="1:8" ht="25.05" customHeight="1" x14ac:dyDescent="0.25">
      <c r="A699" s="2" t="s">
        <v>8</v>
      </c>
      <c r="B699" s="2" t="str">
        <f>HYPERLINK("http://ts.21cn.com/tousu/show/id/1331150","现金巴士协商还款，不减免这种不符合国家法律的逾期费")</f>
        <v>现金巴士协商还款，不减免这种不符合国家法律的逾期费</v>
      </c>
      <c r="C699" s="2" t="s">
        <v>9</v>
      </c>
      <c r="D699" s="2" t="s">
        <v>10</v>
      </c>
      <c r="E699" s="2" t="str">
        <f>HYPERLINK("http://ts.21cn.com/tousu/show/id/1331150","http://ts.21cn.com/tousu/show/id/1331150")</f>
        <v>http://ts.21cn.com/tousu/show/id/1331150</v>
      </c>
      <c r="F699" s="2" t="s">
        <v>11</v>
      </c>
      <c r="G699" s="2" t="s">
        <v>42780</v>
      </c>
      <c r="H699" s="2" t="s">
        <v>42781</v>
      </c>
    </row>
    <row r="700" spans="1:8" ht="25.05" customHeight="1" x14ac:dyDescent="0.25">
      <c r="A700" s="2" t="s">
        <v>8</v>
      </c>
      <c r="B700" s="2" t="str">
        <f>HYPERLINK("http://ts.21cn.com/tousu/show/id/1331151","捷信金融消费公司无良高利贷")</f>
        <v>捷信金融消费公司无良高利贷</v>
      </c>
      <c r="C700" s="2" t="s">
        <v>9</v>
      </c>
      <c r="D700" s="2" t="s">
        <v>10</v>
      </c>
      <c r="E700" s="2" t="str">
        <f>HYPERLINK("http://ts.21cn.com/tousu/show/id/1331151","http://ts.21cn.com/tousu/show/id/1331151")</f>
        <v>http://ts.21cn.com/tousu/show/id/1331151</v>
      </c>
      <c r="F700" s="2" t="s">
        <v>11</v>
      </c>
      <c r="G700" s="2" t="s">
        <v>42778</v>
      </c>
      <c r="H700" s="2" t="s">
        <v>42779</v>
      </c>
    </row>
    <row r="701" spans="1:8" ht="25.05" customHeight="1" x14ac:dyDescent="0.25">
      <c r="A701" s="2" t="s">
        <v>8</v>
      </c>
      <c r="B701" s="2" t="str">
        <f>HYPERLINK("http://ts.21cn.com/tousu/show/id/1331152","三天高利贷没到期就电话威胁还款")</f>
        <v>三天高利贷没到期就电话威胁还款</v>
      </c>
      <c r="C701" s="2" t="s">
        <v>9</v>
      </c>
      <c r="D701" s="2" t="s">
        <v>10</v>
      </c>
      <c r="E701" s="2" t="str">
        <f>HYPERLINK("http://ts.21cn.com/tousu/show/id/1331152","http://ts.21cn.com/tousu/show/id/1331152")</f>
        <v>http://ts.21cn.com/tousu/show/id/1331152</v>
      </c>
      <c r="F701" s="2" t="s">
        <v>11</v>
      </c>
      <c r="G701" s="2" t="s">
        <v>42776</v>
      </c>
      <c r="H701" s="2" t="s">
        <v>42777</v>
      </c>
    </row>
    <row r="702" spans="1:8" ht="25.05" customHeight="1" x14ac:dyDescent="0.25">
      <c r="A702" s="2" t="s">
        <v>8</v>
      </c>
      <c r="B702" s="2" t="str">
        <f>HYPERLINK("http://ts.21cn.com/tousu/show/id/1331153","顺丰速递不返款")</f>
        <v>顺丰速递不返款</v>
      </c>
      <c r="C702" s="2" t="s">
        <v>9</v>
      </c>
      <c r="D702" s="2" t="s">
        <v>10</v>
      </c>
      <c r="E702" s="2" t="str">
        <f>HYPERLINK("http://ts.21cn.com/tousu/show/id/1331153","http://ts.21cn.com/tousu/show/id/1331153")</f>
        <v>http://ts.21cn.com/tousu/show/id/1331153</v>
      </c>
      <c r="F702" s="2" t="s">
        <v>11</v>
      </c>
      <c r="G702" s="2" t="s">
        <v>42774</v>
      </c>
      <c r="H702" s="2" t="s">
        <v>42775</v>
      </c>
    </row>
    <row r="703" spans="1:8" ht="25.05" customHeight="1" x14ac:dyDescent="0.25">
      <c r="A703" s="2" t="s">
        <v>8</v>
      </c>
      <c r="B703" s="2" t="str">
        <f>HYPERLINK("http://ts.21cn.com/tousu/show/id/1331155","交易猫欺诈买家，被找回不理人！")</f>
        <v>交易猫欺诈买家，被找回不理人！</v>
      </c>
      <c r="C703" s="2" t="s">
        <v>9</v>
      </c>
      <c r="D703" s="2" t="s">
        <v>10</v>
      </c>
      <c r="E703" s="2" t="str">
        <f>HYPERLINK("http://ts.21cn.com/tousu/show/id/1331155","http://ts.21cn.com/tousu/show/id/1331155")</f>
        <v>http://ts.21cn.com/tousu/show/id/1331155</v>
      </c>
      <c r="F703" s="2" t="s">
        <v>11</v>
      </c>
      <c r="G703" s="2" t="s">
        <v>42772</v>
      </c>
      <c r="H703" s="2" t="s">
        <v>42773</v>
      </c>
    </row>
    <row r="704" spans="1:8" ht="25.05" customHeight="1" x14ac:dyDescent="0.25">
      <c r="A704" s="2" t="s">
        <v>8</v>
      </c>
      <c r="B704" s="2" t="str">
        <f>HYPERLINK("http://ts.21cn.com/tousu/show/id/1331156","联动云押金无法提前退本人急需用钱希望提前退还押金")</f>
        <v>联动云押金无法提前退本人急需用钱希望提前退还押金</v>
      </c>
      <c r="C704" s="2" t="s">
        <v>34</v>
      </c>
      <c r="D704" s="2" t="s">
        <v>10</v>
      </c>
      <c r="E704" s="2" t="str">
        <f>HYPERLINK("http://ts.21cn.com/tousu/show/id/1331156","http://ts.21cn.com/tousu/show/id/1331156")</f>
        <v>http://ts.21cn.com/tousu/show/id/1331156</v>
      </c>
      <c r="F704" s="2" t="s">
        <v>11</v>
      </c>
      <c r="G704" s="2" t="s">
        <v>42770</v>
      </c>
      <c r="H704" s="2" t="s">
        <v>42771</v>
      </c>
    </row>
    <row r="705" spans="1:8" ht="25.05" customHeight="1" x14ac:dyDescent="0.25">
      <c r="A705" s="2" t="s">
        <v>8</v>
      </c>
      <c r="B705" s="2" t="str">
        <f>HYPERLINK("http://ts.21cn.com/tousu/show/id/1331157","活力花逾期轰炸通讯录")</f>
        <v>活力花逾期轰炸通讯录</v>
      </c>
      <c r="C705" s="2" t="s">
        <v>9</v>
      </c>
      <c r="D705" s="2" t="s">
        <v>10</v>
      </c>
      <c r="E705" s="2" t="str">
        <f>HYPERLINK("http://ts.21cn.com/tousu/show/id/1331157","http://ts.21cn.com/tousu/show/id/1331157")</f>
        <v>http://ts.21cn.com/tousu/show/id/1331157</v>
      </c>
      <c r="F705" s="2" t="s">
        <v>11</v>
      </c>
      <c r="G705" s="2" t="s">
        <v>42768</v>
      </c>
      <c r="H705" s="2" t="s">
        <v>42769</v>
      </c>
    </row>
    <row r="706" spans="1:8" ht="25.05" customHeight="1" x14ac:dyDescent="0.25">
      <c r="A706" s="2" t="s">
        <v>8</v>
      </c>
      <c r="B706" s="2" t="str">
        <f>HYPERLINK("http://ts.21cn.com/tousu/show/id/1331158","押金不退")</f>
        <v>押金不退</v>
      </c>
      <c r="C706" s="2" t="s">
        <v>9</v>
      </c>
      <c r="D706" s="2" t="s">
        <v>10</v>
      </c>
      <c r="E706" s="2" t="str">
        <f>HYPERLINK("http://ts.21cn.com/tousu/show/id/1331158","http://ts.21cn.com/tousu/show/id/1331158")</f>
        <v>http://ts.21cn.com/tousu/show/id/1331158</v>
      </c>
      <c r="F706" s="2" t="s">
        <v>11</v>
      </c>
      <c r="G706" s="2" t="s">
        <v>42766</v>
      </c>
      <c r="H706" s="2" t="s">
        <v>42767</v>
      </c>
    </row>
    <row r="707" spans="1:8" ht="25.05" customHeight="1" x14ac:dyDescent="0.25">
      <c r="A707" s="2" t="s">
        <v>8</v>
      </c>
      <c r="B707" s="2" t="str">
        <f>HYPERLINK("http://ts.21cn.com/tousu/show/id/1331160","月光侠高利贷，变相砍头息，暴力催收")</f>
        <v>月光侠高利贷，变相砍头息，暴力催收</v>
      </c>
      <c r="C707" s="2" t="s">
        <v>9</v>
      </c>
      <c r="D707" s="2" t="s">
        <v>10</v>
      </c>
      <c r="E707" s="2" t="str">
        <f>HYPERLINK("http://ts.21cn.com/tousu/show/id/1331160","http://ts.21cn.com/tousu/show/id/1331160")</f>
        <v>http://ts.21cn.com/tousu/show/id/1331160</v>
      </c>
      <c r="F707" s="2" t="s">
        <v>11</v>
      </c>
      <c r="G707" s="2" t="s">
        <v>42764</v>
      </c>
      <c r="H707" s="2" t="s">
        <v>42765</v>
      </c>
    </row>
    <row r="708" spans="1:8" ht="25.05" customHeight="1" x14ac:dyDescent="0.25">
      <c r="A708" s="2" t="s">
        <v>8</v>
      </c>
      <c r="B708" s="2" t="str">
        <f>HYPERLINK("http://ts.21cn.com/tousu/show/id/1331161","（特约）外贸信托（信托贷款还款）无故扣我建设银行的钱")</f>
        <v>（特约）外贸信托（信托贷款还款）无故扣我建设银行的钱</v>
      </c>
      <c r="C708" s="2" t="s">
        <v>34</v>
      </c>
      <c r="D708" s="2" t="s">
        <v>10</v>
      </c>
      <c r="E708" s="2" t="str">
        <f>HYPERLINK("http://ts.21cn.com/tousu/show/id/1331161","http://ts.21cn.com/tousu/show/id/1331161")</f>
        <v>http://ts.21cn.com/tousu/show/id/1331161</v>
      </c>
      <c r="F708" s="2" t="s">
        <v>11</v>
      </c>
      <c r="G708" s="2" t="s">
        <v>42762</v>
      </c>
      <c r="H708" s="2" t="s">
        <v>42763</v>
      </c>
    </row>
    <row r="709" spans="1:8" ht="25.05" customHeight="1" x14ac:dyDescent="0.25">
      <c r="A709" s="2" t="s">
        <v>8</v>
      </c>
      <c r="B709" s="2" t="str">
        <f>HYPERLINK("http://ts.21cn.com/tousu/show/id/1331162","我来贷，高利息，砍头息利息越来越高")</f>
        <v>我来贷，高利息，砍头息利息越来越高</v>
      </c>
      <c r="C709" s="2" t="s">
        <v>9</v>
      </c>
      <c r="D709" s="2" t="s">
        <v>10</v>
      </c>
      <c r="E709" s="2" t="str">
        <f>HYPERLINK("http://ts.21cn.com/tousu/show/id/1331162","http://ts.21cn.com/tousu/show/id/1331162")</f>
        <v>http://ts.21cn.com/tousu/show/id/1331162</v>
      </c>
      <c r="F709" s="2" t="s">
        <v>11</v>
      </c>
      <c r="G709" s="2" t="s">
        <v>42760</v>
      </c>
      <c r="H709" s="2" t="s">
        <v>42761</v>
      </c>
    </row>
    <row r="710" spans="1:8" ht="25.05" customHeight="1" x14ac:dyDescent="0.25">
      <c r="A710" s="2" t="s">
        <v>8</v>
      </c>
      <c r="B710" s="2" t="str">
        <f>HYPERLINK("http://ts.21cn.com/tousu/show/id/1331163","因去程航班取消导致行程取消往返机票不能全额退款")</f>
        <v>因去程航班取消导致行程取消往返机票不能全额退款</v>
      </c>
      <c r="C710" s="2" t="s">
        <v>34</v>
      </c>
      <c r="D710" s="2" t="s">
        <v>10</v>
      </c>
      <c r="E710" s="2" t="str">
        <f>HYPERLINK("http://ts.21cn.com/tousu/show/id/1331163","http://ts.21cn.com/tousu/show/id/1331163")</f>
        <v>http://ts.21cn.com/tousu/show/id/1331163</v>
      </c>
      <c r="F710" s="2" t="s">
        <v>11</v>
      </c>
      <c r="G710" s="2" t="s">
        <v>42758</v>
      </c>
      <c r="H710" s="2" t="s">
        <v>42759</v>
      </c>
    </row>
    <row r="711" spans="1:8" ht="25.05" customHeight="1" x14ac:dyDescent="0.25">
      <c r="A711" s="2" t="s">
        <v>8</v>
      </c>
      <c r="B711" s="2" t="str">
        <f>HYPERLINK("http://ts.21cn.com/tousu/show/id/1331164","武汉玖爱情感挽回弄虚作假")</f>
        <v>武汉玖爱情感挽回弄虚作假</v>
      </c>
      <c r="C711" s="2" t="s">
        <v>9</v>
      </c>
      <c r="D711" s="2" t="s">
        <v>10</v>
      </c>
      <c r="E711" s="2" t="str">
        <f>HYPERLINK("http://ts.21cn.com/tousu/show/id/1331164","http://ts.21cn.com/tousu/show/id/1331164")</f>
        <v>http://ts.21cn.com/tousu/show/id/1331164</v>
      </c>
      <c r="F711" s="2" t="s">
        <v>11</v>
      </c>
      <c r="G711" s="2" t="s">
        <v>42756</v>
      </c>
      <c r="H711" s="2" t="s">
        <v>42757</v>
      </c>
    </row>
    <row r="712" spans="1:8" ht="25.05" customHeight="1" x14ac:dyDescent="0.25">
      <c r="A712" s="2" t="s">
        <v>8</v>
      </c>
      <c r="B712" s="2" t="str">
        <f>HYPERLINK("http://ts.21cn.com/tousu/show/id/1331167","月光侠非法经营涉嫌高利贷")</f>
        <v>月光侠非法经营涉嫌高利贷</v>
      </c>
      <c r="C712" s="2" t="s">
        <v>9</v>
      </c>
      <c r="D712" s="2" t="s">
        <v>10</v>
      </c>
      <c r="E712" s="2" t="str">
        <f>HYPERLINK("http://ts.21cn.com/tousu/show/id/1331167","http://ts.21cn.com/tousu/show/id/1331167")</f>
        <v>http://ts.21cn.com/tousu/show/id/1331167</v>
      </c>
      <c r="F712" s="2" t="s">
        <v>11</v>
      </c>
      <c r="G712" s="2" t="s">
        <v>42754</v>
      </c>
      <c r="H712" s="2" t="s">
        <v>42755</v>
      </c>
    </row>
    <row r="713" spans="1:8" ht="25.05" customHeight="1" x14ac:dyDescent="0.25">
      <c r="A713" s="2" t="s">
        <v>8</v>
      </c>
      <c r="B713" s="2" t="str">
        <f>HYPERLINK("http://ts.21cn.com/tousu/show/id/1331166","高炮牛人有品无视投诉")</f>
        <v>高炮牛人有品无视投诉</v>
      </c>
      <c r="C713" s="2" t="s">
        <v>9</v>
      </c>
      <c r="D713" s="2" t="s">
        <v>10</v>
      </c>
      <c r="E713" s="2" t="str">
        <f>HYPERLINK("http://ts.21cn.com/tousu/show/id/1331166","http://ts.21cn.com/tousu/show/id/1331166")</f>
        <v>http://ts.21cn.com/tousu/show/id/1331166</v>
      </c>
      <c r="F713" s="2" t="s">
        <v>11</v>
      </c>
      <c r="G713" s="2" t="s">
        <v>42753</v>
      </c>
      <c r="H713" s="2" t="s">
        <v>36600</v>
      </c>
    </row>
    <row r="714" spans="1:8" ht="25.05" customHeight="1" x14ac:dyDescent="0.25">
      <c r="A714" s="2" t="s">
        <v>8</v>
      </c>
      <c r="B714" s="2" t="str">
        <f>HYPERLINK("http://ts.21cn.com/tousu/show/id/1331168","爆我通讯录")</f>
        <v>爆我通讯录</v>
      </c>
      <c r="C714" s="2" t="s">
        <v>9</v>
      </c>
      <c r="D714" s="2" t="s">
        <v>10</v>
      </c>
      <c r="E714" s="2" t="str">
        <f>HYPERLINK("http://ts.21cn.com/tousu/show/id/1331168","http://ts.21cn.com/tousu/show/id/1331168")</f>
        <v>http://ts.21cn.com/tousu/show/id/1331168</v>
      </c>
      <c r="F714" s="2" t="s">
        <v>11</v>
      </c>
      <c r="G714" s="2" t="s">
        <v>42751</v>
      </c>
      <c r="H714" s="2" t="s">
        <v>42752</v>
      </c>
    </row>
    <row r="715" spans="1:8" ht="25.05" customHeight="1" x14ac:dyDescent="0.25">
      <c r="A715" s="2" t="s">
        <v>8</v>
      </c>
      <c r="B715" s="2" t="str">
        <f>HYPERLINK("http://ts.21cn.com/tousu/show/id/1331169","城信APP提现不到账联系客服直接拉黑")</f>
        <v>城信APP提现不到账联系客服直接拉黑</v>
      </c>
      <c r="C715" s="2" t="s">
        <v>9</v>
      </c>
      <c r="D715" s="2" t="s">
        <v>10</v>
      </c>
      <c r="E715" s="2" t="str">
        <f>HYPERLINK("http://ts.21cn.com/tousu/show/id/1331169","http://ts.21cn.com/tousu/show/id/1331169")</f>
        <v>http://ts.21cn.com/tousu/show/id/1331169</v>
      </c>
      <c r="F715" s="2" t="s">
        <v>11</v>
      </c>
      <c r="G715" s="2" t="s">
        <v>42749</v>
      </c>
      <c r="H715" s="2" t="s">
        <v>42750</v>
      </c>
    </row>
    <row r="716" spans="1:8" ht="25.05" customHeight="1" x14ac:dyDescent="0.25">
      <c r="A716" s="2" t="s">
        <v>8</v>
      </c>
      <c r="B716" s="2" t="str">
        <f>HYPERLINK("http://ts.21cn.com/tousu/show/id/1331170","考消防工程师")</f>
        <v>考消防工程师</v>
      </c>
      <c r="C716" s="2" t="s">
        <v>34</v>
      </c>
      <c r="D716" s="2" t="s">
        <v>10</v>
      </c>
      <c r="E716" s="2" t="str">
        <f>HYPERLINK("http://ts.21cn.com/tousu/show/id/1331170","http://ts.21cn.com/tousu/show/id/1331170")</f>
        <v>http://ts.21cn.com/tousu/show/id/1331170</v>
      </c>
      <c r="F716" s="2" t="s">
        <v>11</v>
      </c>
      <c r="G716" s="2" t="s">
        <v>42747</v>
      </c>
      <c r="H716" s="2" t="s">
        <v>42748</v>
      </c>
    </row>
    <row r="717" spans="1:8" ht="25.05" customHeight="1" x14ac:dyDescent="0.25">
      <c r="A717" s="2" t="s">
        <v>8</v>
      </c>
      <c r="B717" s="2" t="str">
        <f>HYPERLINK("http://ts.21cn.com/tousu/show/id/1331171","拉卡拉恶意投诉，欠款已还清却上了失信被执行人和限消人员名单，芝麻信用分下降，请拉卡拉给个解释")</f>
        <v>拉卡拉恶意投诉，欠款已还清却上了失信被执行人和限消人员名单，芝麻信用分下降，请拉卡拉给个解释</v>
      </c>
      <c r="C717" s="2" t="s">
        <v>9</v>
      </c>
      <c r="D717" s="2" t="s">
        <v>10</v>
      </c>
      <c r="E717" s="2" t="str">
        <f>HYPERLINK("http://ts.21cn.com/tousu/show/id/1331171","http://ts.21cn.com/tousu/show/id/1331171")</f>
        <v>http://ts.21cn.com/tousu/show/id/1331171</v>
      </c>
      <c r="F717" s="2" t="s">
        <v>11</v>
      </c>
      <c r="G717" s="2" t="s">
        <v>42745</v>
      </c>
      <c r="H717" s="2" t="s">
        <v>42746</v>
      </c>
    </row>
    <row r="718" spans="1:8" ht="25.05" customHeight="1" x14ac:dyDescent="0.25">
      <c r="A718" s="2" t="s">
        <v>8</v>
      </c>
      <c r="B718" s="2" t="str">
        <f>HYPERLINK("http://ts.21cn.com/tousu/show/id/1331172","网贷，高炮平台，")</f>
        <v>网贷，高炮平台，</v>
      </c>
      <c r="C718" s="2" t="s">
        <v>34</v>
      </c>
      <c r="D718" s="2" t="s">
        <v>10</v>
      </c>
      <c r="E718" s="2" t="str">
        <f>HYPERLINK("http://ts.21cn.com/tousu/show/id/1331172","http://ts.21cn.com/tousu/show/id/1331172")</f>
        <v>http://ts.21cn.com/tousu/show/id/1331172</v>
      </c>
      <c r="F718" s="2" t="s">
        <v>11</v>
      </c>
      <c r="G718" s="2" t="s">
        <v>42743</v>
      </c>
      <c r="H718" s="2" t="s">
        <v>42744</v>
      </c>
    </row>
    <row r="719" spans="1:8" ht="25.05" customHeight="1" x14ac:dyDescent="0.25">
      <c r="A719" s="2" t="s">
        <v>8</v>
      </c>
      <c r="B719" s="2" t="str">
        <f>HYPERLINK("http://ts.21cn.com/tousu/show/id/1331174","无缘无故卡被锁了")</f>
        <v>无缘无故卡被锁了</v>
      </c>
      <c r="C719" s="2" t="s">
        <v>34</v>
      </c>
      <c r="D719" s="2" t="s">
        <v>10</v>
      </c>
      <c r="E719" s="2" t="str">
        <f>HYPERLINK("http://ts.21cn.com/tousu/show/id/1331174","http://ts.21cn.com/tousu/show/id/1331174")</f>
        <v>http://ts.21cn.com/tousu/show/id/1331174</v>
      </c>
      <c r="F719" s="2" t="s">
        <v>11</v>
      </c>
      <c r="G719" s="2" t="s">
        <v>42741</v>
      </c>
      <c r="H719" s="2" t="s">
        <v>42742</v>
      </c>
    </row>
    <row r="720" spans="1:8" ht="25.05" customHeight="1" x14ac:dyDescent="0.25">
      <c r="A720" s="2" t="s">
        <v>8</v>
      </c>
      <c r="B720" s="2" t="str">
        <f>HYPERLINK("http://ts.21cn.com/tousu/show/id/1331175","好易借，砍头息，阴阳合同")</f>
        <v>好易借，砍头息，阴阳合同</v>
      </c>
      <c r="C720" s="2" t="s">
        <v>9</v>
      </c>
      <c r="D720" s="2" t="s">
        <v>10</v>
      </c>
      <c r="E720" s="2" t="str">
        <f>HYPERLINK("http://ts.21cn.com/tousu/show/id/1331175","http://ts.21cn.com/tousu/show/id/1331175")</f>
        <v>http://ts.21cn.com/tousu/show/id/1331175</v>
      </c>
      <c r="F720" s="2" t="s">
        <v>11</v>
      </c>
      <c r="G720" s="2" t="s">
        <v>42738</v>
      </c>
      <c r="H720" s="2" t="s">
        <v>42739</v>
      </c>
    </row>
    <row r="721" spans="1:8" ht="25.05" customHeight="1" x14ac:dyDescent="0.25">
      <c r="A721" s="2" t="s">
        <v>8</v>
      </c>
      <c r="B721" s="2" t="str">
        <f>HYPERLINK("http://ts.21cn.com/tousu/show/id/1331173","回国航班提前7小时起飞，携程没有将消息触达我且app没有及时更改信息，导致我重新买机票损失6556元人民币")</f>
        <v>回国航班提前7小时起飞，携程没有将消息触达我且app没有及时更改信息，导致我重新买机票损失6556元人民币</v>
      </c>
      <c r="C721" s="2" t="s">
        <v>9</v>
      </c>
      <c r="D721" s="2" t="s">
        <v>10</v>
      </c>
      <c r="E721" s="2" t="str">
        <f>HYPERLINK("http://ts.21cn.com/tousu/show/id/1331173","http://ts.21cn.com/tousu/show/id/1331173")</f>
        <v>http://ts.21cn.com/tousu/show/id/1331173</v>
      </c>
      <c r="F721" s="2" t="s">
        <v>11</v>
      </c>
      <c r="G721" s="2" t="s">
        <v>42738</v>
      </c>
      <c r="H721" s="2" t="s">
        <v>42740</v>
      </c>
    </row>
    <row r="722" spans="1:8" ht="25.05" customHeight="1" x14ac:dyDescent="0.25">
      <c r="A722" s="2" t="s">
        <v>8</v>
      </c>
      <c r="B722" s="2" t="str">
        <f>HYPERLINK("http://ts.21cn.com/tousu/show/id/1331178","淘集集商家卖次品中的次品")</f>
        <v>淘集集商家卖次品中的次品</v>
      </c>
      <c r="C722" s="2" t="s">
        <v>9</v>
      </c>
      <c r="D722" s="2" t="s">
        <v>10</v>
      </c>
      <c r="E722" s="2" t="str">
        <f>HYPERLINK("http://ts.21cn.com/tousu/show/id/1331178","http://ts.21cn.com/tousu/show/id/1331178")</f>
        <v>http://ts.21cn.com/tousu/show/id/1331178</v>
      </c>
      <c r="F722" s="2" t="s">
        <v>11</v>
      </c>
      <c r="G722" s="2" t="s">
        <v>42736</v>
      </c>
      <c r="H722" s="2" t="s">
        <v>42737</v>
      </c>
    </row>
    <row r="723" spans="1:8" ht="25.05" customHeight="1" x14ac:dyDescent="0.25">
      <c r="A723" s="2" t="s">
        <v>8</v>
      </c>
      <c r="B723" s="2" t="str">
        <f>HYPERLINK("http://ts.21cn.com/tousu/show/id/1331177","工商银行虚假宣传ETC折扣，多次投诉均无处理")</f>
        <v>工商银行虚假宣传ETC折扣，多次投诉均无处理</v>
      </c>
      <c r="C723" s="2" t="s">
        <v>9</v>
      </c>
      <c r="D723" s="2" t="s">
        <v>10</v>
      </c>
      <c r="E723" s="2" t="str">
        <f>HYPERLINK("http://ts.21cn.com/tousu/show/id/1331177","http://ts.21cn.com/tousu/show/id/1331177")</f>
        <v>http://ts.21cn.com/tousu/show/id/1331177</v>
      </c>
      <c r="F723" s="2" t="s">
        <v>11</v>
      </c>
      <c r="G723" s="2" t="s">
        <v>42734</v>
      </c>
      <c r="H723" s="2" t="s">
        <v>42735</v>
      </c>
    </row>
    <row r="724" spans="1:8" ht="25.05" customHeight="1" x14ac:dyDescent="0.25">
      <c r="A724" s="2" t="s">
        <v>8</v>
      </c>
      <c r="B724" s="2" t="str">
        <f>HYPERLINK("http://ts.21cn.com/tousu/show/id/1331176","城信APP，提现不到账，客服没用任何回复且没有联系电话，")</f>
        <v>城信APP，提现不到账，客服没用任何回复且没有联系电话，</v>
      </c>
      <c r="C724" s="2" t="s">
        <v>34</v>
      </c>
      <c r="D724" s="2" t="s">
        <v>10</v>
      </c>
      <c r="E724" s="2" t="str">
        <f>HYPERLINK("http://ts.21cn.com/tousu/show/id/1331176","http://ts.21cn.com/tousu/show/id/1331176")</f>
        <v>http://ts.21cn.com/tousu/show/id/1331176</v>
      </c>
      <c r="F724" s="2" t="s">
        <v>11</v>
      </c>
      <c r="G724" s="2" t="s">
        <v>42732</v>
      </c>
      <c r="H724" s="2" t="s">
        <v>42733</v>
      </c>
    </row>
    <row r="725" spans="1:8" ht="25.05" customHeight="1" x14ac:dyDescent="0.25">
      <c r="A725" s="2" t="s">
        <v>8</v>
      </c>
      <c r="B725" s="2" t="str">
        <f>HYPERLINK("http://ts.21cn.com/tousu/show/id/1331179","招商信用卡高利贷暴力催收，额度5000元，都已经还了几千元了，现在又叫我处理3814元。")</f>
        <v>招商信用卡高利贷暴力催收，额度5000元，都已经还了几千元了，现在又叫我处理3814元。</v>
      </c>
      <c r="C725" s="2" t="s">
        <v>9</v>
      </c>
      <c r="D725" s="2" t="s">
        <v>10</v>
      </c>
      <c r="E725" s="2" t="str">
        <f>HYPERLINK("http://ts.21cn.com/tousu/show/id/1331179","http://ts.21cn.com/tousu/show/id/1331179")</f>
        <v>http://ts.21cn.com/tousu/show/id/1331179</v>
      </c>
      <c r="F725" s="2" t="s">
        <v>11</v>
      </c>
      <c r="G725" s="2" t="s">
        <v>42730</v>
      </c>
      <c r="H725" s="2" t="s">
        <v>42731</v>
      </c>
    </row>
    <row r="726" spans="1:8" ht="25.05" customHeight="1" x14ac:dyDescent="0.25">
      <c r="A726" s="2" t="s">
        <v>8</v>
      </c>
      <c r="B726" s="2" t="str">
        <f>HYPERLINK("http://ts.21cn.com/tousu/show/id/1331180","玖富万卡提前还款收费高")</f>
        <v>玖富万卡提前还款收费高</v>
      </c>
      <c r="C726" s="2" t="s">
        <v>9</v>
      </c>
      <c r="D726" s="2" t="s">
        <v>10</v>
      </c>
      <c r="E726" s="2" t="str">
        <f>HYPERLINK("http://ts.21cn.com/tousu/show/id/1331180","http://ts.21cn.com/tousu/show/id/1331180")</f>
        <v>http://ts.21cn.com/tousu/show/id/1331180</v>
      </c>
      <c r="F726" s="2" t="s">
        <v>11</v>
      </c>
      <c r="G726" s="2" t="s">
        <v>42729</v>
      </c>
      <c r="H726" s="2" t="s">
        <v>38873</v>
      </c>
    </row>
    <row r="727" spans="1:8" ht="25.05" customHeight="1" x14ac:dyDescent="0.25">
      <c r="A727" s="2" t="s">
        <v>8</v>
      </c>
      <c r="B727" s="2" t="str">
        <f>HYPERLINK("http://ts.21cn.com/tousu/show/id/1331181","米多点高利贷")</f>
        <v>米多点高利贷</v>
      </c>
      <c r="C727" s="2" t="s">
        <v>9</v>
      </c>
      <c r="D727" s="2" t="s">
        <v>10</v>
      </c>
      <c r="E727" s="2" t="str">
        <f>HYPERLINK("http://ts.21cn.com/tousu/show/id/1331181","http://ts.21cn.com/tousu/show/id/1331181")</f>
        <v>http://ts.21cn.com/tousu/show/id/1331181</v>
      </c>
      <c r="F727" s="2" t="s">
        <v>11</v>
      </c>
      <c r="G727" s="2" t="s">
        <v>42727</v>
      </c>
      <c r="H727" s="2" t="s">
        <v>42728</v>
      </c>
    </row>
    <row r="728" spans="1:8" ht="25.05" customHeight="1" x14ac:dyDescent="0.25">
      <c r="A728" s="2" t="s">
        <v>8</v>
      </c>
      <c r="B728" s="2" t="str">
        <f>HYPERLINK("http://ts.21cn.com/tousu/show/id/1331182","恒丰银行银行ETC导致我征信记录多一张信用卡，要求消除记录")</f>
        <v>恒丰银行银行ETC导致我征信记录多一张信用卡，要求消除记录</v>
      </c>
      <c r="C728" s="2" t="s">
        <v>9</v>
      </c>
      <c r="D728" s="2" t="s">
        <v>10</v>
      </c>
      <c r="E728" s="2" t="str">
        <f>HYPERLINK("http://ts.21cn.com/tousu/show/id/1331182","http://ts.21cn.com/tousu/show/id/1331182")</f>
        <v>http://ts.21cn.com/tousu/show/id/1331182</v>
      </c>
      <c r="F728" s="2" t="s">
        <v>11</v>
      </c>
      <c r="G728" s="2" t="s">
        <v>42725</v>
      </c>
      <c r="H728" s="2" t="s">
        <v>42726</v>
      </c>
    </row>
    <row r="729" spans="1:8" ht="25.05" customHeight="1" x14ac:dyDescent="0.25">
      <c r="A729" s="2" t="s">
        <v>8</v>
      </c>
      <c r="B729" s="2" t="str">
        <f>HYPERLINK("http://ts.21cn.com/tousu/show/id/1331183","中国移动扣费")</f>
        <v>中国移动扣费</v>
      </c>
      <c r="C729" s="2" t="s">
        <v>9</v>
      </c>
      <c r="D729" s="2" t="s">
        <v>10</v>
      </c>
      <c r="E729" s="2" t="str">
        <f>HYPERLINK("http://ts.21cn.com/tousu/show/id/1331183","http://ts.21cn.com/tousu/show/id/1331183")</f>
        <v>http://ts.21cn.com/tousu/show/id/1331183</v>
      </c>
      <c r="F729" s="2" t="s">
        <v>11</v>
      </c>
      <c r="G729" s="2" t="s">
        <v>42723</v>
      </c>
      <c r="H729" s="2" t="s">
        <v>42724</v>
      </c>
    </row>
    <row r="730" spans="1:8" ht="25.05" customHeight="1" x14ac:dyDescent="0.25">
      <c r="A730" s="2" t="s">
        <v>8</v>
      </c>
      <c r="B730" s="2" t="str">
        <f>HYPERLINK("http://ts.21cn.com/tousu/show/id/1331184","贷上钱以买游戏豆为由收取高额贷款通过费")</f>
        <v>贷上钱以买游戏豆为由收取高额贷款通过费</v>
      </c>
      <c r="C730" s="2" t="s">
        <v>9</v>
      </c>
      <c r="D730" s="2" t="s">
        <v>10</v>
      </c>
      <c r="E730" s="2" t="str">
        <f>HYPERLINK("http://ts.21cn.com/tousu/show/id/1331184","http://ts.21cn.com/tousu/show/id/1331184")</f>
        <v>http://ts.21cn.com/tousu/show/id/1331184</v>
      </c>
      <c r="F730" s="2" t="s">
        <v>11</v>
      </c>
      <c r="G730" s="2" t="s">
        <v>42721</v>
      </c>
      <c r="H730" s="2" t="s">
        <v>42722</v>
      </c>
    </row>
    <row r="731" spans="1:8" ht="25.05" customHeight="1" x14ac:dyDescent="0.25">
      <c r="A731" s="2" t="s">
        <v>8</v>
      </c>
      <c r="B731" s="2" t="str">
        <f>HYPERLINK("http://ts.21cn.com/tousu/show/id/1331185","暴力催收  爆通讯录  恐吓我父母")</f>
        <v>暴力催收  爆通讯录  恐吓我父母</v>
      </c>
      <c r="C731" s="2" t="s">
        <v>9</v>
      </c>
      <c r="D731" s="2" t="s">
        <v>10</v>
      </c>
      <c r="E731" s="2" t="str">
        <f>HYPERLINK("http://ts.21cn.com/tousu/show/id/1331185","http://ts.21cn.com/tousu/show/id/1331185")</f>
        <v>http://ts.21cn.com/tousu/show/id/1331185</v>
      </c>
      <c r="F731" s="2" t="s">
        <v>11</v>
      </c>
      <c r="G731" s="2" t="s">
        <v>42719</v>
      </c>
      <c r="H731" s="2" t="s">
        <v>42720</v>
      </c>
    </row>
    <row r="732" spans="1:8" ht="25.05" customHeight="1" x14ac:dyDescent="0.25">
      <c r="A732" s="2" t="s">
        <v>8</v>
      </c>
      <c r="B732" s="2" t="str">
        <f>HYPERLINK("http://ts.21cn.com/tousu/show/id/1331187","御剑飞行高利贷，暴力催收")</f>
        <v>御剑飞行高利贷，暴力催收</v>
      </c>
      <c r="C732" s="2" t="s">
        <v>9</v>
      </c>
      <c r="D732" s="2" t="s">
        <v>10</v>
      </c>
      <c r="E732" s="2" t="str">
        <f>HYPERLINK("http://ts.21cn.com/tousu/show/id/1331187","http://ts.21cn.com/tousu/show/id/1331187")</f>
        <v>http://ts.21cn.com/tousu/show/id/1331187</v>
      </c>
      <c r="F732" s="2" t="s">
        <v>11</v>
      </c>
      <c r="G732" s="2" t="s">
        <v>42717</v>
      </c>
      <c r="H732" s="2" t="s">
        <v>42718</v>
      </c>
    </row>
    <row r="733" spans="1:8" ht="25.05" customHeight="1" x14ac:dyDescent="0.25">
      <c r="A733" s="2" t="s">
        <v>8</v>
      </c>
      <c r="B733" s="2" t="str">
        <f>HYPERLINK("http://ts.21cn.com/tousu/show/id/1331186","胡乱判责，胡乱扣费")</f>
        <v>胡乱判责，胡乱扣费</v>
      </c>
      <c r="C733" s="2" t="s">
        <v>9</v>
      </c>
      <c r="D733" s="2" t="s">
        <v>10</v>
      </c>
      <c r="E733" s="2" t="str">
        <f>HYPERLINK("http://ts.21cn.com/tousu/show/id/1331186","http://ts.21cn.com/tousu/show/id/1331186")</f>
        <v>http://ts.21cn.com/tousu/show/id/1331186</v>
      </c>
      <c r="F733" s="2" t="s">
        <v>11</v>
      </c>
      <c r="G733" s="2" t="s">
        <v>42715</v>
      </c>
      <c r="H733" s="2" t="s">
        <v>42716</v>
      </c>
    </row>
    <row r="734" spans="1:8" ht="25.05" customHeight="1" x14ac:dyDescent="0.25">
      <c r="A734" s="2" t="s">
        <v>8</v>
      </c>
      <c r="B734" s="2" t="str">
        <f>HYPERLINK("http://ts.21cn.com/tousu/show/id/1331188","聚美优品购面膜导致过敏不给解决售后")</f>
        <v>聚美优品购面膜导致过敏不给解决售后</v>
      </c>
      <c r="C734" s="2" t="s">
        <v>9</v>
      </c>
      <c r="D734" s="2" t="s">
        <v>10</v>
      </c>
      <c r="E734" s="2" t="str">
        <f>HYPERLINK("http://ts.21cn.com/tousu/show/id/1331188","http://ts.21cn.com/tousu/show/id/1331188")</f>
        <v>http://ts.21cn.com/tousu/show/id/1331188</v>
      </c>
      <c r="F734" s="2" t="s">
        <v>11</v>
      </c>
      <c r="G734" s="2" t="s">
        <v>42713</v>
      </c>
      <c r="H734" s="2" t="s">
        <v>42714</v>
      </c>
    </row>
    <row r="735" spans="1:8" ht="25.05" customHeight="1" x14ac:dyDescent="0.25">
      <c r="A735" s="2" t="s">
        <v>8</v>
      </c>
      <c r="B735" s="2" t="str">
        <f>HYPERLINK("http://ts.21cn.com/tousu/show/id/1331189","智享贷高利贷砍头息")</f>
        <v>智享贷高利贷砍头息</v>
      </c>
      <c r="C735" s="2" t="s">
        <v>9</v>
      </c>
      <c r="D735" s="2" t="s">
        <v>10</v>
      </c>
      <c r="E735" s="2" t="str">
        <f>HYPERLINK("http://ts.21cn.com/tousu/show/id/1331189","http://ts.21cn.com/tousu/show/id/1331189")</f>
        <v>http://ts.21cn.com/tousu/show/id/1331189</v>
      </c>
      <c r="F735" s="2" t="s">
        <v>11</v>
      </c>
      <c r="G735" s="2" t="s">
        <v>42711</v>
      </c>
      <c r="H735" s="2" t="s">
        <v>42712</v>
      </c>
    </row>
    <row r="736" spans="1:8" ht="25.05" customHeight="1" x14ac:dyDescent="0.25">
      <c r="A736" s="2" t="s">
        <v>8</v>
      </c>
      <c r="B736" s="2" t="str">
        <f>HYPERLINK("http://ts.21cn.com/tousu/show/id/1331190","卡片被冻结")</f>
        <v>卡片被冻结</v>
      </c>
      <c r="C736" s="2" t="s">
        <v>9</v>
      </c>
      <c r="D736" s="2" t="s">
        <v>10</v>
      </c>
      <c r="E736" s="2" t="str">
        <f>HYPERLINK("http://ts.21cn.com/tousu/show/id/1331190","http://ts.21cn.com/tousu/show/id/1331190")</f>
        <v>http://ts.21cn.com/tousu/show/id/1331190</v>
      </c>
      <c r="F736" s="2" t="s">
        <v>11</v>
      </c>
      <c r="G736" s="2" t="s">
        <v>42709</v>
      </c>
      <c r="H736" s="2" t="s">
        <v>42710</v>
      </c>
    </row>
    <row r="737" spans="1:8" ht="25.05" customHeight="1" x14ac:dyDescent="0.25">
      <c r="A737" s="2" t="s">
        <v>8</v>
      </c>
      <c r="B737" s="2" t="str">
        <f>HYPERLINK("http://ts.21cn.com/tousu/show/id/1331191","造艺科技恶意扣款")</f>
        <v>造艺科技恶意扣款</v>
      </c>
      <c r="C737" s="2" t="s">
        <v>9</v>
      </c>
      <c r="D737" s="2" t="s">
        <v>10</v>
      </c>
      <c r="E737" s="2" t="str">
        <f>HYPERLINK("http://ts.21cn.com/tousu/show/id/1331191","http://ts.21cn.com/tousu/show/id/1331191")</f>
        <v>http://ts.21cn.com/tousu/show/id/1331191</v>
      </c>
      <c r="F737" s="2" t="s">
        <v>11</v>
      </c>
      <c r="G737" s="2" t="s">
        <v>42707</v>
      </c>
      <c r="H737" s="2" t="s">
        <v>42708</v>
      </c>
    </row>
    <row r="738" spans="1:8" ht="25.05" customHeight="1" x14ac:dyDescent="0.25">
      <c r="A738" s="2" t="s">
        <v>8</v>
      </c>
      <c r="B738" s="2" t="str">
        <f>HYPERLINK("http://ts.21cn.com/tousu/show/id/1331193","冒充公检法人员")</f>
        <v>冒充公检法人员</v>
      </c>
      <c r="C738" s="2" t="s">
        <v>9</v>
      </c>
      <c r="D738" s="2" t="s">
        <v>10</v>
      </c>
      <c r="E738" s="2" t="str">
        <f>HYPERLINK("http://ts.21cn.com/tousu/show/id/1331193","http://ts.21cn.com/tousu/show/id/1331193")</f>
        <v>http://ts.21cn.com/tousu/show/id/1331193</v>
      </c>
      <c r="F738" s="2" t="s">
        <v>11</v>
      </c>
      <c r="G738" s="2" t="s">
        <v>42705</v>
      </c>
      <c r="H738" s="2" t="s">
        <v>42706</v>
      </c>
    </row>
    <row r="739" spans="1:8" ht="25.05" customHeight="1" x14ac:dyDescent="0.25">
      <c r="A739" s="2" t="s">
        <v>8</v>
      </c>
      <c r="B739" s="2" t="str">
        <f>HYPERLINK("http://ts.21cn.com/tousu/show/id/1331194","小花暴力催收")</f>
        <v>小花暴力催收</v>
      </c>
      <c r="C739" s="2" t="s">
        <v>9</v>
      </c>
      <c r="D739" s="2" t="s">
        <v>10</v>
      </c>
      <c r="E739" s="2" t="str">
        <f>HYPERLINK("http://ts.21cn.com/tousu/show/id/1331194","http://ts.21cn.com/tousu/show/id/1331194")</f>
        <v>http://ts.21cn.com/tousu/show/id/1331194</v>
      </c>
      <c r="F739" s="2" t="s">
        <v>11</v>
      </c>
      <c r="G739" s="2" t="s">
        <v>42703</v>
      </c>
      <c r="H739" s="2" t="s">
        <v>42704</v>
      </c>
    </row>
    <row r="740" spans="1:8" ht="25.05" customHeight="1" x14ac:dyDescent="0.25">
      <c r="A740" s="2" t="s">
        <v>8</v>
      </c>
      <c r="B740" s="2" t="str">
        <f>HYPERLINK("http://ts.21cn.com/tousu/show/id/1331195","滴滴预约单取消判责不合理，滴滴客服欺骗车主")</f>
        <v>滴滴预约单取消判责不合理，滴滴客服欺骗车主</v>
      </c>
      <c r="C740" s="2" t="s">
        <v>9</v>
      </c>
      <c r="D740" s="2" t="s">
        <v>10</v>
      </c>
      <c r="E740" s="2" t="str">
        <f>HYPERLINK("http://ts.21cn.com/tousu/show/id/1331195","http://ts.21cn.com/tousu/show/id/1331195")</f>
        <v>http://ts.21cn.com/tousu/show/id/1331195</v>
      </c>
      <c r="F740" s="2" t="s">
        <v>11</v>
      </c>
      <c r="G740" s="2" t="s">
        <v>42701</v>
      </c>
      <c r="H740" s="2" t="s">
        <v>42702</v>
      </c>
    </row>
    <row r="741" spans="1:8" ht="25.05" customHeight="1" x14ac:dyDescent="0.25">
      <c r="A741" s="2" t="s">
        <v>8</v>
      </c>
      <c r="B741" s="2" t="str">
        <f>HYPERLINK("http://ts.21cn.com/tousu/show/id/1331196","贵阳机场星河航空联盟虚假宣传")</f>
        <v>贵阳机场星河航空联盟虚假宣传</v>
      </c>
      <c r="C741" s="2" t="s">
        <v>9</v>
      </c>
      <c r="D741" s="2" t="s">
        <v>10</v>
      </c>
      <c r="E741" s="2" t="str">
        <f>HYPERLINK("http://ts.21cn.com/tousu/show/id/1331196","http://ts.21cn.com/tousu/show/id/1331196")</f>
        <v>http://ts.21cn.com/tousu/show/id/1331196</v>
      </c>
      <c r="F741" s="2" t="s">
        <v>11</v>
      </c>
      <c r="G741" s="2" t="s">
        <v>42699</v>
      </c>
      <c r="H741" s="2" t="s">
        <v>42700</v>
      </c>
    </row>
    <row r="742" spans="1:8" ht="25.05" customHeight="1" x14ac:dyDescent="0.25">
      <c r="A742" s="2" t="s">
        <v>8</v>
      </c>
      <c r="B742" s="2" t="str">
        <f>HYPERLINK("http://ts.21cn.com/tousu/show/id/1331197","借款5千，一个月后要还6400元.")</f>
        <v>借款5千，一个月后要还6400元.</v>
      </c>
      <c r="C742" s="2" t="s">
        <v>9</v>
      </c>
      <c r="D742" s="2" t="s">
        <v>10</v>
      </c>
      <c r="E742" s="2" t="str">
        <f>HYPERLINK("http://ts.21cn.com/tousu/show/id/1331197","http://ts.21cn.com/tousu/show/id/1331197")</f>
        <v>http://ts.21cn.com/tousu/show/id/1331197</v>
      </c>
      <c r="F742" s="2" t="s">
        <v>11</v>
      </c>
      <c r="G742" s="2" t="s">
        <v>42697</v>
      </c>
      <c r="H742" s="2" t="s">
        <v>42698</v>
      </c>
    </row>
    <row r="743" spans="1:8" ht="25.05" customHeight="1" x14ac:dyDescent="0.25">
      <c r="A743" s="2" t="s">
        <v>8</v>
      </c>
      <c r="B743" s="2" t="str">
        <f>HYPERLINK("http://ts.21cn.com/tousu/show/id/1331198","虚假平台")</f>
        <v>虚假平台</v>
      </c>
      <c r="C743" s="2" t="s">
        <v>9</v>
      </c>
      <c r="D743" s="2" t="s">
        <v>10</v>
      </c>
      <c r="E743" s="2" t="str">
        <f>HYPERLINK("http://ts.21cn.com/tousu/show/id/1331198","http://ts.21cn.com/tousu/show/id/1331198")</f>
        <v>http://ts.21cn.com/tousu/show/id/1331198</v>
      </c>
      <c r="F743" s="2" t="s">
        <v>11</v>
      </c>
      <c r="G743" s="2" t="s">
        <v>42695</v>
      </c>
      <c r="H743" s="2" t="s">
        <v>42696</v>
      </c>
    </row>
    <row r="744" spans="1:8" ht="25.05" customHeight="1" x14ac:dyDescent="0.25">
      <c r="A744" s="2" t="s">
        <v>8</v>
      </c>
      <c r="B744" s="2" t="str">
        <f>HYPERLINK("http://ts.21cn.com/tousu/show/id/1331154","福利到手，714高炮，9/1号借款，9/5号还款，借4000，实际到账2480。国庆当天遭受恐吓，暴力催收，请严查严惩")</f>
        <v>福利到手，714高炮，9/1号借款，9/5号还款，借4000，实际到账2480。国庆当天遭受恐吓，暴力催收，请严查严惩</v>
      </c>
      <c r="C744" s="2" t="s">
        <v>9</v>
      </c>
      <c r="D744" s="2" t="s">
        <v>10</v>
      </c>
      <c r="E744" s="2" t="str">
        <f>HYPERLINK("http://ts.21cn.com/tousu/show/id/1331154","http://ts.21cn.com/tousu/show/id/1331154")</f>
        <v>http://ts.21cn.com/tousu/show/id/1331154</v>
      </c>
      <c r="F744" s="2" t="s">
        <v>11</v>
      </c>
      <c r="G744" s="2" t="s">
        <v>42693</v>
      </c>
      <c r="H744" s="2" t="s">
        <v>42694</v>
      </c>
    </row>
    <row r="745" spans="1:8" ht="25.05" customHeight="1" x14ac:dyDescent="0.25">
      <c r="A745" s="2" t="s">
        <v>8</v>
      </c>
      <c r="B745" s="2" t="str">
        <f>HYPERLINK("http://ts.21cn.com/tousu/show/id/1331199","光大银行信用卡不予减免滞纳金")</f>
        <v>光大银行信用卡不予减免滞纳金</v>
      </c>
      <c r="C745" s="2" t="s">
        <v>9</v>
      </c>
      <c r="D745" s="2" t="s">
        <v>10</v>
      </c>
      <c r="E745" s="2" t="str">
        <f>HYPERLINK("http://ts.21cn.com/tousu/show/id/1331199","http://ts.21cn.com/tousu/show/id/1331199")</f>
        <v>http://ts.21cn.com/tousu/show/id/1331199</v>
      </c>
      <c r="F745" s="2" t="s">
        <v>11</v>
      </c>
      <c r="G745" s="2" t="s">
        <v>42691</v>
      </c>
      <c r="H745" s="2" t="s">
        <v>42692</v>
      </c>
    </row>
    <row r="746" spans="1:8" ht="25.05" customHeight="1" x14ac:dyDescent="0.25">
      <c r="A746" s="2" t="s">
        <v>8</v>
      </c>
      <c r="B746" s="2" t="str">
        <f>HYPERLINK("http://ts.21cn.com/tousu/show/id/1331200","闪银不同意延期")</f>
        <v>闪银不同意延期</v>
      </c>
      <c r="C746" s="2" t="s">
        <v>34</v>
      </c>
      <c r="D746" s="2" t="s">
        <v>10</v>
      </c>
      <c r="E746" s="2" t="str">
        <f>HYPERLINK("http://ts.21cn.com/tousu/show/id/1331200","http://ts.21cn.com/tousu/show/id/1331200")</f>
        <v>http://ts.21cn.com/tousu/show/id/1331200</v>
      </c>
      <c r="F746" s="2" t="s">
        <v>11</v>
      </c>
      <c r="G746" s="2" t="s">
        <v>42689</v>
      </c>
      <c r="H746" s="2" t="s">
        <v>42690</v>
      </c>
    </row>
    <row r="747" spans="1:8" ht="25.05" customHeight="1" x14ac:dyDescent="0.25">
      <c r="A747" s="2" t="s">
        <v>8</v>
      </c>
      <c r="B747" s="2" t="str">
        <f>HYPERLINK("http://ts.21cn.com/tousu/show/id/1331201","小当家有砍头息，9月30日故意关闭APP是用户逾期无法还款")</f>
        <v>小当家有砍头息，9月30日故意关闭APP是用户逾期无法还款</v>
      </c>
      <c r="C747" s="2" t="s">
        <v>34</v>
      </c>
      <c r="D747" s="2" t="s">
        <v>10</v>
      </c>
      <c r="E747" s="2" t="str">
        <f>HYPERLINK("http://ts.21cn.com/tousu/show/id/1331201","http://ts.21cn.com/tousu/show/id/1331201")</f>
        <v>http://ts.21cn.com/tousu/show/id/1331201</v>
      </c>
      <c r="F747" s="2" t="s">
        <v>11</v>
      </c>
      <c r="G747" s="2" t="s">
        <v>42687</v>
      </c>
      <c r="H747" s="2" t="s">
        <v>42688</v>
      </c>
    </row>
    <row r="748" spans="1:8" ht="25.05" customHeight="1" x14ac:dyDescent="0.25">
      <c r="A748" s="2" t="s">
        <v>8</v>
      </c>
      <c r="B748" s="2" t="str">
        <f>HYPERLINK("http://ts.21cn.com/tousu/show/id/1331202","支付宝自动扣费购买office365家庭版")</f>
        <v>支付宝自动扣费购买office365家庭版</v>
      </c>
      <c r="C748" s="2" t="s">
        <v>34</v>
      </c>
      <c r="D748" s="2" t="s">
        <v>10</v>
      </c>
      <c r="E748" s="2" t="str">
        <f>HYPERLINK("http://ts.21cn.com/tousu/show/id/1331202","http://ts.21cn.com/tousu/show/id/1331202")</f>
        <v>http://ts.21cn.com/tousu/show/id/1331202</v>
      </c>
      <c r="F748" s="2" t="s">
        <v>11</v>
      </c>
      <c r="G748" s="2" t="s">
        <v>42685</v>
      </c>
      <c r="H748" s="2" t="s">
        <v>42686</v>
      </c>
    </row>
    <row r="749" spans="1:8" ht="25.05" customHeight="1" x14ac:dyDescent="0.25">
      <c r="A749" s="2" t="s">
        <v>8</v>
      </c>
      <c r="B749" s="2" t="str">
        <f>HYPERLINK("http://ts.21cn.com/tousu/show/id/1331203","我遭遇宜信暴力催收，甚至打我单位固定电话，甚至辱骂别人！")</f>
        <v>我遭遇宜信暴力催收，甚至打我单位固定电话，甚至辱骂别人！</v>
      </c>
      <c r="C749" s="2" t="s">
        <v>9</v>
      </c>
      <c r="D749" s="2" t="s">
        <v>10</v>
      </c>
      <c r="E749" s="2" t="str">
        <f>HYPERLINK("http://ts.21cn.com/tousu/show/id/1331203","http://ts.21cn.com/tousu/show/id/1331203")</f>
        <v>http://ts.21cn.com/tousu/show/id/1331203</v>
      </c>
      <c r="F749" s="2" t="s">
        <v>11</v>
      </c>
      <c r="G749" s="2" t="s">
        <v>42683</v>
      </c>
      <c r="H749" s="2" t="s">
        <v>42684</v>
      </c>
    </row>
    <row r="750" spans="1:8" ht="25.05" customHeight="1" x14ac:dyDescent="0.25">
      <c r="A750" s="2" t="s">
        <v>8</v>
      </c>
      <c r="B750" s="2" t="str">
        <f>HYPERLINK("http://ts.21cn.com/tousu/show/id/1331204","预约滴滴迟到20分钟导致火车无法赶到")</f>
        <v>预约滴滴迟到20分钟导致火车无法赶到</v>
      </c>
      <c r="C750" s="2" t="s">
        <v>9</v>
      </c>
      <c r="D750" s="2" t="s">
        <v>10</v>
      </c>
      <c r="E750" s="2" t="str">
        <f>HYPERLINK("http://ts.21cn.com/tousu/show/id/1331204","http://ts.21cn.com/tousu/show/id/1331204")</f>
        <v>http://ts.21cn.com/tousu/show/id/1331204</v>
      </c>
      <c r="F750" s="2" t="s">
        <v>11</v>
      </c>
      <c r="G750" s="2" t="s">
        <v>42681</v>
      </c>
      <c r="H750" s="2" t="s">
        <v>42682</v>
      </c>
    </row>
    <row r="751" spans="1:8" ht="25.05" customHeight="1" x14ac:dyDescent="0.25">
      <c r="A751" s="2" t="s">
        <v>8</v>
      </c>
      <c r="B751" s="2" t="str">
        <f>HYPERLINK("http://ts.21cn.com/tousu/show/id/1331205","钱站高利贷阴阳合同")</f>
        <v>钱站高利贷阴阳合同</v>
      </c>
      <c r="C751" s="2" t="s">
        <v>9</v>
      </c>
      <c r="D751" s="2" t="s">
        <v>10</v>
      </c>
      <c r="E751" s="2" t="str">
        <f>HYPERLINK("http://ts.21cn.com/tousu/show/id/1331205","http://ts.21cn.com/tousu/show/id/1331205")</f>
        <v>http://ts.21cn.com/tousu/show/id/1331205</v>
      </c>
      <c r="F751" s="2" t="s">
        <v>11</v>
      </c>
      <c r="G751" s="2" t="s">
        <v>42679</v>
      </c>
      <c r="H751" s="2" t="s">
        <v>42680</v>
      </c>
    </row>
    <row r="752" spans="1:8" ht="25.05" customHeight="1" x14ac:dyDescent="0.25">
      <c r="A752" s="2" t="s">
        <v>8</v>
      </c>
      <c r="B752" s="2" t="str">
        <f>HYPERLINK("http://ts.21cn.com/tousu/show/id/1331207","你我贷高利贷")</f>
        <v>你我贷高利贷</v>
      </c>
      <c r="C752" s="2" t="s">
        <v>9</v>
      </c>
      <c r="D752" s="2" t="s">
        <v>10</v>
      </c>
      <c r="E752" s="2" t="str">
        <f>HYPERLINK("http://ts.21cn.com/tousu/show/id/1331207","http://ts.21cn.com/tousu/show/id/1331207")</f>
        <v>http://ts.21cn.com/tousu/show/id/1331207</v>
      </c>
      <c r="F752" s="2" t="s">
        <v>11</v>
      </c>
      <c r="G752" s="2" t="s">
        <v>42677</v>
      </c>
      <c r="H752" s="2" t="s">
        <v>42678</v>
      </c>
    </row>
    <row r="753" spans="1:8" ht="25.05" customHeight="1" x14ac:dyDescent="0.25">
      <c r="A753" s="2" t="s">
        <v>8</v>
      </c>
      <c r="B753" s="2" t="str">
        <f>HYPERLINK("http://ts.21cn.com/tousu/show/id/1331206","疯狂催收我和我的家人朋友和工作客户")</f>
        <v>疯狂催收我和我的家人朋友和工作客户</v>
      </c>
      <c r="C753" s="2" t="s">
        <v>9</v>
      </c>
      <c r="D753" s="2" t="s">
        <v>10</v>
      </c>
      <c r="E753" s="2" t="str">
        <f>HYPERLINK("http://ts.21cn.com/tousu/show/id/1331206","http://ts.21cn.com/tousu/show/id/1331206")</f>
        <v>http://ts.21cn.com/tousu/show/id/1331206</v>
      </c>
      <c r="F753" s="2" t="s">
        <v>11</v>
      </c>
      <c r="G753" s="2" t="s">
        <v>42675</v>
      </c>
      <c r="H753" s="2" t="s">
        <v>42676</v>
      </c>
    </row>
    <row r="754" spans="1:8" ht="25.05" customHeight="1" x14ac:dyDescent="0.25">
      <c r="A754" s="2" t="s">
        <v>8</v>
      </c>
      <c r="B754" s="2" t="str">
        <f>HYPERLINK("http://ts.21cn.com/tousu/show/id/1331208","中信信用卡，额度16000元，降到14000元，每个月都有还款，现在又变13800元，真是太黑了。")</f>
        <v>中信信用卡，额度16000元，降到14000元，每个月都有还款，现在又变13800元，真是太黑了。</v>
      </c>
      <c r="C754" s="2" t="s">
        <v>9</v>
      </c>
      <c r="D754" s="2" t="s">
        <v>10</v>
      </c>
      <c r="E754" s="2" t="str">
        <f>HYPERLINK("http://ts.21cn.com/tousu/show/id/1331208","http://ts.21cn.com/tousu/show/id/1331208")</f>
        <v>http://ts.21cn.com/tousu/show/id/1331208</v>
      </c>
      <c r="F754" s="2" t="s">
        <v>11</v>
      </c>
      <c r="G754" s="2" t="s">
        <v>42673</v>
      </c>
      <c r="H754" s="2" t="s">
        <v>42674</v>
      </c>
    </row>
    <row r="755" spans="1:8" ht="25.05" customHeight="1" x14ac:dyDescent="0.25">
      <c r="A755" s="2" t="s">
        <v>8</v>
      </c>
      <c r="B755" s="2" t="str">
        <f>HYPERLINK("http://ts.21cn.com/tousu/show/id/1331210","高利贷")</f>
        <v>高利贷</v>
      </c>
      <c r="C755" s="2" t="s">
        <v>9</v>
      </c>
      <c r="D755" s="2" t="s">
        <v>10</v>
      </c>
      <c r="E755" s="2" t="str">
        <f>HYPERLINK("http://ts.21cn.com/tousu/show/id/1331210","http://ts.21cn.com/tousu/show/id/1331210")</f>
        <v>http://ts.21cn.com/tousu/show/id/1331210</v>
      </c>
      <c r="F755" s="2" t="s">
        <v>11</v>
      </c>
      <c r="G755" s="2" t="s">
        <v>42671</v>
      </c>
      <c r="H755" s="2" t="s">
        <v>42672</v>
      </c>
    </row>
    <row r="756" spans="1:8" ht="25.05" customHeight="1" x14ac:dyDescent="0.25">
      <c r="A756" s="2" t="s">
        <v>8</v>
      </c>
      <c r="B756" s="2" t="str">
        <f>HYPERLINK("http://ts.21cn.com/tousu/show/id/1331211","多宝分期不合理高利贷")</f>
        <v>多宝分期不合理高利贷</v>
      </c>
      <c r="C756" s="2" t="s">
        <v>9</v>
      </c>
      <c r="D756" s="2" t="s">
        <v>10</v>
      </c>
      <c r="E756" s="2" t="str">
        <f>HYPERLINK("http://ts.21cn.com/tousu/show/id/1331211","http://ts.21cn.com/tousu/show/id/1331211")</f>
        <v>http://ts.21cn.com/tousu/show/id/1331211</v>
      </c>
      <c r="F756" s="2" t="s">
        <v>11</v>
      </c>
      <c r="G756" s="2" t="s">
        <v>42669</v>
      </c>
      <c r="H756" s="2" t="s">
        <v>42670</v>
      </c>
    </row>
    <row r="757" spans="1:8" ht="25.05" customHeight="1" x14ac:dyDescent="0.25">
      <c r="A757" s="2" t="s">
        <v>8</v>
      </c>
      <c r="B757" s="2" t="str">
        <f>HYPERLINK("http://ts.21cn.com/tousu/show/id/1331212","捷信公司高利贷")</f>
        <v>捷信公司高利贷</v>
      </c>
      <c r="C757" s="2" t="s">
        <v>9</v>
      </c>
      <c r="D757" s="2" t="s">
        <v>10</v>
      </c>
      <c r="E757" s="2" t="str">
        <f>HYPERLINK("http://ts.21cn.com/tousu/show/id/1331212","http://ts.21cn.com/tousu/show/id/1331212")</f>
        <v>http://ts.21cn.com/tousu/show/id/1331212</v>
      </c>
      <c r="F757" s="2" t="s">
        <v>11</v>
      </c>
      <c r="G757" s="2" t="s">
        <v>42667</v>
      </c>
      <c r="H757" s="2" t="s">
        <v>42668</v>
      </c>
    </row>
    <row r="758" spans="1:8" ht="25.05" customHeight="1" x14ac:dyDescent="0.25">
      <c r="A758" s="2" t="s">
        <v>8</v>
      </c>
      <c r="B758" s="2" t="str">
        <f>HYPERLINK("http://ts.21cn.com/tousu/show/id/1331213","韵达快递丢件")</f>
        <v>韵达快递丢件</v>
      </c>
      <c r="C758" s="2" t="s">
        <v>9</v>
      </c>
      <c r="D758" s="2" t="s">
        <v>10</v>
      </c>
      <c r="E758" s="2" t="str">
        <f>HYPERLINK("http://ts.21cn.com/tousu/show/id/1331213","http://ts.21cn.com/tousu/show/id/1331213")</f>
        <v>http://ts.21cn.com/tousu/show/id/1331213</v>
      </c>
      <c r="F758" s="2" t="s">
        <v>11</v>
      </c>
      <c r="G758" s="2" t="s">
        <v>42665</v>
      </c>
      <c r="H758" s="2" t="s">
        <v>42666</v>
      </c>
    </row>
    <row r="759" spans="1:8" ht="25.05" customHeight="1" x14ac:dyDescent="0.25">
      <c r="A759" s="2" t="s">
        <v>8</v>
      </c>
      <c r="B759" s="2" t="str">
        <f>HYPERLINK("http://ts.21cn.com/tousu/show/id/1331214","app打不开，高利贷")</f>
        <v>app打不开，高利贷</v>
      </c>
      <c r="C759" s="2" t="s">
        <v>9</v>
      </c>
      <c r="D759" s="2" t="s">
        <v>10</v>
      </c>
      <c r="E759" s="2" t="str">
        <f>HYPERLINK("http://ts.21cn.com/tousu/show/id/1331214","http://ts.21cn.com/tousu/show/id/1331214")</f>
        <v>http://ts.21cn.com/tousu/show/id/1331214</v>
      </c>
      <c r="F759" s="2" t="s">
        <v>11</v>
      </c>
      <c r="G759" s="2" t="s">
        <v>42663</v>
      </c>
      <c r="H759" s="2" t="s">
        <v>42664</v>
      </c>
    </row>
    <row r="760" spans="1:8" ht="25.05" customHeight="1" x14ac:dyDescent="0.25">
      <c r="A760" s="2" t="s">
        <v>8</v>
      </c>
      <c r="B760" s="2" t="str">
        <f>HYPERLINK("http://ts.21cn.com/tousu/show/id/1331216","爱又米骚扰家里人")</f>
        <v>爱又米骚扰家里人</v>
      </c>
      <c r="C760" s="2" t="s">
        <v>34</v>
      </c>
      <c r="D760" s="2" t="s">
        <v>10</v>
      </c>
      <c r="E760" s="2" t="str">
        <f>HYPERLINK("http://ts.21cn.com/tousu/show/id/1331216","http://ts.21cn.com/tousu/show/id/1331216")</f>
        <v>http://ts.21cn.com/tousu/show/id/1331216</v>
      </c>
      <c r="F760" s="2" t="s">
        <v>11</v>
      </c>
      <c r="G760" s="2" t="s">
        <v>42661</v>
      </c>
      <c r="H760" s="2" t="s">
        <v>42662</v>
      </c>
    </row>
    <row r="761" spans="1:8" ht="25.05" customHeight="1" x14ac:dyDescent="0.25">
      <c r="A761" s="2" t="s">
        <v>8</v>
      </c>
      <c r="B761" s="2" t="str">
        <f>HYPERLINK("http://ts.21cn.com/tousu/show/id/1331217","立借里的月月借收取砍头利息")</f>
        <v>立借里的月月借收取砍头利息</v>
      </c>
      <c r="C761" s="2" t="s">
        <v>34</v>
      </c>
      <c r="D761" s="2" t="s">
        <v>10</v>
      </c>
      <c r="E761" s="2" t="str">
        <f>HYPERLINK("http://ts.21cn.com/tousu/show/id/1331217","http://ts.21cn.com/tousu/show/id/1331217")</f>
        <v>http://ts.21cn.com/tousu/show/id/1331217</v>
      </c>
      <c r="F761" s="2" t="s">
        <v>11</v>
      </c>
      <c r="G761" s="2" t="s">
        <v>42659</v>
      </c>
      <c r="H761" s="2" t="s">
        <v>42660</v>
      </c>
    </row>
    <row r="762" spans="1:8" ht="25.05" customHeight="1" x14ac:dyDescent="0.25">
      <c r="A762" s="2" t="s">
        <v>8</v>
      </c>
      <c r="B762" s="2" t="str">
        <f>HYPERLINK("http://ts.21cn.com/tousu/show/id/1331219","淘宝领卷之后不让我下单")</f>
        <v>淘宝领卷之后不让我下单</v>
      </c>
      <c r="C762" s="2" t="s">
        <v>34</v>
      </c>
      <c r="D762" s="2" t="s">
        <v>10</v>
      </c>
      <c r="E762" s="2" t="str">
        <f>HYPERLINK("http://ts.21cn.com/tousu/show/id/1331219","http://ts.21cn.com/tousu/show/id/1331219")</f>
        <v>http://ts.21cn.com/tousu/show/id/1331219</v>
      </c>
      <c r="F762" s="2" t="s">
        <v>11</v>
      </c>
      <c r="G762" s="2" t="s">
        <v>42657</v>
      </c>
      <c r="H762" s="2" t="s">
        <v>42658</v>
      </c>
    </row>
    <row r="763" spans="1:8" ht="25.05" customHeight="1" x14ac:dyDescent="0.25">
      <c r="A763" s="2" t="s">
        <v>8</v>
      </c>
      <c r="B763" s="2" t="str">
        <f>HYPERLINK("http://ts.21cn.com/tousu/show/id/1331218","百事普惠恶意扣款")</f>
        <v>百事普惠恶意扣款</v>
      </c>
      <c r="C763" s="2" t="s">
        <v>9</v>
      </c>
      <c r="D763" s="2" t="s">
        <v>10</v>
      </c>
      <c r="E763" s="2" t="str">
        <f>HYPERLINK("http://ts.21cn.com/tousu/show/id/1331218","http://ts.21cn.com/tousu/show/id/1331218")</f>
        <v>http://ts.21cn.com/tousu/show/id/1331218</v>
      </c>
      <c r="F763" s="2" t="s">
        <v>11</v>
      </c>
      <c r="G763" s="2" t="s">
        <v>42655</v>
      </c>
      <c r="H763" s="2" t="s">
        <v>42656</v>
      </c>
    </row>
    <row r="764" spans="1:8" ht="25.05" customHeight="1" x14ac:dyDescent="0.25">
      <c r="A764" s="2" t="s">
        <v>8</v>
      </c>
      <c r="B764" s="2" t="str">
        <f>HYPERLINK("http://ts.21cn.com/tousu/show/id/1331220","钱站高利贷阴阳合同")</f>
        <v>钱站高利贷阴阳合同</v>
      </c>
      <c r="C764" s="2" t="s">
        <v>9</v>
      </c>
      <c r="D764" s="2" t="s">
        <v>10</v>
      </c>
      <c r="E764" s="2" t="str">
        <f>HYPERLINK("http://ts.21cn.com/tousu/show/id/1331220","http://ts.21cn.com/tousu/show/id/1331220")</f>
        <v>http://ts.21cn.com/tousu/show/id/1331220</v>
      </c>
      <c r="F764" s="2" t="s">
        <v>11</v>
      </c>
      <c r="G764" s="2" t="s">
        <v>42653</v>
      </c>
      <c r="H764" s="2" t="s">
        <v>42654</v>
      </c>
    </row>
    <row r="765" spans="1:8" ht="25.05" customHeight="1" x14ac:dyDescent="0.25">
      <c r="A765" s="2" t="s">
        <v>8</v>
      </c>
      <c r="B765" s="2" t="str">
        <f>HYPERLINK("http://ts.21cn.com/tousu/show/id/1331222","华夏银行帮钱站放高利贷，借款3800，到期还款6000多")</f>
        <v>华夏银行帮钱站放高利贷，借款3800，到期还款6000多</v>
      </c>
      <c r="C765" s="2" t="s">
        <v>9</v>
      </c>
      <c r="D765" s="2" t="s">
        <v>10</v>
      </c>
      <c r="E765" s="2" t="str">
        <f>HYPERLINK("http://ts.21cn.com/tousu/show/id/1331222","http://ts.21cn.com/tousu/show/id/1331222")</f>
        <v>http://ts.21cn.com/tousu/show/id/1331222</v>
      </c>
      <c r="F765" s="2" t="s">
        <v>11</v>
      </c>
      <c r="G765" s="2" t="s">
        <v>42651</v>
      </c>
      <c r="H765" s="2" t="s">
        <v>42652</v>
      </c>
    </row>
    <row r="766" spans="1:8" ht="25.05" customHeight="1" x14ac:dyDescent="0.25">
      <c r="A766" s="2" t="s">
        <v>8</v>
      </c>
      <c r="B766" s="2" t="str">
        <f>HYPERLINK("http://ts.21cn.com/tousu/show/id/1331223","高铁管家不退钱")</f>
        <v>高铁管家不退钱</v>
      </c>
      <c r="C766" s="2" t="s">
        <v>9</v>
      </c>
      <c r="D766" s="2" t="s">
        <v>10</v>
      </c>
      <c r="E766" s="2" t="str">
        <f>HYPERLINK("http://ts.21cn.com/tousu/show/id/1331223","http://ts.21cn.com/tousu/show/id/1331223")</f>
        <v>http://ts.21cn.com/tousu/show/id/1331223</v>
      </c>
      <c r="F766" s="2" t="s">
        <v>11</v>
      </c>
      <c r="G766" s="2" t="s">
        <v>42649</v>
      </c>
      <c r="H766" s="2" t="s">
        <v>42650</v>
      </c>
    </row>
    <row r="767" spans="1:8" ht="25.05" customHeight="1" x14ac:dyDescent="0.25">
      <c r="A767" s="2" t="s">
        <v>8</v>
      </c>
      <c r="B767" s="2" t="str">
        <f>HYPERLINK("http://ts.21cn.com/tousu/show/id/1331224","暴力催收")</f>
        <v>暴力催收</v>
      </c>
      <c r="C767" s="2" t="s">
        <v>9</v>
      </c>
      <c r="D767" s="2" t="s">
        <v>10</v>
      </c>
      <c r="E767" s="2" t="str">
        <f>HYPERLINK("http://ts.21cn.com/tousu/show/id/1331224","http://ts.21cn.com/tousu/show/id/1331224")</f>
        <v>http://ts.21cn.com/tousu/show/id/1331224</v>
      </c>
      <c r="F767" s="2" t="s">
        <v>11</v>
      </c>
      <c r="G767" s="2" t="s">
        <v>42647</v>
      </c>
      <c r="H767" s="2" t="s">
        <v>42648</v>
      </c>
    </row>
    <row r="768" spans="1:8" ht="25.05" customHeight="1" x14ac:dyDescent="0.25">
      <c r="A768" s="2" t="s">
        <v>8</v>
      </c>
      <c r="B768" s="2" t="str">
        <f>HYPERLINK("http://ts.21cn.com/tousu/show/id/1331225","玖富万卡高利贷无法无天没人管")</f>
        <v>玖富万卡高利贷无法无天没人管</v>
      </c>
      <c r="C768" s="2" t="s">
        <v>9</v>
      </c>
      <c r="D768" s="2" t="s">
        <v>10</v>
      </c>
      <c r="E768" s="2" t="str">
        <f>HYPERLINK("http://ts.21cn.com/tousu/show/id/1331225","http://ts.21cn.com/tousu/show/id/1331225")</f>
        <v>http://ts.21cn.com/tousu/show/id/1331225</v>
      </c>
      <c r="F768" s="2" t="s">
        <v>11</v>
      </c>
      <c r="G768" s="2" t="s">
        <v>42645</v>
      </c>
      <c r="H768" s="2" t="s">
        <v>42646</v>
      </c>
    </row>
    <row r="769" spans="1:8" ht="25.05" customHeight="1" x14ac:dyDescent="0.25">
      <c r="A769" s="2" t="s">
        <v>8</v>
      </c>
      <c r="B769" s="2" t="str">
        <f>HYPERLINK("http://ts.21cn.com/tousu/show/id/1331226","扣款原因不明未办理过贷款在此平台")</f>
        <v>扣款原因不明未办理过贷款在此平台</v>
      </c>
      <c r="C769" s="2" t="s">
        <v>9</v>
      </c>
      <c r="D769" s="2" t="s">
        <v>10</v>
      </c>
      <c r="E769" s="2" t="str">
        <f>HYPERLINK("http://ts.21cn.com/tousu/show/id/1331226","http://ts.21cn.com/tousu/show/id/1331226")</f>
        <v>http://ts.21cn.com/tousu/show/id/1331226</v>
      </c>
      <c r="F769" s="2" t="s">
        <v>11</v>
      </c>
      <c r="G769" s="2" t="s">
        <v>42643</v>
      </c>
      <c r="H769" s="2" t="s">
        <v>42644</v>
      </c>
    </row>
    <row r="770" spans="1:8" ht="25.05" customHeight="1" x14ac:dyDescent="0.25">
      <c r="A770" s="2" t="s">
        <v>8</v>
      </c>
      <c r="B770" s="2" t="str">
        <f>HYPERLINK("http://ts.21cn.com/tousu/show/id/1331228","魅族手机摄像头严重漏光，触控失灵。")</f>
        <v>魅族手机摄像头严重漏光，触控失灵。</v>
      </c>
      <c r="C770" s="2" t="s">
        <v>9</v>
      </c>
      <c r="D770" s="2" t="s">
        <v>10</v>
      </c>
      <c r="E770" s="2" t="str">
        <f>HYPERLINK("http://ts.21cn.com/tousu/show/id/1331228","http://ts.21cn.com/tousu/show/id/1331228")</f>
        <v>http://ts.21cn.com/tousu/show/id/1331228</v>
      </c>
      <c r="F770" s="2" t="s">
        <v>11</v>
      </c>
      <c r="G770" s="2" t="s">
        <v>42641</v>
      </c>
      <c r="H770" s="2" t="s">
        <v>42642</v>
      </c>
    </row>
    <row r="771" spans="1:8" ht="25.05" customHeight="1" x14ac:dyDescent="0.25">
      <c r="A771" s="2" t="s">
        <v>8</v>
      </c>
      <c r="B771" s="2" t="str">
        <f>HYPERLINK("http://ts.21cn.com/tousu/show/id/1331229","及贷智享贷骚扰亲朋好友")</f>
        <v>及贷智享贷骚扰亲朋好友</v>
      </c>
      <c r="C771" s="2" t="s">
        <v>9</v>
      </c>
      <c r="D771" s="2" t="s">
        <v>10</v>
      </c>
      <c r="E771" s="2" t="str">
        <f>HYPERLINK("http://ts.21cn.com/tousu/show/id/1331229","http://ts.21cn.com/tousu/show/id/1331229")</f>
        <v>http://ts.21cn.com/tousu/show/id/1331229</v>
      </c>
      <c r="F771" s="2" t="s">
        <v>11</v>
      </c>
      <c r="G771" s="2" t="s">
        <v>42639</v>
      </c>
      <c r="H771" s="2" t="s">
        <v>42640</v>
      </c>
    </row>
    <row r="772" spans="1:8" ht="25.05" customHeight="1" x14ac:dyDescent="0.25">
      <c r="A772" s="2" t="s">
        <v>8</v>
      </c>
      <c r="B772" s="2" t="str">
        <f>HYPERLINK("http://ts.21cn.com/tousu/show/id/1331192","蛋壳公寓违约金")</f>
        <v>蛋壳公寓违约金</v>
      </c>
      <c r="C772" s="2" t="s">
        <v>9</v>
      </c>
      <c r="D772" s="2" t="s">
        <v>10</v>
      </c>
      <c r="E772" s="2" t="str">
        <f>HYPERLINK("http://ts.21cn.com/tousu/show/id/1331192","http://ts.21cn.com/tousu/show/id/1331192")</f>
        <v>http://ts.21cn.com/tousu/show/id/1331192</v>
      </c>
      <c r="F772" s="2" t="s">
        <v>11</v>
      </c>
      <c r="G772" s="2" t="s">
        <v>42637</v>
      </c>
      <c r="H772" s="2" t="s">
        <v>42638</v>
      </c>
    </row>
    <row r="773" spans="1:8" ht="25.05" customHeight="1" x14ac:dyDescent="0.25">
      <c r="A773" s="2" t="s">
        <v>8</v>
      </c>
      <c r="B773" s="2" t="str">
        <f>HYPERLINK("http://ts.21cn.com/tousu/show/id/1331230","什么都没点就乱扣费")</f>
        <v>什么都没点就乱扣费</v>
      </c>
      <c r="C773" s="2" t="s">
        <v>9</v>
      </c>
      <c r="D773" s="2" t="s">
        <v>10</v>
      </c>
      <c r="E773" s="2" t="str">
        <f>HYPERLINK("http://ts.21cn.com/tousu/show/id/1331230","http://ts.21cn.com/tousu/show/id/1331230")</f>
        <v>http://ts.21cn.com/tousu/show/id/1331230</v>
      </c>
      <c r="F773" s="2" t="s">
        <v>11</v>
      </c>
      <c r="G773" s="2" t="s">
        <v>42635</v>
      </c>
      <c r="H773" s="2" t="s">
        <v>42636</v>
      </c>
    </row>
    <row r="774" spans="1:8" ht="25.05" customHeight="1" x14ac:dyDescent="0.25">
      <c r="A774" s="2" t="s">
        <v>8</v>
      </c>
      <c r="B774" s="2" t="str">
        <f>HYPERLINK("http://ts.21cn.com/tousu/show/id/1331231","肥猫贷高利贷，还没逾期暴力催收")</f>
        <v>肥猫贷高利贷，还没逾期暴力催收</v>
      </c>
      <c r="C774" s="2" t="s">
        <v>9</v>
      </c>
      <c r="D774" s="2" t="s">
        <v>10</v>
      </c>
      <c r="E774" s="2" t="str">
        <f>HYPERLINK("http://ts.21cn.com/tousu/show/id/1331231","http://ts.21cn.com/tousu/show/id/1331231")</f>
        <v>http://ts.21cn.com/tousu/show/id/1331231</v>
      </c>
      <c r="F774" s="2" t="s">
        <v>11</v>
      </c>
      <c r="G774" s="2" t="s">
        <v>42633</v>
      </c>
      <c r="H774" s="2" t="s">
        <v>42634</v>
      </c>
    </row>
    <row r="775" spans="1:8" ht="25.05" customHeight="1" x14ac:dyDescent="0.25">
      <c r="A775" s="2" t="s">
        <v>8</v>
      </c>
      <c r="B775" s="2" t="str">
        <f>HYPERLINK("http://ts.21cn.com/tousu/show/id/1331232","恐吓威胁")</f>
        <v>恐吓威胁</v>
      </c>
      <c r="C775" s="2" t="s">
        <v>9</v>
      </c>
      <c r="D775" s="2" t="s">
        <v>10</v>
      </c>
      <c r="E775" s="2" t="str">
        <f>HYPERLINK("http://ts.21cn.com/tousu/show/id/1331232","http://ts.21cn.com/tousu/show/id/1331232")</f>
        <v>http://ts.21cn.com/tousu/show/id/1331232</v>
      </c>
      <c r="F775" s="2" t="s">
        <v>11</v>
      </c>
      <c r="G775" s="2" t="s">
        <v>42631</v>
      </c>
      <c r="H775" s="2" t="s">
        <v>42632</v>
      </c>
    </row>
    <row r="776" spans="1:8" ht="25.05" customHeight="1" x14ac:dyDescent="0.25">
      <c r="A776" s="2" t="s">
        <v>8</v>
      </c>
      <c r="B776" s="2" t="str">
        <f>HYPERLINK("http://ts.21cn.com/tousu/show/id/1331233","信息被盗取刷单投诉拼多多未果")</f>
        <v>信息被盗取刷单投诉拼多多未果</v>
      </c>
      <c r="C776" s="2" t="s">
        <v>9</v>
      </c>
      <c r="D776" s="2" t="s">
        <v>10</v>
      </c>
      <c r="E776" s="2" t="str">
        <f>HYPERLINK("http://ts.21cn.com/tousu/show/id/1331233","http://ts.21cn.com/tousu/show/id/1331233")</f>
        <v>http://ts.21cn.com/tousu/show/id/1331233</v>
      </c>
      <c r="F776" s="2" t="s">
        <v>11</v>
      </c>
      <c r="G776" s="2" t="s">
        <v>42629</v>
      </c>
      <c r="H776" s="2" t="s">
        <v>42630</v>
      </c>
    </row>
    <row r="777" spans="1:8" ht="25.05" customHeight="1" x14ac:dyDescent="0.25">
      <c r="A777" s="2" t="s">
        <v>8</v>
      </c>
      <c r="B777" s="2" t="str">
        <f>HYPERLINK("http://ts.21cn.com/tousu/show/id/1331234","牛人有品套路贷")</f>
        <v>牛人有品套路贷</v>
      </c>
      <c r="C777" s="2" t="s">
        <v>9</v>
      </c>
      <c r="D777" s="2" t="s">
        <v>10</v>
      </c>
      <c r="E777" s="2" t="str">
        <f>HYPERLINK("http://ts.21cn.com/tousu/show/id/1331234","http://ts.21cn.com/tousu/show/id/1331234")</f>
        <v>http://ts.21cn.com/tousu/show/id/1331234</v>
      </c>
      <c r="F777" s="2" t="s">
        <v>11</v>
      </c>
      <c r="G777" s="2" t="s">
        <v>42627</v>
      </c>
      <c r="H777" s="2" t="s">
        <v>42628</v>
      </c>
    </row>
    <row r="778" spans="1:8" ht="25.05" customHeight="1" x14ac:dyDescent="0.25">
      <c r="A778" s="2" t="s">
        <v>8</v>
      </c>
      <c r="B778" s="2" t="str">
        <f>HYPERLINK("http://ts.21cn.com/tousu/show/id/940369","平安i贷解释下管理费和保险费")</f>
        <v>平安i贷解释下管理费和保险费</v>
      </c>
      <c r="C778" s="2" t="s">
        <v>9</v>
      </c>
      <c r="D778" s="2" t="s">
        <v>10</v>
      </c>
      <c r="E778" s="2" t="str">
        <f>HYPERLINK("http://ts.21cn.com/tousu/show/id/940369","http://ts.21cn.com/tousu/show/id/940369")</f>
        <v>http://ts.21cn.com/tousu/show/id/940369</v>
      </c>
      <c r="F778" s="2" t="s">
        <v>11</v>
      </c>
      <c r="G778" s="2" t="s">
        <v>42625</v>
      </c>
      <c r="H778" s="2" t="s">
        <v>42626</v>
      </c>
    </row>
    <row r="779" spans="1:8" ht="25.05" customHeight="1" x14ac:dyDescent="0.25">
      <c r="A779" s="2" t="s">
        <v>8</v>
      </c>
      <c r="B779" s="2" t="str">
        <f>HYPERLINK("http://ts.21cn.com/tousu/show/id/1331236","现代管家高利贷")</f>
        <v>现代管家高利贷</v>
      </c>
      <c r="C779" s="2" t="s">
        <v>9</v>
      </c>
      <c r="D779" s="2" t="s">
        <v>10</v>
      </c>
      <c r="E779" s="2" t="str">
        <f>HYPERLINK("http://ts.21cn.com/tousu/show/id/1331236","http://ts.21cn.com/tousu/show/id/1331236")</f>
        <v>http://ts.21cn.com/tousu/show/id/1331236</v>
      </c>
      <c r="F779" s="2" t="s">
        <v>11</v>
      </c>
      <c r="G779" s="2" t="s">
        <v>42623</v>
      </c>
      <c r="H779" s="2" t="s">
        <v>42624</v>
      </c>
    </row>
    <row r="780" spans="1:8" ht="25.05" customHeight="1" x14ac:dyDescent="0.25">
      <c r="A780" s="2" t="s">
        <v>8</v>
      </c>
      <c r="B780" s="2" t="str">
        <f>HYPERLINK("http://ts.21cn.com/tousu/show/id/1331237","浦发银行暴力催收")</f>
        <v>浦发银行暴力催收</v>
      </c>
      <c r="C780" s="2" t="s">
        <v>9</v>
      </c>
      <c r="D780" s="2" t="s">
        <v>10</v>
      </c>
      <c r="E780" s="2" t="str">
        <f>HYPERLINK("http://ts.21cn.com/tousu/show/id/1331237","http://ts.21cn.com/tousu/show/id/1331237")</f>
        <v>http://ts.21cn.com/tousu/show/id/1331237</v>
      </c>
      <c r="F780" s="2" t="s">
        <v>11</v>
      </c>
      <c r="G780" s="2" t="s">
        <v>42621</v>
      </c>
      <c r="H780" s="2" t="s">
        <v>42622</v>
      </c>
    </row>
    <row r="781" spans="1:8" ht="25.05" customHeight="1" x14ac:dyDescent="0.25">
      <c r="A781" s="2" t="s">
        <v>8</v>
      </c>
      <c r="B781" s="2" t="str">
        <f>HYPERLINK("http://ts.21cn.com/tousu/show/id/1331238","智行火车票APP不退机票款")</f>
        <v>智行火车票APP不退机票款</v>
      </c>
      <c r="C781" s="2" t="s">
        <v>9</v>
      </c>
      <c r="D781" s="2" t="s">
        <v>10</v>
      </c>
      <c r="E781" s="2" t="str">
        <f>HYPERLINK("http://ts.21cn.com/tousu/show/id/1331238","http://ts.21cn.com/tousu/show/id/1331238")</f>
        <v>http://ts.21cn.com/tousu/show/id/1331238</v>
      </c>
      <c r="F781" s="2" t="s">
        <v>11</v>
      </c>
      <c r="G781" s="2" t="s">
        <v>42619</v>
      </c>
      <c r="H781" s="2" t="s">
        <v>42620</v>
      </c>
    </row>
    <row r="782" spans="1:8" ht="25.05" customHeight="1" x14ac:dyDescent="0.25">
      <c r="A782" s="2" t="s">
        <v>8</v>
      </c>
      <c r="B782" s="2" t="str">
        <f>HYPERLINK("http://ts.21cn.com/tousu/show/id/1331239","合同欺诈，私自扣款")</f>
        <v>合同欺诈，私自扣款</v>
      </c>
      <c r="C782" s="2" t="s">
        <v>9</v>
      </c>
      <c r="D782" s="2" t="s">
        <v>10</v>
      </c>
      <c r="E782" s="2" t="str">
        <f>HYPERLINK("http://ts.21cn.com/tousu/show/id/1331239","http://ts.21cn.com/tousu/show/id/1331239")</f>
        <v>http://ts.21cn.com/tousu/show/id/1331239</v>
      </c>
      <c r="F782" s="2" t="s">
        <v>11</v>
      </c>
      <c r="G782" s="2" t="s">
        <v>42617</v>
      </c>
      <c r="H782" s="2" t="s">
        <v>42618</v>
      </c>
    </row>
    <row r="783" spans="1:8" ht="25.05" customHeight="1" x14ac:dyDescent="0.25">
      <c r="A783" s="2" t="s">
        <v>8</v>
      </c>
      <c r="B783" s="2" t="str">
        <f>HYPERLINK("http://ts.21cn.com/tousu/show/id/1331240","快闪卡贷虚假宣传，撤销贷款注销账号")</f>
        <v>快闪卡贷虚假宣传，撤销贷款注销账号</v>
      </c>
      <c r="C783" s="2" t="s">
        <v>9</v>
      </c>
      <c r="D783" s="2" t="s">
        <v>10</v>
      </c>
      <c r="E783" s="2" t="str">
        <f>HYPERLINK("http://ts.21cn.com/tousu/show/id/1331240","http://ts.21cn.com/tousu/show/id/1331240")</f>
        <v>http://ts.21cn.com/tousu/show/id/1331240</v>
      </c>
      <c r="F783" s="2" t="s">
        <v>11</v>
      </c>
      <c r="G783" s="2" t="s">
        <v>42615</v>
      </c>
      <c r="H783" s="2" t="s">
        <v>42616</v>
      </c>
    </row>
    <row r="784" spans="1:8" ht="25.05" customHeight="1" x14ac:dyDescent="0.25">
      <c r="A784" s="2" t="s">
        <v>8</v>
      </c>
      <c r="B784" s="2" t="str">
        <f>HYPERLINK("http://ts.21cn.com/tousu/show/id/1331241","报名费答应退还一直拖延")</f>
        <v>报名费答应退还一直拖延</v>
      </c>
      <c r="C784" s="2" t="s">
        <v>34</v>
      </c>
      <c r="D784" s="2" t="s">
        <v>10</v>
      </c>
      <c r="E784" s="2" t="str">
        <f>HYPERLINK("http://ts.21cn.com/tousu/show/id/1331241","http://ts.21cn.com/tousu/show/id/1331241")</f>
        <v>http://ts.21cn.com/tousu/show/id/1331241</v>
      </c>
      <c r="F784" s="2" t="s">
        <v>11</v>
      </c>
      <c r="G784" s="2" t="s">
        <v>42613</v>
      </c>
      <c r="H784" s="2" t="s">
        <v>42614</v>
      </c>
    </row>
    <row r="785" spans="1:8" ht="25.05" customHeight="1" x14ac:dyDescent="0.25">
      <c r="A785" s="2" t="s">
        <v>8</v>
      </c>
      <c r="B785" s="2" t="str">
        <f>HYPERLINK("http://ts.21cn.com/tousu/show/id/1331242","无法正常还款")</f>
        <v>无法正常还款</v>
      </c>
      <c r="C785" s="2" t="s">
        <v>9</v>
      </c>
      <c r="D785" s="2" t="s">
        <v>10</v>
      </c>
      <c r="E785" s="2" t="str">
        <f>HYPERLINK("http://ts.21cn.com/tousu/show/id/1331242","http://ts.21cn.com/tousu/show/id/1331242")</f>
        <v>http://ts.21cn.com/tousu/show/id/1331242</v>
      </c>
      <c r="F785" s="2" t="s">
        <v>11</v>
      </c>
      <c r="G785" s="2" t="s">
        <v>42611</v>
      </c>
      <c r="H785" s="2" t="s">
        <v>42612</v>
      </c>
    </row>
    <row r="786" spans="1:8" ht="25.05" customHeight="1" x14ac:dyDescent="0.25">
      <c r="A786" s="2" t="s">
        <v>8</v>
      </c>
      <c r="B786" s="2" t="str">
        <f>HYPERLINK("http://ts.21cn.com/tousu/show/id/1331243","梧桐诚选大肆折让老百姓血汗钱")</f>
        <v>梧桐诚选大肆折让老百姓血汗钱</v>
      </c>
      <c r="C786" s="2" t="s">
        <v>9</v>
      </c>
      <c r="D786" s="2" t="s">
        <v>10</v>
      </c>
      <c r="E786" s="2" t="str">
        <f>HYPERLINK("http://ts.21cn.com/tousu/show/id/1331243","http://ts.21cn.com/tousu/show/id/1331243")</f>
        <v>http://ts.21cn.com/tousu/show/id/1331243</v>
      </c>
      <c r="F786" s="2" t="s">
        <v>11</v>
      </c>
      <c r="G786" s="2" t="s">
        <v>42609</v>
      </c>
      <c r="H786" s="2" t="s">
        <v>42610</v>
      </c>
    </row>
    <row r="787" spans="1:8" ht="25.05" customHeight="1" x14ac:dyDescent="0.25">
      <c r="A787" s="2" t="s">
        <v>8</v>
      </c>
      <c r="B787" s="2" t="str">
        <f>HYPERLINK("http://ts.21cn.com/tousu/show/id/1331245","百事普惠恶意扣款")</f>
        <v>百事普惠恶意扣款</v>
      </c>
      <c r="C787" s="2" t="s">
        <v>9</v>
      </c>
      <c r="D787" s="2" t="s">
        <v>10</v>
      </c>
      <c r="E787" s="2" t="str">
        <f>HYPERLINK("http://ts.21cn.com/tousu/show/id/1331245","http://ts.21cn.com/tousu/show/id/1331245")</f>
        <v>http://ts.21cn.com/tousu/show/id/1331245</v>
      </c>
      <c r="F787" s="2" t="s">
        <v>11</v>
      </c>
      <c r="G787" s="2" t="s">
        <v>42607</v>
      </c>
      <c r="H787" s="2" t="s">
        <v>42608</v>
      </c>
    </row>
    <row r="788" spans="1:8" ht="25.05" customHeight="1" x14ac:dyDescent="0.25">
      <c r="A788" s="2" t="s">
        <v>8</v>
      </c>
      <c r="B788" s="2" t="str">
        <f>HYPERLINK("http://ts.21cn.com/tousu/show/id/1331246","钱站高利贷阴阳合同")</f>
        <v>钱站高利贷阴阳合同</v>
      </c>
      <c r="C788" s="2" t="s">
        <v>9</v>
      </c>
      <c r="D788" s="2" t="s">
        <v>10</v>
      </c>
      <c r="E788" s="2" t="str">
        <f>HYPERLINK("http://ts.21cn.com/tousu/show/id/1331246","http://ts.21cn.com/tousu/show/id/1331246")</f>
        <v>http://ts.21cn.com/tousu/show/id/1331246</v>
      </c>
      <c r="F788" s="2" t="s">
        <v>11</v>
      </c>
      <c r="G788" s="2" t="s">
        <v>42605</v>
      </c>
      <c r="H788" s="2" t="s">
        <v>42606</v>
      </c>
    </row>
    <row r="789" spans="1:8" ht="25.05" customHeight="1" x14ac:dyDescent="0.25">
      <c r="A789" s="2" t="s">
        <v>8</v>
      </c>
      <c r="B789" s="2" t="str">
        <f>HYPERLINK("http://ts.21cn.com/tousu/show/id/1331247","因身孕不宜出行，要求取消酒店，去哪儿网要全款扣除酒店费用")</f>
        <v>因身孕不宜出行，要求取消酒店，去哪儿网要全款扣除酒店费用</v>
      </c>
      <c r="C789" s="2" t="s">
        <v>9</v>
      </c>
      <c r="D789" s="2" t="s">
        <v>10</v>
      </c>
      <c r="E789" s="2" t="str">
        <f>HYPERLINK("http://ts.21cn.com/tousu/show/id/1331247","http://ts.21cn.com/tousu/show/id/1331247")</f>
        <v>http://ts.21cn.com/tousu/show/id/1331247</v>
      </c>
      <c r="F789" s="2" t="s">
        <v>11</v>
      </c>
      <c r="G789" s="2" t="s">
        <v>42603</v>
      </c>
      <c r="H789" s="2" t="s">
        <v>42604</v>
      </c>
    </row>
    <row r="790" spans="1:8" ht="25.05" customHeight="1" x14ac:dyDescent="0.25">
      <c r="A790" s="2" t="s">
        <v>8</v>
      </c>
      <c r="B790" s="2" t="str">
        <f>HYPERLINK("http://ts.21cn.com/tousu/show/id/1331248","携程预订房间不可取消")</f>
        <v>携程预订房间不可取消</v>
      </c>
      <c r="C790" s="2" t="s">
        <v>34</v>
      </c>
      <c r="D790" s="2" t="s">
        <v>10</v>
      </c>
      <c r="E790" s="2" t="str">
        <f>HYPERLINK("http://ts.21cn.com/tousu/show/id/1331248","http://ts.21cn.com/tousu/show/id/1331248")</f>
        <v>http://ts.21cn.com/tousu/show/id/1331248</v>
      </c>
      <c r="F790" s="2" t="s">
        <v>11</v>
      </c>
      <c r="G790" s="2" t="s">
        <v>42601</v>
      </c>
      <c r="H790" s="2" t="s">
        <v>42602</v>
      </c>
    </row>
    <row r="791" spans="1:8" ht="25.05" customHeight="1" x14ac:dyDescent="0.25">
      <c r="A791" s="2" t="s">
        <v>8</v>
      </c>
      <c r="B791" s="2" t="str">
        <f>HYPERLINK("http://ts.21cn.com/tousu/show/id/1331249","小花钱包恶意扣款")</f>
        <v>小花钱包恶意扣款</v>
      </c>
      <c r="C791" s="2" t="s">
        <v>9</v>
      </c>
      <c r="D791" s="2" t="s">
        <v>10</v>
      </c>
      <c r="E791" s="2" t="str">
        <f>HYPERLINK("http://ts.21cn.com/tousu/show/id/1331249","http://ts.21cn.com/tousu/show/id/1331249")</f>
        <v>http://ts.21cn.com/tousu/show/id/1331249</v>
      </c>
      <c r="F791" s="2" t="s">
        <v>11</v>
      </c>
      <c r="G791" s="2" t="s">
        <v>42599</v>
      </c>
      <c r="H791" s="2" t="s">
        <v>42600</v>
      </c>
    </row>
    <row r="792" spans="1:8" ht="25.05" customHeight="1" x14ac:dyDescent="0.25">
      <c r="A792" s="2" t="s">
        <v>8</v>
      </c>
      <c r="B792" s="2" t="str">
        <f>HYPERLINK("http://ts.21cn.com/tousu/show/id/1331250","网贷")</f>
        <v>网贷</v>
      </c>
      <c r="C792" s="2" t="s">
        <v>9</v>
      </c>
      <c r="D792" s="2" t="s">
        <v>10</v>
      </c>
      <c r="E792" s="2" t="str">
        <f>HYPERLINK("http://ts.21cn.com/tousu/show/id/1331250","http://ts.21cn.com/tousu/show/id/1331250")</f>
        <v>http://ts.21cn.com/tousu/show/id/1331250</v>
      </c>
      <c r="F792" s="2" t="s">
        <v>11</v>
      </c>
      <c r="G792" s="2" t="s">
        <v>42597</v>
      </c>
      <c r="H792" s="2" t="s">
        <v>42598</v>
      </c>
    </row>
    <row r="793" spans="1:8" ht="25.05" customHeight="1" x14ac:dyDescent="0.25">
      <c r="A793" s="2" t="s">
        <v>8</v>
      </c>
      <c r="B793" s="2" t="str">
        <f>HYPERLINK("http://ts.21cn.com/tousu/show/id/1331251","立借高利贷")</f>
        <v>立借高利贷</v>
      </c>
      <c r="C793" s="2" t="s">
        <v>9</v>
      </c>
      <c r="D793" s="2" t="s">
        <v>10</v>
      </c>
      <c r="E793" s="2" t="str">
        <f>HYPERLINK("http://ts.21cn.com/tousu/show/id/1331251","http://ts.21cn.com/tousu/show/id/1331251")</f>
        <v>http://ts.21cn.com/tousu/show/id/1331251</v>
      </c>
      <c r="F793" s="2" t="s">
        <v>11</v>
      </c>
      <c r="G793" s="2" t="s">
        <v>42595</v>
      </c>
      <c r="H793" s="2" t="s">
        <v>42596</v>
      </c>
    </row>
    <row r="794" spans="1:8" ht="25.05" customHeight="1" x14ac:dyDescent="0.25">
      <c r="A794" s="2" t="s">
        <v>8</v>
      </c>
      <c r="B794" s="2" t="str">
        <f>HYPERLINK("http://ts.21cn.com/tousu/show/id/1331252","钱站旗下贷款软件速金服。高利贷，阴阳合同，无视法律法规")</f>
        <v>钱站旗下贷款软件速金服。高利贷，阴阳合同，无视法律法规</v>
      </c>
      <c r="C794" s="2" t="s">
        <v>9</v>
      </c>
      <c r="D794" s="2" t="s">
        <v>10</v>
      </c>
      <c r="E794" s="2" t="str">
        <f>HYPERLINK("http://ts.21cn.com/tousu/show/id/1331252","http://ts.21cn.com/tousu/show/id/1331252")</f>
        <v>http://ts.21cn.com/tousu/show/id/1331252</v>
      </c>
      <c r="F794" s="2" t="s">
        <v>11</v>
      </c>
      <c r="G794" s="2" t="s">
        <v>42593</v>
      </c>
      <c r="H794" s="2" t="s">
        <v>42594</v>
      </c>
    </row>
    <row r="795" spans="1:8" ht="25.05" customHeight="1" x14ac:dyDescent="0.25">
      <c r="A795" s="2" t="s">
        <v>8</v>
      </c>
      <c r="B795" s="2" t="str">
        <f>HYPERLINK("http://ts.21cn.com/tousu/show/id/1331235","在名校借款7200，不退还保证金")</f>
        <v>在名校借款7200，不退还保证金</v>
      </c>
      <c r="C795" s="2" t="s">
        <v>9</v>
      </c>
      <c r="D795" s="2" t="s">
        <v>10</v>
      </c>
      <c r="E795" s="2" t="str">
        <f>HYPERLINK("http://ts.21cn.com/tousu/show/id/1331235","http://ts.21cn.com/tousu/show/id/1331235")</f>
        <v>http://ts.21cn.com/tousu/show/id/1331235</v>
      </c>
      <c r="F795" s="2" t="s">
        <v>11</v>
      </c>
      <c r="G795" s="2" t="s">
        <v>42591</v>
      </c>
      <c r="H795" s="2" t="s">
        <v>42592</v>
      </c>
    </row>
    <row r="796" spans="1:8" ht="25.05" customHeight="1" x14ac:dyDescent="0.25">
      <c r="A796" s="2" t="s">
        <v>8</v>
      </c>
      <c r="B796" s="2" t="str">
        <f>HYPERLINK("http://ts.21cn.com/tousu/show/id/1331253","360借条未经本人确认就直接放款")</f>
        <v>360借条未经本人确认就直接放款</v>
      </c>
      <c r="C796" s="2" t="s">
        <v>9</v>
      </c>
      <c r="D796" s="2" t="s">
        <v>10</v>
      </c>
      <c r="E796" s="2" t="str">
        <f>HYPERLINK("http://ts.21cn.com/tousu/show/id/1331253","http://ts.21cn.com/tousu/show/id/1331253")</f>
        <v>http://ts.21cn.com/tousu/show/id/1331253</v>
      </c>
      <c r="F796" s="2" t="s">
        <v>11</v>
      </c>
      <c r="G796" s="2" t="s">
        <v>42589</v>
      </c>
      <c r="H796" s="2" t="s">
        <v>42590</v>
      </c>
    </row>
    <row r="797" spans="1:8" ht="25.05" customHeight="1" x14ac:dyDescent="0.25">
      <c r="A797" s="2" t="s">
        <v>8</v>
      </c>
      <c r="B797" s="2" t="str">
        <f>HYPERLINK("http://ts.21cn.com/tousu/show/id/1331254","百事普惠恶意扣款")</f>
        <v>百事普惠恶意扣款</v>
      </c>
      <c r="C797" s="2" t="s">
        <v>9</v>
      </c>
      <c r="D797" s="2" t="s">
        <v>10</v>
      </c>
      <c r="E797" s="2" t="str">
        <f>HYPERLINK("http://ts.21cn.com/tousu/show/id/1331254","http://ts.21cn.com/tousu/show/id/1331254")</f>
        <v>http://ts.21cn.com/tousu/show/id/1331254</v>
      </c>
      <c r="F797" s="2" t="s">
        <v>11</v>
      </c>
      <c r="G797" s="2" t="s">
        <v>42587</v>
      </c>
      <c r="H797" s="2" t="s">
        <v>42588</v>
      </c>
    </row>
    <row r="798" spans="1:8" ht="25.05" customHeight="1" x14ac:dyDescent="0.25">
      <c r="A798" s="2" t="s">
        <v>8</v>
      </c>
      <c r="B798" s="2" t="str">
        <f>HYPERLINK("http://ts.21cn.com/tousu/show/id/1331255","通联支付乱扣费")</f>
        <v>通联支付乱扣费</v>
      </c>
      <c r="C798" s="2" t="s">
        <v>9</v>
      </c>
      <c r="D798" s="2" t="s">
        <v>10</v>
      </c>
      <c r="E798" s="2" t="str">
        <f>HYPERLINK("http://ts.21cn.com/tousu/show/id/1331255","http://ts.21cn.com/tousu/show/id/1331255")</f>
        <v>http://ts.21cn.com/tousu/show/id/1331255</v>
      </c>
      <c r="F798" s="2" t="s">
        <v>11</v>
      </c>
      <c r="G798" s="2" t="s">
        <v>42585</v>
      </c>
      <c r="H798" s="2" t="s">
        <v>42586</v>
      </c>
    </row>
    <row r="799" spans="1:8" ht="25.05" customHeight="1" x14ac:dyDescent="0.25">
      <c r="A799" s="2" t="s">
        <v>8</v>
      </c>
      <c r="B799" s="2" t="str">
        <f>HYPERLINK("http://ts.21cn.com/tousu/show/id/1331256","六便士高利贷")</f>
        <v>六便士高利贷</v>
      </c>
      <c r="C799" s="2" t="s">
        <v>9</v>
      </c>
      <c r="D799" s="2" t="s">
        <v>10</v>
      </c>
      <c r="E799" s="2" t="str">
        <f>HYPERLINK("http://ts.21cn.com/tousu/show/id/1331256","http://ts.21cn.com/tousu/show/id/1331256")</f>
        <v>http://ts.21cn.com/tousu/show/id/1331256</v>
      </c>
      <c r="F799" s="2" t="s">
        <v>11</v>
      </c>
      <c r="G799" s="2" t="s">
        <v>42583</v>
      </c>
      <c r="H799" s="2" t="s">
        <v>42584</v>
      </c>
    </row>
    <row r="800" spans="1:8" ht="25.05" customHeight="1" x14ac:dyDescent="0.25">
      <c r="A800" s="2" t="s">
        <v>8</v>
      </c>
      <c r="B800" s="2" t="str">
        <f>HYPERLINK("http://ts.21cn.com/tousu/show/id/1331257","购买一双鞋子。下完单发现尺码错误。立马联系客服。后续回应无法退款，各种霸王条款")</f>
        <v>购买一双鞋子。下完单发现尺码错误。立马联系客服。后续回应无法退款，各种霸王条款</v>
      </c>
      <c r="C800" s="2" t="s">
        <v>9</v>
      </c>
      <c r="D800" s="2" t="s">
        <v>10</v>
      </c>
      <c r="E800" s="2" t="str">
        <f>HYPERLINK("http://ts.21cn.com/tousu/show/id/1331257","http://ts.21cn.com/tousu/show/id/1331257")</f>
        <v>http://ts.21cn.com/tousu/show/id/1331257</v>
      </c>
      <c r="F800" s="2" t="s">
        <v>11</v>
      </c>
      <c r="G800" s="2" t="s">
        <v>42581</v>
      </c>
      <c r="H800" s="2" t="s">
        <v>42582</v>
      </c>
    </row>
    <row r="801" spans="1:8" ht="25.05" customHeight="1" x14ac:dyDescent="0.25">
      <c r="A801" s="2" t="s">
        <v>8</v>
      </c>
      <c r="B801" s="2" t="str">
        <f>HYPERLINK("http://ts.21cn.com/tousu/show/id/1331258","闪电借款还款协商")</f>
        <v>闪电借款还款协商</v>
      </c>
      <c r="C801" s="2" t="s">
        <v>34</v>
      </c>
      <c r="D801" s="2" t="s">
        <v>10</v>
      </c>
      <c r="E801" s="2" t="str">
        <f>HYPERLINK("http://ts.21cn.com/tousu/show/id/1331258","http://ts.21cn.com/tousu/show/id/1331258")</f>
        <v>http://ts.21cn.com/tousu/show/id/1331258</v>
      </c>
      <c r="F801" s="2" t="s">
        <v>11</v>
      </c>
      <c r="G801" s="2" t="s">
        <v>42579</v>
      </c>
      <c r="H801" s="2" t="s">
        <v>42580</v>
      </c>
    </row>
    <row r="802" spans="1:8" ht="25.05" customHeight="1" x14ac:dyDescent="0.25">
      <c r="A802" s="2" t="s">
        <v>8</v>
      </c>
      <c r="B802" s="2" t="str">
        <f>HYPERLINK("http://ts.21cn.com/tousu/show/id/1331259","分期鸭高利贷")</f>
        <v>分期鸭高利贷</v>
      </c>
      <c r="C802" s="2" t="s">
        <v>9</v>
      </c>
      <c r="D802" s="2" t="s">
        <v>10</v>
      </c>
      <c r="E802" s="2" t="str">
        <f>HYPERLINK("http://ts.21cn.com/tousu/show/id/1331259","http://ts.21cn.com/tousu/show/id/1331259")</f>
        <v>http://ts.21cn.com/tousu/show/id/1331259</v>
      </c>
      <c r="F802" s="2" t="s">
        <v>11</v>
      </c>
      <c r="G802" s="2" t="s">
        <v>42577</v>
      </c>
      <c r="H802" s="2" t="s">
        <v>42578</v>
      </c>
    </row>
    <row r="803" spans="1:8" ht="25.05" customHeight="1" x14ac:dyDescent="0.25">
      <c r="A803" s="2" t="s">
        <v>8</v>
      </c>
      <c r="B803" s="2" t="str">
        <f>HYPERLINK("http://ts.21cn.com/tousu/show/id/1331260","好易借")</f>
        <v>好易借</v>
      </c>
      <c r="C803" s="2" t="s">
        <v>9</v>
      </c>
      <c r="D803" s="2" t="s">
        <v>10</v>
      </c>
      <c r="E803" s="2" t="str">
        <f>HYPERLINK("http://ts.21cn.com/tousu/show/id/1331260","http://ts.21cn.com/tousu/show/id/1331260")</f>
        <v>http://ts.21cn.com/tousu/show/id/1331260</v>
      </c>
      <c r="F803" s="2" t="s">
        <v>11</v>
      </c>
      <c r="G803" s="2" t="s">
        <v>42575</v>
      </c>
      <c r="H803" s="2" t="s">
        <v>42576</v>
      </c>
    </row>
    <row r="804" spans="1:8" ht="25.05" customHeight="1" x14ac:dyDescent="0.25">
      <c r="A804" s="2" t="s">
        <v>8</v>
      </c>
      <c r="B804" s="2" t="str">
        <f>HYPERLINK("http://ts.21cn.com/tousu/show/id/1331261","白条分期私自扣我银行卡里的钱")</f>
        <v>白条分期私自扣我银行卡里的钱</v>
      </c>
      <c r="C804" s="2" t="s">
        <v>9</v>
      </c>
      <c r="D804" s="2" t="s">
        <v>10</v>
      </c>
      <c r="E804" s="2" t="str">
        <f>HYPERLINK("http://ts.21cn.com/tousu/show/id/1331261","http://ts.21cn.com/tousu/show/id/1331261")</f>
        <v>http://ts.21cn.com/tousu/show/id/1331261</v>
      </c>
      <c r="F804" s="2" t="s">
        <v>11</v>
      </c>
      <c r="G804" s="2" t="s">
        <v>42573</v>
      </c>
      <c r="H804" s="2" t="s">
        <v>42574</v>
      </c>
    </row>
    <row r="805" spans="1:8" ht="25.05" customHeight="1" x14ac:dyDescent="0.25">
      <c r="A805" s="2" t="s">
        <v>8</v>
      </c>
      <c r="B805" s="2" t="str">
        <f>HYPERLINK("http://ts.21cn.com/tousu/show/id/1331262","违规平台收取高额砍头息")</f>
        <v>违规平台收取高额砍头息</v>
      </c>
      <c r="C805" s="2" t="s">
        <v>9</v>
      </c>
      <c r="D805" s="2" t="s">
        <v>10</v>
      </c>
      <c r="E805" s="2" t="str">
        <f>HYPERLINK("http://ts.21cn.com/tousu/show/id/1331262","http://ts.21cn.com/tousu/show/id/1331262")</f>
        <v>http://ts.21cn.com/tousu/show/id/1331262</v>
      </c>
      <c r="F805" s="2" t="s">
        <v>11</v>
      </c>
      <c r="G805" s="2" t="s">
        <v>42571</v>
      </c>
      <c r="H805" s="2" t="s">
        <v>42572</v>
      </c>
    </row>
    <row r="806" spans="1:8" ht="25.05" customHeight="1" x14ac:dyDescent="0.25">
      <c r="A806" s="2" t="s">
        <v>8</v>
      </c>
      <c r="B806" s="2" t="str">
        <f>HYPERLINK("http://ts.21cn.com/tousu/show/id/1331263","分期乐在他的平台买东西不给退货")</f>
        <v>分期乐在他的平台买东西不给退货</v>
      </c>
      <c r="C806" s="2" t="s">
        <v>9</v>
      </c>
      <c r="D806" s="2" t="s">
        <v>10</v>
      </c>
      <c r="E806" s="2" t="str">
        <f>HYPERLINK("http://ts.21cn.com/tousu/show/id/1331263","http://ts.21cn.com/tousu/show/id/1331263")</f>
        <v>http://ts.21cn.com/tousu/show/id/1331263</v>
      </c>
      <c r="F806" s="2" t="s">
        <v>11</v>
      </c>
      <c r="G806" s="2" t="s">
        <v>42569</v>
      </c>
      <c r="H806" s="2" t="s">
        <v>42570</v>
      </c>
    </row>
    <row r="807" spans="1:8" ht="25.05" customHeight="1" x14ac:dyDescent="0.25">
      <c r="A807" s="2" t="s">
        <v>8</v>
      </c>
      <c r="B807" s="2" t="str">
        <f>HYPERLINK("http://ts.21cn.com/tousu/show/id/1331264","钱站高利贷阴阳合同")</f>
        <v>钱站高利贷阴阳合同</v>
      </c>
      <c r="C807" s="2" t="s">
        <v>9</v>
      </c>
      <c r="D807" s="2" t="s">
        <v>10</v>
      </c>
      <c r="E807" s="2" t="str">
        <f>HYPERLINK("http://ts.21cn.com/tousu/show/id/1331264","http://ts.21cn.com/tousu/show/id/1331264")</f>
        <v>http://ts.21cn.com/tousu/show/id/1331264</v>
      </c>
      <c r="F807" s="2" t="s">
        <v>11</v>
      </c>
      <c r="G807" s="2" t="s">
        <v>42567</v>
      </c>
      <c r="H807" s="2" t="s">
        <v>42568</v>
      </c>
    </row>
    <row r="808" spans="1:8" ht="25.05" customHeight="1" x14ac:dyDescent="0.25">
      <c r="A808" s="2" t="s">
        <v>8</v>
      </c>
      <c r="B808" s="2" t="str">
        <f>HYPERLINK("http://ts.21cn.com/tousu/show/id/1331265","借款2000实际到账1100")</f>
        <v>借款2000实际到账1100</v>
      </c>
      <c r="C808" s="2" t="s">
        <v>9</v>
      </c>
      <c r="D808" s="2" t="s">
        <v>10</v>
      </c>
      <c r="E808" s="2" t="str">
        <f>HYPERLINK("http://ts.21cn.com/tousu/show/id/1331265","http://ts.21cn.com/tousu/show/id/1331265")</f>
        <v>http://ts.21cn.com/tousu/show/id/1331265</v>
      </c>
      <c r="F808" s="2" t="s">
        <v>11</v>
      </c>
      <c r="G808" s="2" t="s">
        <v>42565</v>
      </c>
      <c r="H808" s="2" t="s">
        <v>42566</v>
      </c>
    </row>
    <row r="809" spans="1:8" ht="25.05" customHeight="1" x14ac:dyDescent="0.25">
      <c r="A809" s="2" t="s">
        <v>8</v>
      </c>
      <c r="B809" s="2" t="str">
        <f>HYPERLINK("http://ts.21cn.com/tousu/show/id/1331266","隐藏条款！盗取用户信息,恶意盗刷")</f>
        <v>隐藏条款！盗取用户信息,恶意盗刷</v>
      </c>
      <c r="C809" s="2" t="s">
        <v>9</v>
      </c>
      <c r="D809" s="2" t="s">
        <v>10</v>
      </c>
      <c r="E809" s="2" t="str">
        <f>HYPERLINK("http://ts.21cn.com/tousu/show/id/1331266","http://ts.21cn.com/tousu/show/id/1331266")</f>
        <v>http://ts.21cn.com/tousu/show/id/1331266</v>
      </c>
      <c r="F809" s="2" t="s">
        <v>11</v>
      </c>
      <c r="G809" s="2" t="s">
        <v>42564</v>
      </c>
      <c r="H809" s="2" t="s">
        <v>12169</v>
      </c>
    </row>
    <row r="810" spans="1:8" ht="25.05" customHeight="1" x14ac:dyDescent="0.25">
      <c r="A810" s="2" t="s">
        <v>8</v>
      </c>
      <c r="B810" s="2" t="str">
        <f>HYPERLINK("http://ts.21cn.com/tousu/show/id/1331267","网购大闸蟹虚假宣传，欺诈消费")</f>
        <v>网购大闸蟹虚假宣传，欺诈消费</v>
      </c>
      <c r="C810" s="2" t="s">
        <v>9</v>
      </c>
      <c r="D810" s="2" t="s">
        <v>10</v>
      </c>
      <c r="E810" s="2" t="str">
        <f>HYPERLINK("http://ts.21cn.com/tousu/show/id/1331267","http://ts.21cn.com/tousu/show/id/1331267")</f>
        <v>http://ts.21cn.com/tousu/show/id/1331267</v>
      </c>
      <c r="F810" s="2" t="s">
        <v>11</v>
      </c>
      <c r="G810" s="2" t="s">
        <v>42562</v>
      </c>
      <c r="H810" s="2" t="s">
        <v>42563</v>
      </c>
    </row>
    <row r="811" spans="1:8" ht="25.05" customHeight="1" x14ac:dyDescent="0.25">
      <c r="A811" s="2" t="s">
        <v>8</v>
      </c>
      <c r="B811" s="2" t="str">
        <f>HYPERLINK("http://ts.21cn.com/tousu/show/id/1331268","东方银谷委托第三方催收")</f>
        <v>东方银谷委托第三方催收</v>
      </c>
      <c r="C811" s="2" t="s">
        <v>9</v>
      </c>
      <c r="D811" s="2" t="s">
        <v>10</v>
      </c>
      <c r="E811" s="2" t="str">
        <f>HYPERLINK("http://ts.21cn.com/tousu/show/id/1331268","http://ts.21cn.com/tousu/show/id/1331268")</f>
        <v>http://ts.21cn.com/tousu/show/id/1331268</v>
      </c>
      <c r="F811" s="2" t="s">
        <v>11</v>
      </c>
      <c r="G811" s="2" t="s">
        <v>42560</v>
      </c>
      <c r="H811" s="2" t="s">
        <v>42561</v>
      </c>
    </row>
    <row r="812" spans="1:8" ht="25.05" customHeight="1" x14ac:dyDescent="0.25">
      <c r="A812" s="2" t="s">
        <v>8</v>
      </c>
      <c r="B812" s="2" t="str">
        <f>HYPERLINK("http://ts.21cn.com/tousu/show/id/1331269","钱包易贷砍头息")</f>
        <v>钱包易贷砍头息</v>
      </c>
      <c r="C812" s="2" t="s">
        <v>9</v>
      </c>
      <c r="D812" s="2" t="s">
        <v>10</v>
      </c>
      <c r="E812" s="2" t="str">
        <f>HYPERLINK("http://ts.21cn.com/tousu/show/id/1331269","http://ts.21cn.com/tousu/show/id/1331269")</f>
        <v>http://ts.21cn.com/tousu/show/id/1331269</v>
      </c>
      <c r="F812" s="2" t="s">
        <v>11</v>
      </c>
      <c r="G812" s="2" t="s">
        <v>42558</v>
      </c>
      <c r="H812" s="2" t="s">
        <v>42559</v>
      </c>
    </row>
    <row r="813" spans="1:8" ht="25.05" customHeight="1" x14ac:dyDescent="0.25">
      <c r="A813" s="2" t="s">
        <v>8</v>
      </c>
      <c r="B813" s="2" t="str">
        <f>HYPERLINK("http://ts.21cn.com/tousu/show/id/1331271","51即刻有高利贷爆通讯录")</f>
        <v>51即刻有高利贷爆通讯录</v>
      </c>
      <c r="C813" s="2" t="s">
        <v>9</v>
      </c>
      <c r="D813" s="2" t="s">
        <v>10</v>
      </c>
      <c r="E813" s="2" t="str">
        <f>HYPERLINK("http://ts.21cn.com/tousu/show/id/1331271","http://ts.21cn.com/tousu/show/id/1331271")</f>
        <v>http://ts.21cn.com/tousu/show/id/1331271</v>
      </c>
      <c r="F813" s="2" t="s">
        <v>11</v>
      </c>
      <c r="G813" s="2" t="s">
        <v>42556</v>
      </c>
      <c r="H813" s="2" t="s">
        <v>42557</v>
      </c>
    </row>
    <row r="814" spans="1:8" ht="25.05" customHeight="1" x14ac:dyDescent="0.25">
      <c r="A814" s="2" t="s">
        <v>8</v>
      </c>
      <c r="B814" s="2" t="str">
        <f>HYPERLINK("http://ts.21cn.com/tousu/show/id/1331277","未成年在监护人不知情的情况下买了近千元的游戏装备，想联系客服解决只有人工")</f>
        <v>未成年在监护人不知情的情况下买了近千元的游戏装备，想联系客服解决只有人工</v>
      </c>
      <c r="C814" s="2" t="s">
        <v>9</v>
      </c>
      <c r="D814" s="2" t="s">
        <v>10</v>
      </c>
      <c r="E814" s="2" t="str">
        <f>HYPERLINK("http://ts.21cn.com/tousu/show/id/1331277","http://ts.21cn.com/tousu/show/id/1331277")</f>
        <v>http://ts.21cn.com/tousu/show/id/1331277</v>
      </c>
      <c r="F814" s="2" t="s">
        <v>11</v>
      </c>
      <c r="G814" s="2" t="s">
        <v>42554</v>
      </c>
      <c r="H814" s="2" t="s">
        <v>42555</v>
      </c>
    </row>
    <row r="815" spans="1:8" ht="25.05" customHeight="1" x14ac:dyDescent="0.25">
      <c r="A815" s="2" t="s">
        <v>8</v>
      </c>
      <c r="B815" s="2" t="str">
        <f>HYPERLINK("http://ts.21cn.com/tousu/show/id/1331272","聚福钱包未允许私自扣除本人299元，打了几次客服电话为什么借款没通过要求退款依然没有什么作用，希望退款")</f>
        <v>聚福钱包未允许私自扣除本人299元，打了几次客服电话为什么借款没通过要求退款依然没有什么作用，希望退款</v>
      </c>
      <c r="C815" s="2" t="s">
        <v>9</v>
      </c>
      <c r="D815" s="2" t="s">
        <v>10</v>
      </c>
      <c r="E815" s="2" t="str">
        <f>HYPERLINK("http://ts.21cn.com/tousu/show/id/1331272","http://ts.21cn.com/tousu/show/id/1331272")</f>
        <v>http://ts.21cn.com/tousu/show/id/1331272</v>
      </c>
      <c r="F815" s="2" t="s">
        <v>11</v>
      </c>
      <c r="G815" s="2" t="s">
        <v>42552</v>
      </c>
      <c r="H815" s="2" t="s">
        <v>42553</v>
      </c>
    </row>
    <row r="816" spans="1:8" ht="25.05" customHeight="1" x14ac:dyDescent="0.25">
      <c r="A816" s="2" t="s">
        <v>8</v>
      </c>
      <c r="B816" s="2" t="str">
        <f>HYPERLINK("http://ts.21cn.com/tousu/show/id/1331227","投诉，酷宝支付广州茜茜")</f>
        <v>投诉，酷宝支付广州茜茜</v>
      </c>
      <c r="C816" s="2" t="s">
        <v>9</v>
      </c>
      <c r="D816" s="2" t="s">
        <v>10</v>
      </c>
      <c r="E816" s="2" t="str">
        <f>HYPERLINK("http://ts.21cn.com/tousu/show/id/1331227","http://ts.21cn.com/tousu/show/id/1331227")</f>
        <v>http://ts.21cn.com/tousu/show/id/1331227</v>
      </c>
      <c r="F816" s="2" t="s">
        <v>11</v>
      </c>
      <c r="G816" s="2" t="s">
        <v>42550</v>
      </c>
      <c r="H816" s="2" t="s">
        <v>42551</v>
      </c>
    </row>
    <row r="817" spans="1:8" ht="25.05" customHeight="1" x14ac:dyDescent="0.25">
      <c r="A817" s="2" t="s">
        <v>8</v>
      </c>
      <c r="B817" s="2" t="str">
        <f>HYPERLINK("http://ts.21cn.com/tousu/show/id/1331273","京东小白信用分突然降低有内幕")</f>
        <v>京东小白信用分突然降低有内幕</v>
      </c>
      <c r="C817" s="2" t="s">
        <v>9</v>
      </c>
      <c r="D817" s="2" t="s">
        <v>10</v>
      </c>
      <c r="E817" s="2" t="str">
        <f>HYPERLINK("http://ts.21cn.com/tousu/show/id/1331273","http://ts.21cn.com/tousu/show/id/1331273")</f>
        <v>http://ts.21cn.com/tousu/show/id/1331273</v>
      </c>
      <c r="F817" s="2" t="s">
        <v>11</v>
      </c>
      <c r="G817" s="2" t="s">
        <v>42548</v>
      </c>
      <c r="H817" s="2" t="s">
        <v>42549</v>
      </c>
    </row>
    <row r="818" spans="1:8" ht="25.05" customHeight="1" x14ac:dyDescent="0.25">
      <c r="A818" s="2" t="s">
        <v>8</v>
      </c>
      <c r="B818" s="2" t="str">
        <f>HYPERLINK("http://ts.21cn.com/tousu/show/id/1331274","利率欺诈电话骚扰只能自动按月扣款")</f>
        <v>利率欺诈电话骚扰只能自动按月扣款</v>
      </c>
      <c r="C818" s="2" t="s">
        <v>9</v>
      </c>
      <c r="D818" s="2" t="s">
        <v>10</v>
      </c>
      <c r="E818" s="2" t="str">
        <f>HYPERLINK("http://ts.21cn.com/tousu/show/id/1331274","http://ts.21cn.com/tousu/show/id/1331274")</f>
        <v>http://ts.21cn.com/tousu/show/id/1331274</v>
      </c>
      <c r="F818" s="2" t="s">
        <v>11</v>
      </c>
      <c r="G818" s="2" t="s">
        <v>42546</v>
      </c>
      <c r="H818" s="2" t="s">
        <v>42547</v>
      </c>
    </row>
    <row r="819" spans="1:8" ht="25.05" customHeight="1" x14ac:dyDescent="0.25">
      <c r="A819" s="2" t="s">
        <v>8</v>
      </c>
      <c r="B819" s="2" t="str">
        <f>HYPERLINK("http://ts.21cn.com/tousu/show/id/1331275","白条分期私自扣我银行卡里199元钱，说是会员费")</f>
        <v>白条分期私自扣我银行卡里199元钱，说是会员费</v>
      </c>
      <c r="C819" s="2" t="s">
        <v>9</v>
      </c>
      <c r="D819" s="2" t="s">
        <v>10</v>
      </c>
      <c r="E819" s="2" t="str">
        <f>HYPERLINK("http://ts.21cn.com/tousu/show/id/1331275","http://ts.21cn.com/tousu/show/id/1331275")</f>
        <v>http://ts.21cn.com/tousu/show/id/1331275</v>
      </c>
      <c r="F819" s="2" t="s">
        <v>11</v>
      </c>
      <c r="G819" s="2" t="s">
        <v>42544</v>
      </c>
      <c r="H819" s="2" t="s">
        <v>42545</v>
      </c>
    </row>
    <row r="820" spans="1:8" ht="25.05" customHeight="1" x14ac:dyDescent="0.25">
      <c r="A820" s="2" t="s">
        <v>8</v>
      </c>
      <c r="B820" s="2" t="str">
        <f>HYPERLINK("http://ts.21cn.com/tousu/show/id/1331276","钱站高利贷阴阳合同")</f>
        <v>钱站高利贷阴阳合同</v>
      </c>
      <c r="C820" s="2" t="s">
        <v>9</v>
      </c>
      <c r="D820" s="2" t="s">
        <v>10</v>
      </c>
      <c r="E820" s="2" t="str">
        <f>HYPERLINK("http://ts.21cn.com/tousu/show/id/1331276","http://ts.21cn.com/tousu/show/id/1331276")</f>
        <v>http://ts.21cn.com/tousu/show/id/1331276</v>
      </c>
      <c r="F820" s="2" t="s">
        <v>11</v>
      </c>
      <c r="G820" s="2" t="s">
        <v>42542</v>
      </c>
      <c r="H820" s="2" t="s">
        <v>42543</v>
      </c>
    </row>
    <row r="821" spans="1:8" ht="25.05" customHeight="1" x14ac:dyDescent="0.25">
      <c r="A821" s="2" t="s">
        <v>8</v>
      </c>
      <c r="B821" s="2" t="str">
        <f>HYPERLINK("http://ts.21cn.com/tousu/show/id/1331278","美团众包盗取中华人民共和国人民的劳动成果")</f>
        <v>美团众包盗取中华人民共和国人民的劳动成果</v>
      </c>
      <c r="C821" s="2" t="s">
        <v>34</v>
      </c>
      <c r="D821" s="2" t="s">
        <v>10</v>
      </c>
      <c r="E821" s="2" t="str">
        <f>HYPERLINK("http://ts.21cn.com/tousu/show/id/1331278","http://ts.21cn.com/tousu/show/id/1331278")</f>
        <v>http://ts.21cn.com/tousu/show/id/1331278</v>
      </c>
      <c r="F821" s="2" t="s">
        <v>11</v>
      </c>
      <c r="G821" s="2" t="s">
        <v>42540</v>
      </c>
      <c r="H821" s="2" t="s">
        <v>42541</v>
      </c>
    </row>
    <row r="822" spans="1:8" ht="25.05" customHeight="1" x14ac:dyDescent="0.25">
      <c r="A822" s="2" t="s">
        <v>8</v>
      </c>
      <c r="B822" s="2" t="str">
        <f>HYPERLINK("http://ts.21cn.com/tousu/show/id/1331279","钱站高利贷阴阳合同")</f>
        <v>钱站高利贷阴阳合同</v>
      </c>
      <c r="C822" s="2" t="s">
        <v>9</v>
      </c>
      <c r="D822" s="2" t="s">
        <v>10</v>
      </c>
      <c r="E822" s="2" t="str">
        <f>HYPERLINK("http://ts.21cn.com/tousu/show/id/1331279","http://ts.21cn.com/tousu/show/id/1331279")</f>
        <v>http://ts.21cn.com/tousu/show/id/1331279</v>
      </c>
      <c r="F822" s="2" t="s">
        <v>11</v>
      </c>
      <c r="G822" s="2" t="s">
        <v>42538</v>
      </c>
      <c r="H822" s="2" t="s">
        <v>42539</v>
      </c>
    </row>
    <row r="823" spans="1:8" ht="25.05" customHeight="1" x14ac:dyDescent="0.25">
      <c r="A823" s="2" t="s">
        <v>8</v>
      </c>
      <c r="B823" s="2" t="str">
        <f>HYPERLINK("http://ts.21cn.com/tousu/show/id/1331280","立借借款10000实际到账8600！十二期要换还13600")</f>
        <v>立借借款10000实际到账8600！十二期要换还13600</v>
      </c>
      <c r="C823" s="2" t="s">
        <v>9</v>
      </c>
      <c r="D823" s="2" t="s">
        <v>10</v>
      </c>
      <c r="E823" s="2" t="str">
        <f>HYPERLINK("http://ts.21cn.com/tousu/show/id/1331280","http://ts.21cn.com/tousu/show/id/1331280")</f>
        <v>http://ts.21cn.com/tousu/show/id/1331280</v>
      </c>
      <c r="F823" s="2" t="s">
        <v>11</v>
      </c>
      <c r="G823" s="2" t="s">
        <v>42536</v>
      </c>
      <c r="H823" s="2" t="s">
        <v>42537</v>
      </c>
    </row>
    <row r="824" spans="1:8" ht="25.05" customHeight="1" x14ac:dyDescent="0.25">
      <c r="A824" s="2" t="s">
        <v>8</v>
      </c>
      <c r="B824" s="2" t="str">
        <f>HYPERLINK("http://ts.21cn.com/tousu/show/id/1331281","安全带账单日频繁电话骚扰暴力催收")</f>
        <v>安全带账单日频繁电话骚扰暴力催收</v>
      </c>
      <c r="C824" s="2" t="s">
        <v>9</v>
      </c>
      <c r="D824" s="2" t="s">
        <v>10</v>
      </c>
      <c r="E824" s="2" t="str">
        <f>HYPERLINK("http://ts.21cn.com/tousu/show/id/1331281","http://ts.21cn.com/tousu/show/id/1331281")</f>
        <v>http://ts.21cn.com/tousu/show/id/1331281</v>
      </c>
      <c r="F824" s="2" t="s">
        <v>11</v>
      </c>
      <c r="G824" s="2" t="s">
        <v>42534</v>
      </c>
      <c r="H824" s="2" t="s">
        <v>42535</v>
      </c>
    </row>
    <row r="825" spans="1:8" ht="25.05" customHeight="1" x14ac:dyDescent="0.25">
      <c r="A825" s="2" t="s">
        <v>8</v>
      </c>
      <c r="B825" s="2" t="str">
        <f>HYPERLINK("http://ts.21cn.com/tousu/show/id/1331282","51人品贷款高额利息高额服务费")</f>
        <v>51人品贷款高额利息高额服务费</v>
      </c>
      <c r="C825" s="2" t="s">
        <v>9</v>
      </c>
      <c r="D825" s="2" t="s">
        <v>10</v>
      </c>
      <c r="E825" s="2" t="str">
        <f>HYPERLINK("http://ts.21cn.com/tousu/show/id/1331282","http://ts.21cn.com/tousu/show/id/1331282")</f>
        <v>http://ts.21cn.com/tousu/show/id/1331282</v>
      </c>
      <c r="F825" s="2" t="s">
        <v>11</v>
      </c>
      <c r="G825" s="2" t="s">
        <v>42532</v>
      </c>
      <c r="H825" s="2" t="s">
        <v>42533</v>
      </c>
    </row>
    <row r="826" spans="1:8" ht="25.05" customHeight="1" x14ac:dyDescent="0.25">
      <c r="A826" s="2" t="s">
        <v>8</v>
      </c>
      <c r="B826" s="2" t="str">
        <f>HYPERLINK("http://ts.21cn.com/tousu/show/id/1331283","咸鱼客服放纵买家辱骂本人及其亲属，投诉举报都无效")</f>
        <v>咸鱼客服放纵买家辱骂本人及其亲属，投诉举报都无效</v>
      </c>
      <c r="C826" s="2" t="s">
        <v>9</v>
      </c>
      <c r="D826" s="2" t="s">
        <v>10</v>
      </c>
      <c r="E826" s="2" t="str">
        <f>HYPERLINK("http://ts.21cn.com/tousu/show/id/1331283","http://ts.21cn.com/tousu/show/id/1331283")</f>
        <v>http://ts.21cn.com/tousu/show/id/1331283</v>
      </c>
      <c r="F826" s="2" t="s">
        <v>11</v>
      </c>
      <c r="G826" s="2" t="s">
        <v>42530</v>
      </c>
      <c r="H826" s="2" t="s">
        <v>42531</v>
      </c>
    </row>
    <row r="827" spans="1:8" ht="25.05" customHeight="1" x14ac:dyDescent="0.25">
      <c r="A827" s="2" t="s">
        <v>8</v>
      </c>
      <c r="B827" s="2" t="str">
        <f>HYPERLINK("http://ts.21cn.com/tousu/show/id/1331284","捷信金融逾期一天打几十个电话")</f>
        <v>捷信金融逾期一天打几十个电话</v>
      </c>
      <c r="C827" s="2" t="s">
        <v>9</v>
      </c>
      <c r="D827" s="2" t="s">
        <v>10</v>
      </c>
      <c r="E827" s="2" t="str">
        <f>HYPERLINK("http://ts.21cn.com/tousu/show/id/1331284","http://ts.21cn.com/tousu/show/id/1331284")</f>
        <v>http://ts.21cn.com/tousu/show/id/1331284</v>
      </c>
      <c r="F827" s="2" t="s">
        <v>11</v>
      </c>
      <c r="G827" s="2" t="s">
        <v>42528</v>
      </c>
      <c r="H827" s="2" t="s">
        <v>42529</v>
      </c>
    </row>
    <row r="828" spans="1:8" ht="25.05" customHeight="1" x14ac:dyDescent="0.25">
      <c r="A828" s="2" t="s">
        <v>8</v>
      </c>
      <c r="B828" s="2" t="str">
        <f>HYPERLINK("http://ts.21cn.com/tousu/show/id/1331285","高额砍头息")</f>
        <v>高额砍头息</v>
      </c>
      <c r="C828" s="2" t="s">
        <v>34</v>
      </c>
      <c r="D828" s="2" t="s">
        <v>10</v>
      </c>
      <c r="E828" s="2" t="str">
        <f>HYPERLINK("http://ts.21cn.com/tousu/show/id/1331285","http://ts.21cn.com/tousu/show/id/1331285")</f>
        <v>http://ts.21cn.com/tousu/show/id/1331285</v>
      </c>
      <c r="F828" s="2" t="s">
        <v>11</v>
      </c>
      <c r="G828" s="2" t="s">
        <v>42526</v>
      </c>
      <c r="H828" s="2" t="s">
        <v>42527</v>
      </c>
    </row>
    <row r="829" spans="1:8" ht="25.05" customHeight="1" x14ac:dyDescent="0.25">
      <c r="A829" s="2" t="s">
        <v>8</v>
      </c>
      <c r="B829" s="2" t="str">
        <f>HYPERLINK("http://ts.21cn.com/tousu/show/id/1331286","砍头息网贷")</f>
        <v>砍头息网贷</v>
      </c>
      <c r="C829" s="2" t="s">
        <v>34</v>
      </c>
      <c r="D829" s="2" t="s">
        <v>10</v>
      </c>
      <c r="E829" s="2" t="str">
        <f>HYPERLINK("http://ts.21cn.com/tousu/show/id/1331286","http://ts.21cn.com/tousu/show/id/1331286")</f>
        <v>http://ts.21cn.com/tousu/show/id/1331286</v>
      </c>
      <c r="F829" s="2" t="s">
        <v>11</v>
      </c>
      <c r="G829" s="2" t="s">
        <v>42524</v>
      </c>
      <c r="H829" s="2" t="s">
        <v>42525</v>
      </c>
    </row>
    <row r="830" spans="1:8" ht="25.05" customHeight="1" x14ac:dyDescent="0.25">
      <c r="A830" s="2" t="s">
        <v>8</v>
      </c>
      <c r="B830" s="2" t="str">
        <f>HYPERLINK("http://ts.21cn.com/tousu/show/id/1331288","请易宝支付查明我此款去向")</f>
        <v>请易宝支付查明我此款去向</v>
      </c>
      <c r="C830" s="2" t="s">
        <v>34</v>
      </c>
      <c r="D830" s="2" t="s">
        <v>10</v>
      </c>
      <c r="E830" s="2" t="str">
        <f>HYPERLINK("http://ts.21cn.com/tousu/show/id/1331288","http://ts.21cn.com/tousu/show/id/1331288")</f>
        <v>http://ts.21cn.com/tousu/show/id/1331288</v>
      </c>
      <c r="F830" s="2" t="s">
        <v>11</v>
      </c>
      <c r="G830" s="2" t="s">
        <v>42522</v>
      </c>
      <c r="H830" s="2" t="s">
        <v>42523</v>
      </c>
    </row>
    <row r="831" spans="1:8" ht="25.05" customHeight="1" x14ac:dyDescent="0.25">
      <c r="A831" s="2" t="s">
        <v>8</v>
      </c>
      <c r="B831" s="2" t="str">
        <f>HYPERLINK("http://ts.21cn.com/tousu/show/id/1331289","开机屏幕漏液，要求更换")</f>
        <v>开机屏幕漏液，要求更换</v>
      </c>
      <c r="C831" s="2" t="s">
        <v>9</v>
      </c>
      <c r="D831" s="2" t="s">
        <v>10</v>
      </c>
      <c r="E831" s="2" t="str">
        <f>HYPERLINK("http://ts.21cn.com/tousu/show/id/1331289","http://ts.21cn.com/tousu/show/id/1331289")</f>
        <v>http://ts.21cn.com/tousu/show/id/1331289</v>
      </c>
      <c r="F831" s="2" t="s">
        <v>11</v>
      </c>
      <c r="G831" s="2" t="s">
        <v>42520</v>
      </c>
      <c r="H831" s="2" t="s">
        <v>42521</v>
      </c>
    </row>
    <row r="832" spans="1:8" ht="25.05" customHeight="1" x14ac:dyDescent="0.25">
      <c r="A832" s="2" t="s">
        <v>8</v>
      </c>
      <c r="B832" s="2" t="str">
        <f>HYPERLINK("http://ts.21cn.com/tousu/show/id/1331290","树林分期高利贷砍头息")</f>
        <v>树林分期高利贷砍头息</v>
      </c>
      <c r="C832" s="2" t="s">
        <v>9</v>
      </c>
      <c r="D832" s="2" t="s">
        <v>10</v>
      </c>
      <c r="E832" s="2" t="str">
        <f>HYPERLINK("http://ts.21cn.com/tousu/show/id/1331290","http://ts.21cn.com/tousu/show/id/1331290")</f>
        <v>http://ts.21cn.com/tousu/show/id/1331290</v>
      </c>
      <c r="F832" s="2" t="s">
        <v>11</v>
      </c>
      <c r="G832" s="2" t="s">
        <v>42518</v>
      </c>
      <c r="H832" s="2" t="s">
        <v>42519</v>
      </c>
    </row>
    <row r="833" spans="1:8" ht="25.05" customHeight="1" x14ac:dyDescent="0.25">
      <c r="A833" s="2" t="s">
        <v>8</v>
      </c>
      <c r="B833" s="2" t="str">
        <f>HYPERLINK("http://ts.21cn.com/tousu/show/id/1330902","分期通会员费")</f>
        <v>分期通会员费</v>
      </c>
      <c r="C833" s="2" t="s">
        <v>9</v>
      </c>
      <c r="D833" s="2" t="s">
        <v>10</v>
      </c>
      <c r="E833" s="2" t="str">
        <f>HYPERLINK("http://ts.21cn.com/tousu/show/id/1330902","http://ts.21cn.com/tousu/show/id/1330902")</f>
        <v>http://ts.21cn.com/tousu/show/id/1330902</v>
      </c>
      <c r="F833" s="2" t="s">
        <v>11</v>
      </c>
      <c r="G833" s="2" t="s">
        <v>42516</v>
      </c>
      <c r="H833" s="2" t="s">
        <v>42517</v>
      </c>
    </row>
    <row r="834" spans="1:8" ht="25.05" customHeight="1" x14ac:dyDescent="0.25">
      <c r="A834" s="2" t="s">
        <v>8</v>
      </c>
      <c r="B834" s="2" t="str">
        <f>HYPERLINK("http://ts.21cn.com/tousu/show/id/1331291","玖富万卡高利贷")</f>
        <v>玖富万卡高利贷</v>
      </c>
      <c r="C834" s="2" t="s">
        <v>9</v>
      </c>
      <c r="D834" s="2" t="s">
        <v>10</v>
      </c>
      <c r="E834" s="2" t="str">
        <f>HYPERLINK("http://ts.21cn.com/tousu/show/id/1331291","http://ts.21cn.com/tousu/show/id/1331291")</f>
        <v>http://ts.21cn.com/tousu/show/id/1331291</v>
      </c>
      <c r="F834" s="2" t="s">
        <v>11</v>
      </c>
      <c r="G834" s="2" t="s">
        <v>42514</v>
      </c>
      <c r="H834" s="2" t="s">
        <v>42515</v>
      </c>
    </row>
    <row r="835" spans="1:8" ht="25.05" customHeight="1" x14ac:dyDescent="0.25">
      <c r="A835" s="2" t="s">
        <v>8</v>
      </c>
      <c r="B835" s="2" t="str">
        <f>HYPERLINK("http://ts.21cn.com/tousu/show/id/1331292","京东自营网店就是霸道第三方厂家坑人的幌子，欺诈消费者，破坏消费者知情权")</f>
        <v>京东自营网店就是霸道第三方厂家坑人的幌子，欺诈消费者，破坏消费者知情权</v>
      </c>
      <c r="C835" s="2" t="s">
        <v>9</v>
      </c>
      <c r="D835" s="2" t="s">
        <v>10</v>
      </c>
      <c r="E835" s="2" t="str">
        <f>HYPERLINK("http://ts.21cn.com/tousu/show/id/1331292","http://ts.21cn.com/tousu/show/id/1331292")</f>
        <v>http://ts.21cn.com/tousu/show/id/1331292</v>
      </c>
      <c r="F835" s="2" t="s">
        <v>11</v>
      </c>
      <c r="G835" s="2" t="s">
        <v>42512</v>
      </c>
      <c r="H835" s="2" t="s">
        <v>42513</v>
      </c>
    </row>
    <row r="836" spans="1:8" ht="25.05" customHeight="1" x14ac:dyDescent="0.25">
      <c r="A836" s="2" t="s">
        <v>8</v>
      </c>
      <c r="B836" s="2" t="str">
        <f>HYPERLINK("http://ts.21cn.com/tousu/show/id/1331293","收到催收电话，可是都没在平台借钱")</f>
        <v>收到催收电话，可是都没在平台借钱</v>
      </c>
      <c r="C836" s="2" t="s">
        <v>34</v>
      </c>
      <c r="D836" s="2" t="s">
        <v>10</v>
      </c>
      <c r="E836" s="2" t="str">
        <f>HYPERLINK("http://ts.21cn.com/tousu/show/id/1331293","http://ts.21cn.com/tousu/show/id/1331293")</f>
        <v>http://ts.21cn.com/tousu/show/id/1331293</v>
      </c>
      <c r="F836" s="2" t="s">
        <v>11</v>
      </c>
      <c r="G836" s="2" t="s">
        <v>42510</v>
      </c>
      <c r="H836" s="2" t="s">
        <v>42511</v>
      </c>
    </row>
    <row r="837" spans="1:8" ht="25.05" customHeight="1" x14ac:dyDescent="0.25">
      <c r="A837" s="2" t="s">
        <v>8</v>
      </c>
      <c r="B837" s="2" t="str">
        <f>HYPERLINK("http://ts.21cn.com/tousu/show/id/1331294","玖富万卡擅自改写合同，变相收取费用，高利贷")</f>
        <v>玖富万卡擅自改写合同，变相收取费用，高利贷</v>
      </c>
      <c r="C837" s="2" t="s">
        <v>9</v>
      </c>
      <c r="D837" s="2" t="s">
        <v>10</v>
      </c>
      <c r="E837" s="2" t="str">
        <f>HYPERLINK("http://ts.21cn.com/tousu/show/id/1331294","http://ts.21cn.com/tousu/show/id/1331294")</f>
        <v>http://ts.21cn.com/tousu/show/id/1331294</v>
      </c>
      <c r="F837" s="2" t="s">
        <v>11</v>
      </c>
      <c r="G837" s="2" t="s">
        <v>42508</v>
      </c>
      <c r="H837" s="2" t="s">
        <v>42509</v>
      </c>
    </row>
    <row r="838" spans="1:8" ht="25.05" customHeight="1" x14ac:dyDescent="0.25">
      <c r="A838" s="2" t="s">
        <v>8</v>
      </c>
      <c r="B838" s="2" t="str">
        <f>HYPERLINK("http://ts.21cn.com/tousu/show/id/1331295","来分期提前还款利息收取不合理")</f>
        <v>来分期提前还款利息收取不合理</v>
      </c>
      <c r="C838" s="2" t="s">
        <v>9</v>
      </c>
      <c r="D838" s="2" t="s">
        <v>10</v>
      </c>
      <c r="E838" s="2" t="str">
        <f>HYPERLINK("http://ts.21cn.com/tousu/show/id/1331295","http://ts.21cn.com/tousu/show/id/1331295")</f>
        <v>http://ts.21cn.com/tousu/show/id/1331295</v>
      </c>
      <c r="F838" s="2" t="s">
        <v>11</v>
      </c>
      <c r="G838" s="2" t="s">
        <v>42506</v>
      </c>
      <c r="H838" s="2" t="s">
        <v>42507</v>
      </c>
    </row>
    <row r="839" spans="1:8" ht="25.05" customHeight="1" x14ac:dyDescent="0.25">
      <c r="A839" s="2" t="s">
        <v>8</v>
      </c>
      <c r="B839" s="2" t="str">
        <f>HYPERLINK("http://ts.21cn.com/tousu/show/id/1331297","51即刻有变相高利贷骚扰联系人")</f>
        <v>51即刻有变相高利贷骚扰联系人</v>
      </c>
      <c r="C839" s="2" t="s">
        <v>9</v>
      </c>
      <c r="D839" s="2" t="s">
        <v>10</v>
      </c>
      <c r="E839" s="2" t="str">
        <f>HYPERLINK("http://ts.21cn.com/tousu/show/id/1331297","http://ts.21cn.com/tousu/show/id/1331297")</f>
        <v>http://ts.21cn.com/tousu/show/id/1331297</v>
      </c>
      <c r="F839" s="2" t="s">
        <v>11</v>
      </c>
      <c r="G839" s="2" t="s">
        <v>42504</v>
      </c>
      <c r="H839" s="2" t="s">
        <v>42505</v>
      </c>
    </row>
    <row r="840" spans="1:8" ht="25.05" customHeight="1" x14ac:dyDescent="0.25">
      <c r="A840" s="2" t="s">
        <v>8</v>
      </c>
      <c r="B840" s="2" t="str">
        <f>HYPERLINK("http://ts.21cn.com/tousu/show/id/1331299","信用管家app里面高额分期，违规贷款")</f>
        <v>信用管家app里面高额分期，违规贷款</v>
      </c>
      <c r="C840" s="2" t="s">
        <v>9</v>
      </c>
      <c r="D840" s="2" t="s">
        <v>10</v>
      </c>
      <c r="E840" s="2" t="str">
        <f>HYPERLINK("http://ts.21cn.com/tousu/show/id/1331299","http://ts.21cn.com/tousu/show/id/1331299")</f>
        <v>http://ts.21cn.com/tousu/show/id/1331299</v>
      </c>
      <c r="F840" s="2" t="s">
        <v>11</v>
      </c>
      <c r="G840" s="2" t="s">
        <v>42502</v>
      </c>
      <c r="H840" s="2" t="s">
        <v>42503</v>
      </c>
    </row>
    <row r="841" spans="1:8" ht="25.05" customHeight="1" x14ac:dyDescent="0.25">
      <c r="A841" s="2" t="s">
        <v>8</v>
      </c>
      <c r="B841" s="2" t="str">
        <f>HYPERLINK("http://ts.21cn.com/tousu/show/id/1331298","多乐优品变相高利贷")</f>
        <v>多乐优品变相高利贷</v>
      </c>
      <c r="C841" s="2" t="s">
        <v>9</v>
      </c>
      <c r="D841" s="2" t="s">
        <v>10</v>
      </c>
      <c r="E841" s="2" t="str">
        <f>HYPERLINK("http://ts.21cn.com/tousu/show/id/1331298","http://ts.21cn.com/tousu/show/id/1331298")</f>
        <v>http://ts.21cn.com/tousu/show/id/1331298</v>
      </c>
      <c r="F841" s="2" t="s">
        <v>11</v>
      </c>
      <c r="G841" s="2" t="s">
        <v>42500</v>
      </c>
      <c r="H841" s="2" t="s">
        <v>42501</v>
      </c>
    </row>
    <row r="842" spans="1:8" ht="25.05" customHeight="1" x14ac:dyDescent="0.25">
      <c r="A842" s="2" t="s">
        <v>8</v>
      </c>
      <c r="B842" s="2" t="str">
        <f>HYPERLINK("http://ts.21cn.com/tousu/show/id/1331300","周周花花确实为高利贷套路贷平台")</f>
        <v>周周花花确实为高利贷套路贷平台</v>
      </c>
      <c r="C842" s="2" t="s">
        <v>9</v>
      </c>
      <c r="D842" s="2" t="s">
        <v>10</v>
      </c>
      <c r="E842" s="2" t="str">
        <f>HYPERLINK("http://ts.21cn.com/tousu/show/id/1331300","http://ts.21cn.com/tousu/show/id/1331300")</f>
        <v>http://ts.21cn.com/tousu/show/id/1331300</v>
      </c>
      <c r="F842" s="2" t="s">
        <v>11</v>
      </c>
      <c r="G842" s="2" t="s">
        <v>42498</v>
      </c>
      <c r="H842" s="2" t="s">
        <v>42499</v>
      </c>
    </row>
    <row r="843" spans="1:8" ht="25.05" customHeight="1" x14ac:dyDescent="0.25">
      <c r="A843" s="2" t="s">
        <v>8</v>
      </c>
      <c r="B843" s="2" t="str">
        <f>HYPERLINK("http://ts.21cn.com/tousu/show/id/1331301","现控达人高利贷")</f>
        <v>现控达人高利贷</v>
      </c>
      <c r="C843" s="2" t="s">
        <v>9</v>
      </c>
      <c r="D843" s="2" t="s">
        <v>10</v>
      </c>
      <c r="E843" s="2" t="str">
        <f>HYPERLINK("http://ts.21cn.com/tousu/show/id/1331301","http://ts.21cn.com/tousu/show/id/1331301")</f>
        <v>http://ts.21cn.com/tousu/show/id/1331301</v>
      </c>
      <c r="F843" s="2" t="s">
        <v>11</v>
      </c>
      <c r="G843" s="2" t="s">
        <v>42496</v>
      </c>
      <c r="H843" s="2" t="s">
        <v>42497</v>
      </c>
    </row>
    <row r="844" spans="1:8" ht="25.05" customHeight="1" x14ac:dyDescent="0.25">
      <c r="A844" s="2" t="s">
        <v>8</v>
      </c>
      <c r="B844" s="2" t="str">
        <f>HYPERLINK("http://ts.21cn.com/tousu/show/id/1331302","立借app高利贷暴力催收")</f>
        <v>立借app高利贷暴力催收</v>
      </c>
      <c r="C844" s="2" t="s">
        <v>9</v>
      </c>
      <c r="D844" s="2" t="s">
        <v>10</v>
      </c>
      <c r="E844" s="2" t="str">
        <f>HYPERLINK("http://ts.21cn.com/tousu/show/id/1331302","http://ts.21cn.com/tousu/show/id/1331302")</f>
        <v>http://ts.21cn.com/tousu/show/id/1331302</v>
      </c>
      <c r="F844" s="2" t="s">
        <v>11</v>
      </c>
      <c r="G844" s="2" t="s">
        <v>42494</v>
      </c>
      <c r="H844" s="2" t="s">
        <v>42495</v>
      </c>
    </row>
    <row r="845" spans="1:8" ht="25.05" customHeight="1" x14ac:dyDescent="0.25">
      <c r="A845" s="2" t="s">
        <v>8</v>
      </c>
      <c r="B845" s="2" t="str">
        <f>HYPERLINK("http://ts.21cn.com/tousu/show/id/1331303","投诉分期乐正常还款情况下冻结额度")</f>
        <v>投诉分期乐正常还款情况下冻结额度</v>
      </c>
      <c r="C845" s="2" t="s">
        <v>9</v>
      </c>
      <c r="D845" s="2" t="s">
        <v>10</v>
      </c>
      <c r="E845" s="2" t="str">
        <f>HYPERLINK("http://ts.21cn.com/tousu/show/id/1331303","http://ts.21cn.com/tousu/show/id/1331303")</f>
        <v>http://ts.21cn.com/tousu/show/id/1331303</v>
      </c>
      <c r="F845" s="2" t="s">
        <v>11</v>
      </c>
      <c r="G845" s="2" t="s">
        <v>42492</v>
      </c>
      <c r="H845" s="2" t="s">
        <v>42493</v>
      </c>
    </row>
    <row r="846" spans="1:8" ht="25.05" customHeight="1" x14ac:dyDescent="0.25">
      <c r="A846" s="2" t="s">
        <v>8</v>
      </c>
      <c r="B846" s="2" t="str">
        <f>HYPERLINK("http://ts.21cn.com/tousu/show/id/1331306","套路贷")</f>
        <v>套路贷</v>
      </c>
      <c r="C846" s="2" t="s">
        <v>9</v>
      </c>
      <c r="D846" s="2" t="s">
        <v>10</v>
      </c>
      <c r="E846" s="2" t="str">
        <f>HYPERLINK("http://ts.21cn.com/tousu/show/id/1331306","http://ts.21cn.com/tousu/show/id/1331306")</f>
        <v>http://ts.21cn.com/tousu/show/id/1331306</v>
      </c>
      <c r="F846" s="2" t="s">
        <v>11</v>
      </c>
      <c r="G846" s="2" t="s">
        <v>42490</v>
      </c>
      <c r="H846" s="2" t="s">
        <v>42491</v>
      </c>
    </row>
    <row r="847" spans="1:8" ht="25.05" customHeight="1" x14ac:dyDescent="0.25">
      <c r="A847" s="2" t="s">
        <v>8</v>
      </c>
      <c r="B847" s="2" t="str">
        <f>HYPERLINK("http://ts.21cn.com/tousu/show/id/1331307","美团外卖没按时间送快餐。服务态度不好。。")</f>
        <v>美团外卖没按时间送快餐。服务态度不好。。</v>
      </c>
      <c r="C847" s="2" t="s">
        <v>9</v>
      </c>
      <c r="D847" s="2" t="s">
        <v>10</v>
      </c>
      <c r="E847" s="2" t="str">
        <f>HYPERLINK("http://ts.21cn.com/tousu/show/id/1331307","http://ts.21cn.com/tousu/show/id/1331307")</f>
        <v>http://ts.21cn.com/tousu/show/id/1331307</v>
      </c>
      <c r="F847" s="2" t="s">
        <v>11</v>
      </c>
      <c r="G847" s="2" t="s">
        <v>42488</v>
      </c>
      <c r="H847" s="2" t="s">
        <v>42489</v>
      </c>
    </row>
    <row r="848" spans="1:8" ht="25.05" customHeight="1" x14ac:dyDescent="0.25">
      <c r="A848" s="2" t="s">
        <v>8</v>
      </c>
      <c r="B848" s="2" t="str">
        <f>HYPERLINK("http://ts.21cn.com/tousu/show/id/1331308","小赢卡贷买手机收到货发现买错了不肯换货")</f>
        <v>小赢卡贷买手机收到货发现买错了不肯换货</v>
      </c>
      <c r="C848" s="2" t="s">
        <v>9</v>
      </c>
      <c r="D848" s="2" t="s">
        <v>10</v>
      </c>
      <c r="E848" s="2" t="str">
        <f>HYPERLINK("http://ts.21cn.com/tousu/show/id/1331308","http://ts.21cn.com/tousu/show/id/1331308")</f>
        <v>http://ts.21cn.com/tousu/show/id/1331308</v>
      </c>
      <c r="F848" s="2" t="s">
        <v>11</v>
      </c>
      <c r="G848" s="2" t="s">
        <v>42486</v>
      </c>
      <c r="H848" s="2" t="s">
        <v>42487</v>
      </c>
    </row>
    <row r="849" spans="1:8" ht="25.05" customHeight="1" x14ac:dyDescent="0.25">
      <c r="A849" s="2" t="s">
        <v>8</v>
      </c>
      <c r="B849" s="2" t="str">
        <f>HYPERLINK("http://ts.21cn.com/tousu/show/id/1331309","蜜芽上买了东西半个月了一直在清关中")</f>
        <v>蜜芽上买了东西半个月了一直在清关中</v>
      </c>
      <c r="C849" s="2" t="s">
        <v>34</v>
      </c>
      <c r="D849" s="2" t="s">
        <v>10</v>
      </c>
      <c r="E849" s="2" t="str">
        <f>HYPERLINK("http://ts.21cn.com/tousu/show/id/1331309","http://ts.21cn.com/tousu/show/id/1331309")</f>
        <v>http://ts.21cn.com/tousu/show/id/1331309</v>
      </c>
      <c r="F849" s="2" t="s">
        <v>11</v>
      </c>
      <c r="G849" s="2" t="s">
        <v>42484</v>
      </c>
      <c r="H849" s="2" t="s">
        <v>42485</v>
      </c>
    </row>
    <row r="850" spans="1:8" ht="25.05" customHeight="1" x14ac:dyDescent="0.25">
      <c r="A850" s="2" t="s">
        <v>8</v>
      </c>
      <c r="B850" s="2" t="str">
        <f>HYPERLINK("http://ts.21cn.com/tousu/show/id/1331312","向钱贷714高炮")</f>
        <v>向钱贷714高炮</v>
      </c>
      <c r="C850" s="2" t="s">
        <v>9</v>
      </c>
      <c r="D850" s="2" t="s">
        <v>10</v>
      </c>
      <c r="E850" s="2" t="str">
        <f>HYPERLINK("http://ts.21cn.com/tousu/show/id/1331312","http://ts.21cn.com/tousu/show/id/1331312")</f>
        <v>http://ts.21cn.com/tousu/show/id/1331312</v>
      </c>
      <c r="F850" s="2" t="s">
        <v>11</v>
      </c>
      <c r="G850" s="2" t="s">
        <v>42482</v>
      </c>
      <c r="H850" s="2" t="s">
        <v>42483</v>
      </c>
    </row>
    <row r="851" spans="1:8" ht="25.05" customHeight="1" x14ac:dyDescent="0.25">
      <c r="A851" s="2" t="s">
        <v>8</v>
      </c>
      <c r="B851" s="2" t="str">
        <f>HYPERLINK("http://ts.21cn.com/tousu/show/id/1331310","云集商品破损换货迟迟不发回")</f>
        <v>云集商品破损换货迟迟不发回</v>
      </c>
      <c r="C851" s="2" t="s">
        <v>9</v>
      </c>
      <c r="D851" s="2" t="s">
        <v>10</v>
      </c>
      <c r="E851" s="2" t="str">
        <f>HYPERLINK("http://ts.21cn.com/tousu/show/id/1331310","http://ts.21cn.com/tousu/show/id/1331310")</f>
        <v>http://ts.21cn.com/tousu/show/id/1331310</v>
      </c>
      <c r="F851" s="2" t="s">
        <v>11</v>
      </c>
      <c r="G851" s="2" t="s">
        <v>42480</v>
      </c>
      <c r="H851" s="2" t="s">
        <v>42481</v>
      </c>
    </row>
    <row r="852" spans="1:8" ht="25.05" customHeight="1" x14ac:dyDescent="0.25">
      <c r="A852" s="2" t="s">
        <v>8</v>
      </c>
      <c r="B852" s="2" t="str">
        <f>HYPERLINK("http://ts.21cn.com/tousu/show/id/1331311","融360借款平台利息严重超出国家规定")</f>
        <v>融360借款平台利息严重超出国家规定</v>
      </c>
      <c r="C852" s="2" t="s">
        <v>34</v>
      </c>
      <c r="D852" s="2" t="s">
        <v>10</v>
      </c>
      <c r="E852" s="2" t="str">
        <f>HYPERLINK("http://ts.21cn.com/tousu/show/id/1331311","http://ts.21cn.com/tousu/show/id/1331311")</f>
        <v>http://ts.21cn.com/tousu/show/id/1331311</v>
      </c>
      <c r="F852" s="2" t="s">
        <v>11</v>
      </c>
      <c r="G852" s="2" t="s">
        <v>42478</v>
      </c>
      <c r="H852" s="2" t="s">
        <v>42479</v>
      </c>
    </row>
    <row r="853" spans="1:8" ht="25.05" customHeight="1" x14ac:dyDescent="0.25">
      <c r="A853" s="2" t="s">
        <v>8</v>
      </c>
      <c r="B853" s="2" t="str">
        <f>HYPERLINK("http://ts.21cn.com/tousu/show/id/1331313","联动云押金不能提前退还，本人需要急用钱希望联动云押金提前退还")</f>
        <v>联动云押金不能提前退还，本人需要急用钱希望联动云押金提前退还</v>
      </c>
      <c r="C853" s="2" t="s">
        <v>9</v>
      </c>
      <c r="D853" s="2" t="s">
        <v>10</v>
      </c>
      <c r="E853" s="2" t="str">
        <f>HYPERLINK("http://ts.21cn.com/tousu/show/id/1331313","http://ts.21cn.com/tousu/show/id/1331313")</f>
        <v>http://ts.21cn.com/tousu/show/id/1331313</v>
      </c>
      <c r="F853" s="2" t="s">
        <v>11</v>
      </c>
      <c r="G853" s="2" t="s">
        <v>42476</v>
      </c>
      <c r="H853" s="2" t="s">
        <v>42477</v>
      </c>
    </row>
    <row r="854" spans="1:8" ht="25.05" customHeight="1" x14ac:dyDescent="0.25">
      <c r="A854" s="2" t="s">
        <v>8</v>
      </c>
      <c r="B854" s="2" t="str">
        <f>HYPERLINK("http://ts.21cn.com/tousu/show/id/1331314","平台投放虚假信息，不开发票")</f>
        <v>平台投放虚假信息，不开发票</v>
      </c>
      <c r="C854" s="2" t="s">
        <v>9</v>
      </c>
      <c r="D854" s="2" t="s">
        <v>10</v>
      </c>
      <c r="E854" s="2" t="str">
        <f>HYPERLINK("http://ts.21cn.com/tousu/show/id/1331314","http://ts.21cn.com/tousu/show/id/1331314")</f>
        <v>http://ts.21cn.com/tousu/show/id/1331314</v>
      </c>
      <c r="F854" s="2" t="s">
        <v>11</v>
      </c>
      <c r="G854" s="2" t="s">
        <v>42474</v>
      </c>
      <c r="H854" s="2" t="s">
        <v>42475</v>
      </c>
    </row>
    <row r="855" spans="1:8" ht="25.05" customHeight="1" x14ac:dyDescent="0.25">
      <c r="A855" s="2" t="s">
        <v>8</v>
      </c>
      <c r="B855" s="2" t="str">
        <f>HYPERLINK("http://ts.21cn.com/tousu/show/id/1331315","钱站借一千三个月就一千利息加本金两千，真心黑，打客服电话都没法取消")</f>
        <v>钱站借一千三个月就一千利息加本金两千，真心黑，打客服电话都没法取消</v>
      </c>
      <c r="C855" s="2" t="s">
        <v>9</v>
      </c>
      <c r="D855" s="2" t="s">
        <v>10</v>
      </c>
      <c r="E855" s="2" t="str">
        <f>HYPERLINK("http://ts.21cn.com/tousu/show/id/1331315","http://ts.21cn.com/tousu/show/id/1331315")</f>
        <v>http://ts.21cn.com/tousu/show/id/1331315</v>
      </c>
      <c r="F855" s="2" t="s">
        <v>11</v>
      </c>
      <c r="G855" s="2" t="s">
        <v>42472</v>
      </c>
      <c r="H855" s="2" t="s">
        <v>42473</v>
      </c>
    </row>
    <row r="856" spans="1:8" ht="25.05" customHeight="1" x14ac:dyDescent="0.25">
      <c r="A856" s="2" t="s">
        <v>8</v>
      </c>
      <c r="B856" s="2" t="str">
        <f>HYPERLINK("http://ts.21cn.com/tousu/show/id/1331316","小铜钱私自扣款")</f>
        <v>小铜钱私自扣款</v>
      </c>
      <c r="C856" s="2" t="s">
        <v>9</v>
      </c>
      <c r="D856" s="2" t="s">
        <v>10</v>
      </c>
      <c r="E856" s="2" t="str">
        <f>HYPERLINK("http://ts.21cn.com/tousu/show/id/1331316","http://ts.21cn.com/tousu/show/id/1331316")</f>
        <v>http://ts.21cn.com/tousu/show/id/1331316</v>
      </c>
      <c r="F856" s="2" t="s">
        <v>11</v>
      </c>
      <c r="G856" s="2" t="s">
        <v>42470</v>
      </c>
      <c r="H856" s="2" t="s">
        <v>42471</v>
      </c>
    </row>
    <row r="857" spans="1:8" ht="25.05" customHeight="1" x14ac:dyDescent="0.25">
      <c r="A857" s="2" t="s">
        <v>8</v>
      </c>
      <c r="B857" s="2" t="str">
        <f>HYPERLINK("http://ts.21cn.com/tousu/show/id/1331317","金鸡下蛋高利贷套路贷")</f>
        <v>金鸡下蛋高利贷套路贷</v>
      </c>
      <c r="C857" s="2" t="s">
        <v>9</v>
      </c>
      <c r="D857" s="2" t="s">
        <v>10</v>
      </c>
      <c r="E857" s="2" t="str">
        <f>HYPERLINK("http://ts.21cn.com/tousu/show/id/1331317","http://ts.21cn.com/tousu/show/id/1331317")</f>
        <v>http://ts.21cn.com/tousu/show/id/1331317</v>
      </c>
      <c r="F857" s="2" t="s">
        <v>11</v>
      </c>
      <c r="G857" s="2" t="s">
        <v>42468</v>
      </c>
      <c r="H857" s="2" t="s">
        <v>42469</v>
      </c>
    </row>
    <row r="858" spans="1:8" ht="25.05" customHeight="1" x14ac:dyDescent="0.25">
      <c r="A858" s="2" t="s">
        <v>8</v>
      </c>
      <c r="B858" s="2" t="str">
        <f>HYPERLINK("http://ts.21cn.com/tousu/show/id/1331318","51即刻有高额服务费高额利息")</f>
        <v>51即刻有高额服务费高额利息</v>
      </c>
      <c r="C858" s="2" t="s">
        <v>9</v>
      </c>
      <c r="D858" s="2" t="s">
        <v>10</v>
      </c>
      <c r="E858" s="2" t="str">
        <f>HYPERLINK("http://ts.21cn.com/tousu/show/id/1331318","http://ts.21cn.com/tousu/show/id/1331318")</f>
        <v>http://ts.21cn.com/tousu/show/id/1331318</v>
      </c>
      <c r="F858" s="2" t="s">
        <v>11</v>
      </c>
      <c r="G858" s="2" t="s">
        <v>42466</v>
      </c>
      <c r="H858" s="2" t="s">
        <v>42467</v>
      </c>
    </row>
    <row r="859" spans="1:8" ht="25.05" customHeight="1" x14ac:dyDescent="0.25">
      <c r="A859" s="2" t="s">
        <v>8</v>
      </c>
      <c r="B859" s="2" t="str">
        <f>HYPERLINK("http://ts.21cn.com/tousu/show/id/1331320","东风风行车门严重异响")</f>
        <v>东风风行车门严重异响</v>
      </c>
      <c r="C859" s="2" t="s">
        <v>34</v>
      </c>
      <c r="D859" s="2" t="s">
        <v>10</v>
      </c>
      <c r="E859" s="2" t="str">
        <f>HYPERLINK("http://ts.21cn.com/tousu/show/id/1331320","http://ts.21cn.com/tousu/show/id/1331320")</f>
        <v>http://ts.21cn.com/tousu/show/id/1331320</v>
      </c>
      <c r="F859" s="2" t="s">
        <v>11</v>
      </c>
      <c r="G859" s="2" t="s">
        <v>42464</v>
      </c>
      <c r="H859" s="2" t="s">
        <v>42465</v>
      </c>
    </row>
    <row r="860" spans="1:8" ht="25.05" customHeight="1" x14ac:dyDescent="0.25">
      <c r="A860" s="2" t="s">
        <v>8</v>
      </c>
      <c r="B860" s="2" t="str">
        <f>HYPERLINK("http://ts.21cn.com/tousu/show/id/1331319","钱站高利贷阴阳合同")</f>
        <v>钱站高利贷阴阳合同</v>
      </c>
      <c r="C860" s="2" t="s">
        <v>9</v>
      </c>
      <c r="D860" s="2" t="s">
        <v>10</v>
      </c>
      <c r="E860" s="2" t="str">
        <f>HYPERLINK("http://ts.21cn.com/tousu/show/id/1331319","http://ts.21cn.com/tousu/show/id/1331319")</f>
        <v>http://ts.21cn.com/tousu/show/id/1331319</v>
      </c>
      <c r="F860" s="2" t="s">
        <v>11</v>
      </c>
      <c r="G860" s="2" t="s">
        <v>42462</v>
      </c>
      <c r="H860" s="2" t="s">
        <v>42463</v>
      </c>
    </row>
    <row r="861" spans="1:8" ht="25.05" customHeight="1" x14ac:dyDescent="0.25">
      <c r="A861" s="2" t="s">
        <v>8</v>
      </c>
      <c r="B861" s="2" t="str">
        <f>HYPERLINK("http://ts.21cn.com/tousu/show/id/1331323","优信二手车迟迟不退款")</f>
        <v>优信二手车迟迟不退款</v>
      </c>
      <c r="C861" s="2" t="s">
        <v>9</v>
      </c>
      <c r="D861" s="2" t="s">
        <v>10</v>
      </c>
      <c r="E861" s="2" t="str">
        <f>HYPERLINK("http://ts.21cn.com/tousu/show/id/1331323","http://ts.21cn.com/tousu/show/id/1331323")</f>
        <v>http://ts.21cn.com/tousu/show/id/1331323</v>
      </c>
      <c r="F861" s="2" t="s">
        <v>11</v>
      </c>
      <c r="G861" s="2" t="s">
        <v>42460</v>
      </c>
      <c r="H861" s="2" t="s">
        <v>42461</v>
      </c>
    </row>
    <row r="862" spans="1:8" ht="25.05" customHeight="1" x14ac:dyDescent="0.25">
      <c r="A862" s="2" t="s">
        <v>8</v>
      </c>
      <c r="B862" s="2" t="str">
        <f>HYPERLINK("http://ts.21cn.com/tousu/show/id/1331322","活力花人身攻击高利贷暴力催收")</f>
        <v>活力花人身攻击高利贷暴力催收</v>
      </c>
      <c r="C862" s="2" t="s">
        <v>9</v>
      </c>
      <c r="D862" s="2" t="s">
        <v>10</v>
      </c>
      <c r="E862" s="2" t="str">
        <f>HYPERLINK("http://ts.21cn.com/tousu/show/id/1331322","http://ts.21cn.com/tousu/show/id/1331322")</f>
        <v>http://ts.21cn.com/tousu/show/id/1331322</v>
      </c>
      <c r="F862" s="2" t="s">
        <v>11</v>
      </c>
      <c r="G862" s="2" t="s">
        <v>42458</v>
      </c>
      <c r="H862" s="2" t="s">
        <v>42459</v>
      </c>
    </row>
    <row r="863" spans="1:8" ht="25.05" customHeight="1" x14ac:dyDescent="0.25">
      <c r="A863" s="2" t="s">
        <v>8</v>
      </c>
      <c r="B863" s="2" t="str">
        <f>HYPERLINK("http://ts.21cn.com/tousu/show/id/1331325","拍拍贷无法自主还款")</f>
        <v>拍拍贷无法自主还款</v>
      </c>
      <c r="C863" s="2" t="s">
        <v>9</v>
      </c>
      <c r="D863" s="2" t="s">
        <v>10</v>
      </c>
      <c r="E863" s="2" t="str">
        <f>HYPERLINK("http://ts.21cn.com/tousu/show/id/1331325","http://ts.21cn.com/tousu/show/id/1331325")</f>
        <v>http://ts.21cn.com/tousu/show/id/1331325</v>
      </c>
      <c r="F863" s="2" t="s">
        <v>11</v>
      </c>
      <c r="G863" s="2" t="s">
        <v>42456</v>
      </c>
      <c r="H863" s="2" t="s">
        <v>42457</v>
      </c>
    </row>
    <row r="864" spans="1:8" ht="25.05" customHeight="1" x14ac:dyDescent="0.25">
      <c r="A864" s="2" t="s">
        <v>8</v>
      </c>
      <c r="B864" s="2" t="str">
        <f>HYPERLINK("http://ts.21cn.com/tousu/show/id/1331324","非个人原因造成逾期，收起逾期费200，要求我来贷减免逾期费。")</f>
        <v>非个人原因造成逾期，收起逾期费200，要求我来贷减免逾期费。</v>
      </c>
      <c r="C864" s="2" t="s">
        <v>9</v>
      </c>
      <c r="D864" s="2" t="s">
        <v>10</v>
      </c>
      <c r="E864" s="2" t="str">
        <f>HYPERLINK("http://ts.21cn.com/tousu/show/id/1331324","http://ts.21cn.com/tousu/show/id/1331324")</f>
        <v>http://ts.21cn.com/tousu/show/id/1331324</v>
      </c>
      <c r="F864" s="2" t="s">
        <v>11</v>
      </c>
      <c r="G864" s="2" t="s">
        <v>42454</v>
      </c>
      <c r="H864" s="2" t="s">
        <v>42455</v>
      </c>
    </row>
    <row r="865" spans="1:8" ht="25.05" customHeight="1" x14ac:dyDescent="0.25">
      <c r="A865" s="2" t="s">
        <v>8</v>
      </c>
      <c r="B865" s="2" t="str">
        <f>HYPERLINK("http://ts.21cn.com/tousu/show/id/1331326","钱站高利贷阴阳合同")</f>
        <v>钱站高利贷阴阳合同</v>
      </c>
      <c r="C865" s="2" t="s">
        <v>9</v>
      </c>
      <c r="D865" s="2" t="s">
        <v>10</v>
      </c>
      <c r="E865" s="2" t="str">
        <f>HYPERLINK("http://ts.21cn.com/tousu/show/id/1331326","http://ts.21cn.com/tousu/show/id/1331326")</f>
        <v>http://ts.21cn.com/tousu/show/id/1331326</v>
      </c>
      <c r="F865" s="2" t="s">
        <v>11</v>
      </c>
      <c r="G865" s="2" t="s">
        <v>42452</v>
      </c>
      <c r="H865" s="2" t="s">
        <v>42453</v>
      </c>
    </row>
    <row r="866" spans="1:8" ht="25.05" customHeight="1" x14ac:dyDescent="0.25">
      <c r="A866" s="2" t="s">
        <v>8</v>
      </c>
      <c r="B866" s="2" t="str">
        <f>HYPERLINK("http://ts.21cn.com/tousu/show/id/1331327","无视国家法律，暴力催收，威胁借款人")</f>
        <v>无视国家法律，暴力催收，威胁借款人</v>
      </c>
      <c r="C866" s="2" t="s">
        <v>9</v>
      </c>
      <c r="D866" s="2" t="s">
        <v>10</v>
      </c>
      <c r="E866" s="2" t="str">
        <f>HYPERLINK("http://ts.21cn.com/tousu/show/id/1331327","http://ts.21cn.com/tousu/show/id/1331327")</f>
        <v>http://ts.21cn.com/tousu/show/id/1331327</v>
      </c>
      <c r="F866" s="2" t="s">
        <v>11</v>
      </c>
      <c r="G866" s="2" t="s">
        <v>42450</v>
      </c>
      <c r="H866" s="2" t="s">
        <v>42451</v>
      </c>
    </row>
    <row r="867" spans="1:8" ht="25.05" customHeight="1" x14ac:dyDescent="0.25">
      <c r="A867" s="2" t="s">
        <v>8</v>
      </c>
      <c r="B867" s="2" t="str">
        <f>HYPERLINK("http://ts.21cn.com/tousu/show/id/1331329","玖富万卡擅自改写合同，变相收取费用，高利贷")</f>
        <v>玖富万卡擅自改写合同，变相收取费用，高利贷</v>
      </c>
      <c r="C867" s="2" t="s">
        <v>9</v>
      </c>
      <c r="D867" s="2" t="s">
        <v>10</v>
      </c>
      <c r="E867" s="2" t="str">
        <f>HYPERLINK("http://ts.21cn.com/tousu/show/id/1331329","http://ts.21cn.com/tousu/show/id/1331329")</f>
        <v>http://ts.21cn.com/tousu/show/id/1331329</v>
      </c>
      <c r="F867" s="2" t="s">
        <v>11</v>
      </c>
      <c r="G867" s="2" t="s">
        <v>42448</v>
      </c>
      <c r="H867" s="2" t="s">
        <v>42449</v>
      </c>
    </row>
    <row r="868" spans="1:8" ht="25.05" customHeight="1" x14ac:dyDescent="0.25">
      <c r="A868" s="2" t="s">
        <v>8</v>
      </c>
      <c r="B868" s="2" t="str">
        <f>HYPERLINK("http://ts.21cn.com/tousu/show/id/1331328","滴滴乱罚款")</f>
        <v>滴滴乱罚款</v>
      </c>
      <c r="C868" s="2" t="s">
        <v>9</v>
      </c>
      <c r="D868" s="2" t="s">
        <v>10</v>
      </c>
      <c r="E868" s="2" t="str">
        <f>HYPERLINK("http://ts.21cn.com/tousu/show/id/1331328","http://ts.21cn.com/tousu/show/id/1331328")</f>
        <v>http://ts.21cn.com/tousu/show/id/1331328</v>
      </c>
      <c r="F868" s="2" t="s">
        <v>11</v>
      </c>
      <c r="G868" s="2" t="s">
        <v>42446</v>
      </c>
      <c r="H868" s="2" t="s">
        <v>42447</v>
      </c>
    </row>
    <row r="869" spans="1:8" ht="25.05" customHeight="1" x14ac:dyDescent="0.25">
      <c r="A869" s="2" t="s">
        <v>8</v>
      </c>
      <c r="B869" s="2" t="str">
        <f>HYPERLINK("http://ts.21cn.com/tousu/show/id/1331331","酒店不给变更时间不给退款")</f>
        <v>酒店不给变更时间不给退款</v>
      </c>
      <c r="C869" s="2" t="s">
        <v>9</v>
      </c>
      <c r="D869" s="2" t="s">
        <v>10</v>
      </c>
      <c r="E869" s="2" t="str">
        <f>HYPERLINK("http://ts.21cn.com/tousu/show/id/1331331","http://ts.21cn.com/tousu/show/id/1331331")</f>
        <v>http://ts.21cn.com/tousu/show/id/1331331</v>
      </c>
      <c r="F869" s="2" t="s">
        <v>11</v>
      </c>
      <c r="G869" s="2" t="s">
        <v>42444</v>
      </c>
      <c r="H869" s="2" t="s">
        <v>42445</v>
      </c>
    </row>
    <row r="870" spans="1:8" ht="25.05" customHeight="1" x14ac:dyDescent="0.25">
      <c r="A870" s="2" t="s">
        <v>8</v>
      </c>
      <c r="B870" s="2" t="str">
        <f>HYPERLINK("http://ts.21cn.com/tousu/show/id/1331332","闪银科技砍头息变相收取服务费！")</f>
        <v>闪银科技砍头息变相收取服务费！</v>
      </c>
      <c r="C870" s="2" t="s">
        <v>9</v>
      </c>
      <c r="D870" s="2" t="s">
        <v>10</v>
      </c>
      <c r="E870" s="2" t="str">
        <f>HYPERLINK("http://ts.21cn.com/tousu/show/id/1331332","http://ts.21cn.com/tousu/show/id/1331332")</f>
        <v>http://ts.21cn.com/tousu/show/id/1331332</v>
      </c>
      <c r="F870" s="2" t="s">
        <v>11</v>
      </c>
      <c r="G870" s="2" t="s">
        <v>42442</v>
      </c>
      <c r="H870" s="2" t="s">
        <v>42443</v>
      </c>
    </row>
    <row r="871" spans="1:8" ht="25.05" customHeight="1" x14ac:dyDescent="0.25">
      <c r="A871" s="2" t="s">
        <v>8</v>
      </c>
      <c r="B871" s="2" t="str">
        <f>HYPERLINK("http://ts.21cn.com/tousu/show/id/1331333","分期乐套路贷暴力催收协商还款")</f>
        <v>分期乐套路贷暴力催收协商还款</v>
      </c>
      <c r="C871" s="2" t="s">
        <v>9</v>
      </c>
      <c r="D871" s="2" t="s">
        <v>10</v>
      </c>
      <c r="E871" s="2" t="str">
        <f>HYPERLINK("http://ts.21cn.com/tousu/show/id/1331333","http://ts.21cn.com/tousu/show/id/1331333")</f>
        <v>http://ts.21cn.com/tousu/show/id/1331333</v>
      </c>
      <c r="F871" s="2" t="s">
        <v>11</v>
      </c>
      <c r="G871" s="2" t="s">
        <v>42440</v>
      </c>
      <c r="H871" s="2" t="s">
        <v>42441</v>
      </c>
    </row>
    <row r="872" spans="1:8" ht="25.05" customHeight="1" x14ac:dyDescent="0.25">
      <c r="A872" s="2" t="s">
        <v>8</v>
      </c>
      <c r="B872" s="2" t="str">
        <f>HYPERLINK("http://ts.21cn.com/tousu/show/id/1331321","抖音诱导广告")</f>
        <v>抖音诱导广告</v>
      </c>
      <c r="C872" s="2" t="s">
        <v>9</v>
      </c>
      <c r="D872" s="2" t="s">
        <v>10</v>
      </c>
      <c r="E872" s="2" t="str">
        <f>HYPERLINK("http://ts.21cn.com/tousu/show/id/1331321","http://ts.21cn.com/tousu/show/id/1331321")</f>
        <v>http://ts.21cn.com/tousu/show/id/1331321</v>
      </c>
      <c r="F872" s="2" t="s">
        <v>11</v>
      </c>
      <c r="G872" s="2" t="s">
        <v>42438</v>
      </c>
      <c r="H872" s="2" t="s">
        <v>42439</v>
      </c>
    </row>
    <row r="873" spans="1:8" ht="25.05" customHeight="1" x14ac:dyDescent="0.25">
      <c r="A873" s="2" t="s">
        <v>8</v>
      </c>
      <c r="B873" s="2" t="str">
        <f>HYPERLINK("http://ts.21cn.com/tousu/show/id/1331334","分期通恶意收取会员费用")</f>
        <v>分期通恶意收取会员费用</v>
      </c>
      <c r="C873" s="2" t="s">
        <v>9</v>
      </c>
      <c r="D873" s="2" t="s">
        <v>10</v>
      </c>
      <c r="E873" s="2" t="str">
        <f>HYPERLINK("http://ts.21cn.com/tousu/show/id/1331334","http://ts.21cn.com/tousu/show/id/1331334")</f>
        <v>http://ts.21cn.com/tousu/show/id/1331334</v>
      </c>
      <c r="F873" s="2" t="s">
        <v>11</v>
      </c>
      <c r="G873" s="2" t="s">
        <v>42436</v>
      </c>
      <c r="H873" s="2" t="s">
        <v>42437</v>
      </c>
    </row>
    <row r="874" spans="1:8" ht="25.05" customHeight="1" x14ac:dyDescent="0.25">
      <c r="A874" s="2" t="s">
        <v>8</v>
      </c>
      <c r="B874" s="2" t="str">
        <f>HYPERLINK("http://ts.21cn.com/tousu/show/id/1331335","来分期提前结清高出本金")</f>
        <v>来分期提前结清高出本金</v>
      </c>
      <c r="C874" s="2" t="s">
        <v>34</v>
      </c>
      <c r="D874" s="2" t="s">
        <v>10</v>
      </c>
      <c r="E874" s="2" t="str">
        <f>HYPERLINK("http://ts.21cn.com/tousu/show/id/1331335","http://ts.21cn.com/tousu/show/id/1331335")</f>
        <v>http://ts.21cn.com/tousu/show/id/1331335</v>
      </c>
      <c r="F874" s="2" t="s">
        <v>11</v>
      </c>
      <c r="G874" s="2" t="s">
        <v>42434</v>
      </c>
      <c r="H874" s="2" t="s">
        <v>42435</v>
      </c>
    </row>
    <row r="875" spans="1:8" ht="25.05" customHeight="1" x14ac:dyDescent="0.25">
      <c r="A875" s="2" t="s">
        <v>8</v>
      </c>
      <c r="B875" s="2" t="str">
        <f>HYPERLINK("http://ts.21cn.com/tousu/show/id/1331336","的士联盟乘客不付车费")</f>
        <v>的士联盟乘客不付车费</v>
      </c>
      <c r="C875" s="2" t="s">
        <v>9</v>
      </c>
      <c r="D875" s="2" t="s">
        <v>10</v>
      </c>
      <c r="E875" s="2" t="str">
        <f>HYPERLINK("http://ts.21cn.com/tousu/show/id/1331336","http://ts.21cn.com/tousu/show/id/1331336")</f>
        <v>http://ts.21cn.com/tousu/show/id/1331336</v>
      </c>
      <c r="F875" s="2" t="s">
        <v>11</v>
      </c>
      <c r="G875" s="2" t="s">
        <v>42432</v>
      </c>
      <c r="H875" s="2" t="s">
        <v>42433</v>
      </c>
    </row>
    <row r="876" spans="1:8" ht="25.05" customHeight="1" x14ac:dyDescent="0.25">
      <c r="A876" s="2" t="s">
        <v>8</v>
      </c>
      <c r="B876" s="2" t="str">
        <f>HYPERLINK("http://ts.21cn.com/tousu/show/id/1331337","闪银收取高额砍头息")</f>
        <v>闪银收取高额砍头息</v>
      </c>
      <c r="C876" s="2" t="s">
        <v>34</v>
      </c>
      <c r="D876" s="2" t="s">
        <v>10</v>
      </c>
      <c r="E876" s="2" t="str">
        <f>HYPERLINK("http://ts.21cn.com/tousu/show/id/1331337","http://ts.21cn.com/tousu/show/id/1331337")</f>
        <v>http://ts.21cn.com/tousu/show/id/1331337</v>
      </c>
      <c r="F876" s="2" t="s">
        <v>11</v>
      </c>
      <c r="G876" s="2" t="s">
        <v>42430</v>
      </c>
      <c r="H876" s="2" t="s">
        <v>42431</v>
      </c>
    </row>
    <row r="877" spans="1:8" ht="25.05" customHeight="1" x14ac:dyDescent="0.25">
      <c r="A877" s="2" t="s">
        <v>8</v>
      </c>
      <c r="B877" s="2" t="str">
        <f>HYPERLINK("http://ts.21cn.com/tousu/show/id/1331338","“联动优势”为前华为高管的高利贷砍头息套路贷“花薪”提供支付通道，隐匿扣款用途违反保险法！还有违规收集通讯录侵犯个人隐私")</f>
        <v>“联动优势”为前华为高管的高利贷砍头息套路贷“花薪”提供支付通道，隐匿扣款用途违反保险法！还有违规收集通讯录侵犯个人隐私</v>
      </c>
      <c r="C877" s="2" t="s">
        <v>9</v>
      </c>
      <c r="D877" s="2" t="s">
        <v>10</v>
      </c>
      <c r="E877" s="2" t="str">
        <f>HYPERLINK("http://ts.21cn.com/tousu/show/id/1331338","http://ts.21cn.com/tousu/show/id/1331338")</f>
        <v>http://ts.21cn.com/tousu/show/id/1331338</v>
      </c>
      <c r="F877" s="2" t="s">
        <v>11</v>
      </c>
      <c r="G877" s="2" t="s">
        <v>42428</v>
      </c>
      <c r="H877" s="2" t="s">
        <v>42429</v>
      </c>
    </row>
    <row r="878" spans="1:8" ht="25.05" customHeight="1" x14ac:dyDescent="0.25">
      <c r="A878" s="2" t="s">
        <v>8</v>
      </c>
      <c r="B878" s="2" t="str">
        <f>HYPERLINK("http://ts.21cn.com/tousu/show/id/1331340","中国人保联合快闪卡贷变相收取砍头息")</f>
        <v>中国人保联合快闪卡贷变相收取砍头息</v>
      </c>
      <c r="C878" s="2" t="s">
        <v>9</v>
      </c>
      <c r="D878" s="2" t="s">
        <v>10</v>
      </c>
      <c r="E878" s="2" t="str">
        <f>HYPERLINK("http://ts.21cn.com/tousu/show/id/1331340","http://ts.21cn.com/tousu/show/id/1331340")</f>
        <v>http://ts.21cn.com/tousu/show/id/1331340</v>
      </c>
      <c r="F878" s="2" t="s">
        <v>11</v>
      </c>
      <c r="G878" s="2" t="s">
        <v>42425</v>
      </c>
      <c r="H878" s="2" t="s">
        <v>42426</v>
      </c>
    </row>
    <row r="879" spans="1:8" ht="25.05" customHeight="1" x14ac:dyDescent="0.25">
      <c r="A879" s="2" t="s">
        <v>8</v>
      </c>
      <c r="B879" s="2" t="str">
        <f>HYPERLINK("http://ts.21cn.com/tousu/show/id/1331339","骚扰亲")</f>
        <v>骚扰亲</v>
      </c>
      <c r="C879" s="2" t="s">
        <v>9</v>
      </c>
      <c r="D879" s="2" t="s">
        <v>10</v>
      </c>
      <c r="E879" s="2" t="str">
        <f>HYPERLINK("http://ts.21cn.com/tousu/show/id/1331339","http://ts.21cn.com/tousu/show/id/1331339")</f>
        <v>http://ts.21cn.com/tousu/show/id/1331339</v>
      </c>
      <c r="F879" s="2" t="s">
        <v>11</v>
      </c>
      <c r="G879" s="2" t="s">
        <v>42425</v>
      </c>
      <c r="H879" s="2" t="s">
        <v>42427</v>
      </c>
    </row>
    <row r="880" spans="1:8" ht="25.05" customHeight="1" x14ac:dyDescent="0.25">
      <c r="A880" s="2" t="s">
        <v>8</v>
      </c>
      <c r="B880" s="2" t="str">
        <f>HYPERLINK("http://ts.21cn.com/tousu/show/id/1331341","贷上钱恶意催收骚扰联系人")</f>
        <v>贷上钱恶意催收骚扰联系人</v>
      </c>
      <c r="C880" s="2" t="s">
        <v>9</v>
      </c>
      <c r="D880" s="2" t="s">
        <v>10</v>
      </c>
      <c r="E880" s="2" t="str">
        <f>HYPERLINK("http://ts.21cn.com/tousu/show/id/1331341","http://ts.21cn.com/tousu/show/id/1331341")</f>
        <v>http://ts.21cn.com/tousu/show/id/1331341</v>
      </c>
      <c r="F880" s="2" t="s">
        <v>11</v>
      </c>
      <c r="G880" s="2" t="s">
        <v>42423</v>
      </c>
      <c r="H880" s="2" t="s">
        <v>42424</v>
      </c>
    </row>
    <row r="881" spans="1:8" ht="25.05" customHeight="1" x14ac:dyDescent="0.25">
      <c r="A881" s="2" t="s">
        <v>8</v>
      </c>
      <c r="B881" s="2" t="str">
        <f>HYPERLINK("http://ts.21cn.com/tousu/show/id/1331296","在不知情的情况下私自扣款")</f>
        <v>在不知情的情况下私自扣款</v>
      </c>
      <c r="C881" s="2" t="s">
        <v>9</v>
      </c>
      <c r="D881" s="2" t="s">
        <v>10</v>
      </c>
      <c r="E881" s="2" t="str">
        <f>HYPERLINK("http://ts.21cn.com/tousu/show/id/1331296","http://ts.21cn.com/tousu/show/id/1331296")</f>
        <v>http://ts.21cn.com/tousu/show/id/1331296</v>
      </c>
      <c r="F881" s="2" t="s">
        <v>11</v>
      </c>
      <c r="G881" s="2" t="s">
        <v>42421</v>
      </c>
      <c r="H881" s="2" t="s">
        <v>42422</v>
      </c>
    </row>
    <row r="882" spans="1:8" ht="25.05" customHeight="1" x14ac:dyDescent="0.25">
      <c r="A882" s="2" t="s">
        <v>8</v>
      </c>
      <c r="B882" s="2" t="str">
        <f>HYPERLINK("http://ts.21cn.com/tousu/show/id/1331342","无锡联通延迟停机")</f>
        <v>无锡联通延迟停机</v>
      </c>
      <c r="C882" s="2" t="s">
        <v>9</v>
      </c>
      <c r="D882" s="2" t="s">
        <v>10</v>
      </c>
      <c r="E882" s="2" t="str">
        <f>HYPERLINK("http://ts.21cn.com/tousu/show/id/1331342","http://ts.21cn.com/tousu/show/id/1331342")</f>
        <v>http://ts.21cn.com/tousu/show/id/1331342</v>
      </c>
      <c r="F882" s="2" t="s">
        <v>11</v>
      </c>
      <c r="G882" s="2" t="s">
        <v>42419</v>
      </c>
      <c r="H882" s="2" t="s">
        <v>42420</v>
      </c>
    </row>
    <row r="883" spans="1:8" ht="25.05" customHeight="1" x14ac:dyDescent="0.25">
      <c r="A883" s="2" t="s">
        <v>8</v>
      </c>
      <c r="B883" s="2" t="str">
        <f>HYPERLINK("http://ts.21cn.com/tousu/show/id/1331343","投诉多宝分期，十月一号还款日就开始轰炸我通讯录")</f>
        <v>投诉多宝分期，十月一号还款日就开始轰炸我通讯录</v>
      </c>
      <c r="C883" s="2" t="s">
        <v>9</v>
      </c>
      <c r="D883" s="2" t="s">
        <v>10</v>
      </c>
      <c r="E883" s="2" t="str">
        <f>HYPERLINK("http://ts.21cn.com/tousu/show/id/1331343","http://ts.21cn.com/tousu/show/id/1331343")</f>
        <v>http://ts.21cn.com/tousu/show/id/1331343</v>
      </c>
      <c r="F883" s="2" t="s">
        <v>11</v>
      </c>
      <c r="G883" s="2" t="s">
        <v>42417</v>
      </c>
      <c r="H883" s="2" t="s">
        <v>42418</v>
      </c>
    </row>
    <row r="884" spans="1:8" ht="25.05" customHeight="1" x14ac:dyDescent="0.25">
      <c r="A884" s="2" t="s">
        <v>8</v>
      </c>
      <c r="B884" s="2" t="str">
        <f>HYPERLINK("http://ts.21cn.com/tousu/show/id/1331344","贷上钱以买游戏豆为由收取高额贷款通过费")</f>
        <v>贷上钱以买游戏豆为由收取高额贷款通过费</v>
      </c>
      <c r="C884" s="2" t="s">
        <v>9</v>
      </c>
      <c r="D884" s="2" t="s">
        <v>10</v>
      </c>
      <c r="E884" s="2" t="str">
        <f>HYPERLINK("http://ts.21cn.com/tousu/show/id/1331344","http://ts.21cn.com/tousu/show/id/1331344")</f>
        <v>http://ts.21cn.com/tousu/show/id/1331344</v>
      </c>
      <c r="F884" s="2" t="s">
        <v>11</v>
      </c>
      <c r="G884" s="2" t="s">
        <v>42415</v>
      </c>
      <c r="H884" s="2" t="s">
        <v>42416</v>
      </c>
    </row>
    <row r="885" spans="1:8" ht="25.05" customHeight="1" x14ac:dyDescent="0.25">
      <c r="A885" s="2" t="s">
        <v>8</v>
      </c>
      <c r="B885" s="2" t="str">
        <f>HYPERLINK("http://ts.21cn.com/tousu/show/id/1331345","周周花花高额砍头息")</f>
        <v>周周花花高额砍头息</v>
      </c>
      <c r="C885" s="2" t="s">
        <v>9</v>
      </c>
      <c r="D885" s="2" t="s">
        <v>10</v>
      </c>
      <c r="E885" s="2" t="str">
        <f>HYPERLINK("http://ts.21cn.com/tousu/show/id/1331345","http://ts.21cn.com/tousu/show/id/1331345")</f>
        <v>http://ts.21cn.com/tousu/show/id/1331345</v>
      </c>
      <c r="F885" s="2" t="s">
        <v>11</v>
      </c>
      <c r="G885" s="2" t="s">
        <v>42413</v>
      </c>
      <c r="H885" s="2" t="s">
        <v>42414</v>
      </c>
    </row>
    <row r="886" spans="1:8" ht="25.05" customHeight="1" x14ac:dyDescent="0.25">
      <c r="A886" s="2" t="s">
        <v>8</v>
      </c>
      <c r="B886" s="2" t="str">
        <f>HYPERLINK("http://ts.21cn.com/tousu/show/id/1331346","钱包易贷骚扰")</f>
        <v>钱包易贷骚扰</v>
      </c>
      <c r="C886" s="2" t="s">
        <v>9</v>
      </c>
      <c r="D886" s="2" t="s">
        <v>10</v>
      </c>
      <c r="E886" s="2" t="str">
        <f>HYPERLINK("http://ts.21cn.com/tousu/show/id/1331346","http://ts.21cn.com/tousu/show/id/1331346")</f>
        <v>http://ts.21cn.com/tousu/show/id/1331346</v>
      </c>
      <c r="F886" s="2" t="s">
        <v>11</v>
      </c>
      <c r="G886" s="2" t="s">
        <v>42411</v>
      </c>
      <c r="H886" s="2" t="s">
        <v>42412</v>
      </c>
    </row>
    <row r="887" spans="1:8" ht="25.05" customHeight="1" x14ac:dyDescent="0.25">
      <c r="A887" s="2" t="s">
        <v>8</v>
      </c>
      <c r="B887" s="2" t="str">
        <f>HYPERLINK("http://ts.21cn.com/tousu/show/id/1331350","分期乐在他上面买东西不能退货")</f>
        <v>分期乐在他上面买东西不能退货</v>
      </c>
      <c r="C887" s="2" t="s">
        <v>34</v>
      </c>
      <c r="D887" s="2" t="s">
        <v>10</v>
      </c>
      <c r="E887" s="2" t="str">
        <f>HYPERLINK("http://ts.21cn.com/tousu/show/id/1331350","http://ts.21cn.com/tousu/show/id/1331350")</f>
        <v>http://ts.21cn.com/tousu/show/id/1331350</v>
      </c>
      <c r="F887" s="2" t="s">
        <v>11</v>
      </c>
      <c r="G887" s="2" t="s">
        <v>42409</v>
      </c>
      <c r="H887" s="2" t="s">
        <v>42410</v>
      </c>
    </row>
    <row r="888" spans="1:8" ht="25.05" customHeight="1" x14ac:dyDescent="0.25">
      <c r="A888" s="2" t="s">
        <v>8</v>
      </c>
      <c r="B888" s="2" t="str">
        <f>HYPERLINK("http://ts.21cn.com/tousu/show/id/1331351","青春宝高利贷")</f>
        <v>青春宝高利贷</v>
      </c>
      <c r="C888" s="2" t="s">
        <v>9</v>
      </c>
      <c r="D888" s="2" t="s">
        <v>10</v>
      </c>
      <c r="E888" s="2" t="str">
        <f>HYPERLINK("http://ts.21cn.com/tousu/show/id/1331351","http://ts.21cn.com/tousu/show/id/1331351")</f>
        <v>http://ts.21cn.com/tousu/show/id/1331351</v>
      </c>
      <c r="F888" s="2" t="s">
        <v>11</v>
      </c>
      <c r="G888" s="2" t="s">
        <v>42407</v>
      </c>
      <c r="H888" s="2" t="s">
        <v>42408</v>
      </c>
    </row>
    <row r="889" spans="1:8" ht="25.05" customHeight="1" x14ac:dyDescent="0.25">
      <c r="A889" s="2" t="s">
        <v>8</v>
      </c>
      <c r="B889" s="2" t="str">
        <f>HYPERLINK("http://ts.21cn.com/tousu/show/id/1331349","注销小赢卡贷平台帐号遭拒")</f>
        <v>注销小赢卡贷平台帐号遭拒</v>
      </c>
      <c r="C889" s="2" t="s">
        <v>9</v>
      </c>
      <c r="D889" s="2" t="s">
        <v>10</v>
      </c>
      <c r="E889" s="2" t="str">
        <f>HYPERLINK("http://ts.21cn.com/tousu/show/id/1331349","http://ts.21cn.com/tousu/show/id/1331349")</f>
        <v>http://ts.21cn.com/tousu/show/id/1331349</v>
      </c>
      <c r="F889" s="2" t="s">
        <v>11</v>
      </c>
      <c r="G889" s="2" t="s">
        <v>42405</v>
      </c>
      <c r="H889" s="2" t="s">
        <v>42406</v>
      </c>
    </row>
    <row r="890" spans="1:8" ht="25.05" customHeight="1" x14ac:dyDescent="0.25">
      <c r="A890" s="2" t="s">
        <v>8</v>
      </c>
      <c r="B890" s="2" t="str">
        <f>HYPERLINK("http://ts.21cn.com/tousu/show/id/1331352","反映支付宝违法商户提供支付通道")</f>
        <v>反映支付宝违法商户提供支付通道</v>
      </c>
      <c r="C890" s="2" t="s">
        <v>9</v>
      </c>
      <c r="D890" s="2" t="s">
        <v>10</v>
      </c>
      <c r="E890" s="2" t="str">
        <f>HYPERLINK("http://ts.21cn.com/tousu/show/id/1331352","http://ts.21cn.com/tousu/show/id/1331352")</f>
        <v>http://ts.21cn.com/tousu/show/id/1331352</v>
      </c>
      <c r="F890" s="2" t="s">
        <v>11</v>
      </c>
      <c r="G890" s="2" t="s">
        <v>42403</v>
      </c>
      <c r="H890" s="2" t="s">
        <v>42404</v>
      </c>
    </row>
    <row r="891" spans="1:8" ht="25.05" customHeight="1" x14ac:dyDescent="0.25">
      <c r="A891" s="2" t="s">
        <v>8</v>
      </c>
      <c r="B891" s="2" t="str">
        <f>HYPERLINK("http://ts.21cn.com/tousu/show/id/1331353","无故扣款")</f>
        <v>无故扣款</v>
      </c>
      <c r="C891" s="2" t="s">
        <v>34</v>
      </c>
      <c r="D891" s="2" t="s">
        <v>10</v>
      </c>
      <c r="E891" s="2" t="str">
        <f>HYPERLINK("http://ts.21cn.com/tousu/show/id/1331353","http://ts.21cn.com/tousu/show/id/1331353")</f>
        <v>http://ts.21cn.com/tousu/show/id/1331353</v>
      </c>
      <c r="F891" s="2" t="s">
        <v>11</v>
      </c>
      <c r="G891" s="2" t="s">
        <v>42401</v>
      </c>
      <c r="H891" s="2" t="s">
        <v>42402</v>
      </c>
    </row>
    <row r="892" spans="1:8" ht="25.05" customHeight="1" x14ac:dyDescent="0.25">
      <c r="A892" s="2" t="s">
        <v>8</v>
      </c>
      <c r="B892" s="2" t="str">
        <f>HYPERLINK("http://ts.21cn.com/tousu/show/id/1331354","携程擅自修改车次时间导致我错过车辆要求退款无果")</f>
        <v>携程擅自修改车次时间导致我错过车辆要求退款无果</v>
      </c>
      <c r="C892" s="2" t="s">
        <v>9</v>
      </c>
      <c r="D892" s="2" t="s">
        <v>10</v>
      </c>
      <c r="E892" s="2" t="str">
        <f>HYPERLINK("http://ts.21cn.com/tousu/show/id/1331354","http://ts.21cn.com/tousu/show/id/1331354")</f>
        <v>http://ts.21cn.com/tousu/show/id/1331354</v>
      </c>
      <c r="F892" s="2" t="s">
        <v>11</v>
      </c>
      <c r="G892" s="2" t="s">
        <v>42399</v>
      </c>
      <c r="H892" s="2" t="s">
        <v>42400</v>
      </c>
    </row>
    <row r="893" spans="1:8" ht="25.05" customHeight="1" x14ac:dyDescent="0.25">
      <c r="A893" s="2" t="s">
        <v>8</v>
      </c>
      <c r="B893" s="2" t="str">
        <f>HYPERLINK("http://ts.21cn.com/tousu/show/id/1331356","今日到期无法线上还款且无客服联系")</f>
        <v>今日到期无法线上还款且无客服联系</v>
      </c>
      <c r="C893" s="2" t="s">
        <v>34</v>
      </c>
      <c r="D893" s="2" t="s">
        <v>10</v>
      </c>
      <c r="E893" s="2" t="str">
        <f>HYPERLINK("http://ts.21cn.com/tousu/show/id/1331356","http://ts.21cn.com/tousu/show/id/1331356")</f>
        <v>http://ts.21cn.com/tousu/show/id/1331356</v>
      </c>
      <c r="F893" s="2" t="s">
        <v>11</v>
      </c>
      <c r="G893" s="2" t="s">
        <v>42397</v>
      </c>
      <c r="H893" s="2" t="s">
        <v>42398</v>
      </c>
    </row>
    <row r="894" spans="1:8" ht="25.05" customHeight="1" x14ac:dyDescent="0.25">
      <c r="A894" s="2" t="s">
        <v>8</v>
      </c>
      <c r="B894" s="2" t="str">
        <f>HYPERLINK("http://ts.21cn.com/tousu/show/id/1331357","树林分期高利贷")</f>
        <v>树林分期高利贷</v>
      </c>
      <c r="C894" s="2" t="s">
        <v>9</v>
      </c>
      <c r="D894" s="2" t="s">
        <v>10</v>
      </c>
      <c r="E894" s="2" t="str">
        <f>HYPERLINK("http://ts.21cn.com/tousu/show/id/1331357","http://ts.21cn.com/tousu/show/id/1331357")</f>
        <v>http://ts.21cn.com/tousu/show/id/1331357</v>
      </c>
      <c r="F894" s="2" t="s">
        <v>11</v>
      </c>
      <c r="G894" s="2" t="s">
        <v>42395</v>
      </c>
      <c r="H894" s="2" t="s">
        <v>42396</v>
      </c>
    </row>
    <row r="895" spans="1:8" ht="25.05" customHeight="1" x14ac:dyDescent="0.25">
      <c r="A895" s="2" t="s">
        <v>8</v>
      </c>
      <c r="B895" s="2" t="str">
        <f>HYPERLINK("http://ts.21cn.com/tousu/show/id/1331358","继续投诉神马借及广州万合信息科技有限公司收取高额利息")</f>
        <v>继续投诉神马借及广州万合信息科技有限公司收取高额利息</v>
      </c>
      <c r="C895" s="2" t="s">
        <v>9</v>
      </c>
      <c r="D895" s="2" t="s">
        <v>10</v>
      </c>
      <c r="E895" s="2" t="str">
        <f>HYPERLINK("http://ts.21cn.com/tousu/show/id/1331358","http://ts.21cn.com/tousu/show/id/1331358")</f>
        <v>http://ts.21cn.com/tousu/show/id/1331358</v>
      </c>
      <c r="F895" s="2" t="s">
        <v>11</v>
      </c>
      <c r="G895" s="2" t="s">
        <v>42393</v>
      </c>
      <c r="H895" s="2" t="s">
        <v>42394</v>
      </c>
    </row>
    <row r="896" spans="1:8" ht="25.05" customHeight="1" x14ac:dyDescent="0.25">
      <c r="A896" s="2" t="s">
        <v>8</v>
      </c>
      <c r="B896" s="2" t="str">
        <f>HYPERLINK("http://ts.21cn.com/tousu/show/id/1331359","高额购买黑卡贷款")</f>
        <v>高额购买黑卡贷款</v>
      </c>
      <c r="C896" s="2" t="s">
        <v>34</v>
      </c>
      <c r="D896" s="2" t="s">
        <v>10</v>
      </c>
      <c r="E896" s="2" t="str">
        <f>HYPERLINK("http://ts.21cn.com/tousu/show/id/1331359","http://ts.21cn.com/tousu/show/id/1331359")</f>
        <v>http://ts.21cn.com/tousu/show/id/1331359</v>
      </c>
      <c r="F896" s="2" t="s">
        <v>11</v>
      </c>
      <c r="G896" s="2" t="s">
        <v>42391</v>
      </c>
      <c r="H896" s="2" t="s">
        <v>42392</v>
      </c>
    </row>
    <row r="897" spans="1:8" ht="25.05" customHeight="1" x14ac:dyDescent="0.25">
      <c r="A897" s="2" t="s">
        <v>8</v>
      </c>
      <c r="B897" s="2" t="str">
        <f>HYPERLINK("http://ts.21cn.com/tousu/show/id/1331360","还呗")</f>
        <v>还呗</v>
      </c>
      <c r="C897" s="2" t="s">
        <v>34</v>
      </c>
      <c r="D897" s="2" t="s">
        <v>10</v>
      </c>
      <c r="E897" s="2" t="str">
        <f>HYPERLINK("http://ts.21cn.com/tousu/show/id/1331360","http://ts.21cn.com/tousu/show/id/1331360")</f>
        <v>http://ts.21cn.com/tousu/show/id/1331360</v>
      </c>
      <c r="F897" s="2" t="s">
        <v>11</v>
      </c>
      <c r="G897" s="2" t="s">
        <v>42389</v>
      </c>
      <c r="H897" s="2" t="s">
        <v>42390</v>
      </c>
    </row>
    <row r="898" spans="1:8" ht="25.05" customHeight="1" x14ac:dyDescent="0.25">
      <c r="A898" s="2" t="s">
        <v>8</v>
      </c>
      <c r="B898" s="2" t="str">
        <f>HYPERLINK("http://ts.21cn.com/tousu/show/id/1331361","首汽租车不退还预付金")</f>
        <v>首汽租车不退还预付金</v>
      </c>
      <c r="C898" s="2" t="s">
        <v>9</v>
      </c>
      <c r="D898" s="2" t="s">
        <v>10</v>
      </c>
      <c r="E898" s="2" t="str">
        <f>HYPERLINK("http://ts.21cn.com/tousu/show/id/1331361","http://ts.21cn.com/tousu/show/id/1331361")</f>
        <v>http://ts.21cn.com/tousu/show/id/1331361</v>
      </c>
      <c r="F898" s="2" t="s">
        <v>11</v>
      </c>
      <c r="G898" s="2" t="s">
        <v>42387</v>
      </c>
      <c r="H898" s="2" t="s">
        <v>42388</v>
      </c>
    </row>
    <row r="899" spans="1:8" ht="25.05" customHeight="1" x14ac:dyDescent="0.25">
      <c r="A899" s="2" t="s">
        <v>8</v>
      </c>
      <c r="B899" s="2" t="str">
        <f>HYPERLINK("http://ts.21cn.com/tousu/show/id/1331362","宜人贷收取前期保证金高额砍头息，合同六万贷款金额，实际到账只有四万五，还款利息也是按六万来算的，高利息")</f>
        <v>宜人贷收取前期保证金高额砍头息，合同六万贷款金额，实际到账只有四万五，还款利息也是按六万来算的，高利息</v>
      </c>
      <c r="C899" s="2" t="s">
        <v>9</v>
      </c>
      <c r="D899" s="2" t="s">
        <v>10</v>
      </c>
      <c r="E899" s="2" t="str">
        <f>HYPERLINK("http://ts.21cn.com/tousu/show/id/1331362","http://ts.21cn.com/tousu/show/id/1331362")</f>
        <v>http://ts.21cn.com/tousu/show/id/1331362</v>
      </c>
      <c r="F899" s="2" t="s">
        <v>11</v>
      </c>
      <c r="G899" s="2" t="s">
        <v>42385</v>
      </c>
      <c r="H899" s="2" t="s">
        <v>42386</v>
      </c>
    </row>
    <row r="900" spans="1:8" ht="25.05" customHeight="1" x14ac:dyDescent="0.25">
      <c r="A900" s="2" t="s">
        <v>8</v>
      </c>
      <c r="B900" s="2" t="str">
        <f>HYPERLINK("http://ts.21cn.com/tousu/show/id/1331363","恶意骚扰")</f>
        <v>恶意骚扰</v>
      </c>
      <c r="C900" s="2" t="s">
        <v>9</v>
      </c>
      <c r="D900" s="2" t="s">
        <v>10</v>
      </c>
      <c r="E900" s="2" t="str">
        <f>HYPERLINK("http://ts.21cn.com/tousu/show/id/1331363","http://ts.21cn.com/tousu/show/id/1331363")</f>
        <v>http://ts.21cn.com/tousu/show/id/1331363</v>
      </c>
      <c r="F900" s="2" t="s">
        <v>11</v>
      </c>
      <c r="G900" s="2" t="s">
        <v>42383</v>
      </c>
      <c r="H900" s="2" t="s">
        <v>42384</v>
      </c>
    </row>
    <row r="901" spans="1:8" ht="25.05" customHeight="1" x14ac:dyDescent="0.25">
      <c r="A901" s="2" t="s">
        <v>8</v>
      </c>
      <c r="B901" s="2" t="str">
        <f>HYPERLINK("http://ts.21cn.com/tousu/show/id/1331365","蚂蚁金服帮助涉黑网站收受资金")</f>
        <v>蚂蚁金服帮助涉黑网站收受资金</v>
      </c>
      <c r="C901" s="2" t="s">
        <v>9</v>
      </c>
      <c r="D901" s="2" t="s">
        <v>10</v>
      </c>
      <c r="E901" s="2" t="str">
        <f>HYPERLINK("http://ts.21cn.com/tousu/show/id/1331365","http://ts.21cn.com/tousu/show/id/1331365")</f>
        <v>http://ts.21cn.com/tousu/show/id/1331365</v>
      </c>
      <c r="F901" s="2" t="s">
        <v>11</v>
      </c>
      <c r="G901" s="2" t="s">
        <v>42381</v>
      </c>
      <c r="H901" s="2" t="s">
        <v>42382</v>
      </c>
    </row>
    <row r="902" spans="1:8" ht="25.05" customHeight="1" x14ac:dyDescent="0.25">
      <c r="A902" s="2" t="s">
        <v>8</v>
      </c>
      <c r="B902" s="2" t="str">
        <f>HYPERLINK("http://ts.21cn.com/tousu/show/id/1331368","海南三亚")</f>
        <v>海南三亚</v>
      </c>
      <c r="C902" s="2" t="s">
        <v>34</v>
      </c>
      <c r="D902" s="2" t="s">
        <v>10</v>
      </c>
      <c r="E902" s="2" t="str">
        <f>HYPERLINK("http://ts.21cn.com/tousu/show/id/1331368","http://ts.21cn.com/tousu/show/id/1331368")</f>
        <v>http://ts.21cn.com/tousu/show/id/1331368</v>
      </c>
      <c r="F902" s="2" t="s">
        <v>11</v>
      </c>
      <c r="G902" s="2" t="s">
        <v>42379</v>
      </c>
      <c r="H902" s="2" t="s">
        <v>42380</v>
      </c>
    </row>
    <row r="903" spans="1:8" ht="25.05" customHeight="1" x14ac:dyDescent="0.25">
      <c r="A903" s="2" t="s">
        <v>8</v>
      </c>
      <c r="B903" s="2" t="str">
        <f>HYPERLINK("http://ts.21cn.com/tousu/show/id/1331369","宝付支付盗刷费用还推脱责任")</f>
        <v>宝付支付盗刷费用还推脱责任</v>
      </c>
      <c r="C903" s="2" t="s">
        <v>9</v>
      </c>
      <c r="D903" s="2" t="s">
        <v>10</v>
      </c>
      <c r="E903" s="2" t="str">
        <f>HYPERLINK("http://ts.21cn.com/tousu/show/id/1331369","http://ts.21cn.com/tousu/show/id/1331369")</f>
        <v>http://ts.21cn.com/tousu/show/id/1331369</v>
      </c>
      <c r="F903" s="2" t="s">
        <v>11</v>
      </c>
      <c r="G903" s="2" t="s">
        <v>42377</v>
      </c>
      <c r="H903" s="2" t="s">
        <v>42378</v>
      </c>
    </row>
    <row r="904" spans="1:8" ht="25.05" customHeight="1" x14ac:dyDescent="0.25">
      <c r="A904" s="2" t="s">
        <v>8</v>
      </c>
      <c r="B904" s="2" t="str">
        <f>HYPERLINK("http://ts.21cn.com/tousu/show/id/1331370","火山公会不发工资")</f>
        <v>火山公会不发工资</v>
      </c>
      <c r="C904" s="2" t="s">
        <v>9</v>
      </c>
      <c r="D904" s="2" t="s">
        <v>10</v>
      </c>
      <c r="E904" s="2" t="str">
        <f>HYPERLINK("http://ts.21cn.com/tousu/show/id/1331370","http://ts.21cn.com/tousu/show/id/1331370")</f>
        <v>http://ts.21cn.com/tousu/show/id/1331370</v>
      </c>
      <c r="F904" s="2" t="s">
        <v>11</v>
      </c>
      <c r="G904" s="2" t="s">
        <v>42375</v>
      </c>
      <c r="H904" s="2" t="s">
        <v>42376</v>
      </c>
    </row>
    <row r="905" spans="1:8" ht="25.05" customHeight="1" x14ac:dyDescent="0.25">
      <c r="A905" s="2" t="s">
        <v>8</v>
      </c>
      <c r="B905" s="2" t="str">
        <f>HYPERLINK("http://ts.21cn.com/tousu/show/id/1331371","立借高利贷，打电话骚扰我，恐吓威胁我家人")</f>
        <v>立借高利贷，打电话骚扰我，恐吓威胁我家人</v>
      </c>
      <c r="C905" s="2" t="s">
        <v>9</v>
      </c>
      <c r="D905" s="2" t="s">
        <v>10</v>
      </c>
      <c r="E905" s="2" t="str">
        <f>HYPERLINK("http://ts.21cn.com/tousu/show/id/1331371","http://ts.21cn.com/tousu/show/id/1331371")</f>
        <v>http://ts.21cn.com/tousu/show/id/1331371</v>
      </c>
      <c r="F905" s="2" t="s">
        <v>11</v>
      </c>
      <c r="G905" s="2" t="s">
        <v>42373</v>
      </c>
      <c r="H905" s="2" t="s">
        <v>42374</v>
      </c>
    </row>
    <row r="906" spans="1:8" ht="25.05" customHeight="1" x14ac:dyDescent="0.25">
      <c r="A906" s="2" t="s">
        <v>8</v>
      </c>
      <c r="B906" s="2" t="str">
        <f>HYPERLINK("http://ts.21cn.com/tousu/show/id/1329893","拼多多和支付宝客服不处理问题")</f>
        <v>拼多多和支付宝客服不处理问题</v>
      </c>
      <c r="C906" s="2" t="s">
        <v>9</v>
      </c>
      <c r="D906" s="2" t="s">
        <v>10</v>
      </c>
      <c r="E906" s="2" t="str">
        <f>HYPERLINK("http://ts.21cn.com/tousu/show/id/1329893","http://ts.21cn.com/tousu/show/id/1329893")</f>
        <v>http://ts.21cn.com/tousu/show/id/1329893</v>
      </c>
      <c r="F906" s="2" t="s">
        <v>11</v>
      </c>
      <c r="G906" s="2" t="s">
        <v>42371</v>
      </c>
      <c r="H906" s="2" t="s">
        <v>42372</v>
      </c>
    </row>
    <row r="907" spans="1:8" ht="25.05" customHeight="1" x14ac:dyDescent="0.25">
      <c r="A907" s="2" t="s">
        <v>8</v>
      </c>
      <c r="B907" s="2" t="str">
        <f>HYPERLINK("http://ts.21cn.com/tousu/show/id/1331372","捷信讹诈式催收，已经结清依然恐吓骚扰家人")</f>
        <v>捷信讹诈式催收，已经结清依然恐吓骚扰家人</v>
      </c>
      <c r="C907" s="2" t="s">
        <v>9</v>
      </c>
      <c r="D907" s="2" t="s">
        <v>10</v>
      </c>
      <c r="E907" s="2" t="str">
        <f>HYPERLINK("http://ts.21cn.com/tousu/show/id/1331372","http://ts.21cn.com/tousu/show/id/1331372")</f>
        <v>http://ts.21cn.com/tousu/show/id/1331372</v>
      </c>
      <c r="F907" s="2" t="s">
        <v>11</v>
      </c>
      <c r="G907" s="2" t="s">
        <v>42369</v>
      </c>
      <c r="H907" s="2" t="s">
        <v>42370</v>
      </c>
    </row>
    <row r="908" spans="1:8" ht="25.05" customHeight="1" x14ac:dyDescent="0.25">
      <c r="A908" s="2" t="s">
        <v>8</v>
      </c>
      <c r="B908" s="2" t="str">
        <f>HYPERLINK("http://ts.21cn.com/tousu/show/id/1331134","钱站阴阳合同高利贷")</f>
        <v>钱站阴阳合同高利贷</v>
      </c>
      <c r="C908" s="2" t="s">
        <v>9</v>
      </c>
      <c r="D908" s="2" t="s">
        <v>10</v>
      </c>
      <c r="E908" s="2" t="str">
        <f>HYPERLINK("http://ts.21cn.com/tousu/show/id/1331134","http://ts.21cn.com/tousu/show/id/1331134")</f>
        <v>http://ts.21cn.com/tousu/show/id/1331134</v>
      </c>
      <c r="F908" s="2" t="s">
        <v>11</v>
      </c>
      <c r="G908" s="2" t="s">
        <v>42367</v>
      </c>
      <c r="H908" s="2" t="s">
        <v>42368</v>
      </c>
    </row>
    <row r="909" spans="1:8" ht="25.05" customHeight="1" x14ac:dyDescent="0.25">
      <c r="A909" s="2" t="s">
        <v>8</v>
      </c>
      <c r="B909" s="2" t="str">
        <f>HYPERLINK("http://ts.21cn.com/tousu/show/id/1331364","投诉喵下货还款后不销账")</f>
        <v>投诉喵下货还款后不销账</v>
      </c>
      <c r="C909" s="2" t="s">
        <v>9</v>
      </c>
      <c r="D909" s="2" t="s">
        <v>10</v>
      </c>
      <c r="E909" s="2" t="str">
        <f>HYPERLINK("http://ts.21cn.com/tousu/show/id/1331364","http://ts.21cn.com/tousu/show/id/1331364")</f>
        <v>http://ts.21cn.com/tousu/show/id/1331364</v>
      </c>
      <c r="F909" s="2" t="s">
        <v>11</v>
      </c>
      <c r="G909" s="2" t="s">
        <v>42365</v>
      </c>
      <c r="H909" s="2" t="s">
        <v>42366</v>
      </c>
    </row>
    <row r="910" spans="1:8" ht="25.05" customHeight="1" x14ac:dyDescent="0.25">
      <c r="A910" s="2" t="s">
        <v>8</v>
      </c>
      <c r="B910" s="2" t="str">
        <f>HYPERLINK("http://ts.21cn.com/tousu/show/id/1331374","还了钱不消账")</f>
        <v>还了钱不消账</v>
      </c>
      <c r="C910" s="2" t="s">
        <v>34</v>
      </c>
      <c r="D910" s="2" t="s">
        <v>10</v>
      </c>
      <c r="E910" s="2" t="str">
        <f>HYPERLINK("http://ts.21cn.com/tousu/show/id/1331374","http://ts.21cn.com/tousu/show/id/1331374")</f>
        <v>http://ts.21cn.com/tousu/show/id/1331374</v>
      </c>
      <c r="F910" s="2" t="s">
        <v>11</v>
      </c>
      <c r="G910" s="2" t="s">
        <v>42363</v>
      </c>
      <c r="H910" s="2" t="s">
        <v>42364</v>
      </c>
    </row>
    <row r="911" spans="1:8" ht="25.05" customHeight="1" x14ac:dyDescent="0.25">
      <c r="A911" s="2" t="s">
        <v>8</v>
      </c>
      <c r="B911" s="2" t="str">
        <f>HYPERLINK("http://ts.21cn.com/tousu/show/id/1331375","特约中归还款")</f>
        <v>特约中归还款</v>
      </c>
      <c r="C911" s="2" t="s">
        <v>9</v>
      </c>
      <c r="D911" s="2" t="s">
        <v>10</v>
      </c>
      <c r="E911" s="2" t="str">
        <f>HYPERLINK("http://ts.21cn.com/tousu/show/id/1331375","http://ts.21cn.com/tousu/show/id/1331375")</f>
        <v>http://ts.21cn.com/tousu/show/id/1331375</v>
      </c>
      <c r="F911" s="2" t="s">
        <v>11</v>
      </c>
      <c r="G911" s="2" t="s">
        <v>42361</v>
      </c>
      <c r="H911" s="2" t="s">
        <v>42362</v>
      </c>
    </row>
    <row r="912" spans="1:8" ht="25.05" customHeight="1" x14ac:dyDescent="0.25">
      <c r="A912" s="2" t="s">
        <v>8</v>
      </c>
      <c r="B912" s="2" t="str">
        <f>HYPERLINK("http://ts.21cn.com/tousu/show/id/1331376","聚福钱包未经许可私自扣款")</f>
        <v>聚福钱包未经许可私自扣款</v>
      </c>
      <c r="C912" s="2" t="s">
        <v>9</v>
      </c>
      <c r="D912" s="2" t="s">
        <v>10</v>
      </c>
      <c r="E912" s="2" t="str">
        <f>HYPERLINK("http://ts.21cn.com/tousu/show/id/1331376","http://ts.21cn.com/tousu/show/id/1331376")</f>
        <v>http://ts.21cn.com/tousu/show/id/1331376</v>
      </c>
      <c r="F912" s="2" t="s">
        <v>11</v>
      </c>
      <c r="G912" s="2" t="s">
        <v>42359</v>
      </c>
      <c r="H912" s="2" t="s">
        <v>42360</v>
      </c>
    </row>
    <row r="913" spans="1:8" ht="25.05" customHeight="1" x14ac:dyDescent="0.25">
      <c r="A913" s="2" t="s">
        <v>8</v>
      </c>
      <c r="B913" s="2" t="str">
        <f>HYPERLINK("http://ts.21cn.com/tousu/show/id/1331377","银行违规给违法商户提供支付通道")</f>
        <v>银行违规给违法商户提供支付通道</v>
      </c>
      <c r="C913" s="2" t="s">
        <v>9</v>
      </c>
      <c r="D913" s="2" t="s">
        <v>10</v>
      </c>
      <c r="E913" s="2" t="str">
        <f>HYPERLINK("http://ts.21cn.com/tousu/show/id/1331377","http://ts.21cn.com/tousu/show/id/1331377")</f>
        <v>http://ts.21cn.com/tousu/show/id/1331377</v>
      </c>
      <c r="F913" s="2" t="s">
        <v>11</v>
      </c>
      <c r="G913" s="2" t="s">
        <v>42357</v>
      </c>
      <c r="H913" s="2" t="s">
        <v>42358</v>
      </c>
    </row>
    <row r="914" spans="1:8" ht="25.05" customHeight="1" x14ac:dyDescent="0.25">
      <c r="A914" s="2" t="s">
        <v>8</v>
      </c>
      <c r="B914" s="2" t="str">
        <f>HYPERLINK("http://ts.21cn.com/tousu/show/id/1331378","钱站利息太高")</f>
        <v>钱站利息太高</v>
      </c>
      <c r="C914" s="2" t="s">
        <v>9</v>
      </c>
      <c r="D914" s="2" t="s">
        <v>10</v>
      </c>
      <c r="E914" s="2" t="str">
        <f>HYPERLINK("http://ts.21cn.com/tousu/show/id/1331378","http://ts.21cn.com/tousu/show/id/1331378")</f>
        <v>http://ts.21cn.com/tousu/show/id/1331378</v>
      </c>
      <c r="F914" s="2" t="s">
        <v>11</v>
      </c>
      <c r="G914" s="2" t="s">
        <v>42355</v>
      </c>
      <c r="H914" s="2" t="s">
        <v>42356</v>
      </c>
    </row>
    <row r="915" spans="1:8" ht="25.05" customHeight="1" x14ac:dyDescent="0.25">
      <c r="A915" s="2" t="s">
        <v>8</v>
      </c>
      <c r="B915" s="2" t="str">
        <f>HYPERLINK("http://ts.21cn.com/tousu/show/id/1331379","被714高炮套路")</f>
        <v>被714高炮套路</v>
      </c>
      <c r="C915" s="2" t="s">
        <v>9</v>
      </c>
      <c r="D915" s="2" t="s">
        <v>10</v>
      </c>
      <c r="E915" s="2" t="str">
        <f>HYPERLINK("http://ts.21cn.com/tousu/show/id/1331379","http://ts.21cn.com/tousu/show/id/1331379")</f>
        <v>http://ts.21cn.com/tousu/show/id/1331379</v>
      </c>
      <c r="F915" s="2" t="s">
        <v>11</v>
      </c>
      <c r="G915" s="2" t="s">
        <v>42353</v>
      </c>
      <c r="H915" s="2" t="s">
        <v>42354</v>
      </c>
    </row>
    <row r="916" spans="1:8" ht="25.05" customHeight="1" x14ac:dyDescent="0.25">
      <c r="A916" s="2" t="s">
        <v>8</v>
      </c>
      <c r="B916" s="2" t="str">
        <f>HYPERLINK("http://ts.21cn.com/tousu/show/id/1331381","这么大的平台居然干这事，微粒贷恶心崔收")</f>
        <v>这么大的平台居然干这事，微粒贷恶心崔收</v>
      </c>
      <c r="C916" s="2" t="s">
        <v>9</v>
      </c>
      <c r="D916" s="2" t="s">
        <v>10</v>
      </c>
      <c r="E916" s="2" t="str">
        <f>HYPERLINK("http://ts.21cn.com/tousu/show/id/1331381","http://ts.21cn.com/tousu/show/id/1331381")</f>
        <v>http://ts.21cn.com/tousu/show/id/1331381</v>
      </c>
      <c r="F916" s="2" t="s">
        <v>11</v>
      </c>
      <c r="G916" s="2" t="s">
        <v>42351</v>
      </c>
      <c r="H916" s="2" t="s">
        <v>42352</v>
      </c>
    </row>
    <row r="917" spans="1:8" ht="25.05" customHeight="1" x14ac:dyDescent="0.25">
      <c r="A917" s="2" t="s">
        <v>8</v>
      </c>
      <c r="B917" s="2" t="str">
        <f>HYPERLINK("http://ts.21cn.com/tousu/show/id/1331382","来花花砍头息")</f>
        <v>来花花砍头息</v>
      </c>
      <c r="C917" s="2" t="s">
        <v>9</v>
      </c>
      <c r="D917" s="2" t="s">
        <v>10</v>
      </c>
      <c r="E917" s="2" t="str">
        <f>HYPERLINK("http://ts.21cn.com/tousu/show/id/1331382","http://ts.21cn.com/tousu/show/id/1331382")</f>
        <v>http://ts.21cn.com/tousu/show/id/1331382</v>
      </c>
      <c r="F917" s="2" t="s">
        <v>11</v>
      </c>
      <c r="G917" s="2" t="s">
        <v>42349</v>
      </c>
      <c r="H917" s="2" t="s">
        <v>42350</v>
      </c>
    </row>
    <row r="918" spans="1:8" ht="25.05" customHeight="1" x14ac:dyDescent="0.25">
      <c r="A918" s="2" t="s">
        <v>8</v>
      </c>
      <c r="B918" s="2" t="str">
        <f>HYPERLINK("http://ts.21cn.com/tousu/show/id/1331384","中腾信小花钱包恶意催收，高利贷")</f>
        <v>中腾信小花钱包恶意催收，高利贷</v>
      </c>
      <c r="C918" s="2" t="s">
        <v>9</v>
      </c>
      <c r="D918" s="2" t="s">
        <v>10</v>
      </c>
      <c r="E918" s="2" t="str">
        <f>HYPERLINK("http://ts.21cn.com/tousu/show/id/1331384","http://ts.21cn.com/tousu/show/id/1331384")</f>
        <v>http://ts.21cn.com/tousu/show/id/1331384</v>
      </c>
      <c r="F918" s="2" t="s">
        <v>11</v>
      </c>
      <c r="G918" s="2" t="s">
        <v>42347</v>
      </c>
      <c r="H918" s="2" t="s">
        <v>42348</v>
      </c>
    </row>
    <row r="919" spans="1:8" ht="25.05" customHeight="1" x14ac:dyDescent="0.25">
      <c r="A919" s="2" t="s">
        <v>8</v>
      </c>
      <c r="B919" s="2" t="str">
        <f>HYPERLINK("http://ts.21cn.com/tousu/show/id/1331366","淘宝卖家赠送价保服务，平台不履行服务。")</f>
        <v>淘宝卖家赠送价保服务，平台不履行服务。</v>
      </c>
      <c r="C919" s="2" t="s">
        <v>9</v>
      </c>
      <c r="D919" s="2" t="s">
        <v>10</v>
      </c>
      <c r="E919" s="2" t="str">
        <f>HYPERLINK("http://ts.21cn.com/tousu/show/id/1331366","http://ts.21cn.com/tousu/show/id/1331366")</f>
        <v>http://ts.21cn.com/tousu/show/id/1331366</v>
      </c>
      <c r="F919" s="2" t="s">
        <v>11</v>
      </c>
      <c r="G919" s="2" t="s">
        <v>42345</v>
      </c>
      <c r="H919" s="2" t="s">
        <v>42346</v>
      </c>
    </row>
    <row r="920" spans="1:8" ht="25.05" customHeight="1" x14ac:dyDescent="0.25">
      <c r="A920" s="2" t="s">
        <v>8</v>
      </c>
      <c r="B920" s="2" t="str">
        <f>HYPERLINK("http://ts.21cn.com/tousu/show/id/1331385","多宝分期无法还款")</f>
        <v>多宝分期无法还款</v>
      </c>
      <c r="C920" s="2" t="s">
        <v>34</v>
      </c>
      <c r="D920" s="2" t="s">
        <v>10</v>
      </c>
      <c r="E920" s="2" t="str">
        <f>HYPERLINK("http://ts.21cn.com/tousu/show/id/1331385","http://ts.21cn.com/tousu/show/id/1331385")</f>
        <v>http://ts.21cn.com/tousu/show/id/1331385</v>
      </c>
      <c r="F920" s="2" t="s">
        <v>11</v>
      </c>
      <c r="G920" s="2" t="s">
        <v>42343</v>
      </c>
      <c r="H920" s="2" t="s">
        <v>42344</v>
      </c>
    </row>
    <row r="921" spans="1:8" ht="25.05" customHeight="1" x14ac:dyDescent="0.25">
      <c r="A921" s="2" t="s">
        <v>8</v>
      </c>
      <c r="B921" s="2" t="str">
        <f>HYPERLINK("http://ts.21cn.com/tousu/show/id/1331383","砍头息高利贷")</f>
        <v>砍头息高利贷</v>
      </c>
      <c r="C921" s="2" t="s">
        <v>9</v>
      </c>
      <c r="D921" s="2" t="s">
        <v>10</v>
      </c>
      <c r="E921" s="2" t="str">
        <f>HYPERLINK("http://ts.21cn.com/tousu/show/id/1331383","http://ts.21cn.com/tousu/show/id/1331383")</f>
        <v>http://ts.21cn.com/tousu/show/id/1331383</v>
      </c>
      <c r="F921" s="2" t="s">
        <v>11</v>
      </c>
      <c r="G921" s="2" t="s">
        <v>42341</v>
      </c>
      <c r="H921" s="2" t="s">
        <v>42342</v>
      </c>
    </row>
    <row r="922" spans="1:8" ht="25.05" customHeight="1" x14ac:dyDescent="0.25">
      <c r="A922" s="2" t="s">
        <v>8</v>
      </c>
      <c r="B922" s="2" t="str">
        <f>HYPERLINK("http://ts.21cn.com/tousu/show/id/1331386","恐吓，骚扰，不协商")</f>
        <v>恐吓，骚扰，不协商</v>
      </c>
      <c r="C922" s="2" t="s">
        <v>9</v>
      </c>
      <c r="D922" s="2" t="s">
        <v>10</v>
      </c>
      <c r="E922" s="2" t="str">
        <f>HYPERLINK("http://ts.21cn.com/tousu/show/id/1331386","http://ts.21cn.com/tousu/show/id/1331386")</f>
        <v>http://ts.21cn.com/tousu/show/id/1331386</v>
      </c>
      <c r="F922" s="2" t="s">
        <v>11</v>
      </c>
      <c r="G922" s="2" t="s">
        <v>42339</v>
      </c>
      <c r="H922" s="2" t="s">
        <v>42340</v>
      </c>
    </row>
    <row r="923" spans="1:8" ht="25.05" customHeight="1" x14ac:dyDescent="0.25">
      <c r="A923" s="2" t="s">
        <v>8</v>
      </c>
      <c r="B923" s="2" t="str">
        <f>HYPERLINK("http://ts.21cn.com/tousu/show/id/1331387","小花钱包暴力催收威胁恐吓")</f>
        <v>小花钱包暴力催收威胁恐吓</v>
      </c>
      <c r="C923" s="2" t="s">
        <v>9</v>
      </c>
      <c r="D923" s="2" t="s">
        <v>10</v>
      </c>
      <c r="E923" s="2" t="str">
        <f>HYPERLINK("http://ts.21cn.com/tousu/show/id/1331387","http://ts.21cn.com/tousu/show/id/1331387")</f>
        <v>http://ts.21cn.com/tousu/show/id/1331387</v>
      </c>
      <c r="F923" s="2" t="s">
        <v>11</v>
      </c>
      <c r="G923" s="2" t="s">
        <v>42337</v>
      </c>
      <c r="H923" s="2" t="s">
        <v>42338</v>
      </c>
    </row>
    <row r="924" spans="1:8" ht="25.05" customHeight="1" x14ac:dyDescent="0.25">
      <c r="A924" s="2" t="s">
        <v>8</v>
      </c>
      <c r="B924" s="2" t="str">
        <f>HYPERLINK("http://ts.21cn.com/tousu/show/id/1331388","小花钱包爆通讯录催收")</f>
        <v>小花钱包爆通讯录催收</v>
      </c>
      <c r="C924" s="2" t="s">
        <v>9</v>
      </c>
      <c r="D924" s="2" t="s">
        <v>10</v>
      </c>
      <c r="E924" s="2" t="str">
        <f>HYPERLINK("http://ts.21cn.com/tousu/show/id/1331388","http://ts.21cn.com/tousu/show/id/1331388")</f>
        <v>http://ts.21cn.com/tousu/show/id/1331388</v>
      </c>
      <c r="F924" s="2" t="s">
        <v>11</v>
      </c>
      <c r="G924" s="2" t="s">
        <v>42335</v>
      </c>
      <c r="H924" s="2" t="s">
        <v>42336</v>
      </c>
    </row>
    <row r="925" spans="1:8" ht="25.05" customHeight="1" x14ac:dyDescent="0.25">
      <c r="A925" s="2" t="s">
        <v>8</v>
      </c>
      <c r="B925" s="2" t="str">
        <f>HYPERLINK("http://ts.21cn.com/tousu/show/id/1331390","强制销售众安保险")</f>
        <v>强制销售众安保险</v>
      </c>
      <c r="C925" s="2" t="s">
        <v>9</v>
      </c>
      <c r="D925" s="2" t="s">
        <v>10</v>
      </c>
      <c r="E925" s="2" t="str">
        <f>HYPERLINK("http://ts.21cn.com/tousu/show/id/1331390","http://ts.21cn.com/tousu/show/id/1331390")</f>
        <v>http://ts.21cn.com/tousu/show/id/1331390</v>
      </c>
      <c r="F925" s="2" t="s">
        <v>11</v>
      </c>
      <c r="G925" s="2" t="s">
        <v>42333</v>
      </c>
      <c r="H925" s="2" t="s">
        <v>42334</v>
      </c>
    </row>
    <row r="926" spans="1:8" ht="25.05" customHeight="1" x14ac:dyDescent="0.25">
      <c r="A926" s="2" t="s">
        <v>8</v>
      </c>
      <c r="B926" s="2" t="str">
        <f>HYPERLINK("http://ts.21cn.com/tousu/show/id/1331391","飞机密码箱暴力催收")</f>
        <v>飞机密码箱暴力催收</v>
      </c>
      <c r="C926" s="2" t="s">
        <v>9</v>
      </c>
      <c r="D926" s="2" t="s">
        <v>10</v>
      </c>
      <c r="E926" s="2" t="str">
        <f>HYPERLINK("http://ts.21cn.com/tousu/show/id/1331391","http://ts.21cn.com/tousu/show/id/1331391")</f>
        <v>http://ts.21cn.com/tousu/show/id/1331391</v>
      </c>
      <c r="F926" s="2" t="s">
        <v>11</v>
      </c>
      <c r="G926" s="2" t="s">
        <v>42331</v>
      </c>
      <c r="H926" s="2" t="s">
        <v>42332</v>
      </c>
    </row>
    <row r="927" spans="1:8" ht="25.05" customHeight="1" x14ac:dyDescent="0.25">
      <c r="A927" s="2" t="s">
        <v>8</v>
      </c>
      <c r="B927" s="2" t="str">
        <f>HYPERLINK("http://ts.21cn.com/tousu/show/id/1331392","贷上钱高利贷骚扰")</f>
        <v>贷上钱高利贷骚扰</v>
      </c>
      <c r="C927" s="2" t="s">
        <v>9</v>
      </c>
      <c r="D927" s="2" t="s">
        <v>10</v>
      </c>
      <c r="E927" s="2" t="str">
        <f>HYPERLINK("http://ts.21cn.com/tousu/show/id/1331392","http://ts.21cn.com/tousu/show/id/1331392")</f>
        <v>http://ts.21cn.com/tousu/show/id/1331392</v>
      </c>
      <c r="F927" s="2" t="s">
        <v>11</v>
      </c>
      <c r="G927" s="2" t="s">
        <v>42329</v>
      </c>
      <c r="H927" s="2" t="s">
        <v>42330</v>
      </c>
    </row>
    <row r="928" spans="1:8" ht="25.05" customHeight="1" x14ac:dyDescent="0.25">
      <c r="A928" s="2" t="s">
        <v>8</v>
      </c>
      <c r="B928" s="2" t="str">
        <f>HYPERLINK("http://ts.21cn.com/tousu/show/id/1331393","分期乐国庆节当天发短信威胁还款")</f>
        <v>分期乐国庆节当天发短信威胁还款</v>
      </c>
      <c r="C928" s="2" t="s">
        <v>9</v>
      </c>
      <c r="D928" s="2" t="s">
        <v>10</v>
      </c>
      <c r="E928" s="2" t="str">
        <f>HYPERLINK("http://ts.21cn.com/tousu/show/id/1331393","http://ts.21cn.com/tousu/show/id/1331393")</f>
        <v>http://ts.21cn.com/tousu/show/id/1331393</v>
      </c>
      <c r="F928" s="2" t="s">
        <v>11</v>
      </c>
      <c r="G928" s="2" t="s">
        <v>42327</v>
      </c>
      <c r="H928" s="2" t="s">
        <v>42328</v>
      </c>
    </row>
    <row r="929" spans="1:8" ht="25.05" customHeight="1" x14ac:dyDescent="0.25">
      <c r="A929" s="2" t="s">
        <v>8</v>
      </c>
      <c r="B929" s="2" t="str">
        <f>HYPERLINK("http://ts.21cn.com/tousu/show/id/1331394","利息超级高，高利贷")</f>
        <v>利息超级高，高利贷</v>
      </c>
      <c r="C929" s="2" t="s">
        <v>9</v>
      </c>
      <c r="D929" s="2" t="s">
        <v>10</v>
      </c>
      <c r="E929" s="2" t="str">
        <f>HYPERLINK("http://ts.21cn.com/tousu/show/id/1331394","http://ts.21cn.com/tousu/show/id/1331394")</f>
        <v>http://ts.21cn.com/tousu/show/id/1331394</v>
      </c>
      <c r="F929" s="2" t="s">
        <v>11</v>
      </c>
      <c r="G929" s="2" t="s">
        <v>42325</v>
      </c>
      <c r="H929" s="2" t="s">
        <v>42326</v>
      </c>
    </row>
    <row r="930" spans="1:8" ht="25.05" customHeight="1" x14ac:dyDescent="0.25">
      <c r="A930" s="2" t="s">
        <v>8</v>
      </c>
      <c r="B930" s="2" t="str">
        <f>HYPERLINK("http://ts.21cn.com/tousu/show/id/1331395","投诉苏宁任性贷")</f>
        <v>投诉苏宁任性贷</v>
      </c>
      <c r="C930" s="2" t="s">
        <v>9</v>
      </c>
      <c r="D930" s="2" t="s">
        <v>10</v>
      </c>
      <c r="E930" s="2" t="str">
        <f>HYPERLINK("http://ts.21cn.com/tousu/show/id/1331395","http://ts.21cn.com/tousu/show/id/1331395")</f>
        <v>http://ts.21cn.com/tousu/show/id/1331395</v>
      </c>
      <c r="F930" s="2" t="s">
        <v>11</v>
      </c>
      <c r="G930" s="2" t="s">
        <v>42323</v>
      </c>
      <c r="H930" s="2" t="s">
        <v>42324</v>
      </c>
    </row>
    <row r="931" spans="1:8" ht="25.05" customHeight="1" x14ac:dyDescent="0.25">
      <c r="A931" s="2" t="s">
        <v>8</v>
      </c>
      <c r="B931" s="2" t="str">
        <f>HYPERLINK("http://ts.21cn.com/tousu/show/id/1331396","小象优品高利贷")</f>
        <v>小象优品高利贷</v>
      </c>
      <c r="C931" s="2" t="s">
        <v>9</v>
      </c>
      <c r="D931" s="2" t="s">
        <v>10</v>
      </c>
      <c r="E931" s="2" t="str">
        <f>HYPERLINK("http://ts.21cn.com/tousu/show/id/1331396","http://ts.21cn.com/tousu/show/id/1331396")</f>
        <v>http://ts.21cn.com/tousu/show/id/1331396</v>
      </c>
      <c r="F931" s="2" t="s">
        <v>11</v>
      </c>
      <c r="G931" s="2" t="s">
        <v>42321</v>
      </c>
      <c r="H931" s="2" t="s">
        <v>42322</v>
      </c>
    </row>
    <row r="932" spans="1:8" ht="25.05" customHeight="1" x14ac:dyDescent="0.25">
      <c r="A932" s="2" t="s">
        <v>8</v>
      </c>
      <c r="B932" s="2" t="str">
        <f>HYPERLINK("http://ts.21cn.com/tousu/show/id/1331397","恶意骚扰")</f>
        <v>恶意骚扰</v>
      </c>
      <c r="C932" s="2" t="s">
        <v>9</v>
      </c>
      <c r="D932" s="2" t="s">
        <v>10</v>
      </c>
      <c r="E932" s="2" t="str">
        <f>HYPERLINK("http://ts.21cn.com/tousu/show/id/1331397","http://ts.21cn.com/tousu/show/id/1331397")</f>
        <v>http://ts.21cn.com/tousu/show/id/1331397</v>
      </c>
      <c r="F932" s="2" t="s">
        <v>11</v>
      </c>
      <c r="G932" s="2" t="s">
        <v>42319</v>
      </c>
      <c r="H932" s="2" t="s">
        <v>42320</v>
      </c>
    </row>
    <row r="933" spans="1:8" ht="25.05" customHeight="1" x14ac:dyDescent="0.25">
      <c r="A933" s="2" t="s">
        <v>8</v>
      </c>
      <c r="B933" s="2" t="str">
        <f>HYPERLINK("http://ts.21cn.com/tousu/show/id/1330442","易宝支付，天津通融通国际保理公司为714高炮和赌博平台提供支付通道，请求为我退款挽回经济损失")</f>
        <v>易宝支付，天津通融通国际保理公司为714高炮和赌博平台提供支付通道，请求为我退款挽回经济损失</v>
      </c>
      <c r="C933" s="2" t="s">
        <v>9</v>
      </c>
      <c r="D933" s="2" t="s">
        <v>10</v>
      </c>
      <c r="E933" s="2" t="str">
        <f>HYPERLINK("http://ts.21cn.com/tousu/show/id/1330442","http://ts.21cn.com/tousu/show/id/1330442")</f>
        <v>http://ts.21cn.com/tousu/show/id/1330442</v>
      </c>
      <c r="F933" s="2" t="s">
        <v>11</v>
      </c>
      <c r="G933" s="2" t="s">
        <v>42317</v>
      </c>
      <c r="H933" s="2" t="s">
        <v>42318</v>
      </c>
    </row>
    <row r="934" spans="1:8" ht="25.05" customHeight="1" x14ac:dyDescent="0.25">
      <c r="A934" s="2" t="s">
        <v>8</v>
      </c>
      <c r="B934" s="2" t="str">
        <f>HYPERLINK("http://ts.21cn.com/tousu/show/id/1331401","瑞信银pos机刷卡资金不到账及瑞信银为客户办理pos机审核严重失职")</f>
        <v>瑞信银pos机刷卡资金不到账及瑞信银为客户办理pos机审核严重失职</v>
      </c>
      <c r="C934" s="2" t="s">
        <v>9</v>
      </c>
      <c r="D934" s="2" t="s">
        <v>10</v>
      </c>
      <c r="E934" s="2" t="str">
        <f>HYPERLINK("http://ts.21cn.com/tousu/show/id/1331401","http://ts.21cn.com/tousu/show/id/1331401")</f>
        <v>http://ts.21cn.com/tousu/show/id/1331401</v>
      </c>
      <c r="F934" s="2" t="s">
        <v>11</v>
      </c>
      <c r="G934" s="2" t="s">
        <v>42314</v>
      </c>
      <c r="H934" s="2" t="s">
        <v>42315</v>
      </c>
    </row>
    <row r="935" spans="1:8" ht="25.05" customHeight="1" x14ac:dyDescent="0.25">
      <c r="A935" s="2" t="s">
        <v>8</v>
      </c>
      <c r="B935" s="2" t="str">
        <f>HYPERLINK("http://ts.21cn.com/tousu/show/id/1331400","为非法赌博黑网站提供充值通道！")</f>
        <v>为非法赌博黑网站提供充值通道！</v>
      </c>
      <c r="C935" s="2" t="s">
        <v>9</v>
      </c>
      <c r="D935" s="2" t="s">
        <v>10</v>
      </c>
      <c r="E935" s="2" t="str">
        <f>HYPERLINK("http://ts.21cn.com/tousu/show/id/1331400","http://ts.21cn.com/tousu/show/id/1331400")</f>
        <v>http://ts.21cn.com/tousu/show/id/1331400</v>
      </c>
      <c r="F935" s="2" t="s">
        <v>11</v>
      </c>
      <c r="G935" s="2" t="s">
        <v>42314</v>
      </c>
      <c r="H935" s="2" t="s">
        <v>42316</v>
      </c>
    </row>
    <row r="936" spans="1:8" ht="25.05" customHeight="1" x14ac:dyDescent="0.25">
      <c r="A936" s="2" t="s">
        <v>8</v>
      </c>
      <c r="B936" s="2" t="str">
        <f>HYPERLINK("http://ts.21cn.com/tousu/show/id/1331402","收款不发货")</f>
        <v>收款不发货</v>
      </c>
      <c r="C936" s="2" t="s">
        <v>9</v>
      </c>
      <c r="D936" s="2" t="s">
        <v>10</v>
      </c>
      <c r="E936" s="2" t="str">
        <f>HYPERLINK("http://ts.21cn.com/tousu/show/id/1331402","http://ts.21cn.com/tousu/show/id/1331402")</f>
        <v>http://ts.21cn.com/tousu/show/id/1331402</v>
      </c>
      <c r="F936" s="2" t="s">
        <v>11</v>
      </c>
      <c r="G936" s="2" t="s">
        <v>42312</v>
      </c>
      <c r="H936" s="2" t="s">
        <v>42313</v>
      </c>
    </row>
    <row r="937" spans="1:8" ht="25.05" customHeight="1" x14ac:dyDescent="0.25">
      <c r="A937" s="2" t="s">
        <v>8</v>
      </c>
      <c r="B937" s="2" t="str">
        <f>HYPERLINK("http://ts.21cn.com/tousu/show/id/1331403","利息")</f>
        <v>利息</v>
      </c>
      <c r="C937" s="2" t="s">
        <v>34</v>
      </c>
      <c r="D937" s="2" t="s">
        <v>10</v>
      </c>
      <c r="E937" s="2" t="str">
        <f>HYPERLINK("http://ts.21cn.com/tousu/show/id/1331403","http://ts.21cn.com/tousu/show/id/1331403")</f>
        <v>http://ts.21cn.com/tousu/show/id/1331403</v>
      </c>
      <c r="F937" s="2" t="s">
        <v>11</v>
      </c>
      <c r="G937" s="2" t="s">
        <v>42310</v>
      </c>
      <c r="H937" s="2" t="s">
        <v>42311</v>
      </c>
    </row>
    <row r="938" spans="1:8" ht="25.05" customHeight="1" x14ac:dyDescent="0.25">
      <c r="A938" s="2" t="s">
        <v>8</v>
      </c>
      <c r="B938" s="2" t="str">
        <f>HYPERLINK("http://ts.21cn.com/tousu/show/id/1331404","你借我有高利贷砍头息")</f>
        <v>你借我有高利贷砍头息</v>
      </c>
      <c r="C938" s="2" t="s">
        <v>9</v>
      </c>
      <c r="D938" s="2" t="s">
        <v>10</v>
      </c>
      <c r="E938" s="2" t="str">
        <f>HYPERLINK("http://ts.21cn.com/tousu/show/id/1331404","http://ts.21cn.com/tousu/show/id/1331404")</f>
        <v>http://ts.21cn.com/tousu/show/id/1331404</v>
      </c>
      <c r="F938" s="2" t="s">
        <v>11</v>
      </c>
      <c r="G938" s="2" t="s">
        <v>42308</v>
      </c>
      <c r="H938" s="2" t="s">
        <v>42309</v>
      </c>
    </row>
    <row r="939" spans="1:8" ht="25.05" customHeight="1" x14ac:dyDescent="0.25">
      <c r="A939" s="2" t="s">
        <v>8</v>
      </c>
      <c r="B939" s="2" t="str">
        <f>HYPERLINK("http://ts.21cn.com/tousu/show/id/1331406","易安保险与及贷借款平台强行搭售保险合同")</f>
        <v>易安保险与及贷借款平台强行搭售保险合同</v>
      </c>
      <c r="C939" s="2" t="s">
        <v>9</v>
      </c>
      <c r="D939" s="2" t="s">
        <v>10</v>
      </c>
      <c r="E939" s="2" t="str">
        <f>HYPERLINK("http://ts.21cn.com/tousu/show/id/1331406","http://ts.21cn.com/tousu/show/id/1331406")</f>
        <v>http://ts.21cn.com/tousu/show/id/1331406</v>
      </c>
      <c r="F939" s="2" t="s">
        <v>11</v>
      </c>
      <c r="G939" s="2" t="s">
        <v>42306</v>
      </c>
      <c r="H939" s="2" t="s">
        <v>42307</v>
      </c>
    </row>
    <row r="940" spans="1:8" ht="25.05" customHeight="1" x14ac:dyDescent="0.25">
      <c r="A940" s="2" t="s">
        <v>8</v>
      </c>
      <c r="B940" s="2" t="str">
        <f>HYPERLINK("http://ts.21cn.com/tousu/show/id/1331405","贷上钱，到处打电话，逾期一天")</f>
        <v>贷上钱，到处打电话，逾期一天</v>
      </c>
      <c r="C940" s="2" t="s">
        <v>9</v>
      </c>
      <c r="D940" s="2" t="s">
        <v>10</v>
      </c>
      <c r="E940" s="2" t="str">
        <f>HYPERLINK("http://ts.21cn.com/tousu/show/id/1331405","http://ts.21cn.com/tousu/show/id/1331405")</f>
        <v>http://ts.21cn.com/tousu/show/id/1331405</v>
      </c>
      <c r="F940" s="2" t="s">
        <v>11</v>
      </c>
      <c r="G940" s="2" t="s">
        <v>42304</v>
      </c>
      <c r="H940" s="2" t="s">
        <v>42305</v>
      </c>
    </row>
    <row r="941" spans="1:8" ht="25.05" customHeight="1" x14ac:dyDescent="0.25">
      <c r="A941" s="2" t="s">
        <v>8</v>
      </c>
      <c r="B941" s="2" t="str">
        <f>HYPERLINK("http://ts.21cn.com/tousu/show/id/1331408","安逸花恶意扣取用户资金")</f>
        <v>安逸花恶意扣取用户资金</v>
      </c>
      <c r="C941" s="2" t="s">
        <v>9</v>
      </c>
      <c r="D941" s="2" t="s">
        <v>10</v>
      </c>
      <c r="E941" s="2" t="str">
        <f>HYPERLINK("http://ts.21cn.com/tousu/show/id/1331408","http://ts.21cn.com/tousu/show/id/1331408")</f>
        <v>http://ts.21cn.com/tousu/show/id/1331408</v>
      </c>
      <c r="F941" s="2" t="s">
        <v>11</v>
      </c>
      <c r="G941" s="2" t="s">
        <v>42302</v>
      </c>
      <c r="H941" s="2" t="s">
        <v>42303</v>
      </c>
    </row>
    <row r="942" spans="1:8" ht="25.05" customHeight="1" x14ac:dyDescent="0.25">
      <c r="A942" s="2" t="s">
        <v>8</v>
      </c>
      <c r="B942" s="2" t="str">
        <f>HYPERLINK("http://ts.21cn.com/tousu/show/id/1331410","翼支付擅自变更放款方")</f>
        <v>翼支付擅自变更放款方</v>
      </c>
      <c r="C942" s="2" t="s">
        <v>9</v>
      </c>
      <c r="D942" s="2" t="s">
        <v>10</v>
      </c>
      <c r="E942" s="2" t="str">
        <f>HYPERLINK("http://ts.21cn.com/tousu/show/id/1331410","http://ts.21cn.com/tousu/show/id/1331410")</f>
        <v>http://ts.21cn.com/tousu/show/id/1331410</v>
      </c>
      <c r="F942" s="2" t="s">
        <v>11</v>
      </c>
      <c r="G942" s="2" t="s">
        <v>42300</v>
      </c>
      <c r="H942" s="2" t="s">
        <v>42301</v>
      </c>
    </row>
    <row r="943" spans="1:8" ht="25.05" customHeight="1" x14ac:dyDescent="0.25">
      <c r="A943" s="2" t="s">
        <v>8</v>
      </c>
      <c r="B943" s="2" t="str">
        <f>HYPERLINK("http://ts.21cn.com/tousu/show/id/1331412","豹子贷平台乱扣费")</f>
        <v>豹子贷平台乱扣费</v>
      </c>
      <c r="C943" s="2" t="s">
        <v>9</v>
      </c>
      <c r="D943" s="2" t="s">
        <v>10</v>
      </c>
      <c r="E943" s="2" t="str">
        <f>HYPERLINK("http://ts.21cn.com/tousu/show/id/1331412","http://ts.21cn.com/tousu/show/id/1331412")</f>
        <v>http://ts.21cn.com/tousu/show/id/1331412</v>
      </c>
      <c r="F943" s="2" t="s">
        <v>11</v>
      </c>
      <c r="G943" s="2" t="s">
        <v>42298</v>
      </c>
      <c r="H943" s="2" t="s">
        <v>42299</v>
      </c>
    </row>
    <row r="944" spans="1:8" ht="25.05" customHeight="1" x14ac:dyDescent="0.25">
      <c r="A944" s="2" t="s">
        <v>8</v>
      </c>
      <c r="B944" s="2" t="str">
        <f>HYPERLINK("http://ts.21cn.com/tousu/show/id/1331413","高利贷砍头息收取会员费")</f>
        <v>高利贷砍头息收取会员费</v>
      </c>
      <c r="C944" s="2" t="s">
        <v>9</v>
      </c>
      <c r="D944" s="2" t="s">
        <v>10</v>
      </c>
      <c r="E944" s="2" t="str">
        <f>HYPERLINK("http://ts.21cn.com/tousu/show/id/1331413","http://ts.21cn.com/tousu/show/id/1331413")</f>
        <v>http://ts.21cn.com/tousu/show/id/1331413</v>
      </c>
      <c r="F944" s="2" t="s">
        <v>11</v>
      </c>
      <c r="G944" s="2" t="s">
        <v>42297</v>
      </c>
      <c r="H944" s="2" t="s">
        <v>28158</v>
      </c>
    </row>
    <row r="945" spans="1:8" ht="25.05" customHeight="1" x14ac:dyDescent="0.25">
      <c r="A945" s="2" t="s">
        <v>8</v>
      </c>
      <c r="B945" s="2" t="str">
        <f>HYPERLINK("http://ts.21cn.com/tousu/show/id/1330439","瀚银支付为赌博输平台收单，请求瀚银为我退款挽回经济损失")</f>
        <v>瀚银支付为赌博输平台收单，请求瀚银为我退款挽回经济损失</v>
      </c>
      <c r="C945" s="2" t="s">
        <v>9</v>
      </c>
      <c r="D945" s="2" t="s">
        <v>10</v>
      </c>
      <c r="E945" s="2" t="str">
        <f>HYPERLINK("http://ts.21cn.com/tousu/show/id/1330439","http://ts.21cn.com/tousu/show/id/1330439")</f>
        <v>http://ts.21cn.com/tousu/show/id/1330439</v>
      </c>
      <c r="F945" s="2" t="s">
        <v>11</v>
      </c>
      <c r="G945" s="2" t="s">
        <v>42295</v>
      </c>
      <c r="H945" s="2" t="s">
        <v>42296</v>
      </c>
    </row>
    <row r="946" spans="1:8" ht="25.05" customHeight="1" x14ac:dyDescent="0.25">
      <c r="A946" s="2" t="s">
        <v>8</v>
      </c>
      <c r="B946" s="2" t="str">
        <f>HYPERLINK("http://ts.21cn.com/tousu/show/id/1331399","聚富分期私自扣银行卡299元")</f>
        <v>聚富分期私自扣银行卡299元</v>
      </c>
      <c r="C946" s="2" t="s">
        <v>9</v>
      </c>
      <c r="D946" s="2" t="s">
        <v>10</v>
      </c>
      <c r="E946" s="2" t="str">
        <f>HYPERLINK("http://ts.21cn.com/tousu/show/id/1331399","http://ts.21cn.com/tousu/show/id/1331399")</f>
        <v>http://ts.21cn.com/tousu/show/id/1331399</v>
      </c>
      <c r="F946" s="2" t="s">
        <v>11</v>
      </c>
      <c r="G946" s="2" t="s">
        <v>42293</v>
      </c>
      <c r="H946" s="2" t="s">
        <v>42294</v>
      </c>
    </row>
    <row r="947" spans="1:8" ht="25.05" customHeight="1" x14ac:dyDescent="0.25">
      <c r="A947" s="2" t="s">
        <v>8</v>
      </c>
      <c r="B947" s="2" t="str">
        <f>HYPERLINK("http://ts.21cn.com/tousu/show/id/1331414","马上消费金融，暴力催收，群发短信，恐吓催收")</f>
        <v>马上消费金融，暴力催收，群发短信，恐吓催收</v>
      </c>
      <c r="C947" s="2" t="s">
        <v>9</v>
      </c>
      <c r="D947" s="2" t="s">
        <v>10</v>
      </c>
      <c r="E947" s="2" t="str">
        <f>HYPERLINK("http://ts.21cn.com/tousu/show/id/1331414","http://ts.21cn.com/tousu/show/id/1331414")</f>
        <v>http://ts.21cn.com/tousu/show/id/1331414</v>
      </c>
      <c r="F947" s="2" t="s">
        <v>11</v>
      </c>
      <c r="G947" s="2" t="s">
        <v>42291</v>
      </c>
      <c r="H947" s="2" t="s">
        <v>42292</v>
      </c>
    </row>
    <row r="948" spans="1:8" ht="25.05" customHeight="1" x14ac:dyDescent="0.25">
      <c r="A948" s="2" t="s">
        <v>8</v>
      </c>
      <c r="B948" s="2" t="str">
        <f>HYPERLINK("http://ts.21cn.com/tousu/show/id/1331416","银行违规")</f>
        <v>银行违规</v>
      </c>
      <c r="C948" s="2" t="s">
        <v>9</v>
      </c>
      <c r="D948" s="2" t="s">
        <v>10</v>
      </c>
      <c r="E948" s="2" t="str">
        <f>HYPERLINK("http://ts.21cn.com/tousu/show/id/1331416","http://ts.21cn.com/tousu/show/id/1331416")</f>
        <v>http://ts.21cn.com/tousu/show/id/1331416</v>
      </c>
      <c r="F948" s="2" t="s">
        <v>11</v>
      </c>
      <c r="G948" s="2" t="s">
        <v>42289</v>
      </c>
      <c r="H948" s="2" t="s">
        <v>42290</v>
      </c>
    </row>
    <row r="949" spans="1:8" ht="25.05" customHeight="1" x14ac:dyDescent="0.25">
      <c r="A949" s="2" t="s">
        <v>8</v>
      </c>
      <c r="B949" s="2" t="str">
        <f>HYPERLINK("http://ts.21cn.com/tousu/show/id/1331417","现金巴士，协商还款")</f>
        <v>现金巴士，协商还款</v>
      </c>
      <c r="C949" s="2" t="s">
        <v>9</v>
      </c>
      <c r="D949" s="2" t="s">
        <v>10</v>
      </c>
      <c r="E949" s="2" t="str">
        <f>HYPERLINK("http://ts.21cn.com/tousu/show/id/1331417","http://ts.21cn.com/tousu/show/id/1331417")</f>
        <v>http://ts.21cn.com/tousu/show/id/1331417</v>
      </c>
      <c r="F949" s="2" t="s">
        <v>11</v>
      </c>
      <c r="G949" s="2" t="s">
        <v>42287</v>
      </c>
      <c r="H949" s="2" t="s">
        <v>42288</v>
      </c>
    </row>
    <row r="950" spans="1:8" ht="25.05" customHeight="1" x14ac:dyDescent="0.25">
      <c r="A950" s="2" t="s">
        <v>8</v>
      </c>
      <c r="B950" s="2" t="str">
        <f>HYPERLINK("http://ts.21cn.com/tousu/show/id/1331418","小花钱包暴力催收，恐吓威胁")</f>
        <v>小花钱包暴力催收，恐吓威胁</v>
      </c>
      <c r="C950" s="2" t="s">
        <v>9</v>
      </c>
      <c r="D950" s="2" t="s">
        <v>10</v>
      </c>
      <c r="E950" s="2" t="str">
        <f>HYPERLINK("http://ts.21cn.com/tousu/show/id/1331418","http://ts.21cn.com/tousu/show/id/1331418")</f>
        <v>http://ts.21cn.com/tousu/show/id/1331418</v>
      </c>
      <c r="F950" s="2" t="s">
        <v>11</v>
      </c>
      <c r="G950" s="2" t="s">
        <v>42285</v>
      </c>
      <c r="H950" s="2" t="s">
        <v>42286</v>
      </c>
    </row>
    <row r="951" spans="1:8" ht="25.05" customHeight="1" x14ac:dyDescent="0.25">
      <c r="A951" s="2" t="s">
        <v>8</v>
      </c>
      <c r="B951" s="2" t="str">
        <f>HYPERLINK("http://ts.21cn.com/tousu/show/id/1331419","淘手游黑心平台现在东西和钱都没了")</f>
        <v>淘手游黑心平台现在东西和钱都没了</v>
      </c>
      <c r="C951" s="2" t="s">
        <v>9</v>
      </c>
      <c r="D951" s="2" t="s">
        <v>10</v>
      </c>
      <c r="E951" s="2" t="str">
        <f>HYPERLINK("http://ts.21cn.com/tousu/show/id/1331419","http://ts.21cn.com/tousu/show/id/1331419")</f>
        <v>http://ts.21cn.com/tousu/show/id/1331419</v>
      </c>
      <c r="F951" s="2" t="s">
        <v>11</v>
      </c>
      <c r="G951" s="2" t="s">
        <v>42283</v>
      </c>
      <c r="H951" s="2" t="s">
        <v>42284</v>
      </c>
    </row>
    <row r="952" spans="1:8" ht="25.05" customHeight="1" x14ac:dyDescent="0.25">
      <c r="A952" s="2" t="s">
        <v>8</v>
      </c>
      <c r="B952" s="2" t="str">
        <f>HYPERLINK("http://ts.21cn.com/tousu/show/id/1331420","你我贷高额砍头息")</f>
        <v>你我贷高额砍头息</v>
      </c>
      <c r="C952" s="2" t="s">
        <v>34</v>
      </c>
      <c r="D952" s="2" t="s">
        <v>10</v>
      </c>
      <c r="E952" s="2" t="str">
        <f>HYPERLINK("http://ts.21cn.com/tousu/show/id/1331420","http://ts.21cn.com/tousu/show/id/1331420")</f>
        <v>http://ts.21cn.com/tousu/show/id/1331420</v>
      </c>
      <c r="F952" s="2" t="s">
        <v>11</v>
      </c>
      <c r="G952" s="2" t="s">
        <v>42281</v>
      </c>
      <c r="H952" s="2" t="s">
        <v>42282</v>
      </c>
    </row>
    <row r="953" spans="1:8" ht="25.05" customHeight="1" x14ac:dyDescent="0.25">
      <c r="A953" s="2" t="s">
        <v>8</v>
      </c>
      <c r="B953" s="2" t="str">
        <f>HYPERLINK("http://ts.21cn.com/tousu/show/id/1331421","信用管家好运金借3000到账2250，28要还3089.72")</f>
        <v>信用管家好运金借3000到账2250，28要还3089.72</v>
      </c>
      <c r="C953" s="2" t="s">
        <v>34</v>
      </c>
      <c r="D953" s="2" t="s">
        <v>10</v>
      </c>
      <c r="E953" s="2" t="str">
        <f>HYPERLINK("http://ts.21cn.com/tousu/show/id/1331421","http://ts.21cn.com/tousu/show/id/1331421")</f>
        <v>http://ts.21cn.com/tousu/show/id/1331421</v>
      </c>
      <c r="F953" s="2" t="s">
        <v>11</v>
      </c>
      <c r="G953" s="2" t="s">
        <v>42279</v>
      </c>
      <c r="H953" s="2" t="s">
        <v>42280</v>
      </c>
    </row>
    <row r="954" spans="1:8" ht="25.05" customHeight="1" x14ac:dyDescent="0.25">
      <c r="A954" s="2" t="s">
        <v>8</v>
      </c>
      <c r="B954" s="2" t="str">
        <f>HYPERLINK("http://ts.21cn.com/tousu/show/id/1331409","平台高利贷放假借条")</f>
        <v>平台高利贷放假借条</v>
      </c>
      <c r="C954" s="2" t="s">
        <v>9</v>
      </c>
      <c r="D954" s="2" t="s">
        <v>10</v>
      </c>
      <c r="E954" s="2" t="str">
        <f>HYPERLINK("http://ts.21cn.com/tousu/show/id/1331409","http://ts.21cn.com/tousu/show/id/1331409")</f>
        <v>http://ts.21cn.com/tousu/show/id/1331409</v>
      </c>
      <c r="F954" s="2" t="s">
        <v>11</v>
      </c>
      <c r="G954" s="2" t="s">
        <v>42277</v>
      </c>
      <c r="H954" s="2" t="s">
        <v>42278</v>
      </c>
    </row>
    <row r="955" spans="1:8" ht="25.05" customHeight="1" x14ac:dyDescent="0.25">
      <c r="A955" s="2" t="s">
        <v>8</v>
      </c>
      <c r="B955" s="2" t="str">
        <f>HYPERLINK("http://ts.21cn.com/tousu/show/id/1331422","我来贷，我来数科违法高利贷")</f>
        <v>我来贷，我来数科违法高利贷</v>
      </c>
      <c r="C955" s="2" t="s">
        <v>9</v>
      </c>
      <c r="D955" s="2" t="s">
        <v>10</v>
      </c>
      <c r="E955" s="2" t="str">
        <f>HYPERLINK("http://ts.21cn.com/tousu/show/id/1331422","http://ts.21cn.com/tousu/show/id/1331422")</f>
        <v>http://ts.21cn.com/tousu/show/id/1331422</v>
      </c>
      <c r="F955" s="2" t="s">
        <v>11</v>
      </c>
      <c r="G955" s="2" t="s">
        <v>42275</v>
      </c>
      <c r="H955" s="2" t="s">
        <v>42276</v>
      </c>
    </row>
    <row r="956" spans="1:8" ht="25.05" customHeight="1" x14ac:dyDescent="0.25">
      <c r="A956" s="2" t="s">
        <v>8</v>
      </c>
      <c r="B956" s="2" t="str">
        <f>HYPERLINK("http://ts.21cn.com/tousu/show/id/1330460","京东金融某商户不明消费")</f>
        <v>京东金融某商户不明消费</v>
      </c>
      <c r="C956" s="2" t="s">
        <v>34</v>
      </c>
      <c r="D956" s="2" t="s">
        <v>10</v>
      </c>
      <c r="E956" s="2" t="str">
        <f>HYPERLINK("http://ts.21cn.com/tousu/show/id/1330460","http://ts.21cn.com/tousu/show/id/1330460")</f>
        <v>http://ts.21cn.com/tousu/show/id/1330460</v>
      </c>
      <c r="F956" s="2" t="s">
        <v>11</v>
      </c>
      <c r="G956" s="2" t="s">
        <v>42273</v>
      </c>
      <c r="H956" s="2" t="s">
        <v>42274</v>
      </c>
    </row>
    <row r="957" spans="1:8" ht="25.05" customHeight="1" x14ac:dyDescent="0.25">
      <c r="A957" s="2" t="s">
        <v>8</v>
      </c>
      <c r="B957" s="2" t="str">
        <f>HYPERLINK("http://ts.21cn.com/tousu/show/id/1331423","安逸花随意从银行卡里扣钱")</f>
        <v>安逸花随意从银行卡里扣钱</v>
      </c>
      <c r="C957" s="2" t="s">
        <v>9</v>
      </c>
      <c r="D957" s="2" t="s">
        <v>10</v>
      </c>
      <c r="E957" s="2" t="str">
        <f>HYPERLINK("http://ts.21cn.com/tousu/show/id/1331423","http://ts.21cn.com/tousu/show/id/1331423")</f>
        <v>http://ts.21cn.com/tousu/show/id/1331423</v>
      </c>
      <c r="F957" s="2" t="s">
        <v>11</v>
      </c>
      <c r="G957" s="2" t="s">
        <v>42271</v>
      </c>
      <c r="H957" s="2" t="s">
        <v>42272</v>
      </c>
    </row>
    <row r="958" spans="1:8" ht="25.05" customHeight="1" x14ac:dyDescent="0.25">
      <c r="A958" s="2" t="s">
        <v>8</v>
      </c>
      <c r="B958" s="2" t="str">
        <f>HYPERLINK("http://ts.21cn.com/tousu/show/id/1331424","自由魔卡超级马力贷砍头息高利贷")</f>
        <v>自由魔卡超级马力贷砍头息高利贷</v>
      </c>
      <c r="C958" s="2" t="s">
        <v>9</v>
      </c>
      <c r="D958" s="2" t="s">
        <v>10</v>
      </c>
      <c r="E958" s="2" t="str">
        <f>HYPERLINK("http://ts.21cn.com/tousu/show/id/1331424","http://ts.21cn.com/tousu/show/id/1331424")</f>
        <v>http://ts.21cn.com/tousu/show/id/1331424</v>
      </c>
      <c r="F958" s="2" t="s">
        <v>11</v>
      </c>
      <c r="G958" s="2" t="s">
        <v>42269</v>
      </c>
      <c r="H958" s="2" t="s">
        <v>42270</v>
      </c>
    </row>
    <row r="959" spans="1:8" ht="25.05" customHeight="1" x14ac:dyDescent="0.25">
      <c r="A959" s="2" t="s">
        <v>8</v>
      </c>
      <c r="B959" s="2" t="str">
        <f>HYPERLINK("http://ts.21cn.com/tousu/show/id/1331425","分期通恶意收取会员费用")</f>
        <v>分期通恶意收取会员费用</v>
      </c>
      <c r="C959" s="2" t="s">
        <v>9</v>
      </c>
      <c r="D959" s="2" t="s">
        <v>10</v>
      </c>
      <c r="E959" s="2" t="str">
        <f>HYPERLINK("http://ts.21cn.com/tousu/show/id/1331425","http://ts.21cn.com/tousu/show/id/1331425")</f>
        <v>http://ts.21cn.com/tousu/show/id/1331425</v>
      </c>
      <c r="F959" s="2" t="s">
        <v>11</v>
      </c>
      <c r="G959" s="2" t="s">
        <v>42267</v>
      </c>
      <c r="H959" s="2" t="s">
        <v>42268</v>
      </c>
    </row>
    <row r="960" spans="1:8" ht="25.05" customHeight="1" x14ac:dyDescent="0.25">
      <c r="A960" s="2" t="s">
        <v>8</v>
      </c>
      <c r="B960" s="2" t="str">
        <f>HYPERLINK("http://ts.21cn.com/tousu/show/id/1331426","小米贷款套路贷")</f>
        <v>小米贷款套路贷</v>
      </c>
      <c r="C960" s="2" t="s">
        <v>9</v>
      </c>
      <c r="D960" s="2" t="s">
        <v>10</v>
      </c>
      <c r="E960" s="2" t="str">
        <f>HYPERLINK("http://ts.21cn.com/tousu/show/id/1331426","http://ts.21cn.com/tousu/show/id/1331426")</f>
        <v>http://ts.21cn.com/tousu/show/id/1331426</v>
      </c>
      <c r="F960" s="2" t="s">
        <v>11</v>
      </c>
      <c r="G960" s="2" t="s">
        <v>42265</v>
      </c>
      <c r="H960" s="2" t="s">
        <v>42266</v>
      </c>
    </row>
    <row r="961" spans="1:8" ht="25.05" customHeight="1" x14ac:dyDescent="0.25">
      <c r="A961" s="2" t="s">
        <v>8</v>
      </c>
      <c r="B961" s="2" t="str">
        <f>HYPERLINK("http://ts.21cn.com/tousu/show/id/1331427","贷上钱以买游戏豆为由收取高额贷款通过费")</f>
        <v>贷上钱以买游戏豆为由收取高额贷款通过费</v>
      </c>
      <c r="C961" s="2" t="s">
        <v>34</v>
      </c>
      <c r="D961" s="2" t="s">
        <v>10</v>
      </c>
      <c r="E961" s="2" t="str">
        <f>HYPERLINK("http://ts.21cn.com/tousu/show/id/1331427","http://ts.21cn.com/tousu/show/id/1331427")</f>
        <v>http://ts.21cn.com/tousu/show/id/1331427</v>
      </c>
      <c r="F961" s="2" t="s">
        <v>11</v>
      </c>
      <c r="G961" s="2" t="s">
        <v>42263</v>
      </c>
      <c r="H961" s="2" t="s">
        <v>42264</v>
      </c>
    </row>
    <row r="962" spans="1:8" ht="25.05" customHeight="1" x14ac:dyDescent="0.25">
      <c r="A962" s="2" t="s">
        <v>8</v>
      </c>
      <c r="B962" s="2" t="str">
        <f>HYPERLINK("http://ts.21cn.com/tousu/show/id/1331429","优酷恶意扣费106")</f>
        <v>优酷恶意扣费106</v>
      </c>
      <c r="C962" s="2" t="s">
        <v>9</v>
      </c>
      <c r="D962" s="2" t="s">
        <v>10</v>
      </c>
      <c r="E962" s="2" t="str">
        <f>HYPERLINK("http://ts.21cn.com/tousu/show/id/1331429","http://ts.21cn.com/tousu/show/id/1331429")</f>
        <v>http://ts.21cn.com/tousu/show/id/1331429</v>
      </c>
      <c r="F962" s="2" t="s">
        <v>11</v>
      </c>
      <c r="G962" s="2" t="s">
        <v>42261</v>
      </c>
      <c r="H962" s="2" t="s">
        <v>42262</v>
      </c>
    </row>
    <row r="963" spans="1:8" ht="25.05" customHeight="1" x14ac:dyDescent="0.25">
      <c r="A963" s="2" t="s">
        <v>8</v>
      </c>
      <c r="B963" s="2" t="str">
        <f>HYPERLINK("http://ts.21cn.com/tousu/show/id/1331415","大连熟食品交易中心小邓海鲜卖水螃蟹")</f>
        <v>大连熟食品交易中心小邓海鲜卖水螃蟹</v>
      </c>
      <c r="C963" s="2" t="s">
        <v>9</v>
      </c>
      <c r="D963" s="2" t="s">
        <v>10</v>
      </c>
      <c r="E963" s="2" t="str">
        <f>HYPERLINK("http://ts.21cn.com/tousu/show/id/1331415","http://ts.21cn.com/tousu/show/id/1331415")</f>
        <v>http://ts.21cn.com/tousu/show/id/1331415</v>
      </c>
      <c r="F963" s="2" t="s">
        <v>11</v>
      </c>
      <c r="G963" s="2" t="s">
        <v>42258</v>
      </c>
      <c r="H963" s="2" t="s">
        <v>42259</v>
      </c>
    </row>
    <row r="964" spans="1:8" ht="25.05" customHeight="1" x14ac:dyDescent="0.25">
      <c r="A964" s="2" t="s">
        <v>8</v>
      </c>
      <c r="B964" s="2" t="str">
        <f>HYPERLINK("http://ts.21cn.com/tousu/show/id/1331435","北京龙创悦动网络科技有限公司欺诈消费者")</f>
        <v>北京龙创悦动网络科技有限公司欺诈消费者</v>
      </c>
      <c r="C964" s="2" t="s">
        <v>9</v>
      </c>
      <c r="D964" s="2" t="s">
        <v>10</v>
      </c>
      <c r="E964" s="2" t="str">
        <f>HYPERLINK("http://ts.21cn.com/tousu/show/id/1331435","http://ts.21cn.com/tousu/show/id/1331435")</f>
        <v>http://ts.21cn.com/tousu/show/id/1331435</v>
      </c>
      <c r="F964" s="2" t="s">
        <v>11</v>
      </c>
      <c r="G964" s="2" t="s">
        <v>42258</v>
      </c>
      <c r="H964" s="2" t="s">
        <v>42260</v>
      </c>
    </row>
    <row r="965" spans="1:8" ht="25.05" customHeight="1" x14ac:dyDescent="0.25">
      <c r="A965" s="2" t="s">
        <v>8</v>
      </c>
      <c r="B965" s="2" t="str">
        <f>HYPERLINK("http://ts.21cn.com/tousu/show/id/1331433","在今借到上线下跟人借钱5000，周期七天利息1500，两个月利息给了一万多，本金给了3500，还要我还1500")</f>
        <v>在今借到上线下跟人借钱5000，周期七天利息1500，两个月利息给了一万多，本金给了3500，还要我还1500</v>
      </c>
      <c r="C965" s="2" t="s">
        <v>9</v>
      </c>
      <c r="D965" s="2" t="s">
        <v>10</v>
      </c>
      <c r="E965" s="2" t="str">
        <f>HYPERLINK("http://ts.21cn.com/tousu/show/id/1331433","http://ts.21cn.com/tousu/show/id/1331433")</f>
        <v>http://ts.21cn.com/tousu/show/id/1331433</v>
      </c>
      <c r="F965" s="2" t="s">
        <v>11</v>
      </c>
      <c r="G965" s="2" t="s">
        <v>42256</v>
      </c>
      <c r="H965" s="2" t="s">
        <v>42257</v>
      </c>
    </row>
    <row r="966" spans="1:8" ht="25.05" customHeight="1" x14ac:dyDescent="0.25">
      <c r="A966" s="2" t="s">
        <v>8</v>
      </c>
      <c r="B966" s="2" t="str">
        <f>HYPERLINK("http://ts.21cn.com/tousu/show/id/1331287","小黑鲨砍头息变相高利贷")</f>
        <v>小黑鲨砍头息变相高利贷</v>
      </c>
      <c r="C966" s="2" t="s">
        <v>9</v>
      </c>
      <c r="D966" s="2" t="s">
        <v>10</v>
      </c>
      <c r="E966" s="2" t="str">
        <f>HYPERLINK("http://ts.21cn.com/tousu/show/id/1331287","http://ts.21cn.com/tousu/show/id/1331287")</f>
        <v>http://ts.21cn.com/tousu/show/id/1331287</v>
      </c>
      <c r="F966" s="2" t="s">
        <v>11</v>
      </c>
      <c r="G966" s="2" t="s">
        <v>42254</v>
      </c>
      <c r="H966" s="2" t="s">
        <v>42255</v>
      </c>
    </row>
    <row r="967" spans="1:8" ht="25.05" customHeight="1" x14ac:dyDescent="0.25">
      <c r="A967" s="2" t="s">
        <v>8</v>
      </c>
      <c r="B967" s="2" t="str">
        <f>HYPERLINK("http://ts.21cn.com/tousu/show/id/1331434","立借违法违规高利贷")</f>
        <v>立借违法违规高利贷</v>
      </c>
      <c r="C967" s="2" t="s">
        <v>9</v>
      </c>
      <c r="D967" s="2" t="s">
        <v>10</v>
      </c>
      <c r="E967" s="2" t="str">
        <f>HYPERLINK("http://ts.21cn.com/tousu/show/id/1331434","http://ts.21cn.com/tousu/show/id/1331434")</f>
        <v>http://ts.21cn.com/tousu/show/id/1331434</v>
      </c>
      <c r="F967" s="2" t="s">
        <v>11</v>
      </c>
      <c r="G967" s="2" t="s">
        <v>42252</v>
      </c>
      <c r="H967" s="2" t="s">
        <v>42253</v>
      </c>
    </row>
    <row r="968" spans="1:8" ht="25.05" customHeight="1" x14ac:dyDescent="0.25">
      <c r="A968" s="2" t="s">
        <v>8</v>
      </c>
      <c r="B968" s="2" t="str">
        <f>HYPERLINK("http://ts.21cn.com/tousu/show/id/1331431","乱扣费")</f>
        <v>乱扣费</v>
      </c>
      <c r="C968" s="2" t="s">
        <v>9</v>
      </c>
      <c r="D968" s="2" t="s">
        <v>10</v>
      </c>
      <c r="E968" s="2" t="str">
        <f>HYPERLINK("http://ts.21cn.com/tousu/show/id/1331431","http://ts.21cn.com/tousu/show/id/1331431")</f>
        <v>http://ts.21cn.com/tousu/show/id/1331431</v>
      </c>
      <c r="F968" s="2" t="s">
        <v>11</v>
      </c>
      <c r="G968" s="2" t="s">
        <v>42250</v>
      </c>
      <c r="H968" s="2" t="s">
        <v>42251</v>
      </c>
    </row>
    <row r="969" spans="1:8" ht="25.05" customHeight="1" x14ac:dyDescent="0.25">
      <c r="A969" s="2" t="s">
        <v>8</v>
      </c>
      <c r="B969" s="2" t="str">
        <f>HYPERLINK("http://ts.21cn.com/tousu/show/id/1331436","先花一亿元叫了测评费，不打款")</f>
        <v>先花一亿元叫了测评费，不打款</v>
      </c>
      <c r="C969" s="2" t="s">
        <v>9</v>
      </c>
      <c r="D969" s="2" t="s">
        <v>10</v>
      </c>
      <c r="E969" s="2" t="str">
        <f>HYPERLINK("http://ts.21cn.com/tousu/show/id/1331436","http://ts.21cn.com/tousu/show/id/1331436")</f>
        <v>http://ts.21cn.com/tousu/show/id/1331436</v>
      </c>
      <c r="F969" s="2" t="s">
        <v>11</v>
      </c>
      <c r="G969" s="2" t="s">
        <v>42248</v>
      </c>
      <c r="H969" s="2" t="s">
        <v>42249</v>
      </c>
    </row>
    <row r="970" spans="1:8" ht="25.05" customHeight="1" x14ac:dyDescent="0.25">
      <c r="A970" s="2" t="s">
        <v>8</v>
      </c>
      <c r="B970" s="2" t="str">
        <f>HYPERLINK("http://ts.21cn.com/tousu/show/id/1331437","暴力催收套路贷")</f>
        <v>暴力催收套路贷</v>
      </c>
      <c r="C970" s="2" t="s">
        <v>9</v>
      </c>
      <c r="D970" s="2" t="s">
        <v>10</v>
      </c>
      <c r="E970" s="2" t="str">
        <f>HYPERLINK("http://ts.21cn.com/tousu/show/id/1331437","http://ts.21cn.com/tousu/show/id/1331437")</f>
        <v>http://ts.21cn.com/tousu/show/id/1331437</v>
      </c>
      <c r="F970" s="2" t="s">
        <v>11</v>
      </c>
      <c r="G970" s="2" t="s">
        <v>42246</v>
      </c>
      <c r="H970" s="2" t="s">
        <v>42247</v>
      </c>
    </row>
    <row r="971" spans="1:8" ht="25.05" customHeight="1" x14ac:dyDescent="0.25">
      <c r="A971" s="2" t="s">
        <v>8</v>
      </c>
      <c r="B971" s="2" t="str">
        <f>HYPERLINK("http://ts.21cn.com/tousu/show/id/1331438","来分期")</f>
        <v>来分期</v>
      </c>
      <c r="C971" s="2" t="s">
        <v>9</v>
      </c>
      <c r="D971" s="2" t="s">
        <v>10</v>
      </c>
      <c r="E971" s="2" t="str">
        <f>HYPERLINK("http://ts.21cn.com/tousu/show/id/1331438","http://ts.21cn.com/tousu/show/id/1331438")</f>
        <v>http://ts.21cn.com/tousu/show/id/1331438</v>
      </c>
      <c r="F971" s="2" t="s">
        <v>11</v>
      </c>
      <c r="G971" s="2" t="s">
        <v>42244</v>
      </c>
      <c r="H971" s="2" t="s">
        <v>42245</v>
      </c>
    </row>
    <row r="972" spans="1:8" ht="25.05" customHeight="1" x14ac:dyDescent="0.25">
      <c r="A972" s="2" t="s">
        <v>8</v>
      </c>
      <c r="B972" s="2" t="str">
        <f>HYPERLINK("http://ts.21cn.com/tousu/show/id/1331440","联动云恶意锁车")</f>
        <v>联动云恶意锁车</v>
      </c>
      <c r="C972" s="2" t="s">
        <v>9</v>
      </c>
      <c r="D972" s="2" t="s">
        <v>10</v>
      </c>
      <c r="E972" s="2" t="str">
        <f>HYPERLINK("http://ts.21cn.com/tousu/show/id/1331440","http://ts.21cn.com/tousu/show/id/1331440")</f>
        <v>http://ts.21cn.com/tousu/show/id/1331440</v>
      </c>
      <c r="F972" s="2" t="s">
        <v>11</v>
      </c>
      <c r="G972" s="2" t="s">
        <v>42242</v>
      </c>
      <c r="H972" s="2" t="s">
        <v>42243</v>
      </c>
    </row>
    <row r="973" spans="1:8" ht="25.05" customHeight="1" x14ac:dyDescent="0.25">
      <c r="A973" s="2" t="s">
        <v>8</v>
      </c>
      <c r="B973" s="2" t="str">
        <f>HYPERLINK("http://ts.21cn.com/tousu/show/id/1331439","网络贷款利息太高")</f>
        <v>网络贷款利息太高</v>
      </c>
      <c r="C973" s="2" t="s">
        <v>9</v>
      </c>
      <c r="D973" s="2" t="s">
        <v>10</v>
      </c>
      <c r="E973" s="2" t="str">
        <f>HYPERLINK("http://ts.21cn.com/tousu/show/id/1331439","http://ts.21cn.com/tousu/show/id/1331439")</f>
        <v>http://ts.21cn.com/tousu/show/id/1331439</v>
      </c>
      <c r="F973" s="2" t="s">
        <v>11</v>
      </c>
      <c r="G973" s="2" t="s">
        <v>42240</v>
      </c>
      <c r="H973" s="2" t="s">
        <v>42241</v>
      </c>
    </row>
    <row r="974" spans="1:8" ht="25.05" customHeight="1" x14ac:dyDescent="0.25">
      <c r="A974" s="2" t="s">
        <v>8</v>
      </c>
      <c r="B974" s="2" t="str">
        <f>HYPERLINK("http://ts.21cn.com/tousu/show/id/1331441","平安普惠")</f>
        <v>平安普惠</v>
      </c>
      <c r="C974" s="2" t="s">
        <v>9</v>
      </c>
      <c r="D974" s="2" t="s">
        <v>10</v>
      </c>
      <c r="E974" s="2" t="str">
        <f>HYPERLINK("http://ts.21cn.com/tousu/show/id/1331441","http://ts.21cn.com/tousu/show/id/1331441")</f>
        <v>http://ts.21cn.com/tousu/show/id/1331441</v>
      </c>
      <c r="F974" s="2" t="s">
        <v>11</v>
      </c>
      <c r="G974" s="2" t="s">
        <v>42238</v>
      </c>
      <c r="H974" s="2" t="s">
        <v>42239</v>
      </c>
    </row>
    <row r="975" spans="1:8" ht="25.05" customHeight="1" x14ac:dyDescent="0.25">
      <c r="A975" s="2" t="s">
        <v>8</v>
      </c>
      <c r="B975" s="2" t="str">
        <f>HYPERLINK("http://ts.21cn.com/tousu/show/id/1331442","嗨钱砍头息高利贷，远超国家规定年化率")</f>
        <v>嗨钱砍头息高利贷，远超国家规定年化率</v>
      </c>
      <c r="C975" s="2" t="s">
        <v>9</v>
      </c>
      <c r="D975" s="2" t="s">
        <v>10</v>
      </c>
      <c r="E975" s="2" t="str">
        <f>HYPERLINK("http://ts.21cn.com/tousu/show/id/1331442","http://ts.21cn.com/tousu/show/id/1331442")</f>
        <v>http://ts.21cn.com/tousu/show/id/1331442</v>
      </c>
      <c r="F975" s="2" t="s">
        <v>11</v>
      </c>
      <c r="G975" s="2" t="s">
        <v>42236</v>
      </c>
      <c r="H975" s="2" t="s">
        <v>42237</v>
      </c>
    </row>
    <row r="976" spans="1:8" ht="25.05" customHeight="1" x14ac:dyDescent="0.25">
      <c r="A976" s="2" t="s">
        <v>8</v>
      </c>
      <c r="B976" s="2" t="str">
        <f>HYPERLINK("http://ts.21cn.com/tousu/show/id/1331443","无良平台整死人")</f>
        <v>无良平台整死人</v>
      </c>
      <c r="C976" s="2" t="s">
        <v>9</v>
      </c>
      <c r="D976" s="2" t="s">
        <v>10</v>
      </c>
      <c r="E976" s="2" t="str">
        <f>HYPERLINK("http://ts.21cn.com/tousu/show/id/1331443","http://ts.21cn.com/tousu/show/id/1331443")</f>
        <v>http://ts.21cn.com/tousu/show/id/1331443</v>
      </c>
      <c r="F976" s="2" t="s">
        <v>11</v>
      </c>
      <c r="G976" s="2" t="s">
        <v>42234</v>
      </c>
      <c r="H976" s="2" t="s">
        <v>42235</v>
      </c>
    </row>
    <row r="977" spans="1:8" ht="25.05" customHeight="1" x14ac:dyDescent="0.25">
      <c r="A977" s="2" t="s">
        <v>8</v>
      </c>
      <c r="B977" s="2" t="str">
        <f>HYPERLINK("http://ts.21cn.com/tousu/show/id/1331444","淘票票坑人不退费")</f>
        <v>淘票票坑人不退费</v>
      </c>
      <c r="C977" s="2" t="s">
        <v>9</v>
      </c>
      <c r="D977" s="2" t="s">
        <v>10</v>
      </c>
      <c r="E977" s="2" t="str">
        <f>HYPERLINK("http://ts.21cn.com/tousu/show/id/1331444","http://ts.21cn.com/tousu/show/id/1331444")</f>
        <v>http://ts.21cn.com/tousu/show/id/1331444</v>
      </c>
      <c r="F977" s="2" t="s">
        <v>11</v>
      </c>
      <c r="G977" s="2" t="s">
        <v>42232</v>
      </c>
      <c r="H977" s="2" t="s">
        <v>42233</v>
      </c>
    </row>
    <row r="978" spans="1:8" ht="25.05" customHeight="1" x14ac:dyDescent="0.25">
      <c r="A978" s="2" t="s">
        <v>8</v>
      </c>
      <c r="B978" s="2" t="str">
        <f>HYPERLINK("http://ts.21cn.com/tousu/show/id/1331447","信而富高利贷，强行搭售产品进行高额利息收取")</f>
        <v>信而富高利贷，强行搭售产品进行高额利息收取</v>
      </c>
      <c r="C978" s="2" t="s">
        <v>9</v>
      </c>
      <c r="D978" s="2" t="s">
        <v>10</v>
      </c>
      <c r="E978" s="2" t="str">
        <f>HYPERLINK("http://ts.21cn.com/tousu/show/id/1331447","http://ts.21cn.com/tousu/show/id/1331447")</f>
        <v>http://ts.21cn.com/tousu/show/id/1331447</v>
      </c>
      <c r="F978" s="2" t="s">
        <v>11</v>
      </c>
      <c r="G978" s="2" t="s">
        <v>42230</v>
      </c>
      <c r="H978" s="2" t="s">
        <v>42231</v>
      </c>
    </row>
    <row r="979" spans="1:8" ht="25.05" customHeight="1" x14ac:dyDescent="0.25">
      <c r="A979" s="2" t="s">
        <v>8</v>
      </c>
      <c r="B979" s="2" t="str">
        <f>HYPERLINK("http://ts.21cn.com/tousu/show/id/1331445","人人快卖二手车拍卖平台压住押金不退还")</f>
        <v>人人快卖二手车拍卖平台压住押金不退还</v>
      </c>
      <c r="C979" s="2" t="s">
        <v>9</v>
      </c>
      <c r="D979" s="2" t="s">
        <v>10</v>
      </c>
      <c r="E979" s="2" t="str">
        <f>HYPERLINK("http://ts.21cn.com/tousu/show/id/1331445","http://ts.21cn.com/tousu/show/id/1331445")</f>
        <v>http://ts.21cn.com/tousu/show/id/1331445</v>
      </c>
      <c r="F979" s="2" t="s">
        <v>11</v>
      </c>
      <c r="G979" s="2" t="s">
        <v>42228</v>
      </c>
      <c r="H979" s="2" t="s">
        <v>42229</v>
      </c>
    </row>
    <row r="980" spans="1:8" ht="25.05" customHeight="1" x14ac:dyDescent="0.25">
      <c r="A980" s="2" t="s">
        <v>8</v>
      </c>
      <c r="B980" s="2" t="str">
        <f>HYPERLINK("http://ts.21cn.com/tousu/show/id/1331446","信用管家树林分期高额砍头息")</f>
        <v>信用管家树林分期高额砍头息</v>
      </c>
      <c r="C980" s="2" t="s">
        <v>9</v>
      </c>
      <c r="D980" s="2" t="s">
        <v>10</v>
      </c>
      <c r="E980" s="2" t="str">
        <f>HYPERLINK("http://ts.21cn.com/tousu/show/id/1331446","http://ts.21cn.com/tousu/show/id/1331446")</f>
        <v>http://ts.21cn.com/tousu/show/id/1331446</v>
      </c>
      <c r="F980" s="2" t="s">
        <v>11</v>
      </c>
      <c r="G980" s="2" t="s">
        <v>42226</v>
      </c>
      <c r="H980" s="2" t="s">
        <v>42227</v>
      </c>
    </row>
    <row r="981" spans="1:8" ht="25.05" customHeight="1" x14ac:dyDescent="0.25">
      <c r="A981" s="2" t="s">
        <v>8</v>
      </c>
      <c r="B981" s="2" t="str">
        <f>HYPERLINK("http://ts.21cn.com/tousu/show/id/1331448","豹子贷恶意扣款了")</f>
        <v>豹子贷恶意扣款了</v>
      </c>
      <c r="C981" s="2" t="s">
        <v>9</v>
      </c>
      <c r="D981" s="2" t="s">
        <v>10</v>
      </c>
      <c r="E981" s="2" t="str">
        <f>HYPERLINK("http://ts.21cn.com/tousu/show/id/1331448","http://ts.21cn.com/tousu/show/id/1331448")</f>
        <v>http://ts.21cn.com/tousu/show/id/1331448</v>
      </c>
      <c r="F981" s="2" t="s">
        <v>11</v>
      </c>
      <c r="G981" s="2" t="s">
        <v>42224</v>
      </c>
      <c r="H981" s="2" t="s">
        <v>42225</v>
      </c>
    </row>
    <row r="982" spans="1:8" ht="25.05" customHeight="1" x14ac:dyDescent="0.25">
      <c r="A982" s="2" t="s">
        <v>8</v>
      </c>
      <c r="B982" s="2" t="str">
        <f>HYPERLINK("http://ts.21cn.com/tousu/show/id/1331450","立借钱钱置宝钱已结清又要还钱")</f>
        <v>立借钱钱置宝钱已结清又要还钱</v>
      </c>
      <c r="C982" s="2" t="s">
        <v>34</v>
      </c>
      <c r="D982" s="2" t="s">
        <v>10</v>
      </c>
      <c r="E982" s="2" t="str">
        <f>HYPERLINK("http://ts.21cn.com/tousu/show/id/1331450","http://ts.21cn.com/tousu/show/id/1331450")</f>
        <v>http://ts.21cn.com/tousu/show/id/1331450</v>
      </c>
      <c r="F982" s="2" t="s">
        <v>11</v>
      </c>
      <c r="G982" s="2" t="s">
        <v>42222</v>
      </c>
      <c r="H982" s="2" t="s">
        <v>42223</v>
      </c>
    </row>
    <row r="983" spans="1:8" ht="25.05" customHeight="1" x14ac:dyDescent="0.25">
      <c r="A983" s="2" t="s">
        <v>8</v>
      </c>
      <c r="B983" s="2" t="str">
        <f>HYPERLINK("http://ts.21cn.com/tousu/show/id/1331449","贷上钱以买游戏豆为由收取高额贷款通过费")</f>
        <v>贷上钱以买游戏豆为由收取高额贷款通过费</v>
      </c>
      <c r="C983" s="2" t="s">
        <v>9</v>
      </c>
      <c r="D983" s="2" t="s">
        <v>10</v>
      </c>
      <c r="E983" s="2" t="str">
        <f>HYPERLINK("http://ts.21cn.com/tousu/show/id/1331449","http://ts.21cn.com/tousu/show/id/1331449")</f>
        <v>http://ts.21cn.com/tousu/show/id/1331449</v>
      </c>
      <c r="F983" s="2" t="s">
        <v>11</v>
      </c>
      <c r="G983" s="2" t="s">
        <v>42220</v>
      </c>
      <c r="H983" s="2" t="s">
        <v>42221</v>
      </c>
    </row>
    <row r="984" spans="1:8" ht="25.05" customHeight="1" x14ac:dyDescent="0.25">
      <c r="A984" s="2" t="s">
        <v>8</v>
      </c>
      <c r="B984" s="2" t="str">
        <f>HYPERLINK("http://ts.21cn.com/tousu/show/id/1331451","马上消费金融不合理利率")</f>
        <v>马上消费金融不合理利率</v>
      </c>
      <c r="C984" s="2" t="s">
        <v>34</v>
      </c>
      <c r="D984" s="2" t="s">
        <v>10</v>
      </c>
      <c r="E984" s="2" t="str">
        <f>HYPERLINK("http://ts.21cn.com/tousu/show/id/1331451","http://ts.21cn.com/tousu/show/id/1331451")</f>
        <v>http://ts.21cn.com/tousu/show/id/1331451</v>
      </c>
      <c r="F984" s="2" t="s">
        <v>11</v>
      </c>
      <c r="G984" s="2" t="s">
        <v>42218</v>
      </c>
      <c r="H984" s="2" t="s">
        <v>42219</v>
      </c>
    </row>
    <row r="985" spans="1:8" ht="25.05" customHeight="1" x14ac:dyDescent="0.25">
      <c r="A985" s="2" t="s">
        <v>8</v>
      </c>
      <c r="B985" s="2" t="str">
        <f>HYPERLINK("http://ts.21cn.com/tousu/show/id/1331452","随手记逾期")</f>
        <v>随手记逾期</v>
      </c>
      <c r="C985" s="2" t="s">
        <v>9</v>
      </c>
      <c r="D985" s="2" t="s">
        <v>10</v>
      </c>
      <c r="E985" s="2" t="str">
        <f>HYPERLINK("http://ts.21cn.com/tousu/show/id/1331452","http://ts.21cn.com/tousu/show/id/1331452")</f>
        <v>http://ts.21cn.com/tousu/show/id/1331452</v>
      </c>
      <c r="F985" s="2" t="s">
        <v>11</v>
      </c>
      <c r="G985" s="2" t="s">
        <v>42216</v>
      </c>
      <c r="H985" s="2" t="s">
        <v>42217</v>
      </c>
    </row>
    <row r="986" spans="1:8" ht="25.05" customHeight="1" x14ac:dyDescent="0.25">
      <c r="A986" s="2" t="s">
        <v>8</v>
      </c>
      <c r="B986" s="2" t="str">
        <f>HYPERLINK("http://ts.21cn.com/tousu/show/id/1331453","阴阳合同、高利贷、砍头息、客服不处理/处理不当、服务不到位/态度差")</f>
        <v>阴阳合同、高利贷、砍头息、客服不处理/处理不当、服务不到位/态度差</v>
      </c>
      <c r="C986" s="2" t="s">
        <v>9</v>
      </c>
      <c r="D986" s="2" t="s">
        <v>10</v>
      </c>
      <c r="E986" s="2" t="str">
        <f>HYPERLINK("http://ts.21cn.com/tousu/show/id/1331453","http://ts.21cn.com/tousu/show/id/1331453")</f>
        <v>http://ts.21cn.com/tousu/show/id/1331453</v>
      </c>
      <c r="F986" s="2" t="s">
        <v>11</v>
      </c>
      <c r="G986" s="2" t="s">
        <v>42214</v>
      </c>
      <c r="H986" s="2" t="s">
        <v>42215</v>
      </c>
    </row>
    <row r="987" spans="1:8" ht="25.05" customHeight="1" x14ac:dyDescent="0.25">
      <c r="A987" s="2" t="s">
        <v>8</v>
      </c>
      <c r="B987" s="2" t="str">
        <f>HYPERLINK("http://ts.21cn.com/tousu/show/id/1331454","恶意扣款")</f>
        <v>恶意扣款</v>
      </c>
      <c r="C987" s="2" t="s">
        <v>9</v>
      </c>
      <c r="D987" s="2" t="s">
        <v>10</v>
      </c>
      <c r="E987" s="2" t="str">
        <f>HYPERLINK("http://ts.21cn.com/tousu/show/id/1331454","http://ts.21cn.com/tousu/show/id/1331454")</f>
        <v>http://ts.21cn.com/tousu/show/id/1331454</v>
      </c>
      <c r="F987" s="2" t="s">
        <v>11</v>
      </c>
      <c r="G987" s="2" t="s">
        <v>42212</v>
      </c>
      <c r="H987" s="2" t="s">
        <v>42213</v>
      </c>
    </row>
    <row r="988" spans="1:8" ht="25.05" customHeight="1" x14ac:dyDescent="0.25">
      <c r="A988" s="2" t="s">
        <v>8</v>
      </c>
      <c r="B988" s="2" t="str">
        <f>HYPERLINK("http://ts.21cn.com/tousu/show/id/1331455","小赢卡贷高额利息高炮台")</f>
        <v>小赢卡贷高额利息高炮台</v>
      </c>
      <c r="C988" s="2" t="s">
        <v>9</v>
      </c>
      <c r="D988" s="2" t="s">
        <v>10</v>
      </c>
      <c r="E988" s="2" t="str">
        <f>HYPERLINK("http://ts.21cn.com/tousu/show/id/1331455","http://ts.21cn.com/tousu/show/id/1331455")</f>
        <v>http://ts.21cn.com/tousu/show/id/1331455</v>
      </c>
      <c r="F988" s="2" t="s">
        <v>11</v>
      </c>
      <c r="G988" s="2" t="s">
        <v>42210</v>
      </c>
      <c r="H988" s="2" t="s">
        <v>42211</v>
      </c>
    </row>
    <row r="989" spans="1:8" ht="25.05" customHeight="1" x14ac:dyDescent="0.25">
      <c r="A989" s="2" t="s">
        <v>8</v>
      </c>
      <c r="B989" s="2" t="str">
        <f>HYPERLINK("http://ts.21cn.com/tousu/show/id/1331456","易安强制捆绑销售保险")</f>
        <v>易安强制捆绑销售保险</v>
      </c>
      <c r="C989" s="2" t="s">
        <v>9</v>
      </c>
      <c r="D989" s="2" t="s">
        <v>10</v>
      </c>
      <c r="E989" s="2" t="str">
        <f>HYPERLINK("http://ts.21cn.com/tousu/show/id/1331456","http://ts.21cn.com/tousu/show/id/1331456")</f>
        <v>http://ts.21cn.com/tousu/show/id/1331456</v>
      </c>
      <c r="F989" s="2" t="s">
        <v>11</v>
      </c>
      <c r="G989" s="2" t="s">
        <v>42208</v>
      </c>
      <c r="H989" s="2" t="s">
        <v>42209</v>
      </c>
    </row>
    <row r="990" spans="1:8" ht="25.05" customHeight="1" x14ac:dyDescent="0.25">
      <c r="A990" s="2" t="s">
        <v>8</v>
      </c>
      <c r="B990" s="2" t="str">
        <f>HYPERLINK("http://ts.21cn.com/tousu/show/id/1331457","与马上消费金融安逸花协商还款时间")</f>
        <v>与马上消费金融安逸花协商还款时间</v>
      </c>
      <c r="C990" s="2" t="s">
        <v>34</v>
      </c>
      <c r="D990" s="2" t="s">
        <v>10</v>
      </c>
      <c r="E990" s="2" t="str">
        <f>HYPERLINK("http://ts.21cn.com/tousu/show/id/1331457","http://ts.21cn.com/tousu/show/id/1331457")</f>
        <v>http://ts.21cn.com/tousu/show/id/1331457</v>
      </c>
      <c r="F990" s="2" t="s">
        <v>11</v>
      </c>
      <c r="G990" s="2" t="s">
        <v>42206</v>
      </c>
      <c r="H990" s="2" t="s">
        <v>42207</v>
      </c>
    </row>
    <row r="991" spans="1:8" ht="25.05" customHeight="1" x14ac:dyDescent="0.25">
      <c r="A991" s="2" t="s">
        <v>8</v>
      </c>
      <c r="B991" s="2" t="str">
        <f>HYPERLINK("http://ts.21cn.com/tousu/show/id/1331458","交通银行暴力催收，态度恶劣")</f>
        <v>交通银行暴力催收，态度恶劣</v>
      </c>
      <c r="C991" s="2" t="s">
        <v>9</v>
      </c>
      <c r="D991" s="2" t="s">
        <v>10</v>
      </c>
      <c r="E991" s="2" t="str">
        <f>HYPERLINK("http://ts.21cn.com/tousu/show/id/1331458","http://ts.21cn.com/tousu/show/id/1331458")</f>
        <v>http://ts.21cn.com/tousu/show/id/1331458</v>
      </c>
      <c r="F991" s="2" t="s">
        <v>11</v>
      </c>
      <c r="G991" s="2" t="s">
        <v>42204</v>
      </c>
      <c r="H991" s="2" t="s">
        <v>42205</v>
      </c>
    </row>
    <row r="992" spans="1:8" ht="25.05" customHeight="1" x14ac:dyDescent="0.25">
      <c r="A992" s="2" t="s">
        <v>8</v>
      </c>
      <c r="B992" s="2" t="str">
        <f>HYPERLINK("http://ts.21cn.com/tousu/show/id/1331459","青春宝和立借平台套路贷")</f>
        <v>青春宝和立借平台套路贷</v>
      </c>
      <c r="C992" s="2" t="s">
        <v>9</v>
      </c>
      <c r="D992" s="2" t="s">
        <v>10</v>
      </c>
      <c r="E992" s="2" t="str">
        <f>HYPERLINK("http://ts.21cn.com/tousu/show/id/1331459","http://ts.21cn.com/tousu/show/id/1331459")</f>
        <v>http://ts.21cn.com/tousu/show/id/1331459</v>
      </c>
      <c r="F992" s="2" t="s">
        <v>11</v>
      </c>
      <c r="G992" s="2" t="s">
        <v>42202</v>
      </c>
      <c r="H992" s="2" t="s">
        <v>42203</v>
      </c>
    </row>
    <row r="993" spans="1:8" ht="25.05" customHeight="1" x14ac:dyDescent="0.25">
      <c r="A993" s="2" t="s">
        <v>8</v>
      </c>
      <c r="B993" s="2" t="str">
        <f>HYPERLINK("http://ts.21cn.com/tousu/show/id/1331460","豹子贷莫名其妙扣款50元")</f>
        <v>豹子贷莫名其妙扣款50元</v>
      </c>
      <c r="C993" s="2" t="s">
        <v>9</v>
      </c>
      <c r="D993" s="2" t="s">
        <v>10</v>
      </c>
      <c r="E993" s="2" t="str">
        <f>HYPERLINK("http://ts.21cn.com/tousu/show/id/1331460","http://ts.21cn.com/tousu/show/id/1331460")</f>
        <v>http://ts.21cn.com/tousu/show/id/1331460</v>
      </c>
      <c r="F993" s="2" t="s">
        <v>11</v>
      </c>
      <c r="G993" s="2" t="s">
        <v>42200</v>
      </c>
      <c r="H993" s="2" t="s">
        <v>42201</v>
      </c>
    </row>
    <row r="994" spans="1:8" ht="25.05" customHeight="1" x14ac:dyDescent="0.25">
      <c r="A994" s="2" t="s">
        <v>8</v>
      </c>
      <c r="B994" s="2" t="str">
        <f>HYPERLINK("http://ts.21cn.com/tousu/show/id/1331461","零压贷高利息")</f>
        <v>零压贷高利息</v>
      </c>
      <c r="C994" s="2" t="s">
        <v>34</v>
      </c>
      <c r="D994" s="2" t="s">
        <v>10</v>
      </c>
      <c r="E994" s="2" t="str">
        <f>HYPERLINK("http://ts.21cn.com/tousu/show/id/1331461","http://ts.21cn.com/tousu/show/id/1331461")</f>
        <v>http://ts.21cn.com/tousu/show/id/1331461</v>
      </c>
      <c r="F994" s="2" t="s">
        <v>11</v>
      </c>
      <c r="G994" s="2" t="s">
        <v>42198</v>
      </c>
      <c r="H994" s="2" t="s">
        <v>42199</v>
      </c>
    </row>
    <row r="995" spans="1:8" ht="25.05" customHeight="1" x14ac:dyDescent="0.25">
      <c r="A995" s="2" t="s">
        <v>8</v>
      </c>
      <c r="B995" s="2" t="str">
        <f>HYPERLINK("http://ts.21cn.com/tousu/show/id/1331462","高利贷")</f>
        <v>高利贷</v>
      </c>
      <c r="C995" s="2" t="s">
        <v>9</v>
      </c>
      <c r="D995" s="2" t="s">
        <v>10</v>
      </c>
      <c r="E995" s="2" t="str">
        <f>HYPERLINK("http://ts.21cn.com/tousu/show/id/1331462","http://ts.21cn.com/tousu/show/id/1331462")</f>
        <v>http://ts.21cn.com/tousu/show/id/1331462</v>
      </c>
      <c r="F995" s="2" t="s">
        <v>11</v>
      </c>
      <c r="G995" s="2" t="s">
        <v>42196</v>
      </c>
      <c r="H995" s="2" t="s">
        <v>42197</v>
      </c>
    </row>
    <row r="996" spans="1:8" ht="25.05" customHeight="1" x14ac:dyDescent="0.25">
      <c r="A996" s="2" t="s">
        <v>8</v>
      </c>
      <c r="B996" s="2" t="str">
        <f>HYPERLINK("http://ts.21cn.com/tousu/show/id/1331463","投诉my钱包")</f>
        <v>投诉my钱包</v>
      </c>
      <c r="C996" s="2" t="s">
        <v>9</v>
      </c>
      <c r="D996" s="2" t="s">
        <v>10</v>
      </c>
      <c r="E996" s="2" t="str">
        <f>HYPERLINK("http://ts.21cn.com/tousu/show/id/1331463","http://ts.21cn.com/tousu/show/id/1331463")</f>
        <v>http://ts.21cn.com/tousu/show/id/1331463</v>
      </c>
      <c r="F996" s="2" t="s">
        <v>11</v>
      </c>
      <c r="G996" s="2" t="s">
        <v>42194</v>
      </c>
      <c r="H996" s="2" t="s">
        <v>42195</v>
      </c>
    </row>
    <row r="997" spans="1:8" ht="25.05" customHeight="1" x14ac:dyDescent="0.25">
      <c r="A997" s="2" t="s">
        <v>8</v>
      </c>
      <c r="B997" s="2" t="str">
        <f>HYPERLINK("http://ts.21cn.com/tousu/show/id/1331464","晋商消费金融无缘无故扣了我1835.79元。")</f>
        <v>晋商消费金融无缘无故扣了我1835.79元。</v>
      </c>
      <c r="C997" s="2" t="s">
        <v>9</v>
      </c>
      <c r="D997" s="2" t="s">
        <v>10</v>
      </c>
      <c r="E997" s="2" t="str">
        <f>HYPERLINK("http://ts.21cn.com/tousu/show/id/1331464","http://ts.21cn.com/tousu/show/id/1331464")</f>
        <v>http://ts.21cn.com/tousu/show/id/1331464</v>
      </c>
      <c r="F997" s="2" t="s">
        <v>11</v>
      </c>
      <c r="G997" s="2" t="s">
        <v>42192</v>
      </c>
      <c r="H997" s="2" t="s">
        <v>42193</v>
      </c>
    </row>
    <row r="998" spans="1:8" ht="25.05" customHeight="1" x14ac:dyDescent="0.25">
      <c r="A998" s="2" t="s">
        <v>8</v>
      </c>
      <c r="B998" s="2" t="str">
        <f>HYPERLINK("http://ts.21cn.com/tousu/show/id/1331465","安逸花私自搭售保险与灵活借款包的变相利息")</f>
        <v>安逸花私自搭售保险与灵活借款包的变相利息</v>
      </c>
      <c r="C998" s="2" t="s">
        <v>9</v>
      </c>
      <c r="D998" s="2" t="s">
        <v>10</v>
      </c>
      <c r="E998" s="2" t="str">
        <f>HYPERLINK("http://ts.21cn.com/tousu/show/id/1331465","http://ts.21cn.com/tousu/show/id/1331465")</f>
        <v>http://ts.21cn.com/tousu/show/id/1331465</v>
      </c>
      <c r="F998" s="2" t="s">
        <v>11</v>
      </c>
      <c r="G998" s="2" t="s">
        <v>42190</v>
      </c>
      <c r="H998" s="2" t="s">
        <v>42191</v>
      </c>
    </row>
    <row r="999" spans="1:8" ht="25.05" customHeight="1" x14ac:dyDescent="0.25">
      <c r="A999" s="2" t="s">
        <v>8</v>
      </c>
      <c r="B999" s="2" t="str">
        <f>HYPERLINK("http://ts.21cn.com/tousu/show/id/1331467","多宝分期无法还款！")</f>
        <v>多宝分期无法还款！</v>
      </c>
      <c r="C999" s="2" t="s">
        <v>9</v>
      </c>
      <c r="D999" s="2" t="s">
        <v>10</v>
      </c>
      <c r="E999" s="2" t="str">
        <f>HYPERLINK("http://ts.21cn.com/tousu/show/id/1331467","http://ts.21cn.com/tousu/show/id/1331467")</f>
        <v>http://ts.21cn.com/tousu/show/id/1331467</v>
      </c>
      <c r="F999" s="2" t="s">
        <v>11</v>
      </c>
      <c r="G999" s="2" t="s">
        <v>42189</v>
      </c>
      <c r="H999" s="2" t="s">
        <v>38278</v>
      </c>
    </row>
    <row r="1000" spans="1:8" ht="25.05" customHeight="1" x14ac:dyDescent="0.25">
      <c r="A1000" s="2" t="s">
        <v>8</v>
      </c>
      <c r="B1000" s="2" t="str">
        <f>HYPERLINK("http://ts.21cn.com/tousu/show/id/1331468","小魔鱼高利贷")</f>
        <v>小魔鱼高利贷</v>
      </c>
      <c r="C1000" s="2" t="s">
        <v>9</v>
      </c>
      <c r="D1000" s="2" t="s">
        <v>10</v>
      </c>
      <c r="E1000" s="2" t="str">
        <f>HYPERLINK("http://ts.21cn.com/tousu/show/id/1331468","http://ts.21cn.com/tousu/show/id/1331468")</f>
        <v>http://ts.21cn.com/tousu/show/id/1331468</v>
      </c>
      <c r="F1000" s="2" t="s">
        <v>11</v>
      </c>
      <c r="G1000" s="2" t="s">
        <v>42187</v>
      </c>
      <c r="H1000" s="2" t="s">
        <v>42188</v>
      </c>
    </row>
    <row r="1001" spans="1:8" ht="25.05" customHeight="1" x14ac:dyDescent="0.25">
      <c r="A1001" s="2" t="s">
        <v>8</v>
      </c>
      <c r="B1001" s="2" t="str">
        <f>HYPERLINK("http://ts.21cn.com/tousu/show/id/1331471","钱站高利贷阴阳合同")</f>
        <v>钱站高利贷阴阳合同</v>
      </c>
      <c r="C1001" s="2" t="s">
        <v>9</v>
      </c>
      <c r="D1001" s="2" t="s">
        <v>10</v>
      </c>
      <c r="E1001" s="2" t="str">
        <f>HYPERLINK("http://ts.21cn.com/tousu/show/id/1331471","http://ts.21cn.com/tousu/show/id/1331471")</f>
        <v>http://ts.21cn.com/tousu/show/id/1331471</v>
      </c>
      <c r="F1001" s="2" t="s">
        <v>11</v>
      </c>
      <c r="G1001" s="2" t="s">
        <v>42185</v>
      </c>
      <c r="H1001" s="2" t="s">
        <v>42186</v>
      </c>
    </row>
    <row r="1002" spans="1:8" ht="25.05" customHeight="1" x14ac:dyDescent="0.25">
      <c r="A1002" s="2" t="s">
        <v>8</v>
      </c>
      <c r="B1002" s="2" t="str">
        <f>HYPERLINK("http://ts.21cn.com/tousu/show/id/1331470","高利贷")</f>
        <v>高利贷</v>
      </c>
      <c r="C1002" s="2" t="s">
        <v>9</v>
      </c>
      <c r="D1002" s="2" t="s">
        <v>10</v>
      </c>
      <c r="E1002" s="2" t="str">
        <f>HYPERLINK("http://ts.21cn.com/tousu/show/id/1331470","http://ts.21cn.com/tousu/show/id/1331470")</f>
        <v>http://ts.21cn.com/tousu/show/id/1331470</v>
      </c>
      <c r="F1002" s="2" t="s">
        <v>11</v>
      </c>
      <c r="G1002" s="2" t="s">
        <v>42183</v>
      </c>
      <c r="H1002" s="2" t="s">
        <v>42184</v>
      </c>
    </row>
    <row r="1003" spans="1:8" ht="25.05" customHeight="1" x14ac:dyDescent="0.25">
      <c r="A1003" s="2" t="s">
        <v>8</v>
      </c>
      <c r="B1003" s="2" t="str">
        <f>HYPERLINK("http://ts.21cn.com/tousu/show/id/1331474","永安财产强制捆绑销售保险")</f>
        <v>永安财产强制捆绑销售保险</v>
      </c>
      <c r="C1003" s="2" t="s">
        <v>9</v>
      </c>
      <c r="D1003" s="2" t="s">
        <v>10</v>
      </c>
      <c r="E1003" s="2" t="str">
        <f>HYPERLINK("http://ts.21cn.com/tousu/show/id/1331474","http://ts.21cn.com/tousu/show/id/1331474")</f>
        <v>http://ts.21cn.com/tousu/show/id/1331474</v>
      </c>
      <c r="F1003" s="2" t="s">
        <v>11</v>
      </c>
      <c r="G1003" s="2" t="s">
        <v>42181</v>
      </c>
      <c r="H1003" s="2" t="s">
        <v>42182</v>
      </c>
    </row>
    <row r="1004" spans="1:8" ht="25.05" customHeight="1" x14ac:dyDescent="0.25">
      <c r="A1004" s="2" t="s">
        <v>8</v>
      </c>
      <c r="B1004" s="2" t="str">
        <f>HYPERLINK("http://ts.21cn.com/tousu/show/id/1331411","支付宝限制登录，让我银行卡验证我没有银行卡")</f>
        <v>支付宝限制登录，让我银行卡验证我没有银行卡</v>
      </c>
      <c r="C1004" s="2" t="s">
        <v>9</v>
      </c>
      <c r="D1004" s="2" t="s">
        <v>10</v>
      </c>
      <c r="E1004" s="2" t="str">
        <f>HYPERLINK("http://ts.21cn.com/tousu/show/id/1331411","http://ts.21cn.com/tousu/show/id/1331411")</f>
        <v>http://ts.21cn.com/tousu/show/id/1331411</v>
      </c>
      <c r="F1004" s="2" t="s">
        <v>11</v>
      </c>
      <c r="G1004" s="2" t="s">
        <v>42179</v>
      </c>
      <c r="H1004" s="2" t="s">
        <v>42180</v>
      </c>
    </row>
    <row r="1005" spans="1:8" ht="25.05" customHeight="1" x14ac:dyDescent="0.25">
      <c r="A1005" s="2" t="s">
        <v>8</v>
      </c>
      <c r="B1005" s="2" t="str">
        <f>HYPERLINK("http://ts.21cn.com/tousu/show/id/1331473","拍拍贷踩红线的高利贷")</f>
        <v>拍拍贷踩红线的高利贷</v>
      </c>
      <c r="C1005" s="2" t="s">
        <v>9</v>
      </c>
      <c r="D1005" s="2" t="s">
        <v>10</v>
      </c>
      <c r="E1005" s="2" t="str">
        <f>HYPERLINK("http://ts.21cn.com/tousu/show/id/1331473","http://ts.21cn.com/tousu/show/id/1331473")</f>
        <v>http://ts.21cn.com/tousu/show/id/1331473</v>
      </c>
      <c r="F1005" s="2" t="s">
        <v>11</v>
      </c>
      <c r="G1005" s="2" t="s">
        <v>42177</v>
      </c>
      <c r="H1005" s="2" t="s">
        <v>42178</v>
      </c>
    </row>
    <row r="1006" spans="1:8" ht="25.05" customHeight="1" x14ac:dyDescent="0.25">
      <c r="A1006" s="2" t="s">
        <v>8</v>
      </c>
      <c r="B1006" s="2" t="str">
        <f>HYPERLINK("http://ts.21cn.com/tousu/show/id/1331475","中信银行侵犯用户权益")</f>
        <v>中信银行侵犯用户权益</v>
      </c>
      <c r="C1006" s="2" t="s">
        <v>9</v>
      </c>
      <c r="D1006" s="2" t="s">
        <v>10</v>
      </c>
      <c r="E1006" s="2" t="str">
        <f>HYPERLINK("http://ts.21cn.com/tousu/show/id/1331475","http://ts.21cn.com/tousu/show/id/1331475")</f>
        <v>http://ts.21cn.com/tousu/show/id/1331475</v>
      </c>
      <c r="F1006" s="2" t="s">
        <v>11</v>
      </c>
      <c r="G1006" s="2" t="s">
        <v>42175</v>
      </c>
      <c r="H1006" s="2" t="s">
        <v>42176</v>
      </c>
    </row>
    <row r="1007" spans="1:8" ht="25.05" customHeight="1" x14ac:dyDescent="0.25">
      <c r="A1007" s="2" t="s">
        <v>8</v>
      </c>
      <c r="B1007" s="2" t="str">
        <f>HYPERLINK("http://ts.21cn.com/tousu/show/id/1331477","海尔滚筒洗衣机质量差")</f>
        <v>海尔滚筒洗衣机质量差</v>
      </c>
      <c r="C1007" s="2" t="s">
        <v>9</v>
      </c>
      <c r="D1007" s="2" t="s">
        <v>10</v>
      </c>
      <c r="E1007" s="2" t="str">
        <f>HYPERLINK("http://ts.21cn.com/tousu/show/id/1331477","http://ts.21cn.com/tousu/show/id/1331477")</f>
        <v>http://ts.21cn.com/tousu/show/id/1331477</v>
      </c>
      <c r="F1007" s="2" t="s">
        <v>11</v>
      </c>
      <c r="G1007" s="2" t="s">
        <v>42173</v>
      </c>
      <c r="H1007" s="2" t="s">
        <v>42174</v>
      </c>
    </row>
    <row r="1008" spans="1:8" ht="25.05" customHeight="1" x14ac:dyDescent="0.25">
      <c r="A1008" s="2" t="s">
        <v>8</v>
      </c>
      <c r="B1008" s="2" t="str">
        <f>HYPERLINK("http://ts.21cn.com/tousu/show/id/1331476","钱站高利贷")</f>
        <v>钱站高利贷</v>
      </c>
      <c r="C1008" s="2" t="s">
        <v>9</v>
      </c>
      <c r="D1008" s="2" t="s">
        <v>10</v>
      </c>
      <c r="E1008" s="2" t="str">
        <f>HYPERLINK("http://ts.21cn.com/tousu/show/id/1331476","http://ts.21cn.com/tousu/show/id/1331476")</f>
        <v>http://ts.21cn.com/tousu/show/id/1331476</v>
      </c>
      <c r="F1008" s="2" t="s">
        <v>11</v>
      </c>
      <c r="G1008" s="2" t="s">
        <v>42171</v>
      </c>
      <c r="H1008" s="2" t="s">
        <v>42172</v>
      </c>
    </row>
    <row r="1009" spans="1:8" ht="25.05" customHeight="1" x14ac:dyDescent="0.25">
      <c r="A1009" s="2" t="s">
        <v>8</v>
      </c>
      <c r="B1009" s="2" t="str">
        <f>HYPERLINK("http://ts.21cn.com/tousu/show/id/1331478","蛋壳乱扣费")</f>
        <v>蛋壳乱扣费</v>
      </c>
      <c r="C1009" s="2" t="s">
        <v>9</v>
      </c>
      <c r="D1009" s="2" t="s">
        <v>10</v>
      </c>
      <c r="E1009" s="2" t="str">
        <f>HYPERLINK("http://ts.21cn.com/tousu/show/id/1331478","http://ts.21cn.com/tousu/show/id/1331478")</f>
        <v>http://ts.21cn.com/tousu/show/id/1331478</v>
      </c>
      <c r="F1009" s="2" t="s">
        <v>11</v>
      </c>
      <c r="G1009" s="2" t="s">
        <v>42169</v>
      </c>
      <c r="H1009" s="2" t="s">
        <v>42170</v>
      </c>
    </row>
    <row r="1010" spans="1:8" ht="25.05" customHeight="1" x14ac:dyDescent="0.25">
      <c r="A1010" s="2" t="s">
        <v>8</v>
      </c>
      <c r="B1010" s="2" t="str">
        <f>HYPERLINK("http://ts.21cn.com/tousu/show/id/1331479","强烈要求聚富分期退款")</f>
        <v>强烈要求聚富分期退款</v>
      </c>
      <c r="C1010" s="2" t="s">
        <v>9</v>
      </c>
      <c r="D1010" s="2" t="s">
        <v>10</v>
      </c>
      <c r="E1010" s="2" t="str">
        <f>HYPERLINK("http://ts.21cn.com/tousu/show/id/1331479","http://ts.21cn.com/tousu/show/id/1331479")</f>
        <v>http://ts.21cn.com/tousu/show/id/1331479</v>
      </c>
      <c r="F1010" s="2" t="s">
        <v>11</v>
      </c>
      <c r="G1010" s="2" t="s">
        <v>42167</v>
      </c>
      <c r="H1010" s="2" t="s">
        <v>42168</v>
      </c>
    </row>
    <row r="1011" spans="1:8" ht="25.05" customHeight="1" x14ac:dyDescent="0.25">
      <c r="A1011" s="2" t="s">
        <v>8</v>
      </c>
      <c r="B1011" s="2" t="str">
        <f>HYPERLINK("http://ts.21cn.com/tousu/show/id/1331480","造艺科技扣款")</f>
        <v>造艺科技扣款</v>
      </c>
      <c r="C1011" s="2" t="s">
        <v>34</v>
      </c>
      <c r="D1011" s="2" t="s">
        <v>10</v>
      </c>
      <c r="E1011" s="2" t="str">
        <f>HYPERLINK("http://ts.21cn.com/tousu/show/id/1331480","http://ts.21cn.com/tousu/show/id/1331480")</f>
        <v>http://ts.21cn.com/tousu/show/id/1331480</v>
      </c>
      <c r="F1011" s="2" t="s">
        <v>11</v>
      </c>
      <c r="G1011" s="2" t="s">
        <v>42165</v>
      </c>
      <c r="H1011" s="2" t="s">
        <v>42166</v>
      </c>
    </row>
    <row r="1012" spans="1:8" ht="25.05" customHeight="1" x14ac:dyDescent="0.25">
      <c r="A1012" s="2" t="s">
        <v>8</v>
      </c>
      <c r="B1012" s="2" t="str">
        <f>HYPERLINK("http://ts.21cn.com/tousu/show/id/1331482","同城提前游萤火虫小贷高利贷爆通讯录暴力催熟")</f>
        <v>同城提前游萤火虫小贷高利贷爆通讯录暴力催熟</v>
      </c>
      <c r="C1012" s="2" t="s">
        <v>9</v>
      </c>
      <c r="D1012" s="2" t="s">
        <v>10</v>
      </c>
      <c r="E1012" s="2" t="str">
        <f>HYPERLINK("http://ts.21cn.com/tousu/show/id/1331482","http://ts.21cn.com/tousu/show/id/1331482")</f>
        <v>http://ts.21cn.com/tousu/show/id/1331482</v>
      </c>
      <c r="F1012" s="2" t="s">
        <v>11</v>
      </c>
      <c r="G1012" s="2" t="s">
        <v>42163</v>
      </c>
      <c r="H1012" s="2" t="s">
        <v>42164</v>
      </c>
    </row>
    <row r="1013" spans="1:8" ht="25.05" customHeight="1" x14ac:dyDescent="0.25">
      <c r="A1013" s="2" t="s">
        <v>8</v>
      </c>
      <c r="B1013" s="2" t="str">
        <f>HYPERLINK("http://ts.21cn.com/tousu/show/id/1331483","pos刷卡不到账")</f>
        <v>pos刷卡不到账</v>
      </c>
      <c r="C1013" s="2" t="s">
        <v>34</v>
      </c>
      <c r="D1013" s="2" t="s">
        <v>10</v>
      </c>
      <c r="E1013" s="2" t="str">
        <f>HYPERLINK("http://ts.21cn.com/tousu/show/id/1331483","http://ts.21cn.com/tousu/show/id/1331483")</f>
        <v>http://ts.21cn.com/tousu/show/id/1331483</v>
      </c>
      <c r="F1013" s="2" t="s">
        <v>11</v>
      </c>
      <c r="G1013" s="2" t="s">
        <v>42161</v>
      </c>
      <c r="H1013" s="2" t="s">
        <v>42162</v>
      </c>
    </row>
    <row r="1014" spans="1:8" ht="25.05" customHeight="1" x14ac:dyDescent="0.25">
      <c r="A1014" s="2" t="s">
        <v>8</v>
      </c>
      <c r="B1014" s="2" t="str">
        <f>HYPERLINK("http://ts.21cn.com/tousu/show/id/1331484","吉林凯美欧出入境服务有限公司欠钱不还")</f>
        <v>吉林凯美欧出入境服务有限公司欠钱不还</v>
      </c>
      <c r="C1014" s="2" t="s">
        <v>9</v>
      </c>
      <c r="D1014" s="2" t="s">
        <v>10</v>
      </c>
      <c r="E1014" s="2" t="str">
        <f>HYPERLINK("http://ts.21cn.com/tousu/show/id/1331484","http://ts.21cn.com/tousu/show/id/1331484")</f>
        <v>http://ts.21cn.com/tousu/show/id/1331484</v>
      </c>
      <c r="F1014" s="2" t="s">
        <v>11</v>
      </c>
      <c r="G1014" s="2" t="s">
        <v>42159</v>
      </c>
      <c r="H1014" s="2" t="s">
        <v>42160</v>
      </c>
    </row>
    <row r="1015" spans="1:8" ht="25.05" customHeight="1" x14ac:dyDescent="0.25">
      <c r="A1015" s="2" t="s">
        <v>8</v>
      </c>
      <c r="B1015" s="2" t="str">
        <f>HYPERLINK("http://ts.21cn.com/tousu/show/id/1331485","美团跨站抢票信息标注不明确导致我需上车补票")</f>
        <v>美团跨站抢票信息标注不明确导致我需上车补票</v>
      </c>
      <c r="C1015" s="2" t="s">
        <v>34</v>
      </c>
      <c r="D1015" s="2" t="s">
        <v>10</v>
      </c>
      <c r="E1015" s="2" t="str">
        <f>HYPERLINK("http://ts.21cn.com/tousu/show/id/1331485","http://ts.21cn.com/tousu/show/id/1331485")</f>
        <v>http://ts.21cn.com/tousu/show/id/1331485</v>
      </c>
      <c r="F1015" s="2" t="s">
        <v>11</v>
      </c>
      <c r="G1015" s="2" t="s">
        <v>42157</v>
      </c>
      <c r="H1015" s="2" t="s">
        <v>42158</v>
      </c>
    </row>
    <row r="1016" spans="1:8" ht="25.05" customHeight="1" x14ac:dyDescent="0.25">
      <c r="A1016" s="2" t="s">
        <v>8</v>
      </c>
      <c r="B1016" s="2" t="str">
        <f>HYPERLINK("http://ts.21cn.com/tousu/show/id/1331486","51人品贷提前结清变相收取高额服务费")</f>
        <v>51人品贷提前结清变相收取高额服务费</v>
      </c>
      <c r="C1016" s="2" t="s">
        <v>9</v>
      </c>
      <c r="D1016" s="2" t="s">
        <v>10</v>
      </c>
      <c r="E1016" s="2" t="str">
        <f>HYPERLINK("http://ts.21cn.com/tousu/show/id/1331486","http://ts.21cn.com/tousu/show/id/1331486")</f>
        <v>http://ts.21cn.com/tousu/show/id/1331486</v>
      </c>
      <c r="F1016" s="2" t="s">
        <v>11</v>
      </c>
      <c r="G1016" s="2" t="s">
        <v>42155</v>
      </c>
      <c r="H1016" s="2" t="s">
        <v>42156</v>
      </c>
    </row>
    <row r="1017" spans="1:8" ht="25.05" customHeight="1" x14ac:dyDescent="0.25">
      <c r="A1017" s="2" t="s">
        <v>8</v>
      </c>
      <c r="B1017" s="2" t="str">
        <f>HYPERLINK("http://ts.21cn.com/tousu/show/id/1331487","威胁恐吓骚扰")</f>
        <v>威胁恐吓骚扰</v>
      </c>
      <c r="C1017" s="2" t="s">
        <v>9</v>
      </c>
      <c r="D1017" s="2" t="s">
        <v>10</v>
      </c>
      <c r="E1017" s="2" t="str">
        <f>HYPERLINK("http://ts.21cn.com/tousu/show/id/1331487","http://ts.21cn.com/tousu/show/id/1331487")</f>
        <v>http://ts.21cn.com/tousu/show/id/1331487</v>
      </c>
      <c r="F1017" s="2" t="s">
        <v>11</v>
      </c>
      <c r="G1017" s="2" t="s">
        <v>42153</v>
      </c>
      <c r="H1017" s="2" t="s">
        <v>42154</v>
      </c>
    </row>
    <row r="1018" spans="1:8" ht="25.05" customHeight="1" x14ac:dyDescent="0.25">
      <c r="A1018" s="2" t="s">
        <v>8</v>
      </c>
      <c r="B1018" s="2" t="str">
        <f>HYPERLINK("http://ts.21cn.com/tousu/show/id/1331488","合众人寿强制捆绑销售保险")</f>
        <v>合众人寿强制捆绑销售保险</v>
      </c>
      <c r="C1018" s="2" t="s">
        <v>9</v>
      </c>
      <c r="D1018" s="2" t="s">
        <v>10</v>
      </c>
      <c r="E1018" s="2" t="str">
        <f>HYPERLINK("http://ts.21cn.com/tousu/show/id/1331488","http://ts.21cn.com/tousu/show/id/1331488")</f>
        <v>http://ts.21cn.com/tousu/show/id/1331488</v>
      </c>
      <c r="F1018" s="2" t="s">
        <v>11</v>
      </c>
      <c r="G1018" s="2" t="s">
        <v>42151</v>
      </c>
      <c r="H1018" s="2" t="s">
        <v>42152</v>
      </c>
    </row>
    <row r="1019" spans="1:8" ht="25.05" customHeight="1" x14ac:dyDescent="0.25">
      <c r="A1019" s="2" t="s">
        <v>8</v>
      </c>
      <c r="B1019" s="2" t="str">
        <f>HYPERLINK("http://ts.21cn.com/tousu/show/id/1331466","月光侠高利贷")</f>
        <v>月光侠高利贷</v>
      </c>
      <c r="C1019" s="2" t="s">
        <v>9</v>
      </c>
      <c r="D1019" s="2" t="s">
        <v>10</v>
      </c>
      <c r="E1019" s="2" t="str">
        <f>HYPERLINK("http://ts.21cn.com/tousu/show/id/1331466","http://ts.21cn.com/tousu/show/id/1331466")</f>
        <v>http://ts.21cn.com/tousu/show/id/1331466</v>
      </c>
      <c r="F1019" s="2" t="s">
        <v>11</v>
      </c>
      <c r="G1019" s="2" t="s">
        <v>42149</v>
      </c>
      <c r="H1019" s="2" t="s">
        <v>42150</v>
      </c>
    </row>
    <row r="1020" spans="1:8" ht="25.05" customHeight="1" x14ac:dyDescent="0.25">
      <c r="A1020" s="2" t="s">
        <v>8</v>
      </c>
      <c r="B1020" s="2" t="str">
        <f>HYPERLINK("http://ts.21cn.com/tousu/show/id/1331489","只要不爆通讯录就行")</f>
        <v>只要不爆通讯录就行</v>
      </c>
      <c r="C1020" s="2" t="s">
        <v>9</v>
      </c>
      <c r="D1020" s="2" t="s">
        <v>10</v>
      </c>
      <c r="E1020" s="2" t="str">
        <f>HYPERLINK("http://ts.21cn.com/tousu/show/id/1331489","http://ts.21cn.com/tousu/show/id/1331489")</f>
        <v>http://ts.21cn.com/tousu/show/id/1331489</v>
      </c>
      <c r="F1020" s="2" t="s">
        <v>11</v>
      </c>
      <c r="G1020" s="2" t="s">
        <v>42147</v>
      </c>
      <c r="H1020" s="2" t="s">
        <v>42148</v>
      </c>
    </row>
    <row r="1021" spans="1:8" ht="25.05" customHeight="1" x14ac:dyDescent="0.25">
      <c r="A1021" s="2" t="s">
        <v>8</v>
      </c>
      <c r="B1021" s="2" t="str">
        <f>HYPERLINK("http://ts.21cn.com/tousu/show/id/1331491","小象优品")</f>
        <v>小象优品</v>
      </c>
      <c r="C1021" s="2" t="s">
        <v>34</v>
      </c>
      <c r="D1021" s="2" t="s">
        <v>10</v>
      </c>
      <c r="E1021" s="2" t="str">
        <f>HYPERLINK("http://ts.21cn.com/tousu/show/id/1331491","http://ts.21cn.com/tousu/show/id/1331491")</f>
        <v>http://ts.21cn.com/tousu/show/id/1331491</v>
      </c>
      <c r="F1021" s="2" t="s">
        <v>11</v>
      </c>
      <c r="G1021" s="2" t="s">
        <v>42145</v>
      </c>
      <c r="H1021" s="2" t="s">
        <v>42146</v>
      </c>
    </row>
    <row r="1022" spans="1:8" ht="25.05" customHeight="1" x14ac:dyDescent="0.25">
      <c r="A1022" s="2" t="s">
        <v>8</v>
      </c>
      <c r="B1022" s="2" t="str">
        <f>HYPERLINK("http://ts.21cn.com/tousu/show/id/1331492","恶意扣钱")</f>
        <v>恶意扣钱</v>
      </c>
      <c r="C1022" s="2" t="s">
        <v>9</v>
      </c>
      <c r="D1022" s="2" t="s">
        <v>10</v>
      </c>
      <c r="E1022" s="2" t="str">
        <f>HYPERLINK("http://ts.21cn.com/tousu/show/id/1331492","http://ts.21cn.com/tousu/show/id/1331492")</f>
        <v>http://ts.21cn.com/tousu/show/id/1331492</v>
      </c>
      <c r="F1022" s="2" t="s">
        <v>11</v>
      </c>
      <c r="G1022" s="2" t="s">
        <v>42143</v>
      </c>
      <c r="H1022" s="2" t="s">
        <v>42144</v>
      </c>
    </row>
    <row r="1023" spans="1:8" ht="25.05" customHeight="1" x14ac:dyDescent="0.25">
      <c r="A1023" s="2" t="s">
        <v>8</v>
      </c>
      <c r="B1023" s="2" t="str">
        <f>HYPERLINK("http://ts.21cn.com/tousu/show/id/1331493","不合理的费用")</f>
        <v>不合理的费用</v>
      </c>
      <c r="C1023" s="2" t="s">
        <v>9</v>
      </c>
      <c r="D1023" s="2" t="s">
        <v>10</v>
      </c>
      <c r="E1023" s="2" t="str">
        <f>HYPERLINK("http://ts.21cn.com/tousu/show/id/1331493","http://ts.21cn.com/tousu/show/id/1331493")</f>
        <v>http://ts.21cn.com/tousu/show/id/1331493</v>
      </c>
      <c r="F1023" s="2" t="s">
        <v>11</v>
      </c>
      <c r="G1023" s="2" t="s">
        <v>42141</v>
      </c>
      <c r="H1023" s="2" t="s">
        <v>42142</v>
      </c>
    </row>
    <row r="1024" spans="1:8" ht="25.05" customHeight="1" x14ac:dyDescent="0.25">
      <c r="A1024" s="2" t="s">
        <v>8</v>
      </c>
      <c r="B1024" s="2" t="str">
        <f>HYPERLINK("http://ts.21cn.com/tousu/show/id/1331497","迅捷视频转换器充值会员后无法转换")</f>
        <v>迅捷视频转换器充值会员后无法转换</v>
      </c>
      <c r="C1024" s="2" t="s">
        <v>34</v>
      </c>
      <c r="D1024" s="2" t="s">
        <v>10</v>
      </c>
      <c r="E1024" s="2" t="str">
        <f>HYPERLINK("http://ts.21cn.com/tousu/show/id/1331497","http://ts.21cn.com/tousu/show/id/1331497")</f>
        <v>http://ts.21cn.com/tousu/show/id/1331497</v>
      </c>
      <c r="F1024" s="2" t="s">
        <v>11</v>
      </c>
      <c r="G1024" s="2" t="s">
        <v>42139</v>
      </c>
      <c r="H1024" s="2" t="s">
        <v>42140</v>
      </c>
    </row>
    <row r="1025" spans="1:8" ht="25.05" customHeight="1" x14ac:dyDescent="0.25">
      <c r="A1025" s="2" t="s">
        <v>8</v>
      </c>
      <c r="B1025" s="2" t="str">
        <f>HYPERLINK("http://ts.21cn.com/tousu/show/id/1331498","现金巴士暴力催收")</f>
        <v>现金巴士暴力催收</v>
      </c>
      <c r="C1025" s="2" t="s">
        <v>9</v>
      </c>
      <c r="D1025" s="2" t="s">
        <v>10</v>
      </c>
      <c r="E1025" s="2" t="str">
        <f>HYPERLINK("http://ts.21cn.com/tousu/show/id/1331498","http://ts.21cn.com/tousu/show/id/1331498")</f>
        <v>http://ts.21cn.com/tousu/show/id/1331498</v>
      </c>
      <c r="F1025" s="2" t="s">
        <v>11</v>
      </c>
      <c r="G1025" s="2" t="s">
        <v>42137</v>
      </c>
      <c r="H1025" s="2" t="s">
        <v>42138</v>
      </c>
    </row>
    <row r="1026" spans="1:8" ht="25.05" customHeight="1" x14ac:dyDescent="0.25">
      <c r="A1026" s="2" t="s">
        <v>8</v>
      </c>
      <c r="B1026" s="2" t="str">
        <f>HYPERLINK("http://ts.21cn.com/tousu/show/id/1305545","广发信用卡中心业务员诱导客户用卡逾期赚取利息")</f>
        <v>广发信用卡中心业务员诱导客户用卡逾期赚取利息</v>
      </c>
      <c r="C1026" s="2" t="s">
        <v>9</v>
      </c>
      <c r="D1026" s="2" t="s">
        <v>10</v>
      </c>
      <c r="E1026" s="2" t="str">
        <f>HYPERLINK("http://ts.21cn.com/tousu/show/id/1305545","http://ts.21cn.com/tousu/show/id/1305545")</f>
        <v>http://ts.21cn.com/tousu/show/id/1305545</v>
      </c>
      <c r="F1026" s="2" t="s">
        <v>11</v>
      </c>
      <c r="G1026" s="2" t="s">
        <v>42135</v>
      </c>
      <c r="H1026" s="2" t="s">
        <v>42136</v>
      </c>
    </row>
    <row r="1027" spans="1:8" ht="25.05" customHeight="1" x14ac:dyDescent="0.25">
      <c r="A1027" s="2" t="s">
        <v>8</v>
      </c>
      <c r="B1027" s="2" t="str">
        <f>HYPERLINK("http://ts.21cn.com/tousu/show/id/1331499","游戏关服，充值金额过多，不给予补偿")</f>
        <v>游戏关服，充值金额过多，不给予补偿</v>
      </c>
      <c r="C1027" s="2" t="s">
        <v>34</v>
      </c>
      <c r="D1027" s="2" t="s">
        <v>10</v>
      </c>
      <c r="E1027" s="2" t="str">
        <f>HYPERLINK("http://ts.21cn.com/tousu/show/id/1331499","http://ts.21cn.com/tousu/show/id/1331499")</f>
        <v>http://ts.21cn.com/tousu/show/id/1331499</v>
      </c>
      <c r="F1027" s="2" t="s">
        <v>11</v>
      </c>
      <c r="G1027" s="2" t="s">
        <v>42133</v>
      </c>
      <c r="H1027" s="2" t="s">
        <v>42134</v>
      </c>
    </row>
    <row r="1028" spans="1:8" ht="25.05" customHeight="1" x14ac:dyDescent="0.25">
      <c r="A1028" s="2" t="s">
        <v>8</v>
      </c>
      <c r="B1028" s="2" t="str">
        <f>HYPERLINK("http://ts.21cn.com/tousu/show/id/1331501","唯品会买的苹果XR用了4天漏电，视频聊天有电流声，要求退款。")</f>
        <v>唯品会买的苹果XR用了4天漏电，视频聊天有电流声，要求退款。</v>
      </c>
      <c r="C1028" s="2" t="s">
        <v>9</v>
      </c>
      <c r="D1028" s="2" t="s">
        <v>10</v>
      </c>
      <c r="E1028" s="2" t="str">
        <f>HYPERLINK("http://ts.21cn.com/tousu/show/id/1331501","http://ts.21cn.com/tousu/show/id/1331501")</f>
        <v>http://ts.21cn.com/tousu/show/id/1331501</v>
      </c>
      <c r="F1028" s="2" t="s">
        <v>11</v>
      </c>
      <c r="G1028" s="2" t="s">
        <v>42131</v>
      </c>
      <c r="H1028" s="2" t="s">
        <v>42132</v>
      </c>
    </row>
    <row r="1029" spans="1:8" ht="25.05" customHeight="1" x14ac:dyDescent="0.25">
      <c r="A1029" s="2" t="s">
        <v>8</v>
      </c>
      <c r="B1029" s="2" t="str">
        <f>HYPERLINK("http://ts.21cn.com/tousu/show/id/1331502","自由魔卡超级马力贷六便士高利贷砍头息")</f>
        <v>自由魔卡超级马力贷六便士高利贷砍头息</v>
      </c>
      <c r="C1029" s="2" t="s">
        <v>9</v>
      </c>
      <c r="D1029" s="2" t="s">
        <v>10</v>
      </c>
      <c r="E1029" s="2" t="str">
        <f>HYPERLINK("http://ts.21cn.com/tousu/show/id/1331502","http://ts.21cn.com/tousu/show/id/1331502")</f>
        <v>http://ts.21cn.com/tousu/show/id/1331502</v>
      </c>
      <c r="F1029" s="2" t="s">
        <v>11</v>
      </c>
      <c r="G1029" s="2" t="s">
        <v>42129</v>
      </c>
      <c r="H1029" s="2" t="s">
        <v>42130</v>
      </c>
    </row>
    <row r="1030" spans="1:8" ht="25.05" customHeight="1" x14ac:dyDescent="0.25">
      <c r="A1030" s="2" t="s">
        <v>8</v>
      </c>
      <c r="B1030" s="2" t="str">
        <f>HYPERLINK("http://ts.21cn.com/tousu/show/id/1331503","合同欺诈，私自扣款")</f>
        <v>合同欺诈，私自扣款</v>
      </c>
      <c r="C1030" s="2" t="s">
        <v>9</v>
      </c>
      <c r="D1030" s="2" t="s">
        <v>10</v>
      </c>
      <c r="E1030" s="2" t="str">
        <f>HYPERLINK("http://ts.21cn.com/tousu/show/id/1331503","http://ts.21cn.com/tousu/show/id/1331503")</f>
        <v>http://ts.21cn.com/tousu/show/id/1331503</v>
      </c>
      <c r="F1030" s="2" t="s">
        <v>11</v>
      </c>
      <c r="G1030" s="2" t="s">
        <v>42127</v>
      </c>
      <c r="H1030" s="2" t="s">
        <v>42128</v>
      </c>
    </row>
    <row r="1031" spans="1:8" ht="25.05" customHeight="1" x14ac:dyDescent="0.25">
      <c r="A1031" s="2" t="s">
        <v>8</v>
      </c>
      <c r="B1031" s="2" t="str">
        <f>HYPERLINK("http://ts.21cn.com/tousu/show/id/1331504","国泰产险-退货运费险原因：基于您的历史交易行为综合判断，您本次理赔申请不符合运费险赔付标准")</f>
        <v>国泰产险-退货运费险原因：基于您的历史交易行为综合判断，您本次理赔申请不符合运费险赔付标准</v>
      </c>
      <c r="C1031" s="2" t="s">
        <v>34</v>
      </c>
      <c r="D1031" s="2" t="s">
        <v>10</v>
      </c>
      <c r="E1031" s="2" t="str">
        <f>HYPERLINK("http://ts.21cn.com/tousu/show/id/1331504","http://ts.21cn.com/tousu/show/id/1331504")</f>
        <v>http://ts.21cn.com/tousu/show/id/1331504</v>
      </c>
      <c r="F1031" s="2" t="s">
        <v>11</v>
      </c>
      <c r="G1031" s="2" t="s">
        <v>42125</v>
      </c>
      <c r="H1031" s="2" t="s">
        <v>42126</v>
      </c>
    </row>
    <row r="1032" spans="1:8" ht="25.05" customHeight="1" x14ac:dyDescent="0.25">
      <c r="A1032" s="2" t="s">
        <v>8</v>
      </c>
      <c r="B1032" s="2" t="str">
        <f>HYPERLINK("http://ts.21cn.com/tousu/show/id/1331505","淘宝同行恶意诽谤经济纠纷，淘宝客服咨询20余次无果提交凭证无果")</f>
        <v>淘宝同行恶意诽谤经济纠纷，淘宝客服咨询20余次无果提交凭证无果</v>
      </c>
      <c r="C1032" s="2" t="s">
        <v>9</v>
      </c>
      <c r="D1032" s="2" t="s">
        <v>10</v>
      </c>
      <c r="E1032" s="2" t="str">
        <f>HYPERLINK("http://ts.21cn.com/tousu/show/id/1331505","http://ts.21cn.com/tousu/show/id/1331505")</f>
        <v>http://ts.21cn.com/tousu/show/id/1331505</v>
      </c>
      <c r="F1032" s="2" t="s">
        <v>11</v>
      </c>
      <c r="G1032" s="2" t="s">
        <v>42123</v>
      </c>
      <c r="H1032" s="2" t="s">
        <v>42124</v>
      </c>
    </row>
    <row r="1033" spans="1:8" ht="25.05" customHeight="1" x14ac:dyDescent="0.25">
      <c r="A1033" s="2" t="s">
        <v>8</v>
      </c>
      <c r="B1033" s="2" t="str">
        <f>HYPERLINK("http://ts.21cn.com/tousu/show/id/1331506","北京龙创悦动网络科技有限公司欺诈消费者")</f>
        <v>北京龙创悦动网络科技有限公司欺诈消费者</v>
      </c>
      <c r="C1033" s="2" t="s">
        <v>9</v>
      </c>
      <c r="D1033" s="2" t="s">
        <v>10</v>
      </c>
      <c r="E1033" s="2" t="str">
        <f>HYPERLINK("http://ts.21cn.com/tousu/show/id/1331506","http://ts.21cn.com/tousu/show/id/1331506")</f>
        <v>http://ts.21cn.com/tousu/show/id/1331506</v>
      </c>
      <c r="F1033" s="2" t="s">
        <v>11</v>
      </c>
      <c r="G1033" s="2" t="s">
        <v>42121</v>
      </c>
      <c r="H1033" s="2" t="s">
        <v>42122</v>
      </c>
    </row>
    <row r="1034" spans="1:8" ht="25.05" customHeight="1" x14ac:dyDescent="0.25">
      <c r="A1034" s="2" t="s">
        <v>8</v>
      </c>
      <c r="B1034" s="2" t="str">
        <f>HYPERLINK("http://ts.21cn.com/tousu/show/id/1331507","款扣了 但是软件上还是显示逾期！")</f>
        <v>款扣了 但是软件上还是显示逾期！</v>
      </c>
      <c r="C1034" s="2" t="s">
        <v>34</v>
      </c>
      <c r="D1034" s="2" t="s">
        <v>10</v>
      </c>
      <c r="E1034" s="2" t="str">
        <f>HYPERLINK("http://ts.21cn.com/tousu/show/id/1331507","http://ts.21cn.com/tousu/show/id/1331507")</f>
        <v>http://ts.21cn.com/tousu/show/id/1331507</v>
      </c>
      <c r="F1034" s="2" t="s">
        <v>11</v>
      </c>
      <c r="G1034" s="2" t="s">
        <v>42119</v>
      </c>
      <c r="H1034" s="2" t="s">
        <v>42120</v>
      </c>
    </row>
    <row r="1035" spans="1:8" ht="25.05" customHeight="1" x14ac:dyDescent="0.25">
      <c r="A1035" s="2" t="s">
        <v>8</v>
      </c>
      <c r="B1035" s="2" t="str">
        <f>HYPERLINK("http://ts.21cn.com/tousu/show/id/1331509","既有分期给我通讯录到处发消息")</f>
        <v>既有分期给我通讯录到处发消息</v>
      </c>
      <c r="C1035" s="2" t="s">
        <v>9</v>
      </c>
      <c r="D1035" s="2" t="s">
        <v>10</v>
      </c>
      <c r="E1035" s="2" t="str">
        <f>HYPERLINK("http://ts.21cn.com/tousu/show/id/1331509","http://ts.21cn.com/tousu/show/id/1331509")</f>
        <v>http://ts.21cn.com/tousu/show/id/1331509</v>
      </c>
      <c r="F1035" s="2" t="s">
        <v>11</v>
      </c>
      <c r="G1035" s="2" t="s">
        <v>42117</v>
      </c>
      <c r="H1035" s="2" t="s">
        <v>42118</v>
      </c>
    </row>
    <row r="1036" spans="1:8" ht="25.05" customHeight="1" x14ac:dyDescent="0.25">
      <c r="A1036" s="2" t="s">
        <v>8</v>
      </c>
      <c r="B1036" s="2" t="str">
        <f>HYPERLINK("http://ts.21cn.com/tousu/show/id/1331510","米来花多收取利息")</f>
        <v>米来花多收取利息</v>
      </c>
      <c r="C1036" s="2" t="s">
        <v>9</v>
      </c>
      <c r="D1036" s="2" t="s">
        <v>10</v>
      </c>
      <c r="E1036" s="2" t="str">
        <f>HYPERLINK("http://ts.21cn.com/tousu/show/id/1331510","http://ts.21cn.com/tousu/show/id/1331510")</f>
        <v>http://ts.21cn.com/tousu/show/id/1331510</v>
      </c>
      <c r="F1036" s="2" t="s">
        <v>11</v>
      </c>
      <c r="G1036" s="2" t="s">
        <v>42115</v>
      </c>
      <c r="H1036" s="2" t="s">
        <v>42116</v>
      </c>
    </row>
    <row r="1037" spans="1:8" ht="25.05" customHeight="1" x14ac:dyDescent="0.25">
      <c r="A1037" s="2" t="s">
        <v>8</v>
      </c>
      <c r="B1037" s="2" t="str">
        <f>HYPERLINK("http://ts.21cn.com/tousu/show/id/1331511","淘票票电影系统bug，导致我只购买了一张票，结果退票还被告知无法退票")</f>
        <v>淘票票电影系统bug，导致我只购买了一张票，结果退票还被告知无法退票</v>
      </c>
      <c r="C1037" s="2" t="s">
        <v>34</v>
      </c>
      <c r="D1037" s="2" t="s">
        <v>10</v>
      </c>
      <c r="E1037" s="2" t="str">
        <f>HYPERLINK("http://ts.21cn.com/tousu/show/id/1331511","http://ts.21cn.com/tousu/show/id/1331511")</f>
        <v>http://ts.21cn.com/tousu/show/id/1331511</v>
      </c>
      <c r="F1037" s="2" t="s">
        <v>11</v>
      </c>
      <c r="G1037" s="2" t="s">
        <v>42113</v>
      </c>
      <c r="H1037" s="2" t="s">
        <v>42114</v>
      </c>
    </row>
    <row r="1038" spans="1:8" ht="25.05" customHeight="1" x14ac:dyDescent="0.25">
      <c r="A1038" s="2" t="s">
        <v>8</v>
      </c>
      <c r="B1038" s="2" t="str">
        <f>HYPERLINK("http://ts.21cn.com/tousu/show/id/1331512","聚福钱包未经许可私自扣款")</f>
        <v>聚福钱包未经许可私自扣款</v>
      </c>
      <c r="C1038" s="2" t="s">
        <v>9</v>
      </c>
      <c r="D1038" s="2" t="s">
        <v>10</v>
      </c>
      <c r="E1038" s="2" t="str">
        <f>HYPERLINK("http://ts.21cn.com/tousu/show/id/1331512","http://ts.21cn.com/tousu/show/id/1331512")</f>
        <v>http://ts.21cn.com/tousu/show/id/1331512</v>
      </c>
      <c r="F1038" s="2" t="s">
        <v>11</v>
      </c>
      <c r="G1038" s="2" t="s">
        <v>42111</v>
      </c>
      <c r="H1038" s="2" t="s">
        <v>42112</v>
      </c>
    </row>
    <row r="1039" spans="1:8" ht="25.05" customHeight="1" x14ac:dyDescent="0.25">
      <c r="A1039" s="2" t="s">
        <v>8</v>
      </c>
      <c r="B1039" s="2" t="str">
        <f>HYPERLINK("http://ts.21cn.com/tousu/show/id/1331513","哆咪黑卡无故扣款")</f>
        <v>哆咪黑卡无故扣款</v>
      </c>
      <c r="C1039" s="2" t="s">
        <v>9</v>
      </c>
      <c r="D1039" s="2" t="s">
        <v>10</v>
      </c>
      <c r="E1039" s="2" t="str">
        <f>HYPERLINK("http://ts.21cn.com/tousu/show/id/1331513","http://ts.21cn.com/tousu/show/id/1331513")</f>
        <v>http://ts.21cn.com/tousu/show/id/1331513</v>
      </c>
      <c r="F1039" s="2" t="s">
        <v>11</v>
      </c>
      <c r="G1039" s="2" t="s">
        <v>42109</v>
      </c>
      <c r="H1039" s="2" t="s">
        <v>42110</v>
      </c>
    </row>
    <row r="1040" spans="1:8" ht="25.05" customHeight="1" x14ac:dyDescent="0.25">
      <c r="A1040" s="2" t="s">
        <v>8</v>
      </c>
      <c r="B1040" s="2" t="str">
        <f>HYPERLINK("http://ts.21cn.com/tousu/show/id/1331490","发布虚假招聘信息")</f>
        <v>发布虚假招聘信息</v>
      </c>
      <c r="C1040" s="2" t="s">
        <v>9</v>
      </c>
      <c r="D1040" s="2" t="s">
        <v>10</v>
      </c>
      <c r="E1040" s="2" t="str">
        <f>HYPERLINK("http://ts.21cn.com/tousu/show/id/1331490","http://ts.21cn.com/tousu/show/id/1331490")</f>
        <v>http://ts.21cn.com/tousu/show/id/1331490</v>
      </c>
      <c r="F1040" s="2" t="s">
        <v>11</v>
      </c>
      <c r="G1040" s="2" t="s">
        <v>42107</v>
      </c>
      <c r="H1040" s="2" t="s">
        <v>42108</v>
      </c>
    </row>
    <row r="1041" spans="1:8" ht="25.05" customHeight="1" x14ac:dyDescent="0.25">
      <c r="A1041" s="2" t="s">
        <v>8</v>
      </c>
      <c r="B1041" s="2" t="str">
        <f>HYPERLINK("http://ts.21cn.com/tousu/show/id/1331516","卧龙钱包高利贷、砍头息、暴力催收")</f>
        <v>卧龙钱包高利贷、砍头息、暴力催收</v>
      </c>
      <c r="C1041" s="2" t="s">
        <v>9</v>
      </c>
      <c r="D1041" s="2" t="s">
        <v>10</v>
      </c>
      <c r="E1041" s="2" t="str">
        <f>HYPERLINK("http://ts.21cn.com/tousu/show/id/1331516","http://ts.21cn.com/tousu/show/id/1331516")</f>
        <v>http://ts.21cn.com/tousu/show/id/1331516</v>
      </c>
      <c r="F1041" s="2" t="s">
        <v>11</v>
      </c>
      <c r="G1041" s="2" t="s">
        <v>42105</v>
      </c>
      <c r="H1041" s="2" t="s">
        <v>42106</v>
      </c>
    </row>
    <row r="1042" spans="1:8" ht="25.05" customHeight="1" x14ac:dyDescent="0.25">
      <c r="A1042" s="2" t="s">
        <v>8</v>
      </c>
      <c r="B1042" s="2" t="str">
        <f>HYPERLINK("http://ts.21cn.com/tousu/show/id/1331517","上海翰银为赌博输平台收单，请求瀚银为我退款挽回经济损失")</f>
        <v>上海翰银为赌博输平台收单，请求瀚银为我退款挽回经济损失</v>
      </c>
      <c r="C1042" s="2" t="s">
        <v>9</v>
      </c>
      <c r="D1042" s="2" t="s">
        <v>10</v>
      </c>
      <c r="E1042" s="2" t="str">
        <f>HYPERLINK("http://ts.21cn.com/tousu/show/id/1331517","http://ts.21cn.com/tousu/show/id/1331517")</f>
        <v>http://ts.21cn.com/tousu/show/id/1331517</v>
      </c>
      <c r="F1042" s="2" t="s">
        <v>11</v>
      </c>
      <c r="G1042" s="2" t="s">
        <v>42103</v>
      </c>
      <c r="H1042" s="2" t="s">
        <v>42104</v>
      </c>
    </row>
    <row r="1043" spans="1:8" ht="25.05" customHeight="1" x14ac:dyDescent="0.25">
      <c r="A1043" s="2" t="s">
        <v>8</v>
      </c>
      <c r="B1043" s="2" t="str">
        <f>HYPERLINK("http://ts.21cn.com/tousu/show/id/1331518","高利贷")</f>
        <v>高利贷</v>
      </c>
      <c r="C1043" s="2" t="s">
        <v>9</v>
      </c>
      <c r="D1043" s="2" t="s">
        <v>10</v>
      </c>
      <c r="E1043" s="2" t="str">
        <f>HYPERLINK("http://ts.21cn.com/tousu/show/id/1331518","http://ts.21cn.com/tousu/show/id/1331518")</f>
        <v>http://ts.21cn.com/tousu/show/id/1331518</v>
      </c>
      <c r="F1043" s="2" t="s">
        <v>11</v>
      </c>
      <c r="G1043" s="2" t="s">
        <v>42101</v>
      </c>
      <c r="H1043" s="2" t="s">
        <v>42102</v>
      </c>
    </row>
    <row r="1044" spans="1:8" ht="25.05" customHeight="1" x14ac:dyDescent="0.25">
      <c r="A1044" s="2" t="s">
        <v>8</v>
      </c>
      <c r="B1044" s="2" t="str">
        <f>HYPERLINK("http://ts.21cn.com/tousu/show/id/1331519","北京友缘在线网络科技股份有限公司未经同意不知道通过什么手段开启了免密支付导致被扣费用存在严重欺诈行为")</f>
        <v>北京友缘在线网络科技股份有限公司未经同意不知道通过什么手段开启了免密支付导致被扣费用存在严重欺诈行为</v>
      </c>
      <c r="C1044" s="2" t="s">
        <v>9</v>
      </c>
      <c r="D1044" s="2" t="s">
        <v>10</v>
      </c>
      <c r="E1044" s="2" t="str">
        <f>HYPERLINK("http://ts.21cn.com/tousu/show/id/1331519","http://ts.21cn.com/tousu/show/id/1331519")</f>
        <v>http://ts.21cn.com/tousu/show/id/1331519</v>
      </c>
      <c r="F1044" s="2" t="s">
        <v>11</v>
      </c>
      <c r="G1044" s="2" t="s">
        <v>42099</v>
      </c>
      <c r="H1044" s="2" t="s">
        <v>42100</v>
      </c>
    </row>
    <row r="1045" spans="1:8" ht="25.05" customHeight="1" x14ac:dyDescent="0.25">
      <c r="A1045" s="2" t="s">
        <v>8</v>
      </c>
      <c r="B1045" s="2" t="str">
        <f>HYPERLINK("http://ts.21cn.com/tousu/show/id/1331521","高利率无法还款")</f>
        <v>高利率无法还款</v>
      </c>
      <c r="C1045" s="2" t="s">
        <v>9</v>
      </c>
      <c r="D1045" s="2" t="s">
        <v>10</v>
      </c>
      <c r="E1045" s="2" t="str">
        <f>HYPERLINK("http://ts.21cn.com/tousu/show/id/1331521","http://ts.21cn.com/tousu/show/id/1331521")</f>
        <v>http://ts.21cn.com/tousu/show/id/1331521</v>
      </c>
      <c r="F1045" s="2" t="s">
        <v>11</v>
      </c>
      <c r="G1045" s="2" t="s">
        <v>42097</v>
      </c>
      <c r="H1045" s="2" t="s">
        <v>42098</v>
      </c>
    </row>
    <row r="1046" spans="1:8" ht="25.05" customHeight="1" x14ac:dyDescent="0.25">
      <c r="A1046" s="2" t="s">
        <v>8</v>
      </c>
      <c r="B1046" s="2" t="str">
        <f>HYPERLINK("http://ts.21cn.com/tousu/show/id/1331522","京东金融金条逾期，前期已联系客服协商，后被催收恐吓以及施加不还款罪名")</f>
        <v>京东金融金条逾期，前期已联系客服协商，后被催收恐吓以及施加不还款罪名</v>
      </c>
      <c r="C1046" s="2" t="s">
        <v>9</v>
      </c>
      <c r="D1046" s="2" t="s">
        <v>10</v>
      </c>
      <c r="E1046" s="2" t="str">
        <f>HYPERLINK("http://ts.21cn.com/tousu/show/id/1331522","http://ts.21cn.com/tousu/show/id/1331522")</f>
        <v>http://ts.21cn.com/tousu/show/id/1331522</v>
      </c>
      <c r="F1046" s="2" t="s">
        <v>11</v>
      </c>
      <c r="G1046" s="2" t="s">
        <v>42095</v>
      </c>
      <c r="H1046" s="2" t="s">
        <v>42096</v>
      </c>
    </row>
    <row r="1047" spans="1:8" ht="25.05" customHeight="1" x14ac:dyDescent="0.25">
      <c r="A1047" s="2" t="s">
        <v>8</v>
      </c>
      <c r="B1047" s="2" t="str">
        <f>HYPERLINK("http://ts.21cn.com/tousu/show/id/1331523","一个假贷款公司为高利贷引流扣我249")</f>
        <v>一个假贷款公司为高利贷引流扣我249</v>
      </c>
      <c r="C1047" s="2" t="s">
        <v>9</v>
      </c>
      <c r="D1047" s="2" t="s">
        <v>10</v>
      </c>
      <c r="E1047" s="2" t="str">
        <f>HYPERLINK("http://ts.21cn.com/tousu/show/id/1331523","http://ts.21cn.com/tousu/show/id/1331523")</f>
        <v>http://ts.21cn.com/tousu/show/id/1331523</v>
      </c>
      <c r="F1047" s="2" t="s">
        <v>11</v>
      </c>
      <c r="G1047" s="2" t="s">
        <v>42093</v>
      </c>
      <c r="H1047" s="2" t="s">
        <v>42094</v>
      </c>
    </row>
    <row r="1048" spans="1:8" ht="25.05" customHeight="1" x14ac:dyDescent="0.25">
      <c r="A1048" s="2" t="s">
        <v>8</v>
      </c>
      <c r="B1048" s="2" t="str">
        <f>HYPERLINK("http://ts.21cn.com/tousu/show/id/1331524","贷款")</f>
        <v>贷款</v>
      </c>
      <c r="C1048" s="2" t="s">
        <v>9</v>
      </c>
      <c r="D1048" s="2" t="s">
        <v>10</v>
      </c>
      <c r="E1048" s="2" t="str">
        <f>HYPERLINK("http://ts.21cn.com/tousu/show/id/1331524","http://ts.21cn.com/tousu/show/id/1331524")</f>
        <v>http://ts.21cn.com/tousu/show/id/1331524</v>
      </c>
      <c r="F1048" s="2" t="s">
        <v>11</v>
      </c>
      <c r="G1048" s="2" t="s">
        <v>42091</v>
      </c>
      <c r="H1048" s="2" t="s">
        <v>42092</v>
      </c>
    </row>
    <row r="1049" spans="1:8" ht="25.05" customHeight="1" x14ac:dyDescent="0.25">
      <c r="A1049" s="2" t="s">
        <v>8</v>
      </c>
      <c r="B1049" s="2" t="str">
        <f>HYPERLINK("http://ts.21cn.com/tousu/show/id/1331525","360微零花有额度不让用")</f>
        <v>360微零花有额度不让用</v>
      </c>
      <c r="C1049" s="2" t="s">
        <v>34</v>
      </c>
      <c r="D1049" s="2" t="s">
        <v>10</v>
      </c>
      <c r="E1049" s="2" t="str">
        <f>HYPERLINK("http://ts.21cn.com/tousu/show/id/1331525","http://ts.21cn.com/tousu/show/id/1331525")</f>
        <v>http://ts.21cn.com/tousu/show/id/1331525</v>
      </c>
      <c r="F1049" s="2" t="s">
        <v>11</v>
      </c>
      <c r="G1049" s="2" t="s">
        <v>42089</v>
      </c>
      <c r="H1049" s="2" t="s">
        <v>42090</v>
      </c>
    </row>
    <row r="1050" spans="1:8" ht="25.05" customHeight="1" x14ac:dyDescent="0.25">
      <c r="A1050" s="2" t="s">
        <v>8</v>
      </c>
      <c r="B1050" s="2" t="str">
        <f>HYPERLINK("http://ts.21cn.com/tousu/show/id/1331526","小牛的钱到期却迟迟不让提取")</f>
        <v>小牛的钱到期却迟迟不让提取</v>
      </c>
      <c r="C1050" s="2" t="s">
        <v>9</v>
      </c>
      <c r="D1050" s="2" t="s">
        <v>10</v>
      </c>
      <c r="E1050" s="2" t="str">
        <f>HYPERLINK("http://ts.21cn.com/tousu/show/id/1331526","http://ts.21cn.com/tousu/show/id/1331526")</f>
        <v>http://ts.21cn.com/tousu/show/id/1331526</v>
      </c>
      <c r="F1050" s="2" t="s">
        <v>11</v>
      </c>
      <c r="G1050" s="2" t="s">
        <v>42087</v>
      </c>
      <c r="H1050" s="2" t="s">
        <v>42088</v>
      </c>
    </row>
    <row r="1051" spans="1:8" ht="25.05" customHeight="1" x14ac:dyDescent="0.25">
      <c r="A1051" s="2" t="s">
        <v>8</v>
      </c>
      <c r="B1051" s="2" t="str">
        <f>HYPERLINK("http://ts.21cn.com/tousu/show/id/1331527","审核成功三四天不到账")</f>
        <v>审核成功三四天不到账</v>
      </c>
      <c r="C1051" s="2" t="s">
        <v>34</v>
      </c>
      <c r="D1051" s="2" t="s">
        <v>10</v>
      </c>
      <c r="E1051" s="2" t="str">
        <f>HYPERLINK("http://ts.21cn.com/tousu/show/id/1331527","http://ts.21cn.com/tousu/show/id/1331527")</f>
        <v>http://ts.21cn.com/tousu/show/id/1331527</v>
      </c>
      <c r="F1051" s="2" t="s">
        <v>11</v>
      </c>
      <c r="G1051" s="2" t="s">
        <v>42085</v>
      </c>
      <c r="H1051" s="2" t="s">
        <v>42086</v>
      </c>
    </row>
    <row r="1052" spans="1:8" ht="25.05" customHeight="1" x14ac:dyDescent="0.25">
      <c r="A1052" s="2" t="s">
        <v>8</v>
      </c>
      <c r="B1052" s="2" t="str">
        <f>HYPERLINK("http://ts.21cn.com/tousu/show/id/1331529","手机分期还两期没还过了一个月又变成三期没还")</f>
        <v>手机分期还两期没还过了一个月又变成三期没还</v>
      </c>
      <c r="C1052" s="2" t="s">
        <v>34</v>
      </c>
      <c r="D1052" s="2" t="s">
        <v>10</v>
      </c>
      <c r="E1052" s="2" t="str">
        <f>HYPERLINK("http://ts.21cn.com/tousu/show/id/1331529","http://ts.21cn.com/tousu/show/id/1331529")</f>
        <v>http://ts.21cn.com/tousu/show/id/1331529</v>
      </c>
      <c r="F1052" s="2" t="s">
        <v>11</v>
      </c>
      <c r="G1052" s="2" t="s">
        <v>42083</v>
      </c>
      <c r="H1052" s="2" t="s">
        <v>42084</v>
      </c>
    </row>
    <row r="1053" spans="1:8" ht="25.05" customHeight="1" x14ac:dyDescent="0.25">
      <c r="A1053" s="2" t="s">
        <v>8</v>
      </c>
      <c r="B1053" s="2" t="str">
        <f>HYPERLINK("http://ts.21cn.com/tousu/show/id/1331528","及贷智享贷收取学堂费")</f>
        <v>及贷智享贷收取学堂费</v>
      </c>
      <c r="C1053" s="2" t="s">
        <v>34</v>
      </c>
      <c r="D1053" s="2" t="s">
        <v>10</v>
      </c>
      <c r="E1053" s="2" t="str">
        <f>HYPERLINK("http://ts.21cn.com/tousu/show/id/1331528","http://ts.21cn.com/tousu/show/id/1331528")</f>
        <v>http://ts.21cn.com/tousu/show/id/1331528</v>
      </c>
      <c r="F1053" s="2" t="s">
        <v>11</v>
      </c>
      <c r="G1053" s="2" t="s">
        <v>42081</v>
      </c>
      <c r="H1053" s="2" t="s">
        <v>42082</v>
      </c>
    </row>
    <row r="1054" spans="1:8" ht="25.05" customHeight="1" x14ac:dyDescent="0.25">
      <c r="A1054" s="2" t="s">
        <v>8</v>
      </c>
      <c r="B1054" s="2" t="str">
        <f>HYPERLINK("http://ts.21cn.com/tousu/show/id/1331530","多宝分期")</f>
        <v>多宝分期</v>
      </c>
      <c r="C1054" s="2" t="s">
        <v>9</v>
      </c>
      <c r="D1054" s="2" t="s">
        <v>10</v>
      </c>
      <c r="E1054" s="2" t="str">
        <f>HYPERLINK("http://ts.21cn.com/tousu/show/id/1331530","http://ts.21cn.com/tousu/show/id/1331530")</f>
        <v>http://ts.21cn.com/tousu/show/id/1331530</v>
      </c>
      <c r="F1054" s="2" t="s">
        <v>11</v>
      </c>
      <c r="G1054" s="2" t="s">
        <v>42079</v>
      </c>
      <c r="H1054" s="2" t="s">
        <v>42080</v>
      </c>
    </row>
    <row r="1055" spans="1:8" ht="25.05" customHeight="1" x14ac:dyDescent="0.25">
      <c r="A1055" s="2" t="s">
        <v>8</v>
      </c>
      <c r="B1055" s="2" t="str">
        <f>HYPERLINK("http://ts.21cn.com/tousu/show/id/1331531","费本人借款，朋友欠款电话打到我这来")</f>
        <v>费本人借款，朋友欠款电话打到我这来</v>
      </c>
      <c r="C1055" s="2" t="s">
        <v>9</v>
      </c>
      <c r="D1055" s="2" t="s">
        <v>10</v>
      </c>
      <c r="E1055" s="2" t="str">
        <f>HYPERLINK("http://ts.21cn.com/tousu/show/id/1331531","http://ts.21cn.com/tousu/show/id/1331531")</f>
        <v>http://ts.21cn.com/tousu/show/id/1331531</v>
      </c>
      <c r="F1055" s="2" t="s">
        <v>11</v>
      </c>
      <c r="G1055" s="2" t="s">
        <v>42077</v>
      </c>
      <c r="H1055" s="2" t="s">
        <v>42078</v>
      </c>
    </row>
    <row r="1056" spans="1:8" ht="25.05" customHeight="1" x14ac:dyDescent="0.25">
      <c r="A1056" s="2" t="s">
        <v>8</v>
      </c>
      <c r="B1056" s="2" t="str">
        <f>HYPERLINK("http://ts.21cn.com/tousu/show/id/1331532","叉叉ipa精灵不退款,退款难")</f>
        <v>叉叉ipa精灵不退款,退款难</v>
      </c>
      <c r="C1056" s="2" t="s">
        <v>9</v>
      </c>
      <c r="D1056" s="2" t="s">
        <v>10</v>
      </c>
      <c r="E1056" s="2" t="str">
        <f>HYPERLINK("http://ts.21cn.com/tousu/show/id/1331532","http://ts.21cn.com/tousu/show/id/1331532")</f>
        <v>http://ts.21cn.com/tousu/show/id/1331532</v>
      </c>
      <c r="F1056" s="2" t="s">
        <v>11</v>
      </c>
      <c r="G1056" s="2" t="s">
        <v>42075</v>
      </c>
      <c r="H1056" s="2" t="s">
        <v>42076</v>
      </c>
    </row>
    <row r="1057" spans="1:8" ht="25.05" customHeight="1" x14ac:dyDescent="0.25">
      <c r="A1057" s="2" t="s">
        <v>8</v>
      </c>
      <c r="B1057" s="2" t="str">
        <f>HYPERLINK("http://ts.21cn.com/tousu/show/id/1331533","贷上钱以买游戏豆为由收取高额贷款通过费")</f>
        <v>贷上钱以买游戏豆为由收取高额贷款通过费</v>
      </c>
      <c r="C1057" s="2" t="s">
        <v>9</v>
      </c>
      <c r="D1057" s="2" t="s">
        <v>10</v>
      </c>
      <c r="E1057" s="2" t="str">
        <f>HYPERLINK("http://ts.21cn.com/tousu/show/id/1331533","http://ts.21cn.com/tousu/show/id/1331533")</f>
        <v>http://ts.21cn.com/tousu/show/id/1331533</v>
      </c>
      <c r="F1057" s="2" t="s">
        <v>11</v>
      </c>
      <c r="G1057" s="2" t="s">
        <v>42073</v>
      </c>
      <c r="H1057" s="2" t="s">
        <v>42074</v>
      </c>
    </row>
    <row r="1058" spans="1:8" ht="25.05" customHeight="1" x14ac:dyDescent="0.25">
      <c r="A1058" s="2" t="s">
        <v>8</v>
      </c>
      <c r="B1058" s="2" t="str">
        <f>HYPERLINK("http://ts.21cn.com/tousu/show/id/1331534","白条分期从银行卡里扣249元会员费拒不退还")</f>
        <v>白条分期从银行卡里扣249元会员费拒不退还</v>
      </c>
      <c r="C1058" s="2" t="s">
        <v>9</v>
      </c>
      <c r="D1058" s="2" t="s">
        <v>10</v>
      </c>
      <c r="E1058" s="2" t="str">
        <f>HYPERLINK("http://ts.21cn.com/tousu/show/id/1331534","http://ts.21cn.com/tousu/show/id/1331534")</f>
        <v>http://ts.21cn.com/tousu/show/id/1331534</v>
      </c>
      <c r="F1058" s="2" t="s">
        <v>11</v>
      </c>
      <c r="G1058" s="2" t="s">
        <v>42071</v>
      </c>
      <c r="H1058" s="2" t="s">
        <v>42072</v>
      </c>
    </row>
    <row r="1059" spans="1:8" ht="25.05" customHeight="1" x14ac:dyDescent="0.25">
      <c r="A1059" s="2" t="s">
        <v>8</v>
      </c>
      <c r="B1059" s="2" t="str">
        <f>HYPERLINK("http://ts.21cn.com/tousu/show/id/1331515","10086忽悠我更改套餐")</f>
        <v>10086忽悠我更改套餐</v>
      </c>
      <c r="C1059" s="2" t="s">
        <v>9</v>
      </c>
      <c r="D1059" s="2" t="s">
        <v>10</v>
      </c>
      <c r="E1059" s="2" t="str">
        <f>HYPERLINK("http://ts.21cn.com/tousu/show/id/1331515","http://ts.21cn.com/tousu/show/id/1331515")</f>
        <v>http://ts.21cn.com/tousu/show/id/1331515</v>
      </c>
      <c r="F1059" s="2" t="s">
        <v>11</v>
      </c>
      <c r="G1059" s="2" t="s">
        <v>42069</v>
      </c>
      <c r="H1059" s="2" t="s">
        <v>42070</v>
      </c>
    </row>
    <row r="1060" spans="1:8" ht="25.05" customHeight="1" x14ac:dyDescent="0.25">
      <c r="A1060" s="2" t="s">
        <v>8</v>
      </c>
      <c r="B1060" s="2" t="str">
        <f>HYPERLINK("http://ts.21cn.com/tousu/show/id/1331536","轻周转高息贷款、畅捷支付")</f>
        <v>轻周转高息贷款、畅捷支付</v>
      </c>
      <c r="C1060" s="2" t="s">
        <v>34</v>
      </c>
      <c r="D1060" s="2" t="s">
        <v>10</v>
      </c>
      <c r="E1060" s="2" t="str">
        <f>HYPERLINK("http://ts.21cn.com/tousu/show/id/1331536","http://ts.21cn.com/tousu/show/id/1331536")</f>
        <v>http://ts.21cn.com/tousu/show/id/1331536</v>
      </c>
      <c r="F1060" s="2" t="s">
        <v>11</v>
      </c>
      <c r="G1060" s="2" t="s">
        <v>42067</v>
      </c>
      <c r="H1060" s="2" t="s">
        <v>42068</v>
      </c>
    </row>
    <row r="1061" spans="1:8" ht="25.05" customHeight="1" x14ac:dyDescent="0.25">
      <c r="A1061" s="2" t="s">
        <v>8</v>
      </c>
      <c r="B1061" s="2" t="str">
        <f>HYPERLINK("http://ts.21cn.com/tousu/show/id/1331535","宜人万花道歉")</f>
        <v>宜人万花道歉</v>
      </c>
      <c r="C1061" s="2" t="s">
        <v>9</v>
      </c>
      <c r="D1061" s="2" t="s">
        <v>10</v>
      </c>
      <c r="E1061" s="2" t="str">
        <f>HYPERLINK("http://ts.21cn.com/tousu/show/id/1331535","http://ts.21cn.com/tousu/show/id/1331535")</f>
        <v>http://ts.21cn.com/tousu/show/id/1331535</v>
      </c>
      <c r="F1061" s="2" t="s">
        <v>11</v>
      </c>
      <c r="G1061" s="2" t="s">
        <v>42065</v>
      </c>
      <c r="H1061" s="2" t="s">
        <v>42066</v>
      </c>
    </row>
    <row r="1062" spans="1:8" ht="25.05" customHeight="1" x14ac:dyDescent="0.25">
      <c r="A1062" s="2" t="s">
        <v>8</v>
      </c>
      <c r="B1062" s="2" t="str">
        <f>HYPERLINK("http://ts.21cn.com/tousu/show/id/1331537","中金乱扣签")</f>
        <v>中金乱扣签</v>
      </c>
      <c r="C1062" s="2" t="s">
        <v>9</v>
      </c>
      <c r="D1062" s="2" t="s">
        <v>10</v>
      </c>
      <c r="E1062" s="2" t="str">
        <f>HYPERLINK("http://ts.21cn.com/tousu/show/id/1331537","http://ts.21cn.com/tousu/show/id/1331537")</f>
        <v>http://ts.21cn.com/tousu/show/id/1331537</v>
      </c>
      <c r="F1062" s="2" t="s">
        <v>11</v>
      </c>
      <c r="G1062" s="2" t="s">
        <v>42063</v>
      </c>
      <c r="H1062" s="2" t="s">
        <v>42064</v>
      </c>
    </row>
    <row r="1063" spans="1:8" ht="25.05" customHeight="1" x14ac:dyDescent="0.25">
      <c r="A1063" s="2" t="s">
        <v>8</v>
      </c>
      <c r="B1063" s="2" t="str">
        <f>HYPERLINK("http://ts.21cn.com/tousu/show/id/1331538","钱置宝高利贷不扣款")</f>
        <v>钱置宝高利贷不扣款</v>
      </c>
      <c r="C1063" s="2" t="s">
        <v>9</v>
      </c>
      <c r="D1063" s="2" t="s">
        <v>10</v>
      </c>
      <c r="E1063" s="2" t="str">
        <f>HYPERLINK("http://ts.21cn.com/tousu/show/id/1331538","http://ts.21cn.com/tousu/show/id/1331538")</f>
        <v>http://ts.21cn.com/tousu/show/id/1331538</v>
      </c>
      <c r="F1063" s="2" t="s">
        <v>11</v>
      </c>
      <c r="G1063" s="2" t="s">
        <v>42061</v>
      </c>
      <c r="H1063" s="2" t="s">
        <v>42062</v>
      </c>
    </row>
    <row r="1064" spans="1:8" ht="25.05" customHeight="1" x14ac:dyDescent="0.25">
      <c r="A1064" s="2" t="s">
        <v>8</v>
      </c>
      <c r="B1064" s="2" t="str">
        <f>HYPERLINK("http://ts.21cn.com/tousu/show/id/1331539","变相收取巨额担保费")</f>
        <v>变相收取巨额担保费</v>
      </c>
      <c r="C1064" s="2" t="s">
        <v>9</v>
      </c>
      <c r="D1064" s="2" t="s">
        <v>10</v>
      </c>
      <c r="E1064" s="2" t="str">
        <f>HYPERLINK("http://ts.21cn.com/tousu/show/id/1331539","http://ts.21cn.com/tousu/show/id/1331539")</f>
        <v>http://ts.21cn.com/tousu/show/id/1331539</v>
      </c>
      <c r="F1064" s="2" t="s">
        <v>11</v>
      </c>
      <c r="G1064" s="2" t="s">
        <v>42059</v>
      </c>
      <c r="H1064" s="2" t="s">
        <v>42060</v>
      </c>
    </row>
    <row r="1065" spans="1:8" ht="25.05" customHeight="1" x14ac:dyDescent="0.25">
      <c r="A1065" s="2" t="s">
        <v>8</v>
      </c>
      <c r="B1065" s="2" t="str">
        <f>HYPERLINK("http://ts.21cn.com/tousu/show/id/1331540","拼多多不作为")</f>
        <v>拼多多不作为</v>
      </c>
      <c r="C1065" s="2" t="s">
        <v>9</v>
      </c>
      <c r="D1065" s="2" t="s">
        <v>10</v>
      </c>
      <c r="E1065" s="2" t="str">
        <f>HYPERLINK("http://ts.21cn.com/tousu/show/id/1331540","http://ts.21cn.com/tousu/show/id/1331540")</f>
        <v>http://ts.21cn.com/tousu/show/id/1331540</v>
      </c>
      <c r="F1065" s="2" t="s">
        <v>11</v>
      </c>
      <c r="G1065" s="2" t="s">
        <v>42057</v>
      </c>
      <c r="H1065" s="2" t="s">
        <v>42058</v>
      </c>
    </row>
    <row r="1066" spans="1:8" ht="25.05" customHeight="1" x14ac:dyDescent="0.25">
      <c r="A1066" s="2" t="s">
        <v>8</v>
      </c>
      <c r="B1066" s="2" t="str">
        <f>HYPERLINK("http://ts.21cn.com/tousu/show/id/1331541","上海银生宝为非法博彩公司收单结算资金，请求上海银生宝退还我的血汗钱")</f>
        <v>上海银生宝为非法博彩公司收单结算资金，请求上海银生宝退还我的血汗钱</v>
      </c>
      <c r="C1066" s="2" t="s">
        <v>9</v>
      </c>
      <c r="D1066" s="2" t="s">
        <v>10</v>
      </c>
      <c r="E1066" s="2" t="str">
        <f>HYPERLINK("http://ts.21cn.com/tousu/show/id/1331541","http://ts.21cn.com/tousu/show/id/1331541")</f>
        <v>http://ts.21cn.com/tousu/show/id/1331541</v>
      </c>
      <c r="F1066" s="2" t="s">
        <v>11</v>
      </c>
      <c r="G1066" s="2" t="s">
        <v>42055</v>
      </c>
      <c r="H1066" s="2" t="s">
        <v>42056</v>
      </c>
    </row>
    <row r="1067" spans="1:8" ht="25.05" customHeight="1" x14ac:dyDescent="0.25">
      <c r="A1067" s="2" t="s">
        <v>8</v>
      </c>
      <c r="B1067" s="2" t="str">
        <f>HYPERLINK("http://ts.21cn.com/tousu/show/id/1331542","拍拍贷无法正常还款，卡里有钱，各种办法都试验了，就是还不了，")</f>
        <v>拍拍贷无法正常还款，卡里有钱，各种办法都试验了，就是还不了，</v>
      </c>
      <c r="C1067" s="2" t="s">
        <v>9</v>
      </c>
      <c r="D1067" s="2" t="s">
        <v>10</v>
      </c>
      <c r="E1067" s="2" t="str">
        <f>HYPERLINK("http://ts.21cn.com/tousu/show/id/1331542","http://ts.21cn.com/tousu/show/id/1331542")</f>
        <v>http://ts.21cn.com/tousu/show/id/1331542</v>
      </c>
      <c r="F1067" s="2" t="s">
        <v>11</v>
      </c>
      <c r="G1067" s="2" t="s">
        <v>42053</v>
      </c>
      <c r="H1067" s="2" t="s">
        <v>42054</v>
      </c>
    </row>
    <row r="1068" spans="1:8" ht="25.05" customHeight="1" x14ac:dyDescent="0.25">
      <c r="A1068" s="2" t="s">
        <v>8</v>
      </c>
      <c r="B1068" s="2" t="str">
        <f>HYPERLINK("http://ts.21cn.com/tousu/show/id/1331543","牛人有品高利贷暴力催收")</f>
        <v>牛人有品高利贷暴力催收</v>
      </c>
      <c r="C1068" s="2" t="s">
        <v>9</v>
      </c>
      <c r="D1068" s="2" t="s">
        <v>10</v>
      </c>
      <c r="E1068" s="2" t="str">
        <f>HYPERLINK("http://ts.21cn.com/tousu/show/id/1331543","http://ts.21cn.com/tousu/show/id/1331543")</f>
        <v>http://ts.21cn.com/tousu/show/id/1331543</v>
      </c>
      <c r="F1068" s="2" t="s">
        <v>11</v>
      </c>
      <c r="G1068" s="2" t="s">
        <v>42051</v>
      </c>
      <c r="H1068" s="2" t="s">
        <v>42052</v>
      </c>
    </row>
    <row r="1069" spans="1:8" ht="25.05" customHeight="1" x14ac:dyDescent="0.25">
      <c r="A1069" s="2" t="s">
        <v>8</v>
      </c>
      <c r="B1069" s="2" t="str">
        <f>HYPERLINK("http://ts.21cn.com/tousu/show/id/1331469","宜人财富")</f>
        <v>宜人财富</v>
      </c>
      <c r="C1069" s="2" t="s">
        <v>9</v>
      </c>
      <c r="D1069" s="2" t="s">
        <v>10</v>
      </c>
      <c r="E1069" s="2" t="str">
        <f>HYPERLINK("http://ts.21cn.com/tousu/show/id/1331469","http://ts.21cn.com/tousu/show/id/1331469")</f>
        <v>http://ts.21cn.com/tousu/show/id/1331469</v>
      </c>
      <c r="F1069" s="2" t="s">
        <v>11</v>
      </c>
      <c r="G1069" s="2" t="s">
        <v>42049</v>
      </c>
      <c r="H1069" s="2" t="s">
        <v>42050</v>
      </c>
    </row>
    <row r="1070" spans="1:8" ht="25.05" customHeight="1" x14ac:dyDescent="0.25">
      <c r="A1070" s="2" t="s">
        <v>8</v>
      </c>
      <c r="B1070" s="2" t="str">
        <f>HYPERLINK("http://ts.21cn.com/tousu/show/id/1331544","拍拍贷祖国70岁生日暴力催收")</f>
        <v>拍拍贷祖国70岁生日暴力催收</v>
      </c>
      <c r="C1070" s="2" t="s">
        <v>9</v>
      </c>
      <c r="D1070" s="2" t="s">
        <v>10</v>
      </c>
      <c r="E1070" s="2" t="str">
        <f>HYPERLINK("http://ts.21cn.com/tousu/show/id/1331544","http://ts.21cn.com/tousu/show/id/1331544")</f>
        <v>http://ts.21cn.com/tousu/show/id/1331544</v>
      </c>
      <c r="F1070" s="2" t="s">
        <v>11</v>
      </c>
      <c r="G1070" s="2" t="s">
        <v>42047</v>
      </c>
      <c r="H1070" s="2" t="s">
        <v>42048</v>
      </c>
    </row>
    <row r="1071" spans="1:8" ht="25.05" customHeight="1" x14ac:dyDescent="0.25">
      <c r="A1071" s="2" t="s">
        <v>8</v>
      </c>
      <c r="B1071" s="2" t="str">
        <f>HYPERLINK("http://ts.21cn.com/tousu/show/id/1331546","无故扣款")</f>
        <v>无故扣款</v>
      </c>
      <c r="C1071" s="2" t="s">
        <v>34</v>
      </c>
      <c r="D1071" s="2" t="s">
        <v>10</v>
      </c>
      <c r="E1071" s="2" t="str">
        <f>HYPERLINK("http://ts.21cn.com/tousu/show/id/1331546","http://ts.21cn.com/tousu/show/id/1331546")</f>
        <v>http://ts.21cn.com/tousu/show/id/1331546</v>
      </c>
      <c r="F1071" s="2" t="s">
        <v>11</v>
      </c>
      <c r="G1071" s="2" t="s">
        <v>42045</v>
      </c>
      <c r="H1071" s="2" t="s">
        <v>42046</v>
      </c>
    </row>
    <row r="1072" spans="1:8" ht="25.05" customHeight="1" x14ac:dyDescent="0.25">
      <c r="A1072" s="2" t="s">
        <v>8</v>
      </c>
      <c r="B1072" s="2" t="str">
        <f>HYPERLINK("http://ts.21cn.com/tousu/show/id/1331547","公司银行为赌博网站提供收款账号")</f>
        <v>公司银行为赌博网站提供收款账号</v>
      </c>
      <c r="C1072" s="2" t="s">
        <v>9</v>
      </c>
      <c r="D1072" s="2" t="s">
        <v>10</v>
      </c>
      <c r="E1072" s="2" t="str">
        <f>HYPERLINK("http://ts.21cn.com/tousu/show/id/1331547","http://ts.21cn.com/tousu/show/id/1331547")</f>
        <v>http://ts.21cn.com/tousu/show/id/1331547</v>
      </c>
      <c r="F1072" s="2" t="s">
        <v>11</v>
      </c>
      <c r="G1072" s="2" t="s">
        <v>42043</v>
      </c>
      <c r="H1072" s="2" t="s">
        <v>42044</v>
      </c>
    </row>
    <row r="1073" spans="1:8" ht="25.05" customHeight="1" x14ac:dyDescent="0.25">
      <c r="A1073" s="2" t="s">
        <v>8</v>
      </c>
      <c r="B1073" s="2" t="str">
        <f>HYPERLINK("http://ts.21cn.com/tousu/show/id/1331430","拼多多平台错判误关，买家购买2件衣服只退一件回来却申请退两件的钱，平台却强制全额退款给买家")</f>
        <v>拼多多平台错判误关，买家购买2件衣服只退一件回来却申请退两件的钱，平台却强制全额退款给买家</v>
      </c>
      <c r="C1073" s="2" t="s">
        <v>34</v>
      </c>
      <c r="D1073" s="2" t="s">
        <v>10</v>
      </c>
      <c r="E1073" s="2" t="str">
        <f>HYPERLINK("http://ts.21cn.com/tousu/show/id/1331430","http://ts.21cn.com/tousu/show/id/1331430")</f>
        <v>http://ts.21cn.com/tousu/show/id/1331430</v>
      </c>
      <c r="F1073" s="2" t="s">
        <v>11</v>
      </c>
      <c r="G1073" s="2" t="s">
        <v>42041</v>
      </c>
      <c r="H1073" s="2" t="s">
        <v>42042</v>
      </c>
    </row>
    <row r="1074" spans="1:8" ht="25.05" customHeight="1" x14ac:dyDescent="0.25">
      <c r="A1074" s="2" t="s">
        <v>8</v>
      </c>
      <c r="B1074" s="2" t="str">
        <f>HYPERLINK("http://ts.21cn.com/tousu/show/id/1331548","联动云无法注销个人信息，无法注销")</f>
        <v>联动云无法注销个人信息，无法注销</v>
      </c>
      <c r="C1074" s="2" t="s">
        <v>9</v>
      </c>
      <c r="D1074" s="2" t="s">
        <v>10</v>
      </c>
      <c r="E1074" s="2" t="str">
        <f>HYPERLINK("http://ts.21cn.com/tousu/show/id/1331548","http://ts.21cn.com/tousu/show/id/1331548")</f>
        <v>http://ts.21cn.com/tousu/show/id/1331548</v>
      </c>
      <c r="F1074" s="2" t="s">
        <v>11</v>
      </c>
      <c r="G1074" s="2" t="s">
        <v>42039</v>
      </c>
      <c r="H1074" s="2" t="s">
        <v>42040</v>
      </c>
    </row>
    <row r="1075" spans="1:8" ht="25.05" customHeight="1" x14ac:dyDescent="0.25">
      <c r="A1075" s="2" t="s">
        <v>8</v>
      </c>
      <c r="B1075" s="2" t="str">
        <f>HYPERLINK("http://ts.21cn.com/tousu/show/id/1331549","及贷爆通讯录，夸大其词")</f>
        <v>及贷爆通讯录，夸大其词</v>
      </c>
      <c r="C1075" s="2" t="s">
        <v>9</v>
      </c>
      <c r="D1075" s="2" t="s">
        <v>10</v>
      </c>
      <c r="E1075" s="2" t="str">
        <f>HYPERLINK("http://ts.21cn.com/tousu/show/id/1331549","http://ts.21cn.com/tousu/show/id/1331549")</f>
        <v>http://ts.21cn.com/tousu/show/id/1331549</v>
      </c>
      <c r="F1075" s="2" t="s">
        <v>11</v>
      </c>
      <c r="G1075" s="2" t="s">
        <v>42037</v>
      </c>
      <c r="H1075" s="2" t="s">
        <v>42038</v>
      </c>
    </row>
    <row r="1076" spans="1:8" ht="25.05" customHeight="1" x14ac:dyDescent="0.25">
      <c r="A1076" s="2" t="s">
        <v>8</v>
      </c>
      <c r="B1076" s="2" t="str">
        <f>HYPERLINK("http://ts.21cn.com/tousu/show/id/1331550","闪电借款借1万元变相砍头息2000元")</f>
        <v>闪电借款借1万元变相砍头息2000元</v>
      </c>
      <c r="C1076" s="2" t="s">
        <v>9</v>
      </c>
      <c r="D1076" s="2" t="s">
        <v>10</v>
      </c>
      <c r="E1076" s="2" t="str">
        <f>HYPERLINK("http://ts.21cn.com/tousu/show/id/1331550","http://ts.21cn.com/tousu/show/id/1331550")</f>
        <v>http://ts.21cn.com/tousu/show/id/1331550</v>
      </c>
      <c r="F1076" s="2" t="s">
        <v>11</v>
      </c>
      <c r="G1076" s="2" t="s">
        <v>42035</v>
      </c>
      <c r="H1076" s="2" t="s">
        <v>42036</v>
      </c>
    </row>
    <row r="1077" spans="1:8" ht="25.05" customHeight="1" x14ac:dyDescent="0.25">
      <c r="A1077" s="2" t="s">
        <v>8</v>
      </c>
      <c r="B1077" s="2" t="str">
        <f>HYPERLINK("http://ts.21cn.com/tousu/show/id/1331551","无故退款显示订阅")</f>
        <v>无故退款显示订阅</v>
      </c>
      <c r="C1077" s="2" t="s">
        <v>34</v>
      </c>
      <c r="D1077" s="2" t="s">
        <v>10</v>
      </c>
      <c r="E1077" s="2" t="str">
        <f>HYPERLINK("http://ts.21cn.com/tousu/show/id/1331551","http://ts.21cn.com/tousu/show/id/1331551")</f>
        <v>http://ts.21cn.com/tousu/show/id/1331551</v>
      </c>
      <c r="F1077" s="2" t="s">
        <v>11</v>
      </c>
      <c r="G1077" s="2" t="s">
        <v>42033</v>
      </c>
      <c r="H1077" s="2" t="s">
        <v>42034</v>
      </c>
    </row>
    <row r="1078" spans="1:8" ht="25.05" customHeight="1" x14ac:dyDescent="0.25">
      <c r="A1078" s="2" t="s">
        <v>8</v>
      </c>
      <c r="B1078" s="2" t="str">
        <f>HYPERLINK("http://ts.21cn.com/tousu/show/id/1331552","钱站高利贷阴阳合同")</f>
        <v>钱站高利贷阴阳合同</v>
      </c>
      <c r="C1078" s="2" t="s">
        <v>9</v>
      </c>
      <c r="D1078" s="2" t="s">
        <v>10</v>
      </c>
      <c r="E1078" s="2" t="str">
        <f>HYPERLINK("http://ts.21cn.com/tousu/show/id/1331552","http://ts.21cn.com/tousu/show/id/1331552")</f>
        <v>http://ts.21cn.com/tousu/show/id/1331552</v>
      </c>
      <c r="F1078" s="2" t="s">
        <v>11</v>
      </c>
      <c r="G1078" s="2" t="s">
        <v>42031</v>
      </c>
      <c r="H1078" s="2" t="s">
        <v>42032</v>
      </c>
    </row>
    <row r="1079" spans="1:8" ht="25.05" customHeight="1" x14ac:dyDescent="0.25">
      <c r="A1079" s="2" t="s">
        <v>8</v>
      </c>
      <c r="B1079" s="2" t="str">
        <f>HYPERLINK("http://ts.21cn.com/tousu/show/id/1331553","黑心贷！！变相收取利息！！")</f>
        <v>黑心贷！！变相收取利息！！</v>
      </c>
      <c r="C1079" s="2" t="s">
        <v>9</v>
      </c>
      <c r="D1079" s="2" t="s">
        <v>10</v>
      </c>
      <c r="E1079" s="2" t="str">
        <f>HYPERLINK("http://ts.21cn.com/tousu/show/id/1331553","http://ts.21cn.com/tousu/show/id/1331553")</f>
        <v>http://ts.21cn.com/tousu/show/id/1331553</v>
      </c>
      <c r="F1079" s="2" t="s">
        <v>11</v>
      </c>
      <c r="G1079" s="2" t="s">
        <v>42029</v>
      </c>
      <c r="H1079" s="2" t="s">
        <v>42030</v>
      </c>
    </row>
    <row r="1080" spans="1:8" ht="25.05" customHeight="1" x14ac:dyDescent="0.25">
      <c r="A1080" s="2" t="s">
        <v>8</v>
      </c>
      <c r="B1080" s="2" t="str">
        <f>HYPERLINK("http://ts.21cn.com/tousu/show/id/1331554","虚假宣传领航商务金卡对我进行误导消费")</f>
        <v>虚假宣传领航商务金卡对我进行误导消费</v>
      </c>
      <c r="C1080" s="2" t="s">
        <v>9</v>
      </c>
      <c r="D1080" s="2" t="s">
        <v>10</v>
      </c>
      <c r="E1080" s="2" t="str">
        <f>HYPERLINK("http://ts.21cn.com/tousu/show/id/1331554","http://ts.21cn.com/tousu/show/id/1331554")</f>
        <v>http://ts.21cn.com/tousu/show/id/1331554</v>
      </c>
      <c r="F1080" s="2" t="s">
        <v>11</v>
      </c>
      <c r="G1080" s="2" t="s">
        <v>42027</v>
      </c>
      <c r="H1080" s="2" t="s">
        <v>42028</v>
      </c>
    </row>
    <row r="1081" spans="1:8" ht="25.05" customHeight="1" x14ac:dyDescent="0.25">
      <c r="A1081" s="2" t="s">
        <v>8</v>
      </c>
      <c r="B1081" s="2" t="str">
        <f>HYPERLINK("http://ts.21cn.com/tousu/show/id/1331555","放款成功但是没到账")</f>
        <v>放款成功但是没到账</v>
      </c>
      <c r="C1081" s="2" t="s">
        <v>34</v>
      </c>
      <c r="D1081" s="2" t="s">
        <v>10</v>
      </c>
      <c r="E1081" s="2" t="str">
        <f>HYPERLINK("http://ts.21cn.com/tousu/show/id/1331555","http://ts.21cn.com/tousu/show/id/1331555")</f>
        <v>http://ts.21cn.com/tousu/show/id/1331555</v>
      </c>
      <c r="F1081" s="2" t="s">
        <v>11</v>
      </c>
      <c r="G1081" s="2" t="s">
        <v>42025</v>
      </c>
      <c r="H1081" s="2" t="s">
        <v>42026</v>
      </c>
    </row>
    <row r="1082" spans="1:8" ht="25.05" customHeight="1" x14ac:dyDescent="0.25">
      <c r="A1082" s="2" t="s">
        <v>8</v>
      </c>
      <c r="B1082" s="2" t="str">
        <f>HYPERLINK("http://ts.21cn.com/tousu/show/id/1331557","自由魔卡六便士会员费砍头息")</f>
        <v>自由魔卡六便士会员费砍头息</v>
      </c>
      <c r="C1082" s="2" t="s">
        <v>9</v>
      </c>
      <c r="D1082" s="2" t="s">
        <v>10</v>
      </c>
      <c r="E1082" s="2" t="str">
        <f>HYPERLINK("http://ts.21cn.com/tousu/show/id/1331557","http://ts.21cn.com/tousu/show/id/1331557")</f>
        <v>http://ts.21cn.com/tousu/show/id/1331557</v>
      </c>
      <c r="F1082" s="2" t="s">
        <v>11</v>
      </c>
      <c r="G1082" s="2" t="s">
        <v>42023</v>
      </c>
      <c r="H1082" s="2" t="s">
        <v>42024</v>
      </c>
    </row>
    <row r="1083" spans="1:8" ht="25.05" customHeight="1" x14ac:dyDescent="0.25">
      <c r="A1083" s="2" t="s">
        <v>8</v>
      </c>
      <c r="B1083" s="2" t="str">
        <f>HYPERLINK("http://ts.21cn.com/tousu/show/id/1331558","骚扰我家人朋友已经影响到我的生活")</f>
        <v>骚扰我家人朋友已经影响到我的生活</v>
      </c>
      <c r="C1083" s="2" t="s">
        <v>34</v>
      </c>
      <c r="D1083" s="2" t="s">
        <v>10</v>
      </c>
      <c r="E1083" s="2" t="str">
        <f>HYPERLINK("http://ts.21cn.com/tousu/show/id/1331558","http://ts.21cn.com/tousu/show/id/1331558")</f>
        <v>http://ts.21cn.com/tousu/show/id/1331558</v>
      </c>
      <c r="F1083" s="2" t="s">
        <v>11</v>
      </c>
      <c r="G1083" s="2" t="s">
        <v>42021</v>
      </c>
      <c r="H1083" s="2" t="s">
        <v>42022</v>
      </c>
    </row>
    <row r="1084" spans="1:8" ht="25.05" customHeight="1" x14ac:dyDescent="0.25">
      <c r="A1084" s="2" t="s">
        <v>8</v>
      </c>
      <c r="B1084" s="2" t="str">
        <f>HYPERLINK("http://ts.21cn.com/tousu/show/id/1331559","钱站阴阳合同砍头息")</f>
        <v>钱站阴阳合同砍头息</v>
      </c>
      <c r="C1084" s="2" t="s">
        <v>9</v>
      </c>
      <c r="D1084" s="2" t="s">
        <v>10</v>
      </c>
      <c r="E1084" s="2" t="str">
        <f>HYPERLINK("http://ts.21cn.com/tousu/show/id/1331559","http://ts.21cn.com/tousu/show/id/1331559")</f>
        <v>http://ts.21cn.com/tousu/show/id/1331559</v>
      </c>
      <c r="F1084" s="2" t="s">
        <v>11</v>
      </c>
      <c r="G1084" s="2" t="s">
        <v>42019</v>
      </c>
      <c r="H1084" s="2" t="s">
        <v>42020</v>
      </c>
    </row>
    <row r="1085" spans="1:8" ht="25.05" customHeight="1" x14ac:dyDescent="0.25">
      <c r="A1085" s="2" t="s">
        <v>8</v>
      </c>
      <c r="B1085" s="2" t="str">
        <f>HYPERLINK("http://ts.21cn.com/tousu/show/id/1331560","腾安基金销售无故扣我卡里500块，我希望这个钱能退回来")</f>
        <v>腾安基金销售无故扣我卡里500块，我希望这个钱能退回来</v>
      </c>
      <c r="C1085" s="2" t="s">
        <v>34</v>
      </c>
      <c r="D1085" s="2" t="s">
        <v>10</v>
      </c>
      <c r="E1085" s="2" t="str">
        <f>HYPERLINK("http://ts.21cn.com/tousu/show/id/1331560","http://ts.21cn.com/tousu/show/id/1331560")</f>
        <v>http://ts.21cn.com/tousu/show/id/1331560</v>
      </c>
      <c r="F1085" s="2" t="s">
        <v>11</v>
      </c>
      <c r="G1085" s="2" t="s">
        <v>42017</v>
      </c>
      <c r="H1085" s="2" t="s">
        <v>42018</v>
      </c>
    </row>
    <row r="1086" spans="1:8" ht="25.05" customHeight="1" x14ac:dyDescent="0.25">
      <c r="A1086" s="2" t="s">
        <v>8</v>
      </c>
      <c r="B1086" s="2" t="str">
        <f>HYPERLINK("http://ts.21cn.com/tousu/show/id/1331432","要求对DragonEX监管")</f>
        <v>要求对DragonEX监管</v>
      </c>
      <c r="C1086" s="2" t="s">
        <v>34</v>
      </c>
      <c r="D1086" s="2" t="s">
        <v>10</v>
      </c>
      <c r="E1086" s="2" t="str">
        <f>HYPERLINK("http://ts.21cn.com/tousu/show/id/1331432","http://ts.21cn.com/tousu/show/id/1331432")</f>
        <v>http://ts.21cn.com/tousu/show/id/1331432</v>
      </c>
      <c r="F1086" s="2" t="s">
        <v>11</v>
      </c>
      <c r="G1086" s="2" t="s">
        <v>42015</v>
      </c>
      <c r="H1086" s="2" t="s">
        <v>42016</v>
      </c>
    </row>
    <row r="1087" spans="1:8" ht="25.05" customHeight="1" x14ac:dyDescent="0.25">
      <c r="A1087" s="2" t="s">
        <v>8</v>
      </c>
      <c r="B1087" s="2" t="str">
        <f>HYPERLINK("http://ts.21cn.com/tousu/show/id/1331561","汇有钱找不到还款入口")</f>
        <v>汇有钱找不到还款入口</v>
      </c>
      <c r="C1087" s="2" t="s">
        <v>34</v>
      </c>
      <c r="D1087" s="2" t="s">
        <v>10</v>
      </c>
      <c r="E1087" s="2" t="str">
        <f>HYPERLINK("http://ts.21cn.com/tousu/show/id/1331561","http://ts.21cn.com/tousu/show/id/1331561")</f>
        <v>http://ts.21cn.com/tousu/show/id/1331561</v>
      </c>
      <c r="F1087" s="2" t="s">
        <v>11</v>
      </c>
      <c r="G1087" s="2" t="s">
        <v>42013</v>
      </c>
      <c r="H1087" s="2" t="s">
        <v>42014</v>
      </c>
    </row>
    <row r="1088" spans="1:8" ht="25.05" customHeight="1" x14ac:dyDescent="0.25">
      <c r="A1088" s="2" t="s">
        <v>8</v>
      </c>
      <c r="B1088" s="2" t="str">
        <f>HYPERLINK("http://ts.21cn.com/tousu/show/id/1331562","淘宝无良卖家销售低质量冠军衣服.开线.掉毛掉色起毛.不退款")</f>
        <v>淘宝无良卖家销售低质量冠军衣服.开线.掉毛掉色起毛.不退款</v>
      </c>
      <c r="C1088" s="2" t="s">
        <v>9</v>
      </c>
      <c r="D1088" s="2" t="s">
        <v>10</v>
      </c>
      <c r="E1088" s="2" t="str">
        <f>HYPERLINK("http://ts.21cn.com/tousu/show/id/1331562","http://ts.21cn.com/tousu/show/id/1331562")</f>
        <v>http://ts.21cn.com/tousu/show/id/1331562</v>
      </c>
      <c r="F1088" s="2" t="s">
        <v>11</v>
      </c>
      <c r="G1088" s="2" t="s">
        <v>42011</v>
      </c>
      <c r="H1088" s="2" t="s">
        <v>42012</v>
      </c>
    </row>
    <row r="1089" spans="1:8" ht="25.05" customHeight="1" x14ac:dyDescent="0.25">
      <c r="A1089" s="2" t="s">
        <v>8</v>
      </c>
      <c r="B1089" s="2" t="str">
        <f>HYPERLINK("http://ts.21cn.com/tousu/show/id/1331563","滴滴平台派单超过三公里我取消订单平台还是判我有责")</f>
        <v>滴滴平台派单超过三公里我取消订单平台还是判我有责</v>
      </c>
      <c r="C1089" s="2" t="s">
        <v>9</v>
      </c>
      <c r="D1089" s="2" t="s">
        <v>10</v>
      </c>
      <c r="E1089" s="2" t="str">
        <f>HYPERLINK("http://ts.21cn.com/tousu/show/id/1331563","http://ts.21cn.com/tousu/show/id/1331563")</f>
        <v>http://ts.21cn.com/tousu/show/id/1331563</v>
      </c>
      <c r="F1089" s="2" t="s">
        <v>11</v>
      </c>
      <c r="G1089" s="2" t="s">
        <v>42009</v>
      </c>
      <c r="H1089" s="2" t="s">
        <v>42010</v>
      </c>
    </row>
    <row r="1090" spans="1:8" ht="25.05" customHeight="1" x14ac:dyDescent="0.25">
      <c r="A1090" s="2" t="s">
        <v>8</v>
      </c>
      <c r="B1090" s="2" t="str">
        <f>HYPERLINK("http://ts.21cn.com/tousu/show/id/1331564","利息高，名目繁多的不合理收费。收取高额的管理费暗含砍头息。")</f>
        <v>利息高，名目繁多的不合理收费。收取高额的管理费暗含砍头息。</v>
      </c>
      <c r="C1090" s="2" t="s">
        <v>9</v>
      </c>
      <c r="D1090" s="2" t="s">
        <v>10</v>
      </c>
      <c r="E1090" s="2" t="str">
        <f>HYPERLINK("http://ts.21cn.com/tousu/show/id/1331564","http://ts.21cn.com/tousu/show/id/1331564")</f>
        <v>http://ts.21cn.com/tousu/show/id/1331564</v>
      </c>
      <c r="F1090" s="2" t="s">
        <v>11</v>
      </c>
      <c r="G1090" s="2" t="s">
        <v>42007</v>
      </c>
      <c r="H1090" s="2" t="s">
        <v>42008</v>
      </c>
    </row>
    <row r="1091" spans="1:8" ht="25.05" customHeight="1" x14ac:dyDescent="0.25">
      <c r="A1091" s="2" t="s">
        <v>8</v>
      </c>
      <c r="B1091" s="2" t="str">
        <f>HYPERLINK("http://ts.21cn.com/tousu/show/id/1331565","爱钱进投资理财到期后自动续期")</f>
        <v>爱钱进投资理财到期后自动续期</v>
      </c>
      <c r="C1091" s="2" t="s">
        <v>34</v>
      </c>
      <c r="D1091" s="2" t="s">
        <v>10</v>
      </c>
      <c r="E1091" s="2" t="str">
        <f>HYPERLINK("http://ts.21cn.com/tousu/show/id/1331565","http://ts.21cn.com/tousu/show/id/1331565")</f>
        <v>http://ts.21cn.com/tousu/show/id/1331565</v>
      </c>
      <c r="F1091" s="2" t="s">
        <v>11</v>
      </c>
      <c r="G1091" s="2" t="s">
        <v>42005</v>
      </c>
      <c r="H1091" s="2" t="s">
        <v>42006</v>
      </c>
    </row>
    <row r="1092" spans="1:8" ht="25.05" customHeight="1" x14ac:dyDescent="0.25">
      <c r="A1092" s="2" t="s">
        <v>8</v>
      </c>
      <c r="B1092" s="2" t="str">
        <f>HYPERLINK("http://ts.21cn.com/tousu/show/id/1331566","小象优品高利贷")</f>
        <v>小象优品高利贷</v>
      </c>
      <c r="C1092" s="2" t="s">
        <v>9</v>
      </c>
      <c r="D1092" s="2" t="s">
        <v>10</v>
      </c>
      <c r="E1092" s="2" t="str">
        <f>HYPERLINK("http://ts.21cn.com/tousu/show/id/1331566","http://ts.21cn.com/tousu/show/id/1331566")</f>
        <v>http://ts.21cn.com/tousu/show/id/1331566</v>
      </c>
      <c r="F1092" s="2" t="s">
        <v>11</v>
      </c>
      <c r="G1092" s="2" t="s">
        <v>42003</v>
      </c>
      <c r="H1092" s="2" t="s">
        <v>42004</v>
      </c>
    </row>
    <row r="1093" spans="1:8" ht="25.05" customHeight="1" x14ac:dyDescent="0.25">
      <c r="A1093" s="2" t="s">
        <v>8</v>
      </c>
      <c r="B1093" s="2" t="str">
        <f>HYPERLINK("http://ts.21cn.com/tousu/show/id/1331567","滴滴出行手机号换绑出问题")</f>
        <v>滴滴出行手机号换绑出问题</v>
      </c>
      <c r="C1093" s="2" t="s">
        <v>34</v>
      </c>
      <c r="D1093" s="2" t="s">
        <v>10</v>
      </c>
      <c r="E1093" s="2" t="str">
        <f>HYPERLINK("http://ts.21cn.com/tousu/show/id/1331567","http://ts.21cn.com/tousu/show/id/1331567")</f>
        <v>http://ts.21cn.com/tousu/show/id/1331567</v>
      </c>
      <c r="F1093" s="2" t="s">
        <v>11</v>
      </c>
      <c r="G1093" s="2" t="s">
        <v>42002</v>
      </c>
      <c r="H1093" s="2" t="s">
        <v>25317</v>
      </c>
    </row>
    <row r="1094" spans="1:8" ht="25.05" customHeight="1" x14ac:dyDescent="0.25">
      <c r="A1094" s="2" t="s">
        <v>8</v>
      </c>
      <c r="B1094" s="2" t="str">
        <f>HYPERLINK("http://ts.21cn.com/tousu/show/id/1331568","不明原因的扣费")</f>
        <v>不明原因的扣费</v>
      </c>
      <c r="C1094" s="2" t="s">
        <v>9</v>
      </c>
      <c r="D1094" s="2" t="s">
        <v>10</v>
      </c>
      <c r="E1094" s="2" t="str">
        <f>HYPERLINK("http://ts.21cn.com/tousu/show/id/1331568","http://ts.21cn.com/tousu/show/id/1331568")</f>
        <v>http://ts.21cn.com/tousu/show/id/1331568</v>
      </c>
      <c r="F1094" s="2" t="s">
        <v>11</v>
      </c>
      <c r="G1094" s="2" t="s">
        <v>42001</v>
      </c>
      <c r="H1094" s="2" t="s">
        <v>36559</v>
      </c>
    </row>
    <row r="1095" spans="1:8" ht="25.05" customHeight="1" x14ac:dyDescent="0.25">
      <c r="A1095" s="2" t="s">
        <v>8</v>
      </c>
      <c r="B1095" s="2" t="str">
        <f>HYPERLINK("http://ts.21cn.com/tousu/show/id/1331569","砍头息，会员费，")</f>
        <v>砍头息，会员费，</v>
      </c>
      <c r="C1095" s="2" t="s">
        <v>9</v>
      </c>
      <c r="D1095" s="2" t="s">
        <v>10</v>
      </c>
      <c r="E1095" s="2" t="str">
        <f>HYPERLINK("http://ts.21cn.com/tousu/show/id/1331569","http://ts.21cn.com/tousu/show/id/1331569")</f>
        <v>http://ts.21cn.com/tousu/show/id/1331569</v>
      </c>
      <c r="F1095" s="2" t="s">
        <v>11</v>
      </c>
      <c r="G1095" s="2" t="s">
        <v>41999</v>
      </c>
      <c r="H1095" s="2" t="s">
        <v>42000</v>
      </c>
    </row>
    <row r="1096" spans="1:8" ht="25.05" customHeight="1" x14ac:dyDescent="0.25">
      <c r="A1096" s="2" t="s">
        <v>8</v>
      </c>
      <c r="B1096" s="2" t="str">
        <f>HYPERLINK("http://ts.21cn.com/tousu/show/id/1331570","贷上钱以买游戏豆为由收取高额贷款通过费")</f>
        <v>贷上钱以买游戏豆为由收取高额贷款通过费</v>
      </c>
      <c r="C1096" s="2" t="s">
        <v>9</v>
      </c>
      <c r="D1096" s="2" t="s">
        <v>10</v>
      </c>
      <c r="E1096" s="2" t="str">
        <f>HYPERLINK("http://ts.21cn.com/tousu/show/id/1331570","http://ts.21cn.com/tousu/show/id/1331570")</f>
        <v>http://ts.21cn.com/tousu/show/id/1331570</v>
      </c>
      <c r="F1096" s="2" t="s">
        <v>11</v>
      </c>
      <c r="G1096" s="2" t="s">
        <v>41997</v>
      </c>
      <c r="H1096" s="2" t="s">
        <v>41998</v>
      </c>
    </row>
    <row r="1097" spans="1:8" ht="25.05" customHeight="1" x14ac:dyDescent="0.25">
      <c r="A1097" s="2" t="s">
        <v>8</v>
      </c>
      <c r="B1097" s="2" t="str">
        <f>HYPERLINK("http://ts.21cn.com/tousu/show/id/1331571","趣豆钱私自扣钱答应返还未履行")</f>
        <v>趣豆钱私自扣钱答应返还未履行</v>
      </c>
      <c r="C1097" s="2" t="s">
        <v>34</v>
      </c>
      <c r="D1097" s="2" t="s">
        <v>10</v>
      </c>
      <c r="E1097" s="2" t="str">
        <f>HYPERLINK("http://ts.21cn.com/tousu/show/id/1331571","http://ts.21cn.com/tousu/show/id/1331571")</f>
        <v>http://ts.21cn.com/tousu/show/id/1331571</v>
      </c>
      <c r="F1097" s="2" t="s">
        <v>11</v>
      </c>
      <c r="G1097" s="2" t="s">
        <v>41995</v>
      </c>
      <c r="H1097" s="2" t="s">
        <v>41996</v>
      </c>
    </row>
    <row r="1098" spans="1:8" ht="25.05" customHeight="1" x14ac:dyDescent="0.25">
      <c r="A1098" s="2" t="s">
        <v>8</v>
      </c>
      <c r="B1098" s="2" t="str">
        <f>HYPERLINK("http://ts.21cn.com/tousu/show/id/1331572","支付宝，肥猫贷，汇潮支付")</f>
        <v>支付宝，肥猫贷，汇潮支付</v>
      </c>
      <c r="C1098" s="2" t="s">
        <v>9</v>
      </c>
      <c r="D1098" s="2" t="s">
        <v>10</v>
      </c>
      <c r="E1098" s="2" t="str">
        <f>HYPERLINK("http://ts.21cn.com/tousu/show/id/1331572","http://ts.21cn.com/tousu/show/id/1331572")</f>
        <v>http://ts.21cn.com/tousu/show/id/1331572</v>
      </c>
      <c r="F1098" s="2" t="s">
        <v>11</v>
      </c>
      <c r="G1098" s="2" t="s">
        <v>41993</v>
      </c>
      <c r="H1098" s="2" t="s">
        <v>41994</v>
      </c>
    </row>
    <row r="1099" spans="1:8" ht="25.05" customHeight="1" x14ac:dyDescent="0.25">
      <c r="A1099" s="2" t="s">
        <v>8</v>
      </c>
      <c r="B1099" s="2" t="str">
        <f>HYPERLINK("http://ts.21cn.com/tousu/show/id/1331573","中金支付非法扣款")</f>
        <v>中金支付非法扣款</v>
      </c>
      <c r="C1099" s="2" t="s">
        <v>9</v>
      </c>
      <c r="D1099" s="2" t="s">
        <v>10</v>
      </c>
      <c r="E1099" s="2" t="str">
        <f>HYPERLINK("http://ts.21cn.com/tousu/show/id/1331573","http://ts.21cn.com/tousu/show/id/1331573")</f>
        <v>http://ts.21cn.com/tousu/show/id/1331573</v>
      </c>
      <c r="F1099" s="2" t="s">
        <v>11</v>
      </c>
      <c r="G1099" s="2" t="s">
        <v>41991</v>
      </c>
      <c r="H1099" s="2" t="s">
        <v>41992</v>
      </c>
    </row>
    <row r="1100" spans="1:8" ht="25.05" customHeight="1" x14ac:dyDescent="0.25">
      <c r="A1100" s="2" t="s">
        <v>8</v>
      </c>
      <c r="B1100" s="2" t="str">
        <f>HYPERLINK("http://ts.21cn.com/tousu/show/id/1331574","58好借收取高额服务费")</f>
        <v>58好借收取高额服务费</v>
      </c>
      <c r="C1100" s="2" t="s">
        <v>9</v>
      </c>
      <c r="D1100" s="2" t="s">
        <v>10</v>
      </c>
      <c r="E1100" s="2" t="str">
        <f>HYPERLINK("http://ts.21cn.com/tousu/show/id/1331574","http://ts.21cn.com/tousu/show/id/1331574")</f>
        <v>http://ts.21cn.com/tousu/show/id/1331574</v>
      </c>
      <c r="F1100" s="2" t="s">
        <v>11</v>
      </c>
      <c r="G1100" s="2" t="s">
        <v>41989</v>
      </c>
      <c r="H1100" s="2" t="s">
        <v>41990</v>
      </c>
    </row>
    <row r="1101" spans="1:8" ht="25.05" customHeight="1" x14ac:dyDescent="0.25">
      <c r="A1101" s="2" t="s">
        <v>8</v>
      </c>
      <c r="B1101" s="2" t="str">
        <f>HYPERLINK("http://ts.21cn.com/tousu/show/id/1331556","网页点链接通过支付宝付款到拼多多商户，请求拼多多商户退还款项")</f>
        <v>网页点链接通过支付宝付款到拼多多商户，请求拼多多商户退还款项</v>
      </c>
      <c r="C1101" s="2" t="s">
        <v>9</v>
      </c>
      <c r="D1101" s="2" t="s">
        <v>10</v>
      </c>
      <c r="E1101" s="2" t="str">
        <f>HYPERLINK("http://ts.21cn.com/tousu/show/id/1331556","http://ts.21cn.com/tousu/show/id/1331556")</f>
        <v>http://ts.21cn.com/tousu/show/id/1331556</v>
      </c>
      <c r="F1101" s="2" t="s">
        <v>11</v>
      </c>
      <c r="G1101" s="2" t="s">
        <v>41987</v>
      </c>
      <c r="H1101" s="2" t="s">
        <v>41988</v>
      </c>
    </row>
    <row r="1102" spans="1:8" ht="25.05" customHeight="1" x14ac:dyDescent="0.25">
      <c r="A1102" s="2" t="s">
        <v>8</v>
      </c>
      <c r="B1102" s="2" t="str">
        <f>HYPERLINK("http://ts.21cn.com/tousu/show/id/1331575","借款天数不符，高利贷")</f>
        <v>借款天数不符，高利贷</v>
      </c>
      <c r="C1102" s="2" t="s">
        <v>9</v>
      </c>
      <c r="D1102" s="2" t="s">
        <v>10</v>
      </c>
      <c r="E1102" s="2" t="str">
        <f>HYPERLINK("http://ts.21cn.com/tousu/show/id/1331575","http://ts.21cn.com/tousu/show/id/1331575")</f>
        <v>http://ts.21cn.com/tousu/show/id/1331575</v>
      </c>
      <c r="F1102" s="2" t="s">
        <v>11</v>
      </c>
      <c r="G1102" s="2" t="s">
        <v>41985</v>
      </c>
      <c r="H1102" s="2" t="s">
        <v>41986</v>
      </c>
    </row>
    <row r="1103" spans="1:8" ht="25.05" customHeight="1" x14ac:dyDescent="0.25">
      <c r="A1103" s="2" t="s">
        <v>8</v>
      </c>
      <c r="B1103" s="2" t="str">
        <f>HYPERLINK("http://ts.21cn.com/tousu/show/id/1331576","现金巴士高利贷，砍头息")</f>
        <v>现金巴士高利贷，砍头息</v>
      </c>
      <c r="C1103" s="2" t="s">
        <v>9</v>
      </c>
      <c r="D1103" s="2" t="s">
        <v>10</v>
      </c>
      <c r="E1103" s="2" t="str">
        <f>HYPERLINK("http://ts.21cn.com/tousu/show/id/1331576","http://ts.21cn.com/tousu/show/id/1331576")</f>
        <v>http://ts.21cn.com/tousu/show/id/1331576</v>
      </c>
      <c r="F1103" s="2" t="s">
        <v>11</v>
      </c>
      <c r="G1103" s="2" t="s">
        <v>41983</v>
      </c>
      <c r="H1103" s="2" t="s">
        <v>41984</v>
      </c>
    </row>
    <row r="1104" spans="1:8" ht="25.05" customHeight="1" x14ac:dyDescent="0.25">
      <c r="A1104" s="2" t="s">
        <v>8</v>
      </c>
      <c r="B1104" s="2" t="str">
        <f>HYPERLINK("http://ts.21cn.com/tousu/show/id/1331577","铁路12306候补订单退单迟迟未退款")</f>
        <v>铁路12306候补订单退单迟迟未退款</v>
      </c>
      <c r="C1104" s="2" t="s">
        <v>9</v>
      </c>
      <c r="D1104" s="2" t="s">
        <v>10</v>
      </c>
      <c r="E1104" s="2" t="str">
        <f>HYPERLINK("http://ts.21cn.com/tousu/show/id/1331577","http://ts.21cn.com/tousu/show/id/1331577")</f>
        <v>http://ts.21cn.com/tousu/show/id/1331577</v>
      </c>
      <c r="F1104" s="2" t="s">
        <v>11</v>
      </c>
      <c r="G1104" s="2" t="s">
        <v>41981</v>
      </c>
      <c r="H1104" s="2" t="s">
        <v>41982</v>
      </c>
    </row>
    <row r="1105" spans="1:8" ht="25.05" customHeight="1" x14ac:dyDescent="0.25">
      <c r="A1105" s="2" t="s">
        <v>8</v>
      </c>
      <c r="B1105" s="2" t="str">
        <f>HYPERLINK("http://ts.21cn.com/tousu/show/id/1331578","高利贷")</f>
        <v>高利贷</v>
      </c>
      <c r="C1105" s="2" t="s">
        <v>9</v>
      </c>
      <c r="D1105" s="2" t="s">
        <v>10</v>
      </c>
      <c r="E1105" s="2" t="str">
        <f>HYPERLINK("http://ts.21cn.com/tousu/show/id/1331578","http://ts.21cn.com/tousu/show/id/1331578")</f>
        <v>http://ts.21cn.com/tousu/show/id/1331578</v>
      </c>
      <c r="F1105" s="2" t="s">
        <v>11</v>
      </c>
      <c r="G1105" s="2" t="s">
        <v>41979</v>
      </c>
      <c r="H1105" s="2" t="s">
        <v>41980</v>
      </c>
    </row>
    <row r="1106" spans="1:8" ht="25.05" customHeight="1" x14ac:dyDescent="0.25">
      <c r="A1106" s="2" t="s">
        <v>8</v>
      </c>
      <c r="B1106" s="2" t="str">
        <f>HYPERLINK("http://ts.21cn.com/tousu/show/id/1331579","给我从银行卡里扣了299元")</f>
        <v>给我从银行卡里扣了299元</v>
      </c>
      <c r="C1106" s="2" t="s">
        <v>34</v>
      </c>
      <c r="D1106" s="2" t="s">
        <v>10</v>
      </c>
      <c r="E1106" s="2" t="str">
        <f>HYPERLINK("http://ts.21cn.com/tousu/show/id/1331579","http://ts.21cn.com/tousu/show/id/1331579")</f>
        <v>http://ts.21cn.com/tousu/show/id/1331579</v>
      </c>
      <c r="F1106" s="2" t="s">
        <v>11</v>
      </c>
      <c r="G1106" s="2" t="s">
        <v>41977</v>
      </c>
      <c r="H1106" s="2" t="s">
        <v>41978</v>
      </c>
    </row>
    <row r="1107" spans="1:8" ht="25.05" customHeight="1" x14ac:dyDescent="0.25">
      <c r="A1107" s="2" t="s">
        <v>8</v>
      </c>
      <c r="B1107" s="2" t="str">
        <f>HYPERLINK("http://ts.21cn.com/tousu/show/id/1331580","玖富万卡高利贷胡乱收取费用")</f>
        <v>玖富万卡高利贷胡乱收取费用</v>
      </c>
      <c r="C1107" s="2" t="s">
        <v>9</v>
      </c>
      <c r="D1107" s="2" t="s">
        <v>10</v>
      </c>
      <c r="E1107" s="2" t="str">
        <f>HYPERLINK("http://ts.21cn.com/tousu/show/id/1331580","http://ts.21cn.com/tousu/show/id/1331580")</f>
        <v>http://ts.21cn.com/tousu/show/id/1331580</v>
      </c>
      <c r="F1107" s="2" t="s">
        <v>11</v>
      </c>
      <c r="G1107" s="2" t="s">
        <v>41975</v>
      </c>
      <c r="H1107" s="2" t="s">
        <v>41976</v>
      </c>
    </row>
    <row r="1108" spans="1:8" ht="25.05" customHeight="1" x14ac:dyDescent="0.25">
      <c r="A1108" s="2" t="s">
        <v>8</v>
      </c>
      <c r="B1108" s="2" t="str">
        <f>HYPERLINK("http://ts.21cn.com/tousu/show/id/1331581","高利贷")</f>
        <v>高利贷</v>
      </c>
      <c r="C1108" s="2" t="s">
        <v>9</v>
      </c>
      <c r="D1108" s="2" t="s">
        <v>10</v>
      </c>
      <c r="E1108" s="2" t="str">
        <f>HYPERLINK("http://ts.21cn.com/tousu/show/id/1331581","http://ts.21cn.com/tousu/show/id/1331581")</f>
        <v>http://ts.21cn.com/tousu/show/id/1331581</v>
      </c>
      <c r="F1108" s="2" t="s">
        <v>11</v>
      </c>
      <c r="G1108" s="2" t="s">
        <v>41973</v>
      </c>
      <c r="H1108" s="2" t="s">
        <v>41974</v>
      </c>
    </row>
    <row r="1109" spans="1:8" ht="25.05" customHeight="1" x14ac:dyDescent="0.25">
      <c r="A1109" s="2" t="s">
        <v>8</v>
      </c>
      <c r="B1109" s="2" t="str">
        <f>HYPERLINK("http://ts.21cn.com/tousu/show/id/1331582","卖家找回账号客服导致仲裁失败问题")</f>
        <v>卖家找回账号客服导致仲裁失败问题</v>
      </c>
      <c r="C1109" s="2" t="s">
        <v>34</v>
      </c>
      <c r="D1109" s="2" t="s">
        <v>10</v>
      </c>
      <c r="E1109" s="2" t="str">
        <f>HYPERLINK("http://ts.21cn.com/tousu/show/id/1331582","http://ts.21cn.com/tousu/show/id/1331582")</f>
        <v>http://ts.21cn.com/tousu/show/id/1331582</v>
      </c>
      <c r="F1109" s="2" t="s">
        <v>11</v>
      </c>
      <c r="G1109" s="2" t="s">
        <v>41971</v>
      </c>
      <c r="H1109" s="2" t="s">
        <v>41972</v>
      </c>
    </row>
    <row r="1110" spans="1:8" ht="25.05" customHeight="1" x14ac:dyDescent="0.25">
      <c r="A1110" s="2" t="s">
        <v>8</v>
      </c>
      <c r="B1110" s="2" t="str">
        <f>HYPERLINK("http://ts.21cn.com/tousu/show/id/1331583","有间钱庄APP无法登录，还款未销账")</f>
        <v>有间钱庄APP无法登录，还款未销账</v>
      </c>
      <c r="C1110" s="2" t="s">
        <v>9</v>
      </c>
      <c r="D1110" s="2" t="s">
        <v>10</v>
      </c>
      <c r="E1110" s="2" t="str">
        <f>HYPERLINK("http://ts.21cn.com/tousu/show/id/1331583","http://ts.21cn.com/tousu/show/id/1331583")</f>
        <v>http://ts.21cn.com/tousu/show/id/1331583</v>
      </c>
      <c r="F1110" s="2" t="s">
        <v>11</v>
      </c>
      <c r="G1110" s="2" t="s">
        <v>41969</v>
      </c>
      <c r="H1110" s="2" t="s">
        <v>41970</v>
      </c>
    </row>
    <row r="1111" spans="1:8" ht="25.05" customHeight="1" x14ac:dyDescent="0.25">
      <c r="A1111" s="2" t="s">
        <v>8</v>
      </c>
      <c r="B1111" s="2" t="str">
        <f>HYPERLINK("http://ts.21cn.com/tousu/show/id/1331585","云闪付为涉黑资金提供交易平台")</f>
        <v>云闪付为涉黑资金提供交易平台</v>
      </c>
      <c r="C1111" s="2" t="s">
        <v>9</v>
      </c>
      <c r="D1111" s="2" t="s">
        <v>10</v>
      </c>
      <c r="E1111" s="2" t="str">
        <f>HYPERLINK("http://ts.21cn.com/tousu/show/id/1331585","http://ts.21cn.com/tousu/show/id/1331585")</f>
        <v>http://ts.21cn.com/tousu/show/id/1331585</v>
      </c>
      <c r="F1111" s="2" t="s">
        <v>11</v>
      </c>
      <c r="G1111" s="2" t="s">
        <v>41967</v>
      </c>
      <c r="H1111" s="2" t="s">
        <v>41968</v>
      </c>
    </row>
    <row r="1112" spans="1:8" ht="25.05" customHeight="1" x14ac:dyDescent="0.25">
      <c r="A1112" s="2" t="s">
        <v>8</v>
      </c>
      <c r="B1112" s="2" t="str">
        <f>HYPERLINK("http://ts.21cn.com/tousu/show/id/1331584","中腾信无限骚扰给正常工作生活带来了很大的困扰")</f>
        <v>中腾信无限骚扰给正常工作生活带来了很大的困扰</v>
      </c>
      <c r="C1112" s="2" t="s">
        <v>9</v>
      </c>
      <c r="D1112" s="2" t="s">
        <v>10</v>
      </c>
      <c r="E1112" s="2" t="str">
        <f>HYPERLINK("http://ts.21cn.com/tousu/show/id/1331584","http://ts.21cn.com/tousu/show/id/1331584")</f>
        <v>http://ts.21cn.com/tousu/show/id/1331584</v>
      </c>
      <c r="F1112" s="2" t="s">
        <v>11</v>
      </c>
      <c r="G1112" s="2" t="s">
        <v>41965</v>
      </c>
      <c r="H1112" s="2" t="s">
        <v>41966</v>
      </c>
    </row>
    <row r="1113" spans="1:8" ht="25.05" customHeight="1" x14ac:dyDescent="0.25">
      <c r="A1113" s="2" t="s">
        <v>8</v>
      </c>
      <c r="B1113" s="2" t="str">
        <f>HYPERLINK("http://ts.21cn.com/tousu/show/id/1331586","中国移动欺诈强迫消费")</f>
        <v>中国移动欺诈强迫消费</v>
      </c>
      <c r="C1113" s="2" t="s">
        <v>9</v>
      </c>
      <c r="D1113" s="2" t="s">
        <v>10</v>
      </c>
      <c r="E1113" s="2" t="str">
        <f>HYPERLINK("http://ts.21cn.com/tousu/show/id/1331586","http://ts.21cn.com/tousu/show/id/1331586")</f>
        <v>http://ts.21cn.com/tousu/show/id/1331586</v>
      </c>
      <c r="F1113" s="2" t="s">
        <v>11</v>
      </c>
      <c r="G1113" s="2" t="s">
        <v>41963</v>
      </c>
      <c r="H1113" s="2" t="s">
        <v>41964</v>
      </c>
    </row>
    <row r="1114" spans="1:8" ht="25.05" customHeight="1" x14ac:dyDescent="0.25">
      <c r="A1114" s="2" t="s">
        <v>8</v>
      </c>
      <c r="B1114" s="2" t="str">
        <f>HYPERLINK("http://ts.21cn.com/tousu/show/id/1331587","淘宝信息层面判断出售假冒盗版商品，我有自己的版权，我有自己的版权申诉不给通过，申诉的每一步我都是打淘宝客服电话咨询了的")</f>
        <v>淘宝信息层面判断出售假冒盗版商品，我有自己的版权，我有自己的版权申诉不给通过，申诉的每一步我都是打淘宝客服电话咨询了的</v>
      </c>
      <c r="C1114" s="2" t="s">
        <v>9</v>
      </c>
      <c r="D1114" s="2" t="s">
        <v>10</v>
      </c>
      <c r="E1114" s="2" t="str">
        <f>HYPERLINK("http://ts.21cn.com/tousu/show/id/1331587","http://ts.21cn.com/tousu/show/id/1331587")</f>
        <v>http://ts.21cn.com/tousu/show/id/1331587</v>
      </c>
      <c r="F1114" s="2" t="s">
        <v>11</v>
      </c>
      <c r="G1114" s="2" t="s">
        <v>41961</v>
      </c>
      <c r="H1114" s="2" t="s">
        <v>41962</v>
      </c>
    </row>
    <row r="1115" spans="1:8" ht="25.05" customHeight="1" x14ac:dyDescent="0.25">
      <c r="A1115" s="2" t="s">
        <v>8</v>
      </c>
      <c r="B1115" s="2" t="str">
        <f>HYPERLINK("http://ts.21cn.com/tousu/show/id/1331589","川程扣款没理由")</f>
        <v>川程扣款没理由</v>
      </c>
      <c r="C1115" s="2" t="s">
        <v>34</v>
      </c>
      <c r="D1115" s="2" t="s">
        <v>10</v>
      </c>
      <c r="E1115" s="2" t="str">
        <f>HYPERLINK("http://ts.21cn.com/tousu/show/id/1331589","http://ts.21cn.com/tousu/show/id/1331589")</f>
        <v>http://ts.21cn.com/tousu/show/id/1331589</v>
      </c>
      <c r="F1115" s="2" t="s">
        <v>11</v>
      </c>
      <c r="G1115" s="2" t="s">
        <v>41959</v>
      </c>
      <c r="H1115" s="2" t="s">
        <v>41960</v>
      </c>
    </row>
    <row r="1116" spans="1:8" ht="25.05" customHeight="1" x14ac:dyDescent="0.25">
      <c r="A1116" s="2" t="s">
        <v>8</v>
      </c>
      <c r="B1116" s="2" t="str">
        <f>HYPERLINK("http://ts.21cn.com/tousu/show/id/1331591","钱站高利贷阴阳合同")</f>
        <v>钱站高利贷阴阳合同</v>
      </c>
      <c r="C1116" s="2" t="s">
        <v>9</v>
      </c>
      <c r="D1116" s="2" t="s">
        <v>10</v>
      </c>
      <c r="E1116" s="2" t="str">
        <f>HYPERLINK("http://ts.21cn.com/tousu/show/id/1331591","http://ts.21cn.com/tousu/show/id/1331591")</f>
        <v>http://ts.21cn.com/tousu/show/id/1331591</v>
      </c>
      <c r="F1116" s="2" t="s">
        <v>11</v>
      </c>
      <c r="G1116" s="2" t="s">
        <v>41957</v>
      </c>
      <c r="H1116" s="2" t="s">
        <v>41958</v>
      </c>
    </row>
    <row r="1117" spans="1:8" ht="25.05" customHeight="1" x14ac:dyDescent="0.25">
      <c r="A1117" s="2" t="s">
        <v>8</v>
      </c>
      <c r="B1117" s="2" t="str">
        <f>HYPERLINK("http://ts.21cn.com/tousu/show/id/1331592","建行被中金金融无故扣钱")</f>
        <v>建行被中金金融无故扣钱</v>
      </c>
      <c r="C1117" s="2" t="s">
        <v>34</v>
      </c>
      <c r="D1117" s="2" t="s">
        <v>10</v>
      </c>
      <c r="E1117" s="2" t="str">
        <f>HYPERLINK("http://ts.21cn.com/tousu/show/id/1331592","http://ts.21cn.com/tousu/show/id/1331592")</f>
        <v>http://ts.21cn.com/tousu/show/id/1331592</v>
      </c>
      <c r="F1117" s="2" t="s">
        <v>11</v>
      </c>
      <c r="G1117" s="2" t="s">
        <v>41955</v>
      </c>
      <c r="H1117" s="2" t="s">
        <v>41956</v>
      </c>
    </row>
    <row r="1118" spans="1:8" ht="25.05" customHeight="1" x14ac:dyDescent="0.25">
      <c r="A1118" s="2" t="s">
        <v>8</v>
      </c>
      <c r="B1118" s="2" t="str">
        <f>HYPERLINK("http://ts.21cn.com/tousu/show/id/1331593","自由魔卡超级马力贷砍头息高利贷")</f>
        <v>自由魔卡超级马力贷砍头息高利贷</v>
      </c>
      <c r="C1118" s="2" t="s">
        <v>9</v>
      </c>
      <c r="D1118" s="2" t="s">
        <v>10</v>
      </c>
      <c r="E1118" s="2" t="str">
        <f>HYPERLINK("http://ts.21cn.com/tousu/show/id/1331593","http://ts.21cn.com/tousu/show/id/1331593")</f>
        <v>http://ts.21cn.com/tousu/show/id/1331593</v>
      </c>
      <c r="F1118" s="2" t="s">
        <v>11</v>
      </c>
      <c r="G1118" s="2" t="s">
        <v>41953</v>
      </c>
      <c r="H1118" s="2" t="s">
        <v>41954</v>
      </c>
    </row>
    <row r="1119" spans="1:8" ht="25.05" customHeight="1" x14ac:dyDescent="0.25">
      <c r="A1119" s="2" t="s">
        <v>8</v>
      </c>
      <c r="B1119" s="2" t="str">
        <f>HYPERLINK("http://ts.21cn.com/tousu/show/id/1331594","美团外卖点的毛豆中吃出虫子，美团外卖无视投诉，不予回复")</f>
        <v>美团外卖点的毛豆中吃出虫子，美团外卖无视投诉，不予回复</v>
      </c>
      <c r="C1119" s="2" t="s">
        <v>9</v>
      </c>
      <c r="D1119" s="2" t="s">
        <v>10</v>
      </c>
      <c r="E1119" s="2" t="str">
        <f>HYPERLINK("http://ts.21cn.com/tousu/show/id/1331594","http://ts.21cn.com/tousu/show/id/1331594")</f>
        <v>http://ts.21cn.com/tousu/show/id/1331594</v>
      </c>
      <c r="F1119" s="2" t="s">
        <v>11</v>
      </c>
      <c r="G1119" s="2" t="s">
        <v>41951</v>
      </c>
      <c r="H1119" s="2" t="s">
        <v>41952</v>
      </c>
    </row>
    <row r="1120" spans="1:8" ht="25.05" customHeight="1" x14ac:dyDescent="0.25">
      <c r="A1120" s="2" t="s">
        <v>8</v>
      </c>
      <c r="B1120" s="2" t="str">
        <f>HYPERLINK("http://ts.21cn.com/tousu/show/id/1331595","玖富万卡还一年了利息都没有还完")</f>
        <v>玖富万卡还一年了利息都没有还完</v>
      </c>
      <c r="C1120" s="2" t="s">
        <v>34</v>
      </c>
      <c r="D1120" s="2" t="s">
        <v>10</v>
      </c>
      <c r="E1120" s="2" t="str">
        <f>HYPERLINK("http://ts.21cn.com/tousu/show/id/1331595","http://ts.21cn.com/tousu/show/id/1331595")</f>
        <v>http://ts.21cn.com/tousu/show/id/1331595</v>
      </c>
      <c r="F1120" s="2" t="s">
        <v>11</v>
      </c>
      <c r="G1120" s="2" t="s">
        <v>41949</v>
      </c>
      <c r="H1120" s="2" t="s">
        <v>41950</v>
      </c>
    </row>
    <row r="1121" spans="1:8" ht="25.05" customHeight="1" x14ac:dyDescent="0.25">
      <c r="A1121" s="2" t="s">
        <v>8</v>
      </c>
      <c r="B1121" s="2" t="str">
        <f>HYPERLINK("http://ts.21cn.com/tousu/show/id/1331596","退还寿险和灵活包费用")</f>
        <v>退还寿险和灵活包费用</v>
      </c>
      <c r="C1121" s="2" t="s">
        <v>9</v>
      </c>
      <c r="D1121" s="2" t="s">
        <v>10</v>
      </c>
      <c r="E1121" s="2" t="str">
        <f>HYPERLINK("http://ts.21cn.com/tousu/show/id/1331596","http://ts.21cn.com/tousu/show/id/1331596")</f>
        <v>http://ts.21cn.com/tousu/show/id/1331596</v>
      </c>
      <c r="F1121" s="2" t="s">
        <v>11</v>
      </c>
      <c r="G1121" s="2" t="s">
        <v>41947</v>
      </c>
      <c r="H1121" s="2" t="s">
        <v>41948</v>
      </c>
    </row>
    <row r="1122" spans="1:8" ht="25.05" customHeight="1" x14ac:dyDescent="0.25">
      <c r="A1122" s="2" t="s">
        <v>8</v>
      </c>
      <c r="B1122" s="2" t="str">
        <f>HYPERLINK("http://ts.21cn.com/tousu/show/id/1331600","9月13在交易猫购买的csgo账号，20号左右给卖家找回，我已经购买保险，结果交易猫拿了保险钱根本不理你，连个人工都没有")</f>
        <v>9月13在交易猫购买的csgo账号，20号左右给卖家找回，我已经购买保险，结果交易猫拿了保险钱根本不理你，连个人工都没有</v>
      </c>
      <c r="C1122" s="2" t="s">
        <v>9</v>
      </c>
      <c r="D1122" s="2" t="s">
        <v>10</v>
      </c>
      <c r="E1122" s="2" t="str">
        <f>HYPERLINK("http://ts.21cn.com/tousu/show/id/1331600","http://ts.21cn.com/tousu/show/id/1331600")</f>
        <v>http://ts.21cn.com/tousu/show/id/1331600</v>
      </c>
      <c r="F1122" s="2" t="s">
        <v>11</v>
      </c>
      <c r="G1122" s="2" t="s">
        <v>41945</v>
      </c>
      <c r="H1122" s="2" t="s">
        <v>41946</v>
      </c>
    </row>
    <row r="1123" spans="1:8" ht="25.05" customHeight="1" x14ac:dyDescent="0.25">
      <c r="A1123" s="2" t="s">
        <v>8</v>
      </c>
      <c r="B1123" s="2" t="str">
        <f>HYPERLINK("http://ts.21cn.com/tousu/show/id/1331601","恶意收取保险费自己高利贷行为")</f>
        <v>恶意收取保险费自己高利贷行为</v>
      </c>
      <c r="C1123" s="2" t="s">
        <v>9</v>
      </c>
      <c r="D1123" s="2" t="s">
        <v>10</v>
      </c>
      <c r="E1123" s="2" t="str">
        <f>HYPERLINK("http://ts.21cn.com/tousu/show/id/1331601","http://ts.21cn.com/tousu/show/id/1331601")</f>
        <v>http://ts.21cn.com/tousu/show/id/1331601</v>
      </c>
      <c r="F1123" s="2" t="s">
        <v>11</v>
      </c>
      <c r="G1123" s="2" t="s">
        <v>41943</v>
      </c>
      <c r="H1123" s="2" t="s">
        <v>41944</v>
      </c>
    </row>
    <row r="1124" spans="1:8" ht="25.05" customHeight="1" x14ac:dyDescent="0.25">
      <c r="A1124" s="2" t="s">
        <v>8</v>
      </c>
      <c r="B1124" s="2" t="str">
        <f>HYPERLINK("http://ts.21cn.com/tousu/show/id/1331602","共享洗衣机故障")</f>
        <v>共享洗衣机故障</v>
      </c>
      <c r="C1124" s="2" t="s">
        <v>34</v>
      </c>
      <c r="D1124" s="2" t="s">
        <v>10</v>
      </c>
      <c r="E1124" s="2" t="str">
        <f>HYPERLINK("http://ts.21cn.com/tousu/show/id/1331602","http://ts.21cn.com/tousu/show/id/1331602")</f>
        <v>http://ts.21cn.com/tousu/show/id/1331602</v>
      </c>
      <c r="F1124" s="2" t="s">
        <v>11</v>
      </c>
      <c r="G1124" s="2" t="s">
        <v>41941</v>
      </c>
      <c r="H1124" s="2" t="s">
        <v>41942</v>
      </c>
    </row>
    <row r="1125" spans="1:8" ht="25.05" customHeight="1" x14ac:dyDescent="0.25">
      <c r="A1125" s="2" t="s">
        <v>8</v>
      </c>
      <c r="B1125" s="2" t="str">
        <f>HYPERLINK("http://ts.21cn.com/tousu/show/id/1331603","钱包易贷砍头息")</f>
        <v>钱包易贷砍头息</v>
      </c>
      <c r="C1125" s="2" t="s">
        <v>34</v>
      </c>
      <c r="D1125" s="2" t="s">
        <v>10</v>
      </c>
      <c r="E1125" s="2" t="str">
        <f>HYPERLINK("http://ts.21cn.com/tousu/show/id/1331603","http://ts.21cn.com/tousu/show/id/1331603")</f>
        <v>http://ts.21cn.com/tousu/show/id/1331603</v>
      </c>
      <c r="F1125" s="2" t="s">
        <v>11</v>
      </c>
      <c r="G1125" s="2" t="s">
        <v>41939</v>
      </c>
      <c r="H1125" s="2" t="s">
        <v>41940</v>
      </c>
    </row>
    <row r="1126" spans="1:8" ht="25.05" customHeight="1" x14ac:dyDescent="0.25">
      <c r="A1126" s="2" t="s">
        <v>8</v>
      </c>
      <c r="B1126" s="2" t="str">
        <f>HYPERLINK("http://ts.21cn.com/tousu/show/id/1331590","违反合同条款")</f>
        <v>违反合同条款</v>
      </c>
      <c r="C1126" s="2" t="s">
        <v>9</v>
      </c>
      <c r="D1126" s="2" t="s">
        <v>10</v>
      </c>
      <c r="E1126" s="2" t="str">
        <f>HYPERLINK("http://ts.21cn.com/tousu/show/id/1331590","http://ts.21cn.com/tousu/show/id/1331590")</f>
        <v>http://ts.21cn.com/tousu/show/id/1331590</v>
      </c>
      <c r="F1126" s="2" t="s">
        <v>11</v>
      </c>
      <c r="G1126" s="2" t="s">
        <v>41937</v>
      </c>
      <c r="H1126" s="2" t="s">
        <v>41938</v>
      </c>
    </row>
    <row r="1127" spans="1:8" ht="25.05" customHeight="1" x14ac:dyDescent="0.25">
      <c r="A1127" s="2" t="s">
        <v>8</v>
      </c>
      <c r="B1127" s="2" t="str">
        <f>HYPERLINK("http://ts.21cn.com/tousu/show/id/1331604","捷信分期骚扰和恐吓我的家人")</f>
        <v>捷信分期骚扰和恐吓我的家人</v>
      </c>
      <c r="C1127" s="2" t="s">
        <v>9</v>
      </c>
      <c r="D1127" s="2" t="s">
        <v>10</v>
      </c>
      <c r="E1127" s="2" t="str">
        <f>HYPERLINK("http://ts.21cn.com/tousu/show/id/1331604","http://ts.21cn.com/tousu/show/id/1331604")</f>
        <v>http://ts.21cn.com/tousu/show/id/1331604</v>
      </c>
      <c r="F1127" s="2" t="s">
        <v>11</v>
      </c>
      <c r="G1127" s="2" t="s">
        <v>41935</v>
      </c>
      <c r="H1127" s="2" t="s">
        <v>41936</v>
      </c>
    </row>
    <row r="1128" spans="1:8" ht="25.05" customHeight="1" x14ac:dyDescent="0.25">
      <c r="A1128" s="2" t="s">
        <v>8</v>
      </c>
      <c r="B1128" s="2" t="str">
        <f>HYPERLINK("http://ts.21cn.com/tousu/show/id/1331605","投诉钱站")</f>
        <v>投诉钱站</v>
      </c>
      <c r="C1128" s="2" t="s">
        <v>9</v>
      </c>
      <c r="D1128" s="2" t="s">
        <v>10</v>
      </c>
      <c r="E1128" s="2" t="str">
        <f>HYPERLINK("http://ts.21cn.com/tousu/show/id/1331605","http://ts.21cn.com/tousu/show/id/1331605")</f>
        <v>http://ts.21cn.com/tousu/show/id/1331605</v>
      </c>
      <c r="F1128" s="2" t="s">
        <v>11</v>
      </c>
      <c r="G1128" s="2" t="s">
        <v>41933</v>
      </c>
      <c r="H1128" s="2" t="s">
        <v>41934</v>
      </c>
    </row>
    <row r="1129" spans="1:8" ht="25.05" customHeight="1" x14ac:dyDescent="0.25">
      <c r="A1129" s="2" t="s">
        <v>8</v>
      </c>
      <c r="B1129" s="2" t="str">
        <f>HYPERLINK("http://ts.21cn.com/tousu/show/id/1331606","山东济宁朝夕情感虚假宣传，诱导消费。")</f>
        <v>山东济宁朝夕情感虚假宣传，诱导消费。</v>
      </c>
      <c r="C1129" s="2" t="s">
        <v>9</v>
      </c>
      <c r="D1129" s="2" t="s">
        <v>10</v>
      </c>
      <c r="E1129" s="2" t="str">
        <f>HYPERLINK("http://ts.21cn.com/tousu/show/id/1331606","http://ts.21cn.com/tousu/show/id/1331606")</f>
        <v>http://ts.21cn.com/tousu/show/id/1331606</v>
      </c>
      <c r="F1129" s="2" t="s">
        <v>11</v>
      </c>
      <c r="G1129" s="2" t="s">
        <v>41932</v>
      </c>
      <c r="H1129" s="2" t="s">
        <v>41037</v>
      </c>
    </row>
    <row r="1130" spans="1:8" ht="25.05" customHeight="1" x14ac:dyDescent="0.25">
      <c r="A1130" s="2" t="s">
        <v>8</v>
      </c>
      <c r="B1130" s="2" t="str">
        <f>HYPERLINK("http://ts.21cn.com/tousu/show/id/1331607","联通专门设坑套路老百姓")</f>
        <v>联通专门设坑套路老百姓</v>
      </c>
      <c r="C1130" s="2" t="s">
        <v>9</v>
      </c>
      <c r="D1130" s="2" t="s">
        <v>10</v>
      </c>
      <c r="E1130" s="2" t="str">
        <f>HYPERLINK("http://ts.21cn.com/tousu/show/id/1331607","http://ts.21cn.com/tousu/show/id/1331607")</f>
        <v>http://ts.21cn.com/tousu/show/id/1331607</v>
      </c>
      <c r="F1130" s="2" t="s">
        <v>11</v>
      </c>
      <c r="G1130" s="2" t="s">
        <v>41930</v>
      </c>
      <c r="H1130" s="2" t="s">
        <v>41931</v>
      </c>
    </row>
    <row r="1131" spans="1:8" ht="25.05" customHeight="1" x14ac:dyDescent="0.25">
      <c r="A1131" s="2" t="s">
        <v>8</v>
      </c>
      <c r="B1131" s="2" t="str">
        <f>HYPERLINK("http://ts.21cn.com/tousu/show/id/1331609","京东买ipad不发货")</f>
        <v>京东买ipad不发货</v>
      </c>
      <c r="C1131" s="2" t="s">
        <v>9</v>
      </c>
      <c r="D1131" s="2" t="s">
        <v>10</v>
      </c>
      <c r="E1131" s="2" t="str">
        <f>HYPERLINK("http://ts.21cn.com/tousu/show/id/1331609","http://ts.21cn.com/tousu/show/id/1331609")</f>
        <v>http://ts.21cn.com/tousu/show/id/1331609</v>
      </c>
      <c r="F1131" s="2" t="s">
        <v>11</v>
      </c>
      <c r="G1131" s="2" t="s">
        <v>41928</v>
      </c>
      <c r="H1131" s="2" t="s">
        <v>41929</v>
      </c>
    </row>
    <row r="1132" spans="1:8" ht="25.05" customHeight="1" x14ac:dyDescent="0.25">
      <c r="A1132" s="2" t="s">
        <v>8</v>
      </c>
      <c r="B1132" s="2" t="str">
        <f>HYPERLINK("http://ts.21cn.com/tousu/show/id/1331611","立借平台大麦游砍头息")</f>
        <v>立借平台大麦游砍头息</v>
      </c>
      <c r="C1132" s="2" t="s">
        <v>9</v>
      </c>
      <c r="D1132" s="2" t="s">
        <v>10</v>
      </c>
      <c r="E1132" s="2" t="str">
        <f>HYPERLINK("http://ts.21cn.com/tousu/show/id/1331611","http://ts.21cn.com/tousu/show/id/1331611")</f>
        <v>http://ts.21cn.com/tousu/show/id/1331611</v>
      </c>
      <c r="F1132" s="2" t="s">
        <v>11</v>
      </c>
      <c r="G1132" s="2" t="s">
        <v>41926</v>
      </c>
      <c r="H1132" s="2" t="s">
        <v>41927</v>
      </c>
    </row>
    <row r="1133" spans="1:8" ht="25.05" customHeight="1" x14ac:dyDescent="0.25">
      <c r="A1133" s="2" t="s">
        <v>8</v>
      </c>
      <c r="B1133" s="2" t="str">
        <f>HYPERLINK("http://ts.21cn.com/tousu/show/id/1331610","交通信用卡不让用了")</f>
        <v>交通信用卡不让用了</v>
      </c>
      <c r="C1133" s="2" t="s">
        <v>9</v>
      </c>
      <c r="D1133" s="2" t="s">
        <v>10</v>
      </c>
      <c r="E1133" s="2" t="str">
        <f>HYPERLINK("http://ts.21cn.com/tousu/show/id/1331610","http://ts.21cn.com/tousu/show/id/1331610")</f>
        <v>http://ts.21cn.com/tousu/show/id/1331610</v>
      </c>
      <c r="F1133" s="2" t="s">
        <v>11</v>
      </c>
      <c r="G1133" s="2" t="s">
        <v>41924</v>
      </c>
      <c r="H1133" s="2" t="s">
        <v>41925</v>
      </c>
    </row>
    <row r="1134" spans="1:8" ht="25.05" customHeight="1" x14ac:dyDescent="0.25">
      <c r="A1134" s="2" t="s">
        <v>8</v>
      </c>
      <c r="B1134" s="2" t="str">
        <f>HYPERLINK("http://ts.21cn.com/tousu/show/id/1331612","中腾信高利贷威胁")</f>
        <v>中腾信高利贷威胁</v>
      </c>
      <c r="C1134" s="2" t="s">
        <v>9</v>
      </c>
      <c r="D1134" s="2" t="s">
        <v>10</v>
      </c>
      <c r="E1134" s="2" t="str">
        <f>HYPERLINK("http://ts.21cn.com/tousu/show/id/1331612","http://ts.21cn.com/tousu/show/id/1331612")</f>
        <v>http://ts.21cn.com/tousu/show/id/1331612</v>
      </c>
      <c r="F1134" s="2" t="s">
        <v>11</v>
      </c>
      <c r="G1134" s="2" t="s">
        <v>41922</v>
      </c>
      <c r="H1134" s="2" t="s">
        <v>41923</v>
      </c>
    </row>
    <row r="1135" spans="1:8" ht="25.05" customHeight="1" x14ac:dyDescent="0.25">
      <c r="A1135" s="2" t="s">
        <v>8</v>
      </c>
      <c r="B1135" s="2" t="str">
        <f>HYPERLINK("http://ts.21cn.com/tousu/show/id/1331613","平安普惠暴力催收，狂轰乱炸")</f>
        <v>平安普惠暴力催收，狂轰乱炸</v>
      </c>
      <c r="C1135" s="2" t="s">
        <v>9</v>
      </c>
      <c r="D1135" s="2" t="s">
        <v>10</v>
      </c>
      <c r="E1135" s="2" t="str">
        <f>HYPERLINK("http://ts.21cn.com/tousu/show/id/1331613","http://ts.21cn.com/tousu/show/id/1331613")</f>
        <v>http://ts.21cn.com/tousu/show/id/1331613</v>
      </c>
      <c r="F1135" s="2" t="s">
        <v>11</v>
      </c>
      <c r="G1135" s="2" t="s">
        <v>41920</v>
      </c>
      <c r="H1135" s="2" t="s">
        <v>41921</v>
      </c>
    </row>
    <row r="1136" spans="1:8" ht="25.05" customHeight="1" x14ac:dyDescent="0.25">
      <c r="A1136" s="2" t="s">
        <v>8</v>
      </c>
      <c r="B1136" s="2" t="str">
        <f>HYPERLINK("http://ts.21cn.com/tousu/show/id/1331614","京东交了会员一直领不到任何优惠券")</f>
        <v>京东交了会员一直领不到任何优惠券</v>
      </c>
      <c r="C1136" s="2" t="s">
        <v>34</v>
      </c>
      <c r="D1136" s="2" t="s">
        <v>10</v>
      </c>
      <c r="E1136" s="2" t="str">
        <f>HYPERLINK("http://ts.21cn.com/tousu/show/id/1331614","http://ts.21cn.com/tousu/show/id/1331614")</f>
        <v>http://ts.21cn.com/tousu/show/id/1331614</v>
      </c>
      <c r="F1136" s="2" t="s">
        <v>11</v>
      </c>
      <c r="G1136" s="2" t="s">
        <v>41918</v>
      </c>
      <c r="H1136" s="2" t="s">
        <v>41919</v>
      </c>
    </row>
    <row r="1137" spans="1:8" ht="25.05" customHeight="1" x14ac:dyDescent="0.25">
      <c r="A1137" s="2" t="s">
        <v>8</v>
      </c>
      <c r="B1137" s="2" t="str">
        <f>HYPERLINK("http://ts.21cn.com/tousu/show/id/1331615","强制购买保险以及高利贷行为")</f>
        <v>强制购买保险以及高利贷行为</v>
      </c>
      <c r="C1137" s="2" t="s">
        <v>9</v>
      </c>
      <c r="D1137" s="2" t="s">
        <v>10</v>
      </c>
      <c r="E1137" s="2" t="str">
        <f>HYPERLINK("http://ts.21cn.com/tousu/show/id/1331615","http://ts.21cn.com/tousu/show/id/1331615")</f>
        <v>http://ts.21cn.com/tousu/show/id/1331615</v>
      </c>
      <c r="F1137" s="2" t="s">
        <v>11</v>
      </c>
      <c r="G1137" s="2" t="s">
        <v>41916</v>
      </c>
      <c r="H1137" s="2" t="s">
        <v>41917</v>
      </c>
    </row>
    <row r="1138" spans="1:8" ht="25.05" customHeight="1" x14ac:dyDescent="0.25">
      <c r="A1138" s="2" t="s">
        <v>8</v>
      </c>
      <c r="B1138" s="2" t="str">
        <f>HYPERLINK("http://ts.21cn.com/tousu/show/id/1331617","超利贷")</f>
        <v>超利贷</v>
      </c>
      <c r="C1138" s="2" t="s">
        <v>34</v>
      </c>
      <c r="D1138" s="2" t="s">
        <v>10</v>
      </c>
      <c r="E1138" s="2" t="str">
        <f>HYPERLINK("http://ts.21cn.com/tousu/show/id/1331617","http://ts.21cn.com/tousu/show/id/1331617")</f>
        <v>http://ts.21cn.com/tousu/show/id/1331617</v>
      </c>
      <c r="F1138" s="2" t="s">
        <v>11</v>
      </c>
      <c r="G1138" s="2" t="s">
        <v>41914</v>
      </c>
      <c r="H1138" s="2" t="s">
        <v>41915</v>
      </c>
    </row>
    <row r="1139" spans="1:8" ht="25.05" customHeight="1" x14ac:dyDescent="0.25">
      <c r="A1139" s="2" t="s">
        <v>8</v>
      </c>
      <c r="B1139" s="2" t="str">
        <f>HYPERLINK("http://ts.21cn.com/tousu/show/id/1331616","小象优品,威胁暴力催收,盗取用户信息,征信问题,高利贷")</f>
        <v>小象优品,威胁暴力催收,盗取用户信息,征信问题,高利贷</v>
      </c>
      <c r="C1139" s="2" t="s">
        <v>9</v>
      </c>
      <c r="D1139" s="2" t="s">
        <v>10</v>
      </c>
      <c r="E1139" s="2" t="str">
        <f>HYPERLINK("http://ts.21cn.com/tousu/show/id/1331616","http://ts.21cn.com/tousu/show/id/1331616")</f>
        <v>http://ts.21cn.com/tousu/show/id/1331616</v>
      </c>
      <c r="F1139" s="2" t="s">
        <v>11</v>
      </c>
      <c r="G1139" s="2" t="s">
        <v>41912</v>
      </c>
      <c r="H1139" s="2" t="s">
        <v>41913</v>
      </c>
    </row>
    <row r="1140" spans="1:8" ht="25.05" customHeight="1" x14ac:dyDescent="0.25">
      <c r="A1140" s="2" t="s">
        <v>8</v>
      </c>
      <c r="B1140" s="2" t="str">
        <f>HYPERLINK("http://ts.21cn.com/tousu/show/id/1331618","钱站高利贷阴阳合同")</f>
        <v>钱站高利贷阴阳合同</v>
      </c>
      <c r="C1140" s="2" t="s">
        <v>9</v>
      </c>
      <c r="D1140" s="2" t="s">
        <v>10</v>
      </c>
      <c r="E1140" s="2" t="str">
        <f>HYPERLINK("http://ts.21cn.com/tousu/show/id/1331618","http://ts.21cn.com/tousu/show/id/1331618")</f>
        <v>http://ts.21cn.com/tousu/show/id/1331618</v>
      </c>
      <c r="F1140" s="2" t="s">
        <v>11</v>
      </c>
      <c r="G1140" s="2" t="s">
        <v>41910</v>
      </c>
      <c r="H1140" s="2" t="s">
        <v>41911</v>
      </c>
    </row>
    <row r="1141" spans="1:8" ht="25.05" customHeight="1" x14ac:dyDescent="0.25">
      <c r="A1141" s="2" t="s">
        <v>8</v>
      </c>
      <c r="B1141" s="2" t="str">
        <f>HYPERLINK("http://ts.21cn.com/tousu/show/id/1331619","支付0元被扣168元，有缘在线")</f>
        <v>支付0元被扣168元，有缘在线</v>
      </c>
      <c r="C1141" s="2" t="s">
        <v>34</v>
      </c>
      <c r="D1141" s="2" t="s">
        <v>10</v>
      </c>
      <c r="E1141" s="2" t="str">
        <f>HYPERLINK("http://ts.21cn.com/tousu/show/id/1331619","http://ts.21cn.com/tousu/show/id/1331619")</f>
        <v>http://ts.21cn.com/tousu/show/id/1331619</v>
      </c>
      <c r="F1141" s="2" t="s">
        <v>11</v>
      </c>
      <c r="G1141" s="2" t="s">
        <v>41908</v>
      </c>
      <c r="H1141" s="2" t="s">
        <v>41909</v>
      </c>
    </row>
    <row r="1142" spans="1:8" ht="25.05" customHeight="1" x14ac:dyDescent="0.25">
      <c r="A1142" s="2" t="s">
        <v>8</v>
      </c>
      <c r="B1142" s="2" t="str">
        <f>HYPERLINK("http://ts.21cn.com/tousu/show/id/1331620","瑞银信pos机刷卡不到账")</f>
        <v>瑞银信pos机刷卡不到账</v>
      </c>
      <c r="C1142" s="2" t="s">
        <v>34</v>
      </c>
      <c r="D1142" s="2" t="s">
        <v>10</v>
      </c>
      <c r="E1142" s="2" t="str">
        <f>HYPERLINK("http://ts.21cn.com/tousu/show/id/1331620","http://ts.21cn.com/tousu/show/id/1331620")</f>
        <v>http://ts.21cn.com/tousu/show/id/1331620</v>
      </c>
      <c r="F1142" s="2" t="s">
        <v>11</v>
      </c>
      <c r="G1142" s="2" t="s">
        <v>41906</v>
      </c>
      <c r="H1142" s="2" t="s">
        <v>41907</v>
      </c>
    </row>
    <row r="1143" spans="1:8" ht="25.05" customHeight="1" x14ac:dyDescent="0.25">
      <c r="A1143" s="2" t="s">
        <v>8</v>
      </c>
      <c r="B1143" s="2" t="str">
        <f>HYPERLINK("http://ts.21cn.com/tousu/show/id/1331621","钱站借3000要还6000")</f>
        <v>钱站借3000要还6000</v>
      </c>
      <c r="C1143" s="2" t="s">
        <v>9</v>
      </c>
      <c r="D1143" s="2" t="s">
        <v>10</v>
      </c>
      <c r="E1143" s="2" t="str">
        <f>HYPERLINK("http://ts.21cn.com/tousu/show/id/1331621","http://ts.21cn.com/tousu/show/id/1331621")</f>
        <v>http://ts.21cn.com/tousu/show/id/1331621</v>
      </c>
      <c r="F1143" s="2" t="s">
        <v>11</v>
      </c>
      <c r="G1143" s="2" t="s">
        <v>41904</v>
      </c>
      <c r="H1143" s="2" t="s">
        <v>41905</v>
      </c>
    </row>
    <row r="1144" spans="1:8" ht="25.05" customHeight="1" x14ac:dyDescent="0.25">
      <c r="A1144" s="2" t="s">
        <v>8</v>
      </c>
      <c r="B1144" s="2" t="str">
        <f>HYPERLINK("http://ts.21cn.com/tousu/show/id/1331622","滴滴未乘车收取车费，司机提前结算")</f>
        <v>滴滴未乘车收取车费，司机提前结算</v>
      </c>
      <c r="C1144" s="2" t="s">
        <v>9</v>
      </c>
      <c r="D1144" s="2" t="s">
        <v>10</v>
      </c>
      <c r="E1144" s="2" t="str">
        <f>HYPERLINK("http://ts.21cn.com/tousu/show/id/1331622","http://ts.21cn.com/tousu/show/id/1331622")</f>
        <v>http://ts.21cn.com/tousu/show/id/1331622</v>
      </c>
      <c r="F1144" s="2" t="s">
        <v>11</v>
      </c>
      <c r="G1144" s="2" t="s">
        <v>41902</v>
      </c>
      <c r="H1144" s="2" t="s">
        <v>41903</v>
      </c>
    </row>
    <row r="1145" spans="1:8" ht="25.05" customHeight="1" x14ac:dyDescent="0.25">
      <c r="A1145" s="2" t="s">
        <v>8</v>
      </c>
      <c r="B1145" s="2" t="str">
        <f>HYPERLINK("http://ts.21cn.com/tousu/show/id/1331623","维信卡卡贷收取高额利息费")</f>
        <v>维信卡卡贷收取高额利息费</v>
      </c>
      <c r="C1145" s="2" t="s">
        <v>9</v>
      </c>
      <c r="D1145" s="2" t="s">
        <v>10</v>
      </c>
      <c r="E1145" s="2" t="str">
        <f>HYPERLINK("http://ts.21cn.com/tousu/show/id/1331623","http://ts.21cn.com/tousu/show/id/1331623")</f>
        <v>http://ts.21cn.com/tousu/show/id/1331623</v>
      </c>
      <c r="F1145" s="2" t="s">
        <v>11</v>
      </c>
      <c r="G1145" s="2" t="s">
        <v>41900</v>
      </c>
      <c r="H1145" s="2" t="s">
        <v>41901</v>
      </c>
    </row>
    <row r="1146" spans="1:8" ht="25.05" customHeight="1" x14ac:dyDescent="0.25">
      <c r="A1146" s="2" t="s">
        <v>8</v>
      </c>
      <c r="B1146" s="2" t="str">
        <f>HYPERLINK("http://ts.21cn.com/tousu/show/id/1331624","移动乱扣费")</f>
        <v>移动乱扣费</v>
      </c>
      <c r="C1146" s="2" t="s">
        <v>9</v>
      </c>
      <c r="D1146" s="2" t="s">
        <v>10</v>
      </c>
      <c r="E1146" s="2" t="str">
        <f>HYPERLINK("http://ts.21cn.com/tousu/show/id/1331624","http://ts.21cn.com/tousu/show/id/1331624")</f>
        <v>http://ts.21cn.com/tousu/show/id/1331624</v>
      </c>
      <c r="F1146" s="2" t="s">
        <v>11</v>
      </c>
      <c r="G1146" s="2" t="s">
        <v>41898</v>
      </c>
      <c r="H1146" s="2" t="s">
        <v>41899</v>
      </c>
    </row>
    <row r="1147" spans="1:8" ht="25.05" customHeight="1" x14ac:dyDescent="0.25">
      <c r="A1147" s="2" t="s">
        <v>8</v>
      </c>
      <c r="B1147" s="2" t="str">
        <f>HYPERLINK("http://ts.21cn.com/tousu/show/id/1331625","钱站高利贷阴阳合同")</f>
        <v>钱站高利贷阴阳合同</v>
      </c>
      <c r="C1147" s="2" t="s">
        <v>9</v>
      </c>
      <c r="D1147" s="2" t="s">
        <v>10</v>
      </c>
      <c r="E1147" s="2" t="str">
        <f>HYPERLINK("http://ts.21cn.com/tousu/show/id/1331625","http://ts.21cn.com/tousu/show/id/1331625")</f>
        <v>http://ts.21cn.com/tousu/show/id/1331625</v>
      </c>
      <c r="F1147" s="2" t="s">
        <v>11</v>
      </c>
      <c r="G1147" s="2" t="s">
        <v>41896</v>
      </c>
      <c r="H1147" s="2" t="s">
        <v>41897</v>
      </c>
    </row>
    <row r="1148" spans="1:8" ht="25.05" customHeight="1" x14ac:dyDescent="0.25">
      <c r="A1148" s="2" t="s">
        <v>8</v>
      </c>
      <c r="B1148" s="2" t="str">
        <f>HYPERLINK("http://ts.21cn.com/tousu/show/id/1331626","肥猫贷，金鸡下蛋，威力贷高额利息及暴力催收，汇潮支付和支付宝协助放款扣款")</f>
        <v>肥猫贷，金鸡下蛋，威力贷高额利息及暴力催收，汇潮支付和支付宝协助放款扣款</v>
      </c>
      <c r="C1148" s="2" t="s">
        <v>9</v>
      </c>
      <c r="D1148" s="2" t="s">
        <v>10</v>
      </c>
      <c r="E1148" s="2" t="str">
        <f>HYPERLINK("http://ts.21cn.com/tousu/show/id/1331626","http://ts.21cn.com/tousu/show/id/1331626")</f>
        <v>http://ts.21cn.com/tousu/show/id/1331626</v>
      </c>
      <c r="F1148" s="2" t="s">
        <v>11</v>
      </c>
      <c r="G1148" s="2" t="s">
        <v>41894</v>
      </c>
      <c r="H1148" s="2" t="s">
        <v>41895</v>
      </c>
    </row>
    <row r="1149" spans="1:8" ht="25.05" customHeight="1" x14ac:dyDescent="0.25">
      <c r="A1149" s="2" t="s">
        <v>8</v>
      </c>
      <c r="B1149" s="2" t="str">
        <f>HYPERLINK("http://ts.21cn.com/tousu/show/id/1331627","捷信金融骚扰亲朋好友")</f>
        <v>捷信金融骚扰亲朋好友</v>
      </c>
      <c r="C1149" s="2" t="s">
        <v>9</v>
      </c>
      <c r="D1149" s="2" t="s">
        <v>10</v>
      </c>
      <c r="E1149" s="2" t="str">
        <f>HYPERLINK("http://ts.21cn.com/tousu/show/id/1331627","http://ts.21cn.com/tousu/show/id/1331627")</f>
        <v>http://ts.21cn.com/tousu/show/id/1331627</v>
      </c>
      <c r="F1149" s="2" t="s">
        <v>11</v>
      </c>
      <c r="G1149" s="2" t="s">
        <v>41892</v>
      </c>
      <c r="H1149" s="2" t="s">
        <v>41893</v>
      </c>
    </row>
    <row r="1150" spans="1:8" ht="25.05" customHeight="1" x14ac:dyDescent="0.25">
      <c r="A1150" s="2" t="s">
        <v>8</v>
      </c>
      <c r="B1150" s="2" t="str">
        <f>HYPERLINK("http://ts.21cn.com/tousu/show/id/1331628","投诉海风教育不退款")</f>
        <v>投诉海风教育不退款</v>
      </c>
      <c r="C1150" s="2" t="s">
        <v>9</v>
      </c>
      <c r="D1150" s="2" t="s">
        <v>10</v>
      </c>
      <c r="E1150" s="2" t="str">
        <f>HYPERLINK("http://ts.21cn.com/tousu/show/id/1331628","http://ts.21cn.com/tousu/show/id/1331628")</f>
        <v>http://ts.21cn.com/tousu/show/id/1331628</v>
      </c>
      <c r="F1150" s="2" t="s">
        <v>11</v>
      </c>
      <c r="G1150" s="2" t="s">
        <v>41890</v>
      </c>
      <c r="H1150" s="2" t="s">
        <v>41891</v>
      </c>
    </row>
    <row r="1151" spans="1:8" ht="25.05" customHeight="1" x14ac:dyDescent="0.25">
      <c r="A1151" s="2" t="s">
        <v>8</v>
      </c>
      <c r="B1151" s="2" t="str">
        <f>HYPERLINK("http://ts.21cn.com/tousu/show/id/1331629","尚德教育专升本退款难")</f>
        <v>尚德教育专升本退款难</v>
      </c>
      <c r="C1151" s="2" t="s">
        <v>9</v>
      </c>
      <c r="D1151" s="2" t="s">
        <v>10</v>
      </c>
      <c r="E1151" s="2" t="str">
        <f>HYPERLINK("http://ts.21cn.com/tousu/show/id/1331629","http://ts.21cn.com/tousu/show/id/1331629")</f>
        <v>http://ts.21cn.com/tousu/show/id/1331629</v>
      </c>
      <c r="F1151" s="2" t="s">
        <v>11</v>
      </c>
      <c r="G1151" s="2" t="s">
        <v>41888</v>
      </c>
      <c r="H1151" s="2" t="s">
        <v>41889</v>
      </c>
    </row>
    <row r="1152" spans="1:8" ht="25.05" customHeight="1" x14ac:dyDescent="0.25">
      <c r="A1152" s="2" t="s">
        <v>8</v>
      </c>
      <c r="B1152" s="2" t="str">
        <f>HYPERLINK("http://ts.21cn.com/tousu/show/id/1331630","豆豆钱疑似通过第三方非法操作")</f>
        <v>豆豆钱疑似通过第三方非法操作</v>
      </c>
      <c r="C1152" s="2" t="s">
        <v>9</v>
      </c>
      <c r="D1152" s="2" t="s">
        <v>10</v>
      </c>
      <c r="E1152" s="2" t="str">
        <f>HYPERLINK("http://ts.21cn.com/tousu/show/id/1331630","http://ts.21cn.com/tousu/show/id/1331630")</f>
        <v>http://ts.21cn.com/tousu/show/id/1331630</v>
      </c>
      <c r="F1152" s="2" t="s">
        <v>11</v>
      </c>
      <c r="G1152" s="2" t="s">
        <v>41886</v>
      </c>
      <c r="H1152" s="2" t="s">
        <v>41887</v>
      </c>
    </row>
    <row r="1153" spans="1:8" ht="25.05" customHeight="1" x14ac:dyDescent="0.25">
      <c r="A1153" s="2" t="s">
        <v>8</v>
      </c>
      <c r="B1153" s="2" t="str">
        <f>HYPERLINK("http://ts.21cn.com/tousu/show/id/1331632","高利贷私自涨利率")</f>
        <v>高利贷私自涨利率</v>
      </c>
      <c r="C1153" s="2" t="s">
        <v>9</v>
      </c>
      <c r="D1153" s="2" t="s">
        <v>10</v>
      </c>
      <c r="E1153" s="2" t="str">
        <f>HYPERLINK("http://ts.21cn.com/tousu/show/id/1331632","http://ts.21cn.com/tousu/show/id/1331632")</f>
        <v>http://ts.21cn.com/tousu/show/id/1331632</v>
      </c>
      <c r="F1153" s="2" t="s">
        <v>11</v>
      </c>
      <c r="G1153" s="2" t="s">
        <v>41884</v>
      </c>
      <c r="H1153" s="2" t="s">
        <v>41885</v>
      </c>
    </row>
    <row r="1154" spans="1:8" ht="25.05" customHeight="1" x14ac:dyDescent="0.25">
      <c r="A1154" s="2" t="s">
        <v>8</v>
      </c>
      <c r="B1154" s="2" t="str">
        <f>HYPERLINK("http://ts.21cn.com/tousu/show/id/1331633","钱站高利贷阴阳合同")</f>
        <v>钱站高利贷阴阳合同</v>
      </c>
      <c r="C1154" s="2" t="s">
        <v>9</v>
      </c>
      <c r="D1154" s="2" t="s">
        <v>10</v>
      </c>
      <c r="E1154" s="2" t="str">
        <f>HYPERLINK("http://ts.21cn.com/tousu/show/id/1331633","http://ts.21cn.com/tousu/show/id/1331633")</f>
        <v>http://ts.21cn.com/tousu/show/id/1331633</v>
      </c>
      <c r="F1154" s="2" t="s">
        <v>11</v>
      </c>
      <c r="G1154" s="2" t="s">
        <v>41882</v>
      </c>
      <c r="H1154" s="2" t="s">
        <v>41883</v>
      </c>
    </row>
    <row r="1155" spans="1:8" ht="25.05" customHeight="1" x14ac:dyDescent="0.25">
      <c r="A1155" s="2" t="s">
        <v>8</v>
      </c>
      <c r="B1155" s="2" t="str">
        <f>HYPERLINK("http://ts.21cn.com/tousu/show/id/1331635","因为快递扫描时间晚了一点导致被拼多多平台判定虚假发货")</f>
        <v>因为快递扫描时间晚了一点导致被拼多多平台判定虚假发货</v>
      </c>
      <c r="C1155" s="2" t="s">
        <v>9</v>
      </c>
      <c r="D1155" s="2" t="s">
        <v>10</v>
      </c>
      <c r="E1155" s="2" t="str">
        <f>HYPERLINK("http://ts.21cn.com/tousu/show/id/1331635","http://ts.21cn.com/tousu/show/id/1331635")</f>
        <v>http://ts.21cn.com/tousu/show/id/1331635</v>
      </c>
      <c r="F1155" s="2" t="s">
        <v>11</v>
      </c>
      <c r="G1155" s="2" t="s">
        <v>41880</v>
      </c>
      <c r="H1155" s="2" t="s">
        <v>41881</v>
      </c>
    </row>
    <row r="1156" spans="1:8" ht="25.05" customHeight="1" x14ac:dyDescent="0.25">
      <c r="A1156" s="2" t="s">
        <v>8</v>
      </c>
      <c r="B1156" s="2" t="str">
        <f>HYPERLINK("http://ts.21cn.com/tousu/show/id/1331636","平安财产保险勾结平安ｉ贷欺瞒借款人，捆绑销售保险和高额服务费")</f>
        <v>平安财产保险勾结平安ｉ贷欺瞒借款人，捆绑销售保险和高额服务费</v>
      </c>
      <c r="C1156" s="2" t="s">
        <v>9</v>
      </c>
      <c r="D1156" s="2" t="s">
        <v>10</v>
      </c>
      <c r="E1156" s="2" t="str">
        <f>HYPERLINK("http://ts.21cn.com/tousu/show/id/1331636","http://ts.21cn.com/tousu/show/id/1331636")</f>
        <v>http://ts.21cn.com/tousu/show/id/1331636</v>
      </c>
      <c r="F1156" s="2" t="s">
        <v>11</v>
      </c>
      <c r="G1156" s="2" t="s">
        <v>41878</v>
      </c>
      <c r="H1156" s="2" t="s">
        <v>41879</v>
      </c>
    </row>
    <row r="1157" spans="1:8" ht="25.05" customHeight="1" x14ac:dyDescent="0.25">
      <c r="A1157" s="2" t="s">
        <v>8</v>
      </c>
      <c r="B1157" s="2" t="str">
        <f>HYPERLINK("http://ts.21cn.com/tousu/show/id/1331637","上海翰银为赌博输平台收单，请求瀚银为我退款挽回经济损失")</f>
        <v>上海翰银为赌博输平台收单，请求瀚银为我退款挽回经济损失</v>
      </c>
      <c r="C1157" s="2" t="s">
        <v>9</v>
      </c>
      <c r="D1157" s="2" t="s">
        <v>10</v>
      </c>
      <c r="E1157" s="2" t="str">
        <f>HYPERLINK("http://ts.21cn.com/tousu/show/id/1331637","http://ts.21cn.com/tousu/show/id/1331637")</f>
        <v>http://ts.21cn.com/tousu/show/id/1331637</v>
      </c>
      <c r="F1157" s="2" t="s">
        <v>11</v>
      </c>
      <c r="G1157" s="2" t="s">
        <v>41876</v>
      </c>
      <c r="H1157" s="2" t="s">
        <v>41877</v>
      </c>
    </row>
    <row r="1158" spans="1:8" ht="25.05" customHeight="1" x14ac:dyDescent="0.25">
      <c r="A1158" s="2" t="s">
        <v>8</v>
      </c>
      <c r="B1158" s="2" t="str">
        <f>HYPERLINK("http://ts.21cn.com/tousu/show/id/1331631","买的鞋码与标码不符")</f>
        <v>买的鞋码与标码不符</v>
      </c>
      <c r="C1158" s="2" t="s">
        <v>9</v>
      </c>
      <c r="D1158" s="2" t="s">
        <v>10</v>
      </c>
      <c r="E1158" s="2" t="str">
        <f>HYPERLINK("http://ts.21cn.com/tousu/show/id/1331631","http://ts.21cn.com/tousu/show/id/1331631")</f>
        <v>http://ts.21cn.com/tousu/show/id/1331631</v>
      </c>
      <c r="F1158" s="2" t="s">
        <v>11</v>
      </c>
      <c r="G1158" s="2" t="s">
        <v>41874</v>
      </c>
      <c r="H1158" s="2" t="s">
        <v>41875</v>
      </c>
    </row>
    <row r="1159" spans="1:8" ht="25.05" customHeight="1" x14ac:dyDescent="0.25">
      <c r="A1159" s="2" t="s">
        <v>8</v>
      </c>
      <c r="B1159" s="2" t="str">
        <f>HYPERLINK("http://ts.21cn.com/tousu/show/id/1331638","来分期下快")</f>
        <v>来分期下快</v>
      </c>
      <c r="C1159" s="2" t="s">
        <v>9</v>
      </c>
      <c r="D1159" s="2" t="s">
        <v>10</v>
      </c>
      <c r="E1159" s="2" t="str">
        <f>HYPERLINK("http://ts.21cn.com/tousu/show/id/1331638","http://ts.21cn.com/tousu/show/id/1331638")</f>
        <v>http://ts.21cn.com/tousu/show/id/1331638</v>
      </c>
      <c r="F1159" s="2" t="s">
        <v>11</v>
      </c>
      <c r="G1159" s="2" t="s">
        <v>41872</v>
      </c>
      <c r="H1159" s="2" t="s">
        <v>41873</v>
      </c>
    </row>
    <row r="1160" spans="1:8" ht="25.05" customHeight="1" x14ac:dyDescent="0.25">
      <c r="A1160" s="2" t="s">
        <v>8</v>
      </c>
      <c r="B1160" s="2" t="str">
        <f>HYPERLINK("http://ts.21cn.com/tousu/show/id/1331641","翼锋网质检完成四五天不放款且不接电话")</f>
        <v>翼锋网质检完成四五天不放款且不接电话</v>
      </c>
      <c r="C1160" s="2" t="s">
        <v>9</v>
      </c>
      <c r="D1160" s="2" t="s">
        <v>10</v>
      </c>
      <c r="E1160" s="2" t="str">
        <f>HYPERLINK("http://ts.21cn.com/tousu/show/id/1331641","http://ts.21cn.com/tousu/show/id/1331641")</f>
        <v>http://ts.21cn.com/tousu/show/id/1331641</v>
      </c>
      <c r="F1160" s="2" t="s">
        <v>11</v>
      </c>
      <c r="G1160" s="2" t="s">
        <v>41870</v>
      </c>
      <c r="H1160" s="2" t="s">
        <v>41871</v>
      </c>
    </row>
    <row r="1161" spans="1:8" ht="25.05" customHeight="1" x14ac:dyDescent="0.25">
      <c r="A1161" s="2" t="s">
        <v>8</v>
      </c>
      <c r="B1161" s="2" t="str">
        <f>HYPERLINK("http://ts.21cn.com/tousu/show/id/1331640","阴阳合同中腾信")</f>
        <v>阴阳合同中腾信</v>
      </c>
      <c r="C1161" s="2" t="s">
        <v>9</v>
      </c>
      <c r="D1161" s="2" t="s">
        <v>10</v>
      </c>
      <c r="E1161" s="2" t="str">
        <f>HYPERLINK("http://ts.21cn.com/tousu/show/id/1331640","http://ts.21cn.com/tousu/show/id/1331640")</f>
        <v>http://ts.21cn.com/tousu/show/id/1331640</v>
      </c>
      <c r="F1161" s="2" t="s">
        <v>11</v>
      </c>
      <c r="G1161" s="2" t="s">
        <v>41868</v>
      </c>
      <c r="H1161" s="2" t="s">
        <v>41869</v>
      </c>
    </row>
    <row r="1162" spans="1:8" ht="25.05" customHeight="1" x14ac:dyDescent="0.25">
      <c r="A1162" s="2" t="s">
        <v>8</v>
      </c>
      <c r="B1162" s="2" t="str">
        <f>HYPERLINK("http://ts.21cn.com/tousu/show/id/1331634","卡里26500元被盗刷")</f>
        <v>卡里26500元被盗刷</v>
      </c>
      <c r="C1162" s="2" t="s">
        <v>9</v>
      </c>
      <c r="D1162" s="2" t="s">
        <v>10</v>
      </c>
      <c r="E1162" s="2" t="str">
        <f>HYPERLINK("http://ts.21cn.com/tousu/show/id/1331634","http://ts.21cn.com/tousu/show/id/1331634")</f>
        <v>http://ts.21cn.com/tousu/show/id/1331634</v>
      </c>
      <c r="F1162" s="2" t="s">
        <v>11</v>
      </c>
      <c r="G1162" s="2" t="s">
        <v>41866</v>
      </c>
      <c r="H1162" s="2" t="s">
        <v>41867</v>
      </c>
    </row>
    <row r="1163" spans="1:8" ht="25.05" customHeight="1" x14ac:dyDescent="0.25">
      <c r="A1163" s="2" t="s">
        <v>8</v>
      </c>
      <c r="B1163" s="2" t="str">
        <f>HYPERLINK("http://ts.21cn.com/tousu/show/id/1331643","你我贷高利息")</f>
        <v>你我贷高利息</v>
      </c>
      <c r="C1163" s="2" t="s">
        <v>34</v>
      </c>
      <c r="D1163" s="2" t="s">
        <v>10</v>
      </c>
      <c r="E1163" s="2" t="str">
        <f>HYPERLINK("http://ts.21cn.com/tousu/show/id/1331643","http://ts.21cn.com/tousu/show/id/1331643")</f>
        <v>http://ts.21cn.com/tousu/show/id/1331643</v>
      </c>
      <c r="F1163" s="2" t="s">
        <v>11</v>
      </c>
      <c r="G1163" s="2" t="s">
        <v>41864</v>
      </c>
      <c r="H1163" s="2" t="s">
        <v>41865</v>
      </c>
    </row>
    <row r="1164" spans="1:8" ht="25.05" customHeight="1" x14ac:dyDescent="0.25">
      <c r="A1164" s="2" t="s">
        <v>8</v>
      </c>
      <c r="B1164" s="2" t="str">
        <f>HYPERLINK("http://ts.21cn.com/tousu/show/id/1331644","70周年国庆大阅兵移动看不了电视")</f>
        <v>70周年国庆大阅兵移动看不了电视</v>
      </c>
      <c r="C1164" s="2" t="s">
        <v>34</v>
      </c>
      <c r="D1164" s="2" t="s">
        <v>10</v>
      </c>
      <c r="E1164" s="2" t="str">
        <f>HYPERLINK("http://ts.21cn.com/tousu/show/id/1331644","http://ts.21cn.com/tousu/show/id/1331644")</f>
        <v>http://ts.21cn.com/tousu/show/id/1331644</v>
      </c>
      <c r="F1164" s="2" t="s">
        <v>11</v>
      </c>
      <c r="G1164" s="2" t="s">
        <v>41862</v>
      </c>
      <c r="H1164" s="2" t="s">
        <v>41863</v>
      </c>
    </row>
    <row r="1165" spans="1:8" ht="25.05" customHeight="1" x14ac:dyDescent="0.25">
      <c r="A1165" s="2" t="s">
        <v>8</v>
      </c>
      <c r="B1165" s="2" t="str">
        <f>HYPERLINK("http://ts.21cn.com/tousu/show/id/1331645","利息高")</f>
        <v>利息高</v>
      </c>
      <c r="C1165" s="2" t="s">
        <v>34</v>
      </c>
      <c r="D1165" s="2" t="s">
        <v>10</v>
      </c>
      <c r="E1165" s="2" t="str">
        <f>HYPERLINK("http://ts.21cn.com/tousu/show/id/1331645","http://ts.21cn.com/tousu/show/id/1331645")</f>
        <v>http://ts.21cn.com/tousu/show/id/1331645</v>
      </c>
      <c r="F1165" s="2" t="s">
        <v>11</v>
      </c>
      <c r="G1165" s="2" t="s">
        <v>41860</v>
      </c>
      <c r="H1165" s="2" t="s">
        <v>41861</v>
      </c>
    </row>
    <row r="1166" spans="1:8" ht="25.05" customHeight="1" x14ac:dyDescent="0.25">
      <c r="A1166" s="2" t="s">
        <v>8</v>
      </c>
      <c r="B1166" s="2" t="str">
        <f>HYPERLINK("http://ts.21cn.com/tousu/show/id/1331646","拼多多商户涉嫌为博彩黑平台收款")</f>
        <v>拼多多商户涉嫌为博彩黑平台收款</v>
      </c>
      <c r="C1166" s="2" t="s">
        <v>9</v>
      </c>
      <c r="D1166" s="2" t="s">
        <v>10</v>
      </c>
      <c r="E1166" s="2" t="str">
        <f>HYPERLINK("http://ts.21cn.com/tousu/show/id/1331646","http://ts.21cn.com/tousu/show/id/1331646")</f>
        <v>http://ts.21cn.com/tousu/show/id/1331646</v>
      </c>
      <c r="F1166" s="2" t="s">
        <v>11</v>
      </c>
      <c r="G1166" s="2" t="s">
        <v>41858</v>
      </c>
      <c r="H1166" s="2" t="s">
        <v>41859</v>
      </c>
    </row>
    <row r="1167" spans="1:8" ht="25.05" customHeight="1" x14ac:dyDescent="0.25">
      <c r="A1167" s="2" t="s">
        <v>8</v>
      </c>
      <c r="B1167" s="2" t="str">
        <f>HYPERLINK("http://ts.21cn.com/tousu/show/id/1331648","广发信用卡")</f>
        <v>广发信用卡</v>
      </c>
      <c r="C1167" s="2" t="s">
        <v>34</v>
      </c>
      <c r="D1167" s="2" t="s">
        <v>10</v>
      </c>
      <c r="E1167" s="2" t="str">
        <f>HYPERLINK("http://ts.21cn.com/tousu/show/id/1331648","http://ts.21cn.com/tousu/show/id/1331648")</f>
        <v>http://ts.21cn.com/tousu/show/id/1331648</v>
      </c>
      <c r="F1167" s="2" t="s">
        <v>11</v>
      </c>
      <c r="G1167" s="2" t="s">
        <v>41856</v>
      </c>
      <c r="H1167" s="2" t="s">
        <v>41857</v>
      </c>
    </row>
    <row r="1168" spans="1:8" ht="25.05" customHeight="1" x14ac:dyDescent="0.25">
      <c r="A1168" s="2" t="s">
        <v>8</v>
      </c>
      <c r="B1168" s="2" t="str">
        <f>HYPERLINK("http://ts.21cn.com/tousu/show/id/1331651","暴力催收恐吓")</f>
        <v>暴力催收恐吓</v>
      </c>
      <c r="C1168" s="2" t="s">
        <v>9</v>
      </c>
      <c r="D1168" s="2" t="s">
        <v>10</v>
      </c>
      <c r="E1168" s="2" t="str">
        <f>HYPERLINK("http://ts.21cn.com/tousu/show/id/1331651","http://ts.21cn.com/tousu/show/id/1331651")</f>
        <v>http://ts.21cn.com/tousu/show/id/1331651</v>
      </c>
      <c r="F1168" s="2" t="s">
        <v>11</v>
      </c>
      <c r="G1168" s="2" t="s">
        <v>41854</v>
      </c>
      <c r="H1168" s="2" t="s">
        <v>41855</v>
      </c>
    </row>
    <row r="1169" spans="1:8" ht="25.05" customHeight="1" x14ac:dyDescent="0.25">
      <c r="A1169" s="2" t="s">
        <v>8</v>
      </c>
      <c r="B1169" s="2" t="str">
        <f>HYPERLINK("http://ts.21cn.com/tousu/show/id/1331652","申请天天快报拉新薪酬203.5元")</f>
        <v>申请天天快报拉新薪酬203.5元</v>
      </c>
      <c r="C1169" s="2" t="s">
        <v>9</v>
      </c>
      <c r="D1169" s="2" t="s">
        <v>10</v>
      </c>
      <c r="E1169" s="2" t="str">
        <f>HYPERLINK("http://ts.21cn.com/tousu/show/id/1331652","http://ts.21cn.com/tousu/show/id/1331652")</f>
        <v>http://ts.21cn.com/tousu/show/id/1331652</v>
      </c>
      <c r="F1169" s="2" t="s">
        <v>11</v>
      </c>
      <c r="G1169" s="2" t="s">
        <v>41852</v>
      </c>
      <c r="H1169" s="2" t="s">
        <v>41853</v>
      </c>
    </row>
    <row r="1170" spans="1:8" ht="25.05" customHeight="1" x14ac:dyDescent="0.25">
      <c r="A1170" s="2" t="s">
        <v>8</v>
      </c>
      <c r="B1170" s="2" t="str">
        <f>HYPERLINK("http://ts.21cn.com/tousu/show/id/1331653","月光侠高砍头息")</f>
        <v>月光侠高砍头息</v>
      </c>
      <c r="C1170" s="2" t="s">
        <v>34</v>
      </c>
      <c r="D1170" s="2" t="s">
        <v>10</v>
      </c>
      <c r="E1170" s="2" t="str">
        <f>HYPERLINK("http://ts.21cn.com/tousu/show/id/1331653","http://ts.21cn.com/tousu/show/id/1331653")</f>
        <v>http://ts.21cn.com/tousu/show/id/1331653</v>
      </c>
      <c r="F1170" s="2" t="s">
        <v>11</v>
      </c>
      <c r="G1170" s="2" t="s">
        <v>41850</v>
      </c>
      <c r="H1170" s="2" t="s">
        <v>41851</v>
      </c>
    </row>
    <row r="1171" spans="1:8" ht="25.05" customHeight="1" x14ac:dyDescent="0.25">
      <c r="A1171" s="2" t="s">
        <v>8</v>
      </c>
      <c r="B1171" s="2" t="str">
        <f>HYPERLINK("http://ts.21cn.com/tousu/show/id/1331654","买家在闲鱼买硬盘，总货款2700元，买家修改金额300元，客服判决")</f>
        <v>买家在闲鱼买硬盘，总货款2700元，买家修改金额300元，客服判决</v>
      </c>
      <c r="C1171" s="2" t="s">
        <v>9</v>
      </c>
      <c r="D1171" s="2" t="s">
        <v>10</v>
      </c>
      <c r="E1171" s="2" t="str">
        <f>HYPERLINK("http://ts.21cn.com/tousu/show/id/1331654","http://ts.21cn.com/tousu/show/id/1331654")</f>
        <v>http://ts.21cn.com/tousu/show/id/1331654</v>
      </c>
      <c r="F1171" s="2" t="s">
        <v>11</v>
      </c>
      <c r="G1171" s="2" t="s">
        <v>41848</v>
      </c>
      <c r="H1171" s="2" t="s">
        <v>41849</v>
      </c>
    </row>
    <row r="1172" spans="1:8" ht="25.05" customHeight="1" x14ac:dyDescent="0.25">
      <c r="A1172" s="2" t="s">
        <v>8</v>
      </c>
      <c r="B1172" s="2" t="str">
        <f>HYPERLINK("http://ts.21cn.com/tousu/show/id/1331655","聚富分期诱导消费，要求退款")</f>
        <v>聚富分期诱导消费，要求退款</v>
      </c>
      <c r="C1172" s="2" t="s">
        <v>9</v>
      </c>
      <c r="D1172" s="2" t="s">
        <v>10</v>
      </c>
      <c r="E1172" s="2" t="str">
        <f>HYPERLINK("http://ts.21cn.com/tousu/show/id/1331655","http://ts.21cn.com/tousu/show/id/1331655")</f>
        <v>http://ts.21cn.com/tousu/show/id/1331655</v>
      </c>
      <c r="F1172" s="2" t="s">
        <v>11</v>
      </c>
      <c r="G1172" s="2" t="s">
        <v>41846</v>
      </c>
      <c r="H1172" s="2" t="s">
        <v>41847</v>
      </c>
    </row>
    <row r="1173" spans="1:8" ht="25.05" customHeight="1" x14ac:dyDescent="0.25">
      <c r="A1173" s="2" t="s">
        <v>8</v>
      </c>
      <c r="B1173" s="2" t="str">
        <f>HYPERLINK("http://ts.21cn.com/tousu/show/id/1331656","交易猫仲裁客服胡乱仲裁")</f>
        <v>交易猫仲裁客服胡乱仲裁</v>
      </c>
      <c r="C1173" s="2" t="s">
        <v>34</v>
      </c>
      <c r="D1173" s="2" t="s">
        <v>10</v>
      </c>
      <c r="E1173" s="2" t="str">
        <f>HYPERLINK("http://ts.21cn.com/tousu/show/id/1331656","http://ts.21cn.com/tousu/show/id/1331656")</f>
        <v>http://ts.21cn.com/tousu/show/id/1331656</v>
      </c>
      <c r="F1173" s="2" t="s">
        <v>11</v>
      </c>
      <c r="G1173" s="2" t="s">
        <v>41844</v>
      </c>
      <c r="H1173" s="2" t="s">
        <v>41845</v>
      </c>
    </row>
    <row r="1174" spans="1:8" ht="25.05" customHeight="1" x14ac:dyDescent="0.25">
      <c r="A1174" s="2" t="s">
        <v>8</v>
      </c>
      <c r="B1174" s="2" t="str">
        <f>HYPERLINK("http://ts.21cn.com/tousu/show/id/1331661","闪电借款套路还款，钱拿走不处理账单，")</f>
        <v>闪电借款套路还款，钱拿走不处理账单，</v>
      </c>
      <c r="C1174" s="2" t="s">
        <v>9</v>
      </c>
      <c r="D1174" s="2" t="s">
        <v>10</v>
      </c>
      <c r="E1174" s="2" t="str">
        <f>HYPERLINK("http://ts.21cn.com/tousu/show/id/1331661","http://ts.21cn.com/tousu/show/id/1331661")</f>
        <v>http://ts.21cn.com/tousu/show/id/1331661</v>
      </c>
      <c r="F1174" s="2" t="s">
        <v>11</v>
      </c>
      <c r="G1174" s="2" t="s">
        <v>41842</v>
      </c>
      <c r="H1174" s="2" t="s">
        <v>41843</v>
      </c>
    </row>
    <row r="1175" spans="1:8" ht="25.05" customHeight="1" x14ac:dyDescent="0.25">
      <c r="A1175" s="2" t="s">
        <v>8</v>
      </c>
      <c r="B1175" s="2" t="str">
        <f>HYPERLINK("http://ts.21cn.com/tousu/show/id/1331660","逾贷款逾期后，已经连本带利还清，但是还是在骚扰通讯录")</f>
        <v>逾贷款逾期后，已经连本带利还清，但是还是在骚扰通讯录</v>
      </c>
      <c r="C1175" s="2" t="s">
        <v>9</v>
      </c>
      <c r="D1175" s="2" t="s">
        <v>10</v>
      </c>
      <c r="E1175" s="2" t="str">
        <f>HYPERLINK("http://ts.21cn.com/tousu/show/id/1331660","http://ts.21cn.com/tousu/show/id/1331660")</f>
        <v>http://ts.21cn.com/tousu/show/id/1331660</v>
      </c>
      <c r="F1175" s="2" t="s">
        <v>11</v>
      </c>
      <c r="G1175" s="2" t="s">
        <v>41840</v>
      </c>
      <c r="H1175" s="2" t="s">
        <v>41841</v>
      </c>
    </row>
    <row r="1176" spans="1:8" ht="25.05" customHeight="1" x14ac:dyDescent="0.25">
      <c r="A1176" s="2" t="s">
        <v>8</v>
      </c>
      <c r="B1176" s="2" t="str">
        <f>HYPERLINK("http://ts.21cn.com/tousu/show/id/1331662","钱太多、还不起")</f>
        <v>钱太多、还不起</v>
      </c>
      <c r="C1176" s="2" t="s">
        <v>9</v>
      </c>
      <c r="D1176" s="2" t="s">
        <v>10</v>
      </c>
      <c r="E1176" s="2" t="str">
        <f>HYPERLINK("http://ts.21cn.com/tousu/show/id/1331662","http://ts.21cn.com/tousu/show/id/1331662")</f>
        <v>http://ts.21cn.com/tousu/show/id/1331662</v>
      </c>
      <c r="F1176" s="2" t="s">
        <v>11</v>
      </c>
      <c r="G1176" s="2" t="s">
        <v>41838</v>
      </c>
      <c r="H1176" s="2" t="s">
        <v>41839</v>
      </c>
    </row>
    <row r="1177" spans="1:8" ht="25.05" customHeight="1" x14ac:dyDescent="0.25">
      <c r="A1177" s="2" t="s">
        <v>8</v>
      </c>
      <c r="B1177" s="2" t="str">
        <f>HYPERLINK("http://ts.21cn.com/tousu/show/id/1331663","信而富砍头息高利贷")</f>
        <v>信而富砍头息高利贷</v>
      </c>
      <c r="C1177" s="2" t="s">
        <v>9</v>
      </c>
      <c r="D1177" s="2" t="s">
        <v>10</v>
      </c>
      <c r="E1177" s="2" t="str">
        <f>HYPERLINK("http://ts.21cn.com/tousu/show/id/1331663","http://ts.21cn.com/tousu/show/id/1331663")</f>
        <v>http://ts.21cn.com/tousu/show/id/1331663</v>
      </c>
      <c r="F1177" s="2" t="s">
        <v>11</v>
      </c>
      <c r="G1177" s="2" t="s">
        <v>41836</v>
      </c>
      <c r="H1177" s="2" t="s">
        <v>41837</v>
      </c>
    </row>
    <row r="1178" spans="1:8" ht="25.05" customHeight="1" x14ac:dyDescent="0.25">
      <c r="A1178" s="2" t="s">
        <v>8</v>
      </c>
      <c r="B1178" s="2" t="str">
        <f>HYPERLINK("http://ts.21cn.com/tousu/show/id/1331665","瀚银科技肆无忌惮为博彩平台提供收单服务，拒不处理用户投诉")</f>
        <v>瀚银科技肆无忌惮为博彩平台提供收单服务，拒不处理用户投诉</v>
      </c>
      <c r="C1178" s="2" t="s">
        <v>9</v>
      </c>
      <c r="D1178" s="2" t="s">
        <v>10</v>
      </c>
      <c r="E1178" s="2" t="str">
        <f>HYPERLINK("http://ts.21cn.com/tousu/show/id/1331665","http://ts.21cn.com/tousu/show/id/1331665")</f>
        <v>http://ts.21cn.com/tousu/show/id/1331665</v>
      </c>
      <c r="F1178" s="2" t="s">
        <v>11</v>
      </c>
      <c r="G1178" s="2" t="s">
        <v>41834</v>
      </c>
      <c r="H1178" s="2" t="s">
        <v>41835</v>
      </c>
    </row>
    <row r="1179" spans="1:8" ht="25.05" customHeight="1" x14ac:dyDescent="0.25">
      <c r="A1179" s="2" t="s">
        <v>8</v>
      </c>
      <c r="B1179" s="2" t="str">
        <f>HYPERLINK("http://ts.21cn.com/tousu/show/id/1331658","探探会员费")</f>
        <v>探探会员费</v>
      </c>
      <c r="C1179" s="2" t="s">
        <v>34</v>
      </c>
      <c r="D1179" s="2" t="s">
        <v>10</v>
      </c>
      <c r="E1179" s="2" t="str">
        <f>HYPERLINK("http://ts.21cn.com/tousu/show/id/1331658","http://ts.21cn.com/tousu/show/id/1331658")</f>
        <v>http://ts.21cn.com/tousu/show/id/1331658</v>
      </c>
      <c r="F1179" s="2" t="s">
        <v>11</v>
      </c>
      <c r="G1179" s="2" t="s">
        <v>41832</v>
      </c>
      <c r="H1179" s="2" t="s">
        <v>41833</v>
      </c>
    </row>
    <row r="1180" spans="1:8" ht="25.05" customHeight="1" x14ac:dyDescent="0.25">
      <c r="A1180" s="2" t="s">
        <v>8</v>
      </c>
      <c r="B1180" s="2" t="str">
        <f>HYPERLINK("http://ts.21cn.com/tousu/show/id/1331666","违规提供支付通道")</f>
        <v>违规提供支付通道</v>
      </c>
      <c r="C1180" s="2" t="s">
        <v>9</v>
      </c>
      <c r="D1180" s="2" t="s">
        <v>10</v>
      </c>
      <c r="E1180" s="2" t="str">
        <f>HYPERLINK("http://ts.21cn.com/tousu/show/id/1331666","http://ts.21cn.com/tousu/show/id/1331666")</f>
        <v>http://ts.21cn.com/tousu/show/id/1331666</v>
      </c>
      <c r="F1180" s="2" t="s">
        <v>11</v>
      </c>
      <c r="G1180" s="2" t="s">
        <v>41830</v>
      </c>
      <c r="H1180" s="2" t="s">
        <v>41831</v>
      </c>
    </row>
    <row r="1181" spans="1:8" ht="25.05" customHeight="1" x14ac:dyDescent="0.25">
      <c r="A1181" s="2" t="s">
        <v>8</v>
      </c>
      <c r="B1181" s="2" t="str">
        <f>HYPERLINK("http://ts.21cn.com/tousu/show/id/1331668","汇潮支付公司携手高利贷平台石榴快袋私自放款")</f>
        <v>汇潮支付公司携手高利贷平台石榴快袋私自放款</v>
      </c>
      <c r="C1181" s="2" t="s">
        <v>9</v>
      </c>
      <c r="D1181" s="2" t="s">
        <v>10</v>
      </c>
      <c r="E1181" s="2" t="str">
        <f>HYPERLINK("http://ts.21cn.com/tousu/show/id/1331668","http://ts.21cn.com/tousu/show/id/1331668")</f>
        <v>http://ts.21cn.com/tousu/show/id/1331668</v>
      </c>
      <c r="F1181" s="2" t="s">
        <v>11</v>
      </c>
      <c r="G1181" s="2" t="s">
        <v>41828</v>
      </c>
      <c r="H1181" s="2" t="s">
        <v>41829</v>
      </c>
    </row>
    <row r="1182" spans="1:8" ht="25.05" customHeight="1" x14ac:dyDescent="0.25">
      <c r="A1182" s="2" t="s">
        <v>8</v>
      </c>
      <c r="B1182" s="2" t="str">
        <f>HYPERLINK("http://ts.21cn.com/tousu/show/id/1331667","交易猫客服不作为")</f>
        <v>交易猫客服不作为</v>
      </c>
      <c r="C1182" s="2" t="s">
        <v>9</v>
      </c>
      <c r="D1182" s="2" t="s">
        <v>10</v>
      </c>
      <c r="E1182" s="2" t="str">
        <f>HYPERLINK("http://ts.21cn.com/tousu/show/id/1331667","http://ts.21cn.com/tousu/show/id/1331667")</f>
        <v>http://ts.21cn.com/tousu/show/id/1331667</v>
      </c>
      <c r="F1182" s="2" t="s">
        <v>11</v>
      </c>
      <c r="G1182" s="2" t="s">
        <v>41826</v>
      </c>
      <c r="H1182" s="2" t="s">
        <v>41827</v>
      </c>
    </row>
    <row r="1183" spans="1:8" ht="25.05" customHeight="1" x14ac:dyDescent="0.25">
      <c r="A1183" s="2" t="s">
        <v>8</v>
      </c>
      <c r="B1183" s="2" t="str">
        <f>HYPERLINK("http://ts.21cn.com/tousu/show/id/1331669","拍拍贷暴力催收")</f>
        <v>拍拍贷暴力催收</v>
      </c>
      <c r="C1183" s="2" t="s">
        <v>9</v>
      </c>
      <c r="D1183" s="2" t="s">
        <v>10</v>
      </c>
      <c r="E1183" s="2" t="str">
        <f>HYPERLINK("http://ts.21cn.com/tousu/show/id/1331669","http://ts.21cn.com/tousu/show/id/1331669")</f>
        <v>http://ts.21cn.com/tousu/show/id/1331669</v>
      </c>
      <c r="F1183" s="2" t="s">
        <v>11</v>
      </c>
      <c r="G1183" s="2" t="s">
        <v>41824</v>
      </c>
      <c r="H1183" s="2" t="s">
        <v>41825</v>
      </c>
    </row>
    <row r="1184" spans="1:8" ht="25.05" customHeight="1" x14ac:dyDescent="0.25">
      <c r="A1184" s="2" t="s">
        <v>8</v>
      </c>
      <c r="B1184" s="2" t="str">
        <f>HYPERLINK("http://ts.21cn.com/tousu/show/id/1331642","神武3游戏账号被客服恶意锁定")</f>
        <v>神武3游戏账号被客服恶意锁定</v>
      </c>
      <c r="C1184" s="2" t="s">
        <v>9</v>
      </c>
      <c r="D1184" s="2" t="s">
        <v>10</v>
      </c>
      <c r="E1184" s="2" t="str">
        <f>HYPERLINK("http://ts.21cn.com/tousu/show/id/1331642","http://ts.21cn.com/tousu/show/id/1331642")</f>
        <v>http://ts.21cn.com/tousu/show/id/1331642</v>
      </c>
      <c r="F1184" s="2" t="s">
        <v>11</v>
      </c>
      <c r="G1184" s="2" t="s">
        <v>41822</v>
      </c>
      <c r="H1184" s="2" t="s">
        <v>41823</v>
      </c>
    </row>
    <row r="1185" spans="1:8" ht="25.05" customHeight="1" x14ac:dyDescent="0.25">
      <c r="A1185" s="2" t="s">
        <v>8</v>
      </c>
      <c r="B1185" s="2" t="str">
        <f>HYPERLINK("http://ts.21cn.com/tousu/show/id/1331671","来花花高利贷，汇潮支付协助放贷")</f>
        <v>来花花高利贷，汇潮支付协助放贷</v>
      </c>
      <c r="C1185" s="2" t="s">
        <v>9</v>
      </c>
      <c r="D1185" s="2" t="s">
        <v>10</v>
      </c>
      <c r="E1185" s="2" t="str">
        <f>HYPERLINK("http://ts.21cn.com/tousu/show/id/1331671","http://ts.21cn.com/tousu/show/id/1331671")</f>
        <v>http://ts.21cn.com/tousu/show/id/1331671</v>
      </c>
      <c r="F1185" s="2" t="s">
        <v>11</v>
      </c>
      <c r="G1185" s="2" t="s">
        <v>41820</v>
      </c>
      <c r="H1185" s="2" t="s">
        <v>41821</v>
      </c>
    </row>
    <row r="1186" spans="1:8" ht="25.05" customHeight="1" x14ac:dyDescent="0.25">
      <c r="A1186" s="2" t="s">
        <v>8</v>
      </c>
      <c r="B1186" s="2" t="str">
        <f>HYPERLINK("http://ts.21cn.com/tousu/show/id/1331672","树林分期高利贷")</f>
        <v>树林分期高利贷</v>
      </c>
      <c r="C1186" s="2" t="s">
        <v>9</v>
      </c>
      <c r="D1186" s="2" t="s">
        <v>10</v>
      </c>
      <c r="E1186" s="2" t="str">
        <f>HYPERLINK("http://ts.21cn.com/tousu/show/id/1331672","http://ts.21cn.com/tousu/show/id/1331672")</f>
        <v>http://ts.21cn.com/tousu/show/id/1331672</v>
      </c>
      <c r="F1186" s="2" t="s">
        <v>11</v>
      </c>
      <c r="G1186" s="2" t="s">
        <v>41818</v>
      </c>
      <c r="H1186" s="2" t="s">
        <v>41819</v>
      </c>
    </row>
    <row r="1187" spans="1:8" ht="25.05" customHeight="1" x14ac:dyDescent="0.25">
      <c r="A1187" s="2" t="s">
        <v>8</v>
      </c>
      <c r="B1187" s="2" t="str">
        <f>HYPERLINK("http://ts.21cn.com/tousu/show/id/1331674","花粉儿APP上免费送了些不要的东西，邮费提不出来。")</f>
        <v>花粉儿APP上免费送了些不要的东西，邮费提不出来。</v>
      </c>
      <c r="C1187" s="2" t="s">
        <v>9</v>
      </c>
      <c r="D1187" s="2" t="s">
        <v>10</v>
      </c>
      <c r="E1187" s="2" t="str">
        <f>HYPERLINK("http://ts.21cn.com/tousu/show/id/1331674","http://ts.21cn.com/tousu/show/id/1331674")</f>
        <v>http://ts.21cn.com/tousu/show/id/1331674</v>
      </c>
      <c r="F1187" s="2" t="s">
        <v>11</v>
      </c>
      <c r="G1187" s="2" t="s">
        <v>41816</v>
      </c>
      <c r="H1187" s="2" t="s">
        <v>41817</v>
      </c>
    </row>
    <row r="1188" spans="1:8" ht="25.05" customHeight="1" x14ac:dyDescent="0.25">
      <c r="A1188" s="2" t="s">
        <v>8</v>
      </c>
      <c r="B1188" s="2" t="str">
        <f>HYPERLINK("http://ts.21cn.com/tousu/show/id/1331675","在赏乐帮APP做任务赏主不结账。故意把我拉黑。然后以截图不对。直接拒绝支付赏金。联系人工人工都不管上月的到现在没人处理")</f>
        <v>在赏乐帮APP做任务赏主不结账。故意把我拉黑。然后以截图不对。直接拒绝支付赏金。联系人工人工都不管上月的到现在没人处理</v>
      </c>
      <c r="C1188" s="2" t="s">
        <v>9</v>
      </c>
      <c r="D1188" s="2" t="s">
        <v>10</v>
      </c>
      <c r="E1188" s="2" t="str">
        <f>HYPERLINK("http://ts.21cn.com/tousu/show/id/1331675","http://ts.21cn.com/tousu/show/id/1331675")</f>
        <v>http://ts.21cn.com/tousu/show/id/1331675</v>
      </c>
      <c r="F1188" s="2" t="s">
        <v>11</v>
      </c>
      <c r="G1188" s="2" t="s">
        <v>41814</v>
      </c>
      <c r="H1188" s="2" t="s">
        <v>41815</v>
      </c>
    </row>
    <row r="1189" spans="1:8" ht="25.05" customHeight="1" x14ac:dyDescent="0.25">
      <c r="A1189" s="2" t="s">
        <v>8</v>
      </c>
      <c r="B1189" s="2" t="str">
        <f>HYPERLINK("http://ts.21cn.com/tousu/show/id/1331676","新意花砍口超级高利贷")</f>
        <v>新意花砍口超级高利贷</v>
      </c>
      <c r="C1189" s="2" t="s">
        <v>9</v>
      </c>
      <c r="D1189" s="2" t="s">
        <v>10</v>
      </c>
      <c r="E1189" s="2" t="str">
        <f>HYPERLINK("http://ts.21cn.com/tousu/show/id/1331676","http://ts.21cn.com/tousu/show/id/1331676")</f>
        <v>http://ts.21cn.com/tousu/show/id/1331676</v>
      </c>
      <c r="F1189" s="2" t="s">
        <v>11</v>
      </c>
      <c r="G1189" s="2" t="s">
        <v>41812</v>
      </c>
      <c r="H1189" s="2" t="s">
        <v>41813</v>
      </c>
    </row>
    <row r="1190" spans="1:8" ht="25.05" customHeight="1" x14ac:dyDescent="0.25">
      <c r="A1190" s="2" t="s">
        <v>8</v>
      </c>
      <c r="B1190" s="2" t="str">
        <f>HYPERLINK("http://ts.21cn.com/tousu/show/id/1331677","利息太高还不起了")</f>
        <v>利息太高还不起了</v>
      </c>
      <c r="C1190" s="2" t="s">
        <v>9</v>
      </c>
      <c r="D1190" s="2" t="s">
        <v>10</v>
      </c>
      <c r="E1190" s="2" t="str">
        <f>HYPERLINK("http://ts.21cn.com/tousu/show/id/1331677","http://ts.21cn.com/tousu/show/id/1331677")</f>
        <v>http://ts.21cn.com/tousu/show/id/1331677</v>
      </c>
      <c r="F1190" s="2" t="s">
        <v>11</v>
      </c>
      <c r="G1190" s="2" t="s">
        <v>41810</v>
      </c>
      <c r="H1190" s="2" t="s">
        <v>41811</v>
      </c>
    </row>
    <row r="1191" spans="1:8" ht="25.05" customHeight="1" x14ac:dyDescent="0.25">
      <c r="A1191" s="2" t="s">
        <v>8</v>
      </c>
      <c r="B1191" s="2" t="str">
        <f>HYPERLINK("http://ts.21cn.com/tousu/show/id/1331679","玖富万卡擅自改写合同，变相收取费用，高利贷")</f>
        <v>玖富万卡擅自改写合同，变相收取费用，高利贷</v>
      </c>
      <c r="C1191" s="2" t="s">
        <v>9</v>
      </c>
      <c r="D1191" s="2" t="s">
        <v>10</v>
      </c>
      <c r="E1191" s="2" t="str">
        <f>HYPERLINK("http://ts.21cn.com/tousu/show/id/1331679","http://ts.21cn.com/tousu/show/id/1331679")</f>
        <v>http://ts.21cn.com/tousu/show/id/1331679</v>
      </c>
      <c r="F1191" s="2" t="s">
        <v>11</v>
      </c>
      <c r="G1191" s="2" t="s">
        <v>41808</v>
      </c>
      <c r="H1191" s="2" t="s">
        <v>41809</v>
      </c>
    </row>
    <row r="1192" spans="1:8" ht="25.05" customHeight="1" x14ac:dyDescent="0.25">
      <c r="A1192" s="2" t="s">
        <v>8</v>
      </c>
      <c r="B1192" s="2" t="str">
        <f>HYPERLINK("http://ts.21cn.com/tousu/show/id/1331680","暴力催收高额前期费用")</f>
        <v>暴力催收高额前期费用</v>
      </c>
      <c r="C1192" s="2" t="s">
        <v>9</v>
      </c>
      <c r="D1192" s="2" t="s">
        <v>10</v>
      </c>
      <c r="E1192" s="2" t="str">
        <f>HYPERLINK("http://ts.21cn.com/tousu/show/id/1331680","http://ts.21cn.com/tousu/show/id/1331680")</f>
        <v>http://ts.21cn.com/tousu/show/id/1331680</v>
      </c>
      <c r="F1192" s="2" t="s">
        <v>11</v>
      </c>
      <c r="G1192" s="2" t="s">
        <v>41806</v>
      </c>
      <c r="H1192" s="2" t="s">
        <v>41807</v>
      </c>
    </row>
    <row r="1193" spans="1:8" ht="25.05" customHeight="1" x14ac:dyDescent="0.25">
      <c r="A1193" s="2" t="s">
        <v>8</v>
      </c>
      <c r="B1193" s="2" t="str">
        <f>HYPERLINK("http://ts.21cn.com/tousu/show/id/1331647","拼多多商家虚假宣传")</f>
        <v>拼多多商家虚假宣传</v>
      </c>
      <c r="C1193" s="2" t="s">
        <v>9</v>
      </c>
      <c r="D1193" s="2" t="s">
        <v>10</v>
      </c>
      <c r="E1193" s="2" t="str">
        <f>HYPERLINK("http://ts.21cn.com/tousu/show/id/1331647","http://ts.21cn.com/tousu/show/id/1331647")</f>
        <v>http://ts.21cn.com/tousu/show/id/1331647</v>
      </c>
      <c r="F1193" s="2" t="s">
        <v>11</v>
      </c>
      <c r="G1193" s="2" t="s">
        <v>41804</v>
      </c>
      <c r="H1193" s="2" t="s">
        <v>41805</v>
      </c>
    </row>
    <row r="1194" spans="1:8" ht="25.05" customHeight="1" x14ac:dyDescent="0.25">
      <c r="A1194" s="2" t="s">
        <v>8</v>
      </c>
      <c r="B1194" s="2" t="str">
        <f>HYPERLINK("http://ts.21cn.com/tousu/show/id/1331681","对啊网霸王条款不肯退费")</f>
        <v>对啊网霸王条款不肯退费</v>
      </c>
      <c r="C1194" s="2" t="s">
        <v>9</v>
      </c>
      <c r="D1194" s="2" t="s">
        <v>10</v>
      </c>
      <c r="E1194" s="2" t="str">
        <f>HYPERLINK("http://ts.21cn.com/tousu/show/id/1331681","http://ts.21cn.com/tousu/show/id/1331681")</f>
        <v>http://ts.21cn.com/tousu/show/id/1331681</v>
      </c>
      <c r="F1194" s="2" t="s">
        <v>11</v>
      </c>
      <c r="G1194" s="2" t="s">
        <v>41802</v>
      </c>
      <c r="H1194" s="2" t="s">
        <v>41803</v>
      </c>
    </row>
    <row r="1195" spans="1:8" ht="25.05" customHeight="1" x14ac:dyDescent="0.25">
      <c r="A1195" s="2" t="s">
        <v>8</v>
      </c>
      <c r="B1195" s="2" t="str">
        <f>HYPERLINK("http://ts.21cn.com/tousu/show/id/1331682","上海银生宝无忌惮为博彩平台提供收单服务，拒不处理用户投诉")</f>
        <v>上海银生宝无忌惮为博彩平台提供收单服务，拒不处理用户投诉</v>
      </c>
      <c r="C1195" s="2" t="s">
        <v>9</v>
      </c>
      <c r="D1195" s="2" t="s">
        <v>10</v>
      </c>
      <c r="E1195" s="2" t="str">
        <f>HYPERLINK("http://ts.21cn.com/tousu/show/id/1331682","http://ts.21cn.com/tousu/show/id/1331682")</f>
        <v>http://ts.21cn.com/tousu/show/id/1331682</v>
      </c>
      <c r="F1195" s="2" t="s">
        <v>11</v>
      </c>
      <c r="G1195" s="2" t="s">
        <v>41800</v>
      </c>
      <c r="H1195" s="2" t="s">
        <v>41801</v>
      </c>
    </row>
    <row r="1196" spans="1:8" ht="25.05" customHeight="1" x14ac:dyDescent="0.25">
      <c r="A1196" s="2" t="s">
        <v>8</v>
      </c>
      <c r="B1196" s="2" t="str">
        <f>HYPERLINK("http://ts.21cn.com/tousu/show/id/1331670","骚扰，轰炸通讯录，辱骂")</f>
        <v>骚扰，轰炸通讯录，辱骂</v>
      </c>
      <c r="C1196" s="2" t="s">
        <v>9</v>
      </c>
      <c r="D1196" s="2" t="s">
        <v>10</v>
      </c>
      <c r="E1196" s="2" t="str">
        <f>HYPERLINK("http://ts.21cn.com/tousu/show/id/1331670","http://ts.21cn.com/tousu/show/id/1331670")</f>
        <v>http://ts.21cn.com/tousu/show/id/1331670</v>
      </c>
      <c r="F1196" s="2" t="s">
        <v>11</v>
      </c>
      <c r="G1196" s="2" t="s">
        <v>41798</v>
      </c>
      <c r="H1196" s="2" t="s">
        <v>41799</v>
      </c>
    </row>
    <row r="1197" spans="1:8" ht="25.05" customHeight="1" x14ac:dyDescent="0.25">
      <c r="A1197" s="2" t="s">
        <v>8</v>
      </c>
      <c r="B1197" s="2" t="str">
        <f>HYPERLINK("http://ts.21cn.com/tousu/show/id/1260060","同程提前游前期费用利率超额高利贷萤火虫小贷放款方")</f>
        <v>同程提前游前期费用利率超额高利贷萤火虫小贷放款方</v>
      </c>
      <c r="C1197" s="2" t="s">
        <v>9</v>
      </c>
      <c r="D1197" s="2" t="s">
        <v>10</v>
      </c>
      <c r="E1197" s="2" t="str">
        <f>HYPERLINK("http://ts.21cn.com/tousu/show/id/1260060","http://ts.21cn.com/tousu/show/id/1260060")</f>
        <v>http://ts.21cn.com/tousu/show/id/1260060</v>
      </c>
      <c r="F1197" s="2" t="s">
        <v>11</v>
      </c>
      <c r="G1197" s="2" t="s">
        <v>41796</v>
      </c>
      <c r="H1197" s="2" t="s">
        <v>41797</v>
      </c>
    </row>
    <row r="1198" spans="1:8" ht="25.05" customHeight="1" x14ac:dyDescent="0.25">
      <c r="A1198" s="2" t="s">
        <v>8</v>
      </c>
      <c r="B1198" s="2" t="str">
        <f>HYPERLINK("http://ts.21cn.com/tousu/show/id/1331684","台铃虚假宣传")</f>
        <v>台铃虚假宣传</v>
      </c>
      <c r="C1198" s="2" t="s">
        <v>9</v>
      </c>
      <c r="D1198" s="2" t="s">
        <v>10</v>
      </c>
      <c r="E1198" s="2" t="str">
        <f>HYPERLINK("http://ts.21cn.com/tousu/show/id/1331684","http://ts.21cn.com/tousu/show/id/1331684")</f>
        <v>http://ts.21cn.com/tousu/show/id/1331684</v>
      </c>
      <c r="F1198" s="2" t="s">
        <v>11</v>
      </c>
      <c r="G1198" s="2" t="s">
        <v>41794</v>
      </c>
      <c r="H1198" s="2" t="s">
        <v>41795</v>
      </c>
    </row>
    <row r="1199" spans="1:8" ht="25.05" customHeight="1" x14ac:dyDescent="0.25">
      <c r="A1199" s="2" t="s">
        <v>8</v>
      </c>
      <c r="B1199" s="2" t="str">
        <f>HYPERLINK("http://ts.21cn.com/tousu/show/id/1331685","钱站涉及高利贷，违法放贷")</f>
        <v>钱站涉及高利贷，违法放贷</v>
      </c>
      <c r="C1199" s="2" t="s">
        <v>9</v>
      </c>
      <c r="D1199" s="2" t="s">
        <v>10</v>
      </c>
      <c r="E1199" s="2" t="str">
        <f>HYPERLINK("http://ts.21cn.com/tousu/show/id/1331685","http://ts.21cn.com/tousu/show/id/1331685")</f>
        <v>http://ts.21cn.com/tousu/show/id/1331685</v>
      </c>
      <c r="F1199" s="2" t="s">
        <v>11</v>
      </c>
      <c r="G1199" s="2" t="s">
        <v>41792</v>
      </c>
      <c r="H1199" s="2" t="s">
        <v>41793</v>
      </c>
    </row>
    <row r="1200" spans="1:8" ht="25.05" customHeight="1" x14ac:dyDescent="0.25">
      <c r="A1200" s="2" t="s">
        <v>8</v>
      </c>
      <c r="B1200" s="2" t="str">
        <f>HYPERLINK("http://ts.21cn.com/tousu/show/id/1331686","上海拍拍贷高利，不讲信用")</f>
        <v>上海拍拍贷高利，不讲信用</v>
      </c>
      <c r="C1200" s="2" t="s">
        <v>9</v>
      </c>
      <c r="D1200" s="2" t="s">
        <v>10</v>
      </c>
      <c r="E1200" s="2" t="str">
        <f>HYPERLINK("http://ts.21cn.com/tousu/show/id/1331686","http://ts.21cn.com/tousu/show/id/1331686")</f>
        <v>http://ts.21cn.com/tousu/show/id/1331686</v>
      </c>
      <c r="F1200" s="2" t="s">
        <v>11</v>
      </c>
      <c r="G1200" s="2" t="s">
        <v>41790</v>
      </c>
      <c r="H1200" s="2" t="s">
        <v>41791</v>
      </c>
    </row>
    <row r="1201" spans="1:8" ht="25.05" customHeight="1" x14ac:dyDescent="0.25">
      <c r="A1201" s="2" t="s">
        <v>8</v>
      </c>
      <c r="B1201" s="2" t="str">
        <f>HYPERLINK("http://ts.21cn.com/tousu/show/id/1331688","要求爱回收履行承诺")</f>
        <v>要求爱回收履行承诺</v>
      </c>
      <c r="C1201" s="2" t="s">
        <v>9</v>
      </c>
      <c r="D1201" s="2" t="s">
        <v>10</v>
      </c>
      <c r="E1201" s="2" t="str">
        <f>HYPERLINK("http://ts.21cn.com/tousu/show/id/1331688","http://ts.21cn.com/tousu/show/id/1331688")</f>
        <v>http://ts.21cn.com/tousu/show/id/1331688</v>
      </c>
      <c r="F1201" s="2" t="s">
        <v>11</v>
      </c>
      <c r="G1201" s="2" t="s">
        <v>41788</v>
      </c>
      <c r="H1201" s="2" t="s">
        <v>41789</v>
      </c>
    </row>
    <row r="1202" spans="1:8" ht="25.05" customHeight="1" x14ac:dyDescent="0.25">
      <c r="A1202" s="2" t="s">
        <v>8</v>
      </c>
      <c r="B1202" s="2" t="str">
        <f>HYPERLINK("http://ts.21cn.com/tousu/show/id/1331683","客服没人接电话，办事找不到人")</f>
        <v>客服没人接电话，办事找不到人</v>
      </c>
      <c r="C1202" s="2" t="s">
        <v>9</v>
      </c>
      <c r="D1202" s="2" t="s">
        <v>10</v>
      </c>
      <c r="E1202" s="2" t="str">
        <f>HYPERLINK("http://ts.21cn.com/tousu/show/id/1331683","http://ts.21cn.com/tousu/show/id/1331683")</f>
        <v>http://ts.21cn.com/tousu/show/id/1331683</v>
      </c>
      <c r="F1202" s="2" t="s">
        <v>11</v>
      </c>
      <c r="G1202" s="2" t="s">
        <v>41786</v>
      </c>
      <c r="H1202" s="2" t="s">
        <v>41787</v>
      </c>
    </row>
    <row r="1203" spans="1:8" ht="25.05" customHeight="1" x14ac:dyDescent="0.25">
      <c r="A1203" s="2" t="s">
        <v>8</v>
      </c>
      <c r="B1203" s="2" t="str">
        <f>HYPERLINK("http://ts.21cn.com/tousu/show/id/1331690","借款到账扣的担保费")</f>
        <v>借款到账扣的担保费</v>
      </c>
      <c r="C1203" s="2" t="s">
        <v>9</v>
      </c>
      <c r="D1203" s="2" t="s">
        <v>10</v>
      </c>
      <c r="E1203" s="2" t="str">
        <f>HYPERLINK("http://ts.21cn.com/tousu/show/id/1331690","http://ts.21cn.com/tousu/show/id/1331690")</f>
        <v>http://ts.21cn.com/tousu/show/id/1331690</v>
      </c>
      <c r="F1203" s="2" t="s">
        <v>11</v>
      </c>
      <c r="G1203" s="2" t="s">
        <v>41784</v>
      </c>
      <c r="H1203" s="2" t="s">
        <v>41785</v>
      </c>
    </row>
    <row r="1204" spans="1:8" ht="25.05" customHeight="1" x14ac:dyDescent="0.25">
      <c r="A1204" s="2" t="s">
        <v>8</v>
      </c>
      <c r="B1204" s="2" t="str">
        <f>HYPERLINK("http://ts.21cn.com/tousu/show/id/1331689","杭州伟福科技有限公司乱扣费")</f>
        <v>杭州伟福科技有限公司乱扣费</v>
      </c>
      <c r="C1204" s="2" t="s">
        <v>9</v>
      </c>
      <c r="D1204" s="2" t="s">
        <v>10</v>
      </c>
      <c r="E1204" s="2" t="str">
        <f>HYPERLINK("http://ts.21cn.com/tousu/show/id/1331689","http://ts.21cn.com/tousu/show/id/1331689")</f>
        <v>http://ts.21cn.com/tousu/show/id/1331689</v>
      </c>
      <c r="F1204" s="2" t="s">
        <v>11</v>
      </c>
      <c r="G1204" s="2" t="s">
        <v>41782</v>
      </c>
      <c r="H1204" s="2" t="s">
        <v>41783</v>
      </c>
    </row>
    <row r="1205" spans="1:8" ht="25.05" customHeight="1" x14ac:dyDescent="0.25">
      <c r="A1205" s="2" t="s">
        <v>8</v>
      </c>
      <c r="B1205" s="2" t="str">
        <f>HYPERLINK("http://ts.21cn.com/tousu/show/id/1331693","钱站高利贷阴阳合同")</f>
        <v>钱站高利贷阴阳合同</v>
      </c>
      <c r="C1205" s="2" t="s">
        <v>9</v>
      </c>
      <c r="D1205" s="2" t="s">
        <v>10</v>
      </c>
      <c r="E1205" s="2" t="str">
        <f>HYPERLINK("http://ts.21cn.com/tousu/show/id/1331693","http://ts.21cn.com/tousu/show/id/1331693")</f>
        <v>http://ts.21cn.com/tousu/show/id/1331693</v>
      </c>
      <c r="F1205" s="2" t="s">
        <v>11</v>
      </c>
      <c r="G1205" s="2" t="s">
        <v>41780</v>
      </c>
      <c r="H1205" s="2" t="s">
        <v>41781</v>
      </c>
    </row>
    <row r="1206" spans="1:8" ht="25.05" customHeight="1" x14ac:dyDescent="0.25">
      <c r="A1206" s="2" t="s">
        <v>8</v>
      </c>
      <c r="B1206" s="2" t="str">
        <f>HYPERLINK("http://ts.21cn.com/tousu/show/id/1331694","高利贷、本人愿意还款、希望协商延期到10号发工资还款。")</f>
        <v>高利贷、本人愿意还款、希望协商延期到10号发工资还款。</v>
      </c>
      <c r="C1206" s="2" t="s">
        <v>9</v>
      </c>
      <c r="D1206" s="2" t="s">
        <v>10</v>
      </c>
      <c r="E1206" s="2" t="str">
        <f>HYPERLINK("http://ts.21cn.com/tousu/show/id/1331694","http://ts.21cn.com/tousu/show/id/1331694")</f>
        <v>http://ts.21cn.com/tousu/show/id/1331694</v>
      </c>
      <c r="F1206" s="2" t="s">
        <v>11</v>
      </c>
      <c r="G1206" s="2" t="s">
        <v>41778</v>
      </c>
      <c r="H1206" s="2" t="s">
        <v>41779</v>
      </c>
    </row>
    <row r="1207" spans="1:8" ht="25.05" customHeight="1" x14ac:dyDescent="0.25">
      <c r="A1207" s="2" t="s">
        <v>8</v>
      </c>
      <c r="B1207" s="2" t="str">
        <f>HYPERLINK("http://ts.21cn.com/tousu/show/id/1330403","盛pos刷卡机销售人员以办理信用卡为由人办理他们POS机，押金不推退")</f>
        <v>盛pos刷卡机销售人员以办理信用卡为由人办理他们POS机，押金不推退</v>
      </c>
      <c r="C1207" s="2" t="s">
        <v>9</v>
      </c>
      <c r="D1207" s="2" t="s">
        <v>10</v>
      </c>
      <c r="E1207" s="2" t="str">
        <f>HYPERLINK("http://ts.21cn.com/tousu/show/id/1330403","http://ts.21cn.com/tousu/show/id/1330403")</f>
        <v>http://ts.21cn.com/tousu/show/id/1330403</v>
      </c>
      <c r="F1207" s="2" t="s">
        <v>11</v>
      </c>
      <c r="G1207" s="2" t="s">
        <v>41776</v>
      </c>
      <c r="H1207" s="2" t="s">
        <v>41777</v>
      </c>
    </row>
    <row r="1208" spans="1:8" ht="25.05" customHeight="1" x14ac:dyDescent="0.25">
      <c r="A1208" s="2" t="s">
        <v>8</v>
      </c>
      <c r="B1208" s="2" t="str">
        <f>HYPERLINK("http://ts.21cn.com/tousu/show/id/1331695","从没有在他平台上借过现在打电话逾期了说我欠款2000")</f>
        <v>从没有在他平台上借过现在打电话逾期了说我欠款2000</v>
      </c>
      <c r="C1208" s="2" t="s">
        <v>34</v>
      </c>
      <c r="D1208" s="2" t="s">
        <v>10</v>
      </c>
      <c r="E1208" s="2" t="str">
        <f>HYPERLINK("http://ts.21cn.com/tousu/show/id/1331695","http://ts.21cn.com/tousu/show/id/1331695")</f>
        <v>http://ts.21cn.com/tousu/show/id/1331695</v>
      </c>
      <c r="F1208" s="2" t="s">
        <v>11</v>
      </c>
      <c r="G1208" s="2" t="s">
        <v>41774</v>
      </c>
      <c r="H1208" s="2" t="s">
        <v>41775</v>
      </c>
    </row>
    <row r="1209" spans="1:8" ht="25.05" customHeight="1" x14ac:dyDescent="0.25">
      <c r="A1209" s="2" t="s">
        <v>8</v>
      </c>
      <c r="B1209" s="2" t="str">
        <f>HYPERLINK("http://ts.21cn.com/tousu/show/id/1331696","因国庆原因工资需要晚6天到账，希望不要催收不要骚扰我家人，六天以后产生的逾期费我正常支付")</f>
        <v>因国庆原因工资需要晚6天到账，希望不要催收不要骚扰我家人，六天以后产生的逾期费我正常支付</v>
      </c>
      <c r="C1209" s="2" t="s">
        <v>9</v>
      </c>
      <c r="D1209" s="2" t="s">
        <v>10</v>
      </c>
      <c r="E1209" s="2" t="str">
        <f>HYPERLINK("http://ts.21cn.com/tousu/show/id/1331696","http://ts.21cn.com/tousu/show/id/1331696")</f>
        <v>http://ts.21cn.com/tousu/show/id/1331696</v>
      </c>
      <c r="F1209" s="2" t="s">
        <v>11</v>
      </c>
      <c r="G1209" s="2" t="s">
        <v>41772</v>
      </c>
      <c r="H1209" s="2" t="s">
        <v>41773</v>
      </c>
    </row>
    <row r="1210" spans="1:8" ht="25.05" customHeight="1" x14ac:dyDescent="0.25">
      <c r="A1210" s="2" t="s">
        <v>8</v>
      </c>
      <c r="B1210" s="2" t="str">
        <f>HYPERLINK("http://ts.21cn.com/tousu/show/id/1331697","未经允许扣款")</f>
        <v>未经允许扣款</v>
      </c>
      <c r="C1210" s="2" t="s">
        <v>9</v>
      </c>
      <c r="D1210" s="2" t="s">
        <v>10</v>
      </c>
      <c r="E1210" s="2" t="str">
        <f>HYPERLINK("http://ts.21cn.com/tousu/show/id/1331697","http://ts.21cn.com/tousu/show/id/1331697")</f>
        <v>http://ts.21cn.com/tousu/show/id/1331697</v>
      </c>
      <c r="F1210" s="2" t="s">
        <v>11</v>
      </c>
      <c r="G1210" s="2" t="s">
        <v>41770</v>
      </c>
      <c r="H1210" s="2" t="s">
        <v>41771</v>
      </c>
    </row>
    <row r="1211" spans="1:8" ht="25.05" customHeight="1" x14ac:dyDescent="0.25">
      <c r="A1211" s="2" t="s">
        <v>8</v>
      </c>
      <c r="B1211" s="2" t="str">
        <f>HYPERLINK("http://ts.21cn.com/tousu/show/id/1331698","拼多多坑害消费者")</f>
        <v>拼多多坑害消费者</v>
      </c>
      <c r="C1211" s="2" t="s">
        <v>9</v>
      </c>
      <c r="D1211" s="2" t="s">
        <v>10</v>
      </c>
      <c r="E1211" s="2" t="str">
        <f>HYPERLINK("http://ts.21cn.com/tousu/show/id/1331698","http://ts.21cn.com/tousu/show/id/1331698")</f>
        <v>http://ts.21cn.com/tousu/show/id/1331698</v>
      </c>
      <c r="F1211" s="2" t="s">
        <v>11</v>
      </c>
      <c r="G1211" s="2" t="s">
        <v>41768</v>
      </c>
      <c r="H1211" s="2" t="s">
        <v>41769</v>
      </c>
    </row>
    <row r="1212" spans="1:8" ht="25.05" customHeight="1" x14ac:dyDescent="0.25">
      <c r="A1212" s="2" t="s">
        <v>8</v>
      </c>
      <c r="B1212" s="2" t="str">
        <f>HYPERLINK("http://ts.21cn.com/tousu/show/id/1331699","捷信骚扰威胁暴力催收")</f>
        <v>捷信骚扰威胁暴力催收</v>
      </c>
      <c r="C1212" s="2" t="s">
        <v>9</v>
      </c>
      <c r="D1212" s="2" t="s">
        <v>10</v>
      </c>
      <c r="E1212" s="2" t="str">
        <f>HYPERLINK("http://ts.21cn.com/tousu/show/id/1331699","http://ts.21cn.com/tousu/show/id/1331699")</f>
        <v>http://ts.21cn.com/tousu/show/id/1331699</v>
      </c>
      <c r="F1212" s="2" t="s">
        <v>11</v>
      </c>
      <c r="G1212" s="2" t="s">
        <v>41766</v>
      </c>
      <c r="H1212" s="2" t="s">
        <v>41767</v>
      </c>
    </row>
    <row r="1213" spans="1:8" ht="25.05" customHeight="1" x14ac:dyDescent="0.25">
      <c r="A1213" s="2" t="s">
        <v>8</v>
      </c>
      <c r="B1213" s="2" t="str">
        <f>HYPERLINK("http://ts.21cn.com/tousu/show/id/1331700","捷信分期工作人员坑")</f>
        <v>捷信分期工作人员坑</v>
      </c>
      <c r="C1213" s="2" t="s">
        <v>9</v>
      </c>
      <c r="D1213" s="2" t="s">
        <v>10</v>
      </c>
      <c r="E1213" s="2" t="str">
        <f>HYPERLINK("http://ts.21cn.com/tousu/show/id/1331700","http://ts.21cn.com/tousu/show/id/1331700")</f>
        <v>http://ts.21cn.com/tousu/show/id/1331700</v>
      </c>
      <c r="F1213" s="2" t="s">
        <v>11</v>
      </c>
      <c r="G1213" s="2" t="s">
        <v>41764</v>
      </c>
      <c r="H1213" s="2" t="s">
        <v>41765</v>
      </c>
    </row>
    <row r="1214" spans="1:8" ht="25.05" customHeight="1" x14ac:dyDescent="0.25">
      <c r="A1214" s="2" t="s">
        <v>8</v>
      </c>
      <c r="B1214" s="2" t="str">
        <f>HYPERLINK("http://ts.21cn.com/tousu/show/id/1331701","智行火车票APP不退机票款")</f>
        <v>智行火车票APP不退机票款</v>
      </c>
      <c r="C1214" s="2" t="s">
        <v>9</v>
      </c>
      <c r="D1214" s="2" t="s">
        <v>10</v>
      </c>
      <c r="E1214" s="2" t="str">
        <f>HYPERLINK("http://ts.21cn.com/tousu/show/id/1331701","http://ts.21cn.com/tousu/show/id/1331701")</f>
        <v>http://ts.21cn.com/tousu/show/id/1331701</v>
      </c>
      <c r="F1214" s="2" t="s">
        <v>11</v>
      </c>
      <c r="G1214" s="2" t="s">
        <v>41762</v>
      </c>
      <c r="H1214" s="2" t="s">
        <v>41763</v>
      </c>
    </row>
    <row r="1215" spans="1:8" ht="25.05" customHeight="1" x14ac:dyDescent="0.25">
      <c r="A1215" s="2" t="s">
        <v>8</v>
      </c>
      <c r="B1215" s="2" t="str">
        <f>HYPERLINK("http://ts.21cn.com/tousu/show/id/1331702","投诉约虾每天骚扰短信")</f>
        <v>投诉约虾每天骚扰短信</v>
      </c>
      <c r="C1215" s="2" t="s">
        <v>9</v>
      </c>
      <c r="D1215" s="2" t="s">
        <v>10</v>
      </c>
      <c r="E1215" s="2" t="str">
        <f>HYPERLINK("http://ts.21cn.com/tousu/show/id/1331702","http://ts.21cn.com/tousu/show/id/1331702")</f>
        <v>http://ts.21cn.com/tousu/show/id/1331702</v>
      </c>
      <c r="F1215" s="2" t="s">
        <v>11</v>
      </c>
      <c r="G1215" s="2" t="s">
        <v>41760</v>
      </c>
      <c r="H1215" s="2" t="s">
        <v>41761</v>
      </c>
    </row>
    <row r="1216" spans="1:8" ht="25.05" customHeight="1" x14ac:dyDescent="0.25">
      <c r="A1216" s="2" t="s">
        <v>8</v>
      </c>
      <c r="B1216" s="2" t="str">
        <f>HYPERLINK("http://ts.21cn.com/tousu/show/id/1331703","火花塞假冒赔偿产品费用及维修费用并道歉")</f>
        <v>火花塞假冒赔偿产品费用及维修费用并道歉</v>
      </c>
      <c r="C1216" s="2" t="s">
        <v>9</v>
      </c>
      <c r="D1216" s="2" t="s">
        <v>10</v>
      </c>
      <c r="E1216" s="2" t="str">
        <f>HYPERLINK("http://ts.21cn.com/tousu/show/id/1331703","http://ts.21cn.com/tousu/show/id/1331703")</f>
        <v>http://ts.21cn.com/tousu/show/id/1331703</v>
      </c>
      <c r="F1216" s="2" t="s">
        <v>11</v>
      </c>
      <c r="G1216" s="2" t="s">
        <v>41758</v>
      </c>
      <c r="H1216" s="2" t="s">
        <v>41759</v>
      </c>
    </row>
    <row r="1217" spans="1:8" ht="25.05" customHeight="1" x14ac:dyDescent="0.25">
      <c r="A1217" s="2" t="s">
        <v>8</v>
      </c>
      <c r="B1217" s="2" t="str">
        <f>HYPERLINK("http://ts.21cn.com/tousu/show/id/1331705","捷信")</f>
        <v>捷信</v>
      </c>
      <c r="C1217" s="2" t="s">
        <v>9</v>
      </c>
      <c r="D1217" s="2" t="s">
        <v>10</v>
      </c>
      <c r="E1217" s="2" t="str">
        <f>HYPERLINK("http://ts.21cn.com/tousu/show/id/1331705","http://ts.21cn.com/tousu/show/id/1331705")</f>
        <v>http://ts.21cn.com/tousu/show/id/1331705</v>
      </c>
      <c r="F1217" s="2" t="s">
        <v>11</v>
      </c>
      <c r="G1217" s="2" t="s">
        <v>41756</v>
      </c>
      <c r="H1217" s="2" t="s">
        <v>41757</v>
      </c>
    </row>
    <row r="1218" spans="1:8" ht="25.05" customHeight="1" x14ac:dyDescent="0.25">
      <c r="A1218" s="2" t="s">
        <v>8</v>
      </c>
      <c r="B1218" s="2" t="str">
        <f>HYPERLINK("http://ts.21cn.com/tousu/show/id/1331706","拼多多绑定支付宝免密支付没买东西莫名其妙被扣款")</f>
        <v>拼多多绑定支付宝免密支付没买东西莫名其妙被扣款</v>
      </c>
      <c r="C1218" s="2" t="s">
        <v>9</v>
      </c>
      <c r="D1218" s="2" t="s">
        <v>10</v>
      </c>
      <c r="E1218" s="2" t="str">
        <f>HYPERLINK("http://ts.21cn.com/tousu/show/id/1331706","http://ts.21cn.com/tousu/show/id/1331706")</f>
        <v>http://ts.21cn.com/tousu/show/id/1331706</v>
      </c>
      <c r="F1218" s="2" t="s">
        <v>11</v>
      </c>
      <c r="G1218" s="2" t="s">
        <v>41754</v>
      </c>
      <c r="H1218" s="2" t="s">
        <v>41755</v>
      </c>
    </row>
    <row r="1219" spans="1:8" ht="25.05" customHeight="1" x14ac:dyDescent="0.25">
      <c r="A1219" s="2" t="s">
        <v>8</v>
      </c>
      <c r="B1219" s="2" t="str">
        <f>HYPERLINK("http://ts.21cn.com/tousu/show/id/1331708","处处软件涉嫌引导诱惑消费者消费")</f>
        <v>处处软件涉嫌引导诱惑消费者消费</v>
      </c>
      <c r="C1219" s="2" t="s">
        <v>9</v>
      </c>
      <c r="D1219" s="2" t="s">
        <v>10</v>
      </c>
      <c r="E1219" s="2" t="str">
        <f>HYPERLINK("http://ts.21cn.com/tousu/show/id/1331708","http://ts.21cn.com/tousu/show/id/1331708")</f>
        <v>http://ts.21cn.com/tousu/show/id/1331708</v>
      </c>
      <c r="F1219" s="2" t="s">
        <v>11</v>
      </c>
      <c r="G1219" s="2" t="s">
        <v>41751</v>
      </c>
      <c r="H1219" s="2" t="s">
        <v>41752</v>
      </c>
    </row>
    <row r="1220" spans="1:8" ht="25.05" customHeight="1" x14ac:dyDescent="0.25">
      <c r="A1220" s="2" t="s">
        <v>8</v>
      </c>
      <c r="B1220" s="2" t="str">
        <f>HYPERLINK("http://ts.21cn.com/tousu/show/id/1331707","环球融租套路贷平台，与合利宝合作")</f>
        <v>环球融租套路贷平台，与合利宝合作</v>
      </c>
      <c r="C1220" s="2" t="s">
        <v>9</v>
      </c>
      <c r="D1220" s="2" t="s">
        <v>10</v>
      </c>
      <c r="E1220" s="2" t="str">
        <f>HYPERLINK("http://ts.21cn.com/tousu/show/id/1331707","http://ts.21cn.com/tousu/show/id/1331707")</f>
        <v>http://ts.21cn.com/tousu/show/id/1331707</v>
      </c>
      <c r="F1220" s="2" t="s">
        <v>11</v>
      </c>
      <c r="G1220" s="2" t="s">
        <v>41751</v>
      </c>
      <c r="H1220" s="2" t="s">
        <v>41753</v>
      </c>
    </row>
    <row r="1221" spans="1:8" ht="25.05" customHeight="1" x14ac:dyDescent="0.25">
      <c r="A1221" s="2" t="s">
        <v>8</v>
      </c>
      <c r="B1221" s="2" t="str">
        <f>HYPERLINK("http://ts.21cn.com/tousu/show/id/1331709","天津美莱口腔不退押金")</f>
        <v>天津美莱口腔不退押金</v>
      </c>
      <c r="C1221" s="2" t="s">
        <v>9</v>
      </c>
      <c r="D1221" s="2" t="s">
        <v>10</v>
      </c>
      <c r="E1221" s="2" t="str">
        <f>HYPERLINK("http://ts.21cn.com/tousu/show/id/1331709","http://ts.21cn.com/tousu/show/id/1331709")</f>
        <v>http://ts.21cn.com/tousu/show/id/1331709</v>
      </c>
      <c r="F1221" s="2" t="s">
        <v>11</v>
      </c>
      <c r="G1221" s="2" t="s">
        <v>41749</v>
      </c>
      <c r="H1221" s="2" t="s">
        <v>41750</v>
      </c>
    </row>
    <row r="1222" spans="1:8" ht="25.05" customHeight="1" x14ac:dyDescent="0.25">
      <c r="A1222" s="2" t="s">
        <v>8</v>
      </c>
      <c r="B1222" s="2" t="str">
        <f>HYPERLINK("http://ts.21cn.com/tousu/show/id/1331710","欺诈")</f>
        <v>欺诈</v>
      </c>
      <c r="C1222" s="2" t="s">
        <v>9</v>
      </c>
      <c r="D1222" s="2" t="s">
        <v>10</v>
      </c>
      <c r="E1222" s="2" t="str">
        <f>HYPERLINK("http://ts.21cn.com/tousu/show/id/1331710","http://ts.21cn.com/tousu/show/id/1331710")</f>
        <v>http://ts.21cn.com/tousu/show/id/1331710</v>
      </c>
      <c r="F1222" s="2" t="s">
        <v>11</v>
      </c>
      <c r="G1222" s="2" t="s">
        <v>41747</v>
      </c>
      <c r="H1222" s="2" t="s">
        <v>41748</v>
      </c>
    </row>
    <row r="1223" spans="1:8" ht="25.05" customHeight="1" x14ac:dyDescent="0.25">
      <c r="A1223" s="2" t="s">
        <v>8</v>
      </c>
      <c r="B1223" s="2" t="str">
        <f>HYPERLINK("http://ts.21cn.com/tousu/show/id/1331711","钱站高利贷阴阳合同")</f>
        <v>钱站高利贷阴阳合同</v>
      </c>
      <c r="C1223" s="2" t="s">
        <v>9</v>
      </c>
      <c r="D1223" s="2" t="s">
        <v>10</v>
      </c>
      <c r="E1223" s="2" t="str">
        <f>HYPERLINK("http://ts.21cn.com/tousu/show/id/1331711","http://ts.21cn.com/tousu/show/id/1331711")</f>
        <v>http://ts.21cn.com/tousu/show/id/1331711</v>
      </c>
      <c r="F1223" s="2" t="s">
        <v>11</v>
      </c>
      <c r="G1223" s="2" t="s">
        <v>41745</v>
      </c>
      <c r="H1223" s="2" t="s">
        <v>41746</v>
      </c>
    </row>
    <row r="1224" spans="1:8" ht="25.05" customHeight="1" x14ac:dyDescent="0.25">
      <c r="A1224" s="2" t="s">
        <v>8</v>
      </c>
      <c r="B1224" s="2" t="str">
        <f>HYPERLINK("http://ts.21cn.com/tousu/show/id/1331712","天翼云盘黄金会员擅自限制下载速度")</f>
        <v>天翼云盘黄金会员擅自限制下载速度</v>
      </c>
      <c r="C1224" s="2" t="s">
        <v>9</v>
      </c>
      <c r="D1224" s="2" t="s">
        <v>10</v>
      </c>
      <c r="E1224" s="2" t="str">
        <f>HYPERLINK("http://ts.21cn.com/tousu/show/id/1331712","http://ts.21cn.com/tousu/show/id/1331712")</f>
        <v>http://ts.21cn.com/tousu/show/id/1331712</v>
      </c>
      <c r="F1224" s="2" t="s">
        <v>11</v>
      </c>
      <c r="G1224" s="2" t="s">
        <v>41743</v>
      </c>
      <c r="H1224" s="2" t="s">
        <v>41744</v>
      </c>
    </row>
    <row r="1225" spans="1:8" ht="25.05" customHeight="1" x14ac:dyDescent="0.25">
      <c r="A1225" s="2" t="s">
        <v>8</v>
      </c>
      <c r="B1225" s="2" t="str">
        <f>HYPERLINK("http://ts.21cn.com/tousu/show/id/1331713","APPLE手表故障，京东售后推诿责任")</f>
        <v>APPLE手表故障，京东售后推诿责任</v>
      </c>
      <c r="C1225" s="2" t="s">
        <v>9</v>
      </c>
      <c r="D1225" s="2" t="s">
        <v>10</v>
      </c>
      <c r="E1225" s="2" t="str">
        <f>HYPERLINK("http://ts.21cn.com/tousu/show/id/1331713","http://ts.21cn.com/tousu/show/id/1331713")</f>
        <v>http://ts.21cn.com/tousu/show/id/1331713</v>
      </c>
      <c r="F1225" s="2" t="s">
        <v>11</v>
      </c>
      <c r="G1225" s="2" t="s">
        <v>41741</v>
      </c>
      <c r="H1225" s="2" t="s">
        <v>41742</v>
      </c>
    </row>
    <row r="1226" spans="1:8" ht="25.05" customHeight="1" x14ac:dyDescent="0.25">
      <c r="A1226" s="2" t="s">
        <v>8</v>
      </c>
      <c r="B1226" s="2" t="str">
        <f>HYPERLINK("http://ts.21cn.com/tousu/show/id/1331691","钱民贷虚假借款平台，陷阱")</f>
        <v>钱民贷虚假借款平台，陷阱</v>
      </c>
      <c r="C1226" s="2" t="s">
        <v>9</v>
      </c>
      <c r="D1226" s="2" t="s">
        <v>10</v>
      </c>
      <c r="E1226" s="2" t="str">
        <f>HYPERLINK("http://ts.21cn.com/tousu/show/id/1331691","http://ts.21cn.com/tousu/show/id/1331691")</f>
        <v>http://ts.21cn.com/tousu/show/id/1331691</v>
      </c>
      <c r="F1226" s="2" t="s">
        <v>11</v>
      </c>
      <c r="G1226" s="2" t="s">
        <v>41739</v>
      </c>
      <c r="H1226" s="2" t="s">
        <v>41740</v>
      </c>
    </row>
    <row r="1227" spans="1:8" ht="25.05" customHeight="1" x14ac:dyDescent="0.25">
      <c r="A1227" s="2" t="s">
        <v>8</v>
      </c>
      <c r="B1227" s="2" t="str">
        <f>HYPERLINK("http://ts.21cn.com/tousu/show/id/1331714","360云盘的私人数据无法取回")</f>
        <v>360云盘的私人数据无法取回</v>
      </c>
      <c r="C1227" s="2" t="s">
        <v>9</v>
      </c>
      <c r="D1227" s="2" t="s">
        <v>10</v>
      </c>
      <c r="E1227" s="2" t="str">
        <f>HYPERLINK("http://ts.21cn.com/tousu/show/id/1331714","http://ts.21cn.com/tousu/show/id/1331714")</f>
        <v>http://ts.21cn.com/tousu/show/id/1331714</v>
      </c>
      <c r="F1227" s="2" t="s">
        <v>11</v>
      </c>
      <c r="G1227" s="2" t="s">
        <v>41737</v>
      </c>
      <c r="H1227" s="2" t="s">
        <v>41738</v>
      </c>
    </row>
    <row r="1228" spans="1:8" ht="25.05" customHeight="1" x14ac:dyDescent="0.25">
      <c r="A1228" s="2" t="s">
        <v>8</v>
      </c>
      <c r="B1228" s="2" t="str">
        <f>HYPERLINK("http://ts.21cn.com/tousu/show/id/1331599","支付宝和闲鱼对违规用户不作为芝麻信用成摆设")</f>
        <v>支付宝和闲鱼对违规用户不作为芝麻信用成摆设</v>
      </c>
      <c r="C1228" s="2" t="s">
        <v>9</v>
      </c>
      <c r="D1228" s="2" t="s">
        <v>10</v>
      </c>
      <c r="E1228" s="2" t="str">
        <f>HYPERLINK("http://ts.21cn.com/tousu/show/id/1331599","http://ts.21cn.com/tousu/show/id/1331599")</f>
        <v>http://ts.21cn.com/tousu/show/id/1331599</v>
      </c>
      <c r="F1228" s="2" t="s">
        <v>11</v>
      </c>
      <c r="G1228" s="2" t="s">
        <v>41735</v>
      </c>
      <c r="H1228" s="2" t="s">
        <v>41736</v>
      </c>
    </row>
    <row r="1229" spans="1:8" ht="25.05" customHeight="1" x14ac:dyDescent="0.25">
      <c r="A1229" s="2" t="s">
        <v>8</v>
      </c>
      <c r="B1229" s="2" t="str">
        <f>HYPERLINK("http://ts.21cn.com/tousu/show/id/1331692","要求腾讯继续履行服务")</f>
        <v>要求腾讯继续履行服务</v>
      </c>
      <c r="C1229" s="2" t="s">
        <v>34</v>
      </c>
      <c r="D1229" s="2" t="s">
        <v>10</v>
      </c>
      <c r="E1229" s="2" t="str">
        <f>HYPERLINK("http://ts.21cn.com/tousu/show/id/1331692","http://ts.21cn.com/tousu/show/id/1331692")</f>
        <v>http://ts.21cn.com/tousu/show/id/1331692</v>
      </c>
      <c r="F1229" s="2" t="s">
        <v>11</v>
      </c>
      <c r="G1229" s="2" t="s">
        <v>41733</v>
      </c>
      <c r="H1229" s="2" t="s">
        <v>41734</v>
      </c>
    </row>
    <row r="1230" spans="1:8" ht="25.05" customHeight="1" x14ac:dyDescent="0.25">
      <c r="A1230" s="2" t="s">
        <v>8</v>
      </c>
      <c r="B1230" s="2" t="str">
        <f>HYPERLINK("http://ts.21cn.com/tousu/show/id/1331715","宜人贷高利贷，砍头息")</f>
        <v>宜人贷高利贷，砍头息</v>
      </c>
      <c r="C1230" s="2" t="s">
        <v>9</v>
      </c>
      <c r="D1230" s="2" t="s">
        <v>10</v>
      </c>
      <c r="E1230" s="2" t="str">
        <f>HYPERLINK("http://ts.21cn.com/tousu/show/id/1331715","http://ts.21cn.com/tousu/show/id/1331715")</f>
        <v>http://ts.21cn.com/tousu/show/id/1331715</v>
      </c>
      <c r="F1230" s="2" t="s">
        <v>11</v>
      </c>
      <c r="G1230" s="2" t="s">
        <v>41731</v>
      </c>
      <c r="H1230" s="2" t="s">
        <v>41732</v>
      </c>
    </row>
    <row r="1231" spans="1:8" ht="25.05" customHeight="1" x14ac:dyDescent="0.25">
      <c r="A1231" s="2" t="s">
        <v>8</v>
      </c>
      <c r="B1231" s="2" t="str">
        <f>HYPERLINK("http://ts.21cn.com/tousu/show/id/1331716","钱站APP阴阳合同，高利贷")</f>
        <v>钱站APP阴阳合同，高利贷</v>
      </c>
      <c r="C1231" s="2" t="s">
        <v>9</v>
      </c>
      <c r="D1231" s="2" t="s">
        <v>10</v>
      </c>
      <c r="E1231" s="2" t="str">
        <f>HYPERLINK("http://ts.21cn.com/tousu/show/id/1331716","http://ts.21cn.com/tousu/show/id/1331716")</f>
        <v>http://ts.21cn.com/tousu/show/id/1331716</v>
      </c>
      <c r="F1231" s="2" t="s">
        <v>11</v>
      </c>
      <c r="G1231" s="2" t="s">
        <v>41729</v>
      </c>
      <c r="H1231" s="2" t="s">
        <v>41730</v>
      </c>
    </row>
    <row r="1232" spans="1:8" ht="25.05" customHeight="1" x14ac:dyDescent="0.25">
      <c r="A1232" s="2" t="s">
        <v>8</v>
      </c>
      <c r="B1232" s="2" t="str">
        <f>HYPERLINK("http://ts.21cn.com/tousu/show/id/1331717","多宝分期强制逾期")</f>
        <v>多宝分期强制逾期</v>
      </c>
      <c r="C1232" s="2" t="s">
        <v>9</v>
      </c>
      <c r="D1232" s="2" t="s">
        <v>10</v>
      </c>
      <c r="E1232" s="2" t="str">
        <f>HYPERLINK("http://ts.21cn.com/tousu/show/id/1331717","http://ts.21cn.com/tousu/show/id/1331717")</f>
        <v>http://ts.21cn.com/tousu/show/id/1331717</v>
      </c>
      <c r="F1232" s="2" t="s">
        <v>11</v>
      </c>
      <c r="G1232" s="2" t="s">
        <v>41727</v>
      </c>
      <c r="H1232" s="2" t="s">
        <v>41728</v>
      </c>
    </row>
    <row r="1233" spans="1:8" ht="25.05" customHeight="1" x14ac:dyDescent="0.25">
      <c r="A1233" s="2" t="s">
        <v>8</v>
      </c>
      <c r="B1233" s="2" t="str">
        <f>HYPERLINK("http://ts.21cn.com/tousu/show/id/1331718","投诉高利贷")</f>
        <v>投诉高利贷</v>
      </c>
      <c r="C1233" s="2" t="s">
        <v>9</v>
      </c>
      <c r="D1233" s="2" t="s">
        <v>10</v>
      </c>
      <c r="E1233" s="2" t="str">
        <f>HYPERLINK("http://ts.21cn.com/tousu/show/id/1331718","http://ts.21cn.com/tousu/show/id/1331718")</f>
        <v>http://ts.21cn.com/tousu/show/id/1331718</v>
      </c>
      <c r="F1233" s="2" t="s">
        <v>11</v>
      </c>
      <c r="G1233" s="2" t="s">
        <v>41725</v>
      </c>
      <c r="H1233" s="2" t="s">
        <v>41726</v>
      </c>
    </row>
    <row r="1234" spans="1:8" ht="25.05" customHeight="1" x14ac:dyDescent="0.25">
      <c r="A1234" s="2" t="s">
        <v>8</v>
      </c>
      <c r="B1234" s="2" t="str">
        <f>HYPERLINK("http://ts.21cn.com/tousu/show/id/1331719","在交易猫购买帐号开始换绑定的时候客服不见了。不理人。")</f>
        <v>在交易猫购买帐号开始换绑定的时候客服不见了。不理人。</v>
      </c>
      <c r="C1234" s="2" t="s">
        <v>9</v>
      </c>
      <c r="D1234" s="2" t="s">
        <v>10</v>
      </c>
      <c r="E1234" s="2" t="str">
        <f>HYPERLINK("http://ts.21cn.com/tousu/show/id/1331719","http://ts.21cn.com/tousu/show/id/1331719")</f>
        <v>http://ts.21cn.com/tousu/show/id/1331719</v>
      </c>
      <c r="F1234" s="2" t="s">
        <v>11</v>
      </c>
      <c r="G1234" s="2" t="s">
        <v>41723</v>
      </c>
      <c r="H1234" s="2" t="s">
        <v>41724</v>
      </c>
    </row>
    <row r="1235" spans="1:8" ht="25.05" customHeight="1" x14ac:dyDescent="0.25">
      <c r="A1235" s="2" t="s">
        <v>8</v>
      </c>
      <c r="B1235" s="2" t="str">
        <f>HYPERLINK("http://ts.21cn.com/tousu/show/id/1331720","京东白条软暴力")</f>
        <v>京东白条软暴力</v>
      </c>
      <c r="C1235" s="2" t="s">
        <v>9</v>
      </c>
      <c r="D1235" s="2" t="s">
        <v>10</v>
      </c>
      <c r="E1235" s="2" t="str">
        <f>HYPERLINK("http://ts.21cn.com/tousu/show/id/1331720","http://ts.21cn.com/tousu/show/id/1331720")</f>
        <v>http://ts.21cn.com/tousu/show/id/1331720</v>
      </c>
      <c r="F1235" s="2" t="s">
        <v>11</v>
      </c>
      <c r="G1235" s="2" t="s">
        <v>41721</v>
      </c>
      <c r="H1235" s="2" t="s">
        <v>41722</v>
      </c>
    </row>
    <row r="1236" spans="1:8" ht="25.05" customHeight="1" x14ac:dyDescent="0.25">
      <c r="A1236" s="2" t="s">
        <v>8</v>
      </c>
      <c r="B1236" s="2" t="str">
        <f>HYPERLINK("http://ts.21cn.com/tousu/show/id/1331721","拼多多坑害消费者，不给退款")</f>
        <v>拼多多坑害消费者，不给退款</v>
      </c>
      <c r="C1236" s="2" t="s">
        <v>9</v>
      </c>
      <c r="D1236" s="2" t="s">
        <v>10</v>
      </c>
      <c r="E1236" s="2" t="str">
        <f>HYPERLINK("http://ts.21cn.com/tousu/show/id/1331721","http://ts.21cn.com/tousu/show/id/1331721")</f>
        <v>http://ts.21cn.com/tousu/show/id/1331721</v>
      </c>
      <c r="F1236" s="2" t="s">
        <v>11</v>
      </c>
      <c r="G1236" s="2" t="s">
        <v>41719</v>
      </c>
      <c r="H1236" s="2" t="s">
        <v>41720</v>
      </c>
    </row>
    <row r="1237" spans="1:8" ht="25.05" customHeight="1" x14ac:dyDescent="0.25">
      <c r="A1237" s="2" t="s">
        <v>8</v>
      </c>
      <c r="B1237" s="2" t="str">
        <f>HYPERLINK("http://ts.21cn.com/tousu/show/id/1331726","钱站高利贷阴阳合同")</f>
        <v>钱站高利贷阴阳合同</v>
      </c>
      <c r="C1237" s="2" t="s">
        <v>9</v>
      </c>
      <c r="D1237" s="2" t="s">
        <v>10</v>
      </c>
      <c r="E1237" s="2" t="str">
        <f>HYPERLINK("http://ts.21cn.com/tousu/show/id/1331726","http://ts.21cn.com/tousu/show/id/1331726")</f>
        <v>http://ts.21cn.com/tousu/show/id/1331726</v>
      </c>
      <c r="F1237" s="2" t="s">
        <v>11</v>
      </c>
      <c r="G1237" s="2" t="s">
        <v>41717</v>
      </c>
      <c r="H1237" s="2" t="s">
        <v>41718</v>
      </c>
    </row>
    <row r="1238" spans="1:8" ht="25.05" customHeight="1" x14ac:dyDescent="0.25">
      <c r="A1238" s="2" t="s">
        <v>8</v>
      </c>
      <c r="B1238" s="2" t="str">
        <f>HYPERLINK("http://ts.21cn.com/tousu/show/id/1331723","手机号码注销，智行火车票无法登入，请求注销智行火车票账号")</f>
        <v>手机号码注销，智行火车票无法登入，请求注销智行火车票账号</v>
      </c>
      <c r="C1238" s="2" t="s">
        <v>9</v>
      </c>
      <c r="D1238" s="2" t="s">
        <v>10</v>
      </c>
      <c r="E1238" s="2" t="str">
        <f>HYPERLINK("http://ts.21cn.com/tousu/show/id/1331723","http://ts.21cn.com/tousu/show/id/1331723")</f>
        <v>http://ts.21cn.com/tousu/show/id/1331723</v>
      </c>
      <c r="F1238" s="2" t="s">
        <v>11</v>
      </c>
      <c r="G1238" s="2" t="s">
        <v>41715</v>
      </c>
      <c r="H1238" s="2" t="s">
        <v>41716</v>
      </c>
    </row>
    <row r="1239" spans="1:8" ht="25.05" customHeight="1" x14ac:dyDescent="0.25">
      <c r="A1239" s="2" t="s">
        <v>8</v>
      </c>
      <c r="B1239" s="2" t="str">
        <f>HYPERLINK("http://ts.21cn.com/tousu/show/id/1331724","MAKA霸王条款自动扣费")</f>
        <v>MAKA霸王条款自动扣费</v>
      </c>
      <c r="C1239" s="2" t="s">
        <v>9</v>
      </c>
      <c r="D1239" s="2" t="s">
        <v>10</v>
      </c>
      <c r="E1239" s="2" t="str">
        <f>HYPERLINK("http://ts.21cn.com/tousu/show/id/1331724","http://ts.21cn.com/tousu/show/id/1331724")</f>
        <v>http://ts.21cn.com/tousu/show/id/1331724</v>
      </c>
      <c r="F1239" s="2" t="s">
        <v>11</v>
      </c>
      <c r="G1239" s="2" t="s">
        <v>41713</v>
      </c>
      <c r="H1239" s="2" t="s">
        <v>41714</v>
      </c>
    </row>
    <row r="1240" spans="1:8" ht="25.05" customHeight="1" x14ac:dyDescent="0.25">
      <c r="A1240" s="2" t="s">
        <v>8</v>
      </c>
      <c r="B1240" s="2" t="str">
        <f>HYPERLINK("http://ts.21cn.com/tousu/show/id/1331727","及贷向在线大学生贷款侵犯个人隐私权")</f>
        <v>及贷向在线大学生贷款侵犯个人隐私权</v>
      </c>
      <c r="C1240" s="2" t="s">
        <v>9</v>
      </c>
      <c r="D1240" s="2" t="s">
        <v>10</v>
      </c>
      <c r="E1240" s="2" t="str">
        <f>HYPERLINK("http://ts.21cn.com/tousu/show/id/1331727","http://ts.21cn.com/tousu/show/id/1331727")</f>
        <v>http://ts.21cn.com/tousu/show/id/1331727</v>
      </c>
      <c r="F1240" s="2" t="s">
        <v>11</v>
      </c>
      <c r="G1240" s="2" t="s">
        <v>41712</v>
      </c>
      <c r="H1240" s="2" t="s">
        <v>36210</v>
      </c>
    </row>
    <row r="1241" spans="1:8" ht="25.05" customHeight="1" x14ac:dyDescent="0.25">
      <c r="A1241" s="2" t="s">
        <v>8</v>
      </c>
      <c r="B1241" s="2" t="str">
        <f>HYPERLINK("http://ts.21cn.com/tousu/show/id/1331725","来信")</f>
        <v>来信</v>
      </c>
      <c r="C1241" s="2" t="s">
        <v>9</v>
      </c>
      <c r="D1241" s="2" t="s">
        <v>10</v>
      </c>
      <c r="E1241" s="2" t="str">
        <f>HYPERLINK("http://ts.21cn.com/tousu/show/id/1331725","http://ts.21cn.com/tousu/show/id/1331725")</f>
        <v>http://ts.21cn.com/tousu/show/id/1331725</v>
      </c>
      <c r="F1241" s="2" t="s">
        <v>11</v>
      </c>
      <c r="G1241" s="2" t="s">
        <v>41710</v>
      </c>
      <c r="H1241" s="2" t="s">
        <v>41711</v>
      </c>
    </row>
    <row r="1242" spans="1:8" ht="25.05" customHeight="1" x14ac:dyDescent="0.25">
      <c r="A1242" s="2" t="s">
        <v>8</v>
      </c>
      <c r="B1242" s="2" t="str">
        <f>HYPERLINK("http://ts.21cn.com/tousu/show/id/1331728","苹果公司id被异地盗刷7226元，苹果不予退款")</f>
        <v>苹果公司id被异地盗刷7226元，苹果不予退款</v>
      </c>
      <c r="C1242" s="2" t="s">
        <v>9</v>
      </c>
      <c r="D1242" s="2" t="s">
        <v>10</v>
      </c>
      <c r="E1242" s="2" t="str">
        <f>HYPERLINK("http://ts.21cn.com/tousu/show/id/1331728","http://ts.21cn.com/tousu/show/id/1331728")</f>
        <v>http://ts.21cn.com/tousu/show/id/1331728</v>
      </c>
      <c r="F1242" s="2" t="s">
        <v>11</v>
      </c>
      <c r="G1242" s="2" t="s">
        <v>41708</v>
      </c>
      <c r="H1242" s="2" t="s">
        <v>41709</v>
      </c>
    </row>
    <row r="1243" spans="1:8" ht="25.05" customHeight="1" x14ac:dyDescent="0.25">
      <c r="A1243" s="2" t="s">
        <v>8</v>
      </c>
      <c r="B1243" s="2" t="str">
        <f>HYPERLINK("http://ts.21cn.com/tousu/show/id/1331729","我主良缘服务乱象遭集体投诉")</f>
        <v>我主良缘服务乱象遭集体投诉</v>
      </c>
      <c r="C1243" s="2" t="s">
        <v>9</v>
      </c>
      <c r="D1243" s="2" t="s">
        <v>10</v>
      </c>
      <c r="E1243" s="2" t="str">
        <f>HYPERLINK("http://ts.21cn.com/tousu/show/id/1331729","http://ts.21cn.com/tousu/show/id/1331729")</f>
        <v>http://ts.21cn.com/tousu/show/id/1331729</v>
      </c>
      <c r="F1243" s="2" t="s">
        <v>11</v>
      </c>
      <c r="G1243" s="2" t="s">
        <v>41706</v>
      </c>
      <c r="H1243" s="2" t="s">
        <v>41707</v>
      </c>
    </row>
    <row r="1244" spans="1:8" ht="25.05" customHeight="1" x14ac:dyDescent="0.25">
      <c r="A1244" s="2" t="s">
        <v>8</v>
      </c>
      <c r="B1244" s="2" t="str">
        <f>HYPERLINK("http://ts.21cn.com/tousu/show/id/1331730","淘宝卖家不守信用")</f>
        <v>淘宝卖家不守信用</v>
      </c>
      <c r="C1244" s="2" t="s">
        <v>9</v>
      </c>
      <c r="D1244" s="2" t="s">
        <v>10</v>
      </c>
      <c r="E1244" s="2" t="str">
        <f>HYPERLINK("http://ts.21cn.com/tousu/show/id/1331730","http://ts.21cn.com/tousu/show/id/1331730")</f>
        <v>http://ts.21cn.com/tousu/show/id/1331730</v>
      </c>
      <c r="F1244" s="2" t="s">
        <v>11</v>
      </c>
      <c r="G1244" s="2" t="s">
        <v>41704</v>
      </c>
      <c r="H1244" s="2" t="s">
        <v>41705</v>
      </c>
    </row>
    <row r="1245" spans="1:8" ht="25.05" customHeight="1" x14ac:dyDescent="0.25">
      <c r="A1245" s="2" t="s">
        <v>8</v>
      </c>
      <c r="B1245" s="2" t="str">
        <f>HYPERLINK("http://ts.21cn.com/tousu/show/id/1331732","探探没信息选择自动扣费")</f>
        <v>探探没信息选择自动扣费</v>
      </c>
      <c r="C1245" s="2" t="s">
        <v>9</v>
      </c>
      <c r="D1245" s="2" t="s">
        <v>10</v>
      </c>
      <c r="E1245" s="2" t="str">
        <f>HYPERLINK("http://ts.21cn.com/tousu/show/id/1331732","http://ts.21cn.com/tousu/show/id/1331732")</f>
        <v>http://ts.21cn.com/tousu/show/id/1331732</v>
      </c>
      <c r="F1245" s="2" t="s">
        <v>11</v>
      </c>
      <c r="G1245" s="2" t="s">
        <v>41702</v>
      </c>
      <c r="H1245" s="2" t="s">
        <v>41703</v>
      </c>
    </row>
    <row r="1246" spans="1:8" ht="25.05" customHeight="1" x14ac:dyDescent="0.25">
      <c r="A1246" s="2" t="s">
        <v>8</v>
      </c>
      <c r="B1246" s="2" t="str">
        <f>HYPERLINK("http://ts.21cn.com/tousu/show/id/1331731","自由摩卡砍头息高利贷")</f>
        <v>自由摩卡砍头息高利贷</v>
      </c>
      <c r="C1246" s="2" t="s">
        <v>9</v>
      </c>
      <c r="D1246" s="2" t="s">
        <v>10</v>
      </c>
      <c r="E1246" s="2" t="str">
        <f>HYPERLINK("http://ts.21cn.com/tousu/show/id/1331731","http://ts.21cn.com/tousu/show/id/1331731")</f>
        <v>http://ts.21cn.com/tousu/show/id/1331731</v>
      </c>
      <c r="F1246" s="2" t="s">
        <v>11</v>
      </c>
      <c r="G1246" s="2" t="s">
        <v>41700</v>
      </c>
      <c r="H1246" s="2" t="s">
        <v>41701</v>
      </c>
    </row>
    <row r="1247" spans="1:8" ht="25.05" customHeight="1" x14ac:dyDescent="0.25">
      <c r="A1247" s="2" t="s">
        <v>8</v>
      </c>
      <c r="B1247" s="2" t="str">
        <f>HYPERLINK("http://ts.21cn.com/tousu/show/id/1331733","多次致电钱站要求结清，没人理会，每次客服都说会联系，但是一直没有接到电话，强烈要求钱站结清")</f>
        <v>多次致电钱站要求结清，没人理会，每次客服都说会联系，但是一直没有接到电话，强烈要求钱站结清</v>
      </c>
      <c r="C1247" s="2" t="s">
        <v>9</v>
      </c>
      <c r="D1247" s="2" t="s">
        <v>10</v>
      </c>
      <c r="E1247" s="2" t="str">
        <f>HYPERLINK("http://ts.21cn.com/tousu/show/id/1331733","http://ts.21cn.com/tousu/show/id/1331733")</f>
        <v>http://ts.21cn.com/tousu/show/id/1331733</v>
      </c>
      <c r="F1247" s="2" t="s">
        <v>11</v>
      </c>
      <c r="G1247" s="2" t="s">
        <v>41698</v>
      </c>
      <c r="H1247" s="2" t="s">
        <v>41699</v>
      </c>
    </row>
    <row r="1248" spans="1:8" ht="25.05" customHeight="1" x14ac:dyDescent="0.25">
      <c r="A1248" s="2" t="s">
        <v>8</v>
      </c>
      <c r="B1248" s="2" t="str">
        <f>HYPERLINK("http://ts.21cn.com/tousu/show/id/1331734","小通商城无故连续两次扣款")</f>
        <v>小通商城无故连续两次扣款</v>
      </c>
      <c r="C1248" s="2" t="s">
        <v>9</v>
      </c>
      <c r="D1248" s="2" t="s">
        <v>10</v>
      </c>
      <c r="E1248" s="2" t="str">
        <f>HYPERLINK("http://ts.21cn.com/tousu/show/id/1331734","http://ts.21cn.com/tousu/show/id/1331734")</f>
        <v>http://ts.21cn.com/tousu/show/id/1331734</v>
      </c>
      <c r="F1248" s="2" t="s">
        <v>11</v>
      </c>
      <c r="G1248" s="2" t="s">
        <v>41696</v>
      </c>
      <c r="H1248" s="2" t="s">
        <v>41697</v>
      </c>
    </row>
    <row r="1249" spans="1:8" ht="25.05" customHeight="1" x14ac:dyDescent="0.25">
      <c r="A1249" s="2" t="s">
        <v>8</v>
      </c>
      <c r="B1249" s="2" t="str">
        <f>HYPERLINK("http://ts.21cn.com/tousu/show/id/1331736","转转集体投诉专题")</f>
        <v>转转集体投诉专题</v>
      </c>
      <c r="C1249" s="2" t="s">
        <v>9</v>
      </c>
      <c r="D1249" s="2" t="s">
        <v>10</v>
      </c>
      <c r="E1249" s="2" t="str">
        <f>HYPERLINK("http://ts.21cn.com/tousu/show/id/1331736","http://ts.21cn.com/tousu/show/id/1331736")</f>
        <v>http://ts.21cn.com/tousu/show/id/1331736</v>
      </c>
      <c r="F1249" s="2" t="s">
        <v>11</v>
      </c>
      <c r="G1249" s="2" t="s">
        <v>41694</v>
      </c>
      <c r="H1249" s="2" t="s">
        <v>41695</v>
      </c>
    </row>
    <row r="1250" spans="1:8" ht="25.05" customHeight="1" x14ac:dyDescent="0.25">
      <c r="A1250" s="2" t="s">
        <v>8</v>
      </c>
      <c r="B1250" s="2" t="str">
        <f>HYPERLINK("http://ts.21cn.com/tousu/show/id/1331737","@无良商家，产品有质量问题，商家不退钱")</f>
        <v>@无良商家，产品有质量问题，商家不退钱</v>
      </c>
      <c r="C1250" s="2" t="s">
        <v>9</v>
      </c>
      <c r="D1250" s="2" t="s">
        <v>10</v>
      </c>
      <c r="E1250" s="2" t="str">
        <f>HYPERLINK("http://ts.21cn.com/tousu/show/id/1331737","http://ts.21cn.com/tousu/show/id/1331737")</f>
        <v>http://ts.21cn.com/tousu/show/id/1331737</v>
      </c>
      <c r="F1250" s="2" t="s">
        <v>11</v>
      </c>
      <c r="G1250" s="2" t="s">
        <v>41692</v>
      </c>
      <c r="H1250" s="2" t="s">
        <v>41693</v>
      </c>
    </row>
    <row r="1251" spans="1:8" ht="25.05" customHeight="1" x14ac:dyDescent="0.25">
      <c r="A1251" s="2" t="s">
        <v>8</v>
      </c>
      <c r="B1251" s="2" t="str">
        <f>HYPERLINK("http://ts.21cn.com/tousu/show/id/1331738","微信支付被永久冻结")</f>
        <v>微信支付被永久冻结</v>
      </c>
      <c r="C1251" s="2" t="s">
        <v>9</v>
      </c>
      <c r="D1251" s="2" t="s">
        <v>10</v>
      </c>
      <c r="E1251" s="2" t="str">
        <f>HYPERLINK("http://ts.21cn.com/tousu/show/id/1331738","http://ts.21cn.com/tousu/show/id/1331738")</f>
        <v>http://ts.21cn.com/tousu/show/id/1331738</v>
      </c>
      <c r="F1251" s="2" t="s">
        <v>11</v>
      </c>
      <c r="G1251" s="2" t="s">
        <v>41690</v>
      </c>
      <c r="H1251" s="2" t="s">
        <v>41691</v>
      </c>
    </row>
    <row r="1252" spans="1:8" ht="25.05" customHeight="1" x14ac:dyDescent="0.25">
      <c r="A1252" s="2" t="s">
        <v>8</v>
      </c>
      <c r="B1252" s="2" t="str">
        <f>HYPERLINK("http://ts.21cn.com/tousu/show/id/1331739","网购质量问题，退款运费承担")</f>
        <v>网购质量问题，退款运费承担</v>
      </c>
      <c r="C1252" s="2" t="s">
        <v>9</v>
      </c>
      <c r="D1252" s="2" t="s">
        <v>10</v>
      </c>
      <c r="E1252" s="2" t="str">
        <f>HYPERLINK("http://ts.21cn.com/tousu/show/id/1331739","http://ts.21cn.com/tousu/show/id/1331739")</f>
        <v>http://ts.21cn.com/tousu/show/id/1331739</v>
      </c>
      <c r="F1252" s="2" t="s">
        <v>11</v>
      </c>
      <c r="G1252" s="2" t="s">
        <v>41688</v>
      </c>
      <c r="H1252" s="2" t="s">
        <v>41689</v>
      </c>
    </row>
    <row r="1253" spans="1:8" ht="25.05" customHeight="1" x14ac:dyDescent="0.25">
      <c r="A1253" s="2" t="s">
        <v>8</v>
      </c>
      <c r="B1253" s="2" t="str">
        <f>HYPERLINK("http://ts.21cn.com/tousu/show/id/1331741","畅捷支付给高利贷牛人有品提供放款通道")</f>
        <v>畅捷支付给高利贷牛人有品提供放款通道</v>
      </c>
      <c r="C1253" s="2" t="s">
        <v>9</v>
      </c>
      <c r="D1253" s="2" t="s">
        <v>10</v>
      </c>
      <c r="E1253" s="2" t="str">
        <f>HYPERLINK("http://ts.21cn.com/tousu/show/id/1331741","http://ts.21cn.com/tousu/show/id/1331741")</f>
        <v>http://ts.21cn.com/tousu/show/id/1331741</v>
      </c>
      <c r="F1253" s="2" t="s">
        <v>11</v>
      </c>
      <c r="G1253" s="2" t="s">
        <v>41686</v>
      </c>
      <c r="H1253" s="2" t="s">
        <v>41687</v>
      </c>
    </row>
    <row r="1254" spans="1:8" ht="25.05" customHeight="1" x14ac:dyDescent="0.25">
      <c r="A1254" s="2" t="s">
        <v>8</v>
      </c>
      <c r="B1254" s="2" t="str">
        <f>HYPERLINK("http://ts.21cn.com/tousu/show/id/1331740","苹果ID被盗用永久丢失并通过支付宝免密支付消费")</f>
        <v>苹果ID被盗用永久丢失并通过支付宝免密支付消费</v>
      </c>
      <c r="C1254" s="2" t="s">
        <v>9</v>
      </c>
      <c r="D1254" s="2" t="s">
        <v>10</v>
      </c>
      <c r="E1254" s="2" t="str">
        <f>HYPERLINK("http://ts.21cn.com/tousu/show/id/1331740","http://ts.21cn.com/tousu/show/id/1331740")</f>
        <v>http://ts.21cn.com/tousu/show/id/1331740</v>
      </c>
      <c r="F1254" s="2" t="s">
        <v>11</v>
      </c>
      <c r="G1254" s="2" t="s">
        <v>41684</v>
      </c>
      <c r="H1254" s="2" t="s">
        <v>41685</v>
      </c>
    </row>
    <row r="1255" spans="1:8" ht="25.05" customHeight="1" x14ac:dyDescent="0.25">
      <c r="A1255" s="2" t="s">
        <v>8</v>
      </c>
      <c r="B1255" s="2" t="str">
        <f>HYPERLINK("http://ts.21cn.com/tousu/show/id/1331744","变相收取砍头息")</f>
        <v>变相收取砍头息</v>
      </c>
      <c r="C1255" s="2" t="s">
        <v>9</v>
      </c>
      <c r="D1255" s="2" t="s">
        <v>10</v>
      </c>
      <c r="E1255" s="2" t="str">
        <f>HYPERLINK("http://ts.21cn.com/tousu/show/id/1331744","http://ts.21cn.com/tousu/show/id/1331744")</f>
        <v>http://ts.21cn.com/tousu/show/id/1331744</v>
      </c>
      <c r="F1255" s="2" t="s">
        <v>11</v>
      </c>
      <c r="G1255" s="2" t="s">
        <v>41682</v>
      </c>
      <c r="H1255" s="2" t="s">
        <v>41683</v>
      </c>
    </row>
    <row r="1256" spans="1:8" ht="25.05" customHeight="1" x14ac:dyDescent="0.25">
      <c r="A1256" s="2" t="s">
        <v>8</v>
      </c>
      <c r="B1256" s="2" t="str">
        <f>HYPERLINK("http://ts.21cn.com/tousu/show/id/1331745","暴力恐吓辱骂，爆通讯录恐吓家人")</f>
        <v>暴力恐吓辱骂，爆通讯录恐吓家人</v>
      </c>
      <c r="C1256" s="2" t="s">
        <v>9</v>
      </c>
      <c r="D1256" s="2" t="s">
        <v>10</v>
      </c>
      <c r="E1256" s="2" t="str">
        <f>HYPERLINK("http://ts.21cn.com/tousu/show/id/1331745","http://ts.21cn.com/tousu/show/id/1331745")</f>
        <v>http://ts.21cn.com/tousu/show/id/1331745</v>
      </c>
      <c r="F1256" s="2" t="s">
        <v>11</v>
      </c>
      <c r="G1256" s="2" t="s">
        <v>41680</v>
      </c>
      <c r="H1256" s="2" t="s">
        <v>41681</v>
      </c>
    </row>
    <row r="1257" spans="1:8" ht="25.05" customHeight="1" x14ac:dyDescent="0.25">
      <c r="A1257" s="2" t="s">
        <v>8</v>
      </c>
      <c r="B1257" s="2" t="str">
        <f>HYPERLINK("http://ts.21cn.com/tousu/show/id/1331743","卖家通过占卜潜心术进行，被我识破，常规知识全没有，也不退钱")</f>
        <v>卖家通过占卜潜心术进行，被我识破，常规知识全没有，也不退钱</v>
      </c>
      <c r="C1257" s="2" t="s">
        <v>34</v>
      </c>
      <c r="D1257" s="2" t="s">
        <v>10</v>
      </c>
      <c r="E1257" s="2" t="str">
        <f>HYPERLINK("http://ts.21cn.com/tousu/show/id/1331743","http://ts.21cn.com/tousu/show/id/1331743")</f>
        <v>http://ts.21cn.com/tousu/show/id/1331743</v>
      </c>
      <c r="F1257" s="2" t="s">
        <v>11</v>
      </c>
      <c r="G1257" s="2" t="s">
        <v>41678</v>
      </c>
      <c r="H1257" s="2" t="s">
        <v>41679</v>
      </c>
    </row>
    <row r="1258" spans="1:8" ht="25.05" customHeight="1" x14ac:dyDescent="0.25">
      <c r="A1258" s="2" t="s">
        <v>8</v>
      </c>
      <c r="B1258" s="2" t="str">
        <f>HYPERLINK("http://ts.21cn.com/tousu/show/id/1331747","商家发错货，要求发正确的货物过来告知缺货")</f>
        <v>商家发错货，要求发正确的货物过来告知缺货</v>
      </c>
      <c r="C1258" s="2" t="s">
        <v>34</v>
      </c>
      <c r="D1258" s="2" t="s">
        <v>10</v>
      </c>
      <c r="E1258" s="2" t="str">
        <f>HYPERLINK("http://ts.21cn.com/tousu/show/id/1331747","http://ts.21cn.com/tousu/show/id/1331747")</f>
        <v>http://ts.21cn.com/tousu/show/id/1331747</v>
      </c>
      <c r="F1258" s="2" t="s">
        <v>11</v>
      </c>
      <c r="G1258" s="2" t="s">
        <v>41676</v>
      </c>
      <c r="H1258" s="2" t="s">
        <v>41677</v>
      </c>
    </row>
    <row r="1259" spans="1:8" ht="25.05" customHeight="1" x14ac:dyDescent="0.25">
      <c r="A1259" s="2" t="s">
        <v>8</v>
      </c>
      <c r="B1259" s="2" t="str">
        <f>HYPERLINK("http://ts.21cn.com/tousu/show/id/1331748","熊猫游戏加速器霸王条款试用与实际付费用效果不一样")</f>
        <v>熊猫游戏加速器霸王条款试用与实际付费用效果不一样</v>
      </c>
      <c r="C1259" s="2" t="s">
        <v>34</v>
      </c>
      <c r="D1259" s="2" t="s">
        <v>10</v>
      </c>
      <c r="E1259" s="2" t="str">
        <f>HYPERLINK("http://ts.21cn.com/tousu/show/id/1331748","http://ts.21cn.com/tousu/show/id/1331748")</f>
        <v>http://ts.21cn.com/tousu/show/id/1331748</v>
      </c>
      <c r="F1259" s="2" t="s">
        <v>11</v>
      </c>
      <c r="G1259" s="2" t="s">
        <v>41674</v>
      </c>
      <c r="H1259" s="2" t="s">
        <v>41675</v>
      </c>
    </row>
    <row r="1260" spans="1:8" ht="25.05" customHeight="1" x14ac:dyDescent="0.25">
      <c r="A1260" s="2" t="s">
        <v>8</v>
      </c>
      <c r="B1260" s="2" t="str">
        <f>HYPERLINK("http://ts.21cn.com/tousu/show/id/1331751","误导办理民航通会员卡")</f>
        <v>误导办理民航通会员卡</v>
      </c>
      <c r="C1260" s="2" t="s">
        <v>9</v>
      </c>
      <c r="D1260" s="2" t="s">
        <v>10</v>
      </c>
      <c r="E1260" s="2" t="str">
        <f>HYPERLINK("http://ts.21cn.com/tousu/show/id/1331751","http://ts.21cn.com/tousu/show/id/1331751")</f>
        <v>http://ts.21cn.com/tousu/show/id/1331751</v>
      </c>
      <c r="F1260" s="2" t="s">
        <v>11</v>
      </c>
      <c r="G1260" s="2" t="s">
        <v>41672</v>
      </c>
      <c r="H1260" s="2" t="s">
        <v>41673</v>
      </c>
    </row>
    <row r="1261" spans="1:8" ht="25.05" customHeight="1" x14ac:dyDescent="0.25">
      <c r="A1261" s="2" t="s">
        <v>8</v>
      </c>
      <c r="B1261" s="2" t="str">
        <f>HYPERLINK("http://ts.21cn.com/tousu/show/id/1331752","立借app收取高额费用")</f>
        <v>立借app收取高额费用</v>
      </c>
      <c r="C1261" s="2" t="s">
        <v>9</v>
      </c>
      <c r="D1261" s="2" t="s">
        <v>10</v>
      </c>
      <c r="E1261" s="2" t="str">
        <f>HYPERLINK("http://ts.21cn.com/tousu/show/id/1331752","http://ts.21cn.com/tousu/show/id/1331752")</f>
        <v>http://ts.21cn.com/tousu/show/id/1331752</v>
      </c>
      <c r="F1261" s="2" t="s">
        <v>11</v>
      </c>
      <c r="G1261" s="2" t="s">
        <v>41670</v>
      </c>
      <c r="H1261" s="2" t="s">
        <v>41671</v>
      </c>
    </row>
    <row r="1262" spans="1:8" ht="25.05" customHeight="1" x14ac:dyDescent="0.25">
      <c r="A1262" s="2" t="s">
        <v>8</v>
      </c>
      <c r="B1262" s="2" t="str">
        <f>HYPERLINK("http://ts.21cn.com/tousu/show/id/1331753","虚假合同下款2000要还快到3000")</f>
        <v>虚假合同下款2000要还快到3000</v>
      </c>
      <c r="C1262" s="2" t="s">
        <v>9</v>
      </c>
      <c r="D1262" s="2" t="s">
        <v>10</v>
      </c>
      <c r="E1262" s="2" t="str">
        <f>HYPERLINK("http://ts.21cn.com/tousu/show/id/1331753","http://ts.21cn.com/tousu/show/id/1331753")</f>
        <v>http://ts.21cn.com/tousu/show/id/1331753</v>
      </c>
      <c r="F1262" s="2" t="s">
        <v>11</v>
      </c>
      <c r="G1262" s="2" t="s">
        <v>41668</v>
      </c>
      <c r="H1262" s="2" t="s">
        <v>41669</v>
      </c>
    </row>
    <row r="1263" spans="1:8" ht="25.05" customHeight="1" x14ac:dyDescent="0.25">
      <c r="A1263" s="2" t="s">
        <v>8</v>
      </c>
      <c r="B1263" s="2" t="str">
        <f>HYPERLINK("http://ts.21cn.com/tousu/show/id/1331755","及贷不让我注销账户")</f>
        <v>及贷不让我注销账户</v>
      </c>
      <c r="C1263" s="2" t="s">
        <v>34</v>
      </c>
      <c r="D1263" s="2" t="s">
        <v>10</v>
      </c>
      <c r="E1263" s="2" t="str">
        <f>HYPERLINK("http://ts.21cn.com/tousu/show/id/1331755","http://ts.21cn.com/tousu/show/id/1331755")</f>
        <v>http://ts.21cn.com/tousu/show/id/1331755</v>
      </c>
      <c r="F1263" s="2" t="s">
        <v>11</v>
      </c>
      <c r="G1263" s="2" t="s">
        <v>41666</v>
      </c>
      <c r="H1263" s="2" t="s">
        <v>41667</v>
      </c>
    </row>
    <row r="1264" spans="1:8" ht="25.05" customHeight="1" x14ac:dyDescent="0.25">
      <c r="A1264" s="2" t="s">
        <v>8</v>
      </c>
      <c r="B1264" s="2" t="str">
        <f>HYPERLINK("http://ts.21cn.com/tousu/show/id/1331757","毒鉴定假")</f>
        <v>毒鉴定假</v>
      </c>
      <c r="C1264" s="2" t="s">
        <v>34</v>
      </c>
      <c r="D1264" s="2" t="s">
        <v>10</v>
      </c>
      <c r="E1264" s="2" t="str">
        <f>HYPERLINK("http://ts.21cn.com/tousu/show/id/1331757","http://ts.21cn.com/tousu/show/id/1331757")</f>
        <v>http://ts.21cn.com/tousu/show/id/1331757</v>
      </c>
      <c r="F1264" s="2" t="s">
        <v>11</v>
      </c>
      <c r="G1264" s="2" t="s">
        <v>41664</v>
      </c>
      <c r="H1264" s="2" t="s">
        <v>41665</v>
      </c>
    </row>
    <row r="1265" spans="1:8" ht="25.05" customHeight="1" x14ac:dyDescent="0.25">
      <c r="A1265" s="2" t="s">
        <v>8</v>
      </c>
      <c r="B1265" s="2" t="str">
        <f>HYPERLINK("http://ts.21cn.com/tousu/show/id/1331750","京东支付为高利贷提供代扣")</f>
        <v>京东支付为高利贷提供代扣</v>
      </c>
      <c r="C1265" s="2" t="s">
        <v>9</v>
      </c>
      <c r="D1265" s="2" t="s">
        <v>10</v>
      </c>
      <c r="E1265" s="2" t="str">
        <f>HYPERLINK("http://ts.21cn.com/tousu/show/id/1331750","http://ts.21cn.com/tousu/show/id/1331750")</f>
        <v>http://ts.21cn.com/tousu/show/id/1331750</v>
      </c>
      <c r="F1265" s="2" t="s">
        <v>11</v>
      </c>
      <c r="G1265" s="2" t="s">
        <v>41662</v>
      </c>
      <c r="H1265" s="2" t="s">
        <v>41663</v>
      </c>
    </row>
    <row r="1266" spans="1:8" ht="25.05" customHeight="1" x14ac:dyDescent="0.25">
      <c r="A1266" s="2" t="s">
        <v>8</v>
      </c>
      <c r="B1266" s="2" t="str">
        <f>HYPERLINK("http://ts.21cn.com/tousu/show/id/1331742","买单侠现金分期，变相砍头息。")</f>
        <v>买单侠现金分期，变相砍头息。</v>
      </c>
      <c r="C1266" s="2" t="s">
        <v>9</v>
      </c>
      <c r="D1266" s="2" t="s">
        <v>10</v>
      </c>
      <c r="E1266" s="2" t="str">
        <f>HYPERLINK("http://ts.21cn.com/tousu/show/id/1331742","http://ts.21cn.com/tousu/show/id/1331742")</f>
        <v>http://ts.21cn.com/tousu/show/id/1331742</v>
      </c>
      <c r="F1266" s="2" t="s">
        <v>11</v>
      </c>
      <c r="G1266" s="2" t="s">
        <v>41660</v>
      </c>
      <c r="H1266" s="2" t="s">
        <v>41661</v>
      </c>
    </row>
    <row r="1267" spans="1:8" ht="25.05" customHeight="1" x14ac:dyDescent="0.25">
      <c r="A1267" s="2" t="s">
        <v>8</v>
      </c>
      <c r="B1267" s="2" t="str">
        <f>HYPERLINK("http://ts.21cn.com/tousu/show/id/1331759","小象优品高利贷。")</f>
        <v>小象优品高利贷。</v>
      </c>
      <c r="C1267" s="2" t="s">
        <v>9</v>
      </c>
      <c r="D1267" s="2" t="s">
        <v>10</v>
      </c>
      <c r="E1267" s="2" t="str">
        <f>HYPERLINK("http://ts.21cn.com/tousu/show/id/1331759","http://ts.21cn.com/tousu/show/id/1331759")</f>
        <v>http://ts.21cn.com/tousu/show/id/1331759</v>
      </c>
      <c r="F1267" s="2" t="s">
        <v>11</v>
      </c>
      <c r="G1267" s="2" t="s">
        <v>41657</v>
      </c>
      <c r="H1267" s="2" t="s">
        <v>41658</v>
      </c>
    </row>
    <row r="1268" spans="1:8" ht="25.05" customHeight="1" x14ac:dyDescent="0.25">
      <c r="A1268" s="2" t="s">
        <v>8</v>
      </c>
      <c r="B1268" s="2" t="str">
        <f>HYPERLINK("http://ts.21cn.com/tousu/show/id/1331760","淘宝账号被限制下单永久")</f>
        <v>淘宝账号被限制下单永久</v>
      </c>
      <c r="C1268" s="2" t="s">
        <v>9</v>
      </c>
      <c r="D1268" s="2" t="s">
        <v>10</v>
      </c>
      <c r="E1268" s="2" t="str">
        <f>HYPERLINK("http://ts.21cn.com/tousu/show/id/1331760","http://ts.21cn.com/tousu/show/id/1331760")</f>
        <v>http://ts.21cn.com/tousu/show/id/1331760</v>
      </c>
      <c r="F1268" s="2" t="s">
        <v>11</v>
      </c>
      <c r="G1268" s="2" t="s">
        <v>41657</v>
      </c>
      <c r="H1268" s="2" t="s">
        <v>41659</v>
      </c>
    </row>
    <row r="1269" spans="1:8" ht="25.05" customHeight="1" x14ac:dyDescent="0.25">
      <c r="A1269" s="2" t="s">
        <v>8</v>
      </c>
      <c r="B1269" s="2" t="str">
        <f>HYPERLINK("http://ts.21cn.com/tousu/show/id/1331761","及贷智享贷骚扰亲朋好友暴力催收")</f>
        <v>及贷智享贷骚扰亲朋好友暴力催收</v>
      </c>
      <c r="C1269" s="2" t="s">
        <v>9</v>
      </c>
      <c r="D1269" s="2" t="s">
        <v>10</v>
      </c>
      <c r="E1269" s="2" t="str">
        <f>HYPERLINK("http://ts.21cn.com/tousu/show/id/1331761","http://ts.21cn.com/tousu/show/id/1331761")</f>
        <v>http://ts.21cn.com/tousu/show/id/1331761</v>
      </c>
      <c r="F1269" s="2" t="s">
        <v>11</v>
      </c>
      <c r="G1269" s="2" t="s">
        <v>41655</v>
      </c>
      <c r="H1269" s="2" t="s">
        <v>41656</v>
      </c>
    </row>
    <row r="1270" spans="1:8" ht="25.05" customHeight="1" x14ac:dyDescent="0.25">
      <c r="A1270" s="2" t="s">
        <v>8</v>
      </c>
      <c r="B1270" s="2" t="str">
        <f>HYPERLINK("http://ts.21cn.com/tousu/show/id/1331762","闪电借款")</f>
        <v>闪电借款</v>
      </c>
      <c r="C1270" s="2" t="s">
        <v>9</v>
      </c>
      <c r="D1270" s="2" t="s">
        <v>10</v>
      </c>
      <c r="E1270" s="2" t="str">
        <f>HYPERLINK("http://ts.21cn.com/tousu/show/id/1331762","http://ts.21cn.com/tousu/show/id/1331762")</f>
        <v>http://ts.21cn.com/tousu/show/id/1331762</v>
      </c>
      <c r="F1270" s="2" t="s">
        <v>11</v>
      </c>
      <c r="G1270" s="2" t="s">
        <v>41653</v>
      </c>
      <c r="H1270" s="2" t="s">
        <v>41654</v>
      </c>
    </row>
    <row r="1271" spans="1:8" ht="25.05" customHeight="1" x14ac:dyDescent="0.25">
      <c r="A1271" s="2" t="s">
        <v>8</v>
      </c>
      <c r="B1271" s="2" t="str">
        <f>HYPERLINK("http://ts.21cn.com/tousu/show/id/1331763","714高炮")</f>
        <v>714高炮</v>
      </c>
      <c r="C1271" s="2" t="s">
        <v>9</v>
      </c>
      <c r="D1271" s="2" t="s">
        <v>10</v>
      </c>
      <c r="E1271" s="2" t="str">
        <f>HYPERLINK("http://ts.21cn.com/tousu/show/id/1331763","http://ts.21cn.com/tousu/show/id/1331763")</f>
        <v>http://ts.21cn.com/tousu/show/id/1331763</v>
      </c>
      <c r="F1271" s="2" t="s">
        <v>11</v>
      </c>
      <c r="G1271" s="2" t="s">
        <v>41651</v>
      </c>
      <c r="H1271" s="2" t="s">
        <v>41652</v>
      </c>
    </row>
    <row r="1272" spans="1:8" ht="25.05" customHeight="1" x14ac:dyDescent="0.25">
      <c r="A1272" s="2" t="s">
        <v>8</v>
      </c>
      <c r="B1272" s="2" t="str">
        <f>HYPERLINK("http://ts.21cn.com/tousu/show/id/1331764","中金支付鸿飞担保从我卡中非法扣款1099元")</f>
        <v>中金支付鸿飞担保从我卡中非法扣款1099元</v>
      </c>
      <c r="C1272" s="2" t="s">
        <v>9</v>
      </c>
      <c r="D1272" s="2" t="s">
        <v>10</v>
      </c>
      <c r="E1272" s="2" t="str">
        <f>HYPERLINK("http://ts.21cn.com/tousu/show/id/1331764","http://ts.21cn.com/tousu/show/id/1331764")</f>
        <v>http://ts.21cn.com/tousu/show/id/1331764</v>
      </c>
      <c r="F1272" s="2" t="s">
        <v>11</v>
      </c>
      <c r="G1272" s="2" t="s">
        <v>41649</v>
      </c>
      <c r="H1272" s="2" t="s">
        <v>41650</v>
      </c>
    </row>
    <row r="1273" spans="1:8" ht="25.05" customHeight="1" x14ac:dyDescent="0.25">
      <c r="A1273" s="2" t="s">
        <v>8</v>
      </c>
      <c r="B1273" s="2" t="str">
        <f>HYPERLINK("http://ts.21cn.com/tousu/show/id/1331765","未经本人同意乱扣费")</f>
        <v>未经本人同意乱扣费</v>
      </c>
      <c r="C1273" s="2" t="s">
        <v>9</v>
      </c>
      <c r="D1273" s="2" t="s">
        <v>10</v>
      </c>
      <c r="E1273" s="2" t="str">
        <f>HYPERLINK("http://ts.21cn.com/tousu/show/id/1331765","http://ts.21cn.com/tousu/show/id/1331765")</f>
        <v>http://ts.21cn.com/tousu/show/id/1331765</v>
      </c>
      <c r="F1273" s="2" t="s">
        <v>11</v>
      </c>
      <c r="G1273" s="2" t="s">
        <v>41647</v>
      </c>
      <c r="H1273" s="2" t="s">
        <v>41648</v>
      </c>
    </row>
    <row r="1274" spans="1:8" ht="25.05" customHeight="1" x14ac:dyDescent="0.25">
      <c r="A1274" s="2" t="s">
        <v>8</v>
      </c>
      <c r="B1274" s="2" t="str">
        <f>HYPERLINK("http://ts.21cn.com/tousu/show/id/1331735","商家不作为")</f>
        <v>商家不作为</v>
      </c>
      <c r="C1274" s="2" t="s">
        <v>9</v>
      </c>
      <c r="D1274" s="2" t="s">
        <v>10</v>
      </c>
      <c r="E1274" s="2" t="str">
        <f>HYPERLINK("http://ts.21cn.com/tousu/show/id/1331735","http://ts.21cn.com/tousu/show/id/1331735")</f>
        <v>http://ts.21cn.com/tousu/show/id/1331735</v>
      </c>
      <c r="F1274" s="2" t="s">
        <v>11</v>
      </c>
      <c r="G1274" s="2" t="s">
        <v>41645</v>
      </c>
      <c r="H1274" s="2" t="s">
        <v>41646</v>
      </c>
    </row>
    <row r="1275" spans="1:8" ht="25.05" customHeight="1" x14ac:dyDescent="0.25">
      <c r="A1275" s="2" t="s">
        <v>8</v>
      </c>
      <c r="B1275" s="2" t="str">
        <f>HYPERLINK("http://ts.21cn.com/tousu/show/id/1331766","非本人借款，持续打骚扰电话")</f>
        <v>非本人借款，持续打骚扰电话</v>
      </c>
      <c r="C1275" s="2" t="s">
        <v>9</v>
      </c>
      <c r="D1275" s="2" t="s">
        <v>10</v>
      </c>
      <c r="E1275" s="2" t="str">
        <f>HYPERLINK("http://ts.21cn.com/tousu/show/id/1331766","http://ts.21cn.com/tousu/show/id/1331766")</f>
        <v>http://ts.21cn.com/tousu/show/id/1331766</v>
      </c>
      <c r="F1275" s="2" t="s">
        <v>11</v>
      </c>
      <c r="G1275" s="2" t="s">
        <v>41643</v>
      </c>
      <c r="H1275" s="2" t="s">
        <v>41644</v>
      </c>
    </row>
    <row r="1276" spans="1:8" ht="25.05" customHeight="1" x14ac:dyDescent="0.25">
      <c r="A1276" s="2" t="s">
        <v>8</v>
      </c>
      <c r="B1276" s="2" t="str">
        <f>HYPERLINK("http://ts.21cn.com/tousu/show/id/1331767","微博暴力催收")</f>
        <v>微博暴力催收</v>
      </c>
      <c r="C1276" s="2" t="s">
        <v>9</v>
      </c>
      <c r="D1276" s="2" t="s">
        <v>10</v>
      </c>
      <c r="E1276" s="2" t="str">
        <f>HYPERLINK("http://ts.21cn.com/tousu/show/id/1331767","http://ts.21cn.com/tousu/show/id/1331767")</f>
        <v>http://ts.21cn.com/tousu/show/id/1331767</v>
      </c>
      <c r="F1276" s="2" t="s">
        <v>11</v>
      </c>
      <c r="G1276" s="2" t="s">
        <v>41641</v>
      </c>
      <c r="H1276" s="2" t="s">
        <v>41642</v>
      </c>
    </row>
    <row r="1277" spans="1:8" ht="25.05" customHeight="1" x14ac:dyDescent="0.25">
      <c r="A1277" s="2" t="s">
        <v>8</v>
      </c>
      <c r="B1277" s="2" t="str">
        <f>HYPERLINK("http://ts.21cn.com/tousu/show/id/1331768","无缘无故被贷上钱扣钱")</f>
        <v>无缘无故被贷上钱扣钱</v>
      </c>
      <c r="C1277" s="2" t="s">
        <v>9</v>
      </c>
      <c r="D1277" s="2" t="s">
        <v>10</v>
      </c>
      <c r="E1277" s="2" t="str">
        <f>HYPERLINK("http://ts.21cn.com/tousu/show/id/1331768","http://ts.21cn.com/tousu/show/id/1331768")</f>
        <v>http://ts.21cn.com/tousu/show/id/1331768</v>
      </c>
      <c r="F1277" s="2" t="s">
        <v>11</v>
      </c>
      <c r="G1277" s="2" t="s">
        <v>41639</v>
      </c>
      <c r="H1277" s="2" t="s">
        <v>41640</v>
      </c>
    </row>
    <row r="1278" spans="1:8" ht="25.05" customHeight="1" x14ac:dyDescent="0.25">
      <c r="A1278" s="2" t="s">
        <v>8</v>
      </c>
      <c r="B1278" s="2" t="str">
        <f>HYPERLINK("http://ts.21cn.com/tousu/show/id/1331769","租号玩客服冰冰制裁错误申诉也没有用。找仲裁员半天不回信息的")</f>
        <v>租号玩客服冰冰制裁错误申诉也没有用。找仲裁员半天不回信息的</v>
      </c>
      <c r="C1278" s="2" t="s">
        <v>9</v>
      </c>
      <c r="D1278" s="2" t="s">
        <v>10</v>
      </c>
      <c r="E1278" s="2" t="str">
        <f>HYPERLINK("http://ts.21cn.com/tousu/show/id/1331769","http://ts.21cn.com/tousu/show/id/1331769")</f>
        <v>http://ts.21cn.com/tousu/show/id/1331769</v>
      </c>
      <c r="F1278" s="2" t="s">
        <v>11</v>
      </c>
      <c r="G1278" s="2" t="s">
        <v>41637</v>
      </c>
      <c r="H1278" s="2" t="s">
        <v>41638</v>
      </c>
    </row>
    <row r="1279" spans="1:8" ht="25.05" customHeight="1" x14ac:dyDescent="0.25">
      <c r="A1279" s="2" t="s">
        <v>8</v>
      </c>
      <c r="B1279" s="2" t="str">
        <f>HYPERLINK("http://ts.21cn.com/tousu/show/id/1331771","苏宁易购惠而浦借答谢会忽悠3980元食材清洗机")</f>
        <v>苏宁易购惠而浦借答谢会忽悠3980元食材清洗机</v>
      </c>
      <c r="C1279" s="2" t="s">
        <v>9</v>
      </c>
      <c r="D1279" s="2" t="s">
        <v>10</v>
      </c>
      <c r="E1279" s="2" t="str">
        <f>HYPERLINK("http://ts.21cn.com/tousu/show/id/1331771","http://ts.21cn.com/tousu/show/id/1331771")</f>
        <v>http://ts.21cn.com/tousu/show/id/1331771</v>
      </c>
      <c r="F1279" s="2" t="s">
        <v>11</v>
      </c>
      <c r="G1279" s="2" t="s">
        <v>41635</v>
      </c>
      <c r="H1279" s="2" t="s">
        <v>41636</v>
      </c>
    </row>
    <row r="1280" spans="1:8" ht="25.05" customHeight="1" x14ac:dyDescent="0.25">
      <c r="A1280" s="2" t="s">
        <v>8</v>
      </c>
      <c r="B1280" s="2" t="str">
        <f>HYPERLINK("http://ts.21cn.com/tousu/show/id/1331770","走法律漏洞，最高不超过年利率36。本人借款5500月。他们三个月还款都7300")</f>
        <v>走法律漏洞，最高不超过年利率36。本人借款5500月。他们三个月还款都7300</v>
      </c>
      <c r="C1280" s="2" t="s">
        <v>9</v>
      </c>
      <c r="D1280" s="2" t="s">
        <v>10</v>
      </c>
      <c r="E1280" s="2" t="str">
        <f>HYPERLINK("http://ts.21cn.com/tousu/show/id/1331770","http://ts.21cn.com/tousu/show/id/1331770")</f>
        <v>http://ts.21cn.com/tousu/show/id/1331770</v>
      </c>
      <c r="F1280" s="2" t="s">
        <v>11</v>
      </c>
      <c r="G1280" s="2" t="s">
        <v>41633</v>
      </c>
      <c r="H1280" s="2" t="s">
        <v>41634</v>
      </c>
    </row>
    <row r="1281" spans="1:8" ht="25.05" customHeight="1" x14ac:dyDescent="0.25">
      <c r="A1281" s="2" t="s">
        <v>8</v>
      </c>
      <c r="B1281" s="2" t="str">
        <f>HYPERLINK("http://ts.21cn.com/tousu/show/id/1331772","淘手游客服不接单发货")</f>
        <v>淘手游客服不接单发货</v>
      </c>
      <c r="C1281" s="2" t="s">
        <v>9</v>
      </c>
      <c r="D1281" s="2" t="s">
        <v>10</v>
      </c>
      <c r="E1281" s="2" t="str">
        <f>HYPERLINK("http://ts.21cn.com/tousu/show/id/1331772","http://ts.21cn.com/tousu/show/id/1331772")</f>
        <v>http://ts.21cn.com/tousu/show/id/1331772</v>
      </c>
      <c r="F1281" s="2" t="s">
        <v>11</v>
      </c>
      <c r="G1281" s="2" t="s">
        <v>41631</v>
      </c>
      <c r="H1281" s="2" t="s">
        <v>41632</v>
      </c>
    </row>
    <row r="1282" spans="1:8" ht="25.05" customHeight="1" x14ac:dyDescent="0.25">
      <c r="A1282" s="2" t="s">
        <v>8</v>
      </c>
      <c r="B1282" s="2" t="str">
        <f>HYPERLINK("http://ts.21cn.com/tousu/show/id/1331773","OPPOR9SPLUS大规模无限重启变砖")</f>
        <v>OPPOR9SPLUS大规模无限重启变砖</v>
      </c>
      <c r="C1282" s="2" t="s">
        <v>9</v>
      </c>
      <c r="D1282" s="2" t="s">
        <v>10</v>
      </c>
      <c r="E1282" s="2" t="str">
        <f>HYPERLINK("http://ts.21cn.com/tousu/show/id/1331773","http://ts.21cn.com/tousu/show/id/1331773")</f>
        <v>http://ts.21cn.com/tousu/show/id/1331773</v>
      </c>
      <c r="F1282" s="2" t="s">
        <v>11</v>
      </c>
      <c r="G1282" s="2" t="s">
        <v>41629</v>
      </c>
      <c r="H1282" s="2" t="s">
        <v>41630</v>
      </c>
    </row>
    <row r="1283" spans="1:8" ht="25.05" customHeight="1" x14ac:dyDescent="0.25">
      <c r="A1283" s="2" t="s">
        <v>8</v>
      </c>
      <c r="B1283" s="2" t="str">
        <f>HYPERLINK("http://ts.21cn.com/tousu/show/id/1331774","省呗无底线催收")</f>
        <v>省呗无底线催收</v>
      </c>
      <c r="C1283" s="2" t="s">
        <v>9</v>
      </c>
      <c r="D1283" s="2" t="s">
        <v>10</v>
      </c>
      <c r="E1283" s="2" t="str">
        <f>HYPERLINK("http://ts.21cn.com/tousu/show/id/1331774","http://ts.21cn.com/tousu/show/id/1331774")</f>
        <v>http://ts.21cn.com/tousu/show/id/1331774</v>
      </c>
      <c r="F1283" s="2" t="s">
        <v>11</v>
      </c>
      <c r="G1283" s="2" t="s">
        <v>41627</v>
      </c>
      <c r="H1283" s="2" t="s">
        <v>41628</v>
      </c>
    </row>
    <row r="1284" spans="1:8" ht="25.05" customHeight="1" x14ac:dyDescent="0.25">
      <c r="A1284" s="2" t="s">
        <v>8</v>
      </c>
      <c r="B1284" s="2" t="str">
        <f>HYPERLINK("http://ts.21cn.com/tousu/show/id/1331775","联动云押金问题")</f>
        <v>联动云押金问题</v>
      </c>
      <c r="C1284" s="2" t="s">
        <v>34</v>
      </c>
      <c r="D1284" s="2" t="s">
        <v>10</v>
      </c>
      <c r="E1284" s="2" t="str">
        <f>HYPERLINK("http://ts.21cn.com/tousu/show/id/1331775","http://ts.21cn.com/tousu/show/id/1331775")</f>
        <v>http://ts.21cn.com/tousu/show/id/1331775</v>
      </c>
      <c r="F1284" s="2" t="s">
        <v>11</v>
      </c>
      <c r="G1284" s="2" t="s">
        <v>41625</v>
      </c>
      <c r="H1284" s="2" t="s">
        <v>41626</v>
      </c>
    </row>
    <row r="1285" spans="1:8" ht="25.05" customHeight="1" x14ac:dyDescent="0.25">
      <c r="A1285" s="2" t="s">
        <v>8</v>
      </c>
      <c r="B1285" s="2" t="str">
        <f>HYPERLINK("http://ts.21cn.com/tousu/show/id/1331776","平安普惠高利贷")</f>
        <v>平安普惠高利贷</v>
      </c>
      <c r="C1285" s="2" t="s">
        <v>9</v>
      </c>
      <c r="D1285" s="2" t="s">
        <v>10</v>
      </c>
      <c r="E1285" s="2" t="str">
        <f>HYPERLINK("http://ts.21cn.com/tousu/show/id/1331776","http://ts.21cn.com/tousu/show/id/1331776")</f>
        <v>http://ts.21cn.com/tousu/show/id/1331776</v>
      </c>
      <c r="F1285" s="2" t="s">
        <v>11</v>
      </c>
      <c r="G1285" s="2" t="s">
        <v>41623</v>
      </c>
      <c r="H1285" s="2" t="s">
        <v>41624</v>
      </c>
    </row>
    <row r="1286" spans="1:8" ht="25.05" customHeight="1" x14ac:dyDescent="0.25">
      <c r="A1286" s="2" t="s">
        <v>8</v>
      </c>
      <c r="B1286" s="2" t="str">
        <f>HYPERLINK("http://ts.21cn.com/tousu/show/id/1331777","减免费用")</f>
        <v>减免费用</v>
      </c>
      <c r="C1286" s="2" t="s">
        <v>9</v>
      </c>
      <c r="D1286" s="2" t="s">
        <v>10</v>
      </c>
      <c r="E1286" s="2" t="str">
        <f>HYPERLINK("http://ts.21cn.com/tousu/show/id/1331777","http://ts.21cn.com/tousu/show/id/1331777")</f>
        <v>http://ts.21cn.com/tousu/show/id/1331777</v>
      </c>
      <c r="F1286" s="2" t="s">
        <v>11</v>
      </c>
      <c r="G1286" s="2" t="s">
        <v>41621</v>
      </c>
      <c r="H1286" s="2" t="s">
        <v>41622</v>
      </c>
    </row>
    <row r="1287" spans="1:8" ht="25.05" customHeight="1" x14ac:dyDescent="0.25">
      <c r="A1287" s="2" t="s">
        <v>8</v>
      </c>
      <c r="B1287" s="2" t="str">
        <f>HYPERLINK("http://ts.21cn.com/tousu/show/id/1331778","betterme在我未使用的情况下自动扣费")</f>
        <v>betterme在我未使用的情况下自动扣费</v>
      </c>
      <c r="C1287" s="2" t="s">
        <v>9</v>
      </c>
      <c r="D1287" s="2" t="s">
        <v>10</v>
      </c>
      <c r="E1287" s="2" t="str">
        <f>HYPERLINK("http://ts.21cn.com/tousu/show/id/1331778","http://ts.21cn.com/tousu/show/id/1331778")</f>
        <v>http://ts.21cn.com/tousu/show/id/1331778</v>
      </c>
      <c r="F1287" s="2" t="s">
        <v>11</v>
      </c>
      <c r="G1287" s="2" t="s">
        <v>41619</v>
      </c>
      <c r="H1287" s="2" t="s">
        <v>41620</v>
      </c>
    </row>
    <row r="1288" spans="1:8" ht="25.05" customHeight="1" x14ac:dyDescent="0.25">
      <c r="A1288" s="2" t="s">
        <v>8</v>
      </c>
      <c r="B1288" s="2" t="str">
        <f>HYPERLINK("http://ts.21cn.com/tousu/show/id/1331779","oppor9splus无限重启")</f>
        <v>oppor9splus无限重启</v>
      </c>
      <c r="C1288" s="2" t="s">
        <v>9</v>
      </c>
      <c r="D1288" s="2" t="s">
        <v>10</v>
      </c>
      <c r="E1288" s="2" t="str">
        <f>HYPERLINK("http://ts.21cn.com/tousu/show/id/1331779","http://ts.21cn.com/tousu/show/id/1331779")</f>
        <v>http://ts.21cn.com/tousu/show/id/1331779</v>
      </c>
      <c r="F1288" s="2" t="s">
        <v>11</v>
      </c>
      <c r="G1288" s="2" t="s">
        <v>41617</v>
      </c>
      <c r="H1288" s="2" t="s">
        <v>41618</v>
      </c>
    </row>
    <row r="1289" spans="1:8" ht="25.05" customHeight="1" x14ac:dyDescent="0.25">
      <c r="A1289" s="2" t="s">
        <v>8</v>
      </c>
      <c r="B1289" s="2" t="str">
        <f>HYPERLINK("http://ts.21cn.com/tousu/show/id/1331780","咸鱼客服处理不当要求赔偿")</f>
        <v>咸鱼客服处理不当要求赔偿</v>
      </c>
      <c r="C1289" s="2" t="s">
        <v>9</v>
      </c>
      <c r="D1289" s="2" t="s">
        <v>10</v>
      </c>
      <c r="E1289" s="2" t="str">
        <f>HYPERLINK("http://ts.21cn.com/tousu/show/id/1331780","http://ts.21cn.com/tousu/show/id/1331780")</f>
        <v>http://ts.21cn.com/tousu/show/id/1331780</v>
      </c>
      <c r="F1289" s="2" t="s">
        <v>11</v>
      </c>
      <c r="G1289" s="2" t="s">
        <v>41615</v>
      </c>
      <c r="H1289" s="2" t="s">
        <v>41616</v>
      </c>
    </row>
    <row r="1290" spans="1:8" ht="25.05" customHeight="1" x14ac:dyDescent="0.25">
      <c r="A1290" s="2" t="s">
        <v>8</v>
      </c>
      <c r="B1290" s="2" t="str">
        <f>HYPERLINK("http://ts.21cn.com/tousu/show/id/1331781","工商银行违规催收乱收费")</f>
        <v>工商银行违规催收乱收费</v>
      </c>
      <c r="C1290" s="2" t="s">
        <v>9</v>
      </c>
      <c r="D1290" s="2" t="s">
        <v>10</v>
      </c>
      <c r="E1290" s="2" t="str">
        <f>HYPERLINK("http://ts.21cn.com/tousu/show/id/1331781","http://ts.21cn.com/tousu/show/id/1331781")</f>
        <v>http://ts.21cn.com/tousu/show/id/1331781</v>
      </c>
      <c r="F1290" s="2" t="s">
        <v>11</v>
      </c>
      <c r="G1290" s="2" t="s">
        <v>41613</v>
      </c>
      <c r="H1290" s="2" t="s">
        <v>41614</v>
      </c>
    </row>
    <row r="1291" spans="1:8" ht="25.05" customHeight="1" x14ac:dyDescent="0.25">
      <c r="A1291" s="2" t="s">
        <v>8</v>
      </c>
      <c r="B1291" s="2" t="str">
        <f>HYPERLINK("http://ts.21cn.com/tousu/show/id/1331758","享元金融速贷要求我转账6797元")</f>
        <v>享元金融速贷要求我转账6797元</v>
      </c>
      <c r="C1291" s="2" t="s">
        <v>34</v>
      </c>
      <c r="D1291" s="2" t="s">
        <v>10</v>
      </c>
      <c r="E1291" s="2" t="str">
        <f>HYPERLINK("http://ts.21cn.com/tousu/show/id/1331758","http://ts.21cn.com/tousu/show/id/1331758")</f>
        <v>http://ts.21cn.com/tousu/show/id/1331758</v>
      </c>
      <c r="F1291" s="2" t="s">
        <v>11</v>
      </c>
      <c r="G1291" s="2" t="s">
        <v>41611</v>
      </c>
      <c r="H1291" s="2" t="s">
        <v>41612</v>
      </c>
    </row>
    <row r="1292" spans="1:8" ht="25.05" customHeight="1" x14ac:dyDescent="0.25">
      <c r="A1292" s="2" t="s">
        <v>8</v>
      </c>
      <c r="B1292" s="2" t="str">
        <f>HYPERLINK("http://ts.21cn.com/tousu/show/id/1331782","套路贷，高利贷")</f>
        <v>套路贷，高利贷</v>
      </c>
      <c r="C1292" s="2" t="s">
        <v>9</v>
      </c>
      <c r="D1292" s="2" t="s">
        <v>10</v>
      </c>
      <c r="E1292" s="2" t="str">
        <f>HYPERLINK("http://ts.21cn.com/tousu/show/id/1331782","http://ts.21cn.com/tousu/show/id/1331782")</f>
        <v>http://ts.21cn.com/tousu/show/id/1331782</v>
      </c>
      <c r="F1292" s="2" t="s">
        <v>11</v>
      </c>
      <c r="G1292" s="2" t="s">
        <v>41609</v>
      </c>
      <c r="H1292" s="2" t="s">
        <v>41610</v>
      </c>
    </row>
    <row r="1293" spans="1:8" ht="25.05" customHeight="1" x14ac:dyDescent="0.25">
      <c r="A1293" s="2" t="s">
        <v>8</v>
      </c>
      <c r="B1293" s="2" t="str">
        <f>HYPERLINK("http://ts.21cn.com/tousu/show/id/1331783","来分期商场二手商品不开发票")</f>
        <v>来分期商场二手商品不开发票</v>
      </c>
      <c r="C1293" s="2" t="s">
        <v>9</v>
      </c>
      <c r="D1293" s="2" t="s">
        <v>10</v>
      </c>
      <c r="E1293" s="2" t="str">
        <f>HYPERLINK("http://ts.21cn.com/tousu/show/id/1331783","http://ts.21cn.com/tousu/show/id/1331783")</f>
        <v>http://ts.21cn.com/tousu/show/id/1331783</v>
      </c>
      <c r="F1293" s="2" t="s">
        <v>11</v>
      </c>
      <c r="G1293" s="2" t="s">
        <v>41607</v>
      </c>
      <c r="H1293" s="2" t="s">
        <v>41608</v>
      </c>
    </row>
    <row r="1294" spans="1:8" ht="25.05" customHeight="1" x14ac:dyDescent="0.25">
      <c r="A1294" s="2" t="s">
        <v>8</v>
      </c>
      <c r="B1294" s="2" t="str">
        <f>HYPERLINK("http://ts.21cn.com/tousu/show/id/1331784","尚德机构存在虚假宣传等问题")</f>
        <v>尚德机构存在虚假宣传等问题</v>
      </c>
      <c r="C1294" s="2" t="s">
        <v>9</v>
      </c>
      <c r="D1294" s="2" t="s">
        <v>10</v>
      </c>
      <c r="E1294" s="2" t="str">
        <f>HYPERLINK("http://ts.21cn.com/tousu/show/id/1331784","http://ts.21cn.com/tousu/show/id/1331784")</f>
        <v>http://ts.21cn.com/tousu/show/id/1331784</v>
      </c>
      <c r="F1294" s="2" t="s">
        <v>11</v>
      </c>
      <c r="G1294" s="2" t="s">
        <v>41605</v>
      </c>
      <c r="H1294" s="2" t="s">
        <v>41606</v>
      </c>
    </row>
    <row r="1295" spans="1:8" ht="25.05" customHeight="1" x14ac:dyDescent="0.25">
      <c r="A1295" s="2" t="s">
        <v>8</v>
      </c>
      <c r="B1295" s="2" t="str">
        <f>HYPERLINK("http://ts.21cn.com/tousu/show/id/1331785","无故扣款")</f>
        <v>无故扣款</v>
      </c>
      <c r="C1295" s="2" t="s">
        <v>34</v>
      </c>
      <c r="D1295" s="2" t="s">
        <v>10</v>
      </c>
      <c r="E1295" s="2" t="str">
        <f>HYPERLINK("http://ts.21cn.com/tousu/show/id/1331785","http://ts.21cn.com/tousu/show/id/1331785")</f>
        <v>http://ts.21cn.com/tousu/show/id/1331785</v>
      </c>
      <c r="F1295" s="2" t="s">
        <v>11</v>
      </c>
      <c r="G1295" s="2" t="s">
        <v>41603</v>
      </c>
      <c r="H1295" s="2" t="s">
        <v>41604</v>
      </c>
    </row>
    <row r="1296" spans="1:8" ht="25.05" customHeight="1" x14ac:dyDescent="0.25">
      <c r="A1296" s="2" t="s">
        <v>8</v>
      </c>
      <c r="B1296" s="2" t="str">
        <f>HYPERLINK("http://ts.21cn.com/tousu/show/id/1331787","捷信高利贷")</f>
        <v>捷信高利贷</v>
      </c>
      <c r="C1296" s="2" t="s">
        <v>9</v>
      </c>
      <c r="D1296" s="2" t="s">
        <v>10</v>
      </c>
      <c r="E1296" s="2" t="str">
        <f>HYPERLINK("http://ts.21cn.com/tousu/show/id/1331787","http://ts.21cn.com/tousu/show/id/1331787")</f>
        <v>http://ts.21cn.com/tousu/show/id/1331787</v>
      </c>
      <c r="F1296" s="2" t="s">
        <v>11</v>
      </c>
      <c r="G1296" s="2" t="s">
        <v>41601</v>
      </c>
      <c r="H1296" s="2" t="s">
        <v>41602</v>
      </c>
    </row>
    <row r="1297" spans="1:8" ht="25.05" customHeight="1" x14ac:dyDescent="0.25">
      <c r="A1297" s="2" t="s">
        <v>8</v>
      </c>
      <c r="B1297" s="2" t="str">
        <f>HYPERLINK("http://ts.21cn.com/tousu/show/id/1331788","本人操作")</f>
        <v>本人操作</v>
      </c>
      <c r="C1297" s="2" t="s">
        <v>34</v>
      </c>
      <c r="D1297" s="2" t="s">
        <v>10</v>
      </c>
      <c r="E1297" s="2" t="str">
        <f>HYPERLINK("http://ts.21cn.com/tousu/show/id/1331788","http://ts.21cn.com/tousu/show/id/1331788")</f>
        <v>http://ts.21cn.com/tousu/show/id/1331788</v>
      </c>
      <c r="F1297" s="2" t="s">
        <v>11</v>
      </c>
      <c r="G1297" s="2" t="s">
        <v>41599</v>
      </c>
      <c r="H1297" s="2" t="s">
        <v>41600</v>
      </c>
    </row>
    <row r="1298" spans="1:8" ht="25.05" customHeight="1" x14ac:dyDescent="0.25">
      <c r="A1298" s="2" t="s">
        <v>8</v>
      </c>
      <c r="B1298" s="2" t="str">
        <f>HYPERLINK("http://ts.21cn.com/tousu/show/id/1331790","玖富万卡擅自改写合同，变相收取费用，高利贷")</f>
        <v>玖富万卡擅自改写合同，变相收取费用，高利贷</v>
      </c>
      <c r="C1298" s="2" t="s">
        <v>9</v>
      </c>
      <c r="D1298" s="2" t="s">
        <v>10</v>
      </c>
      <c r="E1298" s="2" t="str">
        <f>HYPERLINK("http://ts.21cn.com/tousu/show/id/1331790","http://ts.21cn.com/tousu/show/id/1331790")</f>
        <v>http://ts.21cn.com/tousu/show/id/1331790</v>
      </c>
      <c r="F1298" s="2" t="s">
        <v>11</v>
      </c>
      <c r="G1298" s="2" t="s">
        <v>41597</v>
      </c>
      <c r="H1298" s="2" t="s">
        <v>41598</v>
      </c>
    </row>
    <row r="1299" spans="1:8" ht="25.05" customHeight="1" x14ac:dyDescent="0.25">
      <c r="A1299" s="2" t="s">
        <v>8</v>
      </c>
      <c r="B1299" s="2" t="str">
        <f>HYPERLINK("http://ts.21cn.com/tousu/show/id/1331789","砍头息，高利贷，威胁恐吓，语言侮辱")</f>
        <v>砍头息，高利贷，威胁恐吓，语言侮辱</v>
      </c>
      <c r="C1299" s="2" t="s">
        <v>9</v>
      </c>
      <c r="D1299" s="2" t="s">
        <v>10</v>
      </c>
      <c r="E1299" s="2" t="str">
        <f>HYPERLINK("http://ts.21cn.com/tousu/show/id/1331789","http://ts.21cn.com/tousu/show/id/1331789")</f>
        <v>http://ts.21cn.com/tousu/show/id/1331789</v>
      </c>
      <c r="F1299" s="2" t="s">
        <v>11</v>
      </c>
      <c r="G1299" s="2" t="s">
        <v>41595</v>
      </c>
      <c r="H1299" s="2" t="s">
        <v>41596</v>
      </c>
    </row>
    <row r="1300" spans="1:8" ht="25.05" customHeight="1" x14ac:dyDescent="0.25">
      <c r="A1300" s="2" t="s">
        <v>8</v>
      </c>
      <c r="B1300" s="2" t="str">
        <f>HYPERLINK("http://ts.21cn.com/tousu/show/id/1331791","立借月月借高利贷无法还款")</f>
        <v>立借月月借高利贷无法还款</v>
      </c>
      <c r="C1300" s="2" t="s">
        <v>9</v>
      </c>
      <c r="D1300" s="2" t="s">
        <v>10</v>
      </c>
      <c r="E1300" s="2" t="str">
        <f>HYPERLINK("http://ts.21cn.com/tousu/show/id/1331791","http://ts.21cn.com/tousu/show/id/1331791")</f>
        <v>http://ts.21cn.com/tousu/show/id/1331791</v>
      </c>
      <c r="F1300" s="2" t="s">
        <v>11</v>
      </c>
      <c r="G1300" s="2" t="s">
        <v>41593</v>
      </c>
      <c r="H1300" s="2" t="s">
        <v>41594</v>
      </c>
    </row>
    <row r="1301" spans="1:8" ht="25.05" customHeight="1" x14ac:dyDescent="0.25">
      <c r="A1301" s="2" t="s">
        <v>8</v>
      </c>
      <c r="B1301" s="2" t="str">
        <f>HYPERLINK("http://ts.21cn.com/tousu/show/id/1331792","信用管家钱咖分期收取高额利息")</f>
        <v>信用管家钱咖分期收取高额利息</v>
      </c>
      <c r="C1301" s="2" t="s">
        <v>9</v>
      </c>
      <c r="D1301" s="2" t="s">
        <v>10</v>
      </c>
      <c r="E1301" s="2" t="str">
        <f>HYPERLINK("http://ts.21cn.com/tousu/show/id/1331792","http://ts.21cn.com/tousu/show/id/1331792")</f>
        <v>http://ts.21cn.com/tousu/show/id/1331792</v>
      </c>
      <c r="F1301" s="2" t="s">
        <v>11</v>
      </c>
      <c r="G1301" s="2" t="s">
        <v>41591</v>
      </c>
      <c r="H1301" s="2" t="s">
        <v>41592</v>
      </c>
    </row>
    <row r="1302" spans="1:8" ht="25.05" customHeight="1" x14ac:dyDescent="0.25">
      <c r="A1302" s="2" t="s">
        <v>8</v>
      </c>
      <c r="B1302" s="2" t="str">
        <f>HYPERLINK("http://ts.21cn.com/tousu/show/id/1331793","拍拍贷无法正常还款，卡里有钱，各种办法都试验了，就是还不了，")</f>
        <v>拍拍贷无法正常还款，卡里有钱，各种办法都试验了，就是还不了，</v>
      </c>
      <c r="C1302" s="2" t="s">
        <v>9</v>
      </c>
      <c r="D1302" s="2" t="s">
        <v>10</v>
      </c>
      <c r="E1302" s="2" t="str">
        <f>HYPERLINK("http://ts.21cn.com/tousu/show/id/1331793","http://ts.21cn.com/tousu/show/id/1331793")</f>
        <v>http://ts.21cn.com/tousu/show/id/1331793</v>
      </c>
      <c r="F1302" s="2" t="s">
        <v>11</v>
      </c>
      <c r="G1302" s="2" t="s">
        <v>41589</v>
      </c>
      <c r="H1302" s="2" t="s">
        <v>41590</v>
      </c>
    </row>
    <row r="1303" spans="1:8" ht="25.05" customHeight="1" x14ac:dyDescent="0.25">
      <c r="A1303" s="2" t="s">
        <v>8</v>
      </c>
      <c r="B1303" s="2" t="str">
        <f>HYPERLINK("http://ts.21cn.com/tousu/show/id/1331794","贷上钱以买游戏豆为由收取高额贷款通过费")</f>
        <v>贷上钱以买游戏豆为由收取高额贷款通过费</v>
      </c>
      <c r="C1303" s="2" t="s">
        <v>9</v>
      </c>
      <c r="D1303" s="2" t="s">
        <v>10</v>
      </c>
      <c r="E1303" s="2" t="str">
        <f>HYPERLINK("http://ts.21cn.com/tousu/show/id/1331794","http://ts.21cn.com/tousu/show/id/1331794")</f>
        <v>http://ts.21cn.com/tousu/show/id/1331794</v>
      </c>
      <c r="F1303" s="2" t="s">
        <v>11</v>
      </c>
      <c r="G1303" s="2" t="s">
        <v>41587</v>
      </c>
      <c r="H1303" s="2" t="s">
        <v>41588</v>
      </c>
    </row>
    <row r="1304" spans="1:8" ht="25.05" customHeight="1" x14ac:dyDescent="0.25">
      <c r="A1304" s="2" t="s">
        <v>8</v>
      </c>
      <c r="B1304" s="2" t="str">
        <f>HYPERLINK("http://ts.21cn.com/tousu/show/id/1331795","厦门银行个人存管账户钱不解冻")</f>
        <v>厦门银行个人存管账户钱不解冻</v>
      </c>
      <c r="C1304" s="2" t="s">
        <v>9</v>
      </c>
      <c r="D1304" s="2" t="s">
        <v>10</v>
      </c>
      <c r="E1304" s="2" t="str">
        <f>HYPERLINK("http://ts.21cn.com/tousu/show/id/1331795","http://ts.21cn.com/tousu/show/id/1331795")</f>
        <v>http://ts.21cn.com/tousu/show/id/1331795</v>
      </c>
      <c r="F1304" s="2" t="s">
        <v>11</v>
      </c>
      <c r="G1304" s="2" t="s">
        <v>41585</v>
      </c>
      <c r="H1304" s="2" t="s">
        <v>41586</v>
      </c>
    </row>
    <row r="1305" spans="1:8" ht="25.05" customHeight="1" x14ac:dyDescent="0.25">
      <c r="A1305" s="2" t="s">
        <v>8</v>
      </c>
      <c r="B1305" s="2" t="str">
        <f>HYPERLINK("http://ts.21cn.com/tousu/show/id/1331796","期待合伙人高利贷砍头息")</f>
        <v>期待合伙人高利贷砍头息</v>
      </c>
      <c r="C1305" s="2" t="s">
        <v>9</v>
      </c>
      <c r="D1305" s="2" t="s">
        <v>10</v>
      </c>
      <c r="E1305" s="2" t="str">
        <f>HYPERLINK("http://ts.21cn.com/tousu/show/id/1331796","http://ts.21cn.com/tousu/show/id/1331796")</f>
        <v>http://ts.21cn.com/tousu/show/id/1331796</v>
      </c>
      <c r="F1305" s="2" t="s">
        <v>11</v>
      </c>
      <c r="G1305" s="2" t="s">
        <v>41583</v>
      </c>
      <c r="H1305" s="2" t="s">
        <v>41584</v>
      </c>
    </row>
    <row r="1306" spans="1:8" ht="25.05" customHeight="1" x14ac:dyDescent="0.25">
      <c r="A1306" s="2" t="s">
        <v>8</v>
      </c>
      <c r="B1306" s="2" t="str">
        <f>HYPERLINK("http://ts.21cn.com/tousu/show/id/1331797","鲸纬科技莫名其妙扣除了我银行卡里面299元，要求退还")</f>
        <v>鲸纬科技莫名其妙扣除了我银行卡里面299元，要求退还</v>
      </c>
      <c r="C1306" s="2" t="s">
        <v>9</v>
      </c>
      <c r="D1306" s="2" t="s">
        <v>10</v>
      </c>
      <c r="E1306" s="2" t="str">
        <f>HYPERLINK("http://ts.21cn.com/tousu/show/id/1331797","http://ts.21cn.com/tousu/show/id/1331797")</f>
        <v>http://ts.21cn.com/tousu/show/id/1331797</v>
      </c>
      <c r="F1306" s="2" t="s">
        <v>11</v>
      </c>
      <c r="G1306" s="2" t="s">
        <v>41581</v>
      </c>
      <c r="H1306" s="2" t="s">
        <v>41582</v>
      </c>
    </row>
    <row r="1307" spans="1:8" ht="25.05" customHeight="1" x14ac:dyDescent="0.25">
      <c r="A1307" s="2" t="s">
        <v>8</v>
      </c>
      <c r="B1307" s="2" t="str">
        <f>HYPERLINK("http://ts.21cn.com/tousu/show/id/1331798","豆豆钱逾期一天，逾期费居然高达200")</f>
        <v>豆豆钱逾期一天，逾期费居然高达200</v>
      </c>
      <c r="C1307" s="2" t="s">
        <v>9</v>
      </c>
      <c r="D1307" s="2" t="s">
        <v>10</v>
      </c>
      <c r="E1307" s="2" t="str">
        <f>HYPERLINK("http://ts.21cn.com/tousu/show/id/1331798","http://ts.21cn.com/tousu/show/id/1331798")</f>
        <v>http://ts.21cn.com/tousu/show/id/1331798</v>
      </c>
      <c r="F1307" s="2" t="s">
        <v>11</v>
      </c>
      <c r="G1307" s="2" t="s">
        <v>41580</v>
      </c>
      <c r="H1307" s="2" t="s">
        <v>39117</v>
      </c>
    </row>
    <row r="1308" spans="1:8" ht="25.05" customHeight="1" x14ac:dyDescent="0.25">
      <c r="A1308" s="2" t="s">
        <v>8</v>
      </c>
      <c r="B1308" s="2" t="str">
        <f>HYPERLINK("http://ts.21cn.com/tousu/show/id/1331800","我来数科违法高利贷，收取高额服务费")</f>
        <v>我来数科违法高利贷，收取高额服务费</v>
      </c>
      <c r="C1308" s="2" t="s">
        <v>9</v>
      </c>
      <c r="D1308" s="2" t="s">
        <v>10</v>
      </c>
      <c r="E1308" s="2" t="str">
        <f>HYPERLINK("http://ts.21cn.com/tousu/show/id/1331800","http://ts.21cn.com/tousu/show/id/1331800")</f>
        <v>http://ts.21cn.com/tousu/show/id/1331800</v>
      </c>
      <c r="F1308" s="2" t="s">
        <v>11</v>
      </c>
      <c r="G1308" s="2" t="s">
        <v>41578</v>
      </c>
      <c r="H1308" s="2" t="s">
        <v>41579</v>
      </c>
    </row>
    <row r="1309" spans="1:8" ht="25.05" customHeight="1" x14ac:dyDescent="0.25">
      <c r="A1309" s="2" t="s">
        <v>8</v>
      </c>
      <c r="B1309" s="2" t="str">
        <f>HYPERLINK("http://ts.21cn.com/tousu/show/id/1331801","强制购买保险")</f>
        <v>强制购买保险</v>
      </c>
      <c r="C1309" s="2" t="s">
        <v>9</v>
      </c>
      <c r="D1309" s="2" t="s">
        <v>10</v>
      </c>
      <c r="E1309" s="2" t="str">
        <f>HYPERLINK("http://ts.21cn.com/tousu/show/id/1331801","http://ts.21cn.com/tousu/show/id/1331801")</f>
        <v>http://ts.21cn.com/tousu/show/id/1331801</v>
      </c>
      <c r="F1309" s="2" t="s">
        <v>11</v>
      </c>
      <c r="G1309" s="2" t="s">
        <v>41576</v>
      </c>
      <c r="H1309" s="2" t="s">
        <v>41577</v>
      </c>
    </row>
    <row r="1310" spans="1:8" ht="25.05" customHeight="1" x14ac:dyDescent="0.25">
      <c r="A1310" s="2" t="s">
        <v>8</v>
      </c>
      <c r="B1310" s="2" t="str">
        <f>HYPERLINK("http://ts.21cn.com/tousu/show/id/1331802","民航通黑卡虚假宣传、存在欺诈行为")</f>
        <v>民航通黑卡虚假宣传、存在欺诈行为</v>
      </c>
      <c r="C1310" s="2" t="s">
        <v>9</v>
      </c>
      <c r="D1310" s="2" t="s">
        <v>10</v>
      </c>
      <c r="E1310" s="2" t="str">
        <f>HYPERLINK("http://ts.21cn.com/tousu/show/id/1331802","http://ts.21cn.com/tousu/show/id/1331802")</f>
        <v>http://ts.21cn.com/tousu/show/id/1331802</v>
      </c>
      <c r="F1310" s="2" t="s">
        <v>11</v>
      </c>
      <c r="G1310" s="2" t="s">
        <v>41574</v>
      </c>
      <c r="H1310" s="2" t="s">
        <v>41575</v>
      </c>
    </row>
    <row r="1311" spans="1:8" ht="25.05" customHeight="1" x14ac:dyDescent="0.25">
      <c r="A1311" s="2" t="s">
        <v>8</v>
      </c>
      <c r="B1311" s="2" t="str">
        <f>HYPERLINK("http://ts.21cn.com/tousu/show/id/1331803","收费问题,不明不白的恶意扣费")</f>
        <v>收费问题,不明不白的恶意扣费</v>
      </c>
      <c r="C1311" s="2" t="s">
        <v>9</v>
      </c>
      <c r="D1311" s="2" t="s">
        <v>10</v>
      </c>
      <c r="E1311" s="2" t="str">
        <f>HYPERLINK("http://ts.21cn.com/tousu/show/id/1331803","http://ts.21cn.com/tousu/show/id/1331803")</f>
        <v>http://ts.21cn.com/tousu/show/id/1331803</v>
      </c>
      <c r="F1311" s="2" t="s">
        <v>11</v>
      </c>
      <c r="G1311" s="2" t="s">
        <v>41572</v>
      </c>
      <c r="H1311" s="2" t="s">
        <v>41573</v>
      </c>
    </row>
    <row r="1312" spans="1:8" ht="25.05" customHeight="1" x14ac:dyDescent="0.25">
      <c r="A1312" s="2" t="s">
        <v>8</v>
      </c>
      <c r="B1312" s="2" t="str">
        <f>HYPERLINK("http://ts.21cn.com/tousu/show/id/1331804","诱导扣款")</f>
        <v>诱导扣款</v>
      </c>
      <c r="C1312" s="2" t="s">
        <v>9</v>
      </c>
      <c r="D1312" s="2" t="s">
        <v>10</v>
      </c>
      <c r="E1312" s="2" t="str">
        <f>HYPERLINK("http://ts.21cn.com/tousu/show/id/1331804","http://ts.21cn.com/tousu/show/id/1331804")</f>
        <v>http://ts.21cn.com/tousu/show/id/1331804</v>
      </c>
      <c r="F1312" s="2" t="s">
        <v>11</v>
      </c>
      <c r="G1312" s="2" t="s">
        <v>41570</v>
      </c>
      <c r="H1312" s="2" t="s">
        <v>41571</v>
      </c>
    </row>
    <row r="1313" spans="1:8" ht="25.05" customHeight="1" x14ac:dyDescent="0.25">
      <c r="A1313" s="2" t="s">
        <v>8</v>
      </c>
      <c r="B1313" s="2" t="str">
        <f>HYPERLINK("http://ts.21cn.com/tousu/show/id/1331806","中经汇通小马车主不能使用，无法退款！")</f>
        <v>中经汇通小马车主不能使用，无法退款！</v>
      </c>
      <c r="C1313" s="2" t="s">
        <v>9</v>
      </c>
      <c r="D1313" s="2" t="s">
        <v>10</v>
      </c>
      <c r="E1313" s="2" t="str">
        <f>HYPERLINK("http://ts.21cn.com/tousu/show/id/1331806","http://ts.21cn.com/tousu/show/id/1331806")</f>
        <v>http://ts.21cn.com/tousu/show/id/1331806</v>
      </c>
      <c r="F1313" s="2" t="s">
        <v>11</v>
      </c>
      <c r="G1313" s="2" t="s">
        <v>41568</v>
      </c>
      <c r="H1313" s="2" t="s">
        <v>41569</v>
      </c>
    </row>
    <row r="1314" spans="1:8" ht="25.05" customHeight="1" x14ac:dyDescent="0.25">
      <c r="A1314" s="2" t="s">
        <v>8</v>
      </c>
      <c r="B1314" s="2" t="str">
        <f>HYPERLINK("http://ts.21cn.com/tousu/show/id/1331805","岸香咖啡拖欠员工工资，不让人走正常离职程序逼人自离不给工资。")</f>
        <v>岸香咖啡拖欠员工工资，不让人走正常离职程序逼人自离不给工资。</v>
      </c>
      <c r="C1314" s="2" t="s">
        <v>9</v>
      </c>
      <c r="D1314" s="2" t="s">
        <v>10</v>
      </c>
      <c r="E1314" s="2" t="str">
        <f>HYPERLINK("http://ts.21cn.com/tousu/show/id/1331805","http://ts.21cn.com/tousu/show/id/1331805")</f>
        <v>http://ts.21cn.com/tousu/show/id/1331805</v>
      </c>
      <c r="F1314" s="2" t="s">
        <v>11</v>
      </c>
      <c r="G1314" s="2" t="s">
        <v>41566</v>
      </c>
      <c r="H1314" s="2" t="s">
        <v>41567</v>
      </c>
    </row>
    <row r="1315" spans="1:8" ht="25.05" customHeight="1" x14ac:dyDescent="0.25">
      <c r="A1315" s="2" t="s">
        <v>8</v>
      </c>
      <c r="B1315" s="2" t="str">
        <f>HYPERLINK("http://ts.21cn.com/tousu/show/id/1331807","在不知情也没有签署任何代扣协议情况下给我卡片扣款299")</f>
        <v>在不知情也没有签署任何代扣协议情况下给我卡片扣款299</v>
      </c>
      <c r="C1315" s="2" t="s">
        <v>9</v>
      </c>
      <c r="D1315" s="2" t="s">
        <v>10</v>
      </c>
      <c r="E1315" s="2" t="str">
        <f>HYPERLINK("http://ts.21cn.com/tousu/show/id/1331807","http://ts.21cn.com/tousu/show/id/1331807")</f>
        <v>http://ts.21cn.com/tousu/show/id/1331807</v>
      </c>
      <c r="F1315" s="2" t="s">
        <v>11</v>
      </c>
      <c r="G1315" s="2" t="s">
        <v>41564</v>
      </c>
      <c r="H1315" s="2" t="s">
        <v>41565</v>
      </c>
    </row>
    <row r="1316" spans="1:8" ht="25.05" customHeight="1" x14ac:dyDescent="0.25">
      <c r="A1316" s="2" t="s">
        <v>8</v>
      </c>
      <c r="B1316" s="2" t="str">
        <f>HYPERLINK("http://ts.21cn.com/tousu/show/id/1331808","社会毒瘤之佰仟金融！")</f>
        <v>社会毒瘤之佰仟金融！</v>
      </c>
      <c r="C1316" s="2" t="s">
        <v>9</v>
      </c>
      <c r="D1316" s="2" t="s">
        <v>10</v>
      </c>
      <c r="E1316" s="2" t="str">
        <f>HYPERLINK("http://ts.21cn.com/tousu/show/id/1331808","http://ts.21cn.com/tousu/show/id/1331808")</f>
        <v>http://ts.21cn.com/tousu/show/id/1331808</v>
      </c>
      <c r="F1316" s="2" t="s">
        <v>11</v>
      </c>
      <c r="G1316" s="2" t="s">
        <v>41562</v>
      </c>
      <c r="H1316" s="2" t="s">
        <v>41563</v>
      </c>
    </row>
    <row r="1317" spans="1:8" ht="25.05" customHeight="1" x14ac:dyDescent="0.25">
      <c r="A1317" s="2" t="s">
        <v>8</v>
      </c>
      <c r="B1317" s="2" t="str">
        <f>HYPERLINK("http://ts.21cn.com/tousu/show/id/1331809","借款金额和实际到账不一致，有砍头息等嫌疑")</f>
        <v>借款金额和实际到账不一致，有砍头息等嫌疑</v>
      </c>
      <c r="C1317" s="2" t="s">
        <v>34</v>
      </c>
      <c r="D1317" s="2" t="s">
        <v>10</v>
      </c>
      <c r="E1317" s="2" t="str">
        <f>HYPERLINK("http://ts.21cn.com/tousu/show/id/1331809","http://ts.21cn.com/tousu/show/id/1331809")</f>
        <v>http://ts.21cn.com/tousu/show/id/1331809</v>
      </c>
      <c r="F1317" s="2" t="s">
        <v>11</v>
      </c>
      <c r="G1317" s="2" t="s">
        <v>41560</v>
      </c>
      <c r="H1317" s="2" t="s">
        <v>41561</v>
      </c>
    </row>
    <row r="1318" spans="1:8" ht="25.05" customHeight="1" x14ac:dyDescent="0.25">
      <c r="A1318" s="2" t="s">
        <v>8</v>
      </c>
      <c r="B1318" s="2" t="str">
        <f>HYPERLINK("http://ts.21cn.com/tousu/show/id/1331810","青春宝高炮")</f>
        <v>青春宝高炮</v>
      </c>
      <c r="C1318" s="2" t="s">
        <v>9</v>
      </c>
      <c r="D1318" s="2" t="s">
        <v>10</v>
      </c>
      <c r="E1318" s="2" t="str">
        <f>HYPERLINK("http://ts.21cn.com/tousu/show/id/1331810","http://ts.21cn.com/tousu/show/id/1331810")</f>
        <v>http://ts.21cn.com/tousu/show/id/1331810</v>
      </c>
      <c r="F1318" s="2" t="s">
        <v>11</v>
      </c>
      <c r="G1318" s="2" t="s">
        <v>41558</v>
      </c>
      <c r="H1318" s="2" t="s">
        <v>41559</v>
      </c>
    </row>
    <row r="1319" spans="1:8" ht="25.05" customHeight="1" x14ac:dyDescent="0.25">
      <c r="A1319" s="2" t="s">
        <v>8</v>
      </c>
      <c r="B1319" s="2" t="str">
        <f>HYPERLINK("http://ts.21cn.com/tousu/show/id/1331811","请拼多多平台将买家退回的商品退还卖家")</f>
        <v>请拼多多平台将买家退回的商品退还卖家</v>
      </c>
      <c r="C1319" s="2" t="s">
        <v>9</v>
      </c>
      <c r="D1319" s="2" t="s">
        <v>10</v>
      </c>
      <c r="E1319" s="2" t="str">
        <f>HYPERLINK("http://ts.21cn.com/tousu/show/id/1331811","http://ts.21cn.com/tousu/show/id/1331811")</f>
        <v>http://ts.21cn.com/tousu/show/id/1331811</v>
      </c>
      <c r="F1319" s="2" t="s">
        <v>11</v>
      </c>
      <c r="G1319" s="2" t="s">
        <v>41556</v>
      </c>
      <c r="H1319" s="2" t="s">
        <v>41557</v>
      </c>
    </row>
    <row r="1320" spans="1:8" ht="25.05" customHeight="1" x14ac:dyDescent="0.25">
      <c r="A1320" s="2" t="s">
        <v>8</v>
      </c>
      <c r="B1320" s="2" t="str">
        <f>HYPERLINK("http://ts.21cn.com/tousu/show/id/1331812","闪银砍头息，变相收取高高利贷")</f>
        <v>闪银砍头息，变相收取高高利贷</v>
      </c>
      <c r="C1320" s="2" t="s">
        <v>9</v>
      </c>
      <c r="D1320" s="2" t="s">
        <v>10</v>
      </c>
      <c r="E1320" s="2" t="str">
        <f>HYPERLINK("http://ts.21cn.com/tousu/show/id/1331812","http://ts.21cn.com/tousu/show/id/1331812")</f>
        <v>http://ts.21cn.com/tousu/show/id/1331812</v>
      </c>
      <c r="F1320" s="2" t="s">
        <v>11</v>
      </c>
      <c r="G1320" s="2" t="s">
        <v>41554</v>
      </c>
      <c r="H1320" s="2" t="s">
        <v>41555</v>
      </c>
    </row>
    <row r="1321" spans="1:8" ht="25.05" customHeight="1" x14ac:dyDescent="0.25">
      <c r="A1321" s="2" t="s">
        <v>8</v>
      </c>
      <c r="B1321" s="2" t="str">
        <f>HYPERLINK("http://ts.21cn.com/tousu/show/id/1331813","暴力催收")</f>
        <v>暴力催收</v>
      </c>
      <c r="C1321" s="2" t="s">
        <v>9</v>
      </c>
      <c r="D1321" s="2" t="s">
        <v>10</v>
      </c>
      <c r="E1321" s="2" t="str">
        <f>HYPERLINK("http://ts.21cn.com/tousu/show/id/1331813","http://ts.21cn.com/tousu/show/id/1331813")</f>
        <v>http://ts.21cn.com/tousu/show/id/1331813</v>
      </c>
      <c r="F1321" s="2" t="s">
        <v>11</v>
      </c>
      <c r="G1321" s="2" t="s">
        <v>41552</v>
      </c>
      <c r="H1321" s="2" t="s">
        <v>41553</v>
      </c>
    </row>
    <row r="1322" spans="1:8" ht="25.05" customHeight="1" x14ac:dyDescent="0.25">
      <c r="A1322" s="2" t="s">
        <v>8</v>
      </c>
      <c r="B1322" s="2" t="str">
        <f>HYPERLINK("http://ts.21cn.com/tousu/show/id/1331815","借款到账的时候就扣了1516.9的砍头息，搞不懂，太坑了！")</f>
        <v>借款到账的时候就扣了1516.9的砍头息，搞不懂，太坑了！</v>
      </c>
      <c r="C1322" s="2" t="s">
        <v>9</v>
      </c>
      <c r="D1322" s="2" t="s">
        <v>10</v>
      </c>
      <c r="E1322" s="2" t="str">
        <f>HYPERLINK("http://ts.21cn.com/tousu/show/id/1331815","http://ts.21cn.com/tousu/show/id/1331815")</f>
        <v>http://ts.21cn.com/tousu/show/id/1331815</v>
      </c>
      <c r="F1322" s="2" t="s">
        <v>11</v>
      </c>
      <c r="G1322" s="2" t="s">
        <v>41550</v>
      </c>
      <c r="H1322" s="2" t="s">
        <v>41551</v>
      </c>
    </row>
    <row r="1323" spans="1:8" ht="25.05" customHeight="1" x14ac:dyDescent="0.25">
      <c r="A1323" s="2" t="s">
        <v>8</v>
      </c>
      <c r="B1323" s="2" t="str">
        <f>HYPERLINK("http://ts.21cn.com/tousu/show/id/1331816","滴滴平台乱扣服务分要求恢复服务分一直不处理")</f>
        <v>滴滴平台乱扣服务分要求恢复服务分一直不处理</v>
      </c>
      <c r="C1323" s="2" t="s">
        <v>9</v>
      </c>
      <c r="D1323" s="2" t="s">
        <v>10</v>
      </c>
      <c r="E1323" s="2" t="str">
        <f>HYPERLINK("http://ts.21cn.com/tousu/show/id/1331816","http://ts.21cn.com/tousu/show/id/1331816")</f>
        <v>http://ts.21cn.com/tousu/show/id/1331816</v>
      </c>
      <c r="F1323" s="2" t="s">
        <v>11</v>
      </c>
      <c r="G1323" s="2" t="s">
        <v>41548</v>
      </c>
      <c r="H1323" s="2" t="s">
        <v>41549</v>
      </c>
    </row>
    <row r="1324" spans="1:8" ht="25.05" customHeight="1" x14ac:dyDescent="0.25">
      <c r="A1324" s="2" t="s">
        <v>8</v>
      </c>
      <c r="B1324" s="2" t="str">
        <f>HYPERLINK("http://ts.21cn.com/tousu/show/id/1331817","在联动云租车上申请租车交了预付款，在下一秒及时取消订单，预付款无法退回。")</f>
        <v>在联动云租车上申请租车交了预付款，在下一秒及时取消订单，预付款无法退回。</v>
      </c>
      <c r="C1324" s="2" t="s">
        <v>34</v>
      </c>
      <c r="D1324" s="2" t="s">
        <v>10</v>
      </c>
      <c r="E1324" s="2" t="str">
        <f>HYPERLINK("http://ts.21cn.com/tousu/show/id/1331817","http://ts.21cn.com/tousu/show/id/1331817")</f>
        <v>http://ts.21cn.com/tousu/show/id/1331817</v>
      </c>
      <c r="F1324" s="2" t="s">
        <v>11</v>
      </c>
      <c r="G1324" s="2" t="s">
        <v>41546</v>
      </c>
      <c r="H1324" s="2" t="s">
        <v>41547</v>
      </c>
    </row>
    <row r="1325" spans="1:8" ht="25.05" customHeight="1" x14ac:dyDescent="0.25">
      <c r="A1325" s="2" t="s">
        <v>8</v>
      </c>
      <c r="B1325" s="2" t="str">
        <f>HYPERLINK("http://ts.21cn.com/tousu/show/id/1331819","58旗下转转二手交易网拒收货不予以退款")</f>
        <v>58旗下转转二手交易网拒收货不予以退款</v>
      </c>
      <c r="C1325" s="2" t="s">
        <v>9</v>
      </c>
      <c r="D1325" s="2" t="s">
        <v>10</v>
      </c>
      <c r="E1325" s="2" t="str">
        <f>HYPERLINK("http://ts.21cn.com/tousu/show/id/1331819","http://ts.21cn.com/tousu/show/id/1331819")</f>
        <v>http://ts.21cn.com/tousu/show/id/1331819</v>
      </c>
      <c r="F1325" s="2" t="s">
        <v>11</v>
      </c>
      <c r="G1325" s="2" t="s">
        <v>41544</v>
      </c>
      <c r="H1325" s="2" t="s">
        <v>41545</v>
      </c>
    </row>
    <row r="1326" spans="1:8" ht="25.05" customHeight="1" x14ac:dyDescent="0.25">
      <c r="A1326" s="2" t="s">
        <v>8</v>
      </c>
      <c r="B1326" s="2" t="str">
        <f>HYPERLINK("http://ts.21cn.com/tousu/show/id/1331820","退款解封")</f>
        <v>退款解封</v>
      </c>
      <c r="C1326" s="2" t="s">
        <v>34</v>
      </c>
      <c r="D1326" s="2" t="s">
        <v>10</v>
      </c>
      <c r="E1326" s="2" t="str">
        <f>HYPERLINK("http://ts.21cn.com/tousu/show/id/1331820","http://ts.21cn.com/tousu/show/id/1331820")</f>
        <v>http://ts.21cn.com/tousu/show/id/1331820</v>
      </c>
      <c r="F1326" s="2" t="s">
        <v>11</v>
      </c>
      <c r="G1326" s="2" t="s">
        <v>41542</v>
      </c>
      <c r="H1326" s="2" t="s">
        <v>41543</v>
      </c>
    </row>
    <row r="1327" spans="1:8" ht="25.05" customHeight="1" x14ac:dyDescent="0.25">
      <c r="A1327" s="2" t="s">
        <v>8</v>
      </c>
      <c r="B1327" s="2" t="str">
        <f>HYPERLINK("http://ts.21cn.com/tousu/show/id/1331818","约单APP充值后不能提现")</f>
        <v>约单APP充值后不能提现</v>
      </c>
      <c r="C1327" s="2" t="s">
        <v>9</v>
      </c>
      <c r="D1327" s="2" t="s">
        <v>10</v>
      </c>
      <c r="E1327" s="2" t="str">
        <f>HYPERLINK("http://ts.21cn.com/tousu/show/id/1331818","http://ts.21cn.com/tousu/show/id/1331818")</f>
        <v>http://ts.21cn.com/tousu/show/id/1331818</v>
      </c>
      <c r="F1327" s="2" t="s">
        <v>11</v>
      </c>
      <c r="G1327" s="2" t="s">
        <v>41540</v>
      </c>
      <c r="H1327" s="2" t="s">
        <v>41541</v>
      </c>
    </row>
    <row r="1328" spans="1:8" ht="25.05" customHeight="1" x14ac:dyDescent="0.25">
      <c r="A1328" s="2" t="s">
        <v>8</v>
      </c>
      <c r="B1328" s="2" t="str">
        <f>HYPERLINK("http://ts.21cn.com/tousu/show/id/1331823","没返券")</f>
        <v>没返券</v>
      </c>
      <c r="C1328" s="2" t="s">
        <v>34</v>
      </c>
      <c r="D1328" s="2" t="s">
        <v>10</v>
      </c>
      <c r="E1328" s="2" t="str">
        <f>HYPERLINK("http://ts.21cn.com/tousu/show/id/1331823","http://ts.21cn.com/tousu/show/id/1331823")</f>
        <v>http://ts.21cn.com/tousu/show/id/1331823</v>
      </c>
      <c r="F1328" s="2" t="s">
        <v>11</v>
      </c>
      <c r="G1328" s="2" t="s">
        <v>41537</v>
      </c>
      <c r="H1328" s="2" t="s">
        <v>41538</v>
      </c>
    </row>
    <row r="1329" spans="1:8" ht="25.05" customHeight="1" x14ac:dyDescent="0.25">
      <c r="A1329" s="2" t="s">
        <v>8</v>
      </c>
      <c r="B1329" s="2" t="str">
        <f>HYPERLINK("http://ts.21cn.com/tousu/show/id/1331824","今日头条放心借卡住还款限额的空子导致逾期")</f>
        <v>今日头条放心借卡住还款限额的空子导致逾期</v>
      </c>
      <c r="C1329" s="2" t="s">
        <v>9</v>
      </c>
      <c r="D1329" s="2" t="s">
        <v>10</v>
      </c>
      <c r="E1329" s="2" t="str">
        <f>HYPERLINK("http://ts.21cn.com/tousu/show/id/1331824","http://ts.21cn.com/tousu/show/id/1331824")</f>
        <v>http://ts.21cn.com/tousu/show/id/1331824</v>
      </c>
      <c r="F1329" s="2" t="s">
        <v>11</v>
      </c>
      <c r="G1329" s="2" t="s">
        <v>41537</v>
      </c>
      <c r="H1329" s="2" t="s">
        <v>41539</v>
      </c>
    </row>
    <row r="1330" spans="1:8" ht="25.05" customHeight="1" x14ac:dyDescent="0.25">
      <c r="A1330" s="2" t="s">
        <v>8</v>
      </c>
      <c r="B1330" s="2" t="str">
        <f>HYPERLINK("http://ts.21cn.com/tousu/show/id/1331825","闲鱼维权")</f>
        <v>闲鱼维权</v>
      </c>
      <c r="C1330" s="2" t="s">
        <v>9</v>
      </c>
      <c r="D1330" s="2" t="s">
        <v>10</v>
      </c>
      <c r="E1330" s="2" t="str">
        <f>HYPERLINK("http://ts.21cn.com/tousu/show/id/1331825","http://ts.21cn.com/tousu/show/id/1331825")</f>
        <v>http://ts.21cn.com/tousu/show/id/1331825</v>
      </c>
      <c r="F1330" s="2" t="s">
        <v>11</v>
      </c>
      <c r="G1330" s="2" t="s">
        <v>41535</v>
      </c>
      <c r="H1330" s="2" t="s">
        <v>41536</v>
      </c>
    </row>
    <row r="1331" spans="1:8" ht="25.05" customHeight="1" x14ac:dyDescent="0.25">
      <c r="A1331" s="2" t="s">
        <v>8</v>
      </c>
      <c r="B1331" s="2" t="str">
        <f>HYPERLINK("http://ts.21cn.com/tousu/show/id/1331826","莫名其妙被中金支付扣款")</f>
        <v>莫名其妙被中金支付扣款</v>
      </c>
      <c r="C1331" s="2" t="s">
        <v>9</v>
      </c>
      <c r="D1331" s="2" t="s">
        <v>10</v>
      </c>
      <c r="E1331" s="2" t="str">
        <f>HYPERLINK("http://ts.21cn.com/tousu/show/id/1331826","http://ts.21cn.com/tousu/show/id/1331826")</f>
        <v>http://ts.21cn.com/tousu/show/id/1331826</v>
      </c>
      <c r="F1331" s="2" t="s">
        <v>11</v>
      </c>
      <c r="G1331" s="2" t="s">
        <v>41533</v>
      </c>
      <c r="H1331" s="2" t="s">
        <v>41534</v>
      </c>
    </row>
    <row r="1332" spans="1:8" ht="25.05" customHeight="1" x14ac:dyDescent="0.25">
      <c r="A1332" s="2" t="s">
        <v>8</v>
      </c>
      <c r="B1332" s="2" t="str">
        <f>HYPERLINK("http://ts.21cn.com/tousu/show/id/1331827","打击报复克扣工资")</f>
        <v>打击报复克扣工资</v>
      </c>
      <c r="C1332" s="2" t="s">
        <v>9</v>
      </c>
      <c r="D1332" s="2" t="s">
        <v>10</v>
      </c>
      <c r="E1332" s="2" t="str">
        <f>HYPERLINK("http://ts.21cn.com/tousu/show/id/1331827","http://ts.21cn.com/tousu/show/id/1331827")</f>
        <v>http://ts.21cn.com/tousu/show/id/1331827</v>
      </c>
      <c r="F1332" s="2" t="s">
        <v>11</v>
      </c>
      <c r="G1332" s="2" t="s">
        <v>41531</v>
      </c>
      <c r="H1332" s="2" t="s">
        <v>41532</v>
      </c>
    </row>
    <row r="1333" spans="1:8" ht="25.05" customHeight="1" x14ac:dyDescent="0.25">
      <c r="A1333" s="2" t="s">
        <v>8</v>
      </c>
      <c r="B1333" s="2" t="str">
        <f>HYPERLINK("http://ts.21cn.com/tousu/show/id/1331828","小花钱包恶意催收，恶意注册，阴阳合同")</f>
        <v>小花钱包恶意催收，恶意注册，阴阳合同</v>
      </c>
      <c r="C1333" s="2" t="s">
        <v>9</v>
      </c>
      <c r="D1333" s="2" t="s">
        <v>10</v>
      </c>
      <c r="E1333" s="2" t="str">
        <f>HYPERLINK("http://ts.21cn.com/tousu/show/id/1331828","http://ts.21cn.com/tousu/show/id/1331828")</f>
        <v>http://ts.21cn.com/tousu/show/id/1331828</v>
      </c>
      <c r="F1333" s="2" t="s">
        <v>11</v>
      </c>
      <c r="G1333" s="2" t="s">
        <v>41529</v>
      </c>
      <c r="H1333" s="2" t="s">
        <v>41530</v>
      </c>
    </row>
    <row r="1334" spans="1:8" ht="25.05" customHeight="1" x14ac:dyDescent="0.25">
      <c r="A1334" s="2" t="s">
        <v>8</v>
      </c>
      <c r="B1334" s="2" t="str">
        <f>HYPERLINK("http://ts.21cn.com/tousu/show/id/1331829","钱在小微商户提不出来了")</f>
        <v>钱在小微商户提不出来了</v>
      </c>
      <c r="C1334" s="2" t="s">
        <v>9</v>
      </c>
      <c r="D1334" s="2" t="s">
        <v>10</v>
      </c>
      <c r="E1334" s="2" t="str">
        <f>HYPERLINK("http://ts.21cn.com/tousu/show/id/1331829","http://ts.21cn.com/tousu/show/id/1331829")</f>
        <v>http://ts.21cn.com/tousu/show/id/1331829</v>
      </c>
      <c r="F1334" s="2" t="s">
        <v>11</v>
      </c>
      <c r="G1334" s="2" t="s">
        <v>41527</v>
      </c>
      <c r="H1334" s="2" t="s">
        <v>41528</v>
      </c>
    </row>
    <row r="1335" spans="1:8" ht="25.05" customHeight="1" x14ac:dyDescent="0.25">
      <c r="A1335" s="2" t="s">
        <v>8</v>
      </c>
      <c r="B1335" s="2" t="str">
        <f>HYPERLINK("http://ts.21cn.com/tousu/show/id/1331831","立刷销售员骂人，威胁，恐吓")</f>
        <v>立刷销售员骂人，威胁，恐吓</v>
      </c>
      <c r="C1335" s="2" t="s">
        <v>9</v>
      </c>
      <c r="D1335" s="2" t="s">
        <v>10</v>
      </c>
      <c r="E1335" s="2" t="str">
        <f>HYPERLINK("http://ts.21cn.com/tousu/show/id/1331831","http://ts.21cn.com/tousu/show/id/1331831")</f>
        <v>http://ts.21cn.com/tousu/show/id/1331831</v>
      </c>
      <c r="F1335" s="2" t="s">
        <v>11</v>
      </c>
      <c r="G1335" s="2" t="s">
        <v>41525</v>
      </c>
      <c r="H1335" s="2" t="s">
        <v>41526</v>
      </c>
    </row>
    <row r="1336" spans="1:8" ht="25.05" customHeight="1" x14ac:dyDescent="0.25">
      <c r="A1336" s="2" t="s">
        <v>8</v>
      </c>
      <c r="B1336" s="2" t="str">
        <f>HYPERLINK("http://ts.21cn.com/tousu/show/id/1331832","现金巴士砍头息，续期费用已超过本金")</f>
        <v>现金巴士砍头息，续期费用已超过本金</v>
      </c>
      <c r="C1336" s="2" t="s">
        <v>9</v>
      </c>
      <c r="D1336" s="2" t="s">
        <v>10</v>
      </c>
      <c r="E1336" s="2" t="str">
        <f>HYPERLINK("http://ts.21cn.com/tousu/show/id/1331832","http://ts.21cn.com/tousu/show/id/1331832")</f>
        <v>http://ts.21cn.com/tousu/show/id/1331832</v>
      </c>
      <c r="F1336" s="2" t="s">
        <v>11</v>
      </c>
      <c r="G1336" s="2" t="s">
        <v>41523</v>
      </c>
      <c r="H1336" s="2" t="s">
        <v>41524</v>
      </c>
    </row>
    <row r="1337" spans="1:8" ht="25.05" customHeight="1" x14ac:dyDescent="0.25">
      <c r="A1337" s="2" t="s">
        <v>8</v>
      </c>
      <c r="B1337" s="2" t="str">
        <f>HYPERLINK("http://ts.21cn.com/tousu/show/id/1331834","淘宝购买婴儿车未收到货，联系不上商家，联系快递重量不符，申请淘宝退款客服不核实关闭退款")</f>
        <v>淘宝购买婴儿车未收到货，联系不上商家，联系快递重量不符，申请淘宝退款客服不核实关闭退款</v>
      </c>
      <c r="C1337" s="2" t="s">
        <v>9</v>
      </c>
      <c r="D1337" s="2" t="s">
        <v>10</v>
      </c>
      <c r="E1337" s="2" t="str">
        <f>HYPERLINK("http://ts.21cn.com/tousu/show/id/1331834","http://ts.21cn.com/tousu/show/id/1331834")</f>
        <v>http://ts.21cn.com/tousu/show/id/1331834</v>
      </c>
      <c r="F1337" s="2" t="s">
        <v>11</v>
      </c>
      <c r="G1337" s="2" t="s">
        <v>41521</v>
      </c>
      <c r="H1337" s="2" t="s">
        <v>41522</v>
      </c>
    </row>
    <row r="1338" spans="1:8" ht="25.05" customHeight="1" x14ac:dyDescent="0.25">
      <c r="A1338" s="2" t="s">
        <v>8</v>
      </c>
      <c r="B1338" s="2" t="str">
        <f>HYPERLINK("http://ts.21cn.com/tousu/show/id/1331835","分期鸭高利贷阴阳合同套路贷")</f>
        <v>分期鸭高利贷阴阳合同套路贷</v>
      </c>
      <c r="C1338" s="2" t="s">
        <v>9</v>
      </c>
      <c r="D1338" s="2" t="s">
        <v>10</v>
      </c>
      <c r="E1338" s="2" t="str">
        <f>HYPERLINK("http://ts.21cn.com/tousu/show/id/1331835","http://ts.21cn.com/tousu/show/id/1331835")</f>
        <v>http://ts.21cn.com/tousu/show/id/1331835</v>
      </c>
      <c r="F1338" s="2" t="s">
        <v>11</v>
      </c>
      <c r="G1338" s="2" t="s">
        <v>41519</v>
      </c>
      <c r="H1338" s="2" t="s">
        <v>41520</v>
      </c>
    </row>
    <row r="1339" spans="1:8" ht="25.05" customHeight="1" x14ac:dyDescent="0.25">
      <c r="A1339" s="2" t="s">
        <v>8</v>
      </c>
      <c r="B1339" s="2" t="str">
        <f>HYPERLINK("http://ts.21cn.com/tousu/show/id/1331836","拍拍贷套路贷还款日无法还款零点过后直接逾期累加费用")</f>
        <v>拍拍贷套路贷还款日无法还款零点过后直接逾期累加费用</v>
      </c>
      <c r="C1339" s="2" t="s">
        <v>9</v>
      </c>
      <c r="D1339" s="2" t="s">
        <v>10</v>
      </c>
      <c r="E1339" s="2" t="str">
        <f>HYPERLINK("http://ts.21cn.com/tousu/show/id/1331836","http://ts.21cn.com/tousu/show/id/1331836")</f>
        <v>http://ts.21cn.com/tousu/show/id/1331836</v>
      </c>
      <c r="F1339" s="2" t="s">
        <v>11</v>
      </c>
      <c r="G1339" s="2" t="s">
        <v>41517</v>
      </c>
      <c r="H1339" s="2" t="s">
        <v>41518</v>
      </c>
    </row>
    <row r="1340" spans="1:8" ht="25.05" customHeight="1" x14ac:dyDescent="0.25">
      <c r="A1340" s="2" t="s">
        <v>8</v>
      </c>
      <c r="B1340" s="2" t="str">
        <f>HYPERLINK("http://ts.21cn.com/tousu/show/id/1331837","于2019年8月31日在重庆高速ETC微信公众号办理了ETC业务，今天10月 1日，也没有收到，一个多月了")</f>
        <v>于2019年8月31日在重庆高速ETC微信公众号办理了ETC业务，今天10月 1日，也没有收到，一个多月了</v>
      </c>
      <c r="C1340" s="2" t="s">
        <v>34</v>
      </c>
      <c r="D1340" s="2" t="s">
        <v>10</v>
      </c>
      <c r="E1340" s="2" t="str">
        <f>HYPERLINK("http://ts.21cn.com/tousu/show/id/1331837","http://ts.21cn.com/tousu/show/id/1331837")</f>
        <v>http://ts.21cn.com/tousu/show/id/1331837</v>
      </c>
      <c r="F1340" s="2" t="s">
        <v>11</v>
      </c>
      <c r="G1340" s="2" t="s">
        <v>41515</v>
      </c>
      <c r="H1340" s="2" t="s">
        <v>41516</v>
      </c>
    </row>
    <row r="1341" spans="1:8" ht="25.05" customHeight="1" x14ac:dyDescent="0.25">
      <c r="A1341" s="2" t="s">
        <v>8</v>
      </c>
      <c r="B1341" s="2" t="str">
        <f>HYPERLINK("http://ts.21cn.com/tousu/show/id/1331814","退款")</f>
        <v>退款</v>
      </c>
      <c r="C1341" s="2" t="s">
        <v>34</v>
      </c>
      <c r="D1341" s="2" t="s">
        <v>10</v>
      </c>
      <c r="E1341" s="2" t="str">
        <f>HYPERLINK("http://ts.21cn.com/tousu/show/id/1331814","http://ts.21cn.com/tousu/show/id/1331814")</f>
        <v>http://ts.21cn.com/tousu/show/id/1331814</v>
      </c>
      <c r="F1341" s="2" t="s">
        <v>11</v>
      </c>
      <c r="G1341" s="2" t="s">
        <v>41513</v>
      </c>
      <c r="H1341" s="2" t="s">
        <v>41514</v>
      </c>
    </row>
    <row r="1342" spans="1:8" ht="25.05" customHeight="1" x14ac:dyDescent="0.25">
      <c r="A1342" s="2" t="s">
        <v>8</v>
      </c>
      <c r="B1342" s="2" t="str">
        <f>HYPERLINK("http://ts.21cn.com/tousu/show/id/1331838","为什么除了利息百万钱包还要砍头息")</f>
        <v>为什么除了利息百万钱包还要砍头息</v>
      </c>
      <c r="C1342" s="2" t="s">
        <v>9</v>
      </c>
      <c r="D1342" s="2" t="s">
        <v>10</v>
      </c>
      <c r="E1342" s="2" t="str">
        <f>HYPERLINK("http://ts.21cn.com/tousu/show/id/1331838","http://ts.21cn.com/tousu/show/id/1331838")</f>
        <v>http://ts.21cn.com/tousu/show/id/1331838</v>
      </c>
      <c r="F1342" s="2" t="s">
        <v>11</v>
      </c>
      <c r="G1342" s="2" t="s">
        <v>41511</v>
      </c>
      <c r="H1342" s="2" t="s">
        <v>41512</v>
      </c>
    </row>
    <row r="1343" spans="1:8" ht="25.05" customHeight="1" x14ac:dyDescent="0.25">
      <c r="A1343" s="2" t="s">
        <v>8</v>
      </c>
      <c r="B1343" s="2" t="str">
        <f>HYPERLINK("http://ts.21cn.com/tousu/show/id/1331839","小微商户无提现权限，钱提不出来")</f>
        <v>小微商户无提现权限，钱提不出来</v>
      </c>
      <c r="C1343" s="2" t="s">
        <v>9</v>
      </c>
      <c r="D1343" s="2" t="s">
        <v>10</v>
      </c>
      <c r="E1343" s="2" t="str">
        <f>HYPERLINK("http://ts.21cn.com/tousu/show/id/1331839","http://ts.21cn.com/tousu/show/id/1331839")</f>
        <v>http://ts.21cn.com/tousu/show/id/1331839</v>
      </c>
      <c r="F1343" s="2" t="s">
        <v>11</v>
      </c>
      <c r="G1343" s="2" t="s">
        <v>41509</v>
      </c>
      <c r="H1343" s="2" t="s">
        <v>41510</v>
      </c>
    </row>
    <row r="1344" spans="1:8" ht="25.05" customHeight="1" x14ac:dyDescent="0.25">
      <c r="A1344" s="2" t="s">
        <v>8</v>
      </c>
      <c r="B1344" s="2" t="str">
        <f>HYPERLINK("http://ts.21cn.com/tousu/show/id/1328548","凡普金科钱站高利贷获取高额利息")</f>
        <v>凡普金科钱站高利贷获取高额利息</v>
      </c>
      <c r="C1344" s="2" t="s">
        <v>9</v>
      </c>
      <c r="D1344" s="2" t="s">
        <v>10</v>
      </c>
      <c r="E1344" s="2" t="str">
        <f>HYPERLINK("http://ts.21cn.com/tousu/show/id/1328548","http://ts.21cn.com/tousu/show/id/1328548")</f>
        <v>http://ts.21cn.com/tousu/show/id/1328548</v>
      </c>
      <c r="F1344" s="2" t="s">
        <v>11</v>
      </c>
      <c r="G1344" s="2" t="s">
        <v>41507</v>
      </c>
      <c r="H1344" s="2" t="s">
        <v>41508</v>
      </c>
    </row>
    <row r="1345" spans="1:8" ht="25.05" customHeight="1" x14ac:dyDescent="0.25">
      <c r="A1345" s="2" t="s">
        <v>8</v>
      </c>
      <c r="B1345" s="2" t="str">
        <f>HYPERLINK("http://ts.21cn.com/tousu/show/id/1331840","贷上钱平台爆通讯录利息高")</f>
        <v>贷上钱平台爆通讯录利息高</v>
      </c>
      <c r="C1345" s="2" t="s">
        <v>9</v>
      </c>
      <c r="D1345" s="2" t="s">
        <v>10</v>
      </c>
      <c r="E1345" s="2" t="str">
        <f>HYPERLINK("http://ts.21cn.com/tousu/show/id/1331840","http://ts.21cn.com/tousu/show/id/1331840")</f>
        <v>http://ts.21cn.com/tousu/show/id/1331840</v>
      </c>
      <c r="F1345" s="2" t="s">
        <v>11</v>
      </c>
      <c r="G1345" s="2" t="s">
        <v>41505</v>
      </c>
      <c r="H1345" s="2" t="s">
        <v>41506</v>
      </c>
    </row>
    <row r="1346" spans="1:8" ht="25.05" customHeight="1" x14ac:dyDescent="0.25">
      <c r="A1346" s="2" t="s">
        <v>8</v>
      </c>
      <c r="B1346" s="2" t="str">
        <f>HYPERLINK("http://ts.21cn.com/tousu/show/id/1331841","成都安睿旺蜀科技有限公司恶意扣款")</f>
        <v>成都安睿旺蜀科技有限公司恶意扣款</v>
      </c>
      <c r="C1346" s="2" t="s">
        <v>9</v>
      </c>
      <c r="D1346" s="2" t="s">
        <v>10</v>
      </c>
      <c r="E1346" s="2" t="str">
        <f>HYPERLINK("http://ts.21cn.com/tousu/show/id/1331841","http://ts.21cn.com/tousu/show/id/1331841")</f>
        <v>http://ts.21cn.com/tousu/show/id/1331841</v>
      </c>
      <c r="F1346" s="2" t="s">
        <v>11</v>
      </c>
      <c r="G1346" s="2" t="s">
        <v>41503</v>
      </c>
      <c r="H1346" s="2" t="s">
        <v>41504</v>
      </c>
    </row>
    <row r="1347" spans="1:8" ht="25.05" customHeight="1" x14ac:dyDescent="0.25">
      <c r="A1347" s="2" t="s">
        <v>8</v>
      </c>
      <c r="B1347" s="2" t="str">
        <f>HYPERLINK("http://ts.21cn.com/tousu/show/id/1331842","大鹅购砍头息不合理收款")</f>
        <v>大鹅购砍头息不合理收款</v>
      </c>
      <c r="C1347" s="2" t="s">
        <v>9</v>
      </c>
      <c r="D1347" s="2" t="s">
        <v>10</v>
      </c>
      <c r="E1347" s="2" t="str">
        <f>HYPERLINK("http://ts.21cn.com/tousu/show/id/1331842","http://ts.21cn.com/tousu/show/id/1331842")</f>
        <v>http://ts.21cn.com/tousu/show/id/1331842</v>
      </c>
      <c r="F1347" s="2" t="s">
        <v>11</v>
      </c>
      <c r="G1347" s="2" t="s">
        <v>41501</v>
      </c>
      <c r="H1347" s="2" t="s">
        <v>41502</v>
      </c>
    </row>
    <row r="1348" spans="1:8" ht="25.05" customHeight="1" x14ac:dyDescent="0.25">
      <c r="A1348" s="2" t="s">
        <v>8</v>
      </c>
      <c r="B1348" s="2" t="str">
        <f>HYPERLINK("http://ts.21cn.com/tousu/show/id/1331843","钱站高利贷阴阳合同")</f>
        <v>钱站高利贷阴阳合同</v>
      </c>
      <c r="C1348" s="2" t="s">
        <v>9</v>
      </c>
      <c r="D1348" s="2" t="s">
        <v>10</v>
      </c>
      <c r="E1348" s="2" t="str">
        <f>HYPERLINK("http://ts.21cn.com/tousu/show/id/1331843","http://ts.21cn.com/tousu/show/id/1331843")</f>
        <v>http://ts.21cn.com/tousu/show/id/1331843</v>
      </c>
      <c r="F1348" s="2" t="s">
        <v>11</v>
      </c>
      <c r="G1348" s="2" t="s">
        <v>41499</v>
      </c>
      <c r="H1348" s="2" t="s">
        <v>41500</v>
      </c>
    </row>
    <row r="1349" spans="1:8" ht="25.05" customHeight="1" x14ac:dyDescent="0.25">
      <c r="A1349" s="2" t="s">
        <v>8</v>
      </c>
      <c r="B1349" s="2" t="str">
        <f>HYPERLINK("http://ts.21cn.com/tousu/show/id/1331844","开通免密支付体验0元3天会员，被恶意扣两笔金额")</f>
        <v>开通免密支付体验0元3天会员，被恶意扣两笔金额</v>
      </c>
      <c r="C1349" s="2" t="s">
        <v>9</v>
      </c>
      <c r="D1349" s="2" t="s">
        <v>10</v>
      </c>
      <c r="E1349" s="2" t="str">
        <f>HYPERLINK("http://ts.21cn.com/tousu/show/id/1331844","http://ts.21cn.com/tousu/show/id/1331844")</f>
        <v>http://ts.21cn.com/tousu/show/id/1331844</v>
      </c>
      <c r="F1349" s="2" t="s">
        <v>11</v>
      </c>
      <c r="G1349" s="2" t="s">
        <v>41497</v>
      </c>
      <c r="H1349" s="2" t="s">
        <v>41498</v>
      </c>
    </row>
    <row r="1350" spans="1:8" ht="25.05" customHeight="1" x14ac:dyDescent="0.25">
      <c r="A1350" s="2" t="s">
        <v>8</v>
      </c>
      <c r="B1350" s="2" t="str">
        <f>HYPERLINK("http://ts.21cn.com/tousu/show/id/1331845","不按合同说的办")</f>
        <v>不按合同说的办</v>
      </c>
      <c r="C1350" s="2" t="s">
        <v>9</v>
      </c>
      <c r="D1350" s="2" t="s">
        <v>10</v>
      </c>
      <c r="E1350" s="2" t="str">
        <f>HYPERLINK("http://ts.21cn.com/tousu/show/id/1331845","http://ts.21cn.com/tousu/show/id/1331845")</f>
        <v>http://ts.21cn.com/tousu/show/id/1331845</v>
      </c>
      <c r="F1350" s="2" t="s">
        <v>11</v>
      </c>
      <c r="G1350" s="2" t="s">
        <v>41495</v>
      </c>
      <c r="H1350" s="2" t="s">
        <v>41496</v>
      </c>
    </row>
    <row r="1351" spans="1:8" ht="25.05" customHeight="1" x14ac:dyDescent="0.25">
      <c r="A1351" s="2" t="s">
        <v>8</v>
      </c>
      <c r="B1351" s="2" t="str">
        <f>HYPERLINK("http://ts.21cn.com/tousu/show/id/1331847","玖富借款被拒，承诺时间内保费依然没退回")</f>
        <v>玖富借款被拒，承诺时间内保费依然没退回</v>
      </c>
      <c r="C1351" s="2" t="s">
        <v>34</v>
      </c>
      <c r="D1351" s="2" t="s">
        <v>10</v>
      </c>
      <c r="E1351" s="2" t="str">
        <f>HYPERLINK("http://ts.21cn.com/tousu/show/id/1331847","http://ts.21cn.com/tousu/show/id/1331847")</f>
        <v>http://ts.21cn.com/tousu/show/id/1331847</v>
      </c>
      <c r="F1351" s="2" t="s">
        <v>11</v>
      </c>
      <c r="G1351" s="2" t="s">
        <v>41493</v>
      </c>
      <c r="H1351" s="2" t="s">
        <v>41494</v>
      </c>
    </row>
    <row r="1352" spans="1:8" ht="25.05" customHeight="1" x14ac:dyDescent="0.25">
      <c r="A1352" s="2" t="s">
        <v>8</v>
      </c>
      <c r="B1352" s="2" t="str">
        <f>HYPERLINK("http://ts.21cn.com/tousu/show/id/1331848","时光分期利息太高，还要咨询服务费")</f>
        <v>时光分期利息太高，还要咨询服务费</v>
      </c>
      <c r="C1352" s="2" t="s">
        <v>9</v>
      </c>
      <c r="D1352" s="2" t="s">
        <v>10</v>
      </c>
      <c r="E1352" s="2" t="str">
        <f>HYPERLINK("http://ts.21cn.com/tousu/show/id/1331848","http://ts.21cn.com/tousu/show/id/1331848")</f>
        <v>http://ts.21cn.com/tousu/show/id/1331848</v>
      </c>
      <c r="F1352" s="2" t="s">
        <v>11</v>
      </c>
      <c r="G1352" s="2" t="s">
        <v>41491</v>
      </c>
      <c r="H1352" s="2" t="s">
        <v>41492</v>
      </c>
    </row>
    <row r="1353" spans="1:8" ht="25.05" customHeight="1" x14ac:dyDescent="0.25">
      <c r="A1353" s="2" t="s">
        <v>8</v>
      </c>
      <c r="B1353" s="2" t="str">
        <f>HYPERLINK("http://ts.21cn.com/tousu/show/id/1331849","我注册不上不应该永久拉黑我，更不应该不然注销")</f>
        <v>我注册不上不应该永久拉黑我，更不应该不然注销</v>
      </c>
      <c r="C1353" s="2" t="s">
        <v>34</v>
      </c>
      <c r="D1353" s="2" t="s">
        <v>10</v>
      </c>
      <c r="E1353" s="2" t="str">
        <f>HYPERLINK("http://ts.21cn.com/tousu/show/id/1331849","http://ts.21cn.com/tousu/show/id/1331849")</f>
        <v>http://ts.21cn.com/tousu/show/id/1331849</v>
      </c>
      <c r="F1353" s="2" t="s">
        <v>11</v>
      </c>
      <c r="G1353" s="2" t="s">
        <v>41489</v>
      </c>
      <c r="H1353" s="2" t="s">
        <v>41490</v>
      </c>
    </row>
    <row r="1354" spans="1:8" ht="25.05" customHeight="1" x14ac:dyDescent="0.25">
      <c r="A1354" s="2" t="s">
        <v>8</v>
      </c>
      <c r="B1354" s="2" t="str">
        <f>HYPERLINK("http://ts.21cn.com/tousu/show/id/1331851","玖富高额利息，客服不理会")</f>
        <v>玖富高额利息，客服不理会</v>
      </c>
      <c r="C1354" s="2" t="s">
        <v>9</v>
      </c>
      <c r="D1354" s="2" t="s">
        <v>10</v>
      </c>
      <c r="E1354" s="2" t="str">
        <f>HYPERLINK("http://ts.21cn.com/tousu/show/id/1331851","http://ts.21cn.com/tousu/show/id/1331851")</f>
        <v>http://ts.21cn.com/tousu/show/id/1331851</v>
      </c>
      <c r="F1354" s="2" t="s">
        <v>11</v>
      </c>
      <c r="G1354" s="2" t="s">
        <v>41487</v>
      </c>
      <c r="H1354" s="2" t="s">
        <v>41488</v>
      </c>
    </row>
    <row r="1355" spans="1:8" ht="25.05" customHeight="1" x14ac:dyDescent="0.25">
      <c r="A1355" s="2" t="s">
        <v>8</v>
      </c>
      <c r="B1355" s="2" t="str">
        <f>HYPERLINK("http://ts.21cn.com/tousu/show/id/1331850","高铁管家故意设置闪电抢票陷阱")</f>
        <v>高铁管家故意设置闪电抢票陷阱</v>
      </c>
      <c r="C1355" s="2" t="s">
        <v>34</v>
      </c>
      <c r="D1355" s="2" t="s">
        <v>10</v>
      </c>
      <c r="E1355" s="2" t="str">
        <f>HYPERLINK("http://ts.21cn.com/tousu/show/id/1331850","http://ts.21cn.com/tousu/show/id/1331850")</f>
        <v>http://ts.21cn.com/tousu/show/id/1331850</v>
      </c>
      <c r="F1355" s="2" t="s">
        <v>11</v>
      </c>
      <c r="G1355" s="2" t="s">
        <v>41485</v>
      </c>
      <c r="H1355" s="2" t="s">
        <v>41486</v>
      </c>
    </row>
    <row r="1356" spans="1:8" ht="25.05" customHeight="1" x14ac:dyDescent="0.25">
      <c r="A1356" s="2" t="s">
        <v>8</v>
      </c>
      <c r="B1356" s="2" t="str">
        <f>HYPERLINK("http://ts.21cn.com/tousu/show/id/1331852","订单不能提前取消")</f>
        <v>订单不能提前取消</v>
      </c>
      <c r="C1356" s="2" t="s">
        <v>9</v>
      </c>
      <c r="D1356" s="2" t="s">
        <v>10</v>
      </c>
      <c r="E1356" s="2" t="str">
        <f>HYPERLINK("http://ts.21cn.com/tousu/show/id/1331852","http://ts.21cn.com/tousu/show/id/1331852")</f>
        <v>http://ts.21cn.com/tousu/show/id/1331852</v>
      </c>
      <c r="F1356" s="2" t="s">
        <v>11</v>
      </c>
      <c r="G1356" s="2" t="s">
        <v>41483</v>
      </c>
      <c r="H1356" s="2" t="s">
        <v>41484</v>
      </c>
    </row>
    <row r="1357" spans="1:8" ht="25.05" customHeight="1" x14ac:dyDescent="0.25">
      <c r="A1357" s="2" t="s">
        <v>8</v>
      </c>
      <c r="B1357" s="2" t="str">
        <f>HYPERLINK("http://ts.21cn.com/tousu/show/id/1331853","立借恶意骚扰")</f>
        <v>立借恶意骚扰</v>
      </c>
      <c r="C1357" s="2" t="s">
        <v>9</v>
      </c>
      <c r="D1357" s="2" t="s">
        <v>10</v>
      </c>
      <c r="E1357" s="2" t="str">
        <f>HYPERLINK("http://ts.21cn.com/tousu/show/id/1331853","http://ts.21cn.com/tousu/show/id/1331853")</f>
        <v>http://ts.21cn.com/tousu/show/id/1331853</v>
      </c>
      <c r="F1357" s="2" t="s">
        <v>11</v>
      </c>
      <c r="G1357" s="2" t="s">
        <v>41481</v>
      </c>
      <c r="H1357" s="2" t="s">
        <v>41482</v>
      </c>
    </row>
    <row r="1358" spans="1:8" ht="25.05" customHeight="1" x14ac:dyDescent="0.25">
      <c r="A1358" s="2" t="s">
        <v>8</v>
      </c>
      <c r="B1358" s="2" t="str">
        <f>HYPERLINK("http://ts.21cn.com/tousu/show/id/1331854","OPPOR9SPLUS大规模无限重启变砖")</f>
        <v>OPPOR9SPLUS大规模无限重启变砖</v>
      </c>
      <c r="C1358" s="2" t="s">
        <v>9</v>
      </c>
      <c r="D1358" s="2" t="s">
        <v>10</v>
      </c>
      <c r="E1358" s="2" t="str">
        <f>HYPERLINK("http://ts.21cn.com/tousu/show/id/1331854","http://ts.21cn.com/tousu/show/id/1331854")</f>
        <v>http://ts.21cn.com/tousu/show/id/1331854</v>
      </c>
      <c r="F1358" s="2" t="s">
        <v>11</v>
      </c>
      <c r="G1358" s="2" t="s">
        <v>41479</v>
      </c>
      <c r="H1358" s="2" t="s">
        <v>41480</v>
      </c>
    </row>
    <row r="1359" spans="1:8" ht="25.05" customHeight="1" x14ac:dyDescent="0.25">
      <c r="A1359" s="2" t="s">
        <v>8</v>
      </c>
      <c r="B1359" s="2" t="str">
        <f>HYPERLINK("http://ts.21cn.com/tousu/show/id/1331856","安逸花还款全部成功然后多了一部分溢缴款取不出")</f>
        <v>安逸花还款全部成功然后多了一部分溢缴款取不出</v>
      </c>
      <c r="C1359" s="2" t="s">
        <v>34</v>
      </c>
      <c r="D1359" s="2" t="s">
        <v>10</v>
      </c>
      <c r="E1359" s="2" t="str">
        <f>HYPERLINK("http://ts.21cn.com/tousu/show/id/1331856","http://ts.21cn.com/tousu/show/id/1331856")</f>
        <v>http://ts.21cn.com/tousu/show/id/1331856</v>
      </c>
      <c r="F1359" s="2" t="s">
        <v>11</v>
      </c>
      <c r="G1359" s="2" t="s">
        <v>41477</v>
      </c>
      <c r="H1359" s="2" t="s">
        <v>41478</v>
      </c>
    </row>
    <row r="1360" spans="1:8" ht="25.05" customHeight="1" x14ac:dyDescent="0.25">
      <c r="A1360" s="2" t="s">
        <v>8</v>
      </c>
      <c r="B1360" s="2" t="str">
        <f>HYPERLINK("http://ts.21cn.com/tousu/show/id/1331855","滴滴不派单")</f>
        <v>滴滴不派单</v>
      </c>
      <c r="C1360" s="2" t="s">
        <v>34</v>
      </c>
      <c r="D1360" s="2" t="s">
        <v>10</v>
      </c>
      <c r="E1360" s="2" t="str">
        <f>HYPERLINK("http://ts.21cn.com/tousu/show/id/1331855","http://ts.21cn.com/tousu/show/id/1331855")</f>
        <v>http://ts.21cn.com/tousu/show/id/1331855</v>
      </c>
      <c r="F1360" s="2" t="s">
        <v>11</v>
      </c>
      <c r="G1360" s="2" t="s">
        <v>41475</v>
      </c>
      <c r="H1360" s="2" t="s">
        <v>41476</v>
      </c>
    </row>
    <row r="1361" spans="1:8" ht="25.05" customHeight="1" x14ac:dyDescent="0.25">
      <c r="A1361" s="2" t="s">
        <v>8</v>
      </c>
      <c r="B1361" s="2" t="str">
        <f>HYPERLINK("http://ts.21cn.com/tousu/show/id/1331857","钱站砍头息")</f>
        <v>钱站砍头息</v>
      </c>
      <c r="C1361" s="2" t="s">
        <v>9</v>
      </c>
      <c r="D1361" s="2" t="s">
        <v>10</v>
      </c>
      <c r="E1361" s="2" t="str">
        <f>HYPERLINK("http://ts.21cn.com/tousu/show/id/1331857","http://ts.21cn.com/tousu/show/id/1331857")</f>
        <v>http://ts.21cn.com/tousu/show/id/1331857</v>
      </c>
      <c r="F1361" s="2" t="s">
        <v>11</v>
      </c>
      <c r="G1361" s="2" t="s">
        <v>41473</v>
      </c>
      <c r="H1361" s="2" t="s">
        <v>41474</v>
      </c>
    </row>
    <row r="1362" spans="1:8" ht="25.05" customHeight="1" x14ac:dyDescent="0.25">
      <c r="A1362" s="2" t="s">
        <v>8</v>
      </c>
      <c r="B1362" s="2" t="str">
        <f>HYPERLINK("http://ts.21cn.com/tousu/show/id/1331859","销账并返还超出国家利息利率的钱")</f>
        <v>销账并返还超出国家利息利率的钱</v>
      </c>
      <c r="C1362" s="2" t="s">
        <v>9</v>
      </c>
      <c r="D1362" s="2" t="s">
        <v>10</v>
      </c>
      <c r="E1362" s="2" t="str">
        <f>HYPERLINK("http://ts.21cn.com/tousu/show/id/1331859","http://ts.21cn.com/tousu/show/id/1331859")</f>
        <v>http://ts.21cn.com/tousu/show/id/1331859</v>
      </c>
      <c r="F1362" s="2" t="s">
        <v>11</v>
      </c>
      <c r="G1362" s="2" t="s">
        <v>41471</v>
      </c>
      <c r="H1362" s="2" t="s">
        <v>41472</v>
      </c>
    </row>
    <row r="1363" spans="1:8" ht="25.05" customHeight="1" x14ac:dyDescent="0.25">
      <c r="A1363" s="2" t="s">
        <v>8</v>
      </c>
      <c r="B1363" s="2" t="str">
        <f>HYPERLINK("http://ts.21cn.com/tousu/show/id/1331860","蜂鸟众包恶意扣款")</f>
        <v>蜂鸟众包恶意扣款</v>
      </c>
      <c r="C1363" s="2" t="s">
        <v>9</v>
      </c>
      <c r="D1363" s="2" t="s">
        <v>10</v>
      </c>
      <c r="E1363" s="2" t="str">
        <f>HYPERLINK("http://ts.21cn.com/tousu/show/id/1331860","http://ts.21cn.com/tousu/show/id/1331860")</f>
        <v>http://ts.21cn.com/tousu/show/id/1331860</v>
      </c>
      <c r="F1363" s="2" t="s">
        <v>11</v>
      </c>
      <c r="G1363" s="2" t="s">
        <v>41469</v>
      </c>
      <c r="H1363" s="2" t="s">
        <v>41470</v>
      </c>
    </row>
    <row r="1364" spans="1:8" ht="25.05" customHeight="1" x14ac:dyDescent="0.25">
      <c r="A1364" s="2" t="s">
        <v>8</v>
      </c>
      <c r="B1364" s="2" t="str">
        <f>HYPERLINK("http://ts.21cn.com/tousu/show/id/1331861","信用钱包超高逾期费用")</f>
        <v>信用钱包超高逾期费用</v>
      </c>
      <c r="C1364" s="2" t="s">
        <v>9</v>
      </c>
      <c r="D1364" s="2" t="s">
        <v>10</v>
      </c>
      <c r="E1364" s="2" t="str">
        <f>HYPERLINK("http://ts.21cn.com/tousu/show/id/1331861","http://ts.21cn.com/tousu/show/id/1331861")</f>
        <v>http://ts.21cn.com/tousu/show/id/1331861</v>
      </c>
      <c r="F1364" s="2" t="s">
        <v>11</v>
      </c>
      <c r="G1364" s="2" t="s">
        <v>41467</v>
      </c>
      <c r="H1364" s="2" t="s">
        <v>41468</v>
      </c>
    </row>
    <row r="1365" spans="1:8" ht="25.05" customHeight="1" x14ac:dyDescent="0.25">
      <c r="A1365" s="2" t="s">
        <v>8</v>
      </c>
      <c r="B1365" s="2" t="str">
        <f>HYPERLINK("http://ts.21cn.com/tousu/show/id/1331862","智行不肯退机票")</f>
        <v>智行不肯退机票</v>
      </c>
      <c r="C1365" s="2" t="s">
        <v>9</v>
      </c>
      <c r="D1365" s="2" t="s">
        <v>10</v>
      </c>
      <c r="E1365" s="2" t="str">
        <f>HYPERLINK("http://ts.21cn.com/tousu/show/id/1331862","http://ts.21cn.com/tousu/show/id/1331862")</f>
        <v>http://ts.21cn.com/tousu/show/id/1331862</v>
      </c>
      <c r="F1365" s="2" t="s">
        <v>11</v>
      </c>
      <c r="G1365" s="2" t="s">
        <v>41465</v>
      </c>
      <c r="H1365" s="2" t="s">
        <v>41466</v>
      </c>
    </row>
    <row r="1366" spans="1:8" ht="25.05" customHeight="1" x14ac:dyDescent="0.25">
      <c r="A1366" s="2" t="s">
        <v>8</v>
      </c>
      <c r="B1366" s="2" t="str">
        <f>HYPERLINK("http://ts.21cn.com/tousu/show/id/1331863","易美付还款金额是借款的两倍")</f>
        <v>易美付还款金额是借款的两倍</v>
      </c>
      <c r="C1366" s="2" t="s">
        <v>34</v>
      </c>
      <c r="D1366" s="2" t="s">
        <v>10</v>
      </c>
      <c r="E1366" s="2" t="str">
        <f>HYPERLINK("http://ts.21cn.com/tousu/show/id/1331863","http://ts.21cn.com/tousu/show/id/1331863")</f>
        <v>http://ts.21cn.com/tousu/show/id/1331863</v>
      </c>
      <c r="F1366" s="2" t="s">
        <v>11</v>
      </c>
      <c r="G1366" s="2" t="s">
        <v>41464</v>
      </c>
      <c r="H1366" s="2" t="s">
        <v>38887</v>
      </c>
    </row>
    <row r="1367" spans="1:8" ht="25.05" customHeight="1" x14ac:dyDescent="0.25">
      <c r="A1367" s="2" t="s">
        <v>8</v>
      </c>
      <c r="B1367" s="2" t="str">
        <f>HYPERLINK("http://ts.21cn.com/tousu/show/id/1331864","鱼小花一直还不款，找客服也不理")</f>
        <v>鱼小花一直还不款，找客服也不理</v>
      </c>
      <c r="C1367" s="2" t="s">
        <v>9</v>
      </c>
      <c r="D1367" s="2" t="s">
        <v>10</v>
      </c>
      <c r="E1367" s="2" t="str">
        <f>HYPERLINK("http://ts.21cn.com/tousu/show/id/1331864","http://ts.21cn.com/tousu/show/id/1331864")</f>
        <v>http://ts.21cn.com/tousu/show/id/1331864</v>
      </c>
      <c r="F1367" s="2" t="s">
        <v>11</v>
      </c>
      <c r="G1367" s="2" t="s">
        <v>41462</v>
      </c>
      <c r="H1367" s="2" t="s">
        <v>41463</v>
      </c>
    </row>
    <row r="1368" spans="1:8" ht="25.05" customHeight="1" x14ac:dyDescent="0.25">
      <c r="A1368" s="2" t="s">
        <v>8</v>
      </c>
      <c r="B1368" s="2" t="str">
        <f>HYPERLINK("http://ts.21cn.com/tousu/show/id/1331865","用呗分期利息过高")</f>
        <v>用呗分期利息过高</v>
      </c>
      <c r="C1368" s="2" t="s">
        <v>9</v>
      </c>
      <c r="D1368" s="2" t="s">
        <v>10</v>
      </c>
      <c r="E1368" s="2" t="str">
        <f>HYPERLINK("http://ts.21cn.com/tousu/show/id/1331865","http://ts.21cn.com/tousu/show/id/1331865")</f>
        <v>http://ts.21cn.com/tousu/show/id/1331865</v>
      </c>
      <c r="F1368" s="2" t="s">
        <v>11</v>
      </c>
      <c r="G1368" s="2" t="s">
        <v>41460</v>
      </c>
      <c r="H1368" s="2" t="s">
        <v>41461</v>
      </c>
    </row>
    <row r="1369" spans="1:8" ht="25.05" customHeight="1" x14ac:dyDescent="0.25">
      <c r="A1369" s="2" t="s">
        <v>8</v>
      </c>
      <c r="B1369" s="2" t="str">
        <f>HYPERLINK("http://ts.21cn.com/tousu/show/id/1331866","借易通未经允许扣掉我1100元")</f>
        <v>借易通未经允许扣掉我1100元</v>
      </c>
      <c r="C1369" s="2" t="s">
        <v>34</v>
      </c>
      <c r="D1369" s="2" t="s">
        <v>10</v>
      </c>
      <c r="E1369" s="2" t="str">
        <f>HYPERLINK("http://ts.21cn.com/tousu/show/id/1331866","http://ts.21cn.com/tousu/show/id/1331866")</f>
        <v>http://ts.21cn.com/tousu/show/id/1331866</v>
      </c>
      <c r="F1369" s="2" t="s">
        <v>11</v>
      </c>
      <c r="G1369" s="2" t="s">
        <v>41458</v>
      </c>
      <c r="H1369" s="2" t="s">
        <v>41459</v>
      </c>
    </row>
    <row r="1370" spans="1:8" ht="25.05" customHeight="1" x14ac:dyDescent="0.25">
      <c r="A1370" s="2" t="s">
        <v>8</v>
      </c>
      <c r="B1370" s="2" t="str">
        <f>HYPERLINK("http://ts.21cn.com/tousu/show/id/1331867","退押金问题霸王条款")</f>
        <v>退押金问题霸王条款</v>
      </c>
      <c r="C1370" s="2" t="s">
        <v>9</v>
      </c>
      <c r="D1370" s="2" t="s">
        <v>10</v>
      </c>
      <c r="E1370" s="2" t="str">
        <f>HYPERLINK("http://ts.21cn.com/tousu/show/id/1331867","http://ts.21cn.com/tousu/show/id/1331867")</f>
        <v>http://ts.21cn.com/tousu/show/id/1331867</v>
      </c>
      <c r="F1370" s="2" t="s">
        <v>11</v>
      </c>
      <c r="G1370" s="2" t="s">
        <v>41456</v>
      </c>
      <c r="H1370" s="2" t="s">
        <v>41457</v>
      </c>
    </row>
    <row r="1371" spans="1:8" ht="25.05" customHeight="1" x14ac:dyDescent="0.25">
      <c r="A1371" s="2" t="s">
        <v>8</v>
      </c>
      <c r="B1371" s="2" t="str">
        <f>HYPERLINK("http://ts.21cn.com/tousu/show/id/1331868","美团店大欺客")</f>
        <v>美团店大欺客</v>
      </c>
      <c r="C1371" s="2" t="s">
        <v>9</v>
      </c>
      <c r="D1371" s="2" t="s">
        <v>10</v>
      </c>
      <c r="E1371" s="2" t="str">
        <f>HYPERLINK("http://ts.21cn.com/tousu/show/id/1331868","http://ts.21cn.com/tousu/show/id/1331868")</f>
        <v>http://ts.21cn.com/tousu/show/id/1331868</v>
      </c>
      <c r="F1371" s="2" t="s">
        <v>11</v>
      </c>
      <c r="G1371" s="2" t="s">
        <v>41454</v>
      </c>
      <c r="H1371" s="2" t="s">
        <v>41455</v>
      </c>
    </row>
    <row r="1372" spans="1:8" ht="25.05" customHeight="1" x14ac:dyDescent="0.25">
      <c r="A1372" s="2" t="s">
        <v>8</v>
      </c>
      <c r="B1372" s="2" t="str">
        <f>HYPERLINK("http://ts.21cn.com/tousu/show/id/1331869","钱站高利贷阴阳合同暴力催收爆通讯录威胁")</f>
        <v>钱站高利贷阴阳合同暴力催收爆通讯录威胁</v>
      </c>
      <c r="C1372" s="2" t="s">
        <v>9</v>
      </c>
      <c r="D1372" s="2" t="s">
        <v>10</v>
      </c>
      <c r="E1372" s="2" t="str">
        <f>HYPERLINK("http://ts.21cn.com/tousu/show/id/1331869","http://ts.21cn.com/tousu/show/id/1331869")</f>
        <v>http://ts.21cn.com/tousu/show/id/1331869</v>
      </c>
      <c r="F1372" s="2" t="s">
        <v>11</v>
      </c>
      <c r="G1372" s="2" t="s">
        <v>41452</v>
      </c>
      <c r="H1372" s="2" t="s">
        <v>41453</v>
      </c>
    </row>
    <row r="1373" spans="1:8" ht="25.05" customHeight="1" x14ac:dyDescent="0.25">
      <c r="A1373" s="2" t="s">
        <v>8</v>
      </c>
      <c r="B1373" s="2" t="str">
        <f>HYPERLINK("http://ts.21cn.com/tousu/show/id/1331870","退还会员费")</f>
        <v>退还会员费</v>
      </c>
      <c r="C1373" s="2" t="s">
        <v>9</v>
      </c>
      <c r="D1373" s="2" t="s">
        <v>10</v>
      </c>
      <c r="E1373" s="2" t="str">
        <f>HYPERLINK("http://ts.21cn.com/tousu/show/id/1331870","http://ts.21cn.com/tousu/show/id/1331870")</f>
        <v>http://ts.21cn.com/tousu/show/id/1331870</v>
      </c>
      <c r="F1373" s="2" t="s">
        <v>11</v>
      </c>
      <c r="G1373" s="2" t="s">
        <v>41450</v>
      </c>
      <c r="H1373" s="2" t="s">
        <v>41451</v>
      </c>
    </row>
    <row r="1374" spans="1:8" ht="25.05" customHeight="1" x14ac:dyDescent="0.25">
      <c r="A1374" s="2" t="s">
        <v>8</v>
      </c>
      <c r="B1374" s="2" t="str">
        <f>HYPERLINK("http://ts.21cn.com/tousu/show/id/1331871","丽水市九代工艺品有限公司木马人出售劣质阻扰售后")</f>
        <v>丽水市九代工艺品有限公司木马人出售劣质阻扰售后</v>
      </c>
      <c r="C1374" s="2" t="s">
        <v>9</v>
      </c>
      <c r="D1374" s="2" t="s">
        <v>10</v>
      </c>
      <c r="E1374" s="2" t="str">
        <f>HYPERLINK("http://ts.21cn.com/tousu/show/id/1331871","http://ts.21cn.com/tousu/show/id/1331871")</f>
        <v>http://ts.21cn.com/tousu/show/id/1331871</v>
      </c>
      <c r="F1374" s="2" t="s">
        <v>11</v>
      </c>
      <c r="G1374" s="2" t="s">
        <v>41448</v>
      </c>
      <c r="H1374" s="2" t="s">
        <v>41449</v>
      </c>
    </row>
    <row r="1375" spans="1:8" ht="25.05" customHeight="1" x14ac:dyDescent="0.25">
      <c r="A1375" s="2" t="s">
        <v>8</v>
      </c>
      <c r="B1375" s="2" t="str">
        <f>HYPERLINK("http://ts.21cn.com/tousu/show/id/1331872","国美易卡")</f>
        <v>国美易卡</v>
      </c>
      <c r="C1375" s="2" t="s">
        <v>9</v>
      </c>
      <c r="D1375" s="2" t="s">
        <v>10</v>
      </c>
      <c r="E1375" s="2" t="str">
        <f>HYPERLINK("http://ts.21cn.com/tousu/show/id/1331872","http://ts.21cn.com/tousu/show/id/1331872")</f>
        <v>http://ts.21cn.com/tousu/show/id/1331872</v>
      </c>
      <c r="F1375" s="2" t="s">
        <v>11</v>
      </c>
      <c r="G1375" s="2" t="s">
        <v>41446</v>
      </c>
      <c r="H1375" s="2" t="s">
        <v>41447</v>
      </c>
    </row>
    <row r="1376" spans="1:8" ht="25.05" customHeight="1" x14ac:dyDescent="0.25">
      <c r="A1376" s="2" t="s">
        <v>8</v>
      </c>
      <c r="B1376" s="2" t="str">
        <f>HYPERLINK("http://ts.21cn.com/tousu/show/id/1331873","想有钱高利贷，支付宝为高利贷平台提供支付平台")</f>
        <v>想有钱高利贷，支付宝为高利贷平台提供支付平台</v>
      </c>
      <c r="C1376" s="2" t="s">
        <v>9</v>
      </c>
      <c r="D1376" s="2" t="s">
        <v>10</v>
      </c>
      <c r="E1376" s="2" t="str">
        <f>HYPERLINK("http://ts.21cn.com/tousu/show/id/1331873","http://ts.21cn.com/tousu/show/id/1331873")</f>
        <v>http://ts.21cn.com/tousu/show/id/1331873</v>
      </c>
      <c r="F1376" s="2" t="s">
        <v>11</v>
      </c>
      <c r="G1376" s="2" t="s">
        <v>41444</v>
      </c>
      <c r="H1376" s="2" t="s">
        <v>41445</v>
      </c>
    </row>
    <row r="1377" spans="1:8" ht="25.05" customHeight="1" x14ac:dyDescent="0.25">
      <c r="A1377" s="2" t="s">
        <v>8</v>
      </c>
      <c r="B1377" s="2" t="str">
        <f>HYPERLINK("http://ts.21cn.com/tousu/show/id/1331874","宜贷分期海南易联普惠")</f>
        <v>宜贷分期海南易联普惠</v>
      </c>
      <c r="C1377" s="2" t="s">
        <v>34</v>
      </c>
      <c r="D1377" s="2" t="s">
        <v>10</v>
      </c>
      <c r="E1377" s="2" t="str">
        <f>HYPERLINK("http://ts.21cn.com/tousu/show/id/1331874","http://ts.21cn.com/tousu/show/id/1331874")</f>
        <v>http://ts.21cn.com/tousu/show/id/1331874</v>
      </c>
      <c r="F1377" s="2" t="s">
        <v>11</v>
      </c>
      <c r="G1377" s="2" t="s">
        <v>41442</v>
      </c>
      <c r="H1377" s="2" t="s">
        <v>41443</v>
      </c>
    </row>
    <row r="1378" spans="1:8" ht="25.05" customHeight="1" x14ac:dyDescent="0.25">
      <c r="A1378" s="2" t="s">
        <v>8</v>
      </c>
      <c r="B1378" s="2" t="str">
        <f>HYPERLINK("http://ts.21cn.com/tousu/show/id/1331875","蛋壳公寓房间地板泡水没有给合理的解决方案")</f>
        <v>蛋壳公寓房间地板泡水没有给合理的解决方案</v>
      </c>
      <c r="C1378" s="2" t="s">
        <v>9</v>
      </c>
      <c r="D1378" s="2" t="s">
        <v>10</v>
      </c>
      <c r="E1378" s="2" t="str">
        <f>HYPERLINK("http://ts.21cn.com/tousu/show/id/1331875","http://ts.21cn.com/tousu/show/id/1331875")</f>
        <v>http://ts.21cn.com/tousu/show/id/1331875</v>
      </c>
      <c r="F1378" s="2" t="s">
        <v>11</v>
      </c>
      <c r="G1378" s="2" t="s">
        <v>41440</v>
      </c>
      <c r="H1378" s="2" t="s">
        <v>41441</v>
      </c>
    </row>
    <row r="1379" spans="1:8" ht="25.05" customHeight="1" x14ac:dyDescent="0.25">
      <c r="A1379" s="2" t="s">
        <v>8</v>
      </c>
      <c r="B1379" s="2" t="str">
        <f>HYPERLINK("http://ts.21cn.com/tousu/show/id/1331877","诱导客户购买会员强行扣费")</f>
        <v>诱导客户购买会员强行扣费</v>
      </c>
      <c r="C1379" s="2" t="s">
        <v>9</v>
      </c>
      <c r="D1379" s="2" t="s">
        <v>10</v>
      </c>
      <c r="E1379" s="2" t="str">
        <f>HYPERLINK("http://ts.21cn.com/tousu/show/id/1331877","http://ts.21cn.com/tousu/show/id/1331877")</f>
        <v>http://ts.21cn.com/tousu/show/id/1331877</v>
      </c>
      <c r="F1379" s="2" t="s">
        <v>11</v>
      </c>
      <c r="G1379" s="2" t="s">
        <v>41438</v>
      </c>
      <c r="H1379" s="2" t="s">
        <v>41439</v>
      </c>
    </row>
    <row r="1380" spans="1:8" ht="25.05" customHeight="1" x14ac:dyDescent="0.25">
      <c r="A1380" s="2" t="s">
        <v>8</v>
      </c>
      <c r="B1380" s="2" t="str">
        <f>HYPERLINK("http://ts.21cn.com/tousu/show/id/1331878","恶意套取会员费，退还会员费")</f>
        <v>恶意套取会员费，退还会员费</v>
      </c>
      <c r="C1380" s="2" t="s">
        <v>9</v>
      </c>
      <c r="D1380" s="2" t="s">
        <v>10</v>
      </c>
      <c r="E1380" s="2" t="str">
        <f>HYPERLINK("http://ts.21cn.com/tousu/show/id/1331878","http://ts.21cn.com/tousu/show/id/1331878")</f>
        <v>http://ts.21cn.com/tousu/show/id/1331878</v>
      </c>
      <c r="F1380" s="2" t="s">
        <v>11</v>
      </c>
      <c r="G1380" s="2" t="s">
        <v>41436</v>
      </c>
      <c r="H1380" s="2" t="s">
        <v>41437</v>
      </c>
    </row>
    <row r="1381" spans="1:8" ht="25.05" customHeight="1" x14ac:dyDescent="0.25">
      <c r="A1381" s="2" t="s">
        <v>8</v>
      </c>
      <c r="B1381" s="2" t="str">
        <f>HYPERLINK("http://ts.21cn.com/tousu/show/id/1331880","360暴力催收！不经允许联系我亲人！")</f>
        <v>360暴力催收！不经允许联系我亲人！</v>
      </c>
      <c r="C1381" s="2" t="s">
        <v>9</v>
      </c>
      <c r="D1381" s="2" t="s">
        <v>10</v>
      </c>
      <c r="E1381" s="2" t="str">
        <f>HYPERLINK("http://ts.21cn.com/tousu/show/id/1331880","http://ts.21cn.com/tousu/show/id/1331880")</f>
        <v>http://ts.21cn.com/tousu/show/id/1331880</v>
      </c>
      <c r="F1381" s="2" t="s">
        <v>11</v>
      </c>
      <c r="G1381" s="2" t="s">
        <v>41434</v>
      </c>
      <c r="H1381" s="2" t="s">
        <v>41435</v>
      </c>
    </row>
    <row r="1382" spans="1:8" ht="25.05" customHeight="1" x14ac:dyDescent="0.25">
      <c r="A1382" s="2" t="s">
        <v>8</v>
      </c>
      <c r="B1382" s="2" t="str">
        <f>HYPERLINK("http://ts.21cn.com/tousu/show/id/1331882","乐乐钱袋微品分期")</f>
        <v>乐乐钱袋微品分期</v>
      </c>
      <c r="C1382" s="2" t="s">
        <v>34</v>
      </c>
      <c r="D1382" s="2" t="s">
        <v>10</v>
      </c>
      <c r="E1382" s="2" t="str">
        <f>HYPERLINK("http://ts.21cn.com/tousu/show/id/1331882","http://ts.21cn.com/tousu/show/id/1331882")</f>
        <v>http://ts.21cn.com/tousu/show/id/1331882</v>
      </c>
      <c r="F1382" s="2" t="s">
        <v>11</v>
      </c>
      <c r="G1382" s="2" t="s">
        <v>41432</v>
      </c>
      <c r="H1382" s="2" t="s">
        <v>41433</v>
      </c>
    </row>
    <row r="1383" spans="1:8" ht="25.05" customHeight="1" x14ac:dyDescent="0.25">
      <c r="A1383" s="2" t="s">
        <v>8</v>
      </c>
      <c r="B1383" s="2" t="str">
        <f>HYPERLINK("http://ts.21cn.com/tousu/show/id/1331881","投诉淘宝小二胡乱处理售后在没有了解事实情况下胡乱作出判决给卖家造成损失")</f>
        <v>投诉淘宝小二胡乱处理售后在没有了解事实情况下胡乱作出判决给卖家造成损失</v>
      </c>
      <c r="C1383" s="2" t="s">
        <v>34</v>
      </c>
      <c r="D1383" s="2" t="s">
        <v>10</v>
      </c>
      <c r="E1383" s="2" t="str">
        <f>HYPERLINK("http://ts.21cn.com/tousu/show/id/1331881","http://ts.21cn.com/tousu/show/id/1331881")</f>
        <v>http://ts.21cn.com/tousu/show/id/1331881</v>
      </c>
      <c r="F1383" s="2" t="s">
        <v>11</v>
      </c>
      <c r="G1383" s="2" t="s">
        <v>41430</v>
      </c>
      <c r="H1383" s="2" t="s">
        <v>41431</v>
      </c>
    </row>
    <row r="1384" spans="1:8" ht="25.05" customHeight="1" x14ac:dyDescent="0.25">
      <c r="A1384" s="2" t="s">
        <v>8</v>
      </c>
      <c r="B1384" s="2" t="str">
        <f>HYPERLINK("http://ts.21cn.com/tousu/show/id/1331879","ktv消费价格不一样")</f>
        <v>ktv消费价格不一样</v>
      </c>
      <c r="C1384" s="2" t="s">
        <v>9</v>
      </c>
      <c r="D1384" s="2" t="s">
        <v>10</v>
      </c>
      <c r="E1384" s="2" t="str">
        <f>HYPERLINK("http://ts.21cn.com/tousu/show/id/1331879","http://ts.21cn.com/tousu/show/id/1331879")</f>
        <v>http://ts.21cn.com/tousu/show/id/1331879</v>
      </c>
      <c r="F1384" s="2" t="s">
        <v>11</v>
      </c>
      <c r="G1384" s="2" t="s">
        <v>41428</v>
      </c>
      <c r="H1384" s="2" t="s">
        <v>41429</v>
      </c>
    </row>
    <row r="1385" spans="1:8" ht="25.05" customHeight="1" x14ac:dyDescent="0.25">
      <c r="A1385" s="2" t="s">
        <v>8</v>
      </c>
      <c r="B1385" s="2" t="str">
        <f>HYPERLINK("http://ts.21cn.com/tousu/show/id/1331883","投诉闪银收取高额手续费")</f>
        <v>投诉闪银收取高额手续费</v>
      </c>
      <c r="C1385" s="2" t="s">
        <v>34</v>
      </c>
      <c r="D1385" s="2" t="s">
        <v>10</v>
      </c>
      <c r="E1385" s="2" t="str">
        <f>HYPERLINK("http://ts.21cn.com/tousu/show/id/1331883","http://ts.21cn.com/tousu/show/id/1331883")</f>
        <v>http://ts.21cn.com/tousu/show/id/1331883</v>
      </c>
      <c r="F1385" s="2" t="s">
        <v>11</v>
      </c>
      <c r="G1385" s="2" t="s">
        <v>41426</v>
      </c>
      <c r="H1385" s="2" t="s">
        <v>41427</v>
      </c>
    </row>
    <row r="1386" spans="1:8" ht="25.05" customHeight="1" x14ac:dyDescent="0.25">
      <c r="A1386" s="2" t="s">
        <v>8</v>
      </c>
      <c r="B1386" s="2" t="str">
        <f>HYPERLINK("http://ts.21cn.com/tousu/show/id/1331884","在OYO定的酒店已经解除合同，OYO酒店客服各种敷衍无法退款。")</f>
        <v>在OYO定的酒店已经解除合同，OYO酒店客服各种敷衍无法退款。</v>
      </c>
      <c r="C1386" s="2" t="s">
        <v>9</v>
      </c>
      <c r="D1386" s="2" t="s">
        <v>10</v>
      </c>
      <c r="E1386" s="2" t="str">
        <f>HYPERLINK("http://ts.21cn.com/tousu/show/id/1331884","http://ts.21cn.com/tousu/show/id/1331884")</f>
        <v>http://ts.21cn.com/tousu/show/id/1331884</v>
      </c>
      <c r="F1386" s="2" t="s">
        <v>11</v>
      </c>
      <c r="G1386" s="2" t="s">
        <v>41424</v>
      </c>
      <c r="H1386" s="2" t="s">
        <v>41425</v>
      </c>
    </row>
    <row r="1387" spans="1:8" ht="25.05" customHeight="1" x14ac:dyDescent="0.25">
      <c r="A1387" s="2" t="s">
        <v>8</v>
      </c>
      <c r="B1387" s="2" t="str">
        <f>HYPERLINK("http://ts.21cn.com/tousu/show/id/1331885","被暴力催收又不是我欠拍拍贷的钱")</f>
        <v>被暴力催收又不是我欠拍拍贷的钱</v>
      </c>
      <c r="C1387" s="2" t="s">
        <v>9</v>
      </c>
      <c r="D1387" s="2" t="s">
        <v>10</v>
      </c>
      <c r="E1387" s="2" t="str">
        <f>HYPERLINK("http://ts.21cn.com/tousu/show/id/1331885","http://ts.21cn.com/tousu/show/id/1331885")</f>
        <v>http://ts.21cn.com/tousu/show/id/1331885</v>
      </c>
      <c r="F1387" s="2" t="s">
        <v>11</v>
      </c>
      <c r="G1387" s="2" t="s">
        <v>41422</v>
      </c>
      <c r="H1387" s="2" t="s">
        <v>41423</v>
      </c>
    </row>
    <row r="1388" spans="1:8" ht="25.05" customHeight="1" x14ac:dyDescent="0.25">
      <c r="A1388" s="2" t="s">
        <v>8</v>
      </c>
      <c r="B1388" s="2" t="str">
        <f>HYPERLINK("http://ts.21cn.com/tousu/show/id/1331887","支付宝为违规网站提供支付结算")</f>
        <v>支付宝为违规网站提供支付结算</v>
      </c>
      <c r="C1388" s="2" t="s">
        <v>9</v>
      </c>
      <c r="D1388" s="2" t="s">
        <v>10</v>
      </c>
      <c r="E1388" s="2" t="str">
        <f>HYPERLINK("http://ts.21cn.com/tousu/show/id/1331887","http://ts.21cn.com/tousu/show/id/1331887")</f>
        <v>http://ts.21cn.com/tousu/show/id/1331887</v>
      </c>
      <c r="F1388" s="2" t="s">
        <v>11</v>
      </c>
      <c r="G1388" s="2" t="s">
        <v>41420</v>
      </c>
      <c r="H1388" s="2" t="s">
        <v>41421</v>
      </c>
    </row>
    <row r="1389" spans="1:8" ht="25.05" customHeight="1" x14ac:dyDescent="0.25">
      <c r="A1389" s="2" t="s">
        <v>8</v>
      </c>
      <c r="B1389" s="2" t="str">
        <f>HYPERLINK("http://ts.21cn.com/tousu/show/id/1331888","投诉豆豆钱利息年利率超过百分36")</f>
        <v>投诉豆豆钱利息年利率超过百分36</v>
      </c>
      <c r="C1389" s="2" t="s">
        <v>34</v>
      </c>
      <c r="D1389" s="2" t="s">
        <v>10</v>
      </c>
      <c r="E1389" s="2" t="str">
        <f>HYPERLINK("http://ts.21cn.com/tousu/show/id/1331888","http://ts.21cn.com/tousu/show/id/1331888")</f>
        <v>http://ts.21cn.com/tousu/show/id/1331888</v>
      </c>
      <c r="F1389" s="2" t="s">
        <v>11</v>
      </c>
      <c r="G1389" s="2" t="s">
        <v>41418</v>
      </c>
      <c r="H1389" s="2" t="s">
        <v>41419</v>
      </c>
    </row>
    <row r="1390" spans="1:8" ht="25.05" customHeight="1" x14ac:dyDescent="0.25">
      <c r="A1390" s="2" t="s">
        <v>8</v>
      </c>
      <c r="B1390" s="2" t="str">
        <f>HYPERLINK("http://ts.21cn.com/tousu/show/id/1331889","钱站高利贷阴阳合同")</f>
        <v>钱站高利贷阴阳合同</v>
      </c>
      <c r="C1390" s="2" t="s">
        <v>9</v>
      </c>
      <c r="D1390" s="2" t="s">
        <v>10</v>
      </c>
      <c r="E1390" s="2" t="str">
        <f>HYPERLINK("http://ts.21cn.com/tousu/show/id/1331889","http://ts.21cn.com/tousu/show/id/1331889")</f>
        <v>http://ts.21cn.com/tousu/show/id/1331889</v>
      </c>
      <c r="F1390" s="2" t="s">
        <v>11</v>
      </c>
      <c r="G1390" s="2" t="s">
        <v>41416</v>
      </c>
      <c r="H1390" s="2" t="s">
        <v>41417</v>
      </c>
    </row>
    <row r="1391" spans="1:8" ht="25.05" customHeight="1" x14ac:dyDescent="0.25">
      <c r="A1391" s="2" t="s">
        <v>8</v>
      </c>
      <c r="B1391" s="2" t="str">
        <f>HYPERLINK("http://ts.21cn.com/tousu/show/id/1331890","豹子贷无故扣钱不需要还要扣")</f>
        <v>豹子贷无故扣钱不需要还要扣</v>
      </c>
      <c r="C1391" s="2" t="s">
        <v>9</v>
      </c>
      <c r="D1391" s="2" t="s">
        <v>10</v>
      </c>
      <c r="E1391" s="2" t="str">
        <f>HYPERLINK("http://ts.21cn.com/tousu/show/id/1331890","http://ts.21cn.com/tousu/show/id/1331890")</f>
        <v>http://ts.21cn.com/tousu/show/id/1331890</v>
      </c>
      <c r="F1391" s="2" t="s">
        <v>11</v>
      </c>
      <c r="G1391" s="2" t="s">
        <v>41414</v>
      </c>
      <c r="H1391" s="2" t="s">
        <v>41415</v>
      </c>
    </row>
    <row r="1392" spans="1:8" ht="25.05" customHeight="1" x14ac:dyDescent="0.25">
      <c r="A1392" s="2" t="s">
        <v>8</v>
      </c>
      <c r="B1392" s="2" t="str">
        <f>HYPERLINK("http://ts.21cn.com/tousu/show/id/1331891","喵下贷汇潮支付")</f>
        <v>喵下贷汇潮支付</v>
      </c>
      <c r="C1392" s="2" t="s">
        <v>9</v>
      </c>
      <c r="D1392" s="2" t="s">
        <v>10</v>
      </c>
      <c r="E1392" s="2" t="str">
        <f>HYPERLINK("http://ts.21cn.com/tousu/show/id/1331891","http://ts.21cn.com/tousu/show/id/1331891")</f>
        <v>http://ts.21cn.com/tousu/show/id/1331891</v>
      </c>
      <c r="F1392" s="2" t="s">
        <v>11</v>
      </c>
      <c r="G1392" s="2" t="s">
        <v>41412</v>
      </c>
      <c r="H1392" s="2" t="s">
        <v>41413</v>
      </c>
    </row>
    <row r="1393" spans="1:8" ht="25.05" customHeight="1" x14ac:dyDescent="0.25">
      <c r="A1393" s="2" t="s">
        <v>8</v>
      </c>
      <c r="B1393" s="2" t="str">
        <f>HYPERLINK("http://ts.21cn.com/tousu/show/id/1331892","安全带高利贷套路贷")</f>
        <v>安全带高利贷套路贷</v>
      </c>
      <c r="C1393" s="2" t="s">
        <v>9</v>
      </c>
      <c r="D1393" s="2" t="s">
        <v>10</v>
      </c>
      <c r="E1393" s="2" t="str">
        <f>HYPERLINK("http://ts.21cn.com/tousu/show/id/1331892","http://ts.21cn.com/tousu/show/id/1331892")</f>
        <v>http://ts.21cn.com/tousu/show/id/1331892</v>
      </c>
      <c r="F1393" s="2" t="s">
        <v>11</v>
      </c>
      <c r="G1393" s="2" t="s">
        <v>41410</v>
      </c>
      <c r="H1393" s="2" t="s">
        <v>41411</v>
      </c>
    </row>
    <row r="1394" spans="1:8" ht="25.05" customHeight="1" x14ac:dyDescent="0.25">
      <c r="A1394" s="2" t="s">
        <v>8</v>
      </c>
      <c r="B1394" s="2" t="str">
        <f>HYPERLINK("http://ts.21cn.com/tousu/show/id/1331893","新橙优品代扣失败导致逾期，并且官方失联")</f>
        <v>新橙优品代扣失败导致逾期，并且官方失联</v>
      </c>
      <c r="C1394" s="2" t="s">
        <v>9</v>
      </c>
      <c r="D1394" s="2" t="s">
        <v>10</v>
      </c>
      <c r="E1394" s="2" t="str">
        <f>HYPERLINK("http://ts.21cn.com/tousu/show/id/1331893","http://ts.21cn.com/tousu/show/id/1331893")</f>
        <v>http://ts.21cn.com/tousu/show/id/1331893</v>
      </c>
      <c r="F1394" s="2" t="s">
        <v>11</v>
      </c>
      <c r="G1394" s="2" t="s">
        <v>41408</v>
      </c>
      <c r="H1394" s="2" t="s">
        <v>41409</v>
      </c>
    </row>
    <row r="1395" spans="1:8" ht="25.05" customHeight="1" x14ac:dyDescent="0.25">
      <c r="A1395" s="2" t="s">
        <v>8</v>
      </c>
      <c r="B1395" s="2" t="str">
        <f>HYPERLINK("http://ts.21cn.com/tousu/show/id/1331886","银闪充利用其与银闪付一字只差获得本人信任，诱导本人消费3060元，合同执行一半，据不履行承诺")</f>
        <v>银闪充利用其与银闪付一字只差获得本人信任，诱导本人消费3060元，合同执行一半，据不履行承诺</v>
      </c>
      <c r="C1395" s="2" t="s">
        <v>9</v>
      </c>
      <c r="D1395" s="2" t="s">
        <v>10</v>
      </c>
      <c r="E1395" s="2" t="str">
        <f>HYPERLINK("http://ts.21cn.com/tousu/show/id/1331886","http://ts.21cn.com/tousu/show/id/1331886")</f>
        <v>http://ts.21cn.com/tousu/show/id/1331886</v>
      </c>
      <c r="F1395" s="2" t="s">
        <v>11</v>
      </c>
      <c r="G1395" s="2" t="s">
        <v>41406</v>
      </c>
      <c r="H1395" s="2" t="s">
        <v>41407</v>
      </c>
    </row>
    <row r="1396" spans="1:8" ht="25.05" customHeight="1" x14ac:dyDescent="0.25">
      <c r="A1396" s="2" t="s">
        <v>8</v>
      </c>
      <c r="B1396" s="2" t="str">
        <f>HYPERLINK("http://ts.21cn.com/tousu/show/id/1331894","钱站高利贷阴阳合同")</f>
        <v>钱站高利贷阴阳合同</v>
      </c>
      <c r="C1396" s="2" t="s">
        <v>9</v>
      </c>
      <c r="D1396" s="2" t="s">
        <v>10</v>
      </c>
      <c r="E1396" s="2" t="str">
        <f>HYPERLINK("http://ts.21cn.com/tousu/show/id/1331894","http://ts.21cn.com/tousu/show/id/1331894")</f>
        <v>http://ts.21cn.com/tousu/show/id/1331894</v>
      </c>
      <c r="F1396" s="2" t="s">
        <v>11</v>
      </c>
      <c r="G1396" s="2" t="s">
        <v>41404</v>
      </c>
      <c r="H1396" s="2" t="s">
        <v>41405</v>
      </c>
    </row>
    <row r="1397" spans="1:8" ht="25.05" customHeight="1" x14ac:dyDescent="0.25">
      <c r="A1397" s="2" t="s">
        <v>8</v>
      </c>
      <c r="B1397" s="2" t="str">
        <f>HYPERLINK("http://ts.21cn.com/tousu/show/id/1331896","周周花花欺诈套路")</f>
        <v>周周花花欺诈套路</v>
      </c>
      <c r="C1397" s="2" t="s">
        <v>9</v>
      </c>
      <c r="D1397" s="2" t="s">
        <v>10</v>
      </c>
      <c r="E1397" s="2" t="str">
        <f>HYPERLINK("http://ts.21cn.com/tousu/show/id/1331896","http://ts.21cn.com/tousu/show/id/1331896")</f>
        <v>http://ts.21cn.com/tousu/show/id/1331896</v>
      </c>
      <c r="F1397" s="2" t="s">
        <v>11</v>
      </c>
      <c r="G1397" s="2" t="s">
        <v>41402</v>
      </c>
      <c r="H1397" s="2" t="s">
        <v>41403</v>
      </c>
    </row>
    <row r="1398" spans="1:8" ht="25.05" customHeight="1" x14ac:dyDescent="0.25">
      <c r="A1398" s="2" t="s">
        <v>8</v>
      </c>
      <c r="B1398" s="2" t="str">
        <f>HYPERLINK("http://ts.21cn.com/tousu/show/id/1331897","非法高利贷，套路贷，")</f>
        <v>非法高利贷，套路贷，</v>
      </c>
      <c r="C1398" s="2" t="s">
        <v>9</v>
      </c>
      <c r="D1398" s="2" t="s">
        <v>10</v>
      </c>
      <c r="E1398" s="2" t="str">
        <f>HYPERLINK("http://ts.21cn.com/tousu/show/id/1331897","http://ts.21cn.com/tousu/show/id/1331897")</f>
        <v>http://ts.21cn.com/tousu/show/id/1331897</v>
      </c>
      <c r="F1398" s="2" t="s">
        <v>11</v>
      </c>
      <c r="G1398" s="2" t="s">
        <v>41400</v>
      </c>
      <c r="H1398" s="2" t="s">
        <v>41401</v>
      </c>
    </row>
    <row r="1399" spans="1:8" ht="25.05" customHeight="1" x14ac:dyDescent="0.25">
      <c r="A1399" s="2" t="s">
        <v>8</v>
      </c>
      <c r="B1399" s="2" t="str">
        <f>HYPERLINK("http://ts.21cn.com/tousu/show/id/1331895","请求中国联通修改套餐")</f>
        <v>请求中国联通修改套餐</v>
      </c>
      <c r="C1399" s="2" t="s">
        <v>9</v>
      </c>
      <c r="D1399" s="2" t="s">
        <v>10</v>
      </c>
      <c r="E1399" s="2" t="str">
        <f>HYPERLINK("http://ts.21cn.com/tousu/show/id/1331895","http://ts.21cn.com/tousu/show/id/1331895")</f>
        <v>http://ts.21cn.com/tousu/show/id/1331895</v>
      </c>
      <c r="F1399" s="2" t="s">
        <v>11</v>
      </c>
      <c r="G1399" s="2" t="s">
        <v>41398</v>
      </c>
      <c r="H1399" s="2" t="s">
        <v>41399</v>
      </c>
    </row>
    <row r="1400" spans="1:8" ht="25.05" customHeight="1" x14ac:dyDescent="0.25">
      <c r="A1400" s="2" t="s">
        <v>8</v>
      </c>
      <c r="B1400" s="2" t="str">
        <f>HYPERLINK("http://ts.21cn.com/tousu/show/id/1331898","客服不接电话。修改注册地")</f>
        <v>客服不接电话。修改注册地</v>
      </c>
      <c r="C1400" s="2" t="s">
        <v>9</v>
      </c>
      <c r="D1400" s="2" t="s">
        <v>10</v>
      </c>
      <c r="E1400" s="2" t="str">
        <f>HYPERLINK("http://ts.21cn.com/tousu/show/id/1331898","http://ts.21cn.com/tousu/show/id/1331898")</f>
        <v>http://ts.21cn.com/tousu/show/id/1331898</v>
      </c>
      <c r="F1400" s="2" t="s">
        <v>11</v>
      </c>
      <c r="G1400" s="2" t="s">
        <v>41396</v>
      </c>
      <c r="H1400" s="2" t="s">
        <v>41397</v>
      </c>
    </row>
    <row r="1401" spans="1:8" ht="25.05" customHeight="1" x14ac:dyDescent="0.25">
      <c r="A1401" s="2" t="s">
        <v>8</v>
      </c>
      <c r="B1401" s="2" t="str">
        <f>HYPERLINK("http://ts.21cn.com/tousu/show/id/1331876","银行卡被无故扣款")</f>
        <v>银行卡被无故扣款</v>
      </c>
      <c r="C1401" s="2" t="s">
        <v>34</v>
      </c>
      <c r="D1401" s="2" t="s">
        <v>10</v>
      </c>
      <c r="E1401" s="2" t="str">
        <f>HYPERLINK("http://ts.21cn.com/tousu/show/id/1331876","http://ts.21cn.com/tousu/show/id/1331876")</f>
        <v>http://ts.21cn.com/tousu/show/id/1331876</v>
      </c>
      <c r="F1401" s="2" t="s">
        <v>11</v>
      </c>
      <c r="G1401" s="2" t="s">
        <v>41394</v>
      </c>
      <c r="H1401" s="2" t="s">
        <v>41395</v>
      </c>
    </row>
    <row r="1402" spans="1:8" ht="25.05" customHeight="1" x14ac:dyDescent="0.25">
      <c r="A1402" s="2" t="s">
        <v>8</v>
      </c>
      <c r="B1402" s="2" t="str">
        <f>HYPERLINK("http://ts.21cn.com/tousu/show/id/1331215","优逸贷会员费，要求退还所交费用")</f>
        <v>优逸贷会员费，要求退还所交费用</v>
      </c>
      <c r="C1402" s="2" t="s">
        <v>34</v>
      </c>
      <c r="D1402" s="2" t="s">
        <v>10</v>
      </c>
      <c r="E1402" s="2" t="str">
        <f>HYPERLINK("http://ts.21cn.com/tousu/show/id/1331215","http://ts.21cn.com/tousu/show/id/1331215")</f>
        <v>http://ts.21cn.com/tousu/show/id/1331215</v>
      </c>
      <c r="F1402" s="2" t="s">
        <v>11</v>
      </c>
      <c r="G1402" s="2" t="s">
        <v>41392</v>
      </c>
      <c r="H1402" s="2" t="s">
        <v>41393</v>
      </c>
    </row>
    <row r="1403" spans="1:8" ht="25.05" customHeight="1" x14ac:dyDescent="0.25">
      <c r="A1403" s="2" t="s">
        <v>8</v>
      </c>
      <c r="B1403" s="2" t="str">
        <f>HYPERLINK("http://ts.21cn.com/tousu/show/id/1331900","小黄车ofo不退还押金、客服挂客户电话")</f>
        <v>小黄车ofo不退还押金、客服挂客户电话</v>
      </c>
      <c r="C1403" s="2" t="s">
        <v>9</v>
      </c>
      <c r="D1403" s="2" t="s">
        <v>10</v>
      </c>
      <c r="E1403" s="2" t="str">
        <f>HYPERLINK("http://ts.21cn.com/tousu/show/id/1331900","http://ts.21cn.com/tousu/show/id/1331900")</f>
        <v>http://ts.21cn.com/tousu/show/id/1331900</v>
      </c>
      <c r="F1403" s="2" t="s">
        <v>11</v>
      </c>
      <c r="G1403" s="2" t="s">
        <v>41390</v>
      </c>
      <c r="H1403" s="2" t="s">
        <v>41391</v>
      </c>
    </row>
    <row r="1404" spans="1:8" ht="25.05" customHeight="1" x14ac:dyDescent="0.25">
      <c r="A1404" s="2" t="s">
        <v>8</v>
      </c>
      <c r="B1404" s="2" t="str">
        <f>HYPERLINK("http://ts.21cn.com/tousu/show/id/1331901","滴水贷提前还款还不了")</f>
        <v>滴水贷提前还款还不了</v>
      </c>
      <c r="C1404" s="2" t="s">
        <v>34</v>
      </c>
      <c r="D1404" s="2" t="s">
        <v>10</v>
      </c>
      <c r="E1404" s="2" t="str">
        <f>HYPERLINK("http://ts.21cn.com/tousu/show/id/1331901","http://ts.21cn.com/tousu/show/id/1331901")</f>
        <v>http://ts.21cn.com/tousu/show/id/1331901</v>
      </c>
      <c r="F1404" s="2" t="s">
        <v>11</v>
      </c>
      <c r="G1404" s="2" t="s">
        <v>41388</v>
      </c>
      <c r="H1404" s="2" t="s">
        <v>41389</v>
      </c>
    </row>
    <row r="1405" spans="1:8" ht="25.05" customHeight="1" x14ac:dyDescent="0.25">
      <c r="A1405" s="2" t="s">
        <v>8</v>
      </c>
      <c r="B1405" s="2" t="str">
        <f>HYPERLINK("http://ts.21cn.com/tousu/show/id/1331902","滴水贷不能提前还款")</f>
        <v>滴水贷不能提前还款</v>
      </c>
      <c r="C1405" s="2" t="s">
        <v>34</v>
      </c>
      <c r="D1405" s="2" t="s">
        <v>10</v>
      </c>
      <c r="E1405" s="2" t="str">
        <f>HYPERLINK("http://ts.21cn.com/tousu/show/id/1331902","http://ts.21cn.com/tousu/show/id/1331902")</f>
        <v>http://ts.21cn.com/tousu/show/id/1331902</v>
      </c>
      <c r="F1405" s="2" t="s">
        <v>11</v>
      </c>
      <c r="G1405" s="2" t="s">
        <v>41386</v>
      </c>
      <c r="H1405" s="2" t="s">
        <v>41387</v>
      </c>
    </row>
    <row r="1406" spans="1:8" ht="25.05" customHeight="1" x14ac:dyDescent="0.25">
      <c r="A1406" s="2" t="s">
        <v>8</v>
      </c>
      <c r="B1406" s="2" t="str">
        <f>HYPERLINK("http://ts.21cn.com/tousu/show/id/1331903","连连支付为高利贷提供支付渠道")</f>
        <v>连连支付为高利贷提供支付渠道</v>
      </c>
      <c r="C1406" s="2" t="s">
        <v>9</v>
      </c>
      <c r="D1406" s="2" t="s">
        <v>10</v>
      </c>
      <c r="E1406" s="2" t="str">
        <f>HYPERLINK("http://ts.21cn.com/tousu/show/id/1331903","http://ts.21cn.com/tousu/show/id/1331903")</f>
        <v>http://ts.21cn.com/tousu/show/id/1331903</v>
      </c>
      <c r="F1406" s="2" t="s">
        <v>11</v>
      </c>
      <c r="G1406" s="2" t="s">
        <v>41384</v>
      </c>
      <c r="H1406" s="2" t="s">
        <v>41385</v>
      </c>
    </row>
    <row r="1407" spans="1:8" ht="25.05" customHeight="1" x14ac:dyDescent="0.25">
      <c r="A1407" s="2" t="s">
        <v>8</v>
      </c>
      <c r="B1407" s="2" t="str">
        <f>HYPERLINK("http://ts.21cn.com/tousu/show/id/1331905","退还砍头息")</f>
        <v>退还砍头息</v>
      </c>
      <c r="C1407" s="2" t="s">
        <v>9</v>
      </c>
      <c r="D1407" s="2" t="s">
        <v>10</v>
      </c>
      <c r="E1407" s="2" t="str">
        <f>HYPERLINK("http://ts.21cn.com/tousu/show/id/1331905","http://ts.21cn.com/tousu/show/id/1331905")</f>
        <v>http://ts.21cn.com/tousu/show/id/1331905</v>
      </c>
      <c r="F1407" s="2" t="s">
        <v>11</v>
      </c>
      <c r="G1407" s="2" t="s">
        <v>41382</v>
      </c>
      <c r="H1407" s="2" t="s">
        <v>41383</v>
      </c>
    </row>
    <row r="1408" spans="1:8" ht="25.05" customHeight="1" x14ac:dyDescent="0.25">
      <c r="A1408" s="2" t="s">
        <v>8</v>
      </c>
      <c r="B1408" s="2" t="str">
        <f>HYPERLINK("http://ts.21cn.com/tousu/show/id/1331904","钱站app利息太高")</f>
        <v>钱站app利息太高</v>
      </c>
      <c r="C1408" s="2" t="s">
        <v>9</v>
      </c>
      <c r="D1408" s="2" t="s">
        <v>10</v>
      </c>
      <c r="E1408" s="2" t="str">
        <f>HYPERLINK("http://ts.21cn.com/tousu/show/id/1331904","http://ts.21cn.com/tousu/show/id/1331904")</f>
        <v>http://ts.21cn.com/tousu/show/id/1331904</v>
      </c>
      <c r="F1408" s="2" t="s">
        <v>11</v>
      </c>
      <c r="G1408" s="2" t="s">
        <v>41380</v>
      </c>
      <c r="H1408" s="2" t="s">
        <v>41381</v>
      </c>
    </row>
    <row r="1409" spans="1:8" ht="25.05" customHeight="1" x14ac:dyDescent="0.25">
      <c r="A1409" s="2" t="s">
        <v>8</v>
      </c>
      <c r="B1409" s="2" t="str">
        <f>HYPERLINK("http://ts.21cn.com/tousu/show/id/1331908","捷信金融高利息")</f>
        <v>捷信金融高利息</v>
      </c>
      <c r="C1409" s="2" t="s">
        <v>34</v>
      </c>
      <c r="D1409" s="2" t="s">
        <v>10</v>
      </c>
      <c r="E1409" s="2" t="str">
        <f>HYPERLINK("http://ts.21cn.com/tousu/show/id/1331908","http://ts.21cn.com/tousu/show/id/1331908")</f>
        <v>http://ts.21cn.com/tousu/show/id/1331908</v>
      </c>
      <c r="F1409" s="2" t="s">
        <v>11</v>
      </c>
      <c r="G1409" s="2" t="s">
        <v>41378</v>
      </c>
      <c r="H1409" s="2" t="s">
        <v>41379</v>
      </c>
    </row>
    <row r="1410" spans="1:8" ht="25.05" customHeight="1" x14ac:dyDescent="0.25">
      <c r="A1410" s="2" t="s">
        <v>8</v>
      </c>
      <c r="B1410" s="2" t="str">
        <f>HYPERLINK("http://ts.21cn.com/tousu/show/id/1331909","北京爱农为非法博彩公司提供支付清算渠道，涉嫌洗钱，虚假交易")</f>
        <v>北京爱农为非法博彩公司提供支付清算渠道，涉嫌洗钱，虚假交易</v>
      </c>
      <c r="C1410" s="2" t="s">
        <v>9</v>
      </c>
      <c r="D1410" s="2" t="s">
        <v>10</v>
      </c>
      <c r="E1410" s="2" t="str">
        <f>HYPERLINK("http://ts.21cn.com/tousu/show/id/1331909","http://ts.21cn.com/tousu/show/id/1331909")</f>
        <v>http://ts.21cn.com/tousu/show/id/1331909</v>
      </c>
      <c r="F1410" s="2" t="s">
        <v>11</v>
      </c>
      <c r="G1410" s="2" t="s">
        <v>41376</v>
      </c>
      <c r="H1410" s="2" t="s">
        <v>41377</v>
      </c>
    </row>
    <row r="1411" spans="1:8" ht="25.05" customHeight="1" x14ac:dyDescent="0.25">
      <c r="A1411" s="2" t="s">
        <v>8</v>
      </c>
      <c r="B1411" s="2" t="str">
        <f>HYPERLINK("http://ts.21cn.com/tousu/show/id/1331910","高利贷，砍头息")</f>
        <v>高利贷，砍头息</v>
      </c>
      <c r="C1411" s="2" t="s">
        <v>9</v>
      </c>
      <c r="D1411" s="2" t="s">
        <v>10</v>
      </c>
      <c r="E1411" s="2" t="str">
        <f>HYPERLINK("http://ts.21cn.com/tousu/show/id/1331910","http://ts.21cn.com/tousu/show/id/1331910")</f>
        <v>http://ts.21cn.com/tousu/show/id/1331910</v>
      </c>
      <c r="F1411" s="2" t="s">
        <v>11</v>
      </c>
      <c r="G1411" s="2" t="s">
        <v>41374</v>
      </c>
      <c r="H1411" s="2" t="s">
        <v>41375</v>
      </c>
    </row>
    <row r="1412" spans="1:8" ht="25.05" customHeight="1" x14ac:dyDescent="0.25">
      <c r="A1412" s="2" t="s">
        <v>8</v>
      </c>
      <c r="B1412" s="2" t="str">
        <f>HYPERLINK("http://ts.21cn.com/tousu/show/id/1328001","闪银哼哼砍头息，虚假放款要求销账")</f>
        <v>闪银哼哼砍头息，虚假放款要求销账</v>
      </c>
      <c r="C1412" s="2" t="s">
        <v>9</v>
      </c>
      <c r="D1412" s="2" t="s">
        <v>10</v>
      </c>
      <c r="E1412" s="2" t="str">
        <f>HYPERLINK("http://ts.21cn.com/tousu/show/id/1328001","http://ts.21cn.com/tousu/show/id/1328001")</f>
        <v>http://ts.21cn.com/tousu/show/id/1328001</v>
      </c>
      <c r="F1412" s="2" t="s">
        <v>11</v>
      </c>
      <c r="G1412" s="2" t="s">
        <v>41372</v>
      </c>
      <c r="H1412" s="2" t="s">
        <v>41373</v>
      </c>
    </row>
    <row r="1413" spans="1:8" ht="25.05" customHeight="1" x14ac:dyDescent="0.25">
      <c r="A1413" s="2" t="s">
        <v>8</v>
      </c>
      <c r="B1413" s="2" t="str">
        <f>HYPERLINK("http://ts.21cn.com/tousu/show/id/1331911","上海华瑞银行为超级高利贷提供支付通道")</f>
        <v>上海华瑞银行为超级高利贷提供支付通道</v>
      </c>
      <c r="C1413" s="2" t="s">
        <v>9</v>
      </c>
      <c r="D1413" s="2" t="s">
        <v>10</v>
      </c>
      <c r="E1413" s="2" t="str">
        <f>HYPERLINK("http://ts.21cn.com/tousu/show/id/1331911","http://ts.21cn.com/tousu/show/id/1331911")</f>
        <v>http://ts.21cn.com/tousu/show/id/1331911</v>
      </c>
      <c r="F1413" s="2" t="s">
        <v>11</v>
      </c>
      <c r="G1413" s="2" t="s">
        <v>41370</v>
      </c>
      <c r="H1413" s="2" t="s">
        <v>41371</v>
      </c>
    </row>
    <row r="1414" spans="1:8" ht="25.05" customHeight="1" x14ac:dyDescent="0.25">
      <c r="A1414" s="2" t="s">
        <v>8</v>
      </c>
      <c r="B1414" s="2" t="str">
        <f>HYPERLINK("http://ts.21cn.com/tousu/show/id/1331912","高利贷")</f>
        <v>高利贷</v>
      </c>
      <c r="C1414" s="2" t="s">
        <v>9</v>
      </c>
      <c r="D1414" s="2" t="s">
        <v>10</v>
      </c>
      <c r="E1414" s="2" t="str">
        <f>HYPERLINK("http://ts.21cn.com/tousu/show/id/1331912","http://ts.21cn.com/tousu/show/id/1331912")</f>
        <v>http://ts.21cn.com/tousu/show/id/1331912</v>
      </c>
      <c r="F1414" s="2" t="s">
        <v>11</v>
      </c>
      <c r="G1414" s="2" t="s">
        <v>41368</v>
      </c>
      <c r="H1414" s="2" t="s">
        <v>41369</v>
      </c>
    </row>
    <row r="1415" spans="1:8" ht="25.05" customHeight="1" x14ac:dyDescent="0.25">
      <c r="A1415" s="2" t="s">
        <v>8</v>
      </c>
      <c r="B1415" s="2" t="str">
        <f>HYPERLINK("http://ts.21cn.com/tousu/show/id/1331913","高利贷高额服务费阴阳合同")</f>
        <v>高利贷高额服务费阴阳合同</v>
      </c>
      <c r="C1415" s="2" t="s">
        <v>9</v>
      </c>
      <c r="D1415" s="2" t="s">
        <v>10</v>
      </c>
      <c r="E1415" s="2" t="str">
        <f>HYPERLINK("http://ts.21cn.com/tousu/show/id/1331913","http://ts.21cn.com/tousu/show/id/1331913")</f>
        <v>http://ts.21cn.com/tousu/show/id/1331913</v>
      </c>
      <c r="F1415" s="2" t="s">
        <v>11</v>
      </c>
      <c r="G1415" s="2" t="s">
        <v>41366</v>
      </c>
      <c r="H1415" s="2" t="s">
        <v>41367</v>
      </c>
    </row>
    <row r="1416" spans="1:8" ht="25.05" customHeight="1" x14ac:dyDescent="0.25">
      <c r="A1416" s="2" t="s">
        <v>8</v>
      </c>
      <c r="B1416" s="2" t="str">
        <f>HYPERLINK("http://ts.21cn.com/tousu/show/id/1331914","闪银新人专属通道虚假放款，其实是高额砍头息")</f>
        <v>闪银新人专属通道虚假放款，其实是高额砍头息</v>
      </c>
      <c r="C1416" s="2" t="s">
        <v>9</v>
      </c>
      <c r="D1416" s="2" t="s">
        <v>10</v>
      </c>
      <c r="E1416" s="2" t="str">
        <f>HYPERLINK("http://ts.21cn.com/tousu/show/id/1331914","http://ts.21cn.com/tousu/show/id/1331914")</f>
        <v>http://ts.21cn.com/tousu/show/id/1331914</v>
      </c>
      <c r="F1416" s="2" t="s">
        <v>11</v>
      </c>
      <c r="G1416" s="2" t="s">
        <v>41365</v>
      </c>
      <c r="H1416" s="2" t="s">
        <v>36468</v>
      </c>
    </row>
    <row r="1417" spans="1:8" ht="25.05" customHeight="1" x14ac:dyDescent="0.25">
      <c r="A1417" s="2" t="s">
        <v>8</v>
      </c>
      <c r="B1417" s="2" t="str">
        <f>HYPERLINK("http://ts.21cn.com/tousu/show/id/1331915","滴滴派单不公平，不处理")</f>
        <v>滴滴派单不公平，不处理</v>
      </c>
      <c r="C1417" s="2" t="s">
        <v>9</v>
      </c>
      <c r="D1417" s="2" t="s">
        <v>10</v>
      </c>
      <c r="E1417" s="2" t="str">
        <f>HYPERLINK("http://ts.21cn.com/tousu/show/id/1331915","http://ts.21cn.com/tousu/show/id/1331915")</f>
        <v>http://ts.21cn.com/tousu/show/id/1331915</v>
      </c>
      <c r="F1417" s="2" t="s">
        <v>11</v>
      </c>
      <c r="G1417" s="2" t="s">
        <v>41363</v>
      </c>
      <c r="H1417" s="2" t="s">
        <v>41364</v>
      </c>
    </row>
    <row r="1418" spans="1:8" ht="25.05" customHeight="1" x14ac:dyDescent="0.25">
      <c r="A1418" s="2" t="s">
        <v>8</v>
      </c>
      <c r="B1418" s="2" t="str">
        <f>HYPERLINK("http://ts.21cn.com/tousu/show/id/1331916","滴滴晚上10过后不派女乘客订单导致订单大量减少")</f>
        <v>滴滴晚上10过后不派女乘客订单导致订单大量减少</v>
      </c>
      <c r="C1418" s="2" t="s">
        <v>9</v>
      </c>
      <c r="D1418" s="2" t="s">
        <v>10</v>
      </c>
      <c r="E1418" s="2" t="str">
        <f>HYPERLINK("http://ts.21cn.com/tousu/show/id/1331916","http://ts.21cn.com/tousu/show/id/1331916")</f>
        <v>http://ts.21cn.com/tousu/show/id/1331916</v>
      </c>
      <c r="F1418" s="2" t="s">
        <v>11</v>
      </c>
      <c r="G1418" s="2" t="s">
        <v>41361</v>
      </c>
      <c r="H1418" s="2" t="s">
        <v>41362</v>
      </c>
    </row>
    <row r="1419" spans="1:8" ht="25.05" customHeight="1" x14ac:dyDescent="0.25">
      <c r="A1419" s="2" t="s">
        <v>8</v>
      </c>
      <c r="B1419" s="2" t="str">
        <f>HYPERLINK("http://ts.21cn.com/tousu/show/id/1331918","闪银百万钱包提前还款仍收取高额服务费不减免")</f>
        <v>闪银百万钱包提前还款仍收取高额服务费不减免</v>
      </c>
      <c r="C1419" s="2" t="s">
        <v>34</v>
      </c>
      <c r="D1419" s="2" t="s">
        <v>10</v>
      </c>
      <c r="E1419" s="2" t="str">
        <f>HYPERLINK("http://ts.21cn.com/tousu/show/id/1331918","http://ts.21cn.com/tousu/show/id/1331918")</f>
        <v>http://ts.21cn.com/tousu/show/id/1331918</v>
      </c>
      <c r="F1419" s="2" t="s">
        <v>11</v>
      </c>
      <c r="G1419" s="2" t="s">
        <v>41360</v>
      </c>
      <c r="H1419" s="2" t="s">
        <v>36544</v>
      </c>
    </row>
    <row r="1420" spans="1:8" ht="25.05" customHeight="1" x14ac:dyDescent="0.25">
      <c r="A1420" s="2" t="s">
        <v>8</v>
      </c>
      <c r="B1420" s="2" t="str">
        <f>HYPERLINK("http://ts.21cn.com/tousu/show/id/1331919","安逸花套路还清后提议我注销再次申请后直接拒绝")</f>
        <v>安逸花套路还清后提议我注销再次申请后直接拒绝</v>
      </c>
      <c r="C1420" s="2" t="s">
        <v>9</v>
      </c>
      <c r="D1420" s="2" t="s">
        <v>10</v>
      </c>
      <c r="E1420" s="2" t="str">
        <f>HYPERLINK("http://ts.21cn.com/tousu/show/id/1331919","http://ts.21cn.com/tousu/show/id/1331919")</f>
        <v>http://ts.21cn.com/tousu/show/id/1331919</v>
      </c>
      <c r="F1420" s="2" t="s">
        <v>11</v>
      </c>
      <c r="G1420" s="2" t="s">
        <v>41358</v>
      </c>
      <c r="H1420" s="2" t="s">
        <v>41359</v>
      </c>
    </row>
    <row r="1421" spans="1:8" ht="25.05" customHeight="1" x14ac:dyDescent="0.25">
      <c r="A1421" s="2" t="s">
        <v>8</v>
      </c>
      <c r="B1421" s="2" t="str">
        <f>HYPERLINK("http://ts.21cn.com/tousu/show/id/1331921","钱站高利贷、暴力催收、威胁恐吓，爆通讯录人")</f>
        <v>钱站高利贷、暴力催收、威胁恐吓，爆通讯录人</v>
      </c>
      <c r="C1421" s="2" t="s">
        <v>9</v>
      </c>
      <c r="D1421" s="2" t="s">
        <v>10</v>
      </c>
      <c r="E1421" s="2" t="str">
        <f>HYPERLINK("http://ts.21cn.com/tousu/show/id/1331921","http://ts.21cn.com/tousu/show/id/1331921")</f>
        <v>http://ts.21cn.com/tousu/show/id/1331921</v>
      </c>
      <c r="F1421" s="2" t="s">
        <v>11</v>
      </c>
      <c r="G1421" s="2" t="s">
        <v>41356</v>
      </c>
      <c r="H1421" s="2" t="s">
        <v>41357</v>
      </c>
    </row>
    <row r="1422" spans="1:8" ht="25.05" customHeight="1" x14ac:dyDescent="0.25">
      <c r="A1422" s="2" t="s">
        <v>8</v>
      </c>
      <c r="B1422" s="2" t="str">
        <f>HYPERLINK("http://ts.21cn.com/tousu/show/id/1331923","违法催收")</f>
        <v>违法催收</v>
      </c>
      <c r="C1422" s="2" t="s">
        <v>9</v>
      </c>
      <c r="D1422" s="2" t="s">
        <v>10</v>
      </c>
      <c r="E1422" s="2" t="str">
        <f>HYPERLINK("http://ts.21cn.com/tousu/show/id/1331923","http://ts.21cn.com/tousu/show/id/1331923")</f>
        <v>http://ts.21cn.com/tousu/show/id/1331923</v>
      </c>
      <c r="F1422" s="2" t="s">
        <v>11</v>
      </c>
      <c r="G1422" s="2" t="s">
        <v>41354</v>
      </c>
      <c r="H1422" s="2" t="s">
        <v>41355</v>
      </c>
    </row>
    <row r="1423" spans="1:8" ht="25.05" customHeight="1" x14ac:dyDescent="0.25">
      <c r="A1423" s="2" t="s">
        <v>8</v>
      </c>
      <c r="B1423" s="2" t="str">
        <f>HYPERLINK("http://ts.21cn.com/tousu/show/id/1331924","闪银速贷无合同高利贷")</f>
        <v>闪银速贷无合同高利贷</v>
      </c>
      <c r="C1423" s="2" t="s">
        <v>9</v>
      </c>
      <c r="D1423" s="2" t="s">
        <v>10</v>
      </c>
      <c r="E1423" s="2" t="str">
        <f>HYPERLINK("http://ts.21cn.com/tousu/show/id/1331924","http://ts.21cn.com/tousu/show/id/1331924")</f>
        <v>http://ts.21cn.com/tousu/show/id/1331924</v>
      </c>
      <c r="F1423" s="2" t="s">
        <v>11</v>
      </c>
      <c r="G1423" s="2" t="s">
        <v>41352</v>
      </c>
      <c r="H1423" s="2" t="s">
        <v>41353</v>
      </c>
    </row>
    <row r="1424" spans="1:8" ht="25.05" customHeight="1" x14ac:dyDescent="0.25">
      <c r="A1424" s="2" t="s">
        <v>8</v>
      </c>
      <c r="B1424" s="2" t="str">
        <f>HYPERLINK("http://ts.21cn.com/tousu/show/id/1331920","上海翰银为赌博输平台收单，请求瀚银为我退款挽回经济损失")</f>
        <v>上海翰银为赌博输平台收单，请求瀚银为我退款挽回经济损失</v>
      </c>
      <c r="C1424" s="2" t="s">
        <v>9</v>
      </c>
      <c r="D1424" s="2" t="s">
        <v>10</v>
      </c>
      <c r="E1424" s="2" t="str">
        <f>HYPERLINK("http://ts.21cn.com/tousu/show/id/1331920","http://ts.21cn.com/tousu/show/id/1331920")</f>
        <v>http://ts.21cn.com/tousu/show/id/1331920</v>
      </c>
      <c r="F1424" s="2" t="s">
        <v>11</v>
      </c>
      <c r="G1424" s="2" t="s">
        <v>41350</v>
      </c>
      <c r="H1424" s="2" t="s">
        <v>41351</v>
      </c>
    </row>
    <row r="1425" spans="1:8" ht="25.05" customHeight="1" x14ac:dyDescent="0.25">
      <c r="A1425" s="2" t="s">
        <v>8</v>
      </c>
      <c r="B1425" s="2" t="str">
        <f>HYPERLINK("http://ts.21cn.com/tousu/show/id/1331926","要求金猪钱包减免不合理利息")</f>
        <v>要求金猪钱包减免不合理利息</v>
      </c>
      <c r="C1425" s="2" t="s">
        <v>34</v>
      </c>
      <c r="D1425" s="2" t="s">
        <v>10</v>
      </c>
      <c r="E1425" s="2" t="str">
        <f>HYPERLINK("http://ts.21cn.com/tousu/show/id/1331926","http://ts.21cn.com/tousu/show/id/1331926")</f>
        <v>http://ts.21cn.com/tousu/show/id/1331926</v>
      </c>
      <c r="F1425" s="2" t="s">
        <v>11</v>
      </c>
      <c r="G1425" s="2" t="s">
        <v>41348</v>
      </c>
      <c r="H1425" s="2" t="s">
        <v>41349</v>
      </c>
    </row>
    <row r="1426" spans="1:8" ht="25.05" customHeight="1" x14ac:dyDescent="0.25">
      <c r="A1426" s="2" t="s">
        <v>8</v>
      </c>
      <c r="B1426" s="2" t="str">
        <f>HYPERLINK("http://ts.21cn.com/tousu/show/id/1331927","多多农场获得金币少一半")</f>
        <v>多多农场获得金币少一半</v>
      </c>
      <c r="C1426" s="2" t="s">
        <v>34</v>
      </c>
      <c r="D1426" s="2" t="s">
        <v>10</v>
      </c>
      <c r="E1426" s="2" t="str">
        <f>HYPERLINK("http://ts.21cn.com/tousu/show/id/1331927","http://ts.21cn.com/tousu/show/id/1331927")</f>
        <v>http://ts.21cn.com/tousu/show/id/1331927</v>
      </c>
      <c r="F1426" s="2" t="s">
        <v>11</v>
      </c>
      <c r="G1426" s="2" t="s">
        <v>41346</v>
      </c>
      <c r="H1426" s="2" t="s">
        <v>41347</v>
      </c>
    </row>
    <row r="1427" spans="1:8" ht="25.05" customHeight="1" x14ac:dyDescent="0.25">
      <c r="A1427" s="2" t="s">
        <v>8</v>
      </c>
      <c r="B1427" s="2" t="str">
        <f>HYPERLINK("http://ts.21cn.com/tousu/show/id/1331928","平台乱操作")</f>
        <v>平台乱操作</v>
      </c>
      <c r="C1427" s="2" t="s">
        <v>9</v>
      </c>
      <c r="D1427" s="2" t="s">
        <v>10</v>
      </c>
      <c r="E1427" s="2" t="str">
        <f>HYPERLINK("http://ts.21cn.com/tousu/show/id/1331928","http://ts.21cn.com/tousu/show/id/1331928")</f>
        <v>http://ts.21cn.com/tousu/show/id/1331928</v>
      </c>
      <c r="F1427" s="2" t="s">
        <v>11</v>
      </c>
      <c r="G1427" s="2" t="s">
        <v>41344</v>
      </c>
      <c r="H1427" s="2" t="s">
        <v>41345</v>
      </c>
    </row>
    <row r="1428" spans="1:8" ht="25.05" customHeight="1" x14ac:dyDescent="0.25">
      <c r="A1428" s="2" t="s">
        <v>8</v>
      </c>
      <c r="B1428" s="2" t="str">
        <f>HYPERLINK("http://ts.21cn.com/tousu/show/id/1331929","高额罚息")</f>
        <v>高额罚息</v>
      </c>
      <c r="C1428" s="2" t="s">
        <v>9</v>
      </c>
      <c r="D1428" s="2" t="s">
        <v>10</v>
      </c>
      <c r="E1428" s="2" t="str">
        <f>HYPERLINK("http://ts.21cn.com/tousu/show/id/1331929","http://ts.21cn.com/tousu/show/id/1331929")</f>
        <v>http://ts.21cn.com/tousu/show/id/1331929</v>
      </c>
      <c r="F1428" s="2" t="s">
        <v>11</v>
      </c>
      <c r="G1428" s="2" t="s">
        <v>41342</v>
      </c>
      <c r="H1428" s="2" t="s">
        <v>41343</v>
      </c>
    </row>
    <row r="1429" spans="1:8" ht="25.05" customHeight="1" x14ac:dyDescent="0.25">
      <c r="A1429" s="2" t="s">
        <v>8</v>
      </c>
      <c r="B1429" s="2" t="str">
        <f>HYPERLINK("http://ts.21cn.com/tousu/show/id/1331930","闪银哼哼贷利率高达240%")</f>
        <v>闪银哼哼贷利率高达240%</v>
      </c>
      <c r="C1429" s="2" t="s">
        <v>34</v>
      </c>
      <c r="D1429" s="2" t="s">
        <v>10</v>
      </c>
      <c r="E1429" s="2" t="str">
        <f>HYPERLINK("http://ts.21cn.com/tousu/show/id/1331930","http://ts.21cn.com/tousu/show/id/1331930")</f>
        <v>http://ts.21cn.com/tousu/show/id/1331930</v>
      </c>
      <c r="F1429" s="2" t="s">
        <v>11</v>
      </c>
      <c r="G1429" s="2" t="s">
        <v>41340</v>
      </c>
      <c r="H1429" s="2" t="s">
        <v>41341</v>
      </c>
    </row>
    <row r="1430" spans="1:8" ht="25.05" customHeight="1" x14ac:dyDescent="0.25">
      <c r="A1430" s="2" t="s">
        <v>8</v>
      </c>
      <c r="B1430" s="2" t="str">
        <f>HYPERLINK("http://ts.21cn.com/tousu/show/id/1331931","安逸花单方面终止合同，锁定账户")</f>
        <v>安逸花单方面终止合同，锁定账户</v>
      </c>
      <c r="C1430" s="2" t="s">
        <v>9</v>
      </c>
      <c r="D1430" s="2" t="s">
        <v>10</v>
      </c>
      <c r="E1430" s="2" t="str">
        <f>HYPERLINK("http://ts.21cn.com/tousu/show/id/1331931","http://ts.21cn.com/tousu/show/id/1331931")</f>
        <v>http://ts.21cn.com/tousu/show/id/1331931</v>
      </c>
      <c r="F1430" s="2" t="s">
        <v>11</v>
      </c>
      <c r="G1430" s="2" t="s">
        <v>41338</v>
      </c>
      <c r="H1430" s="2" t="s">
        <v>41339</v>
      </c>
    </row>
    <row r="1431" spans="1:8" ht="25.05" customHeight="1" x14ac:dyDescent="0.25">
      <c r="A1431" s="2" t="s">
        <v>8</v>
      </c>
      <c r="B1431" s="2" t="str">
        <f>HYPERLINK("http://ts.21cn.com/tousu/show/id/1331932","51人品贷，黑心高利贷，暴力催收")</f>
        <v>51人品贷，黑心高利贷，暴力催收</v>
      </c>
      <c r="C1431" s="2" t="s">
        <v>9</v>
      </c>
      <c r="D1431" s="2" t="s">
        <v>10</v>
      </c>
      <c r="E1431" s="2" t="str">
        <f>HYPERLINK("http://ts.21cn.com/tousu/show/id/1331932","http://ts.21cn.com/tousu/show/id/1331932")</f>
        <v>http://ts.21cn.com/tousu/show/id/1331932</v>
      </c>
      <c r="F1431" s="2" t="s">
        <v>11</v>
      </c>
      <c r="G1431" s="2" t="s">
        <v>41336</v>
      </c>
      <c r="H1431" s="2" t="s">
        <v>41337</v>
      </c>
    </row>
    <row r="1432" spans="1:8" ht="25.05" customHeight="1" x14ac:dyDescent="0.25">
      <c r="A1432" s="2" t="s">
        <v>8</v>
      </c>
      <c r="B1432" s="2" t="str">
        <f>HYPERLINK("http://ts.21cn.com/tousu/show/id/1331933","信用飞砍头息")</f>
        <v>信用飞砍头息</v>
      </c>
      <c r="C1432" s="2" t="s">
        <v>9</v>
      </c>
      <c r="D1432" s="2" t="s">
        <v>10</v>
      </c>
      <c r="E1432" s="2" t="str">
        <f>HYPERLINK("http://ts.21cn.com/tousu/show/id/1331933","http://ts.21cn.com/tousu/show/id/1331933")</f>
        <v>http://ts.21cn.com/tousu/show/id/1331933</v>
      </c>
      <c r="F1432" s="2" t="s">
        <v>11</v>
      </c>
      <c r="G1432" s="2" t="s">
        <v>41334</v>
      </c>
      <c r="H1432" s="2" t="s">
        <v>41335</v>
      </c>
    </row>
    <row r="1433" spans="1:8" ht="25.05" customHeight="1" x14ac:dyDescent="0.25">
      <c r="A1433" s="2" t="s">
        <v>8</v>
      </c>
      <c r="B1433" s="2" t="str">
        <f>HYPERLINK("http://ts.21cn.com/tousu/show/id/1331934","恶意扣款")</f>
        <v>恶意扣款</v>
      </c>
      <c r="C1433" s="2" t="s">
        <v>9</v>
      </c>
      <c r="D1433" s="2" t="s">
        <v>10</v>
      </c>
      <c r="E1433" s="2" t="str">
        <f>HYPERLINK("http://ts.21cn.com/tousu/show/id/1331934","http://ts.21cn.com/tousu/show/id/1331934")</f>
        <v>http://ts.21cn.com/tousu/show/id/1331934</v>
      </c>
      <c r="F1433" s="2" t="s">
        <v>11</v>
      </c>
      <c r="G1433" s="2" t="s">
        <v>41332</v>
      </c>
      <c r="H1433" s="2" t="s">
        <v>41333</v>
      </c>
    </row>
    <row r="1434" spans="1:8" ht="25.05" customHeight="1" x14ac:dyDescent="0.25">
      <c r="A1434" s="2" t="s">
        <v>8</v>
      </c>
      <c r="B1434" s="2" t="str">
        <f>HYPERLINK("http://ts.21cn.com/tousu/show/id/1331935","多宝分期利息超级高")</f>
        <v>多宝分期利息超级高</v>
      </c>
      <c r="C1434" s="2" t="s">
        <v>9</v>
      </c>
      <c r="D1434" s="2" t="s">
        <v>10</v>
      </c>
      <c r="E1434" s="2" t="str">
        <f>HYPERLINK("http://ts.21cn.com/tousu/show/id/1331935","http://ts.21cn.com/tousu/show/id/1331935")</f>
        <v>http://ts.21cn.com/tousu/show/id/1331935</v>
      </c>
      <c r="F1434" s="2" t="s">
        <v>11</v>
      </c>
      <c r="G1434" s="2" t="s">
        <v>41330</v>
      </c>
      <c r="H1434" s="2" t="s">
        <v>41331</v>
      </c>
    </row>
    <row r="1435" spans="1:8" ht="25.05" customHeight="1" x14ac:dyDescent="0.25">
      <c r="A1435" s="2" t="s">
        <v>8</v>
      </c>
      <c r="B1435" s="2" t="str">
        <f>HYPERLINK("http://ts.21cn.com/tousu/show/id/1331937","滴滴平台恶意扣成交率")</f>
        <v>滴滴平台恶意扣成交率</v>
      </c>
      <c r="C1435" s="2" t="s">
        <v>9</v>
      </c>
      <c r="D1435" s="2" t="s">
        <v>10</v>
      </c>
      <c r="E1435" s="2" t="str">
        <f>HYPERLINK("http://ts.21cn.com/tousu/show/id/1331937","http://ts.21cn.com/tousu/show/id/1331937")</f>
        <v>http://ts.21cn.com/tousu/show/id/1331937</v>
      </c>
      <c r="F1435" s="2" t="s">
        <v>11</v>
      </c>
      <c r="G1435" s="2" t="s">
        <v>41328</v>
      </c>
      <c r="H1435" s="2" t="s">
        <v>41329</v>
      </c>
    </row>
    <row r="1436" spans="1:8" ht="25.05" customHeight="1" x14ac:dyDescent="0.25">
      <c r="A1436" s="2" t="s">
        <v>8</v>
      </c>
      <c r="B1436" s="2" t="str">
        <f>HYPERLINK("http://ts.21cn.com/tousu/show/id/1331938","嗨钱app不能正常还款还催收")</f>
        <v>嗨钱app不能正常还款还催收</v>
      </c>
      <c r="C1436" s="2" t="s">
        <v>34</v>
      </c>
      <c r="D1436" s="2" t="s">
        <v>10</v>
      </c>
      <c r="E1436" s="2" t="str">
        <f>HYPERLINK("http://ts.21cn.com/tousu/show/id/1331938","http://ts.21cn.com/tousu/show/id/1331938")</f>
        <v>http://ts.21cn.com/tousu/show/id/1331938</v>
      </c>
      <c r="F1436" s="2" t="s">
        <v>11</v>
      </c>
      <c r="G1436" s="2" t="s">
        <v>41326</v>
      </c>
      <c r="H1436" s="2" t="s">
        <v>41327</v>
      </c>
    </row>
    <row r="1437" spans="1:8" ht="25.05" customHeight="1" x14ac:dyDescent="0.25">
      <c r="A1437" s="2" t="s">
        <v>8</v>
      </c>
      <c r="B1437" s="2" t="str">
        <f>HYPERLINK("http://ts.21cn.com/tousu/show/id/1331939","交易猫仲裁客服不处理")</f>
        <v>交易猫仲裁客服不处理</v>
      </c>
      <c r="C1437" s="2" t="s">
        <v>9</v>
      </c>
      <c r="D1437" s="2" t="s">
        <v>10</v>
      </c>
      <c r="E1437" s="2" t="str">
        <f>HYPERLINK("http://ts.21cn.com/tousu/show/id/1331939","http://ts.21cn.com/tousu/show/id/1331939")</f>
        <v>http://ts.21cn.com/tousu/show/id/1331939</v>
      </c>
      <c r="F1437" s="2" t="s">
        <v>11</v>
      </c>
      <c r="G1437" s="2" t="s">
        <v>41324</v>
      </c>
      <c r="H1437" s="2" t="s">
        <v>41325</v>
      </c>
    </row>
    <row r="1438" spans="1:8" ht="25.05" customHeight="1" x14ac:dyDescent="0.25">
      <c r="A1438" s="2" t="s">
        <v>8</v>
      </c>
      <c r="B1438" s="2" t="str">
        <f>HYPERLINK("http://ts.21cn.com/tousu/show/id/1331940","当当网未和消费者沟通擅自将物品发往其他城市")</f>
        <v>当当网未和消费者沟通擅自将物品发往其他城市</v>
      </c>
      <c r="C1438" s="2" t="s">
        <v>9</v>
      </c>
      <c r="D1438" s="2" t="s">
        <v>10</v>
      </c>
      <c r="E1438" s="2" t="str">
        <f>HYPERLINK("http://ts.21cn.com/tousu/show/id/1331940","http://ts.21cn.com/tousu/show/id/1331940")</f>
        <v>http://ts.21cn.com/tousu/show/id/1331940</v>
      </c>
      <c r="F1438" s="2" t="s">
        <v>11</v>
      </c>
      <c r="G1438" s="2" t="s">
        <v>41322</v>
      </c>
      <c r="H1438" s="2" t="s">
        <v>41323</v>
      </c>
    </row>
    <row r="1439" spans="1:8" ht="25.05" customHeight="1" x14ac:dyDescent="0.25">
      <c r="A1439" s="2" t="s">
        <v>8</v>
      </c>
      <c r="B1439" s="2" t="str">
        <f>HYPERLINK("http://ts.21cn.com/tousu/show/id/1331941","玖富万卡擅自改写合同，变相收取费用，高利贷")</f>
        <v>玖富万卡擅自改写合同，变相收取费用，高利贷</v>
      </c>
      <c r="C1439" s="2" t="s">
        <v>9</v>
      </c>
      <c r="D1439" s="2" t="s">
        <v>10</v>
      </c>
      <c r="E1439" s="2" t="str">
        <f>HYPERLINK("http://ts.21cn.com/tousu/show/id/1331941","http://ts.21cn.com/tousu/show/id/1331941")</f>
        <v>http://ts.21cn.com/tousu/show/id/1331941</v>
      </c>
      <c r="F1439" s="2" t="s">
        <v>11</v>
      </c>
      <c r="G1439" s="2" t="s">
        <v>41320</v>
      </c>
      <c r="H1439" s="2" t="s">
        <v>41321</v>
      </c>
    </row>
    <row r="1440" spans="1:8" ht="25.05" customHeight="1" x14ac:dyDescent="0.25">
      <c r="A1440" s="2" t="s">
        <v>8</v>
      </c>
      <c r="B1440" s="2" t="str">
        <f>HYPERLINK("http://ts.21cn.com/tousu/show/id/1331942","高利贷")</f>
        <v>高利贷</v>
      </c>
      <c r="C1440" s="2" t="s">
        <v>9</v>
      </c>
      <c r="D1440" s="2" t="s">
        <v>10</v>
      </c>
      <c r="E1440" s="2" t="str">
        <f>HYPERLINK("http://ts.21cn.com/tousu/show/id/1331942","http://ts.21cn.com/tousu/show/id/1331942")</f>
        <v>http://ts.21cn.com/tousu/show/id/1331942</v>
      </c>
      <c r="F1440" s="2" t="s">
        <v>11</v>
      </c>
      <c r="G1440" s="2" t="s">
        <v>41318</v>
      </c>
      <c r="H1440" s="2" t="s">
        <v>41319</v>
      </c>
    </row>
    <row r="1441" spans="1:8" ht="25.05" customHeight="1" x14ac:dyDescent="0.25">
      <c r="A1441" s="2" t="s">
        <v>8</v>
      </c>
      <c r="B1441" s="2" t="str">
        <f>HYPERLINK("http://ts.21cn.com/tousu/show/id/1331943","拉卡拉易分期催收频繁骚扰")</f>
        <v>拉卡拉易分期催收频繁骚扰</v>
      </c>
      <c r="C1441" s="2" t="s">
        <v>9</v>
      </c>
      <c r="D1441" s="2" t="s">
        <v>10</v>
      </c>
      <c r="E1441" s="2" t="str">
        <f>HYPERLINK("http://ts.21cn.com/tousu/show/id/1331943","http://ts.21cn.com/tousu/show/id/1331943")</f>
        <v>http://ts.21cn.com/tousu/show/id/1331943</v>
      </c>
      <c r="F1441" s="2" t="s">
        <v>11</v>
      </c>
      <c r="G1441" s="2" t="s">
        <v>41316</v>
      </c>
      <c r="H1441" s="2" t="s">
        <v>41317</v>
      </c>
    </row>
    <row r="1442" spans="1:8" ht="25.05" customHeight="1" x14ac:dyDescent="0.25">
      <c r="A1442" s="2" t="s">
        <v>8</v>
      </c>
      <c r="B1442" s="2" t="str">
        <f>HYPERLINK("http://ts.21cn.com/tousu/show/id/1331944","神马借利息大大高于年化36％")</f>
        <v>神马借利息大大高于年化36％</v>
      </c>
      <c r="C1442" s="2" t="s">
        <v>34</v>
      </c>
      <c r="D1442" s="2" t="s">
        <v>10</v>
      </c>
      <c r="E1442" s="2" t="str">
        <f>HYPERLINK("http://ts.21cn.com/tousu/show/id/1331944","http://ts.21cn.com/tousu/show/id/1331944")</f>
        <v>http://ts.21cn.com/tousu/show/id/1331944</v>
      </c>
      <c r="F1442" s="2" t="s">
        <v>11</v>
      </c>
      <c r="G1442" s="2" t="s">
        <v>41314</v>
      </c>
      <c r="H1442" s="2" t="s">
        <v>41315</v>
      </c>
    </row>
    <row r="1443" spans="1:8" ht="25.05" customHeight="1" x14ac:dyDescent="0.25">
      <c r="A1443" s="2" t="s">
        <v>8</v>
      </c>
      <c r="B1443" s="2" t="str">
        <f>HYPERLINK("http://ts.21cn.com/tousu/show/id/1331945","网贷平台利息过高，还看不到每天的明细")</f>
        <v>网贷平台利息过高，还看不到每天的明细</v>
      </c>
      <c r="C1443" s="2" t="s">
        <v>9</v>
      </c>
      <c r="D1443" s="2" t="s">
        <v>10</v>
      </c>
      <c r="E1443" s="2" t="str">
        <f>HYPERLINK("http://ts.21cn.com/tousu/show/id/1331945","http://ts.21cn.com/tousu/show/id/1331945")</f>
        <v>http://ts.21cn.com/tousu/show/id/1331945</v>
      </c>
      <c r="F1443" s="2" t="s">
        <v>11</v>
      </c>
      <c r="G1443" s="2" t="s">
        <v>41312</v>
      </c>
      <c r="H1443" s="2" t="s">
        <v>41313</v>
      </c>
    </row>
    <row r="1444" spans="1:8" ht="25.05" customHeight="1" x14ac:dyDescent="0.25">
      <c r="A1444" s="2" t="s">
        <v>8</v>
      </c>
      <c r="B1444" s="2" t="str">
        <f>HYPERLINK("http://ts.21cn.com/tousu/show/id/1331947","高额收取担保费砍头息")</f>
        <v>高额收取担保费砍头息</v>
      </c>
      <c r="C1444" s="2" t="s">
        <v>9</v>
      </c>
      <c r="D1444" s="2" t="s">
        <v>10</v>
      </c>
      <c r="E1444" s="2" t="str">
        <f>HYPERLINK("http://ts.21cn.com/tousu/show/id/1331947","http://ts.21cn.com/tousu/show/id/1331947")</f>
        <v>http://ts.21cn.com/tousu/show/id/1331947</v>
      </c>
      <c r="F1444" s="2" t="s">
        <v>11</v>
      </c>
      <c r="G1444" s="2" t="s">
        <v>41310</v>
      </c>
      <c r="H1444" s="2" t="s">
        <v>41311</v>
      </c>
    </row>
    <row r="1445" spans="1:8" ht="25.05" customHeight="1" x14ac:dyDescent="0.25">
      <c r="A1445" s="2" t="s">
        <v>8</v>
      </c>
      <c r="B1445" s="2" t="str">
        <f>HYPERLINK("http://ts.21cn.com/tousu/show/id/1331949","这游戏吃了我几万块钱")</f>
        <v>这游戏吃了我几万块钱</v>
      </c>
      <c r="C1445" s="2" t="s">
        <v>34</v>
      </c>
      <c r="D1445" s="2" t="s">
        <v>10</v>
      </c>
      <c r="E1445" s="2" t="str">
        <f>HYPERLINK("http://ts.21cn.com/tousu/show/id/1331949","http://ts.21cn.com/tousu/show/id/1331949")</f>
        <v>http://ts.21cn.com/tousu/show/id/1331949</v>
      </c>
      <c r="F1445" s="2" t="s">
        <v>11</v>
      </c>
      <c r="G1445" s="2" t="s">
        <v>41308</v>
      </c>
      <c r="H1445" s="2" t="s">
        <v>41309</v>
      </c>
    </row>
    <row r="1446" spans="1:8" ht="25.05" customHeight="1" x14ac:dyDescent="0.25">
      <c r="A1446" s="2" t="s">
        <v>8</v>
      </c>
      <c r="B1446" s="2" t="str">
        <f>HYPERLINK("http://ts.21cn.com/tousu/show/id/1331950","不能提现和消费")</f>
        <v>不能提现和消费</v>
      </c>
      <c r="C1446" s="2" t="s">
        <v>34</v>
      </c>
      <c r="D1446" s="2" t="s">
        <v>10</v>
      </c>
      <c r="E1446" s="2" t="str">
        <f>HYPERLINK("http://ts.21cn.com/tousu/show/id/1331950","http://ts.21cn.com/tousu/show/id/1331950")</f>
        <v>http://ts.21cn.com/tousu/show/id/1331950</v>
      </c>
      <c r="F1446" s="2" t="s">
        <v>11</v>
      </c>
      <c r="G1446" s="2" t="s">
        <v>41306</v>
      </c>
      <c r="H1446" s="2" t="s">
        <v>41307</v>
      </c>
    </row>
    <row r="1447" spans="1:8" ht="25.05" customHeight="1" x14ac:dyDescent="0.25">
      <c r="A1447" s="2" t="s">
        <v>8</v>
      </c>
      <c r="B1447" s="2" t="str">
        <f>HYPERLINK("http://ts.21cn.com/tousu/show/id/1331951","你我贷")</f>
        <v>你我贷</v>
      </c>
      <c r="C1447" s="2" t="s">
        <v>34</v>
      </c>
      <c r="D1447" s="2" t="s">
        <v>10</v>
      </c>
      <c r="E1447" s="2" t="str">
        <f>HYPERLINK("http://ts.21cn.com/tousu/show/id/1331951","http://ts.21cn.com/tousu/show/id/1331951")</f>
        <v>http://ts.21cn.com/tousu/show/id/1331951</v>
      </c>
      <c r="F1447" s="2" t="s">
        <v>11</v>
      </c>
      <c r="G1447" s="2" t="s">
        <v>41304</v>
      </c>
      <c r="H1447" s="2" t="s">
        <v>41305</v>
      </c>
    </row>
    <row r="1448" spans="1:8" ht="25.05" customHeight="1" x14ac:dyDescent="0.25">
      <c r="A1448" s="2" t="s">
        <v>8</v>
      </c>
      <c r="B1448" s="2" t="str">
        <f>HYPERLINK("http://ts.21cn.com/tousu/show/id/1331953","畅捷支付给牛人有品提供通道")</f>
        <v>畅捷支付给牛人有品提供通道</v>
      </c>
      <c r="C1448" s="2" t="s">
        <v>9</v>
      </c>
      <c r="D1448" s="2" t="s">
        <v>10</v>
      </c>
      <c r="E1448" s="2" t="str">
        <f>HYPERLINK("http://ts.21cn.com/tousu/show/id/1331953","http://ts.21cn.com/tousu/show/id/1331953")</f>
        <v>http://ts.21cn.com/tousu/show/id/1331953</v>
      </c>
      <c r="F1448" s="2" t="s">
        <v>11</v>
      </c>
      <c r="G1448" s="2" t="s">
        <v>41302</v>
      </c>
      <c r="H1448" s="2" t="s">
        <v>41303</v>
      </c>
    </row>
    <row r="1449" spans="1:8" ht="25.05" customHeight="1" x14ac:dyDescent="0.25">
      <c r="A1449" s="2" t="s">
        <v>8</v>
      </c>
      <c r="B1449" s="2" t="str">
        <f>HYPERLINK("http://ts.21cn.com/tousu/show/id/1331954","安逸花帐户锁定，无法借款和消费")</f>
        <v>安逸花帐户锁定，无法借款和消费</v>
      </c>
      <c r="C1449" s="2" t="s">
        <v>34</v>
      </c>
      <c r="D1449" s="2" t="s">
        <v>10</v>
      </c>
      <c r="E1449" s="2" t="str">
        <f>HYPERLINK("http://ts.21cn.com/tousu/show/id/1331954","http://ts.21cn.com/tousu/show/id/1331954")</f>
        <v>http://ts.21cn.com/tousu/show/id/1331954</v>
      </c>
      <c r="F1449" s="2" t="s">
        <v>11</v>
      </c>
      <c r="G1449" s="2" t="s">
        <v>41300</v>
      </c>
      <c r="H1449" s="2" t="s">
        <v>41301</v>
      </c>
    </row>
    <row r="1450" spans="1:8" ht="25.05" customHeight="1" x14ac:dyDescent="0.25">
      <c r="A1450" s="2" t="s">
        <v>8</v>
      </c>
      <c r="B1450" s="2" t="str">
        <f>HYPERLINK("http://ts.21cn.com/tousu/show/id/1331955","畅捷支付为高利贷提供支付通道")</f>
        <v>畅捷支付为高利贷提供支付通道</v>
      </c>
      <c r="C1450" s="2" t="s">
        <v>9</v>
      </c>
      <c r="D1450" s="2" t="s">
        <v>10</v>
      </c>
      <c r="E1450" s="2" t="str">
        <f>HYPERLINK("http://ts.21cn.com/tousu/show/id/1331955","http://ts.21cn.com/tousu/show/id/1331955")</f>
        <v>http://ts.21cn.com/tousu/show/id/1331955</v>
      </c>
      <c r="F1450" s="2" t="s">
        <v>11</v>
      </c>
      <c r="G1450" s="2" t="s">
        <v>41298</v>
      </c>
      <c r="H1450" s="2" t="s">
        <v>41299</v>
      </c>
    </row>
    <row r="1451" spans="1:8" ht="25.05" customHeight="1" x14ac:dyDescent="0.25">
      <c r="A1451" s="2" t="s">
        <v>8</v>
      </c>
      <c r="B1451" s="2" t="str">
        <f>HYPERLINK("http://ts.21cn.com/tousu/show/id/1331956","百事普惠恶意扣款")</f>
        <v>百事普惠恶意扣款</v>
      </c>
      <c r="C1451" s="2" t="s">
        <v>9</v>
      </c>
      <c r="D1451" s="2" t="s">
        <v>10</v>
      </c>
      <c r="E1451" s="2" t="str">
        <f>HYPERLINK("http://ts.21cn.com/tousu/show/id/1331956","http://ts.21cn.com/tousu/show/id/1331956")</f>
        <v>http://ts.21cn.com/tousu/show/id/1331956</v>
      </c>
      <c r="F1451" s="2" t="s">
        <v>11</v>
      </c>
      <c r="G1451" s="2" t="s">
        <v>41296</v>
      </c>
      <c r="H1451" s="2" t="s">
        <v>41297</v>
      </c>
    </row>
    <row r="1452" spans="1:8" ht="25.05" customHeight="1" x14ac:dyDescent="0.25">
      <c r="A1452" s="2" t="s">
        <v>8</v>
      </c>
      <c r="B1452" s="2" t="str">
        <f>HYPERLINK("http://ts.21cn.com/tousu/show/id/1331957","优智借还款通道消失")</f>
        <v>优智借还款通道消失</v>
      </c>
      <c r="C1452" s="2" t="s">
        <v>34</v>
      </c>
      <c r="D1452" s="2" t="s">
        <v>10</v>
      </c>
      <c r="E1452" s="2" t="str">
        <f>HYPERLINK("http://ts.21cn.com/tousu/show/id/1331957","http://ts.21cn.com/tousu/show/id/1331957")</f>
        <v>http://ts.21cn.com/tousu/show/id/1331957</v>
      </c>
      <c r="F1452" s="2" t="s">
        <v>11</v>
      </c>
      <c r="G1452" s="2" t="s">
        <v>41294</v>
      </c>
      <c r="H1452" s="2" t="s">
        <v>41295</v>
      </c>
    </row>
    <row r="1453" spans="1:8" ht="25.05" customHeight="1" x14ac:dyDescent="0.25">
      <c r="A1453" s="2" t="s">
        <v>8</v>
      </c>
      <c r="B1453" s="2" t="str">
        <f>HYPERLINK("http://ts.21cn.com/tousu/show/id/1331958","马上金融公司安逸花无故锁定账号")</f>
        <v>马上金融公司安逸花无故锁定账号</v>
      </c>
      <c r="C1453" s="2" t="s">
        <v>9</v>
      </c>
      <c r="D1453" s="2" t="s">
        <v>10</v>
      </c>
      <c r="E1453" s="2" t="str">
        <f>HYPERLINK("http://ts.21cn.com/tousu/show/id/1331958","http://ts.21cn.com/tousu/show/id/1331958")</f>
        <v>http://ts.21cn.com/tousu/show/id/1331958</v>
      </c>
      <c r="F1453" s="2" t="s">
        <v>11</v>
      </c>
      <c r="G1453" s="2" t="s">
        <v>41292</v>
      </c>
      <c r="H1453" s="2" t="s">
        <v>41293</v>
      </c>
    </row>
    <row r="1454" spans="1:8" ht="25.05" customHeight="1" x14ac:dyDescent="0.25">
      <c r="A1454" s="2" t="s">
        <v>8</v>
      </c>
      <c r="B1454" s="2" t="str">
        <f>HYPERLINK("http://ts.21cn.com/tousu/show/id/1331959","贷上钱催收骚扰恐吓我亲朋同事给我生活上带来困扰")</f>
        <v>贷上钱催收骚扰恐吓我亲朋同事给我生活上带来困扰</v>
      </c>
      <c r="C1454" s="2" t="s">
        <v>9</v>
      </c>
      <c r="D1454" s="2" t="s">
        <v>10</v>
      </c>
      <c r="E1454" s="2" t="str">
        <f>HYPERLINK("http://ts.21cn.com/tousu/show/id/1331959","http://ts.21cn.com/tousu/show/id/1331959")</f>
        <v>http://ts.21cn.com/tousu/show/id/1331959</v>
      </c>
      <c r="F1454" s="2" t="s">
        <v>11</v>
      </c>
      <c r="G1454" s="2" t="s">
        <v>41290</v>
      </c>
      <c r="H1454" s="2" t="s">
        <v>41291</v>
      </c>
    </row>
    <row r="1455" spans="1:8" ht="25.05" customHeight="1" x14ac:dyDescent="0.25">
      <c r="A1455" s="2" t="s">
        <v>8</v>
      </c>
      <c r="B1455" s="2" t="str">
        <f>HYPERLINK("http://ts.21cn.com/tousu/show/id/1331960","智行火车票抢票已取消，但钱未退回，")</f>
        <v>智行火车票抢票已取消，但钱未退回，</v>
      </c>
      <c r="C1455" s="2" t="s">
        <v>34</v>
      </c>
      <c r="D1455" s="2" t="s">
        <v>10</v>
      </c>
      <c r="E1455" s="2" t="str">
        <f>HYPERLINK("http://ts.21cn.com/tousu/show/id/1331960","http://ts.21cn.com/tousu/show/id/1331960")</f>
        <v>http://ts.21cn.com/tousu/show/id/1331960</v>
      </c>
      <c r="F1455" s="2" t="s">
        <v>11</v>
      </c>
      <c r="G1455" s="2" t="s">
        <v>41288</v>
      </c>
      <c r="H1455" s="2" t="s">
        <v>41289</v>
      </c>
    </row>
    <row r="1456" spans="1:8" ht="25.05" customHeight="1" x14ac:dyDescent="0.25">
      <c r="A1456" s="2" t="s">
        <v>8</v>
      </c>
      <c r="B1456" s="2" t="str">
        <f>HYPERLINK("http://ts.21cn.com/tousu/show/id/1331962","滴滴司机辱骂乘客，且乱收费")</f>
        <v>滴滴司机辱骂乘客，且乱收费</v>
      </c>
      <c r="C1456" s="2" t="s">
        <v>9</v>
      </c>
      <c r="D1456" s="2" t="s">
        <v>10</v>
      </c>
      <c r="E1456" s="2" t="str">
        <f>HYPERLINK("http://ts.21cn.com/tousu/show/id/1331962","http://ts.21cn.com/tousu/show/id/1331962")</f>
        <v>http://ts.21cn.com/tousu/show/id/1331962</v>
      </c>
      <c r="F1456" s="2" t="s">
        <v>11</v>
      </c>
      <c r="G1456" s="2" t="s">
        <v>41286</v>
      </c>
      <c r="H1456" s="2" t="s">
        <v>41287</v>
      </c>
    </row>
    <row r="1457" spans="1:8" ht="25.05" customHeight="1" x14ac:dyDescent="0.25">
      <c r="A1457" s="2" t="s">
        <v>8</v>
      </c>
      <c r="B1457" s="2" t="str">
        <f>HYPERLINK("http://ts.21cn.com/tousu/show/id/1331963","暴力催收")</f>
        <v>暴力催收</v>
      </c>
      <c r="C1457" s="2" t="s">
        <v>9</v>
      </c>
      <c r="D1457" s="2" t="s">
        <v>10</v>
      </c>
      <c r="E1457" s="2" t="str">
        <f>HYPERLINK("http://ts.21cn.com/tousu/show/id/1331963","http://ts.21cn.com/tousu/show/id/1331963")</f>
        <v>http://ts.21cn.com/tousu/show/id/1331963</v>
      </c>
      <c r="F1457" s="2" t="s">
        <v>11</v>
      </c>
      <c r="G1457" s="2" t="s">
        <v>41284</v>
      </c>
      <c r="H1457" s="2" t="s">
        <v>41285</v>
      </c>
    </row>
    <row r="1458" spans="1:8" ht="25.05" customHeight="1" x14ac:dyDescent="0.25">
      <c r="A1458" s="2" t="s">
        <v>8</v>
      </c>
      <c r="B1458" s="2" t="str">
        <f>HYPERLINK("http://ts.21cn.com/tousu/show/id/1331964","钱站催收恶意恐吓通讯录联系人")</f>
        <v>钱站催收恶意恐吓通讯录联系人</v>
      </c>
      <c r="C1458" s="2" t="s">
        <v>9</v>
      </c>
      <c r="D1458" s="2" t="s">
        <v>10</v>
      </c>
      <c r="E1458" s="2" t="str">
        <f>HYPERLINK("http://ts.21cn.com/tousu/show/id/1331964","http://ts.21cn.com/tousu/show/id/1331964")</f>
        <v>http://ts.21cn.com/tousu/show/id/1331964</v>
      </c>
      <c r="F1458" s="2" t="s">
        <v>11</v>
      </c>
      <c r="G1458" s="2" t="s">
        <v>41282</v>
      </c>
      <c r="H1458" s="2" t="s">
        <v>41283</v>
      </c>
    </row>
    <row r="1459" spans="1:8" ht="25.05" customHeight="1" x14ac:dyDescent="0.25">
      <c r="A1459" s="2" t="s">
        <v>8</v>
      </c>
      <c r="B1459" s="2" t="str">
        <f>HYPERLINK("http://ts.21cn.com/tousu/show/id/1331966","好易借社保贷高利贷")</f>
        <v>好易借社保贷高利贷</v>
      </c>
      <c r="C1459" s="2" t="s">
        <v>9</v>
      </c>
      <c r="D1459" s="2" t="s">
        <v>10</v>
      </c>
      <c r="E1459" s="2" t="str">
        <f>HYPERLINK("http://ts.21cn.com/tousu/show/id/1331966","http://ts.21cn.com/tousu/show/id/1331966")</f>
        <v>http://ts.21cn.com/tousu/show/id/1331966</v>
      </c>
      <c r="F1459" s="2" t="s">
        <v>11</v>
      </c>
      <c r="G1459" s="2" t="s">
        <v>41280</v>
      </c>
      <c r="H1459" s="2" t="s">
        <v>41281</v>
      </c>
    </row>
    <row r="1460" spans="1:8" ht="25.05" customHeight="1" x14ac:dyDescent="0.25">
      <c r="A1460" s="2" t="s">
        <v>8</v>
      </c>
      <c r="B1460" s="2" t="str">
        <f>HYPERLINK("http://ts.21cn.com/tousu/show/id/1331967","企鹅直播涉嫌为外围赌球网站提供平台")</f>
        <v>企鹅直播涉嫌为外围赌球网站提供平台</v>
      </c>
      <c r="C1460" s="2" t="s">
        <v>9</v>
      </c>
      <c r="D1460" s="2" t="s">
        <v>10</v>
      </c>
      <c r="E1460" s="2" t="str">
        <f>HYPERLINK("http://ts.21cn.com/tousu/show/id/1331967","http://ts.21cn.com/tousu/show/id/1331967")</f>
        <v>http://ts.21cn.com/tousu/show/id/1331967</v>
      </c>
      <c r="F1460" s="2" t="s">
        <v>11</v>
      </c>
      <c r="G1460" s="2" t="s">
        <v>41278</v>
      </c>
      <c r="H1460" s="2" t="s">
        <v>41279</v>
      </c>
    </row>
    <row r="1461" spans="1:8" ht="25.05" customHeight="1" x14ac:dyDescent="0.25">
      <c r="A1461" s="2" t="s">
        <v>8</v>
      </c>
      <c r="B1461" s="2" t="str">
        <f>HYPERLINK("http://ts.21cn.com/tousu/show/id/1331968","智行火车票无提示情况下自动添加40个加速包")</f>
        <v>智行火车票无提示情况下自动添加40个加速包</v>
      </c>
      <c r="C1461" s="2" t="s">
        <v>34</v>
      </c>
      <c r="D1461" s="2" t="s">
        <v>10</v>
      </c>
      <c r="E1461" s="2" t="str">
        <f>HYPERLINK("http://ts.21cn.com/tousu/show/id/1331968","http://ts.21cn.com/tousu/show/id/1331968")</f>
        <v>http://ts.21cn.com/tousu/show/id/1331968</v>
      </c>
      <c r="F1461" s="2" t="s">
        <v>11</v>
      </c>
      <c r="G1461" s="2" t="s">
        <v>41276</v>
      </c>
      <c r="H1461" s="2" t="s">
        <v>41277</v>
      </c>
    </row>
    <row r="1462" spans="1:8" ht="25.05" customHeight="1" x14ac:dyDescent="0.25">
      <c r="A1462" s="2" t="s">
        <v>8</v>
      </c>
      <c r="B1462" s="2" t="str">
        <f>HYPERLINK("http://ts.21cn.com/tousu/show/id/1331969","恶意强行盗刷我银行卡里财产")</f>
        <v>恶意强行盗刷我银行卡里财产</v>
      </c>
      <c r="C1462" s="2" t="s">
        <v>9</v>
      </c>
      <c r="D1462" s="2" t="s">
        <v>10</v>
      </c>
      <c r="E1462" s="2" t="str">
        <f>HYPERLINK("http://ts.21cn.com/tousu/show/id/1331969","http://ts.21cn.com/tousu/show/id/1331969")</f>
        <v>http://ts.21cn.com/tousu/show/id/1331969</v>
      </c>
      <c r="F1462" s="2" t="s">
        <v>11</v>
      </c>
      <c r="G1462" s="2" t="s">
        <v>41274</v>
      </c>
      <c r="H1462" s="2" t="s">
        <v>41275</v>
      </c>
    </row>
    <row r="1463" spans="1:8" ht="25.05" customHeight="1" x14ac:dyDescent="0.25">
      <c r="A1463" s="2" t="s">
        <v>8</v>
      </c>
      <c r="B1463" s="2" t="str">
        <f>HYPERLINK("http://ts.21cn.com/tousu/show/id/1331970","玖富万卡套路贷")</f>
        <v>玖富万卡套路贷</v>
      </c>
      <c r="C1463" s="2" t="s">
        <v>9</v>
      </c>
      <c r="D1463" s="2" t="s">
        <v>10</v>
      </c>
      <c r="E1463" s="2" t="str">
        <f>HYPERLINK("http://ts.21cn.com/tousu/show/id/1331970","http://ts.21cn.com/tousu/show/id/1331970")</f>
        <v>http://ts.21cn.com/tousu/show/id/1331970</v>
      </c>
      <c r="F1463" s="2" t="s">
        <v>11</v>
      </c>
      <c r="G1463" s="2" t="s">
        <v>41272</v>
      </c>
      <c r="H1463" s="2" t="s">
        <v>41273</v>
      </c>
    </row>
    <row r="1464" spans="1:8" ht="25.05" customHeight="1" x14ac:dyDescent="0.25">
      <c r="A1464" s="2" t="s">
        <v>8</v>
      </c>
      <c r="B1464" s="2" t="str">
        <f>HYPERLINK("http://ts.21cn.com/tousu/show/id/1331971","质量问题、售后服务")</f>
        <v>质量问题、售后服务</v>
      </c>
      <c r="C1464" s="2" t="s">
        <v>34</v>
      </c>
      <c r="D1464" s="2" t="s">
        <v>10</v>
      </c>
      <c r="E1464" s="2" t="str">
        <f>HYPERLINK("http://ts.21cn.com/tousu/show/id/1331971","http://ts.21cn.com/tousu/show/id/1331971")</f>
        <v>http://ts.21cn.com/tousu/show/id/1331971</v>
      </c>
      <c r="F1464" s="2" t="s">
        <v>11</v>
      </c>
      <c r="G1464" s="2" t="s">
        <v>41270</v>
      </c>
      <c r="H1464" s="2" t="s">
        <v>41271</v>
      </c>
    </row>
    <row r="1465" spans="1:8" ht="25.05" customHeight="1" x14ac:dyDescent="0.25">
      <c r="A1465" s="2" t="s">
        <v>8</v>
      </c>
      <c r="B1465" s="2" t="str">
        <f>HYPERLINK("http://ts.21cn.com/tousu/show/id/1331972","滴滴出行蛮横不讲道理")</f>
        <v>滴滴出行蛮横不讲道理</v>
      </c>
      <c r="C1465" s="2" t="s">
        <v>9</v>
      </c>
      <c r="D1465" s="2" t="s">
        <v>10</v>
      </c>
      <c r="E1465" s="2" t="str">
        <f>HYPERLINK("http://ts.21cn.com/tousu/show/id/1331972","http://ts.21cn.com/tousu/show/id/1331972")</f>
        <v>http://ts.21cn.com/tousu/show/id/1331972</v>
      </c>
      <c r="F1465" s="2" t="s">
        <v>11</v>
      </c>
      <c r="G1465" s="2" t="s">
        <v>41268</v>
      </c>
      <c r="H1465" s="2" t="s">
        <v>41269</v>
      </c>
    </row>
    <row r="1466" spans="1:8" ht="25.05" customHeight="1" x14ac:dyDescent="0.25">
      <c r="A1466" s="2" t="s">
        <v>8</v>
      </c>
      <c r="B1466" s="2" t="str">
        <f>HYPERLINK("http://ts.21cn.com/tousu/show/id/1331974","汇潮支付帮助高利贷砍头息放款")</f>
        <v>汇潮支付帮助高利贷砍头息放款</v>
      </c>
      <c r="C1466" s="2" t="s">
        <v>9</v>
      </c>
      <c r="D1466" s="2" t="s">
        <v>10</v>
      </c>
      <c r="E1466" s="2" t="str">
        <f>HYPERLINK("http://ts.21cn.com/tousu/show/id/1331974","http://ts.21cn.com/tousu/show/id/1331974")</f>
        <v>http://ts.21cn.com/tousu/show/id/1331974</v>
      </c>
      <c r="F1466" s="2" t="s">
        <v>11</v>
      </c>
      <c r="G1466" s="2" t="s">
        <v>41266</v>
      </c>
      <c r="H1466" s="2" t="s">
        <v>41267</v>
      </c>
    </row>
    <row r="1467" spans="1:8" ht="25.05" customHeight="1" x14ac:dyDescent="0.25">
      <c r="A1467" s="2" t="s">
        <v>8</v>
      </c>
      <c r="B1467" s="2" t="str">
        <f>HYPERLINK("http://ts.21cn.com/tousu/show/id/1331973","信用管家宜贷分期20天高利贷")</f>
        <v>信用管家宜贷分期20天高利贷</v>
      </c>
      <c r="C1467" s="2" t="s">
        <v>9</v>
      </c>
      <c r="D1467" s="2" t="s">
        <v>10</v>
      </c>
      <c r="E1467" s="2" t="str">
        <f>HYPERLINK("http://ts.21cn.com/tousu/show/id/1331973","http://ts.21cn.com/tousu/show/id/1331973")</f>
        <v>http://ts.21cn.com/tousu/show/id/1331973</v>
      </c>
      <c r="F1467" s="2" t="s">
        <v>11</v>
      </c>
      <c r="G1467" s="2" t="s">
        <v>41264</v>
      </c>
      <c r="H1467" s="2" t="s">
        <v>41265</v>
      </c>
    </row>
    <row r="1468" spans="1:8" ht="25.05" customHeight="1" x14ac:dyDescent="0.25">
      <c r="A1468" s="2" t="s">
        <v>8</v>
      </c>
      <c r="B1468" s="2" t="str">
        <f>HYPERLINK("http://ts.21cn.com/tousu/show/id/1331975","黑心网贷")</f>
        <v>黑心网贷</v>
      </c>
      <c r="C1468" s="2" t="s">
        <v>9</v>
      </c>
      <c r="D1468" s="2" t="s">
        <v>10</v>
      </c>
      <c r="E1468" s="2" t="str">
        <f>HYPERLINK("http://ts.21cn.com/tousu/show/id/1331975","http://ts.21cn.com/tousu/show/id/1331975")</f>
        <v>http://ts.21cn.com/tousu/show/id/1331975</v>
      </c>
      <c r="F1468" s="2" t="s">
        <v>11</v>
      </c>
      <c r="G1468" s="2" t="s">
        <v>41262</v>
      </c>
      <c r="H1468" s="2" t="s">
        <v>41263</v>
      </c>
    </row>
    <row r="1469" spans="1:8" ht="25.05" customHeight="1" x14ac:dyDescent="0.25">
      <c r="A1469" s="2" t="s">
        <v>8</v>
      </c>
      <c r="B1469" s="2" t="str">
        <f>HYPERLINK("http://ts.21cn.com/tousu/show/id/673932","章鱼钱包高额砍头息，违规放贷")</f>
        <v>章鱼钱包高额砍头息，违规放贷</v>
      </c>
      <c r="C1469" s="2" t="s">
        <v>9</v>
      </c>
      <c r="D1469" s="2" t="s">
        <v>10</v>
      </c>
      <c r="E1469" s="2" t="str">
        <f>HYPERLINK("http://ts.21cn.com/tousu/show/id/673932","http://ts.21cn.com/tousu/show/id/673932")</f>
        <v>http://ts.21cn.com/tousu/show/id/673932</v>
      </c>
      <c r="F1469" s="2" t="s">
        <v>11</v>
      </c>
      <c r="G1469" s="2" t="s">
        <v>41260</v>
      </c>
      <c r="H1469" s="2" t="s">
        <v>41261</v>
      </c>
    </row>
    <row r="1470" spans="1:8" ht="25.05" customHeight="1" x14ac:dyDescent="0.25">
      <c r="A1470" s="2" t="s">
        <v>8</v>
      </c>
      <c r="B1470" s="2" t="str">
        <f>HYPERLINK("http://ts.21cn.com/tousu/show/id/1331978","小赢卡贷申请延期")</f>
        <v>小赢卡贷申请延期</v>
      </c>
      <c r="C1470" s="2" t="s">
        <v>9</v>
      </c>
      <c r="D1470" s="2" t="s">
        <v>10</v>
      </c>
      <c r="E1470" s="2" t="str">
        <f>HYPERLINK("http://ts.21cn.com/tousu/show/id/1331978","http://ts.21cn.com/tousu/show/id/1331978")</f>
        <v>http://ts.21cn.com/tousu/show/id/1331978</v>
      </c>
      <c r="F1470" s="2" t="s">
        <v>11</v>
      </c>
      <c r="G1470" s="2" t="s">
        <v>41258</v>
      </c>
      <c r="H1470" s="2" t="s">
        <v>41259</v>
      </c>
    </row>
    <row r="1471" spans="1:8" ht="25.05" customHeight="1" x14ac:dyDescent="0.25">
      <c r="A1471" s="2" t="s">
        <v>8</v>
      </c>
      <c r="B1471" s="2" t="str">
        <f>HYPERLINK("http://ts.21cn.com/tousu/show/id/1331979","企业支付宝无故被限制收款，打客服电话没有人能够说明白什么原因。")</f>
        <v>企业支付宝无故被限制收款，打客服电话没有人能够说明白什么原因。</v>
      </c>
      <c r="C1471" s="2" t="s">
        <v>9</v>
      </c>
      <c r="D1471" s="2" t="s">
        <v>10</v>
      </c>
      <c r="E1471" s="2" t="str">
        <f>HYPERLINK("http://ts.21cn.com/tousu/show/id/1331979","http://ts.21cn.com/tousu/show/id/1331979")</f>
        <v>http://ts.21cn.com/tousu/show/id/1331979</v>
      </c>
      <c r="F1471" s="2" t="s">
        <v>11</v>
      </c>
      <c r="G1471" s="2" t="s">
        <v>41256</v>
      </c>
      <c r="H1471" s="2" t="s">
        <v>41257</v>
      </c>
    </row>
    <row r="1472" spans="1:8" ht="25.05" customHeight="1" x14ac:dyDescent="0.25">
      <c r="A1472" s="2" t="s">
        <v>8</v>
      </c>
      <c r="B1472" s="2" t="str">
        <f>HYPERLINK("http://ts.21cn.com/tousu/show/id/1331980","身份证被盗用担保贷款")</f>
        <v>身份证被盗用担保贷款</v>
      </c>
      <c r="C1472" s="2" t="s">
        <v>9</v>
      </c>
      <c r="D1472" s="2" t="s">
        <v>10</v>
      </c>
      <c r="E1472" s="2" t="str">
        <f>HYPERLINK("http://ts.21cn.com/tousu/show/id/1331980","http://ts.21cn.com/tousu/show/id/1331980")</f>
        <v>http://ts.21cn.com/tousu/show/id/1331980</v>
      </c>
      <c r="F1472" s="2" t="s">
        <v>11</v>
      </c>
      <c r="G1472" s="2" t="s">
        <v>41254</v>
      </c>
      <c r="H1472" s="2" t="s">
        <v>41255</v>
      </c>
    </row>
    <row r="1473" spans="1:8" ht="25.05" customHeight="1" x14ac:dyDescent="0.25">
      <c r="A1473" s="2" t="s">
        <v>8</v>
      </c>
      <c r="B1473" s="2" t="str">
        <f>HYPERLINK("http://ts.21cn.com/tousu/show/id/1331981","牛人有品砍头息高利贷")</f>
        <v>牛人有品砍头息高利贷</v>
      </c>
      <c r="C1473" s="2" t="s">
        <v>9</v>
      </c>
      <c r="D1473" s="2" t="s">
        <v>10</v>
      </c>
      <c r="E1473" s="2" t="str">
        <f>HYPERLINK("http://ts.21cn.com/tousu/show/id/1331981","http://ts.21cn.com/tousu/show/id/1331981")</f>
        <v>http://ts.21cn.com/tousu/show/id/1331981</v>
      </c>
      <c r="F1473" s="2" t="s">
        <v>11</v>
      </c>
      <c r="G1473" s="2" t="s">
        <v>41252</v>
      </c>
      <c r="H1473" s="2" t="s">
        <v>41253</v>
      </c>
    </row>
    <row r="1474" spans="1:8" ht="25.05" customHeight="1" x14ac:dyDescent="0.25">
      <c r="A1474" s="2" t="s">
        <v>8</v>
      </c>
      <c r="B1474" s="2" t="str">
        <f>HYPERLINK("http://ts.21cn.com/tousu/show/id/1331982","多宝分期超高利息高利贷")</f>
        <v>多宝分期超高利息高利贷</v>
      </c>
      <c r="C1474" s="2" t="s">
        <v>34</v>
      </c>
      <c r="D1474" s="2" t="s">
        <v>10</v>
      </c>
      <c r="E1474" s="2" t="str">
        <f>HYPERLINK("http://ts.21cn.com/tousu/show/id/1331982","http://ts.21cn.com/tousu/show/id/1331982")</f>
        <v>http://ts.21cn.com/tousu/show/id/1331982</v>
      </c>
      <c r="F1474" s="2" t="s">
        <v>11</v>
      </c>
      <c r="G1474" s="2" t="s">
        <v>41250</v>
      </c>
      <c r="H1474" s="2" t="s">
        <v>41251</v>
      </c>
    </row>
    <row r="1475" spans="1:8" ht="25.05" customHeight="1" x14ac:dyDescent="0.25">
      <c r="A1475" s="2" t="s">
        <v>8</v>
      </c>
      <c r="B1475" s="2" t="str">
        <f>HYPERLINK("http://ts.21cn.com/tousu/show/id/1331984","钱站高利贷")</f>
        <v>钱站高利贷</v>
      </c>
      <c r="C1475" s="2" t="s">
        <v>9</v>
      </c>
      <c r="D1475" s="2" t="s">
        <v>10</v>
      </c>
      <c r="E1475" s="2" t="str">
        <f>HYPERLINK("http://ts.21cn.com/tousu/show/id/1331984","http://ts.21cn.com/tousu/show/id/1331984")</f>
        <v>http://ts.21cn.com/tousu/show/id/1331984</v>
      </c>
      <c r="F1475" s="2" t="s">
        <v>11</v>
      </c>
      <c r="G1475" s="2" t="s">
        <v>41248</v>
      </c>
      <c r="H1475" s="2" t="s">
        <v>41249</v>
      </c>
    </row>
    <row r="1476" spans="1:8" ht="25.05" customHeight="1" x14ac:dyDescent="0.25">
      <c r="A1476" s="2" t="s">
        <v>8</v>
      </c>
      <c r="B1476" s="2" t="str">
        <f>HYPERLINK("http://ts.21cn.com/tousu/show/id/1331983","投诉闪银奇异利息高，暴力催收")</f>
        <v>投诉闪银奇异利息高，暴力催收</v>
      </c>
      <c r="C1476" s="2" t="s">
        <v>9</v>
      </c>
      <c r="D1476" s="2" t="s">
        <v>10</v>
      </c>
      <c r="E1476" s="2" t="str">
        <f>HYPERLINK("http://ts.21cn.com/tousu/show/id/1331983","http://ts.21cn.com/tousu/show/id/1331983")</f>
        <v>http://ts.21cn.com/tousu/show/id/1331983</v>
      </c>
      <c r="F1476" s="2" t="s">
        <v>11</v>
      </c>
      <c r="G1476" s="2" t="s">
        <v>41246</v>
      </c>
      <c r="H1476" s="2" t="s">
        <v>41247</v>
      </c>
    </row>
    <row r="1477" spans="1:8" ht="25.05" customHeight="1" x14ac:dyDescent="0.25">
      <c r="A1477" s="2" t="s">
        <v>8</v>
      </c>
      <c r="B1477" s="2" t="str">
        <f>HYPERLINK("http://ts.21cn.com/tousu/show/id/1331985","贷上钱以买游戏豆为由收取高额贷款通过费")</f>
        <v>贷上钱以买游戏豆为由收取高额贷款通过费</v>
      </c>
      <c r="C1477" s="2" t="s">
        <v>9</v>
      </c>
      <c r="D1477" s="2" t="s">
        <v>10</v>
      </c>
      <c r="E1477" s="2" t="str">
        <f>HYPERLINK("http://ts.21cn.com/tousu/show/id/1331985","http://ts.21cn.com/tousu/show/id/1331985")</f>
        <v>http://ts.21cn.com/tousu/show/id/1331985</v>
      </c>
      <c r="F1477" s="2" t="s">
        <v>11</v>
      </c>
      <c r="G1477" s="2" t="s">
        <v>41244</v>
      </c>
      <c r="H1477" s="2" t="s">
        <v>41245</v>
      </c>
    </row>
    <row r="1478" spans="1:8" ht="25.05" customHeight="1" x14ac:dyDescent="0.25">
      <c r="A1478" s="2" t="s">
        <v>8</v>
      </c>
      <c r="B1478" s="2" t="str">
        <f>HYPERLINK("http://ts.21cn.com/tousu/show/id/1331986","收货一天的账号马上就给卖家找回了")</f>
        <v>收货一天的账号马上就给卖家找回了</v>
      </c>
      <c r="C1478" s="2" t="s">
        <v>9</v>
      </c>
      <c r="D1478" s="2" t="s">
        <v>10</v>
      </c>
      <c r="E1478" s="2" t="str">
        <f>HYPERLINK("http://ts.21cn.com/tousu/show/id/1331986","http://ts.21cn.com/tousu/show/id/1331986")</f>
        <v>http://ts.21cn.com/tousu/show/id/1331986</v>
      </c>
      <c r="F1478" s="2" t="s">
        <v>11</v>
      </c>
      <c r="G1478" s="2" t="s">
        <v>41242</v>
      </c>
      <c r="H1478" s="2" t="s">
        <v>41243</v>
      </c>
    </row>
    <row r="1479" spans="1:8" ht="25.05" customHeight="1" x14ac:dyDescent="0.25">
      <c r="A1479" s="2" t="s">
        <v>8</v>
      </c>
      <c r="B1479" s="2" t="str">
        <f>HYPERLINK("http://ts.21cn.com/tousu/show/id/1331987","立借青春宝高利贷砍头息")</f>
        <v>立借青春宝高利贷砍头息</v>
      </c>
      <c r="C1479" s="2" t="s">
        <v>9</v>
      </c>
      <c r="D1479" s="2" t="s">
        <v>10</v>
      </c>
      <c r="E1479" s="2" t="str">
        <f>HYPERLINK("http://ts.21cn.com/tousu/show/id/1331987","http://ts.21cn.com/tousu/show/id/1331987")</f>
        <v>http://ts.21cn.com/tousu/show/id/1331987</v>
      </c>
      <c r="F1479" s="2" t="s">
        <v>11</v>
      </c>
      <c r="G1479" s="2" t="s">
        <v>41241</v>
      </c>
      <c r="H1479" s="2" t="s">
        <v>35062</v>
      </c>
    </row>
    <row r="1480" spans="1:8" ht="25.05" customHeight="1" x14ac:dyDescent="0.25">
      <c r="A1480" s="2" t="s">
        <v>8</v>
      </c>
      <c r="B1480" s="2" t="str">
        <f>HYPERLINK("http://ts.21cn.com/tousu/show/id/1331989","杭州民卡公司为714高利贷提供放款渠道")</f>
        <v>杭州民卡公司为714高利贷提供放款渠道</v>
      </c>
      <c r="C1480" s="2" t="s">
        <v>9</v>
      </c>
      <c r="D1480" s="2" t="s">
        <v>10</v>
      </c>
      <c r="E1480" s="2" t="str">
        <f>HYPERLINK("http://ts.21cn.com/tousu/show/id/1331989","http://ts.21cn.com/tousu/show/id/1331989")</f>
        <v>http://ts.21cn.com/tousu/show/id/1331989</v>
      </c>
      <c r="F1480" s="2" t="s">
        <v>11</v>
      </c>
      <c r="G1480" s="2" t="s">
        <v>41239</v>
      </c>
      <c r="H1480" s="2" t="s">
        <v>41240</v>
      </c>
    </row>
    <row r="1481" spans="1:8" ht="25.05" customHeight="1" x14ac:dyDescent="0.25">
      <c r="A1481" s="2" t="s">
        <v>8</v>
      </c>
      <c r="B1481" s="2" t="str">
        <f>HYPERLINK("http://ts.21cn.com/tousu/show/id/1331991","购买高铁票，线下退票失败")</f>
        <v>购买高铁票，线下退票失败</v>
      </c>
      <c r="C1481" s="2" t="s">
        <v>34</v>
      </c>
      <c r="D1481" s="2" t="s">
        <v>10</v>
      </c>
      <c r="E1481" s="2" t="str">
        <f>HYPERLINK("http://ts.21cn.com/tousu/show/id/1331991","http://ts.21cn.com/tousu/show/id/1331991")</f>
        <v>http://ts.21cn.com/tousu/show/id/1331991</v>
      </c>
      <c r="F1481" s="2" t="s">
        <v>11</v>
      </c>
      <c r="G1481" s="2" t="s">
        <v>41237</v>
      </c>
      <c r="H1481" s="2" t="s">
        <v>41238</v>
      </c>
    </row>
    <row r="1482" spans="1:8" ht="25.05" customHeight="1" x14ac:dyDescent="0.25">
      <c r="A1482" s="2" t="s">
        <v>8</v>
      </c>
      <c r="B1482" s="2" t="str">
        <f>HYPERLINK("http://ts.21cn.com/tousu/show/id/1331992","及贷.智享贷的骚扰电话")</f>
        <v>及贷.智享贷的骚扰电话</v>
      </c>
      <c r="C1482" s="2" t="s">
        <v>9</v>
      </c>
      <c r="D1482" s="2" t="s">
        <v>10</v>
      </c>
      <c r="E1482" s="2" t="str">
        <f>HYPERLINK("http://ts.21cn.com/tousu/show/id/1331992","http://ts.21cn.com/tousu/show/id/1331992")</f>
        <v>http://ts.21cn.com/tousu/show/id/1331992</v>
      </c>
      <c r="F1482" s="2" t="s">
        <v>11</v>
      </c>
      <c r="G1482" s="2" t="s">
        <v>41235</v>
      </c>
      <c r="H1482" s="2" t="s">
        <v>41236</v>
      </c>
    </row>
    <row r="1483" spans="1:8" ht="25.05" customHeight="1" x14ac:dyDescent="0.25">
      <c r="A1483" s="2" t="s">
        <v>8</v>
      </c>
      <c r="B1483" s="2" t="str">
        <f>HYPERLINK("http://ts.21cn.com/tousu/show/id/1331994","自由摩卡信用计划协商还款")</f>
        <v>自由摩卡信用计划协商还款</v>
      </c>
      <c r="C1483" s="2" t="s">
        <v>9</v>
      </c>
      <c r="D1483" s="2" t="s">
        <v>10</v>
      </c>
      <c r="E1483" s="2" t="str">
        <f>HYPERLINK("http://ts.21cn.com/tousu/show/id/1331994","http://ts.21cn.com/tousu/show/id/1331994")</f>
        <v>http://ts.21cn.com/tousu/show/id/1331994</v>
      </c>
      <c r="F1483" s="2" t="s">
        <v>11</v>
      </c>
      <c r="G1483" s="2" t="s">
        <v>41233</v>
      </c>
      <c r="H1483" s="2" t="s">
        <v>41234</v>
      </c>
    </row>
    <row r="1484" spans="1:8" ht="25.05" customHeight="1" x14ac:dyDescent="0.25">
      <c r="A1484" s="2" t="s">
        <v>8</v>
      </c>
      <c r="B1484" s="2" t="str">
        <f>HYPERLINK("http://ts.21cn.com/tousu/show/id/1331995","你我贷涉嫌高利贷违规收取平台服务费和贷后管理费")</f>
        <v>你我贷涉嫌高利贷违规收取平台服务费和贷后管理费</v>
      </c>
      <c r="C1484" s="2" t="s">
        <v>9</v>
      </c>
      <c r="D1484" s="2" t="s">
        <v>10</v>
      </c>
      <c r="E1484" s="2" t="str">
        <f>HYPERLINK("http://ts.21cn.com/tousu/show/id/1331995","http://ts.21cn.com/tousu/show/id/1331995")</f>
        <v>http://ts.21cn.com/tousu/show/id/1331995</v>
      </c>
      <c r="F1484" s="2" t="s">
        <v>11</v>
      </c>
      <c r="G1484" s="2" t="s">
        <v>41231</v>
      </c>
      <c r="H1484" s="2" t="s">
        <v>41232</v>
      </c>
    </row>
    <row r="1485" spans="1:8" ht="25.05" customHeight="1" x14ac:dyDescent="0.25">
      <c r="A1485" s="2" t="s">
        <v>8</v>
      </c>
      <c r="B1485" s="2" t="str">
        <f>HYPERLINK("http://ts.21cn.com/tousu/show/id/1331976","汇潮支付为714高利贷提供放款渠道")</f>
        <v>汇潮支付为714高利贷提供放款渠道</v>
      </c>
      <c r="C1485" s="2" t="s">
        <v>9</v>
      </c>
      <c r="D1485" s="2" t="s">
        <v>10</v>
      </c>
      <c r="E1485" s="2" t="str">
        <f>HYPERLINK("http://ts.21cn.com/tousu/show/id/1331976","http://ts.21cn.com/tousu/show/id/1331976")</f>
        <v>http://ts.21cn.com/tousu/show/id/1331976</v>
      </c>
      <c r="F1485" s="2" t="s">
        <v>11</v>
      </c>
      <c r="G1485" s="2" t="s">
        <v>41229</v>
      </c>
      <c r="H1485" s="2" t="s">
        <v>41230</v>
      </c>
    </row>
    <row r="1486" spans="1:8" ht="25.05" customHeight="1" x14ac:dyDescent="0.25">
      <c r="A1486" s="2" t="s">
        <v>8</v>
      </c>
      <c r="B1486" s="2" t="str">
        <f>HYPERLINK("http://ts.21cn.com/tousu/show/id/1331996","北京诚讯信息咨询有限公司")</f>
        <v>北京诚讯信息咨询有限公司</v>
      </c>
      <c r="C1486" s="2" t="s">
        <v>9</v>
      </c>
      <c r="D1486" s="2" t="s">
        <v>10</v>
      </c>
      <c r="E1486" s="2" t="str">
        <f>HYPERLINK("http://ts.21cn.com/tousu/show/id/1331996","http://ts.21cn.com/tousu/show/id/1331996")</f>
        <v>http://ts.21cn.com/tousu/show/id/1331996</v>
      </c>
      <c r="F1486" s="2" t="s">
        <v>11</v>
      </c>
      <c r="G1486" s="2" t="s">
        <v>41227</v>
      </c>
      <c r="H1486" s="2" t="s">
        <v>41228</v>
      </c>
    </row>
    <row r="1487" spans="1:8" ht="25.05" customHeight="1" x14ac:dyDescent="0.25">
      <c r="A1487" s="2" t="s">
        <v>8</v>
      </c>
      <c r="B1487" s="2" t="str">
        <f>HYPERLINK("http://ts.21cn.com/tousu/show/id/1331997","钱站/爱钱进")</f>
        <v>钱站/爱钱进</v>
      </c>
      <c r="C1487" s="2" t="s">
        <v>34</v>
      </c>
      <c r="D1487" s="2" t="s">
        <v>10</v>
      </c>
      <c r="E1487" s="2" t="str">
        <f>HYPERLINK("http://ts.21cn.com/tousu/show/id/1331997","http://ts.21cn.com/tousu/show/id/1331997")</f>
        <v>http://ts.21cn.com/tousu/show/id/1331997</v>
      </c>
      <c r="F1487" s="2" t="s">
        <v>11</v>
      </c>
      <c r="G1487" s="2" t="s">
        <v>41225</v>
      </c>
      <c r="H1487" s="2" t="s">
        <v>41226</v>
      </c>
    </row>
    <row r="1488" spans="1:8" ht="25.05" customHeight="1" x14ac:dyDescent="0.25">
      <c r="A1488" s="2" t="s">
        <v>8</v>
      </c>
      <c r="B1488" s="2" t="str">
        <f>HYPERLINK("http://ts.21cn.com/tousu/show/id/1331999","闪银奇异就是没人协商")</f>
        <v>闪银奇异就是没人协商</v>
      </c>
      <c r="C1488" s="2" t="s">
        <v>34</v>
      </c>
      <c r="D1488" s="2" t="s">
        <v>10</v>
      </c>
      <c r="E1488" s="2" t="str">
        <f>HYPERLINK("http://ts.21cn.com/tousu/show/id/1331999","http://ts.21cn.com/tousu/show/id/1331999")</f>
        <v>http://ts.21cn.com/tousu/show/id/1331999</v>
      </c>
      <c r="F1488" s="2" t="s">
        <v>11</v>
      </c>
      <c r="G1488" s="2" t="s">
        <v>41224</v>
      </c>
      <c r="H1488" s="2" t="s">
        <v>36275</v>
      </c>
    </row>
    <row r="1489" spans="1:8" ht="25.05" customHeight="1" x14ac:dyDescent="0.25">
      <c r="A1489" s="2" t="s">
        <v>8</v>
      </c>
      <c r="B1489" s="2" t="str">
        <f>HYPERLINK("http://ts.21cn.com/tousu/show/id/1331998","小黑鲨变相测评费坎头息660")</f>
        <v>小黑鲨变相测评费坎头息660</v>
      </c>
      <c r="C1489" s="2" t="s">
        <v>9</v>
      </c>
      <c r="D1489" s="2" t="s">
        <v>10</v>
      </c>
      <c r="E1489" s="2" t="str">
        <f>HYPERLINK("http://ts.21cn.com/tousu/show/id/1331998","http://ts.21cn.com/tousu/show/id/1331998")</f>
        <v>http://ts.21cn.com/tousu/show/id/1331998</v>
      </c>
      <c r="F1489" s="2" t="s">
        <v>11</v>
      </c>
      <c r="G1489" s="2" t="s">
        <v>41222</v>
      </c>
      <c r="H1489" s="2" t="s">
        <v>41223</v>
      </c>
    </row>
    <row r="1490" spans="1:8" ht="25.05" customHeight="1" x14ac:dyDescent="0.25">
      <c r="A1490" s="2" t="s">
        <v>8</v>
      </c>
      <c r="B1490" s="2" t="str">
        <f>HYPERLINK("http://ts.21cn.com/tousu/show/id/1332000","未经本人允许扣除款")</f>
        <v>未经本人允许扣除款</v>
      </c>
      <c r="C1490" s="2" t="s">
        <v>9</v>
      </c>
      <c r="D1490" s="2" t="s">
        <v>10</v>
      </c>
      <c r="E1490" s="2" t="str">
        <f>HYPERLINK("http://ts.21cn.com/tousu/show/id/1332000","http://ts.21cn.com/tousu/show/id/1332000")</f>
        <v>http://ts.21cn.com/tousu/show/id/1332000</v>
      </c>
      <c r="F1490" s="2" t="s">
        <v>11</v>
      </c>
      <c r="G1490" s="2" t="s">
        <v>41220</v>
      </c>
      <c r="H1490" s="2" t="s">
        <v>41221</v>
      </c>
    </row>
    <row r="1491" spans="1:8" ht="25.05" customHeight="1" x14ac:dyDescent="0.25">
      <c r="A1491" s="2" t="s">
        <v>8</v>
      </c>
      <c r="B1491" s="2" t="str">
        <f>HYPERLINK("http://ts.21cn.com/tousu/show/id/1332003","聚宝来高利贷砍头息")</f>
        <v>聚宝来高利贷砍头息</v>
      </c>
      <c r="C1491" s="2" t="s">
        <v>9</v>
      </c>
      <c r="D1491" s="2" t="s">
        <v>10</v>
      </c>
      <c r="E1491" s="2" t="str">
        <f>HYPERLINK("http://ts.21cn.com/tousu/show/id/1332003","http://ts.21cn.com/tousu/show/id/1332003")</f>
        <v>http://ts.21cn.com/tousu/show/id/1332003</v>
      </c>
      <c r="F1491" s="2" t="s">
        <v>11</v>
      </c>
      <c r="G1491" s="2" t="s">
        <v>41218</v>
      </c>
      <c r="H1491" s="2" t="s">
        <v>41219</v>
      </c>
    </row>
    <row r="1492" spans="1:8" ht="25.05" customHeight="1" x14ac:dyDescent="0.25">
      <c r="A1492" s="2" t="s">
        <v>8</v>
      </c>
      <c r="B1492" s="2" t="str">
        <f>HYPERLINK("http://ts.21cn.com/tousu/show/id/1332002","借助通收取vip费")</f>
        <v>借助通收取vip费</v>
      </c>
      <c r="C1492" s="2" t="s">
        <v>34</v>
      </c>
      <c r="D1492" s="2" t="s">
        <v>10</v>
      </c>
      <c r="E1492" s="2" t="str">
        <f>HYPERLINK("http://ts.21cn.com/tousu/show/id/1332002","http://ts.21cn.com/tousu/show/id/1332002")</f>
        <v>http://ts.21cn.com/tousu/show/id/1332002</v>
      </c>
      <c r="F1492" s="2" t="s">
        <v>11</v>
      </c>
      <c r="G1492" s="2" t="s">
        <v>41216</v>
      </c>
      <c r="H1492" s="2" t="s">
        <v>41217</v>
      </c>
    </row>
    <row r="1493" spans="1:8" ht="25.05" customHeight="1" x14ac:dyDescent="0.25">
      <c r="A1493" s="2" t="s">
        <v>8</v>
      </c>
      <c r="B1493" s="2" t="str">
        <f>HYPERLINK("http://ts.21cn.com/tousu/show/id/1332004","月月有钱无法登陆还款")</f>
        <v>月月有钱无法登陆还款</v>
      </c>
      <c r="C1493" s="2" t="s">
        <v>34</v>
      </c>
      <c r="D1493" s="2" t="s">
        <v>10</v>
      </c>
      <c r="E1493" s="2" t="str">
        <f>HYPERLINK("http://ts.21cn.com/tousu/show/id/1332004","http://ts.21cn.com/tousu/show/id/1332004")</f>
        <v>http://ts.21cn.com/tousu/show/id/1332004</v>
      </c>
      <c r="F1493" s="2" t="s">
        <v>11</v>
      </c>
      <c r="G1493" s="2" t="s">
        <v>41214</v>
      </c>
      <c r="H1493" s="2" t="s">
        <v>41215</v>
      </c>
    </row>
    <row r="1494" spans="1:8" ht="25.05" customHeight="1" x14ac:dyDescent="0.25">
      <c r="A1494" s="2" t="s">
        <v>8</v>
      </c>
      <c r="B1494" s="2" t="str">
        <f>HYPERLINK("http://ts.21cn.com/tousu/show/id/1332005","贷上钱以买游戏豆为由收取高额贷款通过费")</f>
        <v>贷上钱以买游戏豆为由收取高额贷款通过费</v>
      </c>
      <c r="C1494" s="2" t="s">
        <v>9</v>
      </c>
      <c r="D1494" s="2" t="s">
        <v>10</v>
      </c>
      <c r="E1494" s="2" t="str">
        <f>HYPERLINK("http://ts.21cn.com/tousu/show/id/1332005","http://ts.21cn.com/tousu/show/id/1332005")</f>
        <v>http://ts.21cn.com/tousu/show/id/1332005</v>
      </c>
      <c r="F1494" s="2" t="s">
        <v>11</v>
      </c>
      <c r="G1494" s="2" t="s">
        <v>41212</v>
      </c>
      <c r="H1494" s="2" t="s">
        <v>41213</v>
      </c>
    </row>
    <row r="1495" spans="1:8" ht="25.05" customHeight="1" x14ac:dyDescent="0.25">
      <c r="A1495" s="2" t="s">
        <v>8</v>
      </c>
      <c r="B1495" s="2" t="str">
        <f>HYPERLINK("http://ts.21cn.com/tousu/show/id/1332006","捷信高利贷")</f>
        <v>捷信高利贷</v>
      </c>
      <c r="C1495" s="2" t="s">
        <v>9</v>
      </c>
      <c r="D1495" s="2" t="s">
        <v>10</v>
      </c>
      <c r="E1495" s="2" t="str">
        <f>HYPERLINK("http://ts.21cn.com/tousu/show/id/1332006","http://ts.21cn.com/tousu/show/id/1332006")</f>
        <v>http://ts.21cn.com/tousu/show/id/1332006</v>
      </c>
      <c r="F1495" s="2" t="s">
        <v>11</v>
      </c>
      <c r="G1495" s="2" t="s">
        <v>41210</v>
      </c>
      <c r="H1495" s="2" t="s">
        <v>41211</v>
      </c>
    </row>
    <row r="1496" spans="1:8" ht="25.05" customHeight="1" x14ac:dyDescent="0.25">
      <c r="A1496" s="2" t="s">
        <v>8</v>
      </c>
      <c r="B1496" s="2" t="str">
        <f>HYPERLINK("http://ts.21cn.com/tousu/show/id/1332007","变相收取砍头息")</f>
        <v>变相收取砍头息</v>
      </c>
      <c r="C1496" s="2" t="s">
        <v>9</v>
      </c>
      <c r="D1496" s="2" t="s">
        <v>10</v>
      </c>
      <c r="E1496" s="2" t="str">
        <f>HYPERLINK("http://ts.21cn.com/tousu/show/id/1332007","http://ts.21cn.com/tousu/show/id/1332007")</f>
        <v>http://ts.21cn.com/tousu/show/id/1332007</v>
      </c>
      <c r="F1496" s="2" t="s">
        <v>11</v>
      </c>
      <c r="G1496" s="2" t="s">
        <v>41208</v>
      </c>
      <c r="H1496" s="2" t="s">
        <v>41209</v>
      </c>
    </row>
    <row r="1497" spans="1:8" ht="25.05" customHeight="1" x14ac:dyDescent="0.25">
      <c r="A1497" s="2" t="s">
        <v>8</v>
      </c>
      <c r="B1497" s="2" t="str">
        <f>HYPERLINK("http://ts.21cn.com/tousu/show/id/1332009","圆通快递")</f>
        <v>圆通快递</v>
      </c>
      <c r="C1497" s="2" t="s">
        <v>34</v>
      </c>
      <c r="D1497" s="2" t="s">
        <v>10</v>
      </c>
      <c r="E1497" s="2" t="str">
        <f>HYPERLINK("http://ts.21cn.com/tousu/show/id/1332009","http://ts.21cn.com/tousu/show/id/1332009")</f>
        <v>http://ts.21cn.com/tousu/show/id/1332009</v>
      </c>
      <c r="F1497" s="2" t="s">
        <v>11</v>
      </c>
      <c r="G1497" s="2" t="s">
        <v>41206</v>
      </c>
      <c r="H1497" s="2" t="s">
        <v>41207</v>
      </c>
    </row>
    <row r="1498" spans="1:8" ht="25.05" customHeight="1" x14ac:dyDescent="0.25">
      <c r="A1498" s="2" t="s">
        <v>8</v>
      </c>
      <c r="B1498" s="2" t="str">
        <f>HYPERLINK("http://ts.21cn.com/tousu/show/id/1332008","汇潮支付违规为714高利贷提供放款渠道")</f>
        <v>汇潮支付违规为714高利贷提供放款渠道</v>
      </c>
      <c r="C1498" s="2" t="s">
        <v>9</v>
      </c>
      <c r="D1498" s="2" t="s">
        <v>10</v>
      </c>
      <c r="E1498" s="2" t="str">
        <f>HYPERLINK("http://ts.21cn.com/tousu/show/id/1332008","http://ts.21cn.com/tousu/show/id/1332008")</f>
        <v>http://ts.21cn.com/tousu/show/id/1332008</v>
      </c>
      <c r="F1498" s="2" t="s">
        <v>11</v>
      </c>
      <c r="G1498" s="2" t="s">
        <v>41204</v>
      </c>
      <c r="H1498" s="2" t="s">
        <v>41205</v>
      </c>
    </row>
    <row r="1499" spans="1:8" ht="25.05" customHeight="1" x14ac:dyDescent="0.25">
      <c r="A1499" s="2" t="s">
        <v>8</v>
      </c>
      <c r="B1499" s="2" t="str">
        <f>HYPERLINK("http://ts.21cn.com/tousu/show/id/1332010","小黑鲨套路贷，高利贷，暴力催收，要求协商还款")</f>
        <v>小黑鲨套路贷，高利贷，暴力催收，要求协商还款</v>
      </c>
      <c r="C1499" s="2" t="s">
        <v>9</v>
      </c>
      <c r="D1499" s="2" t="s">
        <v>10</v>
      </c>
      <c r="E1499" s="2" t="str">
        <f>HYPERLINK("http://ts.21cn.com/tousu/show/id/1332010","http://ts.21cn.com/tousu/show/id/1332010")</f>
        <v>http://ts.21cn.com/tousu/show/id/1332010</v>
      </c>
      <c r="F1499" s="2" t="s">
        <v>11</v>
      </c>
      <c r="G1499" s="2" t="s">
        <v>41202</v>
      </c>
      <c r="H1499" s="2" t="s">
        <v>41203</v>
      </c>
    </row>
    <row r="1500" spans="1:8" ht="25.05" customHeight="1" x14ac:dyDescent="0.25">
      <c r="A1500" s="2" t="s">
        <v>8</v>
      </c>
      <c r="B1500" s="2" t="str">
        <f>HYPERLINK("http://ts.21cn.com/tousu/show/id/1332011","迅捷视频转换器充会员之后用不了")</f>
        <v>迅捷视频转换器充会员之后用不了</v>
      </c>
      <c r="C1500" s="2" t="s">
        <v>34</v>
      </c>
      <c r="D1500" s="2" t="s">
        <v>10</v>
      </c>
      <c r="E1500" s="2" t="str">
        <f>HYPERLINK("http://ts.21cn.com/tousu/show/id/1332011","http://ts.21cn.com/tousu/show/id/1332011")</f>
        <v>http://ts.21cn.com/tousu/show/id/1332011</v>
      </c>
      <c r="F1500" s="2" t="s">
        <v>11</v>
      </c>
      <c r="G1500" s="2" t="s">
        <v>41200</v>
      </c>
      <c r="H1500" s="2" t="s">
        <v>41201</v>
      </c>
    </row>
    <row r="1501" spans="1:8" ht="25.05" customHeight="1" x14ac:dyDescent="0.25">
      <c r="A1501" s="2" t="s">
        <v>8</v>
      </c>
      <c r="B1501" s="2" t="str">
        <f>HYPERLINK("http://ts.21cn.com/tousu/show/id/1332012","停止暴力催收网商贷")</f>
        <v>停止暴力催收网商贷</v>
      </c>
      <c r="C1501" s="2" t="s">
        <v>9</v>
      </c>
      <c r="D1501" s="2" t="s">
        <v>10</v>
      </c>
      <c r="E1501" s="2" t="str">
        <f>HYPERLINK("http://ts.21cn.com/tousu/show/id/1332012","http://ts.21cn.com/tousu/show/id/1332012")</f>
        <v>http://ts.21cn.com/tousu/show/id/1332012</v>
      </c>
      <c r="F1501" s="2" t="s">
        <v>11</v>
      </c>
      <c r="G1501" s="2" t="s">
        <v>41198</v>
      </c>
      <c r="H1501" s="2" t="s">
        <v>41199</v>
      </c>
    </row>
    <row r="1502" spans="1:8" ht="25.05" customHeight="1" x14ac:dyDescent="0.25">
      <c r="A1502" s="2" t="s">
        <v>8</v>
      </c>
      <c r="B1502" s="2" t="str">
        <f>HYPERLINK("http://ts.21cn.com/tousu/show/id/1332014","好分期利息太高")</f>
        <v>好分期利息太高</v>
      </c>
      <c r="C1502" s="2" t="s">
        <v>9</v>
      </c>
      <c r="D1502" s="2" t="s">
        <v>10</v>
      </c>
      <c r="E1502" s="2" t="str">
        <f>HYPERLINK("http://ts.21cn.com/tousu/show/id/1332014","http://ts.21cn.com/tousu/show/id/1332014")</f>
        <v>http://ts.21cn.com/tousu/show/id/1332014</v>
      </c>
      <c r="F1502" s="2" t="s">
        <v>11</v>
      </c>
      <c r="G1502" s="2" t="s">
        <v>41196</v>
      </c>
      <c r="H1502" s="2" t="s">
        <v>41197</v>
      </c>
    </row>
    <row r="1503" spans="1:8" ht="25.05" customHeight="1" x14ac:dyDescent="0.25">
      <c r="A1503" s="2" t="s">
        <v>8</v>
      </c>
      <c r="B1503" s="2" t="str">
        <f>HYPERLINK("http://ts.21cn.com/tousu/show/id/1332015","暴力催收")</f>
        <v>暴力催收</v>
      </c>
      <c r="C1503" s="2" t="s">
        <v>9</v>
      </c>
      <c r="D1503" s="2" t="s">
        <v>10</v>
      </c>
      <c r="E1503" s="2" t="str">
        <f>HYPERLINK("http://ts.21cn.com/tousu/show/id/1332015","http://ts.21cn.com/tousu/show/id/1332015")</f>
        <v>http://ts.21cn.com/tousu/show/id/1332015</v>
      </c>
      <c r="F1503" s="2" t="s">
        <v>11</v>
      </c>
      <c r="G1503" s="2" t="s">
        <v>41194</v>
      </c>
      <c r="H1503" s="2" t="s">
        <v>41195</v>
      </c>
    </row>
    <row r="1504" spans="1:8" ht="25.05" customHeight="1" x14ac:dyDescent="0.25">
      <c r="A1504" s="2" t="s">
        <v>8</v>
      </c>
      <c r="B1504" s="2" t="str">
        <f>HYPERLINK("http://ts.21cn.com/tousu/show/id/1332017","状告盼达租车占用我押金4个月迟迟不还")</f>
        <v>状告盼达租车占用我押金4个月迟迟不还</v>
      </c>
      <c r="C1504" s="2" t="s">
        <v>9</v>
      </c>
      <c r="D1504" s="2" t="s">
        <v>10</v>
      </c>
      <c r="E1504" s="2" t="str">
        <f>HYPERLINK("http://ts.21cn.com/tousu/show/id/1332017","http://ts.21cn.com/tousu/show/id/1332017")</f>
        <v>http://ts.21cn.com/tousu/show/id/1332017</v>
      </c>
      <c r="F1504" s="2" t="s">
        <v>11</v>
      </c>
      <c r="G1504" s="2" t="s">
        <v>41192</v>
      </c>
      <c r="H1504" s="2" t="s">
        <v>41193</v>
      </c>
    </row>
    <row r="1505" spans="1:8" ht="25.05" customHeight="1" x14ac:dyDescent="0.25">
      <c r="A1505" s="2" t="s">
        <v>8</v>
      </c>
      <c r="B1505" s="2" t="str">
        <f>HYPERLINK("http://ts.21cn.com/tousu/show/id/1332018","拍拍贷不扣款收取逾期费用")</f>
        <v>拍拍贷不扣款收取逾期费用</v>
      </c>
      <c r="C1505" s="2" t="s">
        <v>9</v>
      </c>
      <c r="D1505" s="2" t="s">
        <v>10</v>
      </c>
      <c r="E1505" s="2" t="str">
        <f>HYPERLINK("http://ts.21cn.com/tousu/show/id/1332018","http://ts.21cn.com/tousu/show/id/1332018")</f>
        <v>http://ts.21cn.com/tousu/show/id/1332018</v>
      </c>
      <c r="F1505" s="2" t="s">
        <v>11</v>
      </c>
      <c r="G1505" s="2" t="s">
        <v>41190</v>
      </c>
      <c r="H1505" s="2" t="s">
        <v>41191</v>
      </c>
    </row>
    <row r="1506" spans="1:8" ht="25.05" customHeight="1" x14ac:dyDescent="0.25">
      <c r="A1506" s="2" t="s">
        <v>8</v>
      </c>
      <c r="B1506" s="2" t="str">
        <f>HYPERLINK("http://ts.21cn.com/tousu/show/id/1332019","能不让我们寒心？")</f>
        <v>能不让我们寒心？</v>
      </c>
      <c r="C1506" s="2" t="s">
        <v>9</v>
      </c>
      <c r="D1506" s="2" t="s">
        <v>10</v>
      </c>
      <c r="E1506" s="2" t="str">
        <f>HYPERLINK("http://ts.21cn.com/tousu/show/id/1332019","http://ts.21cn.com/tousu/show/id/1332019")</f>
        <v>http://ts.21cn.com/tousu/show/id/1332019</v>
      </c>
      <c r="F1506" s="2" t="s">
        <v>11</v>
      </c>
      <c r="G1506" s="2" t="s">
        <v>41188</v>
      </c>
      <c r="H1506" s="2" t="s">
        <v>41189</v>
      </c>
    </row>
    <row r="1507" spans="1:8" ht="25.05" customHeight="1" x14ac:dyDescent="0.25">
      <c r="A1507" s="2" t="s">
        <v>8</v>
      </c>
      <c r="B1507" s="2" t="str">
        <f>HYPERLINK("http://ts.21cn.com/tousu/show/id/1332020","滴滴平台欺诈司机")</f>
        <v>滴滴平台欺诈司机</v>
      </c>
      <c r="C1507" s="2" t="s">
        <v>9</v>
      </c>
      <c r="D1507" s="2" t="s">
        <v>10</v>
      </c>
      <c r="E1507" s="2" t="str">
        <f>HYPERLINK("http://ts.21cn.com/tousu/show/id/1332020","http://ts.21cn.com/tousu/show/id/1332020")</f>
        <v>http://ts.21cn.com/tousu/show/id/1332020</v>
      </c>
      <c r="F1507" s="2" t="s">
        <v>11</v>
      </c>
      <c r="G1507" s="2" t="s">
        <v>41186</v>
      </c>
      <c r="H1507" s="2" t="s">
        <v>41187</v>
      </c>
    </row>
    <row r="1508" spans="1:8" ht="25.05" customHeight="1" x14ac:dyDescent="0.25">
      <c r="A1508" s="2" t="s">
        <v>8</v>
      </c>
      <c r="B1508" s="2" t="str">
        <f>HYPERLINK("http://ts.21cn.com/tousu/show/id/1331993","信用管家分期鸭高利贷")</f>
        <v>信用管家分期鸭高利贷</v>
      </c>
      <c r="C1508" s="2" t="s">
        <v>9</v>
      </c>
      <c r="D1508" s="2" t="s">
        <v>10</v>
      </c>
      <c r="E1508" s="2" t="str">
        <f>HYPERLINK("http://ts.21cn.com/tousu/show/id/1331993","http://ts.21cn.com/tousu/show/id/1331993")</f>
        <v>http://ts.21cn.com/tousu/show/id/1331993</v>
      </c>
      <c r="F1508" s="2" t="s">
        <v>11</v>
      </c>
      <c r="G1508" s="2" t="s">
        <v>41184</v>
      </c>
      <c r="H1508" s="2" t="s">
        <v>41185</v>
      </c>
    </row>
    <row r="1509" spans="1:8" ht="25.05" customHeight="1" x14ac:dyDescent="0.25">
      <c r="A1509" s="2" t="s">
        <v>8</v>
      </c>
      <c r="B1509" s="2" t="str">
        <f>HYPERLINK("http://ts.21cn.com/tousu/show/id/1332024","滴滴打车不给更改注册城市")</f>
        <v>滴滴打车不给更改注册城市</v>
      </c>
      <c r="C1509" s="2" t="s">
        <v>9</v>
      </c>
      <c r="D1509" s="2" t="s">
        <v>10</v>
      </c>
      <c r="E1509" s="2" t="str">
        <f>HYPERLINK("http://ts.21cn.com/tousu/show/id/1332024","http://ts.21cn.com/tousu/show/id/1332024")</f>
        <v>http://ts.21cn.com/tousu/show/id/1332024</v>
      </c>
      <c r="F1509" s="2" t="s">
        <v>11</v>
      </c>
      <c r="G1509" s="2" t="s">
        <v>41182</v>
      </c>
      <c r="H1509" s="2" t="s">
        <v>41183</v>
      </c>
    </row>
    <row r="1510" spans="1:8" ht="25.05" customHeight="1" x14ac:dyDescent="0.25">
      <c r="A1510" s="2" t="s">
        <v>8</v>
      </c>
      <c r="B1510" s="2" t="str">
        <f>HYPERLINK("http://ts.21cn.com/tousu/show/id/1330602","55高炮")</f>
        <v>55高炮</v>
      </c>
      <c r="C1510" s="2" t="s">
        <v>9</v>
      </c>
      <c r="D1510" s="2" t="s">
        <v>10</v>
      </c>
      <c r="E1510" s="2" t="str">
        <f>HYPERLINK("http://ts.21cn.com/tousu/show/id/1330602","http://ts.21cn.com/tousu/show/id/1330602")</f>
        <v>http://ts.21cn.com/tousu/show/id/1330602</v>
      </c>
      <c r="F1510" s="2" t="s">
        <v>11</v>
      </c>
      <c r="G1510" s="2" t="s">
        <v>41180</v>
      </c>
      <c r="H1510" s="2" t="s">
        <v>41181</v>
      </c>
    </row>
    <row r="1511" spans="1:8" ht="25.05" customHeight="1" x14ac:dyDescent="0.25">
      <c r="A1511" s="2" t="s">
        <v>8</v>
      </c>
      <c r="B1511" s="2" t="str">
        <f>HYPERLINK("http://ts.21cn.com/tousu/show/id/1332025","出行唯选退卡")</f>
        <v>出行唯选退卡</v>
      </c>
      <c r="C1511" s="2" t="s">
        <v>34</v>
      </c>
      <c r="D1511" s="2" t="s">
        <v>10</v>
      </c>
      <c r="E1511" s="2" t="str">
        <f>HYPERLINK("http://ts.21cn.com/tousu/show/id/1332025","http://ts.21cn.com/tousu/show/id/1332025")</f>
        <v>http://ts.21cn.com/tousu/show/id/1332025</v>
      </c>
      <c r="F1511" s="2" t="s">
        <v>11</v>
      </c>
      <c r="G1511" s="2" t="s">
        <v>41178</v>
      </c>
      <c r="H1511" s="2" t="s">
        <v>41179</v>
      </c>
    </row>
    <row r="1512" spans="1:8" ht="25.05" customHeight="1" x14ac:dyDescent="0.25">
      <c r="A1512" s="2" t="s">
        <v>8</v>
      </c>
      <c r="B1512" s="2" t="str">
        <f>HYPERLINK("http://ts.21cn.com/tousu/show/id/1332026","捷信金融减免全部")</f>
        <v>捷信金融减免全部</v>
      </c>
      <c r="C1512" s="2" t="s">
        <v>9</v>
      </c>
      <c r="D1512" s="2" t="s">
        <v>10</v>
      </c>
      <c r="E1512" s="2" t="str">
        <f>HYPERLINK("http://ts.21cn.com/tousu/show/id/1332026","http://ts.21cn.com/tousu/show/id/1332026")</f>
        <v>http://ts.21cn.com/tousu/show/id/1332026</v>
      </c>
      <c r="F1512" s="2" t="s">
        <v>11</v>
      </c>
      <c r="G1512" s="2" t="s">
        <v>41176</v>
      </c>
      <c r="H1512" s="2" t="s">
        <v>41177</v>
      </c>
    </row>
    <row r="1513" spans="1:8" ht="25.05" customHeight="1" x14ac:dyDescent="0.25">
      <c r="A1513" s="2" t="s">
        <v>8</v>
      </c>
      <c r="B1513" s="2" t="str">
        <f>HYPERLINK("http://ts.21cn.com/tousu/show/id/1332028","钱站高利贷爆利催收")</f>
        <v>钱站高利贷爆利催收</v>
      </c>
      <c r="C1513" s="2" t="s">
        <v>9</v>
      </c>
      <c r="D1513" s="2" t="s">
        <v>10</v>
      </c>
      <c r="E1513" s="2" t="str">
        <f>HYPERLINK("http://ts.21cn.com/tousu/show/id/1332028","http://ts.21cn.com/tousu/show/id/1332028")</f>
        <v>http://ts.21cn.com/tousu/show/id/1332028</v>
      </c>
      <c r="F1513" s="2" t="s">
        <v>11</v>
      </c>
      <c r="G1513" s="2" t="s">
        <v>41174</v>
      </c>
      <c r="H1513" s="2" t="s">
        <v>41175</v>
      </c>
    </row>
    <row r="1514" spans="1:8" ht="25.05" customHeight="1" x14ac:dyDescent="0.25">
      <c r="A1514" s="2" t="s">
        <v>8</v>
      </c>
      <c r="B1514" s="2" t="str">
        <f>HYPERLINK("http://ts.21cn.com/tousu/show/id/1332030","关于美约app乱扣费问题，免费试用后，自动续费会员一年298元")</f>
        <v>关于美约app乱扣费问题，免费试用后，自动续费会员一年298元</v>
      </c>
      <c r="C1514" s="2" t="s">
        <v>34</v>
      </c>
      <c r="D1514" s="2" t="s">
        <v>10</v>
      </c>
      <c r="E1514" s="2" t="str">
        <f>HYPERLINK("http://ts.21cn.com/tousu/show/id/1332030","http://ts.21cn.com/tousu/show/id/1332030")</f>
        <v>http://ts.21cn.com/tousu/show/id/1332030</v>
      </c>
      <c r="F1514" s="2" t="s">
        <v>11</v>
      </c>
      <c r="G1514" s="2" t="s">
        <v>41172</v>
      </c>
      <c r="H1514" s="2" t="s">
        <v>41173</v>
      </c>
    </row>
    <row r="1515" spans="1:8" ht="25.05" customHeight="1" x14ac:dyDescent="0.25">
      <c r="A1515" s="2" t="s">
        <v>8</v>
      </c>
      <c r="B1515" s="2" t="str">
        <f>HYPERLINK("http://ts.21cn.com/tousu/show/id/1332031","协商还款时间")</f>
        <v>协商还款时间</v>
      </c>
      <c r="C1515" s="2" t="s">
        <v>9</v>
      </c>
      <c r="D1515" s="2" t="s">
        <v>10</v>
      </c>
      <c r="E1515" s="2" t="str">
        <f>HYPERLINK("http://ts.21cn.com/tousu/show/id/1332031","http://ts.21cn.com/tousu/show/id/1332031")</f>
        <v>http://ts.21cn.com/tousu/show/id/1332031</v>
      </c>
      <c r="F1515" s="2" t="s">
        <v>11</v>
      </c>
      <c r="G1515" s="2" t="s">
        <v>41170</v>
      </c>
      <c r="H1515" s="2" t="s">
        <v>41171</v>
      </c>
    </row>
    <row r="1516" spans="1:8" ht="25.05" customHeight="1" x14ac:dyDescent="0.25">
      <c r="A1516" s="2" t="s">
        <v>8</v>
      </c>
      <c r="B1516" s="2" t="str">
        <f>HYPERLINK("http://ts.21cn.com/tousu/show/id/1332032","中国电信乱扣费，还说不出扣费理由")</f>
        <v>中国电信乱扣费，还说不出扣费理由</v>
      </c>
      <c r="C1516" s="2" t="s">
        <v>9</v>
      </c>
      <c r="D1516" s="2" t="s">
        <v>10</v>
      </c>
      <c r="E1516" s="2" t="str">
        <f>HYPERLINK("http://ts.21cn.com/tousu/show/id/1332032","http://ts.21cn.com/tousu/show/id/1332032")</f>
        <v>http://ts.21cn.com/tousu/show/id/1332032</v>
      </c>
      <c r="F1516" s="2" t="s">
        <v>11</v>
      </c>
      <c r="G1516" s="2" t="s">
        <v>41168</v>
      </c>
      <c r="H1516" s="2" t="s">
        <v>41169</v>
      </c>
    </row>
    <row r="1517" spans="1:8" ht="25.05" customHeight="1" x14ac:dyDescent="0.25">
      <c r="A1517" s="2" t="s">
        <v>8</v>
      </c>
      <c r="B1517" s="2" t="str">
        <f>HYPERLINK("http://ts.21cn.com/tousu/show/id/1332033","钱橙无忧随意扣费")</f>
        <v>钱橙无忧随意扣费</v>
      </c>
      <c r="C1517" s="2" t="s">
        <v>9</v>
      </c>
      <c r="D1517" s="2" t="s">
        <v>10</v>
      </c>
      <c r="E1517" s="2" t="str">
        <f>HYPERLINK("http://ts.21cn.com/tousu/show/id/1332033","http://ts.21cn.com/tousu/show/id/1332033")</f>
        <v>http://ts.21cn.com/tousu/show/id/1332033</v>
      </c>
      <c r="F1517" s="2" t="s">
        <v>11</v>
      </c>
      <c r="G1517" s="2" t="s">
        <v>41166</v>
      </c>
      <c r="H1517" s="2" t="s">
        <v>41167</v>
      </c>
    </row>
    <row r="1518" spans="1:8" ht="25.05" customHeight="1" x14ac:dyDescent="0.25">
      <c r="A1518" s="2" t="s">
        <v>8</v>
      </c>
      <c r="B1518" s="2" t="str">
        <f>HYPERLINK("http://ts.21cn.com/tousu/show/id/1332034","我来贷坑人")</f>
        <v>我来贷坑人</v>
      </c>
      <c r="C1518" s="2" t="s">
        <v>9</v>
      </c>
      <c r="D1518" s="2" t="s">
        <v>10</v>
      </c>
      <c r="E1518" s="2" t="str">
        <f>HYPERLINK("http://ts.21cn.com/tousu/show/id/1332034","http://ts.21cn.com/tousu/show/id/1332034")</f>
        <v>http://ts.21cn.com/tousu/show/id/1332034</v>
      </c>
      <c r="F1518" s="2" t="s">
        <v>11</v>
      </c>
      <c r="G1518" s="2" t="s">
        <v>41164</v>
      </c>
      <c r="H1518" s="2" t="s">
        <v>41165</v>
      </c>
    </row>
    <row r="1519" spans="1:8" ht="25.05" customHeight="1" x14ac:dyDescent="0.25">
      <c r="A1519" s="2" t="s">
        <v>8</v>
      </c>
      <c r="B1519" s="2" t="str">
        <f>HYPERLINK("http://ts.21cn.com/tousu/show/id/1332035","明世教育虚假宣传")</f>
        <v>明世教育虚假宣传</v>
      </c>
      <c r="C1519" s="2" t="s">
        <v>9</v>
      </c>
      <c r="D1519" s="2" t="s">
        <v>10</v>
      </c>
      <c r="E1519" s="2" t="str">
        <f>HYPERLINK("http://ts.21cn.com/tousu/show/id/1332035","http://ts.21cn.com/tousu/show/id/1332035")</f>
        <v>http://ts.21cn.com/tousu/show/id/1332035</v>
      </c>
      <c r="F1519" s="2" t="s">
        <v>11</v>
      </c>
      <c r="G1519" s="2" t="s">
        <v>41162</v>
      </c>
      <c r="H1519" s="2" t="s">
        <v>41163</v>
      </c>
    </row>
    <row r="1520" spans="1:8" ht="25.05" customHeight="1" x14ac:dyDescent="0.25">
      <c r="A1520" s="2" t="s">
        <v>8</v>
      </c>
      <c r="B1520" s="2" t="str">
        <f>HYPERLINK("http://ts.21cn.com/tousu/show/id/1332036","OPPOR9SPLUS大规模无限重启变砖")</f>
        <v>OPPOR9SPLUS大规模无限重启变砖</v>
      </c>
      <c r="C1520" s="2" t="s">
        <v>34</v>
      </c>
      <c r="D1520" s="2" t="s">
        <v>10</v>
      </c>
      <c r="E1520" s="2" t="str">
        <f>HYPERLINK("http://ts.21cn.com/tousu/show/id/1332036","http://ts.21cn.com/tousu/show/id/1332036")</f>
        <v>http://ts.21cn.com/tousu/show/id/1332036</v>
      </c>
      <c r="F1520" s="2" t="s">
        <v>11</v>
      </c>
      <c r="G1520" s="2" t="s">
        <v>41160</v>
      </c>
      <c r="H1520" s="2" t="s">
        <v>41161</v>
      </c>
    </row>
    <row r="1521" spans="1:8" ht="25.05" customHeight="1" x14ac:dyDescent="0.25">
      <c r="A1521" s="2" t="s">
        <v>8</v>
      </c>
      <c r="B1521" s="2" t="str">
        <f>HYPERLINK("http://ts.21cn.com/tousu/show/id/1332037","上海耳序科技有限公司拍拍贷")</f>
        <v>上海耳序科技有限公司拍拍贷</v>
      </c>
      <c r="C1521" s="2" t="s">
        <v>9</v>
      </c>
      <c r="D1521" s="2" t="s">
        <v>10</v>
      </c>
      <c r="E1521" s="2" t="str">
        <f>HYPERLINK("http://ts.21cn.com/tousu/show/id/1332037","http://ts.21cn.com/tousu/show/id/1332037")</f>
        <v>http://ts.21cn.com/tousu/show/id/1332037</v>
      </c>
      <c r="F1521" s="2" t="s">
        <v>11</v>
      </c>
      <c r="G1521" s="2" t="s">
        <v>41158</v>
      </c>
      <c r="H1521" s="2" t="s">
        <v>41159</v>
      </c>
    </row>
    <row r="1522" spans="1:8" ht="25.05" customHeight="1" x14ac:dyDescent="0.25">
      <c r="A1522" s="2" t="s">
        <v>8</v>
      </c>
      <c r="B1522" s="2" t="str">
        <f>HYPERLINK("http://ts.21cn.com/tousu/show/id/1332039","360客服不够人性化讲没有拖前期")</f>
        <v>360客服不够人性化讲没有拖前期</v>
      </c>
      <c r="C1522" s="2" t="s">
        <v>9</v>
      </c>
      <c r="D1522" s="2" t="s">
        <v>10</v>
      </c>
      <c r="E1522" s="2" t="str">
        <f>HYPERLINK("http://ts.21cn.com/tousu/show/id/1332039","http://ts.21cn.com/tousu/show/id/1332039")</f>
        <v>http://ts.21cn.com/tousu/show/id/1332039</v>
      </c>
      <c r="F1522" s="2" t="s">
        <v>11</v>
      </c>
      <c r="G1522" s="2" t="s">
        <v>41156</v>
      </c>
      <c r="H1522" s="2" t="s">
        <v>41157</v>
      </c>
    </row>
    <row r="1523" spans="1:8" ht="25.05" customHeight="1" x14ac:dyDescent="0.25">
      <c r="A1523" s="2" t="s">
        <v>8</v>
      </c>
      <c r="B1523" s="2" t="str">
        <f>HYPERLINK("http://ts.21cn.com/tousu/show/id/1332038","支付宝无缘无故冻结账号资金")</f>
        <v>支付宝无缘无故冻结账号资金</v>
      </c>
      <c r="C1523" s="2" t="s">
        <v>9</v>
      </c>
      <c r="D1523" s="2" t="s">
        <v>10</v>
      </c>
      <c r="E1523" s="2" t="str">
        <f>HYPERLINK("http://ts.21cn.com/tousu/show/id/1332038","http://ts.21cn.com/tousu/show/id/1332038")</f>
        <v>http://ts.21cn.com/tousu/show/id/1332038</v>
      </c>
      <c r="F1523" s="2" t="s">
        <v>11</v>
      </c>
      <c r="G1523" s="2" t="s">
        <v>41154</v>
      </c>
      <c r="H1523" s="2" t="s">
        <v>41155</v>
      </c>
    </row>
    <row r="1524" spans="1:8" ht="25.05" customHeight="1" x14ac:dyDescent="0.25">
      <c r="A1524" s="2" t="s">
        <v>8</v>
      </c>
      <c r="B1524" s="2" t="str">
        <f>HYPERLINK("http://ts.21cn.com/tousu/show/id/1332040","新浪分期不支持一次性还款，说明还款意图后，索要不到结清证明")</f>
        <v>新浪分期不支持一次性还款，说明还款意图后，索要不到结清证明</v>
      </c>
      <c r="C1524" s="2" t="s">
        <v>34</v>
      </c>
      <c r="D1524" s="2" t="s">
        <v>10</v>
      </c>
      <c r="E1524" s="2" t="str">
        <f>HYPERLINK("http://ts.21cn.com/tousu/show/id/1332040","http://ts.21cn.com/tousu/show/id/1332040")</f>
        <v>http://ts.21cn.com/tousu/show/id/1332040</v>
      </c>
      <c r="F1524" s="2" t="s">
        <v>11</v>
      </c>
      <c r="G1524" s="2" t="s">
        <v>41152</v>
      </c>
      <c r="H1524" s="2" t="s">
        <v>41153</v>
      </c>
    </row>
    <row r="1525" spans="1:8" ht="25.05" customHeight="1" x14ac:dyDescent="0.25">
      <c r="A1525" s="2" t="s">
        <v>8</v>
      </c>
      <c r="B1525" s="2" t="str">
        <f>HYPERLINK("http://ts.21cn.com/tousu/show/id/1332042","拼多多现金助力活动")</f>
        <v>拼多多现金助力活动</v>
      </c>
      <c r="C1525" s="2" t="s">
        <v>34</v>
      </c>
      <c r="D1525" s="2" t="s">
        <v>10</v>
      </c>
      <c r="E1525" s="2" t="str">
        <f>HYPERLINK("http://ts.21cn.com/tousu/show/id/1332042","http://ts.21cn.com/tousu/show/id/1332042")</f>
        <v>http://ts.21cn.com/tousu/show/id/1332042</v>
      </c>
      <c r="F1525" s="2" t="s">
        <v>11</v>
      </c>
      <c r="G1525" s="2" t="s">
        <v>41150</v>
      </c>
      <c r="H1525" s="2" t="s">
        <v>41151</v>
      </c>
    </row>
    <row r="1526" spans="1:8" ht="25.05" customHeight="1" x14ac:dyDescent="0.25">
      <c r="A1526" s="2" t="s">
        <v>8</v>
      </c>
      <c r="B1526" s="2" t="str">
        <f>HYPERLINK("http://ts.21cn.com/tousu/show/id/1332043","捷信金融利息超过国家规定")</f>
        <v>捷信金融利息超过国家规定</v>
      </c>
      <c r="C1526" s="2" t="s">
        <v>34</v>
      </c>
      <c r="D1526" s="2" t="s">
        <v>10</v>
      </c>
      <c r="E1526" s="2" t="str">
        <f>HYPERLINK("http://ts.21cn.com/tousu/show/id/1332043","http://ts.21cn.com/tousu/show/id/1332043")</f>
        <v>http://ts.21cn.com/tousu/show/id/1332043</v>
      </c>
      <c r="F1526" s="2" t="s">
        <v>11</v>
      </c>
      <c r="G1526" s="2" t="s">
        <v>41148</v>
      </c>
      <c r="H1526" s="2" t="s">
        <v>41149</v>
      </c>
    </row>
    <row r="1527" spans="1:8" ht="25.05" customHeight="1" x14ac:dyDescent="0.25">
      <c r="A1527" s="2" t="s">
        <v>8</v>
      </c>
      <c r="B1527" s="2" t="str">
        <f>HYPERLINK("http://ts.21cn.com/tousu/show/id/1332044","米米罐逾期问题")</f>
        <v>米米罐逾期问题</v>
      </c>
      <c r="C1527" s="2" t="s">
        <v>9</v>
      </c>
      <c r="D1527" s="2" t="s">
        <v>10</v>
      </c>
      <c r="E1527" s="2" t="str">
        <f>HYPERLINK("http://ts.21cn.com/tousu/show/id/1332044","http://ts.21cn.com/tousu/show/id/1332044")</f>
        <v>http://ts.21cn.com/tousu/show/id/1332044</v>
      </c>
      <c r="F1527" s="2" t="s">
        <v>11</v>
      </c>
      <c r="G1527" s="2" t="s">
        <v>41146</v>
      </c>
      <c r="H1527" s="2" t="s">
        <v>41147</v>
      </c>
    </row>
    <row r="1528" spans="1:8" ht="25.05" customHeight="1" x14ac:dyDescent="0.25">
      <c r="A1528" s="2" t="s">
        <v>8</v>
      </c>
      <c r="B1528" s="2" t="str">
        <f>HYPERLINK("http://ts.21cn.com/tousu/show/id/1332045","高利贷，暴力催收爆通讯录")</f>
        <v>高利贷，暴力催收爆通讯录</v>
      </c>
      <c r="C1528" s="2" t="s">
        <v>9</v>
      </c>
      <c r="D1528" s="2" t="s">
        <v>10</v>
      </c>
      <c r="E1528" s="2" t="str">
        <f>HYPERLINK("http://ts.21cn.com/tousu/show/id/1332045","http://ts.21cn.com/tousu/show/id/1332045")</f>
        <v>http://ts.21cn.com/tousu/show/id/1332045</v>
      </c>
      <c r="F1528" s="2" t="s">
        <v>11</v>
      </c>
      <c r="G1528" s="2" t="s">
        <v>41144</v>
      </c>
      <c r="H1528" s="2" t="s">
        <v>41145</v>
      </c>
    </row>
    <row r="1529" spans="1:8" ht="25.05" customHeight="1" x14ac:dyDescent="0.25">
      <c r="A1529" s="2" t="s">
        <v>8</v>
      </c>
      <c r="B1529" s="2" t="str">
        <f>HYPERLINK("http://ts.21cn.com/tousu/show/id/1332046","砍头息，高利贷阴阳合同")</f>
        <v>砍头息，高利贷阴阳合同</v>
      </c>
      <c r="C1529" s="2" t="s">
        <v>9</v>
      </c>
      <c r="D1529" s="2" t="s">
        <v>10</v>
      </c>
      <c r="E1529" s="2" t="str">
        <f>HYPERLINK("http://ts.21cn.com/tousu/show/id/1332046","http://ts.21cn.com/tousu/show/id/1332046")</f>
        <v>http://ts.21cn.com/tousu/show/id/1332046</v>
      </c>
      <c r="F1529" s="2" t="s">
        <v>11</v>
      </c>
      <c r="G1529" s="2" t="s">
        <v>41142</v>
      </c>
      <c r="H1529" s="2" t="s">
        <v>41143</v>
      </c>
    </row>
    <row r="1530" spans="1:8" ht="25.05" customHeight="1" x14ac:dyDescent="0.25">
      <c r="A1530" s="2" t="s">
        <v>8</v>
      </c>
      <c r="B1530" s="2" t="str">
        <f>HYPERLINK("http://ts.21cn.com/tousu/show/id/1332016","无故克扣租房押金不退")</f>
        <v>无故克扣租房押金不退</v>
      </c>
      <c r="C1530" s="2" t="s">
        <v>9</v>
      </c>
      <c r="D1530" s="2" t="s">
        <v>10</v>
      </c>
      <c r="E1530" s="2" t="str">
        <f>HYPERLINK("http://ts.21cn.com/tousu/show/id/1332016","http://ts.21cn.com/tousu/show/id/1332016")</f>
        <v>http://ts.21cn.com/tousu/show/id/1332016</v>
      </c>
      <c r="F1530" s="2" t="s">
        <v>11</v>
      </c>
      <c r="G1530" s="2" t="s">
        <v>41140</v>
      </c>
      <c r="H1530" s="2" t="s">
        <v>41141</v>
      </c>
    </row>
    <row r="1531" spans="1:8" ht="25.05" customHeight="1" x14ac:dyDescent="0.25">
      <c r="A1531" s="2" t="s">
        <v>8</v>
      </c>
      <c r="B1531" s="2" t="str">
        <f>HYPERLINK("http://ts.21cn.com/tousu/show/id/1332047","天天贷714暴击催款，高利贷")</f>
        <v>天天贷714暴击催款，高利贷</v>
      </c>
      <c r="C1531" s="2" t="s">
        <v>9</v>
      </c>
      <c r="D1531" s="2" t="s">
        <v>10</v>
      </c>
      <c r="E1531" s="2" t="str">
        <f>HYPERLINK("http://ts.21cn.com/tousu/show/id/1332047","http://ts.21cn.com/tousu/show/id/1332047")</f>
        <v>http://ts.21cn.com/tousu/show/id/1332047</v>
      </c>
      <c r="F1531" s="2" t="s">
        <v>11</v>
      </c>
      <c r="G1531" s="2" t="s">
        <v>41138</v>
      </c>
      <c r="H1531" s="2" t="s">
        <v>41139</v>
      </c>
    </row>
    <row r="1532" spans="1:8" ht="25.05" customHeight="1" x14ac:dyDescent="0.25">
      <c r="A1532" s="2" t="s">
        <v>8</v>
      </c>
      <c r="B1532" s="2" t="str">
        <f>HYPERLINK("http://ts.21cn.com/tousu/show/id/1332048","一点分期，高利贷")</f>
        <v>一点分期，高利贷</v>
      </c>
      <c r="C1532" s="2" t="s">
        <v>9</v>
      </c>
      <c r="D1532" s="2" t="s">
        <v>10</v>
      </c>
      <c r="E1532" s="2" t="str">
        <f>HYPERLINK("http://ts.21cn.com/tousu/show/id/1332048","http://ts.21cn.com/tousu/show/id/1332048")</f>
        <v>http://ts.21cn.com/tousu/show/id/1332048</v>
      </c>
      <c r="F1532" s="2" t="s">
        <v>11</v>
      </c>
      <c r="G1532" s="2" t="s">
        <v>41136</v>
      </c>
      <c r="H1532" s="2" t="s">
        <v>41137</v>
      </c>
    </row>
    <row r="1533" spans="1:8" ht="25.05" customHeight="1" x14ac:dyDescent="0.25">
      <c r="A1533" s="2" t="s">
        <v>8</v>
      </c>
      <c r="B1533" s="2" t="str">
        <f>HYPERLINK("http://ts.21cn.com/tousu/show/id/1332049","按时还款，未有逾期，说好循环额度！额度降为0")</f>
        <v>按时还款，未有逾期，说好循环额度！额度降为0</v>
      </c>
      <c r="C1533" s="2" t="s">
        <v>9</v>
      </c>
      <c r="D1533" s="2" t="s">
        <v>10</v>
      </c>
      <c r="E1533" s="2" t="str">
        <f>HYPERLINK("http://ts.21cn.com/tousu/show/id/1332049","http://ts.21cn.com/tousu/show/id/1332049")</f>
        <v>http://ts.21cn.com/tousu/show/id/1332049</v>
      </c>
      <c r="F1533" s="2" t="s">
        <v>11</v>
      </c>
      <c r="G1533" s="2" t="s">
        <v>41134</v>
      </c>
      <c r="H1533" s="2" t="s">
        <v>41135</v>
      </c>
    </row>
    <row r="1534" spans="1:8" ht="25.05" customHeight="1" x14ac:dyDescent="0.25">
      <c r="A1534" s="2" t="s">
        <v>8</v>
      </c>
      <c r="B1534" s="2" t="str">
        <f>HYPERLINK("http://ts.21cn.com/tousu/show/id/1332050","闪电借款收取高额财神黑卡")</f>
        <v>闪电借款收取高额财神黑卡</v>
      </c>
      <c r="C1534" s="2" t="s">
        <v>9</v>
      </c>
      <c r="D1534" s="2" t="s">
        <v>10</v>
      </c>
      <c r="E1534" s="2" t="str">
        <f>HYPERLINK("http://ts.21cn.com/tousu/show/id/1332050","http://ts.21cn.com/tousu/show/id/1332050")</f>
        <v>http://ts.21cn.com/tousu/show/id/1332050</v>
      </c>
      <c r="F1534" s="2" t="s">
        <v>11</v>
      </c>
      <c r="G1534" s="2" t="s">
        <v>41132</v>
      </c>
      <c r="H1534" s="2" t="s">
        <v>41133</v>
      </c>
    </row>
    <row r="1535" spans="1:8" ht="25.05" customHeight="1" x14ac:dyDescent="0.25">
      <c r="A1535" s="2" t="s">
        <v>8</v>
      </c>
      <c r="B1535" s="2" t="str">
        <f>HYPERLINK("http://ts.21cn.com/tousu/show/id/1332051","特约中归还款")</f>
        <v>特约中归还款</v>
      </c>
      <c r="C1535" s="2" t="s">
        <v>9</v>
      </c>
      <c r="D1535" s="2" t="s">
        <v>10</v>
      </c>
      <c r="E1535" s="2" t="str">
        <f>HYPERLINK("http://ts.21cn.com/tousu/show/id/1332051","http://ts.21cn.com/tousu/show/id/1332051")</f>
        <v>http://ts.21cn.com/tousu/show/id/1332051</v>
      </c>
      <c r="F1535" s="2" t="s">
        <v>11</v>
      </c>
      <c r="G1535" s="2" t="s">
        <v>41130</v>
      </c>
      <c r="H1535" s="2" t="s">
        <v>41131</v>
      </c>
    </row>
    <row r="1536" spans="1:8" ht="25.05" customHeight="1" x14ac:dyDescent="0.25">
      <c r="A1536" s="2" t="s">
        <v>8</v>
      </c>
      <c r="B1536" s="2" t="str">
        <f>HYPERLINK("http://ts.21cn.com/tousu/show/id/1332053","信用管家蓝莓金服高利贷")</f>
        <v>信用管家蓝莓金服高利贷</v>
      </c>
      <c r="C1536" s="2" t="s">
        <v>9</v>
      </c>
      <c r="D1536" s="2" t="s">
        <v>10</v>
      </c>
      <c r="E1536" s="2" t="str">
        <f>HYPERLINK("http://ts.21cn.com/tousu/show/id/1332053","http://ts.21cn.com/tousu/show/id/1332053")</f>
        <v>http://ts.21cn.com/tousu/show/id/1332053</v>
      </c>
      <c r="F1536" s="2" t="s">
        <v>11</v>
      </c>
      <c r="G1536" s="2" t="s">
        <v>41128</v>
      </c>
      <c r="H1536" s="2" t="s">
        <v>41129</v>
      </c>
    </row>
    <row r="1537" spans="1:8" ht="25.05" customHeight="1" x14ac:dyDescent="0.25">
      <c r="A1537" s="2" t="s">
        <v>8</v>
      </c>
      <c r="B1537" s="2" t="str">
        <f>HYPERLINK("http://ts.21cn.com/tousu/show/id/1332052","轻周转芒果筹高利贷无法还款")</f>
        <v>轻周转芒果筹高利贷无法还款</v>
      </c>
      <c r="C1537" s="2" t="s">
        <v>9</v>
      </c>
      <c r="D1537" s="2" t="s">
        <v>10</v>
      </c>
      <c r="E1537" s="2" t="str">
        <f>HYPERLINK("http://ts.21cn.com/tousu/show/id/1332052","http://ts.21cn.com/tousu/show/id/1332052")</f>
        <v>http://ts.21cn.com/tousu/show/id/1332052</v>
      </c>
      <c r="F1537" s="2" t="s">
        <v>11</v>
      </c>
      <c r="G1537" s="2" t="s">
        <v>41126</v>
      </c>
      <c r="H1537" s="2" t="s">
        <v>41127</v>
      </c>
    </row>
    <row r="1538" spans="1:8" ht="25.05" customHeight="1" x14ac:dyDescent="0.25">
      <c r="A1538" s="2" t="s">
        <v>8</v>
      </c>
      <c r="B1538" s="2" t="str">
        <f>HYPERLINK("http://ts.21cn.com/tousu/show/id/1332054","支付宝平台上爱回收寄回手机故意划痕")</f>
        <v>支付宝平台上爱回收寄回手机故意划痕</v>
      </c>
      <c r="C1538" s="2" t="s">
        <v>34</v>
      </c>
      <c r="D1538" s="2" t="s">
        <v>10</v>
      </c>
      <c r="E1538" s="2" t="str">
        <f>HYPERLINK("http://ts.21cn.com/tousu/show/id/1332054","http://ts.21cn.com/tousu/show/id/1332054")</f>
        <v>http://ts.21cn.com/tousu/show/id/1332054</v>
      </c>
      <c r="F1538" s="2" t="s">
        <v>11</v>
      </c>
      <c r="G1538" s="2" t="s">
        <v>41124</v>
      </c>
      <c r="H1538" s="2" t="s">
        <v>41125</v>
      </c>
    </row>
    <row r="1539" spans="1:8" ht="25.05" customHeight="1" x14ac:dyDescent="0.25">
      <c r="A1539" s="2" t="s">
        <v>8</v>
      </c>
      <c r="B1539" s="2" t="str">
        <f>HYPERLINK("http://ts.21cn.com/tousu/show/id/1332055","安逸花无故锁定账号，乱扣费")</f>
        <v>安逸花无故锁定账号，乱扣费</v>
      </c>
      <c r="C1539" s="2" t="s">
        <v>9</v>
      </c>
      <c r="D1539" s="2" t="s">
        <v>10</v>
      </c>
      <c r="E1539" s="2" t="str">
        <f>HYPERLINK("http://ts.21cn.com/tousu/show/id/1332055","http://ts.21cn.com/tousu/show/id/1332055")</f>
        <v>http://ts.21cn.com/tousu/show/id/1332055</v>
      </c>
      <c r="F1539" s="2" t="s">
        <v>11</v>
      </c>
      <c r="G1539" s="2" t="s">
        <v>41122</v>
      </c>
      <c r="H1539" s="2" t="s">
        <v>41123</v>
      </c>
    </row>
    <row r="1540" spans="1:8" ht="25.05" customHeight="1" x14ac:dyDescent="0.25">
      <c r="A1540" s="2" t="s">
        <v>8</v>
      </c>
      <c r="B1540" s="2" t="str">
        <f>HYPERLINK("http://ts.21cn.com/tousu/show/id/1332057","水莲金条逾期协商还钱")</f>
        <v>水莲金条逾期协商还钱</v>
      </c>
      <c r="C1540" s="2" t="s">
        <v>9</v>
      </c>
      <c r="D1540" s="2" t="s">
        <v>10</v>
      </c>
      <c r="E1540" s="2" t="str">
        <f>HYPERLINK("http://ts.21cn.com/tousu/show/id/1332057","http://ts.21cn.com/tousu/show/id/1332057")</f>
        <v>http://ts.21cn.com/tousu/show/id/1332057</v>
      </c>
      <c r="F1540" s="2" t="s">
        <v>11</v>
      </c>
      <c r="G1540" s="2" t="s">
        <v>41120</v>
      </c>
      <c r="H1540" s="2" t="s">
        <v>41121</v>
      </c>
    </row>
    <row r="1541" spans="1:8" ht="25.05" customHeight="1" x14ac:dyDescent="0.25">
      <c r="A1541" s="2" t="s">
        <v>8</v>
      </c>
      <c r="B1541" s="2" t="str">
        <f>HYPERLINK("http://ts.21cn.com/tousu/show/id/1332059","高利贷，砍头息，阴阳合同")</f>
        <v>高利贷，砍头息，阴阳合同</v>
      </c>
      <c r="C1541" s="2" t="s">
        <v>9</v>
      </c>
      <c r="D1541" s="2" t="s">
        <v>10</v>
      </c>
      <c r="E1541" s="2" t="str">
        <f>HYPERLINK("http://ts.21cn.com/tousu/show/id/1332059","http://ts.21cn.com/tousu/show/id/1332059")</f>
        <v>http://ts.21cn.com/tousu/show/id/1332059</v>
      </c>
      <c r="F1541" s="2" t="s">
        <v>11</v>
      </c>
      <c r="G1541" s="2" t="s">
        <v>41118</v>
      </c>
      <c r="H1541" s="2" t="s">
        <v>41119</v>
      </c>
    </row>
    <row r="1542" spans="1:8" ht="25.05" customHeight="1" x14ac:dyDescent="0.25">
      <c r="A1542" s="2" t="s">
        <v>8</v>
      </c>
      <c r="B1542" s="2" t="str">
        <f>HYPERLINK("http://ts.21cn.com/tousu/show/id/1332058","松紧贷柯基贷骚扰")</f>
        <v>松紧贷柯基贷骚扰</v>
      </c>
      <c r="C1542" s="2" t="s">
        <v>9</v>
      </c>
      <c r="D1542" s="2" t="s">
        <v>10</v>
      </c>
      <c r="E1542" s="2" t="str">
        <f>HYPERLINK("http://ts.21cn.com/tousu/show/id/1332058","http://ts.21cn.com/tousu/show/id/1332058")</f>
        <v>http://ts.21cn.com/tousu/show/id/1332058</v>
      </c>
      <c r="F1542" s="2" t="s">
        <v>11</v>
      </c>
      <c r="G1542" s="2" t="s">
        <v>41116</v>
      </c>
      <c r="H1542" s="2" t="s">
        <v>41117</v>
      </c>
    </row>
    <row r="1543" spans="1:8" ht="25.05" customHeight="1" x14ac:dyDescent="0.25">
      <c r="A1543" s="2" t="s">
        <v>8</v>
      </c>
      <c r="B1543" s="2" t="str">
        <f>HYPERLINK("http://ts.21cn.com/tousu/show/id/1332060","玖富万卡擅自改写合同，变相收取费用，高利贷")</f>
        <v>玖富万卡擅自改写合同，变相收取费用，高利贷</v>
      </c>
      <c r="C1543" s="2" t="s">
        <v>9</v>
      </c>
      <c r="D1543" s="2" t="s">
        <v>10</v>
      </c>
      <c r="E1543" s="2" t="str">
        <f>HYPERLINK("http://ts.21cn.com/tousu/show/id/1332060","http://ts.21cn.com/tousu/show/id/1332060")</f>
        <v>http://ts.21cn.com/tousu/show/id/1332060</v>
      </c>
      <c r="F1543" s="2" t="s">
        <v>11</v>
      </c>
      <c r="G1543" s="2" t="s">
        <v>41114</v>
      </c>
      <c r="H1543" s="2" t="s">
        <v>41115</v>
      </c>
    </row>
    <row r="1544" spans="1:8" ht="25.05" customHeight="1" x14ac:dyDescent="0.25">
      <c r="A1544" s="2" t="s">
        <v>8</v>
      </c>
      <c r="B1544" s="2" t="str">
        <f>HYPERLINK("http://ts.21cn.com/tousu/show/id/1332061","信用管家，云享贷，高利贷")</f>
        <v>信用管家，云享贷，高利贷</v>
      </c>
      <c r="C1544" s="2" t="s">
        <v>9</v>
      </c>
      <c r="D1544" s="2" t="s">
        <v>10</v>
      </c>
      <c r="E1544" s="2" t="str">
        <f>HYPERLINK("http://ts.21cn.com/tousu/show/id/1332061","http://ts.21cn.com/tousu/show/id/1332061")</f>
        <v>http://ts.21cn.com/tousu/show/id/1332061</v>
      </c>
      <c r="F1544" s="2" t="s">
        <v>11</v>
      </c>
      <c r="G1544" s="2" t="s">
        <v>41112</v>
      </c>
      <c r="H1544" s="2" t="s">
        <v>41113</v>
      </c>
    </row>
    <row r="1545" spans="1:8" ht="25.05" customHeight="1" x14ac:dyDescent="0.25">
      <c r="A1545" s="2" t="s">
        <v>8</v>
      </c>
      <c r="B1545" s="2" t="str">
        <f>HYPERLINK("http://ts.21cn.com/tousu/show/id/1332062","被恶意扣款299")</f>
        <v>被恶意扣款299</v>
      </c>
      <c r="C1545" s="2" t="s">
        <v>9</v>
      </c>
      <c r="D1545" s="2" t="s">
        <v>10</v>
      </c>
      <c r="E1545" s="2" t="str">
        <f>HYPERLINK("http://ts.21cn.com/tousu/show/id/1332062","http://ts.21cn.com/tousu/show/id/1332062")</f>
        <v>http://ts.21cn.com/tousu/show/id/1332062</v>
      </c>
      <c r="F1545" s="2" t="s">
        <v>11</v>
      </c>
      <c r="G1545" s="2" t="s">
        <v>41110</v>
      </c>
      <c r="H1545" s="2" t="s">
        <v>41111</v>
      </c>
    </row>
    <row r="1546" spans="1:8" ht="25.05" customHeight="1" x14ac:dyDescent="0.25">
      <c r="A1546" s="2" t="s">
        <v>8</v>
      </c>
      <c r="B1546" s="2" t="str">
        <f>HYPERLINK("http://ts.21cn.com/tousu/show/id/1332063","融360上的要钱快高利贷砍头息")</f>
        <v>融360上的要钱快高利贷砍头息</v>
      </c>
      <c r="C1546" s="2" t="s">
        <v>9</v>
      </c>
      <c r="D1546" s="2" t="s">
        <v>10</v>
      </c>
      <c r="E1546" s="2" t="str">
        <f>HYPERLINK("http://ts.21cn.com/tousu/show/id/1332063","http://ts.21cn.com/tousu/show/id/1332063")</f>
        <v>http://ts.21cn.com/tousu/show/id/1332063</v>
      </c>
      <c r="F1546" s="2" t="s">
        <v>11</v>
      </c>
      <c r="G1546" s="2" t="s">
        <v>41108</v>
      </c>
      <c r="H1546" s="2" t="s">
        <v>41109</v>
      </c>
    </row>
    <row r="1547" spans="1:8" ht="25.05" customHeight="1" x14ac:dyDescent="0.25">
      <c r="A1547" s="2" t="s">
        <v>8</v>
      </c>
      <c r="B1547" s="2" t="str">
        <f>HYPERLINK("http://ts.21cn.com/tousu/show/id/1332064","小花钱包涉及714高炮以及暴力催收，涉黑")</f>
        <v>小花钱包涉及714高炮以及暴力催收，涉黑</v>
      </c>
      <c r="C1547" s="2" t="s">
        <v>9</v>
      </c>
      <c r="D1547" s="2" t="s">
        <v>10</v>
      </c>
      <c r="E1547" s="2" t="str">
        <f>HYPERLINK("http://ts.21cn.com/tousu/show/id/1332064","http://ts.21cn.com/tousu/show/id/1332064")</f>
        <v>http://ts.21cn.com/tousu/show/id/1332064</v>
      </c>
      <c r="F1547" s="2" t="s">
        <v>11</v>
      </c>
      <c r="G1547" s="2" t="s">
        <v>41106</v>
      </c>
      <c r="H1547" s="2" t="s">
        <v>41107</v>
      </c>
    </row>
    <row r="1548" spans="1:8" ht="25.05" customHeight="1" x14ac:dyDescent="0.25">
      <c r="A1548" s="2" t="s">
        <v>8</v>
      </c>
      <c r="B1548" s="2" t="str">
        <f>HYPERLINK("http://ts.21cn.com/tousu/show/id/1332065","还款不承认，还无法发送邮箱")</f>
        <v>还款不承认，还无法发送邮箱</v>
      </c>
      <c r="C1548" s="2" t="s">
        <v>34</v>
      </c>
      <c r="D1548" s="2" t="s">
        <v>10</v>
      </c>
      <c r="E1548" s="2" t="str">
        <f>HYPERLINK("http://ts.21cn.com/tousu/show/id/1332065","http://ts.21cn.com/tousu/show/id/1332065")</f>
        <v>http://ts.21cn.com/tousu/show/id/1332065</v>
      </c>
      <c r="F1548" s="2" t="s">
        <v>11</v>
      </c>
      <c r="G1548" s="2" t="s">
        <v>41104</v>
      </c>
      <c r="H1548" s="2" t="s">
        <v>41105</v>
      </c>
    </row>
    <row r="1549" spans="1:8" ht="25.05" customHeight="1" x14ac:dyDescent="0.25">
      <c r="A1549" s="2" t="s">
        <v>8</v>
      </c>
      <c r="B1549" s="2" t="str">
        <f>HYPERLINK("http://ts.21cn.com/tousu/show/id/1332067","2345网络贷款公司糊乱扣费")</f>
        <v>2345网络贷款公司糊乱扣费</v>
      </c>
      <c r="C1549" s="2" t="s">
        <v>9</v>
      </c>
      <c r="D1549" s="2" t="s">
        <v>10</v>
      </c>
      <c r="E1549" s="2" t="str">
        <f>HYPERLINK("http://ts.21cn.com/tousu/show/id/1332067","http://ts.21cn.com/tousu/show/id/1332067")</f>
        <v>http://ts.21cn.com/tousu/show/id/1332067</v>
      </c>
      <c r="F1549" s="2" t="s">
        <v>11</v>
      </c>
      <c r="G1549" s="2" t="s">
        <v>41102</v>
      </c>
      <c r="H1549" s="2" t="s">
        <v>41103</v>
      </c>
    </row>
    <row r="1550" spans="1:8" ht="25.05" customHeight="1" x14ac:dyDescent="0.25">
      <c r="A1550" s="2" t="s">
        <v>8</v>
      </c>
      <c r="B1550" s="2" t="str">
        <f>HYPERLINK("http://ts.21cn.com/tousu/show/id/1332068","请求提前还款减免费用")</f>
        <v>请求提前还款减免费用</v>
      </c>
      <c r="C1550" s="2" t="s">
        <v>34</v>
      </c>
      <c r="D1550" s="2" t="s">
        <v>10</v>
      </c>
      <c r="E1550" s="2" t="str">
        <f>HYPERLINK("http://ts.21cn.com/tousu/show/id/1332068","http://ts.21cn.com/tousu/show/id/1332068")</f>
        <v>http://ts.21cn.com/tousu/show/id/1332068</v>
      </c>
      <c r="F1550" s="2" t="s">
        <v>11</v>
      </c>
      <c r="G1550" s="2" t="s">
        <v>41100</v>
      </c>
      <c r="H1550" s="2" t="s">
        <v>41101</v>
      </c>
    </row>
    <row r="1551" spans="1:8" ht="25.05" customHeight="1" x14ac:dyDescent="0.25">
      <c r="A1551" s="2" t="s">
        <v>8</v>
      </c>
      <c r="B1551" s="2" t="str">
        <f>HYPERLINK("http://ts.21cn.com/tousu/show/id/1332069","卡牛瑞贷高利息高逾期费")</f>
        <v>卡牛瑞贷高利息高逾期费</v>
      </c>
      <c r="C1551" s="2" t="s">
        <v>34</v>
      </c>
      <c r="D1551" s="2" t="s">
        <v>10</v>
      </c>
      <c r="E1551" s="2" t="str">
        <f>HYPERLINK("http://ts.21cn.com/tousu/show/id/1332069","http://ts.21cn.com/tousu/show/id/1332069")</f>
        <v>http://ts.21cn.com/tousu/show/id/1332069</v>
      </c>
      <c r="F1551" s="2" t="s">
        <v>11</v>
      </c>
      <c r="G1551" s="2" t="s">
        <v>41098</v>
      </c>
      <c r="H1551" s="2" t="s">
        <v>41099</v>
      </c>
    </row>
    <row r="1552" spans="1:8" ht="25.05" customHeight="1" x14ac:dyDescent="0.25">
      <c r="A1552" s="2" t="s">
        <v>8</v>
      </c>
      <c r="B1552" s="2" t="str">
        <f>HYPERLINK("http://ts.21cn.com/tousu/show/id/1332070","立借APP变相高利贷威胁恐吓")</f>
        <v>立借APP变相高利贷威胁恐吓</v>
      </c>
      <c r="C1552" s="2" t="s">
        <v>9</v>
      </c>
      <c r="D1552" s="2" t="s">
        <v>10</v>
      </c>
      <c r="E1552" s="2" t="str">
        <f>HYPERLINK("http://ts.21cn.com/tousu/show/id/1332070","http://ts.21cn.com/tousu/show/id/1332070")</f>
        <v>http://ts.21cn.com/tousu/show/id/1332070</v>
      </c>
      <c r="F1552" s="2" t="s">
        <v>11</v>
      </c>
      <c r="G1552" s="2" t="s">
        <v>41096</v>
      </c>
      <c r="H1552" s="2" t="s">
        <v>41097</v>
      </c>
    </row>
    <row r="1553" spans="1:8" ht="25.05" customHeight="1" x14ac:dyDescent="0.25">
      <c r="A1553" s="2" t="s">
        <v>8</v>
      </c>
      <c r="B1553" s="2" t="str">
        <f>HYPERLINK("http://ts.21cn.com/tousu/show/id/1332071","招联金融暴力催收威胁")</f>
        <v>招联金融暴力催收威胁</v>
      </c>
      <c r="C1553" s="2" t="s">
        <v>9</v>
      </c>
      <c r="D1553" s="2" t="s">
        <v>10</v>
      </c>
      <c r="E1553" s="2" t="str">
        <f>HYPERLINK("http://ts.21cn.com/tousu/show/id/1332071","http://ts.21cn.com/tousu/show/id/1332071")</f>
        <v>http://ts.21cn.com/tousu/show/id/1332071</v>
      </c>
      <c r="F1553" s="2" t="s">
        <v>11</v>
      </c>
      <c r="G1553" s="2" t="s">
        <v>41094</v>
      </c>
      <c r="H1553" s="2" t="s">
        <v>41095</v>
      </c>
    </row>
    <row r="1554" spans="1:8" ht="25.05" customHeight="1" x14ac:dyDescent="0.25">
      <c r="A1554" s="2" t="s">
        <v>8</v>
      </c>
      <c r="B1554" s="2" t="str">
        <f>HYPERLINK("http://ts.21cn.com/tousu/show/id/1332072","这个电话长期打电话骚扰我及我家人")</f>
        <v>这个电话长期打电话骚扰我及我家人</v>
      </c>
      <c r="C1554" s="2" t="s">
        <v>9</v>
      </c>
      <c r="D1554" s="2" t="s">
        <v>10</v>
      </c>
      <c r="E1554" s="2" t="str">
        <f>HYPERLINK("http://ts.21cn.com/tousu/show/id/1332072","http://ts.21cn.com/tousu/show/id/1332072")</f>
        <v>http://ts.21cn.com/tousu/show/id/1332072</v>
      </c>
      <c r="F1554" s="2" t="s">
        <v>11</v>
      </c>
      <c r="G1554" s="2" t="s">
        <v>41092</v>
      </c>
      <c r="H1554" s="2" t="s">
        <v>41093</v>
      </c>
    </row>
    <row r="1555" spans="1:8" ht="25.05" customHeight="1" x14ac:dyDescent="0.25">
      <c r="A1555" s="2" t="s">
        <v>8</v>
      </c>
      <c r="B1555" s="2" t="str">
        <f>HYPERLINK("http://ts.21cn.com/tousu/show/id/1332073","游戏充值未到账")</f>
        <v>游戏充值未到账</v>
      </c>
      <c r="C1555" s="2" t="s">
        <v>9</v>
      </c>
      <c r="D1555" s="2" t="s">
        <v>10</v>
      </c>
      <c r="E1555" s="2" t="str">
        <f>HYPERLINK("http://ts.21cn.com/tousu/show/id/1332073","http://ts.21cn.com/tousu/show/id/1332073")</f>
        <v>http://ts.21cn.com/tousu/show/id/1332073</v>
      </c>
      <c r="F1555" s="2" t="s">
        <v>11</v>
      </c>
      <c r="G1555" s="2" t="s">
        <v>41090</v>
      </c>
      <c r="H1555" s="2" t="s">
        <v>41091</v>
      </c>
    </row>
    <row r="1556" spans="1:8" ht="25.05" customHeight="1" x14ac:dyDescent="0.25">
      <c r="A1556" s="2" t="s">
        <v>8</v>
      </c>
      <c r="B1556" s="2" t="str">
        <f>HYPERLINK("http://ts.21cn.com/tousu/show/id/1332074","众安保险不给退保费")</f>
        <v>众安保险不给退保费</v>
      </c>
      <c r="C1556" s="2" t="s">
        <v>9</v>
      </c>
      <c r="D1556" s="2" t="s">
        <v>10</v>
      </c>
      <c r="E1556" s="2" t="str">
        <f>HYPERLINK("http://ts.21cn.com/tousu/show/id/1332074","http://ts.21cn.com/tousu/show/id/1332074")</f>
        <v>http://ts.21cn.com/tousu/show/id/1332074</v>
      </c>
      <c r="F1556" s="2" t="s">
        <v>11</v>
      </c>
      <c r="G1556" s="2" t="s">
        <v>41088</v>
      </c>
      <c r="H1556" s="2" t="s">
        <v>41089</v>
      </c>
    </row>
    <row r="1557" spans="1:8" ht="25.05" customHeight="1" x14ac:dyDescent="0.25">
      <c r="A1557" s="2" t="s">
        <v>8</v>
      </c>
      <c r="B1557" s="2" t="str">
        <f>HYPERLINK("http://ts.21cn.com/tousu/show/id/1332075","马上消费暴力催收问要工号说你不能要我工号？呵呵")</f>
        <v>马上消费暴力催收问要工号说你不能要我工号？呵呵</v>
      </c>
      <c r="C1557" s="2" t="s">
        <v>9</v>
      </c>
      <c r="D1557" s="2" t="s">
        <v>10</v>
      </c>
      <c r="E1557" s="2" t="str">
        <f>HYPERLINK("http://ts.21cn.com/tousu/show/id/1332075","http://ts.21cn.com/tousu/show/id/1332075")</f>
        <v>http://ts.21cn.com/tousu/show/id/1332075</v>
      </c>
      <c r="F1557" s="2" t="s">
        <v>11</v>
      </c>
      <c r="G1557" s="2" t="s">
        <v>41086</v>
      </c>
      <c r="H1557" s="2" t="s">
        <v>41087</v>
      </c>
    </row>
    <row r="1558" spans="1:8" ht="25.05" customHeight="1" x14ac:dyDescent="0.25">
      <c r="A1558" s="2" t="s">
        <v>8</v>
      </c>
      <c r="B1558" s="2" t="str">
        <f>HYPERLINK("http://ts.21cn.com/tousu/show/id/1332077","建设银行2次扣款，在我没有授权的和接收任何验证信息的情况下，无故扣款！要求解释和退款！")</f>
        <v>建设银行2次扣款，在我没有授权的和接收任何验证信息的情况下，无故扣款！要求解释和退款！</v>
      </c>
      <c r="C1558" s="2" t="s">
        <v>34</v>
      </c>
      <c r="D1558" s="2" t="s">
        <v>10</v>
      </c>
      <c r="E1558" s="2" t="str">
        <f>HYPERLINK("http://ts.21cn.com/tousu/show/id/1332077","http://ts.21cn.com/tousu/show/id/1332077")</f>
        <v>http://ts.21cn.com/tousu/show/id/1332077</v>
      </c>
      <c r="F1558" s="2" t="s">
        <v>11</v>
      </c>
      <c r="G1558" s="2" t="s">
        <v>41084</v>
      </c>
      <c r="H1558" s="2" t="s">
        <v>41085</v>
      </c>
    </row>
    <row r="1559" spans="1:8" ht="25.05" customHeight="1" x14ac:dyDescent="0.25">
      <c r="A1559" s="2" t="s">
        <v>8</v>
      </c>
      <c r="B1559" s="2" t="str">
        <f>HYPERLINK("http://ts.21cn.com/tousu/show/id/1332078","马上消费金融重复扣款")</f>
        <v>马上消费金融重复扣款</v>
      </c>
      <c r="C1559" s="2" t="s">
        <v>9</v>
      </c>
      <c r="D1559" s="2" t="s">
        <v>10</v>
      </c>
      <c r="E1559" s="2" t="str">
        <f>HYPERLINK("http://ts.21cn.com/tousu/show/id/1332078","http://ts.21cn.com/tousu/show/id/1332078")</f>
        <v>http://ts.21cn.com/tousu/show/id/1332078</v>
      </c>
      <c r="F1559" s="2" t="s">
        <v>11</v>
      </c>
      <c r="G1559" s="2" t="s">
        <v>41082</v>
      </c>
      <c r="H1559" s="2" t="s">
        <v>41083</v>
      </c>
    </row>
    <row r="1560" spans="1:8" ht="25.05" customHeight="1" x14ac:dyDescent="0.25">
      <c r="A1560" s="2" t="s">
        <v>8</v>
      </c>
      <c r="B1560" s="2" t="str">
        <f>HYPERLINK("http://ts.21cn.com/tousu/show/id/1332079","钱站高利贷阴阳合同")</f>
        <v>钱站高利贷阴阳合同</v>
      </c>
      <c r="C1560" s="2" t="s">
        <v>9</v>
      </c>
      <c r="D1560" s="2" t="s">
        <v>10</v>
      </c>
      <c r="E1560" s="2" t="str">
        <f>HYPERLINK("http://ts.21cn.com/tousu/show/id/1332079","http://ts.21cn.com/tousu/show/id/1332079")</f>
        <v>http://ts.21cn.com/tousu/show/id/1332079</v>
      </c>
      <c r="F1560" s="2" t="s">
        <v>11</v>
      </c>
      <c r="G1560" s="2" t="s">
        <v>41080</v>
      </c>
      <c r="H1560" s="2" t="s">
        <v>41081</v>
      </c>
    </row>
    <row r="1561" spans="1:8" ht="25.05" customHeight="1" x14ac:dyDescent="0.25">
      <c r="A1561" s="2" t="s">
        <v>8</v>
      </c>
      <c r="B1561" s="2" t="str">
        <f>HYPERLINK("http://ts.21cn.com/tousu/show/id/1332080","汇付数据为非法网站提供收单业务，要求退回经济损失")</f>
        <v>汇付数据为非法网站提供收单业务，要求退回经济损失</v>
      </c>
      <c r="C1561" s="2" t="s">
        <v>9</v>
      </c>
      <c r="D1561" s="2" t="s">
        <v>10</v>
      </c>
      <c r="E1561" s="2" t="str">
        <f>HYPERLINK("http://ts.21cn.com/tousu/show/id/1332080","http://ts.21cn.com/tousu/show/id/1332080")</f>
        <v>http://ts.21cn.com/tousu/show/id/1332080</v>
      </c>
      <c r="F1561" s="2" t="s">
        <v>11</v>
      </c>
      <c r="G1561" s="2" t="s">
        <v>41078</v>
      </c>
      <c r="H1561" s="2" t="s">
        <v>41079</v>
      </c>
    </row>
    <row r="1562" spans="1:8" ht="25.05" customHeight="1" x14ac:dyDescent="0.25">
      <c r="A1562" s="2" t="s">
        <v>8</v>
      </c>
      <c r="B1562" s="2" t="str">
        <f>HYPERLINK("http://ts.21cn.com/tousu/show/id/1332081","自动扣钱")</f>
        <v>自动扣钱</v>
      </c>
      <c r="C1562" s="2" t="s">
        <v>34</v>
      </c>
      <c r="D1562" s="2" t="s">
        <v>10</v>
      </c>
      <c r="E1562" s="2" t="str">
        <f>HYPERLINK("http://ts.21cn.com/tousu/show/id/1332081","http://ts.21cn.com/tousu/show/id/1332081")</f>
        <v>http://ts.21cn.com/tousu/show/id/1332081</v>
      </c>
      <c r="F1562" s="2" t="s">
        <v>11</v>
      </c>
      <c r="G1562" s="2" t="s">
        <v>41076</v>
      </c>
      <c r="H1562" s="2" t="s">
        <v>41077</v>
      </c>
    </row>
    <row r="1563" spans="1:8" ht="25.05" customHeight="1" x14ac:dyDescent="0.25">
      <c r="A1563" s="2" t="s">
        <v>8</v>
      </c>
      <c r="B1563" s="2" t="str">
        <f>HYPERLINK("http://ts.21cn.com/tousu/show/id/1332082","维信豆豆钱，高利贷，暴力催收")</f>
        <v>维信豆豆钱，高利贷，暴力催收</v>
      </c>
      <c r="C1563" s="2" t="s">
        <v>9</v>
      </c>
      <c r="D1563" s="2" t="s">
        <v>10</v>
      </c>
      <c r="E1563" s="2" t="str">
        <f>HYPERLINK("http://ts.21cn.com/tousu/show/id/1332082","http://ts.21cn.com/tousu/show/id/1332082")</f>
        <v>http://ts.21cn.com/tousu/show/id/1332082</v>
      </c>
      <c r="F1563" s="2" t="s">
        <v>11</v>
      </c>
      <c r="G1563" s="2" t="s">
        <v>41074</v>
      </c>
      <c r="H1563" s="2" t="s">
        <v>41075</v>
      </c>
    </row>
    <row r="1564" spans="1:8" ht="25.05" customHeight="1" x14ac:dyDescent="0.25">
      <c r="A1564" s="2" t="s">
        <v>8</v>
      </c>
      <c r="B1564" s="2" t="str">
        <f>HYPERLINK("http://ts.21cn.com/tousu/show/id/1332083","新橙优品砍头费，高利息")</f>
        <v>新橙优品砍头费，高利息</v>
      </c>
      <c r="C1564" s="2" t="s">
        <v>34</v>
      </c>
      <c r="D1564" s="2" t="s">
        <v>10</v>
      </c>
      <c r="E1564" s="2" t="str">
        <f>HYPERLINK("http://ts.21cn.com/tousu/show/id/1332083","http://ts.21cn.com/tousu/show/id/1332083")</f>
        <v>http://ts.21cn.com/tousu/show/id/1332083</v>
      </c>
      <c r="F1564" s="2" t="s">
        <v>11</v>
      </c>
      <c r="G1564" s="2" t="s">
        <v>41072</v>
      </c>
      <c r="H1564" s="2" t="s">
        <v>41073</v>
      </c>
    </row>
    <row r="1565" spans="1:8" ht="25.05" customHeight="1" x14ac:dyDescent="0.25">
      <c r="A1565" s="2" t="s">
        <v>8</v>
      </c>
      <c r="B1565" s="2" t="str">
        <f>HYPERLINK("http://ts.21cn.com/tousu/show/id/1332084","小赢卡贷在不知情的情况下捆绑消费")</f>
        <v>小赢卡贷在不知情的情况下捆绑消费</v>
      </c>
      <c r="C1565" s="2" t="s">
        <v>9</v>
      </c>
      <c r="D1565" s="2" t="s">
        <v>10</v>
      </c>
      <c r="E1565" s="2" t="str">
        <f>HYPERLINK("http://ts.21cn.com/tousu/show/id/1332084","http://ts.21cn.com/tousu/show/id/1332084")</f>
        <v>http://ts.21cn.com/tousu/show/id/1332084</v>
      </c>
      <c r="F1565" s="2" t="s">
        <v>11</v>
      </c>
      <c r="G1565" s="2" t="s">
        <v>41070</v>
      </c>
      <c r="H1565" s="2" t="s">
        <v>41071</v>
      </c>
    </row>
    <row r="1566" spans="1:8" ht="25.05" customHeight="1" x14ac:dyDescent="0.25">
      <c r="A1566" s="2" t="s">
        <v>8</v>
      </c>
      <c r="B1566" s="2" t="str">
        <f>HYPERLINK("http://ts.21cn.com/tousu/show/id/1332085","马上消费金融公司安逸花锁定个人账号")</f>
        <v>马上消费金融公司安逸花锁定个人账号</v>
      </c>
      <c r="C1566" s="2" t="s">
        <v>34</v>
      </c>
      <c r="D1566" s="2" t="s">
        <v>10</v>
      </c>
      <c r="E1566" s="2" t="str">
        <f>HYPERLINK("http://ts.21cn.com/tousu/show/id/1332085","http://ts.21cn.com/tousu/show/id/1332085")</f>
        <v>http://ts.21cn.com/tousu/show/id/1332085</v>
      </c>
      <c r="F1566" s="2" t="s">
        <v>11</v>
      </c>
      <c r="G1566" s="2" t="s">
        <v>41068</v>
      </c>
      <c r="H1566" s="2" t="s">
        <v>41069</v>
      </c>
    </row>
    <row r="1567" spans="1:8" ht="25.05" customHeight="1" x14ac:dyDescent="0.25">
      <c r="A1567" s="2" t="s">
        <v>8</v>
      </c>
      <c r="B1567" s="2" t="str">
        <f>HYPERLINK("http://ts.21cn.com/tousu/show/id/1332086","东方融资网未成功办理贷款，拒退服务费")</f>
        <v>东方融资网未成功办理贷款，拒退服务费</v>
      </c>
      <c r="C1567" s="2" t="s">
        <v>9</v>
      </c>
      <c r="D1567" s="2" t="s">
        <v>10</v>
      </c>
      <c r="E1567" s="2" t="str">
        <f>HYPERLINK("http://ts.21cn.com/tousu/show/id/1332086","http://ts.21cn.com/tousu/show/id/1332086")</f>
        <v>http://ts.21cn.com/tousu/show/id/1332086</v>
      </c>
      <c r="F1567" s="2" t="s">
        <v>11</v>
      </c>
      <c r="G1567" s="2" t="s">
        <v>41066</v>
      </c>
      <c r="H1567" s="2" t="s">
        <v>41067</v>
      </c>
    </row>
    <row r="1568" spans="1:8" ht="25.05" customHeight="1" x14ac:dyDescent="0.25">
      <c r="A1568" s="2" t="s">
        <v>8</v>
      </c>
      <c r="B1568" s="2" t="str">
        <f>HYPERLINK("http://ts.21cn.com/tousu/show/id/1332087","京东自营药店拒绝退换货")</f>
        <v>京东自营药店拒绝退换货</v>
      </c>
      <c r="C1568" s="2" t="s">
        <v>9</v>
      </c>
      <c r="D1568" s="2" t="s">
        <v>10</v>
      </c>
      <c r="E1568" s="2" t="str">
        <f>HYPERLINK("http://ts.21cn.com/tousu/show/id/1332087","http://ts.21cn.com/tousu/show/id/1332087")</f>
        <v>http://ts.21cn.com/tousu/show/id/1332087</v>
      </c>
      <c r="F1568" s="2" t="s">
        <v>11</v>
      </c>
      <c r="G1568" s="2" t="s">
        <v>41064</v>
      </c>
      <c r="H1568" s="2" t="s">
        <v>41065</v>
      </c>
    </row>
    <row r="1569" spans="1:8" ht="25.05" customHeight="1" x14ac:dyDescent="0.25">
      <c r="A1569" s="2" t="s">
        <v>8</v>
      </c>
      <c r="B1569" s="2" t="str">
        <f>HYPERLINK("http://ts.21cn.com/tousu/show/id/1332088","砍头息。高利贷，骚扰")</f>
        <v>砍头息。高利贷，骚扰</v>
      </c>
      <c r="C1569" s="2" t="s">
        <v>9</v>
      </c>
      <c r="D1569" s="2" t="s">
        <v>10</v>
      </c>
      <c r="E1569" s="2" t="str">
        <f>HYPERLINK("http://ts.21cn.com/tousu/show/id/1332088","http://ts.21cn.com/tousu/show/id/1332088")</f>
        <v>http://ts.21cn.com/tousu/show/id/1332088</v>
      </c>
      <c r="F1569" s="2" t="s">
        <v>11</v>
      </c>
      <c r="G1569" s="2" t="s">
        <v>41062</v>
      </c>
      <c r="H1569" s="2" t="s">
        <v>41063</v>
      </c>
    </row>
    <row r="1570" spans="1:8" ht="25.05" customHeight="1" x14ac:dyDescent="0.25">
      <c r="A1570" s="2" t="s">
        <v>8</v>
      </c>
      <c r="B1570" s="2" t="str">
        <f>HYPERLINK("http://ts.21cn.com/tousu/show/id/1332089","松紧贷恶意骚扰恐吓")</f>
        <v>松紧贷恶意骚扰恐吓</v>
      </c>
      <c r="C1570" s="2" t="s">
        <v>9</v>
      </c>
      <c r="D1570" s="2" t="s">
        <v>10</v>
      </c>
      <c r="E1570" s="2" t="str">
        <f>HYPERLINK("http://ts.21cn.com/tousu/show/id/1332089","http://ts.21cn.com/tousu/show/id/1332089")</f>
        <v>http://ts.21cn.com/tousu/show/id/1332089</v>
      </c>
      <c r="F1570" s="2" t="s">
        <v>11</v>
      </c>
      <c r="G1570" s="2" t="s">
        <v>41060</v>
      </c>
      <c r="H1570" s="2" t="s">
        <v>41061</v>
      </c>
    </row>
    <row r="1571" spans="1:8" ht="25.05" customHeight="1" x14ac:dyDescent="0.25">
      <c r="A1571" s="2" t="s">
        <v>8</v>
      </c>
      <c r="B1571" s="2" t="str">
        <f>HYPERLINK("http://ts.21cn.com/tousu/show/id/1332094","立借钱置宝高利贷砍头息")</f>
        <v>立借钱置宝高利贷砍头息</v>
      </c>
      <c r="C1571" s="2" t="s">
        <v>9</v>
      </c>
      <c r="D1571" s="2" t="s">
        <v>10</v>
      </c>
      <c r="E1571" s="2" t="str">
        <f>HYPERLINK("http://ts.21cn.com/tousu/show/id/1332094","http://ts.21cn.com/tousu/show/id/1332094")</f>
        <v>http://ts.21cn.com/tousu/show/id/1332094</v>
      </c>
      <c r="F1571" s="2" t="s">
        <v>11</v>
      </c>
      <c r="G1571" s="2" t="s">
        <v>41058</v>
      </c>
      <c r="H1571" s="2" t="s">
        <v>41059</v>
      </c>
    </row>
    <row r="1572" spans="1:8" ht="25.05" customHeight="1" x14ac:dyDescent="0.25">
      <c r="A1572" s="2" t="s">
        <v>8</v>
      </c>
      <c r="B1572" s="2" t="str">
        <f>HYPERLINK("http://ts.21cn.com/tousu/show/id/1332090","按时还款，未有逾期，提前还款，额度被冻结，无法借出")</f>
        <v>按时还款，未有逾期，提前还款，额度被冻结，无法借出</v>
      </c>
      <c r="C1572" s="2" t="s">
        <v>9</v>
      </c>
      <c r="D1572" s="2" t="s">
        <v>10</v>
      </c>
      <c r="E1572" s="2" t="str">
        <f>HYPERLINK("http://ts.21cn.com/tousu/show/id/1332090","http://ts.21cn.com/tousu/show/id/1332090")</f>
        <v>http://ts.21cn.com/tousu/show/id/1332090</v>
      </c>
      <c r="F1572" s="2" t="s">
        <v>11</v>
      </c>
      <c r="G1572" s="2" t="s">
        <v>41056</v>
      </c>
      <c r="H1572" s="2" t="s">
        <v>41057</v>
      </c>
    </row>
    <row r="1573" spans="1:8" ht="25.05" customHeight="1" x14ac:dyDescent="0.25">
      <c r="A1573" s="2" t="s">
        <v>8</v>
      </c>
      <c r="B1573" s="2" t="str">
        <f>HYPERLINK("http://ts.21cn.com/tousu/show/id/1332091","网贷遭暴力催收完全不给协商不了")</f>
        <v>网贷遭暴力催收完全不给协商不了</v>
      </c>
      <c r="C1573" s="2" t="s">
        <v>9</v>
      </c>
      <c r="D1573" s="2" t="s">
        <v>10</v>
      </c>
      <c r="E1573" s="2" t="str">
        <f>HYPERLINK("http://ts.21cn.com/tousu/show/id/1332091","http://ts.21cn.com/tousu/show/id/1332091")</f>
        <v>http://ts.21cn.com/tousu/show/id/1332091</v>
      </c>
      <c r="F1573" s="2" t="s">
        <v>11</v>
      </c>
      <c r="G1573" s="2" t="s">
        <v>41054</v>
      </c>
      <c r="H1573" s="2" t="s">
        <v>41055</v>
      </c>
    </row>
    <row r="1574" spans="1:8" ht="25.05" customHeight="1" x14ac:dyDescent="0.25">
      <c r="A1574" s="2" t="s">
        <v>8</v>
      </c>
      <c r="B1574" s="2" t="str">
        <f>HYPERLINK("http://ts.21cn.com/tousu/show/id/1332092","平安银行违规催收")</f>
        <v>平安银行违规催收</v>
      </c>
      <c r="C1574" s="2" t="s">
        <v>9</v>
      </c>
      <c r="D1574" s="2" t="s">
        <v>10</v>
      </c>
      <c r="E1574" s="2" t="str">
        <f>HYPERLINK("http://ts.21cn.com/tousu/show/id/1332092","http://ts.21cn.com/tousu/show/id/1332092")</f>
        <v>http://ts.21cn.com/tousu/show/id/1332092</v>
      </c>
      <c r="F1574" s="2" t="s">
        <v>11</v>
      </c>
      <c r="G1574" s="2" t="s">
        <v>41052</v>
      </c>
      <c r="H1574" s="2" t="s">
        <v>41053</v>
      </c>
    </row>
    <row r="1575" spans="1:8" ht="25.05" customHeight="1" x14ac:dyDescent="0.25">
      <c r="A1575" s="2" t="s">
        <v>8</v>
      </c>
      <c r="B1575" s="2" t="str">
        <f>HYPERLINK("http://ts.21cn.com/tousu/show/id/1332093","投诉玖富借款平台")</f>
        <v>投诉玖富借款平台</v>
      </c>
      <c r="C1575" s="2" t="s">
        <v>9</v>
      </c>
      <c r="D1575" s="2" t="s">
        <v>10</v>
      </c>
      <c r="E1575" s="2" t="str">
        <f>HYPERLINK("http://ts.21cn.com/tousu/show/id/1332093","http://ts.21cn.com/tousu/show/id/1332093")</f>
        <v>http://ts.21cn.com/tousu/show/id/1332093</v>
      </c>
      <c r="F1575" s="2" t="s">
        <v>11</v>
      </c>
      <c r="G1575" s="2" t="s">
        <v>41050</v>
      </c>
      <c r="H1575" s="2" t="s">
        <v>41051</v>
      </c>
    </row>
    <row r="1576" spans="1:8" ht="25.05" customHeight="1" x14ac:dyDescent="0.25">
      <c r="A1576" s="2" t="s">
        <v>8</v>
      </c>
      <c r="B1576" s="2" t="str">
        <f>HYPERLINK("http://ts.21cn.com/tousu/show/id/1332095","砍头息，逾期一天扣90元")</f>
        <v>砍头息，逾期一天扣90元</v>
      </c>
      <c r="C1576" s="2" t="s">
        <v>9</v>
      </c>
      <c r="D1576" s="2" t="s">
        <v>10</v>
      </c>
      <c r="E1576" s="2" t="str">
        <f>HYPERLINK("http://ts.21cn.com/tousu/show/id/1332095","http://ts.21cn.com/tousu/show/id/1332095")</f>
        <v>http://ts.21cn.com/tousu/show/id/1332095</v>
      </c>
      <c r="F1576" s="2" t="s">
        <v>11</v>
      </c>
      <c r="G1576" s="2" t="s">
        <v>41048</v>
      </c>
      <c r="H1576" s="2" t="s">
        <v>41049</v>
      </c>
    </row>
    <row r="1577" spans="1:8" ht="25.05" customHeight="1" x14ac:dyDescent="0.25">
      <c r="A1577" s="2" t="s">
        <v>8</v>
      </c>
      <c r="B1577" s="2" t="str">
        <f>HYPERLINK("http://ts.21cn.com/tousu/show/id/1332096","扣款金额大于还款金额")</f>
        <v>扣款金额大于还款金额</v>
      </c>
      <c r="C1577" s="2" t="s">
        <v>34</v>
      </c>
      <c r="D1577" s="2" t="s">
        <v>10</v>
      </c>
      <c r="E1577" s="2" t="str">
        <f>HYPERLINK("http://ts.21cn.com/tousu/show/id/1332096","http://ts.21cn.com/tousu/show/id/1332096")</f>
        <v>http://ts.21cn.com/tousu/show/id/1332096</v>
      </c>
      <c r="F1577" s="2" t="s">
        <v>11</v>
      </c>
      <c r="G1577" s="2" t="s">
        <v>41046</v>
      </c>
      <c r="H1577" s="2" t="s">
        <v>41047</v>
      </c>
    </row>
    <row r="1578" spans="1:8" ht="25.05" customHeight="1" x14ac:dyDescent="0.25">
      <c r="A1578" s="2" t="s">
        <v>8</v>
      </c>
      <c r="B1578" s="2" t="str">
        <f>HYPERLINK("http://ts.21cn.com/tousu/show/id/1332097","支付宝给违规平台提供支付渠道")</f>
        <v>支付宝给违规平台提供支付渠道</v>
      </c>
      <c r="C1578" s="2" t="s">
        <v>9</v>
      </c>
      <c r="D1578" s="2" t="s">
        <v>10</v>
      </c>
      <c r="E1578" s="2" t="str">
        <f>HYPERLINK("http://ts.21cn.com/tousu/show/id/1332097","http://ts.21cn.com/tousu/show/id/1332097")</f>
        <v>http://ts.21cn.com/tousu/show/id/1332097</v>
      </c>
      <c r="F1578" s="2" t="s">
        <v>11</v>
      </c>
      <c r="G1578" s="2" t="s">
        <v>41044</v>
      </c>
      <c r="H1578" s="2" t="s">
        <v>41045</v>
      </c>
    </row>
    <row r="1579" spans="1:8" ht="25.05" customHeight="1" x14ac:dyDescent="0.25">
      <c r="A1579" s="2" t="s">
        <v>8</v>
      </c>
      <c r="B1579" s="2" t="str">
        <f>HYPERLINK("http://ts.21cn.com/tousu/show/id/1332076","平安银行肯特瑞基金快赎业务清算放贷名义诈取他人钱财")</f>
        <v>平安银行肯特瑞基金快赎业务清算放贷名义诈取他人钱财</v>
      </c>
      <c r="C1579" s="2" t="s">
        <v>9</v>
      </c>
      <c r="D1579" s="2" t="s">
        <v>10</v>
      </c>
      <c r="E1579" s="2" t="str">
        <f>HYPERLINK("http://ts.21cn.com/tousu/show/id/1332076","http://ts.21cn.com/tousu/show/id/1332076")</f>
        <v>http://ts.21cn.com/tousu/show/id/1332076</v>
      </c>
      <c r="F1579" s="2" t="s">
        <v>11</v>
      </c>
      <c r="G1579" s="2" t="s">
        <v>41042</v>
      </c>
      <c r="H1579" s="2" t="s">
        <v>41043</v>
      </c>
    </row>
    <row r="1580" spans="1:8" ht="25.05" customHeight="1" x14ac:dyDescent="0.25">
      <c r="A1580" s="2" t="s">
        <v>8</v>
      </c>
      <c r="B1580" s="2" t="str">
        <f>HYPERLINK("http://ts.21cn.com/tousu/show/id/1332098","合同欺诈，私自扣款")</f>
        <v>合同欺诈，私自扣款</v>
      </c>
      <c r="C1580" s="2" t="s">
        <v>9</v>
      </c>
      <c r="D1580" s="2" t="s">
        <v>10</v>
      </c>
      <c r="E1580" s="2" t="str">
        <f>HYPERLINK("http://ts.21cn.com/tousu/show/id/1332098","http://ts.21cn.com/tousu/show/id/1332098")</f>
        <v>http://ts.21cn.com/tousu/show/id/1332098</v>
      </c>
      <c r="F1580" s="2" t="s">
        <v>11</v>
      </c>
      <c r="G1580" s="2" t="s">
        <v>41040</v>
      </c>
      <c r="H1580" s="2" t="s">
        <v>41041</v>
      </c>
    </row>
    <row r="1581" spans="1:8" ht="25.05" customHeight="1" x14ac:dyDescent="0.25">
      <c r="A1581" s="2" t="s">
        <v>8</v>
      </c>
      <c r="B1581" s="2" t="str">
        <f>HYPERLINK("http://ts.21cn.com/tousu/show/id/1332099","砍头息，高利贷")</f>
        <v>砍头息，高利贷</v>
      </c>
      <c r="C1581" s="2" t="s">
        <v>9</v>
      </c>
      <c r="D1581" s="2" t="s">
        <v>10</v>
      </c>
      <c r="E1581" s="2" t="str">
        <f>HYPERLINK("http://ts.21cn.com/tousu/show/id/1332099","http://ts.21cn.com/tousu/show/id/1332099")</f>
        <v>http://ts.21cn.com/tousu/show/id/1332099</v>
      </c>
      <c r="F1581" s="2" t="s">
        <v>11</v>
      </c>
      <c r="G1581" s="2" t="s">
        <v>41038</v>
      </c>
      <c r="H1581" s="2" t="s">
        <v>41039</v>
      </c>
    </row>
    <row r="1582" spans="1:8" ht="25.05" customHeight="1" x14ac:dyDescent="0.25">
      <c r="A1582" s="2" t="s">
        <v>8</v>
      </c>
      <c r="B1582" s="2" t="str">
        <f>HYPERLINK("http://ts.21cn.com/tousu/show/id/1332100","山东济宁朝花夕拾教育咨询有限公司虚假宣传，诱导消费。")</f>
        <v>山东济宁朝花夕拾教育咨询有限公司虚假宣传，诱导消费。</v>
      </c>
      <c r="C1582" s="2" t="s">
        <v>9</v>
      </c>
      <c r="D1582" s="2" t="s">
        <v>10</v>
      </c>
      <c r="E1582" s="2" t="str">
        <f>HYPERLINK("http://ts.21cn.com/tousu/show/id/1332100","http://ts.21cn.com/tousu/show/id/1332100")</f>
        <v>http://ts.21cn.com/tousu/show/id/1332100</v>
      </c>
      <c r="F1582" s="2" t="s">
        <v>11</v>
      </c>
      <c r="G1582" s="2" t="s">
        <v>41036</v>
      </c>
      <c r="H1582" s="2" t="s">
        <v>41037</v>
      </c>
    </row>
    <row r="1583" spans="1:8" ht="25.05" customHeight="1" x14ac:dyDescent="0.25">
      <c r="A1583" s="2" t="s">
        <v>8</v>
      </c>
      <c r="B1583" s="2" t="str">
        <f>HYPERLINK("http://ts.21cn.com/tousu/show/id/1332102","借据商行为个人提供非法高利贷")</f>
        <v>借据商行为个人提供非法高利贷</v>
      </c>
      <c r="C1583" s="2" t="s">
        <v>9</v>
      </c>
      <c r="D1583" s="2" t="s">
        <v>10</v>
      </c>
      <c r="E1583" s="2" t="str">
        <f>HYPERLINK("http://ts.21cn.com/tousu/show/id/1332102","http://ts.21cn.com/tousu/show/id/1332102")</f>
        <v>http://ts.21cn.com/tousu/show/id/1332102</v>
      </c>
      <c r="F1583" s="2" t="s">
        <v>11</v>
      </c>
      <c r="G1583" s="2" t="s">
        <v>41034</v>
      </c>
      <c r="H1583" s="2" t="s">
        <v>41035</v>
      </c>
    </row>
    <row r="1584" spans="1:8" ht="25.05" customHeight="1" x14ac:dyDescent="0.25">
      <c r="A1584" s="2" t="s">
        <v>8</v>
      </c>
      <c r="B1584" s="2" t="str">
        <f>HYPERLINK("http://ts.21cn.com/tousu/show/id/1332101","拍拍贷还款日还不进去钱，故意让客户逾期")</f>
        <v>拍拍贷还款日还不进去钱，故意让客户逾期</v>
      </c>
      <c r="C1584" s="2" t="s">
        <v>34</v>
      </c>
      <c r="D1584" s="2" t="s">
        <v>10</v>
      </c>
      <c r="E1584" s="2" t="str">
        <f>HYPERLINK("http://ts.21cn.com/tousu/show/id/1332101","http://ts.21cn.com/tousu/show/id/1332101")</f>
        <v>http://ts.21cn.com/tousu/show/id/1332101</v>
      </c>
      <c r="F1584" s="2" t="s">
        <v>11</v>
      </c>
      <c r="G1584" s="2" t="s">
        <v>41032</v>
      </c>
      <c r="H1584" s="2" t="s">
        <v>41033</v>
      </c>
    </row>
    <row r="1585" spans="1:8" ht="25.05" customHeight="1" x14ac:dyDescent="0.25">
      <c r="A1585" s="2" t="s">
        <v>8</v>
      </c>
      <c r="B1585" s="2" t="str">
        <f>HYPERLINK("http://ts.21cn.com/tousu/show/id/1332103","还款日协商")</f>
        <v>还款日协商</v>
      </c>
      <c r="C1585" s="2" t="s">
        <v>34</v>
      </c>
      <c r="D1585" s="2" t="s">
        <v>10</v>
      </c>
      <c r="E1585" s="2" t="str">
        <f>HYPERLINK("http://ts.21cn.com/tousu/show/id/1332103","http://ts.21cn.com/tousu/show/id/1332103")</f>
        <v>http://ts.21cn.com/tousu/show/id/1332103</v>
      </c>
      <c r="F1585" s="2" t="s">
        <v>11</v>
      </c>
      <c r="G1585" s="2" t="s">
        <v>41030</v>
      </c>
      <c r="H1585" s="2" t="s">
        <v>41031</v>
      </c>
    </row>
    <row r="1586" spans="1:8" ht="25.05" customHeight="1" x14ac:dyDescent="0.25">
      <c r="A1586" s="2" t="s">
        <v>8</v>
      </c>
      <c r="B1586" s="2" t="str">
        <f>HYPERLINK("http://ts.21cn.com/tousu/show/id/1332104","资金不给结算结错")</f>
        <v>资金不给结算结错</v>
      </c>
      <c r="C1586" s="2" t="s">
        <v>9</v>
      </c>
      <c r="D1586" s="2" t="s">
        <v>10</v>
      </c>
      <c r="E1586" s="2" t="str">
        <f>HYPERLINK("http://ts.21cn.com/tousu/show/id/1332104","http://ts.21cn.com/tousu/show/id/1332104")</f>
        <v>http://ts.21cn.com/tousu/show/id/1332104</v>
      </c>
      <c r="F1586" s="2" t="s">
        <v>11</v>
      </c>
      <c r="G1586" s="2" t="s">
        <v>41028</v>
      </c>
      <c r="H1586" s="2" t="s">
        <v>41029</v>
      </c>
    </row>
    <row r="1587" spans="1:8" ht="25.05" customHeight="1" x14ac:dyDescent="0.25">
      <c r="A1587" s="2" t="s">
        <v>8</v>
      </c>
      <c r="B1587" s="2" t="str">
        <f>HYPERLINK("http://ts.21cn.com/tousu/show/id/1332105","网络高利贷超高利息暴力催收砍头息")</f>
        <v>网络高利贷超高利息暴力催收砍头息</v>
      </c>
      <c r="C1587" s="2" t="s">
        <v>9</v>
      </c>
      <c r="D1587" s="2" t="s">
        <v>10</v>
      </c>
      <c r="E1587" s="2" t="str">
        <f>HYPERLINK("http://ts.21cn.com/tousu/show/id/1332105","http://ts.21cn.com/tousu/show/id/1332105")</f>
        <v>http://ts.21cn.com/tousu/show/id/1332105</v>
      </c>
      <c r="F1587" s="2" t="s">
        <v>11</v>
      </c>
      <c r="G1587" s="2" t="s">
        <v>41026</v>
      </c>
      <c r="H1587" s="2" t="s">
        <v>41027</v>
      </c>
    </row>
    <row r="1588" spans="1:8" ht="25.05" customHeight="1" x14ac:dyDescent="0.25">
      <c r="A1588" s="2" t="s">
        <v>8</v>
      </c>
      <c r="B1588" s="2" t="str">
        <f>HYPERLINK("http://ts.21cn.com/tousu/show/id/1332106","超过15万限额的钱没有到账")</f>
        <v>超过15万限额的钱没有到账</v>
      </c>
      <c r="C1588" s="2" t="s">
        <v>34</v>
      </c>
      <c r="D1588" s="2" t="s">
        <v>10</v>
      </c>
      <c r="E1588" s="2" t="str">
        <f>HYPERLINK("http://ts.21cn.com/tousu/show/id/1332106","http://ts.21cn.com/tousu/show/id/1332106")</f>
        <v>http://ts.21cn.com/tousu/show/id/1332106</v>
      </c>
      <c r="F1588" s="2" t="s">
        <v>11</v>
      </c>
      <c r="G1588" s="2" t="s">
        <v>41024</v>
      </c>
      <c r="H1588" s="2" t="s">
        <v>41025</v>
      </c>
    </row>
    <row r="1589" spans="1:8" ht="25.05" customHeight="1" x14ac:dyDescent="0.25">
      <c r="A1589" s="2" t="s">
        <v>8</v>
      </c>
      <c r="B1589" s="2" t="str">
        <f>HYPERLINK("http://ts.21cn.com/tousu/show/id/1332107","按时还款，提前结清，无法再次借款")</f>
        <v>按时还款，提前结清，无法再次借款</v>
      </c>
      <c r="C1589" s="2" t="s">
        <v>34</v>
      </c>
      <c r="D1589" s="2" t="s">
        <v>10</v>
      </c>
      <c r="E1589" s="2" t="str">
        <f>HYPERLINK("http://ts.21cn.com/tousu/show/id/1332107","http://ts.21cn.com/tousu/show/id/1332107")</f>
        <v>http://ts.21cn.com/tousu/show/id/1332107</v>
      </c>
      <c r="F1589" s="2" t="s">
        <v>11</v>
      </c>
      <c r="G1589" s="2" t="s">
        <v>41022</v>
      </c>
      <c r="H1589" s="2" t="s">
        <v>41023</v>
      </c>
    </row>
    <row r="1590" spans="1:8" ht="25.05" customHeight="1" x14ac:dyDescent="0.25">
      <c r="A1590" s="2" t="s">
        <v>8</v>
      </c>
      <c r="B1590" s="2" t="str">
        <f>HYPERLINK("http://ts.21cn.com/tousu/show/id/1332108","洋钱罐逾期一天，不允许延期还款")</f>
        <v>洋钱罐逾期一天，不允许延期还款</v>
      </c>
      <c r="C1590" s="2" t="s">
        <v>9</v>
      </c>
      <c r="D1590" s="2" t="s">
        <v>10</v>
      </c>
      <c r="E1590" s="2" t="str">
        <f>HYPERLINK("http://ts.21cn.com/tousu/show/id/1332108","http://ts.21cn.com/tousu/show/id/1332108")</f>
        <v>http://ts.21cn.com/tousu/show/id/1332108</v>
      </c>
      <c r="F1590" s="2" t="s">
        <v>11</v>
      </c>
      <c r="G1590" s="2" t="s">
        <v>41020</v>
      </c>
      <c r="H1590" s="2" t="s">
        <v>41021</v>
      </c>
    </row>
    <row r="1591" spans="1:8" ht="25.05" customHeight="1" x14ac:dyDescent="0.25">
      <c r="A1591" s="2" t="s">
        <v>8</v>
      </c>
      <c r="B1591" s="2" t="str">
        <f>HYPERLINK("http://ts.21cn.com/tousu/show/id/1332109","微信支付被冻结")</f>
        <v>微信支付被冻结</v>
      </c>
      <c r="C1591" s="2" t="s">
        <v>9</v>
      </c>
      <c r="D1591" s="2" t="s">
        <v>10</v>
      </c>
      <c r="E1591" s="2" t="str">
        <f>HYPERLINK("http://ts.21cn.com/tousu/show/id/1332109","http://ts.21cn.com/tousu/show/id/1332109")</f>
        <v>http://ts.21cn.com/tousu/show/id/1332109</v>
      </c>
      <c r="F1591" s="2" t="s">
        <v>11</v>
      </c>
      <c r="G1591" s="2" t="s">
        <v>41018</v>
      </c>
      <c r="H1591" s="2" t="s">
        <v>41019</v>
      </c>
    </row>
    <row r="1592" spans="1:8" ht="25.05" customHeight="1" x14ac:dyDescent="0.25">
      <c r="A1592" s="2" t="s">
        <v>8</v>
      </c>
      <c r="B1592" s="2" t="str">
        <f>HYPERLINK("http://ts.21cn.com/tousu/show/id/1332110","51信用卡冒充公检法")</f>
        <v>51信用卡冒充公检法</v>
      </c>
      <c r="C1592" s="2" t="s">
        <v>9</v>
      </c>
      <c r="D1592" s="2" t="s">
        <v>10</v>
      </c>
      <c r="E1592" s="2" t="str">
        <f>HYPERLINK("http://ts.21cn.com/tousu/show/id/1332110","http://ts.21cn.com/tousu/show/id/1332110")</f>
        <v>http://ts.21cn.com/tousu/show/id/1332110</v>
      </c>
      <c r="F1592" s="2" t="s">
        <v>11</v>
      </c>
      <c r="G1592" s="2" t="s">
        <v>41016</v>
      </c>
      <c r="H1592" s="2" t="s">
        <v>41017</v>
      </c>
    </row>
    <row r="1593" spans="1:8" ht="25.05" customHeight="1" x14ac:dyDescent="0.25">
      <c r="A1593" s="2" t="s">
        <v>8</v>
      </c>
      <c r="B1593" s="2" t="str">
        <f>HYPERLINK("http://ts.21cn.com/tousu/show/id/1332112","旺卡猫恶意扣款")</f>
        <v>旺卡猫恶意扣款</v>
      </c>
      <c r="C1593" s="2" t="s">
        <v>9</v>
      </c>
      <c r="D1593" s="2" t="s">
        <v>10</v>
      </c>
      <c r="E1593" s="2" t="str">
        <f>HYPERLINK("http://ts.21cn.com/tousu/show/id/1332112","http://ts.21cn.com/tousu/show/id/1332112")</f>
        <v>http://ts.21cn.com/tousu/show/id/1332112</v>
      </c>
      <c r="F1593" s="2" t="s">
        <v>11</v>
      </c>
      <c r="G1593" s="2" t="s">
        <v>41014</v>
      </c>
      <c r="H1593" s="2" t="s">
        <v>41015</v>
      </c>
    </row>
    <row r="1594" spans="1:8" ht="25.05" customHeight="1" x14ac:dyDescent="0.25">
      <c r="A1594" s="2" t="s">
        <v>8</v>
      </c>
      <c r="B1594" s="2" t="str">
        <f>HYPERLINK("http://ts.21cn.com/tousu/show/id/1332111","钱站后台太大，在这投诉没用，还有没有投诉钱站的平台")</f>
        <v>钱站后台太大，在这投诉没用，还有没有投诉钱站的平台</v>
      </c>
      <c r="C1594" s="2" t="s">
        <v>9</v>
      </c>
      <c r="D1594" s="2" t="s">
        <v>10</v>
      </c>
      <c r="E1594" s="2" t="str">
        <f>HYPERLINK("http://ts.21cn.com/tousu/show/id/1332111","http://ts.21cn.com/tousu/show/id/1332111")</f>
        <v>http://ts.21cn.com/tousu/show/id/1332111</v>
      </c>
      <c r="F1594" s="2" t="s">
        <v>11</v>
      </c>
      <c r="G1594" s="2" t="s">
        <v>41012</v>
      </c>
      <c r="H1594" s="2" t="s">
        <v>41013</v>
      </c>
    </row>
    <row r="1595" spans="1:8" ht="25.05" customHeight="1" x14ac:dyDescent="0.25">
      <c r="A1595" s="2" t="s">
        <v>8</v>
      </c>
      <c r="B1595" s="2" t="str">
        <f>HYPERLINK("http://ts.21cn.com/tousu/show/id/1332113","小赢卡贷高利息的强制保险要求其退还保费跟多余利息")</f>
        <v>小赢卡贷高利息的强制保险要求其退还保费跟多余利息</v>
      </c>
      <c r="C1595" s="2" t="s">
        <v>9</v>
      </c>
      <c r="D1595" s="2" t="s">
        <v>10</v>
      </c>
      <c r="E1595" s="2" t="str">
        <f>HYPERLINK("http://ts.21cn.com/tousu/show/id/1332113","http://ts.21cn.com/tousu/show/id/1332113")</f>
        <v>http://ts.21cn.com/tousu/show/id/1332113</v>
      </c>
      <c r="F1595" s="2" t="s">
        <v>11</v>
      </c>
      <c r="G1595" s="2" t="s">
        <v>41010</v>
      </c>
      <c r="H1595" s="2" t="s">
        <v>41011</v>
      </c>
    </row>
    <row r="1596" spans="1:8" ht="25.05" customHeight="1" x14ac:dyDescent="0.25">
      <c r="A1596" s="2" t="s">
        <v>8</v>
      </c>
      <c r="B1596" s="2" t="str">
        <f>HYPERLINK("http://ts.21cn.com/tousu/show/id/1332114","苏打优选无法更改手机号码")</f>
        <v>苏打优选无法更改手机号码</v>
      </c>
      <c r="C1596" s="2" t="s">
        <v>9</v>
      </c>
      <c r="D1596" s="2" t="s">
        <v>10</v>
      </c>
      <c r="E1596" s="2" t="str">
        <f>HYPERLINK("http://ts.21cn.com/tousu/show/id/1332114","http://ts.21cn.com/tousu/show/id/1332114")</f>
        <v>http://ts.21cn.com/tousu/show/id/1332114</v>
      </c>
      <c r="F1596" s="2" t="s">
        <v>11</v>
      </c>
      <c r="G1596" s="2" t="s">
        <v>41008</v>
      </c>
      <c r="H1596" s="2" t="s">
        <v>41009</v>
      </c>
    </row>
    <row r="1597" spans="1:8" ht="25.05" customHeight="1" x14ac:dyDescent="0.25">
      <c r="A1597" s="2" t="s">
        <v>8</v>
      </c>
      <c r="B1597" s="2" t="str">
        <f>HYPERLINK("http://ts.21cn.com/tousu/show/id/1332115","砍头息")</f>
        <v>砍头息</v>
      </c>
      <c r="C1597" s="2" t="s">
        <v>34</v>
      </c>
      <c r="D1597" s="2" t="s">
        <v>10</v>
      </c>
      <c r="E1597" s="2" t="str">
        <f>HYPERLINK("http://ts.21cn.com/tousu/show/id/1332115","http://ts.21cn.com/tousu/show/id/1332115")</f>
        <v>http://ts.21cn.com/tousu/show/id/1332115</v>
      </c>
      <c r="F1597" s="2" t="s">
        <v>11</v>
      </c>
      <c r="G1597" s="2" t="s">
        <v>41006</v>
      </c>
      <c r="H1597" s="2" t="s">
        <v>41007</v>
      </c>
    </row>
    <row r="1598" spans="1:8" ht="25.05" customHeight="1" x14ac:dyDescent="0.25">
      <c r="A1598" s="2" t="s">
        <v>8</v>
      </c>
      <c r="B1598" s="2" t="str">
        <f>HYPERLINK("http://ts.21cn.com/tousu/show/id/1332116","高利贷，套路贷")</f>
        <v>高利贷，套路贷</v>
      </c>
      <c r="C1598" s="2" t="s">
        <v>9</v>
      </c>
      <c r="D1598" s="2" t="s">
        <v>10</v>
      </c>
      <c r="E1598" s="2" t="str">
        <f>HYPERLINK("http://ts.21cn.com/tousu/show/id/1332116","http://ts.21cn.com/tousu/show/id/1332116")</f>
        <v>http://ts.21cn.com/tousu/show/id/1332116</v>
      </c>
      <c r="F1598" s="2" t="s">
        <v>11</v>
      </c>
      <c r="G1598" s="2" t="s">
        <v>41004</v>
      </c>
      <c r="H1598" s="2" t="s">
        <v>41005</v>
      </c>
    </row>
    <row r="1599" spans="1:8" ht="25.05" customHeight="1" x14ac:dyDescent="0.25">
      <c r="A1599" s="2" t="s">
        <v>8</v>
      </c>
      <c r="B1599" s="2" t="str">
        <f>HYPERLINK("http://ts.21cn.com/tousu/show/id/1332117","淘集集优惠活动后发虚假物流")</f>
        <v>淘集集优惠活动后发虚假物流</v>
      </c>
      <c r="C1599" s="2" t="s">
        <v>9</v>
      </c>
      <c r="D1599" s="2" t="s">
        <v>10</v>
      </c>
      <c r="E1599" s="2" t="str">
        <f>HYPERLINK("http://ts.21cn.com/tousu/show/id/1332117","http://ts.21cn.com/tousu/show/id/1332117")</f>
        <v>http://ts.21cn.com/tousu/show/id/1332117</v>
      </c>
      <c r="F1599" s="2" t="s">
        <v>11</v>
      </c>
      <c r="G1599" s="2" t="s">
        <v>41002</v>
      </c>
      <c r="H1599" s="2" t="s">
        <v>41003</v>
      </c>
    </row>
    <row r="1600" spans="1:8" ht="25.05" customHeight="1" x14ac:dyDescent="0.25">
      <c r="A1600" s="2" t="s">
        <v>8</v>
      </c>
      <c r="B1600" s="2" t="str">
        <f>HYPERLINK("http://ts.21cn.com/tousu/show/id/1332118","智行火车票在我不知情情况下自动扣款选择了【抢到票再通知我付款】自动扣款了")</f>
        <v>智行火车票在我不知情情况下自动扣款选择了【抢到票再通知我付款】自动扣款了</v>
      </c>
      <c r="C1600" s="2" t="s">
        <v>34</v>
      </c>
      <c r="D1600" s="2" t="s">
        <v>10</v>
      </c>
      <c r="E1600" s="2" t="str">
        <f>HYPERLINK("http://ts.21cn.com/tousu/show/id/1332118","http://ts.21cn.com/tousu/show/id/1332118")</f>
        <v>http://ts.21cn.com/tousu/show/id/1332118</v>
      </c>
      <c r="F1600" s="2" t="s">
        <v>11</v>
      </c>
      <c r="G1600" s="2" t="s">
        <v>41000</v>
      </c>
      <c r="H1600" s="2" t="s">
        <v>41001</v>
      </c>
    </row>
    <row r="1601" spans="1:8" ht="25.05" customHeight="1" x14ac:dyDescent="0.25">
      <c r="A1601" s="2" t="s">
        <v>8</v>
      </c>
      <c r="B1601" s="2" t="str">
        <f>HYPERLINK("http://ts.21cn.com/tousu/show/id/1332119","腾讯视频VIP天数给少了")</f>
        <v>腾讯视频VIP天数给少了</v>
      </c>
      <c r="C1601" s="2" t="s">
        <v>34</v>
      </c>
      <c r="D1601" s="2" t="s">
        <v>10</v>
      </c>
      <c r="E1601" s="2" t="str">
        <f>HYPERLINK("http://ts.21cn.com/tousu/show/id/1332119","http://ts.21cn.com/tousu/show/id/1332119")</f>
        <v>http://ts.21cn.com/tousu/show/id/1332119</v>
      </c>
      <c r="F1601" s="2" t="s">
        <v>11</v>
      </c>
      <c r="G1601" s="2" t="s">
        <v>40998</v>
      </c>
      <c r="H1601" s="2" t="s">
        <v>40999</v>
      </c>
    </row>
    <row r="1602" spans="1:8" ht="25.05" customHeight="1" x14ac:dyDescent="0.25">
      <c r="A1602" s="2" t="s">
        <v>8</v>
      </c>
      <c r="B1602" s="2" t="str">
        <f>HYPERLINK("http://ts.21cn.com/tousu/show/id/1332120","想有钱app高利贷")</f>
        <v>想有钱app高利贷</v>
      </c>
      <c r="C1602" s="2" t="s">
        <v>9</v>
      </c>
      <c r="D1602" s="2" t="s">
        <v>10</v>
      </c>
      <c r="E1602" s="2" t="str">
        <f>HYPERLINK("http://ts.21cn.com/tousu/show/id/1332120","http://ts.21cn.com/tousu/show/id/1332120")</f>
        <v>http://ts.21cn.com/tousu/show/id/1332120</v>
      </c>
      <c r="F1602" s="2" t="s">
        <v>11</v>
      </c>
      <c r="G1602" s="2" t="s">
        <v>40996</v>
      </c>
      <c r="H1602" s="2" t="s">
        <v>40997</v>
      </c>
    </row>
    <row r="1603" spans="1:8" ht="25.05" customHeight="1" x14ac:dyDescent="0.25">
      <c r="A1603" s="2" t="s">
        <v>8</v>
      </c>
      <c r="B1603" s="2" t="str">
        <f>HYPERLINK("http://ts.21cn.com/tousu/show/id/1332121","闪银收取高额利息")</f>
        <v>闪银收取高额利息</v>
      </c>
      <c r="C1603" s="2" t="s">
        <v>9</v>
      </c>
      <c r="D1603" s="2" t="s">
        <v>10</v>
      </c>
      <c r="E1603" s="2" t="str">
        <f>HYPERLINK("http://ts.21cn.com/tousu/show/id/1332121","http://ts.21cn.com/tousu/show/id/1332121")</f>
        <v>http://ts.21cn.com/tousu/show/id/1332121</v>
      </c>
      <c r="F1603" s="2" t="s">
        <v>11</v>
      </c>
      <c r="G1603" s="2" t="s">
        <v>40994</v>
      </c>
      <c r="H1603" s="2" t="s">
        <v>40995</v>
      </c>
    </row>
    <row r="1604" spans="1:8" ht="25.05" customHeight="1" x14ac:dyDescent="0.25">
      <c r="A1604" s="2" t="s">
        <v>8</v>
      </c>
      <c r="B1604" s="2" t="str">
        <f>HYPERLINK("http://ts.21cn.com/tousu/show/id/1332123","我才逾期一天，就打电话来威胁我？真是可恨。希望大家别碰这个平台，太可恶了，只要逾期一天就给你催收。")</f>
        <v>我才逾期一天，就打电话来威胁我？真是可恨。希望大家别碰这个平台，太可恶了，只要逾期一天就给你催收。</v>
      </c>
      <c r="C1604" s="2" t="s">
        <v>9</v>
      </c>
      <c r="D1604" s="2" t="s">
        <v>10</v>
      </c>
      <c r="E1604" s="2" t="str">
        <f>HYPERLINK("http://ts.21cn.com/tousu/show/id/1332123","http://ts.21cn.com/tousu/show/id/1332123")</f>
        <v>http://ts.21cn.com/tousu/show/id/1332123</v>
      </c>
      <c r="F1604" s="2" t="s">
        <v>11</v>
      </c>
      <c r="G1604" s="2" t="s">
        <v>40992</v>
      </c>
      <c r="H1604" s="2" t="s">
        <v>40993</v>
      </c>
    </row>
    <row r="1605" spans="1:8" ht="25.05" customHeight="1" x14ac:dyDescent="0.25">
      <c r="A1605" s="2" t="s">
        <v>8</v>
      </c>
      <c r="B1605" s="2" t="str">
        <f>HYPERLINK("http://ts.21cn.com/tousu/show/id/1332125","玖富新浪额度分期威胁恐吓威胁我家人")</f>
        <v>玖富新浪额度分期威胁恐吓威胁我家人</v>
      </c>
      <c r="C1605" s="2" t="s">
        <v>9</v>
      </c>
      <c r="D1605" s="2" t="s">
        <v>10</v>
      </c>
      <c r="E1605" s="2" t="str">
        <f>HYPERLINK("http://ts.21cn.com/tousu/show/id/1332125","http://ts.21cn.com/tousu/show/id/1332125")</f>
        <v>http://ts.21cn.com/tousu/show/id/1332125</v>
      </c>
      <c r="F1605" s="2" t="s">
        <v>11</v>
      </c>
      <c r="G1605" s="2" t="s">
        <v>40990</v>
      </c>
      <c r="H1605" s="2" t="s">
        <v>40991</v>
      </c>
    </row>
    <row r="1606" spans="1:8" ht="25.05" customHeight="1" x14ac:dyDescent="0.25">
      <c r="A1606" s="2" t="s">
        <v>8</v>
      </c>
      <c r="B1606" s="2" t="str">
        <f>HYPERLINK("http://ts.21cn.com/tousu/show/id/1332124","退款说国庆节放假")</f>
        <v>退款说国庆节放假</v>
      </c>
      <c r="C1606" s="2" t="s">
        <v>34</v>
      </c>
      <c r="D1606" s="2" t="s">
        <v>10</v>
      </c>
      <c r="E1606" s="2" t="str">
        <f>HYPERLINK("http://ts.21cn.com/tousu/show/id/1332124","http://ts.21cn.com/tousu/show/id/1332124")</f>
        <v>http://ts.21cn.com/tousu/show/id/1332124</v>
      </c>
      <c r="F1606" s="2" t="s">
        <v>11</v>
      </c>
      <c r="G1606" s="2" t="s">
        <v>40988</v>
      </c>
      <c r="H1606" s="2" t="s">
        <v>40989</v>
      </c>
    </row>
    <row r="1607" spans="1:8" ht="25.05" customHeight="1" x14ac:dyDescent="0.25">
      <c r="A1607" s="2" t="s">
        <v>8</v>
      </c>
      <c r="B1607" s="2" t="str">
        <f>HYPERLINK("http://ts.21cn.com/tousu/show/id/1332126","同程提前游前期费用催收威胁")</f>
        <v>同程提前游前期费用催收威胁</v>
      </c>
      <c r="C1607" s="2" t="s">
        <v>9</v>
      </c>
      <c r="D1607" s="2" t="s">
        <v>10</v>
      </c>
      <c r="E1607" s="2" t="str">
        <f>HYPERLINK("http://ts.21cn.com/tousu/show/id/1332126","http://ts.21cn.com/tousu/show/id/1332126")</f>
        <v>http://ts.21cn.com/tousu/show/id/1332126</v>
      </c>
      <c r="F1607" s="2" t="s">
        <v>11</v>
      </c>
      <c r="G1607" s="2" t="s">
        <v>40986</v>
      </c>
      <c r="H1607" s="2" t="s">
        <v>40987</v>
      </c>
    </row>
    <row r="1608" spans="1:8" ht="25.05" customHeight="1" x14ac:dyDescent="0.25">
      <c r="A1608" s="2" t="s">
        <v>8</v>
      </c>
      <c r="B1608" s="2" t="str">
        <f>HYPERLINK("http://ts.21cn.com/tousu/show/id/1332127","腾安基金销售无故盗刷扣款")</f>
        <v>腾安基金销售无故盗刷扣款</v>
      </c>
      <c r="C1608" s="2" t="s">
        <v>9</v>
      </c>
      <c r="D1608" s="2" t="s">
        <v>10</v>
      </c>
      <c r="E1608" s="2" t="str">
        <f>HYPERLINK("http://ts.21cn.com/tousu/show/id/1332127","http://ts.21cn.com/tousu/show/id/1332127")</f>
        <v>http://ts.21cn.com/tousu/show/id/1332127</v>
      </c>
      <c r="F1608" s="2" t="s">
        <v>11</v>
      </c>
      <c r="G1608" s="2" t="s">
        <v>40984</v>
      </c>
      <c r="H1608" s="2" t="s">
        <v>40985</v>
      </c>
    </row>
    <row r="1609" spans="1:8" ht="25.05" customHeight="1" x14ac:dyDescent="0.25">
      <c r="A1609" s="2" t="s">
        <v>8</v>
      </c>
      <c r="B1609" s="2" t="str">
        <f>HYPERLINK("http://ts.21cn.com/tousu/show/id/1332128","中信银行协商无果")</f>
        <v>中信银行协商无果</v>
      </c>
      <c r="C1609" s="2" t="s">
        <v>9</v>
      </c>
      <c r="D1609" s="2" t="s">
        <v>10</v>
      </c>
      <c r="E1609" s="2" t="str">
        <f>HYPERLINK("http://ts.21cn.com/tousu/show/id/1332128","http://ts.21cn.com/tousu/show/id/1332128")</f>
        <v>http://ts.21cn.com/tousu/show/id/1332128</v>
      </c>
      <c r="F1609" s="2" t="s">
        <v>11</v>
      </c>
      <c r="G1609" s="2" t="s">
        <v>40982</v>
      </c>
      <c r="H1609" s="2" t="s">
        <v>40983</v>
      </c>
    </row>
    <row r="1610" spans="1:8" ht="25.05" customHeight="1" x14ac:dyDescent="0.25">
      <c r="A1610" s="2" t="s">
        <v>8</v>
      </c>
      <c r="B1610" s="2" t="str">
        <f>HYPERLINK("http://ts.21cn.com/tousu/show/id/1332129","信用管家青春宝高利贷")</f>
        <v>信用管家青春宝高利贷</v>
      </c>
      <c r="C1610" s="2" t="s">
        <v>9</v>
      </c>
      <c r="D1610" s="2" t="s">
        <v>10</v>
      </c>
      <c r="E1610" s="2" t="str">
        <f>HYPERLINK("http://ts.21cn.com/tousu/show/id/1332129","http://ts.21cn.com/tousu/show/id/1332129")</f>
        <v>http://ts.21cn.com/tousu/show/id/1332129</v>
      </c>
      <c r="F1610" s="2" t="s">
        <v>11</v>
      </c>
      <c r="G1610" s="2" t="s">
        <v>40980</v>
      </c>
      <c r="H1610" s="2" t="s">
        <v>40981</v>
      </c>
    </row>
    <row r="1611" spans="1:8" ht="25.05" customHeight="1" x14ac:dyDescent="0.25">
      <c r="A1611" s="2" t="s">
        <v>8</v>
      </c>
      <c r="B1611" s="2" t="str">
        <f>HYPERLINK("http://ts.21cn.com/tousu/show/id/1332130","威胁暴力催收")</f>
        <v>威胁暴力催收</v>
      </c>
      <c r="C1611" s="2" t="s">
        <v>9</v>
      </c>
      <c r="D1611" s="2" t="s">
        <v>10</v>
      </c>
      <c r="E1611" s="2" t="str">
        <f>HYPERLINK("http://ts.21cn.com/tousu/show/id/1332130","http://ts.21cn.com/tousu/show/id/1332130")</f>
        <v>http://ts.21cn.com/tousu/show/id/1332130</v>
      </c>
      <c r="F1611" s="2" t="s">
        <v>11</v>
      </c>
      <c r="G1611" s="2" t="s">
        <v>40978</v>
      </c>
      <c r="H1611" s="2" t="s">
        <v>40979</v>
      </c>
    </row>
    <row r="1612" spans="1:8" ht="25.05" customHeight="1" x14ac:dyDescent="0.25">
      <c r="A1612" s="2" t="s">
        <v>8</v>
      </c>
      <c r="B1612" s="2" t="str">
        <f>HYPERLINK("http://ts.21cn.com/tousu/show/id/1332131","卡牛，瑞贷，高利贷平台")</f>
        <v>卡牛，瑞贷，高利贷平台</v>
      </c>
      <c r="C1612" s="2" t="s">
        <v>9</v>
      </c>
      <c r="D1612" s="2" t="s">
        <v>10</v>
      </c>
      <c r="E1612" s="2" t="str">
        <f>HYPERLINK("http://ts.21cn.com/tousu/show/id/1332131","http://ts.21cn.com/tousu/show/id/1332131")</f>
        <v>http://ts.21cn.com/tousu/show/id/1332131</v>
      </c>
      <c r="F1612" s="2" t="s">
        <v>11</v>
      </c>
      <c r="G1612" s="2" t="s">
        <v>40976</v>
      </c>
      <c r="H1612" s="2" t="s">
        <v>40977</v>
      </c>
    </row>
    <row r="1613" spans="1:8" ht="25.05" customHeight="1" x14ac:dyDescent="0.25">
      <c r="A1613" s="2" t="s">
        <v>8</v>
      </c>
      <c r="B1613" s="2" t="str">
        <f>HYPERLINK("http://ts.21cn.com/tousu/show/id/1332132","豹子贷乱扣钱")</f>
        <v>豹子贷乱扣钱</v>
      </c>
      <c r="C1613" s="2" t="s">
        <v>9</v>
      </c>
      <c r="D1613" s="2" t="s">
        <v>10</v>
      </c>
      <c r="E1613" s="2" t="str">
        <f>HYPERLINK("http://ts.21cn.com/tousu/show/id/1332132","http://ts.21cn.com/tousu/show/id/1332132")</f>
        <v>http://ts.21cn.com/tousu/show/id/1332132</v>
      </c>
      <c r="F1613" s="2" t="s">
        <v>11</v>
      </c>
      <c r="G1613" s="2" t="s">
        <v>40974</v>
      </c>
      <c r="H1613" s="2" t="s">
        <v>40975</v>
      </c>
    </row>
    <row r="1614" spans="1:8" ht="25.05" customHeight="1" x14ac:dyDescent="0.25">
      <c r="A1614" s="2" t="s">
        <v>8</v>
      </c>
      <c r="B1614" s="2" t="str">
        <f>HYPERLINK("http://ts.21cn.com/tousu/show/id/1332133","顺丰丢件不赔")</f>
        <v>顺丰丢件不赔</v>
      </c>
      <c r="C1614" s="2" t="s">
        <v>9</v>
      </c>
      <c r="D1614" s="2" t="s">
        <v>10</v>
      </c>
      <c r="E1614" s="2" t="str">
        <f>HYPERLINK("http://ts.21cn.com/tousu/show/id/1332133","http://ts.21cn.com/tousu/show/id/1332133")</f>
        <v>http://ts.21cn.com/tousu/show/id/1332133</v>
      </c>
      <c r="F1614" s="2" t="s">
        <v>11</v>
      </c>
      <c r="G1614" s="2" t="s">
        <v>40972</v>
      </c>
      <c r="H1614" s="2" t="s">
        <v>40973</v>
      </c>
    </row>
    <row r="1615" spans="1:8" ht="25.05" customHeight="1" x14ac:dyDescent="0.25">
      <c r="A1615" s="2" t="s">
        <v>8</v>
      </c>
      <c r="B1615" s="2" t="str">
        <f>HYPERLINK("http://ts.21cn.com/tousu/show/id/1332134","活力花高额利息，暴力催收")</f>
        <v>活力花高额利息，暴力催收</v>
      </c>
      <c r="C1615" s="2" t="s">
        <v>9</v>
      </c>
      <c r="D1615" s="2" t="s">
        <v>10</v>
      </c>
      <c r="E1615" s="2" t="str">
        <f>HYPERLINK("http://ts.21cn.com/tousu/show/id/1332134","http://ts.21cn.com/tousu/show/id/1332134")</f>
        <v>http://ts.21cn.com/tousu/show/id/1332134</v>
      </c>
      <c r="F1615" s="2" t="s">
        <v>11</v>
      </c>
      <c r="G1615" s="2" t="s">
        <v>40970</v>
      </c>
      <c r="H1615" s="2" t="s">
        <v>40971</v>
      </c>
    </row>
    <row r="1616" spans="1:8" ht="25.05" customHeight="1" x14ac:dyDescent="0.25">
      <c r="A1616" s="2" t="s">
        <v>8</v>
      </c>
      <c r="B1616" s="2" t="str">
        <f>HYPERLINK("http://ts.21cn.com/tousu/show/id/1332122","立借APP钱置宝高额收取利息")</f>
        <v>立借APP钱置宝高额收取利息</v>
      </c>
      <c r="C1616" s="2" t="s">
        <v>9</v>
      </c>
      <c r="D1616" s="2" t="s">
        <v>10</v>
      </c>
      <c r="E1616" s="2" t="str">
        <f>HYPERLINK("http://ts.21cn.com/tousu/show/id/1332122","http://ts.21cn.com/tousu/show/id/1332122")</f>
        <v>http://ts.21cn.com/tousu/show/id/1332122</v>
      </c>
      <c r="F1616" s="2" t="s">
        <v>11</v>
      </c>
      <c r="G1616" s="2" t="s">
        <v>40968</v>
      </c>
      <c r="H1616" s="2" t="s">
        <v>40969</v>
      </c>
    </row>
    <row r="1617" spans="1:8" ht="25.05" customHeight="1" x14ac:dyDescent="0.25">
      <c r="A1617" s="2" t="s">
        <v>8</v>
      </c>
      <c r="B1617" s="2" t="str">
        <f>HYPERLINK("http://ts.21cn.com/tousu/show/id/1332136","交通信用卡")</f>
        <v>交通信用卡</v>
      </c>
      <c r="C1617" s="2" t="s">
        <v>9</v>
      </c>
      <c r="D1617" s="2" t="s">
        <v>10</v>
      </c>
      <c r="E1617" s="2" t="str">
        <f>HYPERLINK("http://ts.21cn.com/tousu/show/id/1332136","http://ts.21cn.com/tousu/show/id/1332136")</f>
        <v>http://ts.21cn.com/tousu/show/id/1332136</v>
      </c>
      <c r="F1617" s="2" t="s">
        <v>11</v>
      </c>
      <c r="G1617" s="2" t="s">
        <v>40966</v>
      </c>
      <c r="H1617" s="2" t="s">
        <v>40967</v>
      </c>
    </row>
    <row r="1618" spans="1:8" ht="25.05" customHeight="1" x14ac:dyDescent="0.25">
      <c r="A1618" s="2" t="s">
        <v>8</v>
      </c>
      <c r="B1618" s="2" t="str">
        <f>HYPERLINK("http://ts.21cn.com/tousu/show/id/1332137","天猫商家占用消费者资金没人过问")</f>
        <v>天猫商家占用消费者资金没人过问</v>
      </c>
      <c r="C1618" s="2" t="s">
        <v>9</v>
      </c>
      <c r="D1618" s="2" t="s">
        <v>10</v>
      </c>
      <c r="E1618" s="2" t="str">
        <f>HYPERLINK("http://ts.21cn.com/tousu/show/id/1332137","http://ts.21cn.com/tousu/show/id/1332137")</f>
        <v>http://ts.21cn.com/tousu/show/id/1332137</v>
      </c>
      <c r="F1618" s="2" t="s">
        <v>11</v>
      </c>
      <c r="G1618" s="2" t="s">
        <v>40964</v>
      </c>
      <c r="H1618" s="2" t="s">
        <v>40965</v>
      </c>
    </row>
    <row r="1619" spans="1:8" ht="25.05" customHeight="1" x14ac:dyDescent="0.25">
      <c r="A1619" s="2" t="s">
        <v>8</v>
      </c>
      <c r="B1619" s="2" t="str">
        <f>HYPERLINK("http://ts.21cn.com/tousu/show/id/1332138","天亿科技公司创立的万户点评不符合先前所说，希望能退回钱款")</f>
        <v>天亿科技公司创立的万户点评不符合先前所说，希望能退回钱款</v>
      </c>
      <c r="C1619" s="2" t="s">
        <v>9</v>
      </c>
      <c r="D1619" s="2" t="s">
        <v>10</v>
      </c>
      <c r="E1619" s="2" t="str">
        <f>HYPERLINK("http://ts.21cn.com/tousu/show/id/1332138","http://ts.21cn.com/tousu/show/id/1332138")</f>
        <v>http://ts.21cn.com/tousu/show/id/1332138</v>
      </c>
      <c r="F1619" s="2" t="s">
        <v>11</v>
      </c>
      <c r="G1619" s="2" t="s">
        <v>40962</v>
      </c>
      <c r="H1619" s="2" t="s">
        <v>40963</v>
      </c>
    </row>
    <row r="1620" spans="1:8" ht="25.05" customHeight="1" x14ac:dyDescent="0.25">
      <c r="A1620" s="2" t="s">
        <v>8</v>
      </c>
      <c r="B1620" s="2" t="str">
        <f>HYPERLINK("http://ts.21cn.com/tousu/show/id/1332139","中银消费金融转钱还款半个月没有入账")</f>
        <v>中银消费金融转钱还款半个月没有入账</v>
      </c>
      <c r="C1620" s="2" t="s">
        <v>9</v>
      </c>
      <c r="D1620" s="2" t="s">
        <v>10</v>
      </c>
      <c r="E1620" s="2" t="str">
        <f>HYPERLINK("http://ts.21cn.com/tousu/show/id/1332139","http://ts.21cn.com/tousu/show/id/1332139")</f>
        <v>http://ts.21cn.com/tousu/show/id/1332139</v>
      </c>
      <c r="F1620" s="2" t="s">
        <v>11</v>
      </c>
      <c r="G1620" s="2" t="s">
        <v>40960</v>
      </c>
      <c r="H1620" s="2" t="s">
        <v>40961</v>
      </c>
    </row>
    <row r="1621" spans="1:8" ht="25.05" customHeight="1" x14ac:dyDescent="0.25">
      <c r="A1621" s="2" t="s">
        <v>8</v>
      </c>
      <c r="B1621" s="2" t="str">
        <f>HYPERLINK("http://ts.21cn.com/tousu/show/id/1332140","714高炮，高利贷")</f>
        <v>714高炮，高利贷</v>
      </c>
      <c r="C1621" s="2" t="s">
        <v>9</v>
      </c>
      <c r="D1621" s="2" t="s">
        <v>10</v>
      </c>
      <c r="E1621" s="2" t="str">
        <f>HYPERLINK("http://ts.21cn.com/tousu/show/id/1332140","http://ts.21cn.com/tousu/show/id/1332140")</f>
        <v>http://ts.21cn.com/tousu/show/id/1332140</v>
      </c>
      <c r="F1621" s="2" t="s">
        <v>11</v>
      </c>
      <c r="G1621" s="2" t="s">
        <v>40958</v>
      </c>
      <c r="H1621" s="2" t="s">
        <v>40959</v>
      </c>
    </row>
    <row r="1622" spans="1:8" ht="25.05" customHeight="1" x14ac:dyDescent="0.25">
      <c r="A1622" s="2" t="s">
        <v>8</v>
      </c>
      <c r="B1622" s="2" t="str">
        <f>HYPERLINK("http://ts.21cn.com/tousu/show/id/1332142","找靓机拖延售后服务")</f>
        <v>找靓机拖延售后服务</v>
      </c>
      <c r="C1622" s="2" t="s">
        <v>9</v>
      </c>
      <c r="D1622" s="2" t="s">
        <v>10</v>
      </c>
      <c r="E1622" s="2" t="str">
        <f>HYPERLINK("http://ts.21cn.com/tousu/show/id/1332142","http://ts.21cn.com/tousu/show/id/1332142")</f>
        <v>http://ts.21cn.com/tousu/show/id/1332142</v>
      </c>
      <c r="F1622" s="2" t="s">
        <v>11</v>
      </c>
      <c r="G1622" s="2" t="s">
        <v>40956</v>
      </c>
      <c r="H1622" s="2" t="s">
        <v>40957</v>
      </c>
    </row>
    <row r="1623" spans="1:8" ht="25.05" customHeight="1" x14ac:dyDescent="0.25">
      <c r="A1623" s="2" t="s">
        <v>8</v>
      </c>
      <c r="B1623" s="2" t="str">
        <f>HYPERLINK("http://ts.21cn.com/tousu/show/id/1332143","打我通讯录")</f>
        <v>打我通讯录</v>
      </c>
      <c r="C1623" s="2" t="s">
        <v>34</v>
      </c>
      <c r="D1623" s="2" t="s">
        <v>10</v>
      </c>
      <c r="E1623" s="2" t="str">
        <f>HYPERLINK("http://ts.21cn.com/tousu/show/id/1332143","http://ts.21cn.com/tousu/show/id/1332143")</f>
        <v>http://ts.21cn.com/tousu/show/id/1332143</v>
      </c>
      <c r="F1623" s="2" t="s">
        <v>11</v>
      </c>
      <c r="G1623" s="2" t="s">
        <v>40954</v>
      </c>
      <c r="H1623" s="2" t="s">
        <v>40955</v>
      </c>
    </row>
    <row r="1624" spans="1:8" ht="25.05" customHeight="1" x14ac:dyDescent="0.25">
      <c r="A1624" s="2" t="s">
        <v>8</v>
      </c>
      <c r="B1624" s="2" t="str">
        <f>HYPERLINK("http://ts.21cn.com/tousu/show/id/1332144","机蜜违约金过高")</f>
        <v>机蜜违约金过高</v>
      </c>
      <c r="C1624" s="2" t="s">
        <v>9</v>
      </c>
      <c r="D1624" s="2" t="s">
        <v>10</v>
      </c>
      <c r="E1624" s="2" t="str">
        <f>HYPERLINK("http://ts.21cn.com/tousu/show/id/1332144","http://ts.21cn.com/tousu/show/id/1332144")</f>
        <v>http://ts.21cn.com/tousu/show/id/1332144</v>
      </c>
      <c r="F1624" s="2" t="s">
        <v>11</v>
      </c>
      <c r="G1624" s="2" t="s">
        <v>40952</v>
      </c>
      <c r="H1624" s="2" t="s">
        <v>40953</v>
      </c>
    </row>
    <row r="1625" spans="1:8" ht="25.05" customHeight="1" x14ac:dyDescent="0.25">
      <c r="A1625" s="2" t="s">
        <v>8</v>
      </c>
      <c r="B1625" s="2" t="str">
        <f>HYPERLINK("http://ts.21cn.com/tousu/show/id/1332146","高利网贷")</f>
        <v>高利网贷</v>
      </c>
      <c r="C1625" s="2" t="s">
        <v>9</v>
      </c>
      <c r="D1625" s="2" t="s">
        <v>10</v>
      </c>
      <c r="E1625" s="2" t="str">
        <f>HYPERLINK("http://ts.21cn.com/tousu/show/id/1332146","http://ts.21cn.com/tousu/show/id/1332146")</f>
        <v>http://ts.21cn.com/tousu/show/id/1332146</v>
      </c>
      <c r="F1625" s="2" t="s">
        <v>11</v>
      </c>
      <c r="G1625" s="2" t="s">
        <v>40950</v>
      </c>
      <c r="H1625" s="2" t="s">
        <v>40951</v>
      </c>
    </row>
    <row r="1626" spans="1:8" ht="25.05" customHeight="1" x14ac:dyDescent="0.25">
      <c r="A1626" s="2" t="s">
        <v>8</v>
      </c>
      <c r="B1626" s="2" t="str">
        <f>HYPERLINK("http://ts.21cn.com/tousu/show/id/1332148","易到退款拖了一年")</f>
        <v>易到退款拖了一年</v>
      </c>
      <c r="C1626" s="2" t="s">
        <v>34</v>
      </c>
      <c r="D1626" s="2" t="s">
        <v>10</v>
      </c>
      <c r="E1626" s="2" t="str">
        <f>HYPERLINK("http://ts.21cn.com/tousu/show/id/1332148","http://ts.21cn.com/tousu/show/id/1332148")</f>
        <v>http://ts.21cn.com/tousu/show/id/1332148</v>
      </c>
      <c r="F1626" s="2" t="s">
        <v>11</v>
      </c>
      <c r="G1626" s="2" t="s">
        <v>40948</v>
      </c>
      <c r="H1626" s="2" t="s">
        <v>40949</v>
      </c>
    </row>
    <row r="1627" spans="1:8" ht="25.05" customHeight="1" x14ac:dyDescent="0.25">
      <c r="A1627" s="2" t="s">
        <v>8</v>
      </c>
      <c r="B1627" s="2" t="str">
        <f>HYPERLINK("http://ts.21cn.com/tousu/show/id/1332147","月光侠借款2300一个月利息700高利贷。")</f>
        <v>月光侠借款2300一个月利息700高利贷。</v>
      </c>
      <c r="C1627" s="2" t="s">
        <v>9</v>
      </c>
      <c r="D1627" s="2" t="s">
        <v>10</v>
      </c>
      <c r="E1627" s="2" t="str">
        <f>HYPERLINK("http://ts.21cn.com/tousu/show/id/1332147","http://ts.21cn.com/tousu/show/id/1332147")</f>
        <v>http://ts.21cn.com/tousu/show/id/1332147</v>
      </c>
      <c r="F1627" s="2" t="s">
        <v>11</v>
      </c>
      <c r="G1627" s="2" t="s">
        <v>40946</v>
      </c>
      <c r="H1627" s="2" t="s">
        <v>40947</v>
      </c>
    </row>
    <row r="1628" spans="1:8" ht="25.05" customHeight="1" x14ac:dyDescent="0.25">
      <c r="A1628" s="2" t="s">
        <v>8</v>
      </c>
      <c r="B1628" s="2" t="str">
        <f>HYPERLINK("http://ts.21cn.com/tousu/show/id/1332149","淘宝卖家出售假冒商品")</f>
        <v>淘宝卖家出售假冒商品</v>
      </c>
      <c r="C1628" s="2" t="s">
        <v>9</v>
      </c>
      <c r="D1628" s="2" t="s">
        <v>10</v>
      </c>
      <c r="E1628" s="2" t="str">
        <f>HYPERLINK("http://ts.21cn.com/tousu/show/id/1332149","http://ts.21cn.com/tousu/show/id/1332149")</f>
        <v>http://ts.21cn.com/tousu/show/id/1332149</v>
      </c>
      <c r="F1628" s="2" t="s">
        <v>11</v>
      </c>
      <c r="G1628" s="2" t="s">
        <v>40944</v>
      </c>
      <c r="H1628" s="2" t="s">
        <v>40945</v>
      </c>
    </row>
    <row r="1629" spans="1:8" ht="25.05" customHeight="1" x14ac:dyDescent="0.25">
      <c r="A1629" s="2" t="s">
        <v>8</v>
      </c>
      <c r="B1629" s="2" t="str">
        <f>HYPERLINK("http://ts.21cn.com/tousu/show/id/1332150","还款金额不合理")</f>
        <v>还款金额不合理</v>
      </c>
      <c r="C1629" s="2" t="s">
        <v>34</v>
      </c>
      <c r="D1629" s="2" t="s">
        <v>10</v>
      </c>
      <c r="E1629" s="2" t="str">
        <f>HYPERLINK("http://ts.21cn.com/tousu/show/id/1332150","http://ts.21cn.com/tousu/show/id/1332150")</f>
        <v>http://ts.21cn.com/tousu/show/id/1332150</v>
      </c>
      <c r="F1629" s="2" t="s">
        <v>11</v>
      </c>
      <c r="G1629" s="2" t="s">
        <v>40942</v>
      </c>
      <c r="H1629" s="2" t="s">
        <v>40943</v>
      </c>
    </row>
    <row r="1630" spans="1:8" ht="25.05" customHeight="1" x14ac:dyDescent="0.25">
      <c r="A1630" s="2" t="s">
        <v>8</v>
      </c>
      <c r="B1630" s="2" t="str">
        <f>HYPERLINK("http://ts.21cn.com/tousu/show/id/1332151","蟹老弟高利贷砍头息")</f>
        <v>蟹老弟高利贷砍头息</v>
      </c>
      <c r="C1630" s="2" t="s">
        <v>9</v>
      </c>
      <c r="D1630" s="2" t="s">
        <v>10</v>
      </c>
      <c r="E1630" s="2" t="str">
        <f>HYPERLINK("http://ts.21cn.com/tousu/show/id/1332151","http://ts.21cn.com/tousu/show/id/1332151")</f>
        <v>http://ts.21cn.com/tousu/show/id/1332151</v>
      </c>
      <c r="F1630" s="2" t="s">
        <v>11</v>
      </c>
      <c r="G1630" s="2" t="s">
        <v>40940</v>
      </c>
      <c r="H1630" s="2" t="s">
        <v>40941</v>
      </c>
    </row>
    <row r="1631" spans="1:8" ht="25.05" customHeight="1" x14ac:dyDescent="0.25">
      <c r="A1631" s="2" t="s">
        <v>8</v>
      </c>
      <c r="B1631" s="2" t="str">
        <f>HYPERLINK("http://ts.21cn.com/tousu/show/id/1332152","畅捷支付提供违法渠道瑞利随薪贷旗下花转转恶意逾期暴力催收套路贷")</f>
        <v>畅捷支付提供违法渠道瑞利随薪贷旗下花转转恶意逾期暴力催收套路贷</v>
      </c>
      <c r="C1631" s="2" t="s">
        <v>9</v>
      </c>
      <c r="D1631" s="2" t="s">
        <v>10</v>
      </c>
      <c r="E1631" s="2" t="str">
        <f>HYPERLINK("http://ts.21cn.com/tousu/show/id/1332152","http://ts.21cn.com/tousu/show/id/1332152")</f>
        <v>http://ts.21cn.com/tousu/show/id/1332152</v>
      </c>
      <c r="F1631" s="2" t="s">
        <v>11</v>
      </c>
      <c r="G1631" s="2" t="s">
        <v>40938</v>
      </c>
      <c r="H1631" s="2" t="s">
        <v>40939</v>
      </c>
    </row>
    <row r="1632" spans="1:8" ht="25.05" customHeight="1" x14ac:dyDescent="0.25">
      <c r="A1632" s="2" t="s">
        <v>8</v>
      </c>
      <c r="B1632" s="2" t="str">
        <f>HYPERLINK("http://ts.21cn.com/tousu/show/id/1332153","立借不合法息，变相高利贷")</f>
        <v>立借不合法息，变相高利贷</v>
      </c>
      <c r="C1632" s="2" t="s">
        <v>9</v>
      </c>
      <c r="D1632" s="2" t="s">
        <v>10</v>
      </c>
      <c r="E1632" s="2" t="str">
        <f>HYPERLINK("http://ts.21cn.com/tousu/show/id/1332153","http://ts.21cn.com/tousu/show/id/1332153")</f>
        <v>http://ts.21cn.com/tousu/show/id/1332153</v>
      </c>
      <c r="F1632" s="2" t="s">
        <v>11</v>
      </c>
      <c r="G1632" s="2" t="s">
        <v>40936</v>
      </c>
      <c r="H1632" s="2" t="s">
        <v>40937</v>
      </c>
    </row>
    <row r="1633" spans="1:8" ht="25.05" customHeight="1" x14ac:dyDescent="0.25">
      <c r="A1633" s="2" t="s">
        <v>8</v>
      </c>
      <c r="B1633" s="2" t="str">
        <f>HYPERLINK("http://ts.21cn.com/tousu/show/id/1332154","网贷平台年利率超过国家规定")</f>
        <v>网贷平台年利率超过国家规定</v>
      </c>
      <c r="C1633" s="2" t="s">
        <v>9</v>
      </c>
      <c r="D1633" s="2" t="s">
        <v>10</v>
      </c>
      <c r="E1633" s="2" t="str">
        <f>HYPERLINK("http://ts.21cn.com/tousu/show/id/1332154","http://ts.21cn.com/tousu/show/id/1332154")</f>
        <v>http://ts.21cn.com/tousu/show/id/1332154</v>
      </c>
      <c r="F1633" s="2" t="s">
        <v>11</v>
      </c>
      <c r="G1633" s="2" t="s">
        <v>40934</v>
      </c>
      <c r="H1633" s="2" t="s">
        <v>40935</v>
      </c>
    </row>
    <row r="1634" spans="1:8" ht="25.05" customHeight="1" x14ac:dyDescent="0.25">
      <c r="A1634" s="2" t="s">
        <v>8</v>
      </c>
      <c r="B1634" s="2" t="str">
        <f>HYPERLINK("http://ts.21cn.com/tousu/show/id/1332155","玖富客服故意不接电话")</f>
        <v>玖富客服故意不接电话</v>
      </c>
      <c r="C1634" s="2" t="s">
        <v>34</v>
      </c>
      <c r="D1634" s="2" t="s">
        <v>10</v>
      </c>
      <c r="E1634" s="2" t="str">
        <f>HYPERLINK("http://ts.21cn.com/tousu/show/id/1332155","http://ts.21cn.com/tousu/show/id/1332155")</f>
        <v>http://ts.21cn.com/tousu/show/id/1332155</v>
      </c>
      <c r="F1634" s="2" t="s">
        <v>11</v>
      </c>
      <c r="G1634" s="2" t="s">
        <v>40932</v>
      </c>
      <c r="H1634" s="2" t="s">
        <v>40933</v>
      </c>
    </row>
    <row r="1635" spans="1:8" ht="25.05" customHeight="1" x14ac:dyDescent="0.25">
      <c r="A1635" s="2" t="s">
        <v>8</v>
      </c>
      <c r="B1635" s="2" t="str">
        <f>HYPERLINK("http://ts.21cn.com/tousu/show/id/1332157","毒ＡＰＰ上买了双ＡJ1出质量问题现在不解决")</f>
        <v>毒ＡＰＰ上买了双ＡJ1出质量问题现在不解决</v>
      </c>
      <c r="C1635" s="2" t="s">
        <v>9</v>
      </c>
      <c r="D1635" s="2" t="s">
        <v>10</v>
      </c>
      <c r="E1635" s="2" t="str">
        <f>HYPERLINK("http://ts.21cn.com/tousu/show/id/1332157","http://ts.21cn.com/tousu/show/id/1332157")</f>
        <v>http://ts.21cn.com/tousu/show/id/1332157</v>
      </c>
      <c r="F1635" s="2" t="s">
        <v>11</v>
      </c>
      <c r="G1635" s="2" t="s">
        <v>40930</v>
      </c>
      <c r="H1635" s="2" t="s">
        <v>40931</v>
      </c>
    </row>
    <row r="1636" spans="1:8" ht="25.05" customHeight="1" x14ac:dyDescent="0.25">
      <c r="A1636" s="2" t="s">
        <v>8</v>
      </c>
      <c r="B1636" s="2" t="str">
        <f>HYPERLINK("http://ts.21cn.com/tousu/show/id/1332156","不知道情况下乱扣保证金")</f>
        <v>不知道情况下乱扣保证金</v>
      </c>
      <c r="C1636" s="2" t="s">
        <v>9</v>
      </c>
      <c r="D1636" s="2" t="s">
        <v>10</v>
      </c>
      <c r="E1636" s="2" t="str">
        <f>HYPERLINK("http://ts.21cn.com/tousu/show/id/1332156","http://ts.21cn.com/tousu/show/id/1332156")</f>
        <v>http://ts.21cn.com/tousu/show/id/1332156</v>
      </c>
      <c r="F1636" s="2" t="s">
        <v>11</v>
      </c>
      <c r="G1636" s="2" t="s">
        <v>40928</v>
      </c>
      <c r="H1636" s="2" t="s">
        <v>40929</v>
      </c>
    </row>
    <row r="1637" spans="1:8" ht="25.05" customHeight="1" x14ac:dyDescent="0.25">
      <c r="A1637" s="2" t="s">
        <v>8</v>
      </c>
      <c r="B1637" s="2" t="str">
        <f>HYPERLINK("http://ts.21cn.com/tousu/show/id/1332159","二手车贷款问题")</f>
        <v>二手车贷款问题</v>
      </c>
      <c r="C1637" s="2" t="s">
        <v>9</v>
      </c>
      <c r="D1637" s="2" t="s">
        <v>10</v>
      </c>
      <c r="E1637" s="2" t="str">
        <f>HYPERLINK("http://ts.21cn.com/tousu/show/id/1332159","http://ts.21cn.com/tousu/show/id/1332159")</f>
        <v>http://ts.21cn.com/tousu/show/id/1332159</v>
      </c>
      <c r="F1637" s="2" t="s">
        <v>11</v>
      </c>
      <c r="G1637" s="2" t="s">
        <v>40926</v>
      </c>
      <c r="H1637" s="2" t="s">
        <v>40927</v>
      </c>
    </row>
    <row r="1638" spans="1:8" ht="25.05" customHeight="1" x14ac:dyDescent="0.25">
      <c r="A1638" s="2" t="s">
        <v>8</v>
      </c>
      <c r="B1638" s="2" t="str">
        <f>HYPERLINK("http://ts.21cn.com/tousu/show/id/1332160","卡牛瑞贷虚假合同，收取高额逾期费用")</f>
        <v>卡牛瑞贷虚假合同，收取高额逾期费用</v>
      </c>
      <c r="C1638" s="2" t="s">
        <v>9</v>
      </c>
      <c r="D1638" s="2" t="s">
        <v>10</v>
      </c>
      <c r="E1638" s="2" t="str">
        <f>HYPERLINK("http://ts.21cn.com/tousu/show/id/1332160","http://ts.21cn.com/tousu/show/id/1332160")</f>
        <v>http://ts.21cn.com/tousu/show/id/1332160</v>
      </c>
      <c r="F1638" s="2" t="s">
        <v>11</v>
      </c>
      <c r="G1638" s="2" t="s">
        <v>40924</v>
      </c>
      <c r="H1638" s="2" t="s">
        <v>40925</v>
      </c>
    </row>
    <row r="1639" spans="1:8" ht="25.05" customHeight="1" x14ac:dyDescent="0.25">
      <c r="A1639" s="2" t="s">
        <v>8</v>
      </c>
      <c r="B1639" s="2" t="str">
        <f>HYPERLINK("http://ts.21cn.com/tousu/show/id/1332161","月光侠砍头息高利贷")</f>
        <v>月光侠砍头息高利贷</v>
      </c>
      <c r="C1639" s="2" t="s">
        <v>9</v>
      </c>
      <c r="D1639" s="2" t="s">
        <v>10</v>
      </c>
      <c r="E1639" s="2" t="str">
        <f>HYPERLINK("http://ts.21cn.com/tousu/show/id/1332161","http://ts.21cn.com/tousu/show/id/1332161")</f>
        <v>http://ts.21cn.com/tousu/show/id/1332161</v>
      </c>
      <c r="F1639" s="2" t="s">
        <v>11</v>
      </c>
      <c r="G1639" s="2" t="s">
        <v>40922</v>
      </c>
      <c r="H1639" s="2" t="s">
        <v>40923</v>
      </c>
    </row>
    <row r="1640" spans="1:8" ht="25.05" customHeight="1" x14ac:dyDescent="0.25">
      <c r="A1640" s="2" t="s">
        <v>8</v>
      </c>
      <c r="B1640" s="2" t="str">
        <f>HYPERLINK("http://ts.21cn.com/tousu/show/id/1332135","北京市渊大教育科技限公司")</f>
        <v>北京市渊大教育科技限公司</v>
      </c>
      <c r="C1640" s="2" t="s">
        <v>9</v>
      </c>
      <c r="D1640" s="2" t="s">
        <v>10</v>
      </c>
      <c r="E1640" s="2" t="str">
        <f>HYPERLINK("http://ts.21cn.com/tousu/show/id/1332135","http://ts.21cn.com/tousu/show/id/1332135")</f>
        <v>http://ts.21cn.com/tousu/show/id/1332135</v>
      </c>
      <c r="F1640" s="2" t="s">
        <v>11</v>
      </c>
      <c r="G1640" s="2" t="s">
        <v>40920</v>
      </c>
      <c r="H1640" s="2" t="s">
        <v>40921</v>
      </c>
    </row>
    <row r="1641" spans="1:8" ht="25.05" customHeight="1" x14ac:dyDescent="0.25">
      <c r="A1641" s="2" t="s">
        <v>8</v>
      </c>
      <c r="B1641" s="2" t="str">
        <f>HYPERLINK("http://ts.21cn.com/tousu/show/id/1332162","助财通未完成服务即无通知扣款")</f>
        <v>助财通未完成服务即无通知扣款</v>
      </c>
      <c r="C1641" s="2" t="s">
        <v>9</v>
      </c>
      <c r="D1641" s="2" t="s">
        <v>10</v>
      </c>
      <c r="E1641" s="2" t="str">
        <f>HYPERLINK("http://ts.21cn.com/tousu/show/id/1332162","http://ts.21cn.com/tousu/show/id/1332162")</f>
        <v>http://ts.21cn.com/tousu/show/id/1332162</v>
      </c>
      <c r="F1641" s="2" t="s">
        <v>11</v>
      </c>
      <c r="G1641" s="2" t="s">
        <v>40918</v>
      </c>
      <c r="H1641" s="2" t="s">
        <v>40919</v>
      </c>
    </row>
    <row r="1642" spans="1:8" ht="25.05" customHeight="1" x14ac:dyDescent="0.25">
      <c r="A1642" s="2" t="s">
        <v>8</v>
      </c>
      <c r="B1642" s="2" t="str">
        <f>HYPERLINK("http://ts.21cn.com/tousu/show/id/1332163","同一主体房产，分销售价比开放商贵")</f>
        <v>同一主体房产，分销售价比开放商贵</v>
      </c>
      <c r="C1642" s="2" t="s">
        <v>9</v>
      </c>
      <c r="D1642" s="2" t="s">
        <v>10</v>
      </c>
      <c r="E1642" s="2" t="str">
        <f>HYPERLINK("http://ts.21cn.com/tousu/show/id/1332163","http://ts.21cn.com/tousu/show/id/1332163")</f>
        <v>http://ts.21cn.com/tousu/show/id/1332163</v>
      </c>
      <c r="F1642" s="2" t="s">
        <v>11</v>
      </c>
      <c r="G1642" s="2" t="s">
        <v>40916</v>
      </c>
      <c r="H1642" s="2" t="s">
        <v>40917</v>
      </c>
    </row>
    <row r="1643" spans="1:8" ht="25.05" customHeight="1" x14ac:dyDescent="0.25">
      <c r="A1643" s="2" t="s">
        <v>8</v>
      </c>
      <c r="B1643" s="2" t="str">
        <f>HYPERLINK("http://ts.21cn.com/tousu/show/id/1332165","分期鸭高利贷协商解决还款")</f>
        <v>分期鸭高利贷协商解决还款</v>
      </c>
      <c r="C1643" s="2" t="s">
        <v>9</v>
      </c>
      <c r="D1643" s="2" t="s">
        <v>10</v>
      </c>
      <c r="E1643" s="2" t="str">
        <f>HYPERLINK("http://ts.21cn.com/tousu/show/id/1332165","http://ts.21cn.com/tousu/show/id/1332165")</f>
        <v>http://ts.21cn.com/tousu/show/id/1332165</v>
      </c>
      <c r="F1643" s="2" t="s">
        <v>11</v>
      </c>
      <c r="G1643" s="2" t="s">
        <v>40914</v>
      </c>
      <c r="H1643" s="2" t="s">
        <v>40915</v>
      </c>
    </row>
    <row r="1644" spans="1:8" ht="25.05" customHeight="1" x14ac:dyDescent="0.25">
      <c r="A1644" s="2" t="s">
        <v>8</v>
      </c>
      <c r="B1644" s="2" t="str">
        <f>HYPERLINK("http://ts.21cn.com/tousu/show/id/1332166","新浪微博乱扣费")</f>
        <v>新浪微博乱扣费</v>
      </c>
      <c r="C1644" s="2" t="s">
        <v>9</v>
      </c>
      <c r="D1644" s="2" t="s">
        <v>10</v>
      </c>
      <c r="E1644" s="2" t="str">
        <f>HYPERLINK("http://ts.21cn.com/tousu/show/id/1332166","http://ts.21cn.com/tousu/show/id/1332166")</f>
        <v>http://ts.21cn.com/tousu/show/id/1332166</v>
      </c>
      <c r="F1644" s="2" t="s">
        <v>11</v>
      </c>
      <c r="G1644" s="2" t="s">
        <v>40912</v>
      </c>
      <c r="H1644" s="2" t="s">
        <v>40913</v>
      </c>
    </row>
    <row r="1645" spans="1:8" ht="25.05" customHeight="1" x14ac:dyDescent="0.25">
      <c r="A1645" s="2" t="s">
        <v>8</v>
      </c>
      <c r="B1645" s="2" t="str">
        <f>HYPERLINK("http://ts.21cn.com/tousu/show/id/1332164","多次电话骚扰，恐吓，骚扰联系人")</f>
        <v>多次电话骚扰，恐吓，骚扰联系人</v>
      </c>
      <c r="C1645" s="2" t="s">
        <v>9</v>
      </c>
      <c r="D1645" s="2" t="s">
        <v>10</v>
      </c>
      <c r="E1645" s="2" t="str">
        <f>HYPERLINK("http://ts.21cn.com/tousu/show/id/1332164","http://ts.21cn.com/tousu/show/id/1332164")</f>
        <v>http://ts.21cn.com/tousu/show/id/1332164</v>
      </c>
      <c r="F1645" s="2" t="s">
        <v>11</v>
      </c>
      <c r="G1645" s="2" t="s">
        <v>40910</v>
      </c>
      <c r="H1645" s="2" t="s">
        <v>40911</v>
      </c>
    </row>
    <row r="1646" spans="1:8" ht="25.05" customHeight="1" x14ac:dyDescent="0.25">
      <c r="A1646" s="2" t="s">
        <v>8</v>
      </c>
      <c r="B1646" s="2" t="str">
        <f>HYPERLINK("http://ts.21cn.com/tousu/show/id/1332167","飞行钱包套路贷")</f>
        <v>飞行钱包套路贷</v>
      </c>
      <c r="C1646" s="2" t="s">
        <v>9</v>
      </c>
      <c r="D1646" s="2" t="s">
        <v>10</v>
      </c>
      <c r="E1646" s="2" t="str">
        <f>HYPERLINK("http://ts.21cn.com/tousu/show/id/1332167","http://ts.21cn.com/tousu/show/id/1332167")</f>
        <v>http://ts.21cn.com/tousu/show/id/1332167</v>
      </c>
      <c r="F1646" s="2" t="s">
        <v>11</v>
      </c>
      <c r="G1646" s="2" t="s">
        <v>40908</v>
      </c>
      <c r="H1646" s="2" t="s">
        <v>40909</v>
      </c>
    </row>
    <row r="1647" spans="1:8" ht="25.05" customHeight="1" x14ac:dyDescent="0.25">
      <c r="A1647" s="2" t="s">
        <v>8</v>
      </c>
      <c r="B1647" s="2" t="str">
        <f>HYPERLINK("http://ts.21cn.com/tousu/show/id/1332168","天宸网络恶意扣费")</f>
        <v>天宸网络恶意扣费</v>
      </c>
      <c r="C1647" s="2" t="s">
        <v>9</v>
      </c>
      <c r="D1647" s="2" t="s">
        <v>10</v>
      </c>
      <c r="E1647" s="2" t="str">
        <f>HYPERLINK("http://ts.21cn.com/tousu/show/id/1332168","http://ts.21cn.com/tousu/show/id/1332168")</f>
        <v>http://ts.21cn.com/tousu/show/id/1332168</v>
      </c>
      <c r="F1647" s="2" t="s">
        <v>11</v>
      </c>
      <c r="G1647" s="2" t="s">
        <v>40906</v>
      </c>
      <c r="H1647" s="2" t="s">
        <v>40907</v>
      </c>
    </row>
    <row r="1648" spans="1:8" ht="25.05" customHeight="1" x14ac:dyDescent="0.25">
      <c r="A1648" s="2" t="s">
        <v>8</v>
      </c>
      <c r="B1648" s="2" t="str">
        <f>HYPERLINK("http://ts.21cn.com/tousu/show/id/1332169","花转转不能还款造成逾期")</f>
        <v>花转转不能还款造成逾期</v>
      </c>
      <c r="C1648" s="2" t="s">
        <v>9</v>
      </c>
      <c r="D1648" s="2" t="s">
        <v>10</v>
      </c>
      <c r="E1648" s="2" t="str">
        <f>HYPERLINK("http://ts.21cn.com/tousu/show/id/1332169","http://ts.21cn.com/tousu/show/id/1332169")</f>
        <v>http://ts.21cn.com/tousu/show/id/1332169</v>
      </c>
      <c r="F1648" s="2" t="s">
        <v>11</v>
      </c>
      <c r="G1648" s="2" t="s">
        <v>40904</v>
      </c>
      <c r="H1648" s="2" t="s">
        <v>40905</v>
      </c>
    </row>
    <row r="1649" spans="1:8" ht="25.05" customHeight="1" x14ac:dyDescent="0.25">
      <c r="A1649" s="2" t="s">
        <v>8</v>
      </c>
      <c r="B1649" s="2" t="str">
        <f>HYPERLINK("http://ts.21cn.com/tousu/show/id/1332170","交通银行恐吓骚扰")</f>
        <v>交通银行恐吓骚扰</v>
      </c>
      <c r="C1649" s="2" t="s">
        <v>9</v>
      </c>
      <c r="D1649" s="2" t="s">
        <v>10</v>
      </c>
      <c r="E1649" s="2" t="str">
        <f>HYPERLINK("http://ts.21cn.com/tousu/show/id/1332170","http://ts.21cn.com/tousu/show/id/1332170")</f>
        <v>http://ts.21cn.com/tousu/show/id/1332170</v>
      </c>
      <c r="F1649" s="2" t="s">
        <v>11</v>
      </c>
      <c r="G1649" s="2" t="s">
        <v>40902</v>
      </c>
      <c r="H1649" s="2" t="s">
        <v>40903</v>
      </c>
    </row>
    <row r="1650" spans="1:8" ht="25.05" customHeight="1" x14ac:dyDescent="0.25">
      <c r="A1650" s="2" t="s">
        <v>8</v>
      </c>
      <c r="B1650" s="2" t="str">
        <f>HYPERLINK("http://ts.21cn.com/tousu/show/id/1332171","钱站爆了催收群发短信侮辱谩骂通讯录")</f>
        <v>钱站爆了催收群发短信侮辱谩骂通讯录</v>
      </c>
      <c r="C1650" s="2" t="s">
        <v>9</v>
      </c>
      <c r="D1650" s="2" t="s">
        <v>10</v>
      </c>
      <c r="E1650" s="2" t="str">
        <f>HYPERLINK("http://ts.21cn.com/tousu/show/id/1332171","http://ts.21cn.com/tousu/show/id/1332171")</f>
        <v>http://ts.21cn.com/tousu/show/id/1332171</v>
      </c>
      <c r="F1650" s="2" t="s">
        <v>11</v>
      </c>
      <c r="G1650" s="2" t="s">
        <v>40900</v>
      </c>
      <c r="H1650" s="2" t="s">
        <v>40901</v>
      </c>
    </row>
    <row r="1651" spans="1:8" ht="25.05" customHeight="1" x14ac:dyDescent="0.25">
      <c r="A1651" s="2" t="s">
        <v>8</v>
      </c>
      <c r="B1651" s="2" t="str">
        <f>HYPERLINK("http://ts.21cn.com/tousu/show/id/1332172","松紧贷有砍头息，恐吓威胁，爆通讯录")</f>
        <v>松紧贷有砍头息，恐吓威胁，爆通讯录</v>
      </c>
      <c r="C1651" s="2" t="s">
        <v>9</v>
      </c>
      <c r="D1651" s="2" t="s">
        <v>10</v>
      </c>
      <c r="E1651" s="2" t="str">
        <f>HYPERLINK("http://ts.21cn.com/tousu/show/id/1332172","http://ts.21cn.com/tousu/show/id/1332172")</f>
        <v>http://ts.21cn.com/tousu/show/id/1332172</v>
      </c>
      <c r="F1651" s="2" t="s">
        <v>11</v>
      </c>
      <c r="G1651" s="2" t="s">
        <v>40898</v>
      </c>
      <c r="H1651" s="2" t="s">
        <v>40899</v>
      </c>
    </row>
    <row r="1652" spans="1:8" ht="25.05" customHeight="1" x14ac:dyDescent="0.25">
      <c r="A1652" s="2" t="s">
        <v>8</v>
      </c>
      <c r="B1652" s="2" t="str">
        <f>HYPERLINK("http://ts.21cn.com/tousu/show/id/1332173","卡卡贷以会员费变相收取砍头息")</f>
        <v>卡卡贷以会员费变相收取砍头息</v>
      </c>
      <c r="C1652" s="2" t="s">
        <v>9</v>
      </c>
      <c r="D1652" s="2" t="s">
        <v>10</v>
      </c>
      <c r="E1652" s="2" t="str">
        <f>HYPERLINK("http://ts.21cn.com/tousu/show/id/1332173","http://ts.21cn.com/tousu/show/id/1332173")</f>
        <v>http://ts.21cn.com/tousu/show/id/1332173</v>
      </c>
      <c r="F1652" s="2" t="s">
        <v>11</v>
      </c>
      <c r="G1652" s="2" t="s">
        <v>40896</v>
      </c>
      <c r="H1652" s="2" t="s">
        <v>40897</v>
      </c>
    </row>
    <row r="1653" spans="1:8" ht="25.05" customHeight="1" x14ac:dyDescent="0.25">
      <c r="A1653" s="2" t="s">
        <v>8</v>
      </c>
      <c r="B1653" s="2" t="str">
        <f>HYPERLINK("http://ts.21cn.com/tousu/show/id/1332174","协商之后银行方不守信")</f>
        <v>协商之后银行方不守信</v>
      </c>
      <c r="C1653" s="2" t="s">
        <v>9</v>
      </c>
      <c r="D1653" s="2" t="s">
        <v>10</v>
      </c>
      <c r="E1653" s="2" t="str">
        <f>HYPERLINK("http://ts.21cn.com/tousu/show/id/1332174","http://ts.21cn.com/tousu/show/id/1332174")</f>
        <v>http://ts.21cn.com/tousu/show/id/1332174</v>
      </c>
      <c r="F1653" s="2" t="s">
        <v>11</v>
      </c>
      <c r="G1653" s="2" t="s">
        <v>40894</v>
      </c>
      <c r="H1653" s="2" t="s">
        <v>40895</v>
      </c>
    </row>
    <row r="1654" spans="1:8" ht="25.05" customHeight="1" x14ac:dyDescent="0.25">
      <c r="A1654" s="2" t="s">
        <v>8</v>
      </c>
      <c r="B1654" s="2" t="str">
        <f>HYPERLINK("http://ts.21cn.com/tousu/show/id/1332175","维信金科旗下豆豆钱年化利率远超国家36%红线")</f>
        <v>维信金科旗下豆豆钱年化利率远超国家36%红线</v>
      </c>
      <c r="C1654" s="2" t="s">
        <v>9</v>
      </c>
      <c r="D1654" s="2" t="s">
        <v>10</v>
      </c>
      <c r="E1654" s="2" t="str">
        <f>HYPERLINK("http://ts.21cn.com/tousu/show/id/1332175","http://ts.21cn.com/tousu/show/id/1332175")</f>
        <v>http://ts.21cn.com/tousu/show/id/1332175</v>
      </c>
      <c r="F1654" s="2" t="s">
        <v>11</v>
      </c>
      <c r="G1654" s="2" t="s">
        <v>40892</v>
      </c>
      <c r="H1654" s="2" t="s">
        <v>40893</v>
      </c>
    </row>
    <row r="1655" spans="1:8" ht="25.05" customHeight="1" x14ac:dyDescent="0.25">
      <c r="A1655" s="2" t="s">
        <v>8</v>
      </c>
      <c r="B1655" s="2" t="str">
        <f>HYPERLINK("http://ts.21cn.com/tousu/show/id/1332177","小黑鱼软件里面的点心贷借款高利贷")</f>
        <v>小黑鱼软件里面的点心贷借款高利贷</v>
      </c>
      <c r="C1655" s="2" t="s">
        <v>9</v>
      </c>
      <c r="D1655" s="2" t="s">
        <v>10</v>
      </c>
      <c r="E1655" s="2" t="str">
        <f>HYPERLINK("http://ts.21cn.com/tousu/show/id/1332177","http://ts.21cn.com/tousu/show/id/1332177")</f>
        <v>http://ts.21cn.com/tousu/show/id/1332177</v>
      </c>
      <c r="F1655" s="2" t="s">
        <v>11</v>
      </c>
      <c r="G1655" s="2" t="s">
        <v>40890</v>
      </c>
      <c r="H1655" s="2" t="s">
        <v>40891</v>
      </c>
    </row>
    <row r="1656" spans="1:8" ht="25.05" customHeight="1" x14ac:dyDescent="0.25">
      <c r="A1656" s="2" t="s">
        <v>8</v>
      </c>
      <c r="B1656" s="2" t="str">
        <f>HYPERLINK("http://ts.21cn.com/tousu/show/id/1332176","交通银行信用卡催收态度恶劣")</f>
        <v>交通银行信用卡催收态度恶劣</v>
      </c>
      <c r="C1656" s="2" t="s">
        <v>9</v>
      </c>
      <c r="D1656" s="2" t="s">
        <v>10</v>
      </c>
      <c r="E1656" s="2" t="str">
        <f>HYPERLINK("http://ts.21cn.com/tousu/show/id/1332176","http://ts.21cn.com/tousu/show/id/1332176")</f>
        <v>http://ts.21cn.com/tousu/show/id/1332176</v>
      </c>
      <c r="F1656" s="2" t="s">
        <v>11</v>
      </c>
      <c r="G1656" s="2" t="s">
        <v>40888</v>
      </c>
      <c r="H1656" s="2" t="s">
        <v>40889</v>
      </c>
    </row>
    <row r="1657" spans="1:8" ht="25.05" customHeight="1" x14ac:dyDescent="0.25">
      <c r="A1657" s="2" t="s">
        <v>8</v>
      </c>
      <c r="B1657" s="2" t="str">
        <f>HYPERLINK("http://ts.21cn.com/tousu/show/id/1332178","大手钱包高额砍头息")</f>
        <v>大手钱包高额砍头息</v>
      </c>
      <c r="C1657" s="2" t="s">
        <v>9</v>
      </c>
      <c r="D1657" s="2" t="s">
        <v>10</v>
      </c>
      <c r="E1657" s="2" t="str">
        <f>HYPERLINK("http://ts.21cn.com/tousu/show/id/1332178","http://ts.21cn.com/tousu/show/id/1332178")</f>
        <v>http://ts.21cn.com/tousu/show/id/1332178</v>
      </c>
      <c r="F1657" s="2" t="s">
        <v>11</v>
      </c>
      <c r="G1657" s="2" t="s">
        <v>40886</v>
      </c>
      <c r="H1657" s="2" t="s">
        <v>40887</v>
      </c>
    </row>
    <row r="1658" spans="1:8" ht="25.05" customHeight="1" x14ac:dyDescent="0.25">
      <c r="A1658" s="2" t="s">
        <v>8</v>
      </c>
      <c r="B1658" s="2" t="str">
        <f>HYPERLINK("http://ts.21cn.com/tousu/show/id/1332179","贷款公司打我通讯录")</f>
        <v>贷款公司打我通讯录</v>
      </c>
      <c r="C1658" s="2" t="s">
        <v>9</v>
      </c>
      <c r="D1658" s="2" t="s">
        <v>10</v>
      </c>
      <c r="E1658" s="2" t="str">
        <f>HYPERLINK("http://ts.21cn.com/tousu/show/id/1332179","http://ts.21cn.com/tousu/show/id/1332179")</f>
        <v>http://ts.21cn.com/tousu/show/id/1332179</v>
      </c>
      <c r="F1658" s="2" t="s">
        <v>11</v>
      </c>
      <c r="G1658" s="2" t="s">
        <v>40884</v>
      </c>
      <c r="H1658" s="2" t="s">
        <v>40885</v>
      </c>
    </row>
    <row r="1659" spans="1:8" ht="25.05" customHeight="1" x14ac:dyDescent="0.25">
      <c r="A1659" s="2" t="s">
        <v>8</v>
      </c>
      <c r="B1659" s="2" t="str">
        <f>HYPERLINK("http://ts.21cn.com/tousu/show/id/1332181","招联金融骚扰我家人")</f>
        <v>招联金融骚扰我家人</v>
      </c>
      <c r="C1659" s="2" t="s">
        <v>9</v>
      </c>
      <c r="D1659" s="2" t="s">
        <v>10</v>
      </c>
      <c r="E1659" s="2" t="str">
        <f>HYPERLINK("http://ts.21cn.com/tousu/show/id/1332181","http://ts.21cn.com/tousu/show/id/1332181")</f>
        <v>http://ts.21cn.com/tousu/show/id/1332181</v>
      </c>
      <c r="F1659" s="2" t="s">
        <v>11</v>
      </c>
      <c r="G1659" s="2" t="s">
        <v>40882</v>
      </c>
      <c r="H1659" s="2" t="s">
        <v>40883</v>
      </c>
    </row>
    <row r="1660" spans="1:8" ht="25.05" customHeight="1" x14ac:dyDescent="0.25">
      <c r="A1660" s="2" t="s">
        <v>8</v>
      </c>
      <c r="B1660" s="2" t="str">
        <f>HYPERLINK("http://ts.21cn.com/tousu/show/id/1332182","马上金融暴力催收，20分钟一电话还骚扰我家人")</f>
        <v>马上金融暴力催收，20分钟一电话还骚扰我家人</v>
      </c>
      <c r="C1660" s="2" t="s">
        <v>9</v>
      </c>
      <c r="D1660" s="2" t="s">
        <v>10</v>
      </c>
      <c r="E1660" s="2" t="str">
        <f>HYPERLINK("http://ts.21cn.com/tousu/show/id/1332182","http://ts.21cn.com/tousu/show/id/1332182")</f>
        <v>http://ts.21cn.com/tousu/show/id/1332182</v>
      </c>
      <c r="F1660" s="2" t="s">
        <v>11</v>
      </c>
      <c r="G1660" s="2" t="s">
        <v>40880</v>
      </c>
      <c r="H1660" s="2" t="s">
        <v>40881</v>
      </c>
    </row>
    <row r="1661" spans="1:8" ht="25.05" customHeight="1" x14ac:dyDescent="0.25">
      <c r="A1661" s="2" t="s">
        <v>8</v>
      </c>
      <c r="B1661" s="2" t="str">
        <f>HYPERLINK("http://ts.21cn.com/tousu/show/id/1332183","暴力催收，催收")</f>
        <v>暴力催收，催收</v>
      </c>
      <c r="C1661" s="2" t="s">
        <v>9</v>
      </c>
      <c r="D1661" s="2" t="s">
        <v>10</v>
      </c>
      <c r="E1661" s="2" t="str">
        <f>HYPERLINK("http://ts.21cn.com/tousu/show/id/1332183","http://ts.21cn.com/tousu/show/id/1332183")</f>
        <v>http://ts.21cn.com/tousu/show/id/1332183</v>
      </c>
      <c r="F1661" s="2" t="s">
        <v>11</v>
      </c>
      <c r="G1661" s="2" t="s">
        <v>40878</v>
      </c>
      <c r="H1661" s="2" t="s">
        <v>40879</v>
      </c>
    </row>
    <row r="1662" spans="1:8" ht="25.05" customHeight="1" x14ac:dyDescent="0.25">
      <c r="A1662" s="2" t="s">
        <v>8</v>
      </c>
      <c r="B1662" s="2" t="str">
        <f>HYPERLINK("http://ts.21cn.com/tousu/show/id/1332184","金钱保高额利息")</f>
        <v>金钱保高额利息</v>
      </c>
      <c r="C1662" s="2" t="s">
        <v>9</v>
      </c>
      <c r="D1662" s="2" t="s">
        <v>10</v>
      </c>
      <c r="E1662" s="2" t="str">
        <f>HYPERLINK("http://ts.21cn.com/tousu/show/id/1332184","http://ts.21cn.com/tousu/show/id/1332184")</f>
        <v>http://ts.21cn.com/tousu/show/id/1332184</v>
      </c>
      <c r="F1662" s="2" t="s">
        <v>11</v>
      </c>
      <c r="G1662" s="2" t="s">
        <v>40876</v>
      </c>
      <c r="H1662" s="2" t="s">
        <v>40877</v>
      </c>
    </row>
    <row r="1663" spans="1:8" ht="25.05" customHeight="1" x14ac:dyDescent="0.25">
      <c r="A1663" s="2" t="s">
        <v>8</v>
      </c>
      <c r="B1663" s="2" t="str">
        <f>HYPERLINK("http://ts.21cn.com/tousu/show/id/1332186","卡卡贷收取高额前期担保费用，恶意逾期")</f>
        <v>卡卡贷收取高额前期担保费用，恶意逾期</v>
      </c>
      <c r="C1663" s="2" t="s">
        <v>9</v>
      </c>
      <c r="D1663" s="2" t="s">
        <v>10</v>
      </c>
      <c r="E1663" s="2" t="str">
        <f>HYPERLINK("http://ts.21cn.com/tousu/show/id/1332186","http://ts.21cn.com/tousu/show/id/1332186")</f>
        <v>http://ts.21cn.com/tousu/show/id/1332186</v>
      </c>
      <c r="F1663" s="2" t="s">
        <v>11</v>
      </c>
      <c r="G1663" s="2" t="s">
        <v>40874</v>
      </c>
      <c r="H1663" s="2" t="s">
        <v>40875</v>
      </c>
    </row>
    <row r="1664" spans="1:8" ht="25.05" customHeight="1" x14ac:dyDescent="0.25">
      <c r="A1664" s="2" t="s">
        <v>8</v>
      </c>
      <c r="B1664" s="2" t="str">
        <f>HYPERLINK("http://ts.21cn.com/tousu/show/id/1332185","高利贷砍头息威胁")</f>
        <v>高利贷砍头息威胁</v>
      </c>
      <c r="C1664" s="2" t="s">
        <v>9</v>
      </c>
      <c r="D1664" s="2" t="s">
        <v>10</v>
      </c>
      <c r="E1664" s="2" t="str">
        <f>HYPERLINK("http://ts.21cn.com/tousu/show/id/1332185","http://ts.21cn.com/tousu/show/id/1332185")</f>
        <v>http://ts.21cn.com/tousu/show/id/1332185</v>
      </c>
      <c r="F1664" s="2" t="s">
        <v>11</v>
      </c>
      <c r="G1664" s="2" t="s">
        <v>40872</v>
      </c>
      <c r="H1664" s="2" t="s">
        <v>40873</v>
      </c>
    </row>
    <row r="1665" spans="1:8" ht="25.05" customHeight="1" x14ac:dyDescent="0.25">
      <c r="A1665" s="2" t="s">
        <v>8</v>
      </c>
      <c r="B1665" s="2" t="str">
        <f>HYPERLINK("http://ts.21cn.com/tousu/show/id/1332187","吹收协商")</f>
        <v>吹收协商</v>
      </c>
      <c r="C1665" s="2" t="s">
        <v>9</v>
      </c>
      <c r="D1665" s="2" t="s">
        <v>10</v>
      </c>
      <c r="E1665" s="2" t="str">
        <f>HYPERLINK("http://ts.21cn.com/tousu/show/id/1332187","http://ts.21cn.com/tousu/show/id/1332187")</f>
        <v>http://ts.21cn.com/tousu/show/id/1332187</v>
      </c>
      <c r="F1665" s="2" t="s">
        <v>11</v>
      </c>
      <c r="G1665" s="2" t="s">
        <v>40870</v>
      </c>
      <c r="H1665" s="2" t="s">
        <v>40871</v>
      </c>
    </row>
    <row r="1666" spans="1:8" ht="25.05" customHeight="1" x14ac:dyDescent="0.25">
      <c r="A1666" s="2" t="s">
        <v>8</v>
      </c>
      <c r="B1666" s="2" t="str">
        <f>HYPERLINK("http://ts.21cn.com/tousu/show/id/1332188","本人在微信上的猫眼电影app上购买了2张电影票。因看错影院，买错影院，联系客服却告知无法退票。电影未开场之前的退票是消费")</f>
        <v>本人在微信上的猫眼电影app上购买了2张电影票。因看错影院，买错影院，联系客服却告知无法退票。电影未开场之前的退票是消费</v>
      </c>
      <c r="C1666" s="2" t="s">
        <v>9</v>
      </c>
      <c r="D1666" s="2" t="s">
        <v>10</v>
      </c>
      <c r="E1666" s="2" t="str">
        <f>HYPERLINK("http://ts.21cn.com/tousu/show/id/1332188","http://ts.21cn.com/tousu/show/id/1332188")</f>
        <v>http://ts.21cn.com/tousu/show/id/1332188</v>
      </c>
      <c r="F1666" s="2" t="s">
        <v>11</v>
      </c>
      <c r="G1666" s="2" t="s">
        <v>40868</v>
      </c>
      <c r="H1666" s="2" t="s">
        <v>40869</v>
      </c>
    </row>
    <row r="1667" spans="1:8" ht="25.05" customHeight="1" x14ac:dyDescent="0.25">
      <c r="A1667" s="2" t="s">
        <v>8</v>
      </c>
      <c r="B1667" s="2" t="str">
        <f>HYPERLINK("http://ts.21cn.com/tousu/show/id/1332189","拼多多涉嫌虚假宣传")</f>
        <v>拼多多涉嫌虚假宣传</v>
      </c>
      <c r="C1667" s="2" t="s">
        <v>9</v>
      </c>
      <c r="D1667" s="2" t="s">
        <v>10</v>
      </c>
      <c r="E1667" s="2" t="str">
        <f>HYPERLINK("http://ts.21cn.com/tousu/show/id/1332189","http://ts.21cn.com/tousu/show/id/1332189")</f>
        <v>http://ts.21cn.com/tousu/show/id/1332189</v>
      </c>
      <c r="F1667" s="2" t="s">
        <v>11</v>
      </c>
      <c r="G1667" s="2" t="s">
        <v>40866</v>
      </c>
      <c r="H1667" s="2" t="s">
        <v>40867</v>
      </c>
    </row>
    <row r="1668" spans="1:8" ht="25.05" customHeight="1" x14ac:dyDescent="0.25">
      <c r="A1668" s="2" t="s">
        <v>8</v>
      </c>
      <c r="B1668" s="2" t="str">
        <f>HYPERLINK("http://ts.21cn.com/tousu/show/id/1332190","自由摩卡信用计划高利贷砍头息收取会员费")</f>
        <v>自由摩卡信用计划高利贷砍头息收取会员费</v>
      </c>
      <c r="C1668" s="2" t="s">
        <v>9</v>
      </c>
      <c r="D1668" s="2" t="s">
        <v>10</v>
      </c>
      <c r="E1668" s="2" t="str">
        <f>HYPERLINK("http://ts.21cn.com/tousu/show/id/1332190","http://ts.21cn.com/tousu/show/id/1332190")</f>
        <v>http://ts.21cn.com/tousu/show/id/1332190</v>
      </c>
      <c r="F1668" s="2" t="s">
        <v>11</v>
      </c>
      <c r="G1668" s="2" t="s">
        <v>40864</v>
      </c>
      <c r="H1668" s="2" t="s">
        <v>40865</v>
      </c>
    </row>
    <row r="1669" spans="1:8" ht="25.05" customHeight="1" x14ac:dyDescent="0.25">
      <c r="A1669" s="2" t="s">
        <v>8</v>
      </c>
      <c r="B1669" s="2" t="str">
        <f>HYPERLINK("http://ts.21cn.com/tousu/show/id/1332191","钱站国庆节就电话恐吓")</f>
        <v>钱站国庆节就电话恐吓</v>
      </c>
      <c r="C1669" s="2" t="s">
        <v>9</v>
      </c>
      <c r="D1669" s="2" t="s">
        <v>10</v>
      </c>
      <c r="E1669" s="2" t="str">
        <f>HYPERLINK("http://ts.21cn.com/tousu/show/id/1332191","http://ts.21cn.com/tousu/show/id/1332191")</f>
        <v>http://ts.21cn.com/tousu/show/id/1332191</v>
      </c>
      <c r="F1669" s="2" t="s">
        <v>11</v>
      </c>
      <c r="G1669" s="2" t="s">
        <v>40862</v>
      </c>
      <c r="H1669" s="2" t="s">
        <v>40863</v>
      </c>
    </row>
    <row r="1670" spans="1:8" ht="25.05" customHeight="1" x14ac:dyDescent="0.25">
      <c r="A1670" s="2" t="s">
        <v>8</v>
      </c>
      <c r="B1670" s="2" t="str">
        <f>HYPERLINK("http://ts.21cn.com/tousu/show/id/1332192","微信微众商业银行催收有恐吓嫌疑")</f>
        <v>微信微众商业银行催收有恐吓嫌疑</v>
      </c>
      <c r="C1670" s="2" t="s">
        <v>9</v>
      </c>
      <c r="D1670" s="2" t="s">
        <v>10</v>
      </c>
      <c r="E1670" s="2" t="str">
        <f>HYPERLINK("http://ts.21cn.com/tousu/show/id/1332192","http://ts.21cn.com/tousu/show/id/1332192")</f>
        <v>http://ts.21cn.com/tousu/show/id/1332192</v>
      </c>
      <c r="F1670" s="2" t="s">
        <v>11</v>
      </c>
      <c r="G1670" s="2" t="s">
        <v>40860</v>
      </c>
      <c r="H1670" s="2" t="s">
        <v>40861</v>
      </c>
    </row>
    <row r="1671" spans="1:8" ht="25.05" customHeight="1" x14ac:dyDescent="0.25">
      <c r="A1671" s="2" t="s">
        <v>8</v>
      </c>
      <c r="B1671" s="2" t="str">
        <f>HYPERLINK("http://ts.21cn.com/tousu/show/id/1332193","浪花白条套路贷砍头息")</f>
        <v>浪花白条套路贷砍头息</v>
      </c>
      <c r="C1671" s="2" t="s">
        <v>34</v>
      </c>
      <c r="D1671" s="2" t="s">
        <v>10</v>
      </c>
      <c r="E1671" s="2" t="str">
        <f>HYPERLINK("http://ts.21cn.com/tousu/show/id/1332193","http://ts.21cn.com/tousu/show/id/1332193")</f>
        <v>http://ts.21cn.com/tousu/show/id/1332193</v>
      </c>
      <c r="F1671" s="2" t="s">
        <v>11</v>
      </c>
      <c r="G1671" s="2" t="s">
        <v>40858</v>
      </c>
      <c r="H1671" s="2" t="s">
        <v>40859</v>
      </c>
    </row>
    <row r="1672" spans="1:8" ht="25.05" customHeight="1" x14ac:dyDescent="0.25">
      <c r="A1672" s="2" t="s">
        <v>8</v>
      </c>
      <c r="B1672" s="2" t="str">
        <f>HYPERLINK("http://ts.21cn.com/tousu/show/id/1332194","贷上钱以借款捆绑购物金额，借款2000一个月要还2560想咨询无果，爆通讯录并且恐吓亲友")</f>
        <v>贷上钱以借款捆绑购物金额，借款2000一个月要还2560想咨询无果，爆通讯录并且恐吓亲友</v>
      </c>
      <c r="C1672" s="2" t="s">
        <v>9</v>
      </c>
      <c r="D1672" s="2" t="s">
        <v>10</v>
      </c>
      <c r="E1672" s="2" t="str">
        <f>HYPERLINK("http://ts.21cn.com/tousu/show/id/1332194","http://ts.21cn.com/tousu/show/id/1332194")</f>
        <v>http://ts.21cn.com/tousu/show/id/1332194</v>
      </c>
      <c r="F1672" s="2" t="s">
        <v>11</v>
      </c>
      <c r="G1672" s="2" t="s">
        <v>40856</v>
      </c>
      <c r="H1672" s="2" t="s">
        <v>40857</v>
      </c>
    </row>
    <row r="1673" spans="1:8" ht="25.05" customHeight="1" x14ac:dyDescent="0.25">
      <c r="A1673" s="2" t="s">
        <v>8</v>
      </c>
      <c r="B1673" s="2" t="str">
        <f>HYPERLINK("http://ts.21cn.com/tousu/show/id/1332195","砍头贷，利息虚高")</f>
        <v>砍头贷，利息虚高</v>
      </c>
      <c r="C1673" s="2" t="s">
        <v>9</v>
      </c>
      <c r="D1673" s="2" t="s">
        <v>10</v>
      </c>
      <c r="E1673" s="2" t="str">
        <f>HYPERLINK("http://ts.21cn.com/tousu/show/id/1332195","http://ts.21cn.com/tousu/show/id/1332195")</f>
        <v>http://ts.21cn.com/tousu/show/id/1332195</v>
      </c>
      <c r="F1673" s="2" t="s">
        <v>11</v>
      </c>
      <c r="G1673" s="2" t="s">
        <v>40854</v>
      </c>
      <c r="H1673" s="2" t="s">
        <v>40855</v>
      </c>
    </row>
    <row r="1674" spans="1:8" ht="25.05" customHeight="1" x14ac:dyDescent="0.25">
      <c r="A1674" s="2" t="s">
        <v>8</v>
      </c>
      <c r="B1674" s="2" t="str">
        <f>HYPERLINK("http://ts.21cn.com/tousu/show/id/1332196","闪银不能解绑银行卡")</f>
        <v>闪银不能解绑银行卡</v>
      </c>
      <c r="C1674" s="2" t="s">
        <v>34</v>
      </c>
      <c r="D1674" s="2" t="s">
        <v>10</v>
      </c>
      <c r="E1674" s="2" t="str">
        <f>HYPERLINK("http://ts.21cn.com/tousu/show/id/1332196","http://ts.21cn.com/tousu/show/id/1332196")</f>
        <v>http://ts.21cn.com/tousu/show/id/1332196</v>
      </c>
      <c r="F1674" s="2" t="s">
        <v>11</v>
      </c>
      <c r="G1674" s="2" t="s">
        <v>40852</v>
      </c>
      <c r="H1674" s="2" t="s">
        <v>40853</v>
      </c>
    </row>
    <row r="1675" spans="1:8" ht="25.05" customHeight="1" x14ac:dyDescent="0.25">
      <c r="A1675" s="2" t="s">
        <v>8</v>
      </c>
      <c r="B1675" s="2" t="str">
        <f>HYPERLINK("http://ts.21cn.com/tousu/show/id/1332197","银行卡无缘无故被扣钱")</f>
        <v>银行卡无缘无故被扣钱</v>
      </c>
      <c r="C1675" s="2" t="s">
        <v>9</v>
      </c>
      <c r="D1675" s="2" t="s">
        <v>10</v>
      </c>
      <c r="E1675" s="2" t="str">
        <f>HYPERLINK("http://ts.21cn.com/tousu/show/id/1332197","http://ts.21cn.com/tousu/show/id/1332197")</f>
        <v>http://ts.21cn.com/tousu/show/id/1332197</v>
      </c>
      <c r="F1675" s="2" t="s">
        <v>11</v>
      </c>
      <c r="G1675" s="2" t="s">
        <v>40850</v>
      </c>
      <c r="H1675" s="2" t="s">
        <v>40851</v>
      </c>
    </row>
    <row r="1676" spans="1:8" ht="25.05" customHeight="1" x14ac:dyDescent="0.25">
      <c r="A1676" s="2" t="s">
        <v>8</v>
      </c>
      <c r="B1676" s="2" t="str">
        <f>HYPERLINK("http://ts.21cn.com/tousu/show/id/1332198","聚福钱包未经许可私自扣款")</f>
        <v>聚福钱包未经许可私自扣款</v>
      </c>
      <c r="C1676" s="2" t="s">
        <v>9</v>
      </c>
      <c r="D1676" s="2" t="s">
        <v>10</v>
      </c>
      <c r="E1676" s="2" t="str">
        <f>HYPERLINK("http://ts.21cn.com/tousu/show/id/1332198","http://ts.21cn.com/tousu/show/id/1332198")</f>
        <v>http://ts.21cn.com/tousu/show/id/1332198</v>
      </c>
      <c r="F1676" s="2" t="s">
        <v>11</v>
      </c>
      <c r="G1676" s="2" t="s">
        <v>40848</v>
      </c>
      <c r="H1676" s="2" t="s">
        <v>40849</v>
      </c>
    </row>
    <row r="1677" spans="1:8" ht="25.05" customHeight="1" x14ac:dyDescent="0.25">
      <c r="A1677" s="2" t="s">
        <v>8</v>
      </c>
      <c r="B1677" s="2" t="str">
        <f>HYPERLINK("http://ts.21cn.com/tousu/show/id/1332199","该平台利息过高且暴力催收")</f>
        <v>该平台利息过高且暴力催收</v>
      </c>
      <c r="C1677" s="2" t="s">
        <v>9</v>
      </c>
      <c r="D1677" s="2" t="s">
        <v>10</v>
      </c>
      <c r="E1677" s="2" t="str">
        <f>HYPERLINK("http://ts.21cn.com/tousu/show/id/1332199","http://ts.21cn.com/tousu/show/id/1332199")</f>
        <v>http://ts.21cn.com/tousu/show/id/1332199</v>
      </c>
      <c r="F1677" s="2" t="s">
        <v>11</v>
      </c>
      <c r="G1677" s="2" t="s">
        <v>40846</v>
      </c>
      <c r="H1677" s="2" t="s">
        <v>40847</v>
      </c>
    </row>
    <row r="1678" spans="1:8" ht="25.05" customHeight="1" x14ac:dyDescent="0.25">
      <c r="A1678" s="2" t="s">
        <v>8</v>
      </c>
      <c r="B1678" s="2" t="str">
        <f>HYPERLINK("http://ts.21cn.com/tousu/show/id/1332200","利息高，")</f>
        <v>利息高，</v>
      </c>
      <c r="C1678" s="2" t="s">
        <v>9</v>
      </c>
      <c r="D1678" s="2" t="s">
        <v>10</v>
      </c>
      <c r="E1678" s="2" t="str">
        <f>HYPERLINK("http://ts.21cn.com/tousu/show/id/1332200","http://ts.21cn.com/tousu/show/id/1332200")</f>
        <v>http://ts.21cn.com/tousu/show/id/1332200</v>
      </c>
      <c r="F1678" s="2" t="s">
        <v>11</v>
      </c>
      <c r="G1678" s="2" t="s">
        <v>40844</v>
      </c>
      <c r="H1678" s="2" t="s">
        <v>40845</v>
      </c>
    </row>
    <row r="1679" spans="1:8" ht="25.05" customHeight="1" x14ac:dyDescent="0.25">
      <c r="A1679" s="2" t="s">
        <v>8</v>
      </c>
      <c r="B1679" s="2" t="str">
        <f>HYPERLINK("http://ts.21cn.com/tousu/show/id/1332201","豪多鱼高利贷砍头息")</f>
        <v>豪多鱼高利贷砍头息</v>
      </c>
      <c r="C1679" s="2" t="s">
        <v>9</v>
      </c>
      <c r="D1679" s="2" t="s">
        <v>10</v>
      </c>
      <c r="E1679" s="2" t="str">
        <f>HYPERLINK("http://ts.21cn.com/tousu/show/id/1332201","http://ts.21cn.com/tousu/show/id/1332201")</f>
        <v>http://ts.21cn.com/tousu/show/id/1332201</v>
      </c>
      <c r="F1679" s="2" t="s">
        <v>11</v>
      </c>
      <c r="G1679" s="2" t="s">
        <v>40842</v>
      </c>
      <c r="H1679" s="2" t="s">
        <v>40843</v>
      </c>
    </row>
    <row r="1680" spans="1:8" ht="25.05" customHeight="1" x14ac:dyDescent="0.25">
      <c r="A1680" s="2" t="s">
        <v>8</v>
      </c>
      <c r="B1680" s="2" t="str">
        <f>HYPERLINK("http://ts.21cn.com/tousu/show/id/1332202","豪多鱼高利贷砍头息")</f>
        <v>豪多鱼高利贷砍头息</v>
      </c>
      <c r="C1680" s="2" t="s">
        <v>9</v>
      </c>
      <c r="D1680" s="2" t="s">
        <v>10</v>
      </c>
      <c r="E1680" s="2" t="str">
        <f>HYPERLINK("http://ts.21cn.com/tousu/show/id/1332202","http://ts.21cn.com/tousu/show/id/1332202")</f>
        <v>http://ts.21cn.com/tousu/show/id/1332202</v>
      </c>
      <c r="F1680" s="2" t="s">
        <v>11</v>
      </c>
      <c r="G1680" s="2" t="s">
        <v>40840</v>
      </c>
      <c r="H1680" s="2" t="s">
        <v>40841</v>
      </c>
    </row>
    <row r="1681" spans="1:8" ht="25.05" customHeight="1" x14ac:dyDescent="0.25">
      <c r="A1681" s="2" t="s">
        <v>8</v>
      </c>
      <c r="B1681" s="2" t="str">
        <f>HYPERLINK("http://ts.21cn.com/tousu/show/id/1332204","华农钱庄利息太高属于违法")</f>
        <v>华农钱庄利息太高属于违法</v>
      </c>
      <c r="C1681" s="2" t="s">
        <v>9</v>
      </c>
      <c r="D1681" s="2" t="s">
        <v>10</v>
      </c>
      <c r="E1681" s="2" t="str">
        <f>HYPERLINK("http://ts.21cn.com/tousu/show/id/1332204","http://ts.21cn.com/tousu/show/id/1332204")</f>
        <v>http://ts.21cn.com/tousu/show/id/1332204</v>
      </c>
      <c r="F1681" s="2" t="s">
        <v>11</v>
      </c>
      <c r="G1681" s="2" t="s">
        <v>40838</v>
      </c>
      <c r="H1681" s="2" t="s">
        <v>40839</v>
      </c>
    </row>
    <row r="1682" spans="1:8" ht="25.05" customHeight="1" x14ac:dyDescent="0.25">
      <c r="A1682" s="2" t="s">
        <v>8</v>
      </c>
      <c r="B1682" s="2" t="str">
        <f>HYPERLINK("http://ts.21cn.com/tousu/show/id/1332205","交通银行暴力催收霸王条款")</f>
        <v>交通银行暴力催收霸王条款</v>
      </c>
      <c r="C1682" s="2" t="s">
        <v>9</v>
      </c>
      <c r="D1682" s="2" t="s">
        <v>10</v>
      </c>
      <c r="E1682" s="2" t="str">
        <f>HYPERLINK("http://ts.21cn.com/tousu/show/id/1332205","http://ts.21cn.com/tousu/show/id/1332205")</f>
        <v>http://ts.21cn.com/tousu/show/id/1332205</v>
      </c>
      <c r="F1682" s="2" t="s">
        <v>11</v>
      </c>
      <c r="G1682" s="2" t="s">
        <v>40836</v>
      </c>
      <c r="H1682" s="2" t="s">
        <v>40837</v>
      </c>
    </row>
    <row r="1683" spans="1:8" ht="25.05" customHeight="1" x14ac:dyDescent="0.25">
      <c r="A1683" s="2" t="s">
        <v>8</v>
      </c>
      <c r="B1683" s="2" t="str">
        <f>HYPERLINK("http://ts.21cn.com/tousu/show/id/1332207","人保勾结网贷捆绑销售保险")</f>
        <v>人保勾结网贷捆绑销售保险</v>
      </c>
      <c r="C1683" s="2" t="s">
        <v>9</v>
      </c>
      <c r="D1683" s="2" t="s">
        <v>10</v>
      </c>
      <c r="E1683" s="2" t="str">
        <f>HYPERLINK("http://ts.21cn.com/tousu/show/id/1332207","http://ts.21cn.com/tousu/show/id/1332207")</f>
        <v>http://ts.21cn.com/tousu/show/id/1332207</v>
      </c>
      <c r="F1683" s="2" t="s">
        <v>11</v>
      </c>
      <c r="G1683" s="2" t="s">
        <v>40834</v>
      </c>
      <c r="H1683" s="2" t="s">
        <v>40835</v>
      </c>
    </row>
    <row r="1684" spans="1:8" ht="25.05" customHeight="1" x14ac:dyDescent="0.25">
      <c r="A1684" s="2" t="s">
        <v>8</v>
      </c>
      <c r="B1684" s="2" t="str">
        <f>HYPERLINK("http://ts.21cn.com/tousu/show/id/1332208","马上消费金融")</f>
        <v>马上消费金融</v>
      </c>
      <c r="C1684" s="2" t="s">
        <v>9</v>
      </c>
      <c r="D1684" s="2" t="s">
        <v>10</v>
      </c>
      <c r="E1684" s="2" t="str">
        <f>HYPERLINK("http://ts.21cn.com/tousu/show/id/1332208","http://ts.21cn.com/tousu/show/id/1332208")</f>
        <v>http://ts.21cn.com/tousu/show/id/1332208</v>
      </c>
      <c r="F1684" s="2" t="s">
        <v>11</v>
      </c>
      <c r="G1684" s="2" t="s">
        <v>40832</v>
      </c>
      <c r="H1684" s="2" t="s">
        <v>40833</v>
      </c>
    </row>
    <row r="1685" spans="1:8" ht="25.05" customHeight="1" x14ac:dyDescent="0.25">
      <c r="A1685" s="2" t="s">
        <v>8</v>
      </c>
      <c r="B1685" s="2" t="str">
        <f>HYPERLINK("http://ts.21cn.com/tousu/show/id/1332209","我来数科微信通道关闭导致还款失败")</f>
        <v>我来数科微信通道关闭导致还款失败</v>
      </c>
      <c r="C1685" s="2" t="s">
        <v>9</v>
      </c>
      <c r="D1685" s="2" t="s">
        <v>10</v>
      </c>
      <c r="E1685" s="2" t="str">
        <f>HYPERLINK("http://ts.21cn.com/tousu/show/id/1332209","http://ts.21cn.com/tousu/show/id/1332209")</f>
        <v>http://ts.21cn.com/tousu/show/id/1332209</v>
      </c>
      <c r="F1685" s="2" t="s">
        <v>11</v>
      </c>
      <c r="G1685" s="2" t="s">
        <v>40830</v>
      </c>
      <c r="H1685" s="2" t="s">
        <v>40831</v>
      </c>
    </row>
    <row r="1686" spans="1:8" ht="25.05" customHeight="1" x14ac:dyDescent="0.25">
      <c r="A1686" s="2" t="s">
        <v>8</v>
      </c>
      <c r="B1686" s="2" t="str">
        <f>HYPERLINK("http://ts.21cn.com/tousu/show/id/1332210","捷信公司不销账")</f>
        <v>捷信公司不销账</v>
      </c>
      <c r="C1686" s="2" t="s">
        <v>34</v>
      </c>
      <c r="D1686" s="2" t="s">
        <v>10</v>
      </c>
      <c r="E1686" s="2" t="str">
        <f>HYPERLINK("http://ts.21cn.com/tousu/show/id/1332210","http://ts.21cn.com/tousu/show/id/1332210")</f>
        <v>http://ts.21cn.com/tousu/show/id/1332210</v>
      </c>
      <c r="F1686" s="2" t="s">
        <v>11</v>
      </c>
      <c r="G1686" s="2" t="s">
        <v>40828</v>
      </c>
      <c r="H1686" s="2" t="s">
        <v>40829</v>
      </c>
    </row>
    <row r="1687" spans="1:8" ht="25.05" customHeight="1" x14ac:dyDescent="0.25">
      <c r="A1687" s="2" t="s">
        <v>8</v>
      </c>
      <c r="B1687" s="2" t="str">
        <f>HYPERLINK("http://ts.21cn.com/tousu/show/id/1332211","华夏银行为钱站高利贷平台提供违规支付")</f>
        <v>华夏银行为钱站高利贷平台提供违规支付</v>
      </c>
      <c r="C1687" s="2" t="s">
        <v>9</v>
      </c>
      <c r="D1687" s="2" t="s">
        <v>10</v>
      </c>
      <c r="E1687" s="2" t="str">
        <f>HYPERLINK("http://ts.21cn.com/tousu/show/id/1332211","http://ts.21cn.com/tousu/show/id/1332211")</f>
        <v>http://ts.21cn.com/tousu/show/id/1332211</v>
      </c>
      <c r="F1687" s="2" t="s">
        <v>11</v>
      </c>
      <c r="G1687" s="2" t="s">
        <v>40826</v>
      </c>
      <c r="H1687" s="2" t="s">
        <v>40827</v>
      </c>
    </row>
    <row r="1688" spans="1:8" ht="25.05" customHeight="1" x14ac:dyDescent="0.25">
      <c r="A1688" s="2" t="s">
        <v>8</v>
      </c>
      <c r="B1688" s="2" t="str">
        <f>HYPERLINK("http://ts.21cn.com/tousu/show/id/1332213","套路贷！高利贷")</f>
        <v>套路贷！高利贷</v>
      </c>
      <c r="C1688" s="2" t="s">
        <v>9</v>
      </c>
      <c r="D1688" s="2" t="s">
        <v>10</v>
      </c>
      <c r="E1688" s="2" t="str">
        <f>HYPERLINK("http://ts.21cn.com/tousu/show/id/1332213","http://ts.21cn.com/tousu/show/id/1332213")</f>
        <v>http://ts.21cn.com/tousu/show/id/1332213</v>
      </c>
      <c r="F1688" s="2" t="s">
        <v>11</v>
      </c>
      <c r="G1688" s="2" t="s">
        <v>40824</v>
      </c>
      <c r="H1688" s="2" t="s">
        <v>40825</v>
      </c>
    </row>
    <row r="1689" spans="1:8" ht="25.05" customHeight="1" x14ac:dyDescent="0.25">
      <c r="A1689" s="2" t="s">
        <v>8</v>
      </c>
      <c r="B1689" s="2" t="str">
        <f>HYPERLINK("http://ts.21cn.com/tousu/show/id/1332214","及贷主动还款后显示还款中，隔天显示还款失败，加收逾期费")</f>
        <v>及贷主动还款后显示还款中，隔天显示还款失败，加收逾期费</v>
      </c>
      <c r="C1689" s="2" t="s">
        <v>34</v>
      </c>
      <c r="D1689" s="2" t="s">
        <v>10</v>
      </c>
      <c r="E1689" s="2" t="str">
        <f>HYPERLINK("http://ts.21cn.com/tousu/show/id/1332214","http://ts.21cn.com/tousu/show/id/1332214")</f>
        <v>http://ts.21cn.com/tousu/show/id/1332214</v>
      </c>
      <c r="F1689" s="2" t="s">
        <v>11</v>
      </c>
      <c r="G1689" s="2" t="s">
        <v>40823</v>
      </c>
      <c r="H1689" s="2" t="s">
        <v>36624</v>
      </c>
    </row>
    <row r="1690" spans="1:8" ht="25.05" customHeight="1" x14ac:dyDescent="0.25">
      <c r="A1690" s="2" t="s">
        <v>8</v>
      </c>
      <c r="B1690" s="2" t="str">
        <f>HYPERLINK("http://ts.21cn.com/tousu/show/id/1332215","海小葵高利贷砍头息")</f>
        <v>海小葵高利贷砍头息</v>
      </c>
      <c r="C1690" s="2" t="s">
        <v>9</v>
      </c>
      <c r="D1690" s="2" t="s">
        <v>10</v>
      </c>
      <c r="E1690" s="2" t="str">
        <f>HYPERLINK("http://ts.21cn.com/tousu/show/id/1332215","http://ts.21cn.com/tousu/show/id/1332215")</f>
        <v>http://ts.21cn.com/tousu/show/id/1332215</v>
      </c>
      <c r="F1690" s="2" t="s">
        <v>11</v>
      </c>
      <c r="G1690" s="2" t="s">
        <v>40821</v>
      </c>
      <c r="H1690" s="2" t="s">
        <v>40822</v>
      </c>
    </row>
    <row r="1691" spans="1:8" ht="25.05" customHeight="1" x14ac:dyDescent="0.25">
      <c r="A1691" s="2" t="s">
        <v>8</v>
      </c>
      <c r="B1691" s="2" t="str">
        <f>HYPERLINK("http://ts.21cn.com/tousu/show/id/1332216","电话威胁")</f>
        <v>电话威胁</v>
      </c>
      <c r="C1691" s="2" t="s">
        <v>9</v>
      </c>
      <c r="D1691" s="2" t="s">
        <v>10</v>
      </c>
      <c r="E1691" s="2" t="str">
        <f>HYPERLINK("http://ts.21cn.com/tousu/show/id/1332216","http://ts.21cn.com/tousu/show/id/1332216")</f>
        <v>http://ts.21cn.com/tousu/show/id/1332216</v>
      </c>
      <c r="F1691" s="2" t="s">
        <v>11</v>
      </c>
      <c r="G1691" s="2" t="s">
        <v>40819</v>
      </c>
      <c r="H1691" s="2" t="s">
        <v>40820</v>
      </c>
    </row>
    <row r="1692" spans="1:8" ht="25.05" customHeight="1" x14ac:dyDescent="0.25">
      <c r="A1692" s="2" t="s">
        <v>8</v>
      </c>
      <c r="B1692" s="2" t="str">
        <f>HYPERLINK("http://ts.21cn.com/tousu/show/id/1332218","淘宝网评判不公")</f>
        <v>淘宝网评判不公</v>
      </c>
      <c r="C1692" s="2" t="s">
        <v>9</v>
      </c>
      <c r="D1692" s="2" t="s">
        <v>10</v>
      </c>
      <c r="E1692" s="2" t="str">
        <f>HYPERLINK("http://ts.21cn.com/tousu/show/id/1332218","http://ts.21cn.com/tousu/show/id/1332218")</f>
        <v>http://ts.21cn.com/tousu/show/id/1332218</v>
      </c>
      <c r="F1692" s="2" t="s">
        <v>11</v>
      </c>
      <c r="G1692" s="2" t="s">
        <v>40817</v>
      </c>
      <c r="H1692" s="2" t="s">
        <v>40818</v>
      </c>
    </row>
    <row r="1693" spans="1:8" ht="25.05" customHeight="1" x14ac:dyDescent="0.25">
      <c r="A1693" s="2" t="s">
        <v>8</v>
      </c>
      <c r="B1693" s="2" t="str">
        <f>HYPERLINK("http://ts.21cn.com/tousu/show/id/1332217","本人无故被中国光大银行扣了1000.00元方式为（特约）中建投（银企入金）")</f>
        <v>本人无故被中国光大银行扣了1000.00元方式为（特约）中建投（银企入金）</v>
      </c>
      <c r="C1693" s="2" t="s">
        <v>9</v>
      </c>
      <c r="D1693" s="2" t="s">
        <v>10</v>
      </c>
      <c r="E1693" s="2" t="str">
        <f>HYPERLINK("http://ts.21cn.com/tousu/show/id/1332217","http://ts.21cn.com/tousu/show/id/1332217")</f>
        <v>http://ts.21cn.com/tousu/show/id/1332217</v>
      </c>
      <c r="F1693" s="2" t="s">
        <v>11</v>
      </c>
      <c r="G1693" s="2" t="s">
        <v>40815</v>
      </c>
      <c r="H1693" s="2" t="s">
        <v>40816</v>
      </c>
    </row>
    <row r="1694" spans="1:8" ht="25.05" customHeight="1" x14ac:dyDescent="0.25">
      <c r="A1694" s="2" t="s">
        <v>8</v>
      </c>
      <c r="B1694" s="2" t="str">
        <f>HYPERLINK("http://ts.21cn.com/tousu/show/id/1332219","小度有钱强制收取会员费，未经本人同意直接扣款")</f>
        <v>小度有钱强制收取会员费，未经本人同意直接扣款</v>
      </c>
      <c r="C1694" s="2" t="s">
        <v>9</v>
      </c>
      <c r="D1694" s="2" t="s">
        <v>10</v>
      </c>
      <c r="E1694" s="2" t="str">
        <f>HYPERLINK("http://ts.21cn.com/tousu/show/id/1332219","http://ts.21cn.com/tousu/show/id/1332219")</f>
        <v>http://ts.21cn.com/tousu/show/id/1332219</v>
      </c>
      <c r="F1694" s="2" t="s">
        <v>11</v>
      </c>
      <c r="G1694" s="2" t="s">
        <v>40813</v>
      </c>
      <c r="H1694" s="2" t="s">
        <v>40814</v>
      </c>
    </row>
    <row r="1695" spans="1:8" ht="25.05" customHeight="1" x14ac:dyDescent="0.25">
      <c r="A1695" s="2" t="s">
        <v>8</v>
      </c>
      <c r="B1695" s="2" t="str">
        <f>HYPERLINK("http://ts.21cn.com/tousu/show/id/1332220","网贷套路")</f>
        <v>网贷套路</v>
      </c>
      <c r="C1695" s="2" t="s">
        <v>9</v>
      </c>
      <c r="D1695" s="2" t="s">
        <v>10</v>
      </c>
      <c r="E1695" s="2" t="str">
        <f>HYPERLINK("http://ts.21cn.com/tousu/show/id/1332220","http://ts.21cn.com/tousu/show/id/1332220")</f>
        <v>http://ts.21cn.com/tousu/show/id/1332220</v>
      </c>
      <c r="F1695" s="2" t="s">
        <v>11</v>
      </c>
      <c r="G1695" s="2" t="s">
        <v>40811</v>
      </c>
      <c r="H1695" s="2" t="s">
        <v>40812</v>
      </c>
    </row>
    <row r="1696" spans="1:8" ht="25.05" customHeight="1" x14ac:dyDescent="0.25">
      <c r="A1696" s="2" t="s">
        <v>8</v>
      </c>
      <c r="B1696" s="2" t="str">
        <f>HYPERLINK("http://ts.21cn.com/tousu/show/id/1332221","好易借高利贷阴阳合同")</f>
        <v>好易借高利贷阴阳合同</v>
      </c>
      <c r="C1696" s="2" t="s">
        <v>9</v>
      </c>
      <c r="D1696" s="2" t="s">
        <v>10</v>
      </c>
      <c r="E1696" s="2" t="str">
        <f>HYPERLINK("http://ts.21cn.com/tousu/show/id/1332221","http://ts.21cn.com/tousu/show/id/1332221")</f>
        <v>http://ts.21cn.com/tousu/show/id/1332221</v>
      </c>
      <c r="F1696" s="2" t="s">
        <v>11</v>
      </c>
      <c r="G1696" s="2" t="s">
        <v>40809</v>
      </c>
      <c r="H1696" s="2" t="s">
        <v>40810</v>
      </c>
    </row>
    <row r="1697" spans="1:8" ht="25.05" customHeight="1" x14ac:dyDescent="0.25">
      <c r="A1697" s="2" t="s">
        <v>8</v>
      </c>
      <c r="B1697" s="2" t="str">
        <f>HYPERLINK("http://ts.21cn.com/tousu/show/id/1332222","安家趣花app引导充值会员之后审核失败")</f>
        <v>安家趣花app引导充值会员之后审核失败</v>
      </c>
      <c r="C1697" s="2" t="s">
        <v>9</v>
      </c>
      <c r="D1697" s="2" t="s">
        <v>10</v>
      </c>
      <c r="E1697" s="2" t="str">
        <f>HYPERLINK("http://ts.21cn.com/tousu/show/id/1332222","http://ts.21cn.com/tousu/show/id/1332222")</f>
        <v>http://ts.21cn.com/tousu/show/id/1332222</v>
      </c>
      <c r="F1697" s="2" t="s">
        <v>11</v>
      </c>
      <c r="G1697" s="2" t="s">
        <v>40807</v>
      </c>
      <c r="H1697" s="2" t="s">
        <v>40808</v>
      </c>
    </row>
    <row r="1698" spans="1:8" ht="25.05" customHeight="1" x14ac:dyDescent="0.25">
      <c r="A1698" s="2" t="s">
        <v>8</v>
      </c>
      <c r="B1698" s="2" t="str">
        <f>HYPERLINK("http://ts.21cn.com/tousu/show/id/1332223","好易贷协商之后不认账，还威胁爆通讯录，被逼再还高额费用")</f>
        <v>好易贷协商之后不认账，还威胁爆通讯录，被逼再还高额费用</v>
      </c>
      <c r="C1698" s="2" t="s">
        <v>9</v>
      </c>
      <c r="D1698" s="2" t="s">
        <v>10</v>
      </c>
      <c r="E1698" s="2" t="str">
        <f>HYPERLINK("http://ts.21cn.com/tousu/show/id/1332223","http://ts.21cn.com/tousu/show/id/1332223")</f>
        <v>http://ts.21cn.com/tousu/show/id/1332223</v>
      </c>
      <c r="F1698" s="2" t="s">
        <v>11</v>
      </c>
      <c r="G1698" s="2" t="s">
        <v>40805</v>
      </c>
      <c r="H1698" s="2" t="s">
        <v>40806</v>
      </c>
    </row>
    <row r="1699" spans="1:8" ht="25.05" customHeight="1" x14ac:dyDescent="0.25">
      <c r="A1699" s="2" t="s">
        <v>8</v>
      </c>
      <c r="B1699" s="2" t="str">
        <f>HYPERLINK("http://ts.21cn.com/tousu/show/id/1332224","因国庆原因请求延期几天还款")</f>
        <v>因国庆原因请求延期几天还款</v>
      </c>
      <c r="C1699" s="2" t="s">
        <v>34</v>
      </c>
      <c r="D1699" s="2" t="s">
        <v>10</v>
      </c>
      <c r="E1699" s="2" t="str">
        <f>HYPERLINK("http://ts.21cn.com/tousu/show/id/1332224","http://ts.21cn.com/tousu/show/id/1332224")</f>
        <v>http://ts.21cn.com/tousu/show/id/1332224</v>
      </c>
      <c r="F1699" s="2" t="s">
        <v>11</v>
      </c>
      <c r="G1699" s="2" t="s">
        <v>40803</v>
      </c>
      <c r="H1699" s="2" t="s">
        <v>40804</v>
      </c>
    </row>
    <row r="1700" spans="1:8" ht="25.05" customHeight="1" x14ac:dyDescent="0.25">
      <c r="A1700" s="2" t="s">
        <v>8</v>
      </c>
      <c r="B1700" s="2" t="str">
        <f>HYPERLINK("http://ts.21cn.com/tousu/show/id/1332225","永辉生活客服糊弄消费者，出尔反尔")</f>
        <v>永辉生活客服糊弄消费者，出尔反尔</v>
      </c>
      <c r="C1700" s="2" t="s">
        <v>9</v>
      </c>
      <c r="D1700" s="2" t="s">
        <v>10</v>
      </c>
      <c r="E1700" s="2" t="str">
        <f>HYPERLINK("http://ts.21cn.com/tousu/show/id/1332225","http://ts.21cn.com/tousu/show/id/1332225")</f>
        <v>http://ts.21cn.com/tousu/show/id/1332225</v>
      </c>
      <c r="F1700" s="2" t="s">
        <v>11</v>
      </c>
      <c r="G1700" s="2" t="s">
        <v>40801</v>
      </c>
      <c r="H1700" s="2" t="s">
        <v>40802</v>
      </c>
    </row>
    <row r="1701" spans="1:8" ht="25.05" customHeight="1" x14ac:dyDescent="0.25">
      <c r="A1701" s="2" t="s">
        <v>8</v>
      </c>
      <c r="B1701" s="2" t="str">
        <f>HYPERLINK("http://ts.21cn.com/tousu/show/id/1332226","中国联通私自开通增值业务长达两年")</f>
        <v>中国联通私自开通增值业务长达两年</v>
      </c>
      <c r="C1701" s="2" t="s">
        <v>9</v>
      </c>
      <c r="D1701" s="2" t="s">
        <v>10</v>
      </c>
      <c r="E1701" s="2" t="str">
        <f>HYPERLINK("http://ts.21cn.com/tousu/show/id/1332226","http://ts.21cn.com/tousu/show/id/1332226")</f>
        <v>http://ts.21cn.com/tousu/show/id/1332226</v>
      </c>
      <c r="F1701" s="2" t="s">
        <v>11</v>
      </c>
      <c r="G1701" s="2" t="s">
        <v>40799</v>
      </c>
      <c r="H1701" s="2" t="s">
        <v>40800</v>
      </c>
    </row>
    <row r="1702" spans="1:8" ht="25.05" customHeight="1" x14ac:dyDescent="0.25">
      <c r="A1702" s="2" t="s">
        <v>8</v>
      </c>
      <c r="B1702" s="2" t="str">
        <f>HYPERLINK("http://ts.21cn.com/tousu/show/id/1332227","聚富分期无断扣费100元")</f>
        <v>聚富分期无断扣费100元</v>
      </c>
      <c r="C1702" s="2" t="s">
        <v>34</v>
      </c>
      <c r="D1702" s="2" t="s">
        <v>10</v>
      </c>
      <c r="E1702" s="2" t="str">
        <f>HYPERLINK("http://ts.21cn.com/tousu/show/id/1332227","http://ts.21cn.com/tousu/show/id/1332227")</f>
        <v>http://ts.21cn.com/tousu/show/id/1332227</v>
      </c>
      <c r="F1702" s="2" t="s">
        <v>11</v>
      </c>
      <c r="G1702" s="2" t="s">
        <v>40797</v>
      </c>
      <c r="H1702" s="2" t="s">
        <v>40798</v>
      </c>
    </row>
    <row r="1703" spans="1:8" ht="25.05" customHeight="1" x14ac:dyDescent="0.25">
      <c r="A1703" s="2" t="s">
        <v>8</v>
      </c>
      <c r="B1703" s="2" t="str">
        <f>HYPERLINK("http://ts.21cn.com/tousu/show/id/1332228","快易花骚扰")</f>
        <v>快易花骚扰</v>
      </c>
      <c r="C1703" s="2" t="s">
        <v>9</v>
      </c>
      <c r="D1703" s="2" t="s">
        <v>10</v>
      </c>
      <c r="E1703" s="2" t="str">
        <f>HYPERLINK("http://ts.21cn.com/tousu/show/id/1332228","http://ts.21cn.com/tousu/show/id/1332228")</f>
        <v>http://ts.21cn.com/tousu/show/id/1332228</v>
      </c>
      <c r="F1703" s="2" t="s">
        <v>11</v>
      </c>
      <c r="G1703" s="2" t="s">
        <v>40795</v>
      </c>
      <c r="H1703" s="2" t="s">
        <v>40796</v>
      </c>
    </row>
    <row r="1704" spans="1:8" ht="25.05" customHeight="1" x14ac:dyDescent="0.25">
      <c r="A1704" s="2" t="s">
        <v>8</v>
      </c>
      <c r="B1704" s="2" t="str">
        <f>HYPERLINK("http://ts.21cn.com/tousu/show/id/1332229","交通银行威胁联系父母")</f>
        <v>交通银行威胁联系父母</v>
      </c>
      <c r="C1704" s="2" t="s">
        <v>9</v>
      </c>
      <c r="D1704" s="2" t="s">
        <v>10</v>
      </c>
      <c r="E1704" s="2" t="str">
        <f>HYPERLINK("http://ts.21cn.com/tousu/show/id/1332229","http://ts.21cn.com/tousu/show/id/1332229")</f>
        <v>http://ts.21cn.com/tousu/show/id/1332229</v>
      </c>
      <c r="F1704" s="2" t="s">
        <v>11</v>
      </c>
      <c r="G1704" s="2" t="s">
        <v>40793</v>
      </c>
      <c r="H1704" s="2" t="s">
        <v>40794</v>
      </c>
    </row>
    <row r="1705" spans="1:8" ht="25.05" customHeight="1" x14ac:dyDescent="0.25">
      <c r="A1705" s="2" t="s">
        <v>8</v>
      </c>
      <c r="B1705" s="2" t="str">
        <f>HYPERLINK("http://ts.21cn.com/tousu/show/id/1332231","约单APP充值后不能提现")</f>
        <v>约单APP充值后不能提现</v>
      </c>
      <c r="C1705" s="2" t="s">
        <v>34</v>
      </c>
      <c r="D1705" s="2" t="s">
        <v>10</v>
      </c>
      <c r="E1705" s="2" t="str">
        <f>HYPERLINK("http://ts.21cn.com/tousu/show/id/1332231","http://ts.21cn.com/tousu/show/id/1332231")</f>
        <v>http://ts.21cn.com/tousu/show/id/1332231</v>
      </c>
      <c r="F1705" s="2" t="s">
        <v>11</v>
      </c>
      <c r="G1705" s="2" t="s">
        <v>40791</v>
      </c>
      <c r="H1705" s="2" t="s">
        <v>40792</v>
      </c>
    </row>
    <row r="1706" spans="1:8" ht="25.05" customHeight="1" x14ac:dyDescent="0.25">
      <c r="A1706" s="2" t="s">
        <v>8</v>
      </c>
      <c r="B1706" s="2" t="str">
        <f>HYPERLINK("http://ts.21cn.com/tousu/show/id/1332230","翼支付高额利息手续费暴力催收")</f>
        <v>翼支付高额利息手续费暴力催收</v>
      </c>
      <c r="C1706" s="2" t="s">
        <v>9</v>
      </c>
      <c r="D1706" s="2" t="s">
        <v>10</v>
      </c>
      <c r="E1706" s="2" t="str">
        <f>HYPERLINK("http://ts.21cn.com/tousu/show/id/1332230","http://ts.21cn.com/tousu/show/id/1332230")</f>
        <v>http://ts.21cn.com/tousu/show/id/1332230</v>
      </c>
      <c r="F1706" s="2" t="s">
        <v>11</v>
      </c>
      <c r="G1706" s="2" t="s">
        <v>40789</v>
      </c>
      <c r="H1706" s="2" t="s">
        <v>40790</v>
      </c>
    </row>
    <row r="1707" spans="1:8" ht="25.05" customHeight="1" x14ac:dyDescent="0.25">
      <c r="A1707" s="2" t="s">
        <v>8</v>
      </c>
      <c r="B1707" s="2" t="str">
        <f>HYPERLINK("http://ts.21cn.com/tousu/show/id/1330885","拼多多有偿营销活动忽悠商家")</f>
        <v>拼多多有偿营销活动忽悠商家</v>
      </c>
      <c r="C1707" s="2" t="s">
        <v>9</v>
      </c>
      <c r="D1707" s="2" t="s">
        <v>10</v>
      </c>
      <c r="E1707" s="2" t="str">
        <f>HYPERLINK("http://ts.21cn.com/tousu/show/id/1330885","http://ts.21cn.com/tousu/show/id/1330885")</f>
        <v>http://ts.21cn.com/tousu/show/id/1330885</v>
      </c>
      <c r="F1707" s="2" t="s">
        <v>11</v>
      </c>
      <c r="G1707" s="2" t="s">
        <v>40787</v>
      </c>
      <c r="H1707" s="2" t="s">
        <v>40788</v>
      </c>
    </row>
    <row r="1708" spans="1:8" ht="25.05" customHeight="1" x14ac:dyDescent="0.25">
      <c r="A1708" s="2" t="s">
        <v>8</v>
      </c>
      <c r="B1708" s="2" t="str">
        <f>HYPERLINK("http://ts.21cn.com/tousu/show/id/1332233","洋钱罐，高利贷，未写明本金利息")</f>
        <v>洋钱罐，高利贷，未写明本金利息</v>
      </c>
      <c r="C1708" s="2" t="s">
        <v>9</v>
      </c>
      <c r="D1708" s="2" t="s">
        <v>10</v>
      </c>
      <c r="E1708" s="2" t="str">
        <f>HYPERLINK("http://ts.21cn.com/tousu/show/id/1332233","http://ts.21cn.com/tousu/show/id/1332233")</f>
        <v>http://ts.21cn.com/tousu/show/id/1332233</v>
      </c>
      <c r="F1708" s="2" t="s">
        <v>11</v>
      </c>
      <c r="G1708" s="2" t="s">
        <v>40785</v>
      </c>
      <c r="H1708" s="2" t="s">
        <v>40786</v>
      </c>
    </row>
    <row r="1709" spans="1:8" ht="25.05" customHeight="1" x14ac:dyDescent="0.25">
      <c r="A1709" s="2" t="s">
        <v>8</v>
      </c>
      <c r="B1709" s="2" t="str">
        <f>HYPERLINK("http://ts.21cn.com/tousu/show/id/1332234","马上消费金融，暴力催收，群发短信，恐吓催收")</f>
        <v>马上消费金融，暴力催收，群发短信，恐吓催收</v>
      </c>
      <c r="C1709" s="2" t="s">
        <v>9</v>
      </c>
      <c r="D1709" s="2" t="s">
        <v>10</v>
      </c>
      <c r="E1709" s="2" t="str">
        <f>HYPERLINK("http://ts.21cn.com/tousu/show/id/1332234","http://ts.21cn.com/tousu/show/id/1332234")</f>
        <v>http://ts.21cn.com/tousu/show/id/1332234</v>
      </c>
      <c r="F1709" s="2" t="s">
        <v>11</v>
      </c>
      <c r="G1709" s="2" t="s">
        <v>40783</v>
      </c>
      <c r="H1709" s="2" t="s">
        <v>40784</v>
      </c>
    </row>
    <row r="1710" spans="1:8" ht="25.05" customHeight="1" x14ac:dyDescent="0.25">
      <c r="A1710" s="2" t="s">
        <v>8</v>
      </c>
      <c r="B1710" s="2" t="str">
        <f>HYPERLINK("http://ts.21cn.com/tousu/show/id/1332235","百事普惠网贷平台（上海造艺网络技术有限公司）恶意扣款")</f>
        <v>百事普惠网贷平台（上海造艺网络技术有限公司）恶意扣款</v>
      </c>
      <c r="C1710" s="2" t="s">
        <v>9</v>
      </c>
      <c r="D1710" s="2" t="s">
        <v>10</v>
      </c>
      <c r="E1710" s="2" t="str">
        <f>HYPERLINK("http://ts.21cn.com/tousu/show/id/1332235","http://ts.21cn.com/tousu/show/id/1332235")</f>
        <v>http://ts.21cn.com/tousu/show/id/1332235</v>
      </c>
      <c r="F1710" s="2" t="s">
        <v>11</v>
      </c>
      <c r="G1710" s="2" t="s">
        <v>40781</v>
      </c>
      <c r="H1710" s="2" t="s">
        <v>40782</v>
      </c>
    </row>
    <row r="1711" spans="1:8" ht="25.05" customHeight="1" x14ac:dyDescent="0.25">
      <c r="A1711" s="2" t="s">
        <v>8</v>
      </c>
      <c r="B1711" s="2" t="str">
        <f>HYPERLINK("http://ts.21cn.com/tousu/show/id/1332236","华为手机无法。保存视频")</f>
        <v>华为手机无法。保存视频</v>
      </c>
      <c r="C1711" s="2" t="s">
        <v>9</v>
      </c>
      <c r="D1711" s="2" t="s">
        <v>10</v>
      </c>
      <c r="E1711" s="2" t="str">
        <f>HYPERLINK("http://ts.21cn.com/tousu/show/id/1332236","http://ts.21cn.com/tousu/show/id/1332236")</f>
        <v>http://ts.21cn.com/tousu/show/id/1332236</v>
      </c>
      <c r="F1711" s="2" t="s">
        <v>11</v>
      </c>
      <c r="G1711" s="2" t="s">
        <v>40779</v>
      </c>
      <c r="H1711" s="2" t="s">
        <v>40780</v>
      </c>
    </row>
    <row r="1712" spans="1:8" ht="25.05" customHeight="1" x14ac:dyDescent="0.25">
      <c r="A1712" s="2" t="s">
        <v>8</v>
      </c>
      <c r="B1712" s="2" t="str">
        <f>HYPERLINK("http://ts.21cn.com/tousu/show/id/1332237","安全带平台暴力催收客服人员态度恶劣")</f>
        <v>安全带平台暴力催收客服人员态度恶劣</v>
      </c>
      <c r="C1712" s="2" t="s">
        <v>9</v>
      </c>
      <c r="D1712" s="2" t="s">
        <v>10</v>
      </c>
      <c r="E1712" s="2" t="str">
        <f>HYPERLINK("http://ts.21cn.com/tousu/show/id/1332237","http://ts.21cn.com/tousu/show/id/1332237")</f>
        <v>http://ts.21cn.com/tousu/show/id/1332237</v>
      </c>
      <c r="F1712" s="2" t="s">
        <v>11</v>
      </c>
      <c r="G1712" s="2" t="s">
        <v>40777</v>
      </c>
      <c r="H1712" s="2" t="s">
        <v>40778</v>
      </c>
    </row>
    <row r="1713" spans="1:8" ht="25.05" customHeight="1" x14ac:dyDescent="0.25">
      <c r="A1713" s="2" t="s">
        <v>8</v>
      </c>
      <c r="B1713" s="2" t="str">
        <f>HYPERLINK("http://ts.21cn.com/tousu/show/id/1332238","立借高利贷恐吓")</f>
        <v>立借高利贷恐吓</v>
      </c>
      <c r="C1713" s="2" t="s">
        <v>9</v>
      </c>
      <c r="D1713" s="2" t="s">
        <v>10</v>
      </c>
      <c r="E1713" s="2" t="str">
        <f>HYPERLINK("http://ts.21cn.com/tousu/show/id/1332238","http://ts.21cn.com/tousu/show/id/1332238")</f>
        <v>http://ts.21cn.com/tousu/show/id/1332238</v>
      </c>
      <c r="F1713" s="2" t="s">
        <v>11</v>
      </c>
      <c r="G1713" s="2" t="s">
        <v>40775</v>
      </c>
      <c r="H1713" s="2" t="s">
        <v>40776</v>
      </c>
    </row>
    <row r="1714" spans="1:8" ht="25.05" customHeight="1" x14ac:dyDescent="0.25">
      <c r="A1714" s="2" t="s">
        <v>8</v>
      </c>
      <c r="B1714" s="2" t="str">
        <f>HYPERLINK("http://ts.21cn.com/tousu/show/id/1332239","腾讯公众号人工客服解决问题")</f>
        <v>腾讯公众号人工客服解决问题</v>
      </c>
      <c r="C1714" s="2" t="s">
        <v>9</v>
      </c>
      <c r="D1714" s="2" t="s">
        <v>10</v>
      </c>
      <c r="E1714" s="2" t="str">
        <f>HYPERLINK("http://ts.21cn.com/tousu/show/id/1332239","http://ts.21cn.com/tousu/show/id/1332239")</f>
        <v>http://ts.21cn.com/tousu/show/id/1332239</v>
      </c>
      <c r="F1714" s="2" t="s">
        <v>11</v>
      </c>
      <c r="G1714" s="2" t="s">
        <v>40773</v>
      </c>
      <c r="H1714" s="2" t="s">
        <v>40774</v>
      </c>
    </row>
    <row r="1715" spans="1:8" ht="25.05" customHeight="1" x14ac:dyDescent="0.25">
      <c r="A1715" s="2" t="s">
        <v>8</v>
      </c>
      <c r="B1715" s="2" t="str">
        <f>HYPERLINK("http://ts.21cn.com/tousu/show/id/1332240","中国移动通信扣费不及时通知高额500元")</f>
        <v>中国移动通信扣费不及时通知高额500元</v>
      </c>
      <c r="C1715" s="2" t="s">
        <v>9</v>
      </c>
      <c r="D1715" s="2" t="s">
        <v>10</v>
      </c>
      <c r="E1715" s="2" t="str">
        <f>HYPERLINK("http://ts.21cn.com/tousu/show/id/1332240","http://ts.21cn.com/tousu/show/id/1332240")</f>
        <v>http://ts.21cn.com/tousu/show/id/1332240</v>
      </c>
      <c r="F1715" s="2" t="s">
        <v>11</v>
      </c>
      <c r="G1715" s="2" t="s">
        <v>40771</v>
      </c>
      <c r="H1715" s="2" t="s">
        <v>40772</v>
      </c>
    </row>
    <row r="1716" spans="1:8" ht="25.05" customHeight="1" x14ac:dyDescent="0.25">
      <c r="A1716" s="2" t="s">
        <v>8</v>
      </c>
      <c r="B1716" s="2" t="str">
        <f>HYPERLINK("http://ts.21cn.com/tousu/show/id/1332242","哆米黑卡无故扣钱299元")</f>
        <v>哆米黑卡无故扣钱299元</v>
      </c>
      <c r="C1716" s="2" t="s">
        <v>9</v>
      </c>
      <c r="D1716" s="2" t="s">
        <v>10</v>
      </c>
      <c r="E1716" s="2" t="str">
        <f>HYPERLINK("http://ts.21cn.com/tousu/show/id/1332242","http://ts.21cn.com/tousu/show/id/1332242")</f>
        <v>http://ts.21cn.com/tousu/show/id/1332242</v>
      </c>
      <c r="F1716" s="2" t="s">
        <v>11</v>
      </c>
      <c r="G1716" s="2" t="s">
        <v>40769</v>
      </c>
      <c r="H1716" s="2" t="s">
        <v>40770</v>
      </c>
    </row>
    <row r="1717" spans="1:8" ht="25.05" customHeight="1" x14ac:dyDescent="0.25">
      <c r="A1717" s="2" t="s">
        <v>8</v>
      </c>
      <c r="B1717" s="2" t="str">
        <f>HYPERLINK("http://ts.21cn.com/tousu/show/id/1332241","还款不合理，想要协商不同意")</f>
        <v>还款不合理，想要协商不同意</v>
      </c>
      <c r="C1717" s="2" t="s">
        <v>9</v>
      </c>
      <c r="D1717" s="2" t="s">
        <v>10</v>
      </c>
      <c r="E1717" s="2" t="str">
        <f>HYPERLINK("http://ts.21cn.com/tousu/show/id/1332241","http://ts.21cn.com/tousu/show/id/1332241")</f>
        <v>http://ts.21cn.com/tousu/show/id/1332241</v>
      </c>
      <c r="F1717" s="2" t="s">
        <v>11</v>
      </c>
      <c r="G1717" s="2" t="s">
        <v>40767</v>
      </c>
      <c r="H1717" s="2" t="s">
        <v>40768</v>
      </c>
    </row>
    <row r="1718" spans="1:8" ht="25.05" customHeight="1" x14ac:dyDescent="0.25">
      <c r="A1718" s="2" t="s">
        <v>8</v>
      </c>
      <c r="B1718" s="2" t="str">
        <f>HYPERLINK("http://ts.21cn.com/tousu/show/id/1332243","套路贷暴力催收，爆通讯录")</f>
        <v>套路贷暴力催收，爆通讯录</v>
      </c>
      <c r="C1718" s="2" t="s">
        <v>9</v>
      </c>
      <c r="D1718" s="2" t="s">
        <v>10</v>
      </c>
      <c r="E1718" s="2" t="str">
        <f>HYPERLINK("http://ts.21cn.com/tousu/show/id/1332243","http://ts.21cn.com/tousu/show/id/1332243")</f>
        <v>http://ts.21cn.com/tousu/show/id/1332243</v>
      </c>
      <c r="F1718" s="2" t="s">
        <v>11</v>
      </c>
      <c r="G1718" s="2" t="s">
        <v>40765</v>
      </c>
      <c r="H1718" s="2" t="s">
        <v>40766</v>
      </c>
    </row>
    <row r="1719" spans="1:8" ht="25.05" customHeight="1" x14ac:dyDescent="0.25">
      <c r="A1719" s="2" t="s">
        <v>8</v>
      </c>
      <c r="B1719" s="2" t="str">
        <f>HYPERLINK("http://ts.21cn.com/tousu/show/id/1332245","玖富万卡不能主动还款")</f>
        <v>玖富万卡不能主动还款</v>
      </c>
      <c r="C1719" s="2" t="s">
        <v>9</v>
      </c>
      <c r="D1719" s="2" t="s">
        <v>10</v>
      </c>
      <c r="E1719" s="2" t="str">
        <f>HYPERLINK("http://ts.21cn.com/tousu/show/id/1332245","http://ts.21cn.com/tousu/show/id/1332245")</f>
        <v>http://ts.21cn.com/tousu/show/id/1332245</v>
      </c>
      <c r="F1719" s="2" t="s">
        <v>11</v>
      </c>
      <c r="G1719" s="2" t="s">
        <v>40764</v>
      </c>
      <c r="H1719" s="2" t="s">
        <v>39003</v>
      </c>
    </row>
    <row r="1720" spans="1:8" ht="25.05" customHeight="1" x14ac:dyDescent="0.25">
      <c r="A1720" s="2" t="s">
        <v>8</v>
      </c>
      <c r="B1720" s="2" t="str">
        <f>HYPERLINK("http://ts.21cn.com/tousu/show/id/1332246","工商银行，中国银联，偷盗钱")</f>
        <v>工商银行，中国银联，偷盗钱</v>
      </c>
      <c r="C1720" s="2" t="s">
        <v>9</v>
      </c>
      <c r="D1720" s="2" t="s">
        <v>10</v>
      </c>
      <c r="E1720" s="2" t="str">
        <f>HYPERLINK("http://ts.21cn.com/tousu/show/id/1332246","http://ts.21cn.com/tousu/show/id/1332246")</f>
        <v>http://ts.21cn.com/tousu/show/id/1332246</v>
      </c>
      <c r="F1720" s="2" t="s">
        <v>11</v>
      </c>
      <c r="G1720" s="2" t="s">
        <v>40762</v>
      </c>
      <c r="H1720" s="2" t="s">
        <v>40763</v>
      </c>
    </row>
    <row r="1721" spans="1:8" ht="25.05" customHeight="1" x14ac:dyDescent="0.25">
      <c r="A1721" s="2" t="s">
        <v>8</v>
      </c>
      <c r="B1721" s="2" t="str">
        <f>HYPERLINK("http://ts.21cn.com/tousu/show/id/1332247","来米巴士高利贷")</f>
        <v>来米巴士高利贷</v>
      </c>
      <c r="C1721" s="2" t="s">
        <v>9</v>
      </c>
      <c r="D1721" s="2" t="s">
        <v>10</v>
      </c>
      <c r="E1721" s="2" t="str">
        <f>HYPERLINK("http://ts.21cn.com/tousu/show/id/1332247","http://ts.21cn.com/tousu/show/id/1332247")</f>
        <v>http://ts.21cn.com/tousu/show/id/1332247</v>
      </c>
      <c r="F1721" s="2" t="s">
        <v>11</v>
      </c>
      <c r="G1721" s="2" t="s">
        <v>40760</v>
      </c>
      <c r="H1721" s="2" t="s">
        <v>40761</v>
      </c>
    </row>
    <row r="1722" spans="1:8" ht="25.05" customHeight="1" x14ac:dyDescent="0.25">
      <c r="A1722" s="2" t="s">
        <v>8</v>
      </c>
      <c r="B1722" s="2" t="str">
        <f>HYPERLINK("http://ts.21cn.com/tousu/show/id/1332248","马上消费金融电话骚扰")</f>
        <v>马上消费金融电话骚扰</v>
      </c>
      <c r="C1722" s="2" t="s">
        <v>9</v>
      </c>
      <c r="D1722" s="2" t="s">
        <v>10</v>
      </c>
      <c r="E1722" s="2" t="str">
        <f>HYPERLINK("http://ts.21cn.com/tousu/show/id/1332248","http://ts.21cn.com/tousu/show/id/1332248")</f>
        <v>http://ts.21cn.com/tousu/show/id/1332248</v>
      </c>
      <c r="F1722" s="2" t="s">
        <v>11</v>
      </c>
      <c r="G1722" s="2" t="s">
        <v>40758</v>
      </c>
      <c r="H1722" s="2" t="s">
        <v>40759</v>
      </c>
    </row>
    <row r="1723" spans="1:8" ht="25.05" customHeight="1" x14ac:dyDescent="0.25">
      <c r="A1723" s="2" t="s">
        <v>8</v>
      </c>
      <c r="B1723" s="2" t="str">
        <f>HYPERLINK("http://ts.21cn.com/tousu/show/id/1332249","取消借款后人下款并要求我还款")</f>
        <v>取消借款后人下款并要求我还款</v>
      </c>
      <c r="C1723" s="2" t="s">
        <v>34</v>
      </c>
      <c r="D1723" s="2" t="s">
        <v>10</v>
      </c>
      <c r="E1723" s="2" t="str">
        <f>HYPERLINK("http://ts.21cn.com/tousu/show/id/1332249","http://ts.21cn.com/tousu/show/id/1332249")</f>
        <v>http://ts.21cn.com/tousu/show/id/1332249</v>
      </c>
      <c r="F1723" s="2" t="s">
        <v>11</v>
      </c>
      <c r="G1723" s="2" t="s">
        <v>40756</v>
      </c>
      <c r="H1723" s="2" t="s">
        <v>40757</v>
      </c>
    </row>
    <row r="1724" spans="1:8" ht="25.05" customHeight="1" x14ac:dyDescent="0.25">
      <c r="A1724" s="2" t="s">
        <v>8</v>
      </c>
      <c r="B1724" s="2" t="str">
        <f>HYPERLINK("http://ts.21cn.com/tousu/show/id/1332250","垃圾平台，拒绝退款")</f>
        <v>垃圾平台，拒绝退款</v>
      </c>
      <c r="C1724" s="2" t="s">
        <v>9</v>
      </c>
      <c r="D1724" s="2" t="s">
        <v>10</v>
      </c>
      <c r="E1724" s="2" t="str">
        <f>HYPERLINK("http://ts.21cn.com/tousu/show/id/1332250","http://ts.21cn.com/tousu/show/id/1332250")</f>
        <v>http://ts.21cn.com/tousu/show/id/1332250</v>
      </c>
      <c r="F1724" s="2" t="s">
        <v>11</v>
      </c>
      <c r="G1724" s="2" t="s">
        <v>40754</v>
      </c>
      <c r="H1724" s="2" t="s">
        <v>40755</v>
      </c>
    </row>
    <row r="1725" spans="1:8" ht="25.05" customHeight="1" x14ac:dyDescent="0.25">
      <c r="A1725" s="2" t="s">
        <v>8</v>
      </c>
      <c r="B1725" s="2" t="str">
        <f>HYPERLINK("http://ts.21cn.com/tousu/show/id/1332254","海尔热水器内胆漏水，在保修期内，没有发票，不给换机")</f>
        <v>海尔热水器内胆漏水，在保修期内，没有发票，不给换机</v>
      </c>
      <c r="C1725" s="2" t="s">
        <v>9</v>
      </c>
      <c r="D1725" s="2" t="s">
        <v>10</v>
      </c>
      <c r="E1725" s="2" t="str">
        <f>HYPERLINK("http://ts.21cn.com/tousu/show/id/1332254","http://ts.21cn.com/tousu/show/id/1332254")</f>
        <v>http://ts.21cn.com/tousu/show/id/1332254</v>
      </c>
      <c r="F1725" s="2" t="s">
        <v>11</v>
      </c>
      <c r="G1725" s="2" t="s">
        <v>40752</v>
      </c>
      <c r="H1725" s="2" t="s">
        <v>40753</v>
      </c>
    </row>
    <row r="1726" spans="1:8" ht="25.05" customHeight="1" x14ac:dyDescent="0.25">
      <c r="A1726" s="2" t="s">
        <v>8</v>
      </c>
      <c r="B1726" s="2" t="str">
        <f>HYPERLINK("http://ts.21cn.com/tousu/show/id/1332251","海保人寿非法买卖用户信息进行骚扰")</f>
        <v>海保人寿非法买卖用户信息进行骚扰</v>
      </c>
      <c r="C1726" s="2" t="s">
        <v>9</v>
      </c>
      <c r="D1726" s="2" t="s">
        <v>10</v>
      </c>
      <c r="E1726" s="2" t="str">
        <f>HYPERLINK("http://ts.21cn.com/tousu/show/id/1332251","http://ts.21cn.com/tousu/show/id/1332251")</f>
        <v>http://ts.21cn.com/tousu/show/id/1332251</v>
      </c>
      <c r="F1726" s="2" t="s">
        <v>11</v>
      </c>
      <c r="G1726" s="2" t="s">
        <v>40750</v>
      </c>
      <c r="H1726" s="2" t="s">
        <v>40751</v>
      </c>
    </row>
    <row r="1727" spans="1:8" ht="25.05" customHeight="1" x14ac:dyDescent="0.25">
      <c r="A1727" s="2" t="s">
        <v>8</v>
      </c>
      <c r="B1727" s="2" t="str">
        <f>HYPERLINK("http://ts.21cn.com/tousu/show/id/1332252","网贷提前结清收取乱七八糟的费用")</f>
        <v>网贷提前结清收取乱七八糟的费用</v>
      </c>
      <c r="C1727" s="2" t="s">
        <v>9</v>
      </c>
      <c r="D1727" s="2" t="s">
        <v>10</v>
      </c>
      <c r="E1727" s="2" t="str">
        <f>HYPERLINK("http://ts.21cn.com/tousu/show/id/1332252","http://ts.21cn.com/tousu/show/id/1332252")</f>
        <v>http://ts.21cn.com/tousu/show/id/1332252</v>
      </c>
      <c r="F1727" s="2" t="s">
        <v>11</v>
      </c>
      <c r="G1727" s="2" t="s">
        <v>40748</v>
      </c>
      <c r="H1727" s="2" t="s">
        <v>40749</v>
      </c>
    </row>
    <row r="1728" spans="1:8" ht="25.05" customHeight="1" x14ac:dyDescent="0.25">
      <c r="A1728" s="2" t="s">
        <v>8</v>
      </c>
      <c r="B1728" s="2" t="str">
        <f>HYPERLINK("http://ts.21cn.com/tousu/show/id/1332253","钱站存在高利贷砍头息")</f>
        <v>钱站存在高利贷砍头息</v>
      </c>
      <c r="C1728" s="2" t="s">
        <v>9</v>
      </c>
      <c r="D1728" s="2" t="s">
        <v>10</v>
      </c>
      <c r="E1728" s="2" t="str">
        <f>HYPERLINK("http://ts.21cn.com/tousu/show/id/1332253","http://ts.21cn.com/tousu/show/id/1332253")</f>
        <v>http://ts.21cn.com/tousu/show/id/1332253</v>
      </c>
      <c r="F1728" s="2" t="s">
        <v>11</v>
      </c>
      <c r="G1728" s="2" t="s">
        <v>40746</v>
      </c>
      <c r="H1728" s="2" t="s">
        <v>40747</v>
      </c>
    </row>
    <row r="1729" spans="1:8" ht="25.05" customHeight="1" x14ac:dyDescent="0.25">
      <c r="A1729" s="2" t="s">
        <v>8</v>
      </c>
      <c r="B1729" s="2" t="str">
        <f>HYPERLINK("http://ts.21cn.com/tousu/show/id/1332255","宜人万花道歉")</f>
        <v>宜人万花道歉</v>
      </c>
      <c r="C1729" s="2" t="s">
        <v>9</v>
      </c>
      <c r="D1729" s="2" t="s">
        <v>10</v>
      </c>
      <c r="E1729" s="2" t="str">
        <f>HYPERLINK("http://ts.21cn.com/tousu/show/id/1332255","http://ts.21cn.com/tousu/show/id/1332255")</f>
        <v>http://ts.21cn.com/tousu/show/id/1332255</v>
      </c>
      <c r="F1729" s="2" t="s">
        <v>11</v>
      </c>
      <c r="G1729" s="2" t="s">
        <v>40744</v>
      </c>
      <c r="H1729" s="2" t="s">
        <v>40745</v>
      </c>
    </row>
    <row r="1730" spans="1:8" ht="25.05" customHeight="1" x14ac:dyDescent="0.25">
      <c r="A1730" s="2" t="s">
        <v>8</v>
      </c>
      <c r="B1730" s="2" t="str">
        <f>HYPERLINK("http://ts.21cn.com/tousu/show/id/1332206","支付宝，交友app")</f>
        <v>支付宝，交友app</v>
      </c>
      <c r="C1730" s="2" t="s">
        <v>9</v>
      </c>
      <c r="D1730" s="2" t="s">
        <v>10</v>
      </c>
      <c r="E1730" s="2" t="str">
        <f>HYPERLINK("http://ts.21cn.com/tousu/show/id/1332206","http://ts.21cn.com/tousu/show/id/1332206")</f>
        <v>http://ts.21cn.com/tousu/show/id/1332206</v>
      </c>
      <c r="F1730" s="2" t="s">
        <v>11</v>
      </c>
      <c r="G1730" s="2" t="s">
        <v>40742</v>
      </c>
      <c r="H1730" s="2" t="s">
        <v>40743</v>
      </c>
    </row>
    <row r="1731" spans="1:8" ht="25.05" customHeight="1" x14ac:dyDescent="0.25">
      <c r="A1731" s="2" t="s">
        <v>8</v>
      </c>
      <c r="B1731" s="2" t="str">
        <f>HYPERLINK("http://ts.21cn.com/tousu/show/id/1332256","六便士高利贷砍头息")</f>
        <v>六便士高利贷砍头息</v>
      </c>
      <c r="C1731" s="2" t="s">
        <v>9</v>
      </c>
      <c r="D1731" s="2" t="s">
        <v>10</v>
      </c>
      <c r="E1731" s="2" t="str">
        <f>HYPERLINK("http://ts.21cn.com/tousu/show/id/1332256","http://ts.21cn.com/tousu/show/id/1332256")</f>
        <v>http://ts.21cn.com/tousu/show/id/1332256</v>
      </c>
      <c r="F1731" s="2" t="s">
        <v>11</v>
      </c>
      <c r="G1731" s="2" t="s">
        <v>40740</v>
      </c>
      <c r="H1731" s="2" t="s">
        <v>40741</v>
      </c>
    </row>
    <row r="1732" spans="1:8" ht="25.05" customHeight="1" x14ac:dyDescent="0.25">
      <c r="A1732" s="2" t="s">
        <v>8</v>
      </c>
      <c r="B1732" s="2" t="str">
        <f>HYPERLINK("http://ts.21cn.com/tousu/show/id/1332257","现金巴士砍头息高利贷逾期费用过高")</f>
        <v>现金巴士砍头息高利贷逾期费用过高</v>
      </c>
      <c r="C1732" s="2" t="s">
        <v>9</v>
      </c>
      <c r="D1732" s="2" t="s">
        <v>10</v>
      </c>
      <c r="E1732" s="2" t="str">
        <f>HYPERLINK("http://ts.21cn.com/tousu/show/id/1332257","http://ts.21cn.com/tousu/show/id/1332257")</f>
        <v>http://ts.21cn.com/tousu/show/id/1332257</v>
      </c>
      <c r="F1732" s="2" t="s">
        <v>11</v>
      </c>
      <c r="G1732" s="2" t="s">
        <v>40738</v>
      </c>
      <c r="H1732" s="2" t="s">
        <v>40739</v>
      </c>
    </row>
    <row r="1733" spans="1:8" ht="25.05" customHeight="1" x14ac:dyDescent="0.25">
      <c r="A1733" s="2" t="s">
        <v>8</v>
      </c>
      <c r="B1733" s="2" t="str">
        <f>HYPERLINK("http://ts.21cn.com/tousu/show/id/1332258","无辜冻结账户，暴力催收！")</f>
        <v>无辜冻结账户，暴力催收！</v>
      </c>
      <c r="C1733" s="2" t="s">
        <v>9</v>
      </c>
      <c r="D1733" s="2" t="s">
        <v>10</v>
      </c>
      <c r="E1733" s="2" t="str">
        <f>HYPERLINK("http://ts.21cn.com/tousu/show/id/1332258","http://ts.21cn.com/tousu/show/id/1332258")</f>
        <v>http://ts.21cn.com/tousu/show/id/1332258</v>
      </c>
      <c r="F1733" s="2" t="s">
        <v>11</v>
      </c>
      <c r="G1733" s="2" t="s">
        <v>40735</v>
      </c>
      <c r="H1733" s="2" t="s">
        <v>40736</v>
      </c>
    </row>
    <row r="1734" spans="1:8" ht="25.05" customHeight="1" x14ac:dyDescent="0.25">
      <c r="A1734" s="2" t="s">
        <v>8</v>
      </c>
      <c r="B1734" s="2" t="str">
        <f>HYPERLINK("http://ts.21cn.com/tousu/show/id/1332259","上海造艺网络技术有限公司私自扣费用，没有遵守“明白收费”“充分告知”的原则")</f>
        <v>上海造艺网络技术有限公司私自扣费用，没有遵守“明白收费”“充分告知”的原则</v>
      </c>
      <c r="C1734" s="2" t="s">
        <v>9</v>
      </c>
      <c r="D1734" s="2" t="s">
        <v>10</v>
      </c>
      <c r="E1734" s="2" t="str">
        <f>HYPERLINK("http://ts.21cn.com/tousu/show/id/1332259","http://ts.21cn.com/tousu/show/id/1332259")</f>
        <v>http://ts.21cn.com/tousu/show/id/1332259</v>
      </c>
      <c r="F1734" s="2" t="s">
        <v>11</v>
      </c>
      <c r="G1734" s="2" t="s">
        <v>40735</v>
      </c>
      <c r="H1734" s="2" t="s">
        <v>40737</v>
      </c>
    </row>
    <row r="1735" spans="1:8" ht="25.05" customHeight="1" x14ac:dyDescent="0.25">
      <c r="A1735" s="2" t="s">
        <v>8</v>
      </c>
      <c r="B1735" s="2" t="str">
        <f>HYPERLINK("http://ts.21cn.com/tousu/show/id/1332261","起来嗨收取高额利息")</f>
        <v>起来嗨收取高额利息</v>
      </c>
      <c r="C1735" s="2" t="s">
        <v>9</v>
      </c>
      <c r="D1735" s="2" t="s">
        <v>10</v>
      </c>
      <c r="E1735" s="2" t="str">
        <f>HYPERLINK("http://ts.21cn.com/tousu/show/id/1332261","http://ts.21cn.com/tousu/show/id/1332261")</f>
        <v>http://ts.21cn.com/tousu/show/id/1332261</v>
      </c>
      <c r="F1735" s="2" t="s">
        <v>11</v>
      </c>
      <c r="G1735" s="2" t="s">
        <v>40733</v>
      </c>
      <c r="H1735" s="2" t="s">
        <v>40734</v>
      </c>
    </row>
    <row r="1736" spans="1:8" ht="25.05" customHeight="1" x14ac:dyDescent="0.25">
      <c r="A1736" s="2" t="s">
        <v>8</v>
      </c>
      <c r="B1736" s="2" t="str">
        <f>HYPERLINK("http://ts.21cn.com/tousu/show/id/1332262","ppmoney网贷平台变相年化达百分之59")</f>
        <v>ppmoney网贷平台变相年化达百分之59</v>
      </c>
      <c r="C1736" s="2" t="s">
        <v>9</v>
      </c>
      <c r="D1736" s="2" t="s">
        <v>10</v>
      </c>
      <c r="E1736" s="2" t="str">
        <f>HYPERLINK("http://ts.21cn.com/tousu/show/id/1332262","http://ts.21cn.com/tousu/show/id/1332262")</f>
        <v>http://ts.21cn.com/tousu/show/id/1332262</v>
      </c>
      <c r="F1736" s="2" t="s">
        <v>11</v>
      </c>
      <c r="G1736" s="2" t="s">
        <v>40731</v>
      </c>
      <c r="H1736" s="2" t="s">
        <v>40732</v>
      </c>
    </row>
    <row r="1737" spans="1:8" ht="25.05" customHeight="1" x14ac:dyDescent="0.25">
      <c r="A1737" s="2" t="s">
        <v>8</v>
      </c>
      <c r="B1737" s="2" t="str">
        <f>HYPERLINK("http://ts.21cn.com/tousu/show/id/1332263","暴力催收")</f>
        <v>暴力催收</v>
      </c>
      <c r="C1737" s="2" t="s">
        <v>9</v>
      </c>
      <c r="D1737" s="2" t="s">
        <v>10</v>
      </c>
      <c r="E1737" s="2" t="str">
        <f>HYPERLINK("http://ts.21cn.com/tousu/show/id/1332263","http://ts.21cn.com/tousu/show/id/1332263")</f>
        <v>http://ts.21cn.com/tousu/show/id/1332263</v>
      </c>
      <c r="F1737" s="2" t="s">
        <v>11</v>
      </c>
      <c r="G1737" s="2" t="s">
        <v>40729</v>
      </c>
      <c r="H1737" s="2" t="s">
        <v>40730</v>
      </c>
    </row>
    <row r="1738" spans="1:8" ht="25.05" customHeight="1" x14ac:dyDescent="0.25">
      <c r="A1738" s="2" t="s">
        <v>8</v>
      </c>
      <c r="B1738" s="2" t="str">
        <f>HYPERLINK("http://ts.21cn.com/tousu/show/id/1332264","高利贷")</f>
        <v>高利贷</v>
      </c>
      <c r="C1738" s="2" t="s">
        <v>9</v>
      </c>
      <c r="D1738" s="2" t="s">
        <v>10</v>
      </c>
      <c r="E1738" s="2" t="str">
        <f>HYPERLINK("http://ts.21cn.com/tousu/show/id/1332264","http://ts.21cn.com/tousu/show/id/1332264")</f>
        <v>http://ts.21cn.com/tousu/show/id/1332264</v>
      </c>
      <c r="F1738" s="2" t="s">
        <v>11</v>
      </c>
      <c r="G1738" s="2" t="s">
        <v>40727</v>
      </c>
      <c r="H1738" s="2" t="s">
        <v>40728</v>
      </c>
    </row>
    <row r="1739" spans="1:8" ht="25.05" customHeight="1" x14ac:dyDescent="0.25">
      <c r="A1739" s="2" t="s">
        <v>8</v>
      </c>
      <c r="B1739" s="2" t="str">
        <f>HYPERLINK("http://ts.21cn.com/tousu/show/id/1332265","飞猪商家外景和店面与平台图片不相同")</f>
        <v>飞猪商家外景和店面与平台图片不相同</v>
      </c>
      <c r="C1739" s="2" t="s">
        <v>9</v>
      </c>
      <c r="D1739" s="2" t="s">
        <v>10</v>
      </c>
      <c r="E1739" s="2" t="str">
        <f>HYPERLINK("http://ts.21cn.com/tousu/show/id/1332265","http://ts.21cn.com/tousu/show/id/1332265")</f>
        <v>http://ts.21cn.com/tousu/show/id/1332265</v>
      </c>
      <c r="F1739" s="2" t="s">
        <v>11</v>
      </c>
      <c r="G1739" s="2" t="s">
        <v>40725</v>
      </c>
      <c r="H1739" s="2" t="s">
        <v>40726</v>
      </c>
    </row>
    <row r="1740" spans="1:8" ht="25.05" customHeight="1" x14ac:dyDescent="0.25">
      <c r="A1740" s="2" t="s">
        <v>8</v>
      </c>
      <c r="B1740" s="2" t="str">
        <f>HYPERLINK("http://ts.21cn.com/tousu/show/id/1332266","贷上钱借款2000.一个月还款2560。高利贷啊")</f>
        <v>贷上钱借款2000.一个月还款2560。高利贷啊</v>
      </c>
      <c r="C1740" s="2" t="s">
        <v>9</v>
      </c>
      <c r="D1740" s="2" t="s">
        <v>10</v>
      </c>
      <c r="E1740" s="2" t="str">
        <f>HYPERLINK("http://ts.21cn.com/tousu/show/id/1332266","http://ts.21cn.com/tousu/show/id/1332266")</f>
        <v>http://ts.21cn.com/tousu/show/id/1332266</v>
      </c>
      <c r="F1740" s="2" t="s">
        <v>11</v>
      </c>
      <c r="G1740" s="2" t="s">
        <v>40723</v>
      </c>
      <c r="H1740" s="2" t="s">
        <v>40724</v>
      </c>
    </row>
    <row r="1741" spans="1:8" ht="25.05" customHeight="1" x14ac:dyDescent="0.25">
      <c r="A1741" s="2" t="s">
        <v>8</v>
      </c>
      <c r="B1741" s="2" t="str">
        <f>HYPERLINK("http://ts.21cn.com/tousu/show/id/1332268","去哪儿借去花无故断资金链且不给协商")</f>
        <v>去哪儿借去花无故断资金链且不给协商</v>
      </c>
      <c r="C1741" s="2" t="s">
        <v>9</v>
      </c>
      <c r="D1741" s="2" t="s">
        <v>10</v>
      </c>
      <c r="E1741" s="2" t="str">
        <f>HYPERLINK("http://ts.21cn.com/tousu/show/id/1332268","http://ts.21cn.com/tousu/show/id/1332268")</f>
        <v>http://ts.21cn.com/tousu/show/id/1332268</v>
      </c>
      <c r="F1741" s="2" t="s">
        <v>11</v>
      </c>
      <c r="G1741" s="2" t="s">
        <v>40721</v>
      </c>
      <c r="H1741" s="2" t="s">
        <v>40722</v>
      </c>
    </row>
    <row r="1742" spans="1:8" ht="25.05" customHeight="1" x14ac:dyDescent="0.25">
      <c r="A1742" s="2" t="s">
        <v>8</v>
      </c>
      <c r="B1742" s="2" t="str">
        <f>HYPERLINK("http://ts.21cn.com/tousu/show/id/1332269","中金金融无故扣款")</f>
        <v>中金金融无故扣款</v>
      </c>
      <c r="C1742" s="2" t="s">
        <v>9</v>
      </c>
      <c r="D1742" s="2" t="s">
        <v>10</v>
      </c>
      <c r="E1742" s="2" t="str">
        <f>HYPERLINK("http://ts.21cn.com/tousu/show/id/1332269","http://ts.21cn.com/tousu/show/id/1332269")</f>
        <v>http://ts.21cn.com/tousu/show/id/1332269</v>
      </c>
      <c r="F1742" s="2" t="s">
        <v>11</v>
      </c>
      <c r="G1742" s="2" t="s">
        <v>40719</v>
      </c>
      <c r="H1742" s="2" t="s">
        <v>40720</v>
      </c>
    </row>
    <row r="1743" spans="1:8" ht="25.05" customHeight="1" x14ac:dyDescent="0.25">
      <c r="A1743" s="2" t="s">
        <v>8</v>
      </c>
      <c r="B1743" s="2" t="str">
        <f>HYPERLINK("http://ts.21cn.com/tousu/show/id/1332270","盛付通坑合作代理分润")</f>
        <v>盛付通坑合作代理分润</v>
      </c>
      <c r="C1743" s="2" t="s">
        <v>9</v>
      </c>
      <c r="D1743" s="2" t="s">
        <v>10</v>
      </c>
      <c r="E1743" s="2" t="str">
        <f>HYPERLINK("http://ts.21cn.com/tousu/show/id/1332270","http://ts.21cn.com/tousu/show/id/1332270")</f>
        <v>http://ts.21cn.com/tousu/show/id/1332270</v>
      </c>
      <c r="F1743" s="2" t="s">
        <v>11</v>
      </c>
      <c r="G1743" s="2" t="s">
        <v>40717</v>
      </c>
      <c r="H1743" s="2" t="s">
        <v>40718</v>
      </c>
    </row>
    <row r="1744" spans="1:8" ht="25.05" customHeight="1" x14ac:dyDescent="0.25">
      <c r="A1744" s="2" t="s">
        <v>8</v>
      </c>
      <c r="B1744" s="2" t="str">
        <f>HYPERLINK("http://ts.21cn.com/tousu/show/id/1332271","卡分期非法扣除会员费")</f>
        <v>卡分期非法扣除会员费</v>
      </c>
      <c r="C1744" s="2" t="s">
        <v>9</v>
      </c>
      <c r="D1744" s="2" t="s">
        <v>10</v>
      </c>
      <c r="E1744" s="2" t="str">
        <f>HYPERLINK("http://ts.21cn.com/tousu/show/id/1332271","http://ts.21cn.com/tousu/show/id/1332271")</f>
        <v>http://ts.21cn.com/tousu/show/id/1332271</v>
      </c>
      <c r="F1744" s="2" t="s">
        <v>11</v>
      </c>
      <c r="G1744" s="2" t="s">
        <v>40715</v>
      </c>
      <c r="H1744" s="2" t="s">
        <v>40716</v>
      </c>
    </row>
    <row r="1745" spans="1:8" ht="25.05" customHeight="1" x14ac:dyDescent="0.25">
      <c r="A1745" s="2" t="s">
        <v>8</v>
      </c>
      <c r="B1745" s="2" t="str">
        <f>HYPERLINK("http://ts.21cn.com/tousu/show/id/1332274","好运金网贷砍头息和逾期费用太高")</f>
        <v>好运金网贷砍头息和逾期费用太高</v>
      </c>
      <c r="C1745" s="2" t="s">
        <v>9</v>
      </c>
      <c r="D1745" s="2" t="s">
        <v>10</v>
      </c>
      <c r="E1745" s="2" t="str">
        <f>HYPERLINK("http://ts.21cn.com/tousu/show/id/1332274","http://ts.21cn.com/tousu/show/id/1332274")</f>
        <v>http://ts.21cn.com/tousu/show/id/1332274</v>
      </c>
      <c r="F1745" s="2" t="s">
        <v>11</v>
      </c>
      <c r="G1745" s="2" t="s">
        <v>40713</v>
      </c>
      <c r="H1745" s="2" t="s">
        <v>40714</v>
      </c>
    </row>
    <row r="1746" spans="1:8" ht="25.05" customHeight="1" x14ac:dyDescent="0.25">
      <c r="A1746" s="2" t="s">
        <v>8</v>
      </c>
      <c r="B1746" s="2" t="str">
        <f>HYPERLINK("http://ts.21cn.com/tousu/show/id/1332275","因利澳出行迟迟不肯退押金，要求利澳出行快速退还押金")</f>
        <v>因利澳出行迟迟不肯退押金，要求利澳出行快速退还押金</v>
      </c>
      <c r="C1746" s="2" t="s">
        <v>34</v>
      </c>
      <c r="D1746" s="2" t="s">
        <v>10</v>
      </c>
      <c r="E1746" s="2" t="str">
        <f>HYPERLINK("http://ts.21cn.com/tousu/show/id/1332275","http://ts.21cn.com/tousu/show/id/1332275")</f>
        <v>http://ts.21cn.com/tousu/show/id/1332275</v>
      </c>
      <c r="F1746" s="2" t="s">
        <v>11</v>
      </c>
      <c r="G1746" s="2" t="s">
        <v>40711</v>
      </c>
      <c r="H1746" s="2" t="s">
        <v>40712</v>
      </c>
    </row>
    <row r="1747" spans="1:8" ht="25.05" customHeight="1" x14ac:dyDescent="0.25">
      <c r="A1747" s="2" t="s">
        <v>8</v>
      </c>
      <c r="B1747" s="2" t="str">
        <f>HYPERLINK("http://ts.21cn.com/tousu/show/id/1332276","好分期高额逾期费我有还款意愿却并不支持")</f>
        <v>好分期高额逾期费我有还款意愿却并不支持</v>
      </c>
      <c r="C1747" s="2" t="s">
        <v>9</v>
      </c>
      <c r="D1747" s="2" t="s">
        <v>10</v>
      </c>
      <c r="E1747" s="2" t="str">
        <f>HYPERLINK("http://ts.21cn.com/tousu/show/id/1332276","http://ts.21cn.com/tousu/show/id/1332276")</f>
        <v>http://ts.21cn.com/tousu/show/id/1332276</v>
      </c>
      <c r="F1747" s="2" t="s">
        <v>11</v>
      </c>
      <c r="G1747" s="2" t="s">
        <v>40709</v>
      </c>
      <c r="H1747" s="2" t="s">
        <v>40710</v>
      </c>
    </row>
    <row r="1748" spans="1:8" ht="25.05" customHeight="1" x14ac:dyDescent="0.25">
      <c r="A1748" s="2" t="s">
        <v>8</v>
      </c>
      <c r="B1748" s="2" t="str">
        <f>HYPERLINK("http://ts.21cn.com/tousu/show/id/1332278","钱站利息高")</f>
        <v>钱站利息高</v>
      </c>
      <c r="C1748" s="2" t="s">
        <v>34</v>
      </c>
      <c r="D1748" s="2" t="s">
        <v>10</v>
      </c>
      <c r="E1748" s="2" t="str">
        <f>HYPERLINK("http://ts.21cn.com/tousu/show/id/1332278","http://ts.21cn.com/tousu/show/id/1332278")</f>
        <v>http://ts.21cn.com/tousu/show/id/1332278</v>
      </c>
      <c r="F1748" s="2" t="s">
        <v>11</v>
      </c>
      <c r="G1748" s="2" t="s">
        <v>40707</v>
      </c>
      <c r="H1748" s="2" t="s">
        <v>40708</v>
      </c>
    </row>
    <row r="1749" spans="1:8" ht="25.05" customHeight="1" x14ac:dyDescent="0.25">
      <c r="A1749" s="2" t="s">
        <v>8</v>
      </c>
      <c r="B1749" s="2" t="str">
        <f>HYPERLINK("http://ts.21cn.com/tousu/show/id/1332279","乱收费，高利贷")</f>
        <v>乱收费，高利贷</v>
      </c>
      <c r="C1749" s="2" t="s">
        <v>9</v>
      </c>
      <c r="D1749" s="2" t="s">
        <v>10</v>
      </c>
      <c r="E1749" s="2" t="str">
        <f>HYPERLINK("http://ts.21cn.com/tousu/show/id/1332279","http://ts.21cn.com/tousu/show/id/1332279")</f>
        <v>http://ts.21cn.com/tousu/show/id/1332279</v>
      </c>
      <c r="F1749" s="2" t="s">
        <v>11</v>
      </c>
      <c r="G1749" s="2" t="s">
        <v>40705</v>
      </c>
      <c r="H1749" s="2" t="s">
        <v>40706</v>
      </c>
    </row>
    <row r="1750" spans="1:8" ht="25.05" customHeight="1" x14ac:dyDescent="0.25">
      <c r="A1750" s="2" t="s">
        <v>8</v>
      </c>
      <c r="B1750" s="2" t="str">
        <f>HYPERLINK("http://ts.21cn.com/tousu/show/id/1332280","霸王条款不退学费")</f>
        <v>霸王条款不退学费</v>
      </c>
      <c r="C1750" s="2" t="s">
        <v>9</v>
      </c>
      <c r="D1750" s="2" t="s">
        <v>10</v>
      </c>
      <c r="E1750" s="2" t="str">
        <f>HYPERLINK("http://ts.21cn.com/tousu/show/id/1332280","http://ts.21cn.com/tousu/show/id/1332280")</f>
        <v>http://ts.21cn.com/tousu/show/id/1332280</v>
      </c>
      <c r="F1750" s="2" t="s">
        <v>11</v>
      </c>
      <c r="G1750" s="2" t="s">
        <v>40703</v>
      </c>
      <c r="H1750" s="2" t="s">
        <v>40704</v>
      </c>
    </row>
    <row r="1751" spans="1:8" ht="25.05" customHeight="1" x14ac:dyDescent="0.25">
      <c r="A1751" s="2" t="s">
        <v>8</v>
      </c>
      <c r="B1751" s="2" t="str">
        <f>HYPERLINK("http://ts.21cn.com/tousu/show/id/1332282","来分期借款不合理，不能提前还本金，打着支付宝的旗号")</f>
        <v>来分期借款不合理，不能提前还本金，打着支付宝的旗号</v>
      </c>
      <c r="C1751" s="2" t="s">
        <v>9</v>
      </c>
      <c r="D1751" s="2" t="s">
        <v>10</v>
      </c>
      <c r="E1751" s="2" t="str">
        <f>HYPERLINK("http://ts.21cn.com/tousu/show/id/1332282","http://ts.21cn.com/tousu/show/id/1332282")</f>
        <v>http://ts.21cn.com/tousu/show/id/1332282</v>
      </c>
      <c r="F1751" s="2" t="s">
        <v>11</v>
      </c>
      <c r="G1751" s="2" t="s">
        <v>40701</v>
      </c>
      <c r="H1751" s="2" t="s">
        <v>40702</v>
      </c>
    </row>
    <row r="1752" spans="1:8" ht="25.05" customHeight="1" x14ac:dyDescent="0.25">
      <c r="A1752" s="2" t="s">
        <v>8</v>
      </c>
      <c r="B1752" s="2" t="str">
        <f>HYPERLINK("http://ts.21cn.com/tousu/show/id/1332281","维客佳超市售卖假货")</f>
        <v>维客佳超市售卖假货</v>
      </c>
      <c r="C1752" s="2" t="s">
        <v>9</v>
      </c>
      <c r="D1752" s="2" t="s">
        <v>10</v>
      </c>
      <c r="E1752" s="2" t="str">
        <f>HYPERLINK("http://ts.21cn.com/tousu/show/id/1332281","http://ts.21cn.com/tousu/show/id/1332281")</f>
        <v>http://ts.21cn.com/tousu/show/id/1332281</v>
      </c>
      <c r="F1752" s="2" t="s">
        <v>11</v>
      </c>
      <c r="G1752" s="2" t="s">
        <v>40699</v>
      </c>
      <c r="H1752" s="2" t="s">
        <v>40700</v>
      </c>
    </row>
    <row r="1753" spans="1:8" ht="25.05" customHeight="1" x14ac:dyDescent="0.25">
      <c r="A1753" s="2" t="s">
        <v>8</v>
      </c>
      <c r="B1753" s="2" t="str">
        <f>HYPERLINK("http://ts.21cn.com/tousu/show/id/1332283","微信支付永久限制，自己的合法资金无法取出")</f>
        <v>微信支付永久限制，自己的合法资金无法取出</v>
      </c>
      <c r="C1753" s="2" t="s">
        <v>9</v>
      </c>
      <c r="D1753" s="2" t="s">
        <v>10</v>
      </c>
      <c r="E1753" s="2" t="str">
        <f>HYPERLINK("http://ts.21cn.com/tousu/show/id/1332283","http://ts.21cn.com/tousu/show/id/1332283")</f>
        <v>http://ts.21cn.com/tousu/show/id/1332283</v>
      </c>
      <c r="F1753" s="2" t="s">
        <v>11</v>
      </c>
      <c r="G1753" s="2" t="s">
        <v>40697</v>
      </c>
      <c r="H1753" s="2" t="s">
        <v>40698</v>
      </c>
    </row>
    <row r="1754" spans="1:8" ht="25.05" customHeight="1" x14ac:dyDescent="0.25">
      <c r="A1754" s="2" t="s">
        <v>8</v>
      </c>
      <c r="B1754" s="2" t="str">
        <f>HYPERLINK("http://ts.21cn.com/tousu/show/id/1332285","怪兽充电宝霸王条款")</f>
        <v>怪兽充电宝霸王条款</v>
      </c>
      <c r="C1754" s="2" t="s">
        <v>9</v>
      </c>
      <c r="D1754" s="2" t="s">
        <v>10</v>
      </c>
      <c r="E1754" s="2" t="str">
        <f>HYPERLINK("http://ts.21cn.com/tousu/show/id/1332285","http://ts.21cn.com/tousu/show/id/1332285")</f>
        <v>http://ts.21cn.com/tousu/show/id/1332285</v>
      </c>
      <c r="F1754" s="2" t="s">
        <v>11</v>
      </c>
      <c r="G1754" s="2" t="s">
        <v>40695</v>
      </c>
      <c r="H1754" s="2" t="s">
        <v>40696</v>
      </c>
    </row>
    <row r="1755" spans="1:8" ht="25.05" customHeight="1" x14ac:dyDescent="0.25">
      <c r="A1755" s="2" t="s">
        <v>8</v>
      </c>
      <c r="B1755" s="2" t="str">
        <f>HYPERLINK("http://ts.21cn.com/tousu/show/id/1332284","虾米在线高利贷，套路贷")</f>
        <v>虾米在线高利贷，套路贷</v>
      </c>
      <c r="C1755" s="2" t="s">
        <v>9</v>
      </c>
      <c r="D1755" s="2" t="s">
        <v>10</v>
      </c>
      <c r="E1755" s="2" t="str">
        <f>HYPERLINK("http://ts.21cn.com/tousu/show/id/1332284","http://ts.21cn.com/tousu/show/id/1332284")</f>
        <v>http://ts.21cn.com/tousu/show/id/1332284</v>
      </c>
      <c r="F1755" s="2" t="s">
        <v>11</v>
      </c>
      <c r="G1755" s="2" t="s">
        <v>40693</v>
      </c>
      <c r="H1755" s="2" t="s">
        <v>40694</v>
      </c>
    </row>
    <row r="1756" spans="1:8" ht="25.05" customHeight="1" x14ac:dyDescent="0.25">
      <c r="A1756" s="2" t="s">
        <v>8</v>
      </c>
      <c r="B1756" s="2" t="str">
        <f>HYPERLINK("http://ts.21cn.com/tousu/show/id/1332286","萧山汽车站不准点发车，服务差")</f>
        <v>萧山汽车站不准点发车，服务差</v>
      </c>
      <c r="C1756" s="2" t="s">
        <v>9</v>
      </c>
      <c r="D1756" s="2" t="s">
        <v>10</v>
      </c>
      <c r="E1756" s="2" t="str">
        <f>HYPERLINK("http://ts.21cn.com/tousu/show/id/1332286","http://ts.21cn.com/tousu/show/id/1332286")</f>
        <v>http://ts.21cn.com/tousu/show/id/1332286</v>
      </c>
      <c r="F1756" s="2" t="s">
        <v>11</v>
      </c>
      <c r="G1756" s="2" t="s">
        <v>40691</v>
      </c>
      <c r="H1756" s="2" t="s">
        <v>40692</v>
      </c>
    </row>
    <row r="1757" spans="1:8" ht="25.05" customHeight="1" x14ac:dyDescent="0.25">
      <c r="A1757" s="2" t="s">
        <v>8</v>
      </c>
      <c r="B1757" s="2" t="str">
        <f>HYPERLINK("http://ts.21cn.com/tousu/show/id/1332287","招联金融暴力催收")</f>
        <v>招联金融暴力催收</v>
      </c>
      <c r="C1757" s="2" t="s">
        <v>9</v>
      </c>
      <c r="D1757" s="2" t="s">
        <v>10</v>
      </c>
      <c r="E1757" s="2" t="str">
        <f>HYPERLINK("http://ts.21cn.com/tousu/show/id/1332287","http://ts.21cn.com/tousu/show/id/1332287")</f>
        <v>http://ts.21cn.com/tousu/show/id/1332287</v>
      </c>
      <c r="F1757" s="2" t="s">
        <v>11</v>
      </c>
      <c r="G1757" s="2" t="s">
        <v>40689</v>
      </c>
      <c r="H1757" s="2" t="s">
        <v>40690</v>
      </c>
    </row>
    <row r="1758" spans="1:8" ht="25.05" customHeight="1" x14ac:dyDescent="0.25">
      <c r="A1758" s="2" t="s">
        <v>8</v>
      </c>
      <c r="B1758" s="2" t="str">
        <f>HYPERLINK("http://ts.21cn.com/tousu/show/id/1332289","拒绝协商")</f>
        <v>拒绝协商</v>
      </c>
      <c r="C1758" s="2" t="s">
        <v>9</v>
      </c>
      <c r="D1758" s="2" t="s">
        <v>10</v>
      </c>
      <c r="E1758" s="2" t="str">
        <f>HYPERLINK("http://ts.21cn.com/tousu/show/id/1332289","http://ts.21cn.com/tousu/show/id/1332289")</f>
        <v>http://ts.21cn.com/tousu/show/id/1332289</v>
      </c>
      <c r="F1758" s="2" t="s">
        <v>11</v>
      </c>
      <c r="G1758" s="2" t="s">
        <v>40687</v>
      </c>
      <c r="H1758" s="2" t="s">
        <v>40688</v>
      </c>
    </row>
    <row r="1759" spans="1:8" ht="25.05" customHeight="1" x14ac:dyDescent="0.25">
      <c r="A1759" s="2" t="s">
        <v>8</v>
      </c>
      <c r="B1759" s="2" t="str">
        <f>HYPERLINK("http://ts.21cn.com/tousu/show/id/1332290","微品分期高额利率暴力催收")</f>
        <v>微品分期高额利率暴力催收</v>
      </c>
      <c r="C1759" s="2" t="s">
        <v>9</v>
      </c>
      <c r="D1759" s="2" t="s">
        <v>10</v>
      </c>
      <c r="E1759" s="2" t="str">
        <f>HYPERLINK("http://ts.21cn.com/tousu/show/id/1332290","http://ts.21cn.com/tousu/show/id/1332290")</f>
        <v>http://ts.21cn.com/tousu/show/id/1332290</v>
      </c>
      <c r="F1759" s="2" t="s">
        <v>11</v>
      </c>
      <c r="G1759" s="2" t="s">
        <v>40685</v>
      </c>
      <c r="H1759" s="2" t="s">
        <v>40686</v>
      </c>
    </row>
    <row r="1760" spans="1:8" ht="25.05" customHeight="1" x14ac:dyDescent="0.25">
      <c r="A1760" s="2" t="s">
        <v>8</v>
      </c>
      <c r="B1760" s="2" t="str">
        <f>HYPERLINK("http://ts.21cn.com/tousu/show/id/1332291","拍拍贷还款出错")</f>
        <v>拍拍贷还款出错</v>
      </c>
      <c r="C1760" s="2" t="s">
        <v>34</v>
      </c>
      <c r="D1760" s="2" t="s">
        <v>10</v>
      </c>
      <c r="E1760" s="2" t="str">
        <f>HYPERLINK("http://ts.21cn.com/tousu/show/id/1332291","http://ts.21cn.com/tousu/show/id/1332291")</f>
        <v>http://ts.21cn.com/tousu/show/id/1332291</v>
      </c>
      <c r="F1760" s="2" t="s">
        <v>11</v>
      </c>
      <c r="G1760" s="2" t="s">
        <v>40683</v>
      </c>
      <c r="H1760" s="2" t="s">
        <v>40684</v>
      </c>
    </row>
    <row r="1761" spans="1:8" ht="25.05" customHeight="1" x14ac:dyDescent="0.25">
      <c r="A1761" s="2" t="s">
        <v>8</v>
      </c>
      <c r="B1761" s="2" t="str">
        <f>HYPERLINK("http://ts.21cn.com/tousu/show/id/1332292","高利贷砍头息")</f>
        <v>高利贷砍头息</v>
      </c>
      <c r="C1761" s="2" t="s">
        <v>9</v>
      </c>
      <c r="D1761" s="2" t="s">
        <v>10</v>
      </c>
      <c r="E1761" s="2" t="str">
        <f>HYPERLINK("http://ts.21cn.com/tousu/show/id/1332292","http://ts.21cn.com/tousu/show/id/1332292")</f>
        <v>http://ts.21cn.com/tousu/show/id/1332292</v>
      </c>
      <c r="F1761" s="2" t="s">
        <v>11</v>
      </c>
      <c r="G1761" s="2" t="s">
        <v>40681</v>
      </c>
      <c r="H1761" s="2" t="s">
        <v>40682</v>
      </c>
    </row>
    <row r="1762" spans="1:8" ht="25.05" customHeight="1" x14ac:dyDescent="0.25">
      <c r="A1762" s="2" t="s">
        <v>8</v>
      </c>
      <c r="B1762" s="2" t="str">
        <f>HYPERLINK("http://ts.21cn.com/tousu/show/id/1332293","小象优品违法获取通讯录、骚扰通讯录，收取高额逾期利率")</f>
        <v>小象优品违法获取通讯录、骚扰通讯录，收取高额逾期利率</v>
      </c>
      <c r="C1762" s="2" t="s">
        <v>9</v>
      </c>
      <c r="D1762" s="2" t="s">
        <v>10</v>
      </c>
      <c r="E1762" s="2" t="str">
        <f>HYPERLINK("http://ts.21cn.com/tousu/show/id/1332293","http://ts.21cn.com/tousu/show/id/1332293")</f>
        <v>http://ts.21cn.com/tousu/show/id/1332293</v>
      </c>
      <c r="F1762" s="2" t="s">
        <v>11</v>
      </c>
      <c r="G1762" s="2" t="s">
        <v>40679</v>
      </c>
      <c r="H1762" s="2" t="s">
        <v>40680</v>
      </c>
    </row>
    <row r="1763" spans="1:8" ht="25.05" customHeight="1" x14ac:dyDescent="0.25">
      <c r="A1763" s="2" t="s">
        <v>8</v>
      </c>
      <c r="B1763" s="2" t="str">
        <f>HYPERLINK("http://ts.21cn.com/tousu/show/id/1332295","好分期威胁恐吓")</f>
        <v>好分期威胁恐吓</v>
      </c>
      <c r="C1763" s="2" t="s">
        <v>9</v>
      </c>
      <c r="D1763" s="2" t="s">
        <v>10</v>
      </c>
      <c r="E1763" s="2" t="str">
        <f>HYPERLINK("http://ts.21cn.com/tousu/show/id/1332295","http://ts.21cn.com/tousu/show/id/1332295")</f>
        <v>http://ts.21cn.com/tousu/show/id/1332295</v>
      </c>
      <c r="F1763" s="2" t="s">
        <v>11</v>
      </c>
      <c r="G1763" s="2" t="s">
        <v>40677</v>
      </c>
      <c r="H1763" s="2" t="s">
        <v>40678</v>
      </c>
    </row>
    <row r="1764" spans="1:8" ht="25.05" customHeight="1" x14ac:dyDescent="0.25">
      <c r="A1764" s="2" t="s">
        <v>8</v>
      </c>
      <c r="B1764" s="2" t="str">
        <f>HYPERLINK("http://ts.21cn.com/tousu/show/id/1332294","玖富万卡电话威胁催收")</f>
        <v>玖富万卡电话威胁催收</v>
      </c>
      <c r="C1764" s="2" t="s">
        <v>9</v>
      </c>
      <c r="D1764" s="2" t="s">
        <v>10</v>
      </c>
      <c r="E1764" s="2" t="str">
        <f>HYPERLINK("http://ts.21cn.com/tousu/show/id/1332294","http://ts.21cn.com/tousu/show/id/1332294")</f>
        <v>http://ts.21cn.com/tousu/show/id/1332294</v>
      </c>
      <c r="F1764" s="2" t="s">
        <v>11</v>
      </c>
      <c r="G1764" s="2" t="s">
        <v>40675</v>
      </c>
      <c r="H1764" s="2" t="s">
        <v>40676</v>
      </c>
    </row>
    <row r="1765" spans="1:8" ht="25.05" customHeight="1" x14ac:dyDescent="0.25">
      <c r="A1765" s="2" t="s">
        <v>8</v>
      </c>
      <c r="B1765" s="2" t="str">
        <f>HYPERLINK("http://ts.21cn.com/tousu/show/id/1332297","无力还款，拒绝协商还款事宜")</f>
        <v>无力还款，拒绝协商还款事宜</v>
      </c>
      <c r="C1765" s="2" t="s">
        <v>9</v>
      </c>
      <c r="D1765" s="2" t="s">
        <v>10</v>
      </c>
      <c r="E1765" s="2" t="str">
        <f>HYPERLINK("http://ts.21cn.com/tousu/show/id/1332297","http://ts.21cn.com/tousu/show/id/1332297")</f>
        <v>http://ts.21cn.com/tousu/show/id/1332297</v>
      </c>
      <c r="F1765" s="2" t="s">
        <v>11</v>
      </c>
      <c r="G1765" s="2" t="s">
        <v>40673</v>
      </c>
      <c r="H1765" s="2" t="s">
        <v>40674</v>
      </c>
    </row>
    <row r="1766" spans="1:8" ht="25.05" customHeight="1" x14ac:dyDescent="0.25">
      <c r="A1766" s="2" t="s">
        <v>8</v>
      </c>
      <c r="B1766" s="2" t="str">
        <f>HYPERLINK("http://ts.21cn.com/tousu/show/id/1332298","恶意催收一直打电话骚扰正常生活")</f>
        <v>恶意催收一直打电话骚扰正常生活</v>
      </c>
      <c r="C1766" s="2" t="s">
        <v>9</v>
      </c>
      <c r="D1766" s="2" t="s">
        <v>10</v>
      </c>
      <c r="E1766" s="2" t="str">
        <f>HYPERLINK("http://ts.21cn.com/tousu/show/id/1332298","http://ts.21cn.com/tousu/show/id/1332298")</f>
        <v>http://ts.21cn.com/tousu/show/id/1332298</v>
      </c>
      <c r="F1766" s="2" t="s">
        <v>11</v>
      </c>
      <c r="G1766" s="2" t="s">
        <v>40671</v>
      </c>
      <c r="H1766" s="2" t="s">
        <v>40672</v>
      </c>
    </row>
    <row r="1767" spans="1:8" ht="25.05" customHeight="1" x14ac:dyDescent="0.25">
      <c r="A1767" s="2" t="s">
        <v>8</v>
      </c>
      <c r="B1767" s="2" t="str">
        <f>HYPERLINK("http://ts.21cn.com/tousu/show/id/1332296","美团扣送餐费")</f>
        <v>美团扣送餐费</v>
      </c>
      <c r="C1767" s="2" t="s">
        <v>9</v>
      </c>
      <c r="D1767" s="2" t="s">
        <v>10</v>
      </c>
      <c r="E1767" s="2" t="str">
        <f>HYPERLINK("http://ts.21cn.com/tousu/show/id/1332296","http://ts.21cn.com/tousu/show/id/1332296")</f>
        <v>http://ts.21cn.com/tousu/show/id/1332296</v>
      </c>
      <c r="F1767" s="2" t="s">
        <v>11</v>
      </c>
      <c r="G1767" s="2" t="s">
        <v>40669</v>
      </c>
      <c r="H1767" s="2" t="s">
        <v>40670</v>
      </c>
    </row>
    <row r="1768" spans="1:8" ht="25.05" customHeight="1" x14ac:dyDescent="0.25">
      <c r="A1768" s="2" t="s">
        <v>8</v>
      </c>
      <c r="B1768" s="2" t="str">
        <f>HYPERLINK("http://ts.21cn.com/tousu/show/id/1332299","高利息，砍头息")</f>
        <v>高利息，砍头息</v>
      </c>
      <c r="C1768" s="2" t="s">
        <v>34</v>
      </c>
      <c r="D1768" s="2" t="s">
        <v>10</v>
      </c>
      <c r="E1768" s="2" t="str">
        <f>HYPERLINK("http://ts.21cn.com/tousu/show/id/1332299","http://ts.21cn.com/tousu/show/id/1332299")</f>
        <v>http://ts.21cn.com/tousu/show/id/1332299</v>
      </c>
      <c r="F1768" s="2" t="s">
        <v>11</v>
      </c>
      <c r="G1768" s="2" t="s">
        <v>40667</v>
      </c>
      <c r="H1768" s="2" t="s">
        <v>40668</v>
      </c>
    </row>
    <row r="1769" spans="1:8" ht="25.05" customHeight="1" x14ac:dyDescent="0.25">
      <c r="A1769" s="2" t="s">
        <v>8</v>
      </c>
      <c r="B1769" s="2" t="str">
        <f>HYPERLINK("http://ts.21cn.com/tousu/show/id/1332300","要求提前结清欠款挤减免利息")</f>
        <v>要求提前结清欠款挤减免利息</v>
      </c>
      <c r="C1769" s="2" t="s">
        <v>34</v>
      </c>
      <c r="D1769" s="2" t="s">
        <v>10</v>
      </c>
      <c r="E1769" s="2" t="str">
        <f>HYPERLINK("http://ts.21cn.com/tousu/show/id/1332300","http://ts.21cn.com/tousu/show/id/1332300")</f>
        <v>http://ts.21cn.com/tousu/show/id/1332300</v>
      </c>
      <c r="F1769" s="2" t="s">
        <v>11</v>
      </c>
      <c r="G1769" s="2" t="s">
        <v>40665</v>
      </c>
      <c r="H1769" s="2" t="s">
        <v>40666</v>
      </c>
    </row>
    <row r="1770" spans="1:8" ht="25.05" customHeight="1" x14ac:dyDescent="0.25">
      <c r="A1770" s="2" t="s">
        <v>8</v>
      </c>
      <c r="B1770" s="2" t="str">
        <f>HYPERLINK("http://ts.21cn.com/tousu/show/id/1332304","鑫时贷汇潮支付砍头息")</f>
        <v>鑫时贷汇潮支付砍头息</v>
      </c>
      <c r="C1770" s="2" t="s">
        <v>9</v>
      </c>
      <c r="D1770" s="2" t="s">
        <v>10</v>
      </c>
      <c r="E1770" s="2" t="str">
        <f>HYPERLINK("http://ts.21cn.com/tousu/show/id/1332304","http://ts.21cn.com/tousu/show/id/1332304")</f>
        <v>http://ts.21cn.com/tousu/show/id/1332304</v>
      </c>
      <c r="F1770" s="2" t="s">
        <v>11</v>
      </c>
      <c r="G1770" s="2" t="s">
        <v>40663</v>
      </c>
      <c r="H1770" s="2" t="s">
        <v>40664</v>
      </c>
    </row>
    <row r="1771" spans="1:8" ht="25.05" customHeight="1" x14ac:dyDescent="0.25">
      <c r="A1771" s="2" t="s">
        <v>8</v>
      </c>
      <c r="B1771" s="2" t="str">
        <f>HYPERLINK("http://ts.21cn.com/tousu/show/id/1332302","汇潮支付联合威力贷目无王法")</f>
        <v>汇潮支付联合威力贷目无王法</v>
      </c>
      <c r="C1771" s="2" t="s">
        <v>9</v>
      </c>
      <c r="D1771" s="2" t="s">
        <v>10</v>
      </c>
      <c r="E1771" s="2" t="str">
        <f>HYPERLINK("http://ts.21cn.com/tousu/show/id/1332302","http://ts.21cn.com/tousu/show/id/1332302")</f>
        <v>http://ts.21cn.com/tousu/show/id/1332302</v>
      </c>
      <c r="F1771" s="2" t="s">
        <v>11</v>
      </c>
      <c r="G1771" s="2" t="s">
        <v>40661</v>
      </c>
      <c r="H1771" s="2" t="s">
        <v>40662</v>
      </c>
    </row>
    <row r="1772" spans="1:8" ht="25.05" customHeight="1" x14ac:dyDescent="0.25">
      <c r="A1772" s="2" t="s">
        <v>8</v>
      </c>
      <c r="B1772" s="2" t="str">
        <f>HYPERLINK("http://ts.21cn.com/tousu/show/id/1332303","美团随意封骑手账号还不能申诉")</f>
        <v>美团随意封骑手账号还不能申诉</v>
      </c>
      <c r="C1772" s="2" t="s">
        <v>9</v>
      </c>
      <c r="D1772" s="2" t="s">
        <v>10</v>
      </c>
      <c r="E1772" s="2" t="str">
        <f>HYPERLINK("http://ts.21cn.com/tousu/show/id/1332303","http://ts.21cn.com/tousu/show/id/1332303")</f>
        <v>http://ts.21cn.com/tousu/show/id/1332303</v>
      </c>
      <c r="F1772" s="2" t="s">
        <v>11</v>
      </c>
      <c r="G1772" s="2" t="s">
        <v>40659</v>
      </c>
      <c r="H1772" s="2" t="s">
        <v>40660</v>
      </c>
    </row>
    <row r="1773" spans="1:8" ht="25.05" customHeight="1" x14ac:dyDescent="0.25">
      <c r="A1773" s="2" t="s">
        <v>8</v>
      </c>
      <c r="B1773" s="2" t="str">
        <f>HYPERLINK("http://ts.21cn.com/tousu/show/id/1332305","小浦优客app未提示扣取报告费要求退回")</f>
        <v>小浦优客app未提示扣取报告费要求退回</v>
      </c>
      <c r="C1773" s="2" t="s">
        <v>9</v>
      </c>
      <c r="D1773" s="2" t="s">
        <v>10</v>
      </c>
      <c r="E1773" s="2" t="str">
        <f>HYPERLINK("http://ts.21cn.com/tousu/show/id/1332305","http://ts.21cn.com/tousu/show/id/1332305")</f>
        <v>http://ts.21cn.com/tousu/show/id/1332305</v>
      </c>
      <c r="F1773" s="2" t="s">
        <v>11</v>
      </c>
      <c r="G1773" s="2" t="s">
        <v>40657</v>
      </c>
      <c r="H1773" s="2" t="s">
        <v>40658</v>
      </c>
    </row>
    <row r="1774" spans="1:8" ht="25.05" customHeight="1" x14ac:dyDescent="0.25">
      <c r="A1774" s="2" t="s">
        <v>8</v>
      </c>
      <c r="B1774" s="2" t="str">
        <f>HYPERLINK("http://ts.21cn.com/tousu/show/id/1332307","在我余额不到引起的情况下，以使用流量超额为由扣我五百元")</f>
        <v>在我余额不到引起的情况下，以使用流量超额为由扣我五百元</v>
      </c>
      <c r="C1774" s="2" t="s">
        <v>9</v>
      </c>
      <c r="D1774" s="2" t="s">
        <v>10</v>
      </c>
      <c r="E1774" s="2" t="str">
        <f>HYPERLINK("http://ts.21cn.com/tousu/show/id/1332307","http://ts.21cn.com/tousu/show/id/1332307")</f>
        <v>http://ts.21cn.com/tousu/show/id/1332307</v>
      </c>
      <c r="F1774" s="2" t="s">
        <v>11</v>
      </c>
      <c r="G1774" s="2" t="s">
        <v>40655</v>
      </c>
      <c r="H1774" s="2" t="s">
        <v>40656</v>
      </c>
    </row>
    <row r="1775" spans="1:8" ht="25.05" customHeight="1" x14ac:dyDescent="0.25">
      <c r="A1775" s="2" t="s">
        <v>8</v>
      </c>
      <c r="B1775" s="2" t="str">
        <f>HYPERLINK("http://ts.21cn.com/tousu/show/id/1332308","中国电信乱扣费用，态度不好")</f>
        <v>中国电信乱扣费用，态度不好</v>
      </c>
      <c r="C1775" s="2" t="s">
        <v>9</v>
      </c>
      <c r="D1775" s="2" t="s">
        <v>10</v>
      </c>
      <c r="E1775" s="2" t="str">
        <f>HYPERLINK("http://ts.21cn.com/tousu/show/id/1332308","http://ts.21cn.com/tousu/show/id/1332308")</f>
        <v>http://ts.21cn.com/tousu/show/id/1332308</v>
      </c>
      <c r="F1775" s="2" t="s">
        <v>11</v>
      </c>
      <c r="G1775" s="2" t="s">
        <v>40653</v>
      </c>
      <c r="H1775" s="2" t="s">
        <v>40654</v>
      </c>
    </row>
    <row r="1776" spans="1:8" ht="25.05" customHeight="1" x14ac:dyDescent="0.25">
      <c r="A1776" s="2" t="s">
        <v>8</v>
      </c>
      <c r="B1776" s="2" t="str">
        <f>HYPERLINK("http://ts.21cn.com/tousu/show/id/1332310","微信支付被冻结微信里的钱用不了")</f>
        <v>微信支付被冻结微信里的钱用不了</v>
      </c>
      <c r="C1776" s="2" t="s">
        <v>9</v>
      </c>
      <c r="D1776" s="2" t="s">
        <v>10</v>
      </c>
      <c r="E1776" s="2" t="str">
        <f>HYPERLINK("http://ts.21cn.com/tousu/show/id/1332310","http://ts.21cn.com/tousu/show/id/1332310")</f>
        <v>http://ts.21cn.com/tousu/show/id/1332310</v>
      </c>
      <c r="F1776" s="2" t="s">
        <v>11</v>
      </c>
      <c r="G1776" s="2" t="s">
        <v>40651</v>
      </c>
      <c r="H1776" s="2" t="s">
        <v>40652</v>
      </c>
    </row>
    <row r="1777" spans="1:8" ht="25.05" customHeight="1" x14ac:dyDescent="0.25">
      <c r="A1777" s="2" t="s">
        <v>8</v>
      </c>
      <c r="B1777" s="2" t="str">
        <f>HYPERLINK("http://ts.21cn.com/tousu/show/id/1332311","魔域")</f>
        <v>魔域</v>
      </c>
      <c r="C1777" s="2" t="s">
        <v>9</v>
      </c>
      <c r="D1777" s="2" t="s">
        <v>10</v>
      </c>
      <c r="E1777" s="2" t="str">
        <f>HYPERLINK("http://ts.21cn.com/tousu/show/id/1332311","http://ts.21cn.com/tousu/show/id/1332311")</f>
        <v>http://ts.21cn.com/tousu/show/id/1332311</v>
      </c>
      <c r="F1777" s="2" t="s">
        <v>11</v>
      </c>
      <c r="G1777" s="2" t="s">
        <v>40649</v>
      </c>
      <c r="H1777" s="2" t="s">
        <v>40650</v>
      </c>
    </row>
    <row r="1778" spans="1:8" ht="25.05" customHeight="1" x14ac:dyDescent="0.25">
      <c r="A1778" s="2" t="s">
        <v>8</v>
      </c>
      <c r="B1778" s="2" t="str">
        <f>HYPERLINK("http://ts.21cn.com/tousu/show/id/1332312","多宝分期高利贷")</f>
        <v>多宝分期高利贷</v>
      </c>
      <c r="C1778" s="2" t="s">
        <v>9</v>
      </c>
      <c r="D1778" s="2" t="s">
        <v>10</v>
      </c>
      <c r="E1778" s="2" t="str">
        <f>HYPERLINK("http://ts.21cn.com/tousu/show/id/1332312","http://ts.21cn.com/tousu/show/id/1332312")</f>
        <v>http://ts.21cn.com/tousu/show/id/1332312</v>
      </c>
      <c r="F1778" s="2" t="s">
        <v>11</v>
      </c>
      <c r="G1778" s="2" t="s">
        <v>40647</v>
      </c>
      <c r="H1778" s="2" t="s">
        <v>40648</v>
      </c>
    </row>
    <row r="1779" spans="1:8" ht="25.05" customHeight="1" x14ac:dyDescent="0.25">
      <c r="A1779" s="2" t="s">
        <v>8</v>
      </c>
      <c r="B1779" s="2" t="str">
        <f>HYPERLINK("http://ts.21cn.com/tousu/show/id/1332313","小赢轰炸式骚扰通讯录亲戚朋友")</f>
        <v>小赢轰炸式骚扰通讯录亲戚朋友</v>
      </c>
      <c r="C1779" s="2" t="s">
        <v>9</v>
      </c>
      <c r="D1779" s="2" t="s">
        <v>10</v>
      </c>
      <c r="E1779" s="2" t="str">
        <f>HYPERLINK("http://ts.21cn.com/tousu/show/id/1332313","http://ts.21cn.com/tousu/show/id/1332313")</f>
        <v>http://ts.21cn.com/tousu/show/id/1332313</v>
      </c>
      <c r="F1779" s="2" t="s">
        <v>11</v>
      </c>
      <c r="G1779" s="2" t="s">
        <v>40645</v>
      </c>
      <c r="H1779" s="2" t="s">
        <v>40646</v>
      </c>
    </row>
    <row r="1780" spans="1:8" ht="25.05" customHeight="1" x14ac:dyDescent="0.25">
      <c r="A1780" s="2" t="s">
        <v>8</v>
      </c>
      <c r="B1780" s="2" t="str">
        <f>HYPERLINK("http://ts.21cn.com/tousu/show/id/1332314","维信金科高利贷，暴力催收")</f>
        <v>维信金科高利贷，暴力催收</v>
      </c>
      <c r="C1780" s="2" t="s">
        <v>9</v>
      </c>
      <c r="D1780" s="2" t="s">
        <v>10</v>
      </c>
      <c r="E1780" s="2" t="str">
        <f>HYPERLINK("http://ts.21cn.com/tousu/show/id/1332314","http://ts.21cn.com/tousu/show/id/1332314")</f>
        <v>http://ts.21cn.com/tousu/show/id/1332314</v>
      </c>
      <c r="F1780" s="2" t="s">
        <v>11</v>
      </c>
      <c r="G1780" s="2" t="s">
        <v>40643</v>
      </c>
      <c r="H1780" s="2" t="s">
        <v>40644</v>
      </c>
    </row>
    <row r="1781" spans="1:8" ht="25.05" customHeight="1" x14ac:dyDescent="0.25">
      <c r="A1781" s="2" t="s">
        <v>8</v>
      </c>
      <c r="B1781" s="2" t="str">
        <f>HYPERLINK("http://ts.21cn.com/tousu/show/id/1332316","胖胖有米714高利贷")</f>
        <v>胖胖有米714高利贷</v>
      </c>
      <c r="C1781" s="2" t="s">
        <v>9</v>
      </c>
      <c r="D1781" s="2" t="s">
        <v>10</v>
      </c>
      <c r="E1781" s="2" t="str">
        <f>HYPERLINK("http://ts.21cn.com/tousu/show/id/1332316","http://ts.21cn.com/tousu/show/id/1332316")</f>
        <v>http://ts.21cn.com/tousu/show/id/1332316</v>
      </c>
      <c r="F1781" s="2" t="s">
        <v>11</v>
      </c>
      <c r="G1781" s="2" t="s">
        <v>40641</v>
      </c>
      <c r="H1781" s="2" t="s">
        <v>40642</v>
      </c>
    </row>
    <row r="1782" spans="1:8" ht="25.05" customHeight="1" x14ac:dyDescent="0.25">
      <c r="A1782" s="2" t="s">
        <v>8</v>
      </c>
      <c r="B1782" s="2" t="str">
        <f>HYPERLINK("http://ts.21cn.com/tousu/show/id/1332317","小花钱包暴力催收")</f>
        <v>小花钱包暴力催收</v>
      </c>
      <c r="C1782" s="2" t="s">
        <v>9</v>
      </c>
      <c r="D1782" s="2" t="s">
        <v>10</v>
      </c>
      <c r="E1782" s="2" t="str">
        <f>HYPERLINK("http://ts.21cn.com/tousu/show/id/1332317","http://ts.21cn.com/tousu/show/id/1332317")</f>
        <v>http://ts.21cn.com/tousu/show/id/1332317</v>
      </c>
      <c r="F1782" s="2" t="s">
        <v>11</v>
      </c>
      <c r="G1782" s="2" t="s">
        <v>40639</v>
      </c>
      <c r="H1782" s="2" t="s">
        <v>40640</v>
      </c>
    </row>
    <row r="1783" spans="1:8" ht="25.05" customHeight="1" x14ac:dyDescent="0.25">
      <c r="A1783" s="2" t="s">
        <v>8</v>
      </c>
      <c r="B1783" s="2" t="str">
        <f>HYPERLINK("http://ts.21cn.com/tousu/show/id/1332318","网贷高利息")</f>
        <v>网贷高利息</v>
      </c>
      <c r="C1783" s="2" t="s">
        <v>9</v>
      </c>
      <c r="D1783" s="2" t="s">
        <v>10</v>
      </c>
      <c r="E1783" s="2" t="str">
        <f>HYPERLINK("http://ts.21cn.com/tousu/show/id/1332318","http://ts.21cn.com/tousu/show/id/1332318")</f>
        <v>http://ts.21cn.com/tousu/show/id/1332318</v>
      </c>
      <c r="F1783" s="2" t="s">
        <v>11</v>
      </c>
      <c r="G1783" s="2" t="s">
        <v>40637</v>
      </c>
      <c r="H1783" s="2" t="s">
        <v>40638</v>
      </c>
    </row>
    <row r="1784" spans="1:8" ht="25.05" customHeight="1" x14ac:dyDescent="0.25">
      <c r="A1784" s="2" t="s">
        <v>8</v>
      </c>
      <c r="B1784" s="2" t="str">
        <f>HYPERLINK("http://ts.21cn.com/tousu/show/id/1332319","华夏保险在我不知名情况从我银行卡扣钱买保险")</f>
        <v>华夏保险在我不知名情况从我银行卡扣钱买保险</v>
      </c>
      <c r="C1784" s="2" t="s">
        <v>34</v>
      </c>
      <c r="D1784" s="2" t="s">
        <v>10</v>
      </c>
      <c r="E1784" s="2" t="str">
        <f>HYPERLINK("http://ts.21cn.com/tousu/show/id/1332319","http://ts.21cn.com/tousu/show/id/1332319")</f>
        <v>http://ts.21cn.com/tousu/show/id/1332319</v>
      </c>
      <c r="F1784" s="2" t="s">
        <v>11</v>
      </c>
      <c r="G1784" s="2" t="s">
        <v>40635</v>
      </c>
      <c r="H1784" s="2" t="s">
        <v>40636</v>
      </c>
    </row>
    <row r="1785" spans="1:8" ht="25.05" customHeight="1" x14ac:dyDescent="0.25">
      <c r="A1785" s="2" t="s">
        <v>8</v>
      </c>
      <c r="B1785" s="2" t="str">
        <f>HYPERLINK("http://ts.21cn.com/tousu/show/id/1332321","钱站骚扰通讯录朋友")</f>
        <v>钱站骚扰通讯录朋友</v>
      </c>
      <c r="C1785" s="2" t="s">
        <v>9</v>
      </c>
      <c r="D1785" s="2" t="s">
        <v>10</v>
      </c>
      <c r="E1785" s="2" t="str">
        <f>HYPERLINK("http://ts.21cn.com/tousu/show/id/1332321","http://ts.21cn.com/tousu/show/id/1332321")</f>
        <v>http://ts.21cn.com/tousu/show/id/1332321</v>
      </c>
      <c r="F1785" s="2" t="s">
        <v>11</v>
      </c>
      <c r="G1785" s="2" t="s">
        <v>40633</v>
      </c>
      <c r="H1785" s="2" t="s">
        <v>40634</v>
      </c>
    </row>
    <row r="1786" spans="1:8" ht="25.05" customHeight="1" x14ac:dyDescent="0.25">
      <c r="A1786" s="2" t="s">
        <v>8</v>
      </c>
      <c r="B1786" s="2" t="str">
        <f>HYPERLINK("http://ts.21cn.com/tousu/show/id/1332320","贷上钱逾期一天就爆我通讯录")</f>
        <v>贷上钱逾期一天就爆我通讯录</v>
      </c>
      <c r="C1786" s="2" t="s">
        <v>9</v>
      </c>
      <c r="D1786" s="2" t="s">
        <v>10</v>
      </c>
      <c r="E1786" s="2" t="str">
        <f>HYPERLINK("http://ts.21cn.com/tousu/show/id/1332320","http://ts.21cn.com/tousu/show/id/1332320")</f>
        <v>http://ts.21cn.com/tousu/show/id/1332320</v>
      </c>
      <c r="F1786" s="2" t="s">
        <v>11</v>
      </c>
      <c r="G1786" s="2" t="s">
        <v>40631</v>
      </c>
      <c r="H1786" s="2" t="s">
        <v>40632</v>
      </c>
    </row>
    <row r="1787" spans="1:8" ht="25.05" customHeight="1" x14ac:dyDescent="0.25">
      <c r="A1787" s="2" t="s">
        <v>8</v>
      </c>
      <c r="B1787" s="2" t="str">
        <f>HYPERLINK("http://ts.21cn.com/tousu/show/id/1332322","责任互推")</f>
        <v>责任互推</v>
      </c>
      <c r="C1787" s="2" t="s">
        <v>9</v>
      </c>
      <c r="D1787" s="2" t="s">
        <v>10</v>
      </c>
      <c r="E1787" s="2" t="str">
        <f>HYPERLINK("http://ts.21cn.com/tousu/show/id/1332322","http://ts.21cn.com/tousu/show/id/1332322")</f>
        <v>http://ts.21cn.com/tousu/show/id/1332322</v>
      </c>
      <c r="F1787" s="2" t="s">
        <v>11</v>
      </c>
      <c r="G1787" s="2" t="s">
        <v>40629</v>
      </c>
      <c r="H1787" s="2" t="s">
        <v>40630</v>
      </c>
    </row>
    <row r="1788" spans="1:8" ht="25.05" customHeight="1" x14ac:dyDescent="0.25">
      <c r="A1788" s="2" t="s">
        <v>8</v>
      </c>
      <c r="B1788" s="2" t="str">
        <f>HYPERLINK("http://ts.21cn.com/tousu/show/id/1332323","花薪不给注销账户")</f>
        <v>花薪不给注销账户</v>
      </c>
      <c r="C1788" s="2" t="s">
        <v>34</v>
      </c>
      <c r="D1788" s="2" t="s">
        <v>10</v>
      </c>
      <c r="E1788" s="2" t="str">
        <f>HYPERLINK("http://ts.21cn.com/tousu/show/id/1332323","http://ts.21cn.com/tousu/show/id/1332323")</f>
        <v>http://ts.21cn.com/tousu/show/id/1332323</v>
      </c>
      <c r="F1788" s="2" t="s">
        <v>11</v>
      </c>
      <c r="G1788" s="2" t="s">
        <v>40627</v>
      </c>
      <c r="H1788" s="2" t="s">
        <v>40628</v>
      </c>
    </row>
    <row r="1789" spans="1:8" ht="25.05" customHeight="1" x14ac:dyDescent="0.25">
      <c r="A1789" s="2" t="s">
        <v>8</v>
      </c>
      <c r="B1789" s="2" t="str">
        <f>HYPERLINK("http://ts.21cn.com/tousu/show/id/1332324","骚扰电话")</f>
        <v>骚扰电话</v>
      </c>
      <c r="C1789" s="2" t="s">
        <v>9</v>
      </c>
      <c r="D1789" s="2" t="s">
        <v>10</v>
      </c>
      <c r="E1789" s="2" t="str">
        <f>HYPERLINK("http://ts.21cn.com/tousu/show/id/1332324","http://ts.21cn.com/tousu/show/id/1332324")</f>
        <v>http://ts.21cn.com/tousu/show/id/1332324</v>
      </c>
      <c r="F1789" s="2" t="s">
        <v>11</v>
      </c>
      <c r="G1789" s="2" t="s">
        <v>40625</v>
      </c>
      <c r="H1789" s="2" t="s">
        <v>40626</v>
      </c>
    </row>
    <row r="1790" spans="1:8" ht="25.05" customHeight="1" x14ac:dyDescent="0.25">
      <c r="A1790" s="2" t="s">
        <v>8</v>
      </c>
      <c r="B1790" s="2" t="str">
        <f>HYPERLINK("http://ts.21cn.com/tousu/show/id/1332326","安逸花无故锁定账户")</f>
        <v>安逸花无故锁定账户</v>
      </c>
      <c r="C1790" s="2" t="s">
        <v>9</v>
      </c>
      <c r="D1790" s="2" t="s">
        <v>10</v>
      </c>
      <c r="E1790" s="2" t="str">
        <f>HYPERLINK("http://ts.21cn.com/tousu/show/id/1332326","http://ts.21cn.com/tousu/show/id/1332326")</f>
        <v>http://ts.21cn.com/tousu/show/id/1332326</v>
      </c>
      <c r="F1790" s="2" t="s">
        <v>11</v>
      </c>
      <c r="G1790" s="2" t="s">
        <v>40623</v>
      </c>
      <c r="H1790" s="2" t="s">
        <v>40624</v>
      </c>
    </row>
    <row r="1791" spans="1:8" ht="25.05" customHeight="1" x14ac:dyDescent="0.25">
      <c r="A1791" s="2" t="s">
        <v>8</v>
      </c>
      <c r="B1791" s="2" t="str">
        <f>HYPERLINK("http://ts.21cn.com/tousu/show/id/1332325","乱收费、强迫消费、无提示默认购买增值服务、欺诈消费者")</f>
        <v>乱收费、强迫消费、无提示默认购买增值服务、欺诈消费者</v>
      </c>
      <c r="C1791" s="2" t="s">
        <v>9</v>
      </c>
      <c r="D1791" s="2" t="s">
        <v>10</v>
      </c>
      <c r="E1791" s="2" t="str">
        <f>HYPERLINK("http://ts.21cn.com/tousu/show/id/1332325","http://ts.21cn.com/tousu/show/id/1332325")</f>
        <v>http://ts.21cn.com/tousu/show/id/1332325</v>
      </c>
      <c r="F1791" s="2" t="s">
        <v>11</v>
      </c>
      <c r="G1791" s="2" t="s">
        <v>40621</v>
      </c>
      <c r="H1791" s="2" t="s">
        <v>40622</v>
      </c>
    </row>
    <row r="1792" spans="1:8" ht="25.05" customHeight="1" x14ac:dyDescent="0.25">
      <c r="A1792" s="2" t="s">
        <v>8</v>
      </c>
      <c r="B1792" s="2" t="str">
        <f>HYPERLINK("http://ts.21cn.com/tousu/show/id/1332327","借贷宝纵容放高利贷")</f>
        <v>借贷宝纵容放高利贷</v>
      </c>
      <c r="C1792" s="2" t="s">
        <v>9</v>
      </c>
      <c r="D1792" s="2" t="s">
        <v>10</v>
      </c>
      <c r="E1792" s="2" t="str">
        <f>HYPERLINK("http://ts.21cn.com/tousu/show/id/1332327","http://ts.21cn.com/tousu/show/id/1332327")</f>
        <v>http://ts.21cn.com/tousu/show/id/1332327</v>
      </c>
      <c r="F1792" s="2" t="s">
        <v>11</v>
      </c>
      <c r="G1792" s="2" t="s">
        <v>40619</v>
      </c>
      <c r="H1792" s="2" t="s">
        <v>40620</v>
      </c>
    </row>
    <row r="1793" spans="1:8" ht="25.05" customHeight="1" x14ac:dyDescent="0.25">
      <c r="A1793" s="2" t="s">
        <v>8</v>
      </c>
      <c r="B1793" s="2" t="str">
        <f>HYPERLINK("http://ts.21cn.com/tousu/show/id/1332328","高利贷砍头息")</f>
        <v>高利贷砍头息</v>
      </c>
      <c r="C1793" s="2" t="s">
        <v>9</v>
      </c>
      <c r="D1793" s="2" t="s">
        <v>10</v>
      </c>
      <c r="E1793" s="2" t="str">
        <f>HYPERLINK("http://ts.21cn.com/tousu/show/id/1332328","http://ts.21cn.com/tousu/show/id/1332328")</f>
        <v>http://ts.21cn.com/tousu/show/id/1332328</v>
      </c>
      <c r="F1793" s="2" t="s">
        <v>11</v>
      </c>
      <c r="G1793" s="2" t="s">
        <v>40617</v>
      </c>
      <c r="H1793" s="2" t="s">
        <v>40618</v>
      </c>
    </row>
    <row r="1794" spans="1:8" ht="25.05" customHeight="1" x14ac:dyDescent="0.25">
      <c r="A1794" s="2" t="s">
        <v>8</v>
      </c>
      <c r="B1794" s="2" t="str">
        <f>HYPERLINK("http://ts.21cn.com/tousu/show/id/1332329","贷上钱高利贷")</f>
        <v>贷上钱高利贷</v>
      </c>
      <c r="C1794" s="2" t="s">
        <v>9</v>
      </c>
      <c r="D1794" s="2" t="s">
        <v>10</v>
      </c>
      <c r="E1794" s="2" t="str">
        <f>HYPERLINK("http://ts.21cn.com/tousu/show/id/1332329","http://ts.21cn.com/tousu/show/id/1332329")</f>
        <v>http://ts.21cn.com/tousu/show/id/1332329</v>
      </c>
      <c r="F1794" s="2" t="s">
        <v>11</v>
      </c>
      <c r="G1794" s="2" t="s">
        <v>40615</v>
      </c>
      <c r="H1794" s="2" t="s">
        <v>40616</v>
      </c>
    </row>
    <row r="1795" spans="1:8" ht="25.05" customHeight="1" x14ac:dyDescent="0.25">
      <c r="A1795" s="2" t="s">
        <v>8</v>
      </c>
      <c r="B1795" s="2" t="str">
        <f>HYPERLINK("http://ts.21cn.com/tousu/show/id/1332330","套路贷，请退还砍头资金")</f>
        <v>套路贷，请退还砍头资金</v>
      </c>
      <c r="C1795" s="2" t="s">
        <v>9</v>
      </c>
      <c r="D1795" s="2" t="s">
        <v>10</v>
      </c>
      <c r="E1795" s="2" t="str">
        <f>HYPERLINK("http://ts.21cn.com/tousu/show/id/1332330","http://ts.21cn.com/tousu/show/id/1332330")</f>
        <v>http://ts.21cn.com/tousu/show/id/1332330</v>
      </c>
      <c r="F1795" s="2" t="s">
        <v>11</v>
      </c>
      <c r="G1795" s="2" t="s">
        <v>40613</v>
      </c>
      <c r="H1795" s="2" t="s">
        <v>40614</v>
      </c>
    </row>
    <row r="1796" spans="1:8" ht="25.05" customHeight="1" x14ac:dyDescent="0.25">
      <c r="A1796" s="2" t="s">
        <v>8</v>
      </c>
      <c r="B1796" s="2" t="str">
        <f>HYPERLINK("http://ts.21cn.com/tousu/show/id/1332331","微品分期恐吓高利贷砍头息")</f>
        <v>微品分期恐吓高利贷砍头息</v>
      </c>
      <c r="C1796" s="2" t="s">
        <v>9</v>
      </c>
      <c r="D1796" s="2" t="s">
        <v>10</v>
      </c>
      <c r="E1796" s="2" t="str">
        <f>HYPERLINK("http://ts.21cn.com/tousu/show/id/1332331","http://ts.21cn.com/tousu/show/id/1332331")</f>
        <v>http://ts.21cn.com/tousu/show/id/1332331</v>
      </c>
      <c r="F1796" s="2" t="s">
        <v>11</v>
      </c>
      <c r="G1796" s="2" t="s">
        <v>40611</v>
      </c>
      <c r="H1796" s="2" t="s">
        <v>40612</v>
      </c>
    </row>
    <row r="1797" spans="1:8" ht="25.05" customHeight="1" x14ac:dyDescent="0.25">
      <c r="A1797" s="2" t="s">
        <v>8</v>
      </c>
      <c r="B1797" s="2" t="str">
        <f>HYPERLINK("http://ts.21cn.com/tousu/show/id/1332334","催收辱骂")</f>
        <v>催收辱骂</v>
      </c>
      <c r="C1797" s="2" t="s">
        <v>9</v>
      </c>
      <c r="D1797" s="2" t="s">
        <v>10</v>
      </c>
      <c r="E1797" s="2" t="str">
        <f>HYPERLINK("http://ts.21cn.com/tousu/show/id/1332334","http://ts.21cn.com/tousu/show/id/1332334")</f>
        <v>http://ts.21cn.com/tousu/show/id/1332334</v>
      </c>
      <c r="F1797" s="2" t="s">
        <v>11</v>
      </c>
      <c r="G1797" s="2" t="s">
        <v>40609</v>
      </c>
      <c r="H1797" s="2" t="s">
        <v>40610</v>
      </c>
    </row>
    <row r="1798" spans="1:8" ht="25.05" customHeight="1" x14ac:dyDescent="0.25">
      <c r="A1798" s="2" t="s">
        <v>8</v>
      </c>
      <c r="B1798" s="2" t="str">
        <f>HYPERLINK("http://ts.21cn.com/tousu/show/id/1332332","蜜瓜钱包高利贷，还款日直接电话骚扰通讯录")</f>
        <v>蜜瓜钱包高利贷，还款日直接电话骚扰通讯录</v>
      </c>
      <c r="C1798" s="2" t="s">
        <v>9</v>
      </c>
      <c r="D1798" s="2" t="s">
        <v>10</v>
      </c>
      <c r="E1798" s="2" t="str">
        <f>HYPERLINK("http://ts.21cn.com/tousu/show/id/1332332","http://ts.21cn.com/tousu/show/id/1332332")</f>
        <v>http://ts.21cn.com/tousu/show/id/1332332</v>
      </c>
      <c r="F1798" s="2" t="s">
        <v>11</v>
      </c>
      <c r="G1798" s="2" t="s">
        <v>40607</v>
      </c>
      <c r="H1798" s="2" t="s">
        <v>40608</v>
      </c>
    </row>
    <row r="1799" spans="1:8" ht="25.05" customHeight="1" x14ac:dyDescent="0.25">
      <c r="A1799" s="2" t="s">
        <v>8</v>
      </c>
      <c r="B1799" s="2" t="str">
        <f>HYPERLINK("http://ts.21cn.com/tousu/show/id/1332333","百事普惠未经许可扣除账户299元，网上众多网友被坑299元，为何这种平台还存在！")</f>
        <v>百事普惠未经许可扣除账户299元，网上众多网友被坑299元，为何这种平台还存在！</v>
      </c>
      <c r="C1799" s="2" t="s">
        <v>9</v>
      </c>
      <c r="D1799" s="2" t="s">
        <v>10</v>
      </c>
      <c r="E1799" s="2" t="str">
        <f>HYPERLINK("http://ts.21cn.com/tousu/show/id/1332333","http://ts.21cn.com/tousu/show/id/1332333")</f>
        <v>http://ts.21cn.com/tousu/show/id/1332333</v>
      </c>
      <c r="F1799" s="2" t="s">
        <v>11</v>
      </c>
      <c r="G1799" s="2" t="s">
        <v>40605</v>
      </c>
      <c r="H1799" s="2" t="s">
        <v>40606</v>
      </c>
    </row>
    <row r="1800" spans="1:8" ht="25.05" customHeight="1" x14ac:dyDescent="0.25">
      <c r="A1800" s="2" t="s">
        <v>8</v>
      </c>
      <c r="B1800" s="2" t="str">
        <f>HYPERLINK("http://ts.21cn.com/tousu/show/id/1332335","贷上钱")</f>
        <v>贷上钱</v>
      </c>
      <c r="C1800" s="2" t="s">
        <v>9</v>
      </c>
      <c r="D1800" s="2" t="s">
        <v>10</v>
      </c>
      <c r="E1800" s="2" t="str">
        <f>HYPERLINK("http://ts.21cn.com/tousu/show/id/1332335","http://ts.21cn.com/tousu/show/id/1332335")</f>
        <v>http://ts.21cn.com/tousu/show/id/1332335</v>
      </c>
      <c r="F1800" s="2" t="s">
        <v>11</v>
      </c>
      <c r="G1800" s="2" t="s">
        <v>40603</v>
      </c>
      <c r="H1800" s="2" t="s">
        <v>40604</v>
      </c>
    </row>
    <row r="1801" spans="1:8" ht="25.05" customHeight="1" x14ac:dyDescent="0.25">
      <c r="A1801" s="2" t="s">
        <v>8</v>
      </c>
      <c r="B1801" s="2" t="str">
        <f>HYPERLINK("http://ts.21cn.com/tousu/show/id/1332337","中腾信恶意骚扰威胁")</f>
        <v>中腾信恶意骚扰威胁</v>
      </c>
      <c r="C1801" s="2" t="s">
        <v>9</v>
      </c>
      <c r="D1801" s="2" t="s">
        <v>10</v>
      </c>
      <c r="E1801" s="2" t="str">
        <f>HYPERLINK("http://ts.21cn.com/tousu/show/id/1332337","http://ts.21cn.com/tousu/show/id/1332337")</f>
        <v>http://ts.21cn.com/tousu/show/id/1332337</v>
      </c>
      <c r="F1801" s="2" t="s">
        <v>11</v>
      </c>
      <c r="G1801" s="2" t="s">
        <v>40601</v>
      </c>
      <c r="H1801" s="2" t="s">
        <v>40602</v>
      </c>
    </row>
    <row r="1802" spans="1:8" ht="25.05" customHeight="1" x14ac:dyDescent="0.25">
      <c r="A1802" s="2" t="s">
        <v>8</v>
      </c>
      <c r="B1802" s="2" t="str">
        <f>HYPERLINK("http://ts.21cn.com/tousu/show/id/1332338","餐厅放炮影响居民生活")</f>
        <v>餐厅放炮影响居民生活</v>
      </c>
      <c r="C1802" s="2" t="s">
        <v>9</v>
      </c>
      <c r="D1802" s="2" t="s">
        <v>10</v>
      </c>
      <c r="E1802" s="2" t="str">
        <f>HYPERLINK("http://ts.21cn.com/tousu/show/id/1332338","http://ts.21cn.com/tousu/show/id/1332338")</f>
        <v>http://ts.21cn.com/tousu/show/id/1332338</v>
      </c>
      <c r="F1802" s="2" t="s">
        <v>11</v>
      </c>
      <c r="G1802" s="2" t="s">
        <v>40599</v>
      </c>
      <c r="H1802" s="2" t="s">
        <v>40600</v>
      </c>
    </row>
    <row r="1803" spans="1:8" ht="25.05" customHeight="1" x14ac:dyDescent="0.25">
      <c r="A1803" s="2" t="s">
        <v>8</v>
      </c>
      <c r="B1803" s="2" t="str">
        <f>HYPERLINK("http://ts.21cn.com/tousu/show/id/1332339","交通银行信用卡问题")</f>
        <v>交通银行信用卡问题</v>
      </c>
      <c r="C1803" s="2" t="s">
        <v>9</v>
      </c>
      <c r="D1803" s="2" t="s">
        <v>10</v>
      </c>
      <c r="E1803" s="2" t="str">
        <f>HYPERLINK("http://ts.21cn.com/tousu/show/id/1332339","http://ts.21cn.com/tousu/show/id/1332339")</f>
        <v>http://ts.21cn.com/tousu/show/id/1332339</v>
      </c>
      <c r="F1803" s="2" t="s">
        <v>11</v>
      </c>
      <c r="G1803" s="2" t="s">
        <v>40597</v>
      </c>
      <c r="H1803" s="2" t="s">
        <v>40598</v>
      </c>
    </row>
    <row r="1804" spans="1:8" ht="25.05" customHeight="1" x14ac:dyDescent="0.25">
      <c r="A1804" s="2" t="s">
        <v>8</v>
      </c>
      <c r="B1804" s="2" t="str">
        <f>HYPERLINK("http://ts.21cn.com/tousu/show/id/1332340","协商还款")</f>
        <v>协商还款</v>
      </c>
      <c r="C1804" s="2" t="s">
        <v>9</v>
      </c>
      <c r="D1804" s="2" t="s">
        <v>10</v>
      </c>
      <c r="E1804" s="2" t="str">
        <f>HYPERLINK("http://ts.21cn.com/tousu/show/id/1332340","http://ts.21cn.com/tousu/show/id/1332340")</f>
        <v>http://ts.21cn.com/tousu/show/id/1332340</v>
      </c>
      <c r="F1804" s="2" t="s">
        <v>11</v>
      </c>
      <c r="G1804" s="2" t="s">
        <v>40595</v>
      </c>
      <c r="H1804" s="2" t="s">
        <v>40596</v>
      </c>
    </row>
    <row r="1805" spans="1:8" ht="25.05" customHeight="1" x14ac:dyDescent="0.25">
      <c r="A1805" s="2" t="s">
        <v>8</v>
      </c>
      <c r="B1805" s="2" t="str">
        <f>HYPERLINK("http://ts.21cn.com/tousu/show/id/1332342","钱站后台太大，在这投诉没用，还有没有投诉钱站的平台")</f>
        <v>钱站后台太大，在这投诉没用，还有没有投诉钱站的平台</v>
      </c>
      <c r="C1805" s="2" t="s">
        <v>9</v>
      </c>
      <c r="D1805" s="2" t="s">
        <v>10</v>
      </c>
      <c r="E1805" s="2" t="str">
        <f>HYPERLINK("http://ts.21cn.com/tousu/show/id/1332342","http://ts.21cn.com/tousu/show/id/1332342")</f>
        <v>http://ts.21cn.com/tousu/show/id/1332342</v>
      </c>
      <c r="F1805" s="2" t="s">
        <v>11</v>
      </c>
      <c r="G1805" s="2" t="s">
        <v>40593</v>
      </c>
      <c r="H1805" s="2" t="s">
        <v>40594</v>
      </c>
    </row>
    <row r="1806" spans="1:8" ht="25.05" customHeight="1" x14ac:dyDescent="0.25">
      <c r="A1806" s="2" t="s">
        <v>8</v>
      </c>
      <c r="B1806" s="2" t="str">
        <f>HYPERLINK("http://ts.21cn.com/tousu/show/id/1332345","小赢卡贷高息打电话骚扰威胁我亲朋好友")</f>
        <v>小赢卡贷高息打电话骚扰威胁我亲朋好友</v>
      </c>
      <c r="C1806" s="2" t="s">
        <v>9</v>
      </c>
      <c r="D1806" s="2" t="s">
        <v>10</v>
      </c>
      <c r="E1806" s="2" t="str">
        <f>HYPERLINK("http://ts.21cn.com/tousu/show/id/1332345","http://ts.21cn.com/tousu/show/id/1332345")</f>
        <v>http://ts.21cn.com/tousu/show/id/1332345</v>
      </c>
      <c r="F1806" s="2" t="s">
        <v>11</v>
      </c>
      <c r="G1806" s="2" t="s">
        <v>40591</v>
      </c>
      <c r="H1806" s="2" t="s">
        <v>40592</v>
      </c>
    </row>
    <row r="1807" spans="1:8" ht="25.05" customHeight="1" x14ac:dyDescent="0.25">
      <c r="A1807" s="2" t="s">
        <v>8</v>
      </c>
      <c r="B1807" s="2" t="str">
        <f>HYPERLINK("http://ts.21cn.com/tousu/show/id/1332344","违规网贷平台收取高额利息")</f>
        <v>违规网贷平台收取高额利息</v>
      </c>
      <c r="C1807" s="2" t="s">
        <v>9</v>
      </c>
      <c r="D1807" s="2" t="s">
        <v>10</v>
      </c>
      <c r="E1807" s="2" t="str">
        <f>HYPERLINK("http://ts.21cn.com/tousu/show/id/1332344","http://ts.21cn.com/tousu/show/id/1332344")</f>
        <v>http://ts.21cn.com/tousu/show/id/1332344</v>
      </c>
      <c r="F1807" s="2" t="s">
        <v>11</v>
      </c>
      <c r="G1807" s="2" t="s">
        <v>40589</v>
      </c>
      <c r="H1807" s="2" t="s">
        <v>40590</v>
      </c>
    </row>
    <row r="1808" spans="1:8" ht="25.05" customHeight="1" x14ac:dyDescent="0.25">
      <c r="A1808" s="2" t="s">
        <v>8</v>
      </c>
      <c r="B1808" s="2" t="str">
        <f>HYPERLINK("http://ts.21cn.com/tousu/show/id/1332346","协商还款被拒")</f>
        <v>协商还款被拒</v>
      </c>
      <c r="C1808" s="2" t="s">
        <v>9</v>
      </c>
      <c r="D1808" s="2" t="s">
        <v>10</v>
      </c>
      <c r="E1808" s="2" t="str">
        <f>HYPERLINK("http://ts.21cn.com/tousu/show/id/1332346","http://ts.21cn.com/tousu/show/id/1332346")</f>
        <v>http://ts.21cn.com/tousu/show/id/1332346</v>
      </c>
      <c r="F1808" s="2" t="s">
        <v>11</v>
      </c>
      <c r="G1808" s="2" t="s">
        <v>40587</v>
      </c>
      <c r="H1808" s="2" t="s">
        <v>40588</v>
      </c>
    </row>
    <row r="1809" spans="1:8" ht="25.05" customHeight="1" x14ac:dyDescent="0.25">
      <c r="A1809" s="2" t="s">
        <v>8</v>
      </c>
      <c r="B1809" s="2" t="str">
        <f>HYPERLINK("http://ts.21cn.com/tousu/show/id/1332336","小赢卡贷，合同与实际还款利息不一致，协商提前还款被拒，请帮忙反馈（本人有意向提前结清（按合同约定7.2%年息提前结清）")</f>
        <v>小赢卡贷，合同与实际还款利息不一致，协商提前还款被拒，请帮忙反馈（本人有意向提前结清（按合同约定7.2%年息提前结清）</v>
      </c>
      <c r="C1809" s="2" t="s">
        <v>9</v>
      </c>
      <c r="D1809" s="2" t="s">
        <v>10</v>
      </c>
      <c r="E1809" s="2" t="str">
        <f>HYPERLINK("http://ts.21cn.com/tousu/show/id/1332336","http://ts.21cn.com/tousu/show/id/1332336")</f>
        <v>http://ts.21cn.com/tousu/show/id/1332336</v>
      </c>
      <c r="F1809" s="2" t="s">
        <v>11</v>
      </c>
      <c r="G1809" s="2" t="s">
        <v>40585</v>
      </c>
      <c r="H1809" s="2" t="s">
        <v>40586</v>
      </c>
    </row>
    <row r="1810" spans="1:8" ht="25.05" customHeight="1" x14ac:dyDescent="0.25">
      <c r="A1810" s="2" t="s">
        <v>8</v>
      </c>
      <c r="B1810" s="2" t="str">
        <f>HYPERLINK("http://ts.21cn.com/tousu/show/id/1332349","叮当想花网贷平台自动确认借款，而且是高利贷，砍头息")</f>
        <v>叮当想花网贷平台自动确认借款，而且是高利贷，砍头息</v>
      </c>
      <c r="C1810" s="2" t="s">
        <v>9</v>
      </c>
      <c r="D1810" s="2" t="s">
        <v>10</v>
      </c>
      <c r="E1810" s="2" t="str">
        <f>HYPERLINK("http://ts.21cn.com/tousu/show/id/1332349","http://ts.21cn.com/tousu/show/id/1332349")</f>
        <v>http://ts.21cn.com/tousu/show/id/1332349</v>
      </c>
      <c r="F1810" s="2" t="s">
        <v>11</v>
      </c>
      <c r="G1810" s="2" t="s">
        <v>40583</v>
      </c>
      <c r="H1810" s="2" t="s">
        <v>40584</v>
      </c>
    </row>
    <row r="1811" spans="1:8" ht="25.05" customHeight="1" x14ac:dyDescent="0.25">
      <c r="A1811" s="2" t="s">
        <v>8</v>
      </c>
      <c r="B1811" s="2" t="str">
        <f>HYPERLINK("http://ts.21cn.com/tousu/show/id/1332348","诱导购买拒不发货")</f>
        <v>诱导购买拒不发货</v>
      </c>
      <c r="C1811" s="2" t="s">
        <v>9</v>
      </c>
      <c r="D1811" s="2" t="s">
        <v>10</v>
      </c>
      <c r="E1811" s="2" t="str">
        <f>HYPERLINK("http://ts.21cn.com/tousu/show/id/1332348","http://ts.21cn.com/tousu/show/id/1332348")</f>
        <v>http://ts.21cn.com/tousu/show/id/1332348</v>
      </c>
      <c r="F1811" s="2" t="s">
        <v>11</v>
      </c>
      <c r="G1811" s="2" t="s">
        <v>40581</v>
      </c>
      <c r="H1811" s="2" t="s">
        <v>40582</v>
      </c>
    </row>
    <row r="1812" spans="1:8" ht="25.05" customHeight="1" x14ac:dyDescent="0.25">
      <c r="A1812" s="2" t="s">
        <v>8</v>
      </c>
      <c r="B1812" s="2" t="str">
        <f>HYPERLINK("http://ts.21cn.com/tousu/show/id/1332350","高利贷，阴阳合同")</f>
        <v>高利贷，阴阳合同</v>
      </c>
      <c r="C1812" s="2" t="s">
        <v>9</v>
      </c>
      <c r="D1812" s="2" t="s">
        <v>10</v>
      </c>
      <c r="E1812" s="2" t="str">
        <f>HYPERLINK("http://ts.21cn.com/tousu/show/id/1332350","http://ts.21cn.com/tousu/show/id/1332350")</f>
        <v>http://ts.21cn.com/tousu/show/id/1332350</v>
      </c>
      <c r="F1812" s="2" t="s">
        <v>11</v>
      </c>
      <c r="G1812" s="2" t="s">
        <v>40579</v>
      </c>
      <c r="H1812" s="2" t="s">
        <v>40580</v>
      </c>
    </row>
    <row r="1813" spans="1:8" ht="25.05" customHeight="1" x14ac:dyDescent="0.25">
      <c r="A1813" s="2" t="s">
        <v>8</v>
      </c>
      <c r="B1813" s="2" t="str">
        <f>HYPERLINK("http://ts.21cn.com/tousu/show/id/1332352","小黑鲨高利贷")</f>
        <v>小黑鲨高利贷</v>
      </c>
      <c r="C1813" s="2" t="s">
        <v>9</v>
      </c>
      <c r="D1813" s="2" t="s">
        <v>10</v>
      </c>
      <c r="E1813" s="2" t="str">
        <f>HYPERLINK("http://ts.21cn.com/tousu/show/id/1332352","http://ts.21cn.com/tousu/show/id/1332352")</f>
        <v>http://ts.21cn.com/tousu/show/id/1332352</v>
      </c>
      <c r="F1813" s="2" t="s">
        <v>11</v>
      </c>
      <c r="G1813" s="2" t="s">
        <v>40577</v>
      </c>
      <c r="H1813" s="2" t="s">
        <v>40578</v>
      </c>
    </row>
    <row r="1814" spans="1:8" ht="25.05" customHeight="1" x14ac:dyDescent="0.25">
      <c r="A1814" s="2" t="s">
        <v>8</v>
      </c>
      <c r="B1814" s="2" t="str">
        <f>HYPERLINK("http://ts.21cn.com/tousu/show/id/1332353","高利贷，套路贷")</f>
        <v>高利贷，套路贷</v>
      </c>
      <c r="C1814" s="2" t="s">
        <v>9</v>
      </c>
      <c r="D1814" s="2" t="s">
        <v>10</v>
      </c>
      <c r="E1814" s="2" t="str">
        <f>HYPERLINK("http://ts.21cn.com/tousu/show/id/1332353","http://ts.21cn.com/tousu/show/id/1332353")</f>
        <v>http://ts.21cn.com/tousu/show/id/1332353</v>
      </c>
      <c r="F1814" s="2" t="s">
        <v>11</v>
      </c>
      <c r="G1814" s="2" t="s">
        <v>40575</v>
      </c>
      <c r="H1814" s="2" t="s">
        <v>40576</v>
      </c>
    </row>
    <row r="1815" spans="1:8" ht="25.05" customHeight="1" x14ac:dyDescent="0.25">
      <c r="A1815" s="2" t="s">
        <v>8</v>
      </c>
      <c r="B1815" s="2" t="str">
        <f>HYPERLINK("http://ts.21cn.com/tousu/show/id/1332354","转转集体投诉专题")</f>
        <v>转转集体投诉专题</v>
      </c>
      <c r="C1815" s="2" t="s">
        <v>9</v>
      </c>
      <c r="D1815" s="2" t="s">
        <v>10</v>
      </c>
      <c r="E1815" s="2" t="str">
        <f>HYPERLINK("http://ts.21cn.com/tousu/show/id/1332354","http://ts.21cn.com/tousu/show/id/1332354")</f>
        <v>http://ts.21cn.com/tousu/show/id/1332354</v>
      </c>
      <c r="F1815" s="2" t="s">
        <v>11</v>
      </c>
      <c r="G1815" s="2" t="s">
        <v>40573</v>
      </c>
      <c r="H1815" s="2" t="s">
        <v>40574</v>
      </c>
    </row>
    <row r="1816" spans="1:8" ht="25.05" customHeight="1" x14ac:dyDescent="0.25">
      <c r="A1816" s="2" t="s">
        <v>8</v>
      </c>
      <c r="B1816" s="2" t="str">
        <f>HYPERLINK("http://ts.21cn.com/tousu/show/id/1332355","欺瞒消费者")</f>
        <v>欺瞒消费者</v>
      </c>
      <c r="C1816" s="2" t="s">
        <v>9</v>
      </c>
      <c r="D1816" s="2" t="s">
        <v>10</v>
      </c>
      <c r="E1816" s="2" t="str">
        <f>HYPERLINK("http://ts.21cn.com/tousu/show/id/1332355","http://ts.21cn.com/tousu/show/id/1332355")</f>
        <v>http://ts.21cn.com/tousu/show/id/1332355</v>
      </c>
      <c r="F1816" s="2" t="s">
        <v>11</v>
      </c>
      <c r="G1816" s="2" t="s">
        <v>40571</v>
      </c>
      <c r="H1816" s="2" t="s">
        <v>40572</v>
      </c>
    </row>
    <row r="1817" spans="1:8" ht="25.05" customHeight="1" x14ac:dyDescent="0.25">
      <c r="A1817" s="2" t="s">
        <v>8</v>
      </c>
      <c r="B1817" s="2" t="str">
        <f>HYPERLINK("http://ts.21cn.com/tousu/show/id/1332356","飞机时间出错不给赔偿")</f>
        <v>飞机时间出错不给赔偿</v>
      </c>
      <c r="C1817" s="2" t="s">
        <v>9</v>
      </c>
      <c r="D1817" s="2" t="s">
        <v>10</v>
      </c>
      <c r="E1817" s="2" t="str">
        <f>HYPERLINK("http://ts.21cn.com/tousu/show/id/1332356","http://ts.21cn.com/tousu/show/id/1332356")</f>
        <v>http://ts.21cn.com/tousu/show/id/1332356</v>
      </c>
      <c r="F1817" s="2" t="s">
        <v>11</v>
      </c>
      <c r="G1817" s="2" t="s">
        <v>40569</v>
      </c>
      <c r="H1817" s="2" t="s">
        <v>40570</v>
      </c>
    </row>
    <row r="1818" spans="1:8" ht="25.05" customHeight="1" x14ac:dyDescent="0.25">
      <c r="A1818" s="2" t="s">
        <v>8</v>
      </c>
      <c r="B1818" s="2" t="str">
        <f>HYPERLINK("http://ts.21cn.com/tousu/show/id/1332357","贷款平台扣砍头利息")</f>
        <v>贷款平台扣砍头利息</v>
      </c>
      <c r="C1818" s="2" t="s">
        <v>34</v>
      </c>
      <c r="D1818" s="2" t="s">
        <v>10</v>
      </c>
      <c r="E1818" s="2" t="str">
        <f>HYPERLINK("http://ts.21cn.com/tousu/show/id/1332357","http://ts.21cn.com/tousu/show/id/1332357")</f>
        <v>http://ts.21cn.com/tousu/show/id/1332357</v>
      </c>
      <c r="F1818" s="2" t="s">
        <v>11</v>
      </c>
      <c r="G1818" s="2" t="s">
        <v>40567</v>
      </c>
      <c r="H1818" s="2" t="s">
        <v>40568</v>
      </c>
    </row>
    <row r="1819" spans="1:8" ht="25.05" customHeight="1" x14ac:dyDescent="0.25">
      <c r="A1819" s="2" t="s">
        <v>8</v>
      </c>
      <c r="B1819" s="2" t="str">
        <f>HYPERLINK("http://ts.21cn.com/tousu/show/id/1332358","百度有钱花在能联系到我，说明了我的原因情况下，联系我的前女友")</f>
        <v>百度有钱花在能联系到我，说明了我的原因情况下，联系我的前女友</v>
      </c>
      <c r="C1819" s="2" t="s">
        <v>9</v>
      </c>
      <c r="D1819" s="2" t="s">
        <v>10</v>
      </c>
      <c r="E1819" s="2" t="str">
        <f>HYPERLINK("http://ts.21cn.com/tousu/show/id/1332358","http://ts.21cn.com/tousu/show/id/1332358")</f>
        <v>http://ts.21cn.com/tousu/show/id/1332358</v>
      </c>
      <c r="F1819" s="2" t="s">
        <v>11</v>
      </c>
      <c r="G1819" s="2" t="s">
        <v>40565</v>
      </c>
      <c r="H1819" s="2" t="s">
        <v>40566</v>
      </c>
    </row>
    <row r="1820" spans="1:8" ht="25.05" customHeight="1" x14ac:dyDescent="0.25">
      <c r="A1820" s="2" t="s">
        <v>8</v>
      </c>
      <c r="B1820" s="2" t="str">
        <f>HYPERLINK("http://ts.21cn.com/tousu/show/id/1332359","点点通收取高额服务费")</f>
        <v>点点通收取高额服务费</v>
      </c>
      <c r="C1820" s="2" t="s">
        <v>9</v>
      </c>
      <c r="D1820" s="2" t="s">
        <v>10</v>
      </c>
      <c r="E1820" s="2" t="str">
        <f>HYPERLINK("http://ts.21cn.com/tousu/show/id/1332359","http://ts.21cn.com/tousu/show/id/1332359")</f>
        <v>http://ts.21cn.com/tousu/show/id/1332359</v>
      </c>
      <c r="F1820" s="2" t="s">
        <v>11</v>
      </c>
      <c r="G1820" s="2" t="s">
        <v>40563</v>
      </c>
      <c r="H1820" s="2" t="s">
        <v>40564</v>
      </c>
    </row>
    <row r="1821" spans="1:8" ht="25.05" customHeight="1" x14ac:dyDescent="0.25">
      <c r="A1821" s="2" t="s">
        <v>8</v>
      </c>
      <c r="B1821" s="2" t="str">
        <f>HYPERLINK("http://ts.21cn.com/tousu/show/id/1332360","牛人有品威胁爆通讯录")</f>
        <v>牛人有品威胁爆通讯录</v>
      </c>
      <c r="C1821" s="2" t="s">
        <v>9</v>
      </c>
      <c r="D1821" s="2" t="s">
        <v>10</v>
      </c>
      <c r="E1821" s="2" t="str">
        <f>HYPERLINK("http://ts.21cn.com/tousu/show/id/1332360","http://ts.21cn.com/tousu/show/id/1332360")</f>
        <v>http://ts.21cn.com/tousu/show/id/1332360</v>
      </c>
      <c r="F1821" s="2" t="s">
        <v>11</v>
      </c>
      <c r="G1821" s="2" t="s">
        <v>40561</v>
      </c>
      <c r="H1821" s="2" t="s">
        <v>40562</v>
      </c>
    </row>
    <row r="1822" spans="1:8" ht="25.05" customHeight="1" x14ac:dyDescent="0.25">
      <c r="A1822" s="2" t="s">
        <v>8</v>
      </c>
      <c r="B1822" s="2" t="str">
        <f>HYPERLINK("http://ts.21cn.com/tousu/show/id/1332361","714高炮，砍头息")</f>
        <v>714高炮，砍头息</v>
      </c>
      <c r="C1822" s="2" t="s">
        <v>9</v>
      </c>
      <c r="D1822" s="2" t="s">
        <v>10</v>
      </c>
      <c r="E1822" s="2" t="str">
        <f>HYPERLINK("http://ts.21cn.com/tousu/show/id/1332361","http://ts.21cn.com/tousu/show/id/1332361")</f>
        <v>http://ts.21cn.com/tousu/show/id/1332361</v>
      </c>
      <c r="F1822" s="2" t="s">
        <v>11</v>
      </c>
      <c r="G1822" s="2" t="s">
        <v>40559</v>
      </c>
      <c r="H1822" s="2" t="s">
        <v>40560</v>
      </c>
    </row>
    <row r="1823" spans="1:8" ht="25.05" customHeight="1" x14ac:dyDescent="0.25">
      <c r="A1823" s="2" t="s">
        <v>8</v>
      </c>
      <c r="B1823" s="2" t="str">
        <f>HYPERLINK("http://ts.21cn.com/tousu/show/id/1332362","变相收取高额砍头息")</f>
        <v>变相收取高额砍头息</v>
      </c>
      <c r="C1823" s="2" t="s">
        <v>9</v>
      </c>
      <c r="D1823" s="2" t="s">
        <v>10</v>
      </c>
      <c r="E1823" s="2" t="str">
        <f>HYPERLINK("http://ts.21cn.com/tousu/show/id/1332362","http://ts.21cn.com/tousu/show/id/1332362")</f>
        <v>http://ts.21cn.com/tousu/show/id/1332362</v>
      </c>
      <c r="F1823" s="2" t="s">
        <v>11</v>
      </c>
      <c r="G1823" s="2" t="s">
        <v>40557</v>
      </c>
      <c r="H1823" s="2" t="s">
        <v>40558</v>
      </c>
    </row>
    <row r="1824" spans="1:8" ht="25.05" customHeight="1" x14ac:dyDescent="0.25">
      <c r="A1824" s="2" t="s">
        <v>8</v>
      </c>
      <c r="B1824" s="2" t="str">
        <f>HYPERLINK("http://ts.21cn.com/tousu/show/id/1332363","先花一亿元暴力催收")</f>
        <v>先花一亿元暴力催收</v>
      </c>
      <c r="C1824" s="2" t="s">
        <v>9</v>
      </c>
      <c r="D1824" s="2" t="s">
        <v>10</v>
      </c>
      <c r="E1824" s="2" t="str">
        <f>HYPERLINK("http://ts.21cn.com/tousu/show/id/1332363","http://ts.21cn.com/tousu/show/id/1332363")</f>
        <v>http://ts.21cn.com/tousu/show/id/1332363</v>
      </c>
      <c r="F1824" s="2" t="s">
        <v>11</v>
      </c>
      <c r="G1824" s="2" t="s">
        <v>40555</v>
      </c>
      <c r="H1824" s="2" t="s">
        <v>40556</v>
      </c>
    </row>
    <row r="1825" spans="1:8" ht="25.05" customHeight="1" x14ac:dyDescent="0.25">
      <c r="A1825" s="2" t="s">
        <v>8</v>
      </c>
      <c r="B1825" s="2" t="str">
        <f>HYPERLINK("http://ts.21cn.com/tousu/show/id/1332364","霸王条款，欺负新人骑手损害他人名誉")</f>
        <v>霸王条款，欺负新人骑手损害他人名誉</v>
      </c>
      <c r="C1825" s="2" t="s">
        <v>9</v>
      </c>
      <c r="D1825" s="2" t="s">
        <v>10</v>
      </c>
      <c r="E1825" s="2" t="str">
        <f>HYPERLINK("http://ts.21cn.com/tousu/show/id/1332364","http://ts.21cn.com/tousu/show/id/1332364")</f>
        <v>http://ts.21cn.com/tousu/show/id/1332364</v>
      </c>
      <c r="F1825" s="2" t="s">
        <v>11</v>
      </c>
      <c r="G1825" s="2" t="s">
        <v>40553</v>
      </c>
      <c r="H1825" s="2" t="s">
        <v>40554</v>
      </c>
    </row>
    <row r="1826" spans="1:8" ht="25.05" customHeight="1" x14ac:dyDescent="0.25">
      <c r="A1826" s="2" t="s">
        <v>8</v>
      </c>
      <c r="B1826" s="2" t="str">
        <f>HYPERLINK("http://ts.21cn.com/tousu/show/id/1332365","新意花高利贷")</f>
        <v>新意花高利贷</v>
      </c>
      <c r="C1826" s="2" t="s">
        <v>9</v>
      </c>
      <c r="D1826" s="2" t="s">
        <v>10</v>
      </c>
      <c r="E1826" s="2" t="str">
        <f>HYPERLINK("http://ts.21cn.com/tousu/show/id/1332365","http://ts.21cn.com/tousu/show/id/1332365")</f>
        <v>http://ts.21cn.com/tousu/show/id/1332365</v>
      </c>
      <c r="F1826" s="2" t="s">
        <v>11</v>
      </c>
      <c r="G1826" s="2" t="s">
        <v>40551</v>
      </c>
      <c r="H1826" s="2" t="s">
        <v>40552</v>
      </c>
    </row>
    <row r="1827" spans="1:8" ht="25.05" customHeight="1" x14ac:dyDescent="0.25">
      <c r="A1827" s="2" t="s">
        <v>8</v>
      </c>
      <c r="B1827" s="2" t="str">
        <f>HYPERLINK("http://ts.21cn.com/tousu/show/id/1332366","特约中建投银企入金无卡消费扣除我交行卡上现金")</f>
        <v>特约中建投银企入金无卡消费扣除我交行卡上现金</v>
      </c>
      <c r="C1827" s="2" t="s">
        <v>9</v>
      </c>
      <c r="D1827" s="2" t="s">
        <v>10</v>
      </c>
      <c r="E1827" s="2" t="str">
        <f>HYPERLINK("http://ts.21cn.com/tousu/show/id/1332366","http://ts.21cn.com/tousu/show/id/1332366")</f>
        <v>http://ts.21cn.com/tousu/show/id/1332366</v>
      </c>
      <c r="F1827" s="2" t="s">
        <v>11</v>
      </c>
      <c r="G1827" s="2" t="s">
        <v>40549</v>
      </c>
      <c r="H1827" s="2" t="s">
        <v>40550</v>
      </c>
    </row>
    <row r="1828" spans="1:8" ht="25.05" customHeight="1" x14ac:dyDescent="0.25">
      <c r="A1828" s="2" t="s">
        <v>8</v>
      </c>
      <c r="B1828" s="2" t="str">
        <f>HYPERLINK("http://ts.21cn.com/tousu/show/id/1332368","要求减免剩下部分费用")</f>
        <v>要求减免剩下部分费用</v>
      </c>
      <c r="C1828" s="2" t="s">
        <v>34</v>
      </c>
      <c r="D1828" s="2" t="s">
        <v>10</v>
      </c>
      <c r="E1828" s="2" t="str">
        <f>HYPERLINK("http://ts.21cn.com/tousu/show/id/1332368","http://ts.21cn.com/tousu/show/id/1332368")</f>
        <v>http://ts.21cn.com/tousu/show/id/1332368</v>
      </c>
      <c r="F1828" s="2" t="s">
        <v>11</v>
      </c>
      <c r="G1828" s="2" t="s">
        <v>40547</v>
      </c>
      <c r="H1828" s="2" t="s">
        <v>40548</v>
      </c>
    </row>
    <row r="1829" spans="1:8" ht="25.05" customHeight="1" x14ac:dyDescent="0.25">
      <c r="A1829" s="2" t="s">
        <v>8</v>
      </c>
      <c r="B1829" s="2" t="str">
        <f>HYPERLINK("http://ts.21cn.com/tousu/show/id/1332369","小孩没经过家长同意购买游戏道具")</f>
        <v>小孩没经过家长同意购买游戏道具</v>
      </c>
      <c r="C1829" s="2" t="s">
        <v>9</v>
      </c>
      <c r="D1829" s="2" t="s">
        <v>10</v>
      </c>
      <c r="E1829" s="2" t="str">
        <f>HYPERLINK("http://ts.21cn.com/tousu/show/id/1332369","http://ts.21cn.com/tousu/show/id/1332369")</f>
        <v>http://ts.21cn.com/tousu/show/id/1332369</v>
      </c>
      <c r="F1829" s="2" t="s">
        <v>11</v>
      </c>
      <c r="G1829" s="2" t="s">
        <v>40545</v>
      </c>
      <c r="H1829" s="2" t="s">
        <v>40546</v>
      </c>
    </row>
    <row r="1830" spans="1:8" ht="25.05" customHeight="1" x14ac:dyDescent="0.25">
      <c r="A1830" s="2" t="s">
        <v>8</v>
      </c>
      <c r="B1830" s="2" t="str">
        <f>HYPERLINK("http://ts.21cn.com/tousu/show/id/1332370","梧桐诚选大肆折让老百姓血汗钱")</f>
        <v>梧桐诚选大肆折让老百姓血汗钱</v>
      </c>
      <c r="C1830" s="2" t="s">
        <v>9</v>
      </c>
      <c r="D1830" s="2" t="s">
        <v>10</v>
      </c>
      <c r="E1830" s="2" t="str">
        <f>HYPERLINK("http://ts.21cn.com/tousu/show/id/1332370","http://ts.21cn.com/tousu/show/id/1332370")</f>
        <v>http://ts.21cn.com/tousu/show/id/1332370</v>
      </c>
      <c r="F1830" s="2" t="s">
        <v>11</v>
      </c>
      <c r="G1830" s="2" t="s">
        <v>40543</v>
      </c>
      <c r="H1830" s="2" t="s">
        <v>40544</v>
      </c>
    </row>
    <row r="1831" spans="1:8" ht="25.05" customHeight="1" x14ac:dyDescent="0.25">
      <c r="A1831" s="2" t="s">
        <v>8</v>
      </c>
      <c r="B1831" s="2" t="str">
        <f>HYPERLINK("http://ts.21cn.com/tousu/show/id/1332371","高利贷套路贷")</f>
        <v>高利贷套路贷</v>
      </c>
      <c r="C1831" s="2" t="s">
        <v>9</v>
      </c>
      <c r="D1831" s="2" t="s">
        <v>10</v>
      </c>
      <c r="E1831" s="2" t="str">
        <f>HYPERLINK("http://ts.21cn.com/tousu/show/id/1332371","http://ts.21cn.com/tousu/show/id/1332371")</f>
        <v>http://ts.21cn.com/tousu/show/id/1332371</v>
      </c>
      <c r="F1831" s="2" t="s">
        <v>11</v>
      </c>
      <c r="G1831" s="2" t="s">
        <v>40541</v>
      </c>
      <c r="H1831" s="2" t="s">
        <v>40542</v>
      </c>
    </row>
    <row r="1832" spans="1:8" ht="25.05" customHeight="1" x14ac:dyDescent="0.25">
      <c r="A1832" s="2" t="s">
        <v>8</v>
      </c>
      <c r="B1832" s="2" t="str">
        <f>HYPERLINK("http://ts.21cn.com/tousu/show/id/1332373","微博借款客服没用")</f>
        <v>微博借款客服没用</v>
      </c>
      <c r="C1832" s="2" t="s">
        <v>9</v>
      </c>
      <c r="D1832" s="2" t="s">
        <v>10</v>
      </c>
      <c r="E1832" s="2" t="str">
        <f>HYPERLINK("http://ts.21cn.com/tousu/show/id/1332373","http://ts.21cn.com/tousu/show/id/1332373")</f>
        <v>http://ts.21cn.com/tousu/show/id/1332373</v>
      </c>
      <c r="F1832" s="2" t="s">
        <v>11</v>
      </c>
      <c r="G1832" s="2" t="s">
        <v>40539</v>
      </c>
      <c r="H1832" s="2" t="s">
        <v>40540</v>
      </c>
    </row>
    <row r="1833" spans="1:8" ht="25.05" customHeight="1" x14ac:dyDescent="0.25">
      <c r="A1833" s="2" t="s">
        <v>8</v>
      </c>
      <c r="B1833" s="2" t="str">
        <f>HYPERLINK("http://ts.21cn.com/tousu/show/id/1332374","暴力催收")</f>
        <v>暴力催收</v>
      </c>
      <c r="C1833" s="2" t="s">
        <v>9</v>
      </c>
      <c r="D1833" s="2" t="s">
        <v>10</v>
      </c>
      <c r="E1833" s="2" t="str">
        <f>HYPERLINK("http://ts.21cn.com/tousu/show/id/1332374","http://ts.21cn.com/tousu/show/id/1332374")</f>
        <v>http://ts.21cn.com/tousu/show/id/1332374</v>
      </c>
      <c r="F1833" s="2" t="s">
        <v>11</v>
      </c>
      <c r="G1833" s="2" t="s">
        <v>40537</v>
      </c>
      <c r="H1833" s="2" t="s">
        <v>40538</v>
      </c>
    </row>
    <row r="1834" spans="1:8" ht="25.05" customHeight="1" x14ac:dyDescent="0.25">
      <c r="A1834" s="2" t="s">
        <v>8</v>
      </c>
      <c r="B1834" s="2" t="str">
        <f>HYPERLINK("http://ts.21cn.com/tousu/show/id/1332372","智行强制使用加速包")</f>
        <v>智行强制使用加速包</v>
      </c>
      <c r="C1834" s="2" t="s">
        <v>34</v>
      </c>
      <c r="D1834" s="2" t="s">
        <v>10</v>
      </c>
      <c r="E1834" s="2" t="str">
        <f>HYPERLINK("http://ts.21cn.com/tousu/show/id/1332372","http://ts.21cn.com/tousu/show/id/1332372")</f>
        <v>http://ts.21cn.com/tousu/show/id/1332372</v>
      </c>
      <c r="F1834" s="2" t="s">
        <v>11</v>
      </c>
      <c r="G1834" s="2" t="s">
        <v>40535</v>
      </c>
      <c r="H1834" s="2" t="s">
        <v>40536</v>
      </c>
    </row>
    <row r="1835" spans="1:8" ht="25.05" customHeight="1" x14ac:dyDescent="0.25">
      <c r="A1835" s="2" t="s">
        <v>8</v>
      </c>
      <c r="B1835" s="2" t="str">
        <f>HYPERLINK("http://ts.21cn.com/tousu/show/id/1332375","壹心分期砍头息高利贷")</f>
        <v>壹心分期砍头息高利贷</v>
      </c>
      <c r="C1835" s="2" t="s">
        <v>9</v>
      </c>
      <c r="D1835" s="2" t="s">
        <v>10</v>
      </c>
      <c r="E1835" s="2" t="str">
        <f>HYPERLINK("http://ts.21cn.com/tousu/show/id/1332375","http://ts.21cn.com/tousu/show/id/1332375")</f>
        <v>http://ts.21cn.com/tousu/show/id/1332375</v>
      </c>
      <c r="F1835" s="2" t="s">
        <v>11</v>
      </c>
      <c r="G1835" s="2" t="s">
        <v>40533</v>
      </c>
      <c r="H1835" s="2" t="s">
        <v>40534</v>
      </c>
    </row>
    <row r="1836" spans="1:8" ht="25.05" customHeight="1" x14ac:dyDescent="0.25">
      <c r="A1836" s="2" t="s">
        <v>8</v>
      </c>
      <c r="B1836" s="2" t="str">
        <f>HYPERLINK("http://ts.21cn.com/tousu/show/id/1332376","软暴力，骚扰，威胁，侵犯隐私")</f>
        <v>软暴力，骚扰，威胁，侵犯隐私</v>
      </c>
      <c r="C1836" s="2" t="s">
        <v>9</v>
      </c>
      <c r="D1836" s="2" t="s">
        <v>10</v>
      </c>
      <c r="E1836" s="2" t="str">
        <f>HYPERLINK("http://ts.21cn.com/tousu/show/id/1332376","http://ts.21cn.com/tousu/show/id/1332376")</f>
        <v>http://ts.21cn.com/tousu/show/id/1332376</v>
      </c>
      <c r="F1836" s="2" t="s">
        <v>11</v>
      </c>
      <c r="G1836" s="2" t="s">
        <v>40531</v>
      </c>
      <c r="H1836" s="2" t="s">
        <v>40532</v>
      </c>
    </row>
    <row r="1837" spans="1:8" ht="25.05" customHeight="1" x14ac:dyDescent="0.25">
      <c r="A1837" s="2" t="s">
        <v>8</v>
      </c>
      <c r="B1837" s="2" t="str">
        <f>HYPERLINK("http://ts.21cn.com/tousu/show/id/1332377","已经还款仍然催收")</f>
        <v>已经还款仍然催收</v>
      </c>
      <c r="C1837" s="2" t="s">
        <v>9</v>
      </c>
      <c r="D1837" s="2" t="s">
        <v>10</v>
      </c>
      <c r="E1837" s="2" t="str">
        <f>HYPERLINK("http://ts.21cn.com/tousu/show/id/1332377","http://ts.21cn.com/tousu/show/id/1332377")</f>
        <v>http://ts.21cn.com/tousu/show/id/1332377</v>
      </c>
      <c r="F1837" s="2" t="s">
        <v>11</v>
      </c>
      <c r="G1837" s="2" t="s">
        <v>40530</v>
      </c>
      <c r="H1837" s="2" t="s">
        <v>39047</v>
      </c>
    </row>
    <row r="1838" spans="1:8" ht="25.05" customHeight="1" x14ac:dyDescent="0.25">
      <c r="A1838" s="2" t="s">
        <v>8</v>
      </c>
      <c r="B1838" s="2" t="str">
        <f>HYPERLINK("http://ts.21cn.com/tousu/show/id/1332378","银生宝非法为境外赌博公司提供支付通道")</f>
        <v>银生宝非法为境外赌博公司提供支付通道</v>
      </c>
      <c r="C1838" s="2" t="s">
        <v>9</v>
      </c>
      <c r="D1838" s="2" t="s">
        <v>10</v>
      </c>
      <c r="E1838" s="2" t="str">
        <f>HYPERLINK("http://ts.21cn.com/tousu/show/id/1332378","http://ts.21cn.com/tousu/show/id/1332378")</f>
        <v>http://ts.21cn.com/tousu/show/id/1332378</v>
      </c>
      <c r="F1838" s="2" t="s">
        <v>11</v>
      </c>
      <c r="G1838" s="2" t="s">
        <v>40528</v>
      </c>
      <c r="H1838" s="2" t="s">
        <v>40529</v>
      </c>
    </row>
    <row r="1839" spans="1:8" ht="25.05" customHeight="1" x14ac:dyDescent="0.25">
      <c r="A1839" s="2" t="s">
        <v>8</v>
      </c>
      <c r="B1839" s="2" t="str">
        <f>HYPERLINK("http://ts.21cn.com/tousu/show/id/1332380","小影app自动扣费的流氓问题")</f>
        <v>小影app自动扣费的流氓问题</v>
      </c>
      <c r="C1839" s="2" t="s">
        <v>9</v>
      </c>
      <c r="D1839" s="2" t="s">
        <v>10</v>
      </c>
      <c r="E1839" s="2" t="str">
        <f>HYPERLINK("http://ts.21cn.com/tousu/show/id/1332380","http://ts.21cn.com/tousu/show/id/1332380")</f>
        <v>http://ts.21cn.com/tousu/show/id/1332380</v>
      </c>
      <c r="F1839" s="2" t="s">
        <v>11</v>
      </c>
      <c r="G1839" s="2" t="s">
        <v>40526</v>
      </c>
      <c r="H1839" s="2" t="s">
        <v>40527</v>
      </c>
    </row>
    <row r="1840" spans="1:8" ht="25.05" customHeight="1" x14ac:dyDescent="0.25">
      <c r="A1840" s="2" t="s">
        <v>8</v>
      </c>
      <c r="B1840" s="2" t="str">
        <f>HYPERLINK("http://ts.21cn.com/tousu/show/id/1332379","贷上钱骚扰威胁我亲朋好友")</f>
        <v>贷上钱骚扰威胁我亲朋好友</v>
      </c>
      <c r="C1840" s="2" t="s">
        <v>9</v>
      </c>
      <c r="D1840" s="2" t="s">
        <v>10</v>
      </c>
      <c r="E1840" s="2" t="str">
        <f>HYPERLINK("http://ts.21cn.com/tousu/show/id/1332379","http://ts.21cn.com/tousu/show/id/1332379")</f>
        <v>http://ts.21cn.com/tousu/show/id/1332379</v>
      </c>
      <c r="F1840" s="2" t="s">
        <v>11</v>
      </c>
      <c r="G1840" s="2" t="s">
        <v>40524</v>
      </c>
      <c r="H1840" s="2" t="s">
        <v>40525</v>
      </c>
    </row>
    <row r="1841" spans="1:8" ht="25.05" customHeight="1" x14ac:dyDescent="0.25">
      <c r="A1841" s="2" t="s">
        <v>8</v>
      </c>
      <c r="B1841" s="2" t="str">
        <f>HYPERLINK("http://ts.21cn.com/tousu/show/id/1332381","饿了么随意取消订单")</f>
        <v>饿了么随意取消订单</v>
      </c>
      <c r="C1841" s="2" t="s">
        <v>9</v>
      </c>
      <c r="D1841" s="2" t="s">
        <v>10</v>
      </c>
      <c r="E1841" s="2" t="str">
        <f>HYPERLINK("http://ts.21cn.com/tousu/show/id/1332381","http://ts.21cn.com/tousu/show/id/1332381")</f>
        <v>http://ts.21cn.com/tousu/show/id/1332381</v>
      </c>
      <c r="F1841" s="2" t="s">
        <v>11</v>
      </c>
      <c r="G1841" s="2" t="s">
        <v>40522</v>
      </c>
      <c r="H1841" s="2" t="s">
        <v>40523</v>
      </c>
    </row>
    <row r="1842" spans="1:8" ht="25.05" customHeight="1" x14ac:dyDescent="0.25">
      <c r="A1842" s="2" t="s">
        <v>8</v>
      </c>
      <c r="B1842" s="2" t="str">
        <f>HYPERLINK("http://ts.21cn.com/tousu/show/id/1332382","网贷套路")</f>
        <v>网贷套路</v>
      </c>
      <c r="C1842" s="2" t="s">
        <v>9</v>
      </c>
      <c r="D1842" s="2" t="s">
        <v>10</v>
      </c>
      <c r="E1842" s="2" t="str">
        <f>HYPERLINK("http://ts.21cn.com/tousu/show/id/1332382","http://ts.21cn.com/tousu/show/id/1332382")</f>
        <v>http://ts.21cn.com/tousu/show/id/1332382</v>
      </c>
      <c r="F1842" s="2" t="s">
        <v>11</v>
      </c>
      <c r="G1842" s="2" t="s">
        <v>40520</v>
      </c>
      <c r="H1842" s="2" t="s">
        <v>40521</v>
      </c>
    </row>
    <row r="1843" spans="1:8" ht="25.05" customHeight="1" x14ac:dyDescent="0.25">
      <c r="A1843" s="2" t="s">
        <v>8</v>
      </c>
      <c r="B1843" s="2" t="str">
        <f>HYPERLINK("http://ts.21cn.com/tousu/show/id/1332384","立刻出行不退押金")</f>
        <v>立刻出行不退押金</v>
      </c>
      <c r="C1843" s="2" t="s">
        <v>9</v>
      </c>
      <c r="D1843" s="2" t="s">
        <v>10</v>
      </c>
      <c r="E1843" s="2" t="str">
        <f>HYPERLINK("http://ts.21cn.com/tousu/show/id/1332384","http://ts.21cn.com/tousu/show/id/1332384")</f>
        <v>http://ts.21cn.com/tousu/show/id/1332384</v>
      </c>
      <c r="F1843" s="2" t="s">
        <v>11</v>
      </c>
      <c r="G1843" s="2" t="s">
        <v>40518</v>
      </c>
      <c r="H1843" s="2" t="s">
        <v>40519</v>
      </c>
    </row>
    <row r="1844" spans="1:8" ht="25.05" customHeight="1" x14ac:dyDescent="0.25">
      <c r="A1844" s="2" t="s">
        <v>8</v>
      </c>
      <c r="B1844" s="2" t="str">
        <f>HYPERLINK("http://ts.21cn.com/tousu/show/id/1332385","青春宝高利贷")</f>
        <v>青春宝高利贷</v>
      </c>
      <c r="C1844" s="2" t="s">
        <v>9</v>
      </c>
      <c r="D1844" s="2" t="s">
        <v>10</v>
      </c>
      <c r="E1844" s="2" t="str">
        <f>HYPERLINK("http://ts.21cn.com/tousu/show/id/1332385","http://ts.21cn.com/tousu/show/id/1332385")</f>
        <v>http://ts.21cn.com/tousu/show/id/1332385</v>
      </c>
      <c r="F1844" s="2" t="s">
        <v>11</v>
      </c>
      <c r="G1844" s="2" t="s">
        <v>40516</v>
      </c>
      <c r="H1844" s="2" t="s">
        <v>40517</v>
      </c>
    </row>
    <row r="1845" spans="1:8" ht="25.05" customHeight="1" x14ac:dyDescent="0.25">
      <c r="A1845" s="2" t="s">
        <v>8</v>
      </c>
      <c r="B1845" s="2" t="str">
        <f>HYPERLINK("http://ts.21cn.com/tousu/show/id/1332383","爆通讯录")</f>
        <v>爆通讯录</v>
      </c>
      <c r="C1845" s="2" t="s">
        <v>9</v>
      </c>
      <c r="D1845" s="2" t="s">
        <v>10</v>
      </c>
      <c r="E1845" s="2" t="str">
        <f>HYPERLINK("http://ts.21cn.com/tousu/show/id/1332383","http://ts.21cn.com/tousu/show/id/1332383")</f>
        <v>http://ts.21cn.com/tousu/show/id/1332383</v>
      </c>
      <c r="F1845" s="2" t="s">
        <v>11</v>
      </c>
      <c r="G1845" s="2" t="s">
        <v>40514</v>
      </c>
      <c r="H1845" s="2" t="s">
        <v>40515</v>
      </c>
    </row>
    <row r="1846" spans="1:8" ht="25.05" customHeight="1" x14ac:dyDescent="0.25">
      <c r="A1846" s="2" t="s">
        <v>8</v>
      </c>
      <c r="B1846" s="2" t="str">
        <f>HYPERLINK("http://ts.21cn.com/tousu/show/id/1332386","马上消费金融拒绝协商延期还款")</f>
        <v>马上消费金融拒绝协商延期还款</v>
      </c>
      <c r="C1846" s="2" t="s">
        <v>9</v>
      </c>
      <c r="D1846" s="2" t="s">
        <v>10</v>
      </c>
      <c r="E1846" s="2" t="str">
        <f>HYPERLINK("http://ts.21cn.com/tousu/show/id/1332386","http://ts.21cn.com/tousu/show/id/1332386")</f>
        <v>http://ts.21cn.com/tousu/show/id/1332386</v>
      </c>
      <c r="F1846" s="2" t="s">
        <v>11</v>
      </c>
      <c r="G1846" s="2" t="s">
        <v>40512</v>
      </c>
      <c r="H1846" s="2" t="s">
        <v>40513</v>
      </c>
    </row>
    <row r="1847" spans="1:8" ht="25.05" customHeight="1" x14ac:dyDescent="0.25">
      <c r="A1847" s="2" t="s">
        <v>8</v>
      </c>
      <c r="B1847" s="2" t="str">
        <f>HYPERLINK("http://ts.21cn.com/tousu/show/id/1332387","滴滴车主服务分涨分没有标准")</f>
        <v>滴滴车主服务分涨分没有标准</v>
      </c>
      <c r="C1847" s="2" t="s">
        <v>9</v>
      </c>
      <c r="D1847" s="2" t="s">
        <v>10</v>
      </c>
      <c r="E1847" s="2" t="str">
        <f>HYPERLINK("http://ts.21cn.com/tousu/show/id/1332387","http://ts.21cn.com/tousu/show/id/1332387")</f>
        <v>http://ts.21cn.com/tousu/show/id/1332387</v>
      </c>
      <c r="F1847" s="2" t="s">
        <v>11</v>
      </c>
      <c r="G1847" s="2" t="s">
        <v>40510</v>
      </c>
      <c r="H1847" s="2" t="s">
        <v>40511</v>
      </c>
    </row>
    <row r="1848" spans="1:8" ht="25.05" customHeight="1" x14ac:dyDescent="0.25">
      <c r="A1848" s="2" t="s">
        <v>8</v>
      </c>
      <c r="B1848" s="2" t="str">
        <f>HYPERLINK("http://ts.21cn.com/tousu/show/id/1332389","智行火车票抢票一次收费五十")</f>
        <v>智行火车票抢票一次收费五十</v>
      </c>
      <c r="C1848" s="2" t="s">
        <v>9</v>
      </c>
      <c r="D1848" s="2" t="s">
        <v>10</v>
      </c>
      <c r="E1848" s="2" t="str">
        <f>HYPERLINK("http://ts.21cn.com/tousu/show/id/1332389","http://ts.21cn.com/tousu/show/id/1332389")</f>
        <v>http://ts.21cn.com/tousu/show/id/1332389</v>
      </c>
      <c r="F1848" s="2" t="s">
        <v>11</v>
      </c>
      <c r="G1848" s="2" t="s">
        <v>40508</v>
      </c>
      <c r="H1848" s="2" t="s">
        <v>40509</v>
      </c>
    </row>
    <row r="1849" spans="1:8" ht="25.05" customHeight="1" x14ac:dyDescent="0.25">
      <c r="A1849" s="2" t="s">
        <v>8</v>
      </c>
      <c r="B1849" s="2" t="str">
        <f>HYPERLINK("http://ts.21cn.com/tousu/show/id/1332390","贷款猪多宝分期高利贷阴阳合同")</f>
        <v>贷款猪多宝分期高利贷阴阳合同</v>
      </c>
      <c r="C1849" s="2" t="s">
        <v>9</v>
      </c>
      <c r="D1849" s="2" t="s">
        <v>10</v>
      </c>
      <c r="E1849" s="2" t="str">
        <f>HYPERLINK("http://ts.21cn.com/tousu/show/id/1332390","http://ts.21cn.com/tousu/show/id/1332390")</f>
        <v>http://ts.21cn.com/tousu/show/id/1332390</v>
      </c>
      <c r="F1849" s="2" t="s">
        <v>11</v>
      </c>
      <c r="G1849" s="2" t="s">
        <v>40506</v>
      </c>
      <c r="H1849" s="2" t="s">
        <v>40507</v>
      </c>
    </row>
    <row r="1850" spans="1:8" ht="25.05" customHeight="1" x14ac:dyDescent="0.25">
      <c r="A1850" s="2" t="s">
        <v>8</v>
      </c>
      <c r="B1850" s="2" t="str">
        <f>HYPERLINK("http://ts.21cn.com/tousu/show/id/1332391","高额风险测评费")</f>
        <v>高额风险测评费</v>
      </c>
      <c r="C1850" s="2" t="s">
        <v>9</v>
      </c>
      <c r="D1850" s="2" t="s">
        <v>10</v>
      </c>
      <c r="E1850" s="2" t="str">
        <f>HYPERLINK("http://ts.21cn.com/tousu/show/id/1332391","http://ts.21cn.com/tousu/show/id/1332391")</f>
        <v>http://ts.21cn.com/tousu/show/id/1332391</v>
      </c>
      <c r="F1850" s="2" t="s">
        <v>11</v>
      </c>
      <c r="G1850" s="2" t="s">
        <v>40504</v>
      </c>
      <c r="H1850" s="2" t="s">
        <v>40505</v>
      </c>
    </row>
    <row r="1851" spans="1:8" ht="25.05" customHeight="1" x14ac:dyDescent="0.25">
      <c r="A1851" s="2" t="s">
        <v>8</v>
      </c>
      <c r="B1851" s="2" t="str">
        <f>HYPERLINK("http://ts.21cn.com/tousu/show/id/1332392","点pos开店宝pos机不退押金")</f>
        <v>点pos开店宝pos机不退押金</v>
      </c>
      <c r="C1851" s="2" t="s">
        <v>9</v>
      </c>
      <c r="D1851" s="2" t="s">
        <v>10</v>
      </c>
      <c r="E1851" s="2" t="str">
        <f>HYPERLINK("http://ts.21cn.com/tousu/show/id/1332392","http://ts.21cn.com/tousu/show/id/1332392")</f>
        <v>http://ts.21cn.com/tousu/show/id/1332392</v>
      </c>
      <c r="F1851" s="2" t="s">
        <v>11</v>
      </c>
      <c r="G1851" s="2" t="s">
        <v>40502</v>
      </c>
      <c r="H1851" s="2" t="s">
        <v>40503</v>
      </c>
    </row>
    <row r="1852" spans="1:8" ht="25.05" customHeight="1" x14ac:dyDescent="0.25">
      <c r="A1852" s="2" t="s">
        <v>8</v>
      </c>
      <c r="B1852" s="2" t="str">
        <f>HYPERLINK("http://ts.21cn.com/tousu/show/id/1332394","现代金控产品金大宝刷卡不到账")</f>
        <v>现代金控产品金大宝刷卡不到账</v>
      </c>
      <c r="C1852" s="2" t="s">
        <v>9</v>
      </c>
      <c r="D1852" s="2" t="s">
        <v>10</v>
      </c>
      <c r="E1852" s="2" t="str">
        <f>HYPERLINK("http://ts.21cn.com/tousu/show/id/1332394","http://ts.21cn.com/tousu/show/id/1332394")</f>
        <v>http://ts.21cn.com/tousu/show/id/1332394</v>
      </c>
      <c r="F1852" s="2" t="s">
        <v>11</v>
      </c>
      <c r="G1852" s="2" t="s">
        <v>40500</v>
      </c>
      <c r="H1852" s="2" t="s">
        <v>40501</v>
      </c>
    </row>
    <row r="1853" spans="1:8" ht="25.05" customHeight="1" x14ac:dyDescent="0.25">
      <c r="A1853" s="2" t="s">
        <v>8</v>
      </c>
      <c r="B1853" s="2" t="str">
        <f>HYPERLINK("http://ts.21cn.com/tousu/show/id/1332395","暴力催收威胁恐吓")</f>
        <v>暴力催收威胁恐吓</v>
      </c>
      <c r="C1853" s="2" t="s">
        <v>9</v>
      </c>
      <c r="D1853" s="2" t="s">
        <v>10</v>
      </c>
      <c r="E1853" s="2" t="str">
        <f>HYPERLINK("http://ts.21cn.com/tousu/show/id/1332395","http://ts.21cn.com/tousu/show/id/1332395")</f>
        <v>http://ts.21cn.com/tousu/show/id/1332395</v>
      </c>
      <c r="F1853" s="2" t="s">
        <v>11</v>
      </c>
      <c r="G1853" s="2" t="s">
        <v>40498</v>
      </c>
      <c r="H1853" s="2" t="s">
        <v>40499</v>
      </c>
    </row>
    <row r="1854" spans="1:8" ht="25.05" customHeight="1" x14ac:dyDescent="0.25">
      <c r="A1854" s="2" t="s">
        <v>8</v>
      </c>
      <c r="B1854" s="2" t="str">
        <f>HYPERLINK("http://ts.21cn.com/tousu/show/id/1332397","误入套路贷，请求撤销贷款合同，免除虚增贷款。")</f>
        <v>误入套路贷，请求撤销贷款合同，免除虚增贷款。</v>
      </c>
      <c r="C1854" s="2" t="s">
        <v>9</v>
      </c>
      <c r="D1854" s="2" t="s">
        <v>10</v>
      </c>
      <c r="E1854" s="2" t="str">
        <f>HYPERLINK("http://ts.21cn.com/tousu/show/id/1332397","http://ts.21cn.com/tousu/show/id/1332397")</f>
        <v>http://ts.21cn.com/tousu/show/id/1332397</v>
      </c>
      <c r="F1854" s="2" t="s">
        <v>11</v>
      </c>
      <c r="G1854" s="2" t="s">
        <v>40496</v>
      </c>
      <c r="H1854" s="2" t="s">
        <v>40497</v>
      </c>
    </row>
    <row r="1855" spans="1:8" ht="25.05" customHeight="1" x14ac:dyDescent="0.25">
      <c r="A1855" s="2" t="s">
        <v>8</v>
      </c>
      <c r="B1855" s="2" t="str">
        <f>HYPERLINK("http://ts.21cn.com/tousu/show/id/1332398","没有提示的直接扣费用")</f>
        <v>没有提示的直接扣费用</v>
      </c>
      <c r="C1855" s="2" t="s">
        <v>9</v>
      </c>
      <c r="D1855" s="2" t="s">
        <v>10</v>
      </c>
      <c r="E1855" s="2" t="str">
        <f>HYPERLINK("http://ts.21cn.com/tousu/show/id/1332398","http://ts.21cn.com/tousu/show/id/1332398")</f>
        <v>http://ts.21cn.com/tousu/show/id/1332398</v>
      </c>
      <c r="F1855" s="2" t="s">
        <v>11</v>
      </c>
      <c r="G1855" s="2" t="s">
        <v>40494</v>
      </c>
      <c r="H1855" s="2" t="s">
        <v>40495</v>
      </c>
    </row>
    <row r="1856" spans="1:8" ht="25.05" customHeight="1" x14ac:dyDescent="0.25">
      <c r="A1856" s="2" t="s">
        <v>8</v>
      </c>
      <c r="B1856" s="2" t="str">
        <f>HYPERLINK("http://ts.21cn.com/tousu/show/id/1332399","我要报警求助")</f>
        <v>我要报警求助</v>
      </c>
      <c r="C1856" s="2" t="s">
        <v>9</v>
      </c>
      <c r="D1856" s="2" t="s">
        <v>10</v>
      </c>
      <c r="E1856" s="2" t="str">
        <f>HYPERLINK("http://ts.21cn.com/tousu/show/id/1332399","http://ts.21cn.com/tousu/show/id/1332399")</f>
        <v>http://ts.21cn.com/tousu/show/id/1332399</v>
      </c>
      <c r="F1856" s="2" t="s">
        <v>11</v>
      </c>
      <c r="G1856" s="2" t="s">
        <v>40492</v>
      </c>
      <c r="H1856" s="2" t="s">
        <v>40493</v>
      </c>
    </row>
    <row r="1857" spans="1:8" ht="25.05" customHeight="1" x14ac:dyDescent="0.25">
      <c r="A1857" s="2" t="s">
        <v>8</v>
      </c>
      <c r="B1857" s="2" t="str">
        <f>HYPERLINK("http://ts.21cn.com/tousu/show/id/1332400","聚富分期扣款")</f>
        <v>聚富分期扣款</v>
      </c>
      <c r="C1857" s="2" t="s">
        <v>34</v>
      </c>
      <c r="D1857" s="2" t="s">
        <v>10</v>
      </c>
      <c r="E1857" s="2" t="str">
        <f>HYPERLINK("http://ts.21cn.com/tousu/show/id/1332400","http://ts.21cn.com/tousu/show/id/1332400")</f>
        <v>http://ts.21cn.com/tousu/show/id/1332400</v>
      </c>
      <c r="F1857" s="2" t="s">
        <v>11</v>
      </c>
      <c r="G1857" s="2" t="s">
        <v>40490</v>
      </c>
      <c r="H1857" s="2" t="s">
        <v>40491</v>
      </c>
    </row>
    <row r="1858" spans="1:8" ht="25.05" customHeight="1" x14ac:dyDescent="0.25">
      <c r="A1858" s="2" t="s">
        <v>8</v>
      </c>
      <c r="B1858" s="2" t="str">
        <f>HYPERLINK("http://ts.21cn.com/tousu/show/id/1332401","正常还款，还不能借款")</f>
        <v>正常还款，还不能借款</v>
      </c>
      <c r="C1858" s="2" t="s">
        <v>34</v>
      </c>
      <c r="D1858" s="2" t="s">
        <v>10</v>
      </c>
      <c r="E1858" s="2" t="str">
        <f>HYPERLINK("http://ts.21cn.com/tousu/show/id/1332401","http://ts.21cn.com/tousu/show/id/1332401")</f>
        <v>http://ts.21cn.com/tousu/show/id/1332401</v>
      </c>
      <c r="F1858" s="2" t="s">
        <v>11</v>
      </c>
      <c r="G1858" s="2" t="s">
        <v>40488</v>
      </c>
      <c r="H1858" s="2" t="s">
        <v>40489</v>
      </c>
    </row>
    <row r="1859" spans="1:8" ht="25.05" customHeight="1" x14ac:dyDescent="0.25">
      <c r="A1859" s="2" t="s">
        <v>8</v>
      </c>
      <c r="B1859" s="2" t="str">
        <f>HYPERLINK("http://ts.21cn.com/tousu/show/id/1332403","腾讯零钱通拖延资金未到账")</f>
        <v>腾讯零钱通拖延资金未到账</v>
      </c>
      <c r="C1859" s="2" t="s">
        <v>9</v>
      </c>
      <c r="D1859" s="2" t="s">
        <v>10</v>
      </c>
      <c r="E1859" s="2" t="str">
        <f>HYPERLINK("http://ts.21cn.com/tousu/show/id/1332403","http://ts.21cn.com/tousu/show/id/1332403")</f>
        <v>http://ts.21cn.com/tousu/show/id/1332403</v>
      </c>
      <c r="F1859" s="2" t="s">
        <v>11</v>
      </c>
      <c r="G1859" s="2" t="s">
        <v>40486</v>
      </c>
      <c r="H1859" s="2" t="s">
        <v>40487</v>
      </c>
    </row>
    <row r="1860" spans="1:8" ht="25.05" customHeight="1" x14ac:dyDescent="0.25">
      <c r="A1860" s="2" t="s">
        <v>8</v>
      </c>
      <c r="B1860" s="2" t="str">
        <f>HYPERLINK("http://ts.21cn.com/tousu/show/id/1332404","小羽分期非法高利贷")</f>
        <v>小羽分期非法高利贷</v>
      </c>
      <c r="C1860" s="2" t="s">
        <v>9</v>
      </c>
      <c r="D1860" s="2" t="s">
        <v>10</v>
      </c>
      <c r="E1860" s="2" t="str">
        <f>HYPERLINK("http://ts.21cn.com/tousu/show/id/1332404","http://ts.21cn.com/tousu/show/id/1332404")</f>
        <v>http://ts.21cn.com/tousu/show/id/1332404</v>
      </c>
      <c r="F1860" s="2" t="s">
        <v>11</v>
      </c>
      <c r="G1860" s="2" t="s">
        <v>40484</v>
      </c>
      <c r="H1860" s="2" t="s">
        <v>40485</v>
      </c>
    </row>
    <row r="1861" spans="1:8" ht="25.05" customHeight="1" x14ac:dyDescent="0.25">
      <c r="A1861" s="2" t="s">
        <v>8</v>
      </c>
      <c r="B1861" s="2" t="str">
        <f>HYPERLINK("http://ts.21cn.com/tousu/show/id/1332405","协商提前还款未结清账目")</f>
        <v>协商提前还款未结清账目</v>
      </c>
      <c r="C1861" s="2" t="s">
        <v>9</v>
      </c>
      <c r="D1861" s="2" t="s">
        <v>10</v>
      </c>
      <c r="E1861" s="2" t="str">
        <f>HYPERLINK("http://ts.21cn.com/tousu/show/id/1332405","http://ts.21cn.com/tousu/show/id/1332405")</f>
        <v>http://ts.21cn.com/tousu/show/id/1332405</v>
      </c>
      <c r="F1861" s="2" t="s">
        <v>11</v>
      </c>
      <c r="G1861" s="2" t="s">
        <v>40482</v>
      </c>
      <c r="H1861" s="2" t="s">
        <v>40483</v>
      </c>
    </row>
    <row r="1862" spans="1:8" ht="25.05" customHeight="1" x14ac:dyDescent="0.25">
      <c r="A1862" s="2" t="s">
        <v>8</v>
      </c>
      <c r="B1862" s="2" t="str">
        <f>HYPERLINK("http://ts.21cn.com/tousu/show/id/1332406","资金不给兑换。")</f>
        <v>资金不给兑换。</v>
      </c>
      <c r="C1862" s="2" t="s">
        <v>34</v>
      </c>
      <c r="D1862" s="2" t="s">
        <v>10</v>
      </c>
      <c r="E1862" s="2" t="str">
        <f>HYPERLINK("http://ts.21cn.com/tousu/show/id/1332406","http://ts.21cn.com/tousu/show/id/1332406")</f>
        <v>http://ts.21cn.com/tousu/show/id/1332406</v>
      </c>
      <c r="F1862" s="2" t="s">
        <v>11</v>
      </c>
      <c r="G1862" s="2" t="s">
        <v>40480</v>
      </c>
      <c r="H1862" s="2" t="s">
        <v>40481</v>
      </c>
    </row>
    <row r="1863" spans="1:8" ht="25.05" customHeight="1" x14ac:dyDescent="0.25">
      <c r="A1863" s="2" t="s">
        <v>8</v>
      </c>
      <c r="B1863" s="2" t="str">
        <f>HYPERLINK("http://ts.21cn.com/tousu/show/id/1332407","成都安睿望蜀网络科技恶意扣费")</f>
        <v>成都安睿望蜀网络科技恶意扣费</v>
      </c>
      <c r="C1863" s="2" t="s">
        <v>9</v>
      </c>
      <c r="D1863" s="2" t="s">
        <v>10</v>
      </c>
      <c r="E1863" s="2" t="str">
        <f>HYPERLINK("http://ts.21cn.com/tousu/show/id/1332407","http://ts.21cn.com/tousu/show/id/1332407")</f>
        <v>http://ts.21cn.com/tousu/show/id/1332407</v>
      </c>
      <c r="F1863" s="2" t="s">
        <v>11</v>
      </c>
      <c r="G1863" s="2" t="s">
        <v>40478</v>
      </c>
      <c r="H1863" s="2" t="s">
        <v>40479</v>
      </c>
    </row>
    <row r="1864" spans="1:8" ht="25.05" customHeight="1" x14ac:dyDescent="0.25">
      <c r="A1864" s="2" t="s">
        <v>8</v>
      </c>
      <c r="B1864" s="2" t="str">
        <f>HYPERLINK("http://ts.21cn.com/tousu/show/id/1332408","钱站暴力催收威胁")</f>
        <v>钱站暴力催收威胁</v>
      </c>
      <c r="C1864" s="2" t="s">
        <v>9</v>
      </c>
      <c r="D1864" s="2" t="s">
        <v>10</v>
      </c>
      <c r="E1864" s="2" t="str">
        <f>HYPERLINK("http://ts.21cn.com/tousu/show/id/1332408","http://ts.21cn.com/tousu/show/id/1332408")</f>
        <v>http://ts.21cn.com/tousu/show/id/1332408</v>
      </c>
      <c r="F1864" s="2" t="s">
        <v>11</v>
      </c>
      <c r="G1864" s="2" t="s">
        <v>40476</v>
      </c>
      <c r="H1864" s="2" t="s">
        <v>40477</v>
      </c>
    </row>
    <row r="1865" spans="1:8" ht="25.05" customHeight="1" x14ac:dyDescent="0.25">
      <c r="A1865" s="2" t="s">
        <v>8</v>
      </c>
      <c r="B1865" s="2" t="str">
        <f>HYPERLINK("http://ts.21cn.com/tousu/show/id/1332409","高利贷，砍头息，暴力催收")</f>
        <v>高利贷，砍头息，暴力催收</v>
      </c>
      <c r="C1865" s="2" t="s">
        <v>9</v>
      </c>
      <c r="D1865" s="2" t="s">
        <v>10</v>
      </c>
      <c r="E1865" s="2" t="str">
        <f>HYPERLINK("http://ts.21cn.com/tousu/show/id/1332409","http://ts.21cn.com/tousu/show/id/1332409")</f>
        <v>http://ts.21cn.com/tousu/show/id/1332409</v>
      </c>
      <c r="F1865" s="2" t="s">
        <v>11</v>
      </c>
      <c r="G1865" s="2" t="s">
        <v>40474</v>
      </c>
      <c r="H1865" s="2" t="s">
        <v>40475</v>
      </c>
    </row>
    <row r="1866" spans="1:8" ht="25.05" customHeight="1" x14ac:dyDescent="0.25">
      <c r="A1866" s="2" t="s">
        <v>8</v>
      </c>
      <c r="B1866" s="2" t="str">
        <f>HYPERLINK("http://ts.21cn.com/tousu/show/id/1332402","快闪卡贷未经允许扣取保费，利息超过国家法律规定")</f>
        <v>快闪卡贷未经允许扣取保费，利息超过国家法律规定</v>
      </c>
      <c r="C1866" s="2" t="s">
        <v>9</v>
      </c>
      <c r="D1866" s="2" t="s">
        <v>10</v>
      </c>
      <c r="E1866" s="2" t="str">
        <f>HYPERLINK("http://ts.21cn.com/tousu/show/id/1332402","http://ts.21cn.com/tousu/show/id/1332402")</f>
        <v>http://ts.21cn.com/tousu/show/id/1332402</v>
      </c>
      <c r="F1866" s="2" t="s">
        <v>11</v>
      </c>
      <c r="G1866" s="2" t="s">
        <v>40472</v>
      </c>
      <c r="H1866" s="2" t="s">
        <v>40473</v>
      </c>
    </row>
    <row r="1867" spans="1:8" ht="25.05" customHeight="1" x14ac:dyDescent="0.25">
      <c r="A1867" s="2" t="s">
        <v>8</v>
      </c>
      <c r="B1867" s="2" t="str">
        <f>HYPERLINK("http://ts.21cn.com/tousu/show/id/1332410","在淘宝苏宁易购下单查询不到订单")</f>
        <v>在淘宝苏宁易购下单查询不到订单</v>
      </c>
      <c r="C1867" s="2" t="s">
        <v>34</v>
      </c>
      <c r="D1867" s="2" t="s">
        <v>10</v>
      </c>
      <c r="E1867" s="2" t="str">
        <f>HYPERLINK("http://ts.21cn.com/tousu/show/id/1332410","http://ts.21cn.com/tousu/show/id/1332410")</f>
        <v>http://ts.21cn.com/tousu/show/id/1332410</v>
      </c>
      <c r="F1867" s="2" t="s">
        <v>11</v>
      </c>
      <c r="G1867" s="2" t="s">
        <v>40470</v>
      </c>
      <c r="H1867" s="2" t="s">
        <v>40471</v>
      </c>
    </row>
    <row r="1868" spans="1:8" ht="25.05" customHeight="1" x14ac:dyDescent="0.25">
      <c r="A1868" s="2" t="s">
        <v>8</v>
      </c>
      <c r="B1868" s="2" t="str">
        <f>HYPERLINK("http://ts.21cn.com/tousu/show/id/1332411","易到用车无法提现")</f>
        <v>易到用车无法提现</v>
      </c>
      <c r="C1868" s="2" t="s">
        <v>9</v>
      </c>
      <c r="D1868" s="2" t="s">
        <v>10</v>
      </c>
      <c r="E1868" s="2" t="str">
        <f>HYPERLINK("http://ts.21cn.com/tousu/show/id/1332411","http://ts.21cn.com/tousu/show/id/1332411")</f>
        <v>http://ts.21cn.com/tousu/show/id/1332411</v>
      </c>
      <c r="F1868" s="2" t="s">
        <v>11</v>
      </c>
      <c r="G1868" s="2" t="s">
        <v>40468</v>
      </c>
      <c r="H1868" s="2" t="s">
        <v>40469</v>
      </c>
    </row>
    <row r="1869" spans="1:8" ht="25.05" customHeight="1" x14ac:dyDescent="0.25">
      <c r="A1869" s="2" t="s">
        <v>8</v>
      </c>
      <c r="B1869" s="2" t="str">
        <f>HYPERLINK("http://ts.21cn.com/tousu/show/id/1332412","投诉支付宝拼多多平台为非法赌博平台充值")</f>
        <v>投诉支付宝拼多多平台为非法赌博平台充值</v>
      </c>
      <c r="C1869" s="2" t="s">
        <v>9</v>
      </c>
      <c r="D1869" s="2" t="s">
        <v>10</v>
      </c>
      <c r="E1869" s="2" t="str">
        <f>HYPERLINK("http://ts.21cn.com/tousu/show/id/1332412","http://ts.21cn.com/tousu/show/id/1332412")</f>
        <v>http://ts.21cn.com/tousu/show/id/1332412</v>
      </c>
      <c r="F1869" s="2" t="s">
        <v>11</v>
      </c>
      <c r="G1869" s="2" t="s">
        <v>40466</v>
      </c>
      <c r="H1869" s="2" t="s">
        <v>40467</v>
      </c>
    </row>
    <row r="1870" spans="1:8" ht="25.05" customHeight="1" x14ac:dyDescent="0.25">
      <c r="A1870" s="2" t="s">
        <v>8</v>
      </c>
      <c r="B1870" s="2" t="str">
        <f>HYPERLINK("http://ts.21cn.com/tousu/show/id/1332413","严重高利贷砍头息")</f>
        <v>严重高利贷砍头息</v>
      </c>
      <c r="C1870" s="2" t="s">
        <v>9</v>
      </c>
      <c r="D1870" s="2" t="s">
        <v>10</v>
      </c>
      <c r="E1870" s="2" t="str">
        <f>HYPERLINK("http://ts.21cn.com/tousu/show/id/1332413","http://ts.21cn.com/tousu/show/id/1332413")</f>
        <v>http://ts.21cn.com/tousu/show/id/1332413</v>
      </c>
      <c r="F1870" s="2" t="s">
        <v>11</v>
      </c>
      <c r="G1870" s="2" t="s">
        <v>40464</v>
      </c>
      <c r="H1870" s="2" t="s">
        <v>40465</v>
      </c>
    </row>
    <row r="1871" spans="1:8" ht="25.05" customHeight="1" x14ac:dyDescent="0.25">
      <c r="A1871" s="2" t="s">
        <v>8</v>
      </c>
      <c r="B1871" s="2" t="str">
        <f>HYPERLINK("http://ts.21cn.com/tousu/show/id/1332416","通联沪快无故扣296给宏萨（上海）科技信息有限公司")</f>
        <v>通联沪快无故扣296给宏萨（上海）科技信息有限公司</v>
      </c>
      <c r="C1871" s="2" t="s">
        <v>9</v>
      </c>
      <c r="D1871" s="2" t="s">
        <v>10</v>
      </c>
      <c r="E1871" s="2" t="str">
        <f>HYPERLINK("http://ts.21cn.com/tousu/show/id/1332416","http://ts.21cn.com/tousu/show/id/1332416")</f>
        <v>http://ts.21cn.com/tousu/show/id/1332416</v>
      </c>
      <c r="F1871" s="2" t="s">
        <v>11</v>
      </c>
      <c r="G1871" s="2" t="s">
        <v>40462</v>
      </c>
      <c r="H1871" s="2" t="s">
        <v>40463</v>
      </c>
    </row>
    <row r="1872" spans="1:8" ht="25.05" customHeight="1" x14ac:dyDescent="0.25">
      <c r="A1872" s="2" t="s">
        <v>8</v>
      </c>
      <c r="B1872" s="2" t="str">
        <f>HYPERLINK("http://ts.21cn.com/tousu/show/id/1332414","U现金乱扣款")</f>
        <v>U现金乱扣款</v>
      </c>
      <c r="C1872" s="2" t="s">
        <v>9</v>
      </c>
      <c r="D1872" s="2" t="s">
        <v>10</v>
      </c>
      <c r="E1872" s="2" t="str">
        <f>HYPERLINK("http://ts.21cn.com/tousu/show/id/1332414","http://ts.21cn.com/tousu/show/id/1332414")</f>
        <v>http://ts.21cn.com/tousu/show/id/1332414</v>
      </c>
      <c r="F1872" s="2" t="s">
        <v>11</v>
      </c>
      <c r="G1872" s="2" t="s">
        <v>40459</v>
      </c>
      <c r="H1872" s="2" t="s">
        <v>40460</v>
      </c>
    </row>
    <row r="1873" spans="1:8" ht="25.05" customHeight="1" x14ac:dyDescent="0.25">
      <c r="A1873" s="2" t="s">
        <v>8</v>
      </c>
      <c r="B1873" s="2" t="str">
        <f>HYPERLINK("http://ts.21cn.com/tousu/show/id/1326066","恶意扣手续费")</f>
        <v>恶意扣手续费</v>
      </c>
      <c r="C1873" s="2" t="s">
        <v>9</v>
      </c>
      <c r="D1873" s="2" t="s">
        <v>10</v>
      </c>
      <c r="E1873" s="2" t="str">
        <f>HYPERLINK("http://ts.21cn.com/tousu/show/id/1326066","http://ts.21cn.com/tousu/show/id/1326066")</f>
        <v>http://ts.21cn.com/tousu/show/id/1326066</v>
      </c>
      <c r="F1873" s="2" t="s">
        <v>11</v>
      </c>
      <c r="G1873" s="2" t="s">
        <v>40459</v>
      </c>
      <c r="H1873" s="2" t="s">
        <v>40461</v>
      </c>
    </row>
    <row r="1874" spans="1:8" ht="25.05" customHeight="1" x14ac:dyDescent="0.25">
      <c r="A1874" s="2" t="s">
        <v>8</v>
      </c>
      <c r="B1874" s="2" t="str">
        <f>HYPERLINK("http://ts.21cn.com/tousu/show/id/1332415","高额逾期费")</f>
        <v>高额逾期费</v>
      </c>
      <c r="C1874" s="2" t="s">
        <v>9</v>
      </c>
      <c r="D1874" s="2" t="s">
        <v>10</v>
      </c>
      <c r="E1874" s="2" t="str">
        <f>HYPERLINK("http://ts.21cn.com/tousu/show/id/1332415","http://ts.21cn.com/tousu/show/id/1332415")</f>
        <v>http://ts.21cn.com/tousu/show/id/1332415</v>
      </c>
      <c r="F1874" s="2" t="s">
        <v>11</v>
      </c>
      <c r="G1874" s="2" t="s">
        <v>40457</v>
      </c>
      <c r="H1874" s="2" t="s">
        <v>40458</v>
      </c>
    </row>
    <row r="1875" spans="1:8" ht="25.05" customHeight="1" x14ac:dyDescent="0.25">
      <c r="A1875" s="2" t="s">
        <v>8</v>
      </c>
      <c r="B1875" s="2" t="str">
        <f>HYPERLINK("http://ts.21cn.com/tousu/show/id/1332417","欺压百姓，乱来")</f>
        <v>欺压百姓，乱来</v>
      </c>
      <c r="C1875" s="2" t="s">
        <v>9</v>
      </c>
      <c r="D1875" s="2" t="s">
        <v>10</v>
      </c>
      <c r="E1875" s="2" t="str">
        <f>HYPERLINK("http://ts.21cn.com/tousu/show/id/1332417","http://ts.21cn.com/tousu/show/id/1332417")</f>
        <v>http://ts.21cn.com/tousu/show/id/1332417</v>
      </c>
      <c r="F1875" s="2" t="s">
        <v>11</v>
      </c>
      <c r="G1875" s="2" t="s">
        <v>40455</v>
      </c>
      <c r="H1875" s="2" t="s">
        <v>40456</v>
      </c>
    </row>
    <row r="1876" spans="1:8" ht="25.05" customHeight="1" x14ac:dyDescent="0.25">
      <c r="A1876" s="2" t="s">
        <v>8</v>
      </c>
      <c r="B1876" s="2" t="str">
        <f>HYPERLINK("http://ts.21cn.com/tousu/show/id/1332418","神马借高利贷，畅捷支付为其提供支付渠道")</f>
        <v>神马借高利贷，畅捷支付为其提供支付渠道</v>
      </c>
      <c r="C1876" s="2" t="s">
        <v>34</v>
      </c>
      <c r="D1876" s="2" t="s">
        <v>10</v>
      </c>
      <c r="E1876" s="2" t="str">
        <f>HYPERLINK("http://ts.21cn.com/tousu/show/id/1332418","http://ts.21cn.com/tousu/show/id/1332418")</f>
        <v>http://ts.21cn.com/tousu/show/id/1332418</v>
      </c>
      <c r="F1876" s="2" t="s">
        <v>11</v>
      </c>
      <c r="G1876" s="2" t="s">
        <v>40453</v>
      </c>
      <c r="H1876" s="2" t="s">
        <v>40454</v>
      </c>
    </row>
    <row r="1877" spans="1:8" ht="25.05" customHeight="1" x14ac:dyDescent="0.25">
      <c r="A1877" s="2" t="s">
        <v>8</v>
      </c>
      <c r="B1877" s="2" t="str">
        <f>HYPERLINK("http://ts.21cn.com/tousu/show/id/1332419","佳艺手游ios代充被官方冻结勾玉")</f>
        <v>佳艺手游ios代充被官方冻结勾玉</v>
      </c>
      <c r="C1877" s="2" t="s">
        <v>9</v>
      </c>
      <c r="D1877" s="2" t="s">
        <v>10</v>
      </c>
      <c r="E1877" s="2" t="str">
        <f>HYPERLINK("http://ts.21cn.com/tousu/show/id/1332419","http://ts.21cn.com/tousu/show/id/1332419")</f>
        <v>http://ts.21cn.com/tousu/show/id/1332419</v>
      </c>
      <c r="F1877" s="2" t="s">
        <v>11</v>
      </c>
      <c r="G1877" s="2" t="s">
        <v>40451</v>
      </c>
      <c r="H1877" s="2" t="s">
        <v>40452</v>
      </c>
    </row>
    <row r="1878" spans="1:8" ht="25.05" customHeight="1" x14ac:dyDescent="0.25">
      <c r="A1878" s="2" t="s">
        <v>8</v>
      </c>
      <c r="B1878" s="2" t="str">
        <f>HYPERLINK("http://ts.21cn.com/tousu/show/id/1332420","达飞云贷套路贷高利贷")</f>
        <v>达飞云贷套路贷高利贷</v>
      </c>
      <c r="C1878" s="2" t="s">
        <v>9</v>
      </c>
      <c r="D1878" s="2" t="s">
        <v>10</v>
      </c>
      <c r="E1878" s="2" t="str">
        <f>HYPERLINK("http://ts.21cn.com/tousu/show/id/1332420","http://ts.21cn.com/tousu/show/id/1332420")</f>
        <v>http://ts.21cn.com/tousu/show/id/1332420</v>
      </c>
      <c r="F1878" s="2" t="s">
        <v>11</v>
      </c>
      <c r="G1878" s="2" t="s">
        <v>40449</v>
      </c>
      <c r="H1878" s="2" t="s">
        <v>40450</v>
      </c>
    </row>
    <row r="1879" spans="1:8" ht="25.05" customHeight="1" x14ac:dyDescent="0.25">
      <c r="A1879" s="2" t="s">
        <v>8</v>
      </c>
      <c r="B1879" s="2" t="str">
        <f>HYPERLINK("http://ts.21cn.com/tousu/show/id/1332422","大量用户无法退还立刻出行499元押金")</f>
        <v>大量用户无法退还立刻出行499元押金</v>
      </c>
      <c r="C1879" s="2" t="s">
        <v>9</v>
      </c>
      <c r="D1879" s="2" t="s">
        <v>10</v>
      </c>
      <c r="E1879" s="2" t="str">
        <f>HYPERLINK("http://ts.21cn.com/tousu/show/id/1332422","http://ts.21cn.com/tousu/show/id/1332422")</f>
        <v>http://ts.21cn.com/tousu/show/id/1332422</v>
      </c>
      <c r="F1879" s="2" t="s">
        <v>11</v>
      </c>
      <c r="G1879" s="2" t="s">
        <v>40447</v>
      </c>
      <c r="H1879" s="2" t="s">
        <v>40448</v>
      </c>
    </row>
    <row r="1880" spans="1:8" ht="25.05" customHeight="1" x14ac:dyDescent="0.25">
      <c r="A1880" s="2" t="s">
        <v>8</v>
      </c>
      <c r="B1880" s="2" t="str">
        <f>HYPERLINK("http://ts.21cn.com/tousu/show/id/1332421","饿了么超级会员欺诈消费者")</f>
        <v>饿了么超级会员欺诈消费者</v>
      </c>
      <c r="C1880" s="2" t="s">
        <v>9</v>
      </c>
      <c r="D1880" s="2" t="s">
        <v>10</v>
      </c>
      <c r="E1880" s="2" t="str">
        <f>HYPERLINK("http://ts.21cn.com/tousu/show/id/1332421","http://ts.21cn.com/tousu/show/id/1332421")</f>
        <v>http://ts.21cn.com/tousu/show/id/1332421</v>
      </c>
      <c r="F1880" s="2" t="s">
        <v>11</v>
      </c>
      <c r="G1880" s="2" t="s">
        <v>40445</v>
      </c>
      <c r="H1880" s="2" t="s">
        <v>40446</v>
      </c>
    </row>
    <row r="1881" spans="1:8" ht="25.05" customHeight="1" x14ac:dyDescent="0.25">
      <c r="A1881" s="2" t="s">
        <v>8</v>
      </c>
      <c r="B1881" s="2" t="str">
        <f>HYPERLINK("http://ts.21cn.com/tousu/show/id/1330758","喵下贷违法高利贷")</f>
        <v>喵下贷违法高利贷</v>
      </c>
      <c r="C1881" s="2" t="s">
        <v>9</v>
      </c>
      <c r="D1881" s="2" t="s">
        <v>10</v>
      </c>
      <c r="E1881" s="2" t="str">
        <f>HYPERLINK("http://ts.21cn.com/tousu/show/id/1330758","http://ts.21cn.com/tousu/show/id/1330758")</f>
        <v>http://ts.21cn.com/tousu/show/id/1330758</v>
      </c>
      <c r="F1881" s="2" t="s">
        <v>11</v>
      </c>
      <c r="G1881" s="2" t="s">
        <v>40443</v>
      </c>
      <c r="H1881" s="2" t="s">
        <v>40444</v>
      </c>
    </row>
    <row r="1882" spans="1:8" ht="25.05" customHeight="1" x14ac:dyDescent="0.25">
      <c r="A1882" s="2" t="s">
        <v>8</v>
      </c>
      <c r="B1882" s="2" t="str">
        <f>HYPERLINK("http://ts.21cn.com/tousu/show/id/1332423","中金支付盗刷扣款")</f>
        <v>中金支付盗刷扣款</v>
      </c>
      <c r="C1882" s="2" t="s">
        <v>9</v>
      </c>
      <c r="D1882" s="2" t="s">
        <v>10</v>
      </c>
      <c r="E1882" s="2" t="str">
        <f>HYPERLINK("http://ts.21cn.com/tousu/show/id/1332423","http://ts.21cn.com/tousu/show/id/1332423")</f>
        <v>http://ts.21cn.com/tousu/show/id/1332423</v>
      </c>
      <c r="F1882" s="2" t="s">
        <v>11</v>
      </c>
      <c r="G1882" s="2" t="s">
        <v>40441</v>
      </c>
      <c r="H1882" s="2" t="s">
        <v>40442</v>
      </c>
    </row>
    <row r="1883" spans="1:8" ht="25.05" customHeight="1" x14ac:dyDescent="0.25">
      <c r="A1883" s="2" t="s">
        <v>8</v>
      </c>
      <c r="B1883" s="2" t="str">
        <f>HYPERLINK("http://ts.21cn.com/tousu/show/id/1332273","贷上钱里的圈圈分期高利贷")</f>
        <v>贷上钱里的圈圈分期高利贷</v>
      </c>
      <c r="C1883" s="2" t="s">
        <v>9</v>
      </c>
      <c r="D1883" s="2" t="s">
        <v>10</v>
      </c>
      <c r="E1883" s="2" t="str">
        <f>HYPERLINK("http://ts.21cn.com/tousu/show/id/1332273","http://ts.21cn.com/tousu/show/id/1332273")</f>
        <v>http://ts.21cn.com/tousu/show/id/1332273</v>
      </c>
      <c r="F1883" s="2" t="s">
        <v>11</v>
      </c>
      <c r="G1883" s="2" t="s">
        <v>40439</v>
      </c>
      <c r="H1883" s="2" t="s">
        <v>40440</v>
      </c>
    </row>
    <row r="1884" spans="1:8" ht="25.05" customHeight="1" x14ac:dyDescent="0.25">
      <c r="A1884" s="2" t="s">
        <v>8</v>
      </c>
      <c r="B1884" s="2" t="str">
        <f>HYPERLINK("http://ts.21cn.com/tousu/show/id/1332424","光大银行被分期扣高额手续费")</f>
        <v>光大银行被分期扣高额手续费</v>
      </c>
      <c r="C1884" s="2" t="s">
        <v>9</v>
      </c>
      <c r="D1884" s="2" t="s">
        <v>10</v>
      </c>
      <c r="E1884" s="2" t="str">
        <f>HYPERLINK("http://ts.21cn.com/tousu/show/id/1332424","http://ts.21cn.com/tousu/show/id/1332424")</f>
        <v>http://ts.21cn.com/tousu/show/id/1332424</v>
      </c>
      <c r="F1884" s="2" t="s">
        <v>11</v>
      </c>
      <c r="G1884" s="2" t="s">
        <v>40437</v>
      </c>
      <c r="H1884" s="2" t="s">
        <v>40438</v>
      </c>
    </row>
    <row r="1885" spans="1:8" ht="25.05" customHeight="1" x14ac:dyDescent="0.25">
      <c r="A1885" s="2" t="s">
        <v>8</v>
      </c>
      <c r="B1885" s="2" t="str">
        <f>HYPERLINK("http://ts.21cn.com/tousu/show/id/1332425","现金巴士高利贷砍头息逾期费高")</f>
        <v>现金巴士高利贷砍头息逾期费高</v>
      </c>
      <c r="C1885" s="2" t="s">
        <v>9</v>
      </c>
      <c r="D1885" s="2" t="s">
        <v>10</v>
      </c>
      <c r="E1885" s="2" t="str">
        <f>HYPERLINK("http://ts.21cn.com/tousu/show/id/1332425","http://ts.21cn.com/tousu/show/id/1332425")</f>
        <v>http://ts.21cn.com/tousu/show/id/1332425</v>
      </c>
      <c r="F1885" s="2" t="s">
        <v>11</v>
      </c>
      <c r="G1885" s="2" t="s">
        <v>40435</v>
      </c>
      <c r="H1885" s="2" t="s">
        <v>40436</v>
      </c>
    </row>
    <row r="1886" spans="1:8" ht="25.05" customHeight="1" x14ac:dyDescent="0.25">
      <c r="A1886" s="2" t="s">
        <v>8</v>
      </c>
      <c r="B1886" s="2" t="str">
        <f>HYPERLINK("http://ts.21cn.com/tousu/show/id/1332393","客服联系不了")</f>
        <v>客服联系不了</v>
      </c>
      <c r="C1886" s="2" t="s">
        <v>9</v>
      </c>
      <c r="D1886" s="2" t="s">
        <v>10</v>
      </c>
      <c r="E1886" s="2" t="str">
        <f>HYPERLINK("http://ts.21cn.com/tousu/show/id/1332393","http://ts.21cn.com/tousu/show/id/1332393")</f>
        <v>http://ts.21cn.com/tousu/show/id/1332393</v>
      </c>
      <c r="F1886" s="2" t="s">
        <v>11</v>
      </c>
      <c r="G1886" s="2" t="s">
        <v>40433</v>
      </c>
      <c r="H1886" s="2" t="s">
        <v>40434</v>
      </c>
    </row>
    <row r="1887" spans="1:8" ht="25.05" customHeight="1" x14ac:dyDescent="0.25">
      <c r="A1887" s="2" t="s">
        <v>8</v>
      </c>
      <c r="B1887" s="2" t="str">
        <f>HYPERLINK("http://ts.21cn.com/tousu/show/id/1332428","一刻分期贷款利息超高")</f>
        <v>一刻分期贷款利息超高</v>
      </c>
      <c r="C1887" s="2" t="s">
        <v>34</v>
      </c>
      <c r="D1887" s="2" t="s">
        <v>10</v>
      </c>
      <c r="E1887" s="2" t="str">
        <f>HYPERLINK("http://ts.21cn.com/tousu/show/id/1332428","http://ts.21cn.com/tousu/show/id/1332428")</f>
        <v>http://ts.21cn.com/tousu/show/id/1332428</v>
      </c>
      <c r="F1887" s="2" t="s">
        <v>11</v>
      </c>
      <c r="G1887" s="2" t="s">
        <v>40431</v>
      </c>
      <c r="H1887" s="2" t="s">
        <v>40432</v>
      </c>
    </row>
    <row r="1888" spans="1:8" ht="25.05" customHeight="1" x14ac:dyDescent="0.25">
      <c r="A1888" s="2" t="s">
        <v>8</v>
      </c>
      <c r="B1888" s="2" t="str">
        <f>HYPERLINK("http://ts.21cn.com/tousu/show/id/1332429","高炮费用套路贷")</f>
        <v>高炮费用套路贷</v>
      </c>
      <c r="C1888" s="2" t="s">
        <v>9</v>
      </c>
      <c r="D1888" s="2" t="s">
        <v>10</v>
      </c>
      <c r="E1888" s="2" t="str">
        <f>HYPERLINK("http://ts.21cn.com/tousu/show/id/1332429","http://ts.21cn.com/tousu/show/id/1332429")</f>
        <v>http://ts.21cn.com/tousu/show/id/1332429</v>
      </c>
      <c r="F1888" s="2" t="s">
        <v>11</v>
      </c>
      <c r="G1888" s="2" t="s">
        <v>40429</v>
      </c>
      <c r="H1888" s="2" t="s">
        <v>40430</v>
      </c>
    </row>
    <row r="1889" spans="1:8" ht="25.05" customHeight="1" x14ac:dyDescent="0.25">
      <c r="A1889" s="2" t="s">
        <v>8</v>
      </c>
      <c r="B1889" s="2" t="str">
        <f>HYPERLINK("http://ts.21cn.com/tousu/show/id/1332430","自由摩卡，超级马力贷，信用计划，高利贷")</f>
        <v>自由摩卡，超级马力贷，信用计划，高利贷</v>
      </c>
      <c r="C1889" s="2" t="s">
        <v>9</v>
      </c>
      <c r="D1889" s="2" t="s">
        <v>10</v>
      </c>
      <c r="E1889" s="2" t="str">
        <f>HYPERLINK("http://ts.21cn.com/tousu/show/id/1332430","http://ts.21cn.com/tousu/show/id/1332430")</f>
        <v>http://ts.21cn.com/tousu/show/id/1332430</v>
      </c>
      <c r="F1889" s="2" t="s">
        <v>11</v>
      </c>
      <c r="G1889" s="2" t="s">
        <v>40427</v>
      </c>
      <c r="H1889" s="2" t="s">
        <v>40428</v>
      </c>
    </row>
    <row r="1890" spans="1:8" ht="25.05" customHeight="1" x14ac:dyDescent="0.25">
      <c r="A1890" s="2" t="s">
        <v>8</v>
      </c>
      <c r="B1890" s="2" t="str">
        <f>HYPERLINK("http://ts.21cn.com/tousu/show/id/1332431","通联沪快恶意扣农行卡296元给宏萨（上海）信息科技有限公司司")</f>
        <v>通联沪快恶意扣农行卡296元给宏萨（上海）信息科技有限公司司</v>
      </c>
      <c r="C1890" s="2" t="s">
        <v>9</v>
      </c>
      <c r="D1890" s="2" t="s">
        <v>10</v>
      </c>
      <c r="E1890" s="2" t="str">
        <f>HYPERLINK("http://ts.21cn.com/tousu/show/id/1332431","http://ts.21cn.com/tousu/show/id/1332431")</f>
        <v>http://ts.21cn.com/tousu/show/id/1332431</v>
      </c>
      <c r="F1890" s="2" t="s">
        <v>11</v>
      </c>
      <c r="G1890" s="2" t="s">
        <v>40425</v>
      </c>
      <c r="H1890" s="2" t="s">
        <v>40426</v>
      </c>
    </row>
    <row r="1891" spans="1:8" ht="25.05" customHeight="1" x14ac:dyDescent="0.25">
      <c r="A1891" s="2" t="s">
        <v>8</v>
      </c>
      <c r="B1891" s="2" t="str">
        <f>HYPERLINK("http://ts.21cn.com/tousu/show/id/1332440","云闪付为违规赌博网站提供支付")</f>
        <v>云闪付为违规赌博网站提供支付</v>
      </c>
      <c r="C1891" s="2" t="s">
        <v>9</v>
      </c>
      <c r="D1891" s="2" t="s">
        <v>10</v>
      </c>
      <c r="E1891" s="2" t="str">
        <f>HYPERLINK("http://ts.21cn.com/tousu/show/id/1332440","http://ts.21cn.com/tousu/show/id/1332440")</f>
        <v>http://ts.21cn.com/tousu/show/id/1332440</v>
      </c>
      <c r="F1891" s="2" t="s">
        <v>11</v>
      </c>
      <c r="G1891" s="2" t="s">
        <v>40423</v>
      </c>
      <c r="H1891" s="2" t="s">
        <v>40424</v>
      </c>
    </row>
    <row r="1892" spans="1:8" ht="25.05" customHeight="1" x14ac:dyDescent="0.25">
      <c r="A1892" s="2" t="s">
        <v>8</v>
      </c>
      <c r="B1892" s="2" t="str">
        <f>HYPERLINK("http://ts.21cn.com/tousu/show/id/1332432","无法处理欠款一直轰炸手机")</f>
        <v>无法处理欠款一直轰炸手机</v>
      </c>
      <c r="C1892" s="2" t="s">
        <v>9</v>
      </c>
      <c r="D1892" s="2" t="s">
        <v>10</v>
      </c>
      <c r="E1892" s="2" t="str">
        <f>HYPERLINK("http://ts.21cn.com/tousu/show/id/1332432","http://ts.21cn.com/tousu/show/id/1332432")</f>
        <v>http://ts.21cn.com/tousu/show/id/1332432</v>
      </c>
      <c r="F1892" s="2" t="s">
        <v>11</v>
      </c>
      <c r="G1892" s="2" t="s">
        <v>40421</v>
      </c>
      <c r="H1892" s="2" t="s">
        <v>40422</v>
      </c>
    </row>
    <row r="1893" spans="1:8" ht="25.05" customHeight="1" x14ac:dyDescent="0.25">
      <c r="A1893" s="2" t="s">
        <v>8</v>
      </c>
      <c r="B1893" s="2" t="str">
        <f>HYPERLINK("http://ts.21cn.com/tousu/show/id/1332433","中国联通欺诈消费者错误计费、区别对待消费者")</f>
        <v>中国联通欺诈消费者错误计费、区别对待消费者</v>
      </c>
      <c r="C1893" s="2" t="s">
        <v>9</v>
      </c>
      <c r="D1893" s="2" t="s">
        <v>10</v>
      </c>
      <c r="E1893" s="2" t="str">
        <f>HYPERLINK("http://ts.21cn.com/tousu/show/id/1332433","http://ts.21cn.com/tousu/show/id/1332433")</f>
        <v>http://ts.21cn.com/tousu/show/id/1332433</v>
      </c>
      <c r="F1893" s="2" t="s">
        <v>11</v>
      </c>
      <c r="G1893" s="2" t="s">
        <v>40419</v>
      </c>
      <c r="H1893" s="2" t="s">
        <v>40420</v>
      </c>
    </row>
    <row r="1894" spans="1:8" ht="25.05" customHeight="1" x14ac:dyDescent="0.25">
      <c r="A1894" s="2" t="s">
        <v>8</v>
      </c>
      <c r="B1894" s="2" t="str">
        <f>HYPERLINK("http://ts.21cn.com/tousu/show/id/1332434","百事普惠恶意扣款")</f>
        <v>百事普惠恶意扣款</v>
      </c>
      <c r="C1894" s="2" t="s">
        <v>9</v>
      </c>
      <c r="D1894" s="2" t="s">
        <v>10</v>
      </c>
      <c r="E1894" s="2" t="str">
        <f>HYPERLINK("http://ts.21cn.com/tousu/show/id/1332434","http://ts.21cn.com/tousu/show/id/1332434")</f>
        <v>http://ts.21cn.com/tousu/show/id/1332434</v>
      </c>
      <c r="F1894" s="2" t="s">
        <v>11</v>
      </c>
      <c r="G1894" s="2" t="s">
        <v>40417</v>
      </c>
      <c r="H1894" s="2" t="s">
        <v>40418</v>
      </c>
    </row>
    <row r="1895" spans="1:8" ht="25.05" customHeight="1" x14ac:dyDescent="0.25">
      <c r="A1895" s="2" t="s">
        <v>8</v>
      </c>
      <c r="B1895" s="2" t="str">
        <f>HYPERLINK("http://ts.21cn.com/tousu/show/id/1332436","恶意扣款")</f>
        <v>恶意扣款</v>
      </c>
      <c r="C1895" s="2" t="s">
        <v>9</v>
      </c>
      <c r="D1895" s="2" t="s">
        <v>10</v>
      </c>
      <c r="E1895" s="2" t="str">
        <f>HYPERLINK("http://ts.21cn.com/tousu/show/id/1332436","http://ts.21cn.com/tousu/show/id/1332436")</f>
        <v>http://ts.21cn.com/tousu/show/id/1332436</v>
      </c>
      <c r="F1895" s="2" t="s">
        <v>11</v>
      </c>
      <c r="G1895" s="2" t="s">
        <v>40415</v>
      </c>
      <c r="H1895" s="2" t="s">
        <v>40416</v>
      </c>
    </row>
    <row r="1896" spans="1:8" ht="25.05" customHeight="1" x14ac:dyDescent="0.25">
      <c r="A1896" s="2" t="s">
        <v>8</v>
      </c>
      <c r="B1896" s="2" t="str">
        <f>HYPERLINK("http://ts.21cn.com/tousu/show/id/1332437","钱包易贷强制保险高利贷")</f>
        <v>钱包易贷强制保险高利贷</v>
      </c>
      <c r="C1896" s="2" t="s">
        <v>9</v>
      </c>
      <c r="D1896" s="2" t="s">
        <v>10</v>
      </c>
      <c r="E1896" s="2" t="str">
        <f>HYPERLINK("http://ts.21cn.com/tousu/show/id/1332437","http://ts.21cn.com/tousu/show/id/1332437")</f>
        <v>http://ts.21cn.com/tousu/show/id/1332437</v>
      </c>
      <c r="F1896" s="2" t="s">
        <v>11</v>
      </c>
      <c r="G1896" s="2" t="s">
        <v>40413</v>
      </c>
      <c r="H1896" s="2" t="s">
        <v>40414</v>
      </c>
    </row>
    <row r="1897" spans="1:8" ht="25.05" customHeight="1" x14ac:dyDescent="0.25">
      <c r="A1897" s="2" t="s">
        <v>8</v>
      </c>
      <c r="B1897" s="2" t="str">
        <f>HYPERLINK("http://ts.21cn.com/tousu/show/id/1332435","宜人贷违反发票管理法规开具发票，偷税漏税")</f>
        <v>宜人贷违反发票管理法规开具发票，偷税漏税</v>
      </c>
      <c r="C1897" s="2" t="s">
        <v>9</v>
      </c>
      <c r="D1897" s="2" t="s">
        <v>10</v>
      </c>
      <c r="E1897" s="2" t="str">
        <f>HYPERLINK("http://ts.21cn.com/tousu/show/id/1332435","http://ts.21cn.com/tousu/show/id/1332435")</f>
        <v>http://ts.21cn.com/tousu/show/id/1332435</v>
      </c>
      <c r="F1897" s="2" t="s">
        <v>11</v>
      </c>
      <c r="G1897" s="2" t="s">
        <v>40411</v>
      </c>
      <c r="H1897" s="2" t="s">
        <v>40412</v>
      </c>
    </row>
    <row r="1898" spans="1:8" ht="25.05" customHeight="1" x14ac:dyDescent="0.25">
      <c r="A1898" s="2" t="s">
        <v>8</v>
      </c>
      <c r="B1898" s="2" t="str">
        <f>HYPERLINK("http://ts.21cn.com/tousu/show/id/1332438","的士联盟乘客未付车费")</f>
        <v>的士联盟乘客未付车费</v>
      </c>
      <c r="C1898" s="2" t="s">
        <v>34</v>
      </c>
      <c r="D1898" s="2" t="s">
        <v>10</v>
      </c>
      <c r="E1898" s="2" t="str">
        <f>HYPERLINK("http://ts.21cn.com/tousu/show/id/1332438","http://ts.21cn.com/tousu/show/id/1332438")</f>
        <v>http://ts.21cn.com/tousu/show/id/1332438</v>
      </c>
      <c r="F1898" s="2" t="s">
        <v>11</v>
      </c>
      <c r="G1898" s="2" t="s">
        <v>40409</v>
      </c>
      <c r="H1898" s="2" t="s">
        <v>40410</v>
      </c>
    </row>
    <row r="1899" spans="1:8" ht="25.05" customHeight="1" x14ac:dyDescent="0.25">
      <c r="A1899" s="2" t="s">
        <v>8</v>
      </c>
      <c r="B1899" s="2" t="str">
        <f>HYPERLINK("http://ts.21cn.com/tousu/show/id/1332441","无缘无故扣我钱")</f>
        <v>无缘无故扣我钱</v>
      </c>
      <c r="C1899" s="2" t="s">
        <v>9</v>
      </c>
      <c r="D1899" s="2" t="s">
        <v>10</v>
      </c>
      <c r="E1899" s="2" t="str">
        <f>HYPERLINK("http://ts.21cn.com/tousu/show/id/1332441","http://ts.21cn.com/tousu/show/id/1332441")</f>
        <v>http://ts.21cn.com/tousu/show/id/1332441</v>
      </c>
      <c r="F1899" s="2" t="s">
        <v>11</v>
      </c>
      <c r="G1899" s="2" t="s">
        <v>40407</v>
      </c>
      <c r="H1899" s="2" t="s">
        <v>40408</v>
      </c>
    </row>
    <row r="1900" spans="1:8" ht="25.05" customHeight="1" x14ac:dyDescent="0.25">
      <c r="A1900" s="2" t="s">
        <v>8</v>
      </c>
      <c r="B1900" s="2" t="str">
        <f>HYPERLINK("http://ts.21cn.com/tousu/show/id/1332442","高利贷砍头息")</f>
        <v>高利贷砍头息</v>
      </c>
      <c r="C1900" s="2" t="s">
        <v>9</v>
      </c>
      <c r="D1900" s="2" t="s">
        <v>10</v>
      </c>
      <c r="E1900" s="2" t="str">
        <f>HYPERLINK("http://ts.21cn.com/tousu/show/id/1332442","http://ts.21cn.com/tousu/show/id/1332442")</f>
        <v>http://ts.21cn.com/tousu/show/id/1332442</v>
      </c>
      <c r="F1900" s="2" t="s">
        <v>11</v>
      </c>
      <c r="G1900" s="2" t="s">
        <v>40405</v>
      </c>
      <c r="H1900" s="2" t="s">
        <v>40406</v>
      </c>
    </row>
    <row r="1901" spans="1:8" ht="25.05" customHeight="1" x14ac:dyDescent="0.25">
      <c r="A1901" s="2" t="s">
        <v>8</v>
      </c>
      <c r="B1901" s="2" t="str">
        <f>HYPERLINK("http://ts.21cn.com/tousu/show/id/1332388","盈盈有钱收取高额利息和所谓的平台费服务费等相关高额费用")</f>
        <v>盈盈有钱收取高额利息和所谓的平台费服务费等相关高额费用</v>
      </c>
      <c r="C1901" s="2" t="s">
        <v>9</v>
      </c>
      <c r="D1901" s="2" t="s">
        <v>10</v>
      </c>
      <c r="E1901" s="2" t="str">
        <f>HYPERLINK("http://ts.21cn.com/tousu/show/id/1332388","http://ts.21cn.com/tousu/show/id/1332388")</f>
        <v>http://ts.21cn.com/tousu/show/id/1332388</v>
      </c>
      <c r="F1901" s="2" t="s">
        <v>11</v>
      </c>
      <c r="G1901" s="2" t="s">
        <v>40403</v>
      </c>
      <c r="H1901" s="2" t="s">
        <v>40404</v>
      </c>
    </row>
    <row r="1902" spans="1:8" ht="25.05" customHeight="1" x14ac:dyDescent="0.25">
      <c r="A1902" s="2" t="s">
        <v>8</v>
      </c>
      <c r="B1902" s="2" t="str">
        <f>HYPERLINK("http://ts.21cn.com/tousu/show/id/1332426","微信被冻结微信零钱需要支取急用")</f>
        <v>微信被冻结微信零钱需要支取急用</v>
      </c>
      <c r="C1902" s="2" t="s">
        <v>9</v>
      </c>
      <c r="D1902" s="2" t="s">
        <v>10</v>
      </c>
      <c r="E1902" s="2" t="str">
        <f>HYPERLINK("http://ts.21cn.com/tousu/show/id/1332426","http://ts.21cn.com/tousu/show/id/1332426")</f>
        <v>http://ts.21cn.com/tousu/show/id/1332426</v>
      </c>
      <c r="F1902" s="2" t="s">
        <v>11</v>
      </c>
      <c r="G1902" s="2" t="s">
        <v>40401</v>
      </c>
      <c r="H1902" s="2" t="s">
        <v>40402</v>
      </c>
    </row>
    <row r="1903" spans="1:8" ht="25.05" customHeight="1" x14ac:dyDescent="0.25">
      <c r="A1903" s="2" t="s">
        <v>8</v>
      </c>
      <c r="B1903" s="2" t="str">
        <f>HYPERLINK("http://ts.21cn.com/tousu/show/id/1332443","青春宝高利贷")</f>
        <v>青春宝高利贷</v>
      </c>
      <c r="C1903" s="2" t="s">
        <v>9</v>
      </c>
      <c r="D1903" s="2" t="s">
        <v>10</v>
      </c>
      <c r="E1903" s="2" t="str">
        <f>HYPERLINK("http://ts.21cn.com/tousu/show/id/1332443","http://ts.21cn.com/tousu/show/id/1332443")</f>
        <v>http://ts.21cn.com/tousu/show/id/1332443</v>
      </c>
      <c r="F1903" s="2" t="s">
        <v>11</v>
      </c>
      <c r="G1903" s="2" t="s">
        <v>40399</v>
      </c>
      <c r="H1903" s="2" t="s">
        <v>40400</v>
      </c>
    </row>
    <row r="1904" spans="1:8" ht="25.05" customHeight="1" x14ac:dyDescent="0.25">
      <c r="A1904" s="2" t="s">
        <v>8</v>
      </c>
      <c r="B1904" s="2" t="str">
        <f>HYPERLINK("http://ts.21cn.com/tousu/show/id/1332445","维信金科豆豆钱")</f>
        <v>维信金科豆豆钱</v>
      </c>
      <c r="C1904" s="2" t="s">
        <v>9</v>
      </c>
      <c r="D1904" s="2" t="s">
        <v>10</v>
      </c>
      <c r="E1904" s="2" t="str">
        <f>HYPERLINK("http://ts.21cn.com/tousu/show/id/1332445","http://ts.21cn.com/tousu/show/id/1332445")</f>
        <v>http://ts.21cn.com/tousu/show/id/1332445</v>
      </c>
      <c r="F1904" s="2" t="s">
        <v>11</v>
      </c>
      <c r="G1904" s="2" t="s">
        <v>40397</v>
      </c>
      <c r="H1904" s="2" t="s">
        <v>40398</v>
      </c>
    </row>
    <row r="1905" spans="1:8" ht="25.05" customHeight="1" x14ac:dyDescent="0.25">
      <c r="A1905" s="2" t="s">
        <v>8</v>
      </c>
      <c r="B1905" s="2" t="str">
        <f>HYPERLINK("http://ts.21cn.com/tousu/show/id/1332446","产品误导消费者，广州椰奥食品有限公司")</f>
        <v>产品误导消费者，广州椰奥食品有限公司</v>
      </c>
      <c r="C1905" s="2" t="s">
        <v>9</v>
      </c>
      <c r="D1905" s="2" t="s">
        <v>10</v>
      </c>
      <c r="E1905" s="2" t="str">
        <f>HYPERLINK("http://ts.21cn.com/tousu/show/id/1332446","http://ts.21cn.com/tousu/show/id/1332446")</f>
        <v>http://ts.21cn.com/tousu/show/id/1332446</v>
      </c>
      <c r="F1905" s="2" t="s">
        <v>11</v>
      </c>
      <c r="G1905" s="2" t="s">
        <v>40395</v>
      </c>
      <c r="H1905" s="2" t="s">
        <v>40396</v>
      </c>
    </row>
    <row r="1906" spans="1:8" ht="25.05" customHeight="1" x14ac:dyDescent="0.25">
      <c r="A1906" s="2" t="s">
        <v>8</v>
      </c>
      <c r="B1906" s="2" t="str">
        <f>HYPERLINK("http://ts.21cn.com/tousu/show/id/1332447","盈盈有钱属于高利贷")</f>
        <v>盈盈有钱属于高利贷</v>
      </c>
      <c r="C1906" s="2" t="s">
        <v>9</v>
      </c>
      <c r="D1906" s="2" t="s">
        <v>10</v>
      </c>
      <c r="E1906" s="2" t="str">
        <f>HYPERLINK("http://ts.21cn.com/tousu/show/id/1332447","http://ts.21cn.com/tousu/show/id/1332447")</f>
        <v>http://ts.21cn.com/tousu/show/id/1332447</v>
      </c>
      <c r="F1906" s="2" t="s">
        <v>11</v>
      </c>
      <c r="G1906" s="2" t="s">
        <v>40393</v>
      </c>
      <c r="H1906" s="2" t="s">
        <v>40394</v>
      </c>
    </row>
    <row r="1907" spans="1:8" ht="25.05" customHeight="1" x14ac:dyDescent="0.25">
      <c r="A1907" s="2" t="s">
        <v>8</v>
      </c>
      <c r="B1907" s="2" t="str">
        <f>HYPERLINK("http://ts.21cn.com/tousu/show/id/1332448","爱奇艺微信恶意扣费")</f>
        <v>爱奇艺微信恶意扣费</v>
      </c>
      <c r="C1907" s="2" t="s">
        <v>9</v>
      </c>
      <c r="D1907" s="2" t="s">
        <v>10</v>
      </c>
      <c r="E1907" s="2" t="str">
        <f>HYPERLINK("http://ts.21cn.com/tousu/show/id/1332448","http://ts.21cn.com/tousu/show/id/1332448")</f>
        <v>http://ts.21cn.com/tousu/show/id/1332448</v>
      </c>
      <c r="F1907" s="2" t="s">
        <v>11</v>
      </c>
      <c r="G1907" s="2" t="s">
        <v>40391</v>
      </c>
      <c r="H1907" s="2" t="s">
        <v>40392</v>
      </c>
    </row>
    <row r="1908" spans="1:8" ht="25.05" customHeight="1" x14ac:dyDescent="0.25">
      <c r="A1908" s="2" t="s">
        <v>8</v>
      </c>
      <c r="B1908" s="2" t="str">
        <f>HYPERLINK("http://ts.21cn.com/tousu/show/id/1332449","高利息高炮仍在猖狂")</f>
        <v>高利息高炮仍在猖狂</v>
      </c>
      <c r="C1908" s="2" t="s">
        <v>9</v>
      </c>
      <c r="D1908" s="2" t="s">
        <v>10</v>
      </c>
      <c r="E1908" s="2" t="str">
        <f>HYPERLINK("http://ts.21cn.com/tousu/show/id/1332449","http://ts.21cn.com/tousu/show/id/1332449")</f>
        <v>http://ts.21cn.com/tousu/show/id/1332449</v>
      </c>
      <c r="F1908" s="2" t="s">
        <v>11</v>
      </c>
      <c r="G1908" s="2" t="s">
        <v>40389</v>
      </c>
      <c r="H1908" s="2" t="s">
        <v>40390</v>
      </c>
    </row>
    <row r="1909" spans="1:8" ht="25.05" customHeight="1" x14ac:dyDescent="0.25">
      <c r="A1909" s="2" t="s">
        <v>8</v>
      </c>
      <c r="B1909" s="2" t="str">
        <f>HYPERLINK("http://ts.21cn.com/tousu/show/id/1332450","树林分期高利贷")</f>
        <v>树林分期高利贷</v>
      </c>
      <c r="C1909" s="2" t="s">
        <v>9</v>
      </c>
      <c r="D1909" s="2" t="s">
        <v>10</v>
      </c>
      <c r="E1909" s="2" t="str">
        <f>HYPERLINK("http://ts.21cn.com/tousu/show/id/1332450","http://ts.21cn.com/tousu/show/id/1332450")</f>
        <v>http://ts.21cn.com/tousu/show/id/1332450</v>
      </c>
      <c r="F1909" s="2" t="s">
        <v>11</v>
      </c>
      <c r="G1909" s="2" t="s">
        <v>40387</v>
      </c>
      <c r="H1909" s="2" t="s">
        <v>40388</v>
      </c>
    </row>
    <row r="1910" spans="1:8" ht="25.05" customHeight="1" x14ac:dyDescent="0.25">
      <c r="A1910" s="2" t="s">
        <v>8</v>
      </c>
      <c r="B1910" s="2" t="str">
        <f>HYPERLINK("http://ts.21cn.com/tousu/show/id/1332451","微博绑定不了淘宝导致钱包里的钱不能提现")</f>
        <v>微博绑定不了淘宝导致钱包里的钱不能提现</v>
      </c>
      <c r="C1910" s="2" t="s">
        <v>9</v>
      </c>
      <c r="D1910" s="2" t="s">
        <v>10</v>
      </c>
      <c r="E1910" s="2" t="str">
        <f>HYPERLINK("http://ts.21cn.com/tousu/show/id/1332451","http://ts.21cn.com/tousu/show/id/1332451")</f>
        <v>http://ts.21cn.com/tousu/show/id/1332451</v>
      </c>
      <c r="F1910" s="2" t="s">
        <v>11</v>
      </c>
      <c r="G1910" s="2" t="s">
        <v>40385</v>
      </c>
      <c r="H1910" s="2" t="s">
        <v>40386</v>
      </c>
    </row>
    <row r="1911" spans="1:8" ht="25.05" customHeight="1" x14ac:dyDescent="0.25">
      <c r="A1911" s="2" t="s">
        <v>8</v>
      </c>
      <c r="B1911" s="2" t="str">
        <f>HYPERLINK("http://ts.21cn.com/tousu/show/id/1332452","闪银收取手续费")</f>
        <v>闪银收取手续费</v>
      </c>
      <c r="C1911" s="2" t="s">
        <v>9</v>
      </c>
      <c r="D1911" s="2" t="s">
        <v>10</v>
      </c>
      <c r="E1911" s="2" t="str">
        <f>HYPERLINK("http://ts.21cn.com/tousu/show/id/1332452","http://ts.21cn.com/tousu/show/id/1332452")</f>
        <v>http://ts.21cn.com/tousu/show/id/1332452</v>
      </c>
      <c r="F1911" s="2" t="s">
        <v>11</v>
      </c>
      <c r="G1911" s="2" t="s">
        <v>40383</v>
      </c>
      <c r="H1911" s="2" t="s">
        <v>40384</v>
      </c>
    </row>
    <row r="1912" spans="1:8" ht="25.05" customHeight="1" x14ac:dyDescent="0.25">
      <c r="A1912" s="2" t="s">
        <v>8</v>
      </c>
      <c r="B1912" s="2" t="str">
        <f>HYPERLINK("http://ts.21cn.com/tousu/show/id/1332453","工商银行的自己看吧，害了不少人")</f>
        <v>工商银行的自己看吧，害了不少人</v>
      </c>
      <c r="C1912" s="2" t="s">
        <v>9</v>
      </c>
      <c r="D1912" s="2" t="s">
        <v>10</v>
      </c>
      <c r="E1912" s="2" t="str">
        <f>HYPERLINK("http://ts.21cn.com/tousu/show/id/1332453","http://ts.21cn.com/tousu/show/id/1332453")</f>
        <v>http://ts.21cn.com/tousu/show/id/1332453</v>
      </c>
      <c r="F1912" s="2" t="s">
        <v>11</v>
      </c>
      <c r="G1912" s="2" t="s">
        <v>40381</v>
      </c>
      <c r="H1912" s="2" t="s">
        <v>40382</v>
      </c>
    </row>
    <row r="1913" spans="1:8" ht="25.05" customHeight="1" x14ac:dyDescent="0.25">
      <c r="A1913" s="2" t="s">
        <v>8</v>
      </c>
      <c r="B1913" s="2" t="str">
        <f>HYPERLINK("http://ts.21cn.com/tousu/show/id/1332456","玖富万卡高利贷")</f>
        <v>玖富万卡高利贷</v>
      </c>
      <c r="C1913" s="2" t="s">
        <v>9</v>
      </c>
      <c r="D1913" s="2" t="s">
        <v>10</v>
      </c>
      <c r="E1913" s="2" t="str">
        <f>HYPERLINK("http://ts.21cn.com/tousu/show/id/1332456","http://ts.21cn.com/tousu/show/id/1332456")</f>
        <v>http://ts.21cn.com/tousu/show/id/1332456</v>
      </c>
      <c r="F1913" s="2" t="s">
        <v>11</v>
      </c>
      <c r="G1913" s="2" t="s">
        <v>40379</v>
      </c>
      <c r="H1913" s="2" t="s">
        <v>40380</v>
      </c>
    </row>
    <row r="1914" spans="1:8" ht="25.05" customHeight="1" x14ac:dyDescent="0.25">
      <c r="A1914" s="2" t="s">
        <v>8</v>
      </c>
      <c r="B1914" s="2" t="str">
        <f>HYPERLINK("http://ts.21cn.com/tousu/show/id/1332457","提前结清减免费用")</f>
        <v>提前结清减免费用</v>
      </c>
      <c r="C1914" s="2" t="s">
        <v>9</v>
      </c>
      <c r="D1914" s="2" t="s">
        <v>10</v>
      </c>
      <c r="E1914" s="2" t="str">
        <f>HYPERLINK("http://ts.21cn.com/tousu/show/id/1332457","http://ts.21cn.com/tousu/show/id/1332457")</f>
        <v>http://ts.21cn.com/tousu/show/id/1332457</v>
      </c>
      <c r="F1914" s="2" t="s">
        <v>11</v>
      </c>
      <c r="G1914" s="2" t="s">
        <v>40377</v>
      </c>
      <c r="H1914" s="2" t="s">
        <v>40378</v>
      </c>
    </row>
    <row r="1915" spans="1:8" ht="25.05" customHeight="1" x14ac:dyDescent="0.25">
      <c r="A1915" s="2" t="s">
        <v>8</v>
      </c>
      <c r="B1915" s="2" t="str">
        <f>HYPERLINK("http://ts.21cn.com/tousu/show/id/1332458","联通流量欠费不停机导致我欠费200多元")</f>
        <v>联通流量欠费不停机导致我欠费200多元</v>
      </c>
      <c r="C1915" s="2" t="s">
        <v>9</v>
      </c>
      <c r="D1915" s="2" t="s">
        <v>10</v>
      </c>
      <c r="E1915" s="2" t="str">
        <f>HYPERLINK("http://ts.21cn.com/tousu/show/id/1332458","http://ts.21cn.com/tousu/show/id/1332458")</f>
        <v>http://ts.21cn.com/tousu/show/id/1332458</v>
      </c>
      <c r="F1915" s="2" t="s">
        <v>11</v>
      </c>
      <c r="G1915" s="2" t="s">
        <v>40375</v>
      </c>
      <c r="H1915" s="2" t="s">
        <v>40376</v>
      </c>
    </row>
    <row r="1916" spans="1:8" ht="25.05" customHeight="1" x14ac:dyDescent="0.25">
      <c r="A1916" s="2" t="s">
        <v>8</v>
      </c>
      <c r="B1916" s="2" t="str">
        <f>HYPERLINK("http://ts.21cn.com/tousu/show/id/1332459","立借平台高利息贷款没有明确告知客户分期还款金额")</f>
        <v>立借平台高利息贷款没有明确告知客户分期还款金额</v>
      </c>
      <c r="C1916" s="2" t="s">
        <v>34</v>
      </c>
      <c r="D1916" s="2" t="s">
        <v>10</v>
      </c>
      <c r="E1916" s="2" t="str">
        <f>HYPERLINK("http://ts.21cn.com/tousu/show/id/1332459","http://ts.21cn.com/tousu/show/id/1332459")</f>
        <v>http://ts.21cn.com/tousu/show/id/1332459</v>
      </c>
      <c r="F1916" s="2" t="s">
        <v>11</v>
      </c>
      <c r="G1916" s="2" t="s">
        <v>40373</v>
      </c>
      <c r="H1916" s="2" t="s">
        <v>40374</v>
      </c>
    </row>
    <row r="1917" spans="1:8" ht="25.05" customHeight="1" x14ac:dyDescent="0.25">
      <c r="A1917" s="2" t="s">
        <v>8</v>
      </c>
      <c r="B1917" s="2" t="str">
        <f>HYPERLINK("http://ts.21cn.com/tousu/show/id/1332460","被钱水艇网贷平台恶意扣款137元")</f>
        <v>被钱水艇网贷平台恶意扣款137元</v>
      </c>
      <c r="C1917" s="2" t="s">
        <v>9</v>
      </c>
      <c r="D1917" s="2" t="s">
        <v>10</v>
      </c>
      <c r="E1917" s="2" t="str">
        <f>HYPERLINK("http://ts.21cn.com/tousu/show/id/1332460","http://ts.21cn.com/tousu/show/id/1332460")</f>
        <v>http://ts.21cn.com/tousu/show/id/1332460</v>
      </c>
      <c r="F1917" s="2" t="s">
        <v>11</v>
      </c>
      <c r="G1917" s="2" t="s">
        <v>40371</v>
      </c>
      <c r="H1917" s="2" t="s">
        <v>40372</v>
      </c>
    </row>
    <row r="1918" spans="1:8" ht="25.05" customHeight="1" x14ac:dyDescent="0.25">
      <c r="A1918" s="2" t="s">
        <v>8</v>
      </c>
      <c r="B1918" s="2" t="str">
        <f>HYPERLINK("http://ts.21cn.com/tousu/show/id/1332461","投诉达飞云贷")</f>
        <v>投诉达飞云贷</v>
      </c>
      <c r="C1918" s="2" t="s">
        <v>9</v>
      </c>
      <c r="D1918" s="2" t="s">
        <v>10</v>
      </c>
      <c r="E1918" s="2" t="str">
        <f>HYPERLINK("http://ts.21cn.com/tousu/show/id/1332461","http://ts.21cn.com/tousu/show/id/1332461")</f>
        <v>http://ts.21cn.com/tousu/show/id/1332461</v>
      </c>
      <c r="F1918" s="2" t="s">
        <v>11</v>
      </c>
      <c r="G1918" s="2" t="s">
        <v>40369</v>
      </c>
      <c r="H1918" s="2" t="s">
        <v>40370</v>
      </c>
    </row>
    <row r="1919" spans="1:8" ht="25.05" customHeight="1" x14ac:dyDescent="0.25">
      <c r="A1919" s="2" t="s">
        <v>8</v>
      </c>
      <c r="B1919" s="2" t="str">
        <f>HYPERLINK("http://ts.21cn.com/tousu/show/id/1332462","智享贷变相砍头息，所谓什么信用成长计划，")</f>
        <v>智享贷变相砍头息，所谓什么信用成长计划，</v>
      </c>
      <c r="C1919" s="2" t="s">
        <v>9</v>
      </c>
      <c r="D1919" s="2" t="s">
        <v>10</v>
      </c>
      <c r="E1919" s="2" t="str">
        <f>HYPERLINK("http://ts.21cn.com/tousu/show/id/1332462","http://ts.21cn.com/tousu/show/id/1332462")</f>
        <v>http://ts.21cn.com/tousu/show/id/1332462</v>
      </c>
      <c r="F1919" s="2" t="s">
        <v>11</v>
      </c>
      <c r="G1919" s="2" t="s">
        <v>40367</v>
      </c>
      <c r="H1919" s="2" t="s">
        <v>40368</v>
      </c>
    </row>
    <row r="1920" spans="1:8" ht="25.05" customHeight="1" x14ac:dyDescent="0.25">
      <c r="A1920" s="2" t="s">
        <v>8</v>
      </c>
      <c r="B1920" s="2" t="str">
        <f>HYPERLINK("http://ts.21cn.com/tousu/show/id/1325410","为赌博平台洗钱，提供充值通道")</f>
        <v>为赌博平台洗钱，提供充值通道</v>
      </c>
      <c r="C1920" s="2" t="s">
        <v>9</v>
      </c>
      <c r="D1920" s="2" t="s">
        <v>10</v>
      </c>
      <c r="E1920" s="2" t="str">
        <f>HYPERLINK("http://ts.21cn.com/tousu/show/id/1325410","http://ts.21cn.com/tousu/show/id/1325410")</f>
        <v>http://ts.21cn.com/tousu/show/id/1325410</v>
      </c>
      <c r="F1920" s="2" t="s">
        <v>11</v>
      </c>
      <c r="G1920" s="2" t="s">
        <v>40365</v>
      </c>
      <c r="H1920" s="2" t="s">
        <v>40366</v>
      </c>
    </row>
    <row r="1921" spans="1:8" ht="25.05" customHeight="1" x14ac:dyDescent="0.25">
      <c r="A1921" s="2" t="s">
        <v>8</v>
      </c>
      <c r="B1921" s="2" t="str">
        <f>HYPERLINK("http://ts.21cn.com/tousu/show/id/1332463","微粒贷威胁恐吓")</f>
        <v>微粒贷威胁恐吓</v>
      </c>
      <c r="C1921" s="2" t="s">
        <v>9</v>
      </c>
      <c r="D1921" s="2" t="s">
        <v>10</v>
      </c>
      <c r="E1921" s="2" t="str">
        <f>HYPERLINK("http://ts.21cn.com/tousu/show/id/1332463","http://ts.21cn.com/tousu/show/id/1332463")</f>
        <v>http://ts.21cn.com/tousu/show/id/1332463</v>
      </c>
      <c r="F1921" s="2" t="s">
        <v>11</v>
      </c>
      <c r="G1921" s="2" t="s">
        <v>40363</v>
      </c>
      <c r="H1921" s="2" t="s">
        <v>40364</v>
      </c>
    </row>
    <row r="1922" spans="1:8" ht="25.05" customHeight="1" x14ac:dyDescent="0.25">
      <c r="A1922" s="2" t="s">
        <v>8</v>
      </c>
      <c r="B1922" s="2" t="str">
        <f>HYPERLINK("http://ts.21cn.com/tousu/show/id/1332464","永道小贷平台人工无法还款")</f>
        <v>永道小贷平台人工无法还款</v>
      </c>
      <c r="C1922" s="2" t="s">
        <v>9</v>
      </c>
      <c r="D1922" s="2" t="s">
        <v>10</v>
      </c>
      <c r="E1922" s="2" t="str">
        <f>HYPERLINK("http://ts.21cn.com/tousu/show/id/1332464","http://ts.21cn.com/tousu/show/id/1332464")</f>
        <v>http://ts.21cn.com/tousu/show/id/1332464</v>
      </c>
      <c r="F1922" s="2" t="s">
        <v>11</v>
      </c>
      <c r="G1922" s="2" t="s">
        <v>40361</v>
      </c>
      <c r="H1922" s="2" t="s">
        <v>40362</v>
      </c>
    </row>
    <row r="1923" spans="1:8" ht="25.05" customHeight="1" x14ac:dyDescent="0.25">
      <c r="A1923" s="2" t="s">
        <v>8</v>
      </c>
      <c r="B1923" s="2" t="str">
        <f>HYPERLINK("http://ts.21cn.com/tousu/show/id/1332465","贷上钱高利贷")</f>
        <v>贷上钱高利贷</v>
      </c>
      <c r="C1923" s="2" t="s">
        <v>9</v>
      </c>
      <c r="D1923" s="2" t="s">
        <v>10</v>
      </c>
      <c r="E1923" s="2" t="str">
        <f>HYPERLINK("http://ts.21cn.com/tousu/show/id/1332465","http://ts.21cn.com/tousu/show/id/1332465")</f>
        <v>http://ts.21cn.com/tousu/show/id/1332465</v>
      </c>
      <c r="F1923" s="2" t="s">
        <v>11</v>
      </c>
      <c r="G1923" s="2" t="s">
        <v>40359</v>
      </c>
      <c r="H1923" s="2" t="s">
        <v>40360</v>
      </c>
    </row>
    <row r="1924" spans="1:8" ht="25.05" customHeight="1" x14ac:dyDescent="0.25">
      <c r="A1924" s="2" t="s">
        <v>8</v>
      </c>
      <c r="B1924" s="2" t="str">
        <f>HYPERLINK("http://ts.21cn.com/tousu/show/id/1332466","误入套路贷，请求撤销借款合同，免除虚增借款，按实际借款偿还。")</f>
        <v>误入套路贷，请求撤销借款合同，免除虚增借款，按实际借款偿还。</v>
      </c>
      <c r="C1924" s="2" t="s">
        <v>9</v>
      </c>
      <c r="D1924" s="2" t="s">
        <v>10</v>
      </c>
      <c r="E1924" s="2" t="str">
        <f>HYPERLINK("http://ts.21cn.com/tousu/show/id/1332466","http://ts.21cn.com/tousu/show/id/1332466")</f>
        <v>http://ts.21cn.com/tousu/show/id/1332466</v>
      </c>
      <c r="F1924" s="2" t="s">
        <v>11</v>
      </c>
      <c r="G1924" s="2" t="s">
        <v>40357</v>
      </c>
      <c r="H1924" s="2" t="s">
        <v>40358</v>
      </c>
    </row>
    <row r="1925" spans="1:8" ht="25.05" customHeight="1" x14ac:dyDescent="0.25">
      <c r="A1925" s="2" t="s">
        <v>8</v>
      </c>
      <c r="B1925" s="2" t="str">
        <f>HYPERLINK("http://ts.21cn.com/tousu/show/id/1332467","高利贷、砍头息")</f>
        <v>高利贷、砍头息</v>
      </c>
      <c r="C1925" s="2" t="s">
        <v>9</v>
      </c>
      <c r="D1925" s="2" t="s">
        <v>10</v>
      </c>
      <c r="E1925" s="2" t="str">
        <f>HYPERLINK("http://ts.21cn.com/tousu/show/id/1332467","http://ts.21cn.com/tousu/show/id/1332467")</f>
        <v>http://ts.21cn.com/tousu/show/id/1332467</v>
      </c>
      <c r="F1925" s="2" t="s">
        <v>11</v>
      </c>
      <c r="G1925" s="2" t="s">
        <v>40355</v>
      </c>
      <c r="H1925" s="2" t="s">
        <v>40356</v>
      </c>
    </row>
    <row r="1926" spans="1:8" ht="25.05" customHeight="1" x14ac:dyDescent="0.25">
      <c r="A1926" s="2" t="s">
        <v>8</v>
      </c>
      <c r="B1926" s="2" t="str">
        <f>HYPERLINK("http://ts.21cn.com/tousu/show/id/1332469","地址错了，不给改地址")</f>
        <v>地址错了，不给改地址</v>
      </c>
      <c r="C1926" s="2" t="s">
        <v>34</v>
      </c>
      <c r="D1926" s="2" t="s">
        <v>10</v>
      </c>
      <c r="E1926" s="2" t="str">
        <f>HYPERLINK("http://ts.21cn.com/tousu/show/id/1332469","http://ts.21cn.com/tousu/show/id/1332469")</f>
        <v>http://ts.21cn.com/tousu/show/id/1332469</v>
      </c>
      <c r="F1926" s="2" t="s">
        <v>11</v>
      </c>
      <c r="G1926" s="2" t="s">
        <v>40353</v>
      </c>
      <c r="H1926" s="2" t="s">
        <v>40354</v>
      </c>
    </row>
    <row r="1927" spans="1:8" ht="25.05" customHeight="1" x14ac:dyDescent="0.25">
      <c r="A1927" s="2" t="s">
        <v>8</v>
      </c>
      <c r="B1927" s="2" t="str">
        <f>HYPERLINK("http://ts.21cn.com/tousu/show/id/1332468","高利息，暴力催收")</f>
        <v>高利息，暴力催收</v>
      </c>
      <c r="C1927" s="2" t="s">
        <v>9</v>
      </c>
      <c r="D1927" s="2" t="s">
        <v>10</v>
      </c>
      <c r="E1927" s="2" t="str">
        <f>HYPERLINK("http://ts.21cn.com/tousu/show/id/1332468","http://ts.21cn.com/tousu/show/id/1332468")</f>
        <v>http://ts.21cn.com/tousu/show/id/1332468</v>
      </c>
      <c r="F1927" s="2" t="s">
        <v>11</v>
      </c>
      <c r="G1927" s="2" t="s">
        <v>40351</v>
      </c>
      <c r="H1927" s="2" t="s">
        <v>40352</v>
      </c>
    </row>
    <row r="1928" spans="1:8" ht="25.05" customHeight="1" x14ac:dyDescent="0.25">
      <c r="A1928" s="2" t="s">
        <v>8</v>
      </c>
      <c r="B1928" s="2" t="str">
        <f>HYPERLINK("http://ts.21cn.com/tousu/show/id/1332470","建设银行你们的卡为非法平台提供方便")</f>
        <v>建设银行你们的卡为非法平台提供方便</v>
      </c>
      <c r="C1928" s="2" t="s">
        <v>9</v>
      </c>
      <c r="D1928" s="2" t="s">
        <v>10</v>
      </c>
      <c r="E1928" s="2" t="str">
        <f>HYPERLINK("http://ts.21cn.com/tousu/show/id/1332470","http://ts.21cn.com/tousu/show/id/1332470")</f>
        <v>http://ts.21cn.com/tousu/show/id/1332470</v>
      </c>
      <c r="F1928" s="2" t="s">
        <v>11</v>
      </c>
      <c r="G1928" s="2" t="s">
        <v>40349</v>
      </c>
      <c r="H1928" s="2" t="s">
        <v>40350</v>
      </c>
    </row>
    <row r="1929" spans="1:8" ht="25.05" customHeight="1" x14ac:dyDescent="0.25">
      <c r="A1929" s="2" t="s">
        <v>8</v>
      </c>
      <c r="B1929" s="2" t="str">
        <f>HYPERLINK("http://ts.21cn.com/tousu/show/id/1332471","无意购买保险请退费")</f>
        <v>无意购买保险请退费</v>
      </c>
      <c r="C1929" s="2" t="s">
        <v>9</v>
      </c>
      <c r="D1929" s="2" t="s">
        <v>10</v>
      </c>
      <c r="E1929" s="2" t="str">
        <f>HYPERLINK("http://ts.21cn.com/tousu/show/id/1332471","http://ts.21cn.com/tousu/show/id/1332471")</f>
        <v>http://ts.21cn.com/tousu/show/id/1332471</v>
      </c>
      <c r="F1929" s="2" t="s">
        <v>11</v>
      </c>
      <c r="G1929" s="2" t="s">
        <v>40347</v>
      </c>
      <c r="H1929" s="2" t="s">
        <v>40348</v>
      </c>
    </row>
    <row r="1930" spans="1:8" ht="25.05" customHeight="1" x14ac:dyDescent="0.25">
      <c r="A1930" s="2" t="s">
        <v>8</v>
      </c>
      <c r="B1930" s="2" t="str">
        <f>HYPERLINK("http://ts.21cn.com/tousu/show/id/1332455","淘天下app")</f>
        <v>淘天下app</v>
      </c>
      <c r="C1930" s="2" t="s">
        <v>9</v>
      </c>
      <c r="D1930" s="2" t="s">
        <v>10</v>
      </c>
      <c r="E1930" s="2" t="str">
        <f>HYPERLINK("http://ts.21cn.com/tousu/show/id/1332455","http://ts.21cn.com/tousu/show/id/1332455")</f>
        <v>http://ts.21cn.com/tousu/show/id/1332455</v>
      </c>
      <c r="F1930" s="2" t="s">
        <v>11</v>
      </c>
      <c r="G1930" s="2" t="s">
        <v>40345</v>
      </c>
      <c r="H1930" s="2" t="s">
        <v>40346</v>
      </c>
    </row>
    <row r="1931" spans="1:8" ht="25.05" customHeight="1" x14ac:dyDescent="0.25">
      <c r="A1931" s="2" t="s">
        <v>8</v>
      </c>
      <c r="B1931" s="2" t="str">
        <f>HYPERLINK("http://ts.21cn.com/tousu/show/id/1332473","好分期软暴力催收")</f>
        <v>好分期软暴力催收</v>
      </c>
      <c r="C1931" s="2" t="s">
        <v>9</v>
      </c>
      <c r="D1931" s="2" t="s">
        <v>10</v>
      </c>
      <c r="E1931" s="2" t="str">
        <f>HYPERLINK("http://ts.21cn.com/tousu/show/id/1332473","http://ts.21cn.com/tousu/show/id/1332473")</f>
        <v>http://ts.21cn.com/tousu/show/id/1332473</v>
      </c>
      <c r="F1931" s="2" t="s">
        <v>11</v>
      </c>
      <c r="G1931" s="2" t="s">
        <v>40343</v>
      </c>
      <c r="H1931" s="2" t="s">
        <v>40344</v>
      </c>
    </row>
    <row r="1932" spans="1:8" ht="25.05" customHeight="1" x14ac:dyDescent="0.25">
      <c r="A1932" s="2" t="s">
        <v>8</v>
      </c>
      <c r="B1932" s="2" t="str">
        <f>HYPERLINK("http://ts.21cn.com/tousu/show/id/1332474","海尔售后拖欠工资")</f>
        <v>海尔售后拖欠工资</v>
      </c>
      <c r="C1932" s="2" t="s">
        <v>9</v>
      </c>
      <c r="D1932" s="2" t="s">
        <v>10</v>
      </c>
      <c r="E1932" s="2" t="str">
        <f>HYPERLINK("http://ts.21cn.com/tousu/show/id/1332474","http://ts.21cn.com/tousu/show/id/1332474")</f>
        <v>http://ts.21cn.com/tousu/show/id/1332474</v>
      </c>
      <c r="F1932" s="2" t="s">
        <v>11</v>
      </c>
      <c r="G1932" s="2" t="s">
        <v>40341</v>
      </c>
      <c r="H1932" s="2" t="s">
        <v>40342</v>
      </c>
    </row>
    <row r="1933" spans="1:8" ht="25.05" customHeight="1" x14ac:dyDescent="0.25">
      <c r="A1933" s="2" t="s">
        <v>8</v>
      </c>
      <c r="B1933" s="2" t="str">
        <f>HYPERLINK("http://ts.21cn.com/tousu/show/id/1332475","分期乐套路")</f>
        <v>分期乐套路</v>
      </c>
      <c r="C1933" s="2" t="s">
        <v>9</v>
      </c>
      <c r="D1933" s="2" t="s">
        <v>10</v>
      </c>
      <c r="E1933" s="2" t="str">
        <f>HYPERLINK("http://ts.21cn.com/tousu/show/id/1332475","http://ts.21cn.com/tousu/show/id/1332475")</f>
        <v>http://ts.21cn.com/tousu/show/id/1332475</v>
      </c>
      <c r="F1933" s="2" t="s">
        <v>11</v>
      </c>
      <c r="G1933" s="2" t="s">
        <v>40339</v>
      </c>
      <c r="H1933" s="2" t="s">
        <v>40340</v>
      </c>
    </row>
    <row r="1934" spans="1:8" ht="25.05" customHeight="1" x14ac:dyDescent="0.25">
      <c r="A1934" s="2" t="s">
        <v>8</v>
      </c>
      <c r="B1934" s="2" t="str">
        <f>HYPERLINK("http://ts.21cn.com/tousu/show/id/1332476","小赢卡贷提前停止分期，协商不接受")</f>
        <v>小赢卡贷提前停止分期，协商不接受</v>
      </c>
      <c r="C1934" s="2" t="s">
        <v>9</v>
      </c>
      <c r="D1934" s="2" t="s">
        <v>10</v>
      </c>
      <c r="E1934" s="2" t="str">
        <f>HYPERLINK("http://ts.21cn.com/tousu/show/id/1332476","http://ts.21cn.com/tousu/show/id/1332476")</f>
        <v>http://ts.21cn.com/tousu/show/id/1332476</v>
      </c>
      <c r="F1934" s="2" t="s">
        <v>11</v>
      </c>
      <c r="G1934" s="2" t="s">
        <v>40337</v>
      </c>
      <c r="H1934" s="2" t="s">
        <v>40338</v>
      </c>
    </row>
    <row r="1935" spans="1:8" ht="25.05" customHeight="1" x14ac:dyDescent="0.25">
      <c r="A1935" s="2" t="s">
        <v>8</v>
      </c>
      <c r="B1935" s="2" t="str">
        <f>HYPERLINK("http://ts.21cn.com/tousu/show/id/1332477","移动宽带绑定的电视乱扣费不经过绑定号同意")</f>
        <v>移动宽带绑定的电视乱扣费不经过绑定号同意</v>
      </c>
      <c r="C1935" s="2" t="s">
        <v>9</v>
      </c>
      <c r="D1935" s="2" t="s">
        <v>10</v>
      </c>
      <c r="E1935" s="2" t="str">
        <f>HYPERLINK("http://ts.21cn.com/tousu/show/id/1332477","http://ts.21cn.com/tousu/show/id/1332477")</f>
        <v>http://ts.21cn.com/tousu/show/id/1332477</v>
      </c>
      <c r="F1935" s="2" t="s">
        <v>11</v>
      </c>
      <c r="G1935" s="2" t="s">
        <v>40335</v>
      </c>
      <c r="H1935" s="2" t="s">
        <v>40336</v>
      </c>
    </row>
    <row r="1936" spans="1:8" ht="25.05" customHeight="1" x14ac:dyDescent="0.25">
      <c r="A1936" s="2" t="s">
        <v>8</v>
      </c>
      <c r="B1936" s="2" t="str">
        <f>HYPERLINK("http://ts.21cn.com/tousu/show/id/1332478","虚假内容吗")</f>
        <v>虚假内容吗</v>
      </c>
      <c r="C1936" s="2" t="s">
        <v>9</v>
      </c>
      <c r="D1936" s="2" t="s">
        <v>10</v>
      </c>
      <c r="E1936" s="2" t="str">
        <f>HYPERLINK("http://ts.21cn.com/tousu/show/id/1332478","http://ts.21cn.com/tousu/show/id/1332478")</f>
        <v>http://ts.21cn.com/tousu/show/id/1332478</v>
      </c>
      <c r="F1936" s="2" t="s">
        <v>11</v>
      </c>
      <c r="G1936" s="2" t="s">
        <v>40333</v>
      </c>
      <c r="H1936" s="2" t="s">
        <v>40334</v>
      </c>
    </row>
    <row r="1937" spans="1:8" ht="25.05" customHeight="1" x14ac:dyDescent="0.25">
      <c r="A1937" s="2" t="s">
        <v>8</v>
      </c>
      <c r="B1937" s="2" t="str">
        <f>HYPERLINK("http://ts.21cn.com/tousu/show/id/1332479","好易贷超利贷")</f>
        <v>好易贷超利贷</v>
      </c>
      <c r="C1937" s="2" t="s">
        <v>9</v>
      </c>
      <c r="D1937" s="2" t="s">
        <v>10</v>
      </c>
      <c r="E1937" s="2" t="str">
        <f>HYPERLINK("http://ts.21cn.com/tousu/show/id/1332479","http://ts.21cn.com/tousu/show/id/1332479")</f>
        <v>http://ts.21cn.com/tousu/show/id/1332479</v>
      </c>
      <c r="F1937" s="2" t="s">
        <v>11</v>
      </c>
      <c r="G1937" s="2" t="s">
        <v>40331</v>
      </c>
      <c r="H1937" s="2" t="s">
        <v>40332</v>
      </c>
    </row>
    <row r="1938" spans="1:8" ht="25.05" customHeight="1" x14ac:dyDescent="0.25">
      <c r="A1938" s="2" t="s">
        <v>8</v>
      </c>
      <c r="B1938" s="2" t="str">
        <f>HYPERLINK("http://ts.21cn.com/tousu/show/id/1332480","360借条提前还款要还一年的利息")</f>
        <v>360借条提前还款要还一年的利息</v>
      </c>
      <c r="C1938" s="2" t="s">
        <v>9</v>
      </c>
      <c r="D1938" s="2" t="s">
        <v>10</v>
      </c>
      <c r="E1938" s="2" t="str">
        <f>HYPERLINK("http://ts.21cn.com/tousu/show/id/1332480","http://ts.21cn.com/tousu/show/id/1332480")</f>
        <v>http://ts.21cn.com/tousu/show/id/1332480</v>
      </c>
      <c r="F1938" s="2" t="s">
        <v>11</v>
      </c>
      <c r="G1938" s="2" t="s">
        <v>40329</v>
      </c>
      <c r="H1938" s="2" t="s">
        <v>40330</v>
      </c>
    </row>
    <row r="1939" spans="1:8" ht="25.05" customHeight="1" x14ac:dyDescent="0.25">
      <c r="A1939" s="2" t="s">
        <v>8</v>
      </c>
      <c r="B1939" s="2" t="str">
        <f>HYPERLINK("http://ts.21cn.com/tousu/show/id/1332481","网贷平台乱扣保险费")</f>
        <v>网贷平台乱扣保险费</v>
      </c>
      <c r="C1939" s="2" t="s">
        <v>9</v>
      </c>
      <c r="D1939" s="2" t="s">
        <v>10</v>
      </c>
      <c r="E1939" s="2" t="str">
        <f>HYPERLINK("http://ts.21cn.com/tousu/show/id/1332481","http://ts.21cn.com/tousu/show/id/1332481")</f>
        <v>http://ts.21cn.com/tousu/show/id/1332481</v>
      </c>
      <c r="F1939" s="2" t="s">
        <v>11</v>
      </c>
      <c r="G1939" s="2" t="s">
        <v>40327</v>
      </c>
      <c r="H1939" s="2" t="s">
        <v>40328</v>
      </c>
    </row>
    <row r="1940" spans="1:8" ht="25.05" customHeight="1" x14ac:dyDescent="0.25">
      <c r="A1940" s="2" t="s">
        <v>8</v>
      </c>
      <c r="B1940" s="2" t="str">
        <f>HYPERLINK("http://ts.21cn.com/tousu/show/id/1332483","吉顺通恶意骚扰联系人")</f>
        <v>吉顺通恶意骚扰联系人</v>
      </c>
      <c r="C1940" s="2" t="s">
        <v>9</v>
      </c>
      <c r="D1940" s="2" t="s">
        <v>10</v>
      </c>
      <c r="E1940" s="2" t="str">
        <f>HYPERLINK("http://ts.21cn.com/tousu/show/id/1332483","http://ts.21cn.com/tousu/show/id/1332483")</f>
        <v>http://ts.21cn.com/tousu/show/id/1332483</v>
      </c>
      <c r="F1940" s="2" t="s">
        <v>11</v>
      </c>
      <c r="G1940" s="2" t="s">
        <v>40325</v>
      </c>
      <c r="H1940" s="2" t="s">
        <v>40326</v>
      </c>
    </row>
    <row r="1941" spans="1:8" ht="25.05" customHeight="1" x14ac:dyDescent="0.25">
      <c r="A1941" s="2" t="s">
        <v>8</v>
      </c>
      <c r="B1941" s="2" t="str">
        <f>HYPERLINK("http://ts.21cn.com/tousu/show/id/1332482","交行信用卡乱打电话暴力催收")</f>
        <v>交行信用卡乱打电话暴力催收</v>
      </c>
      <c r="C1941" s="2" t="s">
        <v>9</v>
      </c>
      <c r="D1941" s="2" t="s">
        <v>10</v>
      </c>
      <c r="E1941" s="2" t="str">
        <f>HYPERLINK("http://ts.21cn.com/tousu/show/id/1332482","http://ts.21cn.com/tousu/show/id/1332482")</f>
        <v>http://ts.21cn.com/tousu/show/id/1332482</v>
      </c>
      <c r="F1941" s="2" t="s">
        <v>11</v>
      </c>
      <c r="G1941" s="2" t="s">
        <v>40323</v>
      </c>
      <c r="H1941" s="2" t="s">
        <v>40324</v>
      </c>
    </row>
    <row r="1942" spans="1:8" ht="25.05" customHeight="1" x14ac:dyDescent="0.25">
      <c r="A1942" s="2" t="s">
        <v>8</v>
      </c>
      <c r="B1942" s="2" t="str">
        <f>HYPERLINK("http://ts.21cn.com/tousu/show/id/1332484","中信银行随意降低信用卡额度")</f>
        <v>中信银行随意降低信用卡额度</v>
      </c>
      <c r="C1942" s="2" t="s">
        <v>34</v>
      </c>
      <c r="D1942" s="2" t="s">
        <v>10</v>
      </c>
      <c r="E1942" s="2" t="str">
        <f>HYPERLINK("http://ts.21cn.com/tousu/show/id/1332484","http://ts.21cn.com/tousu/show/id/1332484")</f>
        <v>http://ts.21cn.com/tousu/show/id/1332484</v>
      </c>
      <c r="F1942" s="2" t="s">
        <v>11</v>
      </c>
      <c r="G1942" s="2" t="s">
        <v>40321</v>
      </c>
      <c r="H1942" s="2" t="s">
        <v>40322</v>
      </c>
    </row>
    <row r="1943" spans="1:8" ht="25.05" customHeight="1" x14ac:dyDescent="0.25">
      <c r="A1943" s="2" t="s">
        <v>8</v>
      </c>
      <c r="B1943" s="2" t="str">
        <f>HYPERLINK("http://ts.21cn.com/tousu/show/id/1332485","立刻出行不退押金")</f>
        <v>立刻出行不退押金</v>
      </c>
      <c r="C1943" s="2" t="s">
        <v>9</v>
      </c>
      <c r="D1943" s="2" t="s">
        <v>10</v>
      </c>
      <c r="E1943" s="2" t="str">
        <f>HYPERLINK("http://ts.21cn.com/tousu/show/id/1332485","http://ts.21cn.com/tousu/show/id/1332485")</f>
        <v>http://ts.21cn.com/tousu/show/id/1332485</v>
      </c>
      <c r="F1943" s="2" t="s">
        <v>11</v>
      </c>
      <c r="G1943" s="2" t="s">
        <v>40319</v>
      </c>
      <c r="H1943" s="2" t="s">
        <v>40320</v>
      </c>
    </row>
    <row r="1944" spans="1:8" ht="25.05" customHeight="1" x14ac:dyDescent="0.25">
      <c r="A1944" s="2" t="s">
        <v>8</v>
      </c>
      <c r="B1944" s="2" t="str">
        <f>HYPERLINK("http://ts.21cn.com/tousu/show/id/1332487","交通银行暴力催收威胁")</f>
        <v>交通银行暴力催收威胁</v>
      </c>
      <c r="C1944" s="2" t="s">
        <v>9</v>
      </c>
      <c r="D1944" s="2" t="s">
        <v>10</v>
      </c>
      <c r="E1944" s="2" t="str">
        <f>HYPERLINK("http://ts.21cn.com/tousu/show/id/1332487","http://ts.21cn.com/tousu/show/id/1332487")</f>
        <v>http://ts.21cn.com/tousu/show/id/1332487</v>
      </c>
      <c r="F1944" s="2" t="s">
        <v>11</v>
      </c>
      <c r="G1944" s="2" t="s">
        <v>40317</v>
      </c>
      <c r="H1944" s="2" t="s">
        <v>40318</v>
      </c>
    </row>
    <row r="1945" spans="1:8" ht="25.05" customHeight="1" x14ac:dyDescent="0.25">
      <c r="A1945" s="2" t="s">
        <v>8</v>
      </c>
      <c r="B1945" s="2" t="str">
        <f>HYPERLINK("http://ts.21cn.com/tousu/show/id/1332488","高额利息卡里有钱暴力催收还发信息加我微信要联系家人")</f>
        <v>高额利息卡里有钱暴力催收还发信息加我微信要联系家人</v>
      </c>
      <c r="C1945" s="2" t="s">
        <v>9</v>
      </c>
      <c r="D1945" s="2" t="s">
        <v>10</v>
      </c>
      <c r="E1945" s="2" t="str">
        <f>HYPERLINK("http://ts.21cn.com/tousu/show/id/1332488","http://ts.21cn.com/tousu/show/id/1332488")</f>
        <v>http://ts.21cn.com/tousu/show/id/1332488</v>
      </c>
      <c r="F1945" s="2" t="s">
        <v>11</v>
      </c>
      <c r="G1945" s="2" t="s">
        <v>40315</v>
      </c>
      <c r="H1945" s="2" t="s">
        <v>40316</v>
      </c>
    </row>
    <row r="1946" spans="1:8" ht="25.05" customHeight="1" x14ac:dyDescent="0.25">
      <c r="A1946" s="2" t="s">
        <v>8</v>
      </c>
      <c r="B1946" s="2" t="str">
        <f>HYPERLINK("http://ts.21cn.com/tousu/show/id/1332489","融360、我来数科一天一百的砍头息")</f>
        <v>融360、我来数科一天一百的砍头息</v>
      </c>
      <c r="C1946" s="2" t="s">
        <v>9</v>
      </c>
      <c r="D1946" s="2" t="s">
        <v>10</v>
      </c>
      <c r="E1946" s="2" t="str">
        <f>HYPERLINK("http://ts.21cn.com/tousu/show/id/1332489","http://ts.21cn.com/tousu/show/id/1332489")</f>
        <v>http://ts.21cn.com/tousu/show/id/1332489</v>
      </c>
      <c r="F1946" s="2" t="s">
        <v>11</v>
      </c>
      <c r="G1946" s="2" t="s">
        <v>40313</v>
      </c>
      <c r="H1946" s="2" t="s">
        <v>40314</v>
      </c>
    </row>
    <row r="1947" spans="1:8" ht="25.05" customHeight="1" x14ac:dyDescent="0.25">
      <c r="A1947" s="2" t="s">
        <v>8</v>
      </c>
      <c r="B1947" s="2" t="str">
        <f>HYPERLINK("http://ts.21cn.com/tousu/show/id/1332490","马上金融骚扰联系人")</f>
        <v>马上金融骚扰联系人</v>
      </c>
      <c r="C1947" s="2" t="s">
        <v>9</v>
      </c>
      <c r="D1947" s="2" t="s">
        <v>10</v>
      </c>
      <c r="E1947" s="2" t="str">
        <f>HYPERLINK("http://ts.21cn.com/tousu/show/id/1332490","http://ts.21cn.com/tousu/show/id/1332490")</f>
        <v>http://ts.21cn.com/tousu/show/id/1332490</v>
      </c>
      <c r="F1947" s="2" t="s">
        <v>11</v>
      </c>
      <c r="G1947" s="2" t="s">
        <v>40311</v>
      </c>
      <c r="H1947" s="2" t="s">
        <v>40312</v>
      </c>
    </row>
    <row r="1948" spans="1:8" ht="25.05" customHeight="1" x14ac:dyDescent="0.25">
      <c r="A1948" s="2" t="s">
        <v>8</v>
      </c>
      <c r="B1948" s="2" t="str">
        <f>HYPERLINK("http://ts.21cn.com/tousu/show/id/1332491","钱站综合远高于国家要求36%")</f>
        <v>钱站综合远高于国家要求36%</v>
      </c>
      <c r="C1948" s="2" t="s">
        <v>9</v>
      </c>
      <c r="D1948" s="2" t="s">
        <v>10</v>
      </c>
      <c r="E1948" s="2" t="str">
        <f>HYPERLINK("http://ts.21cn.com/tousu/show/id/1332491","http://ts.21cn.com/tousu/show/id/1332491")</f>
        <v>http://ts.21cn.com/tousu/show/id/1332491</v>
      </c>
      <c r="F1948" s="2" t="s">
        <v>11</v>
      </c>
      <c r="G1948" s="2" t="s">
        <v>40309</v>
      </c>
      <c r="H1948" s="2" t="s">
        <v>40310</v>
      </c>
    </row>
    <row r="1949" spans="1:8" ht="25.05" customHeight="1" x14ac:dyDescent="0.25">
      <c r="A1949" s="2" t="s">
        <v>8</v>
      </c>
      <c r="B1949" s="2" t="str">
        <f>HYPERLINK("http://ts.21cn.com/tousu/show/id/1332493","暴力催收威胁恐吓")</f>
        <v>暴力催收威胁恐吓</v>
      </c>
      <c r="C1949" s="2" t="s">
        <v>9</v>
      </c>
      <c r="D1949" s="2" t="s">
        <v>10</v>
      </c>
      <c r="E1949" s="2" t="str">
        <f>HYPERLINK("http://ts.21cn.com/tousu/show/id/1332493","http://ts.21cn.com/tousu/show/id/1332493")</f>
        <v>http://ts.21cn.com/tousu/show/id/1332493</v>
      </c>
      <c r="F1949" s="2" t="s">
        <v>11</v>
      </c>
      <c r="G1949" s="2" t="s">
        <v>40307</v>
      </c>
      <c r="H1949" s="2" t="s">
        <v>40308</v>
      </c>
    </row>
    <row r="1950" spans="1:8" ht="25.05" customHeight="1" x14ac:dyDescent="0.25">
      <c r="A1950" s="2" t="s">
        <v>8</v>
      </c>
      <c r="B1950" s="2" t="str">
        <f>HYPERLINK("http://ts.21cn.com/tousu/show/id/1332495","钱包易贷高利息暴击催收")</f>
        <v>钱包易贷高利息暴击催收</v>
      </c>
      <c r="C1950" s="2" t="s">
        <v>9</v>
      </c>
      <c r="D1950" s="2" t="s">
        <v>10</v>
      </c>
      <c r="E1950" s="2" t="str">
        <f>HYPERLINK("http://ts.21cn.com/tousu/show/id/1332495","http://ts.21cn.com/tousu/show/id/1332495")</f>
        <v>http://ts.21cn.com/tousu/show/id/1332495</v>
      </c>
      <c r="F1950" s="2" t="s">
        <v>11</v>
      </c>
      <c r="G1950" s="2" t="s">
        <v>40305</v>
      </c>
      <c r="H1950" s="2" t="s">
        <v>40306</v>
      </c>
    </row>
    <row r="1951" spans="1:8" ht="25.05" customHeight="1" x14ac:dyDescent="0.25">
      <c r="A1951" s="2" t="s">
        <v>8</v>
      </c>
      <c r="B1951" s="2" t="str">
        <f>HYPERLINK("http://ts.21cn.com/tousu/show/id/1332496","高利贷高利贷阴阳合同砍头息")</f>
        <v>高利贷高利贷阴阳合同砍头息</v>
      </c>
      <c r="C1951" s="2" t="s">
        <v>9</v>
      </c>
      <c r="D1951" s="2" t="s">
        <v>10</v>
      </c>
      <c r="E1951" s="2" t="str">
        <f>HYPERLINK("http://ts.21cn.com/tousu/show/id/1332496","http://ts.21cn.com/tousu/show/id/1332496")</f>
        <v>http://ts.21cn.com/tousu/show/id/1332496</v>
      </c>
      <c r="F1951" s="2" t="s">
        <v>11</v>
      </c>
      <c r="G1951" s="2" t="s">
        <v>40303</v>
      </c>
      <c r="H1951" s="2" t="s">
        <v>40304</v>
      </c>
    </row>
    <row r="1952" spans="1:8" ht="25.05" customHeight="1" x14ac:dyDescent="0.25">
      <c r="A1952" s="2" t="s">
        <v>8</v>
      </c>
      <c r="B1952" s="2" t="str">
        <f>HYPERLINK("http://ts.21cn.com/tousu/show/id/1332497","交通执法不公正")</f>
        <v>交通执法不公正</v>
      </c>
      <c r="C1952" s="2" t="s">
        <v>9</v>
      </c>
      <c r="D1952" s="2" t="s">
        <v>10</v>
      </c>
      <c r="E1952" s="2" t="str">
        <f>HYPERLINK("http://ts.21cn.com/tousu/show/id/1332497","http://ts.21cn.com/tousu/show/id/1332497")</f>
        <v>http://ts.21cn.com/tousu/show/id/1332497</v>
      </c>
      <c r="F1952" s="2" t="s">
        <v>11</v>
      </c>
      <c r="G1952" s="2" t="s">
        <v>40301</v>
      </c>
      <c r="H1952" s="2" t="s">
        <v>40302</v>
      </c>
    </row>
    <row r="1953" spans="1:8" ht="25.05" customHeight="1" x14ac:dyDescent="0.25">
      <c r="A1953" s="2" t="s">
        <v>8</v>
      </c>
      <c r="B1953" s="2" t="str">
        <f>HYPERLINK("http://ts.21cn.com/tousu/show/id/1332499","骚扰亲朋好友，威胁")</f>
        <v>骚扰亲朋好友，威胁</v>
      </c>
      <c r="C1953" s="2" t="s">
        <v>9</v>
      </c>
      <c r="D1953" s="2" t="s">
        <v>10</v>
      </c>
      <c r="E1953" s="2" t="str">
        <f>HYPERLINK("http://ts.21cn.com/tousu/show/id/1332499","http://ts.21cn.com/tousu/show/id/1332499")</f>
        <v>http://ts.21cn.com/tousu/show/id/1332499</v>
      </c>
      <c r="F1953" s="2" t="s">
        <v>11</v>
      </c>
      <c r="G1953" s="2" t="s">
        <v>40299</v>
      </c>
      <c r="H1953" s="2" t="s">
        <v>40300</v>
      </c>
    </row>
    <row r="1954" spans="1:8" ht="25.05" customHeight="1" x14ac:dyDescent="0.25">
      <c r="A1954" s="2" t="s">
        <v>8</v>
      </c>
      <c r="B1954" s="2" t="str">
        <f>HYPERLINK("http://ts.21cn.com/tousu/show/id/1332500","最黑暗的网贷催收，合适能够成为法律监管")</f>
        <v>最黑暗的网贷催收，合适能够成为法律监管</v>
      </c>
      <c r="C1954" s="2" t="s">
        <v>9</v>
      </c>
      <c r="D1954" s="2" t="s">
        <v>10</v>
      </c>
      <c r="E1954" s="2" t="str">
        <f>HYPERLINK("http://ts.21cn.com/tousu/show/id/1332500","http://ts.21cn.com/tousu/show/id/1332500")</f>
        <v>http://ts.21cn.com/tousu/show/id/1332500</v>
      </c>
      <c r="F1954" s="2" t="s">
        <v>11</v>
      </c>
      <c r="G1954" s="2" t="s">
        <v>40297</v>
      </c>
      <c r="H1954" s="2" t="s">
        <v>40298</v>
      </c>
    </row>
    <row r="1955" spans="1:8" ht="25.05" customHeight="1" x14ac:dyDescent="0.25">
      <c r="A1955" s="2" t="s">
        <v>8</v>
      </c>
      <c r="B1955" s="2" t="str">
        <f>HYPERLINK("http://ts.21cn.com/tousu/show/id/1332498","淘宝直播诱导消费")</f>
        <v>淘宝直播诱导消费</v>
      </c>
      <c r="C1955" s="2" t="s">
        <v>9</v>
      </c>
      <c r="D1955" s="2" t="s">
        <v>10</v>
      </c>
      <c r="E1955" s="2" t="str">
        <f>HYPERLINK("http://ts.21cn.com/tousu/show/id/1332498","http://ts.21cn.com/tousu/show/id/1332498")</f>
        <v>http://ts.21cn.com/tousu/show/id/1332498</v>
      </c>
      <c r="F1955" s="2" t="s">
        <v>11</v>
      </c>
      <c r="G1955" s="2" t="s">
        <v>40295</v>
      </c>
      <c r="H1955" s="2" t="s">
        <v>40296</v>
      </c>
    </row>
    <row r="1956" spans="1:8" ht="25.05" customHeight="1" x14ac:dyDescent="0.25">
      <c r="A1956" s="2" t="s">
        <v>8</v>
      </c>
      <c r="B1956" s="2" t="str">
        <f>HYPERLINK("http://ts.21cn.com/tousu/show/id/1332494","收取会员费")</f>
        <v>收取会员费</v>
      </c>
      <c r="C1956" s="2" t="s">
        <v>34</v>
      </c>
      <c r="D1956" s="2" t="s">
        <v>10</v>
      </c>
      <c r="E1956" s="2" t="str">
        <f>HYPERLINK("http://ts.21cn.com/tousu/show/id/1332494","http://ts.21cn.com/tousu/show/id/1332494")</f>
        <v>http://ts.21cn.com/tousu/show/id/1332494</v>
      </c>
      <c r="F1956" s="2" t="s">
        <v>11</v>
      </c>
      <c r="G1956" s="2" t="s">
        <v>40293</v>
      </c>
      <c r="H1956" s="2" t="s">
        <v>40294</v>
      </c>
    </row>
    <row r="1957" spans="1:8" ht="25.05" customHeight="1" x14ac:dyDescent="0.25">
      <c r="A1957" s="2" t="s">
        <v>8</v>
      </c>
      <c r="B1957" s="2" t="str">
        <f>HYPERLINK("http://ts.21cn.com/tousu/show/id/1332501","维信卡卡贷涉嫌高利率和砍头息")</f>
        <v>维信卡卡贷涉嫌高利率和砍头息</v>
      </c>
      <c r="C1957" s="2" t="s">
        <v>9</v>
      </c>
      <c r="D1957" s="2" t="s">
        <v>10</v>
      </c>
      <c r="E1957" s="2" t="str">
        <f>HYPERLINK("http://ts.21cn.com/tousu/show/id/1332501","http://ts.21cn.com/tousu/show/id/1332501")</f>
        <v>http://ts.21cn.com/tousu/show/id/1332501</v>
      </c>
      <c r="F1957" s="2" t="s">
        <v>11</v>
      </c>
      <c r="G1957" s="2" t="s">
        <v>40291</v>
      </c>
      <c r="H1957" s="2" t="s">
        <v>40292</v>
      </c>
    </row>
    <row r="1958" spans="1:8" ht="25.05" customHeight="1" x14ac:dyDescent="0.25">
      <c r="A1958" s="2" t="s">
        <v>8</v>
      </c>
      <c r="B1958" s="2" t="str">
        <f>HYPERLINK("http://ts.21cn.com/tousu/show/id/1332502","多宝分期高利贷！")</f>
        <v>多宝分期高利贷！</v>
      </c>
      <c r="C1958" s="2" t="s">
        <v>9</v>
      </c>
      <c r="D1958" s="2" t="s">
        <v>10</v>
      </c>
      <c r="E1958" s="2" t="str">
        <f>HYPERLINK("http://ts.21cn.com/tousu/show/id/1332502","http://ts.21cn.com/tousu/show/id/1332502")</f>
        <v>http://ts.21cn.com/tousu/show/id/1332502</v>
      </c>
      <c r="F1958" s="2" t="s">
        <v>11</v>
      </c>
      <c r="G1958" s="2" t="s">
        <v>40289</v>
      </c>
      <c r="H1958" s="2" t="s">
        <v>40290</v>
      </c>
    </row>
    <row r="1959" spans="1:8" ht="25.05" customHeight="1" x14ac:dyDescent="0.25">
      <c r="A1959" s="2" t="s">
        <v>8</v>
      </c>
      <c r="B1959" s="2" t="str">
        <f>HYPERLINK("http://ts.21cn.com/tousu/show/id/1332504","闪银捆绑消费操作失误不予退款")</f>
        <v>闪银捆绑消费操作失误不予退款</v>
      </c>
      <c r="C1959" s="2" t="s">
        <v>9</v>
      </c>
      <c r="D1959" s="2" t="s">
        <v>10</v>
      </c>
      <c r="E1959" s="2" t="str">
        <f>HYPERLINK("http://ts.21cn.com/tousu/show/id/1332504","http://ts.21cn.com/tousu/show/id/1332504")</f>
        <v>http://ts.21cn.com/tousu/show/id/1332504</v>
      </c>
      <c r="F1959" s="2" t="s">
        <v>11</v>
      </c>
      <c r="G1959" s="2" t="s">
        <v>40287</v>
      </c>
      <c r="H1959" s="2" t="s">
        <v>40288</v>
      </c>
    </row>
    <row r="1960" spans="1:8" ht="25.05" customHeight="1" x14ac:dyDescent="0.25">
      <c r="A1960" s="2" t="s">
        <v>8</v>
      </c>
      <c r="B1960" s="2" t="str">
        <f>HYPERLINK("http://ts.21cn.com/tousu/show/id/1332506","714高利贷")</f>
        <v>714高利贷</v>
      </c>
      <c r="C1960" s="2" t="s">
        <v>9</v>
      </c>
      <c r="D1960" s="2" t="s">
        <v>10</v>
      </c>
      <c r="E1960" s="2" t="str">
        <f>HYPERLINK("http://ts.21cn.com/tousu/show/id/1332506","http://ts.21cn.com/tousu/show/id/1332506")</f>
        <v>http://ts.21cn.com/tousu/show/id/1332506</v>
      </c>
      <c r="F1960" s="2" t="s">
        <v>11</v>
      </c>
      <c r="G1960" s="2" t="s">
        <v>40285</v>
      </c>
      <c r="H1960" s="2" t="s">
        <v>40286</v>
      </c>
    </row>
    <row r="1961" spans="1:8" ht="25.05" customHeight="1" x14ac:dyDescent="0.25">
      <c r="A1961" s="2" t="s">
        <v>8</v>
      </c>
      <c r="B1961" s="2" t="str">
        <f>HYPERLINK("http://ts.21cn.com/tousu/show/id/1332505","金卡钱包")</f>
        <v>金卡钱包</v>
      </c>
      <c r="C1961" s="2" t="s">
        <v>9</v>
      </c>
      <c r="D1961" s="2" t="s">
        <v>10</v>
      </c>
      <c r="E1961" s="2" t="str">
        <f>HYPERLINK("http://ts.21cn.com/tousu/show/id/1332505","http://ts.21cn.com/tousu/show/id/1332505")</f>
        <v>http://ts.21cn.com/tousu/show/id/1332505</v>
      </c>
      <c r="F1961" s="2" t="s">
        <v>11</v>
      </c>
      <c r="G1961" s="2" t="s">
        <v>40283</v>
      </c>
      <c r="H1961" s="2" t="s">
        <v>40284</v>
      </c>
    </row>
    <row r="1962" spans="1:8" ht="25.05" customHeight="1" x14ac:dyDescent="0.25">
      <c r="A1962" s="2" t="s">
        <v>8</v>
      </c>
      <c r="B1962" s="2" t="str">
        <f>HYPERLINK("http://ts.21cn.com/tousu/show/id/1332508","714高炮")</f>
        <v>714高炮</v>
      </c>
      <c r="C1962" s="2" t="s">
        <v>34</v>
      </c>
      <c r="D1962" s="2" t="s">
        <v>10</v>
      </c>
      <c r="E1962" s="2" t="str">
        <f>HYPERLINK("http://ts.21cn.com/tousu/show/id/1332508","http://ts.21cn.com/tousu/show/id/1332508")</f>
        <v>http://ts.21cn.com/tousu/show/id/1332508</v>
      </c>
      <c r="F1962" s="2" t="s">
        <v>11</v>
      </c>
      <c r="G1962" s="2" t="s">
        <v>40281</v>
      </c>
      <c r="H1962" s="2" t="s">
        <v>40282</v>
      </c>
    </row>
    <row r="1963" spans="1:8" ht="25.05" customHeight="1" x14ac:dyDescent="0.25">
      <c r="A1963" s="2" t="s">
        <v>8</v>
      </c>
      <c r="B1963" s="2" t="str">
        <f>HYPERLINK("http://ts.21cn.com/tousu/show/id/1332509","催收态度极其恶劣，在线客服拒绝协商")</f>
        <v>催收态度极其恶劣，在线客服拒绝协商</v>
      </c>
      <c r="C1963" s="2" t="s">
        <v>9</v>
      </c>
      <c r="D1963" s="2" t="s">
        <v>10</v>
      </c>
      <c r="E1963" s="2" t="str">
        <f>HYPERLINK("http://ts.21cn.com/tousu/show/id/1332509","http://ts.21cn.com/tousu/show/id/1332509")</f>
        <v>http://ts.21cn.com/tousu/show/id/1332509</v>
      </c>
      <c r="F1963" s="2" t="s">
        <v>11</v>
      </c>
      <c r="G1963" s="2" t="s">
        <v>40279</v>
      </c>
      <c r="H1963" s="2" t="s">
        <v>40280</v>
      </c>
    </row>
    <row r="1964" spans="1:8" ht="25.05" customHeight="1" x14ac:dyDescent="0.25">
      <c r="A1964" s="2" t="s">
        <v>8</v>
      </c>
      <c r="B1964" s="2" t="str">
        <f>HYPERLINK("http://ts.21cn.com/tousu/show/id/1332512","小浦优客未经同意扣款")</f>
        <v>小浦优客未经同意扣款</v>
      </c>
      <c r="C1964" s="2" t="s">
        <v>9</v>
      </c>
      <c r="D1964" s="2" t="s">
        <v>10</v>
      </c>
      <c r="E1964" s="2" t="str">
        <f>HYPERLINK("http://ts.21cn.com/tousu/show/id/1332512","http://ts.21cn.com/tousu/show/id/1332512")</f>
        <v>http://ts.21cn.com/tousu/show/id/1332512</v>
      </c>
      <c r="F1964" s="2" t="s">
        <v>11</v>
      </c>
      <c r="G1964" s="2" t="s">
        <v>40277</v>
      </c>
      <c r="H1964" s="2" t="s">
        <v>40278</v>
      </c>
    </row>
    <row r="1965" spans="1:8" ht="25.05" customHeight="1" x14ac:dyDescent="0.25">
      <c r="A1965" s="2" t="s">
        <v>8</v>
      </c>
      <c r="B1965" s="2" t="str">
        <f>HYPERLINK("http://ts.21cn.com/tousu/show/id/1332513","小浦优客未经同意扣款")</f>
        <v>小浦优客未经同意扣款</v>
      </c>
      <c r="C1965" s="2" t="s">
        <v>34</v>
      </c>
      <c r="D1965" s="2" t="s">
        <v>10</v>
      </c>
      <c r="E1965" s="2" t="str">
        <f>HYPERLINK("http://ts.21cn.com/tousu/show/id/1332513","http://ts.21cn.com/tousu/show/id/1332513")</f>
        <v>http://ts.21cn.com/tousu/show/id/1332513</v>
      </c>
      <c r="F1965" s="2" t="s">
        <v>11</v>
      </c>
      <c r="G1965" s="2" t="s">
        <v>40275</v>
      </c>
      <c r="H1965" s="2" t="s">
        <v>40276</v>
      </c>
    </row>
    <row r="1966" spans="1:8" ht="25.05" customHeight="1" x14ac:dyDescent="0.25">
      <c r="A1966" s="2" t="s">
        <v>8</v>
      </c>
      <c r="B1966" s="2" t="str">
        <f>HYPERLINK("http://ts.21cn.com/tousu/show/id/1332514","网上高利贷")</f>
        <v>网上高利贷</v>
      </c>
      <c r="C1966" s="2" t="s">
        <v>9</v>
      </c>
      <c r="D1966" s="2" t="s">
        <v>10</v>
      </c>
      <c r="E1966" s="2" t="str">
        <f>HYPERLINK("http://ts.21cn.com/tousu/show/id/1332514","http://ts.21cn.com/tousu/show/id/1332514")</f>
        <v>http://ts.21cn.com/tousu/show/id/1332514</v>
      </c>
      <c r="F1966" s="2" t="s">
        <v>11</v>
      </c>
      <c r="G1966" s="2" t="s">
        <v>40273</v>
      </c>
      <c r="H1966" s="2" t="s">
        <v>40274</v>
      </c>
    </row>
    <row r="1967" spans="1:8" ht="25.05" customHeight="1" x14ac:dyDescent="0.25">
      <c r="A1967" s="2" t="s">
        <v>8</v>
      </c>
      <c r="B1967" s="2" t="str">
        <f>HYPERLINK("http://ts.21cn.com/tousu/show/id/1332515","微博借钱高利贷")</f>
        <v>微博借钱高利贷</v>
      </c>
      <c r="C1967" s="2" t="s">
        <v>9</v>
      </c>
      <c r="D1967" s="2" t="s">
        <v>10</v>
      </c>
      <c r="E1967" s="2" t="str">
        <f>HYPERLINK("http://ts.21cn.com/tousu/show/id/1332515","http://ts.21cn.com/tousu/show/id/1332515")</f>
        <v>http://ts.21cn.com/tousu/show/id/1332515</v>
      </c>
      <c r="F1967" s="2" t="s">
        <v>11</v>
      </c>
      <c r="G1967" s="2" t="s">
        <v>40271</v>
      </c>
      <c r="H1967" s="2" t="s">
        <v>40272</v>
      </c>
    </row>
    <row r="1968" spans="1:8" ht="25.05" customHeight="1" x14ac:dyDescent="0.25">
      <c r="A1968" s="2" t="s">
        <v>8</v>
      </c>
      <c r="B1968" s="2" t="str">
        <f>HYPERLINK("http://ts.21cn.com/tousu/show/id/1332517","达飞云贷垃圾高利贷")</f>
        <v>达飞云贷垃圾高利贷</v>
      </c>
      <c r="C1968" s="2" t="s">
        <v>9</v>
      </c>
      <c r="D1968" s="2" t="s">
        <v>10</v>
      </c>
      <c r="E1968" s="2" t="str">
        <f>HYPERLINK("http://ts.21cn.com/tousu/show/id/1332517","http://ts.21cn.com/tousu/show/id/1332517")</f>
        <v>http://ts.21cn.com/tousu/show/id/1332517</v>
      </c>
      <c r="F1968" s="2" t="s">
        <v>11</v>
      </c>
      <c r="G1968" s="2" t="s">
        <v>40269</v>
      </c>
      <c r="H1968" s="2" t="s">
        <v>40270</v>
      </c>
    </row>
    <row r="1969" spans="1:8" ht="25.05" customHeight="1" x14ac:dyDescent="0.25">
      <c r="A1969" s="2" t="s">
        <v>8</v>
      </c>
      <c r="B1969" s="2" t="str">
        <f>HYPERLINK("http://ts.21cn.com/tousu/show/id/1332518","高利贷")</f>
        <v>高利贷</v>
      </c>
      <c r="C1969" s="2" t="s">
        <v>9</v>
      </c>
      <c r="D1969" s="2" t="s">
        <v>10</v>
      </c>
      <c r="E1969" s="2" t="str">
        <f>HYPERLINK("http://ts.21cn.com/tousu/show/id/1332518","http://ts.21cn.com/tousu/show/id/1332518")</f>
        <v>http://ts.21cn.com/tousu/show/id/1332518</v>
      </c>
      <c r="F1969" s="2" t="s">
        <v>11</v>
      </c>
      <c r="G1969" s="2" t="s">
        <v>40267</v>
      </c>
      <c r="H1969" s="2" t="s">
        <v>40268</v>
      </c>
    </row>
    <row r="1970" spans="1:8" ht="25.05" customHeight="1" x14ac:dyDescent="0.25">
      <c r="A1970" s="2" t="s">
        <v>8</v>
      </c>
      <c r="B1970" s="2" t="str">
        <f>HYPERLINK("http://ts.21cn.com/tousu/show/id/1332519","取消立借贷款订单")</f>
        <v>取消立借贷款订单</v>
      </c>
      <c r="C1970" s="2" t="s">
        <v>9</v>
      </c>
      <c r="D1970" s="2" t="s">
        <v>10</v>
      </c>
      <c r="E1970" s="2" t="str">
        <f>HYPERLINK("http://ts.21cn.com/tousu/show/id/1332519","http://ts.21cn.com/tousu/show/id/1332519")</f>
        <v>http://ts.21cn.com/tousu/show/id/1332519</v>
      </c>
      <c r="F1970" s="2" t="s">
        <v>11</v>
      </c>
      <c r="G1970" s="2" t="s">
        <v>40265</v>
      </c>
      <c r="H1970" s="2" t="s">
        <v>40266</v>
      </c>
    </row>
    <row r="1971" spans="1:8" ht="25.05" customHeight="1" x14ac:dyDescent="0.25">
      <c r="A1971" s="2" t="s">
        <v>8</v>
      </c>
      <c r="B1971" s="2" t="str">
        <f>HYPERLINK("http://ts.21cn.com/tousu/show/id/1332520","友信信贷在未逾期的时间内对借款人进行暴力催收")</f>
        <v>友信信贷在未逾期的时间内对借款人进行暴力催收</v>
      </c>
      <c r="C1971" s="2" t="s">
        <v>9</v>
      </c>
      <c r="D1971" s="2" t="s">
        <v>10</v>
      </c>
      <c r="E1971" s="2" t="str">
        <f>HYPERLINK("http://ts.21cn.com/tousu/show/id/1332520","http://ts.21cn.com/tousu/show/id/1332520")</f>
        <v>http://ts.21cn.com/tousu/show/id/1332520</v>
      </c>
      <c r="F1971" s="2" t="s">
        <v>11</v>
      </c>
      <c r="G1971" s="2" t="s">
        <v>40263</v>
      </c>
      <c r="H1971" s="2" t="s">
        <v>40264</v>
      </c>
    </row>
    <row r="1972" spans="1:8" ht="25.05" customHeight="1" x14ac:dyDescent="0.25">
      <c r="A1972" s="2" t="s">
        <v>8</v>
      </c>
      <c r="B1972" s="2" t="str">
        <f>HYPERLINK("http://ts.21cn.com/tousu/show/id/1332503","砍头息")</f>
        <v>砍头息</v>
      </c>
      <c r="C1972" s="2" t="s">
        <v>34</v>
      </c>
      <c r="D1972" s="2" t="s">
        <v>10</v>
      </c>
      <c r="E1972" s="2" t="str">
        <f>HYPERLINK("http://ts.21cn.com/tousu/show/id/1332503","http://ts.21cn.com/tousu/show/id/1332503")</f>
        <v>http://ts.21cn.com/tousu/show/id/1332503</v>
      </c>
      <c r="F1972" s="2" t="s">
        <v>11</v>
      </c>
      <c r="G1972" s="2" t="s">
        <v>40261</v>
      </c>
      <c r="H1972" s="2" t="s">
        <v>40262</v>
      </c>
    </row>
    <row r="1973" spans="1:8" ht="25.05" customHeight="1" x14ac:dyDescent="0.25">
      <c r="A1973" s="2" t="s">
        <v>8</v>
      </c>
      <c r="B1973" s="2" t="str">
        <f>HYPERLINK("http://ts.21cn.com/tousu/show/id/1332521","随手记福袋工作人员态度恶劣出言不逊")</f>
        <v>随手记福袋工作人员态度恶劣出言不逊</v>
      </c>
      <c r="C1973" s="2" t="s">
        <v>9</v>
      </c>
      <c r="D1973" s="2" t="s">
        <v>10</v>
      </c>
      <c r="E1973" s="2" t="str">
        <f>HYPERLINK("http://ts.21cn.com/tousu/show/id/1332521","http://ts.21cn.com/tousu/show/id/1332521")</f>
        <v>http://ts.21cn.com/tousu/show/id/1332521</v>
      </c>
      <c r="F1973" s="2" t="s">
        <v>11</v>
      </c>
      <c r="G1973" s="2" t="s">
        <v>40259</v>
      </c>
      <c r="H1973" s="2" t="s">
        <v>40260</v>
      </c>
    </row>
    <row r="1974" spans="1:8" ht="25.05" customHeight="1" x14ac:dyDescent="0.25">
      <c r="A1974" s="2" t="s">
        <v>8</v>
      </c>
      <c r="B1974" s="2" t="str">
        <f>HYPERLINK("http://ts.21cn.com/tousu/show/id/1332522","肥猫贷套路贷高利贷到期当天短信轰炸我")</f>
        <v>肥猫贷套路贷高利贷到期当天短信轰炸我</v>
      </c>
      <c r="C1974" s="2" t="s">
        <v>9</v>
      </c>
      <c r="D1974" s="2" t="s">
        <v>10</v>
      </c>
      <c r="E1974" s="2" t="str">
        <f>HYPERLINK("http://ts.21cn.com/tousu/show/id/1332522","http://ts.21cn.com/tousu/show/id/1332522")</f>
        <v>http://ts.21cn.com/tousu/show/id/1332522</v>
      </c>
      <c r="F1974" s="2" t="s">
        <v>11</v>
      </c>
      <c r="G1974" s="2" t="s">
        <v>40257</v>
      </c>
      <c r="H1974" s="2" t="s">
        <v>40258</v>
      </c>
    </row>
    <row r="1975" spans="1:8" ht="25.05" customHeight="1" x14ac:dyDescent="0.25">
      <c r="A1975" s="2" t="s">
        <v>8</v>
      </c>
      <c r="B1975" s="2" t="str">
        <f>HYPERLINK("http://ts.21cn.com/tousu/show/id/1332523","无故扣款")</f>
        <v>无故扣款</v>
      </c>
      <c r="C1975" s="2" t="s">
        <v>34</v>
      </c>
      <c r="D1975" s="2" t="s">
        <v>10</v>
      </c>
      <c r="E1975" s="2" t="str">
        <f>HYPERLINK("http://ts.21cn.com/tousu/show/id/1332523","http://ts.21cn.com/tousu/show/id/1332523")</f>
        <v>http://ts.21cn.com/tousu/show/id/1332523</v>
      </c>
      <c r="F1975" s="2" t="s">
        <v>11</v>
      </c>
      <c r="G1975" s="2" t="s">
        <v>40255</v>
      </c>
      <c r="H1975" s="2" t="s">
        <v>40256</v>
      </c>
    </row>
    <row r="1976" spans="1:8" ht="25.05" customHeight="1" x14ac:dyDescent="0.25">
      <c r="A1976" s="2" t="s">
        <v>8</v>
      </c>
      <c r="B1976" s="2" t="str">
        <f>HYPERLINK("http://ts.21cn.com/tousu/show/id/1332524","数来宝套路贷高利贷暴力催收")</f>
        <v>数来宝套路贷高利贷暴力催收</v>
      </c>
      <c r="C1976" s="2" t="s">
        <v>9</v>
      </c>
      <c r="D1976" s="2" t="s">
        <v>10</v>
      </c>
      <c r="E1976" s="2" t="str">
        <f>HYPERLINK("http://ts.21cn.com/tousu/show/id/1332524","http://ts.21cn.com/tousu/show/id/1332524")</f>
        <v>http://ts.21cn.com/tousu/show/id/1332524</v>
      </c>
      <c r="F1976" s="2" t="s">
        <v>11</v>
      </c>
      <c r="G1976" s="2" t="s">
        <v>40253</v>
      </c>
      <c r="H1976" s="2" t="s">
        <v>40254</v>
      </c>
    </row>
    <row r="1977" spans="1:8" ht="25.05" customHeight="1" x14ac:dyDescent="0.25">
      <c r="A1977" s="2" t="s">
        <v>8</v>
      </c>
      <c r="B1977" s="2" t="str">
        <f>HYPERLINK("http://ts.21cn.com/tousu/show/id/1332526","牛人有品高利贷砍头息")</f>
        <v>牛人有品高利贷砍头息</v>
      </c>
      <c r="C1977" s="2" t="s">
        <v>9</v>
      </c>
      <c r="D1977" s="2" t="s">
        <v>10</v>
      </c>
      <c r="E1977" s="2" t="str">
        <f>HYPERLINK("http://ts.21cn.com/tousu/show/id/1332526","http://ts.21cn.com/tousu/show/id/1332526")</f>
        <v>http://ts.21cn.com/tousu/show/id/1332526</v>
      </c>
      <c r="F1977" s="2" t="s">
        <v>11</v>
      </c>
      <c r="G1977" s="2" t="s">
        <v>40251</v>
      </c>
      <c r="H1977" s="2" t="s">
        <v>40252</v>
      </c>
    </row>
    <row r="1978" spans="1:8" ht="25.05" customHeight="1" x14ac:dyDescent="0.25">
      <c r="A1978" s="2" t="s">
        <v>8</v>
      </c>
      <c r="B1978" s="2" t="str">
        <f>HYPERLINK("http://ts.21cn.com/tousu/show/id/1332525","爱又米推卸责任催款不处理问题")</f>
        <v>爱又米推卸责任催款不处理问题</v>
      </c>
      <c r="C1978" s="2" t="s">
        <v>9</v>
      </c>
      <c r="D1978" s="2" t="s">
        <v>10</v>
      </c>
      <c r="E1978" s="2" t="str">
        <f>HYPERLINK("http://ts.21cn.com/tousu/show/id/1332525","http://ts.21cn.com/tousu/show/id/1332525")</f>
        <v>http://ts.21cn.com/tousu/show/id/1332525</v>
      </c>
      <c r="F1978" s="2" t="s">
        <v>11</v>
      </c>
      <c r="G1978" s="2" t="s">
        <v>40248</v>
      </c>
      <c r="H1978" s="2" t="s">
        <v>40249</v>
      </c>
    </row>
    <row r="1979" spans="1:8" ht="25.05" customHeight="1" x14ac:dyDescent="0.25">
      <c r="A1979" s="2" t="s">
        <v>8</v>
      </c>
      <c r="B1979" s="2" t="str">
        <f>HYPERLINK("http://ts.21cn.com/tousu/show/id/1332528","玖富万卡砍头息，玖富万卡高利贷")</f>
        <v>玖富万卡砍头息，玖富万卡高利贷</v>
      </c>
      <c r="C1979" s="2" t="s">
        <v>9</v>
      </c>
      <c r="D1979" s="2" t="s">
        <v>10</v>
      </c>
      <c r="E1979" s="2" t="str">
        <f>HYPERLINK("http://ts.21cn.com/tousu/show/id/1332528","http://ts.21cn.com/tousu/show/id/1332528")</f>
        <v>http://ts.21cn.com/tousu/show/id/1332528</v>
      </c>
      <c r="F1979" s="2" t="s">
        <v>11</v>
      </c>
      <c r="G1979" s="2" t="s">
        <v>40248</v>
      </c>
      <c r="H1979" s="2" t="s">
        <v>40250</v>
      </c>
    </row>
    <row r="1980" spans="1:8" ht="25.05" customHeight="1" x14ac:dyDescent="0.25">
      <c r="A1980" s="2" t="s">
        <v>8</v>
      </c>
      <c r="B1980" s="2" t="str">
        <f>HYPERLINK("http://ts.21cn.com/tousu/show/id/1332516","上海银生宝为非法博彩公司收单结算资金，请求上海银生宝退还我的血汗钱")</f>
        <v>上海银生宝为非法博彩公司收单结算资金，请求上海银生宝退还我的血汗钱</v>
      </c>
      <c r="C1980" s="2" t="s">
        <v>9</v>
      </c>
      <c r="D1980" s="2" t="s">
        <v>10</v>
      </c>
      <c r="E1980" s="2" t="str">
        <f>HYPERLINK("http://ts.21cn.com/tousu/show/id/1332516","http://ts.21cn.com/tousu/show/id/1332516")</f>
        <v>http://ts.21cn.com/tousu/show/id/1332516</v>
      </c>
      <c r="F1980" s="2" t="s">
        <v>11</v>
      </c>
      <c r="G1980" s="2" t="s">
        <v>40246</v>
      </c>
      <c r="H1980" s="2" t="s">
        <v>40247</v>
      </c>
    </row>
    <row r="1981" spans="1:8" ht="25.05" customHeight="1" x14ac:dyDescent="0.25">
      <c r="A1981" s="2" t="s">
        <v>8</v>
      </c>
      <c r="B1981" s="2" t="str">
        <f>HYPERLINK("http://ts.21cn.com/tousu/show/id/1332529","贷上钱高利贷")</f>
        <v>贷上钱高利贷</v>
      </c>
      <c r="C1981" s="2" t="s">
        <v>9</v>
      </c>
      <c r="D1981" s="2" t="s">
        <v>10</v>
      </c>
      <c r="E1981" s="2" t="str">
        <f>HYPERLINK("http://ts.21cn.com/tousu/show/id/1332529","http://ts.21cn.com/tousu/show/id/1332529")</f>
        <v>http://ts.21cn.com/tousu/show/id/1332529</v>
      </c>
      <c r="F1981" s="2" t="s">
        <v>11</v>
      </c>
      <c r="G1981" s="2" t="s">
        <v>40244</v>
      </c>
      <c r="H1981" s="2" t="s">
        <v>40245</v>
      </c>
    </row>
    <row r="1982" spans="1:8" ht="25.05" customHeight="1" x14ac:dyDescent="0.25">
      <c r="A1982" s="2" t="s">
        <v>8</v>
      </c>
      <c r="B1982" s="2" t="str">
        <f>HYPERLINK("http://ts.21cn.com/tousu/show/id/1332527","钱包易贷的砍头利息太大")</f>
        <v>钱包易贷的砍头利息太大</v>
      </c>
      <c r="C1982" s="2" t="s">
        <v>9</v>
      </c>
      <c r="D1982" s="2" t="s">
        <v>10</v>
      </c>
      <c r="E1982" s="2" t="str">
        <f>HYPERLINK("http://ts.21cn.com/tousu/show/id/1332527","http://ts.21cn.com/tousu/show/id/1332527")</f>
        <v>http://ts.21cn.com/tousu/show/id/1332527</v>
      </c>
      <c r="F1982" s="2" t="s">
        <v>11</v>
      </c>
      <c r="G1982" s="2" t="s">
        <v>40242</v>
      </c>
      <c r="H1982" s="2" t="s">
        <v>40243</v>
      </c>
    </row>
    <row r="1983" spans="1:8" ht="25.05" customHeight="1" x14ac:dyDescent="0.25">
      <c r="A1983" s="2" t="s">
        <v>8</v>
      </c>
      <c r="B1983" s="2" t="str">
        <f>HYPERLINK("http://ts.21cn.com/tousu/show/id/1332530","建行短信年费")</f>
        <v>建行短信年费</v>
      </c>
      <c r="C1983" s="2" t="s">
        <v>9</v>
      </c>
      <c r="D1983" s="2" t="s">
        <v>10</v>
      </c>
      <c r="E1983" s="2" t="str">
        <f>HYPERLINK("http://ts.21cn.com/tousu/show/id/1332530","http://ts.21cn.com/tousu/show/id/1332530")</f>
        <v>http://ts.21cn.com/tousu/show/id/1332530</v>
      </c>
      <c r="F1983" s="2" t="s">
        <v>11</v>
      </c>
      <c r="G1983" s="2" t="s">
        <v>40240</v>
      </c>
      <c r="H1983" s="2" t="s">
        <v>40241</v>
      </c>
    </row>
    <row r="1984" spans="1:8" ht="25.05" customHeight="1" x14ac:dyDescent="0.25">
      <c r="A1984" s="2" t="s">
        <v>8</v>
      </c>
      <c r="B1984" s="2" t="str">
        <f>HYPERLINK("http://ts.21cn.com/tousu/show/id/1332531","安逸花无故锁定账号")</f>
        <v>安逸花无故锁定账号</v>
      </c>
      <c r="C1984" s="2" t="s">
        <v>9</v>
      </c>
      <c r="D1984" s="2" t="s">
        <v>10</v>
      </c>
      <c r="E1984" s="2" t="str">
        <f>HYPERLINK("http://ts.21cn.com/tousu/show/id/1332531","http://ts.21cn.com/tousu/show/id/1332531")</f>
        <v>http://ts.21cn.com/tousu/show/id/1332531</v>
      </c>
      <c r="F1984" s="2" t="s">
        <v>11</v>
      </c>
      <c r="G1984" s="2" t="s">
        <v>40238</v>
      </c>
      <c r="H1984" s="2" t="s">
        <v>40239</v>
      </c>
    </row>
    <row r="1985" spans="1:8" ht="25.05" customHeight="1" x14ac:dyDescent="0.25">
      <c r="A1985" s="2" t="s">
        <v>8</v>
      </c>
      <c r="B1985" s="2" t="str">
        <f>HYPERLINK("http://ts.21cn.com/tousu/show/id/1332532","快钱支付平安银行为714高利贷提供渠道")</f>
        <v>快钱支付平安银行为714高利贷提供渠道</v>
      </c>
      <c r="C1985" s="2" t="s">
        <v>9</v>
      </c>
      <c r="D1985" s="2" t="s">
        <v>10</v>
      </c>
      <c r="E1985" s="2" t="str">
        <f>HYPERLINK("http://ts.21cn.com/tousu/show/id/1332532","http://ts.21cn.com/tousu/show/id/1332532")</f>
        <v>http://ts.21cn.com/tousu/show/id/1332532</v>
      </c>
      <c r="F1985" s="2" t="s">
        <v>11</v>
      </c>
      <c r="G1985" s="2" t="s">
        <v>40236</v>
      </c>
      <c r="H1985" s="2" t="s">
        <v>40237</v>
      </c>
    </row>
    <row r="1986" spans="1:8" ht="25.05" customHeight="1" x14ac:dyDescent="0.25">
      <c r="A1986" s="2" t="s">
        <v>8</v>
      </c>
      <c r="B1986" s="2" t="str">
        <f>HYPERLINK("http://ts.21cn.com/tousu/show/id/1332534","闪银哼哼强制收取砍头息")</f>
        <v>闪银哼哼强制收取砍头息</v>
      </c>
      <c r="C1986" s="2" t="s">
        <v>9</v>
      </c>
      <c r="D1986" s="2" t="s">
        <v>10</v>
      </c>
      <c r="E1986" s="2" t="str">
        <f>HYPERLINK("http://ts.21cn.com/tousu/show/id/1332534","http://ts.21cn.com/tousu/show/id/1332534")</f>
        <v>http://ts.21cn.com/tousu/show/id/1332534</v>
      </c>
      <c r="F1986" s="2" t="s">
        <v>11</v>
      </c>
      <c r="G1986" s="2" t="s">
        <v>40234</v>
      </c>
      <c r="H1986" s="2" t="s">
        <v>40235</v>
      </c>
    </row>
    <row r="1987" spans="1:8" ht="25.05" customHeight="1" x14ac:dyDescent="0.25">
      <c r="A1987" s="2" t="s">
        <v>8</v>
      </c>
      <c r="B1987" s="2" t="str">
        <f>HYPERLINK("http://ts.21cn.com/tousu/show/id/1332535","第三方平台监理不利")</f>
        <v>第三方平台监理不利</v>
      </c>
      <c r="C1987" s="2" t="s">
        <v>9</v>
      </c>
      <c r="D1987" s="2" t="s">
        <v>10</v>
      </c>
      <c r="E1987" s="2" t="str">
        <f>HYPERLINK("http://ts.21cn.com/tousu/show/id/1332535","http://ts.21cn.com/tousu/show/id/1332535")</f>
        <v>http://ts.21cn.com/tousu/show/id/1332535</v>
      </c>
      <c r="F1987" s="2" t="s">
        <v>11</v>
      </c>
      <c r="G1987" s="2" t="s">
        <v>40232</v>
      </c>
      <c r="H1987" s="2" t="s">
        <v>40233</v>
      </c>
    </row>
    <row r="1988" spans="1:8" ht="25.05" customHeight="1" x14ac:dyDescent="0.25">
      <c r="A1988" s="2" t="s">
        <v>8</v>
      </c>
      <c r="B1988" s="2" t="str">
        <f>HYPERLINK("http://ts.21cn.com/tousu/show/id/1332536","被拼多多无故扣款两千多元")</f>
        <v>被拼多多无故扣款两千多元</v>
      </c>
      <c r="C1988" s="2" t="s">
        <v>9</v>
      </c>
      <c r="D1988" s="2" t="s">
        <v>10</v>
      </c>
      <c r="E1988" s="2" t="str">
        <f>HYPERLINK("http://ts.21cn.com/tousu/show/id/1332536","http://ts.21cn.com/tousu/show/id/1332536")</f>
        <v>http://ts.21cn.com/tousu/show/id/1332536</v>
      </c>
      <c r="F1988" s="2" t="s">
        <v>11</v>
      </c>
      <c r="G1988" s="2" t="s">
        <v>40230</v>
      </c>
      <c r="H1988" s="2" t="s">
        <v>40231</v>
      </c>
    </row>
    <row r="1989" spans="1:8" ht="25.05" customHeight="1" x14ac:dyDescent="0.25">
      <c r="A1989" s="2" t="s">
        <v>8</v>
      </c>
      <c r="B1989" s="2" t="str">
        <f>HYPERLINK("http://ts.21cn.com/tousu/show/id/1332538","中国移动乱扣费，还我血汗钱")</f>
        <v>中国移动乱扣费，还我血汗钱</v>
      </c>
      <c r="C1989" s="2" t="s">
        <v>9</v>
      </c>
      <c r="D1989" s="2" t="s">
        <v>10</v>
      </c>
      <c r="E1989" s="2" t="str">
        <f>HYPERLINK("http://ts.21cn.com/tousu/show/id/1332538","http://ts.21cn.com/tousu/show/id/1332538")</f>
        <v>http://ts.21cn.com/tousu/show/id/1332538</v>
      </c>
      <c r="F1989" s="2" t="s">
        <v>11</v>
      </c>
      <c r="G1989" s="2" t="s">
        <v>40228</v>
      </c>
      <c r="H1989" s="2" t="s">
        <v>40229</v>
      </c>
    </row>
    <row r="1990" spans="1:8" ht="25.05" customHeight="1" x14ac:dyDescent="0.25">
      <c r="A1990" s="2" t="s">
        <v>8</v>
      </c>
      <c r="B1990" s="2" t="str">
        <f>HYPERLINK("http://ts.21cn.com/tousu/show/id/1332539","乱催收，乱收费")</f>
        <v>乱催收，乱收费</v>
      </c>
      <c r="C1990" s="2" t="s">
        <v>9</v>
      </c>
      <c r="D1990" s="2" t="s">
        <v>10</v>
      </c>
      <c r="E1990" s="2" t="str">
        <f>HYPERLINK("http://ts.21cn.com/tousu/show/id/1332539","http://ts.21cn.com/tousu/show/id/1332539")</f>
        <v>http://ts.21cn.com/tousu/show/id/1332539</v>
      </c>
      <c r="F1990" s="2" t="s">
        <v>11</v>
      </c>
      <c r="G1990" s="2" t="s">
        <v>40226</v>
      </c>
      <c r="H1990" s="2" t="s">
        <v>40227</v>
      </c>
    </row>
    <row r="1991" spans="1:8" ht="25.05" customHeight="1" x14ac:dyDescent="0.25">
      <c r="A1991" s="2" t="s">
        <v>8</v>
      </c>
      <c r="B1991" s="2" t="str">
        <f>HYPERLINK("http://ts.21cn.com/tousu/show/id/1332540","借贷宝打了借条放款人不放款")</f>
        <v>借贷宝打了借条放款人不放款</v>
      </c>
      <c r="C1991" s="2" t="s">
        <v>9</v>
      </c>
      <c r="D1991" s="2" t="s">
        <v>10</v>
      </c>
      <c r="E1991" s="2" t="str">
        <f>HYPERLINK("http://ts.21cn.com/tousu/show/id/1332540","http://ts.21cn.com/tousu/show/id/1332540")</f>
        <v>http://ts.21cn.com/tousu/show/id/1332540</v>
      </c>
      <c r="F1991" s="2" t="s">
        <v>11</v>
      </c>
      <c r="G1991" s="2" t="s">
        <v>40224</v>
      </c>
      <c r="H1991" s="2" t="s">
        <v>40225</v>
      </c>
    </row>
    <row r="1992" spans="1:8" ht="25.05" customHeight="1" x14ac:dyDescent="0.25">
      <c r="A1992" s="2" t="s">
        <v>8</v>
      </c>
      <c r="B1992" s="2" t="str">
        <f>HYPERLINK("http://ts.21cn.com/tousu/show/id/1332541","没有逾期的情况下严重骚扰")</f>
        <v>没有逾期的情况下严重骚扰</v>
      </c>
      <c r="C1992" s="2" t="s">
        <v>9</v>
      </c>
      <c r="D1992" s="2" t="s">
        <v>10</v>
      </c>
      <c r="E1992" s="2" t="str">
        <f>HYPERLINK("http://ts.21cn.com/tousu/show/id/1332541","http://ts.21cn.com/tousu/show/id/1332541")</f>
        <v>http://ts.21cn.com/tousu/show/id/1332541</v>
      </c>
      <c r="F1992" s="2" t="s">
        <v>11</v>
      </c>
      <c r="G1992" s="2" t="s">
        <v>40222</v>
      </c>
      <c r="H1992" s="2" t="s">
        <v>40223</v>
      </c>
    </row>
    <row r="1993" spans="1:8" ht="25.05" customHeight="1" x14ac:dyDescent="0.25">
      <c r="A1993" s="2" t="s">
        <v>8</v>
      </c>
      <c r="B1993" s="2" t="str">
        <f>HYPERLINK("http://ts.21cn.com/tousu/show/id/1332542","程咬金微信公众服务号，属于高利贷")</f>
        <v>程咬金微信公众服务号，属于高利贷</v>
      </c>
      <c r="C1993" s="2" t="s">
        <v>9</v>
      </c>
      <c r="D1993" s="2" t="s">
        <v>10</v>
      </c>
      <c r="E1993" s="2" t="str">
        <f>HYPERLINK("http://ts.21cn.com/tousu/show/id/1332542","http://ts.21cn.com/tousu/show/id/1332542")</f>
        <v>http://ts.21cn.com/tousu/show/id/1332542</v>
      </c>
      <c r="F1993" s="2" t="s">
        <v>11</v>
      </c>
      <c r="G1993" s="2" t="s">
        <v>40220</v>
      </c>
      <c r="H1993" s="2" t="s">
        <v>40221</v>
      </c>
    </row>
    <row r="1994" spans="1:8" ht="25.05" customHeight="1" x14ac:dyDescent="0.25">
      <c r="A1994" s="2" t="s">
        <v>8</v>
      </c>
      <c r="B1994" s="2" t="str">
        <f>HYPERLINK("http://ts.21cn.com/tousu/show/id/1332543","爱又米套路贷")</f>
        <v>爱又米套路贷</v>
      </c>
      <c r="C1994" s="2" t="s">
        <v>9</v>
      </c>
      <c r="D1994" s="2" t="s">
        <v>10</v>
      </c>
      <c r="E1994" s="2" t="str">
        <f>HYPERLINK("http://ts.21cn.com/tousu/show/id/1332543","http://ts.21cn.com/tousu/show/id/1332543")</f>
        <v>http://ts.21cn.com/tousu/show/id/1332543</v>
      </c>
      <c r="F1994" s="2" t="s">
        <v>11</v>
      </c>
      <c r="G1994" s="2" t="s">
        <v>40218</v>
      </c>
      <c r="H1994" s="2" t="s">
        <v>40219</v>
      </c>
    </row>
    <row r="1995" spans="1:8" ht="25.05" customHeight="1" x14ac:dyDescent="0.25">
      <c r="A1995" s="2" t="s">
        <v>8</v>
      </c>
      <c r="B1995" s="2" t="str">
        <f>HYPERLINK("http://ts.21cn.com/tousu/show/id/1332544","浙江电信霸王条款，强制用户选择高费用套餐")</f>
        <v>浙江电信霸王条款，强制用户选择高费用套餐</v>
      </c>
      <c r="C1995" s="2" t="s">
        <v>9</v>
      </c>
      <c r="D1995" s="2" t="s">
        <v>10</v>
      </c>
      <c r="E1995" s="2" t="str">
        <f>HYPERLINK("http://ts.21cn.com/tousu/show/id/1332544","http://ts.21cn.com/tousu/show/id/1332544")</f>
        <v>http://ts.21cn.com/tousu/show/id/1332544</v>
      </c>
      <c r="F1995" s="2" t="s">
        <v>11</v>
      </c>
      <c r="G1995" s="2" t="s">
        <v>40216</v>
      </c>
      <c r="H1995" s="2" t="s">
        <v>40217</v>
      </c>
    </row>
    <row r="1996" spans="1:8" ht="25.05" customHeight="1" x14ac:dyDescent="0.25">
      <c r="A1996" s="2" t="s">
        <v>8</v>
      </c>
      <c r="B1996" s="2" t="str">
        <f>HYPERLINK("http://ts.21cn.com/tousu/show/id/1332545","北京三借科技有限公司水莲金条藕丁钱包恶意砍头息，退还砍头息")</f>
        <v>北京三借科技有限公司水莲金条藕丁钱包恶意砍头息，退还砍头息</v>
      </c>
      <c r="C1996" s="2" t="s">
        <v>9</v>
      </c>
      <c r="D1996" s="2" t="s">
        <v>10</v>
      </c>
      <c r="E1996" s="2" t="str">
        <f>HYPERLINK("http://ts.21cn.com/tousu/show/id/1332545","http://ts.21cn.com/tousu/show/id/1332545")</f>
        <v>http://ts.21cn.com/tousu/show/id/1332545</v>
      </c>
      <c r="F1996" s="2" t="s">
        <v>11</v>
      </c>
      <c r="G1996" s="2" t="s">
        <v>40214</v>
      </c>
      <c r="H1996" s="2" t="s">
        <v>40215</v>
      </c>
    </row>
    <row r="1997" spans="1:8" ht="25.05" customHeight="1" x14ac:dyDescent="0.25">
      <c r="A1997" s="2" t="s">
        <v>8</v>
      </c>
      <c r="B1997" s="2" t="str">
        <f>HYPERLINK("http://ts.21cn.com/tousu/show/id/1332546","爱回收迟迟未放款")</f>
        <v>爱回收迟迟未放款</v>
      </c>
      <c r="C1997" s="2" t="s">
        <v>9</v>
      </c>
      <c r="D1997" s="2" t="s">
        <v>10</v>
      </c>
      <c r="E1997" s="2" t="str">
        <f>HYPERLINK("http://ts.21cn.com/tousu/show/id/1332546","http://ts.21cn.com/tousu/show/id/1332546")</f>
        <v>http://ts.21cn.com/tousu/show/id/1332546</v>
      </c>
      <c r="F1997" s="2" t="s">
        <v>11</v>
      </c>
      <c r="G1997" s="2" t="s">
        <v>40212</v>
      </c>
      <c r="H1997" s="2" t="s">
        <v>40213</v>
      </c>
    </row>
    <row r="1998" spans="1:8" ht="25.05" customHeight="1" x14ac:dyDescent="0.25">
      <c r="A1998" s="2" t="s">
        <v>8</v>
      </c>
      <c r="B1998" s="2" t="str">
        <f>HYPERLINK("http://ts.21cn.com/tousu/show/id/1332547","微信违规冻结16646元")</f>
        <v>微信违规冻结16646元</v>
      </c>
      <c r="C1998" s="2" t="s">
        <v>9</v>
      </c>
      <c r="D1998" s="2" t="s">
        <v>10</v>
      </c>
      <c r="E1998" s="2" t="str">
        <f>HYPERLINK("http://ts.21cn.com/tousu/show/id/1332547","http://ts.21cn.com/tousu/show/id/1332547")</f>
        <v>http://ts.21cn.com/tousu/show/id/1332547</v>
      </c>
      <c r="F1998" s="2" t="s">
        <v>11</v>
      </c>
      <c r="G1998" s="2" t="s">
        <v>40210</v>
      </c>
      <c r="H1998" s="2" t="s">
        <v>40211</v>
      </c>
    </row>
    <row r="1999" spans="1:8" ht="25.05" customHeight="1" x14ac:dyDescent="0.25">
      <c r="A1999" s="2" t="s">
        <v>8</v>
      </c>
      <c r="B1999" s="2" t="str">
        <f>HYPERLINK("http://ts.21cn.com/tousu/show/id/1332549","嗨钱网，深圳光华普惠科技有限公司暴力催收，严重骚扰我的生活！")</f>
        <v>嗨钱网，深圳光华普惠科技有限公司暴力催收，严重骚扰我的生活！</v>
      </c>
      <c r="C1999" s="2" t="s">
        <v>9</v>
      </c>
      <c r="D1999" s="2" t="s">
        <v>10</v>
      </c>
      <c r="E1999" s="2" t="str">
        <f>HYPERLINK("http://ts.21cn.com/tousu/show/id/1332549","http://ts.21cn.com/tousu/show/id/1332549")</f>
        <v>http://ts.21cn.com/tousu/show/id/1332549</v>
      </c>
      <c r="F1999" s="2" t="s">
        <v>11</v>
      </c>
      <c r="G1999" s="2" t="s">
        <v>40208</v>
      </c>
      <c r="H1999" s="2" t="s">
        <v>40209</v>
      </c>
    </row>
    <row r="2000" spans="1:8" ht="25.05" customHeight="1" x14ac:dyDescent="0.25">
      <c r="A2000" s="2" t="s">
        <v>8</v>
      </c>
      <c r="B2000" s="2" t="str">
        <f>HYPERLINK("http://ts.21cn.com/tousu/show/id/1332550","安逸花无故锁定账号")</f>
        <v>安逸花无故锁定账号</v>
      </c>
      <c r="C2000" s="2" t="s">
        <v>34</v>
      </c>
      <c r="D2000" s="2" t="s">
        <v>10</v>
      </c>
      <c r="E2000" s="2" t="str">
        <f>HYPERLINK("http://ts.21cn.com/tousu/show/id/1332550","http://ts.21cn.com/tousu/show/id/1332550")</f>
        <v>http://ts.21cn.com/tousu/show/id/1332550</v>
      </c>
      <c r="F2000" s="2" t="s">
        <v>11</v>
      </c>
      <c r="G2000" s="2" t="s">
        <v>40206</v>
      </c>
      <c r="H2000" s="2" t="s">
        <v>40207</v>
      </c>
    </row>
    <row r="2001" spans="1:8" ht="25.05" customHeight="1" x14ac:dyDescent="0.25">
      <c r="A2001" s="2" t="s">
        <v>8</v>
      </c>
      <c r="B2001" s="2" t="str">
        <f>HYPERLINK("http://ts.21cn.com/tousu/show/id/1332551","小浦优客未经同意扣款")</f>
        <v>小浦优客未经同意扣款</v>
      </c>
      <c r="C2001" s="2" t="s">
        <v>9</v>
      </c>
      <c r="D2001" s="2" t="s">
        <v>10</v>
      </c>
      <c r="E2001" s="2" t="str">
        <f>HYPERLINK("http://ts.21cn.com/tousu/show/id/1332551","http://ts.21cn.com/tousu/show/id/1332551")</f>
        <v>http://ts.21cn.com/tousu/show/id/1332551</v>
      </c>
      <c r="F2001" s="2" t="s">
        <v>11</v>
      </c>
      <c r="G2001" s="2" t="s">
        <v>40204</v>
      </c>
      <c r="H2001" s="2" t="s">
        <v>40205</v>
      </c>
    </row>
    <row r="2002" spans="1:8" ht="25.05" customHeight="1" x14ac:dyDescent="0.25">
      <c r="A2002" s="2" t="s">
        <v>8</v>
      </c>
      <c r="B2002" s="2" t="str">
        <f>HYPERLINK("http://ts.21cn.com/tousu/show/id/1332552","钱站无良套路贷高额利息不断利滚利")</f>
        <v>钱站无良套路贷高额利息不断利滚利</v>
      </c>
      <c r="C2002" s="2" t="s">
        <v>9</v>
      </c>
      <c r="D2002" s="2" t="s">
        <v>10</v>
      </c>
      <c r="E2002" s="2" t="str">
        <f>HYPERLINK("http://ts.21cn.com/tousu/show/id/1332552","http://ts.21cn.com/tousu/show/id/1332552")</f>
        <v>http://ts.21cn.com/tousu/show/id/1332552</v>
      </c>
      <c r="F2002" s="2" t="s">
        <v>11</v>
      </c>
      <c r="G2002" s="2" t="s">
        <v>40202</v>
      </c>
      <c r="H2002" s="2" t="s">
        <v>40203</v>
      </c>
    </row>
    <row r="2003" spans="1:8" ht="25.05" customHeight="1" x14ac:dyDescent="0.25">
      <c r="A2003" s="2" t="s">
        <v>8</v>
      </c>
      <c r="B2003" s="2" t="str">
        <f>HYPERLINK("http://ts.21cn.com/tousu/show/id/1332533","前期298")</f>
        <v>前期298</v>
      </c>
      <c r="C2003" s="2" t="s">
        <v>9</v>
      </c>
      <c r="D2003" s="2" t="s">
        <v>10</v>
      </c>
      <c r="E2003" s="2" t="str">
        <f>HYPERLINK("http://ts.21cn.com/tousu/show/id/1332533","http://ts.21cn.com/tousu/show/id/1332533")</f>
        <v>http://ts.21cn.com/tousu/show/id/1332533</v>
      </c>
      <c r="F2003" s="2" t="s">
        <v>11</v>
      </c>
      <c r="G2003" s="2" t="s">
        <v>40200</v>
      </c>
      <c r="H2003" s="2" t="s">
        <v>40201</v>
      </c>
    </row>
    <row r="2004" spans="1:8" ht="25.05" customHeight="1" x14ac:dyDescent="0.25">
      <c r="A2004" s="2" t="s">
        <v>8</v>
      </c>
      <c r="B2004" s="2" t="str">
        <f>HYPERLINK("http://ts.21cn.com/tousu/show/id/1332553","钱站高利贷阴阳合同")</f>
        <v>钱站高利贷阴阳合同</v>
      </c>
      <c r="C2004" s="2" t="s">
        <v>9</v>
      </c>
      <c r="D2004" s="2" t="s">
        <v>10</v>
      </c>
      <c r="E2004" s="2" t="str">
        <f>HYPERLINK("http://ts.21cn.com/tousu/show/id/1332553","http://ts.21cn.com/tousu/show/id/1332553")</f>
        <v>http://ts.21cn.com/tousu/show/id/1332553</v>
      </c>
      <c r="F2004" s="2" t="s">
        <v>11</v>
      </c>
      <c r="G2004" s="2" t="s">
        <v>40198</v>
      </c>
      <c r="H2004" s="2" t="s">
        <v>40199</v>
      </c>
    </row>
    <row r="2005" spans="1:8" ht="25.05" customHeight="1" x14ac:dyDescent="0.25">
      <c r="A2005" s="2" t="s">
        <v>8</v>
      </c>
      <c r="B2005" s="2" t="str">
        <f>HYPERLINK("http://ts.21cn.com/tousu/show/id/1332554","高铁管家在我已经成功购买车票后，仍旧帮我抢票，并且不退我因为重复买票后退票产生的退票费用")</f>
        <v>高铁管家在我已经成功购买车票后，仍旧帮我抢票，并且不退我因为重复买票后退票产生的退票费用</v>
      </c>
      <c r="C2005" s="2" t="s">
        <v>34</v>
      </c>
      <c r="D2005" s="2" t="s">
        <v>10</v>
      </c>
      <c r="E2005" s="2" t="str">
        <f>HYPERLINK("http://ts.21cn.com/tousu/show/id/1332554","http://ts.21cn.com/tousu/show/id/1332554")</f>
        <v>http://ts.21cn.com/tousu/show/id/1332554</v>
      </c>
      <c r="F2005" s="2" t="s">
        <v>11</v>
      </c>
      <c r="G2005" s="2" t="s">
        <v>40196</v>
      </c>
      <c r="H2005" s="2" t="s">
        <v>40197</v>
      </c>
    </row>
    <row r="2006" spans="1:8" ht="25.05" customHeight="1" x14ac:dyDescent="0.25">
      <c r="A2006" s="2" t="s">
        <v>8</v>
      </c>
      <c r="B2006" s="2" t="str">
        <f>HYPERLINK("http://ts.21cn.com/tousu/show/id/1332555","小浦优客私自扣款")</f>
        <v>小浦优客私自扣款</v>
      </c>
      <c r="C2006" s="2" t="s">
        <v>9</v>
      </c>
      <c r="D2006" s="2" t="s">
        <v>10</v>
      </c>
      <c r="E2006" s="2" t="str">
        <f>HYPERLINK("http://ts.21cn.com/tousu/show/id/1332555","http://ts.21cn.com/tousu/show/id/1332555")</f>
        <v>http://ts.21cn.com/tousu/show/id/1332555</v>
      </c>
      <c r="F2006" s="2" t="s">
        <v>11</v>
      </c>
      <c r="G2006" s="2" t="s">
        <v>40194</v>
      </c>
      <c r="H2006" s="2" t="s">
        <v>40195</v>
      </c>
    </row>
    <row r="2007" spans="1:8" ht="25.05" customHeight="1" x14ac:dyDescent="0.25">
      <c r="A2007" s="2" t="s">
        <v>8</v>
      </c>
      <c r="B2007" s="2" t="str">
        <f>HYPERLINK("http://ts.21cn.com/tousu/show/id/1332556","买买乐购利息太高")</f>
        <v>买买乐购利息太高</v>
      </c>
      <c r="C2007" s="2" t="s">
        <v>9</v>
      </c>
      <c r="D2007" s="2" t="s">
        <v>10</v>
      </c>
      <c r="E2007" s="2" t="str">
        <f>HYPERLINK("http://ts.21cn.com/tousu/show/id/1332556","http://ts.21cn.com/tousu/show/id/1332556")</f>
        <v>http://ts.21cn.com/tousu/show/id/1332556</v>
      </c>
      <c r="F2007" s="2" t="s">
        <v>11</v>
      </c>
      <c r="G2007" s="2" t="s">
        <v>40192</v>
      </c>
      <c r="H2007" s="2" t="s">
        <v>40193</v>
      </c>
    </row>
    <row r="2008" spans="1:8" ht="25.05" customHeight="1" x14ac:dyDescent="0.25">
      <c r="A2008" s="2" t="s">
        <v>8</v>
      </c>
      <c r="B2008" s="2" t="str">
        <f>HYPERLINK("http://ts.21cn.com/tousu/show/id/1332557","达飞云贷违法摧收")</f>
        <v>达飞云贷违法摧收</v>
      </c>
      <c r="C2008" s="2" t="s">
        <v>9</v>
      </c>
      <c r="D2008" s="2" t="s">
        <v>10</v>
      </c>
      <c r="E2008" s="2" t="str">
        <f>HYPERLINK("http://ts.21cn.com/tousu/show/id/1332557","http://ts.21cn.com/tousu/show/id/1332557")</f>
        <v>http://ts.21cn.com/tousu/show/id/1332557</v>
      </c>
      <c r="F2008" s="2" t="s">
        <v>11</v>
      </c>
      <c r="G2008" s="2" t="s">
        <v>40190</v>
      </c>
      <c r="H2008" s="2" t="s">
        <v>40191</v>
      </c>
    </row>
    <row r="2009" spans="1:8" ht="25.05" customHeight="1" x14ac:dyDescent="0.25">
      <c r="A2009" s="2" t="s">
        <v>8</v>
      </c>
      <c r="B2009" s="2" t="str">
        <f>HYPERLINK("http://ts.21cn.com/tousu/show/id/1332558","黑恶的暴力催收。暴力网贷")</f>
        <v>黑恶的暴力催收。暴力网贷</v>
      </c>
      <c r="C2009" s="2" t="s">
        <v>9</v>
      </c>
      <c r="D2009" s="2" t="s">
        <v>10</v>
      </c>
      <c r="E2009" s="2" t="str">
        <f>HYPERLINK("http://ts.21cn.com/tousu/show/id/1332558","http://ts.21cn.com/tousu/show/id/1332558")</f>
        <v>http://ts.21cn.com/tousu/show/id/1332558</v>
      </c>
      <c r="F2009" s="2" t="s">
        <v>11</v>
      </c>
      <c r="G2009" s="2" t="s">
        <v>40188</v>
      </c>
      <c r="H2009" s="2" t="s">
        <v>40189</v>
      </c>
    </row>
    <row r="2010" spans="1:8" ht="25.05" customHeight="1" x14ac:dyDescent="0.25">
      <c r="A2010" s="2" t="s">
        <v>8</v>
      </c>
      <c r="B2010" s="2" t="str">
        <f>HYPERLINK("http://ts.21cn.com/tousu/show/id/1332560","利息高，没经过本人允许拨打通讯录联系人")</f>
        <v>利息高，没经过本人允许拨打通讯录联系人</v>
      </c>
      <c r="C2010" s="2" t="s">
        <v>34</v>
      </c>
      <c r="D2010" s="2" t="s">
        <v>10</v>
      </c>
      <c r="E2010" s="2" t="str">
        <f>HYPERLINK("http://ts.21cn.com/tousu/show/id/1332560","http://ts.21cn.com/tousu/show/id/1332560")</f>
        <v>http://ts.21cn.com/tousu/show/id/1332560</v>
      </c>
      <c r="F2010" s="2" t="s">
        <v>11</v>
      </c>
      <c r="G2010" s="2" t="s">
        <v>40186</v>
      </c>
      <c r="H2010" s="2" t="s">
        <v>40187</v>
      </c>
    </row>
    <row r="2011" spans="1:8" ht="25.05" customHeight="1" x14ac:dyDescent="0.25">
      <c r="A2011" s="2" t="s">
        <v>8</v>
      </c>
      <c r="B2011" s="2" t="str">
        <f>HYPERLINK("http://ts.21cn.com/tousu/show/id/1332562","闪银哼哼借款订单不能取消，属于套路贷")</f>
        <v>闪银哼哼借款订单不能取消，属于套路贷</v>
      </c>
      <c r="C2011" s="2" t="s">
        <v>9</v>
      </c>
      <c r="D2011" s="2" t="s">
        <v>10</v>
      </c>
      <c r="E2011" s="2" t="str">
        <f>HYPERLINK("http://ts.21cn.com/tousu/show/id/1332562","http://ts.21cn.com/tousu/show/id/1332562")</f>
        <v>http://ts.21cn.com/tousu/show/id/1332562</v>
      </c>
      <c r="F2011" s="2" t="s">
        <v>11</v>
      </c>
      <c r="G2011" s="2" t="s">
        <v>40184</v>
      </c>
      <c r="H2011" s="2" t="s">
        <v>40185</v>
      </c>
    </row>
    <row r="2012" spans="1:8" ht="25.05" customHeight="1" x14ac:dyDescent="0.25">
      <c r="A2012" s="2" t="s">
        <v>8</v>
      </c>
      <c r="B2012" s="2" t="str">
        <f>HYPERLINK("http://ts.21cn.com/tousu/show/id/1332563","实际到账金额不对")</f>
        <v>实际到账金额不对</v>
      </c>
      <c r="C2012" s="2" t="s">
        <v>34</v>
      </c>
      <c r="D2012" s="2" t="s">
        <v>10</v>
      </c>
      <c r="E2012" s="2" t="str">
        <f>HYPERLINK("http://ts.21cn.com/tousu/show/id/1332563","http://ts.21cn.com/tousu/show/id/1332563")</f>
        <v>http://ts.21cn.com/tousu/show/id/1332563</v>
      </c>
      <c r="F2012" s="2" t="s">
        <v>11</v>
      </c>
      <c r="G2012" s="2" t="s">
        <v>40182</v>
      </c>
      <c r="H2012" s="2" t="s">
        <v>40183</v>
      </c>
    </row>
    <row r="2013" spans="1:8" ht="25.05" customHeight="1" x14ac:dyDescent="0.25">
      <c r="A2013" s="2" t="s">
        <v>8</v>
      </c>
      <c r="B2013" s="2" t="str">
        <f>HYPERLINK("http://ts.21cn.com/tousu/show/id/1332564","黑玩家游戏积分，霸王条款！")</f>
        <v>黑玩家游戏积分，霸王条款！</v>
      </c>
      <c r="C2013" s="2" t="s">
        <v>9</v>
      </c>
      <c r="D2013" s="2" t="s">
        <v>10</v>
      </c>
      <c r="E2013" s="2" t="str">
        <f>HYPERLINK("http://ts.21cn.com/tousu/show/id/1332564","http://ts.21cn.com/tousu/show/id/1332564")</f>
        <v>http://ts.21cn.com/tousu/show/id/1332564</v>
      </c>
      <c r="F2013" s="2" t="s">
        <v>11</v>
      </c>
      <c r="G2013" s="2" t="s">
        <v>40180</v>
      </c>
      <c r="H2013" s="2" t="s">
        <v>40181</v>
      </c>
    </row>
    <row r="2014" spans="1:8" ht="25.05" customHeight="1" x14ac:dyDescent="0.25">
      <c r="A2014" s="2" t="s">
        <v>8</v>
      </c>
      <c r="B2014" s="2" t="str">
        <f>HYPERLINK("http://ts.21cn.com/tousu/show/id/1332565","拼多多包庇商家")</f>
        <v>拼多多包庇商家</v>
      </c>
      <c r="C2014" s="2" t="s">
        <v>9</v>
      </c>
      <c r="D2014" s="2" t="s">
        <v>10</v>
      </c>
      <c r="E2014" s="2" t="str">
        <f>HYPERLINK("http://ts.21cn.com/tousu/show/id/1332565","http://ts.21cn.com/tousu/show/id/1332565")</f>
        <v>http://ts.21cn.com/tousu/show/id/1332565</v>
      </c>
      <c r="F2014" s="2" t="s">
        <v>11</v>
      </c>
      <c r="G2014" s="2" t="s">
        <v>40178</v>
      </c>
      <c r="H2014" s="2" t="s">
        <v>40179</v>
      </c>
    </row>
    <row r="2015" spans="1:8" ht="25.05" customHeight="1" x14ac:dyDescent="0.25">
      <c r="A2015" s="2" t="s">
        <v>8</v>
      </c>
      <c r="B2015" s="2" t="str">
        <f>HYPERLINK("http://ts.21cn.com/tousu/show/id/1332566","火影帮暴力催收")</f>
        <v>火影帮暴力催收</v>
      </c>
      <c r="C2015" s="2" t="s">
        <v>9</v>
      </c>
      <c r="D2015" s="2" t="s">
        <v>10</v>
      </c>
      <c r="E2015" s="2" t="str">
        <f>HYPERLINK("http://ts.21cn.com/tousu/show/id/1332566","http://ts.21cn.com/tousu/show/id/1332566")</f>
        <v>http://ts.21cn.com/tousu/show/id/1332566</v>
      </c>
      <c r="F2015" s="2" t="s">
        <v>11</v>
      </c>
      <c r="G2015" s="2" t="s">
        <v>40176</v>
      </c>
      <c r="H2015" s="2" t="s">
        <v>40177</v>
      </c>
    </row>
    <row r="2016" spans="1:8" ht="25.05" customHeight="1" x14ac:dyDescent="0.25">
      <c r="A2016" s="2" t="s">
        <v>8</v>
      </c>
      <c r="B2016" s="2" t="str">
        <f>HYPERLINK("http://ts.21cn.com/tousu/show/id/1332568","交通银行信用卡催收")</f>
        <v>交通银行信用卡催收</v>
      </c>
      <c r="C2016" s="2" t="s">
        <v>9</v>
      </c>
      <c r="D2016" s="2" t="s">
        <v>10</v>
      </c>
      <c r="E2016" s="2" t="str">
        <f>HYPERLINK("http://ts.21cn.com/tousu/show/id/1332568","http://ts.21cn.com/tousu/show/id/1332568")</f>
        <v>http://ts.21cn.com/tousu/show/id/1332568</v>
      </c>
      <c r="F2016" s="2" t="s">
        <v>11</v>
      </c>
      <c r="G2016" s="2" t="s">
        <v>40174</v>
      </c>
      <c r="H2016" s="2" t="s">
        <v>40175</v>
      </c>
    </row>
    <row r="2017" spans="1:8" ht="25.05" customHeight="1" x14ac:dyDescent="0.25">
      <c r="A2017" s="2" t="s">
        <v>8</v>
      </c>
      <c r="B2017" s="2" t="str">
        <f>HYPERLINK("http://ts.21cn.com/tousu/show/id/1332569","快易花暴力催收，连续换催收人员恐吓！")</f>
        <v>快易花暴力催收，连续换催收人员恐吓！</v>
      </c>
      <c r="C2017" s="2" t="s">
        <v>9</v>
      </c>
      <c r="D2017" s="2" t="s">
        <v>10</v>
      </c>
      <c r="E2017" s="2" t="str">
        <f>HYPERLINK("http://ts.21cn.com/tousu/show/id/1332569","http://ts.21cn.com/tousu/show/id/1332569")</f>
        <v>http://ts.21cn.com/tousu/show/id/1332569</v>
      </c>
      <c r="F2017" s="2" t="s">
        <v>11</v>
      </c>
      <c r="G2017" s="2" t="s">
        <v>40172</v>
      </c>
      <c r="H2017" s="2" t="s">
        <v>40173</v>
      </c>
    </row>
    <row r="2018" spans="1:8" ht="25.05" customHeight="1" x14ac:dyDescent="0.25">
      <c r="A2018" s="2" t="s">
        <v>8</v>
      </c>
      <c r="B2018" s="2" t="str">
        <f>HYPERLINK("http://ts.21cn.com/tousu/show/id/1332570","钱站催收不联系本人，爆催通讯录！")</f>
        <v>钱站催收不联系本人，爆催通讯录！</v>
      </c>
      <c r="C2018" s="2" t="s">
        <v>9</v>
      </c>
      <c r="D2018" s="2" t="s">
        <v>10</v>
      </c>
      <c r="E2018" s="2" t="str">
        <f>HYPERLINK("http://ts.21cn.com/tousu/show/id/1332570","http://ts.21cn.com/tousu/show/id/1332570")</f>
        <v>http://ts.21cn.com/tousu/show/id/1332570</v>
      </c>
      <c r="F2018" s="2" t="s">
        <v>11</v>
      </c>
      <c r="G2018" s="2" t="s">
        <v>40170</v>
      </c>
      <c r="H2018" s="2" t="s">
        <v>40171</v>
      </c>
    </row>
    <row r="2019" spans="1:8" ht="25.05" customHeight="1" x14ac:dyDescent="0.25">
      <c r="A2019" s="2" t="s">
        <v>8</v>
      </c>
      <c r="B2019" s="2" t="str">
        <f>HYPERLINK("http://ts.21cn.com/tousu/show/id/1332571","有用分期打骚扰电话")</f>
        <v>有用分期打骚扰电话</v>
      </c>
      <c r="C2019" s="2" t="s">
        <v>9</v>
      </c>
      <c r="D2019" s="2" t="s">
        <v>10</v>
      </c>
      <c r="E2019" s="2" t="str">
        <f>HYPERLINK("http://ts.21cn.com/tousu/show/id/1332571","http://ts.21cn.com/tousu/show/id/1332571")</f>
        <v>http://ts.21cn.com/tousu/show/id/1332571</v>
      </c>
      <c r="F2019" s="2" t="s">
        <v>11</v>
      </c>
      <c r="G2019" s="2" t="s">
        <v>40168</v>
      </c>
      <c r="H2019" s="2" t="s">
        <v>40169</v>
      </c>
    </row>
    <row r="2020" spans="1:8" ht="25.05" customHeight="1" x14ac:dyDescent="0.25">
      <c r="A2020" s="2" t="s">
        <v>8</v>
      </c>
      <c r="B2020" s="2" t="str">
        <f>HYPERLINK("http://ts.21cn.com/tousu/show/id/1332572","闪银奇异网贷涉嫌套路贷，收取高额担保费")</f>
        <v>闪银奇异网贷涉嫌套路贷，收取高额担保费</v>
      </c>
      <c r="C2020" s="2" t="s">
        <v>9</v>
      </c>
      <c r="D2020" s="2" t="s">
        <v>10</v>
      </c>
      <c r="E2020" s="2" t="str">
        <f>HYPERLINK("http://ts.21cn.com/tousu/show/id/1332572","http://ts.21cn.com/tousu/show/id/1332572")</f>
        <v>http://ts.21cn.com/tousu/show/id/1332572</v>
      </c>
      <c r="F2020" s="2" t="s">
        <v>11</v>
      </c>
      <c r="G2020" s="2" t="s">
        <v>40166</v>
      </c>
      <c r="H2020" s="2" t="s">
        <v>40167</v>
      </c>
    </row>
    <row r="2021" spans="1:8" ht="25.05" customHeight="1" x14ac:dyDescent="0.25">
      <c r="A2021" s="2" t="s">
        <v>8</v>
      </c>
      <c r="B2021" s="2" t="str">
        <f>HYPERLINK("http://ts.21cn.com/tousu/show/id/1332573","小富商城无故扣款420.57元")</f>
        <v>小富商城无故扣款420.57元</v>
      </c>
      <c r="C2021" s="2" t="s">
        <v>9</v>
      </c>
      <c r="D2021" s="2" t="s">
        <v>10</v>
      </c>
      <c r="E2021" s="2" t="str">
        <f>HYPERLINK("http://ts.21cn.com/tousu/show/id/1332573","http://ts.21cn.com/tousu/show/id/1332573")</f>
        <v>http://ts.21cn.com/tousu/show/id/1332573</v>
      </c>
      <c r="F2021" s="2" t="s">
        <v>11</v>
      </c>
      <c r="G2021" s="2" t="s">
        <v>40164</v>
      </c>
      <c r="H2021" s="2" t="s">
        <v>40165</v>
      </c>
    </row>
    <row r="2022" spans="1:8" ht="25.05" customHeight="1" x14ac:dyDescent="0.25">
      <c r="A2022" s="2" t="s">
        <v>8</v>
      </c>
      <c r="B2022" s="2" t="str">
        <f>HYPERLINK("http://ts.21cn.com/tousu/show/id/1332575","暴力催收，砍头息，骚扰通讯录")</f>
        <v>暴力催收，砍头息，骚扰通讯录</v>
      </c>
      <c r="C2022" s="2" t="s">
        <v>9</v>
      </c>
      <c r="D2022" s="2" t="s">
        <v>10</v>
      </c>
      <c r="E2022" s="2" t="str">
        <f>HYPERLINK("http://ts.21cn.com/tousu/show/id/1332575","http://ts.21cn.com/tousu/show/id/1332575")</f>
        <v>http://ts.21cn.com/tousu/show/id/1332575</v>
      </c>
      <c r="F2022" s="2" t="s">
        <v>11</v>
      </c>
      <c r="G2022" s="2" t="s">
        <v>40162</v>
      </c>
      <c r="H2022" s="2" t="s">
        <v>40163</v>
      </c>
    </row>
    <row r="2023" spans="1:8" ht="25.05" customHeight="1" x14ac:dyDescent="0.25">
      <c r="A2023" s="2" t="s">
        <v>8</v>
      </c>
      <c r="B2023" s="2" t="str">
        <f>HYPERLINK("http://ts.21cn.com/tousu/show/id/1332574","钱橙无忧随意扣费")</f>
        <v>钱橙无忧随意扣费</v>
      </c>
      <c r="C2023" s="2" t="s">
        <v>34</v>
      </c>
      <c r="D2023" s="2" t="s">
        <v>10</v>
      </c>
      <c r="E2023" s="2" t="str">
        <f>HYPERLINK("http://ts.21cn.com/tousu/show/id/1332574","http://ts.21cn.com/tousu/show/id/1332574")</f>
        <v>http://ts.21cn.com/tousu/show/id/1332574</v>
      </c>
      <c r="F2023" s="2" t="s">
        <v>11</v>
      </c>
      <c r="G2023" s="2" t="s">
        <v>40160</v>
      </c>
      <c r="H2023" s="2" t="s">
        <v>40161</v>
      </c>
    </row>
    <row r="2024" spans="1:8" ht="25.05" customHeight="1" x14ac:dyDescent="0.25">
      <c r="A2024" s="2" t="s">
        <v>8</v>
      </c>
      <c r="B2024" s="2" t="str">
        <f>HYPERLINK("http://ts.21cn.com/tousu/show/id/1332577","苹果未经允许胡乱扣费")</f>
        <v>苹果未经允许胡乱扣费</v>
      </c>
      <c r="C2024" s="2" t="s">
        <v>9</v>
      </c>
      <c r="D2024" s="2" t="s">
        <v>10</v>
      </c>
      <c r="E2024" s="2" t="str">
        <f>HYPERLINK("http://ts.21cn.com/tousu/show/id/1332577","http://ts.21cn.com/tousu/show/id/1332577")</f>
        <v>http://ts.21cn.com/tousu/show/id/1332577</v>
      </c>
      <c r="F2024" s="2" t="s">
        <v>11</v>
      </c>
      <c r="G2024" s="2" t="s">
        <v>40158</v>
      </c>
      <c r="H2024" s="2" t="s">
        <v>40159</v>
      </c>
    </row>
    <row r="2025" spans="1:8" ht="25.05" customHeight="1" x14ac:dyDescent="0.25">
      <c r="A2025" s="2" t="s">
        <v>8</v>
      </c>
      <c r="B2025" s="2" t="str">
        <f>HYPERLINK("http://ts.21cn.com/tousu/show/id/1332578","投诉功夫贷高利贷、欺诈")</f>
        <v>投诉功夫贷高利贷、欺诈</v>
      </c>
      <c r="C2025" s="2" t="s">
        <v>9</v>
      </c>
      <c r="D2025" s="2" t="s">
        <v>10</v>
      </c>
      <c r="E2025" s="2" t="str">
        <f>HYPERLINK("http://ts.21cn.com/tousu/show/id/1332578","http://ts.21cn.com/tousu/show/id/1332578")</f>
        <v>http://ts.21cn.com/tousu/show/id/1332578</v>
      </c>
      <c r="F2025" s="2" t="s">
        <v>11</v>
      </c>
      <c r="G2025" s="2" t="s">
        <v>40156</v>
      </c>
      <c r="H2025" s="2" t="s">
        <v>40157</v>
      </c>
    </row>
    <row r="2026" spans="1:8" ht="25.05" customHeight="1" x14ac:dyDescent="0.25">
      <c r="A2026" s="2" t="s">
        <v>8</v>
      </c>
      <c r="B2026" s="2" t="str">
        <f>HYPERLINK("http://ts.21cn.com/tousu/show/id/1332579","分期乐生活权益卡完全误导人消费")</f>
        <v>分期乐生活权益卡完全误导人消费</v>
      </c>
      <c r="C2026" s="2" t="s">
        <v>9</v>
      </c>
      <c r="D2026" s="2" t="s">
        <v>10</v>
      </c>
      <c r="E2026" s="2" t="str">
        <f>HYPERLINK("http://ts.21cn.com/tousu/show/id/1332579","http://ts.21cn.com/tousu/show/id/1332579")</f>
        <v>http://ts.21cn.com/tousu/show/id/1332579</v>
      </c>
      <c r="F2026" s="2" t="s">
        <v>11</v>
      </c>
      <c r="G2026" s="2" t="s">
        <v>40154</v>
      </c>
      <c r="H2026" s="2" t="s">
        <v>40155</v>
      </c>
    </row>
    <row r="2027" spans="1:8" ht="25.05" customHeight="1" x14ac:dyDescent="0.25">
      <c r="A2027" s="2" t="s">
        <v>8</v>
      </c>
      <c r="B2027" s="2" t="str">
        <f>HYPERLINK("http://ts.21cn.com/tousu/show/id/1332580","钱站暴力催收，恐吓，威胁，侮辱")</f>
        <v>钱站暴力催收，恐吓，威胁，侮辱</v>
      </c>
      <c r="C2027" s="2" t="s">
        <v>9</v>
      </c>
      <c r="D2027" s="2" t="s">
        <v>10</v>
      </c>
      <c r="E2027" s="2" t="str">
        <f>HYPERLINK("http://ts.21cn.com/tousu/show/id/1332580","http://ts.21cn.com/tousu/show/id/1332580")</f>
        <v>http://ts.21cn.com/tousu/show/id/1332580</v>
      </c>
      <c r="F2027" s="2" t="s">
        <v>11</v>
      </c>
      <c r="G2027" s="2" t="s">
        <v>40152</v>
      </c>
      <c r="H2027" s="2" t="s">
        <v>40153</v>
      </c>
    </row>
    <row r="2028" spans="1:8" ht="25.05" customHeight="1" x14ac:dyDescent="0.25">
      <c r="A2028" s="2" t="s">
        <v>8</v>
      </c>
      <c r="B2028" s="2" t="str">
        <f>HYPERLINK("http://ts.21cn.com/tousu/show/id/1332581","钱站砍头息，利率高")</f>
        <v>钱站砍头息，利率高</v>
      </c>
      <c r="C2028" s="2" t="s">
        <v>9</v>
      </c>
      <c r="D2028" s="2" t="s">
        <v>10</v>
      </c>
      <c r="E2028" s="2" t="str">
        <f>HYPERLINK("http://ts.21cn.com/tousu/show/id/1332581","http://ts.21cn.com/tousu/show/id/1332581")</f>
        <v>http://ts.21cn.com/tousu/show/id/1332581</v>
      </c>
      <c r="F2028" s="2" t="s">
        <v>11</v>
      </c>
      <c r="G2028" s="2" t="s">
        <v>40150</v>
      </c>
      <c r="H2028" s="2" t="s">
        <v>40151</v>
      </c>
    </row>
    <row r="2029" spans="1:8" ht="25.05" customHeight="1" x14ac:dyDescent="0.25">
      <c r="A2029" s="2" t="s">
        <v>8</v>
      </c>
      <c r="B2029" s="2" t="str">
        <f>HYPERLINK("http://ts.21cn.com/tousu/show/id/1332582","立借上月月借还款不销账")</f>
        <v>立借上月月借还款不销账</v>
      </c>
      <c r="C2029" s="2" t="s">
        <v>9</v>
      </c>
      <c r="D2029" s="2" t="s">
        <v>10</v>
      </c>
      <c r="E2029" s="2" t="str">
        <f>HYPERLINK("http://ts.21cn.com/tousu/show/id/1332582","http://ts.21cn.com/tousu/show/id/1332582")</f>
        <v>http://ts.21cn.com/tousu/show/id/1332582</v>
      </c>
      <c r="F2029" s="2" t="s">
        <v>11</v>
      </c>
      <c r="G2029" s="2" t="s">
        <v>40148</v>
      </c>
      <c r="H2029" s="2" t="s">
        <v>40149</v>
      </c>
    </row>
    <row r="2030" spans="1:8" ht="25.05" customHeight="1" x14ac:dyDescent="0.25">
      <c r="A2030" s="2" t="s">
        <v>8</v>
      </c>
      <c r="B2030" s="2" t="str">
        <f>HYPERLINK("http://ts.21cn.com/tousu/show/id/1332583","卡牛信用管家（卡牛瑞贷）乱收费")</f>
        <v>卡牛信用管家（卡牛瑞贷）乱收费</v>
      </c>
      <c r="C2030" s="2" t="s">
        <v>9</v>
      </c>
      <c r="D2030" s="2" t="s">
        <v>10</v>
      </c>
      <c r="E2030" s="2" t="str">
        <f>HYPERLINK("http://ts.21cn.com/tousu/show/id/1332583","http://ts.21cn.com/tousu/show/id/1332583")</f>
        <v>http://ts.21cn.com/tousu/show/id/1332583</v>
      </c>
      <c r="F2030" s="2" t="s">
        <v>11</v>
      </c>
      <c r="G2030" s="2" t="s">
        <v>40146</v>
      </c>
      <c r="H2030" s="2" t="s">
        <v>40147</v>
      </c>
    </row>
    <row r="2031" spans="1:8" ht="25.05" customHeight="1" x14ac:dyDescent="0.25">
      <c r="A2031" s="2" t="s">
        <v>8</v>
      </c>
      <c r="B2031" s="2" t="str">
        <f>HYPERLINK("http://ts.21cn.com/tousu/show/id/1332584","恒丰银行信用卡被拒")</f>
        <v>恒丰银行信用卡被拒</v>
      </c>
      <c r="C2031" s="2" t="s">
        <v>9</v>
      </c>
      <c r="D2031" s="2" t="s">
        <v>10</v>
      </c>
      <c r="E2031" s="2" t="str">
        <f>HYPERLINK("http://ts.21cn.com/tousu/show/id/1332584","http://ts.21cn.com/tousu/show/id/1332584")</f>
        <v>http://ts.21cn.com/tousu/show/id/1332584</v>
      </c>
      <c r="F2031" s="2" t="s">
        <v>11</v>
      </c>
      <c r="G2031" s="2" t="s">
        <v>40144</v>
      </c>
      <c r="H2031" s="2" t="s">
        <v>40145</v>
      </c>
    </row>
    <row r="2032" spans="1:8" ht="25.05" customHeight="1" x14ac:dyDescent="0.25">
      <c r="A2032" s="2" t="s">
        <v>8</v>
      </c>
      <c r="B2032" s="2" t="str">
        <f>HYPERLINK("http://ts.21cn.com/tousu/show/id/1332585","砍头息高利贷")</f>
        <v>砍头息高利贷</v>
      </c>
      <c r="C2032" s="2" t="s">
        <v>9</v>
      </c>
      <c r="D2032" s="2" t="s">
        <v>10</v>
      </c>
      <c r="E2032" s="2" t="str">
        <f>HYPERLINK("http://ts.21cn.com/tousu/show/id/1332585","http://ts.21cn.com/tousu/show/id/1332585")</f>
        <v>http://ts.21cn.com/tousu/show/id/1332585</v>
      </c>
      <c r="F2032" s="2" t="s">
        <v>11</v>
      </c>
      <c r="G2032" s="2" t="s">
        <v>40142</v>
      </c>
      <c r="H2032" s="2" t="s">
        <v>40143</v>
      </c>
    </row>
    <row r="2033" spans="1:8" ht="25.05" customHeight="1" x14ac:dyDescent="0.25">
      <c r="A2033" s="2" t="s">
        <v>8</v>
      </c>
      <c r="B2033" s="2" t="str">
        <f>HYPERLINK("http://ts.21cn.com/tousu/show/id/1332586","暴力催收")</f>
        <v>暴力催收</v>
      </c>
      <c r="C2033" s="2" t="s">
        <v>9</v>
      </c>
      <c r="D2033" s="2" t="s">
        <v>10</v>
      </c>
      <c r="E2033" s="2" t="str">
        <f>HYPERLINK("http://ts.21cn.com/tousu/show/id/1332586","http://ts.21cn.com/tousu/show/id/1332586")</f>
        <v>http://ts.21cn.com/tousu/show/id/1332586</v>
      </c>
      <c r="F2033" s="2" t="s">
        <v>11</v>
      </c>
      <c r="G2033" s="2" t="s">
        <v>40140</v>
      </c>
      <c r="H2033" s="2" t="s">
        <v>40141</v>
      </c>
    </row>
    <row r="2034" spans="1:8" ht="25.05" customHeight="1" x14ac:dyDescent="0.25">
      <c r="A2034" s="2" t="s">
        <v>8</v>
      </c>
      <c r="B2034" s="2" t="str">
        <f>HYPERLINK("http://ts.21cn.com/tousu/show/id/1332587","快钱支付富友支付为714高利贷放款")</f>
        <v>快钱支付富友支付为714高利贷放款</v>
      </c>
      <c r="C2034" s="2" t="s">
        <v>9</v>
      </c>
      <c r="D2034" s="2" t="s">
        <v>10</v>
      </c>
      <c r="E2034" s="2" t="str">
        <f>HYPERLINK("http://ts.21cn.com/tousu/show/id/1332587","http://ts.21cn.com/tousu/show/id/1332587")</f>
        <v>http://ts.21cn.com/tousu/show/id/1332587</v>
      </c>
      <c r="F2034" s="2" t="s">
        <v>11</v>
      </c>
      <c r="G2034" s="2" t="s">
        <v>40138</v>
      </c>
      <c r="H2034" s="2" t="s">
        <v>40139</v>
      </c>
    </row>
    <row r="2035" spans="1:8" ht="25.05" customHeight="1" x14ac:dyDescent="0.25">
      <c r="A2035" s="2" t="s">
        <v>8</v>
      </c>
      <c r="B2035" s="2" t="str">
        <f>HYPERLINK("http://ts.21cn.com/tousu/show/id/1332576","举报宜人万花假网贷")</f>
        <v>举报宜人万花假网贷</v>
      </c>
      <c r="C2035" s="2" t="s">
        <v>9</v>
      </c>
      <c r="D2035" s="2" t="s">
        <v>10</v>
      </c>
      <c r="E2035" s="2" t="str">
        <f>HYPERLINK("http://ts.21cn.com/tousu/show/id/1332576","http://ts.21cn.com/tousu/show/id/1332576")</f>
        <v>http://ts.21cn.com/tousu/show/id/1332576</v>
      </c>
      <c r="F2035" s="2" t="s">
        <v>11</v>
      </c>
      <c r="G2035" s="2" t="s">
        <v>40136</v>
      </c>
      <c r="H2035" s="2" t="s">
        <v>40137</v>
      </c>
    </row>
    <row r="2036" spans="1:8" ht="25.05" customHeight="1" x14ac:dyDescent="0.25">
      <c r="A2036" s="2" t="s">
        <v>8</v>
      </c>
      <c r="B2036" s="2" t="str">
        <f>HYPERLINK("http://ts.21cn.com/tousu/show/id/1332588","小猪短租预定满房取消订单后扣款")</f>
        <v>小猪短租预定满房取消订单后扣款</v>
      </c>
      <c r="C2036" s="2" t="s">
        <v>9</v>
      </c>
      <c r="D2036" s="2" t="s">
        <v>10</v>
      </c>
      <c r="E2036" s="2" t="str">
        <f>HYPERLINK("http://ts.21cn.com/tousu/show/id/1332588","http://ts.21cn.com/tousu/show/id/1332588")</f>
        <v>http://ts.21cn.com/tousu/show/id/1332588</v>
      </c>
      <c r="F2036" s="2" t="s">
        <v>11</v>
      </c>
      <c r="G2036" s="2" t="s">
        <v>40134</v>
      </c>
      <c r="H2036" s="2" t="s">
        <v>40135</v>
      </c>
    </row>
    <row r="2037" spans="1:8" ht="25.05" customHeight="1" x14ac:dyDescent="0.25">
      <c r="A2037" s="2" t="s">
        <v>8</v>
      </c>
      <c r="B2037" s="2" t="str">
        <f>HYPERLINK("http://ts.21cn.com/tousu/show/id/1332589","钱站高利贷阴阳合同")</f>
        <v>钱站高利贷阴阳合同</v>
      </c>
      <c r="C2037" s="2" t="s">
        <v>9</v>
      </c>
      <c r="D2037" s="2" t="s">
        <v>10</v>
      </c>
      <c r="E2037" s="2" t="str">
        <f>HYPERLINK("http://ts.21cn.com/tousu/show/id/1332589","http://ts.21cn.com/tousu/show/id/1332589")</f>
        <v>http://ts.21cn.com/tousu/show/id/1332589</v>
      </c>
      <c r="F2037" s="2" t="s">
        <v>11</v>
      </c>
      <c r="G2037" s="2" t="s">
        <v>40132</v>
      </c>
      <c r="H2037" s="2" t="s">
        <v>40133</v>
      </c>
    </row>
    <row r="2038" spans="1:8" ht="25.05" customHeight="1" x14ac:dyDescent="0.25">
      <c r="A2038" s="2" t="s">
        <v>8</v>
      </c>
      <c r="B2038" s="2" t="str">
        <f>HYPERLINK("http://ts.21cn.com/tousu/show/id/1332590","米条联盟暴利催收")</f>
        <v>米条联盟暴利催收</v>
      </c>
      <c r="C2038" s="2" t="s">
        <v>9</v>
      </c>
      <c r="D2038" s="2" t="s">
        <v>10</v>
      </c>
      <c r="E2038" s="2" t="str">
        <f>HYPERLINK("http://ts.21cn.com/tousu/show/id/1332590","http://ts.21cn.com/tousu/show/id/1332590")</f>
        <v>http://ts.21cn.com/tousu/show/id/1332590</v>
      </c>
      <c r="F2038" s="2" t="s">
        <v>11</v>
      </c>
      <c r="G2038" s="2" t="s">
        <v>40130</v>
      </c>
      <c r="H2038" s="2" t="s">
        <v>40131</v>
      </c>
    </row>
    <row r="2039" spans="1:8" ht="25.05" customHeight="1" x14ac:dyDescent="0.25">
      <c r="A2039" s="2" t="s">
        <v>8</v>
      </c>
      <c r="B2039" s="2" t="str">
        <f>HYPERLINK("http://ts.21cn.com/tousu/show/id/1332591","哈喽单车拖欠工资")</f>
        <v>哈喽单车拖欠工资</v>
      </c>
      <c r="C2039" s="2" t="s">
        <v>9</v>
      </c>
      <c r="D2039" s="2" t="s">
        <v>10</v>
      </c>
      <c r="E2039" s="2" t="str">
        <f>HYPERLINK("http://ts.21cn.com/tousu/show/id/1332591","http://ts.21cn.com/tousu/show/id/1332591")</f>
        <v>http://ts.21cn.com/tousu/show/id/1332591</v>
      </c>
      <c r="F2039" s="2" t="s">
        <v>11</v>
      </c>
      <c r="G2039" s="2" t="s">
        <v>40128</v>
      </c>
      <c r="H2039" s="2" t="s">
        <v>40129</v>
      </c>
    </row>
    <row r="2040" spans="1:8" ht="25.05" customHeight="1" x14ac:dyDescent="0.25">
      <c r="A2040" s="2" t="s">
        <v>8</v>
      </c>
      <c r="B2040" s="2" t="str">
        <f>HYPERLINK("http://ts.21cn.com/tousu/show/id/1332593","骚扰家人")</f>
        <v>骚扰家人</v>
      </c>
      <c r="C2040" s="2" t="s">
        <v>9</v>
      </c>
      <c r="D2040" s="2" t="s">
        <v>10</v>
      </c>
      <c r="E2040" s="2" t="str">
        <f>HYPERLINK("http://ts.21cn.com/tousu/show/id/1332593","http://ts.21cn.com/tousu/show/id/1332593")</f>
        <v>http://ts.21cn.com/tousu/show/id/1332593</v>
      </c>
      <c r="F2040" s="2" t="s">
        <v>11</v>
      </c>
      <c r="G2040" s="2" t="s">
        <v>40126</v>
      </c>
      <c r="H2040" s="2" t="s">
        <v>40127</v>
      </c>
    </row>
    <row r="2041" spans="1:8" ht="25.05" customHeight="1" x14ac:dyDescent="0.25">
      <c r="A2041" s="2" t="s">
        <v>8</v>
      </c>
      <c r="B2041" s="2" t="str">
        <f>HYPERLINK("http://ts.21cn.com/tousu/show/id/1332594","暴力催收威胁恐吓")</f>
        <v>暴力催收威胁恐吓</v>
      </c>
      <c r="C2041" s="2" t="s">
        <v>9</v>
      </c>
      <c r="D2041" s="2" t="s">
        <v>10</v>
      </c>
      <c r="E2041" s="2" t="str">
        <f>HYPERLINK("http://ts.21cn.com/tousu/show/id/1332594","http://ts.21cn.com/tousu/show/id/1332594")</f>
        <v>http://ts.21cn.com/tousu/show/id/1332594</v>
      </c>
      <c r="F2041" s="2" t="s">
        <v>11</v>
      </c>
      <c r="G2041" s="2" t="s">
        <v>40124</v>
      </c>
      <c r="H2041" s="2" t="s">
        <v>40125</v>
      </c>
    </row>
    <row r="2042" spans="1:8" ht="25.05" customHeight="1" x14ac:dyDescent="0.25">
      <c r="A2042" s="2" t="s">
        <v>8</v>
      </c>
      <c r="B2042" s="2" t="str">
        <f>HYPERLINK("http://ts.21cn.com/tousu/show/id/1332596","买了衣服洗后退回，小二处理结果钱货两空")</f>
        <v>买了衣服洗后退回，小二处理结果钱货两空</v>
      </c>
      <c r="C2042" s="2" t="s">
        <v>34</v>
      </c>
      <c r="D2042" s="2" t="s">
        <v>10</v>
      </c>
      <c r="E2042" s="2" t="str">
        <f>HYPERLINK("http://ts.21cn.com/tousu/show/id/1332596","http://ts.21cn.com/tousu/show/id/1332596")</f>
        <v>http://ts.21cn.com/tousu/show/id/1332596</v>
      </c>
      <c r="F2042" s="2" t="s">
        <v>11</v>
      </c>
      <c r="G2042" s="2" t="s">
        <v>40122</v>
      </c>
      <c r="H2042" s="2" t="s">
        <v>40123</v>
      </c>
    </row>
    <row r="2043" spans="1:8" ht="25.05" customHeight="1" x14ac:dyDescent="0.25">
      <c r="A2043" s="2" t="s">
        <v>8</v>
      </c>
      <c r="B2043" s="2" t="str">
        <f>HYPERLINK("http://ts.21cn.com/tousu/show/id/1332597","斯巴鲁傲虎无故抖动")</f>
        <v>斯巴鲁傲虎无故抖动</v>
      </c>
      <c r="C2043" s="2" t="s">
        <v>34</v>
      </c>
      <c r="D2043" s="2" t="s">
        <v>10</v>
      </c>
      <c r="E2043" s="2" t="str">
        <f>HYPERLINK("http://ts.21cn.com/tousu/show/id/1332597","http://ts.21cn.com/tousu/show/id/1332597")</f>
        <v>http://ts.21cn.com/tousu/show/id/1332597</v>
      </c>
      <c r="F2043" s="2" t="s">
        <v>11</v>
      </c>
      <c r="G2043" s="2" t="s">
        <v>40120</v>
      </c>
      <c r="H2043" s="2" t="s">
        <v>40121</v>
      </c>
    </row>
    <row r="2044" spans="1:8" ht="25.05" customHeight="1" x14ac:dyDescent="0.25">
      <c r="A2044" s="2" t="s">
        <v>8</v>
      </c>
      <c r="B2044" s="2" t="str">
        <f>HYPERLINK("http://ts.21cn.com/tousu/show/id/1332599","非法收取逾期费用")</f>
        <v>非法收取逾期费用</v>
      </c>
      <c r="C2044" s="2" t="s">
        <v>9</v>
      </c>
      <c r="D2044" s="2" t="s">
        <v>10</v>
      </c>
      <c r="E2044" s="2" t="str">
        <f>HYPERLINK("http://ts.21cn.com/tousu/show/id/1332599","http://ts.21cn.com/tousu/show/id/1332599")</f>
        <v>http://ts.21cn.com/tousu/show/id/1332599</v>
      </c>
      <c r="F2044" s="2" t="s">
        <v>11</v>
      </c>
      <c r="G2044" s="2" t="s">
        <v>40118</v>
      </c>
      <c r="H2044" s="2" t="s">
        <v>40119</v>
      </c>
    </row>
    <row r="2045" spans="1:8" ht="25.05" customHeight="1" x14ac:dyDescent="0.25">
      <c r="A2045" s="2" t="s">
        <v>8</v>
      </c>
      <c r="B2045" s="2" t="str">
        <f>HYPERLINK("http://ts.21cn.com/tousu/show/id/1332600","玖富万卡高利贷，阴阳合同")</f>
        <v>玖富万卡高利贷，阴阳合同</v>
      </c>
      <c r="C2045" s="2" t="s">
        <v>9</v>
      </c>
      <c r="D2045" s="2" t="s">
        <v>10</v>
      </c>
      <c r="E2045" s="2" t="str">
        <f>HYPERLINK("http://ts.21cn.com/tousu/show/id/1332600","http://ts.21cn.com/tousu/show/id/1332600")</f>
        <v>http://ts.21cn.com/tousu/show/id/1332600</v>
      </c>
      <c r="F2045" s="2" t="s">
        <v>11</v>
      </c>
      <c r="G2045" s="2" t="s">
        <v>40116</v>
      </c>
      <c r="H2045" s="2" t="s">
        <v>40117</v>
      </c>
    </row>
    <row r="2046" spans="1:8" ht="25.05" customHeight="1" x14ac:dyDescent="0.25">
      <c r="A2046" s="2" t="s">
        <v>8</v>
      </c>
      <c r="B2046" s="2" t="str">
        <f>HYPERLINK("http://ts.21cn.com/tousu/show/id/1332601","暴力催收")</f>
        <v>暴力催收</v>
      </c>
      <c r="C2046" s="2" t="s">
        <v>9</v>
      </c>
      <c r="D2046" s="2" t="s">
        <v>10</v>
      </c>
      <c r="E2046" s="2" t="str">
        <f>HYPERLINK("http://ts.21cn.com/tousu/show/id/1332601","http://ts.21cn.com/tousu/show/id/1332601")</f>
        <v>http://ts.21cn.com/tousu/show/id/1332601</v>
      </c>
      <c r="F2046" s="2" t="s">
        <v>11</v>
      </c>
      <c r="G2046" s="2" t="s">
        <v>40114</v>
      </c>
      <c r="H2046" s="2" t="s">
        <v>40115</v>
      </c>
    </row>
    <row r="2047" spans="1:8" ht="25.05" customHeight="1" x14ac:dyDescent="0.25">
      <c r="A2047" s="2" t="s">
        <v>8</v>
      </c>
      <c r="B2047" s="2" t="str">
        <f>HYPERLINK("http://ts.21cn.com/tousu/show/id/1332602","钱站爱钱进借1500元合同显示2805元")</f>
        <v>钱站爱钱进借1500元合同显示2805元</v>
      </c>
      <c r="C2047" s="2" t="s">
        <v>34</v>
      </c>
      <c r="D2047" s="2" t="s">
        <v>10</v>
      </c>
      <c r="E2047" s="2" t="str">
        <f>HYPERLINK("http://ts.21cn.com/tousu/show/id/1332602","http://ts.21cn.com/tousu/show/id/1332602")</f>
        <v>http://ts.21cn.com/tousu/show/id/1332602</v>
      </c>
      <c r="F2047" s="2" t="s">
        <v>11</v>
      </c>
      <c r="G2047" s="2" t="s">
        <v>40112</v>
      </c>
      <c r="H2047" s="2" t="s">
        <v>40113</v>
      </c>
    </row>
    <row r="2048" spans="1:8" ht="25.05" customHeight="1" x14ac:dyDescent="0.25">
      <c r="A2048" s="2" t="s">
        <v>8</v>
      </c>
      <c r="B2048" s="2" t="str">
        <f>HYPERLINK("http://ts.21cn.com/tousu/show/id/1332603","虾米在线高利贷，套路贷")</f>
        <v>虾米在线高利贷，套路贷</v>
      </c>
      <c r="C2048" s="2" t="s">
        <v>9</v>
      </c>
      <c r="D2048" s="2" t="s">
        <v>10</v>
      </c>
      <c r="E2048" s="2" t="str">
        <f>HYPERLINK("http://ts.21cn.com/tousu/show/id/1332603","http://ts.21cn.com/tousu/show/id/1332603")</f>
        <v>http://ts.21cn.com/tousu/show/id/1332603</v>
      </c>
      <c r="F2048" s="2" t="s">
        <v>11</v>
      </c>
      <c r="G2048" s="2" t="s">
        <v>40110</v>
      </c>
      <c r="H2048" s="2" t="s">
        <v>40111</v>
      </c>
    </row>
    <row r="2049" spans="1:8" ht="25.05" customHeight="1" x14ac:dyDescent="0.25">
      <c r="A2049" s="2" t="s">
        <v>8</v>
      </c>
      <c r="B2049" s="2" t="str">
        <f>HYPERLINK("http://ts.21cn.com/tousu/show/id/1332604","小度有钱强制收会员费，并必须要申请他推荐的网贷平台")</f>
        <v>小度有钱强制收会员费，并必须要申请他推荐的网贷平台</v>
      </c>
      <c r="C2049" s="2" t="s">
        <v>9</v>
      </c>
      <c r="D2049" s="2" t="s">
        <v>10</v>
      </c>
      <c r="E2049" s="2" t="str">
        <f>HYPERLINK("http://ts.21cn.com/tousu/show/id/1332604","http://ts.21cn.com/tousu/show/id/1332604")</f>
        <v>http://ts.21cn.com/tousu/show/id/1332604</v>
      </c>
      <c r="F2049" s="2" t="s">
        <v>11</v>
      </c>
      <c r="G2049" s="2" t="s">
        <v>40108</v>
      </c>
      <c r="H2049" s="2" t="s">
        <v>40109</v>
      </c>
    </row>
    <row r="2050" spans="1:8" ht="25.05" customHeight="1" x14ac:dyDescent="0.25">
      <c r="A2050" s="2" t="s">
        <v>8</v>
      </c>
      <c r="B2050" s="2" t="str">
        <f>HYPERLINK("http://ts.21cn.com/tousu/show/id/1332605","卡分期恶意收取服务费")</f>
        <v>卡分期恶意收取服务费</v>
      </c>
      <c r="C2050" s="2" t="s">
        <v>9</v>
      </c>
      <c r="D2050" s="2" t="s">
        <v>10</v>
      </c>
      <c r="E2050" s="2" t="str">
        <f>HYPERLINK("http://ts.21cn.com/tousu/show/id/1332605","http://ts.21cn.com/tousu/show/id/1332605")</f>
        <v>http://ts.21cn.com/tousu/show/id/1332605</v>
      </c>
      <c r="F2050" s="2" t="s">
        <v>11</v>
      </c>
      <c r="G2050" s="2" t="s">
        <v>40106</v>
      </c>
      <c r="H2050" s="2" t="s">
        <v>40107</v>
      </c>
    </row>
    <row r="2051" spans="1:8" ht="25.05" customHeight="1" x14ac:dyDescent="0.25">
      <c r="A2051" s="2" t="s">
        <v>8</v>
      </c>
      <c r="B2051" s="2" t="str">
        <f>HYPERLINK("http://ts.21cn.com/tousu/show/id/1332606","非法收取逾期费用")</f>
        <v>非法收取逾期费用</v>
      </c>
      <c r="C2051" s="2" t="s">
        <v>9</v>
      </c>
      <c r="D2051" s="2" t="s">
        <v>10</v>
      </c>
      <c r="E2051" s="2" t="str">
        <f>HYPERLINK("http://ts.21cn.com/tousu/show/id/1332606","http://ts.21cn.com/tousu/show/id/1332606")</f>
        <v>http://ts.21cn.com/tousu/show/id/1332606</v>
      </c>
      <c r="F2051" s="2" t="s">
        <v>11</v>
      </c>
      <c r="G2051" s="2" t="s">
        <v>40104</v>
      </c>
      <c r="H2051" s="2" t="s">
        <v>40105</v>
      </c>
    </row>
    <row r="2052" spans="1:8" ht="25.05" customHeight="1" x14ac:dyDescent="0.25">
      <c r="A2052" s="2" t="s">
        <v>8</v>
      </c>
      <c r="B2052" s="2" t="str">
        <f>HYPERLINK("http://ts.21cn.com/tousu/show/id/1332607","智行火车票乱扣款")</f>
        <v>智行火车票乱扣款</v>
      </c>
      <c r="C2052" s="2" t="s">
        <v>9</v>
      </c>
      <c r="D2052" s="2" t="s">
        <v>10</v>
      </c>
      <c r="E2052" s="2" t="str">
        <f>HYPERLINK("http://ts.21cn.com/tousu/show/id/1332607","http://ts.21cn.com/tousu/show/id/1332607")</f>
        <v>http://ts.21cn.com/tousu/show/id/1332607</v>
      </c>
      <c r="F2052" s="2" t="s">
        <v>11</v>
      </c>
      <c r="G2052" s="2" t="s">
        <v>40102</v>
      </c>
      <c r="H2052" s="2" t="s">
        <v>40103</v>
      </c>
    </row>
    <row r="2053" spans="1:8" ht="25.05" customHeight="1" x14ac:dyDescent="0.25">
      <c r="A2053" s="2" t="s">
        <v>8</v>
      </c>
      <c r="B2053" s="2" t="str">
        <f>HYPERLINK("http://ts.21cn.com/tousu/show/id/1332608","合利宝广州支付有限公司协助你点马上有高炮平台收取高额利息")</f>
        <v>合利宝广州支付有限公司协助你点马上有高炮平台收取高额利息</v>
      </c>
      <c r="C2053" s="2" t="s">
        <v>9</v>
      </c>
      <c r="D2053" s="2" t="s">
        <v>10</v>
      </c>
      <c r="E2053" s="2" t="str">
        <f>HYPERLINK("http://ts.21cn.com/tousu/show/id/1332608","http://ts.21cn.com/tousu/show/id/1332608")</f>
        <v>http://ts.21cn.com/tousu/show/id/1332608</v>
      </c>
      <c r="F2053" s="2" t="s">
        <v>11</v>
      </c>
      <c r="G2053" s="2" t="s">
        <v>40100</v>
      </c>
      <c r="H2053" s="2" t="s">
        <v>40101</v>
      </c>
    </row>
    <row r="2054" spans="1:8" ht="25.05" customHeight="1" x14ac:dyDescent="0.25">
      <c r="A2054" s="2" t="s">
        <v>8</v>
      </c>
      <c r="B2054" s="2" t="str">
        <f>HYPERLINK("http://ts.21cn.com/tousu/show/id/1332609","秀动网预售票不予退款")</f>
        <v>秀动网预售票不予退款</v>
      </c>
      <c r="C2054" s="2" t="s">
        <v>9</v>
      </c>
      <c r="D2054" s="2" t="s">
        <v>10</v>
      </c>
      <c r="E2054" s="2" t="str">
        <f>HYPERLINK("http://ts.21cn.com/tousu/show/id/1332609","http://ts.21cn.com/tousu/show/id/1332609")</f>
        <v>http://ts.21cn.com/tousu/show/id/1332609</v>
      </c>
      <c r="F2054" s="2" t="s">
        <v>11</v>
      </c>
      <c r="G2054" s="2" t="s">
        <v>40098</v>
      </c>
      <c r="H2054" s="2" t="s">
        <v>40099</v>
      </c>
    </row>
    <row r="2055" spans="1:8" ht="25.05" customHeight="1" x14ac:dyDescent="0.25">
      <c r="A2055" s="2" t="s">
        <v>8</v>
      </c>
      <c r="B2055" s="2" t="str">
        <f>HYPERLINK("http://ts.21cn.com/tousu/show/id/1332610","投诉我来贷高额利息、逾期2天加收三百手续费")</f>
        <v>投诉我来贷高额利息、逾期2天加收三百手续费</v>
      </c>
      <c r="C2055" s="2" t="s">
        <v>9</v>
      </c>
      <c r="D2055" s="2" t="s">
        <v>10</v>
      </c>
      <c r="E2055" s="2" t="str">
        <f>HYPERLINK("http://ts.21cn.com/tousu/show/id/1332610","http://ts.21cn.com/tousu/show/id/1332610")</f>
        <v>http://ts.21cn.com/tousu/show/id/1332610</v>
      </c>
      <c r="F2055" s="2" t="s">
        <v>11</v>
      </c>
      <c r="G2055" s="2" t="s">
        <v>40096</v>
      </c>
      <c r="H2055" s="2" t="s">
        <v>40097</v>
      </c>
    </row>
    <row r="2056" spans="1:8" ht="25.05" customHeight="1" x14ac:dyDescent="0.25">
      <c r="A2056" s="2" t="s">
        <v>8</v>
      </c>
      <c r="B2056" s="2" t="str">
        <f>HYPERLINK("http://ts.21cn.com/tousu/show/id/1332611","交通银行信用卡委托第三方威逼还款")</f>
        <v>交通银行信用卡委托第三方威逼还款</v>
      </c>
      <c r="C2056" s="2" t="s">
        <v>9</v>
      </c>
      <c r="D2056" s="2" t="s">
        <v>10</v>
      </c>
      <c r="E2056" s="2" t="str">
        <f>HYPERLINK("http://ts.21cn.com/tousu/show/id/1332611","http://ts.21cn.com/tousu/show/id/1332611")</f>
        <v>http://ts.21cn.com/tousu/show/id/1332611</v>
      </c>
      <c r="F2056" s="2" t="s">
        <v>11</v>
      </c>
      <c r="G2056" s="2" t="s">
        <v>40094</v>
      </c>
      <c r="H2056" s="2" t="s">
        <v>40095</v>
      </c>
    </row>
    <row r="2057" spans="1:8" ht="25.05" customHeight="1" x14ac:dyDescent="0.25">
      <c r="A2057" s="2" t="s">
        <v>8</v>
      </c>
      <c r="B2057" s="2" t="str">
        <f>HYPERLINK("http://ts.21cn.com/tousu/show/id/1332612","及贷催收恶劣")</f>
        <v>及贷催收恶劣</v>
      </c>
      <c r="C2057" s="2" t="s">
        <v>9</v>
      </c>
      <c r="D2057" s="2" t="s">
        <v>10</v>
      </c>
      <c r="E2057" s="2" t="str">
        <f>HYPERLINK("http://ts.21cn.com/tousu/show/id/1332612","http://ts.21cn.com/tousu/show/id/1332612")</f>
        <v>http://ts.21cn.com/tousu/show/id/1332612</v>
      </c>
      <c r="F2057" s="2" t="s">
        <v>11</v>
      </c>
      <c r="G2057" s="2" t="s">
        <v>40092</v>
      </c>
      <c r="H2057" s="2" t="s">
        <v>40093</v>
      </c>
    </row>
    <row r="2058" spans="1:8" ht="25.05" customHeight="1" x14ac:dyDescent="0.25">
      <c r="A2058" s="2" t="s">
        <v>8</v>
      </c>
      <c r="B2058" s="2" t="str">
        <f>HYPERLINK("http://ts.21cn.com/tousu/show/id/1332613","要求退还网站的会员费")</f>
        <v>要求退还网站的会员费</v>
      </c>
      <c r="C2058" s="2" t="s">
        <v>34</v>
      </c>
      <c r="D2058" s="2" t="s">
        <v>10</v>
      </c>
      <c r="E2058" s="2" t="str">
        <f>HYPERLINK("http://ts.21cn.com/tousu/show/id/1332613","http://ts.21cn.com/tousu/show/id/1332613")</f>
        <v>http://ts.21cn.com/tousu/show/id/1332613</v>
      </c>
      <c r="F2058" s="2" t="s">
        <v>11</v>
      </c>
      <c r="G2058" s="2" t="s">
        <v>40090</v>
      </c>
      <c r="H2058" s="2" t="s">
        <v>40091</v>
      </c>
    </row>
    <row r="2059" spans="1:8" ht="25.05" customHeight="1" x14ac:dyDescent="0.25">
      <c r="A2059" s="2" t="s">
        <v>8</v>
      </c>
      <c r="B2059" s="2" t="str">
        <f>HYPERLINK("http://ts.21cn.com/tousu/show/id/1332614","钱站高额砍头息，高利息")</f>
        <v>钱站高额砍头息，高利息</v>
      </c>
      <c r="C2059" s="2" t="s">
        <v>34</v>
      </c>
      <c r="D2059" s="2" t="s">
        <v>10</v>
      </c>
      <c r="E2059" s="2" t="str">
        <f>HYPERLINK("http://ts.21cn.com/tousu/show/id/1332614","http://ts.21cn.com/tousu/show/id/1332614")</f>
        <v>http://ts.21cn.com/tousu/show/id/1332614</v>
      </c>
      <c r="F2059" s="2" t="s">
        <v>11</v>
      </c>
      <c r="G2059" s="2" t="s">
        <v>40088</v>
      </c>
      <c r="H2059" s="2" t="s">
        <v>40089</v>
      </c>
    </row>
    <row r="2060" spans="1:8" ht="25.05" customHeight="1" x14ac:dyDescent="0.25">
      <c r="A2060" s="2" t="s">
        <v>8</v>
      </c>
      <c r="B2060" s="2" t="str">
        <f>HYPERLINK("http://ts.21cn.com/tousu/show/id/1332615","来花花断头利息汇潮协助")</f>
        <v>来花花断头利息汇潮协助</v>
      </c>
      <c r="C2060" s="2" t="s">
        <v>9</v>
      </c>
      <c r="D2060" s="2" t="s">
        <v>10</v>
      </c>
      <c r="E2060" s="2" t="str">
        <f>HYPERLINK("http://ts.21cn.com/tousu/show/id/1332615","http://ts.21cn.com/tousu/show/id/1332615")</f>
        <v>http://ts.21cn.com/tousu/show/id/1332615</v>
      </c>
      <c r="F2060" s="2" t="s">
        <v>11</v>
      </c>
      <c r="G2060" s="2" t="s">
        <v>40086</v>
      </c>
      <c r="H2060" s="2" t="s">
        <v>40087</v>
      </c>
    </row>
    <row r="2061" spans="1:8" ht="25.05" customHeight="1" x14ac:dyDescent="0.25">
      <c r="A2061" s="2" t="s">
        <v>8</v>
      </c>
      <c r="B2061" s="2" t="str">
        <f>HYPERLINK("http://ts.21cn.com/tousu/show/id/1332616","高利贷阴阳合同私自篡改合同砍头息")</f>
        <v>高利贷阴阳合同私自篡改合同砍头息</v>
      </c>
      <c r="C2061" s="2" t="s">
        <v>9</v>
      </c>
      <c r="D2061" s="2" t="s">
        <v>10</v>
      </c>
      <c r="E2061" s="2" t="str">
        <f>HYPERLINK("http://ts.21cn.com/tousu/show/id/1332616","http://ts.21cn.com/tousu/show/id/1332616")</f>
        <v>http://ts.21cn.com/tousu/show/id/1332616</v>
      </c>
      <c r="F2061" s="2" t="s">
        <v>11</v>
      </c>
      <c r="G2061" s="2" t="s">
        <v>40084</v>
      </c>
      <c r="H2061" s="2" t="s">
        <v>40085</v>
      </c>
    </row>
    <row r="2062" spans="1:8" ht="25.05" customHeight="1" x14ac:dyDescent="0.25">
      <c r="A2062" s="2" t="s">
        <v>8</v>
      </c>
      <c r="B2062" s="2" t="str">
        <f>HYPERLINK("http://ts.21cn.com/tousu/show/id/1332617","小当家高利贷、砍头息")</f>
        <v>小当家高利贷、砍头息</v>
      </c>
      <c r="C2062" s="2" t="s">
        <v>9</v>
      </c>
      <c r="D2062" s="2" t="s">
        <v>10</v>
      </c>
      <c r="E2062" s="2" t="str">
        <f>HYPERLINK("http://ts.21cn.com/tousu/show/id/1332617","http://ts.21cn.com/tousu/show/id/1332617")</f>
        <v>http://ts.21cn.com/tousu/show/id/1332617</v>
      </c>
      <c r="F2062" s="2" t="s">
        <v>11</v>
      </c>
      <c r="G2062" s="2" t="s">
        <v>40082</v>
      </c>
      <c r="H2062" s="2" t="s">
        <v>40083</v>
      </c>
    </row>
    <row r="2063" spans="1:8" ht="25.05" customHeight="1" x14ac:dyDescent="0.25">
      <c r="A2063" s="2" t="s">
        <v>8</v>
      </c>
      <c r="B2063" s="2" t="str">
        <f>HYPERLINK("http://ts.21cn.com/tousu/show/id/1332618","立借砍头息逾期费用高，催收恶劣")</f>
        <v>立借砍头息逾期费用高，催收恶劣</v>
      </c>
      <c r="C2063" s="2" t="s">
        <v>9</v>
      </c>
      <c r="D2063" s="2" t="s">
        <v>10</v>
      </c>
      <c r="E2063" s="2" t="str">
        <f>HYPERLINK("http://ts.21cn.com/tousu/show/id/1332618","http://ts.21cn.com/tousu/show/id/1332618")</f>
        <v>http://ts.21cn.com/tousu/show/id/1332618</v>
      </c>
      <c r="F2063" s="2" t="s">
        <v>11</v>
      </c>
      <c r="G2063" s="2" t="s">
        <v>40080</v>
      </c>
      <c r="H2063" s="2" t="s">
        <v>40081</v>
      </c>
    </row>
    <row r="2064" spans="1:8" ht="25.05" customHeight="1" x14ac:dyDescent="0.25">
      <c r="A2064" s="2" t="s">
        <v>8</v>
      </c>
      <c r="B2064" s="2" t="str">
        <f>HYPERLINK("http://ts.21cn.com/tousu/show/id/1332619","淘宝苏宁洗衣机半价")</f>
        <v>淘宝苏宁洗衣机半价</v>
      </c>
      <c r="C2064" s="2" t="s">
        <v>9</v>
      </c>
      <c r="D2064" s="2" t="s">
        <v>10</v>
      </c>
      <c r="E2064" s="2" t="str">
        <f>HYPERLINK("http://ts.21cn.com/tousu/show/id/1332619","http://ts.21cn.com/tousu/show/id/1332619")</f>
        <v>http://ts.21cn.com/tousu/show/id/1332619</v>
      </c>
      <c r="F2064" s="2" t="s">
        <v>11</v>
      </c>
      <c r="G2064" s="2" t="s">
        <v>40078</v>
      </c>
      <c r="H2064" s="2" t="s">
        <v>40079</v>
      </c>
    </row>
    <row r="2065" spans="1:8" ht="25.05" customHeight="1" x14ac:dyDescent="0.25">
      <c r="A2065" s="2" t="s">
        <v>8</v>
      </c>
      <c r="B2065" s="2" t="str">
        <f>HYPERLINK("http://ts.21cn.com/tousu/show/id/1332620","多宝分期利息太高")</f>
        <v>多宝分期利息太高</v>
      </c>
      <c r="C2065" s="2" t="s">
        <v>9</v>
      </c>
      <c r="D2065" s="2" t="s">
        <v>10</v>
      </c>
      <c r="E2065" s="2" t="str">
        <f>HYPERLINK("http://ts.21cn.com/tousu/show/id/1332620","http://ts.21cn.com/tousu/show/id/1332620")</f>
        <v>http://ts.21cn.com/tousu/show/id/1332620</v>
      </c>
      <c r="F2065" s="2" t="s">
        <v>11</v>
      </c>
      <c r="G2065" s="2" t="s">
        <v>40076</v>
      </c>
      <c r="H2065" s="2" t="s">
        <v>40077</v>
      </c>
    </row>
    <row r="2066" spans="1:8" ht="25.05" customHeight="1" x14ac:dyDescent="0.25">
      <c r="A2066" s="2" t="s">
        <v>8</v>
      </c>
      <c r="B2066" s="2" t="str">
        <f>HYPERLINK("http://ts.21cn.com/tousu/show/id/1332622","智行机票没有出票，确不能全额退款")</f>
        <v>智行机票没有出票，确不能全额退款</v>
      </c>
      <c r="C2066" s="2" t="s">
        <v>34</v>
      </c>
      <c r="D2066" s="2" t="s">
        <v>10</v>
      </c>
      <c r="E2066" s="2" t="str">
        <f>HYPERLINK("http://ts.21cn.com/tousu/show/id/1332622","http://ts.21cn.com/tousu/show/id/1332622")</f>
        <v>http://ts.21cn.com/tousu/show/id/1332622</v>
      </c>
      <c r="F2066" s="2" t="s">
        <v>11</v>
      </c>
      <c r="G2066" s="2" t="s">
        <v>40074</v>
      </c>
      <c r="H2066" s="2" t="s">
        <v>40075</v>
      </c>
    </row>
    <row r="2067" spans="1:8" ht="25.05" customHeight="1" x14ac:dyDescent="0.25">
      <c r="A2067" s="2" t="s">
        <v>8</v>
      </c>
      <c r="B2067" s="2" t="str">
        <f>HYPERLINK("http://ts.21cn.com/tousu/show/id/1332623","首汽租车被单方面取消")</f>
        <v>首汽租车被单方面取消</v>
      </c>
      <c r="C2067" s="2" t="s">
        <v>9</v>
      </c>
      <c r="D2067" s="2" t="s">
        <v>10</v>
      </c>
      <c r="E2067" s="2" t="str">
        <f>HYPERLINK("http://ts.21cn.com/tousu/show/id/1332623","http://ts.21cn.com/tousu/show/id/1332623")</f>
        <v>http://ts.21cn.com/tousu/show/id/1332623</v>
      </c>
      <c r="F2067" s="2" t="s">
        <v>11</v>
      </c>
      <c r="G2067" s="2" t="s">
        <v>40072</v>
      </c>
      <c r="H2067" s="2" t="s">
        <v>40073</v>
      </c>
    </row>
    <row r="2068" spans="1:8" ht="25.05" customHeight="1" x14ac:dyDescent="0.25">
      <c r="A2068" s="2" t="s">
        <v>8</v>
      </c>
      <c r="B2068" s="2" t="str">
        <f>HYPERLINK("http://ts.21cn.com/tousu/show/id/1332624","芸学教育的问题还要扣我40%手续费")</f>
        <v>芸学教育的问题还要扣我40%手续费</v>
      </c>
      <c r="C2068" s="2" t="s">
        <v>9</v>
      </c>
      <c r="D2068" s="2" t="s">
        <v>10</v>
      </c>
      <c r="E2068" s="2" t="str">
        <f>HYPERLINK("http://ts.21cn.com/tousu/show/id/1332624","http://ts.21cn.com/tousu/show/id/1332624")</f>
        <v>http://ts.21cn.com/tousu/show/id/1332624</v>
      </c>
      <c r="F2068" s="2" t="s">
        <v>11</v>
      </c>
      <c r="G2068" s="2" t="s">
        <v>40070</v>
      </c>
      <c r="H2068" s="2" t="s">
        <v>40071</v>
      </c>
    </row>
    <row r="2069" spans="1:8" ht="25.05" customHeight="1" x14ac:dyDescent="0.25">
      <c r="A2069" s="2" t="s">
        <v>8</v>
      </c>
      <c r="B2069" s="2" t="str">
        <f>HYPERLINK("http://ts.21cn.com/tousu/show/id/1332625","暴力催收")</f>
        <v>暴力催收</v>
      </c>
      <c r="C2069" s="2" t="s">
        <v>9</v>
      </c>
      <c r="D2069" s="2" t="s">
        <v>10</v>
      </c>
      <c r="E2069" s="2" t="str">
        <f>HYPERLINK("http://ts.21cn.com/tousu/show/id/1332625","http://ts.21cn.com/tousu/show/id/1332625")</f>
        <v>http://ts.21cn.com/tousu/show/id/1332625</v>
      </c>
      <c r="F2069" s="2" t="s">
        <v>11</v>
      </c>
      <c r="G2069" s="2" t="s">
        <v>40068</v>
      </c>
      <c r="H2069" s="2" t="s">
        <v>40069</v>
      </c>
    </row>
    <row r="2070" spans="1:8" ht="25.05" customHeight="1" x14ac:dyDescent="0.25">
      <c r="A2070" s="2" t="s">
        <v>8</v>
      </c>
      <c r="B2070" s="2" t="str">
        <f>HYPERLINK("http://ts.21cn.com/tousu/show/id/1332626","易起来高额砍头套路贷")</f>
        <v>易起来高额砍头套路贷</v>
      </c>
      <c r="C2070" s="2" t="s">
        <v>9</v>
      </c>
      <c r="D2070" s="2" t="s">
        <v>10</v>
      </c>
      <c r="E2070" s="2" t="str">
        <f>HYPERLINK("http://ts.21cn.com/tousu/show/id/1332626","http://ts.21cn.com/tousu/show/id/1332626")</f>
        <v>http://ts.21cn.com/tousu/show/id/1332626</v>
      </c>
      <c r="F2070" s="2" t="s">
        <v>11</v>
      </c>
      <c r="G2070" s="2" t="s">
        <v>40066</v>
      </c>
      <c r="H2070" s="2" t="s">
        <v>40067</v>
      </c>
    </row>
    <row r="2071" spans="1:8" ht="25.05" customHeight="1" x14ac:dyDescent="0.25">
      <c r="A2071" s="2" t="s">
        <v>8</v>
      </c>
      <c r="B2071" s="2" t="str">
        <f>HYPERLINK("http://ts.21cn.com/tousu/show/id/1332627","招联金融暴力催收")</f>
        <v>招联金融暴力催收</v>
      </c>
      <c r="C2071" s="2" t="s">
        <v>9</v>
      </c>
      <c r="D2071" s="2" t="s">
        <v>10</v>
      </c>
      <c r="E2071" s="2" t="str">
        <f>HYPERLINK("http://ts.21cn.com/tousu/show/id/1332627","http://ts.21cn.com/tousu/show/id/1332627")</f>
        <v>http://ts.21cn.com/tousu/show/id/1332627</v>
      </c>
      <c r="F2071" s="2" t="s">
        <v>11</v>
      </c>
      <c r="G2071" s="2" t="s">
        <v>40064</v>
      </c>
      <c r="H2071" s="2" t="s">
        <v>40065</v>
      </c>
    </row>
    <row r="2072" spans="1:8" ht="25.05" customHeight="1" x14ac:dyDescent="0.25">
      <c r="A2072" s="2" t="s">
        <v>8</v>
      </c>
      <c r="B2072" s="2" t="str">
        <f>HYPERLINK("http://ts.21cn.com/tousu/show/id/1332628","投诉网络714")</f>
        <v>投诉网络714</v>
      </c>
      <c r="C2072" s="2" t="s">
        <v>9</v>
      </c>
      <c r="D2072" s="2" t="s">
        <v>10</v>
      </c>
      <c r="E2072" s="2" t="str">
        <f>HYPERLINK("http://ts.21cn.com/tousu/show/id/1332628","http://ts.21cn.com/tousu/show/id/1332628")</f>
        <v>http://ts.21cn.com/tousu/show/id/1332628</v>
      </c>
      <c r="F2072" s="2" t="s">
        <v>11</v>
      </c>
      <c r="G2072" s="2" t="s">
        <v>40062</v>
      </c>
      <c r="H2072" s="2" t="s">
        <v>40063</v>
      </c>
    </row>
    <row r="2073" spans="1:8" ht="25.05" customHeight="1" x14ac:dyDescent="0.25">
      <c r="A2073" s="2" t="s">
        <v>8</v>
      </c>
      <c r="B2073" s="2" t="str">
        <f>HYPERLINK("http://ts.21cn.com/tousu/show/id/1332629","下载苏宁易购却需要在苏宁金融上解绑自己的身份信息")</f>
        <v>下载苏宁易购却需要在苏宁金融上解绑自己的身份信息</v>
      </c>
      <c r="C2073" s="2" t="s">
        <v>9</v>
      </c>
      <c r="D2073" s="2" t="s">
        <v>10</v>
      </c>
      <c r="E2073" s="2" t="str">
        <f>HYPERLINK("http://ts.21cn.com/tousu/show/id/1332629","http://ts.21cn.com/tousu/show/id/1332629")</f>
        <v>http://ts.21cn.com/tousu/show/id/1332629</v>
      </c>
      <c r="F2073" s="2" t="s">
        <v>11</v>
      </c>
      <c r="G2073" s="2" t="s">
        <v>40060</v>
      </c>
      <c r="H2073" s="2" t="s">
        <v>40061</v>
      </c>
    </row>
    <row r="2074" spans="1:8" ht="25.05" customHeight="1" x14ac:dyDescent="0.25">
      <c r="A2074" s="2" t="s">
        <v>8</v>
      </c>
      <c r="B2074" s="2" t="str">
        <f>HYPERLINK("http://ts.21cn.com/tousu/show/id/1332630","钱站高利贷阴阳合同")</f>
        <v>钱站高利贷阴阳合同</v>
      </c>
      <c r="C2074" s="2" t="s">
        <v>9</v>
      </c>
      <c r="D2074" s="2" t="s">
        <v>10</v>
      </c>
      <c r="E2074" s="2" t="str">
        <f>HYPERLINK("http://ts.21cn.com/tousu/show/id/1332630","http://ts.21cn.com/tousu/show/id/1332630")</f>
        <v>http://ts.21cn.com/tousu/show/id/1332630</v>
      </c>
      <c r="F2074" s="2" t="s">
        <v>11</v>
      </c>
      <c r="G2074" s="2" t="s">
        <v>40058</v>
      </c>
      <c r="H2074" s="2" t="s">
        <v>40059</v>
      </c>
    </row>
    <row r="2075" spans="1:8" ht="25.05" customHeight="1" x14ac:dyDescent="0.25">
      <c r="A2075" s="2" t="s">
        <v>8</v>
      </c>
      <c r="B2075" s="2" t="str">
        <f>HYPERLINK("http://ts.21cn.com/tousu/show/id/1332632","拼多多为网络博彩平台提供收款入口")</f>
        <v>拼多多为网络博彩平台提供收款入口</v>
      </c>
      <c r="C2075" s="2" t="s">
        <v>9</v>
      </c>
      <c r="D2075" s="2" t="s">
        <v>10</v>
      </c>
      <c r="E2075" s="2" t="str">
        <f>HYPERLINK("http://ts.21cn.com/tousu/show/id/1332632","http://ts.21cn.com/tousu/show/id/1332632")</f>
        <v>http://ts.21cn.com/tousu/show/id/1332632</v>
      </c>
      <c r="F2075" s="2" t="s">
        <v>11</v>
      </c>
      <c r="G2075" s="2" t="s">
        <v>40056</v>
      </c>
      <c r="H2075" s="2" t="s">
        <v>40057</v>
      </c>
    </row>
    <row r="2076" spans="1:8" ht="25.05" customHeight="1" x14ac:dyDescent="0.25">
      <c r="A2076" s="2" t="s">
        <v>8</v>
      </c>
      <c r="B2076" s="2" t="str">
        <f>HYPERLINK("http://ts.21cn.com/tousu/show/id/1332633","买的鞋子试穿一下发现小，卖家说鞋底磨损")</f>
        <v>买的鞋子试穿一下发现小，卖家说鞋底磨损</v>
      </c>
      <c r="C2076" s="2" t="s">
        <v>9</v>
      </c>
      <c r="D2076" s="2" t="s">
        <v>10</v>
      </c>
      <c r="E2076" s="2" t="str">
        <f>HYPERLINK("http://ts.21cn.com/tousu/show/id/1332633","http://ts.21cn.com/tousu/show/id/1332633")</f>
        <v>http://ts.21cn.com/tousu/show/id/1332633</v>
      </c>
      <c r="F2076" s="2" t="s">
        <v>11</v>
      </c>
      <c r="G2076" s="2" t="s">
        <v>40053</v>
      </c>
      <c r="H2076" s="2" t="s">
        <v>40054</v>
      </c>
    </row>
    <row r="2077" spans="1:8" ht="25.05" customHeight="1" x14ac:dyDescent="0.25">
      <c r="A2077" s="2" t="s">
        <v>8</v>
      </c>
      <c r="B2077" s="2" t="str">
        <f>HYPERLINK("http://ts.21cn.com/tousu/show/id/1332634","钱站高利贷阴阳合同")</f>
        <v>钱站高利贷阴阳合同</v>
      </c>
      <c r="C2077" s="2" t="s">
        <v>9</v>
      </c>
      <c r="D2077" s="2" t="s">
        <v>10</v>
      </c>
      <c r="E2077" s="2" t="str">
        <f>HYPERLINK("http://ts.21cn.com/tousu/show/id/1332634","http://ts.21cn.com/tousu/show/id/1332634")</f>
        <v>http://ts.21cn.com/tousu/show/id/1332634</v>
      </c>
      <c r="F2077" s="2" t="s">
        <v>11</v>
      </c>
      <c r="G2077" s="2" t="s">
        <v>40053</v>
      </c>
      <c r="H2077" s="2" t="s">
        <v>40055</v>
      </c>
    </row>
    <row r="2078" spans="1:8" ht="25.05" customHeight="1" x14ac:dyDescent="0.25">
      <c r="A2078" s="2" t="s">
        <v>8</v>
      </c>
      <c r="B2078" s="2" t="str">
        <f>HYPERLINK("http://ts.21cn.com/tousu/show/id/1332635","钱站利息太高协商还本金和多余的正常利息")</f>
        <v>钱站利息太高协商还本金和多余的正常利息</v>
      </c>
      <c r="C2078" s="2" t="s">
        <v>9</v>
      </c>
      <c r="D2078" s="2" t="s">
        <v>10</v>
      </c>
      <c r="E2078" s="2" t="str">
        <f>HYPERLINK("http://ts.21cn.com/tousu/show/id/1332635","http://ts.21cn.com/tousu/show/id/1332635")</f>
        <v>http://ts.21cn.com/tousu/show/id/1332635</v>
      </c>
      <c r="F2078" s="2" t="s">
        <v>11</v>
      </c>
      <c r="G2078" s="2" t="s">
        <v>40051</v>
      </c>
      <c r="H2078" s="2" t="s">
        <v>40052</v>
      </c>
    </row>
    <row r="2079" spans="1:8" ht="25.05" customHeight="1" x14ac:dyDescent="0.25">
      <c r="A2079" s="2" t="s">
        <v>8</v>
      </c>
      <c r="B2079" s="2" t="str">
        <f>HYPERLINK("http://ts.21cn.com/tousu/show/id/1332636","微博对微博借钱高利贷、暴力催收不管不问")</f>
        <v>微博对微博借钱高利贷、暴力催收不管不问</v>
      </c>
      <c r="C2079" s="2" t="s">
        <v>9</v>
      </c>
      <c r="D2079" s="2" t="s">
        <v>10</v>
      </c>
      <c r="E2079" s="2" t="str">
        <f>HYPERLINK("http://ts.21cn.com/tousu/show/id/1332636","http://ts.21cn.com/tousu/show/id/1332636")</f>
        <v>http://ts.21cn.com/tousu/show/id/1332636</v>
      </c>
      <c r="F2079" s="2" t="s">
        <v>11</v>
      </c>
      <c r="G2079" s="2" t="s">
        <v>40049</v>
      </c>
      <c r="H2079" s="2" t="s">
        <v>40050</v>
      </c>
    </row>
    <row r="2080" spans="1:8" ht="25.05" customHeight="1" x14ac:dyDescent="0.25">
      <c r="A2080" s="2" t="s">
        <v>8</v>
      </c>
      <c r="B2080" s="2" t="str">
        <f>HYPERLINK("http://ts.21cn.com/tousu/show/id/1332638","宜人贷阴阳合同")</f>
        <v>宜人贷阴阳合同</v>
      </c>
      <c r="C2080" s="2" t="s">
        <v>9</v>
      </c>
      <c r="D2080" s="2" t="s">
        <v>10</v>
      </c>
      <c r="E2080" s="2" t="str">
        <f>HYPERLINK("http://ts.21cn.com/tousu/show/id/1332638","http://ts.21cn.com/tousu/show/id/1332638")</f>
        <v>http://ts.21cn.com/tousu/show/id/1332638</v>
      </c>
      <c r="F2080" s="2" t="s">
        <v>11</v>
      </c>
      <c r="G2080" s="2" t="s">
        <v>40047</v>
      </c>
      <c r="H2080" s="2" t="s">
        <v>40048</v>
      </c>
    </row>
    <row r="2081" spans="1:8" ht="25.05" customHeight="1" x14ac:dyDescent="0.25">
      <c r="A2081" s="2" t="s">
        <v>8</v>
      </c>
      <c r="B2081" s="2" t="str">
        <f>HYPERLINK("http://ts.21cn.com/tousu/show/id/1332639","杭州市民卡协助白银钱包收取高额砍头息并且一直不给予回复")</f>
        <v>杭州市民卡协助白银钱包收取高额砍头息并且一直不给予回复</v>
      </c>
      <c r="C2081" s="2" t="s">
        <v>9</v>
      </c>
      <c r="D2081" s="2" t="s">
        <v>10</v>
      </c>
      <c r="E2081" s="2" t="str">
        <f>HYPERLINK("http://ts.21cn.com/tousu/show/id/1332639","http://ts.21cn.com/tousu/show/id/1332639")</f>
        <v>http://ts.21cn.com/tousu/show/id/1332639</v>
      </c>
      <c r="F2081" s="2" t="s">
        <v>11</v>
      </c>
      <c r="G2081" s="2" t="s">
        <v>40045</v>
      </c>
      <c r="H2081" s="2" t="s">
        <v>40046</v>
      </c>
    </row>
    <row r="2082" spans="1:8" ht="25.05" customHeight="1" x14ac:dyDescent="0.25">
      <c r="A2082" s="2" t="s">
        <v>8</v>
      </c>
      <c r="B2082" s="2" t="str">
        <f>HYPERLINK("http://ts.21cn.com/tousu/show/id/1332640","投诉微博借钱高息，套路贷，误导性贷款")</f>
        <v>投诉微博借钱高息，套路贷，误导性贷款</v>
      </c>
      <c r="C2082" s="2" t="s">
        <v>9</v>
      </c>
      <c r="D2082" s="2" t="s">
        <v>10</v>
      </c>
      <c r="E2082" s="2" t="str">
        <f>HYPERLINK("http://ts.21cn.com/tousu/show/id/1332640","http://ts.21cn.com/tousu/show/id/1332640")</f>
        <v>http://ts.21cn.com/tousu/show/id/1332640</v>
      </c>
      <c r="F2082" s="2" t="s">
        <v>11</v>
      </c>
      <c r="G2082" s="2" t="s">
        <v>40043</v>
      </c>
      <c r="H2082" s="2" t="s">
        <v>40044</v>
      </c>
    </row>
    <row r="2083" spans="1:8" ht="25.05" customHeight="1" x14ac:dyDescent="0.25">
      <c r="A2083" s="2" t="s">
        <v>8</v>
      </c>
      <c r="B2083" s="2" t="str">
        <f>HYPERLINK("http://ts.21cn.com/tousu/show/id/1332641","钱站高利贷乱收费")</f>
        <v>钱站高利贷乱收费</v>
      </c>
      <c r="C2083" s="2" t="s">
        <v>9</v>
      </c>
      <c r="D2083" s="2" t="s">
        <v>10</v>
      </c>
      <c r="E2083" s="2" t="str">
        <f>HYPERLINK("http://ts.21cn.com/tousu/show/id/1332641","http://ts.21cn.com/tousu/show/id/1332641")</f>
        <v>http://ts.21cn.com/tousu/show/id/1332641</v>
      </c>
      <c r="F2083" s="2" t="s">
        <v>11</v>
      </c>
      <c r="G2083" s="2" t="s">
        <v>40041</v>
      </c>
      <c r="H2083" s="2" t="s">
        <v>40042</v>
      </c>
    </row>
    <row r="2084" spans="1:8" ht="25.05" customHeight="1" x14ac:dyDescent="0.25">
      <c r="A2084" s="2" t="s">
        <v>8</v>
      </c>
      <c r="B2084" s="2" t="str">
        <f>HYPERLINK("http://ts.21cn.com/tousu/show/id/1332642","融360砍头息")</f>
        <v>融360砍头息</v>
      </c>
      <c r="C2084" s="2" t="s">
        <v>9</v>
      </c>
      <c r="D2084" s="2" t="s">
        <v>10</v>
      </c>
      <c r="E2084" s="2" t="str">
        <f>HYPERLINK("http://ts.21cn.com/tousu/show/id/1332642","http://ts.21cn.com/tousu/show/id/1332642")</f>
        <v>http://ts.21cn.com/tousu/show/id/1332642</v>
      </c>
      <c r="F2084" s="2" t="s">
        <v>11</v>
      </c>
      <c r="G2084" s="2" t="s">
        <v>40039</v>
      </c>
      <c r="H2084" s="2" t="s">
        <v>40040</v>
      </c>
    </row>
    <row r="2085" spans="1:8" ht="25.05" customHeight="1" x14ac:dyDescent="0.25">
      <c r="A2085" s="2" t="s">
        <v>8</v>
      </c>
      <c r="B2085" s="2" t="str">
        <f>HYPERLINK("http://ts.21cn.com/tousu/show/id/1332643","借易通故意扣款失败产生罚息")</f>
        <v>借易通故意扣款失败产生罚息</v>
      </c>
      <c r="C2085" s="2" t="s">
        <v>34</v>
      </c>
      <c r="D2085" s="2" t="s">
        <v>10</v>
      </c>
      <c r="E2085" s="2" t="str">
        <f>HYPERLINK("http://ts.21cn.com/tousu/show/id/1332643","http://ts.21cn.com/tousu/show/id/1332643")</f>
        <v>http://ts.21cn.com/tousu/show/id/1332643</v>
      </c>
      <c r="F2085" s="2" t="s">
        <v>11</v>
      </c>
      <c r="G2085" s="2" t="s">
        <v>40037</v>
      </c>
      <c r="H2085" s="2" t="s">
        <v>40038</v>
      </c>
    </row>
    <row r="2086" spans="1:8" ht="25.05" customHeight="1" x14ac:dyDescent="0.25">
      <c r="A2086" s="2" t="s">
        <v>8</v>
      </c>
      <c r="B2086" s="2" t="str">
        <f>HYPERLINK("http://ts.21cn.com/tousu/show/id/1332598","小浦优客胡乱扣费")</f>
        <v>小浦优客胡乱扣费</v>
      </c>
      <c r="C2086" s="2" t="s">
        <v>9</v>
      </c>
      <c r="D2086" s="2" t="s">
        <v>10</v>
      </c>
      <c r="E2086" s="2" t="str">
        <f>HYPERLINK("http://ts.21cn.com/tousu/show/id/1332598","http://ts.21cn.com/tousu/show/id/1332598")</f>
        <v>http://ts.21cn.com/tousu/show/id/1332598</v>
      </c>
      <c r="F2086" s="2" t="s">
        <v>11</v>
      </c>
      <c r="G2086" s="2" t="s">
        <v>40035</v>
      </c>
      <c r="H2086" s="2" t="s">
        <v>40036</v>
      </c>
    </row>
    <row r="2087" spans="1:8" ht="25.05" customHeight="1" x14ac:dyDescent="0.25">
      <c r="A2087" s="2" t="s">
        <v>8</v>
      </c>
      <c r="B2087" s="2" t="str">
        <f>HYPERLINK("http://ts.21cn.com/tousu/show/id/1332644","宜贷分期高利贷")</f>
        <v>宜贷分期高利贷</v>
      </c>
      <c r="C2087" s="2" t="s">
        <v>9</v>
      </c>
      <c r="D2087" s="2" t="s">
        <v>10</v>
      </c>
      <c r="E2087" s="2" t="str">
        <f>HYPERLINK("http://ts.21cn.com/tousu/show/id/1332644","http://ts.21cn.com/tousu/show/id/1332644")</f>
        <v>http://ts.21cn.com/tousu/show/id/1332644</v>
      </c>
      <c r="F2087" s="2" t="s">
        <v>11</v>
      </c>
      <c r="G2087" s="2" t="s">
        <v>40033</v>
      </c>
      <c r="H2087" s="2" t="s">
        <v>40034</v>
      </c>
    </row>
    <row r="2088" spans="1:8" ht="25.05" customHeight="1" x14ac:dyDescent="0.25">
      <c r="A2088" s="2" t="s">
        <v>8</v>
      </c>
      <c r="B2088" s="2" t="str">
        <f>HYPERLINK("http://ts.21cn.com/tousu/show/id/1332646","群发通讯录，恐吓威胁")</f>
        <v>群发通讯录，恐吓威胁</v>
      </c>
      <c r="C2088" s="2" t="s">
        <v>9</v>
      </c>
      <c r="D2088" s="2" t="s">
        <v>10</v>
      </c>
      <c r="E2088" s="2" t="str">
        <f>HYPERLINK("http://ts.21cn.com/tousu/show/id/1332646","http://ts.21cn.com/tousu/show/id/1332646")</f>
        <v>http://ts.21cn.com/tousu/show/id/1332646</v>
      </c>
      <c r="F2088" s="2" t="s">
        <v>11</v>
      </c>
      <c r="G2088" s="2" t="s">
        <v>40031</v>
      </c>
      <c r="H2088" s="2" t="s">
        <v>40032</v>
      </c>
    </row>
    <row r="2089" spans="1:8" ht="25.05" customHeight="1" x14ac:dyDescent="0.25">
      <c r="A2089" s="2" t="s">
        <v>8</v>
      </c>
      <c r="B2089" s="2" t="str">
        <f>HYPERLINK("http://ts.21cn.com/tousu/show/id/1332647","乱扣我本人银行卡钱")</f>
        <v>乱扣我本人银行卡钱</v>
      </c>
      <c r="C2089" s="2" t="s">
        <v>9</v>
      </c>
      <c r="D2089" s="2" t="s">
        <v>10</v>
      </c>
      <c r="E2089" s="2" t="str">
        <f>HYPERLINK("http://ts.21cn.com/tousu/show/id/1332647","http://ts.21cn.com/tousu/show/id/1332647")</f>
        <v>http://ts.21cn.com/tousu/show/id/1332647</v>
      </c>
      <c r="F2089" s="2" t="s">
        <v>11</v>
      </c>
      <c r="G2089" s="2" t="s">
        <v>40029</v>
      </c>
      <c r="H2089" s="2" t="s">
        <v>40030</v>
      </c>
    </row>
    <row r="2090" spans="1:8" ht="25.05" customHeight="1" x14ac:dyDescent="0.25">
      <c r="A2090" s="2" t="s">
        <v>8</v>
      </c>
      <c r="B2090" s="2" t="str">
        <f>HYPERLINK("http://ts.21cn.com/tousu/show/id/1332650","星POS冻结不解冻")</f>
        <v>星POS冻结不解冻</v>
      </c>
      <c r="C2090" s="2" t="s">
        <v>9</v>
      </c>
      <c r="D2090" s="2" t="s">
        <v>10</v>
      </c>
      <c r="E2090" s="2" t="str">
        <f>HYPERLINK("http://ts.21cn.com/tousu/show/id/1332650","http://ts.21cn.com/tousu/show/id/1332650")</f>
        <v>http://ts.21cn.com/tousu/show/id/1332650</v>
      </c>
      <c r="F2090" s="2" t="s">
        <v>11</v>
      </c>
      <c r="G2090" s="2" t="s">
        <v>40027</v>
      </c>
      <c r="H2090" s="2" t="s">
        <v>40028</v>
      </c>
    </row>
    <row r="2091" spans="1:8" ht="25.05" customHeight="1" x14ac:dyDescent="0.25">
      <c r="A2091" s="2" t="s">
        <v>8</v>
      </c>
      <c r="B2091" s="2" t="str">
        <f>HYPERLINK("http://ts.21cn.com/tousu/show/id/1332649","快钱支付合利宝为714高利贷")</f>
        <v>快钱支付合利宝为714高利贷</v>
      </c>
      <c r="C2091" s="2" t="s">
        <v>9</v>
      </c>
      <c r="D2091" s="2" t="s">
        <v>10</v>
      </c>
      <c r="E2091" s="2" t="str">
        <f>HYPERLINK("http://ts.21cn.com/tousu/show/id/1332649","http://ts.21cn.com/tousu/show/id/1332649")</f>
        <v>http://ts.21cn.com/tousu/show/id/1332649</v>
      </c>
      <c r="F2091" s="2" t="s">
        <v>11</v>
      </c>
      <c r="G2091" s="2" t="s">
        <v>40025</v>
      </c>
      <c r="H2091" s="2" t="s">
        <v>40026</v>
      </c>
    </row>
    <row r="2092" spans="1:8" ht="25.05" customHeight="1" x14ac:dyDescent="0.25">
      <c r="A2092" s="2" t="s">
        <v>8</v>
      </c>
      <c r="B2092" s="2" t="str">
        <f>HYPERLINK("http://ts.21cn.com/tousu/show/id/1332651","宜人贷收取高额服务费")</f>
        <v>宜人贷收取高额服务费</v>
      </c>
      <c r="C2092" s="2" t="s">
        <v>9</v>
      </c>
      <c r="D2092" s="2" t="s">
        <v>10</v>
      </c>
      <c r="E2092" s="2" t="str">
        <f>HYPERLINK("http://ts.21cn.com/tousu/show/id/1332651","http://ts.21cn.com/tousu/show/id/1332651")</f>
        <v>http://ts.21cn.com/tousu/show/id/1332651</v>
      </c>
      <c r="F2092" s="2" t="s">
        <v>11</v>
      </c>
      <c r="G2092" s="2" t="s">
        <v>40023</v>
      </c>
      <c r="H2092" s="2" t="s">
        <v>40024</v>
      </c>
    </row>
    <row r="2093" spans="1:8" ht="25.05" customHeight="1" x14ac:dyDescent="0.25">
      <c r="A2093" s="2" t="s">
        <v>8</v>
      </c>
      <c r="B2093" s="2" t="str">
        <f>HYPERLINK("http://ts.21cn.com/tousu/show/id/1332652","拼多多帮网赌平台收取大额资金")</f>
        <v>拼多多帮网赌平台收取大额资金</v>
      </c>
      <c r="C2093" s="2" t="s">
        <v>9</v>
      </c>
      <c r="D2093" s="2" t="s">
        <v>10</v>
      </c>
      <c r="E2093" s="2" t="str">
        <f>HYPERLINK("http://ts.21cn.com/tousu/show/id/1332652","http://ts.21cn.com/tousu/show/id/1332652")</f>
        <v>http://ts.21cn.com/tousu/show/id/1332652</v>
      </c>
      <c r="F2093" s="2" t="s">
        <v>11</v>
      </c>
      <c r="G2093" s="2" t="s">
        <v>40021</v>
      </c>
      <c r="H2093" s="2" t="s">
        <v>40022</v>
      </c>
    </row>
    <row r="2094" spans="1:8" ht="25.05" customHeight="1" x14ac:dyDescent="0.25">
      <c r="A2094" s="2" t="s">
        <v>8</v>
      </c>
      <c r="B2094" s="2" t="str">
        <f>HYPERLINK("http://ts.21cn.com/tousu/show/id/1332653","达飞云贷高利贷，威胁恐吓")</f>
        <v>达飞云贷高利贷，威胁恐吓</v>
      </c>
      <c r="C2094" s="2" t="s">
        <v>9</v>
      </c>
      <c r="D2094" s="2" t="s">
        <v>10</v>
      </c>
      <c r="E2094" s="2" t="str">
        <f>HYPERLINK("http://ts.21cn.com/tousu/show/id/1332653","http://ts.21cn.com/tousu/show/id/1332653")</f>
        <v>http://ts.21cn.com/tousu/show/id/1332653</v>
      </c>
      <c r="F2094" s="2" t="s">
        <v>11</v>
      </c>
      <c r="G2094" s="2" t="s">
        <v>40019</v>
      </c>
      <c r="H2094" s="2" t="s">
        <v>40020</v>
      </c>
    </row>
    <row r="2095" spans="1:8" ht="25.05" customHeight="1" x14ac:dyDescent="0.25">
      <c r="A2095" s="2" t="s">
        <v>8</v>
      </c>
      <c r="B2095" s="2" t="str">
        <f>HYPERLINK("http://ts.21cn.com/tousu/show/id/1332655","嗨钱网更换不了银行卡跟他们的人提过了结果被起诉上了失信名单")</f>
        <v>嗨钱网更换不了银行卡跟他们的人提过了结果被起诉上了失信名单</v>
      </c>
      <c r="C2095" s="2" t="s">
        <v>9</v>
      </c>
      <c r="D2095" s="2" t="s">
        <v>10</v>
      </c>
      <c r="E2095" s="2" t="str">
        <f>HYPERLINK("http://ts.21cn.com/tousu/show/id/1332655","http://ts.21cn.com/tousu/show/id/1332655")</f>
        <v>http://ts.21cn.com/tousu/show/id/1332655</v>
      </c>
      <c r="F2095" s="2" t="s">
        <v>11</v>
      </c>
      <c r="G2095" s="2" t="s">
        <v>40017</v>
      </c>
      <c r="H2095" s="2" t="s">
        <v>40018</v>
      </c>
    </row>
    <row r="2096" spans="1:8" ht="25.05" customHeight="1" x14ac:dyDescent="0.25">
      <c r="A2096" s="2" t="s">
        <v>8</v>
      </c>
      <c r="B2096" s="2" t="str">
        <f>HYPERLINK("http://ts.21cn.com/tousu/show/id/1332656","请分期还呗给我解释")</f>
        <v>请分期还呗给我解释</v>
      </c>
      <c r="C2096" s="2" t="s">
        <v>9</v>
      </c>
      <c r="D2096" s="2" t="s">
        <v>10</v>
      </c>
      <c r="E2096" s="2" t="str">
        <f>HYPERLINK("http://ts.21cn.com/tousu/show/id/1332656","http://ts.21cn.com/tousu/show/id/1332656")</f>
        <v>http://ts.21cn.com/tousu/show/id/1332656</v>
      </c>
      <c r="F2096" s="2" t="s">
        <v>11</v>
      </c>
      <c r="G2096" s="2" t="s">
        <v>40015</v>
      </c>
      <c r="H2096" s="2" t="s">
        <v>40016</v>
      </c>
    </row>
    <row r="2097" spans="1:8" ht="25.05" customHeight="1" x14ac:dyDescent="0.25">
      <c r="A2097" s="2" t="s">
        <v>8</v>
      </c>
      <c r="B2097" s="2" t="str">
        <f>HYPERLINK("http://ts.21cn.com/tousu/show/id/1332657","快闪卡贷伙同阳光保险私自扣保险")</f>
        <v>快闪卡贷伙同阳光保险私自扣保险</v>
      </c>
      <c r="C2097" s="2" t="s">
        <v>9</v>
      </c>
      <c r="D2097" s="2" t="s">
        <v>10</v>
      </c>
      <c r="E2097" s="2" t="str">
        <f>HYPERLINK("http://ts.21cn.com/tousu/show/id/1332657","http://ts.21cn.com/tousu/show/id/1332657")</f>
        <v>http://ts.21cn.com/tousu/show/id/1332657</v>
      </c>
      <c r="F2097" s="2" t="s">
        <v>11</v>
      </c>
      <c r="G2097" s="2" t="s">
        <v>40013</v>
      </c>
      <c r="H2097" s="2" t="s">
        <v>40014</v>
      </c>
    </row>
    <row r="2098" spans="1:8" ht="25.05" customHeight="1" x14ac:dyDescent="0.25">
      <c r="A2098" s="2" t="s">
        <v>8</v>
      </c>
      <c r="B2098" s="2" t="str">
        <f>HYPERLINK("http://ts.21cn.com/tousu/show/id/1332658","交通银行信用卡暴力催熟恐吓骚扰")</f>
        <v>交通银行信用卡暴力催熟恐吓骚扰</v>
      </c>
      <c r="C2098" s="2" t="s">
        <v>9</v>
      </c>
      <c r="D2098" s="2" t="s">
        <v>10</v>
      </c>
      <c r="E2098" s="2" t="str">
        <f>HYPERLINK("http://ts.21cn.com/tousu/show/id/1332658","http://ts.21cn.com/tousu/show/id/1332658")</f>
        <v>http://ts.21cn.com/tousu/show/id/1332658</v>
      </c>
      <c r="F2098" s="2" t="s">
        <v>11</v>
      </c>
      <c r="G2098" s="2" t="s">
        <v>40011</v>
      </c>
      <c r="H2098" s="2" t="s">
        <v>40012</v>
      </c>
    </row>
    <row r="2099" spans="1:8" ht="25.05" customHeight="1" x14ac:dyDescent="0.25">
      <c r="A2099" s="2" t="s">
        <v>8</v>
      </c>
      <c r="B2099" s="2" t="str">
        <f>HYPERLINK("http://ts.21cn.com/tousu/show/id/1332663","乱收费")</f>
        <v>乱收费</v>
      </c>
      <c r="C2099" s="2" t="s">
        <v>9</v>
      </c>
      <c r="D2099" s="2" t="s">
        <v>10</v>
      </c>
      <c r="E2099" s="2" t="str">
        <f>HYPERLINK("http://ts.21cn.com/tousu/show/id/1332663","http://ts.21cn.com/tousu/show/id/1332663")</f>
        <v>http://ts.21cn.com/tousu/show/id/1332663</v>
      </c>
      <c r="F2099" s="2" t="s">
        <v>11</v>
      </c>
      <c r="G2099" s="2" t="s">
        <v>40009</v>
      </c>
      <c r="H2099" s="2" t="s">
        <v>40010</v>
      </c>
    </row>
    <row r="2100" spans="1:8" ht="25.05" customHeight="1" x14ac:dyDescent="0.25">
      <c r="A2100" s="2" t="s">
        <v>8</v>
      </c>
      <c r="B2100" s="2" t="str">
        <f>HYPERLINK("http://ts.21cn.com/tousu/show/id/1332659","希望用钱宝恢复老用户额度")</f>
        <v>希望用钱宝恢复老用户额度</v>
      </c>
      <c r="C2100" s="2" t="s">
        <v>34</v>
      </c>
      <c r="D2100" s="2" t="s">
        <v>10</v>
      </c>
      <c r="E2100" s="2" t="str">
        <f>HYPERLINK("http://ts.21cn.com/tousu/show/id/1332659","http://ts.21cn.com/tousu/show/id/1332659")</f>
        <v>http://ts.21cn.com/tousu/show/id/1332659</v>
      </c>
      <c r="F2100" s="2" t="s">
        <v>11</v>
      </c>
      <c r="G2100" s="2" t="s">
        <v>40007</v>
      </c>
      <c r="H2100" s="2" t="s">
        <v>40008</v>
      </c>
    </row>
    <row r="2101" spans="1:8" ht="25.05" customHeight="1" x14ac:dyDescent="0.25">
      <c r="A2101" s="2" t="s">
        <v>8</v>
      </c>
      <c r="B2101" s="2" t="str">
        <f>HYPERLINK("http://ts.21cn.com/tousu/show/id/1332660","闪银平台神出鬼没联系不到")</f>
        <v>闪银平台神出鬼没联系不到</v>
      </c>
      <c r="C2101" s="2" t="s">
        <v>9</v>
      </c>
      <c r="D2101" s="2" t="s">
        <v>10</v>
      </c>
      <c r="E2101" s="2" t="str">
        <f>HYPERLINK("http://ts.21cn.com/tousu/show/id/1332660","http://ts.21cn.com/tousu/show/id/1332660")</f>
        <v>http://ts.21cn.com/tousu/show/id/1332660</v>
      </c>
      <c r="F2101" s="2" t="s">
        <v>11</v>
      </c>
      <c r="G2101" s="2" t="s">
        <v>40005</v>
      </c>
      <c r="H2101" s="2" t="s">
        <v>40006</v>
      </c>
    </row>
    <row r="2102" spans="1:8" ht="25.05" customHeight="1" x14ac:dyDescent="0.25">
      <c r="A2102" s="2" t="s">
        <v>8</v>
      </c>
      <c r="B2102" s="2" t="str">
        <f>HYPERLINK("http://ts.21cn.com/tousu/show/id/1332621","平安享贷已手续费和保证金为由收取我7000元")</f>
        <v>平安享贷已手续费和保证金为由收取我7000元</v>
      </c>
      <c r="C2102" s="2" t="s">
        <v>9</v>
      </c>
      <c r="D2102" s="2" t="s">
        <v>10</v>
      </c>
      <c r="E2102" s="2" t="str">
        <f>HYPERLINK("http://ts.21cn.com/tousu/show/id/1332621","http://ts.21cn.com/tousu/show/id/1332621")</f>
        <v>http://ts.21cn.com/tousu/show/id/1332621</v>
      </c>
      <c r="F2102" s="2" t="s">
        <v>11</v>
      </c>
      <c r="G2102" s="2" t="s">
        <v>40003</v>
      </c>
      <c r="H2102" s="2" t="s">
        <v>40004</v>
      </c>
    </row>
    <row r="2103" spans="1:8" ht="25.05" customHeight="1" x14ac:dyDescent="0.25">
      <c r="A2103" s="2" t="s">
        <v>8</v>
      </c>
      <c r="B2103" s="2" t="str">
        <f>HYPERLINK("http://ts.21cn.com/tousu/show/id/1332662","闪银黑货")</f>
        <v>闪银黑货</v>
      </c>
      <c r="C2103" s="2" t="s">
        <v>9</v>
      </c>
      <c r="D2103" s="2" t="s">
        <v>10</v>
      </c>
      <c r="E2103" s="2" t="str">
        <f>HYPERLINK("http://ts.21cn.com/tousu/show/id/1332662","http://ts.21cn.com/tousu/show/id/1332662")</f>
        <v>http://ts.21cn.com/tousu/show/id/1332662</v>
      </c>
      <c r="F2103" s="2" t="s">
        <v>11</v>
      </c>
      <c r="G2103" s="2" t="s">
        <v>40001</v>
      </c>
      <c r="H2103" s="2" t="s">
        <v>40002</v>
      </c>
    </row>
    <row r="2104" spans="1:8" ht="25.05" customHeight="1" x14ac:dyDescent="0.25">
      <c r="A2104" s="2" t="s">
        <v>8</v>
      </c>
      <c r="B2104" s="2" t="str">
        <f>HYPERLINK("http://ts.21cn.com/tousu/show/id/1332664","小浦优客无故扣款")</f>
        <v>小浦优客无故扣款</v>
      </c>
      <c r="C2104" s="2" t="s">
        <v>9</v>
      </c>
      <c r="D2104" s="2" t="s">
        <v>10</v>
      </c>
      <c r="E2104" s="2" t="str">
        <f>HYPERLINK("http://ts.21cn.com/tousu/show/id/1332664","http://ts.21cn.com/tousu/show/id/1332664")</f>
        <v>http://ts.21cn.com/tousu/show/id/1332664</v>
      </c>
      <c r="F2104" s="2" t="s">
        <v>11</v>
      </c>
      <c r="G2104" s="2" t="s">
        <v>39999</v>
      </c>
      <c r="H2104" s="2" t="s">
        <v>40000</v>
      </c>
    </row>
    <row r="2105" spans="1:8" ht="25.05" customHeight="1" x14ac:dyDescent="0.25">
      <c r="A2105" s="2" t="s">
        <v>8</v>
      </c>
      <c r="B2105" s="2" t="str">
        <f>HYPERLINK("http://ts.21cn.com/tousu/show/id/1332665","网贷被爆通讯录")</f>
        <v>网贷被爆通讯录</v>
      </c>
      <c r="C2105" s="2" t="s">
        <v>9</v>
      </c>
      <c r="D2105" s="2" t="s">
        <v>10</v>
      </c>
      <c r="E2105" s="2" t="str">
        <f>HYPERLINK("http://ts.21cn.com/tousu/show/id/1332665","http://ts.21cn.com/tousu/show/id/1332665")</f>
        <v>http://ts.21cn.com/tousu/show/id/1332665</v>
      </c>
      <c r="F2105" s="2" t="s">
        <v>11</v>
      </c>
      <c r="G2105" s="2" t="s">
        <v>39997</v>
      </c>
      <c r="H2105" s="2" t="s">
        <v>39998</v>
      </c>
    </row>
    <row r="2106" spans="1:8" ht="25.05" customHeight="1" x14ac:dyDescent="0.25">
      <c r="A2106" s="2" t="s">
        <v>8</v>
      </c>
      <c r="B2106" s="2" t="str">
        <f>HYPERLINK("http://ts.21cn.com/tousu/show/id/1332666","微信支付功能被冻结，联系不到客服人员")</f>
        <v>微信支付功能被冻结，联系不到客服人员</v>
      </c>
      <c r="C2106" s="2" t="s">
        <v>9</v>
      </c>
      <c r="D2106" s="2" t="s">
        <v>10</v>
      </c>
      <c r="E2106" s="2" t="str">
        <f>HYPERLINK("http://ts.21cn.com/tousu/show/id/1332666","http://ts.21cn.com/tousu/show/id/1332666")</f>
        <v>http://ts.21cn.com/tousu/show/id/1332666</v>
      </c>
      <c r="F2106" s="2" t="s">
        <v>11</v>
      </c>
      <c r="G2106" s="2" t="s">
        <v>39995</v>
      </c>
      <c r="H2106" s="2" t="s">
        <v>39996</v>
      </c>
    </row>
    <row r="2107" spans="1:8" ht="25.05" customHeight="1" x14ac:dyDescent="0.25">
      <c r="A2107" s="2" t="s">
        <v>8</v>
      </c>
      <c r="B2107" s="2" t="str">
        <f>HYPERLINK("http://ts.21cn.com/tousu/show/id/1332667","腾讯无缘无故修改我的游戏个人信息")</f>
        <v>腾讯无缘无故修改我的游戏个人信息</v>
      </c>
      <c r="C2107" s="2" t="s">
        <v>34</v>
      </c>
      <c r="D2107" s="2" t="s">
        <v>10</v>
      </c>
      <c r="E2107" s="2" t="str">
        <f>HYPERLINK("http://ts.21cn.com/tousu/show/id/1332667","http://ts.21cn.com/tousu/show/id/1332667")</f>
        <v>http://ts.21cn.com/tousu/show/id/1332667</v>
      </c>
      <c r="F2107" s="2" t="s">
        <v>11</v>
      </c>
      <c r="G2107" s="2" t="s">
        <v>39993</v>
      </c>
      <c r="H2107" s="2" t="s">
        <v>39994</v>
      </c>
    </row>
    <row r="2108" spans="1:8" ht="25.05" customHeight="1" x14ac:dyDescent="0.25">
      <c r="A2108" s="2" t="s">
        <v>8</v>
      </c>
      <c r="B2108" s="2" t="str">
        <f>HYPERLINK("http://ts.21cn.com/tousu/show/id/1332669","快易熊")</f>
        <v>快易熊</v>
      </c>
      <c r="C2108" s="2" t="s">
        <v>9</v>
      </c>
      <c r="D2108" s="2" t="s">
        <v>10</v>
      </c>
      <c r="E2108" s="2" t="str">
        <f>HYPERLINK("http://ts.21cn.com/tousu/show/id/1332669","http://ts.21cn.com/tousu/show/id/1332669")</f>
        <v>http://ts.21cn.com/tousu/show/id/1332669</v>
      </c>
      <c r="F2108" s="2" t="s">
        <v>11</v>
      </c>
      <c r="G2108" s="2" t="s">
        <v>39991</v>
      </c>
      <c r="H2108" s="2" t="s">
        <v>39992</v>
      </c>
    </row>
    <row r="2109" spans="1:8" ht="25.05" customHeight="1" x14ac:dyDescent="0.25">
      <c r="A2109" s="2" t="s">
        <v>8</v>
      </c>
      <c r="B2109" s="2" t="str">
        <f>HYPERLINK("http://ts.21cn.com/tousu/show/id/1332670","自由摩卡信用计划，暴力催收，骚扰，砍头息")</f>
        <v>自由摩卡信用计划，暴力催收，骚扰，砍头息</v>
      </c>
      <c r="C2109" s="2" t="s">
        <v>9</v>
      </c>
      <c r="D2109" s="2" t="s">
        <v>10</v>
      </c>
      <c r="E2109" s="2" t="str">
        <f>HYPERLINK("http://ts.21cn.com/tousu/show/id/1332670","http://ts.21cn.com/tousu/show/id/1332670")</f>
        <v>http://ts.21cn.com/tousu/show/id/1332670</v>
      </c>
      <c r="F2109" s="2" t="s">
        <v>11</v>
      </c>
      <c r="G2109" s="2" t="s">
        <v>39989</v>
      </c>
      <c r="H2109" s="2" t="s">
        <v>39990</v>
      </c>
    </row>
    <row r="2110" spans="1:8" ht="25.05" customHeight="1" x14ac:dyDescent="0.25">
      <c r="A2110" s="2" t="s">
        <v>8</v>
      </c>
      <c r="B2110" s="2" t="str">
        <f>HYPERLINK("http://ts.21cn.com/tousu/show/id/1332671","及贷apo催收骚扰我爸妈")</f>
        <v>及贷apo催收骚扰我爸妈</v>
      </c>
      <c r="C2110" s="2" t="s">
        <v>9</v>
      </c>
      <c r="D2110" s="2" t="s">
        <v>10</v>
      </c>
      <c r="E2110" s="2" t="str">
        <f>HYPERLINK("http://ts.21cn.com/tousu/show/id/1332671","http://ts.21cn.com/tousu/show/id/1332671")</f>
        <v>http://ts.21cn.com/tousu/show/id/1332671</v>
      </c>
      <c r="F2110" s="2" t="s">
        <v>11</v>
      </c>
      <c r="G2110" s="2" t="s">
        <v>39987</v>
      </c>
      <c r="H2110" s="2" t="s">
        <v>39988</v>
      </c>
    </row>
    <row r="2111" spans="1:8" ht="25.05" customHeight="1" x14ac:dyDescent="0.25">
      <c r="A2111" s="2" t="s">
        <v>8</v>
      </c>
      <c r="B2111" s="2" t="str">
        <f>HYPERLINK("http://ts.21cn.com/tousu/show/id/1332672","拼多多不退商家保证金")</f>
        <v>拼多多不退商家保证金</v>
      </c>
      <c r="C2111" s="2" t="s">
        <v>9</v>
      </c>
      <c r="D2111" s="2" t="s">
        <v>10</v>
      </c>
      <c r="E2111" s="2" t="str">
        <f>HYPERLINK("http://ts.21cn.com/tousu/show/id/1332672","http://ts.21cn.com/tousu/show/id/1332672")</f>
        <v>http://ts.21cn.com/tousu/show/id/1332672</v>
      </c>
      <c r="F2111" s="2" t="s">
        <v>11</v>
      </c>
      <c r="G2111" s="2" t="s">
        <v>39985</v>
      </c>
      <c r="H2111" s="2" t="s">
        <v>39986</v>
      </c>
    </row>
    <row r="2112" spans="1:8" ht="25.05" customHeight="1" x14ac:dyDescent="0.25">
      <c r="A2112" s="2" t="s">
        <v>8</v>
      </c>
      <c r="B2112" s="2" t="str">
        <f>HYPERLINK("http://ts.21cn.com/tousu/show/id/1332673","捷信高利贷")</f>
        <v>捷信高利贷</v>
      </c>
      <c r="C2112" s="2" t="s">
        <v>9</v>
      </c>
      <c r="D2112" s="2" t="s">
        <v>10</v>
      </c>
      <c r="E2112" s="2" t="str">
        <f>HYPERLINK("http://ts.21cn.com/tousu/show/id/1332673","http://ts.21cn.com/tousu/show/id/1332673")</f>
        <v>http://ts.21cn.com/tousu/show/id/1332673</v>
      </c>
      <c r="F2112" s="2" t="s">
        <v>11</v>
      </c>
      <c r="G2112" s="2" t="s">
        <v>39983</v>
      </c>
      <c r="H2112" s="2" t="s">
        <v>39984</v>
      </c>
    </row>
    <row r="2113" spans="1:8" ht="25.05" customHeight="1" x14ac:dyDescent="0.25">
      <c r="A2113" s="2" t="s">
        <v>8</v>
      </c>
      <c r="B2113" s="2" t="str">
        <f>HYPERLINK("http://ts.21cn.com/tousu/show/id/1332674","想协商还款联系不上")</f>
        <v>想协商还款联系不上</v>
      </c>
      <c r="C2113" s="2" t="s">
        <v>34</v>
      </c>
      <c r="D2113" s="2" t="s">
        <v>10</v>
      </c>
      <c r="E2113" s="2" t="str">
        <f>HYPERLINK("http://ts.21cn.com/tousu/show/id/1332674","http://ts.21cn.com/tousu/show/id/1332674")</f>
        <v>http://ts.21cn.com/tousu/show/id/1332674</v>
      </c>
      <c r="F2113" s="2" t="s">
        <v>11</v>
      </c>
      <c r="G2113" s="2" t="s">
        <v>39981</v>
      </c>
      <c r="H2113" s="2" t="s">
        <v>39982</v>
      </c>
    </row>
    <row r="2114" spans="1:8" ht="25.05" customHeight="1" x14ac:dyDescent="0.25">
      <c r="A2114" s="2" t="s">
        <v>8</v>
      </c>
      <c r="B2114" s="2" t="str">
        <f>HYPERLINK("http://ts.21cn.com/tousu/show/id/1332675","苏宁易购销售过期食品")</f>
        <v>苏宁易购销售过期食品</v>
      </c>
      <c r="C2114" s="2" t="s">
        <v>9</v>
      </c>
      <c r="D2114" s="2" t="s">
        <v>10</v>
      </c>
      <c r="E2114" s="2" t="str">
        <f>HYPERLINK("http://ts.21cn.com/tousu/show/id/1332675","http://ts.21cn.com/tousu/show/id/1332675")</f>
        <v>http://ts.21cn.com/tousu/show/id/1332675</v>
      </c>
      <c r="F2114" s="2" t="s">
        <v>11</v>
      </c>
      <c r="G2114" s="2" t="s">
        <v>39979</v>
      </c>
      <c r="H2114" s="2" t="s">
        <v>39980</v>
      </c>
    </row>
    <row r="2115" spans="1:8" ht="25.05" customHeight="1" x14ac:dyDescent="0.25">
      <c r="A2115" s="2" t="s">
        <v>8</v>
      </c>
      <c r="B2115" s="2" t="str">
        <f>HYPERLINK("http://ts.21cn.com/tousu/show/id/1332676","快钱支付富友支付为高利贷")</f>
        <v>快钱支付富友支付为高利贷</v>
      </c>
      <c r="C2115" s="2" t="s">
        <v>9</v>
      </c>
      <c r="D2115" s="2" t="s">
        <v>10</v>
      </c>
      <c r="E2115" s="2" t="str">
        <f>HYPERLINK("http://ts.21cn.com/tousu/show/id/1332676","http://ts.21cn.com/tousu/show/id/1332676")</f>
        <v>http://ts.21cn.com/tousu/show/id/1332676</v>
      </c>
      <c r="F2115" s="2" t="s">
        <v>11</v>
      </c>
      <c r="G2115" s="2" t="s">
        <v>39977</v>
      </c>
      <c r="H2115" s="2" t="s">
        <v>39978</v>
      </c>
    </row>
    <row r="2116" spans="1:8" ht="25.05" customHeight="1" x14ac:dyDescent="0.25">
      <c r="A2116" s="2" t="s">
        <v>8</v>
      </c>
      <c r="B2116" s="2" t="str">
        <f>HYPERLINK("http://ts.21cn.com/tousu/show/id/1332677","提前结清减免费用")</f>
        <v>提前结清减免费用</v>
      </c>
      <c r="C2116" s="2" t="s">
        <v>9</v>
      </c>
      <c r="D2116" s="2" t="s">
        <v>10</v>
      </c>
      <c r="E2116" s="2" t="str">
        <f>HYPERLINK("http://ts.21cn.com/tousu/show/id/1332677","http://ts.21cn.com/tousu/show/id/1332677")</f>
        <v>http://ts.21cn.com/tousu/show/id/1332677</v>
      </c>
      <c r="F2116" s="2" t="s">
        <v>11</v>
      </c>
      <c r="G2116" s="2" t="s">
        <v>39975</v>
      </c>
      <c r="H2116" s="2" t="s">
        <v>39976</v>
      </c>
    </row>
    <row r="2117" spans="1:8" ht="25.05" customHeight="1" x14ac:dyDescent="0.25">
      <c r="A2117" s="2" t="s">
        <v>8</v>
      </c>
      <c r="B2117" s="2" t="str">
        <f>HYPERLINK("http://ts.21cn.com/tousu/show/id/1332645","滴滴不给解绑企业车")</f>
        <v>滴滴不给解绑企业车</v>
      </c>
      <c r="C2117" s="2" t="s">
        <v>9</v>
      </c>
      <c r="D2117" s="2" t="s">
        <v>10</v>
      </c>
      <c r="E2117" s="2" t="str">
        <f>HYPERLINK("http://ts.21cn.com/tousu/show/id/1332645","http://ts.21cn.com/tousu/show/id/1332645")</f>
        <v>http://ts.21cn.com/tousu/show/id/1332645</v>
      </c>
      <c r="F2117" s="2" t="s">
        <v>11</v>
      </c>
      <c r="G2117" s="2" t="s">
        <v>39972</v>
      </c>
      <c r="H2117" s="2" t="s">
        <v>39973</v>
      </c>
    </row>
    <row r="2118" spans="1:8" ht="25.05" customHeight="1" x14ac:dyDescent="0.25">
      <c r="A2118" s="2" t="s">
        <v>8</v>
      </c>
      <c r="B2118" s="2" t="str">
        <f>HYPERLINK("http://ts.21cn.com/tousu/show/id/1332679","嗨钱网还款了不入账一直显示逾期")</f>
        <v>嗨钱网还款了不入账一直显示逾期</v>
      </c>
      <c r="C2118" s="2" t="s">
        <v>9</v>
      </c>
      <c r="D2118" s="2" t="s">
        <v>10</v>
      </c>
      <c r="E2118" s="2" t="str">
        <f>HYPERLINK("http://ts.21cn.com/tousu/show/id/1332679","http://ts.21cn.com/tousu/show/id/1332679")</f>
        <v>http://ts.21cn.com/tousu/show/id/1332679</v>
      </c>
      <c r="F2118" s="2" t="s">
        <v>11</v>
      </c>
      <c r="G2118" s="2" t="s">
        <v>39972</v>
      </c>
      <c r="H2118" s="2" t="s">
        <v>39974</v>
      </c>
    </row>
    <row r="2119" spans="1:8" ht="25.05" customHeight="1" x14ac:dyDescent="0.25">
      <c r="A2119" s="2" t="s">
        <v>8</v>
      </c>
      <c r="B2119" s="2" t="str">
        <f>HYPERLINK("http://ts.21cn.com/tousu/show/id/1332678","聚富分期在我不知情的情况下乱扣费")</f>
        <v>聚富分期在我不知情的情况下乱扣费</v>
      </c>
      <c r="C2119" s="2" t="s">
        <v>9</v>
      </c>
      <c r="D2119" s="2" t="s">
        <v>10</v>
      </c>
      <c r="E2119" s="2" t="str">
        <f>HYPERLINK("http://ts.21cn.com/tousu/show/id/1332678","http://ts.21cn.com/tousu/show/id/1332678")</f>
        <v>http://ts.21cn.com/tousu/show/id/1332678</v>
      </c>
      <c r="F2119" s="2" t="s">
        <v>11</v>
      </c>
      <c r="G2119" s="2" t="s">
        <v>39970</v>
      </c>
      <c r="H2119" s="2" t="s">
        <v>39971</v>
      </c>
    </row>
    <row r="2120" spans="1:8" ht="25.05" customHeight="1" x14ac:dyDescent="0.25">
      <c r="A2120" s="2" t="s">
        <v>8</v>
      </c>
      <c r="B2120" s="2" t="str">
        <f>HYPERLINK("http://ts.21cn.com/tousu/show/id/1332680","骚扰爆通讯录")</f>
        <v>骚扰爆通讯录</v>
      </c>
      <c r="C2120" s="2" t="s">
        <v>9</v>
      </c>
      <c r="D2120" s="2" t="s">
        <v>10</v>
      </c>
      <c r="E2120" s="2" t="str">
        <f>HYPERLINK("http://ts.21cn.com/tousu/show/id/1332680","http://ts.21cn.com/tousu/show/id/1332680")</f>
        <v>http://ts.21cn.com/tousu/show/id/1332680</v>
      </c>
      <c r="F2120" s="2" t="s">
        <v>11</v>
      </c>
      <c r="G2120" s="2" t="s">
        <v>39968</v>
      </c>
      <c r="H2120" s="2" t="s">
        <v>39969</v>
      </c>
    </row>
    <row r="2121" spans="1:8" ht="25.05" customHeight="1" x14ac:dyDescent="0.25">
      <c r="A2121" s="2" t="s">
        <v>8</v>
      </c>
      <c r="B2121" s="2" t="str">
        <f>HYPERLINK("http://ts.21cn.com/tousu/show/id/1332681","暴力催收")</f>
        <v>暴力催收</v>
      </c>
      <c r="C2121" s="2" t="s">
        <v>9</v>
      </c>
      <c r="D2121" s="2" t="s">
        <v>10</v>
      </c>
      <c r="E2121" s="2" t="str">
        <f>HYPERLINK("http://ts.21cn.com/tousu/show/id/1332681","http://ts.21cn.com/tousu/show/id/1332681")</f>
        <v>http://ts.21cn.com/tousu/show/id/1332681</v>
      </c>
      <c r="F2121" s="2" t="s">
        <v>11</v>
      </c>
      <c r="G2121" s="2" t="s">
        <v>39966</v>
      </c>
      <c r="H2121" s="2" t="s">
        <v>39967</v>
      </c>
    </row>
    <row r="2122" spans="1:8" ht="25.05" customHeight="1" x14ac:dyDescent="0.25">
      <c r="A2122" s="2" t="s">
        <v>8</v>
      </c>
      <c r="B2122" s="2" t="str">
        <f>HYPERLINK("http://ts.21cn.com/tousu/show/id/1332682","暴力催收小花钱包")</f>
        <v>暴力催收小花钱包</v>
      </c>
      <c r="C2122" s="2" t="s">
        <v>9</v>
      </c>
      <c r="D2122" s="2" t="s">
        <v>10</v>
      </c>
      <c r="E2122" s="2" t="str">
        <f>HYPERLINK("http://ts.21cn.com/tousu/show/id/1332682","http://ts.21cn.com/tousu/show/id/1332682")</f>
        <v>http://ts.21cn.com/tousu/show/id/1332682</v>
      </c>
      <c r="F2122" s="2" t="s">
        <v>11</v>
      </c>
      <c r="G2122" s="2" t="s">
        <v>39964</v>
      </c>
      <c r="H2122" s="2" t="s">
        <v>39965</v>
      </c>
    </row>
    <row r="2123" spans="1:8" ht="25.05" customHeight="1" x14ac:dyDescent="0.25">
      <c r="A2123" s="2" t="s">
        <v>8</v>
      </c>
      <c r="B2123" s="2" t="str">
        <f>HYPERLINK("http://ts.21cn.com/tousu/show/id/1332684","达飞云贷恐吓骚扰声称爆通讯录")</f>
        <v>达飞云贷恐吓骚扰声称爆通讯录</v>
      </c>
      <c r="C2123" s="2" t="s">
        <v>9</v>
      </c>
      <c r="D2123" s="2" t="s">
        <v>10</v>
      </c>
      <c r="E2123" s="2" t="str">
        <f>HYPERLINK("http://ts.21cn.com/tousu/show/id/1332684","http://ts.21cn.com/tousu/show/id/1332684")</f>
        <v>http://ts.21cn.com/tousu/show/id/1332684</v>
      </c>
      <c r="F2123" s="2" t="s">
        <v>11</v>
      </c>
      <c r="G2123" s="2" t="s">
        <v>39962</v>
      </c>
      <c r="H2123" s="2" t="s">
        <v>39963</v>
      </c>
    </row>
    <row r="2124" spans="1:8" ht="25.05" customHeight="1" x14ac:dyDescent="0.25">
      <c r="A2124" s="2" t="s">
        <v>8</v>
      </c>
      <c r="B2124" s="2" t="str">
        <f>HYPERLINK("http://ts.21cn.com/tousu/show/id/1332686","钱站高利贷阴阳合同")</f>
        <v>钱站高利贷阴阳合同</v>
      </c>
      <c r="C2124" s="2" t="s">
        <v>9</v>
      </c>
      <c r="D2124" s="2" t="s">
        <v>10</v>
      </c>
      <c r="E2124" s="2" t="str">
        <f>HYPERLINK("http://ts.21cn.com/tousu/show/id/1332686","http://ts.21cn.com/tousu/show/id/1332686")</f>
        <v>http://ts.21cn.com/tousu/show/id/1332686</v>
      </c>
      <c r="F2124" s="2" t="s">
        <v>11</v>
      </c>
      <c r="G2124" s="2" t="s">
        <v>39960</v>
      </c>
      <c r="H2124" s="2" t="s">
        <v>39961</v>
      </c>
    </row>
    <row r="2125" spans="1:8" ht="25.05" customHeight="1" x14ac:dyDescent="0.25">
      <c r="A2125" s="2" t="s">
        <v>8</v>
      </c>
      <c r="B2125" s="2" t="str">
        <f>HYPERLINK("http://ts.21cn.com/tousu/show/id/1332687","钱站高利贷阴阳合同")</f>
        <v>钱站高利贷阴阳合同</v>
      </c>
      <c r="C2125" s="2" t="s">
        <v>9</v>
      </c>
      <c r="D2125" s="2" t="s">
        <v>10</v>
      </c>
      <c r="E2125" s="2" t="str">
        <f>HYPERLINK("http://ts.21cn.com/tousu/show/id/1332687","http://ts.21cn.com/tousu/show/id/1332687")</f>
        <v>http://ts.21cn.com/tousu/show/id/1332687</v>
      </c>
      <c r="F2125" s="2" t="s">
        <v>11</v>
      </c>
      <c r="G2125" s="2" t="s">
        <v>39958</v>
      </c>
      <c r="H2125" s="2" t="s">
        <v>39959</v>
      </c>
    </row>
    <row r="2126" spans="1:8" ht="25.05" customHeight="1" x14ac:dyDescent="0.25">
      <c r="A2126" s="2" t="s">
        <v>8</v>
      </c>
      <c r="B2126" s="2" t="str">
        <f>HYPERLINK("http://ts.21cn.com/tousu/show/id/1332688","钱站逾期一天，逾期费将近二百块钱，协商减肥逾期费不同意")</f>
        <v>钱站逾期一天，逾期费将近二百块钱，协商减肥逾期费不同意</v>
      </c>
      <c r="C2126" s="2" t="s">
        <v>34</v>
      </c>
      <c r="D2126" s="2" t="s">
        <v>10</v>
      </c>
      <c r="E2126" s="2" t="str">
        <f>HYPERLINK("http://ts.21cn.com/tousu/show/id/1332688","http://ts.21cn.com/tousu/show/id/1332688")</f>
        <v>http://ts.21cn.com/tousu/show/id/1332688</v>
      </c>
      <c r="F2126" s="2" t="s">
        <v>11</v>
      </c>
      <c r="G2126" s="2" t="s">
        <v>39956</v>
      </c>
      <c r="H2126" s="2" t="s">
        <v>39957</v>
      </c>
    </row>
    <row r="2127" spans="1:8" ht="25.05" customHeight="1" x14ac:dyDescent="0.25">
      <c r="A2127" s="2" t="s">
        <v>8</v>
      </c>
      <c r="B2127" s="2" t="str">
        <f>HYPERLINK("http://ts.21cn.com/tousu/show/id/1332689","好期贷是高利贷")</f>
        <v>好期贷是高利贷</v>
      </c>
      <c r="C2127" s="2" t="s">
        <v>9</v>
      </c>
      <c r="D2127" s="2" t="s">
        <v>10</v>
      </c>
      <c r="E2127" s="2" t="str">
        <f>HYPERLINK("http://ts.21cn.com/tousu/show/id/1332689","http://ts.21cn.com/tousu/show/id/1332689")</f>
        <v>http://ts.21cn.com/tousu/show/id/1332689</v>
      </c>
      <c r="F2127" s="2" t="s">
        <v>11</v>
      </c>
      <c r="G2127" s="2" t="s">
        <v>39954</v>
      </c>
      <c r="H2127" s="2" t="s">
        <v>39955</v>
      </c>
    </row>
    <row r="2128" spans="1:8" ht="25.05" customHeight="1" x14ac:dyDescent="0.25">
      <c r="A2128" s="2" t="s">
        <v>8</v>
      </c>
      <c r="B2128" s="2" t="str">
        <f>HYPERLINK("http://ts.21cn.com/tousu/show/id/1332690","协商结清")</f>
        <v>协商结清</v>
      </c>
      <c r="C2128" s="2" t="s">
        <v>9</v>
      </c>
      <c r="D2128" s="2" t="s">
        <v>10</v>
      </c>
      <c r="E2128" s="2" t="str">
        <f>HYPERLINK("http://ts.21cn.com/tousu/show/id/1332690","http://ts.21cn.com/tousu/show/id/1332690")</f>
        <v>http://ts.21cn.com/tousu/show/id/1332690</v>
      </c>
      <c r="F2128" s="2" t="s">
        <v>11</v>
      </c>
      <c r="G2128" s="2" t="s">
        <v>39952</v>
      </c>
      <c r="H2128" s="2" t="s">
        <v>39953</v>
      </c>
    </row>
    <row r="2129" spans="1:8" ht="25.05" customHeight="1" x14ac:dyDescent="0.25">
      <c r="A2129" s="2" t="s">
        <v>8</v>
      </c>
      <c r="B2129" s="2" t="str">
        <f>HYPERLINK("http://ts.21cn.com/tousu/show/id/1332692","自由摩卡诺和信用计划砍头息高利贷套路贷")</f>
        <v>自由摩卡诺和信用计划砍头息高利贷套路贷</v>
      </c>
      <c r="C2129" s="2" t="s">
        <v>9</v>
      </c>
      <c r="D2129" s="2" t="s">
        <v>10</v>
      </c>
      <c r="E2129" s="2" t="str">
        <f>HYPERLINK("http://ts.21cn.com/tousu/show/id/1332692","http://ts.21cn.com/tousu/show/id/1332692")</f>
        <v>http://ts.21cn.com/tousu/show/id/1332692</v>
      </c>
      <c r="F2129" s="2" t="s">
        <v>11</v>
      </c>
      <c r="G2129" s="2" t="s">
        <v>39950</v>
      </c>
      <c r="H2129" s="2" t="s">
        <v>39951</v>
      </c>
    </row>
    <row r="2130" spans="1:8" ht="25.05" customHeight="1" x14ac:dyDescent="0.25">
      <c r="A2130" s="2" t="s">
        <v>8</v>
      </c>
      <c r="B2130" s="2" t="str">
        <f>HYPERLINK("http://ts.21cn.com/tousu/show/id/1332691","钱站高额综合费用，暴力催收")</f>
        <v>钱站高额综合费用，暴力催收</v>
      </c>
      <c r="C2130" s="2" t="s">
        <v>9</v>
      </c>
      <c r="D2130" s="2" t="s">
        <v>10</v>
      </c>
      <c r="E2130" s="2" t="str">
        <f>HYPERLINK("http://ts.21cn.com/tousu/show/id/1332691","http://ts.21cn.com/tousu/show/id/1332691")</f>
        <v>http://ts.21cn.com/tousu/show/id/1332691</v>
      </c>
      <c r="F2130" s="2" t="s">
        <v>11</v>
      </c>
      <c r="G2130" s="2" t="s">
        <v>39948</v>
      </c>
      <c r="H2130" s="2" t="s">
        <v>39949</v>
      </c>
    </row>
    <row r="2131" spans="1:8" ht="25.05" customHeight="1" x14ac:dyDescent="0.25">
      <c r="A2131" s="2" t="s">
        <v>8</v>
      </c>
      <c r="B2131" s="2" t="str">
        <f>HYPERLINK("http://ts.21cn.com/tousu/show/id/1332693","钱站不承认扣款")</f>
        <v>钱站不承认扣款</v>
      </c>
      <c r="C2131" s="2" t="s">
        <v>34</v>
      </c>
      <c r="D2131" s="2" t="s">
        <v>10</v>
      </c>
      <c r="E2131" s="2" t="str">
        <f>HYPERLINK("http://ts.21cn.com/tousu/show/id/1332693","http://ts.21cn.com/tousu/show/id/1332693")</f>
        <v>http://ts.21cn.com/tousu/show/id/1332693</v>
      </c>
      <c r="F2131" s="2" t="s">
        <v>11</v>
      </c>
      <c r="G2131" s="2" t="s">
        <v>39946</v>
      </c>
      <c r="H2131" s="2" t="s">
        <v>39947</v>
      </c>
    </row>
    <row r="2132" spans="1:8" ht="25.05" customHeight="1" x14ac:dyDescent="0.25">
      <c r="A2132" s="2" t="s">
        <v>8</v>
      </c>
      <c r="B2132" s="2" t="str">
        <f>HYPERLINK("http://ts.21cn.com/tousu/show/id/1332694","要求系统取消订单")</f>
        <v>要求系统取消订单</v>
      </c>
      <c r="C2132" s="2" t="s">
        <v>34</v>
      </c>
      <c r="D2132" s="2" t="s">
        <v>10</v>
      </c>
      <c r="E2132" s="2" t="str">
        <f>HYPERLINK("http://ts.21cn.com/tousu/show/id/1332694","http://ts.21cn.com/tousu/show/id/1332694")</f>
        <v>http://ts.21cn.com/tousu/show/id/1332694</v>
      </c>
      <c r="F2132" s="2" t="s">
        <v>11</v>
      </c>
      <c r="G2132" s="2" t="s">
        <v>39944</v>
      </c>
      <c r="H2132" s="2" t="s">
        <v>39945</v>
      </c>
    </row>
    <row r="2133" spans="1:8" ht="25.05" customHeight="1" x14ac:dyDescent="0.25">
      <c r="A2133" s="2" t="s">
        <v>8</v>
      </c>
      <c r="B2133" s="2" t="str">
        <f>HYPERLINK("http://ts.21cn.com/tousu/show/id/1332698","小浦优客无故扣款")</f>
        <v>小浦优客无故扣款</v>
      </c>
      <c r="C2133" s="2" t="s">
        <v>9</v>
      </c>
      <c r="D2133" s="2" t="s">
        <v>10</v>
      </c>
      <c r="E2133" s="2" t="str">
        <f>HYPERLINK("http://ts.21cn.com/tousu/show/id/1332698","http://ts.21cn.com/tousu/show/id/1332698")</f>
        <v>http://ts.21cn.com/tousu/show/id/1332698</v>
      </c>
      <c r="F2133" s="2" t="s">
        <v>11</v>
      </c>
      <c r="G2133" s="2" t="s">
        <v>39942</v>
      </c>
      <c r="H2133" s="2" t="s">
        <v>39943</v>
      </c>
    </row>
    <row r="2134" spans="1:8" ht="25.05" customHeight="1" x14ac:dyDescent="0.25">
      <c r="A2134" s="2" t="s">
        <v>8</v>
      </c>
      <c r="B2134" s="2" t="str">
        <f>HYPERLINK("http://ts.21cn.com/tousu/show/id/1332699","宜人贷高利贷")</f>
        <v>宜人贷高利贷</v>
      </c>
      <c r="C2134" s="2" t="s">
        <v>9</v>
      </c>
      <c r="D2134" s="2" t="s">
        <v>10</v>
      </c>
      <c r="E2134" s="2" t="str">
        <f>HYPERLINK("http://ts.21cn.com/tousu/show/id/1332699","http://ts.21cn.com/tousu/show/id/1332699")</f>
        <v>http://ts.21cn.com/tousu/show/id/1332699</v>
      </c>
      <c r="F2134" s="2" t="s">
        <v>11</v>
      </c>
      <c r="G2134" s="2" t="s">
        <v>39940</v>
      </c>
      <c r="H2134" s="2" t="s">
        <v>39941</v>
      </c>
    </row>
    <row r="2135" spans="1:8" ht="25.05" customHeight="1" x14ac:dyDescent="0.25">
      <c r="A2135" s="2" t="s">
        <v>8</v>
      </c>
      <c r="B2135" s="2" t="str">
        <f>HYPERLINK("http://ts.21cn.com/tousu/show/id/1332700","来分期频繁骚扰，诱惑贷款")</f>
        <v>来分期频繁骚扰，诱惑贷款</v>
      </c>
      <c r="C2135" s="2" t="s">
        <v>9</v>
      </c>
      <c r="D2135" s="2" t="s">
        <v>10</v>
      </c>
      <c r="E2135" s="2" t="str">
        <f>HYPERLINK("http://ts.21cn.com/tousu/show/id/1332700","http://ts.21cn.com/tousu/show/id/1332700")</f>
        <v>http://ts.21cn.com/tousu/show/id/1332700</v>
      </c>
      <c r="F2135" s="2" t="s">
        <v>11</v>
      </c>
      <c r="G2135" s="2" t="s">
        <v>39938</v>
      </c>
      <c r="H2135" s="2" t="s">
        <v>39939</v>
      </c>
    </row>
    <row r="2136" spans="1:8" ht="25.05" customHeight="1" x14ac:dyDescent="0.25">
      <c r="A2136" s="2" t="s">
        <v>8</v>
      </c>
      <c r="B2136" s="2" t="str">
        <f>HYPERLINK("http://ts.21cn.com/tousu/show/id/1332701","钱站高利贷阳合同")</f>
        <v>钱站高利贷阳合同</v>
      </c>
      <c r="C2136" s="2" t="s">
        <v>9</v>
      </c>
      <c r="D2136" s="2" t="s">
        <v>10</v>
      </c>
      <c r="E2136" s="2" t="str">
        <f>HYPERLINK("http://ts.21cn.com/tousu/show/id/1332701","http://ts.21cn.com/tousu/show/id/1332701")</f>
        <v>http://ts.21cn.com/tousu/show/id/1332701</v>
      </c>
      <c r="F2136" s="2" t="s">
        <v>11</v>
      </c>
      <c r="G2136" s="2" t="s">
        <v>39936</v>
      </c>
      <c r="H2136" s="2" t="s">
        <v>39937</v>
      </c>
    </row>
    <row r="2137" spans="1:8" ht="25.05" customHeight="1" x14ac:dyDescent="0.25">
      <c r="A2137" s="2" t="s">
        <v>8</v>
      </c>
      <c r="B2137" s="2" t="str">
        <f>HYPERLINK("http://ts.21cn.com/tousu/show/id/1332702","钱站诱导借款人借新款还旧账")</f>
        <v>钱站诱导借款人借新款还旧账</v>
      </c>
      <c r="C2137" s="2" t="s">
        <v>9</v>
      </c>
      <c r="D2137" s="2" t="s">
        <v>10</v>
      </c>
      <c r="E2137" s="2" t="str">
        <f>HYPERLINK("http://ts.21cn.com/tousu/show/id/1332702","http://ts.21cn.com/tousu/show/id/1332702")</f>
        <v>http://ts.21cn.com/tousu/show/id/1332702</v>
      </c>
      <c r="F2137" s="2" t="s">
        <v>11</v>
      </c>
      <c r="G2137" s="2" t="s">
        <v>39934</v>
      </c>
      <c r="H2137" s="2" t="s">
        <v>39935</v>
      </c>
    </row>
    <row r="2138" spans="1:8" ht="25.05" customHeight="1" x14ac:dyDescent="0.25">
      <c r="A2138" s="2" t="s">
        <v>8</v>
      </c>
      <c r="B2138" s="2" t="str">
        <f>HYPERLINK("http://ts.21cn.com/tousu/show/id/1332705","买的鞋子码数商家给的码数不对，试穿后不给退款")</f>
        <v>买的鞋子码数商家给的码数不对，试穿后不给退款</v>
      </c>
      <c r="C2138" s="2" t="s">
        <v>9</v>
      </c>
      <c r="D2138" s="2" t="s">
        <v>10</v>
      </c>
      <c r="E2138" s="2" t="str">
        <f>HYPERLINK("http://ts.21cn.com/tousu/show/id/1332705","http://ts.21cn.com/tousu/show/id/1332705")</f>
        <v>http://ts.21cn.com/tousu/show/id/1332705</v>
      </c>
      <c r="F2138" s="2" t="s">
        <v>11</v>
      </c>
      <c r="G2138" s="2" t="s">
        <v>39931</v>
      </c>
      <c r="H2138" s="2" t="s">
        <v>39932</v>
      </c>
    </row>
    <row r="2139" spans="1:8" ht="25.05" customHeight="1" x14ac:dyDescent="0.25">
      <c r="A2139" s="2" t="s">
        <v>8</v>
      </c>
      <c r="B2139" s="2" t="str">
        <f>HYPERLINK("http://ts.21cn.com/tousu/show/id/1332704","714高炮")</f>
        <v>714高炮</v>
      </c>
      <c r="C2139" s="2" t="s">
        <v>9</v>
      </c>
      <c r="D2139" s="2" t="s">
        <v>10</v>
      </c>
      <c r="E2139" s="2" t="str">
        <f>HYPERLINK("http://ts.21cn.com/tousu/show/id/1332704","http://ts.21cn.com/tousu/show/id/1332704")</f>
        <v>http://ts.21cn.com/tousu/show/id/1332704</v>
      </c>
      <c r="F2139" s="2" t="s">
        <v>11</v>
      </c>
      <c r="G2139" s="2" t="s">
        <v>39931</v>
      </c>
      <c r="H2139" s="2" t="s">
        <v>39933</v>
      </c>
    </row>
    <row r="2140" spans="1:8" ht="25.05" customHeight="1" x14ac:dyDescent="0.25">
      <c r="A2140" s="2" t="s">
        <v>8</v>
      </c>
      <c r="B2140" s="2" t="str">
        <f>HYPERLINK("http://ts.21cn.com/tousu/show/id/1332703","要求退差价")</f>
        <v>要求退差价</v>
      </c>
      <c r="C2140" s="2" t="s">
        <v>34</v>
      </c>
      <c r="D2140" s="2" t="s">
        <v>10</v>
      </c>
      <c r="E2140" s="2" t="str">
        <f>HYPERLINK("http://ts.21cn.com/tousu/show/id/1332703","http://ts.21cn.com/tousu/show/id/1332703")</f>
        <v>http://ts.21cn.com/tousu/show/id/1332703</v>
      </c>
      <c r="F2140" s="2" t="s">
        <v>11</v>
      </c>
      <c r="G2140" s="2" t="s">
        <v>39929</v>
      </c>
      <c r="H2140" s="2" t="s">
        <v>39930</v>
      </c>
    </row>
    <row r="2141" spans="1:8" ht="25.05" customHeight="1" x14ac:dyDescent="0.25">
      <c r="A2141" s="2" t="s">
        <v>8</v>
      </c>
      <c r="B2141" s="2" t="str">
        <f>HYPERLINK("http://ts.21cn.com/tousu/show/id/1332706","玖富万卡高利贷，阴阳合同")</f>
        <v>玖富万卡高利贷，阴阳合同</v>
      </c>
      <c r="C2141" s="2" t="s">
        <v>9</v>
      </c>
      <c r="D2141" s="2" t="s">
        <v>10</v>
      </c>
      <c r="E2141" s="2" t="str">
        <f>HYPERLINK("http://ts.21cn.com/tousu/show/id/1332706","http://ts.21cn.com/tousu/show/id/1332706")</f>
        <v>http://ts.21cn.com/tousu/show/id/1332706</v>
      </c>
      <c r="F2141" s="2" t="s">
        <v>11</v>
      </c>
      <c r="G2141" s="2" t="s">
        <v>39927</v>
      </c>
      <c r="H2141" s="2" t="s">
        <v>39928</v>
      </c>
    </row>
    <row r="2142" spans="1:8" ht="25.05" customHeight="1" x14ac:dyDescent="0.25">
      <c r="A2142" s="2" t="s">
        <v>8</v>
      </c>
      <c r="B2142" s="2" t="str">
        <f>HYPERLINK("http://ts.21cn.com/tousu/show/id/1332707","闪电借款")</f>
        <v>闪电借款</v>
      </c>
      <c r="C2142" s="2" t="s">
        <v>9</v>
      </c>
      <c r="D2142" s="2" t="s">
        <v>10</v>
      </c>
      <c r="E2142" s="2" t="str">
        <f>HYPERLINK("http://ts.21cn.com/tousu/show/id/1332707","http://ts.21cn.com/tousu/show/id/1332707")</f>
        <v>http://ts.21cn.com/tousu/show/id/1332707</v>
      </c>
      <c r="F2142" s="2" t="s">
        <v>11</v>
      </c>
      <c r="G2142" s="2" t="s">
        <v>39925</v>
      </c>
      <c r="H2142" s="2" t="s">
        <v>39926</v>
      </c>
    </row>
    <row r="2143" spans="1:8" ht="25.05" customHeight="1" x14ac:dyDescent="0.25">
      <c r="A2143" s="2" t="s">
        <v>8</v>
      </c>
      <c r="B2143" s="2" t="str">
        <f>HYPERLINK("http://ts.21cn.com/tousu/show/id/1332708","钱站爱钱进阴阳合同")</f>
        <v>钱站爱钱进阴阳合同</v>
      </c>
      <c r="C2143" s="2" t="s">
        <v>9</v>
      </c>
      <c r="D2143" s="2" t="s">
        <v>10</v>
      </c>
      <c r="E2143" s="2" t="str">
        <f>HYPERLINK("http://ts.21cn.com/tousu/show/id/1332708","http://ts.21cn.com/tousu/show/id/1332708")</f>
        <v>http://ts.21cn.com/tousu/show/id/1332708</v>
      </c>
      <c r="F2143" s="2" t="s">
        <v>11</v>
      </c>
      <c r="G2143" s="2" t="s">
        <v>39923</v>
      </c>
      <c r="H2143" s="2" t="s">
        <v>39924</v>
      </c>
    </row>
    <row r="2144" spans="1:8" ht="25.05" customHeight="1" x14ac:dyDescent="0.25">
      <c r="A2144" s="2" t="s">
        <v>8</v>
      </c>
      <c r="B2144" s="2" t="str">
        <f>HYPERLINK("http://ts.21cn.com/tousu/show/id/1332709","高利贷，骚扰")</f>
        <v>高利贷，骚扰</v>
      </c>
      <c r="C2144" s="2" t="s">
        <v>9</v>
      </c>
      <c r="D2144" s="2" t="s">
        <v>10</v>
      </c>
      <c r="E2144" s="2" t="str">
        <f>HYPERLINK("http://ts.21cn.com/tousu/show/id/1332709","http://ts.21cn.com/tousu/show/id/1332709")</f>
        <v>http://ts.21cn.com/tousu/show/id/1332709</v>
      </c>
      <c r="F2144" s="2" t="s">
        <v>11</v>
      </c>
      <c r="G2144" s="2" t="s">
        <v>39921</v>
      </c>
      <c r="H2144" s="2" t="s">
        <v>39922</v>
      </c>
    </row>
    <row r="2145" spans="1:8" ht="25.05" customHeight="1" x14ac:dyDescent="0.25">
      <c r="A2145" s="2" t="s">
        <v>8</v>
      </c>
      <c r="B2145" s="2" t="str">
        <f>HYPERLINK("http://ts.21cn.com/tousu/show/id/1332711","投诉兴业银行")</f>
        <v>投诉兴业银行</v>
      </c>
      <c r="C2145" s="2" t="s">
        <v>9</v>
      </c>
      <c r="D2145" s="2" t="s">
        <v>10</v>
      </c>
      <c r="E2145" s="2" t="str">
        <f>HYPERLINK("http://ts.21cn.com/tousu/show/id/1332711","http://ts.21cn.com/tousu/show/id/1332711")</f>
        <v>http://ts.21cn.com/tousu/show/id/1332711</v>
      </c>
      <c r="F2145" s="2" t="s">
        <v>11</v>
      </c>
      <c r="G2145" s="2" t="s">
        <v>39919</v>
      </c>
      <c r="H2145" s="2" t="s">
        <v>39920</v>
      </c>
    </row>
    <row r="2146" spans="1:8" ht="25.05" customHeight="1" x14ac:dyDescent="0.25">
      <c r="A2146" s="2" t="s">
        <v>8</v>
      </c>
      <c r="B2146" s="2" t="str">
        <f>HYPERLINK("http://ts.21cn.com/tousu/show/id/1332712","高利贷变相高利息")</f>
        <v>高利贷变相高利息</v>
      </c>
      <c r="C2146" s="2" t="s">
        <v>9</v>
      </c>
      <c r="D2146" s="2" t="s">
        <v>10</v>
      </c>
      <c r="E2146" s="2" t="str">
        <f>HYPERLINK("http://ts.21cn.com/tousu/show/id/1332712","http://ts.21cn.com/tousu/show/id/1332712")</f>
        <v>http://ts.21cn.com/tousu/show/id/1332712</v>
      </c>
      <c r="F2146" s="2" t="s">
        <v>11</v>
      </c>
      <c r="G2146" s="2" t="s">
        <v>39917</v>
      </c>
      <c r="H2146" s="2" t="s">
        <v>39918</v>
      </c>
    </row>
    <row r="2147" spans="1:8" ht="25.05" customHeight="1" x14ac:dyDescent="0.25">
      <c r="A2147" s="2" t="s">
        <v>8</v>
      </c>
      <c r="B2147" s="2" t="str">
        <f>HYPERLINK("http://ts.21cn.com/tousu/show/id/1332697","助八借没有经过本人同意，乱扣费")</f>
        <v>助八借没有经过本人同意，乱扣费</v>
      </c>
      <c r="C2147" s="2" t="s">
        <v>9</v>
      </c>
      <c r="D2147" s="2" t="s">
        <v>10</v>
      </c>
      <c r="E2147" s="2" t="str">
        <f>HYPERLINK("http://ts.21cn.com/tousu/show/id/1332697","http://ts.21cn.com/tousu/show/id/1332697")</f>
        <v>http://ts.21cn.com/tousu/show/id/1332697</v>
      </c>
      <c r="F2147" s="2" t="s">
        <v>11</v>
      </c>
      <c r="G2147" s="2" t="s">
        <v>39915</v>
      </c>
      <c r="H2147" s="2" t="s">
        <v>39916</v>
      </c>
    </row>
    <row r="2148" spans="1:8" ht="25.05" customHeight="1" x14ac:dyDescent="0.25">
      <c r="A2148" s="2" t="s">
        <v>8</v>
      </c>
      <c r="B2148" s="2" t="str">
        <f>HYPERLINK("http://ts.21cn.com/tousu/show/id/1332713","现金巴士砍头息")</f>
        <v>现金巴士砍头息</v>
      </c>
      <c r="C2148" s="2" t="s">
        <v>34</v>
      </c>
      <c r="D2148" s="2" t="s">
        <v>10</v>
      </c>
      <c r="E2148" s="2" t="str">
        <f>HYPERLINK("http://ts.21cn.com/tousu/show/id/1332713","http://ts.21cn.com/tousu/show/id/1332713")</f>
        <v>http://ts.21cn.com/tousu/show/id/1332713</v>
      </c>
      <c r="F2148" s="2" t="s">
        <v>11</v>
      </c>
      <c r="G2148" s="2" t="s">
        <v>39913</v>
      </c>
      <c r="H2148" s="2" t="s">
        <v>39914</v>
      </c>
    </row>
    <row r="2149" spans="1:8" ht="25.05" customHeight="1" x14ac:dyDescent="0.25">
      <c r="A2149" s="2" t="s">
        <v>8</v>
      </c>
      <c r="B2149" s="2" t="str">
        <f>HYPERLINK("http://ts.21cn.com/tousu/show/id/1332714","钱站砍头息")</f>
        <v>钱站砍头息</v>
      </c>
      <c r="C2149" s="2" t="s">
        <v>34</v>
      </c>
      <c r="D2149" s="2" t="s">
        <v>10</v>
      </c>
      <c r="E2149" s="2" t="str">
        <f>HYPERLINK("http://ts.21cn.com/tousu/show/id/1332714","http://ts.21cn.com/tousu/show/id/1332714")</f>
        <v>http://ts.21cn.com/tousu/show/id/1332714</v>
      </c>
      <c r="F2149" s="2" t="s">
        <v>11</v>
      </c>
      <c r="G2149" s="2" t="s">
        <v>39911</v>
      </c>
      <c r="H2149" s="2" t="s">
        <v>39912</v>
      </c>
    </row>
    <row r="2150" spans="1:8" ht="25.05" customHeight="1" x14ac:dyDescent="0.25">
      <c r="A2150" s="2" t="s">
        <v>8</v>
      </c>
      <c r="B2150" s="2" t="str">
        <f>HYPERLINK("http://ts.21cn.com/tousu/show/id/1332715","闪银高利贷")</f>
        <v>闪银高利贷</v>
      </c>
      <c r="C2150" s="2" t="s">
        <v>9</v>
      </c>
      <c r="D2150" s="2" t="s">
        <v>10</v>
      </c>
      <c r="E2150" s="2" t="str">
        <f>HYPERLINK("http://ts.21cn.com/tousu/show/id/1332715","http://ts.21cn.com/tousu/show/id/1332715")</f>
        <v>http://ts.21cn.com/tousu/show/id/1332715</v>
      </c>
      <c r="F2150" s="2" t="s">
        <v>11</v>
      </c>
      <c r="G2150" s="2" t="s">
        <v>39909</v>
      </c>
      <c r="H2150" s="2" t="s">
        <v>39910</v>
      </c>
    </row>
    <row r="2151" spans="1:8" ht="25.05" customHeight="1" x14ac:dyDescent="0.25">
      <c r="A2151" s="2" t="s">
        <v>8</v>
      </c>
      <c r="B2151" s="2" t="str">
        <f>HYPERLINK("http://ts.21cn.com/tousu/show/id/1332683","投诉我我贷砍头息")</f>
        <v>投诉我我贷砍头息</v>
      </c>
      <c r="C2151" s="2" t="s">
        <v>9</v>
      </c>
      <c r="D2151" s="2" t="s">
        <v>10</v>
      </c>
      <c r="E2151" s="2" t="str">
        <f>HYPERLINK("http://ts.21cn.com/tousu/show/id/1332683","http://ts.21cn.com/tousu/show/id/1332683")</f>
        <v>http://ts.21cn.com/tousu/show/id/1332683</v>
      </c>
      <c r="F2151" s="2" t="s">
        <v>11</v>
      </c>
      <c r="G2151" s="2" t="s">
        <v>39907</v>
      </c>
      <c r="H2151" s="2" t="s">
        <v>39908</v>
      </c>
    </row>
    <row r="2152" spans="1:8" ht="25.05" customHeight="1" x14ac:dyDescent="0.25">
      <c r="A2152" s="2" t="s">
        <v>8</v>
      </c>
      <c r="B2152" s="2" t="str">
        <f>HYPERLINK("http://ts.21cn.com/tousu/show/id/1332716","百事普惠恶意扣款")</f>
        <v>百事普惠恶意扣款</v>
      </c>
      <c r="C2152" s="2" t="s">
        <v>9</v>
      </c>
      <c r="D2152" s="2" t="s">
        <v>10</v>
      </c>
      <c r="E2152" s="2" t="str">
        <f>HYPERLINK("http://ts.21cn.com/tousu/show/id/1332716","http://ts.21cn.com/tousu/show/id/1332716")</f>
        <v>http://ts.21cn.com/tousu/show/id/1332716</v>
      </c>
      <c r="F2152" s="2" t="s">
        <v>11</v>
      </c>
      <c r="G2152" s="2" t="s">
        <v>39905</v>
      </c>
      <c r="H2152" s="2" t="s">
        <v>39906</v>
      </c>
    </row>
    <row r="2153" spans="1:8" ht="25.05" customHeight="1" x14ac:dyDescent="0.25">
      <c r="A2153" s="2" t="s">
        <v>8</v>
      </c>
      <c r="B2153" s="2" t="str">
        <f>HYPERLINK("http://ts.21cn.com/tousu/show/id/1332717","黑网贷助八借")</f>
        <v>黑网贷助八借</v>
      </c>
      <c r="C2153" s="2" t="s">
        <v>9</v>
      </c>
      <c r="D2153" s="2" t="s">
        <v>10</v>
      </c>
      <c r="E2153" s="2" t="str">
        <f>HYPERLINK("http://ts.21cn.com/tousu/show/id/1332717","http://ts.21cn.com/tousu/show/id/1332717")</f>
        <v>http://ts.21cn.com/tousu/show/id/1332717</v>
      </c>
      <c r="F2153" s="2" t="s">
        <v>11</v>
      </c>
      <c r="G2153" s="2" t="s">
        <v>39903</v>
      </c>
      <c r="H2153" s="2" t="s">
        <v>39904</v>
      </c>
    </row>
    <row r="2154" spans="1:8" ht="25.05" customHeight="1" x14ac:dyDescent="0.25">
      <c r="A2154" s="2" t="s">
        <v>8</v>
      </c>
      <c r="B2154" s="2" t="str">
        <f>HYPERLINK("http://ts.21cn.com/tousu/show/id/1332723","暴力催收，威胁")</f>
        <v>暴力催收，威胁</v>
      </c>
      <c r="C2154" s="2" t="s">
        <v>9</v>
      </c>
      <c r="D2154" s="2" t="s">
        <v>10</v>
      </c>
      <c r="E2154" s="2" t="str">
        <f>HYPERLINK("http://ts.21cn.com/tousu/show/id/1332723","http://ts.21cn.com/tousu/show/id/1332723")</f>
        <v>http://ts.21cn.com/tousu/show/id/1332723</v>
      </c>
      <c r="F2154" s="2" t="s">
        <v>11</v>
      </c>
      <c r="G2154" s="2" t="s">
        <v>39901</v>
      </c>
      <c r="H2154" s="2" t="s">
        <v>39902</v>
      </c>
    </row>
    <row r="2155" spans="1:8" ht="25.05" customHeight="1" x14ac:dyDescent="0.25">
      <c r="A2155" s="2" t="s">
        <v>8</v>
      </c>
      <c r="B2155" s="2" t="str">
        <f>HYPERLINK("http://ts.21cn.com/tousu/show/id/1332718","快钱支支付富友支付狼狈为奸高利贷")</f>
        <v>快钱支支付富友支付狼狈为奸高利贷</v>
      </c>
      <c r="C2155" s="2" t="s">
        <v>9</v>
      </c>
      <c r="D2155" s="2" t="s">
        <v>10</v>
      </c>
      <c r="E2155" s="2" t="str">
        <f>HYPERLINK("http://ts.21cn.com/tousu/show/id/1332718","http://ts.21cn.com/tousu/show/id/1332718")</f>
        <v>http://ts.21cn.com/tousu/show/id/1332718</v>
      </c>
      <c r="F2155" s="2" t="s">
        <v>11</v>
      </c>
      <c r="G2155" s="2" t="s">
        <v>39899</v>
      </c>
      <c r="H2155" s="2" t="s">
        <v>39900</v>
      </c>
    </row>
    <row r="2156" spans="1:8" ht="25.05" customHeight="1" x14ac:dyDescent="0.25">
      <c r="A2156" s="2" t="s">
        <v>8</v>
      </c>
      <c r="B2156" s="2" t="str">
        <f>HYPERLINK("http://ts.21cn.com/tousu/show/id/1332720","去哪儿网订的酒店不能退")</f>
        <v>去哪儿网订的酒店不能退</v>
      </c>
      <c r="C2156" s="2" t="s">
        <v>9</v>
      </c>
      <c r="D2156" s="2" t="s">
        <v>10</v>
      </c>
      <c r="E2156" s="2" t="str">
        <f>HYPERLINK("http://ts.21cn.com/tousu/show/id/1332720","http://ts.21cn.com/tousu/show/id/1332720")</f>
        <v>http://ts.21cn.com/tousu/show/id/1332720</v>
      </c>
      <c r="F2156" s="2" t="s">
        <v>11</v>
      </c>
      <c r="G2156" s="2" t="s">
        <v>39897</v>
      </c>
      <c r="H2156" s="2" t="s">
        <v>39898</v>
      </c>
    </row>
    <row r="2157" spans="1:8" ht="25.05" customHeight="1" x14ac:dyDescent="0.25">
      <c r="A2157" s="2" t="s">
        <v>8</v>
      </c>
      <c r="B2157" s="2" t="str">
        <f>HYPERLINK("http://ts.21cn.com/tousu/show/id/1332722","退押金并做出合理解释")</f>
        <v>退押金并做出合理解释</v>
      </c>
      <c r="C2157" s="2" t="s">
        <v>9</v>
      </c>
      <c r="D2157" s="2" t="s">
        <v>10</v>
      </c>
      <c r="E2157" s="2" t="str">
        <f>HYPERLINK("http://ts.21cn.com/tousu/show/id/1332722","http://ts.21cn.com/tousu/show/id/1332722")</f>
        <v>http://ts.21cn.com/tousu/show/id/1332722</v>
      </c>
      <c r="F2157" s="2" t="s">
        <v>11</v>
      </c>
      <c r="G2157" s="2" t="s">
        <v>39895</v>
      </c>
      <c r="H2157" s="2" t="s">
        <v>39896</v>
      </c>
    </row>
    <row r="2158" spans="1:8" ht="25.05" customHeight="1" x14ac:dyDescent="0.25">
      <c r="A2158" s="2" t="s">
        <v>8</v>
      </c>
      <c r="B2158" s="2" t="str">
        <f>HYPERLINK("http://ts.21cn.com/tousu/show/id/1332725","在银行办理车贷，后续保险自己缴纳，银行让交违约金")</f>
        <v>在银行办理车贷，后续保险自己缴纳，银行让交违约金</v>
      </c>
      <c r="C2158" s="2" t="s">
        <v>9</v>
      </c>
      <c r="D2158" s="2" t="s">
        <v>10</v>
      </c>
      <c r="E2158" s="2" t="str">
        <f>HYPERLINK("http://ts.21cn.com/tousu/show/id/1332725","http://ts.21cn.com/tousu/show/id/1332725")</f>
        <v>http://ts.21cn.com/tousu/show/id/1332725</v>
      </c>
      <c r="F2158" s="2" t="s">
        <v>11</v>
      </c>
      <c r="G2158" s="2" t="s">
        <v>39893</v>
      </c>
      <c r="H2158" s="2" t="s">
        <v>39894</v>
      </c>
    </row>
    <row r="2159" spans="1:8" ht="25.05" customHeight="1" x14ac:dyDescent="0.25">
      <c r="A2159" s="2" t="s">
        <v>8</v>
      </c>
      <c r="B2159" s="2" t="str">
        <f>HYPERLINK("http://ts.21cn.com/tousu/show/id/1332726","玖富撮合新浪普惠收取高额服务费")</f>
        <v>玖富撮合新浪普惠收取高额服务费</v>
      </c>
      <c r="C2159" s="2" t="s">
        <v>34</v>
      </c>
      <c r="D2159" s="2" t="s">
        <v>10</v>
      </c>
      <c r="E2159" s="2" t="str">
        <f>HYPERLINK("http://ts.21cn.com/tousu/show/id/1332726","http://ts.21cn.com/tousu/show/id/1332726")</f>
        <v>http://ts.21cn.com/tousu/show/id/1332726</v>
      </c>
      <c r="F2159" s="2" t="s">
        <v>11</v>
      </c>
      <c r="G2159" s="2" t="s">
        <v>39891</v>
      </c>
      <c r="H2159" s="2" t="s">
        <v>39892</v>
      </c>
    </row>
    <row r="2160" spans="1:8" ht="25.05" customHeight="1" x14ac:dyDescent="0.25">
      <c r="A2160" s="2" t="s">
        <v>8</v>
      </c>
      <c r="B2160" s="2" t="str">
        <f>HYPERLINK("http://ts.21cn.com/tousu/show/id/1332727","捷信金融公司骚扰电话")</f>
        <v>捷信金融公司骚扰电话</v>
      </c>
      <c r="C2160" s="2" t="s">
        <v>9</v>
      </c>
      <c r="D2160" s="2" t="s">
        <v>10</v>
      </c>
      <c r="E2160" s="2" t="str">
        <f>HYPERLINK("http://ts.21cn.com/tousu/show/id/1332727","http://ts.21cn.com/tousu/show/id/1332727")</f>
        <v>http://ts.21cn.com/tousu/show/id/1332727</v>
      </c>
      <c r="F2160" s="2" t="s">
        <v>11</v>
      </c>
      <c r="G2160" s="2" t="s">
        <v>39889</v>
      </c>
      <c r="H2160" s="2" t="s">
        <v>39890</v>
      </c>
    </row>
    <row r="2161" spans="1:8" ht="25.05" customHeight="1" x14ac:dyDescent="0.25">
      <c r="A2161" s="2" t="s">
        <v>8</v>
      </c>
      <c r="B2161" s="2" t="str">
        <f>HYPERLINK("http://ts.21cn.com/tousu/show/id/1332728","同程提钱游强制买劵")</f>
        <v>同程提钱游强制买劵</v>
      </c>
      <c r="C2161" s="2" t="s">
        <v>9</v>
      </c>
      <c r="D2161" s="2" t="s">
        <v>10</v>
      </c>
      <c r="E2161" s="2" t="str">
        <f>HYPERLINK("http://ts.21cn.com/tousu/show/id/1332728","http://ts.21cn.com/tousu/show/id/1332728")</f>
        <v>http://ts.21cn.com/tousu/show/id/1332728</v>
      </c>
      <c r="F2161" s="2" t="s">
        <v>11</v>
      </c>
      <c r="G2161" s="2" t="s">
        <v>39887</v>
      </c>
      <c r="H2161" s="2" t="s">
        <v>39888</v>
      </c>
    </row>
    <row r="2162" spans="1:8" ht="25.05" customHeight="1" x14ac:dyDescent="0.25">
      <c r="A2162" s="2" t="s">
        <v>8</v>
      </c>
      <c r="B2162" s="2" t="str">
        <f>HYPERLINK("http://ts.21cn.com/tousu/show/id/1332729","押金不退")</f>
        <v>押金不退</v>
      </c>
      <c r="C2162" s="2" t="s">
        <v>9</v>
      </c>
      <c r="D2162" s="2" t="s">
        <v>10</v>
      </c>
      <c r="E2162" s="2" t="str">
        <f>HYPERLINK("http://ts.21cn.com/tousu/show/id/1332729","http://ts.21cn.com/tousu/show/id/1332729")</f>
        <v>http://ts.21cn.com/tousu/show/id/1332729</v>
      </c>
      <c r="F2162" s="2" t="s">
        <v>11</v>
      </c>
      <c r="G2162" s="2" t="s">
        <v>39885</v>
      </c>
      <c r="H2162" s="2" t="s">
        <v>39886</v>
      </c>
    </row>
    <row r="2163" spans="1:8" ht="25.05" customHeight="1" x14ac:dyDescent="0.25">
      <c r="A2163" s="2" t="s">
        <v>8</v>
      </c>
      <c r="B2163" s="2" t="str">
        <f>HYPERLINK("http://ts.21cn.com/tousu/show/id/1332730","月光侠分期超49.6%高利贷")</f>
        <v>月光侠分期超49.6%高利贷</v>
      </c>
      <c r="C2163" s="2" t="s">
        <v>9</v>
      </c>
      <c r="D2163" s="2" t="s">
        <v>10</v>
      </c>
      <c r="E2163" s="2" t="str">
        <f>HYPERLINK("http://ts.21cn.com/tousu/show/id/1332730","http://ts.21cn.com/tousu/show/id/1332730")</f>
        <v>http://ts.21cn.com/tousu/show/id/1332730</v>
      </c>
      <c r="F2163" s="2" t="s">
        <v>11</v>
      </c>
      <c r="G2163" s="2" t="s">
        <v>39883</v>
      </c>
      <c r="H2163" s="2" t="s">
        <v>39884</v>
      </c>
    </row>
    <row r="2164" spans="1:8" ht="25.05" customHeight="1" x14ac:dyDescent="0.25">
      <c r="A2164" s="2" t="s">
        <v>8</v>
      </c>
      <c r="B2164" s="2" t="str">
        <f>HYPERLINK("http://ts.21cn.com/tousu/show/id/1332724","天天领现金活动误检测")</f>
        <v>天天领现金活动误检测</v>
      </c>
      <c r="C2164" s="2" t="s">
        <v>34</v>
      </c>
      <c r="D2164" s="2" t="s">
        <v>10</v>
      </c>
      <c r="E2164" s="2" t="str">
        <f>HYPERLINK("http://ts.21cn.com/tousu/show/id/1332724","http://ts.21cn.com/tousu/show/id/1332724")</f>
        <v>http://ts.21cn.com/tousu/show/id/1332724</v>
      </c>
      <c r="F2164" s="2" t="s">
        <v>11</v>
      </c>
      <c r="G2164" s="2" t="s">
        <v>39881</v>
      </c>
      <c r="H2164" s="2" t="s">
        <v>39882</v>
      </c>
    </row>
    <row r="2165" spans="1:8" ht="25.05" customHeight="1" x14ac:dyDescent="0.25">
      <c r="A2165" s="2" t="s">
        <v>8</v>
      </c>
      <c r="B2165" s="2" t="str">
        <f>HYPERLINK("http://ts.21cn.com/tousu/show/id/1332696","投诉闪电狗高利贷，砍头息")</f>
        <v>投诉闪电狗高利贷，砍头息</v>
      </c>
      <c r="C2165" s="2" t="s">
        <v>9</v>
      </c>
      <c r="D2165" s="2" t="s">
        <v>10</v>
      </c>
      <c r="E2165" s="2" t="str">
        <f>HYPERLINK("http://ts.21cn.com/tousu/show/id/1332696","http://ts.21cn.com/tousu/show/id/1332696")</f>
        <v>http://ts.21cn.com/tousu/show/id/1332696</v>
      </c>
      <c r="F2165" s="2" t="s">
        <v>11</v>
      </c>
      <c r="G2165" s="2" t="s">
        <v>39879</v>
      </c>
      <c r="H2165" s="2" t="s">
        <v>39880</v>
      </c>
    </row>
    <row r="2166" spans="1:8" ht="25.05" customHeight="1" x14ac:dyDescent="0.25">
      <c r="A2166" s="2" t="s">
        <v>8</v>
      </c>
      <c r="B2166" s="2" t="str">
        <f>HYPERLINK("http://ts.21cn.com/tousu/show/id/1332731","现金借款暴力催收")</f>
        <v>现金借款暴力催收</v>
      </c>
      <c r="C2166" s="2" t="s">
        <v>9</v>
      </c>
      <c r="D2166" s="2" t="s">
        <v>10</v>
      </c>
      <c r="E2166" s="2" t="str">
        <f>HYPERLINK("http://ts.21cn.com/tousu/show/id/1332731","http://ts.21cn.com/tousu/show/id/1332731")</f>
        <v>http://ts.21cn.com/tousu/show/id/1332731</v>
      </c>
      <c r="F2166" s="2" t="s">
        <v>11</v>
      </c>
      <c r="G2166" s="2" t="s">
        <v>39877</v>
      </c>
      <c r="H2166" s="2" t="s">
        <v>39878</v>
      </c>
    </row>
    <row r="2167" spans="1:8" ht="25.05" customHeight="1" x14ac:dyDescent="0.25">
      <c r="A2167" s="2" t="s">
        <v>8</v>
      </c>
      <c r="B2167" s="2" t="str">
        <f>HYPERLINK("http://ts.21cn.com/tousu/show/id/1332732","聚福钱包未经许可私自扣款")</f>
        <v>聚福钱包未经许可私自扣款</v>
      </c>
      <c r="C2167" s="2" t="s">
        <v>9</v>
      </c>
      <c r="D2167" s="2" t="s">
        <v>10</v>
      </c>
      <c r="E2167" s="2" t="str">
        <f>HYPERLINK("http://ts.21cn.com/tousu/show/id/1332732","http://ts.21cn.com/tousu/show/id/1332732")</f>
        <v>http://ts.21cn.com/tousu/show/id/1332732</v>
      </c>
      <c r="F2167" s="2" t="s">
        <v>11</v>
      </c>
      <c r="G2167" s="2" t="s">
        <v>39875</v>
      </c>
      <c r="H2167" s="2" t="s">
        <v>39876</v>
      </c>
    </row>
    <row r="2168" spans="1:8" ht="25.05" customHeight="1" x14ac:dyDescent="0.25">
      <c r="A2168" s="2" t="s">
        <v>8</v>
      </c>
      <c r="B2168" s="2" t="str">
        <f>HYPERLINK("http://ts.21cn.com/tousu/show/id/1332734","上海造艺网络科技有限公司无故扣款")</f>
        <v>上海造艺网络科技有限公司无故扣款</v>
      </c>
      <c r="C2168" s="2" t="s">
        <v>9</v>
      </c>
      <c r="D2168" s="2" t="s">
        <v>10</v>
      </c>
      <c r="E2168" s="2" t="str">
        <f>HYPERLINK("http://ts.21cn.com/tousu/show/id/1332734","http://ts.21cn.com/tousu/show/id/1332734")</f>
        <v>http://ts.21cn.com/tousu/show/id/1332734</v>
      </c>
      <c r="F2168" s="2" t="s">
        <v>11</v>
      </c>
      <c r="G2168" s="2" t="s">
        <v>39873</v>
      </c>
      <c r="H2168" s="2" t="s">
        <v>39874</v>
      </c>
    </row>
    <row r="2169" spans="1:8" ht="25.05" customHeight="1" x14ac:dyDescent="0.25">
      <c r="A2169" s="2" t="s">
        <v>8</v>
      </c>
      <c r="B2169" s="2" t="str">
        <f>HYPERLINK("http://ts.21cn.com/tousu/show/id/1332733","信而富虚拟卡变相砍头息")</f>
        <v>信而富虚拟卡变相砍头息</v>
      </c>
      <c r="C2169" s="2" t="s">
        <v>9</v>
      </c>
      <c r="D2169" s="2" t="s">
        <v>10</v>
      </c>
      <c r="E2169" s="2" t="str">
        <f>HYPERLINK("http://ts.21cn.com/tousu/show/id/1332733","http://ts.21cn.com/tousu/show/id/1332733")</f>
        <v>http://ts.21cn.com/tousu/show/id/1332733</v>
      </c>
      <c r="F2169" s="2" t="s">
        <v>11</v>
      </c>
      <c r="G2169" s="2" t="s">
        <v>39871</v>
      </c>
      <c r="H2169" s="2" t="s">
        <v>39872</v>
      </c>
    </row>
    <row r="2170" spans="1:8" ht="25.05" customHeight="1" x14ac:dyDescent="0.25">
      <c r="A2170" s="2" t="s">
        <v>8</v>
      </c>
      <c r="B2170" s="2" t="str">
        <f>HYPERLINK("http://ts.21cn.com/tousu/show/id/1332710","赚赚科技开通vip")</f>
        <v>赚赚科技开通vip</v>
      </c>
      <c r="C2170" s="2" t="s">
        <v>9</v>
      </c>
      <c r="D2170" s="2" t="s">
        <v>10</v>
      </c>
      <c r="E2170" s="2" t="str">
        <f>HYPERLINK("http://ts.21cn.com/tousu/show/id/1332710","http://ts.21cn.com/tousu/show/id/1332710")</f>
        <v>http://ts.21cn.com/tousu/show/id/1332710</v>
      </c>
      <c r="F2170" s="2" t="s">
        <v>11</v>
      </c>
      <c r="G2170" s="2" t="s">
        <v>39868</v>
      </c>
      <c r="H2170" s="2" t="s">
        <v>39869</v>
      </c>
    </row>
    <row r="2171" spans="1:8" ht="25.05" customHeight="1" x14ac:dyDescent="0.25">
      <c r="A2171" s="2" t="s">
        <v>8</v>
      </c>
      <c r="B2171" s="2" t="str">
        <f>HYPERLINK("http://ts.21cn.com/tousu/show/id/1332719","深圳新世界教育罗湖校区钱付清后无售后！要求退款！")</f>
        <v>深圳新世界教育罗湖校区钱付清后无售后！要求退款！</v>
      </c>
      <c r="C2171" s="2" t="s">
        <v>9</v>
      </c>
      <c r="D2171" s="2" t="s">
        <v>10</v>
      </c>
      <c r="E2171" s="2" t="str">
        <f>HYPERLINK("http://ts.21cn.com/tousu/show/id/1332719","http://ts.21cn.com/tousu/show/id/1332719")</f>
        <v>http://ts.21cn.com/tousu/show/id/1332719</v>
      </c>
      <c r="F2171" s="2" t="s">
        <v>11</v>
      </c>
      <c r="G2171" s="2" t="s">
        <v>39868</v>
      </c>
      <c r="H2171" s="2" t="s">
        <v>39870</v>
      </c>
    </row>
    <row r="2172" spans="1:8" ht="25.05" customHeight="1" x14ac:dyDescent="0.25">
      <c r="A2172" s="2" t="s">
        <v>8</v>
      </c>
      <c r="B2172" s="2" t="str">
        <f>HYPERLINK("http://ts.21cn.com/tousu/show/id/1332735","北京乐融多源信息技术有限公司网贷平台及贷")</f>
        <v>北京乐融多源信息技术有限公司网贷平台及贷</v>
      </c>
      <c r="C2172" s="2" t="s">
        <v>9</v>
      </c>
      <c r="D2172" s="2" t="s">
        <v>10</v>
      </c>
      <c r="E2172" s="2" t="str">
        <f>HYPERLINK("http://ts.21cn.com/tousu/show/id/1332735","http://ts.21cn.com/tousu/show/id/1332735")</f>
        <v>http://ts.21cn.com/tousu/show/id/1332735</v>
      </c>
      <c r="F2172" s="2" t="s">
        <v>11</v>
      </c>
      <c r="G2172" s="2" t="s">
        <v>39867</v>
      </c>
      <c r="H2172" s="2" t="s">
        <v>37148</v>
      </c>
    </row>
    <row r="2173" spans="1:8" ht="25.05" customHeight="1" x14ac:dyDescent="0.25">
      <c r="A2173" s="2" t="s">
        <v>8</v>
      </c>
      <c r="B2173" s="2" t="str">
        <f>HYPERLINK("http://ts.21cn.com/tousu/show/id/1332737","高利贷砍头息")</f>
        <v>高利贷砍头息</v>
      </c>
      <c r="C2173" s="2" t="s">
        <v>9</v>
      </c>
      <c r="D2173" s="2" t="s">
        <v>10</v>
      </c>
      <c r="E2173" s="2" t="str">
        <f>HYPERLINK("http://ts.21cn.com/tousu/show/id/1332737","http://ts.21cn.com/tousu/show/id/1332737")</f>
        <v>http://ts.21cn.com/tousu/show/id/1332737</v>
      </c>
      <c r="F2173" s="2" t="s">
        <v>11</v>
      </c>
      <c r="G2173" s="2" t="s">
        <v>39865</v>
      </c>
      <c r="H2173" s="2" t="s">
        <v>39866</v>
      </c>
    </row>
    <row r="2174" spans="1:8" ht="25.05" customHeight="1" x14ac:dyDescent="0.25">
      <c r="A2174" s="2" t="s">
        <v>8</v>
      </c>
      <c r="B2174" s="2" t="str">
        <f>HYPERLINK("http://ts.21cn.com/tousu/show/id/1332738","闲鱼无良卖家拖延发货，拒不退款，平台无法保证收货人合法权益")</f>
        <v>闲鱼无良卖家拖延发货，拒不退款，平台无法保证收货人合法权益</v>
      </c>
      <c r="C2174" s="2" t="s">
        <v>9</v>
      </c>
      <c r="D2174" s="2" t="s">
        <v>10</v>
      </c>
      <c r="E2174" s="2" t="str">
        <f>HYPERLINK("http://ts.21cn.com/tousu/show/id/1332738","http://ts.21cn.com/tousu/show/id/1332738")</f>
        <v>http://ts.21cn.com/tousu/show/id/1332738</v>
      </c>
      <c r="F2174" s="2" t="s">
        <v>11</v>
      </c>
      <c r="G2174" s="2" t="s">
        <v>39863</v>
      </c>
      <c r="H2174" s="2" t="s">
        <v>39864</v>
      </c>
    </row>
    <row r="2175" spans="1:8" ht="25.05" customHeight="1" x14ac:dyDescent="0.25">
      <c r="A2175" s="2" t="s">
        <v>8</v>
      </c>
      <c r="B2175" s="2" t="str">
        <f>HYPERLINK("http://ts.21cn.com/tousu/show/id/1332739","还款未消账")</f>
        <v>还款未消账</v>
      </c>
      <c r="C2175" s="2" t="s">
        <v>9</v>
      </c>
      <c r="D2175" s="2" t="s">
        <v>10</v>
      </c>
      <c r="E2175" s="2" t="str">
        <f>HYPERLINK("http://ts.21cn.com/tousu/show/id/1332739","http://ts.21cn.com/tousu/show/id/1332739")</f>
        <v>http://ts.21cn.com/tousu/show/id/1332739</v>
      </c>
      <c r="F2175" s="2" t="s">
        <v>11</v>
      </c>
      <c r="G2175" s="2" t="s">
        <v>39861</v>
      </c>
      <c r="H2175" s="2" t="s">
        <v>39862</v>
      </c>
    </row>
    <row r="2176" spans="1:8" ht="25.05" customHeight="1" x14ac:dyDescent="0.25">
      <c r="A2176" s="2" t="s">
        <v>8</v>
      </c>
      <c r="B2176" s="2" t="str">
        <f>HYPERLINK("http://ts.21cn.com/tousu/show/id/1332740","唯品会快递员骂人")</f>
        <v>唯品会快递员骂人</v>
      </c>
      <c r="C2176" s="2" t="s">
        <v>9</v>
      </c>
      <c r="D2176" s="2" t="s">
        <v>10</v>
      </c>
      <c r="E2176" s="2" t="str">
        <f>HYPERLINK("http://ts.21cn.com/tousu/show/id/1332740","http://ts.21cn.com/tousu/show/id/1332740")</f>
        <v>http://ts.21cn.com/tousu/show/id/1332740</v>
      </c>
      <c r="F2176" s="2" t="s">
        <v>11</v>
      </c>
      <c r="G2176" s="2" t="s">
        <v>39859</v>
      </c>
      <c r="H2176" s="2" t="s">
        <v>39860</v>
      </c>
    </row>
    <row r="2177" spans="1:8" ht="25.05" customHeight="1" x14ac:dyDescent="0.25">
      <c r="A2177" s="2" t="s">
        <v>8</v>
      </c>
      <c r="B2177" s="2" t="str">
        <f>HYPERLINK("http://ts.21cn.com/tousu/show/id/1332741","今借到高炮的暴力催收")</f>
        <v>今借到高炮的暴力催收</v>
      </c>
      <c r="C2177" s="2" t="s">
        <v>9</v>
      </c>
      <c r="D2177" s="2" t="s">
        <v>10</v>
      </c>
      <c r="E2177" s="2" t="str">
        <f>HYPERLINK("http://ts.21cn.com/tousu/show/id/1332741","http://ts.21cn.com/tousu/show/id/1332741")</f>
        <v>http://ts.21cn.com/tousu/show/id/1332741</v>
      </c>
      <c r="F2177" s="2" t="s">
        <v>11</v>
      </c>
      <c r="G2177" s="2" t="s">
        <v>39856</v>
      </c>
      <c r="H2177" s="2" t="s">
        <v>39857</v>
      </c>
    </row>
    <row r="2178" spans="1:8" ht="25.05" customHeight="1" x14ac:dyDescent="0.25">
      <c r="A2178" s="2" t="s">
        <v>8</v>
      </c>
      <c r="B2178" s="2" t="str">
        <f>HYPERLINK("http://ts.21cn.com/tousu/show/id/1332742","京东白条暴力催收，随意邮寄催收函件")</f>
        <v>京东白条暴力催收，随意邮寄催收函件</v>
      </c>
      <c r="C2178" s="2" t="s">
        <v>9</v>
      </c>
      <c r="D2178" s="2" t="s">
        <v>10</v>
      </c>
      <c r="E2178" s="2" t="str">
        <f>HYPERLINK("http://ts.21cn.com/tousu/show/id/1332742","http://ts.21cn.com/tousu/show/id/1332742")</f>
        <v>http://ts.21cn.com/tousu/show/id/1332742</v>
      </c>
      <c r="F2178" s="2" t="s">
        <v>11</v>
      </c>
      <c r="G2178" s="2" t="s">
        <v>39856</v>
      </c>
      <c r="H2178" s="2" t="s">
        <v>39858</v>
      </c>
    </row>
    <row r="2179" spans="1:8" ht="25.05" customHeight="1" x14ac:dyDescent="0.25">
      <c r="A2179" s="2" t="s">
        <v>8</v>
      </c>
      <c r="B2179" s="2" t="str">
        <f>HYPERLINK("http://ts.21cn.com/tousu/show/id/1332743","水莲金条恶意催收高利贷")</f>
        <v>水莲金条恶意催收高利贷</v>
      </c>
      <c r="C2179" s="2" t="s">
        <v>9</v>
      </c>
      <c r="D2179" s="2" t="s">
        <v>10</v>
      </c>
      <c r="E2179" s="2" t="str">
        <f>HYPERLINK("http://ts.21cn.com/tousu/show/id/1332743","http://ts.21cn.com/tousu/show/id/1332743")</f>
        <v>http://ts.21cn.com/tousu/show/id/1332743</v>
      </c>
      <c r="F2179" s="2" t="s">
        <v>11</v>
      </c>
      <c r="G2179" s="2" t="s">
        <v>39854</v>
      </c>
      <c r="H2179" s="2" t="s">
        <v>39855</v>
      </c>
    </row>
    <row r="2180" spans="1:8" ht="25.05" customHeight="1" x14ac:dyDescent="0.25">
      <c r="A2180" s="2" t="s">
        <v>8</v>
      </c>
      <c r="B2180" s="2" t="str">
        <f>HYPERLINK("http://ts.21cn.com/tousu/show/id/1332744","不公平对待")</f>
        <v>不公平对待</v>
      </c>
      <c r="C2180" s="2" t="s">
        <v>9</v>
      </c>
      <c r="D2180" s="2" t="s">
        <v>10</v>
      </c>
      <c r="E2180" s="2" t="str">
        <f>HYPERLINK("http://ts.21cn.com/tousu/show/id/1332744","http://ts.21cn.com/tousu/show/id/1332744")</f>
        <v>http://ts.21cn.com/tousu/show/id/1332744</v>
      </c>
      <c r="F2180" s="2" t="s">
        <v>11</v>
      </c>
      <c r="G2180" s="2" t="s">
        <v>39852</v>
      </c>
      <c r="H2180" s="2" t="s">
        <v>39853</v>
      </c>
    </row>
    <row r="2181" spans="1:8" ht="25.05" customHeight="1" x14ac:dyDescent="0.25">
      <c r="A2181" s="2" t="s">
        <v>8</v>
      </c>
      <c r="B2181" s="2" t="str">
        <f>HYPERLINK("http://ts.21cn.com/tousu/show/id/1332746","自动绑定免密支付，未经同意扣款")</f>
        <v>自动绑定免密支付，未经同意扣款</v>
      </c>
      <c r="C2181" s="2" t="s">
        <v>34</v>
      </c>
      <c r="D2181" s="2" t="s">
        <v>10</v>
      </c>
      <c r="E2181" s="2" t="str">
        <f>HYPERLINK("http://ts.21cn.com/tousu/show/id/1332746","http://ts.21cn.com/tousu/show/id/1332746")</f>
        <v>http://ts.21cn.com/tousu/show/id/1332746</v>
      </c>
      <c r="F2181" s="2" t="s">
        <v>11</v>
      </c>
      <c r="G2181" s="2" t="s">
        <v>39850</v>
      </c>
      <c r="H2181" s="2" t="s">
        <v>39851</v>
      </c>
    </row>
    <row r="2182" spans="1:8" ht="25.05" customHeight="1" x14ac:dyDescent="0.25">
      <c r="A2182" s="2" t="s">
        <v>8</v>
      </c>
      <c r="B2182" s="2" t="str">
        <f>HYPERLINK("http://ts.21cn.com/tousu/show/id/1332747","小浦优品扣钱")</f>
        <v>小浦优品扣钱</v>
      </c>
      <c r="C2182" s="2" t="s">
        <v>9</v>
      </c>
      <c r="D2182" s="2" t="s">
        <v>10</v>
      </c>
      <c r="E2182" s="2" t="str">
        <f>HYPERLINK("http://ts.21cn.com/tousu/show/id/1332747","http://ts.21cn.com/tousu/show/id/1332747")</f>
        <v>http://ts.21cn.com/tousu/show/id/1332747</v>
      </c>
      <c r="F2182" s="2" t="s">
        <v>11</v>
      </c>
      <c r="G2182" s="2" t="s">
        <v>39848</v>
      </c>
      <c r="H2182" s="2" t="s">
        <v>39849</v>
      </c>
    </row>
    <row r="2183" spans="1:8" ht="25.05" customHeight="1" x14ac:dyDescent="0.25">
      <c r="A2183" s="2" t="s">
        <v>8</v>
      </c>
      <c r="B2183" s="2" t="str">
        <f>HYPERLINK("http://ts.21cn.com/tousu/show/id/1332750","小当家平台高利贷")</f>
        <v>小当家平台高利贷</v>
      </c>
      <c r="C2183" s="2" t="s">
        <v>9</v>
      </c>
      <c r="D2183" s="2" t="s">
        <v>10</v>
      </c>
      <c r="E2183" s="2" t="str">
        <f>HYPERLINK("http://ts.21cn.com/tousu/show/id/1332750","http://ts.21cn.com/tousu/show/id/1332750")</f>
        <v>http://ts.21cn.com/tousu/show/id/1332750</v>
      </c>
      <c r="F2183" s="2" t="s">
        <v>11</v>
      </c>
      <c r="G2183" s="2" t="s">
        <v>39846</v>
      </c>
      <c r="H2183" s="2" t="s">
        <v>39847</v>
      </c>
    </row>
    <row r="2184" spans="1:8" ht="25.05" customHeight="1" x14ac:dyDescent="0.25">
      <c r="A2184" s="2" t="s">
        <v>8</v>
      </c>
      <c r="B2184" s="2" t="str">
        <f>HYPERLINK("http://ts.21cn.com/tousu/show/id/1332749","约单订单诚意金问题")</f>
        <v>约单订单诚意金问题</v>
      </c>
      <c r="C2184" s="2" t="s">
        <v>9</v>
      </c>
      <c r="D2184" s="2" t="s">
        <v>10</v>
      </c>
      <c r="E2184" s="2" t="str">
        <f>HYPERLINK("http://ts.21cn.com/tousu/show/id/1332749","http://ts.21cn.com/tousu/show/id/1332749")</f>
        <v>http://ts.21cn.com/tousu/show/id/1332749</v>
      </c>
      <c r="F2184" s="2" t="s">
        <v>11</v>
      </c>
      <c r="G2184" s="2" t="s">
        <v>39844</v>
      </c>
      <c r="H2184" s="2" t="s">
        <v>39845</v>
      </c>
    </row>
    <row r="2185" spans="1:8" ht="25.05" customHeight="1" x14ac:dyDescent="0.25">
      <c r="A2185" s="2" t="s">
        <v>8</v>
      </c>
      <c r="B2185" s="2" t="str">
        <f>HYPERLINK("http://ts.21cn.com/tousu/show/id/1332751","快闪卡贷利息过高，砍头息")</f>
        <v>快闪卡贷利息过高，砍头息</v>
      </c>
      <c r="C2185" s="2" t="s">
        <v>9</v>
      </c>
      <c r="D2185" s="2" t="s">
        <v>10</v>
      </c>
      <c r="E2185" s="2" t="str">
        <f>HYPERLINK("http://ts.21cn.com/tousu/show/id/1332751","http://ts.21cn.com/tousu/show/id/1332751")</f>
        <v>http://ts.21cn.com/tousu/show/id/1332751</v>
      </c>
      <c r="F2185" s="2" t="s">
        <v>11</v>
      </c>
      <c r="G2185" s="2" t="s">
        <v>39842</v>
      </c>
      <c r="H2185" s="2" t="s">
        <v>39843</v>
      </c>
    </row>
    <row r="2186" spans="1:8" ht="25.05" customHeight="1" x14ac:dyDescent="0.25">
      <c r="A2186" s="2" t="s">
        <v>8</v>
      </c>
      <c r="B2186" s="2" t="str">
        <f>HYPERLINK("http://ts.21cn.com/tousu/show/id/1332752","安逸花私自购买保险")</f>
        <v>安逸花私自购买保险</v>
      </c>
      <c r="C2186" s="2" t="s">
        <v>9</v>
      </c>
      <c r="D2186" s="2" t="s">
        <v>10</v>
      </c>
      <c r="E2186" s="2" t="str">
        <f>HYPERLINK("http://ts.21cn.com/tousu/show/id/1332752","http://ts.21cn.com/tousu/show/id/1332752")</f>
        <v>http://ts.21cn.com/tousu/show/id/1332752</v>
      </c>
      <c r="F2186" s="2" t="s">
        <v>11</v>
      </c>
      <c r="G2186" s="2" t="s">
        <v>39840</v>
      </c>
      <c r="H2186" s="2" t="s">
        <v>39841</v>
      </c>
    </row>
    <row r="2187" spans="1:8" ht="25.05" customHeight="1" x14ac:dyDescent="0.25">
      <c r="A2187" s="2" t="s">
        <v>8</v>
      </c>
      <c r="B2187" s="2" t="str">
        <f>HYPERLINK("http://ts.21cn.com/tousu/show/id/1332753","如期分期未经告知的情况下擅自扣取砍头息420元，希望退换！")</f>
        <v>如期分期未经告知的情况下擅自扣取砍头息420元，希望退换！</v>
      </c>
      <c r="C2187" s="2" t="s">
        <v>9</v>
      </c>
      <c r="D2187" s="2" t="s">
        <v>10</v>
      </c>
      <c r="E2187" s="2" t="str">
        <f>HYPERLINK("http://ts.21cn.com/tousu/show/id/1332753","http://ts.21cn.com/tousu/show/id/1332753")</f>
        <v>http://ts.21cn.com/tousu/show/id/1332753</v>
      </c>
      <c r="F2187" s="2" t="s">
        <v>11</v>
      </c>
      <c r="G2187" s="2" t="s">
        <v>39838</v>
      </c>
      <c r="H2187" s="2" t="s">
        <v>39839</v>
      </c>
    </row>
    <row r="2188" spans="1:8" ht="25.05" customHeight="1" x14ac:dyDescent="0.25">
      <c r="A2188" s="2" t="s">
        <v>8</v>
      </c>
      <c r="B2188" s="2" t="str">
        <f>HYPERLINK("http://ts.21cn.com/tousu/show/id/1332755","智行平台每次即将抢到票时，订单就会被取消")</f>
        <v>智行平台每次即将抢到票时，订单就会被取消</v>
      </c>
      <c r="C2188" s="2" t="s">
        <v>9</v>
      </c>
      <c r="D2188" s="2" t="s">
        <v>10</v>
      </c>
      <c r="E2188" s="2" t="str">
        <f>HYPERLINK("http://ts.21cn.com/tousu/show/id/1332755","http://ts.21cn.com/tousu/show/id/1332755")</f>
        <v>http://ts.21cn.com/tousu/show/id/1332755</v>
      </c>
      <c r="F2188" s="2" t="s">
        <v>11</v>
      </c>
      <c r="G2188" s="2" t="s">
        <v>39836</v>
      </c>
      <c r="H2188" s="2" t="s">
        <v>39837</v>
      </c>
    </row>
    <row r="2189" spans="1:8" ht="25.05" customHeight="1" x14ac:dyDescent="0.25">
      <c r="A2189" s="2" t="s">
        <v>8</v>
      </c>
      <c r="B2189" s="2" t="str">
        <f>HYPERLINK("http://ts.21cn.com/tousu/show/id/1332756","微粒贷暴力催收电话轰炸")</f>
        <v>微粒贷暴力催收电话轰炸</v>
      </c>
      <c r="C2189" s="2" t="s">
        <v>9</v>
      </c>
      <c r="D2189" s="2" t="s">
        <v>10</v>
      </c>
      <c r="E2189" s="2" t="str">
        <f>HYPERLINK("http://ts.21cn.com/tousu/show/id/1332756","http://ts.21cn.com/tousu/show/id/1332756")</f>
        <v>http://ts.21cn.com/tousu/show/id/1332756</v>
      </c>
      <c r="F2189" s="2" t="s">
        <v>11</v>
      </c>
      <c r="G2189" s="2" t="s">
        <v>39834</v>
      </c>
      <c r="H2189" s="2" t="s">
        <v>39835</v>
      </c>
    </row>
    <row r="2190" spans="1:8" ht="25.05" customHeight="1" x14ac:dyDescent="0.25">
      <c r="A2190" s="2" t="s">
        <v>8</v>
      </c>
      <c r="B2190" s="2" t="str">
        <f>HYPERLINK("http://ts.21cn.com/tousu/show/id/1332757","骚扰朋友")</f>
        <v>骚扰朋友</v>
      </c>
      <c r="C2190" s="2" t="s">
        <v>9</v>
      </c>
      <c r="D2190" s="2" t="s">
        <v>10</v>
      </c>
      <c r="E2190" s="2" t="str">
        <f>HYPERLINK("http://ts.21cn.com/tousu/show/id/1332757","http://ts.21cn.com/tousu/show/id/1332757")</f>
        <v>http://ts.21cn.com/tousu/show/id/1332757</v>
      </c>
      <c r="F2190" s="2" t="s">
        <v>11</v>
      </c>
      <c r="G2190" s="2" t="s">
        <v>39832</v>
      </c>
      <c r="H2190" s="2" t="s">
        <v>39833</v>
      </c>
    </row>
    <row r="2191" spans="1:8" ht="25.05" customHeight="1" x14ac:dyDescent="0.25">
      <c r="A2191" s="2" t="s">
        <v>8</v>
      </c>
      <c r="B2191" s="2" t="str">
        <f>HYPERLINK("http://ts.21cn.com/tousu/show/id/1332758","钱站高利贷阴阳合同")</f>
        <v>钱站高利贷阴阳合同</v>
      </c>
      <c r="C2191" s="2" t="s">
        <v>9</v>
      </c>
      <c r="D2191" s="2" t="s">
        <v>10</v>
      </c>
      <c r="E2191" s="2" t="str">
        <f>HYPERLINK("http://ts.21cn.com/tousu/show/id/1332758","http://ts.21cn.com/tousu/show/id/1332758")</f>
        <v>http://ts.21cn.com/tousu/show/id/1332758</v>
      </c>
      <c r="F2191" s="2" t="s">
        <v>11</v>
      </c>
      <c r="G2191" s="2" t="s">
        <v>39830</v>
      </c>
      <c r="H2191" s="2" t="s">
        <v>39831</v>
      </c>
    </row>
    <row r="2192" spans="1:8" ht="25.05" customHeight="1" x14ac:dyDescent="0.25">
      <c r="A2192" s="2" t="s">
        <v>8</v>
      </c>
      <c r="B2192" s="2" t="str">
        <f>HYPERLINK("http://ts.21cn.com/tousu/show/id/1332759","暴力催收，爆通讯录")</f>
        <v>暴力催收，爆通讯录</v>
      </c>
      <c r="C2192" s="2" t="s">
        <v>9</v>
      </c>
      <c r="D2192" s="2" t="s">
        <v>10</v>
      </c>
      <c r="E2192" s="2" t="str">
        <f>HYPERLINK("http://ts.21cn.com/tousu/show/id/1332759","http://ts.21cn.com/tousu/show/id/1332759")</f>
        <v>http://ts.21cn.com/tousu/show/id/1332759</v>
      </c>
      <c r="F2192" s="2" t="s">
        <v>11</v>
      </c>
      <c r="G2192" s="2" t="s">
        <v>39828</v>
      </c>
      <c r="H2192" s="2" t="s">
        <v>39829</v>
      </c>
    </row>
    <row r="2193" spans="1:8" ht="25.05" customHeight="1" x14ac:dyDescent="0.25">
      <c r="A2193" s="2" t="s">
        <v>8</v>
      </c>
      <c r="B2193" s="2" t="str">
        <f>HYPERLINK("http://ts.21cn.com/tousu/show/id/1332745","灵活借高炮")</f>
        <v>灵活借高炮</v>
      </c>
      <c r="C2193" s="2" t="s">
        <v>9</v>
      </c>
      <c r="D2193" s="2" t="s">
        <v>10</v>
      </c>
      <c r="E2193" s="2" t="str">
        <f>HYPERLINK("http://ts.21cn.com/tousu/show/id/1332745","http://ts.21cn.com/tousu/show/id/1332745")</f>
        <v>http://ts.21cn.com/tousu/show/id/1332745</v>
      </c>
      <c r="F2193" s="2" t="s">
        <v>11</v>
      </c>
      <c r="G2193" s="2" t="s">
        <v>39826</v>
      </c>
      <c r="H2193" s="2" t="s">
        <v>39827</v>
      </c>
    </row>
    <row r="2194" spans="1:8" ht="25.05" customHeight="1" x14ac:dyDescent="0.25">
      <c r="A2194" s="2" t="s">
        <v>8</v>
      </c>
      <c r="B2194" s="2" t="str">
        <f>HYPERLINK("http://ts.21cn.com/tousu/show/id/1332761","平台打不开，加收逾期")</f>
        <v>平台打不开，加收逾期</v>
      </c>
      <c r="C2194" s="2" t="s">
        <v>34</v>
      </c>
      <c r="D2194" s="2" t="s">
        <v>10</v>
      </c>
      <c r="E2194" s="2" t="str">
        <f>HYPERLINK("http://ts.21cn.com/tousu/show/id/1332761","http://ts.21cn.com/tousu/show/id/1332761")</f>
        <v>http://ts.21cn.com/tousu/show/id/1332761</v>
      </c>
      <c r="F2194" s="2" t="s">
        <v>11</v>
      </c>
      <c r="G2194" s="2" t="s">
        <v>39824</v>
      </c>
      <c r="H2194" s="2" t="s">
        <v>39825</v>
      </c>
    </row>
    <row r="2195" spans="1:8" ht="25.05" customHeight="1" x14ac:dyDescent="0.25">
      <c r="A2195" s="2" t="s">
        <v>8</v>
      </c>
      <c r="B2195" s="2" t="str">
        <f>HYPERLINK("http://ts.21cn.com/tousu/show/id/1332760","趣花分期，轻借钱包乱收取会员费用")</f>
        <v>趣花分期，轻借钱包乱收取会员费用</v>
      </c>
      <c r="C2195" s="2" t="s">
        <v>9</v>
      </c>
      <c r="D2195" s="2" t="s">
        <v>10</v>
      </c>
      <c r="E2195" s="2" t="str">
        <f>HYPERLINK("http://ts.21cn.com/tousu/show/id/1332760","http://ts.21cn.com/tousu/show/id/1332760")</f>
        <v>http://ts.21cn.com/tousu/show/id/1332760</v>
      </c>
      <c r="F2195" s="2" t="s">
        <v>11</v>
      </c>
      <c r="G2195" s="2" t="s">
        <v>39822</v>
      </c>
      <c r="H2195" s="2" t="s">
        <v>39823</v>
      </c>
    </row>
    <row r="2196" spans="1:8" ht="25.05" customHeight="1" x14ac:dyDescent="0.25">
      <c r="A2196" s="2" t="s">
        <v>8</v>
      </c>
      <c r="B2196" s="2" t="str">
        <f>HYPERLINK("http://ts.21cn.com/tousu/show/id/1332762","乱收费")</f>
        <v>乱收费</v>
      </c>
      <c r="C2196" s="2" t="s">
        <v>9</v>
      </c>
      <c r="D2196" s="2" t="s">
        <v>10</v>
      </c>
      <c r="E2196" s="2" t="str">
        <f>HYPERLINK("http://ts.21cn.com/tousu/show/id/1332762","http://ts.21cn.com/tousu/show/id/1332762")</f>
        <v>http://ts.21cn.com/tousu/show/id/1332762</v>
      </c>
      <c r="F2196" s="2" t="s">
        <v>11</v>
      </c>
      <c r="G2196" s="2" t="s">
        <v>39820</v>
      </c>
      <c r="H2196" s="2" t="s">
        <v>39821</v>
      </c>
    </row>
    <row r="2197" spans="1:8" ht="25.05" customHeight="1" x14ac:dyDescent="0.25">
      <c r="A2197" s="2" t="s">
        <v>8</v>
      </c>
      <c r="B2197" s="2" t="str">
        <f>HYPERLINK("http://ts.21cn.com/tousu/show/id/1332763","要求调取本人贷款合同。马上金融平台一直借口不给。严重怀疑平台的不正规性。")</f>
        <v>要求调取本人贷款合同。马上金融平台一直借口不给。严重怀疑平台的不正规性。</v>
      </c>
      <c r="C2197" s="2" t="s">
        <v>9</v>
      </c>
      <c r="D2197" s="2" t="s">
        <v>10</v>
      </c>
      <c r="E2197" s="2" t="str">
        <f>HYPERLINK("http://ts.21cn.com/tousu/show/id/1332763","http://ts.21cn.com/tousu/show/id/1332763")</f>
        <v>http://ts.21cn.com/tousu/show/id/1332763</v>
      </c>
      <c r="F2197" s="2" t="s">
        <v>11</v>
      </c>
      <c r="G2197" s="2" t="s">
        <v>39818</v>
      </c>
      <c r="H2197" s="2" t="s">
        <v>39819</v>
      </c>
    </row>
    <row r="2198" spans="1:8" ht="25.05" customHeight="1" x14ac:dyDescent="0.25">
      <c r="A2198" s="2" t="s">
        <v>8</v>
      </c>
      <c r="B2198" s="2" t="str">
        <f>HYPERLINK("http://ts.21cn.com/tousu/show/id/1332765","芸教育的问题导致对他的不信任")</f>
        <v>芸教育的问题导致对他的不信任</v>
      </c>
      <c r="C2198" s="2" t="s">
        <v>34</v>
      </c>
      <c r="D2198" s="2" t="s">
        <v>10</v>
      </c>
      <c r="E2198" s="2" t="str">
        <f>HYPERLINK("http://ts.21cn.com/tousu/show/id/1332765","http://ts.21cn.com/tousu/show/id/1332765")</f>
        <v>http://ts.21cn.com/tousu/show/id/1332765</v>
      </c>
      <c r="F2198" s="2" t="s">
        <v>11</v>
      </c>
      <c r="G2198" s="2" t="s">
        <v>39816</v>
      </c>
      <c r="H2198" s="2" t="s">
        <v>39817</v>
      </c>
    </row>
    <row r="2199" spans="1:8" ht="25.05" customHeight="1" x14ac:dyDescent="0.25">
      <c r="A2199" s="2" t="s">
        <v>8</v>
      </c>
      <c r="B2199" s="2" t="str">
        <f>HYPERLINK("http://ts.21cn.com/tousu/show/id/1332766","黑网贷直接扣卡里的钱")</f>
        <v>黑网贷直接扣卡里的钱</v>
      </c>
      <c r="C2199" s="2" t="s">
        <v>34</v>
      </c>
      <c r="D2199" s="2" t="s">
        <v>10</v>
      </c>
      <c r="E2199" s="2" t="str">
        <f>HYPERLINK("http://ts.21cn.com/tousu/show/id/1332766","http://ts.21cn.com/tousu/show/id/1332766")</f>
        <v>http://ts.21cn.com/tousu/show/id/1332766</v>
      </c>
      <c r="F2199" s="2" t="s">
        <v>11</v>
      </c>
      <c r="G2199" s="2" t="s">
        <v>39814</v>
      </c>
      <c r="H2199" s="2" t="s">
        <v>39815</v>
      </c>
    </row>
    <row r="2200" spans="1:8" ht="25.05" customHeight="1" x14ac:dyDescent="0.25">
      <c r="A2200" s="2" t="s">
        <v>8</v>
      </c>
      <c r="B2200" s="2" t="str">
        <f>HYPERLINK("http://ts.21cn.com/tousu/show/id/1332767","活力花一直骚扰")</f>
        <v>活力花一直骚扰</v>
      </c>
      <c r="C2200" s="2" t="s">
        <v>9</v>
      </c>
      <c r="D2200" s="2" t="s">
        <v>10</v>
      </c>
      <c r="E2200" s="2" t="str">
        <f>HYPERLINK("http://ts.21cn.com/tousu/show/id/1332767","http://ts.21cn.com/tousu/show/id/1332767")</f>
        <v>http://ts.21cn.com/tousu/show/id/1332767</v>
      </c>
      <c r="F2200" s="2" t="s">
        <v>11</v>
      </c>
      <c r="G2200" s="2" t="s">
        <v>39812</v>
      </c>
      <c r="H2200" s="2" t="s">
        <v>39813</v>
      </c>
    </row>
    <row r="2201" spans="1:8" ht="25.05" customHeight="1" x14ac:dyDescent="0.25">
      <c r="A2201" s="2" t="s">
        <v>8</v>
      </c>
      <c r="B2201" s="2" t="str">
        <f>HYPERLINK("http://ts.21cn.com/tousu/show/id/1332771","利息太高")</f>
        <v>利息太高</v>
      </c>
      <c r="C2201" s="2" t="s">
        <v>9</v>
      </c>
      <c r="D2201" s="2" t="s">
        <v>10</v>
      </c>
      <c r="E2201" s="2" t="str">
        <f>HYPERLINK("http://ts.21cn.com/tousu/show/id/1332771","http://ts.21cn.com/tousu/show/id/1332771")</f>
        <v>http://ts.21cn.com/tousu/show/id/1332771</v>
      </c>
      <c r="F2201" s="2" t="s">
        <v>11</v>
      </c>
      <c r="G2201" s="2" t="s">
        <v>39810</v>
      </c>
      <c r="H2201" s="2" t="s">
        <v>39811</v>
      </c>
    </row>
    <row r="2202" spans="1:8" ht="25.05" customHeight="1" x14ac:dyDescent="0.25">
      <c r="A2202" s="2" t="s">
        <v>8</v>
      </c>
      <c r="B2202" s="2" t="str">
        <f>HYPERLINK("http://ts.21cn.com/tousu/show/id/1332770","新生支付旗下北京逸秋太商贸有限公司为非法赌博网站提供支付渠道")</f>
        <v>新生支付旗下北京逸秋太商贸有限公司为非法赌博网站提供支付渠道</v>
      </c>
      <c r="C2202" s="2" t="s">
        <v>9</v>
      </c>
      <c r="D2202" s="2" t="s">
        <v>10</v>
      </c>
      <c r="E2202" s="2" t="str">
        <f>HYPERLINK("http://ts.21cn.com/tousu/show/id/1332770","http://ts.21cn.com/tousu/show/id/1332770")</f>
        <v>http://ts.21cn.com/tousu/show/id/1332770</v>
      </c>
      <c r="F2202" s="2" t="s">
        <v>11</v>
      </c>
      <c r="G2202" s="2" t="s">
        <v>39808</v>
      </c>
      <c r="H2202" s="2" t="s">
        <v>39809</v>
      </c>
    </row>
    <row r="2203" spans="1:8" ht="25.05" customHeight="1" x14ac:dyDescent="0.25">
      <c r="A2203" s="2" t="s">
        <v>8</v>
      </c>
      <c r="B2203" s="2" t="str">
        <f>HYPERLINK("http://ts.21cn.com/tousu/show/id/1332772","立借app中的钱置宝无法销账客服没人")</f>
        <v>立借app中的钱置宝无法销账客服没人</v>
      </c>
      <c r="C2203" s="2" t="s">
        <v>9</v>
      </c>
      <c r="D2203" s="2" t="s">
        <v>10</v>
      </c>
      <c r="E2203" s="2" t="str">
        <f>HYPERLINK("http://ts.21cn.com/tousu/show/id/1332772","http://ts.21cn.com/tousu/show/id/1332772")</f>
        <v>http://ts.21cn.com/tousu/show/id/1332772</v>
      </c>
      <c r="F2203" s="2" t="s">
        <v>11</v>
      </c>
      <c r="G2203" s="2" t="s">
        <v>39806</v>
      </c>
      <c r="H2203" s="2" t="s">
        <v>39807</v>
      </c>
    </row>
    <row r="2204" spans="1:8" ht="25.05" customHeight="1" x14ac:dyDescent="0.25">
      <c r="A2204" s="2" t="s">
        <v>8</v>
      </c>
      <c r="B2204" s="2" t="str">
        <f>HYPERLINK("http://ts.21cn.com/tousu/show/id/1332773","松紧带暴力催收电话骂人")</f>
        <v>松紧带暴力催收电话骂人</v>
      </c>
      <c r="C2204" s="2" t="s">
        <v>9</v>
      </c>
      <c r="D2204" s="2" t="s">
        <v>10</v>
      </c>
      <c r="E2204" s="2" t="str">
        <f>HYPERLINK("http://ts.21cn.com/tousu/show/id/1332773","http://ts.21cn.com/tousu/show/id/1332773")</f>
        <v>http://ts.21cn.com/tousu/show/id/1332773</v>
      </c>
      <c r="F2204" s="2" t="s">
        <v>11</v>
      </c>
      <c r="G2204" s="2" t="s">
        <v>39804</v>
      </c>
      <c r="H2204" s="2" t="s">
        <v>39805</v>
      </c>
    </row>
    <row r="2205" spans="1:8" ht="25.05" customHeight="1" x14ac:dyDescent="0.25">
      <c r="A2205" s="2" t="s">
        <v>8</v>
      </c>
      <c r="B2205" s="2" t="str">
        <f>HYPERLINK("http://ts.21cn.com/tousu/show/id/1332774","乱收评估费用")</f>
        <v>乱收评估费用</v>
      </c>
      <c r="C2205" s="2" t="s">
        <v>9</v>
      </c>
      <c r="D2205" s="2" t="s">
        <v>10</v>
      </c>
      <c r="E2205" s="2" t="str">
        <f>HYPERLINK("http://ts.21cn.com/tousu/show/id/1332774","http://ts.21cn.com/tousu/show/id/1332774")</f>
        <v>http://ts.21cn.com/tousu/show/id/1332774</v>
      </c>
      <c r="F2205" s="2" t="s">
        <v>11</v>
      </c>
      <c r="G2205" s="2" t="s">
        <v>39802</v>
      </c>
      <c r="H2205" s="2" t="s">
        <v>39803</v>
      </c>
    </row>
    <row r="2206" spans="1:8" ht="25.05" customHeight="1" x14ac:dyDescent="0.25">
      <c r="A2206" s="2" t="s">
        <v>8</v>
      </c>
      <c r="B2206" s="2" t="str">
        <f>HYPERLINK("http://ts.21cn.com/tousu/show/id/1332776","钱站")</f>
        <v>钱站</v>
      </c>
      <c r="C2206" s="2" t="s">
        <v>9</v>
      </c>
      <c r="D2206" s="2" t="s">
        <v>10</v>
      </c>
      <c r="E2206" s="2" t="str">
        <f>HYPERLINK("http://ts.21cn.com/tousu/show/id/1332776","http://ts.21cn.com/tousu/show/id/1332776")</f>
        <v>http://ts.21cn.com/tousu/show/id/1332776</v>
      </c>
      <c r="F2206" s="2" t="s">
        <v>11</v>
      </c>
      <c r="G2206" s="2" t="s">
        <v>39800</v>
      </c>
      <c r="H2206" s="2" t="s">
        <v>39801</v>
      </c>
    </row>
    <row r="2207" spans="1:8" ht="25.05" customHeight="1" x14ac:dyDescent="0.25">
      <c r="A2207" s="2" t="s">
        <v>8</v>
      </c>
      <c r="B2207" s="2" t="str">
        <f>HYPERLINK("http://ts.21cn.com/tousu/show/id/1332775","智行APP订阳朔酒店，行程有变，不给退房")</f>
        <v>智行APP订阳朔酒店，行程有变，不给退房</v>
      </c>
      <c r="C2207" s="2" t="s">
        <v>9</v>
      </c>
      <c r="D2207" s="2" t="s">
        <v>10</v>
      </c>
      <c r="E2207" s="2" t="str">
        <f>HYPERLINK("http://ts.21cn.com/tousu/show/id/1332775","http://ts.21cn.com/tousu/show/id/1332775")</f>
        <v>http://ts.21cn.com/tousu/show/id/1332775</v>
      </c>
      <c r="F2207" s="2" t="s">
        <v>11</v>
      </c>
      <c r="G2207" s="2" t="s">
        <v>39798</v>
      </c>
      <c r="H2207" s="2" t="s">
        <v>39799</v>
      </c>
    </row>
    <row r="2208" spans="1:8" ht="25.05" customHeight="1" x14ac:dyDescent="0.25">
      <c r="A2208" s="2" t="s">
        <v>8</v>
      </c>
      <c r="B2208" s="2" t="str">
        <f>HYPERLINK("http://ts.21cn.com/tousu/show/id/1332778","变相的砍头息")</f>
        <v>变相的砍头息</v>
      </c>
      <c r="C2208" s="2" t="s">
        <v>9</v>
      </c>
      <c r="D2208" s="2" t="s">
        <v>10</v>
      </c>
      <c r="E2208" s="2" t="str">
        <f>HYPERLINK("http://ts.21cn.com/tousu/show/id/1332778","http://ts.21cn.com/tousu/show/id/1332778")</f>
        <v>http://ts.21cn.com/tousu/show/id/1332778</v>
      </c>
      <c r="F2208" s="2" t="s">
        <v>11</v>
      </c>
      <c r="G2208" s="2" t="s">
        <v>39796</v>
      </c>
      <c r="H2208" s="2" t="s">
        <v>39797</v>
      </c>
    </row>
    <row r="2209" spans="1:8" ht="25.05" customHeight="1" x14ac:dyDescent="0.25">
      <c r="A2209" s="2" t="s">
        <v>8</v>
      </c>
      <c r="B2209" s="2" t="str">
        <f>HYPERLINK("http://ts.21cn.com/tousu/show/id/1332780","银生宝收单机构帮助非法博彩网站收款")</f>
        <v>银生宝收单机构帮助非法博彩网站收款</v>
      </c>
      <c r="C2209" s="2" t="s">
        <v>9</v>
      </c>
      <c r="D2209" s="2" t="s">
        <v>10</v>
      </c>
      <c r="E2209" s="2" t="str">
        <f>HYPERLINK("http://ts.21cn.com/tousu/show/id/1332780","http://ts.21cn.com/tousu/show/id/1332780")</f>
        <v>http://ts.21cn.com/tousu/show/id/1332780</v>
      </c>
      <c r="F2209" s="2" t="s">
        <v>11</v>
      </c>
      <c r="G2209" s="2" t="s">
        <v>39794</v>
      </c>
      <c r="H2209" s="2" t="s">
        <v>39795</v>
      </c>
    </row>
    <row r="2210" spans="1:8" ht="25.05" customHeight="1" x14ac:dyDescent="0.25">
      <c r="A2210" s="2" t="s">
        <v>8</v>
      </c>
      <c r="B2210" s="2" t="str">
        <f>HYPERLINK("http://ts.21cn.com/tousu/show/id/1332781","高额利息，分期假象")</f>
        <v>高额利息，分期假象</v>
      </c>
      <c r="C2210" s="2" t="s">
        <v>9</v>
      </c>
      <c r="D2210" s="2" t="s">
        <v>10</v>
      </c>
      <c r="E2210" s="2" t="str">
        <f>HYPERLINK("http://ts.21cn.com/tousu/show/id/1332781","http://ts.21cn.com/tousu/show/id/1332781")</f>
        <v>http://ts.21cn.com/tousu/show/id/1332781</v>
      </c>
      <c r="F2210" s="2" t="s">
        <v>11</v>
      </c>
      <c r="G2210" s="2" t="s">
        <v>39792</v>
      </c>
      <c r="H2210" s="2" t="s">
        <v>39793</v>
      </c>
    </row>
    <row r="2211" spans="1:8" ht="25.05" customHeight="1" x14ac:dyDescent="0.25">
      <c r="A2211" s="2" t="s">
        <v>8</v>
      </c>
      <c r="B2211" s="2" t="str">
        <f>HYPERLINK("http://ts.21cn.com/tousu/show/id/1332768","上海造艺网络技术有限公司盗刷我的银行卡")</f>
        <v>上海造艺网络技术有限公司盗刷我的银行卡</v>
      </c>
      <c r="C2211" s="2" t="s">
        <v>9</v>
      </c>
      <c r="D2211" s="2" t="s">
        <v>10</v>
      </c>
      <c r="E2211" s="2" t="str">
        <f>HYPERLINK("http://ts.21cn.com/tousu/show/id/1332768","http://ts.21cn.com/tousu/show/id/1332768")</f>
        <v>http://ts.21cn.com/tousu/show/id/1332768</v>
      </c>
      <c r="F2211" s="2" t="s">
        <v>11</v>
      </c>
      <c r="G2211" s="2" t="s">
        <v>39790</v>
      </c>
      <c r="H2211" s="2" t="s">
        <v>39791</v>
      </c>
    </row>
    <row r="2212" spans="1:8" ht="25.05" customHeight="1" x14ac:dyDescent="0.25">
      <c r="A2212" s="2" t="s">
        <v>8</v>
      </c>
      <c r="B2212" s="2" t="str">
        <f>HYPERLINK("http://ts.21cn.com/tousu/show/id/1332782","暴力催收，爆通讯录等一系列行为")</f>
        <v>暴力催收，爆通讯录等一系列行为</v>
      </c>
      <c r="C2212" s="2" t="s">
        <v>9</v>
      </c>
      <c r="D2212" s="2" t="s">
        <v>10</v>
      </c>
      <c r="E2212" s="2" t="str">
        <f>HYPERLINK("http://ts.21cn.com/tousu/show/id/1332782","http://ts.21cn.com/tousu/show/id/1332782")</f>
        <v>http://ts.21cn.com/tousu/show/id/1332782</v>
      </c>
      <c r="F2212" s="2" t="s">
        <v>11</v>
      </c>
      <c r="G2212" s="2" t="s">
        <v>39788</v>
      </c>
      <c r="H2212" s="2" t="s">
        <v>39789</v>
      </c>
    </row>
    <row r="2213" spans="1:8" ht="25.05" customHeight="1" x14ac:dyDescent="0.25">
      <c r="A2213" s="2" t="s">
        <v>8</v>
      </c>
      <c r="B2213" s="2" t="str">
        <f>HYPERLINK("http://ts.21cn.com/tousu/show/id/1332783","该平台推荐好友加微信可以兼职，推的每个都是注册赌博网站，不注册还被骂")</f>
        <v>该平台推荐好友加微信可以兼职，推的每个都是注册赌博网站，不注册还被骂</v>
      </c>
      <c r="C2213" s="2" t="s">
        <v>9</v>
      </c>
      <c r="D2213" s="2" t="s">
        <v>10</v>
      </c>
      <c r="E2213" s="2" t="str">
        <f>HYPERLINK("http://ts.21cn.com/tousu/show/id/1332783","http://ts.21cn.com/tousu/show/id/1332783")</f>
        <v>http://ts.21cn.com/tousu/show/id/1332783</v>
      </c>
      <c r="F2213" s="2" t="s">
        <v>11</v>
      </c>
      <c r="G2213" s="2" t="s">
        <v>39786</v>
      </c>
      <c r="H2213" s="2" t="s">
        <v>39787</v>
      </c>
    </row>
    <row r="2214" spans="1:8" ht="25.05" customHeight="1" x14ac:dyDescent="0.25">
      <c r="A2214" s="2" t="s">
        <v>8</v>
      </c>
      <c r="B2214" s="2" t="str">
        <f>HYPERLINK("http://ts.21cn.com/tousu/show/id/1332784","恶意催收读取通讯录侵犯用户隐私")</f>
        <v>恶意催收读取通讯录侵犯用户隐私</v>
      </c>
      <c r="C2214" s="2" t="s">
        <v>9</v>
      </c>
      <c r="D2214" s="2" t="s">
        <v>10</v>
      </c>
      <c r="E2214" s="2" t="str">
        <f>HYPERLINK("http://ts.21cn.com/tousu/show/id/1332784","http://ts.21cn.com/tousu/show/id/1332784")</f>
        <v>http://ts.21cn.com/tousu/show/id/1332784</v>
      </c>
      <c r="F2214" s="2" t="s">
        <v>11</v>
      </c>
      <c r="G2214" s="2" t="s">
        <v>39784</v>
      </c>
      <c r="H2214" s="2" t="s">
        <v>39785</v>
      </c>
    </row>
    <row r="2215" spans="1:8" ht="25.05" customHeight="1" x14ac:dyDescent="0.25">
      <c r="A2215" s="2" t="s">
        <v>8</v>
      </c>
      <c r="B2215" s="2" t="str">
        <f>HYPERLINK("http://ts.21cn.com/tousu/show/id/1332785","停止骚扰，威胁恐吓")</f>
        <v>停止骚扰，威胁恐吓</v>
      </c>
      <c r="C2215" s="2" t="s">
        <v>9</v>
      </c>
      <c r="D2215" s="2" t="s">
        <v>10</v>
      </c>
      <c r="E2215" s="2" t="str">
        <f>HYPERLINK("http://ts.21cn.com/tousu/show/id/1332785","http://ts.21cn.com/tousu/show/id/1332785")</f>
        <v>http://ts.21cn.com/tousu/show/id/1332785</v>
      </c>
      <c r="F2215" s="2" t="s">
        <v>11</v>
      </c>
      <c r="G2215" s="2" t="s">
        <v>39782</v>
      </c>
      <c r="H2215" s="2" t="s">
        <v>39783</v>
      </c>
    </row>
    <row r="2216" spans="1:8" ht="25.05" customHeight="1" x14ac:dyDescent="0.25">
      <c r="A2216" s="2" t="s">
        <v>8</v>
      </c>
      <c r="B2216" s="2" t="str">
        <f>HYPERLINK("http://ts.21cn.com/tousu/show/id/1332764","美团旅行景点门票")</f>
        <v>美团旅行景点门票</v>
      </c>
      <c r="C2216" s="2" t="s">
        <v>9</v>
      </c>
      <c r="D2216" s="2" t="s">
        <v>10</v>
      </c>
      <c r="E2216" s="2" t="str">
        <f>HYPERLINK("http://ts.21cn.com/tousu/show/id/1332764","http://ts.21cn.com/tousu/show/id/1332764")</f>
        <v>http://ts.21cn.com/tousu/show/id/1332764</v>
      </c>
      <c r="F2216" s="2" t="s">
        <v>11</v>
      </c>
      <c r="G2216" s="2" t="s">
        <v>39780</v>
      </c>
      <c r="H2216" s="2" t="s">
        <v>39781</v>
      </c>
    </row>
    <row r="2217" spans="1:8" ht="25.05" customHeight="1" x14ac:dyDescent="0.25">
      <c r="A2217" s="2" t="s">
        <v>8</v>
      </c>
      <c r="B2217" s="2" t="str">
        <f>HYPERLINK("http://ts.21cn.com/tousu/show/id/1332779","退还保险等费用")</f>
        <v>退还保险等费用</v>
      </c>
      <c r="C2217" s="2" t="s">
        <v>9</v>
      </c>
      <c r="D2217" s="2" t="s">
        <v>10</v>
      </c>
      <c r="E2217" s="2" t="str">
        <f>HYPERLINK("http://ts.21cn.com/tousu/show/id/1332779","http://ts.21cn.com/tousu/show/id/1332779")</f>
        <v>http://ts.21cn.com/tousu/show/id/1332779</v>
      </c>
      <c r="F2217" s="2" t="s">
        <v>11</v>
      </c>
      <c r="G2217" s="2" t="s">
        <v>39778</v>
      </c>
      <c r="H2217" s="2" t="s">
        <v>39779</v>
      </c>
    </row>
    <row r="2218" spans="1:8" ht="25.05" customHeight="1" x14ac:dyDescent="0.25">
      <c r="A2218" s="2" t="s">
        <v>8</v>
      </c>
      <c r="B2218" s="2" t="str">
        <f>HYPERLINK("http://ts.21cn.com/tousu/show/id/1332786","钱站利息太高，立马还款，不要了")</f>
        <v>钱站利息太高，立马还款，不要了</v>
      </c>
      <c r="C2218" s="2" t="s">
        <v>9</v>
      </c>
      <c r="D2218" s="2" t="s">
        <v>10</v>
      </c>
      <c r="E2218" s="2" t="str">
        <f>HYPERLINK("http://ts.21cn.com/tousu/show/id/1332786","http://ts.21cn.com/tousu/show/id/1332786")</f>
        <v>http://ts.21cn.com/tousu/show/id/1332786</v>
      </c>
      <c r="F2218" s="2" t="s">
        <v>11</v>
      </c>
      <c r="G2218" s="2" t="s">
        <v>39776</v>
      </c>
      <c r="H2218" s="2" t="s">
        <v>39777</v>
      </c>
    </row>
    <row r="2219" spans="1:8" ht="25.05" customHeight="1" x14ac:dyDescent="0.25">
      <c r="A2219" s="2" t="s">
        <v>8</v>
      </c>
      <c r="B2219" s="2" t="str">
        <f>HYPERLINK("http://ts.21cn.com/tousu/show/id/1332787","信用管家的存钱柜（现改名金钱保）高额砍头利息")</f>
        <v>信用管家的存钱柜（现改名金钱保）高额砍头利息</v>
      </c>
      <c r="C2219" s="2" t="s">
        <v>9</v>
      </c>
      <c r="D2219" s="2" t="s">
        <v>10</v>
      </c>
      <c r="E2219" s="2" t="str">
        <f>HYPERLINK("http://ts.21cn.com/tousu/show/id/1332787","http://ts.21cn.com/tousu/show/id/1332787")</f>
        <v>http://ts.21cn.com/tousu/show/id/1332787</v>
      </c>
      <c r="F2219" s="2" t="s">
        <v>11</v>
      </c>
      <c r="G2219" s="2" t="s">
        <v>39774</v>
      </c>
      <c r="H2219" s="2" t="s">
        <v>39775</v>
      </c>
    </row>
    <row r="2220" spans="1:8" ht="25.05" customHeight="1" x14ac:dyDescent="0.25">
      <c r="A2220" s="2" t="s">
        <v>8</v>
      </c>
      <c r="B2220" s="2" t="str">
        <f>HYPERLINK("http://ts.21cn.com/tousu/show/id/1332789","百事普惠恶意扣款299")</f>
        <v>百事普惠恶意扣款299</v>
      </c>
      <c r="C2220" s="2" t="s">
        <v>9</v>
      </c>
      <c r="D2220" s="2" t="s">
        <v>10</v>
      </c>
      <c r="E2220" s="2" t="str">
        <f>HYPERLINK("http://ts.21cn.com/tousu/show/id/1332789","http://ts.21cn.com/tousu/show/id/1332789")</f>
        <v>http://ts.21cn.com/tousu/show/id/1332789</v>
      </c>
      <c r="F2220" s="2" t="s">
        <v>11</v>
      </c>
      <c r="G2220" s="2" t="s">
        <v>39772</v>
      </c>
      <c r="H2220" s="2" t="s">
        <v>39773</v>
      </c>
    </row>
    <row r="2221" spans="1:8" ht="25.05" customHeight="1" x14ac:dyDescent="0.25">
      <c r="A2221" s="2" t="s">
        <v>8</v>
      </c>
      <c r="B2221" s="2" t="str">
        <f>HYPERLINK("http://ts.21cn.com/tousu/show/id/1332790","微品分期暴力催收")</f>
        <v>微品分期暴力催收</v>
      </c>
      <c r="C2221" s="2" t="s">
        <v>9</v>
      </c>
      <c r="D2221" s="2" t="s">
        <v>10</v>
      </c>
      <c r="E2221" s="2" t="str">
        <f>HYPERLINK("http://ts.21cn.com/tousu/show/id/1332790","http://ts.21cn.com/tousu/show/id/1332790")</f>
        <v>http://ts.21cn.com/tousu/show/id/1332790</v>
      </c>
      <c r="F2221" s="2" t="s">
        <v>11</v>
      </c>
      <c r="G2221" s="2" t="s">
        <v>39770</v>
      </c>
      <c r="H2221" s="2" t="s">
        <v>39771</v>
      </c>
    </row>
    <row r="2222" spans="1:8" ht="25.05" customHeight="1" x14ac:dyDescent="0.25">
      <c r="A2222" s="2" t="s">
        <v>8</v>
      </c>
      <c r="B2222" s="2" t="str">
        <f>HYPERLINK("http://ts.21cn.com/tousu/show/id/1332791","拍拍贷收取高额利息")</f>
        <v>拍拍贷收取高额利息</v>
      </c>
      <c r="C2222" s="2" t="s">
        <v>9</v>
      </c>
      <c r="D2222" s="2" t="s">
        <v>10</v>
      </c>
      <c r="E2222" s="2" t="str">
        <f>HYPERLINK("http://ts.21cn.com/tousu/show/id/1332791","http://ts.21cn.com/tousu/show/id/1332791")</f>
        <v>http://ts.21cn.com/tousu/show/id/1332791</v>
      </c>
      <c r="F2222" s="2" t="s">
        <v>11</v>
      </c>
      <c r="G2222" s="2" t="s">
        <v>39768</v>
      </c>
      <c r="H2222" s="2" t="s">
        <v>39769</v>
      </c>
    </row>
    <row r="2223" spans="1:8" ht="25.05" customHeight="1" x14ac:dyDescent="0.25">
      <c r="A2223" s="2" t="s">
        <v>8</v>
      </c>
      <c r="B2223" s="2" t="str">
        <f>HYPERLINK("http://ts.21cn.com/tousu/show/id/1332792","格力大松电饭锅内胆涂层脱落")</f>
        <v>格力大松电饭锅内胆涂层脱落</v>
      </c>
      <c r="C2223" s="2" t="s">
        <v>9</v>
      </c>
      <c r="D2223" s="2" t="s">
        <v>10</v>
      </c>
      <c r="E2223" s="2" t="str">
        <f>HYPERLINK("http://ts.21cn.com/tousu/show/id/1332792","http://ts.21cn.com/tousu/show/id/1332792")</f>
        <v>http://ts.21cn.com/tousu/show/id/1332792</v>
      </c>
      <c r="F2223" s="2" t="s">
        <v>11</v>
      </c>
      <c r="G2223" s="2" t="s">
        <v>39766</v>
      </c>
      <c r="H2223" s="2" t="s">
        <v>39767</v>
      </c>
    </row>
    <row r="2224" spans="1:8" ht="25.05" customHeight="1" x14ac:dyDescent="0.25">
      <c r="A2224" s="2" t="s">
        <v>8</v>
      </c>
      <c r="B2224" s="2" t="str">
        <f>HYPERLINK("http://ts.21cn.com/tousu/show/id/1332793","本人没有借款，双鱼钱包莫名下款！")</f>
        <v>本人没有借款，双鱼钱包莫名下款！</v>
      </c>
      <c r="C2224" s="2" t="s">
        <v>34</v>
      </c>
      <c r="D2224" s="2" t="s">
        <v>10</v>
      </c>
      <c r="E2224" s="2" t="str">
        <f>HYPERLINK("http://ts.21cn.com/tousu/show/id/1332793","http://ts.21cn.com/tousu/show/id/1332793")</f>
        <v>http://ts.21cn.com/tousu/show/id/1332793</v>
      </c>
      <c r="F2224" s="2" t="s">
        <v>11</v>
      </c>
      <c r="G2224" s="2" t="s">
        <v>39764</v>
      </c>
      <c r="H2224" s="2" t="s">
        <v>39765</v>
      </c>
    </row>
    <row r="2225" spans="1:8" ht="25.05" customHeight="1" x14ac:dyDescent="0.25">
      <c r="A2225" s="2" t="s">
        <v>8</v>
      </c>
      <c r="B2225" s="2" t="str">
        <f>HYPERLINK("http://ts.21cn.com/tousu/show/id/1332794","用云闪付APP还款失败，储蓄卡却已经扣款")</f>
        <v>用云闪付APP还款失败，储蓄卡却已经扣款</v>
      </c>
      <c r="C2225" s="2" t="s">
        <v>9</v>
      </c>
      <c r="D2225" s="2" t="s">
        <v>10</v>
      </c>
      <c r="E2225" s="2" t="str">
        <f>HYPERLINK("http://ts.21cn.com/tousu/show/id/1332794","http://ts.21cn.com/tousu/show/id/1332794")</f>
        <v>http://ts.21cn.com/tousu/show/id/1332794</v>
      </c>
      <c r="F2225" s="2" t="s">
        <v>11</v>
      </c>
      <c r="G2225" s="2" t="s">
        <v>39762</v>
      </c>
      <c r="H2225" s="2" t="s">
        <v>39763</v>
      </c>
    </row>
    <row r="2226" spans="1:8" ht="25.05" customHeight="1" x14ac:dyDescent="0.25">
      <c r="A2226" s="2" t="s">
        <v>8</v>
      </c>
      <c r="B2226" s="2" t="str">
        <f>HYPERLINK("http://ts.21cn.com/tousu/show/id/1332795","航盟销售人员故意隐瞒重要信息，虚假宣传会员卡")</f>
        <v>航盟销售人员故意隐瞒重要信息，虚假宣传会员卡</v>
      </c>
      <c r="C2226" s="2" t="s">
        <v>9</v>
      </c>
      <c r="D2226" s="2" t="s">
        <v>10</v>
      </c>
      <c r="E2226" s="2" t="str">
        <f>HYPERLINK("http://ts.21cn.com/tousu/show/id/1332795","http://ts.21cn.com/tousu/show/id/1332795")</f>
        <v>http://ts.21cn.com/tousu/show/id/1332795</v>
      </c>
      <c r="F2226" s="2" t="s">
        <v>11</v>
      </c>
      <c r="G2226" s="2" t="s">
        <v>39760</v>
      </c>
      <c r="H2226" s="2" t="s">
        <v>39761</v>
      </c>
    </row>
    <row r="2227" spans="1:8" ht="25.05" customHeight="1" x14ac:dyDescent="0.25">
      <c r="A2227" s="2" t="s">
        <v>8</v>
      </c>
      <c r="B2227" s="2" t="str">
        <f>HYPERLINK("http://ts.21cn.com/tousu/show/id/1332798","你我贷多次骚扰亲友，并且言语恶劣，轻侮傲慢")</f>
        <v>你我贷多次骚扰亲友，并且言语恶劣，轻侮傲慢</v>
      </c>
      <c r="C2227" s="2" t="s">
        <v>9</v>
      </c>
      <c r="D2227" s="2" t="s">
        <v>10</v>
      </c>
      <c r="E2227" s="2" t="str">
        <f>HYPERLINK("http://ts.21cn.com/tousu/show/id/1332798","http://ts.21cn.com/tousu/show/id/1332798")</f>
        <v>http://ts.21cn.com/tousu/show/id/1332798</v>
      </c>
      <c r="F2227" s="2" t="s">
        <v>11</v>
      </c>
      <c r="G2227" s="2" t="s">
        <v>39759</v>
      </c>
      <c r="H2227" s="2" t="s">
        <v>36827</v>
      </c>
    </row>
    <row r="2228" spans="1:8" ht="25.05" customHeight="1" x14ac:dyDescent="0.25">
      <c r="A2228" s="2" t="s">
        <v>8</v>
      </c>
      <c r="B2228" s="2" t="str">
        <f>HYPERLINK("http://ts.21cn.com/tousu/show/id/1332799","高利贷，暴力催收")</f>
        <v>高利贷，暴力催收</v>
      </c>
      <c r="C2228" s="2" t="s">
        <v>9</v>
      </c>
      <c r="D2228" s="2" t="s">
        <v>10</v>
      </c>
      <c r="E2228" s="2" t="str">
        <f>HYPERLINK("http://ts.21cn.com/tousu/show/id/1332799","http://ts.21cn.com/tousu/show/id/1332799")</f>
        <v>http://ts.21cn.com/tousu/show/id/1332799</v>
      </c>
      <c r="F2228" s="2" t="s">
        <v>11</v>
      </c>
      <c r="G2228" s="2" t="s">
        <v>39757</v>
      </c>
      <c r="H2228" s="2" t="s">
        <v>39758</v>
      </c>
    </row>
    <row r="2229" spans="1:8" ht="25.05" customHeight="1" x14ac:dyDescent="0.25">
      <c r="A2229" s="2" t="s">
        <v>8</v>
      </c>
      <c r="B2229" s="2" t="str">
        <f>HYPERLINK("http://ts.21cn.com/tousu/show/id/1332801","买家损坏衣服退货，淘宝小二不作为直接给买家退款，卖家权益受损")</f>
        <v>买家损坏衣服退货，淘宝小二不作为直接给买家退款，卖家权益受损</v>
      </c>
      <c r="C2229" s="2" t="s">
        <v>9</v>
      </c>
      <c r="D2229" s="2" t="s">
        <v>10</v>
      </c>
      <c r="E2229" s="2" t="str">
        <f>HYPERLINK("http://ts.21cn.com/tousu/show/id/1332801","http://ts.21cn.com/tousu/show/id/1332801")</f>
        <v>http://ts.21cn.com/tousu/show/id/1332801</v>
      </c>
      <c r="F2229" s="2" t="s">
        <v>11</v>
      </c>
      <c r="G2229" s="2" t="s">
        <v>39755</v>
      </c>
      <c r="H2229" s="2" t="s">
        <v>39756</v>
      </c>
    </row>
    <row r="2230" spans="1:8" ht="25.05" customHeight="1" x14ac:dyDescent="0.25">
      <c r="A2230" s="2" t="s">
        <v>8</v>
      </c>
      <c r="B2230" s="2" t="str">
        <f>HYPERLINK("http://ts.21cn.com/tousu/show/id/1332802","小花钱包暴力催收，骚扰亲朋好友")</f>
        <v>小花钱包暴力催收，骚扰亲朋好友</v>
      </c>
      <c r="C2230" s="2" t="s">
        <v>9</v>
      </c>
      <c r="D2230" s="2" t="s">
        <v>10</v>
      </c>
      <c r="E2230" s="2" t="str">
        <f>HYPERLINK("http://ts.21cn.com/tousu/show/id/1332802","http://ts.21cn.com/tousu/show/id/1332802")</f>
        <v>http://ts.21cn.com/tousu/show/id/1332802</v>
      </c>
      <c r="F2230" s="2" t="s">
        <v>11</v>
      </c>
      <c r="G2230" s="2" t="s">
        <v>39753</v>
      </c>
      <c r="H2230" s="2" t="s">
        <v>39754</v>
      </c>
    </row>
    <row r="2231" spans="1:8" ht="25.05" customHeight="1" x14ac:dyDescent="0.25">
      <c r="A2231" s="2" t="s">
        <v>8</v>
      </c>
      <c r="B2231" s="2" t="str">
        <f>HYPERLINK("http://ts.21cn.com/tousu/show/id/1332805","享骑出行不退押金")</f>
        <v>享骑出行不退押金</v>
      </c>
      <c r="C2231" s="2" t="s">
        <v>34</v>
      </c>
      <c r="D2231" s="2" t="s">
        <v>10</v>
      </c>
      <c r="E2231" s="2" t="str">
        <f>HYPERLINK("http://ts.21cn.com/tousu/show/id/1332805","http://ts.21cn.com/tousu/show/id/1332805")</f>
        <v>http://ts.21cn.com/tousu/show/id/1332805</v>
      </c>
      <c r="F2231" s="2" t="s">
        <v>11</v>
      </c>
      <c r="G2231" s="2" t="s">
        <v>39751</v>
      </c>
      <c r="H2231" s="2" t="s">
        <v>39752</v>
      </c>
    </row>
    <row r="2232" spans="1:8" ht="25.05" customHeight="1" x14ac:dyDescent="0.25">
      <c r="A2232" s="2" t="s">
        <v>8</v>
      </c>
      <c r="B2232" s="2" t="str">
        <f>HYPERLINK("http://ts.21cn.com/tousu/show/id/1332806","闪电公积金暴力催收")</f>
        <v>闪电公积金暴力催收</v>
      </c>
      <c r="C2232" s="2" t="s">
        <v>9</v>
      </c>
      <c r="D2232" s="2" t="s">
        <v>10</v>
      </c>
      <c r="E2232" s="2" t="str">
        <f>HYPERLINK("http://ts.21cn.com/tousu/show/id/1332806","http://ts.21cn.com/tousu/show/id/1332806")</f>
        <v>http://ts.21cn.com/tousu/show/id/1332806</v>
      </c>
      <c r="F2232" s="2" t="s">
        <v>11</v>
      </c>
      <c r="G2232" s="2" t="s">
        <v>39749</v>
      </c>
      <c r="H2232" s="2" t="s">
        <v>39750</v>
      </c>
    </row>
    <row r="2233" spans="1:8" ht="25.05" customHeight="1" x14ac:dyDescent="0.25">
      <c r="A2233" s="2" t="s">
        <v>8</v>
      </c>
      <c r="B2233" s="2" t="str">
        <f>HYPERLINK("http://ts.21cn.com/tousu/show/id/1332807","水莲金条协商还款")</f>
        <v>水莲金条协商还款</v>
      </c>
      <c r="C2233" s="2" t="s">
        <v>9</v>
      </c>
      <c r="D2233" s="2" t="s">
        <v>10</v>
      </c>
      <c r="E2233" s="2" t="str">
        <f>HYPERLINK("http://ts.21cn.com/tousu/show/id/1332807","http://ts.21cn.com/tousu/show/id/1332807")</f>
        <v>http://ts.21cn.com/tousu/show/id/1332807</v>
      </c>
      <c r="F2233" s="2" t="s">
        <v>11</v>
      </c>
      <c r="G2233" s="2" t="s">
        <v>39747</v>
      </c>
      <c r="H2233" s="2" t="s">
        <v>39748</v>
      </c>
    </row>
    <row r="2234" spans="1:8" ht="25.05" customHeight="1" x14ac:dyDescent="0.25">
      <c r="A2234" s="2" t="s">
        <v>8</v>
      </c>
      <c r="B2234" s="2" t="str">
        <f>HYPERLINK("http://ts.21cn.com/tousu/show/id/1332808","猴犀利套路贷")</f>
        <v>猴犀利套路贷</v>
      </c>
      <c r="C2234" s="2" t="s">
        <v>9</v>
      </c>
      <c r="D2234" s="2" t="s">
        <v>10</v>
      </c>
      <c r="E2234" s="2" t="str">
        <f>HYPERLINK("http://ts.21cn.com/tousu/show/id/1332808","http://ts.21cn.com/tousu/show/id/1332808")</f>
        <v>http://ts.21cn.com/tousu/show/id/1332808</v>
      </c>
      <c r="F2234" s="2" t="s">
        <v>11</v>
      </c>
      <c r="G2234" s="2" t="s">
        <v>39745</v>
      </c>
      <c r="H2234" s="2" t="s">
        <v>39746</v>
      </c>
    </row>
    <row r="2235" spans="1:8" ht="25.05" customHeight="1" x14ac:dyDescent="0.25">
      <c r="A2235" s="2" t="s">
        <v>8</v>
      </c>
      <c r="B2235" s="2" t="str">
        <f>HYPERLINK("http://ts.21cn.com/tousu/show/id/1332809","强制买保险要求退还")</f>
        <v>强制买保险要求退还</v>
      </c>
      <c r="C2235" s="2" t="s">
        <v>9</v>
      </c>
      <c r="D2235" s="2" t="s">
        <v>10</v>
      </c>
      <c r="E2235" s="2" t="str">
        <f>HYPERLINK("http://ts.21cn.com/tousu/show/id/1332809","http://ts.21cn.com/tousu/show/id/1332809")</f>
        <v>http://ts.21cn.com/tousu/show/id/1332809</v>
      </c>
      <c r="F2235" s="2" t="s">
        <v>11</v>
      </c>
      <c r="G2235" s="2" t="s">
        <v>39743</v>
      </c>
      <c r="H2235" s="2" t="s">
        <v>39744</v>
      </c>
    </row>
    <row r="2236" spans="1:8" ht="25.05" customHeight="1" x14ac:dyDescent="0.25">
      <c r="A2236" s="2" t="s">
        <v>8</v>
      </c>
      <c r="B2236" s="2" t="str">
        <f>HYPERLINK("http://ts.21cn.com/tousu/show/id/1332812","交通银行雇佣外人催收还款，进行语言攻击和威胁")</f>
        <v>交通银行雇佣外人催收还款，进行语言攻击和威胁</v>
      </c>
      <c r="C2236" s="2" t="s">
        <v>9</v>
      </c>
      <c r="D2236" s="2" t="s">
        <v>10</v>
      </c>
      <c r="E2236" s="2" t="str">
        <f>HYPERLINK("http://ts.21cn.com/tousu/show/id/1332812","http://ts.21cn.com/tousu/show/id/1332812")</f>
        <v>http://ts.21cn.com/tousu/show/id/1332812</v>
      </c>
      <c r="F2236" s="2" t="s">
        <v>11</v>
      </c>
      <c r="G2236" s="2" t="s">
        <v>39741</v>
      </c>
      <c r="H2236" s="2" t="s">
        <v>39742</v>
      </c>
    </row>
    <row r="2237" spans="1:8" ht="25.05" customHeight="1" x14ac:dyDescent="0.25">
      <c r="A2237" s="2" t="s">
        <v>8</v>
      </c>
      <c r="B2237" s="2" t="str">
        <f>HYPERLINK("http://ts.21cn.com/tousu/show/id/1332810","中原消费金融")</f>
        <v>中原消费金融</v>
      </c>
      <c r="C2237" s="2" t="s">
        <v>9</v>
      </c>
      <c r="D2237" s="2" t="s">
        <v>10</v>
      </c>
      <c r="E2237" s="2" t="str">
        <f>HYPERLINK("http://ts.21cn.com/tousu/show/id/1332810","http://ts.21cn.com/tousu/show/id/1332810")</f>
        <v>http://ts.21cn.com/tousu/show/id/1332810</v>
      </c>
      <c r="F2237" s="2" t="s">
        <v>11</v>
      </c>
      <c r="G2237" s="2" t="s">
        <v>39739</v>
      </c>
      <c r="H2237" s="2" t="s">
        <v>39740</v>
      </c>
    </row>
    <row r="2238" spans="1:8" ht="25.05" customHeight="1" x14ac:dyDescent="0.25">
      <c r="A2238" s="2" t="s">
        <v>8</v>
      </c>
      <c r="B2238" s="2" t="str">
        <f>HYPERLINK("http://ts.21cn.com/tousu/show/id/1332811","宜人万花道歉")</f>
        <v>宜人万花道歉</v>
      </c>
      <c r="C2238" s="2" t="s">
        <v>34</v>
      </c>
      <c r="D2238" s="2" t="s">
        <v>10</v>
      </c>
      <c r="E2238" s="2" t="str">
        <f>HYPERLINK("http://ts.21cn.com/tousu/show/id/1332811","http://ts.21cn.com/tousu/show/id/1332811")</f>
        <v>http://ts.21cn.com/tousu/show/id/1332811</v>
      </c>
      <c r="F2238" s="2" t="s">
        <v>11</v>
      </c>
      <c r="G2238" s="2" t="s">
        <v>39737</v>
      </c>
      <c r="H2238" s="2" t="s">
        <v>39738</v>
      </c>
    </row>
    <row r="2239" spans="1:8" ht="25.05" customHeight="1" x14ac:dyDescent="0.25">
      <c r="A2239" s="2" t="s">
        <v>8</v>
      </c>
      <c r="B2239" s="2" t="str">
        <f>HYPERLINK("http://ts.21cn.com/tousu/show/id/1332813","还款日还不了款")</f>
        <v>还款日还不了款</v>
      </c>
      <c r="C2239" s="2" t="s">
        <v>34</v>
      </c>
      <c r="D2239" s="2" t="s">
        <v>10</v>
      </c>
      <c r="E2239" s="2" t="str">
        <f>HYPERLINK("http://ts.21cn.com/tousu/show/id/1332813","http://ts.21cn.com/tousu/show/id/1332813")</f>
        <v>http://ts.21cn.com/tousu/show/id/1332813</v>
      </c>
      <c r="F2239" s="2" t="s">
        <v>11</v>
      </c>
      <c r="G2239" s="2" t="s">
        <v>39735</v>
      </c>
      <c r="H2239" s="2" t="s">
        <v>39736</v>
      </c>
    </row>
    <row r="2240" spans="1:8" ht="25.05" customHeight="1" x14ac:dyDescent="0.25">
      <c r="A2240" s="2" t="s">
        <v>8</v>
      </c>
      <c r="B2240" s="2" t="str">
        <f>HYPERLINK("http://ts.21cn.com/tousu/show/id/1332814","中信银行信用卡暴力催收，辱骂")</f>
        <v>中信银行信用卡暴力催收，辱骂</v>
      </c>
      <c r="C2240" s="2" t="s">
        <v>9</v>
      </c>
      <c r="D2240" s="2" t="s">
        <v>10</v>
      </c>
      <c r="E2240" s="2" t="str">
        <f>HYPERLINK("http://ts.21cn.com/tousu/show/id/1332814","http://ts.21cn.com/tousu/show/id/1332814")</f>
        <v>http://ts.21cn.com/tousu/show/id/1332814</v>
      </c>
      <c r="F2240" s="2" t="s">
        <v>11</v>
      </c>
      <c r="G2240" s="2" t="s">
        <v>39733</v>
      </c>
      <c r="H2240" s="2" t="s">
        <v>39734</v>
      </c>
    </row>
    <row r="2241" spans="1:8" ht="25.05" customHeight="1" x14ac:dyDescent="0.25">
      <c r="A2241" s="2" t="s">
        <v>8</v>
      </c>
      <c r="B2241" s="2" t="str">
        <f>HYPERLINK("http://ts.21cn.com/tousu/show/id/1332816","微信商业版资金冻结不能提现")</f>
        <v>微信商业版资金冻结不能提现</v>
      </c>
      <c r="C2241" s="2" t="s">
        <v>9</v>
      </c>
      <c r="D2241" s="2" t="s">
        <v>10</v>
      </c>
      <c r="E2241" s="2" t="str">
        <f>HYPERLINK("http://ts.21cn.com/tousu/show/id/1332816","http://ts.21cn.com/tousu/show/id/1332816")</f>
        <v>http://ts.21cn.com/tousu/show/id/1332816</v>
      </c>
      <c r="F2241" s="2" t="s">
        <v>11</v>
      </c>
      <c r="G2241" s="2" t="s">
        <v>39731</v>
      </c>
      <c r="H2241" s="2" t="s">
        <v>39732</v>
      </c>
    </row>
    <row r="2242" spans="1:8" ht="25.05" customHeight="1" x14ac:dyDescent="0.25">
      <c r="A2242" s="2" t="s">
        <v>8</v>
      </c>
      <c r="B2242" s="2" t="str">
        <f>HYPERLINK("http://ts.21cn.com/tousu/show/id/1332815","玖富万卡黑社会")</f>
        <v>玖富万卡黑社会</v>
      </c>
      <c r="C2242" s="2" t="s">
        <v>9</v>
      </c>
      <c r="D2242" s="2" t="s">
        <v>10</v>
      </c>
      <c r="E2242" s="2" t="str">
        <f>HYPERLINK("http://ts.21cn.com/tousu/show/id/1332815","http://ts.21cn.com/tousu/show/id/1332815")</f>
        <v>http://ts.21cn.com/tousu/show/id/1332815</v>
      </c>
      <c r="F2242" s="2" t="s">
        <v>11</v>
      </c>
      <c r="G2242" s="2" t="s">
        <v>39729</v>
      </c>
      <c r="H2242" s="2" t="s">
        <v>39730</v>
      </c>
    </row>
    <row r="2243" spans="1:8" ht="25.05" customHeight="1" x14ac:dyDescent="0.25">
      <c r="A2243" s="2" t="s">
        <v>8</v>
      </c>
      <c r="B2243" s="2" t="str">
        <f>HYPERLINK("http://ts.21cn.com/tousu/show/id/1332817","顺丰快递送货延误，导致东西坏掉，而且态度恶劣")</f>
        <v>顺丰快递送货延误，导致东西坏掉，而且态度恶劣</v>
      </c>
      <c r="C2243" s="2" t="s">
        <v>9</v>
      </c>
      <c r="D2243" s="2" t="s">
        <v>10</v>
      </c>
      <c r="E2243" s="2" t="str">
        <f>HYPERLINK("http://ts.21cn.com/tousu/show/id/1332817","http://ts.21cn.com/tousu/show/id/1332817")</f>
        <v>http://ts.21cn.com/tousu/show/id/1332817</v>
      </c>
      <c r="F2243" s="2" t="s">
        <v>11</v>
      </c>
      <c r="G2243" s="2" t="s">
        <v>39727</v>
      </c>
      <c r="H2243" s="2" t="s">
        <v>39728</v>
      </c>
    </row>
    <row r="2244" spans="1:8" ht="25.05" customHeight="1" x14ac:dyDescent="0.25">
      <c r="A2244" s="2" t="s">
        <v>8</v>
      </c>
      <c r="B2244" s="2" t="str">
        <f>HYPERLINK("http://ts.21cn.com/tousu/show/id/1332818","无缘无故扣款？")</f>
        <v>无缘无故扣款？</v>
      </c>
      <c r="C2244" s="2" t="s">
        <v>9</v>
      </c>
      <c r="D2244" s="2" t="s">
        <v>10</v>
      </c>
      <c r="E2244" s="2" t="str">
        <f>HYPERLINK("http://ts.21cn.com/tousu/show/id/1332818","http://ts.21cn.com/tousu/show/id/1332818")</f>
        <v>http://ts.21cn.com/tousu/show/id/1332818</v>
      </c>
      <c r="F2244" s="2" t="s">
        <v>11</v>
      </c>
      <c r="G2244" s="2" t="s">
        <v>39725</v>
      </c>
      <c r="H2244" s="2" t="s">
        <v>39726</v>
      </c>
    </row>
    <row r="2245" spans="1:8" ht="25.05" customHeight="1" x14ac:dyDescent="0.25">
      <c r="A2245" s="2" t="s">
        <v>8</v>
      </c>
      <c r="B2245" s="2" t="str">
        <f>HYPERLINK("http://ts.21cn.com/tousu/show/id/1332819","在交易猫卖号捆绑保险")</f>
        <v>在交易猫卖号捆绑保险</v>
      </c>
      <c r="C2245" s="2" t="s">
        <v>9</v>
      </c>
      <c r="D2245" s="2" t="s">
        <v>10</v>
      </c>
      <c r="E2245" s="2" t="str">
        <f>HYPERLINK("http://ts.21cn.com/tousu/show/id/1332819","http://ts.21cn.com/tousu/show/id/1332819")</f>
        <v>http://ts.21cn.com/tousu/show/id/1332819</v>
      </c>
      <c r="F2245" s="2" t="s">
        <v>11</v>
      </c>
      <c r="G2245" s="2" t="s">
        <v>39723</v>
      </c>
      <c r="H2245" s="2" t="s">
        <v>39724</v>
      </c>
    </row>
    <row r="2246" spans="1:8" ht="25.05" customHeight="1" x14ac:dyDescent="0.25">
      <c r="A2246" s="2" t="s">
        <v>8</v>
      </c>
      <c r="B2246" s="2" t="str">
        <f>HYPERLINK("http://ts.21cn.com/tousu/show/id/1332820","唯品会投诉专题")</f>
        <v>唯品会投诉专题</v>
      </c>
      <c r="C2246" s="2" t="s">
        <v>9</v>
      </c>
      <c r="D2246" s="2" t="s">
        <v>10</v>
      </c>
      <c r="E2246" s="2" t="str">
        <f>HYPERLINK("http://ts.21cn.com/tousu/show/id/1332820","http://ts.21cn.com/tousu/show/id/1332820")</f>
        <v>http://ts.21cn.com/tousu/show/id/1332820</v>
      </c>
      <c r="F2246" s="2" t="s">
        <v>11</v>
      </c>
      <c r="G2246" s="2" t="s">
        <v>39721</v>
      </c>
      <c r="H2246" s="2" t="s">
        <v>39722</v>
      </c>
    </row>
    <row r="2247" spans="1:8" ht="25.05" customHeight="1" x14ac:dyDescent="0.25">
      <c r="A2247" s="2" t="s">
        <v>8</v>
      </c>
      <c r="B2247" s="2" t="str">
        <f>HYPERLINK("http://ts.21cn.com/tousu/show/id/1332821","年利率超过36%，暴力催收，对通讯录联系人恶意频繁轰炸来电，严重影响其生活")</f>
        <v>年利率超过36%，暴力催收，对通讯录联系人恶意频繁轰炸来电，严重影响其生活</v>
      </c>
      <c r="C2247" s="2" t="s">
        <v>9</v>
      </c>
      <c r="D2247" s="2" t="s">
        <v>10</v>
      </c>
      <c r="E2247" s="2" t="str">
        <f>HYPERLINK("http://ts.21cn.com/tousu/show/id/1332821","http://ts.21cn.com/tousu/show/id/1332821")</f>
        <v>http://ts.21cn.com/tousu/show/id/1332821</v>
      </c>
      <c r="F2247" s="2" t="s">
        <v>11</v>
      </c>
      <c r="G2247" s="2" t="s">
        <v>39719</v>
      </c>
      <c r="H2247" s="2" t="s">
        <v>39720</v>
      </c>
    </row>
    <row r="2248" spans="1:8" ht="25.05" customHeight="1" x14ac:dyDescent="0.25">
      <c r="A2248" s="2" t="s">
        <v>8</v>
      </c>
      <c r="B2248" s="2" t="str">
        <f>HYPERLINK("http://ts.21cn.com/tousu/show/id/1332822","在交易猫上买了账号后客服不理人，无法交易")</f>
        <v>在交易猫上买了账号后客服不理人，无法交易</v>
      </c>
      <c r="C2248" s="2" t="s">
        <v>9</v>
      </c>
      <c r="D2248" s="2" t="s">
        <v>10</v>
      </c>
      <c r="E2248" s="2" t="str">
        <f>HYPERLINK("http://ts.21cn.com/tousu/show/id/1332822","http://ts.21cn.com/tousu/show/id/1332822")</f>
        <v>http://ts.21cn.com/tousu/show/id/1332822</v>
      </c>
      <c r="F2248" s="2" t="s">
        <v>11</v>
      </c>
      <c r="G2248" s="2" t="s">
        <v>39717</v>
      </c>
      <c r="H2248" s="2" t="s">
        <v>39718</v>
      </c>
    </row>
    <row r="2249" spans="1:8" ht="25.05" customHeight="1" x14ac:dyDescent="0.25">
      <c r="A2249" s="2" t="s">
        <v>8</v>
      </c>
      <c r="B2249" s="2" t="str">
        <f>HYPERLINK("http://ts.21cn.com/tousu/show/id/1332823","交通银行暴力催收")</f>
        <v>交通银行暴力催收</v>
      </c>
      <c r="C2249" s="2" t="s">
        <v>9</v>
      </c>
      <c r="D2249" s="2" t="s">
        <v>10</v>
      </c>
      <c r="E2249" s="2" t="str">
        <f>HYPERLINK("http://ts.21cn.com/tousu/show/id/1332823","http://ts.21cn.com/tousu/show/id/1332823")</f>
        <v>http://ts.21cn.com/tousu/show/id/1332823</v>
      </c>
      <c r="F2249" s="2" t="s">
        <v>11</v>
      </c>
      <c r="G2249" s="2" t="s">
        <v>39715</v>
      </c>
      <c r="H2249" s="2" t="s">
        <v>39716</v>
      </c>
    </row>
    <row r="2250" spans="1:8" ht="25.05" customHeight="1" x14ac:dyDescent="0.25">
      <c r="A2250" s="2" t="s">
        <v>8</v>
      </c>
      <c r="B2250" s="2" t="str">
        <f>HYPERLINK("http://ts.21cn.com/tousu/show/id/1332804","贷上钱指上旅行高利贷高额砍头息暴利催收")</f>
        <v>贷上钱指上旅行高利贷高额砍头息暴利催收</v>
      </c>
      <c r="C2250" s="2" t="s">
        <v>9</v>
      </c>
      <c r="D2250" s="2" t="s">
        <v>10</v>
      </c>
      <c r="E2250" s="2" t="str">
        <f>HYPERLINK("http://ts.21cn.com/tousu/show/id/1332804","http://ts.21cn.com/tousu/show/id/1332804")</f>
        <v>http://ts.21cn.com/tousu/show/id/1332804</v>
      </c>
      <c r="F2250" s="2" t="s">
        <v>11</v>
      </c>
      <c r="G2250" s="2" t="s">
        <v>39713</v>
      </c>
      <c r="H2250" s="2" t="s">
        <v>39714</v>
      </c>
    </row>
    <row r="2251" spans="1:8" ht="25.05" customHeight="1" x14ac:dyDescent="0.25">
      <c r="A2251" s="2" t="s">
        <v>8</v>
      </c>
      <c r="B2251" s="2" t="str">
        <f>HYPERLINK("http://ts.21cn.com/tousu/show/id/1332825","水莲金条协商还款")</f>
        <v>水莲金条协商还款</v>
      </c>
      <c r="C2251" s="2" t="s">
        <v>9</v>
      </c>
      <c r="D2251" s="2" t="s">
        <v>10</v>
      </c>
      <c r="E2251" s="2" t="str">
        <f>HYPERLINK("http://ts.21cn.com/tousu/show/id/1332825","http://ts.21cn.com/tousu/show/id/1332825")</f>
        <v>http://ts.21cn.com/tousu/show/id/1332825</v>
      </c>
      <c r="F2251" s="2" t="s">
        <v>11</v>
      </c>
      <c r="G2251" s="2" t="s">
        <v>39711</v>
      </c>
      <c r="H2251" s="2" t="s">
        <v>39712</v>
      </c>
    </row>
    <row r="2252" spans="1:8" ht="25.05" customHeight="1" x14ac:dyDescent="0.25">
      <c r="A2252" s="2" t="s">
        <v>8</v>
      </c>
      <c r="B2252" s="2" t="str">
        <f>HYPERLINK("http://ts.21cn.com/tousu/show/id/1332800","酒店入住因酒店情需要退款")</f>
        <v>酒店入住因酒店情需要退款</v>
      </c>
      <c r="C2252" s="2" t="s">
        <v>9</v>
      </c>
      <c r="D2252" s="2" t="s">
        <v>10</v>
      </c>
      <c r="E2252" s="2" t="str">
        <f>HYPERLINK("http://ts.21cn.com/tousu/show/id/1332800","http://ts.21cn.com/tousu/show/id/1332800")</f>
        <v>http://ts.21cn.com/tousu/show/id/1332800</v>
      </c>
      <c r="F2252" s="2" t="s">
        <v>11</v>
      </c>
      <c r="G2252" s="2" t="s">
        <v>39709</v>
      </c>
      <c r="H2252" s="2" t="s">
        <v>39710</v>
      </c>
    </row>
    <row r="2253" spans="1:8" ht="25.05" customHeight="1" x14ac:dyDescent="0.25">
      <c r="A2253" s="2" t="s">
        <v>8</v>
      </c>
      <c r="B2253" s="2" t="str">
        <f>HYPERLINK("http://ts.21cn.com/tousu/show/id/1332826","小通商场扣款")</f>
        <v>小通商场扣款</v>
      </c>
      <c r="C2253" s="2" t="s">
        <v>9</v>
      </c>
      <c r="D2253" s="2" t="s">
        <v>10</v>
      </c>
      <c r="E2253" s="2" t="str">
        <f>HYPERLINK("http://ts.21cn.com/tousu/show/id/1332826","http://ts.21cn.com/tousu/show/id/1332826")</f>
        <v>http://ts.21cn.com/tousu/show/id/1332826</v>
      </c>
      <c r="F2253" s="2" t="s">
        <v>11</v>
      </c>
      <c r="G2253" s="2" t="s">
        <v>39707</v>
      </c>
      <c r="H2253" s="2" t="s">
        <v>39708</v>
      </c>
    </row>
    <row r="2254" spans="1:8" ht="25.05" customHeight="1" x14ac:dyDescent="0.25">
      <c r="A2254" s="2" t="s">
        <v>8</v>
      </c>
      <c r="B2254" s="2" t="str">
        <f>HYPERLINK("http://ts.21cn.com/tousu/show/id/1332827","联系平台取消合同")</f>
        <v>联系平台取消合同</v>
      </c>
      <c r="C2254" s="2" t="s">
        <v>9</v>
      </c>
      <c r="D2254" s="2" t="s">
        <v>10</v>
      </c>
      <c r="E2254" s="2" t="str">
        <f>HYPERLINK("http://ts.21cn.com/tousu/show/id/1332827","http://ts.21cn.com/tousu/show/id/1332827")</f>
        <v>http://ts.21cn.com/tousu/show/id/1332827</v>
      </c>
      <c r="F2254" s="2" t="s">
        <v>11</v>
      </c>
      <c r="G2254" s="2" t="s">
        <v>39705</v>
      </c>
      <c r="H2254" s="2" t="s">
        <v>39706</v>
      </c>
    </row>
    <row r="2255" spans="1:8" ht="25.05" customHeight="1" x14ac:dyDescent="0.25">
      <c r="A2255" s="2" t="s">
        <v>8</v>
      </c>
      <c r="B2255" s="2" t="str">
        <f>HYPERLINK("http://ts.21cn.com/tousu/show/id/1332828","爆通讯录，威胁恐吓上门毁坏个人名誉")</f>
        <v>爆通讯录，威胁恐吓上门毁坏个人名誉</v>
      </c>
      <c r="C2255" s="2" t="s">
        <v>9</v>
      </c>
      <c r="D2255" s="2" t="s">
        <v>10</v>
      </c>
      <c r="E2255" s="2" t="str">
        <f>HYPERLINK("http://ts.21cn.com/tousu/show/id/1332828","http://ts.21cn.com/tousu/show/id/1332828")</f>
        <v>http://ts.21cn.com/tousu/show/id/1332828</v>
      </c>
      <c r="F2255" s="2" t="s">
        <v>11</v>
      </c>
      <c r="G2255" s="2" t="s">
        <v>39703</v>
      </c>
      <c r="H2255" s="2" t="s">
        <v>39704</v>
      </c>
    </row>
    <row r="2256" spans="1:8" ht="25.05" customHeight="1" x14ac:dyDescent="0.25">
      <c r="A2256" s="2" t="s">
        <v>8</v>
      </c>
      <c r="B2256" s="2" t="str">
        <f>HYPERLINK("http://ts.21cn.com/tousu/show/id/1332829","催收态度不好")</f>
        <v>催收态度不好</v>
      </c>
      <c r="C2256" s="2" t="s">
        <v>9</v>
      </c>
      <c r="D2256" s="2" t="s">
        <v>10</v>
      </c>
      <c r="E2256" s="2" t="str">
        <f>HYPERLINK("http://ts.21cn.com/tousu/show/id/1332829","http://ts.21cn.com/tousu/show/id/1332829")</f>
        <v>http://ts.21cn.com/tousu/show/id/1332829</v>
      </c>
      <c r="F2256" s="2" t="s">
        <v>11</v>
      </c>
      <c r="G2256" s="2" t="s">
        <v>39701</v>
      </c>
      <c r="H2256" s="2" t="s">
        <v>39702</v>
      </c>
    </row>
    <row r="2257" spans="1:8" ht="25.05" customHeight="1" x14ac:dyDescent="0.25">
      <c r="A2257" s="2" t="s">
        <v>8</v>
      </c>
      <c r="B2257" s="2" t="str">
        <f>HYPERLINK("http://ts.21cn.com/tousu/show/id/1332830","居家易贷高额利息")</f>
        <v>居家易贷高额利息</v>
      </c>
      <c r="C2257" s="2" t="s">
        <v>9</v>
      </c>
      <c r="D2257" s="2" t="s">
        <v>10</v>
      </c>
      <c r="E2257" s="2" t="str">
        <f>HYPERLINK("http://ts.21cn.com/tousu/show/id/1332830","http://ts.21cn.com/tousu/show/id/1332830")</f>
        <v>http://ts.21cn.com/tousu/show/id/1332830</v>
      </c>
      <c r="F2257" s="2" t="s">
        <v>11</v>
      </c>
      <c r="G2257" s="2" t="s">
        <v>39699</v>
      </c>
      <c r="H2257" s="2" t="s">
        <v>39700</v>
      </c>
    </row>
    <row r="2258" spans="1:8" ht="25.05" customHeight="1" x14ac:dyDescent="0.25">
      <c r="A2258" s="2" t="s">
        <v>8</v>
      </c>
      <c r="B2258" s="2" t="str">
        <f>HYPERLINK("http://ts.21cn.com/tousu/show/id/1332834","中腾信电话恐吓威胁")</f>
        <v>中腾信电话恐吓威胁</v>
      </c>
      <c r="C2258" s="2" t="s">
        <v>9</v>
      </c>
      <c r="D2258" s="2" t="s">
        <v>10</v>
      </c>
      <c r="E2258" s="2" t="str">
        <f>HYPERLINK("http://ts.21cn.com/tousu/show/id/1332834","http://ts.21cn.com/tousu/show/id/1332834")</f>
        <v>http://ts.21cn.com/tousu/show/id/1332834</v>
      </c>
      <c r="F2258" s="2" t="s">
        <v>11</v>
      </c>
      <c r="G2258" s="2" t="s">
        <v>39697</v>
      </c>
      <c r="H2258" s="2" t="s">
        <v>39698</v>
      </c>
    </row>
    <row r="2259" spans="1:8" ht="25.05" customHeight="1" x14ac:dyDescent="0.25">
      <c r="A2259" s="2" t="s">
        <v>8</v>
      </c>
      <c r="B2259" s="2" t="str">
        <f>HYPERLINK("http://ts.21cn.com/tousu/show/id/1332832","高利贷，砍头息")</f>
        <v>高利贷，砍头息</v>
      </c>
      <c r="C2259" s="2" t="s">
        <v>9</v>
      </c>
      <c r="D2259" s="2" t="s">
        <v>10</v>
      </c>
      <c r="E2259" s="2" t="str">
        <f>HYPERLINK("http://ts.21cn.com/tousu/show/id/1332832","http://ts.21cn.com/tousu/show/id/1332832")</f>
        <v>http://ts.21cn.com/tousu/show/id/1332832</v>
      </c>
      <c r="F2259" s="2" t="s">
        <v>11</v>
      </c>
      <c r="G2259" s="2" t="s">
        <v>39695</v>
      </c>
      <c r="H2259" s="2" t="s">
        <v>39696</v>
      </c>
    </row>
    <row r="2260" spans="1:8" ht="25.05" customHeight="1" x14ac:dyDescent="0.25">
      <c r="A2260" s="2" t="s">
        <v>8</v>
      </c>
      <c r="B2260" s="2" t="str">
        <f>HYPERLINK("http://ts.21cn.com/tousu/show/id/1332836","投诉威力贷高利贷平台")</f>
        <v>投诉威力贷高利贷平台</v>
      </c>
      <c r="C2260" s="2" t="s">
        <v>9</v>
      </c>
      <c r="D2260" s="2" t="s">
        <v>10</v>
      </c>
      <c r="E2260" s="2" t="str">
        <f>HYPERLINK("http://ts.21cn.com/tousu/show/id/1332836","http://ts.21cn.com/tousu/show/id/1332836")</f>
        <v>http://ts.21cn.com/tousu/show/id/1332836</v>
      </c>
      <c r="F2260" s="2" t="s">
        <v>11</v>
      </c>
      <c r="G2260" s="2" t="s">
        <v>39693</v>
      </c>
      <c r="H2260" s="2" t="s">
        <v>39694</v>
      </c>
    </row>
    <row r="2261" spans="1:8" ht="25.05" customHeight="1" x14ac:dyDescent="0.25">
      <c r="A2261" s="2" t="s">
        <v>8</v>
      </c>
      <c r="B2261" s="2" t="str">
        <f>HYPERLINK("http://ts.21cn.com/tousu/show/id/1332833","拒不监测发货")</f>
        <v>拒不监测发货</v>
      </c>
      <c r="C2261" s="2" t="s">
        <v>34</v>
      </c>
      <c r="D2261" s="2" t="s">
        <v>10</v>
      </c>
      <c r="E2261" s="2" t="str">
        <f>HYPERLINK("http://ts.21cn.com/tousu/show/id/1332833","http://ts.21cn.com/tousu/show/id/1332833")</f>
        <v>http://ts.21cn.com/tousu/show/id/1332833</v>
      </c>
      <c r="F2261" s="2" t="s">
        <v>11</v>
      </c>
      <c r="G2261" s="2" t="s">
        <v>39691</v>
      </c>
      <c r="H2261" s="2" t="s">
        <v>39692</v>
      </c>
    </row>
    <row r="2262" spans="1:8" ht="25.05" customHeight="1" x14ac:dyDescent="0.25">
      <c r="A2262" s="2" t="s">
        <v>8</v>
      </c>
      <c r="B2262" s="2" t="str">
        <f>HYPERLINK("http://ts.21cn.com/tousu/show/id/1332835","自由魔卡里的诺和信用计划存在砍头息")</f>
        <v>自由魔卡里的诺和信用计划存在砍头息</v>
      </c>
      <c r="C2262" s="2" t="s">
        <v>9</v>
      </c>
      <c r="D2262" s="2" t="s">
        <v>10</v>
      </c>
      <c r="E2262" s="2" t="str">
        <f>HYPERLINK("http://ts.21cn.com/tousu/show/id/1332835","http://ts.21cn.com/tousu/show/id/1332835")</f>
        <v>http://ts.21cn.com/tousu/show/id/1332835</v>
      </c>
      <c r="F2262" s="2" t="s">
        <v>11</v>
      </c>
      <c r="G2262" s="2" t="s">
        <v>39689</v>
      </c>
      <c r="H2262" s="2" t="s">
        <v>39690</v>
      </c>
    </row>
    <row r="2263" spans="1:8" ht="25.05" customHeight="1" x14ac:dyDescent="0.25">
      <c r="A2263" s="2" t="s">
        <v>8</v>
      </c>
      <c r="B2263" s="2" t="str">
        <f>HYPERLINK("http://ts.21cn.com/tousu/show/id/1332837","造艺科技扣款")</f>
        <v>造艺科技扣款</v>
      </c>
      <c r="C2263" s="2" t="s">
        <v>34</v>
      </c>
      <c r="D2263" s="2" t="s">
        <v>10</v>
      </c>
      <c r="E2263" s="2" t="str">
        <f>HYPERLINK("http://ts.21cn.com/tousu/show/id/1332837","http://ts.21cn.com/tousu/show/id/1332837")</f>
        <v>http://ts.21cn.com/tousu/show/id/1332837</v>
      </c>
      <c r="F2263" s="2" t="s">
        <v>11</v>
      </c>
      <c r="G2263" s="2" t="s">
        <v>39687</v>
      </c>
      <c r="H2263" s="2" t="s">
        <v>39688</v>
      </c>
    </row>
    <row r="2264" spans="1:8" ht="25.05" customHeight="1" x14ac:dyDescent="0.25">
      <c r="A2264" s="2" t="s">
        <v>8</v>
      </c>
      <c r="B2264" s="2" t="str">
        <f>HYPERLINK("http://ts.21cn.com/tousu/show/id/1332838","威胁，上门催收")</f>
        <v>威胁，上门催收</v>
      </c>
      <c r="C2264" s="2" t="s">
        <v>9</v>
      </c>
      <c r="D2264" s="2" t="s">
        <v>10</v>
      </c>
      <c r="E2264" s="2" t="str">
        <f>HYPERLINK("http://ts.21cn.com/tousu/show/id/1332838","http://ts.21cn.com/tousu/show/id/1332838")</f>
        <v>http://ts.21cn.com/tousu/show/id/1332838</v>
      </c>
      <c r="F2264" s="2" t="s">
        <v>11</v>
      </c>
      <c r="G2264" s="2" t="s">
        <v>39685</v>
      </c>
      <c r="H2264" s="2" t="s">
        <v>39686</v>
      </c>
    </row>
    <row r="2265" spans="1:8" ht="25.05" customHeight="1" x14ac:dyDescent="0.25">
      <c r="A2265" s="2" t="s">
        <v>8</v>
      </c>
      <c r="B2265" s="2" t="str">
        <f>HYPERLINK("http://ts.21cn.com/tousu/show/id/1332840","高利贷拒绝协商还款暴力威胁威胁通讯录好友")</f>
        <v>高利贷拒绝协商还款暴力威胁威胁通讯录好友</v>
      </c>
      <c r="C2265" s="2" t="s">
        <v>9</v>
      </c>
      <c r="D2265" s="2" t="s">
        <v>10</v>
      </c>
      <c r="E2265" s="2" t="str">
        <f>HYPERLINK("http://ts.21cn.com/tousu/show/id/1332840","http://ts.21cn.com/tousu/show/id/1332840")</f>
        <v>http://ts.21cn.com/tousu/show/id/1332840</v>
      </c>
      <c r="F2265" s="2" t="s">
        <v>11</v>
      </c>
      <c r="G2265" s="2" t="s">
        <v>39683</v>
      </c>
      <c r="H2265" s="2" t="s">
        <v>39684</v>
      </c>
    </row>
    <row r="2266" spans="1:8" ht="25.05" customHeight="1" x14ac:dyDescent="0.25">
      <c r="A2266" s="2" t="s">
        <v>8</v>
      </c>
      <c r="B2266" s="2" t="str">
        <f>HYPERLINK("http://ts.21cn.com/tousu/show/id/1332839","及贷放款时直接扣除所谓的保费，存在欺诈消费行为")</f>
        <v>及贷放款时直接扣除所谓的保费，存在欺诈消费行为</v>
      </c>
      <c r="C2266" s="2" t="s">
        <v>9</v>
      </c>
      <c r="D2266" s="2" t="s">
        <v>10</v>
      </c>
      <c r="E2266" s="2" t="str">
        <f>HYPERLINK("http://ts.21cn.com/tousu/show/id/1332839","http://ts.21cn.com/tousu/show/id/1332839")</f>
        <v>http://ts.21cn.com/tousu/show/id/1332839</v>
      </c>
      <c r="F2266" s="2" t="s">
        <v>11</v>
      </c>
      <c r="G2266" s="2" t="s">
        <v>39681</v>
      </c>
      <c r="H2266" s="2" t="s">
        <v>39682</v>
      </c>
    </row>
    <row r="2267" spans="1:8" ht="25.05" customHeight="1" x14ac:dyDescent="0.25">
      <c r="A2267" s="2" t="s">
        <v>8</v>
      </c>
      <c r="B2267" s="2" t="str">
        <f>HYPERLINK("http://ts.21cn.com/tousu/show/id/1332841","收了彩礼之后联系不到人了")</f>
        <v>收了彩礼之后联系不到人了</v>
      </c>
      <c r="C2267" s="2" t="s">
        <v>34</v>
      </c>
      <c r="D2267" s="2" t="s">
        <v>10</v>
      </c>
      <c r="E2267" s="2" t="str">
        <f>HYPERLINK("http://ts.21cn.com/tousu/show/id/1332841","http://ts.21cn.com/tousu/show/id/1332841")</f>
        <v>http://ts.21cn.com/tousu/show/id/1332841</v>
      </c>
      <c r="F2267" s="2" t="s">
        <v>11</v>
      </c>
      <c r="G2267" s="2" t="s">
        <v>39679</v>
      </c>
      <c r="H2267" s="2" t="s">
        <v>39680</v>
      </c>
    </row>
    <row r="2268" spans="1:8" ht="25.05" customHeight="1" x14ac:dyDescent="0.25">
      <c r="A2268" s="2" t="s">
        <v>8</v>
      </c>
      <c r="B2268" s="2" t="str">
        <f>HYPERLINK("http://ts.21cn.com/tousu/show/id/1332843","平安普惠无理取闹说我逾期扣款失败多扣")</f>
        <v>平安普惠无理取闹说我逾期扣款失败多扣</v>
      </c>
      <c r="C2268" s="2" t="s">
        <v>9</v>
      </c>
      <c r="D2268" s="2" t="s">
        <v>10</v>
      </c>
      <c r="E2268" s="2" t="str">
        <f>HYPERLINK("http://ts.21cn.com/tousu/show/id/1332843","http://ts.21cn.com/tousu/show/id/1332843")</f>
        <v>http://ts.21cn.com/tousu/show/id/1332843</v>
      </c>
      <c r="F2268" s="2" t="s">
        <v>11</v>
      </c>
      <c r="G2268" s="2" t="s">
        <v>39677</v>
      </c>
      <c r="H2268" s="2" t="s">
        <v>39678</v>
      </c>
    </row>
    <row r="2269" spans="1:8" ht="25.05" customHeight="1" x14ac:dyDescent="0.25">
      <c r="A2269" s="2" t="s">
        <v>8</v>
      </c>
      <c r="B2269" s="2" t="str">
        <f>HYPERLINK("http://ts.21cn.com/tousu/show/id/1332845","兴业银行")</f>
        <v>兴业银行</v>
      </c>
      <c r="C2269" s="2" t="s">
        <v>9</v>
      </c>
      <c r="D2269" s="2" t="s">
        <v>10</v>
      </c>
      <c r="E2269" s="2" t="str">
        <f>HYPERLINK("http://ts.21cn.com/tousu/show/id/1332845","http://ts.21cn.com/tousu/show/id/1332845")</f>
        <v>http://ts.21cn.com/tousu/show/id/1332845</v>
      </c>
      <c r="F2269" s="2" t="s">
        <v>11</v>
      </c>
      <c r="G2269" s="2" t="s">
        <v>39675</v>
      </c>
      <c r="H2269" s="2" t="s">
        <v>39676</v>
      </c>
    </row>
    <row r="2270" spans="1:8" ht="25.05" customHeight="1" x14ac:dyDescent="0.25">
      <c r="A2270" s="2" t="s">
        <v>8</v>
      </c>
      <c r="B2270" s="2" t="str">
        <f>HYPERLINK("http://ts.21cn.com/tousu/show/id/1332844","拍拍贷对通讯录轰炸群发短信")</f>
        <v>拍拍贷对通讯录轰炸群发短信</v>
      </c>
      <c r="C2270" s="2" t="s">
        <v>9</v>
      </c>
      <c r="D2270" s="2" t="s">
        <v>10</v>
      </c>
      <c r="E2270" s="2" t="str">
        <f>HYPERLINK("http://ts.21cn.com/tousu/show/id/1332844","http://ts.21cn.com/tousu/show/id/1332844")</f>
        <v>http://ts.21cn.com/tousu/show/id/1332844</v>
      </c>
      <c r="F2270" s="2" t="s">
        <v>11</v>
      </c>
      <c r="G2270" s="2" t="s">
        <v>39673</v>
      </c>
      <c r="H2270" s="2" t="s">
        <v>39674</v>
      </c>
    </row>
    <row r="2271" spans="1:8" ht="25.05" customHeight="1" x14ac:dyDescent="0.25">
      <c r="A2271" s="2" t="s">
        <v>8</v>
      </c>
      <c r="B2271" s="2" t="str">
        <f>HYPERLINK("http://ts.21cn.com/tousu/show/id/1332846","要求“智行火车票”按照山东航空公司的退票规则火速将机票钱退还给客户")</f>
        <v>要求“智行火车票”按照山东航空公司的退票规则火速将机票钱退还给客户</v>
      </c>
      <c r="C2271" s="2" t="s">
        <v>9</v>
      </c>
      <c r="D2271" s="2" t="s">
        <v>10</v>
      </c>
      <c r="E2271" s="2" t="str">
        <f>HYPERLINK("http://ts.21cn.com/tousu/show/id/1332846","http://ts.21cn.com/tousu/show/id/1332846")</f>
        <v>http://ts.21cn.com/tousu/show/id/1332846</v>
      </c>
      <c r="F2271" s="2" t="s">
        <v>11</v>
      </c>
      <c r="G2271" s="2" t="s">
        <v>39671</v>
      </c>
      <c r="H2271" s="2" t="s">
        <v>39672</v>
      </c>
    </row>
    <row r="2272" spans="1:8" ht="25.05" customHeight="1" x14ac:dyDescent="0.25">
      <c r="A2272" s="2" t="s">
        <v>8</v>
      </c>
      <c r="B2272" s="2" t="str">
        <f>HYPERLINK("http://ts.21cn.com/tousu/show/id/1332847","创客违规使我淘宝号降权")</f>
        <v>创客违规使我淘宝号降权</v>
      </c>
      <c r="C2272" s="2" t="s">
        <v>9</v>
      </c>
      <c r="D2272" s="2" t="s">
        <v>10</v>
      </c>
      <c r="E2272" s="2" t="str">
        <f>HYPERLINK("http://ts.21cn.com/tousu/show/id/1332847","http://ts.21cn.com/tousu/show/id/1332847")</f>
        <v>http://ts.21cn.com/tousu/show/id/1332847</v>
      </c>
      <c r="F2272" s="2" t="s">
        <v>11</v>
      </c>
      <c r="G2272" s="2" t="s">
        <v>39669</v>
      </c>
      <c r="H2272" s="2" t="s">
        <v>39670</v>
      </c>
    </row>
    <row r="2273" spans="1:8" ht="25.05" customHeight="1" x14ac:dyDescent="0.25">
      <c r="A2273" s="2" t="s">
        <v>8</v>
      </c>
      <c r="B2273" s="2" t="str">
        <f>HYPERLINK("http://ts.21cn.com/tousu/show/id/1332848","吹头息，高利贷平台---“可乐贷”")</f>
        <v>吹头息，高利贷平台---“可乐贷”</v>
      </c>
      <c r="C2273" s="2" t="s">
        <v>9</v>
      </c>
      <c r="D2273" s="2" t="s">
        <v>10</v>
      </c>
      <c r="E2273" s="2" t="str">
        <f>HYPERLINK("http://ts.21cn.com/tousu/show/id/1332848","http://ts.21cn.com/tousu/show/id/1332848")</f>
        <v>http://ts.21cn.com/tousu/show/id/1332848</v>
      </c>
      <c r="F2273" s="2" t="s">
        <v>11</v>
      </c>
      <c r="G2273" s="2" t="s">
        <v>39667</v>
      </c>
      <c r="H2273" s="2" t="s">
        <v>39668</v>
      </c>
    </row>
    <row r="2274" spans="1:8" ht="25.05" customHeight="1" x14ac:dyDescent="0.25">
      <c r="A2274" s="2" t="s">
        <v>8</v>
      </c>
      <c r="B2274" s="2" t="str">
        <f>HYPERLINK("http://ts.21cn.com/tousu/show/id/1332849","花转转高额利息逾期费用")</f>
        <v>花转转高额利息逾期费用</v>
      </c>
      <c r="C2274" s="2" t="s">
        <v>9</v>
      </c>
      <c r="D2274" s="2" t="s">
        <v>10</v>
      </c>
      <c r="E2274" s="2" t="str">
        <f>HYPERLINK("http://ts.21cn.com/tousu/show/id/1332849","http://ts.21cn.com/tousu/show/id/1332849")</f>
        <v>http://ts.21cn.com/tousu/show/id/1332849</v>
      </c>
      <c r="F2274" s="2" t="s">
        <v>11</v>
      </c>
      <c r="G2274" s="2" t="s">
        <v>39665</v>
      </c>
      <c r="H2274" s="2" t="s">
        <v>39666</v>
      </c>
    </row>
    <row r="2275" spans="1:8" ht="25.05" customHeight="1" x14ac:dyDescent="0.25">
      <c r="A2275" s="2" t="s">
        <v>8</v>
      </c>
      <c r="B2275" s="2" t="str">
        <f>HYPERLINK("http://ts.21cn.com/tousu/show/id/1332850","优信二手车集体投诉专题")</f>
        <v>优信二手车集体投诉专题</v>
      </c>
      <c r="C2275" s="2" t="s">
        <v>34</v>
      </c>
      <c r="D2275" s="2" t="s">
        <v>10</v>
      </c>
      <c r="E2275" s="2" t="str">
        <f>HYPERLINK("http://ts.21cn.com/tousu/show/id/1332850","http://ts.21cn.com/tousu/show/id/1332850")</f>
        <v>http://ts.21cn.com/tousu/show/id/1332850</v>
      </c>
      <c r="F2275" s="2" t="s">
        <v>11</v>
      </c>
      <c r="G2275" s="2" t="s">
        <v>39663</v>
      </c>
      <c r="H2275" s="2" t="s">
        <v>39664</v>
      </c>
    </row>
    <row r="2276" spans="1:8" ht="25.05" customHeight="1" x14ac:dyDescent="0.25">
      <c r="A2276" s="2" t="s">
        <v>8</v>
      </c>
      <c r="B2276" s="2" t="str">
        <f>HYPERLINK("http://ts.21cn.com/tousu/show/id/1332851","电话恐吓威胁骚扰")</f>
        <v>电话恐吓威胁骚扰</v>
      </c>
      <c r="C2276" s="2" t="s">
        <v>9</v>
      </c>
      <c r="D2276" s="2" t="s">
        <v>10</v>
      </c>
      <c r="E2276" s="2" t="str">
        <f>HYPERLINK("http://ts.21cn.com/tousu/show/id/1332851","http://ts.21cn.com/tousu/show/id/1332851")</f>
        <v>http://ts.21cn.com/tousu/show/id/1332851</v>
      </c>
      <c r="F2276" s="2" t="s">
        <v>11</v>
      </c>
      <c r="G2276" s="2" t="s">
        <v>39661</v>
      </c>
      <c r="H2276" s="2" t="s">
        <v>39662</v>
      </c>
    </row>
    <row r="2277" spans="1:8" ht="25.05" customHeight="1" x14ac:dyDescent="0.25">
      <c r="A2277" s="2" t="s">
        <v>8</v>
      </c>
      <c r="B2277" s="2" t="str">
        <f>HYPERLINK("http://ts.21cn.com/tousu/show/id/1332852","沃尔玛古墩路分店出售过期糕点阿根发桃酥")</f>
        <v>沃尔玛古墩路分店出售过期糕点阿根发桃酥</v>
      </c>
      <c r="C2277" s="2" t="s">
        <v>9</v>
      </c>
      <c r="D2277" s="2" t="s">
        <v>10</v>
      </c>
      <c r="E2277" s="2" t="str">
        <f>HYPERLINK("http://ts.21cn.com/tousu/show/id/1332852","http://ts.21cn.com/tousu/show/id/1332852")</f>
        <v>http://ts.21cn.com/tousu/show/id/1332852</v>
      </c>
      <c r="F2277" s="2" t="s">
        <v>11</v>
      </c>
      <c r="G2277" s="2" t="s">
        <v>39659</v>
      </c>
      <c r="H2277" s="2" t="s">
        <v>39660</v>
      </c>
    </row>
    <row r="2278" spans="1:8" ht="25.05" customHeight="1" x14ac:dyDescent="0.25">
      <c r="A2278" s="2" t="s">
        <v>8</v>
      </c>
      <c r="B2278" s="2" t="str">
        <f>HYPERLINK("http://ts.21cn.com/tousu/show/id/1332854","投诉简单借高利贷，砍头息")</f>
        <v>投诉简单借高利贷，砍头息</v>
      </c>
      <c r="C2278" s="2" t="s">
        <v>9</v>
      </c>
      <c r="D2278" s="2" t="s">
        <v>10</v>
      </c>
      <c r="E2278" s="2" t="str">
        <f>HYPERLINK("http://ts.21cn.com/tousu/show/id/1332854","http://ts.21cn.com/tousu/show/id/1332854")</f>
        <v>http://ts.21cn.com/tousu/show/id/1332854</v>
      </c>
      <c r="F2278" s="2" t="s">
        <v>11</v>
      </c>
      <c r="G2278" s="2" t="s">
        <v>39657</v>
      </c>
      <c r="H2278" s="2" t="s">
        <v>39658</v>
      </c>
    </row>
    <row r="2279" spans="1:8" ht="25.05" customHeight="1" x14ac:dyDescent="0.25">
      <c r="A2279" s="2" t="s">
        <v>8</v>
      </c>
      <c r="B2279" s="2" t="str">
        <f>HYPERLINK("http://ts.21cn.com/tousu/show/id/1332853","投诉TCL虚假宣传净水机并要全额退款")</f>
        <v>投诉TCL虚假宣传净水机并要全额退款</v>
      </c>
      <c r="C2279" s="2" t="s">
        <v>9</v>
      </c>
      <c r="D2279" s="2" t="s">
        <v>10</v>
      </c>
      <c r="E2279" s="2" t="str">
        <f>HYPERLINK("http://ts.21cn.com/tousu/show/id/1332853","http://ts.21cn.com/tousu/show/id/1332853")</f>
        <v>http://ts.21cn.com/tousu/show/id/1332853</v>
      </c>
      <c r="F2279" s="2" t="s">
        <v>11</v>
      </c>
      <c r="G2279" s="2" t="s">
        <v>39655</v>
      </c>
      <c r="H2279" s="2" t="s">
        <v>39656</v>
      </c>
    </row>
    <row r="2280" spans="1:8" ht="25.05" customHeight="1" x14ac:dyDescent="0.25">
      <c r="A2280" s="2" t="s">
        <v>8</v>
      </c>
      <c r="B2280" s="2" t="str">
        <f>HYPERLINK("http://ts.21cn.com/tousu/show/id/1332855","年化利率超过36%")</f>
        <v>年化利率超过36%</v>
      </c>
      <c r="C2280" s="2" t="s">
        <v>34</v>
      </c>
      <c r="D2280" s="2" t="s">
        <v>10</v>
      </c>
      <c r="E2280" s="2" t="str">
        <f>HYPERLINK("http://ts.21cn.com/tousu/show/id/1332855","http://ts.21cn.com/tousu/show/id/1332855")</f>
        <v>http://ts.21cn.com/tousu/show/id/1332855</v>
      </c>
      <c r="F2280" s="2" t="s">
        <v>11</v>
      </c>
      <c r="G2280" s="2" t="s">
        <v>39654</v>
      </c>
      <c r="H2280" s="2" t="s">
        <v>36644</v>
      </c>
    </row>
    <row r="2281" spans="1:8" ht="25.05" customHeight="1" x14ac:dyDescent="0.25">
      <c r="A2281" s="2" t="s">
        <v>8</v>
      </c>
      <c r="B2281" s="2" t="str">
        <f>HYPERLINK("http://ts.21cn.com/tousu/show/id/1332857","立借钱置宝利过高砍头息")</f>
        <v>立借钱置宝利过高砍头息</v>
      </c>
      <c r="C2281" s="2" t="s">
        <v>34</v>
      </c>
      <c r="D2281" s="2" t="s">
        <v>10</v>
      </c>
      <c r="E2281" s="2" t="str">
        <f>HYPERLINK("http://ts.21cn.com/tousu/show/id/1332857","http://ts.21cn.com/tousu/show/id/1332857")</f>
        <v>http://ts.21cn.com/tousu/show/id/1332857</v>
      </c>
      <c r="F2281" s="2" t="s">
        <v>11</v>
      </c>
      <c r="G2281" s="2" t="s">
        <v>39652</v>
      </c>
      <c r="H2281" s="2" t="s">
        <v>39653</v>
      </c>
    </row>
    <row r="2282" spans="1:8" ht="25.05" customHeight="1" x14ac:dyDescent="0.25">
      <c r="A2282" s="2" t="s">
        <v>8</v>
      </c>
      <c r="B2282" s="2" t="str">
        <f>HYPERLINK("http://ts.21cn.com/tousu/show/id/1332858","淘宝商家恶意电话骚扰短信轰炸")</f>
        <v>淘宝商家恶意电话骚扰短信轰炸</v>
      </c>
      <c r="C2282" s="2" t="s">
        <v>9</v>
      </c>
      <c r="D2282" s="2" t="s">
        <v>10</v>
      </c>
      <c r="E2282" s="2" t="str">
        <f>HYPERLINK("http://ts.21cn.com/tousu/show/id/1332858","http://ts.21cn.com/tousu/show/id/1332858")</f>
        <v>http://ts.21cn.com/tousu/show/id/1332858</v>
      </c>
      <c r="F2282" s="2" t="s">
        <v>11</v>
      </c>
      <c r="G2282" s="2" t="s">
        <v>39650</v>
      </c>
      <c r="H2282" s="2" t="s">
        <v>39651</v>
      </c>
    </row>
    <row r="2283" spans="1:8" ht="25.05" customHeight="1" x14ac:dyDescent="0.25">
      <c r="A2283" s="2" t="s">
        <v>8</v>
      </c>
      <c r="B2283" s="2" t="str">
        <f>HYPERLINK("http://ts.21cn.com/tousu/show/id/1332859","为高利贷提供渠道")</f>
        <v>为高利贷提供渠道</v>
      </c>
      <c r="C2283" s="2" t="s">
        <v>9</v>
      </c>
      <c r="D2283" s="2" t="s">
        <v>10</v>
      </c>
      <c r="E2283" s="2" t="str">
        <f>HYPERLINK("http://ts.21cn.com/tousu/show/id/1332859","http://ts.21cn.com/tousu/show/id/1332859")</f>
        <v>http://ts.21cn.com/tousu/show/id/1332859</v>
      </c>
      <c r="F2283" s="2" t="s">
        <v>11</v>
      </c>
      <c r="G2283" s="2" t="s">
        <v>39648</v>
      </c>
      <c r="H2283" s="2" t="s">
        <v>39649</v>
      </c>
    </row>
    <row r="2284" spans="1:8" ht="25.05" customHeight="1" x14ac:dyDescent="0.25">
      <c r="A2284" s="2" t="s">
        <v>8</v>
      </c>
      <c r="B2284" s="2" t="str">
        <f>HYPERLINK("http://ts.21cn.com/tousu/show/id/1332860","我在闲鱼卖了一个游戏号买家使用了一个星期把我的账号玩永久冻结了一个星期后又来找我投诉要我退款我该怎么办。")</f>
        <v>我在闲鱼卖了一个游戏号买家使用了一个星期把我的账号玩永久冻结了一个星期后又来找我投诉要我退款我该怎么办。</v>
      </c>
      <c r="C2284" s="2" t="s">
        <v>34</v>
      </c>
      <c r="D2284" s="2" t="s">
        <v>10</v>
      </c>
      <c r="E2284" s="2" t="str">
        <f>HYPERLINK("http://ts.21cn.com/tousu/show/id/1332860","http://ts.21cn.com/tousu/show/id/1332860")</f>
        <v>http://ts.21cn.com/tousu/show/id/1332860</v>
      </c>
      <c r="F2284" s="2" t="s">
        <v>11</v>
      </c>
      <c r="G2284" s="2" t="s">
        <v>39646</v>
      </c>
      <c r="H2284" s="2" t="s">
        <v>39647</v>
      </c>
    </row>
    <row r="2285" spans="1:8" ht="25.05" customHeight="1" x14ac:dyDescent="0.25">
      <c r="A2285" s="2" t="s">
        <v>8</v>
      </c>
      <c r="B2285" s="2" t="str">
        <f>HYPERLINK("http://ts.21cn.com/tousu/show/id/1332861","外贸信托私自扣款")</f>
        <v>外贸信托私自扣款</v>
      </c>
      <c r="C2285" s="2" t="s">
        <v>9</v>
      </c>
      <c r="D2285" s="2" t="s">
        <v>10</v>
      </c>
      <c r="E2285" s="2" t="str">
        <f>HYPERLINK("http://ts.21cn.com/tousu/show/id/1332861","http://ts.21cn.com/tousu/show/id/1332861")</f>
        <v>http://ts.21cn.com/tousu/show/id/1332861</v>
      </c>
      <c r="F2285" s="2" t="s">
        <v>11</v>
      </c>
      <c r="G2285" s="2" t="s">
        <v>39644</v>
      </c>
      <c r="H2285" s="2" t="s">
        <v>39645</v>
      </c>
    </row>
    <row r="2286" spans="1:8" ht="25.05" customHeight="1" x14ac:dyDescent="0.25">
      <c r="A2286" s="2" t="s">
        <v>8</v>
      </c>
      <c r="B2286" s="2" t="str">
        <f>HYPERLINK("http://ts.21cn.com/tousu/show/id/1332862","京东到家强制取消退款申请")</f>
        <v>京东到家强制取消退款申请</v>
      </c>
      <c r="C2286" s="2" t="s">
        <v>9</v>
      </c>
      <c r="D2286" s="2" t="s">
        <v>10</v>
      </c>
      <c r="E2286" s="2" t="str">
        <f>HYPERLINK("http://ts.21cn.com/tousu/show/id/1332862","http://ts.21cn.com/tousu/show/id/1332862")</f>
        <v>http://ts.21cn.com/tousu/show/id/1332862</v>
      </c>
      <c r="F2286" s="2" t="s">
        <v>11</v>
      </c>
      <c r="G2286" s="2" t="s">
        <v>39642</v>
      </c>
      <c r="H2286" s="2" t="s">
        <v>39643</v>
      </c>
    </row>
    <row r="2287" spans="1:8" ht="25.05" customHeight="1" x14ac:dyDescent="0.25">
      <c r="A2287" s="2" t="s">
        <v>8</v>
      </c>
      <c r="B2287" s="2" t="str">
        <f>HYPERLINK("http://ts.21cn.com/tousu/show/id/1332831","中国银联股份有限公司广东分公司在我不知情的情况下扣我银行卡里的钱")</f>
        <v>中国银联股份有限公司广东分公司在我不知情的情况下扣我银行卡里的钱</v>
      </c>
      <c r="C2287" s="2" t="s">
        <v>9</v>
      </c>
      <c r="D2287" s="2" t="s">
        <v>10</v>
      </c>
      <c r="E2287" s="2" t="str">
        <f>HYPERLINK("http://ts.21cn.com/tousu/show/id/1332831","http://ts.21cn.com/tousu/show/id/1332831")</f>
        <v>http://ts.21cn.com/tousu/show/id/1332831</v>
      </c>
      <c r="F2287" s="2" t="s">
        <v>11</v>
      </c>
      <c r="G2287" s="2" t="s">
        <v>39640</v>
      </c>
      <c r="H2287" s="2" t="s">
        <v>39641</v>
      </c>
    </row>
    <row r="2288" spans="1:8" ht="25.05" customHeight="1" x14ac:dyDescent="0.25">
      <c r="A2288" s="2" t="s">
        <v>8</v>
      </c>
      <c r="B2288" s="2" t="str">
        <f>HYPERLINK("http://ts.21cn.com/tousu/show/id/1332863","联动云身份证被占用")</f>
        <v>联动云身份证被占用</v>
      </c>
      <c r="C2288" s="2" t="s">
        <v>34</v>
      </c>
      <c r="D2288" s="2" t="s">
        <v>10</v>
      </c>
      <c r="E2288" s="2" t="str">
        <f>HYPERLINK("http://ts.21cn.com/tousu/show/id/1332863","http://ts.21cn.com/tousu/show/id/1332863")</f>
        <v>http://ts.21cn.com/tousu/show/id/1332863</v>
      </c>
      <c r="F2288" s="2" t="s">
        <v>11</v>
      </c>
      <c r="G2288" s="2" t="s">
        <v>39638</v>
      </c>
      <c r="H2288" s="2" t="s">
        <v>39639</v>
      </c>
    </row>
    <row r="2289" spans="1:8" ht="25.05" customHeight="1" x14ac:dyDescent="0.25">
      <c r="A2289" s="2" t="s">
        <v>8</v>
      </c>
      <c r="B2289" s="2" t="str">
        <f>HYPERLINK("http://ts.21cn.com/tousu/show/id/1332865","微信支付账户被永久冻结零钱无法提现")</f>
        <v>微信支付账户被永久冻结零钱无法提现</v>
      </c>
      <c r="C2289" s="2" t="s">
        <v>9</v>
      </c>
      <c r="D2289" s="2" t="s">
        <v>10</v>
      </c>
      <c r="E2289" s="2" t="str">
        <f>HYPERLINK("http://ts.21cn.com/tousu/show/id/1332865","http://ts.21cn.com/tousu/show/id/1332865")</f>
        <v>http://ts.21cn.com/tousu/show/id/1332865</v>
      </c>
      <c r="F2289" s="2" t="s">
        <v>11</v>
      </c>
      <c r="G2289" s="2" t="s">
        <v>39636</v>
      </c>
      <c r="H2289" s="2" t="s">
        <v>39637</v>
      </c>
    </row>
    <row r="2290" spans="1:8" ht="25.05" customHeight="1" x14ac:dyDescent="0.25">
      <c r="A2290" s="2" t="s">
        <v>8</v>
      </c>
      <c r="B2290" s="2" t="str">
        <f>HYPERLINK("http://ts.21cn.com/tousu/show/id/1332866","翼支付擅自给我购买众安保险代偿服务")</f>
        <v>翼支付擅自给我购买众安保险代偿服务</v>
      </c>
      <c r="C2290" s="2" t="s">
        <v>9</v>
      </c>
      <c r="D2290" s="2" t="s">
        <v>10</v>
      </c>
      <c r="E2290" s="2" t="str">
        <f>HYPERLINK("http://ts.21cn.com/tousu/show/id/1332866","http://ts.21cn.com/tousu/show/id/1332866")</f>
        <v>http://ts.21cn.com/tousu/show/id/1332866</v>
      </c>
      <c r="F2290" s="2" t="s">
        <v>11</v>
      </c>
      <c r="G2290" s="2" t="s">
        <v>39634</v>
      </c>
      <c r="H2290" s="2" t="s">
        <v>39635</v>
      </c>
    </row>
    <row r="2291" spans="1:8" ht="25.05" customHeight="1" x14ac:dyDescent="0.25">
      <c r="A2291" s="2" t="s">
        <v>8</v>
      </c>
      <c r="B2291" s="2" t="str">
        <f>HYPERLINK("http://ts.21cn.com/tousu/show/id/1332867","蜜瓜钱包")</f>
        <v>蜜瓜钱包</v>
      </c>
      <c r="C2291" s="2" t="s">
        <v>9</v>
      </c>
      <c r="D2291" s="2" t="s">
        <v>10</v>
      </c>
      <c r="E2291" s="2" t="str">
        <f>HYPERLINK("http://ts.21cn.com/tousu/show/id/1332867","http://ts.21cn.com/tousu/show/id/1332867")</f>
        <v>http://ts.21cn.com/tousu/show/id/1332867</v>
      </c>
      <c r="F2291" s="2" t="s">
        <v>11</v>
      </c>
      <c r="G2291" s="2" t="s">
        <v>39632</v>
      </c>
      <c r="H2291" s="2" t="s">
        <v>39633</v>
      </c>
    </row>
    <row r="2292" spans="1:8" ht="25.05" customHeight="1" x14ac:dyDescent="0.25">
      <c r="A2292" s="2" t="s">
        <v>8</v>
      </c>
      <c r="B2292" s="2" t="str">
        <f>HYPERLINK("http://ts.21cn.com/tousu/show/id/1332868","高利贷")</f>
        <v>高利贷</v>
      </c>
      <c r="C2292" s="2" t="s">
        <v>9</v>
      </c>
      <c r="D2292" s="2" t="s">
        <v>10</v>
      </c>
      <c r="E2292" s="2" t="str">
        <f>HYPERLINK("http://ts.21cn.com/tousu/show/id/1332868","http://ts.21cn.com/tousu/show/id/1332868")</f>
        <v>http://ts.21cn.com/tousu/show/id/1332868</v>
      </c>
      <c r="F2292" s="2" t="s">
        <v>11</v>
      </c>
      <c r="G2292" s="2" t="s">
        <v>39630</v>
      </c>
      <c r="H2292" s="2" t="s">
        <v>39631</v>
      </c>
    </row>
    <row r="2293" spans="1:8" ht="25.05" customHeight="1" x14ac:dyDescent="0.25">
      <c r="A2293" s="2" t="s">
        <v>8</v>
      </c>
      <c r="B2293" s="2" t="str">
        <f>HYPERLINK("http://ts.21cn.com/tousu/show/id/1332869","招商银行储蓄卡被通联支付莫名扣款")</f>
        <v>招商银行储蓄卡被通联支付莫名扣款</v>
      </c>
      <c r="C2293" s="2" t="s">
        <v>9</v>
      </c>
      <c r="D2293" s="2" t="s">
        <v>10</v>
      </c>
      <c r="E2293" s="2" t="str">
        <f>HYPERLINK("http://ts.21cn.com/tousu/show/id/1332869","http://ts.21cn.com/tousu/show/id/1332869")</f>
        <v>http://ts.21cn.com/tousu/show/id/1332869</v>
      </c>
      <c r="F2293" s="2" t="s">
        <v>11</v>
      </c>
      <c r="G2293" s="2" t="s">
        <v>39628</v>
      </c>
      <c r="H2293" s="2" t="s">
        <v>39629</v>
      </c>
    </row>
    <row r="2294" spans="1:8" ht="25.05" customHeight="1" x14ac:dyDescent="0.25">
      <c r="A2294" s="2" t="s">
        <v>8</v>
      </c>
      <c r="B2294" s="2" t="str">
        <f>HYPERLINK("http://ts.21cn.com/tousu/show/id/1332870","京东平台不履行七天无理由退货")</f>
        <v>京东平台不履行七天无理由退货</v>
      </c>
      <c r="C2294" s="2" t="s">
        <v>9</v>
      </c>
      <c r="D2294" s="2" t="s">
        <v>10</v>
      </c>
      <c r="E2294" s="2" t="str">
        <f>HYPERLINK("http://ts.21cn.com/tousu/show/id/1332870","http://ts.21cn.com/tousu/show/id/1332870")</f>
        <v>http://ts.21cn.com/tousu/show/id/1332870</v>
      </c>
      <c r="F2294" s="2" t="s">
        <v>11</v>
      </c>
      <c r="G2294" s="2" t="s">
        <v>39626</v>
      </c>
      <c r="H2294" s="2" t="s">
        <v>39627</v>
      </c>
    </row>
    <row r="2295" spans="1:8" ht="25.05" customHeight="1" x14ac:dyDescent="0.25">
      <c r="A2295" s="2" t="s">
        <v>8</v>
      </c>
      <c r="B2295" s="2" t="str">
        <f>HYPERLINK("http://ts.21cn.com/tousu/show/id/1332871","玖富万卡乱放贷款")</f>
        <v>玖富万卡乱放贷款</v>
      </c>
      <c r="C2295" s="2" t="s">
        <v>9</v>
      </c>
      <c r="D2295" s="2" t="s">
        <v>10</v>
      </c>
      <c r="E2295" s="2" t="str">
        <f>HYPERLINK("http://ts.21cn.com/tousu/show/id/1332871","http://ts.21cn.com/tousu/show/id/1332871")</f>
        <v>http://ts.21cn.com/tousu/show/id/1332871</v>
      </c>
      <c r="F2295" s="2" t="s">
        <v>11</v>
      </c>
      <c r="G2295" s="2" t="s">
        <v>39624</v>
      </c>
      <c r="H2295" s="2" t="s">
        <v>39625</v>
      </c>
    </row>
    <row r="2296" spans="1:8" ht="25.05" customHeight="1" x14ac:dyDescent="0.25">
      <c r="A2296" s="2" t="s">
        <v>8</v>
      </c>
      <c r="B2296" s="2" t="str">
        <f>HYPERLINK("http://ts.21cn.com/tousu/show/id/1332872","亚博体育APP让用户充值玩彩金之后通过后台操控让用户钱财流失")</f>
        <v>亚博体育APP让用户充值玩彩金之后通过后台操控让用户钱财流失</v>
      </c>
      <c r="C2296" s="2" t="s">
        <v>9</v>
      </c>
      <c r="D2296" s="2" t="s">
        <v>10</v>
      </c>
      <c r="E2296" s="2" t="str">
        <f>HYPERLINK("http://ts.21cn.com/tousu/show/id/1332872","http://ts.21cn.com/tousu/show/id/1332872")</f>
        <v>http://ts.21cn.com/tousu/show/id/1332872</v>
      </c>
      <c r="F2296" s="2" t="s">
        <v>11</v>
      </c>
      <c r="G2296" s="2" t="s">
        <v>39622</v>
      </c>
      <c r="H2296" s="2" t="s">
        <v>39623</v>
      </c>
    </row>
    <row r="2297" spans="1:8" ht="25.05" customHeight="1" x14ac:dyDescent="0.25">
      <c r="A2297" s="2" t="s">
        <v>8</v>
      </c>
      <c r="B2297" s="2" t="str">
        <f>HYPERLINK("http://ts.21cn.com/tousu/show/id/1332842","滴滴网约车驾驶员资格证迟迟不给我上传")</f>
        <v>滴滴网约车驾驶员资格证迟迟不给我上传</v>
      </c>
      <c r="C2297" s="2" t="s">
        <v>9</v>
      </c>
      <c r="D2297" s="2" t="s">
        <v>10</v>
      </c>
      <c r="E2297" s="2" t="str">
        <f>HYPERLINK("http://ts.21cn.com/tousu/show/id/1332842","http://ts.21cn.com/tousu/show/id/1332842")</f>
        <v>http://ts.21cn.com/tousu/show/id/1332842</v>
      </c>
      <c r="F2297" s="2" t="s">
        <v>11</v>
      </c>
      <c r="G2297" s="2" t="s">
        <v>39620</v>
      </c>
      <c r="H2297" s="2" t="s">
        <v>39621</v>
      </c>
    </row>
    <row r="2298" spans="1:8" ht="25.05" customHeight="1" x14ac:dyDescent="0.25">
      <c r="A2298" s="2" t="s">
        <v>8</v>
      </c>
      <c r="B2298" s="2" t="str">
        <f>HYPERLINK("http://ts.21cn.com/tousu/show/id/1332874","云闪付为非法网站提供支付通道")</f>
        <v>云闪付为非法网站提供支付通道</v>
      </c>
      <c r="C2298" s="2" t="s">
        <v>9</v>
      </c>
      <c r="D2298" s="2" t="s">
        <v>10</v>
      </c>
      <c r="E2298" s="2" t="str">
        <f>HYPERLINK("http://ts.21cn.com/tousu/show/id/1332874","http://ts.21cn.com/tousu/show/id/1332874")</f>
        <v>http://ts.21cn.com/tousu/show/id/1332874</v>
      </c>
      <c r="F2298" s="2" t="s">
        <v>11</v>
      </c>
      <c r="G2298" s="2" t="s">
        <v>39618</v>
      </c>
      <c r="H2298" s="2" t="s">
        <v>39619</v>
      </c>
    </row>
    <row r="2299" spans="1:8" ht="25.05" customHeight="1" x14ac:dyDescent="0.25">
      <c r="A2299" s="2" t="s">
        <v>8</v>
      </c>
      <c r="B2299" s="2" t="str">
        <f>HYPERLINK("http://ts.21cn.com/tousu/show/id/1332875","好分期借款平台阴阳合同，利息高得离谱，无力偿还！")</f>
        <v>好分期借款平台阴阳合同，利息高得离谱，无力偿还！</v>
      </c>
      <c r="C2299" s="2" t="s">
        <v>9</v>
      </c>
      <c r="D2299" s="2" t="s">
        <v>10</v>
      </c>
      <c r="E2299" s="2" t="str">
        <f>HYPERLINK("http://ts.21cn.com/tousu/show/id/1332875","http://ts.21cn.com/tousu/show/id/1332875")</f>
        <v>http://ts.21cn.com/tousu/show/id/1332875</v>
      </c>
      <c r="F2299" s="2" t="s">
        <v>11</v>
      </c>
      <c r="G2299" s="2" t="s">
        <v>39616</v>
      </c>
      <c r="H2299" s="2" t="s">
        <v>39617</v>
      </c>
    </row>
    <row r="2300" spans="1:8" ht="25.05" customHeight="1" x14ac:dyDescent="0.25">
      <c r="A2300" s="2" t="s">
        <v>8</v>
      </c>
      <c r="B2300" s="2" t="str">
        <f>HYPERLINK("http://ts.21cn.com/tousu/show/id/1332879","百事普惠恶意扣款22")</f>
        <v>百事普惠恶意扣款22</v>
      </c>
      <c r="C2300" s="2" t="s">
        <v>9</v>
      </c>
      <c r="D2300" s="2" t="s">
        <v>10</v>
      </c>
      <c r="E2300" s="2" t="str">
        <f>HYPERLINK("http://ts.21cn.com/tousu/show/id/1332879","http://ts.21cn.com/tousu/show/id/1332879")</f>
        <v>http://ts.21cn.com/tousu/show/id/1332879</v>
      </c>
      <c r="F2300" s="2" t="s">
        <v>11</v>
      </c>
      <c r="G2300" s="2" t="s">
        <v>39614</v>
      </c>
      <c r="H2300" s="2" t="s">
        <v>39615</v>
      </c>
    </row>
    <row r="2301" spans="1:8" ht="25.05" customHeight="1" x14ac:dyDescent="0.25">
      <c r="A2301" s="2" t="s">
        <v>8</v>
      </c>
      <c r="B2301" s="2" t="str">
        <f>HYPERLINK("http://ts.21cn.com/tousu/show/id/1332878","百优分期暴力催收，高利贷，巨额砍头息")</f>
        <v>百优分期暴力催收，高利贷，巨额砍头息</v>
      </c>
      <c r="C2301" s="2" t="s">
        <v>9</v>
      </c>
      <c r="D2301" s="2" t="s">
        <v>10</v>
      </c>
      <c r="E2301" s="2" t="str">
        <f>HYPERLINK("http://ts.21cn.com/tousu/show/id/1332878","http://ts.21cn.com/tousu/show/id/1332878")</f>
        <v>http://ts.21cn.com/tousu/show/id/1332878</v>
      </c>
      <c r="F2301" s="2" t="s">
        <v>11</v>
      </c>
      <c r="G2301" s="2" t="s">
        <v>39611</v>
      </c>
      <c r="H2301" s="2" t="s">
        <v>39612</v>
      </c>
    </row>
    <row r="2302" spans="1:8" ht="25.05" customHeight="1" x14ac:dyDescent="0.25">
      <c r="A2302" s="2" t="s">
        <v>8</v>
      </c>
      <c r="B2302" s="2" t="str">
        <f>HYPERLINK("http://ts.21cn.com/tousu/show/id/1332877","高铁管家改签退款不到账")</f>
        <v>高铁管家改签退款不到账</v>
      </c>
      <c r="C2302" s="2" t="s">
        <v>9</v>
      </c>
      <c r="D2302" s="2" t="s">
        <v>10</v>
      </c>
      <c r="E2302" s="2" t="str">
        <f>HYPERLINK("http://ts.21cn.com/tousu/show/id/1332877","http://ts.21cn.com/tousu/show/id/1332877")</f>
        <v>http://ts.21cn.com/tousu/show/id/1332877</v>
      </c>
      <c r="F2302" s="2" t="s">
        <v>11</v>
      </c>
      <c r="G2302" s="2" t="s">
        <v>39611</v>
      </c>
      <c r="H2302" s="2" t="s">
        <v>39613</v>
      </c>
    </row>
    <row r="2303" spans="1:8" ht="25.05" customHeight="1" x14ac:dyDescent="0.25">
      <c r="A2303" s="2" t="s">
        <v>8</v>
      </c>
      <c r="B2303" s="2" t="str">
        <f>HYPERLINK("http://ts.21cn.com/tousu/show/id/1332881","小浦优客恶意扣款296元")</f>
        <v>小浦优客恶意扣款296元</v>
      </c>
      <c r="C2303" s="2" t="s">
        <v>9</v>
      </c>
      <c r="D2303" s="2" t="s">
        <v>10</v>
      </c>
      <c r="E2303" s="2" t="str">
        <f>HYPERLINK("http://ts.21cn.com/tousu/show/id/1332881","http://ts.21cn.com/tousu/show/id/1332881")</f>
        <v>http://ts.21cn.com/tousu/show/id/1332881</v>
      </c>
      <c r="F2303" s="2" t="s">
        <v>11</v>
      </c>
      <c r="G2303" s="2" t="s">
        <v>39609</v>
      </c>
      <c r="H2303" s="2" t="s">
        <v>39610</v>
      </c>
    </row>
    <row r="2304" spans="1:8" ht="25.05" customHeight="1" x14ac:dyDescent="0.25">
      <c r="A2304" s="2" t="s">
        <v>8</v>
      </c>
      <c r="B2304" s="2" t="str">
        <f>HYPERLINK("http://ts.21cn.com/tousu/show/id/1332880","小赢卡贷捆绑销售保险，利息不合法，超标高利贷")</f>
        <v>小赢卡贷捆绑销售保险，利息不合法，超标高利贷</v>
      </c>
      <c r="C2304" s="2" t="s">
        <v>9</v>
      </c>
      <c r="D2304" s="2" t="s">
        <v>10</v>
      </c>
      <c r="E2304" s="2" t="str">
        <f>HYPERLINK("http://ts.21cn.com/tousu/show/id/1332880","http://ts.21cn.com/tousu/show/id/1332880")</f>
        <v>http://ts.21cn.com/tousu/show/id/1332880</v>
      </c>
      <c r="F2304" s="2" t="s">
        <v>11</v>
      </c>
      <c r="G2304" s="2" t="s">
        <v>39607</v>
      </c>
      <c r="H2304" s="2" t="s">
        <v>39608</v>
      </c>
    </row>
    <row r="2305" spans="1:8" ht="25.05" customHeight="1" x14ac:dyDescent="0.25">
      <c r="A2305" s="2" t="s">
        <v>8</v>
      </c>
      <c r="B2305" s="2" t="str">
        <f>HYPERLINK("http://ts.21cn.com/tousu/show/id/1332882","小雨点高利贷")</f>
        <v>小雨点高利贷</v>
      </c>
      <c r="C2305" s="2" t="s">
        <v>9</v>
      </c>
      <c r="D2305" s="2" t="s">
        <v>10</v>
      </c>
      <c r="E2305" s="2" t="str">
        <f>HYPERLINK("http://ts.21cn.com/tousu/show/id/1332882","http://ts.21cn.com/tousu/show/id/1332882")</f>
        <v>http://ts.21cn.com/tousu/show/id/1332882</v>
      </c>
      <c r="F2305" s="2" t="s">
        <v>11</v>
      </c>
      <c r="G2305" s="2" t="s">
        <v>39605</v>
      </c>
      <c r="H2305" s="2" t="s">
        <v>39606</v>
      </c>
    </row>
    <row r="2306" spans="1:8" ht="25.05" customHeight="1" x14ac:dyDescent="0.25">
      <c r="A2306" s="2" t="s">
        <v>8</v>
      </c>
      <c r="B2306" s="2" t="str">
        <f>HYPERLINK("http://ts.21cn.com/tousu/show/id/1332883","招联金融暴力催收威胁恐吓")</f>
        <v>招联金融暴力催收威胁恐吓</v>
      </c>
      <c r="C2306" s="2" t="s">
        <v>9</v>
      </c>
      <c r="D2306" s="2" t="s">
        <v>10</v>
      </c>
      <c r="E2306" s="2" t="str">
        <f>HYPERLINK("http://ts.21cn.com/tousu/show/id/1332883","http://ts.21cn.com/tousu/show/id/1332883")</f>
        <v>http://ts.21cn.com/tousu/show/id/1332883</v>
      </c>
      <c r="F2306" s="2" t="s">
        <v>11</v>
      </c>
      <c r="G2306" s="2" t="s">
        <v>39603</v>
      </c>
      <c r="H2306" s="2" t="s">
        <v>39604</v>
      </c>
    </row>
    <row r="2307" spans="1:8" ht="25.05" customHeight="1" x14ac:dyDescent="0.25">
      <c r="A2307" s="2" t="s">
        <v>8</v>
      </c>
      <c r="B2307" s="2" t="str">
        <f>HYPERLINK("http://ts.21cn.com/tousu/show/id/1332884","简单花平台凭空暴力威胁催收")</f>
        <v>简单花平台凭空暴力威胁催收</v>
      </c>
      <c r="C2307" s="2" t="s">
        <v>9</v>
      </c>
      <c r="D2307" s="2" t="s">
        <v>10</v>
      </c>
      <c r="E2307" s="2" t="str">
        <f>HYPERLINK("http://ts.21cn.com/tousu/show/id/1332884","http://ts.21cn.com/tousu/show/id/1332884")</f>
        <v>http://ts.21cn.com/tousu/show/id/1332884</v>
      </c>
      <c r="F2307" s="2" t="s">
        <v>11</v>
      </c>
      <c r="G2307" s="2" t="s">
        <v>39601</v>
      </c>
      <c r="H2307" s="2" t="s">
        <v>39602</v>
      </c>
    </row>
    <row r="2308" spans="1:8" ht="25.05" customHeight="1" x14ac:dyDescent="0.25">
      <c r="A2308" s="2" t="s">
        <v>8</v>
      </c>
      <c r="B2308" s="2" t="str">
        <f>HYPERLINK("http://ts.21cn.com/tousu/show/id/1332885","招联金融无视投诉，持续暴力催收")</f>
        <v>招联金融无视投诉，持续暴力催收</v>
      </c>
      <c r="C2308" s="2" t="s">
        <v>9</v>
      </c>
      <c r="D2308" s="2" t="s">
        <v>10</v>
      </c>
      <c r="E2308" s="2" t="str">
        <f>HYPERLINK("http://ts.21cn.com/tousu/show/id/1332885","http://ts.21cn.com/tousu/show/id/1332885")</f>
        <v>http://ts.21cn.com/tousu/show/id/1332885</v>
      </c>
      <c r="F2308" s="2" t="s">
        <v>11</v>
      </c>
      <c r="G2308" s="2" t="s">
        <v>39599</v>
      </c>
      <c r="H2308" s="2" t="s">
        <v>39600</v>
      </c>
    </row>
    <row r="2309" spans="1:8" ht="25.05" customHeight="1" x14ac:dyDescent="0.25">
      <c r="A2309" s="2" t="s">
        <v>8</v>
      </c>
      <c r="B2309" s="2" t="str">
        <f>HYPERLINK("http://ts.21cn.com/tousu/show/id/1332886","闲鱼小二偏向，不审核直接判卖家赢")</f>
        <v>闲鱼小二偏向，不审核直接判卖家赢</v>
      </c>
      <c r="C2309" s="2" t="s">
        <v>9</v>
      </c>
      <c r="D2309" s="2" t="s">
        <v>10</v>
      </c>
      <c r="E2309" s="2" t="str">
        <f>HYPERLINK("http://ts.21cn.com/tousu/show/id/1332886","http://ts.21cn.com/tousu/show/id/1332886")</f>
        <v>http://ts.21cn.com/tousu/show/id/1332886</v>
      </c>
      <c r="F2309" s="2" t="s">
        <v>11</v>
      </c>
      <c r="G2309" s="2" t="s">
        <v>39597</v>
      </c>
      <c r="H2309" s="2" t="s">
        <v>39598</v>
      </c>
    </row>
    <row r="2310" spans="1:8" ht="25.05" customHeight="1" x14ac:dyDescent="0.25">
      <c r="A2310" s="2" t="s">
        <v>8</v>
      </c>
      <c r="B2310" s="2" t="str">
        <f>HYPERLINK("http://ts.21cn.com/tousu/show/id/1332888","超级马力贷")</f>
        <v>超级马力贷</v>
      </c>
      <c r="C2310" s="2" t="s">
        <v>34</v>
      </c>
      <c r="D2310" s="2" t="s">
        <v>10</v>
      </c>
      <c r="E2310" s="2" t="str">
        <f>HYPERLINK("http://ts.21cn.com/tousu/show/id/1332888","http://ts.21cn.com/tousu/show/id/1332888")</f>
        <v>http://ts.21cn.com/tousu/show/id/1332888</v>
      </c>
      <c r="F2310" s="2" t="s">
        <v>11</v>
      </c>
      <c r="G2310" s="2" t="s">
        <v>39595</v>
      </c>
      <c r="H2310" s="2" t="s">
        <v>39596</v>
      </c>
    </row>
    <row r="2311" spans="1:8" ht="25.05" customHeight="1" x14ac:dyDescent="0.25">
      <c r="A2311" s="2" t="s">
        <v>8</v>
      </c>
      <c r="B2311" s="2" t="str">
        <f>HYPERLINK("http://ts.21cn.com/tousu/show/id/1332873","米多点砍头息高利非法骚扰催收")</f>
        <v>米多点砍头息高利非法骚扰催收</v>
      </c>
      <c r="C2311" s="2" t="s">
        <v>9</v>
      </c>
      <c r="D2311" s="2" t="s">
        <v>10</v>
      </c>
      <c r="E2311" s="2" t="str">
        <f>HYPERLINK("http://ts.21cn.com/tousu/show/id/1332873","http://ts.21cn.com/tousu/show/id/1332873")</f>
        <v>http://ts.21cn.com/tousu/show/id/1332873</v>
      </c>
      <c r="F2311" s="2" t="s">
        <v>11</v>
      </c>
      <c r="G2311" s="2" t="s">
        <v>39593</v>
      </c>
      <c r="H2311" s="2" t="s">
        <v>39594</v>
      </c>
    </row>
    <row r="2312" spans="1:8" ht="25.05" customHeight="1" x14ac:dyDescent="0.25">
      <c r="A2312" s="2" t="s">
        <v>8</v>
      </c>
      <c r="B2312" s="2" t="str">
        <f>HYPERLINK("http://ts.21cn.com/tousu/show/id/1332889","信用管家催收")</f>
        <v>信用管家催收</v>
      </c>
      <c r="C2312" s="2" t="s">
        <v>34</v>
      </c>
      <c r="D2312" s="2" t="s">
        <v>10</v>
      </c>
      <c r="E2312" s="2" t="str">
        <f>HYPERLINK("http://ts.21cn.com/tousu/show/id/1332889","http://ts.21cn.com/tousu/show/id/1332889")</f>
        <v>http://ts.21cn.com/tousu/show/id/1332889</v>
      </c>
      <c r="F2312" s="2" t="s">
        <v>11</v>
      </c>
      <c r="G2312" s="2" t="s">
        <v>39591</v>
      </c>
      <c r="H2312" s="2" t="s">
        <v>39592</v>
      </c>
    </row>
    <row r="2313" spans="1:8" ht="25.05" customHeight="1" x14ac:dyDescent="0.25">
      <c r="A2313" s="2" t="s">
        <v>8</v>
      </c>
      <c r="B2313" s="2" t="str">
        <f>HYPERLINK("http://ts.21cn.com/tousu/show/id/1332891","名校贷咨询费不退还")</f>
        <v>名校贷咨询费不退还</v>
      </c>
      <c r="C2313" s="2" t="s">
        <v>9</v>
      </c>
      <c r="D2313" s="2" t="s">
        <v>10</v>
      </c>
      <c r="E2313" s="2" t="str">
        <f>HYPERLINK("http://ts.21cn.com/tousu/show/id/1332891","http://ts.21cn.com/tousu/show/id/1332891")</f>
        <v>http://ts.21cn.com/tousu/show/id/1332891</v>
      </c>
      <c r="F2313" s="2" t="s">
        <v>11</v>
      </c>
      <c r="G2313" s="2" t="s">
        <v>39589</v>
      </c>
      <c r="H2313" s="2" t="s">
        <v>39590</v>
      </c>
    </row>
    <row r="2314" spans="1:8" ht="25.05" customHeight="1" x14ac:dyDescent="0.25">
      <c r="A2314" s="2" t="s">
        <v>8</v>
      </c>
      <c r="B2314" s="2" t="str">
        <f>HYPERLINK("http://ts.21cn.com/tousu/show/id/1332892","滴滴平台无故扣分，半个月了没人处理")</f>
        <v>滴滴平台无故扣分，半个月了没人处理</v>
      </c>
      <c r="C2314" s="2" t="s">
        <v>9</v>
      </c>
      <c r="D2314" s="2" t="s">
        <v>10</v>
      </c>
      <c r="E2314" s="2" t="str">
        <f>HYPERLINK("http://ts.21cn.com/tousu/show/id/1332892","http://ts.21cn.com/tousu/show/id/1332892")</f>
        <v>http://ts.21cn.com/tousu/show/id/1332892</v>
      </c>
      <c r="F2314" s="2" t="s">
        <v>11</v>
      </c>
      <c r="G2314" s="2" t="s">
        <v>39587</v>
      </c>
      <c r="H2314" s="2" t="s">
        <v>39588</v>
      </c>
    </row>
    <row r="2315" spans="1:8" ht="25.05" customHeight="1" x14ac:dyDescent="0.25">
      <c r="A2315" s="2" t="s">
        <v>8</v>
      </c>
      <c r="B2315" s="2" t="str">
        <f>HYPERLINK("http://ts.21cn.com/tousu/show/id/1332893","天天快递快件延误，迟迟未送达")</f>
        <v>天天快递快件延误，迟迟未送达</v>
      </c>
      <c r="C2315" s="2" t="s">
        <v>9</v>
      </c>
      <c r="D2315" s="2" t="s">
        <v>10</v>
      </c>
      <c r="E2315" s="2" t="str">
        <f>HYPERLINK("http://ts.21cn.com/tousu/show/id/1332893","http://ts.21cn.com/tousu/show/id/1332893")</f>
        <v>http://ts.21cn.com/tousu/show/id/1332893</v>
      </c>
      <c r="F2315" s="2" t="s">
        <v>11</v>
      </c>
      <c r="G2315" s="2" t="s">
        <v>39585</v>
      </c>
      <c r="H2315" s="2" t="s">
        <v>39586</v>
      </c>
    </row>
    <row r="2316" spans="1:8" ht="25.05" customHeight="1" x14ac:dyDescent="0.25">
      <c r="A2316" s="2" t="s">
        <v>8</v>
      </c>
      <c r="B2316" s="2" t="str">
        <f>HYPERLINK("http://ts.21cn.com/tousu/show/id/1332894","高利贷")</f>
        <v>高利贷</v>
      </c>
      <c r="C2316" s="2" t="s">
        <v>9</v>
      </c>
      <c r="D2316" s="2" t="s">
        <v>10</v>
      </c>
      <c r="E2316" s="2" t="str">
        <f>HYPERLINK("http://ts.21cn.com/tousu/show/id/1332894","http://ts.21cn.com/tousu/show/id/1332894")</f>
        <v>http://ts.21cn.com/tousu/show/id/1332894</v>
      </c>
      <c r="F2316" s="2" t="s">
        <v>11</v>
      </c>
      <c r="G2316" s="2" t="s">
        <v>39583</v>
      </c>
      <c r="H2316" s="2" t="s">
        <v>39584</v>
      </c>
    </row>
    <row r="2317" spans="1:8" ht="25.05" customHeight="1" x14ac:dyDescent="0.25">
      <c r="A2317" s="2" t="s">
        <v>8</v>
      </c>
      <c r="B2317" s="2" t="str">
        <f>HYPERLINK("http://ts.21cn.com/tousu/show/id/1332864","榕易借高利贷")</f>
        <v>榕易借高利贷</v>
      </c>
      <c r="C2317" s="2" t="s">
        <v>9</v>
      </c>
      <c r="D2317" s="2" t="s">
        <v>10</v>
      </c>
      <c r="E2317" s="2" t="str">
        <f>HYPERLINK("http://ts.21cn.com/tousu/show/id/1332864","http://ts.21cn.com/tousu/show/id/1332864")</f>
        <v>http://ts.21cn.com/tousu/show/id/1332864</v>
      </c>
      <c r="F2317" s="2" t="s">
        <v>11</v>
      </c>
      <c r="G2317" s="2" t="s">
        <v>39581</v>
      </c>
      <c r="H2317" s="2" t="s">
        <v>39582</v>
      </c>
    </row>
    <row r="2318" spans="1:8" ht="25.05" customHeight="1" x14ac:dyDescent="0.25">
      <c r="A2318" s="2" t="s">
        <v>8</v>
      </c>
      <c r="B2318" s="2" t="str">
        <f>HYPERLINK("http://ts.21cn.com/tousu/show/id/1332895","桔米贷恶意扣款不处理")</f>
        <v>桔米贷恶意扣款不处理</v>
      </c>
      <c r="C2318" s="2" t="s">
        <v>9</v>
      </c>
      <c r="D2318" s="2" t="s">
        <v>10</v>
      </c>
      <c r="E2318" s="2" t="str">
        <f>HYPERLINK("http://ts.21cn.com/tousu/show/id/1332895","http://ts.21cn.com/tousu/show/id/1332895")</f>
        <v>http://ts.21cn.com/tousu/show/id/1332895</v>
      </c>
      <c r="F2318" s="2" t="s">
        <v>11</v>
      </c>
      <c r="G2318" s="2" t="s">
        <v>39579</v>
      </c>
      <c r="H2318" s="2" t="s">
        <v>39580</v>
      </c>
    </row>
    <row r="2319" spans="1:8" ht="25.05" customHeight="1" x14ac:dyDescent="0.25">
      <c r="A2319" s="2" t="s">
        <v>8</v>
      </c>
      <c r="B2319" s="2" t="str">
        <f>HYPERLINK("http://ts.21cn.com/tousu/show/id/1332898","猫眼忽悠人")</f>
        <v>猫眼忽悠人</v>
      </c>
      <c r="C2319" s="2" t="s">
        <v>9</v>
      </c>
      <c r="D2319" s="2" t="s">
        <v>10</v>
      </c>
      <c r="E2319" s="2" t="str">
        <f>HYPERLINK("http://ts.21cn.com/tousu/show/id/1332898","http://ts.21cn.com/tousu/show/id/1332898")</f>
        <v>http://ts.21cn.com/tousu/show/id/1332898</v>
      </c>
      <c r="F2319" s="2" t="s">
        <v>11</v>
      </c>
      <c r="G2319" s="2" t="s">
        <v>39577</v>
      </c>
      <c r="H2319" s="2" t="s">
        <v>39578</v>
      </c>
    </row>
    <row r="2320" spans="1:8" ht="25.05" customHeight="1" x14ac:dyDescent="0.25">
      <c r="A2320" s="2" t="s">
        <v>8</v>
      </c>
      <c r="B2320" s="2" t="str">
        <f>HYPERLINK("http://ts.21cn.com/tousu/show/id/1332896","交易猫和保险公司不赔付")</f>
        <v>交易猫和保险公司不赔付</v>
      </c>
      <c r="C2320" s="2" t="s">
        <v>9</v>
      </c>
      <c r="D2320" s="2" t="s">
        <v>10</v>
      </c>
      <c r="E2320" s="2" t="str">
        <f>HYPERLINK("http://ts.21cn.com/tousu/show/id/1332896","http://ts.21cn.com/tousu/show/id/1332896")</f>
        <v>http://ts.21cn.com/tousu/show/id/1332896</v>
      </c>
      <c r="F2320" s="2" t="s">
        <v>11</v>
      </c>
      <c r="G2320" s="2" t="s">
        <v>39575</v>
      </c>
      <c r="H2320" s="2" t="s">
        <v>39576</v>
      </c>
    </row>
    <row r="2321" spans="1:8" ht="25.05" customHeight="1" x14ac:dyDescent="0.25">
      <c r="A2321" s="2" t="s">
        <v>8</v>
      </c>
      <c r="B2321" s="2" t="str">
        <f>HYPERLINK("http://ts.21cn.com/tousu/show/id/1332900","骚扰，恐吓家人")</f>
        <v>骚扰，恐吓家人</v>
      </c>
      <c r="C2321" s="2" t="s">
        <v>9</v>
      </c>
      <c r="D2321" s="2" t="s">
        <v>10</v>
      </c>
      <c r="E2321" s="2" t="str">
        <f>HYPERLINK("http://ts.21cn.com/tousu/show/id/1332900","http://ts.21cn.com/tousu/show/id/1332900")</f>
        <v>http://ts.21cn.com/tousu/show/id/1332900</v>
      </c>
      <c r="F2321" s="2" t="s">
        <v>11</v>
      </c>
      <c r="G2321" s="2" t="s">
        <v>39573</v>
      </c>
      <c r="H2321" s="2" t="s">
        <v>39574</v>
      </c>
    </row>
    <row r="2322" spans="1:8" ht="25.05" customHeight="1" x14ac:dyDescent="0.25">
      <c r="A2322" s="2" t="s">
        <v>8</v>
      </c>
      <c r="B2322" s="2" t="str">
        <f>HYPERLINK("http://ts.21cn.com/tousu/show/id/1332901","虚假发货与退款")</f>
        <v>虚假发货与退款</v>
      </c>
      <c r="C2322" s="2" t="s">
        <v>9</v>
      </c>
      <c r="D2322" s="2" t="s">
        <v>10</v>
      </c>
      <c r="E2322" s="2" t="str">
        <f>HYPERLINK("http://ts.21cn.com/tousu/show/id/1332901","http://ts.21cn.com/tousu/show/id/1332901")</f>
        <v>http://ts.21cn.com/tousu/show/id/1332901</v>
      </c>
      <c r="F2322" s="2" t="s">
        <v>11</v>
      </c>
      <c r="G2322" s="2" t="s">
        <v>39571</v>
      </c>
      <c r="H2322" s="2" t="s">
        <v>39572</v>
      </c>
    </row>
    <row r="2323" spans="1:8" ht="25.05" customHeight="1" x14ac:dyDescent="0.25">
      <c r="A2323" s="2" t="s">
        <v>8</v>
      </c>
      <c r="B2323" s="2" t="str">
        <f>HYPERLINK("http://ts.21cn.com/tousu/show/id/1332902","豹子贷扣款")</f>
        <v>豹子贷扣款</v>
      </c>
      <c r="C2323" s="2" t="s">
        <v>9</v>
      </c>
      <c r="D2323" s="2" t="s">
        <v>10</v>
      </c>
      <c r="E2323" s="2" t="str">
        <f>HYPERLINK("http://ts.21cn.com/tousu/show/id/1332902","http://ts.21cn.com/tousu/show/id/1332902")</f>
        <v>http://ts.21cn.com/tousu/show/id/1332902</v>
      </c>
      <c r="F2323" s="2" t="s">
        <v>11</v>
      </c>
      <c r="G2323" s="2" t="s">
        <v>39569</v>
      </c>
      <c r="H2323" s="2" t="s">
        <v>39570</v>
      </c>
    </row>
    <row r="2324" spans="1:8" ht="25.05" customHeight="1" x14ac:dyDescent="0.25">
      <c r="A2324" s="2" t="s">
        <v>8</v>
      </c>
      <c r="B2324" s="2" t="str">
        <f>HYPERLINK("http://ts.21cn.com/tousu/show/id/1332904","714高炮")</f>
        <v>714高炮</v>
      </c>
      <c r="C2324" s="2" t="s">
        <v>34</v>
      </c>
      <c r="D2324" s="2" t="s">
        <v>10</v>
      </c>
      <c r="E2324" s="2" t="str">
        <f>HYPERLINK("http://ts.21cn.com/tousu/show/id/1332904","http://ts.21cn.com/tousu/show/id/1332904")</f>
        <v>http://ts.21cn.com/tousu/show/id/1332904</v>
      </c>
      <c r="F2324" s="2" t="s">
        <v>11</v>
      </c>
      <c r="G2324" s="2" t="s">
        <v>39567</v>
      </c>
      <c r="H2324" s="2" t="s">
        <v>39568</v>
      </c>
    </row>
    <row r="2325" spans="1:8" ht="25.05" customHeight="1" x14ac:dyDescent="0.25">
      <c r="A2325" s="2" t="s">
        <v>8</v>
      </c>
      <c r="B2325" s="2" t="str">
        <f>HYPERLINK("http://ts.21cn.com/tousu/show/id/1326238","高利贷暴力催收威胁恐吓")</f>
        <v>高利贷暴力催收威胁恐吓</v>
      </c>
      <c r="C2325" s="2" t="s">
        <v>9</v>
      </c>
      <c r="D2325" s="2" t="s">
        <v>10</v>
      </c>
      <c r="E2325" s="2" t="str">
        <f>HYPERLINK("http://ts.21cn.com/tousu/show/id/1326238","http://ts.21cn.com/tousu/show/id/1326238")</f>
        <v>http://ts.21cn.com/tousu/show/id/1326238</v>
      </c>
      <c r="F2325" s="2" t="s">
        <v>11</v>
      </c>
      <c r="G2325" s="2" t="s">
        <v>39565</v>
      </c>
      <c r="H2325" s="2" t="s">
        <v>39566</v>
      </c>
    </row>
    <row r="2326" spans="1:8" ht="25.05" customHeight="1" x14ac:dyDescent="0.25">
      <c r="A2326" s="2" t="s">
        <v>8</v>
      </c>
      <c r="B2326" s="2" t="str">
        <f>HYPERLINK("http://ts.21cn.com/tousu/show/id/1332907","现金巴士套路贷")</f>
        <v>现金巴士套路贷</v>
      </c>
      <c r="C2326" s="2" t="s">
        <v>9</v>
      </c>
      <c r="D2326" s="2" t="s">
        <v>10</v>
      </c>
      <c r="E2326" s="2" t="str">
        <f>HYPERLINK("http://ts.21cn.com/tousu/show/id/1332907","http://ts.21cn.com/tousu/show/id/1332907")</f>
        <v>http://ts.21cn.com/tousu/show/id/1332907</v>
      </c>
      <c r="F2326" s="2" t="s">
        <v>11</v>
      </c>
      <c r="G2326" s="2" t="s">
        <v>39563</v>
      </c>
      <c r="H2326" s="2" t="s">
        <v>39564</v>
      </c>
    </row>
    <row r="2327" spans="1:8" ht="25.05" customHeight="1" x14ac:dyDescent="0.25">
      <c r="A2327" s="2" t="s">
        <v>8</v>
      </c>
      <c r="B2327" s="2" t="str">
        <f>HYPERLINK("http://ts.21cn.com/tousu/show/id/1332906","滴滴死机绕路，态度差客服处理后未接受并关闭我的订单")</f>
        <v>滴滴死机绕路，态度差客服处理后未接受并关闭我的订单</v>
      </c>
      <c r="C2327" s="2" t="s">
        <v>9</v>
      </c>
      <c r="D2327" s="2" t="s">
        <v>10</v>
      </c>
      <c r="E2327" s="2" t="str">
        <f>HYPERLINK("http://ts.21cn.com/tousu/show/id/1332906","http://ts.21cn.com/tousu/show/id/1332906")</f>
        <v>http://ts.21cn.com/tousu/show/id/1332906</v>
      </c>
      <c r="F2327" s="2" t="s">
        <v>11</v>
      </c>
      <c r="G2327" s="2" t="s">
        <v>39561</v>
      </c>
      <c r="H2327" s="2" t="s">
        <v>39562</v>
      </c>
    </row>
    <row r="2328" spans="1:8" ht="25.05" customHeight="1" x14ac:dyDescent="0.25">
      <c r="A2328" s="2" t="s">
        <v>8</v>
      </c>
      <c r="B2328" s="2" t="str">
        <f>HYPERLINK("http://ts.21cn.com/tousu/show/id/1332903","猫眼忽悠用户")</f>
        <v>猫眼忽悠用户</v>
      </c>
      <c r="C2328" s="2" t="s">
        <v>9</v>
      </c>
      <c r="D2328" s="2" t="s">
        <v>10</v>
      </c>
      <c r="E2328" s="2" t="str">
        <f>HYPERLINK("http://ts.21cn.com/tousu/show/id/1332903","http://ts.21cn.com/tousu/show/id/1332903")</f>
        <v>http://ts.21cn.com/tousu/show/id/1332903</v>
      </c>
      <c r="F2328" s="2" t="s">
        <v>11</v>
      </c>
      <c r="G2328" s="2" t="s">
        <v>39559</v>
      </c>
      <c r="H2328" s="2" t="s">
        <v>39560</v>
      </c>
    </row>
    <row r="2329" spans="1:8" ht="25.05" customHeight="1" x14ac:dyDescent="0.25">
      <c r="A2329" s="2" t="s">
        <v>8</v>
      </c>
      <c r="B2329" s="2" t="str">
        <f>HYPERLINK("http://ts.21cn.com/tousu/show/id/1332908","松紧贷骚扰威胁客服打了电话也不处理")</f>
        <v>松紧贷骚扰威胁客服打了电话也不处理</v>
      </c>
      <c r="C2329" s="2" t="s">
        <v>9</v>
      </c>
      <c r="D2329" s="2" t="s">
        <v>10</v>
      </c>
      <c r="E2329" s="2" t="str">
        <f>HYPERLINK("http://ts.21cn.com/tousu/show/id/1332908","http://ts.21cn.com/tousu/show/id/1332908")</f>
        <v>http://ts.21cn.com/tousu/show/id/1332908</v>
      </c>
      <c r="F2329" s="2" t="s">
        <v>11</v>
      </c>
      <c r="G2329" s="2" t="s">
        <v>39557</v>
      </c>
      <c r="H2329" s="2" t="s">
        <v>39558</v>
      </c>
    </row>
    <row r="2330" spans="1:8" ht="25.05" customHeight="1" x14ac:dyDescent="0.25">
      <c r="A2330" s="2" t="s">
        <v>8</v>
      </c>
      <c r="B2330" s="2" t="str">
        <f>HYPERLINK("http://ts.21cn.com/tousu/show/id/1332897","小浦优客无缘无故扣款，通联支付为其提供支付通道")</f>
        <v>小浦优客无缘无故扣款，通联支付为其提供支付通道</v>
      </c>
      <c r="C2330" s="2" t="s">
        <v>9</v>
      </c>
      <c r="D2330" s="2" t="s">
        <v>10</v>
      </c>
      <c r="E2330" s="2" t="str">
        <f>HYPERLINK("http://ts.21cn.com/tousu/show/id/1332897","http://ts.21cn.com/tousu/show/id/1332897")</f>
        <v>http://ts.21cn.com/tousu/show/id/1332897</v>
      </c>
      <c r="F2330" s="2" t="s">
        <v>11</v>
      </c>
      <c r="G2330" s="2" t="s">
        <v>39555</v>
      </c>
      <c r="H2330" s="2" t="s">
        <v>39556</v>
      </c>
    </row>
    <row r="2331" spans="1:8" ht="25.05" customHeight="1" x14ac:dyDescent="0.25">
      <c r="A2331" s="2" t="s">
        <v>8</v>
      </c>
      <c r="B2331" s="2" t="str">
        <f>HYPERLINK("http://ts.21cn.com/tousu/show/id/1332909","小通商城乱扣费")</f>
        <v>小通商城乱扣费</v>
      </c>
      <c r="C2331" s="2" t="s">
        <v>9</v>
      </c>
      <c r="D2331" s="2" t="s">
        <v>10</v>
      </c>
      <c r="E2331" s="2" t="str">
        <f>HYPERLINK("http://ts.21cn.com/tousu/show/id/1332909","http://ts.21cn.com/tousu/show/id/1332909")</f>
        <v>http://ts.21cn.com/tousu/show/id/1332909</v>
      </c>
      <c r="F2331" s="2" t="s">
        <v>11</v>
      </c>
      <c r="G2331" s="2" t="s">
        <v>39553</v>
      </c>
      <c r="H2331" s="2" t="s">
        <v>39554</v>
      </c>
    </row>
    <row r="2332" spans="1:8" ht="25.05" customHeight="1" x14ac:dyDescent="0.25">
      <c r="A2332" s="2" t="s">
        <v>8</v>
      </c>
      <c r="B2332" s="2" t="str">
        <f>HYPERLINK("http://ts.21cn.com/tousu/show/id/1332911","支付宝账号支付功能被限制")</f>
        <v>支付宝账号支付功能被限制</v>
      </c>
      <c r="C2332" s="2" t="s">
        <v>9</v>
      </c>
      <c r="D2332" s="2" t="s">
        <v>10</v>
      </c>
      <c r="E2332" s="2" t="str">
        <f>HYPERLINK("http://ts.21cn.com/tousu/show/id/1332911","http://ts.21cn.com/tousu/show/id/1332911")</f>
        <v>http://ts.21cn.com/tousu/show/id/1332911</v>
      </c>
      <c r="F2332" s="2" t="s">
        <v>11</v>
      </c>
      <c r="G2332" s="2" t="s">
        <v>39550</v>
      </c>
      <c r="H2332" s="2" t="s">
        <v>39551</v>
      </c>
    </row>
    <row r="2333" spans="1:8" ht="25.05" customHeight="1" x14ac:dyDescent="0.25">
      <c r="A2333" s="2" t="s">
        <v>8</v>
      </c>
      <c r="B2333" s="2" t="str">
        <f>HYPERLINK("http://ts.21cn.com/tousu/show/id/1332912","聚福钱包未经许可私自扣款")</f>
        <v>聚福钱包未经许可私自扣款</v>
      </c>
      <c r="C2333" s="2" t="s">
        <v>9</v>
      </c>
      <c r="D2333" s="2" t="s">
        <v>10</v>
      </c>
      <c r="E2333" s="2" t="str">
        <f>HYPERLINK("http://ts.21cn.com/tousu/show/id/1332912","http://ts.21cn.com/tousu/show/id/1332912")</f>
        <v>http://ts.21cn.com/tousu/show/id/1332912</v>
      </c>
      <c r="F2333" s="2" t="s">
        <v>11</v>
      </c>
      <c r="G2333" s="2" t="s">
        <v>39550</v>
      </c>
      <c r="H2333" s="2" t="s">
        <v>39552</v>
      </c>
    </row>
    <row r="2334" spans="1:8" ht="25.05" customHeight="1" x14ac:dyDescent="0.25">
      <c r="A2334" s="2" t="s">
        <v>8</v>
      </c>
      <c r="B2334" s="2" t="str">
        <f>HYPERLINK("http://ts.21cn.com/tousu/show/id/1332887","武汉交警执法偏袒")</f>
        <v>武汉交警执法偏袒</v>
      </c>
      <c r="C2334" s="2" t="s">
        <v>9</v>
      </c>
      <c r="D2334" s="2" t="s">
        <v>10</v>
      </c>
      <c r="E2334" s="2" t="str">
        <f>HYPERLINK("http://ts.21cn.com/tousu/show/id/1332887","http://ts.21cn.com/tousu/show/id/1332887")</f>
        <v>http://ts.21cn.com/tousu/show/id/1332887</v>
      </c>
      <c r="F2334" s="2" t="s">
        <v>11</v>
      </c>
      <c r="G2334" s="2" t="s">
        <v>39548</v>
      </c>
      <c r="H2334" s="2" t="s">
        <v>39549</v>
      </c>
    </row>
    <row r="2335" spans="1:8" ht="25.05" customHeight="1" x14ac:dyDescent="0.25">
      <c r="A2335" s="2" t="s">
        <v>8</v>
      </c>
      <c r="B2335" s="2" t="str">
        <f>HYPERLINK("http://ts.21cn.com/tousu/show/id/1332913","开通支付宝免密支付未经同意被恶意扣款")</f>
        <v>开通支付宝免密支付未经同意被恶意扣款</v>
      </c>
      <c r="C2335" s="2" t="s">
        <v>9</v>
      </c>
      <c r="D2335" s="2" t="s">
        <v>10</v>
      </c>
      <c r="E2335" s="2" t="str">
        <f>HYPERLINK("http://ts.21cn.com/tousu/show/id/1332913","http://ts.21cn.com/tousu/show/id/1332913")</f>
        <v>http://ts.21cn.com/tousu/show/id/1332913</v>
      </c>
      <c r="F2335" s="2" t="s">
        <v>11</v>
      </c>
      <c r="G2335" s="2" t="s">
        <v>39546</v>
      </c>
      <c r="H2335" s="2" t="s">
        <v>39547</v>
      </c>
    </row>
    <row r="2336" spans="1:8" ht="25.05" customHeight="1" x14ac:dyDescent="0.25">
      <c r="A2336" s="2" t="s">
        <v>8</v>
      </c>
      <c r="B2336" s="2" t="str">
        <f>HYPERLINK("http://ts.21cn.com/tousu/show/id/1332914","催收人员非法催收")</f>
        <v>催收人员非法催收</v>
      </c>
      <c r="C2336" s="2" t="s">
        <v>9</v>
      </c>
      <c r="D2336" s="2" t="s">
        <v>10</v>
      </c>
      <c r="E2336" s="2" t="str">
        <f>HYPERLINK("http://ts.21cn.com/tousu/show/id/1332914","http://ts.21cn.com/tousu/show/id/1332914")</f>
        <v>http://ts.21cn.com/tousu/show/id/1332914</v>
      </c>
      <c r="F2336" s="2" t="s">
        <v>11</v>
      </c>
      <c r="G2336" s="2" t="s">
        <v>39544</v>
      </c>
      <c r="H2336" s="2" t="s">
        <v>39545</v>
      </c>
    </row>
    <row r="2337" spans="1:8" ht="25.05" customHeight="1" x14ac:dyDescent="0.25">
      <c r="A2337" s="2" t="s">
        <v>8</v>
      </c>
      <c r="B2337" s="2" t="str">
        <f>HYPERLINK("http://ts.21cn.com/tousu/show/id/1332917","电滴出行恶意收费")</f>
        <v>电滴出行恶意收费</v>
      </c>
      <c r="C2337" s="2" t="s">
        <v>9</v>
      </c>
      <c r="D2337" s="2" t="s">
        <v>10</v>
      </c>
      <c r="E2337" s="2" t="str">
        <f>HYPERLINK("http://ts.21cn.com/tousu/show/id/1332917","http://ts.21cn.com/tousu/show/id/1332917")</f>
        <v>http://ts.21cn.com/tousu/show/id/1332917</v>
      </c>
      <c r="F2337" s="2" t="s">
        <v>11</v>
      </c>
      <c r="G2337" s="2" t="s">
        <v>39542</v>
      </c>
      <c r="H2337" s="2" t="s">
        <v>39543</v>
      </c>
    </row>
    <row r="2338" spans="1:8" ht="25.05" customHeight="1" x14ac:dyDescent="0.25">
      <c r="A2338" s="2" t="s">
        <v>8</v>
      </c>
      <c r="B2338" s="2" t="str">
        <f>HYPERLINK("http://ts.21cn.com/tousu/show/id/1332905","上海造艺网络科技有限公司恶意扣款")</f>
        <v>上海造艺网络科技有限公司恶意扣款</v>
      </c>
      <c r="C2338" s="2" t="s">
        <v>9</v>
      </c>
      <c r="D2338" s="2" t="s">
        <v>10</v>
      </c>
      <c r="E2338" s="2" t="str">
        <f>HYPERLINK("http://ts.21cn.com/tousu/show/id/1332905","http://ts.21cn.com/tousu/show/id/1332905")</f>
        <v>http://ts.21cn.com/tousu/show/id/1332905</v>
      </c>
      <c r="F2338" s="2" t="s">
        <v>11</v>
      </c>
      <c r="G2338" s="2" t="s">
        <v>39540</v>
      </c>
      <c r="H2338" s="2" t="s">
        <v>39541</v>
      </c>
    </row>
    <row r="2339" spans="1:8" ht="25.05" customHeight="1" x14ac:dyDescent="0.25">
      <c r="A2339" s="2" t="s">
        <v>8</v>
      </c>
      <c r="B2339" s="2" t="str">
        <f>HYPERLINK("http://ts.21cn.com/tousu/show/id/1332918","中信银行不按时发放奖励")</f>
        <v>中信银行不按时发放奖励</v>
      </c>
      <c r="C2339" s="2" t="s">
        <v>9</v>
      </c>
      <c r="D2339" s="2" t="s">
        <v>10</v>
      </c>
      <c r="E2339" s="2" t="str">
        <f>HYPERLINK("http://ts.21cn.com/tousu/show/id/1332918","http://ts.21cn.com/tousu/show/id/1332918")</f>
        <v>http://ts.21cn.com/tousu/show/id/1332918</v>
      </c>
      <c r="F2339" s="2" t="s">
        <v>11</v>
      </c>
      <c r="G2339" s="2" t="s">
        <v>39538</v>
      </c>
      <c r="H2339" s="2" t="s">
        <v>39539</v>
      </c>
    </row>
    <row r="2340" spans="1:8" ht="25.05" customHeight="1" x14ac:dyDescent="0.25">
      <c r="A2340" s="2" t="s">
        <v>8</v>
      </c>
      <c r="B2340" s="2" t="str">
        <f>HYPERLINK("http://ts.21cn.com/tousu/show/id/1332920","米点点高利贷")</f>
        <v>米点点高利贷</v>
      </c>
      <c r="C2340" s="2" t="s">
        <v>9</v>
      </c>
      <c r="D2340" s="2" t="s">
        <v>10</v>
      </c>
      <c r="E2340" s="2" t="str">
        <f>HYPERLINK("http://ts.21cn.com/tousu/show/id/1332920","http://ts.21cn.com/tousu/show/id/1332920")</f>
        <v>http://ts.21cn.com/tousu/show/id/1332920</v>
      </c>
      <c r="F2340" s="2" t="s">
        <v>11</v>
      </c>
      <c r="G2340" s="2" t="s">
        <v>39536</v>
      </c>
      <c r="H2340" s="2" t="s">
        <v>39537</v>
      </c>
    </row>
    <row r="2341" spans="1:8" ht="25.05" customHeight="1" x14ac:dyDescent="0.25">
      <c r="A2341" s="2" t="s">
        <v>8</v>
      </c>
      <c r="B2341" s="2" t="str">
        <f>HYPERLINK("http://ts.21cn.com/tousu/show/id/1332921","捷信现金贷利息太高")</f>
        <v>捷信现金贷利息太高</v>
      </c>
      <c r="C2341" s="2" t="s">
        <v>9</v>
      </c>
      <c r="D2341" s="2" t="s">
        <v>10</v>
      </c>
      <c r="E2341" s="2" t="str">
        <f>HYPERLINK("http://ts.21cn.com/tousu/show/id/1332921","http://ts.21cn.com/tousu/show/id/1332921")</f>
        <v>http://ts.21cn.com/tousu/show/id/1332921</v>
      </c>
      <c r="F2341" s="2" t="s">
        <v>11</v>
      </c>
      <c r="G2341" s="2" t="s">
        <v>39534</v>
      </c>
      <c r="H2341" s="2" t="s">
        <v>39535</v>
      </c>
    </row>
    <row r="2342" spans="1:8" ht="25.05" customHeight="1" x14ac:dyDescent="0.25">
      <c r="A2342" s="2" t="s">
        <v>8</v>
      </c>
      <c r="B2342" s="2" t="str">
        <f>HYPERLINK("http://ts.21cn.com/tousu/show/id/1332923","洋钱灌借款平台骚扰催收")</f>
        <v>洋钱灌借款平台骚扰催收</v>
      </c>
      <c r="C2342" s="2" t="s">
        <v>9</v>
      </c>
      <c r="D2342" s="2" t="s">
        <v>10</v>
      </c>
      <c r="E2342" s="2" t="str">
        <f>HYPERLINK("http://ts.21cn.com/tousu/show/id/1332923","http://ts.21cn.com/tousu/show/id/1332923")</f>
        <v>http://ts.21cn.com/tousu/show/id/1332923</v>
      </c>
      <c r="F2342" s="2" t="s">
        <v>11</v>
      </c>
      <c r="G2342" s="2" t="s">
        <v>39532</v>
      </c>
      <c r="H2342" s="2" t="s">
        <v>39533</v>
      </c>
    </row>
    <row r="2343" spans="1:8" ht="25.05" customHeight="1" x14ac:dyDescent="0.25">
      <c r="A2343" s="2" t="s">
        <v>8</v>
      </c>
      <c r="B2343" s="2" t="str">
        <f>HYPERLINK("http://ts.21cn.com/tousu/show/id/1332922","中国电信私自增加业务")</f>
        <v>中国电信私自增加业务</v>
      </c>
      <c r="C2343" s="2" t="s">
        <v>9</v>
      </c>
      <c r="D2343" s="2" t="s">
        <v>10</v>
      </c>
      <c r="E2343" s="2" t="str">
        <f>HYPERLINK("http://ts.21cn.com/tousu/show/id/1332922","http://ts.21cn.com/tousu/show/id/1332922")</f>
        <v>http://ts.21cn.com/tousu/show/id/1332922</v>
      </c>
      <c r="F2343" s="2" t="s">
        <v>11</v>
      </c>
      <c r="G2343" s="2" t="s">
        <v>39530</v>
      </c>
      <c r="H2343" s="2" t="s">
        <v>39531</v>
      </c>
    </row>
    <row r="2344" spans="1:8" ht="25.05" customHeight="1" x14ac:dyDescent="0.25">
      <c r="A2344" s="2" t="s">
        <v>8</v>
      </c>
      <c r="B2344" s="2" t="str">
        <f>HYPERLINK("http://ts.21cn.com/tousu/show/id/1332924","百事普惠恶意扣款")</f>
        <v>百事普惠恶意扣款</v>
      </c>
      <c r="C2344" s="2" t="s">
        <v>9</v>
      </c>
      <c r="D2344" s="2" t="s">
        <v>10</v>
      </c>
      <c r="E2344" s="2" t="str">
        <f>HYPERLINK("http://ts.21cn.com/tousu/show/id/1332924","http://ts.21cn.com/tousu/show/id/1332924")</f>
        <v>http://ts.21cn.com/tousu/show/id/1332924</v>
      </c>
      <c r="F2344" s="2" t="s">
        <v>11</v>
      </c>
      <c r="G2344" s="2" t="s">
        <v>39528</v>
      </c>
      <c r="H2344" s="2" t="s">
        <v>39529</v>
      </c>
    </row>
    <row r="2345" spans="1:8" ht="25.05" customHeight="1" x14ac:dyDescent="0.25">
      <c r="A2345" s="2" t="s">
        <v>8</v>
      </c>
      <c r="B2345" s="2" t="str">
        <f>HYPERLINK("http://ts.21cn.com/tousu/show/id/1332925","饿了么商家在顾客等待一个多小时后，直接取消订单")</f>
        <v>饿了么商家在顾客等待一个多小时后，直接取消订单</v>
      </c>
      <c r="C2345" s="2" t="s">
        <v>34</v>
      </c>
      <c r="D2345" s="2" t="s">
        <v>10</v>
      </c>
      <c r="E2345" s="2" t="str">
        <f>HYPERLINK("http://ts.21cn.com/tousu/show/id/1332925","http://ts.21cn.com/tousu/show/id/1332925")</f>
        <v>http://ts.21cn.com/tousu/show/id/1332925</v>
      </c>
      <c r="F2345" s="2" t="s">
        <v>11</v>
      </c>
      <c r="G2345" s="2" t="s">
        <v>39526</v>
      </c>
      <c r="H2345" s="2" t="s">
        <v>39527</v>
      </c>
    </row>
    <row r="2346" spans="1:8" ht="25.05" customHeight="1" x14ac:dyDescent="0.25">
      <c r="A2346" s="2" t="s">
        <v>8</v>
      </c>
      <c r="B2346" s="2" t="str">
        <f>HYPERLINK("http://ts.21cn.com/tousu/show/id/1332926","在分期乐买的手机有质量问题")</f>
        <v>在分期乐买的手机有质量问题</v>
      </c>
      <c r="C2346" s="2" t="s">
        <v>9</v>
      </c>
      <c r="D2346" s="2" t="s">
        <v>10</v>
      </c>
      <c r="E2346" s="2" t="str">
        <f>HYPERLINK("http://ts.21cn.com/tousu/show/id/1332926","http://ts.21cn.com/tousu/show/id/1332926")</f>
        <v>http://ts.21cn.com/tousu/show/id/1332926</v>
      </c>
      <c r="F2346" s="2" t="s">
        <v>11</v>
      </c>
      <c r="G2346" s="2" t="s">
        <v>39524</v>
      </c>
      <c r="H2346" s="2" t="s">
        <v>39525</v>
      </c>
    </row>
    <row r="2347" spans="1:8" ht="25.05" customHeight="1" x14ac:dyDescent="0.25">
      <c r="A2347" s="2" t="s">
        <v>8</v>
      </c>
      <c r="B2347" s="2" t="str">
        <f>HYPERLINK("http://ts.21cn.com/tousu/show/id/1332928","投诉淘宝客服敷衍了事")</f>
        <v>投诉淘宝客服敷衍了事</v>
      </c>
      <c r="C2347" s="2" t="s">
        <v>9</v>
      </c>
      <c r="D2347" s="2" t="s">
        <v>10</v>
      </c>
      <c r="E2347" s="2" t="str">
        <f>HYPERLINK("http://ts.21cn.com/tousu/show/id/1332928","http://ts.21cn.com/tousu/show/id/1332928")</f>
        <v>http://ts.21cn.com/tousu/show/id/1332928</v>
      </c>
      <c r="F2347" s="2" t="s">
        <v>11</v>
      </c>
      <c r="G2347" s="2" t="s">
        <v>39522</v>
      </c>
      <c r="H2347" s="2" t="s">
        <v>39523</v>
      </c>
    </row>
    <row r="2348" spans="1:8" ht="25.05" customHeight="1" x14ac:dyDescent="0.25">
      <c r="A2348" s="2" t="s">
        <v>8</v>
      </c>
      <c r="B2348" s="2" t="str">
        <f>HYPERLINK("http://ts.21cn.com/tousu/show/id/1332927","网贷平台各种骚扰")</f>
        <v>网贷平台各种骚扰</v>
      </c>
      <c r="C2348" s="2" t="s">
        <v>9</v>
      </c>
      <c r="D2348" s="2" t="s">
        <v>10</v>
      </c>
      <c r="E2348" s="2" t="str">
        <f>HYPERLINK("http://ts.21cn.com/tousu/show/id/1332927","http://ts.21cn.com/tousu/show/id/1332927")</f>
        <v>http://ts.21cn.com/tousu/show/id/1332927</v>
      </c>
      <c r="F2348" s="2" t="s">
        <v>11</v>
      </c>
      <c r="G2348" s="2" t="s">
        <v>39520</v>
      </c>
      <c r="H2348" s="2" t="s">
        <v>39521</v>
      </c>
    </row>
    <row r="2349" spans="1:8" ht="25.05" customHeight="1" x14ac:dyDescent="0.25">
      <c r="A2349" s="2" t="s">
        <v>8</v>
      </c>
      <c r="B2349" s="2" t="str">
        <f>HYPERLINK("http://ts.21cn.com/tousu/show/id/1332929","欧诗漫欺诈粉丝")</f>
        <v>欧诗漫欺诈粉丝</v>
      </c>
      <c r="C2349" s="2" t="s">
        <v>9</v>
      </c>
      <c r="D2349" s="2" t="s">
        <v>10</v>
      </c>
      <c r="E2349" s="2" t="str">
        <f>HYPERLINK("http://ts.21cn.com/tousu/show/id/1332929","http://ts.21cn.com/tousu/show/id/1332929")</f>
        <v>http://ts.21cn.com/tousu/show/id/1332929</v>
      </c>
      <c r="F2349" s="2" t="s">
        <v>11</v>
      </c>
      <c r="G2349" s="2" t="s">
        <v>39518</v>
      </c>
      <c r="H2349" s="2" t="s">
        <v>39519</v>
      </c>
    </row>
    <row r="2350" spans="1:8" ht="25.05" customHeight="1" x14ac:dyDescent="0.25">
      <c r="A2350" s="2" t="s">
        <v>8</v>
      </c>
      <c r="B2350" s="2" t="str">
        <f>HYPERLINK("http://ts.21cn.com/tousu/show/id/1332930","协商还款")</f>
        <v>协商还款</v>
      </c>
      <c r="C2350" s="2" t="s">
        <v>34</v>
      </c>
      <c r="D2350" s="2" t="s">
        <v>10</v>
      </c>
      <c r="E2350" s="2" t="str">
        <f>HYPERLINK("http://ts.21cn.com/tousu/show/id/1332930","http://ts.21cn.com/tousu/show/id/1332930")</f>
        <v>http://ts.21cn.com/tousu/show/id/1332930</v>
      </c>
      <c r="F2350" s="2" t="s">
        <v>11</v>
      </c>
      <c r="G2350" s="2" t="s">
        <v>39516</v>
      </c>
      <c r="H2350" s="2" t="s">
        <v>39517</v>
      </c>
    </row>
    <row r="2351" spans="1:8" ht="25.05" customHeight="1" x14ac:dyDescent="0.25">
      <c r="A2351" s="2" t="s">
        <v>8</v>
      </c>
      <c r="B2351" s="2" t="str">
        <f>HYPERLINK("http://ts.21cn.com/tousu/show/id/1332931","口味排骨中有彩色塑料，餐厅仅退款处理，为考虑顾客已食用含有异物菜品，顾客身体健康如何保证。")</f>
        <v>口味排骨中有彩色塑料，餐厅仅退款处理，为考虑顾客已食用含有异物菜品，顾客身体健康如何保证。</v>
      </c>
      <c r="C2351" s="2" t="s">
        <v>9</v>
      </c>
      <c r="D2351" s="2" t="s">
        <v>10</v>
      </c>
      <c r="E2351" s="2" t="str">
        <f>HYPERLINK("http://ts.21cn.com/tousu/show/id/1332931","http://ts.21cn.com/tousu/show/id/1332931")</f>
        <v>http://ts.21cn.com/tousu/show/id/1332931</v>
      </c>
      <c r="F2351" s="2" t="s">
        <v>11</v>
      </c>
      <c r="G2351" s="2" t="s">
        <v>39514</v>
      </c>
      <c r="H2351" s="2" t="s">
        <v>39515</v>
      </c>
    </row>
    <row r="2352" spans="1:8" ht="25.05" customHeight="1" x14ac:dyDescent="0.25">
      <c r="A2352" s="2" t="s">
        <v>8</v>
      </c>
      <c r="B2352" s="2" t="str">
        <f>HYPERLINK("http://ts.21cn.com/tousu/show/id/1332932","贷款7100元，账单显示贷款11196.95元要求投诉")</f>
        <v>贷款7100元，账单显示贷款11196.95元要求投诉</v>
      </c>
      <c r="C2352" s="2" t="s">
        <v>9</v>
      </c>
      <c r="D2352" s="2" t="s">
        <v>10</v>
      </c>
      <c r="E2352" s="2" t="str">
        <f>HYPERLINK("http://ts.21cn.com/tousu/show/id/1332932","http://ts.21cn.com/tousu/show/id/1332932")</f>
        <v>http://ts.21cn.com/tousu/show/id/1332932</v>
      </c>
      <c r="F2352" s="2" t="s">
        <v>11</v>
      </c>
      <c r="G2352" s="2" t="s">
        <v>39513</v>
      </c>
      <c r="H2352" s="2" t="s">
        <v>39023</v>
      </c>
    </row>
    <row r="2353" spans="1:8" ht="25.05" customHeight="1" x14ac:dyDescent="0.25">
      <c r="A2353" s="2" t="s">
        <v>8</v>
      </c>
      <c r="B2353" s="2" t="str">
        <f>HYPERLINK("http://ts.21cn.com/tousu/show/id/1332933","急用钱群发信息通讯录骚扰通讯录")</f>
        <v>急用钱群发信息通讯录骚扰通讯录</v>
      </c>
      <c r="C2353" s="2" t="s">
        <v>34</v>
      </c>
      <c r="D2353" s="2" t="s">
        <v>10</v>
      </c>
      <c r="E2353" s="2" t="str">
        <f>HYPERLINK("http://ts.21cn.com/tousu/show/id/1332933","http://ts.21cn.com/tousu/show/id/1332933")</f>
        <v>http://ts.21cn.com/tousu/show/id/1332933</v>
      </c>
      <c r="F2353" s="2" t="s">
        <v>11</v>
      </c>
      <c r="G2353" s="2" t="s">
        <v>39511</v>
      </c>
      <c r="H2353" s="2" t="s">
        <v>39512</v>
      </c>
    </row>
    <row r="2354" spans="1:8" ht="25.05" customHeight="1" x14ac:dyDescent="0.25">
      <c r="A2354" s="2" t="s">
        <v>8</v>
      </c>
      <c r="B2354" s="2" t="str">
        <f>HYPERLINK("http://ts.21cn.com/tousu/show/id/1332934","投诉主题：云闪付违规操作提供第三方支付通道要求退款")</f>
        <v>投诉主题：云闪付违规操作提供第三方支付通道要求退款</v>
      </c>
      <c r="C2354" s="2" t="s">
        <v>9</v>
      </c>
      <c r="D2354" s="2" t="s">
        <v>10</v>
      </c>
      <c r="E2354" s="2" t="str">
        <f>HYPERLINK("http://ts.21cn.com/tousu/show/id/1332934","http://ts.21cn.com/tousu/show/id/1332934")</f>
        <v>http://ts.21cn.com/tousu/show/id/1332934</v>
      </c>
      <c r="F2354" s="2" t="s">
        <v>11</v>
      </c>
      <c r="G2354" s="2" t="s">
        <v>39509</v>
      </c>
      <c r="H2354" s="2" t="s">
        <v>39510</v>
      </c>
    </row>
    <row r="2355" spans="1:8" ht="25.05" customHeight="1" x14ac:dyDescent="0.25">
      <c r="A2355" s="2" t="s">
        <v>8</v>
      </c>
      <c r="B2355" s="2" t="str">
        <f>HYPERLINK("http://ts.21cn.com/tousu/show/id/1332935","租车可开了一下试车车辆有问题")</f>
        <v>租车可开了一下试车车辆有问题</v>
      </c>
      <c r="C2355" s="2" t="s">
        <v>34</v>
      </c>
      <c r="D2355" s="2" t="s">
        <v>10</v>
      </c>
      <c r="E2355" s="2" t="str">
        <f>HYPERLINK("http://ts.21cn.com/tousu/show/id/1332935","http://ts.21cn.com/tousu/show/id/1332935")</f>
        <v>http://ts.21cn.com/tousu/show/id/1332935</v>
      </c>
      <c r="F2355" s="2" t="s">
        <v>11</v>
      </c>
      <c r="G2355" s="2" t="s">
        <v>39507</v>
      </c>
      <c r="H2355" s="2" t="s">
        <v>39508</v>
      </c>
    </row>
    <row r="2356" spans="1:8" ht="25.05" customHeight="1" x14ac:dyDescent="0.25">
      <c r="A2356" s="2" t="s">
        <v>8</v>
      </c>
      <c r="B2356" s="2" t="str">
        <f>HYPERLINK("http://ts.21cn.com/tousu/show/id/1332936","工会不给保底工资")</f>
        <v>工会不给保底工资</v>
      </c>
      <c r="C2356" s="2" t="s">
        <v>34</v>
      </c>
      <c r="D2356" s="2" t="s">
        <v>10</v>
      </c>
      <c r="E2356" s="2" t="str">
        <f>HYPERLINK("http://ts.21cn.com/tousu/show/id/1332936","http://ts.21cn.com/tousu/show/id/1332936")</f>
        <v>http://ts.21cn.com/tousu/show/id/1332936</v>
      </c>
      <c r="F2356" s="2" t="s">
        <v>11</v>
      </c>
      <c r="G2356" s="2" t="s">
        <v>39505</v>
      </c>
      <c r="H2356" s="2" t="s">
        <v>39506</v>
      </c>
    </row>
    <row r="2357" spans="1:8" ht="25.05" customHeight="1" x14ac:dyDescent="0.25">
      <c r="A2357" s="2" t="s">
        <v>8</v>
      </c>
      <c r="B2357" s="2" t="str">
        <f>HYPERLINK("http://ts.21cn.com/tousu/show/id/1332937","盛钱包业务员忽悠免费办理pos机却不告知298的首刷不是立刻退还")</f>
        <v>盛钱包业务员忽悠免费办理pos机却不告知298的首刷不是立刻退还</v>
      </c>
      <c r="C2357" s="2" t="s">
        <v>9</v>
      </c>
      <c r="D2357" s="2" t="s">
        <v>10</v>
      </c>
      <c r="E2357" s="2" t="str">
        <f>HYPERLINK("http://ts.21cn.com/tousu/show/id/1332937","http://ts.21cn.com/tousu/show/id/1332937")</f>
        <v>http://ts.21cn.com/tousu/show/id/1332937</v>
      </c>
      <c r="F2357" s="2" t="s">
        <v>11</v>
      </c>
      <c r="G2357" s="2" t="s">
        <v>39503</v>
      </c>
      <c r="H2357" s="2" t="s">
        <v>39504</v>
      </c>
    </row>
    <row r="2358" spans="1:8" ht="25.05" customHeight="1" x14ac:dyDescent="0.25">
      <c r="A2358" s="2" t="s">
        <v>8</v>
      </c>
      <c r="B2358" s="2" t="str">
        <f>HYPERLINK("http://ts.21cn.com/tousu/show/id/1332939","高利贷砍头息")</f>
        <v>高利贷砍头息</v>
      </c>
      <c r="C2358" s="2" t="s">
        <v>9</v>
      </c>
      <c r="D2358" s="2" t="s">
        <v>10</v>
      </c>
      <c r="E2358" s="2" t="str">
        <f>HYPERLINK("http://ts.21cn.com/tousu/show/id/1332939","http://ts.21cn.com/tousu/show/id/1332939")</f>
        <v>http://ts.21cn.com/tousu/show/id/1332939</v>
      </c>
      <c r="F2358" s="2" t="s">
        <v>11</v>
      </c>
      <c r="G2358" s="2" t="s">
        <v>39501</v>
      </c>
      <c r="H2358" s="2" t="s">
        <v>39502</v>
      </c>
    </row>
    <row r="2359" spans="1:8" ht="25.05" customHeight="1" x14ac:dyDescent="0.25">
      <c r="A2359" s="2" t="s">
        <v>8</v>
      </c>
      <c r="B2359" s="2" t="str">
        <f>HYPERLINK("http://ts.21cn.com/tousu/show/id/1332940","喵下贷高额砍头息电话轰炸短信威胁")</f>
        <v>喵下贷高额砍头息电话轰炸短信威胁</v>
      </c>
      <c r="C2359" s="2" t="s">
        <v>9</v>
      </c>
      <c r="D2359" s="2" t="s">
        <v>10</v>
      </c>
      <c r="E2359" s="2" t="str">
        <f>HYPERLINK("http://ts.21cn.com/tousu/show/id/1332940","http://ts.21cn.com/tousu/show/id/1332940")</f>
        <v>http://ts.21cn.com/tousu/show/id/1332940</v>
      </c>
      <c r="F2359" s="2" t="s">
        <v>11</v>
      </c>
      <c r="G2359" s="2" t="s">
        <v>39499</v>
      </c>
      <c r="H2359" s="2" t="s">
        <v>39500</v>
      </c>
    </row>
    <row r="2360" spans="1:8" ht="25.05" customHeight="1" x14ac:dyDescent="0.25">
      <c r="A2360" s="2" t="s">
        <v>8</v>
      </c>
      <c r="B2360" s="2" t="str">
        <f>HYPERLINK("http://ts.21cn.com/tousu/show/id/1332942","手机有问题，一直换货，换的全是问题机")</f>
        <v>手机有问题，一直换货，换的全是问题机</v>
      </c>
      <c r="C2360" s="2" t="s">
        <v>34</v>
      </c>
      <c r="D2360" s="2" t="s">
        <v>10</v>
      </c>
      <c r="E2360" s="2" t="str">
        <f>HYPERLINK("http://ts.21cn.com/tousu/show/id/1332942","http://ts.21cn.com/tousu/show/id/1332942")</f>
        <v>http://ts.21cn.com/tousu/show/id/1332942</v>
      </c>
      <c r="F2360" s="2" t="s">
        <v>11</v>
      </c>
      <c r="G2360" s="2" t="s">
        <v>39497</v>
      </c>
      <c r="H2360" s="2" t="s">
        <v>39498</v>
      </c>
    </row>
    <row r="2361" spans="1:8" ht="25.05" customHeight="1" x14ac:dyDescent="0.25">
      <c r="A2361" s="2" t="s">
        <v>8</v>
      </c>
      <c r="B2361" s="2" t="str">
        <f>HYPERLINK("http://ts.21cn.com/tousu/show/id/1332943","变相砍头息，高利贷")</f>
        <v>变相砍头息，高利贷</v>
      </c>
      <c r="C2361" s="2" t="s">
        <v>9</v>
      </c>
      <c r="D2361" s="2" t="s">
        <v>10</v>
      </c>
      <c r="E2361" s="2" t="str">
        <f>HYPERLINK("http://ts.21cn.com/tousu/show/id/1332943","http://ts.21cn.com/tousu/show/id/1332943")</f>
        <v>http://ts.21cn.com/tousu/show/id/1332943</v>
      </c>
      <c r="F2361" s="2" t="s">
        <v>11</v>
      </c>
      <c r="G2361" s="2" t="s">
        <v>39495</v>
      </c>
      <c r="H2361" s="2" t="s">
        <v>39496</v>
      </c>
    </row>
    <row r="2362" spans="1:8" ht="25.05" customHeight="1" x14ac:dyDescent="0.25">
      <c r="A2362" s="2" t="s">
        <v>8</v>
      </c>
      <c r="B2362" s="2" t="str">
        <f>HYPERLINK("http://ts.21cn.com/tousu/show/id/1332944","通联泸快无缘无故扣我卡里的钱")</f>
        <v>通联泸快无缘无故扣我卡里的钱</v>
      </c>
      <c r="C2362" s="2" t="s">
        <v>9</v>
      </c>
      <c r="D2362" s="2" t="s">
        <v>10</v>
      </c>
      <c r="E2362" s="2" t="str">
        <f>HYPERLINK("http://ts.21cn.com/tousu/show/id/1332944","http://ts.21cn.com/tousu/show/id/1332944")</f>
        <v>http://ts.21cn.com/tousu/show/id/1332944</v>
      </c>
      <c r="F2362" s="2" t="s">
        <v>11</v>
      </c>
      <c r="G2362" s="2" t="s">
        <v>39493</v>
      </c>
      <c r="H2362" s="2" t="s">
        <v>39494</v>
      </c>
    </row>
    <row r="2363" spans="1:8" ht="25.05" customHeight="1" x14ac:dyDescent="0.25">
      <c r="A2363" s="2" t="s">
        <v>8</v>
      </c>
      <c r="B2363" s="2" t="str">
        <f>HYPERLINK("http://ts.21cn.com/tousu/show/id/1332946","皮套发货少件")</f>
        <v>皮套发货少件</v>
      </c>
      <c r="C2363" s="2" t="s">
        <v>34</v>
      </c>
      <c r="D2363" s="2" t="s">
        <v>10</v>
      </c>
      <c r="E2363" s="2" t="str">
        <f>HYPERLINK("http://ts.21cn.com/tousu/show/id/1332946","http://ts.21cn.com/tousu/show/id/1332946")</f>
        <v>http://ts.21cn.com/tousu/show/id/1332946</v>
      </c>
      <c r="F2363" s="2" t="s">
        <v>11</v>
      </c>
      <c r="G2363" s="2" t="s">
        <v>39491</v>
      </c>
      <c r="H2363" s="2" t="s">
        <v>39492</v>
      </c>
    </row>
    <row r="2364" spans="1:8" ht="25.05" customHeight="1" x14ac:dyDescent="0.25">
      <c r="A2364" s="2" t="s">
        <v>8</v>
      </c>
      <c r="B2364" s="2" t="str">
        <f>HYPERLINK("http://ts.21cn.com/tousu/show/id/1332947","高利贷套路贷")</f>
        <v>高利贷套路贷</v>
      </c>
      <c r="C2364" s="2" t="s">
        <v>9</v>
      </c>
      <c r="D2364" s="2" t="s">
        <v>10</v>
      </c>
      <c r="E2364" s="2" t="str">
        <f>HYPERLINK("http://ts.21cn.com/tousu/show/id/1332947","http://ts.21cn.com/tousu/show/id/1332947")</f>
        <v>http://ts.21cn.com/tousu/show/id/1332947</v>
      </c>
      <c r="F2364" s="2" t="s">
        <v>11</v>
      </c>
      <c r="G2364" s="2" t="s">
        <v>39489</v>
      </c>
      <c r="H2364" s="2" t="s">
        <v>39490</v>
      </c>
    </row>
    <row r="2365" spans="1:8" ht="25.05" customHeight="1" x14ac:dyDescent="0.25">
      <c r="A2365" s="2" t="s">
        <v>8</v>
      </c>
      <c r="B2365" s="2" t="str">
        <f>HYPERLINK("http://ts.21cn.com/tousu/show/id/1332948","升学教育机构不退款")</f>
        <v>升学教育机构不退款</v>
      </c>
      <c r="C2365" s="2" t="s">
        <v>9</v>
      </c>
      <c r="D2365" s="2" t="s">
        <v>10</v>
      </c>
      <c r="E2365" s="2" t="str">
        <f>HYPERLINK("http://ts.21cn.com/tousu/show/id/1332948","http://ts.21cn.com/tousu/show/id/1332948")</f>
        <v>http://ts.21cn.com/tousu/show/id/1332948</v>
      </c>
      <c r="F2365" s="2" t="s">
        <v>11</v>
      </c>
      <c r="G2365" s="2" t="s">
        <v>39487</v>
      </c>
      <c r="H2365" s="2" t="s">
        <v>39488</v>
      </c>
    </row>
    <row r="2366" spans="1:8" ht="25.05" customHeight="1" x14ac:dyDescent="0.25">
      <c r="A2366" s="2" t="s">
        <v>8</v>
      </c>
      <c r="B2366" s="2" t="str">
        <f>HYPERLINK("http://ts.21cn.com/tousu/show/id/1332949","金椰树汇潮支付砍头息")</f>
        <v>金椰树汇潮支付砍头息</v>
      </c>
      <c r="C2366" s="2" t="s">
        <v>9</v>
      </c>
      <c r="D2366" s="2" t="s">
        <v>10</v>
      </c>
      <c r="E2366" s="2" t="str">
        <f>HYPERLINK("http://ts.21cn.com/tousu/show/id/1332949","http://ts.21cn.com/tousu/show/id/1332949")</f>
        <v>http://ts.21cn.com/tousu/show/id/1332949</v>
      </c>
      <c r="F2366" s="2" t="s">
        <v>11</v>
      </c>
      <c r="G2366" s="2" t="s">
        <v>39485</v>
      </c>
      <c r="H2366" s="2" t="s">
        <v>39486</v>
      </c>
    </row>
    <row r="2367" spans="1:8" ht="25.05" customHeight="1" x14ac:dyDescent="0.25">
      <c r="A2367" s="2" t="s">
        <v>8</v>
      </c>
      <c r="B2367" s="2" t="str">
        <f>HYPERLINK("http://ts.21cn.com/tousu/show/id/1332950","融360顶风违法撮合超过法律红线的贷款")</f>
        <v>融360顶风违法撮合超过法律红线的贷款</v>
      </c>
      <c r="C2367" s="2" t="s">
        <v>9</v>
      </c>
      <c r="D2367" s="2" t="s">
        <v>10</v>
      </c>
      <c r="E2367" s="2" t="str">
        <f>HYPERLINK("http://ts.21cn.com/tousu/show/id/1332950","http://ts.21cn.com/tousu/show/id/1332950")</f>
        <v>http://ts.21cn.com/tousu/show/id/1332950</v>
      </c>
      <c r="F2367" s="2" t="s">
        <v>11</v>
      </c>
      <c r="G2367" s="2" t="s">
        <v>39483</v>
      </c>
      <c r="H2367" s="2" t="s">
        <v>39484</v>
      </c>
    </row>
    <row r="2368" spans="1:8" ht="25.05" customHeight="1" x14ac:dyDescent="0.25">
      <c r="A2368" s="2" t="s">
        <v>8</v>
      </c>
      <c r="B2368" s="2" t="str">
        <f>HYPERLINK("http://ts.21cn.com/tousu/show/id/1332958","金鸡下蛋一系列714高炮")</f>
        <v>金鸡下蛋一系列714高炮</v>
      </c>
      <c r="C2368" s="2" t="s">
        <v>9</v>
      </c>
      <c r="D2368" s="2" t="s">
        <v>10</v>
      </c>
      <c r="E2368" s="2" t="str">
        <f>HYPERLINK("http://ts.21cn.com/tousu/show/id/1332958","http://ts.21cn.com/tousu/show/id/1332958")</f>
        <v>http://ts.21cn.com/tousu/show/id/1332958</v>
      </c>
      <c r="F2368" s="2" t="s">
        <v>11</v>
      </c>
      <c r="G2368" s="2" t="s">
        <v>39481</v>
      </c>
      <c r="H2368" s="2" t="s">
        <v>39482</v>
      </c>
    </row>
    <row r="2369" spans="1:8" ht="25.05" customHeight="1" x14ac:dyDescent="0.25">
      <c r="A2369" s="2" t="s">
        <v>8</v>
      </c>
      <c r="B2369" s="2" t="str">
        <f>HYPERLINK("http://ts.21cn.com/tousu/show/id/1332941","广发电话误导利率办理财智金")</f>
        <v>广发电话误导利率办理财智金</v>
      </c>
      <c r="C2369" s="2" t="s">
        <v>9</v>
      </c>
      <c r="D2369" s="2" t="s">
        <v>10</v>
      </c>
      <c r="E2369" s="2" t="str">
        <f>HYPERLINK("http://ts.21cn.com/tousu/show/id/1332941","http://ts.21cn.com/tousu/show/id/1332941")</f>
        <v>http://ts.21cn.com/tousu/show/id/1332941</v>
      </c>
      <c r="F2369" s="2" t="s">
        <v>11</v>
      </c>
      <c r="G2369" s="2" t="s">
        <v>39479</v>
      </c>
      <c r="H2369" s="2" t="s">
        <v>39480</v>
      </c>
    </row>
    <row r="2370" spans="1:8" ht="25.05" customHeight="1" x14ac:dyDescent="0.25">
      <c r="A2370" s="2" t="s">
        <v>8</v>
      </c>
      <c r="B2370" s="2" t="str">
        <f>HYPERLINK("http://ts.21cn.com/tousu/show/id/1332951","大量用户无法退还立刻出行499元押金")</f>
        <v>大量用户无法退还立刻出行499元押金</v>
      </c>
      <c r="C2370" s="2" t="s">
        <v>9</v>
      </c>
      <c r="D2370" s="2" t="s">
        <v>10</v>
      </c>
      <c r="E2370" s="2" t="str">
        <f>HYPERLINK("http://ts.21cn.com/tousu/show/id/1332951","http://ts.21cn.com/tousu/show/id/1332951")</f>
        <v>http://ts.21cn.com/tousu/show/id/1332951</v>
      </c>
      <c r="F2370" s="2" t="s">
        <v>11</v>
      </c>
      <c r="G2370" s="2" t="s">
        <v>39477</v>
      </c>
      <c r="H2370" s="2" t="s">
        <v>39478</v>
      </c>
    </row>
    <row r="2371" spans="1:8" ht="25.05" customHeight="1" x14ac:dyDescent="0.25">
      <c r="A2371" s="2" t="s">
        <v>8</v>
      </c>
      <c r="B2371" s="2" t="str">
        <f>HYPERLINK("http://ts.21cn.com/tousu/show/id/1332952","宁波宜信暴力催收，")</f>
        <v>宁波宜信暴力催收，</v>
      </c>
      <c r="C2371" s="2" t="s">
        <v>9</v>
      </c>
      <c r="D2371" s="2" t="s">
        <v>10</v>
      </c>
      <c r="E2371" s="2" t="str">
        <f>HYPERLINK("http://ts.21cn.com/tousu/show/id/1332952","http://ts.21cn.com/tousu/show/id/1332952")</f>
        <v>http://ts.21cn.com/tousu/show/id/1332952</v>
      </c>
      <c r="F2371" s="2" t="s">
        <v>11</v>
      </c>
      <c r="G2371" s="2" t="s">
        <v>39475</v>
      </c>
      <c r="H2371" s="2" t="s">
        <v>39476</v>
      </c>
    </row>
    <row r="2372" spans="1:8" ht="25.05" customHeight="1" x14ac:dyDescent="0.25">
      <c r="A2372" s="2" t="s">
        <v>8</v>
      </c>
      <c r="B2372" s="2" t="str">
        <f>HYPERLINK("http://ts.21cn.com/tousu/show/id/1332953","砍头息高利贷")</f>
        <v>砍头息高利贷</v>
      </c>
      <c r="C2372" s="2" t="s">
        <v>9</v>
      </c>
      <c r="D2372" s="2" t="s">
        <v>10</v>
      </c>
      <c r="E2372" s="2" t="str">
        <f>HYPERLINK("http://ts.21cn.com/tousu/show/id/1332953","http://ts.21cn.com/tousu/show/id/1332953")</f>
        <v>http://ts.21cn.com/tousu/show/id/1332953</v>
      </c>
      <c r="F2372" s="2" t="s">
        <v>11</v>
      </c>
      <c r="G2372" s="2" t="s">
        <v>39473</v>
      </c>
      <c r="H2372" s="2" t="s">
        <v>39474</v>
      </c>
    </row>
    <row r="2373" spans="1:8" ht="25.05" customHeight="1" x14ac:dyDescent="0.25">
      <c r="A2373" s="2" t="s">
        <v>8</v>
      </c>
      <c r="B2373" s="2" t="str">
        <f>HYPERLINK("http://ts.21cn.com/tousu/show/id/1332954","拼多多商品质量问题卖家不予退货退款")</f>
        <v>拼多多商品质量问题卖家不予退货退款</v>
      </c>
      <c r="C2373" s="2" t="s">
        <v>9</v>
      </c>
      <c r="D2373" s="2" t="s">
        <v>10</v>
      </c>
      <c r="E2373" s="2" t="str">
        <f>HYPERLINK("http://ts.21cn.com/tousu/show/id/1332954","http://ts.21cn.com/tousu/show/id/1332954")</f>
        <v>http://ts.21cn.com/tousu/show/id/1332954</v>
      </c>
      <c r="F2373" s="2" t="s">
        <v>11</v>
      </c>
      <c r="G2373" s="2" t="s">
        <v>39471</v>
      </c>
      <c r="H2373" s="2" t="s">
        <v>39472</v>
      </c>
    </row>
    <row r="2374" spans="1:8" ht="25.05" customHeight="1" x14ac:dyDescent="0.25">
      <c r="A2374" s="2" t="s">
        <v>8</v>
      </c>
      <c r="B2374" s="2" t="str">
        <f>HYPERLINK("http://ts.21cn.com/tousu/show/id/1332955","显示器破损，京东以超24小时反馈为由不予退货")</f>
        <v>显示器破损，京东以超24小时反馈为由不予退货</v>
      </c>
      <c r="C2374" s="2" t="s">
        <v>34</v>
      </c>
      <c r="D2374" s="2" t="s">
        <v>10</v>
      </c>
      <c r="E2374" s="2" t="str">
        <f>HYPERLINK("http://ts.21cn.com/tousu/show/id/1332955","http://ts.21cn.com/tousu/show/id/1332955")</f>
        <v>http://ts.21cn.com/tousu/show/id/1332955</v>
      </c>
      <c r="F2374" s="2" t="s">
        <v>11</v>
      </c>
      <c r="G2374" s="2" t="s">
        <v>39469</v>
      </c>
      <c r="H2374" s="2" t="s">
        <v>39470</v>
      </c>
    </row>
    <row r="2375" spans="1:8" ht="25.05" customHeight="1" x14ac:dyDescent="0.25">
      <c r="A2375" s="2" t="s">
        <v>8</v>
      </c>
      <c r="B2375" s="2" t="str">
        <f>HYPERLINK("http://ts.21cn.com/tousu/show/id/1332956","交易猫买家仲裁偏袒买家交易失败")</f>
        <v>交易猫买家仲裁偏袒买家交易失败</v>
      </c>
      <c r="C2375" s="2" t="s">
        <v>9</v>
      </c>
      <c r="D2375" s="2" t="s">
        <v>10</v>
      </c>
      <c r="E2375" s="2" t="str">
        <f>HYPERLINK("http://ts.21cn.com/tousu/show/id/1332956","http://ts.21cn.com/tousu/show/id/1332956")</f>
        <v>http://ts.21cn.com/tousu/show/id/1332956</v>
      </c>
      <c r="F2375" s="2" t="s">
        <v>11</v>
      </c>
      <c r="G2375" s="2" t="s">
        <v>39467</v>
      </c>
      <c r="H2375" s="2" t="s">
        <v>39468</v>
      </c>
    </row>
    <row r="2376" spans="1:8" ht="25.05" customHeight="1" x14ac:dyDescent="0.25">
      <c r="A2376" s="2" t="s">
        <v>8</v>
      </c>
      <c r="B2376" s="2" t="str">
        <f>HYPERLINK("http://ts.21cn.com/tousu/show/id/1332957","闪银收取砍头息")</f>
        <v>闪银收取砍头息</v>
      </c>
      <c r="C2376" s="2" t="s">
        <v>34</v>
      </c>
      <c r="D2376" s="2" t="s">
        <v>10</v>
      </c>
      <c r="E2376" s="2" t="str">
        <f>HYPERLINK("http://ts.21cn.com/tousu/show/id/1332957","http://ts.21cn.com/tousu/show/id/1332957")</f>
        <v>http://ts.21cn.com/tousu/show/id/1332957</v>
      </c>
      <c r="F2376" s="2" t="s">
        <v>11</v>
      </c>
      <c r="G2376" s="2" t="s">
        <v>39465</v>
      </c>
      <c r="H2376" s="2" t="s">
        <v>39466</v>
      </c>
    </row>
    <row r="2377" spans="1:8" ht="25.05" customHeight="1" x14ac:dyDescent="0.25">
      <c r="A2377" s="2" t="s">
        <v>8</v>
      </c>
      <c r="B2377" s="2" t="str">
        <f>HYPERLINK("http://ts.21cn.com/tousu/show/id/1332959","协商还款")</f>
        <v>协商还款</v>
      </c>
      <c r="C2377" s="2" t="s">
        <v>34</v>
      </c>
      <c r="D2377" s="2" t="s">
        <v>10</v>
      </c>
      <c r="E2377" s="2" t="str">
        <f>HYPERLINK("http://ts.21cn.com/tousu/show/id/1332959","http://ts.21cn.com/tousu/show/id/1332959")</f>
        <v>http://ts.21cn.com/tousu/show/id/1332959</v>
      </c>
      <c r="F2377" s="2" t="s">
        <v>11</v>
      </c>
      <c r="G2377" s="2" t="s">
        <v>39463</v>
      </c>
      <c r="H2377" s="2" t="s">
        <v>39464</v>
      </c>
    </row>
    <row r="2378" spans="1:8" ht="25.05" customHeight="1" x14ac:dyDescent="0.25">
      <c r="A2378" s="2" t="s">
        <v>8</v>
      </c>
      <c r="B2378" s="2" t="str">
        <f>HYPERLINK("http://ts.21cn.com/tousu/show/id/1332960","我是淘宝卖家，店铺被盗大量发布售假商品，非本人所操作，要冻结我的保证金联系淘宝客服无望")</f>
        <v>我是淘宝卖家，店铺被盗大量发布售假商品，非本人所操作，要冻结我的保证金联系淘宝客服无望</v>
      </c>
      <c r="C2378" s="2" t="s">
        <v>9</v>
      </c>
      <c r="D2378" s="2" t="s">
        <v>10</v>
      </c>
      <c r="E2378" s="2" t="str">
        <f>HYPERLINK("http://ts.21cn.com/tousu/show/id/1332960","http://ts.21cn.com/tousu/show/id/1332960")</f>
        <v>http://ts.21cn.com/tousu/show/id/1332960</v>
      </c>
      <c r="F2378" s="2" t="s">
        <v>11</v>
      </c>
      <c r="G2378" s="2" t="s">
        <v>39461</v>
      </c>
      <c r="H2378" s="2" t="s">
        <v>39462</v>
      </c>
    </row>
    <row r="2379" spans="1:8" ht="25.05" customHeight="1" x14ac:dyDescent="0.25">
      <c r="A2379" s="2" t="s">
        <v>8</v>
      </c>
      <c r="B2379" s="2" t="str">
        <f>HYPERLINK("http://ts.21cn.com/tousu/show/id/1332961","水莲金条高利贷违规收取砍头息")</f>
        <v>水莲金条高利贷违规收取砍头息</v>
      </c>
      <c r="C2379" s="2" t="s">
        <v>9</v>
      </c>
      <c r="D2379" s="2" t="s">
        <v>10</v>
      </c>
      <c r="E2379" s="2" t="str">
        <f>HYPERLINK("http://ts.21cn.com/tousu/show/id/1332961","http://ts.21cn.com/tousu/show/id/1332961")</f>
        <v>http://ts.21cn.com/tousu/show/id/1332961</v>
      </c>
      <c r="F2379" s="2" t="s">
        <v>11</v>
      </c>
      <c r="G2379" s="2" t="s">
        <v>39459</v>
      </c>
      <c r="H2379" s="2" t="s">
        <v>39460</v>
      </c>
    </row>
    <row r="2380" spans="1:8" ht="25.05" customHeight="1" x14ac:dyDescent="0.25">
      <c r="A2380" s="2" t="s">
        <v>8</v>
      </c>
      <c r="B2380" s="2" t="str">
        <f>HYPERLINK("http://ts.21cn.com/tousu/show/id/1332962","套路贷伪造合同更改贷款信息盗取信息")</f>
        <v>套路贷伪造合同更改贷款信息盗取信息</v>
      </c>
      <c r="C2380" s="2" t="s">
        <v>9</v>
      </c>
      <c r="D2380" s="2" t="s">
        <v>10</v>
      </c>
      <c r="E2380" s="2" t="str">
        <f>HYPERLINK("http://ts.21cn.com/tousu/show/id/1332962","http://ts.21cn.com/tousu/show/id/1332962")</f>
        <v>http://ts.21cn.com/tousu/show/id/1332962</v>
      </c>
      <c r="F2380" s="2" t="s">
        <v>11</v>
      </c>
      <c r="G2380" s="2" t="s">
        <v>39457</v>
      </c>
      <c r="H2380" s="2" t="s">
        <v>39458</v>
      </c>
    </row>
    <row r="2381" spans="1:8" ht="25.05" customHeight="1" x14ac:dyDescent="0.25">
      <c r="A2381" s="2" t="s">
        <v>8</v>
      </c>
      <c r="B2381" s="2" t="str">
        <f>HYPERLINK("http://ts.21cn.com/tousu/show/id/1332963","申请的etc无法激活按照要求还是无法激活 联系不到客服")</f>
        <v>申请的etc无法激活按照要求还是无法激活 联系不到客服</v>
      </c>
      <c r="C2381" s="2" t="s">
        <v>9</v>
      </c>
      <c r="D2381" s="2" t="s">
        <v>10</v>
      </c>
      <c r="E2381" s="2" t="str">
        <f>HYPERLINK("http://ts.21cn.com/tousu/show/id/1332963","http://ts.21cn.com/tousu/show/id/1332963")</f>
        <v>http://ts.21cn.com/tousu/show/id/1332963</v>
      </c>
      <c r="F2381" s="2" t="s">
        <v>11</v>
      </c>
      <c r="G2381" s="2" t="s">
        <v>39455</v>
      </c>
      <c r="H2381" s="2" t="s">
        <v>39456</v>
      </c>
    </row>
    <row r="2382" spans="1:8" ht="25.05" customHeight="1" x14ac:dyDescent="0.25">
      <c r="A2382" s="2" t="s">
        <v>8</v>
      </c>
      <c r="B2382" s="2" t="str">
        <f>HYPERLINK("http://ts.21cn.com/tousu/show/id/1332964","爱彩网出现卡网，延迟的问题")</f>
        <v>爱彩网出现卡网，延迟的问题</v>
      </c>
      <c r="C2382" s="2" t="s">
        <v>34</v>
      </c>
      <c r="D2382" s="2" t="s">
        <v>10</v>
      </c>
      <c r="E2382" s="2" t="str">
        <f>HYPERLINK("http://ts.21cn.com/tousu/show/id/1332964","http://ts.21cn.com/tousu/show/id/1332964")</f>
        <v>http://ts.21cn.com/tousu/show/id/1332964</v>
      </c>
      <c r="F2382" s="2" t="s">
        <v>11</v>
      </c>
      <c r="G2382" s="2" t="s">
        <v>39453</v>
      </c>
      <c r="H2382" s="2" t="s">
        <v>39454</v>
      </c>
    </row>
    <row r="2383" spans="1:8" ht="25.05" customHeight="1" x14ac:dyDescent="0.25">
      <c r="A2383" s="2" t="s">
        <v>8</v>
      </c>
      <c r="B2383" s="2" t="str">
        <f>HYPERLINK("http://ts.21cn.com/tousu/show/id/1332965","虚假信息宣传利诱民众注册")</f>
        <v>虚假信息宣传利诱民众注册</v>
      </c>
      <c r="C2383" s="2" t="s">
        <v>9</v>
      </c>
      <c r="D2383" s="2" t="s">
        <v>10</v>
      </c>
      <c r="E2383" s="2" t="str">
        <f>HYPERLINK("http://ts.21cn.com/tousu/show/id/1332965","http://ts.21cn.com/tousu/show/id/1332965")</f>
        <v>http://ts.21cn.com/tousu/show/id/1332965</v>
      </c>
      <c r="F2383" s="2" t="s">
        <v>11</v>
      </c>
      <c r="G2383" s="2" t="s">
        <v>39451</v>
      </c>
      <c r="H2383" s="2" t="s">
        <v>39452</v>
      </c>
    </row>
    <row r="2384" spans="1:8" ht="25.05" customHeight="1" x14ac:dyDescent="0.25">
      <c r="A2384" s="2" t="s">
        <v>8</v>
      </c>
      <c r="B2384" s="2" t="str">
        <f>HYPERLINK("http://ts.21cn.com/tousu/show/id/1332967","投诉广州交易猫")</f>
        <v>投诉广州交易猫</v>
      </c>
      <c r="C2384" s="2" t="s">
        <v>9</v>
      </c>
      <c r="D2384" s="2" t="s">
        <v>10</v>
      </c>
      <c r="E2384" s="2" t="str">
        <f>HYPERLINK("http://ts.21cn.com/tousu/show/id/1332967","http://ts.21cn.com/tousu/show/id/1332967")</f>
        <v>http://ts.21cn.com/tousu/show/id/1332967</v>
      </c>
      <c r="F2384" s="2" t="s">
        <v>11</v>
      </c>
      <c r="G2384" s="2" t="s">
        <v>39449</v>
      </c>
      <c r="H2384" s="2" t="s">
        <v>39450</v>
      </c>
    </row>
    <row r="2385" spans="1:8" ht="25.05" customHeight="1" x14ac:dyDescent="0.25">
      <c r="A2385" s="2" t="s">
        <v>8</v>
      </c>
      <c r="B2385" s="2" t="str">
        <f>HYPERLINK("http://ts.21cn.com/tousu/show/id/1332968","乱扣钱")</f>
        <v>乱扣钱</v>
      </c>
      <c r="C2385" s="2" t="s">
        <v>9</v>
      </c>
      <c r="D2385" s="2" t="s">
        <v>10</v>
      </c>
      <c r="E2385" s="2" t="str">
        <f>HYPERLINK("http://ts.21cn.com/tousu/show/id/1332968","http://ts.21cn.com/tousu/show/id/1332968")</f>
        <v>http://ts.21cn.com/tousu/show/id/1332968</v>
      </c>
      <c r="F2385" s="2" t="s">
        <v>11</v>
      </c>
      <c r="G2385" s="2" t="s">
        <v>39447</v>
      </c>
      <c r="H2385" s="2" t="s">
        <v>39448</v>
      </c>
    </row>
    <row r="2386" spans="1:8" ht="25.05" customHeight="1" x14ac:dyDescent="0.25">
      <c r="A2386" s="2" t="s">
        <v>8</v>
      </c>
      <c r="B2386" s="2" t="str">
        <f>HYPERLINK("http://ts.21cn.com/tousu/show/id/1332969","快狗打车退押金")</f>
        <v>快狗打车退押金</v>
      </c>
      <c r="C2386" s="2" t="s">
        <v>9</v>
      </c>
      <c r="D2386" s="2" t="s">
        <v>10</v>
      </c>
      <c r="E2386" s="2" t="str">
        <f>HYPERLINK("http://ts.21cn.com/tousu/show/id/1332969","http://ts.21cn.com/tousu/show/id/1332969")</f>
        <v>http://ts.21cn.com/tousu/show/id/1332969</v>
      </c>
      <c r="F2386" s="2" t="s">
        <v>11</v>
      </c>
      <c r="G2386" s="2" t="s">
        <v>39445</v>
      </c>
      <c r="H2386" s="2" t="s">
        <v>39446</v>
      </c>
    </row>
    <row r="2387" spans="1:8" ht="25.05" customHeight="1" x14ac:dyDescent="0.25">
      <c r="A2387" s="2" t="s">
        <v>8</v>
      </c>
      <c r="B2387" s="2" t="str">
        <f>HYPERLINK("http://ts.21cn.com/tousu/show/id/1332970","盗刷/扣费不明、客服不处理/处理不当、非法经营、POS机刷卡不到账")</f>
        <v>盗刷/扣费不明、客服不处理/处理不当、非法经营、POS机刷卡不到账</v>
      </c>
      <c r="C2387" s="2" t="s">
        <v>9</v>
      </c>
      <c r="D2387" s="2" t="s">
        <v>10</v>
      </c>
      <c r="E2387" s="2" t="str">
        <f>HYPERLINK("http://ts.21cn.com/tousu/show/id/1332970","http://ts.21cn.com/tousu/show/id/1332970")</f>
        <v>http://ts.21cn.com/tousu/show/id/1332970</v>
      </c>
      <c r="F2387" s="2" t="s">
        <v>11</v>
      </c>
      <c r="G2387" s="2" t="s">
        <v>39443</v>
      </c>
      <c r="H2387" s="2" t="s">
        <v>39444</v>
      </c>
    </row>
    <row r="2388" spans="1:8" ht="25.05" customHeight="1" x14ac:dyDescent="0.25">
      <c r="A2388" s="2" t="s">
        <v>8</v>
      </c>
      <c r="B2388" s="2" t="str">
        <f>HYPERLINK("http://ts.21cn.com/tousu/show/id/1332971","钱站变相高利贷砍头息")</f>
        <v>钱站变相高利贷砍头息</v>
      </c>
      <c r="C2388" s="2" t="s">
        <v>9</v>
      </c>
      <c r="D2388" s="2" t="s">
        <v>10</v>
      </c>
      <c r="E2388" s="2" t="str">
        <f>HYPERLINK("http://ts.21cn.com/tousu/show/id/1332971","http://ts.21cn.com/tousu/show/id/1332971")</f>
        <v>http://ts.21cn.com/tousu/show/id/1332971</v>
      </c>
      <c r="F2388" s="2" t="s">
        <v>11</v>
      </c>
      <c r="G2388" s="2" t="s">
        <v>39441</v>
      </c>
      <c r="H2388" s="2" t="s">
        <v>39442</v>
      </c>
    </row>
    <row r="2389" spans="1:8" ht="25.05" customHeight="1" x14ac:dyDescent="0.25">
      <c r="A2389" s="2" t="s">
        <v>8</v>
      </c>
      <c r="B2389" s="2" t="str">
        <f>HYPERLINK("http://ts.21cn.com/tousu/show/id/1332972","特约中归无故扣费")</f>
        <v>特约中归无故扣费</v>
      </c>
      <c r="C2389" s="2" t="s">
        <v>9</v>
      </c>
      <c r="D2389" s="2" t="s">
        <v>10</v>
      </c>
      <c r="E2389" s="2" t="str">
        <f>HYPERLINK("http://ts.21cn.com/tousu/show/id/1332972","http://ts.21cn.com/tousu/show/id/1332972")</f>
        <v>http://ts.21cn.com/tousu/show/id/1332972</v>
      </c>
      <c r="F2389" s="2" t="s">
        <v>11</v>
      </c>
      <c r="G2389" s="2" t="s">
        <v>39439</v>
      </c>
      <c r="H2389" s="2" t="s">
        <v>39440</v>
      </c>
    </row>
    <row r="2390" spans="1:8" ht="25.05" customHeight="1" x14ac:dyDescent="0.25">
      <c r="A2390" s="2" t="s">
        <v>8</v>
      </c>
      <c r="B2390" s="2" t="str">
        <f>HYPERLINK("http://ts.21cn.com/tousu/show/id/1332973","立刻出行押金难退")</f>
        <v>立刻出行押金难退</v>
      </c>
      <c r="C2390" s="2" t="s">
        <v>9</v>
      </c>
      <c r="D2390" s="2" t="s">
        <v>10</v>
      </c>
      <c r="E2390" s="2" t="str">
        <f>HYPERLINK("http://ts.21cn.com/tousu/show/id/1332973","http://ts.21cn.com/tousu/show/id/1332973")</f>
        <v>http://ts.21cn.com/tousu/show/id/1332973</v>
      </c>
      <c r="F2390" s="2" t="s">
        <v>11</v>
      </c>
      <c r="G2390" s="2" t="s">
        <v>39437</v>
      </c>
      <c r="H2390" s="2" t="s">
        <v>39438</v>
      </c>
    </row>
    <row r="2391" spans="1:8" ht="25.05" customHeight="1" x14ac:dyDescent="0.25">
      <c r="A2391" s="2" t="s">
        <v>8</v>
      </c>
      <c r="B2391" s="2" t="str">
        <f>HYPERLINK("http://ts.21cn.com/tousu/show/id/1332974","乐意花高利贷提前结清无减免")</f>
        <v>乐意花高利贷提前结清无减免</v>
      </c>
      <c r="C2391" s="2" t="s">
        <v>9</v>
      </c>
      <c r="D2391" s="2" t="s">
        <v>10</v>
      </c>
      <c r="E2391" s="2" t="str">
        <f>HYPERLINK("http://ts.21cn.com/tousu/show/id/1332974","http://ts.21cn.com/tousu/show/id/1332974")</f>
        <v>http://ts.21cn.com/tousu/show/id/1332974</v>
      </c>
      <c r="F2391" s="2" t="s">
        <v>11</v>
      </c>
      <c r="G2391" s="2" t="s">
        <v>39435</v>
      </c>
      <c r="H2391" s="2" t="s">
        <v>39436</v>
      </c>
    </row>
    <row r="2392" spans="1:8" ht="25.05" customHeight="1" x14ac:dyDescent="0.25">
      <c r="A2392" s="2" t="s">
        <v>8</v>
      </c>
      <c r="B2392" s="2" t="str">
        <f>HYPERLINK("http://ts.21cn.com/tousu/show/id/1332975","现金巴士收取砍头息逾期费用过高")</f>
        <v>现金巴士收取砍头息逾期费用过高</v>
      </c>
      <c r="C2392" s="2" t="s">
        <v>9</v>
      </c>
      <c r="D2392" s="2" t="s">
        <v>10</v>
      </c>
      <c r="E2392" s="2" t="str">
        <f>HYPERLINK("http://ts.21cn.com/tousu/show/id/1332975","http://ts.21cn.com/tousu/show/id/1332975")</f>
        <v>http://ts.21cn.com/tousu/show/id/1332975</v>
      </c>
      <c r="F2392" s="2" t="s">
        <v>11</v>
      </c>
      <c r="G2392" s="2" t="s">
        <v>39433</v>
      </c>
      <c r="H2392" s="2" t="s">
        <v>39434</v>
      </c>
    </row>
    <row r="2393" spans="1:8" ht="25.05" customHeight="1" x14ac:dyDescent="0.25">
      <c r="A2393" s="2" t="s">
        <v>8</v>
      </c>
      <c r="B2393" s="2" t="str">
        <f>HYPERLINK("http://ts.21cn.com/tousu/show/id/1332976","钱站阴阳合同高利贷，暴力催收")</f>
        <v>钱站阴阳合同高利贷，暴力催收</v>
      </c>
      <c r="C2393" s="2" t="s">
        <v>9</v>
      </c>
      <c r="D2393" s="2" t="s">
        <v>10</v>
      </c>
      <c r="E2393" s="2" t="str">
        <f>HYPERLINK("http://ts.21cn.com/tousu/show/id/1332976","http://ts.21cn.com/tousu/show/id/1332976")</f>
        <v>http://ts.21cn.com/tousu/show/id/1332976</v>
      </c>
      <c r="F2393" s="2" t="s">
        <v>11</v>
      </c>
      <c r="G2393" s="2" t="s">
        <v>39431</v>
      </c>
      <c r="H2393" s="2" t="s">
        <v>39432</v>
      </c>
    </row>
    <row r="2394" spans="1:8" ht="25.05" customHeight="1" x14ac:dyDescent="0.25">
      <c r="A2394" s="2" t="s">
        <v>8</v>
      </c>
      <c r="B2394" s="2" t="str">
        <f>HYPERLINK("http://ts.21cn.com/tousu/show/id/1332977","投诉白领贷利率过高，要求提前还款降低利率")</f>
        <v>投诉白领贷利率过高，要求提前还款降低利率</v>
      </c>
      <c r="C2394" s="2" t="s">
        <v>34</v>
      </c>
      <c r="D2394" s="2" t="s">
        <v>10</v>
      </c>
      <c r="E2394" s="2" t="str">
        <f>HYPERLINK("http://ts.21cn.com/tousu/show/id/1332977","http://ts.21cn.com/tousu/show/id/1332977")</f>
        <v>http://ts.21cn.com/tousu/show/id/1332977</v>
      </c>
      <c r="F2394" s="2" t="s">
        <v>11</v>
      </c>
      <c r="G2394" s="2" t="s">
        <v>39429</v>
      </c>
      <c r="H2394" s="2" t="s">
        <v>39430</v>
      </c>
    </row>
    <row r="2395" spans="1:8" ht="25.05" customHeight="1" x14ac:dyDescent="0.25">
      <c r="A2395" s="2" t="s">
        <v>8</v>
      </c>
      <c r="B2395" s="2" t="str">
        <f>HYPERLINK("http://ts.21cn.com/tousu/show/id/1332980","乐客独角兽要求退款，虚假宣传")</f>
        <v>乐客独角兽要求退款，虚假宣传</v>
      </c>
      <c r="C2395" s="2" t="s">
        <v>9</v>
      </c>
      <c r="D2395" s="2" t="s">
        <v>10</v>
      </c>
      <c r="E2395" s="2" t="str">
        <f>HYPERLINK("http://ts.21cn.com/tousu/show/id/1332980","http://ts.21cn.com/tousu/show/id/1332980")</f>
        <v>http://ts.21cn.com/tousu/show/id/1332980</v>
      </c>
      <c r="F2395" s="2" t="s">
        <v>11</v>
      </c>
      <c r="G2395" s="2" t="s">
        <v>39427</v>
      </c>
      <c r="H2395" s="2" t="s">
        <v>39428</v>
      </c>
    </row>
    <row r="2396" spans="1:8" ht="25.05" customHeight="1" x14ac:dyDescent="0.25">
      <c r="A2396" s="2" t="s">
        <v>8</v>
      </c>
      <c r="B2396" s="2" t="str">
        <f>HYPERLINK("http://ts.21cn.com/tousu/show/id/1332979","分期鸭信用管家")</f>
        <v>分期鸭信用管家</v>
      </c>
      <c r="C2396" s="2" t="s">
        <v>9</v>
      </c>
      <c r="D2396" s="2" t="s">
        <v>10</v>
      </c>
      <c r="E2396" s="2" t="str">
        <f>HYPERLINK("http://ts.21cn.com/tousu/show/id/1332979","http://ts.21cn.com/tousu/show/id/1332979")</f>
        <v>http://ts.21cn.com/tousu/show/id/1332979</v>
      </c>
      <c r="F2396" s="2" t="s">
        <v>11</v>
      </c>
      <c r="G2396" s="2" t="s">
        <v>39425</v>
      </c>
      <c r="H2396" s="2" t="s">
        <v>39426</v>
      </c>
    </row>
    <row r="2397" spans="1:8" ht="25.05" customHeight="1" x14ac:dyDescent="0.25">
      <c r="A2397" s="2" t="s">
        <v>8</v>
      </c>
      <c r="B2397" s="2" t="str">
        <f>HYPERLINK("http://ts.21cn.com/tousu/show/id/1332981","淘宝号被封")</f>
        <v>淘宝号被封</v>
      </c>
      <c r="C2397" s="2" t="s">
        <v>34</v>
      </c>
      <c r="D2397" s="2" t="s">
        <v>10</v>
      </c>
      <c r="E2397" s="2" t="str">
        <f>HYPERLINK("http://ts.21cn.com/tousu/show/id/1332981","http://ts.21cn.com/tousu/show/id/1332981")</f>
        <v>http://ts.21cn.com/tousu/show/id/1332981</v>
      </c>
      <c r="F2397" s="2" t="s">
        <v>11</v>
      </c>
      <c r="G2397" s="2" t="s">
        <v>39423</v>
      </c>
      <c r="H2397" s="2" t="s">
        <v>39424</v>
      </c>
    </row>
    <row r="2398" spans="1:8" ht="25.05" customHeight="1" x14ac:dyDescent="0.25">
      <c r="A2398" s="2" t="s">
        <v>8</v>
      </c>
      <c r="B2398" s="2" t="str">
        <f>HYPERLINK("http://ts.21cn.com/tousu/show/id/1332982","集体投诉：毒APP商品质量差、退货收取高额手续费、鉴定服务不靠谱")</f>
        <v>集体投诉：毒APP商品质量差、退货收取高额手续费、鉴定服务不靠谱</v>
      </c>
      <c r="C2398" s="2" t="s">
        <v>9</v>
      </c>
      <c r="D2398" s="2" t="s">
        <v>10</v>
      </c>
      <c r="E2398" s="2" t="str">
        <f>HYPERLINK("http://ts.21cn.com/tousu/show/id/1332982","http://ts.21cn.com/tousu/show/id/1332982")</f>
        <v>http://ts.21cn.com/tousu/show/id/1332982</v>
      </c>
      <c r="F2398" s="2" t="s">
        <v>11</v>
      </c>
      <c r="G2398" s="2" t="s">
        <v>39421</v>
      </c>
      <c r="H2398" s="2" t="s">
        <v>39422</v>
      </c>
    </row>
    <row r="2399" spans="1:8" ht="25.05" customHeight="1" x14ac:dyDescent="0.25">
      <c r="A2399" s="2" t="s">
        <v>8</v>
      </c>
      <c r="B2399" s="2" t="str">
        <f>HYPERLINK("http://ts.21cn.com/tousu/show/id/1332983","滴滴金融滴水贷提前还款不成功")</f>
        <v>滴滴金融滴水贷提前还款不成功</v>
      </c>
      <c r="C2399" s="2" t="s">
        <v>34</v>
      </c>
      <c r="D2399" s="2" t="s">
        <v>10</v>
      </c>
      <c r="E2399" s="2" t="str">
        <f>HYPERLINK("http://ts.21cn.com/tousu/show/id/1332983","http://ts.21cn.com/tousu/show/id/1332983")</f>
        <v>http://ts.21cn.com/tousu/show/id/1332983</v>
      </c>
      <c r="F2399" s="2" t="s">
        <v>11</v>
      </c>
      <c r="G2399" s="2" t="s">
        <v>39419</v>
      </c>
      <c r="H2399" s="2" t="s">
        <v>39420</v>
      </c>
    </row>
    <row r="2400" spans="1:8" ht="25.05" customHeight="1" x14ac:dyDescent="0.25">
      <c r="A2400" s="2" t="s">
        <v>8</v>
      </c>
      <c r="B2400" s="2" t="str">
        <f>HYPERLINK("http://ts.21cn.com/tousu/show/id/1332985","牛人有品砍头息")</f>
        <v>牛人有品砍头息</v>
      </c>
      <c r="C2400" s="2" t="s">
        <v>9</v>
      </c>
      <c r="D2400" s="2" t="s">
        <v>10</v>
      </c>
      <c r="E2400" s="2" t="str">
        <f>HYPERLINK("http://ts.21cn.com/tousu/show/id/1332985","http://ts.21cn.com/tousu/show/id/1332985")</f>
        <v>http://ts.21cn.com/tousu/show/id/1332985</v>
      </c>
      <c r="F2400" s="2" t="s">
        <v>11</v>
      </c>
      <c r="G2400" s="2" t="s">
        <v>39417</v>
      </c>
      <c r="H2400" s="2" t="s">
        <v>39418</v>
      </c>
    </row>
    <row r="2401" spans="1:8" ht="25.05" customHeight="1" x14ac:dyDescent="0.25">
      <c r="A2401" s="2" t="s">
        <v>8</v>
      </c>
      <c r="B2401" s="2" t="str">
        <f>HYPERLINK("http://ts.21cn.com/tousu/show/id/1332987","武汉通支付宝充值未到账等了3天客服也打不通")</f>
        <v>武汉通支付宝充值未到账等了3天客服也打不通</v>
      </c>
      <c r="C2401" s="2" t="s">
        <v>9</v>
      </c>
      <c r="D2401" s="2" t="s">
        <v>10</v>
      </c>
      <c r="E2401" s="2" t="str">
        <f>HYPERLINK("http://ts.21cn.com/tousu/show/id/1332987","http://ts.21cn.com/tousu/show/id/1332987")</f>
        <v>http://ts.21cn.com/tousu/show/id/1332987</v>
      </c>
      <c r="F2401" s="2" t="s">
        <v>11</v>
      </c>
      <c r="G2401" s="2" t="s">
        <v>39415</v>
      </c>
      <c r="H2401" s="2" t="s">
        <v>39416</v>
      </c>
    </row>
    <row r="2402" spans="1:8" ht="25.05" customHeight="1" x14ac:dyDescent="0.25">
      <c r="A2402" s="2" t="s">
        <v>8</v>
      </c>
      <c r="B2402" s="2" t="str">
        <f>HYPERLINK("http://ts.21cn.com/tousu/show/id/1332988","U卡贷提前结清无减免")</f>
        <v>U卡贷提前结清无减免</v>
      </c>
      <c r="C2402" s="2" t="s">
        <v>9</v>
      </c>
      <c r="D2402" s="2" t="s">
        <v>10</v>
      </c>
      <c r="E2402" s="2" t="str">
        <f>HYPERLINK("http://ts.21cn.com/tousu/show/id/1332988","http://ts.21cn.com/tousu/show/id/1332988")</f>
        <v>http://ts.21cn.com/tousu/show/id/1332988</v>
      </c>
      <c r="F2402" s="2" t="s">
        <v>11</v>
      </c>
      <c r="G2402" s="2" t="s">
        <v>39413</v>
      </c>
      <c r="H2402" s="2" t="s">
        <v>39414</v>
      </c>
    </row>
    <row r="2403" spans="1:8" ht="25.05" customHeight="1" x14ac:dyDescent="0.25">
      <c r="A2403" s="2" t="s">
        <v>8</v>
      </c>
      <c r="B2403" s="2" t="str">
        <f>HYPERLINK("http://ts.21cn.com/tousu/show/id/1332989","恶意催收白领贷")</f>
        <v>恶意催收白领贷</v>
      </c>
      <c r="C2403" s="2" t="s">
        <v>9</v>
      </c>
      <c r="D2403" s="2" t="s">
        <v>10</v>
      </c>
      <c r="E2403" s="2" t="str">
        <f>HYPERLINK("http://ts.21cn.com/tousu/show/id/1332989","http://ts.21cn.com/tousu/show/id/1332989")</f>
        <v>http://ts.21cn.com/tousu/show/id/1332989</v>
      </c>
      <c r="F2403" s="2" t="s">
        <v>11</v>
      </c>
      <c r="G2403" s="2" t="s">
        <v>39411</v>
      </c>
      <c r="H2403" s="2" t="s">
        <v>39412</v>
      </c>
    </row>
    <row r="2404" spans="1:8" ht="25.05" customHeight="1" x14ac:dyDescent="0.25">
      <c r="A2404" s="2" t="s">
        <v>8</v>
      </c>
      <c r="B2404" s="2" t="str">
        <f>HYPERLINK("http://ts.21cn.com/tousu/show/id/1332648","滴滴公司诱导司机装监控")</f>
        <v>滴滴公司诱导司机装监控</v>
      </c>
      <c r="C2404" s="2" t="s">
        <v>9</v>
      </c>
      <c r="D2404" s="2" t="s">
        <v>10</v>
      </c>
      <c r="E2404" s="2" t="str">
        <f>HYPERLINK("http://ts.21cn.com/tousu/show/id/1332648","http://ts.21cn.com/tousu/show/id/1332648")</f>
        <v>http://ts.21cn.com/tousu/show/id/1332648</v>
      </c>
      <c r="F2404" s="2" t="s">
        <v>11</v>
      </c>
      <c r="G2404" s="2" t="s">
        <v>39409</v>
      </c>
      <c r="H2404" s="2" t="s">
        <v>39410</v>
      </c>
    </row>
    <row r="2405" spans="1:8" ht="25.05" customHeight="1" x14ac:dyDescent="0.25">
      <c r="A2405" s="2" t="s">
        <v>8</v>
      </c>
      <c r="B2405" s="2" t="str">
        <f>HYPERLINK("http://ts.21cn.com/tousu/show/id/1332990","钱站工作人员打电话催收，严重影响我和朋友的正常生活")</f>
        <v>钱站工作人员打电话催收，严重影响我和朋友的正常生活</v>
      </c>
      <c r="C2405" s="2" t="s">
        <v>9</v>
      </c>
      <c r="D2405" s="2" t="s">
        <v>10</v>
      </c>
      <c r="E2405" s="2" t="str">
        <f>HYPERLINK("http://ts.21cn.com/tousu/show/id/1332990","http://ts.21cn.com/tousu/show/id/1332990")</f>
        <v>http://ts.21cn.com/tousu/show/id/1332990</v>
      </c>
      <c r="F2405" s="2" t="s">
        <v>11</v>
      </c>
      <c r="G2405" s="2" t="s">
        <v>39407</v>
      </c>
      <c r="H2405" s="2" t="s">
        <v>39408</v>
      </c>
    </row>
    <row r="2406" spans="1:8" ht="25.05" customHeight="1" x14ac:dyDescent="0.25">
      <c r="A2406" s="2" t="s">
        <v>8</v>
      </c>
      <c r="B2406" s="2" t="str">
        <f>HYPERLINK("http://ts.21cn.com/tousu/show/id/1332991","抖音为网贷提供流量进行误导性宣传")</f>
        <v>抖音为网贷提供流量进行误导性宣传</v>
      </c>
      <c r="C2406" s="2" t="s">
        <v>9</v>
      </c>
      <c r="D2406" s="2" t="s">
        <v>10</v>
      </c>
      <c r="E2406" s="2" t="str">
        <f>HYPERLINK("http://ts.21cn.com/tousu/show/id/1332991","http://ts.21cn.com/tousu/show/id/1332991")</f>
        <v>http://ts.21cn.com/tousu/show/id/1332991</v>
      </c>
      <c r="F2406" s="2" t="s">
        <v>11</v>
      </c>
      <c r="G2406" s="2" t="s">
        <v>39405</v>
      </c>
      <c r="H2406" s="2" t="s">
        <v>39406</v>
      </c>
    </row>
    <row r="2407" spans="1:8" ht="25.05" customHeight="1" x14ac:dyDescent="0.25">
      <c r="A2407" s="2" t="s">
        <v>8</v>
      </c>
      <c r="B2407" s="2" t="str">
        <f>HYPERLINK("http://ts.21cn.com/tousu/show/id/1332993","骚扰短信")</f>
        <v>骚扰短信</v>
      </c>
      <c r="C2407" s="2" t="s">
        <v>9</v>
      </c>
      <c r="D2407" s="2" t="s">
        <v>10</v>
      </c>
      <c r="E2407" s="2" t="str">
        <f>HYPERLINK("http://ts.21cn.com/tousu/show/id/1332993","http://ts.21cn.com/tousu/show/id/1332993")</f>
        <v>http://ts.21cn.com/tousu/show/id/1332993</v>
      </c>
      <c r="F2407" s="2" t="s">
        <v>11</v>
      </c>
      <c r="G2407" s="2" t="s">
        <v>39403</v>
      </c>
      <c r="H2407" s="2" t="s">
        <v>39404</v>
      </c>
    </row>
    <row r="2408" spans="1:8" ht="25.05" customHeight="1" x14ac:dyDescent="0.25">
      <c r="A2408" s="2" t="s">
        <v>8</v>
      </c>
      <c r="B2408" s="2" t="str">
        <f>HYPERLINK("http://ts.21cn.com/tousu/show/id/1332994","中信银行5天之内无故连降三次额度")</f>
        <v>中信银行5天之内无故连降三次额度</v>
      </c>
      <c r="C2408" s="2" t="s">
        <v>34</v>
      </c>
      <c r="D2408" s="2" t="s">
        <v>10</v>
      </c>
      <c r="E2408" s="2" t="str">
        <f>HYPERLINK("http://ts.21cn.com/tousu/show/id/1332994","http://ts.21cn.com/tousu/show/id/1332994")</f>
        <v>http://ts.21cn.com/tousu/show/id/1332994</v>
      </c>
      <c r="F2408" s="2" t="s">
        <v>11</v>
      </c>
      <c r="G2408" s="2" t="s">
        <v>39401</v>
      </c>
      <c r="H2408" s="2" t="s">
        <v>39402</v>
      </c>
    </row>
    <row r="2409" spans="1:8" ht="25.05" customHeight="1" x14ac:dyDescent="0.25">
      <c r="A2409" s="2" t="s">
        <v>8</v>
      </c>
      <c r="B2409" s="2" t="str">
        <f>HYPERLINK("http://ts.21cn.com/tousu/show/id/1332995","2019年10月2日通过手机nfc充值羊城通50元没有到账")</f>
        <v>2019年10月2日通过手机nfc充值羊城通50元没有到账</v>
      </c>
      <c r="C2409" s="2" t="s">
        <v>34</v>
      </c>
      <c r="D2409" s="2" t="s">
        <v>10</v>
      </c>
      <c r="E2409" s="2" t="str">
        <f>HYPERLINK("http://ts.21cn.com/tousu/show/id/1332995","http://ts.21cn.com/tousu/show/id/1332995")</f>
        <v>http://ts.21cn.com/tousu/show/id/1332995</v>
      </c>
      <c r="F2409" s="2" t="s">
        <v>11</v>
      </c>
      <c r="G2409" s="2" t="s">
        <v>39399</v>
      </c>
      <c r="H2409" s="2" t="s">
        <v>39400</v>
      </c>
    </row>
    <row r="2410" spans="1:8" ht="25.05" customHeight="1" x14ac:dyDescent="0.25">
      <c r="A2410" s="2" t="s">
        <v>8</v>
      </c>
      <c r="B2410" s="2" t="str">
        <f>HYPERLINK("http://ts.21cn.com/tousu/show/id/1332996","闪银违规收取砍头息强制购物借款")</f>
        <v>闪银违规收取砍头息强制购物借款</v>
      </c>
      <c r="C2410" s="2" t="s">
        <v>9</v>
      </c>
      <c r="D2410" s="2" t="s">
        <v>10</v>
      </c>
      <c r="E2410" s="2" t="str">
        <f>HYPERLINK("http://ts.21cn.com/tousu/show/id/1332996","http://ts.21cn.com/tousu/show/id/1332996")</f>
        <v>http://ts.21cn.com/tousu/show/id/1332996</v>
      </c>
      <c r="F2410" s="2" t="s">
        <v>11</v>
      </c>
      <c r="G2410" s="2" t="s">
        <v>39398</v>
      </c>
      <c r="H2410" s="2" t="s">
        <v>34188</v>
      </c>
    </row>
    <row r="2411" spans="1:8" ht="25.05" customHeight="1" x14ac:dyDescent="0.25">
      <c r="A2411" s="2" t="s">
        <v>8</v>
      </c>
      <c r="B2411" s="2" t="str">
        <f>HYPERLINK("http://ts.21cn.com/tousu/show/id/1332997","多宝分期故意还款不了造成预期")</f>
        <v>多宝分期故意还款不了造成预期</v>
      </c>
      <c r="C2411" s="2" t="s">
        <v>9</v>
      </c>
      <c r="D2411" s="2" t="s">
        <v>10</v>
      </c>
      <c r="E2411" s="2" t="str">
        <f>HYPERLINK("http://ts.21cn.com/tousu/show/id/1332997","http://ts.21cn.com/tousu/show/id/1332997")</f>
        <v>http://ts.21cn.com/tousu/show/id/1332997</v>
      </c>
      <c r="F2411" s="2" t="s">
        <v>11</v>
      </c>
      <c r="G2411" s="2" t="s">
        <v>39396</v>
      </c>
      <c r="H2411" s="2" t="s">
        <v>39397</v>
      </c>
    </row>
    <row r="2412" spans="1:8" ht="25.05" customHeight="1" x14ac:dyDescent="0.25">
      <c r="A2412" s="2" t="s">
        <v>8</v>
      </c>
      <c r="B2412" s="2" t="str">
        <f>HYPERLINK("http://ts.21cn.com/tousu/show/id/1332998","协融借无法还款且利息太高")</f>
        <v>协融借无法还款且利息太高</v>
      </c>
      <c r="C2412" s="2" t="s">
        <v>9</v>
      </c>
      <c r="D2412" s="2" t="s">
        <v>10</v>
      </c>
      <c r="E2412" s="2" t="str">
        <f>HYPERLINK("http://ts.21cn.com/tousu/show/id/1332998","http://ts.21cn.com/tousu/show/id/1332998")</f>
        <v>http://ts.21cn.com/tousu/show/id/1332998</v>
      </c>
      <c r="F2412" s="2" t="s">
        <v>11</v>
      </c>
      <c r="G2412" s="2" t="s">
        <v>39394</v>
      </c>
      <c r="H2412" s="2" t="s">
        <v>39395</v>
      </c>
    </row>
    <row r="2413" spans="1:8" ht="25.05" customHeight="1" x14ac:dyDescent="0.25">
      <c r="A2413" s="2" t="s">
        <v>8</v>
      </c>
      <c r="B2413" s="2" t="str">
        <f>HYPERLINK("http://ts.21cn.com/tousu/show/id/1332999","协商还款")</f>
        <v>协商还款</v>
      </c>
      <c r="C2413" s="2" t="s">
        <v>9</v>
      </c>
      <c r="D2413" s="2" t="s">
        <v>10</v>
      </c>
      <c r="E2413" s="2" t="str">
        <f>HYPERLINK("http://ts.21cn.com/tousu/show/id/1332999","http://ts.21cn.com/tousu/show/id/1332999")</f>
        <v>http://ts.21cn.com/tousu/show/id/1332999</v>
      </c>
      <c r="F2413" s="2" t="s">
        <v>11</v>
      </c>
      <c r="G2413" s="2" t="s">
        <v>39392</v>
      </c>
      <c r="H2413" s="2" t="s">
        <v>39393</v>
      </c>
    </row>
    <row r="2414" spans="1:8" ht="25.05" customHeight="1" x14ac:dyDescent="0.25">
      <c r="A2414" s="2" t="s">
        <v>8</v>
      </c>
      <c r="B2414" s="2" t="str">
        <f>HYPERLINK("http://ts.21cn.com/tousu/show/id/1333000","在交易猫买的steam账号不到3小时被找回还不给予赔偿")</f>
        <v>在交易猫买的steam账号不到3小时被找回还不给予赔偿</v>
      </c>
      <c r="C2414" s="2" t="s">
        <v>9</v>
      </c>
      <c r="D2414" s="2" t="s">
        <v>10</v>
      </c>
      <c r="E2414" s="2" t="str">
        <f>HYPERLINK("http://ts.21cn.com/tousu/show/id/1333000","http://ts.21cn.com/tousu/show/id/1333000")</f>
        <v>http://ts.21cn.com/tousu/show/id/1333000</v>
      </c>
      <c r="F2414" s="2" t="s">
        <v>11</v>
      </c>
      <c r="G2414" s="2" t="s">
        <v>39390</v>
      </c>
      <c r="H2414" s="2" t="s">
        <v>39391</v>
      </c>
    </row>
    <row r="2415" spans="1:8" ht="25.05" customHeight="1" x14ac:dyDescent="0.25">
      <c r="A2415" s="2" t="s">
        <v>8</v>
      </c>
      <c r="B2415" s="2" t="str">
        <f>HYPERLINK("http://ts.21cn.com/tousu/show/id/1332986","弹个车误导消费者！")</f>
        <v>弹个车误导消费者！</v>
      </c>
      <c r="C2415" s="2" t="s">
        <v>9</v>
      </c>
      <c r="D2415" s="2" t="s">
        <v>10</v>
      </c>
      <c r="E2415" s="2" t="str">
        <f>HYPERLINK("http://ts.21cn.com/tousu/show/id/1332986","http://ts.21cn.com/tousu/show/id/1332986")</f>
        <v>http://ts.21cn.com/tousu/show/id/1332986</v>
      </c>
      <c r="F2415" s="2" t="s">
        <v>11</v>
      </c>
      <c r="G2415" s="2" t="s">
        <v>39388</v>
      </c>
      <c r="H2415" s="2" t="s">
        <v>39389</v>
      </c>
    </row>
    <row r="2416" spans="1:8" ht="25.05" customHeight="1" x14ac:dyDescent="0.25">
      <c r="A2416" s="2" t="s">
        <v>8</v>
      </c>
      <c r="B2416" s="2" t="str">
        <f>HYPERLINK("http://ts.21cn.com/tousu/show/id/1333001","蛋壳公寓忽悠外地租户签远程合同，房屋存在质量问题却不给退押金")</f>
        <v>蛋壳公寓忽悠外地租户签远程合同，房屋存在质量问题却不给退押金</v>
      </c>
      <c r="C2416" s="2" t="s">
        <v>9</v>
      </c>
      <c r="D2416" s="2" t="s">
        <v>10</v>
      </c>
      <c r="E2416" s="2" t="str">
        <f>HYPERLINK("http://ts.21cn.com/tousu/show/id/1333001","http://ts.21cn.com/tousu/show/id/1333001")</f>
        <v>http://ts.21cn.com/tousu/show/id/1333001</v>
      </c>
      <c r="F2416" s="2" t="s">
        <v>11</v>
      </c>
      <c r="G2416" s="2" t="s">
        <v>39386</v>
      </c>
      <c r="H2416" s="2" t="s">
        <v>39387</v>
      </c>
    </row>
    <row r="2417" spans="1:8" ht="25.05" customHeight="1" x14ac:dyDescent="0.25">
      <c r="A2417" s="2" t="s">
        <v>8</v>
      </c>
      <c r="B2417" s="2" t="str">
        <f>HYPERLINK("http://ts.21cn.com/tousu/show/id/1333002","短信骚扰")</f>
        <v>短信骚扰</v>
      </c>
      <c r="C2417" s="2" t="s">
        <v>9</v>
      </c>
      <c r="D2417" s="2" t="s">
        <v>10</v>
      </c>
      <c r="E2417" s="2" t="str">
        <f>HYPERLINK("http://ts.21cn.com/tousu/show/id/1333002","http://ts.21cn.com/tousu/show/id/1333002")</f>
        <v>http://ts.21cn.com/tousu/show/id/1333002</v>
      </c>
      <c r="F2417" s="2" t="s">
        <v>11</v>
      </c>
      <c r="G2417" s="2" t="s">
        <v>39384</v>
      </c>
      <c r="H2417" s="2" t="s">
        <v>39385</v>
      </c>
    </row>
    <row r="2418" spans="1:8" ht="25.05" customHeight="1" x14ac:dyDescent="0.25">
      <c r="A2418" s="2" t="s">
        <v>8</v>
      </c>
      <c r="B2418" s="2" t="str">
        <f>HYPERLINK("http://ts.21cn.com/tousu/show/id/1177998","马上消费金融安逸花造谣散播不实谣言骚扰家人")</f>
        <v>马上消费金融安逸花造谣散播不实谣言骚扰家人</v>
      </c>
      <c r="C2418" s="2" t="s">
        <v>9</v>
      </c>
      <c r="D2418" s="2" t="s">
        <v>10</v>
      </c>
      <c r="E2418" s="2" t="str">
        <f>HYPERLINK("http://ts.21cn.com/tousu/show/id/1177998","http://ts.21cn.com/tousu/show/id/1177998")</f>
        <v>http://ts.21cn.com/tousu/show/id/1177998</v>
      </c>
      <c r="F2418" s="2" t="s">
        <v>11</v>
      </c>
      <c r="G2418" s="2" t="s">
        <v>39382</v>
      </c>
      <c r="H2418" s="2" t="s">
        <v>39383</v>
      </c>
    </row>
    <row r="2419" spans="1:8" ht="25.05" customHeight="1" x14ac:dyDescent="0.25">
      <c r="A2419" s="2" t="s">
        <v>8</v>
      </c>
      <c r="B2419" s="2" t="str">
        <f>HYPERLINK("http://ts.21cn.com/tousu/show/id/1333003","高利贷")</f>
        <v>高利贷</v>
      </c>
      <c r="C2419" s="2" t="s">
        <v>9</v>
      </c>
      <c r="D2419" s="2" t="s">
        <v>10</v>
      </c>
      <c r="E2419" s="2" t="str">
        <f>HYPERLINK("http://ts.21cn.com/tousu/show/id/1333003","http://ts.21cn.com/tousu/show/id/1333003")</f>
        <v>http://ts.21cn.com/tousu/show/id/1333003</v>
      </c>
      <c r="F2419" s="2" t="s">
        <v>11</v>
      </c>
      <c r="G2419" s="2" t="s">
        <v>39380</v>
      </c>
      <c r="H2419" s="2" t="s">
        <v>39381</v>
      </c>
    </row>
    <row r="2420" spans="1:8" ht="25.05" customHeight="1" x14ac:dyDescent="0.25">
      <c r="A2420" s="2" t="s">
        <v>8</v>
      </c>
      <c r="B2420" s="2" t="str">
        <f>HYPERLINK("http://ts.21cn.com/tousu/show/id/1333004","乱扣费")</f>
        <v>乱扣费</v>
      </c>
      <c r="C2420" s="2" t="s">
        <v>9</v>
      </c>
      <c r="D2420" s="2" t="s">
        <v>10</v>
      </c>
      <c r="E2420" s="2" t="str">
        <f>HYPERLINK("http://ts.21cn.com/tousu/show/id/1333004","http://ts.21cn.com/tousu/show/id/1333004")</f>
        <v>http://ts.21cn.com/tousu/show/id/1333004</v>
      </c>
      <c r="F2420" s="2" t="s">
        <v>11</v>
      </c>
      <c r="G2420" s="2" t="s">
        <v>39378</v>
      </c>
      <c r="H2420" s="2" t="s">
        <v>39379</v>
      </c>
    </row>
    <row r="2421" spans="1:8" ht="25.05" customHeight="1" x14ac:dyDescent="0.25">
      <c r="A2421" s="2" t="s">
        <v>8</v>
      </c>
      <c r="B2421" s="2" t="str">
        <f>HYPERLINK("http://ts.21cn.com/tousu/show/id/1333007","口碑值忽然变服务分导致接不到单")</f>
        <v>口碑值忽然变服务分导致接不到单</v>
      </c>
      <c r="C2421" s="2" t="s">
        <v>34</v>
      </c>
      <c r="D2421" s="2" t="s">
        <v>10</v>
      </c>
      <c r="E2421" s="2" t="str">
        <f>HYPERLINK("http://ts.21cn.com/tousu/show/id/1333007","http://ts.21cn.com/tousu/show/id/1333007")</f>
        <v>http://ts.21cn.com/tousu/show/id/1333007</v>
      </c>
      <c r="F2421" s="2" t="s">
        <v>11</v>
      </c>
      <c r="G2421" s="2" t="s">
        <v>39376</v>
      </c>
      <c r="H2421" s="2" t="s">
        <v>39377</v>
      </c>
    </row>
    <row r="2422" spans="1:8" ht="25.05" customHeight="1" x14ac:dyDescent="0.25">
      <c r="A2422" s="2" t="s">
        <v>8</v>
      </c>
      <c r="B2422" s="2" t="str">
        <f>HYPERLINK("http://ts.21cn.com/tousu/show/id/1333008","杭州市民卡为高利贷提供代扣砍头息")</f>
        <v>杭州市民卡为高利贷提供代扣砍头息</v>
      </c>
      <c r="C2422" s="2" t="s">
        <v>9</v>
      </c>
      <c r="D2422" s="2" t="s">
        <v>10</v>
      </c>
      <c r="E2422" s="2" t="str">
        <f>HYPERLINK("http://ts.21cn.com/tousu/show/id/1333008","http://ts.21cn.com/tousu/show/id/1333008")</f>
        <v>http://ts.21cn.com/tousu/show/id/1333008</v>
      </c>
      <c r="F2422" s="2" t="s">
        <v>11</v>
      </c>
      <c r="G2422" s="2" t="s">
        <v>39374</v>
      </c>
      <c r="H2422" s="2" t="s">
        <v>39375</v>
      </c>
    </row>
    <row r="2423" spans="1:8" ht="25.05" customHeight="1" x14ac:dyDescent="0.25">
      <c r="A2423" s="2" t="s">
        <v>8</v>
      </c>
      <c r="B2423" s="2" t="str">
        <f>HYPERLINK("http://ts.21cn.com/tousu/show/id/1333009","出售坏的死的海鲜")</f>
        <v>出售坏的死的海鲜</v>
      </c>
      <c r="C2423" s="2" t="s">
        <v>9</v>
      </c>
      <c r="D2423" s="2" t="s">
        <v>10</v>
      </c>
      <c r="E2423" s="2" t="str">
        <f>HYPERLINK("http://ts.21cn.com/tousu/show/id/1333009","http://ts.21cn.com/tousu/show/id/1333009")</f>
        <v>http://ts.21cn.com/tousu/show/id/1333009</v>
      </c>
      <c r="F2423" s="2" t="s">
        <v>11</v>
      </c>
      <c r="G2423" s="2" t="s">
        <v>39372</v>
      </c>
      <c r="H2423" s="2" t="s">
        <v>39373</v>
      </c>
    </row>
    <row r="2424" spans="1:8" ht="25.05" customHeight="1" x14ac:dyDescent="0.25">
      <c r="A2424" s="2" t="s">
        <v>8</v>
      </c>
      <c r="B2424" s="2" t="str">
        <f>HYPERLINK("http://ts.21cn.com/tousu/show/id/1333010","携程租车霸王条款")</f>
        <v>携程租车霸王条款</v>
      </c>
      <c r="C2424" s="2" t="s">
        <v>9</v>
      </c>
      <c r="D2424" s="2" t="s">
        <v>10</v>
      </c>
      <c r="E2424" s="2" t="str">
        <f>HYPERLINK("http://ts.21cn.com/tousu/show/id/1333010","http://ts.21cn.com/tousu/show/id/1333010")</f>
        <v>http://ts.21cn.com/tousu/show/id/1333010</v>
      </c>
      <c r="F2424" s="2" t="s">
        <v>11</v>
      </c>
      <c r="G2424" s="2" t="s">
        <v>39370</v>
      </c>
      <c r="H2424" s="2" t="s">
        <v>39371</v>
      </c>
    </row>
    <row r="2425" spans="1:8" ht="25.05" customHeight="1" x14ac:dyDescent="0.25">
      <c r="A2425" s="2" t="s">
        <v>8</v>
      </c>
      <c r="B2425" s="2" t="str">
        <f>HYPERLINK("http://ts.21cn.com/tousu/show/id/1333011","钱包易贷联合长治银行变相收取砍头息和保险维护费")</f>
        <v>钱包易贷联合长治银行变相收取砍头息和保险维护费</v>
      </c>
      <c r="C2425" s="2" t="s">
        <v>9</v>
      </c>
      <c r="D2425" s="2" t="s">
        <v>10</v>
      </c>
      <c r="E2425" s="2" t="str">
        <f>HYPERLINK("http://ts.21cn.com/tousu/show/id/1333011","http://ts.21cn.com/tousu/show/id/1333011")</f>
        <v>http://ts.21cn.com/tousu/show/id/1333011</v>
      </c>
      <c r="F2425" s="2" t="s">
        <v>11</v>
      </c>
      <c r="G2425" s="2" t="s">
        <v>39368</v>
      </c>
      <c r="H2425" s="2" t="s">
        <v>39369</v>
      </c>
    </row>
    <row r="2426" spans="1:8" ht="25.05" customHeight="1" x14ac:dyDescent="0.25">
      <c r="A2426" s="2" t="s">
        <v>8</v>
      </c>
      <c r="B2426" s="2" t="str">
        <f>HYPERLINK("http://ts.21cn.com/tousu/show/id/1333013","违规提供支付通道")</f>
        <v>违规提供支付通道</v>
      </c>
      <c r="C2426" s="2" t="s">
        <v>9</v>
      </c>
      <c r="D2426" s="2" t="s">
        <v>10</v>
      </c>
      <c r="E2426" s="2" t="str">
        <f>HYPERLINK("http://ts.21cn.com/tousu/show/id/1333013","http://ts.21cn.com/tousu/show/id/1333013")</f>
        <v>http://ts.21cn.com/tousu/show/id/1333013</v>
      </c>
      <c r="F2426" s="2" t="s">
        <v>11</v>
      </c>
      <c r="G2426" s="2" t="s">
        <v>39366</v>
      </c>
      <c r="H2426" s="2" t="s">
        <v>39367</v>
      </c>
    </row>
    <row r="2427" spans="1:8" ht="25.05" customHeight="1" x14ac:dyDescent="0.25">
      <c r="A2427" s="2" t="s">
        <v>8</v>
      </c>
      <c r="B2427" s="2" t="str">
        <f>HYPERLINK("http://ts.21cn.com/tousu/show/id/1333012","手机借钱APP利息超国家标准")</f>
        <v>手机借钱APP利息超国家标准</v>
      </c>
      <c r="C2427" s="2" t="s">
        <v>9</v>
      </c>
      <c r="D2427" s="2" t="s">
        <v>10</v>
      </c>
      <c r="E2427" s="2" t="str">
        <f>HYPERLINK("http://ts.21cn.com/tousu/show/id/1333012","http://ts.21cn.com/tousu/show/id/1333012")</f>
        <v>http://ts.21cn.com/tousu/show/id/1333012</v>
      </c>
      <c r="F2427" s="2" t="s">
        <v>11</v>
      </c>
      <c r="G2427" s="2" t="s">
        <v>39364</v>
      </c>
      <c r="H2427" s="2" t="s">
        <v>39365</v>
      </c>
    </row>
    <row r="2428" spans="1:8" ht="25.05" customHeight="1" x14ac:dyDescent="0.25">
      <c r="A2428" s="2" t="s">
        <v>8</v>
      </c>
      <c r="B2428" s="2" t="str">
        <f>HYPERLINK("http://ts.21cn.com/tousu/show/id/1333014","信用管家神马借涉嫌套路贷")</f>
        <v>信用管家神马借涉嫌套路贷</v>
      </c>
      <c r="C2428" s="2" t="s">
        <v>9</v>
      </c>
      <c r="D2428" s="2" t="s">
        <v>10</v>
      </c>
      <c r="E2428" s="2" t="str">
        <f>HYPERLINK("http://ts.21cn.com/tousu/show/id/1333014","http://ts.21cn.com/tousu/show/id/1333014")</f>
        <v>http://ts.21cn.com/tousu/show/id/1333014</v>
      </c>
      <c r="F2428" s="2" t="s">
        <v>11</v>
      </c>
      <c r="G2428" s="2" t="s">
        <v>39362</v>
      </c>
      <c r="H2428" s="2" t="s">
        <v>39363</v>
      </c>
    </row>
    <row r="2429" spans="1:8" ht="25.05" customHeight="1" x14ac:dyDescent="0.25">
      <c r="A2429" s="2" t="s">
        <v>8</v>
      </c>
      <c r="B2429" s="2" t="str">
        <f>HYPERLINK("http://ts.21cn.com/tousu/show/id/1333015","淘宝霸王旗舰店挂羊头卖狗肉")</f>
        <v>淘宝霸王旗舰店挂羊头卖狗肉</v>
      </c>
      <c r="C2429" s="2" t="s">
        <v>9</v>
      </c>
      <c r="D2429" s="2" t="s">
        <v>10</v>
      </c>
      <c r="E2429" s="2" t="str">
        <f>HYPERLINK("http://ts.21cn.com/tousu/show/id/1333015","http://ts.21cn.com/tousu/show/id/1333015")</f>
        <v>http://ts.21cn.com/tousu/show/id/1333015</v>
      </c>
      <c r="F2429" s="2" t="s">
        <v>11</v>
      </c>
      <c r="G2429" s="2" t="s">
        <v>39360</v>
      </c>
      <c r="H2429" s="2" t="s">
        <v>39361</v>
      </c>
    </row>
    <row r="2430" spans="1:8" ht="25.05" customHeight="1" x14ac:dyDescent="0.25">
      <c r="A2430" s="2" t="s">
        <v>8</v>
      </c>
      <c r="B2430" s="2" t="str">
        <f>HYPERLINK("http://ts.21cn.com/tousu/show/id/1333016","手机收货第二天就降价200元却无法价保")</f>
        <v>手机收货第二天就降价200元却无法价保</v>
      </c>
      <c r="C2430" s="2" t="s">
        <v>9</v>
      </c>
      <c r="D2430" s="2" t="s">
        <v>10</v>
      </c>
      <c r="E2430" s="2" t="str">
        <f>HYPERLINK("http://ts.21cn.com/tousu/show/id/1333016","http://ts.21cn.com/tousu/show/id/1333016")</f>
        <v>http://ts.21cn.com/tousu/show/id/1333016</v>
      </c>
      <c r="F2430" s="2" t="s">
        <v>11</v>
      </c>
      <c r="G2430" s="2" t="s">
        <v>39358</v>
      </c>
      <c r="H2430" s="2" t="s">
        <v>39359</v>
      </c>
    </row>
    <row r="2431" spans="1:8" ht="25.05" customHeight="1" x14ac:dyDescent="0.25">
      <c r="A2431" s="2" t="s">
        <v>8</v>
      </c>
      <c r="B2431" s="2" t="str">
        <f>HYPERLINK("http://ts.21cn.com/tousu/show/id/1333017","淘集集拖延3个月货款")</f>
        <v>淘集集拖延3个月货款</v>
      </c>
      <c r="C2431" s="2" t="s">
        <v>34</v>
      </c>
      <c r="D2431" s="2" t="s">
        <v>10</v>
      </c>
      <c r="E2431" s="2" t="str">
        <f>HYPERLINK("http://ts.21cn.com/tousu/show/id/1333017","http://ts.21cn.com/tousu/show/id/1333017")</f>
        <v>http://ts.21cn.com/tousu/show/id/1333017</v>
      </c>
      <c r="F2431" s="2" t="s">
        <v>11</v>
      </c>
      <c r="G2431" s="2" t="s">
        <v>39356</v>
      </c>
      <c r="H2431" s="2" t="s">
        <v>39357</v>
      </c>
    </row>
    <row r="2432" spans="1:8" ht="25.05" customHeight="1" x14ac:dyDescent="0.25">
      <c r="A2432" s="2" t="s">
        <v>8</v>
      </c>
      <c r="B2432" s="2" t="str">
        <f>HYPERLINK("http://ts.21cn.com/tousu/show/id/1333018","国美易卡自己扣款失败逾期乱收费")</f>
        <v>国美易卡自己扣款失败逾期乱收费</v>
      </c>
      <c r="C2432" s="2" t="s">
        <v>9</v>
      </c>
      <c r="D2432" s="2" t="s">
        <v>10</v>
      </c>
      <c r="E2432" s="2" t="str">
        <f>HYPERLINK("http://ts.21cn.com/tousu/show/id/1333018","http://ts.21cn.com/tousu/show/id/1333018")</f>
        <v>http://ts.21cn.com/tousu/show/id/1333018</v>
      </c>
      <c r="F2432" s="2" t="s">
        <v>11</v>
      </c>
      <c r="G2432" s="2" t="s">
        <v>39354</v>
      </c>
      <c r="H2432" s="2" t="s">
        <v>39355</v>
      </c>
    </row>
    <row r="2433" spans="1:8" ht="25.05" customHeight="1" x14ac:dyDescent="0.25">
      <c r="A2433" s="2" t="s">
        <v>8</v>
      </c>
      <c r="B2433" s="2" t="str">
        <f>HYPERLINK("http://ts.21cn.com/tousu/show/id/1333019","大闸蟹虚假售卖")</f>
        <v>大闸蟹虚假售卖</v>
      </c>
      <c r="C2433" s="2" t="s">
        <v>9</v>
      </c>
      <c r="D2433" s="2" t="s">
        <v>10</v>
      </c>
      <c r="E2433" s="2" t="str">
        <f>HYPERLINK("http://ts.21cn.com/tousu/show/id/1333019","http://ts.21cn.com/tousu/show/id/1333019")</f>
        <v>http://ts.21cn.com/tousu/show/id/1333019</v>
      </c>
      <c r="F2433" s="2" t="s">
        <v>11</v>
      </c>
      <c r="G2433" s="2" t="s">
        <v>39352</v>
      </c>
      <c r="H2433" s="2" t="s">
        <v>39353</v>
      </c>
    </row>
    <row r="2434" spans="1:8" ht="25.05" customHeight="1" x14ac:dyDescent="0.25">
      <c r="A2434" s="2" t="s">
        <v>8</v>
      </c>
      <c r="B2434" s="2" t="str">
        <f>HYPERLINK("http://ts.21cn.com/tousu/show/id/1333020","主动还款失败")</f>
        <v>主动还款失败</v>
      </c>
      <c r="C2434" s="2" t="s">
        <v>9</v>
      </c>
      <c r="D2434" s="2" t="s">
        <v>10</v>
      </c>
      <c r="E2434" s="2" t="str">
        <f>HYPERLINK("http://ts.21cn.com/tousu/show/id/1333020","http://ts.21cn.com/tousu/show/id/1333020")</f>
        <v>http://ts.21cn.com/tousu/show/id/1333020</v>
      </c>
      <c r="F2434" s="2" t="s">
        <v>11</v>
      </c>
      <c r="G2434" s="2" t="s">
        <v>39350</v>
      </c>
      <c r="H2434" s="2" t="s">
        <v>39351</v>
      </c>
    </row>
    <row r="2435" spans="1:8" ht="25.05" customHeight="1" x14ac:dyDescent="0.25">
      <c r="A2435" s="2" t="s">
        <v>8</v>
      </c>
      <c r="B2435" s="2" t="str">
        <f>HYPERLINK("http://ts.21cn.com/tousu/show/id/1333021","达飞云贷垃圾高利贷")</f>
        <v>达飞云贷垃圾高利贷</v>
      </c>
      <c r="C2435" s="2" t="s">
        <v>9</v>
      </c>
      <c r="D2435" s="2" t="s">
        <v>10</v>
      </c>
      <c r="E2435" s="2" t="str">
        <f>HYPERLINK("http://ts.21cn.com/tousu/show/id/1333021","http://ts.21cn.com/tousu/show/id/1333021")</f>
        <v>http://ts.21cn.com/tousu/show/id/1333021</v>
      </c>
      <c r="F2435" s="2" t="s">
        <v>11</v>
      </c>
      <c r="G2435" s="2" t="s">
        <v>39348</v>
      </c>
      <c r="H2435" s="2" t="s">
        <v>39349</v>
      </c>
    </row>
    <row r="2436" spans="1:8" ht="25.05" customHeight="1" x14ac:dyDescent="0.25">
      <c r="A2436" s="2" t="s">
        <v>8</v>
      </c>
      <c r="B2436" s="2" t="str">
        <f>HYPERLINK("http://ts.21cn.com/tousu/show/id/1333022","误导消费者消费")</f>
        <v>误导消费者消费</v>
      </c>
      <c r="C2436" s="2" t="s">
        <v>9</v>
      </c>
      <c r="D2436" s="2" t="s">
        <v>10</v>
      </c>
      <c r="E2436" s="2" t="str">
        <f>HYPERLINK("http://ts.21cn.com/tousu/show/id/1333022","http://ts.21cn.com/tousu/show/id/1333022")</f>
        <v>http://ts.21cn.com/tousu/show/id/1333022</v>
      </c>
      <c r="F2436" s="2" t="s">
        <v>11</v>
      </c>
      <c r="G2436" s="2" t="s">
        <v>39346</v>
      </c>
      <c r="H2436" s="2" t="s">
        <v>39347</v>
      </c>
    </row>
    <row r="2437" spans="1:8" ht="25.05" customHeight="1" x14ac:dyDescent="0.25">
      <c r="A2437" s="2" t="s">
        <v>8</v>
      </c>
      <c r="B2437" s="2" t="str">
        <f>HYPERLINK("http://ts.21cn.com/tousu/show/id/1333023","淘集集提现迟迟不到账，退店也退不了")</f>
        <v>淘集集提现迟迟不到账，退店也退不了</v>
      </c>
      <c r="C2437" s="2" t="s">
        <v>9</v>
      </c>
      <c r="D2437" s="2" t="s">
        <v>10</v>
      </c>
      <c r="E2437" s="2" t="str">
        <f>HYPERLINK("http://ts.21cn.com/tousu/show/id/1333023","http://ts.21cn.com/tousu/show/id/1333023")</f>
        <v>http://ts.21cn.com/tousu/show/id/1333023</v>
      </c>
      <c r="F2437" s="2" t="s">
        <v>11</v>
      </c>
      <c r="G2437" s="2" t="s">
        <v>39344</v>
      </c>
      <c r="H2437" s="2" t="s">
        <v>39345</v>
      </c>
    </row>
    <row r="2438" spans="1:8" ht="25.05" customHeight="1" x14ac:dyDescent="0.25">
      <c r="A2438" s="2" t="s">
        <v>8</v>
      </c>
      <c r="B2438" s="2" t="str">
        <f>HYPERLINK("http://ts.21cn.com/tousu/show/id/1333024","非法采集公民信息")</f>
        <v>非法采集公民信息</v>
      </c>
      <c r="C2438" s="2" t="s">
        <v>9</v>
      </c>
      <c r="D2438" s="2" t="s">
        <v>10</v>
      </c>
      <c r="E2438" s="2" t="str">
        <f>HYPERLINK("http://ts.21cn.com/tousu/show/id/1333024","http://ts.21cn.com/tousu/show/id/1333024")</f>
        <v>http://ts.21cn.com/tousu/show/id/1333024</v>
      </c>
      <c r="F2438" s="2" t="s">
        <v>11</v>
      </c>
      <c r="G2438" s="2" t="s">
        <v>39342</v>
      </c>
      <c r="H2438" s="2" t="s">
        <v>39343</v>
      </c>
    </row>
    <row r="2439" spans="1:8" ht="25.05" customHeight="1" x14ac:dyDescent="0.25">
      <c r="A2439" s="2" t="s">
        <v>8</v>
      </c>
      <c r="B2439" s="2" t="str">
        <f>HYPERLINK("http://ts.21cn.com/tousu/show/id/1333025","卖家以无货为由要求我申请退货导致我金钱时间双损失")</f>
        <v>卖家以无货为由要求我申请退货导致我金钱时间双损失</v>
      </c>
      <c r="C2439" s="2" t="s">
        <v>9</v>
      </c>
      <c r="D2439" s="2" t="s">
        <v>10</v>
      </c>
      <c r="E2439" s="2" t="str">
        <f>HYPERLINK("http://ts.21cn.com/tousu/show/id/1333025","http://ts.21cn.com/tousu/show/id/1333025")</f>
        <v>http://ts.21cn.com/tousu/show/id/1333025</v>
      </c>
      <c r="F2439" s="2" t="s">
        <v>11</v>
      </c>
      <c r="G2439" s="2" t="s">
        <v>39340</v>
      </c>
      <c r="H2439" s="2" t="s">
        <v>39341</v>
      </c>
    </row>
    <row r="2440" spans="1:8" ht="25.05" customHeight="1" x14ac:dyDescent="0.25">
      <c r="A2440" s="2" t="s">
        <v>8</v>
      </c>
      <c r="B2440" s="2" t="str">
        <f>HYPERLINK("http://ts.21cn.com/tousu/show/id/1333026","造艺科技扣款")</f>
        <v>造艺科技扣款</v>
      </c>
      <c r="C2440" s="2" t="s">
        <v>34</v>
      </c>
      <c r="D2440" s="2" t="s">
        <v>10</v>
      </c>
      <c r="E2440" s="2" t="str">
        <f>HYPERLINK("http://ts.21cn.com/tousu/show/id/1333026","http://ts.21cn.com/tousu/show/id/1333026")</f>
        <v>http://ts.21cn.com/tousu/show/id/1333026</v>
      </c>
      <c r="F2440" s="2" t="s">
        <v>11</v>
      </c>
      <c r="G2440" s="2" t="s">
        <v>39339</v>
      </c>
      <c r="H2440" s="2" t="s">
        <v>39319</v>
      </c>
    </row>
    <row r="2441" spans="1:8" ht="25.05" customHeight="1" x14ac:dyDescent="0.25">
      <c r="A2441" s="2" t="s">
        <v>8</v>
      </c>
      <c r="B2441" s="2" t="str">
        <f>HYPERLINK("http://ts.21cn.com/tousu/show/id/1333027","轻易贷立即给提现")</f>
        <v>轻易贷立即给提现</v>
      </c>
      <c r="C2441" s="2" t="s">
        <v>9</v>
      </c>
      <c r="D2441" s="2" t="s">
        <v>10</v>
      </c>
      <c r="E2441" s="2" t="str">
        <f>HYPERLINK("http://ts.21cn.com/tousu/show/id/1333027","http://ts.21cn.com/tousu/show/id/1333027")</f>
        <v>http://ts.21cn.com/tousu/show/id/1333027</v>
      </c>
      <c r="F2441" s="2" t="s">
        <v>11</v>
      </c>
      <c r="G2441" s="2" t="s">
        <v>39337</v>
      </c>
      <c r="H2441" s="2" t="s">
        <v>39338</v>
      </c>
    </row>
    <row r="2442" spans="1:8" ht="25.05" customHeight="1" x14ac:dyDescent="0.25">
      <c r="A2442" s="2" t="s">
        <v>8</v>
      </c>
      <c r="B2442" s="2" t="str">
        <f>HYPERLINK("http://ts.21cn.com/tousu/show/id/1333028","快闪卡贷绑定银行保险")</f>
        <v>快闪卡贷绑定银行保险</v>
      </c>
      <c r="C2442" s="2" t="s">
        <v>34</v>
      </c>
      <c r="D2442" s="2" t="s">
        <v>10</v>
      </c>
      <c r="E2442" s="2" t="str">
        <f>HYPERLINK("http://ts.21cn.com/tousu/show/id/1333028","http://ts.21cn.com/tousu/show/id/1333028")</f>
        <v>http://ts.21cn.com/tousu/show/id/1333028</v>
      </c>
      <c r="F2442" s="2" t="s">
        <v>11</v>
      </c>
      <c r="G2442" s="2" t="s">
        <v>39335</v>
      </c>
      <c r="H2442" s="2" t="s">
        <v>39336</v>
      </c>
    </row>
    <row r="2443" spans="1:8" ht="25.05" customHeight="1" x14ac:dyDescent="0.25">
      <c r="A2443" s="2" t="s">
        <v>8</v>
      </c>
      <c r="B2443" s="2" t="str">
        <f>HYPERLINK("http://ts.21cn.com/tousu/show/id/1333030","招商银行利息太高，霸王条款")</f>
        <v>招商银行利息太高，霸王条款</v>
      </c>
      <c r="C2443" s="2" t="s">
        <v>9</v>
      </c>
      <c r="D2443" s="2" t="s">
        <v>10</v>
      </c>
      <c r="E2443" s="2" t="str">
        <f>HYPERLINK("http://ts.21cn.com/tousu/show/id/1333030","http://ts.21cn.com/tousu/show/id/1333030")</f>
        <v>http://ts.21cn.com/tousu/show/id/1333030</v>
      </c>
      <c r="F2443" s="2" t="s">
        <v>11</v>
      </c>
      <c r="G2443" s="2" t="s">
        <v>39334</v>
      </c>
      <c r="H2443" s="2" t="s">
        <v>39333</v>
      </c>
    </row>
    <row r="2444" spans="1:8" ht="25.05" customHeight="1" x14ac:dyDescent="0.25">
      <c r="A2444" s="2" t="s">
        <v>8</v>
      </c>
      <c r="B2444" s="2" t="str">
        <f>HYPERLINK("http://ts.21cn.com/tousu/show/id/1333031","招商银行利息太高，霸王条款")</f>
        <v>招商银行利息太高，霸王条款</v>
      </c>
      <c r="C2444" s="2" t="s">
        <v>9</v>
      </c>
      <c r="D2444" s="2" t="s">
        <v>10</v>
      </c>
      <c r="E2444" s="2" t="str">
        <f>HYPERLINK("http://ts.21cn.com/tousu/show/id/1333031","http://ts.21cn.com/tousu/show/id/1333031")</f>
        <v>http://ts.21cn.com/tousu/show/id/1333031</v>
      </c>
      <c r="F2444" s="2" t="s">
        <v>11</v>
      </c>
      <c r="G2444" s="2" t="s">
        <v>39332</v>
      </c>
      <c r="H2444" s="2" t="s">
        <v>39333</v>
      </c>
    </row>
    <row r="2445" spans="1:8" ht="25.05" customHeight="1" x14ac:dyDescent="0.25">
      <c r="A2445" s="2" t="s">
        <v>8</v>
      </c>
      <c r="B2445" s="2" t="str">
        <f>HYPERLINK("http://ts.21cn.com/tousu/show/id/1333032","嗨钱网，还完款后，一直不入账，显示逾期，查询了一下成了失信人")</f>
        <v>嗨钱网，还完款后，一直不入账，显示逾期，查询了一下成了失信人</v>
      </c>
      <c r="C2445" s="2" t="s">
        <v>9</v>
      </c>
      <c r="D2445" s="2" t="s">
        <v>10</v>
      </c>
      <c r="E2445" s="2" t="str">
        <f>HYPERLINK("http://ts.21cn.com/tousu/show/id/1333032","http://ts.21cn.com/tousu/show/id/1333032")</f>
        <v>http://ts.21cn.com/tousu/show/id/1333032</v>
      </c>
      <c r="F2445" s="2" t="s">
        <v>11</v>
      </c>
      <c r="G2445" s="2" t="s">
        <v>39330</v>
      </c>
      <c r="H2445" s="2" t="s">
        <v>39331</v>
      </c>
    </row>
    <row r="2446" spans="1:8" ht="25.05" customHeight="1" x14ac:dyDescent="0.25">
      <c r="A2446" s="2" t="s">
        <v>8</v>
      </c>
      <c r="B2446" s="2" t="str">
        <f>HYPERLINK("http://ts.21cn.com/tousu/show/id/1333033","自由摩卡六便士高额砍头息")</f>
        <v>自由摩卡六便士高额砍头息</v>
      </c>
      <c r="C2446" s="2" t="s">
        <v>9</v>
      </c>
      <c r="D2446" s="2" t="s">
        <v>10</v>
      </c>
      <c r="E2446" s="2" t="str">
        <f>HYPERLINK("http://ts.21cn.com/tousu/show/id/1333033","http://ts.21cn.com/tousu/show/id/1333033")</f>
        <v>http://ts.21cn.com/tousu/show/id/1333033</v>
      </c>
      <c r="F2446" s="2" t="s">
        <v>11</v>
      </c>
      <c r="G2446" s="2" t="s">
        <v>39328</v>
      </c>
      <c r="H2446" s="2" t="s">
        <v>39329</v>
      </c>
    </row>
    <row r="2447" spans="1:8" ht="25.05" customHeight="1" x14ac:dyDescent="0.25">
      <c r="A2447" s="2" t="s">
        <v>8</v>
      </c>
      <c r="B2447" s="2" t="str">
        <f>HYPERLINK("http://ts.21cn.com/tousu/show/id/1333034","在智行APPA上订酒店，酒店以无法查到订单为由不予确认订单，智行人工客服多次联系无人接听。缺消订单无法操作。希望尽快退款")</f>
        <v>在智行APPA上订酒店，酒店以无法查到订单为由不予确认订单，智行人工客服多次联系无人接听。缺消订单无法操作。希望尽快退款</v>
      </c>
      <c r="C2447" s="2" t="s">
        <v>9</v>
      </c>
      <c r="D2447" s="2" t="s">
        <v>10</v>
      </c>
      <c r="E2447" s="2" t="str">
        <f>HYPERLINK("http://ts.21cn.com/tousu/show/id/1333034","http://ts.21cn.com/tousu/show/id/1333034")</f>
        <v>http://ts.21cn.com/tousu/show/id/1333034</v>
      </c>
      <c r="F2447" s="2" t="s">
        <v>11</v>
      </c>
      <c r="G2447" s="2" t="s">
        <v>39326</v>
      </c>
      <c r="H2447" s="2" t="s">
        <v>39327</v>
      </c>
    </row>
    <row r="2448" spans="1:8" ht="25.05" customHeight="1" x14ac:dyDescent="0.25">
      <c r="A2448" s="2" t="s">
        <v>8</v>
      </c>
      <c r="B2448" s="2" t="str">
        <f>HYPERLINK("http://ts.21cn.com/tousu/show/id/1333035","电话骚扰")</f>
        <v>电话骚扰</v>
      </c>
      <c r="C2448" s="2" t="s">
        <v>9</v>
      </c>
      <c r="D2448" s="2" t="s">
        <v>10</v>
      </c>
      <c r="E2448" s="2" t="str">
        <f>HYPERLINK("http://ts.21cn.com/tousu/show/id/1333035","http://ts.21cn.com/tousu/show/id/1333035")</f>
        <v>http://ts.21cn.com/tousu/show/id/1333035</v>
      </c>
      <c r="F2448" s="2" t="s">
        <v>11</v>
      </c>
      <c r="G2448" s="2" t="s">
        <v>39324</v>
      </c>
      <c r="H2448" s="2" t="s">
        <v>39325</v>
      </c>
    </row>
    <row r="2449" spans="1:8" ht="25.05" customHeight="1" x14ac:dyDescent="0.25">
      <c r="A2449" s="2" t="s">
        <v>8</v>
      </c>
      <c r="B2449" s="2" t="str">
        <f>HYPERLINK("http://ts.21cn.com/tousu/show/id/1333036","钱站高利息逾期一天费用一百多!并且发短信威胁!")</f>
        <v>钱站高利息逾期一天费用一百多!并且发短信威胁!</v>
      </c>
      <c r="C2449" s="2" t="s">
        <v>9</v>
      </c>
      <c r="D2449" s="2" t="s">
        <v>10</v>
      </c>
      <c r="E2449" s="2" t="str">
        <f>HYPERLINK("http://ts.21cn.com/tousu/show/id/1333036","http://ts.21cn.com/tousu/show/id/1333036")</f>
        <v>http://ts.21cn.com/tousu/show/id/1333036</v>
      </c>
      <c r="F2449" s="2" t="s">
        <v>11</v>
      </c>
      <c r="G2449" s="2" t="s">
        <v>39322</v>
      </c>
      <c r="H2449" s="2" t="s">
        <v>39323</v>
      </c>
    </row>
    <row r="2450" spans="1:8" ht="25.05" customHeight="1" x14ac:dyDescent="0.25">
      <c r="A2450" s="2" t="s">
        <v>8</v>
      </c>
      <c r="B2450" s="2" t="str">
        <f>HYPERLINK("http://ts.21cn.com/tousu/show/id/1333037","砍头息")</f>
        <v>砍头息</v>
      </c>
      <c r="C2450" s="2" t="s">
        <v>34</v>
      </c>
      <c r="D2450" s="2" t="s">
        <v>10</v>
      </c>
      <c r="E2450" s="2" t="str">
        <f>HYPERLINK("http://ts.21cn.com/tousu/show/id/1333037","http://ts.21cn.com/tousu/show/id/1333037")</f>
        <v>http://ts.21cn.com/tousu/show/id/1333037</v>
      </c>
      <c r="F2450" s="2" t="s">
        <v>11</v>
      </c>
      <c r="G2450" s="2" t="s">
        <v>39320</v>
      </c>
      <c r="H2450" s="2" t="s">
        <v>39321</v>
      </c>
    </row>
    <row r="2451" spans="1:8" ht="25.05" customHeight="1" x14ac:dyDescent="0.25">
      <c r="A2451" s="2" t="s">
        <v>8</v>
      </c>
      <c r="B2451" s="2" t="str">
        <f>HYPERLINK("http://ts.21cn.com/tousu/show/id/1333038","百事普惠恶意扣款")</f>
        <v>百事普惠恶意扣款</v>
      </c>
      <c r="C2451" s="2" t="s">
        <v>9</v>
      </c>
      <c r="D2451" s="2" t="s">
        <v>10</v>
      </c>
      <c r="E2451" s="2" t="str">
        <f>HYPERLINK("http://ts.21cn.com/tousu/show/id/1333038","http://ts.21cn.com/tousu/show/id/1333038")</f>
        <v>http://ts.21cn.com/tousu/show/id/1333038</v>
      </c>
      <c r="F2451" s="2" t="s">
        <v>11</v>
      </c>
      <c r="G2451" s="2" t="s">
        <v>39318</v>
      </c>
      <c r="H2451" s="2" t="s">
        <v>39319</v>
      </c>
    </row>
    <row r="2452" spans="1:8" ht="25.05" customHeight="1" x14ac:dyDescent="0.25">
      <c r="A2452" s="2" t="s">
        <v>8</v>
      </c>
      <c r="B2452" s="2" t="str">
        <f>HYPERLINK("http://ts.21cn.com/tousu/show/id/1333039","双鱼钱包高利息强制下款")</f>
        <v>双鱼钱包高利息强制下款</v>
      </c>
      <c r="C2452" s="2" t="s">
        <v>34</v>
      </c>
      <c r="D2452" s="2" t="s">
        <v>10</v>
      </c>
      <c r="E2452" s="2" t="str">
        <f>HYPERLINK("http://ts.21cn.com/tousu/show/id/1333039","http://ts.21cn.com/tousu/show/id/1333039")</f>
        <v>http://ts.21cn.com/tousu/show/id/1333039</v>
      </c>
      <c r="F2452" s="2" t="s">
        <v>11</v>
      </c>
      <c r="G2452" s="2" t="s">
        <v>39316</v>
      </c>
      <c r="H2452" s="2" t="s">
        <v>39317</v>
      </c>
    </row>
    <row r="2453" spans="1:8" ht="25.05" customHeight="1" x14ac:dyDescent="0.25">
      <c r="A2453" s="2" t="s">
        <v>8</v>
      </c>
      <c r="B2453" s="2" t="str">
        <f>HYPERLINK("http://ts.21cn.com/tousu/show/id/1333040","微博恶意催收")</f>
        <v>微博恶意催收</v>
      </c>
      <c r="C2453" s="2" t="s">
        <v>9</v>
      </c>
      <c r="D2453" s="2" t="s">
        <v>10</v>
      </c>
      <c r="E2453" s="2" t="str">
        <f>HYPERLINK("http://ts.21cn.com/tousu/show/id/1333040","http://ts.21cn.com/tousu/show/id/1333040")</f>
        <v>http://ts.21cn.com/tousu/show/id/1333040</v>
      </c>
      <c r="F2453" s="2" t="s">
        <v>11</v>
      </c>
      <c r="G2453" s="2" t="s">
        <v>39314</v>
      </c>
      <c r="H2453" s="2" t="s">
        <v>39315</v>
      </c>
    </row>
    <row r="2454" spans="1:8" ht="25.05" customHeight="1" x14ac:dyDescent="0.25">
      <c r="A2454" s="2" t="s">
        <v>8</v>
      </c>
      <c r="B2454" s="2" t="str">
        <f>HYPERLINK("http://ts.21cn.com/tousu/show/id/1333041","利息太高了，已经超出国家规定")</f>
        <v>利息太高了，已经超出国家规定</v>
      </c>
      <c r="C2454" s="2" t="s">
        <v>9</v>
      </c>
      <c r="D2454" s="2" t="s">
        <v>10</v>
      </c>
      <c r="E2454" s="2" t="str">
        <f>HYPERLINK("http://ts.21cn.com/tousu/show/id/1333041","http://ts.21cn.com/tousu/show/id/1333041")</f>
        <v>http://ts.21cn.com/tousu/show/id/1333041</v>
      </c>
      <c r="F2454" s="2" t="s">
        <v>11</v>
      </c>
      <c r="G2454" s="2" t="s">
        <v>39312</v>
      </c>
      <c r="H2454" s="2" t="s">
        <v>39313</v>
      </c>
    </row>
    <row r="2455" spans="1:8" ht="25.05" customHeight="1" x14ac:dyDescent="0.25">
      <c r="A2455" s="2" t="s">
        <v>8</v>
      </c>
      <c r="B2455" s="2" t="str">
        <f>HYPERLINK("http://ts.21cn.com/tousu/show/id/1333042","渤海国际信托随意扣款")</f>
        <v>渤海国际信托随意扣款</v>
      </c>
      <c r="C2455" s="2" t="s">
        <v>9</v>
      </c>
      <c r="D2455" s="2" t="s">
        <v>10</v>
      </c>
      <c r="E2455" s="2" t="str">
        <f>HYPERLINK("http://ts.21cn.com/tousu/show/id/1333042","http://ts.21cn.com/tousu/show/id/1333042")</f>
        <v>http://ts.21cn.com/tousu/show/id/1333042</v>
      </c>
      <c r="F2455" s="2" t="s">
        <v>11</v>
      </c>
      <c r="G2455" s="2" t="s">
        <v>39310</v>
      </c>
      <c r="H2455" s="2" t="s">
        <v>39311</v>
      </c>
    </row>
    <row r="2456" spans="1:8" ht="25.05" customHeight="1" x14ac:dyDescent="0.25">
      <c r="A2456" s="2" t="s">
        <v>8</v>
      </c>
      <c r="B2456" s="2" t="str">
        <f>HYPERLINK("http://ts.21cn.com/tousu/show/id/1333043","投诉首约客服不作为")</f>
        <v>投诉首约客服不作为</v>
      </c>
      <c r="C2456" s="2" t="s">
        <v>9</v>
      </c>
      <c r="D2456" s="2" t="s">
        <v>10</v>
      </c>
      <c r="E2456" s="2" t="str">
        <f>HYPERLINK("http://ts.21cn.com/tousu/show/id/1333043","http://ts.21cn.com/tousu/show/id/1333043")</f>
        <v>http://ts.21cn.com/tousu/show/id/1333043</v>
      </c>
      <c r="F2456" s="2" t="s">
        <v>11</v>
      </c>
      <c r="G2456" s="2" t="s">
        <v>39308</v>
      </c>
      <c r="H2456" s="2" t="s">
        <v>39309</v>
      </c>
    </row>
    <row r="2457" spans="1:8" ht="25.05" customHeight="1" x14ac:dyDescent="0.25">
      <c r="A2457" s="2" t="s">
        <v>8</v>
      </c>
      <c r="B2457" s="2" t="str">
        <f>HYPERLINK("http://ts.21cn.com/tousu/show/id/1333044","无故扣款客服不退还")</f>
        <v>无故扣款客服不退还</v>
      </c>
      <c r="C2457" s="2" t="s">
        <v>9</v>
      </c>
      <c r="D2457" s="2" t="s">
        <v>10</v>
      </c>
      <c r="E2457" s="2" t="str">
        <f>HYPERLINK("http://ts.21cn.com/tousu/show/id/1333044","http://ts.21cn.com/tousu/show/id/1333044")</f>
        <v>http://ts.21cn.com/tousu/show/id/1333044</v>
      </c>
      <c r="F2457" s="2" t="s">
        <v>11</v>
      </c>
      <c r="G2457" s="2" t="s">
        <v>39306</v>
      </c>
      <c r="H2457" s="2" t="s">
        <v>39307</v>
      </c>
    </row>
    <row r="2458" spans="1:8" ht="25.05" customHeight="1" x14ac:dyDescent="0.25">
      <c r="A2458" s="2" t="s">
        <v>8</v>
      </c>
      <c r="B2458" s="2" t="str">
        <f>HYPERLINK("http://ts.21cn.com/tousu/show/id/1333045","有钱用")</f>
        <v>有钱用</v>
      </c>
      <c r="C2458" s="2" t="s">
        <v>9</v>
      </c>
      <c r="D2458" s="2" t="s">
        <v>10</v>
      </c>
      <c r="E2458" s="2" t="str">
        <f>HYPERLINK("http://ts.21cn.com/tousu/show/id/1333045","http://ts.21cn.com/tousu/show/id/1333045")</f>
        <v>http://ts.21cn.com/tousu/show/id/1333045</v>
      </c>
      <c r="F2458" s="2" t="s">
        <v>11</v>
      </c>
      <c r="G2458" s="2" t="s">
        <v>39304</v>
      </c>
      <c r="H2458" s="2" t="s">
        <v>39305</v>
      </c>
    </row>
    <row r="2459" spans="1:8" ht="25.05" customHeight="1" x14ac:dyDescent="0.25">
      <c r="A2459" s="2" t="s">
        <v>8</v>
      </c>
      <c r="B2459" s="2" t="str">
        <f>HYPERLINK("http://ts.21cn.com/tousu/show/id/1333046","上海造艺网络有限公司乱银行卡里的钱")</f>
        <v>上海造艺网络有限公司乱银行卡里的钱</v>
      </c>
      <c r="C2459" s="2" t="s">
        <v>9</v>
      </c>
      <c r="D2459" s="2" t="s">
        <v>10</v>
      </c>
      <c r="E2459" s="2" t="str">
        <f>HYPERLINK("http://ts.21cn.com/tousu/show/id/1333046","http://ts.21cn.com/tousu/show/id/1333046")</f>
        <v>http://ts.21cn.com/tousu/show/id/1333046</v>
      </c>
      <c r="F2459" s="2" t="s">
        <v>11</v>
      </c>
      <c r="G2459" s="2" t="s">
        <v>39302</v>
      </c>
      <c r="H2459" s="2" t="s">
        <v>39303</v>
      </c>
    </row>
    <row r="2460" spans="1:8" ht="25.05" customHeight="1" x14ac:dyDescent="0.25">
      <c r="A2460" s="2" t="s">
        <v>8</v>
      </c>
      <c r="B2460" s="2" t="str">
        <f>HYPERLINK("http://ts.21cn.com/tousu/show/id/1333049","贷上钱以买游戏豆为由收取高额贷款通过费")</f>
        <v>贷上钱以买游戏豆为由收取高额贷款通过费</v>
      </c>
      <c r="C2460" s="2" t="s">
        <v>9</v>
      </c>
      <c r="D2460" s="2" t="s">
        <v>10</v>
      </c>
      <c r="E2460" s="2" t="str">
        <f>HYPERLINK("http://ts.21cn.com/tousu/show/id/1333049","http://ts.21cn.com/tousu/show/id/1333049")</f>
        <v>http://ts.21cn.com/tousu/show/id/1333049</v>
      </c>
      <c r="F2460" s="2" t="s">
        <v>11</v>
      </c>
      <c r="G2460" s="2" t="s">
        <v>39300</v>
      </c>
      <c r="H2460" s="2" t="s">
        <v>39301</v>
      </c>
    </row>
    <row r="2461" spans="1:8" ht="25.05" customHeight="1" x14ac:dyDescent="0.25">
      <c r="A2461" s="2" t="s">
        <v>8</v>
      </c>
      <c r="B2461" s="2" t="str">
        <f>HYPERLINK("http://ts.21cn.com/tousu/show/id/1333051","买票看错了，客服不给予退款")</f>
        <v>买票看错了，客服不给予退款</v>
      </c>
      <c r="C2461" s="2" t="s">
        <v>9</v>
      </c>
      <c r="D2461" s="2" t="s">
        <v>10</v>
      </c>
      <c r="E2461" s="2" t="str">
        <f>HYPERLINK("http://ts.21cn.com/tousu/show/id/1333051","http://ts.21cn.com/tousu/show/id/1333051")</f>
        <v>http://ts.21cn.com/tousu/show/id/1333051</v>
      </c>
      <c r="F2461" s="2" t="s">
        <v>11</v>
      </c>
      <c r="G2461" s="2" t="s">
        <v>39297</v>
      </c>
      <c r="H2461" s="2" t="s">
        <v>39298</v>
      </c>
    </row>
    <row r="2462" spans="1:8" ht="25.05" customHeight="1" x14ac:dyDescent="0.25">
      <c r="A2462" s="2" t="s">
        <v>8</v>
      </c>
      <c r="B2462" s="2" t="str">
        <f>HYPERLINK("http://ts.21cn.com/tousu/show/id/1333050","对方谎称为兼职中介索取我200元后拉黑了我")</f>
        <v>对方谎称为兼职中介索取我200元后拉黑了我</v>
      </c>
      <c r="C2462" s="2" t="s">
        <v>9</v>
      </c>
      <c r="D2462" s="2" t="s">
        <v>10</v>
      </c>
      <c r="E2462" s="2" t="str">
        <f>HYPERLINK("http://ts.21cn.com/tousu/show/id/1333050","http://ts.21cn.com/tousu/show/id/1333050")</f>
        <v>http://ts.21cn.com/tousu/show/id/1333050</v>
      </c>
      <c r="F2462" s="2" t="s">
        <v>11</v>
      </c>
      <c r="G2462" s="2" t="s">
        <v>39297</v>
      </c>
      <c r="H2462" s="2" t="s">
        <v>39299</v>
      </c>
    </row>
    <row r="2463" spans="1:8" ht="25.05" customHeight="1" x14ac:dyDescent="0.25">
      <c r="A2463" s="2" t="s">
        <v>8</v>
      </c>
      <c r="B2463" s="2" t="str">
        <f>HYPERLINK("http://ts.21cn.com/tousu/show/id/1333052","小浦优客无故扣款296")</f>
        <v>小浦优客无故扣款296</v>
      </c>
      <c r="C2463" s="2" t="s">
        <v>9</v>
      </c>
      <c r="D2463" s="2" t="s">
        <v>10</v>
      </c>
      <c r="E2463" s="2" t="str">
        <f>HYPERLINK("http://ts.21cn.com/tousu/show/id/1333052","http://ts.21cn.com/tousu/show/id/1333052")</f>
        <v>http://ts.21cn.com/tousu/show/id/1333052</v>
      </c>
      <c r="F2463" s="2" t="s">
        <v>11</v>
      </c>
      <c r="G2463" s="2" t="s">
        <v>39295</v>
      </c>
      <c r="H2463" s="2" t="s">
        <v>39296</v>
      </c>
    </row>
    <row r="2464" spans="1:8" ht="25.05" customHeight="1" x14ac:dyDescent="0.25">
      <c r="A2464" s="2" t="s">
        <v>8</v>
      </c>
      <c r="B2464" s="2" t="str">
        <f>HYPERLINK("http://ts.21cn.com/tousu/show/id/1333054","购分期没告知贷款人开通会员误导贷款人确认开通，强行从卡内扣款")</f>
        <v>购分期没告知贷款人开通会员误导贷款人确认开通，强行从卡内扣款</v>
      </c>
      <c r="C2464" s="2" t="s">
        <v>9</v>
      </c>
      <c r="D2464" s="2" t="s">
        <v>10</v>
      </c>
      <c r="E2464" s="2" t="str">
        <f>HYPERLINK("http://ts.21cn.com/tousu/show/id/1333054","http://ts.21cn.com/tousu/show/id/1333054")</f>
        <v>http://ts.21cn.com/tousu/show/id/1333054</v>
      </c>
      <c r="F2464" s="2" t="s">
        <v>11</v>
      </c>
      <c r="G2464" s="2" t="s">
        <v>39293</v>
      </c>
      <c r="H2464" s="2" t="s">
        <v>39294</v>
      </c>
    </row>
    <row r="2465" spans="1:8" ht="25.05" customHeight="1" x14ac:dyDescent="0.25">
      <c r="A2465" s="2" t="s">
        <v>8</v>
      </c>
      <c r="B2465" s="2" t="str">
        <f>HYPERLINK("http://ts.21cn.com/tousu/show/id/1333055","汇潮支付和714合作盗刷银行卡")</f>
        <v>汇潮支付和714合作盗刷银行卡</v>
      </c>
      <c r="C2465" s="2" t="s">
        <v>9</v>
      </c>
      <c r="D2465" s="2" t="s">
        <v>10</v>
      </c>
      <c r="E2465" s="2" t="str">
        <f>HYPERLINK("http://ts.21cn.com/tousu/show/id/1333055","http://ts.21cn.com/tousu/show/id/1333055")</f>
        <v>http://ts.21cn.com/tousu/show/id/1333055</v>
      </c>
      <c r="F2465" s="2" t="s">
        <v>11</v>
      </c>
      <c r="G2465" s="2" t="s">
        <v>39291</v>
      </c>
      <c r="H2465" s="2" t="s">
        <v>39292</v>
      </c>
    </row>
    <row r="2466" spans="1:8" ht="25.05" customHeight="1" x14ac:dyDescent="0.25">
      <c r="A2466" s="2" t="s">
        <v>8</v>
      </c>
      <c r="B2466" s="2" t="str">
        <f>HYPERLINK("http://ts.21cn.com/tousu/show/id/1333056","甜甜圈没有逾期就遭暴力催收")</f>
        <v>甜甜圈没有逾期就遭暴力催收</v>
      </c>
      <c r="C2466" s="2" t="s">
        <v>9</v>
      </c>
      <c r="D2466" s="2" t="s">
        <v>10</v>
      </c>
      <c r="E2466" s="2" t="str">
        <f>HYPERLINK("http://ts.21cn.com/tousu/show/id/1333056","http://ts.21cn.com/tousu/show/id/1333056")</f>
        <v>http://ts.21cn.com/tousu/show/id/1333056</v>
      </c>
      <c r="F2466" s="2" t="s">
        <v>11</v>
      </c>
      <c r="G2466" s="2" t="s">
        <v>39289</v>
      </c>
      <c r="H2466" s="2" t="s">
        <v>39290</v>
      </c>
    </row>
    <row r="2467" spans="1:8" ht="25.05" customHeight="1" x14ac:dyDescent="0.25">
      <c r="A2467" s="2" t="s">
        <v>8</v>
      </c>
      <c r="B2467" s="2" t="str">
        <f>HYPERLINK("http://ts.21cn.com/tousu/show/id/1333057","卖家超卖发假货")</f>
        <v>卖家超卖发假货</v>
      </c>
      <c r="C2467" s="2" t="s">
        <v>9</v>
      </c>
      <c r="D2467" s="2" t="s">
        <v>10</v>
      </c>
      <c r="E2467" s="2" t="str">
        <f>HYPERLINK("http://ts.21cn.com/tousu/show/id/1333057","http://ts.21cn.com/tousu/show/id/1333057")</f>
        <v>http://ts.21cn.com/tousu/show/id/1333057</v>
      </c>
      <c r="F2467" s="2" t="s">
        <v>11</v>
      </c>
      <c r="G2467" s="2" t="s">
        <v>39287</v>
      </c>
      <c r="H2467" s="2" t="s">
        <v>39288</v>
      </c>
    </row>
    <row r="2468" spans="1:8" ht="25.05" customHeight="1" x14ac:dyDescent="0.25">
      <c r="A2468" s="2" t="s">
        <v>8</v>
      </c>
      <c r="B2468" s="2" t="str">
        <f>HYPERLINK("http://ts.21cn.com/tousu/show/id/1333058","高利贷，要求协商减免并分期还款")</f>
        <v>高利贷，要求协商减免并分期还款</v>
      </c>
      <c r="C2468" s="2" t="s">
        <v>9</v>
      </c>
      <c r="D2468" s="2" t="s">
        <v>10</v>
      </c>
      <c r="E2468" s="2" t="str">
        <f>HYPERLINK("http://ts.21cn.com/tousu/show/id/1333058","http://ts.21cn.com/tousu/show/id/1333058")</f>
        <v>http://ts.21cn.com/tousu/show/id/1333058</v>
      </c>
      <c r="F2468" s="2" t="s">
        <v>11</v>
      </c>
      <c r="G2468" s="2" t="s">
        <v>39285</v>
      </c>
      <c r="H2468" s="2" t="s">
        <v>39286</v>
      </c>
    </row>
    <row r="2469" spans="1:8" ht="25.05" customHeight="1" x14ac:dyDescent="0.25">
      <c r="A2469" s="2" t="s">
        <v>8</v>
      </c>
      <c r="B2469" s="2" t="str">
        <f>HYPERLINK("http://ts.21cn.com/tousu/show/id/1333059","小花呗高额砍头息")</f>
        <v>小花呗高额砍头息</v>
      </c>
      <c r="C2469" s="2" t="s">
        <v>9</v>
      </c>
      <c r="D2469" s="2" t="s">
        <v>10</v>
      </c>
      <c r="E2469" s="2" t="str">
        <f>HYPERLINK("http://ts.21cn.com/tousu/show/id/1333059","http://ts.21cn.com/tousu/show/id/1333059")</f>
        <v>http://ts.21cn.com/tousu/show/id/1333059</v>
      </c>
      <c r="F2469" s="2" t="s">
        <v>11</v>
      </c>
      <c r="G2469" s="2" t="s">
        <v>39283</v>
      </c>
      <c r="H2469" s="2" t="s">
        <v>39284</v>
      </c>
    </row>
    <row r="2470" spans="1:8" ht="25.05" customHeight="1" x14ac:dyDescent="0.25">
      <c r="A2470" s="2" t="s">
        <v>8</v>
      </c>
      <c r="B2470" s="2" t="str">
        <f>HYPERLINK("http://ts.21cn.com/tousu/show/id/1333060","银码头不借贷款还不退申请费")</f>
        <v>银码头不借贷款还不退申请费</v>
      </c>
      <c r="C2470" s="2" t="s">
        <v>9</v>
      </c>
      <c r="D2470" s="2" t="s">
        <v>10</v>
      </c>
      <c r="E2470" s="2" t="str">
        <f>HYPERLINK("http://ts.21cn.com/tousu/show/id/1333060","http://ts.21cn.com/tousu/show/id/1333060")</f>
        <v>http://ts.21cn.com/tousu/show/id/1333060</v>
      </c>
      <c r="F2470" s="2" t="s">
        <v>11</v>
      </c>
      <c r="G2470" s="2" t="s">
        <v>39281</v>
      </c>
      <c r="H2470" s="2" t="s">
        <v>39282</v>
      </c>
    </row>
    <row r="2471" spans="1:8" ht="25.05" customHeight="1" x14ac:dyDescent="0.25">
      <c r="A2471" s="2" t="s">
        <v>8</v>
      </c>
      <c r="B2471" s="2" t="str">
        <f>HYPERLINK("http://ts.21cn.com/tousu/show/id/1333053","微信官方无故永久冻结我的资金")</f>
        <v>微信官方无故永久冻结我的资金</v>
      </c>
      <c r="C2471" s="2" t="s">
        <v>9</v>
      </c>
      <c r="D2471" s="2" t="s">
        <v>10</v>
      </c>
      <c r="E2471" s="2" t="str">
        <f>HYPERLINK("http://ts.21cn.com/tousu/show/id/1333053","http://ts.21cn.com/tousu/show/id/1333053")</f>
        <v>http://ts.21cn.com/tousu/show/id/1333053</v>
      </c>
      <c r="F2471" s="2" t="s">
        <v>11</v>
      </c>
      <c r="G2471" s="2" t="s">
        <v>39279</v>
      </c>
      <c r="H2471" s="2" t="s">
        <v>39280</v>
      </c>
    </row>
    <row r="2472" spans="1:8" ht="25.05" customHeight="1" x14ac:dyDescent="0.25">
      <c r="A2472" s="2" t="s">
        <v>8</v>
      </c>
      <c r="B2472" s="2" t="str">
        <f>HYPERLINK("http://ts.21cn.com/tousu/show/id/1333061","我没有在小通商城办过贷款，但是小通商城恶意扣款")</f>
        <v>我没有在小通商城办过贷款，但是小通商城恶意扣款</v>
      </c>
      <c r="C2472" s="2" t="s">
        <v>9</v>
      </c>
      <c r="D2472" s="2" t="s">
        <v>10</v>
      </c>
      <c r="E2472" s="2" t="str">
        <f>HYPERLINK("http://ts.21cn.com/tousu/show/id/1333061","http://ts.21cn.com/tousu/show/id/1333061")</f>
        <v>http://ts.21cn.com/tousu/show/id/1333061</v>
      </c>
      <c r="F2472" s="2" t="s">
        <v>11</v>
      </c>
      <c r="G2472" s="2" t="s">
        <v>39277</v>
      </c>
      <c r="H2472" s="2" t="s">
        <v>39278</v>
      </c>
    </row>
    <row r="2473" spans="1:8" ht="25.05" customHeight="1" x14ac:dyDescent="0.25">
      <c r="A2473" s="2" t="s">
        <v>8</v>
      </c>
      <c r="B2473" s="2" t="str">
        <f>HYPERLINK("http://ts.21cn.com/tousu/show/id/1333062","第一次体验京东这么差的自营产品")</f>
        <v>第一次体验京东这么差的自营产品</v>
      </c>
      <c r="C2473" s="2" t="s">
        <v>9</v>
      </c>
      <c r="D2473" s="2" t="s">
        <v>10</v>
      </c>
      <c r="E2473" s="2" t="str">
        <f>HYPERLINK("http://ts.21cn.com/tousu/show/id/1333062","http://ts.21cn.com/tousu/show/id/1333062")</f>
        <v>http://ts.21cn.com/tousu/show/id/1333062</v>
      </c>
      <c r="F2473" s="2" t="s">
        <v>11</v>
      </c>
      <c r="G2473" s="2" t="s">
        <v>39275</v>
      </c>
      <c r="H2473" s="2" t="s">
        <v>39276</v>
      </c>
    </row>
    <row r="2474" spans="1:8" ht="25.05" customHeight="1" x14ac:dyDescent="0.25">
      <c r="A2474" s="2" t="s">
        <v>8</v>
      </c>
      <c r="B2474" s="2" t="str">
        <f>HYPERLINK("http://ts.21cn.com/tousu/show/id/1333064","铁友捆绑消费要求取消购买酒店优惠券费用")</f>
        <v>铁友捆绑消费要求取消购买酒店优惠券费用</v>
      </c>
      <c r="C2474" s="2" t="s">
        <v>34</v>
      </c>
      <c r="D2474" s="2" t="s">
        <v>10</v>
      </c>
      <c r="E2474" s="2" t="str">
        <f>HYPERLINK("http://ts.21cn.com/tousu/show/id/1333064","http://ts.21cn.com/tousu/show/id/1333064")</f>
        <v>http://ts.21cn.com/tousu/show/id/1333064</v>
      </c>
      <c r="F2474" s="2" t="s">
        <v>11</v>
      </c>
      <c r="G2474" s="2" t="s">
        <v>39273</v>
      </c>
      <c r="H2474" s="2" t="s">
        <v>39274</v>
      </c>
    </row>
    <row r="2475" spans="1:8" ht="25.05" customHeight="1" x14ac:dyDescent="0.25">
      <c r="A2475" s="2" t="s">
        <v>8</v>
      </c>
      <c r="B2475" s="2" t="str">
        <f>HYPERLINK("http://ts.21cn.com/tousu/show/id/1333065","松紧带暴力催收电话骂人")</f>
        <v>松紧带暴力催收电话骂人</v>
      </c>
      <c r="C2475" s="2" t="s">
        <v>9</v>
      </c>
      <c r="D2475" s="2" t="s">
        <v>10</v>
      </c>
      <c r="E2475" s="2" t="str">
        <f>HYPERLINK("http://ts.21cn.com/tousu/show/id/1333065","http://ts.21cn.com/tousu/show/id/1333065")</f>
        <v>http://ts.21cn.com/tousu/show/id/1333065</v>
      </c>
      <c r="F2475" s="2" t="s">
        <v>11</v>
      </c>
      <c r="G2475" s="2" t="s">
        <v>39271</v>
      </c>
      <c r="H2475" s="2" t="s">
        <v>39272</v>
      </c>
    </row>
    <row r="2476" spans="1:8" ht="25.05" customHeight="1" x14ac:dyDescent="0.25">
      <c r="A2476" s="2" t="s">
        <v>8</v>
      </c>
      <c r="B2476" s="2" t="str">
        <f>HYPERLINK("http://ts.21cn.com/tousu/show/id/1333066","在聚投诉做任务赏主故意发布任务自相矛盾。客服当时都不带理会。然后今天客服让我取消聚投诉给我处理，最后赏主跑了告诉我处理不")</f>
        <v>在聚投诉做任务赏主故意发布任务自相矛盾。客服当时都不带理会。然后今天客服让我取消聚投诉给我处理，最后赏主跑了告诉我处理不</v>
      </c>
      <c r="C2476" s="2" t="s">
        <v>34</v>
      </c>
      <c r="D2476" s="2" t="s">
        <v>10</v>
      </c>
      <c r="E2476" s="2" t="str">
        <f>HYPERLINK("http://ts.21cn.com/tousu/show/id/1333066","http://ts.21cn.com/tousu/show/id/1333066")</f>
        <v>http://ts.21cn.com/tousu/show/id/1333066</v>
      </c>
      <c r="F2476" s="2" t="s">
        <v>11</v>
      </c>
      <c r="G2476" s="2" t="s">
        <v>39269</v>
      </c>
      <c r="H2476" s="2" t="s">
        <v>39270</v>
      </c>
    </row>
    <row r="2477" spans="1:8" ht="25.05" customHeight="1" x14ac:dyDescent="0.25">
      <c r="A2477" s="2" t="s">
        <v>8</v>
      </c>
      <c r="B2477" s="2" t="str">
        <f>HYPERLINK("http://ts.21cn.com/tousu/show/id/1333068","第三方支付公司通过云闪付替非法博彩网站洗钱.要求退回资金")</f>
        <v>第三方支付公司通过云闪付替非法博彩网站洗钱.要求退回资金</v>
      </c>
      <c r="C2477" s="2" t="s">
        <v>9</v>
      </c>
      <c r="D2477" s="2" t="s">
        <v>10</v>
      </c>
      <c r="E2477" s="2" t="str">
        <f>HYPERLINK("http://ts.21cn.com/tousu/show/id/1333068","http://ts.21cn.com/tousu/show/id/1333068")</f>
        <v>http://ts.21cn.com/tousu/show/id/1333068</v>
      </c>
      <c r="F2477" s="2" t="s">
        <v>11</v>
      </c>
      <c r="G2477" s="2" t="s">
        <v>39267</v>
      </c>
      <c r="H2477" s="2" t="s">
        <v>39268</v>
      </c>
    </row>
    <row r="2478" spans="1:8" ht="25.05" customHeight="1" x14ac:dyDescent="0.25">
      <c r="A2478" s="2" t="s">
        <v>8</v>
      </c>
      <c r="B2478" s="2" t="str">
        <f>HYPERLINK("http://ts.21cn.com/tousu/show/id/1333069","北京友缘在线网络科技股份有限公司在我不知情下恶意扣款自动绑定免密支付")</f>
        <v>北京友缘在线网络科技股份有限公司在我不知情下恶意扣款自动绑定免密支付</v>
      </c>
      <c r="C2478" s="2" t="s">
        <v>9</v>
      </c>
      <c r="D2478" s="2" t="s">
        <v>10</v>
      </c>
      <c r="E2478" s="2" t="str">
        <f>HYPERLINK("http://ts.21cn.com/tousu/show/id/1333069","http://ts.21cn.com/tousu/show/id/1333069")</f>
        <v>http://ts.21cn.com/tousu/show/id/1333069</v>
      </c>
      <c r="F2478" s="2" t="s">
        <v>11</v>
      </c>
      <c r="G2478" s="2" t="s">
        <v>39265</v>
      </c>
      <c r="H2478" s="2" t="s">
        <v>39266</v>
      </c>
    </row>
    <row r="2479" spans="1:8" ht="25.05" customHeight="1" x14ac:dyDescent="0.25">
      <c r="A2479" s="2" t="s">
        <v>8</v>
      </c>
      <c r="B2479" s="2" t="str">
        <f>HYPERLINK("http://ts.21cn.com/tousu/show/id/1333071","寄存在nice闪购的无瑕疵鞋子召回之后出现瑕疵，nice拒不认账")</f>
        <v>寄存在nice闪购的无瑕疵鞋子召回之后出现瑕疵，nice拒不认账</v>
      </c>
      <c r="C2479" s="2" t="s">
        <v>9</v>
      </c>
      <c r="D2479" s="2" t="s">
        <v>10</v>
      </c>
      <c r="E2479" s="2" t="str">
        <f>HYPERLINK("http://ts.21cn.com/tousu/show/id/1333071","http://ts.21cn.com/tousu/show/id/1333071")</f>
        <v>http://ts.21cn.com/tousu/show/id/1333071</v>
      </c>
      <c r="F2479" s="2" t="s">
        <v>11</v>
      </c>
      <c r="G2479" s="2" t="s">
        <v>39263</v>
      </c>
      <c r="H2479" s="2" t="s">
        <v>39264</v>
      </c>
    </row>
    <row r="2480" spans="1:8" ht="25.05" customHeight="1" x14ac:dyDescent="0.25">
      <c r="A2480" s="2" t="s">
        <v>8</v>
      </c>
      <c r="B2480" s="2" t="str">
        <f>HYPERLINK("http://ts.21cn.com/tousu/show/id/1333072","嘀嗒出行车主拖延时间绕路导致赶不上火车致电嘀嗒客服推卸责任态度恶劣")</f>
        <v>嘀嗒出行车主拖延时间绕路导致赶不上火车致电嘀嗒客服推卸责任态度恶劣</v>
      </c>
      <c r="C2480" s="2" t="s">
        <v>9</v>
      </c>
      <c r="D2480" s="2" t="s">
        <v>10</v>
      </c>
      <c r="E2480" s="2" t="str">
        <f>HYPERLINK("http://ts.21cn.com/tousu/show/id/1333072","http://ts.21cn.com/tousu/show/id/1333072")</f>
        <v>http://ts.21cn.com/tousu/show/id/1333072</v>
      </c>
      <c r="F2480" s="2" t="s">
        <v>11</v>
      </c>
      <c r="G2480" s="2" t="s">
        <v>39261</v>
      </c>
      <c r="H2480" s="2" t="s">
        <v>39262</v>
      </c>
    </row>
    <row r="2481" spans="1:8" ht="25.05" customHeight="1" x14ac:dyDescent="0.25">
      <c r="A2481" s="2" t="s">
        <v>8</v>
      </c>
      <c r="B2481" s="2" t="str">
        <f>HYPERLINK("http://ts.21cn.com/tousu/show/id/1333073","钱站逾期一天，逾期费二百块钱，协商不给减免")</f>
        <v>钱站逾期一天，逾期费二百块钱，协商不给减免</v>
      </c>
      <c r="C2481" s="2" t="s">
        <v>9</v>
      </c>
      <c r="D2481" s="2" t="s">
        <v>10</v>
      </c>
      <c r="E2481" s="2" t="str">
        <f>HYPERLINK("http://ts.21cn.com/tousu/show/id/1333073","http://ts.21cn.com/tousu/show/id/1333073")</f>
        <v>http://ts.21cn.com/tousu/show/id/1333073</v>
      </c>
      <c r="F2481" s="2" t="s">
        <v>11</v>
      </c>
      <c r="G2481" s="2" t="s">
        <v>39259</v>
      </c>
      <c r="H2481" s="2" t="s">
        <v>39260</v>
      </c>
    </row>
    <row r="2482" spans="1:8" ht="25.05" customHeight="1" x14ac:dyDescent="0.25">
      <c r="A2482" s="2" t="s">
        <v>8</v>
      </c>
      <c r="B2482" s="2" t="str">
        <f>HYPERLINK("http://ts.21cn.com/tousu/show/id/1333074","饿了么店大欺客，恶意禁止消费者下单")</f>
        <v>饿了么店大欺客，恶意禁止消费者下单</v>
      </c>
      <c r="C2482" s="2" t="s">
        <v>9</v>
      </c>
      <c r="D2482" s="2" t="s">
        <v>10</v>
      </c>
      <c r="E2482" s="2" t="str">
        <f>HYPERLINK("http://ts.21cn.com/tousu/show/id/1333074","http://ts.21cn.com/tousu/show/id/1333074")</f>
        <v>http://ts.21cn.com/tousu/show/id/1333074</v>
      </c>
      <c r="F2482" s="2" t="s">
        <v>11</v>
      </c>
      <c r="G2482" s="2" t="s">
        <v>39257</v>
      </c>
      <c r="H2482" s="2" t="s">
        <v>39258</v>
      </c>
    </row>
    <row r="2483" spans="1:8" ht="25.05" customHeight="1" x14ac:dyDescent="0.25">
      <c r="A2483" s="2" t="s">
        <v>8</v>
      </c>
      <c r="B2483" s="2" t="str">
        <f>HYPERLINK("http://ts.21cn.com/tousu/show/id/1333075","51人品贷暴力催收")</f>
        <v>51人品贷暴力催收</v>
      </c>
      <c r="C2483" s="2" t="s">
        <v>9</v>
      </c>
      <c r="D2483" s="2" t="s">
        <v>10</v>
      </c>
      <c r="E2483" s="2" t="str">
        <f>HYPERLINK("http://ts.21cn.com/tousu/show/id/1333075","http://ts.21cn.com/tousu/show/id/1333075")</f>
        <v>http://ts.21cn.com/tousu/show/id/1333075</v>
      </c>
      <c r="F2483" s="2" t="s">
        <v>11</v>
      </c>
      <c r="G2483" s="2" t="s">
        <v>39255</v>
      </c>
      <c r="H2483" s="2" t="s">
        <v>39256</v>
      </c>
    </row>
    <row r="2484" spans="1:8" ht="25.05" customHeight="1" x14ac:dyDescent="0.25">
      <c r="A2484" s="2" t="s">
        <v>8</v>
      </c>
      <c r="B2484" s="2" t="str">
        <f>HYPERLINK("http://ts.21cn.com/tousu/show/id/1333077","本金一还清，利息要求按照国家利息给")</f>
        <v>本金一还清，利息要求按照国家利息给</v>
      </c>
      <c r="C2484" s="2" t="s">
        <v>34</v>
      </c>
      <c r="D2484" s="2" t="s">
        <v>10</v>
      </c>
      <c r="E2484" s="2" t="str">
        <f>HYPERLINK("http://ts.21cn.com/tousu/show/id/1333077","http://ts.21cn.com/tousu/show/id/1333077")</f>
        <v>http://ts.21cn.com/tousu/show/id/1333077</v>
      </c>
      <c r="F2484" s="2" t="s">
        <v>11</v>
      </c>
      <c r="G2484" s="2" t="s">
        <v>39254</v>
      </c>
      <c r="H2484" s="2" t="s">
        <v>39063</v>
      </c>
    </row>
    <row r="2485" spans="1:8" ht="25.05" customHeight="1" x14ac:dyDescent="0.25">
      <c r="A2485" s="2" t="s">
        <v>8</v>
      </c>
      <c r="B2485" s="2" t="str">
        <f>HYPERLINK("http://ts.21cn.com/tousu/show/id/1333078","违规向非法网站提供资金结算")</f>
        <v>违规向非法网站提供资金结算</v>
      </c>
      <c r="C2485" s="2" t="s">
        <v>9</v>
      </c>
      <c r="D2485" s="2" t="s">
        <v>10</v>
      </c>
      <c r="E2485" s="2" t="str">
        <f>HYPERLINK("http://ts.21cn.com/tousu/show/id/1333078","http://ts.21cn.com/tousu/show/id/1333078")</f>
        <v>http://ts.21cn.com/tousu/show/id/1333078</v>
      </c>
      <c r="F2485" s="2" t="s">
        <v>11</v>
      </c>
      <c r="G2485" s="2" t="s">
        <v>39252</v>
      </c>
      <c r="H2485" s="2" t="s">
        <v>39253</v>
      </c>
    </row>
    <row r="2486" spans="1:8" ht="25.05" customHeight="1" x14ac:dyDescent="0.25">
      <c r="A2486" s="2" t="s">
        <v>8</v>
      </c>
      <c r="B2486" s="2" t="str">
        <f>HYPERLINK("http://ts.21cn.com/tousu/show/id/1333079","松紧贷威胁恐吓")</f>
        <v>松紧贷威胁恐吓</v>
      </c>
      <c r="C2486" s="2" t="s">
        <v>9</v>
      </c>
      <c r="D2486" s="2" t="s">
        <v>10</v>
      </c>
      <c r="E2486" s="2" t="str">
        <f>HYPERLINK("http://ts.21cn.com/tousu/show/id/1333079","http://ts.21cn.com/tousu/show/id/1333079")</f>
        <v>http://ts.21cn.com/tousu/show/id/1333079</v>
      </c>
      <c r="F2486" s="2" t="s">
        <v>11</v>
      </c>
      <c r="G2486" s="2" t="s">
        <v>39250</v>
      </c>
      <c r="H2486" s="2" t="s">
        <v>39251</v>
      </c>
    </row>
    <row r="2487" spans="1:8" ht="25.05" customHeight="1" x14ac:dyDescent="0.25">
      <c r="A2487" s="2" t="s">
        <v>8</v>
      </c>
      <c r="B2487" s="2" t="str">
        <f>HYPERLINK("http://ts.21cn.com/tousu/show/id/1333067","云闪付中国银联帮助赌博公司支付")</f>
        <v>云闪付中国银联帮助赌博公司支付</v>
      </c>
      <c r="C2487" s="2" t="s">
        <v>9</v>
      </c>
      <c r="D2487" s="2" t="s">
        <v>10</v>
      </c>
      <c r="E2487" s="2" t="str">
        <f>HYPERLINK("http://ts.21cn.com/tousu/show/id/1333067","http://ts.21cn.com/tousu/show/id/1333067")</f>
        <v>http://ts.21cn.com/tousu/show/id/1333067</v>
      </c>
      <c r="F2487" s="2" t="s">
        <v>11</v>
      </c>
      <c r="G2487" s="2" t="s">
        <v>39248</v>
      </c>
      <c r="H2487" s="2" t="s">
        <v>39249</v>
      </c>
    </row>
    <row r="2488" spans="1:8" ht="25.05" customHeight="1" x14ac:dyDescent="0.25">
      <c r="A2488" s="2" t="s">
        <v>8</v>
      </c>
      <c r="B2488" s="2" t="str">
        <f>HYPERLINK("http://ts.21cn.com/tousu/show/id/1333080","来分期、陕西长银消费金融有限公司、中信百信银行股份有限公司拒绝提供借款合同")</f>
        <v>来分期、陕西长银消费金融有限公司、中信百信银行股份有限公司拒绝提供借款合同</v>
      </c>
      <c r="C2488" s="2" t="s">
        <v>9</v>
      </c>
      <c r="D2488" s="2" t="s">
        <v>10</v>
      </c>
      <c r="E2488" s="2" t="str">
        <f>HYPERLINK("http://ts.21cn.com/tousu/show/id/1333080","http://ts.21cn.com/tousu/show/id/1333080")</f>
        <v>http://ts.21cn.com/tousu/show/id/1333080</v>
      </c>
      <c r="F2488" s="2" t="s">
        <v>11</v>
      </c>
      <c r="G2488" s="2" t="s">
        <v>39246</v>
      </c>
      <c r="H2488" s="2" t="s">
        <v>39247</v>
      </c>
    </row>
    <row r="2489" spans="1:8" ht="25.05" customHeight="1" x14ac:dyDescent="0.25">
      <c r="A2489" s="2" t="s">
        <v>8</v>
      </c>
      <c r="B2489" s="2" t="str">
        <f>HYPERLINK("http://ts.21cn.com/tousu/show/id/1333081","网络聚众赌博")</f>
        <v>网络聚众赌博</v>
      </c>
      <c r="C2489" s="2" t="s">
        <v>9</v>
      </c>
      <c r="D2489" s="2" t="s">
        <v>10</v>
      </c>
      <c r="E2489" s="2" t="str">
        <f>HYPERLINK("http://ts.21cn.com/tousu/show/id/1333081","http://ts.21cn.com/tousu/show/id/1333081")</f>
        <v>http://ts.21cn.com/tousu/show/id/1333081</v>
      </c>
      <c r="F2489" s="2" t="s">
        <v>11</v>
      </c>
      <c r="G2489" s="2" t="s">
        <v>39244</v>
      </c>
      <c r="H2489" s="2" t="s">
        <v>39245</v>
      </c>
    </row>
    <row r="2490" spans="1:8" ht="25.05" customHeight="1" x14ac:dyDescent="0.25">
      <c r="A2490" s="2" t="s">
        <v>8</v>
      </c>
      <c r="B2490" s="2" t="str">
        <f>HYPERLINK("http://ts.21cn.com/tousu/show/id/1333082","商品质量问题退货未通知情况收取服务费")</f>
        <v>商品质量问题退货未通知情况收取服务费</v>
      </c>
      <c r="C2490" s="2" t="s">
        <v>34</v>
      </c>
      <c r="D2490" s="2" t="s">
        <v>10</v>
      </c>
      <c r="E2490" s="2" t="str">
        <f>HYPERLINK("http://ts.21cn.com/tousu/show/id/1333082","http://ts.21cn.com/tousu/show/id/1333082")</f>
        <v>http://ts.21cn.com/tousu/show/id/1333082</v>
      </c>
      <c r="F2490" s="2" t="s">
        <v>11</v>
      </c>
      <c r="G2490" s="2" t="s">
        <v>39242</v>
      </c>
      <c r="H2490" s="2" t="s">
        <v>39243</v>
      </c>
    </row>
    <row r="2491" spans="1:8" ht="25.05" customHeight="1" x14ac:dyDescent="0.25">
      <c r="A2491" s="2" t="s">
        <v>8</v>
      </c>
      <c r="B2491" s="2" t="str">
        <f>HYPERLINK("http://ts.21cn.com/tousu/show/id/1333084","高利息")</f>
        <v>高利息</v>
      </c>
      <c r="C2491" s="2" t="s">
        <v>9</v>
      </c>
      <c r="D2491" s="2" t="s">
        <v>10</v>
      </c>
      <c r="E2491" s="2" t="str">
        <f>HYPERLINK("http://ts.21cn.com/tousu/show/id/1333084","http://ts.21cn.com/tousu/show/id/1333084")</f>
        <v>http://ts.21cn.com/tousu/show/id/1333084</v>
      </c>
      <c r="F2491" s="2" t="s">
        <v>11</v>
      </c>
      <c r="G2491" s="2" t="s">
        <v>39240</v>
      </c>
      <c r="H2491" s="2" t="s">
        <v>39241</v>
      </c>
    </row>
    <row r="2492" spans="1:8" ht="25.05" customHeight="1" x14ac:dyDescent="0.25">
      <c r="A2492" s="2" t="s">
        <v>8</v>
      </c>
      <c r="B2492" s="2" t="str">
        <f>HYPERLINK("http://ts.21cn.com/tousu/show/id/1333085","蜜瓜钱包高利贷砍头息汇潮支付为其提供支付通道")</f>
        <v>蜜瓜钱包高利贷砍头息汇潮支付为其提供支付通道</v>
      </c>
      <c r="C2492" s="2" t="s">
        <v>9</v>
      </c>
      <c r="D2492" s="2" t="s">
        <v>10</v>
      </c>
      <c r="E2492" s="2" t="str">
        <f>HYPERLINK("http://ts.21cn.com/tousu/show/id/1333085","http://ts.21cn.com/tousu/show/id/1333085")</f>
        <v>http://ts.21cn.com/tousu/show/id/1333085</v>
      </c>
      <c r="F2492" s="2" t="s">
        <v>11</v>
      </c>
      <c r="G2492" s="2" t="s">
        <v>39238</v>
      </c>
      <c r="H2492" s="2" t="s">
        <v>39239</v>
      </c>
    </row>
    <row r="2493" spans="1:8" ht="25.05" customHeight="1" x14ac:dyDescent="0.25">
      <c r="A2493" s="2" t="s">
        <v>8</v>
      </c>
      <c r="B2493" s="2" t="str">
        <f>HYPERLINK("http://ts.21cn.com/tousu/show/id/1333086","水滴保险")</f>
        <v>水滴保险</v>
      </c>
      <c r="C2493" s="2" t="s">
        <v>9</v>
      </c>
      <c r="D2493" s="2" t="s">
        <v>10</v>
      </c>
      <c r="E2493" s="2" t="str">
        <f>HYPERLINK("http://ts.21cn.com/tousu/show/id/1333086","http://ts.21cn.com/tousu/show/id/1333086")</f>
        <v>http://ts.21cn.com/tousu/show/id/1333086</v>
      </c>
      <c r="F2493" s="2" t="s">
        <v>11</v>
      </c>
      <c r="G2493" s="2" t="s">
        <v>39236</v>
      </c>
      <c r="H2493" s="2" t="s">
        <v>39237</v>
      </c>
    </row>
    <row r="2494" spans="1:8" ht="25.05" customHeight="1" x14ac:dyDescent="0.25">
      <c r="A2494" s="2" t="s">
        <v>8</v>
      </c>
      <c r="B2494" s="2" t="str">
        <f>HYPERLINK("http://ts.21cn.com/tousu/show/id/1333087","服务态度恶劣挑衅客户")</f>
        <v>服务态度恶劣挑衅客户</v>
      </c>
      <c r="C2494" s="2" t="s">
        <v>9</v>
      </c>
      <c r="D2494" s="2" t="s">
        <v>10</v>
      </c>
      <c r="E2494" s="2" t="str">
        <f>HYPERLINK("http://ts.21cn.com/tousu/show/id/1333087","http://ts.21cn.com/tousu/show/id/1333087")</f>
        <v>http://ts.21cn.com/tousu/show/id/1333087</v>
      </c>
      <c r="F2494" s="2" t="s">
        <v>11</v>
      </c>
      <c r="G2494" s="2" t="s">
        <v>39234</v>
      </c>
      <c r="H2494" s="2" t="s">
        <v>39235</v>
      </c>
    </row>
    <row r="2495" spans="1:8" ht="25.05" customHeight="1" x14ac:dyDescent="0.25">
      <c r="A2495" s="2" t="s">
        <v>8</v>
      </c>
      <c r="B2495" s="2" t="str">
        <f>HYPERLINK("http://ts.21cn.com/tousu/show/id/1333088","蜂鸟配送人员言语辱骂客户拒绝送货上门")</f>
        <v>蜂鸟配送人员言语辱骂客户拒绝送货上门</v>
      </c>
      <c r="C2495" s="2" t="s">
        <v>9</v>
      </c>
      <c r="D2495" s="2" t="s">
        <v>10</v>
      </c>
      <c r="E2495" s="2" t="str">
        <f>HYPERLINK("http://ts.21cn.com/tousu/show/id/1333088","http://ts.21cn.com/tousu/show/id/1333088")</f>
        <v>http://ts.21cn.com/tousu/show/id/1333088</v>
      </c>
      <c r="F2495" s="2" t="s">
        <v>11</v>
      </c>
      <c r="G2495" s="2" t="s">
        <v>39232</v>
      </c>
      <c r="H2495" s="2" t="s">
        <v>39233</v>
      </c>
    </row>
    <row r="2496" spans="1:8" ht="25.05" customHeight="1" x14ac:dyDescent="0.25">
      <c r="A2496" s="2" t="s">
        <v>8</v>
      </c>
      <c r="B2496" s="2" t="str">
        <f>HYPERLINK("http://ts.21cn.com/tousu/show/id/1333089","达飞借款利息高电话催收")</f>
        <v>达飞借款利息高电话催收</v>
      </c>
      <c r="C2496" s="2" t="s">
        <v>9</v>
      </c>
      <c r="D2496" s="2" t="s">
        <v>10</v>
      </c>
      <c r="E2496" s="2" t="str">
        <f>HYPERLINK("http://ts.21cn.com/tousu/show/id/1333089","http://ts.21cn.com/tousu/show/id/1333089")</f>
        <v>http://ts.21cn.com/tousu/show/id/1333089</v>
      </c>
      <c r="F2496" s="2" t="s">
        <v>11</v>
      </c>
      <c r="G2496" s="2" t="s">
        <v>39230</v>
      </c>
      <c r="H2496" s="2" t="s">
        <v>39231</v>
      </c>
    </row>
    <row r="2497" spans="1:8" ht="25.05" customHeight="1" x14ac:dyDescent="0.25">
      <c r="A2497" s="2" t="s">
        <v>8</v>
      </c>
      <c r="B2497" s="2" t="str">
        <f>HYPERLINK("http://ts.21cn.com/tousu/show/id/1333090","携程网购动车票在行程中删除订单却未取消对应订单，导致购票成功，退票产生手续费")</f>
        <v>携程网购动车票在行程中删除订单却未取消对应订单，导致购票成功，退票产生手续费</v>
      </c>
      <c r="C2497" s="2" t="s">
        <v>34</v>
      </c>
      <c r="D2497" s="2" t="s">
        <v>10</v>
      </c>
      <c r="E2497" s="2" t="str">
        <f>HYPERLINK("http://ts.21cn.com/tousu/show/id/1333090","http://ts.21cn.com/tousu/show/id/1333090")</f>
        <v>http://ts.21cn.com/tousu/show/id/1333090</v>
      </c>
      <c r="F2497" s="2" t="s">
        <v>11</v>
      </c>
      <c r="G2497" s="2" t="s">
        <v>39228</v>
      </c>
      <c r="H2497" s="2" t="s">
        <v>39229</v>
      </c>
    </row>
    <row r="2498" spans="1:8" ht="25.05" customHeight="1" x14ac:dyDescent="0.25">
      <c r="A2498" s="2" t="s">
        <v>8</v>
      </c>
      <c r="B2498" s="2" t="str">
        <f>HYPERLINK("http://ts.21cn.com/tousu/show/id/1333091","给你花平台导流周周花花高利贷砍头息套路贷易宝支付违规提供支付通道")</f>
        <v>给你花平台导流周周花花高利贷砍头息套路贷易宝支付违规提供支付通道</v>
      </c>
      <c r="C2498" s="2" t="s">
        <v>9</v>
      </c>
      <c r="D2498" s="2" t="s">
        <v>10</v>
      </c>
      <c r="E2498" s="2" t="str">
        <f>HYPERLINK("http://ts.21cn.com/tousu/show/id/1333091","http://ts.21cn.com/tousu/show/id/1333091")</f>
        <v>http://ts.21cn.com/tousu/show/id/1333091</v>
      </c>
      <c r="F2498" s="2" t="s">
        <v>11</v>
      </c>
      <c r="G2498" s="2" t="s">
        <v>39226</v>
      </c>
      <c r="H2498" s="2" t="s">
        <v>39227</v>
      </c>
    </row>
    <row r="2499" spans="1:8" ht="25.05" customHeight="1" x14ac:dyDescent="0.25">
      <c r="A2499" s="2" t="s">
        <v>8</v>
      </c>
      <c r="B2499" s="2" t="str">
        <f>HYPERLINK("http://ts.21cn.com/tousu/show/id/1333092","聚福钱包未经许可私自扣款")</f>
        <v>聚福钱包未经许可私自扣款</v>
      </c>
      <c r="C2499" s="2" t="s">
        <v>9</v>
      </c>
      <c r="D2499" s="2" t="s">
        <v>10</v>
      </c>
      <c r="E2499" s="2" t="str">
        <f>HYPERLINK("http://ts.21cn.com/tousu/show/id/1333092","http://ts.21cn.com/tousu/show/id/1333092")</f>
        <v>http://ts.21cn.com/tousu/show/id/1333092</v>
      </c>
      <c r="F2499" s="2" t="s">
        <v>11</v>
      </c>
      <c r="G2499" s="2" t="s">
        <v>39224</v>
      </c>
      <c r="H2499" s="2" t="s">
        <v>39225</v>
      </c>
    </row>
    <row r="2500" spans="1:8" ht="25.05" customHeight="1" x14ac:dyDescent="0.25">
      <c r="A2500" s="2" t="s">
        <v>8</v>
      </c>
      <c r="B2500" s="2" t="str">
        <f>HYPERLINK("http://ts.21cn.com/tousu/show/id/1333093","无忧简单极速贷高利贷套路贷")</f>
        <v>无忧简单极速贷高利贷套路贷</v>
      </c>
      <c r="C2500" s="2" t="s">
        <v>9</v>
      </c>
      <c r="D2500" s="2" t="s">
        <v>10</v>
      </c>
      <c r="E2500" s="2" t="str">
        <f>HYPERLINK("http://ts.21cn.com/tousu/show/id/1333093","http://ts.21cn.com/tousu/show/id/1333093")</f>
        <v>http://ts.21cn.com/tousu/show/id/1333093</v>
      </c>
      <c r="F2500" s="2" t="s">
        <v>11</v>
      </c>
      <c r="G2500" s="2" t="s">
        <v>39222</v>
      </c>
      <c r="H2500" s="2" t="s">
        <v>39223</v>
      </c>
    </row>
    <row r="2501" spans="1:8" ht="25.05" customHeight="1" x14ac:dyDescent="0.25">
      <c r="A2501" s="2" t="s">
        <v>8</v>
      </c>
      <c r="B2501" s="2" t="str">
        <f>HYPERLINK("http://ts.21cn.com/tousu/show/id/1333095","立借高利贷套路贷")</f>
        <v>立借高利贷套路贷</v>
      </c>
      <c r="C2501" s="2" t="s">
        <v>9</v>
      </c>
      <c r="D2501" s="2" t="s">
        <v>10</v>
      </c>
      <c r="E2501" s="2" t="str">
        <f>HYPERLINK("http://ts.21cn.com/tousu/show/id/1333095","http://ts.21cn.com/tousu/show/id/1333095")</f>
        <v>http://ts.21cn.com/tousu/show/id/1333095</v>
      </c>
      <c r="F2501" s="2" t="s">
        <v>11</v>
      </c>
      <c r="G2501" s="2" t="s">
        <v>39220</v>
      </c>
      <c r="H2501" s="2" t="s">
        <v>39221</v>
      </c>
    </row>
    <row r="2502" spans="1:8" ht="25.05" customHeight="1" x14ac:dyDescent="0.25">
      <c r="A2502" s="2" t="s">
        <v>8</v>
      </c>
      <c r="B2502" s="2" t="str">
        <f>HYPERLINK("http://ts.21cn.com/tousu/show/id/1333094","玖富万卡高利贷，阴阳合同")</f>
        <v>玖富万卡高利贷，阴阳合同</v>
      </c>
      <c r="C2502" s="2" t="s">
        <v>9</v>
      </c>
      <c r="D2502" s="2" t="s">
        <v>10</v>
      </c>
      <c r="E2502" s="2" t="str">
        <f>HYPERLINK("http://ts.21cn.com/tousu/show/id/1333094","http://ts.21cn.com/tousu/show/id/1333094")</f>
        <v>http://ts.21cn.com/tousu/show/id/1333094</v>
      </c>
      <c r="F2502" s="2" t="s">
        <v>11</v>
      </c>
      <c r="G2502" s="2" t="s">
        <v>39218</v>
      </c>
      <c r="H2502" s="2" t="s">
        <v>39219</v>
      </c>
    </row>
    <row r="2503" spans="1:8" ht="25.05" customHeight="1" x14ac:dyDescent="0.25">
      <c r="A2503" s="2" t="s">
        <v>8</v>
      </c>
      <c r="B2503" s="2" t="str">
        <f>HYPERLINK("http://ts.21cn.com/tousu/show/id/1333096","聚富分期退款299，永道小贷取消订单")</f>
        <v>聚富分期退款299，永道小贷取消订单</v>
      </c>
      <c r="C2503" s="2" t="s">
        <v>9</v>
      </c>
      <c r="D2503" s="2" t="s">
        <v>10</v>
      </c>
      <c r="E2503" s="2" t="str">
        <f>HYPERLINK("http://ts.21cn.com/tousu/show/id/1333096","http://ts.21cn.com/tousu/show/id/1333096")</f>
        <v>http://ts.21cn.com/tousu/show/id/1333096</v>
      </c>
      <c r="F2503" s="2" t="s">
        <v>11</v>
      </c>
      <c r="G2503" s="2" t="s">
        <v>39216</v>
      </c>
      <c r="H2503" s="2" t="s">
        <v>39217</v>
      </c>
    </row>
    <row r="2504" spans="1:8" ht="25.05" customHeight="1" x14ac:dyDescent="0.25">
      <c r="A2504" s="2" t="s">
        <v>8</v>
      </c>
      <c r="B2504" s="2" t="str">
        <f>HYPERLINK("http://ts.21cn.com/tousu/show/id/1333097","违规向非法网站提供资金结算，要求退款")</f>
        <v>违规向非法网站提供资金结算，要求退款</v>
      </c>
      <c r="C2504" s="2" t="s">
        <v>9</v>
      </c>
      <c r="D2504" s="2" t="s">
        <v>10</v>
      </c>
      <c r="E2504" s="2" t="str">
        <f>HYPERLINK("http://ts.21cn.com/tousu/show/id/1333097","http://ts.21cn.com/tousu/show/id/1333097")</f>
        <v>http://ts.21cn.com/tousu/show/id/1333097</v>
      </c>
      <c r="F2504" s="2" t="s">
        <v>11</v>
      </c>
      <c r="G2504" s="2" t="s">
        <v>39214</v>
      </c>
      <c r="H2504" s="2" t="s">
        <v>39215</v>
      </c>
    </row>
    <row r="2505" spans="1:8" ht="25.05" customHeight="1" x14ac:dyDescent="0.25">
      <c r="A2505" s="2" t="s">
        <v>8</v>
      </c>
      <c r="B2505" s="2" t="str">
        <f>HYPERLINK("http://ts.21cn.com/tousu/show/id/1333098","网贷利息过高")</f>
        <v>网贷利息过高</v>
      </c>
      <c r="C2505" s="2" t="s">
        <v>34</v>
      </c>
      <c r="D2505" s="2" t="s">
        <v>10</v>
      </c>
      <c r="E2505" s="2" t="str">
        <f>HYPERLINK("http://ts.21cn.com/tousu/show/id/1333098","http://ts.21cn.com/tousu/show/id/1333098")</f>
        <v>http://ts.21cn.com/tousu/show/id/1333098</v>
      </c>
      <c r="F2505" s="2" t="s">
        <v>11</v>
      </c>
      <c r="G2505" s="2" t="s">
        <v>39212</v>
      </c>
      <c r="H2505" s="2" t="s">
        <v>39213</v>
      </c>
    </row>
    <row r="2506" spans="1:8" ht="25.05" customHeight="1" x14ac:dyDescent="0.25">
      <c r="A2506" s="2" t="s">
        <v>8</v>
      </c>
      <c r="B2506" s="2" t="str">
        <f>HYPERLINK("http://ts.21cn.com/tousu/show/id/1333099","高利贷砍头息")</f>
        <v>高利贷砍头息</v>
      </c>
      <c r="C2506" s="2" t="s">
        <v>9</v>
      </c>
      <c r="D2506" s="2" t="s">
        <v>10</v>
      </c>
      <c r="E2506" s="2" t="str">
        <f>HYPERLINK("http://ts.21cn.com/tousu/show/id/1333099","http://ts.21cn.com/tousu/show/id/1333099")</f>
        <v>http://ts.21cn.com/tousu/show/id/1333099</v>
      </c>
      <c r="F2506" s="2" t="s">
        <v>11</v>
      </c>
      <c r="G2506" s="2" t="s">
        <v>39210</v>
      </c>
      <c r="H2506" s="2" t="s">
        <v>39211</v>
      </c>
    </row>
    <row r="2507" spans="1:8" ht="25.05" customHeight="1" x14ac:dyDescent="0.25">
      <c r="A2507" s="2" t="s">
        <v>8</v>
      </c>
      <c r="B2507" s="2" t="str">
        <f>HYPERLINK("http://ts.21cn.com/tousu/show/id/1333101","松紧贷，辱骂联系人，半夜骚扰通讯录朋友")</f>
        <v>松紧贷，辱骂联系人，半夜骚扰通讯录朋友</v>
      </c>
      <c r="C2507" s="2" t="s">
        <v>9</v>
      </c>
      <c r="D2507" s="2" t="s">
        <v>10</v>
      </c>
      <c r="E2507" s="2" t="str">
        <f>HYPERLINK("http://ts.21cn.com/tousu/show/id/1333101","http://ts.21cn.com/tousu/show/id/1333101")</f>
        <v>http://ts.21cn.com/tousu/show/id/1333101</v>
      </c>
      <c r="F2507" s="2" t="s">
        <v>11</v>
      </c>
      <c r="G2507" s="2" t="s">
        <v>39208</v>
      </c>
      <c r="H2507" s="2" t="s">
        <v>39209</v>
      </c>
    </row>
    <row r="2508" spans="1:8" ht="25.05" customHeight="1" x14ac:dyDescent="0.25">
      <c r="A2508" s="2" t="s">
        <v>8</v>
      </c>
      <c r="B2508" s="2" t="str">
        <f>HYPERLINK("http://ts.21cn.com/tousu/show/id/1333076","优信二手车隐形费用")</f>
        <v>优信二手车隐形费用</v>
      </c>
      <c r="C2508" s="2" t="s">
        <v>9</v>
      </c>
      <c r="D2508" s="2" t="s">
        <v>10</v>
      </c>
      <c r="E2508" s="2" t="str">
        <f>HYPERLINK("http://ts.21cn.com/tousu/show/id/1333076","http://ts.21cn.com/tousu/show/id/1333076")</f>
        <v>http://ts.21cn.com/tousu/show/id/1333076</v>
      </c>
      <c r="F2508" s="2" t="s">
        <v>11</v>
      </c>
      <c r="G2508" s="2" t="s">
        <v>39206</v>
      </c>
      <c r="H2508" s="2" t="s">
        <v>39207</v>
      </c>
    </row>
    <row r="2509" spans="1:8" ht="25.05" customHeight="1" x14ac:dyDescent="0.25">
      <c r="A2509" s="2" t="s">
        <v>8</v>
      </c>
      <c r="B2509" s="2" t="str">
        <f>HYPERLINK("http://ts.21cn.com/tousu/show/id/1333102","714高炮，投诉元宝宝高利贷砍头息")</f>
        <v>714高炮，投诉元宝宝高利贷砍头息</v>
      </c>
      <c r="C2509" s="2" t="s">
        <v>9</v>
      </c>
      <c r="D2509" s="2" t="s">
        <v>10</v>
      </c>
      <c r="E2509" s="2" t="str">
        <f>HYPERLINK("http://ts.21cn.com/tousu/show/id/1333102","http://ts.21cn.com/tousu/show/id/1333102")</f>
        <v>http://ts.21cn.com/tousu/show/id/1333102</v>
      </c>
      <c r="F2509" s="2" t="s">
        <v>11</v>
      </c>
      <c r="G2509" s="2" t="s">
        <v>39204</v>
      </c>
      <c r="H2509" s="2" t="s">
        <v>39205</v>
      </c>
    </row>
    <row r="2510" spans="1:8" ht="25.05" customHeight="1" x14ac:dyDescent="0.25">
      <c r="A2510" s="2" t="s">
        <v>8</v>
      </c>
      <c r="B2510" s="2" t="str">
        <f>HYPERLINK("http://ts.21cn.com/tousu/show/id/1333104","移动恶意封禁短信功能")</f>
        <v>移动恶意封禁短信功能</v>
      </c>
      <c r="C2510" s="2" t="s">
        <v>9</v>
      </c>
      <c r="D2510" s="2" t="s">
        <v>10</v>
      </c>
      <c r="E2510" s="2" t="str">
        <f>HYPERLINK("http://ts.21cn.com/tousu/show/id/1333104","http://ts.21cn.com/tousu/show/id/1333104")</f>
        <v>http://ts.21cn.com/tousu/show/id/1333104</v>
      </c>
      <c r="F2510" s="2" t="s">
        <v>11</v>
      </c>
      <c r="G2510" s="2" t="s">
        <v>39202</v>
      </c>
      <c r="H2510" s="2" t="s">
        <v>39203</v>
      </c>
    </row>
    <row r="2511" spans="1:8" ht="25.05" customHeight="1" x14ac:dyDescent="0.25">
      <c r="A2511" s="2" t="s">
        <v>8</v>
      </c>
      <c r="B2511" s="2" t="str">
        <f>HYPERLINK("http://ts.21cn.com/tousu/show/id/1333105","投诉51人品贷高利息")</f>
        <v>投诉51人品贷高利息</v>
      </c>
      <c r="C2511" s="2" t="s">
        <v>9</v>
      </c>
      <c r="D2511" s="2" t="s">
        <v>10</v>
      </c>
      <c r="E2511" s="2" t="str">
        <f>HYPERLINK("http://ts.21cn.com/tousu/show/id/1333105","http://ts.21cn.com/tousu/show/id/1333105")</f>
        <v>http://ts.21cn.com/tousu/show/id/1333105</v>
      </c>
      <c r="F2511" s="2" t="s">
        <v>11</v>
      </c>
      <c r="G2511" s="2" t="s">
        <v>39200</v>
      </c>
      <c r="H2511" s="2" t="s">
        <v>39201</v>
      </c>
    </row>
    <row r="2512" spans="1:8" ht="25.05" customHeight="1" x14ac:dyDescent="0.25">
      <c r="A2512" s="2" t="s">
        <v>8</v>
      </c>
      <c r="B2512" s="2" t="str">
        <f>HYPERLINK("http://ts.21cn.com/tousu/show/id/1333106","退店后无故扣款，关联店铺资金限制")</f>
        <v>退店后无故扣款，关联店铺资金限制</v>
      </c>
      <c r="C2512" s="2" t="s">
        <v>9</v>
      </c>
      <c r="D2512" s="2" t="s">
        <v>10</v>
      </c>
      <c r="E2512" s="2" t="str">
        <f>HYPERLINK("http://ts.21cn.com/tousu/show/id/1333106","http://ts.21cn.com/tousu/show/id/1333106")</f>
        <v>http://ts.21cn.com/tousu/show/id/1333106</v>
      </c>
      <c r="F2512" s="2" t="s">
        <v>11</v>
      </c>
      <c r="G2512" s="2" t="s">
        <v>39198</v>
      </c>
      <c r="H2512" s="2" t="s">
        <v>39199</v>
      </c>
    </row>
    <row r="2513" spans="1:8" ht="25.05" customHeight="1" x14ac:dyDescent="0.25">
      <c r="A2513" s="2" t="s">
        <v>8</v>
      </c>
      <c r="B2513" s="2" t="str">
        <f>HYPERLINK("http://ts.21cn.com/tousu/show/id/1327548","爱农驿站全额退款")</f>
        <v>爱农驿站全额退款</v>
      </c>
      <c r="C2513" s="2" t="s">
        <v>34</v>
      </c>
      <c r="D2513" s="2" t="s">
        <v>10</v>
      </c>
      <c r="E2513" s="2" t="str">
        <f>HYPERLINK("http://ts.21cn.com/tousu/show/id/1327548","http://ts.21cn.com/tousu/show/id/1327548")</f>
        <v>http://ts.21cn.com/tousu/show/id/1327548</v>
      </c>
      <c r="F2513" s="2" t="s">
        <v>11</v>
      </c>
      <c r="G2513" s="2" t="s">
        <v>39196</v>
      </c>
      <c r="H2513" s="2" t="s">
        <v>39197</v>
      </c>
    </row>
    <row r="2514" spans="1:8" ht="25.05" customHeight="1" x14ac:dyDescent="0.25">
      <c r="A2514" s="2" t="s">
        <v>8</v>
      </c>
      <c r="B2514" s="2" t="str">
        <f>HYPERLINK("http://ts.21cn.com/tousu/show/id/1333108","余额无法提取")</f>
        <v>余额无法提取</v>
      </c>
      <c r="C2514" s="2" t="s">
        <v>9</v>
      </c>
      <c r="D2514" s="2" t="s">
        <v>10</v>
      </c>
      <c r="E2514" s="2" t="str">
        <f>HYPERLINK("http://ts.21cn.com/tousu/show/id/1333108","http://ts.21cn.com/tousu/show/id/1333108")</f>
        <v>http://ts.21cn.com/tousu/show/id/1333108</v>
      </c>
      <c r="F2514" s="2" t="s">
        <v>11</v>
      </c>
      <c r="G2514" s="2" t="s">
        <v>39194</v>
      </c>
      <c r="H2514" s="2" t="s">
        <v>39195</v>
      </c>
    </row>
    <row r="2515" spans="1:8" ht="25.05" customHeight="1" x14ac:dyDescent="0.25">
      <c r="A2515" s="2" t="s">
        <v>8</v>
      </c>
      <c r="B2515" s="2" t="str">
        <f>HYPERLINK("http://ts.21cn.com/tousu/show/id/1333109","支付宝被盗刷，之前买过安全险的，支付宝不理赔")</f>
        <v>支付宝被盗刷，之前买过安全险的，支付宝不理赔</v>
      </c>
      <c r="C2515" s="2" t="s">
        <v>9</v>
      </c>
      <c r="D2515" s="2" t="s">
        <v>10</v>
      </c>
      <c r="E2515" s="2" t="str">
        <f>HYPERLINK("http://ts.21cn.com/tousu/show/id/1333109","http://ts.21cn.com/tousu/show/id/1333109")</f>
        <v>http://ts.21cn.com/tousu/show/id/1333109</v>
      </c>
      <c r="F2515" s="2" t="s">
        <v>11</v>
      </c>
      <c r="G2515" s="2" t="s">
        <v>39192</v>
      </c>
      <c r="H2515" s="2" t="s">
        <v>39193</v>
      </c>
    </row>
    <row r="2516" spans="1:8" ht="25.05" customHeight="1" x14ac:dyDescent="0.25">
      <c r="A2516" s="2" t="s">
        <v>8</v>
      </c>
      <c r="B2516" s="2" t="str">
        <f>HYPERLINK("http://ts.21cn.com/tousu/show/id/1333110","爱农驿站为境外博彩网站提供资金通道")</f>
        <v>爱农驿站为境外博彩网站提供资金通道</v>
      </c>
      <c r="C2516" s="2" t="s">
        <v>9</v>
      </c>
      <c r="D2516" s="2" t="s">
        <v>10</v>
      </c>
      <c r="E2516" s="2" t="str">
        <f>HYPERLINK("http://ts.21cn.com/tousu/show/id/1333110","http://ts.21cn.com/tousu/show/id/1333110")</f>
        <v>http://ts.21cn.com/tousu/show/id/1333110</v>
      </c>
      <c r="F2516" s="2" t="s">
        <v>11</v>
      </c>
      <c r="G2516" s="2" t="s">
        <v>39190</v>
      </c>
      <c r="H2516" s="2" t="s">
        <v>39191</v>
      </c>
    </row>
    <row r="2517" spans="1:8" ht="25.05" customHeight="1" x14ac:dyDescent="0.25">
      <c r="A2517" s="2" t="s">
        <v>8</v>
      </c>
      <c r="B2517" s="2" t="str">
        <f>HYPERLINK("http://ts.21cn.com/tousu/show/id/1333111","黑心网贷暴利催收")</f>
        <v>黑心网贷暴利催收</v>
      </c>
      <c r="C2517" s="2" t="s">
        <v>9</v>
      </c>
      <c r="D2517" s="2" t="s">
        <v>10</v>
      </c>
      <c r="E2517" s="2" t="str">
        <f>HYPERLINK("http://ts.21cn.com/tousu/show/id/1333111","http://ts.21cn.com/tousu/show/id/1333111")</f>
        <v>http://ts.21cn.com/tousu/show/id/1333111</v>
      </c>
      <c r="F2517" s="2" t="s">
        <v>11</v>
      </c>
      <c r="G2517" s="2" t="s">
        <v>39188</v>
      </c>
      <c r="H2517" s="2" t="s">
        <v>39189</v>
      </c>
    </row>
    <row r="2518" spans="1:8" ht="25.05" customHeight="1" x14ac:dyDescent="0.25">
      <c r="A2518" s="2" t="s">
        <v>8</v>
      </c>
      <c r="B2518" s="2" t="str">
        <f>HYPERLINK("http://ts.21cn.com/tousu/show/id/1333107","凡普金科砍头息套路贷")</f>
        <v>凡普金科砍头息套路贷</v>
      </c>
      <c r="C2518" s="2" t="s">
        <v>9</v>
      </c>
      <c r="D2518" s="2" t="s">
        <v>10</v>
      </c>
      <c r="E2518" s="2" t="str">
        <f>HYPERLINK("http://ts.21cn.com/tousu/show/id/1333107","http://ts.21cn.com/tousu/show/id/1333107")</f>
        <v>http://ts.21cn.com/tousu/show/id/1333107</v>
      </c>
      <c r="F2518" s="2" t="s">
        <v>11</v>
      </c>
      <c r="G2518" s="2" t="s">
        <v>39186</v>
      </c>
      <c r="H2518" s="2" t="s">
        <v>39187</v>
      </c>
    </row>
    <row r="2519" spans="1:8" ht="25.05" customHeight="1" x14ac:dyDescent="0.25">
      <c r="A2519" s="2" t="s">
        <v>8</v>
      </c>
      <c r="B2519" s="2" t="str">
        <f>HYPERLINK("http://ts.21cn.com/tousu/show/id/1333113","催收人员威胁恐吓")</f>
        <v>催收人员威胁恐吓</v>
      </c>
      <c r="C2519" s="2" t="s">
        <v>9</v>
      </c>
      <c r="D2519" s="2" t="s">
        <v>10</v>
      </c>
      <c r="E2519" s="2" t="str">
        <f>HYPERLINK("http://ts.21cn.com/tousu/show/id/1333113","http://ts.21cn.com/tousu/show/id/1333113")</f>
        <v>http://ts.21cn.com/tousu/show/id/1333113</v>
      </c>
      <c r="F2519" s="2" t="s">
        <v>11</v>
      </c>
      <c r="G2519" s="2" t="s">
        <v>39184</v>
      </c>
      <c r="H2519" s="2" t="s">
        <v>39185</v>
      </c>
    </row>
    <row r="2520" spans="1:8" ht="25.05" customHeight="1" x14ac:dyDescent="0.25">
      <c r="A2520" s="2" t="s">
        <v>8</v>
      </c>
      <c r="B2520" s="2" t="str">
        <f>HYPERLINK("http://ts.21cn.com/tousu/show/id/1333114","拼多多垃圾平台")</f>
        <v>拼多多垃圾平台</v>
      </c>
      <c r="C2520" s="2" t="s">
        <v>9</v>
      </c>
      <c r="D2520" s="2" t="s">
        <v>10</v>
      </c>
      <c r="E2520" s="2" t="str">
        <f>HYPERLINK("http://ts.21cn.com/tousu/show/id/1333114","http://ts.21cn.com/tousu/show/id/1333114")</f>
        <v>http://ts.21cn.com/tousu/show/id/1333114</v>
      </c>
      <c r="F2520" s="2" t="s">
        <v>11</v>
      </c>
      <c r="G2520" s="2" t="s">
        <v>39182</v>
      </c>
      <c r="H2520" s="2" t="s">
        <v>39183</v>
      </c>
    </row>
    <row r="2521" spans="1:8" ht="25.05" customHeight="1" x14ac:dyDescent="0.25">
      <c r="A2521" s="2" t="s">
        <v>8</v>
      </c>
      <c r="B2521" s="2" t="str">
        <f>HYPERLINK("http://ts.21cn.com/tousu/show/id/1333115","花转转恶意逾期高额利息")</f>
        <v>花转转恶意逾期高额利息</v>
      </c>
      <c r="C2521" s="2" t="s">
        <v>9</v>
      </c>
      <c r="D2521" s="2" t="s">
        <v>10</v>
      </c>
      <c r="E2521" s="2" t="str">
        <f>HYPERLINK("http://ts.21cn.com/tousu/show/id/1333115","http://ts.21cn.com/tousu/show/id/1333115")</f>
        <v>http://ts.21cn.com/tousu/show/id/1333115</v>
      </c>
      <c r="F2521" s="2" t="s">
        <v>11</v>
      </c>
      <c r="G2521" s="2" t="s">
        <v>39180</v>
      </c>
      <c r="H2521" s="2" t="s">
        <v>39181</v>
      </c>
    </row>
    <row r="2522" spans="1:8" ht="25.05" customHeight="1" x14ac:dyDescent="0.25">
      <c r="A2522" s="2" t="s">
        <v>8</v>
      </c>
      <c r="B2522" s="2" t="str">
        <f>HYPERLINK("http://ts.21cn.com/tousu/show/id/1333112","网购不发货不退款")</f>
        <v>网购不发货不退款</v>
      </c>
      <c r="C2522" s="2" t="s">
        <v>9</v>
      </c>
      <c r="D2522" s="2" t="s">
        <v>10</v>
      </c>
      <c r="E2522" s="2" t="str">
        <f>HYPERLINK("http://ts.21cn.com/tousu/show/id/1333112","http://ts.21cn.com/tousu/show/id/1333112")</f>
        <v>http://ts.21cn.com/tousu/show/id/1333112</v>
      </c>
      <c r="F2522" s="2" t="s">
        <v>11</v>
      </c>
      <c r="G2522" s="2" t="s">
        <v>39178</v>
      </c>
      <c r="H2522" s="2" t="s">
        <v>39179</v>
      </c>
    </row>
    <row r="2523" spans="1:8" ht="25.05" customHeight="1" x14ac:dyDescent="0.25">
      <c r="A2523" s="2" t="s">
        <v>8</v>
      </c>
      <c r="B2523" s="2" t="str">
        <f>HYPERLINK("http://ts.21cn.com/tousu/show/id/1333116","洋钱罐子高利贷")</f>
        <v>洋钱罐子高利贷</v>
      </c>
      <c r="C2523" s="2" t="s">
        <v>9</v>
      </c>
      <c r="D2523" s="2" t="s">
        <v>10</v>
      </c>
      <c r="E2523" s="2" t="str">
        <f>HYPERLINK("http://ts.21cn.com/tousu/show/id/1333116","http://ts.21cn.com/tousu/show/id/1333116")</f>
        <v>http://ts.21cn.com/tousu/show/id/1333116</v>
      </c>
      <c r="F2523" s="2" t="s">
        <v>11</v>
      </c>
      <c r="G2523" s="2" t="s">
        <v>39176</v>
      </c>
      <c r="H2523" s="2" t="s">
        <v>39177</v>
      </c>
    </row>
    <row r="2524" spans="1:8" ht="25.05" customHeight="1" x14ac:dyDescent="0.25">
      <c r="A2524" s="2" t="s">
        <v>8</v>
      </c>
      <c r="B2524" s="2" t="str">
        <f>HYPERLINK("http://ts.21cn.com/tousu/show/id/1333117","上海翰银为赌博输平台收单，请求瀚银为我退款挽回经济损失")</f>
        <v>上海翰银为赌博输平台收单，请求瀚银为我退款挽回经济损失</v>
      </c>
      <c r="C2524" s="2" t="s">
        <v>9</v>
      </c>
      <c r="D2524" s="2" t="s">
        <v>10</v>
      </c>
      <c r="E2524" s="2" t="str">
        <f>HYPERLINK("http://ts.21cn.com/tousu/show/id/1333117","http://ts.21cn.com/tousu/show/id/1333117")</f>
        <v>http://ts.21cn.com/tousu/show/id/1333117</v>
      </c>
      <c r="F2524" s="2" t="s">
        <v>11</v>
      </c>
      <c r="G2524" s="2" t="s">
        <v>39174</v>
      </c>
      <c r="H2524" s="2" t="s">
        <v>39175</v>
      </c>
    </row>
    <row r="2525" spans="1:8" ht="25.05" customHeight="1" x14ac:dyDescent="0.25">
      <c r="A2525" s="2" t="s">
        <v>8</v>
      </c>
      <c r="B2525" s="2" t="str">
        <f>HYPERLINK("http://ts.21cn.com/tousu/show/id/1333118","订酒店失败，银行账户显示扣款")</f>
        <v>订酒店失败，银行账户显示扣款</v>
      </c>
      <c r="C2525" s="2" t="s">
        <v>34</v>
      </c>
      <c r="D2525" s="2" t="s">
        <v>10</v>
      </c>
      <c r="E2525" s="2" t="str">
        <f>HYPERLINK("http://ts.21cn.com/tousu/show/id/1333118","http://ts.21cn.com/tousu/show/id/1333118")</f>
        <v>http://ts.21cn.com/tousu/show/id/1333118</v>
      </c>
      <c r="F2525" s="2" t="s">
        <v>11</v>
      </c>
      <c r="G2525" s="2" t="s">
        <v>39172</v>
      </c>
      <c r="H2525" s="2" t="s">
        <v>39173</v>
      </c>
    </row>
    <row r="2526" spans="1:8" ht="25.05" customHeight="1" x14ac:dyDescent="0.25">
      <c r="A2526" s="2" t="s">
        <v>8</v>
      </c>
      <c r="B2526" s="2" t="str">
        <f>HYPERLINK("http://ts.21cn.com/tousu/show/id/1333119","违规提供支付通道")</f>
        <v>违规提供支付通道</v>
      </c>
      <c r="C2526" s="2" t="s">
        <v>9</v>
      </c>
      <c r="D2526" s="2" t="s">
        <v>10</v>
      </c>
      <c r="E2526" s="2" t="str">
        <f>HYPERLINK("http://ts.21cn.com/tousu/show/id/1333119","http://ts.21cn.com/tousu/show/id/1333119")</f>
        <v>http://ts.21cn.com/tousu/show/id/1333119</v>
      </c>
      <c r="F2526" s="2" t="s">
        <v>11</v>
      </c>
      <c r="G2526" s="2" t="s">
        <v>39170</v>
      </c>
      <c r="H2526" s="2" t="s">
        <v>39171</v>
      </c>
    </row>
    <row r="2527" spans="1:8" ht="25.05" customHeight="1" x14ac:dyDescent="0.25">
      <c r="A2527" s="2" t="s">
        <v>8</v>
      </c>
      <c r="B2527" s="2" t="str">
        <f>HYPERLINK("http://ts.21cn.com/tousu/show/id/1333121","好易贷高利贷")</f>
        <v>好易贷高利贷</v>
      </c>
      <c r="C2527" s="2" t="s">
        <v>9</v>
      </c>
      <c r="D2527" s="2" t="s">
        <v>10</v>
      </c>
      <c r="E2527" s="2" t="str">
        <f>HYPERLINK("http://ts.21cn.com/tousu/show/id/1333121","http://ts.21cn.com/tousu/show/id/1333121")</f>
        <v>http://ts.21cn.com/tousu/show/id/1333121</v>
      </c>
      <c r="F2527" s="2" t="s">
        <v>11</v>
      </c>
      <c r="G2527" s="2" t="s">
        <v>39168</v>
      </c>
      <c r="H2527" s="2" t="s">
        <v>39169</v>
      </c>
    </row>
    <row r="2528" spans="1:8" ht="25.05" customHeight="1" x14ac:dyDescent="0.25">
      <c r="A2528" s="2" t="s">
        <v>8</v>
      </c>
      <c r="B2528" s="2" t="str">
        <f>HYPERLINK("http://ts.21cn.com/tousu/show/id/1333122","还钱不消账")</f>
        <v>还钱不消账</v>
      </c>
      <c r="C2528" s="2" t="s">
        <v>9</v>
      </c>
      <c r="D2528" s="2" t="s">
        <v>10</v>
      </c>
      <c r="E2528" s="2" t="str">
        <f>HYPERLINK("http://ts.21cn.com/tousu/show/id/1333122","http://ts.21cn.com/tousu/show/id/1333122")</f>
        <v>http://ts.21cn.com/tousu/show/id/1333122</v>
      </c>
      <c r="F2528" s="2" t="s">
        <v>11</v>
      </c>
      <c r="G2528" s="2" t="s">
        <v>39166</v>
      </c>
      <c r="H2528" s="2" t="s">
        <v>39167</v>
      </c>
    </row>
    <row r="2529" spans="1:8" ht="25.05" customHeight="1" x14ac:dyDescent="0.25">
      <c r="A2529" s="2" t="s">
        <v>8</v>
      </c>
      <c r="B2529" s="2" t="str">
        <f>HYPERLINK("http://ts.21cn.com/tousu/show/id/1333123","聚福钱钱")</f>
        <v>聚福钱钱</v>
      </c>
      <c r="C2529" s="2" t="s">
        <v>9</v>
      </c>
      <c r="D2529" s="2" t="s">
        <v>10</v>
      </c>
      <c r="E2529" s="2" t="str">
        <f>HYPERLINK("http://ts.21cn.com/tousu/show/id/1333123","http://ts.21cn.com/tousu/show/id/1333123")</f>
        <v>http://ts.21cn.com/tousu/show/id/1333123</v>
      </c>
      <c r="F2529" s="2" t="s">
        <v>11</v>
      </c>
      <c r="G2529" s="2" t="s">
        <v>39164</v>
      </c>
      <c r="H2529" s="2" t="s">
        <v>39165</v>
      </c>
    </row>
    <row r="2530" spans="1:8" ht="25.05" customHeight="1" x14ac:dyDescent="0.25">
      <c r="A2530" s="2" t="s">
        <v>8</v>
      </c>
      <c r="B2530" s="2" t="str">
        <f>HYPERLINK("http://ts.21cn.com/tousu/show/id/1333124","消除芝麻负面")</f>
        <v>消除芝麻负面</v>
      </c>
      <c r="C2530" s="2" t="s">
        <v>9</v>
      </c>
      <c r="D2530" s="2" t="s">
        <v>10</v>
      </c>
      <c r="E2530" s="2" t="str">
        <f>HYPERLINK("http://ts.21cn.com/tousu/show/id/1333124","http://ts.21cn.com/tousu/show/id/1333124")</f>
        <v>http://ts.21cn.com/tousu/show/id/1333124</v>
      </c>
      <c r="F2530" s="2" t="s">
        <v>11</v>
      </c>
      <c r="G2530" s="2" t="s">
        <v>39162</v>
      </c>
      <c r="H2530" s="2" t="s">
        <v>39163</v>
      </c>
    </row>
    <row r="2531" spans="1:8" ht="25.05" customHeight="1" x14ac:dyDescent="0.25">
      <c r="A2531" s="2" t="s">
        <v>8</v>
      </c>
      <c r="B2531" s="2" t="str">
        <f>HYPERLINK("http://ts.21cn.com/tousu/show/id/1333125","贷上钱以买游戏豆为由收取高额贷款通过费")</f>
        <v>贷上钱以买游戏豆为由收取高额贷款通过费</v>
      </c>
      <c r="C2531" s="2" t="s">
        <v>9</v>
      </c>
      <c r="D2531" s="2" t="s">
        <v>10</v>
      </c>
      <c r="E2531" s="2" t="str">
        <f>HYPERLINK("http://ts.21cn.com/tousu/show/id/1333125","http://ts.21cn.com/tousu/show/id/1333125")</f>
        <v>http://ts.21cn.com/tousu/show/id/1333125</v>
      </c>
      <c r="F2531" s="2" t="s">
        <v>11</v>
      </c>
      <c r="G2531" s="2" t="s">
        <v>39160</v>
      </c>
      <c r="H2531" s="2" t="s">
        <v>39161</v>
      </c>
    </row>
    <row r="2532" spans="1:8" ht="25.05" customHeight="1" x14ac:dyDescent="0.25">
      <c r="A2532" s="2" t="s">
        <v>8</v>
      </c>
      <c r="B2532" s="2" t="str">
        <f>HYPERLINK("http://ts.21cn.com/tousu/show/id/1333126","电信手机号抵消问题，自己没签署过靓号抵消，资费还有2个月到期才发现200终身抵消，要求取消终身抵消，请求贵平台给予解决")</f>
        <v>电信手机号抵消问题，自己没签署过靓号抵消，资费还有2个月到期才发现200终身抵消，要求取消终身抵消，请求贵平台给予解决</v>
      </c>
      <c r="C2532" s="2" t="s">
        <v>9</v>
      </c>
      <c r="D2532" s="2" t="s">
        <v>10</v>
      </c>
      <c r="E2532" s="2" t="str">
        <f>HYPERLINK("http://ts.21cn.com/tousu/show/id/1333126","http://ts.21cn.com/tousu/show/id/1333126")</f>
        <v>http://ts.21cn.com/tousu/show/id/1333126</v>
      </c>
      <c r="F2532" s="2" t="s">
        <v>11</v>
      </c>
      <c r="G2532" s="2" t="s">
        <v>39158</v>
      </c>
      <c r="H2532" s="2" t="s">
        <v>39159</v>
      </c>
    </row>
    <row r="2533" spans="1:8" ht="25.05" customHeight="1" x14ac:dyDescent="0.25">
      <c r="A2533" s="2" t="s">
        <v>8</v>
      </c>
      <c r="B2533" s="2" t="str">
        <f>HYPERLINK("http://ts.21cn.com/tousu/show/id/1333129","阳光出行恶意扣款没有客服")</f>
        <v>阳光出行恶意扣款没有客服</v>
      </c>
      <c r="C2533" s="2" t="s">
        <v>9</v>
      </c>
      <c r="D2533" s="2" t="s">
        <v>10</v>
      </c>
      <c r="E2533" s="2" t="str">
        <f>HYPERLINK("http://ts.21cn.com/tousu/show/id/1333129","http://ts.21cn.com/tousu/show/id/1333129")</f>
        <v>http://ts.21cn.com/tousu/show/id/1333129</v>
      </c>
      <c r="F2533" s="2" t="s">
        <v>11</v>
      </c>
      <c r="G2533" s="2" t="s">
        <v>39156</v>
      </c>
      <c r="H2533" s="2" t="s">
        <v>39157</v>
      </c>
    </row>
    <row r="2534" spans="1:8" ht="25.05" customHeight="1" x14ac:dyDescent="0.25">
      <c r="A2534" s="2" t="s">
        <v>8</v>
      </c>
      <c r="B2534" s="2" t="str">
        <f>HYPERLINK("http://ts.21cn.com/tousu/show/id/1333130","国庆组队活动有队伍作弊，滴滴不取消参赛资格")</f>
        <v>国庆组队活动有队伍作弊，滴滴不取消参赛资格</v>
      </c>
      <c r="C2534" s="2" t="s">
        <v>34</v>
      </c>
      <c r="D2534" s="2" t="s">
        <v>10</v>
      </c>
      <c r="E2534" s="2" t="str">
        <f>HYPERLINK("http://ts.21cn.com/tousu/show/id/1333130","http://ts.21cn.com/tousu/show/id/1333130")</f>
        <v>http://ts.21cn.com/tousu/show/id/1333130</v>
      </c>
      <c r="F2534" s="2" t="s">
        <v>11</v>
      </c>
      <c r="G2534" s="2" t="s">
        <v>39154</v>
      </c>
      <c r="H2534" s="2" t="s">
        <v>39155</v>
      </c>
    </row>
    <row r="2535" spans="1:8" ht="25.05" customHeight="1" x14ac:dyDescent="0.25">
      <c r="A2535" s="2" t="s">
        <v>8</v>
      </c>
      <c r="B2535" s="2" t="str">
        <f>HYPERLINK("http://ts.21cn.com/tousu/show/id/1333132","顺丰速运无缘无故把我已经寄出去的快递给我退回来了")</f>
        <v>顺丰速运无缘无故把我已经寄出去的快递给我退回来了</v>
      </c>
      <c r="C2535" s="2" t="s">
        <v>9</v>
      </c>
      <c r="D2535" s="2" t="s">
        <v>10</v>
      </c>
      <c r="E2535" s="2" t="str">
        <f>HYPERLINK("http://ts.21cn.com/tousu/show/id/1333132","http://ts.21cn.com/tousu/show/id/1333132")</f>
        <v>http://ts.21cn.com/tousu/show/id/1333132</v>
      </c>
      <c r="F2535" s="2" t="s">
        <v>11</v>
      </c>
      <c r="G2535" s="2" t="s">
        <v>39152</v>
      </c>
      <c r="H2535" s="2" t="s">
        <v>39153</v>
      </c>
    </row>
    <row r="2536" spans="1:8" ht="25.05" customHeight="1" x14ac:dyDescent="0.25">
      <c r="A2536" s="2" t="s">
        <v>8</v>
      </c>
      <c r="B2536" s="2" t="str">
        <f>HYPERLINK("http://ts.21cn.com/tousu/show/id/1333133","客服处理不恰当")</f>
        <v>客服处理不恰当</v>
      </c>
      <c r="C2536" s="2" t="s">
        <v>9</v>
      </c>
      <c r="D2536" s="2" t="s">
        <v>10</v>
      </c>
      <c r="E2536" s="2" t="str">
        <f>HYPERLINK("http://ts.21cn.com/tousu/show/id/1333133","http://ts.21cn.com/tousu/show/id/1333133")</f>
        <v>http://ts.21cn.com/tousu/show/id/1333133</v>
      </c>
      <c r="F2536" s="2" t="s">
        <v>11</v>
      </c>
      <c r="G2536" s="2" t="s">
        <v>39150</v>
      </c>
      <c r="H2536" s="2" t="s">
        <v>39151</v>
      </c>
    </row>
    <row r="2537" spans="1:8" ht="25.05" customHeight="1" x14ac:dyDescent="0.25">
      <c r="A2537" s="2" t="s">
        <v>8</v>
      </c>
      <c r="B2537" s="2" t="str">
        <f>HYPERLINK("http://ts.21cn.com/tousu/show/id/1333135","转转集体投诉专题")</f>
        <v>转转集体投诉专题</v>
      </c>
      <c r="C2537" s="2" t="s">
        <v>34</v>
      </c>
      <c r="D2537" s="2" t="s">
        <v>10</v>
      </c>
      <c r="E2537" s="2" t="str">
        <f>HYPERLINK("http://ts.21cn.com/tousu/show/id/1333135","http://ts.21cn.com/tousu/show/id/1333135")</f>
        <v>http://ts.21cn.com/tousu/show/id/1333135</v>
      </c>
      <c r="F2537" s="2" t="s">
        <v>11</v>
      </c>
      <c r="G2537" s="2" t="s">
        <v>39148</v>
      </c>
      <c r="H2537" s="2" t="s">
        <v>39149</v>
      </c>
    </row>
    <row r="2538" spans="1:8" ht="25.05" customHeight="1" x14ac:dyDescent="0.25">
      <c r="A2538" s="2" t="s">
        <v>8</v>
      </c>
      <c r="B2538" s="2" t="str">
        <f>HYPERLINK("http://ts.21cn.com/tousu/show/id/1333134","好易贷714高利贷砍头息爆力威胁催收")</f>
        <v>好易贷714高利贷砍头息爆力威胁催收</v>
      </c>
      <c r="C2538" s="2" t="s">
        <v>9</v>
      </c>
      <c r="D2538" s="2" t="s">
        <v>10</v>
      </c>
      <c r="E2538" s="2" t="str">
        <f>HYPERLINK("http://ts.21cn.com/tousu/show/id/1333134","http://ts.21cn.com/tousu/show/id/1333134")</f>
        <v>http://ts.21cn.com/tousu/show/id/1333134</v>
      </c>
      <c r="F2538" s="2" t="s">
        <v>11</v>
      </c>
      <c r="G2538" s="2" t="s">
        <v>39146</v>
      </c>
      <c r="H2538" s="2" t="s">
        <v>39147</v>
      </c>
    </row>
    <row r="2539" spans="1:8" ht="25.05" customHeight="1" x14ac:dyDescent="0.25">
      <c r="A2539" s="2" t="s">
        <v>8</v>
      </c>
      <c r="B2539" s="2" t="str">
        <f>HYPERLINK("http://ts.21cn.com/tousu/show/id/1333136","宜人贷收高额的砍头息")</f>
        <v>宜人贷收高额的砍头息</v>
      </c>
      <c r="C2539" s="2" t="s">
        <v>9</v>
      </c>
      <c r="D2539" s="2" t="s">
        <v>10</v>
      </c>
      <c r="E2539" s="2" t="str">
        <f>HYPERLINK("http://ts.21cn.com/tousu/show/id/1333136","http://ts.21cn.com/tousu/show/id/1333136")</f>
        <v>http://ts.21cn.com/tousu/show/id/1333136</v>
      </c>
      <c r="F2539" s="2" t="s">
        <v>11</v>
      </c>
      <c r="G2539" s="2" t="s">
        <v>39144</v>
      </c>
      <c r="H2539" s="2" t="s">
        <v>39145</v>
      </c>
    </row>
    <row r="2540" spans="1:8" ht="25.05" customHeight="1" x14ac:dyDescent="0.25">
      <c r="A2540" s="2" t="s">
        <v>8</v>
      </c>
      <c r="B2540" s="2" t="str">
        <f>HYPERLINK("http://ts.21cn.com/tousu/show/id/1333127","盛世传承违规收取会员费")</f>
        <v>盛世传承违规收取会员费</v>
      </c>
      <c r="C2540" s="2" t="s">
        <v>9</v>
      </c>
      <c r="D2540" s="2" t="s">
        <v>10</v>
      </c>
      <c r="E2540" s="2" t="str">
        <f>HYPERLINK("http://ts.21cn.com/tousu/show/id/1333127","http://ts.21cn.com/tousu/show/id/1333127")</f>
        <v>http://ts.21cn.com/tousu/show/id/1333127</v>
      </c>
      <c r="F2540" s="2" t="s">
        <v>11</v>
      </c>
      <c r="G2540" s="2" t="s">
        <v>39142</v>
      </c>
      <c r="H2540" s="2" t="s">
        <v>39143</v>
      </c>
    </row>
    <row r="2541" spans="1:8" ht="25.05" customHeight="1" x14ac:dyDescent="0.25">
      <c r="A2541" s="2" t="s">
        <v>8</v>
      </c>
      <c r="B2541" s="2" t="str">
        <f>HYPERLINK("http://ts.21cn.com/tousu/show/id/1333131","网贷催收")</f>
        <v>网贷催收</v>
      </c>
      <c r="C2541" s="2" t="s">
        <v>9</v>
      </c>
      <c r="D2541" s="2" t="s">
        <v>10</v>
      </c>
      <c r="E2541" s="2" t="str">
        <f>HYPERLINK("http://ts.21cn.com/tousu/show/id/1333131","http://ts.21cn.com/tousu/show/id/1333131")</f>
        <v>http://ts.21cn.com/tousu/show/id/1333131</v>
      </c>
      <c r="F2541" s="2" t="s">
        <v>11</v>
      </c>
      <c r="G2541" s="2" t="s">
        <v>39140</v>
      </c>
      <c r="H2541" s="2" t="s">
        <v>39141</v>
      </c>
    </row>
    <row r="2542" spans="1:8" ht="25.05" customHeight="1" x14ac:dyDescent="0.25">
      <c r="A2542" s="2" t="s">
        <v>8</v>
      </c>
      <c r="B2542" s="2" t="str">
        <f>HYPERLINK("http://ts.21cn.com/tousu/show/id/1333138","嘀嗒出行包庇恶行司机，消费者权益屡糟侵犯")</f>
        <v>嘀嗒出行包庇恶行司机，消费者权益屡糟侵犯</v>
      </c>
      <c r="C2542" s="2" t="s">
        <v>9</v>
      </c>
      <c r="D2542" s="2" t="s">
        <v>10</v>
      </c>
      <c r="E2542" s="2" t="str">
        <f>HYPERLINK("http://ts.21cn.com/tousu/show/id/1333138","http://ts.21cn.com/tousu/show/id/1333138")</f>
        <v>http://ts.21cn.com/tousu/show/id/1333138</v>
      </c>
      <c r="F2542" s="2" t="s">
        <v>11</v>
      </c>
      <c r="G2542" s="2" t="s">
        <v>39138</v>
      </c>
      <c r="H2542" s="2" t="s">
        <v>39139</v>
      </c>
    </row>
    <row r="2543" spans="1:8" ht="25.05" customHeight="1" x14ac:dyDescent="0.25">
      <c r="A2543" s="2" t="s">
        <v>8</v>
      </c>
      <c r="B2543" s="2" t="str">
        <f>HYPERLINK("http://ts.21cn.com/tousu/show/id/1333139","商业欺诈违约")</f>
        <v>商业欺诈违约</v>
      </c>
      <c r="C2543" s="2" t="s">
        <v>9</v>
      </c>
      <c r="D2543" s="2" t="s">
        <v>10</v>
      </c>
      <c r="E2543" s="2" t="str">
        <f>HYPERLINK("http://ts.21cn.com/tousu/show/id/1333139","http://ts.21cn.com/tousu/show/id/1333139")</f>
        <v>http://ts.21cn.com/tousu/show/id/1333139</v>
      </c>
      <c r="F2543" s="2" t="s">
        <v>11</v>
      </c>
      <c r="G2543" s="2" t="s">
        <v>39136</v>
      </c>
      <c r="H2543" s="2" t="s">
        <v>39137</v>
      </c>
    </row>
    <row r="2544" spans="1:8" ht="25.05" customHeight="1" x14ac:dyDescent="0.25">
      <c r="A2544" s="2" t="s">
        <v>8</v>
      </c>
      <c r="B2544" s="2" t="str">
        <f>HYPERLINK("http://ts.21cn.com/tousu/show/id/1333140","维信卡卡贷放款太慢")</f>
        <v>维信卡卡贷放款太慢</v>
      </c>
      <c r="C2544" s="2" t="s">
        <v>34</v>
      </c>
      <c r="D2544" s="2" t="s">
        <v>10</v>
      </c>
      <c r="E2544" s="2" t="str">
        <f>HYPERLINK("http://ts.21cn.com/tousu/show/id/1333140","http://ts.21cn.com/tousu/show/id/1333140")</f>
        <v>http://ts.21cn.com/tousu/show/id/1333140</v>
      </c>
      <c r="F2544" s="2" t="s">
        <v>11</v>
      </c>
      <c r="G2544" s="2" t="s">
        <v>39134</v>
      </c>
      <c r="H2544" s="2" t="s">
        <v>39135</v>
      </c>
    </row>
    <row r="2545" spans="1:8" ht="25.05" customHeight="1" x14ac:dyDescent="0.25">
      <c r="A2545" s="2" t="s">
        <v>8</v>
      </c>
      <c r="B2545" s="2" t="str">
        <f>HYPERLINK("http://ts.21cn.com/tousu/show/id/1333137","中通快递")</f>
        <v>中通快递</v>
      </c>
      <c r="C2545" s="2" t="s">
        <v>9</v>
      </c>
      <c r="D2545" s="2" t="s">
        <v>10</v>
      </c>
      <c r="E2545" s="2" t="str">
        <f>HYPERLINK("http://ts.21cn.com/tousu/show/id/1333137","http://ts.21cn.com/tousu/show/id/1333137")</f>
        <v>http://ts.21cn.com/tousu/show/id/1333137</v>
      </c>
      <c r="F2545" s="2" t="s">
        <v>11</v>
      </c>
      <c r="G2545" s="2" t="s">
        <v>39132</v>
      </c>
      <c r="H2545" s="2" t="s">
        <v>39133</v>
      </c>
    </row>
    <row r="2546" spans="1:8" ht="25.05" customHeight="1" x14ac:dyDescent="0.25">
      <c r="A2546" s="2" t="s">
        <v>8</v>
      </c>
      <c r="B2546" s="2" t="str">
        <f>HYPERLINK("http://ts.21cn.com/tousu/show/id/1333141","深圳市搏壹科技有限公司收押金不退款")</f>
        <v>深圳市搏壹科技有限公司收押金不退款</v>
      </c>
      <c r="C2546" s="2" t="s">
        <v>9</v>
      </c>
      <c r="D2546" s="2" t="s">
        <v>10</v>
      </c>
      <c r="E2546" s="2" t="str">
        <f>HYPERLINK("http://ts.21cn.com/tousu/show/id/1333141","http://ts.21cn.com/tousu/show/id/1333141")</f>
        <v>http://ts.21cn.com/tousu/show/id/1333141</v>
      </c>
      <c r="F2546" s="2" t="s">
        <v>11</v>
      </c>
      <c r="G2546" s="2" t="s">
        <v>39130</v>
      </c>
      <c r="H2546" s="2" t="s">
        <v>39131</v>
      </c>
    </row>
    <row r="2547" spans="1:8" ht="25.05" customHeight="1" x14ac:dyDescent="0.25">
      <c r="A2547" s="2" t="s">
        <v>8</v>
      </c>
      <c r="B2547" s="2" t="str">
        <f>HYPERLINK("http://ts.21cn.com/tousu/show/id/1333142","高利贷公司")</f>
        <v>高利贷公司</v>
      </c>
      <c r="C2547" s="2" t="s">
        <v>9</v>
      </c>
      <c r="D2547" s="2" t="s">
        <v>10</v>
      </c>
      <c r="E2547" s="2" t="str">
        <f>HYPERLINK("http://ts.21cn.com/tousu/show/id/1333142","http://ts.21cn.com/tousu/show/id/1333142")</f>
        <v>http://ts.21cn.com/tousu/show/id/1333142</v>
      </c>
      <c r="F2547" s="2" t="s">
        <v>11</v>
      </c>
      <c r="G2547" s="2" t="s">
        <v>39128</v>
      </c>
      <c r="H2547" s="2" t="s">
        <v>39129</v>
      </c>
    </row>
    <row r="2548" spans="1:8" ht="25.05" customHeight="1" x14ac:dyDescent="0.25">
      <c r="A2548" s="2" t="s">
        <v>8</v>
      </c>
      <c r="B2548" s="2" t="str">
        <f>HYPERLINK("http://ts.21cn.com/tousu/show/id/1333143","玖富平台坑害身边的朋友")</f>
        <v>玖富平台坑害身边的朋友</v>
      </c>
      <c r="C2548" s="2" t="s">
        <v>9</v>
      </c>
      <c r="D2548" s="2" t="s">
        <v>10</v>
      </c>
      <c r="E2548" s="2" t="str">
        <f>HYPERLINK("http://ts.21cn.com/tousu/show/id/1333143","http://ts.21cn.com/tousu/show/id/1333143")</f>
        <v>http://ts.21cn.com/tousu/show/id/1333143</v>
      </c>
      <c r="F2548" s="2" t="s">
        <v>11</v>
      </c>
      <c r="G2548" s="2" t="s">
        <v>39126</v>
      </c>
      <c r="H2548" s="2" t="s">
        <v>39127</v>
      </c>
    </row>
    <row r="2549" spans="1:8" ht="25.05" customHeight="1" x14ac:dyDescent="0.25">
      <c r="A2549" s="2" t="s">
        <v>8</v>
      </c>
      <c r="B2549" s="2" t="str">
        <f>HYPERLINK("http://ts.21cn.com/tousu/show/id/1333144","月光侠分期暴力催收")</f>
        <v>月光侠分期暴力催收</v>
      </c>
      <c r="C2549" s="2" t="s">
        <v>9</v>
      </c>
      <c r="D2549" s="2" t="s">
        <v>10</v>
      </c>
      <c r="E2549" s="2" t="str">
        <f>HYPERLINK("http://ts.21cn.com/tousu/show/id/1333144","http://ts.21cn.com/tousu/show/id/1333144")</f>
        <v>http://ts.21cn.com/tousu/show/id/1333144</v>
      </c>
      <c r="F2549" s="2" t="s">
        <v>11</v>
      </c>
      <c r="G2549" s="2" t="s">
        <v>39124</v>
      </c>
      <c r="H2549" s="2" t="s">
        <v>39125</v>
      </c>
    </row>
    <row r="2550" spans="1:8" ht="25.05" customHeight="1" x14ac:dyDescent="0.25">
      <c r="A2550" s="2" t="s">
        <v>8</v>
      </c>
      <c r="B2550" s="2" t="str">
        <f>HYPERLINK("http://ts.21cn.com/tousu/show/id/1333145","退还利息，高利贷催收威胁")</f>
        <v>退还利息，高利贷催收威胁</v>
      </c>
      <c r="C2550" s="2" t="s">
        <v>9</v>
      </c>
      <c r="D2550" s="2" t="s">
        <v>10</v>
      </c>
      <c r="E2550" s="2" t="str">
        <f>HYPERLINK("http://ts.21cn.com/tousu/show/id/1333145","http://ts.21cn.com/tousu/show/id/1333145")</f>
        <v>http://ts.21cn.com/tousu/show/id/1333145</v>
      </c>
      <c r="F2550" s="2" t="s">
        <v>11</v>
      </c>
      <c r="G2550" s="2" t="s">
        <v>39122</v>
      </c>
      <c r="H2550" s="2" t="s">
        <v>39123</v>
      </c>
    </row>
    <row r="2551" spans="1:8" ht="25.05" customHeight="1" x14ac:dyDescent="0.25">
      <c r="A2551" s="2" t="s">
        <v>8</v>
      </c>
      <c r="B2551" s="2" t="str">
        <f>HYPERLINK("http://ts.21cn.com/tousu/show/id/1333146","投诉涨赢普惠，上海造艺科技有限公司乱扣费，高利贷")</f>
        <v>投诉涨赢普惠，上海造艺科技有限公司乱扣费，高利贷</v>
      </c>
      <c r="C2551" s="2" t="s">
        <v>9</v>
      </c>
      <c r="D2551" s="2" t="s">
        <v>10</v>
      </c>
      <c r="E2551" s="2" t="str">
        <f>HYPERLINK("http://ts.21cn.com/tousu/show/id/1333146","http://ts.21cn.com/tousu/show/id/1333146")</f>
        <v>http://ts.21cn.com/tousu/show/id/1333146</v>
      </c>
      <c r="F2551" s="2" t="s">
        <v>11</v>
      </c>
      <c r="G2551" s="2" t="s">
        <v>39120</v>
      </c>
      <c r="H2551" s="2" t="s">
        <v>39121</v>
      </c>
    </row>
    <row r="2552" spans="1:8" ht="25.05" customHeight="1" x14ac:dyDescent="0.25">
      <c r="A2552" s="2" t="s">
        <v>8</v>
      </c>
      <c r="B2552" s="2" t="str">
        <f>HYPERLINK("http://ts.21cn.com/tousu/show/id/1333147","恐吓我的家人，朋友，亲戚，已经叫好了，还打电话，很多人根本不认，也打")</f>
        <v>恐吓我的家人，朋友，亲戚，已经叫好了，还打电话，很多人根本不认，也打</v>
      </c>
      <c r="C2552" s="2" t="s">
        <v>34</v>
      </c>
      <c r="D2552" s="2" t="s">
        <v>10</v>
      </c>
      <c r="E2552" s="2" t="str">
        <f>HYPERLINK("http://ts.21cn.com/tousu/show/id/1333147","http://ts.21cn.com/tousu/show/id/1333147")</f>
        <v>http://ts.21cn.com/tousu/show/id/1333147</v>
      </c>
      <c r="F2552" s="2" t="s">
        <v>11</v>
      </c>
      <c r="G2552" s="2" t="s">
        <v>39118</v>
      </c>
      <c r="H2552" s="2" t="s">
        <v>39119</v>
      </c>
    </row>
    <row r="2553" spans="1:8" ht="25.05" customHeight="1" x14ac:dyDescent="0.25">
      <c r="A2553" s="2" t="s">
        <v>8</v>
      </c>
      <c r="B2553" s="2" t="str">
        <f>HYPERLINK("http://ts.21cn.com/tousu/show/id/1333148","旗下豆豆钱平台利息高达200一天")</f>
        <v>旗下豆豆钱平台利息高达200一天</v>
      </c>
      <c r="C2553" s="2" t="s">
        <v>9</v>
      </c>
      <c r="D2553" s="2" t="s">
        <v>10</v>
      </c>
      <c r="E2553" s="2" t="str">
        <f>HYPERLINK("http://ts.21cn.com/tousu/show/id/1333148","http://ts.21cn.com/tousu/show/id/1333148")</f>
        <v>http://ts.21cn.com/tousu/show/id/1333148</v>
      </c>
      <c r="F2553" s="2" t="s">
        <v>11</v>
      </c>
      <c r="G2553" s="2" t="s">
        <v>39116</v>
      </c>
      <c r="H2553" s="2" t="s">
        <v>39117</v>
      </c>
    </row>
    <row r="2554" spans="1:8" ht="25.05" customHeight="1" x14ac:dyDescent="0.25">
      <c r="A2554" s="2" t="s">
        <v>8</v>
      </c>
      <c r="B2554" s="2" t="str">
        <f>HYPERLINK("http://ts.21cn.com/tousu/show/id/1333150","利息巨高，还收取服务费")</f>
        <v>利息巨高，还收取服务费</v>
      </c>
      <c r="C2554" s="2" t="s">
        <v>9</v>
      </c>
      <c r="D2554" s="2" t="s">
        <v>10</v>
      </c>
      <c r="E2554" s="2" t="str">
        <f>HYPERLINK("http://ts.21cn.com/tousu/show/id/1333150","http://ts.21cn.com/tousu/show/id/1333150")</f>
        <v>http://ts.21cn.com/tousu/show/id/1333150</v>
      </c>
      <c r="F2554" s="2" t="s">
        <v>11</v>
      </c>
      <c r="G2554" s="2" t="s">
        <v>39114</v>
      </c>
      <c r="H2554" s="2" t="s">
        <v>39115</v>
      </c>
    </row>
    <row r="2555" spans="1:8" ht="25.05" customHeight="1" x14ac:dyDescent="0.25">
      <c r="A2555" s="2" t="s">
        <v>8</v>
      </c>
      <c r="B2555" s="2" t="str">
        <f>HYPERLINK("http://ts.21cn.com/tousu/show/id/1333153","钱站高利贷")</f>
        <v>钱站高利贷</v>
      </c>
      <c r="C2555" s="2" t="s">
        <v>9</v>
      </c>
      <c r="D2555" s="2" t="s">
        <v>10</v>
      </c>
      <c r="E2555" s="2" t="str">
        <f>HYPERLINK("http://ts.21cn.com/tousu/show/id/1333153","http://ts.21cn.com/tousu/show/id/1333153")</f>
        <v>http://ts.21cn.com/tousu/show/id/1333153</v>
      </c>
      <c r="F2555" s="2" t="s">
        <v>11</v>
      </c>
      <c r="G2555" s="2" t="s">
        <v>39112</v>
      </c>
      <c r="H2555" s="2" t="s">
        <v>39113</v>
      </c>
    </row>
    <row r="2556" spans="1:8" ht="25.05" customHeight="1" x14ac:dyDescent="0.25">
      <c r="A2556" s="2" t="s">
        <v>8</v>
      </c>
      <c r="B2556" s="2" t="str">
        <f>HYPERLINK("http://ts.21cn.com/tousu/show/id/1333154","砍头息高利贷套路逾期")</f>
        <v>砍头息高利贷套路逾期</v>
      </c>
      <c r="C2556" s="2" t="s">
        <v>9</v>
      </c>
      <c r="D2556" s="2" t="s">
        <v>10</v>
      </c>
      <c r="E2556" s="2" t="str">
        <f>HYPERLINK("http://ts.21cn.com/tousu/show/id/1333154","http://ts.21cn.com/tousu/show/id/1333154")</f>
        <v>http://ts.21cn.com/tousu/show/id/1333154</v>
      </c>
      <c r="F2556" s="2" t="s">
        <v>11</v>
      </c>
      <c r="G2556" s="2" t="s">
        <v>39110</v>
      </c>
      <c r="H2556" s="2" t="s">
        <v>39111</v>
      </c>
    </row>
    <row r="2557" spans="1:8" ht="25.05" customHeight="1" x14ac:dyDescent="0.25">
      <c r="A2557" s="2" t="s">
        <v>8</v>
      </c>
      <c r="B2557" s="2" t="str">
        <f>HYPERLINK("http://ts.21cn.com/tousu/show/id/1333155","玖富撮合新浪普惠收取高额高额服务费")</f>
        <v>玖富撮合新浪普惠收取高额高额服务费</v>
      </c>
      <c r="C2557" s="2" t="s">
        <v>34</v>
      </c>
      <c r="D2557" s="2" t="s">
        <v>10</v>
      </c>
      <c r="E2557" s="2" t="str">
        <f>HYPERLINK("http://ts.21cn.com/tousu/show/id/1333155","http://ts.21cn.com/tousu/show/id/1333155")</f>
        <v>http://ts.21cn.com/tousu/show/id/1333155</v>
      </c>
      <c r="F2557" s="2" t="s">
        <v>11</v>
      </c>
      <c r="G2557" s="2" t="s">
        <v>39108</v>
      </c>
      <c r="H2557" s="2" t="s">
        <v>39109</v>
      </c>
    </row>
    <row r="2558" spans="1:8" ht="25.05" customHeight="1" x14ac:dyDescent="0.25">
      <c r="A2558" s="2" t="s">
        <v>8</v>
      </c>
      <c r="B2558" s="2" t="str">
        <f>HYPERLINK("http://ts.21cn.com/tousu/show/id/1333156","淘宝商家卖翻新机坑害消费者")</f>
        <v>淘宝商家卖翻新机坑害消费者</v>
      </c>
      <c r="C2558" s="2" t="s">
        <v>9</v>
      </c>
      <c r="D2558" s="2" t="s">
        <v>10</v>
      </c>
      <c r="E2558" s="2" t="str">
        <f>HYPERLINK("http://ts.21cn.com/tousu/show/id/1333156","http://ts.21cn.com/tousu/show/id/1333156")</f>
        <v>http://ts.21cn.com/tousu/show/id/1333156</v>
      </c>
      <c r="F2558" s="2" t="s">
        <v>11</v>
      </c>
      <c r="G2558" s="2" t="s">
        <v>39106</v>
      </c>
      <c r="H2558" s="2" t="s">
        <v>39107</v>
      </c>
    </row>
    <row r="2559" spans="1:8" ht="25.05" customHeight="1" x14ac:dyDescent="0.25">
      <c r="A2559" s="2" t="s">
        <v>8</v>
      </c>
      <c r="B2559" s="2" t="str">
        <f>HYPERLINK("http://ts.21cn.com/tousu/show/id/1333157","小花钱包阴阳合同，借2万显示24398，并且暴力催收")</f>
        <v>小花钱包阴阳合同，借2万显示24398，并且暴力催收</v>
      </c>
      <c r="C2559" s="2" t="s">
        <v>9</v>
      </c>
      <c r="D2559" s="2" t="s">
        <v>10</v>
      </c>
      <c r="E2559" s="2" t="str">
        <f>HYPERLINK("http://ts.21cn.com/tousu/show/id/1333157","http://ts.21cn.com/tousu/show/id/1333157")</f>
        <v>http://ts.21cn.com/tousu/show/id/1333157</v>
      </c>
      <c r="F2559" s="2" t="s">
        <v>11</v>
      </c>
      <c r="G2559" s="2" t="s">
        <v>39104</v>
      </c>
      <c r="H2559" s="2" t="s">
        <v>39105</v>
      </c>
    </row>
    <row r="2560" spans="1:8" ht="25.05" customHeight="1" x14ac:dyDescent="0.25">
      <c r="A2560" s="2" t="s">
        <v>8</v>
      </c>
      <c r="B2560" s="2" t="str">
        <f>HYPERLINK("http://ts.21cn.com/tousu/show/id/1333158","利息太高")</f>
        <v>利息太高</v>
      </c>
      <c r="C2560" s="2" t="s">
        <v>9</v>
      </c>
      <c r="D2560" s="2" t="s">
        <v>10</v>
      </c>
      <c r="E2560" s="2" t="str">
        <f>HYPERLINK("http://ts.21cn.com/tousu/show/id/1333158","http://ts.21cn.com/tousu/show/id/1333158")</f>
        <v>http://ts.21cn.com/tousu/show/id/1333158</v>
      </c>
      <c r="F2560" s="2" t="s">
        <v>11</v>
      </c>
      <c r="G2560" s="2" t="s">
        <v>39102</v>
      </c>
      <c r="H2560" s="2" t="s">
        <v>39103</v>
      </c>
    </row>
    <row r="2561" spans="1:8" ht="25.05" customHeight="1" x14ac:dyDescent="0.25">
      <c r="A2561" s="2" t="s">
        <v>8</v>
      </c>
      <c r="B2561" s="2" t="str">
        <f>HYPERLINK("http://ts.21cn.com/tousu/show/id/1333159","维信卡卡贷放款太慢")</f>
        <v>维信卡卡贷放款太慢</v>
      </c>
      <c r="C2561" s="2" t="s">
        <v>34</v>
      </c>
      <c r="D2561" s="2" t="s">
        <v>10</v>
      </c>
      <c r="E2561" s="2" t="str">
        <f>HYPERLINK("http://ts.21cn.com/tousu/show/id/1333159","http://ts.21cn.com/tousu/show/id/1333159")</f>
        <v>http://ts.21cn.com/tousu/show/id/1333159</v>
      </c>
      <c r="F2561" s="2" t="s">
        <v>11</v>
      </c>
      <c r="G2561" s="2" t="s">
        <v>39100</v>
      </c>
      <c r="H2561" s="2" t="s">
        <v>39101</v>
      </c>
    </row>
    <row r="2562" spans="1:8" ht="25.05" customHeight="1" x14ac:dyDescent="0.25">
      <c r="A2562" s="2" t="s">
        <v>8</v>
      </c>
      <c r="B2562" s="2" t="str">
        <f>HYPERLINK("http://ts.21cn.com/tousu/show/id/1333160","利息太高")</f>
        <v>利息太高</v>
      </c>
      <c r="C2562" s="2" t="s">
        <v>9</v>
      </c>
      <c r="D2562" s="2" t="s">
        <v>10</v>
      </c>
      <c r="E2562" s="2" t="str">
        <f>HYPERLINK("http://ts.21cn.com/tousu/show/id/1333160","http://ts.21cn.com/tousu/show/id/1333160")</f>
        <v>http://ts.21cn.com/tousu/show/id/1333160</v>
      </c>
      <c r="F2562" s="2" t="s">
        <v>11</v>
      </c>
      <c r="G2562" s="2" t="s">
        <v>39098</v>
      </c>
      <c r="H2562" s="2" t="s">
        <v>39099</v>
      </c>
    </row>
    <row r="2563" spans="1:8" ht="25.05" customHeight="1" x14ac:dyDescent="0.25">
      <c r="A2563" s="2" t="s">
        <v>8</v>
      </c>
      <c r="B2563" s="2" t="str">
        <f>HYPERLINK("http://ts.21cn.com/tousu/show/id/1333161","钱站高利贷阴阳合同")</f>
        <v>钱站高利贷阴阳合同</v>
      </c>
      <c r="C2563" s="2" t="s">
        <v>9</v>
      </c>
      <c r="D2563" s="2" t="s">
        <v>10</v>
      </c>
      <c r="E2563" s="2" t="str">
        <f>HYPERLINK("http://ts.21cn.com/tousu/show/id/1333161","http://ts.21cn.com/tousu/show/id/1333161")</f>
        <v>http://ts.21cn.com/tousu/show/id/1333161</v>
      </c>
      <c r="F2563" s="2" t="s">
        <v>11</v>
      </c>
      <c r="G2563" s="2" t="s">
        <v>39096</v>
      </c>
      <c r="H2563" s="2" t="s">
        <v>39097</v>
      </c>
    </row>
    <row r="2564" spans="1:8" ht="25.05" customHeight="1" x14ac:dyDescent="0.25">
      <c r="A2564" s="2" t="s">
        <v>8</v>
      </c>
      <c r="B2564" s="2" t="str">
        <f>HYPERLINK("http://ts.21cn.com/tousu/show/id/1333162","超利贷砍头息暴力催收威胁恐吓敲诈骚扰通讯录")</f>
        <v>超利贷砍头息暴力催收威胁恐吓敲诈骚扰通讯录</v>
      </c>
      <c r="C2564" s="2" t="s">
        <v>9</v>
      </c>
      <c r="D2564" s="2" t="s">
        <v>10</v>
      </c>
      <c r="E2564" s="2" t="str">
        <f>HYPERLINK("http://ts.21cn.com/tousu/show/id/1333162","http://ts.21cn.com/tousu/show/id/1333162")</f>
        <v>http://ts.21cn.com/tousu/show/id/1333162</v>
      </c>
      <c r="F2564" s="2" t="s">
        <v>11</v>
      </c>
      <c r="G2564" s="2" t="s">
        <v>39094</v>
      </c>
      <c r="H2564" s="2" t="s">
        <v>39095</v>
      </c>
    </row>
    <row r="2565" spans="1:8" ht="25.05" customHeight="1" x14ac:dyDescent="0.25">
      <c r="A2565" s="2" t="s">
        <v>8</v>
      </c>
      <c r="B2565" s="2" t="str">
        <f>HYPERLINK("http://ts.21cn.com/tousu/show/id/1333163","无故删除我的账号")</f>
        <v>无故删除我的账号</v>
      </c>
      <c r="C2565" s="2" t="s">
        <v>34</v>
      </c>
      <c r="D2565" s="2" t="s">
        <v>10</v>
      </c>
      <c r="E2565" s="2" t="str">
        <f>HYPERLINK("http://ts.21cn.com/tousu/show/id/1333163","http://ts.21cn.com/tousu/show/id/1333163")</f>
        <v>http://ts.21cn.com/tousu/show/id/1333163</v>
      </c>
      <c r="F2565" s="2" t="s">
        <v>11</v>
      </c>
      <c r="G2565" s="2" t="s">
        <v>39092</v>
      </c>
      <c r="H2565" s="2" t="s">
        <v>39093</v>
      </c>
    </row>
    <row r="2566" spans="1:8" ht="25.05" customHeight="1" x14ac:dyDescent="0.25">
      <c r="A2566" s="2" t="s">
        <v>8</v>
      </c>
      <c r="B2566" s="2" t="str">
        <f>HYPERLINK("http://ts.21cn.com/tousu/show/id/1333164","我来数科高利贷")</f>
        <v>我来数科高利贷</v>
      </c>
      <c r="C2566" s="2" t="s">
        <v>9</v>
      </c>
      <c r="D2566" s="2" t="s">
        <v>10</v>
      </c>
      <c r="E2566" s="2" t="str">
        <f>HYPERLINK("http://ts.21cn.com/tousu/show/id/1333164","http://ts.21cn.com/tousu/show/id/1333164")</f>
        <v>http://ts.21cn.com/tousu/show/id/1333164</v>
      </c>
      <c r="F2566" s="2" t="s">
        <v>11</v>
      </c>
      <c r="G2566" s="2" t="s">
        <v>39090</v>
      </c>
      <c r="H2566" s="2" t="s">
        <v>39091</v>
      </c>
    </row>
    <row r="2567" spans="1:8" ht="25.05" customHeight="1" x14ac:dyDescent="0.25">
      <c r="A2567" s="2" t="s">
        <v>8</v>
      </c>
      <c r="B2567" s="2" t="str">
        <f>HYPERLINK("http://ts.21cn.com/tousu/show/id/1333165","违规网贷平台收取高额砍头息")</f>
        <v>违规网贷平台收取高额砍头息</v>
      </c>
      <c r="C2567" s="2" t="s">
        <v>9</v>
      </c>
      <c r="D2567" s="2" t="s">
        <v>10</v>
      </c>
      <c r="E2567" s="2" t="str">
        <f>HYPERLINK("http://ts.21cn.com/tousu/show/id/1333165","http://ts.21cn.com/tousu/show/id/1333165")</f>
        <v>http://ts.21cn.com/tousu/show/id/1333165</v>
      </c>
      <c r="F2567" s="2" t="s">
        <v>11</v>
      </c>
      <c r="G2567" s="2" t="s">
        <v>39088</v>
      </c>
      <c r="H2567" s="2" t="s">
        <v>39089</v>
      </c>
    </row>
    <row r="2568" spans="1:8" ht="25.05" customHeight="1" x14ac:dyDescent="0.25">
      <c r="A2568" s="2" t="s">
        <v>8</v>
      </c>
      <c r="B2568" s="2" t="str">
        <f>HYPERLINK("http://ts.21cn.com/tousu/show/id/1333166","钱站高利贷阴阳合同")</f>
        <v>钱站高利贷阴阳合同</v>
      </c>
      <c r="C2568" s="2" t="s">
        <v>9</v>
      </c>
      <c r="D2568" s="2" t="s">
        <v>10</v>
      </c>
      <c r="E2568" s="2" t="str">
        <f>HYPERLINK("http://ts.21cn.com/tousu/show/id/1333166","http://ts.21cn.com/tousu/show/id/1333166")</f>
        <v>http://ts.21cn.com/tousu/show/id/1333166</v>
      </c>
      <c r="F2568" s="2" t="s">
        <v>11</v>
      </c>
      <c r="G2568" s="2" t="s">
        <v>39086</v>
      </c>
      <c r="H2568" s="2" t="s">
        <v>39087</v>
      </c>
    </row>
    <row r="2569" spans="1:8" ht="25.05" customHeight="1" x14ac:dyDescent="0.25">
      <c r="A2569" s="2" t="s">
        <v>8</v>
      </c>
      <c r="B2569" s="2" t="str">
        <f>HYPERLINK("http://ts.21cn.com/tousu/show/id/1333167","京东和国通石油联合发行的京通天下大国卡无法使用，也不给回复和退款，京东更是推卸责任")</f>
        <v>京东和国通石油联合发行的京通天下大国卡无法使用，也不给回复和退款，京东更是推卸责任</v>
      </c>
      <c r="C2569" s="2" t="s">
        <v>9</v>
      </c>
      <c r="D2569" s="2" t="s">
        <v>10</v>
      </c>
      <c r="E2569" s="2" t="str">
        <f>HYPERLINK("http://ts.21cn.com/tousu/show/id/1333167","http://ts.21cn.com/tousu/show/id/1333167")</f>
        <v>http://ts.21cn.com/tousu/show/id/1333167</v>
      </c>
      <c r="F2569" s="2" t="s">
        <v>11</v>
      </c>
      <c r="G2569" s="2" t="s">
        <v>39084</v>
      </c>
      <c r="H2569" s="2" t="s">
        <v>39085</v>
      </c>
    </row>
    <row r="2570" spans="1:8" ht="25.05" customHeight="1" x14ac:dyDescent="0.25">
      <c r="A2570" s="2" t="s">
        <v>8</v>
      </c>
      <c r="B2570" s="2" t="str">
        <f>HYPERLINK("http://ts.21cn.com/tousu/show/id/1333168","要求毛豆新车退款")</f>
        <v>要求毛豆新车退款</v>
      </c>
      <c r="C2570" s="2" t="s">
        <v>9</v>
      </c>
      <c r="D2570" s="2" t="s">
        <v>10</v>
      </c>
      <c r="E2570" s="2" t="str">
        <f>HYPERLINK("http://ts.21cn.com/tousu/show/id/1333168","http://ts.21cn.com/tousu/show/id/1333168")</f>
        <v>http://ts.21cn.com/tousu/show/id/1333168</v>
      </c>
      <c r="F2570" s="2" t="s">
        <v>11</v>
      </c>
      <c r="G2570" s="2" t="s">
        <v>39082</v>
      </c>
      <c r="H2570" s="2" t="s">
        <v>39083</v>
      </c>
    </row>
    <row r="2571" spans="1:8" ht="25.05" customHeight="1" x14ac:dyDescent="0.25">
      <c r="A2571" s="2" t="s">
        <v>8</v>
      </c>
      <c r="B2571" s="2" t="str">
        <f>HYPERLINK("http://ts.21cn.com/tousu/show/id/1333169","安逸花单方面终止合同，锁定账户")</f>
        <v>安逸花单方面终止合同，锁定账户</v>
      </c>
      <c r="C2571" s="2" t="s">
        <v>34</v>
      </c>
      <c r="D2571" s="2" t="s">
        <v>10</v>
      </c>
      <c r="E2571" s="2" t="str">
        <f>HYPERLINK("http://ts.21cn.com/tousu/show/id/1333169","http://ts.21cn.com/tousu/show/id/1333169")</f>
        <v>http://ts.21cn.com/tousu/show/id/1333169</v>
      </c>
      <c r="F2571" s="2" t="s">
        <v>11</v>
      </c>
      <c r="G2571" s="2" t="s">
        <v>39080</v>
      </c>
      <c r="H2571" s="2" t="s">
        <v>39081</v>
      </c>
    </row>
    <row r="2572" spans="1:8" ht="25.05" customHeight="1" x14ac:dyDescent="0.25">
      <c r="A2572" s="2" t="s">
        <v>8</v>
      </c>
      <c r="B2572" s="2" t="str">
        <f>HYPERLINK("http://ts.21cn.com/tousu/show/id/1333170","转转集体投诉专题")</f>
        <v>转转集体投诉专题</v>
      </c>
      <c r="C2572" s="2" t="s">
        <v>34</v>
      </c>
      <c r="D2572" s="2" t="s">
        <v>10</v>
      </c>
      <c r="E2572" s="2" t="str">
        <f>HYPERLINK("http://ts.21cn.com/tousu/show/id/1333170","http://ts.21cn.com/tousu/show/id/1333170")</f>
        <v>http://ts.21cn.com/tousu/show/id/1333170</v>
      </c>
      <c r="F2572" s="2" t="s">
        <v>11</v>
      </c>
      <c r="G2572" s="2" t="s">
        <v>39078</v>
      </c>
      <c r="H2572" s="2" t="s">
        <v>39079</v>
      </c>
    </row>
    <row r="2573" spans="1:8" ht="25.05" customHeight="1" x14ac:dyDescent="0.25">
      <c r="A2573" s="2" t="s">
        <v>8</v>
      </c>
      <c r="B2573" s="2" t="str">
        <f>HYPERLINK("http://ts.21cn.com/tousu/show/id/1333171","高利贷砍头息")</f>
        <v>高利贷砍头息</v>
      </c>
      <c r="C2573" s="2" t="s">
        <v>9</v>
      </c>
      <c r="D2573" s="2" t="s">
        <v>10</v>
      </c>
      <c r="E2573" s="2" t="str">
        <f>HYPERLINK("http://ts.21cn.com/tousu/show/id/1333171","http://ts.21cn.com/tousu/show/id/1333171")</f>
        <v>http://ts.21cn.com/tousu/show/id/1333171</v>
      </c>
      <c r="F2573" s="2" t="s">
        <v>11</v>
      </c>
      <c r="G2573" s="2" t="s">
        <v>39076</v>
      </c>
      <c r="H2573" s="2" t="s">
        <v>39077</v>
      </c>
    </row>
    <row r="2574" spans="1:8" ht="25.05" customHeight="1" x14ac:dyDescent="0.25">
      <c r="A2574" s="2" t="s">
        <v>8</v>
      </c>
      <c r="B2574" s="2" t="str">
        <f>HYPERLINK("http://ts.21cn.com/tousu/show/id/1333172","天猫中国移动官方旗舰店（浙江问问网络科技公司）故意拖延拒绝正常退货")</f>
        <v>天猫中国移动官方旗舰店（浙江问问网络科技公司）故意拖延拒绝正常退货</v>
      </c>
      <c r="C2574" s="2" t="s">
        <v>9</v>
      </c>
      <c r="D2574" s="2" t="s">
        <v>10</v>
      </c>
      <c r="E2574" s="2" t="str">
        <f>HYPERLINK("http://ts.21cn.com/tousu/show/id/1333172","http://ts.21cn.com/tousu/show/id/1333172")</f>
        <v>http://ts.21cn.com/tousu/show/id/1333172</v>
      </c>
      <c r="F2574" s="2" t="s">
        <v>11</v>
      </c>
      <c r="G2574" s="2" t="s">
        <v>39074</v>
      </c>
      <c r="H2574" s="2" t="s">
        <v>39075</v>
      </c>
    </row>
    <row r="2575" spans="1:8" ht="25.05" customHeight="1" x14ac:dyDescent="0.25">
      <c r="A2575" s="2" t="s">
        <v>8</v>
      </c>
      <c r="B2575" s="2" t="str">
        <f>HYPERLINK("http://ts.21cn.com/tousu/show/id/1333174","玖富平台服务费和利息都高")</f>
        <v>玖富平台服务费和利息都高</v>
      </c>
      <c r="C2575" s="2" t="s">
        <v>34</v>
      </c>
      <c r="D2575" s="2" t="s">
        <v>10</v>
      </c>
      <c r="E2575" s="2" t="str">
        <f>HYPERLINK("http://ts.21cn.com/tousu/show/id/1333174","http://ts.21cn.com/tousu/show/id/1333174")</f>
        <v>http://ts.21cn.com/tousu/show/id/1333174</v>
      </c>
      <c r="F2575" s="2" t="s">
        <v>11</v>
      </c>
      <c r="G2575" s="2" t="s">
        <v>39072</v>
      </c>
      <c r="H2575" s="2" t="s">
        <v>39073</v>
      </c>
    </row>
    <row r="2576" spans="1:8" ht="25.05" customHeight="1" x14ac:dyDescent="0.25">
      <c r="A2576" s="2" t="s">
        <v>8</v>
      </c>
      <c r="B2576" s="2" t="str">
        <f>HYPERLINK("http://ts.21cn.com/tousu/show/id/1333175","为什么没有经过我的同意，打爆我的通讯录，骚扰我的家人，朋友，还有根本不认识的人")</f>
        <v>为什么没有经过我的同意，打爆我的通讯录，骚扰我的家人，朋友，还有根本不认识的人</v>
      </c>
      <c r="C2576" s="2" t="s">
        <v>34</v>
      </c>
      <c r="D2576" s="2" t="s">
        <v>10</v>
      </c>
      <c r="E2576" s="2" t="str">
        <f>HYPERLINK("http://ts.21cn.com/tousu/show/id/1333175","http://ts.21cn.com/tousu/show/id/1333175")</f>
        <v>http://ts.21cn.com/tousu/show/id/1333175</v>
      </c>
      <c r="F2576" s="2" t="s">
        <v>11</v>
      </c>
      <c r="G2576" s="2" t="s">
        <v>39070</v>
      </c>
      <c r="H2576" s="2" t="s">
        <v>39071</v>
      </c>
    </row>
    <row r="2577" spans="1:8" ht="25.05" customHeight="1" x14ac:dyDescent="0.25">
      <c r="A2577" s="2" t="s">
        <v>8</v>
      </c>
      <c r="B2577" s="2" t="str">
        <f>HYPERLINK("http://ts.21cn.com/tousu/show/id/1333176","携程网订房间已付款却无法查询订单，酒店也收不到订单，恶意扣款，客服无法联系")</f>
        <v>携程网订房间已付款却无法查询订单，酒店也收不到订单，恶意扣款，客服无法联系</v>
      </c>
      <c r="C2577" s="2" t="s">
        <v>9</v>
      </c>
      <c r="D2577" s="2" t="s">
        <v>10</v>
      </c>
      <c r="E2577" s="2" t="str">
        <f>HYPERLINK("http://ts.21cn.com/tousu/show/id/1333176","http://ts.21cn.com/tousu/show/id/1333176")</f>
        <v>http://ts.21cn.com/tousu/show/id/1333176</v>
      </c>
      <c r="F2577" s="2" t="s">
        <v>11</v>
      </c>
      <c r="G2577" s="2" t="s">
        <v>39068</v>
      </c>
      <c r="H2577" s="2" t="s">
        <v>39069</v>
      </c>
    </row>
    <row r="2578" spans="1:8" ht="25.05" customHeight="1" x14ac:dyDescent="0.25">
      <c r="A2578" s="2" t="s">
        <v>8</v>
      </c>
      <c r="B2578" s="2" t="str">
        <f>HYPERLINK("http://ts.21cn.com/tousu/show/id/1333178","投诉中金支付有限公司为非法交易平台提供资金结算服务，要求赔偿损失")</f>
        <v>投诉中金支付有限公司为非法交易平台提供资金结算服务，要求赔偿损失</v>
      </c>
      <c r="C2578" s="2" t="s">
        <v>9</v>
      </c>
      <c r="D2578" s="2" t="s">
        <v>10</v>
      </c>
      <c r="E2578" s="2" t="str">
        <f>HYPERLINK("http://ts.21cn.com/tousu/show/id/1333178","http://ts.21cn.com/tousu/show/id/1333178")</f>
        <v>http://ts.21cn.com/tousu/show/id/1333178</v>
      </c>
      <c r="F2578" s="2" t="s">
        <v>11</v>
      </c>
      <c r="G2578" s="2" t="s">
        <v>39066</v>
      </c>
      <c r="H2578" s="2" t="s">
        <v>39067</v>
      </c>
    </row>
    <row r="2579" spans="1:8" ht="25.05" customHeight="1" x14ac:dyDescent="0.25">
      <c r="A2579" s="2" t="s">
        <v>8</v>
      </c>
      <c r="B2579" s="2" t="str">
        <f>HYPERLINK("http://ts.21cn.com/tousu/show/id/1333179","钱站高利贷阴阳合同")</f>
        <v>钱站高利贷阴阳合同</v>
      </c>
      <c r="C2579" s="2" t="s">
        <v>9</v>
      </c>
      <c r="D2579" s="2" t="s">
        <v>10</v>
      </c>
      <c r="E2579" s="2" t="str">
        <f>HYPERLINK("http://ts.21cn.com/tousu/show/id/1333179","http://ts.21cn.com/tousu/show/id/1333179")</f>
        <v>http://ts.21cn.com/tousu/show/id/1333179</v>
      </c>
      <c r="F2579" s="2" t="s">
        <v>11</v>
      </c>
      <c r="G2579" s="2" t="s">
        <v>39064</v>
      </c>
      <c r="H2579" s="2" t="s">
        <v>39065</v>
      </c>
    </row>
    <row r="2580" spans="1:8" ht="25.05" customHeight="1" x14ac:dyDescent="0.25">
      <c r="A2580" s="2" t="s">
        <v>8</v>
      </c>
      <c r="B2580" s="2" t="str">
        <f>HYPERLINK("http://ts.21cn.com/tousu/show/id/1333181","本金已还清，利息要求按照国家规定给")</f>
        <v>本金已还清，利息要求按照国家规定给</v>
      </c>
      <c r="C2580" s="2" t="s">
        <v>34</v>
      </c>
      <c r="D2580" s="2" t="s">
        <v>10</v>
      </c>
      <c r="E2580" s="2" t="str">
        <f>HYPERLINK("http://ts.21cn.com/tousu/show/id/1333181","http://ts.21cn.com/tousu/show/id/1333181")</f>
        <v>http://ts.21cn.com/tousu/show/id/1333181</v>
      </c>
      <c r="F2580" s="2" t="s">
        <v>11</v>
      </c>
      <c r="G2580" s="2" t="s">
        <v>39062</v>
      </c>
      <c r="H2580" s="2" t="s">
        <v>39063</v>
      </c>
    </row>
    <row r="2581" spans="1:8" ht="25.05" customHeight="1" x14ac:dyDescent="0.25">
      <c r="A2581" s="2" t="s">
        <v>8</v>
      </c>
      <c r="B2581" s="2" t="str">
        <f>HYPERLINK("http://ts.21cn.com/tousu/show/id/1333182","恶意扣款。退款百般刁难欺诈")</f>
        <v>恶意扣款。退款百般刁难欺诈</v>
      </c>
      <c r="C2581" s="2" t="s">
        <v>9</v>
      </c>
      <c r="D2581" s="2" t="s">
        <v>10</v>
      </c>
      <c r="E2581" s="2" t="str">
        <f>HYPERLINK("http://ts.21cn.com/tousu/show/id/1333182","http://ts.21cn.com/tousu/show/id/1333182")</f>
        <v>http://ts.21cn.com/tousu/show/id/1333182</v>
      </c>
      <c r="F2581" s="2" t="s">
        <v>11</v>
      </c>
      <c r="G2581" s="2" t="s">
        <v>39060</v>
      </c>
      <c r="H2581" s="2" t="s">
        <v>39061</v>
      </c>
    </row>
    <row r="2582" spans="1:8" ht="25.05" customHeight="1" x14ac:dyDescent="0.25">
      <c r="A2582" s="2" t="s">
        <v>8</v>
      </c>
      <c r="B2582" s="2" t="str">
        <f>HYPERLINK("http://ts.21cn.com/tousu/show/id/1333183","小浦优客APP未提示扣取报告费要求退回")</f>
        <v>小浦优客APP未提示扣取报告费要求退回</v>
      </c>
      <c r="C2582" s="2" t="s">
        <v>9</v>
      </c>
      <c r="D2582" s="2" t="s">
        <v>10</v>
      </c>
      <c r="E2582" s="2" t="str">
        <f>HYPERLINK("http://ts.21cn.com/tousu/show/id/1333183","http://ts.21cn.com/tousu/show/id/1333183")</f>
        <v>http://ts.21cn.com/tousu/show/id/1333183</v>
      </c>
      <c r="F2582" s="2" t="s">
        <v>11</v>
      </c>
      <c r="G2582" s="2" t="s">
        <v>39058</v>
      </c>
      <c r="H2582" s="2" t="s">
        <v>39059</v>
      </c>
    </row>
    <row r="2583" spans="1:8" ht="25.05" customHeight="1" x14ac:dyDescent="0.25">
      <c r="A2583" s="2" t="s">
        <v>8</v>
      </c>
      <c r="B2583" s="2" t="str">
        <f>HYPERLINK("http://ts.21cn.com/tousu/show/id/1333184","苏宁系统不稳定导致客户损失500元")</f>
        <v>苏宁系统不稳定导致客户损失500元</v>
      </c>
      <c r="C2583" s="2" t="s">
        <v>9</v>
      </c>
      <c r="D2583" s="2" t="s">
        <v>10</v>
      </c>
      <c r="E2583" s="2" t="str">
        <f>HYPERLINK("http://ts.21cn.com/tousu/show/id/1333184","http://ts.21cn.com/tousu/show/id/1333184")</f>
        <v>http://ts.21cn.com/tousu/show/id/1333184</v>
      </c>
      <c r="F2583" s="2" t="s">
        <v>11</v>
      </c>
      <c r="G2583" s="2" t="s">
        <v>39056</v>
      </c>
      <c r="H2583" s="2" t="s">
        <v>39057</v>
      </c>
    </row>
    <row r="2584" spans="1:8" ht="25.05" customHeight="1" x14ac:dyDescent="0.25">
      <c r="A2584" s="2" t="s">
        <v>8</v>
      </c>
      <c r="B2584" s="2" t="str">
        <f>HYPERLINK("http://ts.21cn.com/tousu/show/id/1333185","投诉携程网扣费却订单不成功")</f>
        <v>投诉携程网扣费却订单不成功</v>
      </c>
      <c r="C2584" s="2" t="s">
        <v>9</v>
      </c>
      <c r="D2584" s="2" t="s">
        <v>10</v>
      </c>
      <c r="E2584" s="2" t="str">
        <f>HYPERLINK("http://ts.21cn.com/tousu/show/id/1333185","http://ts.21cn.com/tousu/show/id/1333185")</f>
        <v>http://ts.21cn.com/tousu/show/id/1333185</v>
      </c>
      <c r="F2584" s="2" t="s">
        <v>11</v>
      </c>
      <c r="G2584" s="2" t="s">
        <v>39054</v>
      </c>
      <c r="H2584" s="2" t="s">
        <v>39055</v>
      </c>
    </row>
    <row r="2585" spans="1:8" ht="25.05" customHeight="1" x14ac:dyDescent="0.25">
      <c r="A2585" s="2" t="s">
        <v>8</v>
      </c>
      <c r="B2585" s="2" t="str">
        <f>HYPERLINK("http://ts.21cn.com/tousu/show/id/1333186","滴滴无缘无故限制派单只接男不接女")</f>
        <v>滴滴无缘无故限制派单只接男不接女</v>
      </c>
      <c r="C2585" s="2" t="s">
        <v>9</v>
      </c>
      <c r="D2585" s="2" t="s">
        <v>10</v>
      </c>
      <c r="E2585" s="2" t="str">
        <f>HYPERLINK("http://ts.21cn.com/tousu/show/id/1333186","http://ts.21cn.com/tousu/show/id/1333186")</f>
        <v>http://ts.21cn.com/tousu/show/id/1333186</v>
      </c>
      <c r="F2585" s="2" t="s">
        <v>11</v>
      </c>
      <c r="G2585" s="2" t="s">
        <v>39052</v>
      </c>
      <c r="H2585" s="2" t="s">
        <v>39053</v>
      </c>
    </row>
    <row r="2586" spans="1:8" ht="25.05" customHeight="1" x14ac:dyDescent="0.25">
      <c r="A2586" s="2" t="s">
        <v>8</v>
      </c>
      <c r="B2586" s="2" t="str">
        <f>HYPERLINK("http://ts.21cn.com/tousu/show/id/1333187","淘集集不退保证金")</f>
        <v>淘集集不退保证金</v>
      </c>
      <c r="C2586" s="2" t="s">
        <v>9</v>
      </c>
      <c r="D2586" s="2" t="s">
        <v>10</v>
      </c>
      <c r="E2586" s="2" t="str">
        <f>HYPERLINK("http://ts.21cn.com/tousu/show/id/1333187","http://ts.21cn.com/tousu/show/id/1333187")</f>
        <v>http://ts.21cn.com/tousu/show/id/1333187</v>
      </c>
      <c r="F2586" s="2" t="s">
        <v>11</v>
      </c>
      <c r="G2586" s="2" t="s">
        <v>39050</v>
      </c>
      <c r="H2586" s="2" t="s">
        <v>39051</v>
      </c>
    </row>
    <row r="2587" spans="1:8" ht="25.05" customHeight="1" x14ac:dyDescent="0.25">
      <c r="A2587" s="2" t="s">
        <v>8</v>
      </c>
      <c r="B2587" s="2" t="str">
        <f>HYPERLINK("http://ts.21cn.com/tousu/show/id/1333188","投诉中金支付和信而富欺诈")</f>
        <v>投诉中金支付和信而富欺诈</v>
      </c>
      <c r="C2587" s="2" t="s">
        <v>9</v>
      </c>
      <c r="D2587" s="2" t="s">
        <v>10</v>
      </c>
      <c r="E2587" s="2" t="str">
        <f>HYPERLINK("http://ts.21cn.com/tousu/show/id/1333188","http://ts.21cn.com/tousu/show/id/1333188")</f>
        <v>http://ts.21cn.com/tousu/show/id/1333188</v>
      </c>
      <c r="F2587" s="2" t="s">
        <v>11</v>
      </c>
      <c r="G2587" s="2" t="s">
        <v>39048</v>
      </c>
      <c r="H2587" s="2" t="s">
        <v>39049</v>
      </c>
    </row>
    <row r="2588" spans="1:8" ht="25.05" customHeight="1" x14ac:dyDescent="0.25">
      <c r="A2588" s="2" t="s">
        <v>8</v>
      </c>
      <c r="B2588" s="2" t="str">
        <f>HYPERLINK("http://ts.21cn.com/tousu/show/id/1333189","已经还款任然催收")</f>
        <v>已经还款任然催收</v>
      </c>
      <c r="C2588" s="2" t="s">
        <v>9</v>
      </c>
      <c r="D2588" s="2" t="s">
        <v>10</v>
      </c>
      <c r="E2588" s="2" t="str">
        <f>HYPERLINK("http://ts.21cn.com/tousu/show/id/1333189","http://ts.21cn.com/tousu/show/id/1333189")</f>
        <v>http://ts.21cn.com/tousu/show/id/1333189</v>
      </c>
      <c r="F2588" s="2" t="s">
        <v>11</v>
      </c>
      <c r="G2588" s="2" t="s">
        <v>39046</v>
      </c>
      <c r="H2588" s="2" t="s">
        <v>39047</v>
      </c>
    </row>
    <row r="2589" spans="1:8" ht="25.05" customHeight="1" x14ac:dyDescent="0.25">
      <c r="A2589" s="2" t="s">
        <v>8</v>
      </c>
      <c r="B2589" s="2" t="str">
        <f>HYPERLINK("http://ts.21cn.com/tousu/show/id/1333190","套路贷强制缴纳保费")</f>
        <v>套路贷强制缴纳保费</v>
      </c>
      <c r="C2589" s="2" t="s">
        <v>9</v>
      </c>
      <c r="D2589" s="2" t="s">
        <v>10</v>
      </c>
      <c r="E2589" s="2" t="str">
        <f>HYPERLINK("http://ts.21cn.com/tousu/show/id/1333190","http://ts.21cn.com/tousu/show/id/1333190")</f>
        <v>http://ts.21cn.com/tousu/show/id/1333190</v>
      </c>
      <c r="F2589" s="2" t="s">
        <v>11</v>
      </c>
      <c r="G2589" s="2" t="s">
        <v>39044</v>
      </c>
      <c r="H2589" s="2" t="s">
        <v>39045</v>
      </c>
    </row>
    <row r="2590" spans="1:8" ht="25.05" customHeight="1" x14ac:dyDescent="0.25">
      <c r="A2590" s="2" t="s">
        <v>8</v>
      </c>
      <c r="B2590" s="2" t="str">
        <f>HYPERLINK("http://ts.21cn.com/tousu/show/id/1333191","中金外贸信托无故扣我卡上钱")</f>
        <v>中金外贸信托无故扣我卡上钱</v>
      </c>
      <c r="C2590" s="2" t="s">
        <v>34</v>
      </c>
      <c r="D2590" s="2" t="s">
        <v>10</v>
      </c>
      <c r="E2590" s="2" t="str">
        <f>HYPERLINK("http://ts.21cn.com/tousu/show/id/1333191","http://ts.21cn.com/tousu/show/id/1333191")</f>
        <v>http://ts.21cn.com/tousu/show/id/1333191</v>
      </c>
      <c r="F2590" s="2" t="s">
        <v>11</v>
      </c>
      <c r="G2590" s="2" t="s">
        <v>39042</v>
      </c>
      <c r="H2590" s="2" t="s">
        <v>39043</v>
      </c>
    </row>
    <row r="2591" spans="1:8" ht="25.05" customHeight="1" x14ac:dyDescent="0.25">
      <c r="A2591" s="2" t="s">
        <v>8</v>
      </c>
      <c r="B2591" s="2" t="str">
        <f>HYPERLINK("http://ts.21cn.com/tousu/show/id/1333192","要求减免剩下部分")</f>
        <v>要求减免剩下部分</v>
      </c>
      <c r="C2591" s="2" t="s">
        <v>34</v>
      </c>
      <c r="D2591" s="2" t="s">
        <v>10</v>
      </c>
      <c r="E2591" s="2" t="str">
        <f>HYPERLINK("http://ts.21cn.com/tousu/show/id/1333192","http://ts.21cn.com/tousu/show/id/1333192")</f>
        <v>http://ts.21cn.com/tousu/show/id/1333192</v>
      </c>
      <c r="F2591" s="2" t="s">
        <v>11</v>
      </c>
      <c r="G2591" s="2" t="s">
        <v>39040</v>
      </c>
      <c r="H2591" s="2" t="s">
        <v>39041</v>
      </c>
    </row>
    <row r="2592" spans="1:8" ht="25.05" customHeight="1" x14ac:dyDescent="0.25">
      <c r="A2592" s="2" t="s">
        <v>8</v>
      </c>
      <c r="B2592" s="2" t="str">
        <f>HYPERLINK("http://ts.21cn.com/tousu/show/id/1333194","拼多多平台承诺假一赔十形同虚设，忽悠消费者，包庇商家售假，欺诈消费者！")</f>
        <v>拼多多平台承诺假一赔十形同虚设，忽悠消费者，包庇商家售假，欺诈消费者！</v>
      </c>
      <c r="C2592" s="2" t="s">
        <v>9</v>
      </c>
      <c r="D2592" s="2" t="s">
        <v>10</v>
      </c>
      <c r="E2592" s="2" t="str">
        <f>HYPERLINK("http://ts.21cn.com/tousu/show/id/1333194","http://ts.21cn.com/tousu/show/id/1333194")</f>
        <v>http://ts.21cn.com/tousu/show/id/1333194</v>
      </c>
      <c r="F2592" s="2" t="s">
        <v>11</v>
      </c>
      <c r="G2592" s="2" t="s">
        <v>39038</v>
      </c>
      <c r="H2592" s="2" t="s">
        <v>39039</v>
      </c>
    </row>
    <row r="2593" spans="1:8" ht="25.05" customHeight="1" x14ac:dyDescent="0.25">
      <c r="A2593" s="2" t="s">
        <v>8</v>
      </c>
      <c r="B2593" s="2" t="str">
        <f>HYPERLINK("http://ts.21cn.com/tousu/show/id/1333195","支付宝旗下咸鱼账号被挪用")</f>
        <v>支付宝旗下咸鱼账号被挪用</v>
      </c>
      <c r="C2593" s="2" t="s">
        <v>9</v>
      </c>
      <c r="D2593" s="2" t="s">
        <v>10</v>
      </c>
      <c r="E2593" s="2" t="str">
        <f>HYPERLINK("http://ts.21cn.com/tousu/show/id/1333195","http://ts.21cn.com/tousu/show/id/1333195")</f>
        <v>http://ts.21cn.com/tousu/show/id/1333195</v>
      </c>
      <c r="F2593" s="2" t="s">
        <v>11</v>
      </c>
      <c r="G2593" s="2" t="s">
        <v>39036</v>
      </c>
      <c r="H2593" s="2" t="s">
        <v>39037</v>
      </c>
    </row>
    <row r="2594" spans="1:8" ht="25.05" customHeight="1" x14ac:dyDescent="0.25">
      <c r="A2594" s="2" t="s">
        <v>8</v>
      </c>
      <c r="B2594" s="2" t="str">
        <f>HYPERLINK("http://ts.21cn.com/tousu/show/id/1333197","宜人万花道歉")</f>
        <v>宜人万花道歉</v>
      </c>
      <c r="C2594" s="2" t="s">
        <v>9</v>
      </c>
      <c r="D2594" s="2" t="s">
        <v>10</v>
      </c>
      <c r="E2594" s="2" t="str">
        <f>HYPERLINK("http://ts.21cn.com/tousu/show/id/1333197","http://ts.21cn.com/tousu/show/id/1333197")</f>
        <v>http://ts.21cn.com/tousu/show/id/1333197</v>
      </c>
      <c r="F2594" s="2" t="s">
        <v>11</v>
      </c>
      <c r="G2594" s="2" t="s">
        <v>39034</v>
      </c>
      <c r="H2594" s="2" t="s">
        <v>39035</v>
      </c>
    </row>
    <row r="2595" spans="1:8" ht="25.05" customHeight="1" x14ac:dyDescent="0.25">
      <c r="A2595" s="2" t="s">
        <v>8</v>
      </c>
      <c r="B2595" s="2" t="str">
        <f>HYPERLINK("http://ts.21cn.com/tousu/show/id/1333198","网贷平台乱扣保险费")</f>
        <v>网贷平台乱扣保险费</v>
      </c>
      <c r="C2595" s="2" t="s">
        <v>9</v>
      </c>
      <c r="D2595" s="2" t="s">
        <v>10</v>
      </c>
      <c r="E2595" s="2" t="str">
        <f>HYPERLINK("http://ts.21cn.com/tousu/show/id/1333198","http://ts.21cn.com/tousu/show/id/1333198")</f>
        <v>http://ts.21cn.com/tousu/show/id/1333198</v>
      </c>
      <c r="F2595" s="2" t="s">
        <v>11</v>
      </c>
      <c r="G2595" s="2" t="s">
        <v>39032</v>
      </c>
      <c r="H2595" s="2" t="s">
        <v>39033</v>
      </c>
    </row>
    <row r="2596" spans="1:8" ht="25.05" customHeight="1" x14ac:dyDescent="0.25">
      <c r="A2596" s="2" t="s">
        <v>8</v>
      </c>
      <c r="B2596" s="2" t="str">
        <f>HYPERLINK("http://ts.21cn.com/tousu/show/id/1333199","百事惠普恶意收取评估费")</f>
        <v>百事惠普恶意收取评估费</v>
      </c>
      <c r="C2596" s="2" t="s">
        <v>9</v>
      </c>
      <c r="D2596" s="2" t="s">
        <v>10</v>
      </c>
      <c r="E2596" s="2" t="str">
        <f>HYPERLINK("http://ts.21cn.com/tousu/show/id/1333199","http://ts.21cn.com/tousu/show/id/1333199")</f>
        <v>http://ts.21cn.com/tousu/show/id/1333199</v>
      </c>
      <c r="F2596" s="2" t="s">
        <v>11</v>
      </c>
      <c r="G2596" s="2" t="s">
        <v>39030</v>
      </c>
      <c r="H2596" s="2" t="s">
        <v>39031</v>
      </c>
    </row>
    <row r="2597" spans="1:8" ht="25.05" customHeight="1" x14ac:dyDescent="0.25">
      <c r="A2597" s="2" t="s">
        <v>8</v>
      </c>
      <c r="B2597" s="2" t="str">
        <f>HYPERLINK("http://ts.21cn.com/tousu/show/id/1333200","订酒店一直不给确认，在线客服不理人，电话客服没人接打不通，没有预定成功取消还要扣手续费")</f>
        <v>订酒店一直不给确认，在线客服不理人，电话客服没人接打不通，没有预定成功取消还要扣手续费</v>
      </c>
      <c r="C2597" s="2" t="s">
        <v>9</v>
      </c>
      <c r="D2597" s="2" t="s">
        <v>10</v>
      </c>
      <c r="E2597" s="2" t="str">
        <f>HYPERLINK("http://ts.21cn.com/tousu/show/id/1333200","http://ts.21cn.com/tousu/show/id/1333200")</f>
        <v>http://ts.21cn.com/tousu/show/id/1333200</v>
      </c>
      <c r="F2597" s="2" t="s">
        <v>11</v>
      </c>
      <c r="G2597" s="2" t="s">
        <v>39028</v>
      </c>
      <c r="H2597" s="2" t="s">
        <v>39029</v>
      </c>
    </row>
    <row r="2598" spans="1:8" ht="25.05" customHeight="1" x14ac:dyDescent="0.25">
      <c r="A2598" s="2" t="s">
        <v>8</v>
      </c>
      <c r="B2598" s="2" t="str">
        <f>HYPERLINK("http://ts.21cn.com/tousu/show/id/1333201","身份证成年却被限制玩游戏")</f>
        <v>身份证成年却被限制玩游戏</v>
      </c>
      <c r="C2598" s="2" t="s">
        <v>9</v>
      </c>
      <c r="D2598" s="2" t="s">
        <v>10</v>
      </c>
      <c r="E2598" s="2" t="str">
        <f>HYPERLINK("http://ts.21cn.com/tousu/show/id/1333201","http://ts.21cn.com/tousu/show/id/1333201")</f>
        <v>http://ts.21cn.com/tousu/show/id/1333201</v>
      </c>
      <c r="F2598" s="2" t="s">
        <v>11</v>
      </c>
      <c r="G2598" s="2" t="s">
        <v>39026</v>
      </c>
      <c r="H2598" s="2" t="s">
        <v>39027</v>
      </c>
    </row>
    <row r="2599" spans="1:8" ht="25.05" customHeight="1" x14ac:dyDescent="0.25">
      <c r="A2599" s="2" t="s">
        <v>8</v>
      </c>
      <c r="B2599" s="2" t="str">
        <f>HYPERLINK("http://ts.21cn.com/tousu/show/id/1333202","北京有缘在线网络科技股份有限公司")</f>
        <v>北京有缘在线网络科技股份有限公司</v>
      </c>
      <c r="C2599" s="2" t="s">
        <v>9</v>
      </c>
      <c r="D2599" s="2" t="s">
        <v>10</v>
      </c>
      <c r="E2599" s="2" t="str">
        <f>HYPERLINK("http://ts.21cn.com/tousu/show/id/1333202","http://ts.21cn.com/tousu/show/id/1333202")</f>
        <v>http://ts.21cn.com/tousu/show/id/1333202</v>
      </c>
      <c r="F2599" s="2" t="s">
        <v>11</v>
      </c>
      <c r="G2599" s="2" t="s">
        <v>39024</v>
      </c>
      <c r="H2599" s="2" t="s">
        <v>39025</v>
      </c>
    </row>
    <row r="2600" spans="1:8" ht="25.05" customHeight="1" x14ac:dyDescent="0.25">
      <c r="A2600" s="2" t="s">
        <v>8</v>
      </c>
      <c r="B2600" s="2" t="str">
        <f>HYPERLINK("http://ts.21cn.com/tousu/show/id/1333203","贷款金额7100，账单上显示欠款11000多，要求投诉")</f>
        <v>贷款金额7100，账单上显示欠款11000多，要求投诉</v>
      </c>
      <c r="C2600" s="2" t="s">
        <v>9</v>
      </c>
      <c r="D2600" s="2" t="s">
        <v>10</v>
      </c>
      <c r="E2600" s="2" t="str">
        <f>HYPERLINK("http://ts.21cn.com/tousu/show/id/1333203","http://ts.21cn.com/tousu/show/id/1333203")</f>
        <v>http://ts.21cn.com/tousu/show/id/1333203</v>
      </c>
      <c r="F2600" s="2" t="s">
        <v>11</v>
      </c>
      <c r="G2600" s="2" t="s">
        <v>39022</v>
      </c>
      <c r="H2600" s="2" t="s">
        <v>39023</v>
      </c>
    </row>
    <row r="2601" spans="1:8" ht="25.05" customHeight="1" x14ac:dyDescent="0.25">
      <c r="A2601" s="2" t="s">
        <v>8</v>
      </c>
      <c r="B2601" s="2" t="str">
        <f>HYPERLINK("http://ts.21cn.com/tousu/show/id/1333204","北京友缘在线旗下处处app未经同意不知道通过什么手段开启了免密支付导致被扣费用存在严重欺诈行为")</f>
        <v>北京友缘在线旗下处处app未经同意不知道通过什么手段开启了免密支付导致被扣费用存在严重欺诈行为</v>
      </c>
      <c r="C2601" s="2" t="s">
        <v>9</v>
      </c>
      <c r="D2601" s="2" t="s">
        <v>10</v>
      </c>
      <c r="E2601" s="2" t="str">
        <f>HYPERLINK("http://ts.21cn.com/tousu/show/id/1333204","http://ts.21cn.com/tousu/show/id/1333204")</f>
        <v>http://ts.21cn.com/tousu/show/id/1333204</v>
      </c>
      <c r="F2601" s="2" t="s">
        <v>11</v>
      </c>
      <c r="G2601" s="2" t="s">
        <v>39020</v>
      </c>
      <c r="H2601" s="2" t="s">
        <v>39021</v>
      </c>
    </row>
    <row r="2602" spans="1:8" ht="25.05" customHeight="1" x14ac:dyDescent="0.25">
      <c r="A2602" s="2" t="s">
        <v>8</v>
      </c>
      <c r="B2602" s="2" t="str">
        <f>HYPERLINK("http://ts.21cn.com/tousu/show/id/1333205","淘宝封了我用支付宝新注册的账号")</f>
        <v>淘宝封了我用支付宝新注册的账号</v>
      </c>
      <c r="C2602" s="2" t="s">
        <v>9</v>
      </c>
      <c r="D2602" s="2" t="s">
        <v>10</v>
      </c>
      <c r="E2602" s="2" t="str">
        <f>HYPERLINK("http://ts.21cn.com/tousu/show/id/1333205","http://ts.21cn.com/tousu/show/id/1333205")</f>
        <v>http://ts.21cn.com/tousu/show/id/1333205</v>
      </c>
      <c r="F2602" s="2" t="s">
        <v>11</v>
      </c>
      <c r="G2602" s="2" t="s">
        <v>39018</v>
      </c>
      <c r="H2602" s="2" t="s">
        <v>39019</v>
      </c>
    </row>
    <row r="2603" spans="1:8" ht="25.05" customHeight="1" x14ac:dyDescent="0.25">
      <c r="A2603" s="2" t="s">
        <v>8</v>
      </c>
      <c r="B2603" s="2" t="str">
        <f>HYPERLINK("http://ts.21cn.com/tousu/show/id/1333207","安家趣话APP引导充值会员之后审核失败")</f>
        <v>安家趣话APP引导充值会员之后审核失败</v>
      </c>
      <c r="C2603" s="2" t="s">
        <v>9</v>
      </c>
      <c r="D2603" s="2" t="s">
        <v>10</v>
      </c>
      <c r="E2603" s="2" t="str">
        <f>HYPERLINK("http://ts.21cn.com/tousu/show/id/1333207","http://ts.21cn.com/tousu/show/id/1333207")</f>
        <v>http://ts.21cn.com/tousu/show/id/1333207</v>
      </c>
      <c r="F2603" s="2" t="s">
        <v>11</v>
      </c>
      <c r="G2603" s="2" t="s">
        <v>39016</v>
      </c>
      <c r="H2603" s="2" t="s">
        <v>39017</v>
      </c>
    </row>
    <row r="2604" spans="1:8" ht="25.05" customHeight="1" x14ac:dyDescent="0.25">
      <c r="A2604" s="2" t="s">
        <v>8</v>
      </c>
      <c r="B2604" s="2" t="str">
        <f>HYPERLINK("http://ts.21cn.com/tousu/show/id/1333206","销售时间长的奶当新鲜奶")</f>
        <v>销售时间长的奶当新鲜奶</v>
      </c>
      <c r="C2604" s="2" t="s">
        <v>9</v>
      </c>
      <c r="D2604" s="2" t="s">
        <v>10</v>
      </c>
      <c r="E2604" s="2" t="str">
        <f>HYPERLINK("http://ts.21cn.com/tousu/show/id/1333206","http://ts.21cn.com/tousu/show/id/1333206")</f>
        <v>http://ts.21cn.com/tousu/show/id/1333206</v>
      </c>
      <c r="F2604" s="2" t="s">
        <v>11</v>
      </c>
      <c r="G2604" s="2" t="s">
        <v>39014</v>
      </c>
      <c r="H2604" s="2" t="s">
        <v>39015</v>
      </c>
    </row>
    <row r="2605" spans="1:8" ht="25.05" customHeight="1" x14ac:dyDescent="0.25">
      <c r="A2605" s="2" t="s">
        <v>8</v>
      </c>
      <c r="B2605" s="2" t="str">
        <f>HYPERLINK("http://ts.21cn.com/tousu/show/id/1333208","投诉支付宝，拼多多，微信，云闪付，中国移动为非法赌博平台提供充值")</f>
        <v>投诉支付宝，拼多多，微信，云闪付，中国移动为非法赌博平台提供充值</v>
      </c>
      <c r="C2605" s="2" t="s">
        <v>9</v>
      </c>
      <c r="D2605" s="2" t="s">
        <v>10</v>
      </c>
      <c r="E2605" s="2" t="str">
        <f>HYPERLINK("http://ts.21cn.com/tousu/show/id/1333208","http://ts.21cn.com/tousu/show/id/1333208")</f>
        <v>http://ts.21cn.com/tousu/show/id/1333208</v>
      </c>
      <c r="F2605" s="2" t="s">
        <v>11</v>
      </c>
      <c r="G2605" s="2" t="s">
        <v>39012</v>
      </c>
      <c r="H2605" s="2" t="s">
        <v>39013</v>
      </c>
    </row>
    <row r="2606" spans="1:8" ht="25.05" customHeight="1" x14ac:dyDescent="0.25">
      <c r="A2606" s="2" t="s">
        <v>8</v>
      </c>
      <c r="B2606" s="2" t="str">
        <f>HYPERLINK("http://ts.21cn.com/tousu/show/id/1333209","被诱导消费求退款")</f>
        <v>被诱导消费求退款</v>
      </c>
      <c r="C2606" s="2" t="s">
        <v>9</v>
      </c>
      <c r="D2606" s="2" t="s">
        <v>10</v>
      </c>
      <c r="E2606" s="2" t="str">
        <f>HYPERLINK("http://ts.21cn.com/tousu/show/id/1333209","http://ts.21cn.com/tousu/show/id/1333209")</f>
        <v>http://ts.21cn.com/tousu/show/id/1333209</v>
      </c>
      <c r="F2606" s="2" t="s">
        <v>11</v>
      </c>
      <c r="G2606" s="2" t="s">
        <v>39010</v>
      </c>
      <c r="H2606" s="2" t="s">
        <v>39011</v>
      </c>
    </row>
    <row r="2607" spans="1:8" ht="25.05" customHeight="1" x14ac:dyDescent="0.25">
      <c r="A2607" s="2" t="s">
        <v>8</v>
      </c>
      <c r="B2607" s="2" t="str">
        <f>HYPERLINK("http://ts.21cn.com/tousu/show/id/1333211","微信为高利贷《北京闪银奇异科技有限公司》提供支付、公众号、软件下载推广")</f>
        <v>微信为高利贷《北京闪银奇异科技有限公司》提供支付、公众号、软件下载推广</v>
      </c>
      <c r="C2607" s="2" t="s">
        <v>9</v>
      </c>
      <c r="D2607" s="2" t="s">
        <v>10</v>
      </c>
      <c r="E2607" s="2" t="str">
        <f>HYPERLINK("http://ts.21cn.com/tousu/show/id/1333211","http://ts.21cn.com/tousu/show/id/1333211")</f>
        <v>http://ts.21cn.com/tousu/show/id/1333211</v>
      </c>
      <c r="F2607" s="2" t="s">
        <v>11</v>
      </c>
      <c r="G2607" s="2" t="s">
        <v>39008</v>
      </c>
      <c r="H2607" s="2" t="s">
        <v>39009</v>
      </c>
    </row>
    <row r="2608" spans="1:8" ht="25.05" customHeight="1" x14ac:dyDescent="0.25">
      <c r="A2608" s="2" t="s">
        <v>8</v>
      </c>
      <c r="B2608" s="2" t="str">
        <f>HYPERLINK("http://ts.21cn.com/tousu/show/id/1333210","在拼多多五禾食品专营店购买粽子吃到了螺丝钉")</f>
        <v>在拼多多五禾食品专营店购买粽子吃到了螺丝钉</v>
      </c>
      <c r="C2608" s="2" t="s">
        <v>9</v>
      </c>
      <c r="D2608" s="2" t="s">
        <v>10</v>
      </c>
      <c r="E2608" s="2" t="str">
        <f>HYPERLINK("http://ts.21cn.com/tousu/show/id/1333210","http://ts.21cn.com/tousu/show/id/1333210")</f>
        <v>http://ts.21cn.com/tousu/show/id/1333210</v>
      </c>
      <c r="F2608" s="2" t="s">
        <v>11</v>
      </c>
      <c r="G2608" s="2" t="s">
        <v>39006</v>
      </c>
      <c r="H2608" s="2" t="s">
        <v>39007</v>
      </c>
    </row>
    <row r="2609" spans="1:8" ht="25.05" customHeight="1" x14ac:dyDescent="0.25">
      <c r="A2609" s="2" t="s">
        <v>8</v>
      </c>
      <c r="B2609" s="2" t="str">
        <f>HYPERLINK("http://ts.21cn.com/tousu/show/id/1333213","立刻出行不退还押金")</f>
        <v>立刻出行不退还押金</v>
      </c>
      <c r="C2609" s="2" t="s">
        <v>9</v>
      </c>
      <c r="D2609" s="2" t="s">
        <v>10</v>
      </c>
      <c r="E2609" s="2" t="str">
        <f>HYPERLINK("http://ts.21cn.com/tousu/show/id/1333213","http://ts.21cn.com/tousu/show/id/1333213")</f>
        <v>http://ts.21cn.com/tousu/show/id/1333213</v>
      </c>
      <c r="F2609" s="2" t="s">
        <v>11</v>
      </c>
      <c r="G2609" s="2" t="s">
        <v>39004</v>
      </c>
      <c r="H2609" s="2" t="s">
        <v>39005</v>
      </c>
    </row>
    <row r="2610" spans="1:8" ht="25.05" customHeight="1" x14ac:dyDescent="0.25">
      <c r="A2610" s="2" t="s">
        <v>8</v>
      </c>
      <c r="B2610" s="2" t="str">
        <f>HYPERLINK("http://ts.21cn.com/tousu/show/id/1333214","玖富万卡不能主动还款")</f>
        <v>玖富万卡不能主动还款</v>
      </c>
      <c r="C2610" s="2" t="s">
        <v>9</v>
      </c>
      <c r="D2610" s="2" t="s">
        <v>10</v>
      </c>
      <c r="E2610" s="2" t="str">
        <f>HYPERLINK("http://ts.21cn.com/tousu/show/id/1333214","http://ts.21cn.com/tousu/show/id/1333214")</f>
        <v>http://ts.21cn.com/tousu/show/id/1333214</v>
      </c>
      <c r="F2610" s="2" t="s">
        <v>11</v>
      </c>
      <c r="G2610" s="2" t="s">
        <v>39002</v>
      </c>
      <c r="H2610" s="2" t="s">
        <v>39003</v>
      </c>
    </row>
    <row r="2611" spans="1:8" ht="25.05" customHeight="1" x14ac:dyDescent="0.25">
      <c r="A2611" s="2" t="s">
        <v>8</v>
      </c>
      <c r="B2611" s="2" t="str">
        <f>HYPERLINK("http://ts.21cn.com/tousu/show/id/1333215","汇潮支付及支付宝为高利贷提供借还款通道")</f>
        <v>汇潮支付及支付宝为高利贷提供借还款通道</v>
      </c>
      <c r="C2611" s="2" t="s">
        <v>9</v>
      </c>
      <c r="D2611" s="2" t="s">
        <v>10</v>
      </c>
      <c r="E2611" s="2" t="str">
        <f>HYPERLINK("http://ts.21cn.com/tousu/show/id/1333215","http://ts.21cn.com/tousu/show/id/1333215")</f>
        <v>http://ts.21cn.com/tousu/show/id/1333215</v>
      </c>
      <c r="F2611" s="2" t="s">
        <v>11</v>
      </c>
      <c r="G2611" s="2" t="s">
        <v>39000</v>
      </c>
      <c r="H2611" s="2" t="s">
        <v>39001</v>
      </c>
    </row>
    <row r="2612" spans="1:8" ht="25.05" customHeight="1" x14ac:dyDescent="0.25">
      <c r="A2612" s="2" t="s">
        <v>8</v>
      </c>
      <c r="B2612" s="2" t="str">
        <f>HYPERLINK("http://ts.21cn.com/tousu/show/id/1333216","麦游互动公司就是一个赌博公司")</f>
        <v>麦游互动公司就是一个赌博公司</v>
      </c>
      <c r="C2612" s="2" t="s">
        <v>9</v>
      </c>
      <c r="D2612" s="2" t="s">
        <v>10</v>
      </c>
      <c r="E2612" s="2" t="str">
        <f>HYPERLINK("http://ts.21cn.com/tousu/show/id/1333216","http://ts.21cn.com/tousu/show/id/1333216")</f>
        <v>http://ts.21cn.com/tousu/show/id/1333216</v>
      </c>
      <c r="F2612" s="2" t="s">
        <v>11</v>
      </c>
      <c r="G2612" s="2" t="s">
        <v>38998</v>
      </c>
      <c r="H2612" s="2" t="s">
        <v>38999</v>
      </c>
    </row>
    <row r="2613" spans="1:8" ht="25.05" customHeight="1" x14ac:dyDescent="0.25">
      <c r="A2613" s="2" t="s">
        <v>8</v>
      </c>
      <c r="B2613" s="2" t="str">
        <f>HYPERLINK("http://ts.21cn.com/tousu/show/id/1333218","支付宝借呗")</f>
        <v>支付宝借呗</v>
      </c>
      <c r="C2613" s="2" t="s">
        <v>9</v>
      </c>
      <c r="D2613" s="2" t="s">
        <v>10</v>
      </c>
      <c r="E2613" s="2" t="str">
        <f>HYPERLINK("http://ts.21cn.com/tousu/show/id/1333218","http://ts.21cn.com/tousu/show/id/1333218")</f>
        <v>http://ts.21cn.com/tousu/show/id/1333218</v>
      </c>
      <c r="F2613" s="2" t="s">
        <v>11</v>
      </c>
      <c r="G2613" s="2" t="s">
        <v>38996</v>
      </c>
      <c r="H2613" s="2" t="s">
        <v>38997</v>
      </c>
    </row>
    <row r="2614" spans="1:8" ht="25.05" customHeight="1" x14ac:dyDescent="0.25">
      <c r="A2614" s="2" t="s">
        <v>8</v>
      </c>
      <c r="B2614" s="2" t="str">
        <f>HYPERLINK("http://ts.21cn.com/tousu/show/id/1333219","松紧贷没经过我同意骚扰我家人，我朋友，还打到我办公室")</f>
        <v>松紧贷没经过我同意骚扰我家人，我朋友，还打到我办公室</v>
      </c>
      <c r="C2614" s="2" t="s">
        <v>9</v>
      </c>
      <c r="D2614" s="2" t="s">
        <v>10</v>
      </c>
      <c r="E2614" s="2" t="str">
        <f>HYPERLINK("http://ts.21cn.com/tousu/show/id/1333219","http://ts.21cn.com/tousu/show/id/1333219")</f>
        <v>http://ts.21cn.com/tousu/show/id/1333219</v>
      </c>
      <c r="F2614" s="2" t="s">
        <v>11</v>
      </c>
      <c r="G2614" s="2" t="s">
        <v>38994</v>
      </c>
      <c r="H2614" s="2" t="s">
        <v>38995</v>
      </c>
    </row>
    <row r="2615" spans="1:8" ht="25.05" customHeight="1" x14ac:dyDescent="0.25">
      <c r="A2615" s="2" t="s">
        <v>8</v>
      </c>
      <c r="B2615" s="2" t="str">
        <f>HYPERLINK("http://ts.21cn.com/tousu/show/id/1333221","砍头息、高利贷、威胁，解决不了问题")</f>
        <v>砍头息、高利贷、威胁，解决不了问题</v>
      </c>
      <c r="C2615" s="2" t="s">
        <v>9</v>
      </c>
      <c r="D2615" s="2" t="s">
        <v>10</v>
      </c>
      <c r="E2615" s="2" t="str">
        <f>HYPERLINK("http://ts.21cn.com/tousu/show/id/1333221","http://ts.21cn.com/tousu/show/id/1333221")</f>
        <v>http://ts.21cn.com/tousu/show/id/1333221</v>
      </c>
      <c r="F2615" s="2" t="s">
        <v>11</v>
      </c>
      <c r="G2615" s="2" t="s">
        <v>38992</v>
      </c>
      <c r="H2615" s="2" t="s">
        <v>38993</v>
      </c>
    </row>
    <row r="2616" spans="1:8" ht="25.05" customHeight="1" x14ac:dyDescent="0.25">
      <c r="A2616" s="2" t="s">
        <v>8</v>
      </c>
      <c r="B2616" s="2" t="str">
        <f>HYPERLINK("http://ts.21cn.com/tousu/show/id/1333222","中金外贸信托在我不知情的情况下扣我银行卡里钱")</f>
        <v>中金外贸信托在我不知情的情况下扣我银行卡里钱</v>
      </c>
      <c r="C2616" s="2" t="s">
        <v>9</v>
      </c>
      <c r="D2616" s="2" t="s">
        <v>10</v>
      </c>
      <c r="E2616" s="2" t="str">
        <f>HYPERLINK("http://ts.21cn.com/tousu/show/id/1333222","http://ts.21cn.com/tousu/show/id/1333222")</f>
        <v>http://ts.21cn.com/tousu/show/id/1333222</v>
      </c>
      <c r="F2616" s="2" t="s">
        <v>11</v>
      </c>
      <c r="G2616" s="2" t="s">
        <v>38990</v>
      </c>
      <c r="H2616" s="2" t="s">
        <v>38991</v>
      </c>
    </row>
    <row r="2617" spans="1:8" ht="25.05" customHeight="1" x14ac:dyDescent="0.25">
      <c r="A2617" s="2" t="s">
        <v>8</v>
      </c>
      <c r="B2617" s="2" t="str">
        <f>HYPERLINK("http://ts.21cn.com/tousu/show/id/1333223","投诉嘀嗒出行顺风车")</f>
        <v>投诉嘀嗒出行顺风车</v>
      </c>
      <c r="C2617" s="2" t="s">
        <v>34</v>
      </c>
      <c r="D2617" s="2" t="s">
        <v>10</v>
      </c>
      <c r="E2617" s="2" t="str">
        <f>HYPERLINK("http://ts.21cn.com/tousu/show/id/1333223","http://ts.21cn.com/tousu/show/id/1333223")</f>
        <v>http://ts.21cn.com/tousu/show/id/1333223</v>
      </c>
      <c r="F2617" s="2" t="s">
        <v>11</v>
      </c>
      <c r="G2617" s="2" t="s">
        <v>38988</v>
      </c>
      <c r="H2617" s="2" t="s">
        <v>38989</v>
      </c>
    </row>
    <row r="2618" spans="1:8" ht="25.05" customHeight="1" x14ac:dyDescent="0.25">
      <c r="A2618" s="2" t="s">
        <v>8</v>
      </c>
      <c r="B2618" s="2" t="str">
        <f>HYPERLINK("http://ts.21cn.com/tousu/show/id/1333224","维信金科旗下豆豆钱年化利率远超国家36％红线")</f>
        <v>维信金科旗下豆豆钱年化利率远超国家36％红线</v>
      </c>
      <c r="C2618" s="2" t="s">
        <v>9</v>
      </c>
      <c r="D2618" s="2" t="s">
        <v>10</v>
      </c>
      <c r="E2618" s="2" t="str">
        <f>HYPERLINK("http://ts.21cn.com/tousu/show/id/1333224","http://ts.21cn.com/tousu/show/id/1333224")</f>
        <v>http://ts.21cn.com/tousu/show/id/1333224</v>
      </c>
      <c r="F2618" s="2" t="s">
        <v>11</v>
      </c>
      <c r="G2618" s="2" t="s">
        <v>38986</v>
      </c>
      <c r="H2618" s="2" t="s">
        <v>38987</v>
      </c>
    </row>
    <row r="2619" spans="1:8" ht="25.05" customHeight="1" x14ac:dyDescent="0.25">
      <c r="A2619" s="2" t="s">
        <v>8</v>
      </c>
      <c r="B2619" s="2" t="str">
        <f>HYPERLINK("http://ts.21cn.com/tousu/show/id/1333225","押金不退还")</f>
        <v>押金不退还</v>
      </c>
      <c r="C2619" s="2" t="s">
        <v>9</v>
      </c>
      <c r="D2619" s="2" t="s">
        <v>10</v>
      </c>
      <c r="E2619" s="2" t="str">
        <f>HYPERLINK("http://ts.21cn.com/tousu/show/id/1333225","http://ts.21cn.com/tousu/show/id/1333225")</f>
        <v>http://ts.21cn.com/tousu/show/id/1333225</v>
      </c>
      <c r="F2619" s="2" t="s">
        <v>11</v>
      </c>
      <c r="G2619" s="2" t="s">
        <v>38984</v>
      </c>
      <c r="H2619" s="2" t="s">
        <v>38985</v>
      </c>
    </row>
    <row r="2620" spans="1:8" ht="25.05" customHeight="1" x14ac:dyDescent="0.25">
      <c r="A2620" s="2" t="s">
        <v>8</v>
      </c>
      <c r="B2620" s="2" t="str">
        <f>HYPERLINK("http://ts.21cn.com/tousu/show/id/1333226","微信零钱不能用永久冻结")</f>
        <v>微信零钱不能用永久冻结</v>
      </c>
      <c r="C2620" s="2" t="s">
        <v>9</v>
      </c>
      <c r="D2620" s="2" t="s">
        <v>10</v>
      </c>
      <c r="E2620" s="2" t="str">
        <f>HYPERLINK("http://ts.21cn.com/tousu/show/id/1333226","http://ts.21cn.com/tousu/show/id/1333226")</f>
        <v>http://ts.21cn.com/tousu/show/id/1333226</v>
      </c>
      <c r="F2620" s="2" t="s">
        <v>11</v>
      </c>
      <c r="G2620" s="2" t="s">
        <v>38982</v>
      </c>
      <c r="H2620" s="2" t="s">
        <v>38983</v>
      </c>
    </row>
    <row r="2621" spans="1:8" ht="25.05" customHeight="1" x14ac:dyDescent="0.25">
      <c r="A2621" s="2" t="s">
        <v>8</v>
      </c>
      <c r="B2621" s="2" t="str">
        <f>HYPERLINK("http://ts.21cn.com/tousu/show/id/1333227","钱站阴阳合同，高利贷")</f>
        <v>钱站阴阳合同，高利贷</v>
      </c>
      <c r="C2621" s="2" t="s">
        <v>9</v>
      </c>
      <c r="D2621" s="2" t="s">
        <v>10</v>
      </c>
      <c r="E2621" s="2" t="str">
        <f>HYPERLINK("http://ts.21cn.com/tousu/show/id/1333227","http://ts.21cn.com/tousu/show/id/1333227")</f>
        <v>http://ts.21cn.com/tousu/show/id/1333227</v>
      </c>
      <c r="F2621" s="2" t="s">
        <v>11</v>
      </c>
      <c r="G2621" s="2" t="s">
        <v>38980</v>
      </c>
      <c r="H2621" s="2" t="s">
        <v>38981</v>
      </c>
    </row>
    <row r="2622" spans="1:8" ht="25.05" customHeight="1" x14ac:dyDescent="0.25">
      <c r="A2622" s="2" t="s">
        <v>8</v>
      </c>
      <c r="B2622" s="2" t="str">
        <f>HYPERLINK("http://ts.21cn.com/tousu/show/id/1333228","平台故意拖延货款，提现了将近两个月了还是待财务审核")</f>
        <v>平台故意拖延货款，提现了将近两个月了还是待财务审核</v>
      </c>
      <c r="C2622" s="2" t="s">
        <v>9</v>
      </c>
      <c r="D2622" s="2" t="s">
        <v>10</v>
      </c>
      <c r="E2622" s="2" t="str">
        <f>HYPERLINK("http://ts.21cn.com/tousu/show/id/1333228","http://ts.21cn.com/tousu/show/id/1333228")</f>
        <v>http://ts.21cn.com/tousu/show/id/1333228</v>
      </c>
      <c r="F2622" s="2" t="s">
        <v>11</v>
      </c>
      <c r="G2622" s="2" t="s">
        <v>38978</v>
      </c>
      <c r="H2622" s="2" t="s">
        <v>38979</v>
      </c>
    </row>
    <row r="2623" spans="1:8" ht="25.05" customHeight="1" x14ac:dyDescent="0.25">
      <c r="A2623" s="2" t="s">
        <v>8</v>
      </c>
      <c r="B2623" s="2" t="str">
        <f>HYPERLINK("http://ts.21cn.com/tousu/show/id/1333229","云闪付为非法网站提供支付通道")</f>
        <v>云闪付为非法网站提供支付通道</v>
      </c>
      <c r="C2623" s="2" t="s">
        <v>9</v>
      </c>
      <c r="D2623" s="2" t="s">
        <v>10</v>
      </c>
      <c r="E2623" s="2" t="str">
        <f>HYPERLINK("http://ts.21cn.com/tousu/show/id/1333229","http://ts.21cn.com/tousu/show/id/1333229")</f>
        <v>http://ts.21cn.com/tousu/show/id/1333229</v>
      </c>
      <c r="F2623" s="2" t="s">
        <v>11</v>
      </c>
      <c r="G2623" s="2" t="s">
        <v>38976</v>
      </c>
      <c r="H2623" s="2" t="s">
        <v>38977</v>
      </c>
    </row>
    <row r="2624" spans="1:8" ht="25.05" customHeight="1" x14ac:dyDescent="0.25">
      <c r="A2624" s="2" t="s">
        <v>8</v>
      </c>
      <c r="B2624" s="2" t="str">
        <f>HYPERLINK("http://ts.21cn.com/tousu/show/id/1333230","贷上钱高额砍头息，第一个是我自己借的，第二个我都不知道怎么回事卡里面多了2000")</f>
        <v>贷上钱高额砍头息，第一个是我自己借的，第二个我都不知道怎么回事卡里面多了2000</v>
      </c>
      <c r="C2624" s="2" t="s">
        <v>9</v>
      </c>
      <c r="D2624" s="2" t="s">
        <v>10</v>
      </c>
      <c r="E2624" s="2" t="str">
        <f>HYPERLINK("http://ts.21cn.com/tousu/show/id/1333230","http://ts.21cn.com/tousu/show/id/1333230")</f>
        <v>http://ts.21cn.com/tousu/show/id/1333230</v>
      </c>
      <c r="F2624" s="2" t="s">
        <v>11</v>
      </c>
      <c r="G2624" s="2" t="s">
        <v>38974</v>
      </c>
      <c r="H2624" s="2" t="s">
        <v>38975</v>
      </c>
    </row>
    <row r="2625" spans="1:8" ht="25.05" customHeight="1" x14ac:dyDescent="0.25">
      <c r="A2625" s="2" t="s">
        <v>8</v>
      </c>
      <c r="B2625" s="2" t="str">
        <f>HYPERLINK("http://ts.21cn.com/tousu/show/id/1333173","飞猪平台无法给客人对应的服务也扣着房费不退")</f>
        <v>飞猪平台无法给客人对应的服务也扣着房费不退</v>
      </c>
      <c r="C2625" s="2" t="s">
        <v>9</v>
      </c>
      <c r="D2625" s="2" t="s">
        <v>10</v>
      </c>
      <c r="E2625" s="2" t="str">
        <f>HYPERLINK("http://ts.21cn.com/tousu/show/id/1333173","http://ts.21cn.com/tousu/show/id/1333173")</f>
        <v>http://ts.21cn.com/tousu/show/id/1333173</v>
      </c>
      <c r="F2625" s="2" t="s">
        <v>11</v>
      </c>
      <c r="G2625" s="2" t="s">
        <v>38972</v>
      </c>
      <c r="H2625" s="2" t="s">
        <v>38973</v>
      </c>
    </row>
    <row r="2626" spans="1:8" ht="25.05" customHeight="1" x14ac:dyDescent="0.25">
      <c r="A2626" s="2" t="s">
        <v>8</v>
      </c>
      <c r="B2626" s="2" t="str">
        <f>HYPERLINK("http://ts.21cn.com/tousu/show/id/1333232","擅自改合同，变相收取费用，高利贷")</f>
        <v>擅自改合同，变相收取费用，高利贷</v>
      </c>
      <c r="C2626" s="2" t="s">
        <v>9</v>
      </c>
      <c r="D2626" s="2" t="s">
        <v>10</v>
      </c>
      <c r="E2626" s="2" t="str">
        <f>HYPERLINK("http://ts.21cn.com/tousu/show/id/1333232","http://ts.21cn.com/tousu/show/id/1333232")</f>
        <v>http://ts.21cn.com/tousu/show/id/1333232</v>
      </c>
      <c r="F2626" s="2" t="s">
        <v>11</v>
      </c>
      <c r="G2626" s="2" t="s">
        <v>38970</v>
      </c>
      <c r="H2626" s="2" t="s">
        <v>38971</v>
      </c>
    </row>
    <row r="2627" spans="1:8" ht="25.05" customHeight="1" x14ac:dyDescent="0.25">
      <c r="A2627" s="2" t="s">
        <v>8</v>
      </c>
      <c r="B2627" s="2" t="str">
        <f>HYPERLINK("http://ts.21cn.com/tousu/show/id/1333233","好易借高利贷强行扣款")</f>
        <v>好易借高利贷强行扣款</v>
      </c>
      <c r="C2627" s="2" t="s">
        <v>9</v>
      </c>
      <c r="D2627" s="2" t="s">
        <v>10</v>
      </c>
      <c r="E2627" s="2" t="str">
        <f>HYPERLINK("http://ts.21cn.com/tousu/show/id/1333233","http://ts.21cn.com/tousu/show/id/1333233")</f>
        <v>http://ts.21cn.com/tousu/show/id/1333233</v>
      </c>
      <c r="F2627" s="2" t="s">
        <v>11</v>
      </c>
      <c r="G2627" s="2" t="s">
        <v>38968</v>
      </c>
      <c r="H2627" s="2" t="s">
        <v>38969</v>
      </c>
    </row>
    <row r="2628" spans="1:8" ht="25.05" customHeight="1" x14ac:dyDescent="0.25">
      <c r="A2628" s="2" t="s">
        <v>8</v>
      </c>
      <c r="B2628" s="2" t="str">
        <f>HYPERLINK("http://ts.21cn.com/tousu/show/id/1333234","小浦优客未经同意扣款")</f>
        <v>小浦优客未经同意扣款</v>
      </c>
      <c r="C2628" s="2" t="s">
        <v>9</v>
      </c>
      <c r="D2628" s="2" t="s">
        <v>10</v>
      </c>
      <c r="E2628" s="2" t="str">
        <f>HYPERLINK("http://ts.21cn.com/tousu/show/id/1333234","http://ts.21cn.com/tousu/show/id/1333234")</f>
        <v>http://ts.21cn.com/tousu/show/id/1333234</v>
      </c>
      <c r="F2628" s="2" t="s">
        <v>11</v>
      </c>
      <c r="G2628" s="2" t="s">
        <v>38966</v>
      </c>
      <c r="H2628" s="2" t="s">
        <v>38967</v>
      </c>
    </row>
    <row r="2629" spans="1:8" ht="25.05" customHeight="1" x14ac:dyDescent="0.25">
      <c r="A2629" s="2" t="s">
        <v>8</v>
      </c>
      <c r="B2629" s="2" t="str">
        <f>HYPERLINK("http://ts.21cn.com/tousu/show/id/1333220","新浪微博账号无故被冻结要求解冻")</f>
        <v>新浪微博账号无故被冻结要求解冻</v>
      </c>
      <c r="C2629" s="2" t="s">
        <v>9</v>
      </c>
      <c r="D2629" s="2" t="s">
        <v>10</v>
      </c>
      <c r="E2629" s="2" t="str">
        <f>HYPERLINK("http://ts.21cn.com/tousu/show/id/1333220","http://ts.21cn.com/tousu/show/id/1333220")</f>
        <v>http://ts.21cn.com/tousu/show/id/1333220</v>
      </c>
      <c r="F2629" s="2" t="s">
        <v>11</v>
      </c>
      <c r="G2629" s="2" t="s">
        <v>38964</v>
      </c>
      <c r="H2629" s="2" t="s">
        <v>38965</v>
      </c>
    </row>
    <row r="2630" spans="1:8" ht="25.05" customHeight="1" x14ac:dyDescent="0.25">
      <c r="A2630" s="2" t="s">
        <v>8</v>
      </c>
      <c r="B2630" s="2" t="str">
        <f>HYPERLINK("http://ts.21cn.com/tousu/show/id/1333217","民航机场诱导办理金卡")</f>
        <v>民航机场诱导办理金卡</v>
      </c>
      <c r="C2630" s="2" t="s">
        <v>9</v>
      </c>
      <c r="D2630" s="2" t="s">
        <v>10</v>
      </c>
      <c r="E2630" s="2" t="str">
        <f>HYPERLINK("http://ts.21cn.com/tousu/show/id/1333217","http://ts.21cn.com/tousu/show/id/1333217")</f>
        <v>http://ts.21cn.com/tousu/show/id/1333217</v>
      </c>
      <c r="F2630" s="2" t="s">
        <v>11</v>
      </c>
      <c r="G2630" s="2" t="s">
        <v>38962</v>
      </c>
      <c r="H2630" s="2" t="s">
        <v>38963</v>
      </c>
    </row>
    <row r="2631" spans="1:8" ht="25.05" customHeight="1" x14ac:dyDescent="0.25">
      <c r="A2631" s="2" t="s">
        <v>8</v>
      </c>
      <c r="B2631" s="2" t="str">
        <f>HYPERLINK("http://ts.21cn.com/tousu/show/id/1333235","豆豆钱疑似通过第三方非法操作")</f>
        <v>豆豆钱疑似通过第三方非法操作</v>
      </c>
      <c r="C2631" s="2" t="s">
        <v>9</v>
      </c>
      <c r="D2631" s="2" t="s">
        <v>10</v>
      </c>
      <c r="E2631" s="2" t="str">
        <f>HYPERLINK("http://ts.21cn.com/tousu/show/id/1333235","http://ts.21cn.com/tousu/show/id/1333235")</f>
        <v>http://ts.21cn.com/tousu/show/id/1333235</v>
      </c>
      <c r="F2631" s="2" t="s">
        <v>11</v>
      </c>
      <c r="G2631" s="2" t="s">
        <v>38960</v>
      </c>
      <c r="H2631" s="2" t="s">
        <v>38961</v>
      </c>
    </row>
    <row r="2632" spans="1:8" ht="25.05" customHeight="1" x14ac:dyDescent="0.25">
      <c r="A2632" s="2" t="s">
        <v>8</v>
      </c>
      <c r="B2632" s="2" t="str">
        <f>HYPERLINK("http://ts.21cn.com/tousu/show/id/1333236","微型商户资金无辜冻结")</f>
        <v>微型商户资金无辜冻结</v>
      </c>
      <c r="C2632" s="2" t="s">
        <v>9</v>
      </c>
      <c r="D2632" s="2" t="s">
        <v>10</v>
      </c>
      <c r="E2632" s="2" t="str">
        <f>HYPERLINK("http://ts.21cn.com/tousu/show/id/1333236","http://ts.21cn.com/tousu/show/id/1333236")</f>
        <v>http://ts.21cn.com/tousu/show/id/1333236</v>
      </c>
      <c r="F2632" s="2" t="s">
        <v>11</v>
      </c>
      <c r="G2632" s="2" t="s">
        <v>38958</v>
      </c>
      <c r="H2632" s="2" t="s">
        <v>38959</v>
      </c>
    </row>
    <row r="2633" spans="1:8" ht="25.05" customHeight="1" x14ac:dyDescent="0.25">
      <c r="A2633" s="2" t="s">
        <v>8</v>
      </c>
      <c r="B2633" s="2" t="str">
        <f>HYPERLINK("http://ts.21cn.com/tousu/show/id/1333237","钱橙无忧随意扣费")</f>
        <v>钱橙无忧随意扣费</v>
      </c>
      <c r="C2633" s="2" t="s">
        <v>9</v>
      </c>
      <c r="D2633" s="2" t="s">
        <v>10</v>
      </c>
      <c r="E2633" s="2" t="str">
        <f>HYPERLINK("http://ts.21cn.com/tousu/show/id/1333237","http://ts.21cn.com/tousu/show/id/1333237")</f>
        <v>http://ts.21cn.com/tousu/show/id/1333237</v>
      </c>
      <c r="F2633" s="2" t="s">
        <v>11</v>
      </c>
      <c r="G2633" s="2" t="s">
        <v>38956</v>
      </c>
      <c r="H2633" s="2" t="s">
        <v>38957</v>
      </c>
    </row>
    <row r="2634" spans="1:8" ht="25.05" customHeight="1" x14ac:dyDescent="0.25">
      <c r="A2634" s="2" t="s">
        <v>8</v>
      </c>
      <c r="B2634" s="2" t="str">
        <f>HYPERLINK("http://ts.21cn.com/tousu/show/id/1333238","网络高利贷")</f>
        <v>网络高利贷</v>
      </c>
      <c r="C2634" s="2" t="s">
        <v>9</v>
      </c>
      <c r="D2634" s="2" t="s">
        <v>10</v>
      </c>
      <c r="E2634" s="2" t="str">
        <f>HYPERLINK("http://ts.21cn.com/tousu/show/id/1333238","http://ts.21cn.com/tousu/show/id/1333238")</f>
        <v>http://ts.21cn.com/tousu/show/id/1333238</v>
      </c>
      <c r="F2634" s="2" t="s">
        <v>11</v>
      </c>
      <c r="G2634" s="2" t="s">
        <v>38954</v>
      </c>
      <c r="H2634" s="2" t="s">
        <v>38955</v>
      </c>
    </row>
    <row r="2635" spans="1:8" ht="25.05" customHeight="1" x14ac:dyDescent="0.25">
      <c r="A2635" s="2" t="s">
        <v>8</v>
      </c>
      <c r="B2635" s="2" t="str">
        <f>HYPERLINK("http://ts.21cn.com/tousu/show/id/1333239","易宝支付盗刷")</f>
        <v>易宝支付盗刷</v>
      </c>
      <c r="C2635" s="2" t="s">
        <v>9</v>
      </c>
      <c r="D2635" s="2" t="s">
        <v>10</v>
      </c>
      <c r="E2635" s="2" t="str">
        <f>HYPERLINK("http://ts.21cn.com/tousu/show/id/1333239","http://ts.21cn.com/tousu/show/id/1333239")</f>
        <v>http://ts.21cn.com/tousu/show/id/1333239</v>
      </c>
      <c r="F2635" s="2" t="s">
        <v>11</v>
      </c>
      <c r="G2635" s="2" t="s">
        <v>38952</v>
      </c>
      <c r="H2635" s="2" t="s">
        <v>38953</v>
      </c>
    </row>
    <row r="2636" spans="1:8" ht="25.05" customHeight="1" x14ac:dyDescent="0.25">
      <c r="A2636" s="2" t="s">
        <v>8</v>
      </c>
      <c r="B2636" s="2" t="str">
        <f>HYPERLINK("http://ts.21cn.com/tousu/show/id/1333240","携程酒店预定出问题，客服电话永远打不通联系不上")</f>
        <v>携程酒店预定出问题，客服电话永远打不通联系不上</v>
      </c>
      <c r="C2636" s="2" t="s">
        <v>9</v>
      </c>
      <c r="D2636" s="2" t="s">
        <v>10</v>
      </c>
      <c r="E2636" s="2" t="str">
        <f>HYPERLINK("http://ts.21cn.com/tousu/show/id/1333240","http://ts.21cn.com/tousu/show/id/1333240")</f>
        <v>http://ts.21cn.com/tousu/show/id/1333240</v>
      </c>
      <c r="F2636" s="2" t="s">
        <v>11</v>
      </c>
      <c r="G2636" s="2" t="s">
        <v>38950</v>
      </c>
      <c r="H2636" s="2" t="s">
        <v>38951</v>
      </c>
    </row>
    <row r="2637" spans="1:8" ht="25.05" customHeight="1" x14ac:dyDescent="0.25">
      <c r="A2637" s="2" t="s">
        <v>8</v>
      </c>
      <c r="B2637" s="2" t="str">
        <f>HYPERLINK("http://ts.21cn.com/tousu/show/id/1333242","麦当劳退款不退")</f>
        <v>麦当劳退款不退</v>
      </c>
      <c r="C2637" s="2" t="s">
        <v>34</v>
      </c>
      <c r="D2637" s="2" t="s">
        <v>10</v>
      </c>
      <c r="E2637" s="2" t="str">
        <f>HYPERLINK("http://ts.21cn.com/tousu/show/id/1333242","http://ts.21cn.com/tousu/show/id/1333242")</f>
        <v>http://ts.21cn.com/tousu/show/id/1333242</v>
      </c>
      <c r="F2637" s="2" t="s">
        <v>11</v>
      </c>
      <c r="G2637" s="2" t="s">
        <v>38948</v>
      </c>
      <c r="H2637" s="2" t="s">
        <v>38949</v>
      </c>
    </row>
    <row r="2638" spans="1:8" ht="25.05" customHeight="1" x14ac:dyDescent="0.25">
      <c r="A2638" s="2" t="s">
        <v>8</v>
      </c>
      <c r="B2638" s="2" t="str">
        <f>HYPERLINK("http://ts.21cn.com/tousu/show/id/1333243","起来嗨贷款收取大额利息")</f>
        <v>起来嗨贷款收取大额利息</v>
      </c>
      <c r="C2638" s="2" t="s">
        <v>34</v>
      </c>
      <c r="D2638" s="2" t="s">
        <v>10</v>
      </c>
      <c r="E2638" s="2" t="str">
        <f>HYPERLINK("http://ts.21cn.com/tousu/show/id/1333243","http://ts.21cn.com/tousu/show/id/1333243")</f>
        <v>http://ts.21cn.com/tousu/show/id/1333243</v>
      </c>
      <c r="F2638" s="2" t="s">
        <v>11</v>
      </c>
      <c r="G2638" s="2" t="s">
        <v>38946</v>
      </c>
      <c r="H2638" s="2" t="s">
        <v>38947</v>
      </c>
    </row>
    <row r="2639" spans="1:8" ht="25.05" customHeight="1" x14ac:dyDescent="0.25">
      <c r="A2639" s="2" t="s">
        <v>8</v>
      </c>
      <c r="B2639" s="2" t="str">
        <f>HYPERLINK("http://ts.21cn.com/tousu/show/id/1333244","交易猫仲裁不作为")</f>
        <v>交易猫仲裁不作为</v>
      </c>
      <c r="C2639" s="2" t="s">
        <v>9</v>
      </c>
      <c r="D2639" s="2" t="s">
        <v>10</v>
      </c>
      <c r="E2639" s="2" t="str">
        <f>HYPERLINK("http://ts.21cn.com/tousu/show/id/1333244","http://ts.21cn.com/tousu/show/id/1333244")</f>
        <v>http://ts.21cn.com/tousu/show/id/1333244</v>
      </c>
      <c r="F2639" s="2" t="s">
        <v>11</v>
      </c>
      <c r="G2639" s="2" t="s">
        <v>38944</v>
      </c>
      <c r="H2639" s="2" t="s">
        <v>38945</v>
      </c>
    </row>
    <row r="2640" spans="1:8" ht="25.05" customHeight="1" x14ac:dyDescent="0.25">
      <c r="A2640" s="2" t="s">
        <v>8</v>
      </c>
      <c r="B2640" s="2" t="str">
        <f>HYPERLINK("http://ts.21cn.com/tousu/show/id/1333245","达飞公司对个人信息保护不严格，泄露了我的个人信息。")</f>
        <v>达飞公司对个人信息保护不严格，泄露了我的个人信息。</v>
      </c>
      <c r="C2640" s="2" t="s">
        <v>9</v>
      </c>
      <c r="D2640" s="2" t="s">
        <v>10</v>
      </c>
      <c r="E2640" s="2" t="str">
        <f>HYPERLINK("http://ts.21cn.com/tousu/show/id/1333245","http://ts.21cn.com/tousu/show/id/1333245")</f>
        <v>http://ts.21cn.com/tousu/show/id/1333245</v>
      </c>
      <c r="F2640" s="2" t="s">
        <v>11</v>
      </c>
      <c r="G2640" s="2" t="s">
        <v>38942</v>
      </c>
      <c r="H2640" s="2" t="s">
        <v>38943</v>
      </c>
    </row>
    <row r="2641" spans="1:8" ht="25.05" customHeight="1" x14ac:dyDescent="0.25">
      <c r="A2641" s="2" t="s">
        <v>8</v>
      </c>
      <c r="B2641" s="2" t="str">
        <f>HYPERLINK("http://ts.21cn.com/tousu/show/id/1333246","保险费")</f>
        <v>保险费</v>
      </c>
      <c r="C2641" s="2" t="s">
        <v>9</v>
      </c>
      <c r="D2641" s="2" t="s">
        <v>10</v>
      </c>
      <c r="E2641" s="2" t="str">
        <f>HYPERLINK("http://ts.21cn.com/tousu/show/id/1333246","http://ts.21cn.com/tousu/show/id/1333246")</f>
        <v>http://ts.21cn.com/tousu/show/id/1333246</v>
      </c>
      <c r="F2641" s="2" t="s">
        <v>11</v>
      </c>
      <c r="G2641" s="2" t="s">
        <v>38940</v>
      </c>
      <c r="H2641" s="2" t="s">
        <v>38941</v>
      </c>
    </row>
    <row r="2642" spans="1:8" ht="25.05" customHeight="1" x14ac:dyDescent="0.25">
      <c r="A2642" s="2" t="s">
        <v>8</v>
      </c>
      <c r="B2642" s="2" t="str">
        <f>HYPERLINK("http://ts.21cn.com/tousu/show/id/1333248","无故扣除银行卡里的钱")</f>
        <v>无故扣除银行卡里的钱</v>
      </c>
      <c r="C2642" s="2" t="s">
        <v>9</v>
      </c>
      <c r="D2642" s="2" t="s">
        <v>10</v>
      </c>
      <c r="E2642" s="2" t="str">
        <f>HYPERLINK("http://ts.21cn.com/tousu/show/id/1333248","http://ts.21cn.com/tousu/show/id/1333248")</f>
        <v>http://ts.21cn.com/tousu/show/id/1333248</v>
      </c>
      <c r="F2642" s="2" t="s">
        <v>11</v>
      </c>
      <c r="G2642" s="2" t="s">
        <v>38938</v>
      </c>
      <c r="H2642" s="2" t="s">
        <v>38939</v>
      </c>
    </row>
    <row r="2643" spans="1:8" ht="25.05" customHeight="1" x14ac:dyDescent="0.25">
      <c r="A2643" s="2" t="s">
        <v>8</v>
      </c>
      <c r="B2643" s="2" t="str">
        <f>HYPERLINK("http://ts.21cn.com/tousu/show/id/1333249","对庄翡翠货不对版拒不退款")</f>
        <v>对庄翡翠货不对版拒不退款</v>
      </c>
      <c r="C2643" s="2" t="s">
        <v>9</v>
      </c>
      <c r="D2643" s="2" t="s">
        <v>10</v>
      </c>
      <c r="E2643" s="2" t="str">
        <f>HYPERLINK("http://ts.21cn.com/tousu/show/id/1333249","http://ts.21cn.com/tousu/show/id/1333249")</f>
        <v>http://ts.21cn.com/tousu/show/id/1333249</v>
      </c>
      <c r="F2643" s="2" t="s">
        <v>11</v>
      </c>
      <c r="G2643" s="2" t="s">
        <v>38936</v>
      </c>
      <c r="H2643" s="2" t="s">
        <v>38937</v>
      </c>
    </row>
    <row r="2644" spans="1:8" ht="25.05" customHeight="1" x14ac:dyDescent="0.25">
      <c r="A2644" s="2" t="s">
        <v>8</v>
      </c>
      <c r="B2644" s="2" t="str">
        <f>HYPERLINK("http://ts.21cn.com/tousu/show/id/1333252","造艺技术聚福钱包盗刷银行卡")</f>
        <v>造艺技术聚福钱包盗刷银行卡</v>
      </c>
      <c r="C2644" s="2" t="s">
        <v>9</v>
      </c>
      <c r="D2644" s="2" t="s">
        <v>10</v>
      </c>
      <c r="E2644" s="2" t="str">
        <f>HYPERLINK("http://ts.21cn.com/tousu/show/id/1333252","http://ts.21cn.com/tousu/show/id/1333252")</f>
        <v>http://ts.21cn.com/tousu/show/id/1333252</v>
      </c>
      <c r="F2644" s="2" t="s">
        <v>11</v>
      </c>
      <c r="G2644" s="2" t="s">
        <v>38935</v>
      </c>
      <c r="H2644" s="2" t="s">
        <v>16913</v>
      </c>
    </row>
    <row r="2645" spans="1:8" ht="25.05" customHeight="1" x14ac:dyDescent="0.25">
      <c r="A2645" s="2" t="s">
        <v>8</v>
      </c>
      <c r="B2645" s="2" t="str">
        <f>HYPERLINK("http://ts.21cn.com/tousu/show/id/1333254","拼多多现金助力活动")</f>
        <v>拼多多现金助力活动</v>
      </c>
      <c r="C2645" s="2" t="s">
        <v>9</v>
      </c>
      <c r="D2645" s="2" t="s">
        <v>10</v>
      </c>
      <c r="E2645" s="2" t="str">
        <f>HYPERLINK("http://ts.21cn.com/tousu/show/id/1333254","http://ts.21cn.com/tousu/show/id/1333254")</f>
        <v>http://ts.21cn.com/tousu/show/id/1333254</v>
      </c>
      <c r="F2645" s="2" t="s">
        <v>11</v>
      </c>
      <c r="G2645" s="2" t="s">
        <v>38932</v>
      </c>
      <c r="H2645" s="2" t="s">
        <v>38933</v>
      </c>
    </row>
    <row r="2646" spans="1:8" ht="25.05" customHeight="1" x14ac:dyDescent="0.25">
      <c r="A2646" s="2" t="s">
        <v>8</v>
      </c>
      <c r="B2646" s="2" t="str">
        <f>HYPERLINK("http://ts.21cn.com/tousu/show/id/1333253","易宝支付盗刷卡里钱")</f>
        <v>易宝支付盗刷卡里钱</v>
      </c>
      <c r="C2646" s="2" t="s">
        <v>9</v>
      </c>
      <c r="D2646" s="2" t="s">
        <v>10</v>
      </c>
      <c r="E2646" s="2" t="str">
        <f>HYPERLINK("http://ts.21cn.com/tousu/show/id/1333253","http://ts.21cn.com/tousu/show/id/1333253")</f>
        <v>http://ts.21cn.com/tousu/show/id/1333253</v>
      </c>
      <c r="F2646" s="2" t="s">
        <v>11</v>
      </c>
      <c r="G2646" s="2" t="s">
        <v>38932</v>
      </c>
      <c r="H2646" s="2" t="s">
        <v>38934</v>
      </c>
    </row>
    <row r="2647" spans="1:8" ht="25.05" customHeight="1" x14ac:dyDescent="0.25">
      <c r="A2647" s="2" t="s">
        <v>8</v>
      </c>
      <c r="B2647" s="2" t="str">
        <f>HYPERLINK("http://ts.21cn.com/tousu/show/id/1333255","美利车、力蕴汽车套路贷")</f>
        <v>美利车、力蕴汽车套路贷</v>
      </c>
      <c r="C2647" s="2" t="s">
        <v>9</v>
      </c>
      <c r="D2647" s="2" t="s">
        <v>10</v>
      </c>
      <c r="E2647" s="2" t="str">
        <f>HYPERLINK("http://ts.21cn.com/tousu/show/id/1333255","http://ts.21cn.com/tousu/show/id/1333255")</f>
        <v>http://ts.21cn.com/tousu/show/id/1333255</v>
      </c>
      <c r="F2647" s="2" t="s">
        <v>11</v>
      </c>
      <c r="G2647" s="2" t="s">
        <v>38930</v>
      </c>
      <c r="H2647" s="2" t="s">
        <v>38931</v>
      </c>
    </row>
    <row r="2648" spans="1:8" ht="25.05" customHeight="1" x14ac:dyDescent="0.25">
      <c r="A2648" s="2" t="s">
        <v>8</v>
      </c>
      <c r="B2648" s="2" t="str">
        <f>HYPERLINK("http://ts.21cn.com/tousu/show/id/1333256","我在携程订酒店，付款成功后查询不到订单信息，打电话给客服没有人接听，恶意扣款。")</f>
        <v>我在携程订酒店，付款成功后查询不到订单信息，打电话给客服没有人接听，恶意扣款。</v>
      </c>
      <c r="C2648" s="2" t="s">
        <v>9</v>
      </c>
      <c r="D2648" s="2" t="s">
        <v>10</v>
      </c>
      <c r="E2648" s="2" t="str">
        <f>HYPERLINK("http://ts.21cn.com/tousu/show/id/1333256","http://ts.21cn.com/tousu/show/id/1333256")</f>
        <v>http://ts.21cn.com/tousu/show/id/1333256</v>
      </c>
      <c r="F2648" s="2" t="s">
        <v>11</v>
      </c>
      <c r="G2648" s="2" t="s">
        <v>38929</v>
      </c>
      <c r="H2648" s="2" t="s">
        <v>38928</v>
      </c>
    </row>
    <row r="2649" spans="1:8" ht="25.05" customHeight="1" x14ac:dyDescent="0.25">
      <c r="A2649" s="2" t="s">
        <v>8</v>
      </c>
      <c r="B2649" s="2" t="str">
        <f>HYPERLINK("http://ts.21cn.com/tousu/show/id/1333258","贷上钱以买游戏豆为由收取高额贷款通过费")</f>
        <v>贷上钱以买游戏豆为由收取高额贷款通过费</v>
      </c>
      <c r="C2649" s="2" t="s">
        <v>9</v>
      </c>
      <c r="D2649" s="2" t="s">
        <v>10</v>
      </c>
      <c r="E2649" s="2" t="str">
        <f>HYPERLINK("http://ts.21cn.com/tousu/show/id/1333258","http://ts.21cn.com/tousu/show/id/1333258")</f>
        <v>http://ts.21cn.com/tousu/show/id/1333258</v>
      </c>
      <c r="F2649" s="2" t="s">
        <v>11</v>
      </c>
      <c r="G2649" s="2" t="s">
        <v>38926</v>
      </c>
      <c r="H2649" s="2" t="s">
        <v>38927</v>
      </c>
    </row>
    <row r="2650" spans="1:8" ht="25.05" customHeight="1" x14ac:dyDescent="0.25">
      <c r="A2650" s="2" t="s">
        <v>8</v>
      </c>
      <c r="B2650" s="2" t="str">
        <f>HYPERLINK("http://ts.21cn.com/tousu/show/id/1333259","你我贷高利贷")</f>
        <v>你我贷高利贷</v>
      </c>
      <c r="C2650" s="2" t="s">
        <v>9</v>
      </c>
      <c r="D2650" s="2" t="s">
        <v>10</v>
      </c>
      <c r="E2650" s="2" t="str">
        <f>HYPERLINK("http://ts.21cn.com/tousu/show/id/1333259","http://ts.21cn.com/tousu/show/id/1333259")</f>
        <v>http://ts.21cn.com/tousu/show/id/1333259</v>
      </c>
      <c r="F2650" s="2" t="s">
        <v>11</v>
      </c>
      <c r="G2650" s="2" t="s">
        <v>38924</v>
      </c>
      <c r="H2650" s="2" t="s">
        <v>38925</v>
      </c>
    </row>
    <row r="2651" spans="1:8" ht="25.05" customHeight="1" x14ac:dyDescent="0.25">
      <c r="A2651" s="2" t="s">
        <v>8</v>
      </c>
      <c r="B2651" s="2" t="str">
        <f>HYPERLINK("http://ts.21cn.com/tousu/show/id/1333260","玖富客服故意不接电话")</f>
        <v>玖富客服故意不接电话</v>
      </c>
      <c r="C2651" s="2" t="s">
        <v>34</v>
      </c>
      <c r="D2651" s="2" t="s">
        <v>10</v>
      </c>
      <c r="E2651" s="2" t="str">
        <f>HYPERLINK("http://ts.21cn.com/tousu/show/id/1333260","http://ts.21cn.com/tousu/show/id/1333260")</f>
        <v>http://ts.21cn.com/tousu/show/id/1333260</v>
      </c>
      <c r="F2651" s="2" t="s">
        <v>11</v>
      </c>
      <c r="G2651" s="2" t="s">
        <v>38922</v>
      </c>
      <c r="H2651" s="2" t="s">
        <v>38923</v>
      </c>
    </row>
    <row r="2652" spans="1:8" ht="25.05" customHeight="1" x14ac:dyDescent="0.25">
      <c r="A2652" s="2" t="s">
        <v>8</v>
      </c>
      <c r="B2652" s="2" t="str">
        <f>HYPERLINK("http://ts.21cn.com/tousu/show/id/1333263","诱导客户购买会员强制扣费")</f>
        <v>诱导客户购买会员强制扣费</v>
      </c>
      <c r="C2652" s="2" t="s">
        <v>9</v>
      </c>
      <c r="D2652" s="2" t="s">
        <v>10</v>
      </c>
      <c r="E2652" s="2" t="str">
        <f>HYPERLINK("http://ts.21cn.com/tousu/show/id/1333263","http://ts.21cn.com/tousu/show/id/1333263")</f>
        <v>http://ts.21cn.com/tousu/show/id/1333263</v>
      </c>
      <c r="F2652" s="2" t="s">
        <v>11</v>
      </c>
      <c r="G2652" s="2" t="s">
        <v>38920</v>
      </c>
      <c r="H2652" s="2" t="s">
        <v>38921</v>
      </c>
    </row>
    <row r="2653" spans="1:8" ht="25.05" customHeight="1" x14ac:dyDescent="0.25">
      <c r="A2653" s="2" t="s">
        <v>8</v>
      </c>
      <c r="B2653" s="2" t="str">
        <f>HYPERLINK("http://ts.21cn.com/tousu/show/id/1333212","微信审核不当导致被骗")</f>
        <v>微信审核不当导致被骗</v>
      </c>
      <c r="C2653" s="2" t="s">
        <v>9</v>
      </c>
      <c r="D2653" s="2" t="s">
        <v>10</v>
      </c>
      <c r="E2653" s="2" t="str">
        <f>HYPERLINK("http://ts.21cn.com/tousu/show/id/1333212","http://ts.21cn.com/tousu/show/id/1333212")</f>
        <v>http://ts.21cn.com/tousu/show/id/1333212</v>
      </c>
      <c r="F2653" s="2" t="s">
        <v>11</v>
      </c>
      <c r="G2653" s="2" t="s">
        <v>38918</v>
      </c>
      <c r="H2653" s="2" t="s">
        <v>38919</v>
      </c>
    </row>
    <row r="2654" spans="1:8" ht="25.05" customHeight="1" x14ac:dyDescent="0.25">
      <c r="A2654" s="2" t="s">
        <v>8</v>
      </c>
      <c r="B2654" s="2" t="str">
        <f>HYPERLINK("http://ts.21cn.com/tousu/show/id/1333264","不知情被银联扣了8596元")</f>
        <v>不知情被银联扣了8596元</v>
      </c>
      <c r="C2654" s="2" t="s">
        <v>9</v>
      </c>
      <c r="D2654" s="2" t="s">
        <v>10</v>
      </c>
      <c r="E2654" s="2" t="str">
        <f>HYPERLINK("http://ts.21cn.com/tousu/show/id/1333264","http://ts.21cn.com/tousu/show/id/1333264")</f>
        <v>http://ts.21cn.com/tousu/show/id/1333264</v>
      </c>
      <c r="F2654" s="2" t="s">
        <v>11</v>
      </c>
      <c r="G2654" s="2" t="s">
        <v>38916</v>
      </c>
      <c r="H2654" s="2" t="s">
        <v>38917</v>
      </c>
    </row>
    <row r="2655" spans="1:8" ht="25.05" customHeight="1" x14ac:dyDescent="0.25">
      <c r="A2655" s="2" t="s">
        <v>8</v>
      </c>
      <c r="B2655" s="2" t="str">
        <f>HYPERLINK("http://ts.21cn.com/tousu/show/id/1333268","我在捷信借了5万，还了快3年了，一共现在还了6万了，我想一次性付清他们还要我还25000多，")</f>
        <v>我在捷信借了5万，还了快3年了，一共现在还了6万了，我想一次性付清他们还要我还25000多，</v>
      </c>
      <c r="C2655" s="2" t="s">
        <v>34</v>
      </c>
      <c r="D2655" s="2" t="s">
        <v>10</v>
      </c>
      <c r="E2655" s="2" t="str">
        <f>HYPERLINK("http://ts.21cn.com/tousu/show/id/1333268","http://ts.21cn.com/tousu/show/id/1333268")</f>
        <v>http://ts.21cn.com/tousu/show/id/1333268</v>
      </c>
      <c r="F2655" s="2" t="s">
        <v>11</v>
      </c>
      <c r="G2655" s="2" t="s">
        <v>38914</v>
      </c>
      <c r="H2655" s="2" t="s">
        <v>38915</v>
      </c>
    </row>
    <row r="2656" spans="1:8" ht="25.05" customHeight="1" x14ac:dyDescent="0.25">
      <c r="A2656" s="2" t="s">
        <v>8</v>
      </c>
      <c r="B2656" s="2" t="str">
        <f>HYPERLINK("http://ts.21cn.com/tousu/show/id/1333267","购票时默认购买增值服务，没有提示")</f>
        <v>购票时默认购买增值服务，没有提示</v>
      </c>
      <c r="C2656" s="2" t="s">
        <v>9</v>
      </c>
      <c r="D2656" s="2" t="s">
        <v>10</v>
      </c>
      <c r="E2656" s="2" t="str">
        <f>HYPERLINK("http://ts.21cn.com/tousu/show/id/1333267","http://ts.21cn.com/tousu/show/id/1333267")</f>
        <v>http://ts.21cn.com/tousu/show/id/1333267</v>
      </c>
      <c r="F2656" s="2" t="s">
        <v>11</v>
      </c>
      <c r="G2656" s="2" t="s">
        <v>38912</v>
      </c>
      <c r="H2656" s="2" t="s">
        <v>38913</v>
      </c>
    </row>
    <row r="2657" spans="1:8" ht="25.05" customHeight="1" x14ac:dyDescent="0.25">
      <c r="A2657" s="2" t="s">
        <v>8</v>
      </c>
      <c r="B2657" s="2" t="str">
        <f>HYPERLINK("http://ts.21cn.com/tousu/show/id/1333247","尚德机构招生有隐瞒，不具体告知报考生有协议和欺瞒没考过可以退款")</f>
        <v>尚德机构招生有隐瞒，不具体告知报考生有协议和欺瞒没考过可以退款</v>
      </c>
      <c r="C2657" s="2" t="s">
        <v>9</v>
      </c>
      <c r="D2657" s="2" t="s">
        <v>10</v>
      </c>
      <c r="E2657" s="2" t="str">
        <f>HYPERLINK("http://ts.21cn.com/tousu/show/id/1333247","http://ts.21cn.com/tousu/show/id/1333247")</f>
        <v>http://ts.21cn.com/tousu/show/id/1333247</v>
      </c>
      <c r="F2657" s="2" t="s">
        <v>11</v>
      </c>
      <c r="G2657" s="2" t="s">
        <v>38910</v>
      </c>
      <c r="H2657" s="2" t="s">
        <v>38911</v>
      </c>
    </row>
    <row r="2658" spans="1:8" ht="25.05" customHeight="1" x14ac:dyDescent="0.25">
      <c r="A2658" s="2" t="s">
        <v>8</v>
      </c>
      <c r="B2658" s="2" t="str">
        <f>HYPERLINK("http://ts.21cn.com/tousu/show/id/1333269","携程扣钱后酒店没有信息")</f>
        <v>携程扣钱后酒店没有信息</v>
      </c>
      <c r="C2658" s="2" t="s">
        <v>9</v>
      </c>
      <c r="D2658" s="2" t="s">
        <v>10</v>
      </c>
      <c r="E2658" s="2" t="str">
        <f>HYPERLINK("http://ts.21cn.com/tousu/show/id/1333269","http://ts.21cn.com/tousu/show/id/1333269")</f>
        <v>http://ts.21cn.com/tousu/show/id/1333269</v>
      </c>
      <c r="F2658" s="2" t="s">
        <v>11</v>
      </c>
      <c r="G2658" s="2" t="s">
        <v>38908</v>
      </c>
      <c r="H2658" s="2" t="s">
        <v>38909</v>
      </c>
    </row>
    <row r="2659" spans="1:8" ht="25.05" customHeight="1" x14ac:dyDescent="0.25">
      <c r="A2659" s="2" t="s">
        <v>8</v>
      </c>
      <c r="B2659" s="2" t="str">
        <f>HYPERLINK("http://ts.21cn.com/tousu/show/id/1333270","恶意乱扣费")</f>
        <v>恶意乱扣费</v>
      </c>
      <c r="C2659" s="2" t="s">
        <v>9</v>
      </c>
      <c r="D2659" s="2" t="s">
        <v>10</v>
      </c>
      <c r="E2659" s="2" t="str">
        <f>HYPERLINK("http://ts.21cn.com/tousu/show/id/1333270","http://ts.21cn.com/tousu/show/id/1333270")</f>
        <v>http://ts.21cn.com/tousu/show/id/1333270</v>
      </c>
      <c r="F2659" s="2" t="s">
        <v>11</v>
      </c>
      <c r="G2659" s="2" t="s">
        <v>38906</v>
      </c>
      <c r="H2659" s="2" t="s">
        <v>38907</v>
      </c>
    </row>
    <row r="2660" spans="1:8" ht="25.05" customHeight="1" x14ac:dyDescent="0.25">
      <c r="A2660" s="2" t="s">
        <v>8</v>
      </c>
      <c r="B2660" s="2" t="str">
        <f>HYPERLINK("http://ts.21cn.com/tousu/show/id/1333272","中腾信恶意催收")</f>
        <v>中腾信恶意催收</v>
      </c>
      <c r="C2660" s="2" t="s">
        <v>9</v>
      </c>
      <c r="D2660" s="2" t="s">
        <v>10</v>
      </c>
      <c r="E2660" s="2" t="str">
        <f>HYPERLINK("http://ts.21cn.com/tousu/show/id/1333272","http://ts.21cn.com/tousu/show/id/1333272")</f>
        <v>http://ts.21cn.com/tousu/show/id/1333272</v>
      </c>
      <c r="F2660" s="2" t="s">
        <v>11</v>
      </c>
      <c r="G2660" s="2" t="s">
        <v>38903</v>
      </c>
      <c r="H2660" s="2" t="s">
        <v>38904</v>
      </c>
    </row>
    <row r="2661" spans="1:8" ht="25.05" customHeight="1" x14ac:dyDescent="0.25">
      <c r="A2661" s="2" t="s">
        <v>8</v>
      </c>
      <c r="B2661" s="2" t="str">
        <f>HYPERLINK("http://ts.21cn.com/tousu/show/id/1333271","玖富万卡套路贷")</f>
        <v>玖富万卡套路贷</v>
      </c>
      <c r="C2661" s="2" t="s">
        <v>9</v>
      </c>
      <c r="D2661" s="2" t="s">
        <v>10</v>
      </c>
      <c r="E2661" s="2" t="str">
        <f>HYPERLINK("http://ts.21cn.com/tousu/show/id/1333271","http://ts.21cn.com/tousu/show/id/1333271")</f>
        <v>http://ts.21cn.com/tousu/show/id/1333271</v>
      </c>
      <c r="F2661" s="2" t="s">
        <v>11</v>
      </c>
      <c r="G2661" s="2" t="s">
        <v>38903</v>
      </c>
      <c r="H2661" s="2" t="s">
        <v>38905</v>
      </c>
    </row>
    <row r="2662" spans="1:8" ht="25.05" customHeight="1" x14ac:dyDescent="0.25">
      <c r="A2662" s="2" t="s">
        <v>8</v>
      </c>
      <c r="B2662" s="2" t="str">
        <f>HYPERLINK("http://ts.21cn.com/tousu/show/id/1333273","无故扣款")</f>
        <v>无故扣款</v>
      </c>
      <c r="C2662" s="2" t="s">
        <v>9</v>
      </c>
      <c r="D2662" s="2" t="s">
        <v>10</v>
      </c>
      <c r="E2662" s="2" t="str">
        <f>HYPERLINK("http://ts.21cn.com/tousu/show/id/1333273","http://ts.21cn.com/tousu/show/id/1333273")</f>
        <v>http://ts.21cn.com/tousu/show/id/1333273</v>
      </c>
      <c r="F2662" s="2" t="s">
        <v>11</v>
      </c>
      <c r="G2662" s="2" t="s">
        <v>38901</v>
      </c>
      <c r="H2662" s="2" t="s">
        <v>38902</v>
      </c>
    </row>
    <row r="2663" spans="1:8" ht="25.05" customHeight="1" x14ac:dyDescent="0.25">
      <c r="A2663" s="2" t="s">
        <v>8</v>
      </c>
      <c r="B2663" s="2" t="str">
        <f>HYPERLINK("http://ts.21cn.com/tousu/show/id/1333274","《京东支付》《中国民生银行股份有限公司新兴支付清算中心》违规为高利贷提供清结算业务")</f>
        <v>《京东支付》《中国民生银行股份有限公司新兴支付清算中心》违规为高利贷提供清结算业务</v>
      </c>
      <c r="C2663" s="2" t="s">
        <v>9</v>
      </c>
      <c r="D2663" s="2" t="s">
        <v>10</v>
      </c>
      <c r="E2663" s="2" t="str">
        <f>HYPERLINK("http://ts.21cn.com/tousu/show/id/1333274","http://ts.21cn.com/tousu/show/id/1333274")</f>
        <v>http://ts.21cn.com/tousu/show/id/1333274</v>
      </c>
      <c r="F2663" s="2" t="s">
        <v>11</v>
      </c>
      <c r="G2663" s="2" t="s">
        <v>38899</v>
      </c>
      <c r="H2663" s="2" t="s">
        <v>38900</v>
      </c>
    </row>
    <row r="2664" spans="1:8" ht="25.05" customHeight="1" x14ac:dyDescent="0.25">
      <c r="A2664" s="2" t="s">
        <v>8</v>
      </c>
      <c r="B2664" s="2" t="str">
        <f>HYPERLINK("http://ts.21cn.com/tousu/show/id/1333276","不明原因的扣费")</f>
        <v>不明原因的扣费</v>
      </c>
      <c r="C2664" s="2" t="s">
        <v>9</v>
      </c>
      <c r="D2664" s="2" t="s">
        <v>10</v>
      </c>
      <c r="E2664" s="2" t="str">
        <f>HYPERLINK("http://ts.21cn.com/tousu/show/id/1333276","http://ts.21cn.com/tousu/show/id/1333276")</f>
        <v>http://ts.21cn.com/tousu/show/id/1333276</v>
      </c>
      <c r="F2664" s="2" t="s">
        <v>11</v>
      </c>
      <c r="G2664" s="2" t="s">
        <v>38898</v>
      </c>
      <c r="H2664" s="2" t="s">
        <v>36559</v>
      </c>
    </row>
    <row r="2665" spans="1:8" ht="25.05" customHeight="1" x14ac:dyDescent="0.25">
      <c r="A2665" s="2" t="s">
        <v>8</v>
      </c>
      <c r="B2665" s="2" t="str">
        <f>HYPERLINK("http://ts.21cn.com/tousu/show/id/1333275","多收费。")</f>
        <v>多收费。</v>
      </c>
      <c r="C2665" s="2" t="s">
        <v>9</v>
      </c>
      <c r="D2665" s="2" t="s">
        <v>10</v>
      </c>
      <c r="E2665" s="2" t="str">
        <f>HYPERLINK("http://ts.21cn.com/tousu/show/id/1333275","http://ts.21cn.com/tousu/show/id/1333275")</f>
        <v>http://ts.21cn.com/tousu/show/id/1333275</v>
      </c>
      <c r="F2665" s="2" t="s">
        <v>11</v>
      </c>
      <c r="G2665" s="2" t="s">
        <v>38896</v>
      </c>
      <c r="H2665" s="2" t="s">
        <v>38897</v>
      </c>
    </row>
    <row r="2666" spans="1:8" ht="25.05" customHeight="1" x14ac:dyDescent="0.25">
      <c r="A2666" s="2" t="s">
        <v>8</v>
      </c>
      <c r="B2666" s="2" t="str">
        <f>HYPERLINK("http://ts.21cn.com/tousu/show/id/1333277","猪八戒网服务商成都优享佳科技未按照合同约定完成项目开发")</f>
        <v>猪八戒网服务商成都优享佳科技未按照合同约定完成项目开发</v>
      </c>
      <c r="C2666" s="2" t="s">
        <v>34</v>
      </c>
      <c r="D2666" s="2" t="s">
        <v>10</v>
      </c>
      <c r="E2666" s="2" t="str">
        <f>HYPERLINK("http://ts.21cn.com/tousu/show/id/1333277","http://ts.21cn.com/tousu/show/id/1333277")</f>
        <v>http://ts.21cn.com/tousu/show/id/1333277</v>
      </c>
      <c r="F2666" s="2" t="s">
        <v>11</v>
      </c>
      <c r="G2666" s="2" t="s">
        <v>38894</v>
      </c>
      <c r="H2666" s="2" t="s">
        <v>38895</v>
      </c>
    </row>
    <row r="2667" spans="1:8" ht="25.05" customHeight="1" x14ac:dyDescent="0.25">
      <c r="A2667" s="2" t="s">
        <v>8</v>
      </c>
      <c r="B2667" s="2" t="str">
        <f>HYPERLINK("http://ts.21cn.com/tousu/show/id/1333278","拼多多维护威胁消费者商家")</f>
        <v>拼多多维护威胁消费者商家</v>
      </c>
      <c r="C2667" s="2" t="s">
        <v>9</v>
      </c>
      <c r="D2667" s="2" t="s">
        <v>10</v>
      </c>
      <c r="E2667" s="2" t="str">
        <f>HYPERLINK("http://ts.21cn.com/tousu/show/id/1333278","http://ts.21cn.com/tousu/show/id/1333278")</f>
        <v>http://ts.21cn.com/tousu/show/id/1333278</v>
      </c>
      <c r="F2667" s="2" t="s">
        <v>11</v>
      </c>
      <c r="G2667" s="2" t="s">
        <v>38892</v>
      </c>
      <c r="H2667" s="2" t="s">
        <v>38893</v>
      </c>
    </row>
    <row r="2668" spans="1:8" ht="25.05" customHeight="1" x14ac:dyDescent="0.25">
      <c r="A2668" s="2" t="s">
        <v>8</v>
      </c>
      <c r="B2668" s="2" t="str">
        <f>HYPERLINK("http://ts.21cn.com/tousu/show/id/1333251","云闪付不合法交易")</f>
        <v>云闪付不合法交易</v>
      </c>
      <c r="C2668" s="2" t="s">
        <v>9</v>
      </c>
      <c r="D2668" s="2" t="s">
        <v>10</v>
      </c>
      <c r="E2668" s="2" t="str">
        <f>HYPERLINK("http://ts.21cn.com/tousu/show/id/1333251","http://ts.21cn.com/tousu/show/id/1333251")</f>
        <v>http://ts.21cn.com/tousu/show/id/1333251</v>
      </c>
      <c r="F2668" s="2" t="s">
        <v>11</v>
      </c>
      <c r="G2668" s="2" t="s">
        <v>38890</v>
      </c>
      <c r="H2668" s="2" t="s">
        <v>38891</v>
      </c>
    </row>
    <row r="2669" spans="1:8" ht="25.05" customHeight="1" x14ac:dyDescent="0.25">
      <c r="A2669" s="2" t="s">
        <v>8</v>
      </c>
      <c r="B2669" s="2" t="str">
        <f>HYPERLINK("http://ts.21cn.com/tousu/show/id/1333262","钱站高利贷阴阳合同")</f>
        <v>钱站高利贷阴阳合同</v>
      </c>
      <c r="C2669" s="2" t="s">
        <v>9</v>
      </c>
      <c r="D2669" s="2" t="s">
        <v>10</v>
      </c>
      <c r="E2669" s="2" t="str">
        <f>HYPERLINK("http://ts.21cn.com/tousu/show/id/1333262","http://ts.21cn.com/tousu/show/id/1333262")</f>
        <v>http://ts.21cn.com/tousu/show/id/1333262</v>
      </c>
      <c r="F2669" s="2" t="s">
        <v>11</v>
      </c>
      <c r="G2669" s="2" t="s">
        <v>38888</v>
      </c>
      <c r="H2669" s="2" t="s">
        <v>38889</v>
      </c>
    </row>
    <row r="2670" spans="1:8" ht="25.05" customHeight="1" x14ac:dyDescent="0.25">
      <c r="A2670" s="2" t="s">
        <v>8</v>
      </c>
      <c r="B2670" s="2" t="str">
        <f>HYPERLINK("http://ts.21cn.com/tousu/show/id/1333279","易美付还款是借款金额的两倍")</f>
        <v>易美付还款是借款金额的两倍</v>
      </c>
      <c r="C2670" s="2" t="s">
        <v>34</v>
      </c>
      <c r="D2670" s="2" t="s">
        <v>10</v>
      </c>
      <c r="E2670" s="2" t="str">
        <f>HYPERLINK("http://ts.21cn.com/tousu/show/id/1333279","http://ts.21cn.com/tousu/show/id/1333279")</f>
        <v>http://ts.21cn.com/tousu/show/id/1333279</v>
      </c>
      <c r="F2670" s="2" t="s">
        <v>11</v>
      </c>
      <c r="G2670" s="2" t="s">
        <v>38886</v>
      </c>
      <c r="H2670" s="2" t="s">
        <v>38887</v>
      </c>
    </row>
    <row r="2671" spans="1:8" ht="25.05" customHeight="1" x14ac:dyDescent="0.25">
      <c r="A2671" s="2" t="s">
        <v>8</v>
      </c>
      <c r="B2671" s="2" t="str">
        <f>HYPERLINK("http://ts.21cn.com/tousu/show/id/1333280","导师带赚诱导充值")</f>
        <v>导师带赚诱导充值</v>
      </c>
      <c r="C2671" s="2" t="s">
        <v>9</v>
      </c>
      <c r="D2671" s="2" t="s">
        <v>10</v>
      </c>
      <c r="E2671" s="2" t="str">
        <f>HYPERLINK("http://ts.21cn.com/tousu/show/id/1333280","http://ts.21cn.com/tousu/show/id/1333280")</f>
        <v>http://ts.21cn.com/tousu/show/id/1333280</v>
      </c>
      <c r="F2671" s="2" t="s">
        <v>11</v>
      </c>
      <c r="G2671" s="2" t="s">
        <v>38884</v>
      </c>
      <c r="H2671" s="2" t="s">
        <v>38885</v>
      </c>
    </row>
    <row r="2672" spans="1:8" ht="25.05" customHeight="1" x14ac:dyDescent="0.25">
      <c r="A2672" s="2" t="s">
        <v>8</v>
      </c>
      <c r="B2672" s="2" t="str">
        <f>HYPERLINK("http://ts.21cn.com/tousu/show/id/1333281","《银生宝》《网银在线》违规为高利贷提供放贷/扣款业务")</f>
        <v>《银生宝》《网银在线》违规为高利贷提供放贷/扣款业务</v>
      </c>
      <c r="C2672" s="2" t="s">
        <v>9</v>
      </c>
      <c r="D2672" s="2" t="s">
        <v>10</v>
      </c>
      <c r="E2672" s="2" t="str">
        <f>HYPERLINK("http://ts.21cn.com/tousu/show/id/1333281","http://ts.21cn.com/tousu/show/id/1333281")</f>
        <v>http://ts.21cn.com/tousu/show/id/1333281</v>
      </c>
      <c r="F2672" s="2" t="s">
        <v>11</v>
      </c>
      <c r="G2672" s="2" t="s">
        <v>38882</v>
      </c>
      <c r="H2672" s="2" t="s">
        <v>38883</v>
      </c>
    </row>
    <row r="2673" spans="1:8" ht="25.05" customHeight="1" x14ac:dyDescent="0.25">
      <c r="A2673" s="2" t="s">
        <v>8</v>
      </c>
      <c r="B2673" s="2" t="str">
        <f>HYPERLINK("http://ts.21cn.com/tousu/show/id/1333282","豆豆钱APP获取借款人信息用于软暴力催收")</f>
        <v>豆豆钱APP获取借款人信息用于软暴力催收</v>
      </c>
      <c r="C2673" s="2" t="s">
        <v>9</v>
      </c>
      <c r="D2673" s="2" t="s">
        <v>10</v>
      </c>
      <c r="E2673" s="2" t="str">
        <f>HYPERLINK("http://ts.21cn.com/tousu/show/id/1333282","http://ts.21cn.com/tousu/show/id/1333282")</f>
        <v>http://ts.21cn.com/tousu/show/id/1333282</v>
      </c>
      <c r="F2673" s="2" t="s">
        <v>11</v>
      </c>
      <c r="G2673" s="2" t="s">
        <v>38880</v>
      </c>
      <c r="H2673" s="2" t="s">
        <v>38881</v>
      </c>
    </row>
    <row r="2674" spans="1:8" ht="25.05" customHeight="1" x14ac:dyDescent="0.25">
      <c r="A2674" s="2" t="s">
        <v>8</v>
      </c>
      <c r="B2674" s="2" t="str">
        <f>HYPERLINK("http://ts.21cn.com/tousu/show/id/1333283","游戏充值未到账")</f>
        <v>游戏充值未到账</v>
      </c>
      <c r="C2674" s="2" t="s">
        <v>34</v>
      </c>
      <c r="D2674" s="2" t="s">
        <v>10</v>
      </c>
      <c r="E2674" s="2" t="str">
        <f>HYPERLINK("http://ts.21cn.com/tousu/show/id/1333283","http://ts.21cn.com/tousu/show/id/1333283")</f>
        <v>http://ts.21cn.com/tousu/show/id/1333283</v>
      </c>
      <c r="F2674" s="2" t="s">
        <v>11</v>
      </c>
      <c r="G2674" s="2" t="s">
        <v>38878</v>
      </c>
      <c r="H2674" s="2" t="s">
        <v>38879</v>
      </c>
    </row>
    <row r="2675" spans="1:8" ht="25.05" customHeight="1" x14ac:dyDescent="0.25">
      <c r="A2675" s="2" t="s">
        <v>8</v>
      </c>
      <c r="B2675" s="2" t="str">
        <f>HYPERLINK("http://ts.21cn.com/tousu/show/id/1333284","一唱一和坑人的店")</f>
        <v>一唱一和坑人的店</v>
      </c>
      <c r="C2675" s="2" t="s">
        <v>9</v>
      </c>
      <c r="D2675" s="2" t="s">
        <v>10</v>
      </c>
      <c r="E2675" s="2" t="str">
        <f>HYPERLINK("http://ts.21cn.com/tousu/show/id/1333284","http://ts.21cn.com/tousu/show/id/1333284")</f>
        <v>http://ts.21cn.com/tousu/show/id/1333284</v>
      </c>
      <c r="F2675" s="2" t="s">
        <v>11</v>
      </c>
      <c r="G2675" s="2" t="s">
        <v>38876</v>
      </c>
      <c r="H2675" s="2" t="s">
        <v>38877</v>
      </c>
    </row>
    <row r="2676" spans="1:8" ht="25.05" customHeight="1" x14ac:dyDescent="0.25">
      <c r="A2676" s="2" t="s">
        <v>8</v>
      </c>
      <c r="B2676" s="2" t="str">
        <f>HYPERLINK("http://ts.21cn.com/tousu/show/id/1333285","欺诈")</f>
        <v>欺诈</v>
      </c>
      <c r="C2676" s="2" t="s">
        <v>9</v>
      </c>
      <c r="D2676" s="2" t="s">
        <v>10</v>
      </c>
      <c r="E2676" s="2" t="str">
        <f>HYPERLINK("http://ts.21cn.com/tousu/show/id/1333285","http://ts.21cn.com/tousu/show/id/1333285")</f>
        <v>http://ts.21cn.com/tousu/show/id/1333285</v>
      </c>
      <c r="F2676" s="2" t="s">
        <v>11</v>
      </c>
      <c r="G2676" s="2" t="s">
        <v>38874</v>
      </c>
      <c r="H2676" s="2" t="s">
        <v>38875</v>
      </c>
    </row>
    <row r="2677" spans="1:8" ht="25.05" customHeight="1" x14ac:dyDescent="0.25">
      <c r="A2677" s="2" t="s">
        <v>8</v>
      </c>
      <c r="B2677" s="2" t="str">
        <f>HYPERLINK("http://ts.21cn.com/tousu/show/id/1333286","玖富万卡提前还款收费搞")</f>
        <v>玖富万卡提前还款收费搞</v>
      </c>
      <c r="C2677" s="2" t="s">
        <v>9</v>
      </c>
      <c r="D2677" s="2" t="s">
        <v>10</v>
      </c>
      <c r="E2677" s="2" t="str">
        <f>HYPERLINK("http://ts.21cn.com/tousu/show/id/1333286","http://ts.21cn.com/tousu/show/id/1333286")</f>
        <v>http://ts.21cn.com/tousu/show/id/1333286</v>
      </c>
      <c r="F2677" s="2" t="s">
        <v>11</v>
      </c>
      <c r="G2677" s="2" t="s">
        <v>38872</v>
      </c>
      <c r="H2677" s="2" t="s">
        <v>38873</v>
      </c>
    </row>
    <row r="2678" spans="1:8" ht="25.05" customHeight="1" x14ac:dyDescent="0.25">
      <c r="A2678" s="2" t="s">
        <v>8</v>
      </c>
      <c r="B2678" s="2" t="str">
        <f>HYPERLINK("http://ts.21cn.com/tousu/show/id/1333287","火影帮砍头息")</f>
        <v>火影帮砍头息</v>
      </c>
      <c r="C2678" s="2" t="s">
        <v>34</v>
      </c>
      <c r="D2678" s="2" t="s">
        <v>10</v>
      </c>
      <c r="E2678" s="2" t="str">
        <f>HYPERLINK("http://ts.21cn.com/tousu/show/id/1333287","http://ts.21cn.com/tousu/show/id/1333287")</f>
        <v>http://ts.21cn.com/tousu/show/id/1333287</v>
      </c>
      <c r="F2678" s="2" t="s">
        <v>11</v>
      </c>
      <c r="G2678" s="2" t="s">
        <v>38870</v>
      </c>
      <c r="H2678" s="2" t="s">
        <v>38871</v>
      </c>
    </row>
    <row r="2679" spans="1:8" ht="25.05" customHeight="1" x14ac:dyDescent="0.25">
      <c r="A2679" s="2" t="s">
        <v>8</v>
      </c>
      <c r="B2679" s="2" t="str">
        <f>HYPERLINK("http://ts.21cn.com/tousu/show/id/1333288","智享贷高利息暴力摧收")</f>
        <v>智享贷高利息暴力摧收</v>
      </c>
      <c r="C2679" s="2" t="s">
        <v>9</v>
      </c>
      <c r="D2679" s="2" t="s">
        <v>10</v>
      </c>
      <c r="E2679" s="2" t="str">
        <f>HYPERLINK("http://ts.21cn.com/tousu/show/id/1333288","http://ts.21cn.com/tousu/show/id/1333288")</f>
        <v>http://ts.21cn.com/tousu/show/id/1333288</v>
      </c>
      <c r="F2679" s="2" t="s">
        <v>11</v>
      </c>
      <c r="G2679" s="2" t="s">
        <v>38868</v>
      </c>
      <c r="H2679" s="2" t="s">
        <v>38869</v>
      </c>
    </row>
    <row r="2680" spans="1:8" ht="25.05" customHeight="1" x14ac:dyDescent="0.25">
      <c r="A2680" s="2" t="s">
        <v>8</v>
      </c>
      <c r="B2680" s="2" t="str">
        <f>HYPERLINK("http://ts.21cn.com/tousu/show/id/1333289","违规高利息")</f>
        <v>违规高利息</v>
      </c>
      <c r="C2680" s="2" t="s">
        <v>9</v>
      </c>
      <c r="D2680" s="2" t="s">
        <v>10</v>
      </c>
      <c r="E2680" s="2" t="str">
        <f>HYPERLINK("http://ts.21cn.com/tousu/show/id/1333289","http://ts.21cn.com/tousu/show/id/1333289")</f>
        <v>http://ts.21cn.com/tousu/show/id/1333289</v>
      </c>
      <c r="F2680" s="2" t="s">
        <v>11</v>
      </c>
      <c r="G2680" s="2" t="s">
        <v>38866</v>
      </c>
      <c r="H2680" s="2" t="s">
        <v>38867</v>
      </c>
    </row>
    <row r="2681" spans="1:8" ht="25.05" customHeight="1" x14ac:dyDescent="0.25">
      <c r="A2681" s="2" t="s">
        <v>8</v>
      </c>
      <c r="B2681" s="2" t="str">
        <f>HYPERLINK("http://ts.21cn.com/tousu/show/id/1333290","百事普惠恶意扣款")</f>
        <v>百事普惠恶意扣款</v>
      </c>
      <c r="C2681" s="2" t="s">
        <v>9</v>
      </c>
      <c r="D2681" s="2" t="s">
        <v>10</v>
      </c>
      <c r="E2681" s="2" t="str">
        <f>HYPERLINK("http://ts.21cn.com/tousu/show/id/1333290","http://ts.21cn.com/tousu/show/id/1333290")</f>
        <v>http://ts.21cn.com/tousu/show/id/1333290</v>
      </c>
      <c r="F2681" s="2" t="s">
        <v>11</v>
      </c>
      <c r="G2681" s="2" t="s">
        <v>38864</v>
      </c>
      <c r="H2681" s="2" t="s">
        <v>38865</v>
      </c>
    </row>
    <row r="2682" spans="1:8" ht="25.05" customHeight="1" x14ac:dyDescent="0.25">
      <c r="A2682" s="2" t="s">
        <v>8</v>
      </c>
      <c r="B2682" s="2" t="str">
        <f>HYPERLINK("http://ts.21cn.com/tousu/show/id/1333292","拼多多盗刷支付宝")</f>
        <v>拼多多盗刷支付宝</v>
      </c>
      <c r="C2682" s="2" t="s">
        <v>9</v>
      </c>
      <c r="D2682" s="2" t="s">
        <v>10</v>
      </c>
      <c r="E2682" s="2" t="str">
        <f>HYPERLINK("http://ts.21cn.com/tousu/show/id/1333292","http://ts.21cn.com/tousu/show/id/1333292")</f>
        <v>http://ts.21cn.com/tousu/show/id/1333292</v>
      </c>
      <c r="F2682" s="2" t="s">
        <v>11</v>
      </c>
      <c r="G2682" s="2" t="s">
        <v>38862</v>
      </c>
      <c r="H2682" s="2" t="s">
        <v>38863</v>
      </c>
    </row>
    <row r="2683" spans="1:8" ht="25.05" customHeight="1" x14ac:dyDescent="0.25">
      <c r="A2683" s="2" t="s">
        <v>8</v>
      </c>
      <c r="B2683" s="2" t="str">
        <f>HYPERLINK("http://ts.21cn.com/tousu/show/id/1333293","美团旅游门票买错不退")</f>
        <v>美团旅游门票买错不退</v>
      </c>
      <c r="C2683" s="2" t="s">
        <v>9</v>
      </c>
      <c r="D2683" s="2" t="s">
        <v>10</v>
      </c>
      <c r="E2683" s="2" t="str">
        <f>HYPERLINK("http://ts.21cn.com/tousu/show/id/1333293","http://ts.21cn.com/tousu/show/id/1333293")</f>
        <v>http://ts.21cn.com/tousu/show/id/1333293</v>
      </c>
      <c r="F2683" s="2" t="s">
        <v>11</v>
      </c>
      <c r="G2683" s="2" t="s">
        <v>38860</v>
      </c>
      <c r="H2683" s="2" t="s">
        <v>38861</v>
      </c>
    </row>
    <row r="2684" spans="1:8" ht="25.05" customHeight="1" x14ac:dyDescent="0.25">
      <c r="A2684" s="2" t="s">
        <v>8</v>
      </c>
      <c r="B2684" s="2" t="str">
        <f>HYPERLINK("http://ts.21cn.com/tousu/show/id/1333294","智行app不能换手机号，更新账号自动退出了，现在手机号早就不用了，没法登录原账号")</f>
        <v>智行app不能换手机号，更新账号自动退出了，现在手机号早就不用了，没法登录原账号</v>
      </c>
      <c r="C2684" s="2" t="s">
        <v>34</v>
      </c>
      <c r="D2684" s="2" t="s">
        <v>10</v>
      </c>
      <c r="E2684" s="2" t="str">
        <f>HYPERLINK("http://ts.21cn.com/tousu/show/id/1333294","http://ts.21cn.com/tousu/show/id/1333294")</f>
        <v>http://ts.21cn.com/tousu/show/id/1333294</v>
      </c>
      <c r="F2684" s="2" t="s">
        <v>11</v>
      </c>
      <c r="G2684" s="2" t="s">
        <v>38858</v>
      </c>
      <c r="H2684" s="2" t="s">
        <v>38859</v>
      </c>
    </row>
    <row r="2685" spans="1:8" ht="25.05" customHeight="1" x14ac:dyDescent="0.25">
      <c r="A2685" s="2" t="s">
        <v>8</v>
      </c>
      <c r="B2685" s="2" t="str">
        <f>HYPERLINK("http://ts.21cn.com/tousu/show/id/1333295","《深圳提回借》《重庆市众网小额贷款有限公司》与《闪银》合作，年利率高达115%")</f>
        <v>《深圳提回借》《重庆市众网小额贷款有限公司》与《闪银》合作，年利率高达115%</v>
      </c>
      <c r="C2685" s="2" t="s">
        <v>9</v>
      </c>
      <c r="D2685" s="2" t="s">
        <v>10</v>
      </c>
      <c r="E2685" s="2" t="str">
        <f>HYPERLINK("http://ts.21cn.com/tousu/show/id/1333295","http://ts.21cn.com/tousu/show/id/1333295")</f>
        <v>http://ts.21cn.com/tousu/show/id/1333295</v>
      </c>
      <c r="F2685" s="2" t="s">
        <v>11</v>
      </c>
      <c r="G2685" s="2" t="s">
        <v>38856</v>
      </c>
      <c r="H2685" s="2" t="s">
        <v>38857</v>
      </c>
    </row>
    <row r="2686" spans="1:8" ht="25.05" customHeight="1" x14ac:dyDescent="0.25">
      <c r="A2686" s="2" t="s">
        <v>8</v>
      </c>
      <c r="B2686" s="2" t="str">
        <f>HYPERLINK("http://ts.21cn.com/tousu/show/id/1333296","贷款3000，要还4000多，什么费用不说明")</f>
        <v>贷款3000，要还4000多，什么费用不说明</v>
      </c>
      <c r="C2686" s="2" t="s">
        <v>9</v>
      </c>
      <c r="D2686" s="2" t="s">
        <v>10</v>
      </c>
      <c r="E2686" s="2" t="str">
        <f>HYPERLINK("http://ts.21cn.com/tousu/show/id/1333296","http://ts.21cn.com/tousu/show/id/1333296")</f>
        <v>http://ts.21cn.com/tousu/show/id/1333296</v>
      </c>
      <c r="F2686" s="2" t="s">
        <v>11</v>
      </c>
      <c r="G2686" s="2" t="s">
        <v>38854</v>
      </c>
      <c r="H2686" s="2" t="s">
        <v>38855</v>
      </c>
    </row>
    <row r="2687" spans="1:8" ht="25.05" customHeight="1" x14ac:dyDescent="0.25">
      <c r="A2687" s="2" t="s">
        <v>8</v>
      </c>
      <c r="B2687" s="2" t="str">
        <f>HYPERLINK("http://ts.21cn.com/tousu/show/id/1333257","平安普惠贷款隐瞒隐藏并强制收取高额保险费管理费投诉事宜")</f>
        <v>平安普惠贷款隐瞒隐藏并强制收取高额保险费管理费投诉事宜</v>
      </c>
      <c r="C2687" s="2" t="s">
        <v>9</v>
      </c>
      <c r="D2687" s="2" t="s">
        <v>10</v>
      </c>
      <c r="E2687" s="2" t="str">
        <f>HYPERLINK("http://ts.21cn.com/tousu/show/id/1333257","http://ts.21cn.com/tousu/show/id/1333257")</f>
        <v>http://ts.21cn.com/tousu/show/id/1333257</v>
      </c>
      <c r="F2687" s="2" t="s">
        <v>11</v>
      </c>
      <c r="G2687" s="2" t="s">
        <v>38852</v>
      </c>
      <c r="H2687" s="2" t="s">
        <v>38853</v>
      </c>
    </row>
    <row r="2688" spans="1:8" ht="25.05" customHeight="1" x14ac:dyDescent="0.25">
      <c r="A2688" s="2" t="s">
        <v>8</v>
      </c>
      <c r="B2688" s="2" t="str">
        <f>HYPERLINK("http://ts.21cn.com/tousu/show/id/1333297","时光分期高利贷，易宝支付")</f>
        <v>时光分期高利贷，易宝支付</v>
      </c>
      <c r="C2688" s="2" t="s">
        <v>9</v>
      </c>
      <c r="D2688" s="2" t="s">
        <v>10</v>
      </c>
      <c r="E2688" s="2" t="str">
        <f>HYPERLINK("http://ts.21cn.com/tousu/show/id/1333297","http://ts.21cn.com/tousu/show/id/1333297")</f>
        <v>http://ts.21cn.com/tousu/show/id/1333297</v>
      </c>
      <c r="F2688" s="2" t="s">
        <v>11</v>
      </c>
      <c r="G2688" s="2" t="s">
        <v>38850</v>
      </c>
      <c r="H2688" s="2" t="s">
        <v>38851</v>
      </c>
    </row>
    <row r="2689" spans="1:8" ht="25.05" customHeight="1" x14ac:dyDescent="0.25">
      <c r="A2689" s="2" t="s">
        <v>8</v>
      </c>
      <c r="B2689" s="2" t="str">
        <f>HYPERLINK("http://ts.21cn.com/tousu/show/id/1333298","不解决客户问题")</f>
        <v>不解决客户问题</v>
      </c>
      <c r="C2689" s="2" t="s">
        <v>9</v>
      </c>
      <c r="D2689" s="2" t="s">
        <v>10</v>
      </c>
      <c r="E2689" s="2" t="str">
        <f>HYPERLINK("http://ts.21cn.com/tousu/show/id/1333298","http://ts.21cn.com/tousu/show/id/1333298")</f>
        <v>http://ts.21cn.com/tousu/show/id/1333298</v>
      </c>
      <c r="F2689" s="2" t="s">
        <v>11</v>
      </c>
      <c r="G2689" s="2" t="s">
        <v>38848</v>
      </c>
      <c r="H2689" s="2" t="s">
        <v>38849</v>
      </c>
    </row>
    <row r="2690" spans="1:8" ht="25.05" customHeight="1" x14ac:dyDescent="0.25">
      <c r="A2690" s="2" t="s">
        <v>8</v>
      </c>
      <c r="B2690" s="2" t="str">
        <f>HYPERLINK("http://ts.21cn.com/tousu/show/id/1333300","玖富亿贝卡自动与主动还款都失败要求撤销征信记录")</f>
        <v>玖富亿贝卡自动与主动还款都失败要求撤销征信记录</v>
      </c>
      <c r="C2690" s="2" t="s">
        <v>9</v>
      </c>
      <c r="D2690" s="2" t="s">
        <v>10</v>
      </c>
      <c r="E2690" s="2" t="str">
        <f>HYPERLINK("http://ts.21cn.com/tousu/show/id/1333300","http://ts.21cn.com/tousu/show/id/1333300")</f>
        <v>http://ts.21cn.com/tousu/show/id/1333300</v>
      </c>
      <c r="F2690" s="2" t="s">
        <v>11</v>
      </c>
      <c r="G2690" s="2" t="s">
        <v>38846</v>
      </c>
      <c r="H2690" s="2" t="s">
        <v>38847</v>
      </c>
    </row>
    <row r="2691" spans="1:8" ht="25.05" customHeight="1" x14ac:dyDescent="0.25">
      <c r="A2691" s="2" t="s">
        <v>8</v>
      </c>
      <c r="B2691" s="2" t="str">
        <f>HYPERLINK("http://ts.21cn.com/tousu/show/id/1333301","砍头息催收辱骂恐吓")</f>
        <v>砍头息催收辱骂恐吓</v>
      </c>
      <c r="C2691" s="2" t="s">
        <v>9</v>
      </c>
      <c r="D2691" s="2" t="s">
        <v>10</v>
      </c>
      <c r="E2691" s="2" t="str">
        <f>HYPERLINK("http://ts.21cn.com/tousu/show/id/1333301","http://ts.21cn.com/tousu/show/id/1333301")</f>
        <v>http://ts.21cn.com/tousu/show/id/1333301</v>
      </c>
      <c r="F2691" s="2" t="s">
        <v>11</v>
      </c>
      <c r="G2691" s="2" t="s">
        <v>38844</v>
      </c>
      <c r="H2691" s="2" t="s">
        <v>38845</v>
      </c>
    </row>
    <row r="2692" spans="1:8" ht="25.05" customHeight="1" x14ac:dyDescent="0.25">
      <c r="A2692" s="2" t="s">
        <v>8</v>
      </c>
      <c r="B2692" s="2" t="str">
        <f>HYPERLINK("http://ts.21cn.com/tousu/show/id/1333302","三峡机场易行商旅存在欺瞒旅客行为")</f>
        <v>三峡机场易行商旅存在欺瞒旅客行为</v>
      </c>
      <c r="C2692" s="2" t="s">
        <v>9</v>
      </c>
      <c r="D2692" s="2" t="s">
        <v>10</v>
      </c>
      <c r="E2692" s="2" t="str">
        <f>HYPERLINK("http://ts.21cn.com/tousu/show/id/1333302","http://ts.21cn.com/tousu/show/id/1333302")</f>
        <v>http://ts.21cn.com/tousu/show/id/1333302</v>
      </c>
      <c r="F2692" s="2" t="s">
        <v>11</v>
      </c>
      <c r="G2692" s="2" t="s">
        <v>38842</v>
      </c>
      <c r="H2692" s="2" t="s">
        <v>38843</v>
      </c>
    </row>
    <row r="2693" spans="1:8" ht="25.05" customHeight="1" x14ac:dyDescent="0.25">
      <c r="A2693" s="2" t="s">
        <v>8</v>
      </c>
      <c r="B2693" s="2" t="str">
        <f>HYPERLINK("http://ts.21cn.com/tousu/show/id/1333303","铁路运转员工贪污腐败")</f>
        <v>铁路运转员工贪污腐败</v>
      </c>
      <c r="C2693" s="2" t="s">
        <v>9</v>
      </c>
      <c r="D2693" s="2" t="s">
        <v>10</v>
      </c>
      <c r="E2693" s="2" t="str">
        <f>HYPERLINK("http://ts.21cn.com/tousu/show/id/1333303","http://ts.21cn.com/tousu/show/id/1333303")</f>
        <v>http://ts.21cn.com/tousu/show/id/1333303</v>
      </c>
      <c r="F2693" s="2" t="s">
        <v>11</v>
      </c>
      <c r="G2693" s="2" t="s">
        <v>38840</v>
      </c>
      <c r="H2693" s="2" t="s">
        <v>38841</v>
      </c>
    </row>
    <row r="2694" spans="1:8" ht="25.05" customHeight="1" x14ac:dyDescent="0.25">
      <c r="A2694" s="2" t="s">
        <v>8</v>
      </c>
      <c r="B2694" s="2" t="str">
        <f>HYPERLINK("http://ts.21cn.com/tousu/show/id/1333304","维仕担保在未知情况下从银行卡扣除费用756元")</f>
        <v>维仕担保在未知情况下从银行卡扣除费用756元</v>
      </c>
      <c r="C2694" s="2" t="s">
        <v>9</v>
      </c>
      <c r="D2694" s="2" t="s">
        <v>10</v>
      </c>
      <c r="E2694" s="2" t="str">
        <f>HYPERLINK("http://ts.21cn.com/tousu/show/id/1333304","http://ts.21cn.com/tousu/show/id/1333304")</f>
        <v>http://ts.21cn.com/tousu/show/id/1333304</v>
      </c>
      <c r="F2694" s="2" t="s">
        <v>11</v>
      </c>
      <c r="G2694" s="2" t="s">
        <v>38839</v>
      </c>
      <c r="H2694" s="2" t="s">
        <v>37039</v>
      </c>
    </row>
    <row r="2695" spans="1:8" ht="25.05" customHeight="1" x14ac:dyDescent="0.25">
      <c r="A2695" s="2" t="s">
        <v>8</v>
      </c>
      <c r="B2695" s="2" t="str">
        <f>HYPERLINK("http://ts.21cn.com/tousu/show/id/1333305","月光侠钱包高利贷砍头息")</f>
        <v>月光侠钱包高利贷砍头息</v>
      </c>
      <c r="C2695" s="2" t="s">
        <v>9</v>
      </c>
      <c r="D2695" s="2" t="s">
        <v>10</v>
      </c>
      <c r="E2695" s="2" t="str">
        <f>HYPERLINK("http://ts.21cn.com/tousu/show/id/1333305","http://ts.21cn.com/tousu/show/id/1333305")</f>
        <v>http://ts.21cn.com/tousu/show/id/1333305</v>
      </c>
      <c r="F2695" s="2" t="s">
        <v>11</v>
      </c>
      <c r="G2695" s="2" t="s">
        <v>38837</v>
      </c>
      <c r="H2695" s="2" t="s">
        <v>38838</v>
      </c>
    </row>
    <row r="2696" spans="1:8" ht="25.05" customHeight="1" x14ac:dyDescent="0.25">
      <c r="A2696" s="2" t="s">
        <v>8</v>
      </c>
      <c r="B2696" s="2" t="str">
        <f>HYPERLINK("http://ts.21cn.com/tousu/show/id/1333307","借贷宝纵容放高利贷")</f>
        <v>借贷宝纵容放高利贷</v>
      </c>
      <c r="C2696" s="2" t="s">
        <v>9</v>
      </c>
      <c r="D2696" s="2" t="s">
        <v>10</v>
      </c>
      <c r="E2696" s="2" t="str">
        <f>HYPERLINK("http://ts.21cn.com/tousu/show/id/1333307","http://ts.21cn.com/tousu/show/id/1333307")</f>
        <v>http://ts.21cn.com/tousu/show/id/1333307</v>
      </c>
      <c r="F2696" s="2" t="s">
        <v>11</v>
      </c>
      <c r="G2696" s="2" t="s">
        <v>38835</v>
      </c>
      <c r="H2696" s="2" t="s">
        <v>38836</v>
      </c>
    </row>
    <row r="2697" spans="1:8" ht="25.05" customHeight="1" x14ac:dyDescent="0.25">
      <c r="A2697" s="2" t="s">
        <v>8</v>
      </c>
      <c r="B2697" s="2" t="str">
        <f>HYPERLINK("http://ts.21cn.com/tousu/show/id/1333308","投诉苹果公司为赌博APP上架提供玩家下载")</f>
        <v>投诉苹果公司为赌博APP上架提供玩家下载</v>
      </c>
      <c r="C2697" s="2" t="s">
        <v>9</v>
      </c>
      <c r="D2697" s="2" t="s">
        <v>10</v>
      </c>
      <c r="E2697" s="2" t="str">
        <f>HYPERLINK("http://ts.21cn.com/tousu/show/id/1333308","http://ts.21cn.com/tousu/show/id/1333308")</f>
        <v>http://ts.21cn.com/tousu/show/id/1333308</v>
      </c>
      <c r="F2697" s="2" t="s">
        <v>11</v>
      </c>
      <c r="G2697" s="2" t="s">
        <v>38833</v>
      </c>
      <c r="H2697" s="2" t="s">
        <v>38834</v>
      </c>
    </row>
    <row r="2698" spans="1:8" ht="25.05" customHeight="1" x14ac:dyDescent="0.25">
      <c r="A2698" s="2" t="s">
        <v>8</v>
      </c>
      <c r="B2698" s="2" t="str">
        <f>HYPERLINK("http://ts.21cn.com/tousu/show/id/1333309","马上金融高利贷，威胁，恐吓")</f>
        <v>马上金融高利贷，威胁，恐吓</v>
      </c>
      <c r="C2698" s="2" t="s">
        <v>9</v>
      </c>
      <c r="D2698" s="2" t="s">
        <v>10</v>
      </c>
      <c r="E2698" s="2" t="str">
        <f>HYPERLINK("http://ts.21cn.com/tousu/show/id/1333309","http://ts.21cn.com/tousu/show/id/1333309")</f>
        <v>http://ts.21cn.com/tousu/show/id/1333309</v>
      </c>
      <c r="F2698" s="2" t="s">
        <v>11</v>
      </c>
      <c r="G2698" s="2" t="s">
        <v>38831</v>
      </c>
      <c r="H2698" s="2" t="s">
        <v>38832</v>
      </c>
    </row>
    <row r="2699" spans="1:8" ht="25.05" customHeight="1" x14ac:dyDescent="0.25">
      <c r="A2699" s="2" t="s">
        <v>8</v>
      </c>
      <c r="B2699" s="2" t="str">
        <f>HYPERLINK("http://ts.21cn.com/tousu/show/id/1333311","因系统升级智行预订酒店时无法取消订单酒店也无接收订单三个小时后成功预订又无法取消订订单")</f>
        <v>因系统升级智行预订酒店时无法取消订单酒店也无接收订单三个小时后成功预订又无法取消订订单</v>
      </c>
      <c r="C2699" s="2" t="s">
        <v>9</v>
      </c>
      <c r="D2699" s="2" t="s">
        <v>10</v>
      </c>
      <c r="E2699" s="2" t="str">
        <f>HYPERLINK("http://ts.21cn.com/tousu/show/id/1333311","http://ts.21cn.com/tousu/show/id/1333311")</f>
        <v>http://ts.21cn.com/tousu/show/id/1333311</v>
      </c>
      <c r="F2699" s="2" t="s">
        <v>11</v>
      </c>
      <c r="G2699" s="2" t="s">
        <v>38829</v>
      </c>
      <c r="H2699" s="2" t="s">
        <v>38830</v>
      </c>
    </row>
    <row r="2700" spans="1:8" ht="25.05" customHeight="1" x14ac:dyDescent="0.25">
      <c r="A2700" s="2" t="s">
        <v>8</v>
      </c>
      <c r="B2700" s="2" t="str">
        <f>HYPERLINK("http://ts.21cn.com/tousu/show/id/1333312","套路贷高利贷汇潮支付有限公司")</f>
        <v>套路贷高利贷汇潮支付有限公司</v>
      </c>
      <c r="C2700" s="2" t="s">
        <v>9</v>
      </c>
      <c r="D2700" s="2" t="s">
        <v>10</v>
      </c>
      <c r="E2700" s="2" t="str">
        <f>HYPERLINK("http://ts.21cn.com/tousu/show/id/1333312","http://ts.21cn.com/tousu/show/id/1333312")</f>
        <v>http://ts.21cn.com/tousu/show/id/1333312</v>
      </c>
      <c r="F2700" s="2" t="s">
        <v>11</v>
      </c>
      <c r="G2700" s="2" t="s">
        <v>38827</v>
      </c>
      <c r="H2700" s="2" t="s">
        <v>38828</v>
      </c>
    </row>
    <row r="2701" spans="1:8" ht="25.05" customHeight="1" x14ac:dyDescent="0.25">
      <c r="A2701" s="2" t="s">
        <v>8</v>
      </c>
      <c r="B2701" s="2" t="str">
        <f>HYPERLINK("http://ts.21cn.com/tousu/show/id/1333313","微信被创客用户打标成狐狸")</f>
        <v>微信被创客用户打标成狐狸</v>
      </c>
      <c r="C2701" s="2" t="s">
        <v>9</v>
      </c>
      <c r="D2701" s="2" t="s">
        <v>10</v>
      </c>
      <c r="E2701" s="2" t="str">
        <f>HYPERLINK("http://ts.21cn.com/tousu/show/id/1333313","http://ts.21cn.com/tousu/show/id/1333313")</f>
        <v>http://ts.21cn.com/tousu/show/id/1333313</v>
      </c>
      <c r="F2701" s="2" t="s">
        <v>11</v>
      </c>
      <c r="G2701" s="2" t="s">
        <v>38825</v>
      </c>
      <c r="H2701" s="2" t="s">
        <v>38826</v>
      </c>
    </row>
    <row r="2702" spans="1:8" ht="25.05" customHeight="1" x14ac:dyDescent="0.25">
      <c r="A2702" s="2" t="s">
        <v>8</v>
      </c>
      <c r="B2702" s="2" t="str">
        <f>HYPERLINK("http://ts.21cn.com/tousu/show/id/1333314","高利贷还款")</f>
        <v>高利贷还款</v>
      </c>
      <c r="C2702" s="2" t="s">
        <v>9</v>
      </c>
      <c r="D2702" s="2" t="s">
        <v>10</v>
      </c>
      <c r="E2702" s="2" t="str">
        <f>HYPERLINK("http://ts.21cn.com/tousu/show/id/1333314","http://ts.21cn.com/tousu/show/id/1333314")</f>
        <v>http://ts.21cn.com/tousu/show/id/1333314</v>
      </c>
      <c r="F2702" s="2" t="s">
        <v>11</v>
      </c>
      <c r="G2702" s="2" t="s">
        <v>38823</v>
      </c>
      <c r="H2702" s="2" t="s">
        <v>38824</v>
      </c>
    </row>
    <row r="2703" spans="1:8" ht="25.05" customHeight="1" x14ac:dyDescent="0.25">
      <c r="A2703" s="2" t="s">
        <v>8</v>
      </c>
      <c r="B2703" s="2" t="str">
        <f>HYPERLINK("http://ts.21cn.com/tousu/show/id/1333317","贷上钱以买游戏豆为由收取高额贷款通过费")</f>
        <v>贷上钱以买游戏豆为由收取高额贷款通过费</v>
      </c>
      <c r="C2703" s="2" t="s">
        <v>9</v>
      </c>
      <c r="D2703" s="2" t="s">
        <v>10</v>
      </c>
      <c r="E2703" s="2" t="str">
        <f>HYPERLINK("http://ts.21cn.com/tousu/show/id/1333317","http://ts.21cn.com/tousu/show/id/1333317")</f>
        <v>http://ts.21cn.com/tousu/show/id/1333317</v>
      </c>
      <c r="F2703" s="2" t="s">
        <v>11</v>
      </c>
      <c r="G2703" s="2" t="s">
        <v>38821</v>
      </c>
      <c r="H2703" s="2" t="s">
        <v>38822</v>
      </c>
    </row>
    <row r="2704" spans="1:8" ht="25.05" customHeight="1" x14ac:dyDescent="0.25">
      <c r="A2704" s="2" t="s">
        <v>8</v>
      </c>
      <c r="B2704" s="2" t="str">
        <f>HYPERLINK("http://ts.21cn.com/tousu/show/id/1333316","龙行管家虚假宣传误导办卡")</f>
        <v>龙行管家虚假宣传误导办卡</v>
      </c>
      <c r="C2704" s="2" t="s">
        <v>9</v>
      </c>
      <c r="D2704" s="2" t="s">
        <v>10</v>
      </c>
      <c r="E2704" s="2" t="str">
        <f>HYPERLINK("http://ts.21cn.com/tousu/show/id/1333316","http://ts.21cn.com/tousu/show/id/1333316")</f>
        <v>http://ts.21cn.com/tousu/show/id/1333316</v>
      </c>
      <c r="F2704" s="2" t="s">
        <v>11</v>
      </c>
      <c r="G2704" s="2" t="s">
        <v>38819</v>
      </c>
      <c r="H2704" s="2" t="s">
        <v>38820</v>
      </c>
    </row>
    <row r="2705" spans="1:8" ht="25.05" customHeight="1" x14ac:dyDescent="0.25">
      <c r="A2705" s="2" t="s">
        <v>8</v>
      </c>
      <c r="B2705" s="2" t="str">
        <f>HYPERLINK("http://ts.21cn.com/tousu/show/id/1333319","下载了一个附近约爱的app然后说0元试用会员让我开免密支付就扣了170块钱")</f>
        <v>下载了一个附近约爱的app然后说0元试用会员让我开免密支付就扣了170块钱</v>
      </c>
      <c r="C2705" s="2" t="s">
        <v>34</v>
      </c>
      <c r="D2705" s="2" t="s">
        <v>10</v>
      </c>
      <c r="E2705" s="2" t="str">
        <f>HYPERLINK("http://ts.21cn.com/tousu/show/id/1333319","http://ts.21cn.com/tousu/show/id/1333319")</f>
        <v>http://ts.21cn.com/tousu/show/id/1333319</v>
      </c>
      <c r="F2705" s="2" t="s">
        <v>11</v>
      </c>
      <c r="G2705" s="2" t="s">
        <v>38817</v>
      </c>
      <c r="H2705" s="2" t="s">
        <v>38818</v>
      </c>
    </row>
    <row r="2706" spans="1:8" ht="25.05" customHeight="1" x14ac:dyDescent="0.25">
      <c r="A2706" s="2" t="s">
        <v>8</v>
      </c>
      <c r="B2706" s="2" t="str">
        <f>HYPERLINK("http://ts.21cn.com/tousu/show/id/1333318","小通商城乱收取费用")</f>
        <v>小通商城乱收取费用</v>
      </c>
      <c r="C2706" s="2" t="s">
        <v>9</v>
      </c>
      <c r="D2706" s="2" t="s">
        <v>10</v>
      </c>
      <c r="E2706" s="2" t="str">
        <f>HYPERLINK("http://ts.21cn.com/tousu/show/id/1333318","http://ts.21cn.com/tousu/show/id/1333318")</f>
        <v>http://ts.21cn.com/tousu/show/id/1333318</v>
      </c>
      <c r="F2706" s="2" t="s">
        <v>11</v>
      </c>
      <c r="G2706" s="2" t="s">
        <v>38815</v>
      </c>
      <c r="H2706" s="2" t="s">
        <v>38816</v>
      </c>
    </row>
    <row r="2707" spans="1:8" ht="25.05" customHeight="1" x14ac:dyDescent="0.25">
      <c r="A2707" s="2" t="s">
        <v>8</v>
      </c>
      <c r="B2707" s="2" t="str">
        <f>HYPERLINK("http://ts.21cn.com/tousu/show/id/1333320","民航通夸大宣传，隐瞒信息")</f>
        <v>民航通夸大宣传，隐瞒信息</v>
      </c>
      <c r="C2707" s="2" t="s">
        <v>9</v>
      </c>
      <c r="D2707" s="2" t="s">
        <v>10</v>
      </c>
      <c r="E2707" s="2" t="str">
        <f>HYPERLINK("http://ts.21cn.com/tousu/show/id/1333320","http://ts.21cn.com/tousu/show/id/1333320")</f>
        <v>http://ts.21cn.com/tousu/show/id/1333320</v>
      </c>
      <c r="F2707" s="2" t="s">
        <v>11</v>
      </c>
      <c r="G2707" s="2" t="s">
        <v>38813</v>
      </c>
      <c r="H2707" s="2" t="s">
        <v>38814</v>
      </c>
    </row>
    <row r="2708" spans="1:8" ht="25.05" customHeight="1" x14ac:dyDescent="0.25">
      <c r="A2708" s="2" t="s">
        <v>8</v>
      </c>
      <c r="B2708" s="2" t="str">
        <f>HYPERLINK("http://ts.21cn.com/tousu/show/id/1333321","小孩不慎误在游戏买东西")</f>
        <v>小孩不慎误在游戏买东西</v>
      </c>
      <c r="C2708" s="2" t="s">
        <v>9</v>
      </c>
      <c r="D2708" s="2" t="s">
        <v>10</v>
      </c>
      <c r="E2708" s="2" t="str">
        <f>HYPERLINK("http://ts.21cn.com/tousu/show/id/1333321","http://ts.21cn.com/tousu/show/id/1333321")</f>
        <v>http://ts.21cn.com/tousu/show/id/1333321</v>
      </c>
      <c r="F2708" s="2" t="s">
        <v>11</v>
      </c>
      <c r="G2708" s="2" t="s">
        <v>38811</v>
      </c>
      <c r="H2708" s="2" t="s">
        <v>38812</v>
      </c>
    </row>
    <row r="2709" spans="1:8" ht="25.05" customHeight="1" x14ac:dyDescent="0.25">
      <c r="A2709" s="2" t="s">
        <v>8</v>
      </c>
      <c r="B2709" s="2" t="str">
        <f>HYPERLINK("http://ts.21cn.com/tousu/show/id/1333322","钱站高利贷")</f>
        <v>钱站高利贷</v>
      </c>
      <c r="C2709" s="2" t="s">
        <v>9</v>
      </c>
      <c r="D2709" s="2" t="s">
        <v>10</v>
      </c>
      <c r="E2709" s="2" t="str">
        <f>HYPERLINK("http://ts.21cn.com/tousu/show/id/1333322","http://ts.21cn.com/tousu/show/id/1333322")</f>
        <v>http://ts.21cn.com/tousu/show/id/1333322</v>
      </c>
      <c r="F2709" s="2" t="s">
        <v>11</v>
      </c>
      <c r="G2709" s="2" t="s">
        <v>38809</v>
      </c>
      <c r="H2709" s="2" t="s">
        <v>38810</v>
      </c>
    </row>
    <row r="2710" spans="1:8" ht="25.05" customHeight="1" x14ac:dyDescent="0.25">
      <c r="A2710" s="2" t="s">
        <v>8</v>
      </c>
      <c r="B2710" s="2" t="str">
        <f>HYPERLINK("http://ts.21cn.com/tousu/show/id/1333323","移动公司捆绑式消费")</f>
        <v>移动公司捆绑式消费</v>
      </c>
      <c r="C2710" s="2" t="s">
        <v>9</v>
      </c>
      <c r="D2710" s="2" t="s">
        <v>10</v>
      </c>
      <c r="E2710" s="2" t="str">
        <f>HYPERLINK("http://ts.21cn.com/tousu/show/id/1333323","http://ts.21cn.com/tousu/show/id/1333323")</f>
        <v>http://ts.21cn.com/tousu/show/id/1333323</v>
      </c>
      <c r="F2710" s="2" t="s">
        <v>11</v>
      </c>
      <c r="G2710" s="2" t="s">
        <v>38807</v>
      </c>
      <c r="H2710" s="2" t="s">
        <v>38808</v>
      </c>
    </row>
    <row r="2711" spans="1:8" ht="25.05" customHeight="1" x14ac:dyDescent="0.25">
      <c r="A2711" s="2" t="s">
        <v>8</v>
      </c>
      <c r="B2711" s="2" t="str">
        <f>HYPERLINK("http://ts.21cn.com/tousu/show/id/1333324","钱站高利贷阴阳合同")</f>
        <v>钱站高利贷阴阳合同</v>
      </c>
      <c r="C2711" s="2" t="s">
        <v>9</v>
      </c>
      <c r="D2711" s="2" t="s">
        <v>10</v>
      </c>
      <c r="E2711" s="2" t="str">
        <f>HYPERLINK("http://ts.21cn.com/tousu/show/id/1333324","http://ts.21cn.com/tousu/show/id/1333324")</f>
        <v>http://ts.21cn.com/tousu/show/id/1333324</v>
      </c>
      <c r="F2711" s="2" t="s">
        <v>11</v>
      </c>
      <c r="G2711" s="2" t="s">
        <v>38805</v>
      </c>
      <c r="H2711" s="2" t="s">
        <v>38806</v>
      </c>
    </row>
    <row r="2712" spans="1:8" ht="25.05" customHeight="1" x14ac:dyDescent="0.25">
      <c r="A2712" s="2" t="s">
        <v>8</v>
      </c>
      <c r="B2712" s="2" t="str">
        <f>HYPERLINK("http://ts.21cn.com/tousu/show/id/1333325","被照妖镜标记成狐狸")</f>
        <v>被照妖镜标记成狐狸</v>
      </c>
      <c r="C2712" s="2" t="s">
        <v>34</v>
      </c>
      <c r="D2712" s="2" t="s">
        <v>10</v>
      </c>
      <c r="E2712" s="2" t="str">
        <f>HYPERLINK("http://ts.21cn.com/tousu/show/id/1333325","http://ts.21cn.com/tousu/show/id/1333325")</f>
        <v>http://ts.21cn.com/tousu/show/id/1333325</v>
      </c>
      <c r="F2712" s="2" t="s">
        <v>11</v>
      </c>
      <c r="G2712" s="2" t="s">
        <v>38803</v>
      </c>
      <c r="H2712" s="2" t="s">
        <v>38804</v>
      </c>
    </row>
    <row r="2713" spans="1:8" ht="25.05" customHeight="1" x14ac:dyDescent="0.25">
      <c r="A2713" s="2" t="s">
        <v>8</v>
      </c>
      <c r="B2713" s="2" t="str">
        <f>HYPERLINK("http://ts.21cn.com/tousu/show/id/1333326","智行app退火车票金额有问题")</f>
        <v>智行app退火车票金额有问题</v>
      </c>
      <c r="C2713" s="2" t="s">
        <v>9</v>
      </c>
      <c r="D2713" s="2" t="s">
        <v>10</v>
      </c>
      <c r="E2713" s="2" t="str">
        <f>HYPERLINK("http://ts.21cn.com/tousu/show/id/1333326","http://ts.21cn.com/tousu/show/id/1333326")</f>
        <v>http://ts.21cn.com/tousu/show/id/1333326</v>
      </c>
      <c r="F2713" s="2" t="s">
        <v>11</v>
      </c>
      <c r="G2713" s="2" t="s">
        <v>38801</v>
      </c>
      <c r="H2713" s="2" t="s">
        <v>38802</v>
      </c>
    </row>
    <row r="2714" spans="1:8" ht="25.05" customHeight="1" x14ac:dyDescent="0.25">
      <c r="A2714" s="2" t="s">
        <v>8</v>
      </c>
      <c r="B2714" s="2" t="str">
        <f>HYPERLINK("http://ts.21cn.com/tousu/show/id/1333327","OPPOR9SPLUS大规模无限重启变砖")</f>
        <v>OPPOR9SPLUS大规模无限重启变砖</v>
      </c>
      <c r="C2714" s="2" t="s">
        <v>9</v>
      </c>
      <c r="D2714" s="2" t="s">
        <v>10</v>
      </c>
      <c r="E2714" s="2" t="str">
        <f>HYPERLINK("http://ts.21cn.com/tousu/show/id/1333327","http://ts.21cn.com/tousu/show/id/1333327")</f>
        <v>http://ts.21cn.com/tousu/show/id/1333327</v>
      </c>
      <c r="F2714" s="2" t="s">
        <v>11</v>
      </c>
      <c r="G2714" s="2" t="s">
        <v>38799</v>
      </c>
      <c r="H2714" s="2" t="s">
        <v>38800</v>
      </c>
    </row>
    <row r="2715" spans="1:8" ht="25.05" customHeight="1" x14ac:dyDescent="0.25">
      <c r="A2715" s="2" t="s">
        <v>8</v>
      </c>
      <c r="B2715" s="2" t="str">
        <f>HYPERLINK("http://ts.21cn.com/tousu/show/id/1333328","拼多多卖家虚假发货，拼多多平台处理无效率。")</f>
        <v>拼多多卖家虚假发货，拼多多平台处理无效率。</v>
      </c>
      <c r="C2715" s="2" t="s">
        <v>9</v>
      </c>
      <c r="D2715" s="2" t="s">
        <v>10</v>
      </c>
      <c r="E2715" s="2" t="str">
        <f>HYPERLINK("http://ts.21cn.com/tousu/show/id/1333328","http://ts.21cn.com/tousu/show/id/1333328")</f>
        <v>http://ts.21cn.com/tousu/show/id/1333328</v>
      </c>
      <c r="F2715" s="2" t="s">
        <v>11</v>
      </c>
      <c r="G2715" s="2" t="s">
        <v>38797</v>
      </c>
      <c r="H2715" s="2" t="s">
        <v>38798</v>
      </c>
    </row>
    <row r="2716" spans="1:8" ht="25.05" customHeight="1" x14ac:dyDescent="0.25">
      <c r="A2716" s="2" t="s">
        <v>8</v>
      </c>
      <c r="B2716" s="2" t="str">
        <f>HYPERLINK("http://ts.21cn.com/tousu/show/id/1333329","套路贷砍头息")</f>
        <v>套路贷砍头息</v>
      </c>
      <c r="C2716" s="2" t="s">
        <v>9</v>
      </c>
      <c r="D2716" s="2" t="s">
        <v>10</v>
      </c>
      <c r="E2716" s="2" t="str">
        <f>HYPERLINK("http://ts.21cn.com/tousu/show/id/1333329","http://ts.21cn.com/tousu/show/id/1333329")</f>
        <v>http://ts.21cn.com/tousu/show/id/1333329</v>
      </c>
      <c r="F2716" s="2" t="s">
        <v>11</v>
      </c>
      <c r="G2716" s="2" t="s">
        <v>38795</v>
      </c>
      <c r="H2716" s="2" t="s">
        <v>38796</v>
      </c>
    </row>
    <row r="2717" spans="1:8" ht="25.05" customHeight="1" x14ac:dyDescent="0.25">
      <c r="A2717" s="2" t="s">
        <v>8</v>
      </c>
      <c r="B2717" s="2" t="str">
        <f>HYPERLINK("http://ts.21cn.com/tousu/show/id/1333330","滴滴平台不人性化")</f>
        <v>滴滴平台不人性化</v>
      </c>
      <c r="C2717" s="2" t="s">
        <v>9</v>
      </c>
      <c r="D2717" s="2" t="s">
        <v>10</v>
      </c>
      <c r="E2717" s="2" t="str">
        <f>HYPERLINK("http://ts.21cn.com/tousu/show/id/1333330","http://ts.21cn.com/tousu/show/id/1333330")</f>
        <v>http://ts.21cn.com/tousu/show/id/1333330</v>
      </c>
      <c r="F2717" s="2" t="s">
        <v>11</v>
      </c>
      <c r="G2717" s="2" t="s">
        <v>38793</v>
      </c>
      <c r="H2717" s="2" t="s">
        <v>38794</v>
      </c>
    </row>
    <row r="2718" spans="1:8" ht="25.05" customHeight="1" x14ac:dyDescent="0.25">
      <c r="A2718" s="2" t="s">
        <v>8</v>
      </c>
      <c r="B2718" s="2" t="str">
        <f>HYPERLINK("http://ts.21cn.com/tousu/show/id/1333332","广东信汇全额退款")</f>
        <v>广东信汇全额退款</v>
      </c>
      <c r="C2718" s="2" t="s">
        <v>34</v>
      </c>
      <c r="D2718" s="2" t="s">
        <v>10</v>
      </c>
      <c r="E2718" s="2" t="str">
        <f>HYPERLINK("http://ts.21cn.com/tousu/show/id/1333332","http://ts.21cn.com/tousu/show/id/1333332")</f>
        <v>http://ts.21cn.com/tousu/show/id/1333332</v>
      </c>
      <c r="F2718" s="2" t="s">
        <v>11</v>
      </c>
      <c r="G2718" s="2" t="s">
        <v>38791</v>
      </c>
      <c r="H2718" s="2" t="s">
        <v>38792</v>
      </c>
    </row>
    <row r="2719" spans="1:8" ht="25.05" customHeight="1" x14ac:dyDescent="0.25">
      <c r="A2719" s="2" t="s">
        <v>8</v>
      </c>
      <c r="B2719" s="2" t="str">
        <f>HYPERLINK("http://ts.21cn.com/tousu/show/id/1333333","美利车、力蕴汽车套路贷")</f>
        <v>美利车、力蕴汽车套路贷</v>
      </c>
      <c r="C2719" s="2" t="s">
        <v>9</v>
      </c>
      <c r="D2719" s="2" t="s">
        <v>10</v>
      </c>
      <c r="E2719" s="2" t="str">
        <f>HYPERLINK("http://ts.21cn.com/tousu/show/id/1333333","http://ts.21cn.com/tousu/show/id/1333333")</f>
        <v>http://ts.21cn.com/tousu/show/id/1333333</v>
      </c>
      <c r="F2719" s="2" t="s">
        <v>11</v>
      </c>
      <c r="G2719" s="2" t="s">
        <v>38789</v>
      </c>
      <c r="H2719" s="2" t="s">
        <v>38790</v>
      </c>
    </row>
    <row r="2720" spans="1:8" ht="25.05" customHeight="1" x14ac:dyDescent="0.25">
      <c r="A2720" s="2" t="s">
        <v>8</v>
      </c>
      <c r="B2720" s="2" t="str">
        <f>HYPERLINK("http://ts.21cn.com/tousu/show/id/1333334","你我贷充值成功可用余额为零")</f>
        <v>你我贷充值成功可用余额为零</v>
      </c>
      <c r="C2720" s="2" t="s">
        <v>34</v>
      </c>
      <c r="D2720" s="2" t="s">
        <v>10</v>
      </c>
      <c r="E2720" s="2" t="str">
        <f>HYPERLINK("http://ts.21cn.com/tousu/show/id/1333334","http://ts.21cn.com/tousu/show/id/1333334")</f>
        <v>http://ts.21cn.com/tousu/show/id/1333334</v>
      </c>
      <c r="F2720" s="2" t="s">
        <v>11</v>
      </c>
      <c r="G2720" s="2" t="s">
        <v>38787</v>
      </c>
      <c r="H2720" s="2" t="s">
        <v>38788</v>
      </c>
    </row>
    <row r="2721" spans="1:8" ht="25.05" customHeight="1" x14ac:dyDescent="0.25">
      <c r="A2721" s="2" t="s">
        <v>8</v>
      </c>
      <c r="B2721" s="2" t="str">
        <f>HYPERLINK("http://ts.21cn.com/tousu/show/id/1333336","高利贷套路贷")</f>
        <v>高利贷套路贷</v>
      </c>
      <c r="C2721" s="2" t="s">
        <v>9</v>
      </c>
      <c r="D2721" s="2" t="s">
        <v>10</v>
      </c>
      <c r="E2721" s="2" t="str">
        <f>HYPERLINK("http://ts.21cn.com/tousu/show/id/1333336","http://ts.21cn.com/tousu/show/id/1333336")</f>
        <v>http://ts.21cn.com/tousu/show/id/1333336</v>
      </c>
      <c r="F2721" s="2" t="s">
        <v>11</v>
      </c>
      <c r="G2721" s="2" t="s">
        <v>38785</v>
      </c>
      <c r="H2721" s="2" t="s">
        <v>38786</v>
      </c>
    </row>
    <row r="2722" spans="1:8" ht="25.05" customHeight="1" x14ac:dyDescent="0.25">
      <c r="A2722" s="2" t="s">
        <v>8</v>
      </c>
      <c r="B2722" s="2" t="str">
        <f>HYPERLINK("http://ts.21cn.com/tousu/show/id/1333335","大量用户无法退还立刻出行499元押金")</f>
        <v>大量用户无法退还立刻出行499元押金</v>
      </c>
      <c r="C2722" s="2" t="s">
        <v>34</v>
      </c>
      <c r="D2722" s="2" t="s">
        <v>10</v>
      </c>
      <c r="E2722" s="2" t="str">
        <f>HYPERLINK("http://ts.21cn.com/tousu/show/id/1333335","http://ts.21cn.com/tousu/show/id/1333335")</f>
        <v>http://ts.21cn.com/tousu/show/id/1333335</v>
      </c>
      <c r="F2722" s="2" t="s">
        <v>11</v>
      </c>
      <c r="G2722" s="2" t="s">
        <v>38783</v>
      </c>
      <c r="H2722" s="2" t="s">
        <v>38784</v>
      </c>
    </row>
    <row r="2723" spans="1:8" ht="25.05" customHeight="1" x14ac:dyDescent="0.25">
      <c r="A2723" s="2" t="s">
        <v>8</v>
      </c>
      <c r="B2723" s="2" t="str">
        <f>HYPERLINK("http://ts.21cn.com/tousu/show/id/1333337","滴滴我晚上10点过后派单无缘无故不给派女乘客订单我已经投诉过了联系我了客套的忽悠但是还是一样得不到解决")</f>
        <v>滴滴我晚上10点过后派单无缘无故不给派女乘客订单我已经投诉过了联系我了客套的忽悠但是还是一样得不到解决</v>
      </c>
      <c r="C2723" s="2" t="s">
        <v>9</v>
      </c>
      <c r="D2723" s="2" t="s">
        <v>10</v>
      </c>
      <c r="E2723" s="2" t="str">
        <f>HYPERLINK("http://ts.21cn.com/tousu/show/id/1333337","http://ts.21cn.com/tousu/show/id/1333337")</f>
        <v>http://ts.21cn.com/tousu/show/id/1333337</v>
      </c>
      <c r="F2723" s="2" t="s">
        <v>11</v>
      </c>
      <c r="G2723" s="2" t="s">
        <v>38781</v>
      </c>
      <c r="H2723" s="2" t="s">
        <v>38782</v>
      </c>
    </row>
    <row r="2724" spans="1:8" ht="25.05" customHeight="1" x14ac:dyDescent="0.25">
      <c r="A2724" s="2" t="s">
        <v>8</v>
      </c>
      <c r="B2724" s="2" t="str">
        <f>HYPERLINK("http://ts.21cn.com/tousu/show/id/1333338","黑平台")</f>
        <v>黑平台</v>
      </c>
      <c r="C2724" s="2" t="s">
        <v>9</v>
      </c>
      <c r="D2724" s="2" t="s">
        <v>10</v>
      </c>
      <c r="E2724" s="2" t="str">
        <f>HYPERLINK("http://ts.21cn.com/tousu/show/id/1333338","http://ts.21cn.com/tousu/show/id/1333338")</f>
        <v>http://ts.21cn.com/tousu/show/id/1333338</v>
      </c>
      <c r="F2724" s="2" t="s">
        <v>11</v>
      </c>
      <c r="G2724" s="2" t="s">
        <v>38779</v>
      </c>
      <c r="H2724" s="2" t="s">
        <v>38780</v>
      </c>
    </row>
    <row r="2725" spans="1:8" ht="25.05" customHeight="1" x14ac:dyDescent="0.25">
      <c r="A2725" s="2" t="s">
        <v>8</v>
      </c>
      <c r="B2725" s="2" t="str">
        <f>HYPERLINK("http://ts.21cn.com/tousu/show/id/1333339","来花花展鸿科技汇潮支付高利息费用")</f>
        <v>来花花展鸿科技汇潮支付高利息费用</v>
      </c>
      <c r="C2725" s="2" t="s">
        <v>9</v>
      </c>
      <c r="D2725" s="2" t="s">
        <v>10</v>
      </c>
      <c r="E2725" s="2" t="str">
        <f>HYPERLINK("http://ts.21cn.com/tousu/show/id/1333339","http://ts.21cn.com/tousu/show/id/1333339")</f>
        <v>http://ts.21cn.com/tousu/show/id/1333339</v>
      </c>
      <c r="F2725" s="2" t="s">
        <v>11</v>
      </c>
      <c r="G2725" s="2" t="s">
        <v>38777</v>
      </c>
      <c r="H2725" s="2" t="s">
        <v>38778</v>
      </c>
    </row>
    <row r="2726" spans="1:8" ht="25.05" customHeight="1" x14ac:dyDescent="0.25">
      <c r="A2726" s="2" t="s">
        <v>8</v>
      </c>
      <c r="B2726" s="2" t="str">
        <f>HYPERLINK("http://ts.21cn.com/tousu/show/id/1333340","智行app利用信息不对称诱导消费者购买没有用的加速包")</f>
        <v>智行app利用信息不对称诱导消费者购买没有用的加速包</v>
      </c>
      <c r="C2726" s="2" t="s">
        <v>9</v>
      </c>
      <c r="D2726" s="2" t="s">
        <v>10</v>
      </c>
      <c r="E2726" s="2" t="str">
        <f>HYPERLINK("http://ts.21cn.com/tousu/show/id/1333340","http://ts.21cn.com/tousu/show/id/1333340")</f>
        <v>http://ts.21cn.com/tousu/show/id/1333340</v>
      </c>
      <c r="F2726" s="2" t="s">
        <v>11</v>
      </c>
      <c r="G2726" s="2" t="s">
        <v>38775</v>
      </c>
      <c r="H2726" s="2" t="s">
        <v>38776</v>
      </c>
    </row>
    <row r="2727" spans="1:8" ht="25.05" customHeight="1" x14ac:dyDescent="0.25">
      <c r="A2727" s="2" t="s">
        <v>8</v>
      </c>
      <c r="B2727" s="2" t="str">
        <f>HYPERLINK("http://ts.21cn.com/tousu/show/id/1333341","利息太高不想借款")</f>
        <v>利息太高不想借款</v>
      </c>
      <c r="C2727" s="2" t="s">
        <v>9</v>
      </c>
      <c r="D2727" s="2" t="s">
        <v>10</v>
      </c>
      <c r="E2727" s="2" t="str">
        <f>HYPERLINK("http://ts.21cn.com/tousu/show/id/1333341","http://ts.21cn.com/tousu/show/id/1333341")</f>
        <v>http://ts.21cn.com/tousu/show/id/1333341</v>
      </c>
      <c r="F2727" s="2" t="s">
        <v>11</v>
      </c>
      <c r="G2727" s="2" t="s">
        <v>38773</v>
      </c>
      <c r="H2727" s="2" t="s">
        <v>38774</v>
      </c>
    </row>
    <row r="2728" spans="1:8" ht="25.05" customHeight="1" x14ac:dyDescent="0.25">
      <c r="A2728" s="2" t="s">
        <v>8</v>
      </c>
      <c r="B2728" s="2" t="str">
        <f>HYPERLINK("http://ts.21cn.com/tousu/show/id/1333342","滴滴扣分没商量，处理问题不人性！")</f>
        <v>滴滴扣分没商量，处理问题不人性！</v>
      </c>
      <c r="C2728" s="2" t="s">
        <v>9</v>
      </c>
      <c r="D2728" s="2" t="s">
        <v>10</v>
      </c>
      <c r="E2728" s="2" t="str">
        <f>HYPERLINK("http://ts.21cn.com/tousu/show/id/1333342","http://ts.21cn.com/tousu/show/id/1333342")</f>
        <v>http://ts.21cn.com/tousu/show/id/1333342</v>
      </c>
      <c r="F2728" s="2" t="s">
        <v>11</v>
      </c>
      <c r="G2728" s="2" t="s">
        <v>38771</v>
      </c>
      <c r="H2728" s="2" t="s">
        <v>38772</v>
      </c>
    </row>
    <row r="2729" spans="1:8" ht="25.05" customHeight="1" x14ac:dyDescent="0.25">
      <c r="A2729" s="2" t="s">
        <v>8</v>
      </c>
      <c r="B2729" s="2" t="str">
        <f>HYPERLINK("http://ts.21cn.com/tousu/show/id/1333343","钱站黑心高利贷")</f>
        <v>钱站黑心高利贷</v>
      </c>
      <c r="C2729" s="2" t="s">
        <v>9</v>
      </c>
      <c r="D2729" s="2" t="s">
        <v>10</v>
      </c>
      <c r="E2729" s="2" t="str">
        <f>HYPERLINK("http://ts.21cn.com/tousu/show/id/1333343","http://ts.21cn.com/tousu/show/id/1333343")</f>
        <v>http://ts.21cn.com/tousu/show/id/1333343</v>
      </c>
      <c r="F2729" s="2" t="s">
        <v>11</v>
      </c>
      <c r="G2729" s="2" t="s">
        <v>38769</v>
      </c>
      <c r="H2729" s="2" t="s">
        <v>38770</v>
      </c>
    </row>
    <row r="2730" spans="1:8" ht="25.05" customHeight="1" x14ac:dyDescent="0.25">
      <c r="A2730" s="2" t="s">
        <v>8</v>
      </c>
      <c r="B2730" s="2" t="str">
        <f>HYPERLINK("http://ts.21cn.com/tousu/show/id/1333344","达达不退还押金")</f>
        <v>达达不退还押金</v>
      </c>
      <c r="C2730" s="2" t="s">
        <v>9</v>
      </c>
      <c r="D2730" s="2" t="s">
        <v>10</v>
      </c>
      <c r="E2730" s="2" t="str">
        <f>HYPERLINK("http://ts.21cn.com/tousu/show/id/1333344","http://ts.21cn.com/tousu/show/id/1333344")</f>
        <v>http://ts.21cn.com/tousu/show/id/1333344</v>
      </c>
      <c r="F2730" s="2" t="s">
        <v>11</v>
      </c>
      <c r="G2730" s="2" t="s">
        <v>38767</v>
      </c>
      <c r="H2730" s="2" t="s">
        <v>38768</v>
      </c>
    </row>
    <row r="2731" spans="1:8" ht="25.05" customHeight="1" x14ac:dyDescent="0.25">
      <c r="A2731" s="2" t="s">
        <v>8</v>
      </c>
      <c r="B2731" s="2" t="str">
        <f>HYPERLINK("http://ts.21cn.com/tousu/show/id/1333345","ppmoney高利贷还打我朋友电话")</f>
        <v>ppmoney高利贷还打我朋友电话</v>
      </c>
      <c r="C2731" s="2" t="s">
        <v>9</v>
      </c>
      <c r="D2731" s="2" t="s">
        <v>10</v>
      </c>
      <c r="E2731" s="2" t="str">
        <f>HYPERLINK("http://ts.21cn.com/tousu/show/id/1333345","http://ts.21cn.com/tousu/show/id/1333345")</f>
        <v>http://ts.21cn.com/tousu/show/id/1333345</v>
      </c>
      <c r="F2731" s="2" t="s">
        <v>11</v>
      </c>
      <c r="G2731" s="2" t="s">
        <v>38765</v>
      </c>
      <c r="H2731" s="2" t="s">
        <v>38766</v>
      </c>
    </row>
    <row r="2732" spans="1:8" ht="25.05" customHeight="1" x14ac:dyDescent="0.25">
      <c r="A2732" s="2" t="s">
        <v>8</v>
      </c>
      <c r="B2732" s="2" t="str">
        <f>HYPERLINK("http://ts.21cn.com/tousu/show/id/1333346","你我贷平台还款当日无法手动还款")</f>
        <v>你我贷平台还款当日无法手动还款</v>
      </c>
      <c r="C2732" s="2" t="s">
        <v>34</v>
      </c>
      <c r="D2732" s="2" t="s">
        <v>10</v>
      </c>
      <c r="E2732" s="2" t="str">
        <f>HYPERLINK("http://ts.21cn.com/tousu/show/id/1333346","http://ts.21cn.com/tousu/show/id/1333346")</f>
        <v>http://ts.21cn.com/tousu/show/id/1333346</v>
      </c>
      <c r="F2732" s="2" t="s">
        <v>11</v>
      </c>
      <c r="G2732" s="2" t="s">
        <v>38763</v>
      </c>
      <c r="H2732" s="2" t="s">
        <v>38764</v>
      </c>
    </row>
    <row r="2733" spans="1:8" ht="25.05" customHeight="1" x14ac:dyDescent="0.25">
      <c r="A2733" s="2" t="s">
        <v>8</v>
      </c>
      <c r="B2733" s="2" t="str">
        <f>HYPERLINK("http://ts.21cn.com/tousu/show/id/1333347","闪银哼哼变相收取砍头息")</f>
        <v>闪银哼哼变相收取砍头息</v>
      </c>
      <c r="C2733" s="2" t="s">
        <v>9</v>
      </c>
      <c r="D2733" s="2" t="s">
        <v>10</v>
      </c>
      <c r="E2733" s="2" t="str">
        <f>HYPERLINK("http://ts.21cn.com/tousu/show/id/1333347","http://ts.21cn.com/tousu/show/id/1333347")</f>
        <v>http://ts.21cn.com/tousu/show/id/1333347</v>
      </c>
      <c r="F2733" s="2" t="s">
        <v>11</v>
      </c>
      <c r="G2733" s="2" t="s">
        <v>38761</v>
      </c>
      <c r="H2733" s="2" t="s">
        <v>38762</v>
      </c>
    </row>
    <row r="2734" spans="1:8" ht="25.05" customHeight="1" x14ac:dyDescent="0.25">
      <c r="A2734" s="2" t="s">
        <v>8</v>
      </c>
      <c r="B2734" s="2" t="str">
        <f>HYPERLINK("http://ts.21cn.com/tousu/show/id/1333348","关于美约app乱扣费问题，免费试用后，自动续费会员一年298元")</f>
        <v>关于美约app乱扣费问题，免费试用后，自动续费会员一年298元</v>
      </c>
      <c r="C2734" s="2" t="s">
        <v>34</v>
      </c>
      <c r="D2734" s="2" t="s">
        <v>10</v>
      </c>
      <c r="E2734" s="2" t="str">
        <f>HYPERLINK("http://ts.21cn.com/tousu/show/id/1333348","http://ts.21cn.com/tousu/show/id/1333348")</f>
        <v>http://ts.21cn.com/tousu/show/id/1333348</v>
      </c>
      <c r="F2734" s="2" t="s">
        <v>11</v>
      </c>
      <c r="G2734" s="2" t="s">
        <v>38759</v>
      </c>
      <c r="H2734" s="2" t="s">
        <v>38760</v>
      </c>
    </row>
    <row r="2735" spans="1:8" ht="25.05" customHeight="1" x14ac:dyDescent="0.25">
      <c r="A2735" s="2" t="s">
        <v>8</v>
      </c>
      <c r="B2735" s="2" t="str">
        <f>HYPERLINK("http://ts.21cn.com/tousu/show/id/1333349","酒店预订问题需要退订单退房退款，7个小时连续联系携程都联系不上")</f>
        <v>酒店预订问题需要退订单退房退款，7个小时连续联系携程都联系不上</v>
      </c>
      <c r="C2735" s="2" t="s">
        <v>34</v>
      </c>
      <c r="D2735" s="2" t="s">
        <v>10</v>
      </c>
      <c r="E2735" s="2" t="str">
        <f>HYPERLINK("http://ts.21cn.com/tousu/show/id/1333349","http://ts.21cn.com/tousu/show/id/1333349")</f>
        <v>http://ts.21cn.com/tousu/show/id/1333349</v>
      </c>
      <c r="F2735" s="2" t="s">
        <v>11</v>
      </c>
      <c r="G2735" s="2" t="s">
        <v>38757</v>
      </c>
      <c r="H2735" s="2" t="s">
        <v>38758</v>
      </c>
    </row>
    <row r="2736" spans="1:8" ht="25.05" customHeight="1" x14ac:dyDescent="0.25">
      <c r="A2736" s="2" t="s">
        <v>8</v>
      </c>
      <c r="B2736" s="2" t="str">
        <f>HYPERLINK("http://ts.21cn.com/tousu/show/id/1333350","买个号结果号主压根没卖")</f>
        <v>买个号结果号主压根没卖</v>
      </c>
      <c r="C2736" s="2" t="s">
        <v>9</v>
      </c>
      <c r="D2736" s="2" t="s">
        <v>10</v>
      </c>
      <c r="E2736" s="2" t="str">
        <f>HYPERLINK("http://ts.21cn.com/tousu/show/id/1333350","http://ts.21cn.com/tousu/show/id/1333350")</f>
        <v>http://ts.21cn.com/tousu/show/id/1333350</v>
      </c>
      <c r="F2736" s="2" t="s">
        <v>11</v>
      </c>
      <c r="G2736" s="2" t="s">
        <v>38755</v>
      </c>
      <c r="H2736" s="2" t="s">
        <v>38756</v>
      </c>
    </row>
    <row r="2737" spans="1:8" ht="25.05" customHeight="1" x14ac:dyDescent="0.25">
      <c r="A2737" s="2" t="s">
        <v>8</v>
      </c>
      <c r="B2737" s="2" t="str">
        <f>HYPERLINK("http://ts.21cn.com/tousu/show/id/1333351","中国银联云闪付请你归还我血汗钱")</f>
        <v>中国银联云闪付请你归还我血汗钱</v>
      </c>
      <c r="C2737" s="2" t="s">
        <v>9</v>
      </c>
      <c r="D2737" s="2" t="s">
        <v>10</v>
      </c>
      <c r="E2737" s="2" t="str">
        <f>HYPERLINK("http://ts.21cn.com/tousu/show/id/1333351","http://ts.21cn.com/tousu/show/id/1333351")</f>
        <v>http://ts.21cn.com/tousu/show/id/1333351</v>
      </c>
      <c r="F2737" s="2" t="s">
        <v>11</v>
      </c>
      <c r="G2737" s="2" t="s">
        <v>38753</v>
      </c>
      <c r="H2737" s="2" t="s">
        <v>38754</v>
      </c>
    </row>
    <row r="2738" spans="1:8" ht="25.05" customHeight="1" x14ac:dyDescent="0.25">
      <c r="A2738" s="2" t="s">
        <v>8</v>
      </c>
      <c r="B2738" s="2" t="str">
        <f>HYPERLINK("http://ts.21cn.com/tousu/show/id/1333355","平安普惠的i贷贷款看不了我们的借款以及还款明细")</f>
        <v>平安普惠的i贷贷款看不了我们的借款以及还款明细</v>
      </c>
      <c r="C2738" s="2" t="s">
        <v>34</v>
      </c>
      <c r="D2738" s="2" t="s">
        <v>10</v>
      </c>
      <c r="E2738" s="2" t="str">
        <f>HYPERLINK("http://ts.21cn.com/tousu/show/id/1333355","http://ts.21cn.com/tousu/show/id/1333355")</f>
        <v>http://ts.21cn.com/tousu/show/id/1333355</v>
      </c>
      <c r="F2738" s="2" t="s">
        <v>11</v>
      </c>
      <c r="G2738" s="2" t="s">
        <v>38751</v>
      </c>
      <c r="H2738" s="2" t="s">
        <v>38752</v>
      </c>
    </row>
    <row r="2739" spans="1:8" ht="25.05" customHeight="1" x14ac:dyDescent="0.25">
      <c r="A2739" s="2" t="s">
        <v>8</v>
      </c>
      <c r="B2739" s="2" t="str">
        <f>HYPERLINK("http://ts.21cn.com/tousu/show/id/1333354","豹子贷无故扣钱不需要还要扣")</f>
        <v>豹子贷无故扣钱不需要还要扣</v>
      </c>
      <c r="C2739" s="2" t="s">
        <v>9</v>
      </c>
      <c r="D2739" s="2" t="s">
        <v>10</v>
      </c>
      <c r="E2739" s="2" t="str">
        <f>HYPERLINK("http://ts.21cn.com/tousu/show/id/1333354","http://ts.21cn.com/tousu/show/id/1333354")</f>
        <v>http://ts.21cn.com/tousu/show/id/1333354</v>
      </c>
      <c r="F2739" s="2" t="s">
        <v>11</v>
      </c>
      <c r="G2739" s="2" t="s">
        <v>38749</v>
      </c>
      <c r="H2739" s="2" t="s">
        <v>38750</v>
      </c>
    </row>
    <row r="2740" spans="1:8" ht="25.05" customHeight="1" x14ac:dyDescent="0.25">
      <c r="A2740" s="2" t="s">
        <v>8</v>
      </c>
      <c r="B2740" s="2" t="str">
        <f>HYPERLINK("http://ts.21cn.com/tousu/show/id/1333356","牛人有品无缘无故扣除服务费")</f>
        <v>牛人有品无缘无故扣除服务费</v>
      </c>
      <c r="C2740" s="2" t="s">
        <v>9</v>
      </c>
      <c r="D2740" s="2" t="s">
        <v>10</v>
      </c>
      <c r="E2740" s="2" t="str">
        <f>HYPERLINK("http://ts.21cn.com/tousu/show/id/1333356","http://ts.21cn.com/tousu/show/id/1333356")</f>
        <v>http://ts.21cn.com/tousu/show/id/1333356</v>
      </c>
      <c r="F2740" s="2" t="s">
        <v>11</v>
      </c>
      <c r="G2740" s="2" t="s">
        <v>38747</v>
      </c>
      <c r="H2740" s="2" t="s">
        <v>38748</v>
      </c>
    </row>
    <row r="2741" spans="1:8" ht="25.05" customHeight="1" x14ac:dyDescent="0.25">
      <c r="A2741" s="2" t="s">
        <v>8</v>
      </c>
      <c r="B2741" s="2" t="str">
        <f>HYPERLINK("http://ts.21cn.com/tousu/show/id/1333358","我的美团订单出现了我没有消费的订单")</f>
        <v>我的美团订单出现了我没有消费的订单</v>
      </c>
      <c r="C2741" s="2" t="s">
        <v>34</v>
      </c>
      <c r="D2741" s="2" t="s">
        <v>10</v>
      </c>
      <c r="E2741" s="2" t="str">
        <f>HYPERLINK("http://ts.21cn.com/tousu/show/id/1333358","http://ts.21cn.com/tousu/show/id/1333358")</f>
        <v>http://ts.21cn.com/tousu/show/id/1333358</v>
      </c>
      <c r="F2741" s="2" t="s">
        <v>11</v>
      </c>
      <c r="G2741" s="2" t="s">
        <v>38745</v>
      </c>
      <c r="H2741" s="2" t="s">
        <v>38746</v>
      </c>
    </row>
    <row r="2742" spans="1:8" ht="25.05" customHeight="1" x14ac:dyDescent="0.25">
      <c r="A2742" s="2" t="s">
        <v>8</v>
      </c>
      <c r="B2742" s="2" t="str">
        <f>HYPERLINK("http://ts.21cn.com/tousu/show/id/1333357","被恶意软件恶意扣费")</f>
        <v>被恶意软件恶意扣费</v>
      </c>
      <c r="C2742" s="2" t="s">
        <v>9</v>
      </c>
      <c r="D2742" s="2" t="s">
        <v>10</v>
      </c>
      <c r="E2742" s="2" t="str">
        <f>HYPERLINK("http://ts.21cn.com/tousu/show/id/1333357","http://ts.21cn.com/tousu/show/id/1333357")</f>
        <v>http://ts.21cn.com/tousu/show/id/1333357</v>
      </c>
      <c r="F2742" s="2" t="s">
        <v>11</v>
      </c>
      <c r="G2742" s="2" t="s">
        <v>38743</v>
      </c>
      <c r="H2742" s="2" t="s">
        <v>38744</v>
      </c>
    </row>
    <row r="2743" spans="1:8" ht="25.05" customHeight="1" x14ac:dyDescent="0.25">
      <c r="A2743" s="2" t="s">
        <v>8</v>
      </c>
      <c r="B2743" s="2" t="str">
        <f>HYPERLINK("http://ts.21cn.com/tousu/show/id/1333359","快贷高额服务费")</f>
        <v>快贷高额服务费</v>
      </c>
      <c r="C2743" s="2" t="s">
        <v>34</v>
      </c>
      <c r="D2743" s="2" t="s">
        <v>10</v>
      </c>
      <c r="E2743" s="2" t="str">
        <f>HYPERLINK("http://ts.21cn.com/tousu/show/id/1333359","http://ts.21cn.com/tousu/show/id/1333359")</f>
        <v>http://ts.21cn.com/tousu/show/id/1333359</v>
      </c>
      <c r="F2743" s="2" t="s">
        <v>11</v>
      </c>
      <c r="G2743" s="2" t="s">
        <v>38741</v>
      </c>
      <c r="H2743" s="2" t="s">
        <v>38742</v>
      </c>
    </row>
    <row r="2744" spans="1:8" ht="25.05" customHeight="1" x14ac:dyDescent="0.25">
      <c r="A2744" s="2" t="s">
        <v>8</v>
      </c>
      <c r="B2744" s="2" t="str">
        <f>HYPERLINK("http://ts.21cn.com/tousu/show/id/1333362","ofo不能退押金")</f>
        <v>ofo不能退押金</v>
      </c>
      <c r="C2744" s="2" t="s">
        <v>34</v>
      </c>
      <c r="D2744" s="2" t="s">
        <v>10</v>
      </c>
      <c r="E2744" s="2" t="str">
        <f>HYPERLINK("http://ts.21cn.com/tousu/show/id/1333362","http://ts.21cn.com/tousu/show/id/1333362")</f>
        <v>http://ts.21cn.com/tousu/show/id/1333362</v>
      </c>
      <c r="F2744" s="2" t="s">
        <v>11</v>
      </c>
      <c r="G2744" s="2" t="s">
        <v>38739</v>
      </c>
      <c r="H2744" s="2" t="s">
        <v>38740</v>
      </c>
    </row>
    <row r="2745" spans="1:8" ht="25.05" customHeight="1" x14ac:dyDescent="0.25">
      <c r="A2745" s="2" t="s">
        <v>8</v>
      </c>
      <c r="B2745" s="2" t="str">
        <f>HYPERLINK("http://ts.21cn.com/tousu/show/id/1333363","旺卡猫恶意扣款")</f>
        <v>旺卡猫恶意扣款</v>
      </c>
      <c r="C2745" s="2" t="s">
        <v>9</v>
      </c>
      <c r="D2745" s="2" t="s">
        <v>10</v>
      </c>
      <c r="E2745" s="2" t="str">
        <f>HYPERLINK("http://ts.21cn.com/tousu/show/id/1333363","http://ts.21cn.com/tousu/show/id/1333363")</f>
        <v>http://ts.21cn.com/tousu/show/id/1333363</v>
      </c>
      <c r="F2745" s="2" t="s">
        <v>11</v>
      </c>
      <c r="G2745" s="2" t="s">
        <v>38737</v>
      </c>
      <c r="H2745" s="2" t="s">
        <v>38738</v>
      </c>
    </row>
    <row r="2746" spans="1:8" ht="25.05" customHeight="1" x14ac:dyDescent="0.25">
      <c r="A2746" s="2" t="s">
        <v>8</v>
      </c>
      <c r="B2746" s="2" t="str">
        <f>HYPERLINK("http://ts.21cn.com/tousu/show/id/1333364","高利贷，高炮，砍头息")</f>
        <v>高利贷，高炮，砍头息</v>
      </c>
      <c r="C2746" s="2" t="s">
        <v>9</v>
      </c>
      <c r="D2746" s="2" t="s">
        <v>10</v>
      </c>
      <c r="E2746" s="2" t="str">
        <f>HYPERLINK("http://ts.21cn.com/tousu/show/id/1333364","http://ts.21cn.com/tousu/show/id/1333364")</f>
        <v>http://ts.21cn.com/tousu/show/id/1333364</v>
      </c>
      <c r="F2746" s="2" t="s">
        <v>11</v>
      </c>
      <c r="G2746" s="2" t="s">
        <v>38735</v>
      </c>
      <c r="H2746" s="2" t="s">
        <v>38736</v>
      </c>
    </row>
    <row r="2747" spans="1:8" ht="25.05" customHeight="1" x14ac:dyDescent="0.25">
      <c r="A2747" s="2" t="s">
        <v>8</v>
      </c>
      <c r="B2747" s="2" t="str">
        <f>HYPERLINK("http://ts.21cn.com/tousu/show/id/1333365","小浦优客未提供任何服务乱收费296元")</f>
        <v>小浦优客未提供任何服务乱收费296元</v>
      </c>
      <c r="C2747" s="2" t="s">
        <v>9</v>
      </c>
      <c r="D2747" s="2" t="s">
        <v>10</v>
      </c>
      <c r="E2747" s="2" t="str">
        <f>HYPERLINK("http://ts.21cn.com/tousu/show/id/1333365","http://ts.21cn.com/tousu/show/id/1333365")</f>
        <v>http://ts.21cn.com/tousu/show/id/1333365</v>
      </c>
      <c r="F2747" s="2" t="s">
        <v>11</v>
      </c>
      <c r="G2747" s="2" t="s">
        <v>38733</v>
      </c>
      <c r="H2747" s="2" t="s">
        <v>38734</v>
      </c>
    </row>
    <row r="2748" spans="1:8" ht="25.05" customHeight="1" x14ac:dyDescent="0.25">
      <c r="A2748" s="2" t="s">
        <v>8</v>
      </c>
      <c r="B2748" s="2" t="str">
        <f>HYPERLINK("http://ts.21cn.com/tousu/show/id/1333366","建行还我被盗刷的钱")</f>
        <v>建行还我被盗刷的钱</v>
      </c>
      <c r="C2748" s="2" t="s">
        <v>9</v>
      </c>
      <c r="D2748" s="2" t="s">
        <v>10</v>
      </c>
      <c r="E2748" s="2" t="str">
        <f>HYPERLINK("http://ts.21cn.com/tousu/show/id/1333366","http://ts.21cn.com/tousu/show/id/1333366")</f>
        <v>http://ts.21cn.com/tousu/show/id/1333366</v>
      </c>
      <c r="F2748" s="2" t="s">
        <v>11</v>
      </c>
      <c r="G2748" s="2" t="s">
        <v>38731</v>
      </c>
      <c r="H2748" s="2" t="s">
        <v>38732</v>
      </c>
    </row>
    <row r="2749" spans="1:8" ht="25.05" customHeight="1" x14ac:dyDescent="0.25">
      <c r="A2749" s="2" t="s">
        <v>8</v>
      </c>
      <c r="B2749" s="2" t="str">
        <f>HYPERLINK("http://ts.21cn.com/tousu/show/id/1333367","携程定宾馆，付款成功，由于携程网站问题，宾馆说没有收到携程信息，无法入住")</f>
        <v>携程定宾馆，付款成功，由于携程网站问题，宾馆说没有收到携程信息，无法入住</v>
      </c>
      <c r="C2749" s="2" t="s">
        <v>9</v>
      </c>
      <c r="D2749" s="2" t="s">
        <v>10</v>
      </c>
      <c r="E2749" s="2" t="str">
        <f>HYPERLINK("http://ts.21cn.com/tousu/show/id/1333367","http://ts.21cn.com/tousu/show/id/1333367")</f>
        <v>http://ts.21cn.com/tousu/show/id/1333367</v>
      </c>
      <c r="F2749" s="2" t="s">
        <v>11</v>
      </c>
      <c r="G2749" s="2" t="s">
        <v>38729</v>
      </c>
      <c r="H2749" s="2" t="s">
        <v>38730</v>
      </c>
    </row>
    <row r="2750" spans="1:8" ht="25.05" customHeight="1" x14ac:dyDescent="0.25">
      <c r="A2750" s="2" t="s">
        <v>8</v>
      </c>
      <c r="B2750" s="2" t="str">
        <f>HYPERLINK("http://ts.21cn.com/tousu/show/id/1333368","钱站高利贷阴阳合同威胁恐吓")</f>
        <v>钱站高利贷阴阳合同威胁恐吓</v>
      </c>
      <c r="C2750" s="2" t="s">
        <v>9</v>
      </c>
      <c r="D2750" s="2" t="s">
        <v>10</v>
      </c>
      <c r="E2750" s="2" t="str">
        <f>HYPERLINK("http://ts.21cn.com/tousu/show/id/1333368","http://ts.21cn.com/tousu/show/id/1333368")</f>
        <v>http://ts.21cn.com/tousu/show/id/1333368</v>
      </c>
      <c r="F2750" s="2" t="s">
        <v>11</v>
      </c>
      <c r="G2750" s="2" t="s">
        <v>38727</v>
      </c>
      <c r="H2750" s="2" t="s">
        <v>38728</v>
      </c>
    </row>
    <row r="2751" spans="1:8" ht="25.05" customHeight="1" x14ac:dyDescent="0.25">
      <c r="A2751" s="2" t="s">
        <v>8</v>
      </c>
      <c r="B2751" s="2" t="str">
        <f>HYPERLINK("http://ts.21cn.com/tousu/show/id/1333370","联通泸快在我不知情的情况下扣款我没有任何债务")</f>
        <v>联通泸快在我不知情的情况下扣款我没有任何债务</v>
      </c>
      <c r="C2751" s="2" t="s">
        <v>9</v>
      </c>
      <c r="D2751" s="2" t="s">
        <v>10</v>
      </c>
      <c r="E2751" s="2" t="str">
        <f>HYPERLINK("http://ts.21cn.com/tousu/show/id/1333370","http://ts.21cn.com/tousu/show/id/1333370")</f>
        <v>http://ts.21cn.com/tousu/show/id/1333370</v>
      </c>
      <c r="F2751" s="2" t="s">
        <v>11</v>
      </c>
      <c r="G2751" s="2" t="s">
        <v>38725</v>
      </c>
      <c r="H2751" s="2" t="s">
        <v>38726</v>
      </c>
    </row>
    <row r="2752" spans="1:8" ht="25.05" customHeight="1" x14ac:dyDescent="0.25">
      <c r="A2752" s="2" t="s">
        <v>8</v>
      </c>
      <c r="B2752" s="2" t="str">
        <f>HYPERLINK("http://ts.21cn.com/tousu/show/id/1333371","财付通扣银行卡钱")</f>
        <v>财付通扣银行卡钱</v>
      </c>
      <c r="C2752" s="2" t="s">
        <v>9</v>
      </c>
      <c r="D2752" s="2" t="s">
        <v>10</v>
      </c>
      <c r="E2752" s="2" t="str">
        <f>HYPERLINK("http://ts.21cn.com/tousu/show/id/1333371","http://ts.21cn.com/tousu/show/id/1333371")</f>
        <v>http://ts.21cn.com/tousu/show/id/1333371</v>
      </c>
      <c r="F2752" s="2" t="s">
        <v>11</v>
      </c>
      <c r="G2752" s="2" t="s">
        <v>38723</v>
      </c>
      <c r="H2752" s="2" t="s">
        <v>38724</v>
      </c>
    </row>
    <row r="2753" spans="1:8" ht="25.05" customHeight="1" x14ac:dyDescent="0.25">
      <c r="A2753" s="2" t="s">
        <v>8</v>
      </c>
      <c r="B2753" s="2" t="str">
        <f>HYPERLINK("http://ts.21cn.com/tousu/show/id/1333372","快递员更改收货时间")</f>
        <v>快递员更改收货时间</v>
      </c>
      <c r="C2753" s="2" t="s">
        <v>9</v>
      </c>
      <c r="D2753" s="2" t="s">
        <v>10</v>
      </c>
      <c r="E2753" s="2" t="str">
        <f>HYPERLINK("http://ts.21cn.com/tousu/show/id/1333372","http://ts.21cn.com/tousu/show/id/1333372")</f>
        <v>http://ts.21cn.com/tousu/show/id/1333372</v>
      </c>
      <c r="F2753" s="2" t="s">
        <v>11</v>
      </c>
      <c r="G2753" s="2" t="s">
        <v>38721</v>
      </c>
      <c r="H2753" s="2" t="s">
        <v>38722</v>
      </c>
    </row>
    <row r="2754" spans="1:8" ht="25.05" customHeight="1" x14ac:dyDescent="0.25">
      <c r="A2754" s="2" t="s">
        <v>8</v>
      </c>
      <c r="B2754" s="2" t="str">
        <f>HYPERLINK("http://ts.21cn.com/tousu/show/id/1333373","客服自己拍错尺寸，拼多多平台乱退款。")</f>
        <v>客服自己拍错尺寸，拼多多平台乱退款。</v>
      </c>
      <c r="C2754" s="2" t="s">
        <v>9</v>
      </c>
      <c r="D2754" s="2" t="s">
        <v>10</v>
      </c>
      <c r="E2754" s="2" t="str">
        <f>HYPERLINK("http://ts.21cn.com/tousu/show/id/1333373","http://ts.21cn.com/tousu/show/id/1333373")</f>
        <v>http://ts.21cn.com/tousu/show/id/1333373</v>
      </c>
      <c r="F2754" s="2" t="s">
        <v>11</v>
      </c>
      <c r="G2754" s="2" t="s">
        <v>38719</v>
      </c>
      <c r="H2754" s="2" t="s">
        <v>38720</v>
      </c>
    </row>
    <row r="2755" spans="1:8" ht="25.05" customHeight="1" x14ac:dyDescent="0.25">
      <c r="A2755" s="2" t="s">
        <v>8</v>
      </c>
      <c r="B2755" s="2" t="str">
        <f>HYPERLINK("http://ts.21cn.com/tousu/show/id/1333374","微贷多米贷变向砍头息")</f>
        <v>微贷多米贷变向砍头息</v>
      </c>
      <c r="C2755" s="2" t="s">
        <v>34</v>
      </c>
      <c r="D2755" s="2" t="s">
        <v>10</v>
      </c>
      <c r="E2755" s="2" t="str">
        <f>HYPERLINK("http://ts.21cn.com/tousu/show/id/1333374","http://ts.21cn.com/tousu/show/id/1333374")</f>
        <v>http://ts.21cn.com/tousu/show/id/1333374</v>
      </c>
      <c r="F2755" s="2" t="s">
        <v>11</v>
      </c>
      <c r="G2755" s="2" t="s">
        <v>38717</v>
      </c>
      <c r="H2755" s="2" t="s">
        <v>38718</v>
      </c>
    </row>
    <row r="2756" spans="1:8" ht="25.05" customHeight="1" x14ac:dyDescent="0.25">
      <c r="A2756" s="2" t="s">
        <v>8</v>
      </c>
      <c r="B2756" s="2" t="str">
        <f>HYPERLINK("http://ts.21cn.com/tousu/show/id/1333375","购分期恶意扣款！不良商家！抵制。")</f>
        <v>购分期恶意扣款！不良商家！抵制。</v>
      </c>
      <c r="C2756" s="2" t="s">
        <v>9</v>
      </c>
      <c r="D2756" s="2" t="s">
        <v>10</v>
      </c>
      <c r="E2756" s="2" t="str">
        <f>HYPERLINK("http://ts.21cn.com/tousu/show/id/1333375","http://ts.21cn.com/tousu/show/id/1333375")</f>
        <v>http://ts.21cn.com/tousu/show/id/1333375</v>
      </c>
      <c r="F2756" s="2" t="s">
        <v>11</v>
      </c>
      <c r="G2756" s="2" t="s">
        <v>38715</v>
      </c>
      <c r="H2756" s="2" t="s">
        <v>38716</v>
      </c>
    </row>
    <row r="2757" spans="1:8" ht="25.05" customHeight="1" x14ac:dyDescent="0.25">
      <c r="A2757" s="2" t="s">
        <v>8</v>
      </c>
      <c r="B2757" s="2" t="str">
        <f>HYPERLINK("http://ts.21cn.com/tousu/show/id/1333376","oyo合作酒店不让住")</f>
        <v>oyo合作酒店不让住</v>
      </c>
      <c r="C2757" s="2" t="s">
        <v>9</v>
      </c>
      <c r="D2757" s="2" t="s">
        <v>10</v>
      </c>
      <c r="E2757" s="2" t="str">
        <f>HYPERLINK("http://ts.21cn.com/tousu/show/id/1333376","http://ts.21cn.com/tousu/show/id/1333376")</f>
        <v>http://ts.21cn.com/tousu/show/id/1333376</v>
      </c>
      <c r="F2757" s="2" t="s">
        <v>11</v>
      </c>
      <c r="G2757" s="2" t="s">
        <v>38713</v>
      </c>
      <c r="H2757" s="2" t="s">
        <v>38714</v>
      </c>
    </row>
    <row r="2758" spans="1:8" ht="25.05" customHeight="1" x14ac:dyDescent="0.25">
      <c r="A2758" s="2" t="s">
        <v>8</v>
      </c>
      <c r="B2758" s="2" t="str">
        <f>HYPERLINK("http://ts.21cn.com/tousu/show/id/1333377","提现不到账")</f>
        <v>提现不到账</v>
      </c>
      <c r="C2758" s="2" t="s">
        <v>34</v>
      </c>
      <c r="D2758" s="2" t="s">
        <v>10</v>
      </c>
      <c r="E2758" s="2" t="str">
        <f>HYPERLINK("http://ts.21cn.com/tousu/show/id/1333377","http://ts.21cn.com/tousu/show/id/1333377")</f>
        <v>http://ts.21cn.com/tousu/show/id/1333377</v>
      </c>
      <c r="F2758" s="2" t="s">
        <v>11</v>
      </c>
      <c r="G2758" s="2" t="s">
        <v>38711</v>
      </c>
      <c r="H2758" s="2" t="s">
        <v>38712</v>
      </c>
    </row>
    <row r="2759" spans="1:8" ht="25.05" customHeight="1" x14ac:dyDescent="0.25">
      <c r="A2759" s="2" t="s">
        <v>8</v>
      </c>
      <c r="B2759" s="2" t="str">
        <f>HYPERLINK("http://ts.21cn.com/tousu/show/id/1333378","支付宝账号实名认证上限")</f>
        <v>支付宝账号实名认证上限</v>
      </c>
      <c r="C2759" s="2" t="s">
        <v>9</v>
      </c>
      <c r="D2759" s="2" t="s">
        <v>10</v>
      </c>
      <c r="E2759" s="2" t="str">
        <f>HYPERLINK("http://ts.21cn.com/tousu/show/id/1333378","http://ts.21cn.com/tousu/show/id/1333378")</f>
        <v>http://ts.21cn.com/tousu/show/id/1333378</v>
      </c>
      <c r="F2759" s="2" t="s">
        <v>11</v>
      </c>
      <c r="G2759" s="2" t="s">
        <v>38709</v>
      </c>
      <c r="H2759" s="2" t="s">
        <v>38710</v>
      </c>
    </row>
    <row r="2760" spans="1:8" ht="25.05" customHeight="1" x14ac:dyDescent="0.25">
      <c r="A2760" s="2" t="s">
        <v>8</v>
      </c>
      <c r="B2760" s="2" t="str">
        <f>HYPERLINK("http://ts.21cn.com/tousu/show/id/1333379","强烈要求归还购物砍头息")</f>
        <v>强烈要求归还购物砍头息</v>
      </c>
      <c r="C2760" s="2" t="s">
        <v>9</v>
      </c>
      <c r="D2760" s="2" t="s">
        <v>10</v>
      </c>
      <c r="E2760" s="2" t="str">
        <f>HYPERLINK("http://ts.21cn.com/tousu/show/id/1333379","http://ts.21cn.com/tousu/show/id/1333379")</f>
        <v>http://ts.21cn.com/tousu/show/id/1333379</v>
      </c>
      <c r="F2760" s="2" t="s">
        <v>11</v>
      </c>
      <c r="G2760" s="2" t="s">
        <v>38707</v>
      </c>
      <c r="H2760" s="2" t="s">
        <v>38708</v>
      </c>
    </row>
    <row r="2761" spans="1:8" ht="25.05" customHeight="1" x14ac:dyDescent="0.25">
      <c r="A2761" s="2" t="s">
        <v>8</v>
      </c>
      <c r="B2761" s="2" t="str">
        <f>HYPERLINK("http://ts.21cn.com/tousu/show/id/1333380","套路贷暴力催收")</f>
        <v>套路贷暴力催收</v>
      </c>
      <c r="C2761" s="2" t="s">
        <v>9</v>
      </c>
      <c r="D2761" s="2" t="s">
        <v>10</v>
      </c>
      <c r="E2761" s="2" t="str">
        <f>HYPERLINK("http://ts.21cn.com/tousu/show/id/1333380","http://ts.21cn.com/tousu/show/id/1333380")</f>
        <v>http://ts.21cn.com/tousu/show/id/1333380</v>
      </c>
      <c r="F2761" s="2" t="s">
        <v>11</v>
      </c>
      <c r="G2761" s="2" t="s">
        <v>38705</v>
      </c>
      <c r="H2761" s="2" t="s">
        <v>38706</v>
      </c>
    </row>
    <row r="2762" spans="1:8" ht="25.05" customHeight="1" x14ac:dyDescent="0.25">
      <c r="A2762" s="2" t="s">
        <v>8</v>
      </c>
      <c r="B2762" s="2" t="str">
        <f>HYPERLINK("http://ts.21cn.com/tousu/show/id/1333382","欺诈")</f>
        <v>欺诈</v>
      </c>
      <c r="C2762" s="2" t="s">
        <v>9</v>
      </c>
      <c r="D2762" s="2" t="s">
        <v>10</v>
      </c>
      <c r="E2762" s="2" t="str">
        <f>HYPERLINK("http://ts.21cn.com/tousu/show/id/1333382","http://ts.21cn.com/tousu/show/id/1333382")</f>
        <v>http://ts.21cn.com/tousu/show/id/1333382</v>
      </c>
      <c r="F2762" s="2" t="s">
        <v>11</v>
      </c>
      <c r="G2762" s="2" t="s">
        <v>38703</v>
      </c>
      <c r="H2762" s="2" t="s">
        <v>38704</v>
      </c>
    </row>
    <row r="2763" spans="1:8" ht="25.05" customHeight="1" x14ac:dyDescent="0.25">
      <c r="A2763" s="2" t="s">
        <v>8</v>
      </c>
      <c r="B2763" s="2" t="str">
        <f>HYPERLINK("http://ts.21cn.com/tousu/show/id/1333383","安逸花溢缴款扣留")</f>
        <v>安逸花溢缴款扣留</v>
      </c>
      <c r="C2763" s="2" t="s">
        <v>9</v>
      </c>
      <c r="D2763" s="2" t="s">
        <v>10</v>
      </c>
      <c r="E2763" s="2" t="str">
        <f>HYPERLINK("http://ts.21cn.com/tousu/show/id/1333383","http://ts.21cn.com/tousu/show/id/1333383")</f>
        <v>http://ts.21cn.com/tousu/show/id/1333383</v>
      </c>
      <c r="F2763" s="2" t="s">
        <v>11</v>
      </c>
      <c r="G2763" s="2" t="s">
        <v>38701</v>
      </c>
      <c r="H2763" s="2" t="s">
        <v>38702</v>
      </c>
    </row>
    <row r="2764" spans="1:8" ht="25.05" customHeight="1" x14ac:dyDescent="0.25">
      <c r="A2764" s="2" t="s">
        <v>8</v>
      </c>
      <c r="B2764" s="2" t="str">
        <f>HYPERLINK("http://ts.21cn.com/tousu/show/id/1333384","皆大欢喜app借款无法还款每日涨利息")</f>
        <v>皆大欢喜app借款无法还款每日涨利息</v>
      </c>
      <c r="C2764" s="2" t="s">
        <v>9</v>
      </c>
      <c r="D2764" s="2" t="s">
        <v>10</v>
      </c>
      <c r="E2764" s="2" t="str">
        <f>HYPERLINK("http://ts.21cn.com/tousu/show/id/1333384","http://ts.21cn.com/tousu/show/id/1333384")</f>
        <v>http://ts.21cn.com/tousu/show/id/1333384</v>
      </c>
      <c r="F2764" s="2" t="s">
        <v>11</v>
      </c>
      <c r="G2764" s="2" t="s">
        <v>38699</v>
      </c>
      <c r="H2764" s="2" t="s">
        <v>38700</v>
      </c>
    </row>
    <row r="2765" spans="1:8" ht="25.05" customHeight="1" x14ac:dyDescent="0.25">
      <c r="A2765" s="2" t="s">
        <v>8</v>
      </c>
      <c r="B2765" s="2" t="str">
        <f>HYPERLINK("http://ts.21cn.com/tousu/show/id/1333386","花薪，花呀服务号公众号国庆期间，虚假宣传，请赔偿我抽奖福利金")</f>
        <v>花薪，花呀服务号公众号国庆期间，虚假宣传，请赔偿我抽奖福利金</v>
      </c>
      <c r="C2765" s="2" t="s">
        <v>9</v>
      </c>
      <c r="D2765" s="2" t="s">
        <v>10</v>
      </c>
      <c r="E2765" s="2" t="str">
        <f>HYPERLINK("http://ts.21cn.com/tousu/show/id/1333386","http://ts.21cn.com/tousu/show/id/1333386")</f>
        <v>http://ts.21cn.com/tousu/show/id/1333386</v>
      </c>
      <c r="F2765" s="2" t="s">
        <v>11</v>
      </c>
      <c r="G2765" s="2" t="s">
        <v>38697</v>
      </c>
      <c r="H2765" s="2" t="s">
        <v>38698</v>
      </c>
    </row>
    <row r="2766" spans="1:8" ht="25.05" customHeight="1" x14ac:dyDescent="0.25">
      <c r="A2766" s="2" t="s">
        <v>8</v>
      </c>
      <c r="B2766" s="2" t="str">
        <f>HYPERLINK("http://ts.21cn.com/tousu/show/id/1333387","智行APP购票时默认购买增值服务，默认自动付款，提示不明显")</f>
        <v>智行APP购票时默认购买增值服务，默认自动付款，提示不明显</v>
      </c>
      <c r="C2766" s="2" t="s">
        <v>9</v>
      </c>
      <c r="D2766" s="2" t="s">
        <v>10</v>
      </c>
      <c r="E2766" s="2" t="str">
        <f>HYPERLINK("http://ts.21cn.com/tousu/show/id/1333387","http://ts.21cn.com/tousu/show/id/1333387")</f>
        <v>http://ts.21cn.com/tousu/show/id/1333387</v>
      </c>
      <c r="F2766" s="2" t="s">
        <v>11</v>
      </c>
      <c r="G2766" s="2" t="s">
        <v>38695</v>
      </c>
      <c r="H2766" s="2" t="s">
        <v>38696</v>
      </c>
    </row>
    <row r="2767" spans="1:8" ht="25.05" customHeight="1" x14ac:dyDescent="0.25">
      <c r="A2767" s="2" t="s">
        <v>8</v>
      </c>
      <c r="B2767" s="2" t="str">
        <f>HYPERLINK("http://ts.21cn.com/tousu/show/id/1333388","现金借款申请延期还款几天")</f>
        <v>现金借款申请延期还款几天</v>
      </c>
      <c r="C2767" s="2" t="s">
        <v>34</v>
      </c>
      <c r="D2767" s="2" t="s">
        <v>10</v>
      </c>
      <c r="E2767" s="2" t="str">
        <f>HYPERLINK("http://ts.21cn.com/tousu/show/id/1333388","http://ts.21cn.com/tousu/show/id/1333388")</f>
        <v>http://ts.21cn.com/tousu/show/id/1333388</v>
      </c>
      <c r="F2767" s="2" t="s">
        <v>11</v>
      </c>
      <c r="G2767" s="2" t="s">
        <v>38693</v>
      </c>
      <c r="H2767" s="2" t="s">
        <v>38694</v>
      </c>
    </row>
    <row r="2768" spans="1:8" ht="25.05" customHeight="1" x14ac:dyDescent="0.25">
      <c r="A2768" s="2" t="s">
        <v>8</v>
      </c>
      <c r="B2768" s="2" t="str">
        <f>HYPERLINK("http://ts.21cn.com/tousu/show/id/1333390","云闪付为非法网站提供支付通道")</f>
        <v>云闪付为非法网站提供支付通道</v>
      </c>
      <c r="C2768" s="2" t="s">
        <v>9</v>
      </c>
      <c r="D2768" s="2" t="s">
        <v>10</v>
      </c>
      <c r="E2768" s="2" t="str">
        <f>HYPERLINK("http://ts.21cn.com/tousu/show/id/1333390","http://ts.21cn.com/tousu/show/id/1333390")</f>
        <v>http://ts.21cn.com/tousu/show/id/1333390</v>
      </c>
      <c r="F2768" s="2" t="s">
        <v>11</v>
      </c>
      <c r="G2768" s="2" t="s">
        <v>38691</v>
      </c>
      <c r="H2768" s="2" t="s">
        <v>38692</v>
      </c>
    </row>
    <row r="2769" spans="1:8" ht="25.05" customHeight="1" x14ac:dyDescent="0.25">
      <c r="A2769" s="2" t="s">
        <v>8</v>
      </c>
      <c r="B2769" s="2" t="str">
        <f>HYPERLINK("http://ts.21cn.com/tousu/show/id/1333391","滴滴出行限制派单")</f>
        <v>滴滴出行限制派单</v>
      </c>
      <c r="C2769" s="2" t="s">
        <v>9</v>
      </c>
      <c r="D2769" s="2" t="s">
        <v>10</v>
      </c>
      <c r="E2769" s="2" t="str">
        <f>HYPERLINK("http://ts.21cn.com/tousu/show/id/1333391","http://ts.21cn.com/tousu/show/id/1333391")</f>
        <v>http://ts.21cn.com/tousu/show/id/1333391</v>
      </c>
      <c r="F2769" s="2" t="s">
        <v>11</v>
      </c>
      <c r="G2769" s="2" t="s">
        <v>38689</v>
      </c>
      <c r="H2769" s="2" t="s">
        <v>38690</v>
      </c>
    </row>
    <row r="2770" spans="1:8" ht="25.05" customHeight="1" x14ac:dyDescent="0.25">
      <c r="A2770" s="2" t="s">
        <v>8</v>
      </c>
      <c r="B2770" s="2" t="str">
        <f>HYPERLINK("http://ts.21cn.com/tousu/show/id/1333392","游戏误充值无法退还")</f>
        <v>游戏误充值无法退还</v>
      </c>
      <c r="C2770" s="2" t="s">
        <v>9</v>
      </c>
      <c r="D2770" s="2" t="s">
        <v>10</v>
      </c>
      <c r="E2770" s="2" t="str">
        <f>HYPERLINK("http://ts.21cn.com/tousu/show/id/1333392","http://ts.21cn.com/tousu/show/id/1333392")</f>
        <v>http://ts.21cn.com/tousu/show/id/1333392</v>
      </c>
      <c r="F2770" s="2" t="s">
        <v>11</v>
      </c>
      <c r="G2770" s="2" t="s">
        <v>38687</v>
      </c>
      <c r="H2770" s="2" t="s">
        <v>38688</v>
      </c>
    </row>
    <row r="2771" spans="1:8" ht="25.05" customHeight="1" x14ac:dyDescent="0.25">
      <c r="A2771" s="2" t="s">
        <v>8</v>
      </c>
      <c r="B2771" s="2" t="str">
        <f>HYPERLINK("http://ts.21cn.com/tousu/show/id/1333393","（特约）信诚（消费入金）无缘无故从银行卡把钱刷走了")</f>
        <v>（特约）信诚（消费入金）无缘无故从银行卡把钱刷走了</v>
      </c>
      <c r="C2771" s="2" t="s">
        <v>34</v>
      </c>
      <c r="D2771" s="2" t="s">
        <v>10</v>
      </c>
      <c r="E2771" s="2" t="str">
        <f>HYPERLINK("http://ts.21cn.com/tousu/show/id/1333393","http://ts.21cn.com/tousu/show/id/1333393")</f>
        <v>http://ts.21cn.com/tousu/show/id/1333393</v>
      </c>
      <c r="F2771" s="2" t="s">
        <v>11</v>
      </c>
      <c r="G2771" s="2" t="s">
        <v>38685</v>
      </c>
      <c r="H2771" s="2" t="s">
        <v>38686</v>
      </c>
    </row>
    <row r="2772" spans="1:8" ht="25.05" customHeight="1" x14ac:dyDescent="0.25">
      <c r="A2772" s="2" t="s">
        <v>8</v>
      </c>
      <c r="B2772" s="2" t="str">
        <f>HYPERLINK("http://ts.21cn.com/tousu/show/id/1333394","你我贷延期还款")</f>
        <v>你我贷延期还款</v>
      </c>
      <c r="C2772" s="2" t="s">
        <v>34</v>
      </c>
      <c r="D2772" s="2" t="s">
        <v>10</v>
      </c>
      <c r="E2772" s="2" t="str">
        <f>HYPERLINK("http://ts.21cn.com/tousu/show/id/1333394","http://ts.21cn.com/tousu/show/id/1333394")</f>
        <v>http://ts.21cn.com/tousu/show/id/1333394</v>
      </c>
      <c r="F2772" s="2" t="s">
        <v>11</v>
      </c>
      <c r="G2772" s="2" t="s">
        <v>38684</v>
      </c>
      <c r="H2772" s="2" t="s">
        <v>37235</v>
      </c>
    </row>
    <row r="2773" spans="1:8" ht="25.05" customHeight="1" x14ac:dyDescent="0.25">
      <c r="A2773" s="2" t="s">
        <v>8</v>
      </c>
      <c r="B2773" s="2" t="str">
        <f>HYPERLINK("http://ts.21cn.com/tousu/show/id/1333395","苏宁易购逾期两天就把我账户风控")</f>
        <v>苏宁易购逾期两天就把我账户风控</v>
      </c>
      <c r="C2773" s="2" t="s">
        <v>9</v>
      </c>
      <c r="D2773" s="2" t="s">
        <v>10</v>
      </c>
      <c r="E2773" s="2" t="str">
        <f>HYPERLINK("http://ts.21cn.com/tousu/show/id/1333395","http://ts.21cn.com/tousu/show/id/1333395")</f>
        <v>http://ts.21cn.com/tousu/show/id/1333395</v>
      </c>
      <c r="F2773" s="2" t="s">
        <v>11</v>
      </c>
      <c r="G2773" s="2" t="s">
        <v>38682</v>
      </c>
      <c r="H2773" s="2" t="s">
        <v>38683</v>
      </c>
    </row>
    <row r="2774" spans="1:8" ht="25.05" customHeight="1" x14ac:dyDescent="0.25">
      <c r="A2774" s="2" t="s">
        <v>8</v>
      </c>
      <c r="B2774" s="2" t="str">
        <f>HYPERLINK("http://ts.21cn.com/tousu/show/id/1333397","能否协商还款日日期")</f>
        <v>能否协商还款日日期</v>
      </c>
      <c r="C2774" s="2" t="s">
        <v>34</v>
      </c>
      <c r="D2774" s="2" t="s">
        <v>10</v>
      </c>
      <c r="E2774" s="2" t="str">
        <f>HYPERLINK("http://ts.21cn.com/tousu/show/id/1333397","http://ts.21cn.com/tousu/show/id/1333397")</f>
        <v>http://ts.21cn.com/tousu/show/id/1333397</v>
      </c>
      <c r="F2774" s="2" t="s">
        <v>11</v>
      </c>
      <c r="G2774" s="2" t="s">
        <v>38680</v>
      </c>
      <c r="H2774" s="2" t="s">
        <v>38681</v>
      </c>
    </row>
    <row r="2775" spans="1:8" ht="25.05" customHeight="1" x14ac:dyDescent="0.25">
      <c r="A2775" s="2" t="s">
        <v>8</v>
      </c>
      <c r="B2775" s="2" t="str">
        <f>HYPERLINK("http://ts.21cn.com/tousu/show/id/1333398","美团")</f>
        <v>美团</v>
      </c>
      <c r="C2775" s="2" t="s">
        <v>9</v>
      </c>
      <c r="D2775" s="2" t="s">
        <v>10</v>
      </c>
      <c r="E2775" s="2" t="str">
        <f>HYPERLINK("http://ts.21cn.com/tousu/show/id/1333398","http://ts.21cn.com/tousu/show/id/1333398")</f>
        <v>http://ts.21cn.com/tousu/show/id/1333398</v>
      </c>
      <c r="F2775" s="2" t="s">
        <v>11</v>
      </c>
      <c r="G2775" s="2" t="s">
        <v>38678</v>
      </c>
      <c r="H2775" s="2" t="s">
        <v>38679</v>
      </c>
    </row>
    <row r="2776" spans="1:8" ht="25.05" customHeight="1" x14ac:dyDescent="0.25">
      <c r="A2776" s="2" t="s">
        <v>8</v>
      </c>
      <c r="B2776" s="2" t="str">
        <f>HYPERLINK("http://ts.21cn.com/tousu/show/id/1333399","爱钱进旗下的钱站速金服涉嫌互联网金融欺诈")</f>
        <v>爱钱进旗下的钱站速金服涉嫌互联网金融欺诈</v>
      </c>
      <c r="C2776" s="2" t="s">
        <v>9</v>
      </c>
      <c r="D2776" s="2" t="s">
        <v>10</v>
      </c>
      <c r="E2776" s="2" t="str">
        <f>HYPERLINK("http://ts.21cn.com/tousu/show/id/1333399","http://ts.21cn.com/tousu/show/id/1333399")</f>
        <v>http://ts.21cn.com/tousu/show/id/1333399</v>
      </c>
      <c r="F2776" s="2" t="s">
        <v>11</v>
      </c>
      <c r="G2776" s="2" t="s">
        <v>38676</v>
      </c>
      <c r="H2776" s="2" t="s">
        <v>38677</v>
      </c>
    </row>
    <row r="2777" spans="1:8" ht="25.05" customHeight="1" x14ac:dyDescent="0.25">
      <c r="A2777" s="2" t="s">
        <v>8</v>
      </c>
      <c r="B2777" s="2" t="str">
        <f>HYPERLINK("http://ts.21cn.com/tousu/show/id/1333400","松紧贷暴力催收，短信威胁，骚扰通讯录")</f>
        <v>松紧贷暴力催收，短信威胁，骚扰通讯录</v>
      </c>
      <c r="C2777" s="2" t="s">
        <v>9</v>
      </c>
      <c r="D2777" s="2" t="s">
        <v>10</v>
      </c>
      <c r="E2777" s="2" t="str">
        <f>HYPERLINK("http://ts.21cn.com/tousu/show/id/1333400","http://ts.21cn.com/tousu/show/id/1333400")</f>
        <v>http://ts.21cn.com/tousu/show/id/1333400</v>
      </c>
      <c r="F2777" s="2" t="s">
        <v>11</v>
      </c>
      <c r="G2777" s="2" t="s">
        <v>38674</v>
      </c>
      <c r="H2777" s="2" t="s">
        <v>38675</v>
      </c>
    </row>
    <row r="2778" spans="1:8" ht="25.05" customHeight="1" x14ac:dyDescent="0.25">
      <c r="A2778" s="2" t="s">
        <v>8</v>
      </c>
      <c r="B2778" s="2" t="str">
        <f>HYPERLINK("http://ts.21cn.com/tousu/show/id/1333401","51金钱贷手续费太高，贷款300元12期手续费利息800多")</f>
        <v>51金钱贷手续费太高，贷款300元12期手续费利息800多</v>
      </c>
      <c r="C2778" s="2" t="s">
        <v>34</v>
      </c>
      <c r="D2778" s="2" t="s">
        <v>10</v>
      </c>
      <c r="E2778" s="2" t="str">
        <f>HYPERLINK("http://ts.21cn.com/tousu/show/id/1333401","http://ts.21cn.com/tousu/show/id/1333401")</f>
        <v>http://ts.21cn.com/tousu/show/id/1333401</v>
      </c>
      <c r="F2778" s="2" t="s">
        <v>11</v>
      </c>
      <c r="G2778" s="2" t="s">
        <v>38672</v>
      </c>
      <c r="H2778" s="2" t="s">
        <v>38673</v>
      </c>
    </row>
    <row r="2779" spans="1:8" ht="25.05" customHeight="1" x14ac:dyDescent="0.25">
      <c r="A2779" s="2" t="s">
        <v>8</v>
      </c>
      <c r="B2779" s="2" t="str">
        <f>HYPERLINK("http://ts.21cn.com/tousu/show/id/1333402","套路贷714高炮")</f>
        <v>套路贷714高炮</v>
      </c>
      <c r="C2779" s="2" t="s">
        <v>9</v>
      </c>
      <c r="D2779" s="2" t="s">
        <v>10</v>
      </c>
      <c r="E2779" s="2" t="str">
        <f>HYPERLINK("http://ts.21cn.com/tousu/show/id/1333402","http://ts.21cn.com/tousu/show/id/1333402")</f>
        <v>http://ts.21cn.com/tousu/show/id/1333402</v>
      </c>
      <c r="F2779" s="2" t="s">
        <v>11</v>
      </c>
      <c r="G2779" s="2" t="s">
        <v>38670</v>
      </c>
      <c r="H2779" s="2" t="s">
        <v>38671</v>
      </c>
    </row>
    <row r="2780" spans="1:8" ht="25.05" customHeight="1" x14ac:dyDescent="0.25">
      <c r="A2780" s="2" t="s">
        <v>8</v>
      </c>
      <c r="B2780" s="2" t="str">
        <f>HYPERLINK("http://ts.21cn.com/tousu/show/id/1333403","OPPOR9SPLUS大规模无限重启变砖")</f>
        <v>OPPOR9SPLUS大规模无限重启变砖</v>
      </c>
      <c r="C2780" s="2" t="s">
        <v>9</v>
      </c>
      <c r="D2780" s="2" t="s">
        <v>10</v>
      </c>
      <c r="E2780" s="2" t="str">
        <f>HYPERLINK("http://ts.21cn.com/tousu/show/id/1333403","http://ts.21cn.com/tousu/show/id/1333403")</f>
        <v>http://ts.21cn.com/tousu/show/id/1333403</v>
      </c>
      <c r="F2780" s="2" t="s">
        <v>11</v>
      </c>
      <c r="G2780" s="2" t="s">
        <v>38668</v>
      </c>
      <c r="H2780" s="2" t="s">
        <v>38669</v>
      </c>
    </row>
    <row r="2781" spans="1:8" ht="25.05" customHeight="1" x14ac:dyDescent="0.25">
      <c r="A2781" s="2" t="s">
        <v>8</v>
      </c>
      <c r="B2781" s="2" t="str">
        <f>HYPERLINK("http://ts.21cn.com/tousu/show/id/1333404","聚福钱包未经许可私自扣款")</f>
        <v>聚福钱包未经许可私自扣款</v>
      </c>
      <c r="C2781" s="2" t="s">
        <v>9</v>
      </c>
      <c r="D2781" s="2" t="s">
        <v>10</v>
      </c>
      <c r="E2781" s="2" t="str">
        <f>HYPERLINK("http://ts.21cn.com/tousu/show/id/1333404","http://ts.21cn.com/tousu/show/id/1333404")</f>
        <v>http://ts.21cn.com/tousu/show/id/1333404</v>
      </c>
      <c r="F2781" s="2" t="s">
        <v>11</v>
      </c>
      <c r="G2781" s="2" t="s">
        <v>38666</v>
      </c>
      <c r="H2781" s="2" t="s">
        <v>38667</v>
      </c>
    </row>
    <row r="2782" spans="1:8" ht="25.05" customHeight="1" x14ac:dyDescent="0.25">
      <c r="A2782" s="2" t="s">
        <v>8</v>
      </c>
      <c r="B2782" s="2" t="str">
        <f>HYPERLINK("http://ts.21cn.com/tousu/show/id/1333405","飞猪订错房酒店不让入住也不给退")</f>
        <v>飞猪订错房酒店不让入住也不给退</v>
      </c>
      <c r="C2782" s="2" t="s">
        <v>9</v>
      </c>
      <c r="D2782" s="2" t="s">
        <v>10</v>
      </c>
      <c r="E2782" s="2" t="str">
        <f>HYPERLINK("http://ts.21cn.com/tousu/show/id/1333405","http://ts.21cn.com/tousu/show/id/1333405")</f>
        <v>http://ts.21cn.com/tousu/show/id/1333405</v>
      </c>
      <c r="F2782" s="2" t="s">
        <v>11</v>
      </c>
      <c r="G2782" s="2" t="s">
        <v>38664</v>
      </c>
      <c r="H2782" s="2" t="s">
        <v>38665</v>
      </c>
    </row>
    <row r="2783" spans="1:8" ht="25.05" customHeight="1" x14ac:dyDescent="0.25">
      <c r="A2783" s="2" t="s">
        <v>8</v>
      </c>
      <c r="B2783" s="2" t="str">
        <f>HYPERLINK("http://ts.21cn.com/tousu/show/id/1333406","松紧贷延期还款")</f>
        <v>松紧贷延期还款</v>
      </c>
      <c r="C2783" s="2" t="s">
        <v>9</v>
      </c>
      <c r="D2783" s="2" t="s">
        <v>10</v>
      </c>
      <c r="E2783" s="2" t="str">
        <f>HYPERLINK("http://ts.21cn.com/tousu/show/id/1333406","http://ts.21cn.com/tousu/show/id/1333406")</f>
        <v>http://ts.21cn.com/tousu/show/id/1333406</v>
      </c>
      <c r="F2783" s="2" t="s">
        <v>11</v>
      </c>
      <c r="G2783" s="2" t="s">
        <v>38662</v>
      </c>
      <c r="H2783" s="2" t="s">
        <v>38663</v>
      </c>
    </row>
    <row r="2784" spans="1:8" ht="25.05" customHeight="1" x14ac:dyDescent="0.25">
      <c r="A2784" s="2" t="s">
        <v>8</v>
      </c>
      <c r="B2784" s="2" t="str">
        <f>HYPERLINK("http://ts.21cn.com/tousu/show/id/1333407","玖富高额利息")</f>
        <v>玖富高额利息</v>
      </c>
      <c r="C2784" s="2" t="s">
        <v>9</v>
      </c>
      <c r="D2784" s="2" t="s">
        <v>10</v>
      </c>
      <c r="E2784" s="2" t="str">
        <f>HYPERLINK("http://ts.21cn.com/tousu/show/id/1333407","http://ts.21cn.com/tousu/show/id/1333407")</f>
        <v>http://ts.21cn.com/tousu/show/id/1333407</v>
      </c>
      <c r="F2784" s="2" t="s">
        <v>11</v>
      </c>
      <c r="G2784" s="2" t="s">
        <v>38660</v>
      </c>
      <c r="H2784" s="2" t="s">
        <v>38661</v>
      </c>
    </row>
    <row r="2785" spans="1:8" ht="25.05" customHeight="1" x14ac:dyDescent="0.25">
      <c r="A2785" s="2" t="s">
        <v>8</v>
      </c>
      <c r="B2785" s="2" t="str">
        <f>HYPERLINK("http://ts.21cn.com/tousu/show/id/1333410","中国互联网金融协会不作为")</f>
        <v>中国互联网金融协会不作为</v>
      </c>
      <c r="C2785" s="2" t="s">
        <v>9</v>
      </c>
      <c r="D2785" s="2" t="s">
        <v>10</v>
      </c>
      <c r="E2785" s="2" t="str">
        <f>HYPERLINK("http://ts.21cn.com/tousu/show/id/1333410","http://ts.21cn.com/tousu/show/id/1333410")</f>
        <v>http://ts.21cn.com/tousu/show/id/1333410</v>
      </c>
      <c r="F2785" s="2" t="s">
        <v>11</v>
      </c>
      <c r="G2785" s="2" t="s">
        <v>38658</v>
      </c>
      <c r="H2785" s="2" t="s">
        <v>38659</v>
      </c>
    </row>
    <row r="2786" spans="1:8" ht="25.05" customHeight="1" x14ac:dyDescent="0.25">
      <c r="A2786" s="2" t="s">
        <v>8</v>
      </c>
      <c r="B2786" s="2" t="str">
        <f>HYPERLINK("http://ts.21cn.com/tousu/show/id/1333412","国美金融不给注销账户")</f>
        <v>国美金融不给注销账户</v>
      </c>
      <c r="C2786" s="2" t="s">
        <v>9</v>
      </c>
      <c r="D2786" s="2" t="s">
        <v>10</v>
      </c>
      <c r="E2786" s="2" t="str">
        <f>HYPERLINK("http://ts.21cn.com/tousu/show/id/1333412","http://ts.21cn.com/tousu/show/id/1333412")</f>
        <v>http://ts.21cn.com/tousu/show/id/1333412</v>
      </c>
      <c r="F2786" s="2" t="s">
        <v>11</v>
      </c>
      <c r="G2786" s="2" t="s">
        <v>38656</v>
      </c>
      <c r="H2786" s="2" t="s">
        <v>38657</v>
      </c>
    </row>
    <row r="2787" spans="1:8" ht="25.05" customHeight="1" x14ac:dyDescent="0.25">
      <c r="A2787" s="2" t="s">
        <v>8</v>
      </c>
      <c r="B2787" s="2" t="str">
        <f>HYPERLINK("http://ts.21cn.com/tousu/show/id/1333413","无法还款，无联系方式")</f>
        <v>无法还款，无联系方式</v>
      </c>
      <c r="C2787" s="2" t="s">
        <v>34</v>
      </c>
      <c r="D2787" s="2" t="s">
        <v>10</v>
      </c>
      <c r="E2787" s="2" t="str">
        <f>HYPERLINK("http://ts.21cn.com/tousu/show/id/1333413","http://ts.21cn.com/tousu/show/id/1333413")</f>
        <v>http://ts.21cn.com/tousu/show/id/1333413</v>
      </c>
      <c r="F2787" s="2" t="s">
        <v>11</v>
      </c>
      <c r="G2787" s="2" t="s">
        <v>38654</v>
      </c>
      <c r="H2787" s="2" t="s">
        <v>38655</v>
      </c>
    </row>
    <row r="2788" spans="1:8" ht="25.05" customHeight="1" x14ac:dyDescent="0.25">
      <c r="A2788" s="2" t="s">
        <v>8</v>
      </c>
      <c r="B2788" s="2" t="str">
        <f>HYPERLINK("http://ts.21cn.com/tousu/show/id/1333414","玖富高利贷")</f>
        <v>玖富高利贷</v>
      </c>
      <c r="C2788" s="2" t="s">
        <v>9</v>
      </c>
      <c r="D2788" s="2" t="s">
        <v>10</v>
      </c>
      <c r="E2788" s="2" t="str">
        <f>HYPERLINK("http://ts.21cn.com/tousu/show/id/1333414","http://ts.21cn.com/tousu/show/id/1333414")</f>
        <v>http://ts.21cn.com/tousu/show/id/1333414</v>
      </c>
      <c r="F2788" s="2" t="s">
        <v>11</v>
      </c>
      <c r="G2788" s="2" t="s">
        <v>38652</v>
      </c>
      <c r="H2788" s="2" t="s">
        <v>38653</v>
      </c>
    </row>
    <row r="2789" spans="1:8" ht="25.05" customHeight="1" x14ac:dyDescent="0.25">
      <c r="A2789" s="2" t="s">
        <v>8</v>
      </c>
      <c r="B2789" s="2" t="str">
        <f>HYPERLINK("http://ts.21cn.com/tousu/show/id/1333411","我要投诉敏付科技，慧金宝支付")</f>
        <v>我要投诉敏付科技，慧金宝支付</v>
      </c>
      <c r="C2789" s="2" t="s">
        <v>9</v>
      </c>
      <c r="D2789" s="2" t="s">
        <v>10</v>
      </c>
      <c r="E2789" s="2" t="str">
        <f>HYPERLINK("http://ts.21cn.com/tousu/show/id/1333411","http://ts.21cn.com/tousu/show/id/1333411")</f>
        <v>http://ts.21cn.com/tousu/show/id/1333411</v>
      </c>
      <c r="F2789" s="2" t="s">
        <v>11</v>
      </c>
      <c r="G2789" s="2" t="s">
        <v>38650</v>
      </c>
      <c r="H2789" s="2" t="s">
        <v>38651</v>
      </c>
    </row>
    <row r="2790" spans="1:8" ht="25.05" customHeight="1" x14ac:dyDescent="0.25">
      <c r="A2790" s="2" t="s">
        <v>8</v>
      </c>
      <c r="B2790" s="2" t="str">
        <f>HYPERLINK("http://ts.21cn.com/tousu/show/id/1333415","自由魔卡超级玛丽贷高利贷")</f>
        <v>自由魔卡超级玛丽贷高利贷</v>
      </c>
      <c r="C2790" s="2" t="s">
        <v>9</v>
      </c>
      <c r="D2790" s="2" t="s">
        <v>10</v>
      </c>
      <c r="E2790" s="2" t="str">
        <f>HYPERLINK("http://ts.21cn.com/tousu/show/id/1333415","http://ts.21cn.com/tousu/show/id/1333415")</f>
        <v>http://ts.21cn.com/tousu/show/id/1333415</v>
      </c>
      <c r="F2790" s="2" t="s">
        <v>11</v>
      </c>
      <c r="G2790" s="2" t="s">
        <v>38649</v>
      </c>
      <c r="H2790" s="2" t="s">
        <v>37879</v>
      </c>
    </row>
    <row r="2791" spans="1:8" ht="25.05" customHeight="1" x14ac:dyDescent="0.25">
      <c r="A2791" s="2" t="s">
        <v>8</v>
      </c>
      <c r="B2791" s="2" t="str">
        <f>HYPERLINK("http://ts.21cn.com/tousu/show/id/1333418","拼多多现金助力活动")</f>
        <v>拼多多现金助力活动</v>
      </c>
      <c r="C2791" s="2" t="s">
        <v>9</v>
      </c>
      <c r="D2791" s="2" t="s">
        <v>10</v>
      </c>
      <c r="E2791" s="2" t="str">
        <f>HYPERLINK("http://ts.21cn.com/tousu/show/id/1333418","http://ts.21cn.com/tousu/show/id/1333418")</f>
        <v>http://ts.21cn.com/tousu/show/id/1333418</v>
      </c>
      <c r="F2791" s="2" t="s">
        <v>11</v>
      </c>
      <c r="G2791" s="2" t="s">
        <v>38647</v>
      </c>
      <c r="H2791" s="2" t="s">
        <v>38648</v>
      </c>
    </row>
    <row r="2792" spans="1:8" ht="25.05" customHeight="1" x14ac:dyDescent="0.25">
      <c r="A2792" s="2" t="s">
        <v>8</v>
      </c>
      <c r="B2792" s="2" t="str">
        <f>HYPERLINK("http://ts.21cn.com/tousu/show/id/1333420","支付宝为非法赌博网站商户提供收款结算服务")</f>
        <v>支付宝为非法赌博网站商户提供收款结算服务</v>
      </c>
      <c r="C2792" s="2" t="s">
        <v>9</v>
      </c>
      <c r="D2792" s="2" t="s">
        <v>10</v>
      </c>
      <c r="E2792" s="2" t="str">
        <f>HYPERLINK("http://ts.21cn.com/tousu/show/id/1333420","http://ts.21cn.com/tousu/show/id/1333420")</f>
        <v>http://ts.21cn.com/tousu/show/id/1333420</v>
      </c>
      <c r="F2792" s="2" t="s">
        <v>11</v>
      </c>
      <c r="G2792" s="2" t="s">
        <v>38645</v>
      </c>
      <c r="H2792" s="2" t="s">
        <v>38646</v>
      </c>
    </row>
    <row r="2793" spans="1:8" ht="25.05" customHeight="1" x14ac:dyDescent="0.25">
      <c r="A2793" s="2" t="s">
        <v>8</v>
      </c>
      <c r="B2793" s="2" t="str">
        <f>HYPERLINK("http://ts.21cn.com/tousu/show/id/1333421","贷上钱诱导消费且没有产品")</f>
        <v>贷上钱诱导消费且没有产品</v>
      </c>
      <c r="C2793" s="2" t="s">
        <v>9</v>
      </c>
      <c r="D2793" s="2" t="s">
        <v>10</v>
      </c>
      <c r="E2793" s="2" t="str">
        <f>HYPERLINK("http://ts.21cn.com/tousu/show/id/1333421","http://ts.21cn.com/tousu/show/id/1333421")</f>
        <v>http://ts.21cn.com/tousu/show/id/1333421</v>
      </c>
      <c r="F2793" s="2" t="s">
        <v>11</v>
      </c>
      <c r="G2793" s="2" t="s">
        <v>38643</v>
      </c>
      <c r="H2793" s="2" t="s">
        <v>38644</v>
      </c>
    </row>
    <row r="2794" spans="1:8" ht="25.05" customHeight="1" x14ac:dyDescent="0.25">
      <c r="A2794" s="2" t="s">
        <v>8</v>
      </c>
      <c r="B2794" s="2" t="str">
        <f>HYPERLINK("http://ts.21cn.com/tousu/show/id/1333422","钱站高利贷阴阳合同")</f>
        <v>钱站高利贷阴阳合同</v>
      </c>
      <c r="C2794" s="2" t="s">
        <v>9</v>
      </c>
      <c r="D2794" s="2" t="s">
        <v>10</v>
      </c>
      <c r="E2794" s="2" t="str">
        <f>HYPERLINK("http://ts.21cn.com/tousu/show/id/1333422","http://ts.21cn.com/tousu/show/id/1333422")</f>
        <v>http://ts.21cn.com/tousu/show/id/1333422</v>
      </c>
      <c r="F2794" s="2" t="s">
        <v>11</v>
      </c>
      <c r="G2794" s="2" t="s">
        <v>38641</v>
      </c>
      <c r="H2794" s="2" t="s">
        <v>38642</v>
      </c>
    </row>
    <row r="2795" spans="1:8" ht="25.05" customHeight="1" x14ac:dyDescent="0.25">
      <c r="A2795" s="2" t="s">
        <v>8</v>
      </c>
      <c r="B2795" s="2" t="str">
        <f>HYPERLINK("http://ts.21cn.com/tousu/show/id/1333423","钱站高利贷阴阳合同")</f>
        <v>钱站高利贷阴阳合同</v>
      </c>
      <c r="C2795" s="2" t="s">
        <v>9</v>
      </c>
      <c r="D2795" s="2" t="s">
        <v>10</v>
      </c>
      <c r="E2795" s="2" t="str">
        <f>HYPERLINK("http://ts.21cn.com/tousu/show/id/1333423","http://ts.21cn.com/tousu/show/id/1333423")</f>
        <v>http://ts.21cn.com/tousu/show/id/1333423</v>
      </c>
      <c r="F2795" s="2" t="s">
        <v>11</v>
      </c>
      <c r="G2795" s="2" t="s">
        <v>38639</v>
      </c>
      <c r="H2795" s="2" t="s">
        <v>38640</v>
      </c>
    </row>
    <row r="2796" spans="1:8" ht="25.05" customHeight="1" x14ac:dyDescent="0.25">
      <c r="A2796" s="2" t="s">
        <v>8</v>
      </c>
      <c r="B2796" s="2" t="str">
        <f>HYPERLINK("http://ts.21cn.com/tousu/show/id/1333424","不经核实乱扣用户信誉积分")</f>
        <v>不经核实乱扣用户信誉积分</v>
      </c>
      <c r="C2796" s="2" t="s">
        <v>9</v>
      </c>
      <c r="D2796" s="2" t="s">
        <v>10</v>
      </c>
      <c r="E2796" s="2" t="str">
        <f>HYPERLINK("http://ts.21cn.com/tousu/show/id/1333424","http://ts.21cn.com/tousu/show/id/1333424")</f>
        <v>http://ts.21cn.com/tousu/show/id/1333424</v>
      </c>
      <c r="F2796" s="2" t="s">
        <v>11</v>
      </c>
      <c r="G2796" s="2" t="s">
        <v>38637</v>
      </c>
      <c r="H2796" s="2" t="s">
        <v>38638</v>
      </c>
    </row>
    <row r="2797" spans="1:8" ht="25.05" customHeight="1" x14ac:dyDescent="0.25">
      <c r="A2797" s="2" t="s">
        <v>8</v>
      </c>
      <c r="B2797" s="2" t="str">
        <f>HYPERLINK("http://ts.21cn.com/tousu/show/id/1333425","晚上噪音扰民")</f>
        <v>晚上噪音扰民</v>
      </c>
      <c r="C2797" s="2" t="s">
        <v>9</v>
      </c>
      <c r="D2797" s="2" t="s">
        <v>10</v>
      </c>
      <c r="E2797" s="2" t="str">
        <f>HYPERLINK("http://ts.21cn.com/tousu/show/id/1333425","http://ts.21cn.com/tousu/show/id/1333425")</f>
        <v>http://ts.21cn.com/tousu/show/id/1333425</v>
      </c>
      <c r="F2797" s="2" t="s">
        <v>11</v>
      </c>
      <c r="G2797" s="2" t="s">
        <v>38635</v>
      </c>
      <c r="H2797" s="2" t="s">
        <v>38636</v>
      </c>
    </row>
    <row r="2798" spans="1:8" ht="25.05" customHeight="1" x14ac:dyDescent="0.25">
      <c r="A2798" s="2" t="s">
        <v>8</v>
      </c>
      <c r="B2798" s="2" t="str">
        <f>HYPERLINK("http://ts.21cn.com/tousu/show/id/1333426","国美易卡不给注销账户")</f>
        <v>国美易卡不给注销账户</v>
      </c>
      <c r="C2798" s="2" t="s">
        <v>9</v>
      </c>
      <c r="D2798" s="2" t="s">
        <v>10</v>
      </c>
      <c r="E2798" s="2" t="str">
        <f>HYPERLINK("http://ts.21cn.com/tousu/show/id/1333426","http://ts.21cn.com/tousu/show/id/1333426")</f>
        <v>http://ts.21cn.com/tousu/show/id/1333426</v>
      </c>
      <c r="F2798" s="2" t="s">
        <v>11</v>
      </c>
      <c r="G2798" s="2" t="s">
        <v>38633</v>
      </c>
      <c r="H2798" s="2" t="s">
        <v>38634</v>
      </c>
    </row>
    <row r="2799" spans="1:8" ht="25.05" customHeight="1" x14ac:dyDescent="0.25">
      <c r="A2799" s="2" t="s">
        <v>8</v>
      </c>
      <c r="B2799" s="2" t="str">
        <f>HYPERLINK("http://ts.21cn.com/tousu/show/id/1333427","淘宝处置不公，小二推卸责任")</f>
        <v>淘宝处置不公，小二推卸责任</v>
      </c>
      <c r="C2799" s="2" t="s">
        <v>9</v>
      </c>
      <c r="D2799" s="2" t="s">
        <v>10</v>
      </c>
      <c r="E2799" s="2" t="str">
        <f>HYPERLINK("http://ts.21cn.com/tousu/show/id/1333427","http://ts.21cn.com/tousu/show/id/1333427")</f>
        <v>http://ts.21cn.com/tousu/show/id/1333427</v>
      </c>
      <c r="F2799" s="2" t="s">
        <v>11</v>
      </c>
      <c r="G2799" s="2" t="s">
        <v>38631</v>
      </c>
      <c r="H2799" s="2" t="s">
        <v>38632</v>
      </c>
    </row>
    <row r="2800" spans="1:8" ht="25.05" customHeight="1" x14ac:dyDescent="0.25">
      <c r="A2800" s="2" t="s">
        <v>8</v>
      </c>
      <c r="B2800" s="2" t="str">
        <f>HYPERLINK("http://ts.21cn.com/tousu/show/id/1333429","培训贷")</f>
        <v>培训贷</v>
      </c>
      <c r="C2800" s="2" t="s">
        <v>9</v>
      </c>
      <c r="D2800" s="2" t="s">
        <v>10</v>
      </c>
      <c r="E2800" s="2" t="str">
        <f>HYPERLINK("http://ts.21cn.com/tousu/show/id/1333429","http://ts.21cn.com/tousu/show/id/1333429")</f>
        <v>http://ts.21cn.com/tousu/show/id/1333429</v>
      </c>
      <c r="F2800" s="2" t="s">
        <v>11</v>
      </c>
      <c r="G2800" s="2" t="s">
        <v>38629</v>
      </c>
      <c r="H2800" s="2" t="s">
        <v>38630</v>
      </c>
    </row>
    <row r="2801" spans="1:8" ht="25.05" customHeight="1" x14ac:dyDescent="0.25">
      <c r="A2801" s="2" t="s">
        <v>8</v>
      </c>
      <c r="B2801" s="2" t="str">
        <f>HYPERLINK("http://ts.21cn.com/tousu/show/id/1333428","为什么我的卡无缘无故被扣钱")</f>
        <v>为什么我的卡无缘无故被扣钱</v>
      </c>
      <c r="C2801" s="2" t="s">
        <v>9</v>
      </c>
      <c r="D2801" s="2" t="s">
        <v>10</v>
      </c>
      <c r="E2801" s="2" t="str">
        <f>HYPERLINK("http://ts.21cn.com/tousu/show/id/1333428","http://ts.21cn.com/tousu/show/id/1333428")</f>
        <v>http://ts.21cn.com/tousu/show/id/1333428</v>
      </c>
      <c r="F2801" s="2" t="s">
        <v>11</v>
      </c>
      <c r="G2801" s="2" t="s">
        <v>38627</v>
      </c>
      <c r="H2801" s="2" t="s">
        <v>38628</v>
      </c>
    </row>
    <row r="2802" spans="1:8" ht="25.05" customHeight="1" x14ac:dyDescent="0.25">
      <c r="A2802" s="2" t="s">
        <v>8</v>
      </c>
      <c r="B2802" s="2" t="str">
        <f>HYPERLINK("http://ts.21cn.com/tousu/show/id/1333419","网赌平台谎称代购彩票平台，拼多多，支付宝为他提供充值平台")</f>
        <v>网赌平台谎称代购彩票平台，拼多多，支付宝为他提供充值平台</v>
      </c>
      <c r="C2802" s="2" t="s">
        <v>9</v>
      </c>
      <c r="D2802" s="2" t="s">
        <v>10</v>
      </c>
      <c r="E2802" s="2" t="str">
        <f>HYPERLINK("http://ts.21cn.com/tousu/show/id/1333419","http://ts.21cn.com/tousu/show/id/1333419")</f>
        <v>http://ts.21cn.com/tousu/show/id/1333419</v>
      </c>
      <c r="F2802" s="2" t="s">
        <v>11</v>
      </c>
      <c r="G2802" s="2" t="s">
        <v>38625</v>
      </c>
      <c r="H2802" s="2" t="s">
        <v>38626</v>
      </c>
    </row>
    <row r="2803" spans="1:8" ht="25.05" customHeight="1" x14ac:dyDescent="0.25">
      <c r="A2803" s="2" t="s">
        <v>8</v>
      </c>
      <c r="B2803" s="2" t="str">
        <f>HYPERLINK("http://ts.21cn.com/tousu/show/id/1333433","马上金融骚扰")</f>
        <v>马上金融骚扰</v>
      </c>
      <c r="C2803" s="2" t="s">
        <v>9</v>
      </c>
      <c r="D2803" s="2" t="s">
        <v>10</v>
      </c>
      <c r="E2803" s="2" t="str">
        <f>HYPERLINK("http://ts.21cn.com/tousu/show/id/1333433","http://ts.21cn.com/tousu/show/id/1333433")</f>
        <v>http://ts.21cn.com/tousu/show/id/1333433</v>
      </c>
      <c r="F2803" s="2" t="s">
        <v>11</v>
      </c>
      <c r="G2803" s="2" t="s">
        <v>38623</v>
      </c>
      <c r="H2803" s="2" t="s">
        <v>38624</v>
      </c>
    </row>
    <row r="2804" spans="1:8" ht="25.05" customHeight="1" x14ac:dyDescent="0.25">
      <c r="A2804" s="2" t="s">
        <v>8</v>
      </c>
      <c r="B2804" s="2" t="str">
        <f>HYPERLINK("http://ts.21cn.com/tousu/show/id/1333434","银联、建设银行为非法博彩网站提供收款结算服务")</f>
        <v>银联、建设银行为非法博彩网站提供收款结算服务</v>
      </c>
      <c r="C2804" s="2" t="s">
        <v>9</v>
      </c>
      <c r="D2804" s="2" t="s">
        <v>10</v>
      </c>
      <c r="E2804" s="2" t="str">
        <f>HYPERLINK("http://ts.21cn.com/tousu/show/id/1333434","http://ts.21cn.com/tousu/show/id/1333434")</f>
        <v>http://ts.21cn.com/tousu/show/id/1333434</v>
      </c>
      <c r="F2804" s="2" t="s">
        <v>11</v>
      </c>
      <c r="G2804" s="2" t="s">
        <v>38621</v>
      </c>
      <c r="H2804" s="2" t="s">
        <v>38622</v>
      </c>
    </row>
    <row r="2805" spans="1:8" ht="25.05" customHeight="1" x14ac:dyDescent="0.25">
      <c r="A2805" s="2" t="s">
        <v>8</v>
      </c>
      <c r="B2805" s="2" t="str">
        <f>HYPERLINK("http://ts.21cn.com/tousu/show/id/1333435","滴滴出行恶意限制派单指定派单给电瓶车")</f>
        <v>滴滴出行恶意限制派单指定派单给电瓶车</v>
      </c>
      <c r="C2805" s="2" t="s">
        <v>9</v>
      </c>
      <c r="D2805" s="2" t="s">
        <v>10</v>
      </c>
      <c r="E2805" s="2" t="str">
        <f>HYPERLINK("http://ts.21cn.com/tousu/show/id/1333435","http://ts.21cn.com/tousu/show/id/1333435")</f>
        <v>http://ts.21cn.com/tousu/show/id/1333435</v>
      </c>
      <c r="F2805" s="2" t="s">
        <v>11</v>
      </c>
      <c r="G2805" s="2" t="s">
        <v>38619</v>
      </c>
      <c r="H2805" s="2" t="s">
        <v>38620</v>
      </c>
    </row>
    <row r="2806" spans="1:8" ht="25.05" customHeight="1" x14ac:dyDescent="0.25">
      <c r="A2806" s="2" t="s">
        <v>8</v>
      </c>
      <c r="B2806" s="2" t="str">
        <f>HYPERLINK("http://ts.21cn.com/tousu/show/id/1333436","你我贷利息太高")</f>
        <v>你我贷利息太高</v>
      </c>
      <c r="C2806" s="2" t="s">
        <v>9</v>
      </c>
      <c r="D2806" s="2" t="s">
        <v>10</v>
      </c>
      <c r="E2806" s="2" t="str">
        <f>HYPERLINK("http://ts.21cn.com/tousu/show/id/1333436","http://ts.21cn.com/tousu/show/id/1333436")</f>
        <v>http://ts.21cn.com/tousu/show/id/1333436</v>
      </c>
      <c r="F2806" s="2" t="s">
        <v>11</v>
      </c>
      <c r="G2806" s="2" t="s">
        <v>38617</v>
      </c>
      <c r="H2806" s="2" t="s">
        <v>38618</v>
      </c>
    </row>
    <row r="2807" spans="1:8" ht="25.05" customHeight="1" x14ac:dyDescent="0.25">
      <c r="A2807" s="2" t="s">
        <v>8</v>
      </c>
      <c r="B2807" s="2" t="str">
        <f>HYPERLINK("http://ts.21cn.com/tousu/show/id/1333437","支付宝为714高炮提供收款服务")</f>
        <v>支付宝为714高炮提供收款服务</v>
      </c>
      <c r="C2807" s="2" t="s">
        <v>9</v>
      </c>
      <c r="D2807" s="2" t="s">
        <v>10</v>
      </c>
      <c r="E2807" s="2" t="str">
        <f>HYPERLINK("http://ts.21cn.com/tousu/show/id/1333437","http://ts.21cn.com/tousu/show/id/1333437")</f>
        <v>http://ts.21cn.com/tousu/show/id/1333437</v>
      </c>
      <c r="F2807" s="2" t="s">
        <v>11</v>
      </c>
      <c r="G2807" s="2" t="s">
        <v>38615</v>
      </c>
      <c r="H2807" s="2" t="s">
        <v>38616</v>
      </c>
    </row>
    <row r="2808" spans="1:8" ht="25.05" customHeight="1" x14ac:dyDescent="0.25">
      <c r="A2808" s="2" t="s">
        <v>8</v>
      </c>
      <c r="B2808" s="2" t="str">
        <f>HYPERLINK("http://ts.21cn.com/tousu/show/id/1333430","诱导赌博！只能输不能赢！")</f>
        <v>诱导赌博！只能输不能赢！</v>
      </c>
      <c r="C2808" s="2" t="s">
        <v>9</v>
      </c>
      <c r="D2808" s="2" t="s">
        <v>10</v>
      </c>
      <c r="E2808" s="2" t="str">
        <f>HYPERLINK("http://ts.21cn.com/tousu/show/id/1333430","http://ts.21cn.com/tousu/show/id/1333430")</f>
        <v>http://ts.21cn.com/tousu/show/id/1333430</v>
      </c>
      <c r="F2808" s="2" t="s">
        <v>11</v>
      </c>
      <c r="G2808" s="2" t="s">
        <v>38613</v>
      </c>
      <c r="H2808" s="2" t="s">
        <v>38614</v>
      </c>
    </row>
    <row r="2809" spans="1:8" ht="25.05" customHeight="1" x14ac:dyDescent="0.25">
      <c r="A2809" s="2" t="s">
        <v>8</v>
      </c>
      <c r="B2809" s="2" t="str">
        <f>HYPERLINK("http://ts.21cn.com/tousu/show/id/1333438","银码头收取费用，根本就没有帮我借到款")</f>
        <v>银码头收取费用，根本就没有帮我借到款</v>
      </c>
      <c r="C2809" s="2" t="s">
        <v>9</v>
      </c>
      <c r="D2809" s="2" t="s">
        <v>10</v>
      </c>
      <c r="E2809" s="2" t="str">
        <f>HYPERLINK("http://ts.21cn.com/tousu/show/id/1333438","http://ts.21cn.com/tousu/show/id/1333438")</f>
        <v>http://ts.21cn.com/tousu/show/id/1333438</v>
      </c>
      <c r="F2809" s="2" t="s">
        <v>11</v>
      </c>
      <c r="G2809" s="2" t="s">
        <v>38611</v>
      </c>
      <c r="H2809" s="2" t="s">
        <v>38612</v>
      </c>
    </row>
    <row r="2810" spans="1:8" ht="25.05" customHeight="1" x14ac:dyDescent="0.25">
      <c r="A2810" s="2" t="s">
        <v>8</v>
      </c>
      <c r="B2810" s="2" t="str">
        <f>HYPERLINK("http://ts.21cn.com/tousu/show/id/1333439","交通银行违背协商约定")</f>
        <v>交通银行违背协商约定</v>
      </c>
      <c r="C2810" s="2" t="s">
        <v>9</v>
      </c>
      <c r="D2810" s="2" t="s">
        <v>10</v>
      </c>
      <c r="E2810" s="2" t="str">
        <f>HYPERLINK("http://ts.21cn.com/tousu/show/id/1333439","http://ts.21cn.com/tousu/show/id/1333439")</f>
        <v>http://ts.21cn.com/tousu/show/id/1333439</v>
      </c>
      <c r="F2810" s="2" t="s">
        <v>11</v>
      </c>
      <c r="G2810" s="2" t="s">
        <v>38609</v>
      </c>
      <c r="H2810" s="2" t="s">
        <v>38610</v>
      </c>
    </row>
    <row r="2811" spans="1:8" ht="25.05" customHeight="1" x14ac:dyDescent="0.25">
      <c r="A2811" s="2" t="s">
        <v>8</v>
      </c>
      <c r="B2811" s="2" t="str">
        <f>HYPERLINK("http://ts.21cn.com/tousu/show/id/1333441","信而富退会员费迟迟不到账")</f>
        <v>信而富退会员费迟迟不到账</v>
      </c>
      <c r="C2811" s="2" t="s">
        <v>9</v>
      </c>
      <c r="D2811" s="2" t="s">
        <v>10</v>
      </c>
      <c r="E2811" s="2" t="str">
        <f>HYPERLINK("http://ts.21cn.com/tousu/show/id/1333441","http://ts.21cn.com/tousu/show/id/1333441")</f>
        <v>http://ts.21cn.com/tousu/show/id/1333441</v>
      </c>
      <c r="F2811" s="2" t="s">
        <v>11</v>
      </c>
      <c r="G2811" s="2" t="s">
        <v>38607</v>
      </c>
      <c r="H2811" s="2" t="s">
        <v>38608</v>
      </c>
    </row>
    <row r="2812" spans="1:8" ht="25.05" customHeight="1" x14ac:dyDescent="0.25">
      <c r="A2812" s="2" t="s">
        <v>8</v>
      </c>
      <c r="B2812" s="2" t="str">
        <f>HYPERLINK("http://ts.21cn.com/tousu/show/id/1333443","爱财科技爱又米高利贷暴力催收")</f>
        <v>爱财科技爱又米高利贷暴力催收</v>
      </c>
      <c r="C2812" s="2" t="s">
        <v>9</v>
      </c>
      <c r="D2812" s="2" t="s">
        <v>10</v>
      </c>
      <c r="E2812" s="2" t="str">
        <f>HYPERLINK("http://ts.21cn.com/tousu/show/id/1333443","http://ts.21cn.com/tousu/show/id/1333443")</f>
        <v>http://ts.21cn.com/tousu/show/id/1333443</v>
      </c>
      <c r="F2812" s="2" t="s">
        <v>11</v>
      </c>
      <c r="G2812" s="2" t="s">
        <v>38605</v>
      </c>
      <c r="H2812" s="2" t="s">
        <v>38606</v>
      </c>
    </row>
    <row r="2813" spans="1:8" ht="25.05" customHeight="1" x14ac:dyDescent="0.25">
      <c r="A2813" s="2" t="s">
        <v>8</v>
      </c>
      <c r="B2813" s="2" t="str">
        <f>HYPERLINK("http://ts.21cn.com/tousu/show/id/1333432","钱站高利贷阴阳合同")</f>
        <v>钱站高利贷阴阳合同</v>
      </c>
      <c r="C2813" s="2" t="s">
        <v>9</v>
      </c>
      <c r="D2813" s="2" t="s">
        <v>10</v>
      </c>
      <c r="E2813" s="2" t="str">
        <f>HYPERLINK("http://ts.21cn.com/tousu/show/id/1333432","http://ts.21cn.com/tousu/show/id/1333432")</f>
        <v>http://ts.21cn.com/tousu/show/id/1333432</v>
      </c>
      <c r="F2813" s="2" t="s">
        <v>11</v>
      </c>
      <c r="G2813" s="2" t="s">
        <v>38603</v>
      </c>
      <c r="H2813" s="2" t="s">
        <v>38604</v>
      </c>
    </row>
    <row r="2814" spans="1:8" ht="25.05" customHeight="1" x14ac:dyDescent="0.25">
      <c r="A2814" s="2" t="s">
        <v>8</v>
      </c>
      <c r="B2814" s="2" t="str">
        <f>HYPERLINK("http://ts.21cn.com/tousu/show/id/1333445","小影app自动扣费的流氓问题")</f>
        <v>小影app自动扣费的流氓问题</v>
      </c>
      <c r="C2814" s="2" t="s">
        <v>9</v>
      </c>
      <c r="D2814" s="2" t="s">
        <v>10</v>
      </c>
      <c r="E2814" s="2" t="str">
        <f>HYPERLINK("http://ts.21cn.com/tousu/show/id/1333445","http://ts.21cn.com/tousu/show/id/1333445")</f>
        <v>http://ts.21cn.com/tousu/show/id/1333445</v>
      </c>
      <c r="F2814" s="2" t="s">
        <v>11</v>
      </c>
      <c r="G2814" s="2" t="s">
        <v>38601</v>
      </c>
      <c r="H2814" s="2" t="s">
        <v>38602</v>
      </c>
    </row>
    <row r="2815" spans="1:8" ht="25.05" customHeight="1" x14ac:dyDescent="0.25">
      <c r="A2815" s="2" t="s">
        <v>8</v>
      </c>
      <c r="B2815" s="2" t="str">
        <f>HYPERLINK("http://ts.21cn.com/tousu/show/id/1333446","立即贷714高炮砍头息暴力催收，拒不协商赔偿")</f>
        <v>立即贷714高炮砍头息暴力催收，拒不协商赔偿</v>
      </c>
      <c r="C2815" s="2" t="s">
        <v>9</v>
      </c>
      <c r="D2815" s="2" t="s">
        <v>10</v>
      </c>
      <c r="E2815" s="2" t="str">
        <f>HYPERLINK("http://ts.21cn.com/tousu/show/id/1333446","http://ts.21cn.com/tousu/show/id/1333446")</f>
        <v>http://ts.21cn.com/tousu/show/id/1333446</v>
      </c>
      <c r="F2815" s="2" t="s">
        <v>11</v>
      </c>
      <c r="G2815" s="2" t="s">
        <v>38599</v>
      </c>
      <c r="H2815" s="2" t="s">
        <v>38600</v>
      </c>
    </row>
    <row r="2816" spans="1:8" ht="25.05" customHeight="1" x14ac:dyDescent="0.25">
      <c r="A2816" s="2" t="s">
        <v>8</v>
      </c>
      <c r="B2816" s="2" t="str">
        <f>HYPERLINK("http://ts.21cn.com/tousu/show/id/1333447","淘手游保单审核好几天都卡在那里不动")</f>
        <v>淘手游保单审核好几天都卡在那里不动</v>
      </c>
      <c r="C2816" s="2" t="s">
        <v>9</v>
      </c>
      <c r="D2816" s="2" t="s">
        <v>10</v>
      </c>
      <c r="E2816" s="2" t="str">
        <f>HYPERLINK("http://ts.21cn.com/tousu/show/id/1333447","http://ts.21cn.com/tousu/show/id/1333447")</f>
        <v>http://ts.21cn.com/tousu/show/id/1333447</v>
      </c>
      <c r="F2816" s="2" t="s">
        <v>11</v>
      </c>
      <c r="G2816" s="2" t="s">
        <v>38597</v>
      </c>
      <c r="H2816" s="2" t="s">
        <v>38598</v>
      </c>
    </row>
    <row r="2817" spans="1:8" ht="25.05" customHeight="1" x14ac:dyDescent="0.25">
      <c r="A2817" s="2" t="s">
        <v>8</v>
      </c>
      <c r="B2817" s="2" t="str">
        <f>HYPERLINK("http://ts.21cn.com/tousu/show/id/1333442","要求酷宝支付退款")</f>
        <v>要求酷宝支付退款</v>
      </c>
      <c r="C2817" s="2" t="s">
        <v>9</v>
      </c>
      <c r="D2817" s="2" t="s">
        <v>10</v>
      </c>
      <c r="E2817" s="2" t="str">
        <f>HYPERLINK("http://ts.21cn.com/tousu/show/id/1333442","http://ts.21cn.com/tousu/show/id/1333442")</f>
        <v>http://ts.21cn.com/tousu/show/id/1333442</v>
      </c>
      <c r="F2817" s="2" t="s">
        <v>11</v>
      </c>
      <c r="G2817" s="2" t="s">
        <v>38595</v>
      </c>
      <c r="H2817" s="2" t="s">
        <v>38596</v>
      </c>
    </row>
    <row r="2818" spans="1:8" ht="25.05" customHeight="1" x14ac:dyDescent="0.25">
      <c r="A2818" s="2" t="s">
        <v>8</v>
      </c>
      <c r="B2818" s="2" t="str">
        <f>HYPERLINK("http://ts.21cn.com/tousu/show/id/1333448","信用管家金钱保（原名存钱柜）")</f>
        <v>信用管家金钱保（原名存钱柜）</v>
      </c>
      <c r="C2818" s="2" t="s">
        <v>9</v>
      </c>
      <c r="D2818" s="2" t="s">
        <v>10</v>
      </c>
      <c r="E2818" s="2" t="str">
        <f>HYPERLINK("http://ts.21cn.com/tousu/show/id/1333448","http://ts.21cn.com/tousu/show/id/1333448")</f>
        <v>http://ts.21cn.com/tousu/show/id/1333448</v>
      </c>
      <c r="F2818" s="2" t="s">
        <v>11</v>
      </c>
      <c r="G2818" s="2" t="s">
        <v>38593</v>
      </c>
      <c r="H2818" s="2" t="s">
        <v>38594</v>
      </c>
    </row>
    <row r="2819" spans="1:8" ht="25.05" customHeight="1" x14ac:dyDescent="0.25">
      <c r="A2819" s="2" t="s">
        <v>8</v>
      </c>
      <c r="B2819" s="2" t="str">
        <f>HYPERLINK("http://ts.21cn.com/tousu/show/id/1333449","约单app霸王条款不退诚意金")</f>
        <v>约单app霸王条款不退诚意金</v>
      </c>
      <c r="C2819" s="2" t="s">
        <v>9</v>
      </c>
      <c r="D2819" s="2" t="s">
        <v>10</v>
      </c>
      <c r="E2819" s="2" t="str">
        <f>HYPERLINK("http://ts.21cn.com/tousu/show/id/1333449","http://ts.21cn.com/tousu/show/id/1333449")</f>
        <v>http://ts.21cn.com/tousu/show/id/1333449</v>
      </c>
      <c r="F2819" s="2" t="s">
        <v>11</v>
      </c>
      <c r="G2819" s="2" t="s">
        <v>38591</v>
      </c>
      <c r="H2819" s="2" t="s">
        <v>38592</v>
      </c>
    </row>
    <row r="2820" spans="1:8" ht="25.05" customHeight="1" x14ac:dyDescent="0.25">
      <c r="A2820" s="2" t="s">
        <v>8</v>
      </c>
      <c r="B2820" s="2" t="str">
        <f>HYPERLINK("http://ts.21cn.com/tousu/show/id/1333451","悦程出行卡误导办卡")</f>
        <v>悦程出行卡误导办卡</v>
      </c>
      <c r="C2820" s="2" t="s">
        <v>9</v>
      </c>
      <c r="D2820" s="2" t="s">
        <v>10</v>
      </c>
      <c r="E2820" s="2" t="str">
        <f>HYPERLINK("http://ts.21cn.com/tousu/show/id/1333451","http://ts.21cn.com/tousu/show/id/1333451")</f>
        <v>http://ts.21cn.com/tousu/show/id/1333451</v>
      </c>
      <c r="F2820" s="2" t="s">
        <v>11</v>
      </c>
      <c r="G2820" s="2" t="s">
        <v>38589</v>
      </c>
      <c r="H2820" s="2" t="s">
        <v>38590</v>
      </c>
    </row>
    <row r="2821" spans="1:8" ht="25.05" customHeight="1" x14ac:dyDescent="0.25">
      <c r="A2821" s="2" t="s">
        <v>8</v>
      </c>
      <c r="B2821" s="2" t="str">
        <f>HYPERLINK("http://ts.21cn.com/tousu/show/id/1333452","及贷放款时直接扣除所谓的保费，存在欺诈消费行为")</f>
        <v>及贷放款时直接扣除所谓的保费，存在欺诈消费行为</v>
      </c>
      <c r="C2821" s="2" t="s">
        <v>9</v>
      </c>
      <c r="D2821" s="2" t="s">
        <v>10</v>
      </c>
      <c r="E2821" s="2" t="str">
        <f>HYPERLINK("http://ts.21cn.com/tousu/show/id/1333452","http://ts.21cn.com/tousu/show/id/1333452")</f>
        <v>http://ts.21cn.com/tousu/show/id/1333452</v>
      </c>
      <c r="F2821" s="2" t="s">
        <v>11</v>
      </c>
      <c r="G2821" s="2" t="s">
        <v>38587</v>
      </c>
      <c r="H2821" s="2" t="s">
        <v>38588</v>
      </c>
    </row>
    <row r="2822" spans="1:8" ht="25.05" customHeight="1" x14ac:dyDescent="0.25">
      <c r="A2822" s="2" t="s">
        <v>8</v>
      </c>
      <c r="B2822" s="2" t="str">
        <f>HYPERLINK("http://ts.21cn.com/tousu/show/id/1333453","不要在网上哔哔赖赖，有能耐现实碰一碰")</f>
        <v>不要在网上哔哔赖赖，有能耐现实碰一碰</v>
      </c>
      <c r="C2822" s="2" t="s">
        <v>9</v>
      </c>
      <c r="D2822" s="2" t="s">
        <v>10</v>
      </c>
      <c r="E2822" s="2" t="str">
        <f>HYPERLINK("http://ts.21cn.com/tousu/show/id/1333453","http://ts.21cn.com/tousu/show/id/1333453")</f>
        <v>http://ts.21cn.com/tousu/show/id/1333453</v>
      </c>
      <c r="F2822" s="2" t="s">
        <v>11</v>
      </c>
      <c r="G2822" s="2" t="s">
        <v>38585</v>
      </c>
      <c r="H2822" s="2" t="s">
        <v>38586</v>
      </c>
    </row>
    <row r="2823" spans="1:8" ht="25.05" customHeight="1" x14ac:dyDescent="0.25">
      <c r="A2823" s="2" t="s">
        <v>8</v>
      </c>
      <c r="B2823" s="2" t="str">
        <f>HYPERLINK("http://ts.21cn.com/tousu/show/id/1333454","钱站高利贷阴阳合同")</f>
        <v>钱站高利贷阴阳合同</v>
      </c>
      <c r="C2823" s="2" t="s">
        <v>9</v>
      </c>
      <c r="D2823" s="2" t="s">
        <v>10</v>
      </c>
      <c r="E2823" s="2" t="str">
        <f>HYPERLINK("http://ts.21cn.com/tousu/show/id/1333454","http://ts.21cn.com/tousu/show/id/1333454")</f>
        <v>http://ts.21cn.com/tousu/show/id/1333454</v>
      </c>
      <c r="F2823" s="2" t="s">
        <v>11</v>
      </c>
      <c r="G2823" s="2" t="s">
        <v>38583</v>
      </c>
      <c r="H2823" s="2" t="s">
        <v>38584</v>
      </c>
    </row>
    <row r="2824" spans="1:8" ht="25.05" customHeight="1" x14ac:dyDescent="0.25">
      <c r="A2824" s="2" t="s">
        <v>8</v>
      </c>
      <c r="B2824" s="2" t="str">
        <f>HYPERLINK("http://ts.21cn.com/tousu/show/id/1333455","高息套路贷被保险")</f>
        <v>高息套路贷被保险</v>
      </c>
      <c r="C2824" s="2" t="s">
        <v>9</v>
      </c>
      <c r="D2824" s="2" t="s">
        <v>10</v>
      </c>
      <c r="E2824" s="2" t="str">
        <f>HYPERLINK("http://ts.21cn.com/tousu/show/id/1333455","http://ts.21cn.com/tousu/show/id/1333455")</f>
        <v>http://ts.21cn.com/tousu/show/id/1333455</v>
      </c>
      <c r="F2824" s="2" t="s">
        <v>11</v>
      </c>
      <c r="G2824" s="2" t="s">
        <v>38581</v>
      </c>
      <c r="H2824" s="2" t="s">
        <v>38582</v>
      </c>
    </row>
    <row r="2825" spans="1:8" ht="25.05" customHeight="1" x14ac:dyDescent="0.25">
      <c r="A2825" s="2" t="s">
        <v>8</v>
      </c>
      <c r="B2825" s="2" t="str">
        <f>HYPERLINK("http://ts.21cn.com/tousu/show/id/1333457","美团不作为，外面显示高额满减吸引顾客，点进去全是9.9折")</f>
        <v>美团不作为，外面显示高额满减吸引顾客，点进去全是9.9折</v>
      </c>
      <c r="C2825" s="2" t="s">
        <v>9</v>
      </c>
      <c r="D2825" s="2" t="s">
        <v>10</v>
      </c>
      <c r="E2825" s="2" t="str">
        <f>HYPERLINK("http://ts.21cn.com/tousu/show/id/1333457","http://ts.21cn.com/tousu/show/id/1333457")</f>
        <v>http://ts.21cn.com/tousu/show/id/1333457</v>
      </c>
      <c r="F2825" s="2" t="s">
        <v>11</v>
      </c>
      <c r="G2825" s="2" t="s">
        <v>38579</v>
      </c>
      <c r="H2825" s="2" t="s">
        <v>38580</v>
      </c>
    </row>
    <row r="2826" spans="1:8" ht="25.05" customHeight="1" x14ac:dyDescent="0.25">
      <c r="A2826" s="2" t="s">
        <v>8</v>
      </c>
      <c r="B2826" s="2" t="str">
        <f>HYPERLINK("http://ts.21cn.com/tousu/show/id/1333458","速金服高利贷，无法接受")</f>
        <v>速金服高利贷，无法接受</v>
      </c>
      <c r="C2826" s="2" t="s">
        <v>9</v>
      </c>
      <c r="D2826" s="2" t="s">
        <v>10</v>
      </c>
      <c r="E2826" s="2" t="str">
        <f>HYPERLINK("http://ts.21cn.com/tousu/show/id/1333458","http://ts.21cn.com/tousu/show/id/1333458")</f>
        <v>http://ts.21cn.com/tousu/show/id/1333458</v>
      </c>
      <c r="F2826" s="2" t="s">
        <v>11</v>
      </c>
      <c r="G2826" s="2" t="s">
        <v>38577</v>
      </c>
      <c r="H2826" s="2" t="s">
        <v>38578</v>
      </c>
    </row>
    <row r="2827" spans="1:8" ht="25.05" customHeight="1" x14ac:dyDescent="0.25">
      <c r="A2827" s="2" t="s">
        <v>8</v>
      </c>
      <c r="B2827" s="2" t="str">
        <f>HYPERLINK("http://ts.21cn.com/tousu/show/id/1333459","百付宝无故扣钱")</f>
        <v>百付宝无故扣钱</v>
      </c>
      <c r="C2827" s="2" t="s">
        <v>9</v>
      </c>
      <c r="D2827" s="2" t="s">
        <v>10</v>
      </c>
      <c r="E2827" s="2" t="str">
        <f>HYPERLINK("http://ts.21cn.com/tousu/show/id/1333459","http://ts.21cn.com/tousu/show/id/1333459")</f>
        <v>http://ts.21cn.com/tousu/show/id/1333459</v>
      </c>
      <c r="F2827" s="2" t="s">
        <v>11</v>
      </c>
      <c r="G2827" s="2" t="s">
        <v>38575</v>
      </c>
      <c r="H2827" s="2" t="s">
        <v>38576</v>
      </c>
    </row>
    <row r="2828" spans="1:8" ht="25.05" customHeight="1" x14ac:dyDescent="0.25">
      <c r="A2828" s="2" t="s">
        <v>8</v>
      </c>
      <c r="B2828" s="2" t="str">
        <f>HYPERLINK("http://ts.21cn.com/tousu/show/id/1333460","系统繁忙出票失败")</f>
        <v>系统繁忙出票失败</v>
      </c>
      <c r="C2828" s="2" t="s">
        <v>9</v>
      </c>
      <c r="D2828" s="2" t="s">
        <v>10</v>
      </c>
      <c r="E2828" s="2" t="str">
        <f>HYPERLINK("http://ts.21cn.com/tousu/show/id/1333460","http://ts.21cn.com/tousu/show/id/1333460")</f>
        <v>http://ts.21cn.com/tousu/show/id/1333460</v>
      </c>
      <c r="F2828" s="2" t="s">
        <v>11</v>
      </c>
      <c r="G2828" s="2" t="s">
        <v>38573</v>
      </c>
      <c r="H2828" s="2" t="s">
        <v>38574</v>
      </c>
    </row>
    <row r="2829" spans="1:8" ht="25.05" customHeight="1" x14ac:dyDescent="0.25">
      <c r="A2829" s="2" t="s">
        <v>8</v>
      </c>
      <c r="B2829" s="2" t="str">
        <f>HYPERLINK("http://ts.21cn.com/tousu/show/id/1333461","洋钱罐借款费用太高，乱七八糟费用加起来太可怕")</f>
        <v>洋钱罐借款费用太高，乱七八糟费用加起来太可怕</v>
      </c>
      <c r="C2829" s="2" t="s">
        <v>9</v>
      </c>
      <c r="D2829" s="2" t="s">
        <v>10</v>
      </c>
      <c r="E2829" s="2" t="str">
        <f>HYPERLINK("http://ts.21cn.com/tousu/show/id/1333461","http://ts.21cn.com/tousu/show/id/1333461")</f>
        <v>http://ts.21cn.com/tousu/show/id/1333461</v>
      </c>
      <c r="F2829" s="2" t="s">
        <v>11</v>
      </c>
      <c r="G2829" s="2" t="s">
        <v>38571</v>
      </c>
      <c r="H2829" s="2" t="s">
        <v>38572</v>
      </c>
    </row>
    <row r="2830" spans="1:8" ht="25.05" customHeight="1" x14ac:dyDescent="0.25">
      <c r="A2830" s="2" t="s">
        <v>8</v>
      </c>
      <c r="B2830" s="2" t="str">
        <f>HYPERLINK("http://ts.21cn.com/tousu/show/id/1333462","京东把客户商品带回自己家")</f>
        <v>京东把客户商品带回自己家</v>
      </c>
      <c r="C2830" s="2" t="s">
        <v>9</v>
      </c>
      <c r="D2830" s="2" t="s">
        <v>10</v>
      </c>
      <c r="E2830" s="2" t="str">
        <f>HYPERLINK("http://ts.21cn.com/tousu/show/id/1333462","http://ts.21cn.com/tousu/show/id/1333462")</f>
        <v>http://ts.21cn.com/tousu/show/id/1333462</v>
      </c>
      <c r="F2830" s="2" t="s">
        <v>11</v>
      </c>
      <c r="G2830" s="2" t="s">
        <v>38569</v>
      </c>
      <c r="H2830" s="2" t="s">
        <v>38570</v>
      </c>
    </row>
    <row r="2831" spans="1:8" ht="25.05" customHeight="1" x14ac:dyDescent="0.25">
      <c r="A2831" s="2" t="s">
        <v>8</v>
      </c>
      <c r="B2831" s="2" t="str">
        <f>HYPERLINK("http://ts.21cn.com/tousu/show/id/1333463","高利贷高炮借了3500到账2520逾期了还爆通讯录还恐吓我家人")</f>
        <v>高利贷高炮借了3500到账2520逾期了还爆通讯录还恐吓我家人</v>
      </c>
      <c r="C2831" s="2" t="s">
        <v>9</v>
      </c>
      <c r="D2831" s="2" t="s">
        <v>10</v>
      </c>
      <c r="E2831" s="2" t="str">
        <f>HYPERLINK("http://ts.21cn.com/tousu/show/id/1333463","http://ts.21cn.com/tousu/show/id/1333463")</f>
        <v>http://ts.21cn.com/tousu/show/id/1333463</v>
      </c>
      <c r="F2831" s="2" t="s">
        <v>11</v>
      </c>
      <c r="G2831" s="2" t="s">
        <v>38567</v>
      </c>
      <c r="H2831" s="2" t="s">
        <v>38568</v>
      </c>
    </row>
    <row r="2832" spans="1:8" ht="25.05" customHeight="1" x14ac:dyDescent="0.25">
      <c r="A2832" s="2" t="s">
        <v>8</v>
      </c>
      <c r="B2832" s="2" t="str">
        <f>HYPERLINK("http://ts.21cn.com/tousu/show/id/1333464","乱扣费用39")</f>
        <v>乱扣费用39</v>
      </c>
      <c r="C2832" s="2" t="s">
        <v>9</v>
      </c>
      <c r="D2832" s="2" t="s">
        <v>10</v>
      </c>
      <c r="E2832" s="2" t="str">
        <f>HYPERLINK("http://ts.21cn.com/tousu/show/id/1333464","http://ts.21cn.com/tousu/show/id/1333464")</f>
        <v>http://ts.21cn.com/tousu/show/id/1333464</v>
      </c>
      <c r="F2832" s="2" t="s">
        <v>11</v>
      </c>
      <c r="G2832" s="2" t="s">
        <v>38565</v>
      </c>
      <c r="H2832" s="2" t="s">
        <v>38566</v>
      </c>
    </row>
    <row r="2833" spans="1:8" ht="25.05" customHeight="1" x14ac:dyDescent="0.25">
      <c r="A2833" s="2" t="s">
        <v>8</v>
      </c>
      <c r="B2833" s="2" t="str">
        <f>HYPERLINK("http://ts.21cn.com/tousu/show/id/1333465","小浦优客无故扣款296元")</f>
        <v>小浦优客无故扣款296元</v>
      </c>
      <c r="C2833" s="2" t="s">
        <v>9</v>
      </c>
      <c r="D2833" s="2" t="s">
        <v>10</v>
      </c>
      <c r="E2833" s="2" t="str">
        <f>HYPERLINK("http://ts.21cn.com/tousu/show/id/1333465","http://ts.21cn.com/tousu/show/id/1333465")</f>
        <v>http://ts.21cn.com/tousu/show/id/1333465</v>
      </c>
      <c r="F2833" s="2" t="s">
        <v>11</v>
      </c>
      <c r="G2833" s="2" t="s">
        <v>38563</v>
      </c>
      <c r="H2833" s="2" t="s">
        <v>38564</v>
      </c>
    </row>
    <row r="2834" spans="1:8" ht="25.05" customHeight="1" x14ac:dyDescent="0.25">
      <c r="A2834" s="2" t="s">
        <v>8</v>
      </c>
      <c r="B2834" s="2" t="str">
        <f>HYPERLINK("http://ts.21cn.com/tousu/show/id/1333467","友缘app自动扣款")</f>
        <v>友缘app自动扣款</v>
      </c>
      <c r="C2834" s="2" t="s">
        <v>9</v>
      </c>
      <c r="D2834" s="2" t="s">
        <v>10</v>
      </c>
      <c r="E2834" s="2" t="str">
        <f>HYPERLINK("http://ts.21cn.com/tousu/show/id/1333467","http://ts.21cn.com/tousu/show/id/1333467")</f>
        <v>http://ts.21cn.com/tousu/show/id/1333467</v>
      </c>
      <c r="F2834" s="2" t="s">
        <v>11</v>
      </c>
      <c r="G2834" s="2" t="s">
        <v>38561</v>
      </c>
      <c r="H2834" s="2" t="s">
        <v>38562</v>
      </c>
    </row>
    <row r="2835" spans="1:8" ht="25.05" customHeight="1" x14ac:dyDescent="0.25">
      <c r="A2835" s="2" t="s">
        <v>8</v>
      </c>
      <c r="B2835" s="2" t="str">
        <f>HYPERLINK("http://ts.21cn.com/tousu/show/id/1333469","360借条涉嫌套路贷收取不合理费用不下款")</f>
        <v>360借条涉嫌套路贷收取不合理费用不下款</v>
      </c>
      <c r="C2835" s="2" t="s">
        <v>9</v>
      </c>
      <c r="D2835" s="2" t="s">
        <v>10</v>
      </c>
      <c r="E2835" s="2" t="str">
        <f>HYPERLINK("http://ts.21cn.com/tousu/show/id/1333469","http://ts.21cn.com/tousu/show/id/1333469")</f>
        <v>http://ts.21cn.com/tousu/show/id/1333469</v>
      </c>
      <c r="F2835" s="2" t="s">
        <v>11</v>
      </c>
      <c r="G2835" s="2" t="s">
        <v>38559</v>
      </c>
      <c r="H2835" s="2" t="s">
        <v>38560</v>
      </c>
    </row>
    <row r="2836" spans="1:8" ht="25.05" customHeight="1" x14ac:dyDescent="0.25">
      <c r="A2836" s="2" t="s">
        <v>8</v>
      </c>
      <c r="B2836" s="2" t="str">
        <f>HYPERLINK("http://ts.21cn.com/tousu/show/id/1333470","闪银哼哼贷变相砍头息")</f>
        <v>闪银哼哼贷变相砍头息</v>
      </c>
      <c r="C2836" s="2" t="s">
        <v>9</v>
      </c>
      <c r="D2836" s="2" t="s">
        <v>10</v>
      </c>
      <c r="E2836" s="2" t="str">
        <f>HYPERLINK("http://ts.21cn.com/tousu/show/id/1333470","http://ts.21cn.com/tousu/show/id/1333470")</f>
        <v>http://ts.21cn.com/tousu/show/id/1333470</v>
      </c>
      <c r="F2836" s="2" t="s">
        <v>11</v>
      </c>
      <c r="G2836" s="2" t="s">
        <v>38557</v>
      </c>
      <c r="H2836" s="2" t="s">
        <v>38558</v>
      </c>
    </row>
    <row r="2837" spans="1:8" ht="25.05" customHeight="1" x14ac:dyDescent="0.25">
      <c r="A2837" s="2" t="s">
        <v>8</v>
      </c>
      <c r="B2837" s="2" t="str">
        <f>HYPERLINK("http://ts.21cn.com/tousu/show/id/1333472","上海重信金融零用贷高利贷砍头息")</f>
        <v>上海重信金融零用贷高利贷砍头息</v>
      </c>
      <c r="C2837" s="2" t="s">
        <v>9</v>
      </c>
      <c r="D2837" s="2" t="s">
        <v>10</v>
      </c>
      <c r="E2837" s="2" t="str">
        <f>HYPERLINK("http://ts.21cn.com/tousu/show/id/1333472","http://ts.21cn.com/tousu/show/id/1333472")</f>
        <v>http://ts.21cn.com/tousu/show/id/1333472</v>
      </c>
      <c r="F2837" s="2" t="s">
        <v>11</v>
      </c>
      <c r="G2837" s="2" t="s">
        <v>38555</v>
      </c>
      <c r="H2837" s="2" t="s">
        <v>38556</v>
      </c>
    </row>
    <row r="2838" spans="1:8" ht="25.05" customHeight="1" x14ac:dyDescent="0.25">
      <c r="A2838" s="2" t="s">
        <v>8</v>
      </c>
      <c r="B2838" s="2" t="str">
        <f>HYPERLINK("http://ts.21cn.com/tousu/show/id/1333473","没办法还款")</f>
        <v>没办法还款</v>
      </c>
      <c r="C2838" s="2" t="s">
        <v>34</v>
      </c>
      <c r="D2838" s="2" t="s">
        <v>10</v>
      </c>
      <c r="E2838" s="2" t="str">
        <f>HYPERLINK("http://ts.21cn.com/tousu/show/id/1333473","http://ts.21cn.com/tousu/show/id/1333473")</f>
        <v>http://ts.21cn.com/tousu/show/id/1333473</v>
      </c>
      <c r="F2838" s="2" t="s">
        <v>11</v>
      </c>
      <c r="G2838" s="2" t="s">
        <v>38553</v>
      </c>
      <c r="H2838" s="2" t="s">
        <v>38554</v>
      </c>
    </row>
    <row r="2839" spans="1:8" ht="25.05" customHeight="1" x14ac:dyDescent="0.25">
      <c r="A2839" s="2" t="s">
        <v>8</v>
      </c>
      <c r="B2839" s="2" t="str">
        <f>HYPERLINK("http://ts.21cn.com/tousu/show/id/1333474","天天爆力骚扰天天爆通讯录")</f>
        <v>天天爆力骚扰天天爆通讯录</v>
      </c>
      <c r="C2839" s="2" t="s">
        <v>9</v>
      </c>
      <c r="D2839" s="2" t="s">
        <v>10</v>
      </c>
      <c r="E2839" s="2" t="str">
        <f>HYPERLINK("http://ts.21cn.com/tousu/show/id/1333474","http://ts.21cn.com/tousu/show/id/1333474")</f>
        <v>http://ts.21cn.com/tousu/show/id/1333474</v>
      </c>
      <c r="F2839" s="2" t="s">
        <v>11</v>
      </c>
      <c r="G2839" s="2" t="s">
        <v>38551</v>
      </c>
      <c r="H2839" s="2" t="s">
        <v>38552</v>
      </c>
    </row>
    <row r="2840" spans="1:8" ht="25.05" customHeight="1" x14ac:dyDescent="0.25">
      <c r="A2840" s="2" t="s">
        <v>8</v>
      </c>
      <c r="B2840" s="2" t="str">
        <f>HYPERLINK("http://ts.21cn.com/tousu/show/id/1333475","为赌博平台提供支付渠道")</f>
        <v>为赌博平台提供支付渠道</v>
      </c>
      <c r="C2840" s="2" t="s">
        <v>9</v>
      </c>
      <c r="D2840" s="2" t="s">
        <v>10</v>
      </c>
      <c r="E2840" s="2" t="str">
        <f>HYPERLINK("http://ts.21cn.com/tousu/show/id/1333475","http://ts.21cn.com/tousu/show/id/1333475")</f>
        <v>http://ts.21cn.com/tousu/show/id/1333475</v>
      </c>
      <c r="F2840" s="2" t="s">
        <v>11</v>
      </c>
      <c r="G2840" s="2" t="s">
        <v>38549</v>
      </c>
      <c r="H2840" s="2" t="s">
        <v>38550</v>
      </c>
    </row>
    <row r="2841" spans="1:8" ht="25.05" customHeight="1" x14ac:dyDescent="0.25">
      <c r="A2841" s="2" t="s">
        <v>8</v>
      </c>
      <c r="B2841" s="2" t="str">
        <f>HYPERLINK("http://ts.21cn.com/tousu/show/id/1333476","乾管家零用贷高利贷")</f>
        <v>乾管家零用贷高利贷</v>
      </c>
      <c r="C2841" s="2" t="s">
        <v>9</v>
      </c>
      <c r="D2841" s="2" t="s">
        <v>10</v>
      </c>
      <c r="E2841" s="2" t="str">
        <f>HYPERLINK("http://ts.21cn.com/tousu/show/id/1333476","http://ts.21cn.com/tousu/show/id/1333476")</f>
        <v>http://ts.21cn.com/tousu/show/id/1333476</v>
      </c>
      <c r="F2841" s="2" t="s">
        <v>11</v>
      </c>
      <c r="G2841" s="2" t="s">
        <v>38547</v>
      </c>
      <c r="H2841" s="2" t="s">
        <v>38548</v>
      </c>
    </row>
    <row r="2842" spans="1:8" ht="25.05" customHeight="1" x14ac:dyDescent="0.25">
      <c r="A2842" s="2" t="s">
        <v>8</v>
      </c>
      <c r="B2842" s="2" t="str">
        <f>HYPERLINK("http://ts.21cn.com/tousu/show/id/1333477","砍头息高额利息")</f>
        <v>砍头息高额利息</v>
      </c>
      <c r="C2842" s="2" t="s">
        <v>9</v>
      </c>
      <c r="D2842" s="2" t="s">
        <v>10</v>
      </c>
      <c r="E2842" s="2" t="str">
        <f>HYPERLINK("http://ts.21cn.com/tousu/show/id/1333477","http://ts.21cn.com/tousu/show/id/1333477")</f>
        <v>http://ts.21cn.com/tousu/show/id/1333477</v>
      </c>
      <c r="F2842" s="2" t="s">
        <v>11</v>
      </c>
      <c r="G2842" s="2" t="s">
        <v>38545</v>
      </c>
      <c r="H2842" s="2" t="s">
        <v>38546</v>
      </c>
    </row>
    <row r="2843" spans="1:8" ht="25.05" customHeight="1" x14ac:dyDescent="0.25">
      <c r="A2843" s="2" t="s">
        <v>8</v>
      </c>
      <c r="B2843" s="2" t="str">
        <f>HYPERLINK("http://ts.21cn.com/tousu/show/id/1333480","高利贷")</f>
        <v>高利贷</v>
      </c>
      <c r="C2843" s="2" t="s">
        <v>9</v>
      </c>
      <c r="D2843" s="2" t="s">
        <v>10</v>
      </c>
      <c r="E2843" s="2" t="str">
        <f>HYPERLINK("http://ts.21cn.com/tousu/show/id/1333480","http://ts.21cn.com/tousu/show/id/1333480")</f>
        <v>http://ts.21cn.com/tousu/show/id/1333480</v>
      </c>
      <c r="F2843" s="2" t="s">
        <v>11</v>
      </c>
      <c r="G2843" s="2" t="s">
        <v>38543</v>
      </c>
      <c r="H2843" s="2" t="s">
        <v>38544</v>
      </c>
    </row>
    <row r="2844" spans="1:8" ht="25.05" customHeight="1" x14ac:dyDescent="0.25">
      <c r="A2844" s="2" t="s">
        <v>8</v>
      </c>
      <c r="B2844" s="2" t="str">
        <f>HYPERLINK("http://ts.21cn.com/tousu/show/id/1333482","旺卡猫私自扣款")</f>
        <v>旺卡猫私自扣款</v>
      </c>
      <c r="C2844" s="2" t="s">
        <v>9</v>
      </c>
      <c r="D2844" s="2" t="s">
        <v>10</v>
      </c>
      <c r="E2844" s="2" t="str">
        <f>HYPERLINK("http://ts.21cn.com/tousu/show/id/1333482","http://ts.21cn.com/tousu/show/id/1333482")</f>
        <v>http://ts.21cn.com/tousu/show/id/1333482</v>
      </c>
      <c r="F2844" s="2" t="s">
        <v>11</v>
      </c>
      <c r="G2844" s="2" t="s">
        <v>38541</v>
      </c>
      <c r="H2844" s="2" t="s">
        <v>38542</v>
      </c>
    </row>
    <row r="2845" spans="1:8" ht="25.05" customHeight="1" x14ac:dyDescent="0.25">
      <c r="A2845" s="2" t="s">
        <v>8</v>
      </c>
      <c r="B2845" s="2" t="str">
        <f>HYPERLINK("http://ts.21cn.com/tousu/show/id/1333484","来分期")</f>
        <v>来分期</v>
      </c>
      <c r="C2845" s="2" t="s">
        <v>9</v>
      </c>
      <c r="D2845" s="2" t="s">
        <v>10</v>
      </c>
      <c r="E2845" s="2" t="str">
        <f>HYPERLINK("http://ts.21cn.com/tousu/show/id/1333484","http://ts.21cn.com/tousu/show/id/1333484")</f>
        <v>http://ts.21cn.com/tousu/show/id/1333484</v>
      </c>
      <c r="F2845" s="2" t="s">
        <v>11</v>
      </c>
      <c r="G2845" s="2" t="s">
        <v>38539</v>
      </c>
      <c r="H2845" s="2" t="s">
        <v>38540</v>
      </c>
    </row>
    <row r="2846" spans="1:8" ht="25.05" customHeight="1" x14ac:dyDescent="0.25">
      <c r="A2846" s="2" t="s">
        <v>8</v>
      </c>
      <c r="B2846" s="2" t="str">
        <f>HYPERLINK("http://ts.21cn.com/tousu/show/id/1333485","服务态度差")</f>
        <v>服务态度差</v>
      </c>
      <c r="C2846" s="2" t="s">
        <v>9</v>
      </c>
      <c r="D2846" s="2" t="s">
        <v>10</v>
      </c>
      <c r="E2846" s="2" t="str">
        <f>HYPERLINK("http://ts.21cn.com/tousu/show/id/1333485","http://ts.21cn.com/tousu/show/id/1333485")</f>
        <v>http://ts.21cn.com/tousu/show/id/1333485</v>
      </c>
      <c r="F2846" s="2" t="s">
        <v>11</v>
      </c>
      <c r="G2846" s="2" t="s">
        <v>38537</v>
      </c>
      <c r="H2846" s="2" t="s">
        <v>38538</v>
      </c>
    </row>
    <row r="2847" spans="1:8" ht="25.05" customHeight="1" x14ac:dyDescent="0.25">
      <c r="A2847" s="2" t="s">
        <v>8</v>
      </c>
      <c r="B2847" s="2" t="str">
        <f>HYPERLINK("http://ts.21cn.com/tousu/show/id/1260598","网约双证车辆接不了单")</f>
        <v>网约双证车辆接不了单</v>
      </c>
      <c r="C2847" s="2" t="s">
        <v>9</v>
      </c>
      <c r="D2847" s="2" t="s">
        <v>10</v>
      </c>
      <c r="E2847" s="2" t="str">
        <f>HYPERLINK("http://ts.21cn.com/tousu/show/id/1260598","http://ts.21cn.com/tousu/show/id/1260598")</f>
        <v>http://ts.21cn.com/tousu/show/id/1260598</v>
      </c>
      <c r="F2847" s="2" t="s">
        <v>11</v>
      </c>
      <c r="G2847" s="2" t="s">
        <v>38535</v>
      </c>
      <c r="H2847" s="2" t="s">
        <v>38536</v>
      </c>
    </row>
    <row r="2848" spans="1:8" ht="25.05" customHeight="1" x14ac:dyDescent="0.25">
      <c r="A2848" s="2" t="s">
        <v>8</v>
      </c>
      <c r="B2848" s="2" t="str">
        <f>HYPERLINK("http://ts.21cn.com/tousu/show/id/1333481","钱站高利贷阴阳合同")</f>
        <v>钱站高利贷阴阳合同</v>
      </c>
      <c r="C2848" s="2" t="s">
        <v>9</v>
      </c>
      <c r="D2848" s="2" t="s">
        <v>10</v>
      </c>
      <c r="E2848" s="2" t="str">
        <f>HYPERLINK("http://ts.21cn.com/tousu/show/id/1333481","http://ts.21cn.com/tousu/show/id/1333481")</f>
        <v>http://ts.21cn.com/tousu/show/id/1333481</v>
      </c>
      <c r="F2848" s="2" t="s">
        <v>11</v>
      </c>
      <c r="G2848" s="2" t="s">
        <v>38533</v>
      </c>
      <c r="H2848" s="2" t="s">
        <v>38534</v>
      </c>
    </row>
    <row r="2849" spans="1:8" ht="25.05" customHeight="1" x14ac:dyDescent="0.25">
      <c r="A2849" s="2" t="s">
        <v>8</v>
      </c>
      <c r="B2849" s="2" t="str">
        <f>HYPERLINK("http://ts.21cn.com/tousu/show/id/1333486","白条分期私自扣我卡里269元，按他们的要求还各种理由不退费")</f>
        <v>白条分期私自扣我卡里269元，按他们的要求还各种理由不退费</v>
      </c>
      <c r="C2849" s="2" t="s">
        <v>9</v>
      </c>
      <c r="D2849" s="2" t="s">
        <v>10</v>
      </c>
      <c r="E2849" s="2" t="str">
        <f>HYPERLINK("http://ts.21cn.com/tousu/show/id/1333486","http://ts.21cn.com/tousu/show/id/1333486")</f>
        <v>http://ts.21cn.com/tousu/show/id/1333486</v>
      </c>
      <c r="F2849" s="2" t="s">
        <v>11</v>
      </c>
      <c r="G2849" s="2" t="s">
        <v>38531</v>
      </c>
      <c r="H2849" s="2" t="s">
        <v>38532</v>
      </c>
    </row>
    <row r="2850" spans="1:8" ht="25.05" customHeight="1" x14ac:dyDescent="0.25">
      <c r="A2850" s="2" t="s">
        <v>8</v>
      </c>
      <c r="B2850" s="2" t="str">
        <f>HYPERLINK("http://ts.21cn.com/tousu/show/id/1333487","安逸花私自购买保险，扣取灵活还款服务费")</f>
        <v>安逸花私自购买保险，扣取灵活还款服务费</v>
      </c>
      <c r="C2850" s="2" t="s">
        <v>9</v>
      </c>
      <c r="D2850" s="2" t="s">
        <v>10</v>
      </c>
      <c r="E2850" s="2" t="str">
        <f>HYPERLINK("http://ts.21cn.com/tousu/show/id/1333487","http://ts.21cn.com/tousu/show/id/1333487")</f>
        <v>http://ts.21cn.com/tousu/show/id/1333487</v>
      </c>
      <c r="F2850" s="2" t="s">
        <v>11</v>
      </c>
      <c r="G2850" s="2" t="s">
        <v>38529</v>
      </c>
      <c r="H2850" s="2" t="s">
        <v>38530</v>
      </c>
    </row>
    <row r="2851" spans="1:8" ht="25.05" customHeight="1" x14ac:dyDescent="0.25">
      <c r="A2851" s="2" t="s">
        <v>8</v>
      </c>
      <c r="B2851" s="2" t="str">
        <f>HYPERLINK("http://ts.21cn.com/tousu/show/id/1333488","汇潮支付蜜瓜钱包")</f>
        <v>汇潮支付蜜瓜钱包</v>
      </c>
      <c r="C2851" s="2" t="s">
        <v>9</v>
      </c>
      <c r="D2851" s="2" t="s">
        <v>10</v>
      </c>
      <c r="E2851" s="2" t="str">
        <f>HYPERLINK("http://ts.21cn.com/tousu/show/id/1333488","http://ts.21cn.com/tousu/show/id/1333488")</f>
        <v>http://ts.21cn.com/tousu/show/id/1333488</v>
      </c>
      <c r="F2851" s="2" t="s">
        <v>11</v>
      </c>
      <c r="G2851" s="2" t="s">
        <v>38527</v>
      </c>
      <c r="H2851" s="2" t="s">
        <v>38528</v>
      </c>
    </row>
    <row r="2852" spans="1:8" ht="25.05" customHeight="1" x14ac:dyDescent="0.25">
      <c r="A2852" s="2" t="s">
        <v>8</v>
      </c>
      <c r="B2852" s="2" t="str">
        <f>HYPERLINK("http://ts.21cn.com/tousu/show/id/1333489","软件不合理，被人恶意打标，")</f>
        <v>软件不合理，被人恶意打标，</v>
      </c>
      <c r="C2852" s="2" t="s">
        <v>9</v>
      </c>
      <c r="D2852" s="2" t="s">
        <v>10</v>
      </c>
      <c r="E2852" s="2" t="str">
        <f>HYPERLINK("http://ts.21cn.com/tousu/show/id/1333489","http://ts.21cn.com/tousu/show/id/1333489")</f>
        <v>http://ts.21cn.com/tousu/show/id/1333489</v>
      </c>
      <c r="F2852" s="2" t="s">
        <v>11</v>
      </c>
      <c r="G2852" s="2" t="s">
        <v>38525</v>
      </c>
      <c r="H2852" s="2" t="s">
        <v>38526</v>
      </c>
    </row>
    <row r="2853" spans="1:8" ht="25.05" customHeight="1" x14ac:dyDescent="0.25">
      <c r="A2853" s="2" t="s">
        <v>8</v>
      </c>
      <c r="B2853" s="2" t="str">
        <f>HYPERLINK("http://ts.21cn.com/tousu/show/id/1333490","好分期")</f>
        <v>好分期</v>
      </c>
      <c r="C2853" s="2" t="s">
        <v>34</v>
      </c>
      <c r="D2853" s="2" t="s">
        <v>10</v>
      </c>
      <c r="E2853" s="2" t="str">
        <f>HYPERLINK("http://ts.21cn.com/tousu/show/id/1333490","http://ts.21cn.com/tousu/show/id/1333490")</f>
        <v>http://ts.21cn.com/tousu/show/id/1333490</v>
      </c>
      <c r="F2853" s="2" t="s">
        <v>11</v>
      </c>
      <c r="G2853" s="2" t="s">
        <v>38523</v>
      </c>
      <c r="H2853" s="2" t="s">
        <v>38524</v>
      </c>
    </row>
    <row r="2854" spans="1:8" ht="25.05" customHeight="1" x14ac:dyDescent="0.25">
      <c r="A2854" s="2" t="s">
        <v>8</v>
      </c>
      <c r="B2854" s="2" t="str">
        <f>HYPERLINK("http://ts.21cn.com/tousu/show/id/1333491","馒头借钱恶意扣款")</f>
        <v>馒头借钱恶意扣款</v>
      </c>
      <c r="C2854" s="2" t="s">
        <v>9</v>
      </c>
      <c r="D2854" s="2" t="s">
        <v>10</v>
      </c>
      <c r="E2854" s="2" t="str">
        <f>HYPERLINK("http://ts.21cn.com/tousu/show/id/1333491","http://ts.21cn.com/tousu/show/id/1333491")</f>
        <v>http://ts.21cn.com/tousu/show/id/1333491</v>
      </c>
      <c r="F2854" s="2" t="s">
        <v>11</v>
      </c>
      <c r="G2854" s="2" t="s">
        <v>38521</v>
      </c>
      <c r="H2854" s="2" t="s">
        <v>38522</v>
      </c>
    </row>
    <row r="2855" spans="1:8" ht="25.05" customHeight="1" x14ac:dyDescent="0.25">
      <c r="A2855" s="2" t="s">
        <v>8</v>
      </c>
      <c r="B2855" s="2" t="str">
        <f>HYPERLINK("http://ts.21cn.com/tousu/show/id/1333492","百事普惠通过通联支付平台恶意扣款")</f>
        <v>百事普惠通过通联支付平台恶意扣款</v>
      </c>
      <c r="C2855" s="2" t="s">
        <v>9</v>
      </c>
      <c r="D2855" s="2" t="s">
        <v>10</v>
      </c>
      <c r="E2855" s="2" t="str">
        <f>HYPERLINK("http://ts.21cn.com/tousu/show/id/1333492","http://ts.21cn.com/tousu/show/id/1333492")</f>
        <v>http://ts.21cn.com/tousu/show/id/1333492</v>
      </c>
      <c r="F2855" s="2" t="s">
        <v>11</v>
      </c>
      <c r="G2855" s="2" t="s">
        <v>38519</v>
      </c>
      <c r="H2855" s="2" t="s">
        <v>38520</v>
      </c>
    </row>
    <row r="2856" spans="1:8" ht="25.05" customHeight="1" x14ac:dyDescent="0.25">
      <c r="A2856" s="2" t="s">
        <v>8</v>
      </c>
      <c r="B2856" s="2" t="str">
        <f>HYPERLINK("http://ts.21cn.com/tousu/show/id/1333493","我来贷系统问题无法还款，开始骚扰")</f>
        <v>我来贷系统问题无法还款，开始骚扰</v>
      </c>
      <c r="C2856" s="2" t="s">
        <v>9</v>
      </c>
      <c r="D2856" s="2" t="s">
        <v>10</v>
      </c>
      <c r="E2856" s="2" t="str">
        <f>HYPERLINK("http://ts.21cn.com/tousu/show/id/1333493","http://ts.21cn.com/tousu/show/id/1333493")</f>
        <v>http://ts.21cn.com/tousu/show/id/1333493</v>
      </c>
      <c r="F2856" s="2" t="s">
        <v>11</v>
      </c>
      <c r="G2856" s="2" t="s">
        <v>38517</v>
      </c>
      <c r="H2856" s="2" t="s">
        <v>38518</v>
      </c>
    </row>
    <row r="2857" spans="1:8" ht="25.05" customHeight="1" x14ac:dyDescent="0.25">
      <c r="A2857" s="2" t="s">
        <v>8</v>
      </c>
      <c r="B2857" s="2" t="str">
        <f>HYPERLINK("http://ts.21cn.com/tousu/show/id/1333494","首汽疑似乱扣司机血汗钱")</f>
        <v>首汽疑似乱扣司机血汗钱</v>
      </c>
      <c r="C2857" s="2" t="s">
        <v>9</v>
      </c>
      <c r="D2857" s="2" t="s">
        <v>10</v>
      </c>
      <c r="E2857" s="2" t="str">
        <f>HYPERLINK("http://ts.21cn.com/tousu/show/id/1333494","http://ts.21cn.com/tousu/show/id/1333494")</f>
        <v>http://ts.21cn.com/tousu/show/id/1333494</v>
      </c>
      <c r="F2857" s="2" t="s">
        <v>11</v>
      </c>
      <c r="G2857" s="2" t="s">
        <v>38515</v>
      </c>
      <c r="H2857" s="2" t="s">
        <v>38516</v>
      </c>
    </row>
    <row r="2858" spans="1:8" ht="25.05" customHeight="1" x14ac:dyDescent="0.25">
      <c r="A2858" s="2" t="s">
        <v>8</v>
      </c>
      <c r="B2858" s="2" t="str">
        <f>HYPERLINK("http://ts.21cn.com/tousu/show/id/1333495","退还购物砍头息")</f>
        <v>退还购物砍头息</v>
      </c>
      <c r="C2858" s="2" t="s">
        <v>9</v>
      </c>
      <c r="D2858" s="2" t="s">
        <v>10</v>
      </c>
      <c r="E2858" s="2" t="str">
        <f>HYPERLINK("http://ts.21cn.com/tousu/show/id/1333495","http://ts.21cn.com/tousu/show/id/1333495")</f>
        <v>http://ts.21cn.com/tousu/show/id/1333495</v>
      </c>
      <c r="F2858" s="2" t="s">
        <v>11</v>
      </c>
      <c r="G2858" s="2" t="s">
        <v>38513</v>
      </c>
      <c r="H2858" s="2" t="s">
        <v>38514</v>
      </c>
    </row>
    <row r="2859" spans="1:8" ht="25.05" customHeight="1" x14ac:dyDescent="0.25">
      <c r="A2859" s="2" t="s">
        <v>8</v>
      </c>
      <c r="B2859" s="2" t="str">
        <f>HYPERLINK("http://ts.21cn.com/tousu/show/id/1333496","平安普惠套路贷，带款需要交299还不给下款，已经无故扣款我600多了。退款根本就退不了，很多人都被套路了！")</f>
        <v>平安普惠套路贷，带款需要交299还不给下款，已经无故扣款我600多了。退款根本就退不了，很多人都被套路了！</v>
      </c>
      <c r="C2859" s="2" t="s">
        <v>34</v>
      </c>
      <c r="D2859" s="2" t="s">
        <v>10</v>
      </c>
      <c r="E2859" s="2" t="str">
        <f>HYPERLINK("http://ts.21cn.com/tousu/show/id/1333496","http://ts.21cn.com/tousu/show/id/1333496")</f>
        <v>http://ts.21cn.com/tousu/show/id/1333496</v>
      </c>
      <c r="F2859" s="2" t="s">
        <v>11</v>
      </c>
      <c r="G2859" s="2" t="s">
        <v>38511</v>
      </c>
      <c r="H2859" s="2" t="s">
        <v>38512</v>
      </c>
    </row>
    <row r="2860" spans="1:8" ht="25.05" customHeight="1" x14ac:dyDescent="0.25">
      <c r="A2860" s="2" t="s">
        <v>8</v>
      </c>
      <c r="B2860" s="2" t="str">
        <f>HYPERLINK("http://ts.21cn.com/tousu/show/id/1333497","同程旅游借款强制购买会员服务")</f>
        <v>同程旅游借款强制购买会员服务</v>
      </c>
      <c r="C2860" s="2" t="s">
        <v>9</v>
      </c>
      <c r="D2860" s="2" t="s">
        <v>10</v>
      </c>
      <c r="E2860" s="2" t="str">
        <f>HYPERLINK("http://ts.21cn.com/tousu/show/id/1333497","http://ts.21cn.com/tousu/show/id/1333497")</f>
        <v>http://ts.21cn.com/tousu/show/id/1333497</v>
      </c>
      <c r="F2860" s="2" t="s">
        <v>11</v>
      </c>
      <c r="G2860" s="2" t="s">
        <v>38509</v>
      </c>
      <c r="H2860" s="2" t="s">
        <v>38510</v>
      </c>
    </row>
    <row r="2861" spans="1:8" ht="25.05" customHeight="1" x14ac:dyDescent="0.25">
      <c r="A2861" s="2" t="s">
        <v>8</v>
      </c>
      <c r="B2861" s="2" t="str">
        <f>HYPERLINK("http://ts.21cn.com/tousu/show/id/1333498","支付宝推脱责任")</f>
        <v>支付宝推脱责任</v>
      </c>
      <c r="C2861" s="2" t="s">
        <v>9</v>
      </c>
      <c r="D2861" s="2" t="s">
        <v>10</v>
      </c>
      <c r="E2861" s="2" t="str">
        <f>HYPERLINK("http://ts.21cn.com/tousu/show/id/1333498","http://ts.21cn.com/tousu/show/id/1333498")</f>
        <v>http://ts.21cn.com/tousu/show/id/1333498</v>
      </c>
      <c r="F2861" s="2" t="s">
        <v>11</v>
      </c>
      <c r="G2861" s="2" t="s">
        <v>38507</v>
      </c>
      <c r="H2861" s="2" t="s">
        <v>38508</v>
      </c>
    </row>
    <row r="2862" spans="1:8" ht="25.05" customHeight="1" x14ac:dyDescent="0.25">
      <c r="A2862" s="2" t="s">
        <v>8</v>
      </c>
      <c r="B2862" s="2" t="str">
        <f>HYPERLINK("http://ts.21cn.com/tousu/show/id/1333499","易宝支付为非法高利贷平台蓝莓金服提供扣款渠道")</f>
        <v>易宝支付为非法高利贷平台蓝莓金服提供扣款渠道</v>
      </c>
      <c r="C2862" s="2" t="s">
        <v>9</v>
      </c>
      <c r="D2862" s="2" t="s">
        <v>10</v>
      </c>
      <c r="E2862" s="2" t="str">
        <f>HYPERLINK("http://ts.21cn.com/tousu/show/id/1333499","http://ts.21cn.com/tousu/show/id/1333499")</f>
        <v>http://ts.21cn.com/tousu/show/id/1333499</v>
      </c>
      <c r="F2862" s="2" t="s">
        <v>11</v>
      </c>
      <c r="G2862" s="2" t="s">
        <v>38505</v>
      </c>
      <c r="H2862" s="2" t="s">
        <v>38506</v>
      </c>
    </row>
    <row r="2863" spans="1:8" ht="25.05" customHeight="1" x14ac:dyDescent="0.25">
      <c r="A2863" s="2" t="s">
        <v>8</v>
      </c>
      <c r="B2863" s="2" t="str">
        <f>HYPERLINK("http://ts.21cn.com/tousu/show/id/1333500","高利贷！套路贷！暴力催收")</f>
        <v>高利贷！套路贷！暴力催收</v>
      </c>
      <c r="C2863" s="2" t="s">
        <v>9</v>
      </c>
      <c r="D2863" s="2" t="s">
        <v>10</v>
      </c>
      <c r="E2863" s="2" t="str">
        <f>HYPERLINK("http://ts.21cn.com/tousu/show/id/1333500","http://ts.21cn.com/tousu/show/id/1333500")</f>
        <v>http://ts.21cn.com/tousu/show/id/1333500</v>
      </c>
      <c r="F2863" s="2" t="s">
        <v>11</v>
      </c>
      <c r="G2863" s="2" t="s">
        <v>38503</v>
      </c>
      <c r="H2863" s="2" t="s">
        <v>38504</v>
      </c>
    </row>
    <row r="2864" spans="1:8" ht="25.05" customHeight="1" x14ac:dyDescent="0.25">
      <c r="A2864" s="2" t="s">
        <v>8</v>
      </c>
      <c r="B2864" s="2" t="str">
        <f>HYPERLINK("http://ts.21cn.com/tousu/show/id/1333501","中原消费金融省呗")</f>
        <v>中原消费金融省呗</v>
      </c>
      <c r="C2864" s="2" t="s">
        <v>9</v>
      </c>
      <c r="D2864" s="2" t="s">
        <v>10</v>
      </c>
      <c r="E2864" s="2" t="str">
        <f>HYPERLINK("http://ts.21cn.com/tousu/show/id/1333501","http://ts.21cn.com/tousu/show/id/1333501")</f>
        <v>http://ts.21cn.com/tousu/show/id/1333501</v>
      </c>
      <c r="F2864" s="2" t="s">
        <v>11</v>
      </c>
      <c r="G2864" s="2" t="s">
        <v>38501</v>
      </c>
      <c r="H2864" s="2" t="s">
        <v>38502</v>
      </c>
    </row>
    <row r="2865" spans="1:8" ht="25.05" customHeight="1" x14ac:dyDescent="0.25">
      <c r="A2865" s="2" t="s">
        <v>8</v>
      </c>
      <c r="B2865" s="2" t="str">
        <f>HYPERLINK("http://ts.21cn.com/tousu/show/id/1333502","逾期费特别高！！")</f>
        <v>逾期费特别高！！</v>
      </c>
      <c r="C2865" s="2" t="s">
        <v>9</v>
      </c>
      <c r="D2865" s="2" t="s">
        <v>10</v>
      </c>
      <c r="E2865" s="2" t="str">
        <f>HYPERLINK("http://ts.21cn.com/tousu/show/id/1333502","http://ts.21cn.com/tousu/show/id/1333502")</f>
        <v>http://ts.21cn.com/tousu/show/id/1333502</v>
      </c>
      <c r="F2865" s="2" t="s">
        <v>11</v>
      </c>
      <c r="G2865" s="2" t="s">
        <v>38499</v>
      </c>
      <c r="H2865" s="2" t="s">
        <v>38500</v>
      </c>
    </row>
    <row r="2866" spans="1:8" ht="25.05" customHeight="1" x14ac:dyDescent="0.25">
      <c r="A2866" s="2" t="s">
        <v>8</v>
      </c>
      <c r="B2866" s="2" t="str">
        <f>HYPERLINK("http://ts.21cn.com/tousu/show/id/1333503","退回会员费")</f>
        <v>退回会员费</v>
      </c>
      <c r="C2866" s="2" t="s">
        <v>9</v>
      </c>
      <c r="D2866" s="2" t="s">
        <v>10</v>
      </c>
      <c r="E2866" s="2" t="str">
        <f>HYPERLINK("http://ts.21cn.com/tousu/show/id/1333503","http://ts.21cn.com/tousu/show/id/1333503")</f>
        <v>http://ts.21cn.com/tousu/show/id/1333503</v>
      </c>
      <c r="F2866" s="2" t="s">
        <v>11</v>
      </c>
      <c r="G2866" s="2" t="s">
        <v>38497</v>
      </c>
      <c r="H2866" s="2" t="s">
        <v>38498</v>
      </c>
    </row>
    <row r="2867" spans="1:8" ht="25.05" customHeight="1" x14ac:dyDescent="0.25">
      <c r="A2867" s="2" t="s">
        <v>8</v>
      </c>
      <c r="B2867" s="2" t="str">
        <f>HYPERLINK("http://ts.21cn.com/tousu/show/id/1333504","立借青春宝分期砍头")</f>
        <v>立借青春宝分期砍头</v>
      </c>
      <c r="C2867" s="2" t="s">
        <v>9</v>
      </c>
      <c r="D2867" s="2" t="s">
        <v>10</v>
      </c>
      <c r="E2867" s="2" t="str">
        <f>HYPERLINK("http://ts.21cn.com/tousu/show/id/1333504","http://ts.21cn.com/tousu/show/id/1333504")</f>
        <v>http://ts.21cn.com/tousu/show/id/1333504</v>
      </c>
      <c r="F2867" s="2" t="s">
        <v>11</v>
      </c>
      <c r="G2867" s="2" t="s">
        <v>38495</v>
      </c>
      <c r="H2867" s="2" t="s">
        <v>38496</v>
      </c>
    </row>
    <row r="2868" spans="1:8" ht="25.05" customHeight="1" x14ac:dyDescent="0.25">
      <c r="A2868" s="2" t="s">
        <v>8</v>
      </c>
      <c r="B2868" s="2" t="str">
        <f>HYPERLINK("http://ts.21cn.com/tousu/show/id/1333506","捷信高利货")</f>
        <v>捷信高利货</v>
      </c>
      <c r="C2868" s="2" t="s">
        <v>9</v>
      </c>
      <c r="D2868" s="2" t="s">
        <v>10</v>
      </c>
      <c r="E2868" s="2" t="str">
        <f>HYPERLINK("http://ts.21cn.com/tousu/show/id/1333506","http://ts.21cn.com/tousu/show/id/1333506")</f>
        <v>http://ts.21cn.com/tousu/show/id/1333506</v>
      </c>
      <c r="F2868" s="2" t="s">
        <v>11</v>
      </c>
      <c r="G2868" s="2" t="s">
        <v>38493</v>
      </c>
      <c r="H2868" s="2" t="s">
        <v>38494</v>
      </c>
    </row>
    <row r="2869" spans="1:8" ht="25.05" customHeight="1" x14ac:dyDescent="0.25">
      <c r="A2869" s="2" t="s">
        <v>8</v>
      </c>
      <c r="B2869" s="2" t="str">
        <f>HYPERLINK("http://ts.21cn.com/tousu/show/id/1333505","骚扰家人威胁")</f>
        <v>骚扰家人威胁</v>
      </c>
      <c r="C2869" s="2" t="s">
        <v>9</v>
      </c>
      <c r="D2869" s="2" t="s">
        <v>10</v>
      </c>
      <c r="E2869" s="2" t="str">
        <f>HYPERLINK("http://ts.21cn.com/tousu/show/id/1333505","http://ts.21cn.com/tousu/show/id/1333505")</f>
        <v>http://ts.21cn.com/tousu/show/id/1333505</v>
      </c>
      <c r="F2869" s="2" t="s">
        <v>11</v>
      </c>
      <c r="G2869" s="2" t="s">
        <v>38491</v>
      </c>
      <c r="H2869" s="2" t="s">
        <v>38492</v>
      </c>
    </row>
    <row r="2870" spans="1:8" ht="25.05" customHeight="1" x14ac:dyDescent="0.25">
      <c r="A2870" s="2" t="s">
        <v>8</v>
      </c>
      <c r="B2870" s="2" t="str">
        <f>HYPERLINK("http://ts.21cn.com/tousu/show/id/1333507","预定的酒店地址错误导致不能入住，要求全额退款")</f>
        <v>预定的酒店地址错误导致不能入住，要求全额退款</v>
      </c>
      <c r="C2870" s="2" t="s">
        <v>34</v>
      </c>
      <c r="D2870" s="2" t="s">
        <v>10</v>
      </c>
      <c r="E2870" s="2" t="str">
        <f>HYPERLINK("http://ts.21cn.com/tousu/show/id/1333507","http://ts.21cn.com/tousu/show/id/1333507")</f>
        <v>http://ts.21cn.com/tousu/show/id/1333507</v>
      </c>
      <c r="F2870" s="2" t="s">
        <v>11</v>
      </c>
      <c r="G2870" s="2" t="s">
        <v>38489</v>
      </c>
      <c r="H2870" s="2" t="s">
        <v>38490</v>
      </c>
    </row>
    <row r="2871" spans="1:8" ht="25.05" customHeight="1" x14ac:dyDescent="0.25">
      <c r="A2871" s="2" t="s">
        <v>8</v>
      </c>
      <c r="B2871" s="2" t="str">
        <f>HYPERLINK("http://ts.21cn.com/tousu/show/id/1333508","虚假信息忽悠玩家")</f>
        <v>虚假信息忽悠玩家</v>
      </c>
      <c r="C2871" s="2" t="s">
        <v>9</v>
      </c>
      <c r="D2871" s="2" t="s">
        <v>10</v>
      </c>
      <c r="E2871" s="2" t="str">
        <f>HYPERLINK("http://ts.21cn.com/tousu/show/id/1333508","http://ts.21cn.com/tousu/show/id/1333508")</f>
        <v>http://ts.21cn.com/tousu/show/id/1333508</v>
      </c>
      <c r="F2871" s="2" t="s">
        <v>11</v>
      </c>
      <c r="G2871" s="2" t="s">
        <v>38487</v>
      </c>
      <c r="H2871" s="2" t="s">
        <v>38488</v>
      </c>
    </row>
    <row r="2872" spans="1:8" ht="25.05" customHeight="1" x14ac:dyDescent="0.25">
      <c r="A2872" s="2" t="s">
        <v>8</v>
      </c>
      <c r="B2872" s="2" t="str">
        <f>HYPERLINK("http://ts.21cn.com/tousu/show/id/1333509","小桔猫高利贷")</f>
        <v>小桔猫高利贷</v>
      </c>
      <c r="C2872" s="2" t="s">
        <v>9</v>
      </c>
      <c r="D2872" s="2" t="s">
        <v>10</v>
      </c>
      <c r="E2872" s="2" t="str">
        <f>HYPERLINK("http://ts.21cn.com/tousu/show/id/1333509","http://ts.21cn.com/tousu/show/id/1333509")</f>
        <v>http://ts.21cn.com/tousu/show/id/1333509</v>
      </c>
      <c r="F2872" s="2" t="s">
        <v>11</v>
      </c>
      <c r="G2872" s="2" t="s">
        <v>38485</v>
      </c>
      <c r="H2872" s="2" t="s">
        <v>38486</v>
      </c>
    </row>
    <row r="2873" spans="1:8" ht="25.05" customHeight="1" x14ac:dyDescent="0.25">
      <c r="A2873" s="2" t="s">
        <v>8</v>
      </c>
      <c r="B2873" s="2" t="str">
        <f>HYPERLINK("http://ts.21cn.com/tousu/show/id/1333510","美团点评扣费")</f>
        <v>美团点评扣费</v>
      </c>
      <c r="C2873" s="2" t="s">
        <v>34</v>
      </c>
      <c r="D2873" s="2" t="s">
        <v>10</v>
      </c>
      <c r="E2873" s="2" t="str">
        <f>HYPERLINK("http://ts.21cn.com/tousu/show/id/1333510","http://ts.21cn.com/tousu/show/id/1333510")</f>
        <v>http://ts.21cn.com/tousu/show/id/1333510</v>
      </c>
      <c r="F2873" s="2" t="s">
        <v>11</v>
      </c>
      <c r="G2873" s="2" t="s">
        <v>38483</v>
      </c>
      <c r="H2873" s="2" t="s">
        <v>38484</v>
      </c>
    </row>
    <row r="2874" spans="1:8" ht="25.05" customHeight="1" x14ac:dyDescent="0.25">
      <c r="A2874" s="2" t="s">
        <v>8</v>
      </c>
      <c r="B2874" s="2" t="str">
        <f>HYPERLINK("http://ts.21cn.com/tousu/show/id/1333511","优信二手车隐瞒车辆实际里程，差的太多！")</f>
        <v>优信二手车隐瞒车辆实际里程，差的太多！</v>
      </c>
      <c r="C2874" s="2" t="s">
        <v>9</v>
      </c>
      <c r="D2874" s="2" t="s">
        <v>10</v>
      </c>
      <c r="E2874" s="2" t="str">
        <f>HYPERLINK("http://ts.21cn.com/tousu/show/id/1333511","http://ts.21cn.com/tousu/show/id/1333511")</f>
        <v>http://ts.21cn.com/tousu/show/id/1333511</v>
      </c>
      <c r="F2874" s="2" t="s">
        <v>11</v>
      </c>
      <c r="G2874" s="2" t="s">
        <v>38481</v>
      </c>
      <c r="H2874" s="2" t="s">
        <v>38482</v>
      </c>
    </row>
    <row r="2875" spans="1:8" ht="25.05" customHeight="1" x14ac:dyDescent="0.25">
      <c r="A2875" s="2" t="s">
        <v>8</v>
      </c>
      <c r="B2875" s="2" t="str">
        <f>HYPERLINK("http://ts.21cn.com/tousu/show/id/1333512","滴滴青岛地区司机服务经理，滥用职权问题严重严重侵害司机权益")</f>
        <v>滴滴青岛地区司机服务经理，滥用职权问题严重严重侵害司机权益</v>
      </c>
      <c r="C2875" s="2" t="s">
        <v>9</v>
      </c>
      <c r="D2875" s="2" t="s">
        <v>10</v>
      </c>
      <c r="E2875" s="2" t="str">
        <f>HYPERLINK("http://ts.21cn.com/tousu/show/id/1333512","http://ts.21cn.com/tousu/show/id/1333512")</f>
        <v>http://ts.21cn.com/tousu/show/id/1333512</v>
      </c>
      <c r="F2875" s="2" t="s">
        <v>11</v>
      </c>
      <c r="G2875" s="2" t="s">
        <v>38479</v>
      </c>
      <c r="H2875" s="2" t="s">
        <v>38480</v>
      </c>
    </row>
    <row r="2876" spans="1:8" ht="25.05" customHeight="1" x14ac:dyDescent="0.25">
      <c r="A2876" s="2" t="s">
        <v>8</v>
      </c>
      <c r="B2876" s="2" t="str">
        <f>HYPERLINK("http://ts.21cn.com/tousu/show/id/1333513","快捷通成都安睿旺网络科技有限公司")</f>
        <v>快捷通成都安睿旺网络科技有限公司</v>
      </c>
      <c r="C2876" s="2" t="s">
        <v>34</v>
      </c>
      <c r="D2876" s="2" t="s">
        <v>10</v>
      </c>
      <c r="E2876" s="2" t="str">
        <f>HYPERLINK("http://ts.21cn.com/tousu/show/id/1333513","http://ts.21cn.com/tousu/show/id/1333513")</f>
        <v>http://ts.21cn.com/tousu/show/id/1333513</v>
      </c>
      <c r="F2876" s="2" t="s">
        <v>11</v>
      </c>
      <c r="G2876" s="2" t="s">
        <v>38477</v>
      </c>
      <c r="H2876" s="2" t="s">
        <v>38478</v>
      </c>
    </row>
    <row r="2877" spans="1:8" ht="25.05" customHeight="1" x14ac:dyDescent="0.25">
      <c r="A2877" s="2" t="s">
        <v>8</v>
      </c>
      <c r="B2877" s="2" t="str">
        <f>HYPERLINK("http://ts.21cn.com/tousu/show/id/1333514","厦门银行不返还团贷存管金额（从未出借未涉案")</f>
        <v>厦门银行不返还团贷存管金额（从未出借未涉案</v>
      </c>
      <c r="C2877" s="2" t="s">
        <v>9</v>
      </c>
      <c r="D2877" s="2" t="s">
        <v>10</v>
      </c>
      <c r="E2877" s="2" t="str">
        <f>HYPERLINK("http://ts.21cn.com/tousu/show/id/1333514","http://ts.21cn.com/tousu/show/id/1333514")</f>
        <v>http://ts.21cn.com/tousu/show/id/1333514</v>
      </c>
      <c r="F2877" s="2" t="s">
        <v>11</v>
      </c>
      <c r="G2877" s="2" t="s">
        <v>38475</v>
      </c>
      <c r="H2877" s="2" t="s">
        <v>38476</v>
      </c>
    </row>
    <row r="2878" spans="1:8" ht="25.05" customHeight="1" x14ac:dyDescent="0.25">
      <c r="A2878" s="2" t="s">
        <v>8</v>
      </c>
      <c r="B2878" s="2" t="str">
        <f>HYPERLINK("http://ts.21cn.com/tousu/show/id/1333515","龙虾分期高利贷")</f>
        <v>龙虾分期高利贷</v>
      </c>
      <c r="C2878" s="2" t="s">
        <v>9</v>
      </c>
      <c r="D2878" s="2" t="s">
        <v>10</v>
      </c>
      <c r="E2878" s="2" t="str">
        <f>HYPERLINK("http://ts.21cn.com/tousu/show/id/1333515","http://ts.21cn.com/tousu/show/id/1333515")</f>
        <v>http://ts.21cn.com/tousu/show/id/1333515</v>
      </c>
      <c r="F2878" s="2" t="s">
        <v>11</v>
      </c>
      <c r="G2878" s="2" t="s">
        <v>38473</v>
      </c>
      <c r="H2878" s="2" t="s">
        <v>38474</v>
      </c>
    </row>
    <row r="2879" spans="1:8" ht="25.05" customHeight="1" x14ac:dyDescent="0.25">
      <c r="A2879" s="2" t="s">
        <v>8</v>
      </c>
      <c r="B2879" s="2" t="str">
        <f>HYPERLINK("http://ts.21cn.com/tousu/show/id/1333517","充电宝没遗失不能归还强制扣款")</f>
        <v>充电宝没遗失不能归还强制扣款</v>
      </c>
      <c r="C2879" s="2" t="s">
        <v>9</v>
      </c>
      <c r="D2879" s="2" t="s">
        <v>10</v>
      </c>
      <c r="E2879" s="2" t="str">
        <f>HYPERLINK("http://ts.21cn.com/tousu/show/id/1333517","http://ts.21cn.com/tousu/show/id/1333517")</f>
        <v>http://ts.21cn.com/tousu/show/id/1333517</v>
      </c>
      <c r="F2879" s="2" t="s">
        <v>11</v>
      </c>
      <c r="G2879" s="2" t="s">
        <v>38471</v>
      </c>
      <c r="H2879" s="2" t="s">
        <v>38472</v>
      </c>
    </row>
    <row r="2880" spans="1:8" ht="25.05" customHeight="1" x14ac:dyDescent="0.25">
      <c r="A2880" s="2" t="s">
        <v>8</v>
      </c>
      <c r="B2880" s="2" t="str">
        <f>HYPERLINK("http://ts.21cn.com/tousu/show/id/1327229","尚德机构退费")</f>
        <v>尚德机构退费</v>
      </c>
      <c r="C2880" s="2" t="s">
        <v>9</v>
      </c>
      <c r="D2880" s="2" t="s">
        <v>10</v>
      </c>
      <c r="E2880" s="2" t="str">
        <f>HYPERLINK("http://ts.21cn.com/tousu/show/id/1327229","http://ts.21cn.com/tousu/show/id/1327229")</f>
        <v>http://ts.21cn.com/tousu/show/id/1327229</v>
      </c>
      <c r="F2880" s="2" t="s">
        <v>11</v>
      </c>
      <c r="G2880" s="2" t="s">
        <v>38469</v>
      </c>
      <c r="H2880" s="2" t="s">
        <v>38470</v>
      </c>
    </row>
    <row r="2881" spans="1:8" ht="25.05" customHeight="1" x14ac:dyDescent="0.25">
      <c r="A2881" s="2" t="s">
        <v>8</v>
      </c>
      <c r="B2881" s="2" t="str">
        <f>HYPERLINK("http://ts.21cn.com/tousu/show/id/1333518","商品被专利流氓投诉")</f>
        <v>商品被专利流氓投诉</v>
      </c>
      <c r="C2881" s="2" t="s">
        <v>9</v>
      </c>
      <c r="D2881" s="2" t="s">
        <v>10</v>
      </c>
      <c r="E2881" s="2" t="str">
        <f>HYPERLINK("http://ts.21cn.com/tousu/show/id/1333518","http://ts.21cn.com/tousu/show/id/1333518")</f>
        <v>http://ts.21cn.com/tousu/show/id/1333518</v>
      </c>
      <c r="F2881" s="2" t="s">
        <v>11</v>
      </c>
      <c r="G2881" s="2" t="s">
        <v>38467</v>
      </c>
      <c r="H2881" s="2" t="s">
        <v>38468</v>
      </c>
    </row>
    <row r="2882" spans="1:8" ht="25.05" customHeight="1" x14ac:dyDescent="0.25">
      <c r="A2882" s="2" t="s">
        <v>8</v>
      </c>
      <c r="B2882" s="2" t="str">
        <f>HYPERLINK("http://ts.21cn.com/tousu/show/id/1333519","法兰克贷款还不了款App打不开")</f>
        <v>法兰克贷款还不了款App打不开</v>
      </c>
      <c r="C2882" s="2" t="s">
        <v>9</v>
      </c>
      <c r="D2882" s="2" t="s">
        <v>10</v>
      </c>
      <c r="E2882" s="2" t="str">
        <f>HYPERLINK("http://ts.21cn.com/tousu/show/id/1333519","http://ts.21cn.com/tousu/show/id/1333519")</f>
        <v>http://ts.21cn.com/tousu/show/id/1333519</v>
      </c>
      <c r="F2882" s="2" t="s">
        <v>11</v>
      </c>
      <c r="G2882" s="2" t="s">
        <v>38465</v>
      </c>
      <c r="H2882" s="2" t="s">
        <v>38466</v>
      </c>
    </row>
    <row r="2883" spans="1:8" ht="25.05" customHeight="1" x14ac:dyDescent="0.25">
      <c r="A2883" s="2" t="s">
        <v>8</v>
      </c>
      <c r="B2883" s="2" t="str">
        <f>HYPERLINK("http://ts.21cn.com/tousu/show/id/1333483","投诉敏付支付违规，为非法平台提供结算")</f>
        <v>投诉敏付支付违规，为非法平台提供结算</v>
      </c>
      <c r="C2883" s="2" t="s">
        <v>9</v>
      </c>
      <c r="D2883" s="2" t="s">
        <v>10</v>
      </c>
      <c r="E2883" s="2" t="str">
        <f>HYPERLINK("http://ts.21cn.com/tousu/show/id/1333483","http://ts.21cn.com/tousu/show/id/1333483")</f>
        <v>http://ts.21cn.com/tousu/show/id/1333483</v>
      </c>
      <c r="F2883" s="2" t="s">
        <v>11</v>
      </c>
      <c r="G2883" s="2" t="s">
        <v>38463</v>
      </c>
      <c r="H2883" s="2" t="s">
        <v>38464</v>
      </c>
    </row>
    <row r="2884" spans="1:8" ht="25.05" customHeight="1" x14ac:dyDescent="0.25">
      <c r="A2884" s="2" t="s">
        <v>8</v>
      </c>
      <c r="B2884" s="2" t="str">
        <f>HYPERLINK("http://ts.21cn.com/tousu/show/id/1333520","暴力催收、高利息、泄露个人隐私通信")</f>
        <v>暴力催收、高利息、泄露个人隐私通信</v>
      </c>
      <c r="C2884" s="2" t="s">
        <v>9</v>
      </c>
      <c r="D2884" s="2" t="s">
        <v>10</v>
      </c>
      <c r="E2884" s="2" t="str">
        <f>HYPERLINK("http://ts.21cn.com/tousu/show/id/1333520","http://ts.21cn.com/tousu/show/id/1333520")</f>
        <v>http://ts.21cn.com/tousu/show/id/1333520</v>
      </c>
      <c r="F2884" s="2" t="s">
        <v>11</v>
      </c>
      <c r="G2884" s="2" t="s">
        <v>38461</v>
      </c>
      <c r="H2884" s="2" t="s">
        <v>38462</v>
      </c>
    </row>
    <row r="2885" spans="1:8" ht="25.05" customHeight="1" x14ac:dyDescent="0.25">
      <c r="A2885" s="2" t="s">
        <v>8</v>
      </c>
      <c r="B2885" s="2" t="str">
        <f>HYPERLINK("http://ts.21cn.com/tousu/show/id/1333521","我来贷变相收取高额催收费")</f>
        <v>我来贷变相收取高额催收费</v>
      </c>
      <c r="C2885" s="2" t="s">
        <v>9</v>
      </c>
      <c r="D2885" s="2" t="s">
        <v>10</v>
      </c>
      <c r="E2885" s="2" t="str">
        <f>HYPERLINK("http://ts.21cn.com/tousu/show/id/1333521","http://ts.21cn.com/tousu/show/id/1333521")</f>
        <v>http://ts.21cn.com/tousu/show/id/1333521</v>
      </c>
      <c r="F2885" s="2" t="s">
        <v>11</v>
      </c>
      <c r="G2885" s="2" t="s">
        <v>38459</v>
      </c>
      <c r="H2885" s="2" t="s">
        <v>38460</v>
      </c>
    </row>
    <row r="2886" spans="1:8" ht="25.05" customHeight="1" x14ac:dyDescent="0.25">
      <c r="A2886" s="2" t="s">
        <v>8</v>
      </c>
      <c r="B2886" s="2" t="str">
        <f>HYPERLINK("http://ts.21cn.com/tousu/show/id/1333522","变相高利贷")</f>
        <v>变相高利贷</v>
      </c>
      <c r="C2886" s="2" t="s">
        <v>9</v>
      </c>
      <c r="D2886" s="2" t="s">
        <v>10</v>
      </c>
      <c r="E2886" s="2" t="str">
        <f>HYPERLINK("http://ts.21cn.com/tousu/show/id/1333522","http://ts.21cn.com/tousu/show/id/1333522")</f>
        <v>http://ts.21cn.com/tousu/show/id/1333522</v>
      </c>
      <c r="F2886" s="2" t="s">
        <v>11</v>
      </c>
      <c r="G2886" s="2" t="s">
        <v>38457</v>
      </c>
      <c r="H2886" s="2" t="s">
        <v>38458</v>
      </c>
    </row>
    <row r="2887" spans="1:8" ht="25.05" customHeight="1" x14ac:dyDescent="0.25">
      <c r="A2887" s="2" t="s">
        <v>8</v>
      </c>
      <c r="B2887" s="2" t="str">
        <f>HYPERLINK("http://ts.21cn.com/tousu/show/id/1333516","宁波系列全系高利贷，砍头息，高利贷违法。")</f>
        <v>宁波系列全系高利贷，砍头息，高利贷违法。</v>
      </c>
      <c r="C2887" s="2" t="s">
        <v>9</v>
      </c>
      <c r="D2887" s="2" t="s">
        <v>10</v>
      </c>
      <c r="E2887" s="2" t="str">
        <f>HYPERLINK("http://ts.21cn.com/tousu/show/id/1333516","http://ts.21cn.com/tousu/show/id/1333516")</f>
        <v>http://ts.21cn.com/tousu/show/id/1333516</v>
      </c>
      <c r="F2887" s="2" t="s">
        <v>11</v>
      </c>
      <c r="G2887" s="2" t="s">
        <v>38455</v>
      </c>
      <c r="H2887" s="2" t="s">
        <v>38456</v>
      </c>
    </row>
    <row r="2888" spans="1:8" ht="25.05" customHeight="1" x14ac:dyDescent="0.25">
      <c r="A2888" s="2" t="s">
        <v>8</v>
      </c>
      <c r="B2888" s="2" t="str">
        <f>HYPERLINK("http://ts.21cn.com/tousu/show/id/1333523","退款")</f>
        <v>退款</v>
      </c>
      <c r="C2888" s="2" t="s">
        <v>9</v>
      </c>
      <c r="D2888" s="2" t="s">
        <v>10</v>
      </c>
      <c r="E2888" s="2" t="str">
        <f>HYPERLINK("http://ts.21cn.com/tousu/show/id/1333523","http://ts.21cn.com/tousu/show/id/1333523")</f>
        <v>http://ts.21cn.com/tousu/show/id/1333523</v>
      </c>
      <c r="F2888" s="2" t="s">
        <v>11</v>
      </c>
      <c r="G2888" s="2" t="s">
        <v>38453</v>
      </c>
      <c r="H2888" s="2" t="s">
        <v>38454</v>
      </c>
    </row>
    <row r="2889" spans="1:8" ht="25.05" customHeight="1" x14ac:dyDescent="0.25">
      <c r="A2889" s="2" t="s">
        <v>8</v>
      </c>
      <c r="B2889" s="2" t="str">
        <f>HYPERLINK("http://ts.21cn.com/tousu/show/id/1333524","拍拍贷不能正常还款导致逾期扣钱")</f>
        <v>拍拍贷不能正常还款导致逾期扣钱</v>
      </c>
      <c r="C2889" s="2" t="s">
        <v>9</v>
      </c>
      <c r="D2889" s="2" t="s">
        <v>10</v>
      </c>
      <c r="E2889" s="2" t="str">
        <f>HYPERLINK("http://ts.21cn.com/tousu/show/id/1333524","http://ts.21cn.com/tousu/show/id/1333524")</f>
        <v>http://ts.21cn.com/tousu/show/id/1333524</v>
      </c>
      <c r="F2889" s="2" t="s">
        <v>11</v>
      </c>
      <c r="G2889" s="2" t="s">
        <v>38451</v>
      </c>
      <c r="H2889" s="2" t="s">
        <v>38452</v>
      </c>
    </row>
    <row r="2890" spans="1:8" ht="25.05" customHeight="1" x14ac:dyDescent="0.25">
      <c r="A2890" s="2" t="s">
        <v>8</v>
      </c>
      <c r="B2890" s="2" t="str">
        <f>HYPERLINK("http://ts.21cn.com/tousu/show/id/1333525","新意花小木钱包高额利息")</f>
        <v>新意花小木钱包高额利息</v>
      </c>
      <c r="C2890" s="2" t="s">
        <v>9</v>
      </c>
      <c r="D2890" s="2" t="s">
        <v>10</v>
      </c>
      <c r="E2890" s="2" t="str">
        <f>HYPERLINK("http://ts.21cn.com/tousu/show/id/1333525","http://ts.21cn.com/tousu/show/id/1333525")</f>
        <v>http://ts.21cn.com/tousu/show/id/1333525</v>
      </c>
      <c r="F2890" s="2" t="s">
        <v>11</v>
      </c>
      <c r="G2890" s="2" t="s">
        <v>38449</v>
      </c>
      <c r="H2890" s="2" t="s">
        <v>38450</v>
      </c>
    </row>
    <row r="2891" spans="1:8" ht="25.05" customHeight="1" x14ac:dyDescent="0.25">
      <c r="A2891" s="2" t="s">
        <v>8</v>
      </c>
      <c r="B2891" s="2" t="str">
        <f>HYPERLINK("http://ts.21cn.com/tousu/show/id/1333526","投诉饿了么平台欺诈")</f>
        <v>投诉饿了么平台欺诈</v>
      </c>
      <c r="C2891" s="2" t="s">
        <v>9</v>
      </c>
      <c r="D2891" s="2" t="s">
        <v>10</v>
      </c>
      <c r="E2891" s="2" t="str">
        <f>HYPERLINK("http://ts.21cn.com/tousu/show/id/1333526","http://ts.21cn.com/tousu/show/id/1333526")</f>
        <v>http://ts.21cn.com/tousu/show/id/1333526</v>
      </c>
      <c r="F2891" s="2" t="s">
        <v>11</v>
      </c>
      <c r="G2891" s="2" t="s">
        <v>38447</v>
      </c>
      <c r="H2891" s="2" t="s">
        <v>38448</v>
      </c>
    </row>
    <row r="2892" spans="1:8" ht="25.05" customHeight="1" x14ac:dyDescent="0.25">
      <c r="A2892" s="2" t="s">
        <v>8</v>
      </c>
      <c r="B2892" s="2" t="str">
        <f>HYPERLINK("http://ts.21cn.com/tousu/show/id/1333063","钱站高利贷阴阳合同")</f>
        <v>钱站高利贷阴阳合同</v>
      </c>
      <c r="C2892" s="2" t="s">
        <v>9</v>
      </c>
      <c r="D2892" s="2" t="s">
        <v>10</v>
      </c>
      <c r="E2892" s="2" t="str">
        <f>HYPERLINK("http://ts.21cn.com/tousu/show/id/1333063","http://ts.21cn.com/tousu/show/id/1333063")</f>
        <v>http://ts.21cn.com/tousu/show/id/1333063</v>
      </c>
      <c r="F2892" s="2" t="s">
        <v>11</v>
      </c>
      <c r="G2892" s="2" t="s">
        <v>38445</v>
      </c>
      <c r="H2892" s="2" t="s">
        <v>38446</v>
      </c>
    </row>
    <row r="2893" spans="1:8" ht="25.05" customHeight="1" x14ac:dyDescent="0.25">
      <c r="A2893" s="2" t="s">
        <v>8</v>
      </c>
      <c r="B2893" s="2" t="str">
        <f>HYPERLINK("http://ts.21cn.com/tousu/show/id/1333527","砍头息")</f>
        <v>砍头息</v>
      </c>
      <c r="C2893" s="2" t="s">
        <v>34</v>
      </c>
      <c r="D2893" s="2" t="s">
        <v>10</v>
      </c>
      <c r="E2893" s="2" t="str">
        <f>HYPERLINK("http://ts.21cn.com/tousu/show/id/1333527","http://ts.21cn.com/tousu/show/id/1333527")</f>
        <v>http://ts.21cn.com/tousu/show/id/1333527</v>
      </c>
      <c r="F2893" s="2" t="s">
        <v>11</v>
      </c>
      <c r="G2893" s="2" t="s">
        <v>38443</v>
      </c>
      <c r="H2893" s="2" t="s">
        <v>38444</v>
      </c>
    </row>
    <row r="2894" spans="1:8" ht="25.05" customHeight="1" x14ac:dyDescent="0.25">
      <c r="A2894" s="2" t="s">
        <v>8</v>
      </c>
      <c r="B2894" s="2" t="str">
        <f>HYPERLINK("http://ts.21cn.com/tousu/show/id/1333528","微品分期高利贷阴阳合同")</f>
        <v>微品分期高利贷阴阳合同</v>
      </c>
      <c r="C2894" s="2" t="s">
        <v>9</v>
      </c>
      <c r="D2894" s="2" t="s">
        <v>10</v>
      </c>
      <c r="E2894" s="2" t="str">
        <f>HYPERLINK("http://ts.21cn.com/tousu/show/id/1333528","http://ts.21cn.com/tousu/show/id/1333528")</f>
        <v>http://ts.21cn.com/tousu/show/id/1333528</v>
      </c>
      <c r="F2894" s="2" t="s">
        <v>11</v>
      </c>
      <c r="G2894" s="2" t="s">
        <v>38441</v>
      </c>
      <c r="H2894" s="2" t="s">
        <v>38442</v>
      </c>
    </row>
    <row r="2895" spans="1:8" ht="25.05" customHeight="1" x14ac:dyDescent="0.25">
      <c r="A2895" s="2" t="s">
        <v>8</v>
      </c>
      <c r="B2895" s="2" t="str">
        <f>HYPERLINK("http://ts.21cn.com/tousu/show/id/1333529","砍头息、我要求退还我的砍头息")</f>
        <v>砍头息、我要求退还我的砍头息</v>
      </c>
      <c r="C2895" s="2" t="s">
        <v>9</v>
      </c>
      <c r="D2895" s="2" t="s">
        <v>10</v>
      </c>
      <c r="E2895" s="2" t="str">
        <f>HYPERLINK("http://ts.21cn.com/tousu/show/id/1333529","http://ts.21cn.com/tousu/show/id/1333529")</f>
        <v>http://ts.21cn.com/tousu/show/id/1333529</v>
      </c>
      <c r="F2895" s="2" t="s">
        <v>11</v>
      </c>
      <c r="G2895" s="2" t="s">
        <v>38439</v>
      </c>
      <c r="H2895" s="2" t="s">
        <v>38440</v>
      </c>
    </row>
    <row r="2896" spans="1:8" ht="25.05" customHeight="1" x14ac:dyDescent="0.25">
      <c r="A2896" s="2" t="s">
        <v>8</v>
      </c>
      <c r="B2896" s="2" t="str">
        <f>HYPERLINK("http://ts.21cn.com/tousu/show/id/1333531","变相收取服务费，综合利息年化率达36%")</f>
        <v>变相收取服务费，综合利息年化率达36%</v>
      </c>
      <c r="C2896" s="2" t="s">
        <v>9</v>
      </c>
      <c r="D2896" s="2" t="s">
        <v>10</v>
      </c>
      <c r="E2896" s="2" t="str">
        <f>HYPERLINK("http://ts.21cn.com/tousu/show/id/1333531","http://ts.21cn.com/tousu/show/id/1333531")</f>
        <v>http://ts.21cn.com/tousu/show/id/1333531</v>
      </c>
      <c r="F2896" s="2" t="s">
        <v>11</v>
      </c>
      <c r="G2896" s="2" t="s">
        <v>38437</v>
      </c>
      <c r="H2896" s="2" t="s">
        <v>38438</v>
      </c>
    </row>
    <row r="2897" spans="1:8" ht="25.05" customHeight="1" x14ac:dyDescent="0.25">
      <c r="A2897" s="2" t="s">
        <v>8</v>
      </c>
      <c r="B2897" s="2" t="str">
        <f>HYPERLINK("http://ts.21cn.com/tousu/show/id/1333532","福瑞缘动未经本人同意私自扣钱")</f>
        <v>福瑞缘动未经本人同意私自扣钱</v>
      </c>
      <c r="C2897" s="2" t="s">
        <v>9</v>
      </c>
      <c r="D2897" s="2" t="s">
        <v>10</v>
      </c>
      <c r="E2897" s="2" t="str">
        <f>HYPERLINK("http://ts.21cn.com/tousu/show/id/1333532","http://ts.21cn.com/tousu/show/id/1333532")</f>
        <v>http://ts.21cn.com/tousu/show/id/1333532</v>
      </c>
      <c r="F2897" s="2" t="s">
        <v>11</v>
      </c>
      <c r="G2897" s="2" t="s">
        <v>38435</v>
      </c>
      <c r="H2897" s="2" t="s">
        <v>38436</v>
      </c>
    </row>
    <row r="2898" spans="1:8" ht="25.05" customHeight="1" x14ac:dyDescent="0.25">
      <c r="A2898" s="2" t="s">
        <v>8</v>
      </c>
      <c r="B2898" s="2" t="str">
        <f>HYPERLINK("http://ts.21cn.com/tousu/show/id/1333533","我来数科逾期一天一百砍头息")</f>
        <v>我来数科逾期一天一百砍头息</v>
      </c>
      <c r="C2898" s="2" t="s">
        <v>34</v>
      </c>
      <c r="D2898" s="2" t="s">
        <v>10</v>
      </c>
      <c r="E2898" s="2" t="str">
        <f>HYPERLINK("http://ts.21cn.com/tousu/show/id/1333533","http://ts.21cn.com/tousu/show/id/1333533")</f>
        <v>http://ts.21cn.com/tousu/show/id/1333533</v>
      </c>
      <c r="F2898" s="2" t="s">
        <v>11</v>
      </c>
      <c r="G2898" s="2" t="s">
        <v>38433</v>
      </c>
      <c r="H2898" s="2" t="s">
        <v>38434</v>
      </c>
    </row>
    <row r="2899" spans="1:8" ht="25.05" customHeight="1" x14ac:dyDescent="0.25">
      <c r="A2899" s="2" t="s">
        <v>8</v>
      </c>
      <c r="B2899" s="2" t="str">
        <f>HYPERLINK("http://ts.21cn.com/tousu/show/id/1333534","软件放高利贷")</f>
        <v>软件放高利贷</v>
      </c>
      <c r="C2899" s="2" t="s">
        <v>9</v>
      </c>
      <c r="D2899" s="2" t="s">
        <v>10</v>
      </c>
      <c r="E2899" s="2" t="str">
        <f>HYPERLINK("http://ts.21cn.com/tousu/show/id/1333534","http://ts.21cn.com/tousu/show/id/1333534")</f>
        <v>http://ts.21cn.com/tousu/show/id/1333534</v>
      </c>
      <c r="F2899" s="2" t="s">
        <v>11</v>
      </c>
      <c r="G2899" s="2" t="s">
        <v>38431</v>
      </c>
      <c r="H2899" s="2" t="s">
        <v>38432</v>
      </c>
    </row>
    <row r="2900" spans="1:8" ht="25.05" customHeight="1" x14ac:dyDescent="0.25">
      <c r="A2900" s="2" t="s">
        <v>8</v>
      </c>
      <c r="B2900" s="2" t="str">
        <f>HYPERLINK("http://ts.21cn.com/tousu/show/id/1333535","百事普惠恶意扣费")</f>
        <v>百事普惠恶意扣费</v>
      </c>
      <c r="C2900" s="2" t="s">
        <v>9</v>
      </c>
      <c r="D2900" s="2" t="s">
        <v>10</v>
      </c>
      <c r="E2900" s="2" t="str">
        <f>HYPERLINK("http://ts.21cn.com/tousu/show/id/1333535","http://ts.21cn.com/tousu/show/id/1333535")</f>
        <v>http://ts.21cn.com/tousu/show/id/1333535</v>
      </c>
      <c r="F2900" s="2" t="s">
        <v>11</v>
      </c>
      <c r="G2900" s="2" t="s">
        <v>38429</v>
      </c>
      <c r="H2900" s="2" t="s">
        <v>38430</v>
      </c>
    </row>
    <row r="2901" spans="1:8" ht="25.05" customHeight="1" x14ac:dyDescent="0.25">
      <c r="A2901" s="2" t="s">
        <v>8</v>
      </c>
      <c r="B2901" s="2" t="str">
        <f>HYPERLINK("http://ts.21cn.com/tousu/show/id/1333536","中国银联为套路贷提供支付")</f>
        <v>中国银联为套路贷提供支付</v>
      </c>
      <c r="C2901" s="2" t="s">
        <v>9</v>
      </c>
      <c r="D2901" s="2" t="s">
        <v>10</v>
      </c>
      <c r="E2901" s="2" t="str">
        <f>HYPERLINK("http://ts.21cn.com/tousu/show/id/1333536","http://ts.21cn.com/tousu/show/id/1333536")</f>
        <v>http://ts.21cn.com/tousu/show/id/1333536</v>
      </c>
      <c r="F2901" s="2" t="s">
        <v>11</v>
      </c>
      <c r="G2901" s="2" t="s">
        <v>38427</v>
      </c>
      <c r="H2901" s="2" t="s">
        <v>38428</v>
      </c>
    </row>
    <row r="2902" spans="1:8" ht="25.05" customHeight="1" x14ac:dyDescent="0.25">
      <c r="A2902" s="2" t="s">
        <v>8</v>
      </c>
      <c r="B2902" s="2" t="str">
        <f>HYPERLINK("http://ts.21cn.com/tousu/show/id/1333537","马上金融威胁本人")</f>
        <v>马上金融威胁本人</v>
      </c>
      <c r="C2902" s="2" t="s">
        <v>9</v>
      </c>
      <c r="D2902" s="2" t="s">
        <v>10</v>
      </c>
      <c r="E2902" s="2" t="str">
        <f>HYPERLINK("http://ts.21cn.com/tousu/show/id/1333537","http://ts.21cn.com/tousu/show/id/1333537")</f>
        <v>http://ts.21cn.com/tousu/show/id/1333537</v>
      </c>
      <c r="F2902" s="2" t="s">
        <v>11</v>
      </c>
      <c r="G2902" s="2" t="s">
        <v>38425</v>
      </c>
      <c r="H2902" s="2" t="s">
        <v>38426</v>
      </c>
    </row>
    <row r="2903" spans="1:8" ht="25.05" customHeight="1" x14ac:dyDescent="0.25">
      <c r="A2903" s="2" t="s">
        <v>8</v>
      </c>
      <c r="B2903" s="2" t="str">
        <f>HYPERLINK("http://ts.21cn.com/tousu/show/id/1333538","滴滴出行枉顾事实随意判责，")</f>
        <v>滴滴出行枉顾事实随意判责，</v>
      </c>
      <c r="C2903" s="2" t="s">
        <v>9</v>
      </c>
      <c r="D2903" s="2" t="s">
        <v>10</v>
      </c>
      <c r="E2903" s="2" t="str">
        <f>HYPERLINK("http://ts.21cn.com/tousu/show/id/1333538","http://ts.21cn.com/tousu/show/id/1333538")</f>
        <v>http://ts.21cn.com/tousu/show/id/1333538</v>
      </c>
      <c r="F2903" s="2" t="s">
        <v>11</v>
      </c>
      <c r="G2903" s="2" t="s">
        <v>38424</v>
      </c>
      <c r="H2903" s="2" t="s">
        <v>16846</v>
      </c>
    </row>
    <row r="2904" spans="1:8" ht="25.05" customHeight="1" x14ac:dyDescent="0.25">
      <c r="A2904" s="2" t="s">
        <v>8</v>
      </c>
      <c r="B2904" s="2" t="str">
        <f>HYPERLINK("http://ts.21cn.com/tousu/show/id/1333540","高额利息")</f>
        <v>高额利息</v>
      </c>
      <c r="C2904" s="2" t="s">
        <v>9</v>
      </c>
      <c r="D2904" s="2" t="s">
        <v>10</v>
      </c>
      <c r="E2904" s="2" t="str">
        <f>HYPERLINK("http://ts.21cn.com/tousu/show/id/1333540","http://ts.21cn.com/tousu/show/id/1333540")</f>
        <v>http://ts.21cn.com/tousu/show/id/1333540</v>
      </c>
      <c r="F2904" s="2" t="s">
        <v>11</v>
      </c>
      <c r="G2904" s="2" t="s">
        <v>38422</v>
      </c>
      <c r="H2904" s="2" t="s">
        <v>38423</v>
      </c>
    </row>
    <row r="2905" spans="1:8" ht="25.05" customHeight="1" x14ac:dyDescent="0.25">
      <c r="A2905" s="2" t="s">
        <v>8</v>
      </c>
      <c r="B2905" s="2" t="str">
        <f>HYPERLINK("http://ts.21cn.com/tousu/show/id/1333541","融360纵容砍头息，没有合理监管到位")</f>
        <v>融360纵容砍头息，没有合理监管到位</v>
      </c>
      <c r="C2905" s="2" t="s">
        <v>9</v>
      </c>
      <c r="D2905" s="2" t="s">
        <v>10</v>
      </c>
      <c r="E2905" s="2" t="str">
        <f>HYPERLINK("http://ts.21cn.com/tousu/show/id/1333541","http://ts.21cn.com/tousu/show/id/1333541")</f>
        <v>http://ts.21cn.com/tousu/show/id/1333541</v>
      </c>
      <c r="F2905" s="2" t="s">
        <v>11</v>
      </c>
      <c r="G2905" s="2" t="s">
        <v>38420</v>
      </c>
      <c r="H2905" s="2" t="s">
        <v>38421</v>
      </c>
    </row>
    <row r="2906" spans="1:8" ht="25.05" customHeight="1" x14ac:dyDescent="0.25">
      <c r="A2906" s="2" t="s">
        <v>8</v>
      </c>
      <c r="B2906" s="2" t="str">
        <f>HYPERLINK("http://ts.21cn.com/tousu/show/id/1333542","闪银砍头息，高利贷")</f>
        <v>闪银砍头息，高利贷</v>
      </c>
      <c r="C2906" s="2" t="s">
        <v>9</v>
      </c>
      <c r="D2906" s="2" t="s">
        <v>10</v>
      </c>
      <c r="E2906" s="2" t="str">
        <f>HYPERLINK("http://ts.21cn.com/tousu/show/id/1333542","http://ts.21cn.com/tousu/show/id/1333542")</f>
        <v>http://ts.21cn.com/tousu/show/id/1333542</v>
      </c>
      <c r="F2906" s="2" t="s">
        <v>11</v>
      </c>
      <c r="G2906" s="2" t="s">
        <v>38418</v>
      </c>
      <c r="H2906" s="2" t="s">
        <v>38419</v>
      </c>
    </row>
    <row r="2907" spans="1:8" ht="25.05" customHeight="1" x14ac:dyDescent="0.25">
      <c r="A2907" s="2" t="s">
        <v>8</v>
      </c>
      <c r="B2907" s="2" t="str">
        <f>HYPERLINK("http://ts.21cn.com/tousu/show/id/1333543","不退会员费，申请退款不受理")</f>
        <v>不退会员费，申请退款不受理</v>
      </c>
      <c r="C2907" s="2" t="s">
        <v>9</v>
      </c>
      <c r="D2907" s="2" t="s">
        <v>10</v>
      </c>
      <c r="E2907" s="2" t="str">
        <f>HYPERLINK("http://ts.21cn.com/tousu/show/id/1333543","http://ts.21cn.com/tousu/show/id/1333543")</f>
        <v>http://ts.21cn.com/tousu/show/id/1333543</v>
      </c>
      <c r="F2907" s="2" t="s">
        <v>11</v>
      </c>
      <c r="G2907" s="2" t="s">
        <v>38416</v>
      </c>
      <c r="H2907" s="2" t="s">
        <v>38417</v>
      </c>
    </row>
    <row r="2908" spans="1:8" ht="25.05" customHeight="1" x14ac:dyDescent="0.25">
      <c r="A2908" s="2" t="s">
        <v>8</v>
      </c>
      <c r="B2908" s="2" t="str">
        <f>HYPERLINK("http://ts.21cn.com/tousu/show/id/1333546","云充吧平台，充电宝租借服务不全且没有售后服务")</f>
        <v>云充吧平台，充电宝租借服务不全且没有售后服务</v>
      </c>
      <c r="C2908" s="2" t="s">
        <v>9</v>
      </c>
      <c r="D2908" s="2" t="s">
        <v>10</v>
      </c>
      <c r="E2908" s="2" t="str">
        <f>HYPERLINK("http://ts.21cn.com/tousu/show/id/1333546","http://ts.21cn.com/tousu/show/id/1333546")</f>
        <v>http://ts.21cn.com/tousu/show/id/1333546</v>
      </c>
      <c r="F2908" s="2" t="s">
        <v>11</v>
      </c>
      <c r="G2908" s="2" t="s">
        <v>38414</v>
      </c>
      <c r="H2908" s="2" t="s">
        <v>38415</v>
      </c>
    </row>
    <row r="2909" spans="1:8" ht="25.05" customHeight="1" x14ac:dyDescent="0.25">
      <c r="A2909" s="2" t="s">
        <v>8</v>
      </c>
      <c r="B2909" s="2" t="str">
        <f>HYPERLINK("http://ts.21cn.com/tousu/show/id/1333548","易宝支付因本人投诉对本人进行风控拦截导致本人逾期")</f>
        <v>易宝支付因本人投诉对本人进行风控拦截导致本人逾期</v>
      </c>
      <c r="C2909" s="2" t="s">
        <v>34</v>
      </c>
      <c r="D2909" s="2" t="s">
        <v>10</v>
      </c>
      <c r="E2909" s="2" t="str">
        <f>HYPERLINK("http://ts.21cn.com/tousu/show/id/1333548","http://ts.21cn.com/tousu/show/id/1333548")</f>
        <v>http://ts.21cn.com/tousu/show/id/1333548</v>
      </c>
      <c r="F2909" s="2" t="s">
        <v>11</v>
      </c>
      <c r="G2909" s="2" t="s">
        <v>38412</v>
      </c>
      <c r="H2909" s="2" t="s">
        <v>38413</v>
      </c>
    </row>
    <row r="2910" spans="1:8" ht="25.05" customHeight="1" x14ac:dyDescent="0.25">
      <c r="A2910" s="2" t="s">
        <v>8</v>
      </c>
      <c r="B2910" s="2" t="str">
        <f>HYPERLINK("http://ts.21cn.com/tousu/show/id/1333549","钱站砍头息，高利贷高额利息")</f>
        <v>钱站砍头息，高利贷高额利息</v>
      </c>
      <c r="C2910" s="2" t="s">
        <v>9</v>
      </c>
      <c r="D2910" s="2" t="s">
        <v>10</v>
      </c>
      <c r="E2910" s="2" t="str">
        <f>HYPERLINK("http://ts.21cn.com/tousu/show/id/1333549","http://ts.21cn.com/tousu/show/id/1333549")</f>
        <v>http://ts.21cn.com/tousu/show/id/1333549</v>
      </c>
      <c r="F2910" s="2" t="s">
        <v>11</v>
      </c>
      <c r="G2910" s="2" t="s">
        <v>38410</v>
      </c>
      <c r="H2910" s="2" t="s">
        <v>38411</v>
      </c>
    </row>
    <row r="2911" spans="1:8" ht="25.05" customHeight="1" x14ac:dyDescent="0.25">
      <c r="A2911" s="2" t="s">
        <v>8</v>
      </c>
      <c r="B2911" s="2" t="str">
        <f>HYPERLINK("http://ts.21cn.com/tousu/show/id/1333539","借贷宝恶意纵容套路贷补借条且恶意催收")</f>
        <v>借贷宝恶意纵容套路贷补借条且恶意催收</v>
      </c>
      <c r="C2911" s="2" t="s">
        <v>9</v>
      </c>
      <c r="D2911" s="2" t="s">
        <v>10</v>
      </c>
      <c r="E2911" s="2" t="str">
        <f>HYPERLINK("http://ts.21cn.com/tousu/show/id/1333539","http://ts.21cn.com/tousu/show/id/1333539")</f>
        <v>http://ts.21cn.com/tousu/show/id/1333539</v>
      </c>
      <c r="F2911" s="2" t="s">
        <v>11</v>
      </c>
      <c r="G2911" s="2" t="s">
        <v>38408</v>
      </c>
      <c r="H2911" s="2" t="s">
        <v>38409</v>
      </c>
    </row>
    <row r="2912" spans="1:8" ht="25.05" customHeight="1" x14ac:dyDescent="0.25">
      <c r="A2912" s="2" t="s">
        <v>8</v>
      </c>
      <c r="B2912" s="2" t="str">
        <f>HYPERLINK("http://ts.21cn.com/tousu/show/id/1333550","钱站高利贷阴阳合同")</f>
        <v>钱站高利贷阴阳合同</v>
      </c>
      <c r="C2912" s="2" t="s">
        <v>9</v>
      </c>
      <c r="D2912" s="2" t="s">
        <v>10</v>
      </c>
      <c r="E2912" s="2" t="str">
        <f>HYPERLINK("http://ts.21cn.com/tousu/show/id/1333550","http://ts.21cn.com/tousu/show/id/1333550")</f>
        <v>http://ts.21cn.com/tousu/show/id/1333550</v>
      </c>
      <c r="F2912" s="2" t="s">
        <v>11</v>
      </c>
      <c r="G2912" s="2" t="s">
        <v>38406</v>
      </c>
      <c r="H2912" s="2" t="s">
        <v>38407</v>
      </c>
    </row>
    <row r="2913" spans="1:8" ht="25.05" customHeight="1" x14ac:dyDescent="0.25">
      <c r="A2913" s="2" t="s">
        <v>8</v>
      </c>
      <c r="B2913" s="2" t="str">
        <f>HYPERLINK("http://ts.21cn.com/tousu/show/id/1333551","真多银吉顺通套路贷")</f>
        <v>真多银吉顺通套路贷</v>
      </c>
      <c r="C2913" s="2" t="s">
        <v>9</v>
      </c>
      <c r="D2913" s="2" t="s">
        <v>10</v>
      </c>
      <c r="E2913" s="2" t="str">
        <f>HYPERLINK("http://ts.21cn.com/tousu/show/id/1333551","http://ts.21cn.com/tousu/show/id/1333551")</f>
        <v>http://ts.21cn.com/tousu/show/id/1333551</v>
      </c>
      <c r="F2913" s="2" t="s">
        <v>11</v>
      </c>
      <c r="G2913" s="2" t="s">
        <v>38404</v>
      </c>
      <c r="H2913" s="2" t="s">
        <v>38405</v>
      </c>
    </row>
    <row r="2914" spans="1:8" ht="25.05" customHeight="1" x14ac:dyDescent="0.25">
      <c r="A2914" s="2" t="s">
        <v>8</v>
      </c>
      <c r="B2914" s="2" t="str">
        <f>HYPERLINK("http://ts.21cn.com/tousu/show/id/1333552","投诉中金支付携手嘉盈顺不明扣款，农行也不给提醒")</f>
        <v>投诉中金支付携手嘉盈顺不明扣款，农行也不给提醒</v>
      </c>
      <c r="C2914" s="2" t="s">
        <v>9</v>
      </c>
      <c r="D2914" s="2" t="s">
        <v>10</v>
      </c>
      <c r="E2914" s="2" t="str">
        <f>HYPERLINK("http://ts.21cn.com/tousu/show/id/1333552","http://ts.21cn.com/tousu/show/id/1333552")</f>
        <v>http://ts.21cn.com/tousu/show/id/1333552</v>
      </c>
      <c r="F2914" s="2" t="s">
        <v>11</v>
      </c>
      <c r="G2914" s="2" t="s">
        <v>38402</v>
      </c>
      <c r="H2914" s="2" t="s">
        <v>38403</v>
      </c>
    </row>
    <row r="2915" spans="1:8" ht="25.05" customHeight="1" x14ac:dyDescent="0.25">
      <c r="A2915" s="2" t="s">
        <v>8</v>
      </c>
      <c r="B2915" s="2" t="str">
        <f>HYPERLINK("http://ts.21cn.com/tousu/show/id/1333553","霸王条约，不予退款，退改问题")</f>
        <v>霸王条约，不予退款，退改问题</v>
      </c>
      <c r="C2915" s="2" t="s">
        <v>9</v>
      </c>
      <c r="D2915" s="2" t="s">
        <v>10</v>
      </c>
      <c r="E2915" s="2" t="str">
        <f>HYPERLINK("http://ts.21cn.com/tousu/show/id/1333553","http://ts.21cn.com/tousu/show/id/1333553")</f>
        <v>http://ts.21cn.com/tousu/show/id/1333553</v>
      </c>
      <c r="F2915" s="2" t="s">
        <v>11</v>
      </c>
      <c r="G2915" s="2" t="s">
        <v>38400</v>
      </c>
      <c r="H2915" s="2" t="s">
        <v>38401</v>
      </c>
    </row>
    <row r="2916" spans="1:8" ht="25.05" customHeight="1" x14ac:dyDescent="0.25">
      <c r="A2916" s="2" t="s">
        <v>8</v>
      </c>
      <c r="B2916" s="2" t="str">
        <f>HYPERLINK("http://ts.21cn.com/tousu/show/id/1333554","平安普惠骚扰")</f>
        <v>平安普惠骚扰</v>
      </c>
      <c r="C2916" s="2" t="s">
        <v>34</v>
      </c>
      <c r="D2916" s="2" t="s">
        <v>10</v>
      </c>
      <c r="E2916" s="2" t="str">
        <f>HYPERLINK("http://ts.21cn.com/tousu/show/id/1333554","http://ts.21cn.com/tousu/show/id/1333554")</f>
        <v>http://ts.21cn.com/tousu/show/id/1333554</v>
      </c>
      <c r="F2916" s="2" t="s">
        <v>11</v>
      </c>
      <c r="G2916" s="2" t="s">
        <v>38398</v>
      </c>
      <c r="H2916" s="2" t="s">
        <v>38399</v>
      </c>
    </row>
    <row r="2917" spans="1:8" ht="25.05" customHeight="1" x14ac:dyDescent="0.25">
      <c r="A2917" s="2" t="s">
        <v>8</v>
      </c>
      <c r="B2917" s="2" t="str">
        <f>HYPERLINK("http://ts.21cn.com/tousu/show/id/1333555","玖富高利贷")</f>
        <v>玖富高利贷</v>
      </c>
      <c r="C2917" s="2" t="s">
        <v>9</v>
      </c>
      <c r="D2917" s="2" t="s">
        <v>10</v>
      </c>
      <c r="E2917" s="2" t="str">
        <f>HYPERLINK("http://ts.21cn.com/tousu/show/id/1333555","http://ts.21cn.com/tousu/show/id/1333555")</f>
        <v>http://ts.21cn.com/tousu/show/id/1333555</v>
      </c>
      <c r="F2917" s="2" t="s">
        <v>11</v>
      </c>
      <c r="G2917" s="2" t="s">
        <v>38396</v>
      </c>
      <c r="H2917" s="2" t="s">
        <v>38397</v>
      </c>
    </row>
    <row r="2918" spans="1:8" ht="25.05" customHeight="1" x14ac:dyDescent="0.25">
      <c r="A2918" s="2" t="s">
        <v>8</v>
      </c>
      <c r="B2918" s="2" t="str">
        <f>HYPERLINK("http://ts.21cn.com/tousu/show/id/1333556","TCL、海尔老客户答谢会欺诈，产品为价格虚标，现场诱导消费，不提供发票，付款后拒不退货退款。")</f>
        <v>TCL、海尔老客户答谢会欺诈，产品为价格虚标，现场诱导消费，不提供发票，付款后拒不退货退款。</v>
      </c>
      <c r="C2918" s="2" t="s">
        <v>9</v>
      </c>
      <c r="D2918" s="2" t="s">
        <v>10</v>
      </c>
      <c r="E2918" s="2" t="str">
        <f>HYPERLINK("http://ts.21cn.com/tousu/show/id/1333556","http://ts.21cn.com/tousu/show/id/1333556")</f>
        <v>http://ts.21cn.com/tousu/show/id/1333556</v>
      </c>
      <c r="F2918" s="2" t="s">
        <v>11</v>
      </c>
      <c r="G2918" s="2" t="s">
        <v>38394</v>
      </c>
      <c r="H2918" s="2" t="s">
        <v>38395</v>
      </c>
    </row>
    <row r="2919" spans="1:8" ht="25.05" customHeight="1" x14ac:dyDescent="0.25">
      <c r="A2919" s="2" t="s">
        <v>8</v>
      </c>
      <c r="B2919" s="2" t="str">
        <f>HYPERLINK("http://ts.21cn.com/tousu/show/id/1333558","叉叉ipa精灵不退款,退款难")</f>
        <v>叉叉ipa精灵不退款,退款难</v>
      </c>
      <c r="C2919" s="2" t="s">
        <v>9</v>
      </c>
      <c r="D2919" s="2" t="s">
        <v>10</v>
      </c>
      <c r="E2919" s="2" t="str">
        <f>HYPERLINK("http://ts.21cn.com/tousu/show/id/1333558","http://ts.21cn.com/tousu/show/id/1333558")</f>
        <v>http://ts.21cn.com/tousu/show/id/1333558</v>
      </c>
      <c r="F2919" s="2" t="s">
        <v>11</v>
      </c>
      <c r="G2919" s="2" t="s">
        <v>38392</v>
      </c>
      <c r="H2919" s="2" t="s">
        <v>38393</v>
      </c>
    </row>
    <row r="2920" spans="1:8" ht="25.05" customHeight="1" x14ac:dyDescent="0.25">
      <c r="A2920" s="2" t="s">
        <v>8</v>
      </c>
      <c r="B2920" s="2" t="str">
        <f>HYPERLINK("http://ts.21cn.com/tousu/show/id/1333561","易起来砍头息暴力催收")</f>
        <v>易起来砍头息暴力催收</v>
      </c>
      <c r="C2920" s="2" t="s">
        <v>9</v>
      </c>
      <c r="D2920" s="2" t="s">
        <v>10</v>
      </c>
      <c r="E2920" s="2" t="str">
        <f>HYPERLINK("http://ts.21cn.com/tousu/show/id/1333561","http://ts.21cn.com/tousu/show/id/1333561")</f>
        <v>http://ts.21cn.com/tousu/show/id/1333561</v>
      </c>
      <c r="F2920" s="2" t="s">
        <v>11</v>
      </c>
      <c r="G2920" s="2" t="s">
        <v>38390</v>
      </c>
      <c r="H2920" s="2" t="s">
        <v>38391</v>
      </c>
    </row>
    <row r="2921" spans="1:8" ht="25.05" customHeight="1" x14ac:dyDescent="0.25">
      <c r="A2921" s="2" t="s">
        <v>8</v>
      </c>
      <c r="B2921" s="2" t="str">
        <f>HYPERLINK("http://ts.21cn.com/tousu/show/id/1333562","南沙古格房产中介天玺湾店以低于客户实收卖房底价放盘！影响我卖房！")</f>
        <v>南沙古格房产中介天玺湾店以低于客户实收卖房底价放盘！影响我卖房！</v>
      </c>
      <c r="C2921" s="2" t="s">
        <v>9</v>
      </c>
      <c r="D2921" s="2" t="s">
        <v>10</v>
      </c>
      <c r="E2921" s="2" t="str">
        <f>HYPERLINK("http://ts.21cn.com/tousu/show/id/1333562","http://ts.21cn.com/tousu/show/id/1333562")</f>
        <v>http://ts.21cn.com/tousu/show/id/1333562</v>
      </c>
      <c r="F2921" s="2" t="s">
        <v>11</v>
      </c>
      <c r="G2921" s="2" t="s">
        <v>38388</v>
      </c>
      <c r="H2921" s="2" t="s">
        <v>38389</v>
      </c>
    </row>
    <row r="2922" spans="1:8" ht="25.05" customHeight="1" x14ac:dyDescent="0.25">
      <c r="A2922" s="2" t="s">
        <v>8</v>
      </c>
      <c r="B2922" s="2" t="str">
        <f>HYPERLINK("http://ts.21cn.com/tousu/show/id/1333560","双证司机的崩溃")</f>
        <v>双证司机的崩溃</v>
      </c>
      <c r="C2922" s="2" t="s">
        <v>9</v>
      </c>
      <c r="D2922" s="2" t="s">
        <v>10</v>
      </c>
      <c r="E2922" s="2" t="str">
        <f>HYPERLINK("http://ts.21cn.com/tousu/show/id/1333560","http://ts.21cn.com/tousu/show/id/1333560")</f>
        <v>http://ts.21cn.com/tousu/show/id/1333560</v>
      </c>
      <c r="F2922" s="2" t="s">
        <v>11</v>
      </c>
      <c r="G2922" s="2" t="s">
        <v>38386</v>
      </c>
      <c r="H2922" s="2" t="s">
        <v>38387</v>
      </c>
    </row>
    <row r="2923" spans="1:8" ht="25.05" customHeight="1" x14ac:dyDescent="0.25">
      <c r="A2923" s="2" t="s">
        <v>8</v>
      </c>
      <c r="B2923" s="2" t="str">
        <f>HYPERLINK("http://ts.21cn.com/tousu/show/id/1333563","随意乱扣我银行卡余额")</f>
        <v>随意乱扣我银行卡余额</v>
      </c>
      <c r="C2923" s="2" t="s">
        <v>9</v>
      </c>
      <c r="D2923" s="2" t="s">
        <v>10</v>
      </c>
      <c r="E2923" s="2" t="str">
        <f>HYPERLINK("http://ts.21cn.com/tousu/show/id/1333563","http://ts.21cn.com/tousu/show/id/1333563")</f>
        <v>http://ts.21cn.com/tousu/show/id/1333563</v>
      </c>
      <c r="F2923" s="2" t="s">
        <v>11</v>
      </c>
      <c r="G2923" s="2" t="s">
        <v>38384</v>
      </c>
      <c r="H2923" s="2" t="s">
        <v>38385</v>
      </c>
    </row>
    <row r="2924" spans="1:8" ht="25.05" customHeight="1" x14ac:dyDescent="0.25">
      <c r="A2924" s="2" t="s">
        <v>8</v>
      </c>
      <c r="B2924" s="2" t="str">
        <f>HYPERLINK("http://ts.21cn.com/tousu/show/id/1333565","我来贷高额逾期费影响正常还款")</f>
        <v>我来贷高额逾期费影响正常还款</v>
      </c>
      <c r="C2924" s="2" t="s">
        <v>9</v>
      </c>
      <c r="D2924" s="2" t="s">
        <v>10</v>
      </c>
      <c r="E2924" s="2" t="str">
        <f>HYPERLINK("http://ts.21cn.com/tousu/show/id/1333565","http://ts.21cn.com/tousu/show/id/1333565")</f>
        <v>http://ts.21cn.com/tousu/show/id/1333565</v>
      </c>
      <c r="F2924" s="2" t="s">
        <v>11</v>
      </c>
      <c r="G2924" s="2" t="s">
        <v>38382</v>
      </c>
      <c r="H2924" s="2" t="s">
        <v>38383</v>
      </c>
    </row>
    <row r="2925" spans="1:8" ht="25.05" customHeight="1" x14ac:dyDescent="0.25">
      <c r="A2925" s="2" t="s">
        <v>8</v>
      </c>
      <c r="B2925" s="2" t="str">
        <f>HYPERLINK("http://ts.21cn.com/tousu/show/id/1333566","关于美约app乱扣费问题，免费试用后，自动续费会员一年298元")</f>
        <v>关于美约app乱扣费问题，免费试用后，自动续费会员一年298元</v>
      </c>
      <c r="C2925" s="2" t="s">
        <v>34</v>
      </c>
      <c r="D2925" s="2" t="s">
        <v>10</v>
      </c>
      <c r="E2925" s="2" t="str">
        <f>HYPERLINK("http://ts.21cn.com/tousu/show/id/1333566","http://ts.21cn.com/tousu/show/id/1333566")</f>
        <v>http://ts.21cn.com/tousu/show/id/1333566</v>
      </c>
      <c r="F2925" s="2" t="s">
        <v>11</v>
      </c>
      <c r="G2925" s="2" t="s">
        <v>38380</v>
      </c>
      <c r="H2925" s="2" t="s">
        <v>38381</v>
      </c>
    </row>
    <row r="2926" spans="1:8" ht="25.05" customHeight="1" x14ac:dyDescent="0.25">
      <c r="A2926" s="2" t="s">
        <v>8</v>
      </c>
      <c r="B2926" s="2" t="str">
        <f>HYPERLINK("http://ts.21cn.com/tousu/show/id/1333567","交通银行信用卡中心催收态度恶劣，威胁本人")</f>
        <v>交通银行信用卡中心催收态度恶劣，威胁本人</v>
      </c>
      <c r="C2926" s="2" t="s">
        <v>9</v>
      </c>
      <c r="D2926" s="2" t="s">
        <v>10</v>
      </c>
      <c r="E2926" s="2" t="str">
        <f>HYPERLINK("http://ts.21cn.com/tousu/show/id/1333567","http://ts.21cn.com/tousu/show/id/1333567")</f>
        <v>http://ts.21cn.com/tousu/show/id/1333567</v>
      </c>
      <c r="F2926" s="2" t="s">
        <v>11</v>
      </c>
      <c r="G2926" s="2" t="s">
        <v>38378</v>
      </c>
      <c r="H2926" s="2" t="s">
        <v>38379</v>
      </c>
    </row>
    <row r="2927" spans="1:8" ht="25.05" customHeight="1" x14ac:dyDescent="0.25">
      <c r="A2927" s="2" t="s">
        <v>8</v>
      </c>
      <c r="B2927" s="2" t="str">
        <f>HYPERLINK("http://ts.21cn.com/tousu/show/id/1333568","打电话威胁家人朋友")</f>
        <v>打电话威胁家人朋友</v>
      </c>
      <c r="C2927" s="2" t="s">
        <v>9</v>
      </c>
      <c r="D2927" s="2" t="s">
        <v>10</v>
      </c>
      <c r="E2927" s="2" t="str">
        <f>HYPERLINK("http://ts.21cn.com/tousu/show/id/1333568","http://ts.21cn.com/tousu/show/id/1333568")</f>
        <v>http://ts.21cn.com/tousu/show/id/1333568</v>
      </c>
      <c r="F2927" s="2" t="s">
        <v>11</v>
      </c>
      <c r="G2927" s="2" t="s">
        <v>38376</v>
      </c>
      <c r="H2927" s="2" t="s">
        <v>38377</v>
      </c>
    </row>
    <row r="2928" spans="1:8" ht="25.05" customHeight="1" x14ac:dyDescent="0.25">
      <c r="A2928" s="2" t="s">
        <v>8</v>
      </c>
      <c r="B2928" s="2" t="str">
        <f>HYPERLINK("http://ts.21cn.com/tousu/show/id/1333544","交易猫平台联合卖家欺诈消费者钱财")</f>
        <v>交易猫平台联合卖家欺诈消费者钱财</v>
      </c>
      <c r="C2928" s="2" t="s">
        <v>9</v>
      </c>
      <c r="D2928" s="2" t="s">
        <v>10</v>
      </c>
      <c r="E2928" s="2" t="str">
        <f>HYPERLINK("http://ts.21cn.com/tousu/show/id/1333544","http://ts.21cn.com/tousu/show/id/1333544")</f>
        <v>http://ts.21cn.com/tousu/show/id/1333544</v>
      </c>
      <c r="F2928" s="2" t="s">
        <v>11</v>
      </c>
      <c r="G2928" s="2" t="s">
        <v>38374</v>
      </c>
      <c r="H2928" s="2" t="s">
        <v>38375</v>
      </c>
    </row>
    <row r="2929" spans="1:8" ht="25.05" customHeight="1" x14ac:dyDescent="0.25">
      <c r="A2929" s="2" t="s">
        <v>8</v>
      </c>
      <c r="B2929" s="2" t="str">
        <f>HYPERLINK("http://ts.21cn.com/tousu/show/id/1333569","滴滴随意克扣司机劳动成果")</f>
        <v>滴滴随意克扣司机劳动成果</v>
      </c>
      <c r="C2929" s="2" t="s">
        <v>9</v>
      </c>
      <c r="D2929" s="2" t="s">
        <v>10</v>
      </c>
      <c r="E2929" s="2" t="str">
        <f>HYPERLINK("http://ts.21cn.com/tousu/show/id/1333569","http://ts.21cn.com/tousu/show/id/1333569")</f>
        <v>http://ts.21cn.com/tousu/show/id/1333569</v>
      </c>
      <c r="F2929" s="2" t="s">
        <v>11</v>
      </c>
      <c r="G2929" s="2" t="s">
        <v>38372</v>
      </c>
      <c r="H2929" s="2" t="s">
        <v>38373</v>
      </c>
    </row>
    <row r="2930" spans="1:8" ht="25.05" customHeight="1" x14ac:dyDescent="0.25">
      <c r="A2930" s="2" t="s">
        <v>8</v>
      </c>
      <c r="B2930" s="2" t="str">
        <f>HYPERLINK("http://ts.21cn.com/tousu/show/id/1333570","玖富万卡，年利率超过3分利息！[投诉对象]玖富万卡")</f>
        <v>玖富万卡，年利率超过3分利息！[投诉对象]玖富万卡</v>
      </c>
      <c r="C2930" s="2" t="s">
        <v>9</v>
      </c>
      <c r="D2930" s="2" t="s">
        <v>10</v>
      </c>
      <c r="E2930" s="2" t="str">
        <f>HYPERLINK("http://ts.21cn.com/tousu/show/id/1333570","http://ts.21cn.com/tousu/show/id/1333570")</f>
        <v>http://ts.21cn.com/tousu/show/id/1333570</v>
      </c>
      <c r="F2930" s="2" t="s">
        <v>11</v>
      </c>
      <c r="G2930" s="2" t="s">
        <v>38370</v>
      </c>
      <c r="H2930" s="2" t="s">
        <v>38371</v>
      </c>
    </row>
    <row r="2931" spans="1:8" ht="25.05" customHeight="1" x14ac:dyDescent="0.25">
      <c r="A2931" s="2" t="s">
        <v>8</v>
      </c>
      <c r="B2931" s="2" t="str">
        <f>HYPERLINK("http://ts.21cn.com/tousu/show/id/1333571","怪兽充电归还显示仍在使用")</f>
        <v>怪兽充电归还显示仍在使用</v>
      </c>
      <c r="C2931" s="2" t="s">
        <v>34</v>
      </c>
      <c r="D2931" s="2" t="s">
        <v>10</v>
      </c>
      <c r="E2931" s="2" t="str">
        <f>HYPERLINK("http://ts.21cn.com/tousu/show/id/1333571","http://ts.21cn.com/tousu/show/id/1333571")</f>
        <v>http://ts.21cn.com/tousu/show/id/1333571</v>
      </c>
      <c r="F2931" s="2" t="s">
        <v>11</v>
      </c>
      <c r="G2931" s="2" t="s">
        <v>38368</v>
      </c>
      <c r="H2931" s="2" t="s">
        <v>38369</v>
      </c>
    </row>
    <row r="2932" spans="1:8" ht="25.05" customHeight="1" x14ac:dyDescent="0.25">
      <c r="A2932" s="2" t="s">
        <v>8</v>
      </c>
      <c r="B2932" s="2" t="str">
        <f>HYPERLINK("http://ts.21cn.com/tousu/show/id/1333572","自由摩卡诺和信用计划砍头息")</f>
        <v>自由摩卡诺和信用计划砍头息</v>
      </c>
      <c r="C2932" s="2" t="s">
        <v>9</v>
      </c>
      <c r="D2932" s="2" t="s">
        <v>10</v>
      </c>
      <c r="E2932" s="2" t="str">
        <f>HYPERLINK("http://ts.21cn.com/tousu/show/id/1333572","http://ts.21cn.com/tousu/show/id/1333572")</f>
        <v>http://ts.21cn.com/tousu/show/id/1333572</v>
      </c>
      <c r="F2932" s="2" t="s">
        <v>11</v>
      </c>
      <c r="G2932" s="2" t="s">
        <v>38366</v>
      </c>
      <c r="H2932" s="2" t="s">
        <v>38367</v>
      </c>
    </row>
    <row r="2933" spans="1:8" ht="25.05" customHeight="1" x14ac:dyDescent="0.25">
      <c r="A2933" s="2" t="s">
        <v>8</v>
      </c>
      <c r="B2933" s="2" t="str">
        <f>HYPERLINK("http://ts.21cn.com/tousu/show/id/1333573","好易贷高利贷违反国家利息")</f>
        <v>好易贷高利贷违反国家利息</v>
      </c>
      <c r="C2933" s="2" t="s">
        <v>9</v>
      </c>
      <c r="D2933" s="2" t="s">
        <v>10</v>
      </c>
      <c r="E2933" s="2" t="str">
        <f>HYPERLINK("http://ts.21cn.com/tousu/show/id/1333573","http://ts.21cn.com/tousu/show/id/1333573")</f>
        <v>http://ts.21cn.com/tousu/show/id/1333573</v>
      </c>
      <c r="F2933" s="2" t="s">
        <v>11</v>
      </c>
      <c r="G2933" s="2" t="s">
        <v>38364</v>
      </c>
      <c r="H2933" s="2" t="s">
        <v>38365</v>
      </c>
    </row>
    <row r="2934" spans="1:8" ht="25.05" customHeight="1" x14ac:dyDescent="0.25">
      <c r="A2934" s="2" t="s">
        <v>8</v>
      </c>
      <c r="B2934" s="2" t="str">
        <f>HYPERLINK("http://ts.21cn.com/tousu/show/id/1333574","百世快递丢件")</f>
        <v>百世快递丢件</v>
      </c>
      <c r="C2934" s="2" t="s">
        <v>9</v>
      </c>
      <c r="D2934" s="2" t="s">
        <v>10</v>
      </c>
      <c r="E2934" s="2" t="str">
        <f>HYPERLINK("http://ts.21cn.com/tousu/show/id/1333574","http://ts.21cn.com/tousu/show/id/1333574")</f>
        <v>http://ts.21cn.com/tousu/show/id/1333574</v>
      </c>
      <c r="F2934" s="2" t="s">
        <v>11</v>
      </c>
      <c r="G2934" s="2" t="s">
        <v>38362</v>
      </c>
      <c r="H2934" s="2" t="s">
        <v>38363</v>
      </c>
    </row>
    <row r="2935" spans="1:8" ht="25.05" customHeight="1" x14ac:dyDescent="0.25">
      <c r="A2935" s="2" t="s">
        <v>8</v>
      </c>
      <c r="B2935" s="2" t="str">
        <f>HYPERLINK("http://ts.21cn.com/tousu/show/id/1333575","一直骚扰亲朋好友，严重影响我的生活")</f>
        <v>一直骚扰亲朋好友，严重影响我的生活</v>
      </c>
      <c r="C2935" s="2" t="s">
        <v>9</v>
      </c>
      <c r="D2935" s="2" t="s">
        <v>10</v>
      </c>
      <c r="E2935" s="2" t="str">
        <f>HYPERLINK("http://ts.21cn.com/tousu/show/id/1333575","http://ts.21cn.com/tousu/show/id/1333575")</f>
        <v>http://ts.21cn.com/tousu/show/id/1333575</v>
      </c>
      <c r="F2935" s="2" t="s">
        <v>11</v>
      </c>
      <c r="G2935" s="2" t="s">
        <v>38360</v>
      </c>
      <c r="H2935" s="2" t="s">
        <v>38361</v>
      </c>
    </row>
    <row r="2936" spans="1:8" ht="25.05" customHeight="1" x14ac:dyDescent="0.25">
      <c r="A2936" s="2" t="s">
        <v>8</v>
      </c>
      <c r="B2936" s="2" t="str">
        <f>HYPERLINK("http://ts.21cn.com/tousu/show/id/1333577","圆通快递给我丢件没人处理")</f>
        <v>圆通快递给我丢件没人处理</v>
      </c>
      <c r="C2936" s="2" t="s">
        <v>9</v>
      </c>
      <c r="D2936" s="2" t="s">
        <v>10</v>
      </c>
      <c r="E2936" s="2" t="str">
        <f>HYPERLINK("http://ts.21cn.com/tousu/show/id/1333577","http://ts.21cn.com/tousu/show/id/1333577")</f>
        <v>http://ts.21cn.com/tousu/show/id/1333577</v>
      </c>
      <c r="F2936" s="2" t="s">
        <v>11</v>
      </c>
      <c r="G2936" s="2" t="s">
        <v>38358</v>
      </c>
      <c r="H2936" s="2" t="s">
        <v>38359</v>
      </c>
    </row>
    <row r="2937" spans="1:8" ht="25.05" customHeight="1" x14ac:dyDescent="0.25">
      <c r="A2937" s="2" t="s">
        <v>8</v>
      </c>
      <c r="B2937" s="2" t="str">
        <f>HYPERLINK("http://ts.21cn.com/tousu/show/id/1333582","借贷宝到期1天app无法登陆第二天产生高额费用")</f>
        <v>借贷宝到期1天app无法登陆第二天产生高额费用</v>
      </c>
      <c r="C2937" s="2" t="s">
        <v>34</v>
      </c>
      <c r="D2937" s="2" t="s">
        <v>10</v>
      </c>
      <c r="E2937" s="2" t="str">
        <f>HYPERLINK("http://ts.21cn.com/tousu/show/id/1333582","http://ts.21cn.com/tousu/show/id/1333582")</f>
        <v>http://ts.21cn.com/tousu/show/id/1333582</v>
      </c>
      <c r="F2937" s="2" t="s">
        <v>11</v>
      </c>
      <c r="G2937" s="2" t="s">
        <v>38356</v>
      </c>
      <c r="H2937" s="2" t="s">
        <v>38357</v>
      </c>
    </row>
    <row r="2938" spans="1:8" ht="25.05" customHeight="1" x14ac:dyDescent="0.25">
      <c r="A2938" s="2" t="s">
        <v>8</v>
      </c>
      <c r="B2938" s="2" t="str">
        <f>HYPERLINK("http://ts.21cn.com/tousu/show/id/1333578","玖富万卡利息超过规定，高利贷")</f>
        <v>玖富万卡利息超过规定，高利贷</v>
      </c>
      <c r="C2938" s="2" t="s">
        <v>9</v>
      </c>
      <c r="D2938" s="2" t="s">
        <v>10</v>
      </c>
      <c r="E2938" s="2" t="str">
        <f>HYPERLINK("http://ts.21cn.com/tousu/show/id/1333578","http://ts.21cn.com/tousu/show/id/1333578")</f>
        <v>http://ts.21cn.com/tousu/show/id/1333578</v>
      </c>
      <c r="F2938" s="2" t="s">
        <v>11</v>
      </c>
      <c r="G2938" s="2" t="s">
        <v>38354</v>
      </c>
      <c r="H2938" s="2" t="s">
        <v>38355</v>
      </c>
    </row>
    <row r="2939" spans="1:8" ht="25.05" customHeight="1" x14ac:dyDescent="0.25">
      <c r="A2939" s="2" t="s">
        <v>8</v>
      </c>
      <c r="B2939" s="2" t="str">
        <f>HYPERLINK("http://ts.21cn.com/tousu/show/id/1333579","马上金融我希望你们能协商处理并且让我分期还你们的欠款，不然这样耗着，你们也要不到钱")</f>
        <v>马上金融我希望你们能协商处理并且让我分期还你们的欠款，不然这样耗着，你们也要不到钱</v>
      </c>
      <c r="C2939" s="2" t="s">
        <v>9</v>
      </c>
      <c r="D2939" s="2" t="s">
        <v>10</v>
      </c>
      <c r="E2939" s="2" t="str">
        <f>HYPERLINK("http://ts.21cn.com/tousu/show/id/1333579","http://ts.21cn.com/tousu/show/id/1333579")</f>
        <v>http://ts.21cn.com/tousu/show/id/1333579</v>
      </c>
      <c r="F2939" s="2" t="s">
        <v>11</v>
      </c>
      <c r="G2939" s="2" t="s">
        <v>38352</v>
      </c>
      <c r="H2939" s="2" t="s">
        <v>38353</v>
      </c>
    </row>
    <row r="2940" spans="1:8" ht="25.05" customHeight="1" x14ac:dyDescent="0.25">
      <c r="A2940" s="2" t="s">
        <v>8</v>
      </c>
      <c r="B2940" s="2" t="str">
        <f>HYPERLINK("http://ts.21cn.com/tousu/show/id/1333580","高利贷")</f>
        <v>高利贷</v>
      </c>
      <c r="C2940" s="2" t="s">
        <v>9</v>
      </c>
      <c r="D2940" s="2" t="s">
        <v>10</v>
      </c>
      <c r="E2940" s="2" t="str">
        <f>HYPERLINK("http://ts.21cn.com/tousu/show/id/1333580","http://ts.21cn.com/tousu/show/id/1333580")</f>
        <v>http://ts.21cn.com/tousu/show/id/1333580</v>
      </c>
      <c r="F2940" s="2" t="s">
        <v>11</v>
      </c>
      <c r="G2940" s="2" t="s">
        <v>38350</v>
      </c>
      <c r="H2940" s="2" t="s">
        <v>38351</v>
      </c>
    </row>
    <row r="2941" spans="1:8" ht="25.05" customHeight="1" x14ac:dyDescent="0.25">
      <c r="A2941" s="2" t="s">
        <v>8</v>
      </c>
      <c r="B2941" s="2" t="str">
        <f>HYPERLINK("http://ts.21cn.com/tousu/show/id/1333581","还钱不扣")</f>
        <v>还钱不扣</v>
      </c>
      <c r="C2941" s="2" t="s">
        <v>9</v>
      </c>
      <c r="D2941" s="2" t="s">
        <v>10</v>
      </c>
      <c r="E2941" s="2" t="str">
        <f>HYPERLINK("http://ts.21cn.com/tousu/show/id/1333581","http://ts.21cn.com/tousu/show/id/1333581")</f>
        <v>http://ts.21cn.com/tousu/show/id/1333581</v>
      </c>
      <c r="F2941" s="2" t="s">
        <v>11</v>
      </c>
      <c r="G2941" s="2" t="s">
        <v>38348</v>
      </c>
      <c r="H2941" s="2" t="s">
        <v>38349</v>
      </c>
    </row>
    <row r="2942" spans="1:8" ht="25.05" customHeight="1" x14ac:dyDescent="0.25">
      <c r="A2942" s="2" t="s">
        <v>8</v>
      </c>
      <c r="B2942" s="2" t="str">
        <f>HYPERLINK("http://ts.21cn.com/tousu/show/id/1333583","立刻出行不退我499押金")</f>
        <v>立刻出行不退我499押金</v>
      </c>
      <c r="C2942" s="2" t="s">
        <v>9</v>
      </c>
      <c r="D2942" s="2" t="s">
        <v>10</v>
      </c>
      <c r="E2942" s="2" t="str">
        <f>HYPERLINK("http://ts.21cn.com/tousu/show/id/1333583","http://ts.21cn.com/tousu/show/id/1333583")</f>
        <v>http://ts.21cn.com/tousu/show/id/1333583</v>
      </c>
      <c r="F2942" s="2" t="s">
        <v>11</v>
      </c>
      <c r="G2942" s="2" t="s">
        <v>38346</v>
      </c>
      <c r="H2942" s="2" t="s">
        <v>38347</v>
      </c>
    </row>
    <row r="2943" spans="1:8" ht="25.05" customHeight="1" x14ac:dyDescent="0.25">
      <c r="A2943" s="2" t="s">
        <v>8</v>
      </c>
      <c r="B2943" s="2" t="str">
        <f>HYPERLINK("http://ts.21cn.com/tousu/show/id/1333585","超市店铺商家乱开价")</f>
        <v>超市店铺商家乱开价</v>
      </c>
      <c r="C2943" s="2" t="s">
        <v>9</v>
      </c>
      <c r="D2943" s="2" t="s">
        <v>10</v>
      </c>
      <c r="E2943" s="2" t="str">
        <f>HYPERLINK("http://ts.21cn.com/tousu/show/id/1333585","http://ts.21cn.com/tousu/show/id/1333585")</f>
        <v>http://ts.21cn.com/tousu/show/id/1333585</v>
      </c>
      <c r="F2943" s="2" t="s">
        <v>11</v>
      </c>
      <c r="G2943" s="2" t="s">
        <v>38344</v>
      </c>
      <c r="H2943" s="2" t="s">
        <v>38345</v>
      </c>
    </row>
    <row r="2944" spans="1:8" ht="25.05" customHeight="1" x14ac:dyDescent="0.25">
      <c r="A2944" s="2" t="s">
        <v>8</v>
      </c>
      <c r="B2944" s="2" t="str">
        <f>HYPERLINK("http://ts.21cn.com/tousu/show/id/1333584","钱站放款高利贷")</f>
        <v>钱站放款高利贷</v>
      </c>
      <c r="C2944" s="2" t="s">
        <v>9</v>
      </c>
      <c r="D2944" s="2" t="s">
        <v>10</v>
      </c>
      <c r="E2944" s="2" t="str">
        <f>HYPERLINK("http://ts.21cn.com/tousu/show/id/1333584","http://ts.21cn.com/tousu/show/id/1333584")</f>
        <v>http://ts.21cn.com/tousu/show/id/1333584</v>
      </c>
      <c r="F2944" s="2" t="s">
        <v>11</v>
      </c>
      <c r="G2944" s="2" t="s">
        <v>38342</v>
      </c>
      <c r="H2944" s="2" t="s">
        <v>38343</v>
      </c>
    </row>
    <row r="2945" spans="1:8" ht="25.05" customHeight="1" x14ac:dyDescent="0.25">
      <c r="A2945" s="2" t="s">
        <v>8</v>
      </c>
      <c r="B2945" s="2" t="str">
        <f>HYPERLINK("http://ts.21cn.com/tousu/show/id/1333587","闪电借款变相砍头2000元")</f>
        <v>闪电借款变相砍头2000元</v>
      </c>
      <c r="C2945" s="2" t="s">
        <v>9</v>
      </c>
      <c r="D2945" s="2" t="s">
        <v>10</v>
      </c>
      <c r="E2945" s="2" t="str">
        <f>HYPERLINK("http://ts.21cn.com/tousu/show/id/1333587","http://ts.21cn.com/tousu/show/id/1333587")</f>
        <v>http://ts.21cn.com/tousu/show/id/1333587</v>
      </c>
      <c r="F2945" s="2" t="s">
        <v>11</v>
      </c>
      <c r="G2945" s="2" t="s">
        <v>38340</v>
      </c>
      <c r="H2945" s="2" t="s">
        <v>38341</v>
      </c>
    </row>
    <row r="2946" spans="1:8" ht="25.05" customHeight="1" x14ac:dyDescent="0.25">
      <c r="A2946" s="2" t="s">
        <v>8</v>
      </c>
      <c r="B2946" s="2" t="str">
        <f>HYPERLINK("http://ts.21cn.com/tousu/show/id/1333588","优信二手车套路贷")</f>
        <v>优信二手车套路贷</v>
      </c>
      <c r="C2946" s="2" t="s">
        <v>9</v>
      </c>
      <c r="D2946" s="2" t="s">
        <v>10</v>
      </c>
      <c r="E2946" s="2" t="str">
        <f>HYPERLINK("http://ts.21cn.com/tousu/show/id/1333588","http://ts.21cn.com/tousu/show/id/1333588")</f>
        <v>http://ts.21cn.com/tousu/show/id/1333588</v>
      </c>
      <c r="F2946" s="2" t="s">
        <v>11</v>
      </c>
      <c r="G2946" s="2" t="s">
        <v>38338</v>
      </c>
      <c r="H2946" s="2" t="s">
        <v>38339</v>
      </c>
    </row>
    <row r="2947" spans="1:8" ht="25.05" customHeight="1" x14ac:dyDescent="0.25">
      <c r="A2947" s="2" t="s">
        <v>8</v>
      </c>
      <c r="B2947" s="2" t="str">
        <f>HYPERLINK("http://ts.21cn.com/tousu/show/id/1333589","合肥工行庐东支行套路车贷")</f>
        <v>合肥工行庐东支行套路车贷</v>
      </c>
      <c r="C2947" s="2" t="s">
        <v>9</v>
      </c>
      <c r="D2947" s="2" t="s">
        <v>10</v>
      </c>
      <c r="E2947" s="2" t="str">
        <f>HYPERLINK("http://ts.21cn.com/tousu/show/id/1333589","http://ts.21cn.com/tousu/show/id/1333589")</f>
        <v>http://ts.21cn.com/tousu/show/id/1333589</v>
      </c>
      <c r="F2947" s="2" t="s">
        <v>11</v>
      </c>
      <c r="G2947" s="2" t="s">
        <v>38336</v>
      </c>
      <c r="H2947" s="2" t="s">
        <v>38337</v>
      </c>
    </row>
    <row r="2948" spans="1:8" ht="25.05" customHeight="1" x14ac:dyDescent="0.25">
      <c r="A2948" s="2" t="s">
        <v>8</v>
      </c>
      <c r="B2948" s="2" t="str">
        <f>HYPERLINK("http://ts.21cn.com/tousu/show/id/1333590","高利贷")</f>
        <v>高利贷</v>
      </c>
      <c r="C2948" s="2" t="s">
        <v>9</v>
      </c>
      <c r="D2948" s="2" t="s">
        <v>10</v>
      </c>
      <c r="E2948" s="2" t="str">
        <f>HYPERLINK("http://ts.21cn.com/tousu/show/id/1333590","http://ts.21cn.com/tousu/show/id/1333590")</f>
        <v>http://ts.21cn.com/tousu/show/id/1333590</v>
      </c>
      <c r="F2948" s="2" t="s">
        <v>11</v>
      </c>
      <c r="G2948" s="2" t="s">
        <v>38334</v>
      </c>
      <c r="H2948" s="2" t="s">
        <v>38335</v>
      </c>
    </row>
    <row r="2949" spans="1:8" ht="25.05" customHeight="1" x14ac:dyDescent="0.25">
      <c r="A2949" s="2" t="s">
        <v>8</v>
      </c>
      <c r="B2949" s="2" t="str">
        <f>HYPERLINK("http://ts.21cn.com/tousu/show/id/1333592","平安普惠合作催收暴力催收")</f>
        <v>平安普惠合作催收暴力催收</v>
      </c>
      <c r="C2949" s="2" t="s">
        <v>9</v>
      </c>
      <c r="D2949" s="2" t="s">
        <v>10</v>
      </c>
      <c r="E2949" s="2" t="str">
        <f>HYPERLINK("http://ts.21cn.com/tousu/show/id/1333592","http://ts.21cn.com/tousu/show/id/1333592")</f>
        <v>http://ts.21cn.com/tousu/show/id/1333592</v>
      </c>
      <c r="F2949" s="2" t="s">
        <v>11</v>
      </c>
      <c r="G2949" s="2" t="s">
        <v>38331</v>
      </c>
      <c r="H2949" s="2" t="s">
        <v>38332</v>
      </c>
    </row>
    <row r="2950" spans="1:8" ht="25.05" customHeight="1" x14ac:dyDescent="0.25">
      <c r="A2950" s="2" t="s">
        <v>8</v>
      </c>
      <c r="B2950" s="2" t="str">
        <f>HYPERLINK("http://ts.21cn.com/tousu/show/id/1333591","淘宝苏宁易购官方旗舰店耳机明明写七天无理由退货，退货时却被告知只要拆封就不能退")</f>
        <v>淘宝苏宁易购官方旗舰店耳机明明写七天无理由退货，退货时却被告知只要拆封就不能退</v>
      </c>
      <c r="C2950" s="2" t="s">
        <v>9</v>
      </c>
      <c r="D2950" s="2" t="s">
        <v>10</v>
      </c>
      <c r="E2950" s="2" t="str">
        <f>HYPERLINK("http://ts.21cn.com/tousu/show/id/1333591","http://ts.21cn.com/tousu/show/id/1333591")</f>
        <v>http://ts.21cn.com/tousu/show/id/1333591</v>
      </c>
      <c r="F2950" s="2" t="s">
        <v>11</v>
      </c>
      <c r="G2950" s="2" t="s">
        <v>38331</v>
      </c>
      <c r="H2950" s="2" t="s">
        <v>38333</v>
      </c>
    </row>
    <row r="2951" spans="1:8" ht="25.05" customHeight="1" x14ac:dyDescent="0.25">
      <c r="A2951" s="2" t="s">
        <v>8</v>
      </c>
      <c r="B2951" s="2" t="str">
        <f>HYPERLINK("http://ts.21cn.com/tousu/show/id/1333593","你借我有借款平台为高利贷平台")</f>
        <v>你借我有借款平台为高利贷平台</v>
      </c>
      <c r="C2951" s="2" t="s">
        <v>9</v>
      </c>
      <c r="D2951" s="2" t="s">
        <v>10</v>
      </c>
      <c r="E2951" s="2" t="str">
        <f>HYPERLINK("http://ts.21cn.com/tousu/show/id/1333593","http://ts.21cn.com/tousu/show/id/1333593")</f>
        <v>http://ts.21cn.com/tousu/show/id/1333593</v>
      </c>
      <c r="F2951" s="2" t="s">
        <v>11</v>
      </c>
      <c r="G2951" s="2" t="s">
        <v>38329</v>
      </c>
      <c r="H2951" s="2" t="s">
        <v>38330</v>
      </c>
    </row>
    <row r="2952" spans="1:8" ht="25.05" customHeight="1" x14ac:dyDescent="0.25">
      <c r="A2952" s="2" t="s">
        <v>8</v>
      </c>
      <c r="B2952" s="2" t="str">
        <f>HYPERLINK("http://ts.21cn.com/tousu/show/id/1333594","虾米在线网贷")</f>
        <v>虾米在线网贷</v>
      </c>
      <c r="C2952" s="2" t="s">
        <v>9</v>
      </c>
      <c r="D2952" s="2" t="s">
        <v>10</v>
      </c>
      <c r="E2952" s="2" t="str">
        <f>HYPERLINK("http://ts.21cn.com/tousu/show/id/1333594","http://ts.21cn.com/tousu/show/id/1333594")</f>
        <v>http://ts.21cn.com/tousu/show/id/1333594</v>
      </c>
      <c r="F2952" s="2" t="s">
        <v>11</v>
      </c>
      <c r="G2952" s="2" t="s">
        <v>38327</v>
      </c>
      <c r="H2952" s="2" t="s">
        <v>38328</v>
      </c>
    </row>
    <row r="2953" spans="1:8" ht="25.05" customHeight="1" x14ac:dyDescent="0.25">
      <c r="A2953" s="2" t="s">
        <v>8</v>
      </c>
      <c r="B2953" s="2" t="str">
        <f>HYPERLINK("http://ts.21cn.com/tousu/show/id/1333595","魔借APP不能还款，造成逾期如何处理")</f>
        <v>魔借APP不能还款，造成逾期如何处理</v>
      </c>
      <c r="C2953" s="2" t="s">
        <v>34</v>
      </c>
      <c r="D2953" s="2" t="s">
        <v>10</v>
      </c>
      <c r="E2953" s="2" t="str">
        <f>HYPERLINK("http://ts.21cn.com/tousu/show/id/1333595","http://ts.21cn.com/tousu/show/id/1333595")</f>
        <v>http://ts.21cn.com/tousu/show/id/1333595</v>
      </c>
      <c r="F2953" s="2" t="s">
        <v>11</v>
      </c>
      <c r="G2953" s="2" t="s">
        <v>38325</v>
      </c>
      <c r="H2953" s="2" t="s">
        <v>38326</v>
      </c>
    </row>
    <row r="2954" spans="1:8" ht="25.05" customHeight="1" x14ac:dyDescent="0.25">
      <c r="A2954" s="2" t="s">
        <v>8</v>
      </c>
      <c r="B2954" s="2" t="str">
        <f>HYPERLINK("http://ts.21cn.com/tousu/show/id/1333596","深陷网络赌博，请求退款")</f>
        <v>深陷网络赌博，请求退款</v>
      </c>
      <c r="C2954" s="2" t="s">
        <v>9</v>
      </c>
      <c r="D2954" s="2" t="s">
        <v>10</v>
      </c>
      <c r="E2954" s="2" t="str">
        <f>HYPERLINK("http://ts.21cn.com/tousu/show/id/1333596","http://ts.21cn.com/tousu/show/id/1333596")</f>
        <v>http://ts.21cn.com/tousu/show/id/1333596</v>
      </c>
      <c r="F2954" s="2" t="s">
        <v>11</v>
      </c>
      <c r="G2954" s="2" t="s">
        <v>38323</v>
      </c>
      <c r="H2954" s="2" t="s">
        <v>38324</v>
      </c>
    </row>
    <row r="2955" spans="1:8" ht="25.05" customHeight="1" x14ac:dyDescent="0.25">
      <c r="A2955" s="2" t="s">
        <v>8</v>
      </c>
      <c r="B2955" s="2" t="str">
        <f>HYPERLINK("http://ts.21cn.com/tousu/show/id/1333597","钱站高利贷，砍头息，阴阳合同")</f>
        <v>钱站高利贷，砍头息，阴阳合同</v>
      </c>
      <c r="C2955" s="2" t="s">
        <v>9</v>
      </c>
      <c r="D2955" s="2" t="s">
        <v>10</v>
      </c>
      <c r="E2955" s="2" t="str">
        <f>HYPERLINK("http://ts.21cn.com/tousu/show/id/1333597","http://ts.21cn.com/tousu/show/id/1333597")</f>
        <v>http://ts.21cn.com/tousu/show/id/1333597</v>
      </c>
      <c r="F2955" s="2" t="s">
        <v>11</v>
      </c>
      <c r="G2955" s="2" t="s">
        <v>38321</v>
      </c>
      <c r="H2955" s="2" t="s">
        <v>38322</v>
      </c>
    </row>
    <row r="2956" spans="1:8" ht="25.05" customHeight="1" x14ac:dyDescent="0.25">
      <c r="A2956" s="2" t="s">
        <v>8</v>
      </c>
      <c r="B2956" s="2" t="str">
        <f>HYPERLINK("http://ts.21cn.com/tousu/show/id/1333598","达飞云贷垃圾高利贷")</f>
        <v>达飞云贷垃圾高利贷</v>
      </c>
      <c r="C2956" s="2" t="s">
        <v>9</v>
      </c>
      <c r="D2956" s="2" t="s">
        <v>10</v>
      </c>
      <c r="E2956" s="2" t="str">
        <f>HYPERLINK("http://ts.21cn.com/tousu/show/id/1333598","http://ts.21cn.com/tousu/show/id/1333598")</f>
        <v>http://ts.21cn.com/tousu/show/id/1333598</v>
      </c>
      <c r="F2956" s="2" t="s">
        <v>11</v>
      </c>
      <c r="G2956" s="2" t="s">
        <v>38319</v>
      </c>
      <c r="H2956" s="2" t="s">
        <v>38320</v>
      </c>
    </row>
    <row r="2957" spans="1:8" ht="25.05" customHeight="1" x14ac:dyDescent="0.25">
      <c r="A2957" s="2" t="s">
        <v>8</v>
      </c>
      <c r="B2957" s="2" t="str">
        <f>HYPERLINK("http://ts.21cn.com/tousu/show/id/1327521","云闪付为不良平台提供支付通道")</f>
        <v>云闪付为不良平台提供支付通道</v>
      </c>
      <c r="C2957" s="2" t="s">
        <v>9</v>
      </c>
      <c r="D2957" s="2" t="s">
        <v>10</v>
      </c>
      <c r="E2957" s="2" t="str">
        <f>HYPERLINK("http://ts.21cn.com/tousu/show/id/1327521","http://ts.21cn.com/tousu/show/id/1327521")</f>
        <v>http://ts.21cn.com/tousu/show/id/1327521</v>
      </c>
      <c r="F2957" s="2" t="s">
        <v>11</v>
      </c>
      <c r="G2957" s="2" t="s">
        <v>38317</v>
      </c>
      <c r="H2957" s="2" t="s">
        <v>38318</v>
      </c>
    </row>
    <row r="2958" spans="1:8" ht="25.05" customHeight="1" x14ac:dyDescent="0.25">
      <c r="A2958" s="2" t="s">
        <v>8</v>
      </c>
      <c r="B2958" s="2" t="str">
        <f>HYPERLINK("http://ts.21cn.com/tousu/show/id/1333599","高利贷，要求退还不合法利息")</f>
        <v>高利贷，要求退还不合法利息</v>
      </c>
      <c r="C2958" s="2" t="s">
        <v>9</v>
      </c>
      <c r="D2958" s="2" t="s">
        <v>10</v>
      </c>
      <c r="E2958" s="2" t="str">
        <f>HYPERLINK("http://ts.21cn.com/tousu/show/id/1333599","http://ts.21cn.com/tousu/show/id/1333599")</f>
        <v>http://ts.21cn.com/tousu/show/id/1333599</v>
      </c>
      <c r="F2958" s="2" t="s">
        <v>11</v>
      </c>
      <c r="G2958" s="2" t="s">
        <v>38315</v>
      </c>
      <c r="H2958" s="2" t="s">
        <v>38316</v>
      </c>
    </row>
    <row r="2959" spans="1:8" ht="25.05" customHeight="1" x14ac:dyDescent="0.25">
      <c r="A2959" s="2" t="s">
        <v>8</v>
      </c>
      <c r="B2959" s="2" t="str">
        <f>HYPERLINK("http://ts.21cn.com/tousu/show/id/1333600","投诉哈罗单车乱收超区调度费")</f>
        <v>投诉哈罗单车乱收超区调度费</v>
      </c>
      <c r="C2959" s="2" t="s">
        <v>9</v>
      </c>
      <c r="D2959" s="2" t="s">
        <v>10</v>
      </c>
      <c r="E2959" s="2" t="str">
        <f>HYPERLINK("http://ts.21cn.com/tousu/show/id/1333600","http://ts.21cn.com/tousu/show/id/1333600")</f>
        <v>http://ts.21cn.com/tousu/show/id/1333600</v>
      </c>
      <c r="F2959" s="2" t="s">
        <v>11</v>
      </c>
      <c r="G2959" s="2" t="s">
        <v>38313</v>
      </c>
      <c r="H2959" s="2" t="s">
        <v>38314</v>
      </c>
    </row>
    <row r="2960" spans="1:8" ht="25.05" customHeight="1" x14ac:dyDescent="0.25">
      <c r="A2960" s="2" t="s">
        <v>8</v>
      </c>
      <c r="B2960" s="2" t="str">
        <f>HYPERLINK("http://ts.21cn.com/tousu/show/id/1329494","58分期变相高利贷")</f>
        <v>58分期变相高利贷</v>
      </c>
      <c r="C2960" s="2" t="s">
        <v>9</v>
      </c>
      <c r="D2960" s="2" t="s">
        <v>10</v>
      </c>
      <c r="E2960" s="2" t="str">
        <f>HYPERLINK("http://ts.21cn.com/tousu/show/id/1329494","http://ts.21cn.com/tousu/show/id/1329494")</f>
        <v>http://ts.21cn.com/tousu/show/id/1329494</v>
      </c>
      <c r="F2960" s="2" t="s">
        <v>11</v>
      </c>
      <c r="G2960" s="2" t="s">
        <v>38311</v>
      </c>
      <c r="H2960" s="2" t="s">
        <v>38312</v>
      </c>
    </row>
    <row r="2961" spans="1:8" ht="25.05" customHeight="1" x14ac:dyDescent="0.25">
      <c r="A2961" s="2" t="s">
        <v>8</v>
      </c>
      <c r="B2961" s="2" t="str">
        <f>HYPERLINK("http://ts.21cn.com/tousu/show/id/1333601","提现不到账，联系不了客服")</f>
        <v>提现不到账，联系不了客服</v>
      </c>
      <c r="C2961" s="2" t="s">
        <v>9</v>
      </c>
      <c r="D2961" s="2" t="s">
        <v>10</v>
      </c>
      <c r="E2961" s="2" t="str">
        <f>HYPERLINK("http://ts.21cn.com/tousu/show/id/1333601","http://ts.21cn.com/tousu/show/id/1333601")</f>
        <v>http://ts.21cn.com/tousu/show/id/1333601</v>
      </c>
      <c r="F2961" s="2" t="s">
        <v>11</v>
      </c>
      <c r="G2961" s="2" t="s">
        <v>38309</v>
      </c>
      <c r="H2961" s="2" t="s">
        <v>38310</v>
      </c>
    </row>
    <row r="2962" spans="1:8" ht="25.05" customHeight="1" x14ac:dyDescent="0.25">
      <c r="A2962" s="2" t="s">
        <v>8</v>
      </c>
      <c r="B2962" s="2" t="str">
        <f>HYPERLINK("http://ts.21cn.com/tousu/show/id/1333602","快闪卡贷高利贷15000到手买保险2400")</f>
        <v>快闪卡贷高利贷15000到手买保险2400</v>
      </c>
      <c r="C2962" s="2" t="s">
        <v>9</v>
      </c>
      <c r="D2962" s="2" t="s">
        <v>10</v>
      </c>
      <c r="E2962" s="2" t="str">
        <f>HYPERLINK("http://ts.21cn.com/tousu/show/id/1333602","http://ts.21cn.com/tousu/show/id/1333602")</f>
        <v>http://ts.21cn.com/tousu/show/id/1333602</v>
      </c>
      <c r="F2962" s="2" t="s">
        <v>11</v>
      </c>
      <c r="G2962" s="2" t="s">
        <v>38307</v>
      </c>
      <c r="H2962" s="2" t="s">
        <v>38308</v>
      </c>
    </row>
    <row r="2963" spans="1:8" ht="25.05" customHeight="1" x14ac:dyDescent="0.25">
      <c r="A2963" s="2" t="s">
        <v>8</v>
      </c>
      <c r="B2963" s="2" t="str">
        <f>HYPERLINK("http://ts.21cn.com/tousu/show/id/1333603","高利息")</f>
        <v>高利息</v>
      </c>
      <c r="C2963" s="2" t="s">
        <v>34</v>
      </c>
      <c r="D2963" s="2" t="s">
        <v>10</v>
      </c>
      <c r="E2963" s="2" t="str">
        <f>HYPERLINK("http://ts.21cn.com/tousu/show/id/1333603","http://ts.21cn.com/tousu/show/id/1333603")</f>
        <v>http://ts.21cn.com/tousu/show/id/1333603</v>
      </c>
      <c r="F2963" s="2" t="s">
        <v>11</v>
      </c>
      <c r="G2963" s="2" t="s">
        <v>38305</v>
      </c>
      <c r="H2963" s="2" t="s">
        <v>38306</v>
      </c>
    </row>
    <row r="2964" spans="1:8" ht="25.05" customHeight="1" x14ac:dyDescent="0.25">
      <c r="A2964" s="2" t="s">
        <v>8</v>
      </c>
      <c r="B2964" s="2" t="str">
        <f>HYPERLINK("http://ts.21cn.com/tousu/show/id/1333604","黑心网贷高额砍头习")</f>
        <v>黑心网贷高额砍头习</v>
      </c>
      <c r="C2964" s="2" t="s">
        <v>9</v>
      </c>
      <c r="D2964" s="2" t="s">
        <v>10</v>
      </c>
      <c r="E2964" s="2" t="str">
        <f>HYPERLINK("http://ts.21cn.com/tousu/show/id/1333604","http://ts.21cn.com/tousu/show/id/1333604")</f>
        <v>http://ts.21cn.com/tousu/show/id/1333604</v>
      </c>
      <c r="F2964" s="2" t="s">
        <v>11</v>
      </c>
      <c r="G2964" s="2" t="s">
        <v>38303</v>
      </c>
      <c r="H2964" s="2" t="s">
        <v>38304</v>
      </c>
    </row>
    <row r="2965" spans="1:8" ht="25.05" customHeight="1" x14ac:dyDescent="0.25">
      <c r="A2965" s="2" t="s">
        <v>8</v>
      </c>
      <c r="B2965" s="2" t="str">
        <f>HYPERLINK("http://ts.21cn.com/tousu/show/id/1333605","智行火车票订酒店没成功，人工客服电话打不通，客服还不理人")</f>
        <v>智行火车票订酒店没成功，人工客服电话打不通，客服还不理人</v>
      </c>
      <c r="C2965" s="2" t="s">
        <v>9</v>
      </c>
      <c r="D2965" s="2" t="s">
        <v>10</v>
      </c>
      <c r="E2965" s="2" t="str">
        <f>HYPERLINK("http://ts.21cn.com/tousu/show/id/1333605","http://ts.21cn.com/tousu/show/id/1333605")</f>
        <v>http://ts.21cn.com/tousu/show/id/1333605</v>
      </c>
      <c r="F2965" s="2" t="s">
        <v>11</v>
      </c>
      <c r="G2965" s="2" t="s">
        <v>38301</v>
      </c>
      <c r="H2965" s="2" t="s">
        <v>38302</v>
      </c>
    </row>
    <row r="2966" spans="1:8" ht="25.05" customHeight="1" x14ac:dyDescent="0.25">
      <c r="A2966" s="2" t="s">
        <v>8</v>
      </c>
      <c r="B2966" s="2" t="str">
        <f>HYPERLINK("http://ts.21cn.com/tousu/show/id/1333607","网贷逾期骚扰")</f>
        <v>网贷逾期骚扰</v>
      </c>
      <c r="C2966" s="2" t="s">
        <v>9</v>
      </c>
      <c r="D2966" s="2" t="s">
        <v>10</v>
      </c>
      <c r="E2966" s="2" t="str">
        <f>HYPERLINK("http://ts.21cn.com/tousu/show/id/1333607","http://ts.21cn.com/tousu/show/id/1333607")</f>
        <v>http://ts.21cn.com/tousu/show/id/1333607</v>
      </c>
      <c r="F2966" s="2" t="s">
        <v>11</v>
      </c>
      <c r="G2966" s="2" t="s">
        <v>38299</v>
      </c>
      <c r="H2966" s="2" t="s">
        <v>38300</v>
      </c>
    </row>
    <row r="2967" spans="1:8" ht="25.05" customHeight="1" x14ac:dyDescent="0.25">
      <c r="A2967" s="2" t="s">
        <v>8</v>
      </c>
      <c r="B2967" s="2" t="str">
        <f>HYPERLINK("http://ts.21cn.com/tousu/show/id/1333606","JORDAN官方旗舰店卖二手鞋给我")</f>
        <v>JORDAN官方旗舰店卖二手鞋给我</v>
      </c>
      <c r="C2967" s="2" t="s">
        <v>9</v>
      </c>
      <c r="D2967" s="2" t="s">
        <v>10</v>
      </c>
      <c r="E2967" s="2" t="str">
        <f>HYPERLINK("http://ts.21cn.com/tousu/show/id/1333606","http://ts.21cn.com/tousu/show/id/1333606")</f>
        <v>http://ts.21cn.com/tousu/show/id/1333606</v>
      </c>
      <c r="F2967" s="2" t="s">
        <v>11</v>
      </c>
      <c r="G2967" s="2" t="s">
        <v>38297</v>
      </c>
      <c r="H2967" s="2" t="s">
        <v>38298</v>
      </c>
    </row>
    <row r="2968" spans="1:8" ht="25.05" customHeight="1" x14ac:dyDescent="0.25">
      <c r="A2968" s="2" t="s">
        <v>8</v>
      </c>
      <c r="B2968" s="2" t="str">
        <f>HYPERLINK("http://ts.21cn.com/tousu/show/id/1333608","退款")</f>
        <v>退款</v>
      </c>
      <c r="C2968" s="2" t="s">
        <v>9</v>
      </c>
      <c r="D2968" s="2" t="s">
        <v>10</v>
      </c>
      <c r="E2968" s="2" t="str">
        <f>HYPERLINK("http://ts.21cn.com/tousu/show/id/1333608","http://ts.21cn.com/tousu/show/id/1333608")</f>
        <v>http://ts.21cn.com/tousu/show/id/1333608</v>
      </c>
      <c r="F2968" s="2" t="s">
        <v>11</v>
      </c>
      <c r="G2968" s="2" t="s">
        <v>38295</v>
      </c>
      <c r="H2968" s="2" t="s">
        <v>38296</v>
      </c>
    </row>
    <row r="2969" spans="1:8" ht="25.05" customHeight="1" x14ac:dyDescent="0.25">
      <c r="A2969" s="2" t="s">
        <v>8</v>
      </c>
      <c r="B2969" s="2" t="str">
        <f>HYPERLINK("http://ts.21cn.com/tousu/show/id/1333609","读秒套路贷")</f>
        <v>读秒套路贷</v>
      </c>
      <c r="C2969" s="2" t="s">
        <v>9</v>
      </c>
      <c r="D2969" s="2" t="s">
        <v>10</v>
      </c>
      <c r="E2969" s="2" t="str">
        <f>HYPERLINK("http://ts.21cn.com/tousu/show/id/1333609","http://ts.21cn.com/tousu/show/id/1333609")</f>
        <v>http://ts.21cn.com/tousu/show/id/1333609</v>
      </c>
      <c r="F2969" s="2" t="s">
        <v>11</v>
      </c>
      <c r="G2969" s="2" t="s">
        <v>38293</v>
      </c>
      <c r="H2969" s="2" t="s">
        <v>38294</v>
      </c>
    </row>
    <row r="2970" spans="1:8" ht="25.05" customHeight="1" x14ac:dyDescent="0.25">
      <c r="A2970" s="2" t="s">
        <v>8</v>
      </c>
      <c r="B2970" s="2" t="str">
        <f>HYPERLINK("http://ts.21cn.com/tousu/show/id/1333611","恢复服务分")</f>
        <v>恢复服务分</v>
      </c>
      <c r="C2970" s="2" t="s">
        <v>9</v>
      </c>
      <c r="D2970" s="2" t="s">
        <v>10</v>
      </c>
      <c r="E2970" s="2" t="str">
        <f>HYPERLINK("http://ts.21cn.com/tousu/show/id/1333611","http://ts.21cn.com/tousu/show/id/1333611")</f>
        <v>http://ts.21cn.com/tousu/show/id/1333611</v>
      </c>
      <c r="F2970" s="2" t="s">
        <v>11</v>
      </c>
      <c r="G2970" s="2" t="s">
        <v>38291</v>
      </c>
      <c r="H2970" s="2" t="s">
        <v>38292</v>
      </c>
    </row>
    <row r="2971" spans="1:8" ht="25.05" customHeight="1" x14ac:dyDescent="0.25">
      <c r="A2971" s="2" t="s">
        <v>8</v>
      </c>
      <c r="B2971" s="2" t="str">
        <f>HYPERLINK("http://ts.21cn.com/tousu/show/id/1333610","在同程艺龙买了车票因为有事更改行程不能去，协商退票对方拒绝")</f>
        <v>在同程艺龙买了车票因为有事更改行程不能去，协商退票对方拒绝</v>
      </c>
      <c r="C2971" s="2" t="s">
        <v>34</v>
      </c>
      <c r="D2971" s="2" t="s">
        <v>10</v>
      </c>
      <c r="E2971" s="2" t="str">
        <f>HYPERLINK("http://ts.21cn.com/tousu/show/id/1333610","http://ts.21cn.com/tousu/show/id/1333610")</f>
        <v>http://ts.21cn.com/tousu/show/id/1333610</v>
      </c>
      <c r="F2971" s="2" t="s">
        <v>11</v>
      </c>
      <c r="G2971" s="2" t="s">
        <v>38289</v>
      </c>
      <c r="H2971" s="2" t="s">
        <v>38290</v>
      </c>
    </row>
    <row r="2972" spans="1:8" ht="25.05" customHeight="1" x14ac:dyDescent="0.25">
      <c r="A2972" s="2" t="s">
        <v>8</v>
      </c>
      <c r="B2972" s="2" t="str">
        <f>HYPERLINK("http://ts.21cn.com/tousu/show/id/1333612","砍头息，套路贷")</f>
        <v>砍头息，套路贷</v>
      </c>
      <c r="C2972" s="2" t="s">
        <v>9</v>
      </c>
      <c r="D2972" s="2" t="s">
        <v>10</v>
      </c>
      <c r="E2972" s="2" t="str">
        <f>HYPERLINK("http://ts.21cn.com/tousu/show/id/1333612","http://ts.21cn.com/tousu/show/id/1333612")</f>
        <v>http://ts.21cn.com/tousu/show/id/1333612</v>
      </c>
      <c r="F2972" s="2" t="s">
        <v>11</v>
      </c>
      <c r="G2972" s="2" t="s">
        <v>38287</v>
      </c>
      <c r="H2972" s="2" t="s">
        <v>38288</v>
      </c>
    </row>
    <row r="2973" spans="1:8" ht="25.05" customHeight="1" x14ac:dyDescent="0.25">
      <c r="A2973" s="2" t="s">
        <v>8</v>
      </c>
      <c r="B2973" s="2" t="str">
        <f>HYPERLINK("http://ts.21cn.com/tousu/show/id/1333614","电话骚扰威胁")</f>
        <v>电话骚扰威胁</v>
      </c>
      <c r="C2973" s="2" t="s">
        <v>9</v>
      </c>
      <c r="D2973" s="2" t="s">
        <v>10</v>
      </c>
      <c r="E2973" s="2" t="str">
        <f>HYPERLINK("http://ts.21cn.com/tousu/show/id/1333614","http://ts.21cn.com/tousu/show/id/1333614")</f>
        <v>http://ts.21cn.com/tousu/show/id/1333614</v>
      </c>
      <c r="F2973" s="2" t="s">
        <v>11</v>
      </c>
      <c r="G2973" s="2" t="s">
        <v>38285</v>
      </c>
      <c r="H2973" s="2" t="s">
        <v>38286</v>
      </c>
    </row>
    <row r="2974" spans="1:8" ht="25.05" customHeight="1" x14ac:dyDescent="0.25">
      <c r="A2974" s="2" t="s">
        <v>8</v>
      </c>
      <c r="B2974" s="2" t="str">
        <f>HYPERLINK("http://ts.21cn.com/tousu/show/id/1333615","小赢卡贷高利贷")</f>
        <v>小赢卡贷高利贷</v>
      </c>
      <c r="C2974" s="2" t="s">
        <v>9</v>
      </c>
      <c r="D2974" s="2" t="s">
        <v>10</v>
      </c>
      <c r="E2974" s="2" t="str">
        <f>HYPERLINK("http://ts.21cn.com/tousu/show/id/1333615","http://ts.21cn.com/tousu/show/id/1333615")</f>
        <v>http://ts.21cn.com/tousu/show/id/1333615</v>
      </c>
      <c r="F2974" s="2" t="s">
        <v>11</v>
      </c>
      <c r="G2974" s="2" t="s">
        <v>38283</v>
      </c>
      <c r="H2974" s="2" t="s">
        <v>38284</v>
      </c>
    </row>
    <row r="2975" spans="1:8" ht="25.05" customHeight="1" x14ac:dyDescent="0.25">
      <c r="A2975" s="2" t="s">
        <v>8</v>
      </c>
      <c r="B2975" s="2" t="str">
        <f>HYPERLINK("http://ts.21cn.com/tousu/show/id/1333616","阿迪达斯官方敷衍推荐拖延")</f>
        <v>阿迪达斯官方敷衍推荐拖延</v>
      </c>
      <c r="C2975" s="2" t="s">
        <v>9</v>
      </c>
      <c r="D2975" s="2" t="s">
        <v>10</v>
      </c>
      <c r="E2975" s="2" t="str">
        <f>HYPERLINK("http://ts.21cn.com/tousu/show/id/1333616","http://ts.21cn.com/tousu/show/id/1333616")</f>
        <v>http://ts.21cn.com/tousu/show/id/1333616</v>
      </c>
      <c r="F2975" s="2" t="s">
        <v>11</v>
      </c>
      <c r="G2975" s="2" t="s">
        <v>38281</v>
      </c>
      <c r="H2975" s="2" t="s">
        <v>38282</v>
      </c>
    </row>
    <row r="2976" spans="1:8" ht="25.05" customHeight="1" x14ac:dyDescent="0.25">
      <c r="A2976" s="2" t="s">
        <v>8</v>
      </c>
      <c r="B2976" s="2" t="str">
        <f>HYPERLINK("http://ts.21cn.com/tousu/show/id/1333617","闪电借款客服不作为，助长催收暴力催收")</f>
        <v>闪电借款客服不作为，助长催收暴力催收</v>
      </c>
      <c r="C2976" s="2" t="s">
        <v>9</v>
      </c>
      <c r="D2976" s="2" t="s">
        <v>10</v>
      </c>
      <c r="E2976" s="2" t="str">
        <f>HYPERLINK("http://ts.21cn.com/tousu/show/id/1333617","http://ts.21cn.com/tousu/show/id/1333617")</f>
        <v>http://ts.21cn.com/tousu/show/id/1333617</v>
      </c>
      <c r="F2976" s="2" t="s">
        <v>11</v>
      </c>
      <c r="G2976" s="2" t="s">
        <v>38279</v>
      </c>
      <c r="H2976" s="2" t="s">
        <v>38280</v>
      </c>
    </row>
    <row r="2977" spans="1:8" ht="25.05" customHeight="1" x14ac:dyDescent="0.25">
      <c r="A2977" s="2" t="s">
        <v>8</v>
      </c>
      <c r="B2977" s="2" t="str">
        <f>HYPERLINK("http://ts.21cn.com/tousu/show/id/1333618","手机借钱、多宝分期不能还款")</f>
        <v>手机借钱、多宝分期不能还款</v>
      </c>
      <c r="C2977" s="2" t="s">
        <v>9</v>
      </c>
      <c r="D2977" s="2" t="s">
        <v>10</v>
      </c>
      <c r="E2977" s="2" t="str">
        <f>HYPERLINK("http://ts.21cn.com/tousu/show/id/1333618","http://ts.21cn.com/tousu/show/id/1333618")</f>
        <v>http://ts.21cn.com/tousu/show/id/1333618</v>
      </c>
      <c r="F2977" s="2" t="s">
        <v>11</v>
      </c>
      <c r="G2977" s="2" t="s">
        <v>38277</v>
      </c>
      <c r="H2977" s="2" t="s">
        <v>38278</v>
      </c>
    </row>
    <row r="2978" spans="1:8" ht="25.05" customHeight="1" x14ac:dyDescent="0.25">
      <c r="A2978" s="2" t="s">
        <v>8</v>
      </c>
      <c r="B2978" s="2" t="str">
        <f>HYPERLINK("http://ts.21cn.com/tousu/show/id/1333619","黑网贷（小当家）打电话威胁欠款，本金上个月就还完了！借了一千九三期就还两千四百多！太黑了")</f>
        <v>黑网贷（小当家）打电话威胁欠款，本金上个月就还完了！借了一千九三期就还两千四百多！太黑了</v>
      </c>
      <c r="C2978" s="2" t="s">
        <v>9</v>
      </c>
      <c r="D2978" s="2" t="s">
        <v>10</v>
      </c>
      <c r="E2978" s="2" t="str">
        <f>HYPERLINK("http://ts.21cn.com/tousu/show/id/1333619","http://ts.21cn.com/tousu/show/id/1333619")</f>
        <v>http://ts.21cn.com/tousu/show/id/1333619</v>
      </c>
      <c r="F2978" s="2" t="s">
        <v>11</v>
      </c>
      <c r="G2978" s="2" t="s">
        <v>38275</v>
      </c>
      <c r="H2978" s="2" t="s">
        <v>38276</v>
      </c>
    </row>
    <row r="2979" spans="1:8" ht="25.05" customHeight="1" x14ac:dyDescent="0.25">
      <c r="A2979" s="2" t="s">
        <v>8</v>
      </c>
      <c r="B2979" s="2" t="str">
        <f>HYPERLINK("http://ts.21cn.com/tousu/show/id/1333620","阴阳合同、高利贷")</f>
        <v>阴阳合同、高利贷</v>
      </c>
      <c r="C2979" s="2" t="s">
        <v>9</v>
      </c>
      <c r="D2979" s="2" t="s">
        <v>10</v>
      </c>
      <c r="E2979" s="2" t="str">
        <f>HYPERLINK("http://ts.21cn.com/tousu/show/id/1333620","http://ts.21cn.com/tousu/show/id/1333620")</f>
        <v>http://ts.21cn.com/tousu/show/id/1333620</v>
      </c>
      <c r="F2979" s="2" t="s">
        <v>11</v>
      </c>
      <c r="G2979" s="2" t="s">
        <v>38273</v>
      </c>
      <c r="H2979" s="2" t="s">
        <v>38274</v>
      </c>
    </row>
    <row r="2980" spans="1:8" ht="25.05" customHeight="1" x14ac:dyDescent="0.25">
      <c r="A2980" s="2" t="s">
        <v>8</v>
      </c>
      <c r="B2980" s="2" t="str">
        <f>HYPERLINK("http://ts.21cn.com/tousu/show/id/1333621","微品分期高额服务费")</f>
        <v>微品分期高额服务费</v>
      </c>
      <c r="C2980" s="2" t="s">
        <v>34</v>
      </c>
      <c r="D2980" s="2" t="s">
        <v>10</v>
      </c>
      <c r="E2980" s="2" t="str">
        <f>HYPERLINK("http://ts.21cn.com/tousu/show/id/1333621","http://ts.21cn.com/tousu/show/id/1333621")</f>
        <v>http://ts.21cn.com/tousu/show/id/1333621</v>
      </c>
      <c r="F2980" s="2" t="s">
        <v>11</v>
      </c>
      <c r="G2980" s="2" t="s">
        <v>38271</v>
      </c>
      <c r="H2980" s="2" t="s">
        <v>38272</v>
      </c>
    </row>
    <row r="2981" spans="1:8" ht="25.05" customHeight="1" x14ac:dyDescent="0.25">
      <c r="A2981" s="2" t="s">
        <v>8</v>
      </c>
      <c r="B2981" s="2" t="str">
        <f>HYPERLINK("http://ts.21cn.com/tousu/show/id/1333622","关于即有分期催款骚扰")</f>
        <v>关于即有分期催款骚扰</v>
      </c>
      <c r="C2981" s="2" t="s">
        <v>9</v>
      </c>
      <c r="D2981" s="2" t="s">
        <v>10</v>
      </c>
      <c r="E2981" s="2" t="str">
        <f>HYPERLINK("http://ts.21cn.com/tousu/show/id/1333622","http://ts.21cn.com/tousu/show/id/1333622")</f>
        <v>http://ts.21cn.com/tousu/show/id/1333622</v>
      </c>
      <c r="F2981" s="2" t="s">
        <v>11</v>
      </c>
      <c r="G2981" s="2" t="s">
        <v>38269</v>
      </c>
      <c r="H2981" s="2" t="s">
        <v>38270</v>
      </c>
    </row>
    <row r="2982" spans="1:8" ht="25.05" customHeight="1" x14ac:dyDescent="0.25">
      <c r="A2982" s="2" t="s">
        <v>8</v>
      </c>
      <c r="B2982" s="2" t="str">
        <f>HYPERLINK("http://ts.21cn.com/tousu/show/id/1333613","嗨钱还款不销账")</f>
        <v>嗨钱还款不销账</v>
      </c>
      <c r="C2982" s="2" t="s">
        <v>9</v>
      </c>
      <c r="D2982" s="2" t="s">
        <v>10</v>
      </c>
      <c r="E2982" s="2" t="str">
        <f>HYPERLINK("http://ts.21cn.com/tousu/show/id/1333613","http://ts.21cn.com/tousu/show/id/1333613")</f>
        <v>http://ts.21cn.com/tousu/show/id/1333613</v>
      </c>
      <c r="F2982" s="2" t="s">
        <v>11</v>
      </c>
      <c r="G2982" s="2" t="s">
        <v>38267</v>
      </c>
      <c r="H2982" s="2" t="s">
        <v>38268</v>
      </c>
    </row>
    <row r="2983" spans="1:8" ht="25.05" customHeight="1" x14ac:dyDescent="0.25">
      <c r="A2983" s="2" t="s">
        <v>8</v>
      </c>
      <c r="B2983" s="2" t="str">
        <f>HYPERLINK("http://ts.21cn.com/tousu/show/id/1333629","钱站高利贷阴阳合同")</f>
        <v>钱站高利贷阴阳合同</v>
      </c>
      <c r="C2983" s="2" t="s">
        <v>9</v>
      </c>
      <c r="D2983" s="2" t="s">
        <v>10</v>
      </c>
      <c r="E2983" s="2" t="str">
        <f>HYPERLINK("http://ts.21cn.com/tousu/show/id/1333629","http://ts.21cn.com/tousu/show/id/1333629")</f>
        <v>http://ts.21cn.com/tousu/show/id/1333629</v>
      </c>
      <c r="F2983" s="2" t="s">
        <v>11</v>
      </c>
      <c r="G2983" s="2" t="s">
        <v>38264</v>
      </c>
      <c r="H2983" s="2" t="s">
        <v>38265</v>
      </c>
    </row>
    <row r="2984" spans="1:8" ht="25.05" customHeight="1" x14ac:dyDescent="0.25">
      <c r="A2984" s="2" t="s">
        <v>8</v>
      </c>
      <c r="B2984" s="2" t="str">
        <f>HYPERLINK("http://ts.21cn.com/tousu/show/id/1333630","立借平台提供钱置宝放高利贷")</f>
        <v>立借平台提供钱置宝放高利贷</v>
      </c>
      <c r="C2984" s="2" t="s">
        <v>9</v>
      </c>
      <c r="D2984" s="2" t="s">
        <v>10</v>
      </c>
      <c r="E2984" s="2" t="str">
        <f>HYPERLINK("http://ts.21cn.com/tousu/show/id/1333630","http://ts.21cn.com/tousu/show/id/1333630")</f>
        <v>http://ts.21cn.com/tousu/show/id/1333630</v>
      </c>
      <c r="F2984" s="2" t="s">
        <v>11</v>
      </c>
      <c r="G2984" s="2" t="s">
        <v>38264</v>
      </c>
      <c r="H2984" s="2" t="s">
        <v>38266</v>
      </c>
    </row>
    <row r="2985" spans="1:8" ht="25.05" customHeight="1" x14ac:dyDescent="0.25">
      <c r="A2985" s="2" t="s">
        <v>8</v>
      </c>
      <c r="B2985" s="2" t="str">
        <f>HYPERLINK("http://ts.21cn.com/tousu/show/id/1333624","黑网贷高利贷")</f>
        <v>黑网贷高利贷</v>
      </c>
      <c r="C2985" s="2" t="s">
        <v>9</v>
      </c>
      <c r="D2985" s="2" t="s">
        <v>10</v>
      </c>
      <c r="E2985" s="2" t="str">
        <f>HYPERLINK("http://ts.21cn.com/tousu/show/id/1333624","http://ts.21cn.com/tousu/show/id/1333624")</f>
        <v>http://ts.21cn.com/tousu/show/id/1333624</v>
      </c>
      <c r="F2985" s="2" t="s">
        <v>11</v>
      </c>
      <c r="G2985" s="2" t="s">
        <v>38262</v>
      </c>
      <c r="H2985" s="2" t="s">
        <v>38263</v>
      </c>
    </row>
    <row r="2986" spans="1:8" ht="25.05" customHeight="1" x14ac:dyDescent="0.25">
      <c r="A2986" s="2" t="s">
        <v>8</v>
      </c>
      <c r="B2986" s="2" t="str">
        <f>HYPERLINK("http://ts.21cn.com/tousu/show/id/1333623","贷上钱以买游戏豆为由收取高额贷款通过费")</f>
        <v>贷上钱以买游戏豆为由收取高额贷款通过费</v>
      </c>
      <c r="C2986" s="2" t="s">
        <v>9</v>
      </c>
      <c r="D2986" s="2" t="s">
        <v>10</v>
      </c>
      <c r="E2986" s="2" t="str">
        <f>HYPERLINK("http://ts.21cn.com/tousu/show/id/1333623","http://ts.21cn.com/tousu/show/id/1333623")</f>
        <v>http://ts.21cn.com/tousu/show/id/1333623</v>
      </c>
      <c r="F2986" s="2" t="s">
        <v>11</v>
      </c>
      <c r="G2986" s="2" t="s">
        <v>38260</v>
      </c>
      <c r="H2986" s="2" t="s">
        <v>38261</v>
      </c>
    </row>
    <row r="2987" spans="1:8" ht="25.05" customHeight="1" x14ac:dyDescent="0.25">
      <c r="A2987" s="2" t="s">
        <v>8</v>
      </c>
      <c r="B2987" s="2" t="str">
        <f>HYPERLINK("http://ts.21cn.com/tousu/show/id/1333625","金鸡下蛋高利贷，骚扰电话，恐吓威胁")</f>
        <v>金鸡下蛋高利贷，骚扰电话，恐吓威胁</v>
      </c>
      <c r="C2987" s="2" t="s">
        <v>9</v>
      </c>
      <c r="D2987" s="2" t="s">
        <v>10</v>
      </c>
      <c r="E2987" s="2" t="str">
        <f>HYPERLINK("http://ts.21cn.com/tousu/show/id/1333625","http://ts.21cn.com/tousu/show/id/1333625")</f>
        <v>http://ts.21cn.com/tousu/show/id/1333625</v>
      </c>
      <c r="F2987" s="2" t="s">
        <v>11</v>
      </c>
      <c r="G2987" s="2" t="s">
        <v>38258</v>
      </c>
      <c r="H2987" s="2" t="s">
        <v>38259</v>
      </c>
    </row>
    <row r="2988" spans="1:8" ht="25.05" customHeight="1" x14ac:dyDescent="0.25">
      <c r="A2988" s="2" t="s">
        <v>8</v>
      </c>
      <c r="B2988" s="2" t="str">
        <f>HYPERLINK("http://ts.21cn.com/tousu/show/id/1333626","玖富万卡擅自改写合同，变相收取费用，高利贷")</f>
        <v>玖富万卡擅自改写合同，变相收取费用，高利贷</v>
      </c>
      <c r="C2988" s="2" t="s">
        <v>9</v>
      </c>
      <c r="D2988" s="2" t="s">
        <v>10</v>
      </c>
      <c r="E2988" s="2" t="str">
        <f>HYPERLINK("http://ts.21cn.com/tousu/show/id/1333626","http://ts.21cn.com/tousu/show/id/1333626")</f>
        <v>http://ts.21cn.com/tousu/show/id/1333626</v>
      </c>
      <c r="F2988" s="2" t="s">
        <v>11</v>
      </c>
      <c r="G2988" s="2" t="s">
        <v>38256</v>
      </c>
      <c r="H2988" s="2" t="s">
        <v>38257</v>
      </c>
    </row>
    <row r="2989" spans="1:8" ht="25.05" customHeight="1" x14ac:dyDescent="0.25">
      <c r="A2989" s="2" t="s">
        <v>8</v>
      </c>
      <c r="B2989" s="2" t="str">
        <f>HYPERLINK("http://ts.21cn.com/tousu/show/id/1333627","高铁管家购票时默认购买增值服务，默认自动付款，提示不明显")</f>
        <v>高铁管家购票时默认购买增值服务，默认自动付款，提示不明显</v>
      </c>
      <c r="C2989" s="2" t="s">
        <v>9</v>
      </c>
      <c r="D2989" s="2" t="s">
        <v>10</v>
      </c>
      <c r="E2989" s="2" t="str">
        <f>HYPERLINK("http://ts.21cn.com/tousu/show/id/1333627","http://ts.21cn.com/tousu/show/id/1333627")</f>
        <v>http://ts.21cn.com/tousu/show/id/1333627</v>
      </c>
      <c r="F2989" s="2" t="s">
        <v>11</v>
      </c>
      <c r="G2989" s="2" t="s">
        <v>38254</v>
      </c>
      <c r="H2989" s="2" t="s">
        <v>38255</v>
      </c>
    </row>
    <row r="2990" spans="1:8" ht="25.05" customHeight="1" x14ac:dyDescent="0.25">
      <c r="A2990" s="2" t="s">
        <v>8</v>
      </c>
      <c r="B2990" s="2" t="str">
        <f>HYPERLINK("http://ts.21cn.com/tousu/show/id/1333631","闪电借款套路贷")</f>
        <v>闪电借款套路贷</v>
      </c>
      <c r="C2990" s="2" t="s">
        <v>9</v>
      </c>
      <c r="D2990" s="2" t="s">
        <v>10</v>
      </c>
      <c r="E2990" s="2" t="str">
        <f>HYPERLINK("http://ts.21cn.com/tousu/show/id/1333631","http://ts.21cn.com/tousu/show/id/1333631")</f>
        <v>http://ts.21cn.com/tousu/show/id/1333631</v>
      </c>
      <c r="F2990" s="2" t="s">
        <v>11</v>
      </c>
      <c r="G2990" s="2" t="s">
        <v>38252</v>
      </c>
      <c r="H2990" s="2" t="s">
        <v>38253</v>
      </c>
    </row>
    <row r="2991" spans="1:8" ht="25.05" customHeight="1" x14ac:dyDescent="0.25">
      <c r="A2991" s="2" t="s">
        <v>8</v>
      </c>
      <c r="B2991" s="2" t="str">
        <f>HYPERLINK("http://ts.21cn.com/tousu/show/id/1333633","招联金融暴力催收")</f>
        <v>招联金融暴力催收</v>
      </c>
      <c r="C2991" s="2" t="s">
        <v>9</v>
      </c>
      <c r="D2991" s="2" t="s">
        <v>10</v>
      </c>
      <c r="E2991" s="2" t="str">
        <f>HYPERLINK("http://ts.21cn.com/tousu/show/id/1333633","http://ts.21cn.com/tousu/show/id/1333633")</f>
        <v>http://ts.21cn.com/tousu/show/id/1333633</v>
      </c>
      <c r="F2991" s="2" t="s">
        <v>11</v>
      </c>
      <c r="G2991" s="2" t="s">
        <v>38250</v>
      </c>
      <c r="H2991" s="2" t="s">
        <v>38251</v>
      </c>
    </row>
    <row r="2992" spans="1:8" ht="25.05" customHeight="1" x14ac:dyDescent="0.25">
      <c r="A2992" s="2" t="s">
        <v>8</v>
      </c>
      <c r="B2992" s="2" t="str">
        <f>HYPERLINK("http://ts.21cn.com/tousu/show/id/1333634","停止骚扰")</f>
        <v>停止骚扰</v>
      </c>
      <c r="C2992" s="2" t="s">
        <v>9</v>
      </c>
      <c r="D2992" s="2" t="s">
        <v>10</v>
      </c>
      <c r="E2992" s="2" t="str">
        <f>HYPERLINK("http://ts.21cn.com/tousu/show/id/1333634","http://ts.21cn.com/tousu/show/id/1333634")</f>
        <v>http://ts.21cn.com/tousu/show/id/1333634</v>
      </c>
      <c r="F2992" s="2" t="s">
        <v>11</v>
      </c>
      <c r="G2992" s="2" t="s">
        <v>38248</v>
      </c>
      <c r="H2992" s="2" t="s">
        <v>38249</v>
      </c>
    </row>
    <row r="2993" spans="1:8" ht="25.05" customHeight="1" x14ac:dyDescent="0.25">
      <c r="A2993" s="2" t="s">
        <v>8</v>
      </c>
      <c r="B2993" s="2" t="str">
        <f>HYPERLINK("http://ts.21cn.com/tousu/show/id/1333637","微品分期存在高利贷")</f>
        <v>微品分期存在高利贷</v>
      </c>
      <c r="C2993" s="2" t="s">
        <v>9</v>
      </c>
      <c r="D2993" s="2" t="s">
        <v>10</v>
      </c>
      <c r="E2993" s="2" t="str">
        <f>HYPERLINK("http://ts.21cn.com/tousu/show/id/1333637","http://ts.21cn.com/tousu/show/id/1333637")</f>
        <v>http://ts.21cn.com/tousu/show/id/1333637</v>
      </c>
      <c r="F2993" s="2" t="s">
        <v>11</v>
      </c>
      <c r="G2993" s="2" t="s">
        <v>38246</v>
      </c>
      <c r="H2993" s="2" t="s">
        <v>38247</v>
      </c>
    </row>
    <row r="2994" spans="1:8" ht="25.05" customHeight="1" x14ac:dyDescent="0.25">
      <c r="A2994" s="2" t="s">
        <v>8</v>
      </c>
      <c r="B2994" s="2" t="str">
        <f>HYPERLINK("http://ts.21cn.com/tousu/show/id/1333635","上海翰银科技，易智付，爱农，丰付为非法博彩平台提供充值接口")</f>
        <v>上海翰银科技，易智付，爱农，丰付为非法博彩平台提供充值接口</v>
      </c>
      <c r="C2994" s="2" t="s">
        <v>9</v>
      </c>
      <c r="D2994" s="2" t="s">
        <v>10</v>
      </c>
      <c r="E2994" s="2" t="str">
        <f>HYPERLINK("http://ts.21cn.com/tousu/show/id/1333635","http://ts.21cn.com/tousu/show/id/1333635")</f>
        <v>http://ts.21cn.com/tousu/show/id/1333635</v>
      </c>
      <c r="F2994" s="2" t="s">
        <v>11</v>
      </c>
      <c r="G2994" s="2" t="s">
        <v>38244</v>
      </c>
      <c r="H2994" s="2" t="s">
        <v>38245</v>
      </c>
    </row>
    <row r="2995" spans="1:8" ht="25.05" customHeight="1" x14ac:dyDescent="0.25">
      <c r="A2995" s="2" t="s">
        <v>8</v>
      </c>
      <c r="B2995" s="2" t="str">
        <f>HYPERLINK("http://ts.21cn.com/tousu/show/id/1333636","平安普惠贷款隐瞒隐藏并强制收取高额保险费管理费投诉事宜")</f>
        <v>平安普惠贷款隐瞒隐藏并强制收取高额保险费管理费投诉事宜</v>
      </c>
      <c r="C2995" s="2" t="s">
        <v>9</v>
      </c>
      <c r="D2995" s="2" t="s">
        <v>10</v>
      </c>
      <c r="E2995" s="2" t="str">
        <f>HYPERLINK("http://ts.21cn.com/tousu/show/id/1333636","http://ts.21cn.com/tousu/show/id/1333636")</f>
        <v>http://ts.21cn.com/tousu/show/id/1333636</v>
      </c>
      <c r="F2995" s="2" t="s">
        <v>11</v>
      </c>
      <c r="G2995" s="2" t="s">
        <v>38242</v>
      </c>
      <c r="H2995" s="2" t="s">
        <v>38243</v>
      </c>
    </row>
    <row r="2996" spans="1:8" ht="25.05" customHeight="1" x14ac:dyDescent="0.25">
      <c r="A2996" s="2" t="s">
        <v>8</v>
      </c>
      <c r="B2996" s="2" t="str">
        <f>HYPERLINK("http://ts.21cn.com/tousu/show/id/1333639","在此投诉好分期一直骚扰性催款")</f>
        <v>在此投诉好分期一直骚扰性催款</v>
      </c>
      <c r="C2996" s="2" t="s">
        <v>9</v>
      </c>
      <c r="D2996" s="2" t="s">
        <v>10</v>
      </c>
      <c r="E2996" s="2" t="str">
        <f>HYPERLINK("http://ts.21cn.com/tousu/show/id/1333639","http://ts.21cn.com/tousu/show/id/1333639")</f>
        <v>http://ts.21cn.com/tousu/show/id/1333639</v>
      </c>
      <c r="F2996" s="2" t="s">
        <v>11</v>
      </c>
      <c r="G2996" s="2" t="s">
        <v>38240</v>
      </c>
      <c r="H2996" s="2" t="s">
        <v>38241</v>
      </c>
    </row>
    <row r="2997" spans="1:8" ht="25.05" customHeight="1" x14ac:dyDescent="0.25">
      <c r="A2997" s="2" t="s">
        <v>8</v>
      </c>
      <c r="B2997" s="2" t="str">
        <f>HYPERLINK("http://ts.21cn.com/tousu/show/id/1333638","钱站高利贷暴力催收")</f>
        <v>钱站高利贷暴力催收</v>
      </c>
      <c r="C2997" s="2" t="s">
        <v>9</v>
      </c>
      <c r="D2997" s="2" t="s">
        <v>10</v>
      </c>
      <c r="E2997" s="2" t="str">
        <f>HYPERLINK("http://ts.21cn.com/tousu/show/id/1333638","http://ts.21cn.com/tousu/show/id/1333638")</f>
        <v>http://ts.21cn.com/tousu/show/id/1333638</v>
      </c>
      <c r="F2997" s="2" t="s">
        <v>11</v>
      </c>
      <c r="G2997" s="2" t="s">
        <v>38238</v>
      </c>
      <c r="H2997" s="2" t="s">
        <v>38239</v>
      </c>
    </row>
    <row r="2998" spans="1:8" ht="25.05" customHeight="1" x14ac:dyDescent="0.25">
      <c r="A2998" s="2" t="s">
        <v>8</v>
      </c>
      <c r="B2998" s="2" t="str">
        <f>HYPERLINK("http://ts.21cn.com/tousu/show/id/1333640","联动云租车以有理赔单为理由迟迟不肯退押金")</f>
        <v>联动云租车以有理赔单为理由迟迟不肯退押金</v>
      </c>
      <c r="C2998" s="2" t="s">
        <v>9</v>
      </c>
      <c r="D2998" s="2" t="s">
        <v>10</v>
      </c>
      <c r="E2998" s="2" t="str">
        <f>HYPERLINK("http://ts.21cn.com/tousu/show/id/1333640","http://ts.21cn.com/tousu/show/id/1333640")</f>
        <v>http://ts.21cn.com/tousu/show/id/1333640</v>
      </c>
      <c r="F2998" s="2" t="s">
        <v>11</v>
      </c>
      <c r="G2998" s="2" t="s">
        <v>38236</v>
      </c>
      <c r="H2998" s="2" t="s">
        <v>38237</v>
      </c>
    </row>
    <row r="2999" spans="1:8" ht="25.05" customHeight="1" x14ac:dyDescent="0.25">
      <c r="A2999" s="2" t="s">
        <v>8</v>
      </c>
      <c r="B2999" s="2" t="str">
        <f>HYPERLINK("http://ts.21cn.com/tousu/show/id/1333641","滴滴不给我解除对公模式")</f>
        <v>滴滴不给我解除对公模式</v>
      </c>
      <c r="C2999" s="2" t="s">
        <v>9</v>
      </c>
      <c r="D2999" s="2" t="s">
        <v>10</v>
      </c>
      <c r="E2999" s="2" t="str">
        <f>HYPERLINK("http://ts.21cn.com/tousu/show/id/1333641","http://ts.21cn.com/tousu/show/id/1333641")</f>
        <v>http://ts.21cn.com/tousu/show/id/1333641</v>
      </c>
      <c r="F2999" s="2" t="s">
        <v>11</v>
      </c>
      <c r="G2999" s="2" t="s">
        <v>38234</v>
      </c>
      <c r="H2999" s="2" t="s">
        <v>38235</v>
      </c>
    </row>
    <row r="3000" spans="1:8" ht="25.05" customHeight="1" x14ac:dyDescent="0.25">
      <c r="A3000" s="2" t="s">
        <v>8</v>
      </c>
      <c r="B3000" s="2" t="str">
        <f>HYPERLINK("http://ts.21cn.com/tousu/show/id/1333632","河南联通小沃科技TV乱扣费")</f>
        <v>河南联通小沃科技TV乱扣费</v>
      </c>
      <c r="C3000" s="2" t="s">
        <v>9</v>
      </c>
      <c r="D3000" s="2" t="s">
        <v>10</v>
      </c>
      <c r="E3000" s="2" t="str">
        <f>HYPERLINK("http://ts.21cn.com/tousu/show/id/1333632","http://ts.21cn.com/tousu/show/id/1333632")</f>
        <v>http://ts.21cn.com/tousu/show/id/1333632</v>
      </c>
      <c r="F3000" s="2" t="s">
        <v>11</v>
      </c>
      <c r="G3000" s="2" t="s">
        <v>38232</v>
      </c>
      <c r="H3000" s="2" t="s">
        <v>38233</v>
      </c>
    </row>
    <row r="3001" spans="1:8" ht="25.05" customHeight="1" x14ac:dyDescent="0.25">
      <c r="A3001" s="2" t="s">
        <v>8</v>
      </c>
      <c r="B3001" s="2" t="str">
        <f>HYPERLINK("http://ts.21cn.com/tousu/show/id/1333642","豆豆钱利息过高")</f>
        <v>豆豆钱利息过高</v>
      </c>
      <c r="C3001" s="2" t="s">
        <v>9</v>
      </c>
      <c r="D3001" s="2" t="s">
        <v>10</v>
      </c>
      <c r="E3001" s="2" t="str">
        <f>HYPERLINK("http://ts.21cn.com/tousu/show/id/1333642","http://ts.21cn.com/tousu/show/id/1333642")</f>
        <v>http://ts.21cn.com/tousu/show/id/1333642</v>
      </c>
      <c r="F3001" s="2" t="s">
        <v>11</v>
      </c>
      <c r="G3001" s="2" t="s">
        <v>38230</v>
      </c>
      <c r="H3001" s="2" t="s">
        <v>38231</v>
      </c>
    </row>
    <row r="3002" spans="1:8" ht="25.05" customHeight="1" x14ac:dyDescent="0.25">
      <c r="A3002" s="2" t="s">
        <v>8</v>
      </c>
      <c r="B3002" s="2" t="str">
        <f>HYPERLINK("http://ts.21cn.com/tousu/show/id/1333643","钱站阴阳合同，高利贷")</f>
        <v>钱站阴阳合同，高利贷</v>
      </c>
      <c r="C3002" s="2" t="s">
        <v>9</v>
      </c>
      <c r="D3002" s="2" t="s">
        <v>10</v>
      </c>
      <c r="E3002" s="2" t="str">
        <f>HYPERLINK("http://ts.21cn.com/tousu/show/id/1333643","http://ts.21cn.com/tousu/show/id/1333643")</f>
        <v>http://ts.21cn.com/tousu/show/id/1333643</v>
      </c>
      <c r="F3002" s="2" t="s">
        <v>11</v>
      </c>
      <c r="G3002" s="2" t="s">
        <v>38228</v>
      </c>
      <c r="H3002" s="2" t="s">
        <v>38229</v>
      </c>
    </row>
    <row r="3003" spans="1:8" ht="25.05" customHeight="1" x14ac:dyDescent="0.25">
      <c r="A3003" s="2" t="s">
        <v>8</v>
      </c>
      <c r="B3003" s="2" t="str">
        <f>HYPERLINK("http://ts.21cn.com/tousu/show/id/1333644","平安银行信用卡催收人员冒充公检法")</f>
        <v>平安银行信用卡催收人员冒充公检法</v>
      </c>
      <c r="C3003" s="2" t="s">
        <v>9</v>
      </c>
      <c r="D3003" s="2" t="s">
        <v>10</v>
      </c>
      <c r="E3003" s="2" t="str">
        <f>HYPERLINK("http://ts.21cn.com/tousu/show/id/1333644","http://ts.21cn.com/tousu/show/id/1333644")</f>
        <v>http://ts.21cn.com/tousu/show/id/1333644</v>
      </c>
      <c r="F3003" s="2" t="s">
        <v>11</v>
      </c>
      <c r="G3003" s="2" t="s">
        <v>38226</v>
      </c>
      <c r="H3003" s="2" t="s">
        <v>38227</v>
      </c>
    </row>
    <row r="3004" spans="1:8" ht="25.05" customHeight="1" x14ac:dyDescent="0.25">
      <c r="A3004" s="2" t="s">
        <v>8</v>
      </c>
      <c r="B3004" s="2" t="str">
        <f>HYPERLINK("http://ts.21cn.com/tousu/show/id/1333646","申请最低还款")</f>
        <v>申请最低还款</v>
      </c>
      <c r="C3004" s="2" t="s">
        <v>34</v>
      </c>
      <c r="D3004" s="2" t="s">
        <v>10</v>
      </c>
      <c r="E3004" s="2" t="str">
        <f>HYPERLINK("http://ts.21cn.com/tousu/show/id/1333646","http://ts.21cn.com/tousu/show/id/1333646")</f>
        <v>http://ts.21cn.com/tousu/show/id/1333646</v>
      </c>
      <c r="F3004" s="2" t="s">
        <v>11</v>
      </c>
      <c r="G3004" s="2" t="s">
        <v>38224</v>
      </c>
      <c r="H3004" s="2" t="s">
        <v>38225</v>
      </c>
    </row>
    <row r="3005" spans="1:8" ht="25.05" customHeight="1" x14ac:dyDescent="0.25">
      <c r="A3005" s="2" t="s">
        <v>8</v>
      </c>
      <c r="B3005" s="2" t="str">
        <f>HYPERLINK("http://ts.21cn.com/tousu/show/id/1333647","钱站网暴力催收")</f>
        <v>钱站网暴力催收</v>
      </c>
      <c r="C3005" s="2" t="s">
        <v>9</v>
      </c>
      <c r="D3005" s="2" t="s">
        <v>10</v>
      </c>
      <c r="E3005" s="2" t="str">
        <f>HYPERLINK("http://ts.21cn.com/tousu/show/id/1333647","http://ts.21cn.com/tousu/show/id/1333647")</f>
        <v>http://ts.21cn.com/tousu/show/id/1333647</v>
      </c>
      <c r="F3005" s="2" t="s">
        <v>11</v>
      </c>
      <c r="G3005" s="2" t="s">
        <v>38222</v>
      </c>
      <c r="H3005" s="2" t="s">
        <v>38223</v>
      </c>
    </row>
    <row r="3006" spans="1:8" ht="25.05" customHeight="1" x14ac:dyDescent="0.25">
      <c r="A3006" s="2" t="s">
        <v>8</v>
      </c>
      <c r="B3006" s="2" t="str">
        <f>HYPERLINK("http://ts.21cn.com/tousu/show/id/1333648","智行app恶意消费不退款")</f>
        <v>智行app恶意消费不退款</v>
      </c>
      <c r="C3006" s="2" t="s">
        <v>9</v>
      </c>
      <c r="D3006" s="2" t="s">
        <v>10</v>
      </c>
      <c r="E3006" s="2" t="str">
        <f>HYPERLINK("http://ts.21cn.com/tousu/show/id/1333648","http://ts.21cn.com/tousu/show/id/1333648")</f>
        <v>http://ts.21cn.com/tousu/show/id/1333648</v>
      </c>
      <c r="F3006" s="2" t="s">
        <v>11</v>
      </c>
      <c r="G3006" s="2" t="s">
        <v>38220</v>
      </c>
      <c r="H3006" s="2" t="s">
        <v>38221</v>
      </c>
    </row>
    <row r="3007" spans="1:8" ht="25.05" customHeight="1" x14ac:dyDescent="0.25">
      <c r="A3007" s="2" t="s">
        <v>8</v>
      </c>
      <c r="B3007" s="2" t="str">
        <f>HYPERLINK("http://ts.21cn.com/tousu/show/id/1333649","重庆小米贷款")</f>
        <v>重庆小米贷款</v>
      </c>
      <c r="C3007" s="2" t="s">
        <v>9</v>
      </c>
      <c r="D3007" s="2" t="s">
        <v>10</v>
      </c>
      <c r="E3007" s="2" t="str">
        <f>HYPERLINK("http://ts.21cn.com/tousu/show/id/1333649","http://ts.21cn.com/tousu/show/id/1333649")</f>
        <v>http://ts.21cn.com/tousu/show/id/1333649</v>
      </c>
      <c r="F3007" s="2" t="s">
        <v>11</v>
      </c>
      <c r="G3007" s="2" t="s">
        <v>38218</v>
      </c>
      <c r="H3007" s="2" t="s">
        <v>38219</v>
      </c>
    </row>
    <row r="3008" spans="1:8" ht="25.05" customHeight="1" x14ac:dyDescent="0.25">
      <c r="A3008" s="2" t="s">
        <v>8</v>
      </c>
      <c r="B3008" s="2" t="str">
        <f>HYPERLINK("http://ts.21cn.com/tousu/show/id/1333651","返回首页公道自在人心！！京东生鲜冻肉煮了发现变质已经无法退货，被京东客服气得抑郁更加严重")</f>
        <v>返回首页公道自在人心！！京东生鲜冻肉煮了发现变质已经无法退货，被京东客服气得抑郁更加严重</v>
      </c>
      <c r="C3008" s="2" t="s">
        <v>9</v>
      </c>
      <c r="D3008" s="2" t="s">
        <v>10</v>
      </c>
      <c r="E3008" s="2" t="str">
        <f>HYPERLINK("http://ts.21cn.com/tousu/show/id/1333651","http://ts.21cn.com/tousu/show/id/1333651")</f>
        <v>http://ts.21cn.com/tousu/show/id/1333651</v>
      </c>
      <c r="F3008" s="2" t="s">
        <v>11</v>
      </c>
      <c r="G3008" s="2" t="s">
        <v>38216</v>
      </c>
      <c r="H3008" s="2" t="s">
        <v>38217</v>
      </c>
    </row>
    <row r="3009" spans="1:8" ht="25.05" customHeight="1" x14ac:dyDescent="0.25">
      <c r="A3009" s="2" t="s">
        <v>8</v>
      </c>
      <c r="B3009" s="2" t="str">
        <f>HYPERLINK("http://ts.21cn.com/tousu/show/id/1333652","玖富万卡变相收取服务费收到9100却要我还11840的利息")</f>
        <v>玖富万卡变相收取服务费收到9100却要我还11840的利息</v>
      </c>
      <c r="C3009" s="2" t="s">
        <v>9</v>
      </c>
      <c r="D3009" s="2" t="s">
        <v>10</v>
      </c>
      <c r="E3009" s="2" t="str">
        <f>HYPERLINK("http://ts.21cn.com/tousu/show/id/1333652","http://ts.21cn.com/tousu/show/id/1333652")</f>
        <v>http://ts.21cn.com/tousu/show/id/1333652</v>
      </c>
      <c r="F3009" s="2" t="s">
        <v>11</v>
      </c>
      <c r="G3009" s="2" t="s">
        <v>38214</v>
      </c>
      <c r="H3009" s="2" t="s">
        <v>38215</v>
      </c>
    </row>
    <row r="3010" spans="1:8" ht="25.05" customHeight="1" x14ac:dyDescent="0.25">
      <c r="A3010" s="2" t="s">
        <v>8</v>
      </c>
      <c r="B3010" s="2" t="str">
        <f>HYPERLINK("http://ts.21cn.com/tousu/show/id/1333653","借款两千到手一千四")</f>
        <v>借款两千到手一千四</v>
      </c>
      <c r="C3010" s="2" t="s">
        <v>34</v>
      </c>
      <c r="D3010" s="2" t="s">
        <v>10</v>
      </c>
      <c r="E3010" s="2" t="str">
        <f>HYPERLINK("http://ts.21cn.com/tousu/show/id/1333653","http://ts.21cn.com/tousu/show/id/1333653")</f>
        <v>http://ts.21cn.com/tousu/show/id/1333653</v>
      </c>
      <c r="F3010" s="2" t="s">
        <v>11</v>
      </c>
      <c r="G3010" s="2" t="s">
        <v>38212</v>
      </c>
      <c r="H3010" s="2" t="s">
        <v>38213</v>
      </c>
    </row>
    <row r="3011" spans="1:8" ht="25.05" customHeight="1" x14ac:dyDescent="0.25">
      <c r="A3011" s="2" t="s">
        <v>8</v>
      </c>
      <c r="B3011" s="2" t="str">
        <f>HYPERLINK("http://ts.21cn.com/tousu/show/id/1333654","U钱包高利贷")</f>
        <v>U钱包高利贷</v>
      </c>
      <c r="C3011" s="2" t="s">
        <v>9</v>
      </c>
      <c r="D3011" s="2" t="s">
        <v>10</v>
      </c>
      <c r="E3011" s="2" t="str">
        <f>HYPERLINK("http://ts.21cn.com/tousu/show/id/1333654","http://ts.21cn.com/tousu/show/id/1333654")</f>
        <v>http://ts.21cn.com/tousu/show/id/1333654</v>
      </c>
      <c r="F3011" s="2" t="s">
        <v>11</v>
      </c>
      <c r="G3011" s="2" t="s">
        <v>38210</v>
      </c>
      <c r="H3011" s="2" t="s">
        <v>38211</v>
      </c>
    </row>
    <row r="3012" spans="1:8" ht="25.05" customHeight="1" x14ac:dyDescent="0.25">
      <c r="A3012" s="2" t="s">
        <v>8</v>
      </c>
      <c r="B3012" s="2" t="str">
        <f>HYPERLINK("http://ts.21cn.com/tousu/show/id/1333655","闪电借款承诺减免逾期费、还款后一分未减、又开始催收")</f>
        <v>闪电借款承诺减免逾期费、还款后一分未减、又开始催收</v>
      </c>
      <c r="C3012" s="2" t="s">
        <v>34</v>
      </c>
      <c r="D3012" s="2" t="s">
        <v>10</v>
      </c>
      <c r="E3012" s="2" t="str">
        <f>HYPERLINK("http://ts.21cn.com/tousu/show/id/1333655","http://ts.21cn.com/tousu/show/id/1333655")</f>
        <v>http://ts.21cn.com/tousu/show/id/1333655</v>
      </c>
      <c r="F3012" s="2" t="s">
        <v>11</v>
      </c>
      <c r="G3012" s="2" t="s">
        <v>38208</v>
      </c>
      <c r="H3012" s="2" t="s">
        <v>38209</v>
      </c>
    </row>
    <row r="3013" spans="1:8" ht="25.05" customHeight="1" x14ac:dyDescent="0.25">
      <c r="A3013" s="2" t="s">
        <v>8</v>
      </c>
      <c r="B3013" s="2" t="str">
        <f>HYPERLINK("http://ts.21cn.com/tousu/show/id/1333656","智行火车票app订酒店后无法取消")</f>
        <v>智行火车票app订酒店后无法取消</v>
      </c>
      <c r="C3013" s="2" t="s">
        <v>9</v>
      </c>
      <c r="D3013" s="2" t="s">
        <v>10</v>
      </c>
      <c r="E3013" s="2" t="str">
        <f>HYPERLINK("http://ts.21cn.com/tousu/show/id/1333656","http://ts.21cn.com/tousu/show/id/1333656")</f>
        <v>http://ts.21cn.com/tousu/show/id/1333656</v>
      </c>
      <c r="F3013" s="2" t="s">
        <v>11</v>
      </c>
      <c r="G3013" s="2" t="s">
        <v>38206</v>
      </c>
      <c r="H3013" s="2" t="s">
        <v>38207</v>
      </c>
    </row>
    <row r="3014" spans="1:8" ht="25.05" customHeight="1" x14ac:dyDescent="0.25">
      <c r="A3014" s="2" t="s">
        <v>8</v>
      </c>
      <c r="B3014" s="2" t="str">
        <f>HYPERLINK("http://ts.21cn.com/tousu/show/id/1333658","催收威胁，恐吓")</f>
        <v>催收威胁，恐吓</v>
      </c>
      <c r="C3014" s="2" t="s">
        <v>9</v>
      </c>
      <c r="D3014" s="2" t="s">
        <v>10</v>
      </c>
      <c r="E3014" s="2" t="str">
        <f>HYPERLINK("http://ts.21cn.com/tousu/show/id/1333658","http://ts.21cn.com/tousu/show/id/1333658")</f>
        <v>http://ts.21cn.com/tousu/show/id/1333658</v>
      </c>
      <c r="F3014" s="2" t="s">
        <v>11</v>
      </c>
      <c r="G3014" s="2" t="s">
        <v>38204</v>
      </c>
      <c r="H3014" s="2" t="s">
        <v>38205</v>
      </c>
    </row>
    <row r="3015" spans="1:8" ht="25.05" customHeight="1" x14ac:dyDescent="0.25">
      <c r="A3015" s="2" t="s">
        <v>8</v>
      </c>
      <c r="B3015" s="2" t="str">
        <f>HYPERLINK("http://ts.21cn.com/tousu/show/id/1333657","中银消费金融还款同道关闭，导致滞纳金增加")</f>
        <v>中银消费金融还款同道关闭，导致滞纳金增加</v>
      </c>
      <c r="C3015" s="2" t="s">
        <v>34</v>
      </c>
      <c r="D3015" s="2" t="s">
        <v>10</v>
      </c>
      <c r="E3015" s="2" t="str">
        <f>HYPERLINK("http://ts.21cn.com/tousu/show/id/1333657","http://ts.21cn.com/tousu/show/id/1333657")</f>
        <v>http://ts.21cn.com/tousu/show/id/1333657</v>
      </c>
      <c r="F3015" s="2" t="s">
        <v>11</v>
      </c>
      <c r="G3015" s="2" t="s">
        <v>38202</v>
      </c>
      <c r="H3015" s="2" t="s">
        <v>38203</v>
      </c>
    </row>
    <row r="3016" spans="1:8" ht="25.05" customHeight="1" x14ac:dyDescent="0.25">
      <c r="A3016" s="2" t="s">
        <v>8</v>
      </c>
      <c r="B3016" s="2" t="str">
        <f>HYPERLINK("http://ts.21cn.com/tousu/show/id/1333659","豹子贷无故扣钱不需要还要扣")</f>
        <v>豹子贷无故扣钱不需要还要扣</v>
      </c>
      <c r="C3016" s="2" t="s">
        <v>9</v>
      </c>
      <c r="D3016" s="2" t="s">
        <v>10</v>
      </c>
      <c r="E3016" s="2" t="str">
        <f>HYPERLINK("http://ts.21cn.com/tousu/show/id/1333659","http://ts.21cn.com/tousu/show/id/1333659")</f>
        <v>http://ts.21cn.com/tousu/show/id/1333659</v>
      </c>
      <c r="F3016" s="2" t="s">
        <v>11</v>
      </c>
      <c r="G3016" s="2" t="s">
        <v>38201</v>
      </c>
      <c r="H3016" s="2" t="s">
        <v>15916</v>
      </c>
    </row>
    <row r="3017" spans="1:8" ht="25.05" customHeight="1" x14ac:dyDescent="0.25">
      <c r="A3017" s="2" t="s">
        <v>8</v>
      </c>
      <c r="B3017" s="2" t="str">
        <f>HYPERLINK("http://ts.21cn.com/tousu/show/id/1333645","通联支付无故扣除我工商银行卡里的钱249元")</f>
        <v>通联支付无故扣除我工商银行卡里的钱249元</v>
      </c>
      <c r="C3017" s="2" t="s">
        <v>9</v>
      </c>
      <c r="D3017" s="2" t="s">
        <v>10</v>
      </c>
      <c r="E3017" s="2" t="str">
        <f>HYPERLINK("http://ts.21cn.com/tousu/show/id/1333645","http://ts.21cn.com/tousu/show/id/1333645")</f>
        <v>http://ts.21cn.com/tousu/show/id/1333645</v>
      </c>
      <c r="F3017" s="2" t="s">
        <v>11</v>
      </c>
      <c r="G3017" s="2" t="s">
        <v>38199</v>
      </c>
      <c r="H3017" s="2" t="s">
        <v>38200</v>
      </c>
    </row>
    <row r="3018" spans="1:8" ht="25.05" customHeight="1" x14ac:dyDescent="0.25">
      <c r="A3018" s="2" t="s">
        <v>8</v>
      </c>
      <c r="B3018" s="2" t="str">
        <f>HYPERLINK("http://ts.21cn.com/tousu/show/id/1333661","“豹子贷”平台是套路贷----8月2日登陆注册平台就强扣捆邦银行卡100元")</f>
        <v>“豹子贷”平台是套路贷----8月2日登陆注册平台就强扣捆邦银行卡100元</v>
      </c>
      <c r="C3018" s="2" t="s">
        <v>9</v>
      </c>
      <c r="D3018" s="2" t="s">
        <v>10</v>
      </c>
      <c r="E3018" s="2" t="str">
        <f>HYPERLINK("http://ts.21cn.com/tousu/show/id/1333661","http://ts.21cn.com/tousu/show/id/1333661")</f>
        <v>http://ts.21cn.com/tousu/show/id/1333661</v>
      </c>
      <c r="F3018" s="2" t="s">
        <v>11</v>
      </c>
      <c r="G3018" s="2" t="s">
        <v>38197</v>
      </c>
      <c r="H3018" s="2" t="s">
        <v>38198</v>
      </c>
    </row>
    <row r="3019" spans="1:8" ht="25.05" customHeight="1" x14ac:dyDescent="0.25">
      <c r="A3019" s="2" t="s">
        <v>8</v>
      </c>
      <c r="B3019" s="2" t="str">
        <f>HYPERLINK("http://ts.21cn.com/tousu/show/id/1333663","信用飞违规搭售保险砍头息，315后顶风作案")</f>
        <v>信用飞违规搭售保险砍头息，315后顶风作案</v>
      </c>
      <c r="C3019" s="2" t="s">
        <v>9</v>
      </c>
      <c r="D3019" s="2" t="s">
        <v>10</v>
      </c>
      <c r="E3019" s="2" t="str">
        <f>HYPERLINK("http://ts.21cn.com/tousu/show/id/1333663","http://ts.21cn.com/tousu/show/id/1333663")</f>
        <v>http://ts.21cn.com/tousu/show/id/1333663</v>
      </c>
      <c r="F3019" s="2" t="s">
        <v>11</v>
      </c>
      <c r="G3019" s="2" t="s">
        <v>38195</v>
      </c>
      <c r="H3019" s="2" t="s">
        <v>38196</v>
      </c>
    </row>
    <row r="3020" spans="1:8" ht="25.05" customHeight="1" x14ac:dyDescent="0.25">
      <c r="A3020" s="2" t="s">
        <v>8</v>
      </c>
      <c r="B3020" s="2" t="str">
        <f>HYPERLINK("http://ts.21cn.com/tousu/show/id/1333662","律师函")</f>
        <v>律师函</v>
      </c>
      <c r="C3020" s="2" t="s">
        <v>34</v>
      </c>
      <c r="D3020" s="2" t="s">
        <v>10</v>
      </c>
      <c r="E3020" s="2" t="str">
        <f>HYPERLINK("http://ts.21cn.com/tousu/show/id/1333662","http://ts.21cn.com/tousu/show/id/1333662")</f>
        <v>http://ts.21cn.com/tousu/show/id/1333662</v>
      </c>
      <c r="F3020" s="2" t="s">
        <v>11</v>
      </c>
      <c r="G3020" s="2" t="s">
        <v>38193</v>
      </c>
      <c r="H3020" s="2" t="s">
        <v>38194</v>
      </c>
    </row>
    <row r="3021" spans="1:8" ht="25.05" customHeight="1" x14ac:dyDescent="0.25">
      <c r="A3021" s="2" t="s">
        <v>8</v>
      </c>
      <c r="B3021" s="2" t="str">
        <f>HYPERLINK("http://ts.21cn.com/tousu/show/id/1333664","暴力催收威胁")</f>
        <v>暴力催收威胁</v>
      </c>
      <c r="C3021" s="2" t="s">
        <v>9</v>
      </c>
      <c r="D3021" s="2" t="s">
        <v>10</v>
      </c>
      <c r="E3021" s="2" t="str">
        <f>HYPERLINK("http://ts.21cn.com/tousu/show/id/1333664","http://ts.21cn.com/tousu/show/id/1333664")</f>
        <v>http://ts.21cn.com/tousu/show/id/1333664</v>
      </c>
      <c r="F3021" s="2" t="s">
        <v>11</v>
      </c>
      <c r="G3021" s="2" t="s">
        <v>38191</v>
      </c>
      <c r="H3021" s="2" t="s">
        <v>38192</v>
      </c>
    </row>
    <row r="3022" spans="1:8" ht="25.05" customHeight="1" x14ac:dyDescent="0.25">
      <c r="A3022" s="2" t="s">
        <v>8</v>
      </c>
      <c r="B3022" s="2" t="str">
        <f>HYPERLINK("http://ts.21cn.com/tousu/show/id/1333665","立借高利贷套路贷")</f>
        <v>立借高利贷套路贷</v>
      </c>
      <c r="C3022" s="2" t="s">
        <v>9</v>
      </c>
      <c r="D3022" s="2" t="s">
        <v>10</v>
      </c>
      <c r="E3022" s="2" t="str">
        <f>HYPERLINK("http://ts.21cn.com/tousu/show/id/1333665","http://ts.21cn.com/tousu/show/id/1333665")</f>
        <v>http://ts.21cn.com/tousu/show/id/1333665</v>
      </c>
      <c r="F3022" s="2" t="s">
        <v>11</v>
      </c>
      <c r="G3022" s="2" t="s">
        <v>38189</v>
      </c>
      <c r="H3022" s="2" t="s">
        <v>38190</v>
      </c>
    </row>
    <row r="3023" spans="1:8" ht="25.05" customHeight="1" x14ac:dyDescent="0.25">
      <c r="A3023" s="2" t="s">
        <v>8</v>
      </c>
      <c r="B3023" s="2" t="str">
        <f>HYPERLINK("http://ts.21cn.com/tousu/show/id/1333666","中金支付云南信托无故扣款")</f>
        <v>中金支付云南信托无故扣款</v>
      </c>
      <c r="C3023" s="2" t="s">
        <v>9</v>
      </c>
      <c r="D3023" s="2" t="s">
        <v>10</v>
      </c>
      <c r="E3023" s="2" t="str">
        <f>HYPERLINK("http://ts.21cn.com/tousu/show/id/1333666","http://ts.21cn.com/tousu/show/id/1333666")</f>
        <v>http://ts.21cn.com/tousu/show/id/1333666</v>
      </c>
      <c r="F3023" s="2" t="s">
        <v>11</v>
      </c>
      <c r="G3023" s="2" t="s">
        <v>38187</v>
      </c>
      <c r="H3023" s="2" t="s">
        <v>38188</v>
      </c>
    </row>
    <row r="3024" spans="1:8" ht="25.05" customHeight="1" x14ac:dyDescent="0.25">
      <c r="A3024" s="2" t="s">
        <v>8</v>
      </c>
      <c r="B3024" s="2" t="str">
        <f>HYPERLINK("http://ts.21cn.com/tousu/show/id/1333667","玖富万卡到账了不能提现，而且产生利息")</f>
        <v>玖富万卡到账了不能提现，而且产生利息</v>
      </c>
      <c r="C3024" s="2" t="s">
        <v>9</v>
      </c>
      <c r="D3024" s="2" t="s">
        <v>10</v>
      </c>
      <c r="E3024" s="2" t="str">
        <f>HYPERLINK("http://ts.21cn.com/tousu/show/id/1333667","http://ts.21cn.com/tousu/show/id/1333667")</f>
        <v>http://ts.21cn.com/tousu/show/id/1333667</v>
      </c>
      <c r="F3024" s="2" t="s">
        <v>11</v>
      </c>
      <c r="G3024" s="2" t="s">
        <v>38185</v>
      </c>
      <c r="H3024" s="2" t="s">
        <v>38186</v>
      </c>
    </row>
    <row r="3025" spans="1:8" ht="25.05" customHeight="1" x14ac:dyDescent="0.25">
      <c r="A3025" s="2" t="s">
        <v>8</v>
      </c>
      <c r="B3025" s="2" t="str">
        <f>HYPERLINK("http://ts.21cn.com/tousu/show/id/1333668","催收威胁，各种骚扰打电话")</f>
        <v>催收威胁，各种骚扰打电话</v>
      </c>
      <c r="C3025" s="2" t="s">
        <v>9</v>
      </c>
      <c r="D3025" s="2" t="s">
        <v>10</v>
      </c>
      <c r="E3025" s="2" t="str">
        <f>HYPERLINK("http://ts.21cn.com/tousu/show/id/1333668","http://ts.21cn.com/tousu/show/id/1333668")</f>
        <v>http://ts.21cn.com/tousu/show/id/1333668</v>
      </c>
      <c r="F3025" s="2" t="s">
        <v>11</v>
      </c>
      <c r="G3025" s="2" t="s">
        <v>38183</v>
      </c>
      <c r="H3025" s="2" t="s">
        <v>38184</v>
      </c>
    </row>
    <row r="3026" spans="1:8" ht="25.05" customHeight="1" x14ac:dyDescent="0.25">
      <c r="A3026" s="2" t="s">
        <v>8</v>
      </c>
      <c r="B3026" s="2" t="str">
        <f>HYPERLINK("http://ts.21cn.com/tousu/show/id/1333670","信用管家APP91买呗放高利贷")</f>
        <v>信用管家APP91买呗放高利贷</v>
      </c>
      <c r="C3026" s="2" t="s">
        <v>9</v>
      </c>
      <c r="D3026" s="2" t="s">
        <v>10</v>
      </c>
      <c r="E3026" s="2" t="str">
        <f>HYPERLINK("http://ts.21cn.com/tousu/show/id/1333670","http://ts.21cn.com/tousu/show/id/1333670")</f>
        <v>http://ts.21cn.com/tousu/show/id/1333670</v>
      </c>
      <c r="F3026" s="2" t="s">
        <v>11</v>
      </c>
      <c r="G3026" s="2" t="s">
        <v>38181</v>
      </c>
      <c r="H3026" s="2" t="s">
        <v>38182</v>
      </c>
    </row>
    <row r="3027" spans="1:8" ht="25.05" customHeight="1" x14ac:dyDescent="0.25">
      <c r="A3027" s="2" t="s">
        <v>8</v>
      </c>
      <c r="B3027" s="2" t="str">
        <f>HYPERLINK("http://ts.21cn.com/tousu/show/id/1333669","违规网贷平台显示，未经认证")</f>
        <v>违规网贷平台显示，未经认证</v>
      </c>
      <c r="C3027" s="2" t="s">
        <v>9</v>
      </c>
      <c r="D3027" s="2" t="s">
        <v>10</v>
      </c>
      <c r="E3027" s="2" t="str">
        <f>HYPERLINK("http://ts.21cn.com/tousu/show/id/1333669","http://ts.21cn.com/tousu/show/id/1333669")</f>
        <v>http://ts.21cn.com/tousu/show/id/1333669</v>
      </c>
      <c r="F3027" s="2" t="s">
        <v>11</v>
      </c>
      <c r="G3027" s="2" t="s">
        <v>38179</v>
      </c>
      <c r="H3027" s="2" t="s">
        <v>38180</v>
      </c>
    </row>
    <row r="3028" spans="1:8" ht="25.05" customHeight="1" x14ac:dyDescent="0.25">
      <c r="A3028" s="2" t="s">
        <v>8</v>
      </c>
      <c r="B3028" s="2" t="str">
        <f>HYPERLINK("http://ts.21cn.com/tousu/show/id/1333671","暴力催收")</f>
        <v>暴力催收</v>
      </c>
      <c r="C3028" s="2" t="s">
        <v>9</v>
      </c>
      <c r="D3028" s="2" t="s">
        <v>10</v>
      </c>
      <c r="E3028" s="2" t="str">
        <f>HYPERLINK("http://ts.21cn.com/tousu/show/id/1333671","http://ts.21cn.com/tousu/show/id/1333671")</f>
        <v>http://ts.21cn.com/tousu/show/id/1333671</v>
      </c>
      <c r="F3028" s="2" t="s">
        <v>11</v>
      </c>
      <c r="G3028" s="2" t="s">
        <v>38177</v>
      </c>
      <c r="H3028" s="2" t="s">
        <v>38178</v>
      </c>
    </row>
    <row r="3029" spans="1:8" ht="25.05" customHeight="1" x14ac:dyDescent="0.25">
      <c r="A3029" s="2" t="s">
        <v>8</v>
      </c>
      <c r="B3029" s="2" t="str">
        <f>HYPERLINK("http://ts.21cn.com/tousu/show/id/1333672","小鱼儿，714高炮，暴力催收！")</f>
        <v>小鱼儿，714高炮，暴力催收！</v>
      </c>
      <c r="C3029" s="2" t="s">
        <v>9</v>
      </c>
      <c r="D3029" s="2" t="s">
        <v>10</v>
      </c>
      <c r="E3029" s="2" t="str">
        <f>HYPERLINK("http://ts.21cn.com/tousu/show/id/1333672","http://ts.21cn.com/tousu/show/id/1333672")</f>
        <v>http://ts.21cn.com/tousu/show/id/1333672</v>
      </c>
      <c r="F3029" s="2" t="s">
        <v>11</v>
      </c>
      <c r="G3029" s="2" t="s">
        <v>38175</v>
      </c>
      <c r="H3029" s="2" t="s">
        <v>38176</v>
      </c>
    </row>
    <row r="3030" spans="1:8" ht="25.05" customHeight="1" x14ac:dyDescent="0.25">
      <c r="A3030" s="2" t="s">
        <v>8</v>
      </c>
      <c r="B3030" s="2" t="str">
        <f>HYPERLINK("http://ts.21cn.com/tousu/show/id/1333673","美团虚假宣传活动奖励不兑现涉欺诈")</f>
        <v>美团虚假宣传活动奖励不兑现涉欺诈</v>
      </c>
      <c r="C3030" s="2" t="s">
        <v>9</v>
      </c>
      <c r="D3030" s="2" t="s">
        <v>10</v>
      </c>
      <c r="E3030" s="2" t="str">
        <f>HYPERLINK("http://ts.21cn.com/tousu/show/id/1333673","http://ts.21cn.com/tousu/show/id/1333673")</f>
        <v>http://ts.21cn.com/tousu/show/id/1333673</v>
      </c>
      <c r="F3030" s="2" t="s">
        <v>11</v>
      </c>
      <c r="G3030" s="2" t="s">
        <v>38173</v>
      </c>
      <c r="H3030" s="2" t="s">
        <v>38174</v>
      </c>
    </row>
    <row r="3031" spans="1:8" ht="25.05" customHeight="1" x14ac:dyDescent="0.25">
      <c r="A3031" s="2" t="s">
        <v>8</v>
      </c>
      <c r="B3031" s="2" t="str">
        <f>HYPERLINK("http://ts.21cn.com/tousu/show/id/1333674","及贷高利贷，套路贷")</f>
        <v>及贷高利贷，套路贷</v>
      </c>
      <c r="C3031" s="2" t="s">
        <v>9</v>
      </c>
      <c r="D3031" s="2" t="s">
        <v>10</v>
      </c>
      <c r="E3031" s="2" t="str">
        <f>HYPERLINK("http://ts.21cn.com/tousu/show/id/1333674","http://ts.21cn.com/tousu/show/id/1333674")</f>
        <v>http://ts.21cn.com/tousu/show/id/1333674</v>
      </c>
      <c r="F3031" s="2" t="s">
        <v>11</v>
      </c>
      <c r="G3031" s="2" t="s">
        <v>38171</v>
      </c>
      <c r="H3031" s="2" t="s">
        <v>38172</v>
      </c>
    </row>
    <row r="3032" spans="1:8" ht="25.05" customHeight="1" x14ac:dyDescent="0.25">
      <c r="A3032" s="2" t="s">
        <v>8</v>
      </c>
      <c r="B3032" s="2" t="str">
        <f>HYPERLINK("http://ts.21cn.com/tousu/show/id/1333675","阴阳合同，爆力催收")</f>
        <v>阴阳合同，爆力催收</v>
      </c>
      <c r="C3032" s="2" t="s">
        <v>9</v>
      </c>
      <c r="D3032" s="2" t="s">
        <v>10</v>
      </c>
      <c r="E3032" s="2" t="str">
        <f>HYPERLINK("http://ts.21cn.com/tousu/show/id/1333675","http://ts.21cn.com/tousu/show/id/1333675")</f>
        <v>http://ts.21cn.com/tousu/show/id/1333675</v>
      </c>
      <c r="F3032" s="2" t="s">
        <v>11</v>
      </c>
      <c r="G3032" s="2" t="s">
        <v>38169</v>
      </c>
      <c r="H3032" s="2" t="s">
        <v>38170</v>
      </c>
    </row>
    <row r="3033" spans="1:8" ht="25.05" customHeight="1" x14ac:dyDescent="0.25">
      <c r="A3033" s="2" t="s">
        <v>8</v>
      </c>
      <c r="B3033" s="2" t="str">
        <f>HYPERLINK("http://ts.21cn.com/tousu/show/id/1333676","翼钱包暴力催收高利贷砍头息")</f>
        <v>翼钱包暴力催收高利贷砍头息</v>
      </c>
      <c r="C3033" s="2" t="s">
        <v>9</v>
      </c>
      <c r="D3033" s="2" t="s">
        <v>10</v>
      </c>
      <c r="E3033" s="2" t="str">
        <f>HYPERLINK("http://ts.21cn.com/tousu/show/id/1333676","http://ts.21cn.com/tousu/show/id/1333676")</f>
        <v>http://ts.21cn.com/tousu/show/id/1333676</v>
      </c>
      <c r="F3033" s="2" t="s">
        <v>11</v>
      </c>
      <c r="G3033" s="2" t="s">
        <v>38167</v>
      </c>
      <c r="H3033" s="2" t="s">
        <v>38168</v>
      </c>
    </row>
    <row r="3034" spans="1:8" ht="25.05" customHeight="1" x14ac:dyDescent="0.25">
      <c r="A3034" s="2" t="s">
        <v>8</v>
      </c>
      <c r="B3034" s="2" t="str">
        <f>HYPERLINK("http://ts.21cn.com/tousu/show/id/1333677","微众银行不同催收多次与我沟通，我也多次说明情况。依然暴力催收，违法犯罪，身心疲惫。")</f>
        <v>微众银行不同催收多次与我沟通，我也多次说明情况。依然暴力催收，违法犯罪，身心疲惫。</v>
      </c>
      <c r="C3034" s="2" t="s">
        <v>9</v>
      </c>
      <c r="D3034" s="2" t="s">
        <v>10</v>
      </c>
      <c r="E3034" s="2" t="str">
        <f>HYPERLINK("http://ts.21cn.com/tousu/show/id/1333677","http://ts.21cn.com/tousu/show/id/1333677")</f>
        <v>http://ts.21cn.com/tousu/show/id/1333677</v>
      </c>
      <c r="F3034" s="2" t="s">
        <v>11</v>
      </c>
      <c r="G3034" s="2" t="s">
        <v>38165</v>
      </c>
      <c r="H3034" s="2" t="s">
        <v>38166</v>
      </c>
    </row>
    <row r="3035" spans="1:8" ht="25.05" customHeight="1" x14ac:dyDescent="0.25">
      <c r="A3035" s="2" t="s">
        <v>8</v>
      </c>
      <c r="B3035" s="2" t="str">
        <f>HYPERLINK("http://ts.21cn.com/tousu/show/id/1333680","贷上钱客服和催收人员态度极差，恐吓我和家人")</f>
        <v>贷上钱客服和催收人员态度极差，恐吓我和家人</v>
      </c>
      <c r="C3035" s="2" t="s">
        <v>9</v>
      </c>
      <c r="D3035" s="2" t="s">
        <v>10</v>
      </c>
      <c r="E3035" s="2" t="str">
        <f>HYPERLINK("http://ts.21cn.com/tousu/show/id/1333680","http://ts.21cn.com/tousu/show/id/1333680")</f>
        <v>http://ts.21cn.com/tousu/show/id/1333680</v>
      </c>
      <c r="F3035" s="2" t="s">
        <v>11</v>
      </c>
      <c r="G3035" s="2" t="s">
        <v>38163</v>
      </c>
      <c r="H3035" s="2" t="s">
        <v>38164</v>
      </c>
    </row>
    <row r="3036" spans="1:8" ht="25.05" customHeight="1" x14ac:dyDescent="0.25">
      <c r="A3036" s="2" t="s">
        <v>8</v>
      </c>
      <c r="B3036" s="2" t="str">
        <f>HYPERLINK("http://ts.21cn.com/tousu/show/id/1333681","滴滴金融滴水贷手动还款失败导致逾期")</f>
        <v>滴滴金融滴水贷手动还款失败导致逾期</v>
      </c>
      <c r="C3036" s="2" t="s">
        <v>9</v>
      </c>
      <c r="D3036" s="2" t="s">
        <v>10</v>
      </c>
      <c r="E3036" s="2" t="str">
        <f>HYPERLINK("http://ts.21cn.com/tousu/show/id/1333681","http://ts.21cn.com/tousu/show/id/1333681")</f>
        <v>http://ts.21cn.com/tousu/show/id/1333681</v>
      </c>
      <c r="F3036" s="2" t="s">
        <v>11</v>
      </c>
      <c r="G3036" s="2" t="s">
        <v>38161</v>
      </c>
      <c r="H3036" s="2" t="s">
        <v>38162</v>
      </c>
    </row>
    <row r="3037" spans="1:8" ht="25.05" customHeight="1" x14ac:dyDescent="0.25">
      <c r="A3037" s="2" t="s">
        <v>8</v>
      </c>
      <c r="B3037" s="2" t="str">
        <f>HYPERLINK("http://ts.21cn.com/tousu/show/id/1333683","已还款没销帐")</f>
        <v>已还款没销帐</v>
      </c>
      <c r="C3037" s="2" t="s">
        <v>34</v>
      </c>
      <c r="D3037" s="2" t="s">
        <v>10</v>
      </c>
      <c r="E3037" s="2" t="str">
        <f>HYPERLINK("http://ts.21cn.com/tousu/show/id/1333683","http://ts.21cn.com/tousu/show/id/1333683")</f>
        <v>http://ts.21cn.com/tousu/show/id/1333683</v>
      </c>
      <c r="F3037" s="2" t="s">
        <v>11</v>
      </c>
      <c r="G3037" s="2" t="s">
        <v>38159</v>
      </c>
      <c r="H3037" s="2" t="s">
        <v>38160</v>
      </c>
    </row>
    <row r="3038" spans="1:8" ht="25.05" customHeight="1" x14ac:dyDescent="0.25">
      <c r="A3038" s="2" t="s">
        <v>8</v>
      </c>
      <c r="B3038" s="2" t="str">
        <f>HYPERLINK("http://ts.21cn.com/tousu/show/id/1333685","途虎欺诈引诱")</f>
        <v>途虎欺诈引诱</v>
      </c>
      <c r="C3038" s="2" t="s">
        <v>9</v>
      </c>
      <c r="D3038" s="2" t="s">
        <v>10</v>
      </c>
      <c r="E3038" s="2" t="str">
        <f>HYPERLINK("http://ts.21cn.com/tousu/show/id/1333685","http://ts.21cn.com/tousu/show/id/1333685")</f>
        <v>http://ts.21cn.com/tousu/show/id/1333685</v>
      </c>
      <c r="F3038" s="2" t="s">
        <v>11</v>
      </c>
      <c r="G3038" s="2" t="s">
        <v>38157</v>
      </c>
      <c r="H3038" s="2" t="s">
        <v>38158</v>
      </c>
    </row>
    <row r="3039" spans="1:8" ht="25.05" customHeight="1" x14ac:dyDescent="0.25">
      <c r="A3039" s="2" t="s">
        <v>8</v>
      </c>
      <c r="B3039" s="2" t="str">
        <f>HYPERLINK("http://ts.21cn.com/tousu/show/id/1333684","要求易到用车退款！！")</f>
        <v>要求易到用车退款！！</v>
      </c>
      <c r="C3039" s="2" t="s">
        <v>34</v>
      </c>
      <c r="D3039" s="2" t="s">
        <v>10</v>
      </c>
      <c r="E3039" s="2" t="str">
        <f>HYPERLINK("http://ts.21cn.com/tousu/show/id/1333684","http://ts.21cn.com/tousu/show/id/1333684")</f>
        <v>http://ts.21cn.com/tousu/show/id/1333684</v>
      </c>
      <c r="F3039" s="2" t="s">
        <v>11</v>
      </c>
      <c r="G3039" s="2" t="s">
        <v>38155</v>
      </c>
      <c r="H3039" s="2" t="s">
        <v>38156</v>
      </c>
    </row>
    <row r="3040" spans="1:8" ht="25.05" customHeight="1" x14ac:dyDescent="0.25">
      <c r="A3040" s="2" t="s">
        <v>8</v>
      </c>
      <c r="B3040" s="2" t="str">
        <f>HYPERLINK("http://ts.21cn.com/tousu/show/id/1333686","中国移动强制办理副卡不给办理注销副卡以副卡名义乱收费")</f>
        <v>中国移动强制办理副卡不给办理注销副卡以副卡名义乱收费</v>
      </c>
      <c r="C3040" s="2" t="s">
        <v>9</v>
      </c>
      <c r="D3040" s="2" t="s">
        <v>10</v>
      </c>
      <c r="E3040" s="2" t="str">
        <f>HYPERLINK("http://ts.21cn.com/tousu/show/id/1333686","http://ts.21cn.com/tousu/show/id/1333686")</f>
        <v>http://ts.21cn.com/tousu/show/id/1333686</v>
      </c>
      <c r="F3040" s="2" t="s">
        <v>11</v>
      </c>
      <c r="G3040" s="2" t="s">
        <v>38153</v>
      </c>
      <c r="H3040" s="2" t="s">
        <v>38154</v>
      </c>
    </row>
    <row r="3041" spans="1:8" ht="25.05" customHeight="1" x14ac:dyDescent="0.25">
      <c r="A3041" s="2" t="s">
        <v>8</v>
      </c>
      <c r="B3041" s="2" t="str">
        <f>HYPERLINK("http://ts.21cn.com/tousu/show/id/1333687","骚扰")</f>
        <v>骚扰</v>
      </c>
      <c r="C3041" s="2" t="s">
        <v>9</v>
      </c>
      <c r="D3041" s="2" t="s">
        <v>10</v>
      </c>
      <c r="E3041" s="2" t="str">
        <f>HYPERLINK("http://ts.21cn.com/tousu/show/id/1333687","http://ts.21cn.com/tousu/show/id/1333687")</f>
        <v>http://ts.21cn.com/tousu/show/id/1333687</v>
      </c>
      <c r="F3041" s="2" t="s">
        <v>11</v>
      </c>
      <c r="G3041" s="2" t="s">
        <v>38151</v>
      </c>
      <c r="H3041" s="2" t="s">
        <v>38152</v>
      </c>
    </row>
    <row r="3042" spans="1:8" ht="25.05" customHeight="1" x14ac:dyDescent="0.25">
      <c r="A3042" s="2" t="s">
        <v>8</v>
      </c>
      <c r="B3042" s="2" t="str">
        <f>HYPERLINK("http://ts.21cn.com/tousu/show/id/1333690","交通银行利用职权方便乱查公司联系人骚扰")</f>
        <v>交通银行利用职权方便乱查公司联系人骚扰</v>
      </c>
      <c r="C3042" s="2" t="s">
        <v>9</v>
      </c>
      <c r="D3042" s="2" t="s">
        <v>10</v>
      </c>
      <c r="E3042" s="2" t="str">
        <f>HYPERLINK("http://ts.21cn.com/tousu/show/id/1333690","http://ts.21cn.com/tousu/show/id/1333690")</f>
        <v>http://ts.21cn.com/tousu/show/id/1333690</v>
      </c>
      <c r="F3042" s="2" t="s">
        <v>11</v>
      </c>
      <c r="G3042" s="2" t="s">
        <v>38149</v>
      </c>
      <c r="H3042" s="2" t="s">
        <v>38150</v>
      </c>
    </row>
    <row r="3043" spans="1:8" ht="25.05" customHeight="1" x14ac:dyDescent="0.25">
      <c r="A3043" s="2" t="s">
        <v>8</v>
      </c>
      <c r="B3043" s="2" t="str">
        <f>HYPERLINK("http://ts.21cn.com/tousu/show/id/1333689","强行多收超出部分")</f>
        <v>强行多收超出部分</v>
      </c>
      <c r="C3043" s="2" t="s">
        <v>34</v>
      </c>
      <c r="D3043" s="2" t="s">
        <v>10</v>
      </c>
      <c r="E3043" s="2" t="str">
        <f>HYPERLINK("http://ts.21cn.com/tousu/show/id/1333689","http://ts.21cn.com/tousu/show/id/1333689")</f>
        <v>http://ts.21cn.com/tousu/show/id/1333689</v>
      </c>
      <c r="F3043" s="2" t="s">
        <v>11</v>
      </c>
      <c r="G3043" s="2" t="s">
        <v>38147</v>
      </c>
      <c r="H3043" s="2" t="s">
        <v>38148</v>
      </c>
    </row>
    <row r="3044" spans="1:8" ht="25.05" customHeight="1" x14ac:dyDescent="0.25">
      <c r="A3044" s="2" t="s">
        <v>8</v>
      </c>
      <c r="B3044" s="2" t="str">
        <f>HYPERLINK("http://ts.21cn.com/tousu/show/id/1333691","拍拍贷通讯录轰炸亲朋好友")</f>
        <v>拍拍贷通讯录轰炸亲朋好友</v>
      </c>
      <c r="C3044" s="2" t="s">
        <v>34</v>
      </c>
      <c r="D3044" s="2" t="s">
        <v>10</v>
      </c>
      <c r="E3044" s="2" t="str">
        <f>HYPERLINK("http://ts.21cn.com/tousu/show/id/1333691","http://ts.21cn.com/tousu/show/id/1333691")</f>
        <v>http://ts.21cn.com/tousu/show/id/1333691</v>
      </c>
      <c r="F3044" s="2" t="s">
        <v>11</v>
      </c>
      <c r="G3044" s="2" t="s">
        <v>38145</v>
      </c>
      <c r="H3044" s="2" t="s">
        <v>38146</v>
      </c>
    </row>
    <row r="3045" spans="1:8" ht="25.05" customHeight="1" x14ac:dyDescent="0.25">
      <c r="A3045" s="2" t="s">
        <v>8</v>
      </c>
      <c r="B3045" s="2" t="str">
        <f>HYPERLINK("http://ts.21cn.com/tousu/show/id/1333692","骚扰我亲朋好友，还跟我通讯录里的人吵架！国庆节还在威胁我！")</f>
        <v>骚扰我亲朋好友，还跟我通讯录里的人吵架！国庆节还在威胁我！</v>
      </c>
      <c r="C3045" s="2" t="s">
        <v>34</v>
      </c>
      <c r="D3045" s="2" t="s">
        <v>10</v>
      </c>
      <c r="E3045" s="2" t="str">
        <f>HYPERLINK("http://ts.21cn.com/tousu/show/id/1333692","http://ts.21cn.com/tousu/show/id/1333692")</f>
        <v>http://ts.21cn.com/tousu/show/id/1333692</v>
      </c>
      <c r="F3045" s="2" t="s">
        <v>11</v>
      </c>
      <c r="G3045" s="2" t="s">
        <v>38143</v>
      </c>
      <c r="H3045" s="2" t="s">
        <v>38144</v>
      </c>
    </row>
    <row r="3046" spans="1:8" ht="25.05" customHeight="1" x14ac:dyDescent="0.25">
      <c r="A3046" s="2" t="s">
        <v>8</v>
      </c>
      <c r="B3046" s="2" t="str">
        <f>HYPERLINK("http://ts.21cn.com/tousu/show/id/1333693","助力钱包逾期几天利息有点高")</f>
        <v>助力钱包逾期几天利息有点高</v>
      </c>
      <c r="C3046" s="2" t="s">
        <v>9</v>
      </c>
      <c r="D3046" s="2" t="s">
        <v>10</v>
      </c>
      <c r="E3046" s="2" t="str">
        <f>HYPERLINK("http://ts.21cn.com/tousu/show/id/1333693","http://ts.21cn.com/tousu/show/id/1333693")</f>
        <v>http://ts.21cn.com/tousu/show/id/1333693</v>
      </c>
      <c r="F3046" s="2" t="s">
        <v>11</v>
      </c>
      <c r="G3046" s="2" t="s">
        <v>38141</v>
      </c>
      <c r="H3046" s="2" t="s">
        <v>38142</v>
      </c>
    </row>
    <row r="3047" spans="1:8" ht="25.05" customHeight="1" x14ac:dyDescent="0.25">
      <c r="A3047" s="2" t="s">
        <v>8</v>
      </c>
      <c r="B3047" s="2" t="str">
        <f>HYPERLINK("http://ts.21cn.com/tousu/show/id/1333694","玖富高利贷，虚假广告")</f>
        <v>玖富高利贷，虚假广告</v>
      </c>
      <c r="C3047" s="2" t="s">
        <v>9</v>
      </c>
      <c r="D3047" s="2" t="s">
        <v>10</v>
      </c>
      <c r="E3047" s="2" t="str">
        <f>HYPERLINK("http://ts.21cn.com/tousu/show/id/1333694","http://ts.21cn.com/tousu/show/id/1333694")</f>
        <v>http://ts.21cn.com/tousu/show/id/1333694</v>
      </c>
      <c r="F3047" s="2" t="s">
        <v>11</v>
      </c>
      <c r="G3047" s="2" t="s">
        <v>38139</v>
      </c>
      <c r="H3047" s="2" t="s">
        <v>38140</v>
      </c>
    </row>
    <row r="3048" spans="1:8" ht="25.05" customHeight="1" x14ac:dyDescent="0.25">
      <c r="A3048" s="2" t="s">
        <v>8</v>
      </c>
      <c r="B3048" s="2" t="str">
        <f>HYPERLINK("http://ts.21cn.com/tousu/show/id/1333688","拼多多售后审核人员擅自退款，不分青红皂白就退款给卖家，造成商家损失！")</f>
        <v>拼多多售后审核人员擅自退款，不分青红皂白就退款给卖家，造成商家损失！</v>
      </c>
      <c r="C3048" s="2" t="s">
        <v>9</v>
      </c>
      <c r="D3048" s="2" t="s">
        <v>10</v>
      </c>
      <c r="E3048" s="2" t="str">
        <f>HYPERLINK("http://ts.21cn.com/tousu/show/id/1333688","http://ts.21cn.com/tousu/show/id/1333688")</f>
        <v>http://ts.21cn.com/tousu/show/id/1333688</v>
      </c>
      <c r="F3048" s="2" t="s">
        <v>11</v>
      </c>
      <c r="G3048" s="2" t="s">
        <v>38137</v>
      </c>
      <c r="H3048" s="2" t="s">
        <v>38138</v>
      </c>
    </row>
    <row r="3049" spans="1:8" ht="25.05" customHeight="1" x14ac:dyDescent="0.25">
      <c r="A3049" s="2" t="s">
        <v>8</v>
      </c>
      <c r="B3049" s="2" t="str">
        <f>HYPERLINK("http://ts.21cn.com/tousu/show/id/1333698","信用管家金钱保原存钱柜）高利贷")</f>
        <v>信用管家金钱保原存钱柜）高利贷</v>
      </c>
      <c r="C3049" s="2" t="s">
        <v>9</v>
      </c>
      <c r="D3049" s="2" t="s">
        <v>10</v>
      </c>
      <c r="E3049" s="2" t="str">
        <f>HYPERLINK("http://ts.21cn.com/tousu/show/id/1333698","http://ts.21cn.com/tousu/show/id/1333698")</f>
        <v>http://ts.21cn.com/tousu/show/id/1333698</v>
      </c>
      <c r="F3049" s="2" t="s">
        <v>11</v>
      </c>
      <c r="G3049" s="2" t="s">
        <v>38135</v>
      </c>
      <c r="H3049" s="2" t="s">
        <v>38136</v>
      </c>
    </row>
    <row r="3050" spans="1:8" ht="25.05" customHeight="1" x14ac:dyDescent="0.25">
      <c r="A3050" s="2" t="s">
        <v>8</v>
      </c>
      <c r="B3050" s="2" t="str">
        <f>HYPERLINK("http://ts.21cn.com/tousu/show/id/1333697","爆通讯录影响正常生活工作")</f>
        <v>爆通讯录影响正常生活工作</v>
      </c>
      <c r="C3050" s="2" t="s">
        <v>9</v>
      </c>
      <c r="D3050" s="2" t="s">
        <v>10</v>
      </c>
      <c r="E3050" s="2" t="str">
        <f>HYPERLINK("http://ts.21cn.com/tousu/show/id/1333697","http://ts.21cn.com/tousu/show/id/1333697")</f>
        <v>http://ts.21cn.com/tousu/show/id/1333697</v>
      </c>
      <c r="F3050" s="2" t="s">
        <v>11</v>
      </c>
      <c r="G3050" s="2" t="s">
        <v>38133</v>
      </c>
      <c r="H3050" s="2" t="s">
        <v>38134</v>
      </c>
    </row>
    <row r="3051" spans="1:8" ht="25.05" customHeight="1" x14ac:dyDescent="0.25">
      <c r="A3051" s="2" t="s">
        <v>8</v>
      </c>
      <c r="B3051" s="2" t="str">
        <f>HYPERLINK("http://ts.21cn.com/tousu/show/id/1333699","退款")</f>
        <v>退款</v>
      </c>
      <c r="C3051" s="2" t="s">
        <v>34</v>
      </c>
      <c r="D3051" s="2" t="s">
        <v>10</v>
      </c>
      <c r="E3051" s="2" t="str">
        <f>HYPERLINK("http://ts.21cn.com/tousu/show/id/1333699","http://ts.21cn.com/tousu/show/id/1333699")</f>
        <v>http://ts.21cn.com/tousu/show/id/1333699</v>
      </c>
      <c r="F3051" s="2" t="s">
        <v>11</v>
      </c>
      <c r="G3051" s="2" t="s">
        <v>38131</v>
      </c>
      <c r="H3051" s="2" t="s">
        <v>38132</v>
      </c>
    </row>
    <row r="3052" spans="1:8" ht="25.05" customHeight="1" x14ac:dyDescent="0.25">
      <c r="A3052" s="2" t="s">
        <v>8</v>
      </c>
      <c r="B3052" s="2" t="str">
        <f>HYPERLINK("http://ts.21cn.com/tousu/show/id/1333700","利率过高")</f>
        <v>利率过高</v>
      </c>
      <c r="C3052" s="2" t="s">
        <v>9</v>
      </c>
      <c r="D3052" s="2" t="s">
        <v>10</v>
      </c>
      <c r="E3052" s="2" t="str">
        <f>HYPERLINK("http://ts.21cn.com/tousu/show/id/1333700","http://ts.21cn.com/tousu/show/id/1333700")</f>
        <v>http://ts.21cn.com/tousu/show/id/1333700</v>
      </c>
      <c r="F3052" s="2" t="s">
        <v>11</v>
      </c>
      <c r="G3052" s="2" t="s">
        <v>38129</v>
      </c>
      <c r="H3052" s="2" t="s">
        <v>38130</v>
      </c>
    </row>
    <row r="3053" spans="1:8" ht="25.05" customHeight="1" x14ac:dyDescent="0.25">
      <c r="A3053" s="2" t="s">
        <v>8</v>
      </c>
      <c r="B3053" s="2" t="str">
        <f>HYPERLINK("http://ts.21cn.com/tousu/show/id/1333708","美好分期套路贷暴力催收，轰炸我通讯录，威胁恐吓我家人辱骂我朋友")</f>
        <v>美好分期套路贷暴力催收，轰炸我通讯录，威胁恐吓我家人辱骂我朋友</v>
      </c>
      <c r="C3053" s="2" t="s">
        <v>9</v>
      </c>
      <c r="D3053" s="2" t="s">
        <v>10</v>
      </c>
      <c r="E3053" s="2" t="str">
        <f>HYPERLINK("http://ts.21cn.com/tousu/show/id/1333708","http://ts.21cn.com/tousu/show/id/1333708")</f>
        <v>http://ts.21cn.com/tousu/show/id/1333708</v>
      </c>
      <c r="F3053" s="2" t="s">
        <v>11</v>
      </c>
      <c r="G3053" s="2" t="s">
        <v>38127</v>
      </c>
      <c r="H3053" s="2" t="s">
        <v>38128</v>
      </c>
    </row>
    <row r="3054" spans="1:8" ht="25.05" customHeight="1" x14ac:dyDescent="0.25">
      <c r="A3054" s="2" t="s">
        <v>8</v>
      </c>
      <c r="B3054" s="2" t="str">
        <f>HYPERLINK("http://ts.21cn.com/tousu/show/id/1333701","钱橙无忧随意扣费")</f>
        <v>钱橙无忧随意扣费</v>
      </c>
      <c r="C3054" s="2" t="s">
        <v>34</v>
      </c>
      <c r="D3054" s="2" t="s">
        <v>10</v>
      </c>
      <c r="E3054" s="2" t="str">
        <f>HYPERLINK("http://ts.21cn.com/tousu/show/id/1333701","http://ts.21cn.com/tousu/show/id/1333701")</f>
        <v>http://ts.21cn.com/tousu/show/id/1333701</v>
      </c>
      <c r="F3054" s="2" t="s">
        <v>11</v>
      </c>
      <c r="G3054" s="2" t="s">
        <v>38125</v>
      </c>
      <c r="H3054" s="2" t="s">
        <v>38126</v>
      </c>
    </row>
    <row r="3055" spans="1:8" ht="25.05" customHeight="1" x14ac:dyDescent="0.25">
      <c r="A3055" s="2" t="s">
        <v>8</v>
      </c>
      <c r="B3055" s="2" t="str">
        <f>HYPERLINK("http://ts.21cn.com/tousu/show/id/1333702","聚福钱包未经许可私自扣款")</f>
        <v>聚福钱包未经许可私自扣款</v>
      </c>
      <c r="C3055" s="2" t="s">
        <v>9</v>
      </c>
      <c r="D3055" s="2" t="s">
        <v>10</v>
      </c>
      <c r="E3055" s="2" t="str">
        <f>HYPERLINK("http://ts.21cn.com/tousu/show/id/1333702","http://ts.21cn.com/tousu/show/id/1333702")</f>
        <v>http://ts.21cn.com/tousu/show/id/1333702</v>
      </c>
      <c r="F3055" s="2" t="s">
        <v>11</v>
      </c>
      <c r="G3055" s="2" t="s">
        <v>38123</v>
      </c>
      <c r="H3055" s="2" t="s">
        <v>38124</v>
      </c>
    </row>
    <row r="3056" spans="1:8" ht="25.05" customHeight="1" x14ac:dyDescent="0.25">
      <c r="A3056" s="2" t="s">
        <v>8</v>
      </c>
      <c r="B3056" s="2" t="str">
        <f>HYPERLINK("http://ts.21cn.com/tousu/show/id/1333703","用钱宝暴力催收骚扰威胁")</f>
        <v>用钱宝暴力催收骚扰威胁</v>
      </c>
      <c r="C3056" s="2" t="s">
        <v>9</v>
      </c>
      <c r="D3056" s="2" t="s">
        <v>10</v>
      </c>
      <c r="E3056" s="2" t="str">
        <f>HYPERLINK("http://ts.21cn.com/tousu/show/id/1333703","http://ts.21cn.com/tousu/show/id/1333703")</f>
        <v>http://ts.21cn.com/tousu/show/id/1333703</v>
      </c>
      <c r="F3056" s="2" t="s">
        <v>11</v>
      </c>
      <c r="G3056" s="2" t="s">
        <v>38121</v>
      </c>
      <c r="H3056" s="2" t="s">
        <v>38122</v>
      </c>
    </row>
    <row r="3057" spans="1:8" ht="25.05" customHeight="1" x14ac:dyDescent="0.25">
      <c r="A3057" s="2" t="s">
        <v>8</v>
      </c>
      <c r="B3057" s="2" t="str">
        <f>HYPERLINK("http://ts.21cn.com/tousu/show/id/1333704","给你花暴力催收，爆通讯录，")</f>
        <v>给你花暴力催收，爆通讯录，</v>
      </c>
      <c r="C3057" s="2" t="s">
        <v>9</v>
      </c>
      <c r="D3057" s="2" t="s">
        <v>10</v>
      </c>
      <c r="E3057" s="2" t="str">
        <f>HYPERLINK("http://ts.21cn.com/tousu/show/id/1333704","http://ts.21cn.com/tousu/show/id/1333704")</f>
        <v>http://ts.21cn.com/tousu/show/id/1333704</v>
      </c>
      <c r="F3057" s="2" t="s">
        <v>11</v>
      </c>
      <c r="G3057" s="2" t="s">
        <v>38119</v>
      </c>
      <c r="H3057" s="2" t="s">
        <v>38120</v>
      </c>
    </row>
    <row r="3058" spans="1:8" ht="25.05" customHeight="1" x14ac:dyDescent="0.25">
      <c r="A3058" s="2" t="s">
        <v>8</v>
      </c>
      <c r="B3058" s="2" t="str">
        <f>HYPERLINK("http://ts.21cn.com/tousu/show/id/1333706","闪银不予以处理销户")</f>
        <v>闪银不予以处理销户</v>
      </c>
      <c r="C3058" s="2" t="s">
        <v>34</v>
      </c>
      <c r="D3058" s="2" t="s">
        <v>10</v>
      </c>
      <c r="E3058" s="2" t="str">
        <f>HYPERLINK("http://ts.21cn.com/tousu/show/id/1333706","http://ts.21cn.com/tousu/show/id/1333706")</f>
        <v>http://ts.21cn.com/tousu/show/id/1333706</v>
      </c>
      <c r="F3058" s="2" t="s">
        <v>11</v>
      </c>
      <c r="G3058" s="2" t="s">
        <v>38118</v>
      </c>
      <c r="H3058" s="2" t="s">
        <v>37110</v>
      </c>
    </row>
    <row r="3059" spans="1:8" ht="25.05" customHeight="1" x14ac:dyDescent="0.25">
      <c r="A3059" s="2" t="s">
        <v>8</v>
      </c>
      <c r="B3059" s="2" t="str">
        <f>HYPERLINK("http://ts.21cn.com/tousu/show/id/1333707","小象优品高利贷")</f>
        <v>小象优品高利贷</v>
      </c>
      <c r="C3059" s="2" t="s">
        <v>9</v>
      </c>
      <c r="D3059" s="2" t="s">
        <v>10</v>
      </c>
      <c r="E3059" s="2" t="str">
        <f>HYPERLINK("http://ts.21cn.com/tousu/show/id/1333707","http://ts.21cn.com/tousu/show/id/1333707")</f>
        <v>http://ts.21cn.com/tousu/show/id/1333707</v>
      </c>
      <c r="F3059" s="2" t="s">
        <v>11</v>
      </c>
      <c r="G3059" s="2" t="s">
        <v>38116</v>
      </c>
      <c r="H3059" s="2" t="s">
        <v>38117</v>
      </c>
    </row>
    <row r="3060" spans="1:8" ht="25.05" customHeight="1" x14ac:dyDescent="0.25">
      <c r="A3060" s="2" t="s">
        <v>8</v>
      </c>
      <c r="B3060" s="2" t="str">
        <f>HYPERLINK("http://ts.21cn.com/tousu/show/id/1333705","玖富万卡阴阳合同协商不诚心银行卡扣款")</f>
        <v>玖富万卡阴阳合同协商不诚心银行卡扣款</v>
      </c>
      <c r="C3060" s="2" t="s">
        <v>9</v>
      </c>
      <c r="D3060" s="2" t="s">
        <v>10</v>
      </c>
      <c r="E3060" s="2" t="str">
        <f>HYPERLINK("http://ts.21cn.com/tousu/show/id/1333705","http://ts.21cn.com/tousu/show/id/1333705")</f>
        <v>http://ts.21cn.com/tousu/show/id/1333705</v>
      </c>
      <c r="F3060" s="2" t="s">
        <v>11</v>
      </c>
      <c r="G3060" s="2" t="s">
        <v>38114</v>
      </c>
      <c r="H3060" s="2" t="s">
        <v>38115</v>
      </c>
    </row>
    <row r="3061" spans="1:8" ht="25.05" customHeight="1" x14ac:dyDescent="0.25">
      <c r="A3061" s="2" t="s">
        <v>8</v>
      </c>
      <c r="B3061" s="2" t="str">
        <f>HYPERLINK("http://ts.21cn.com/tousu/show/id/1333709","要去探探退回会员费用会员没有享受到应有的功能")</f>
        <v>要去探探退回会员费用会员没有享受到应有的功能</v>
      </c>
      <c r="C3061" s="2" t="s">
        <v>9</v>
      </c>
      <c r="D3061" s="2" t="s">
        <v>10</v>
      </c>
      <c r="E3061" s="2" t="str">
        <f>HYPERLINK("http://ts.21cn.com/tousu/show/id/1333709","http://ts.21cn.com/tousu/show/id/1333709")</f>
        <v>http://ts.21cn.com/tousu/show/id/1333709</v>
      </c>
      <c r="F3061" s="2" t="s">
        <v>11</v>
      </c>
      <c r="G3061" s="2" t="s">
        <v>38112</v>
      </c>
      <c r="H3061" s="2" t="s">
        <v>38113</v>
      </c>
    </row>
    <row r="3062" spans="1:8" ht="25.05" customHeight="1" x14ac:dyDescent="0.25">
      <c r="A3062" s="2" t="s">
        <v>8</v>
      </c>
      <c r="B3062" s="2" t="str">
        <f>HYPERLINK("http://ts.21cn.com/tousu/show/id/1333711","协商解决还款问题")</f>
        <v>协商解决还款问题</v>
      </c>
      <c r="C3062" s="2" t="s">
        <v>9</v>
      </c>
      <c r="D3062" s="2" t="s">
        <v>10</v>
      </c>
      <c r="E3062" s="2" t="str">
        <f>HYPERLINK("http://ts.21cn.com/tousu/show/id/1333711","http://ts.21cn.com/tousu/show/id/1333711")</f>
        <v>http://ts.21cn.com/tousu/show/id/1333711</v>
      </c>
      <c r="F3062" s="2" t="s">
        <v>11</v>
      </c>
      <c r="G3062" s="2" t="s">
        <v>38110</v>
      </c>
      <c r="H3062" s="2" t="s">
        <v>38111</v>
      </c>
    </row>
    <row r="3063" spans="1:8" ht="25.05" customHeight="1" x14ac:dyDescent="0.25">
      <c r="A3063" s="2" t="s">
        <v>8</v>
      </c>
      <c r="B3063" s="2" t="str">
        <f>HYPERLINK("http://ts.21cn.com/tousu/show/id/1333712","苹果账号盗刷官方拒绝退款")</f>
        <v>苹果账号盗刷官方拒绝退款</v>
      </c>
      <c r="C3063" s="2" t="s">
        <v>9</v>
      </c>
      <c r="D3063" s="2" t="s">
        <v>10</v>
      </c>
      <c r="E3063" s="2" t="str">
        <f>HYPERLINK("http://ts.21cn.com/tousu/show/id/1333712","http://ts.21cn.com/tousu/show/id/1333712")</f>
        <v>http://ts.21cn.com/tousu/show/id/1333712</v>
      </c>
      <c r="F3063" s="2" t="s">
        <v>11</v>
      </c>
      <c r="G3063" s="2" t="s">
        <v>38108</v>
      </c>
      <c r="H3063" s="2" t="s">
        <v>38109</v>
      </c>
    </row>
    <row r="3064" spans="1:8" ht="25.05" customHeight="1" x14ac:dyDescent="0.25">
      <c r="A3064" s="2" t="s">
        <v>8</v>
      </c>
      <c r="B3064" s="2" t="str">
        <f>HYPERLINK("http://ts.21cn.com/tousu/show/id/1333713","中邮循环贷额度冻结")</f>
        <v>中邮循环贷额度冻结</v>
      </c>
      <c r="C3064" s="2" t="s">
        <v>9</v>
      </c>
      <c r="D3064" s="2" t="s">
        <v>10</v>
      </c>
      <c r="E3064" s="2" t="str">
        <f>HYPERLINK("http://ts.21cn.com/tousu/show/id/1333713","http://ts.21cn.com/tousu/show/id/1333713")</f>
        <v>http://ts.21cn.com/tousu/show/id/1333713</v>
      </c>
      <c r="F3064" s="2" t="s">
        <v>11</v>
      </c>
      <c r="G3064" s="2" t="s">
        <v>38106</v>
      </c>
      <c r="H3064" s="2" t="s">
        <v>38107</v>
      </c>
    </row>
    <row r="3065" spans="1:8" ht="25.05" customHeight="1" x14ac:dyDescent="0.25">
      <c r="A3065" s="2" t="s">
        <v>8</v>
      </c>
      <c r="B3065" s="2" t="str">
        <f>HYPERLINK("http://ts.21cn.com/tousu/show/id/1333715","拉卡拉扣留资金不结算")</f>
        <v>拉卡拉扣留资金不结算</v>
      </c>
      <c r="C3065" s="2" t="s">
        <v>9</v>
      </c>
      <c r="D3065" s="2" t="s">
        <v>10</v>
      </c>
      <c r="E3065" s="2" t="str">
        <f>HYPERLINK("http://ts.21cn.com/tousu/show/id/1333715","http://ts.21cn.com/tousu/show/id/1333715")</f>
        <v>http://ts.21cn.com/tousu/show/id/1333715</v>
      </c>
      <c r="F3065" s="2" t="s">
        <v>11</v>
      </c>
      <c r="G3065" s="2" t="s">
        <v>38104</v>
      </c>
      <c r="H3065" s="2" t="s">
        <v>38105</v>
      </c>
    </row>
    <row r="3066" spans="1:8" ht="25.05" customHeight="1" x14ac:dyDescent="0.25">
      <c r="A3066" s="2" t="s">
        <v>8</v>
      </c>
      <c r="B3066" s="2" t="str">
        <f>HYPERLINK("http://ts.21cn.com/tousu/show/id/1333716","银行卡被随意扣款")</f>
        <v>银行卡被随意扣款</v>
      </c>
      <c r="C3066" s="2" t="s">
        <v>9</v>
      </c>
      <c r="D3066" s="2" t="s">
        <v>10</v>
      </c>
      <c r="E3066" s="2" t="str">
        <f>HYPERLINK("http://ts.21cn.com/tousu/show/id/1333716","http://ts.21cn.com/tousu/show/id/1333716")</f>
        <v>http://ts.21cn.com/tousu/show/id/1333716</v>
      </c>
      <c r="F3066" s="2" t="s">
        <v>11</v>
      </c>
      <c r="G3066" s="2" t="s">
        <v>38102</v>
      </c>
      <c r="H3066" s="2" t="s">
        <v>38103</v>
      </c>
    </row>
    <row r="3067" spans="1:8" ht="25.05" customHeight="1" x14ac:dyDescent="0.25">
      <c r="A3067" s="2" t="s">
        <v>8</v>
      </c>
      <c r="B3067" s="2" t="str">
        <f>HYPERLINK("http://ts.21cn.com/tousu/show/id/1333717","交易猫仲裁效率低")</f>
        <v>交易猫仲裁效率低</v>
      </c>
      <c r="C3067" s="2" t="s">
        <v>9</v>
      </c>
      <c r="D3067" s="2" t="s">
        <v>10</v>
      </c>
      <c r="E3067" s="2" t="str">
        <f>HYPERLINK("http://ts.21cn.com/tousu/show/id/1333717","http://ts.21cn.com/tousu/show/id/1333717")</f>
        <v>http://ts.21cn.com/tousu/show/id/1333717</v>
      </c>
      <c r="F3067" s="2" t="s">
        <v>11</v>
      </c>
      <c r="G3067" s="2" t="s">
        <v>38100</v>
      </c>
      <c r="H3067" s="2" t="s">
        <v>38101</v>
      </c>
    </row>
    <row r="3068" spans="1:8" ht="25.05" customHeight="1" x14ac:dyDescent="0.25">
      <c r="A3068" s="2" t="s">
        <v>8</v>
      </c>
      <c r="B3068" s="2" t="str">
        <f>HYPERLINK("http://ts.21cn.com/tousu/show/id/1333718","交易猫买家恶意仲裁")</f>
        <v>交易猫买家恶意仲裁</v>
      </c>
      <c r="C3068" s="2" t="s">
        <v>9</v>
      </c>
      <c r="D3068" s="2" t="s">
        <v>10</v>
      </c>
      <c r="E3068" s="2" t="str">
        <f>HYPERLINK("http://ts.21cn.com/tousu/show/id/1333718","http://ts.21cn.com/tousu/show/id/1333718")</f>
        <v>http://ts.21cn.com/tousu/show/id/1333718</v>
      </c>
      <c r="F3068" s="2" t="s">
        <v>11</v>
      </c>
      <c r="G3068" s="2" t="s">
        <v>38098</v>
      </c>
      <c r="H3068" s="2" t="s">
        <v>38099</v>
      </c>
    </row>
    <row r="3069" spans="1:8" ht="25.05" customHeight="1" x14ac:dyDescent="0.25">
      <c r="A3069" s="2" t="s">
        <v>8</v>
      </c>
      <c r="B3069" s="2" t="str">
        <f>HYPERLINK("http://ts.21cn.com/tousu/show/id/1333719","光大银行骚扰")</f>
        <v>光大银行骚扰</v>
      </c>
      <c r="C3069" s="2" t="s">
        <v>9</v>
      </c>
      <c r="D3069" s="2" t="s">
        <v>10</v>
      </c>
      <c r="E3069" s="2" t="str">
        <f>HYPERLINK("http://ts.21cn.com/tousu/show/id/1333719","http://ts.21cn.com/tousu/show/id/1333719")</f>
        <v>http://ts.21cn.com/tousu/show/id/1333719</v>
      </c>
      <c r="F3069" s="2" t="s">
        <v>11</v>
      </c>
      <c r="G3069" s="2" t="s">
        <v>38096</v>
      </c>
      <c r="H3069" s="2" t="s">
        <v>38097</v>
      </c>
    </row>
    <row r="3070" spans="1:8" ht="25.05" customHeight="1" x14ac:dyDescent="0.25">
      <c r="A3070" s="2" t="s">
        <v>8</v>
      </c>
      <c r="B3070" s="2" t="str">
        <f>HYPERLINK("http://ts.21cn.com/tousu/show/id/1333721","牛人有品威胁爆通讯录")</f>
        <v>牛人有品威胁爆通讯录</v>
      </c>
      <c r="C3070" s="2" t="s">
        <v>9</v>
      </c>
      <c r="D3070" s="2" t="s">
        <v>10</v>
      </c>
      <c r="E3070" s="2" t="str">
        <f>HYPERLINK("http://ts.21cn.com/tousu/show/id/1333721","http://ts.21cn.com/tousu/show/id/1333721")</f>
        <v>http://ts.21cn.com/tousu/show/id/1333721</v>
      </c>
      <c r="F3070" s="2" t="s">
        <v>11</v>
      </c>
      <c r="G3070" s="2" t="s">
        <v>38094</v>
      </c>
      <c r="H3070" s="2" t="s">
        <v>38095</v>
      </c>
    </row>
    <row r="3071" spans="1:8" ht="25.05" customHeight="1" x14ac:dyDescent="0.25">
      <c r="A3071" s="2" t="s">
        <v>8</v>
      </c>
      <c r="B3071" s="2" t="str">
        <f>HYPERLINK("http://ts.21cn.com/tousu/show/id/1333722","美团点评乱扣款")</f>
        <v>美团点评乱扣款</v>
      </c>
      <c r="C3071" s="2" t="s">
        <v>9</v>
      </c>
      <c r="D3071" s="2" t="s">
        <v>10</v>
      </c>
      <c r="E3071" s="2" t="str">
        <f>HYPERLINK("http://ts.21cn.com/tousu/show/id/1333722","http://ts.21cn.com/tousu/show/id/1333722")</f>
        <v>http://ts.21cn.com/tousu/show/id/1333722</v>
      </c>
      <c r="F3071" s="2" t="s">
        <v>11</v>
      </c>
      <c r="G3071" s="2" t="s">
        <v>38092</v>
      </c>
      <c r="H3071" s="2" t="s">
        <v>38093</v>
      </c>
    </row>
    <row r="3072" spans="1:8" ht="25.05" customHeight="1" x14ac:dyDescent="0.25">
      <c r="A3072" s="2" t="s">
        <v>8</v>
      </c>
      <c r="B3072" s="2" t="str">
        <f>HYPERLINK("http://ts.21cn.com/tousu/show/id/1333724","暴力催收")</f>
        <v>暴力催收</v>
      </c>
      <c r="C3072" s="2" t="s">
        <v>9</v>
      </c>
      <c r="D3072" s="2" t="s">
        <v>10</v>
      </c>
      <c r="E3072" s="2" t="str">
        <f>HYPERLINK("http://ts.21cn.com/tousu/show/id/1333724","http://ts.21cn.com/tousu/show/id/1333724")</f>
        <v>http://ts.21cn.com/tousu/show/id/1333724</v>
      </c>
      <c r="F3072" s="2" t="s">
        <v>11</v>
      </c>
      <c r="G3072" s="2" t="s">
        <v>38090</v>
      </c>
      <c r="H3072" s="2" t="s">
        <v>38091</v>
      </c>
    </row>
    <row r="3073" spans="1:8" ht="25.05" customHeight="1" x14ac:dyDescent="0.25">
      <c r="A3073" s="2" t="s">
        <v>8</v>
      </c>
      <c r="B3073" s="2" t="str">
        <f>HYPERLINK("http://ts.21cn.com/tousu/show/id/1333723","携程预订价格问题，且不给取消订单")</f>
        <v>携程预订价格问题，且不给取消订单</v>
      </c>
      <c r="C3073" s="2" t="s">
        <v>9</v>
      </c>
      <c r="D3073" s="2" t="s">
        <v>10</v>
      </c>
      <c r="E3073" s="2" t="str">
        <f>HYPERLINK("http://ts.21cn.com/tousu/show/id/1333723","http://ts.21cn.com/tousu/show/id/1333723")</f>
        <v>http://ts.21cn.com/tousu/show/id/1333723</v>
      </c>
      <c r="F3073" s="2" t="s">
        <v>11</v>
      </c>
      <c r="G3073" s="2" t="s">
        <v>38088</v>
      </c>
      <c r="H3073" s="2" t="s">
        <v>38089</v>
      </c>
    </row>
    <row r="3074" spans="1:8" ht="25.05" customHeight="1" x14ac:dyDescent="0.25">
      <c r="A3074" s="2" t="s">
        <v>8</v>
      </c>
      <c r="B3074" s="2" t="str">
        <f>HYPERLINK("http://ts.21cn.com/tousu/show/id/1333728","闪银高利贷，砍头息")</f>
        <v>闪银高利贷，砍头息</v>
      </c>
      <c r="C3074" s="2" t="s">
        <v>9</v>
      </c>
      <c r="D3074" s="2" t="s">
        <v>10</v>
      </c>
      <c r="E3074" s="2" t="str">
        <f>HYPERLINK("http://ts.21cn.com/tousu/show/id/1333728","http://ts.21cn.com/tousu/show/id/1333728")</f>
        <v>http://ts.21cn.com/tousu/show/id/1333728</v>
      </c>
      <c r="F3074" s="2" t="s">
        <v>11</v>
      </c>
      <c r="G3074" s="2" t="s">
        <v>38086</v>
      </c>
      <c r="H3074" s="2" t="s">
        <v>38087</v>
      </c>
    </row>
    <row r="3075" spans="1:8" ht="25.05" customHeight="1" x14ac:dyDescent="0.25">
      <c r="A3075" s="2" t="s">
        <v>8</v>
      </c>
      <c r="B3075" s="2" t="str">
        <f>HYPERLINK("http://ts.21cn.com/tousu/show/id/1333731","多宝分期高利贷！")</f>
        <v>多宝分期高利贷！</v>
      </c>
      <c r="C3075" s="2" t="s">
        <v>9</v>
      </c>
      <c r="D3075" s="2" t="s">
        <v>10</v>
      </c>
      <c r="E3075" s="2" t="str">
        <f>HYPERLINK("http://ts.21cn.com/tousu/show/id/1333731","http://ts.21cn.com/tousu/show/id/1333731")</f>
        <v>http://ts.21cn.com/tousu/show/id/1333731</v>
      </c>
      <c r="F3075" s="2" t="s">
        <v>11</v>
      </c>
      <c r="G3075" s="2" t="s">
        <v>38084</v>
      </c>
      <c r="H3075" s="2" t="s">
        <v>38085</v>
      </c>
    </row>
    <row r="3076" spans="1:8" ht="25.05" customHeight="1" x14ac:dyDescent="0.25">
      <c r="A3076" s="2" t="s">
        <v>8</v>
      </c>
      <c r="B3076" s="2" t="str">
        <f>HYPERLINK("http://ts.21cn.com/tousu/show/id/1333730","唯品会卖假货，不予承认，只给30元唯品币补偿")</f>
        <v>唯品会卖假货，不予承认，只给30元唯品币补偿</v>
      </c>
      <c r="C3076" s="2" t="s">
        <v>9</v>
      </c>
      <c r="D3076" s="2" t="s">
        <v>10</v>
      </c>
      <c r="E3076" s="2" t="str">
        <f>HYPERLINK("http://ts.21cn.com/tousu/show/id/1333730","http://ts.21cn.com/tousu/show/id/1333730")</f>
        <v>http://ts.21cn.com/tousu/show/id/1333730</v>
      </c>
      <c r="F3076" s="2" t="s">
        <v>11</v>
      </c>
      <c r="G3076" s="2" t="s">
        <v>38082</v>
      </c>
      <c r="H3076" s="2" t="s">
        <v>38083</v>
      </c>
    </row>
    <row r="3077" spans="1:8" ht="25.05" customHeight="1" x14ac:dyDescent="0.25">
      <c r="A3077" s="2" t="s">
        <v>8</v>
      </c>
      <c r="B3077" s="2" t="str">
        <f>HYPERLINK("http://ts.21cn.com/tousu/show/id/1333696","快闪卡贷砍头息虚假利息")</f>
        <v>快闪卡贷砍头息虚假利息</v>
      </c>
      <c r="C3077" s="2" t="s">
        <v>9</v>
      </c>
      <c r="D3077" s="2" t="s">
        <v>10</v>
      </c>
      <c r="E3077" s="2" t="str">
        <f>HYPERLINK("http://ts.21cn.com/tousu/show/id/1333696","http://ts.21cn.com/tousu/show/id/1333696")</f>
        <v>http://ts.21cn.com/tousu/show/id/1333696</v>
      </c>
      <c r="F3077" s="2" t="s">
        <v>11</v>
      </c>
      <c r="G3077" s="2" t="s">
        <v>38080</v>
      </c>
      <c r="H3077" s="2" t="s">
        <v>38081</v>
      </c>
    </row>
    <row r="3078" spans="1:8" ht="25.05" customHeight="1" x14ac:dyDescent="0.25">
      <c r="A3078" s="2" t="s">
        <v>8</v>
      </c>
      <c r="B3078" s="2" t="str">
        <f>HYPERLINK("http://ts.21cn.com/tousu/show/id/1333732","汇潮支付支持的来花花高利贷")</f>
        <v>汇潮支付支持的来花花高利贷</v>
      </c>
      <c r="C3078" s="2" t="s">
        <v>9</v>
      </c>
      <c r="D3078" s="2" t="s">
        <v>10</v>
      </c>
      <c r="E3078" s="2" t="str">
        <f>HYPERLINK("http://ts.21cn.com/tousu/show/id/1333732","http://ts.21cn.com/tousu/show/id/1333732")</f>
        <v>http://ts.21cn.com/tousu/show/id/1333732</v>
      </c>
      <c r="F3078" s="2" t="s">
        <v>11</v>
      </c>
      <c r="G3078" s="2" t="s">
        <v>38078</v>
      </c>
      <c r="H3078" s="2" t="s">
        <v>38079</v>
      </c>
    </row>
    <row r="3079" spans="1:8" ht="25.05" customHeight="1" x14ac:dyDescent="0.25">
      <c r="A3079" s="2" t="s">
        <v>8</v>
      </c>
      <c r="B3079" s="2" t="str">
        <f>HYPERLINK("http://ts.21cn.com/tousu/show/id/1333733","快闪卡贷砍头息超高利息借款给学生")</f>
        <v>快闪卡贷砍头息超高利息借款给学生</v>
      </c>
      <c r="C3079" s="2" t="s">
        <v>9</v>
      </c>
      <c r="D3079" s="2" t="s">
        <v>10</v>
      </c>
      <c r="E3079" s="2" t="str">
        <f>HYPERLINK("http://ts.21cn.com/tousu/show/id/1333733","http://ts.21cn.com/tousu/show/id/1333733")</f>
        <v>http://ts.21cn.com/tousu/show/id/1333733</v>
      </c>
      <c r="F3079" s="2" t="s">
        <v>11</v>
      </c>
      <c r="G3079" s="2" t="s">
        <v>38076</v>
      </c>
      <c r="H3079" s="2" t="s">
        <v>38077</v>
      </c>
    </row>
    <row r="3080" spans="1:8" ht="25.05" customHeight="1" x14ac:dyDescent="0.25">
      <c r="A3080" s="2" t="s">
        <v>8</v>
      </c>
      <c r="B3080" s="2" t="str">
        <f>HYPERLINK("http://ts.21cn.com/tousu/show/id/1333734","闪电公积金高利贷")</f>
        <v>闪电公积金高利贷</v>
      </c>
      <c r="C3080" s="2" t="s">
        <v>9</v>
      </c>
      <c r="D3080" s="2" t="s">
        <v>10</v>
      </c>
      <c r="E3080" s="2" t="str">
        <f>HYPERLINK("http://ts.21cn.com/tousu/show/id/1333734","http://ts.21cn.com/tousu/show/id/1333734")</f>
        <v>http://ts.21cn.com/tousu/show/id/1333734</v>
      </c>
      <c r="F3080" s="2" t="s">
        <v>11</v>
      </c>
      <c r="G3080" s="2" t="s">
        <v>38074</v>
      </c>
      <c r="H3080" s="2" t="s">
        <v>38075</v>
      </c>
    </row>
    <row r="3081" spans="1:8" ht="25.05" customHeight="1" x14ac:dyDescent="0.25">
      <c r="A3081" s="2" t="s">
        <v>8</v>
      </c>
      <c r="B3081" s="2" t="str">
        <f>HYPERLINK("http://ts.21cn.com/tousu/show/id/1333735","违法拖车")</f>
        <v>违法拖车</v>
      </c>
      <c r="C3081" s="2" t="s">
        <v>9</v>
      </c>
      <c r="D3081" s="2" t="s">
        <v>10</v>
      </c>
      <c r="E3081" s="2" t="str">
        <f>HYPERLINK("http://ts.21cn.com/tousu/show/id/1333735","http://ts.21cn.com/tousu/show/id/1333735")</f>
        <v>http://ts.21cn.com/tousu/show/id/1333735</v>
      </c>
      <c r="F3081" s="2" t="s">
        <v>11</v>
      </c>
      <c r="G3081" s="2" t="s">
        <v>38072</v>
      </c>
      <c r="H3081" s="2" t="s">
        <v>38073</v>
      </c>
    </row>
    <row r="3082" spans="1:8" ht="25.05" customHeight="1" x14ac:dyDescent="0.25">
      <c r="A3082" s="2" t="s">
        <v>8</v>
      </c>
      <c r="B3082" s="2" t="str">
        <f>HYPERLINK("http://ts.21cn.com/tousu/show/id/1333737","投诉樊登读书会只懂谋财")</f>
        <v>投诉樊登读书会只懂谋财</v>
      </c>
      <c r="C3082" s="2" t="s">
        <v>34</v>
      </c>
      <c r="D3082" s="2" t="s">
        <v>10</v>
      </c>
      <c r="E3082" s="2" t="str">
        <f>HYPERLINK("http://ts.21cn.com/tousu/show/id/1333737","http://ts.21cn.com/tousu/show/id/1333737")</f>
        <v>http://ts.21cn.com/tousu/show/id/1333737</v>
      </c>
      <c r="F3082" s="2" t="s">
        <v>11</v>
      </c>
      <c r="G3082" s="2" t="s">
        <v>38070</v>
      </c>
      <c r="H3082" s="2" t="s">
        <v>38071</v>
      </c>
    </row>
    <row r="3083" spans="1:8" ht="25.05" customHeight="1" x14ac:dyDescent="0.25">
      <c r="A3083" s="2" t="s">
        <v>8</v>
      </c>
      <c r="B3083" s="2" t="str">
        <f>HYPERLINK("http://ts.21cn.com/tousu/show/id/1333740","交易猫欺诈买家，被找回不理人！")</f>
        <v>交易猫欺诈买家，被找回不理人！</v>
      </c>
      <c r="C3083" s="2" t="s">
        <v>9</v>
      </c>
      <c r="D3083" s="2" t="s">
        <v>10</v>
      </c>
      <c r="E3083" s="2" t="str">
        <f>HYPERLINK("http://ts.21cn.com/tousu/show/id/1333740","http://ts.21cn.com/tousu/show/id/1333740")</f>
        <v>http://ts.21cn.com/tousu/show/id/1333740</v>
      </c>
      <c r="F3083" s="2" t="s">
        <v>11</v>
      </c>
      <c r="G3083" s="2" t="s">
        <v>38068</v>
      </c>
      <c r="H3083" s="2" t="s">
        <v>38069</v>
      </c>
    </row>
    <row r="3084" spans="1:8" ht="25.05" customHeight="1" x14ac:dyDescent="0.25">
      <c r="A3084" s="2" t="s">
        <v>8</v>
      </c>
      <c r="B3084" s="2" t="str">
        <f>HYPERLINK("http://ts.21cn.com/tousu/show/id/1333738","购买二手车定金问题")</f>
        <v>购买二手车定金问题</v>
      </c>
      <c r="C3084" s="2" t="s">
        <v>34</v>
      </c>
      <c r="D3084" s="2" t="s">
        <v>10</v>
      </c>
      <c r="E3084" s="2" t="str">
        <f>HYPERLINK("http://ts.21cn.com/tousu/show/id/1333738","http://ts.21cn.com/tousu/show/id/1333738")</f>
        <v>http://ts.21cn.com/tousu/show/id/1333738</v>
      </c>
      <c r="F3084" s="2" t="s">
        <v>11</v>
      </c>
      <c r="G3084" s="2" t="s">
        <v>38066</v>
      </c>
      <c r="H3084" s="2" t="s">
        <v>38067</v>
      </c>
    </row>
    <row r="3085" spans="1:8" ht="25.05" customHeight="1" x14ac:dyDescent="0.25">
      <c r="A3085" s="2" t="s">
        <v>8</v>
      </c>
      <c r="B3085" s="2" t="str">
        <f>HYPERLINK("http://ts.21cn.com/tousu/show/id/1333739","捷信高息")</f>
        <v>捷信高息</v>
      </c>
      <c r="C3085" s="2" t="s">
        <v>9</v>
      </c>
      <c r="D3085" s="2" t="s">
        <v>10</v>
      </c>
      <c r="E3085" s="2" t="str">
        <f>HYPERLINK("http://ts.21cn.com/tousu/show/id/1333739","http://ts.21cn.com/tousu/show/id/1333739")</f>
        <v>http://ts.21cn.com/tousu/show/id/1333739</v>
      </c>
      <c r="F3085" s="2" t="s">
        <v>11</v>
      </c>
      <c r="G3085" s="2" t="s">
        <v>38064</v>
      </c>
      <c r="H3085" s="2" t="s">
        <v>38065</v>
      </c>
    </row>
    <row r="3086" spans="1:8" ht="25.05" customHeight="1" x14ac:dyDescent="0.25">
      <c r="A3086" s="2" t="s">
        <v>8</v>
      </c>
      <c r="B3086" s="2" t="str">
        <f>HYPERLINK("http://ts.21cn.com/tousu/show/id/1333741","平安普惠贷款隐瞒隐藏并强制收取高额保险费管理费投诉事宜")</f>
        <v>平安普惠贷款隐瞒隐藏并强制收取高额保险费管理费投诉事宜</v>
      </c>
      <c r="C3086" s="2" t="s">
        <v>9</v>
      </c>
      <c r="D3086" s="2" t="s">
        <v>10</v>
      </c>
      <c r="E3086" s="2" t="str">
        <f>HYPERLINK("http://ts.21cn.com/tousu/show/id/1333741","http://ts.21cn.com/tousu/show/id/1333741")</f>
        <v>http://ts.21cn.com/tousu/show/id/1333741</v>
      </c>
      <c r="F3086" s="2" t="s">
        <v>11</v>
      </c>
      <c r="G3086" s="2" t="s">
        <v>38062</v>
      </c>
      <c r="H3086" s="2" t="s">
        <v>38063</v>
      </c>
    </row>
    <row r="3087" spans="1:8" ht="25.05" customHeight="1" x14ac:dyDescent="0.25">
      <c r="A3087" s="2" t="s">
        <v>8</v>
      </c>
      <c r="B3087" s="2" t="str">
        <f>HYPERLINK("http://ts.21cn.com/tousu/show/id/1333742","为非法网站提供支付通道")</f>
        <v>为非法网站提供支付通道</v>
      </c>
      <c r="C3087" s="2" t="s">
        <v>9</v>
      </c>
      <c r="D3087" s="2" t="s">
        <v>10</v>
      </c>
      <c r="E3087" s="2" t="str">
        <f>HYPERLINK("http://ts.21cn.com/tousu/show/id/1333742","http://ts.21cn.com/tousu/show/id/1333742")</f>
        <v>http://ts.21cn.com/tousu/show/id/1333742</v>
      </c>
      <c r="F3087" s="2" t="s">
        <v>11</v>
      </c>
      <c r="G3087" s="2" t="s">
        <v>38060</v>
      </c>
      <c r="H3087" s="2" t="s">
        <v>38061</v>
      </c>
    </row>
    <row r="3088" spans="1:8" ht="25.05" customHeight="1" x14ac:dyDescent="0.25">
      <c r="A3088" s="2" t="s">
        <v>8</v>
      </c>
      <c r="B3088" s="2" t="str">
        <f>HYPERLINK("http://ts.21cn.com/tousu/show/id/1333743","造艺科技恶意扣款")</f>
        <v>造艺科技恶意扣款</v>
      </c>
      <c r="C3088" s="2" t="s">
        <v>9</v>
      </c>
      <c r="D3088" s="2" t="s">
        <v>10</v>
      </c>
      <c r="E3088" s="2" t="str">
        <f>HYPERLINK("http://ts.21cn.com/tousu/show/id/1333743","http://ts.21cn.com/tousu/show/id/1333743")</f>
        <v>http://ts.21cn.com/tousu/show/id/1333743</v>
      </c>
      <c r="F3088" s="2" t="s">
        <v>11</v>
      </c>
      <c r="G3088" s="2" t="s">
        <v>38058</v>
      </c>
      <c r="H3088" s="2" t="s">
        <v>38059</v>
      </c>
    </row>
    <row r="3089" spans="1:8" ht="25.05" customHeight="1" x14ac:dyDescent="0.25">
      <c r="A3089" s="2" t="s">
        <v>8</v>
      </c>
      <c r="B3089" s="2" t="str">
        <f>HYPERLINK("http://ts.21cn.com/tousu/show/id/1333744","滴滴出行安全问题")</f>
        <v>滴滴出行安全问题</v>
      </c>
      <c r="C3089" s="2" t="s">
        <v>9</v>
      </c>
      <c r="D3089" s="2" t="s">
        <v>10</v>
      </c>
      <c r="E3089" s="2" t="str">
        <f>HYPERLINK("http://ts.21cn.com/tousu/show/id/1333744","http://ts.21cn.com/tousu/show/id/1333744")</f>
        <v>http://ts.21cn.com/tousu/show/id/1333744</v>
      </c>
      <c r="F3089" s="2" t="s">
        <v>11</v>
      </c>
      <c r="G3089" s="2" t="s">
        <v>38056</v>
      </c>
      <c r="H3089" s="2" t="s">
        <v>38057</v>
      </c>
    </row>
    <row r="3090" spans="1:8" ht="25.05" customHeight="1" x14ac:dyDescent="0.25">
      <c r="A3090" s="2" t="s">
        <v>8</v>
      </c>
      <c r="B3090" s="2" t="str">
        <f>HYPERLINK("http://ts.21cn.com/tousu/show/id/1333745","微信被盗，无法联系微信客服")</f>
        <v>微信被盗，无法联系微信客服</v>
      </c>
      <c r="C3090" s="2" t="s">
        <v>9</v>
      </c>
      <c r="D3090" s="2" t="s">
        <v>10</v>
      </c>
      <c r="E3090" s="2" t="str">
        <f>HYPERLINK("http://ts.21cn.com/tousu/show/id/1333745","http://ts.21cn.com/tousu/show/id/1333745")</f>
        <v>http://ts.21cn.com/tousu/show/id/1333745</v>
      </c>
      <c r="F3090" s="2" t="s">
        <v>11</v>
      </c>
      <c r="G3090" s="2" t="s">
        <v>38054</v>
      </c>
      <c r="H3090" s="2" t="s">
        <v>38055</v>
      </c>
    </row>
    <row r="3091" spans="1:8" ht="25.05" customHeight="1" x14ac:dyDescent="0.25">
      <c r="A3091" s="2" t="s">
        <v>8</v>
      </c>
      <c r="B3091" s="2" t="str">
        <f>HYPERLINK("http://ts.21cn.com/tousu/show/id/1333746","玖富万卡砍头息")</f>
        <v>玖富万卡砍头息</v>
      </c>
      <c r="C3091" s="2" t="s">
        <v>9</v>
      </c>
      <c r="D3091" s="2" t="s">
        <v>10</v>
      </c>
      <c r="E3091" s="2" t="str">
        <f>HYPERLINK("http://ts.21cn.com/tousu/show/id/1333746","http://ts.21cn.com/tousu/show/id/1333746")</f>
        <v>http://ts.21cn.com/tousu/show/id/1333746</v>
      </c>
      <c r="F3091" s="2" t="s">
        <v>11</v>
      </c>
      <c r="G3091" s="2" t="s">
        <v>38052</v>
      </c>
      <c r="H3091" s="2" t="s">
        <v>38053</v>
      </c>
    </row>
    <row r="3092" spans="1:8" ht="25.05" customHeight="1" x14ac:dyDescent="0.25">
      <c r="A3092" s="2" t="s">
        <v>8</v>
      </c>
      <c r="B3092" s="2" t="str">
        <f>HYPERLINK("http://ts.21cn.com/tousu/show/id/1333747","51人品贷，高利贷，严重骚扰我家人")</f>
        <v>51人品贷，高利贷，严重骚扰我家人</v>
      </c>
      <c r="C3092" s="2" t="s">
        <v>9</v>
      </c>
      <c r="D3092" s="2" t="s">
        <v>10</v>
      </c>
      <c r="E3092" s="2" t="str">
        <f>HYPERLINK("http://ts.21cn.com/tousu/show/id/1333747","http://ts.21cn.com/tousu/show/id/1333747")</f>
        <v>http://ts.21cn.com/tousu/show/id/1333747</v>
      </c>
      <c r="F3092" s="2" t="s">
        <v>11</v>
      </c>
      <c r="G3092" s="2" t="s">
        <v>38050</v>
      </c>
      <c r="H3092" s="2" t="s">
        <v>38051</v>
      </c>
    </row>
    <row r="3093" spans="1:8" ht="25.05" customHeight="1" x14ac:dyDescent="0.25">
      <c r="A3093" s="2" t="s">
        <v>8</v>
      </c>
      <c r="B3093" s="2" t="str">
        <f>HYPERLINK("http://ts.21cn.com/tousu/show/id/1333750","智行火车票平台，酒店预订取消热线无法接通，平台预订的酒店不可取消，存在霸王条款，我只求退款。")</f>
        <v>智行火车票平台，酒店预订取消热线无法接通，平台预订的酒店不可取消，存在霸王条款，我只求退款。</v>
      </c>
      <c r="C3093" s="2" t="s">
        <v>9</v>
      </c>
      <c r="D3093" s="2" t="s">
        <v>10</v>
      </c>
      <c r="E3093" s="2" t="str">
        <f>HYPERLINK("http://ts.21cn.com/tousu/show/id/1333750","http://ts.21cn.com/tousu/show/id/1333750")</f>
        <v>http://ts.21cn.com/tousu/show/id/1333750</v>
      </c>
      <c r="F3093" s="2" t="s">
        <v>11</v>
      </c>
      <c r="G3093" s="2" t="s">
        <v>38048</v>
      </c>
      <c r="H3093" s="2" t="s">
        <v>38049</v>
      </c>
    </row>
    <row r="3094" spans="1:8" ht="25.05" customHeight="1" x14ac:dyDescent="0.25">
      <c r="A3094" s="2" t="s">
        <v>8</v>
      </c>
      <c r="B3094" s="2" t="str">
        <f>HYPERLINK("http://ts.21cn.com/tousu/show/id/1333748","闪信分期套路贷")</f>
        <v>闪信分期套路贷</v>
      </c>
      <c r="C3094" s="2" t="s">
        <v>9</v>
      </c>
      <c r="D3094" s="2" t="s">
        <v>10</v>
      </c>
      <c r="E3094" s="2" t="str">
        <f>HYPERLINK("http://ts.21cn.com/tousu/show/id/1333748","http://ts.21cn.com/tousu/show/id/1333748")</f>
        <v>http://ts.21cn.com/tousu/show/id/1333748</v>
      </c>
      <c r="F3094" s="2" t="s">
        <v>11</v>
      </c>
      <c r="G3094" s="2" t="s">
        <v>38046</v>
      </c>
      <c r="H3094" s="2" t="s">
        <v>38047</v>
      </c>
    </row>
    <row r="3095" spans="1:8" ht="25.05" customHeight="1" x14ac:dyDescent="0.25">
      <c r="A3095" s="2" t="s">
        <v>8</v>
      </c>
      <c r="B3095" s="2" t="str">
        <f>HYPERLINK("http://ts.21cn.com/tousu/show/id/1333749","无良开发商办公用地违建公寓出售")</f>
        <v>无良开发商办公用地违建公寓出售</v>
      </c>
      <c r="C3095" s="2" t="s">
        <v>9</v>
      </c>
      <c r="D3095" s="2" t="s">
        <v>10</v>
      </c>
      <c r="E3095" s="2" t="str">
        <f>HYPERLINK("http://ts.21cn.com/tousu/show/id/1333749","http://ts.21cn.com/tousu/show/id/1333749")</f>
        <v>http://ts.21cn.com/tousu/show/id/1333749</v>
      </c>
      <c r="F3095" s="2" t="s">
        <v>11</v>
      </c>
      <c r="G3095" s="2" t="s">
        <v>38044</v>
      </c>
      <c r="H3095" s="2" t="s">
        <v>38045</v>
      </c>
    </row>
    <row r="3096" spans="1:8" ht="25.05" customHeight="1" x14ac:dyDescent="0.25">
      <c r="A3096" s="2" t="s">
        <v>8</v>
      </c>
      <c r="B3096" s="2" t="str">
        <f>HYPERLINK("http://ts.21cn.com/tousu/show/id/1333751","携程酒店取消问题，无法联系客服，强制入住！！！")</f>
        <v>携程酒店取消问题，无法联系客服，强制入住！！！</v>
      </c>
      <c r="C3096" s="2" t="s">
        <v>9</v>
      </c>
      <c r="D3096" s="2" t="s">
        <v>10</v>
      </c>
      <c r="E3096" s="2" t="str">
        <f>HYPERLINK("http://ts.21cn.com/tousu/show/id/1333751","http://ts.21cn.com/tousu/show/id/1333751")</f>
        <v>http://ts.21cn.com/tousu/show/id/1333751</v>
      </c>
      <c r="F3096" s="2" t="s">
        <v>11</v>
      </c>
      <c r="G3096" s="2" t="s">
        <v>38042</v>
      </c>
      <c r="H3096" s="2" t="s">
        <v>38043</v>
      </c>
    </row>
    <row r="3097" spans="1:8" ht="25.05" customHeight="1" x14ac:dyDescent="0.25">
      <c r="A3097" s="2" t="s">
        <v>8</v>
      </c>
      <c r="B3097" s="2" t="str">
        <f>HYPERLINK("http://ts.21cn.com/tousu/show/id/1333752","出售正版商品被淘宝误判售假，扣10分，申诉不成立")</f>
        <v>出售正版商品被淘宝误判售假，扣10分，申诉不成立</v>
      </c>
      <c r="C3097" s="2" t="s">
        <v>9</v>
      </c>
      <c r="D3097" s="2" t="s">
        <v>10</v>
      </c>
      <c r="E3097" s="2" t="str">
        <f>HYPERLINK("http://ts.21cn.com/tousu/show/id/1333752","http://ts.21cn.com/tousu/show/id/1333752")</f>
        <v>http://ts.21cn.com/tousu/show/id/1333752</v>
      </c>
      <c r="F3097" s="2" t="s">
        <v>11</v>
      </c>
      <c r="G3097" s="2" t="s">
        <v>38040</v>
      </c>
      <c r="H3097" s="2" t="s">
        <v>38041</v>
      </c>
    </row>
    <row r="3098" spans="1:8" ht="25.05" customHeight="1" x14ac:dyDescent="0.25">
      <c r="A3098" s="2" t="s">
        <v>8</v>
      </c>
      <c r="B3098" s="2" t="str">
        <f>HYPERLINK("http://ts.21cn.com/tousu/show/id/1333754","马上消费金融，不休止骚扰")</f>
        <v>马上消费金融，不休止骚扰</v>
      </c>
      <c r="C3098" s="2" t="s">
        <v>9</v>
      </c>
      <c r="D3098" s="2" t="s">
        <v>10</v>
      </c>
      <c r="E3098" s="2" t="str">
        <f>HYPERLINK("http://ts.21cn.com/tousu/show/id/1333754","http://ts.21cn.com/tousu/show/id/1333754")</f>
        <v>http://ts.21cn.com/tousu/show/id/1333754</v>
      </c>
      <c r="F3098" s="2" t="s">
        <v>11</v>
      </c>
      <c r="G3098" s="2" t="s">
        <v>38038</v>
      </c>
      <c r="H3098" s="2" t="s">
        <v>38039</v>
      </c>
    </row>
    <row r="3099" spans="1:8" ht="25.05" customHeight="1" x14ac:dyDescent="0.25">
      <c r="A3099" s="2" t="s">
        <v>8</v>
      </c>
      <c r="B3099" s="2" t="str">
        <f>HYPERLINK("http://ts.21cn.com/tousu/show/id/1333755","智行app客服电话无人接听，在线客服无人搭理。导致无法退款")</f>
        <v>智行app客服电话无人接听，在线客服无人搭理。导致无法退款</v>
      </c>
      <c r="C3099" s="2" t="s">
        <v>9</v>
      </c>
      <c r="D3099" s="2" t="s">
        <v>10</v>
      </c>
      <c r="E3099" s="2" t="str">
        <f>HYPERLINK("http://ts.21cn.com/tousu/show/id/1333755","http://ts.21cn.com/tousu/show/id/1333755")</f>
        <v>http://ts.21cn.com/tousu/show/id/1333755</v>
      </c>
      <c r="F3099" s="2" t="s">
        <v>11</v>
      </c>
      <c r="G3099" s="2" t="s">
        <v>38036</v>
      </c>
      <c r="H3099" s="2" t="s">
        <v>38037</v>
      </c>
    </row>
    <row r="3100" spans="1:8" ht="25.05" customHeight="1" x14ac:dyDescent="0.25">
      <c r="A3100" s="2" t="s">
        <v>8</v>
      </c>
      <c r="B3100" s="2" t="str">
        <f>HYPERLINK("http://ts.21cn.com/tousu/show/id/1333756","电话骚扰")</f>
        <v>电话骚扰</v>
      </c>
      <c r="C3100" s="2" t="s">
        <v>9</v>
      </c>
      <c r="D3100" s="2" t="s">
        <v>10</v>
      </c>
      <c r="E3100" s="2" t="str">
        <f>HYPERLINK("http://ts.21cn.com/tousu/show/id/1333756","http://ts.21cn.com/tousu/show/id/1333756")</f>
        <v>http://ts.21cn.com/tousu/show/id/1333756</v>
      </c>
      <c r="F3100" s="2" t="s">
        <v>11</v>
      </c>
      <c r="G3100" s="2" t="s">
        <v>38034</v>
      </c>
      <c r="H3100" s="2" t="s">
        <v>38035</v>
      </c>
    </row>
    <row r="3101" spans="1:8" ht="25.05" customHeight="1" x14ac:dyDescent="0.25">
      <c r="A3101" s="2" t="s">
        <v>8</v>
      </c>
      <c r="B3101" s="2" t="str">
        <f>HYPERLINK("http://ts.21cn.com/tousu/show/id/1333758","聚富钱包")</f>
        <v>聚富钱包</v>
      </c>
      <c r="C3101" s="2" t="s">
        <v>9</v>
      </c>
      <c r="D3101" s="2" t="s">
        <v>10</v>
      </c>
      <c r="E3101" s="2" t="str">
        <f>HYPERLINK("http://ts.21cn.com/tousu/show/id/1333758","http://ts.21cn.com/tousu/show/id/1333758")</f>
        <v>http://ts.21cn.com/tousu/show/id/1333758</v>
      </c>
      <c r="F3101" s="2" t="s">
        <v>11</v>
      </c>
      <c r="G3101" s="2" t="s">
        <v>38032</v>
      </c>
      <c r="H3101" s="2" t="s">
        <v>38033</v>
      </c>
    </row>
    <row r="3102" spans="1:8" ht="25.05" customHeight="1" x14ac:dyDescent="0.25">
      <c r="A3102" s="2" t="s">
        <v>8</v>
      </c>
      <c r="B3102" s="2" t="str">
        <f>HYPERLINK("http://ts.21cn.com/tousu/show/id/1333763","暴力催收")</f>
        <v>暴力催收</v>
      </c>
      <c r="C3102" s="2" t="s">
        <v>9</v>
      </c>
      <c r="D3102" s="2" t="s">
        <v>10</v>
      </c>
      <c r="E3102" s="2" t="str">
        <f>HYPERLINK("http://ts.21cn.com/tousu/show/id/1333763","http://ts.21cn.com/tousu/show/id/1333763")</f>
        <v>http://ts.21cn.com/tousu/show/id/1333763</v>
      </c>
      <c r="F3102" s="2" t="s">
        <v>11</v>
      </c>
      <c r="G3102" s="2" t="s">
        <v>38030</v>
      </c>
      <c r="H3102" s="2" t="s">
        <v>38031</v>
      </c>
    </row>
    <row r="3103" spans="1:8" ht="25.05" customHeight="1" x14ac:dyDescent="0.25">
      <c r="A3103" s="2" t="s">
        <v>8</v>
      </c>
      <c r="B3103" s="2" t="str">
        <f>HYPERLINK("http://ts.21cn.com/tousu/show/id/1333760","聚福钱包恶意扣款")</f>
        <v>聚福钱包恶意扣款</v>
      </c>
      <c r="C3103" s="2" t="s">
        <v>9</v>
      </c>
      <c r="D3103" s="2" t="s">
        <v>10</v>
      </c>
      <c r="E3103" s="2" t="str">
        <f>HYPERLINK("http://ts.21cn.com/tousu/show/id/1333760","http://ts.21cn.com/tousu/show/id/1333760")</f>
        <v>http://ts.21cn.com/tousu/show/id/1333760</v>
      </c>
      <c r="F3103" s="2" t="s">
        <v>11</v>
      </c>
      <c r="G3103" s="2" t="s">
        <v>38028</v>
      </c>
      <c r="H3103" s="2" t="s">
        <v>38029</v>
      </c>
    </row>
    <row r="3104" spans="1:8" ht="25.05" customHeight="1" x14ac:dyDescent="0.25">
      <c r="A3104" s="2" t="s">
        <v>8</v>
      </c>
      <c r="B3104" s="2" t="str">
        <f>HYPERLINK("http://ts.21cn.com/tousu/show/id/1333762","贷款还不上")</f>
        <v>贷款还不上</v>
      </c>
      <c r="C3104" s="2" t="s">
        <v>34</v>
      </c>
      <c r="D3104" s="2" t="s">
        <v>10</v>
      </c>
      <c r="E3104" s="2" t="str">
        <f>HYPERLINK("http://ts.21cn.com/tousu/show/id/1333762","http://ts.21cn.com/tousu/show/id/1333762")</f>
        <v>http://ts.21cn.com/tousu/show/id/1333762</v>
      </c>
      <c r="F3104" s="2" t="s">
        <v>11</v>
      </c>
      <c r="G3104" s="2" t="s">
        <v>38026</v>
      </c>
      <c r="H3104" s="2" t="s">
        <v>38027</v>
      </c>
    </row>
    <row r="3105" spans="1:8" ht="25.05" customHeight="1" x14ac:dyDescent="0.25">
      <c r="A3105" s="2" t="s">
        <v>8</v>
      </c>
      <c r="B3105" s="2" t="str">
        <f>HYPERLINK("http://ts.21cn.com/tousu/show/id/1333761","联系不到客服，希望可以协商还款，减免利息")</f>
        <v>联系不到客服，希望可以协商还款，减免利息</v>
      </c>
      <c r="C3105" s="2" t="s">
        <v>9</v>
      </c>
      <c r="D3105" s="2" t="s">
        <v>10</v>
      </c>
      <c r="E3105" s="2" t="str">
        <f>HYPERLINK("http://ts.21cn.com/tousu/show/id/1333761","http://ts.21cn.com/tousu/show/id/1333761")</f>
        <v>http://ts.21cn.com/tousu/show/id/1333761</v>
      </c>
      <c r="F3105" s="2" t="s">
        <v>11</v>
      </c>
      <c r="G3105" s="2" t="s">
        <v>38024</v>
      </c>
      <c r="H3105" s="2" t="s">
        <v>38025</v>
      </c>
    </row>
    <row r="3106" spans="1:8" ht="25.05" customHeight="1" x14ac:dyDescent="0.25">
      <c r="A3106" s="2" t="s">
        <v>8</v>
      </c>
      <c r="B3106" s="2" t="str">
        <f>HYPERLINK("http://ts.21cn.com/tousu/show/id/1333764","小浦优客app未提示扣取报告费要求退回")</f>
        <v>小浦优客app未提示扣取报告费要求退回</v>
      </c>
      <c r="C3106" s="2" t="s">
        <v>9</v>
      </c>
      <c r="D3106" s="2" t="s">
        <v>10</v>
      </c>
      <c r="E3106" s="2" t="str">
        <f>HYPERLINK("http://ts.21cn.com/tousu/show/id/1333764","http://ts.21cn.com/tousu/show/id/1333764")</f>
        <v>http://ts.21cn.com/tousu/show/id/1333764</v>
      </c>
      <c r="F3106" s="2" t="s">
        <v>11</v>
      </c>
      <c r="G3106" s="2" t="s">
        <v>38023</v>
      </c>
      <c r="H3106" s="2" t="s">
        <v>11904</v>
      </c>
    </row>
    <row r="3107" spans="1:8" ht="25.05" customHeight="1" x14ac:dyDescent="0.25">
      <c r="A3107" s="2" t="s">
        <v>8</v>
      </c>
      <c r="B3107" s="2" t="str">
        <f>HYPERLINK("http://ts.21cn.com/tousu/show/id/1333766","虚假宣传，高利贷黑网贷")</f>
        <v>虚假宣传，高利贷黑网贷</v>
      </c>
      <c r="C3107" s="2" t="s">
        <v>9</v>
      </c>
      <c r="D3107" s="2" t="s">
        <v>10</v>
      </c>
      <c r="E3107" s="2" t="str">
        <f>HYPERLINK("http://ts.21cn.com/tousu/show/id/1333766","http://ts.21cn.com/tousu/show/id/1333766")</f>
        <v>http://ts.21cn.com/tousu/show/id/1333766</v>
      </c>
      <c r="F3107" s="2" t="s">
        <v>11</v>
      </c>
      <c r="G3107" s="2" t="s">
        <v>38021</v>
      </c>
      <c r="H3107" s="2" t="s">
        <v>38022</v>
      </c>
    </row>
    <row r="3108" spans="1:8" ht="25.05" customHeight="1" x14ac:dyDescent="0.25">
      <c r="A3108" s="2" t="s">
        <v>8</v>
      </c>
      <c r="B3108" s="2" t="str">
        <f>HYPERLINK("http://ts.21cn.com/tousu/show/id/1333767","洋钱罐借款平台等于714高炮平台！！")</f>
        <v>洋钱罐借款平台等于714高炮平台！！</v>
      </c>
      <c r="C3108" s="2" t="s">
        <v>9</v>
      </c>
      <c r="D3108" s="2" t="s">
        <v>10</v>
      </c>
      <c r="E3108" s="2" t="str">
        <f>HYPERLINK("http://ts.21cn.com/tousu/show/id/1333767","http://ts.21cn.com/tousu/show/id/1333767")</f>
        <v>http://ts.21cn.com/tousu/show/id/1333767</v>
      </c>
      <c r="F3108" s="2" t="s">
        <v>11</v>
      </c>
      <c r="G3108" s="2" t="s">
        <v>38019</v>
      </c>
      <c r="H3108" s="2" t="s">
        <v>38020</v>
      </c>
    </row>
    <row r="3109" spans="1:8" ht="25.05" customHeight="1" x14ac:dyDescent="0.25">
      <c r="A3109" s="2" t="s">
        <v>8</v>
      </c>
      <c r="B3109" s="2" t="str">
        <f>HYPERLINK("http://ts.21cn.com/tousu/show/id/1333769","花转转樱桃小借借款")</f>
        <v>花转转樱桃小借借款</v>
      </c>
      <c r="C3109" s="2" t="s">
        <v>34</v>
      </c>
      <c r="D3109" s="2" t="s">
        <v>10</v>
      </c>
      <c r="E3109" s="2" t="str">
        <f>HYPERLINK("http://ts.21cn.com/tousu/show/id/1333769","http://ts.21cn.com/tousu/show/id/1333769")</f>
        <v>http://ts.21cn.com/tousu/show/id/1333769</v>
      </c>
      <c r="F3109" s="2" t="s">
        <v>11</v>
      </c>
      <c r="G3109" s="2" t="s">
        <v>38017</v>
      </c>
      <c r="H3109" s="2" t="s">
        <v>38018</v>
      </c>
    </row>
    <row r="3110" spans="1:8" ht="25.05" customHeight="1" x14ac:dyDescent="0.25">
      <c r="A3110" s="2" t="s">
        <v>8</v>
      </c>
      <c r="B3110" s="2" t="str">
        <f>HYPERLINK("http://ts.21cn.com/tousu/show/id/1333768","闪电借款提供非法高利贷服务，虚假账单，要求退还非法利息，停止催收")</f>
        <v>闪电借款提供非法高利贷服务，虚假账单，要求退还非法利息，停止催收</v>
      </c>
      <c r="C3110" s="2" t="s">
        <v>9</v>
      </c>
      <c r="D3110" s="2" t="s">
        <v>10</v>
      </c>
      <c r="E3110" s="2" t="str">
        <f>HYPERLINK("http://ts.21cn.com/tousu/show/id/1333768","http://ts.21cn.com/tousu/show/id/1333768")</f>
        <v>http://ts.21cn.com/tousu/show/id/1333768</v>
      </c>
      <c r="F3110" s="2" t="s">
        <v>11</v>
      </c>
      <c r="G3110" s="2" t="s">
        <v>38015</v>
      </c>
      <c r="H3110" s="2" t="s">
        <v>38016</v>
      </c>
    </row>
    <row r="3111" spans="1:8" ht="25.05" customHeight="1" x14ac:dyDescent="0.25">
      <c r="A3111" s="2" t="s">
        <v>8</v>
      </c>
      <c r="B3111" s="2" t="str">
        <f>HYPERLINK("http://ts.21cn.com/tousu/show/id/1333757","京东延迟发货近两个月，收到货后发现电脑不是新机。")</f>
        <v>京东延迟发货近两个月，收到货后发现电脑不是新机。</v>
      </c>
      <c r="C3111" s="2" t="s">
        <v>34</v>
      </c>
      <c r="D3111" s="2" t="s">
        <v>10</v>
      </c>
      <c r="E3111" s="2" t="str">
        <f>HYPERLINK("http://ts.21cn.com/tousu/show/id/1333757","http://ts.21cn.com/tousu/show/id/1333757")</f>
        <v>http://ts.21cn.com/tousu/show/id/1333757</v>
      </c>
      <c r="F3111" s="2" t="s">
        <v>11</v>
      </c>
      <c r="G3111" s="2" t="s">
        <v>38013</v>
      </c>
      <c r="H3111" s="2" t="s">
        <v>38014</v>
      </c>
    </row>
    <row r="3112" spans="1:8" ht="25.05" customHeight="1" x14ac:dyDescent="0.25">
      <c r="A3112" s="2" t="s">
        <v>8</v>
      </c>
      <c r="B3112" s="2" t="str">
        <f>HYPERLINK("http://ts.21cn.com/tousu/show/id/1333771","联通宽带虚假宣传")</f>
        <v>联通宽带虚假宣传</v>
      </c>
      <c r="C3112" s="2" t="s">
        <v>9</v>
      </c>
      <c r="D3112" s="2" t="s">
        <v>10</v>
      </c>
      <c r="E3112" s="2" t="str">
        <f>HYPERLINK("http://ts.21cn.com/tousu/show/id/1333771","http://ts.21cn.com/tousu/show/id/1333771")</f>
        <v>http://ts.21cn.com/tousu/show/id/1333771</v>
      </c>
      <c r="F3112" s="2" t="s">
        <v>11</v>
      </c>
      <c r="G3112" s="2" t="s">
        <v>38011</v>
      </c>
      <c r="H3112" s="2" t="s">
        <v>38012</v>
      </c>
    </row>
    <row r="3113" spans="1:8" ht="25.05" customHeight="1" x14ac:dyDescent="0.25">
      <c r="A3113" s="2" t="s">
        <v>8</v>
      </c>
      <c r="B3113" s="2" t="str">
        <f>HYPERLINK("http://ts.21cn.com/tousu/show/id/1333725","苏宁金融协商还款后打亲友电话，威胁")</f>
        <v>苏宁金融协商还款后打亲友电话，威胁</v>
      </c>
      <c r="C3113" s="2" t="s">
        <v>9</v>
      </c>
      <c r="D3113" s="2" t="s">
        <v>10</v>
      </c>
      <c r="E3113" s="2" t="str">
        <f>HYPERLINK("http://ts.21cn.com/tousu/show/id/1333725","http://ts.21cn.com/tousu/show/id/1333725")</f>
        <v>http://ts.21cn.com/tousu/show/id/1333725</v>
      </c>
      <c r="F3113" s="2" t="s">
        <v>11</v>
      </c>
      <c r="G3113" s="2" t="s">
        <v>38009</v>
      </c>
      <c r="H3113" s="2" t="s">
        <v>38010</v>
      </c>
    </row>
    <row r="3114" spans="1:8" ht="25.05" customHeight="1" x14ac:dyDescent="0.25">
      <c r="A3114" s="2" t="s">
        <v>8</v>
      </c>
      <c r="B3114" s="2" t="str">
        <f>HYPERLINK("http://ts.21cn.com/tousu/show/id/1333772","没逾期就开始暴力催收")</f>
        <v>没逾期就开始暴力催收</v>
      </c>
      <c r="C3114" s="2" t="s">
        <v>9</v>
      </c>
      <c r="D3114" s="2" t="s">
        <v>10</v>
      </c>
      <c r="E3114" s="2" t="str">
        <f>HYPERLINK("http://ts.21cn.com/tousu/show/id/1333772","http://ts.21cn.com/tousu/show/id/1333772")</f>
        <v>http://ts.21cn.com/tousu/show/id/1333772</v>
      </c>
      <c r="F3114" s="2" t="s">
        <v>11</v>
      </c>
      <c r="G3114" s="2" t="s">
        <v>38007</v>
      </c>
      <c r="H3114" s="2" t="s">
        <v>38008</v>
      </c>
    </row>
    <row r="3115" spans="1:8" ht="25.05" customHeight="1" x14ac:dyDescent="0.25">
      <c r="A3115" s="2" t="s">
        <v>8</v>
      </c>
      <c r="B3115" s="2" t="str">
        <f>HYPERLINK("http://ts.21cn.com/tousu/show/id/1333753","要求退钱，说好的退，可是到现在一直没有回答")</f>
        <v>要求退钱，说好的退，可是到现在一直没有回答</v>
      </c>
      <c r="C3115" s="2" t="s">
        <v>34</v>
      </c>
      <c r="D3115" s="2" t="s">
        <v>10</v>
      </c>
      <c r="E3115" s="2" t="str">
        <f>HYPERLINK("http://ts.21cn.com/tousu/show/id/1333753","http://ts.21cn.com/tousu/show/id/1333753")</f>
        <v>http://ts.21cn.com/tousu/show/id/1333753</v>
      </c>
      <c r="F3115" s="2" t="s">
        <v>11</v>
      </c>
      <c r="G3115" s="2" t="s">
        <v>38005</v>
      </c>
      <c r="H3115" s="2" t="s">
        <v>38006</v>
      </c>
    </row>
    <row r="3116" spans="1:8" ht="25.05" customHeight="1" x14ac:dyDescent="0.25">
      <c r="A3116" s="2" t="s">
        <v>8</v>
      </c>
      <c r="B3116" s="2" t="str">
        <f>HYPERLINK("http://ts.21cn.com/tousu/show/id/1333773","高利贷还款不正规")</f>
        <v>高利贷还款不正规</v>
      </c>
      <c r="C3116" s="2" t="s">
        <v>9</v>
      </c>
      <c r="D3116" s="2" t="s">
        <v>10</v>
      </c>
      <c r="E3116" s="2" t="str">
        <f>HYPERLINK("http://ts.21cn.com/tousu/show/id/1333773","http://ts.21cn.com/tousu/show/id/1333773")</f>
        <v>http://ts.21cn.com/tousu/show/id/1333773</v>
      </c>
      <c r="F3116" s="2" t="s">
        <v>11</v>
      </c>
      <c r="G3116" s="2" t="s">
        <v>38003</v>
      </c>
      <c r="H3116" s="2" t="s">
        <v>38004</v>
      </c>
    </row>
    <row r="3117" spans="1:8" ht="25.05" customHeight="1" x14ac:dyDescent="0.25">
      <c r="A3117" s="2" t="s">
        <v>8</v>
      </c>
      <c r="B3117" s="2" t="str">
        <f>HYPERLINK("http://ts.21cn.com/tousu/show/id/1333774","时光分期差我500")</f>
        <v>时光分期差我500</v>
      </c>
      <c r="C3117" s="2" t="s">
        <v>34</v>
      </c>
      <c r="D3117" s="2" t="s">
        <v>10</v>
      </c>
      <c r="E3117" s="2" t="str">
        <f>HYPERLINK("http://ts.21cn.com/tousu/show/id/1333774","http://ts.21cn.com/tousu/show/id/1333774")</f>
        <v>http://ts.21cn.com/tousu/show/id/1333774</v>
      </c>
      <c r="F3117" s="2" t="s">
        <v>11</v>
      </c>
      <c r="G3117" s="2" t="s">
        <v>38001</v>
      </c>
      <c r="H3117" s="2" t="s">
        <v>38002</v>
      </c>
    </row>
    <row r="3118" spans="1:8" ht="25.05" customHeight="1" x14ac:dyDescent="0.25">
      <c r="A3118" s="2" t="s">
        <v>8</v>
      </c>
      <c r="B3118" s="2" t="str">
        <f>HYPERLINK("http://ts.21cn.com/tousu/show/id/1333775","投诉360借条高利贷，提前还款扔收利息")</f>
        <v>投诉360借条高利贷，提前还款扔收利息</v>
      </c>
      <c r="C3118" s="2" t="s">
        <v>9</v>
      </c>
      <c r="D3118" s="2" t="s">
        <v>10</v>
      </c>
      <c r="E3118" s="2" t="str">
        <f>HYPERLINK("http://ts.21cn.com/tousu/show/id/1333775","http://ts.21cn.com/tousu/show/id/1333775")</f>
        <v>http://ts.21cn.com/tousu/show/id/1333775</v>
      </c>
      <c r="F3118" s="2" t="s">
        <v>11</v>
      </c>
      <c r="G3118" s="2" t="s">
        <v>37999</v>
      </c>
      <c r="H3118" s="2" t="s">
        <v>38000</v>
      </c>
    </row>
    <row r="3119" spans="1:8" ht="25.05" customHeight="1" x14ac:dyDescent="0.25">
      <c r="A3119" s="2" t="s">
        <v>8</v>
      </c>
      <c r="B3119" s="2" t="str">
        <f>HYPERLINK("http://ts.21cn.com/tousu/show/id/1333776","电话骚扰，威胁")</f>
        <v>电话骚扰，威胁</v>
      </c>
      <c r="C3119" s="2" t="s">
        <v>9</v>
      </c>
      <c r="D3119" s="2" t="s">
        <v>10</v>
      </c>
      <c r="E3119" s="2" t="str">
        <f>HYPERLINK("http://ts.21cn.com/tousu/show/id/1333776","http://ts.21cn.com/tousu/show/id/1333776")</f>
        <v>http://ts.21cn.com/tousu/show/id/1333776</v>
      </c>
      <c r="F3119" s="2" t="s">
        <v>11</v>
      </c>
      <c r="G3119" s="2" t="s">
        <v>37997</v>
      </c>
      <c r="H3119" s="2" t="s">
        <v>37998</v>
      </c>
    </row>
    <row r="3120" spans="1:8" ht="25.05" customHeight="1" x14ac:dyDescent="0.25">
      <c r="A3120" s="2" t="s">
        <v>8</v>
      </c>
      <c r="B3120" s="2" t="str">
        <f>HYPERLINK("http://ts.21cn.com/tousu/show/id/1333777","高利贷砍头息")</f>
        <v>高利贷砍头息</v>
      </c>
      <c r="C3120" s="2" t="s">
        <v>9</v>
      </c>
      <c r="D3120" s="2" t="s">
        <v>10</v>
      </c>
      <c r="E3120" s="2" t="str">
        <f>HYPERLINK("http://ts.21cn.com/tousu/show/id/1333777","http://ts.21cn.com/tousu/show/id/1333777")</f>
        <v>http://ts.21cn.com/tousu/show/id/1333777</v>
      </c>
      <c r="F3120" s="2" t="s">
        <v>11</v>
      </c>
      <c r="G3120" s="2" t="s">
        <v>37995</v>
      </c>
      <c r="H3120" s="2" t="s">
        <v>37996</v>
      </c>
    </row>
    <row r="3121" spans="1:8" ht="25.05" customHeight="1" x14ac:dyDescent="0.25">
      <c r="A3121" s="2" t="s">
        <v>8</v>
      </c>
      <c r="B3121" s="2" t="str">
        <f>HYPERLINK("http://ts.21cn.com/tousu/show/id/1333778","万达贷无法还款")</f>
        <v>万达贷无法还款</v>
      </c>
      <c r="C3121" s="2" t="s">
        <v>34</v>
      </c>
      <c r="D3121" s="2" t="s">
        <v>10</v>
      </c>
      <c r="E3121" s="2" t="str">
        <f>HYPERLINK("http://ts.21cn.com/tousu/show/id/1333778","http://ts.21cn.com/tousu/show/id/1333778")</f>
        <v>http://ts.21cn.com/tousu/show/id/1333778</v>
      </c>
      <c r="F3121" s="2" t="s">
        <v>11</v>
      </c>
      <c r="G3121" s="2" t="s">
        <v>37993</v>
      </c>
      <c r="H3121" s="2" t="s">
        <v>37994</v>
      </c>
    </row>
    <row r="3122" spans="1:8" ht="25.05" customHeight="1" x14ac:dyDescent="0.25">
      <c r="A3122" s="2" t="s">
        <v>8</v>
      </c>
      <c r="B3122" s="2" t="str">
        <f>HYPERLINK("http://ts.21cn.com/tousu/show/id/1333779","小浦优客未经同意扣款")</f>
        <v>小浦优客未经同意扣款</v>
      </c>
      <c r="C3122" s="2" t="s">
        <v>34</v>
      </c>
      <c r="D3122" s="2" t="s">
        <v>10</v>
      </c>
      <c r="E3122" s="2" t="str">
        <f>HYPERLINK("http://ts.21cn.com/tousu/show/id/1333779","http://ts.21cn.com/tousu/show/id/1333779")</f>
        <v>http://ts.21cn.com/tousu/show/id/1333779</v>
      </c>
      <c r="F3122" s="2" t="s">
        <v>11</v>
      </c>
      <c r="G3122" s="2" t="s">
        <v>37991</v>
      </c>
      <c r="H3122" s="2" t="s">
        <v>37992</v>
      </c>
    </row>
    <row r="3123" spans="1:8" ht="25.05" customHeight="1" x14ac:dyDescent="0.25">
      <c r="A3123" s="2" t="s">
        <v>8</v>
      </c>
      <c r="B3123" s="2" t="str">
        <f>HYPERLINK("http://ts.21cn.com/tousu/show/id/1333780","骚扰")</f>
        <v>骚扰</v>
      </c>
      <c r="C3123" s="2" t="s">
        <v>9</v>
      </c>
      <c r="D3123" s="2" t="s">
        <v>10</v>
      </c>
      <c r="E3123" s="2" t="str">
        <f>HYPERLINK("http://ts.21cn.com/tousu/show/id/1333780","http://ts.21cn.com/tousu/show/id/1333780")</f>
        <v>http://ts.21cn.com/tousu/show/id/1333780</v>
      </c>
      <c r="F3123" s="2" t="s">
        <v>11</v>
      </c>
      <c r="G3123" s="2" t="s">
        <v>37989</v>
      </c>
      <c r="H3123" s="2" t="s">
        <v>37990</v>
      </c>
    </row>
    <row r="3124" spans="1:8" ht="25.05" customHeight="1" x14ac:dyDescent="0.25">
      <c r="A3124" s="2" t="s">
        <v>8</v>
      </c>
      <c r="B3124" s="2" t="str">
        <f>HYPERLINK("http://ts.21cn.com/tousu/show/id/1333781","用钱宝还我征信")</f>
        <v>用钱宝还我征信</v>
      </c>
      <c r="C3124" s="2" t="s">
        <v>9</v>
      </c>
      <c r="D3124" s="2" t="s">
        <v>10</v>
      </c>
      <c r="E3124" s="2" t="str">
        <f>HYPERLINK("http://ts.21cn.com/tousu/show/id/1333781","http://ts.21cn.com/tousu/show/id/1333781")</f>
        <v>http://ts.21cn.com/tousu/show/id/1333781</v>
      </c>
      <c r="F3124" s="2" t="s">
        <v>11</v>
      </c>
      <c r="G3124" s="2" t="s">
        <v>37987</v>
      </c>
      <c r="H3124" s="2" t="s">
        <v>37988</v>
      </c>
    </row>
    <row r="3125" spans="1:8" ht="25.05" customHeight="1" x14ac:dyDescent="0.25">
      <c r="A3125" s="2" t="s">
        <v>8</v>
      </c>
      <c r="B3125" s="2" t="str">
        <f>HYPERLINK("http://ts.21cn.com/tousu/show/id/1333782","拼多多商家出售与页面不符合的虚假商品")</f>
        <v>拼多多商家出售与页面不符合的虚假商品</v>
      </c>
      <c r="C3125" s="2" t="s">
        <v>9</v>
      </c>
      <c r="D3125" s="2" t="s">
        <v>10</v>
      </c>
      <c r="E3125" s="2" t="str">
        <f>HYPERLINK("http://ts.21cn.com/tousu/show/id/1333782","http://ts.21cn.com/tousu/show/id/1333782")</f>
        <v>http://ts.21cn.com/tousu/show/id/1333782</v>
      </c>
      <c r="F3125" s="2" t="s">
        <v>11</v>
      </c>
      <c r="G3125" s="2" t="s">
        <v>37985</v>
      </c>
      <c r="H3125" s="2" t="s">
        <v>37986</v>
      </c>
    </row>
    <row r="3126" spans="1:8" ht="25.05" customHeight="1" x14ac:dyDescent="0.25">
      <c r="A3126" s="2" t="s">
        <v>8</v>
      </c>
      <c r="B3126" s="2" t="str">
        <f>HYPERLINK("http://ts.21cn.com/tousu/show/id/1333783","在本人不知情的情况下扣保险费用")</f>
        <v>在本人不知情的情况下扣保险费用</v>
      </c>
      <c r="C3126" s="2" t="s">
        <v>9</v>
      </c>
      <c r="D3126" s="2" t="s">
        <v>10</v>
      </c>
      <c r="E3126" s="2" t="str">
        <f>HYPERLINK("http://ts.21cn.com/tousu/show/id/1333783","http://ts.21cn.com/tousu/show/id/1333783")</f>
        <v>http://ts.21cn.com/tousu/show/id/1333783</v>
      </c>
      <c r="F3126" s="2" t="s">
        <v>11</v>
      </c>
      <c r="G3126" s="2" t="s">
        <v>37983</v>
      </c>
      <c r="H3126" s="2" t="s">
        <v>37984</v>
      </c>
    </row>
    <row r="3127" spans="1:8" ht="25.05" customHeight="1" x14ac:dyDescent="0.25">
      <c r="A3127" s="2" t="s">
        <v>8</v>
      </c>
      <c r="B3127" s="2" t="str">
        <f>HYPERLINK("http://ts.21cn.com/tousu/show/id/1333784","保费快比本金高了")</f>
        <v>保费快比本金高了</v>
      </c>
      <c r="C3127" s="2" t="s">
        <v>9</v>
      </c>
      <c r="D3127" s="2" t="s">
        <v>10</v>
      </c>
      <c r="E3127" s="2" t="str">
        <f>HYPERLINK("http://ts.21cn.com/tousu/show/id/1333784","http://ts.21cn.com/tousu/show/id/1333784")</f>
        <v>http://ts.21cn.com/tousu/show/id/1333784</v>
      </c>
      <c r="F3127" s="2" t="s">
        <v>11</v>
      </c>
      <c r="G3127" s="2" t="s">
        <v>37981</v>
      </c>
      <c r="H3127" s="2" t="s">
        <v>37982</v>
      </c>
    </row>
    <row r="3128" spans="1:8" ht="25.05" customHeight="1" x14ac:dyDescent="0.25">
      <c r="A3128" s="2" t="s">
        <v>8</v>
      </c>
      <c r="B3128" s="2" t="str">
        <f>HYPERLINK("http://ts.21cn.com/tousu/show/id/1333785","吹头息，高利贷平台---“唐老鸭”")</f>
        <v>吹头息，高利贷平台---“唐老鸭”</v>
      </c>
      <c r="C3128" s="2" t="s">
        <v>9</v>
      </c>
      <c r="D3128" s="2" t="s">
        <v>10</v>
      </c>
      <c r="E3128" s="2" t="str">
        <f>HYPERLINK("http://ts.21cn.com/tousu/show/id/1333785","http://ts.21cn.com/tousu/show/id/1333785")</f>
        <v>http://ts.21cn.com/tousu/show/id/1333785</v>
      </c>
      <c r="F3128" s="2" t="s">
        <v>11</v>
      </c>
      <c r="G3128" s="2" t="s">
        <v>37979</v>
      </c>
      <c r="H3128" s="2" t="s">
        <v>37980</v>
      </c>
    </row>
    <row r="3129" spans="1:8" ht="25.05" customHeight="1" x14ac:dyDescent="0.25">
      <c r="A3129" s="2" t="s">
        <v>8</v>
      </c>
      <c r="B3129" s="2" t="str">
        <f>HYPERLINK("http://ts.21cn.com/tousu/show/id/1333787","马上消费金融短信轰炸威胁恐吓")</f>
        <v>马上消费金融短信轰炸威胁恐吓</v>
      </c>
      <c r="C3129" s="2" t="s">
        <v>9</v>
      </c>
      <c r="D3129" s="2" t="s">
        <v>10</v>
      </c>
      <c r="E3129" s="2" t="str">
        <f>HYPERLINK("http://ts.21cn.com/tousu/show/id/1333787","http://ts.21cn.com/tousu/show/id/1333787")</f>
        <v>http://ts.21cn.com/tousu/show/id/1333787</v>
      </c>
      <c r="F3129" s="2" t="s">
        <v>11</v>
      </c>
      <c r="G3129" s="2" t="s">
        <v>37977</v>
      </c>
      <c r="H3129" s="2" t="s">
        <v>37978</v>
      </c>
    </row>
    <row r="3130" spans="1:8" ht="25.05" customHeight="1" x14ac:dyDescent="0.25">
      <c r="A3130" s="2" t="s">
        <v>8</v>
      </c>
      <c r="B3130" s="2" t="str">
        <f>HYPERLINK("http://ts.21cn.com/tousu/show/id/1333788","蟹老弟收取高额手续费")</f>
        <v>蟹老弟收取高额手续费</v>
      </c>
      <c r="C3130" s="2" t="s">
        <v>34</v>
      </c>
      <c r="D3130" s="2" t="s">
        <v>10</v>
      </c>
      <c r="E3130" s="2" t="str">
        <f>HYPERLINK("http://ts.21cn.com/tousu/show/id/1333788","http://ts.21cn.com/tousu/show/id/1333788")</f>
        <v>http://ts.21cn.com/tousu/show/id/1333788</v>
      </c>
      <c r="F3130" s="2" t="s">
        <v>11</v>
      </c>
      <c r="G3130" s="2" t="s">
        <v>37975</v>
      </c>
      <c r="H3130" s="2" t="s">
        <v>37976</v>
      </c>
    </row>
    <row r="3131" spans="1:8" ht="25.05" customHeight="1" x14ac:dyDescent="0.25">
      <c r="A3131" s="2" t="s">
        <v>8</v>
      </c>
      <c r="B3131" s="2" t="str">
        <f>HYPERLINK("http://ts.21cn.com/tousu/show/id/1333789","万惠及贷高利息骚扰家人")</f>
        <v>万惠及贷高利息骚扰家人</v>
      </c>
      <c r="C3131" s="2" t="s">
        <v>9</v>
      </c>
      <c r="D3131" s="2" t="s">
        <v>10</v>
      </c>
      <c r="E3131" s="2" t="str">
        <f>HYPERLINK("http://ts.21cn.com/tousu/show/id/1333789","http://ts.21cn.com/tousu/show/id/1333789")</f>
        <v>http://ts.21cn.com/tousu/show/id/1333789</v>
      </c>
      <c r="F3131" s="2" t="s">
        <v>11</v>
      </c>
      <c r="G3131" s="2" t="s">
        <v>37973</v>
      </c>
      <c r="H3131" s="2" t="s">
        <v>37974</v>
      </c>
    </row>
    <row r="3132" spans="1:8" ht="25.05" customHeight="1" x14ac:dyDescent="0.25">
      <c r="A3132" s="2" t="s">
        <v>8</v>
      </c>
      <c r="B3132" s="2" t="str">
        <f>HYPERLINK("http://ts.21cn.com/tousu/show/id/1333790","聚福钱包退款")</f>
        <v>聚福钱包退款</v>
      </c>
      <c r="C3132" s="2" t="s">
        <v>34</v>
      </c>
      <c r="D3132" s="2" t="s">
        <v>10</v>
      </c>
      <c r="E3132" s="2" t="str">
        <f>HYPERLINK("http://ts.21cn.com/tousu/show/id/1333790","http://ts.21cn.com/tousu/show/id/1333790")</f>
        <v>http://ts.21cn.com/tousu/show/id/1333790</v>
      </c>
      <c r="F3132" s="2" t="s">
        <v>11</v>
      </c>
      <c r="G3132" s="2" t="s">
        <v>37971</v>
      </c>
      <c r="H3132" s="2" t="s">
        <v>37972</v>
      </c>
    </row>
    <row r="3133" spans="1:8" ht="25.05" customHeight="1" x14ac:dyDescent="0.25">
      <c r="A3133" s="2" t="s">
        <v>8</v>
      </c>
      <c r="B3133" s="2" t="str">
        <f>HYPERLINK("http://ts.21cn.com/tousu/show/id/1333770","蜜瓜钱包714暴力催收威胁")</f>
        <v>蜜瓜钱包714暴力催收威胁</v>
      </c>
      <c r="C3133" s="2" t="s">
        <v>9</v>
      </c>
      <c r="D3133" s="2" t="s">
        <v>10</v>
      </c>
      <c r="E3133" s="2" t="str">
        <f>HYPERLINK("http://ts.21cn.com/tousu/show/id/1333770","http://ts.21cn.com/tousu/show/id/1333770")</f>
        <v>http://ts.21cn.com/tousu/show/id/1333770</v>
      </c>
      <c r="F3133" s="2" t="s">
        <v>11</v>
      </c>
      <c r="G3133" s="2" t="s">
        <v>37969</v>
      </c>
      <c r="H3133" s="2" t="s">
        <v>37970</v>
      </c>
    </row>
    <row r="3134" spans="1:8" ht="25.05" customHeight="1" x14ac:dyDescent="0.25">
      <c r="A3134" s="2" t="s">
        <v>8</v>
      </c>
      <c r="B3134" s="2" t="str">
        <f>HYPERLINK("http://ts.21cn.com/tousu/show/id/1333786","苏宁易购运费险没用")</f>
        <v>苏宁易购运费险没用</v>
      </c>
      <c r="C3134" s="2" t="s">
        <v>9</v>
      </c>
      <c r="D3134" s="2" t="s">
        <v>10</v>
      </c>
      <c r="E3134" s="2" t="str">
        <f>HYPERLINK("http://ts.21cn.com/tousu/show/id/1333786","http://ts.21cn.com/tousu/show/id/1333786")</f>
        <v>http://ts.21cn.com/tousu/show/id/1333786</v>
      </c>
      <c r="F3134" s="2" t="s">
        <v>11</v>
      </c>
      <c r="G3134" s="2" t="s">
        <v>37967</v>
      </c>
      <c r="H3134" s="2" t="s">
        <v>37968</v>
      </c>
    </row>
    <row r="3135" spans="1:8" ht="25.05" customHeight="1" x14ac:dyDescent="0.25">
      <c r="A3135" s="2" t="s">
        <v>8</v>
      </c>
      <c r="B3135" s="2" t="str">
        <f>HYPERLINK("http://ts.21cn.com/tousu/show/id/1333793","唯品会说话不算话，到现在不处理退款问题")</f>
        <v>唯品会说话不算话，到现在不处理退款问题</v>
      </c>
      <c r="C3135" s="2" t="s">
        <v>9</v>
      </c>
      <c r="D3135" s="2" t="s">
        <v>10</v>
      </c>
      <c r="E3135" s="2" t="str">
        <f>HYPERLINK("http://ts.21cn.com/tousu/show/id/1333793","http://ts.21cn.com/tousu/show/id/1333793")</f>
        <v>http://ts.21cn.com/tousu/show/id/1333793</v>
      </c>
      <c r="F3135" s="2" t="s">
        <v>11</v>
      </c>
      <c r="G3135" s="2" t="s">
        <v>37965</v>
      </c>
      <c r="H3135" s="2" t="s">
        <v>37966</v>
      </c>
    </row>
    <row r="3136" spans="1:8" ht="25.05" customHeight="1" x14ac:dyDescent="0.25">
      <c r="A3136" s="2" t="s">
        <v>8</v>
      </c>
      <c r="B3136" s="2" t="str">
        <f>HYPERLINK("http://ts.21cn.com/tousu/show/id/1333794","小浦优客乱扣钱")</f>
        <v>小浦优客乱扣钱</v>
      </c>
      <c r="C3136" s="2" t="s">
        <v>9</v>
      </c>
      <c r="D3136" s="2" t="s">
        <v>10</v>
      </c>
      <c r="E3136" s="2" t="str">
        <f>HYPERLINK("http://ts.21cn.com/tousu/show/id/1333794","http://ts.21cn.com/tousu/show/id/1333794")</f>
        <v>http://ts.21cn.com/tousu/show/id/1333794</v>
      </c>
      <c r="F3136" s="2" t="s">
        <v>11</v>
      </c>
      <c r="G3136" s="2" t="s">
        <v>37963</v>
      </c>
      <c r="H3136" s="2" t="s">
        <v>37964</v>
      </c>
    </row>
    <row r="3137" spans="1:8" ht="25.05" customHeight="1" x14ac:dyDescent="0.25">
      <c r="A3137" s="2" t="s">
        <v>8</v>
      </c>
      <c r="B3137" s="2" t="str">
        <f>HYPERLINK("http://ts.21cn.com/tousu/show/id/1333795","智行app无法联系人工客服")</f>
        <v>智行app无法联系人工客服</v>
      </c>
      <c r="C3137" s="2" t="s">
        <v>9</v>
      </c>
      <c r="D3137" s="2" t="s">
        <v>10</v>
      </c>
      <c r="E3137" s="2" t="str">
        <f>HYPERLINK("http://ts.21cn.com/tousu/show/id/1333795","http://ts.21cn.com/tousu/show/id/1333795")</f>
        <v>http://ts.21cn.com/tousu/show/id/1333795</v>
      </c>
      <c r="F3137" s="2" t="s">
        <v>11</v>
      </c>
      <c r="G3137" s="2" t="s">
        <v>37961</v>
      </c>
      <c r="H3137" s="2" t="s">
        <v>37962</v>
      </c>
    </row>
    <row r="3138" spans="1:8" ht="25.05" customHeight="1" x14ac:dyDescent="0.25">
      <c r="A3138" s="2" t="s">
        <v>8</v>
      </c>
      <c r="B3138" s="2" t="str">
        <f>HYPERLINK("http://ts.21cn.com/tousu/show/id/1333796","暴击催收")</f>
        <v>暴击催收</v>
      </c>
      <c r="C3138" s="2" t="s">
        <v>9</v>
      </c>
      <c r="D3138" s="2" t="s">
        <v>10</v>
      </c>
      <c r="E3138" s="2" t="str">
        <f>HYPERLINK("http://ts.21cn.com/tousu/show/id/1333796","http://ts.21cn.com/tousu/show/id/1333796")</f>
        <v>http://ts.21cn.com/tousu/show/id/1333796</v>
      </c>
      <c r="F3138" s="2" t="s">
        <v>11</v>
      </c>
      <c r="G3138" s="2" t="s">
        <v>37959</v>
      </c>
      <c r="H3138" s="2" t="s">
        <v>37960</v>
      </c>
    </row>
    <row r="3139" spans="1:8" ht="25.05" customHeight="1" x14ac:dyDescent="0.25">
      <c r="A3139" s="2" t="s">
        <v>8</v>
      </c>
      <c r="B3139" s="2" t="str">
        <f>HYPERLINK("http://ts.21cn.com/tousu/show/id/1333797","扣款差额费用")</f>
        <v>扣款差额费用</v>
      </c>
      <c r="C3139" s="2" t="s">
        <v>34</v>
      </c>
      <c r="D3139" s="2" t="s">
        <v>10</v>
      </c>
      <c r="E3139" s="2" t="str">
        <f>HYPERLINK("http://ts.21cn.com/tousu/show/id/1333797","http://ts.21cn.com/tousu/show/id/1333797")</f>
        <v>http://ts.21cn.com/tousu/show/id/1333797</v>
      </c>
      <c r="F3139" s="2" t="s">
        <v>11</v>
      </c>
      <c r="G3139" s="2" t="s">
        <v>37957</v>
      </c>
      <c r="H3139" s="2" t="s">
        <v>37958</v>
      </c>
    </row>
    <row r="3140" spans="1:8" ht="25.05" customHeight="1" x14ac:dyDescent="0.25">
      <c r="A3140" s="2" t="s">
        <v>8</v>
      </c>
      <c r="B3140" s="2" t="str">
        <f>HYPERLINK("http://ts.21cn.com/tousu/show/id/1333798","交通银行信用卡暴力催收")</f>
        <v>交通银行信用卡暴力催收</v>
      </c>
      <c r="C3140" s="2" t="s">
        <v>9</v>
      </c>
      <c r="D3140" s="2" t="s">
        <v>10</v>
      </c>
      <c r="E3140" s="2" t="str">
        <f>HYPERLINK("http://ts.21cn.com/tousu/show/id/1333798","http://ts.21cn.com/tousu/show/id/1333798")</f>
        <v>http://ts.21cn.com/tousu/show/id/1333798</v>
      </c>
      <c r="F3140" s="2" t="s">
        <v>11</v>
      </c>
      <c r="G3140" s="2" t="s">
        <v>37955</v>
      </c>
      <c r="H3140" s="2" t="s">
        <v>37956</v>
      </c>
    </row>
    <row r="3141" spans="1:8" ht="25.05" customHeight="1" x14ac:dyDescent="0.25">
      <c r="A3141" s="2" t="s">
        <v>8</v>
      </c>
      <c r="B3141" s="2" t="str">
        <f>HYPERLINK("http://ts.21cn.com/tousu/show/id/1333799","爱又米不允许注销账户")</f>
        <v>爱又米不允许注销账户</v>
      </c>
      <c r="C3141" s="2" t="s">
        <v>34</v>
      </c>
      <c r="D3141" s="2" t="s">
        <v>10</v>
      </c>
      <c r="E3141" s="2" t="str">
        <f>HYPERLINK("http://ts.21cn.com/tousu/show/id/1333799","http://ts.21cn.com/tousu/show/id/1333799")</f>
        <v>http://ts.21cn.com/tousu/show/id/1333799</v>
      </c>
      <c r="F3141" s="2" t="s">
        <v>11</v>
      </c>
      <c r="G3141" s="2" t="s">
        <v>37953</v>
      </c>
      <c r="H3141" s="2" t="s">
        <v>37954</v>
      </c>
    </row>
    <row r="3142" spans="1:8" ht="25.05" customHeight="1" x14ac:dyDescent="0.25">
      <c r="A3142" s="2" t="s">
        <v>8</v>
      </c>
      <c r="B3142" s="2" t="str">
        <f>HYPERLINK("http://ts.21cn.com/tousu/show/id/1333803","中国移动服务越来越差了")</f>
        <v>中国移动服务越来越差了</v>
      </c>
      <c r="C3142" s="2" t="s">
        <v>9</v>
      </c>
      <c r="D3142" s="2" t="s">
        <v>10</v>
      </c>
      <c r="E3142" s="2" t="str">
        <f>HYPERLINK("http://ts.21cn.com/tousu/show/id/1333803","http://ts.21cn.com/tousu/show/id/1333803")</f>
        <v>http://ts.21cn.com/tousu/show/id/1333803</v>
      </c>
      <c r="F3142" s="2" t="s">
        <v>11</v>
      </c>
      <c r="G3142" s="2" t="s">
        <v>37951</v>
      </c>
      <c r="H3142" s="2" t="s">
        <v>37952</v>
      </c>
    </row>
    <row r="3143" spans="1:8" ht="25.05" customHeight="1" x14ac:dyDescent="0.25">
      <c r="A3143" s="2" t="s">
        <v>8</v>
      </c>
      <c r="B3143" s="2" t="str">
        <f>HYPERLINK("http://ts.21cn.com/tousu/show/id/1333802","汇潮支付旗下的喵下贷是吸人血的高利贷，支付宝为高利贷提供帮助。")</f>
        <v>汇潮支付旗下的喵下贷是吸人血的高利贷，支付宝为高利贷提供帮助。</v>
      </c>
      <c r="C3143" s="2" t="s">
        <v>9</v>
      </c>
      <c r="D3143" s="2" t="s">
        <v>10</v>
      </c>
      <c r="E3143" s="2" t="str">
        <f>HYPERLINK("http://ts.21cn.com/tousu/show/id/1333802","http://ts.21cn.com/tousu/show/id/1333802")</f>
        <v>http://ts.21cn.com/tousu/show/id/1333802</v>
      </c>
      <c r="F3143" s="2" t="s">
        <v>11</v>
      </c>
      <c r="G3143" s="2" t="s">
        <v>37949</v>
      </c>
      <c r="H3143" s="2" t="s">
        <v>37950</v>
      </c>
    </row>
    <row r="3144" spans="1:8" ht="25.05" customHeight="1" x14ac:dyDescent="0.25">
      <c r="A3144" s="2" t="s">
        <v>8</v>
      </c>
      <c r="B3144" s="2" t="str">
        <f>HYPERLINK("http://ts.21cn.com/tousu/show/id/1333804","自由魔卡诺和信用计划高利贷")</f>
        <v>自由魔卡诺和信用计划高利贷</v>
      </c>
      <c r="C3144" s="2" t="s">
        <v>9</v>
      </c>
      <c r="D3144" s="2" t="s">
        <v>10</v>
      </c>
      <c r="E3144" s="2" t="str">
        <f>HYPERLINK("http://ts.21cn.com/tousu/show/id/1333804","http://ts.21cn.com/tousu/show/id/1333804")</f>
        <v>http://ts.21cn.com/tousu/show/id/1333804</v>
      </c>
      <c r="F3144" s="2" t="s">
        <v>11</v>
      </c>
      <c r="G3144" s="2" t="s">
        <v>37947</v>
      </c>
      <c r="H3144" s="2" t="s">
        <v>37948</v>
      </c>
    </row>
    <row r="3145" spans="1:8" ht="25.05" customHeight="1" x14ac:dyDescent="0.25">
      <c r="A3145" s="2" t="s">
        <v>8</v>
      </c>
      <c r="B3145" s="2" t="str">
        <f>HYPERLINK("http://ts.21cn.com/tousu/show/id/1333807","马上消费金融，暴力催收，群发短信，恐吓催收")</f>
        <v>马上消费金融，暴力催收，群发短信，恐吓催收</v>
      </c>
      <c r="C3145" s="2" t="s">
        <v>9</v>
      </c>
      <c r="D3145" s="2" t="s">
        <v>10</v>
      </c>
      <c r="E3145" s="2" t="str">
        <f>HYPERLINK("http://ts.21cn.com/tousu/show/id/1333807","http://ts.21cn.com/tousu/show/id/1333807")</f>
        <v>http://ts.21cn.com/tousu/show/id/1333807</v>
      </c>
      <c r="F3145" s="2" t="s">
        <v>11</v>
      </c>
      <c r="G3145" s="2" t="s">
        <v>37945</v>
      </c>
      <c r="H3145" s="2" t="s">
        <v>37946</v>
      </c>
    </row>
    <row r="3146" spans="1:8" ht="25.05" customHeight="1" x14ac:dyDescent="0.25">
      <c r="A3146" s="2" t="s">
        <v>8</v>
      </c>
      <c r="B3146" s="2" t="str">
        <f>HYPERLINK("http://ts.21cn.com/tousu/show/id/1333806","你我贷")</f>
        <v>你我贷</v>
      </c>
      <c r="C3146" s="2" t="s">
        <v>34</v>
      </c>
      <c r="D3146" s="2" t="s">
        <v>10</v>
      </c>
      <c r="E3146" s="2" t="str">
        <f>HYPERLINK("http://ts.21cn.com/tousu/show/id/1333806","http://ts.21cn.com/tousu/show/id/1333806")</f>
        <v>http://ts.21cn.com/tousu/show/id/1333806</v>
      </c>
      <c r="F3146" s="2" t="s">
        <v>11</v>
      </c>
      <c r="G3146" s="2" t="s">
        <v>37943</v>
      </c>
      <c r="H3146" s="2" t="s">
        <v>37944</v>
      </c>
    </row>
    <row r="3147" spans="1:8" ht="25.05" customHeight="1" x14ac:dyDescent="0.25">
      <c r="A3147" s="2" t="s">
        <v>8</v>
      </c>
      <c r="B3147" s="2" t="str">
        <f>HYPERLINK("http://ts.21cn.com/tousu/show/id/1333791","滴滴平台没有执行平台规则")</f>
        <v>滴滴平台没有执行平台规则</v>
      </c>
      <c r="C3147" s="2" t="s">
        <v>9</v>
      </c>
      <c r="D3147" s="2" t="s">
        <v>10</v>
      </c>
      <c r="E3147" s="2" t="str">
        <f>HYPERLINK("http://ts.21cn.com/tousu/show/id/1333791","http://ts.21cn.com/tousu/show/id/1333791")</f>
        <v>http://ts.21cn.com/tousu/show/id/1333791</v>
      </c>
      <c r="F3147" s="2" t="s">
        <v>11</v>
      </c>
      <c r="G3147" s="2" t="s">
        <v>37941</v>
      </c>
      <c r="H3147" s="2" t="s">
        <v>37942</v>
      </c>
    </row>
    <row r="3148" spans="1:8" ht="25.05" customHeight="1" x14ac:dyDescent="0.25">
      <c r="A3148" s="2" t="s">
        <v>8</v>
      </c>
      <c r="B3148" s="2" t="str">
        <f>HYPERLINK("http://ts.21cn.com/tousu/show/id/1333808","小浦优客贷款盗取银行卡金额296")</f>
        <v>小浦优客贷款盗取银行卡金额296</v>
      </c>
      <c r="C3148" s="2" t="s">
        <v>9</v>
      </c>
      <c r="D3148" s="2" t="s">
        <v>10</v>
      </c>
      <c r="E3148" s="2" t="str">
        <f>HYPERLINK("http://ts.21cn.com/tousu/show/id/1333808","http://ts.21cn.com/tousu/show/id/1333808")</f>
        <v>http://ts.21cn.com/tousu/show/id/1333808</v>
      </c>
      <c r="F3148" s="2" t="s">
        <v>11</v>
      </c>
      <c r="G3148" s="2" t="s">
        <v>37939</v>
      </c>
      <c r="H3148" s="2" t="s">
        <v>37940</v>
      </c>
    </row>
    <row r="3149" spans="1:8" ht="25.05" customHeight="1" x14ac:dyDescent="0.25">
      <c r="A3149" s="2" t="s">
        <v>8</v>
      </c>
      <c r="B3149" s="2" t="str">
        <f>HYPERLINK("http://ts.21cn.com/tousu/show/id/1333759","联通乱扣费")</f>
        <v>联通乱扣费</v>
      </c>
      <c r="C3149" s="2" t="s">
        <v>9</v>
      </c>
      <c r="D3149" s="2" t="s">
        <v>10</v>
      </c>
      <c r="E3149" s="2" t="str">
        <f>HYPERLINK("http://ts.21cn.com/tousu/show/id/1333759","http://ts.21cn.com/tousu/show/id/1333759")</f>
        <v>http://ts.21cn.com/tousu/show/id/1333759</v>
      </c>
      <c r="F3149" s="2" t="s">
        <v>11</v>
      </c>
      <c r="G3149" s="2" t="s">
        <v>37937</v>
      </c>
      <c r="H3149" s="2" t="s">
        <v>37938</v>
      </c>
    </row>
    <row r="3150" spans="1:8" ht="25.05" customHeight="1" x14ac:dyDescent="0.25">
      <c r="A3150" s="2" t="s">
        <v>8</v>
      </c>
      <c r="B3150" s="2" t="str">
        <f>HYPERLINK("http://ts.21cn.com/tousu/show/id/1333810","易存证给高利贷提供平台")</f>
        <v>易存证给高利贷提供平台</v>
      </c>
      <c r="C3150" s="2" t="s">
        <v>9</v>
      </c>
      <c r="D3150" s="2" t="s">
        <v>10</v>
      </c>
      <c r="E3150" s="2" t="str">
        <f>HYPERLINK("http://ts.21cn.com/tousu/show/id/1333810","http://ts.21cn.com/tousu/show/id/1333810")</f>
        <v>http://ts.21cn.com/tousu/show/id/1333810</v>
      </c>
      <c r="F3150" s="2" t="s">
        <v>11</v>
      </c>
      <c r="G3150" s="2" t="s">
        <v>37935</v>
      </c>
      <c r="H3150" s="2" t="s">
        <v>37936</v>
      </c>
    </row>
    <row r="3151" spans="1:8" ht="25.05" customHeight="1" x14ac:dyDescent="0.25">
      <c r="A3151" s="2" t="s">
        <v>8</v>
      </c>
      <c r="B3151" s="2" t="str">
        <f>HYPERLINK("http://ts.21cn.com/tousu/show/id/1333811","未经同意就扣费")</f>
        <v>未经同意就扣费</v>
      </c>
      <c r="C3151" s="2" t="s">
        <v>9</v>
      </c>
      <c r="D3151" s="2" t="s">
        <v>10</v>
      </c>
      <c r="E3151" s="2" t="str">
        <f>HYPERLINK("http://ts.21cn.com/tousu/show/id/1333811","http://ts.21cn.com/tousu/show/id/1333811")</f>
        <v>http://ts.21cn.com/tousu/show/id/1333811</v>
      </c>
      <c r="F3151" s="2" t="s">
        <v>11</v>
      </c>
      <c r="G3151" s="2" t="s">
        <v>37933</v>
      </c>
      <c r="H3151" s="2" t="s">
        <v>37934</v>
      </c>
    </row>
    <row r="3152" spans="1:8" ht="25.05" customHeight="1" x14ac:dyDescent="0.25">
      <c r="A3152" s="2" t="s">
        <v>8</v>
      </c>
      <c r="B3152" s="2" t="str">
        <f>HYPERLINK("http://ts.21cn.com/tousu/show/id/1333812","信用管家云享贷高利贷，砍头息")</f>
        <v>信用管家云享贷高利贷，砍头息</v>
      </c>
      <c r="C3152" s="2" t="s">
        <v>9</v>
      </c>
      <c r="D3152" s="2" t="s">
        <v>10</v>
      </c>
      <c r="E3152" s="2" t="str">
        <f>HYPERLINK("http://ts.21cn.com/tousu/show/id/1333812","http://ts.21cn.com/tousu/show/id/1333812")</f>
        <v>http://ts.21cn.com/tousu/show/id/1333812</v>
      </c>
      <c r="F3152" s="2" t="s">
        <v>11</v>
      </c>
      <c r="G3152" s="2" t="s">
        <v>37932</v>
      </c>
      <c r="H3152" s="2" t="s">
        <v>36700</v>
      </c>
    </row>
    <row r="3153" spans="1:8" ht="25.05" customHeight="1" x14ac:dyDescent="0.25">
      <c r="A3153" s="2" t="s">
        <v>8</v>
      </c>
      <c r="B3153" s="2" t="str">
        <f>HYPERLINK("http://ts.21cn.com/tousu/show/id/1333813","聚富分期扣我299")</f>
        <v>聚富分期扣我299</v>
      </c>
      <c r="C3153" s="2" t="s">
        <v>34</v>
      </c>
      <c r="D3153" s="2" t="s">
        <v>10</v>
      </c>
      <c r="E3153" s="2" t="str">
        <f>HYPERLINK("http://ts.21cn.com/tousu/show/id/1333813","http://ts.21cn.com/tousu/show/id/1333813")</f>
        <v>http://ts.21cn.com/tousu/show/id/1333813</v>
      </c>
      <c r="F3153" s="2" t="s">
        <v>11</v>
      </c>
      <c r="G3153" s="2" t="s">
        <v>37930</v>
      </c>
      <c r="H3153" s="2" t="s">
        <v>37931</v>
      </c>
    </row>
    <row r="3154" spans="1:8" ht="25.05" customHeight="1" x14ac:dyDescent="0.25">
      <c r="A3154" s="2" t="s">
        <v>8</v>
      </c>
      <c r="B3154" s="2" t="str">
        <f>HYPERLINK("http://ts.21cn.com/tousu/show/id/1333814","收取前期意外险费用")</f>
        <v>收取前期意外险费用</v>
      </c>
      <c r="C3154" s="2" t="s">
        <v>9</v>
      </c>
      <c r="D3154" s="2" t="s">
        <v>10</v>
      </c>
      <c r="E3154" s="2" t="str">
        <f>HYPERLINK("http://ts.21cn.com/tousu/show/id/1333814","http://ts.21cn.com/tousu/show/id/1333814")</f>
        <v>http://ts.21cn.com/tousu/show/id/1333814</v>
      </c>
      <c r="F3154" s="2" t="s">
        <v>11</v>
      </c>
      <c r="G3154" s="2" t="s">
        <v>37928</v>
      </c>
      <c r="H3154" s="2" t="s">
        <v>37929</v>
      </c>
    </row>
    <row r="3155" spans="1:8" ht="25.05" customHeight="1" x14ac:dyDescent="0.25">
      <c r="A3155" s="2" t="s">
        <v>8</v>
      </c>
      <c r="B3155" s="2" t="str">
        <f>HYPERLINK("http://ts.21cn.com/tousu/show/id/1333815","马上消费威胁恐吓暴力催收")</f>
        <v>马上消费威胁恐吓暴力催收</v>
      </c>
      <c r="C3155" s="2" t="s">
        <v>9</v>
      </c>
      <c r="D3155" s="2" t="s">
        <v>10</v>
      </c>
      <c r="E3155" s="2" t="str">
        <f>HYPERLINK("http://ts.21cn.com/tousu/show/id/1333815","http://ts.21cn.com/tousu/show/id/1333815")</f>
        <v>http://ts.21cn.com/tousu/show/id/1333815</v>
      </c>
      <c r="F3155" s="2" t="s">
        <v>11</v>
      </c>
      <c r="G3155" s="2" t="s">
        <v>37926</v>
      </c>
      <c r="H3155" s="2" t="s">
        <v>37927</v>
      </c>
    </row>
    <row r="3156" spans="1:8" ht="25.05" customHeight="1" x14ac:dyDescent="0.25">
      <c r="A3156" s="2" t="s">
        <v>8</v>
      </c>
      <c r="B3156" s="2" t="str">
        <f>HYPERLINK("http://ts.21cn.com/tousu/show/id/1333792","2000元买的账号被封了")</f>
        <v>2000元买的账号被封了</v>
      </c>
      <c r="C3156" s="2" t="s">
        <v>9</v>
      </c>
      <c r="D3156" s="2" t="s">
        <v>10</v>
      </c>
      <c r="E3156" s="2" t="str">
        <f>HYPERLINK("http://ts.21cn.com/tousu/show/id/1333792","http://ts.21cn.com/tousu/show/id/1333792")</f>
        <v>http://ts.21cn.com/tousu/show/id/1333792</v>
      </c>
      <c r="F3156" s="2" t="s">
        <v>11</v>
      </c>
      <c r="G3156" s="2" t="s">
        <v>37924</v>
      </c>
      <c r="H3156" s="2" t="s">
        <v>37925</v>
      </c>
    </row>
    <row r="3157" spans="1:8" ht="25.05" customHeight="1" x14ac:dyDescent="0.25">
      <c r="A3157" s="2" t="s">
        <v>8</v>
      </c>
      <c r="B3157" s="2" t="str">
        <f>HYPERLINK("http://ts.21cn.com/tousu/show/id/1333817","库博体育欺诈不能提现")</f>
        <v>库博体育欺诈不能提现</v>
      </c>
      <c r="C3157" s="2" t="s">
        <v>9</v>
      </c>
      <c r="D3157" s="2" t="s">
        <v>10</v>
      </c>
      <c r="E3157" s="2" t="str">
        <f>HYPERLINK("http://ts.21cn.com/tousu/show/id/1333817","http://ts.21cn.com/tousu/show/id/1333817")</f>
        <v>http://ts.21cn.com/tousu/show/id/1333817</v>
      </c>
      <c r="F3157" s="2" t="s">
        <v>11</v>
      </c>
      <c r="G3157" s="2" t="s">
        <v>37922</v>
      </c>
      <c r="H3157" s="2" t="s">
        <v>37923</v>
      </c>
    </row>
    <row r="3158" spans="1:8" ht="25.05" customHeight="1" x14ac:dyDescent="0.25">
      <c r="A3158" s="2" t="s">
        <v>8</v>
      </c>
      <c r="B3158" s="2" t="str">
        <f>HYPERLINK("http://ts.21cn.com/tousu/show/id/1333818","信用管家的元宝宝平台等于714高炮砍头息平台，暴力催收！")</f>
        <v>信用管家的元宝宝平台等于714高炮砍头息平台，暴力催收！</v>
      </c>
      <c r="C3158" s="2" t="s">
        <v>9</v>
      </c>
      <c r="D3158" s="2" t="s">
        <v>10</v>
      </c>
      <c r="E3158" s="2" t="str">
        <f>HYPERLINK("http://ts.21cn.com/tousu/show/id/1333818","http://ts.21cn.com/tousu/show/id/1333818")</f>
        <v>http://ts.21cn.com/tousu/show/id/1333818</v>
      </c>
      <c r="F3158" s="2" t="s">
        <v>11</v>
      </c>
      <c r="G3158" s="2" t="s">
        <v>37920</v>
      </c>
      <c r="H3158" s="2" t="s">
        <v>37921</v>
      </c>
    </row>
    <row r="3159" spans="1:8" ht="25.05" customHeight="1" x14ac:dyDescent="0.25">
      <c r="A3159" s="2" t="s">
        <v>8</v>
      </c>
      <c r="B3159" s="2" t="str">
        <f>HYPERLINK("http://ts.21cn.com/tousu/show/id/1333819","万达快易花盗取银行卡信息自动绑卡扣费")</f>
        <v>万达快易花盗取银行卡信息自动绑卡扣费</v>
      </c>
      <c r="C3159" s="2" t="s">
        <v>9</v>
      </c>
      <c r="D3159" s="2" t="s">
        <v>10</v>
      </c>
      <c r="E3159" s="2" t="str">
        <f>HYPERLINK("http://ts.21cn.com/tousu/show/id/1333819","http://ts.21cn.com/tousu/show/id/1333819")</f>
        <v>http://ts.21cn.com/tousu/show/id/1333819</v>
      </c>
      <c r="F3159" s="2" t="s">
        <v>11</v>
      </c>
      <c r="G3159" s="2" t="s">
        <v>37918</v>
      </c>
      <c r="H3159" s="2" t="s">
        <v>37919</v>
      </c>
    </row>
    <row r="3160" spans="1:8" ht="25.05" customHeight="1" x14ac:dyDescent="0.25">
      <c r="A3160" s="2" t="s">
        <v>8</v>
      </c>
      <c r="B3160" s="2" t="str">
        <f>HYPERLINK("http://ts.21cn.com/tousu/show/id/1333820","月光侠网贷砍头息，砍本金套路贷")</f>
        <v>月光侠网贷砍头息，砍本金套路贷</v>
      </c>
      <c r="C3160" s="2" t="s">
        <v>9</v>
      </c>
      <c r="D3160" s="2" t="s">
        <v>10</v>
      </c>
      <c r="E3160" s="2" t="str">
        <f>HYPERLINK("http://ts.21cn.com/tousu/show/id/1333820","http://ts.21cn.com/tousu/show/id/1333820")</f>
        <v>http://ts.21cn.com/tousu/show/id/1333820</v>
      </c>
      <c r="F3160" s="2" t="s">
        <v>11</v>
      </c>
      <c r="G3160" s="2" t="s">
        <v>37916</v>
      </c>
      <c r="H3160" s="2" t="s">
        <v>37917</v>
      </c>
    </row>
    <row r="3161" spans="1:8" ht="25.05" customHeight="1" x14ac:dyDescent="0.25">
      <c r="A3161" s="2" t="s">
        <v>8</v>
      </c>
      <c r="B3161" s="2" t="str">
        <f>HYPERLINK("http://ts.21cn.com/tousu/show/id/1333821","百度有钱花暴力催收")</f>
        <v>百度有钱花暴力催收</v>
      </c>
      <c r="C3161" s="2" t="s">
        <v>9</v>
      </c>
      <c r="D3161" s="2" t="s">
        <v>10</v>
      </c>
      <c r="E3161" s="2" t="str">
        <f>HYPERLINK("http://ts.21cn.com/tousu/show/id/1333821","http://ts.21cn.com/tousu/show/id/1333821")</f>
        <v>http://ts.21cn.com/tousu/show/id/1333821</v>
      </c>
      <c r="F3161" s="2" t="s">
        <v>11</v>
      </c>
      <c r="G3161" s="2" t="s">
        <v>37914</v>
      </c>
      <c r="H3161" s="2" t="s">
        <v>37915</v>
      </c>
    </row>
    <row r="3162" spans="1:8" ht="25.05" customHeight="1" x14ac:dyDescent="0.25">
      <c r="A3162" s="2" t="s">
        <v>8</v>
      </c>
      <c r="B3162" s="2" t="str">
        <f>HYPERLINK("http://ts.21cn.com/tousu/show/id/1333828","小浦优客未经同意扣款")</f>
        <v>小浦优客未经同意扣款</v>
      </c>
      <c r="C3162" s="2" t="s">
        <v>9</v>
      </c>
      <c r="D3162" s="2" t="s">
        <v>10</v>
      </c>
      <c r="E3162" s="2" t="str">
        <f>HYPERLINK("http://ts.21cn.com/tousu/show/id/1333828","http://ts.21cn.com/tousu/show/id/1333828")</f>
        <v>http://ts.21cn.com/tousu/show/id/1333828</v>
      </c>
      <c r="F3162" s="2" t="s">
        <v>11</v>
      </c>
      <c r="G3162" s="2" t="s">
        <v>37911</v>
      </c>
      <c r="H3162" s="2" t="s">
        <v>37912</v>
      </c>
    </row>
    <row r="3163" spans="1:8" ht="25.05" customHeight="1" x14ac:dyDescent="0.25">
      <c r="A3163" s="2" t="s">
        <v>8</v>
      </c>
      <c r="B3163" s="2" t="str">
        <f>HYPERLINK("http://ts.21cn.com/tousu/show/id/1333826","星辰花暴力催收，威胁P图")</f>
        <v>星辰花暴力催收，威胁P图</v>
      </c>
      <c r="C3163" s="2" t="s">
        <v>9</v>
      </c>
      <c r="D3163" s="2" t="s">
        <v>10</v>
      </c>
      <c r="E3163" s="2" t="str">
        <f>HYPERLINK("http://ts.21cn.com/tousu/show/id/1333826","http://ts.21cn.com/tousu/show/id/1333826")</f>
        <v>http://ts.21cn.com/tousu/show/id/1333826</v>
      </c>
      <c r="F3163" s="2" t="s">
        <v>11</v>
      </c>
      <c r="G3163" s="2" t="s">
        <v>37911</v>
      </c>
      <c r="H3163" s="2" t="s">
        <v>37913</v>
      </c>
    </row>
    <row r="3164" spans="1:8" ht="25.05" customHeight="1" x14ac:dyDescent="0.25">
      <c r="A3164" s="2" t="s">
        <v>8</v>
      </c>
      <c r="B3164" s="2" t="str">
        <f>HYPERLINK("http://ts.21cn.com/tousu/show/id/1333822","喜鹊快贷平台在未逾期的情况下进行暴力催收，在我还款后还进行人身攻击")</f>
        <v>喜鹊快贷平台在未逾期的情况下进行暴力催收，在我还款后还进行人身攻击</v>
      </c>
      <c r="C3164" s="2" t="s">
        <v>9</v>
      </c>
      <c r="D3164" s="2" t="s">
        <v>10</v>
      </c>
      <c r="E3164" s="2" t="str">
        <f>HYPERLINK("http://ts.21cn.com/tousu/show/id/1333822","http://ts.21cn.com/tousu/show/id/1333822")</f>
        <v>http://ts.21cn.com/tousu/show/id/1333822</v>
      </c>
      <c r="F3164" s="2" t="s">
        <v>11</v>
      </c>
      <c r="G3164" s="2" t="s">
        <v>37909</v>
      </c>
      <c r="H3164" s="2" t="s">
        <v>37910</v>
      </c>
    </row>
    <row r="3165" spans="1:8" ht="25.05" customHeight="1" x14ac:dyDescent="0.25">
      <c r="A3165" s="2" t="s">
        <v>8</v>
      </c>
      <c r="B3165" s="2" t="str">
        <f>HYPERLINK("http://ts.21cn.com/tousu/show/id/1333823","高利贷")</f>
        <v>高利贷</v>
      </c>
      <c r="C3165" s="2" t="s">
        <v>9</v>
      </c>
      <c r="D3165" s="2" t="s">
        <v>10</v>
      </c>
      <c r="E3165" s="2" t="str">
        <f>HYPERLINK("http://ts.21cn.com/tousu/show/id/1333823","http://ts.21cn.com/tousu/show/id/1333823")</f>
        <v>http://ts.21cn.com/tousu/show/id/1333823</v>
      </c>
      <c r="F3165" s="2" t="s">
        <v>11</v>
      </c>
      <c r="G3165" s="2" t="s">
        <v>37907</v>
      </c>
      <c r="H3165" s="2" t="s">
        <v>37908</v>
      </c>
    </row>
    <row r="3166" spans="1:8" ht="25.05" customHeight="1" x14ac:dyDescent="0.25">
      <c r="A3166" s="2" t="s">
        <v>8</v>
      </c>
      <c r="B3166" s="2" t="str">
        <f>HYPERLINK("http://ts.21cn.com/tousu/show/id/1333824","非法高炮网贷")</f>
        <v>非法高炮网贷</v>
      </c>
      <c r="C3166" s="2" t="s">
        <v>9</v>
      </c>
      <c r="D3166" s="2" t="s">
        <v>10</v>
      </c>
      <c r="E3166" s="2" t="str">
        <f>HYPERLINK("http://ts.21cn.com/tousu/show/id/1333824","http://ts.21cn.com/tousu/show/id/1333824")</f>
        <v>http://ts.21cn.com/tousu/show/id/1333824</v>
      </c>
      <c r="F3166" s="2" t="s">
        <v>11</v>
      </c>
      <c r="G3166" s="2" t="s">
        <v>37905</v>
      </c>
      <c r="H3166" s="2" t="s">
        <v>37906</v>
      </c>
    </row>
    <row r="3167" spans="1:8" ht="25.05" customHeight="1" x14ac:dyDescent="0.25">
      <c r="A3167" s="2" t="s">
        <v>8</v>
      </c>
      <c r="B3167" s="2" t="str">
        <f>HYPERLINK("http://ts.21cn.com/tousu/show/id/1333827","网贷通过了，就是不下款，业务员现在联系不上！")</f>
        <v>网贷通过了，就是不下款，业务员现在联系不上！</v>
      </c>
      <c r="C3167" s="2" t="s">
        <v>9</v>
      </c>
      <c r="D3167" s="2" t="s">
        <v>10</v>
      </c>
      <c r="E3167" s="2" t="str">
        <f>HYPERLINK("http://ts.21cn.com/tousu/show/id/1333827","http://ts.21cn.com/tousu/show/id/1333827")</f>
        <v>http://ts.21cn.com/tousu/show/id/1333827</v>
      </c>
      <c r="F3167" s="2" t="s">
        <v>11</v>
      </c>
      <c r="G3167" s="2" t="s">
        <v>37903</v>
      </c>
      <c r="H3167" s="2" t="s">
        <v>37904</v>
      </c>
    </row>
    <row r="3168" spans="1:8" ht="25.05" customHeight="1" x14ac:dyDescent="0.25">
      <c r="A3168" s="2" t="s">
        <v>8</v>
      </c>
      <c r="B3168" s="2" t="str">
        <f>HYPERLINK("http://ts.21cn.com/tousu/show/id/1333829","抖音不给退款")</f>
        <v>抖音不给退款</v>
      </c>
      <c r="C3168" s="2" t="s">
        <v>9</v>
      </c>
      <c r="D3168" s="2" t="s">
        <v>10</v>
      </c>
      <c r="E3168" s="2" t="str">
        <f>HYPERLINK("http://ts.21cn.com/tousu/show/id/1333829","http://ts.21cn.com/tousu/show/id/1333829")</f>
        <v>http://ts.21cn.com/tousu/show/id/1333829</v>
      </c>
      <c r="F3168" s="2" t="s">
        <v>11</v>
      </c>
      <c r="G3168" s="2" t="s">
        <v>37901</v>
      </c>
      <c r="H3168" s="2" t="s">
        <v>37902</v>
      </c>
    </row>
    <row r="3169" spans="1:8" ht="25.05" customHeight="1" x14ac:dyDescent="0.25">
      <c r="A3169" s="2" t="s">
        <v>8</v>
      </c>
      <c r="B3169" s="2" t="str">
        <f>HYPERLINK("http://ts.21cn.com/tousu/show/id/1333830","高利贷")</f>
        <v>高利贷</v>
      </c>
      <c r="C3169" s="2" t="s">
        <v>9</v>
      </c>
      <c r="D3169" s="2" t="s">
        <v>10</v>
      </c>
      <c r="E3169" s="2" t="str">
        <f>HYPERLINK("http://ts.21cn.com/tousu/show/id/1333830","http://ts.21cn.com/tousu/show/id/1333830")</f>
        <v>http://ts.21cn.com/tousu/show/id/1333830</v>
      </c>
      <c r="F3169" s="2" t="s">
        <v>11</v>
      </c>
      <c r="G3169" s="2" t="s">
        <v>37899</v>
      </c>
      <c r="H3169" s="2" t="s">
        <v>37900</v>
      </c>
    </row>
    <row r="3170" spans="1:8" ht="25.05" customHeight="1" x14ac:dyDescent="0.25">
      <c r="A3170" s="2" t="s">
        <v>8</v>
      </c>
      <c r="B3170" s="2" t="str">
        <f>HYPERLINK("http://ts.21cn.com/tousu/show/id/1333831","快易熊砍头息，希望协商解决还本金销账")</f>
        <v>快易熊砍头息，希望协商解决还本金销账</v>
      </c>
      <c r="C3170" s="2" t="s">
        <v>34</v>
      </c>
      <c r="D3170" s="2" t="s">
        <v>10</v>
      </c>
      <c r="E3170" s="2" t="str">
        <f>HYPERLINK("http://ts.21cn.com/tousu/show/id/1333831","http://ts.21cn.com/tousu/show/id/1333831")</f>
        <v>http://ts.21cn.com/tousu/show/id/1333831</v>
      </c>
      <c r="F3170" s="2" t="s">
        <v>11</v>
      </c>
      <c r="G3170" s="2" t="s">
        <v>37897</v>
      </c>
      <c r="H3170" s="2" t="s">
        <v>37898</v>
      </c>
    </row>
    <row r="3171" spans="1:8" ht="25.05" customHeight="1" x14ac:dyDescent="0.25">
      <c r="A3171" s="2" t="s">
        <v>8</v>
      </c>
      <c r="B3171" s="2" t="str">
        <f>HYPERLINK("http://ts.21cn.com/tousu/show/id/1185575","砍头息，高利息，暴力催收")</f>
        <v>砍头息，高利息，暴力催收</v>
      </c>
      <c r="C3171" s="2" t="s">
        <v>9</v>
      </c>
      <c r="D3171" s="2" t="s">
        <v>10</v>
      </c>
      <c r="E3171" s="2" t="str">
        <f>HYPERLINK("http://ts.21cn.com/tousu/show/id/1185575","http://ts.21cn.com/tousu/show/id/1185575")</f>
        <v>http://ts.21cn.com/tousu/show/id/1185575</v>
      </c>
      <c r="F3171" s="2" t="s">
        <v>11</v>
      </c>
      <c r="G3171" s="2" t="s">
        <v>37895</v>
      </c>
      <c r="H3171" s="2" t="s">
        <v>37896</v>
      </c>
    </row>
    <row r="3172" spans="1:8" ht="25.05" customHeight="1" x14ac:dyDescent="0.25">
      <c r="A3172" s="2" t="s">
        <v>8</v>
      </c>
      <c r="B3172" s="2" t="str">
        <f>HYPERLINK("http://ts.21cn.com/tousu/show/id/1333834","平安普惠贷款不扣款导致逾期，也不让一次性还清")</f>
        <v>平安普惠贷款不扣款导致逾期，也不让一次性还清</v>
      </c>
      <c r="C3172" s="2" t="s">
        <v>34</v>
      </c>
      <c r="D3172" s="2" t="s">
        <v>10</v>
      </c>
      <c r="E3172" s="2" t="str">
        <f>HYPERLINK("http://ts.21cn.com/tousu/show/id/1333834","http://ts.21cn.com/tousu/show/id/1333834")</f>
        <v>http://ts.21cn.com/tousu/show/id/1333834</v>
      </c>
      <c r="F3172" s="2" t="s">
        <v>11</v>
      </c>
      <c r="G3172" s="2" t="s">
        <v>37893</v>
      </c>
      <c r="H3172" s="2" t="s">
        <v>37894</v>
      </c>
    </row>
    <row r="3173" spans="1:8" ht="25.05" customHeight="1" x14ac:dyDescent="0.25">
      <c r="A3173" s="2" t="s">
        <v>8</v>
      </c>
      <c r="B3173" s="2" t="str">
        <f>HYPERLINK("http://ts.21cn.com/tousu/show/id/1333833","立借青春宝高利贷砍头息")</f>
        <v>立借青春宝高利贷砍头息</v>
      </c>
      <c r="C3173" s="2" t="s">
        <v>9</v>
      </c>
      <c r="D3173" s="2" t="s">
        <v>10</v>
      </c>
      <c r="E3173" s="2" t="str">
        <f>HYPERLINK("http://ts.21cn.com/tousu/show/id/1333833","http://ts.21cn.com/tousu/show/id/1333833")</f>
        <v>http://ts.21cn.com/tousu/show/id/1333833</v>
      </c>
      <c r="F3173" s="2" t="s">
        <v>11</v>
      </c>
      <c r="G3173" s="2" t="s">
        <v>37892</v>
      </c>
      <c r="H3173" s="2" t="s">
        <v>35062</v>
      </c>
    </row>
    <row r="3174" spans="1:8" ht="25.05" customHeight="1" x14ac:dyDescent="0.25">
      <c r="A3174" s="2" t="s">
        <v>8</v>
      </c>
      <c r="B3174" s="2" t="str">
        <f>HYPERLINK("http://ts.21cn.com/tousu/show/id/1333835","支付宝、中国银联、商银信、中国农业银行为非法网站及商户提供支付接口、支付服务，涉嫌合伙欺诈，导致大量用户蒙受巨大损失。")</f>
        <v>支付宝、中国银联、商银信、中国农业银行为非法网站及商户提供支付接口、支付服务，涉嫌合伙欺诈，导致大量用户蒙受巨大损失。</v>
      </c>
      <c r="C3174" s="2" t="s">
        <v>9</v>
      </c>
      <c r="D3174" s="2" t="s">
        <v>10</v>
      </c>
      <c r="E3174" s="2" t="str">
        <f>HYPERLINK("http://ts.21cn.com/tousu/show/id/1333835","http://ts.21cn.com/tousu/show/id/1333835")</f>
        <v>http://ts.21cn.com/tousu/show/id/1333835</v>
      </c>
      <c r="F3174" s="2" t="s">
        <v>11</v>
      </c>
      <c r="G3174" s="2" t="s">
        <v>37890</v>
      </c>
      <c r="H3174" s="2" t="s">
        <v>37891</v>
      </c>
    </row>
    <row r="3175" spans="1:8" ht="25.05" customHeight="1" x14ac:dyDescent="0.25">
      <c r="A3175" s="2" t="s">
        <v>8</v>
      </c>
      <c r="B3175" s="2" t="str">
        <f>HYPERLINK("http://ts.21cn.com/tousu/show/id/1333836","投诉立借平台里钱置宝")</f>
        <v>投诉立借平台里钱置宝</v>
      </c>
      <c r="C3175" s="2" t="s">
        <v>9</v>
      </c>
      <c r="D3175" s="2" t="s">
        <v>10</v>
      </c>
      <c r="E3175" s="2" t="str">
        <f>HYPERLINK("http://ts.21cn.com/tousu/show/id/1333836","http://ts.21cn.com/tousu/show/id/1333836")</f>
        <v>http://ts.21cn.com/tousu/show/id/1333836</v>
      </c>
      <c r="F3175" s="2" t="s">
        <v>11</v>
      </c>
      <c r="G3175" s="2" t="s">
        <v>37888</v>
      </c>
      <c r="H3175" s="2" t="s">
        <v>37889</v>
      </c>
    </row>
    <row r="3176" spans="1:8" ht="25.05" customHeight="1" x14ac:dyDescent="0.25">
      <c r="A3176" s="2" t="s">
        <v>8</v>
      </c>
      <c r="B3176" s="2" t="str">
        <f>HYPERLINK("http://ts.21cn.com/tousu/show/id/1333837","银联为套路贷提供扣款渠道")</f>
        <v>银联为套路贷提供扣款渠道</v>
      </c>
      <c r="C3176" s="2" t="s">
        <v>9</v>
      </c>
      <c r="D3176" s="2" t="s">
        <v>10</v>
      </c>
      <c r="E3176" s="2" t="str">
        <f>HYPERLINK("http://ts.21cn.com/tousu/show/id/1333837","http://ts.21cn.com/tousu/show/id/1333837")</f>
        <v>http://ts.21cn.com/tousu/show/id/1333837</v>
      </c>
      <c r="F3176" s="2" t="s">
        <v>11</v>
      </c>
      <c r="G3176" s="2" t="s">
        <v>37886</v>
      </c>
      <c r="H3176" s="2" t="s">
        <v>37887</v>
      </c>
    </row>
    <row r="3177" spans="1:8" ht="25.05" customHeight="1" x14ac:dyDescent="0.25">
      <c r="A3177" s="2" t="s">
        <v>8</v>
      </c>
      <c r="B3177" s="2" t="str">
        <f>HYPERLINK("http://ts.21cn.com/tousu/show/id/1333805","高利贷砍头息不处理")</f>
        <v>高利贷砍头息不处理</v>
      </c>
      <c r="C3177" s="2" t="s">
        <v>9</v>
      </c>
      <c r="D3177" s="2" t="s">
        <v>10</v>
      </c>
      <c r="E3177" s="2" t="str">
        <f>HYPERLINK("http://ts.21cn.com/tousu/show/id/1333805","http://ts.21cn.com/tousu/show/id/1333805")</f>
        <v>http://ts.21cn.com/tousu/show/id/1333805</v>
      </c>
      <c r="F3177" s="2" t="s">
        <v>11</v>
      </c>
      <c r="G3177" s="2" t="s">
        <v>37884</v>
      </c>
      <c r="H3177" s="2" t="s">
        <v>37885</v>
      </c>
    </row>
    <row r="3178" spans="1:8" ht="25.05" customHeight="1" x14ac:dyDescent="0.25">
      <c r="A3178" s="2" t="s">
        <v>8</v>
      </c>
      <c r="B3178" s="2" t="str">
        <f>HYPERLINK("http://ts.21cn.com/tousu/show/id/1333838","百事普惠恶意扣款")</f>
        <v>百事普惠恶意扣款</v>
      </c>
      <c r="C3178" s="2" t="s">
        <v>9</v>
      </c>
      <c r="D3178" s="2" t="s">
        <v>10</v>
      </c>
      <c r="E3178" s="2" t="str">
        <f>HYPERLINK("http://ts.21cn.com/tousu/show/id/1333838","http://ts.21cn.com/tousu/show/id/1333838")</f>
        <v>http://ts.21cn.com/tousu/show/id/1333838</v>
      </c>
      <c r="F3178" s="2" t="s">
        <v>11</v>
      </c>
      <c r="G3178" s="2" t="s">
        <v>37882</v>
      </c>
      <c r="H3178" s="2" t="s">
        <v>37883</v>
      </c>
    </row>
    <row r="3179" spans="1:8" ht="25.05" customHeight="1" x14ac:dyDescent="0.25">
      <c r="A3179" s="2" t="s">
        <v>8</v>
      </c>
      <c r="B3179" s="2" t="str">
        <f>HYPERLINK("http://ts.21cn.com/tousu/show/id/1333840","宙斯钱包非法平台高额利息")</f>
        <v>宙斯钱包非法平台高额利息</v>
      </c>
      <c r="C3179" s="2" t="s">
        <v>9</v>
      </c>
      <c r="D3179" s="2" t="s">
        <v>10</v>
      </c>
      <c r="E3179" s="2" t="str">
        <f>HYPERLINK("http://ts.21cn.com/tousu/show/id/1333840","http://ts.21cn.com/tousu/show/id/1333840")</f>
        <v>http://ts.21cn.com/tousu/show/id/1333840</v>
      </c>
      <c r="F3179" s="2" t="s">
        <v>11</v>
      </c>
      <c r="G3179" s="2" t="s">
        <v>37880</v>
      </c>
      <c r="H3179" s="2" t="s">
        <v>37881</v>
      </c>
    </row>
    <row r="3180" spans="1:8" ht="25.05" customHeight="1" x14ac:dyDescent="0.25">
      <c r="A3180" s="2" t="s">
        <v>8</v>
      </c>
      <c r="B3180" s="2" t="str">
        <f>HYPERLINK("http://ts.21cn.com/tousu/show/id/1333841","自由魔卡超级玛丽贷高利贷")</f>
        <v>自由魔卡超级玛丽贷高利贷</v>
      </c>
      <c r="C3180" s="2" t="s">
        <v>9</v>
      </c>
      <c r="D3180" s="2" t="s">
        <v>10</v>
      </c>
      <c r="E3180" s="2" t="str">
        <f>HYPERLINK("http://ts.21cn.com/tousu/show/id/1333841","http://ts.21cn.com/tousu/show/id/1333841")</f>
        <v>http://ts.21cn.com/tousu/show/id/1333841</v>
      </c>
      <c r="F3180" s="2" t="s">
        <v>11</v>
      </c>
      <c r="G3180" s="2" t="s">
        <v>37878</v>
      </c>
      <c r="H3180" s="2" t="s">
        <v>37879</v>
      </c>
    </row>
    <row r="3181" spans="1:8" ht="25.05" customHeight="1" x14ac:dyDescent="0.25">
      <c r="A3181" s="2" t="s">
        <v>8</v>
      </c>
      <c r="B3181" s="2" t="str">
        <f>HYPERLINK("http://ts.21cn.com/tousu/show/id/1333843","自由魔卡诺和信用计划砍头息高利贷套路贷")</f>
        <v>自由魔卡诺和信用计划砍头息高利贷套路贷</v>
      </c>
      <c r="C3181" s="2" t="s">
        <v>9</v>
      </c>
      <c r="D3181" s="2" t="s">
        <v>10</v>
      </c>
      <c r="E3181" s="2" t="str">
        <f>HYPERLINK("http://ts.21cn.com/tousu/show/id/1333843","http://ts.21cn.com/tousu/show/id/1333843")</f>
        <v>http://ts.21cn.com/tousu/show/id/1333843</v>
      </c>
      <c r="F3181" s="2" t="s">
        <v>11</v>
      </c>
      <c r="G3181" s="2" t="s">
        <v>37876</v>
      </c>
      <c r="H3181" s="2" t="s">
        <v>37877</v>
      </c>
    </row>
    <row r="3182" spans="1:8" ht="25.05" customHeight="1" x14ac:dyDescent="0.25">
      <c r="A3182" s="2" t="s">
        <v>8</v>
      </c>
      <c r="B3182" s="2" t="str">
        <f>HYPERLINK("http://ts.21cn.com/tousu/show/id/1333844","高利贷，砍头息")</f>
        <v>高利贷，砍头息</v>
      </c>
      <c r="C3182" s="2" t="s">
        <v>9</v>
      </c>
      <c r="D3182" s="2" t="s">
        <v>10</v>
      </c>
      <c r="E3182" s="2" t="str">
        <f>HYPERLINK("http://ts.21cn.com/tousu/show/id/1333844","http://ts.21cn.com/tousu/show/id/1333844")</f>
        <v>http://ts.21cn.com/tousu/show/id/1333844</v>
      </c>
      <c r="F3182" s="2" t="s">
        <v>11</v>
      </c>
      <c r="G3182" s="2" t="s">
        <v>37874</v>
      </c>
      <c r="H3182" s="2" t="s">
        <v>37875</v>
      </c>
    </row>
    <row r="3183" spans="1:8" ht="25.05" customHeight="1" x14ac:dyDescent="0.25">
      <c r="A3183" s="2" t="s">
        <v>8</v>
      </c>
      <c r="B3183" s="2" t="str">
        <f>HYPERLINK("http://ts.21cn.com/tousu/show/id/1333845","不让注消清除个人信息")</f>
        <v>不让注消清除个人信息</v>
      </c>
      <c r="C3183" s="2" t="s">
        <v>34</v>
      </c>
      <c r="D3183" s="2" t="s">
        <v>10</v>
      </c>
      <c r="E3183" s="2" t="str">
        <f>HYPERLINK("http://ts.21cn.com/tousu/show/id/1333845","http://ts.21cn.com/tousu/show/id/1333845")</f>
        <v>http://ts.21cn.com/tousu/show/id/1333845</v>
      </c>
      <c r="F3183" s="2" t="s">
        <v>11</v>
      </c>
      <c r="G3183" s="2" t="s">
        <v>37872</v>
      </c>
      <c r="H3183" s="2" t="s">
        <v>37873</v>
      </c>
    </row>
    <row r="3184" spans="1:8" ht="25.05" customHeight="1" x14ac:dyDescent="0.25">
      <c r="A3184" s="2" t="s">
        <v>8</v>
      </c>
      <c r="B3184" s="2" t="str">
        <f>HYPERLINK("http://ts.21cn.com/tousu/show/id/1333839","小黄车ofo不退还押金、客服挂客户电话")</f>
        <v>小黄车ofo不退还押金、客服挂客户电话</v>
      </c>
      <c r="C3184" s="2" t="s">
        <v>9</v>
      </c>
      <c r="D3184" s="2" t="s">
        <v>10</v>
      </c>
      <c r="E3184" s="2" t="str">
        <f>HYPERLINK("http://ts.21cn.com/tousu/show/id/1333839","http://ts.21cn.com/tousu/show/id/1333839")</f>
        <v>http://ts.21cn.com/tousu/show/id/1333839</v>
      </c>
      <c r="F3184" s="2" t="s">
        <v>11</v>
      </c>
      <c r="G3184" s="2" t="s">
        <v>37870</v>
      </c>
      <c r="H3184" s="2" t="s">
        <v>37871</v>
      </c>
    </row>
    <row r="3185" spans="1:8" ht="25.05" customHeight="1" x14ac:dyDescent="0.25">
      <c r="A3185" s="2" t="s">
        <v>8</v>
      </c>
      <c r="B3185" s="2" t="str">
        <f>HYPERLINK("http://ts.21cn.com/tousu/show/id/1333847","维信金科逾期费1天100喝血？")</f>
        <v>维信金科逾期费1天100喝血？</v>
      </c>
      <c r="C3185" s="2" t="s">
        <v>9</v>
      </c>
      <c r="D3185" s="2" t="s">
        <v>10</v>
      </c>
      <c r="E3185" s="2" t="str">
        <f>HYPERLINK("http://ts.21cn.com/tousu/show/id/1333847","http://ts.21cn.com/tousu/show/id/1333847")</f>
        <v>http://ts.21cn.com/tousu/show/id/1333847</v>
      </c>
      <c r="F3185" s="2" t="s">
        <v>11</v>
      </c>
      <c r="G3185" s="2" t="s">
        <v>37869</v>
      </c>
      <c r="H3185" s="2" t="s">
        <v>36748</v>
      </c>
    </row>
    <row r="3186" spans="1:8" ht="25.05" customHeight="1" x14ac:dyDescent="0.25">
      <c r="A3186" s="2" t="s">
        <v>8</v>
      </c>
      <c r="B3186" s="2" t="str">
        <f>HYPERLINK("http://ts.21cn.com/tousu/show/id/1333848","玖富万卡擅自改写合同，变相收取费用，高利贷")</f>
        <v>玖富万卡擅自改写合同，变相收取费用，高利贷</v>
      </c>
      <c r="C3186" s="2" t="s">
        <v>9</v>
      </c>
      <c r="D3186" s="2" t="s">
        <v>10</v>
      </c>
      <c r="E3186" s="2" t="str">
        <f>HYPERLINK("http://ts.21cn.com/tousu/show/id/1333848","http://ts.21cn.com/tousu/show/id/1333848")</f>
        <v>http://ts.21cn.com/tousu/show/id/1333848</v>
      </c>
      <c r="F3186" s="2" t="s">
        <v>11</v>
      </c>
      <c r="G3186" s="2" t="s">
        <v>37867</v>
      </c>
      <c r="H3186" s="2" t="s">
        <v>37868</v>
      </c>
    </row>
    <row r="3187" spans="1:8" ht="25.05" customHeight="1" x14ac:dyDescent="0.25">
      <c r="A3187" s="2" t="s">
        <v>8</v>
      </c>
      <c r="B3187" s="2" t="str">
        <f>HYPERLINK("http://ts.21cn.com/tousu/show/id/1333849","拍拍贷年利率超百分之三十六")</f>
        <v>拍拍贷年利率超百分之三十六</v>
      </c>
      <c r="C3187" s="2" t="s">
        <v>9</v>
      </c>
      <c r="D3187" s="2" t="s">
        <v>10</v>
      </c>
      <c r="E3187" s="2" t="str">
        <f>HYPERLINK("http://ts.21cn.com/tousu/show/id/1333849","http://ts.21cn.com/tousu/show/id/1333849")</f>
        <v>http://ts.21cn.com/tousu/show/id/1333849</v>
      </c>
      <c r="F3187" s="2" t="s">
        <v>11</v>
      </c>
      <c r="G3187" s="2" t="s">
        <v>37865</v>
      </c>
      <c r="H3187" s="2" t="s">
        <v>37866</v>
      </c>
    </row>
    <row r="3188" spans="1:8" ht="25.05" customHeight="1" x14ac:dyDescent="0.25">
      <c r="A3188" s="2" t="s">
        <v>8</v>
      </c>
      <c r="B3188" s="2" t="str">
        <f>HYPERLINK("http://ts.21cn.com/tousu/show/id/1333850","自由摩卡六便士高利贷砍头息")</f>
        <v>自由摩卡六便士高利贷砍头息</v>
      </c>
      <c r="C3188" s="2" t="s">
        <v>9</v>
      </c>
      <c r="D3188" s="2" t="s">
        <v>10</v>
      </c>
      <c r="E3188" s="2" t="str">
        <f>HYPERLINK("http://ts.21cn.com/tousu/show/id/1333850","http://ts.21cn.com/tousu/show/id/1333850")</f>
        <v>http://ts.21cn.com/tousu/show/id/1333850</v>
      </c>
      <c r="F3188" s="2" t="s">
        <v>11</v>
      </c>
      <c r="G3188" s="2" t="s">
        <v>37863</v>
      </c>
      <c r="H3188" s="2" t="s">
        <v>37864</v>
      </c>
    </row>
    <row r="3189" spans="1:8" ht="25.05" customHeight="1" x14ac:dyDescent="0.25">
      <c r="A3189" s="2" t="s">
        <v>8</v>
      </c>
      <c r="B3189" s="2" t="str">
        <f>HYPERLINK("http://ts.21cn.com/tousu/show/id/1333851","松紧贷非法催收非法集资")</f>
        <v>松紧贷非法催收非法集资</v>
      </c>
      <c r="C3189" s="2" t="s">
        <v>9</v>
      </c>
      <c r="D3189" s="2" t="s">
        <v>10</v>
      </c>
      <c r="E3189" s="2" t="str">
        <f>HYPERLINK("http://ts.21cn.com/tousu/show/id/1333851","http://ts.21cn.com/tousu/show/id/1333851")</f>
        <v>http://ts.21cn.com/tousu/show/id/1333851</v>
      </c>
      <c r="F3189" s="2" t="s">
        <v>11</v>
      </c>
      <c r="G3189" s="2" t="s">
        <v>37861</v>
      </c>
      <c r="H3189" s="2" t="s">
        <v>37862</v>
      </c>
    </row>
    <row r="3190" spans="1:8" ht="25.05" customHeight="1" x14ac:dyDescent="0.25">
      <c r="A3190" s="2" t="s">
        <v>8</v>
      </c>
      <c r="B3190" s="2" t="str">
        <f>HYPERLINK("http://ts.21cn.com/tousu/show/id/1333852","国美易卡暴力催收恐吓")</f>
        <v>国美易卡暴力催收恐吓</v>
      </c>
      <c r="C3190" s="2" t="s">
        <v>9</v>
      </c>
      <c r="D3190" s="2" t="s">
        <v>10</v>
      </c>
      <c r="E3190" s="2" t="str">
        <f>HYPERLINK("http://ts.21cn.com/tousu/show/id/1333852","http://ts.21cn.com/tousu/show/id/1333852")</f>
        <v>http://ts.21cn.com/tousu/show/id/1333852</v>
      </c>
      <c r="F3190" s="2" t="s">
        <v>11</v>
      </c>
      <c r="G3190" s="2" t="s">
        <v>37859</v>
      </c>
      <c r="H3190" s="2" t="s">
        <v>37860</v>
      </c>
    </row>
    <row r="3191" spans="1:8" ht="25.05" customHeight="1" x14ac:dyDescent="0.25">
      <c r="A3191" s="2" t="s">
        <v>8</v>
      </c>
      <c r="B3191" s="2" t="str">
        <f>HYPERLINK("http://ts.21cn.com/tousu/show/id/1333853","售卖漏气产品")</f>
        <v>售卖漏气产品</v>
      </c>
      <c r="C3191" s="2" t="s">
        <v>9</v>
      </c>
      <c r="D3191" s="2" t="s">
        <v>10</v>
      </c>
      <c r="E3191" s="2" t="str">
        <f>HYPERLINK("http://ts.21cn.com/tousu/show/id/1333853","http://ts.21cn.com/tousu/show/id/1333853")</f>
        <v>http://ts.21cn.com/tousu/show/id/1333853</v>
      </c>
      <c r="F3191" s="2" t="s">
        <v>11</v>
      </c>
      <c r="G3191" s="2" t="s">
        <v>37857</v>
      </c>
      <c r="H3191" s="2" t="s">
        <v>37858</v>
      </c>
    </row>
    <row r="3192" spans="1:8" ht="25.05" customHeight="1" x14ac:dyDescent="0.25">
      <c r="A3192" s="2" t="s">
        <v>8</v>
      </c>
      <c r="B3192" s="2" t="str">
        <f>HYPERLINK("http://ts.21cn.com/tousu/show/id/1333857","腾讯游戏诱导未成年人游戏充值")</f>
        <v>腾讯游戏诱导未成年人游戏充值</v>
      </c>
      <c r="C3192" s="2" t="s">
        <v>9</v>
      </c>
      <c r="D3192" s="2" t="s">
        <v>10</v>
      </c>
      <c r="E3192" s="2" t="str">
        <f>HYPERLINK("http://ts.21cn.com/tousu/show/id/1333857","http://ts.21cn.com/tousu/show/id/1333857")</f>
        <v>http://ts.21cn.com/tousu/show/id/1333857</v>
      </c>
      <c r="F3192" s="2" t="s">
        <v>11</v>
      </c>
      <c r="G3192" s="2" t="s">
        <v>37855</v>
      </c>
      <c r="H3192" s="2" t="s">
        <v>37856</v>
      </c>
    </row>
    <row r="3193" spans="1:8" ht="25.05" customHeight="1" x14ac:dyDescent="0.25">
      <c r="A3193" s="2" t="s">
        <v>8</v>
      </c>
      <c r="B3193" s="2" t="str">
        <f>HYPERLINK("http://ts.21cn.com/tousu/show/id/1333855","投诉闪电借款宣传56秒到账，结果两小时后提示打款失败")</f>
        <v>投诉闪电借款宣传56秒到账，结果两小时后提示打款失败</v>
      </c>
      <c r="C3193" s="2" t="s">
        <v>9</v>
      </c>
      <c r="D3193" s="2" t="s">
        <v>10</v>
      </c>
      <c r="E3193" s="2" t="str">
        <f>HYPERLINK("http://ts.21cn.com/tousu/show/id/1333855","http://ts.21cn.com/tousu/show/id/1333855")</f>
        <v>http://ts.21cn.com/tousu/show/id/1333855</v>
      </c>
      <c r="F3193" s="2" t="s">
        <v>11</v>
      </c>
      <c r="G3193" s="2" t="s">
        <v>37853</v>
      </c>
      <c r="H3193" s="2" t="s">
        <v>37854</v>
      </c>
    </row>
    <row r="3194" spans="1:8" ht="25.05" customHeight="1" x14ac:dyDescent="0.25">
      <c r="A3194" s="2" t="s">
        <v>8</v>
      </c>
      <c r="B3194" s="2" t="str">
        <f>HYPERLINK("http://ts.21cn.com/tousu/show/id/1333856","擅自扣款")</f>
        <v>擅自扣款</v>
      </c>
      <c r="C3194" s="2" t="s">
        <v>34</v>
      </c>
      <c r="D3194" s="2" t="s">
        <v>10</v>
      </c>
      <c r="E3194" s="2" t="str">
        <f>HYPERLINK("http://ts.21cn.com/tousu/show/id/1333856","http://ts.21cn.com/tousu/show/id/1333856")</f>
        <v>http://ts.21cn.com/tousu/show/id/1333856</v>
      </c>
      <c r="F3194" s="2" t="s">
        <v>11</v>
      </c>
      <c r="G3194" s="2" t="s">
        <v>37851</v>
      </c>
      <c r="H3194" s="2" t="s">
        <v>37852</v>
      </c>
    </row>
    <row r="3195" spans="1:8" ht="25.05" customHeight="1" x14ac:dyDescent="0.25">
      <c r="A3195" s="2" t="s">
        <v>8</v>
      </c>
      <c r="B3195" s="2" t="str">
        <f>HYPERLINK("http://ts.21cn.com/tousu/show/id/1333858","腾讯游戏全民超神补偿不合理")</f>
        <v>腾讯游戏全民超神补偿不合理</v>
      </c>
      <c r="C3195" s="2" t="s">
        <v>9</v>
      </c>
      <c r="D3195" s="2" t="s">
        <v>10</v>
      </c>
      <c r="E3195" s="2" t="str">
        <f>HYPERLINK("http://ts.21cn.com/tousu/show/id/1333858","http://ts.21cn.com/tousu/show/id/1333858")</f>
        <v>http://ts.21cn.com/tousu/show/id/1333858</v>
      </c>
      <c r="F3195" s="2" t="s">
        <v>11</v>
      </c>
      <c r="G3195" s="2" t="s">
        <v>37849</v>
      </c>
      <c r="H3195" s="2" t="s">
        <v>37850</v>
      </c>
    </row>
    <row r="3196" spans="1:8" ht="25.05" customHeight="1" x14ac:dyDescent="0.25">
      <c r="A3196" s="2" t="s">
        <v>8</v>
      </c>
      <c r="B3196" s="2" t="str">
        <f>HYPERLINK("http://ts.21cn.com/tousu/show/id/1333859","中金金融未经本人允许从我工商卡扣款")</f>
        <v>中金金融未经本人允许从我工商卡扣款</v>
      </c>
      <c r="C3196" s="2" t="s">
        <v>9</v>
      </c>
      <c r="D3196" s="2" t="s">
        <v>10</v>
      </c>
      <c r="E3196" s="2" t="str">
        <f>HYPERLINK("http://ts.21cn.com/tousu/show/id/1333859","http://ts.21cn.com/tousu/show/id/1333859")</f>
        <v>http://ts.21cn.com/tousu/show/id/1333859</v>
      </c>
      <c r="F3196" s="2" t="s">
        <v>11</v>
      </c>
      <c r="G3196" s="2" t="s">
        <v>37847</v>
      </c>
      <c r="H3196" s="2" t="s">
        <v>37848</v>
      </c>
    </row>
    <row r="3197" spans="1:8" ht="25.05" customHeight="1" x14ac:dyDescent="0.25">
      <c r="A3197" s="2" t="s">
        <v>8</v>
      </c>
      <c r="B3197" s="2" t="str">
        <f>HYPERLINK("http://ts.21cn.com/tousu/show/id/1333863","肥猫贷暴力催收，无力偿还")</f>
        <v>肥猫贷暴力催收，无力偿还</v>
      </c>
      <c r="C3197" s="2" t="s">
        <v>9</v>
      </c>
      <c r="D3197" s="2" t="s">
        <v>10</v>
      </c>
      <c r="E3197" s="2" t="str">
        <f>HYPERLINK("http://ts.21cn.com/tousu/show/id/1333863","http://ts.21cn.com/tousu/show/id/1333863")</f>
        <v>http://ts.21cn.com/tousu/show/id/1333863</v>
      </c>
      <c r="F3197" s="2" t="s">
        <v>11</v>
      </c>
      <c r="G3197" s="2" t="s">
        <v>37844</v>
      </c>
      <c r="H3197" s="2" t="s">
        <v>37845</v>
      </c>
    </row>
    <row r="3198" spans="1:8" ht="25.05" customHeight="1" x14ac:dyDescent="0.25">
      <c r="A3198" s="2" t="s">
        <v>8</v>
      </c>
      <c r="B3198" s="2" t="str">
        <f>HYPERLINK("http://ts.21cn.com/tousu/show/id/1333865","来花花超级高炮汇潮支付协助放贷")</f>
        <v>来花花超级高炮汇潮支付协助放贷</v>
      </c>
      <c r="C3198" s="2" t="s">
        <v>9</v>
      </c>
      <c r="D3198" s="2" t="s">
        <v>10</v>
      </c>
      <c r="E3198" s="2" t="str">
        <f>HYPERLINK("http://ts.21cn.com/tousu/show/id/1333865","http://ts.21cn.com/tousu/show/id/1333865")</f>
        <v>http://ts.21cn.com/tousu/show/id/1333865</v>
      </c>
      <c r="F3198" s="2" t="s">
        <v>11</v>
      </c>
      <c r="G3198" s="2" t="s">
        <v>37844</v>
      </c>
      <c r="H3198" s="2" t="s">
        <v>37846</v>
      </c>
    </row>
    <row r="3199" spans="1:8" ht="25.05" customHeight="1" x14ac:dyDescent="0.25">
      <c r="A3199" s="2" t="s">
        <v>8</v>
      </c>
      <c r="B3199" s="2" t="str">
        <f>HYPERLINK("http://ts.21cn.com/tousu/show/id/1333860","石头管家高利贷")</f>
        <v>石头管家高利贷</v>
      </c>
      <c r="C3199" s="2" t="s">
        <v>9</v>
      </c>
      <c r="D3199" s="2" t="s">
        <v>10</v>
      </c>
      <c r="E3199" s="2" t="str">
        <f>HYPERLINK("http://ts.21cn.com/tousu/show/id/1333860","http://ts.21cn.com/tousu/show/id/1333860")</f>
        <v>http://ts.21cn.com/tousu/show/id/1333860</v>
      </c>
      <c r="F3199" s="2" t="s">
        <v>11</v>
      </c>
      <c r="G3199" s="2" t="s">
        <v>37842</v>
      </c>
      <c r="H3199" s="2" t="s">
        <v>37843</v>
      </c>
    </row>
    <row r="3200" spans="1:8" ht="25.05" customHeight="1" x14ac:dyDescent="0.25">
      <c r="A3200" s="2" t="s">
        <v>8</v>
      </c>
      <c r="B3200" s="2" t="str">
        <f>HYPERLINK("http://ts.21cn.com/tousu/show/id/1333861","智行火车票乱收费！不遵守约定！！")</f>
        <v>智行火车票乱收费！不遵守约定！！</v>
      </c>
      <c r="C3200" s="2" t="s">
        <v>9</v>
      </c>
      <c r="D3200" s="2" t="s">
        <v>10</v>
      </c>
      <c r="E3200" s="2" t="str">
        <f>HYPERLINK("http://ts.21cn.com/tousu/show/id/1333861","http://ts.21cn.com/tousu/show/id/1333861")</f>
        <v>http://ts.21cn.com/tousu/show/id/1333861</v>
      </c>
      <c r="F3200" s="2" t="s">
        <v>11</v>
      </c>
      <c r="G3200" s="2" t="s">
        <v>37840</v>
      </c>
      <c r="H3200" s="2" t="s">
        <v>37841</v>
      </c>
    </row>
    <row r="3201" spans="1:8" ht="25.05" customHeight="1" x14ac:dyDescent="0.25">
      <c r="A3201" s="2" t="s">
        <v>8</v>
      </c>
      <c r="B3201" s="2" t="str">
        <f>HYPERLINK("http://ts.21cn.com/tousu/show/id/1333862","贷上钱客服和催收人员态度极差，恐吓我和家人")</f>
        <v>贷上钱客服和催收人员态度极差，恐吓我和家人</v>
      </c>
      <c r="C3201" s="2" t="s">
        <v>9</v>
      </c>
      <c r="D3201" s="2" t="s">
        <v>10</v>
      </c>
      <c r="E3201" s="2" t="str">
        <f>HYPERLINK("http://ts.21cn.com/tousu/show/id/1333862","http://ts.21cn.com/tousu/show/id/1333862")</f>
        <v>http://ts.21cn.com/tousu/show/id/1333862</v>
      </c>
      <c r="F3201" s="2" t="s">
        <v>11</v>
      </c>
      <c r="G3201" s="2" t="s">
        <v>37839</v>
      </c>
      <c r="H3201" s="2" t="s">
        <v>30008</v>
      </c>
    </row>
    <row r="3202" spans="1:8" ht="25.05" customHeight="1" x14ac:dyDescent="0.25">
      <c r="A3202" s="2" t="s">
        <v>8</v>
      </c>
      <c r="B3202" s="2" t="str">
        <f>HYPERLINK("http://ts.21cn.com/tousu/show/id/1333864","招联")</f>
        <v>招联</v>
      </c>
      <c r="C3202" s="2" t="s">
        <v>9</v>
      </c>
      <c r="D3202" s="2" t="s">
        <v>10</v>
      </c>
      <c r="E3202" s="2" t="str">
        <f>HYPERLINK("http://ts.21cn.com/tousu/show/id/1333864","http://ts.21cn.com/tousu/show/id/1333864")</f>
        <v>http://ts.21cn.com/tousu/show/id/1333864</v>
      </c>
      <c r="F3202" s="2" t="s">
        <v>11</v>
      </c>
      <c r="G3202" s="2" t="s">
        <v>37837</v>
      </c>
      <c r="H3202" s="2" t="s">
        <v>37838</v>
      </c>
    </row>
    <row r="3203" spans="1:8" ht="25.05" customHeight="1" x14ac:dyDescent="0.25">
      <c r="A3203" s="2" t="s">
        <v>8</v>
      </c>
      <c r="B3203" s="2" t="str">
        <f>HYPERLINK("http://ts.21cn.com/tousu/show/id/1333866","来花花借款1400已还3300还需还2000")</f>
        <v>来花花借款1400已还3300还需还2000</v>
      </c>
      <c r="C3203" s="2" t="s">
        <v>9</v>
      </c>
      <c r="D3203" s="2" t="s">
        <v>10</v>
      </c>
      <c r="E3203" s="2" t="str">
        <f>HYPERLINK("http://ts.21cn.com/tousu/show/id/1333866","http://ts.21cn.com/tousu/show/id/1333866")</f>
        <v>http://ts.21cn.com/tousu/show/id/1333866</v>
      </c>
      <c r="F3203" s="2" t="s">
        <v>11</v>
      </c>
      <c r="G3203" s="2" t="s">
        <v>37835</v>
      </c>
      <c r="H3203" s="2" t="s">
        <v>37836</v>
      </c>
    </row>
    <row r="3204" spans="1:8" ht="25.05" customHeight="1" x14ac:dyDescent="0.25">
      <c r="A3204" s="2" t="s">
        <v>8</v>
      </c>
      <c r="B3204" s="2" t="str">
        <f>HYPERLINK("http://ts.21cn.com/tousu/show/id/1333868","在交易猫上卖账号过了96小时钱还没到账")</f>
        <v>在交易猫上卖账号过了96小时钱还没到账</v>
      </c>
      <c r="C3204" s="2" t="s">
        <v>34</v>
      </c>
      <c r="D3204" s="2" t="s">
        <v>10</v>
      </c>
      <c r="E3204" s="2" t="str">
        <f>HYPERLINK("http://ts.21cn.com/tousu/show/id/1333868","http://ts.21cn.com/tousu/show/id/1333868")</f>
        <v>http://ts.21cn.com/tousu/show/id/1333868</v>
      </c>
      <c r="F3204" s="2" t="s">
        <v>11</v>
      </c>
      <c r="G3204" s="2" t="s">
        <v>37833</v>
      </c>
      <c r="H3204" s="2" t="s">
        <v>37834</v>
      </c>
    </row>
    <row r="3205" spans="1:8" ht="25.05" customHeight="1" x14ac:dyDescent="0.25">
      <c r="A3205" s="2" t="s">
        <v>8</v>
      </c>
      <c r="B3205" s="2" t="str">
        <f>HYPERLINK("http://ts.21cn.com/tousu/show/id/1333842","钱橙无忧随意扣费")</f>
        <v>钱橙无忧随意扣费</v>
      </c>
      <c r="C3205" s="2" t="s">
        <v>9</v>
      </c>
      <c r="D3205" s="2" t="s">
        <v>10</v>
      </c>
      <c r="E3205" s="2" t="str">
        <f>HYPERLINK("http://ts.21cn.com/tousu/show/id/1333842","http://ts.21cn.com/tousu/show/id/1333842")</f>
        <v>http://ts.21cn.com/tousu/show/id/1333842</v>
      </c>
      <c r="F3205" s="2" t="s">
        <v>11</v>
      </c>
      <c r="G3205" s="2" t="s">
        <v>37831</v>
      </c>
      <c r="H3205" s="2" t="s">
        <v>37832</v>
      </c>
    </row>
    <row r="3206" spans="1:8" ht="25.05" customHeight="1" x14ac:dyDescent="0.25">
      <c r="A3206" s="2" t="s">
        <v>8</v>
      </c>
      <c r="B3206" s="2" t="str">
        <f>HYPERLINK("http://ts.21cn.com/tousu/show/id/1333869","骚扰")</f>
        <v>骚扰</v>
      </c>
      <c r="C3206" s="2" t="s">
        <v>9</v>
      </c>
      <c r="D3206" s="2" t="s">
        <v>10</v>
      </c>
      <c r="E3206" s="2" t="str">
        <f>HYPERLINK("http://ts.21cn.com/tousu/show/id/1333869","http://ts.21cn.com/tousu/show/id/1333869")</f>
        <v>http://ts.21cn.com/tousu/show/id/1333869</v>
      </c>
      <c r="F3206" s="2" t="s">
        <v>11</v>
      </c>
      <c r="G3206" s="2" t="s">
        <v>37829</v>
      </c>
      <c r="H3206" s="2" t="s">
        <v>37830</v>
      </c>
    </row>
    <row r="3207" spans="1:8" ht="25.05" customHeight="1" x14ac:dyDescent="0.25">
      <c r="A3207" s="2" t="s">
        <v>8</v>
      </c>
      <c r="B3207" s="2" t="str">
        <f>HYPERLINK("http://ts.21cn.com/tousu/show/id/1333870","高利贷")</f>
        <v>高利贷</v>
      </c>
      <c r="C3207" s="2" t="s">
        <v>9</v>
      </c>
      <c r="D3207" s="2" t="s">
        <v>10</v>
      </c>
      <c r="E3207" s="2" t="str">
        <f>HYPERLINK("http://ts.21cn.com/tousu/show/id/1333870","http://ts.21cn.com/tousu/show/id/1333870")</f>
        <v>http://ts.21cn.com/tousu/show/id/1333870</v>
      </c>
      <c r="F3207" s="2" t="s">
        <v>11</v>
      </c>
      <c r="G3207" s="2" t="s">
        <v>37827</v>
      </c>
      <c r="H3207" s="2" t="s">
        <v>37828</v>
      </c>
    </row>
    <row r="3208" spans="1:8" ht="25.05" customHeight="1" x14ac:dyDescent="0.25">
      <c r="A3208" s="2" t="s">
        <v>8</v>
      </c>
      <c r="B3208" s="2" t="str">
        <f>HYPERLINK("http://ts.21cn.com/tousu/show/id/1333872","51人品贷暴力恐吓")</f>
        <v>51人品贷暴力恐吓</v>
      </c>
      <c r="C3208" s="2" t="s">
        <v>9</v>
      </c>
      <c r="D3208" s="2" t="s">
        <v>10</v>
      </c>
      <c r="E3208" s="2" t="str">
        <f>HYPERLINK("http://ts.21cn.com/tousu/show/id/1333872","http://ts.21cn.com/tousu/show/id/1333872")</f>
        <v>http://ts.21cn.com/tousu/show/id/1333872</v>
      </c>
      <c r="F3208" s="2" t="s">
        <v>11</v>
      </c>
      <c r="G3208" s="2" t="s">
        <v>37825</v>
      </c>
      <c r="H3208" s="2" t="s">
        <v>37826</v>
      </c>
    </row>
    <row r="3209" spans="1:8" ht="25.05" customHeight="1" x14ac:dyDescent="0.25">
      <c r="A3209" s="2" t="s">
        <v>8</v>
      </c>
      <c r="B3209" s="2" t="str">
        <f>HYPERLINK("http://ts.21cn.com/tousu/show/id/1333873","淘集集官方不让下架产品，客服电话一直打一直没人接，公众号客服没人回复")</f>
        <v>淘集集官方不让下架产品，客服电话一直打一直没人接，公众号客服没人回复</v>
      </c>
      <c r="C3209" s="2" t="s">
        <v>9</v>
      </c>
      <c r="D3209" s="2" t="s">
        <v>10</v>
      </c>
      <c r="E3209" s="2" t="str">
        <f>HYPERLINK("http://ts.21cn.com/tousu/show/id/1333873","http://ts.21cn.com/tousu/show/id/1333873")</f>
        <v>http://ts.21cn.com/tousu/show/id/1333873</v>
      </c>
      <c r="F3209" s="2" t="s">
        <v>11</v>
      </c>
      <c r="G3209" s="2" t="s">
        <v>37823</v>
      </c>
      <c r="H3209" s="2" t="s">
        <v>37824</v>
      </c>
    </row>
    <row r="3210" spans="1:8" ht="25.05" customHeight="1" x14ac:dyDescent="0.25">
      <c r="A3210" s="2" t="s">
        <v>8</v>
      </c>
      <c r="B3210" s="2" t="str">
        <f>HYPERLINK("http://ts.21cn.com/tousu/show/id/1333875","豹子贷恶意扣款")</f>
        <v>豹子贷恶意扣款</v>
      </c>
      <c r="C3210" s="2" t="s">
        <v>9</v>
      </c>
      <c r="D3210" s="2" t="s">
        <v>10</v>
      </c>
      <c r="E3210" s="2" t="str">
        <f>HYPERLINK("http://ts.21cn.com/tousu/show/id/1333875","http://ts.21cn.com/tousu/show/id/1333875")</f>
        <v>http://ts.21cn.com/tousu/show/id/1333875</v>
      </c>
      <c r="F3210" s="2" t="s">
        <v>11</v>
      </c>
      <c r="G3210" s="2" t="s">
        <v>37821</v>
      </c>
      <c r="H3210" s="2" t="s">
        <v>37822</v>
      </c>
    </row>
    <row r="3211" spans="1:8" ht="25.05" customHeight="1" x14ac:dyDescent="0.25">
      <c r="A3211" s="2" t="s">
        <v>8</v>
      </c>
      <c r="B3211" s="2" t="str">
        <f>HYPERLINK("http://ts.21cn.com/tousu/show/id/1333878","贷上钱暴力催收，高利贷")</f>
        <v>贷上钱暴力催收，高利贷</v>
      </c>
      <c r="C3211" s="2" t="s">
        <v>9</v>
      </c>
      <c r="D3211" s="2" t="s">
        <v>10</v>
      </c>
      <c r="E3211" s="2" t="str">
        <f>HYPERLINK("http://ts.21cn.com/tousu/show/id/1333878","http://ts.21cn.com/tousu/show/id/1333878")</f>
        <v>http://ts.21cn.com/tousu/show/id/1333878</v>
      </c>
      <c r="F3211" s="2" t="s">
        <v>11</v>
      </c>
      <c r="G3211" s="2" t="s">
        <v>37819</v>
      </c>
      <c r="H3211" s="2" t="s">
        <v>37820</v>
      </c>
    </row>
    <row r="3212" spans="1:8" ht="25.05" customHeight="1" x14ac:dyDescent="0.25">
      <c r="A3212" s="2" t="s">
        <v>8</v>
      </c>
      <c r="B3212" s="2" t="str">
        <f>HYPERLINK("http://ts.21cn.com/tousu/show/id/1333876","暴力催收威胁打通电话就告诉你要打联系人电话")</f>
        <v>暴力催收威胁打通电话就告诉你要打联系人电话</v>
      </c>
      <c r="C3212" s="2" t="s">
        <v>9</v>
      </c>
      <c r="D3212" s="2" t="s">
        <v>10</v>
      </c>
      <c r="E3212" s="2" t="str">
        <f>HYPERLINK("http://ts.21cn.com/tousu/show/id/1333876","http://ts.21cn.com/tousu/show/id/1333876")</f>
        <v>http://ts.21cn.com/tousu/show/id/1333876</v>
      </c>
      <c r="F3212" s="2" t="s">
        <v>11</v>
      </c>
      <c r="G3212" s="2" t="s">
        <v>37817</v>
      </c>
      <c r="H3212" s="2" t="s">
        <v>37818</v>
      </c>
    </row>
    <row r="3213" spans="1:8" ht="25.05" customHeight="1" x14ac:dyDescent="0.25">
      <c r="A3213" s="2" t="s">
        <v>8</v>
      </c>
      <c r="B3213" s="2" t="str">
        <f>HYPERLINK("http://ts.21cn.com/tousu/show/id/1333879","百事普惠恶意扣款")</f>
        <v>百事普惠恶意扣款</v>
      </c>
      <c r="C3213" s="2" t="s">
        <v>9</v>
      </c>
      <c r="D3213" s="2" t="s">
        <v>10</v>
      </c>
      <c r="E3213" s="2" t="str">
        <f>HYPERLINK("http://ts.21cn.com/tousu/show/id/1333879","http://ts.21cn.com/tousu/show/id/1333879")</f>
        <v>http://ts.21cn.com/tousu/show/id/1333879</v>
      </c>
      <c r="F3213" s="2" t="s">
        <v>11</v>
      </c>
      <c r="G3213" s="2" t="s">
        <v>37815</v>
      </c>
      <c r="H3213" s="2" t="s">
        <v>37816</v>
      </c>
    </row>
    <row r="3214" spans="1:8" ht="25.05" customHeight="1" x14ac:dyDescent="0.25">
      <c r="A3214" s="2" t="s">
        <v>8</v>
      </c>
      <c r="B3214" s="2" t="str">
        <f>HYPERLINK("http://ts.21cn.com/tousu/show/id/1333881","希望钱站停止打款")</f>
        <v>希望钱站停止打款</v>
      </c>
      <c r="C3214" s="2" t="s">
        <v>9</v>
      </c>
      <c r="D3214" s="2" t="s">
        <v>10</v>
      </c>
      <c r="E3214" s="2" t="str">
        <f>HYPERLINK("http://ts.21cn.com/tousu/show/id/1333881","http://ts.21cn.com/tousu/show/id/1333881")</f>
        <v>http://ts.21cn.com/tousu/show/id/1333881</v>
      </c>
      <c r="F3214" s="2" t="s">
        <v>11</v>
      </c>
      <c r="G3214" s="2" t="s">
        <v>37813</v>
      </c>
      <c r="H3214" s="2" t="s">
        <v>37814</v>
      </c>
    </row>
    <row r="3215" spans="1:8" ht="25.05" customHeight="1" x14ac:dyDescent="0.25">
      <c r="A3215" s="2" t="s">
        <v>8</v>
      </c>
      <c r="B3215" s="2" t="str">
        <f>HYPERLINK("http://ts.21cn.com/tousu/show/id/1333885","小浦优客乱扣费")</f>
        <v>小浦优客乱扣费</v>
      </c>
      <c r="C3215" s="2" t="s">
        <v>9</v>
      </c>
      <c r="D3215" s="2" t="s">
        <v>10</v>
      </c>
      <c r="E3215" s="2" t="str">
        <f>HYPERLINK("http://ts.21cn.com/tousu/show/id/1333885","http://ts.21cn.com/tousu/show/id/1333885")</f>
        <v>http://ts.21cn.com/tousu/show/id/1333885</v>
      </c>
      <c r="F3215" s="2" t="s">
        <v>11</v>
      </c>
      <c r="G3215" s="2" t="s">
        <v>37811</v>
      </c>
      <c r="H3215" s="2" t="s">
        <v>37812</v>
      </c>
    </row>
    <row r="3216" spans="1:8" ht="25.05" customHeight="1" x14ac:dyDescent="0.25">
      <c r="A3216" s="2" t="s">
        <v>8</v>
      </c>
      <c r="B3216" s="2" t="str">
        <f>HYPERLINK("http://ts.21cn.com/tousu/show/id/1333883","高利贷")</f>
        <v>高利贷</v>
      </c>
      <c r="C3216" s="2" t="s">
        <v>9</v>
      </c>
      <c r="D3216" s="2" t="s">
        <v>10</v>
      </c>
      <c r="E3216" s="2" t="str">
        <f>HYPERLINK("http://ts.21cn.com/tousu/show/id/1333883","http://ts.21cn.com/tousu/show/id/1333883")</f>
        <v>http://ts.21cn.com/tousu/show/id/1333883</v>
      </c>
      <c r="F3216" s="2" t="s">
        <v>11</v>
      </c>
      <c r="G3216" s="2" t="s">
        <v>37809</v>
      </c>
      <c r="H3216" s="2" t="s">
        <v>37810</v>
      </c>
    </row>
    <row r="3217" spans="1:8" ht="25.05" customHeight="1" x14ac:dyDescent="0.25">
      <c r="A3217" s="2" t="s">
        <v>8</v>
      </c>
      <c r="B3217" s="2" t="str">
        <f>HYPERLINK("http://ts.21cn.com/tousu/show/id/1333884","招联金融暴利催收威胁爆通讯录")</f>
        <v>招联金融暴利催收威胁爆通讯录</v>
      </c>
      <c r="C3217" s="2" t="s">
        <v>9</v>
      </c>
      <c r="D3217" s="2" t="s">
        <v>10</v>
      </c>
      <c r="E3217" s="2" t="str">
        <f>HYPERLINK("http://ts.21cn.com/tousu/show/id/1333884","http://ts.21cn.com/tousu/show/id/1333884")</f>
        <v>http://ts.21cn.com/tousu/show/id/1333884</v>
      </c>
      <c r="F3217" s="2" t="s">
        <v>11</v>
      </c>
      <c r="G3217" s="2" t="s">
        <v>37807</v>
      </c>
      <c r="H3217" s="2" t="s">
        <v>37808</v>
      </c>
    </row>
    <row r="3218" spans="1:8" ht="25.05" customHeight="1" x14ac:dyDescent="0.25">
      <c r="A3218" s="2" t="s">
        <v>8</v>
      </c>
      <c r="B3218" s="2" t="str">
        <f>HYPERLINK("http://ts.21cn.com/tousu/show/id/1333886","微天下")</f>
        <v>微天下</v>
      </c>
      <c r="C3218" s="2" t="s">
        <v>9</v>
      </c>
      <c r="D3218" s="2" t="s">
        <v>10</v>
      </c>
      <c r="E3218" s="2" t="str">
        <f>HYPERLINK("http://ts.21cn.com/tousu/show/id/1333886","http://ts.21cn.com/tousu/show/id/1333886")</f>
        <v>http://ts.21cn.com/tousu/show/id/1333886</v>
      </c>
      <c r="F3218" s="2" t="s">
        <v>11</v>
      </c>
      <c r="G3218" s="2" t="s">
        <v>37805</v>
      </c>
      <c r="H3218" s="2" t="s">
        <v>37806</v>
      </c>
    </row>
    <row r="3219" spans="1:8" ht="25.05" customHeight="1" x14ac:dyDescent="0.25">
      <c r="A3219" s="2" t="s">
        <v>8</v>
      </c>
      <c r="B3219" s="2" t="str">
        <f>HYPERLINK("http://ts.21cn.com/tousu/show/id/1333887","拍拍贷扣款失败")</f>
        <v>拍拍贷扣款失败</v>
      </c>
      <c r="C3219" s="2" t="s">
        <v>9</v>
      </c>
      <c r="D3219" s="2" t="s">
        <v>10</v>
      </c>
      <c r="E3219" s="2" t="str">
        <f>HYPERLINK("http://ts.21cn.com/tousu/show/id/1333887","http://ts.21cn.com/tousu/show/id/1333887")</f>
        <v>http://ts.21cn.com/tousu/show/id/1333887</v>
      </c>
      <c r="F3219" s="2" t="s">
        <v>11</v>
      </c>
      <c r="G3219" s="2" t="s">
        <v>37803</v>
      </c>
      <c r="H3219" s="2" t="s">
        <v>37804</v>
      </c>
    </row>
    <row r="3220" spans="1:8" ht="25.05" customHeight="1" x14ac:dyDescent="0.25">
      <c r="A3220" s="2" t="s">
        <v>8</v>
      </c>
      <c r="B3220" s="2" t="str">
        <f>HYPERLINK("http://ts.21cn.com/tousu/show/id/1333889","钱伴收取服务费")</f>
        <v>钱伴收取服务费</v>
      </c>
      <c r="C3220" s="2" t="s">
        <v>34</v>
      </c>
      <c r="D3220" s="2" t="s">
        <v>10</v>
      </c>
      <c r="E3220" s="2" t="str">
        <f>HYPERLINK("http://ts.21cn.com/tousu/show/id/1333889","http://ts.21cn.com/tousu/show/id/1333889")</f>
        <v>http://ts.21cn.com/tousu/show/id/1333889</v>
      </c>
      <c r="F3220" s="2" t="s">
        <v>11</v>
      </c>
      <c r="G3220" s="2" t="s">
        <v>37801</v>
      </c>
      <c r="H3220" s="2" t="s">
        <v>37802</v>
      </c>
    </row>
    <row r="3221" spans="1:8" ht="25.05" customHeight="1" x14ac:dyDescent="0.25">
      <c r="A3221" s="2" t="s">
        <v>8</v>
      </c>
      <c r="B3221" s="2" t="str">
        <f>HYPERLINK("http://ts.21cn.com/tousu/show/id/1333888","人人花乱扣费，退款")</f>
        <v>人人花乱扣费，退款</v>
      </c>
      <c r="C3221" s="2" t="s">
        <v>9</v>
      </c>
      <c r="D3221" s="2" t="s">
        <v>10</v>
      </c>
      <c r="E3221" s="2" t="str">
        <f>HYPERLINK("http://ts.21cn.com/tousu/show/id/1333888","http://ts.21cn.com/tousu/show/id/1333888")</f>
        <v>http://ts.21cn.com/tousu/show/id/1333888</v>
      </c>
      <c r="F3221" s="2" t="s">
        <v>11</v>
      </c>
      <c r="G3221" s="2" t="s">
        <v>37799</v>
      </c>
      <c r="H3221" s="2" t="s">
        <v>37800</v>
      </c>
    </row>
    <row r="3222" spans="1:8" ht="25.05" customHeight="1" x14ac:dyDescent="0.25">
      <c r="A3222" s="2" t="s">
        <v>8</v>
      </c>
      <c r="B3222" s="2" t="str">
        <f>HYPERLINK("http://ts.21cn.com/tousu/show/id/1333890","高利贷")</f>
        <v>高利贷</v>
      </c>
      <c r="C3222" s="2" t="s">
        <v>9</v>
      </c>
      <c r="D3222" s="2" t="s">
        <v>10</v>
      </c>
      <c r="E3222" s="2" t="str">
        <f>HYPERLINK("http://ts.21cn.com/tousu/show/id/1333890","http://ts.21cn.com/tousu/show/id/1333890")</f>
        <v>http://ts.21cn.com/tousu/show/id/1333890</v>
      </c>
      <c r="F3222" s="2" t="s">
        <v>11</v>
      </c>
      <c r="G3222" s="2" t="s">
        <v>37797</v>
      </c>
      <c r="H3222" s="2" t="s">
        <v>37798</v>
      </c>
    </row>
    <row r="3223" spans="1:8" ht="25.05" customHeight="1" x14ac:dyDescent="0.25">
      <c r="A3223" s="2" t="s">
        <v>8</v>
      </c>
      <c r="B3223" s="2" t="str">
        <f>HYPERLINK("http://ts.21cn.com/tousu/show/id/1333891","暴力催收，一天15通电话，爆通讯录，威胁家人")</f>
        <v>暴力催收，一天15通电话，爆通讯录，威胁家人</v>
      </c>
      <c r="C3223" s="2" t="s">
        <v>9</v>
      </c>
      <c r="D3223" s="2" t="s">
        <v>10</v>
      </c>
      <c r="E3223" s="2" t="str">
        <f>HYPERLINK("http://ts.21cn.com/tousu/show/id/1333891","http://ts.21cn.com/tousu/show/id/1333891")</f>
        <v>http://ts.21cn.com/tousu/show/id/1333891</v>
      </c>
      <c r="F3223" s="2" t="s">
        <v>11</v>
      </c>
      <c r="G3223" s="2" t="s">
        <v>37795</v>
      </c>
      <c r="H3223" s="2" t="s">
        <v>37796</v>
      </c>
    </row>
    <row r="3224" spans="1:8" ht="25.05" customHeight="1" x14ac:dyDescent="0.25">
      <c r="A3224" s="2" t="s">
        <v>8</v>
      </c>
      <c r="B3224" s="2" t="str">
        <f>HYPERLINK("http://ts.21cn.com/tousu/show/id/1333893","小浦优客未经同意扣款")</f>
        <v>小浦优客未经同意扣款</v>
      </c>
      <c r="C3224" s="2" t="s">
        <v>9</v>
      </c>
      <c r="D3224" s="2" t="s">
        <v>10</v>
      </c>
      <c r="E3224" s="2" t="str">
        <f>HYPERLINK("http://ts.21cn.com/tousu/show/id/1333893","http://ts.21cn.com/tousu/show/id/1333893")</f>
        <v>http://ts.21cn.com/tousu/show/id/1333893</v>
      </c>
      <c r="F3224" s="2" t="s">
        <v>11</v>
      </c>
      <c r="G3224" s="2" t="s">
        <v>37793</v>
      </c>
      <c r="H3224" s="2" t="s">
        <v>37794</v>
      </c>
    </row>
    <row r="3225" spans="1:8" ht="25.05" customHeight="1" x14ac:dyDescent="0.25">
      <c r="A3225" s="2" t="s">
        <v>8</v>
      </c>
      <c r="B3225" s="2" t="str">
        <f>HYPERLINK("http://ts.21cn.com/tousu/show/id/1333892","小浦优客app未经客户同意扣款296元")</f>
        <v>小浦优客app未经客户同意扣款296元</v>
      </c>
      <c r="C3225" s="2" t="s">
        <v>9</v>
      </c>
      <c r="D3225" s="2" t="s">
        <v>10</v>
      </c>
      <c r="E3225" s="2" t="str">
        <f>HYPERLINK("http://ts.21cn.com/tousu/show/id/1333892","http://ts.21cn.com/tousu/show/id/1333892")</f>
        <v>http://ts.21cn.com/tousu/show/id/1333892</v>
      </c>
      <c r="F3225" s="2" t="s">
        <v>11</v>
      </c>
      <c r="G3225" s="2" t="s">
        <v>37791</v>
      </c>
      <c r="H3225" s="2" t="s">
        <v>37792</v>
      </c>
    </row>
    <row r="3226" spans="1:8" ht="25.05" customHeight="1" x14ac:dyDescent="0.25">
      <c r="A3226" s="2" t="s">
        <v>8</v>
      </c>
      <c r="B3226" s="2" t="str">
        <f>HYPERLINK("http://ts.21cn.com/tousu/show/id/1333894","助力钱包里面极速钱包砍头息")</f>
        <v>助力钱包里面极速钱包砍头息</v>
      </c>
      <c r="C3226" s="2" t="s">
        <v>34</v>
      </c>
      <c r="D3226" s="2" t="s">
        <v>10</v>
      </c>
      <c r="E3226" s="2" t="str">
        <f>HYPERLINK("http://ts.21cn.com/tousu/show/id/1333894","http://ts.21cn.com/tousu/show/id/1333894")</f>
        <v>http://ts.21cn.com/tousu/show/id/1333894</v>
      </c>
      <c r="F3226" s="2" t="s">
        <v>11</v>
      </c>
      <c r="G3226" s="2" t="s">
        <v>37789</v>
      </c>
      <c r="H3226" s="2" t="s">
        <v>37790</v>
      </c>
    </row>
    <row r="3227" spans="1:8" ht="25.05" customHeight="1" x14ac:dyDescent="0.25">
      <c r="A3227" s="2" t="s">
        <v>8</v>
      </c>
      <c r="B3227" s="2" t="str">
        <f>HYPERLINK("http://ts.21cn.com/tousu/show/id/1333895","小鱼卡超级高炮催收骚扰")</f>
        <v>小鱼卡超级高炮催收骚扰</v>
      </c>
      <c r="C3227" s="2" t="s">
        <v>9</v>
      </c>
      <c r="D3227" s="2" t="s">
        <v>10</v>
      </c>
      <c r="E3227" s="2" t="str">
        <f>HYPERLINK("http://ts.21cn.com/tousu/show/id/1333895","http://ts.21cn.com/tousu/show/id/1333895")</f>
        <v>http://ts.21cn.com/tousu/show/id/1333895</v>
      </c>
      <c r="F3227" s="2" t="s">
        <v>11</v>
      </c>
      <c r="G3227" s="2" t="s">
        <v>37787</v>
      </c>
      <c r="H3227" s="2" t="s">
        <v>37788</v>
      </c>
    </row>
    <row r="3228" spans="1:8" ht="25.05" customHeight="1" x14ac:dyDescent="0.25">
      <c r="A3228" s="2" t="s">
        <v>8</v>
      </c>
      <c r="B3228" s="2" t="str">
        <f>HYPERLINK("http://ts.21cn.com/tousu/show/id/1333896","钱提现不了")</f>
        <v>钱提现不了</v>
      </c>
      <c r="C3228" s="2" t="s">
        <v>9</v>
      </c>
      <c r="D3228" s="2" t="s">
        <v>10</v>
      </c>
      <c r="E3228" s="2" t="str">
        <f>HYPERLINK("http://ts.21cn.com/tousu/show/id/1333896","http://ts.21cn.com/tousu/show/id/1333896")</f>
        <v>http://ts.21cn.com/tousu/show/id/1333896</v>
      </c>
      <c r="F3228" s="2" t="s">
        <v>11</v>
      </c>
      <c r="G3228" s="2" t="s">
        <v>37785</v>
      </c>
      <c r="H3228" s="2" t="s">
        <v>37786</v>
      </c>
    </row>
    <row r="3229" spans="1:8" ht="25.05" customHeight="1" x14ac:dyDescent="0.25">
      <c r="A3229" s="2" t="s">
        <v>8</v>
      </c>
      <c r="B3229" s="2" t="str">
        <f>HYPERLINK("http://ts.21cn.com/tousu/show/id/1333898","不符合国家催收规定暴力催收")</f>
        <v>不符合国家催收规定暴力催收</v>
      </c>
      <c r="C3229" s="2" t="s">
        <v>9</v>
      </c>
      <c r="D3229" s="2" t="s">
        <v>10</v>
      </c>
      <c r="E3229" s="2" t="str">
        <f>HYPERLINK("http://ts.21cn.com/tousu/show/id/1333898","http://ts.21cn.com/tousu/show/id/1333898")</f>
        <v>http://ts.21cn.com/tousu/show/id/1333898</v>
      </c>
      <c r="F3229" s="2" t="s">
        <v>11</v>
      </c>
      <c r="G3229" s="2" t="s">
        <v>37783</v>
      </c>
      <c r="H3229" s="2" t="s">
        <v>37784</v>
      </c>
    </row>
    <row r="3230" spans="1:8" ht="25.05" customHeight="1" x14ac:dyDescent="0.25">
      <c r="A3230" s="2" t="s">
        <v>8</v>
      </c>
      <c r="B3230" s="2" t="str">
        <f>HYPERLINK("http://ts.21cn.com/tousu/show/id/1333899","交易猫欺诈买家，被找回不理人！")</f>
        <v>交易猫欺诈买家，被找回不理人！</v>
      </c>
      <c r="C3230" s="2" t="s">
        <v>9</v>
      </c>
      <c r="D3230" s="2" t="s">
        <v>10</v>
      </c>
      <c r="E3230" s="2" t="str">
        <f>HYPERLINK("http://ts.21cn.com/tousu/show/id/1333899","http://ts.21cn.com/tousu/show/id/1333899")</f>
        <v>http://ts.21cn.com/tousu/show/id/1333899</v>
      </c>
      <c r="F3230" s="2" t="s">
        <v>11</v>
      </c>
      <c r="G3230" s="2" t="s">
        <v>37781</v>
      </c>
      <c r="H3230" s="2" t="s">
        <v>37782</v>
      </c>
    </row>
    <row r="3231" spans="1:8" ht="25.05" customHeight="1" x14ac:dyDescent="0.25">
      <c r="A3231" s="2" t="s">
        <v>8</v>
      </c>
      <c r="B3231" s="2" t="str">
        <f>HYPERLINK("http://ts.21cn.com/tousu/show/id/1333900","威胁恐吓爆通讯录，高利贷，阴阳合同，暴力催收")</f>
        <v>威胁恐吓爆通讯录，高利贷，阴阳合同，暴力催收</v>
      </c>
      <c r="C3231" s="2" t="s">
        <v>9</v>
      </c>
      <c r="D3231" s="2" t="s">
        <v>10</v>
      </c>
      <c r="E3231" s="2" t="str">
        <f>HYPERLINK("http://ts.21cn.com/tousu/show/id/1333900","http://ts.21cn.com/tousu/show/id/1333900")</f>
        <v>http://ts.21cn.com/tousu/show/id/1333900</v>
      </c>
      <c r="F3231" s="2" t="s">
        <v>11</v>
      </c>
      <c r="G3231" s="2" t="s">
        <v>37779</v>
      </c>
      <c r="H3231" s="2" t="s">
        <v>37780</v>
      </c>
    </row>
    <row r="3232" spans="1:8" ht="25.05" customHeight="1" x14ac:dyDescent="0.25">
      <c r="A3232" s="2" t="s">
        <v>8</v>
      </c>
      <c r="B3232" s="2" t="str">
        <f>HYPERLINK("http://ts.21cn.com/tousu/show/id/1333901","闲鱼买到不能使用的烤箱卖家不退")</f>
        <v>闲鱼买到不能使用的烤箱卖家不退</v>
      </c>
      <c r="C3232" s="2" t="s">
        <v>9</v>
      </c>
      <c r="D3232" s="2" t="s">
        <v>10</v>
      </c>
      <c r="E3232" s="2" t="str">
        <f>HYPERLINK("http://ts.21cn.com/tousu/show/id/1333901","http://ts.21cn.com/tousu/show/id/1333901")</f>
        <v>http://ts.21cn.com/tousu/show/id/1333901</v>
      </c>
      <c r="F3232" s="2" t="s">
        <v>11</v>
      </c>
      <c r="G3232" s="2" t="s">
        <v>37777</v>
      </c>
      <c r="H3232" s="2" t="s">
        <v>37778</v>
      </c>
    </row>
    <row r="3233" spans="1:8" ht="25.05" customHeight="1" x14ac:dyDescent="0.25">
      <c r="A3233" s="2" t="s">
        <v>8</v>
      </c>
      <c r="B3233" s="2" t="str">
        <f>HYPERLINK("http://ts.21cn.com/tousu/show/id/1333903","快贷逾期威胁我还款")</f>
        <v>快贷逾期威胁我还款</v>
      </c>
      <c r="C3233" s="2" t="s">
        <v>9</v>
      </c>
      <c r="D3233" s="2" t="s">
        <v>10</v>
      </c>
      <c r="E3233" s="2" t="str">
        <f>HYPERLINK("http://ts.21cn.com/tousu/show/id/1333903","http://ts.21cn.com/tousu/show/id/1333903")</f>
        <v>http://ts.21cn.com/tousu/show/id/1333903</v>
      </c>
      <c r="F3233" s="2" t="s">
        <v>11</v>
      </c>
      <c r="G3233" s="2" t="s">
        <v>37775</v>
      </c>
      <c r="H3233" s="2" t="s">
        <v>37776</v>
      </c>
    </row>
    <row r="3234" spans="1:8" ht="25.05" customHeight="1" x14ac:dyDescent="0.25">
      <c r="A3234" s="2" t="s">
        <v>8</v>
      </c>
      <c r="B3234" s="2" t="str">
        <f>HYPERLINK("http://ts.21cn.com/tousu/show/id/1333902","汇潮支付为高炮平台来花花提供放款通道")</f>
        <v>汇潮支付为高炮平台来花花提供放款通道</v>
      </c>
      <c r="C3234" s="2" t="s">
        <v>9</v>
      </c>
      <c r="D3234" s="2" t="s">
        <v>10</v>
      </c>
      <c r="E3234" s="2" t="str">
        <f>HYPERLINK("http://ts.21cn.com/tousu/show/id/1333902","http://ts.21cn.com/tousu/show/id/1333902")</f>
        <v>http://ts.21cn.com/tousu/show/id/1333902</v>
      </c>
      <c r="F3234" s="2" t="s">
        <v>11</v>
      </c>
      <c r="G3234" s="2" t="s">
        <v>37773</v>
      </c>
      <c r="H3234" s="2" t="s">
        <v>37774</v>
      </c>
    </row>
    <row r="3235" spans="1:8" ht="25.05" customHeight="1" x14ac:dyDescent="0.25">
      <c r="A3235" s="2" t="s">
        <v>8</v>
      </c>
      <c r="B3235" s="2" t="str">
        <f>HYPERLINK("http://ts.21cn.com/tousu/show/id/1333832","贷上钱高额通过费暴力催收")</f>
        <v>贷上钱高额通过费暴力催收</v>
      </c>
      <c r="C3235" s="2" t="s">
        <v>9</v>
      </c>
      <c r="D3235" s="2" t="s">
        <v>10</v>
      </c>
      <c r="E3235" s="2" t="str">
        <f>HYPERLINK("http://ts.21cn.com/tousu/show/id/1333832","http://ts.21cn.com/tousu/show/id/1333832")</f>
        <v>http://ts.21cn.com/tousu/show/id/1333832</v>
      </c>
      <c r="F3235" s="2" t="s">
        <v>11</v>
      </c>
      <c r="G3235" s="2" t="s">
        <v>37771</v>
      </c>
      <c r="H3235" s="2" t="s">
        <v>37772</v>
      </c>
    </row>
    <row r="3236" spans="1:8" ht="25.05" customHeight="1" x14ac:dyDescent="0.25">
      <c r="A3236" s="2" t="s">
        <v>8</v>
      </c>
      <c r="B3236" s="2" t="str">
        <f>HYPERLINK("http://ts.21cn.com/tousu/show/id/1333904","智行app平台购买的汽车票不能在线退票")</f>
        <v>智行app平台购买的汽车票不能在线退票</v>
      </c>
      <c r="C3236" s="2" t="s">
        <v>9</v>
      </c>
      <c r="D3236" s="2" t="s">
        <v>10</v>
      </c>
      <c r="E3236" s="2" t="str">
        <f>HYPERLINK("http://ts.21cn.com/tousu/show/id/1333904","http://ts.21cn.com/tousu/show/id/1333904")</f>
        <v>http://ts.21cn.com/tousu/show/id/1333904</v>
      </c>
      <c r="F3236" s="2" t="s">
        <v>11</v>
      </c>
      <c r="G3236" s="2" t="s">
        <v>37769</v>
      </c>
      <c r="H3236" s="2" t="s">
        <v>37770</v>
      </c>
    </row>
    <row r="3237" spans="1:8" ht="25.05" customHeight="1" x14ac:dyDescent="0.25">
      <c r="A3237" s="2" t="s">
        <v>8</v>
      </c>
      <c r="B3237" s="2" t="str">
        <f>HYPERLINK("http://ts.21cn.com/tousu/show/id/1333905","高利贷")</f>
        <v>高利贷</v>
      </c>
      <c r="C3237" s="2" t="s">
        <v>9</v>
      </c>
      <c r="D3237" s="2" t="s">
        <v>10</v>
      </c>
      <c r="E3237" s="2" t="str">
        <f>HYPERLINK("http://ts.21cn.com/tousu/show/id/1333905","http://ts.21cn.com/tousu/show/id/1333905")</f>
        <v>http://ts.21cn.com/tousu/show/id/1333905</v>
      </c>
      <c r="F3237" s="2" t="s">
        <v>11</v>
      </c>
      <c r="G3237" s="2" t="s">
        <v>37767</v>
      </c>
      <c r="H3237" s="2" t="s">
        <v>37768</v>
      </c>
    </row>
    <row r="3238" spans="1:8" ht="25.05" customHeight="1" x14ac:dyDescent="0.25">
      <c r="A3238" s="2" t="s">
        <v>8</v>
      </c>
      <c r="B3238" s="2" t="str">
        <f>HYPERLINK("http://ts.21cn.com/tousu/show/id/1333908","诱导未成年人充值推卸责任")</f>
        <v>诱导未成年人充值推卸责任</v>
      </c>
      <c r="C3238" s="2" t="s">
        <v>9</v>
      </c>
      <c r="D3238" s="2" t="s">
        <v>10</v>
      </c>
      <c r="E3238" s="2" t="str">
        <f>HYPERLINK("http://ts.21cn.com/tousu/show/id/1333908","http://ts.21cn.com/tousu/show/id/1333908")</f>
        <v>http://ts.21cn.com/tousu/show/id/1333908</v>
      </c>
      <c r="F3238" s="2" t="s">
        <v>11</v>
      </c>
      <c r="G3238" s="2" t="s">
        <v>37765</v>
      </c>
      <c r="H3238" s="2" t="s">
        <v>37766</v>
      </c>
    </row>
    <row r="3239" spans="1:8" ht="25.05" customHeight="1" x14ac:dyDescent="0.25">
      <c r="A3239" s="2" t="s">
        <v>8</v>
      </c>
      <c r="B3239" s="2" t="str">
        <f>HYPERLINK("http://ts.21cn.com/tousu/show/id/1333911","聚福钱包至今以各种理由拒绝退款")</f>
        <v>聚福钱包至今以各种理由拒绝退款</v>
      </c>
      <c r="C3239" s="2" t="s">
        <v>9</v>
      </c>
      <c r="D3239" s="2" t="s">
        <v>10</v>
      </c>
      <c r="E3239" s="2" t="str">
        <f>HYPERLINK("http://ts.21cn.com/tousu/show/id/1333911","http://ts.21cn.com/tousu/show/id/1333911")</f>
        <v>http://ts.21cn.com/tousu/show/id/1333911</v>
      </c>
      <c r="F3239" s="2" t="s">
        <v>11</v>
      </c>
      <c r="G3239" s="2" t="s">
        <v>37763</v>
      </c>
      <c r="H3239" s="2" t="s">
        <v>37764</v>
      </c>
    </row>
    <row r="3240" spans="1:8" ht="25.05" customHeight="1" x14ac:dyDescent="0.25">
      <c r="A3240" s="2" t="s">
        <v>8</v>
      </c>
      <c r="B3240" s="2" t="str">
        <f>HYPERLINK("http://ts.21cn.com/tousu/show/id/1333909","自由魔卡诺和信用计划高利贷套路贷")</f>
        <v>自由魔卡诺和信用计划高利贷套路贷</v>
      </c>
      <c r="C3240" s="2" t="s">
        <v>9</v>
      </c>
      <c r="D3240" s="2" t="s">
        <v>10</v>
      </c>
      <c r="E3240" s="2" t="str">
        <f>HYPERLINK("http://ts.21cn.com/tousu/show/id/1333909","http://ts.21cn.com/tousu/show/id/1333909")</f>
        <v>http://ts.21cn.com/tousu/show/id/1333909</v>
      </c>
      <c r="F3240" s="2" t="s">
        <v>11</v>
      </c>
      <c r="G3240" s="2" t="s">
        <v>37761</v>
      </c>
      <c r="H3240" s="2" t="s">
        <v>37762</v>
      </c>
    </row>
    <row r="3241" spans="1:8" ht="25.05" customHeight="1" x14ac:dyDescent="0.25">
      <c r="A3241" s="2" t="s">
        <v>8</v>
      </c>
      <c r="B3241" s="2" t="str">
        <f>HYPERLINK("http://ts.21cn.com/tousu/show/id/1333910","微博钱包涉及高利息")</f>
        <v>微博钱包涉及高利息</v>
      </c>
      <c r="C3241" s="2" t="s">
        <v>34</v>
      </c>
      <c r="D3241" s="2" t="s">
        <v>10</v>
      </c>
      <c r="E3241" s="2" t="str">
        <f>HYPERLINK("http://ts.21cn.com/tousu/show/id/1333910","http://ts.21cn.com/tousu/show/id/1333910")</f>
        <v>http://ts.21cn.com/tousu/show/id/1333910</v>
      </c>
      <c r="F3241" s="2" t="s">
        <v>11</v>
      </c>
      <c r="G3241" s="2" t="s">
        <v>37759</v>
      </c>
      <c r="H3241" s="2" t="s">
        <v>37760</v>
      </c>
    </row>
    <row r="3242" spans="1:8" ht="25.05" customHeight="1" x14ac:dyDescent="0.25">
      <c r="A3242" s="2" t="s">
        <v>8</v>
      </c>
      <c r="B3242" s="2" t="str">
        <f>HYPERLINK("http://ts.21cn.com/tousu/show/id/1333913","百事普惠恶意扣款")</f>
        <v>百事普惠恶意扣款</v>
      </c>
      <c r="C3242" s="2" t="s">
        <v>9</v>
      </c>
      <c r="D3242" s="2" t="s">
        <v>10</v>
      </c>
      <c r="E3242" s="2" t="str">
        <f>HYPERLINK("http://ts.21cn.com/tousu/show/id/1333913","http://ts.21cn.com/tousu/show/id/1333913")</f>
        <v>http://ts.21cn.com/tousu/show/id/1333913</v>
      </c>
      <c r="F3242" s="2" t="s">
        <v>11</v>
      </c>
      <c r="G3242" s="2" t="s">
        <v>37757</v>
      </c>
      <c r="H3242" s="2" t="s">
        <v>37758</v>
      </c>
    </row>
    <row r="3243" spans="1:8" ht="25.05" customHeight="1" x14ac:dyDescent="0.25">
      <c r="A3243" s="2" t="s">
        <v>8</v>
      </c>
      <c r="B3243" s="2" t="str">
        <f>HYPERLINK("http://ts.21cn.com/tousu/show/id/1333915","拍拍货高利率，不符合国家标准！")</f>
        <v>拍拍货高利率，不符合国家标准！</v>
      </c>
      <c r="C3243" s="2" t="s">
        <v>9</v>
      </c>
      <c r="D3243" s="2" t="s">
        <v>10</v>
      </c>
      <c r="E3243" s="2" t="str">
        <f>HYPERLINK("http://ts.21cn.com/tousu/show/id/1333915","http://ts.21cn.com/tousu/show/id/1333915")</f>
        <v>http://ts.21cn.com/tousu/show/id/1333915</v>
      </c>
      <c r="F3243" s="2" t="s">
        <v>11</v>
      </c>
      <c r="G3243" s="2" t="s">
        <v>37755</v>
      </c>
      <c r="H3243" s="2" t="s">
        <v>37756</v>
      </c>
    </row>
    <row r="3244" spans="1:8" ht="25.05" customHeight="1" x14ac:dyDescent="0.25">
      <c r="A3244" s="2" t="s">
        <v>8</v>
      </c>
      <c r="B3244" s="2" t="str">
        <f>HYPERLINK("http://ts.21cn.com/tousu/show/id/1333914","被恶意软件恶意扣费刚注册时显示零元领三天vip，然后点击后诱导开启免密支付，开启后再次点击零元领三天vip时自动扣款")</f>
        <v>被恶意软件恶意扣费刚注册时显示零元领三天vip，然后点击后诱导开启免密支付，开启后再次点击零元领三天vip时自动扣款</v>
      </c>
      <c r="C3244" s="2" t="s">
        <v>9</v>
      </c>
      <c r="D3244" s="2" t="s">
        <v>10</v>
      </c>
      <c r="E3244" s="2" t="str">
        <f>HYPERLINK("http://ts.21cn.com/tousu/show/id/1333914","http://ts.21cn.com/tousu/show/id/1333914")</f>
        <v>http://ts.21cn.com/tousu/show/id/1333914</v>
      </c>
      <c r="F3244" s="2" t="s">
        <v>11</v>
      </c>
      <c r="G3244" s="2" t="s">
        <v>37753</v>
      </c>
      <c r="H3244" s="2" t="s">
        <v>37754</v>
      </c>
    </row>
    <row r="3245" spans="1:8" ht="25.05" customHeight="1" x14ac:dyDescent="0.25">
      <c r="A3245" s="2" t="s">
        <v>8</v>
      </c>
      <c r="B3245" s="2" t="str">
        <f>HYPERLINK("http://ts.21cn.com/tousu/show/id/1333917","小浦优客胡乱扣款，希望能退回")</f>
        <v>小浦优客胡乱扣款，希望能退回</v>
      </c>
      <c r="C3245" s="2" t="s">
        <v>9</v>
      </c>
      <c r="D3245" s="2" t="s">
        <v>10</v>
      </c>
      <c r="E3245" s="2" t="str">
        <f>HYPERLINK("http://ts.21cn.com/tousu/show/id/1333917","http://ts.21cn.com/tousu/show/id/1333917")</f>
        <v>http://ts.21cn.com/tousu/show/id/1333917</v>
      </c>
      <c r="F3245" s="2" t="s">
        <v>11</v>
      </c>
      <c r="G3245" s="2" t="s">
        <v>37751</v>
      </c>
      <c r="H3245" s="2" t="s">
        <v>37752</v>
      </c>
    </row>
    <row r="3246" spans="1:8" ht="25.05" customHeight="1" x14ac:dyDescent="0.25">
      <c r="A3246" s="2" t="s">
        <v>8</v>
      </c>
      <c r="B3246" s="2" t="str">
        <f>HYPERLINK("http://ts.21cn.com/tousu/show/id/1333918","移动公司不公平对待")</f>
        <v>移动公司不公平对待</v>
      </c>
      <c r="C3246" s="2" t="s">
        <v>9</v>
      </c>
      <c r="D3246" s="2" t="s">
        <v>10</v>
      </c>
      <c r="E3246" s="2" t="str">
        <f>HYPERLINK("http://ts.21cn.com/tousu/show/id/1333918","http://ts.21cn.com/tousu/show/id/1333918")</f>
        <v>http://ts.21cn.com/tousu/show/id/1333918</v>
      </c>
      <c r="F3246" s="2" t="s">
        <v>11</v>
      </c>
      <c r="G3246" s="2" t="s">
        <v>37749</v>
      </c>
      <c r="H3246" s="2" t="s">
        <v>37750</v>
      </c>
    </row>
    <row r="3247" spans="1:8" ht="25.05" customHeight="1" x14ac:dyDescent="0.25">
      <c r="A3247" s="2" t="s">
        <v>8</v>
      </c>
      <c r="B3247" s="2" t="str">
        <f>HYPERLINK("http://ts.21cn.com/tousu/show/id/1333919","钱橙无忧导流黑心高炮借贷无故扣款")</f>
        <v>钱橙无忧导流黑心高炮借贷无故扣款</v>
      </c>
      <c r="C3247" s="2" t="s">
        <v>9</v>
      </c>
      <c r="D3247" s="2" t="s">
        <v>10</v>
      </c>
      <c r="E3247" s="2" t="str">
        <f>HYPERLINK("http://ts.21cn.com/tousu/show/id/1333919","http://ts.21cn.com/tousu/show/id/1333919")</f>
        <v>http://ts.21cn.com/tousu/show/id/1333919</v>
      </c>
      <c r="F3247" s="2" t="s">
        <v>11</v>
      </c>
      <c r="G3247" s="2" t="s">
        <v>37747</v>
      </c>
      <c r="H3247" s="2" t="s">
        <v>37748</v>
      </c>
    </row>
    <row r="3248" spans="1:8" ht="25.05" customHeight="1" x14ac:dyDescent="0.25">
      <c r="A3248" s="2" t="s">
        <v>8</v>
      </c>
      <c r="B3248" s="2" t="str">
        <f>HYPERLINK("http://ts.21cn.com/tousu/show/id/1333922","立借无视国家法律放高利贷")</f>
        <v>立借无视国家法律放高利贷</v>
      </c>
      <c r="C3248" s="2" t="s">
        <v>9</v>
      </c>
      <c r="D3248" s="2" t="s">
        <v>10</v>
      </c>
      <c r="E3248" s="2" t="str">
        <f>HYPERLINK("http://ts.21cn.com/tousu/show/id/1333922","http://ts.21cn.com/tousu/show/id/1333922")</f>
        <v>http://ts.21cn.com/tousu/show/id/1333922</v>
      </c>
      <c r="F3248" s="2" t="s">
        <v>11</v>
      </c>
      <c r="G3248" s="2" t="s">
        <v>37745</v>
      </c>
      <c r="H3248" s="2" t="s">
        <v>37746</v>
      </c>
    </row>
    <row r="3249" spans="1:8" ht="25.05" customHeight="1" x14ac:dyDescent="0.25">
      <c r="A3249" s="2" t="s">
        <v>8</v>
      </c>
      <c r="B3249" s="2" t="str">
        <f>HYPERLINK("http://ts.21cn.com/tousu/show/id/1333920","利息高暴力催收")</f>
        <v>利息高暴力催收</v>
      </c>
      <c r="C3249" s="2" t="s">
        <v>9</v>
      </c>
      <c r="D3249" s="2" t="s">
        <v>10</v>
      </c>
      <c r="E3249" s="2" t="str">
        <f>HYPERLINK("http://ts.21cn.com/tousu/show/id/1333920","http://ts.21cn.com/tousu/show/id/1333920")</f>
        <v>http://ts.21cn.com/tousu/show/id/1333920</v>
      </c>
      <c r="F3249" s="2" t="s">
        <v>11</v>
      </c>
      <c r="G3249" s="2" t="s">
        <v>37743</v>
      </c>
      <c r="H3249" s="2" t="s">
        <v>37744</v>
      </c>
    </row>
    <row r="3250" spans="1:8" ht="25.05" customHeight="1" x14ac:dyDescent="0.25">
      <c r="A3250" s="2" t="s">
        <v>8</v>
      </c>
      <c r="B3250" s="2" t="str">
        <f>HYPERLINK("http://ts.21cn.com/tousu/show/id/1333921","盈盈有钱逾期一天恶意爆通讯录")</f>
        <v>盈盈有钱逾期一天恶意爆通讯录</v>
      </c>
      <c r="C3250" s="2" t="s">
        <v>9</v>
      </c>
      <c r="D3250" s="2" t="s">
        <v>10</v>
      </c>
      <c r="E3250" s="2" t="str">
        <f>HYPERLINK("http://ts.21cn.com/tousu/show/id/1333921","http://ts.21cn.com/tousu/show/id/1333921")</f>
        <v>http://ts.21cn.com/tousu/show/id/1333921</v>
      </c>
      <c r="F3250" s="2" t="s">
        <v>11</v>
      </c>
      <c r="G3250" s="2" t="s">
        <v>37741</v>
      </c>
      <c r="H3250" s="2" t="s">
        <v>37742</v>
      </c>
    </row>
    <row r="3251" spans="1:8" ht="25.05" customHeight="1" x14ac:dyDescent="0.25">
      <c r="A3251" s="2" t="s">
        <v>8</v>
      </c>
      <c r="B3251" s="2" t="str">
        <f>HYPERLINK("http://ts.21cn.com/tousu/show/id/1333923","购买商品没有生产日期保质期，12315投诉过找不到他们公司，已经在经营异常名单，但是天猫商城还在售卖。")</f>
        <v>购买商品没有生产日期保质期，12315投诉过找不到他们公司，已经在经营异常名单，但是天猫商城还在售卖。</v>
      </c>
      <c r="C3251" s="2" t="s">
        <v>9</v>
      </c>
      <c r="D3251" s="2" t="s">
        <v>10</v>
      </c>
      <c r="E3251" s="2" t="str">
        <f>HYPERLINK("http://ts.21cn.com/tousu/show/id/1333923","http://ts.21cn.com/tousu/show/id/1333923")</f>
        <v>http://ts.21cn.com/tousu/show/id/1333923</v>
      </c>
      <c r="F3251" s="2" t="s">
        <v>11</v>
      </c>
      <c r="G3251" s="2" t="s">
        <v>37739</v>
      </c>
      <c r="H3251" s="2" t="s">
        <v>37740</v>
      </c>
    </row>
    <row r="3252" spans="1:8" ht="25.05" customHeight="1" x14ac:dyDescent="0.25">
      <c r="A3252" s="2" t="s">
        <v>8</v>
      </c>
      <c r="B3252" s="2" t="str">
        <f>HYPERLINK("http://ts.21cn.com/tousu/show/id/1333925","北京友缘在线网络科技股份有限公司恶意扣费")</f>
        <v>北京友缘在线网络科技股份有限公司恶意扣费</v>
      </c>
      <c r="C3252" s="2" t="s">
        <v>9</v>
      </c>
      <c r="D3252" s="2" t="s">
        <v>10</v>
      </c>
      <c r="E3252" s="2" t="str">
        <f>HYPERLINK("http://ts.21cn.com/tousu/show/id/1333925","http://ts.21cn.com/tousu/show/id/1333925")</f>
        <v>http://ts.21cn.com/tousu/show/id/1333925</v>
      </c>
      <c r="F3252" s="2" t="s">
        <v>11</v>
      </c>
      <c r="G3252" s="2" t="s">
        <v>37737</v>
      </c>
      <c r="H3252" s="2" t="s">
        <v>37738</v>
      </c>
    </row>
    <row r="3253" spans="1:8" ht="25.05" customHeight="1" x14ac:dyDescent="0.25">
      <c r="A3253" s="2" t="s">
        <v>8</v>
      </c>
      <c r="B3253" s="2" t="str">
        <f>HYPERLINK("http://ts.21cn.com/tousu/show/id/1333924","小象优品，高利贷，砍头息，不接受协商还款，态度恶劣")</f>
        <v>小象优品，高利贷，砍头息，不接受协商还款，态度恶劣</v>
      </c>
      <c r="C3253" s="2" t="s">
        <v>9</v>
      </c>
      <c r="D3253" s="2" t="s">
        <v>10</v>
      </c>
      <c r="E3253" s="2" t="str">
        <f>HYPERLINK("http://ts.21cn.com/tousu/show/id/1333924","http://ts.21cn.com/tousu/show/id/1333924")</f>
        <v>http://ts.21cn.com/tousu/show/id/1333924</v>
      </c>
      <c r="F3253" s="2" t="s">
        <v>11</v>
      </c>
      <c r="G3253" s="2" t="s">
        <v>37735</v>
      </c>
      <c r="H3253" s="2" t="s">
        <v>37736</v>
      </c>
    </row>
    <row r="3254" spans="1:8" ht="25.05" customHeight="1" x14ac:dyDescent="0.25">
      <c r="A3254" s="2" t="s">
        <v>8</v>
      </c>
      <c r="B3254" s="2" t="str">
        <f>HYPERLINK("http://ts.21cn.com/tousu/show/id/1333926","高利贷")</f>
        <v>高利贷</v>
      </c>
      <c r="C3254" s="2" t="s">
        <v>9</v>
      </c>
      <c r="D3254" s="2" t="s">
        <v>10</v>
      </c>
      <c r="E3254" s="2" t="str">
        <f>HYPERLINK("http://ts.21cn.com/tousu/show/id/1333926","http://ts.21cn.com/tousu/show/id/1333926")</f>
        <v>http://ts.21cn.com/tousu/show/id/1333926</v>
      </c>
      <c r="F3254" s="2" t="s">
        <v>11</v>
      </c>
      <c r="G3254" s="2" t="s">
        <v>37733</v>
      </c>
      <c r="H3254" s="2" t="s">
        <v>37734</v>
      </c>
    </row>
    <row r="3255" spans="1:8" ht="25.05" customHeight="1" x14ac:dyDescent="0.25">
      <c r="A3255" s="2" t="s">
        <v>8</v>
      </c>
      <c r="B3255" s="2" t="str">
        <f>HYPERLINK("http://ts.21cn.com/tousu/show/id/1333927","时间没到暴力催收，高利贷")</f>
        <v>时间没到暴力催收，高利贷</v>
      </c>
      <c r="C3255" s="2" t="s">
        <v>9</v>
      </c>
      <c r="D3255" s="2" t="s">
        <v>10</v>
      </c>
      <c r="E3255" s="2" t="str">
        <f>HYPERLINK("http://ts.21cn.com/tousu/show/id/1333927","http://ts.21cn.com/tousu/show/id/1333927")</f>
        <v>http://ts.21cn.com/tousu/show/id/1333927</v>
      </c>
      <c r="F3255" s="2" t="s">
        <v>11</v>
      </c>
      <c r="G3255" s="2" t="s">
        <v>37731</v>
      </c>
      <c r="H3255" s="2" t="s">
        <v>37732</v>
      </c>
    </row>
    <row r="3256" spans="1:8" ht="25.05" customHeight="1" x14ac:dyDescent="0.25">
      <c r="A3256" s="2" t="s">
        <v>8</v>
      </c>
      <c r="B3256" s="2" t="str">
        <f>HYPERLINK("http://ts.21cn.com/tousu/show/id/1333928","捷信的傻*玩意别给老子打电话")</f>
        <v>捷信的傻*玩意别给老子打电话</v>
      </c>
      <c r="C3256" s="2" t="s">
        <v>9</v>
      </c>
      <c r="D3256" s="2" t="s">
        <v>10</v>
      </c>
      <c r="E3256" s="2" t="str">
        <f>HYPERLINK("http://ts.21cn.com/tousu/show/id/1333928","http://ts.21cn.com/tousu/show/id/1333928")</f>
        <v>http://ts.21cn.com/tousu/show/id/1333928</v>
      </c>
      <c r="F3256" s="2" t="s">
        <v>11</v>
      </c>
      <c r="G3256" s="2" t="s">
        <v>37729</v>
      </c>
      <c r="H3256" s="2" t="s">
        <v>37730</v>
      </c>
    </row>
    <row r="3257" spans="1:8" ht="25.05" customHeight="1" x14ac:dyDescent="0.25">
      <c r="A3257" s="2" t="s">
        <v>8</v>
      </c>
      <c r="B3257" s="2" t="str">
        <f>HYPERLINK("http://ts.21cn.com/tousu/show/id/1333929","途家平台不做为，采用“拖”字诀，损害房东利益")</f>
        <v>途家平台不做为，采用“拖”字诀，损害房东利益</v>
      </c>
      <c r="C3257" s="2" t="s">
        <v>9</v>
      </c>
      <c r="D3257" s="2" t="s">
        <v>10</v>
      </c>
      <c r="E3257" s="2" t="str">
        <f>HYPERLINK("http://ts.21cn.com/tousu/show/id/1333929","http://ts.21cn.com/tousu/show/id/1333929")</f>
        <v>http://ts.21cn.com/tousu/show/id/1333929</v>
      </c>
      <c r="F3257" s="2" t="s">
        <v>11</v>
      </c>
      <c r="G3257" s="2" t="s">
        <v>37727</v>
      </c>
      <c r="H3257" s="2" t="s">
        <v>37728</v>
      </c>
    </row>
    <row r="3258" spans="1:8" ht="25.05" customHeight="1" x14ac:dyDescent="0.25">
      <c r="A3258" s="2" t="s">
        <v>8</v>
      </c>
      <c r="B3258" s="2" t="str">
        <f>HYPERLINK("http://ts.21cn.com/tousu/show/id/1333930","小象暴力催收！骚扰通讯录！侵犯隐私")</f>
        <v>小象暴力催收！骚扰通讯录！侵犯隐私</v>
      </c>
      <c r="C3258" s="2" t="s">
        <v>9</v>
      </c>
      <c r="D3258" s="2" t="s">
        <v>10</v>
      </c>
      <c r="E3258" s="2" t="str">
        <f>HYPERLINK("http://ts.21cn.com/tousu/show/id/1333930","http://ts.21cn.com/tousu/show/id/1333930")</f>
        <v>http://ts.21cn.com/tousu/show/id/1333930</v>
      </c>
      <c r="F3258" s="2" t="s">
        <v>11</v>
      </c>
      <c r="G3258" s="2" t="s">
        <v>37725</v>
      </c>
      <c r="H3258" s="2" t="s">
        <v>37726</v>
      </c>
    </row>
    <row r="3259" spans="1:8" ht="25.05" customHeight="1" x14ac:dyDescent="0.25">
      <c r="A3259" s="2" t="s">
        <v>8</v>
      </c>
      <c r="B3259" s="2" t="str">
        <f>HYPERLINK("http://ts.21cn.com/tousu/show/id/1333912","闪银科技泄露个人信息")</f>
        <v>闪银科技泄露个人信息</v>
      </c>
      <c r="C3259" s="2" t="s">
        <v>9</v>
      </c>
      <c r="D3259" s="2" t="s">
        <v>10</v>
      </c>
      <c r="E3259" s="2" t="str">
        <f>HYPERLINK("http://ts.21cn.com/tousu/show/id/1333912","http://ts.21cn.com/tousu/show/id/1333912")</f>
        <v>http://ts.21cn.com/tousu/show/id/1333912</v>
      </c>
      <c r="F3259" s="2" t="s">
        <v>11</v>
      </c>
      <c r="G3259" s="2" t="s">
        <v>37723</v>
      </c>
      <c r="H3259" s="2" t="s">
        <v>37724</v>
      </c>
    </row>
    <row r="3260" spans="1:8" ht="25.05" customHeight="1" x14ac:dyDescent="0.25">
      <c r="A3260" s="2" t="s">
        <v>8</v>
      </c>
      <c r="B3260" s="2" t="str">
        <f>HYPERLINK("http://ts.21cn.com/tousu/show/id/1333931","小象优品暴力催收")</f>
        <v>小象优品暴力催收</v>
      </c>
      <c r="C3260" s="2" t="s">
        <v>9</v>
      </c>
      <c r="D3260" s="2" t="s">
        <v>10</v>
      </c>
      <c r="E3260" s="2" t="str">
        <f>HYPERLINK("http://ts.21cn.com/tousu/show/id/1333931","http://ts.21cn.com/tousu/show/id/1333931")</f>
        <v>http://ts.21cn.com/tousu/show/id/1333931</v>
      </c>
      <c r="F3260" s="2" t="s">
        <v>11</v>
      </c>
      <c r="G3260" s="2" t="s">
        <v>37721</v>
      </c>
      <c r="H3260" s="2" t="s">
        <v>37722</v>
      </c>
    </row>
    <row r="3261" spans="1:8" ht="25.05" customHeight="1" x14ac:dyDescent="0.25">
      <c r="A3261" s="2" t="s">
        <v>8</v>
      </c>
      <c r="B3261" s="2" t="str">
        <f>HYPERLINK("http://ts.21cn.com/tousu/show/id/1333933","大量用户无法退还立刻出行499元押金")</f>
        <v>大量用户无法退还立刻出行499元押金</v>
      </c>
      <c r="C3261" s="2" t="s">
        <v>9</v>
      </c>
      <c r="D3261" s="2" t="s">
        <v>10</v>
      </c>
      <c r="E3261" s="2" t="str">
        <f>HYPERLINK("http://ts.21cn.com/tousu/show/id/1333933","http://ts.21cn.com/tousu/show/id/1333933")</f>
        <v>http://ts.21cn.com/tousu/show/id/1333933</v>
      </c>
      <c r="F3261" s="2" t="s">
        <v>11</v>
      </c>
      <c r="G3261" s="2" t="s">
        <v>37719</v>
      </c>
      <c r="H3261" s="2" t="s">
        <v>37720</v>
      </c>
    </row>
    <row r="3262" spans="1:8" ht="25.05" customHeight="1" x14ac:dyDescent="0.25">
      <c r="A3262" s="2" t="s">
        <v>8</v>
      </c>
      <c r="B3262" s="2" t="str">
        <f>HYPERLINK("http://ts.21cn.com/tousu/show/id/1333934","济南艺星整形强制消费不退款消费价格不公开")</f>
        <v>济南艺星整形强制消费不退款消费价格不公开</v>
      </c>
      <c r="C3262" s="2" t="s">
        <v>9</v>
      </c>
      <c r="D3262" s="2" t="s">
        <v>10</v>
      </c>
      <c r="E3262" s="2" t="str">
        <f>HYPERLINK("http://ts.21cn.com/tousu/show/id/1333934","http://ts.21cn.com/tousu/show/id/1333934")</f>
        <v>http://ts.21cn.com/tousu/show/id/1333934</v>
      </c>
      <c r="F3262" s="2" t="s">
        <v>11</v>
      </c>
      <c r="G3262" s="2" t="s">
        <v>37717</v>
      </c>
      <c r="H3262" s="2" t="s">
        <v>37718</v>
      </c>
    </row>
    <row r="3263" spans="1:8" ht="25.05" customHeight="1" x14ac:dyDescent="0.25">
      <c r="A3263" s="2" t="s">
        <v>8</v>
      </c>
      <c r="B3263" s="2" t="str">
        <f>HYPERLINK("http://ts.21cn.com/tousu/show/id/1333932","小浦优客未经同意扣款")</f>
        <v>小浦优客未经同意扣款</v>
      </c>
      <c r="C3263" s="2" t="s">
        <v>34</v>
      </c>
      <c r="D3263" s="2" t="s">
        <v>10</v>
      </c>
      <c r="E3263" s="2" t="str">
        <f>HYPERLINK("http://ts.21cn.com/tousu/show/id/1333932","http://ts.21cn.com/tousu/show/id/1333932")</f>
        <v>http://ts.21cn.com/tousu/show/id/1333932</v>
      </c>
      <c r="F3263" s="2" t="s">
        <v>11</v>
      </c>
      <c r="G3263" s="2" t="s">
        <v>37715</v>
      </c>
      <c r="H3263" s="2" t="s">
        <v>37716</v>
      </c>
    </row>
    <row r="3264" spans="1:8" ht="25.05" customHeight="1" x14ac:dyDescent="0.25">
      <c r="A3264" s="2" t="s">
        <v>8</v>
      </c>
      <c r="B3264" s="2" t="str">
        <f>HYPERLINK("http://ts.21cn.com/tousu/show/id/1333936","汇潮支付为想有钱提供放款通道")</f>
        <v>汇潮支付为想有钱提供放款通道</v>
      </c>
      <c r="C3264" s="2" t="s">
        <v>9</v>
      </c>
      <c r="D3264" s="2" t="s">
        <v>10</v>
      </c>
      <c r="E3264" s="2" t="str">
        <f>HYPERLINK("http://ts.21cn.com/tousu/show/id/1333936","http://ts.21cn.com/tousu/show/id/1333936")</f>
        <v>http://ts.21cn.com/tousu/show/id/1333936</v>
      </c>
      <c r="F3264" s="2" t="s">
        <v>11</v>
      </c>
      <c r="G3264" s="2" t="s">
        <v>37713</v>
      </c>
      <c r="H3264" s="2" t="s">
        <v>37714</v>
      </c>
    </row>
    <row r="3265" spans="1:8" ht="25.05" customHeight="1" x14ac:dyDescent="0.25">
      <c r="A3265" s="2" t="s">
        <v>8</v>
      </c>
      <c r="B3265" s="2" t="str">
        <f>HYPERLINK("http://ts.21cn.com/tousu/show/id/1333937","金鸡下蛋网贷5天非法高利贷")</f>
        <v>金鸡下蛋网贷5天非法高利贷</v>
      </c>
      <c r="C3265" s="2" t="s">
        <v>9</v>
      </c>
      <c r="D3265" s="2" t="s">
        <v>10</v>
      </c>
      <c r="E3265" s="2" t="str">
        <f>HYPERLINK("http://ts.21cn.com/tousu/show/id/1333937","http://ts.21cn.com/tousu/show/id/1333937")</f>
        <v>http://ts.21cn.com/tousu/show/id/1333937</v>
      </c>
      <c r="F3265" s="2" t="s">
        <v>11</v>
      </c>
      <c r="G3265" s="2" t="s">
        <v>37711</v>
      </c>
      <c r="H3265" s="2" t="s">
        <v>37712</v>
      </c>
    </row>
    <row r="3266" spans="1:8" ht="25.05" customHeight="1" x14ac:dyDescent="0.25">
      <c r="A3266" s="2" t="s">
        <v>8</v>
      </c>
      <c r="B3266" s="2" t="str">
        <f>HYPERLINK("http://ts.21cn.com/tousu/show/id/1333938","爱购商城与杭州市民卡有限公司，为非法网站提供支付业务")</f>
        <v>爱购商城与杭州市民卡有限公司，为非法网站提供支付业务</v>
      </c>
      <c r="C3266" s="2" t="s">
        <v>9</v>
      </c>
      <c r="D3266" s="2" t="s">
        <v>10</v>
      </c>
      <c r="E3266" s="2" t="str">
        <f>HYPERLINK("http://ts.21cn.com/tousu/show/id/1333938","http://ts.21cn.com/tousu/show/id/1333938")</f>
        <v>http://ts.21cn.com/tousu/show/id/1333938</v>
      </c>
      <c r="F3266" s="2" t="s">
        <v>11</v>
      </c>
      <c r="G3266" s="2" t="s">
        <v>37709</v>
      </c>
      <c r="H3266" s="2" t="s">
        <v>37710</v>
      </c>
    </row>
    <row r="3267" spans="1:8" ht="25.05" customHeight="1" x14ac:dyDescent="0.25">
      <c r="A3267" s="2" t="s">
        <v>8</v>
      </c>
      <c r="B3267" s="2" t="str">
        <f>HYPERLINK("http://ts.21cn.com/tousu/show/id/1333939","小浦优客App未提示报告要收费要求退回")</f>
        <v>小浦优客App未提示报告要收费要求退回</v>
      </c>
      <c r="C3267" s="2" t="s">
        <v>9</v>
      </c>
      <c r="D3267" s="2" t="s">
        <v>10</v>
      </c>
      <c r="E3267" s="2" t="str">
        <f>HYPERLINK("http://ts.21cn.com/tousu/show/id/1333939","http://ts.21cn.com/tousu/show/id/1333939")</f>
        <v>http://ts.21cn.com/tousu/show/id/1333939</v>
      </c>
      <c r="F3267" s="2" t="s">
        <v>11</v>
      </c>
      <c r="G3267" s="2" t="s">
        <v>37707</v>
      </c>
      <c r="H3267" s="2" t="s">
        <v>37708</v>
      </c>
    </row>
    <row r="3268" spans="1:8" ht="25.05" customHeight="1" x14ac:dyDescent="0.25">
      <c r="A3268" s="2" t="s">
        <v>8</v>
      </c>
      <c r="B3268" s="2" t="str">
        <f>HYPERLINK("http://ts.21cn.com/tousu/show/id/1333940","飞猪欺诈消费者")</f>
        <v>飞猪欺诈消费者</v>
      </c>
      <c r="C3268" s="2" t="s">
        <v>9</v>
      </c>
      <c r="D3268" s="2" t="s">
        <v>10</v>
      </c>
      <c r="E3268" s="2" t="str">
        <f>HYPERLINK("http://ts.21cn.com/tousu/show/id/1333940","http://ts.21cn.com/tousu/show/id/1333940")</f>
        <v>http://ts.21cn.com/tousu/show/id/1333940</v>
      </c>
      <c r="F3268" s="2" t="s">
        <v>11</v>
      </c>
      <c r="G3268" s="2" t="s">
        <v>37705</v>
      </c>
      <c r="H3268" s="2" t="s">
        <v>37706</v>
      </c>
    </row>
    <row r="3269" spans="1:8" ht="25.05" customHeight="1" x14ac:dyDescent="0.25">
      <c r="A3269" s="2" t="s">
        <v>8</v>
      </c>
      <c r="B3269" s="2" t="str">
        <f>HYPERLINK("http://ts.21cn.com/tousu/show/id/1333935","商家虚假产品假货欺诈消费者")</f>
        <v>商家虚假产品假货欺诈消费者</v>
      </c>
      <c r="C3269" s="2" t="s">
        <v>9</v>
      </c>
      <c r="D3269" s="2" t="s">
        <v>10</v>
      </c>
      <c r="E3269" s="2" t="str">
        <f>HYPERLINK("http://ts.21cn.com/tousu/show/id/1333935","http://ts.21cn.com/tousu/show/id/1333935")</f>
        <v>http://ts.21cn.com/tousu/show/id/1333935</v>
      </c>
      <c r="F3269" s="2" t="s">
        <v>11</v>
      </c>
      <c r="G3269" s="2" t="s">
        <v>37703</v>
      </c>
      <c r="H3269" s="2" t="s">
        <v>37704</v>
      </c>
    </row>
    <row r="3270" spans="1:8" ht="25.05" customHeight="1" x14ac:dyDescent="0.25">
      <c r="A3270" s="2" t="s">
        <v>8</v>
      </c>
      <c r="B3270" s="2" t="str">
        <f>HYPERLINK("http://ts.21cn.com/tousu/show/id/1333941","恐吓")</f>
        <v>恐吓</v>
      </c>
      <c r="C3270" s="2" t="s">
        <v>9</v>
      </c>
      <c r="D3270" s="2" t="s">
        <v>10</v>
      </c>
      <c r="E3270" s="2" t="str">
        <f>HYPERLINK("http://ts.21cn.com/tousu/show/id/1333941","http://ts.21cn.com/tousu/show/id/1333941")</f>
        <v>http://ts.21cn.com/tousu/show/id/1333941</v>
      </c>
      <c r="F3270" s="2" t="s">
        <v>11</v>
      </c>
      <c r="G3270" s="2" t="s">
        <v>37701</v>
      </c>
      <c r="H3270" s="2" t="s">
        <v>37702</v>
      </c>
    </row>
    <row r="3271" spans="1:8" ht="25.05" customHeight="1" x14ac:dyDescent="0.25">
      <c r="A3271" s="2" t="s">
        <v>8</v>
      </c>
      <c r="B3271" s="2" t="str">
        <f>HYPERLINK("http://ts.21cn.com/tousu/show/id/1333942","钱站砍利贷高利贷")</f>
        <v>钱站砍利贷高利贷</v>
      </c>
      <c r="C3271" s="2" t="s">
        <v>9</v>
      </c>
      <c r="D3271" s="2" t="s">
        <v>10</v>
      </c>
      <c r="E3271" s="2" t="str">
        <f>HYPERLINK("http://ts.21cn.com/tousu/show/id/1333942","http://ts.21cn.com/tousu/show/id/1333942")</f>
        <v>http://ts.21cn.com/tousu/show/id/1333942</v>
      </c>
      <c r="F3271" s="2" t="s">
        <v>11</v>
      </c>
      <c r="G3271" s="2" t="s">
        <v>37699</v>
      </c>
      <c r="H3271" s="2" t="s">
        <v>37700</v>
      </c>
    </row>
    <row r="3272" spans="1:8" ht="25.05" customHeight="1" x14ac:dyDescent="0.25">
      <c r="A3272" s="2" t="s">
        <v>8</v>
      </c>
      <c r="B3272" s="2" t="str">
        <f>HYPERLINK("http://ts.21cn.com/tousu/show/id/1333943","招联频繁骚扰亲朋好友")</f>
        <v>招联频繁骚扰亲朋好友</v>
      </c>
      <c r="C3272" s="2" t="s">
        <v>9</v>
      </c>
      <c r="D3272" s="2" t="s">
        <v>10</v>
      </c>
      <c r="E3272" s="2" t="str">
        <f>HYPERLINK("http://ts.21cn.com/tousu/show/id/1333943","http://ts.21cn.com/tousu/show/id/1333943")</f>
        <v>http://ts.21cn.com/tousu/show/id/1333943</v>
      </c>
      <c r="F3272" s="2" t="s">
        <v>11</v>
      </c>
      <c r="G3272" s="2" t="s">
        <v>37697</v>
      </c>
      <c r="H3272" s="2" t="s">
        <v>37698</v>
      </c>
    </row>
    <row r="3273" spans="1:8" ht="25.05" customHeight="1" x14ac:dyDescent="0.25">
      <c r="A3273" s="2" t="s">
        <v>8</v>
      </c>
      <c r="B3273" s="2" t="str">
        <f>HYPERLINK("http://ts.21cn.com/tousu/show/id/1333946","小浦优客app未经提示从银行卡里扣取报告费要求退回")</f>
        <v>小浦优客app未经提示从银行卡里扣取报告费要求退回</v>
      </c>
      <c r="C3273" s="2" t="s">
        <v>9</v>
      </c>
      <c r="D3273" s="2" t="s">
        <v>10</v>
      </c>
      <c r="E3273" s="2" t="str">
        <f>HYPERLINK("http://ts.21cn.com/tousu/show/id/1333946","http://ts.21cn.com/tousu/show/id/1333946")</f>
        <v>http://ts.21cn.com/tousu/show/id/1333946</v>
      </c>
      <c r="F3273" s="2" t="s">
        <v>11</v>
      </c>
      <c r="G3273" s="2" t="s">
        <v>37695</v>
      </c>
      <c r="H3273" s="2" t="s">
        <v>37696</v>
      </c>
    </row>
    <row r="3274" spans="1:8" ht="25.05" customHeight="1" x14ac:dyDescent="0.25">
      <c r="A3274" s="2" t="s">
        <v>8</v>
      </c>
      <c r="B3274" s="2" t="str">
        <f>HYPERLINK("http://ts.21cn.com/tousu/show/id/1333945","在美团外卖购买的外卖会员红包到期时间在国庆长假内，因回老家，不在常驻地，希望美团给延长使用时间")</f>
        <v>在美团外卖购买的外卖会员红包到期时间在国庆长假内，因回老家，不在常驻地，希望美团给延长使用时间</v>
      </c>
      <c r="C3274" s="2" t="s">
        <v>34</v>
      </c>
      <c r="D3274" s="2" t="s">
        <v>10</v>
      </c>
      <c r="E3274" s="2" t="str">
        <f>HYPERLINK("http://ts.21cn.com/tousu/show/id/1333945","http://ts.21cn.com/tousu/show/id/1333945")</f>
        <v>http://ts.21cn.com/tousu/show/id/1333945</v>
      </c>
      <c r="F3274" s="2" t="s">
        <v>11</v>
      </c>
      <c r="G3274" s="2" t="s">
        <v>37693</v>
      </c>
      <c r="H3274" s="2" t="s">
        <v>37694</v>
      </c>
    </row>
    <row r="3275" spans="1:8" ht="25.05" customHeight="1" x14ac:dyDescent="0.25">
      <c r="A3275" s="2" t="s">
        <v>8</v>
      </c>
      <c r="B3275" s="2" t="str">
        <f>HYPERLINK("http://ts.21cn.com/tousu/show/id/1333947","信用钱包高利贷")</f>
        <v>信用钱包高利贷</v>
      </c>
      <c r="C3275" s="2" t="s">
        <v>9</v>
      </c>
      <c r="D3275" s="2" t="s">
        <v>10</v>
      </c>
      <c r="E3275" s="2" t="str">
        <f>HYPERLINK("http://ts.21cn.com/tousu/show/id/1333947","http://ts.21cn.com/tousu/show/id/1333947")</f>
        <v>http://ts.21cn.com/tousu/show/id/1333947</v>
      </c>
      <c r="F3275" s="2" t="s">
        <v>11</v>
      </c>
      <c r="G3275" s="2" t="s">
        <v>37691</v>
      </c>
      <c r="H3275" s="2" t="s">
        <v>37692</v>
      </c>
    </row>
    <row r="3276" spans="1:8" ht="25.05" customHeight="1" x14ac:dyDescent="0.25">
      <c r="A3276" s="2" t="s">
        <v>8</v>
      </c>
      <c r="B3276" s="2" t="str">
        <f>HYPERLINK("http://ts.21cn.com/tousu/show/id/1333948","高利贷")</f>
        <v>高利贷</v>
      </c>
      <c r="C3276" s="2" t="s">
        <v>9</v>
      </c>
      <c r="D3276" s="2" t="s">
        <v>10</v>
      </c>
      <c r="E3276" s="2" t="str">
        <f>HYPERLINK("http://ts.21cn.com/tousu/show/id/1333948","http://ts.21cn.com/tousu/show/id/1333948")</f>
        <v>http://ts.21cn.com/tousu/show/id/1333948</v>
      </c>
      <c r="F3276" s="2" t="s">
        <v>11</v>
      </c>
      <c r="G3276" s="2" t="s">
        <v>37689</v>
      </c>
      <c r="H3276" s="2" t="s">
        <v>37690</v>
      </c>
    </row>
    <row r="3277" spans="1:8" ht="25.05" customHeight="1" x14ac:dyDescent="0.25">
      <c r="A3277" s="2" t="s">
        <v>8</v>
      </c>
      <c r="B3277" s="2" t="str">
        <f>HYPERLINK("http://ts.21cn.com/tousu/show/id/1333950","在百事通惠贷款软件上，被恶意扣费299")</f>
        <v>在百事通惠贷款软件上，被恶意扣费299</v>
      </c>
      <c r="C3277" s="2" t="s">
        <v>9</v>
      </c>
      <c r="D3277" s="2" t="s">
        <v>10</v>
      </c>
      <c r="E3277" s="2" t="str">
        <f>HYPERLINK("http://ts.21cn.com/tousu/show/id/1333950","http://ts.21cn.com/tousu/show/id/1333950")</f>
        <v>http://ts.21cn.com/tousu/show/id/1333950</v>
      </c>
      <c r="F3277" s="2" t="s">
        <v>11</v>
      </c>
      <c r="G3277" s="2" t="s">
        <v>37687</v>
      </c>
      <c r="H3277" s="2" t="s">
        <v>37688</v>
      </c>
    </row>
    <row r="3278" spans="1:8" ht="25.05" customHeight="1" x14ac:dyDescent="0.25">
      <c r="A3278" s="2" t="s">
        <v>8</v>
      </c>
      <c r="B3278" s="2" t="str">
        <f>HYPERLINK("http://ts.21cn.com/tousu/show/id/1333880","交通银行软暴力催收是最厉害的")</f>
        <v>交通银行软暴力催收是最厉害的</v>
      </c>
      <c r="C3278" s="2" t="s">
        <v>9</v>
      </c>
      <c r="D3278" s="2" t="s">
        <v>10</v>
      </c>
      <c r="E3278" s="2" t="str">
        <f>HYPERLINK("http://ts.21cn.com/tousu/show/id/1333880","http://ts.21cn.com/tousu/show/id/1333880")</f>
        <v>http://ts.21cn.com/tousu/show/id/1333880</v>
      </c>
      <c r="F3278" s="2" t="s">
        <v>11</v>
      </c>
      <c r="G3278" s="2" t="s">
        <v>37685</v>
      </c>
      <c r="H3278" s="2" t="s">
        <v>37686</v>
      </c>
    </row>
    <row r="3279" spans="1:8" ht="25.05" customHeight="1" x14ac:dyDescent="0.25">
      <c r="A3279" s="2" t="s">
        <v>8</v>
      </c>
      <c r="B3279" s="2" t="str">
        <f>HYPERLINK("http://ts.21cn.com/tousu/show/id/1333951","无缘无故暂停我的唯品花")</f>
        <v>无缘无故暂停我的唯品花</v>
      </c>
      <c r="C3279" s="2" t="s">
        <v>9</v>
      </c>
      <c r="D3279" s="2" t="s">
        <v>10</v>
      </c>
      <c r="E3279" s="2" t="str">
        <f>HYPERLINK("http://ts.21cn.com/tousu/show/id/1333951","http://ts.21cn.com/tousu/show/id/1333951")</f>
        <v>http://ts.21cn.com/tousu/show/id/1333951</v>
      </c>
      <c r="F3279" s="2" t="s">
        <v>11</v>
      </c>
      <c r="G3279" s="2" t="s">
        <v>37683</v>
      </c>
      <c r="H3279" s="2" t="s">
        <v>37684</v>
      </c>
    </row>
    <row r="3280" spans="1:8" ht="25.05" customHeight="1" x14ac:dyDescent="0.25">
      <c r="A3280" s="2" t="s">
        <v>8</v>
      </c>
      <c r="B3280" s="2" t="str">
        <f>HYPERLINK("http://ts.21cn.com/tousu/show/id/1333952","恶意造成逾期")</f>
        <v>恶意造成逾期</v>
      </c>
      <c r="C3280" s="2" t="s">
        <v>9</v>
      </c>
      <c r="D3280" s="2" t="s">
        <v>10</v>
      </c>
      <c r="E3280" s="2" t="str">
        <f>HYPERLINK("http://ts.21cn.com/tousu/show/id/1333952","http://ts.21cn.com/tousu/show/id/1333952")</f>
        <v>http://ts.21cn.com/tousu/show/id/1333952</v>
      </c>
      <c r="F3280" s="2" t="s">
        <v>11</v>
      </c>
      <c r="G3280" s="2" t="s">
        <v>37681</v>
      </c>
      <c r="H3280" s="2" t="s">
        <v>37682</v>
      </c>
    </row>
    <row r="3281" spans="1:8" ht="25.05" customHeight="1" x14ac:dyDescent="0.25">
      <c r="A3281" s="2" t="s">
        <v>8</v>
      </c>
      <c r="B3281" s="2" t="str">
        <f>HYPERLINK("http://ts.21cn.com/tousu/show/id/1333953","聚富分期恶意强制扣款评估费")</f>
        <v>聚富分期恶意强制扣款评估费</v>
      </c>
      <c r="C3281" s="2" t="s">
        <v>9</v>
      </c>
      <c r="D3281" s="2" t="s">
        <v>10</v>
      </c>
      <c r="E3281" s="2" t="str">
        <f>HYPERLINK("http://ts.21cn.com/tousu/show/id/1333953","http://ts.21cn.com/tousu/show/id/1333953")</f>
        <v>http://ts.21cn.com/tousu/show/id/1333953</v>
      </c>
      <c r="F3281" s="2" t="s">
        <v>11</v>
      </c>
      <c r="G3281" s="2" t="s">
        <v>37679</v>
      </c>
      <c r="H3281" s="2" t="s">
        <v>37680</v>
      </c>
    </row>
    <row r="3282" spans="1:8" ht="25.05" customHeight="1" x14ac:dyDescent="0.25">
      <c r="A3282" s="2" t="s">
        <v>8</v>
      </c>
      <c r="B3282" s="2" t="str">
        <f>HYPERLINK("http://ts.21cn.com/tousu/show/id/1333954","钱站不下款，也不让取消")</f>
        <v>钱站不下款，也不让取消</v>
      </c>
      <c r="C3282" s="2" t="s">
        <v>34</v>
      </c>
      <c r="D3282" s="2" t="s">
        <v>10</v>
      </c>
      <c r="E3282" s="2" t="str">
        <f>HYPERLINK("http://ts.21cn.com/tousu/show/id/1333954","http://ts.21cn.com/tousu/show/id/1333954")</f>
        <v>http://ts.21cn.com/tousu/show/id/1333954</v>
      </c>
      <c r="F3282" s="2" t="s">
        <v>11</v>
      </c>
      <c r="G3282" s="2" t="s">
        <v>37677</v>
      </c>
      <c r="H3282" s="2" t="s">
        <v>37678</v>
      </c>
    </row>
    <row r="3283" spans="1:8" ht="25.05" customHeight="1" x14ac:dyDescent="0.25">
      <c r="A3283" s="2" t="s">
        <v>8</v>
      </c>
      <c r="B3283" s="2" t="str">
        <f>HYPERLINK("http://ts.21cn.com/tousu/show/id/1333955","套路贷")</f>
        <v>套路贷</v>
      </c>
      <c r="C3283" s="2" t="s">
        <v>9</v>
      </c>
      <c r="D3283" s="2" t="s">
        <v>10</v>
      </c>
      <c r="E3283" s="2" t="str">
        <f>HYPERLINK("http://ts.21cn.com/tousu/show/id/1333955","http://ts.21cn.com/tousu/show/id/1333955")</f>
        <v>http://ts.21cn.com/tousu/show/id/1333955</v>
      </c>
      <c r="F3283" s="2" t="s">
        <v>11</v>
      </c>
      <c r="G3283" s="2" t="s">
        <v>37675</v>
      </c>
      <c r="H3283" s="2" t="s">
        <v>37676</v>
      </c>
    </row>
    <row r="3284" spans="1:8" ht="25.05" customHeight="1" x14ac:dyDescent="0.25">
      <c r="A3284" s="2" t="s">
        <v>8</v>
      </c>
      <c r="B3284" s="2" t="str">
        <f>HYPERLINK("http://ts.21cn.com/tousu/show/id/1333956","拼多多包庇商户，店大欺客")</f>
        <v>拼多多包庇商户，店大欺客</v>
      </c>
      <c r="C3284" s="2" t="s">
        <v>9</v>
      </c>
      <c r="D3284" s="2" t="s">
        <v>10</v>
      </c>
      <c r="E3284" s="2" t="str">
        <f>HYPERLINK("http://ts.21cn.com/tousu/show/id/1333956","http://ts.21cn.com/tousu/show/id/1333956")</f>
        <v>http://ts.21cn.com/tousu/show/id/1333956</v>
      </c>
      <c r="F3284" s="2" t="s">
        <v>11</v>
      </c>
      <c r="G3284" s="2" t="s">
        <v>37673</v>
      </c>
      <c r="H3284" s="2" t="s">
        <v>37674</v>
      </c>
    </row>
    <row r="3285" spans="1:8" ht="25.05" customHeight="1" x14ac:dyDescent="0.25">
      <c r="A3285" s="2" t="s">
        <v>8</v>
      </c>
      <c r="B3285" s="2" t="str">
        <f>HYPERLINK("http://ts.21cn.com/tousu/show/id/1333957","佑佑分期3天高利贷")</f>
        <v>佑佑分期3天高利贷</v>
      </c>
      <c r="C3285" s="2" t="s">
        <v>9</v>
      </c>
      <c r="D3285" s="2" t="s">
        <v>10</v>
      </c>
      <c r="E3285" s="2" t="str">
        <f>HYPERLINK("http://ts.21cn.com/tousu/show/id/1333957","http://ts.21cn.com/tousu/show/id/1333957")</f>
        <v>http://ts.21cn.com/tousu/show/id/1333957</v>
      </c>
      <c r="F3285" s="2" t="s">
        <v>11</v>
      </c>
      <c r="G3285" s="2" t="s">
        <v>37671</v>
      </c>
      <c r="H3285" s="2" t="s">
        <v>37672</v>
      </c>
    </row>
    <row r="3286" spans="1:8" ht="25.05" customHeight="1" x14ac:dyDescent="0.25">
      <c r="A3286" s="2" t="s">
        <v>8</v>
      </c>
      <c r="B3286" s="2" t="str">
        <f>HYPERLINK("http://ts.21cn.com/tousu/show/id/1333959","汇潮支付为714套路贷想有钱提供通道，联合进行高利贷行为")</f>
        <v>汇潮支付为714套路贷想有钱提供通道，联合进行高利贷行为</v>
      </c>
      <c r="C3286" s="2" t="s">
        <v>9</v>
      </c>
      <c r="D3286" s="2" t="s">
        <v>10</v>
      </c>
      <c r="E3286" s="2" t="str">
        <f>HYPERLINK("http://ts.21cn.com/tousu/show/id/1333959","http://ts.21cn.com/tousu/show/id/1333959")</f>
        <v>http://ts.21cn.com/tousu/show/id/1333959</v>
      </c>
      <c r="F3286" s="2" t="s">
        <v>11</v>
      </c>
      <c r="G3286" s="2" t="s">
        <v>37669</v>
      </c>
      <c r="H3286" s="2" t="s">
        <v>37670</v>
      </c>
    </row>
    <row r="3287" spans="1:8" ht="25.05" customHeight="1" x14ac:dyDescent="0.25">
      <c r="A3287" s="2" t="s">
        <v>8</v>
      </c>
      <c r="B3287" s="2" t="str">
        <f>HYPERLINK("http://ts.21cn.com/tousu/show/id/1333958","注销账户困难")</f>
        <v>注销账户困难</v>
      </c>
      <c r="C3287" s="2" t="s">
        <v>34</v>
      </c>
      <c r="D3287" s="2" t="s">
        <v>10</v>
      </c>
      <c r="E3287" s="2" t="str">
        <f>HYPERLINK("http://ts.21cn.com/tousu/show/id/1333958","http://ts.21cn.com/tousu/show/id/1333958")</f>
        <v>http://ts.21cn.com/tousu/show/id/1333958</v>
      </c>
      <c r="F3287" s="2" t="s">
        <v>11</v>
      </c>
      <c r="G3287" s="2" t="s">
        <v>37667</v>
      </c>
      <c r="H3287" s="2" t="s">
        <v>37668</v>
      </c>
    </row>
    <row r="3288" spans="1:8" ht="25.05" customHeight="1" x14ac:dyDescent="0.25">
      <c r="A3288" s="2" t="s">
        <v>8</v>
      </c>
      <c r="B3288" s="2" t="str">
        <f>HYPERLINK("http://ts.21cn.com/tousu/show/id/1333960","钱橙无忧贷款平台扣钱168元")</f>
        <v>钱橙无忧贷款平台扣钱168元</v>
      </c>
      <c r="C3288" s="2" t="s">
        <v>9</v>
      </c>
      <c r="D3288" s="2" t="s">
        <v>10</v>
      </c>
      <c r="E3288" s="2" t="str">
        <f>HYPERLINK("http://ts.21cn.com/tousu/show/id/1333960","http://ts.21cn.com/tousu/show/id/1333960")</f>
        <v>http://ts.21cn.com/tousu/show/id/1333960</v>
      </c>
      <c r="F3288" s="2" t="s">
        <v>11</v>
      </c>
      <c r="G3288" s="2" t="s">
        <v>37665</v>
      </c>
      <c r="H3288" s="2" t="s">
        <v>37666</v>
      </c>
    </row>
    <row r="3289" spans="1:8" ht="25.05" customHeight="1" x14ac:dyDescent="0.25">
      <c r="A3289" s="2" t="s">
        <v>8</v>
      </c>
      <c r="B3289" s="2" t="str">
        <f>HYPERLINK("http://ts.21cn.com/tousu/show/id/1333962","12小时退货不退")</f>
        <v>12小时退货不退</v>
      </c>
      <c r="C3289" s="2" t="s">
        <v>9</v>
      </c>
      <c r="D3289" s="2" t="s">
        <v>10</v>
      </c>
      <c r="E3289" s="2" t="str">
        <f>HYPERLINK("http://ts.21cn.com/tousu/show/id/1333962","http://ts.21cn.com/tousu/show/id/1333962")</f>
        <v>http://ts.21cn.com/tousu/show/id/1333962</v>
      </c>
      <c r="F3289" s="2" t="s">
        <v>11</v>
      </c>
      <c r="G3289" s="2" t="s">
        <v>37663</v>
      </c>
      <c r="H3289" s="2" t="s">
        <v>37664</v>
      </c>
    </row>
    <row r="3290" spans="1:8" ht="25.05" customHeight="1" x14ac:dyDescent="0.25">
      <c r="A3290" s="2" t="s">
        <v>8</v>
      </c>
      <c r="B3290" s="2" t="str">
        <f>HYPERLINK("http://ts.21cn.com/tousu/show/id/1333963","高利贷套路贷")</f>
        <v>高利贷套路贷</v>
      </c>
      <c r="C3290" s="2" t="s">
        <v>9</v>
      </c>
      <c r="D3290" s="2" t="s">
        <v>10</v>
      </c>
      <c r="E3290" s="2" t="str">
        <f>HYPERLINK("http://ts.21cn.com/tousu/show/id/1333963","http://ts.21cn.com/tousu/show/id/1333963")</f>
        <v>http://ts.21cn.com/tousu/show/id/1333963</v>
      </c>
      <c r="F3290" s="2" t="s">
        <v>11</v>
      </c>
      <c r="G3290" s="2" t="s">
        <v>37661</v>
      </c>
      <c r="H3290" s="2" t="s">
        <v>37662</v>
      </c>
    </row>
    <row r="3291" spans="1:8" ht="25.05" customHeight="1" x14ac:dyDescent="0.25">
      <c r="A3291" s="2" t="s">
        <v>8</v>
      </c>
      <c r="B3291" s="2" t="str">
        <f>HYPERLINK("http://ts.21cn.com/tousu/show/id/1333964","来分期按时还款还是逾期")</f>
        <v>来分期按时还款还是逾期</v>
      </c>
      <c r="C3291" s="2" t="s">
        <v>9</v>
      </c>
      <c r="D3291" s="2" t="s">
        <v>10</v>
      </c>
      <c r="E3291" s="2" t="str">
        <f>HYPERLINK("http://ts.21cn.com/tousu/show/id/1333964","http://ts.21cn.com/tousu/show/id/1333964")</f>
        <v>http://ts.21cn.com/tousu/show/id/1333964</v>
      </c>
      <c r="F3291" s="2" t="s">
        <v>11</v>
      </c>
      <c r="G3291" s="2" t="s">
        <v>37659</v>
      </c>
      <c r="H3291" s="2" t="s">
        <v>37660</v>
      </c>
    </row>
    <row r="3292" spans="1:8" ht="25.05" customHeight="1" x14ac:dyDescent="0.25">
      <c r="A3292" s="2" t="s">
        <v>8</v>
      </c>
      <c r="B3292" s="2" t="str">
        <f>HYPERLINK("http://ts.21cn.com/tousu/show/id/1333969","钱橙无忧随意扣费")</f>
        <v>钱橙无忧随意扣费</v>
      </c>
      <c r="C3292" s="2" t="s">
        <v>9</v>
      </c>
      <c r="D3292" s="2" t="s">
        <v>10</v>
      </c>
      <c r="E3292" s="2" t="str">
        <f>HYPERLINK("http://ts.21cn.com/tousu/show/id/1333969","http://ts.21cn.com/tousu/show/id/1333969")</f>
        <v>http://ts.21cn.com/tousu/show/id/1333969</v>
      </c>
      <c r="F3292" s="2" t="s">
        <v>11</v>
      </c>
      <c r="G3292" s="2" t="s">
        <v>37657</v>
      </c>
      <c r="H3292" s="2" t="s">
        <v>37658</v>
      </c>
    </row>
    <row r="3293" spans="1:8" ht="25.05" customHeight="1" x14ac:dyDescent="0.25">
      <c r="A3293" s="2" t="s">
        <v>8</v>
      </c>
      <c r="B3293" s="2" t="str">
        <f>HYPERLINK("http://ts.21cn.com/tousu/show/id/1333965","小浦优客不知情乱扣费")</f>
        <v>小浦优客不知情乱扣费</v>
      </c>
      <c r="C3293" s="2" t="s">
        <v>9</v>
      </c>
      <c r="D3293" s="2" t="s">
        <v>10</v>
      </c>
      <c r="E3293" s="2" t="str">
        <f>HYPERLINK("http://ts.21cn.com/tousu/show/id/1333965","http://ts.21cn.com/tousu/show/id/1333965")</f>
        <v>http://ts.21cn.com/tousu/show/id/1333965</v>
      </c>
      <c r="F3293" s="2" t="s">
        <v>11</v>
      </c>
      <c r="G3293" s="2" t="s">
        <v>37655</v>
      </c>
      <c r="H3293" s="2" t="s">
        <v>37656</v>
      </c>
    </row>
    <row r="3294" spans="1:8" ht="25.05" customHeight="1" x14ac:dyDescent="0.25">
      <c r="A3294" s="2" t="s">
        <v>8</v>
      </c>
      <c r="B3294" s="2" t="str">
        <f>HYPERLINK("http://ts.21cn.com/tousu/show/id/1333966","催收威胁恐吓爆通讯录，非法获取私人信息")</f>
        <v>催收威胁恐吓爆通讯录，非法获取私人信息</v>
      </c>
      <c r="C3294" s="2" t="s">
        <v>9</v>
      </c>
      <c r="D3294" s="2" t="s">
        <v>10</v>
      </c>
      <c r="E3294" s="2" t="str">
        <f>HYPERLINK("http://ts.21cn.com/tousu/show/id/1333966","http://ts.21cn.com/tousu/show/id/1333966")</f>
        <v>http://ts.21cn.com/tousu/show/id/1333966</v>
      </c>
      <c r="F3294" s="2" t="s">
        <v>11</v>
      </c>
      <c r="G3294" s="2" t="s">
        <v>37653</v>
      </c>
      <c r="H3294" s="2" t="s">
        <v>37654</v>
      </c>
    </row>
    <row r="3295" spans="1:8" ht="25.05" customHeight="1" x14ac:dyDescent="0.25">
      <c r="A3295" s="2" t="s">
        <v>8</v>
      </c>
      <c r="B3295" s="2" t="str">
        <f>HYPERLINK("http://ts.21cn.com/tousu/show/id/1333967","好分期贷款砍头息")</f>
        <v>好分期贷款砍头息</v>
      </c>
      <c r="C3295" s="2" t="s">
        <v>9</v>
      </c>
      <c r="D3295" s="2" t="s">
        <v>10</v>
      </c>
      <c r="E3295" s="2" t="str">
        <f>HYPERLINK("http://ts.21cn.com/tousu/show/id/1333967","http://ts.21cn.com/tousu/show/id/1333967")</f>
        <v>http://ts.21cn.com/tousu/show/id/1333967</v>
      </c>
      <c r="F3295" s="2" t="s">
        <v>11</v>
      </c>
      <c r="G3295" s="2" t="s">
        <v>37651</v>
      </c>
      <c r="H3295" s="2" t="s">
        <v>37652</v>
      </c>
    </row>
    <row r="3296" spans="1:8" ht="25.05" customHeight="1" x14ac:dyDescent="0.25">
      <c r="A3296" s="2" t="s">
        <v>8</v>
      </c>
      <c r="B3296" s="2" t="str">
        <f>HYPERLINK("http://ts.21cn.com/tousu/show/id/1333968","滴滴出行不根据实际情况随意扣除司机服务分")</f>
        <v>滴滴出行不根据实际情况随意扣除司机服务分</v>
      </c>
      <c r="C3296" s="2" t="s">
        <v>34</v>
      </c>
      <c r="D3296" s="2" t="s">
        <v>10</v>
      </c>
      <c r="E3296" s="2" t="str">
        <f>HYPERLINK("http://ts.21cn.com/tousu/show/id/1333968","http://ts.21cn.com/tousu/show/id/1333968")</f>
        <v>http://ts.21cn.com/tousu/show/id/1333968</v>
      </c>
      <c r="F3296" s="2" t="s">
        <v>11</v>
      </c>
      <c r="G3296" s="2" t="s">
        <v>37650</v>
      </c>
      <c r="H3296" s="2" t="s">
        <v>25986</v>
      </c>
    </row>
    <row r="3297" spans="1:8" ht="25.05" customHeight="1" x14ac:dyDescent="0.25">
      <c r="A3297" s="2" t="s">
        <v>8</v>
      </c>
      <c r="B3297" s="2" t="str">
        <f>HYPERLINK("http://ts.21cn.com/tousu/show/id/1333970","小浦优客未经同意扣款")</f>
        <v>小浦优客未经同意扣款</v>
      </c>
      <c r="C3297" s="2" t="s">
        <v>9</v>
      </c>
      <c r="D3297" s="2" t="s">
        <v>10</v>
      </c>
      <c r="E3297" s="2" t="str">
        <f>HYPERLINK("http://ts.21cn.com/tousu/show/id/1333970","http://ts.21cn.com/tousu/show/id/1333970")</f>
        <v>http://ts.21cn.com/tousu/show/id/1333970</v>
      </c>
      <c r="F3297" s="2" t="s">
        <v>11</v>
      </c>
      <c r="G3297" s="2" t="s">
        <v>37648</v>
      </c>
      <c r="H3297" s="2" t="s">
        <v>37649</v>
      </c>
    </row>
    <row r="3298" spans="1:8" ht="25.05" customHeight="1" x14ac:dyDescent="0.25">
      <c r="A3298" s="2" t="s">
        <v>8</v>
      </c>
      <c r="B3298" s="2" t="str">
        <f>HYPERLINK("http://ts.21cn.com/tousu/show/id/1333971","借款3300到账2310要求退还砍头息")</f>
        <v>借款3300到账2310要求退还砍头息</v>
      </c>
      <c r="C3298" s="2" t="s">
        <v>34</v>
      </c>
      <c r="D3298" s="2" t="s">
        <v>10</v>
      </c>
      <c r="E3298" s="2" t="str">
        <f>HYPERLINK("http://ts.21cn.com/tousu/show/id/1333971","http://ts.21cn.com/tousu/show/id/1333971")</f>
        <v>http://ts.21cn.com/tousu/show/id/1333971</v>
      </c>
      <c r="F3298" s="2" t="s">
        <v>11</v>
      </c>
      <c r="G3298" s="2" t="s">
        <v>37646</v>
      </c>
      <c r="H3298" s="2" t="s">
        <v>37647</v>
      </c>
    </row>
    <row r="3299" spans="1:8" ht="25.05" customHeight="1" x14ac:dyDescent="0.25">
      <c r="A3299" s="2" t="s">
        <v>8</v>
      </c>
      <c r="B3299" s="2" t="str">
        <f>HYPERLINK("http://ts.21cn.com/tousu/show/id/1333972","豹子贷贷款被扣299元，要求退款")</f>
        <v>豹子贷贷款被扣299元，要求退款</v>
      </c>
      <c r="C3299" s="2" t="s">
        <v>9</v>
      </c>
      <c r="D3299" s="2" t="s">
        <v>10</v>
      </c>
      <c r="E3299" s="2" t="str">
        <f>HYPERLINK("http://ts.21cn.com/tousu/show/id/1333972","http://ts.21cn.com/tousu/show/id/1333972")</f>
        <v>http://ts.21cn.com/tousu/show/id/1333972</v>
      </c>
      <c r="F3299" s="2" t="s">
        <v>11</v>
      </c>
      <c r="G3299" s="2" t="s">
        <v>37644</v>
      </c>
      <c r="H3299" s="2" t="s">
        <v>37645</v>
      </c>
    </row>
    <row r="3300" spans="1:8" ht="25.05" customHeight="1" x14ac:dyDescent="0.25">
      <c r="A3300" s="2" t="s">
        <v>8</v>
      </c>
      <c r="B3300" s="2" t="str">
        <f>HYPERLINK("http://ts.21cn.com/tousu/show/id/1333975","建设银行利息太高，挂扣信用卡的钱无短信告知")</f>
        <v>建设银行利息太高，挂扣信用卡的钱无短信告知</v>
      </c>
      <c r="C3300" s="2" t="s">
        <v>9</v>
      </c>
      <c r="D3300" s="2" t="s">
        <v>10</v>
      </c>
      <c r="E3300" s="2" t="str">
        <f>HYPERLINK("http://ts.21cn.com/tousu/show/id/1333975","http://ts.21cn.com/tousu/show/id/1333975")</f>
        <v>http://ts.21cn.com/tousu/show/id/1333975</v>
      </c>
      <c r="F3300" s="2" t="s">
        <v>11</v>
      </c>
      <c r="G3300" s="2" t="s">
        <v>37642</v>
      </c>
      <c r="H3300" s="2" t="s">
        <v>37643</v>
      </c>
    </row>
    <row r="3301" spans="1:8" ht="25.05" customHeight="1" x14ac:dyDescent="0.25">
      <c r="A3301" s="2" t="s">
        <v>8</v>
      </c>
      <c r="B3301" s="2" t="str">
        <f>HYPERLINK("http://ts.21cn.com/tousu/show/id/1333973","钱伴电话骚扰")</f>
        <v>钱伴电话骚扰</v>
      </c>
      <c r="C3301" s="2" t="s">
        <v>9</v>
      </c>
      <c r="D3301" s="2" t="s">
        <v>10</v>
      </c>
      <c r="E3301" s="2" t="str">
        <f>HYPERLINK("http://ts.21cn.com/tousu/show/id/1333973","http://ts.21cn.com/tousu/show/id/1333973")</f>
        <v>http://ts.21cn.com/tousu/show/id/1333973</v>
      </c>
      <c r="F3301" s="2" t="s">
        <v>11</v>
      </c>
      <c r="G3301" s="2" t="s">
        <v>37640</v>
      </c>
      <c r="H3301" s="2" t="s">
        <v>37641</v>
      </c>
    </row>
    <row r="3302" spans="1:8" ht="25.05" customHeight="1" x14ac:dyDescent="0.25">
      <c r="A3302" s="2" t="s">
        <v>8</v>
      </c>
      <c r="B3302" s="2" t="str">
        <f>HYPERLINK("http://ts.21cn.com/tousu/show/id/1333974","汇潮支付为呗呗分期提供放款通道")</f>
        <v>汇潮支付为呗呗分期提供放款通道</v>
      </c>
      <c r="C3302" s="2" t="s">
        <v>9</v>
      </c>
      <c r="D3302" s="2" t="s">
        <v>10</v>
      </c>
      <c r="E3302" s="2" t="str">
        <f>HYPERLINK("http://ts.21cn.com/tousu/show/id/1333974","http://ts.21cn.com/tousu/show/id/1333974")</f>
        <v>http://ts.21cn.com/tousu/show/id/1333974</v>
      </c>
      <c r="F3302" s="2" t="s">
        <v>11</v>
      </c>
      <c r="G3302" s="2" t="s">
        <v>37638</v>
      </c>
      <c r="H3302" s="2" t="s">
        <v>37639</v>
      </c>
    </row>
    <row r="3303" spans="1:8" ht="25.05" customHeight="1" x14ac:dyDescent="0.25">
      <c r="A3303" s="2" t="s">
        <v>8</v>
      </c>
      <c r="B3303" s="2" t="str">
        <f>HYPERLINK("http://ts.21cn.com/tousu/show/id/1333976","（特约）中智恶意扣款盗刷")</f>
        <v>（特约）中智恶意扣款盗刷</v>
      </c>
      <c r="C3303" s="2" t="s">
        <v>9</v>
      </c>
      <c r="D3303" s="2" t="s">
        <v>10</v>
      </c>
      <c r="E3303" s="2" t="str">
        <f>HYPERLINK("http://ts.21cn.com/tousu/show/id/1333976","http://ts.21cn.com/tousu/show/id/1333976")</f>
        <v>http://ts.21cn.com/tousu/show/id/1333976</v>
      </c>
      <c r="F3303" s="2" t="s">
        <v>11</v>
      </c>
      <c r="G3303" s="2" t="s">
        <v>37636</v>
      </c>
      <c r="H3303" s="2" t="s">
        <v>37637</v>
      </c>
    </row>
    <row r="3304" spans="1:8" ht="25.05" customHeight="1" x14ac:dyDescent="0.25">
      <c r="A3304" s="2" t="s">
        <v>8</v>
      </c>
      <c r="B3304" s="2" t="str">
        <f>HYPERLINK("http://ts.21cn.com/tousu/show/id/1333979","小浦优客app未提示扣取报告费要求退回")</f>
        <v>小浦优客app未提示扣取报告费要求退回</v>
      </c>
      <c r="C3304" s="2" t="s">
        <v>9</v>
      </c>
      <c r="D3304" s="2" t="s">
        <v>10</v>
      </c>
      <c r="E3304" s="2" t="str">
        <f>HYPERLINK("http://ts.21cn.com/tousu/show/id/1333979","http://ts.21cn.com/tousu/show/id/1333979")</f>
        <v>http://ts.21cn.com/tousu/show/id/1333979</v>
      </c>
      <c r="F3304" s="2" t="s">
        <v>11</v>
      </c>
      <c r="G3304" s="2" t="s">
        <v>37634</v>
      </c>
      <c r="H3304" s="2" t="s">
        <v>37635</v>
      </c>
    </row>
    <row r="3305" spans="1:8" ht="25.05" customHeight="1" x14ac:dyDescent="0.25">
      <c r="A3305" s="2" t="s">
        <v>8</v>
      </c>
      <c r="B3305" s="2" t="str">
        <f>HYPERLINK("http://ts.21cn.com/tousu/show/id/1333978","智行火车票不退款")</f>
        <v>智行火车票不退款</v>
      </c>
      <c r="C3305" s="2" t="s">
        <v>9</v>
      </c>
      <c r="D3305" s="2" t="s">
        <v>10</v>
      </c>
      <c r="E3305" s="2" t="str">
        <f>HYPERLINK("http://ts.21cn.com/tousu/show/id/1333978","http://ts.21cn.com/tousu/show/id/1333978")</f>
        <v>http://ts.21cn.com/tousu/show/id/1333978</v>
      </c>
      <c r="F3305" s="2" t="s">
        <v>11</v>
      </c>
      <c r="G3305" s="2" t="s">
        <v>37632</v>
      </c>
      <c r="H3305" s="2" t="s">
        <v>37633</v>
      </c>
    </row>
    <row r="3306" spans="1:8" ht="25.05" customHeight="1" x14ac:dyDescent="0.25">
      <c r="A3306" s="2" t="s">
        <v>8</v>
      </c>
      <c r="B3306" s="2" t="str">
        <f>HYPERLINK("http://ts.21cn.com/tousu/show/id/1333980","小浦优客未经同意扣款")</f>
        <v>小浦优客未经同意扣款</v>
      </c>
      <c r="C3306" s="2" t="s">
        <v>9</v>
      </c>
      <c r="D3306" s="2" t="s">
        <v>10</v>
      </c>
      <c r="E3306" s="2" t="str">
        <f>HYPERLINK("http://ts.21cn.com/tousu/show/id/1333980","http://ts.21cn.com/tousu/show/id/1333980")</f>
        <v>http://ts.21cn.com/tousu/show/id/1333980</v>
      </c>
      <c r="F3306" s="2" t="s">
        <v>11</v>
      </c>
      <c r="G3306" s="2" t="s">
        <v>37630</v>
      </c>
      <c r="H3306" s="2" t="s">
        <v>37631</v>
      </c>
    </row>
    <row r="3307" spans="1:8" ht="25.05" customHeight="1" x14ac:dyDescent="0.25">
      <c r="A3307" s="2" t="s">
        <v>8</v>
      </c>
      <c r="B3307" s="2" t="str">
        <f>HYPERLINK("http://ts.21cn.com/tousu/show/id/1333981","51信用卡管家人品贷暴力催收")</f>
        <v>51信用卡管家人品贷暴力催收</v>
      </c>
      <c r="C3307" s="2" t="s">
        <v>9</v>
      </c>
      <c r="D3307" s="2" t="s">
        <v>10</v>
      </c>
      <c r="E3307" s="2" t="str">
        <f>HYPERLINK("http://ts.21cn.com/tousu/show/id/1333981","http://ts.21cn.com/tousu/show/id/1333981")</f>
        <v>http://ts.21cn.com/tousu/show/id/1333981</v>
      </c>
      <c r="F3307" s="2" t="s">
        <v>11</v>
      </c>
      <c r="G3307" s="2" t="s">
        <v>37628</v>
      </c>
      <c r="H3307" s="2" t="s">
        <v>37629</v>
      </c>
    </row>
    <row r="3308" spans="1:8" ht="25.05" customHeight="1" x14ac:dyDescent="0.25">
      <c r="A3308" s="2" t="s">
        <v>8</v>
      </c>
      <c r="B3308" s="2" t="str">
        <f>HYPERLINK("http://ts.21cn.com/tousu/show/id/1333982","肥猫贷非法高利贷")</f>
        <v>肥猫贷非法高利贷</v>
      </c>
      <c r="C3308" s="2" t="s">
        <v>9</v>
      </c>
      <c r="D3308" s="2" t="s">
        <v>10</v>
      </c>
      <c r="E3308" s="2" t="str">
        <f>HYPERLINK("http://ts.21cn.com/tousu/show/id/1333982","http://ts.21cn.com/tousu/show/id/1333982")</f>
        <v>http://ts.21cn.com/tousu/show/id/1333982</v>
      </c>
      <c r="F3308" s="2" t="s">
        <v>11</v>
      </c>
      <c r="G3308" s="2" t="s">
        <v>37626</v>
      </c>
      <c r="H3308" s="2" t="s">
        <v>37627</v>
      </c>
    </row>
    <row r="3309" spans="1:8" ht="25.05" customHeight="1" x14ac:dyDescent="0.25">
      <c r="A3309" s="2" t="s">
        <v>8</v>
      </c>
      <c r="B3309" s="2" t="str">
        <f>HYPERLINK("http://ts.21cn.com/tousu/show/id/1333983","小通商城恶意扣费")</f>
        <v>小通商城恶意扣费</v>
      </c>
      <c r="C3309" s="2" t="s">
        <v>9</v>
      </c>
      <c r="D3309" s="2" t="s">
        <v>10</v>
      </c>
      <c r="E3309" s="2" t="str">
        <f>HYPERLINK("http://ts.21cn.com/tousu/show/id/1333983","http://ts.21cn.com/tousu/show/id/1333983")</f>
        <v>http://ts.21cn.com/tousu/show/id/1333983</v>
      </c>
      <c r="F3309" s="2" t="s">
        <v>11</v>
      </c>
      <c r="G3309" s="2" t="s">
        <v>37624</v>
      </c>
      <c r="H3309" s="2" t="s">
        <v>37625</v>
      </c>
    </row>
    <row r="3310" spans="1:8" ht="25.05" customHeight="1" x14ac:dyDescent="0.25">
      <c r="A3310" s="2" t="s">
        <v>8</v>
      </c>
      <c r="B3310" s="2" t="str">
        <f>HYPERLINK("http://ts.21cn.com/tousu/show/id/1333984","玖富万卡服务费用太高")</f>
        <v>玖富万卡服务费用太高</v>
      </c>
      <c r="C3310" s="2" t="s">
        <v>9</v>
      </c>
      <c r="D3310" s="2" t="s">
        <v>10</v>
      </c>
      <c r="E3310" s="2" t="str">
        <f>HYPERLINK("http://ts.21cn.com/tousu/show/id/1333984","http://ts.21cn.com/tousu/show/id/1333984")</f>
        <v>http://ts.21cn.com/tousu/show/id/1333984</v>
      </c>
      <c r="F3310" s="2" t="s">
        <v>11</v>
      </c>
      <c r="G3310" s="2" t="s">
        <v>37622</v>
      </c>
      <c r="H3310" s="2" t="s">
        <v>37623</v>
      </c>
    </row>
    <row r="3311" spans="1:8" ht="25.05" customHeight="1" x14ac:dyDescent="0.25">
      <c r="A3311" s="2" t="s">
        <v>8</v>
      </c>
      <c r="B3311" s="2" t="str">
        <f>HYPERLINK("http://ts.21cn.com/tousu/show/id/1333985","电话不停骚扰、暴力催收、")</f>
        <v>电话不停骚扰、暴力催收、</v>
      </c>
      <c r="C3311" s="2" t="s">
        <v>9</v>
      </c>
      <c r="D3311" s="2" t="s">
        <v>10</v>
      </c>
      <c r="E3311" s="2" t="str">
        <f>HYPERLINK("http://ts.21cn.com/tousu/show/id/1333985","http://ts.21cn.com/tousu/show/id/1333985")</f>
        <v>http://ts.21cn.com/tousu/show/id/1333985</v>
      </c>
      <c r="F3311" s="2" t="s">
        <v>11</v>
      </c>
      <c r="G3311" s="2" t="s">
        <v>37620</v>
      </c>
      <c r="H3311" s="2" t="s">
        <v>37621</v>
      </c>
    </row>
    <row r="3312" spans="1:8" ht="25.05" customHeight="1" x14ac:dyDescent="0.25">
      <c r="A3312" s="2" t="s">
        <v>8</v>
      </c>
      <c r="B3312" s="2" t="str">
        <f>HYPERLINK("http://ts.21cn.com/tousu/show/id/1333986","智行火车票在不告知情况下购买加速包")</f>
        <v>智行火车票在不告知情况下购买加速包</v>
      </c>
      <c r="C3312" s="2" t="s">
        <v>9</v>
      </c>
      <c r="D3312" s="2" t="s">
        <v>10</v>
      </c>
      <c r="E3312" s="2" t="str">
        <f>HYPERLINK("http://ts.21cn.com/tousu/show/id/1333986","http://ts.21cn.com/tousu/show/id/1333986")</f>
        <v>http://ts.21cn.com/tousu/show/id/1333986</v>
      </c>
      <c r="F3312" s="2" t="s">
        <v>11</v>
      </c>
      <c r="G3312" s="2" t="s">
        <v>37618</v>
      </c>
      <c r="H3312" s="2" t="s">
        <v>37619</v>
      </c>
    </row>
    <row r="3313" spans="1:8" ht="25.05" customHeight="1" x14ac:dyDescent="0.25">
      <c r="A3313" s="2" t="s">
        <v>8</v>
      </c>
      <c r="B3313" s="2" t="str">
        <f>HYPERLINK("http://ts.21cn.com/tousu/show/id/1333987","百事普惠恶意扣款")</f>
        <v>百事普惠恶意扣款</v>
      </c>
      <c r="C3313" s="2" t="s">
        <v>9</v>
      </c>
      <c r="D3313" s="2" t="s">
        <v>10</v>
      </c>
      <c r="E3313" s="2" t="str">
        <f>HYPERLINK("http://ts.21cn.com/tousu/show/id/1333987","http://ts.21cn.com/tousu/show/id/1333987")</f>
        <v>http://ts.21cn.com/tousu/show/id/1333987</v>
      </c>
      <c r="F3313" s="2" t="s">
        <v>11</v>
      </c>
      <c r="G3313" s="2" t="s">
        <v>37616</v>
      </c>
      <c r="H3313" s="2" t="s">
        <v>37617</v>
      </c>
    </row>
    <row r="3314" spans="1:8" ht="25.05" customHeight="1" x14ac:dyDescent="0.25">
      <c r="A3314" s="2" t="s">
        <v>8</v>
      </c>
      <c r="B3314" s="2" t="str">
        <f>HYPERLINK("http://ts.21cn.com/tousu/show/id/1333988","小象优品暴力催收")</f>
        <v>小象优品暴力催收</v>
      </c>
      <c r="C3314" s="2" t="s">
        <v>9</v>
      </c>
      <c r="D3314" s="2" t="s">
        <v>10</v>
      </c>
      <c r="E3314" s="2" t="str">
        <f>HYPERLINK("http://ts.21cn.com/tousu/show/id/1333988","http://ts.21cn.com/tousu/show/id/1333988")</f>
        <v>http://ts.21cn.com/tousu/show/id/1333988</v>
      </c>
      <c r="F3314" s="2" t="s">
        <v>11</v>
      </c>
      <c r="G3314" s="2" t="s">
        <v>37614</v>
      </c>
      <c r="H3314" s="2" t="s">
        <v>37615</v>
      </c>
    </row>
    <row r="3315" spans="1:8" ht="25.05" customHeight="1" x14ac:dyDescent="0.25">
      <c r="A3315" s="2" t="s">
        <v>8</v>
      </c>
      <c r="B3315" s="2" t="str">
        <f>HYPERLINK("http://ts.21cn.com/tousu/show/id/1333989","暴力催收，恐吓")</f>
        <v>暴力催收，恐吓</v>
      </c>
      <c r="C3315" s="2" t="s">
        <v>9</v>
      </c>
      <c r="D3315" s="2" t="s">
        <v>10</v>
      </c>
      <c r="E3315" s="2" t="str">
        <f>HYPERLINK("http://ts.21cn.com/tousu/show/id/1333989","http://ts.21cn.com/tousu/show/id/1333989")</f>
        <v>http://ts.21cn.com/tousu/show/id/1333989</v>
      </c>
      <c r="F3315" s="2" t="s">
        <v>11</v>
      </c>
      <c r="G3315" s="2" t="s">
        <v>37612</v>
      </c>
      <c r="H3315" s="2" t="s">
        <v>37613</v>
      </c>
    </row>
    <row r="3316" spans="1:8" ht="25.05" customHeight="1" x14ac:dyDescent="0.25">
      <c r="A3316" s="2" t="s">
        <v>8</v>
      </c>
      <c r="B3316" s="2" t="str">
        <f>HYPERLINK("http://ts.21cn.com/tousu/show/id/1333990","钱站催收恶意骚扰恐吓家人通讯录")</f>
        <v>钱站催收恶意骚扰恐吓家人通讯录</v>
      </c>
      <c r="C3316" s="2" t="s">
        <v>9</v>
      </c>
      <c r="D3316" s="2" t="s">
        <v>10</v>
      </c>
      <c r="E3316" s="2" t="str">
        <f>HYPERLINK("http://ts.21cn.com/tousu/show/id/1333990","http://ts.21cn.com/tousu/show/id/1333990")</f>
        <v>http://ts.21cn.com/tousu/show/id/1333990</v>
      </c>
      <c r="F3316" s="2" t="s">
        <v>11</v>
      </c>
      <c r="G3316" s="2" t="s">
        <v>37610</v>
      </c>
      <c r="H3316" s="2" t="s">
        <v>37611</v>
      </c>
    </row>
    <row r="3317" spans="1:8" ht="25.05" customHeight="1" x14ac:dyDescent="0.25">
      <c r="A3317" s="2" t="s">
        <v>8</v>
      </c>
      <c r="B3317" s="2" t="str">
        <f>HYPERLINK("http://ts.21cn.com/tousu/show/id/1333991","魔借app不能登陆，卡里有钱不去扣款")</f>
        <v>魔借app不能登陆，卡里有钱不去扣款</v>
      </c>
      <c r="C3317" s="2" t="s">
        <v>9</v>
      </c>
      <c r="D3317" s="2" t="s">
        <v>10</v>
      </c>
      <c r="E3317" s="2" t="str">
        <f>HYPERLINK("http://ts.21cn.com/tousu/show/id/1333991","http://ts.21cn.com/tousu/show/id/1333991")</f>
        <v>http://ts.21cn.com/tousu/show/id/1333991</v>
      </c>
      <c r="F3317" s="2" t="s">
        <v>11</v>
      </c>
      <c r="G3317" s="2" t="s">
        <v>37608</v>
      </c>
      <c r="H3317" s="2" t="s">
        <v>37609</v>
      </c>
    </row>
    <row r="3318" spans="1:8" ht="25.05" customHeight="1" x14ac:dyDescent="0.25">
      <c r="A3318" s="2" t="s">
        <v>8</v>
      </c>
      <c r="B3318" s="2" t="str">
        <f>HYPERLINK("http://ts.21cn.com/tousu/show/id/1333994","来分期违规催收")</f>
        <v>来分期违规催收</v>
      </c>
      <c r="C3318" s="2" t="s">
        <v>9</v>
      </c>
      <c r="D3318" s="2" t="s">
        <v>10</v>
      </c>
      <c r="E3318" s="2" t="str">
        <f>HYPERLINK("http://ts.21cn.com/tousu/show/id/1333994","http://ts.21cn.com/tousu/show/id/1333994")</f>
        <v>http://ts.21cn.com/tousu/show/id/1333994</v>
      </c>
      <c r="F3318" s="2" t="s">
        <v>11</v>
      </c>
      <c r="G3318" s="2" t="s">
        <v>37606</v>
      </c>
      <c r="H3318" s="2" t="s">
        <v>37607</v>
      </c>
    </row>
    <row r="3319" spans="1:8" ht="25.05" customHeight="1" x14ac:dyDescent="0.25">
      <c r="A3319" s="2" t="s">
        <v>8</v>
      </c>
      <c r="B3319" s="2" t="str">
        <f>HYPERLINK("http://ts.21cn.com/tousu/show/id/1333996","平安普惠贷款隐瞒隐藏并强制收取高额保险费管理费投诉事宜")</f>
        <v>平安普惠贷款隐瞒隐藏并强制收取高额保险费管理费投诉事宜</v>
      </c>
      <c r="C3319" s="2" t="s">
        <v>9</v>
      </c>
      <c r="D3319" s="2" t="s">
        <v>10</v>
      </c>
      <c r="E3319" s="2" t="str">
        <f>HYPERLINK("http://ts.21cn.com/tousu/show/id/1333996","http://ts.21cn.com/tousu/show/id/1333996")</f>
        <v>http://ts.21cn.com/tousu/show/id/1333996</v>
      </c>
      <c r="F3319" s="2" t="s">
        <v>11</v>
      </c>
      <c r="G3319" s="2" t="s">
        <v>37604</v>
      </c>
      <c r="H3319" s="2" t="s">
        <v>37605</v>
      </c>
    </row>
    <row r="3320" spans="1:8" ht="25.05" customHeight="1" x14ac:dyDescent="0.25">
      <c r="A3320" s="2" t="s">
        <v>8</v>
      </c>
      <c r="B3320" s="2" t="str">
        <f>HYPERLINK("http://ts.21cn.com/tousu/show/id/1333997","立借涉嫌变相放高利贷")</f>
        <v>立借涉嫌变相放高利贷</v>
      </c>
      <c r="C3320" s="2" t="s">
        <v>9</v>
      </c>
      <c r="D3320" s="2" t="s">
        <v>10</v>
      </c>
      <c r="E3320" s="2" t="str">
        <f>HYPERLINK("http://ts.21cn.com/tousu/show/id/1333997","http://ts.21cn.com/tousu/show/id/1333997")</f>
        <v>http://ts.21cn.com/tousu/show/id/1333997</v>
      </c>
      <c r="F3320" s="2" t="s">
        <v>11</v>
      </c>
      <c r="G3320" s="2" t="s">
        <v>37602</v>
      </c>
      <c r="H3320" s="2" t="s">
        <v>37603</v>
      </c>
    </row>
    <row r="3321" spans="1:8" ht="25.05" customHeight="1" x14ac:dyDescent="0.25">
      <c r="A3321" s="2" t="s">
        <v>8</v>
      </c>
      <c r="B3321" s="2" t="str">
        <f>HYPERLINK("http://ts.21cn.com/tousu/show/id/1333998","想有钱金鸡下蛋威力贷非法高利贷")</f>
        <v>想有钱金鸡下蛋威力贷非法高利贷</v>
      </c>
      <c r="C3321" s="2" t="s">
        <v>9</v>
      </c>
      <c r="D3321" s="2" t="s">
        <v>10</v>
      </c>
      <c r="E3321" s="2" t="str">
        <f>HYPERLINK("http://ts.21cn.com/tousu/show/id/1333998","http://ts.21cn.com/tousu/show/id/1333998")</f>
        <v>http://ts.21cn.com/tousu/show/id/1333998</v>
      </c>
      <c r="F3321" s="2" t="s">
        <v>11</v>
      </c>
      <c r="G3321" s="2" t="s">
        <v>37600</v>
      </c>
      <c r="H3321" s="2" t="s">
        <v>37601</v>
      </c>
    </row>
    <row r="3322" spans="1:8" ht="25.05" customHeight="1" x14ac:dyDescent="0.25">
      <c r="A3322" s="2" t="s">
        <v>8</v>
      </c>
      <c r="B3322" s="2" t="str">
        <f>HYPERLINK("http://ts.21cn.com/tousu/show/id/1333999","钱橙无忧随意扣费")</f>
        <v>钱橙无忧随意扣费</v>
      </c>
      <c r="C3322" s="2" t="s">
        <v>34</v>
      </c>
      <c r="D3322" s="2" t="s">
        <v>10</v>
      </c>
      <c r="E3322" s="2" t="str">
        <f>HYPERLINK("http://ts.21cn.com/tousu/show/id/1333999","http://ts.21cn.com/tousu/show/id/1333999")</f>
        <v>http://ts.21cn.com/tousu/show/id/1333999</v>
      </c>
      <c r="F3322" s="2" t="s">
        <v>11</v>
      </c>
      <c r="G3322" s="2" t="s">
        <v>37598</v>
      </c>
      <c r="H3322" s="2" t="s">
        <v>37599</v>
      </c>
    </row>
    <row r="3323" spans="1:8" ht="25.05" customHeight="1" x14ac:dyDescent="0.25">
      <c r="A3323" s="2" t="s">
        <v>8</v>
      </c>
      <c r="B3323" s="2" t="str">
        <f>HYPERLINK("http://ts.21cn.com/tousu/show/id/1334000","瞎搞话费")</f>
        <v>瞎搞话费</v>
      </c>
      <c r="C3323" s="2" t="s">
        <v>9</v>
      </c>
      <c r="D3323" s="2" t="s">
        <v>10</v>
      </c>
      <c r="E3323" s="2" t="str">
        <f>HYPERLINK("http://ts.21cn.com/tousu/show/id/1334000","http://ts.21cn.com/tousu/show/id/1334000")</f>
        <v>http://ts.21cn.com/tousu/show/id/1334000</v>
      </c>
      <c r="F3323" s="2" t="s">
        <v>11</v>
      </c>
      <c r="G3323" s="2" t="s">
        <v>37596</v>
      </c>
      <c r="H3323" s="2" t="s">
        <v>37597</v>
      </c>
    </row>
    <row r="3324" spans="1:8" ht="25.05" customHeight="1" x14ac:dyDescent="0.25">
      <c r="A3324" s="2" t="s">
        <v>8</v>
      </c>
      <c r="B3324" s="2" t="str">
        <f>HYPERLINK("http://ts.21cn.com/tousu/show/id/1333916","卖家收完款跑路")</f>
        <v>卖家收完款跑路</v>
      </c>
      <c r="C3324" s="2" t="s">
        <v>9</v>
      </c>
      <c r="D3324" s="2" t="s">
        <v>10</v>
      </c>
      <c r="E3324" s="2" t="str">
        <f>HYPERLINK("http://ts.21cn.com/tousu/show/id/1333916","http://ts.21cn.com/tousu/show/id/1333916")</f>
        <v>http://ts.21cn.com/tousu/show/id/1333916</v>
      </c>
      <c r="F3324" s="2" t="s">
        <v>11</v>
      </c>
      <c r="G3324" s="2" t="s">
        <v>37594</v>
      </c>
      <c r="H3324" s="2" t="s">
        <v>37595</v>
      </c>
    </row>
    <row r="3325" spans="1:8" ht="25.05" customHeight="1" x14ac:dyDescent="0.25">
      <c r="A3325" s="2" t="s">
        <v>8</v>
      </c>
      <c r="B3325" s="2" t="str">
        <f>HYPERLINK("http://ts.21cn.com/tousu/show/id/1334002","新橙优品代扣失败导致逾期，并且官方失联")</f>
        <v>新橙优品代扣失败导致逾期，并且官方失联</v>
      </c>
      <c r="C3325" s="2" t="s">
        <v>9</v>
      </c>
      <c r="D3325" s="2" t="s">
        <v>10</v>
      </c>
      <c r="E3325" s="2" t="str">
        <f>HYPERLINK("http://ts.21cn.com/tousu/show/id/1334002","http://ts.21cn.com/tousu/show/id/1334002")</f>
        <v>http://ts.21cn.com/tousu/show/id/1334002</v>
      </c>
      <c r="F3325" s="2" t="s">
        <v>11</v>
      </c>
      <c r="G3325" s="2" t="s">
        <v>37592</v>
      </c>
      <c r="H3325" s="2" t="s">
        <v>37593</v>
      </c>
    </row>
    <row r="3326" spans="1:8" ht="25.05" customHeight="1" x14ac:dyDescent="0.25">
      <c r="A3326" s="2" t="s">
        <v>8</v>
      </c>
      <c r="B3326" s="2" t="str">
        <f>HYPERLINK("http://ts.21cn.com/tousu/show/id/1334003","浦发信用卡无还款能力")</f>
        <v>浦发信用卡无还款能力</v>
      </c>
      <c r="C3326" s="2" t="s">
        <v>34</v>
      </c>
      <c r="D3326" s="2" t="s">
        <v>10</v>
      </c>
      <c r="E3326" s="2" t="str">
        <f>HYPERLINK("http://ts.21cn.com/tousu/show/id/1334003","http://ts.21cn.com/tousu/show/id/1334003")</f>
        <v>http://ts.21cn.com/tousu/show/id/1334003</v>
      </c>
      <c r="F3326" s="2" t="s">
        <v>11</v>
      </c>
      <c r="G3326" s="2" t="s">
        <v>37590</v>
      </c>
      <c r="H3326" s="2" t="s">
        <v>37591</v>
      </c>
    </row>
    <row r="3327" spans="1:8" ht="25.05" customHeight="1" x14ac:dyDescent="0.25">
      <c r="A3327" s="2" t="s">
        <v>8</v>
      </c>
      <c r="B3327" s="2" t="str">
        <f>HYPERLINK("http://ts.21cn.com/tousu/show/id/1334005","国美泄露个人信息给钓鱼平台")</f>
        <v>国美泄露个人信息给钓鱼平台</v>
      </c>
      <c r="C3327" s="2" t="s">
        <v>9</v>
      </c>
      <c r="D3327" s="2" t="s">
        <v>10</v>
      </c>
      <c r="E3327" s="2" t="str">
        <f>HYPERLINK("http://ts.21cn.com/tousu/show/id/1334005","http://ts.21cn.com/tousu/show/id/1334005")</f>
        <v>http://ts.21cn.com/tousu/show/id/1334005</v>
      </c>
      <c r="F3327" s="2" t="s">
        <v>11</v>
      </c>
      <c r="G3327" s="2" t="s">
        <v>37588</v>
      </c>
      <c r="H3327" s="2" t="s">
        <v>37589</v>
      </c>
    </row>
    <row r="3328" spans="1:8" ht="25.05" customHeight="1" x14ac:dyDescent="0.25">
      <c r="A3328" s="2" t="s">
        <v>8</v>
      </c>
      <c r="B3328" s="2" t="str">
        <f>HYPERLINK("http://ts.21cn.com/tousu/show/id/1334004","钱伴收取服务费")</f>
        <v>钱伴收取服务费</v>
      </c>
      <c r="C3328" s="2" t="s">
        <v>34</v>
      </c>
      <c r="D3328" s="2" t="s">
        <v>10</v>
      </c>
      <c r="E3328" s="2" t="str">
        <f>HYPERLINK("http://ts.21cn.com/tousu/show/id/1334004","http://ts.21cn.com/tousu/show/id/1334004")</f>
        <v>http://ts.21cn.com/tousu/show/id/1334004</v>
      </c>
      <c r="F3328" s="2" t="s">
        <v>11</v>
      </c>
      <c r="G3328" s="2" t="s">
        <v>37586</v>
      </c>
      <c r="H3328" s="2" t="s">
        <v>37587</v>
      </c>
    </row>
    <row r="3329" spans="1:8" ht="25.05" customHeight="1" x14ac:dyDescent="0.25">
      <c r="A3329" s="2" t="s">
        <v>8</v>
      </c>
      <c r="B3329" s="2" t="str">
        <f>HYPERLINK("http://ts.21cn.com/tousu/show/id/1334006","百度金融恐吓催收")</f>
        <v>百度金融恐吓催收</v>
      </c>
      <c r="C3329" s="2" t="s">
        <v>9</v>
      </c>
      <c r="D3329" s="2" t="s">
        <v>10</v>
      </c>
      <c r="E3329" s="2" t="str">
        <f>HYPERLINK("http://ts.21cn.com/tousu/show/id/1334006","http://ts.21cn.com/tousu/show/id/1334006")</f>
        <v>http://ts.21cn.com/tousu/show/id/1334006</v>
      </c>
      <c r="F3329" s="2" t="s">
        <v>11</v>
      </c>
      <c r="G3329" s="2" t="s">
        <v>37584</v>
      </c>
      <c r="H3329" s="2" t="s">
        <v>37585</v>
      </c>
    </row>
    <row r="3330" spans="1:8" ht="25.05" customHeight="1" x14ac:dyDescent="0.25">
      <c r="A3330" s="2" t="s">
        <v>8</v>
      </c>
      <c r="B3330" s="2" t="str">
        <f>HYPERLINK("http://ts.21cn.com/tousu/show/id/1334007","无缘无故扣钱")</f>
        <v>无缘无故扣钱</v>
      </c>
      <c r="C3330" s="2" t="s">
        <v>9</v>
      </c>
      <c r="D3330" s="2" t="s">
        <v>10</v>
      </c>
      <c r="E3330" s="2" t="str">
        <f>HYPERLINK("http://ts.21cn.com/tousu/show/id/1334007","http://ts.21cn.com/tousu/show/id/1334007")</f>
        <v>http://ts.21cn.com/tousu/show/id/1334007</v>
      </c>
      <c r="F3330" s="2" t="s">
        <v>11</v>
      </c>
      <c r="G3330" s="2" t="s">
        <v>37582</v>
      </c>
      <c r="H3330" s="2" t="s">
        <v>37583</v>
      </c>
    </row>
    <row r="3331" spans="1:8" ht="25.05" customHeight="1" x14ac:dyDescent="0.25">
      <c r="A3331" s="2" t="s">
        <v>8</v>
      </c>
      <c r="B3331" s="2" t="str">
        <f>HYPERLINK("http://ts.21cn.com/tousu/show/id/1333995","3-6-9-12每期利息都是一样多，合理吗？")</f>
        <v>3-6-9-12每期利息都是一样多，合理吗？</v>
      </c>
      <c r="C3331" s="2" t="s">
        <v>9</v>
      </c>
      <c r="D3331" s="2" t="s">
        <v>10</v>
      </c>
      <c r="E3331" s="2" t="str">
        <f>HYPERLINK("http://ts.21cn.com/tousu/show/id/1333995","http://ts.21cn.com/tousu/show/id/1333995")</f>
        <v>http://ts.21cn.com/tousu/show/id/1333995</v>
      </c>
      <c r="F3331" s="2" t="s">
        <v>11</v>
      </c>
      <c r="G3331" s="2" t="s">
        <v>37580</v>
      </c>
      <c r="H3331" s="2" t="s">
        <v>37581</v>
      </c>
    </row>
    <row r="3332" spans="1:8" ht="25.05" customHeight="1" x14ac:dyDescent="0.25">
      <c r="A3332" s="2" t="s">
        <v>8</v>
      </c>
      <c r="B3332" s="2" t="str">
        <f>HYPERLINK("http://ts.21cn.com/tousu/show/id/1333993","少年三国志，充值送的道具系统卡了被消耗掉处理")</f>
        <v>少年三国志，充值送的道具系统卡了被消耗掉处理</v>
      </c>
      <c r="C3332" s="2" t="s">
        <v>34</v>
      </c>
      <c r="D3332" s="2" t="s">
        <v>10</v>
      </c>
      <c r="E3332" s="2" t="str">
        <f>HYPERLINK("http://ts.21cn.com/tousu/show/id/1333993","http://ts.21cn.com/tousu/show/id/1333993")</f>
        <v>http://ts.21cn.com/tousu/show/id/1333993</v>
      </c>
      <c r="F3332" s="2" t="s">
        <v>11</v>
      </c>
      <c r="G3332" s="2" t="s">
        <v>37578</v>
      </c>
      <c r="H3332" s="2" t="s">
        <v>37579</v>
      </c>
    </row>
    <row r="3333" spans="1:8" ht="25.05" customHeight="1" x14ac:dyDescent="0.25">
      <c r="A3333" s="2" t="s">
        <v>8</v>
      </c>
      <c r="B3333" s="2" t="str">
        <f>HYPERLINK("http://ts.21cn.com/tousu/show/id/1334008","钱站高利贷阴阳合同")</f>
        <v>钱站高利贷阴阳合同</v>
      </c>
      <c r="C3333" s="2" t="s">
        <v>9</v>
      </c>
      <c r="D3333" s="2" t="s">
        <v>10</v>
      </c>
      <c r="E3333" s="2" t="str">
        <f>HYPERLINK("http://ts.21cn.com/tousu/show/id/1334008","http://ts.21cn.com/tousu/show/id/1334008")</f>
        <v>http://ts.21cn.com/tousu/show/id/1334008</v>
      </c>
      <c r="F3333" s="2" t="s">
        <v>11</v>
      </c>
      <c r="G3333" s="2" t="s">
        <v>37576</v>
      </c>
      <c r="H3333" s="2" t="s">
        <v>37577</v>
      </c>
    </row>
    <row r="3334" spans="1:8" ht="25.05" customHeight="1" x14ac:dyDescent="0.25">
      <c r="A3334" s="2" t="s">
        <v>8</v>
      </c>
      <c r="B3334" s="2" t="str">
        <f>HYPERLINK("http://ts.21cn.com/tousu/show/id/1334009","机械革命电脑")</f>
        <v>机械革命电脑</v>
      </c>
      <c r="C3334" s="2" t="s">
        <v>34</v>
      </c>
      <c r="D3334" s="2" t="s">
        <v>10</v>
      </c>
      <c r="E3334" s="2" t="str">
        <f>HYPERLINK("http://ts.21cn.com/tousu/show/id/1334009","http://ts.21cn.com/tousu/show/id/1334009")</f>
        <v>http://ts.21cn.com/tousu/show/id/1334009</v>
      </c>
      <c r="F3334" s="2" t="s">
        <v>11</v>
      </c>
      <c r="G3334" s="2" t="s">
        <v>37574</v>
      </c>
      <c r="H3334" s="2" t="s">
        <v>37575</v>
      </c>
    </row>
    <row r="3335" spans="1:8" ht="25.05" customHeight="1" x14ac:dyDescent="0.25">
      <c r="A3335" s="2" t="s">
        <v>8</v>
      </c>
      <c r="B3335" s="2" t="str">
        <f>HYPERLINK("http://ts.21cn.com/tousu/show/id/1334010","智行订酒店不能退款也不没有订好。")</f>
        <v>智行订酒店不能退款也不没有订好。</v>
      </c>
      <c r="C3335" s="2" t="s">
        <v>9</v>
      </c>
      <c r="D3335" s="2" t="s">
        <v>10</v>
      </c>
      <c r="E3335" s="2" t="str">
        <f>HYPERLINK("http://ts.21cn.com/tousu/show/id/1334010","http://ts.21cn.com/tousu/show/id/1334010")</f>
        <v>http://ts.21cn.com/tousu/show/id/1334010</v>
      </c>
      <c r="F3335" s="2" t="s">
        <v>11</v>
      </c>
      <c r="G3335" s="2" t="s">
        <v>37572</v>
      </c>
      <c r="H3335" s="2" t="s">
        <v>37573</v>
      </c>
    </row>
    <row r="3336" spans="1:8" ht="25.05" customHeight="1" x14ac:dyDescent="0.25">
      <c r="A3336" s="2" t="s">
        <v>8</v>
      </c>
      <c r="B3336" s="2" t="str">
        <f>HYPERLINK("http://ts.21cn.com/tousu/show/id/1334011","微品分期app打不开，无法还款")</f>
        <v>微品分期app打不开，无法还款</v>
      </c>
      <c r="C3336" s="2" t="s">
        <v>9</v>
      </c>
      <c r="D3336" s="2" t="s">
        <v>10</v>
      </c>
      <c r="E3336" s="2" t="str">
        <f>HYPERLINK("http://ts.21cn.com/tousu/show/id/1334011","http://ts.21cn.com/tousu/show/id/1334011")</f>
        <v>http://ts.21cn.com/tousu/show/id/1334011</v>
      </c>
      <c r="F3336" s="2" t="s">
        <v>11</v>
      </c>
      <c r="G3336" s="2" t="s">
        <v>37570</v>
      </c>
      <c r="H3336" s="2" t="s">
        <v>37571</v>
      </c>
    </row>
    <row r="3337" spans="1:8" ht="25.05" customHeight="1" x14ac:dyDescent="0.25">
      <c r="A3337" s="2" t="s">
        <v>8</v>
      </c>
      <c r="B3337" s="2" t="str">
        <f>HYPERLINK("http://ts.21cn.com/tousu/show/id/1334012","高利贷、线上不能还款！")</f>
        <v>高利贷、线上不能还款！</v>
      </c>
      <c r="C3337" s="2" t="s">
        <v>9</v>
      </c>
      <c r="D3337" s="2" t="s">
        <v>10</v>
      </c>
      <c r="E3337" s="2" t="str">
        <f>HYPERLINK("http://ts.21cn.com/tousu/show/id/1334012","http://ts.21cn.com/tousu/show/id/1334012")</f>
        <v>http://ts.21cn.com/tousu/show/id/1334012</v>
      </c>
      <c r="F3337" s="2" t="s">
        <v>11</v>
      </c>
      <c r="G3337" s="2" t="s">
        <v>37568</v>
      </c>
      <c r="H3337" s="2" t="s">
        <v>37569</v>
      </c>
    </row>
    <row r="3338" spans="1:8" ht="25.05" customHeight="1" x14ac:dyDescent="0.25">
      <c r="A3338" s="2" t="s">
        <v>8</v>
      </c>
      <c r="B3338" s="2" t="str">
        <f>HYPERLINK("http://ts.21cn.com/tousu/show/id/1334014","国诚金服恶意扣款")</f>
        <v>国诚金服恶意扣款</v>
      </c>
      <c r="C3338" s="2" t="s">
        <v>9</v>
      </c>
      <c r="D3338" s="2" t="s">
        <v>10</v>
      </c>
      <c r="E3338" s="2" t="str">
        <f>HYPERLINK("http://ts.21cn.com/tousu/show/id/1334014","http://ts.21cn.com/tousu/show/id/1334014")</f>
        <v>http://ts.21cn.com/tousu/show/id/1334014</v>
      </c>
      <c r="F3338" s="2" t="s">
        <v>11</v>
      </c>
      <c r="G3338" s="2" t="s">
        <v>37566</v>
      </c>
      <c r="H3338" s="2" t="s">
        <v>37567</v>
      </c>
    </row>
    <row r="3339" spans="1:8" ht="25.05" customHeight="1" x14ac:dyDescent="0.25">
      <c r="A3339" s="2" t="s">
        <v>8</v>
      </c>
      <c r="B3339" s="2" t="str">
        <f>HYPERLINK("http://ts.21cn.com/tousu/show/id/1334015","浦发银行信用卡")</f>
        <v>浦发银行信用卡</v>
      </c>
      <c r="C3339" s="2" t="s">
        <v>34</v>
      </c>
      <c r="D3339" s="2" t="s">
        <v>10</v>
      </c>
      <c r="E3339" s="2" t="str">
        <f>HYPERLINK("http://ts.21cn.com/tousu/show/id/1334015","http://ts.21cn.com/tousu/show/id/1334015")</f>
        <v>http://ts.21cn.com/tousu/show/id/1334015</v>
      </c>
      <c r="F3339" s="2" t="s">
        <v>11</v>
      </c>
      <c r="G3339" s="2" t="s">
        <v>37564</v>
      </c>
      <c r="H3339" s="2" t="s">
        <v>37565</v>
      </c>
    </row>
    <row r="3340" spans="1:8" ht="25.05" customHeight="1" x14ac:dyDescent="0.25">
      <c r="A3340" s="2" t="s">
        <v>8</v>
      </c>
      <c r="B3340" s="2" t="str">
        <f>HYPERLINK("http://ts.21cn.com/tousu/show/id/1334013","有用分期催收态度恶心")</f>
        <v>有用分期催收态度恶心</v>
      </c>
      <c r="C3340" s="2" t="s">
        <v>9</v>
      </c>
      <c r="D3340" s="2" t="s">
        <v>10</v>
      </c>
      <c r="E3340" s="2" t="str">
        <f>HYPERLINK("http://ts.21cn.com/tousu/show/id/1334013","http://ts.21cn.com/tousu/show/id/1334013")</f>
        <v>http://ts.21cn.com/tousu/show/id/1334013</v>
      </c>
      <c r="F3340" s="2" t="s">
        <v>11</v>
      </c>
      <c r="G3340" s="2" t="s">
        <v>37562</v>
      </c>
      <c r="H3340" s="2" t="s">
        <v>37563</v>
      </c>
    </row>
    <row r="3341" spans="1:8" ht="25.05" customHeight="1" x14ac:dyDescent="0.25">
      <c r="A3341" s="2" t="s">
        <v>8</v>
      </c>
      <c r="B3341" s="2" t="str">
        <f>HYPERLINK("http://ts.21cn.com/tousu/show/id/1334016","百事普惠恶意扣款")</f>
        <v>百事普惠恶意扣款</v>
      </c>
      <c r="C3341" s="2" t="s">
        <v>9</v>
      </c>
      <c r="D3341" s="2" t="s">
        <v>10</v>
      </c>
      <c r="E3341" s="2" t="str">
        <f>HYPERLINK("http://ts.21cn.com/tousu/show/id/1334016","http://ts.21cn.com/tousu/show/id/1334016")</f>
        <v>http://ts.21cn.com/tousu/show/id/1334016</v>
      </c>
      <c r="F3341" s="2" t="s">
        <v>11</v>
      </c>
      <c r="G3341" s="2" t="s">
        <v>37560</v>
      </c>
      <c r="H3341" s="2" t="s">
        <v>37561</v>
      </c>
    </row>
    <row r="3342" spans="1:8" ht="25.05" customHeight="1" x14ac:dyDescent="0.25">
      <c r="A3342" s="2" t="s">
        <v>8</v>
      </c>
      <c r="B3342" s="2" t="str">
        <f>HYPERLINK("http://ts.21cn.com/tousu/show/id/1334017","造艺技术聚福钱包乱扣费")</f>
        <v>造艺技术聚福钱包乱扣费</v>
      </c>
      <c r="C3342" s="2" t="s">
        <v>9</v>
      </c>
      <c r="D3342" s="2" t="s">
        <v>10</v>
      </c>
      <c r="E3342" s="2" t="str">
        <f>HYPERLINK("http://ts.21cn.com/tousu/show/id/1334017","http://ts.21cn.com/tousu/show/id/1334017")</f>
        <v>http://ts.21cn.com/tousu/show/id/1334017</v>
      </c>
      <c r="F3342" s="2" t="s">
        <v>11</v>
      </c>
      <c r="G3342" s="2" t="s">
        <v>37558</v>
      </c>
      <c r="H3342" s="2" t="s">
        <v>37559</v>
      </c>
    </row>
    <row r="3343" spans="1:8" ht="25.05" customHeight="1" x14ac:dyDescent="0.25">
      <c r="A3343" s="2" t="s">
        <v>8</v>
      </c>
      <c r="B3343" s="2" t="str">
        <f>HYPERLINK("http://ts.21cn.com/tousu/show/id/1334018","未经同意私自扣款")</f>
        <v>未经同意私自扣款</v>
      </c>
      <c r="C3343" s="2" t="s">
        <v>9</v>
      </c>
      <c r="D3343" s="2" t="s">
        <v>10</v>
      </c>
      <c r="E3343" s="2" t="str">
        <f>HYPERLINK("http://ts.21cn.com/tousu/show/id/1334018","http://ts.21cn.com/tousu/show/id/1334018")</f>
        <v>http://ts.21cn.com/tousu/show/id/1334018</v>
      </c>
      <c r="F3343" s="2" t="s">
        <v>11</v>
      </c>
      <c r="G3343" s="2" t="s">
        <v>37556</v>
      </c>
      <c r="H3343" s="2" t="s">
        <v>37557</v>
      </c>
    </row>
    <row r="3344" spans="1:8" ht="25.05" customHeight="1" x14ac:dyDescent="0.25">
      <c r="A3344" s="2" t="s">
        <v>8</v>
      </c>
      <c r="B3344" s="2" t="str">
        <f>HYPERLINK("http://ts.21cn.com/tousu/show/id/1334019","点点通砍头高炮")</f>
        <v>点点通砍头高炮</v>
      </c>
      <c r="C3344" s="2" t="s">
        <v>34</v>
      </c>
      <c r="D3344" s="2" t="s">
        <v>10</v>
      </c>
      <c r="E3344" s="2" t="str">
        <f>HYPERLINK("http://ts.21cn.com/tousu/show/id/1334019","http://ts.21cn.com/tousu/show/id/1334019")</f>
        <v>http://ts.21cn.com/tousu/show/id/1334019</v>
      </c>
      <c r="F3344" s="2" t="s">
        <v>11</v>
      </c>
      <c r="G3344" s="2" t="s">
        <v>37554</v>
      </c>
      <c r="H3344" s="2" t="s">
        <v>37555</v>
      </c>
    </row>
    <row r="3345" spans="1:8" ht="25.05" customHeight="1" x14ac:dyDescent="0.25">
      <c r="A3345" s="2" t="s">
        <v>8</v>
      </c>
      <c r="B3345" s="2" t="str">
        <f>HYPERLINK("http://ts.21cn.com/tousu/show/id/1334020","壹钱包无故扣款")</f>
        <v>壹钱包无故扣款</v>
      </c>
      <c r="C3345" s="2" t="s">
        <v>9</v>
      </c>
      <c r="D3345" s="2" t="s">
        <v>10</v>
      </c>
      <c r="E3345" s="2" t="str">
        <f>HYPERLINK("http://ts.21cn.com/tousu/show/id/1334020","http://ts.21cn.com/tousu/show/id/1334020")</f>
        <v>http://ts.21cn.com/tousu/show/id/1334020</v>
      </c>
      <c r="F3345" s="2" t="s">
        <v>11</v>
      </c>
      <c r="G3345" s="2" t="s">
        <v>37552</v>
      </c>
      <c r="H3345" s="2" t="s">
        <v>37553</v>
      </c>
    </row>
    <row r="3346" spans="1:8" ht="25.05" customHeight="1" x14ac:dyDescent="0.25">
      <c r="A3346" s="2" t="s">
        <v>8</v>
      </c>
      <c r="B3346" s="2" t="str">
        <f>HYPERLINK("http://ts.21cn.com/tousu/show/id/1334021","钱伴电话一直打")</f>
        <v>钱伴电话一直打</v>
      </c>
      <c r="C3346" s="2" t="s">
        <v>34</v>
      </c>
      <c r="D3346" s="2" t="s">
        <v>10</v>
      </c>
      <c r="E3346" s="2" t="str">
        <f>HYPERLINK("http://ts.21cn.com/tousu/show/id/1334021","http://ts.21cn.com/tousu/show/id/1334021")</f>
        <v>http://ts.21cn.com/tousu/show/id/1334021</v>
      </c>
      <c r="F3346" s="2" t="s">
        <v>11</v>
      </c>
      <c r="G3346" s="2" t="s">
        <v>37550</v>
      </c>
      <c r="H3346" s="2" t="s">
        <v>37551</v>
      </c>
    </row>
    <row r="3347" spans="1:8" ht="25.05" customHeight="1" x14ac:dyDescent="0.25">
      <c r="A3347" s="2" t="s">
        <v>8</v>
      </c>
      <c r="B3347" s="2" t="str">
        <f>HYPERLINK("http://ts.21cn.com/tousu/show/id/1334022","自由摩卡变相高利贷")</f>
        <v>自由摩卡变相高利贷</v>
      </c>
      <c r="C3347" s="2" t="s">
        <v>9</v>
      </c>
      <c r="D3347" s="2" t="s">
        <v>10</v>
      </c>
      <c r="E3347" s="2" t="str">
        <f>HYPERLINK("http://ts.21cn.com/tousu/show/id/1334022","http://ts.21cn.com/tousu/show/id/1334022")</f>
        <v>http://ts.21cn.com/tousu/show/id/1334022</v>
      </c>
      <c r="F3347" s="2" t="s">
        <v>11</v>
      </c>
      <c r="G3347" s="2" t="s">
        <v>37548</v>
      </c>
      <c r="H3347" s="2" t="s">
        <v>37549</v>
      </c>
    </row>
    <row r="3348" spans="1:8" ht="25.05" customHeight="1" x14ac:dyDescent="0.25">
      <c r="A3348" s="2" t="s">
        <v>8</v>
      </c>
      <c r="B3348" s="2" t="str">
        <f>HYPERLINK("http://ts.21cn.com/tousu/show/id/1334023","万惠及贷变相收取高额息费以及暴力催收")</f>
        <v>万惠及贷变相收取高额息费以及暴力催收</v>
      </c>
      <c r="C3348" s="2" t="s">
        <v>9</v>
      </c>
      <c r="D3348" s="2" t="s">
        <v>10</v>
      </c>
      <c r="E3348" s="2" t="str">
        <f>HYPERLINK("http://ts.21cn.com/tousu/show/id/1334023","http://ts.21cn.com/tousu/show/id/1334023")</f>
        <v>http://ts.21cn.com/tousu/show/id/1334023</v>
      </c>
      <c r="F3348" s="2" t="s">
        <v>11</v>
      </c>
      <c r="G3348" s="2" t="s">
        <v>37546</v>
      </c>
      <c r="H3348" s="2" t="s">
        <v>37547</v>
      </c>
    </row>
    <row r="3349" spans="1:8" ht="25.05" customHeight="1" x14ac:dyDescent="0.25">
      <c r="A3349" s="2" t="s">
        <v>8</v>
      </c>
      <c r="B3349" s="2" t="str">
        <f>HYPERLINK("http://ts.21cn.com/tousu/show/id/1334024","钱橙无忧随意扣费")</f>
        <v>钱橙无忧随意扣费</v>
      </c>
      <c r="C3349" s="2" t="s">
        <v>34</v>
      </c>
      <c r="D3349" s="2" t="s">
        <v>10</v>
      </c>
      <c r="E3349" s="2" t="str">
        <f>HYPERLINK("http://ts.21cn.com/tousu/show/id/1334024","http://ts.21cn.com/tousu/show/id/1334024")</f>
        <v>http://ts.21cn.com/tousu/show/id/1334024</v>
      </c>
      <c r="F3349" s="2" t="s">
        <v>11</v>
      </c>
      <c r="G3349" s="2" t="s">
        <v>37544</v>
      </c>
      <c r="H3349" s="2" t="s">
        <v>37545</v>
      </c>
    </row>
    <row r="3350" spans="1:8" ht="25.05" customHeight="1" x14ac:dyDescent="0.25">
      <c r="A3350" s="2" t="s">
        <v>8</v>
      </c>
      <c r="B3350" s="2" t="str">
        <f>HYPERLINK("http://ts.21cn.com/tousu/show/id/1334025","哈罗顺风车拼车成功不退预付款")</f>
        <v>哈罗顺风车拼车成功不退预付款</v>
      </c>
      <c r="C3350" s="2" t="s">
        <v>9</v>
      </c>
      <c r="D3350" s="2" t="s">
        <v>10</v>
      </c>
      <c r="E3350" s="2" t="str">
        <f>HYPERLINK("http://ts.21cn.com/tousu/show/id/1334025","http://ts.21cn.com/tousu/show/id/1334025")</f>
        <v>http://ts.21cn.com/tousu/show/id/1334025</v>
      </c>
      <c r="F3350" s="2" t="s">
        <v>11</v>
      </c>
      <c r="G3350" s="2" t="s">
        <v>37542</v>
      </c>
      <c r="H3350" s="2" t="s">
        <v>37543</v>
      </c>
    </row>
    <row r="3351" spans="1:8" ht="25.05" customHeight="1" x14ac:dyDescent="0.25">
      <c r="A3351" s="2" t="s">
        <v>8</v>
      </c>
      <c r="B3351" s="2" t="str">
        <f>HYPERLINK("http://ts.21cn.com/tousu/show/id/1334026","七天高炮")</f>
        <v>七天高炮</v>
      </c>
      <c r="C3351" s="2" t="s">
        <v>34</v>
      </c>
      <c r="D3351" s="2" t="s">
        <v>10</v>
      </c>
      <c r="E3351" s="2" t="str">
        <f>HYPERLINK("http://ts.21cn.com/tousu/show/id/1334026","http://ts.21cn.com/tousu/show/id/1334026")</f>
        <v>http://ts.21cn.com/tousu/show/id/1334026</v>
      </c>
      <c r="F3351" s="2" t="s">
        <v>11</v>
      </c>
      <c r="G3351" s="2" t="s">
        <v>37540</v>
      </c>
      <c r="H3351" s="2" t="s">
        <v>37541</v>
      </c>
    </row>
    <row r="3352" spans="1:8" ht="25.05" customHeight="1" x14ac:dyDescent="0.25">
      <c r="A3352" s="2" t="s">
        <v>8</v>
      </c>
      <c r="B3352" s="2" t="str">
        <f>HYPERLINK("http://ts.21cn.com/tousu/show/id/1334028","小浦优客间隔2天无故扣款")</f>
        <v>小浦优客间隔2天无故扣款</v>
      </c>
      <c r="C3352" s="2" t="s">
        <v>34</v>
      </c>
      <c r="D3352" s="2" t="s">
        <v>10</v>
      </c>
      <c r="E3352" s="2" t="str">
        <f>HYPERLINK("http://ts.21cn.com/tousu/show/id/1334028","http://ts.21cn.com/tousu/show/id/1334028")</f>
        <v>http://ts.21cn.com/tousu/show/id/1334028</v>
      </c>
      <c r="F3352" s="2" t="s">
        <v>11</v>
      </c>
      <c r="G3352" s="2" t="s">
        <v>37538</v>
      </c>
      <c r="H3352" s="2" t="s">
        <v>37539</v>
      </c>
    </row>
    <row r="3353" spans="1:8" ht="25.05" customHeight="1" x14ac:dyDescent="0.25">
      <c r="A3353" s="2" t="s">
        <v>8</v>
      </c>
      <c r="B3353" s="2" t="str">
        <f>HYPERLINK("http://ts.21cn.com/tousu/show/id/1334029","人人贷收取高额提前还款服务费")</f>
        <v>人人贷收取高额提前还款服务费</v>
      </c>
      <c r="C3353" s="2" t="s">
        <v>34</v>
      </c>
      <c r="D3353" s="2" t="s">
        <v>10</v>
      </c>
      <c r="E3353" s="2" t="str">
        <f>HYPERLINK("http://ts.21cn.com/tousu/show/id/1334029","http://ts.21cn.com/tousu/show/id/1334029")</f>
        <v>http://ts.21cn.com/tousu/show/id/1334029</v>
      </c>
      <c r="F3353" s="2" t="s">
        <v>11</v>
      </c>
      <c r="G3353" s="2" t="s">
        <v>37536</v>
      </c>
      <c r="H3353" s="2" t="s">
        <v>37537</v>
      </c>
    </row>
    <row r="3354" spans="1:8" ht="25.05" customHeight="1" x14ac:dyDescent="0.25">
      <c r="A3354" s="2" t="s">
        <v>8</v>
      </c>
      <c r="B3354" s="2" t="str">
        <f>HYPERLINK("http://ts.21cn.com/tousu/show/id/1334030","小咪花高利贷")</f>
        <v>小咪花高利贷</v>
      </c>
      <c r="C3354" s="2" t="s">
        <v>9</v>
      </c>
      <c r="D3354" s="2" t="s">
        <v>10</v>
      </c>
      <c r="E3354" s="2" t="str">
        <f>HYPERLINK("http://ts.21cn.com/tousu/show/id/1334030","http://ts.21cn.com/tousu/show/id/1334030")</f>
        <v>http://ts.21cn.com/tousu/show/id/1334030</v>
      </c>
      <c r="F3354" s="2" t="s">
        <v>11</v>
      </c>
      <c r="G3354" s="2" t="s">
        <v>37534</v>
      </c>
      <c r="H3354" s="2" t="s">
        <v>37535</v>
      </c>
    </row>
    <row r="3355" spans="1:8" ht="25.05" customHeight="1" x14ac:dyDescent="0.25">
      <c r="A3355" s="2" t="s">
        <v>8</v>
      </c>
      <c r="B3355" s="2" t="str">
        <f>HYPERLINK("http://ts.21cn.com/tousu/show/id/1334031","钱站高利贷暴力催收")</f>
        <v>钱站高利贷暴力催收</v>
      </c>
      <c r="C3355" s="2" t="s">
        <v>9</v>
      </c>
      <c r="D3355" s="2" t="s">
        <v>10</v>
      </c>
      <c r="E3355" s="2" t="str">
        <f>HYPERLINK("http://ts.21cn.com/tousu/show/id/1334031","http://ts.21cn.com/tousu/show/id/1334031")</f>
        <v>http://ts.21cn.com/tousu/show/id/1334031</v>
      </c>
      <c r="F3355" s="2" t="s">
        <v>11</v>
      </c>
      <c r="G3355" s="2" t="s">
        <v>37532</v>
      </c>
      <c r="H3355" s="2" t="s">
        <v>37533</v>
      </c>
    </row>
    <row r="3356" spans="1:8" ht="25.05" customHeight="1" x14ac:dyDescent="0.25">
      <c r="A3356" s="2" t="s">
        <v>8</v>
      </c>
      <c r="B3356" s="2" t="str">
        <f>HYPERLINK("http://ts.21cn.com/tousu/show/id/1334033","陌单账户无法提现")</f>
        <v>陌单账户无法提现</v>
      </c>
      <c r="C3356" s="2" t="s">
        <v>9</v>
      </c>
      <c r="D3356" s="2" t="s">
        <v>10</v>
      </c>
      <c r="E3356" s="2" t="str">
        <f>HYPERLINK("http://ts.21cn.com/tousu/show/id/1334033","http://ts.21cn.com/tousu/show/id/1334033")</f>
        <v>http://ts.21cn.com/tousu/show/id/1334033</v>
      </c>
      <c r="F3356" s="2" t="s">
        <v>11</v>
      </c>
      <c r="G3356" s="2" t="s">
        <v>37530</v>
      </c>
      <c r="H3356" s="2" t="s">
        <v>37531</v>
      </c>
    </row>
    <row r="3357" spans="1:8" ht="25.05" customHeight="1" x14ac:dyDescent="0.25">
      <c r="A3357" s="2" t="s">
        <v>8</v>
      </c>
      <c r="B3357" s="2" t="str">
        <f>HYPERLINK("http://ts.21cn.com/tousu/show/id/1334034","捷信不给我本人打电话，骚扰朋友")</f>
        <v>捷信不给我本人打电话，骚扰朋友</v>
      </c>
      <c r="C3357" s="2" t="s">
        <v>9</v>
      </c>
      <c r="D3357" s="2" t="s">
        <v>10</v>
      </c>
      <c r="E3357" s="2" t="str">
        <f>HYPERLINK("http://ts.21cn.com/tousu/show/id/1334034","http://ts.21cn.com/tousu/show/id/1334034")</f>
        <v>http://ts.21cn.com/tousu/show/id/1334034</v>
      </c>
      <c r="F3357" s="2" t="s">
        <v>11</v>
      </c>
      <c r="G3357" s="2" t="s">
        <v>37528</v>
      </c>
      <c r="H3357" s="2" t="s">
        <v>37529</v>
      </c>
    </row>
    <row r="3358" spans="1:8" ht="25.05" customHeight="1" x14ac:dyDescent="0.25">
      <c r="A3358" s="2" t="s">
        <v>8</v>
      </c>
      <c r="B3358" s="2" t="str">
        <f>HYPERLINK("http://ts.21cn.com/tousu/show/id/1334036","小浦优客未经同意扣款")</f>
        <v>小浦优客未经同意扣款</v>
      </c>
      <c r="C3358" s="2" t="s">
        <v>34</v>
      </c>
      <c r="D3358" s="2" t="s">
        <v>10</v>
      </c>
      <c r="E3358" s="2" t="str">
        <f>HYPERLINK("http://ts.21cn.com/tousu/show/id/1334036","http://ts.21cn.com/tousu/show/id/1334036")</f>
        <v>http://ts.21cn.com/tousu/show/id/1334036</v>
      </c>
      <c r="F3358" s="2" t="s">
        <v>11</v>
      </c>
      <c r="G3358" s="2" t="s">
        <v>37526</v>
      </c>
      <c r="H3358" s="2" t="s">
        <v>37527</v>
      </c>
    </row>
    <row r="3359" spans="1:8" ht="25.05" customHeight="1" x14ac:dyDescent="0.25">
      <c r="A3359" s="2" t="s">
        <v>8</v>
      </c>
      <c r="B3359" s="2" t="str">
        <f>HYPERLINK("http://ts.21cn.com/tousu/show/id/1333628","智行无端扣款")</f>
        <v>智行无端扣款</v>
      </c>
      <c r="C3359" s="2" t="s">
        <v>9</v>
      </c>
      <c r="D3359" s="2" t="s">
        <v>10</v>
      </c>
      <c r="E3359" s="2" t="str">
        <f>HYPERLINK("http://ts.21cn.com/tousu/show/id/1333628","http://ts.21cn.com/tousu/show/id/1333628")</f>
        <v>http://ts.21cn.com/tousu/show/id/1333628</v>
      </c>
      <c r="F3359" s="2" t="s">
        <v>11</v>
      </c>
      <c r="G3359" s="2" t="s">
        <v>37524</v>
      </c>
      <c r="H3359" s="2" t="s">
        <v>37525</v>
      </c>
    </row>
    <row r="3360" spans="1:8" ht="25.05" customHeight="1" x14ac:dyDescent="0.25">
      <c r="A3360" s="2" t="s">
        <v>8</v>
      </c>
      <c r="B3360" s="2" t="str">
        <f>HYPERLINK("http://ts.21cn.com/tousu/show/id/1334037","自由魔卡里的超级马力贷砍头息套路贷")</f>
        <v>自由魔卡里的超级马力贷砍头息套路贷</v>
      </c>
      <c r="C3360" s="2" t="s">
        <v>9</v>
      </c>
      <c r="D3360" s="2" t="s">
        <v>10</v>
      </c>
      <c r="E3360" s="2" t="str">
        <f>HYPERLINK("http://ts.21cn.com/tousu/show/id/1334037","http://ts.21cn.com/tousu/show/id/1334037")</f>
        <v>http://ts.21cn.com/tousu/show/id/1334037</v>
      </c>
      <c r="F3360" s="2" t="s">
        <v>11</v>
      </c>
      <c r="G3360" s="2" t="s">
        <v>37522</v>
      </c>
      <c r="H3360" s="2" t="s">
        <v>37523</v>
      </c>
    </row>
    <row r="3361" spans="1:8" ht="25.05" customHeight="1" x14ac:dyDescent="0.25">
      <c r="A3361" s="2" t="s">
        <v>8</v>
      </c>
      <c r="B3361" s="2" t="str">
        <f>HYPERLINK("http://ts.21cn.com/tousu/show/id/1334038","无原因就扣费")</f>
        <v>无原因就扣费</v>
      </c>
      <c r="C3361" s="2" t="s">
        <v>34</v>
      </c>
      <c r="D3361" s="2" t="s">
        <v>10</v>
      </c>
      <c r="E3361" s="2" t="str">
        <f>HYPERLINK("http://ts.21cn.com/tousu/show/id/1334038","http://ts.21cn.com/tousu/show/id/1334038")</f>
        <v>http://ts.21cn.com/tousu/show/id/1334038</v>
      </c>
      <c r="F3361" s="2" t="s">
        <v>11</v>
      </c>
      <c r="G3361" s="2" t="s">
        <v>37520</v>
      </c>
      <c r="H3361" s="2" t="s">
        <v>37521</v>
      </c>
    </row>
    <row r="3362" spans="1:8" ht="25.05" customHeight="1" x14ac:dyDescent="0.25">
      <c r="A3362" s="2" t="s">
        <v>8</v>
      </c>
      <c r="B3362" s="2" t="str">
        <f>HYPERLINK("http://ts.21cn.com/tousu/show/id/1334039","汇潮支付支付宝提供高利贷服务")</f>
        <v>汇潮支付支付宝提供高利贷服务</v>
      </c>
      <c r="C3362" s="2" t="s">
        <v>9</v>
      </c>
      <c r="D3362" s="2" t="s">
        <v>10</v>
      </c>
      <c r="E3362" s="2" t="str">
        <f>HYPERLINK("http://ts.21cn.com/tousu/show/id/1334039","http://ts.21cn.com/tousu/show/id/1334039")</f>
        <v>http://ts.21cn.com/tousu/show/id/1334039</v>
      </c>
      <c r="F3362" s="2" t="s">
        <v>11</v>
      </c>
      <c r="G3362" s="2" t="s">
        <v>37518</v>
      </c>
      <c r="H3362" s="2" t="s">
        <v>37519</v>
      </c>
    </row>
    <row r="3363" spans="1:8" ht="25.05" customHeight="1" x14ac:dyDescent="0.25">
      <c r="A3363" s="2" t="s">
        <v>8</v>
      </c>
      <c r="B3363" s="2" t="str">
        <f>HYPERLINK("http://ts.21cn.com/tousu/show/id/1334040","协商结清")</f>
        <v>协商结清</v>
      </c>
      <c r="C3363" s="2" t="s">
        <v>9</v>
      </c>
      <c r="D3363" s="2" t="s">
        <v>10</v>
      </c>
      <c r="E3363" s="2" t="str">
        <f>HYPERLINK("http://ts.21cn.com/tousu/show/id/1334040","http://ts.21cn.com/tousu/show/id/1334040")</f>
        <v>http://ts.21cn.com/tousu/show/id/1334040</v>
      </c>
      <c r="F3363" s="2" t="s">
        <v>11</v>
      </c>
      <c r="G3363" s="2" t="s">
        <v>37516</v>
      </c>
      <c r="H3363" s="2" t="s">
        <v>37517</v>
      </c>
    </row>
    <row r="3364" spans="1:8" ht="25.05" customHeight="1" x14ac:dyDescent="0.25">
      <c r="A3364" s="2" t="s">
        <v>8</v>
      </c>
      <c r="B3364" s="2" t="str">
        <f>HYPERLINK("http://ts.21cn.com/tousu/show/id/1334041","会员费199元申请退款被拒")</f>
        <v>会员费199元申请退款被拒</v>
      </c>
      <c r="C3364" s="2" t="s">
        <v>9</v>
      </c>
      <c r="D3364" s="2" t="s">
        <v>10</v>
      </c>
      <c r="E3364" s="2" t="str">
        <f>HYPERLINK("http://ts.21cn.com/tousu/show/id/1334041","http://ts.21cn.com/tousu/show/id/1334041")</f>
        <v>http://ts.21cn.com/tousu/show/id/1334041</v>
      </c>
      <c r="F3364" s="2" t="s">
        <v>11</v>
      </c>
      <c r="G3364" s="2" t="s">
        <v>37514</v>
      </c>
      <c r="H3364" s="2" t="s">
        <v>37515</v>
      </c>
    </row>
    <row r="3365" spans="1:8" ht="25.05" customHeight="1" x14ac:dyDescent="0.25">
      <c r="A3365" s="2" t="s">
        <v>8</v>
      </c>
      <c r="B3365" s="2" t="str">
        <f>HYPERLINK("http://ts.21cn.com/tousu/show/id/1334042","中移电子商务有限公司乱扣费")</f>
        <v>中移电子商务有限公司乱扣费</v>
      </c>
      <c r="C3365" s="2" t="s">
        <v>9</v>
      </c>
      <c r="D3365" s="2" t="s">
        <v>10</v>
      </c>
      <c r="E3365" s="2" t="str">
        <f>HYPERLINK("http://ts.21cn.com/tousu/show/id/1334042","http://ts.21cn.com/tousu/show/id/1334042")</f>
        <v>http://ts.21cn.com/tousu/show/id/1334042</v>
      </c>
      <c r="F3365" s="2" t="s">
        <v>11</v>
      </c>
      <c r="G3365" s="2" t="s">
        <v>37512</v>
      </c>
      <c r="H3365" s="2" t="s">
        <v>37513</v>
      </c>
    </row>
    <row r="3366" spans="1:8" ht="25.05" customHeight="1" x14ac:dyDescent="0.25">
      <c r="A3366" s="2" t="s">
        <v>8</v>
      </c>
      <c r="B3366" s="2" t="str">
        <f>HYPERLINK("http://ts.21cn.com/tousu/show/id/1334043","有钱花第三方暴力催收")</f>
        <v>有钱花第三方暴力催收</v>
      </c>
      <c r="C3366" s="2" t="s">
        <v>9</v>
      </c>
      <c r="D3366" s="2" t="s">
        <v>10</v>
      </c>
      <c r="E3366" s="2" t="str">
        <f>HYPERLINK("http://ts.21cn.com/tousu/show/id/1334043","http://ts.21cn.com/tousu/show/id/1334043")</f>
        <v>http://ts.21cn.com/tousu/show/id/1334043</v>
      </c>
      <c r="F3366" s="2" t="s">
        <v>11</v>
      </c>
      <c r="G3366" s="2" t="s">
        <v>37510</v>
      </c>
      <c r="H3366" s="2" t="s">
        <v>37511</v>
      </c>
    </row>
    <row r="3367" spans="1:8" ht="25.05" customHeight="1" x14ac:dyDescent="0.25">
      <c r="A3367" s="2" t="s">
        <v>8</v>
      </c>
      <c r="B3367" s="2" t="str">
        <f>HYPERLINK("http://ts.21cn.com/tousu/show/id/1334044","毒app出售瑕疵品卖给客户")</f>
        <v>毒app出售瑕疵品卖给客户</v>
      </c>
      <c r="C3367" s="2" t="s">
        <v>9</v>
      </c>
      <c r="D3367" s="2" t="s">
        <v>10</v>
      </c>
      <c r="E3367" s="2" t="str">
        <f>HYPERLINK("http://ts.21cn.com/tousu/show/id/1334044","http://ts.21cn.com/tousu/show/id/1334044")</f>
        <v>http://ts.21cn.com/tousu/show/id/1334044</v>
      </c>
      <c r="F3367" s="2" t="s">
        <v>11</v>
      </c>
      <c r="G3367" s="2" t="s">
        <v>37508</v>
      </c>
      <c r="H3367" s="2" t="s">
        <v>37509</v>
      </c>
    </row>
    <row r="3368" spans="1:8" ht="25.05" customHeight="1" x14ac:dyDescent="0.25">
      <c r="A3368" s="2" t="s">
        <v>8</v>
      </c>
      <c r="B3368" s="2" t="str">
        <f>HYPERLINK("http://ts.21cn.com/tousu/show/id/1333479","51866k.com易博国际彩票")</f>
        <v>51866k.com易博国际彩票</v>
      </c>
      <c r="C3368" s="2" t="s">
        <v>9</v>
      </c>
      <c r="D3368" s="2" t="s">
        <v>10</v>
      </c>
      <c r="E3368" s="2" t="str">
        <f>HYPERLINK("http://ts.21cn.com/tousu/show/id/1333479","http://ts.21cn.com/tousu/show/id/1333479")</f>
        <v>http://ts.21cn.com/tousu/show/id/1333479</v>
      </c>
      <c r="F3368" s="2" t="s">
        <v>11</v>
      </c>
      <c r="G3368" s="2" t="s">
        <v>37506</v>
      </c>
      <c r="H3368" s="2" t="s">
        <v>37507</v>
      </c>
    </row>
    <row r="3369" spans="1:8" ht="25.05" customHeight="1" x14ac:dyDescent="0.25">
      <c r="A3369" s="2" t="s">
        <v>8</v>
      </c>
      <c r="B3369" s="2" t="str">
        <f>HYPERLINK("http://ts.21cn.com/tousu/show/id/1334045","起来嗨阴阳合同")</f>
        <v>起来嗨阴阳合同</v>
      </c>
      <c r="C3369" s="2" t="s">
        <v>9</v>
      </c>
      <c r="D3369" s="2" t="s">
        <v>10</v>
      </c>
      <c r="E3369" s="2" t="str">
        <f>HYPERLINK("http://ts.21cn.com/tousu/show/id/1334045","http://ts.21cn.com/tousu/show/id/1334045")</f>
        <v>http://ts.21cn.com/tousu/show/id/1334045</v>
      </c>
      <c r="F3369" s="2" t="s">
        <v>11</v>
      </c>
      <c r="G3369" s="2" t="s">
        <v>37504</v>
      </c>
      <c r="H3369" s="2" t="s">
        <v>37505</v>
      </c>
    </row>
    <row r="3370" spans="1:8" ht="25.05" customHeight="1" x14ac:dyDescent="0.25">
      <c r="A3370" s="2" t="s">
        <v>8</v>
      </c>
      <c r="B3370" s="2" t="str">
        <f>HYPERLINK("http://ts.21cn.com/tousu/show/id/1334046","变相砍头息")</f>
        <v>变相砍头息</v>
      </c>
      <c r="C3370" s="2" t="s">
        <v>9</v>
      </c>
      <c r="D3370" s="2" t="s">
        <v>10</v>
      </c>
      <c r="E3370" s="2" t="str">
        <f>HYPERLINK("http://ts.21cn.com/tousu/show/id/1334046","http://ts.21cn.com/tousu/show/id/1334046")</f>
        <v>http://ts.21cn.com/tousu/show/id/1334046</v>
      </c>
      <c r="F3370" s="2" t="s">
        <v>11</v>
      </c>
      <c r="G3370" s="2" t="s">
        <v>37502</v>
      </c>
      <c r="H3370" s="2" t="s">
        <v>37503</v>
      </c>
    </row>
    <row r="3371" spans="1:8" ht="25.05" customHeight="1" x14ac:dyDescent="0.25">
      <c r="A3371" s="2" t="s">
        <v>8</v>
      </c>
      <c r="B3371" s="2" t="str">
        <f>HYPERLINK("http://ts.21cn.com/tousu/show/id/1334047","聚福钱包恶意扣款")</f>
        <v>聚福钱包恶意扣款</v>
      </c>
      <c r="C3371" s="2" t="s">
        <v>9</v>
      </c>
      <c r="D3371" s="2" t="s">
        <v>10</v>
      </c>
      <c r="E3371" s="2" t="str">
        <f>HYPERLINK("http://ts.21cn.com/tousu/show/id/1334047","http://ts.21cn.com/tousu/show/id/1334047")</f>
        <v>http://ts.21cn.com/tousu/show/id/1334047</v>
      </c>
      <c r="F3371" s="2" t="s">
        <v>11</v>
      </c>
      <c r="G3371" s="2" t="s">
        <v>37500</v>
      </c>
      <c r="H3371" s="2" t="s">
        <v>37501</v>
      </c>
    </row>
    <row r="3372" spans="1:8" ht="25.05" customHeight="1" x14ac:dyDescent="0.25">
      <c r="A3372" s="2" t="s">
        <v>8</v>
      </c>
      <c r="B3372" s="2" t="str">
        <f>HYPERLINK("http://ts.21cn.com/tousu/show/id/1334048","小孩玩手机误充值两万元人民币，协商平台退款，回复说没有任何退换和逆向兑换")</f>
        <v>小孩玩手机误充值两万元人民币，协商平台退款，回复说没有任何退换和逆向兑换</v>
      </c>
      <c r="C3372" s="2" t="s">
        <v>9</v>
      </c>
      <c r="D3372" s="2" t="s">
        <v>10</v>
      </c>
      <c r="E3372" s="2" t="str">
        <f>HYPERLINK("http://ts.21cn.com/tousu/show/id/1334048","http://ts.21cn.com/tousu/show/id/1334048")</f>
        <v>http://ts.21cn.com/tousu/show/id/1334048</v>
      </c>
      <c r="F3372" s="2" t="s">
        <v>11</v>
      </c>
      <c r="G3372" s="2" t="s">
        <v>37498</v>
      </c>
      <c r="H3372" s="2" t="s">
        <v>37499</v>
      </c>
    </row>
    <row r="3373" spans="1:8" ht="25.05" customHeight="1" x14ac:dyDescent="0.25">
      <c r="A3373" s="2" t="s">
        <v>8</v>
      </c>
      <c r="B3373" s="2" t="str">
        <f>HYPERLINK("http://ts.21cn.com/tousu/show/id/1334049","瑞卡租车72小时内取消订单不予退款")</f>
        <v>瑞卡租车72小时内取消订单不予退款</v>
      </c>
      <c r="C3373" s="2" t="s">
        <v>9</v>
      </c>
      <c r="D3373" s="2" t="s">
        <v>10</v>
      </c>
      <c r="E3373" s="2" t="str">
        <f>HYPERLINK("http://ts.21cn.com/tousu/show/id/1334049","http://ts.21cn.com/tousu/show/id/1334049")</f>
        <v>http://ts.21cn.com/tousu/show/id/1334049</v>
      </c>
      <c r="F3373" s="2" t="s">
        <v>11</v>
      </c>
      <c r="G3373" s="2" t="s">
        <v>37496</v>
      </c>
      <c r="H3373" s="2" t="s">
        <v>37497</v>
      </c>
    </row>
    <row r="3374" spans="1:8" ht="25.05" customHeight="1" x14ac:dyDescent="0.25">
      <c r="A3374" s="2" t="s">
        <v>8</v>
      </c>
      <c r="B3374" s="2" t="str">
        <f>HYPERLINK("http://ts.21cn.com/tousu/show/id/1334050","及贷变相收取高额服务费用，而且打电话提前还款不予任何减免")</f>
        <v>及贷变相收取高额服务费用，而且打电话提前还款不予任何减免</v>
      </c>
      <c r="C3374" s="2" t="s">
        <v>9</v>
      </c>
      <c r="D3374" s="2" t="s">
        <v>10</v>
      </c>
      <c r="E3374" s="2" t="str">
        <f>HYPERLINK("http://ts.21cn.com/tousu/show/id/1334050","http://ts.21cn.com/tousu/show/id/1334050")</f>
        <v>http://ts.21cn.com/tousu/show/id/1334050</v>
      </c>
      <c r="F3374" s="2" t="s">
        <v>11</v>
      </c>
      <c r="G3374" s="2" t="s">
        <v>37494</v>
      </c>
      <c r="H3374" s="2" t="s">
        <v>37495</v>
      </c>
    </row>
    <row r="3375" spans="1:8" ht="25.05" customHeight="1" x14ac:dyDescent="0.25">
      <c r="A3375" s="2" t="s">
        <v>8</v>
      </c>
      <c r="B3375" s="2" t="str">
        <f>HYPERLINK("http://ts.21cn.com/tousu/show/id/1334051","小浦优客私自扣款")</f>
        <v>小浦优客私自扣款</v>
      </c>
      <c r="C3375" s="2" t="s">
        <v>9</v>
      </c>
      <c r="D3375" s="2" t="s">
        <v>10</v>
      </c>
      <c r="E3375" s="2" t="str">
        <f>HYPERLINK("http://ts.21cn.com/tousu/show/id/1334051","http://ts.21cn.com/tousu/show/id/1334051")</f>
        <v>http://ts.21cn.com/tousu/show/id/1334051</v>
      </c>
      <c r="F3375" s="2" t="s">
        <v>11</v>
      </c>
      <c r="G3375" s="2" t="s">
        <v>37492</v>
      </c>
      <c r="H3375" s="2" t="s">
        <v>37493</v>
      </c>
    </row>
    <row r="3376" spans="1:8" ht="25.05" customHeight="1" x14ac:dyDescent="0.25">
      <c r="A3376" s="2" t="s">
        <v>8</v>
      </c>
      <c r="B3376" s="2" t="str">
        <f>HYPERLINK("http://ts.21cn.com/tousu/show/id/1334052","多宝分期还款还不上强制要你逾期")</f>
        <v>多宝分期还款还不上强制要你逾期</v>
      </c>
      <c r="C3376" s="2" t="s">
        <v>9</v>
      </c>
      <c r="D3376" s="2" t="s">
        <v>10</v>
      </c>
      <c r="E3376" s="2" t="str">
        <f>HYPERLINK("http://ts.21cn.com/tousu/show/id/1334052","http://ts.21cn.com/tousu/show/id/1334052")</f>
        <v>http://ts.21cn.com/tousu/show/id/1334052</v>
      </c>
      <c r="F3376" s="2" t="s">
        <v>11</v>
      </c>
      <c r="G3376" s="2" t="s">
        <v>37490</v>
      </c>
      <c r="H3376" s="2" t="s">
        <v>37491</v>
      </c>
    </row>
    <row r="3377" spans="1:8" ht="25.05" customHeight="1" x14ac:dyDescent="0.25">
      <c r="A3377" s="2" t="s">
        <v>8</v>
      </c>
      <c r="B3377" s="2" t="str">
        <f>HYPERLINK("http://ts.21cn.com/tousu/show/id/1334053","交通银行客服态度恶劣，未经我本人允许拨打我通讯录电话。")</f>
        <v>交通银行客服态度恶劣，未经我本人允许拨打我通讯录电话。</v>
      </c>
      <c r="C3377" s="2" t="s">
        <v>9</v>
      </c>
      <c r="D3377" s="2" t="s">
        <v>10</v>
      </c>
      <c r="E3377" s="2" t="str">
        <f>HYPERLINK("http://ts.21cn.com/tousu/show/id/1334053","http://ts.21cn.com/tousu/show/id/1334053")</f>
        <v>http://ts.21cn.com/tousu/show/id/1334053</v>
      </c>
      <c r="F3377" s="2" t="s">
        <v>11</v>
      </c>
      <c r="G3377" s="2" t="s">
        <v>37488</v>
      </c>
      <c r="H3377" s="2" t="s">
        <v>37489</v>
      </c>
    </row>
    <row r="3378" spans="1:8" ht="25.05" customHeight="1" x14ac:dyDescent="0.25">
      <c r="A3378" s="2" t="s">
        <v>8</v>
      </c>
      <c r="B3378" s="2" t="str">
        <f>HYPERLINK("http://ts.21cn.com/tousu/show/id/1334054","归还强制购物砍头息")</f>
        <v>归还强制购物砍头息</v>
      </c>
      <c r="C3378" s="2" t="s">
        <v>9</v>
      </c>
      <c r="D3378" s="2" t="s">
        <v>10</v>
      </c>
      <c r="E3378" s="2" t="str">
        <f>HYPERLINK("http://ts.21cn.com/tousu/show/id/1334054","http://ts.21cn.com/tousu/show/id/1334054")</f>
        <v>http://ts.21cn.com/tousu/show/id/1334054</v>
      </c>
      <c r="F3378" s="2" t="s">
        <v>11</v>
      </c>
      <c r="G3378" s="2" t="s">
        <v>37486</v>
      </c>
      <c r="H3378" s="2" t="s">
        <v>37487</v>
      </c>
    </row>
    <row r="3379" spans="1:8" ht="25.05" customHeight="1" x14ac:dyDescent="0.25">
      <c r="A3379" s="2" t="s">
        <v>8</v>
      </c>
      <c r="B3379" s="2" t="str">
        <f>HYPERLINK("http://ts.21cn.com/tousu/show/id/1334055","陌陌币充值错误，却不给退还现金")</f>
        <v>陌陌币充值错误，却不给退还现金</v>
      </c>
      <c r="C3379" s="2" t="s">
        <v>9</v>
      </c>
      <c r="D3379" s="2" t="s">
        <v>10</v>
      </c>
      <c r="E3379" s="2" t="str">
        <f>HYPERLINK("http://ts.21cn.com/tousu/show/id/1334055","http://ts.21cn.com/tousu/show/id/1334055")</f>
        <v>http://ts.21cn.com/tousu/show/id/1334055</v>
      </c>
      <c r="F3379" s="2" t="s">
        <v>11</v>
      </c>
      <c r="G3379" s="2" t="s">
        <v>37484</v>
      </c>
      <c r="H3379" s="2" t="s">
        <v>37485</v>
      </c>
    </row>
    <row r="3380" spans="1:8" ht="25.05" customHeight="1" x14ac:dyDescent="0.25">
      <c r="A3380" s="2" t="s">
        <v>8</v>
      </c>
      <c r="B3380" s="2" t="str">
        <f>HYPERLINK("http://ts.21cn.com/tousu/show/id/1334056","分期乐")</f>
        <v>分期乐</v>
      </c>
      <c r="C3380" s="2" t="s">
        <v>9</v>
      </c>
      <c r="D3380" s="2" t="s">
        <v>10</v>
      </c>
      <c r="E3380" s="2" t="str">
        <f>HYPERLINK("http://ts.21cn.com/tousu/show/id/1334056","http://ts.21cn.com/tousu/show/id/1334056")</f>
        <v>http://ts.21cn.com/tousu/show/id/1334056</v>
      </c>
      <c r="F3380" s="2" t="s">
        <v>11</v>
      </c>
      <c r="G3380" s="2" t="s">
        <v>37482</v>
      </c>
      <c r="H3380" s="2" t="s">
        <v>37483</v>
      </c>
    </row>
    <row r="3381" spans="1:8" ht="25.05" customHeight="1" x14ac:dyDescent="0.25">
      <c r="A3381" s="2" t="s">
        <v>8</v>
      </c>
      <c r="B3381" s="2" t="str">
        <f>HYPERLINK("http://ts.21cn.com/tousu/show/id/1334058","小浦优客提交一下资料就扣款啊！")</f>
        <v>小浦优客提交一下资料就扣款啊！</v>
      </c>
      <c r="C3381" s="2" t="s">
        <v>34</v>
      </c>
      <c r="D3381" s="2" t="s">
        <v>10</v>
      </c>
      <c r="E3381" s="2" t="str">
        <f>HYPERLINK("http://ts.21cn.com/tousu/show/id/1334058","http://ts.21cn.com/tousu/show/id/1334058")</f>
        <v>http://ts.21cn.com/tousu/show/id/1334058</v>
      </c>
      <c r="F3381" s="2" t="s">
        <v>11</v>
      </c>
      <c r="G3381" s="2" t="s">
        <v>37480</v>
      </c>
      <c r="H3381" s="2" t="s">
        <v>37481</v>
      </c>
    </row>
    <row r="3382" spans="1:8" ht="25.05" customHeight="1" x14ac:dyDescent="0.25">
      <c r="A3382" s="2" t="s">
        <v>8</v>
      </c>
      <c r="B3382" s="2" t="str">
        <f>HYPERLINK("http://ts.21cn.com/tousu/show/id/1334059","无缘无故被百度特约从农业银行扣款188.72元")</f>
        <v>无缘无故被百度特约从农业银行扣款188.72元</v>
      </c>
      <c r="C3382" s="2" t="s">
        <v>9</v>
      </c>
      <c r="D3382" s="2" t="s">
        <v>10</v>
      </c>
      <c r="E3382" s="2" t="str">
        <f>HYPERLINK("http://ts.21cn.com/tousu/show/id/1334059","http://ts.21cn.com/tousu/show/id/1334059")</f>
        <v>http://ts.21cn.com/tousu/show/id/1334059</v>
      </c>
      <c r="F3382" s="2" t="s">
        <v>11</v>
      </c>
      <c r="G3382" s="2" t="s">
        <v>37478</v>
      </c>
      <c r="H3382" s="2" t="s">
        <v>37479</v>
      </c>
    </row>
    <row r="3383" spans="1:8" ht="25.05" customHeight="1" x14ac:dyDescent="0.25">
      <c r="A3383" s="2" t="s">
        <v>8</v>
      </c>
      <c r="B3383" s="2" t="str">
        <f>HYPERLINK("http://ts.21cn.com/tousu/show/id/1334062","北京月租宝违规经营套路贷，涉嫌集资融资，自设资金池，连连支付为其提供支付渠道")</f>
        <v>北京月租宝违规经营套路贷，涉嫌集资融资，自设资金池，连连支付为其提供支付渠道</v>
      </c>
      <c r="C3383" s="2" t="s">
        <v>9</v>
      </c>
      <c r="D3383" s="2" t="s">
        <v>10</v>
      </c>
      <c r="E3383" s="2" t="str">
        <f>HYPERLINK("http://ts.21cn.com/tousu/show/id/1334062","http://ts.21cn.com/tousu/show/id/1334062")</f>
        <v>http://ts.21cn.com/tousu/show/id/1334062</v>
      </c>
      <c r="F3383" s="2" t="s">
        <v>11</v>
      </c>
      <c r="G3383" s="2" t="s">
        <v>37476</v>
      </c>
      <c r="H3383" s="2" t="s">
        <v>37477</v>
      </c>
    </row>
    <row r="3384" spans="1:8" ht="25.05" customHeight="1" x14ac:dyDescent="0.25">
      <c r="A3384" s="2" t="s">
        <v>8</v>
      </c>
      <c r="B3384" s="2" t="str">
        <f>HYPERLINK("http://ts.21cn.com/tousu/show/id/1334061","小浦优客未经同意扣款")</f>
        <v>小浦优客未经同意扣款</v>
      </c>
      <c r="C3384" s="2" t="s">
        <v>34</v>
      </c>
      <c r="D3384" s="2" t="s">
        <v>10</v>
      </c>
      <c r="E3384" s="2" t="str">
        <f>HYPERLINK("http://ts.21cn.com/tousu/show/id/1334061","http://ts.21cn.com/tousu/show/id/1334061")</f>
        <v>http://ts.21cn.com/tousu/show/id/1334061</v>
      </c>
      <c r="F3384" s="2" t="s">
        <v>11</v>
      </c>
      <c r="G3384" s="2" t="s">
        <v>37474</v>
      </c>
      <c r="H3384" s="2" t="s">
        <v>37475</v>
      </c>
    </row>
    <row r="3385" spans="1:8" ht="25.05" customHeight="1" x14ac:dyDescent="0.25">
      <c r="A3385" s="2" t="s">
        <v>8</v>
      </c>
      <c r="B3385" s="2" t="str">
        <f>HYPERLINK("http://ts.21cn.com/tousu/show/id/1334063","酷宝支付盗刷我3100元")</f>
        <v>酷宝支付盗刷我3100元</v>
      </c>
      <c r="C3385" s="2" t="s">
        <v>9</v>
      </c>
      <c r="D3385" s="2" t="s">
        <v>10</v>
      </c>
      <c r="E3385" s="2" t="str">
        <f>HYPERLINK("http://ts.21cn.com/tousu/show/id/1334063","http://ts.21cn.com/tousu/show/id/1334063")</f>
        <v>http://ts.21cn.com/tousu/show/id/1334063</v>
      </c>
      <c r="F3385" s="2" t="s">
        <v>11</v>
      </c>
      <c r="G3385" s="2" t="s">
        <v>37472</v>
      </c>
      <c r="H3385" s="2" t="s">
        <v>37473</v>
      </c>
    </row>
    <row r="3386" spans="1:8" ht="25.05" customHeight="1" x14ac:dyDescent="0.25">
      <c r="A3386" s="2" t="s">
        <v>8</v>
      </c>
      <c r="B3386" s="2" t="str">
        <f>HYPERLINK("http://ts.21cn.com/tousu/show/id/1334064","呗呗分期收取高额利息及暴力催收")</f>
        <v>呗呗分期收取高额利息及暴力催收</v>
      </c>
      <c r="C3386" s="2" t="s">
        <v>9</v>
      </c>
      <c r="D3386" s="2" t="s">
        <v>10</v>
      </c>
      <c r="E3386" s="2" t="str">
        <f>HYPERLINK("http://ts.21cn.com/tousu/show/id/1334064","http://ts.21cn.com/tousu/show/id/1334064")</f>
        <v>http://ts.21cn.com/tousu/show/id/1334064</v>
      </c>
      <c r="F3386" s="2" t="s">
        <v>11</v>
      </c>
      <c r="G3386" s="2" t="s">
        <v>37470</v>
      </c>
      <c r="H3386" s="2" t="s">
        <v>37471</v>
      </c>
    </row>
    <row r="3387" spans="1:8" ht="25.05" customHeight="1" x14ac:dyDescent="0.25">
      <c r="A3387" s="2" t="s">
        <v>8</v>
      </c>
      <c r="B3387" s="2" t="str">
        <f>HYPERLINK("http://ts.21cn.com/tousu/show/id/1334065","恶意扣款")</f>
        <v>恶意扣款</v>
      </c>
      <c r="C3387" s="2" t="s">
        <v>9</v>
      </c>
      <c r="D3387" s="2" t="s">
        <v>10</v>
      </c>
      <c r="E3387" s="2" t="str">
        <f>HYPERLINK("http://ts.21cn.com/tousu/show/id/1334065","http://ts.21cn.com/tousu/show/id/1334065")</f>
        <v>http://ts.21cn.com/tousu/show/id/1334065</v>
      </c>
      <c r="F3387" s="2" t="s">
        <v>11</v>
      </c>
      <c r="G3387" s="2" t="s">
        <v>37468</v>
      </c>
      <c r="H3387" s="2" t="s">
        <v>37469</v>
      </c>
    </row>
    <row r="3388" spans="1:8" ht="25.05" customHeight="1" x14ac:dyDescent="0.25">
      <c r="A3388" s="2" t="s">
        <v>8</v>
      </c>
      <c r="B3388" s="2" t="str">
        <f>HYPERLINK("http://ts.21cn.com/tousu/show/id/1334066","航空公司退票扣款手续费1431，吃像太难看")</f>
        <v>航空公司退票扣款手续费1431，吃像太难看</v>
      </c>
      <c r="C3388" s="2" t="s">
        <v>9</v>
      </c>
      <c r="D3388" s="2" t="s">
        <v>10</v>
      </c>
      <c r="E3388" s="2" t="str">
        <f>HYPERLINK("http://ts.21cn.com/tousu/show/id/1334066","http://ts.21cn.com/tousu/show/id/1334066")</f>
        <v>http://ts.21cn.com/tousu/show/id/1334066</v>
      </c>
      <c r="F3388" s="2" t="s">
        <v>11</v>
      </c>
      <c r="G3388" s="2" t="s">
        <v>37466</v>
      </c>
      <c r="H3388" s="2" t="s">
        <v>37467</v>
      </c>
    </row>
    <row r="3389" spans="1:8" ht="25.05" customHeight="1" x14ac:dyDescent="0.25">
      <c r="A3389" s="2" t="s">
        <v>8</v>
      </c>
      <c r="B3389" s="2" t="str">
        <f>HYPERLINK("http://ts.21cn.com/tousu/show/id/1334068","钱包易贷暴力催收不合法收取管理费用")</f>
        <v>钱包易贷暴力催收不合法收取管理费用</v>
      </c>
      <c r="C3389" s="2" t="s">
        <v>9</v>
      </c>
      <c r="D3389" s="2" t="s">
        <v>10</v>
      </c>
      <c r="E3389" s="2" t="str">
        <f>HYPERLINK("http://ts.21cn.com/tousu/show/id/1334068","http://ts.21cn.com/tousu/show/id/1334068")</f>
        <v>http://ts.21cn.com/tousu/show/id/1334068</v>
      </c>
      <c r="F3389" s="2" t="s">
        <v>11</v>
      </c>
      <c r="G3389" s="2" t="s">
        <v>37464</v>
      </c>
      <c r="H3389" s="2" t="s">
        <v>37465</v>
      </c>
    </row>
    <row r="3390" spans="1:8" ht="25.05" customHeight="1" x14ac:dyDescent="0.25">
      <c r="A3390" s="2" t="s">
        <v>8</v>
      </c>
      <c r="B3390" s="2" t="str">
        <f>HYPERLINK("http://ts.21cn.com/tousu/show/id/1334071","高利贷")</f>
        <v>高利贷</v>
      </c>
      <c r="C3390" s="2" t="s">
        <v>9</v>
      </c>
      <c r="D3390" s="2" t="s">
        <v>10</v>
      </c>
      <c r="E3390" s="2" t="str">
        <f>HYPERLINK("http://ts.21cn.com/tousu/show/id/1334071","http://ts.21cn.com/tousu/show/id/1334071")</f>
        <v>http://ts.21cn.com/tousu/show/id/1334071</v>
      </c>
      <c r="F3390" s="2" t="s">
        <v>11</v>
      </c>
      <c r="G3390" s="2" t="s">
        <v>37462</v>
      </c>
      <c r="H3390" s="2" t="s">
        <v>37463</v>
      </c>
    </row>
    <row r="3391" spans="1:8" ht="25.05" customHeight="1" x14ac:dyDescent="0.25">
      <c r="A3391" s="2" t="s">
        <v>8</v>
      </c>
      <c r="B3391" s="2" t="str">
        <f>HYPERLINK("http://ts.21cn.com/tousu/show/id/1334072","月光侠分期贷款利息太高")</f>
        <v>月光侠分期贷款利息太高</v>
      </c>
      <c r="C3391" s="2" t="s">
        <v>9</v>
      </c>
      <c r="D3391" s="2" t="s">
        <v>10</v>
      </c>
      <c r="E3391" s="2" t="str">
        <f>HYPERLINK("http://ts.21cn.com/tousu/show/id/1334072","http://ts.21cn.com/tousu/show/id/1334072")</f>
        <v>http://ts.21cn.com/tousu/show/id/1334072</v>
      </c>
      <c r="F3391" s="2" t="s">
        <v>11</v>
      </c>
      <c r="G3391" s="2" t="s">
        <v>37460</v>
      </c>
      <c r="H3391" s="2" t="s">
        <v>37461</v>
      </c>
    </row>
    <row r="3392" spans="1:8" ht="25.05" customHeight="1" x14ac:dyDescent="0.25">
      <c r="A3392" s="2" t="s">
        <v>8</v>
      </c>
      <c r="B3392" s="2" t="str">
        <f>HYPERLINK("http://ts.21cn.com/tousu/show/id/1333897","转帐金额撤销")</f>
        <v>转帐金额撤销</v>
      </c>
      <c r="C3392" s="2" t="s">
        <v>9</v>
      </c>
      <c r="D3392" s="2" t="s">
        <v>10</v>
      </c>
      <c r="E3392" s="2" t="str">
        <f>HYPERLINK("http://ts.21cn.com/tousu/show/id/1333897","http://ts.21cn.com/tousu/show/id/1333897")</f>
        <v>http://ts.21cn.com/tousu/show/id/1333897</v>
      </c>
      <c r="F3392" s="2" t="s">
        <v>11</v>
      </c>
      <c r="G3392" s="2" t="s">
        <v>37457</v>
      </c>
      <c r="H3392" s="2" t="s">
        <v>37458</v>
      </c>
    </row>
    <row r="3393" spans="1:8" ht="25.05" customHeight="1" x14ac:dyDescent="0.25">
      <c r="A3393" s="2" t="s">
        <v>8</v>
      </c>
      <c r="B3393" s="2" t="str">
        <f>HYPERLINK("http://ts.21cn.com/tousu/show/id/1334073","京东虚假宣传诱导消费者")</f>
        <v>京东虚假宣传诱导消费者</v>
      </c>
      <c r="C3393" s="2" t="s">
        <v>9</v>
      </c>
      <c r="D3393" s="2" t="s">
        <v>10</v>
      </c>
      <c r="E3393" s="2" t="str">
        <f>HYPERLINK("http://ts.21cn.com/tousu/show/id/1334073","http://ts.21cn.com/tousu/show/id/1334073")</f>
        <v>http://ts.21cn.com/tousu/show/id/1334073</v>
      </c>
      <c r="F3393" s="2" t="s">
        <v>11</v>
      </c>
      <c r="G3393" s="2" t="s">
        <v>37457</v>
      </c>
      <c r="H3393" s="2" t="s">
        <v>37459</v>
      </c>
    </row>
    <row r="3394" spans="1:8" ht="25.05" customHeight="1" x14ac:dyDescent="0.25">
      <c r="A3394" s="2" t="s">
        <v>8</v>
      </c>
      <c r="B3394" s="2" t="str">
        <f>HYPERLINK("http://ts.21cn.com/tousu/show/id/1334074","贷上钱以买游戏豆为由收取高额贷款通过费")</f>
        <v>贷上钱以买游戏豆为由收取高额贷款通过费</v>
      </c>
      <c r="C3394" s="2" t="s">
        <v>9</v>
      </c>
      <c r="D3394" s="2" t="s">
        <v>10</v>
      </c>
      <c r="E3394" s="2" t="str">
        <f>HYPERLINK("http://ts.21cn.com/tousu/show/id/1334074","http://ts.21cn.com/tousu/show/id/1334074")</f>
        <v>http://ts.21cn.com/tousu/show/id/1334074</v>
      </c>
      <c r="F3394" s="2" t="s">
        <v>11</v>
      </c>
      <c r="G3394" s="2" t="s">
        <v>37455</v>
      </c>
      <c r="H3394" s="2" t="s">
        <v>37456</v>
      </c>
    </row>
    <row r="3395" spans="1:8" ht="25.05" customHeight="1" x14ac:dyDescent="0.25">
      <c r="A3395" s="2" t="s">
        <v>8</v>
      </c>
      <c r="B3395" s="2" t="str">
        <f>HYPERLINK("http://ts.21cn.com/tousu/show/id/1334075","牛人有品砍头息")</f>
        <v>牛人有品砍头息</v>
      </c>
      <c r="C3395" s="2" t="s">
        <v>34</v>
      </c>
      <c r="D3395" s="2" t="s">
        <v>10</v>
      </c>
      <c r="E3395" s="2" t="str">
        <f>HYPERLINK("http://ts.21cn.com/tousu/show/id/1334075","http://ts.21cn.com/tousu/show/id/1334075")</f>
        <v>http://ts.21cn.com/tousu/show/id/1334075</v>
      </c>
      <c r="F3395" s="2" t="s">
        <v>11</v>
      </c>
      <c r="G3395" s="2" t="s">
        <v>37453</v>
      </c>
      <c r="H3395" s="2" t="s">
        <v>37454</v>
      </c>
    </row>
    <row r="3396" spans="1:8" ht="25.05" customHeight="1" x14ac:dyDescent="0.25">
      <c r="A3396" s="2" t="s">
        <v>8</v>
      </c>
      <c r="B3396" s="2" t="str">
        <f>HYPERLINK("http://ts.21cn.com/tousu/show/id/1334076","来花花平台")</f>
        <v>来花花平台</v>
      </c>
      <c r="C3396" s="2" t="s">
        <v>9</v>
      </c>
      <c r="D3396" s="2" t="s">
        <v>10</v>
      </c>
      <c r="E3396" s="2" t="str">
        <f>HYPERLINK("http://ts.21cn.com/tousu/show/id/1334076","http://ts.21cn.com/tousu/show/id/1334076")</f>
        <v>http://ts.21cn.com/tousu/show/id/1334076</v>
      </c>
      <c r="F3396" s="2" t="s">
        <v>11</v>
      </c>
      <c r="G3396" s="2" t="s">
        <v>37451</v>
      </c>
      <c r="H3396" s="2" t="s">
        <v>37452</v>
      </c>
    </row>
    <row r="3397" spans="1:8" ht="25.05" customHeight="1" x14ac:dyDescent="0.25">
      <c r="A3397" s="2" t="s">
        <v>8</v>
      </c>
      <c r="B3397" s="2" t="str">
        <f>HYPERLINK("http://ts.21cn.com/tousu/show/id/1334078","闪银借款捆绑销售物品")</f>
        <v>闪银借款捆绑销售物品</v>
      </c>
      <c r="C3397" s="2" t="s">
        <v>9</v>
      </c>
      <c r="D3397" s="2" t="s">
        <v>10</v>
      </c>
      <c r="E3397" s="2" t="str">
        <f>HYPERLINK("http://ts.21cn.com/tousu/show/id/1334078","http://ts.21cn.com/tousu/show/id/1334078")</f>
        <v>http://ts.21cn.com/tousu/show/id/1334078</v>
      </c>
      <c r="F3397" s="2" t="s">
        <v>11</v>
      </c>
      <c r="G3397" s="2" t="s">
        <v>37450</v>
      </c>
      <c r="H3397" s="2" t="s">
        <v>37219</v>
      </c>
    </row>
    <row r="3398" spans="1:8" ht="25.05" customHeight="1" x14ac:dyDescent="0.25">
      <c r="A3398" s="2" t="s">
        <v>8</v>
      </c>
      <c r="B3398" s="2" t="str">
        <f>HYPERLINK("http://ts.21cn.com/tousu/show/id/1334069","贷上钱以买游戏豆为由收取高额贷款通过费")</f>
        <v>贷上钱以买游戏豆为由收取高额贷款通过费</v>
      </c>
      <c r="C3398" s="2" t="s">
        <v>9</v>
      </c>
      <c r="D3398" s="2" t="s">
        <v>10</v>
      </c>
      <c r="E3398" s="2" t="str">
        <f>HYPERLINK("http://ts.21cn.com/tousu/show/id/1334069","http://ts.21cn.com/tousu/show/id/1334069")</f>
        <v>http://ts.21cn.com/tousu/show/id/1334069</v>
      </c>
      <c r="F3398" s="2" t="s">
        <v>11</v>
      </c>
      <c r="G3398" s="2" t="s">
        <v>37448</v>
      </c>
      <c r="H3398" s="2" t="s">
        <v>37449</v>
      </c>
    </row>
    <row r="3399" spans="1:8" ht="25.05" customHeight="1" x14ac:dyDescent="0.25">
      <c r="A3399" s="2" t="s">
        <v>8</v>
      </c>
      <c r="B3399" s="2" t="str">
        <f>HYPERLINK("http://ts.21cn.com/tousu/show/id/1334079","滴滴恶意针对不涨服务分")</f>
        <v>滴滴恶意针对不涨服务分</v>
      </c>
      <c r="C3399" s="2" t="s">
        <v>9</v>
      </c>
      <c r="D3399" s="2" t="s">
        <v>10</v>
      </c>
      <c r="E3399" s="2" t="str">
        <f>HYPERLINK("http://ts.21cn.com/tousu/show/id/1334079","http://ts.21cn.com/tousu/show/id/1334079")</f>
        <v>http://ts.21cn.com/tousu/show/id/1334079</v>
      </c>
      <c r="F3399" s="2" t="s">
        <v>11</v>
      </c>
      <c r="G3399" s="2" t="s">
        <v>37447</v>
      </c>
      <c r="H3399" s="2" t="s">
        <v>25212</v>
      </c>
    </row>
    <row r="3400" spans="1:8" ht="25.05" customHeight="1" x14ac:dyDescent="0.25">
      <c r="A3400" s="2" t="s">
        <v>8</v>
      </c>
      <c r="B3400" s="2" t="str">
        <f>HYPERLINK("http://ts.21cn.com/tousu/show/id/1334080","联动优势科技有限公司乱扣费")</f>
        <v>联动优势科技有限公司乱扣费</v>
      </c>
      <c r="C3400" s="2" t="s">
        <v>9</v>
      </c>
      <c r="D3400" s="2" t="s">
        <v>10</v>
      </c>
      <c r="E3400" s="2" t="str">
        <f>HYPERLINK("http://ts.21cn.com/tousu/show/id/1334080","http://ts.21cn.com/tousu/show/id/1334080")</f>
        <v>http://ts.21cn.com/tousu/show/id/1334080</v>
      </c>
      <c r="F3400" s="2" t="s">
        <v>11</v>
      </c>
      <c r="G3400" s="2" t="s">
        <v>37445</v>
      </c>
      <c r="H3400" s="2" t="s">
        <v>37446</v>
      </c>
    </row>
    <row r="3401" spans="1:8" ht="25.05" customHeight="1" x14ac:dyDescent="0.25">
      <c r="A3401" s="2" t="s">
        <v>8</v>
      </c>
      <c r="B3401" s="2" t="str">
        <f>HYPERLINK("http://ts.21cn.com/tousu/show/id/1334081","希望宽限点时间")</f>
        <v>希望宽限点时间</v>
      </c>
      <c r="C3401" s="2" t="s">
        <v>9</v>
      </c>
      <c r="D3401" s="2" t="s">
        <v>10</v>
      </c>
      <c r="E3401" s="2" t="str">
        <f>HYPERLINK("http://ts.21cn.com/tousu/show/id/1334081","http://ts.21cn.com/tousu/show/id/1334081")</f>
        <v>http://ts.21cn.com/tousu/show/id/1334081</v>
      </c>
      <c r="F3401" s="2" t="s">
        <v>11</v>
      </c>
      <c r="G3401" s="2" t="s">
        <v>37443</v>
      </c>
      <c r="H3401" s="2" t="s">
        <v>37444</v>
      </c>
    </row>
    <row r="3402" spans="1:8" ht="25.05" customHeight="1" x14ac:dyDescent="0.25">
      <c r="A3402" s="2" t="s">
        <v>8</v>
      </c>
      <c r="B3402" s="2" t="str">
        <f>HYPERLINK("http://ts.21cn.com/tousu/show/id/1334083","钱站暴力催收")</f>
        <v>钱站暴力催收</v>
      </c>
      <c r="C3402" s="2" t="s">
        <v>9</v>
      </c>
      <c r="D3402" s="2" t="s">
        <v>10</v>
      </c>
      <c r="E3402" s="2" t="str">
        <f>HYPERLINK("http://ts.21cn.com/tousu/show/id/1334083","http://ts.21cn.com/tousu/show/id/1334083")</f>
        <v>http://ts.21cn.com/tousu/show/id/1334083</v>
      </c>
      <c r="F3402" s="2" t="s">
        <v>11</v>
      </c>
      <c r="G3402" s="2" t="s">
        <v>37440</v>
      </c>
      <c r="H3402" s="2" t="s">
        <v>37441</v>
      </c>
    </row>
    <row r="3403" spans="1:8" ht="25.05" customHeight="1" x14ac:dyDescent="0.25">
      <c r="A3403" s="2" t="s">
        <v>8</v>
      </c>
      <c r="B3403" s="2" t="str">
        <f>HYPERLINK("http://ts.21cn.com/tousu/show/id/1334082","白条分期乱收费")</f>
        <v>白条分期乱收费</v>
      </c>
      <c r="C3403" s="2" t="s">
        <v>9</v>
      </c>
      <c r="D3403" s="2" t="s">
        <v>10</v>
      </c>
      <c r="E3403" s="2" t="str">
        <f>HYPERLINK("http://ts.21cn.com/tousu/show/id/1334082","http://ts.21cn.com/tousu/show/id/1334082")</f>
        <v>http://ts.21cn.com/tousu/show/id/1334082</v>
      </c>
      <c r="F3403" s="2" t="s">
        <v>11</v>
      </c>
      <c r="G3403" s="2" t="s">
        <v>37440</v>
      </c>
      <c r="H3403" s="2" t="s">
        <v>37442</v>
      </c>
    </row>
    <row r="3404" spans="1:8" ht="25.05" customHeight="1" x14ac:dyDescent="0.25">
      <c r="A3404" s="2" t="s">
        <v>8</v>
      </c>
      <c r="B3404" s="2" t="str">
        <f>HYPERLINK("http://ts.21cn.com/tousu/show/id/1334084","马上消费金融威胁说外包第三方上门催收")</f>
        <v>马上消费金融威胁说外包第三方上门催收</v>
      </c>
      <c r="C3404" s="2" t="s">
        <v>9</v>
      </c>
      <c r="D3404" s="2" t="s">
        <v>10</v>
      </c>
      <c r="E3404" s="2" t="str">
        <f>HYPERLINK("http://ts.21cn.com/tousu/show/id/1334084","http://ts.21cn.com/tousu/show/id/1334084")</f>
        <v>http://ts.21cn.com/tousu/show/id/1334084</v>
      </c>
      <c r="F3404" s="2" t="s">
        <v>11</v>
      </c>
      <c r="G3404" s="2" t="s">
        <v>37438</v>
      </c>
      <c r="H3404" s="2" t="s">
        <v>37439</v>
      </c>
    </row>
    <row r="3405" spans="1:8" ht="25.05" customHeight="1" x14ac:dyDescent="0.25">
      <c r="A3405" s="2" t="s">
        <v>8</v>
      </c>
      <c r="B3405" s="2" t="str">
        <f>HYPERLINK("http://ts.21cn.com/tousu/show/id/1334086","从未申请注册浦发银行信用卡")</f>
        <v>从未申请注册浦发银行信用卡</v>
      </c>
      <c r="C3405" s="2" t="s">
        <v>9</v>
      </c>
      <c r="D3405" s="2" t="s">
        <v>10</v>
      </c>
      <c r="E3405" s="2" t="str">
        <f>HYPERLINK("http://ts.21cn.com/tousu/show/id/1334086","http://ts.21cn.com/tousu/show/id/1334086")</f>
        <v>http://ts.21cn.com/tousu/show/id/1334086</v>
      </c>
      <c r="F3405" s="2" t="s">
        <v>11</v>
      </c>
      <c r="G3405" s="2" t="s">
        <v>37436</v>
      </c>
      <c r="H3405" s="2" t="s">
        <v>37437</v>
      </c>
    </row>
    <row r="3406" spans="1:8" ht="25.05" customHeight="1" x14ac:dyDescent="0.25">
      <c r="A3406" s="2" t="s">
        <v>8</v>
      </c>
      <c r="B3406" s="2" t="str">
        <f>HYPERLINK("http://ts.21cn.com/tousu/show/id/1334087","钱站套路贷，高利贷，砍头息")</f>
        <v>钱站套路贷，高利贷，砍头息</v>
      </c>
      <c r="C3406" s="2" t="s">
        <v>9</v>
      </c>
      <c r="D3406" s="2" t="s">
        <v>10</v>
      </c>
      <c r="E3406" s="2" t="str">
        <f>HYPERLINK("http://ts.21cn.com/tousu/show/id/1334087","http://ts.21cn.com/tousu/show/id/1334087")</f>
        <v>http://ts.21cn.com/tousu/show/id/1334087</v>
      </c>
      <c r="F3406" s="2" t="s">
        <v>11</v>
      </c>
      <c r="G3406" s="2" t="s">
        <v>37434</v>
      </c>
      <c r="H3406" s="2" t="s">
        <v>37435</v>
      </c>
    </row>
    <row r="3407" spans="1:8" ht="25.05" customHeight="1" x14ac:dyDescent="0.25">
      <c r="A3407" s="2" t="s">
        <v>8</v>
      </c>
      <c r="B3407" s="2" t="str">
        <f>HYPERLINK("http://ts.21cn.com/tousu/show/id/1334089","借款2700到账1800的的套路贷")</f>
        <v>借款2700到账1800的的套路贷</v>
      </c>
      <c r="C3407" s="2" t="s">
        <v>9</v>
      </c>
      <c r="D3407" s="2" t="s">
        <v>10</v>
      </c>
      <c r="E3407" s="2" t="str">
        <f>HYPERLINK("http://ts.21cn.com/tousu/show/id/1334089","http://ts.21cn.com/tousu/show/id/1334089")</f>
        <v>http://ts.21cn.com/tousu/show/id/1334089</v>
      </c>
      <c r="F3407" s="2" t="s">
        <v>11</v>
      </c>
      <c r="G3407" s="2" t="s">
        <v>37432</v>
      </c>
      <c r="H3407" s="2" t="s">
        <v>37433</v>
      </c>
    </row>
    <row r="3408" spans="1:8" ht="25.05" customHeight="1" x14ac:dyDescent="0.25">
      <c r="A3408" s="2" t="s">
        <v>8</v>
      </c>
      <c r="B3408" s="2" t="str">
        <f>HYPERLINK("http://ts.21cn.com/tousu/show/id/1334057","拍拍贷骚扰")</f>
        <v>拍拍贷骚扰</v>
      </c>
      <c r="C3408" s="2" t="s">
        <v>9</v>
      </c>
      <c r="D3408" s="2" t="s">
        <v>10</v>
      </c>
      <c r="E3408" s="2" t="str">
        <f>HYPERLINK("http://ts.21cn.com/tousu/show/id/1334057","http://ts.21cn.com/tousu/show/id/1334057")</f>
        <v>http://ts.21cn.com/tousu/show/id/1334057</v>
      </c>
      <c r="F3408" s="2" t="s">
        <v>11</v>
      </c>
      <c r="G3408" s="2" t="s">
        <v>37430</v>
      </c>
      <c r="H3408" s="2" t="s">
        <v>37431</v>
      </c>
    </row>
    <row r="3409" spans="1:8" ht="25.05" customHeight="1" x14ac:dyDescent="0.25">
      <c r="A3409" s="2" t="s">
        <v>8</v>
      </c>
      <c r="B3409" s="2" t="str">
        <f>HYPERLINK("http://ts.21cn.com/tousu/show/id/1334090","平台对商家不公平，消费者多次申请仅退款不退货，平台居然直接退款给买家，不在乎商家的损失，我是平台的消费者，我有购买运费险")</f>
        <v>平台对商家不公平，消费者多次申请仅退款不退货，平台居然直接退款给买家，不在乎商家的损失，我是平台的消费者，我有购买运费险</v>
      </c>
      <c r="C3409" s="2" t="s">
        <v>9</v>
      </c>
      <c r="D3409" s="2" t="s">
        <v>10</v>
      </c>
      <c r="E3409" s="2" t="str">
        <f>HYPERLINK("http://ts.21cn.com/tousu/show/id/1334090","http://ts.21cn.com/tousu/show/id/1334090")</f>
        <v>http://ts.21cn.com/tousu/show/id/1334090</v>
      </c>
      <c r="F3409" s="2" t="s">
        <v>11</v>
      </c>
      <c r="G3409" s="2" t="s">
        <v>37427</v>
      </c>
      <c r="H3409" s="2" t="s">
        <v>37428</v>
      </c>
    </row>
    <row r="3410" spans="1:8" ht="25.05" customHeight="1" x14ac:dyDescent="0.25">
      <c r="A3410" s="2" t="s">
        <v>8</v>
      </c>
      <c r="B3410" s="2" t="str">
        <f>HYPERLINK("http://ts.21cn.com/tousu/show/id/1334092","贷上钱套路贷高利贷")</f>
        <v>贷上钱套路贷高利贷</v>
      </c>
      <c r="C3410" s="2" t="s">
        <v>9</v>
      </c>
      <c r="D3410" s="2" t="s">
        <v>10</v>
      </c>
      <c r="E3410" s="2" t="str">
        <f>HYPERLINK("http://ts.21cn.com/tousu/show/id/1334092","http://ts.21cn.com/tousu/show/id/1334092")</f>
        <v>http://ts.21cn.com/tousu/show/id/1334092</v>
      </c>
      <c r="F3410" s="2" t="s">
        <v>11</v>
      </c>
      <c r="G3410" s="2" t="s">
        <v>37427</v>
      </c>
      <c r="H3410" s="2" t="s">
        <v>37429</v>
      </c>
    </row>
    <row r="3411" spans="1:8" ht="25.05" customHeight="1" x14ac:dyDescent="0.25">
      <c r="A3411" s="2" t="s">
        <v>8</v>
      </c>
      <c r="B3411" s="2" t="str">
        <f>HYPERLINK("http://ts.21cn.com/tousu/show/id/1334093","上海跃吉拇指下款被扣299不给退还")</f>
        <v>上海跃吉拇指下款被扣299不给退还</v>
      </c>
      <c r="C3411" s="2" t="s">
        <v>9</v>
      </c>
      <c r="D3411" s="2" t="s">
        <v>10</v>
      </c>
      <c r="E3411" s="2" t="str">
        <f>HYPERLINK("http://ts.21cn.com/tousu/show/id/1334093","http://ts.21cn.com/tousu/show/id/1334093")</f>
        <v>http://ts.21cn.com/tousu/show/id/1334093</v>
      </c>
      <c r="F3411" s="2" t="s">
        <v>11</v>
      </c>
      <c r="G3411" s="2" t="s">
        <v>37425</v>
      </c>
      <c r="H3411" s="2" t="s">
        <v>37426</v>
      </c>
    </row>
    <row r="3412" spans="1:8" ht="25.05" customHeight="1" x14ac:dyDescent="0.25">
      <c r="A3412" s="2" t="s">
        <v>8</v>
      </c>
      <c r="B3412" s="2" t="str">
        <f>HYPERLINK("http://ts.21cn.com/tousu/show/id/1334094","小浦优客app未提示扣取报告费要求退回")</f>
        <v>小浦优客app未提示扣取报告费要求退回</v>
      </c>
      <c r="C3412" s="2" t="s">
        <v>9</v>
      </c>
      <c r="D3412" s="2" t="s">
        <v>10</v>
      </c>
      <c r="E3412" s="2" t="str">
        <f>HYPERLINK("http://ts.21cn.com/tousu/show/id/1334094","http://ts.21cn.com/tousu/show/id/1334094")</f>
        <v>http://ts.21cn.com/tousu/show/id/1334094</v>
      </c>
      <c r="F3412" s="2" t="s">
        <v>11</v>
      </c>
      <c r="G3412" s="2" t="s">
        <v>37423</v>
      </c>
      <c r="H3412" s="2" t="s">
        <v>37424</v>
      </c>
    </row>
    <row r="3413" spans="1:8" ht="25.05" customHeight="1" x14ac:dyDescent="0.25">
      <c r="A3413" s="2" t="s">
        <v>8</v>
      </c>
      <c r="B3413" s="2" t="str">
        <f>HYPERLINK("http://ts.21cn.com/tousu/show/id/1334097","钱站高利贷阴阳合同")</f>
        <v>钱站高利贷阴阳合同</v>
      </c>
      <c r="C3413" s="2" t="s">
        <v>9</v>
      </c>
      <c r="D3413" s="2" t="s">
        <v>10</v>
      </c>
      <c r="E3413" s="2" t="str">
        <f>HYPERLINK("http://ts.21cn.com/tousu/show/id/1334097","http://ts.21cn.com/tousu/show/id/1334097")</f>
        <v>http://ts.21cn.com/tousu/show/id/1334097</v>
      </c>
      <c r="F3413" s="2" t="s">
        <v>11</v>
      </c>
      <c r="G3413" s="2" t="s">
        <v>37421</v>
      </c>
      <c r="H3413" s="2" t="s">
        <v>37422</v>
      </c>
    </row>
    <row r="3414" spans="1:8" ht="25.05" customHeight="1" x14ac:dyDescent="0.25">
      <c r="A3414" s="2" t="s">
        <v>8</v>
      </c>
      <c r="B3414" s="2" t="str">
        <f>HYPERLINK("http://ts.21cn.com/tousu/show/id/1334027","小霸王暴力催收")</f>
        <v>小霸王暴力催收</v>
      </c>
      <c r="C3414" s="2" t="s">
        <v>9</v>
      </c>
      <c r="D3414" s="2" t="s">
        <v>10</v>
      </c>
      <c r="E3414" s="2" t="str">
        <f>HYPERLINK("http://ts.21cn.com/tousu/show/id/1334027","http://ts.21cn.com/tousu/show/id/1334027")</f>
        <v>http://ts.21cn.com/tousu/show/id/1334027</v>
      </c>
      <c r="F3414" s="2" t="s">
        <v>11</v>
      </c>
      <c r="G3414" s="2" t="s">
        <v>37419</v>
      </c>
      <c r="H3414" s="2" t="s">
        <v>37420</v>
      </c>
    </row>
    <row r="3415" spans="1:8" ht="25.05" customHeight="1" x14ac:dyDescent="0.25">
      <c r="A3415" s="2" t="s">
        <v>8</v>
      </c>
      <c r="B3415" s="2" t="str">
        <f>HYPERLINK("http://ts.21cn.com/tousu/show/id/1334095","请求延期还款")</f>
        <v>请求延期还款</v>
      </c>
      <c r="C3415" s="2" t="s">
        <v>34</v>
      </c>
      <c r="D3415" s="2" t="s">
        <v>10</v>
      </c>
      <c r="E3415" s="2" t="str">
        <f>HYPERLINK("http://ts.21cn.com/tousu/show/id/1334095","http://ts.21cn.com/tousu/show/id/1334095")</f>
        <v>http://ts.21cn.com/tousu/show/id/1334095</v>
      </c>
      <c r="F3415" s="2" t="s">
        <v>11</v>
      </c>
      <c r="G3415" s="2" t="s">
        <v>37417</v>
      </c>
      <c r="H3415" s="2" t="s">
        <v>37418</v>
      </c>
    </row>
    <row r="3416" spans="1:8" ht="25.05" customHeight="1" x14ac:dyDescent="0.25">
      <c r="A3416" s="2" t="s">
        <v>8</v>
      </c>
      <c r="B3416" s="2" t="str">
        <f>HYPERLINK("http://ts.21cn.com/tousu/show/id/1334096","多宝分期app一直还款失败且利息超过国家标准客服让线下转账")</f>
        <v>多宝分期app一直还款失败且利息超过国家标准客服让线下转账</v>
      </c>
      <c r="C3416" s="2" t="s">
        <v>9</v>
      </c>
      <c r="D3416" s="2" t="s">
        <v>10</v>
      </c>
      <c r="E3416" s="2" t="str">
        <f>HYPERLINK("http://ts.21cn.com/tousu/show/id/1334096","http://ts.21cn.com/tousu/show/id/1334096")</f>
        <v>http://ts.21cn.com/tousu/show/id/1334096</v>
      </c>
      <c r="F3416" s="2" t="s">
        <v>11</v>
      </c>
      <c r="G3416" s="2" t="s">
        <v>37415</v>
      </c>
      <c r="H3416" s="2" t="s">
        <v>37416</v>
      </c>
    </row>
    <row r="3417" spans="1:8" ht="25.05" customHeight="1" x14ac:dyDescent="0.25">
      <c r="A3417" s="2" t="s">
        <v>8</v>
      </c>
      <c r="B3417" s="2" t="str">
        <f>HYPERLINK("http://ts.21cn.com/tousu/show/id/1334098","购买会员无法使用")</f>
        <v>购买会员无法使用</v>
      </c>
      <c r="C3417" s="2" t="s">
        <v>34</v>
      </c>
      <c r="D3417" s="2" t="s">
        <v>10</v>
      </c>
      <c r="E3417" s="2" t="str">
        <f>HYPERLINK("http://ts.21cn.com/tousu/show/id/1334098","http://ts.21cn.com/tousu/show/id/1334098")</f>
        <v>http://ts.21cn.com/tousu/show/id/1334098</v>
      </c>
      <c r="F3417" s="2" t="s">
        <v>11</v>
      </c>
      <c r="G3417" s="2" t="s">
        <v>37413</v>
      </c>
      <c r="H3417" s="2" t="s">
        <v>37414</v>
      </c>
    </row>
    <row r="3418" spans="1:8" ht="25.05" customHeight="1" x14ac:dyDescent="0.25">
      <c r="A3418" s="2" t="s">
        <v>8</v>
      </c>
      <c r="B3418" s="2" t="str">
        <f>HYPERLINK("http://ts.21cn.com/tousu/show/id/1334099","平安普惠贷款隐瞒隐藏并强制收取高额保险费管理费投诉事宜")</f>
        <v>平安普惠贷款隐瞒隐藏并强制收取高额保险费管理费投诉事宜</v>
      </c>
      <c r="C3418" s="2" t="s">
        <v>9</v>
      </c>
      <c r="D3418" s="2" t="s">
        <v>10</v>
      </c>
      <c r="E3418" s="2" t="str">
        <f>HYPERLINK("http://ts.21cn.com/tousu/show/id/1334099","http://ts.21cn.com/tousu/show/id/1334099")</f>
        <v>http://ts.21cn.com/tousu/show/id/1334099</v>
      </c>
      <c r="F3418" s="2" t="s">
        <v>11</v>
      </c>
      <c r="G3418" s="2" t="s">
        <v>37411</v>
      </c>
      <c r="H3418" s="2" t="s">
        <v>37412</v>
      </c>
    </row>
    <row r="3419" spans="1:8" ht="25.05" customHeight="1" x14ac:dyDescent="0.25">
      <c r="A3419" s="2" t="s">
        <v>8</v>
      </c>
      <c r="B3419" s="2" t="str">
        <f>HYPERLINK("http://ts.21cn.com/tousu/show/id/1334101","来分期平台严重使用电话骚扰")</f>
        <v>来分期平台严重使用电话骚扰</v>
      </c>
      <c r="C3419" s="2" t="s">
        <v>9</v>
      </c>
      <c r="D3419" s="2" t="s">
        <v>10</v>
      </c>
      <c r="E3419" s="2" t="str">
        <f>HYPERLINK("http://ts.21cn.com/tousu/show/id/1334101","http://ts.21cn.com/tousu/show/id/1334101")</f>
        <v>http://ts.21cn.com/tousu/show/id/1334101</v>
      </c>
      <c r="F3419" s="2" t="s">
        <v>11</v>
      </c>
      <c r="G3419" s="2" t="s">
        <v>37409</v>
      </c>
      <c r="H3419" s="2" t="s">
        <v>37410</v>
      </c>
    </row>
    <row r="3420" spans="1:8" ht="25.05" customHeight="1" x14ac:dyDescent="0.25">
      <c r="A3420" s="2" t="s">
        <v>8</v>
      </c>
      <c r="B3420" s="2" t="str">
        <f>HYPERLINK("http://ts.21cn.com/tousu/show/id/1334100","小花钱包暴力催收无视法律")</f>
        <v>小花钱包暴力催收无视法律</v>
      </c>
      <c r="C3420" s="2" t="s">
        <v>9</v>
      </c>
      <c r="D3420" s="2" t="s">
        <v>10</v>
      </c>
      <c r="E3420" s="2" t="str">
        <f>HYPERLINK("http://ts.21cn.com/tousu/show/id/1334100","http://ts.21cn.com/tousu/show/id/1334100")</f>
        <v>http://ts.21cn.com/tousu/show/id/1334100</v>
      </c>
      <c r="F3420" s="2" t="s">
        <v>11</v>
      </c>
      <c r="G3420" s="2" t="s">
        <v>37407</v>
      </c>
      <c r="H3420" s="2" t="s">
        <v>37408</v>
      </c>
    </row>
    <row r="3421" spans="1:8" ht="25.05" customHeight="1" x14ac:dyDescent="0.25">
      <c r="A3421" s="2" t="s">
        <v>8</v>
      </c>
      <c r="B3421" s="2" t="str">
        <f>HYPERLINK("http://ts.21cn.com/tousu/show/id/1334102","立借万金海非法骚扰威胁")</f>
        <v>立借万金海非法骚扰威胁</v>
      </c>
      <c r="C3421" s="2" t="s">
        <v>9</v>
      </c>
      <c r="D3421" s="2" t="s">
        <v>10</v>
      </c>
      <c r="E3421" s="2" t="str">
        <f>HYPERLINK("http://ts.21cn.com/tousu/show/id/1334102","http://ts.21cn.com/tousu/show/id/1334102")</f>
        <v>http://ts.21cn.com/tousu/show/id/1334102</v>
      </c>
      <c r="F3421" s="2" t="s">
        <v>11</v>
      </c>
      <c r="G3421" s="2" t="s">
        <v>37405</v>
      </c>
      <c r="H3421" s="2" t="s">
        <v>37406</v>
      </c>
    </row>
    <row r="3422" spans="1:8" ht="25.05" customHeight="1" x14ac:dyDescent="0.25">
      <c r="A3422" s="2" t="s">
        <v>8</v>
      </c>
      <c r="B3422" s="2" t="str">
        <f>HYPERLINK("http://ts.21cn.com/tousu/show/id/1334104","延迟发货。不承担相应责任")</f>
        <v>延迟发货。不承担相应责任</v>
      </c>
      <c r="C3422" s="2" t="s">
        <v>9</v>
      </c>
      <c r="D3422" s="2" t="s">
        <v>10</v>
      </c>
      <c r="E3422" s="2" t="str">
        <f>HYPERLINK("http://ts.21cn.com/tousu/show/id/1334104","http://ts.21cn.com/tousu/show/id/1334104")</f>
        <v>http://ts.21cn.com/tousu/show/id/1334104</v>
      </c>
      <c r="F3422" s="2" t="s">
        <v>11</v>
      </c>
      <c r="G3422" s="2" t="s">
        <v>37403</v>
      </c>
      <c r="H3422" s="2" t="s">
        <v>37404</v>
      </c>
    </row>
    <row r="3423" spans="1:8" ht="25.05" customHeight="1" x14ac:dyDescent="0.25">
      <c r="A3423" s="2" t="s">
        <v>8</v>
      </c>
      <c r="B3423" s="2" t="str">
        <f>HYPERLINK("http://ts.21cn.com/tousu/show/id/1334106","高利贷，套路贷")</f>
        <v>高利贷，套路贷</v>
      </c>
      <c r="C3423" s="2" t="s">
        <v>9</v>
      </c>
      <c r="D3423" s="2" t="s">
        <v>10</v>
      </c>
      <c r="E3423" s="2" t="str">
        <f>HYPERLINK("http://ts.21cn.com/tousu/show/id/1334106","http://ts.21cn.com/tousu/show/id/1334106")</f>
        <v>http://ts.21cn.com/tousu/show/id/1334106</v>
      </c>
      <c r="F3423" s="2" t="s">
        <v>11</v>
      </c>
      <c r="G3423" s="2" t="s">
        <v>37401</v>
      </c>
      <c r="H3423" s="2" t="s">
        <v>37402</v>
      </c>
    </row>
    <row r="3424" spans="1:8" ht="25.05" customHeight="1" x14ac:dyDescent="0.25">
      <c r="A3424" s="2" t="s">
        <v>8</v>
      </c>
      <c r="B3424" s="2" t="str">
        <f>HYPERLINK("http://ts.21cn.com/tousu/show/id/1334105","中腾信和鼎泰鑫暴力崔收")</f>
        <v>中腾信和鼎泰鑫暴力崔收</v>
      </c>
      <c r="C3424" s="2" t="s">
        <v>9</v>
      </c>
      <c r="D3424" s="2" t="s">
        <v>10</v>
      </c>
      <c r="E3424" s="2" t="str">
        <f>HYPERLINK("http://ts.21cn.com/tousu/show/id/1334105","http://ts.21cn.com/tousu/show/id/1334105")</f>
        <v>http://ts.21cn.com/tousu/show/id/1334105</v>
      </c>
      <c r="F3424" s="2" t="s">
        <v>11</v>
      </c>
      <c r="G3424" s="2" t="s">
        <v>37399</v>
      </c>
      <c r="H3424" s="2" t="s">
        <v>37400</v>
      </c>
    </row>
    <row r="3425" spans="1:8" ht="25.05" customHeight="1" x14ac:dyDescent="0.25">
      <c r="A3425" s="2" t="s">
        <v>8</v>
      </c>
      <c r="B3425" s="2" t="str">
        <f>HYPERLINK("http://ts.21cn.com/tousu/show/id/1334107","马上金融暴力催收")</f>
        <v>马上金融暴力催收</v>
      </c>
      <c r="C3425" s="2" t="s">
        <v>9</v>
      </c>
      <c r="D3425" s="2" t="s">
        <v>10</v>
      </c>
      <c r="E3425" s="2" t="str">
        <f>HYPERLINK("http://ts.21cn.com/tousu/show/id/1334107","http://ts.21cn.com/tousu/show/id/1334107")</f>
        <v>http://ts.21cn.com/tousu/show/id/1334107</v>
      </c>
      <c r="F3425" s="2" t="s">
        <v>11</v>
      </c>
      <c r="G3425" s="2" t="s">
        <v>37397</v>
      </c>
      <c r="H3425" s="2" t="s">
        <v>37398</v>
      </c>
    </row>
    <row r="3426" spans="1:8" ht="25.05" customHeight="1" x14ac:dyDescent="0.25">
      <c r="A3426" s="2" t="s">
        <v>8</v>
      </c>
      <c r="B3426" s="2" t="str">
        <f>HYPERLINK("http://ts.21cn.com/tousu/show/id/1334108","嘀嗒顺风车迟到害我没有赶上动车")</f>
        <v>嘀嗒顺风车迟到害我没有赶上动车</v>
      </c>
      <c r="C3426" s="2" t="s">
        <v>34</v>
      </c>
      <c r="D3426" s="2" t="s">
        <v>10</v>
      </c>
      <c r="E3426" s="2" t="str">
        <f>HYPERLINK("http://ts.21cn.com/tousu/show/id/1334108","http://ts.21cn.com/tousu/show/id/1334108")</f>
        <v>http://ts.21cn.com/tousu/show/id/1334108</v>
      </c>
      <c r="F3426" s="2" t="s">
        <v>11</v>
      </c>
      <c r="G3426" s="2" t="s">
        <v>37395</v>
      </c>
      <c r="H3426" s="2" t="s">
        <v>37396</v>
      </c>
    </row>
    <row r="3427" spans="1:8" ht="25.05" customHeight="1" x14ac:dyDescent="0.25">
      <c r="A3427" s="2" t="s">
        <v>8</v>
      </c>
      <c r="B3427" s="2" t="str">
        <f>HYPERLINK("http://ts.21cn.com/tousu/show/id/1334109","太阳雨太阳能坏了厂家不给维修不给回复")</f>
        <v>太阳雨太阳能坏了厂家不给维修不给回复</v>
      </c>
      <c r="C3427" s="2" t="s">
        <v>9</v>
      </c>
      <c r="D3427" s="2" t="s">
        <v>10</v>
      </c>
      <c r="E3427" s="2" t="str">
        <f>HYPERLINK("http://ts.21cn.com/tousu/show/id/1334109","http://ts.21cn.com/tousu/show/id/1334109")</f>
        <v>http://ts.21cn.com/tousu/show/id/1334109</v>
      </c>
      <c r="F3427" s="2" t="s">
        <v>11</v>
      </c>
      <c r="G3427" s="2" t="s">
        <v>37393</v>
      </c>
      <c r="H3427" s="2" t="s">
        <v>37394</v>
      </c>
    </row>
    <row r="3428" spans="1:8" ht="25.05" customHeight="1" x14ac:dyDescent="0.25">
      <c r="A3428" s="2" t="s">
        <v>8</v>
      </c>
      <c r="B3428" s="2" t="str">
        <f>HYPERLINK("http://ts.21cn.com/tousu/show/id/1334110","砍头息高利息")</f>
        <v>砍头息高利息</v>
      </c>
      <c r="C3428" s="2" t="s">
        <v>9</v>
      </c>
      <c r="D3428" s="2" t="s">
        <v>10</v>
      </c>
      <c r="E3428" s="2" t="str">
        <f>HYPERLINK("http://ts.21cn.com/tousu/show/id/1334110","http://ts.21cn.com/tousu/show/id/1334110")</f>
        <v>http://ts.21cn.com/tousu/show/id/1334110</v>
      </c>
      <c r="F3428" s="2" t="s">
        <v>11</v>
      </c>
      <c r="G3428" s="2" t="s">
        <v>37391</v>
      </c>
      <c r="H3428" s="2" t="s">
        <v>37392</v>
      </c>
    </row>
    <row r="3429" spans="1:8" ht="25.05" customHeight="1" x14ac:dyDescent="0.25">
      <c r="A3429" s="2" t="s">
        <v>8</v>
      </c>
      <c r="B3429" s="2" t="str">
        <f>HYPERLINK("http://ts.21cn.com/tousu/show/id/1334111","普惠分期套路")</f>
        <v>普惠分期套路</v>
      </c>
      <c r="C3429" s="2" t="s">
        <v>34</v>
      </c>
      <c r="D3429" s="2" t="s">
        <v>10</v>
      </c>
      <c r="E3429" s="2" t="str">
        <f>HYPERLINK("http://ts.21cn.com/tousu/show/id/1334111","http://ts.21cn.com/tousu/show/id/1334111")</f>
        <v>http://ts.21cn.com/tousu/show/id/1334111</v>
      </c>
      <c r="F3429" s="2" t="s">
        <v>11</v>
      </c>
      <c r="G3429" s="2" t="s">
        <v>37389</v>
      </c>
      <c r="H3429" s="2" t="s">
        <v>37390</v>
      </c>
    </row>
    <row r="3430" spans="1:8" ht="25.05" customHeight="1" x14ac:dyDescent="0.25">
      <c r="A3430" s="2" t="s">
        <v>8</v>
      </c>
      <c r="B3430" s="2" t="str">
        <f>HYPERLINK("http://ts.21cn.com/tousu/show/id/1334112","微信支付永久冻结")</f>
        <v>微信支付永久冻结</v>
      </c>
      <c r="C3430" s="2" t="s">
        <v>9</v>
      </c>
      <c r="D3430" s="2" t="s">
        <v>10</v>
      </c>
      <c r="E3430" s="2" t="str">
        <f>HYPERLINK("http://ts.21cn.com/tousu/show/id/1334112","http://ts.21cn.com/tousu/show/id/1334112")</f>
        <v>http://ts.21cn.com/tousu/show/id/1334112</v>
      </c>
      <c r="F3430" s="2" t="s">
        <v>11</v>
      </c>
      <c r="G3430" s="2" t="s">
        <v>37387</v>
      </c>
      <c r="H3430" s="2" t="s">
        <v>37388</v>
      </c>
    </row>
    <row r="3431" spans="1:8" ht="25.05" customHeight="1" x14ac:dyDescent="0.25">
      <c r="A3431" s="2" t="s">
        <v>8</v>
      </c>
      <c r="B3431" s="2" t="str">
        <f>HYPERLINK("http://ts.21cn.com/tousu/show/id/1334113","数来宝高利贷")</f>
        <v>数来宝高利贷</v>
      </c>
      <c r="C3431" s="2" t="s">
        <v>9</v>
      </c>
      <c r="D3431" s="2" t="s">
        <v>10</v>
      </c>
      <c r="E3431" s="2" t="str">
        <f>HYPERLINK("http://ts.21cn.com/tousu/show/id/1334113","http://ts.21cn.com/tousu/show/id/1334113")</f>
        <v>http://ts.21cn.com/tousu/show/id/1334113</v>
      </c>
      <c r="F3431" s="2" t="s">
        <v>11</v>
      </c>
      <c r="G3431" s="2" t="s">
        <v>37385</v>
      </c>
      <c r="H3431" s="2" t="s">
        <v>37386</v>
      </c>
    </row>
    <row r="3432" spans="1:8" ht="25.05" customHeight="1" x14ac:dyDescent="0.25">
      <c r="A3432" s="2" t="s">
        <v>8</v>
      </c>
      <c r="B3432" s="2" t="str">
        <f>HYPERLINK("http://ts.21cn.com/tousu/show/id/1334114","小当家高利贷爆通讯录")</f>
        <v>小当家高利贷爆通讯录</v>
      </c>
      <c r="C3432" s="2" t="s">
        <v>9</v>
      </c>
      <c r="D3432" s="2" t="s">
        <v>10</v>
      </c>
      <c r="E3432" s="2" t="str">
        <f>HYPERLINK("http://ts.21cn.com/tousu/show/id/1334114","http://ts.21cn.com/tousu/show/id/1334114")</f>
        <v>http://ts.21cn.com/tousu/show/id/1334114</v>
      </c>
      <c r="F3432" s="2" t="s">
        <v>11</v>
      </c>
      <c r="G3432" s="2" t="s">
        <v>37383</v>
      </c>
      <c r="H3432" s="2" t="s">
        <v>37384</v>
      </c>
    </row>
    <row r="3433" spans="1:8" ht="25.05" customHeight="1" x14ac:dyDescent="0.25">
      <c r="A3433" s="2" t="s">
        <v>8</v>
      </c>
      <c r="B3433" s="2" t="str">
        <f>HYPERLINK("http://ts.21cn.com/tousu/show/id/1334115","在携程上面订酒店，几秒钟扣钱，却一直显示未付款成功")</f>
        <v>在携程上面订酒店，几秒钟扣钱，却一直显示未付款成功</v>
      </c>
      <c r="C3433" s="2" t="s">
        <v>9</v>
      </c>
      <c r="D3433" s="2" t="s">
        <v>10</v>
      </c>
      <c r="E3433" s="2" t="str">
        <f>HYPERLINK("http://ts.21cn.com/tousu/show/id/1334115","http://ts.21cn.com/tousu/show/id/1334115")</f>
        <v>http://ts.21cn.com/tousu/show/id/1334115</v>
      </c>
      <c r="F3433" s="2" t="s">
        <v>11</v>
      </c>
      <c r="G3433" s="2" t="s">
        <v>37381</v>
      </c>
      <c r="H3433" s="2" t="s">
        <v>37382</v>
      </c>
    </row>
    <row r="3434" spans="1:8" ht="25.05" customHeight="1" x14ac:dyDescent="0.25">
      <c r="A3434" s="2" t="s">
        <v>8</v>
      </c>
      <c r="B3434" s="2" t="str">
        <f>HYPERLINK("http://ts.21cn.com/tousu/show/id/1334120","无法打开水莲金条")</f>
        <v>无法打开水莲金条</v>
      </c>
      <c r="C3434" s="2" t="s">
        <v>34</v>
      </c>
      <c r="D3434" s="2" t="s">
        <v>10</v>
      </c>
      <c r="E3434" s="2" t="str">
        <f>HYPERLINK("http://ts.21cn.com/tousu/show/id/1334120","http://ts.21cn.com/tousu/show/id/1334120")</f>
        <v>http://ts.21cn.com/tousu/show/id/1334120</v>
      </c>
      <c r="F3434" s="2" t="s">
        <v>11</v>
      </c>
      <c r="G3434" s="2" t="s">
        <v>37379</v>
      </c>
      <c r="H3434" s="2" t="s">
        <v>37380</v>
      </c>
    </row>
    <row r="3435" spans="1:8" ht="25.05" customHeight="1" x14ac:dyDescent="0.25">
      <c r="A3435" s="2" t="s">
        <v>8</v>
      </c>
      <c r="B3435" s="2" t="str">
        <f>HYPERLINK("http://ts.21cn.com/tousu/show/id/1334117","交易猫购买商品不发货也不给退款")</f>
        <v>交易猫购买商品不发货也不给退款</v>
      </c>
      <c r="C3435" s="2" t="s">
        <v>9</v>
      </c>
      <c r="D3435" s="2" t="s">
        <v>10</v>
      </c>
      <c r="E3435" s="2" t="str">
        <f>HYPERLINK("http://ts.21cn.com/tousu/show/id/1334117","http://ts.21cn.com/tousu/show/id/1334117")</f>
        <v>http://ts.21cn.com/tousu/show/id/1334117</v>
      </c>
      <c r="F3435" s="2" t="s">
        <v>11</v>
      </c>
      <c r="G3435" s="2" t="s">
        <v>37377</v>
      </c>
      <c r="H3435" s="2" t="s">
        <v>37378</v>
      </c>
    </row>
    <row r="3436" spans="1:8" ht="25.05" customHeight="1" x14ac:dyDescent="0.25">
      <c r="A3436" s="2" t="s">
        <v>8</v>
      </c>
      <c r="B3436" s="2" t="str">
        <f>HYPERLINK("http://ts.21cn.com/tousu/show/id/1334116","立借十二期三期就要结清，高利贷")</f>
        <v>立借十二期三期就要结清，高利贷</v>
      </c>
      <c r="C3436" s="2" t="s">
        <v>9</v>
      </c>
      <c r="D3436" s="2" t="s">
        <v>10</v>
      </c>
      <c r="E3436" s="2" t="str">
        <f>HYPERLINK("http://ts.21cn.com/tousu/show/id/1334116","http://ts.21cn.com/tousu/show/id/1334116")</f>
        <v>http://ts.21cn.com/tousu/show/id/1334116</v>
      </c>
      <c r="F3436" s="2" t="s">
        <v>11</v>
      </c>
      <c r="G3436" s="2" t="s">
        <v>37375</v>
      </c>
      <c r="H3436" s="2" t="s">
        <v>37376</v>
      </c>
    </row>
    <row r="3437" spans="1:8" ht="25.05" customHeight="1" x14ac:dyDescent="0.25">
      <c r="A3437" s="2" t="s">
        <v>8</v>
      </c>
      <c r="B3437" s="2" t="str">
        <f>HYPERLINK("http://ts.21cn.com/tousu/show/id/1334118","马上金融暴力催收高利贷")</f>
        <v>马上金融暴力催收高利贷</v>
      </c>
      <c r="C3437" s="2" t="s">
        <v>9</v>
      </c>
      <c r="D3437" s="2" t="s">
        <v>10</v>
      </c>
      <c r="E3437" s="2" t="str">
        <f>HYPERLINK("http://ts.21cn.com/tousu/show/id/1334118","http://ts.21cn.com/tousu/show/id/1334118")</f>
        <v>http://ts.21cn.com/tousu/show/id/1334118</v>
      </c>
      <c r="F3437" s="2" t="s">
        <v>11</v>
      </c>
      <c r="G3437" s="2" t="s">
        <v>37372</v>
      </c>
      <c r="H3437" s="2" t="s">
        <v>37373</v>
      </c>
    </row>
    <row r="3438" spans="1:8" ht="25.05" customHeight="1" x14ac:dyDescent="0.25">
      <c r="A3438" s="2" t="s">
        <v>8</v>
      </c>
      <c r="B3438" s="2" t="str">
        <f>HYPERLINK("http://ts.21cn.com/tousu/show/id/1334119","被及贷高息套路贷")</f>
        <v>被及贷高息套路贷</v>
      </c>
      <c r="C3438" s="2" t="s">
        <v>9</v>
      </c>
      <c r="D3438" s="2" t="s">
        <v>10</v>
      </c>
      <c r="E3438" s="2" t="str">
        <f>HYPERLINK("http://ts.21cn.com/tousu/show/id/1334119","http://ts.21cn.com/tousu/show/id/1334119")</f>
        <v>http://ts.21cn.com/tousu/show/id/1334119</v>
      </c>
      <c r="F3438" s="2" t="s">
        <v>11</v>
      </c>
      <c r="G3438" s="2" t="s">
        <v>37372</v>
      </c>
      <c r="H3438" s="2" t="s">
        <v>37374</v>
      </c>
    </row>
    <row r="3439" spans="1:8" ht="25.05" customHeight="1" x14ac:dyDescent="0.25">
      <c r="A3439" s="2" t="s">
        <v>8</v>
      </c>
      <c r="B3439" s="2" t="str">
        <f>HYPERLINK("http://ts.21cn.com/tousu/show/id/1334121","京东金融转进去的钱退不出来")</f>
        <v>京东金融转进去的钱退不出来</v>
      </c>
      <c r="C3439" s="2" t="s">
        <v>34</v>
      </c>
      <c r="D3439" s="2" t="s">
        <v>10</v>
      </c>
      <c r="E3439" s="2" t="str">
        <f>HYPERLINK("http://ts.21cn.com/tousu/show/id/1334121","http://ts.21cn.com/tousu/show/id/1334121")</f>
        <v>http://ts.21cn.com/tousu/show/id/1334121</v>
      </c>
      <c r="F3439" s="2" t="s">
        <v>11</v>
      </c>
      <c r="G3439" s="2" t="s">
        <v>37370</v>
      </c>
      <c r="H3439" s="2" t="s">
        <v>37371</v>
      </c>
    </row>
    <row r="3440" spans="1:8" ht="25.05" customHeight="1" x14ac:dyDescent="0.25">
      <c r="A3440" s="2" t="s">
        <v>8</v>
      </c>
      <c r="B3440" s="2" t="str">
        <f>HYPERLINK("http://ts.21cn.com/tousu/show/id/1334122","本人在创和小镇购买2000代金券，现要求退款，对方提出收取百分之二十五费用")</f>
        <v>本人在创和小镇购买2000代金券，现要求退款，对方提出收取百分之二十五费用</v>
      </c>
      <c r="C3440" s="2" t="s">
        <v>34</v>
      </c>
      <c r="D3440" s="2" t="s">
        <v>10</v>
      </c>
      <c r="E3440" s="2" t="str">
        <f>HYPERLINK("http://ts.21cn.com/tousu/show/id/1334122","http://ts.21cn.com/tousu/show/id/1334122")</f>
        <v>http://ts.21cn.com/tousu/show/id/1334122</v>
      </c>
      <c r="F3440" s="2" t="s">
        <v>11</v>
      </c>
      <c r="G3440" s="2" t="s">
        <v>37368</v>
      </c>
      <c r="H3440" s="2" t="s">
        <v>37369</v>
      </c>
    </row>
    <row r="3441" spans="1:8" ht="25.05" customHeight="1" x14ac:dyDescent="0.25">
      <c r="A3441" s="2" t="s">
        <v>8</v>
      </c>
      <c r="B3441" s="2" t="str">
        <f>HYPERLINK("http://ts.21cn.com/tousu/show/id/1334124","马上金融暴力催收")</f>
        <v>马上金融暴力催收</v>
      </c>
      <c r="C3441" s="2" t="s">
        <v>9</v>
      </c>
      <c r="D3441" s="2" t="s">
        <v>10</v>
      </c>
      <c r="E3441" s="2" t="str">
        <f>HYPERLINK("http://ts.21cn.com/tousu/show/id/1334124","http://ts.21cn.com/tousu/show/id/1334124")</f>
        <v>http://ts.21cn.com/tousu/show/id/1334124</v>
      </c>
      <c r="F3441" s="2" t="s">
        <v>11</v>
      </c>
      <c r="G3441" s="2" t="s">
        <v>37366</v>
      </c>
      <c r="H3441" s="2" t="s">
        <v>37367</v>
      </c>
    </row>
    <row r="3442" spans="1:8" ht="25.05" customHeight="1" x14ac:dyDescent="0.25">
      <c r="A3442" s="2" t="s">
        <v>8</v>
      </c>
      <c r="B3442" s="2" t="str">
        <f>HYPERLINK("http://ts.21cn.com/tousu/show/id/1334126","爆通讯录")</f>
        <v>爆通讯录</v>
      </c>
      <c r="C3442" s="2" t="s">
        <v>9</v>
      </c>
      <c r="D3442" s="2" t="s">
        <v>10</v>
      </c>
      <c r="E3442" s="2" t="str">
        <f>HYPERLINK("http://ts.21cn.com/tousu/show/id/1334126","http://ts.21cn.com/tousu/show/id/1334126")</f>
        <v>http://ts.21cn.com/tousu/show/id/1334126</v>
      </c>
      <c r="F3442" s="2" t="s">
        <v>11</v>
      </c>
      <c r="G3442" s="2" t="s">
        <v>37364</v>
      </c>
      <c r="H3442" s="2" t="s">
        <v>37365</v>
      </c>
    </row>
    <row r="3443" spans="1:8" ht="25.05" customHeight="1" x14ac:dyDescent="0.25">
      <c r="A3443" s="2" t="s">
        <v>8</v>
      </c>
      <c r="B3443" s="2" t="str">
        <f>HYPERLINK("http://ts.21cn.com/tousu/show/id/1334125","美团生活费暴力恐吓")</f>
        <v>美团生活费暴力恐吓</v>
      </c>
      <c r="C3443" s="2" t="s">
        <v>9</v>
      </c>
      <c r="D3443" s="2" t="s">
        <v>10</v>
      </c>
      <c r="E3443" s="2" t="str">
        <f>HYPERLINK("http://ts.21cn.com/tousu/show/id/1334125","http://ts.21cn.com/tousu/show/id/1334125")</f>
        <v>http://ts.21cn.com/tousu/show/id/1334125</v>
      </c>
      <c r="F3443" s="2" t="s">
        <v>11</v>
      </c>
      <c r="G3443" s="2" t="s">
        <v>37362</v>
      </c>
      <c r="H3443" s="2" t="s">
        <v>37363</v>
      </c>
    </row>
    <row r="3444" spans="1:8" ht="25.05" customHeight="1" x14ac:dyDescent="0.25">
      <c r="A3444" s="2" t="s">
        <v>8</v>
      </c>
      <c r="B3444" s="2" t="str">
        <f>HYPERLINK("http://ts.21cn.com/tousu/show/id/1334128","最牛暴力催收")</f>
        <v>最牛暴力催收</v>
      </c>
      <c r="C3444" s="2" t="s">
        <v>9</v>
      </c>
      <c r="D3444" s="2" t="s">
        <v>10</v>
      </c>
      <c r="E3444" s="2" t="str">
        <f>HYPERLINK("http://ts.21cn.com/tousu/show/id/1334128","http://ts.21cn.com/tousu/show/id/1334128")</f>
        <v>http://ts.21cn.com/tousu/show/id/1334128</v>
      </c>
      <c r="F3444" s="2" t="s">
        <v>11</v>
      </c>
      <c r="G3444" s="2" t="s">
        <v>37360</v>
      </c>
      <c r="H3444" s="2" t="s">
        <v>37361</v>
      </c>
    </row>
    <row r="3445" spans="1:8" ht="25.05" customHeight="1" x14ac:dyDescent="0.25">
      <c r="A3445" s="2" t="s">
        <v>8</v>
      </c>
      <c r="B3445" s="2" t="str">
        <f>HYPERLINK("http://ts.21cn.com/tousu/show/id/1334130","还款日按时还款app显示我逾期五天")</f>
        <v>还款日按时还款app显示我逾期五天</v>
      </c>
      <c r="C3445" s="2" t="s">
        <v>34</v>
      </c>
      <c r="D3445" s="2" t="s">
        <v>10</v>
      </c>
      <c r="E3445" s="2" t="str">
        <f>HYPERLINK("http://ts.21cn.com/tousu/show/id/1334130","http://ts.21cn.com/tousu/show/id/1334130")</f>
        <v>http://ts.21cn.com/tousu/show/id/1334130</v>
      </c>
      <c r="F3445" s="2" t="s">
        <v>11</v>
      </c>
      <c r="G3445" s="2" t="s">
        <v>37358</v>
      </c>
      <c r="H3445" s="2" t="s">
        <v>37359</v>
      </c>
    </row>
    <row r="3446" spans="1:8" ht="25.05" customHeight="1" x14ac:dyDescent="0.25">
      <c r="A3446" s="2" t="s">
        <v>8</v>
      </c>
      <c r="B3446" s="2" t="str">
        <f>HYPERLINK("http://ts.21cn.com/tousu/show/id/1334131","小当家暴力催收")</f>
        <v>小当家暴力催收</v>
      </c>
      <c r="C3446" s="2" t="s">
        <v>9</v>
      </c>
      <c r="D3446" s="2" t="s">
        <v>10</v>
      </c>
      <c r="E3446" s="2" t="str">
        <f>HYPERLINK("http://ts.21cn.com/tousu/show/id/1334131","http://ts.21cn.com/tousu/show/id/1334131")</f>
        <v>http://ts.21cn.com/tousu/show/id/1334131</v>
      </c>
      <c r="F3446" s="2" t="s">
        <v>11</v>
      </c>
      <c r="G3446" s="2" t="s">
        <v>37355</v>
      </c>
      <c r="H3446" s="2" t="s">
        <v>37356</v>
      </c>
    </row>
    <row r="3447" spans="1:8" ht="25.05" customHeight="1" x14ac:dyDescent="0.25">
      <c r="A3447" s="2" t="s">
        <v>8</v>
      </c>
      <c r="B3447" s="2" t="str">
        <f>HYPERLINK("http://ts.21cn.com/tousu/show/id/1334129","国美易卡暴力催收，爆通讯录")</f>
        <v>国美易卡暴力催收，爆通讯录</v>
      </c>
      <c r="C3447" s="2" t="s">
        <v>9</v>
      </c>
      <c r="D3447" s="2" t="s">
        <v>10</v>
      </c>
      <c r="E3447" s="2" t="str">
        <f>HYPERLINK("http://ts.21cn.com/tousu/show/id/1334129","http://ts.21cn.com/tousu/show/id/1334129")</f>
        <v>http://ts.21cn.com/tousu/show/id/1334129</v>
      </c>
      <c r="F3447" s="2" t="s">
        <v>11</v>
      </c>
      <c r="G3447" s="2" t="s">
        <v>37355</v>
      </c>
      <c r="H3447" s="2" t="s">
        <v>37357</v>
      </c>
    </row>
    <row r="3448" spans="1:8" ht="25.05" customHeight="1" x14ac:dyDescent="0.25">
      <c r="A3448" s="2" t="s">
        <v>8</v>
      </c>
      <c r="B3448" s="2" t="str">
        <f>HYPERLINK("http://ts.21cn.com/tousu/show/id/1334132","肥猫贷催收")</f>
        <v>肥猫贷催收</v>
      </c>
      <c r="C3448" s="2" t="s">
        <v>9</v>
      </c>
      <c r="D3448" s="2" t="s">
        <v>10</v>
      </c>
      <c r="E3448" s="2" t="str">
        <f>HYPERLINK("http://ts.21cn.com/tousu/show/id/1334132","http://ts.21cn.com/tousu/show/id/1334132")</f>
        <v>http://ts.21cn.com/tousu/show/id/1334132</v>
      </c>
      <c r="F3448" s="2" t="s">
        <v>11</v>
      </c>
      <c r="G3448" s="2" t="s">
        <v>37353</v>
      </c>
      <c r="H3448" s="2" t="s">
        <v>37354</v>
      </c>
    </row>
    <row r="3449" spans="1:8" ht="25.05" customHeight="1" x14ac:dyDescent="0.25">
      <c r="A3449" s="2" t="s">
        <v>8</v>
      </c>
      <c r="B3449" s="2" t="str">
        <f>HYPERLINK("http://ts.21cn.com/tousu/show/id/1334133","青春宝高利贷恶意催收")</f>
        <v>青春宝高利贷恶意催收</v>
      </c>
      <c r="C3449" s="2" t="s">
        <v>9</v>
      </c>
      <c r="D3449" s="2" t="s">
        <v>10</v>
      </c>
      <c r="E3449" s="2" t="str">
        <f>HYPERLINK("http://ts.21cn.com/tousu/show/id/1334133","http://ts.21cn.com/tousu/show/id/1334133")</f>
        <v>http://ts.21cn.com/tousu/show/id/1334133</v>
      </c>
      <c r="F3449" s="2" t="s">
        <v>11</v>
      </c>
      <c r="G3449" s="2" t="s">
        <v>37351</v>
      </c>
      <c r="H3449" s="2" t="s">
        <v>37352</v>
      </c>
    </row>
    <row r="3450" spans="1:8" ht="25.05" customHeight="1" x14ac:dyDescent="0.25">
      <c r="A3450" s="2" t="s">
        <v>8</v>
      </c>
      <c r="B3450" s="2" t="str">
        <f>HYPERLINK("http://ts.21cn.com/tousu/show/id/1334136","立借青春宝套路贷砍头息")</f>
        <v>立借青春宝套路贷砍头息</v>
      </c>
      <c r="C3450" s="2" t="s">
        <v>9</v>
      </c>
      <c r="D3450" s="2" t="s">
        <v>10</v>
      </c>
      <c r="E3450" s="2" t="str">
        <f>HYPERLINK("http://ts.21cn.com/tousu/show/id/1334136","http://ts.21cn.com/tousu/show/id/1334136")</f>
        <v>http://ts.21cn.com/tousu/show/id/1334136</v>
      </c>
      <c r="F3450" s="2" t="s">
        <v>11</v>
      </c>
      <c r="G3450" s="2" t="s">
        <v>37349</v>
      </c>
      <c r="H3450" s="2" t="s">
        <v>37350</v>
      </c>
    </row>
    <row r="3451" spans="1:8" ht="25.05" customHeight="1" x14ac:dyDescent="0.25">
      <c r="A3451" s="2" t="s">
        <v>8</v>
      </c>
      <c r="B3451" s="2" t="str">
        <f>HYPERLINK("http://ts.21cn.com/tousu/show/id/1334134","被豹子贷恶意扣款")</f>
        <v>被豹子贷恶意扣款</v>
      </c>
      <c r="C3451" s="2" t="s">
        <v>9</v>
      </c>
      <c r="D3451" s="2" t="s">
        <v>10</v>
      </c>
      <c r="E3451" s="2" t="str">
        <f>HYPERLINK("http://ts.21cn.com/tousu/show/id/1334134","http://ts.21cn.com/tousu/show/id/1334134")</f>
        <v>http://ts.21cn.com/tousu/show/id/1334134</v>
      </c>
      <c r="F3451" s="2" t="s">
        <v>11</v>
      </c>
      <c r="G3451" s="2" t="s">
        <v>37347</v>
      </c>
      <c r="H3451" s="2" t="s">
        <v>37348</v>
      </c>
    </row>
    <row r="3452" spans="1:8" ht="25.05" customHeight="1" x14ac:dyDescent="0.25">
      <c r="A3452" s="2" t="s">
        <v>8</v>
      </c>
      <c r="B3452" s="2" t="str">
        <f>HYPERLINK("http://ts.21cn.com/tousu/show/id/1334137","没到时间提前一个星期发短信和打电话")</f>
        <v>没到时间提前一个星期发短信和打电话</v>
      </c>
      <c r="C3452" s="2" t="s">
        <v>9</v>
      </c>
      <c r="D3452" s="2" t="s">
        <v>10</v>
      </c>
      <c r="E3452" s="2" t="str">
        <f>HYPERLINK("http://ts.21cn.com/tousu/show/id/1334137","http://ts.21cn.com/tousu/show/id/1334137")</f>
        <v>http://ts.21cn.com/tousu/show/id/1334137</v>
      </c>
      <c r="F3452" s="2" t="s">
        <v>11</v>
      </c>
      <c r="G3452" s="2" t="s">
        <v>37345</v>
      </c>
      <c r="H3452" s="2" t="s">
        <v>37346</v>
      </c>
    </row>
    <row r="3453" spans="1:8" ht="25.05" customHeight="1" x14ac:dyDescent="0.25">
      <c r="A3453" s="2" t="s">
        <v>8</v>
      </c>
      <c r="B3453" s="2" t="str">
        <f>HYPERLINK("http://ts.21cn.com/tousu/show/id/1334138","喜鹊快贷")</f>
        <v>喜鹊快贷</v>
      </c>
      <c r="C3453" s="2" t="s">
        <v>34</v>
      </c>
      <c r="D3453" s="2" t="s">
        <v>10</v>
      </c>
      <c r="E3453" s="2" t="str">
        <f>HYPERLINK("http://ts.21cn.com/tousu/show/id/1334138","http://ts.21cn.com/tousu/show/id/1334138")</f>
        <v>http://ts.21cn.com/tousu/show/id/1334138</v>
      </c>
      <c r="F3453" s="2" t="s">
        <v>11</v>
      </c>
      <c r="G3453" s="2" t="s">
        <v>37343</v>
      </c>
      <c r="H3453" s="2" t="s">
        <v>37344</v>
      </c>
    </row>
    <row r="3454" spans="1:8" ht="25.05" customHeight="1" x14ac:dyDescent="0.25">
      <c r="A3454" s="2" t="s">
        <v>8</v>
      </c>
      <c r="B3454" s="2" t="str">
        <f>HYPERLINK("http://ts.21cn.com/tousu/show/id/1334140","玖富高利贷，虚假广告")</f>
        <v>玖富高利贷，虚假广告</v>
      </c>
      <c r="C3454" s="2" t="s">
        <v>9</v>
      </c>
      <c r="D3454" s="2" t="s">
        <v>10</v>
      </c>
      <c r="E3454" s="2" t="str">
        <f>HYPERLINK("http://ts.21cn.com/tousu/show/id/1334140","http://ts.21cn.com/tousu/show/id/1334140")</f>
        <v>http://ts.21cn.com/tousu/show/id/1334140</v>
      </c>
      <c r="F3454" s="2" t="s">
        <v>11</v>
      </c>
      <c r="G3454" s="2" t="s">
        <v>37341</v>
      </c>
      <c r="H3454" s="2" t="s">
        <v>37342</v>
      </c>
    </row>
    <row r="3455" spans="1:8" ht="25.05" customHeight="1" x14ac:dyDescent="0.25">
      <c r="A3455" s="2" t="s">
        <v>8</v>
      </c>
      <c r="B3455" s="2" t="str">
        <f>HYPERLINK("http://ts.21cn.com/tousu/show/id/1334142","小浦优客未经同意扣款")</f>
        <v>小浦优客未经同意扣款</v>
      </c>
      <c r="C3455" s="2" t="s">
        <v>9</v>
      </c>
      <c r="D3455" s="2" t="s">
        <v>10</v>
      </c>
      <c r="E3455" s="2" t="str">
        <f>HYPERLINK("http://ts.21cn.com/tousu/show/id/1334142","http://ts.21cn.com/tousu/show/id/1334142")</f>
        <v>http://ts.21cn.com/tousu/show/id/1334142</v>
      </c>
      <c r="F3455" s="2" t="s">
        <v>11</v>
      </c>
      <c r="G3455" s="2" t="s">
        <v>37339</v>
      </c>
      <c r="H3455" s="2" t="s">
        <v>37340</v>
      </c>
    </row>
    <row r="3456" spans="1:8" ht="25.05" customHeight="1" x14ac:dyDescent="0.25">
      <c r="A3456" s="2" t="s">
        <v>8</v>
      </c>
      <c r="B3456" s="2" t="str">
        <f>HYPERLINK("http://ts.21cn.com/tousu/show/id/1334144","要求与您同行商务服务有限公司退还航行贵宾卡办卡费1380元")</f>
        <v>要求与您同行商务服务有限公司退还航行贵宾卡办卡费1380元</v>
      </c>
      <c r="C3456" s="2" t="s">
        <v>9</v>
      </c>
      <c r="D3456" s="2" t="s">
        <v>10</v>
      </c>
      <c r="E3456" s="2" t="str">
        <f>HYPERLINK("http://ts.21cn.com/tousu/show/id/1334144","http://ts.21cn.com/tousu/show/id/1334144")</f>
        <v>http://ts.21cn.com/tousu/show/id/1334144</v>
      </c>
      <c r="F3456" s="2" t="s">
        <v>11</v>
      </c>
      <c r="G3456" s="2" t="s">
        <v>37337</v>
      </c>
      <c r="H3456" s="2" t="s">
        <v>37338</v>
      </c>
    </row>
    <row r="3457" spans="1:8" ht="25.05" customHeight="1" x14ac:dyDescent="0.25">
      <c r="A3457" s="2" t="s">
        <v>8</v>
      </c>
      <c r="B3457" s="2" t="str">
        <f>HYPERLINK("http://ts.21cn.com/tousu/show/id/1334148","百事普惠扣款。")</f>
        <v>百事普惠扣款。</v>
      </c>
      <c r="C3457" s="2" t="s">
        <v>9</v>
      </c>
      <c r="D3457" s="2" t="s">
        <v>10</v>
      </c>
      <c r="E3457" s="2" t="str">
        <f>HYPERLINK("http://ts.21cn.com/tousu/show/id/1334148","http://ts.21cn.com/tousu/show/id/1334148")</f>
        <v>http://ts.21cn.com/tousu/show/id/1334148</v>
      </c>
      <c r="F3457" s="2" t="s">
        <v>11</v>
      </c>
      <c r="G3457" s="2" t="s">
        <v>37335</v>
      </c>
      <c r="H3457" s="2" t="s">
        <v>37336</v>
      </c>
    </row>
    <row r="3458" spans="1:8" ht="25.05" customHeight="1" x14ac:dyDescent="0.25">
      <c r="A3458" s="2" t="s">
        <v>8</v>
      </c>
      <c r="B3458" s="2" t="str">
        <f>HYPERLINK("http://ts.21cn.com/tousu/show/id/1334123","银行卡无缘无故被扣钱")</f>
        <v>银行卡无缘无故被扣钱</v>
      </c>
      <c r="C3458" s="2" t="s">
        <v>9</v>
      </c>
      <c r="D3458" s="2" t="s">
        <v>10</v>
      </c>
      <c r="E3458" s="2" t="str">
        <f>HYPERLINK("http://ts.21cn.com/tousu/show/id/1334123","http://ts.21cn.com/tousu/show/id/1334123")</f>
        <v>http://ts.21cn.com/tousu/show/id/1334123</v>
      </c>
      <c r="F3458" s="2" t="s">
        <v>11</v>
      </c>
      <c r="G3458" s="2" t="s">
        <v>37333</v>
      </c>
      <c r="H3458" s="2" t="s">
        <v>37334</v>
      </c>
    </row>
    <row r="3459" spans="1:8" ht="25.05" customHeight="1" x14ac:dyDescent="0.25">
      <c r="A3459" s="2" t="s">
        <v>8</v>
      </c>
      <c r="B3459" s="2" t="str">
        <f>HYPERLINK("http://ts.21cn.com/tousu/show/id/1334146","拍拍贷骚扰他人恶意曝光通讯录")</f>
        <v>拍拍贷骚扰他人恶意曝光通讯录</v>
      </c>
      <c r="C3459" s="2" t="s">
        <v>9</v>
      </c>
      <c r="D3459" s="2" t="s">
        <v>10</v>
      </c>
      <c r="E3459" s="2" t="str">
        <f>HYPERLINK("http://ts.21cn.com/tousu/show/id/1334146","http://ts.21cn.com/tousu/show/id/1334146")</f>
        <v>http://ts.21cn.com/tousu/show/id/1334146</v>
      </c>
      <c r="F3459" s="2" t="s">
        <v>11</v>
      </c>
      <c r="G3459" s="2" t="s">
        <v>37331</v>
      </c>
      <c r="H3459" s="2" t="s">
        <v>37332</v>
      </c>
    </row>
    <row r="3460" spans="1:8" ht="25.05" customHeight="1" x14ac:dyDescent="0.25">
      <c r="A3460" s="2" t="s">
        <v>8</v>
      </c>
      <c r="B3460" s="2" t="str">
        <f>HYPERLINK("http://ts.21cn.com/tousu/show/id/1334145","套路贷款")</f>
        <v>套路贷款</v>
      </c>
      <c r="C3460" s="2" t="s">
        <v>9</v>
      </c>
      <c r="D3460" s="2" t="s">
        <v>10</v>
      </c>
      <c r="E3460" s="2" t="str">
        <f>HYPERLINK("http://ts.21cn.com/tousu/show/id/1334145","http://ts.21cn.com/tousu/show/id/1334145")</f>
        <v>http://ts.21cn.com/tousu/show/id/1334145</v>
      </c>
      <c r="F3460" s="2" t="s">
        <v>11</v>
      </c>
      <c r="G3460" s="2" t="s">
        <v>37329</v>
      </c>
      <c r="H3460" s="2" t="s">
        <v>37330</v>
      </c>
    </row>
    <row r="3461" spans="1:8" ht="25.05" customHeight="1" x14ac:dyDescent="0.25">
      <c r="A3461" s="2" t="s">
        <v>8</v>
      </c>
      <c r="B3461" s="2" t="str">
        <f>HYPERLINK("http://ts.21cn.com/tousu/show/id/1334147","深圳普惠快信和深圳市国银盛达融资担保有限公司非法上征信")</f>
        <v>深圳普惠快信和深圳市国银盛达融资担保有限公司非法上征信</v>
      </c>
      <c r="C3461" s="2" t="s">
        <v>9</v>
      </c>
      <c r="D3461" s="2" t="s">
        <v>10</v>
      </c>
      <c r="E3461" s="2" t="str">
        <f>HYPERLINK("http://ts.21cn.com/tousu/show/id/1334147","http://ts.21cn.com/tousu/show/id/1334147")</f>
        <v>http://ts.21cn.com/tousu/show/id/1334147</v>
      </c>
      <c r="F3461" s="2" t="s">
        <v>11</v>
      </c>
      <c r="G3461" s="2" t="s">
        <v>37327</v>
      </c>
      <c r="H3461" s="2" t="s">
        <v>37328</v>
      </c>
    </row>
    <row r="3462" spans="1:8" ht="25.05" customHeight="1" x14ac:dyDescent="0.25">
      <c r="A3462" s="2" t="s">
        <v>8</v>
      </c>
      <c r="B3462" s="2" t="str">
        <f>HYPERLINK("http://ts.21cn.com/tousu/show/id/1334149","多宝分期高利贷")</f>
        <v>多宝分期高利贷</v>
      </c>
      <c r="C3462" s="2" t="s">
        <v>9</v>
      </c>
      <c r="D3462" s="2" t="s">
        <v>10</v>
      </c>
      <c r="E3462" s="2" t="str">
        <f>HYPERLINK("http://ts.21cn.com/tousu/show/id/1334149","http://ts.21cn.com/tousu/show/id/1334149")</f>
        <v>http://ts.21cn.com/tousu/show/id/1334149</v>
      </c>
      <c r="F3462" s="2" t="s">
        <v>11</v>
      </c>
      <c r="G3462" s="2" t="s">
        <v>37325</v>
      </c>
      <c r="H3462" s="2" t="s">
        <v>37326</v>
      </c>
    </row>
    <row r="3463" spans="1:8" ht="25.05" customHeight="1" x14ac:dyDescent="0.25">
      <c r="A3463" s="2" t="s">
        <v>8</v>
      </c>
      <c r="B3463" s="2" t="str">
        <f>HYPERLINK("http://ts.21cn.com/tousu/show/id/1334150","友信高利贷")</f>
        <v>友信高利贷</v>
      </c>
      <c r="C3463" s="2" t="s">
        <v>9</v>
      </c>
      <c r="D3463" s="2" t="s">
        <v>10</v>
      </c>
      <c r="E3463" s="2" t="str">
        <f>HYPERLINK("http://ts.21cn.com/tousu/show/id/1334150","http://ts.21cn.com/tousu/show/id/1334150")</f>
        <v>http://ts.21cn.com/tousu/show/id/1334150</v>
      </c>
      <c r="F3463" s="2" t="s">
        <v>11</v>
      </c>
      <c r="G3463" s="2" t="s">
        <v>37323</v>
      </c>
      <c r="H3463" s="2" t="s">
        <v>37324</v>
      </c>
    </row>
    <row r="3464" spans="1:8" ht="25.05" customHeight="1" x14ac:dyDescent="0.25">
      <c r="A3464" s="2" t="s">
        <v>8</v>
      </c>
      <c r="B3464" s="2" t="str">
        <f>HYPERLINK("http://ts.21cn.com/tousu/show/id/1334151","不明原因的扣费")</f>
        <v>不明原因的扣费</v>
      </c>
      <c r="C3464" s="2" t="s">
        <v>9</v>
      </c>
      <c r="D3464" s="2" t="s">
        <v>10</v>
      </c>
      <c r="E3464" s="2" t="str">
        <f>HYPERLINK("http://ts.21cn.com/tousu/show/id/1334151","http://ts.21cn.com/tousu/show/id/1334151")</f>
        <v>http://ts.21cn.com/tousu/show/id/1334151</v>
      </c>
      <c r="F3464" s="2" t="s">
        <v>11</v>
      </c>
      <c r="G3464" s="2" t="s">
        <v>37322</v>
      </c>
      <c r="H3464" s="2" t="s">
        <v>36559</v>
      </c>
    </row>
    <row r="3465" spans="1:8" ht="25.05" customHeight="1" x14ac:dyDescent="0.25">
      <c r="A3465" s="2" t="s">
        <v>8</v>
      </c>
      <c r="B3465" s="2" t="str">
        <f>HYPERLINK("http://ts.21cn.com/tousu/show/id/1334152","急有钱，砍头息，不予协商")</f>
        <v>急有钱，砍头息，不予协商</v>
      </c>
      <c r="C3465" s="2" t="s">
        <v>34</v>
      </c>
      <c r="D3465" s="2" t="s">
        <v>10</v>
      </c>
      <c r="E3465" s="2" t="str">
        <f>HYPERLINK("http://ts.21cn.com/tousu/show/id/1334152","http://ts.21cn.com/tousu/show/id/1334152")</f>
        <v>http://ts.21cn.com/tousu/show/id/1334152</v>
      </c>
      <c r="F3465" s="2" t="s">
        <v>11</v>
      </c>
      <c r="G3465" s="2" t="s">
        <v>37320</v>
      </c>
      <c r="H3465" s="2" t="s">
        <v>37321</v>
      </c>
    </row>
    <row r="3466" spans="1:8" ht="25.05" customHeight="1" x14ac:dyDescent="0.25">
      <c r="A3466" s="2" t="s">
        <v>8</v>
      </c>
      <c r="B3466" s="2" t="str">
        <f>HYPERLINK("http://ts.21cn.com/tousu/show/id/1334143","拼多多代付没有记录，不回应退款")</f>
        <v>拼多多代付没有记录，不回应退款</v>
      </c>
      <c r="C3466" s="2" t="s">
        <v>9</v>
      </c>
      <c r="D3466" s="2" t="s">
        <v>10</v>
      </c>
      <c r="E3466" s="2" t="str">
        <f>HYPERLINK("http://ts.21cn.com/tousu/show/id/1334143","http://ts.21cn.com/tousu/show/id/1334143")</f>
        <v>http://ts.21cn.com/tousu/show/id/1334143</v>
      </c>
      <c r="F3466" s="2" t="s">
        <v>11</v>
      </c>
      <c r="G3466" s="2" t="s">
        <v>37318</v>
      </c>
      <c r="H3466" s="2" t="s">
        <v>37319</v>
      </c>
    </row>
    <row r="3467" spans="1:8" ht="25.05" customHeight="1" x14ac:dyDescent="0.25">
      <c r="A3467" s="2" t="s">
        <v>8</v>
      </c>
      <c r="B3467" s="2" t="str">
        <f>HYPERLINK("http://ts.21cn.com/tousu/show/id/1334135","恶意骚扰")</f>
        <v>恶意骚扰</v>
      </c>
      <c r="C3467" s="2" t="s">
        <v>9</v>
      </c>
      <c r="D3467" s="2" t="s">
        <v>10</v>
      </c>
      <c r="E3467" s="2" t="str">
        <f>HYPERLINK("http://ts.21cn.com/tousu/show/id/1334135","http://ts.21cn.com/tousu/show/id/1334135")</f>
        <v>http://ts.21cn.com/tousu/show/id/1334135</v>
      </c>
      <c r="F3467" s="2" t="s">
        <v>11</v>
      </c>
      <c r="G3467" s="2" t="s">
        <v>37316</v>
      </c>
      <c r="H3467" s="2" t="s">
        <v>37317</v>
      </c>
    </row>
    <row r="3468" spans="1:8" ht="25.05" customHeight="1" x14ac:dyDescent="0.25">
      <c r="A3468" s="2" t="s">
        <v>8</v>
      </c>
      <c r="B3468" s="2" t="str">
        <f>HYPERLINK("http://ts.21cn.com/tousu/show/id/1334153","钱站高利贷阴阳合同")</f>
        <v>钱站高利贷阴阳合同</v>
      </c>
      <c r="C3468" s="2" t="s">
        <v>9</v>
      </c>
      <c r="D3468" s="2" t="s">
        <v>10</v>
      </c>
      <c r="E3468" s="2" t="str">
        <f>HYPERLINK("http://ts.21cn.com/tousu/show/id/1334153","http://ts.21cn.com/tousu/show/id/1334153")</f>
        <v>http://ts.21cn.com/tousu/show/id/1334153</v>
      </c>
      <c r="F3468" s="2" t="s">
        <v>11</v>
      </c>
      <c r="G3468" s="2" t="s">
        <v>37314</v>
      </c>
      <c r="H3468" s="2" t="s">
        <v>37315</v>
      </c>
    </row>
    <row r="3469" spans="1:8" ht="25.05" customHeight="1" x14ac:dyDescent="0.25">
      <c r="A3469" s="2" t="s">
        <v>8</v>
      </c>
      <c r="B3469" s="2" t="str">
        <f>HYPERLINK("http://ts.21cn.com/tousu/show/id/1334154","到帐慢不取消订单")</f>
        <v>到帐慢不取消订单</v>
      </c>
      <c r="C3469" s="2" t="s">
        <v>34</v>
      </c>
      <c r="D3469" s="2" t="s">
        <v>10</v>
      </c>
      <c r="E3469" s="2" t="str">
        <f>HYPERLINK("http://ts.21cn.com/tousu/show/id/1334154","http://ts.21cn.com/tousu/show/id/1334154")</f>
        <v>http://ts.21cn.com/tousu/show/id/1334154</v>
      </c>
      <c r="F3469" s="2" t="s">
        <v>11</v>
      </c>
      <c r="G3469" s="2" t="s">
        <v>37312</v>
      </c>
      <c r="H3469" s="2" t="s">
        <v>37313</v>
      </c>
    </row>
    <row r="3470" spans="1:8" ht="25.05" customHeight="1" x14ac:dyDescent="0.25">
      <c r="A3470" s="2" t="s">
        <v>8</v>
      </c>
      <c r="B3470" s="2" t="str">
        <f>HYPERLINK("http://ts.21cn.com/tousu/show/id/1334156","易宝支付跟套路贷商户合作")</f>
        <v>易宝支付跟套路贷商户合作</v>
      </c>
      <c r="C3470" s="2" t="s">
        <v>9</v>
      </c>
      <c r="D3470" s="2" t="s">
        <v>10</v>
      </c>
      <c r="E3470" s="2" t="str">
        <f>HYPERLINK("http://ts.21cn.com/tousu/show/id/1334156","http://ts.21cn.com/tousu/show/id/1334156")</f>
        <v>http://ts.21cn.com/tousu/show/id/1334156</v>
      </c>
      <c r="F3470" s="2" t="s">
        <v>11</v>
      </c>
      <c r="G3470" s="2" t="s">
        <v>37310</v>
      </c>
      <c r="H3470" s="2" t="s">
        <v>37311</v>
      </c>
    </row>
    <row r="3471" spans="1:8" ht="25.05" customHeight="1" x14ac:dyDescent="0.25">
      <c r="A3471" s="2" t="s">
        <v>8</v>
      </c>
      <c r="B3471" s="2" t="str">
        <f>HYPERLINK("http://ts.21cn.com/tousu/show/id/1334157","收取高额的服务费")</f>
        <v>收取高额的服务费</v>
      </c>
      <c r="C3471" s="2" t="s">
        <v>9</v>
      </c>
      <c r="D3471" s="2" t="s">
        <v>10</v>
      </c>
      <c r="E3471" s="2" t="str">
        <f>HYPERLINK("http://ts.21cn.com/tousu/show/id/1334157","http://ts.21cn.com/tousu/show/id/1334157")</f>
        <v>http://ts.21cn.com/tousu/show/id/1334157</v>
      </c>
      <c r="F3471" s="2" t="s">
        <v>11</v>
      </c>
      <c r="G3471" s="2" t="s">
        <v>37309</v>
      </c>
      <c r="H3471" s="2" t="s">
        <v>34166</v>
      </c>
    </row>
    <row r="3472" spans="1:8" ht="25.05" customHeight="1" x14ac:dyDescent="0.25">
      <c r="A3472" s="2" t="s">
        <v>8</v>
      </c>
      <c r="B3472" s="2" t="str">
        <f>HYPERLINK("http://ts.21cn.com/tousu/show/id/1334158","小黑鲨砍头息")</f>
        <v>小黑鲨砍头息</v>
      </c>
      <c r="C3472" s="2" t="s">
        <v>34</v>
      </c>
      <c r="D3472" s="2" t="s">
        <v>10</v>
      </c>
      <c r="E3472" s="2" t="str">
        <f>HYPERLINK("http://ts.21cn.com/tousu/show/id/1334158","http://ts.21cn.com/tousu/show/id/1334158")</f>
        <v>http://ts.21cn.com/tousu/show/id/1334158</v>
      </c>
      <c r="F3472" s="2" t="s">
        <v>11</v>
      </c>
      <c r="G3472" s="2" t="s">
        <v>37307</v>
      </c>
      <c r="H3472" s="2" t="s">
        <v>37308</v>
      </c>
    </row>
    <row r="3473" spans="1:8" ht="25.05" customHeight="1" x14ac:dyDescent="0.25">
      <c r="A3473" s="2" t="s">
        <v>8</v>
      </c>
      <c r="B3473" s="2" t="str">
        <f>HYPERLINK("http://ts.21cn.com/tousu/show/id/1334159","乱扣款")</f>
        <v>乱扣款</v>
      </c>
      <c r="C3473" s="2" t="s">
        <v>9</v>
      </c>
      <c r="D3473" s="2" t="s">
        <v>10</v>
      </c>
      <c r="E3473" s="2" t="str">
        <f>HYPERLINK("http://ts.21cn.com/tousu/show/id/1334159","http://ts.21cn.com/tousu/show/id/1334159")</f>
        <v>http://ts.21cn.com/tousu/show/id/1334159</v>
      </c>
      <c r="F3473" s="2" t="s">
        <v>11</v>
      </c>
      <c r="G3473" s="2" t="s">
        <v>37305</v>
      </c>
      <c r="H3473" s="2" t="s">
        <v>37306</v>
      </c>
    </row>
    <row r="3474" spans="1:8" ht="25.05" customHeight="1" x14ac:dyDescent="0.25">
      <c r="A3474" s="2" t="s">
        <v>8</v>
      </c>
      <c r="B3474" s="2" t="str">
        <f>HYPERLINK("http://ts.21cn.com/tousu/show/id/1334160","拍拍贷总是还款失败")</f>
        <v>拍拍贷总是还款失败</v>
      </c>
      <c r="C3474" s="2" t="s">
        <v>9</v>
      </c>
      <c r="D3474" s="2" t="s">
        <v>10</v>
      </c>
      <c r="E3474" s="2" t="str">
        <f>HYPERLINK("http://ts.21cn.com/tousu/show/id/1334160","http://ts.21cn.com/tousu/show/id/1334160")</f>
        <v>http://ts.21cn.com/tousu/show/id/1334160</v>
      </c>
      <c r="F3474" s="2" t="s">
        <v>11</v>
      </c>
      <c r="G3474" s="2" t="s">
        <v>37303</v>
      </c>
      <c r="H3474" s="2" t="s">
        <v>37304</v>
      </c>
    </row>
    <row r="3475" spans="1:8" ht="25.05" customHeight="1" x14ac:dyDescent="0.25">
      <c r="A3475" s="2" t="s">
        <v>8</v>
      </c>
      <c r="B3475" s="2" t="str">
        <f>HYPERLINK("http://ts.21cn.com/tousu/show/id/1334161","玖富万卡，黄河农商银行恶意上征信")</f>
        <v>玖富万卡，黄河农商银行恶意上征信</v>
      </c>
      <c r="C3475" s="2" t="s">
        <v>9</v>
      </c>
      <c r="D3475" s="2" t="s">
        <v>10</v>
      </c>
      <c r="E3475" s="2" t="str">
        <f>HYPERLINK("http://ts.21cn.com/tousu/show/id/1334161","http://ts.21cn.com/tousu/show/id/1334161")</f>
        <v>http://ts.21cn.com/tousu/show/id/1334161</v>
      </c>
      <c r="F3475" s="2" t="s">
        <v>11</v>
      </c>
      <c r="G3475" s="2" t="s">
        <v>37302</v>
      </c>
      <c r="H3475" s="2" t="s">
        <v>37120</v>
      </c>
    </row>
    <row r="3476" spans="1:8" ht="25.05" customHeight="1" x14ac:dyDescent="0.25">
      <c r="A3476" s="2" t="s">
        <v>8</v>
      </c>
      <c r="B3476" s="2" t="str">
        <f>HYPERLINK("http://ts.21cn.com/tousu/show/id/1334163","支付宝恶意关闭提现功能")</f>
        <v>支付宝恶意关闭提现功能</v>
      </c>
      <c r="C3476" s="2" t="s">
        <v>9</v>
      </c>
      <c r="D3476" s="2" t="s">
        <v>10</v>
      </c>
      <c r="E3476" s="2" t="str">
        <f>HYPERLINK("http://ts.21cn.com/tousu/show/id/1334163","http://ts.21cn.com/tousu/show/id/1334163")</f>
        <v>http://ts.21cn.com/tousu/show/id/1334163</v>
      </c>
      <c r="F3476" s="2" t="s">
        <v>11</v>
      </c>
      <c r="G3476" s="2" t="s">
        <v>37300</v>
      </c>
      <c r="H3476" s="2" t="s">
        <v>37301</v>
      </c>
    </row>
    <row r="3477" spans="1:8" ht="25.05" customHeight="1" x14ac:dyDescent="0.25">
      <c r="A3477" s="2" t="s">
        <v>8</v>
      </c>
      <c r="B3477" s="2" t="str">
        <f>HYPERLINK("http://ts.21cn.com/tousu/show/id/1334164","捷信消费金融有限公司长期电话催款，欠款人我不认识")</f>
        <v>捷信消费金融有限公司长期电话催款，欠款人我不认识</v>
      </c>
      <c r="C3477" s="2" t="s">
        <v>34</v>
      </c>
      <c r="D3477" s="2" t="s">
        <v>10</v>
      </c>
      <c r="E3477" s="2" t="str">
        <f>HYPERLINK("http://ts.21cn.com/tousu/show/id/1334164","http://ts.21cn.com/tousu/show/id/1334164")</f>
        <v>http://ts.21cn.com/tousu/show/id/1334164</v>
      </c>
      <c r="F3477" s="2" t="s">
        <v>11</v>
      </c>
      <c r="G3477" s="2" t="s">
        <v>37297</v>
      </c>
      <c r="H3477" s="2" t="s">
        <v>37298</v>
      </c>
    </row>
    <row r="3478" spans="1:8" ht="25.05" customHeight="1" x14ac:dyDescent="0.25">
      <c r="A3478" s="2" t="s">
        <v>8</v>
      </c>
      <c r="B3478" s="2" t="str">
        <f>HYPERLINK("http://ts.21cn.com/tousu/show/id/1334165","不给取消借款")</f>
        <v>不给取消借款</v>
      </c>
      <c r="C3478" s="2" t="s">
        <v>34</v>
      </c>
      <c r="D3478" s="2" t="s">
        <v>10</v>
      </c>
      <c r="E3478" s="2" t="str">
        <f>HYPERLINK("http://ts.21cn.com/tousu/show/id/1334165","http://ts.21cn.com/tousu/show/id/1334165")</f>
        <v>http://ts.21cn.com/tousu/show/id/1334165</v>
      </c>
      <c r="F3478" s="2" t="s">
        <v>11</v>
      </c>
      <c r="G3478" s="2" t="s">
        <v>37297</v>
      </c>
      <c r="H3478" s="2" t="s">
        <v>37299</v>
      </c>
    </row>
    <row r="3479" spans="1:8" ht="25.05" customHeight="1" x14ac:dyDescent="0.25">
      <c r="A3479" s="2" t="s">
        <v>8</v>
      </c>
      <c r="B3479" s="2" t="str">
        <f>HYPERLINK("http://ts.21cn.com/tousu/show/id/1334166","非法催收")</f>
        <v>非法催收</v>
      </c>
      <c r="C3479" s="2" t="s">
        <v>9</v>
      </c>
      <c r="D3479" s="2" t="s">
        <v>10</v>
      </c>
      <c r="E3479" s="2" t="str">
        <f>HYPERLINK("http://ts.21cn.com/tousu/show/id/1334166","http://ts.21cn.com/tousu/show/id/1334166")</f>
        <v>http://ts.21cn.com/tousu/show/id/1334166</v>
      </c>
      <c r="F3479" s="2" t="s">
        <v>11</v>
      </c>
      <c r="G3479" s="2" t="s">
        <v>37295</v>
      </c>
      <c r="H3479" s="2" t="s">
        <v>37296</v>
      </c>
    </row>
    <row r="3480" spans="1:8" ht="25.05" customHeight="1" x14ac:dyDescent="0.25">
      <c r="A3480" s="2" t="s">
        <v>8</v>
      </c>
      <c r="B3480" s="2" t="str">
        <f>HYPERLINK("http://ts.21cn.com/tousu/show/id/1334167","借贷宝纵容放高利贷")</f>
        <v>借贷宝纵容放高利贷</v>
      </c>
      <c r="C3480" s="2" t="s">
        <v>9</v>
      </c>
      <c r="D3480" s="2" t="s">
        <v>10</v>
      </c>
      <c r="E3480" s="2" t="str">
        <f>HYPERLINK("http://ts.21cn.com/tousu/show/id/1334167","http://ts.21cn.com/tousu/show/id/1334167")</f>
        <v>http://ts.21cn.com/tousu/show/id/1334167</v>
      </c>
      <c r="F3480" s="2" t="s">
        <v>11</v>
      </c>
      <c r="G3480" s="2" t="s">
        <v>37293</v>
      </c>
      <c r="H3480" s="2" t="s">
        <v>37294</v>
      </c>
    </row>
    <row r="3481" spans="1:8" ht="25.05" customHeight="1" x14ac:dyDescent="0.25">
      <c r="A3481" s="2" t="s">
        <v>8</v>
      </c>
      <c r="B3481" s="2" t="str">
        <f>HYPERLINK("http://ts.21cn.com/tousu/show/id/1334170","网贷给扣砍头息")</f>
        <v>网贷给扣砍头息</v>
      </c>
      <c r="C3481" s="2" t="s">
        <v>34</v>
      </c>
      <c r="D3481" s="2" t="s">
        <v>10</v>
      </c>
      <c r="E3481" s="2" t="str">
        <f>HYPERLINK("http://ts.21cn.com/tousu/show/id/1334170","http://ts.21cn.com/tousu/show/id/1334170")</f>
        <v>http://ts.21cn.com/tousu/show/id/1334170</v>
      </c>
      <c r="F3481" s="2" t="s">
        <v>11</v>
      </c>
      <c r="G3481" s="2" t="s">
        <v>37291</v>
      </c>
      <c r="H3481" s="2" t="s">
        <v>37292</v>
      </c>
    </row>
    <row r="3482" spans="1:8" ht="25.05" customHeight="1" x14ac:dyDescent="0.25">
      <c r="A3482" s="2" t="s">
        <v>8</v>
      </c>
      <c r="B3482" s="2" t="str">
        <f>HYPERLINK("http://ts.21cn.com/tousu/show/id/1334172","众安保险在投保人不知情的情况捆绑销售保险")</f>
        <v>众安保险在投保人不知情的情况捆绑销售保险</v>
      </c>
      <c r="C3482" s="2" t="s">
        <v>9</v>
      </c>
      <c r="D3482" s="2" t="s">
        <v>10</v>
      </c>
      <c r="E3482" s="2" t="str">
        <f>HYPERLINK("http://ts.21cn.com/tousu/show/id/1334172","http://ts.21cn.com/tousu/show/id/1334172")</f>
        <v>http://ts.21cn.com/tousu/show/id/1334172</v>
      </c>
      <c r="F3482" s="2" t="s">
        <v>11</v>
      </c>
      <c r="G3482" s="2" t="s">
        <v>37289</v>
      </c>
      <c r="H3482" s="2" t="s">
        <v>37290</v>
      </c>
    </row>
    <row r="3483" spans="1:8" ht="25.05" customHeight="1" x14ac:dyDescent="0.25">
      <c r="A3483" s="2" t="s">
        <v>8</v>
      </c>
      <c r="B3483" s="2" t="str">
        <f>HYPERLINK("http://ts.21cn.com/tousu/show/id/1334173","黑心马上金融恶意扣款非说我去充值了话费！！")</f>
        <v>黑心马上金融恶意扣款非说我去充值了话费！！</v>
      </c>
      <c r="C3483" s="2" t="s">
        <v>9</v>
      </c>
      <c r="D3483" s="2" t="s">
        <v>10</v>
      </c>
      <c r="E3483" s="2" t="str">
        <f>HYPERLINK("http://ts.21cn.com/tousu/show/id/1334173","http://ts.21cn.com/tousu/show/id/1334173")</f>
        <v>http://ts.21cn.com/tousu/show/id/1334173</v>
      </c>
      <c r="F3483" s="2" t="s">
        <v>11</v>
      </c>
      <c r="G3483" s="2" t="s">
        <v>37287</v>
      </c>
      <c r="H3483" s="2" t="s">
        <v>37288</v>
      </c>
    </row>
    <row r="3484" spans="1:8" ht="25.05" customHeight="1" x14ac:dyDescent="0.25">
      <c r="A3484" s="2" t="s">
        <v>8</v>
      </c>
      <c r="B3484" s="2" t="str">
        <f>HYPERLINK("http://ts.21cn.com/tousu/show/id/1334174","多宝分期还不了款")</f>
        <v>多宝分期还不了款</v>
      </c>
      <c r="C3484" s="2" t="s">
        <v>34</v>
      </c>
      <c r="D3484" s="2" t="s">
        <v>10</v>
      </c>
      <c r="E3484" s="2" t="str">
        <f>HYPERLINK("http://ts.21cn.com/tousu/show/id/1334174","http://ts.21cn.com/tousu/show/id/1334174")</f>
        <v>http://ts.21cn.com/tousu/show/id/1334174</v>
      </c>
      <c r="F3484" s="2" t="s">
        <v>11</v>
      </c>
      <c r="G3484" s="2" t="s">
        <v>37285</v>
      </c>
      <c r="H3484" s="2" t="s">
        <v>37286</v>
      </c>
    </row>
    <row r="3485" spans="1:8" ht="25.05" customHeight="1" x14ac:dyDescent="0.25">
      <c r="A3485" s="2" t="s">
        <v>8</v>
      </c>
      <c r="B3485" s="2" t="str">
        <f>HYPERLINK("http://ts.21cn.com/tousu/show/id/1334175","威胁，暴力催收")</f>
        <v>威胁，暴力催收</v>
      </c>
      <c r="C3485" s="2" t="s">
        <v>9</v>
      </c>
      <c r="D3485" s="2" t="s">
        <v>10</v>
      </c>
      <c r="E3485" s="2" t="str">
        <f>HYPERLINK("http://ts.21cn.com/tousu/show/id/1334175","http://ts.21cn.com/tousu/show/id/1334175")</f>
        <v>http://ts.21cn.com/tousu/show/id/1334175</v>
      </c>
      <c r="F3485" s="2" t="s">
        <v>11</v>
      </c>
      <c r="G3485" s="2" t="s">
        <v>37283</v>
      </c>
      <c r="H3485" s="2" t="s">
        <v>37284</v>
      </c>
    </row>
    <row r="3486" spans="1:8" ht="25.05" customHeight="1" x14ac:dyDescent="0.25">
      <c r="A3486" s="2" t="s">
        <v>8</v>
      </c>
      <c r="B3486" s="2" t="str">
        <f>HYPERLINK("http://ts.21cn.com/tousu/show/id/1334176","暴力催收骚扰亲朋好友")</f>
        <v>暴力催收骚扰亲朋好友</v>
      </c>
      <c r="C3486" s="2" t="s">
        <v>9</v>
      </c>
      <c r="D3486" s="2" t="s">
        <v>10</v>
      </c>
      <c r="E3486" s="2" t="str">
        <f>HYPERLINK("http://ts.21cn.com/tousu/show/id/1334176","http://ts.21cn.com/tousu/show/id/1334176")</f>
        <v>http://ts.21cn.com/tousu/show/id/1334176</v>
      </c>
      <c r="F3486" s="2" t="s">
        <v>11</v>
      </c>
      <c r="G3486" s="2" t="s">
        <v>37281</v>
      </c>
      <c r="H3486" s="2" t="s">
        <v>37282</v>
      </c>
    </row>
    <row r="3487" spans="1:8" ht="25.05" customHeight="1" x14ac:dyDescent="0.25">
      <c r="A3487" s="2" t="s">
        <v>8</v>
      </c>
      <c r="B3487" s="2" t="str">
        <f>HYPERLINK("http://ts.21cn.com/tousu/show/id/1334178","高利贷")</f>
        <v>高利贷</v>
      </c>
      <c r="C3487" s="2" t="s">
        <v>9</v>
      </c>
      <c r="D3487" s="2" t="s">
        <v>10</v>
      </c>
      <c r="E3487" s="2" t="str">
        <f>HYPERLINK("http://ts.21cn.com/tousu/show/id/1334178","http://ts.21cn.com/tousu/show/id/1334178")</f>
        <v>http://ts.21cn.com/tousu/show/id/1334178</v>
      </c>
      <c r="F3487" s="2" t="s">
        <v>11</v>
      </c>
      <c r="G3487" s="2" t="s">
        <v>37279</v>
      </c>
      <c r="H3487" s="2" t="s">
        <v>37280</v>
      </c>
    </row>
    <row r="3488" spans="1:8" ht="25.05" customHeight="1" x14ac:dyDescent="0.25">
      <c r="A3488" s="2" t="s">
        <v>8</v>
      </c>
      <c r="B3488" s="2" t="str">
        <f>HYPERLINK("http://ts.21cn.com/tousu/show/id/1334179","急用钱包恶意扣")</f>
        <v>急用钱包恶意扣</v>
      </c>
      <c r="C3488" s="2" t="s">
        <v>34</v>
      </c>
      <c r="D3488" s="2" t="s">
        <v>10</v>
      </c>
      <c r="E3488" s="2" t="str">
        <f>HYPERLINK("http://ts.21cn.com/tousu/show/id/1334179","http://ts.21cn.com/tousu/show/id/1334179")</f>
        <v>http://ts.21cn.com/tousu/show/id/1334179</v>
      </c>
      <c r="F3488" s="2" t="s">
        <v>11</v>
      </c>
      <c r="G3488" s="2" t="s">
        <v>37277</v>
      </c>
      <c r="H3488" s="2" t="s">
        <v>37278</v>
      </c>
    </row>
    <row r="3489" spans="1:8" ht="25.05" customHeight="1" x14ac:dyDescent="0.25">
      <c r="A3489" s="2" t="s">
        <v>8</v>
      </c>
      <c r="B3489" s="2" t="str">
        <f>HYPERLINK("http://ts.21cn.com/tousu/show/id/1334180","用钱宝威胁，")</f>
        <v>用钱宝威胁，</v>
      </c>
      <c r="C3489" s="2" t="s">
        <v>34</v>
      </c>
      <c r="D3489" s="2" t="s">
        <v>10</v>
      </c>
      <c r="E3489" s="2" t="str">
        <f>HYPERLINK("http://ts.21cn.com/tousu/show/id/1334180","http://ts.21cn.com/tousu/show/id/1334180")</f>
        <v>http://ts.21cn.com/tousu/show/id/1334180</v>
      </c>
      <c r="F3489" s="2" t="s">
        <v>11</v>
      </c>
      <c r="G3489" s="2" t="s">
        <v>37275</v>
      </c>
      <c r="H3489" s="2" t="s">
        <v>37276</v>
      </c>
    </row>
    <row r="3490" spans="1:8" ht="25.05" customHeight="1" x14ac:dyDescent="0.25">
      <c r="A3490" s="2" t="s">
        <v>8</v>
      </c>
      <c r="B3490" s="2" t="str">
        <f>HYPERLINK("http://ts.21cn.com/tousu/show/id/1334181","时光分期高利贷，利息超60%")</f>
        <v>时光分期高利贷，利息超60%</v>
      </c>
      <c r="C3490" s="2" t="s">
        <v>9</v>
      </c>
      <c r="D3490" s="2" t="s">
        <v>10</v>
      </c>
      <c r="E3490" s="2" t="str">
        <f>HYPERLINK("http://ts.21cn.com/tousu/show/id/1334181","http://ts.21cn.com/tousu/show/id/1334181")</f>
        <v>http://ts.21cn.com/tousu/show/id/1334181</v>
      </c>
      <c r="F3490" s="2" t="s">
        <v>11</v>
      </c>
      <c r="G3490" s="2" t="s">
        <v>37273</v>
      </c>
      <c r="H3490" s="2" t="s">
        <v>37274</v>
      </c>
    </row>
    <row r="3491" spans="1:8" ht="25.05" customHeight="1" x14ac:dyDescent="0.25">
      <c r="A3491" s="2" t="s">
        <v>8</v>
      </c>
      <c r="B3491" s="2" t="str">
        <f>HYPERLINK("http://ts.21cn.com/tousu/show/id/1334182","信用管家神马借app强制逾期")</f>
        <v>信用管家神马借app强制逾期</v>
      </c>
      <c r="C3491" s="2" t="s">
        <v>9</v>
      </c>
      <c r="D3491" s="2" t="s">
        <v>10</v>
      </c>
      <c r="E3491" s="2" t="str">
        <f>HYPERLINK("http://ts.21cn.com/tousu/show/id/1334182","http://ts.21cn.com/tousu/show/id/1334182")</f>
        <v>http://ts.21cn.com/tousu/show/id/1334182</v>
      </c>
      <c r="F3491" s="2" t="s">
        <v>11</v>
      </c>
      <c r="G3491" s="2" t="s">
        <v>37271</v>
      </c>
      <c r="H3491" s="2" t="s">
        <v>37272</v>
      </c>
    </row>
    <row r="3492" spans="1:8" ht="25.05" customHeight="1" x14ac:dyDescent="0.25">
      <c r="A3492" s="2" t="s">
        <v>8</v>
      </c>
      <c r="B3492" s="2" t="str">
        <f>HYPERLINK("http://ts.21cn.com/tousu/show/id/1334185","佑佑分期高利贷，借1100，3天还1500")</f>
        <v>佑佑分期高利贷，借1100，3天还1500</v>
      </c>
      <c r="C3492" s="2" t="s">
        <v>9</v>
      </c>
      <c r="D3492" s="2" t="s">
        <v>10</v>
      </c>
      <c r="E3492" s="2" t="str">
        <f>HYPERLINK("http://ts.21cn.com/tousu/show/id/1334185","http://ts.21cn.com/tousu/show/id/1334185")</f>
        <v>http://ts.21cn.com/tousu/show/id/1334185</v>
      </c>
      <c r="F3492" s="2" t="s">
        <v>11</v>
      </c>
      <c r="G3492" s="2" t="s">
        <v>37269</v>
      </c>
      <c r="H3492" s="2" t="s">
        <v>37270</v>
      </c>
    </row>
    <row r="3493" spans="1:8" ht="25.05" customHeight="1" x14ac:dyDescent="0.25">
      <c r="A3493" s="2" t="s">
        <v>8</v>
      </c>
      <c r="B3493" s="2" t="str">
        <f>HYPERLINK("http://ts.21cn.com/tousu/show/id/1334184","微粒贷威胁暴力催收")</f>
        <v>微粒贷威胁暴力催收</v>
      </c>
      <c r="C3493" s="2" t="s">
        <v>9</v>
      </c>
      <c r="D3493" s="2" t="s">
        <v>10</v>
      </c>
      <c r="E3493" s="2" t="str">
        <f>HYPERLINK("http://ts.21cn.com/tousu/show/id/1334184","http://ts.21cn.com/tousu/show/id/1334184")</f>
        <v>http://ts.21cn.com/tousu/show/id/1334184</v>
      </c>
      <c r="F3493" s="2" t="s">
        <v>11</v>
      </c>
      <c r="G3493" s="2" t="s">
        <v>37267</v>
      </c>
      <c r="H3493" s="2" t="s">
        <v>37268</v>
      </c>
    </row>
    <row r="3494" spans="1:8" ht="25.05" customHeight="1" x14ac:dyDescent="0.25">
      <c r="A3494" s="2" t="s">
        <v>8</v>
      </c>
      <c r="B3494" s="2" t="str">
        <f>HYPERLINK("http://ts.21cn.com/tousu/show/id/1334186","如期分期变相收取非法砍头息")</f>
        <v>如期分期变相收取非法砍头息</v>
      </c>
      <c r="C3494" s="2" t="s">
        <v>9</v>
      </c>
      <c r="D3494" s="2" t="s">
        <v>10</v>
      </c>
      <c r="E3494" s="2" t="str">
        <f>HYPERLINK("http://ts.21cn.com/tousu/show/id/1334186","http://ts.21cn.com/tousu/show/id/1334186")</f>
        <v>http://ts.21cn.com/tousu/show/id/1334186</v>
      </c>
      <c r="F3494" s="2" t="s">
        <v>11</v>
      </c>
      <c r="G3494" s="2" t="s">
        <v>37265</v>
      </c>
      <c r="H3494" s="2" t="s">
        <v>37266</v>
      </c>
    </row>
    <row r="3495" spans="1:8" ht="25.05" customHeight="1" x14ac:dyDescent="0.25">
      <c r="A3495" s="2" t="s">
        <v>8</v>
      </c>
      <c r="B3495" s="2" t="str">
        <f>HYPERLINK("http://ts.21cn.com/tousu/show/id/1334187","违规网贷")</f>
        <v>违规网贷</v>
      </c>
      <c r="C3495" s="2" t="s">
        <v>9</v>
      </c>
      <c r="D3495" s="2" t="s">
        <v>10</v>
      </c>
      <c r="E3495" s="2" t="str">
        <f>HYPERLINK("http://ts.21cn.com/tousu/show/id/1334187","http://ts.21cn.com/tousu/show/id/1334187")</f>
        <v>http://ts.21cn.com/tousu/show/id/1334187</v>
      </c>
      <c r="F3495" s="2" t="s">
        <v>11</v>
      </c>
      <c r="G3495" s="2" t="s">
        <v>37263</v>
      </c>
      <c r="H3495" s="2" t="s">
        <v>37264</v>
      </c>
    </row>
    <row r="3496" spans="1:8" ht="25.05" customHeight="1" x14ac:dyDescent="0.25">
      <c r="A3496" s="2" t="s">
        <v>8</v>
      </c>
      <c r="B3496" s="2" t="str">
        <f>HYPERLINK("http://ts.21cn.com/tousu/show/id/1334188","高利贷，爆通讯录言语辱骂")</f>
        <v>高利贷，爆通讯录言语辱骂</v>
      </c>
      <c r="C3496" s="2" t="s">
        <v>9</v>
      </c>
      <c r="D3496" s="2" t="s">
        <v>10</v>
      </c>
      <c r="E3496" s="2" t="str">
        <f>HYPERLINK("http://ts.21cn.com/tousu/show/id/1334188","http://ts.21cn.com/tousu/show/id/1334188")</f>
        <v>http://ts.21cn.com/tousu/show/id/1334188</v>
      </c>
      <c r="F3496" s="2" t="s">
        <v>11</v>
      </c>
      <c r="G3496" s="2" t="s">
        <v>37261</v>
      </c>
      <c r="H3496" s="2" t="s">
        <v>37262</v>
      </c>
    </row>
    <row r="3497" spans="1:8" ht="25.05" customHeight="1" x14ac:dyDescent="0.25">
      <c r="A3497" s="2" t="s">
        <v>8</v>
      </c>
      <c r="B3497" s="2" t="str">
        <f>HYPERLINK("http://ts.21cn.com/tousu/show/id/1334183","钱站高利贷")</f>
        <v>钱站高利贷</v>
      </c>
      <c r="C3497" s="2" t="s">
        <v>9</v>
      </c>
      <c r="D3497" s="2" t="s">
        <v>10</v>
      </c>
      <c r="E3497" s="2" t="str">
        <f>HYPERLINK("http://ts.21cn.com/tousu/show/id/1334183","http://ts.21cn.com/tousu/show/id/1334183")</f>
        <v>http://ts.21cn.com/tousu/show/id/1334183</v>
      </c>
      <c r="F3497" s="2" t="s">
        <v>11</v>
      </c>
      <c r="G3497" s="2" t="s">
        <v>37258</v>
      </c>
      <c r="H3497" s="2" t="s">
        <v>37259</v>
      </c>
    </row>
    <row r="3498" spans="1:8" ht="25.05" customHeight="1" x14ac:dyDescent="0.25">
      <c r="A3498" s="2" t="s">
        <v>8</v>
      </c>
      <c r="B3498" s="2" t="str">
        <f>HYPERLINK("http://ts.21cn.com/tousu/show/id/1334189","钱站合同金额跟到账不符利息太高")</f>
        <v>钱站合同金额跟到账不符利息太高</v>
      </c>
      <c r="C3498" s="2" t="s">
        <v>9</v>
      </c>
      <c r="D3498" s="2" t="s">
        <v>10</v>
      </c>
      <c r="E3498" s="2" t="str">
        <f>HYPERLINK("http://ts.21cn.com/tousu/show/id/1334189","http://ts.21cn.com/tousu/show/id/1334189")</f>
        <v>http://ts.21cn.com/tousu/show/id/1334189</v>
      </c>
      <c r="F3498" s="2" t="s">
        <v>11</v>
      </c>
      <c r="G3498" s="2" t="s">
        <v>37258</v>
      </c>
      <c r="H3498" s="2" t="s">
        <v>37260</v>
      </c>
    </row>
    <row r="3499" spans="1:8" ht="25.05" customHeight="1" x14ac:dyDescent="0.25">
      <c r="A3499" s="2" t="s">
        <v>8</v>
      </c>
      <c r="B3499" s="2" t="str">
        <f>HYPERLINK("http://ts.21cn.com/tousu/show/id/1334191","GOFUN未及时保养，轮胎爆胎不闻不问")</f>
        <v>GOFUN未及时保养，轮胎爆胎不闻不问</v>
      </c>
      <c r="C3499" s="2" t="s">
        <v>34</v>
      </c>
      <c r="D3499" s="2" t="s">
        <v>10</v>
      </c>
      <c r="E3499" s="2" t="str">
        <f>HYPERLINK("http://ts.21cn.com/tousu/show/id/1334191","http://ts.21cn.com/tousu/show/id/1334191")</f>
        <v>http://ts.21cn.com/tousu/show/id/1334191</v>
      </c>
      <c r="F3499" s="2" t="s">
        <v>11</v>
      </c>
      <c r="G3499" s="2" t="s">
        <v>37255</v>
      </c>
      <c r="H3499" s="2" t="s">
        <v>37256</v>
      </c>
    </row>
    <row r="3500" spans="1:8" ht="25.05" customHeight="1" x14ac:dyDescent="0.25">
      <c r="A3500" s="2" t="s">
        <v>8</v>
      </c>
      <c r="B3500" s="2" t="str">
        <f>HYPERLINK("http://ts.21cn.com/tousu/show/id/1334190","51人品贷黑心高利贷，暴利催收骚扰联系人")</f>
        <v>51人品贷黑心高利贷，暴利催收骚扰联系人</v>
      </c>
      <c r="C3500" s="2" t="s">
        <v>9</v>
      </c>
      <c r="D3500" s="2" t="s">
        <v>10</v>
      </c>
      <c r="E3500" s="2" t="str">
        <f>HYPERLINK("http://ts.21cn.com/tousu/show/id/1334190","http://ts.21cn.com/tousu/show/id/1334190")</f>
        <v>http://ts.21cn.com/tousu/show/id/1334190</v>
      </c>
      <c r="F3500" s="2" t="s">
        <v>11</v>
      </c>
      <c r="G3500" s="2" t="s">
        <v>37255</v>
      </c>
      <c r="H3500" s="2" t="s">
        <v>37257</v>
      </c>
    </row>
    <row r="3501" spans="1:8" ht="25.05" customHeight="1" x14ac:dyDescent="0.25">
      <c r="A3501" s="2" t="s">
        <v>8</v>
      </c>
      <c r="B3501" s="2" t="str">
        <f>HYPERLINK("http://ts.21cn.com/tousu/show/id/1334192","押金退还说明不清楚太麻烦")</f>
        <v>押金退还说明不清楚太麻烦</v>
      </c>
      <c r="C3501" s="2" t="s">
        <v>34</v>
      </c>
      <c r="D3501" s="2" t="s">
        <v>10</v>
      </c>
      <c r="E3501" s="2" t="str">
        <f>HYPERLINK("http://ts.21cn.com/tousu/show/id/1334192","http://ts.21cn.com/tousu/show/id/1334192")</f>
        <v>http://ts.21cn.com/tousu/show/id/1334192</v>
      </c>
      <c r="F3501" s="2" t="s">
        <v>11</v>
      </c>
      <c r="G3501" s="2" t="s">
        <v>37253</v>
      </c>
      <c r="H3501" s="2" t="s">
        <v>37254</v>
      </c>
    </row>
    <row r="3502" spans="1:8" ht="25.05" customHeight="1" x14ac:dyDescent="0.25">
      <c r="A3502" s="2" t="s">
        <v>8</v>
      </c>
      <c r="B3502" s="2" t="str">
        <f>HYPERLINK("http://ts.21cn.com/tousu/show/id/1334193","钱站阴阳合同，高利息")</f>
        <v>钱站阴阳合同，高利息</v>
      </c>
      <c r="C3502" s="2" t="s">
        <v>9</v>
      </c>
      <c r="D3502" s="2" t="s">
        <v>10</v>
      </c>
      <c r="E3502" s="2" t="str">
        <f>HYPERLINK("http://ts.21cn.com/tousu/show/id/1334193","http://ts.21cn.com/tousu/show/id/1334193")</f>
        <v>http://ts.21cn.com/tousu/show/id/1334193</v>
      </c>
      <c r="F3502" s="2" t="s">
        <v>11</v>
      </c>
      <c r="G3502" s="2" t="s">
        <v>37251</v>
      </c>
      <c r="H3502" s="2" t="s">
        <v>37252</v>
      </c>
    </row>
    <row r="3503" spans="1:8" ht="25.05" customHeight="1" x14ac:dyDescent="0.25">
      <c r="A3503" s="2" t="s">
        <v>8</v>
      </c>
      <c r="B3503" s="2" t="str">
        <f>HYPERLINK("http://ts.21cn.com/tousu/show/id/1334196","上海吴良材眼镜店坑人，老板推脱责任，态度极差。")</f>
        <v>上海吴良材眼镜店坑人，老板推脱责任，态度极差。</v>
      </c>
      <c r="C3503" s="2" t="s">
        <v>9</v>
      </c>
      <c r="D3503" s="2" t="s">
        <v>10</v>
      </c>
      <c r="E3503" s="2" t="str">
        <f>HYPERLINK("http://ts.21cn.com/tousu/show/id/1334196","http://ts.21cn.com/tousu/show/id/1334196")</f>
        <v>http://ts.21cn.com/tousu/show/id/1334196</v>
      </c>
      <c r="F3503" s="2" t="s">
        <v>11</v>
      </c>
      <c r="G3503" s="2" t="s">
        <v>37249</v>
      </c>
      <c r="H3503" s="2" t="s">
        <v>37250</v>
      </c>
    </row>
    <row r="3504" spans="1:8" ht="25.05" customHeight="1" x14ac:dyDescent="0.25">
      <c r="A3504" s="2" t="s">
        <v>8</v>
      </c>
      <c r="B3504" s="2" t="str">
        <f>HYPERLINK("http://ts.21cn.com/tousu/show/id/1334200","立借放款几天迟迟不放款")</f>
        <v>立借放款几天迟迟不放款</v>
      </c>
      <c r="C3504" s="2" t="s">
        <v>9</v>
      </c>
      <c r="D3504" s="2" t="s">
        <v>10</v>
      </c>
      <c r="E3504" s="2" t="str">
        <f>HYPERLINK("http://ts.21cn.com/tousu/show/id/1334200","http://ts.21cn.com/tousu/show/id/1334200")</f>
        <v>http://ts.21cn.com/tousu/show/id/1334200</v>
      </c>
      <c r="F3504" s="2" t="s">
        <v>11</v>
      </c>
      <c r="G3504" s="2" t="s">
        <v>37248</v>
      </c>
      <c r="H3504" s="2" t="s">
        <v>36904</v>
      </c>
    </row>
    <row r="3505" spans="1:8" ht="25.05" customHeight="1" x14ac:dyDescent="0.25">
      <c r="A3505" s="2" t="s">
        <v>8</v>
      </c>
      <c r="B3505" s="2" t="str">
        <f>HYPERLINK("http://ts.21cn.com/tousu/show/id/1334194","宜贷分期高利贷")</f>
        <v>宜贷分期高利贷</v>
      </c>
      <c r="C3505" s="2" t="s">
        <v>9</v>
      </c>
      <c r="D3505" s="2" t="s">
        <v>10</v>
      </c>
      <c r="E3505" s="2" t="str">
        <f>HYPERLINK("http://ts.21cn.com/tousu/show/id/1334194","http://ts.21cn.com/tousu/show/id/1334194")</f>
        <v>http://ts.21cn.com/tousu/show/id/1334194</v>
      </c>
      <c r="F3505" s="2" t="s">
        <v>11</v>
      </c>
      <c r="G3505" s="2" t="s">
        <v>37246</v>
      </c>
      <c r="H3505" s="2" t="s">
        <v>37247</v>
      </c>
    </row>
    <row r="3506" spans="1:8" ht="25.05" customHeight="1" x14ac:dyDescent="0.25">
      <c r="A3506" s="2" t="s">
        <v>8</v>
      </c>
      <c r="B3506" s="2" t="str">
        <f>HYPERLINK("http://ts.21cn.com/tousu/show/id/1334201","新浪分期分期暴力催收违法窃取私人信息")</f>
        <v>新浪分期分期暴力催收违法窃取私人信息</v>
      </c>
      <c r="C3506" s="2" t="s">
        <v>9</v>
      </c>
      <c r="D3506" s="2" t="s">
        <v>10</v>
      </c>
      <c r="E3506" s="2" t="str">
        <f>HYPERLINK("http://ts.21cn.com/tousu/show/id/1334201","http://ts.21cn.com/tousu/show/id/1334201")</f>
        <v>http://ts.21cn.com/tousu/show/id/1334201</v>
      </c>
      <c r="F3506" s="2" t="s">
        <v>11</v>
      </c>
      <c r="G3506" s="2" t="s">
        <v>37244</v>
      </c>
      <c r="H3506" s="2" t="s">
        <v>37245</v>
      </c>
    </row>
    <row r="3507" spans="1:8" ht="25.05" customHeight="1" x14ac:dyDescent="0.25">
      <c r="A3507" s="2" t="s">
        <v>8</v>
      </c>
      <c r="B3507" s="2" t="str">
        <f>HYPERLINK("http://ts.21cn.com/tousu/show/id/1334202","投诉500彩票网址www.88428.com宣传欺诈，诱导充值消费")</f>
        <v>投诉500彩票网址www.88428.com宣传欺诈，诱导充值消费</v>
      </c>
      <c r="C3507" s="2" t="s">
        <v>9</v>
      </c>
      <c r="D3507" s="2" t="s">
        <v>10</v>
      </c>
      <c r="E3507" s="2" t="str">
        <f>HYPERLINK("http://ts.21cn.com/tousu/show/id/1334202","http://ts.21cn.com/tousu/show/id/1334202")</f>
        <v>http://ts.21cn.com/tousu/show/id/1334202</v>
      </c>
      <c r="F3507" s="2" t="s">
        <v>11</v>
      </c>
      <c r="G3507" s="2" t="s">
        <v>37242</v>
      </c>
      <c r="H3507" s="2" t="s">
        <v>37243</v>
      </c>
    </row>
    <row r="3508" spans="1:8" ht="25.05" customHeight="1" x14ac:dyDescent="0.25">
      <c r="A3508" s="2" t="s">
        <v>8</v>
      </c>
      <c r="B3508" s="2" t="str">
        <f>HYPERLINK("http://ts.21cn.com/tousu/show/id/1334203","快贷平台年化率高达86.83%")</f>
        <v>快贷平台年化率高达86.83%</v>
      </c>
      <c r="C3508" s="2" t="s">
        <v>9</v>
      </c>
      <c r="D3508" s="2" t="s">
        <v>10</v>
      </c>
      <c r="E3508" s="2" t="str">
        <f>HYPERLINK("http://ts.21cn.com/tousu/show/id/1334203","http://ts.21cn.com/tousu/show/id/1334203")</f>
        <v>http://ts.21cn.com/tousu/show/id/1334203</v>
      </c>
      <c r="F3508" s="2" t="s">
        <v>11</v>
      </c>
      <c r="G3508" s="2" t="s">
        <v>37240</v>
      </c>
      <c r="H3508" s="2" t="s">
        <v>37241</v>
      </c>
    </row>
    <row r="3509" spans="1:8" ht="25.05" customHeight="1" x14ac:dyDescent="0.25">
      <c r="A3509" s="2" t="s">
        <v>8</v>
      </c>
      <c r="B3509" s="2" t="str">
        <f>HYPERLINK("http://ts.21cn.com/tousu/show/id/1334205","高利贷三天贷高额砍头息辱骂通讯录好友")</f>
        <v>高利贷三天贷高额砍头息辱骂通讯录好友</v>
      </c>
      <c r="C3509" s="2" t="s">
        <v>9</v>
      </c>
      <c r="D3509" s="2" t="s">
        <v>10</v>
      </c>
      <c r="E3509" s="2" t="str">
        <f>HYPERLINK("http://ts.21cn.com/tousu/show/id/1334205","http://ts.21cn.com/tousu/show/id/1334205")</f>
        <v>http://ts.21cn.com/tousu/show/id/1334205</v>
      </c>
      <c r="F3509" s="2" t="s">
        <v>11</v>
      </c>
      <c r="G3509" s="2" t="s">
        <v>37238</v>
      </c>
      <c r="H3509" s="2" t="s">
        <v>37239</v>
      </c>
    </row>
    <row r="3510" spans="1:8" ht="25.05" customHeight="1" x14ac:dyDescent="0.25">
      <c r="A3510" s="2" t="s">
        <v>8</v>
      </c>
      <c r="B3510" s="2" t="str">
        <f>HYPERLINK("http://ts.21cn.com/tousu/show/id/1334204","骚扰恐吓，利息超过36，暴力催收")</f>
        <v>骚扰恐吓，利息超过36，暴力催收</v>
      </c>
      <c r="C3510" s="2" t="s">
        <v>9</v>
      </c>
      <c r="D3510" s="2" t="s">
        <v>10</v>
      </c>
      <c r="E3510" s="2" t="str">
        <f>HYPERLINK("http://ts.21cn.com/tousu/show/id/1334204","http://ts.21cn.com/tousu/show/id/1334204")</f>
        <v>http://ts.21cn.com/tousu/show/id/1334204</v>
      </c>
      <c r="F3510" s="2" t="s">
        <v>11</v>
      </c>
      <c r="G3510" s="2" t="s">
        <v>37236</v>
      </c>
      <c r="H3510" s="2" t="s">
        <v>37237</v>
      </c>
    </row>
    <row r="3511" spans="1:8" ht="25.05" customHeight="1" x14ac:dyDescent="0.25">
      <c r="A3511" s="2" t="s">
        <v>8</v>
      </c>
      <c r="B3511" s="2" t="str">
        <f>HYPERLINK("http://ts.21cn.com/tousu/show/id/1334206","你我贷延期还款")</f>
        <v>你我贷延期还款</v>
      </c>
      <c r="C3511" s="2" t="s">
        <v>34</v>
      </c>
      <c r="D3511" s="2" t="s">
        <v>10</v>
      </c>
      <c r="E3511" s="2" t="str">
        <f>HYPERLINK("http://ts.21cn.com/tousu/show/id/1334206","http://ts.21cn.com/tousu/show/id/1334206")</f>
        <v>http://ts.21cn.com/tousu/show/id/1334206</v>
      </c>
      <c r="F3511" s="2" t="s">
        <v>11</v>
      </c>
      <c r="G3511" s="2" t="s">
        <v>37234</v>
      </c>
      <c r="H3511" s="2" t="s">
        <v>37235</v>
      </c>
    </row>
    <row r="3512" spans="1:8" ht="25.05" customHeight="1" x14ac:dyDescent="0.25">
      <c r="A3512" s="2" t="s">
        <v>8</v>
      </c>
      <c r="B3512" s="2" t="str">
        <f>HYPERLINK("http://ts.21cn.com/tousu/show/id/1334209","万惠及贷变相收取高额息费以及暴力催收")</f>
        <v>万惠及贷变相收取高额息费以及暴力催收</v>
      </c>
      <c r="C3512" s="2" t="s">
        <v>9</v>
      </c>
      <c r="D3512" s="2" t="s">
        <v>10</v>
      </c>
      <c r="E3512" s="2" t="str">
        <f>HYPERLINK("http://ts.21cn.com/tousu/show/id/1334209","http://ts.21cn.com/tousu/show/id/1334209")</f>
        <v>http://ts.21cn.com/tousu/show/id/1334209</v>
      </c>
      <c r="F3512" s="2" t="s">
        <v>11</v>
      </c>
      <c r="G3512" s="2" t="s">
        <v>37231</v>
      </c>
      <c r="H3512" s="2" t="s">
        <v>37232</v>
      </c>
    </row>
    <row r="3513" spans="1:8" ht="25.05" customHeight="1" x14ac:dyDescent="0.25">
      <c r="A3513" s="2" t="s">
        <v>8</v>
      </c>
      <c r="B3513" s="2" t="str">
        <f>HYPERLINK("http://ts.21cn.com/tousu/show/id/1334207","蟹老弟砍头息")</f>
        <v>蟹老弟砍头息</v>
      </c>
      <c r="C3513" s="2" t="s">
        <v>34</v>
      </c>
      <c r="D3513" s="2" t="s">
        <v>10</v>
      </c>
      <c r="E3513" s="2" t="str">
        <f>HYPERLINK("http://ts.21cn.com/tousu/show/id/1334207","http://ts.21cn.com/tousu/show/id/1334207")</f>
        <v>http://ts.21cn.com/tousu/show/id/1334207</v>
      </c>
      <c r="F3513" s="2" t="s">
        <v>11</v>
      </c>
      <c r="G3513" s="2" t="s">
        <v>37231</v>
      </c>
      <c r="H3513" s="2" t="s">
        <v>37233</v>
      </c>
    </row>
    <row r="3514" spans="1:8" ht="25.05" customHeight="1" x14ac:dyDescent="0.25">
      <c r="A3514" s="2" t="s">
        <v>8</v>
      </c>
      <c r="B3514" s="2" t="str">
        <f>HYPERLINK("http://ts.21cn.com/tousu/show/id/1334210","钱橙无忧恶意扣费")</f>
        <v>钱橙无忧恶意扣费</v>
      </c>
      <c r="C3514" s="2" t="s">
        <v>9</v>
      </c>
      <c r="D3514" s="2" t="s">
        <v>10</v>
      </c>
      <c r="E3514" s="2" t="str">
        <f>HYPERLINK("http://ts.21cn.com/tousu/show/id/1334210","http://ts.21cn.com/tousu/show/id/1334210")</f>
        <v>http://ts.21cn.com/tousu/show/id/1334210</v>
      </c>
      <c r="F3514" s="2" t="s">
        <v>11</v>
      </c>
      <c r="G3514" s="2" t="s">
        <v>37229</v>
      </c>
      <c r="H3514" s="2" t="s">
        <v>37230</v>
      </c>
    </row>
    <row r="3515" spans="1:8" ht="25.05" customHeight="1" x14ac:dyDescent="0.25">
      <c r="A3515" s="2" t="s">
        <v>8</v>
      </c>
      <c r="B3515" s="2" t="str">
        <f>HYPERLINK("http://ts.21cn.com/tousu/show/id/1334208","自称立借委托方，国庆期间天天打电话让我处理金融业务")</f>
        <v>自称立借委托方，国庆期间天天打电话让我处理金融业务</v>
      </c>
      <c r="C3515" s="2" t="s">
        <v>9</v>
      </c>
      <c r="D3515" s="2" t="s">
        <v>10</v>
      </c>
      <c r="E3515" s="2" t="str">
        <f>HYPERLINK("http://ts.21cn.com/tousu/show/id/1334208","http://ts.21cn.com/tousu/show/id/1334208")</f>
        <v>http://ts.21cn.com/tousu/show/id/1334208</v>
      </c>
      <c r="F3515" s="2" t="s">
        <v>11</v>
      </c>
      <c r="G3515" s="2" t="s">
        <v>37228</v>
      </c>
      <c r="H3515" s="2" t="s">
        <v>37130</v>
      </c>
    </row>
    <row r="3516" spans="1:8" ht="25.05" customHeight="1" x14ac:dyDescent="0.25">
      <c r="A3516" s="2" t="s">
        <v>8</v>
      </c>
      <c r="B3516" s="2" t="str">
        <f>HYPERLINK("http://ts.21cn.com/tousu/show/id/1334212","捷信消费金融有限公司老打骚扰电话")</f>
        <v>捷信消费金融有限公司老打骚扰电话</v>
      </c>
      <c r="C3516" s="2" t="s">
        <v>9</v>
      </c>
      <c r="D3516" s="2" t="s">
        <v>10</v>
      </c>
      <c r="E3516" s="2" t="str">
        <f>HYPERLINK("http://ts.21cn.com/tousu/show/id/1334212","http://ts.21cn.com/tousu/show/id/1334212")</f>
        <v>http://ts.21cn.com/tousu/show/id/1334212</v>
      </c>
      <c r="F3516" s="2" t="s">
        <v>11</v>
      </c>
      <c r="G3516" s="2" t="s">
        <v>37226</v>
      </c>
      <c r="H3516" s="2" t="s">
        <v>37227</v>
      </c>
    </row>
    <row r="3517" spans="1:8" ht="25.05" customHeight="1" x14ac:dyDescent="0.25">
      <c r="A3517" s="2" t="s">
        <v>8</v>
      </c>
      <c r="B3517" s="2" t="str">
        <f>HYPERLINK("http://ts.21cn.com/tousu/show/id/1334211","月光侠分期涉嫌高利息、暴力催收")</f>
        <v>月光侠分期涉嫌高利息、暴力催收</v>
      </c>
      <c r="C3517" s="2" t="s">
        <v>9</v>
      </c>
      <c r="D3517" s="2" t="s">
        <v>10</v>
      </c>
      <c r="E3517" s="2" t="str">
        <f>HYPERLINK("http://ts.21cn.com/tousu/show/id/1334211","http://ts.21cn.com/tousu/show/id/1334211")</f>
        <v>http://ts.21cn.com/tousu/show/id/1334211</v>
      </c>
      <c r="F3517" s="2" t="s">
        <v>11</v>
      </c>
      <c r="G3517" s="2" t="s">
        <v>37224</v>
      </c>
      <c r="H3517" s="2" t="s">
        <v>37225</v>
      </c>
    </row>
    <row r="3518" spans="1:8" ht="25.05" customHeight="1" x14ac:dyDescent="0.25">
      <c r="A3518" s="2" t="s">
        <v>8</v>
      </c>
      <c r="B3518" s="2" t="str">
        <f>HYPERLINK("http://ts.21cn.com/tousu/show/id/1334213","砍头息高利贷扣保费一万八")</f>
        <v>砍头息高利贷扣保费一万八</v>
      </c>
      <c r="C3518" s="2" t="s">
        <v>9</v>
      </c>
      <c r="D3518" s="2" t="s">
        <v>10</v>
      </c>
      <c r="E3518" s="2" t="str">
        <f>HYPERLINK("http://ts.21cn.com/tousu/show/id/1334213","http://ts.21cn.com/tousu/show/id/1334213")</f>
        <v>http://ts.21cn.com/tousu/show/id/1334213</v>
      </c>
      <c r="F3518" s="2" t="s">
        <v>11</v>
      </c>
      <c r="G3518" s="2" t="s">
        <v>37222</v>
      </c>
      <c r="H3518" s="2" t="s">
        <v>37223</v>
      </c>
    </row>
    <row r="3519" spans="1:8" ht="25.05" customHeight="1" x14ac:dyDescent="0.25">
      <c r="A3519" s="2" t="s">
        <v>8</v>
      </c>
      <c r="B3519" s="2" t="str">
        <f>HYPERLINK("http://ts.21cn.com/tousu/show/id/1334197","自由魔卡信用计划超级马力贷")</f>
        <v>自由魔卡信用计划超级马力贷</v>
      </c>
      <c r="C3519" s="2" t="s">
        <v>34</v>
      </c>
      <c r="D3519" s="2" t="s">
        <v>10</v>
      </c>
      <c r="E3519" s="2" t="str">
        <f>HYPERLINK("http://ts.21cn.com/tousu/show/id/1334197","http://ts.21cn.com/tousu/show/id/1334197")</f>
        <v>http://ts.21cn.com/tousu/show/id/1334197</v>
      </c>
      <c r="F3519" s="2" t="s">
        <v>11</v>
      </c>
      <c r="G3519" s="2" t="s">
        <v>37220</v>
      </c>
      <c r="H3519" s="2" t="s">
        <v>37221</v>
      </c>
    </row>
    <row r="3520" spans="1:8" ht="25.05" customHeight="1" x14ac:dyDescent="0.25">
      <c r="A3520" s="2" t="s">
        <v>8</v>
      </c>
      <c r="B3520" s="2" t="str">
        <f>HYPERLINK("http://ts.21cn.com/tousu/show/id/1334214","闪银借款捆绑销售物品")</f>
        <v>闪银借款捆绑销售物品</v>
      </c>
      <c r="C3520" s="2" t="s">
        <v>9</v>
      </c>
      <c r="D3520" s="2" t="s">
        <v>10</v>
      </c>
      <c r="E3520" s="2" t="str">
        <f>HYPERLINK("http://ts.21cn.com/tousu/show/id/1334214","http://ts.21cn.com/tousu/show/id/1334214")</f>
        <v>http://ts.21cn.com/tousu/show/id/1334214</v>
      </c>
      <c r="F3520" s="2" t="s">
        <v>11</v>
      </c>
      <c r="G3520" s="2" t="s">
        <v>37218</v>
      </c>
      <c r="H3520" s="2" t="s">
        <v>37219</v>
      </c>
    </row>
    <row r="3521" spans="1:8" ht="25.05" customHeight="1" x14ac:dyDescent="0.25">
      <c r="A3521" s="2" t="s">
        <v>8</v>
      </c>
      <c r="B3521" s="2" t="str">
        <f>HYPERLINK("http://ts.21cn.com/tousu/show/id/1334215","【月光侠分期】高利贷，综合年化达198.37%，不接受协商，服务态度差。要求本金+合法利息结清。")</f>
        <v>【月光侠分期】高利贷，综合年化达198.37%，不接受协商，服务态度差。要求本金+合法利息结清。</v>
      </c>
      <c r="C3521" s="2" t="s">
        <v>9</v>
      </c>
      <c r="D3521" s="2" t="s">
        <v>10</v>
      </c>
      <c r="E3521" s="2" t="str">
        <f>HYPERLINK("http://ts.21cn.com/tousu/show/id/1334215","http://ts.21cn.com/tousu/show/id/1334215")</f>
        <v>http://ts.21cn.com/tousu/show/id/1334215</v>
      </c>
      <c r="F3521" s="2" t="s">
        <v>11</v>
      </c>
      <c r="G3521" s="2" t="s">
        <v>37216</v>
      </c>
      <c r="H3521" s="2" t="s">
        <v>37217</v>
      </c>
    </row>
    <row r="3522" spans="1:8" ht="25.05" customHeight="1" x14ac:dyDescent="0.25">
      <c r="A3522" s="2" t="s">
        <v>8</v>
      </c>
      <c r="B3522" s="2" t="str">
        <f>HYPERLINK("http://ts.21cn.com/tousu/show/id/1334216","人人贷一直不放款")</f>
        <v>人人贷一直不放款</v>
      </c>
      <c r="C3522" s="2" t="s">
        <v>34</v>
      </c>
      <c r="D3522" s="2" t="s">
        <v>10</v>
      </c>
      <c r="E3522" s="2" t="str">
        <f>HYPERLINK("http://ts.21cn.com/tousu/show/id/1334216","http://ts.21cn.com/tousu/show/id/1334216")</f>
        <v>http://ts.21cn.com/tousu/show/id/1334216</v>
      </c>
      <c r="F3522" s="2" t="s">
        <v>11</v>
      </c>
      <c r="G3522" s="2" t="s">
        <v>37214</v>
      </c>
      <c r="H3522" s="2" t="s">
        <v>37215</v>
      </c>
    </row>
    <row r="3523" spans="1:8" ht="25.05" customHeight="1" x14ac:dyDescent="0.25">
      <c r="A3523" s="2" t="s">
        <v>8</v>
      </c>
      <c r="B3523" s="2" t="str">
        <f>HYPERLINK("http://ts.21cn.com/tousu/show/id/1334217","欺负消费者")</f>
        <v>欺负消费者</v>
      </c>
      <c r="C3523" s="2" t="s">
        <v>9</v>
      </c>
      <c r="D3523" s="2" t="s">
        <v>10</v>
      </c>
      <c r="E3523" s="2" t="str">
        <f>HYPERLINK("http://ts.21cn.com/tousu/show/id/1334217","http://ts.21cn.com/tousu/show/id/1334217")</f>
        <v>http://ts.21cn.com/tousu/show/id/1334217</v>
      </c>
      <c r="F3523" s="2" t="s">
        <v>11</v>
      </c>
      <c r="G3523" s="2" t="s">
        <v>37212</v>
      </c>
      <c r="H3523" s="2" t="s">
        <v>37213</v>
      </c>
    </row>
    <row r="3524" spans="1:8" ht="25.05" customHeight="1" x14ac:dyDescent="0.25">
      <c r="A3524" s="2" t="s">
        <v>8</v>
      </c>
      <c r="B3524" s="2" t="str">
        <f>HYPERLINK("http://ts.21cn.com/tousu/show/id/1334218","不靠谱软件诱导人绑定银行卡扣钱")</f>
        <v>不靠谱软件诱导人绑定银行卡扣钱</v>
      </c>
      <c r="C3524" s="2" t="s">
        <v>9</v>
      </c>
      <c r="D3524" s="2" t="s">
        <v>10</v>
      </c>
      <c r="E3524" s="2" t="str">
        <f>HYPERLINK("http://ts.21cn.com/tousu/show/id/1334218","http://ts.21cn.com/tousu/show/id/1334218")</f>
        <v>http://ts.21cn.com/tousu/show/id/1334218</v>
      </c>
      <c r="F3524" s="2" t="s">
        <v>11</v>
      </c>
      <c r="G3524" s="2" t="s">
        <v>37210</v>
      </c>
      <c r="H3524" s="2" t="s">
        <v>37211</v>
      </c>
    </row>
    <row r="3525" spans="1:8" ht="25.05" customHeight="1" x14ac:dyDescent="0.25">
      <c r="A3525" s="2" t="s">
        <v>8</v>
      </c>
      <c r="B3525" s="2" t="str">
        <f>HYPERLINK("http://ts.21cn.com/tousu/show/id/1334220","希望可以协商还款")</f>
        <v>希望可以协商还款</v>
      </c>
      <c r="C3525" s="2" t="s">
        <v>34</v>
      </c>
      <c r="D3525" s="2" t="s">
        <v>10</v>
      </c>
      <c r="E3525" s="2" t="str">
        <f>HYPERLINK("http://ts.21cn.com/tousu/show/id/1334220","http://ts.21cn.com/tousu/show/id/1334220")</f>
        <v>http://ts.21cn.com/tousu/show/id/1334220</v>
      </c>
      <c r="F3525" s="2" t="s">
        <v>11</v>
      </c>
      <c r="G3525" s="2" t="s">
        <v>37208</v>
      </c>
      <c r="H3525" s="2" t="s">
        <v>37209</v>
      </c>
    </row>
    <row r="3526" spans="1:8" ht="25.05" customHeight="1" x14ac:dyDescent="0.25">
      <c r="A3526" s="2" t="s">
        <v>8</v>
      </c>
      <c r="B3526" s="2" t="str">
        <f>HYPERLINK("http://ts.21cn.com/tousu/show/id/1334221","高利贷三天贷砍头息请求销账")</f>
        <v>高利贷三天贷砍头息请求销账</v>
      </c>
      <c r="C3526" s="2" t="s">
        <v>9</v>
      </c>
      <c r="D3526" s="2" t="s">
        <v>10</v>
      </c>
      <c r="E3526" s="2" t="str">
        <f>HYPERLINK("http://ts.21cn.com/tousu/show/id/1334221","http://ts.21cn.com/tousu/show/id/1334221")</f>
        <v>http://ts.21cn.com/tousu/show/id/1334221</v>
      </c>
      <c r="F3526" s="2" t="s">
        <v>11</v>
      </c>
      <c r="G3526" s="2" t="s">
        <v>37206</v>
      </c>
      <c r="H3526" s="2" t="s">
        <v>37207</v>
      </c>
    </row>
    <row r="3527" spans="1:8" ht="25.05" customHeight="1" x14ac:dyDescent="0.25">
      <c r="A3527" s="2" t="s">
        <v>8</v>
      </c>
      <c r="B3527" s="2" t="str">
        <f>HYPERLINK("http://ts.21cn.com/tousu/show/id/1334222","小浦优客乱扣款")</f>
        <v>小浦优客乱扣款</v>
      </c>
      <c r="C3527" s="2" t="s">
        <v>9</v>
      </c>
      <c r="D3527" s="2" t="s">
        <v>10</v>
      </c>
      <c r="E3527" s="2" t="str">
        <f>HYPERLINK("http://ts.21cn.com/tousu/show/id/1334222","http://ts.21cn.com/tousu/show/id/1334222")</f>
        <v>http://ts.21cn.com/tousu/show/id/1334222</v>
      </c>
      <c r="F3527" s="2" t="s">
        <v>11</v>
      </c>
      <c r="G3527" s="2" t="s">
        <v>37204</v>
      </c>
      <c r="H3527" s="2" t="s">
        <v>37205</v>
      </c>
    </row>
    <row r="3528" spans="1:8" ht="25.05" customHeight="1" x14ac:dyDescent="0.25">
      <c r="A3528" s="2" t="s">
        <v>8</v>
      </c>
      <c r="B3528" s="2" t="str">
        <f>HYPERLINK("http://ts.21cn.com/tousu/show/id/1334223","唯品会投诉专题")</f>
        <v>唯品会投诉专题</v>
      </c>
      <c r="C3528" s="2" t="s">
        <v>9</v>
      </c>
      <c r="D3528" s="2" t="s">
        <v>10</v>
      </c>
      <c r="E3528" s="2" t="str">
        <f>HYPERLINK("http://ts.21cn.com/tousu/show/id/1334223","http://ts.21cn.com/tousu/show/id/1334223")</f>
        <v>http://ts.21cn.com/tousu/show/id/1334223</v>
      </c>
      <c r="F3528" s="2" t="s">
        <v>11</v>
      </c>
      <c r="G3528" s="2" t="s">
        <v>37202</v>
      </c>
      <c r="H3528" s="2" t="s">
        <v>37203</v>
      </c>
    </row>
    <row r="3529" spans="1:8" ht="25.05" customHeight="1" x14ac:dyDescent="0.25">
      <c r="A3529" s="2" t="s">
        <v>8</v>
      </c>
      <c r="B3529" s="2" t="str">
        <f>HYPERLINK("http://ts.21cn.com/tousu/show/id/1334225","信用飞变相高息暴力催收")</f>
        <v>信用飞变相高息暴力催收</v>
      </c>
      <c r="C3529" s="2" t="s">
        <v>9</v>
      </c>
      <c r="D3529" s="2" t="s">
        <v>10</v>
      </c>
      <c r="E3529" s="2" t="str">
        <f>HYPERLINK("http://ts.21cn.com/tousu/show/id/1334225","http://ts.21cn.com/tousu/show/id/1334225")</f>
        <v>http://ts.21cn.com/tousu/show/id/1334225</v>
      </c>
      <c r="F3529" s="2" t="s">
        <v>11</v>
      </c>
      <c r="G3529" s="2" t="s">
        <v>37200</v>
      </c>
      <c r="H3529" s="2" t="s">
        <v>37201</v>
      </c>
    </row>
    <row r="3530" spans="1:8" ht="25.05" customHeight="1" x14ac:dyDescent="0.25">
      <c r="A3530" s="2" t="s">
        <v>8</v>
      </c>
      <c r="B3530" s="2" t="str">
        <f>HYPERLINK("http://ts.21cn.com/tousu/show/id/1334227","小浦优客注册扣钱")</f>
        <v>小浦优客注册扣钱</v>
      </c>
      <c r="C3530" s="2" t="s">
        <v>9</v>
      </c>
      <c r="D3530" s="2" t="s">
        <v>10</v>
      </c>
      <c r="E3530" s="2" t="str">
        <f>HYPERLINK("http://ts.21cn.com/tousu/show/id/1334227","http://ts.21cn.com/tousu/show/id/1334227")</f>
        <v>http://ts.21cn.com/tousu/show/id/1334227</v>
      </c>
      <c r="F3530" s="2" t="s">
        <v>11</v>
      </c>
      <c r="G3530" s="2" t="s">
        <v>37198</v>
      </c>
      <c r="H3530" s="2" t="s">
        <v>37199</v>
      </c>
    </row>
    <row r="3531" spans="1:8" ht="25.05" customHeight="1" x14ac:dyDescent="0.25">
      <c r="A3531" s="2" t="s">
        <v>8</v>
      </c>
      <c r="B3531" s="2" t="str">
        <f>HYPERLINK("http://ts.21cn.com/tousu/show/id/1334230","贷上钱违法收取砍头息及暴力催收")</f>
        <v>贷上钱违法收取砍头息及暴力催收</v>
      </c>
      <c r="C3531" s="2" t="s">
        <v>9</v>
      </c>
      <c r="D3531" s="2" t="s">
        <v>10</v>
      </c>
      <c r="E3531" s="2" t="str">
        <f>HYPERLINK("http://ts.21cn.com/tousu/show/id/1334230","http://ts.21cn.com/tousu/show/id/1334230")</f>
        <v>http://ts.21cn.com/tousu/show/id/1334230</v>
      </c>
      <c r="F3531" s="2" t="s">
        <v>11</v>
      </c>
      <c r="G3531" s="2" t="s">
        <v>37196</v>
      </c>
      <c r="H3531" s="2" t="s">
        <v>37197</v>
      </c>
    </row>
    <row r="3532" spans="1:8" ht="25.05" customHeight="1" x14ac:dyDescent="0.25">
      <c r="A3532" s="2" t="s">
        <v>8</v>
      </c>
      <c r="B3532" s="2" t="str">
        <f>HYPERLINK("http://ts.21cn.com/tousu/show/id/1334229","威力贷高利贷催收")</f>
        <v>威力贷高利贷催收</v>
      </c>
      <c r="C3532" s="2" t="s">
        <v>9</v>
      </c>
      <c r="D3532" s="2" t="s">
        <v>10</v>
      </c>
      <c r="E3532" s="2" t="str">
        <f>HYPERLINK("http://ts.21cn.com/tousu/show/id/1334229","http://ts.21cn.com/tousu/show/id/1334229")</f>
        <v>http://ts.21cn.com/tousu/show/id/1334229</v>
      </c>
      <c r="F3532" s="2" t="s">
        <v>11</v>
      </c>
      <c r="G3532" s="2" t="s">
        <v>37194</v>
      </c>
      <c r="H3532" s="2" t="s">
        <v>37195</v>
      </c>
    </row>
    <row r="3533" spans="1:8" ht="25.05" customHeight="1" x14ac:dyDescent="0.25">
      <c r="A3533" s="2" t="s">
        <v>8</v>
      </c>
      <c r="B3533" s="2" t="str">
        <f>HYPERLINK("http://ts.21cn.com/tousu/show/id/1334228","钱橙无忧随意扣费")</f>
        <v>钱橙无忧随意扣费</v>
      </c>
      <c r="C3533" s="2" t="s">
        <v>9</v>
      </c>
      <c r="D3533" s="2" t="s">
        <v>10</v>
      </c>
      <c r="E3533" s="2" t="str">
        <f>HYPERLINK("http://ts.21cn.com/tousu/show/id/1334228","http://ts.21cn.com/tousu/show/id/1334228")</f>
        <v>http://ts.21cn.com/tousu/show/id/1334228</v>
      </c>
      <c r="F3533" s="2" t="s">
        <v>11</v>
      </c>
      <c r="G3533" s="2" t="s">
        <v>37192</v>
      </c>
      <c r="H3533" s="2" t="s">
        <v>37193</v>
      </c>
    </row>
    <row r="3534" spans="1:8" ht="25.05" customHeight="1" x14ac:dyDescent="0.25">
      <c r="A3534" s="2" t="s">
        <v>8</v>
      </c>
      <c r="B3534" s="2" t="str">
        <f>HYPERLINK("http://ts.21cn.com/tousu/show/id/1334231","捷信违法催收")</f>
        <v>捷信违法催收</v>
      </c>
      <c r="C3534" s="2" t="s">
        <v>9</v>
      </c>
      <c r="D3534" s="2" t="s">
        <v>10</v>
      </c>
      <c r="E3534" s="2" t="str">
        <f>HYPERLINK("http://ts.21cn.com/tousu/show/id/1334231","http://ts.21cn.com/tousu/show/id/1334231")</f>
        <v>http://ts.21cn.com/tousu/show/id/1334231</v>
      </c>
      <c r="F3534" s="2" t="s">
        <v>11</v>
      </c>
      <c r="G3534" s="2" t="s">
        <v>37190</v>
      </c>
      <c r="H3534" s="2" t="s">
        <v>37191</v>
      </c>
    </row>
    <row r="3535" spans="1:8" ht="25.05" customHeight="1" x14ac:dyDescent="0.25">
      <c r="A3535" s="2" t="s">
        <v>8</v>
      </c>
      <c r="B3535" s="2" t="str">
        <f>HYPERLINK("http://ts.21cn.com/tousu/show/id/1334232","京东拍拍回收套路消费者，未经消费者允许私自拆机")</f>
        <v>京东拍拍回收套路消费者，未经消费者允许私自拆机</v>
      </c>
      <c r="C3535" s="2" t="s">
        <v>9</v>
      </c>
      <c r="D3535" s="2" t="s">
        <v>10</v>
      </c>
      <c r="E3535" s="2" t="str">
        <f>HYPERLINK("http://ts.21cn.com/tousu/show/id/1334232","http://ts.21cn.com/tousu/show/id/1334232")</f>
        <v>http://ts.21cn.com/tousu/show/id/1334232</v>
      </c>
      <c r="F3535" s="2" t="s">
        <v>11</v>
      </c>
      <c r="G3535" s="2" t="s">
        <v>37188</v>
      </c>
      <c r="H3535" s="2" t="s">
        <v>37189</v>
      </c>
    </row>
    <row r="3536" spans="1:8" ht="25.05" customHeight="1" x14ac:dyDescent="0.25">
      <c r="A3536" s="2" t="s">
        <v>8</v>
      </c>
      <c r="B3536" s="2" t="str">
        <f>HYPERLINK("http://ts.21cn.com/tousu/show/id/1334235","小当家小娜迦爆通讯录，威胁人，群发短信")</f>
        <v>小当家小娜迦爆通讯录，威胁人，群发短信</v>
      </c>
      <c r="C3536" s="2" t="s">
        <v>9</v>
      </c>
      <c r="D3536" s="2" t="s">
        <v>10</v>
      </c>
      <c r="E3536" s="2" t="str">
        <f>HYPERLINK("http://ts.21cn.com/tousu/show/id/1334235","http://ts.21cn.com/tousu/show/id/1334235")</f>
        <v>http://ts.21cn.com/tousu/show/id/1334235</v>
      </c>
      <c r="F3536" s="2" t="s">
        <v>11</v>
      </c>
      <c r="G3536" s="2" t="s">
        <v>37186</v>
      </c>
      <c r="H3536" s="2" t="s">
        <v>37187</v>
      </c>
    </row>
    <row r="3537" spans="1:8" ht="25.05" customHeight="1" x14ac:dyDescent="0.25">
      <c r="A3537" s="2" t="s">
        <v>8</v>
      </c>
      <c r="B3537" s="2" t="str">
        <f>HYPERLINK("http://ts.21cn.com/tousu/show/id/1334233","没有给我解决还款问题就叫我在聚投诉结案")</f>
        <v>没有给我解决还款问题就叫我在聚投诉结案</v>
      </c>
      <c r="C3537" s="2" t="s">
        <v>9</v>
      </c>
      <c r="D3537" s="2" t="s">
        <v>10</v>
      </c>
      <c r="E3537" s="2" t="str">
        <f>HYPERLINK("http://ts.21cn.com/tousu/show/id/1334233","http://ts.21cn.com/tousu/show/id/1334233")</f>
        <v>http://ts.21cn.com/tousu/show/id/1334233</v>
      </c>
      <c r="F3537" s="2" t="s">
        <v>11</v>
      </c>
      <c r="G3537" s="2" t="s">
        <v>37184</v>
      </c>
      <c r="H3537" s="2" t="s">
        <v>37185</v>
      </c>
    </row>
    <row r="3538" spans="1:8" ht="25.05" customHeight="1" x14ac:dyDescent="0.25">
      <c r="A3538" s="2" t="s">
        <v>8</v>
      </c>
      <c r="B3538" s="2" t="str">
        <f>HYPERLINK("http://ts.21cn.com/tousu/show/id/1334234","小浦优客乱扣款")</f>
        <v>小浦优客乱扣款</v>
      </c>
      <c r="C3538" s="2" t="s">
        <v>9</v>
      </c>
      <c r="D3538" s="2" t="s">
        <v>10</v>
      </c>
      <c r="E3538" s="2" t="str">
        <f>HYPERLINK("http://ts.21cn.com/tousu/show/id/1334234","http://ts.21cn.com/tousu/show/id/1334234")</f>
        <v>http://ts.21cn.com/tousu/show/id/1334234</v>
      </c>
      <c r="F3538" s="2" t="s">
        <v>11</v>
      </c>
      <c r="G3538" s="2" t="s">
        <v>37182</v>
      </c>
      <c r="H3538" s="2" t="s">
        <v>37183</v>
      </c>
    </row>
    <row r="3539" spans="1:8" ht="25.05" customHeight="1" x14ac:dyDescent="0.25">
      <c r="A3539" s="2" t="s">
        <v>8</v>
      </c>
      <c r="B3539" s="2" t="str">
        <f>HYPERLINK("http://ts.21cn.com/tousu/show/id/1334236","APP扣款。申请退款")</f>
        <v>APP扣款。申请退款</v>
      </c>
      <c r="C3539" s="2" t="s">
        <v>9</v>
      </c>
      <c r="D3539" s="2" t="s">
        <v>10</v>
      </c>
      <c r="E3539" s="2" t="str">
        <f>HYPERLINK("http://ts.21cn.com/tousu/show/id/1334236","http://ts.21cn.com/tousu/show/id/1334236")</f>
        <v>http://ts.21cn.com/tousu/show/id/1334236</v>
      </c>
      <c r="F3539" s="2" t="s">
        <v>11</v>
      </c>
      <c r="G3539" s="2" t="s">
        <v>37180</v>
      </c>
      <c r="H3539" s="2" t="s">
        <v>37181</v>
      </c>
    </row>
    <row r="3540" spans="1:8" ht="25.05" customHeight="1" x14ac:dyDescent="0.25">
      <c r="A3540" s="2" t="s">
        <v>8</v>
      </c>
      <c r="B3540" s="2" t="str">
        <f>HYPERLINK("http://ts.21cn.com/tousu/show/id/1334237","高额砍头息")</f>
        <v>高额砍头息</v>
      </c>
      <c r="C3540" s="2" t="s">
        <v>9</v>
      </c>
      <c r="D3540" s="2" t="s">
        <v>10</v>
      </c>
      <c r="E3540" s="2" t="str">
        <f>HYPERLINK("http://ts.21cn.com/tousu/show/id/1334237","http://ts.21cn.com/tousu/show/id/1334237")</f>
        <v>http://ts.21cn.com/tousu/show/id/1334237</v>
      </c>
      <c r="F3540" s="2" t="s">
        <v>11</v>
      </c>
      <c r="G3540" s="2" t="s">
        <v>37178</v>
      </c>
      <c r="H3540" s="2" t="s">
        <v>37179</v>
      </c>
    </row>
    <row r="3541" spans="1:8" ht="25.05" customHeight="1" x14ac:dyDescent="0.25">
      <c r="A3541" s="2" t="s">
        <v>8</v>
      </c>
      <c r="B3541" s="2" t="str">
        <f>HYPERLINK("http://ts.21cn.com/tousu/show/id/1334239","易宝支付为套路贷提供违规支付渠道，收取高额费用，参与获利")</f>
        <v>易宝支付为套路贷提供违规支付渠道，收取高额费用，参与获利</v>
      </c>
      <c r="C3541" s="2" t="s">
        <v>9</v>
      </c>
      <c r="D3541" s="2" t="s">
        <v>10</v>
      </c>
      <c r="E3541" s="2" t="str">
        <f>HYPERLINK("http://ts.21cn.com/tousu/show/id/1334239","http://ts.21cn.com/tousu/show/id/1334239")</f>
        <v>http://ts.21cn.com/tousu/show/id/1334239</v>
      </c>
      <c r="F3541" s="2" t="s">
        <v>11</v>
      </c>
      <c r="G3541" s="2" t="s">
        <v>37176</v>
      </c>
      <c r="H3541" s="2" t="s">
        <v>37177</v>
      </c>
    </row>
    <row r="3542" spans="1:8" ht="25.05" customHeight="1" x14ac:dyDescent="0.25">
      <c r="A3542" s="2" t="s">
        <v>8</v>
      </c>
      <c r="B3542" s="2" t="str">
        <f>HYPERLINK("http://ts.21cn.com/tousu/show/id/1334240","信息外泄")</f>
        <v>信息外泄</v>
      </c>
      <c r="C3542" s="2" t="s">
        <v>9</v>
      </c>
      <c r="D3542" s="2" t="s">
        <v>10</v>
      </c>
      <c r="E3542" s="2" t="str">
        <f>HYPERLINK("http://ts.21cn.com/tousu/show/id/1334240","http://ts.21cn.com/tousu/show/id/1334240")</f>
        <v>http://ts.21cn.com/tousu/show/id/1334240</v>
      </c>
      <c r="F3542" s="2" t="s">
        <v>11</v>
      </c>
      <c r="G3542" s="2" t="s">
        <v>37174</v>
      </c>
      <c r="H3542" s="2" t="s">
        <v>37175</v>
      </c>
    </row>
    <row r="3543" spans="1:8" ht="25.05" customHeight="1" x14ac:dyDescent="0.25">
      <c r="A3543" s="2" t="s">
        <v>8</v>
      </c>
      <c r="B3543" s="2" t="str">
        <f>HYPERLINK("http://ts.21cn.com/tousu/show/id/1334241","美团生活费")</f>
        <v>美团生活费</v>
      </c>
      <c r="C3543" s="2" t="s">
        <v>9</v>
      </c>
      <c r="D3543" s="2" t="s">
        <v>10</v>
      </c>
      <c r="E3543" s="2" t="str">
        <f>HYPERLINK("http://ts.21cn.com/tousu/show/id/1334241","http://ts.21cn.com/tousu/show/id/1334241")</f>
        <v>http://ts.21cn.com/tousu/show/id/1334241</v>
      </c>
      <c r="F3543" s="2" t="s">
        <v>11</v>
      </c>
      <c r="G3543" s="2" t="s">
        <v>37172</v>
      </c>
      <c r="H3543" s="2" t="s">
        <v>37173</v>
      </c>
    </row>
    <row r="3544" spans="1:8" ht="25.05" customHeight="1" x14ac:dyDescent="0.25">
      <c r="A3544" s="2" t="s">
        <v>8</v>
      </c>
      <c r="B3544" s="2" t="str">
        <f>HYPERLINK("http://ts.21cn.com/tousu/show/id/1334242","即用钱恶意扣款")</f>
        <v>即用钱恶意扣款</v>
      </c>
      <c r="C3544" s="2" t="s">
        <v>9</v>
      </c>
      <c r="D3544" s="2" t="s">
        <v>10</v>
      </c>
      <c r="E3544" s="2" t="str">
        <f>HYPERLINK("http://ts.21cn.com/tousu/show/id/1334242","http://ts.21cn.com/tousu/show/id/1334242")</f>
        <v>http://ts.21cn.com/tousu/show/id/1334242</v>
      </c>
      <c r="F3544" s="2" t="s">
        <v>11</v>
      </c>
      <c r="G3544" s="2" t="s">
        <v>37170</v>
      </c>
      <c r="H3544" s="2" t="s">
        <v>37171</v>
      </c>
    </row>
    <row r="3545" spans="1:8" ht="25.05" customHeight="1" x14ac:dyDescent="0.25">
      <c r="A3545" s="2" t="s">
        <v>8</v>
      </c>
      <c r="B3545" s="2" t="str">
        <f>HYPERLINK("http://ts.21cn.com/tousu/show/id/1334243","广发、民生不同意与我一个癌症患者意协商还款")</f>
        <v>广发、民生不同意与我一个癌症患者意协商还款</v>
      </c>
      <c r="C3545" s="2" t="s">
        <v>9</v>
      </c>
      <c r="D3545" s="2" t="s">
        <v>10</v>
      </c>
      <c r="E3545" s="2" t="str">
        <f>HYPERLINK("http://ts.21cn.com/tousu/show/id/1334243","http://ts.21cn.com/tousu/show/id/1334243")</f>
        <v>http://ts.21cn.com/tousu/show/id/1334243</v>
      </c>
      <c r="F3545" s="2" t="s">
        <v>11</v>
      </c>
      <c r="G3545" s="2" t="s">
        <v>37168</v>
      </c>
      <c r="H3545" s="2" t="s">
        <v>37169</v>
      </c>
    </row>
    <row r="3546" spans="1:8" ht="25.05" customHeight="1" x14ac:dyDescent="0.25">
      <c r="A3546" s="2" t="s">
        <v>8</v>
      </c>
      <c r="B3546" s="2" t="str">
        <f>HYPERLINK("http://ts.21cn.com/tousu/show/id/1334244","未经许可私自扣款")</f>
        <v>未经许可私自扣款</v>
      </c>
      <c r="C3546" s="2" t="s">
        <v>9</v>
      </c>
      <c r="D3546" s="2" t="s">
        <v>10</v>
      </c>
      <c r="E3546" s="2" t="str">
        <f>HYPERLINK("http://ts.21cn.com/tousu/show/id/1334244","http://ts.21cn.com/tousu/show/id/1334244")</f>
        <v>http://ts.21cn.com/tousu/show/id/1334244</v>
      </c>
      <c r="F3546" s="2" t="s">
        <v>11</v>
      </c>
      <c r="G3546" s="2" t="s">
        <v>37166</v>
      </c>
      <c r="H3546" s="2" t="s">
        <v>37167</v>
      </c>
    </row>
    <row r="3547" spans="1:8" ht="25.05" customHeight="1" x14ac:dyDescent="0.25">
      <c r="A3547" s="2" t="s">
        <v>8</v>
      </c>
      <c r="B3547" s="2" t="str">
        <f>HYPERLINK("http://ts.21cn.com/tousu/show/id/1334246","及贷放款时直接扣除所谓的课程费，存在欺诈消费行为。")</f>
        <v>及贷放款时直接扣除所谓的课程费，存在欺诈消费行为。</v>
      </c>
      <c r="C3547" s="2" t="s">
        <v>9</v>
      </c>
      <c r="D3547" s="2" t="s">
        <v>10</v>
      </c>
      <c r="E3547" s="2" t="str">
        <f>HYPERLINK("http://ts.21cn.com/tousu/show/id/1334246","http://ts.21cn.com/tousu/show/id/1334246")</f>
        <v>http://ts.21cn.com/tousu/show/id/1334246</v>
      </c>
      <c r="F3547" s="2" t="s">
        <v>11</v>
      </c>
      <c r="G3547" s="2" t="s">
        <v>37165</v>
      </c>
      <c r="H3547" s="2" t="s">
        <v>37025</v>
      </c>
    </row>
    <row r="3548" spans="1:8" ht="25.05" customHeight="1" x14ac:dyDescent="0.25">
      <c r="A3548" s="2" t="s">
        <v>8</v>
      </c>
      <c r="B3548" s="2" t="str">
        <f>HYPERLINK("http://ts.21cn.com/tousu/show/id/1334247","高利贷砍头息威胁恐吓")</f>
        <v>高利贷砍头息威胁恐吓</v>
      </c>
      <c r="C3548" s="2" t="s">
        <v>9</v>
      </c>
      <c r="D3548" s="2" t="s">
        <v>10</v>
      </c>
      <c r="E3548" s="2" t="str">
        <f>HYPERLINK("http://ts.21cn.com/tousu/show/id/1334247","http://ts.21cn.com/tousu/show/id/1334247")</f>
        <v>http://ts.21cn.com/tousu/show/id/1334247</v>
      </c>
      <c r="F3548" s="2" t="s">
        <v>11</v>
      </c>
      <c r="G3548" s="2" t="s">
        <v>37163</v>
      </c>
      <c r="H3548" s="2" t="s">
        <v>37164</v>
      </c>
    </row>
    <row r="3549" spans="1:8" ht="25.05" customHeight="1" x14ac:dyDescent="0.25">
      <c r="A3549" s="2" t="s">
        <v>8</v>
      </c>
      <c r="B3549" s="2" t="str">
        <f>HYPERLINK("http://ts.21cn.com/tousu/show/id/1334248","花转转还款后不消除账单")</f>
        <v>花转转还款后不消除账单</v>
      </c>
      <c r="C3549" s="2" t="s">
        <v>34</v>
      </c>
      <c r="D3549" s="2" t="s">
        <v>10</v>
      </c>
      <c r="E3549" s="2" t="str">
        <f>HYPERLINK("http://ts.21cn.com/tousu/show/id/1334248","http://ts.21cn.com/tousu/show/id/1334248")</f>
        <v>http://ts.21cn.com/tousu/show/id/1334248</v>
      </c>
      <c r="F3549" s="2" t="s">
        <v>11</v>
      </c>
      <c r="G3549" s="2" t="s">
        <v>37161</v>
      </c>
      <c r="H3549" s="2" t="s">
        <v>37162</v>
      </c>
    </row>
    <row r="3550" spans="1:8" ht="25.05" customHeight="1" x14ac:dyDescent="0.25">
      <c r="A3550" s="2" t="s">
        <v>8</v>
      </c>
      <c r="B3550" s="2" t="str">
        <f>HYPERLINK("http://ts.21cn.com/tousu/show/id/1334250","平台乱扣保险费")</f>
        <v>平台乱扣保险费</v>
      </c>
      <c r="C3550" s="2" t="s">
        <v>9</v>
      </c>
      <c r="D3550" s="2" t="s">
        <v>10</v>
      </c>
      <c r="E3550" s="2" t="str">
        <f>HYPERLINK("http://ts.21cn.com/tousu/show/id/1334250","http://ts.21cn.com/tousu/show/id/1334250")</f>
        <v>http://ts.21cn.com/tousu/show/id/1334250</v>
      </c>
      <c r="F3550" s="2" t="s">
        <v>11</v>
      </c>
      <c r="G3550" s="2" t="s">
        <v>37159</v>
      </c>
      <c r="H3550" s="2" t="s">
        <v>37160</v>
      </c>
    </row>
    <row r="3551" spans="1:8" ht="25.05" customHeight="1" x14ac:dyDescent="0.25">
      <c r="A3551" s="2" t="s">
        <v>8</v>
      </c>
      <c r="B3551" s="2" t="str">
        <f>HYPERLINK("http://ts.21cn.com/tousu/show/id/1334249","速金服恶意收费30%，投诉举报黑平台必须关闭。国家越来越好必须铲除违法金融公司")</f>
        <v>速金服恶意收费30%，投诉举报黑平台必须关闭。国家越来越好必须铲除违法金融公司</v>
      </c>
      <c r="C3551" s="2" t="s">
        <v>9</v>
      </c>
      <c r="D3551" s="2" t="s">
        <v>10</v>
      </c>
      <c r="E3551" s="2" t="str">
        <f>HYPERLINK("http://ts.21cn.com/tousu/show/id/1334249","http://ts.21cn.com/tousu/show/id/1334249")</f>
        <v>http://ts.21cn.com/tousu/show/id/1334249</v>
      </c>
      <c r="F3551" s="2" t="s">
        <v>11</v>
      </c>
      <c r="G3551" s="2" t="s">
        <v>37157</v>
      </c>
      <c r="H3551" s="2" t="s">
        <v>37158</v>
      </c>
    </row>
    <row r="3552" spans="1:8" ht="25.05" customHeight="1" x14ac:dyDescent="0.25">
      <c r="A3552" s="2" t="s">
        <v>8</v>
      </c>
      <c r="B3552" s="2" t="str">
        <f>HYPERLINK("http://ts.21cn.com/tousu/show/id/1334251","微信团队无做为")</f>
        <v>微信团队无做为</v>
      </c>
      <c r="C3552" s="2" t="s">
        <v>9</v>
      </c>
      <c r="D3552" s="2" t="s">
        <v>10</v>
      </c>
      <c r="E3552" s="2" t="str">
        <f>HYPERLINK("http://ts.21cn.com/tousu/show/id/1334251","http://ts.21cn.com/tousu/show/id/1334251")</f>
        <v>http://ts.21cn.com/tousu/show/id/1334251</v>
      </c>
      <c r="F3552" s="2" t="s">
        <v>11</v>
      </c>
      <c r="G3552" s="2" t="s">
        <v>37155</v>
      </c>
      <c r="H3552" s="2" t="s">
        <v>37156</v>
      </c>
    </row>
    <row r="3553" spans="1:8" ht="25.05" customHeight="1" x14ac:dyDescent="0.25">
      <c r="A3553" s="2" t="s">
        <v>8</v>
      </c>
      <c r="B3553" s="2" t="str">
        <f>HYPERLINK("http://ts.21cn.com/tousu/show/id/1334254","暴力催收")</f>
        <v>暴力催收</v>
      </c>
      <c r="C3553" s="2" t="s">
        <v>9</v>
      </c>
      <c r="D3553" s="2" t="s">
        <v>10</v>
      </c>
      <c r="E3553" s="2" t="str">
        <f>HYPERLINK("http://ts.21cn.com/tousu/show/id/1334254","http://ts.21cn.com/tousu/show/id/1334254")</f>
        <v>http://ts.21cn.com/tousu/show/id/1334254</v>
      </c>
      <c r="F3553" s="2" t="s">
        <v>11</v>
      </c>
      <c r="G3553" s="2" t="s">
        <v>37153</v>
      </c>
      <c r="H3553" s="2" t="s">
        <v>37154</v>
      </c>
    </row>
    <row r="3554" spans="1:8" ht="25.05" customHeight="1" x14ac:dyDescent="0.25">
      <c r="A3554" s="2" t="s">
        <v>8</v>
      </c>
      <c r="B3554" s="2" t="str">
        <f>HYPERLINK("http://ts.21cn.com/tousu/show/id/1334253","特约小通商城无故随意扣款")</f>
        <v>特约小通商城无故随意扣款</v>
      </c>
      <c r="C3554" s="2" t="s">
        <v>9</v>
      </c>
      <c r="D3554" s="2" t="s">
        <v>10</v>
      </c>
      <c r="E3554" s="2" t="str">
        <f>HYPERLINK("http://ts.21cn.com/tousu/show/id/1334253","http://ts.21cn.com/tousu/show/id/1334253")</f>
        <v>http://ts.21cn.com/tousu/show/id/1334253</v>
      </c>
      <c r="F3554" s="2" t="s">
        <v>11</v>
      </c>
      <c r="G3554" s="2" t="s">
        <v>37151</v>
      </c>
      <c r="H3554" s="2" t="s">
        <v>37152</v>
      </c>
    </row>
    <row r="3555" spans="1:8" ht="25.05" customHeight="1" x14ac:dyDescent="0.25">
      <c r="A3555" s="2" t="s">
        <v>8</v>
      </c>
      <c r="B3555" s="2" t="str">
        <f>HYPERLINK("http://ts.21cn.com/tousu/show/id/1334255","凡普金科旗下钱站app暴力催收")</f>
        <v>凡普金科旗下钱站app暴力催收</v>
      </c>
      <c r="C3555" s="2" t="s">
        <v>9</v>
      </c>
      <c r="D3555" s="2" t="s">
        <v>10</v>
      </c>
      <c r="E3555" s="2" t="str">
        <f>HYPERLINK("http://ts.21cn.com/tousu/show/id/1334255","http://ts.21cn.com/tousu/show/id/1334255")</f>
        <v>http://ts.21cn.com/tousu/show/id/1334255</v>
      </c>
      <c r="F3555" s="2" t="s">
        <v>11</v>
      </c>
      <c r="G3555" s="2" t="s">
        <v>37149</v>
      </c>
      <c r="H3555" s="2" t="s">
        <v>37150</v>
      </c>
    </row>
    <row r="3556" spans="1:8" ht="25.05" customHeight="1" x14ac:dyDescent="0.25">
      <c r="A3556" s="2" t="s">
        <v>8</v>
      </c>
      <c r="B3556" s="2" t="str">
        <f>HYPERLINK("http://ts.21cn.com/tousu/show/id/1334257","北京乐融多源信息技术有限公司网贷平台及贷")</f>
        <v>北京乐融多源信息技术有限公司网贷平台及贷</v>
      </c>
      <c r="C3556" s="2" t="s">
        <v>9</v>
      </c>
      <c r="D3556" s="2" t="s">
        <v>10</v>
      </c>
      <c r="E3556" s="2" t="str">
        <f>HYPERLINK("http://ts.21cn.com/tousu/show/id/1334257","http://ts.21cn.com/tousu/show/id/1334257")</f>
        <v>http://ts.21cn.com/tousu/show/id/1334257</v>
      </c>
      <c r="F3556" s="2" t="s">
        <v>11</v>
      </c>
      <c r="G3556" s="2" t="s">
        <v>37147</v>
      </c>
      <c r="H3556" s="2" t="s">
        <v>37148</v>
      </c>
    </row>
    <row r="3557" spans="1:8" ht="25.05" customHeight="1" x14ac:dyDescent="0.25">
      <c r="A3557" s="2" t="s">
        <v>8</v>
      </c>
      <c r="B3557" s="2" t="str">
        <f>HYPERLINK("http://ts.21cn.com/tousu/show/id/1334256","浙江航天电子信息产业有限公司，云闪付，为非法网站提供支付通道")</f>
        <v>浙江航天电子信息产业有限公司，云闪付，为非法网站提供支付通道</v>
      </c>
      <c r="C3557" s="2" t="s">
        <v>9</v>
      </c>
      <c r="D3557" s="2" t="s">
        <v>10</v>
      </c>
      <c r="E3557" s="2" t="str">
        <f>HYPERLINK("http://ts.21cn.com/tousu/show/id/1334256","http://ts.21cn.com/tousu/show/id/1334256")</f>
        <v>http://ts.21cn.com/tousu/show/id/1334256</v>
      </c>
      <c r="F3557" s="2" t="s">
        <v>11</v>
      </c>
      <c r="G3557" s="2" t="s">
        <v>37145</v>
      </c>
      <c r="H3557" s="2" t="s">
        <v>37146</v>
      </c>
    </row>
    <row r="3558" spans="1:8" ht="25.05" customHeight="1" x14ac:dyDescent="0.25">
      <c r="A3558" s="2" t="s">
        <v>8</v>
      </c>
      <c r="B3558" s="2" t="str">
        <f>HYPERLINK("http://ts.21cn.com/tousu/show/id/1334258","乱扣钱")</f>
        <v>乱扣钱</v>
      </c>
      <c r="C3558" s="2" t="s">
        <v>9</v>
      </c>
      <c r="D3558" s="2" t="s">
        <v>10</v>
      </c>
      <c r="E3558" s="2" t="str">
        <f>HYPERLINK("http://ts.21cn.com/tousu/show/id/1334258","http://ts.21cn.com/tousu/show/id/1334258")</f>
        <v>http://ts.21cn.com/tousu/show/id/1334258</v>
      </c>
      <c r="F3558" s="2" t="s">
        <v>11</v>
      </c>
      <c r="G3558" s="2" t="s">
        <v>37143</v>
      </c>
      <c r="H3558" s="2" t="s">
        <v>37144</v>
      </c>
    </row>
    <row r="3559" spans="1:8" ht="25.05" customHeight="1" x14ac:dyDescent="0.25">
      <c r="A3559" s="2" t="s">
        <v>8</v>
      </c>
      <c r="B3559" s="2" t="str">
        <f>HYPERLINK("http://ts.21cn.com/tousu/show/id/1334259","来分期恶意骚扰，暴力催收。")</f>
        <v>来分期恶意骚扰，暴力催收。</v>
      </c>
      <c r="C3559" s="2" t="s">
        <v>9</v>
      </c>
      <c r="D3559" s="2" t="s">
        <v>10</v>
      </c>
      <c r="E3559" s="2" t="str">
        <f>HYPERLINK("http://ts.21cn.com/tousu/show/id/1334259","http://ts.21cn.com/tousu/show/id/1334259")</f>
        <v>http://ts.21cn.com/tousu/show/id/1334259</v>
      </c>
      <c r="F3559" s="2" t="s">
        <v>11</v>
      </c>
      <c r="G3559" s="2" t="s">
        <v>37141</v>
      </c>
      <c r="H3559" s="2" t="s">
        <v>37142</v>
      </c>
    </row>
    <row r="3560" spans="1:8" ht="25.05" customHeight="1" x14ac:dyDescent="0.25">
      <c r="A3560" s="2" t="s">
        <v>8</v>
      </c>
      <c r="B3560" s="2" t="str">
        <f>HYPERLINK("http://ts.21cn.com/tousu/show/id/1334260","玖富万卡网贷利率高达百分之百借款44000元要还80000多元")</f>
        <v>玖富万卡网贷利率高达百分之百借款44000元要还80000多元</v>
      </c>
      <c r="C3560" s="2" t="s">
        <v>9</v>
      </c>
      <c r="D3560" s="2" t="s">
        <v>10</v>
      </c>
      <c r="E3560" s="2" t="str">
        <f>HYPERLINK("http://ts.21cn.com/tousu/show/id/1334260","http://ts.21cn.com/tousu/show/id/1334260")</f>
        <v>http://ts.21cn.com/tousu/show/id/1334260</v>
      </c>
      <c r="F3560" s="2" t="s">
        <v>11</v>
      </c>
      <c r="G3560" s="2" t="s">
        <v>37139</v>
      </c>
      <c r="H3560" s="2" t="s">
        <v>37140</v>
      </c>
    </row>
    <row r="3561" spans="1:8" ht="25.05" customHeight="1" x14ac:dyDescent="0.25">
      <c r="A3561" s="2" t="s">
        <v>8</v>
      </c>
      <c r="B3561" s="2" t="str">
        <f>HYPERLINK("http://ts.21cn.com/tousu/show/id/1334261","频繁催收")</f>
        <v>频繁催收</v>
      </c>
      <c r="C3561" s="2" t="s">
        <v>9</v>
      </c>
      <c r="D3561" s="2" t="s">
        <v>10</v>
      </c>
      <c r="E3561" s="2" t="str">
        <f>HYPERLINK("http://ts.21cn.com/tousu/show/id/1334261","http://ts.21cn.com/tousu/show/id/1334261")</f>
        <v>http://ts.21cn.com/tousu/show/id/1334261</v>
      </c>
      <c r="F3561" s="2" t="s">
        <v>11</v>
      </c>
      <c r="G3561" s="2" t="s">
        <v>37137</v>
      </c>
      <c r="H3561" s="2" t="s">
        <v>37138</v>
      </c>
    </row>
    <row r="3562" spans="1:8" ht="25.05" customHeight="1" x14ac:dyDescent="0.25">
      <c r="A3562" s="2" t="s">
        <v>8</v>
      </c>
      <c r="B3562" s="2" t="str">
        <f>HYPERLINK("http://ts.21cn.com/tousu/show/id/1334262","随随便便一个恶意买家投诉把我店铺冻结钱也提不出来")</f>
        <v>随随便便一个恶意买家投诉把我店铺冻结钱也提不出来</v>
      </c>
      <c r="C3562" s="2" t="s">
        <v>9</v>
      </c>
      <c r="D3562" s="2" t="s">
        <v>10</v>
      </c>
      <c r="E3562" s="2" t="str">
        <f>HYPERLINK("http://ts.21cn.com/tousu/show/id/1334262","http://ts.21cn.com/tousu/show/id/1334262")</f>
        <v>http://ts.21cn.com/tousu/show/id/1334262</v>
      </c>
      <c r="F3562" s="2" t="s">
        <v>11</v>
      </c>
      <c r="G3562" s="2" t="s">
        <v>37135</v>
      </c>
      <c r="H3562" s="2" t="s">
        <v>37136</v>
      </c>
    </row>
    <row r="3563" spans="1:8" ht="25.05" customHeight="1" x14ac:dyDescent="0.25">
      <c r="A3563" s="2" t="s">
        <v>8</v>
      </c>
      <c r="B3563" s="2" t="str">
        <f>HYPERLINK("http://ts.21cn.com/tousu/show/id/1334263","微品分期变相收取非法砍头息。高利贷，阴阳合同，暴力催收")</f>
        <v>微品分期变相收取非法砍头息。高利贷，阴阳合同，暴力催收</v>
      </c>
      <c r="C3563" s="2" t="s">
        <v>9</v>
      </c>
      <c r="D3563" s="2" t="s">
        <v>10</v>
      </c>
      <c r="E3563" s="2" t="str">
        <f>HYPERLINK("http://ts.21cn.com/tousu/show/id/1334263","http://ts.21cn.com/tousu/show/id/1334263")</f>
        <v>http://ts.21cn.com/tousu/show/id/1334263</v>
      </c>
      <c r="F3563" s="2" t="s">
        <v>11</v>
      </c>
      <c r="G3563" s="2" t="s">
        <v>37133</v>
      </c>
      <c r="H3563" s="2" t="s">
        <v>37134</v>
      </c>
    </row>
    <row r="3564" spans="1:8" ht="25.05" customHeight="1" x14ac:dyDescent="0.25">
      <c r="A3564" s="2" t="s">
        <v>8</v>
      </c>
      <c r="B3564" s="2" t="str">
        <f>HYPERLINK("http://ts.21cn.com/tousu/show/id/1334264","高利息")</f>
        <v>高利息</v>
      </c>
      <c r="C3564" s="2" t="s">
        <v>9</v>
      </c>
      <c r="D3564" s="2" t="s">
        <v>10</v>
      </c>
      <c r="E3564" s="2" t="str">
        <f>HYPERLINK("http://ts.21cn.com/tousu/show/id/1334264","http://ts.21cn.com/tousu/show/id/1334264")</f>
        <v>http://ts.21cn.com/tousu/show/id/1334264</v>
      </c>
      <c r="F3564" s="2" t="s">
        <v>11</v>
      </c>
      <c r="G3564" s="2" t="s">
        <v>37131</v>
      </c>
      <c r="H3564" s="2" t="s">
        <v>37132</v>
      </c>
    </row>
    <row r="3565" spans="1:8" ht="25.05" customHeight="1" x14ac:dyDescent="0.25">
      <c r="A3565" s="2" t="s">
        <v>8</v>
      </c>
      <c r="B3565" s="2" t="str">
        <f>HYPERLINK("http://ts.21cn.com/tousu/show/id/1334265","自称立借委托方，国庆期间天天打电话我要我处理金融业务")</f>
        <v>自称立借委托方，国庆期间天天打电话我要我处理金融业务</v>
      </c>
      <c r="C3565" s="2" t="s">
        <v>9</v>
      </c>
      <c r="D3565" s="2" t="s">
        <v>10</v>
      </c>
      <c r="E3565" s="2" t="str">
        <f>HYPERLINK("http://ts.21cn.com/tousu/show/id/1334265","http://ts.21cn.com/tousu/show/id/1334265")</f>
        <v>http://ts.21cn.com/tousu/show/id/1334265</v>
      </c>
      <c r="F3565" s="2" t="s">
        <v>11</v>
      </c>
      <c r="G3565" s="2" t="s">
        <v>37129</v>
      </c>
      <c r="H3565" s="2" t="s">
        <v>37130</v>
      </c>
    </row>
    <row r="3566" spans="1:8" ht="25.05" customHeight="1" x14ac:dyDescent="0.25">
      <c r="A3566" s="2" t="s">
        <v>8</v>
      </c>
      <c r="B3566" s="2" t="str">
        <f>HYPERLINK("http://ts.21cn.com/tousu/show/id/1334266","高利贷")</f>
        <v>高利贷</v>
      </c>
      <c r="C3566" s="2" t="s">
        <v>9</v>
      </c>
      <c r="D3566" s="2" t="s">
        <v>10</v>
      </c>
      <c r="E3566" s="2" t="str">
        <f>HYPERLINK("http://ts.21cn.com/tousu/show/id/1334266","http://ts.21cn.com/tousu/show/id/1334266")</f>
        <v>http://ts.21cn.com/tousu/show/id/1334266</v>
      </c>
      <c r="F3566" s="2" t="s">
        <v>11</v>
      </c>
      <c r="G3566" s="2" t="s">
        <v>37127</v>
      </c>
      <c r="H3566" s="2" t="s">
        <v>37128</v>
      </c>
    </row>
    <row r="3567" spans="1:8" ht="25.05" customHeight="1" x14ac:dyDescent="0.25">
      <c r="A3567" s="2" t="s">
        <v>8</v>
      </c>
      <c r="B3567" s="2" t="str">
        <f>HYPERLINK("http://ts.21cn.com/tousu/show/id/1334268","金鸡下蛋砍头息，暴力催收")</f>
        <v>金鸡下蛋砍头息，暴力催收</v>
      </c>
      <c r="C3567" s="2" t="s">
        <v>9</v>
      </c>
      <c r="D3567" s="2" t="s">
        <v>10</v>
      </c>
      <c r="E3567" s="2" t="str">
        <f>HYPERLINK("http://ts.21cn.com/tousu/show/id/1334268","http://ts.21cn.com/tousu/show/id/1334268")</f>
        <v>http://ts.21cn.com/tousu/show/id/1334268</v>
      </c>
      <c r="F3567" s="2" t="s">
        <v>11</v>
      </c>
      <c r="G3567" s="2" t="s">
        <v>37125</v>
      </c>
      <c r="H3567" s="2" t="s">
        <v>37126</v>
      </c>
    </row>
    <row r="3568" spans="1:8" ht="25.05" customHeight="1" x14ac:dyDescent="0.25">
      <c r="A3568" s="2" t="s">
        <v>8</v>
      </c>
      <c r="B3568" s="2" t="str">
        <f>HYPERLINK("http://ts.21cn.com/tousu/show/id/1334267","捷信说话不算数")</f>
        <v>捷信说话不算数</v>
      </c>
      <c r="C3568" s="2" t="s">
        <v>9</v>
      </c>
      <c r="D3568" s="2" t="s">
        <v>10</v>
      </c>
      <c r="E3568" s="2" t="str">
        <f>HYPERLINK("http://ts.21cn.com/tousu/show/id/1334267","http://ts.21cn.com/tousu/show/id/1334267")</f>
        <v>http://ts.21cn.com/tousu/show/id/1334267</v>
      </c>
      <c r="F3568" s="2" t="s">
        <v>11</v>
      </c>
      <c r="G3568" s="2" t="s">
        <v>37123</v>
      </c>
      <c r="H3568" s="2" t="s">
        <v>37124</v>
      </c>
    </row>
    <row r="3569" spans="1:8" ht="25.05" customHeight="1" x14ac:dyDescent="0.25">
      <c r="A3569" s="2" t="s">
        <v>8</v>
      </c>
      <c r="B3569" s="2" t="str">
        <f>HYPERLINK("http://ts.21cn.com/tousu/show/id/1334269","微信商家版恶意冻结资金")</f>
        <v>微信商家版恶意冻结资金</v>
      </c>
      <c r="C3569" s="2" t="s">
        <v>9</v>
      </c>
      <c r="D3569" s="2" t="s">
        <v>10</v>
      </c>
      <c r="E3569" s="2" t="str">
        <f>HYPERLINK("http://ts.21cn.com/tousu/show/id/1334269","http://ts.21cn.com/tousu/show/id/1334269")</f>
        <v>http://ts.21cn.com/tousu/show/id/1334269</v>
      </c>
      <c r="F3569" s="2" t="s">
        <v>11</v>
      </c>
      <c r="G3569" s="2" t="s">
        <v>37121</v>
      </c>
      <c r="H3569" s="2" t="s">
        <v>37122</v>
      </c>
    </row>
    <row r="3570" spans="1:8" ht="25.05" customHeight="1" x14ac:dyDescent="0.25">
      <c r="A3570" s="2" t="s">
        <v>8</v>
      </c>
      <c r="B3570" s="2" t="str">
        <f>HYPERLINK("http://ts.21cn.com/tousu/show/id/1334270","高炮网贷希望归还本金")</f>
        <v>高炮网贷希望归还本金</v>
      </c>
      <c r="C3570" s="2" t="s">
        <v>9</v>
      </c>
      <c r="D3570" s="2" t="s">
        <v>10</v>
      </c>
      <c r="E3570" s="2" t="str">
        <f>HYPERLINK("http://ts.21cn.com/tousu/show/id/1334270","http://ts.21cn.com/tousu/show/id/1334270")</f>
        <v>http://ts.21cn.com/tousu/show/id/1334270</v>
      </c>
      <c r="F3570" s="2" t="s">
        <v>11</v>
      </c>
      <c r="G3570" s="2" t="s">
        <v>37118</v>
      </c>
      <c r="H3570" s="2" t="s">
        <v>37119</v>
      </c>
    </row>
    <row r="3571" spans="1:8" ht="25.05" customHeight="1" x14ac:dyDescent="0.25">
      <c r="A3571" s="2" t="s">
        <v>8</v>
      </c>
      <c r="B3571" s="2" t="str">
        <f>HYPERLINK("http://ts.21cn.com/tousu/show/id/1334271","玖富万卡黄河农商银行恶意上征信")</f>
        <v>玖富万卡黄河农商银行恶意上征信</v>
      </c>
      <c r="C3571" s="2" t="s">
        <v>9</v>
      </c>
      <c r="D3571" s="2" t="s">
        <v>10</v>
      </c>
      <c r="E3571" s="2" t="str">
        <f>HYPERLINK("http://ts.21cn.com/tousu/show/id/1334271","http://ts.21cn.com/tousu/show/id/1334271")</f>
        <v>http://ts.21cn.com/tousu/show/id/1334271</v>
      </c>
      <c r="F3571" s="2" t="s">
        <v>11</v>
      </c>
      <c r="G3571" s="2" t="s">
        <v>37118</v>
      </c>
      <c r="H3571" s="2" t="s">
        <v>37120</v>
      </c>
    </row>
    <row r="3572" spans="1:8" ht="25.05" customHeight="1" x14ac:dyDescent="0.25">
      <c r="A3572" s="2" t="s">
        <v>8</v>
      </c>
      <c r="B3572" s="2" t="str">
        <f>HYPERLINK("http://ts.21cn.com/tousu/show/id/1334274","利息太高")</f>
        <v>利息太高</v>
      </c>
      <c r="C3572" s="2" t="s">
        <v>9</v>
      </c>
      <c r="D3572" s="2" t="s">
        <v>10</v>
      </c>
      <c r="E3572" s="2" t="str">
        <f>HYPERLINK("http://ts.21cn.com/tousu/show/id/1334274","http://ts.21cn.com/tousu/show/id/1334274")</f>
        <v>http://ts.21cn.com/tousu/show/id/1334274</v>
      </c>
      <c r="F3572" s="2" t="s">
        <v>11</v>
      </c>
      <c r="G3572" s="2" t="s">
        <v>37116</v>
      </c>
      <c r="H3572" s="2" t="s">
        <v>37117</v>
      </c>
    </row>
    <row r="3573" spans="1:8" ht="25.05" customHeight="1" x14ac:dyDescent="0.25">
      <c r="A3573" s="2" t="s">
        <v>8</v>
      </c>
      <c r="B3573" s="2" t="str">
        <f>HYPERLINK("http://ts.21cn.com/tousu/show/id/1334273","合同欺诈，私自扣款")</f>
        <v>合同欺诈，私自扣款</v>
      </c>
      <c r="C3573" s="2" t="s">
        <v>9</v>
      </c>
      <c r="D3573" s="2" t="s">
        <v>10</v>
      </c>
      <c r="E3573" s="2" t="str">
        <f>HYPERLINK("http://ts.21cn.com/tousu/show/id/1334273","http://ts.21cn.com/tousu/show/id/1334273")</f>
        <v>http://ts.21cn.com/tousu/show/id/1334273</v>
      </c>
      <c r="F3573" s="2" t="s">
        <v>11</v>
      </c>
      <c r="G3573" s="2" t="s">
        <v>37114</v>
      </c>
      <c r="H3573" s="2" t="s">
        <v>37115</v>
      </c>
    </row>
    <row r="3574" spans="1:8" ht="25.05" customHeight="1" x14ac:dyDescent="0.25">
      <c r="A3574" s="2" t="s">
        <v>8</v>
      </c>
      <c r="B3574" s="2" t="str">
        <f>HYPERLINK("http://ts.21cn.com/tousu/show/id/1334275","么么钱包暴力催收")</f>
        <v>么么钱包暴力催收</v>
      </c>
      <c r="C3574" s="2" t="s">
        <v>9</v>
      </c>
      <c r="D3574" s="2" t="s">
        <v>10</v>
      </c>
      <c r="E3574" s="2" t="str">
        <f>HYPERLINK("http://ts.21cn.com/tousu/show/id/1334275","http://ts.21cn.com/tousu/show/id/1334275")</f>
        <v>http://ts.21cn.com/tousu/show/id/1334275</v>
      </c>
      <c r="F3574" s="2" t="s">
        <v>11</v>
      </c>
      <c r="G3574" s="2" t="s">
        <v>37112</v>
      </c>
      <c r="H3574" s="2" t="s">
        <v>37113</v>
      </c>
    </row>
    <row r="3575" spans="1:8" ht="25.05" customHeight="1" x14ac:dyDescent="0.25">
      <c r="A3575" s="2" t="s">
        <v>8</v>
      </c>
      <c r="B3575" s="2" t="str">
        <f>HYPERLINK("http://ts.21cn.com/tousu/show/id/1334276","闪银不予以销户")</f>
        <v>闪银不予以销户</v>
      </c>
      <c r="C3575" s="2" t="s">
        <v>34</v>
      </c>
      <c r="D3575" s="2" t="s">
        <v>10</v>
      </c>
      <c r="E3575" s="2" t="str">
        <f>HYPERLINK("http://ts.21cn.com/tousu/show/id/1334276","http://ts.21cn.com/tousu/show/id/1334276")</f>
        <v>http://ts.21cn.com/tousu/show/id/1334276</v>
      </c>
      <c r="F3575" s="2" t="s">
        <v>11</v>
      </c>
      <c r="G3575" s="2" t="s">
        <v>37109</v>
      </c>
      <c r="H3575" s="2" t="s">
        <v>37110</v>
      </c>
    </row>
    <row r="3576" spans="1:8" ht="25.05" customHeight="1" x14ac:dyDescent="0.25">
      <c r="A3576" s="2" t="s">
        <v>8</v>
      </c>
      <c r="B3576" s="2" t="str">
        <f>HYPERLINK("http://ts.21cn.com/tousu/show/id/1334277","读秒钱包里的积木盒子利息过高一月产生700费用")</f>
        <v>读秒钱包里的积木盒子利息过高一月产生700费用</v>
      </c>
      <c r="C3576" s="2" t="s">
        <v>9</v>
      </c>
      <c r="D3576" s="2" t="s">
        <v>10</v>
      </c>
      <c r="E3576" s="2" t="str">
        <f>HYPERLINK("http://ts.21cn.com/tousu/show/id/1334277","http://ts.21cn.com/tousu/show/id/1334277")</f>
        <v>http://ts.21cn.com/tousu/show/id/1334277</v>
      </c>
      <c r="F3576" s="2" t="s">
        <v>11</v>
      </c>
      <c r="G3576" s="2" t="s">
        <v>37109</v>
      </c>
      <c r="H3576" s="2" t="s">
        <v>37111</v>
      </c>
    </row>
    <row r="3577" spans="1:8" ht="25.05" customHeight="1" x14ac:dyDescent="0.25">
      <c r="A3577" s="2" t="s">
        <v>8</v>
      </c>
      <c r="B3577" s="2" t="str">
        <f>HYPERLINK("http://ts.21cn.com/tousu/show/id/1334279","淘手游官方冻结了我的账号不让我提现")</f>
        <v>淘手游官方冻结了我的账号不让我提现</v>
      </c>
      <c r="C3577" s="2" t="s">
        <v>9</v>
      </c>
      <c r="D3577" s="2" t="s">
        <v>10</v>
      </c>
      <c r="E3577" s="2" t="str">
        <f>HYPERLINK("http://ts.21cn.com/tousu/show/id/1334279","http://ts.21cn.com/tousu/show/id/1334279")</f>
        <v>http://ts.21cn.com/tousu/show/id/1334279</v>
      </c>
      <c r="F3577" s="2" t="s">
        <v>11</v>
      </c>
      <c r="G3577" s="2" t="s">
        <v>37107</v>
      </c>
      <c r="H3577" s="2" t="s">
        <v>37108</v>
      </c>
    </row>
    <row r="3578" spans="1:8" ht="25.05" customHeight="1" x14ac:dyDescent="0.25">
      <c r="A3578" s="2" t="s">
        <v>8</v>
      </c>
      <c r="B3578" s="2" t="str">
        <f>HYPERLINK("http://ts.21cn.com/tousu/show/id/1334238","高利贷三天贷")</f>
        <v>高利贷三天贷</v>
      </c>
      <c r="C3578" s="2" t="s">
        <v>9</v>
      </c>
      <c r="D3578" s="2" t="s">
        <v>10</v>
      </c>
      <c r="E3578" s="2" t="str">
        <f>HYPERLINK("http://ts.21cn.com/tousu/show/id/1334238","http://ts.21cn.com/tousu/show/id/1334238")</f>
        <v>http://ts.21cn.com/tousu/show/id/1334238</v>
      </c>
      <c r="F3578" s="2" t="s">
        <v>11</v>
      </c>
      <c r="G3578" s="2" t="s">
        <v>37105</v>
      </c>
      <c r="H3578" s="2" t="s">
        <v>37106</v>
      </c>
    </row>
    <row r="3579" spans="1:8" ht="25.05" customHeight="1" x14ac:dyDescent="0.25">
      <c r="A3579" s="2" t="s">
        <v>8</v>
      </c>
      <c r="B3579" s="2" t="str">
        <f>HYPERLINK("http://ts.21cn.com/tousu/show/id/1334283","车贷不想用了不退GPS钱")</f>
        <v>车贷不想用了不退GPS钱</v>
      </c>
      <c r="C3579" s="2" t="s">
        <v>9</v>
      </c>
      <c r="D3579" s="2" t="s">
        <v>10</v>
      </c>
      <c r="E3579" s="2" t="str">
        <f>HYPERLINK("http://ts.21cn.com/tousu/show/id/1334283","http://ts.21cn.com/tousu/show/id/1334283")</f>
        <v>http://ts.21cn.com/tousu/show/id/1334283</v>
      </c>
      <c r="F3579" s="2" t="s">
        <v>11</v>
      </c>
      <c r="G3579" s="2" t="s">
        <v>37103</v>
      </c>
      <c r="H3579" s="2" t="s">
        <v>37104</v>
      </c>
    </row>
    <row r="3580" spans="1:8" ht="25.05" customHeight="1" x14ac:dyDescent="0.25">
      <c r="A3580" s="2" t="s">
        <v>8</v>
      </c>
      <c r="B3580" s="2" t="str">
        <f>HYPERLINK("http://ts.21cn.com/tousu/show/id/1334278","绿森商城")</f>
        <v>绿森商城</v>
      </c>
      <c r="C3580" s="2" t="s">
        <v>9</v>
      </c>
      <c r="D3580" s="2" t="s">
        <v>10</v>
      </c>
      <c r="E3580" s="2" t="str">
        <f>HYPERLINK("http://ts.21cn.com/tousu/show/id/1334278","http://ts.21cn.com/tousu/show/id/1334278")</f>
        <v>http://ts.21cn.com/tousu/show/id/1334278</v>
      </c>
      <c r="F3580" s="2" t="s">
        <v>11</v>
      </c>
      <c r="G3580" s="2" t="s">
        <v>37101</v>
      </c>
      <c r="H3580" s="2" t="s">
        <v>37102</v>
      </c>
    </row>
    <row r="3581" spans="1:8" ht="25.05" customHeight="1" x14ac:dyDescent="0.25">
      <c r="A3581" s="2" t="s">
        <v>8</v>
      </c>
      <c r="B3581" s="2" t="str">
        <f>HYPERLINK("http://ts.21cn.com/tousu/show/id/1334285","暴力恐吓催收")</f>
        <v>暴力恐吓催收</v>
      </c>
      <c r="C3581" s="2" t="s">
        <v>9</v>
      </c>
      <c r="D3581" s="2" t="s">
        <v>10</v>
      </c>
      <c r="E3581" s="2" t="str">
        <f>HYPERLINK("http://ts.21cn.com/tousu/show/id/1334285","http://ts.21cn.com/tousu/show/id/1334285")</f>
        <v>http://ts.21cn.com/tousu/show/id/1334285</v>
      </c>
      <c r="F3581" s="2" t="s">
        <v>11</v>
      </c>
      <c r="G3581" s="2" t="s">
        <v>37099</v>
      </c>
      <c r="H3581" s="2" t="s">
        <v>37100</v>
      </c>
    </row>
    <row r="3582" spans="1:8" ht="25.05" customHeight="1" x14ac:dyDescent="0.25">
      <c r="A3582" s="2" t="s">
        <v>8</v>
      </c>
      <c r="B3582" s="2" t="str">
        <f>HYPERLINK("http://ts.21cn.com/tousu/show/id/1334286","来分期无通知私自多次扣款")</f>
        <v>来分期无通知私自多次扣款</v>
      </c>
      <c r="C3582" s="2" t="s">
        <v>9</v>
      </c>
      <c r="D3582" s="2" t="s">
        <v>10</v>
      </c>
      <c r="E3582" s="2" t="str">
        <f>HYPERLINK("http://ts.21cn.com/tousu/show/id/1334286","http://ts.21cn.com/tousu/show/id/1334286")</f>
        <v>http://ts.21cn.com/tousu/show/id/1334286</v>
      </c>
      <c r="F3582" s="2" t="s">
        <v>11</v>
      </c>
      <c r="G3582" s="2" t="s">
        <v>37097</v>
      </c>
      <c r="H3582" s="2" t="s">
        <v>37098</v>
      </c>
    </row>
    <row r="3583" spans="1:8" ht="25.05" customHeight="1" x14ac:dyDescent="0.25">
      <c r="A3583" s="2" t="s">
        <v>8</v>
      </c>
      <c r="B3583" s="2" t="str">
        <f>HYPERLINK("http://ts.21cn.com/tousu/show/id/1334290","联通客服辱骂本人")</f>
        <v>联通客服辱骂本人</v>
      </c>
      <c r="C3583" s="2" t="s">
        <v>9</v>
      </c>
      <c r="D3583" s="2" t="s">
        <v>10</v>
      </c>
      <c r="E3583" s="2" t="str">
        <f>HYPERLINK("http://ts.21cn.com/tousu/show/id/1334290","http://ts.21cn.com/tousu/show/id/1334290")</f>
        <v>http://ts.21cn.com/tousu/show/id/1334290</v>
      </c>
      <c r="F3583" s="2" t="s">
        <v>11</v>
      </c>
      <c r="G3583" s="2" t="s">
        <v>37095</v>
      </c>
      <c r="H3583" s="2" t="s">
        <v>37096</v>
      </c>
    </row>
    <row r="3584" spans="1:8" ht="25.05" customHeight="1" x14ac:dyDescent="0.25">
      <c r="A3584" s="2" t="s">
        <v>8</v>
      </c>
      <c r="B3584" s="2" t="str">
        <f>HYPERLINK("http://ts.21cn.com/tousu/show/id/1334288","高利贷")</f>
        <v>高利贷</v>
      </c>
      <c r="C3584" s="2" t="s">
        <v>9</v>
      </c>
      <c r="D3584" s="2" t="s">
        <v>10</v>
      </c>
      <c r="E3584" s="2" t="str">
        <f>HYPERLINK("http://ts.21cn.com/tousu/show/id/1334288","http://ts.21cn.com/tousu/show/id/1334288")</f>
        <v>http://ts.21cn.com/tousu/show/id/1334288</v>
      </c>
      <c r="F3584" s="2" t="s">
        <v>11</v>
      </c>
      <c r="G3584" s="2" t="s">
        <v>37093</v>
      </c>
      <c r="H3584" s="2" t="s">
        <v>37094</v>
      </c>
    </row>
    <row r="3585" spans="1:8" ht="25.05" customHeight="1" x14ac:dyDescent="0.25">
      <c r="A3585" s="2" t="s">
        <v>8</v>
      </c>
      <c r="B3585" s="2" t="str">
        <f>HYPERLINK("http://ts.21cn.com/tousu/show/id/1334289","骚扰我")</f>
        <v>骚扰我</v>
      </c>
      <c r="C3585" s="2" t="s">
        <v>9</v>
      </c>
      <c r="D3585" s="2" t="s">
        <v>10</v>
      </c>
      <c r="E3585" s="2" t="str">
        <f>HYPERLINK("http://ts.21cn.com/tousu/show/id/1334289","http://ts.21cn.com/tousu/show/id/1334289")</f>
        <v>http://ts.21cn.com/tousu/show/id/1334289</v>
      </c>
      <c r="F3585" s="2" t="s">
        <v>11</v>
      </c>
      <c r="G3585" s="2" t="s">
        <v>37091</v>
      </c>
      <c r="H3585" s="2" t="s">
        <v>37092</v>
      </c>
    </row>
    <row r="3586" spans="1:8" ht="25.05" customHeight="1" x14ac:dyDescent="0.25">
      <c r="A3586" s="2" t="s">
        <v>8</v>
      </c>
      <c r="B3586" s="2" t="str">
        <f>HYPERLINK("http://ts.21cn.com/tousu/show/id/1334292","高利贷三天贷砍头息")</f>
        <v>高利贷三天贷砍头息</v>
      </c>
      <c r="C3586" s="2" t="s">
        <v>9</v>
      </c>
      <c r="D3586" s="2" t="s">
        <v>10</v>
      </c>
      <c r="E3586" s="2" t="str">
        <f>HYPERLINK("http://ts.21cn.com/tousu/show/id/1334292","http://ts.21cn.com/tousu/show/id/1334292")</f>
        <v>http://ts.21cn.com/tousu/show/id/1334292</v>
      </c>
      <c r="F3586" s="2" t="s">
        <v>11</v>
      </c>
      <c r="G3586" s="2" t="s">
        <v>37089</v>
      </c>
      <c r="H3586" s="2" t="s">
        <v>37090</v>
      </c>
    </row>
    <row r="3587" spans="1:8" ht="25.05" customHeight="1" x14ac:dyDescent="0.25">
      <c r="A3587" s="2" t="s">
        <v>8</v>
      </c>
      <c r="B3587" s="2" t="str">
        <f>HYPERLINK("http://ts.21cn.com/tousu/show/id/1334293","用钱宝催收威胁恐吓")</f>
        <v>用钱宝催收威胁恐吓</v>
      </c>
      <c r="C3587" s="2" t="s">
        <v>9</v>
      </c>
      <c r="D3587" s="2" t="s">
        <v>10</v>
      </c>
      <c r="E3587" s="2" t="str">
        <f>HYPERLINK("http://ts.21cn.com/tousu/show/id/1334293","http://ts.21cn.com/tousu/show/id/1334293")</f>
        <v>http://ts.21cn.com/tousu/show/id/1334293</v>
      </c>
      <c r="F3587" s="2" t="s">
        <v>11</v>
      </c>
      <c r="G3587" s="2" t="s">
        <v>37087</v>
      </c>
      <c r="H3587" s="2" t="s">
        <v>37088</v>
      </c>
    </row>
    <row r="3588" spans="1:8" ht="25.05" customHeight="1" x14ac:dyDescent="0.25">
      <c r="A3588" s="2" t="s">
        <v>8</v>
      </c>
      <c r="B3588" s="2" t="str">
        <f>HYPERLINK("http://ts.21cn.com/tousu/show/id/1334294","智行APP不给推送飞机票电子发票")</f>
        <v>智行APP不给推送飞机票电子发票</v>
      </c>
      <c r="C3588" s="2" t="s">
        <v>34</v>
      </c>
      <c r="D3588" s="2" t="s">
        <v>10</v>
      </c>
      <c r="E3588" s="2" t="str">
        <f>HYPERLINK("http://ts.21cn.com/tousu/show/id/1334294","http://ts.21cn.com/tousu/show/id/1334294")</f>
        <v>http://ts.21cn.com/tousu/show/id/1334294</v>
      </c>
      <c r="F3588" s="2" t="s">
        <v>11</v>
      </c>
      <c r="G3588" s="2" t="s">
        <v>37085</v>
      </c>
      <c r="H3588" s="2" t="s">
        <v>37086</v>
      </c>
    </row>
    <row r="3589" spans="1:8" ht="25.05" customHeight="1" x14ac:dyDescent="0.25">
      <c r="A3589" s="2" t="s">
        <v>8</v>
      </c>
      <c r="B3589" s="2" t="str">
        <f>HYPERLINK("http://ts.21cn.com/tousu/show/id/1334295","你我贷高额利息")</f>
        <v>你我贷高额利息</v>
      </c>
      <c r="C3589" s="2" t="s">
        <v>9</v>
      </c>
      <c r="D3589" s="2" t="s">
        <v>10</v>
      </c>
      <c r="E3589" s="2" t="str">
        <f>HYPERLINK("http://ts.21cn.com/tousu/show/id/1334295","http://ts.21cn.com/tousu/show/id/1334295")</f>
        <v>http://ts.21cn.com/tousu/show/id/1334295</v>
      </c>
      <c r="F3589" s="2" t="s">
        <v>11</v>
      </c>
      <c r="G3589" s="2" t="s">
        <v>37083</v>
      </c>
      <c r="H3589" s="2" t="s">
        <v>37084</v>
      </c>
    </row>
    <row r="3590" spans="1:8" ht="25.05" customHeight="1" x14ac:dyDescent="0.25">
      <c r="A3590" s="2" t="s">
        <v>8</v>
      </c>
      <c r="B3590" s="2" t="str">
        <f>HYPERLINK("http://ts.21cn.com/tousu/show/id/1334298","滴滴平台不核实情况扣服务分与成交量！")</f>
        <v>滴滴平台不核实情况扣服务分与成交量！</v>
      </c>
      <c r="C3590" s="2" t="s">
        <v>9</v>
      </c>
      <c r="D3590" s="2" t="s">
        <v>10</v>
      </c>
      <c r="E3590" s="2" t="str">
        <f>HYPERLINK("http://ts.21cn.com/tousu/show/id/1334298","http://ts.21cn.com/tousu/show/id/1334298")</f>
        <v>http://ts.21cn.com/tousu/show/id/1334298</v>
      </c>
      <c r="F3590" s="2" t="s">
        <v>11</v>
      </c>
      <c r="G3590" s="2" t="s">
        <v>37079</v>
      </c>
      <c r="H3590" s="2" t="s">
        <v>37080</v>
      </c>
    </row>
    <row r="3591" spans="1:8" ht="25.05" customHeight="1" x14ac:dyDescent="0.25">
      <c r="A3591" s="2" t="s">
        <v>8</v>
      </c>
      <c r="B3591" s="2" t="str">
        <f>HYPERLINK("http://ts.21cn.com/tousu/show/id/1334297","小通商城无故扣款")</f>
        <v>小通商城无故扣款</v>
      </c>
      <c r="C3591" s="2" t="s">
        <v>34</v>
      </c>
      <c r="D3591" s="2" t="s">
        <v>10</v>
      </c>
      <c r="E3591" s="2" t="str">
        <f>HYPERLINK("http://ts.21cn.com/tousu/show/id/1334297","http://ts.21cn.com/tousu/show/id/1334297")</f>
        <v>http://ts.21cn.com/tousu/show/id/1334297</v>
      </c>
      <c r="F3591" s="2" t="s">
        <v>11</v>
      </c>
      <c r="G3591" s="2" t="s">
        <v>37079</v>
      </c>
      <c r="H3591" s="2" t="s">
        <v>37081</v>
      </c>
    </row>
    <row r="3592" spans="1:8" ht="25.05" customHeight="1" x14ac:dyDescent="0.25">
      <c r="A3592" s="2" t="s">
        <v>8</v>
      </c>
      <c r="B3592" s="2" t="str">
        <f>HYPERLINK("http://ts.21cn.com/tousu/show/id/1334296","退款问题要求退全款")</f>
        <v>退款问题要求退全款</v>
      </c>
      <c r="C3592" s="2" t="s">
        <v>9</v>
      </c>
      <c r="D3592" s="2" t="s">
        <v>10</v>
      </c>
      <c r="E3592" s="2" t="str">
        <f>HYPERLINK("http://ts.21cn.com/tousu/show/id/1334296","http://ts.21cn.com/tousu/show/id/1334296")</f>
        <v>http://ts.21cn.com/tousu/show/id/1334296</v>
      </c>
      <c r="F3592" s="2" t="s">
        <v>11</v>
      </c>
      <c r="G3592" s="2" t="s">
        <v>37079</v>
      </c>
      <c r="H3592" s="2" t="s">
        <v>37082</v>
      </c>
    </row>
    <row r="3593" spans="1:8" ht="25.05" customHeight="1" x14ac:dyDescent="0.25">
      <c r="A3593" s="2" t="s">
        <v>8</v>
      </c>
      <c r="B3593" s="2" t="str">
        <f>HYPERLINK("http://ts.21cn.com/tousu/show/id/1334280","喵下贷违法高利贷、套路贷。汇潮支付为其提供支付通道")</f>
        <v>喵下贷违法高利贷、套路贷。汇潮支付为其提供支付通道</v>
      </c>
      <c r="C3593" s="2" t="s">
        <v>9</v>
      </c>
      <c r="D3593" s="2" t="s">
        <v>10</v>
      </c>
      <c r="E3593" s="2" t="str">
        <f>HYPERLINK("http://ts.21cn.com/tousu/show/id/1334280","http://ts.21cn.com/tousu/show/id/1334280")</f>
        <v>http://ts.21cn.com/tousu/show/id/1334280</v>
      </c>
      <c r="F3593" s="2" t="s">
        <v>11</v>
      </c>
      <c r="G3593" s="2" t="s">
        <v>37077</v>
      </c>
      <c r="H3593" s="2" t="s">
        <v>37078</v>
      </c>
    </row>
    <row r="3594" spans="1:8" ht="25.05" customHeight="1" x14ac:dyDescent="0.25">
      <c r="A3594" s="2" t="s">
        <v>8</v>
      </c>
      <c r="B3594" s="2" t="str">
        <f>HYPERLINK("http://ts.21cn.com/tousu/show/id/1334299","拜米租车乱扣费")</f>
        <v>拜米租车乱扣费</v>
      </c>
      <c r="C3594" s="2" t="s">
        <v>9</v>
      </c>
      <c r="D3594" s="2" t="s">
        <v>10</v>
      </c>
      <c r="E3594" s="2" t="str">
        <f>HYPERLINK("http://ts.21cn.com/tousu/show/id/1334299","http://ts.21cn.com/tousu/show/id/1334299")</f>
        <v>http://ts.21cn.com/tousu/show/id/1334299</v>
      </c>
      <c r="F3594" s="2" t="s">
        <v>11</v>
      </c>
      <c r="G3594" s="2" t="s">
        <v>37075</v>
      </c>
      <c r="H3594" s="2" t="s">
        <v>37076</v>
      </c>
    </row>
    <row r="3595" spans="1:8" ht="25.05" customHeight="1" x14ac:dyDescent="0.25">
      <c r="A3595" s="2" t="s">
        <v>8</v>
      </c>
      <c r="B3595" s="2" t="str">
        <f>HYPERLINK("http://ts.21cn.com/tousu/show/id/1334300","现金巴士催收，")</f>
        <v>现金巴士催收，</v>
      </c>
      <c r="C3595" s="2" t="s">
        <v>9</v>
      </c>
      <c r="D3595" s="2" t="s">
        <v>10</v>
      </c>
      <c r="E3595" s="2" t="str">
        <f>HYPERLINK("http://ts.21cn.com/tousu/show/id/1334300","http://ts.21cn.com/tousu/show/id/1334300")</f>
        <v>http://ts.21cn.com/tousu/show/id/1334300</v>
      </c>
      <c r="F3595" s="2" t="s">
        <v>11</v>
      </c>
      <c r="G3595" s="2" t="s">
        <v>37073</v>
      </c>
      <c r="H3595" s="2" t="s">
        <v>37074</v>
      </c>
    </row>
    <row r="3596" spans="1:8" ht="25.05" customHeight="1" x14ac:dyDescent="0.25">
      <c r="A3596" s="2" t="s">
        <v>8</v>
      </c>
      <c r="B3596" s="2" t="str">
        <f>HYPERLINK("http://ts.21cn.com/tousu/show/id/1334291","钱站APP乱立阴阳合同")</f>
        <v>钱站APP乱立阴阳合同</v>
      </c>
      <c r="C3596" s="2" t="s">
        <v>9</v>
      </c>
      <c r="D3596" s="2" t="s">
        <v>10</v>
      </c>
      <c r="E3596" s="2" t="str">
        <f>HYPERLINK("http://ts.21cn.com/tousu/show/id/1334291","http://ts.21cn.com/tousu/show/id/1334291")</f>
        <v>http://ts.21cn.com/tousu/show/id/1334291</v>
      </c>
      <c r="F3596" s="2" t="s">
        <v>11</v>
      </c>
      <c r="G3596" s="2" t="s">
        <v>37071</v>
      </c>
      <c r="H3596" s="2" t="s">
        <v>37072</v>
      </c>
    </row>
    <row r="3597" spans="1:8" ht="25.05" customHeight="1" x14ac:dyDescent="0.25">
      <c r="A3597" s="2" t="s">
        <v>8</v>
      </c>
      <c r="B3597" s="2" t="str">
        <f>HYPERLINK("http://ts.21cn.com/tousu/show/id/1334301","闪电借款收取前期费用和保证金共4400块钱")</f>
        <v>闪电借款收取前期费用和保证金共4400块钱</v>
      </c>
      <c r="C3597" s="2" t="s">
        <v>34</v>
      </c>
      <c r="D3597" s="2" t="s">
        <v>10</v>
      </c>
      <c r="E3597" s="2" t="str">
        <f>HYPERLINK("http://ts.21cn.com/tousu/show/id/1334301","http://ts.21cn.com/tousu/show/id/1334301")</f>
        <v>http://ts.21cn.com/tousu/show/id/1334301</v>
      </c>
      <c r="F3597" s="2" t="s">
        <v>11</v>
      </c>
      <c r="G3597" s="2" t="s">
        <v>37069</v>
      </c>
      <c r="H3597" s="2" t="s">
        <v>37070</v>
      </c>
    </row>
    <row r="3598" spans="1:8" ht="25.05" customHeight="1" x14ac:dyDescent="0.25">
      <c r="A3598" s="2" t="s">
        <v>8</v>
      </c>
      <c r="B3598" s="2" t="str">
        <f>HYPERLINK("http://ts.21cn.com/tousu/show/id/1334303","51人品贷暴力催收威胁")</f>
        <v>51人品贷暴力催收威胁</v>
      </c>
      <c r="C3598" s="2" t="s">
        <v>9</v>
      </c>
      <c r="D3598" s="2" t="s">
        <v>10</v>
      </c>
      <c r="E3598" s="2" t="str">
        <f>HYPERLINK("http://ts.21cn.com/tousu/show/id/1334303","http://ts.21cn.com/tousu/show/id/1334303")</f>
        <v>http://ts.21cn.com/tousu/show/id/1334303</v>
      </c>
      <c r="F3598" s="2" t="s">
        <v>11</v>
      </c>
      <c r="G3598" s="2" t="s">
        <v>37067</v>
      </c>
      <c r="H3598" s="2" t="s">
        <v>37068</v>
      </c>
    </row>
    <row r="3599" spans="1:8" ht="25.05" customHeight="1" x14ac:dyDescent="0.25">
      <c r="A3599" s="2" t="s">
        <v>8</v>
      </c>
      <c r="B3599" s="2" t="str">
        <f>HYPERLINK("http://ts.21cn.com/tousu/show/id/1334305","退服务费")</f>
        <v>退服务费</v>
      </c>
      <c r="C3599" s="2" t="s">
        <v>9</v>
      </c>
      <c r="D3599" s="2" t="s">
        <v>10</v>
      </c>
      <c r="E3599" s="2" t="str">
        <f>HYPERLINK("http://ts.21cn.com/tousu/show/id/1334305","http://ts.21cn.com/tousu/show/id/1334305")</f>
        <v>http://ts.21cn.com/tousu/show/id/1334305</v>
      </c>
      <c r="F3599" s="2" t="s">
        <v>11</v>
      </c>
      <c r="G3599" s="2" t="s">
        <v>37064</v>
      </c>
      <c r="H3599" s="2" t="s">
        <v>37065</v>
      </c>
    </row>
    <row r="3600" spans="1:8" ht="25.05" customHeight="1" x14ac:dyDescent="0.25">
      <c r="A3600" s="2" t="s">
        <v>8</v>
      </c>
      <c r="B3600" s="2" t="str">
        <f>HYPERLINK("http://ts.21cn.com/tousu/show/id/1334304","钱站网贷通过不放款，霸王条例不让取消！")</f>
        <v>钱站网贷通过不放款，霸王条例不让取消！</v>
      </c>
      <c r="C3600" s="2" t="s">
        <v>9</v>
      </c>
      <c r="D3600" s="2" t="s">
        <v>10</v>
      </c>
      <c r="E3600" s="2" t="str">
        <f>HYPERLINK("http://ts.21cn.com/tousu/show/id/1334304","http://ts.21cn.com/tousu/show/id/1334304")</f>
        <v>http://ts.21cn.com/tousu/show/id/1334304</v>
      </c>
      <c r="F3600" s="2" t="s">
        <v>11</v>
      </c>
      <c r="G3600" s="2" t="s">
        <v>37064</v>
      </c>
      <c r="H3600" s="2" t="s">
        <v>37066</v>
      </c>
    </row>
    <row r="3601" spans="1:8" ht="25.05" customHeight="1" x14ac:dyDescent="0.25">
      <c r="A3601" s="2" t="s">
        <v>8</v>
      </c>
      <c r="B3601" s="2" t="str">
        <f>HYPERLINK("http://ts.21cn.com/tousu/show/id/1334307","拉卡拉惠码卡钱不给")</f>
        <v>拉卡拉惠码卡钱不给</v>
      </c>
      <c r="C3601" s="2" t="s">
        <v>34</v>
      </c>
      <c r="D3601" s="2" t="s">
        <v>10</v>
      </c>
      <c r="E3601" s="2" t="str">
        <f>HYPERLINK("http://ts.21cn.com/tousu/show/id/1334307","http://ts.21cn.com/tousu/show/id/1334307")</f>
        <v>http://ts.21cn.com/tousu/show/id/1334307</v>
      </c>
      <c r="F3601" s="2" t="s">
        <v>11</v>
      </c>
      <c r="G3601" s="2" t="s">
        <v>37062</v>
      </c>
      <c r="H3601" s="2" t="s">
        <v>37063</v>
      </c>
    </row>
    <row r="3602" spans="1:8" ht="25.05" customHeight="1" x14ac:dyDescent="0.25">
      <c r="A3602" s="2" t="s">
        <v>8</v>
      </c>
      <c r="B3602" s="2" t="str">
        <f>HYPERLINK("http://ts.21cn.com/tousu/show/id/1334308","高利贷砍头息威胁不处理就打通讯录")</f>
        <v>高利贷砍头息威胁不处理就打通讯录</v>
      </c>
      <c r="C3602" s="2" t="s">
        <v>9</v>
      </c>
      <c r="D3602" s="2" t="s">
        <v>10</v>
      </c>
      <c r="E3602" s="2" t="str">
        <f>HYPERLINK("http://ts.21cn.com/tousu/show/id/1334308","http://ts.21cn.com/tousu/show/id/1334308")</f>
        <v>http://ts.21cn.com/tousu/show/id/1334308</v>
      </c>
      <c r="F3602" s="2" t="s">
        <v>11</v>
      </c>
      <c r="G3602" s="2" t="s">
        <v>37060</v>
      </c>
      <c r="H3602" s="2" t="s">
        <v>37061</v>
      </c>
    </row>
    <row r="3603" spans="1:8" ht="25.05" customHeight="1" x14ac:dyDescent="0.25">
      <c r="A3603" s="2" t="s">
        <v>8</v>
      </c>
      <c r="B3603" s="2" t="str">
        <f>HYPERLINK("http://ts.21cn.com/tousu/show/id/1334309","该公司旗下处处app有强制消费行为")</f>
        <v>该公司旗下处处app有强制消费行为</v>
      </c>
      <c r="C3603" s="2" t="s">
        <v>9</v>
      </c>
      <c r="D3603" s="2" t="s">
        <v>10</v>
      </c>
      <c r="E3603" s="2" t="str">
        <f>HYPERLINK("http://ts.21cn.com/tousu/show/id/1334309","http://ts.21cn.com/tousu/show/id/1334309")</f>
        <v>http://ts.21cn.com/tousu/show/id/1334309</v>
      </c>
      <c r="F3603" s="2" t="s">
        <v>11</v>
      </c>
      <c r="G3603" s="2" t="s">
        <v>37058</v>
      </c>
      <c r="H3603" s="2" t="s">
        <v>37059</v>
      </c>
    </row>
    <row r="3604" spans="1:8" ht="25.05" customHeight="1" x14ac:dyDescent="0.25">
      <c r="A3604" s="2" t="s">
        <v>8</v>
      </c>
      <c r="B3604" s="2" t="str">
        <f>HYPERLINK("http://ts.21cn.com/tousu/show/id/1334306","信而富1500下款1100扣费388不到账")</f>
        <v>信而富1500下款1100扣费388不到账</v>
      </c>
      <c r="C3604" s="2" t="s">
        <v>34</v>
      </c>
      <c r="D3604" s="2" t="s">
        <v>10</v>
      </c>
      <c r="E3604" s="2" t="str">
        <f>HYPERLINK("http://ts.21cn.com/tousu/show/id/1334306","http://ts.21cn.com/tousu/show/id/1334306")</f>
        <v>http://ts.21cn.com/tousu/show/id/1334306</v>
      </c>
      <c r="F3604" s="2" t="s">
        <v>11</v>
      </c>
      <c r="G3604" s="2" t="s">
        <v>37056</v>
      </c>
      <c r="H3604" s="2" t="s">
        <v>37057</v>
      </c>
    </row>
    <row r="3605" spans="1:8" ht="25.05" customHeight="1" x14ac:dyDescent="0.25">
      <c r="A3605" s="2" t="s">
        <v>8</v>
      </c>
      <c r="B3605" s="2" t="str">
        <f>HYPERLINK("http://ts.21cn.com/tousu/show/id/1334310","分期乐一直没有调整还款导致我姐吃安眠药了")</f>
        <v>分期乐一直没有调整还款导致我姐吃安眠药了</v>
      </c>
      <c r="C3605" s="2" t="s">
        <v>9</v>
      </c>
      <c r="D3605" s="2" t="s">
        <v>10</v>
      </c>
      <c r="E3605" s="2" t="str">
        <f>HYPERLINK("http://ts.21cn.com/tousu/show/id/1334310","http://ts.21cn.com/tousu/show/id/1334310")</f>
        <v>http://ts.21cn.com/tousu/show/id/1334310</v>
      </c>
      <c r="F3605" s="2" t="s">
        <v>11</v>
      </c>
      <c r="G3605" s="2" t="s">
        <v>37054</v>
      </c>
      <c r="H3605" s="2" t="s">
        <v>37055</v>
      </c>
    </row>
    <row r="3606" spans="1:8" ht="25.05" customHeight="1" x14ac:dyDescent="0.25">
      <c r="A3606" s="2" t="s">
        <v>8</v>
      </c>
      <c r="B3606" s="2" t="str">
        <f>HYPERLINK("http://ts.21cn.com/tousu/show/id/1334312","泄密个人资料")</f>
        <v>泄密个人资料</v>
      </c>
      <c r="C3606" s="2" t="s">
        <v>34</v>
      </c>
      <c r="D3606" s="2" t="s">
        <v>10</v>
      </c>
      <c r="E3606" s="2" t="str">
        <f>HYPERLINK("http://ts.21cn.com/tousu/show/id/1334312","http://ts.21cn.com/tousu/show/id/1334312")</f>
        <v>http://ts.21cn.com/tousu/show/id/1334312</v>
      </c>
      <c r="F3606" s="2" t="s">
        <v>11</v>
      </c>
      <c r="G3606" s="2" t="s">
        <v>37052</v>
      </c>
      <c r="H3606" s="2" t="s">
        <v>37053</v>
      </c>
    </row>
    <row r="3607" spans="1:8" ht="25.05" customHeight="1" x14ac:dyDescent="0.25">
      <c r="A3607" s="2" t="s">
        <v>8</v>
      </c>
      <c r="B3607" s="2" t="str">
        <f>HYPERLINK("http://ts.21cn.com/tousu/show/id/1334313","自动不扣款，让我还支付宝，结果逾期了还让我承担这费用")</f>
        <v>自动不扣款，让我还支付宝，结果逾期了还让我承担这费用</v>
      </c>
      <c r="C3607" s="2" t="s">
        <v>9</v>
      </c>
      <c r="D3607" s="2" t="s">
        <v>10</v>
      </c>
      <c r="E3607" s="2" t="str">
        <f>HYPERLINK("http://ts.21cn.com/tousu/show/id/1334313","http://ts.21cn.com/tousu/show/id/1334313")</f>
        <v>http://ts.21cn.com/tousu/show/id/1334313</v>
      </c>
      <c r="F3607" s="2" t="s">
        <v>11</v>
      </c>
      <c r="G3607" s="2" t="s">
        <v>37050</v>
      </c>
      <c r="H3607" s="2" t="s">
        <v>37051</v>
      </c>
    </row>
    <row r="3608" spans="1:8" ht="25.05" customHeight="1" x14ac:dyDescent="0.25">
      <c r="A3608" s="2" t="s">
        <v>8</v>
      </c>
      <c r="B3608" s="2" t="str">
        <f>HYPERLINK("http://ts.21cn.com/tousu/show/id/1334282","来花花，威力贷等高利贷，714高炮3天时间")</f>
        <v>来花花，威力贷等高利贷，714高炮3天时间</v>
      </c>
      <c r="C3608" s="2" t="s">
        <v>9</v>
      </c>
      <c r="D3608" s="2" t="s">
        <v>10</v>
      </c>
      <c r="E3608" s="2" t="str">
        <f>HYPERLINK("http://ts.21cn.com/tousu/show/id/1334282","http://ts.21cn.com/tousu/show/id/1334282")</f>
        <v>http://ts.21cn.com/tousu/show/id/1334282</v>
      </c>
      <c r="F3608" s="2" t="s">
        <v>11</v>
      </c>
      <c r="G3608" s="2" t="s">
        <v>37048</v>
      </c>
      <c r="H3608" s="2" t="s">
        <v>37049</v>
      </c>
    </row>
    <row r="3609" spans="1:8" ht="25.05" customHeight="1" x14ac:dyDescent="0.25">
      <c r="A3609" s="2" t="s">
        <v>8</v>
      </c>
      <c r="B3609" s="2" t="str">
        <f>HYPERLINK("http://ts.21cn.com/tousu/show/id/1334314","有用分期存在高息，无存管，不合规")</f>
        <v>有用分期存在高息，无存管，不合规</v>
      </c>
      <c r="C3609" s="2" t="s">
        <v>9</v>
      </c>
      <c r="D3609" s="2" t="s">
        <v>10</v>
      </c>
      <c r="E3609" s="2" t="str">
        <f>HYPERLINK("http://ts.21cn.com/tousu/show/id/1334314","http://ts.21cn.com/tousu/show/id/1334314")</f>
        <v>http://ts.21cn.com/tousu/show/id/1334314</v>
      </c>
      <c r="F3609" s="2" t="s">
        <v>11</v>
      </c>
      <c r="G3609" s="2" t="s">
        <v>37046</v>
      </c>
      <c r="H3609" s="2" t="s">
        <v>37047</v>
      </c>
    </row>
    <row r="3610" spans="1:8" ht="25.05" customHeight="1" x14ac:dyDescent="0.25">
      <c r="A3610" s="2" t="s">
        <v>8</v>
      </c>
      <c r="B3610" s="2" t="str">
        <f>HYPERLINK("http://ts.21cn.com/tousu/show/id/1334315","乱扣款")</f>
        <v>乱扣款</v>
      </c>
      <c r="C3610" s="2" t="s">
        <v>9</v>
      </c>
      <c r="D3610" s="2" t="s">
        <v>10</v>
      </c>
      <c r="E3610" s="2" t="str">
        <f>HYPERLINK("http://ts.21cn.com/tousu/show/id/1334315","http://ts.21cn.com/tousu/show/id/1334315")</f>
        <v>http://ts.21cn.com/tousu/show/id/1334315</v>
      </c>
      <c r="F3610" s="2" t="s">
        <v>11</v>
      </c>
      <c r="G3610" s="2" t="s">
        <v>37044</v>
      </c>
      <c r="H3610" s="2" t="s">
        <v>37045</v>
      </c>
    </row>
    <row r="3611" spans="1:8" ht="25.05" customHeight="1" x14ac:dyDescent="0.25">
      <c r="A3611" s="2" t="s">
        <v>8</v>
      </c>
      <c r="B3611" s="2" t="str">
        <f>HYPERLINK("http://ts.21cn.com/tousu/show/id/1334316","网络赌博不给提现")</f>
        <v>网络赌博不给提现</v>
      </c>
      <c r="C3611" s="2" t="s">
        <v>9</v>
      </c>
      <c r="D3611" s="2" t="s">
        <v>10</v>
      </c>
      <c r="E3611" s="2" t="str">
        <f>HYPERLINK("http://ts.21cn.com/tousu/show/id/1334316","http://ts.21cn.com/tousu/show/id/1334316")</f>
        <v>http://ts.21cn.com/tousu/show/id/1334316</v>
      </c>
      <c r="F3611" s="2" t="s">
        <v>11</v>
      </c>
      <c r="G3611" s="2" t="s">
        <v>37042</v>
      </c>
      <c r="H3611" s="2" t="s">
        <v>37043</v>
      </c>
    </row>
    <row r="3612" spans="1:8" ht="25.05" customHeight="1" x14ac:dyDescent="0.25">
      <c r="A3612" s="2" t="s">
        <v>8</v>
      </c>
      <c r="B3612" s="2" t="str">
        <f>HYPERLINK("http://ts.21cn.com/tousu/show/id/1334318","宝付支付违规提供支付通道")</f>
        <v>宝付支付违规提供支付通道</v>
      </c>
      <c r="C3612" s="2" t="s">
        <v>9</v>
      </c>
      <c r="D3612" s="2" t="s">
        <v>10</v>
      </c>
      <c r="E3612" s="2" t="str">
        <f>HYPERLINK("http://ts.21cn.com/tousu/show/id/1334318","http://ts.21cn.com/tousu/show/id/1334318")</f>
        <v>http://ts.21cn.com/tousu/show/id/1334318</v>
      </c>
      <c r="F3612" s="2" t="s">
        <v>11</v>
      </c>
      <c r="G3612" s="2" t="s">
        <v>37040</v>
      </c>
      <c r="H3612" s="2" t="s">
        <v>37041</v>
      </c>
    </row>
    <row r="3613" spans="1:8" ht="25.05" customHeight="1" x14ac:dyDescent="0.25">
      <c r="A3613" s="2" t="s">
        <v>8</v>
      </c>
      <c r="B3613" s="2" t="str">
        <f>HYPERLINK("http://ts.21cn.com/tousu/show/id/1334319","维信金科在不知情况下扣除756")</f>
        <v>维信金科在不知情况下扣除756</v>
      </c>
      <c r="C3613" s="2" t="s">
        <v>9</v>
      </c>
      <c r="D3613" s="2" t="s">
        <v>10</v>
      </c>
      <c r="E3613" s="2" t="str">
        <f>HYPERLINK("http://ts.21cn.com/tousu/show/id/1334319","http://ts.21cn.com/tousu/show/id/1334319")</f>
        <v>http://ts.21cn.com/tousu/show/id/1334319</v>
      </c>
      <c r="F3613" s="2" t="s">
        <v>11</v>
      </c>
      <c r="G3613" s="2" t="s">
        <v>37038</v>
      </c>
      <c r="H3613" s="2" t="s">
        <v>37039</v>
      </c>
    </row>
    <row r="3614" spans="1:8" ht="25.05" customHeight="1" x14ac:dyDescent="0.25">
      <c r="A3614" s="2" t="s">
        <v>8</v>
      </c>
      <c r="B3614" s="2" t="str">
        <f>HYPERLINK("http://ts.21cn.com/tousu/show/id/1334224","新意花收取高额利息，服务费。")</f>
        <v>新意花收取高额利息，服务费。</v>
      </c>
      <c r="C3614" s="2" t="s">
        <v>9</v>
      </c>
      <c r="D3614" s="2" t="s">
        <v>10</v>
      </c>
      <c r="E3614" s="2" t="str">
        <f>HYPERLINK("http://ts.21cn.com/tousu/show/id/1334224","http://ts.21cn.com/tousu/show/id/1334224")</f>
        <v>http://ts.21cn.com/tousu/show/id/1334224</v>
      </c>
      <c r="F3614" s="2" t="s">
        <v>11</v>
      </c>
      <c r="G3614" s="2" t="s">
        <v>37036</v>
      </c>
      <c r="H3614" s="2" t="s">
        <v>37037</v>
      </c>
    </row>
    <row r="3615" spans="1:8" ht="25.05" customHeight="1" x14ac:dyDescent="0.25">
      <c r="A3615" s="2" t="s">
        <v>8</v>
      </c>
      <c r="B3615" s="2" t="str">
        <f>HYPERLINK("http://ts.21cn.com/tousu/show/id/1334320","电话骚扰")</f>
        <v>电话骚扰</v>
      </c>
      <c r="C3615" s="2" t="s">
        <v>9</v>
      </c>
      <c r="D3615" s="2" t="s">
        <v>10</v>
      </c>
      <c r="E3615" s="2" t="str">
        <f>HYPERLINK("http://ts.21cn.com/tousu/show/id/1334320","http://ts.21cn.com/tousu/show/id/1334320")</f>
        <v>http://ts.21cn.com/tousu/show/id/1334320</v>
      </c>
      <c r="F3615" s="2" t="s">
        <v>11</v>
      </c>
      <c r="G3615" s="2" t="s">
        <v>37034</v>
      </c>
      <c r="H3615" s="2" t="s">
        <v>37035</v>
      </c>
    </row>
    <row r="3616" spans="1:8" ht="25.05" customHeight="1" x14ac:dyDescent="0.25">
      <c r="A3616" s="2" t="s">
        <v>8</v>
      </c>
      <c r="B3616" s="2" t="str">
        <f>HYPERLINK("http://ts.21cn.com/tousu/show/id/1334321","手机借钱，高利贷，暴力催收，")</f>
        <v>手机借钱，高利贷，暴力催收，</v>
      </c>
      <c r="C3616" s="2" t="s">
        <v>9</v>
      </c>
      <c r="D3616" s="2" t="s">
        <v>10</v>
      </c>
      <c r="E3616" s="2" t="str">
        <f>HYPERLINK("http://ts.21cn.com/tousu/show/id/1334321","http://ts.21cn.com/tousu/show/id/1334321")</f>
        <v>http://ts.21cn.com/tousu/show/id/1334321</v>
      </c>
      <c r="F3616" s="2" t="s">
        <v>11</v>
      </c>
      <c r="G3616" s="2" t="s">
        <v>37032</v>
      </c>
      <c r="H3616" s="2" t="s">
        <v>37033</v>
      </c>
    </row>
    <row r="3617" spans="1:8" ht="25.05" customHeight="1" x14ac:dyDescent="0.25">
      <c r="A3617" s="2" t="s">
        <v>8</v>
      </c>
      <c r="B3617" s="2" t="str">
        <f>HYPERLINK("http://ts.21cn.com/tousu/show/id/1334322","高砍头息，希望合理解释")</f>
        <v>高砍头息，希望合理解释</v>
      </c>
      <c r="C3617" s="2" t="s">
        <v>34</v>
      </c>
      <c r="D3617" s="2" t="s">
        <v>10</v>
      </c>
      <c r="E3617" s="2" t="str">
        <f>HYPERLINK("http://ts.21cn.com/tousu/show/id/1334322","http://ts.21cn.com/tousu/show/id/1334322")</f>
        <v>http://ts.21cn.com/tousu/show/id/1334322</v>
      </c>
      <c r="F3617" s="2" t="s">
        <v>11</v>
      </c>
      <c r="G3617" s="2" t="s">
        <v>37030</v>
      </c>
      <c r="H3617" s="2" t="s">
        <v>37031</v>
      </c>
    </row>
    <row r="3618" spans="1:8" ht="25.05" customHeight="1" x14ac:dyDescent="0.25">
      <c r="A3618" s="2" t="s">
        <v>8</v>
      </c>
      <c r="B3618" s="2" t="str">
        <f>HYPERLINK("http://ts.21cn.com/tousu/show/id/1334323","滴滴检测无问题账号也正常但不派单子")</f>
        <v>滴滴检测无问题账号也正常但不派单子</v>
      </c>
      <c r="C3618" s="2" t="s">
        <v>9</v>
      </c>
      <c r="D3618" s="2" t="s">
        <v>10</v>
      </c>
      <c r="E3618" s="2" t="str">
        <f>HYPERLINK("http://ts.21cn.com/tousu/show/id/1334323","http://ts.21cn.com/tousu/show/id/1334323")</f>
        <v>http://ts.21cn.com/tousu/show/id/1334323</v>
      </c>
      <c r="F3618" s="2" t="s">
        <v>11</v>
      </c>
      <c r="G3618" s="2" t="s">
        <v>37028</v>
      </c>
      <c r="H3618" s="2" t="s">
        <v>37029</v>
      </c>
    </row>
    <row r="3619" spans="1:8" ht="25.05" customHeight="1" x14ac:dyDescent="0.25">
      <c r="A3619" s="2" t="s">
        <v>8</v>
      </c>
      <c r="B3619" s="2" t="str">
        <f>HYPERLINK("http://ts.21cn.com/tousu/show/id/1334327","聚美颜值贷系统问题造成借款人逾期联系客服无人处理")</f>
        <v>聚美颜值贷系统问题造成借款人逾期联系客服无人处理</v>
      </c>
      <c r="C3619" s="2" t="s">
        <v>9</v>
      </c>
      <c r="D3619" s="2" t="s">
        <v>10</v>
      </c>
      <c r="E3619" s="2" t="str">
        <f>HYPERLINK("http://ts.21cn.com/tousu/show/id/1334327","http://ts.21cn.com/tousu/show/id/1334327")</f>
        <v>http://ts.21cn.com/tousu/show/id/1334327</v>
      </c>
      <c r="F3619" s="2" t="s">
        <v>11</v>
      </c>
      <c r="G3619" s="2" t="s">
        <v>37026</v>
      </c>
      <c r="H3619" s="2" t="s">
        <v>37027</v>
      </c>
    </row>
    <row r="3620" spans="1:8" ht="25.05" customHeight="1" x14ac:dyDescent="0.25">
      <c r="A3620" s="2" t="s">
        <v>8</v>
      </c>
      <c r="B3620" s="2" t="str">
        <f>HYPERLINK("http://ts.21cn.com/tousu/show/id/1334328","及贷放款时直接扣除所谓的保费，存在欺诈行为")</f>
        <v>及贷放款时直接扣除所谓的保费，存在欺诈行为</v>
      </c>
      <c r="C3620" s="2" t="s">
        <v>9</v>
      </c>
      <c r="D3620" s="2" t="s">
        <v>10</v>
      </c>
      <c r="E3620" s="2" t="str">
        <f>HYPERLINK("http://ts.21cn.com/tousu/show/id/1334328","http://ts.21cn.com/tousu/show/id/1334328")</f>
        <v>http://ts.21cn.com/tousu/show/id/1334328</v>
      </c>
      <c r="F3620" s="2" t="s">
        <v>11</v>
      </c>
      <c r="G3620" s="2" t="s">
        <v>37024</v>
      </c>
      <c r="H3620" s="2" t="s">
        <v>37025</v>
      </c>
    </row>
    <row r="3621" spans="1:8" ht="25.05" customHeight="1" x14ac:dyDescent="0.25">
      <c r="A3621" s="2" t="s">
        <v>8</v>
      </c>
      <c r="B3621" s="2" t="str">
        <f>HYPERLINK("http://ts.21cn.com/tousu/show/id/1334329","易宝支付私自扣款")</f>
        <v>易宝支付私自扣款</v>
      </c>
      <c r="C3621" s="2" t="s">
        <v>9</v>
      </c>
      <c r="D3621" s="2" t="s">
        <v>10</v>
      </c>
      <c r="E3621" s="2" t="str">
        <f>HYPERLINK("http://ts.21cn.com/tousu/show/id/1334329","http://ts.21cn.com/tousu/show/id/1334329")</f>
        <v>http://ts.21cn.com/tousu/show/id/1334329</v>
      </c>
      <c r="F3621" s="2" t="s">
        <v>11</v>
      </c>
      <c r="G3621" s="2" t="s">
        <v>37022</v>
      </c>
      <c r="H3621" s="2" t="s">
        <v>37023</v>
      </c>
    </row>
    <row r="3622" spans="1:8" ht="25.05" customHeight="1" x14ac:dyDescent="0.25">
      <c r="A3622" s="2" t="s">
        <v>8</v>
      </c>
      <c r="B3622" s="2" t="str">
        <f>HYPERLINK("http://ts.21cn.com/tousu/show/id/1334332","中国移动云南公司乱扣费")</f>
        <v>中国移动云南公司乱扣费</v>
      </c>
      <c r="C3622" s="2" t="s">
        <v>9</v>
      </c>
      <c r="D3622" s="2" t="s">
        <v>10</v>
      </c>
      <c r="E3622" s="2" t="str">
        <f>HYPERLINK("http://ts.21cn.com/tousu/show/id/1334332","http://ts.21cn.com/tousu/show/id/1334332")</f>
        <v>http://ts.21cn.com/tousu/show/id/1334332</v>
      </c>
      <c r="F3622" s="2" t="s">
        <v>11</v>
      </c>
      <c r="G3622" s="2" t="s">
        <v>37020</v>
      </c>
      <c r="H3622" s="2" t="s">
        <v>37021</v>
      </c>
    </row>
    <row r="3623" spans="1:8" ht="25.05" customHeight="1" x14ac:dyDescent="0.25">
      <c r="A3623" s="2" t="s">
        <v>8</v>
      </c>
      <c r="B3623" s="2" t="str">
        <f>HYPERLINK("http://ts.21cn.com/tousu/show/id/1334333","套路货")</f>
        <v>套路货</v>
      </c>
      <c r="C3623" s="2" t="s">
        <v>9</v>
      </c>
      <c r="D3623" s="2" t="s">
        <v>10</v>
      </c>
      <c r="E3623" s="2" t="str">
        <f>HYPERLINK("http://ts.21cn.com/tousu/show/id/1334333","http://ts.21cn.com/tousu/show/id/1334333")</f>
        <v>http://ts.21cn.com/tousu/show/id/1334333</v>
      </c>
      <c r="F3623" s="2" t="s">
        <v>11</v>
      </c>
      <c r="G3623" s="2" t="s">
        <v>37019</v>
      </c>
      <c r="H3623" s="2" t="s">
        <v>36860</v>
      </c>
    </row>
    <row r="3624" spans="1:8" ht="25.05" customHeight="1" x14ac:dyDescent="0.25">
      <c r="A3624" s="2" t="s">
        <v>8</v>
      </c>
      <c r="B3624" s="2" t="str">
        <f>HYPERLINK("http://ts.21cn.com/tousu/show/id/1334336","蜂巢快递柜不通知不处理，任由存放东西增加费用")</f>
        <v>蜂巢快递柜不通知不处理，任由存放东西增加费用</v>
      </c>
      <c r="C3624" s="2" t="s">
        <v>9</v>
      </c>
      <c r="D3624" s="2" t="s">
        <v>10</v>
      </c>
      <c r="E3624" s="2" t="str">
        <f>HYPERLINK("http://ts.21cn.com/tousu/show/id/1334336","http://ts.21cn.com/tousu/show/id/1334336")</f>
        <v>http://ts.21cn.com/tousu/show/id/1334336</v>
      </c>
      <c r="F3624" s="2" t="s">
        <v>11</v>
      </c>
      <c r="G3624" s="2" t="s">
        <v>37017</v>
      </c>
      <c r="H3624" s="2" t="s">
        <v>37018</v>
      </c>
    </row>
    <row r="3625" spans="1:8" ht="25.05" customHeight="1" x14ac:dyDescent="0.25">
      <c r="A3625" s="2" t="s">
        <v>8</v>
      </c>
      <c r="B3625" s="2" t="str">
        <f>HYPERLINK("http://ts.21cn.com/tousu/show/id/1334334","小浦优客未经同意扣款")</f>
        <v>小浦优客未经同意扣款</v>
      </c>
      <c r="C3625" s="2" t="s">
        <v>9</v>
      </c>
      <c r="D3625" s="2" t="s">
        <v>10</v>
      </c>
      <c r="E3625" s="2" t="str">
        <f>HYPERLINK("http://ts.21cn.com/tousu/show/id/1334334","http://ts.21cn.com/tousu/show/id/1334334")</f>
        <v>http://ts.21cn.com/tousu/show/id/1334334</v>
      </c>
      <c r="F3625" s="2" t="s">
        <v>11</v>
      </c>
      <c r="G3625" s="2" t="s">
        <v>37015</v>
      </c>
      <c r="H3625" s="2" t="s">
        <v>37016</v>
      </c>
    </row>
    <row r="3626" spans="1:8" ht="25.05" customHeight="1" x14ac:dyDescent="0.25">
      <c r="A3626" s="2" t="s">
        <v>8</v>
      </c>
      <c r="B3626" s="2" t="str">
        <f>HYPERLINK("http://ts.21cn.com/tousu/show/id/1334324","京东购买商品与描述不符不予退款")</f>
        <v>京东购买商品与描述不符不予退款</v>
      </c>
      <c r="C3626" s="2" t="s">
        <v>9</v>
      </c>
      <c r="D3626" s="2" t="s">
        <v>10</v>
      </c>
      <c r="E3626" s="2" t="str">
        <f>HYPERLINK("http://ts.21cn.com/tousu/show/id/1334324","http://ts.21cn.com/tousu/show/id/1334324")</f>
        <v>http://ts.21cn.com/tousu/show/id/1334324</v>
      </c>
      <c r="F3626" s="2" t="s">
        <v>11</v>
      </c>
      <c r="G3626" s="2" t="s">
        <v>37013</v>
      </c>
      <c r="H3626" s="2" t="s">
        <v>37014</v>
      </c>
    </row>
    <row r="3627" spans="1:8" ht="25.05" customHeight="1" x14ac:dyDescent="0.25">
      <c r="A3627" s="2" t="s">
        <v>8</v>
      </c>
      <c r="B3627" s="2" t="str">
        <f>HYPERLINK("http://ts.21cn.com/tousu/show/id/1334337","小浦优客未经同意扣款")</f>
        <v>小浦优客未经同意扣款</v>
      </c>
      <c r="C3627" s="2" t="s">
        <v>9</v>
      </c>
      <c r="D3627" s="2" t="s">
        <v>10</v>
      </c>
      <c r="E3627" s="2" t="str">
        <f>HYPERLINK("http://ts.21cn.com/tousu/show/id/1334337","http://ts.21cn.com/tousu/show/id/1334337")</f>
        <v>http://ts.21cn.com/tousu/show/id/1334337</v>
      </c>
      <c r="F3627" s="2" t="s">
        <v>11</v>
      </c>
      <c r="G3627" s="2" t="s">
        <v>37011</v>
      </c>
      <c r="H3627" s="2" t="s">
        <v>37012</v>
      </c>
    </row>
    <row r="3628" spans="1:8" ht="25.05" customHeight="1" x14ac:dyDescent="0.25">
      <c r="A3628" s="2" t="s">
        <v>8</v>
      </c>
      <c r="B3628" s="2" t="str">
        <f>HYPERLINK("http://ts.21cn.com/tousu/show/id/1334338","信而富前期必须买优先特权包")</f>
        <v>信而富前期必须买优先特权包</v>
      </c>
      <c r="C3628" s="2" t="s">
        <v>9</v>
      </c>
      <c r="D3628" s="2" t="s">
        <v>10</v>
      </c>
      <c r="E3628" s="2" t="str">
        <f>HYPERLINK("http://ts.21cn.com/tousu/show/id/1334338","http://ts.21cn.com/tousu/show/id/1334338")</f>
        <v>http://ts.21cn.com/tousu/show/id/1334338</v>
      </c>
      <c r="F3628" s="2" t="s">
        <v>11</v>
      </c>
      <c r="G3628" s="2" t="s">
        <v>37009</v>
      </c>
      <c r="H3628" s="2" t="s">
        <v>37010</v>
      </c>
    </row>
    <row r="3629" spans="1:8" ht="25.05" customHeight="1" x14ac:dyDescent="0.25">
      <c r="A3629" s="2" t="s">
        <v>8</v>
      </c>
      <c r="B3629" s="2" t="str">
        <f>HYPERLINK("http://ts.21cn.com/tousu/show/id/1334340","喜鹊快贷还款日当天直接爆通讯录电话")</f>
        <v>喜鹊快贷还款日当天直接爆通讯录电话</v>
      </c>
      <c r="C3629" s="2" t="s">
        <v>9</v>
      </c>
      <c r="D3629" s="2" t="s">
        <v>10</v>
      </c>
      <c r="E3629" s="2" t="str">
        <f>HYPERLINK("http://ts.21cn.com/tousu/show/id/1334340","http://ts.21cn.com/tousu/show/id/1334340")</f>
        <v>http://ts.21cn.com/tousu/show/id/1334340</v>
      </c>
      <c r="F3629" s="2" t="s">
        <v>11</v>
      </c>
      <c r="G3629" s="2" t="s">
        <v>37007</v>
      </c>
      <c r="H3629" s="2" t="s">
        <v>37008</v>
      </c>
    </row>
    <row r="3630" spans="1:8" ht="25.05" customHeight="1" x14ac:dyDescent="0.25">
      <c r="A3630" s="2" t="s">
        <v>8</v>
      </c>
      <c r="B3630" s="2" t="str">
        <f>HYPERLINK("http://ts.21cn.com/tousu/show/id/1334341","购买客车票后，在车站查不到相关车票取不了票，也无法退款")</f>
        <v>购买客车票后，在车站查不到相关车票取不了票，也无法退款</v>
      </c>
      <c r="C3630" s="2" t="s">
        <v>9</v>
      </c>
      <c r="D3630" s="2" t="s">
        <v>10</v>
      </c>
      <c r="E3630" s="2" t="str">
        <f>HYPERLINK("http://ts.21cn.com/tousu/show/id/1334341","http://ts.21cn.com/tousu/show/id/1334341")</f>
        <v>http://ts.21cn.com/tousu/show/id/1334341</v>
      </c>
      <c r="F3630" s="2" t="s">
        <v>11</v>
      </c>
      <c r="G3630" s="2" t="s">
        <v>37005</v>
      </c>
      <c r="H3630" s="2" t="s">
        <v>37006</v>
      </c>
    </row>
    <row r="3631" spans="1:8" ht="25.05" customHeight="1" x14ac:dyDescent="0.25">
      <c r="A3631" s="2" t="s">
        <v>8</v>
      </c>
      <c r="B3631" s="2" t="str">
        <f>HYPERLINK("http://ts.21cn.com/tousu/show/id/1334342","火影帮套路贷")</f>
        <v>火影帮套路贷</v>
      </c>
      <c r="C3631" s="2" t="s">
        <v>9</v>
      </c>
      <c r="D3631" s="2" t="s">
        <v>10</v>
      </c>
      <c r="E3631" s="2" t="str">
        <f>HYPERLINK("http://ts.21cn.com/tousu/show/id/1334342","http://ts.21cn.com/tousu/show/id/1334342")</f>
        <v>http://ts.21cn.com/tousu/show/id/1334342</v>
      </c>
      <c r="F3631" s="2" t="s">
        <v>11</v>
      </c>
      <c r="G3631" s="2" t="s">
        <v>37003</v>
      </c>
      <c r="H3631" s="2" t="s">
        <v>37004</v>
      </c>
    </row>
    <row r="3632" spans="1:8" ht="25.05" customHeight="1" x14ac:dyDescent="0.25">
      <c r="A3632" s="2" t="s">
        <v>8</v>
      </c>
      <c r="B3632" s="2" t="str">
        <f>HYPERLINK("http://ts.21cn.com/tousu/show/id/1334343","现金巴士还款的问题")</f>
        <v>现金巴士还款的问题</v>
      </c>
      <c r="C3632" s="2" t="s">
        <v>9</v>
      </c>
      <c r="D3632" s="2" t="s">
        <v>10</v>
      </c>
      <c r="E3632" s="2" t="str">
        <f>HYPERLINK("http://ts.21cn.com/tousu/show/id/1334343","http://ts.21cn.com/tousu/show/id/1334343")</f>
        <v>http://ts.21cn.com/tousu/show/id/1334343</v>
      </c>
      <c r="F3632" s="2" t="s">
        <v>11</v>
      </c>
      <c r="G3632" s="2" t="s">
        <v>37001</v>
      </c>
      <c r="H3632" s="2" t="s">
        <v>37002</v>
      </c>
    </row>
    <row r="3633" spans="1:8" ht="25.05" customHeight="1" x14ac:dyDescent="0.25">
      <c r="A3633" s="2" t="s">
        <v>8</v>
      </c>
      <c r="B3633" s="2" t="str">
        <f>HYPERLINK("http://ts.21cn.com/tousu/show/id/1334344","被挽回机构诱导付费")</f>
        <v>被挽回机构诱导付费</v>
      </c>
      <c r="C3633" s="2" t="s">
        <v>34</v>
      </c>
      <c r="D3633" s="2" t="s">
        <v>10</v>
      </c>
      <c r="E3633" s="2" t="str">
        <f>HYPERLINK("http://ts.21cn.com/tousu/show/id/1334344","http://ts.21cn.com/tousu/show/id/1334344")</f>
        <v>http://ts.21cn.com/tousu/show/id/1334344</v>
      </c>
      <c r="F3633" s="2" t="s">
        <v>11</v>
      </c>
      <c r="G3633" s="2" t="s">
        <v>36999</v>
      </c>
      <c r="H3633" s="2" t="s">
        <v>37000</v>
      </c>
    </row>
    <row r="3634" spans="1:8" ht="25.05" customHeight="1" x14ac:dyDescent="0.25">
      <c r="A3634" s="2" t="s">
        <v>8</v>
      </c>
      <c r="B3634" s="2" t="str">
        <f>HYPERLINK("http://ts.21cn.com/tousu/show/id/1334345","虚假放款客服态度不好")</f>
        <v>虚假放款客服态度不好</v>
      </c>
      <c r="C3634" s="2" t="s">
        <v>9</v>
      </c>
      <c r="D3634" s="2" t="s">
        <v>10</v>
      </c>
      <c r="E3634" s="2" t="str">
        <f>HYPERLINK("http://ts.21cn.com/tousu/show/id/1334345","http://ts.21cn.com/tousu/show/id/1334345")</f>
        <v>http://ts.21cn.com/tousu/show/id/1334345</v>
      </c>
      <c r="F3634" s="2" t="s">
        <v>11</v>
      </c>
      <c r="G3634" s="2" t="s">
        <v>36997</v>
      </c>
      <c r="H3634" s="2" t="s">
        <v>36998</v>
      </c>
    </row>
    <row r="3635" spans="1:8" ht="25.05" customHeight="1" x14ac:dyDescent="0.25">
      <c r="A3635" s="2" t="s">
        <v>8</v>
      </c>
      <c r="B3635" s="2" t="str">
        <f>HYPERLINK("http://ts.21cn.com/tousu/show/id/1334347","立借上的钱置宝")</f>
        <v>立借上的钱置宝</v>
      </c>
      <c r="C3635" s="2" t="s">
        <v>9</v>
      </c>
      <c r="D3635" s="2" t="s">
        <v>10</v>
      </c>
      <c r="E3635" s="2" t="str">
        <f>HYPERLINK("http://ts.21cn.com/tousu/show/id/1334347","http://ts.21cn.com/tousu/show/id/1334347")</f>
        <v>http://ts.21cn.com/tousu/show/id/1334347</v>
      </c>
      <c r="F3635" s="2" t="s">
        <v>11</v>
      </c>
      <c r="G3635" s="2" t="s">
        <v>36995</v>
      </c>
      <c r="H3635" s="2" t="s">
        <v>36996</v>
      </c>
    </row>
    <row r="3636" spans="1:8" ht="25.05" customHeight="1" x14ac:dyDescent="0.25">
      <c r="A3636" s="2" t="s">
        <v>8</v>
      </c>
      <c r="B3636" s="2" t="str">
        <f>HYPERLINK("http://ts.21cn.com/tousu/show/id/1334348","高利贷阴阳合同")</f>
        <v>高利贷阴阳合同</v>
      </c>
      <c r="C3636" s="2" t="s">
        <v>9</v>
      </c>
      <c r="D3636" s="2" t="s">
        <v>10</v>
      </c>
      <c r="E3636" s="2" t="str">
        <f>HYPERLINK("http://ts.21cn.com/tousu/show/id/1334348","http://ts.21cn.com/tousu/show/id/1334348")</f>
        <v>http://ts.21cn.com/tousu/show/id/1334348</v>
      </c>
      <c r="F3636" s="2" t="s">
        <v>11</v>
      </c>
      <c r="G3636" s="2" t="s">
        <v>36993</v>
      </c>
      <c r="H3636" s="2" t="s">
        <v>36994</v>
      </c>
    </row>
    <row r="3637" spans="1:8" ht="25.05" customHeight="1" x14ac:dyDescent="0.25">
      <c r="A3637" s="2" t="s">
        <v>8</v>
      </c>
      <c r="B3637" s="2" t="str">
        <f>HYPERLINK("http://ts.21cn.com/tousu/show/id/1334349","暴力催收")</f>
        <v>暴力催收</v>
      </c>
      <c r="C3637" s="2" t="s">
        <v>9</v>
      </c>
      <c r="D3637" s="2" t="s">
        <v>10</v>
      </c>
      <c r="E3637" s="2" t="str">
        <f>HYPERLINK("http://ts.21cn.com/tousu/show/id/1334349","http://ts.21cn.com/tousu/show/id/1334349")</f>
        <v>http://ts.21cn.com/tousu/show/id/1334349</v>
      </c>
      <c r="F3637" s="2" t="s">
        <v>11</v>
      </c>
      <c r="G3637" s="2" t="s">
        <v>36991</v>
      </c>
      <c r="H3637" s="2" t="s">
        <v>36992</v>
      </c>
    </row>
    <row r="3638" spans="1:8" ht="25.05" customHeight="1" x14ac:dyDescent="0.25">
      <c r="A3638" s="2" t="s">
        <v>8</v>
      </c>
      <c r="B3638" s="2" t="str">
        <f>HYPERLINK("http://ts.21cn.com/tousu/show/id/1334350","【aji旗舰店】济南大商电子商务有限公司出售问题食品拒绝售后")</f>
        <v>【aji旗舰店】济南大商电子商务有限公司出售问题食品拒绝售后</v>
      </c>
      <c r="C3638" s="2" t="s">
        <v>9</v>
      </c>
      <c r="D3638" s="2" t="s">
        <v>10</v>
      </c>
      <c r="E3638" s="2" t="str">
        <f>HYPERLINK("http://ts.21cn.com/tousu/show/id/1334350","http://ts.21cn.com/tousu/show/id/1334350")</f>
        <v>http://ts.21cn.com/tousu/show/id/1334350</v>
      </c>
      <c r="F3638" s="2" t="s">
        <v>11</v>
      </c>
      <c r="G3638" s="2" t="s">
        <v>36989</v>
      </c>
      <c r="H3638" s="2" t="s">
        <v>36990</v>
      </c>
    </row>
    <row r="3639" spans="1:8" ht="25.05" customHeight="1" x14ac:dyDescent="0.25">
      <c r="A3639" s="2" t="s">
        <v>8</v>
      </c>
      <c r="B3639" s="2" t="str">
        <f>HYPERLINK("http://ts.21cn.com/tousu/show/id/1334351","诱导消费，要求退钱")</f>
        <v>诱导消费，要求退钱</v>
      </c>
      <c r="C3639" s="2" t="s">
        <v>9</v>
      </c>
      <c r="D3639" s="2" t="s">
        <v>10</v>
      </c>
      <c r="E3639" s="2" t="str">
        <f>HYPERLINK("http://ts.21cn.com/tousu/show/id/1334351","http://ts.21cn.com/tousu/show/id/1334351")</f>
        <v>http://ts.21cn.com/tousu/show/id/1334351</v>
      </c>
      <c r="F3639" s="2" t="s">
        <v>11</v>
      </c>
      <c r="G3639" s="2" t="s">
        <v>36987</v>
      </c>
      <c r="H3639" s="2" t="s">
        <v>36988</v>
      </c>
    </row>
    <row r="3640" spans="1:8" ht="25.05" customHeight="1" x14ac:dyDescent="0.25">
      <c r="A3640" s="2" t="s">
        <v>8</v>
      </c>
      <c r="B3640" s="2" t="str">
        <f>HYPERLINK("http://ts.21cn.com/tousu/show/id/1334352","豹子贷无故扣钱不需要还要扣")</f>
        <v>豹子贷无故扣钱不需要还要扣</v>
      </c>
      <c r="C3640" s="2" t="s">
        <v>34</v>
      </c>
      <c r="D3640" s="2" t="s">
        <v>10</v>
      </c>
      <c r="E3640" s="2" t="str">
        <f>HYPERLINK("http://ts.21cn.com/tousu/show/id/1334352","http://ts.21cn.com/tousu/show/id/1334352")</f>
        <v>http://ts.21cn.com/tousu/show/id/1334352</v>
      </c>
      <c r="F3640" s="2" t="s">
        <v>11</v>
      </c>
      <c r="G3640" s="2" t="s">
        <v>36985</v>
      </c>
      <c r="H3640" s="2" t="s">
        <v>36986</v>
      </c>
    </row>
    <row r="3641" spans="1:8" ht="25.05" customHeight="1" x14ac:dyDescent="0.25">
      <c r="A3641" s="2" t="s">
        <v>8</v>
      </c>
      <c r="B3641" s="2" t="str">
        <f>HYPERLINK("http://ts.21cn.com/tousu/show/id/1334353","火影帮借款高利贷")</f>
        <v>火影帮借款高利贷</v>
      </c>
      <c r="C3641" s="2" t="s">
        <v>9</v>
      </c>
      <c r="D3641" s="2" t="s">
        <v>10</v>
      </c>
      <c r="E3641" s="2" t="str">
        <f>HYPERLINK("http://ts.21cn.com/tousu/show/id/1334353","http://ts.21cn.com/tousu/show/id/1334353")</f>
        <v>http://ts.21cn.com/tousu/show/id/1334353</v>
      </c>
      <c r="F3641" s="2" t="s">
        <v>11</v>
      </c>
      <c r="G3641" s="2" t="s">
        <v>36983</v>
      </c>
      <c r="H3641" s="2" t="s">
        <v>36984</v>
      </c>
    </row>
    <row r="3642" spans="1:8" ht="25.05" customHeight="1" x14ac:dyDescent="0.25">
      <c r="A3642" s="2" t="s">
        <v>8</v>
      </c>
      <c r="B3642" s="2" t="str">
        <f>HYPERLINK("http://ts.21cn.com/tousu/show/id/1334311","未经本人同意恶意扣款")</f>
        <v>未经本人同意恶意扣款</v>
      </c>
      <c r="C3642" s="2" t="s">
        <v>9</v>
      </c>
      <c r="D3642" s="2" t="s">
        <v>10</v>
      </c>
      <c r="E3642" s="2" t="str">
        <f>HYPERLINK("http://ts.21cn.com/tousu/show/id/1334311","http://ts.21cn.com/tousu/show/id/1334311")</f>
        <v>http://ts.21cn.com/tousu/show/id/1334311</v>
      </c>
      <c r="F3642" s="2" t="s">
        <v>11</v>
      </c>
      <c r="G3642" s="2" t="s">
        <v>36981</v>
      </c>
      <c r="H3642" s="2" t="s">
        <v>36982</v>
      </c>
    </row>
    <row r="3643" spans="1:8" ht="25.05" customHeight="1" x14ac:dyDescent="0.25">
      <c r="A3643" s="2" t="s">
        <v>8</v>
      </c>
      <c r="B3643" s="2" t="str">
        <f>HYPERLINK("http://ts.21cn.com/tousu/show/id/1334354","信用钱包砍头息，高利贷")</f>
        <v>信用钱包砍头息，高利贷</v>
      </c>
      <c r="C3643" s="2" t="s">
        <v>9</v>
      </c>
      <c r="D3643" s="2" t="s">
        <v>10</v>
      </c>
      <c r="E3643" s="2" t="str">
        <f>HYPERLINK("http://ts.21cn.com/tousu/show/id/1334354","http://ts.21cn.com/tousu/show/id/1334354")</f>
        <v>http://ts.21cn.com/tousu/show/id/1334354</v>
      </c>
      <c r="F3643" s="2" t="s">
        <v>11</v>
      </c>
      <c r="G3643" s="2" t="s">
        <v>36979</v>
      </c>
      <c r="H3643" s="2" t="s">
        <v>36980</v>
      </c>
    </row>
    <row r="3644" spans="1:8" ht="25.05" customHeight="1" x14ac:dyDescent="0.25">
      <c r="A3644" s="2" t="s">
        <v>8</v>
      </c>
      <c r="B3644" s="2" t="str">
        <f>HYPERLINK("http://ts.21cn.com/tousu/show/id/1334281","钱站高利贷阴阳合同欺诈")</f>
        <v>钱站高利贷阴阳合同欺诈</v>
      </c>
      <c r="C3644" s="2" t="s">
        <v>9</v>
      </c>
      <c r="D3644" s="2" t="s">
        <v>10</v>
      </c>
      <c r="E3644" s="2" t="str">
        <f>HYPERLINK("http://ts.21cn.com/tousu/show/id/1334281","http://ts.21cn.com/tousu/show/id/1334281")</f>
        <v>http://ts.21cn.com/tousu/show/id/1334281</v>
      </c>
      <c r="F3644" s="2" t="s">
        <v>11</v>
      </c>
      <c r="G3644" s="2" t="s">
        <v>36977</v>
      </c>
      <c r="H3644" s="2" t="s">
        <v>36978</v>
      </c>
    </row>
    <row r="3645" spans="1:8" ht="25.05" customHeight="1" x14ac:dyDescent="0.25">
      <c r="A3645" s="2" t="s">
        <v>8</v>
      </c>
      <c r="B3645" s="2" t="str">
        <f>HYPERLINK("http://ts.21cn.com/tousu/show/id/1334355","省呗协商不成")</f>
        <v>省呗协商不成</v>
      </c>
      <c r="C3645" s="2" t="s">
        <v>9</v>
      </c>
      <c r="D3645" s="2" t="s">
        <v>10</v>
      </c>
      <c r="E3645" s="2" t="str">
        <f>HYPERLINK("http://ts.21cn.com/tousu/show/id/1334355","http://ts.21cn.com/tousu/show/id/1334355")</f>
        <v>http://ts.21cn.com/tousu/show/id/1334355</v>
      </c>
      <c r="F3645" s="2" t="s">
        <v>11</v>
      </c>
      <c r="G3645" s="2" t="s">
        <v>36975</v>
      </c>
      <c r="H3645" s="2" t="s">
        <v>36976</v>
      </c>
    </row>
    <row r="3646" spans="1:8" ht="25.05" customHeight="1" x14ac:dyDescent="0.25">
      <c r="A3646" s="2" t="s">
        <v>8</v>
      </c>
      <c r="B3646" s="2" t="str">
        <f>HYPERLINK("http://ts.21cn.com/tousu/show/id/1334356","小花钱包暴力催收、威胁本人、骚扰父母、爆通讯录，我要求立即停止任何骚扰和威胁！！")</f>
        <v>小花钱包暴力催收、威胁本人、骚扰父母、爆通讯录，我要求立即停止任何骚扰和威胁！！</v>
      </c>
      <c r="C3646" s="2" t="s">
        <v>9</v>
      </c>
      <c r="D3646" s="2" t="s">
        <v>10</v>
      </c>
      <c r="E3646" s="2" t="str">
        <f>HYPERLINK("http://ts.21cn.com/tousu/show/id/1334356","http://ts.21cn.com/tousu/show/id/1334356")</f>
        <v>http://ts.21cn.com/tousu/show/id/1334356</v>
      </c>
      <c r="F3646" s="2" t="s">
        <v>11</v>
      </c>
      <c r="G3646" s="2" t="s">
        <v>36973</v>
      </c>
      <c r="H3646" s="2" t="s">
        <v>36974</v>
      </c>
    </row>
    <row r="3647" spans="1:8" ht="25.05" customHeight="1" x14ac:dyDescent="0.25">
      <c r="A3647" s="2" t="s">
        <v>8</v>
      </c>
      <c r="B3647" s="2" t="str">
        <f>HYPERLINK("http://ts.21cn.com/tousu/show/id/1334357","你我贷多次骚扰亲友，行为恶劣")</f>
        <v>你我贷多次骚扰亲友，行为恶劣</v>
      </c>
      <c r="C3647" s="2" t="s">
        <v>9</v>
      </c>
      <c r="D3647" s="2" t="s">
        <v>10</v>
      </c>
      <c r="E3647" s="2" t="str">
        <f>HYPERLINK("http://ts.21cn.com/tousu/show/id/1334357","http://ts.21cn.com/tousu/show/id/1334357")</f>
        <v>http://ts.21cn.com/tousu/show/id/1334357</v>
      </c>
      <c r="F3647" s="2" t="s">
        <v>11</v>
      </c>
      <c r="G3647" s="2" t="s">
        <v>36971</v>
      </c>
      <c r="H3647" s="2" t="s">
        <v>36972</v>
      </c>
    </row>
    <row r="3648" spans="1:8" ht="25.05" customHeight="1" x14ac:dyDescent="0.25">
      <c r="A3648" s="2" t="s">
        <v>8</v>
      </c>
      <c r="B3648" s="2" t="str">
        <f>HYPERLINK("http://ts.21cn.com/tousu/show/id/1334358","自由摩卡里面六便士黑心高利贷")</f>
        <v>自由摩卡里面六便士黑心高利贷</v>
      </c>
      <c r="C3648" s="2" t="s">
        <v>9</v>
      </c>
      <c r="D3648" s="2" t="s">
        <v>10</v>
      </c>
      <c r="E3648" s="2" t="str">
        <f>HYPERLINK("http://ts.21cn.com/tousu/show/id/1334358","http://ts.21cn.com/tousu/show/id/1334358")</f>
        <v>http://ts.21cn.com/tousu/show/id/1334358</v>
      </c>
      <c r="F3648" s="2" t="s">
        <v>11</v>
      </c>
      <c r="G3648" s="2" t="s">
        <v>36969</v>
      </c>
      <c r="H3648" s="2" t="s">
        <v>36970</v>
      </c>
    </row>
    <row r="3649" spans="1:8" ht="25.05" customHeight="1" x14ac:dyDescent="0.25">
      <c r="A3649" s="2" t="s">
        <v>8</v>
      </c>
      <c r="B3649" s="2" t="str">
        <f>HYPERLINK("http://ts.21cn.com/tousu/show/id/1334359","小浦优客乱收费")</f>
        <v>小浦优客乱收费</v>
      </c>
      <c r="C3649" s="2" t="s">
        <v>9</v>
      </c>
      <c r="D3649" s="2" t="s">
        <v>10</v>
      </c>
      <c r="E3649" s="2" t="str">
        <f>HYPERLINK("http://ts.21cn.com/tousu/show/id/1334359","http://ts.21cn.com/tousu/show/id/1334359")</f>
        <v>http://ts.21cn.com/tousu/show/id/1334359</v>
      </c>
      <c r="F3649" s="2" t="s">
        <v>11</v>
      </c>
      <c r="G3649" s="2" t="s">
        <v>36967</v>
      </c>
      <c r="H3649" s="2" t="s">
        <v>36968</v>
      </c>
    </row>
    <row r="3650" spans="1:8" ht="25.05" customHeight="1" x14ac:dyDescent="0.25">
      <c r="A3650" s="2" t="s">
        <v>8</v>
      </c>
      <c r="B3650" s="2" t="str">
        <f>HYPERLINK("http://ts.21cn.com/tousu/show/id/1334361","湖南阿德贸易有限公司设局，工作人员已经联系不上。")</f>
        <v>湖南阿德贸易有限公司设局，工作人员已经联系不上。</v>
      </c>
      <c r="C3650" s="2" t="s">
        <v>9</v>
      </c>
      <c r="D3650" s="2" t="s">
        <v>10</v>
      </c>
      <c r="E3650" s="2" t="str">
        <f>HYPERLINK("http://ts.21cn.com/tousu/show/id/1334361","http://ts.21cn.com/tousu/show/id/1334361")</f>
        <v>http://ts.21cn.com/tousu/show/id/1334361</v>
      </c>
      <c r="F3650" s="2" t="s">
        <v>11</v>
      </c>
      <c r="G3650" s="2" t="s">
        <v>36965</v>
      </c>
      <c r="H3650" s="2" t="s">
        <v>36966</v>
      </c>
    </row>
    <row r="3651" spans="1:8" ht="25.05" customHeight="1" x14ac:dyDescent="0.25">
      <c r="A3651" s="2" t="s">
        <v>8</v>
      </c>
      <c r="B3651" s="2" t="str">
        <f>HYPERLINK("http://ts.21cn.com/tousu/show/id/1334362","钱站高利贷阴阳合同")</f>
        <v>钱站高利贷阴阳合同</v>
      </c>
      <c r="C3651" s="2" t="s">
        <v>9</v>
      </c>
      <c r="D3651" s="2" t="s">
        <v>10</v>
      </c>
      <c r="E3651" s="2" t="str">
        <f>HYPERLINK("http://ts.21cn.com/tousu/show/id/1334362","http://ts.21cn.com/tousu/show/id/1334362")</f>
        <v>http://ts.21cn.com/tousu/show/id/1334362</v>
      </c>
      <c r="F3651" s="2" t="s">
        <v>11</v>
      </c>
      <c r="G3651" s="2" t="s">
        <v>36963</v>
      </c>
      <c r="H3651" s="2" t="s">
        <v>36964</v>
      </c>
    </row>
    <row r="3652" spans="1:8" ht="25.05" customHeight="1" x14ac:dyDescent="0.25">
      <c r="A3652" s="2" t="s">
        <v>8</v>
      </c>
      <c r="B3652" s="2" t="str">
        <f>HYPERLINK("http://ts.21cn.com/tousu/show/id/1334363","随手记")</f>
        <v>随手记</v>
      </c>
      <c r="C3652" s="2" t="s">
        <v>9</v>
      </c>
      <c r="D3652" s="2" t="s">
        <v>10</v>
      </c>
      <c r="E3652" s="2" t="str">
        <f>HYPERLINK("http://ts.21cn.com/tousu/show/id/1334363","http://ts.21cn.com/tousu/show/id/1334363")</f>
        <v>http://ts.21cn.com/tousu/show/id/1334363</v>
      </c>
      <c r="F3652" s="2" t="s">
        <v>11</v>
      </c>
      <c r="G3652" s="2" t="s">
        <v>36961</v>
      </c>
      <c r="H3652" s="2" t="s">
        <v>36962</v>
      </c>
    </row>
    <row r="3653" spans="1:8" ht="25.05" customHeight="1" x14ac:dyDescent="0.25">
      <c r="A3653" s="2" t="s">
        <v>8</v>
      </c>
      <c r="B3653" s="2" t="str">
        <f>HYPERLINK("http://ts.21cn.com/tousu/show/id/1334365","时光分期爆通讯录")</f>
        <v>时光分期爆通讯录</v>
      </c>
      <c r="C3653" s="2" t="s">
        <v>9</v>
      </c>
      <c r="D3653" s="2" t="s">
        <v>10</v>
      </c>
      <c r="E3653" s="2" t="str">
        <f>HYPERLINK("http://ts.21cn.com/tousu/show/id/1334365","http://ts.21cn.com/tousu/show/id/1334365")</f>
        <v>http://ts.21cn.com/tousu/show/id/1334365</v>
      </c>
      <c r="F3653" s="2" t="s">
        <v>11</v>
      </c>
      <c r="G3653" s="2" t="s">
        <v>36958</v>
      </c>
      <c r="H3653" s="2" t="s">
        <v>36959</v>
      </c>
    </row>
    <row r="3654" spans="1:8" ht="25.05" customHeight="1" x14ac:dyDescent="0.25">
      <c r="A3654" s="2" t="s">
        <v>8</v>
      </c>
      <c r="B3654" s="2" t="str">
        <f>HYPERLINK("http://ts.21cn.com/tousu/show/id/1334364","拼多多商家虚假发货，平台不处理")</f>
        <v>拼多多商家虚假发货，平台不处理</v>
      </c>
      <c r="C3654" s="2" t="s">
        <v>9</v>
      </c>
      <c r="D3654" s="2" t="s">
        <v>10</v>
      </c>
      <c r="E3654" s="2" t="str">
        <f>HYPERLINK("http://ts.21cn.com/tousu/show/id/1334364","http://ts.21cn.com/tousu/show/id/1334364")</f>
        <v>http://ts.21cn.com/tousu/show/id/1334364</v>
      </c>
      <c r="F3654" s="2" t="s">
        <v>11</v>
      </c>
      <c r="G3654" s="2" t="s">
        <v>36958</v>
      </c>
      <c r="H3654" s="2" t="s">
        <v>36960</v>
      </c>
    </row>
    <row r="3655" spans="1:8" ht="25.05" customHeight="1" x14ac:dyDescent="0.25">
      <c r="A3655" s="2" t="s">
        <v>8</v>
      </c>
      <c r="B3655" s="2" t="str">
        <f>HYPERLINK("http://ts.21cn.com/tousu/show/id/1334366","卖座网电影卡修改预留手机号")</f>
        <v>卖座网电影卡修改预留手机号</v>
      </c>
      <c r="C3655" s="2" t="s">
        <v>9</v>
      </c>
      <c r="D3655" s="2" t="s">
        <v>10</v>
      </c>
      <c r="E3655" s="2" t="str">
        <f>HYPERLINK("http://ts.21cn.com/tousu/show/id/1334366","http://ts.21cn.com/tousu/show/id/1334366")</f>
        <v>http://ts.21cn.com/tousu/show/id/1334366</v>
      </c>
      <c r="F3655" s="2" t="s">
        <v>11</v>
      </c>
      <c r="G3655" s="2" t="s">
        <v>36956</v>
      </c>
      <c r="H3655" s="2" t="s">
        <v>36957</v>
      </c>
    </row>
    <row r="3656" spans="1:8" ht="25.05" customHeight="1" x14ac:dyDescent="0.25">
      <c r="A3656" s="2" t="s">
        <v>8</v>
      </c>
      <c r="B3656" s="2" t="str">
        <f>HYPERLINK("http://ts.21cn.com/tousu/show/id/1334346","高利贷714暴力催收")</f>
        <v>高利贷714暴力催收</v>
      </c>
      <c r="C3656" s="2" t="s">
        <v>9</v>
      </c>
      <c r="D3656" s="2" t="s">
        <v>10</v>
      </c>
      <c r="E3656" s="2" t="str">
        <f>HYPERLINK("http://ts.21cn.com/tousu/show/id/1334346","http://ts.21cn.com/tousu/show/id/1334346")</f>
        <v>http://ts.21cn.com/tousu/show/id/1334346</v>
      </c>
      <c r="F3656" s="2" t="s">
        <v>11</v>
      </c>
      <c r="G3656" s="2" t="s">
        <v>36954</v>
      </c>
      <c r="H3656" s="2" t="s">
        <v>36955</v>
      </c>
    </row>
    <row r="3657" spans="1:8" ht="25.05" customHeight="1" x14ac:dyDescent="0.25">
      <c r="A3657" s="2" t="s">
        <v>8</v>
      </c>
      <c r="B3657" s="2" t="str">
        <f>HYPERLINK("http://ts.21cn.com/tousu/show/id/1334368","玖富高利贷")</f>
        <v>玖富高利贷</v>
      </c>
      <c r="C3657" s="2" t="s">
        <v>9</v>
      </c>
      <c r="D3657" s="2" t="s">
        <v>10</v>
      </c>
      <c r="E3657" s="2" t="str">
        <f>HYPERLINK("http://ts.21cn.com/tousu/show/id/1334368","http://ts.21cn.com/tousu/show/id/1334368")</f>
        <v>http://ts.21cn.com/tousu/show/id/1334368</v>
      </c>
      <c r="F3657" s="2" t="s">
        <v>11</v>
      </c>
      <c r="G3657" s="2" t="s">
        <v>36952</v>
      </c>
      <c r="H3657" s="2" t="s">
        <v>36953</v>
      </c>
    </row>
    <row r="3658" spans="1:8" ht="25.05" customHeight="1" x14ac:dyDescent="0.25">
      <c r="A3658" s="2" t="s">
        <v>8</v>
      </c>
      <c r="B3658" s="2" t="str">
        <f>HYPERLINK("http://ts.21cn.com/tousu/show/id/1334369","小赢卡贷还款困难")</f>
        <v>小赢卡贷还款困难</v>
      </c>
      <c r="C3658" s="2" t="s">
        <v>34</v>
      </c>
      <c r="D3658" s="2" t="s">
        <v>10</v>
      </c>
      <c r="E3658" s="2" t="str">
        <f>HYPERLINK("http://ts.21cn.com/tousu/show/id/1334369","http://ts.21cn.com/tousu/show/id/1334369")</f>
        <v>http://ts.21cn.com/tousu/show/id/1334369</v>
      </c>
      <c r="F3658" s="2" t="s">
        <v>11</v>
      </c>
      <c r="G3658" s="2" t="s">
        <v>36950</v>
      </c>
      <c r="H3658" s="2" t="s">
        <v>36951</v>
      </c>
    </row>
    <row r="3659" spans="1:8" ht="25.05" customHeight="1" x14ac:dyDescent="0.25">
      <c r="A3659" s="2" t="s">
        <v>8</v>
      </c>
      <c r="B3659" s="2" t="str">
        <f>HYPERLINK("http://ts.21cn.com/tousu/show/id/1334370","未经允许扣款")</f>
        <v>未经允许扣款</v>
      </c>
      <c r="C3659" s="2" t="s">
        <v>9</v>
      </c>
      <c r="D3659" s="2" t="s">
        <v>10</v>
      </c>
      <c r="E3659" s="2" t="str">
        <f>HYPERLINK("http://ts.21cn.com/tousu/show/id/1334370","http://ts.21cn.com/tousu/show/id/1334370")</f>
        <v>http://ts.21cn.com/tousu/show/id/1334370</v>
      </c>
      <c r="F3659" s="2" t="s">
        <v>11</v>
      </c>
      <c r="G3659" s="2" t="s">
        <v>36948</v>
      </c>
      <c r="H3659" s="2" t="s">
        <v>36949</v>
      </c>
    </row>
    <row r="3660" spans="1:8" ht="25.05" customHeight="1" x14ac:dyDescent="0.25">
      <c r="A3660" s="2" t="s">
        <v>8</v>
      </c>
      <c r="B3660" s="2" t="str">
        <f>HYPERLINK("http://ts.21cn.com/tousu/show/id/1334371","变相收高利息")</f>
        <v>变相收高利息</v>
      </c>
      <c r="C3660" s="2" t="s">
        <v>9</v>
      </c>
      <c r="D3660" s="2" t="s">
        <v>10</v>
      </c>
      <c r="E3660" s="2" t="str">
        <f>HYPERLINK("http://ts.21cn.com/tousu/show/id/1334371","http://ts.21cn.com/tousu/show/id/1334371")</f>
        <v>http://ts.21cn.com/tousu/show/id/1334371</v>
      </c>
      <c r="F3660" s="2" t="s">
        <v>11</v>
      </c>
      <c r="G3660" s="2" t="s">
        <v>36946</v>
      </c>
      <c r="H3660" s="2" t="s">
        <v>36947</v>
      </c>
    </row>
    <row r="3661" spans="1:8" ht="25.05" customHeight="1" x14ac:dyDescent="0.25">
      <c r="A3661" s="2" t="s">
        <v>8</v>
      </c>
      <c r="B3661" s="2" t="str">
        <f>HYPERLINK("http://ts.21cn.com/tousu/show/id/1334372","你我贷套取老客服信息")</f>
        <v>你我贷套取老客服信息</v>
      </c>
      <c r="C3661" s="2" t="s">
        <v>9</v>
      </c>
      <c r="D3661" s="2" t="s">
        <v>10</v>
      </c>
      <c r="E3661" s="2" t="str">
        <f>HYPERLINK("http://ts.21cn.com/tousu/show/id/1334372","http://ts.21cn.com/tousu/show/id/1334372")</f>
        <v>http://ts.21cn.com/tousu/show/id/1334372</v>
      </c>
      <c r="F3661" s="2" t="s">
        <v>11</v>
      </c>
      <c r="G3661" s="2" t="s">
        <v>36945</v>
      </c>
      <c r="H3661" s="2" t="s">
        <v>36878</v>
      </c>
    </row>
    <row r="3662" spans="1:8" ht="25.05" customHeight="1" x14ac:dyDescent="0.25">
      <c r="A3662" s="2" t="s">
        <v>8</v>
      </c>
      <c r="B3662" s="2" t="str">
        <f>HYPERLINK("http://ts.21cn.com/tousu/show/id/1334373","高利贷阴阳合同")</f>
        <v>高利贷阴阳合同</v>
      </c>
      <c r="C3662" s="2" t="s">
        <v>9</v>
      </c>
      <c r="D3662" s="2" t="s">
        <v>10</v>
      </c>
      <c r="E3662" s="2" t="str">
        <f>HYPERLINK("http://ts.21cn.com/tousu/show/id/1334373","http://ts.21cn.com/tousu/show/id/1334373")</f>
        <v>http://ts.21cn.com/tousu/show/id/1334373</v>
      </c>
      <c r="F3662" s="2" t="s">
        <v>11</v>
      </c>
      <c r="G3662" s="2" t="s">
        <v>36943</v>
      </c>
      <c r="H3662" s="2" t="s">
        <v>36944</v>
      </c>
    </row>
    <row r="3663" spans="1:8" ht="25.05" customHeight="1" x14ac:dyDescent="0.25">
      <c r="A3663" s="2" t="s">
        <v>8</v>
      </c>
      <c r="B3663" s="2" t="str">
        <f>HYPERLINK("http://ts.21cn.com/tousu/show/id/1334374","中信银行业务员未告知办理隐藏扣费项目")</f>
        <v>中信银行业务员未告知办理隐藏扣费项目</v>
      </c>
      <c r="C3663" s="2" t="s">
        <v>9</v>
      </c>
      <c r="D3663" s="2" t="s">
        <v>10</v>
      </c>
      <c r="E3663" s="2" t="str">
        <f>HYPERLINK("http://ts.21cn.com/tousu/show/id/1334374","http://ts.21cn.com/tousu/show/id/1334374")</f>
        <v>http://ts.21cn.com/tousu/show/id/1334374</v>
      </c>
      <c r="F3663" s="2" t="s">
        <v>11</v>
      </c>
      <c r="G3663" s="2" t="s">
        <v>36941</v>
      </c>
      <c r="H3663" s="2" t="s">
        <v>36942</v>
      </c>
    </row>
    <row r="3664" spans="1:8" ht="25.05" customHeight="1" x14ac:dyDescent="0.25">
      <c r="A3664" s="2" t="s">
        <v>8</v>
      </c>
      <c r="B3664" s="2" t="str">
        <f>HYPERLINK("http://ts.21cn.com/tousu/show/id/1334375","飞行钱包不给退款")</f>
        <v>飞行钱包不给退款</v>
      </c>
      <c r="C3664" s="2" t="s">
        <v>9</v>
      </c>
      <c r="D3664" s="2" t="s">
        <v>10</v>
      </c>
      <c r="E3664" s="2" t="str">
        <f>HYPERLINK("http://ts.21cn.com/tousu/show/id/1334375","http://ts.21cn.com/tousu/show/id/1334375")</f>
        <v>http://ts.21cn.com/tousu/show/id/1334375</v>
      </c>
      <c r="F3664" s="2" t="s">
        <v>11</v>
      </c>
      <c r="G3664" s="2" t="s">
        <v>36939</v>
      </c>
      <c r="H3664" s="2" t="s">
        <v>36940</v>
      </c>
    </row>
    <row r="3665" spans="1:8" ht="25.05" customHeight="1" x14ac:dyDescent="0.25">
      <c r="A3665" s="2" t="s">
        <v>8</v>
      </c>
      <c r="B3665" s="2" t="str">
        <f>HYPERLINK("http://ts.21cn.com/tousu/show/id/1334376","你我贷还款当日无法手动还款")</f>
        <v>你我贷还款当日无法手动还款</v>
      </c>
      <c r="C3665" s="2" t="s">
        <v>34</v>
      </c>
      <c r="D3665" s="2" t="s">
        <v>10</v>
      </c>
      <c r="E3665" s="2" t="str">
        <f>HYPERLINK("http://ts.21cn.com/tousu/show/id/1334376","http://ts.21cn.com/tousu/show/id/1334376")</f>
        <v>http://ts.21cn.com/tousu/show/id/1334376</v>
      </c>
      <c r="F3665" s="2" t="s">
        <v>11</v>
      </c>
      <c r="G3665" s="2" t="s">
        <v>36937</v>
      </c>
      <c r="H3665" s="2" t="s">
        <v>36938</v>
      </c>
    </row>
    <row r="3666" spans="1:8" ht="25.05" customHeight="1" x14ac:dyDescent="0.25">
      <c r="A3666" s="2" t="s">
        <v>8</v>
      </c>
      <c r="B3666" s="2" t="str">
        <f>HYPERLINK("http://ts.21cn.com/tousu/show/id/1334377","好易借高利贷，砍头息，非法骚扰打爆通讯录")</f>
        <v>好易借高利贷，砍头息，非法骚扰打爆通讯录</v>
      </c>
      <c r="C3666" s="2" t="s">
        <v>9</v>
      </c>
      <c r="D3666" s="2" t="s">
        <v>10</v>
      </c>
      <c r="E3666" s="2" t="str">
        <f>HYPERLINK("http://ts.21cn.com/tousu/show/id/1334377","http://ts.21cn.com/tousu/show/id/1334377")</f>
        <v>http://ts.21cn.com/tousu/show/id/1334377</v>
      </c>
      <c r="F3666" s="2" t="s">
        <v>11</v>
      </c>
      <c r="G3666" s="2" t="s">
        <v>36935</v>
      </c>
      <c r="H3666" s="2" t="s">
        <v>36936</v>
      </c>
    </row>
    <row r="3667" spans="1:8" ht="25.05" customHeight="1" x14ac:dyDescent="0.25">
      <c r="A3667" s="2" t="s">
        <v>8</v>
      </c>
      <c r="B3667" s="2" t="str">
        <f>HYPERLINK("http://ts.21cn.com/tousu/show/id/1334378","拍拍贷给我发威胁恐吓短信，说起诉我，让我去深圳法院开庭")</f>
        <v>拍拍贷给我发威胁恐吓短信，说起诉我，让我去深圳法院开庭</v>
      </c>
      <c r="C3667" s="2" t="s">
        <v>9</v>
      </c>
      <c r="D3667" s="2" t="s">
        <v>10</v>
      </c>
      <c r="E3667" s="2" t="str">
        <f>HYPERLINK("http://ts.21cn.com/tousu/show/id/1334378","http://ts.21cn.com/tousu/show/id/1334378")</f>
        <v>http://ts.21cn.com/tousu/show/id/1334378</v>
      </c>
      <c r="F3667" s="2" t="s">
        <v>11</v>
      </c>
      <c r="G3667" s="2" t="s">
        <v>36933</v>
      </c>
      <c r="H3667" s="2" t="s">
        <v>36934</v>
      </c>
    </row>
    <row r="3668" spans="1:8" ht="25.05" customHeight="1" x14ac:dyDescent="0.25">
      <c r="A3668" s="2" t="s">
        <v>8</v>
      </c>
      <c r="B3668" s="2" t="str">
        <f>HYPERLINK("http://ts.21cn.com/tousu/show/id/1334380","砍头息，高利贷平台---“微贷”")</f>
        <v>砍头息，高利贷平台---“微贷”</v>
      </c>
      <c r="C3668" s="2" t="s">
        <v>9</v>
      </c>
      <c r="D3668" s="2" t="s">
        <v>10</v>
      </c>
      <c r="E3668" s="2" t="str">
        <f>HYPERLINK("http://ts.21cn.com/tousu/show/id/1334380","http://ts.21cn.com/tousu/show/id/1334380")</f>
        <v>http://ts.21cn.com/tousu/show/id/1334380</v>
      </c>
      <c r="F3668" s="2" t="s">
        <v>11</v>
      </c>
      <c r="G3668" s="2" t="s">
        <v>36931</v>
      </c>
      <c r="H3668" s="2" t="s">
        <v>36932</v>
      </c>
    </row>
    <row r="3669" spans="1:8" ht="25.05" customHeight="1" x14ac:dyDescent="0.25">
      <c r="A3669" s="2" t="s">
        <v>8</v>
      </c>
      <c r="B3669" s="2" t="str">
        <f>HYPERLINK("http://ts.21cn.com/tousu/show/id/1334379","小浦优客私自扣钱")</f>
        <v>小浦优客私自扣钱</v>
      </c>
      <c r="C3669" s="2" t="s">
        <v>9</v>
      </c>
      <c r="D3669" s="2" t="s">
        <v>10</v>
      </c>
      <c r="E3669" s="2" t="str">
        <f>HYPERLINK("http://ts.21cn.com/tousu/show/id/1334379","http://ts.21cn.com/tousu/show/id/1334379")</f>
        <v>http://ts.21cn.com/tousu/show/id/1334379</v>
      </c>
      <c r="F3669" s="2" t="s">
        <v>11</v>
      </c>
      <c r="G3669" s="2" t="s">
        <v>36929</v>
      </c>
      <c r="H3669" s="2" t="s">
        <v>36930</v>
      </c>
    </row>
    <row r="3670" spans="1:8" ht="25.05" customHeight="1" x14ac:dyDescent="0.25">
      <c r="A3670" s="2" t="s">
        <v>8</v>
      </c>
      <c r="B3670" s="2" t="str">
        <f>HYPERLINK("http://ts.21cn.com/tousu/show/id/1334381","造艺科技无故扣款")</f>
        <v>造艺科技无故扣款</v>
      </c>
      <c r="C3670" s="2" t="s">
        <v>9</v>
      </c>
      <c r="D3670" s="2" t="s">
        <v>10</v>
      </c>
      <c r="E3670" s="2" t="str">
        <f>HYPERLINK("http://ts.21cn.com/tousu/show/id/1334381","http://ts.21cn.com/tousu/show/id/1334381")</f>
        <v>http://ts.21cn.com/tousu/show/id/1334381</v>
      </c>
      <c r="F3670" s="2" t="s">
        <v>11</v>
      </c>
      <c r="G3670" s="2" t="s">
        <v>36927</v>
      </c>
      <c r="H3670" s="2" t="s">
        <v>36928</v>
      </c>
    </row>
    <row r="3671" spans="1:8" ht="25.05" customHeight="1" x14ac:dyDescent="0.25">
      <c r="A3671" s="2" t="s">
        <v>8</v>
      </c>
      <c r="B3671" s="2" t="str">
        <f>HYPERLINK("http://ts.21cn.com/tousu/show/id/1334199","助力钱包里面的极速钱包违反国家规定，超级高利贷")</f>
        <v>助力钱包里面的极速钱包违反国家规定，超级高利贷</v>
      </c>
      <c r="C3671" s="2" t="s">
        <v>9</v>
      </c>
      <c r="D3671" s="2" t="s">
        <v>10</v>
      </c>
      <c r="E3671" s="2" t="str">
        <f>HYPERLINK("http://ts.21cn.com/tousu/show/id/1334199","http://ts.21cn.com/tousu/show/id/1334199")</f>
        <v>http://ts.21cn.com/tousu/show/id/1334199</v>
      </c>
      <c r="F3671" s="2" t="s">
        <v>11</v>
      </c>
      <c r="G3671" s="2" t="s">
        <v>36925</v>
      </c>
      <c r="H3671" s="2" t="s">
        <v>36926</v>
      </c>
    </row>
    <row r="3672" spans="1:8" ht="25.05" customHeight="1" x14ac:dyDescent="0.25">
      <c r="A3672" s="2" t="s">
        <v>8</v>
      </c>
      <c r="B3672" s="2" t="str">
        <f>HYPERLINK("http://ts.21cn.com/tousu/show/id/1334383","高利贷")</f>
        <v>高利贷</v>
      </c>
      <c r="C3672" s="2" t="s">
        <v>9</v>
      </c>
      <c r="D3672" s="2" t="s">
        <v>10</v>
      </c>
      <c r="E3672" s="2" t="str">
        <f>HYPERLINK("http://ts.21cn.com/tousu/show/id/1334383","http://ts.21cn.com/tousu/show/id/1334383")</f>
        <v>http://ts.21cn.com/tousu/show/id/1334383</v>
      </c>
      <c r="F3672" s="2" t="s">
        <v>11</v>
      </c>
      <c r="G3672" s="2" t="s">
        <v>36923</v>
      </c>
      <c r="H3672" s="2" t="s">
        <v>36924</v>
      </c>
    </row>
    <row r="3673" spans="1:8" ht="25.05" customHeight="1" x14ac:dyDescent="0.25">
      <c r="A3673" s="2" t="s">
        <v>8</v>
      </c>
      <c r="B3673" s="2" t="str">
        <f>HYPERLINK("http://ts.21cn.com/tousu/show/id/1334385","闪银违规收取砍头息，强制购物借款")</f>
        <v>闪银违规收取砍头息，强制购物借款</v>
      </c>
      <c r="C3673" s="2" t="s">
        <v>9</v>
      </c>
      <c r="D3673" s="2" t="s">
        <v>10</v>
      </c>
      <c r="E3673" s="2" t="str">
        <f>HYPERLINK("http://ts.21cn.com/tousu/show/id/1334385","http://ts.21cn.com/tousu/show/id/1334385")</f>
        <v>http://ts.21cn.com/tousu/show/id/1334385</v>
      </c>
      <c r="F3673" s="2" t="s">
        <v>11</v>
      </c>
      <c r="G3673" s="2" t="s">
        <v>36922</v>
      </c>
      <c r="H3673" s="2" t="s">
        <v>34188</v>
      </c>
    </row>
    <row r="3674" spans="1:8" ht="25.05" customHeight="1" x14ac:dyDescent="0.25">
      <c r="A3674" s="2" t="s">
        <v>8</v>
      </c>
      <c r="B3674" s="2" t="str">
        <f>HYPERLINK("http://ts.21cn.com/tousu/show/id/1334384","态度恶劣恐吓威胁")</f>
        <v>态度恶劣恐吓威胁</v>
      </c>
      <c r="C3674" s="2" t="s">
        <v>9</v>
      </c>
      <c r="D3674" s="2" t="s">
        <v>10</v>
      </c>
      <c r="E3674" s="2" t="str">
        <f>HYPERLINK("http://ts.21cn.com/tousu/show/id/1334384","http://ts.21cn.com/tousu/show/id/1334384")</f>
        <v>http://ts.21cn.com/tousu/show/id/1334384</v>
      </c>
      <c r="F3674" s="2" t="s">
        <v>11</v>
      </c>
      <c r="G3674" s="2" t="s">
        <v>36920</v>
      </c>
      <c r="H3674" s="2" t="s">
        <v>36921</v>
      </c>
    </row>
    <row r="3675" spans="1:8" ht="25.05" customHeight="1" x14ac:dyDescent="0.25">
      <c r="A3675" s="2" t="s">
        <v>8</v>
      </c>
      <c r="B3675" s="2" t="str">
        <f>HYPERLINK("http://ts.21cn.com/tousu/show/id/1334387","高利贷威胁")</f>
        <v>高利贷威胁</v>
      </c>
      <c r="C3675" s="2" t="s">
        <v>9</v>
      </c>
      <c r="D3675" s="2" t="s">
        <v>10</v>
      </c>
      <c r="E3675" s="2" t="str">
        <f>HYPERLINK("http://ts.21cn.com/tousu/show/id/1334387","http://ts.21cn.com/tousu/show/id/1334387")</f>
        <v>http://ts.21cn.com/tousu/show/id/1334387</v>
      </c>
      <c r="F3675" s="2" t="s">
        <v>11</v>
      </c>
      <c r="G3675" s="2" t="s">
        <v>36918</v>
      </c>
      <c r="H3675" s="2" t="s">
        <v>36919</v>
      </c>
    </row>
    <row r="3676" spans="1:8" ht="25.05" customHeight="1" x14ac:dyDescent="0.25">
      <c r="A3676" s="2" t="s">
        <v>8</v>
      </c>
      <c r="B3676" s="2" t="str">
        <f>HYPERLINK("http://ts.21cn.com/tousu/show/id/1334386","快易花威胁恐吓")</f>
        <v>快易花威胁恐吓</v>
      </c>
      <c r="C3676" s="2" t="s">
        <v>9</v>
      </c>
      <c r="D3676" s="2" t="s">
        <v>10</v>
      </c>
      <c r="E3676" s="2" t="str">
        <f>HYPERLINK("http://ts.21cn.com/tousu/show/id/1334386","http://ts.21cn.com/tousu/show/id/1334386")</f>
        <v>http://ts.21cn.com/tousu/show/id/1334386</v>
      </c>
      <c r="F3676" s="2" t="s">
        <v>11</v>
      </c>
      <c r="G3676" s="2" t="s">
        <v>36916</v>
      </c>
      <c r="H3676" s="2" t="s">
        <v>36917</v>
      </c>
    </row>
    <row r="3677" spans="1:8" ht="25.05" customHeight="1" x14ac:dyDescent="0.25">
      <c r="A3677" s="2" t="s">
        <v>8</v>
      </c>
      <c r="B3677" s="2" t="str">
        <f>HYPERLINK("http://ts.21cn.com/tousu/show/id/1334390","百事普惠恶意扣款")</f>
        <v>百事普惠恶意扣款</v>
      </c>
      <c r="C3677" s="2" t="s">
        <v>9</v>
      </c>
      <c r="D3677" s="2" t="s">
        <v>10</v>
      </c>
      <c r="E3677" s="2" t="str">
        <f>HYPERLINK("http://ts.21cn.com/tousu/show/id/1334390","http://ts.21cn.com/tousu/show/id/1334390")</f>
        <v>http://ts.21cn.com/tousu/show/id/1334390</v>
      </c>
      <c r="F3677" s="2" t="s">
        <v>11</v>
      </c>
      <c r="G3677" s="2" t="s">
        <v>36913</v>
      </c>
      <c r="H3677" s="2" t="s">
        <v>36914</v>
      </c>
    </row>
    <row r="3678" spans="1:8" ht="25.05" customHeight="1" x14ac:dyDescent="0.25">
      <c r="A3678" s="2" t="s">
        <v>8</v>
      </c>
      <c r="B3678" s="2" t="str">
        <f>HYPERLINK("http://ts.21cn.com/tousu/show/id/1334388","汇潮支付合作的肥猫贷")</f>
        <v>汇潮支付合作的肥猫贷</v>
      </c>
      <c r="C3678" s="2" t="s">
        <v>9</v>
      </c>
      <c r="D3678" s="2" t="s">
        <v>10</v>
      </c>
      <c r="E3678" s="2" t="str">
        <f>HYPERLINK("http://ts.21cn.com/tousu/show/id/1334388","http://ts.21cn.com/tousu/show/id/1334388")</f>
        <v>http://ts.21cn.com/tousu/show/id/1334388</v>
      </c>
      <c r="F3678" s="2" t="s">
        <v>11</v>
      </c>
      <c r="G3678" s="2" t="s">
        <v>36913</v>
      </c>
      <c r="H3678" s="2" t="s">
        <v>36915</v>
      </c>
    </row>
    <row r="3679" spans="1:8" ht="25.05" customHeight="1" x14ac:dyDescent="0.25">
      <c r="A3679" s="2" t="s">
        <v>8</v>
      </c>
      <c r="B3679" s="2" t="str">
        <f>HYPERLINK("http://ts.21cn.com/tousu/show/id/1334382","开店宝业务员诱导我办理免费pos机，收取298押金不退还虚假宣传")</f>
        <v>开店宝业务员诱导我办理免费pos机，收取298押金不退还虚假宣传</v>
      </c>
      <c r="C3679" s="2" t="s">
        <v>9</v>
      </c>
      <c r="D3679" s="2" t="s">
        <v>10</v>
      </c>
      <c r="E3679" s="2" t="str">
        <f>HYPERLINK("http://ts.21cn.com/tousu/show/id/1334382","http://ts.21cn.com/tousu/show/id/1334382")</f>
        <v>http://ts.21cn.com/tousu/show/id/1334382</v>
      </c>
      <c r="F3679" s="2" t="s">
        <v>11</v>
      </c>
      <c r="G3679" s="2" t="s">
        <v>36911</v>
      </c>
      <c r="H3679" s="2" t="s">
        <v>36912</v>
      </c>
    </row>
    <row r="3680" spans="1:8" ht="25.05" customHeight="1" x14ac:dyDescent="0.25">
      <c r="A3680" s="2" t="s">
        <v>8</v>
      </c>
      <c r="B3680" s="2" t="str">
        <f>HYPERLINK("http://ts.21cn.com/tousu/show/id/1334392","高利贷，恐吓")</f>
        <v>高利贷，恐吓</v>
      </c>
      <c r="C3680" s="2" t="s">
        <v>9</v>
      </c>
      <c r="D3680" s="2" t="s">
        <v>10</v>
      </c>
      <c r="E3680" s="2" t="str">
        <f>HYPERLINK("http://ts.21cn.com/tousu/show/id/1334392","http://ts.21cn.com/tousu/show/id/1334392")</f>
        <v>http://ts.21cn.com/tousu/show/id/1334392</v>
      </c>
      <c r="F3680" s="2" t="s">
        <v>11</v>
      </c>
      <c r="G3680" s="2" t="s">
        <v>36909</v>
      </c>
      <c r="H3680" s="2" t="s">
        <v>36910</v>
      </c>
    </row>
    <row r="3681" spans="1:8" ht="25.05" customHeight="1" x14ac:dyDescent="0.25">
      <c r="A3681" s="2" t="s">
        <v>8</v>
      </c>
      <c r="B3681" s="2" t="str">
        <f>HYPERLINK("http://ts.21cn.com/tousu/show/id/1334393","苏宁易购答谢会")</f>
        <v>苏宁易购答谢会</v>
      </c>
      <c r="C3681" s="2" t="s">
        <v>9</v>
      </c>
      <c r="D3681" s="2" t="s">
        <v>10</v>
      </c>
      <c r="E3681" s="2" t="str">
        <f>HYPERLINK("http://ts.21cn.com/tousu/show/id/1334393","http://ts.21cn.com/tousu/show/id/1334393")</f>
        <v>http://ts.21cn.com/tousu/show/id/1334393</v>
      </c>
      <c r="F3681" s="2" t="s">
        <v>11</v>
      </c>
      <c r="G3681" s="2" t="s">
        <v>36907</v>
      </c>
      <c r="H3681" s="2" t="s">
        <v>36908</v>
      </c>
    </row>
    <row r="3682" spans="1:8" ht="25.05" customHeight="1" x14ac:dyDescent="0.25">
      <c r="A3682" s="2" t="s">
        <v>8</v>
      </c>
      <c r="B3682" s="2" t="str">
        <f>HYPERLINK("http://ts.21cn.com/tousu/show/id/1334394","为网贷平台提供收款渠道")</f>
        <v>为网贷平台提供收款渠道</v>
      </c>
      <c r="C3682" s="2" t="s">
        <v>9</v>
      </c>
      <c r="D3682" s="2" t="s">
        <v>10</v>
      </c>
      <c r="E3682" s="2" t="str">
        <f>HYPERLINK("http://ts.21cn.com/tousu/show/id/1334394","http://ts.21cn.com/tousu/show/id/1334394")</f>
        <v>http://ts.21cn.com/tousu/show/id/1334394</v>
      </c>
      <c r="F3682" s="2" t="s">
        <v>11</v>
      </c>
      <c r="G3682" s="2" t="s">
        <v>36905</v>
      </c>
      <c r="H3682" s="2" t="s">
        <v>36906</v>
      </c>
    </row>
    <row r="3683" spans="1:8" ht="25.05" customHeight="1" x14ac:dyDescent="0.25">
      <c r="A3683" s="2" t="s">
        <v>8</v>
      </c>
      <c r="B3683" s="2" t="str">
        <f>HYPERLINK("http://ts.21cn.com/tousu/show/id/1334396","借款成功不放款")</f>
        <v>借款成功不放款</v>
      </c>
      <c r="C3683" s="2" t="s">
        <v>34</v>
      </c>
      <c r="D3683" s="2" t="s">
        <v>10</v>
      </c>
      <c r="E3683" s="2" t="str">
        <f>HYPERLINK("http://ts.21cn.com/tousu/show/id/1334396","http://ts.21cn.com/tousu/show/id/1334396")</f>
        <v>http://ts.21cn.com/tousu/show/id/1334396</v>
      </c>
      <c r="F3683" s="2" t="s">
        <v>11</v>
      </c>
      <c r="G3683" s="2" t="s">
        <v>36903</v>
      </c>
      <c r="H3683" s="2" t="s">
        <v>36904</v>
      </c>
    </row>
    <row r="3684" spans="1:8" ht="25.05" customHeight="1" x14ac:dyDescent="0.25">
      <c r="A3684" s="2" t="s">
        <v>8</v>
      </c>
      <c r="B3684" s="2" t="str">
        <f>HYPERLINK("http://ts.21cn.com/tousu/show/id/1334397","虚假宣传购买会员")</f>
        <v>虚假宣传购买会员</v>
      </c>
      <c r="C3684" s="2" t="s">
        <v>9</v>
      </c>
      <c r="D3684" s="2" t="s">
        <v>10</v>
      </c>
      <c r="E3684" s="2" t="str">
        <f>HYPERLINK("http://ts.21cn.com/tousu/show/id/1334397","http://ts.21cn.com/tousu/show/id/1334397")</f>
        <v>http://ts.21cn.com/tousu/show/id/1334397</v>
      </c>
      <c r="F3684" s="2" t="s">
        <v>11</v>
      </c>
      <c r="G3684" s="2" t="s">
        <v>36901</v>
      </c>
      <c r="H3684" s="2" t="s">
        <v>36902</v>
      </c>
    </row>
    <row r="3685" spans="1:8" ht="25.05" customHeight="1" x14ac:dyDescent="0.25">
      <c r="A3685" s="2" t="s">
        <v>8</v>
      </c>
      <c r="B3685" s="2" t="str">
        <f>HYPERLINK("http://ts.21cn.com/tousu/show/id/1234302","案情举报")</f>
        <v>案情举报</v>
      </c>
      <c r="C3685" s="2" t="s">
        <v>9</v>
      </c>
      <c r="D3685" s="2" t="s">
        <v>10</v>
      </c>
      <c r="E3685" s="2" t="str">
        <f>HYPERLINK("http://ts.21cn.com/tousu/show/id/1234302","http://ts.21cn.com/tousu/show/id/1234302")</f>
        <v>http://ts.21cn.com/tousu/show/id/1234302</v>
      </c>
      <c r="F3685" s="2" t="s">
        <v>11</v>
      </c>
      <c r="G3685" s="2" t="s">
        <v>36899</v>
      </c>
      <c r="H3685" s="2" t="s">
        <v>36900</v>
      </c>
    </row>
    <row r="3686" spans="1:8" ht="25.05" customHeight="1" x14ac:dyDescent="0.25">
      <c r="A3686" s="2" t="s">
        <v>8</v>
      </c>
      <c r="B3686" s="2" t="str">
        <f>HYPERLINK("http://ts.21cn.com/tousu/show/id/1334398","电话骚扰")</f>
        <v>电话骚扰</v>
      </c>
      <c r="C3686" s="2" t="s">
        <v>9</v>
      </c>
      <c r="D3686" s="2" t="s">
        <v>10</v>
      </c>
      <c r="E3686" s="2" t="str">
        <f>HYPERLINK("http://ts.21cn.com/tousu/show/id/1334398","http://ts.21cn.com/tousu/show/id/1334398")</f>
        <v>http://ts.21cn.com/tousu/show/id/1334398</v>
      </c>
      <c r="F3686" s="2" t="s">
        <v>11</v>
      </c>
      <c r="G3686" s="2" t="s">
        <v>36897</v>
      </c>
      <c r="H3686" s="2" t="s">
        <v>36898</v>
      </c>
    </row>
    <row r="3687" spans="1:8" ht="25.05" customHeight="1" x14ac:dyDescent="0.25">
      <c r="A3687" s="2" t="s">
        <v>8</v>
      </c>
      <c r="B3687" s="2" t="str">
        <f>HYPERLINK("http://ts.21cn.com/tousu/show/id/1334399","钱站高利贷阴阳合同")</f>
        <v>钱站高利贷阴阳合同</v>
      </c>
      <c r="C3687" s="2" t="s">
        <v>9</v>
      </c>
      <c r="D3687" s="2" t="s">
        <v>10</v>
      </c>
      <c r="E3687" s="2" t="str">
        <f>HYPERLINK("http://ts.21cn.com/tousu/show/id/1334399","http://ts.21cn.com/tousu/show/id/1334399")</f>
        <v>http://ts.21cn.com/tousu/show/id/1334399</v>
      </c>
      <c r="F3687" s="2" t="s">
        <v>11</v>
      </c>
      <c r="G3687" s="2" t="s">
        <v>36895</v>
      </c>
      <c r="H3687" s="2" t="s">
        <v>36896</v>
      </c>
    </row>
    <row r="3688" spans="1:8" ht="25.05" customHeight="1" x14ac:dyDescent="0.25">
      <c r="A3688" s="2" t="s">
        <v>8</v>
      </c>
      <c r="B3688" s="2" t="str">
        <f>HYPERLINK("http://ts.21cn.com/tousu/show/id/1334198","汇收宜扣押7995元，一直不退款，投诉无门，望解决！")</f>
        <v>汇收宜扣押7995元，一直不退款，投诉无门，望解决！</v>
      </c>
      <c r="C3688" s="2" t="s">
        <v>9</v>
      </c>
      <c r="D3688" s="2" t="s">
        <v>10</v>
      </c>
      <c r="E3688" s="2" t="str">
        <f>HYPERLINK("http://ts.21cn.com/tousu/show/id/1334198","http://ts.21cn.com/tousu/show/id/1334198")</f>
        <v>http://ts.21cn.com/tousu/show/id/1334198</v>
      </c>
      <c r="F3688" s="2" t="s">
        <v>11</v>
      </c>
      <c r="G3688" s="2" t="s">
        <v>36893</v>
      </c>
      <c r="H3688" s="2" t="s">
        <v>36894</v>
      </c>
    </row>
    <row r="3689" spans="1:8" ht="25.05" customHeight="1" x14ac:dyDescent="0.25">
      <c r="A3689" s="2" t="s">
        <v>8</v>
      </c>
      <c r="B3689" s="2" t="str">
        <f>HYPERLINK("http://ts.21cn.com/tousu/show/id/1334400","新橙优品拖延不放款")</f>
        <v>新橙优品拖延不放款</v>
      </c>
      <c r="C3689" s="2" t="s">
        <v>9</v>
      </c>
      <c r="D3689" s="2" t="s">
        <v>10</v>
      </c>
      <c r="E3689" s="2" t="str">
        <f>HYPERLINK("http://ts.21cn.com/tousu/show/id/1334400","http://ts.21cn.com/tousu/show/id/1334400")</f>
        <v>http://ts.21cn.com/tousu/show/id/1334400</v>
      </c>
      <c r="F3689" s="2" t="s">
        <v>11</v>
      </c>
      <c r="G3689" s="2" t="s">
        <v>36891</v>
      </c>
      <c r="H3689" s="2" t="s">
        <v>36892</v>
      </c>
    </row>
    <row r="3690" spans="1:8" ht="25.05" customHeight="1" x14ac:dyDescent="0.25">
      <c r="A3690" s="2" t="s">
        <v>8</v>
      </c>
      <c r="B3690" s="2" t="str">
        <f>HYPERLINK("http://ts.21cn.com/tousu/show/id/1334401","卖家找回账号客服不给处理")</f>
        <v>卖家找回账号客服不给处理</v>
      </c>
      <c r="C3690" s="2" t="s">
        <v>9</v>
      </c>
      <c r="D3690" s="2" t="s">
        <v>10</v>
      </c>
      <c r="E3690" s="2" t="str">
        <f>HYPERLINK("http://ts.21cn.com/tousu/show/id/1334401","http://ts.21cn.com/tousu/show/id/1334401")</f>
        <v>http://ts.21cn.com/tousu/show/id/1334401</v>
      </c>
      <c r="F3690" s="2" t="s">
        <v>11</v>
      </c>
      <c r="G3690" s="2" t="s">
        <v>36889</v>
      </c>
      <c r="H3690" s="2" t="s">
        <v>36890</v>
      </c>
    </row>
    <row r="3691" spans="1:8" ht="25.05" customHeight="1" x14ac:dyDescent="0.25">
      <c r="A3691" s="2" t="s">
        <v>8</v>
      </c>
      <c r="B3691" s="2" t="str">
        <f>HYPERLINK("http://ts.21cn.com/tousu/show/id/1334402","捷信合同欺诈")</f>
        <v>捷信合同欺诈</v>
      </c>
      <c r="C3691" s="2" t="s">
        <v>9</v>
      </c>
      <c r="D3691" s="2" t="s">
        <v>10</v>
      </c>
      <c r="E3691" s="2" t="str">
        <f>HYPERLINK("http://ts.21cn.com/tousu/show/id/1334402","http://ts.21cn.com/tousu/show/id/1334402")</f>
        <v>http://ts.21cn.com/tousu/show/id/1334402</v>
      </c>
      <c r="F3691" s="2" t="s">
        <v>11</v>
      </c>
      <c r="G3691" s="2" t="s">
        <v>36887</v>
      </c>
      <c r="H3691" s="2" t="s">
        <v>36888</v>
      </c>
    </row>
    <row r="3692" spans="1:8" ht="25.05" customHeight="1" x14ac:dyDescent="0.25">
      <c r="A3692" s="2" t="s">
        <v>8</v>
      </c>
      <c r="B3692" s="2" t="str">
        <f>HYPERLINK("http://ts.21cn.com/tousu/show/id/1334403","宜信宜人贷高额收取代款利息及砍头息5万多元")</f>
        <v>宜信宜人贷高额收取代款利息及砍头息5万多元</v>
      </c>
      <c r="C3692" s="2" t="s">
        <v>9</v>
      </c>
      <c r="D3692" s="2" t="s">
        <v>10</v>
      </c>
      <c r="E3692" s="2" t="str">
        <f>HYPERLINK("http://ts.21cn.com/tousu/show/id/1334403","http://ts.21cn.com/tousu/show/id/1334403")</f>
        <v>http://ts.21cn.com/tousu/show/id/1334403</v>
      </c>
      <c r="F3692" s="2" t="s">
        <v>11</v>
      </c>
      <c r="G3692" s="2" t="s">
        <v>36885</v>
      </c>
      <c r="H3692" s="2" t="s">
        <v>36886</v>
      </c>
    </row>
    <row r="3693" spans="1:8" ht="25.05" customHeight="1" x14ac:dyDescent="0.25">
      <c r="A3693" s="2" t="s">
        <v>8</v>
      </c>
      <c r="B3693" s="2" t="str">
        <f>HYPERLINK("http://ts.21cn.com/tousu/show/id/1334404","钱站逾期费高")</f>
        <v>钱站逾期费高</v>
      </c>
      <c r="C3693" s="2" t="s">
        <v>9</v>
      </c>
      <c r="D3693" s="2" t="s">
        <v>10</v>
      </c>
      <c r="E3693" s="2" t="str">
        <f>HYPERLINK("http://ts.21cn.com/tousu/show/id/1334404","http://ts.21cn.com/tousu/show/id/1334404")</f>
        <v>http://ts.21cn.com/tousu/show/id/1334404</v>
      </c>
      <c r="F3693" s="2" t="s">
        <v>11</v>
      </c>
      <c r="G3693" s="2" t="s">
        <v>36883</v>
      </c>
      <c r="H3693" s="2" t="s">
        <v>36884</v>
      </c>
    </row>
    <row r="3694" spans="1:8" ht="25.05" customHeight="1" x14ac:dyDescent="0.25">
      <c r="A3694" s="2" t="s">
        <v>8</v>
      </c>
      <c r="B3694" s="2" t="str">
        <f>HYPERLINK("http://ts.21cn.com/tousu/show/id/1334405","骚扰我的朋友")</f>
        <v>骚扰我的朋友</v>
      </c>
      <c r="C3694" s="2" t="s">
        <v>9</v>
      </c>
      <c r="D3694" s="2" t="s">
        <v>10</v>
      </c>
      <c r="E3694" s="2" t="str">
        <f>HYPERLINK("http://ts.21cn.com/tousu/show/id/1334405","http://ts.21cn.com/tousu/show/id/1334405")</f>
        <v>http://ts.21cn.com/tousu/show/id/1334405</v>
      </c>
      <c r="F3694" s="2" t="s">
        <v>11</v>
      </c>
      <c r="G3694" s="2" t="s">
        <v>36881</v>
      </c>
      <c r="H3694" s="2" t="s">
        <v>36882</v>
      </c>
    </row>
    <row r="3695" spans="1:8" ht="25.05" customHeight="1" x14ac:dyDescent="0.25">
      <c r="A3695" s="2" t="s">
        <v>8</v>
      </c>
      <c r="B3695" s="2" t="str">
        <f>HYPERLINK("http://ts.21cn.com/tousu/show/id/1334408","自由魔卡六便士砍头息高利贷")</f>
        <v>自由魔卡六便士砍头息高利贷</v>
      </c>
      <c r="C3695" s="2" t="s">
        <v>34</v>
      </c>
      <c r="D3695" s="2" t="s">
        <v>10</v>
      </c>
      <c r="E3695" s="2" t="str">
        <f>HYPERLINK("http://ts.21cn.com/tousu/show/id/1334408","http://ts.21cn.com/tousu/show/id/1334408")</f>
        <v>http://ts.21cn.com/tousu/show/id/1334408</v>
      </c>
      <c r="F3695" s="2" t="s">
        <v>11</v>
      </c>
      <c r="G3695" s="2" t="s">
        <v>36879</v>
      </c>
      <c r="H3695" s="2" t="s">
        <v>36880</v>
      </c>
    </row>
    <row r="3696" spans="1:8" ht="25.05" customHeight="1" x14ac:dyDescent="0.25">
      <c r="A3696" s="2" t="s">
        <v>8</v>
      </c>
      <c r="B3696" s="2" t="str">
        <f>HYPERLINK("http://ts.21cn.com/tousu/show/id/1334406","你我贷套取老客户信息")</f>
        <v>你我贷套取老客户信息</v>
      </c>
      <c r="C3696" s="2" t="s">
        <v>9</v>
      </c>
      <c r="D3696" s="2" t="s">
        <v>10</v>
      </c>
      <c r="E3696" s="2" t="str">
        <f>HYPERLINK("http://ts.21cn.com/tousu/show/id/1334406","http://ts.21cn.com/tousu/show/id/1334406")</f>
        <v>http://ts.21cn.com/tousu/show/id/1334406</v>
      </c>
      <c r="F3696" s="2" t="s">
        <v>11</v>
      </c>
      <c r="G3696" s="2" t="s">
        <v>36877</v>
      </c>
      <c r="H3696" s="2" t="s">
        <v>36878</v>
      </c>
    </row>
    <row r="3697" spans="1:8" ht="25.05" customHeight="1" x14ac:dyDescent="0.25">
      <c r="A3697" s="2" t="s">
        <v>8</v>
      </c>
      <c r="B3697" s="2" t="str">
        <f>HYPERLINK("http://ts.21cn.com/tousu/show/id/1334407","暴力催收，高利贷，砍头息")</f>
        <v>暴力催收，高利贷，砍头息</v>
      </c>
      <c r="C3697" s="2" t="s">
        <v>9</v>
      </c>
      <c r="D3697" s="2" t="s">
        <v>10</v>
      </c>
      <c r="E3697" s="2" t="str">
        <f>HYPERLINK("http://ts.21cn.com/tousu/show/id/1334407","http://ts.21cn.com/tousu/show/id/1334407")</f>
        <v>http://ts.21cn.com/tousu/show/id/1334407</v>
      </c>
      <c r="F3697" s="2" t="s">
        <v>11</v>
      </c>
      <c r="G3697" s="2" t="s">
        <v>36875</v>
      </c>
      <c r="H3697" s="2" t="s">
        <v>36876</v>
      </c>
    </row>
    <row r="3698" spans="1:8" ht="25.05" customHeight="1" x14ac:dyDescent="0.25">
      <c r="A3698" s="2" t="s">
        <v>8</v>
      </c>
      <c r="B3698" s="2" t="str">
        <f>HYPERLINK("http://ts.21cn.com/tousu/show/id/1334409","阴阳合同")</f>
        <v>阴阳合同</v>
      </c>
      <c r="C3698" s="2" t="s">
        <v>9</v>
      </c>
      <c r="D3698" s="2" t="s">
        <v>10</v>
      </c>
      <c r="E3698" s="2" t="str">
        <f>HYPERLINK("http://ts.21cn.com/tousu/show/id/1334409","http://ts.21cn.com/tousu/show/id/1334409")</f>
        <v>http://ts.21cn.com/tousu/show/id/1334409</v>
      </c>
      <c r="F3698" s="2" t="s">
        <v>11</v>
      </c>
      <c r="G3698" s="2" t="s">
        <v>36873</v>
      </c>
      <c r="H3698" s="2" t="s">
        <v>36874</v>
      </c>
    </row>
    <row r="3699" spans="1:8" ht="25.05" customHeight="1" x14ac:dyDescent="0.25">
      <c r="A3699" s="2" t="s">
        <v>8</v>
      </c>
      <c r="B3699" s="2" t="str">
        <f>HYPERLINK("http://ts.21cn.com/tousu/show/id/1334410","本人微信支付资金。商家没退款")</f>
        <v>本人微信支付资金。商家没退款</v>
      </c>
      <c r="C3699" s="2" t="s">
        <v>9</v>
      </c>
      <c r="D3699" s="2" t="s">
        <v>10</v>
      </c>
      <c r="E3699" s="2" t="str">
        <f>HYPERLINK("http://ts.21cn.com/tousu/show/id/1334410","http://ts.21cn.com/tousu/show/id/1334410")</f>
        <v>http://ts.21cn.com/tousu/show/id/1334410</v>
      </c>
      <c r="F3699" s="2" t="s">
        <v>11</v>
      </c>
      <c r="G3699" s="2" t="s">
        <v>36871</v>
      </c>
      <c r="H3699" s="2" t="s">
        <v>36872</v>
      </c>
    </row>
    <row r="3700" spans="1:8" ht="25.05" customHeight="1" x14ac:dyDescent="0.25">
      <c r="A3700" s="2" t="s">
        <v>8</v>
      </c>
      <c r="B3700" s="2" t="str">
        <f>HYPERLINK("http://ts.21cn.com/tousu/show/id/1334411","小通商城恶意扣款")</f>
        <v>小通商城恶意扣款</v>
      </c>
      <c r="C3700" s="2" t="s">
        <v>9</v>
      </c>
      <c r="D3700" s="2" t="s">
        <v>10</v>
      </c>
      <c r="E3700" s="2" t="str">
        <f>HYPERLINK("http://ts.21cn.com/tousu/show/id/1334411","http://ts.21cn.com/tousu/show/id/1334411")</f>
        <v>http://ts.21cn.com/tousu/show/id/1334411</v>
      </c>
      <c r="F3700" s="2" t="s">
        <v>11</v>
      </c>
      <c r="G3700" s="2" t="s">
        <v>36869</v>
      </c>
      <c r="H3700" s="2" t="s">
        <v>36870</v>
      </c>
    </row>
    <row r="3701" spans="1:8" ht="25.05" customHeight="1" x14ac:dyDescent="0.25">
      <c r="A3701" s="2" t="s">
        <v>8</v>
      </c>
      <c r="B3701" s="2" t="str">
        <f>HYPERLINK("http://ts.21cn.com/tousu/show/id/1334412","闪银哼哼借款订单不能取消，属于套路客户")</f>
        <v>闪银哼哼借款订单不能取消，属于套路客户</v>
      </c>
      <c r="C3701" s="2" t="s">
        <v>9</v>
      </c>
      <c r="D3701" s="2" t="s">
        <v>10</v>
      </c>
      <c r="E3701" s="2" t="str">
        <f>HYPERLINK("http://ts.21cn.com/tousu/show/id/1334412","http://ts.21cn.com/tousu/show/id/1334412")</f>
        <v>http://ts.21cn.com/tousu/show/id/1334412</v>
      </c>
      <c r="F3701" s="2" t="s">
        <v>11</v>
      </c>
      <c r="G3701" s="2" t="s">
        <v>36867</v>
      </c>
      <c r="H3701" s="2" t="s">
        <v>36868</v>
      </c>
    </row>
    <row r="3702" spans="1:8" ht="25.05" customHeight="1" x14ac:dyDescent="0.25">
      <c r="A3702" s="2" t="s">
        <v>8</v>
      </c>
      <c r="B3702" s="2" t="str">
        <f>HYPERLINK("http://ts.21cn.com/tousu/show/id/1334413","西部明珠会员卡虚假宣传诱导消费")</f>
        <v>西部明珠会员卡虚假宣传诱导消费</v>
      </c>
      <c r="C3702" s="2" t="s">
        <v>9</v>
      </c>
      <c r="D3702" s="2" t="s">
        <v>10</v>
      </c>
      <c r="E3702" s="2" t="str">
        <f>HYPERLINK("http://ts.21cn.com/tousu/show/id/1334413","http://ts.21cn.com/tousu/show/id/1334413")</f>
        <v>http://ts.21cn.com/tousu/show/id/1334413</v>
      </c>
      <c r="F3702" s="2" t="s">
        <v>11</v>
      </c>
      <c r="G3702" s="2" t="s">
        <v>36865</v>
      </c>
      <c r="H3702" s="2" t="s">
        <v>36866</v>
      </c>
    </row>
    <row r="3703" spans="1:8" ht="25.05" customHeight="1" x14ac:dyDescent="0.25">
      <c r="A3703" s="2" t="s">
        <v>8</v>
      </c>
      <c r="B3703" s="2" t="str">
        <f>HYPERLINK("http://ts.21cn.com/tousu/show/id/1334416","邮政银行房贷还没到期不断的联系我催收还款")</f>
        <v>邮政银行房贷还没到期不断的联系我催收还款</v>
      </c>
      <c r="C3703" s="2" t="s">
        <v>9</v>
      </c>
      <c r="D3703" s="2" t="s">
        <v>10</v>
      </c>
      <c r="E3703" s="2" t="str">
        <f>HYPERLINK("http://ts.21cn.com/tousu/show/id/1334416","http://ts.21cn.com/tousu/show/id/1334416")</f>
        <v>http://ts.21cn.com/tousu/show/id/1334416</v>
      </c>
      <c r="F3703" s="2" t="s">
        <v>11</v>
      </c>
      <c r="G3703" s="2" t="s">
        <v>36863</v>
      </c>
      <c r="H3703" s="2" t="s">
        <v>36864</v>
      </c>
    </row>
    <row r="3704" spans="1:8" ht="25.05" customHeight="1" x14ac:dyDescent="0.25">
      <c r="A3704" s="2" t="s">
        <v>8</v>
      </c>
      <c r="B3704" s="2" t="str">
        <f>HYPERLINK("http://ts.21cn.com/tousu/show/id/1334414","高利贷")</f>
        <v>高利贷</v>
      </c>
      <c r="C3704" s="2" t="s">
        <v>9</v>
      </c>
      <c r="D3704" s="2" t="s">
        <v>10</v>
      </c>
      <c r="E3704" s="2" t="str">
        <f>HYPERLINK("http://ts.21cn.com/tousu/show/id/1334414","http://ts.21cn.com/tousu/show/id/1334414")</f>
        <v>http://ts.21cn.com/tousu/show/id/1334414</v>
      </c>
      <c r="F3704" s="2" t="s">
        <v>11</v>
      </c>
      <c r="G3704" s="2" t="s">
        <v>36861</v>
      </c>
      <c r="H3704" s="2" t="s">
        <v>36862</v>
      </c>
    </row>
    <row r="3705" spans="1:8" ht="25.05" customHeight="1" x14ac:dyDescent="0.25">
      <c r="A3705" s="2" t="s">
        <v>8</v>
      </c>
      <c r="B3705" s="2" t="str">
        <f>HYPERLINK("http://ts.21cn.com/tousu/show/id/1334415","套路贷款")</f>
        <v>套路贷款</v>
      </c>
      <c r="C3705" s="2" t="s">
        <v>9</v>
      </c>
      <c r="D3705" s="2" t="s">
        <v>10</v>
      </c>
      <c r="E3705" s="2" t="str">
        <f>HYPERLINK("http://ts.21cn.com/tousu/show/id/1334415","http://ts.21cn.com/tousu/show/id/1334415")</f>
        <v>http://ts.21cn.com/tousu/show/id/1334415</v>
      </c>
      <c r="F3705" s="2" t="s">
        <v>11</v>
      </c>
      <c r="G3705" s="2" t="s">
        <v>36859</v>
      </c>
      <c r="H3705" s="2" t="s">
        <v>36860</v>
      </c>
    </row>
    <row r="3706" spans="1:8" ht="25.05" customHeight="1" x14ac:dyDescent="0.25">
      <c r="A3706" s="2" t="s">
        <v>8</v>
      </c>
      <c r="B3706" s="2" t="str">
        <f>HYPERLINK("http://ts.21cn.com/tousu/show/id/1334420","爱又米虚假宣传会员，要求退还我的会员费。")</f>
        <v>爱又米虚假宣传会员，要求退还我的会员费。</v>
      </c>
      <c r="C3706" s="2" t="s">
        <v>9</v>
      </c>
      <c r="D3706" s="2" t="s">
        <v>10</v>
      </c>
      <c r="E3706" s="2" t="str">
        <f>HYPERLINK("http://ts.21cn.com/tousu/show/id/1334420","http://ts.21cn.com/tousu/show/id/1334420")</f>
        <v>http://ts.21cn.com/tousu/show/id/1334420</v>
      </c>
      <c r="F3706" s="2" t="s">
        <v>11</v>
      </c>
      <c r="G3706" s="2" t="s">
        <v>36857</v>
      </c>
      <c r="H3706" s="2" t="s">
        <v>36858</v>
      </c>
    </row>
    <row r="3707" spans="1:8" ht="25.05" customHeight="1" x14ac:dyDescent="0.25">
      <c r="A3707" s="2" t="s">
        <v>8</v>
      </c>
      <c r="B3707" s="2" t="str">
        <f>HYPERLINK("http://ts.21cn.com/tousu/show/id/1334419","中信信用卡中心催收")</f>
        <v>中信信用卡中心催收</v>
      </c>
      <c r="C3707" s="2" t="s">
        <v>34</v>
      </c>
      <c r="D3707" s="2" t="s">
        <v>10</v>
      </c>
      <c r="E3707" s="2" t="str">
        <f>HYPERLINK("http://ts.21cn.com/tousu/show/id/1334419","http://ts.21cn.com/tousu/show/id/1334419")</f>
        <v>http://ts.21cn.com/tousu/show/id/1334419</v>
      </c>
      <c r="F3707" s="2" t="s">
        <v>11</v>
      </c>
      <c r="G3707" s="2" t="s">
        <v>36855</v>
      </c>
      <c r="H3707" s="2" t="s">
        <v>36856</v>
      </c>
    </row>
    <row r="3708" spans="1:8" ht="25.05" customHeight="1" x14ac:dyDescent="0.25">
      <c r="A3708" s="2" t="s">
        <v>8</v>
      </c>
      <c r="B3708" s="2" t="str">
        <f>HYPERLINK("http://ts.21cn.com/tousu/show/id/1334421","天猫九阳博诺思专卖店欺诈消费者")</f>
        <v>天猫九阳博诺思专卖店欺诈消费者</v>
      </c>
      <c r="C3708" s="2" t="s">
        <v>9</v>
      </c>
      <c r="D3708" s="2" t="s">
        <v>10</v>
      </c>
      <c r="E3708" s="2" t="str">
        <f>HYPERLINK("http://ts.21cn.com/tousu/show/id/1334421","http://ts.21cn.com/tousu/show/id/1334421")</f>
        <v>http://ts.21cn.com/tousu/show/id/1334421</v>
      </c>
      <c r="F3708" s="2" t="s">
        <v>11</v>
      </c>
      <c r="G3708" s="2" t="s">
        <v>36853</v>
      </c>
      <c r="H3708" s="2" t="s">
        <v>36854</v>
      </c>
    </row>
    <row r="3709" spans="1:8" ht="25.05" customHeight="1" x14ac:dyDescent="0.25">
      <c r="A3709" s="2" t="s">
        <v>8</v>
      </c>
      <c r="B3709" s="2" t="str">
        <f>HYPERLINK("http://ts.21cn.com/tousu/show/id/1334422","客服误导我")</f>
        <v>客服误导我</v>
      </c>
      <c r="C3709" s="2" t="s">
        <v>9</v>
      </c>
      <c r="D3709" s="2" t="s">
        <v>10</v>
      </c>
      <c r="E3709" s="2" t="str">
        <f>HYPERLINK("http://ts.21cn.com/tousu/show/id/1334422","http://ts.21cn.com/tousu/show/id/1334422")</f>
        <v>http://ts.21cn.com/tousu/show/id/1334422</v>
      </c>
      <c r="F3709" s="2" t="s">
        <v>11</v>
      </c>
      <c r="G3709" s="2" t="s">
        <v>36851</v>
      </c>
      <c r="H3709" s="2" t="s">
        <v>36852</v>
      </c>
    </row>
    <row r="3710" spans="1:8" ht="25.05" customHeight="1" x14ac:dyDescent="0.25">
      <c r="A3710" s="2" t="s">
        <v>8</v>
      </c>
      <c r="B3710" s="2" t="str">
        <f>HYPERLINK("http://ts.21cn.com/tousu/show/id/1334424","钱站高利贷阴阳合同")</f>
        <v>钱站高利贷阴阳合同</v>
      </c>
      <c r="C3710" s="2" t="s">
        <v>9</v>
      </c>
      <c r="D3710" s="2" t="s">
        <v>10</v>
      </c>
      <c r="E3710" s="2" t="str">
        <f>HYPERLINK("http://ts.21cn.com/tousu/show/id/1334424","http://ts.21cn.com/tousu/show/id/1334424")</f>
        <v>http://ts.21cn.com/tousu/show/id/1334424</v>
      </c>
      <c r="F3710" s="2" t="s">
        <v>11</v>
      </c>
      <c r="G3710" s="2" t="s">
        <v>36849</v>
      </c>
      <c r="H3710" s="2" t="s">
        <v>36850</v>
      </c>
    </row>
    <row r="3711" spans="1:8" ht="25.05" customHeight="1" x14ac:dyDescent="0.25">
      <c r="A3711" s="2" t="s">
        <v>8</v>
      </c>
      <c r="B3711" s="2" t="str">
        <f>HYPERLINK("http://ts.21cn.com/tousu/show/id/1334423","套路货")</f>
        <v>套路货</v>
      </c>
      <c r="C3711" s="2" t="s">
        <v>9</v>
      </c>
      <c r="D3711" s="2" t="s">
        <v>10</v>
      </c>
      <c r="E3711" s="2" t="str">
        <f>HYPERLINK("http://ts.21cn.com/tousu/show/id/1334423","http://ts.21cn.com/tousu/show/id/1334423")</f>
        <v>http://ts.21cn.com/tousu/show/id/1334423</v>
      </c>
      <c r="F3711" s="2" t="s">
        <v>11</v>
      </c>
      <c r="G3711" s="2" t="s">
        <v>36847</v>
      </c>
      <c r="H3711" s="2" t="s">
        <v>36848</v>
      </c>
    </row>
    <row r="3712" spans="1:8" ht="25.05" customHeight="1" x14ac:dyDescent="0.25">
      <c r="A3712" s="2" t="s">
        <v>8</v>
      </c>
      <c r="B3712" s="2" t="str">
        <f>HYPERLINK("http://ts.21cn.com/tousu/show/id/1334425","我来贷收取高额逾期费")</f>
        <v>我来贷收取高额逾期费</v>
      </c>
      <c r="C3712" s="2" t="s">
        <v>34</v>
      </c>
      <c r="D3712" s="2" t="s">
        <v>10</v>
      </c>
      <c r="E3712" s="2" t="str">
        <f>HYPERLINK("http://ts.21cn.com/tousu/show/id/1334425","http://ts.21cn.com/tousu/show/id/1334425")</f>
        <v>http://ts.21cn.com/tousu/show/id/1334425</v>
      </c>
      <c r="F3712" s="2" t="s">
        <v>11</v>
      </c>
      <c r="G3712" s="2" t="s">
        <v>36845</v>
      </c>
      <c r="H3712" s="2" t="s">
        <v>36846</v>
      </c>
    </row>
    <row r="3713" spans="1:8" ht="25.05" customHeight="1" x14ac:dyDescent="0.25">
      <c r="A3713" s="2" t="s">
        <v>8</v>
      </c>
      <c r="B3713" s="2" t="str">
        <f>HYPERLINK("http://ts.21cn.com/tousu/show/id/1334426","建设银行信用卡乱扣利息")</f>
        <v>建设银行信用卡乱扣利息</v>
      </c>
      <c r="C3713" s="2" t="s">
        <v>9</v>
      </c>
      <c r="D3713" s="2" t="s">
        <v>10</v>
      </c>
      <c r="E3713" s="2" t="str">
        <f>HYPERLINK("http://ts.21cn.com/tousu/show/id/1334426","http://ts.21cn.com/tousu/show/id/1334426")</f>
        <v>http://ts.21cn.com/tousu/show/id/1334426</v>
      </c>
      <c r="F3713" s="2" t="s">
        <v>11</v>
      </c>
      <c r="G3713" s="2" t="s">
        <v>36843</v>
      </c>
      <c r="H3713" s="2" t="s">
        <v>36844</v>
      </c>
    </row>
    <row r="3714" spans="1:8" ht="25.05" customHeight="1" x14ac:dyDescent="0.25">
      <c r="A3714" s="2" t="s">
        <v>8</v>
      </c>
      <c r="B3714" s="2" t="str">
        <f>HYPERLINK("http://ts.21cn.com/tousu/show/id/1334428","小浦优客在未通知消费者的情况下，私自扣费")</f>
        <v>小浦优客在未通知消费者的情况下，私自扣费</v>
      </c>
      <c r="C3714" s="2" t="s">
        <v>9</v>
      </c>
      <c r="D3714" s="2" t="s">
        <v>10</v>
      </c>
      <c r="E3714" s="2" t="str">
        <f>HYPERLINK("http://ts.21cn.com/tousu/show/id/1334428","http://ts.21cn.com/tousu/show/id/1334428")</f>
        <v>http://ts.21cn.com/tousu/show/id/1334428</v>
      </c>
      <c r="F3714" s="2" t="s">
        <v>11</v>
      </c>
      <c r="G3714" s="2" t="s">
        <v>36841</v>
      </c>
      <c r="H3714" s="2" t="s">
        <v>36842</v>
      </c>
    </row>
    <row r="3715" spans="1:8" ht="25.05" customHeight="1" x14ac:dyDescent="0.25">
      <c r="A3715" s="2" t="s">
        <v>8</v>
      </c>
      <c r="B3715" s="2" t="str">
        <f>HYPERLINK("http://ts.21cn.com/tousu/show/id/1334430","无辜扣款")</f>
        <v>无辜扣款</v>
      </c>
      <c r="C3715" s="2" t="s">
        <v>34</v>
      </c>
      <c r="D3715" s="2" t="s">
        <v>10</v>
      </c>
      <c r="E3715" s="2" t="str">
        <f>HYPERLINK("http://ts.21cn.com/tousu/show/id/1334430","http://ts.21cn.com/tousu/show/id/1334430")</f>
        <v>http://ts.21cn.com/tousu/show/id/1334430</v>
      </c>
      <c r="F3715" s="2" t="s">
        <v>11</v>
      </c>
      <c r="G3715" s="2" t="s">
        <v>36839</v>
      </c>
      <c r="H3715" s="2" t="s">
        <v>36840</v>
      </c>
    </row>
    <row r="3716" spans="1:8" ht="25.05" customHeight="1" x14ac:dyDescent="0.25">
      <c r="A3716" s="2" t="s">
        <v>8</v>
      </c>
      <c r="B3716" s="2" t="str">
        <f>HYPERLINK("http://ts.21cn.com/tousu/show/id/1334429","小浦优客app未提示扣取报告费要求退回")</f>
        <v>小浦优客app未提示扣取报告费要求退回</v>
      </c>
      <c r="C3716" s="2" t="s">
        <v>34</v>
      </c>
      <c r="D3716" s="2" t="s">
        <v>10</v>
      </c>
      <c r="E3716" s="2" t="str">
        <f>HYPERLINK("http://ts.21cn.com/tousu/show/id/1334429","http://ts.21cn.com/tousu/show/id/1334429")</f>
        <v>http://ts.21cn.com/tousu/show/id/1334429</v>
      </c>
      <c r="F3716" s="2" t="s">
        <v>11</v>
      </c>
      <c r="G3716" s="2" t="s">
        <v>36837</v>
      </c>
      <c r="H3716" s="2" t="s">
        <v>36838</v>
      </c>
    </row>
    <row r="3717" spans="1:8" ht="25.05" customHeight="1" x14ac:dyDescent="0.25">
      <c r="A3717" s="2" t="s">
        <v>8</v>
      </c>
      <c r="B3717" s="2" t="str">
        <f>HYPERLINK("http://ts.21cn.com/tousu/show/id/1334431","闪电借款恶意催收爆通讯录不好好协商解决")</f>
        <v>闪电借款恶意催收爆通讯录不好好协商解决</v>
      </c>
      <c r="C3717" s="2" t="s">
        <v>9</v>
      </c>
      <c r="D3717" s="2" t="s">
        <v>10</v>
      </c>
      <c r="E3717" s="2" t="str">
        <f>HYPERLINK("http://ts.21cn.com/tousu/show/id/1334431","http://ts.21cn.com/tousu/show/id/1334431")</f>
        <v>http://ts.21cn.com/tousu/show/id/1334431</v>
      </c>
      <c r="F3717" s="2" t="s">
        <v>11</v>
      </c>
      <c r="G3717" s="2" t="s">
        <v>36835</v>
      </c>
      <c r="H3717" s="2" t="s">
        <v>36836</v>
      </c>
    </row>
    <row r="3718" spans="1:8" ht="25.05" customHeight="1" x14ac:dyDescent="0.25">
      <c r="A3718" s="2" t="s">
        <v>8</v>
      </c>
      <c r="B3718" s="2" t="str">
        <f>HYPERLINK("http://ts.21cn.com/tousu/show/id/1334432","及贷主动还款显示还款中，隔天显示还款失败，加收逾期费")</f>
        <v>及贷主动还款显示还款中，隔天显示还款失败，加收逾期费</v>
      </c>
      <c r="C3718" s="2" t="s">
        <v>34</v>
      </c>
      <c r="D3718" s="2" t="s">
        <v>10</v>
      </c>
      <c r="E3718" s="2" t="str">
        <f>HYPERLINK("http://ts.21cn.com/tousu/show/id/1334432","http://ts.21cn.com/tousu/show/id/1334432")</f>
        <v>http://ts.21cn.com/tousu/show/id/1334432</v>
      </c>
      <c r="F3718" s="2" t="s">
        <v>11</v>
      </c>
      <c r="G3718" s="2" t="s">
        <v>36834</v>
      </c>
      <c r="H3718" s="2" t="s">
        <v>36624</v>
      </c>
    </row>
    <row r="3719" spans="1:8" ht="25.05" customHeight="1" x14ac:dyDescent="0.25">
      <c r="A3719" s="2" t="s">
        <v>8</v>
      </c>
      <c r="B3719" s="2" t="str">
        <f>HYPERLINK("http://ts.21cn.com/tousu/show/id/1334433","高利贷砍头息")</f>
        <v>高利贷砍头息</v>
      </c>
      <c r="C3719" s="2" t="s">
        <v>9</v>
      </c>
      <c r="D3719" s="2" t="s">
        <v>10</v>
      </c>
      <c r="E3719" s="2" t="str">
        <f>HYPERLINK("http://ts.21cn.com/tousu/show/id/1334433","http://ts.21cn.com/tousu/show/id/1334433")</f>
        <v>http://ts.21cn.com/tousu/show/id/1334433</v>
      </c>
      <c r="F3719" s="2" t="s">
        <v>11</v>
      </c>
      <c r="G3719" s="2" t="s">
        <v>36832</v>
      </c>
      <c r="H3719" s="2" t="s">
        <v>36833</v>
      </c>
    </row>
    <row r="3720" spans="1:8" ht="25.05" customHeight="1" x14ac:dyDescent="0.25">
      <c r="A3720" s="2" t="s">
        <v>8</v>
      </c>
      <c r="B3720" s="2" t="str">
        <f>HYPERLINK("http://ts.21cn.com/tousu/show/id/1334434","钱站阴阳合同，砍头息")</f>
        <v>钱站阴阳合同，砍头息</v>
      </c>
      <c r="C3720" s="2" t="s">
        <v>9</v>
      </c>
      <c r="D3720" s="2" t="s">
        <v>10</v>
      </c>
      <c r="E3720" s="2" t="str">
        <f>HYPERLINK("http://ts.21cn.com/tousu/show/id/1334434","http://ts.21cn.com/tousu/show/id/1334434")</f>
        <v>http://ts.21cn.com/tousu/show/id/1334434</v>
      </c>
      <c r="F3720" s="2" t="s">
        <v>11</v>
      </c>
      <c r="G3720" s="2" t="s">
        <v>36830</v>
      </c>
      <c r="H3720" s="2" t="s">
        <v>36831</v>
      </c>
    </row>
    <row r="3721" spans="1:8" ht="25.05" customHeight="1" x14ac:dyDescent="0.25">
      <c r="A3721" s="2" t="s">
        <v>8</v>
      </c>
      <c r="B3721" s="2" t="str">
        <f>HYPERLINK("http://ts.21cn.com/tousu/show/id/1334427","小浦优客未经同意扣款")</f>
        <v>小浦优客未经同意扣款</v>
      </c>
      <c r="C3721" s="2" t="s">
        <v>9</v>
      </c>
      <c r="D3721" s="2" t="s">
        <v>10</v>
      </c>
      <c r="E3721" s="2" t="str">
        <f>HYPERLINK("http://ts.21cn.com/tousu/show/id/1334427","http://ts.21cn.com/tousu/show/id/1334427")</f>
        <v>http://ts.21cn.com/tousu/show/id/1334427</v>
      </c>
      <c r="F3721" s="2" t="s">
        <v>11</v>
      </c>
      <c r="G3721" s="2" t="s">
        <v>36828</v>
      </c>
      <c r="H3721" s="2" t="s">
        <v>36829</v>
      </c>
    </row>
    <row r="3722" spans="1:8" ht="25.05" customHeight="1" x14ac:dyDescent="0.25">
      <c r="A3722" s="2" t="s">
        <v>8</v>
      </c>
      <c r="B3722" s="2" t="str">
        <f>HYPERLINK("http://ts.21cn.com/tousu/show/id/1334435","你我贷多次恶言侮辱亲友，")</f>
        <v>你我贷多次恶言侮辱亲友，</v>
      </c>
      <c r="C3722" s="2" t="s">
        <v>9</v>
      </c>
      <c r="D3722" s="2" t="s">
        <v>10</v>
      </c>
      <c r="E3722" s="2" t="str">
        <f>HYPERLINK("http://ts.21cn.com/tousu/show/id/1334435","http://ts.21cn.com/tousu/show/id/1334435")</f>
        <v>http://ts.21cn.com/tousu/show/id/1334435</v>
      </c>
      <c r="F3722" s="2" t="s">
        <v>11</v>
      </c>
      <c r="G3722" s="2" t="s">
        <v>36826</v>
      </c>
      <c r="H3722" s="2" t="s">
        <v>36827</v>
      </c>
    </row>
    <row r="3723" spans="1:8" ht="25.05" customHeight="1" x14ac:dyDescent="0.25">
      <c r="A3723" s="2" t="s">
        <v>8</v>
      </c>
      <c r="B3723" s="2" t="str">
        <f>HYPERLINK("http://ts.21cn.com/tousu/show/id/1334436","玖富万卡高利贷，阴阳合同")</f>
        <v>玖富万卡高利贷，阴阳合同</v>
      </c>
      <c r="C3723" s="2" t="s">
        <v>9</v>
      </c>
      <c r="D3723" s="2" t="s">
        <v>10</v>
      </c>
      <c r="E3723" s="2" t="str">
        <f>HYPERLINK("http://ts.21cn.com/tousu/show/id/1334436","http://ts.21cn.com/tousu/show/id/1334436")</f>
        <v>http://ts.21cn.com/tousu/show/id/1334436</v>
      </c>
      <c r="F3723" s="2" t="s">
        <v>11</v>
      </c>
      <c r="G3723" s="2" t="s">
        <v>36824</v>
      </c>
      <c r="H3723" s="2" t="s">
        <v>36825</v>
      </c>
    </row>
    <row r="3724" spans="1:8" ht="25.05" customHeight="1" x14ac:dyDescent="0.25">
      <c r="A3724" s="2" t="s">
        <v>8</v>
      </c>
      <c r="B3724" s="2" t="str">
        <f>HYPERLINK("http://ts.21cn.com/tousu/show/id/1334272","金鸡下蛋高利贷")</f>
        <v>金鸡下蛋高利贷</v>
      </c>
      <c r="C3724" s="2" t="s">
        <v>9</v>
      </c>
      <c r="D3724" s="2" t="s">
        <v>10</v>
      </c>
      <c r="E3724" s="2" t="str">
        <f>HYPERLINK("http://ts.21cn.com/tousu/show/id/1334272","http://ts.21cn.com/tousu/show/id/1334272")</f>
        <v>http://ts.21cn.com/tousu/show/id/1334272</v>
      </c>
      <c r="F3724" s="2" t="s">
        <v>11</v>
      </c>
      <c r="G3724" s="2" t="s">
        <v>36822</v>
      </c>
      <c r="H3724" s="2" t="s">
        <v>36823</v>
      </c>
    </row>
    <row r="3725" spans="1:8" ht="25.05" customHeight="1" x14ac:dyDescent="0.25">
      <c r="A3725" s="2" t="s">
        <v>8</v>
      </c>
      <c r="B3725" s="2" t="str">
        <f>HYPERLINK("http://ts.21cn.com/tousu/show/id/1334437","招商银行暴力催收")</f>
        <v>招商银行暴力催收</v>
      </c>
      <c r="C3725" s="2" t="s">
        <v>9</v>
      </c>
      <c r="D3725" s="2" t="s">
        <v>10</v>
      </c>
      <c r="E3725" s="2" t="str">
        <f>HYPERLINK("http://ts.21cn.com/tousu/show/id/1334437","http://ts.21cn.com/tousu/show/id/1334437")</f>
        <v>http://ts.21cn.com/tousu/show/id/1334437</v>
      </c>
      <c r="F3725" s="2" t="s">
        <v>11</v>
      </c>
      <c r="G3725" s="2" t="s">
        <v>36819</v>
      </c>
      <c r="H3725" s="2" t="s">
        <v>36820</v>
      </c>
    </row>
    <row r="3726" spans="1:8" ht="25.05" customHeight="1" x14ac:dyDescent="0.25">
      <c r="A3726" s="2" t="s">
        <v>8</v>
      </c>
      <c r="B3726" s="2" t="str">
        <f>HYPERLINK("http://ts.21cn.com/tousu/show/id/1334438","造艺你疯了吗？扣钱")</f>
        <v>造艺你疯了吗？扣钱</v>
      </c>
      <c r="C3726" s="2" t="s">
        <v>34</v>
      </c>
      <c r="D3726" s="2" t="s">
        <v>10</v>
      </c>
      <c r="E3726" s="2" t="str">
        <f>HYPERLINK("http://ts.21cn.com/tousu/show/id/1334438","http://ts.21cn.com/tousu/show/id/1334438")</f>
        <v>http://ts.21cn.com/tousu/show/id/1334438</v>
      </c>
      <c r="F3726" s="2" t="s">
        <v>11</v>
      </c>
      <c r="G3726" s="2" t="s">
        <v>36819</v>
      </c>
      <c r="H3726" s="2" t="s">
        <v>36821</v>
      </c>
    </row>
    <row r="3727" spans="1:8" ht="25.05" customHeight="1" x14ac:dyDescent="0.25">
      <c r="A3727" s="2" t="s">
        <v>8</v>
      </c>
      <c r="B3727" s="2" t="str">
        <f>HYPERLINK("http://ts.21cn.com/tousu/show/id/1334439","合利宝为高利贷提供通道")</f>
        <v>合利宝为高利贷提供通道</v>
      </c>
      <c r="C3727" s="2" t="s">
        <v>9</v>
      </c>
      <c r="D3727" s="2" t="s">
        <v>10</v>
      </c>
      <c r="E3727" s="2" t="str">
        <f>HYPERLINK("http://ts.21cn.com/tousu/show/id/1334439","http://ts.21cn.com/tousu/show/id/1334439")</f>
        <v>http://ts.21cn.com/tousu/show/id/1334439</v>
      </c>
      <c r="F3727" s="2" t="s">
        <v>11</v>
      </c>
      <c r="G3727" s="2" t="s">
        <v>36817</v>
      </c>
      <c r="H3727" s="2" t="s">
        <v>36818</v>
      </c>
    </row>
    <row r="3728" spans="1:8" ht="25.05" customHeight="1" x14ac:dyDescent="0.25">
      <c r="A3728" s="2" t="s">
        <v>8</v>
      </c>
      <c r="B3728" s="2" t="str">
        <f>HYPERLINK("http://ts.21cn.com/tousu/show/id/1334440","闪银恶意收取高额手续费")</f>
        <v>闪银恶意收取高额手续费</v>
      </c>
      <c r="C3728" s="2" t="s">
        <v>9</v>
      </c>
      <c r="D3728" s="2" t="s">
        <v>10</v>
      </c>
      <c r="E3728" s="2" t="str">
        <f>HYPERLINK("http://ts.21cn.com/tousu/show/id/1334440","http://ts.21cn.com/tousu/show/id/1334440")</f>
        <v>http://ts.21cn.com/tousu/show/id/1334440</v>
      </c>
      <c r="F3728" s="2" t="s">
        <v>11</v>
      </c>
      <c r="G3728" s="2" t="s">
        <v>36815</v>
      </c>
      <c r="H3728" s="2" t="s">
        <v>36816</v>
      </c>
    </row>
    <row r="3729" spans="1:8" ht="25.05" customHeight="1" x14ac:dyDescent="0.25">
      <c r="A3729" s="2" t="s">
        <v>8</v>
      </c>
      <c r="B3729" s="2" t="str">
        <f>HYPERLINK("http://ts.21cn.com/tousu/show/id/1334442","714网络高炮")</f>
        <v>714网络高炮</v>
      </c>
      <c r="C3729" s="2" t="s">
        <v>34</v>
      </c>
      <c r="D3729" s="2" t="s">
        <v>10</v>
      </c>
      <c r="E3729" s="2" t="str">
        <f>HYPERLINK("http://ts.21cn.com/tousu/show/id/1334442","http://ts.21cn.com/tousu/show/id/1334442")</f>
        <v>http://ts.21cn.com/tousu/show/id/1334442</v>
      </c>
      <c r="F3729" s="2" t="s">
        <v>11</v>
      </c>
      <c r="G3729" s="2" t="s">
        <v>36813</v>
      </c>
      <c r="H3729" s="2" t="s">
        <v>36814</v>
      </c>
    </row>
    <row r="3730" spans="1:8" ht="25.05" customHeight="1" x14ac:dyDescent="0.25">
      <c r="A3730" s="2" t="s">
        <v>8</v>
      </c>
      <c r="B3730" s="2" t="str">
        <f>HYPERLINK("http://ts.21cn.com/tousu/show/id/1334443","滴滴不按时履约，耽误我预定行程，造成时间和金钱损失")</f>
        <v>滴滴不按时履约，耽误我预定行程，造成时间和金钱损失</v>
      </c>
      <c r="C3730" s="2" t="s">
        <v>9</v>
      </c>
      <c r="D3730" s="2" t="s">
        <v>10</v>
      </c>
      <c r="E3730" s="2" t="str">
        <f>HYPERLINK("http://ts.21cn.com/tousu/show/id/1334443","http://ts.21cn.com/tousu/show/id/1334443")</f>
        <v>http://ts.21cn.com/tousu/show/id/1334443</v>
      </c>
      <c r="F3730" s="2" t="s">
        <v>11</v>
      </c>
      <c r="G3730" s="2" t="s">
        <v>36811</v>
      </c>
      <c r="H3730" s="2" t="s">
        <v>36812</v>
      </c>
    </row>
    <row r="3731" spans="1:8" ht="25.05" customHeight="1" x14ac:dyDescent="0.25">
      <c r="A3731" s="2" t="s">
        <v>8</v>
      </c>
      <c r="B3731" s="2" t="str">
        <f>HYPERLINK("http://ts.21cn.com/tousu/show/id/1334444","本人在小鱼儿平台上借款3000元，实际到账2100元")</f>
        <v>本人在小鱼儿平台上借款3000元，实际到账2100元</v>
      </c>
      <c r="C3731" s="2" t="s">
        <v>34</v>
      </c>
      <c r="D3731" s="2" t="s">
        <v>10</v>
      </c>
      <c r="E3731" s="2" t="str">
        <f>HYPERLINK("http://ts.21cn.com/tousu/show/id/1334444","http://ts.21cn.com/tousu/show/id/1334444")</f>
        <v>http://ts.21cn.com/tousu/show/id/1334444</v>
      </c>
      <c r="F3731" s="2" t="s">
        <v>11</v>
      </c>
      <c r="G3731" s="2" t="s">
        <v>36809</v>
      </c>
      <c r="H3731" s="2" t="s">
        <v>36810</v>
      </c>
    </row>
    <row r="3732" spans="1:8" ht="25.05" customHeight="1" x14ac:dyDescent="0.25">
      <c r="A3732" s="2" t="s">
        <v>8</v>
      </c>
      <c r="B3732" s="2" t="str">
        <f>HYPERLINK("http://ts.21cn.com/tousu/show/id/1334445","nice发布虚假回购承诺")</f>
        <v>nice发布虚假回购承诺</v>
      </c>
      <c r="C3732" s="2" t="s">
        <v>9</v>
      </c>
      <c r="D3732" s="2" t="s">
        <v>10</v>
      </c>
      <c r="E3732" s="2" t="str">
        <f>HYPERLINK("http://ts.21cn.com/tousu/show/id/1334445","http://ts.21cn.com/tousu/show/id/1334445")</f>
        <v>http://ts.21cn.com/tousu/show/id/1334445</v>
      </c>
      <c r="F3732" s="2" t="s">
        <v>11</v>
      </c>
      <c r="G3732" s="2" t="s">
        <v>36807</v>
      </c>
      <c r="H3732" s="2" t="s">
        <v>36808</v>
      </c>
    </row>
    <row r="3733" spans="1:8" ht="25.05" customHeight="1" x14ac:dyDescent="0.25">
      <c r="A3733" s="2" t="s">
        <v>8</v>
      </c>
      <c r="B3733" s="2" t="str">
        <f>HYPERLINK("http://ts.21cn.com/tousu/show/id/1334446","招联金融利用循环额度欺诈客户")</f>
        <v>招联金融利用循环额度欺诈客户</v>
      </c>
      <c r="C3733" s="2" t="s">
        <v>9</v>
      </c>
      <c r="D3733" s="2" t="s">
        <v>10</v>
      </c>
      <c r="E3733" s="2" t="str">
        <f>HYPERLINK("http://ts.21cn.com/tousu/show/id/1334446","http://ts.21cn.com/tousu/show/id/1334446")</f>
        <v>http://ts.21cn.com/tousu/show/id/1334446</v>
      </c>
      <c r="F3733" s="2" t="s">
        <v>11</v>
      </c>
      <c r="G3733" s="2" t="s">
        <v>36805</v>
      </c>
      <c r="H3733" s="2" t="s">
        <v>36806</v>
      </c>
    </row>
    <row r="3734" spans="1:8" ht="25.05" customHeight="1" x14ac:dyDescent="0.25">
      <c r="A3734" s="2" t="s">
        <v>8</v>
      </c>
      <c r="B3734" s="2" t="str">
        <f>HYPERLINK("http://ts.21cn.com/tousu/show/id/1334447","立借")</f>
        <v>立借</v>
      </c>
      <c r="C3734" s="2" t="s">
        <v>9</v>
      </c>
      <c r="D3734" s="2" t="s">
        <v>10</v>
      </c>
      <c r="E3734" s="2" t="str">
        <f>HYPERLINK("http://ts.21cn.com/tousu/show/id/1334447","http://ts.21cn.com/tousu/show/id/1334447")</f>
        <v>http://ts.21cn.com/tousu/show/id/1334447</v>
      </c>
      <c r="F3734" s="2" t="s">
        <v>11</v>
      </c>
      <c r="G3734" s="2" t="s">
        <v>36803</v>
      </c>
      <c r="H3734" s="2" t="s">
        <v>36804</v>
      </c>
    </row>
    <row r="3735" spans="1:8" ht="25.05" customHeight="1" x14ac:dyDescent="0.25">
      <c r="A3735" s="2" t="s">
        <v>8</v>
      </c>
      <c r="B3735" s="2" t="str">
        <f>HYPERLINK("http://ts.21cn.com/tousu/show/id/1334448","淘宝黑心商家未收到货拒绝退款给我")</f>
        <v>淘宝黑心商家未收到货拒绝退款给我</v>
      </c>
      <c r="C3735" s="2" t="s">
        <v>9</v>
      </c>
      <c r="D3735" s="2" t="s">
        <v>10</v>
      </c>
      <c r="E3735" s="2" t="str">
        <f>HYPERLINK("http://ts.21cn.com/tousu/show/id/1334448","http://ts.21cn.com/tousu/show/id/1334448")</f>
        <v>http://ts.21cn.com/tousu/show/id/1334448</v>
      </c>
      <c r="F3735" s="2" t="s">
        <v>11</v>
      </c>
      <c r="G3735" s="2" t="s">
        <v>36801</v>
      </c>
      <c r="H3735" s="2" t="s">
        <v>36802</v>
      </c>
    </row>
    <row r="3736" spans="1:8" ht="25.05" customHeight="1" x14ac:dyDescent="0.25">
      <c r="A3736" s="2" t="s">
        <v>8</v>
      </c>
      <c r="B3736" s="2" t="str">
        <f>HYPERLINK("http://ts.21cn.com/tousu/show/id/1334449","富友支付")</f>
        <v>富友支付</v>
      </c>
      <c r="C3736" s="2" t="s">
        <v>9</v>
      </c>
      <c r="D3736" s="2" t="s">
        <v>10</v>
      </c>
      <c r="E3736" s="2" t="str">
        <f>HYPERLINK("http://ts.21cn.com/tousu/show/id/1334449","http://ts.21cn.com/tousu/show/id/1334449")</f>
        <v>http://ts.21cn.com/tousu/show/id/1334449</v>
      </c>
      <c r="F3736" s="2" t="s">
        <v>11</v>
      </c>
      <c r="G3736" s="2" t="s">
        <v>36800</v>
      </c>
      <c r="H3736" s="2" t="s">
        <v>36326</v>
      </c>
    </row>
    <row r="3737" spans="1:8" ht="25.05" customHeight="1" x14ac:dyDescent="0.25">
      <c r="A3737" s="2" t="s">
        <v>8</v>
      </c>
      <c r="B3737" s="2" t="str">
        <f>HYPERLINK("http://ts.21cn.com/tousu/show/id/1334450","凡普金科旗下钱站app暴力催收")</f>
        <v>凡普金科旗下钱站app暴力催收</v>
      </c>
      <c r="C3737" s="2" t="s">
        <v>9</v>
      </c>
      <c r="D3737" s="2" t="s">
        <v>10</v>
      </c>
      <c r="E3737" s="2" t="str">
        <f>HYPERLINK("http://ts.21cn.com/tousu/show/id/1334450","http://ts.21cn.com/tousu/show/id/1334450")</f>
        <v>http://ts.21cn.com/tousu/show/id/1334450</v>
      </c>
      <c r="F3737" s="2" t="s">
        <v>11</v>
      </c>
      <c r="G3737" s="2" t="s">
        <v>36798</v>
      </c>
      <c r="H3737" s="2" t="s">
        <v>36799</v>
      </c>
    </row>
    <row r="3738" spans="1:8" ht="25.05" customHeight="1" x14ac:dyDescent="0.25">
      <c r="A3738" s="2" t="s">
        <v>8</v>
      </c>
      <c r="B3738" s="2" t="str">
        <f>HYPERLINK("http://ts.21cn.com/tousu/show/id/1334451","中信银行信用卡乱扣费隐藏扣费")</f>
        <v>中信银行信用卡乱扣费隐藏扣费</v>
      </c>
      <c r="C3738" s="2" t="s">
        <v>9</v>
      </c>
      <c r="D3738" s="2" t="s">
        <v>10</v>
      </c>
      <c r="E3738" s="2" t="str">
        <f>HYPERLINK("http://ts.21cn.com/tousu/show/id/1334451","http://ts.21cn.com/tousu/show/id/1334451")</f>
        <v>http://ts.21cn.com/tousu/show/id/1334451</v>
      </c>
      <c r="F3738" s="2" t="s">
        <v>11</v>
      </c>
      <c r="G3738" s="2" t="s">
        <v>36796</v>
      </c>
      <c r="H3738" s="2" t="s">
        <v>36797</v>
      </c>
    </row>
    <row r="3739" spans="1:8" ht="25.05" customHeight="1" x14ac:dyDescent="0.25">
      <c r="A3739" s="2" t="s">
        <v>8</v>
      </c>
      <c r="B3739" s="2" t="str">
        <f>HYPERLINK("http://ts.21cn.com/tousu/show/id/1334452","欺诈消费")</f>
        <v>欺诈消费</v>
      </c>
      <c r="C3739" s="2" t="s">
        <v>9</v>
      </c>
      <c r="D3739" s="2" t="s">
        <v>10</v>
      </c>
      <c r="E3739" s="2" t="str">
        <f>HYPERLINK("http://ts.21cn.com/tousu/show/id/1334452","http://ts.21cn.com/tousu/show/id/1334452")</f>
        <v>http://ts.21cn.com/tousu/show/id/1334452</v>
      </c>
      <c r="F3739" s="2" t="s">
        <v>11</v>
      </c>
      <c r="G3739" s="2" t="s">
        <v>36794</v>
      </c>
      <c r="H3739" s="2" t="s">
        <v>36795</v>
      </c>
    </row>
    <row r="3740" spans="1:8" ht="25.05" customHeight="1" x14ac:dyDescent="0.25">
      <c r="A3740" s="2" t="s">
        <v>8</v>
      </c>
      <c r="B3740" s="2" t="str">
        <f>HYPERLINK("http://ts.21cn.com/tousu/show/id/1334454","宜人贷以咨询服务费和提前服务保障金的名义收取砍头息")</f>
        <v>宜人贷以咨询服务费和提前服务保障金的名义收取砍头息</v>
      </c>
      <c r="C3740" s="2" t="s">
        <v>34</v>
      </c>
      <c r="D3740" s="2" t="s">
        <v>10</v>
      </c>
      <c r="E3740" s="2" t="str">
        <f>HYPERLINK("http://ts.21cn.com/tousu/show/id/1334454","http://ts.21cn.com/tousu/show/id/1334454")</f>
        <v>http://ts.21cn.com/tousu/show/id/1334454</v>
      </c>
      <c r="F3740" s="2" t="s">
        <v>11</v>
      </c>
      <c r="G3740" s="2" t="s">
        <v>36792</v>
      </c>
      <c r="H3740" s="2" t="s">
        <v>36793</v>
      </c>
    </row>
    <row r="3741" spans="1:8" ht="25.05" customHeight="1" x14ac:dyDescent="0.25">
      <c r="A3741" s="2" t="s">
        <v>8</v>
      </c>
      <c r="B3741" s="2" t="str">
        <f>HYPERLINK("http://ts.21cn.com/tousu/show/id/1334453","百事普惠恶意扣款")</f>
        <v>百事普惠恶意扣款</v>
      </c>
      <c r="C3741" s="2" t="s">
        <v>9</v>
      </c>
      <c r="D3741" s="2" t="s">
        <v>10</v>
      </c>
      <c r="E3741" s="2" t="str">
        <f>HYPERLINK("http://ts.21cn.com/tousu/show/id/1334453","http://ts.21cn.com/tousu/show/id/1334453")</f>
        <v>http://ts.21cn.com/tousu/show/id/1334453</v>
      </c>
      <c r="F3741" s="2" t="s">
        <v>11</v>
      </c>
      <c r="G3741" s="2" t="s">
        <v>36790</v>
      </c>
      <c r="H3741" s="2" t="s">
        <v>36791</v>
      </c>
    </row>
    <row r="3742" spans="1:8" ht="25.05" customHeight="1" x14ac:dyDescent="0.25">
      <c r="A3742" s="2" t="s">
        <v>8</v>
      </c>
      <c r="B3742" s="2" t="str">
        <f>HYPERLINK("http://ts.21cn.com/tousu/show/id/1334456","现金巴士超高利贷")</f>
        <v>现金巴士超高利贷</v>
      </c>
      <c r="C3742" s="2" t="s">
        <v>9</v>
      </c>
      <c r="D3742" s="2" t="s">
        <v>10</v>
      </c>
      <c r="E3742" s="2" t="str">
        <f>HYPERLINK("http://ts.21cn.com/tousu/show/id/1334456","http://ts.21cn.com/tousu/show/id/1334456")</f>
        <v>http://ts.21cn.com/tousu/show/id/1334456</v>
      </c>
      <c r="F3742" s="2" t="s">
        <v>11</v>
      </c>
      <c r="G3742" s="2" t="s">
        <v>36788</v>
      </c>
      <c r="H3742" s="2" t="s">
        <v>36789</v>
      </c>
    </row>
    <row r="3743" spans="1:8" ht="25.05" customHeight="1" x14ac:dyDescent="0.25">
      <c r="A3743" s="2" t="s">
        <v>8</v>
      </c>
      <c r="B3743" s="2" t="str">
        <f>HYPERLINK("http://ts.21cn.com/tousu/show/id/1334458","上海造艺科技莫名其妙扣我银行卡的钱")</f>
        <v>上海造艺科技莫名其妙扣我银行卡的钱</v>
      </c>
      <c r="C3743" s="2" t="s">
        <v>9</v>
      </c>
      <c r="D3743" s="2" t="s">
        <v>10</v>
      </c>
      <c r="E3743" s="2" t="str">
        <f>HYPERLINK("http://ts.21cn.com/tousu/show/id/1334458","http://ts.21cn.com/tousu/show/id/1334458")</f>
        <v>http://ts.21cn.com/tousu/show/id/1334458</v>
      </c>
      <c r="F3743" s="2" t="s">
        <v>11</v>
      </c>
      <c r="G3743" s="2" t="s">
        <v>36786</v>
      </c>
      <c r="H3743" s="2" t="s">
        <v>36787</v>
      </c>
    </row>
    <row r="3744" spans="1:8" ht="25.05" customHeight="1" x14ac:dyDescent="0.25">
      <c r="A3744" s="2" t="s">
        <v>8</v>
      </c>
      <c r="B3744" s="2" t="str">
        <f>HYPERLINK("http://ts.21cn.com/tousu/show/id/1334457","牛人有品高额坎头息")</f>
        <v>牛人有品高额坎头息</v>
      </c>
      <c r="C3744" s="2" t="s">
        <v>34</v>
      </c>
      <c r="D3744" s="2" t="s">
        <v>10</v>
      </c>
      <c r="E3744" s="2" t="str">
        <f>HYPERLINK("http://ts.21cn.com/tousu/show/id/1334457","http://ts.21cn.com/tousu/show/id/1334457")</f>
        <v>http://ts.21cn.com/tousu/show/id/1334457</v>
      </c>
      <c r="F3744" s="2" t="s">
        <v>11</v>
      </c>
      <c r="G3744" s="2" t="s">
        <v>36784</v>
      </c>
      <c r="H3744" s="2" t="s">
        <v>36785</v>
      </c>
    </row>
    <row r="3745" spans="1:8" ht="25.05" customHeight="1" x14ac:dyDescent="0.25">
      <c r="A3745" s="2" t="s">
        <v>8</v>
      </c>
      <c r="B3745" s="2" t="str">
        <f>HYPERLINK("http://ts.21cn.com/tousu/show/id/1334460","百事普惠通过通联支付平台恶意扣款")</f>
        <v>百事普惠通过通联支付平台恶意扣款</v>
      </c>
      <c r="C3745" s="2" t="s">
        <v>9</v>
      </c>
      <c r="D3745" s="2" t="s">
        <v>10</v>
      </c>
      <c r="E3745" s="2" t="str">
        <f>HYPERLINK("http://ts.21cn.com/tousu/show/id/1334460","http://ts.21cn.com/tousu/show/id/1334460")</f>
        <v>http://ts.21cn.com/tousu/show/id/1334460</v>
      </c>
      <c r="F3745" s="2" t="s">
        <v>11</v>
      </c>
      <c r="G3745" s="2" t="s">
        <v>36782</v>
      </c>
      <c r="H3745" s="2" t="s">
        <v>36783</v>
      </c>
    </row>
    <row r="3746" spans="1:8" ht="25.05" customHeight="1" x14ac:dyDescent="0.25">
      <c r="A3746" s="2" t="s">
        <v>8</v>
      </c>
      <c r="B3746" s="2" t="str">
        <f>HYPERLINK("http://ts.21cn.com/tousu/show/id/1334461","衫德久付虚假宣传未告知本人扣除刷卡金额")</f>
        <v>衫德久付虚假宣传未告知本人扣除刷卡金额</v>
      </c>
      <c r="C3746" s="2" t="s">
        <v>9</v>
      </c>
      <c r="D3746" s="2" t="s">
        <v>10</v>
      </c>
      <c r="E3746" s="2" t="str">
        <f>HYPERLINK("http://ts.21cn.com/tousu/show/id/1334461","http://ts.21cn.com/tousu/show/id/1334461")</f>
        <v>http://ts.21cn.com/tousu/show/id/1334461</v>
      </c>
      <c r="F3746" s="2" t="s">
        <v>11</v>
      </c>
      <c r="G3746" s="2" t="s">
        <v>36780</v>
      </c>
      <c r="H3746" s="2" t="s">
        <v>36781</v>
      </c>
    </row>
    <row r="3747" spans="1:8" ht="25.05" customHeight="1" x14ac:dyDescent="0.25">
      <c r="A3747" s="2" t="s">
        <v>8</v>
      </c>
      <c r="B3747" s="2" t="str">
        <f>HYPERLINK("http://ts.21cn.com/tousu/show/id/1334462","钱站暴利催收")</f>
        <v>钱站暴利催收</v>
      </c>
      <c r="C3747" s="2" t="s">
        <v>9</v>
      </c>
      <c r="D3747" s="2" t="s">
        <v>10</v>
      </c>
      <c r="E3747" s="2" t="str">
        <f>HYPERLINK("http://ts.21cn.com/tousu/show/id/1334462","http://ts.21cn.com/tousu/show/id/1334462")</f>
        <v>http://ts.21cn.com/tousu/show/id/1334462</v>
      </c>
      <c r="F3747" s="2" t="s">
        <v>11</v>
      </c>
      <c r="G3747" s="2" t="s">
        <v>36778</v>
      </c>
      <c r="H3747" s="2" t="s">
        <v>36779</v>
      </c>
    </row>
    <row r="3748" spans="1:8" ht="25.05" customHeight="1" x14ac:dyDescent="0.25">
      <c r="A3748" s="2" t="s">
        <v>8</v>
      </c>
      <c r="B3748" s="2" t="str">
        <f>HYPERLINK("http://ts.21cn.com/tousu/show/id/1334464","借款被套路")</f>
        <v>借款被套路</v>
      </c>
      <c r="C3748" s="2" t="s">
        <v>9</v>
      </c>
      <c r="D3748" s="2" t="s">
        <v>10</v>
      </c>
      <c r="E3748" s="2" t="str">
        <f>HYPERLINK("http://ts.21cn.com/tousu/show/id/1334464","http://ts.21cn.com/tousu/show/id/1334464")</f>
        <v>http://ts.21cn.com/tousu/show/id/1334464</v>
      </c>
      <c r="F3748" s="2" t="s">
        <v>11</v>
      </c>
      <c r="G3748" s="2" t="s">
        <v>36776</v>
      </c>
      <c r="H3748" s="2" t="s">
        <v>36777</v>
      </c>
    </row>
    <row r="3749" spans="1:8" ht="25.05" customHeight="1" x14ac:dyDescent="0.25">
      <c r="A3749" s="2" t="s">
        <v>8</v>
      </c>
      <c r="B3749" s="2" t="str">
        <f>HYPERLINK("http://ts.21cn.com/tousu/show/id/1334465","万惠及贷催收人员非法催收")</f>
        <v>万惠及贷催收人员非法催收</v>
      </c>
      <c r="C3749" s="2" t="s">
        <v>9</v>
      </c>
      <c r="D3749" s="2" t="s">
        <v>10</v>
      </c>
      <c r="E3749" s="2" t="str">
        <f>HYPERLINK("http://ts.21cn.com/tousu/show/id/1334465","http://ts.21cn.com/tousu/show/id/1334465")</f>
        <v>http://ts.21cn.com/tousu/show/id/1334465</v>
      </c>
      <c r="F3749" s="2" t="s">
        <v>11</v>
      </c>
      <c r="G3749" s="2" t="s">
        <v>36774</v>
      </c>
      <c r="H3749" s="2" t="s">
        <v>36775</v>
      </c>
    </row>
    <row r="3750" spans="1:8" ht="25.05" customHeight="1" x14ac:dyDescent="0.25">
      <c r="A3750" s="2" t="s">
        <v>8</v>
      </c>
      <c r="B3750" s="2" t="str">
        <f>HYPERLINK("http://ts.21cn.com/tousu/show/id/1334466","宝付支付与高利贷合作")</f>
        <v>宝付支付与高利贷合作</v>
      </c>
      <c r="C3750" s="2" t="s">
        <v>9</v>
      </c>
      <c r="D3750" s="2" t="s">
        <v>10</v>
      </c>
      <c r="E3750" s="2" t="str">
        <f>HYPERLINK("http://ts.21cn.com/tousu/show/id/1334466","http://ts.21cn.com/tousu/show/id/1334466")</f>
        <v>http://ts.21cn.com/tousu/show/id/1334466</v>
      </c>
      <c r="F3750" s="2" t="s">
        <v>11</v>
      </c>
      <c r="G3750" s="2" t="s">
        <v>36772</v>
      </c>
      <c r="H3750" s="2" t="s">
        <v>36773</v>
      </c>
    </row>
    <row r="3751" spans="1:8" ht="25.05" customHeight="1" x14ac:dyDescent="0.25">
      <c r="A3751" s="2" t="s">
        <v>8</v>
      </c>
      <c r="B3751" s="2" t="str">
        <f>HYPERLINK("http://ts.21cn.com/tousu/show/id/1334467","51人品贷骚扰联系人，威胁我")</f>
        <v>51人品贷骚扰联系人，威胁我</v>
      </c>
      <c r="C3751" s="2" t="s">
        <v>9</v>
      </c>
      <c r="D3751" s="2" t="s">
        <v>10</v>
      </c>
      <c r="E3751" s="2" t="str">
        <f>HYPERLINK("http://ts.21cn.com/tousu/show/id/1334467","http://ts.21cn.com/tousu/show/id/1334467")</f>
        <v>http://ts.21cn.com/tousu/show/id/1334467</v>
      </c>
      <c r="F3751" s="2" t="s">
        <v>11</v>
      </c>
      <c r="G3751" s="2" t="s">
        <v>36770</v>
      </c>
      <c r="H3751" s="2" t="s">
        <v>36771</v>
      </c>
    </row>
    <row r="3752" spans="1:8" ht="25.05" customHeight="1" x14ac:dyDescent="0.25">
      <c r="A3752" s="2" t="s">
        <v>8</v>
      </c>
      <c r="B3752" s="2" t="str">
        <f>HYPERLINK("http://ts.21cn.com/tousu/show/id/1334468","钱橙无忧乱扣钱")</f>
        <v>钱橙无忧乱扣钱</v>
      </c>
      <c r="C3752" s="2" t="s">
        <v>9</v>
      </c>
      <c r="D3752" s="2" t="s">
        <v>10</v>
      </c>
      <c r="E3752" s="2" t="str">
        <f>HYPERLINK("http://ts.21cn.com/tousu/show/id/1334468","http://ts.21cn.com/tousu/show/id/1334468")</f>
        <v>http://ts.21cn.com/tousu/show/id/1334468</v>
      </c>
      <c r="F3752" s="2" t="s">
        <v>11</v>
      </c>
      <c r="G3752" s="2" t="s">
        <v>36768</v>
      </c>
      <c r="H3752" s="2" t="s">
        <v>36769</v>
      </c>
    </row>
    <row r="3753" spans="1:8" ht="25.05" customHeight="1" x14ac:dyDescent="0.25">
      <c r="A3753" s="2" t="s">
        <v>8</v>
      </c>
      <c r="B3753" s="2" t="str">
        <f>HYPERLINK("http://ts.21cn.com/tousu/show/id/1334471","你我贷账单不合理，利率吓人")</f>
        <v>你我贷账单不合理，利率吓人</v>
      </c>
      <c r="C3753" s="2" t="s">
        <v>9</v>
      </c>
      <c r="D3753" s="2" t="s">
        <v>10</v>
      </c>
      <c r="E3753" s="2" t="str">
        <f>HYPERLINK("http://ts.21cn.com/tousu/show/id/1334471","http://ts.21cn.com/tousu/show/id/1334471")</f>
        <v>http://ts.21cn.com/tousu/show/id/1334471</v>
      </c>
      <c r="F3753" s="2" t="s">
        <v>11</v>
      </c>
      <c r="G3753" s="2" t="s">
        <v>36766</v>
      </c>
      <c r="H3753" s="2" t="s">
        <v>36767</v>
      </c>
    </row>
    <row r="3754" spans="1:8" ht="25.05" customHeight="1" x14ac:dyDescent="0.25">
      <c r="A3754" s="2" t="s">
        <v>8</v>
      </c>
      <c r="B3754" s="2" t="str">
        <f>HYPERLINK("http://ts.21cn.com/tousu/show/id/1334469","号码被他人注册，注销的话需要强制上传个人资料，但是我对该平台没有使用需求，担心个人信息不安全，但是该平台还是强制要我上传")</f>
        <v>号码被他人注册，注销的话需要强制上传个人资料，但是我对该平台没有使用需求，担心个人信息不安全，但是该平台还是强制要我上传</v>
      </c>
      <c r="C3754" s="2" t="s">
        <v>9</v>
      </c>
      <c r="D3754" s="2" t="s">
        <v>10</v>
      </c>
      <c r="E3754" s="2" t="str">
        <f>HYPERLINK("http://ts.21cn.com/tousu/show/id/1334469","http://ts.21cn.com/tousu/show/id/1334469")</f>
        <v>http://ts.21cn.com/tousu/show/id/1334469</v>
      </c>
      <c r="F3754" s="2" t="s">
        <v>11</v>
      </c>
      <c r="G3754" s="2" t="s">
        <v>36764</v>
      </c>
      <c r="H3754" s="2" t="s">
        <v>36765</v>
      </c>
    </row>
    <row r="3755" spans="1:8" ht="25.05" customHeight="1" x14ac:dyDescent="0.25">
      <c r="A3755" s="2" t="s">
        <v>8</v>
      </c>
      <c r="B3755" s="2" t="str">
        <f>HYPERLINK("http://ts.21cn.com/tousu/show/id/1334470","高利贷")</f>
        <v>高利贷</v>
      </c>
      <c r="C3755" s="2" t="s">
        <v>9</v>
      </c>
      <c r="D3755" s="2" t="s">
        <v>10</v>
      </c>
      <c r="E3755" s="2" t="str">
        <f>HYPERLINK("http://ts.21cn.com/tousu/show/id/1334470","http://ts.21cn.com/tousu/show/id/1334470")</f>
        <v>http://ts.21cn.com/tousu/show/id/1334470</v>
      </c>
      <c r="F3755" s="2" t="s">
        <v>11</v>
      </c>
      <c r="G3755" s="2" t="s">
        <v>36762</v>
      </c>
      <c r="H3755" s="2" t="s">
        <v>36763</v>
      </c>
    </row>
    <row r="3756" spans="1:8" ht="25.05" customHeight="1" x14ac:dyDescent="0.25">
      <c r="A3756" s="2" t="s">
        <v>8</v>
      </c>
      <c r="B3756" s="2" t="str">
        <f>HYPERLINK("http://ts.21cn.com/tousu/show/id/1334472","乱扣银行卡费用")</f>
        <v>乱扣银行卡费用</v>
      </c>
      <c r="C3756" s="2" t="s">
        <v>9</v>
      </c>
      <c r="D3756" s="2" t="s">
        <v>10</v>
      </c>
      <c r="E3756" s="2" t="str">
        <f>HYPERLINK("http://ts.21cn.com/tousu/show/id/1334472","http://ts.21cn.com/tousu/show/id/1334472")</f>
        <v>http://ts.21cn.com/tousu/show/id/1334472</v>
      </c>
      <c r="F3756" s="2" t="s">
        <v>11</v>
      </c>
      <c r="G3756" s="2" t="s">
        <v>36760</v>
      </c>
      <c r="H3756" s="2" t="s">
        <v>36761</v>
      </c>
    </row>
    <row r="3757" spans="1:8" ht="25.05" customHeight="1" x14ac:dyDescent="0.25">
      <c r="A3757" s="2" t="s">
        <v>8</v>
      </c>
      <c r="B3757" s="2" t="str">
        <f>HYPERLINK("http://ts.21cn.com/tousu/show/id/1334476","骚扰")</f>
        <v>骚扰</v>
      </c>
      <c r="C3757" s="2" t="s">
        <v>9</v>
      </c>
      <c r="D3757" s="2" t="s">
        <v>10</v>
      </c>
      <c r="E3757" s="2" t="str">
        <f>HYPERLINK("http://ts.21cn.com/tousu/show/id/1334476","http://ts.21cn.com/tousu/show/id/1334476")</f>
        <v>http://ts.21cn.com/tousu/show/id/1334476</v>
      </c>
      <c r="F3757" s="2" t="s">
        <v>11</v>
      </c>
      <c r="G3757" s="2" t="s">
        <v>36757</v>
      </c>
      <c r="H3757" s="2" t="s">
        <v>36758</v>
      </c>
    </row>
    <row r="3758" spans="1:8" ht="25.05" customHeight="1" x14ac:dyDescent="0.25">
      <c r="A3758" s="2" t="s">
        <v>8</v>
      </c>
      <c r="B3758" s="2" t="str">
        <f>HYPERLINK("http://ts.21cn.com/tousu/show/id/1334475","浦发信用卡暴力催收")</f>
        <v>浦发信用卡暴力催收</v>
      </c>
      <c r="C3758" s="2" t="s">
        <v>9</v>
      </c>
      <c r="D3758" s="2" t="s">
        <v>10</v>
      </c>
      <c r="E3758" s="2" t="str">
        <f>HYPERLINK("http://ts.21cn.com/tousu/show/id/1334475","http://ts.21cn.com/tousu/show/id/1334475")</f>
        <v>http://ts.21cn.com/tousu/show/id/1334475</v>
      </c>
      <c r="F3758" s="2" t="s">
        <v>11</v>
      </c>
      <c r="G3758" s="2" t="s">
        <v>36757</v>
      </c>
      <c r="H3758" s="2" t="s">
        <v>36759</v>
      </c>
    </row>
    <row r="3759" spans="1:8" ht="25.05" customHeight="1" x14ac:dyDescent="0.25">
      <c r="A3759" s="2" t="s">
        <v>8</v>
      </c>
      <c r="B3759" s="2" t="str">
        <f>HYPERLINK("http://ts.21cn.com/tousu/show/id/1334477","嘀嗒顺风车车主损害乘客利益，要求平台做出补偿")</f>
        <v>嘀嗒顺风车车主损害乘客利益，要求平台做出补偿</v>
      </c>
      <c r="C3759" s="2" t="s">
        <v>9</v>
      </c>
      <c r="D3759" s="2" t="s">
        <v>10</v>
      </c>
      <c r="E3759" s="2" t="str">
        <f>HYPERLINK("http://ts.21cn.com/tousu/show/id/1334477","http://ts.21cn.com/tousu/show/id/1334477")</f>
        <v>http://ts.21cn.com/tousu/show/id/1334477</v>
      </c>
      <c r="F3759" s="2" t="s">
        <v>11</v>
      </c>
      <c r="G3759" s="2" t="s">
        <v>36755</v>
      </c>
      <c r="H3759" s="2" t="s">
        <v>36756</v>
      </c>
    </row>
    <row r="3760" spans="1:8" ht="25.05" customHeight="1" x14ac:dyDescent="0.25">
      <c r="A3760" s="2" t="s">
        <v>8</v>
      </c>
      <c r="B3760" s="2" t="str">
        <f>HYPERLINK("http://ts.21cn.com/tousu/show/id/1334479","闪银平台神出鬼没联系不到，繁琐")</f>
        <v>闪银平台神出鬼没联系不到，繁琐</v>
      </c>
      <c r="C3760" s="2" t="s">
        <v>9</v>
      </c>
      <c r="D3760" s="2" t="s">
        <v>10</v>
      </c>
      <c r="E3760" s="2" t="str">
        <f>HYPERLINK("http://ts.21cn.com/tousu/show/id/1334479","http://ts.21cn.com/tousu/show/id/1334479")</f>
        <v>http://ts.21cn.com/tousu/show/id/1334479</v>
      </c>
      <c r="F3760" s="2" t="s">
        <v>11</v>
      </c>
      <c r="G3760" s="2" t="s">
        <v>36753</v>
      </c>
      <c r="H3760" s="2" t="s">
        <v>36754</v>
      </c>
    </row>
    <row r="3761" spans="1:8" ht="25.05" customHeight="1" x14ac:dyDescent="0.25">
      <c r="A3761" s="2" t="s">
        <v>8</v>
      </c>
      <c r="B3761" s="2" t="str">
        <f>HYPERLINK("http://ts.21cn.com/tousu/show/id/1334480","立借为高利贷青春宝打广告，借款砍头息，客服态度恶劣，恶意骚扰")</f>
        <v>立借为高利贷青春宝打广告，借款砍头息，客服态度恶劣，恶意骚扰</v>
      </c>
      <c r="C3761" s="2" t="s">
        <v>9</v>
      </c>
      <c r="D3761" s="2" t="s">
        <v>10</v>
      </c>
      <c r="E3761" s="2" t="str">
        <f>HYPERLINK("http://ts.21cn.com/tousu/show/id/1334480","http://ts.21cn.com/tousu/show/id/1334480")</f>
        <v>http://ts.21cn.com/tousu/show/id/1334480</v>
      </c>
      <c r="F3761" s="2" t="s">
        <v>11</v>
      </c>
      <c r="G3761" s="2" t="s">
        <v>36751</v>
      </c>
      <c r="H3761" s="2" t="s">
        <v>36752</v>
      </c>
    </row>
    <row r="3762" spans="1:8" ht="25.05" customHeight="1" x14ac:dyDescent="0.25">
      <c r="A3762" s="2" t="s">
        <v>8</v>
      </c>
      <c r="B3762" s="2" t="str">
        <f>HYPERLINK("http://ts.21cn.com/tousu/show/id/1334481","恶意冻结账户资金")</f>
        <v>恶意冻结账户资金</v>
      </c>
      <c r="C3762" s="2" t="s">
        <v>9</v>
      </c>
      <c r="D3762" s="2" t="s">
        <v>10</v>
      </c>
      <c r="E3762" s="2" t="str">
        <f>HYPERLINK("http://ts.21cn.com/tousu/show/id/1334481","http://ts.21cn.com/tousu/show/id/1334481")</f>
        <v>http://ts.21cn.com/tousu/show/id/1334481</v>
      </c>
      <c r="F3762" s="2" t="s">
        <v>11</v>
      </c>
      <c r="G3762" s="2" t="s">
        <v>36749</v>
      </c>
      <c r="H3762" s="2" t="s">
        <v>36750</v>
      </c>
    </row>
    <row r="3763" spans="1:8" ht="25.05" customHeight="1" x14ac:dyDescent="0.25">
      <c r="A3763" s="2" t="s">
        <v>8</v>
      </c>
      <c r="B3763" s="2" t="str">
        <f>HYPERLINK("http://ts.21cn.com/tousu/show/id/1334484","维信金科一天100逾期费，太离谱")</f>
        <v>维信金科一天100逾期费，太离谱</v>
      </c>
      <c r="C3763" s="2" t="s">
        <v>9</v>
      </c>
      <c r="D3763" s="2" t="s">
        <v>10</v>
      </c>
      <c r="E3763" s="2" t="str">
        <f>HYPERLINK("http://ts.21cn.com/tousu/show/id/1334484","http://ts.21cn.com/tousu/show/id/1334484")</f>
        <v>http://ts.21cn.com/tousu/show/id/1334484</v>
      </c>
      <c r="F3763" s="2" t="s">
        <v>11</v>
      </c>
      <c r="G3763" s="2" t="s">
        <v>36747</v>
      </c>
      <c r="H3763" s="2" t="s">
        <v>36748</v>
      </c>
    </row>
    <row r="3764" spans="1:8" ht="25.05" customHeight="1" x14ac:dyDescent="0.25">
      <c r="A3764" s="2" t="s">
        <v>8</v>
      </c>
      <c r="B3764" s="2" t="str">
        <f>HYPERLINK("http://ts.21cn.com/tousu/show/id/1334485","捷信借了39000，已还34341，申请提前还款还要还2万七千多元")</f>
        <v>捷信借了39000，已还34341，申请提前还款还要还2万七千多元</v>
      </c>
      <c r="C3764" s="2" t="s">
        <v>34</v>
      </c>
      <c r="D3764" s="2" t="s">
        <v>10</v>
      </c>
      <c r="E3764" s="2" t="str">
        <f>HYPERLINK("http://ts.21cn.com/tousu/show/id/1334485","http://ts.21cn.com/tousu/show/id/1334485")</f>
        <v>http://ts.21cn.com/tousu/show/id/1334485</v>
      </c>
      <c r="F3764" s="2" t="s">
        <v>11</v>
      </c>
      <c r="G3764" s="2" t="s">
        <v>36745</v>
      </c>
      <c r="H3764" s="2" t="s">
        <v>36746</v>
      </c>
    </row>
    <row r="3765" spans="1:8" ht="25.05" customHeight="1" x14ac:dyDescent="0.25">
      <c r="A3765" s="2" t="s">
        <v>8</v>
      </c>
      <c r="B3765" s="2" t="str">
        <f>HYPERLINK("http://ts.21cn.com/tousu/show/id/1334486","雇佣黑社会威逼还账")</f>
        <v>雇佣黑社会威逼还账</v>
      </c>
      <c r="C3765" s="2" t="s">
        <v>9</v>
      </c>
      <c r="D3765" s="2" t="s">
        <v>10</v>
      </c>
      <c r="E3765" s="2" t="str">
        <f>HYPERLINK("http://ts.21cn.com/tousu/show/id/1334486","http://ts.21cn.com/tousu/show/id/1334486")</f>
        <v>http://ts.21cn.com/tousu/show/id/1334486</v>
      </c>
      <c r="F3765" s="2" t="s">
        <v>11</v>
      </c>
      <c r="G3765" s="2" t="s">
        <v>36743</v>
      </c>
      <c r="H3765" s="2" t="s">
        <v>36744</v>
      </c>
    </row>
    <row r="3766" spans="1:8" ht="25.05" customHeight="1" x14ac:dyDescent="0.25">
      <c r="A3766" s="2" t="s">
        <v>8</v>
      </c>
      <c r="B3766" s="2" t="str">
        <f>HYPERLINK("http://ts.21cn.com/tousu/show/id/1334487","履行合同,虚假，美团榛果民宿霸王条款，全额扣取消费者款项")</f>
        <v>履行合同,虚假，美团榛果民宿霸王条款，全额扣取消费者款项</v>
      </c>
      <c r="C3766" s="2" t="s">
        <v>9</v>
      </c>
      <c r="D3766" s="2" t="s">
        <v>10</v>
      </c>
      <c r="E3766" s="2" t="str">
        <f>HYPERLINK("http://ts.21cn.com/tousu/show/id/1334487","http://ts.21cn.com/tousu/show/id/1334487")</f>
        <v>http://ts.21cn.com/tousu/show/id/1334487</v>
      </c>
      <c r="F3766" s="2" t="s">
        <v>11</v>
      </c>
      <c r="G3766" s="2" t="s">
        <v>36741</v>
      </c>
      <c r="H3766" s="2" t="s">
        <v>36742</v>
      </c>
    </row>
    <row r="3767" spans="1:8" ht="25.05" customHeight="1" x14ac:dyDescent="0.25">
      <c r="A3767" s="2" t="s">
        <v>8</v>
      </c>
      <c r="B3767" s="2" t="str">
        <f>HYPERLINK("http://ts.21cn.com/tousu/show/id/1334488","小浦优客私自扣款")</f>
        <v>小浦优客私自扣款</v>
      </c>
      <c r="C3767" s="2" t="s">
        <v>9</v>
      </c>
      <c r="D3767" s="2" t="s">
        <v>10</v>
      </c>
      <c r="E3767" s="2" t="str">
        <f>HYPERLINK("http://ts.21cn.com/tousu/show/id/1334488","http://ts.21cn.com/tousu/show/id/1334488")</f>
        <v>http://ts.21cn.com/tousu/show/id/1334488</v>
      </c>
      <c r="F3767" s="2" t="s">
        <v>11</v>
      </c>
      <c r="G3767" s="2" t="s">
        <v>36739</v>
      </c>
      <c r="H3767" s="2" t="s">
        <v>36740</v>
      </c>
    </row>
    <row r="3768" spans="1:8" ht="25.05" customHeight="1" x14ac:dyDescent="0.25">
      <c r="A3768" s="2" t="s">
        <v>8</v>
      </c>
      <c r="B3768" s="2" t="str">
        <f>HYPERLINK("http://ts.21cn.com/tousu/show/id/1334463","美团霸王条例不退款，没消费还不肯退款，当天订购不到一个小时后申请退款不给我退款")</f>
        <v>美团霸王条例不退款，没消费还不肯退款，当天订购不到一个小时后申请退款不给我退款</v>
      </c>
      <c r="C3768" s="2" t="s">
        <v>9</v>
      </c>
      <c r="D3768" s="2" t="s">
        <v>10</v>
      </c>
      <c r="E3768" s="2" t="str">
        <f>HYPERLINK("http://ts.21cn.com/tousu/show/id/1334463","http://ts.21cn.com/tousu/show/id/1334463")</f>
        <v>http://ts.21cn.com/tousu/show/id/1334463</v>
      </c>
      <c r="F3768" s="2" t="s">
        <v>11</v>
      </c>
      <c r="G3768" s="2" t="s">
        <v>36737</v>
      </c>
      <c r="H3768" s="2" t="s">
        <v>36738</v>
      </c>
    </row>
    <row r="3769" spans="1:8" ht="25.05" customHeight="1" x14ac:dyDescent="0.25">
      <c r="A3769" s="2" t="s">
        <v>8</v>
      </c>
      <c r="B3769" s="2" t="str">
        <f>HYPERLINK("http://ts.21cn.com/tousu/show/id/1334489","高利货平台")</f>
        <v>高利货平台</v>
      </c>
      <c r="C3769" s="2" t="s">
        <v>9</v>
      </c>
      <c r="D3769" s="2" t="s">
        <v>10</v>
      </c>
      <c r="E3769" s="2" t="str">
        <f>HYPERLINK("http://ts.21cn.com/tousu/show/id/1334489","http://ts.21cn.com/tousu/show/id/1334489")</f>
        <v>http://ts.21cn.com/tousu/show/id/1334489</v>
      </c>
      <c r="F3769" s="2" t="s">
        <v>11</v>
      </c>
      <c r="G3769" s="2" t="s">
        <v>36735</v>
      </c>
      <c r="H3769" s="2" t="s">
        <v>36736</v>
      </c>
    </row>
    <row r="3770" spans="1:8" ht="25.05" customHeight="1" x14ac:dyDescent="0.25">
      <c r="A3770" s="2" t="s">
        <v>8</v>
      </c>
      <c r="B3770" s="2" t="str">
        <f>HYPERLINK("http://ts.21cn.com/tousu/show/id/1334490","支付宝为高利贷护航提供交易平台")</f>
        <v>支付宝为高利贷护航提供交易平台</v>
      </c>
      <c r="C3770" s="2" t="s">
        <v>9</v>
      </c>
      <c r="D3770" s="2" t="s">
        <v>10</v>
      </c>
      <c r="E3770" s="2" t="str">
        <f>HYPERLINK("http://ts.21cn.com/tousu/show/id/1334490","http://ts.21cn.com/tousu/show/id/1334490")</f>
        <v>http://ts.21cn.com/tousu/show/id/1334490</v>
      </c>
      <c r="F3770" s="2" t="s">
        <v>11</v>
      </c>
      <c r="G3770" s="2" t="s">
        <v>36733</v>
      </c>
      <c r="H3770" s="2" t="s">
        <v>36734</v>
      </c>
    </row>
    <row r="3771" spans="1:8" ht="25.05" customHeight="1" x14ac:dyDescent="0.25">
      <c r="A3771" s="2" t="s">
        <v>8</v>
      </c>
      <c r="B3771" s="2" t="str">
        <f>HYPERLINK("http://ts.21cn.com/tousu/show/id/1334491","暴力催收")</f>
        <v>暴力催收</v>
      </c>
      <c r="C3771" s="2" t="s">
        <v>9</v>
      </c>
      <c r="D3771" s="2" t="s">
        <v>10</v>
      </c>
      <c r="E3771" s="2" t="str">
        <f>HYPERLINK("http://ts.21cn.com/tousu/show/id/1334491","http://ts.21cn.com/tousu/show/id/1334491")</f>
        <v>http://ts.21cn.com/tousu/show/id/1334491</v>
      </c>
      <c r="F3771" s="2" t="s">
        <v>11</v>
      </c>
      <c r="G3771" s="2" t="s">
        <v>36731</v>
      </c>
      <c r="H3771" s="2" t="s">
        <v>36732</v>
      </c>
    </row>
    <row r="3772" spans="1:8" ht="25.05" customHeight="1" x14ac:dyDescent="0.25">
      <c r="A3772" s="2" t="s">
        <v>8</v>
      </c>
      <c r="B3772" s="2" t="str">
        <f>HYPERLINK("http://ts.21cn.com/tousu/show/id/1334492","智行多扣票款")</f>
        <v>智行多扣票款</v>
      </c>
      <c r="C3772" s="2" t="s">
        <v>34</v>
      </c>
      <c r="D3772" s="2" t="s">
        <v>10</v>
      </c>
      <c r="E3772" s="2" t="str">
        <f>HYPERLINK("http://ts.21cn.com/tousu/show/id/1334492","http://ts.21cn.com/tousu/show/id/1334492")</f>
        <v>http://ts.21cn.com/tousu/show/id/1334492</v>
      </c>
      <c r="F3772" s="2" t="s">
        <v>11</v>
      </c>
      <c r="G3772" s="2" t="s">
        <v>36729</v>
      </c>
      <c r="H3772" s="2" t="s">
        <v>36730</v>
      </c>
    </row>
    <row r="3773" spans="1:8" ht="25.05" customHeight="1" x14ac:dyDescent="0.25">
      <c r="A3773" s="2" t="s">
        <v>8</v>
      </c>
      <c r="B3773" s="2" t="str">
        <f>HYPERLINK("http://ts.21cn.com/tousu/show/id/1334493","马上消费金融，暴力催收，群发短信，恐吓催收")</f>
        <v>马上消费金融，暴力催收，群发短信，恐吓催收</v>
      </c>
      <c r="C3773" s="2" t="s">
        <v>9</v>
      </c>
      <c r="D3773" s="2" t="s">
        <v>10</v>
      </c>
      <c r="E3773" s="2" t="str">
        <f>HYPERLINK("http://ts.21cn.com/tousu/show/id/1334493","http://ts.21cn.com/tousu/show/id/1334493")</f>
        <v>http://ts.21cn.com/tousu/show/id/1334493</v>
      </c>
      <c r="F3773" s="2" t="s">
        <v>11</v>
      </c>
      <c r="G3773" s="2" t="s">
        <v>36727</v>
      </c>
      <c r="H3773" s="2" t="s">
        <v>36728</v>
      </c>
    </row>
    <row r="3774" spans="1:8" ht="25.05" customHeight="1" x14ac:dyDescent="0.25">
      <c r="A3774" s="2" t="s">
        <v>8</v>
      </c>
      <c r="B3774" s="2" t="str">
        <f>HYPERLINK("http://ts.21cn.com/tousu/show/id/1334494","新橙优品高利贷，收保险，砍头息")</f>
        <v>新橙优品高利贷，收保险，砍头息</v>
      </c>
      <c r="C3774" s="2" t="s">
        <v>9</v>
      </c>
      <c r="D3774" s="2" t="s">
        <v>10</v>
      </c>
      <c r="E3774" s="2" t="str">
        <f>HYPERLINK("http://ts.21cn.com/tousu/show/id/1334494","http://ts.21cn.com/tousu/show/id/1334494")</f>
        <v>http://ts.21cn.com/tousu/show/id/1334494</v>
      </c>
      <c r="F3774" s="2" t="s">
        <v>11</v>
      </c>
      <c r="G3774" s="2" t="s">
        <v>36725</v>
      </c>
      <c r="H3774" s="2" t="s">
        <v>36726</v>
      </c>
    </row>
    <row r="3775" spans="1:8" ht="25.05" customHeight="1" x14ac:dyDescent="0.25">
      <c r="A3775" s="2" t="s">
        <v>8</v>
      </c>
      <c r="B3775" s="2" t="str">
        <f>HYPERLINK("http://ts.21cn.com/tousu/show/id/1334473","小浦优客未经过本人同意私自扣我卡内余额")</f>
        <v>小浦优客未经过本人同意私自扣我卡内余额</v>
      </c>
      <c r="C3775" s="2" t="s">
        <v>9</v>
      </c>
      <c r="D3775" s="2" t="s">
        <v>10</v>
      </c>
      <c r="E3775" s="2" t="str">
        <f>HYPERLINK("http://ts.21cn.com/tousu/show/id/1334473","http://ts.21cn.com/tousu/show/id/1334473")</f>
        <v>http://ts.21cn.com/tousu/show/id/1334473</v>
      </c>
      <c r="F3775" s="2" t="s">
        <v>11</v>
      </c>
      <c r="G3775" s="2" t="s">
        <v>36723</v>
      </c>
      <c r="H3775" s="2" t="s">
        <v>36724</v>
      </c>
    </row>
    <row r="3776" spans="1:8" ht="25.05" customHeight="1" x14ac:dyDescent="0.25">
      <c r="A3776" s="2" t="s">
        <v>8</v>
      </c>
      <c r="B3776" s="2" t="str">
        <f>HYPERLINK("http://ts.21cn.com/tousu/show/id/1334497","支付宝")</f>
        <v>支付宝</v>
      </c>
      <c r="C3776" s="2" t="s">
        <v>9</v>
      </c>
      <c r="D3776" s="2" t="s">
        <v>10</v>
      </c>
      <c r="E3776" s="2" t="str">
        <f>HYPERLINK("http://ts.21cn.com/tousu/show/id/1334497","http://ts.21cn.com/tousu/show/id/1334497")</f>
        <v>http://ts.21cn.com/tousu/show/id/1334497</v>
      </c>
      <c r="F3776" s="2" t="s">
        <v>11</v>
      </c>
      <c r="G3776" s="2" t="s">
        <v>36721</v>
      </c>
      <c r="H3776" s="2" t="s">
        <v>36722</v>
      </c>
    </row>
    <row r="3777" spans="1:8" ht="25.05" customHeight="1" x14ac:dyDescent="0.25">
      <c r="A3777" s="2" t="s">
        <v>8</v>
      </c>
      <c r="B3777" s="2" t="str">
        <f>HYPERLINK("http://ts.21cn.com/tousu/show/id/1334498","投诉交易猫入驻金不退")</f>
        <v>投诉交易猫入驻金不退</v>
      </c>
      <c r="C3777" s="2" t="s">
        <v>9</v>
      </c>
      <c r="D3777" s="2" t="s">
        <v>10</v>
      </c>
      <c r="E3777" s="2" t="str">
        <f>HYPERLINK("http://ts.21cn.com/tousu/show/id/1334498","http://ts.21cn.com/tousu/show/id/1334498")</f>
        <v>http://ts.21cn.com/tousu/show/id/1334498</v>
      </c>
      <c r="F3777" s="2" t="s">
        <v>11</v>
      </c>
      <c r="G3777" s="2" t="s">
        <v>36719</v>
      </c>
      <c r="H3777" s="2" t="s">
        <v>36720</v>
      </c>
    </row>
    <row r="3778" spans="1:8" ht="25.05" customHeight="1" x14ac:dyDescent="0.25">
      <c r="A3778" s="2" t="s">
        <v>8</v>
      </c>
      <c r="B3778" s="2" t="str">
        <f>HYPERLINK("http://ts.21cn.com/tousu/show/id/1334500","套路贷黑网贷")</f>
        <v>套路贷黑网贷</v>
      </c>
      <c r="C3778" s="2" t="s">
        <v>9</v>
      </c>
      <c r="D3778" s="2" t="s">
        <v>10</v>
      </c>
      <c r="E3778" s="2" t="str">
        <f>HYPERLINK("http://ts.21cn.com/tousu/show/id/1334500","http://ts.21cn.com/tousu/show/id/1334500")</f>
        <v>http://ts.21cn.com/tousu/show/id/1334500</v>
      </c>
      <c r="F3778" s="2" t="s">
        <v>11</v>
      </c>
      <c r="G3778" s="2" t="s">
        <v>36717</v>
      </c>
      <c r="H3778" s="2" t="s">
        <v>36718</v>
      </c>
    </row>
    <row r="3779" spans="1:8" ht="25.05" customHeight="1" x14ac:dyDescent="0.25">
      <c r="A3779" s="2" t="s">
        <v>8</v>
      </c>
      <c r="B3779" s="2" t="str">
        <f>HYPERLINK("http://ts.21cn.com/tousu/show/id/1334501","airpods七天内质量问题售后被拒绝")</f>
        <v>airpods七天内质量问题售后被拒绝</v>
      </c>
      <c r="C3779" s="2" t="s">
        <v>9</v>
      </c>
      <c r="D3779" s="2" t="s">
        <v>10</v>
      </c>
      <c r="E3779" s="2" t="str">
        <f>HYPERLINK("http://ts.21cn.com/tousu/show/id/1334501","http://ts.21cn.com/tousu/show/id/1334501")</f>
        <v>http://ts.21cn.com/tousu/show/id/1334501</v>
      </c>
      <c r="F3779" s="2" t="s">
        <v>11</v>
      </c>
      <c r="G3779" s="2" t="s">
        <v>36715</v>
      </c>
      <c r="H3779" s="2" t="s">
        <v>36716</v>
      </c>
    </row>
    <row r="3780" spans="1:8" ht="25.05" customHeight="1" x14ac:dyDescent="0.25">
      <c r="A3780" s="2" t="s">
        <v>8</v>
      </c>
      <c r="B3780" s="2" t="str">
        <f>HYPERLINK("http://ts.21cn.com/tousu/show/id/1334499","马上消费金融暴力催收，辱骂借款人亲友")</f>
        <v>马上消费金融暴力催收，辱骂借款人亲友</v>
      </c>
      <c r="C3780" s="2" t="s">
        <v>9</v>
      </c>
      <c r="D3780" s="2" t="s">
        <v>10</v>
      </c>
      <c r="E3780" s="2" t="str">
        <f>HYPERLINK("http://ts.21cn.com/tousu/show/id/1334499","http://ts.21cn.com/tousu/show/id/1334499")</f>
        <v>http://ts.21cn.com/tousu/show/id/1334499</v>
      </c>
      <c r="F3780" s="2" t="s">
        <v>11</v>
      </c>
      <c r="G3780" s="2" t="s">
        <v>36713</v>
      </c>
      <c r="H3780" s="2" t="s">
        <v>36714</v>
      </c>
    </row>
    <row r="3781" spans="1:8" ht="25.05" customHeight="1" x14ac:dyDescent="0.25">
      <c r="A3781" s="2" t="s">
        <v>8</v>
      </c>
      <c r="B3781" s="2" t="str">
        <f>HYPERLINK("http://ts.21cn.com/tousu/show/id/1334504","吉吉钱包,易宝支付")</f>
        <v>吉吉钱包,易宝支付</v>
      </c>
      <c r="C3781" s="2" t="s">
        <v>9</v>
      </c>
      <c r="D3781" s="2" t="s">
        <v>10</v>
      </c>
      <c r="E3781" s="2" t="str">
        <f>HYPERLINK("http://ts.21cn.com/tousu/show/id/1334504","http://ts.21cn.com/tousu/show/id/1334504")</f>
        <v>http://ts.21cn.com/tousu/show/id/1334504</v>
      </c>
      <c r="F3781" s="2" t="s">
        <v>11</v>
      </c>
      <c r="G3781" s="2" t="s">
        <v>36711</v>
      </c>
      <c r="H3781" s="2" t="s">
        <v>36712</v>
      </c>
    </row>
    <row r="3782" spans="1:8" ht="25.05" customHeight="1" x14ac:dyDescent="0.25">
      <c r="A3782" s="2" t="s">
        <v>8</v>
      </c>
      <c r="B3782" s="2" t="str">
        <f>HYPERLINK("http://ts.21cn.com/tousu/show/id/1334507","聚福钱包乱扣费")</f>
        <v>聚福钱包乱扣费</v>
      </c>
      <c r="C3782" s="2" t="s">
        <v>9</v>
      </c>
      <c r="D3782" s="2" t="s">
        <v>10</v>
      </c>
      <c r="E3782" s="2" t="str">
        <f>HYPERLINK("http://ts.21cn.com/tousu/show/id/1334507","http://ts.21cn.com/tousu/show/id/1334507")</f>
        <v>http://ts.21cn.com/tousu/show/id/1334507</v>
      </c>
      <c r="F3782" s="2" t="s">
        <v>11</v>
      </c>
      <c r="G3782" s="2" t="s">
        <v>36709</v>
      </c>
      <c r="H3782" s="2" t="s">
        <v>36710</v>
      </c>
    </row>
    <row r="3783" spans="1:8" ht="25.05" customHeight="1" x14ac:dyDescent="0.25">
      <c r="A3783" s="2" t="s">
        <v>8</v>
      </c>
      <c r="B3783" s="2" t="str">
        <f>HYPERLINK("http://ts.21cn.com/tousu/show/id/1334509","豹子贷无故扣钱不需要还要扣")</f>
        <v>豹子贷无故扣钱不需要还要扣</v>
      </c>
      <c r="C3783" s="2" t="s">
        <v>9</v>
      </c>
      <c r="D3783" s="2" t="s">
        <v>10</v>
      </c>
      <c r="E3783" s="2" t="str">
        <f>HYPERLINK("http://ts.21cn.com/tousu/show/id/1334509","http://ts.21cn.com/tousu/show/id/1334509")</f>
        <v>http://ts.21cn.com/tousu/show/id/1334509</v>
      </c>
      <c r="F3783" s="2" t="s">
        <v>11</v>
      </c>
      <c r="G3783" s="2" t="s">
        <v>36707</v>
      </c>
      <c r="H3783" s="2" t="s">
        <v>36708</v>
      </c>
    </row>
    <row r="3784" spans="1:8" ht="25.05" customHeight="1" x14ac:dyDescent="0.25">
      <c r="A3784" s="2" t="s">
        <v>8</v>
      </c>
      <c r="B3784" s="2" t="str">
        <f>HYPERLINK("http://ts.21cn.com/tousu/show/id/1334506","月光侠超高利息和暴力催收")</f>
        <v>月光侠超高利息和暴力催收</v>
      </c>
      <c r="C3784" s="2" t="s">
        <v>9</v>
      </c>
      <c r="D3784" s="2" t="s">
        <v>10</v>
      </c>
      <c r="E3784" s="2" t="str">
        <f>HYPERLINK("http://ts.21cn.com/tousu/show/id/1334506","http://ts.21cn.com/tousu/show/id/1334506")</f>
        <v>http://ts.21cn.com/tousu/show/id/1334506</v>
      </c>
      <c r="F3784" s="2" t="s">
        <v>11</v>
      </c>
      <c r="G3784" s="2" t="s">
        <v>36705</v>
      </c>
      <c r="H3784" s="2" t="s">
        <v>36706</v>
      </c>
    </row>
    <row r="3785" spans="1:8" ht="25.05" customHeight="1" x14ac:dyDescent="0.25">
      <c r="A3785" s="2" t="s">
        <v>8</v>
      </c>
      <c r="B3785" s="2" t="str">
        <f>HYPERLINK("http://ts.21cn.com/tousu/show/id/1334512","要求返还购买财神黑卡的钱")</f>
        <v>要求返还购买财神黑卡的钱</v>
      </c>
      <c r="C3785" s="2" t="s">
        <v>34</v>
      </c>
      <c r="D3785" s="2" t="s">
        <v>10</v>
      </c>
      <c r="E3785" s="2" t="str">
        <f>HYPERLINK("http://ts.21cn.com/tousu/show/id/1334512","http://ts.21cn.com/tousu/show/id/1334512")</f>
        <v>http://ts.21cn.com/tousu/show/id/1334512</v>
      </c>
      <c r="F3785" s="2" t="s">
        <v>11</v>
      </c>
      <c r="G3785" s="2" t="s">
        <v>36703</v>
      </c>
      <c r="H3785" s="2" t="s">
        <v>36704</v>
      </c>
    </row>
    <row r="3786" spans="1:8" ht="25.05" customHeight="1" x14ac:dyDescent="0.25">
      <c r="A3786" s="2" t="s">
        <v>8</v>
      </c>
      <c r="B3786" s="2" t="str">
        <f>HYPERLINK("http://ts.21cn.com/tousu/show/id/1334513","贷上钱收取所谓小秘书前期费")</f>
        <v>贷上钱收取所谓小秘书前期费</v>
      </c>
      <c r="C3786" s="2" t="s">
        <v>9</v>
      </c>
      <c r="D3786" s="2" t="s">
        <v>10</v>
      </c>
      <c r="E3786" s="2" t="str">
        <f>HYPERLINK("http://ts.21cn.com/tousu/show/id/1334513","http://ts.21cn.com/tousu/show/id/1334513")</f>
        <v>http://ts.21cn.com/tousu/show/id/1334513</v>
      </c>
      <c r="F3786" s="2" t="s">
        <v>11</v>
      </c>
      <c r="G3786" s="2" t="s">
        <v>36701</v>
      </c>
      <c r="H3786" s="2" t="s">
        <v>36702</v>
      </c>
    </row>
    <row r="3787" spans="1:8" ht="25.05" customHeight="1" x14ac:dyDescent="0.25">
      <c r="A3787" s="2" t="s">
        <v>8</v>
      </c>
      <c r="B3787" s="2" t="str">
        <f>HYPERLINK("http://ts.21cn.com/tousu/show/id/1334514","信用管家云享贷高利贷，砍头息")</f>
        <v>信用管家云享贷高利贷，砍头息</v>
      </c>
      <c r="C3787" s="2" t="s">
        <v>9</v>
      </c>
      <c r="D3787" s="2" t="s">
        <v>10</v>
      </c>
      <c r="E3787" s="2" t="str">
        <f>HYPERLINK("http://ts.21cn.com/tousu/show/id/1334514","http://ts.21cn.com/tousu/show/id/1334514")</f>
        <v>http://ts.21cn.com/tousu/show/id/1334514</v>
      </c>
      <c r="F3787" s="2" t="s">
        <v>11</v>
      </c>
      <c r="G3787" s="2" t="s">
        <v>36699</v>
      </c>
      <c r="H3787" s="2" t="s">
        <v>36700</v>
      </c>
    </row>
    <row r="3788" spans="1:8" ht="25.05" customHeight="1" x14ac:dyDescent="0.25">
      <c r="A3788" s="2" t="s">
        <v>8</v>
      </c>
      <c r="B3788" s="2" t="str">
        <f>HYPERLINK("http://ts.21cn.com/tousu/show/id/1334515","捷信金融公司电话骚扰")</f>
        <v>捷信金融公司电话骚扰</v>
      </c>
      <c r="C3788" s="2" t="s">
        <v>9</v>
      </c>
      <c r="D3788" s="2" t="s">
        <v>10</v>
      </c>
      <c r="E3788" s="2" t="str">
        <f>HYPERLINK("http://ts.21cn.com/tousu/show/id/1334515","http://ts.21cn.com/tousu/show/id/1334515")</f>
        <v>http://ts.21cn.com/tousu/show/id/1334515</v>
      </c>
      <c r="F3788" s="2" t="s">
        <v>11</v>
      </c>
      <c r="G3788" s="2" t="s">
        <v>36697</v>
      </c>
      <c r="H3788" s="2" t="s">
        <v>36698</v>
      </c>
    </row>
    <row r="3789" spans="1:8" ht="25.05" customHeight="1" x14ac:dyDescent="0.25">
      <c r="A3789" s="2" t="s">
        <v>8</v>
      </c>
      <c r="B3789" s="2" t="str">
        <f>HYPERLINK("http://ts.21cn.com/tousu/show/id/1334516","要求唯品会退差价，刚买了化妆品是468，就降价成419，要求补差价")</f>
        <v>要求唯品会退差价，刚买了化妆品是468，就降价成419，要求补差价</v>
      </c>
      <c r="C3789" s="2" t="s">
        <v>34</v>
      </c>
      <c r="D3789" s="2" t="s">
        <v>10</v>
      </c>
      <c r="E3789" s="2" t="str">
        <f>HYPERLINK("http://ts.21cn.com/tousu/show/id/1334516","http://ts.21cn.com/tousu/show/id/1334516")</f>
        <v>http://ts.21cn.com/tousu/show/id/1334516</v>
      </c>
      <c r="F3789" s="2" t="s">
        <v>11</v>
      </c>
      <c r="G3789" s="2" t="s">
        <v>36695</v>
      </c>
      <c r="H3789" s="2" t="s">
        <v>36696</v>
      </c>
    </row>
    <row r="3790" spans="1:8" ht="25.05" customHeight="1" x14ac:dyDescent="0.25">
      <c r="A3790" s="2" t="s">
        <v>8</v>
      </c>
      <c r="B3790" s="2" t="str">
        <f>HYPERLINK("http://ts.21cn.com/tousu/show/id/1334517","高利贷，阴阳合同，电话威胁恐吓")</f>
        <v>高利贷，阴阳合同，电话威胁恐吓</v>
      </c>
      <c r="C3790" s="2" t="s">
        <v>9</v>
      </c>
      <c r="D3790" s="2" t="s">
        <v>10</v>
      </c>
      <c r="E3790" s="2" t="str">
        <f>HYPERLINK("http://ts.21cn.com/tousu/show/id/1334517","http://ts.21cn.com/tousu/show/id/1334517")</f>
        <v>http://ts.21cn.com/tousu/show/id/1334517</v>
      </c>
      <c r="F3790" s="2" t="s">
        <v>11</v>
      </c>
      <c r="G3790" s="2" t="s">
        <v>36693</v>
      </c>
      <c r="H3790" s="2" t="s">
        <v>36694</v>
      </c>
    </row>
    <row r="3791" spans="1:8" ht="25.05" customHeight="1" x14ac:dyDescent="0.25">
      <c r="A3791" s="2" t="s">
        <v>8</v>
      </c>
      <c r="B3791" s="2" t="str">
        <f>HYPERLINK("http://ts.21cn.com/tousu/show/id/1334511","误导消费者，扣款不通知")</f>
        <v>误导消费者，扣款不通知</v>
      </c>
      <c r="C3791" s="2" t="s">
        <v>9</v>
      </c>
      <c r="D3791" s="2" t="s">
        <v>10</v>
      </c>
      <c r="E3791" s="2" t="str">
        <f>HYPERLINK("http://ts.21cn.com/tousu/show/id/1334511","http://ts.21cn.com/tousu/show/id/1334511")</f>
        <v>http://ts.21cn.com/tousu/show/id/1334511</v>
      </c>
      <c r="F3791" s="2" t="s">
        <v>11</v>
      </c>
      <c r="G3791" s="2" t="s">
        <v>36691</v>
      </c>
      <c r="H3791" s="2" t="s">
        <v>36692</v>
      </c>
    </row>
    <row r="3792" spans="1:8" ht="25.05" customHeight="1" x14ac:dyDescent="0.25">
      <c r="A3792" s="2" t="s">
        <v>8</v>
      </c>
      <c r="B3792" s="2" t="str">
        <f>HYPERLINK("http://ts.21cn.com/tousu/show/id/1334518","支付宝网商银行贷")</f>
        <v>支付宝网商银行贷</v>
      </c>
      <c r="C3792" s="2" t="s">
        <v>9</v>
      </c>
      <c r="D3792" s="2" t="s">
        <v>10</v>
      </c>
      <c r="E3792" s="2" t="str">
        <f>HYPERLINK("http://ts.21cn.com/tousu/show/id/1334518","http://ts.21cn.com/tousu/show/id/1334518")</f>
        <v>http://ts.21cn.com/tousu/show/id/1334518</v>
      </c>
      <c r="F3792" s="2" t="s">
        <v>11</v>
      </c>
      <c r="G3792" s="2" t="s">
        <v>36689</v>
      </c>
      <c r="H3792" s="2" t="s">
        <v>36690</v>
      </c>
    </row>
    <row r="3793" spans="1:8" ht="25.05" customHeight="1" x14ac:dyDescent="0.25">
      <c r="A3793" s="2" t="s">
        <v>8</v>
      </c>
      <c r="B3793" s="2" t="str">
        <f>HYPERLINK("http://ts.21cn.com/tousu/show/id/1334519","网贷平台下款扣处费用")</f>
        <v>网贷平台下款扣处费用</v>
      </c>
      <c r="C3793" s="2" t="s">
        <v>34</v>
      </c>
      <c r="D3793" s="2" t="s">
        <v>10</v>
      </c>
      <c r="E3793" s="2" t="str">
        <f>HYPERLINK("http://ts.21cn.com/tousu/show/id/1334519","http://ts.21cn.com/tousu/show/id/1334519")</f>
        <v>http://ts.21cn.com/tousu/show/id/1334519</v>
      </c>
      <c r="F3793" s="2" t="s">
        <v>11</v>
      </c>
      <c r="G3793" s="2" t="s">
        <v>36687</v>
      </c>
      <c r="H3793" s="2" t="s">
        <v>36688</v>
      </c>
    </row>
    <row r="3794" spans="1:8" ht="25.05" customHeight="1" x14ac:dyDescent="0.25">
      <c r="A3794" s="2" t="s">
        <v>8</v>
      </c>
      <c r="B3794" s="2" t="str">
        <f>HYPERLINK("http://ts.21cn.com/tousu/show/id/1334520","玖富万卡阴阳合同，协商不诚心，银行卡扣款")</f>
        <v>玖富万卡阴阳合同，协商不诚心，银行卡扣款</v>
      </c>
      <c r="C3794" s="2" t="s">
        <v>9</v>
      </c>
      <c r="D3794" s="2" t="s">
        <v>10</v>
      </c>
      <c r="E3794" s="2" t="str">
        <f>HYPERLINK("http://ts.21cn.com/tousu/show/id/1334520","http://ts.21cn.com/tousu/show/id/1334520")</f>
        <v>http://ts.21cn.com/tousu/show/id/1334520</v>
      </c>
      <c r="F3794" s="2" t="s">
        <v>11</v>
      </c>
      <c r="G3794" s="2" t="s">
        <v>36685</v>
      </c>
      <c r="H3794" s="2" t="s">
        <v>36686</v>
      </c>
    </row>
    <row r="3795" spans="1:8" ht="25.05" customHeight="1" x14ac:dyDescent="0.25">
      <c r="A3795" s="2" t="s">
        <v>8</v>
      </c>
      <c r="B3795" s="2" t="str">
        <f>HYPERLINK("http://ts.21cn.com/tousu/show/id/1334521","拍拍贷暴力催收爆通讯录")</f>
        <v>拍拍贷暴力催收爆通讯录</v>
      </c>
      <c r="C3795" s="2" t="s">
        <v>9</v>
      </c>
      <c r="D3795" s="2" t="s">
        <v>10</v>
      </c>
      <c r="E3795" s="2" t="str">
        <f>HYPERLINK("http://ts.21cn.com/tousu/show/id/1334521","http://ts.21cn.com/tousu/show/id/1334521")</f>
        <v>http://ts.21cn.com/tousu/show/id/1334521</v>
      </c>
      <c r="F3795" s="2" t="s">
        <v>11</v>
      </c>
      <c r="G3795" s="2" t="s">
        <v>36683</v>
      </c>
      <c r="H3795" s="2" t="s">
        <v>36684</v>
      </c>
    </row>
    <row r="3796" spans="1:8" ht="25.05" customHeight="1" x14ac:dyDescent="0.25">
      <c r="A3796" s="2" t="s">
        <v>8</v>
      </c>
      <c r="B3796" s="2" t="str">
        <f>HYPERLINK("http://ts.21cn.com/tousu/show/id/1334523","快贷高利贷")</f>
        <v>快贷高利贷</v>
      </c>
      <c r="C3796" s="2" t="s">
        <v>9</v>
      </c>
      <c r="D3796" s="2" t="s">
        <v>10</v>
      </c>
      <c r="E3796" s="2" t="str">
        <f>HYPERLINK("http://ts.21cn.com/tousu/show/id/1334523","http://ts.21cn.com/tousu/show/id/1334523")</f>
        <v>http://ts.21cn.com/tousu/show/id/1334523</v>
      </c>
      <c r="F3796" s="2" t="s">
        <v>11</v>
      </c>
      <c r="G3796" s="2" t="s">
        <v>36681</v>
      </c>
      <c r="H3796" s="2" t="s">
        <v>36682</v>
      </c>
    </row>
    <row r="3797" spans="1:8" ht="25.05" customHeight="1" x14ac:dyDescent="0.25">
      <c r="A3797" s="2" t="s">
        <v>8</v>
      </c>
      <c r="B3797" s="2" t="str">
        <f>HYPERLINK("http://ts.21cn.com/tousu/show/id/1334524","立借平台雇佣黑社会威逼还账，性质恶劣")</f>
        <v>立借平台雇佣黑社会威逼还账，性质恶劣</v>
      </c>
      <c r="C3797" s="2" t="s">
        <v>9</v>
      </c>
      <c r="D3797" s="2" t="s">
        <v>10</v>
      </c>
      <c r="E3797" s="2" t="str">
        <f>HYPERLINK("http://ts.21cn.com/tousu/show/id/1334524","http://ts.21cn.com/tousu/show/id/1334524")</f>
        <v>http://ts.21cn.com/tousu/show/id/1334524</v>
      </c>
      <c r="F3797" s="2" t="s">
        <v>11</v>
      </c>
      <c r="G3797" s="2" t="s">
        <v>36679</v>
      </c>
      <c r="H3797" s="2" t="s">
        <v>36680</v>
      </c>
    </row>
    <row r="3798" spans="1:8" ht="25.05" customHeight="1" x14ac:dyDescent="0.25">
      <c r="A3798" s="2" t="s">
        <v>8</v>
      </c>
      <c r="B3798" s="2" t="str">
        <f>HYPERLINK("http://ts.21cn.com/tousu/show/id/1334525","投诉天猫超市少发货")</f>
        <v>投诉天猫超市少发货</v>
      </c>
      <c r="C3798" s="2" t="s">
        <v>34</v>
      </c>
      <c r="D3798" s="2" t="s">
        <v>10</v>
      </c>
      <c r="E3798" s="2" t="str">
        <f>HYPERLINK("http://ts.21cn.com/tousu/show/id/1334525","http://ts.21cn.com/tousu/show/id/1334525")</f>
        <v>http://ts.21cn.com/tousu/show/id/1334525</v>
      </c>
      <c r="F3798" s="2" t="s">
        <v>11</v>
      </c>
      <c r="G3798" s="2" t="s">
        <v>36677</v>
      </c>
      <c r="H3798" s="2" t="s">
        <v>36678</v>
      </c>
    </row>
    <row r="3799" spans="1:8" ht="25.05" customHeight="1" x14ac:dyDescent="0.25">
      <c r="A3799" s="2" t="s">
        <v>8</v>
      </c>
      <c r="B3799" s="2" t="str">
        <f>HYPERLINK("http://ts.21cn.com/tousu/show/id/1334522","北京有缘网")</f>
        <v>北京有缘网</v>
      </c>
      <c r="C3799" s="2" t="s">
        <v>9</v>
      </c>
      <c r="D3799" s="2" t="s">
        <v>10</v>
      </c>
      <c r="E3799" s="2" t="str">
        <f>HYPERLINK("http://ts.21cn.com/tousu/show/id/1334522","http://ts.21cn.com/tousu/show/id/1334522")</f>
        <v>http://ts.21cn.com/tousu/show/id/1334522</v>
      </c>
      <c r="F3799" s="2" t="s">
        <v>11</v>
      </c>
      <c r="G3799" s="2" t="s">
        <v>36675</v>
      </c>
      <c r="H3799" s="2" t="s">
        <v>36676</v>
      </c>
    </row>
    <row r="3800" spans="1:8" ht="25.05" customHeight="1" x14ac:dyDescent="0.25">
      <c r="A3800" s="2" t="s">
        <v>8</v>
      </c>
      <c r="B3800" s="2" t="str">
        <f>HYPERLINK("http://ts.21cn.com/tousu/show/id/1334529","话费充值不到账，不退款，态度恶劣")</f>
        <v>话费充值不到账，不退款，态度恶劣</v>
      </c>
      <c r="C3800" s="2" t="s">
        <v>9</v>
      </c>
      <c r="D3800" s="2" t="s">
        <v>10</v>
      </c>
      <c r="E3800" s="2" t="str">
        <f>HYPERLINK("http://ts.21cn.com/tousu/show/id/1334529","http://ts.21cn.com/tousu/show/id/1334529")</f>
        <v>http://ts.21cn.com/tousu/show/id/1334529</v>
      </c>
      <c r="F3800" s="2" t="s">
        <v>11</v>
      </c>
      <c r="G3800" s="2" t="s">
        <v>36672</v>
      </c>
      <c r="H3800" s="2" t="s">
        <v>36673</v>
      </c>
    </row>
    <row r="3801" spans="1:8" ht="25.05" customHeight="1" x14ac:dyDescent="0.25">
      <c r="A3801" s="2" t="s">
        <v>8</v>
      </c>
      <c r="B3801" s="2" t="str">
        <f>HYPERLINK("http://ts.21cn.com/tousu/show/id/1334527","暖爱情感不靠谱，收了钱后服务态度360度大转变，经常联系不上导师")</f>
        <v>暖爱情感不靠谱，收了钱后服务态度360度大转变，经常联系不上导师</v>
      </c>
      <c r="C3801" s="2" t="s">
        <v>9</v>
      </c>
      <c r="D3801" s="2" t="s">
        <v>10</v>
      </c>
      <c r="E3801" s="2" t="str">
        <f>HYPERLINK("http://ts.21cn.com/tousu/show/id/1334527","http://ts.21cn.com/tousu/show/id/1334527")</f>
        <v>http://ts.21cn.com/tousu/show/id/1334527</v>
      </c>
      <c r="F3801" s="2" t="s">
        <v>11</v>
      </c>
      <c r="G3801" s="2" t="s">
        <v>36672</v>
      </c>
      <c r="H3801" s="2" t="s">
        <v>36674</v>
      </c>
    </row>
    <row r="3802" spans="1:8" ht="25.05" customHeight="1" x14ac:dyDescent="0.25">
      <c r="A3802" s="2" t="s">
        <v>8</v>
      </c>
      <c r="B3802" s="2" t="str">
        <f>HYPERLINK("http://ts.21cn.com/tousu/show/id/1334528","立即贷")</f>
        <v>立即贷</v>
      </c>
      <c r="C3802" s="2" t="s">
        <v>9</v>
      </c>
      <c r="D3802" s="2" t="s">
        <v>10</v>
      </c>
      <c r="E3802" s="2" t="str">
        <f>HYPERLINK("http://ts.21cn.com/tousu/show/id/1334528","http://ts.21cn.com/tousu/show/id/1334528")</f>
        <v>http://ts.21cn.com/tousu/show/id/1334528</v>
      </c>
      <c r="F3802" s="2" t="s">
        <v>11</v>
      </c>
      <c r="G3802" s="2" t="s">
        <v>36670</v>
      </c>
      <c r="H3802" s="2" t="s">
        <v>36671</v>
      </c>
    </row>
    <row r="3803" spans="1:8" ht="25.05" customHeight="1" x14ac:dyDescent="0.25">
      <c r="A3803" s="2" t="s">
        <v>8</v>
      </c>
      <c r="B3803" s="2" t="str">
        <f>HYPERLINK("http://ts.21cn.com/tousu/show/id/1334530","豆豆钱APP获取借款人信息用于软暴力催收")</f>
        <v>豆豆钱APP获取借款人信息用于软暴力催收</v>
      </c>
      <c r="C3803" s="2" t="s">
        <v>9</v>
      </c>
      <c r="D3803" s="2" t="s">
        <v>10</v>
      </c>
      <c r="E3803" s="2" t="str">
        <f>HYPERLINK("http://ts.21cn.com/tousu/show/id/1334530","http://ts.21cn.com/tousu/show/id/1334530")</f>
        <v>http://ts.21cn.com/tousu/show/id/1334530</v>
      </c>
      <c r="F3803" s="2" t="s">
        <v>11</v>
      </c>
      <c r="G3803" s="2" t="s">
        <v>36668</v>
      </c>
      <c r="H3803" s="2" t="s">
        <v>36669</v>
      </c>
    </row>
    <row r="3804" spans="1:8" ht="25.05" customHeight="1" x14ac:dyDescent="0.25">
      <c r="A3804" s="2" t="s">
        <v>8</v>
      </c>
      <c r="B3804" s="2" t="str">
        <f>HYPERLINK("http://ts.21cn.com/tousu/show/id/1334531","快速退款")</f>
        <v>快速退款</v>
      </c>
      <c r="C3804" s="2" t="s">
        <v>9</v>
      </c>
      <c r="D3804" s="2" t="s">
        <v>10</v>
      </c>
      <c r="E3804" s="2" t="str">
        <f>HYPERLINK("http://ts.21cn.com/tousu/show/id/1334531","http://ts.21cn.com/tousu/show/id/1334531")</f>
        <v>http://ts.21cn.com/tousu/show/id/1334531</v>
      </c>
      <c r="F3804" s="2" t="s">
        <v>11</v>
      </c>
      <c r="G3804" s="2" t="s">
        <v>36666</v>
      </c>
      <c r="H3804" s="2" t="s">
        <v>36667</v>
      </c>
    </row>
    <row r="3805" spans="1:8" ht="25.05" customHeight="1" x14ac:dyDescent="0.25">
      <c r="A3805" s="2" t="s">
        <v>8</v>
      </c>
      <c r="B3805" s="2" t="str">
        <f>HYPERLINK("http://ts.21cn.com/tousu/show/id/1334532","招联金融")</f>
        <v>招联金融</v>
      </c>
      <c r="C3805" s="2" t="s">
        <v>9</v>
      </c>
      <c r="D3805" s="2" t="s">
        <v>10</v>
      </c>
      <c r="E3805" s="2" t="str">
        <f>HYPERLINK("http://ts.21cn.com/tousu/show/id/1334532","http://ts.21cn.com/tousu/show/id/1334532")</f>
        <v>http://ts.21cn.com/tousu/show/id/1334532</v>
      </c>
      <c r="F3805" s="2" t="s">
        <v>11</v>
      </c>
      <c r="G3805" s="2" t="s">
        <v>36664</v>
      </c>
      <c r="H3805" s="2" t="s">
        <v>36665</v>
      </c>
    </row>
    <row r="3806" spans="1:8" ht="25.05" customHeight="1" x14ac:dyDescent="0.25">
      <c r="A3806" s="2" t="s">
        <v>8</v>
      </c>
      <c r="B3806" s="2" t="str">
        <f>HYPERLINK("http://ts.21cn.com/tousu/show/id/1334533","暴力催收")</f>
        <v>暴力催收</v>
      </c>
      <c r="C3806" s="2" t="s">
        <v>9</v>
      </c>
      <c r="D3806" s="2" t="s">
        <v>10</v>
      </c>
      <c r="E3806" s="2" t="str">
        <f>HYPERLINK("http://ts.21cn.com/tousu/show/id/1334533","http://ts.21cn.com/tousu/show/id/1334533")</f>
        <v>http://ts.21cn.com/tousu/show/id/1334533</v>
      </c>
      <c r="F3806" s="2" t="s">
        <v>11</v>
      </c>
      <c r="G3806" s="2" t="s">
        <v>36663</v>
      </c>
      <c r="H3806" s="2" t="s">
        <v>36521</v>
      </c>
    </row>
    <row r="3807" spans="1:8" ht="25.05" customHeight="1" x14ac:dyDescent="0.25">
      <c r="A3807" s="2" t="s">
        <v>8</v>
      </c>
      <c r="B3807" s="2" t="str">
        <f>HYPERLINK("http://ts.21cn.com/tousu/show/id/1334534","投诉卡牛瑞贷砍头息高利贷")</f>
        <v>投诉卡牛瑞贷砍头息高利贷</v>
      </c>
      <c r="C3807" s="2" t="s">
        <v>9</v>
      </c>
      <c r="D3807" s="2" t="s">
        <v>10</v>
      </c>
      <c r="E3807" s="2" t="str">
        <f>HYPERLINK("http://ts.21cn.com/tousu/show/id/1334534","http://ts.21cn.com/tousu/show/id/1334534")</f>
        <v>http://ts.21cn.com/tousu/show/id/1334534</v>
      </c>
      <c r="F3807" s="2" t="s">
        <v>11</v>
      </c>
      <c r="G3807" s="2" t="s">
        <v>36661</v>
      </c>
      <c r="H3807" s="2" t="s">
        <v>36662</v>
      </c>
    </row>
    <row r="3808" spans="1:8" ht="25.05" customHeight="1" x14ac:dyDescent="0.25">
      <c r="A3808" s="2" t="s">
        <v>8</v>
      </c>
      <c r="B3808" s="2" t="str">
        <f>HYPERLINK("http://ts.21cn.com/tousu/show/id/1334535","嗨钱还款成功还款不销账")</f>
        <v>嗨钱还款成功还款不销账</v>
      </c>
      <c r="C3808" s="2" t="s">
        <v>34</v>
      </c>
      <c r="D3808" s="2" t="s">
        <v>10</v>
      </c>
      <c r="E3808" s="2" t="str">
        <f>HYPERLINK("http://ts.21cn.com/tousu/show/id/1334535","http://ts.21cn.com/tousu/show/id/1334535")</f>
        <v>http://ts.21cn.com/tousu/show/id/1334535</v>
      </c>
      <c r="F3808" s="2" t="s">
        <v>11</v>
      </c>
      <c r="G3808" s="2" t="s">
        <v>36659</v>
      </c>
      <c r="H3808" s="2" t="s">
        <v>36660</v>
      </c>
    </row>
    <row r="3809" spans="1:8" ht="25.05" customHeight="1" x14ac:dyDescent="0.25">
      <c r="A3809" s="2" t="s">
        <v>8</v>
      </c>
      <c r="B3809" s="2" t="str">
        <f>HYPERLINK("http://ts.21cn.com/tousu/show/id/1334536","你我贷自动扣款不成功，还不能提前结清")</f>
        <v>你我贷自动扣款不成功，还不能提前结清</v>
      </c>
      <c r="C3809" s="2" t="s">
        <v>9</v>
      </c>
      <c r="D3809" s="2" t="s">
        <v>10</v>
      </c>
      <c r="E3809" s="2" t="str">
        <f>HYPERLINK("http://ts.21cn.com/tousu/show/id/1334536","http://ts.21cn.com/tousu/show/id/1334536")</f>
        <v>http://ts.21cn.com/tousu/show/id/1334536</v>
      </c>
      <c r="F3809" s="2" t="s">
        <v>11</v>
      </c>
      <c r="G3809" s="2" t="s">
        <v>36657</v>
      </c>
      <c r="H3809" s="2" t="s">
        <v>36658</v>
      </c>
    </row>
    <row r="3810" spans="1:8" ht="25.05" customHeight="1" x14ac:dyDescent="0.25">
      <c r="A3810" s="2" t="s">
        <v>8</v>
      </c>
      <c r="B3810" s="2" t="str">
        <f>HYPERLINK("http://ts.21cn.com/tousu/show/id/1334537","闪银平台客服服务有问题不知情况下乱扣保证金")</f>
        <v>闪银平台客服服务有问题不知情况下乱扣保证金</v>
      </c>
      <c r="C3810" s="2" t="s">
        <v>9</v>
      </c>
      <c r="D3810" s="2" t="s">
        <v>10</v>
      </c>
      <c r="E3810" s="2" t="str">
        <f>HYPERLINK("http://ts.21cn.com/tousu/show/id/1334537","http://ts.21cn.com/tousu/show/id/1334537")</f>
        <v>http://ts.21cn.com/tousu/show/id/1334537</v>
      </c>
      <c r="F3810" s="2" t="s">
        <v>11</v>
      </c>
      <c r="G3810" s="2" t="s">
        <v>36655</v>
      </c>
      <c r="H3810" s="2" t="s">
        <v>36656</v>
      </c>
    </row>
    <row r="3811" spans="1:8" ht="25.05" customHeight="1" x14ac:dyDescent="0.25">
      <c r="A3811" s="2" t="s">
        <v>8</v>
      </c>
      <c r="B3811" s="2" t="str">
        <f>HYPERLINK("http://ts.21cn.com/tousu/show/id/1334538","新办手机号收到玖富万卡催款骚扰")</f>
        <v>新办手机号收到玖富万卡催款骚扰</v>
      </c>
      <c r="C3811" s="2" t="s">
        <v>9</v>
      </c>
      <c r="D3811" s="2" t="s">
        <v>10</v>
      </c>
      <c r="E3811" s="2" t="str">
        <f>HYPERLINK("http://ts.21cn.com/tousu/show/id/1334538","http://ts.21cn.com/tousu/show/id/1334538")</f>
        <v>http://ts.21cn.com/tousu/show/id/1334538</v>
      </c>
      <c r="F3811" s="2" t="s">
        <v>11</v>
      </c>
      <c r="G3811" s="2" t="s">
        <v>36653</v>
      </c>
      <c r="H3811" s="2" t="s">
        <v>36654</v>
      </c>
    </row>
    <row r="3812" spans="1:8" ht="25.05" customHeight="1" x14ac:dyDescent="0.25">
      <c r="A3812" s="2" t="s">
        <v>8</v>
      </c>
      <c r="B3812" s="2" t="str">
        <f>HYPERLINK("http://ts.21cn.com/tousu/show/id/1334539","豆豆钱恶意捆绑保险、高利息")</f>
        <v>豆豆钱恶意捆绑保险、高利息</v>
      </c>
      <c r="C3812" s="2" t="s">
        <v>9</v>
      </c>
      <c r="D3812" s="2" t="s">
        <v>10</v>
      </c>
      <c r="E3812" s="2" t="str">
        <f>HYPERLINK("http://ts.21cn.com/tousu/show/id/1334539","http://ts.21cn.com/tousu/show/id/1334539")</f>
        <v>http://ts.21cn.com/tousu/show/id/1334539</v>
      </c>
      <c r="F3812" s="2" t="s">
        <v>11</v>
      </c>
      <c r="G3812" s="2" t="s">
        <v>36651</v>
      </c>
      <c r="H3812" s="2" t="s">
        <v>36652</v>
      </c>
    </row>
    <row r="3813" spans="1:8" ht="25.05" customHeight="1" x14ac:dyDescent="0.25">
      <c r="A3813" s="2" t="s">
        <v>8</v>
      </c>
      <c r="B3813" s="2" t="str">
        <f>HYPERLINK("http://ts.21cn.com/tousu/show/id/1334540","立借，无合同，假分期")</f>
        <v>立借，无合同，假分期</v>
      </c>
      <c r="C3813" s="2" t="s">
        <v>34</v>
      </c>
      <c r="D3813" s="2" t="s">
        <v>10</v>
      </c>
      <c r="E3813" s="2" t="str">
        <f>HYPERLINK("http://ts.21cn.com/tousu/show/id/1334540","http://ts.21cn.com/tousu/show/id/1334540")</f>
        <v>http://ts.21cn.com/tousu/show/id/1334540</v>
      </c>
      <c r="F3813" s="2" t="s">
        <v>11</v>
      </c>
      <c r="G3813" s="2" t="s">
        <v>36649</v>
      </c>
      <c r="H3813" s="2" t="s">
        <v>36650</v>
      </c>
    </row>
    <row r="3814" spans="1:8" ht="25.05" customHeight="1" x14ac:dyDescent="0.25">
      <c r="A3814" s="2" t="s">
        <v>8</v>
      </c>
      <c r="B3814" s="2" t="str">
        <f>HYPERLINK("http://ts.21cn.com/tousu/show/id/1334541","小浦优客恶意扣费")</f>
        <v>小浦优客恶意扣费</v>
      </c>
      <c r="C3814" s="2" t="s">
        <v>9</v>
      </c>
      <c r="D3814" s="2" t="s">
        <v>10</v>
      </c>
      <c r="E3814" s="2" t="str">
        <f>HYPERLINK("http://ts.21cn.com/tousu/show/id/1334541","http://ts.21cn.com/tousu/show/id/1334541")</f>
        <v>http://ts.21cn.com/tousu/show/id/1334541</v>
      </c>
      <c r="F3814" s="2" t="s">
        <v>11</v>
      </c>
      <c r="G3814" s="2" t="s">
        <v>36647</v>
      </c>
      <c r="H3814" s="2" t="s">
        <v>36648</v>
      </c>
    </row>
    <row r="3815" spans="1:8" ht="25.05" customHeight="1" x14ac:dyDescent="0.25">
      <c r="A3815" s="2" t="s">
        <v>8</v>
      </c>
      <c r="B3815" s="2" t="str">
        <f>HYPERLINK("http://ts.21cn.com/tousu/show/id/1334544","电话骚扰，短信威胁恐吓")</f>
        <v>电话骚扰，短信威胁恐吓</v>
      </c>
      <c r="C3815" s="2" t="s">
        <v>9</v>
      </c>
      <c r="D3815" s="2" t="s">
        <v>10</v>
      </c>
      <c r="E3815" s="2" t="str">
        <f>HYPERLINK("http://ts.21cn.com/tousu/show/id/1334544","http://ts.21cn.com/tousu/show/id/1334544")</f>
        <v>http://ts.21cn.com/tousu/show/id/1334544</v>
      </c>
      <c r="F3815" s="2" t="s">
        <v>11</v>
      </c>
      <c r="G3815" s="2" t="s">
        <v>36645</v>
      </c>
      <c r="H3815" s="2" t="s">
        <v>36646</v>
      </c>
    </row>
    <row r="3816" spans="1:8" ht="25.05" customHeight="1" x14ac:dyDescent="0.25">
      <c r="A3816" s="2" t="s">
        <v>8</v>
      </c>
      <c r="B3816" s="2" t="str">
        <f>HYPERLINK("http://ts.21cn.com/tousu/show/id/1334543","超标，及贷年化利率超过36％")</f>
        <v>超标，及贷年化利率超过36％</v>
      </c>
      <c r="C3816" s="2" t="s">
        <v>9</v>
      </c>
      <c r="D3816" s="2" t="s">
        <v>10</v>
      </c>
      <c r="E3816" s="2" t="str">
        <f>HYPERLINK("http://ts.21cn.com/tousu/show/id/1334543","http://ts.21cn.com/tousu/show/id/1334543")</f>
        <v>http://ts.21cn.com/tousu/show/id/1334543</v>
      </c>
      <c r="F3816" s="2" t="s">
        <v>11</v>
      </c>
      <c r="G3816" s="2" t="s">
        <v>36643</v>
      </c>
      <c r="H3816" s="2" t="s">
        <v>36644</v>
      </c>
    </row>
    <row r="3817" spans="1:8" ht="25.05" customHeight="1" x14ac:dyDescent="0.25">
      <c r="A3817" s="2" t="s">
        <v>8</v>
      </c>
      <c r="B3817" s="2" t="str">
        <f>HYPERLINK("http://ts.21cn.com/tousu/show/id/1334545","贷上钱非法爆通讯录")</f>
        <v>贷上钱非法爆通讯录</v>
      </c>
      <c r="C3817" s="2" t="s">
        <v>9</v>
      </c>
      <c r="D3817" s="2" t="s">
        <v>10</v>
      </c>
      <c r="E3817" s="2" t="str">
        <f>HYPERLINK("http://ts.21cn.com/tousu/show/id/1334545","http://ts.21cn.com/tousu/show/id/1334545")</f>
        <v>http://ts.21cn.com/tousu/show/id/1334545</v>
      </c>
      <c r="F3817" s="2" t="s">
        <v>11</v>
      </c>
      <c r="G3817" s="2" t="s">
        <v>36641</v>
      </c>
      <c r="H3817" s="2" t="s">
        <v>36642</v>
      </c>
    </row>
    <row r="3818" spans="1:8" ht="25.05" customHeight="1" x14ac:dyDescent="0.25">
      <c r="A3818" s="2" t="s">
        <v>8</v>
      </c>
      <c r="B3818" s="2" t="str">
        <f>HYPERLINK("http://ts.21cn.com/tousu/show/id/1334548","因平台机票订错，及系统原因导致受经济损失。")</f>
        <v>因平台机票订错，及系统原因导致受经济损失。</v>
      </c>
      <c r="C3818" s="2" t="s">
        <v>9</v>
      </c>
      <c r="D3818" s="2" t="s">
        <v>10</v>
      </c>
      <c r="E3818" s="2" t="str">
        <f>HYPERLINK("http://ts.21cn.com/tousu/show/id/1334548","http://ts.21cn.com/tousu/show/id/1334548")</f>
        <v>http://ts.21cn.com/tousu/show/id/1334548</v>
      </c>
      <c r="F3818" s="2" t="s">
        <v>11</v>
      </c>
      <c r="G3818" s="2" t="s">
        <v>36639</v>
      </c>
      <c r="H3818" s="2" t="s">
        <v>36640</v>
      </c>
    </row>
    <row r="3819" spans="1:8" ht="25.05" customHeight="1" x14ac:dyDescent="0.25">
      <c r="A3819" s="2" t="s">
        <v>8</v>
      </c>
      <c r="B3819" s="2" t="str">
        <f>HYPERLINK("http://ts.21cn.com/tousu/show/id/1334550","高利贷")</f>
        <v>高利贷</v>
      </c>
      <c r="C3819" s="2" t="s">
        <v>9</v>
      </c>
      <c r="D3819" s="2" t="s">
        <v>10</v>
      </c>
      <c r="E3819" s="2" t="str">
        <f>HYPERLINK("http://ts.21cn.com/tousu/show/id/1334550","http://ts.21cn.com/tousu/show/id/1334550")</f>
        <v>http://ts.21cn.com/tousu/show/id/1334550</v>
      </c>
      <c r="F3819" s="2" t="s">
        <v>11</v>
      </c>
      <c r="G3819" s="2" t="s">
        <v>36637</v>
      </c>
      <c r="H3819" s="2" t="s">
        <v>36638</v>
      </c>
    </row>
    <row r="3820" spans="1:8" ht="25.05" customHeight="1" x14ac:dyDescent="0.25">
      <c r="A3820" s="2" t="s">
        <v>8</v>
      </c>
      <c r="B3820" s="2" t="str">
        <f>HYPERLINK("http://ts.21cn.com/tousu/show/id/1334549","光大银行信用卡逾期十多天就被威胁恐吓马上经侦报案")</f>
        <v>光大银行信用卡逾期十多天就被威胁恐吓马上经侦报案</v>
      </c>
      <c r="C3820" s="2" t="s">
        <v>9</v>
      </c>
      <c r="D3820" s="2" t="s">
        <v>10</v>
      </c>
      <c r="E3820" s="2" t="str">
        <f>HYPERLINK("http://ts.21cn.com/tousu/show/id/1334549","http://ts.21cn.com/tousu/show/id/1334549")</f>
        <v>http://ts.21cn.com/tousu/show/id/1334549</v>
      </c>
      <c r="F3820" s="2" t="s">
        <v>11</v>
      </c>
      <c r="G3820" s="2" t="s">
        <v>36635</v>
      </c>
      <c r="H3820" s="2" t="s">
        <v>36636</v>
      </c>
    </row>
    <row r="3821" spans="1:8" ht="25.05" customHeight="1" x14ac:dyDescent="0.25">
      <c r="A3821" s="2" t="s">
        <v>8</v>
      </c>
      <c r="B3821" s="2" t="str">
        <f>HYPERLINK("http://ts.21cn.com/tousu/show/id/1334552","投诉捷信")</f>
        <v>投诉捷信</v>
      </c>
      <c r="C3821" s="2" t="s">
        <v>9</v>
      </c>
      <c r="D3821" s="2" t="s">
        <v>10</v>
      </c>
      <c r="E3821" s="2" t="str">
        <f>HYPERLINK("http://ts.21cn.com/tousu/show/id/1334552","http://ts.21cn.com/tousu/show/id/1334552")</f>
        <v>http://ts.21cn.com/tousu/show/id/1334552</v>
      </c>
      <c r="F3821" s="2" t="s">
        <v>11</v>
      </c>
      <c r="G3821" s="2" t="s">
        <v>36633</v>
      </c>
      <c r="H3821" s="2" t="s">
        <v>36634</v>
      </c>
    </row>
    <row r="3822" spans="1:8" ht="25.05" customHeight="1" x14ac:dyDescent="0.25">
      <c r="A3822" s="2" t="s">
        <v>8</v>
      </c>
      <c r="B3822" s="2" t="str">
        <f>HYPERLINK("http://ts.21cn.com/tousu/show/id/1334553","贷上钱天下有借高暴力高利息")</f>
        <v>贷上钱天下有借高暴力高利息</v>
      </c>
      <c r="C3822" s="2" t="s">
        <v>9</v>
      </c>
      <c r="D3822" s="2" t="s">
        <v>10</v>
      </c>
      <c r="E3822" s="2" t="str">
        <f>HYPERLINK("http://ts.21cn.com/tousu/show/id/1334553","http://ts.21cn.com/tousu/show/id/1334553")</f>
        <v>http://ts.21cn.com/tousu/show/id/1334553</v>
      </c>
      <c r="F3822" s="2" t="s">
        <v>11</v>
      </c>
      <c r="G3822" s="2" t="s">
        <v>36631</v>
      </c>
      <c r="H3822" s="2" t="s">
        <v>36632</v>
      </c>
    </row>
    <row r="3823" spans="1:8" ht="25.05" customHeight="1" x14ac:dyDescent="0.25">
      <c r="A3823" s="2" t="s">
        <v>8</v>
      </c>
      <c r="B3823" s="2" t="str">
        <f>HYPERLINK("http://ts.21cn.com/tousu/show/id/1334554","安能物流拖延发货")</f>
        <v>安能物流拖延发货</v>
      </c>
      <c r="C3823" s="2" t="s">
        <v>9</v>
      </c>
      <c r="D3823" s="2" t="s">
        <v>10</v>
      </c>
      <c r="E3823" s="2" t="str">
        <f>HYPERLINK("http://ts.21cn.com/tousu/show/id/1334554","http://ts.21cn.com/tousu/show/id/1334554")</f>
        <v>http://ts.21cn.com/tousu/show/id/1334554</v>
      </c>
      <c r="F3823" s="2" t="s">
        <v>11</v>
      </c>
      <c r="G3823" s="2" t="s">
        <v>36629</v>
      </c>
      <c r="H3823" s="2" t="s">
        <v>36630</v>
      </c>
    </row>
    <row r="3824" spans="1:8" ht="25.05" customHeight="1" x14ac:dyDescent="0.25">
      <c r="A3824" s="2" t="s">
        <v>8</v>
      </c>
      <c r="B3824" s="2" t="str">
        <f>HYPERLINK("http://ts.21cn.com/tousu/show/id/1334555","派单不合理")</f>
        <v>派单不合理</v>
      </c>
      <c r="C3824" s="2" t="s">
        <v>9</v>
      </c>
      <c r="D3824" s="2" t="s">
        <v>10</v>
      </c>
      <c r="E3824" s="2" t="str">
        <f>HYPERLINK("http://ts.21cn.com/tousu/show/id/1334555","http://ts.21cn.com/tousu/show/id/1334555")</f>
        <v>http://ts.21cn.com/tousu/show/id/1334555</v>
      </c>
      <c r="F3824" s="2" t="s">
        <v>11</v>
      </c>
      <c r="G3824" s="2" t="s">
        <v>36627</v>
      </c>
      <c r="H3824" s="2" t="s">
        <v>36628</v>
      </c>
    </row>
    <row r="3825" spans="1:8" ht="25.05" customHeight="1" x14ac:dyDescent="0.25">
      <c r="A3825" s="2" t="s">
        <v>8</v>
      </c>
      <c r="B3825" s="2" t="str">
        <f>HYPERLINK("http://ts.21cn.com/tousu/show/id/1334557","多宝分期协融借高利贷")</f>
        <v>多宝分期协融借高利贷</v>
      </c>
      <c r="C3825" s="2" t="s">
        <v>9</v>
      </c>
      <c r="D3825" s="2" t="s">
        <v>10</v>
      </c>
      <c r="E3825" s="2" t="str">
        <f>HYPERLINK("http://ts.21cn.com/tousu/show/id/1334557","http://ts.21cn.com/tousu/show/id/1334557")</f>
        <v>http://ts.21cn.com/tousu/show/id/1334557</v>
      </c>
      <c r="F3825" s="2" t="s">
        <v>11</v>
      </c>
      <c r="G3825" s="2" t="s">
        <v>36625</v>
      </c>
      <c r="H3825" s="2" t="s">
        <v>36626</v>
      </c>
    </row>
    <row r="3826" spans="1:8" ht="25.05" customHeight="1" x14ac:dyDescent="0.25">
      <c r="A3826" s="2" t="s">
        <v>8</v>
      </c>
      <c r="B3826" s="2" t="str">
        <f>HYPERLINK("http://ts.21cn.com/tousu/show/id/1334558","乱收费套路贷")</f>
        <v>乱收费套路贷</v>
      </c>
      <c r="C3826" s="2" t="s">
        <v>9</v>
      </c>
      <c r="D3826" s="2" t="s">
        <v>10</v>
      </c>
      <c r="E3826" s="2" t="str">
        <f>HYPERLINK("http://ts.21cn.com/tousu/show/id/1334558","http://ts.21cn.com/tousu/show/id/1334558")</f>
        <v>http://ts.21cn.com/tousu/show/id/1334558</v>
      </c>
      <c r="F3826" s="2" t="s">
        <v>11</v>
      </c>
      <c r="G3826" s="2" t="s">
        <v>36623</v>
      </c>
      <c r="H3826" s="2" t="s">
        <v>36624</v>
      </c>
    </row>
    <row r="3827" spans="1:8" ht="25.05" customHeight="1" x14ac:dyDescent="0.25">
      <c r="A3827" s="2" t="s">
        <v>8</v>
      </c>
      <c r="B3827" s="2" t="str">
        <f>HYPERLINK("http://ts.21cn.com/tousu/show/id/1334560","爱又米抱米花借款年利率接近100%")</f>
        <v>爱又米抱米花借款年利率接近100%</v>
      </c>
      <c r="C3827" s="2" t="s">
        <v>9</v>
      </c>
      <c r="D3827" s="2" t="s">
        <v>10</v>
      </c>
      <c r="E3827" s="2" t="str">
        <f>HYPERLINK("http://ts.21cn.com/tousu/show/id/1334560","http://ts.21cn.com/tousu/show/id/1334560")</f>
        <v>http://ts.21cn.com/tousu/show/id/1334560</v>
      </c>
      <c r="F3827" s="2" t="s">
        <v>11</v>
      </c>
      <c r="G3827" s="2" t="s">
        <v>36621</v>
      </c>
      <c r="H3827" s="2" t="s">
        <v>36622</v>
      </c>
    </row>
    <row r="3828" spans="1:8" ht="25.05" customHeight="1" x14ac:dyDescent="0.25">
      <c r="A3828" s="2" t="s">
        <v>8</v>
      </c>
      <c r="B3828" s="2" t="str">
        <f>HYPERLINK("http://ts.21cn.com/tousu/show/id/1334559","金夫人婚纱照服务跟宣传不符")</f>
        <v>金夫人婚纱照服务跟宣传不符</v>
      </c>
      <c r="C3828" s="2" t="s">
        <v>9</v>
      </c>
      <c r="D3828" s="2" t="s">
        <v>10</v>
      </c>
      <c r="E3828" s="2" t="str">
        <f>HYPERLINK("http://ts.21cn.com/tousu/show/id/1334559","http://ts.21cn.com/tousu/show/id/1334559")</f>
        <v>http://ts.21cn.com/tousu/show/id/1334559</v>
      </c>
      <c r="F3828" s="2" t="s">
        <v>11</v>
      </c>
      <c r="G3828" s="2" t="s">
        <v>36619</v>
      </c>
      <c r="H3828" s="2" t="s">
        <v>36620</v>
      </c>
    </row>
    <row r="3829" spans="1:8" ht="25.05" customHeight="1" x14ac:dyDescent="0.25">
      <c r="A3829" s="2" t="s">
        <v>8</v>
      </c>
      <c r="B3829" s="2" t="str">
        <f>HYPERLINK("http://ts.21cn.com/tousu/show/id/1334561","恶意违约")</f>
        <v>恶意违约</v>
      </c>
      <c r="C3829" s="2" t="s">
        <v>9</v>
      </c>
      <c r="D3829" s="2" t="s">
        <v>10</v>
      </c>
      <c r="E3829" s="2" t="str">
        <f>HYPERLINK("http://ts.21cn.com/tousu/show/id/1334561","http://ts.21cn.com/tousu/show/id/1334561")</f>
        <v>http://ts.21cn.com/tousu/show/id/1334561</v>
      </c>
      <c r="F3829" s="2" t="s">
        <v>11</v>
      </c>
      <c r="G3829" s="2" t="s">
        <v>36617</v>
      </c>
      <c r="H3829" s="2" t="s">
        <v>36618</v>
      </c>
    </row>
    <row r="3830" spans="1:8" ht="25.05" customHeight="1" x14ac:dyDescent="0.25">
      <c r="A3830" s="2" t="s">
        <v>8</v>
      </c>
      <c r="B3830" s="2" t="str">
        <f>HYPERLINK("http://ts.21cn.com/tousu/show/id/1334562","你我贷还款方式不合理，未见合同")</f>
        <v>你我贷还款方式不合理，未见合同</v>
      </c>
      <c r="C3830" s="2" t="s">
        <v>9</v>
      </c>
      <c r="D3830" s="2" t="s">
        <v>10</v>
      </c>
      <c r="E3830" s="2" t="str">
        <f>HYPERLINK("http://ts.21cn.com/tousu/show/id/1334562","http://ts.21cn.com/tousu/show/id/1334562")</f>
        <v>http://ts.21cn.com/tousu/show/id/1334562</v>
      </c>
      <c r="F3830" s="2" t="s">
        <v>11</v>
      </c>
      <c r="G3830" s="2" t="s">
        <v>36615</v>
      </c>
      <c r="H3830" s="2" t="s">
        <v>36616</v>
      </c>
    </row>
    <row r="3831" spans="1:8" ht="25.05" customHeight="1" x14ac:dyDescent="0.25">
      <c r="A3831" s="2" t="s">
        <v>8</v>
      </c>
      <c r="B3831" s="2" t="str">
        <f>HYPERLINK("http://ts.21cn.com/tousu/show/id/1334563","骚扰，恐吓")</f>
        <v>骚扰，恐吓</v>
      </c>
      <c r="C3831" s="2" t="s">
        <v>9</v>
      </c>
      <c r="D3831" s="2" t="s">
        <v>10</v>
      </c>
      <c r="E3831" s="2" t="str">
        <f>HYPERLINK("http://ts.21cn.com/tousu/show/id/1334563","http://ts.21cn.com/tousu/show/id/1334563")</f>
        <v>http://ts.21cn.com/tousu/show/id/1334563</v>
      </c>
      <c r="F3831" s="2" t="s">
        <v>11</v>
      </c>
      <c r="G3831" s="2" t="s">
        <v>36613</v>
      </c>
      <c r="H3831" s="2" t="s">
        <v>36614</v>
      </c>
    </row>
    <row r="3832" spans="1:8" ht="25.05" customHeight="1" x14ac:dyDescent="0.25">
      <c r="A3832" s="2" t="s">
        <v>8</v>
      </c>
      <c r="B3832" s="2" t="str">
        <f>HYPERLINK("http://ts.21cn.com/tousu/show/id/1334564","闪银平台不能解绑银行卡")</f>
        <v>闪银平台不能解绑银行卡</v>
      </c>
      <c r="C3832" s="2" t="s">
        <v>34</v>
      </c>
      <c r="D3832" s="2" t="s">
        <v>10</v>
      </c>
      <c r="E3832" s="2" t="str">
        <f>HYPERLINK("http://ts.21cn.com/tousu/show/id/1334564","http://ts.21cn.com/tousu/show/id/1334564")</f>
        <v>http://ts.21cn.com/tousu/show/id/1334564</v>
      </c>
      <c r="F3832" s="2" t="s">
        <v>11</v>
      </c>
      <c r="G3832" s="2" t="s">
        <v>36611</v>
      </c>
      <c r="H3832" s="2" t="s">
        <v>36612</v>
      </c>
    </row>
    <row r="3833" spans="1:8" ht="25.05" customHeight="1" x14ac:dyDescent="0.25">
      <c r="A3833" s="2" t="s">
        <v>8</v>
      </c>
      <c r="B3833" s="2" t="str">
        <f>HYPERLINK("http://ts.21cn.com/tousu/show/id/1334565","聚富分期未经过同意乱扣款")</f>
        <v>聚富分期未经过同意乱扣款</v>
      </c>
      <c r="C3833" s="2" t="s">
        <v>9</v>
      </c>
      <c r="D3833" s="2" t="s">
        <v>10</v>
      </c>
      <c r="E3833" s="2" t="str">
        <f>HYPERLINK("http://ts.21cn.com/tousu/show/id/1334565","http://ts.21cn.com/tousu/show/id/1334565")</f>
        <v>http://ts.21cn.com/tousu/show/id/1334565</v>
      </c>
      <c r="F3833" s="2" t="s">
        <v>11</v>
      </c>
      <c r="G3833" s="2" t="s">
        <v>36609</v>
      </c>
      <c r="H3833" s="2" t="s">
        <v>36610</v>
      </c>
    </row>
    <row r="3834" spans="1:8" ht="25.05" customHeight="1" x14ac:dyDescent="0.25">
      <c r="A3834" s="2" t="s">
        <v>8</v>
      </c>
      <c r="B3834" s="2" t="str">
        <f>HYPERLINK("http://ts.21cn.com/tousu/show/id/1334567","钱小咖阴阳合同，高利贷，砍头息")</f>
        <v>钱小咖阴阳合同，高利贷，砍头息</v>
      </c>
      <c r="C3834" s="2" t="s">
        <v>9</v>
      </c>
      <c r="D3834" s="2" t="s">
        <v>10</v>
      </c>
      <c r="E3834" s="2" t="str">
        <f>HYPERLINK("http://ts.21cn.com/tousu/show/id/1334567","http://ts.21cn.com/tousu/show/id/1334567")</f>
        <v>http://ts.21cn.com/tousu/show/id/1334567</v>
      </c>
      <c r="F3834" s="2" t="s">
        <v>11</v>
      </c>
      <c r="G3834" s="2" t="s">
        <v>36607</v>
      </c>
      <c r="H3834" s="2" t="s">
        <v>36608</v>
      </c>
    </row>
    <row r="3835" spans="1:8" ht="25.05" customHeight="1" x14ac:dyDescent="0.25">
      <c r="A3835" s="2" t="s">
        <v>8</v>
      </c>
      <c r="B3835" s="2" t="str">
        <f>HYPERLINK("http://ts.21cn.com/tousu/show/id/1334568","网络贷款714高炮")</f>
        <v>网络贷款714高炮</v>
      </c>
      <c r="C3835" s="2" t="s">
        <v>9</v>
      </c>
      <c r="D3835" s="2" t="s">
        <v>10</v>
      </c>
      <c r="E3835" s="2" t="str">
        <f>HYPERLINK("http://ts.21cn.com/tousu/show/id/1334568","http://ts.21cn.com/tousu/show/id/1334568")</f>
        <v>http://ts.21cn.com/tousu/show/id/1334568</v>
      </c>
      <c r="F3835" s="2" t="s">
        <v>11</v>
      </c>
      <c r="G3835" s="2" t="s">
        <v>36605</v>
      </c>
      <c r="H3835" s="2" t="s">
        <v>36606</v>
      </c>
    </row>
    <row r="3836" spans="1:8" ht="25.05" customHeight="1" x14ac:dyDescent="0.25">
      <c r="A3836" s="2" t="s">
        <v>8</v>
      </c>
      <c r="B3836" s="2" t="str">
        <f>HYPERLINK("http://ts.21cn.com/tousu/show/id/1334556","刷单付款到国美")</f>
        <v>刷单付款到国美</v>
      </c>
      <c r="C3836" s="2" t="s">
        <v>9</v>
      </c>
      <c r="D3836" s="2" t="s">
        <v>10</v>
      </c>
      <c r="E3836" s="2" t="str">
        <f>HYPERLINK("http://ts.21cn.com/tousu/show/id/1334556","http://ts.21cn.com/tousu/show/id/1334556")</f>
        <v>http://ts.21cn.com/tousu/show/id/1334556</v>
      </c>
      <c r="F3836" s="2" t="s">
        <v>11</v>
      </c>
      <c r="G3836" s="2" t="s">
        <v>36603</v>
      </c>
      <c r="H3836" s="2" t="s">
        <v>36604</v>
      </c>
    </row>
    <row r="3837" spans="1:8" ht="25.05" customHeight="1" x14ac:dyDescent="0.25">
      <c r="A3837" s="2" t="s">
        <v>8</v>
      </c>
      <c r="B3837" s="2" t="str">
        <f>HYPERLINK("http://ts.21cn.com/tousu/show/id/1334566","资金冻结，需要交解冻金")</f>
        <v>资金冻结，需要交解冻金</v>
      </c>
      <c r="C3837" s="2" t="s">
        <v>9</v>
      </c>
      <c r="D3837" s="2" t="s">
        <v>10</v>
      </c>
      <c r="E3837" s="2" t="str">
        <f>HYPERLINK("http://ts.21cn.com/tousu/show/id/1334566","http://ts.21cn.com/tousu/show/id/1334566")</f>
        <v>http://ts.21cn.com/tousu/show/id/1334566</v>
      </c>
      <c r="F3837" s="2" t="s">
        <v>11</v>
      </c>
      <c r="G3837" s="2" t="s">
        <v>36601</v>
      </c>
      <c r="H3837" s="2" t="s">
        <v>36602</v>
      </c>
    </row>
    <row r="3838" spans="1:8" ht="25.05" customHeight="1" x14ac:dyDescent="0.25">
      <c r="A3838" s="2" t="s">
        <v>8</v>
      </c>
      <c r="B3838" s="2" t="str">
        <f>HYPERLINK("http://ts.21cn.com/tousu/show/id/1334570","信用管家高炮牛人无视投诉")</f>
        <v>信用管家高炮牛人无视投诉</v>
      </c>
      <c r="C3838" s="2" t="s">
        <v>9</v>
      </c>
      <c r="D3838" s="2" t="s">
        <v>10</v>
      </c>
      <c r="E3838" s="2" t="str">
        <f>HYPERLINK("http://ts.21cn.com/tousu/show/id/1334570","http://ts.21cn.com/tousu/show/id/1334570")</f>
        <v>http://ts.21cn.com/tousu/show/id/1334570</v>
      </c>
      <c r="F3838" s="2" t="s">
        <v>11</v>
      </c>
      <c r="G3838" s="2" t="s">
        <v>36599</v>
      </c>
      <c r="H3838" s="2" t="s">
        <v>36600</v>
      </c>
    </row>
    <row r="3839" spans="1:8" ht="25.05" customHeight="1" x14ac:dyDescent="0.25">
      <c r="A3839" s="2" t="s">
        <v>8</v>
      </c>
      <c r="B3839" s="2" t="str">
        <f>HYPERLINK("http://ts.21cn.com/tousu/show/id/1334572","违约金1天100多")</f>
        <v>违约金1天100多</v>
      </c>
      <c r="C3839" s="2" t="s">
        <v>9</v>
      </c>
      <c r="D3839" s="2" t="s">
        <v>10</v>
      </c>
      <c r="E3839" s="2" t="str">
        <f>HYPERLINK("http://ts.21cn.com/tousu/show/id/1334572","http://ts.21cn.com/tousu/show/id/1334572")</f>
        <v>http://ts.21cn.com/tousu/show/id/1334572</v>
      </c>
      <c r="F3839" s="2" t="s">
        <v>11</v>
      </c>
      <c r="G3839" s="2" t="s">
        <v>36597</v>
      </c>
      <c r="H3839" s="2" t="s">
        <v>36598</v>
      </c>
    </row>
    <row r="3840" spans="1:8" ht="25.05" customHeight="1" x14ac:dyDescent="0.25">
      <c r="A3840" s="2" t="s">
        <v>8</v>
      </c>
      <c r="B3840" s="2" t="str">
        <f>HYPERLINK("http://ts.21cn.com/tousu/show/id/1334573","凡普金科旗下钱站app暴力催收")</f>
        <v>凡普金科旗下钱站app暴力催收</v>
      </c>
      <c r="C3840" s="2" t="s">
        <v>9</v>
      </c>
      <c r="D3840" s="2" t="s">
        <v>10</v>
      </c>
      <c r="E3840" s="2" t="str">
        <f>HYPERLINK("http://ts.21cn.com/tousu/show/id/1334573","http://ts.21cn.com/tousu/show/id/1334573")</f>
        <v>http://ts.21cn.com/tousu/show/id/1334573</v>
      </c>
      <c r="F3840" s="2" t="s">
        <v>11</v>
      </c>
      <c r="G3840" s="2" t="s">
        <v>36595</v>
      </c>
      <c r="H3840" s="2" t="s">
        <v>36596</v>
      </c>
    </row>
    <row r="3841" spans="1:8" ht="25.05" customHeight="1" x14ac:dyDescent="0.25">
      <c r="A3841" s="2" t="s">
        <v>8</v>
      </c>
      <c r="B3841" s="2" t="str">
        <f>HYPERLINK("http://ts.21cn.com/tousu/show/id/1334574","恐吓")</f>
        <v>恐吓</v>
      </c>
      <c r="C3841" s="2" t="s">
        <v>9</v>
      </c>
      <c r="D3841" s="2" t="s">
        <v>10</v>
      </c>
      <c r="E3841" s="2" t="str">
        <f>HYPERLINK("http://ts.21cn.com/tousu/show/id/1334574","http://ts.21cn.com/tousu/show/id/1334574")</f>
        <v>http://ts.21cn.com/tousu/show/id/1334574</v>
      </c>
      <c r="F3841" s="2" t="s">
        <v>11</v>
      </c>
      <c r="G3841" s="2" t="s">
        <v>36593</v>
      </c>
      <c r="H3841" s="2" t="s">
        <v>36594</v>
      </c>
    </row>
    <row r="3842" spans="1:8" ht="25.05" customHeight="1" x14ac:dyDescent="0.25">
      <c r="A3842" s="2" t="s">
        <v>8</v>
      </c>
      <c r="B3842" s="2" t="str">
        <f>HYPERLINK("http://ts.21cn.com/tousu/show/id/1334575","交通银行费用收取")</f>
        <v>交通银行费用收取</v>
      </c>
      <c r="C3842" s="2" t="s">
        <v>9</v>
      </c>
      <c r="D3842" s="2" t="s">
        <v>10</v>
      </c>
      <c r="E3842" s="2" t="str">
        <f>HYPERLINK("http://ts.21cn.com/tousu/show/id/1334575","http://ts.21cn.com/tousu/show/id/1334575")</f>
        <v>http://ts.21cn.com/tousu/show/id/1334575</v>
      </c>
      <c r="F3842" s="2" t="s">
        <v>11</v>
      </c>
      <c r="G3842" s="2" t="s">
        <v>36591</v>
      </c>
      <c r="H3842" s="2" t="s">
        <v>36592</v>
      </c>
    </row>
    <row r="3843" spans="1:8" ht="25.05" customHeight="1" x14ac:dyDescent="0.25">
      <c r="A3843" s="2" t="s">
        <v>8</v>
      </c>
      <c r="B3843" s="2" t="str">
        <f>HYPERLINK("http://ts.21cn.com/tousu/show/id/1334578","神灯小贷恶意催收高利贷")</f>
        <v>神灯小贷恶意催收高利贷</v>
      </c>
      <c r="C3843" s="2" t="s">
        <v>9</v>
      </c>
      <c r="D3843" s="2" t="s">
        <v>10</v>
      </c>
      <c r="E3843" s="2" t="str">
        <f>HYPERLINK("http://ts.21cn.com/tousu/show/id/1334578","http://ts.21cn.com/tousu/show/id/1334578")</f>
        <v>http://ts.21cn.com/tousu/show/id/1334578</v>
      </c>
      <c r="F3843" s="2" t="s">
        <v>11</v>
      </c>
      <c r="G3843" s="2" t="s">
        <v>36589</v>
      </c>
      <c r="H3843" s="2" t="s">
        <v>36590</v>
      </c>
    </row>
    <row r="3844" spans="1:8" ht="25.05" customHeight="1" x14ac:dyDescent="0.25">
      <c r="A3844" s="2" t="s">
        <v>8</v>
      </c>
      <c r="B3844" s="2" t="str">
        <f>HYPERLINK("http://ts.21cn.com/tousu/show/id/1334505","小花人员暴力催收高利货！")</f>
        <v>小花人员暴力催收高利货！</v>
      </c>
      <c r="C3844" s="2" t="s">
        <v>9</v>
      </c>
      <c r="D3844" s="2" t="s">
        <v>10</v>
      </c>
      <c r="E3844" s="2" t="str">
        <f>HYPERLINK("http://ts.21cn.com/tousu/show/id/1334505","http://ts.21cn.com/tousu/show/id/1334505")</f>
        <v>http://ts.21cn.com/tousu/show/id/1334505</v>
      </c>
      <c r="F3844" s="2" t="s">
        <v>11</v>
      </c>
      <c r="G3844" s="2" t="s">
        <v>36587</v>
      </c>
      <c r="H3844" s="2" t="s">
        <v>36588</v>
      </c>
    </row>
    <row r="3845" spans="1:8" ht="25.05" customHeight="1" x14ac:dyDescent="0.25">
      <c r="A3845" s="2" t="s">
        <v>8</v>
      </c>
      <c r="B3845" s="2" t="str">
        <f>HYPERLINK("http://ts.21cn.com/tousu/show/id/1334579","放款就立马扣钱")</f>
        <v>放款就立马扣钱</v>
      </c>
      <c r="C3845" s="2" t="s">
        <v>34</v>
      </c>
      <c r="D3845" s="2" t="s">
        <v>10</v>
      </c>
      <c r="E3845" s="2" t="str">
        <f>HYPERLINK("http://ts.21cn.com/tousu/show/id/1334579","http://ts.21cn.com/tousu/show/id/1334579")</f>
        <v>http://ts.21cn.com/tousu/show/id/1334579</v>
      </c>
      <c r="F3845" s="2" t="s">
        <v>11</v>
      </c>
      <c r="G3845" s="2" t="s">
        <v>36585</v>
      </c>
      <c r="H3845" s="2" t="s">
        <v>36586</v>
      </c>
    </row>
    <row r="3846" spans="1:8" ht="25.05" customHeight="1" x14ac:dyDescent="0.25">
      <c r="A3846" s="2" t="s">
        <v>8</v>
      </c>
      <c r="B3846" s="2" t="str">
        <f>HYPERLINK("http://ts.21cn.com/tousu/show/id/1334547","自由摩卡六便士国庆期间暴力催收")</f>
        <v>自由摩卡六便士国庆期间暴力催收</v>
      </c>
      <c r="C3846" s="2" t="s">
        <v>9</v>
      </c>
      <c r="D3846" s="2" t="s">
        <v>10</v>
      </c>
      <c r="E3846" s="2" t="str">
        <f>HYPERLINK("http://ts.21cn.com/tousu/show/id/1334547","http://ts.21cn.com/tousu/show/id/1334547")</f>
        <v>http://ts.21cn.com/tousu/show/id/1334547</v>
      </c>
      <c r="F3846" s="2" t="s">
        <v>11</v>
      </c>
      <c r="G3846" s="2" t="s">
        <v>36583</v>
      </c>
      <c r="H3846" s="2" t="s">
        <v>36584</v>
      </c>
    </row>
    <row r="3847" spans="1:8" ht="25.05" customHeight="1" x14ac:dyDescent="0.25">
      <c r="A3847" s="2" t="s">
        <v>8</v>
      </c>
      <c r="B3847" s="2" t="str">
        <f>HYPERLINK("http://ts.21cn.com/tousu/show/id/1334581","钱橙无忧随意扣费")</f>
        <v>钱橙无忧随意扣费</v>
      </c>
      <c r="C3847" s="2" t="s">
        <v>9</v>
      </c>
      <c r="D3847" s="2" t="s">
        <v>10</v>
      </c>
      <c r="E3847" s="2" t="str">
        <f>HYPERLINK("http://ts.21cn.com/tousu/show/id/1334581","http://ts.21cn.com/tousu/show/id/1334581")</f>
        <v>http://ts.21cn.com/tousu/show/id/1334581</v>
      </c>
      <c r="F3847" s="2" t="s">
        <v>11</v>
      </c>
      <c r="G3847" s="2" t="s">
        <v>36581</v>
      </c>
      <c r="H3847" s="2" t="s">
        <v>36582</v>
      </c>
    </row>
    <row r="3848" spans="1:8" ht="25.05" customHeight="1" x14ac:dyDescent="0.25">
      <c r="A3848" s="2" t="s">
        <v>8</v>
      </c>
      <c r="B3848" s="2" t="str">
        <f>HYPERLINK("http://ts.21cn.com/tousu/show/id/1334580","电话骚扰、威胁恐吓、高利贷、暴力催收、")</f>
        <v>电话骚扰、威胁恐吓、高利贷、暴力催收、</v>
      </c>
      <c r="C3848" s="2" t="s">
        <v>9</v>
      </c>
      <c r="D3848" s="2" t="s">
        <v>10</v>
      </c>
      <c r="E3848" s="2" t="str">
        <f>HYPERLINK("http://ts.21cn.com/tousu/show/id/1334580","http://ts.21cn.com/tousu/show/id/1334580")</f>
        <v>http://ts.21cn.com/tousu/show/id/1334580</v>
      </c>
      <c r="F3848" s="2" t="s">
        <v>11</v>
      </c>
      <c r="G3848" s="2" t="s">
        <v>36580</v>
      </c>
      <c r="H3848" s="2" t="s">
        <v>36521</v>
      </c>
    </row>
    <row r="3849" spans="1:8" ht="25.05" customHeight="1" x14ac:dyDescent="0.25">
      <c r="A3849" s="2" t="s">
        <v>8</v>
      </c>
      <c r="B3849" s="2" t="str">
        <f>HYPERLINK("http://ts.21cn.com/tousu/show/id/1334582","多宝分期高利贷")</f>
        <v>多宝分期高利贷</v>
      </c>
      <c r="C3849" s="2" t="s">
        <v>9</v>
      </c>
      <c r="D3849" s="2" t="s">
        <v>10</v>
      </c>
      <c r="E3849" s="2" t="str">
        <f>HYPERLINK("http://ts.21cn.com/tousu/show/id/1334582","http://ts.21cn.com/tousu/show/id/1334582")</f>
        <v>http://ts.21cn.com/tousu/show/id/1334582</v>
      </c>
      <c r="F3849" s="2" t="s">
        <v>11</v>
      </c>
      <c r="G3849" s="2" t="s">
        <v>36578</v>
      </c>
      <c r="H3849" s="2" t="s">
        <v>36579</v>
      </c>
    </row>
    <row r="3850" spans="1:8" ht="25.05" customHeight="1" x14ac:dyDescent="0.25">
      <c r="A3850" s="2" t="s">
        <v>8</v>
      </c>
      <c r="B3850" s="2" t="str">
        <f>HYPERLINK("http://ts.21cn.com/tousu/show/id/1334583","钱橙无忧随意扣费")</f>
        <v>钱橙无忧随意扣费</v>
      </c>
      <c r="C3850" s="2" t="s">
        <v>34</v>
      </c>
      <c r="D3850" s="2" t="s">
        <v>10</v>
      </c>
      <c r="E3850" s="2" t="str">
        <f>HYPERLINK("http://ts.21cn.com/tousu/show/id/1334583","http://ts.21cn.com/tousu/show/id/1334583")</f>
        <v>http://ts.21cn.com/tousu/show/id/1334583</v>
      </c>
      <c r="F3850" s="2" t="s">
        <v>11</v>
      </c>
      <c r="G3850" s="2" t="s">
        <v>36576</v>
      </c>
      <c r="H3850" s="2" t="s">
        <v>36577</v>
      </c>
    </row>
    <row r="3851" spans="1:8" ht="25.05" customHeight="1" x14ac:dyDescent="0.25">
      <c r="A3851" s="2" t="s">
        <v>8</v>
      </c>
      <c r="B3851" s="2" t="str">
        <f>HYPERLINK("http://ts.21cn.com/tousu/show/id/1334584","小浦优客欺诈盗刷")</f>
        <v>小浦优客欺诈盗刷</v>
      </c>
      <c r="C3851" s="2" t="s">
        <v>9</v>
      </c>
      <c r="D3851" s="2" t="s">
        <v>10</v>
      </c>
      <c r="E3851" s="2" t="str">
        <f>HYPERLINK("http://ts.21cn.com/tousu/show/id/1334584","http://ts.21cn.com/tousu/show/id/1334584")</f>
        <v>http://ts.21cn.com/tousu/show/id/1334584</v>
      </c>
      <c r="F3851" s="2" t="s">
        <v>11</v>
      </c>
      <c r="G3851" s="2" t="s">
        <v>36574</v>
      </c>
      <c r="H3851" s="2" t="s">
        <v>36575</v>
      </c>
    </row>
    <row r="3852" spans="1:8" ht="25.05" customHeight="1" x14ac:dyDescent="0.25">
      <c r="A3852" s="2" t="s">
        <v>8</v>
      </c>
      <c r="B3852" s="2" t="str">
        <f>HYPERLINK("http://ts.21cn.com/tousu/show/id/1334569","转转二手交易纵容包庇无良商家坑买家")</f>
        <v>转转二手交易纵容包庇无良商家坑买家</v>
      </c>
      <c r="C3852" s="2" t="s">
        <v>9</v>
      </c>
      <c r="D3852" s="2" t="s">
        <v>10</v>
      </c>
      <c r="E3852" s="2" t="str">
        <f>HYPERLINK("http://ts.21cn.com/tousu/show/id/1334569","http://ts.21cn.com/tousu/show/id/1334569")</f>
        <v>http://ts.21cn.com/tousu/show/id/1334569</v>
      </c>
      <c r="F3852" s="2" t="s">
        <v>11</v>
      </c>
      <c r="G3852" s="2" t="s">
        <v>36572</v>
      </c>
      <c r="H3852" s="2" t="s">
        <v>36573</v>
      </c>
    </row>
    <row r="3853" spans="1:8" ht="25.05" customHeight="1" x14ac:dyDescent="0.25">
      <c r="A3853" s="2" t="s">
        <v>8</v>
      </c>
      <c r="B3853" s="2" t="str">
        <f>HYPERLINK("http://ts.21cn.com/tousu/show/id/1334585","网络贷款714高炮")</f>
        <v>网络贷款714高炮</v>
      </c>
      <c r="C3853" s="2" t="s">
        <v>9</v>
      </c>
      <c r="D3853" s="2" t="s">
        <v>10</v>
      </c>
      <c r="E3853" s="2" t="str">
        <f>HYPERLINK("http://ts.21cn.com/tousu/show/id/1334585","http://ts.21cn.com/tousu/show/id/1334585")</f>
        <v>http://ts.21cn.com/tousu/show/id/1334585</v>
      </c>
      <c r="F3853" s="2" t="s">
        <v>11</v>
      </c>
      <c r="G3853" s="2" t="s">
        <v>36570</v>
      </c>
      <c r="H3853" s="2" t="s">
        <v>36571</v>
      </c>
    </row>
    <row r="3854" spans="1:8" ht="25.05" customHeight="1" x14ac:dyDescent="0.25">
      <c r="A3854" s="2" t="s">
        <v>8</v>
      </c>
      <c r="B3854" s="2" t="str">
        <f>HYPERLINK("http://ts.21cn.com/tousu/show/id/1334587","对方年利率超过法定标准")</f>
        <v>对方年利率超过法定标准</v>
      </c>
      <c r="C3854" s="2" t="s">
        <v>9</v>
      </c>
      <c r="D3854" s="2" t="s">
        <v>10</v>
      </c>
      <c r="E3854" s="2" t="str">
        <f>HYPERLINK("http://ts.21cn.com/tousu/show/id/1334587","http://ts.21cn.com/tousu/show/id/1334587")</f>
        <v>http://ts.21cn.com/tousu/show/id/1334587</v>
      </c>
      <c r="F3854" s="2" t="s">
        <v>11</v>
      </c>
      <c r="G3854" s="2" t="s">
        <v>36568</v>
      </c>
      <c r="H3854" s="2" t="s">
        <v>36569</v>
      </c>
    </row>
    <row r="3855" spans="1:8" ht="25.05" customHeight="1" x14ac:dyDescent="0.25">
      <c r="A3855" s="2" t="s">
        <v>8</v>
      </c>
      <c r="B3855" s="2" t="str">
        <f>HYPERLINK("http://ts.21cn.com/tousu/show/id/1334588","信用管家里面APP高额分期，违规贷款")</f>
        <v>信用管家里面APP高额分期，违规贷款</v>
      </c>
      <c r="C3855" s="2" t="s">
        <v>9</v>
      </c>
      <c r="D3855" s="2" t="s">
        <v>10</v>
      </c>
      <c r="E3855" s="2" t="str">
        <f>HYPERLINK("http://ts.21cn.com/tousu/show/id/1334588","http://ts.21cn.com/tousu/show/id/1334588")</f>
        <v>http://ts.21cn.com/tousu/show/id/1334588</v>
      </c>
      <c r="F3855" s="2" t="s">
        <v>11</v>
      </c>
      <c r="G3855" s="2" t="s">
        <v>36566</v>
      </c>
      <c r="H3855" s="2" t="s">
        <v>36567</v>
      </c>
    </row>
    <row r="3856" spans="1:8" ht="25.05" customHeight="1" x14ac:dyDescent="0.25">
      <c r="A3856" s="2" t="s">
        <v>8</v>
      </c>
      <c r="B3856" s="2" t="str">
        <f>HYPERLINK("http://ts.21cn.com/tousu/show/id/1334590","电话短信骚扰")</f>
        <v>电话短信骚扰</v>
      </c>
      <c r="C3856" s="2" t="s">
        <v>9</v>
      </c>
      <c r="D3856" s="2" t="s">
        <v>10</v>
      </c>
      <c r="E3856" s="2" t="str">
        <f>HYPERLINK("http://ts.21cn.com/tousu/show/id/1334590","http://ts.21cn.com/tousu/show/id/1334590")</f>
        <v>http://ts.21cn.com/tousu/show/id/1334590</v>
      </c>
      <c r="F3856" s="2" t="s">
        <v>11</v>
      </c>
      <c r="G3856" s="2" t="s">
        <v>36564</v>
      </c>
      <c r="H3856" s="2" t="s">
        <v>36565</v>
      </c>
    </row>
    <row r="3857" spans="1:8" ht="25.05" customHeight="1" x14ac:dyDescent="0.25">
      <c r="A3857" s="2" t="s">
        <v>8</v>
      </c>
      <c r="B3857" s="2" t="str">
        <f>HYPERLINK("http://ts.21cn.com/tousu/show/id/1334591","暴力催收，投诉两次仍然骚扰通讯录")</f>
        <v>暴力催收，投诉两次仍然骚扰通讯录</v>
      </c>
      <c r="C3857" s="2" t="s">
        <v>9</v>
      </c>
      <c r="D3857" s="2" t="s">
        <v>10</v>
      </c>
      <c r="E3857" s="2" t="str">
        <f>HYPERLINK("http://ts.21cn.com/tousu/show/id/1334591","http://ts.21cn.com/tousu/show/id/1334591")</f>
        <v>http://ts.21cn.com/tousu/show/id/1334591</v>
      </c>
      <c r="F3857" s="2" t="s">
        <v>11</v>
      </c>
      <c r="G3857" s="2" t="s">
        <v>36562</v>
      </c>
      <c r="H3857" s="2" t="s">
        <v>36563</v>
      </c>
    </row>
    <row r="3858" spans="1:8" ht="25.05" customHeight="1" x14ac:dyDescent="0.25">
      <c r="A3858" s="2" t="s">
        <v>8</v>
      </c>
      <c r="B3858" s="2" t="str">
        <f>HYPERLINK("http://ts.21cn.com/tousu/show/id/1334592","立刻出行押金499一直不退还")</f>
        <v>立刻出行押金499一直不退还</v>
      </c>
      <c r="C3858" s="2" t="s">
        <v>9</v>
      </c>
      <c r="D3858" s="2" t="s">
        <v>10</v>
      </c>
      <c r="E3858" s="2" t="str">
        <f>HYPERLINK("http://ts.21cn.com/tousu/show/id/1334592","http://ts.21cn.com/tousu/show/id/1334592")</f>
        <v>http://ts.21cn.com/tousu/show/id/1334592</v>
      </c>
      <c r="F3858" s="2" t="s">
        <v>11</v>
      </c>
      <c r="G3858" s="2" t="s">
        <v>36560</v>
      </c>
      <c r="H3858" s="2" t="s">
        <v>36561</v>
      </c>
    </row>
    <row r="3859" spans="1:8" ht="25.05" customHeight="1" x14ac:dyDescent="0.25">
      <c r="A3859" s="2" t="s">
        <v>8</v>
      </c>
      <c r="B3859" s="2" t="str">
        <f>HYPERLINK("http://ts.21cn.com/tousu/show/id/1334593","乱收费电话骚扰")</f>
        <v>乱收费电话骚扰</v>
      </c>
      <c r="C3859" s="2" t="s">
        <v>9</v>
      </c>
      <c r="D3859" s="2" t="s">
        <v>10</v>
      </c>
      <c r="E3859" s="2" t="str">
        <f>HYPERLINK("http://ts.21cn.com/tousu/show/id/1334593","http://ts.21cn.com/tousu/show/id/1334593")</f>
        <v>http://ts.21cn.com/tousu/show/id/1334593</v>
      </c>
      <c r="F3859" s="2" t="s">
        <v>11</v>
      </c>
      <c r="G3859" s="2" t="s">
        <v>36558</v>
      </c>
      <c r="H3859" s="2" t="s">
        <v>36559</v>
      </c>
    </row>
    <row r="3860" spans="1:8" ht="25.05" customHeight="1" x14ac:dyDescent="0.25">
      <c r="A3860" s="2" t="s">
        <v>8</v>
      </c>
      <c r="B3860" s="2" t="str">
        <f>HYPERLINK("http://ts.21cn.com/tousu/show/id/1334594","自由摩卡国庆期间暴力催收！")</f>
        <v>自由摩卡国庆期间暴力催收！</v>
      </c>
      <c r="C3860" s="2" t="s">
        <v>9</v>
      </c>
      <c r="D3860" s="2" t="s">
        <v>10</v>
      </c>
      <c r="E3860" s="2" t="str">
        <f>HYPERLINK("http://ts.21cn.com/tousu/show/id/1334594","http://ts.21cn.com/tousu/show/id/1334594")</f>
        <v>http://ts.21cn.com/tousu/show/id/1334594</v>
      </c>
      <c r="F3860" s="2" t="s">
        <v>11</v>
      </c>
      <c r="G3860" s="2" t="s">
        <v>36556</v>
      </c>
      <c r="H3860" s="2" t="s">
        <v>36557</v>
      </c>
    </row>
    <row r="3861" spans="1:8" ht="25.05" customHeight="1" x14ac:dyDescent="0.25">
      <c r="A3861" s="2" t="s">
        <v>8</v>
      </c>
      <c r="B3861" s="2" t="str">
        <f>HYPERLINK("http://ts.21cn.com/tousu/show/id/1334595","因突发事件，无法按时还，希望给予宽限期")</f>
        <v>因突发事件，无法按时还，希望给予宽限期</v>
      </c>
      <c r="C3861" s="2" t="s">
        <v>9</v>
      </c>
      <c r="D3861" s="2" t="s">
        <v>10</v>
      </c>
      <c r="E3861" s="2" t="str">
        <f>HYPERLINK("http://ts.21cn.com/tousu/show/id/1334595","http://ts.21cn.com/tousu/show/id/1334595")</f>
        <v>http://ts.21cn.com/tousu/show/id/1334595</v>
      </c>
      <c r="F3861" s="2" t="s">
        <v>11</v>
      </c>
      <c r="G3861" s="2" t="s">
        <v>36554</v>
      </c>
      <c r="H3861" s="2" t="s">
        <v>36555</v>
      </c>
    </row>
    <row r="3862" spans="1:8" ht="25.05" customHeight="1" x14ac:dyDescent="0.25">
      <c r="A3862" s="2" t="s">
        <v>8</v>
      </c>
      <c r="B3862" s="2" t="str">
        <f>HYPERLINK("http://ts.21cn.com/tousu/show/id/1334596","捷信高利贷")</f>
        <v>捷信高利贷</v>
      </c>
      <c r="C3862" s="2" t="s">
        <v>9</v>
      </c>
      <c r="D3862" s="2" t="s">
        <v>10</v>
      </c>
      <c r="E3862" s="2" t="str">
        <f>HYPERLINK("http://ts.21cn.com/tousu/show/id/1334596","http://ts.21cn.com/tousu/show/id/1334596")</f>
        <v>http://ts.21cn.com/tousu/show/id/1334596</v>
      </c>
      <c r="F3862" s="2" t="s">
        <v>11</v>
      </c>
      <c r="G3862" s="2" t="s">
        <v>36552</v>
      </c>
      <c r="H3862" s="2" t="s">
        <v>36553</v>
      </c>
    </row>
    <row r="3863" spans="1:8" ht="25.05" customHeight="1" x14ac:dyDescent="0.25">
      <c r="A3863" s="2" t="s">
        <v>8</v>
      </c>
      <c r="B3863" s="2" t="str">
        <f>HYPERLINK("http://ts.21cn.com/tousu/show/id/1334597","投诉微信团队不解决问题")</f>
        <v>投诉微信团队不解决问题</v>
      </c>
      <c r="C3863" s="2" t="s">
        <v>9</v>
      </c>
      <c r="D3863" s="2" t="s">
        <v>10</v>
      </c>
      <c r="E3863" s="2" t="str">
        <f>HYPERLINK("http://ts.21cn.com/tousu/show/id/1334597","http://ts.21cn.com/tousu/show/id/1334597")</f>
        <v>http://ts.21cn.com/tousu/show/id/1334597</v>
      </c>
      <c r="F3863" s="2" t="s">
        <v>11</v>
      </c>
      <c r="G3863" s="2" t="s">
        <v>36550</v>
      </c>
      <c r="H3863" s="2" t="s">
        <v>36551</v>
      </c>
    </row>
    <row r="3864" spans="1:8" ht="25.05" customHeight="1" x14ac:dyDescent="0.25">
      <c r="A3864" s="2" t="s">
        <v>8</v>
      </c>
      <c r="B3864" s="2" t="str">
        <f>HYPERLINK("http://ts.21cn.com/tousu/show/id/1334599","威胁恐吓爆通讯录")</f>
        <v>威胁恐吓爆通讯录</v>
      </c>
      <c r="C3864" s="2" t="s">
        <v>9</v>
      </c>
      <c r="D3864" s="2" t="s">
        <v>10</v>
      </c>
      <c r="E3864" s="2" t="str">
        <f>HYPERLINK("http://ts.21cn.com/tousu/show/id/1334599","http://ts.21cn.com/tousu/show/id/1334599")</f>
        <v>http://ts.21cn.com/tousu/show/id/1334599</v>
      </c>
      <c r="F3864" s="2" t="s">
        <v>11</v>
      </c>
      <c r="G3864" s="2" t="s">
        <v>36548</v>
      </c>
      <c r="H3864" s="2" t="s">
        <v>36549</v>
      </c>
    </row>
    <row r="3865" spans="1:8" ht="25.05" customHeight="1" x14ac:dyDescent="0.25">
      <c r="A3865" s="2" t="s">
        <v>8</v>
      </c>
      <c r="B3865" s="2" t="str">
        <f>HYPERLINK("http://ts.21cn.com/tousu/show/id/1334598","玖富万卡擅自改写合同，变相收取费用，高利贷")</f>
        <v>玖富万卡擅自改写合同，变相收取费用，高利贷</v>
      </c>
      <c r="C3865" s="2" t="s">
        <v>9</v>
      </c>
      <c r="D3865" s="2" t="s">
        <v>10</v>
      </c>
      <c r="E3865" s="2" t="str">
        <f>HYPERLINK("http://ts.21cn.com/tousu/show/id/1334598","http://ts.21cn.com/tousu/show/id/1334598")</f>
        <v>http://ts.21cn.com/tousu/show/id/1334598</v>
      </c>
      <c r="F3865" s="2" t="s">
        <v>11</v>
      </c>
      <c r="G3865" s="2" t="s">
        <v>36546</v>
      </c>
      <c r="H3865" s="2" t="s">
        <v>36547</v>
      </c>
    </row>
    <row r="3866" spans="1:8" ht="25.05" customHeight="1" x14ac:dyDescent="0.25">
      <c r="A3866" s="2" t="s">
        <v>8</v>
      </c>
      <c r="B3866" s="2" t="str">
        <f>HYPERLINK("http://ts.21cn.com/tousu/show/id/1334601","盗刷/扣费不明、客服不处理/处理不当、")</f>
        <v>盗刷/扣费不明、客服不处理/处理不当、</v>
      </c>
      <c r="C3866" s="2" t="s">
        <v>9</v>
      </c>
      <c r="D3866" s="2" t="s">
        <v>10</v>
      </c>
      <c r="E3866" s="2" t="str">
        <f>HYPERLINK("http://ts.21cn.com/tousu/show/id/1334601","http://ts.21cn.com/tousu/show/id/1334601")</f>
        <v>http://ts.21cn.com/tousu/show/id/1334601</v>
      </c>
      <c r="F3866" s="2" t="s">
        <v>11</v>
      </c>
      <c r="G3866" s="2" t="s">
        <v>36545</v>
      </c>
      <c r="H3866" s="2" t="s">
        <v>36326</v>
      </c>
    </row>
    <row r="3867" spans="1:8" ht="25.05" customHeight="1" x14ac:dyDescent="0.25">
      <c r="A3867" s="2" t="s">
        <v>8</v>
      </c>
      <c r="B3867" s="2" t="str">
        <f>HYPERLINK("http://ts.21cn.com/tousu/show/id/1334600","闪银百万钱包提前还款任收取高额服务费不减免")</f>
        <v>闪银百万钱包提前还款任收取高额服务费不减免</v>
      </c>
      <c r="C3867" s="2" t="s">
        <v>34</v>
      </c>
      <c r="D3867" s="2" t="s">
        <v>10</v>
      </c>
      <c r="E3867" s="2" t="str">
        <f>HYPERLINK("http://ts.21cn.com/tousu/show/id/1334600","http://ts.21cn.com/tousu/show/id/1334600")</f>
        <v>http://ts.21cn.com/tousu/show/id/1334600</v>
      </c>
      <c r="F3867" s="2" t="s">
        <v>11</v>
      </c>
      <c r="G3867" s="2" t="s">
        <v>36543</v>
      </c>
      <c r="H3867" s="2" t="s">
        <v>36544</v>
      </c>
    </row>
    <row r="3868" spans="1:8" ht="25.05" customHeight="1" x14ac:dyDescent="0.25">
      <c r="A3868" s="2" t="s">
        <v>8</v>
      </c>
      <c r="B3868" s="2" t="str">
        <f>HYPERLINK("http://ts.21cn.com/tousu/show/id/1334602","还了1年还差一半本金")</f>
        <v>还了1年还差一半本金</v>
      </c>
      <c r="C3868" s="2" t="s">
        <v>9</v>
      </c>
      <c r="D3868" s="2" t="s">
        <v>10</v>
      </c>
      <c r="E3868" s="2" t="str">
        <f>HYPERLINK("http://ts.21cn.com/tousu/show/id/1334602","http://ts.21cn.com/tousu/show/id/1334602")</f>
        <v>http://ts.21cn.com/tousu/show/id/1334602</v>
      </c>
      <c r="F3868" s="2" t="s">
        <v>11</v>
      </c>
      <c r="G3868" s="2" t="s">
        <v>36542</v>
      </c>
      <c r="H3868" s="2" t="s">
        <v>34365</v>
      </c>
    </row>
    <row r="3869" spans="1:8" ht="25.05" customHeight="1" x14ac:dyDescent="0.25">
      <c r="A3869" s="2" t="s">
        <v>8</v>
      </c>
      <c r="B3869" s="2" t="str">
        <f>HYPERLINK("http://ts.21cn.com/tousu/show/id/1334576","金贷保砍头息，要求还本金合法利息")</f>
        <v>金贷保砍头息，要求还本金合法利息</v>
      </c>
      <c r="C3869" s="2" t="s">
        <v>34</v>
      </c>
      <c r="D3869" s="2" t="s">
        <v>10</v>
      </c>
      <c r="E3869" s="2" t="str">
        <f>HYPERLINK("http://ts.21cn.com/tousu/show/id/1334576","http://ts.21cn.com/tousu/show/id/1334576")</f>
        <v>http://ts.21cn.com/tousu/show/id/1334576</v>
      </c>
      <c r="F3869" s="2" t="s">
        <v>11</v>
      </c>
      <c r="G3869" s="2" t="s">
        <v>36540</v>
      </c>
      <c r="H3869" s="2" t="s">
        <v>36541</v>
      </c>
    </row>
    <row r="3870" spans="1:8" ht="25.05" customHeight="1" x14ac:dyDescent="0.25">
      <c r="A3870" s="2" t="s">
        <v>8</v>
      </c>
      <c r="B3870" s="2" t="str">
        <f>HYPERLINK("http://ts.21cn.com/tousu/show/id/1334604","网贷")</f>
        <v>网贷</v>
      </c>
      <c r="C3870" s="2" t="s">
        <v>9</v>
      </c>
      <c r="D3870" s="2" t="s">
        <v>10</v>
      </c>
      <c r="E3870" s="2" t="str">
        <f>HYPERLINK("http://ts.21cn.com/tousu/show/id/1334604","http://ts.21cn.com/tousu/show/id/1334604")</f>
        <v>http://ts.21cn.com/tousu/show/id/1334604</v>
      </c>
      <c r="F3870" s="2" t="s">
        <v>11</v>
      </c>
      <c r="G3870" s="2" t="s">
        <v>36538</v>
      </c>
      <c r="H3870" s="2" t="s">
        <v>36539</v>
      </c>
    </row>
    <row r="3871" spans="1:8" ht="25.05" customHeight="1" x14ac:dyDescent="0.25">
      <c r="A3871" s="2" t="s">
        <v>8</v>
      </c>
      <c r="B3871" s="2" t="str">
        <f>HYPERLINK("http://ts.21cn.com/tousu/show/id/1334605","好易贷，杭州市民卡")</f>
        <v>好易贷，杭州市民卡</v>
      </c>
      <c r="C3871" s="2" t="s">
        <v>9</v>
      </c>
      <c r="D3871" s="2" t="s">
        <v>10</v>
      </c>
      <c r="E3871" s="2" t="str">
        <f>HYPERLINK("http://ts.21cn.com/tousu/show/id/1334605","http://ts.21cn.com/tousu/show/id/1334605")</f>
        <v>http://ts.21cn.com/tousu/show/id/1334605</v>
      </c>
      <c r="F3871" s="2" t="s">
        <v>11</v>
      </c>
      <c r="G3871" s="2" t="s">
        <v>36536</v>
      </c>
      <c r="H3871" s="2" t="s">
        <v>36537</v>
      </c>
    </row>
    <row r="3872" spans="1:8" ht="25.05" customHeight="1" x14ac:dyDescent="0.25">
      <c r="A3872" s="2" t="s">
        <v>8</v>
      </c>
      <c r="B3872" s="2" t="str">
        <f>HYPERLINK("http://ts.21cn.com/tousu/show/id/1334606","投诉两次仍然暴力催收")</f>
        <v>投诉两次仍然暴力催收</v>
      </c>
      <c r="C3872" s="2" t="s">
        <v>9</v>
      </c>
      <c r="D3872" s="2" t="s">
        <v>10</v>
      </c>
      <c r="E3872" s="2" t="str">
        <f>HYPERLINK("http://ts.21cn.com/tousu/show/id/1334606","http://ts.21cn.com/tousu/show/id/1334606")</f>
        <v>http://ts.21cn.com/tousu/show/id/1334606</v>
      </c>
      <c r="F3872" s="2" t="s">
        <v>11</v>
      </c>
      <c r="G3872" s="2" t="s">
        <v>36534</v>
      </c>
      <c r="H3872" s="2" t="s">
        <v>36535</v>
      </c>
    </row>
    <row r="3873" spans="1:8" ht="25.05" customHeight="1" x14ac:dyDescent="0.25">
      <c r="A3873" s="2" t="s">
        <v>8</v>
      </c>
      <c r="B3873" s="2" t="str">
        <f>HYPERLINK("http://ts.21cn.com/tousu/show/id/1334609","玖富万卡高利贷暴力催收")</f>
        <v>玖富万卡高利贷暴力催收</v>
      </c>
      <c r="C3873" s="2" t="s">
        <v>9</v>
      </c>
      <c r="D3873" s="2" t="s">
        <v>10</v>
      </c>
      <c r="E3873" s="2" t="str">
        <f>HYPERLINK("http://ts.21cn.com/tousu/show/id/1334609","http://ts.21cn.com/tousu/show/id/1334609")</f>
        <v>http://ts.21cn.com/tousu/show/id/1334609</v>
      </c>
      <c r="F3873" s="2" t="s">
        <v>11</v>
      </c>
      <c r="G3873" s="2" t="s">
        <v>36532</v>
      </c>
      <c r="H3873" s="2" t="s">
        <v>36533</v>
      </c>
    </row>
    <row r="3874" spans="1:8" ht="25.05" customHeight="1" x14ac:dyDescent="0.25">
      <c r="A3874" s="2" t="s">
        <v>8</v>
      </c>
      <c r="B3874" s="2" t="str">
        <f>HYPERLINK("http://ts.21cn.com/tousu/show/id/1334610","点点金融高利搭售众安保险")</f>
        <v>点点金融高利搭售众安保险</v>
      </c>
      <c r="C3874" s="2" t="s">
        <v>9</v>
      </c>
      <c r="D3874" s="2" t="s">
        <v>10</v>
      </c>
      <c r="E3874" s="2" t="str">
        <f>HYPERLINK("http://ts.21cn.com/tousu/show/id/1334610","http://ts.21cn.com/tousu/show/id/1334610")</f>
        <v>http://ts.21cn.com/tousu/show/id/1334610</v>
      </c>
      <c r="F3874" s="2" t="s">
        <v>11</v>
      </c>
      <c r="G3874" s="2" t="s">
        <v>36530</v>
      </c>
      <c r="H3874" s="2" t="s">
        <v>36531</v>
      </c>
    </row>
    <row r="3875" spans="1:8" ht="25.05" customHeight="1" x14ac:dyDescent="0.25">
      <c r="A3875" s="2" t="s">
        <v>8</v>
      </c>
      <c r="B3875" s="2" t="str">
        <f>HYPERLINK("http://ts.21cn.com/tousu/show/id/1334611","51人品贷黑心高利贷，暴利催收骚扰联系人")</f>
        <v>51人品贷黑心高利贷，暴利催收骚扰联系人</v>
      </c>
      <c r="C3875" s="2" t="s">
        <v>9</v>
      </c>
      <c r="D3875" s="2" t="s">
        <v>10</v>
      </c>
      <c r="E3875" s="2" t="str">
        <f>HYPERLINK("http://ts.21cn.com/tousu/show/id/1334611","http://ts.21cn.com/tousu/show/id/1334611")</f>
        <v>http://ts.21cn.com/tousu/show/id/1334611</v>
      </c>
      <c r="F3875" s="2" t="s">
        <v>11</v>
      </c>
      <c r="G3875" s="2" t="s">
        <v>36528</v>
      </c>
      <c r="H3875" s="2" t="s">
        <v>36529</v>
      </c>
    </row>
    <row r="3876" spans="1:8" ht="25.05" customHeight="1" x14ac:dyDescent="0.25">
      <c r="A3876" s="2" t="s">
        <v>8</v>
      </c>
      <c r="B3876" s="2" t="str">
        <f>HYPERLINK("http://ts.21cn.com/tousu/show/id/1334612","京东小米手机虚假销售")</f>
        <v>京东小米手机虚假销售</v>
      </c>
      <c r="C3876" s="2" t="s">
        <v>9</v>
      </c>
      <c r="D3876" s="2" t="s">
        <v>10</v>
      </c>
      <c r="E3876" s="2" t="str">
        <f>HYPERLINK("http://ts.21cn.com/tousu/show/id/1334612","http://ts.21cn.com/tousu/show/id/1334612")</f>
        <v>http://ts.21cn.com/tousu/show/id/1334612</v>
      </c>
      <c r="F3876" s="2" t="s">
        <v>11</v>
      </c>
      <c r="G3876" s="2" t="s">
        <v>36526</v>
      </c>
      <c r="H3876" s="2" t="s">
        <v>36527</v>
      </c>
    </row>
    <row r="3877" spans="1:8" ht="25.05" customHeight="1" x14ac:dyDescent="0.25">
      <c r="A3877" s="2" t="s">
        <v>8</v>
      </c>
      <c r="B3877" s="2" t="str">
        <f>HYPERLINK("http://ts.21cn.com/tousu/show/id/1334603","虚假诱导办理出国手续收取报名费用")</f>
        <v>虚假诱导办理出国手续收取报名费用</v>
      </c>
      <c r="C3877" s="2" t="s">
        <v>9</v>
      </c>
      <c r="D3877" s="2" t="s">
        <v>10</v>
      </c>
      <c r="E3877" s="2" t="str">
        <f>HYPERLINK("http://ts.21cn.com/tousu/show/id/1334603","http://ts.21cn.com/tousu/show/id/1334603")</f>
        <v>http://ts.21cn.com/tousu/show/id/1334603</v>
      </c>
      <c r="F3877" s="2" t="s">
        <v>11</v>
      </c>
      <c r="G3877" s="2" t="s">
        <v>36524</v>
      </c>
      <c r="H3877" s="2" t="s">
        <v>36525</v>
      </c>
    </row>
    <row r="3878" spans="1:8" ht="25.05" customHeight="1" x14ac:dyDescent="0.25">
      <c r="A3878" s="2" t="s">
        <v>8</v>
      </c>
      <c r="B3878" s="2" t="str">
        <f>HYPERLINK("http://ts.21cn.com/tousu/show/id/1334616","淘宝天猫小二黑白颠倒良心何在？")</f>
        <v>淘宝天猫小二黑白颠倒良心何在？</v>
      </c>
      <c r="C3878" s="2" t="s">
        <v>9</v>
      </c>
      <c r="D3878" s="2" t="s">
        <v>10</v>
      </c>
      <c r="E3878" s="2" t="str">
        <f>HYPERLINK("http://ts.21cn.com/tousu/show/id/1334616","http://ts.21cn.com/tousu/show/id/1334616")</f>
        <v>http://ts.21cn.com/tousu/show/id/1334616</v>
      </c>
      <c r="F3878" s="2" t="s">
        <v>11</v>
      </c>
      <c r="G3878" s="2" t="s">
        <v>36522</v>
      </c>
      <c r="H3878" s="2" t="s">
        <v>36523</v>
      </c>
    </row>
    <row r="3879" spans="1:8" ht="25.05" customHeight="1" x14ac:dyDescent="0.25">
      <c r="A3879" s="2" t="s">
        <v>8</v>
      </c>
      <c r="B3879" s="2" t="str">
        <f>HYPERLINK("http://ts.21cn.com/tousu/show/id/1334615","暴力收款和语言攻击")</f>
        <v>暴力收款和语言攻击</v>
      </c>
      <c r="C3879" s="2" t="s">
        <v>9</v>
      </c>
      <c r="D3879" s="2" t="s">
        <v>10</v>
      </c>
      <c r="E3879" s="2" t="str">
        <f>HYPERLINK("http://ts.21cn.com/tousu/show/id/1334615","http://ts.21cn.com/tousu/show/id/1334615")</f>
        <v>http://ts.21cn.com/tousu/show/id/1334615</v>
      </c>
      <c r="F3879" s="2" t="s">
        <v>11</v>
      </c>
      <c r="G3879" s="2" t="s">
        <v>36520</v>
      </c>
      <c r="H3879" s="2" t="s">
        <v>36521</v>
      </c>
    </row>
    <row r="3880" spans="1:8" ht="25.05" customHeight="1" x14ac:dyDescent="0.25">
      <c r="A3880" s="2" t="s">
        <v>8</v>
      </c>
      <c r="B3880" s="2" t="str">
        <f>HYPERLINK("http://ts.21cn.com/tousu/show/id/1334617","信用管家好运金借3000，到账2250，要还3090左右")</f>
        <v>信用管家好运金借3000，到账2250，要还3090左右</v>
      </c>
      <c r="C3880" s="2" t="s">
        <v>9</v>
      </c>
      <c r="D3880" s="2" t="s">
        <v>10</v>
      </c>
      <c r="E3880" s="2" t="str">
        <f>HYPERLINK("http://ts.21cn.com/tousu/show/id/1334617","http://ts.21cn.com/tousu/show/id/1334617")</f>
        <v>http://ts.21cn.com/tousu/show/id/1334617</v>
      </c>
      <c r="F3880" s="2" t="s">
        <v>11</v>
      </c>
      <c r="G3880" s="2" t="s">
        <v>36518</v>
      </c>
      <c r="H3880" s="2" t="s">
        <v>36519</v>
      </c>
    </row>
    <row r="3881" spans="1:8" ht="25.05" customHeight="1" x14ac:dyDescent="0.25">
      <c r="A3881" s="2" t="s">
        <v>8</v>
      </c>
      <c r="B3881" s="2" t="str">
        <f>HYPERLINK("http://ts.21cn.com/tousu/show/id/1334619","马上消费套路贷")</f>
        <v>马上消费套路贷</v>
      </c>
      <c r="C3881" s="2" t="s">
        <v>9</v>
      </c>
      <c r="D3881" s="2" t="s">
        <v>10</v>
      </c>
      <c r="E3881" s="2" t="str">
        <f>HYPERLINK("http://ts.21cn.com/tousu/show/id/1334619","http://ts.21cn.com/tousu/show/id/1334619")</f>
        <v>http://ts.21cn.com/tousu/show/id/1334619</v>
      </c>
      <c r="F3881" s="2" t="s">
        <v>11</v>
      </c>
      <c r="G3881" s="2" t="s">
        <v>36516</v>
      </c>
      <c r="H3881" s="2" t="s">
        <v>36517</v>
      </c>
    </row>
    <row r="3882" spans="1:8" ht="25.05" customHeight="1" x14ac:dyDescent="0.25">
      <c r="A3882" s="2" t="s">
        <v>8</v>
      </c>
      <c r="B3882" s="2" t="str">
        <f>HYPERLINK("http://ts.21cn.com/tousu/show/id/1334620","钱站高利贷阴阳合同")</f>
        <v>钱站高利贷阴阳合同</v>
      </c>
      <c r="C3882" s="2" t="s">
        <v>9</v>
      </c>
      <c r="D3882" s="2" t="s">
        <v>10</v>
      </c>
      <c r="E3882" s="2" t="str">
        <f>HYPERLINK("http://ts.21cn.com/tousu/show/id/1334620","http://ts.21cn.com/tousu/show/id/1334620")</f>
        <v>http://ts.21cn.com/tousu/show/id/1334620</v>
      </c>
      <c r="F3882" s="2" t="s">
        <v>11</v>
      </c>
      <c r="G3882" s="2" t="s">
        <v>36514</v>
      </c>
      <c r="H3882" s="2" t="s">
        <v>36515</v>
      </c>
    </row>
    <row r="3883" spans="1:8" ht="25.05" customHeight="1" x14ac:dyDescent="0.25">
      <c r="A3883" s="2" t="s">
        <v>8</v>
      </c>
      <c r="B3883" s="2" t="str">
        <f>HYPERLINK("http://ts.21cn.com/tousu/show/id/1334621","闪银捆绑消费，操作失误不予退款")</f>
        <v>闪银捆绑消费，操作失误不予退款</v>
      </c>
      <c r="C3883" s="2" t="s">
        <v>9</v>
      </c>
      <c r="D3883" s="2" t="s">
        <v>10</v>
      </c>
      <c r="E3883" s="2" t="str">
        <f>HYPERLINK("http://ts.21cn.com/tousu/show/id/1334621","http://ts.21cn.com/tousu/show/id/1334621")</f>
        <v>http://ts.21cn.com/tousu/show/id/1334621</v>
      </c>
      <c r="F3883" s="2" t="s">
        <v>11</v>
      </c>
      <c r="G3883" s="2" t="s">
        <v>36512</v>
      </c>
      <c r="H3883" s="2" t="s">
        <v>36513</v>
      </c>
    </row>
    <row r="3884" spans="1:8" ht="25.05" customHeight="1" x14ac:dyDescent="0.25">
      <c r="A3884" s="2" t="s">
        <v>8</v>
      </c>
      <c r="B3884" s="2" t="str">
        <f>HYPERLINK("http://ts.21cn.com/tousu/show/id/1334622","小象优品高利贷暴力催收")</f>
        <v>小象优品高利贷暴力催收</v>
      </c>
      <c r="C3884" s="2" t="s">
        <v>9</v>
      </c>
      <c r="D3884" s="2" t="s">
        <v>10</v>
      </c>
      <c r="E3884" s="2" t="str">
        <f>HYPERLINK("http://ts.21cn.com/tousu/show/id/1334622","http://ts.21cn.com/tousu/show/id/1334622")</f>
        <v>http://ts.21cn.com/tousu/show/id/1334622</v>
      </c>
      <c r="F3884" s="2" t="s">
        <v>11</v>
      </c>
      <c r="G3884" s="2" t="s">
        <v>36510</v>
      </c>
      <c r="H3884" s="2" t="s">
        <v>36511</v>
      </c>
    </row>
    <row r="3885" spans="1:8" ht="25.05" customHeight="1" x14ac:dyDescent="0.25">
      <c r="A3885" s="2" t="s">
        <v>8</v>
      </c>
      <c r="B3885" s="2" t="str">
        <f>HYPERLINK("http://ts.21cn.com/tousu/show/id/1334623","欢乐抢领钱涉嫌欺诈")</f>
        <v>欢乐抢领钱涉嫌欺诈</v>
      </c>
      <c r="C3885" s="2" t="s">
        <v>9</v>
      </c>
      <c r="D3885" s="2" t="s">
        <v>10</v>
      </c>
      <c r="E3885" s="2" t="str">
        <f>HYPERLINK("http://ts.21cn.com/tousu/show/id/1334623","http://ts.21cn.com/tousu/show/id/1334623")</f>
        <v>http://ts.21cn.com/tousu/show/id/1334623</v>
      </c>
      <c r="F3885" s="2" t="s">
        <v>11</v>
      </c>
      <c r="G3885" s="2" t="s">
        <v>36508</v>
      </c>
      <c r="H3885" s="2" t="s">
        <v>36509</v>
      </c>
    </row>
    <row r="3886" spans="1:8" ht="25.05" customHeight="1" x14ac:dyDescent="0.25">
      <c r="A3886" s="2" t="s">
        <v>8</v>
      </c>
      <c r="B3886" s="2" t="str">
        <f>HYPERLINK("http://ts.21cn.com/tousu/show/id/1334624","有钱花逾期几天，就爆通讯，致失业，生病，现生不如死！")</f>
        <v>有钱花逾期几天，就爆通讯，致失业，生病，现生不如死！</v>
      </c>
      <c r="C3886" s="2" t="s">
        <v>9</v>
      </c>
      <c r="D3886" s="2" t="s">
        <v>10</v>
      </c>
      <c r="E3886" s="2" t="str">
        <f>HYPERLINK("http://ts.21cn.com/tousu/show/id/1334624","http://ts.21cn.com/tousu/show/id/1334624")</f>
        <v>http://ts.21cn.com/tousu/show/id/1334624</v>
      </c>
      <c r="F3886" s="2" t="s">
        <v>11</v>
      </c>
      <c r="G3886" s="2" t="s">
        <v>36506</v>
      </c>
      <c r="H3886" s="2" t="s">
        <v>36507</v>
      </c>
    </row>
    <row r="3887" spans="1:8" ht="25.05" customHeight="1" x14ac:dyDescent="0.25">
      <c r="A3887" s="2" t="s">
        <v>8</v>
      </c>
      <c r="B3887" s="2" t="str">
        <f>HYPERLINK("http://ts.21cn.com/tousu/show/id/1334628","民航通金卡")</f>
        <v>民航通金卡</v>
      </c>
      <c r="C3887" s="2" t="s">
        <v>9</v>
      </c>
      <c r="D3887" s="2" t="s">
        <v>10</v>
      </c>
      <c r="E3887" s="2" t="str">
        <f>HYPERLINK("http://ts.21cn.com/tousu/show/id/1334628","http://ts.21cn.com/tousu/show/id/1334628")</f>
        <v>http://ts.21cn.com/tousu/show/id/1334628</v>
      </c>
      <c r="F3887" s="2" t="s">
        <v>11</v>
      </c>
      <c r="G3887" s="2" t="s">
        <v>36503</v>
      </c>
      <c r="H3887" s="2" t="s">
        <v>36504</v>
      </c>
    </row>
    <row r="3888" spans="1:8" ht="25.05" customHeight="1" x14ac:dyDescent="0.25">
      <c r="A3888" s="2" t="s">
        <v>8</v>
      </c>
      <c r="B3888" s="2" t="str">
        <f>HYPERLINK("http://ts.21cn.com/tousu/show/id/1334625","你我贷催收有问题，还没逾期就开始打电话")</f>
        <v>你我贷催收有问题，还没逾期就开始打电话</v>
      </c>
      <c r="C3888" s="2" t="s">
        <v>9</v>
      </c>
      <c r="D3888" s="2" t="s">
        <v>10</v>
      </c>
      <c r="E3888" s="2" t="str">
        <f>HYPERLINK("http://ts.21cn.com/tousu/show/id/1334625","http://ts.21cn.com/tousu/show/id/1334625")</f>
        <v>http://ts.21cn.com/tousu/show/id/1334625</v>
      </c>
      <c r="F3888" s="2" t="s">
        <v>11</v>
      </c>
      <c r="G3888" s="2" t="s">
        <v>36503</v>
      </c>
      <c r="H3888" s="2" t="s">
        <v>36505</v>
      </c>
    </row>
    <row r="3889" spans="1:8" ht="25.05" customHeight="1" x14ac:dyDescent="0.25">
      <c r="A3889" s="2" t="s">
        <v>8</v>
      </c>
      <c r="B3889" s="2" t="str">
        <f>HYPERLINK("http://ts.21cn.com/tousu/show/id/1334627","骂人放话诅咒我")</f>
        <v>骂人放话诅咒我</v>
      </c>
      <c r="C3889" s="2" t="s">
        <v>9</v>
      </c>
      <c r="D3889" s="2" t="s">
        <v>10</v>
      </c>
      <c r="E3889" s="2" t="str">
        <f>HYPERLINK("http://ts.21cn.com/tousu/show/id/1334627","http://ts.21cn.com/tousu/show/id/1334627")</f>
        <v>http://ts.21cn.com/tousu/show/id/1334627</v>
      </c>
      <c r="F3889" s="2" t="s">
        <v>11</v>
      </c>
      <c r="G3889" s="2" t="s">
        <v>36501</v>
      </c>
      <c r="H3889" s="2" t="s">
        <v>36502</v>
      </c>
    </row>
    <row r="3890" spans="1:8" ht="25.05" customHeight="1" x14ac:dyDescent="0.25">
      <c r="A3890" s="2" t="s">
        <v>8</v>
      </c>
      <c r="B3890" s="2" t="str">
        <f>HYPERLINK("http://ts.21cn.com/tousu/show/id/1334626","请求支付宝网商贷恢复正常使用")</f>
        <v>请求支付宝网商贷恢复正常使用</v>
      </c>
      <c r="C3890" s="2" t="s">
        <v>34</v>
      </c>
      <c r="D3890" s="2" t="s">
        <v>10</v>
      </c>
      <c r="E3890" s="2" t="str">
        <f>HYPERLINK("http://ts.21cn.com/tousu/show/id/1334626","http://ts.21cn.com/tousu/show/id/1334626")</f>
        <v>http://ts.21cn.com/tousu/show/id/1334626</v>
      </c>
      <c r="F3890" s="2" t="s">
        <v>11</v>
      </c>
      <c r="G3890" s="2" t="s">
        <v>36499</v>
      </c>
      <c r="H3890" s="2" t="s">
        <v>36500</v>
      </c>
    </row>
    <row r="3891" spans="1:8" ht="25.05" customHeight="1" x14ac:dyDescent="0.25">
      <c r="A3891" s="2" t="s">
        <v>8</v>
      </c>
      <c r="B3891" s="2" t="str">
        <f>HYPERLINK("http://ts.21cn.com/tousu/show/id/1334103","到期当天威胁恐吓")</f>
        <v>到期当天威胁恐吓</v>
      </c>
      <c r="C3891" s="2" t="s">
        <v>9</v>
      </c>
      <c r="D3891" s="2" t="s">
        <v>10</v>
      </c>
      <c r="E3891" s="2" t="str">
        <f>HYPERLINK("http://ts.21cn.com/tousu/show/id/1334103","http://ts.21cn.com/tousu/show/id/1334103")</f>
        <v>http://ts.21cn.com/tousu/show/id/1334103</v>
      </c>
      <c r="F3891" s="2" t="s">
        <v>11</v>
      </c>
      <c r="G3891" s="2" t="s">
        <v>36497</v>
      </c>
      <c r="H3891" s="2" t="s">
        <v>36498</v>
      </c>
    </row>
    <row r="3892" spans="1:8" ht="25.05" customHeight="1" x14ac:dyDescent="0.25">
      <c r="A3892" s="2" t="s">
        <v>8</v>
      </c>
      <c r="B3892" s="2" t="str">
        <f>HYPERLINK("http://ts.21cn.com/tousu/show/id/1334629","暴力催收威胁恐吓")</f>
        <v>暴力催收威胁恐吓</v>
      </c>
      <c r="C3892" s="2" t="s">
        <v>9</v>
      </c>
      <c r="D3892" s="2" t="s">
        <v>10</v>
      </c>
      <c r="E3892" s="2" t="str">
        <f>HYPERLINK("http://ts.21cn.com/tousu/show/id/1334629","http://ts.21cn.com/tousu/show/id/1334629")</f>
        <v>http://ts.21cn.com/tousu/show/id/1334629</v>
      </c>
      <c r="F3892" s="2" t="s">
        <v>11</v>
      </c>
      <c r="G3892" s="2" t="s">
        <v>36495</v>
      </c>
      <c r="H3892" s="2" t="s">
        <v>36496</v>
      </c>
    </row>
    <row r="3893" spans="1:8" ht="25.05" customHeight="1" x14ac:dyDescent="0.25">
      <c r="A3893" s="2" t="s">
        <v>8</v>
      </c>
      <c r="B3893" s="2" t="str">
        <f>HYPERLINK("http://ts.21cn.com/tousu/show/id/1334630","闪银商城不给退货")</f>
        <v>闪银商城不给退货</v>
      </c>
      <c r="C3893" s="2" t="s">
        <v>9</v>
      </c>
      <c r="D3893" s="2" t="s">
        <v>10</v>
      </c>
      <c r="E3893" s="2" t="str">
        <f>HYPERLINK("http://ts.21cn.com/tousu/show/id/1334630","http://ts.21cn.com/tousu/show/id/1334630")</f>
        <v>http://ts.21cn.com/tousu/show/id/1334630</v>
      </c>
      <c r="F3893" s="2" t="s">
        <v>11</v>
      </c>
      <c r="G3893" s="2" t="s">
        <v>36493</v>
      </c>
      <c r="H3893" s="2" t="s">
        <v>36494</v>
      </c>
    </row>
    <row r="3894" spans="1:8" ht="25.05" customHeight="1" x14ac:dyDescent="0.25">
      <c r="A3894" s="2" t="s">
        <v>8</v>
      </c>
      <c r="B3894" s="2" t="str">
        <f>HYPERLINK("http://ts.21cn.com/tousu/show/id/1334631","桔子分期无故冻结账号")</f>
        <v>桔子分期无故冻结账号</v>
      </c>
      <c r="C3894" s="2" t="s">
        <v>9</v>
      </c>
      <c r="D3894" s="2" t="s">
        <v>10</v>
      </c>
      <c r="E3894" s="2" t="str">
        <f>HYPERLINK("http://ts.21cn.com/tousu/show/id/1334631","http://ts.21cn.com/tousu/show/id/1334631")</f>
        <v>http://ts.21cn.com/tousu/show/id/1334631</v>
      </c>
      <c r="F3894" s="2" t="s">
        <v>11</v>
      </c>
      <c r="G3894" s="2" t="s">
        <v>36491</v>
      </c>
      <c r="H3894" s="2" t="s">
        <v>36492</v>
      </c>
    </row>
    <row r="3895" spans="1:8" ht="25.05" customHeight="1" x14ac:dyDescent="0.25">
      <c r="A3895" s="2" t="s">
        <v>8</v>
      </c>
      <c r="B3895" s="2" t="str">
        <f>HYPERLINK("http://ts.21cn.com/tousu/show/id/1334632","请人暴力收款")</f>
        <v>请人暴力收款</v>
      </c>
      <c r="C3895" s="2" t="s">
        <v>9</v>
      </c>
      <c r="D3895" s="2" t="s">
        <v>10</v>
      </c>
      <c r="E3895" s="2" t="str">
        <f>HYPERLINK("http://ts.21cn.com/tousu/show/id/1334632","http://ts.21cn.com/tousu/show/id/1334632")</f>
        <v>http://ts.21cn.com/tousu/show/id/1334632</v>
      </c>
      <c r="F3895" s="2" t="s">
        <v>11</v>
      </c>
      <c r="G3895" s="2" t="s">
        <v>36489</v>
      </c>
      <c r="H3895" s="2" t="s">
        <v>36490</v>
      </c>
    </row>
    <row r="3896" spans="1:8" ht="25.05" customHeight="1" x14ac:dyDescent="0.25">
      <c r="A3896" s="2" t="s">
        <v>8</v>
      </c>
      <c r="B3896" s="2" t="str">
        <f>HYPERLINK("http://ts.21cn.com/tousu/show/id/1334633","马上金融催收人员无中生有，捏造事实，胡说八道")</f>
        <v>马上金融催收人员无中生有，捏造事实，胡说八道</v>
      </c>
      <c r="C3896" s="2" t="s">
        <v>9</v>
      </c>
      <c r="D3896" s="2" t="s">
        <v>10</v>
      </c>
      <c r="E3896" s="2" t="str">
        <f>HYPERLINK("http://ts.21cn.com/tousu/show/id/1334633","http://ts.21cn.com/tousu/show/id/1334633")</f>
        <v>http://ts.21cn.com/tousu/show/id/1334633</v>
      </c>
      <c r="F3896" s="2" t="s">
        <v>11</v>
      </c>
      <c r="G3896" s="2" t="s">
        <v>36487</v>
      </c>
      <c r="H3896" s="2" t="s">
        <v>36488</v>
      </c>
    </row>
    <row r="3897" spans="1:8" ht="25.05" customHeight="1" x14ac:dyDescent="0.25">
      <c r="A3897" s="2" t="s">
        <v>8</v>
      </c>
      <c r="B3897" s="2" t="str">
        <f>HYPERLINK("http://ts.21cn.com/tousu/show/id/1334613","畅捷支付违规为高利贷平台神马借提供支付通道")</f>
        <v>畅捷支付违规为高利贷平台神马借提供支付通道</v>
      </c>
      <c r="C3897" s="2" t="s">
        <v>9</v>
      </c>
      <c r="D3897" s="2" t="s">
        <v>10</v>
      </c>
      <c r="E3897" s="2" t="str">
        <f>HYPERLINK("http://ts.21cn.com/tousu/show/id/1334613","http://ts.21cn.com/tousu/show/id/1334613")</f>
        <v>http://ts.21cn.com/tousu/show/id/1334613</v>
      </c>
      <c r="F3897" s="2" t="s">
        <v>11</v>
      </c>
      <c r="G3897" s="2" t="s">
        <v>36485</v>
      </c>
      <c r="H3897" s="2" t="s">
        <v>36486</v>
      </c>
    </row>
    <row r="3898" spans="1:8" ht="25.05" customHeight="1" x14ac:dyDescent="0.25">
      <c r="A3898" s="2" t="s">
        <v>8</v>
      </c>
      <c r="B3898" s="2" t="str">
        <f>HYPERLINK("http://ts.21cn.com/tousu/show/id/1334635","用钱宝协商还款不同意恶意催收支付宝负面不消除")</f>
        <v>用钱宝协商还款不同意恶意催收支付宝负面不消除</v>
      </c>
      <c r="C3898" s="2" t="s">
        <v>9</v>
      </c>
      <c r="D3898" s="2" t="s">
        <v>10</v>
      </c>
      <c r="E3898" s="2" t="str">
        <f>HYPERLINK("http://ts.21cn.com/tousu/show/id/1334635","http://ts.21cn.com/tousu/show/id/1334635")</f>
        <v>http://ts.21cn.com/tousu/show/id/1334635</v>
      </c>
      <c r="F3898" s="2" t="s">
        <v>11</v>
      </c>
      <c r="G3898" s="2" t="s">
        <v>36483</v>
      </c>
      <c r="H3898" s="2" t="s">
        <v>36484</v>
      </c>
    </row>
    <row r="3899" spans="1:8" ht="25.05" customHeight="1" x14ac:dyDescent="0.25">
      <c r="A3899" s="2" t="s">
        <v>8</v>
      </c>
      <c r="B3899" s="2" t="str">
        <f>HYPERLINK("http://ts.21cn.com/tousu/show/id/1334634","高炮，暴力催收，高利贷")</f>
        <v>高炮，暴力催收，高利贷</v>
      </c>
      <c r="C3899" s="2" t="s">
        <v>9</v>
      </c>
      <c r="D3899" s="2" t="s">
        <v>10</v>
      </c>
      <c r="E3899" s="2" t="str">
        <f>HYPERLINK("http://ts.21cn.com/tousu/show/id/1334634","http://ts.21cn.com/tousu/show/id/1334634")</f>
        <v>http://ts.21cn.com/tousu/show/id/1334634</v>
      </c>
      <c r="F3899" s="2" t="s">
        <v>11</v>
      </c>
      <c r="G3899" s="2" t="s">
        <v>36481</v>
      </c>
      <c r="H3899" s="2" t="s">
        <v>36482</v>
      </c>
    </row>
    <row r="3900" spans="1:8" ht="25.05" customHeight="1" x14ac:dyDescent="0.25">
      <c r="A3900" s="2" t="s">
        <v>8</v>
      </c>
      <c r="B3900" s="2" t="str">
        <f>HYPERLINK("http://ts.21cn.com/tousu/show/id/1334614","聚富分期app平台恶意扣款")</f>
        <v>聚富分期app平台恶意扣款</v>
      </c>
      <c r="C3900" s="2" t="s">
        <v>9</v>
      </c>
      <c r="D3900" s="2" t="s">
        <v>10</v>
      </c>
      <c r="E3900" s="2" t="str">
        <f>HYPERLINK("http://ts.21cn.com/tousu/show/id/1334614","http://ts.21cn.com/tousu/show/id/1334614")</f>
        <v>http://ts.21cn.com/tousu/show/id/1334614</v>
      </c>
      <c r="F3900" s="2" t="s">
        <v>11</v>
      </c>
      <c r="G3900" s="2" t="s">
        <v>36479</v>
      </c>
      <c r="H3900" s="2" t="s">
        <v>36480</v>
      </c>
    </row>
    <row r="3901" spans="1:8" ht="25.05" customHeight="1" x14ac:dyDescent="0.25">
      <c r="A3901" s="2" t="s">
        <v>8</v>
      </c>
      <c r="B3901" s="2" t="str">
        <f>HYPERLINK("http://ts.21cn.com/tousu/show/id/1334638","信用管家催收严重希望协商解决")</f>
        <v>信用管家催收严重希望协商解决</v>
      </c>
      <c r="C3901" s="2" t="s">
        <v>9</v>
      </c>
      <c r="D3901" s="2" t="s">
        <v>10</v>
      </c>
      <c r="E3901" s="2" t="str">
        <f>HYPERLINK("http://ts.21cn.com/tousu/show/id/1334638","http://ts.21cn.com/tousu/show/id/1334638")</f>
        <v>http://ts.21cn.com/tousu/show/id/1334638</v>
      </c>
      <c r="F3901" s="2" t="s">
        <v>11</v>
      </c>
      <c r="G3901" s="2" t="s">
        <v>36477</v>
      </c>
      <c r="H3901" s="2" t="s">
        <v>36478</v>
      </c>
    </row>
    <row r="3902" spans="1:8" ht="25.05" customHeight="1" x14ac:dyDescent="0.25">
      <c r="A3902" s="2" t="s">
        <v>8</v>
      </c>
      <c r="B3902" s="2" t="str">
        <f>HYPERLINK("http://ts.21cn.com/tousu/show/id/1334637","暴力催收")</f>
        <v>暴力催收</v>
      </c>
      <c r="C3902" s="2" t="s">
        <v>9</v>
      </c>
      <c r="D3902" s="2" t="s">
        <v>10</v>
      </c>
      <c r="E3902" s="2" t="str">
        <f>HYPERLINK("http://ts.21cn.com/tousu/show/id/1334637","http://ts.21cn.com/tousu/show/id/1334637")</f>
        <v>http://ts.21cn.com/tousu/show/id/1334637</v>
      </c>
      <c r="F3902" s="2" t="s">
        <v>11</v>
      </c>
      <c r="G3902" s="2" t="s">
        <v>36475</v>
      </c>
      <c r="H3902" s="2" t="s">
        <v>36476</v>
      </c>
    </row>
    <row r="3903" spans="1:8" ht="25.05" customHeight="1" x14ac:dyDescent="0.25">
      <c r="A3903" s="2" t="s">
        <v>8</v>
      </c>
      <c r="B3903" s="2" t="str">
        <f>HYPERLINK("http://ts.21cn.com/tousu/show/id/1334639","饿了么")</f>
        <v>饿了么</v>
      </c>
      <c r="C3903" s="2" t="s">
        <v>34</v>
      </c>
      <c r="D3903" s="2" t="s">
        <v>10</v>
      </c>
      <c r="E3903" s="2" t="str">
        <f>HYPERLINK("http://ts.21cn.com/tousu/show/id/1334639","http://ts.21cn.com/tousu/show/id/1334639")</f>
        <v>http://ts.21cn.com/tousu/show/id/1334639</v>
      </c>
      <c r="F3903" s="2" t="s">
        <v>11</v>
      </c>
      <c r="G3903" s="2" t="s">
        <v>36473</v>
      </c>
      <c r="H3903" s="2" t="s">
        <v>36474</v>
      </c>
    </row>
    <row r="3904" spans="1:8" ht="25.05" customHeight="1" x14ac:dyDescent="0.25">
      <c r="A3904" s="2" t="s">
        <v>8</v>
      </c>
      <c r="B3904" s="2" t="str">
        <f>HYPERLINK("http://ts.21cn.com/tousu/show/id/1334641","人生攻击行为恶劣")</f>
        <v>人生攻击行为恶劣</v>
      </c>
      <c r="C3904" s="2" t="s">
        <v>9</v>
      </c>
      <c r="D3904" s="2" t="s">
        <v>10</v>
      </c>
      <c r="E3904" s="2" t="str">
        <f>HYPERLINK("http://ts.21cn.com/tousu/show/id/1334641","http://ts.21cn.com/tousu/show/id/1334641")</f>
        <v>http://ts.21cn.com/tousu/show/id/1334641</v>
      </c>
      <c r="F3904" s="2" t="s">
        <v>11</v>
      </c>
      <c r="G3904" s="2" t="s">
        <v>36471</v>
      </c>
      <c r="H3904" s="2" t="s">
        <v>36472</v>
      </c>
    </row>
    <row r="3905" spans="1:8" ht="25.05" customHeight="1" x14ac:dyDescent="0.25">
      <c r="A3905" s="2" t="s">
        <v>8</v>
      </c>
      <c r="B3905" s="2" t="str">
        <f>HYPERLINK("http://ts.21cn.com/tousu/show/id/1334642","闪银闪豆客服不处理")</f>
        <v>闪银闪豆客服不处理</v>
      </c>
      <c r="C3905" s="2" t="s">
        <v>9</v>
      </c>
      <c r="D3905" s="2" t="s">
        <v>10</v>
      </c>
      <c r="E3905" s="2" t="str">
        <f>HYPERLINK("http://ts.21cn.com/tousu/show/id/1334642","http://ts.21cn.com/tousu/show/id/1334642")</f>
        <v>http://ts.21cn.com/tousu/show/id/1334642</v>
      </c>
      <c r="F3905" s="2" t="s">
        <v>11</v>
      </c>
      <c r="G3905" s="2" t="s">
        <v>36469</v>
      </c>
      <c r="H3905" s="2" t="s">
        <v>36470</v>
      </c>
    </row>
    <row r="3906" spans="1:8" ht="25.05" customHeight="1" x14ac:dyDescent="0.25">
      <c r="A3906" s="2" t="s">
        <v>8</v>
      </c>
      <c r="B3906" s="2" t="str">
        <f>HYPERLINK("http://ts.21cn.com/tousu/show/id/1334643","闪银专属新人通道虚假信息，其实就是高额费用")</f>
        <v>闪银专属新人通道虚假信息，其实就是高额费用</v>
      </c>
      <c r="C3906" s="2" t="s">
        <v>9</v>
      </c>
      <c r="D3906" s="2" t="s">
        <v>10</v>
      </c>
      <c r="E3906" s="2" t="str">
        <f>HYPERLINK("http://ts.21cn.com/tousu/show/id/1334643","http://ts.21cn.com/tousu/show/id/1334643")</f>
        <v>http://ts.21cn.com/tousu/show/id/1334643</v>
      </c>
      <c r="F3906" s="2" t="s">
        <v>11</v>
      </c>
      <c r="G3906" s="2" t="s">
        <v>36467</v>
      </c>
      <c r="H3906" s="2" t="s">
        <v>36468</v>
      </c>
    </row>
    <row r="3907" spans="1:8" ht="25.05" customHeight="1" x14ac:dyDescent="0.25">
      <c r="A3907" s="2" t="s">
        <v>8</v>
      </c>
      <c r="B3907" s="2" t="str">
        <f>HYPERLINK("http://ts.21cn.com/tousu/show/id/1334636","在交易猫购买的穿越火线账号被卖家恶意找回")</f>
        <v>在交易猫购买的穿越火线账号被卖家恶意找回</v>
      </c>
      <c r="C3907" s="2" t="s">
        <v>9</v>
      </c>
      <c r="D3907" s="2" t="s">
        <v>10</v>
      </c>
      <c r="E3907" s="2" t="str">
        <f>HYPERLINK("http://ts.21cn.com/tousu/show/id/1334636","http://ts.21cn.com/tousu/show/id/1334636")</f>
        <v>http://ts.21cn.com/tousu/show/id/1334636</v>
      </c>
      <c r="F3907" s="2" t="s">
        <v>11</v>
      </c>
      <c r="G3907" s="2" t="s">
        <v>36465</v>
      </c>
      <c r="H3907" s="2" t="s">
        <v>36466</v>
      </c>
    </row>
    <row r="3908" spans="1:8" ht="25.05" customHeight="1" x14ac:dyDescent="0.25">
      <c r="A3908" s="2" t="s">
        <v>8</v>
      </c>
      <c r="B3908" s="2" t="str">
        <f>HYPERLINK("http://ts.21cn.com/tousu/show/id/1334647","蟹老弟收取高额砍头息")</f>
        <v>蟹老弟收取高额砍头息</v>
      </c>
      <c r="C3908" s="2" t="s">
        <v>34</v>
      </c>
      <c r="D3908" s="2" t="s">
        <v>10</v>
      </c>
      <c r="E3908" s="2" t="str">
        <f>HYPERLINK("http://ts.21cn.com/tousu/show/id/1334647","http://ts.21cn.com/tousu/show/id/1334647")</f>
        <v>http://ts.21cn.com/tousu/show/id/1334647</v>
      </c>
      <c r="F3908" s="2" t="s">
        <v>11</v>
      </c>
      <c r="G3908" s="2" t="s">
        <v>36463</v>
      </c>
      <c r="H3908" s="2" t="s">
        <v>36464</v>
      </c>
    </row>
    <row r="3909" spans="1:8" ht="25.05" customHeight="1" x14ac:dyDescent="0.25">
      <c r="A3909" s="2" t="s">
        <v>8</v>
      </c>
      <c r="B3909" s="2" t="str">
        <f>HYPERLINK("http://ts.21cn.com/tousu/show/id/1334646","虚假推销净水器，坑害消费者")</f>
        <v>虚假推销净水器，坑害消费者</v>
      </c>
      <c r="C3909" s="2" t="s">
        <v>9</v>
      </c>
      <c r="D3909" s="2" t="s">
        <v>10</v>
      </c>
      <c r="E3909" s="2" t="str">
        <f>HYPERLINK("http://ts.21cn.com/tousu/show/id/1334646","http://ts.21cn.com/tousu/show/id/1334646")</f>
        <v>http://ts.21cn.com/tousu/show/id/1334646</v>
      </c>
      <c r="F3909" s="2" t="s">
        <v>11</v>
      </c>
      <c r="G3909" s="2" t="s">
        <v>36461</v>
      </c>
      <c r="H3909" s="2" t="s">
        <v>36462</v>
      </c>
    </row>
    <row r="3910" spans="1:8" ht="25.05" customHeight="1" x14ac:dyDescent="0.25">
      <c r="A3910" s="2" t="s">
        <v>8</v>
      </c>
      <c r="B3910" s="2" t="str">
        <f>HYPERLINK("http://ts.21cn.com/tousu/show/id/1334649","卡无缘无故扣钱")</f>
        <v>卡无缘无故扣钱</v>
      </c>
      <c r="C3910" s="2" t="s">
        <v>9</v>
      </c>
      <c r="D3910" s="2" t="s">
        <v>10</v>
      </c>
      <c r="E3910" s="2" t="str">
        <f>HYPERLINK("http://ts.21cn.com/tousu/show/id/1334649","http://ts.21cn.com/tousu/show/id/1334649")</f>
        <v>http://ts.21cn.com/tousu/show/id/1334649</v>
      </c>
      <c r="F3910" s="2" t="s">
        <v>11</v>
      </c>
      <c r="G3910" s="2" t="s">
        <v>36459</v>
      </c>
      <c r="H3910" s="2" t="s">
        <v>36460</v>
      </c>
    </row>
    <row r="3911" spans="1:8" ht="25.05" customHeight="1" x14ac:dyDescent="0.25">
      <c r="A3911" s="2" t="s">
        <v>8</v>
      </c>
      <c r="B3911" s="2" t="str">
        <f>HYPERLINK("http://ts.21cn.com/tousu/show/id/1334651","以还清了还自动扣我卡上的钱")</f>
        <v>以还清了还自动扣我卡上的钱</v>
      </c>
      <c r="C3911" s="2" t="s">
        <v>9</v>
      </c>
      <c r="D3911" s="2" t="s">
        <v>10</v>
      </c>
      <c r="E3911" s="2" t="str">
        <f>HYPERLINK("http://ts.21cn.com/tousu/show/id/1334651","http://ts.21cn.com/tousu/show/id/1334651")</f>
        <v>http://ts.21cn.com/tousu/show/id/1334651</v>
      </c>
      <c r="F3911" s="2" t="s">
        <v>11</v>
      </c>
      <c r="G3911" s="2" t="s">
        <v>36457</v>
      </c>
      <c r="H3911" s="2" t="s">
        <v>36458</v>
      </c>
    </row>
    <row r="3912" spans="1:8" ht="25.05" customHeight="1" x14ac:dyDescent="0.25">
      <c r="A3912" s="2" t="s">
        <v>8</v>
      </c>
      <c r="B3912" s="2" t="str">
        <f>HYPERLINK("http://ts.21cn.com/tousu/show/id/1334650","你我贷平台吓唬我说要上门")</f>
        <v>你我贷平台吓唬我说要上门</v>
      </c>
      <c r="C3912" s="2" t="s">
        <v>9</v>
      </c>
      <c r="D3912" s="2" t="s">
        <v>10</v>
      </c>
      <c r="E3912" s="2" t="str">
        <f>HYPERLINK("http://ts.21cn.com/tousu/show/id/1334650","http://ts.21cn.com/tousu/show/id/1334650")</f>
        <v>http://ts.21cn.com/tousu/show/id/1334650</v>
      </c>
      <c r="F3912" s="2" t="s">
        <v>11</v>
      </c>
      <c r="G3912" s="2" t="s">
        <v>36455</v>
      </c>
      <c r="H3912" s="2" t="s">
        <v>36456</v>
      </c>
    </row>
    <row r="3913" spans="1:8" ht="25.05" customHeight="1" x14ac:dyDescent="0.25">
      <c r="A3913" s="2" t="s">
        <v>8</v>
      </c>
      <c r="B3913" s="2" t="str">
        <f>HYPERLINK("http://ts.21cn.com/tousu/show/id/1334652","加速宝强制扣费")</f>
        <v>加速宝强制扣费</v>
      </c>
      <c r="C3913" s="2" t="s">
        <v>9</v>
      </c>
      <c r="D3913" s="2" t="s">
        <v>10</v>
      </c>
      <c r="E3913" s="2" t="str">
        <f>HYPERLINK("http://ts.21cn.com/tousu/show/id/1334652","http://ts.21cn.com/tousu/show/id/1334652")</f>
        <v>http://ts.21cn.com/tousu/show/id/1334652</v>
      </c>
      <c r="F3913" s="2" t="s">
        <v>11</v>
      </c>
      <c r="G3913" s="2" t="s">
        <v>36453</v>
      </c>
      <c r="H3913" s="2" t="s">
        <v>36454</v>
      </c>
    </row>
    <row r="3914" spans="1:8" ht="25.05" customHeight="1" x14ac:dyDescent="0.25">
      <c r="A3914" s="2" t="s">
        <v>8</v>
      </c>
      <c r="B3914" s="2" t="str">
        <f>HYPERLINK("http://ts.21cn.com/tousu/show/id/1334653","天天打电话骚扰恐吓")</f>
        <v>天天打电话骚扰恐吓</v>
      </c>
      <c r="C3914" s="2" t="s">
        <v>9</v>
      </c>
      <c r="D3914" s="2" t="s">
        <v>10</v>
      </c>
      <c r="E3914" s="2" t="str">
        <f>HYPERLINK("http://ts.21cn.com/tousu/show/id/1334653","http://ts.21cn.com/tousu/show/id/1334653")</f>
        <v>http://ts.21cn.com/tousu/show/id/1334653</v>
      </c>
      <c r="F3914" s="2" t="s">
        <v>11</v>
      </c>
      <c r="G3914" s="2" t="s">
        <v>36451</v>
      </c>
      <c r="H3914" s="2" t="s">
        <v>36452</v>
      </c>
    </row>
    <row r="3915" spans="1:8" ht="25.05" customHeight="1" x14ac:dyDescent="0.25">
      <c r="A3915" s="2" t="s">
        <v>8</v>
      </c>
      <c r="B3915" s="2" t="str">
        <f>HYPERLINK("http://ts.21cn.com/tousu/show/id/1334654","已系统故障")</f>
        <v>已系统故障</v>
      </c>
      <c r="C3915" s="2" t="s">
        <v>9</v>
      </c>
      <c r="D3915" s="2" t="s">
        <v>10</v>
      </c>
      <c r="E3915" s="2" t="str">
        <f>HYPERLINK("http://ts.21cn.com/tousu/show/id/1334654","http://ts.21cn.com/tousu/show/id/1334654")</f>
        <v>http://ts.21cn.com/tousu/show/id/1334654</v>
      </c>
      <c r="F3915" s="2" t="s">
        <v>11</v>
      </c>
      <c r="G3915" s="2" t="s">
        <v>36449</v>
      </c>
      <c r="H3915" s="2" t="s">
        <v>36450</v>
      </c>
    </row>
    <row r="3916" spans="1:8" ht="25.05" customHeight="1" x14ac:dyDescent="0.25">
      <c r="A3916" s="2" t="s">
        <v>8</v>
      </c>
      <c r="B3916" s="2" t="str">
        <f>HYPERLINK("http://ts.21cn.com/tousu/show/id/1334655","高利贷砍头息阴阳合同")</f>
        <v>高利贷砍头息阴阳合同</v>
      </c>
      <c r="C3916" s="2" t="s">
        <v>9</v>
      </c>
      <c r="D3916" s="2" t="s">
        <v>10</v>
      </c>
      <c r="E3916" s="2" t="str">
        <f>HYPERLINK("http://ts.21cn.com/tousu/show/id/1334655","http://ts.21cn.com/tousu/show/id/1334655")</f>
        <v>http://ts.21cn.com/tousu/show/id/1334655</v>
      </c>
      <c r="F3916" s="2" t="s">
        <v>11</v>
      </c>
      <c r="G3916" s="2" t="s">
        <v>36447</v>
      </c>
      <c r="H3916" s="2" t="s">
        <v>36448</v>
      </c>
    </row>
    <row r="3917" spans="1:8" ht="25.05" customHeight="1" x14ac:dyDescent="0.25">
      <c r="A3917" s="2" t="s">
        <v>8</v>
      </c>
      <c r="B3917" s="2" t="str">
        <f>HYPERLINK("http://ts.21cn.com/tousu/show/id/1334656","支付房租尽然还要收手续费？")</f>
        <v>支付房租尽然还要收手续费？</v>
      </c>
      <c r="C3917" s="2" t="s">
        <v>9</v>
      </c>
      <c r="D3917" s="2" t="s">
        <v>10</v>
      </c>
      <c r="E3917" s="2" t="str">
        <f>HYPERLINK("http://ts.21cn.com/tousu/show/id/1334656","http://ts.21cn.com/tousu/show/id/1334656")</f>
        <v>http://ts.21cn.com/tousu/show/id/1334656</v>
      </c>
      <c r="F3917" s="2" t="s">
        <v>11</v>
      </c>
      <c r="G3917" s="2" t="s">
        <v>36445</v>
      </c>
      <c r="H3917" s="2" t="s">
        <v>36446</v>
      </c>
    </row>
    <row r="3918" spans="1:8" ht="25.05" customHeight="1" x14ac:dyDescent="0.25">
      <c r="A3918" s="2" t="s">
        <v>8</v>
      </c>
      <c r="B3918" s="2" t="str">
        <f>HYPERLINK("http://ts.21cn.com/tousu/show/id/1334657","没有绕路乘客指定路线")</f>
        <v>没有绕路乘客指定路线</v>
      </c>
      <c r="C3918" s="2" t="s">
        <v>9</v>
      </c>
      <c r="D3918" s="2" t="s">
        <v>10</v>
      </c>
      <c r="E3918" s="2" t="str">
        <f>HYPERLINK("http://ts.21cn.com/tousu/show/id/1334657","http://ts.21cn.com/tousu/show/id/1334657")</f>
        <v>http://ts.21cn.com/tousu/show/id/1334657</v>
      </c>
      <c r="F3918" s="2" t="s">
        <v>11</v>
      </c>
      <c r="G3918" s="2" t="s">
        <v>36443</v>
      </c>
      <c r="H3918" s="2" t="s">
        <v>36444</v>
      </c>
    </row>
    <row r="3919" spans="1:8" ht="25.05" customHeight="1" x14ac:dyDescent="0.25">
      <c r="A3919" s="2" t="s">
        <v>8</v>
      </c>
      <c r="B3919" s="2" t="str">
        <f>HYPERLINK("http://ts.21cn.com/tousu/show/id/1334659","极速passwordBox，极速贷，天津市迈广科技发展有限公司，高利贷，暴力催收")</f>
        <v>极速passwordBox，极速贷，天津市迈广科技发展有限公司，高利贷，暴力催收</v>
      </c>
      <c r="C3919" s="2" t="s">
        <v>9</v>
      </c>
      <c r="D3919" s="2" t="s">
        <v>10</v>
      </c>
      <c r="E3919" s="2" t="str">
        <f>HYPERLINK("http://ts.21cn.com/tousu/show/id/1334659","http://ts.21cn.com/tousu/show/id/1334659")</f>
        <v>http://ts.21cn.com/tousu/show/id/1334659</v>
      </c>
      <c r="F3919" s="2" t="s">
        <v>11</v>
      </c>
      <c r="G3919" s="2" t="s">
        <v>36441</v>
      </c>
      <c r="H3919" s="2" t="s">
        <v>36442</v>
      </c>
    </row>
    <row r="3920" spans="1:8" ht="25.05" customHeight="1" x14ac:dyDescent="0.25">
      <c r="A3920" s="2" t="s">
        <v>8</v>
      </c>
      <c r="B3920" s="2" t="str">
        <f>HYPERLINK("http://ts.21cn.com/tousu/show/id/1334660","消费陷阱")</f>
        <v>消费陷阱</v>
      </c>
      <c r="C3920" s="2" t="s">
        <v>9</v>
      </c>
      <c r="D3920" s="2" t="s">
        <v>10</v>
      </c>
      <c r="E3920" s="2" t="str">
        <f>HYPERLINK("http://ts.21cn.com/tousu/show/id/1334660","http://ts.21cn.com/tousu/show/id/1334660")</f>
        <v>http://ts.21cn.com/tousu/show/id/1334660</v>
      </c>
      <c r="F3920" s="2" t="s">
        <v>11</v>
      </c>
      <c r="G3920" s="2" t="s">
        <v>36439</v>
      </c>
      <c r="H3920" s="2" t="s">
        <v>36440</v>
      </c>
    </row>
    <row r="3921" spans="1:8" ht="25.05" customHeight="1" x14ac:dyDescent="0.25">
      <c r="A3921" s="2" t="s">
        <v>8</v>
      </c>
      <c r="B3921" s="2" t="str">
        <f>HYPERLINK("http://ts.21cn.com/tousu/show/id/1334661","聚富分期恶意扣款")</f>
        <v>聚富分期恶意扣款</v>
      </c>
      <c r="C3921" s="2" t="s">
        <v>9</v>
      </c>
      <c r="D3921" s="2" t="s">
        <v>10</v>
      </c>
      <c r="E3921" s="2" t="str">
        <f>HYPERLINK("http://ts.21cn.com/tousu/show/id/1334661","http://ts.21cn.com/tousu/show/id/1334661")</f>
        <v>http://ts.21cn.com/tousu/show/id/1334661</v>
      </c>
      <c r="F3921" s="2" t="s">
        <v>11</v>
      </c>
      <c r="G3921" s="2" t="s">
        <v>36437</v>
      </c>
      <c r="H3921" s="2" t="s">
        <v>36438</v>
      </c>
    </row>
    <row r="3922" spans="1:8" ht="25.05" customHeight="1" x14ac:dyDescent="0.25">
      <c r="A3922" s="2" t="s">
        <v>8</v>
      </c>
      <c r="B3922" s="2" t="str">
        <f>HYPERLINK("http://ts.21cn.com/tousu/show/id/1334662","欺诈消费者")</f>
        <v>欺诈消费者</v>
      </c>
      <c r="C3922" s="2" t="s">
        <v>9</v>
      </c>
      <c r="D3922" s="2" t="s">
        <v>10</v>
      </c>
      <c r="E3922" s="2" t="str">
        <f>HYPERLINK("http://ts.21cn.com/tousu/show/id/1334662","http://ts.21cn.com/tousu/show/id/1334662")</f>
        <v>http://ts.21cn.com/tousu/show/id/1334662</v>
      </c>
      <c r="F3922" s="2" t="s">
        <v>11</v>
      </c>
      <c r="G3922" s="2" t="s">
        <v>36435</v>
      </c>
      <c r="H3922" s="2" t="s">
        <v>36436</v>
      </c>
    </row>
    <row r="3923" spans="1:8" ht="25.05" customHeight="1" x14ac:dyDescent="0.25">
      <c r="A3923" s="2" t="s">
        <v>8</v>
      </c>
      <c r="B3923" s="2" t="str">
        <f>HYPERLINK("http://ts.21cn.com/tousu/show/id/1334663","泄密我个人隐私")</f>
        <v>泄密我个人隐私</v>
      </c>
      <c r="C3923" s="2" t="s">
        <v>9</v>
      </c>
      <c r="D3923" s="2" t="s">
        <v>10</v>
      </c>
      <c r="E3923" s="2" t="str">
        <f>HYPERLINK("http://ts.21cn.com/tousu/show/id/1334663","http://ts.21cn.com/tousu/show/id/1334663")</f>
        <v>http://ts.21cn.com/tousu/show/id/1334663</v>
      </c>
      <c r="F3923" s="2" t="s">
        <v>11</v>
      </c>
      <c r="G3923" s="2" t="s">
        <v>36433</v>
      </c>
      <c r="H3923" s="2" t="s">
        <v>36434</v>
      </c>
    </row>
    <row r="3924" spans="1:8" ht="25.05" customHeight="1" x14ac:dyDescent="0.25">
      <c r="A3924" s="2" t="s">
        <v>8</v>
      </c>
      <c r="B3924" s="2" t="str">
        <f>HYPERLINK("http://ts.21cn.com/tousu/show/id/1334664","信用管家宜贷分期20天，息高的很")</f>
        <v>信用管家宜贷分期20天，息高的很</v>
      </c>
      <c r="C3924" s="2" t="s">
        <v>9</v>
      </c>
      <c r="D3924" s="2" t="s">
        <v>10</v>
      </c>
      <c r="E3924" s="2" t="str">
        <f>HYPERLINK("http://ts.21cn.com/tousu/show/id/1334664","http://ts.21cn.com/tousu/show/id/1334664")</f>
        <v>http://ts.21cn.com/tousu/show/id/1334664</v>
      </c>
      <c r="F3924" s="2" t="s">
        <v>11</v>
      </c>
      <c r="G3924" s="2" t="s">
        <v>36431</v>
      </c>
      <c r="H3924" s="2" t="s">
        <v>36432</v>
      </c>
    </row>
    <row r="3925" spans="1:8" ht="25.05" customHeight="1" x14ac:dyDescent="0.25">
      <c r="A3925" s="2" t="s">
        <v>8</v>
      </c>
      <c r="B3925" s="2" t="str">
        <f>HYPERLINK("http://ts.21cn.com/tousu/show/id/1334665","多宝分期高额利息费还款日当天爆通讯录")</f>
        <v>多宝分期高额利息费还款日当天爆通讯录</v>
      </c>
      <c r="C3925" s="2" t="s">
        <v>9</v>
      </c>
      <c r="D3925" s="2" t="s">
        <v>10</v>
      </c>
      <c r="E3925" s="2" t="str">
        <f>HYPERLINK("http://ts.21cn.com/tousu/show/id/1334665","http://ts.21cn.com/tousu/show/id/1334665")</f>
        <v>http://ts.21cn.com/tousu/show/id/1334665</v>
      </c>
      <c r="F3925" s="2" t="s">
        <v>11</v>
      </c>
      <c r="G3925" s="2" t="s">
        <v>36429</v>
      </c>
      <c r="H3925" s="2" t="s">
        <v>36430</v>
      </c>
    </row>
    <row r="3926" spans="1:8" ht="25.05" customHeight="1" x14ac:dyDescent="0.25">
      <c r="A3926" s="2" t="s">
        <v>8</v>
      </c>
      <c r="B3926" s="2" t="str">
        <f>HYPERLINK("http://ts.21cn.com/tousu/show/id/1334666","支付宝提供平台白云租扣掉了信用金额没有给发货平台下架了")</f>
        <v>支付宝提供平台白云租扣掉了信用金额没有给发货平台下架了</v>
      </c>
      <c r="C3926" s="2" t="s">
        <v>9</v>
      </c>
      <c r="D3926" s="2" t="s">
        <v>10</v>
      </c>
      <c r="E3926" s="2" t="str">
        <f>HYPERLINK("http://ts.21cn.com/tousu/show/id/1334666","http://ts.21cn.com/tousu/show/id/1334666")</f>
        <v>http://ts.21cn.com/tousu/show/id/1334666</v>
      </c>
      <c r="F3926" s="2" t="s">
        <v>11</v>
      </c>
      <c r="G3926" s="2" t="s">
        <v>36427</v>
      </c>
      <c r="H3926" s="2" t="s">
        <v>36428</v>
      </c>
    </row>
    <row r="3927" spans="1:8" ht="25.05" customHeight="1" x14ac:dyDescent="0.25">
      <c r="A3927" s="2" t="s">
        <v>8</v>
      </c>
      <c r="B3927" s="2" t="str">
        <f>HYPERLINK("http://ts.21cn.com/tousu/show/id/1334667","还款不消账")</f>
        <v>还款不消账</v>
      </c>
      <c r="C3927" s="2" t="s">
        <v>9</v>
      </c>
      <c r="D3927" s="2" t="s">
        <v>10</v>
      </c>
      <c r="E3927" s="2" t="str">
        <f>HYPERLINK("http://ts.21cn.com/tousu/show/id/1334667","http://ts.21cn.com/tousu/show/id/1334667")</f>
        <v>http://ts.21cn.com/tousu/show/id/1334667</v>
      </c>
      <c r="F3927" s="2" t="s">
        <v>11</v>
      </c>
      <c r="G3927" s="2" t="s">
        <v>36425</v>
      </c>
      <c r="H3927" s="2" t="s">
        <v>36426</v>
      </c>
    </row>
    <row r="3928" spans="1:8" ht="25.05" customHeight="1" x14ac:dyDescent="0.25">
      <c r="A3928" s="2" t="s">
        <v>8</v>
      </c>
      <c r="B3928" s="2" t="str">
        <f>HYPERLINK("http://ts.21cn.com/tousu/show/id/1334668","支付宝无故封停本人支付宝账号")</f>
        <v>支付宝无故封停本人支付宝账号</v>
      </c>
      <c r="C3928" s="2" t="s">
        <v>9</v>
      </c>
      <c r="D3928" s="2" t="s">
        <v>10</v>
      </c>
      <c r="E3928" s="2" t="str">
        <f>HYPERLINK("http://ts.21cn.com/tousu/show/id/1334668","http://ts.21cn.com/tousu/show/id/1334668")</f>
        <v>http://ts.21cn.com/tousu/show/id/1334668</v>
      </c>
      <c r="F3928" s="2" t="s">
        <v>11</v>
      </c>
      <c r="G3928" s="2" t="s">
        <v>36423</v>
      </c>
      <c r="H3928" s="2" t="s">
        <v>36424</v>
      </c>
    </row>
    <row r="3929" spans="1:8" ht="25.05" customHeight="1" x14ac:dyDescent="0.25">
      <c r="A3929" s="2" t="s">
        <v>8</v>
      </c>
      <c r="B3929" s="2" t="str">
        <f>HYPERLINK("http://ts.21cn.com/tousu/show/id/1334669","砍头息，爆通讯")</f>
        <v>砍头息，爆通讯</v>
      </c>
      <c r="C3929" s="2" t="s">
        <v>9</v>
      </c>
      <c r="D3929" s="2" t="s">
        <v>10</v>
      </c>
      <c r="E3929" s="2" t="str">
        <f>HYPERLINK("http://ts.21cn.com/tousu/show/id/1334669","http://ts.21cn.com/tousu/show/id/1334669")</f>
        <v>http://ts.21cn.com/tousu/show/id/1334669</v>
      </c>
      <c r="F3929" s="2" t="s">
        <v>11</v>
      </c>
      <c r="G3929" s="2" t="s">
        <v>36421</v>
      </c>
      <c r="H3929" s="2" t="s">
        <v>36422</v>
      </c>
    </row>
    <row r="3930" spans="1:8" ht="25.05" customHeight="1" x14ac:dyDescent="0.25">
      <c r="A3930" s="2" t="s">
        <v>8</v>
      </c>
      <c r="B3930" s="2" t="str">
        <f>HYPERLINK("http://ts.21cn.com/tousu/show/id/1334670","接到客服电话要求提供验证码，然后钱化走了，")</f>
        <v>接到客服电话要求提供验证码，然后钱化走了，</v>
      </c>
      <c r="C3930" s="2" t="s">
        <v>9</v>
      </c>
      <c r="D3930" s="2" t="s">
        <v>10</v>
      </c>
      <c r="E3930" s="2" t="str">
        <f>HYPERLINK("http://ts.21cn.com/tousu/show/id/1334670","http://ts.21cn.com/tousu/show/id/1334670")</f>
        <v>http://ts.21cn.com/tousu/show/id/1334670</v>
      </c>
      <c r="F3930" s="2" t="s">
        <v>11</v>
      </c>
      <c r="G3930" s="2" t="s">
        <v>36419</v>
      </c>
      <c r="H3930" s="2" t="s">
        <v>36420</v>
      </c>
    </row>
    <row r="3931" spans="1:8" ht="25.05" customHeight="1" x14ac:dyDescent="0.25">
      <c r="A3931" s="2" t="s">
        <v>8</v>
      </c>
      <c r="B3931" s="2" t="str">
        <f>HYPERLINK("http://ts.21cn.com/tousu/show/id/1334671","来分期拒绝协商还款")</f>
        <v>来分期拒绝协商还款</v>
      </c>
      <c r="C3931" s="2" t="s">
        <v>9</v>
      </c>
      <c r="D3931" s="2" t="s">
        <v>10</v>
      </c>
      <c r="E3931" s="2" t="str">
        <f>HYPERLINK("http://ts.21cn.com/tousu/show/id/1334671","http://ts.21cn.com/tousu/show/id/1334671")</f>
        <v>http://ts.21cn.com/tousu/show/id/1334671</v>
      </c>
      <c r="F3931" s="2" t="s">
        <v>11</v>
      </c>
      <c r="G3931" s="2" t="s">
        <v>36417</v>
      </c>
      <c r="H3931" s="2" t="s">
        <v>36418</v>
      </c>
    </row>
    <row r="3932" spans="1:8" ht="25.05" customHeight="1" x14ac:dyDescent="0.25">
      <c r="A3932" s="2" t="s">
        <v>8</v>
      </c>
      <c r="B3932" s="2" t="str">
        <f>HYPERLINK("http://ts.21cn.com/tousu/show/id/1334672","拍拍贷逾期恶意威胁")</f>
        <v>拍拍贷逾期恶意威胁</v>
      </c>
      <c r="C3932" s="2" t="s">
        <v>9</v>
      </c>
      <c r="D3932" s="2" t="s">
        <v>10</v>
      </c>
      <c r="E3932" s="2" t="str">
        <f>HYPERLINK("http://ts.21cn.com/tousu/show/id/1334672","http://ts.21cn.com/tousu/show/id/1334672")</f>
        <v>http://ts.21cn.com/tousu/show/id/1334672</v>
      </c>
      <c r="F3932" s="2" t="s">
        <v>11</v>
      </c>
      <c r="G3932" s="2" t="s">
        <v>36415</v>
      </c>
      <c r="H3932" s="2" t="s">
        <v>36416</v>
      </c>
    </row>
    <row r="3933" spans="1:8" ht="25.05" customHeight="1" x14ac:dyDescent="0.25">
      <c r="A3933" s="2" t="s">
        <v>8</v>
      </c>
      <c r="B3933" s="2" t="str">
        <f>HYPERLINK("http://ts.21cn.com/tousu/show/id/1334673","小浦优客在我不知情下扣了我报告费，我要举报并要求退款")</f>
        <v>小浦优客在我不知情下扣了我报告费，我要举报并要求退款</v>
      </c>
      <c r="C3933" s="2" t="s">
        <v>9</v>
      </c>
      <c r="D3933" s="2" t="s">
        <v>10</v>
      </c>
      <c r="E3933" s="2" t="str">
        <f>HYPERLINK("http://ts.21cn.com/tousu/show/id/1334673","http://ts.21cn.com/tousu/show/id/1334673")</f>
        <v>http://ts.21cn.com/tousu/show/id/1334673</v>
      </c>
      <c r="F3933" s="2" t="s">
        <v>11</v>
      </c>
      <c r="G3933" s="2" t="s">
        <v>36413</v>
      </c>
      <c r="H3933" s="2" t="s">
        <v>36414</v>
      </c>
    </row>
    <row r="3934" spans="1:8" ht="25.05" customHeight="1" x14ac:dyDescent="0.25">
      <c r="A3934" s="2" t="s">
        <v>8</v>
      </c>
      <c r="B3934" s="2" t="str">
        <f>HYPERLINK("http://ts.21cn.com/tousu/show/id/1334674","信而富虚拟货物收不到货物、")</f>
        <v>信而富虚拟货物收不到货物、</v>
      </c>
      <c r="C3934" s="2" t="s">
        <v>9</v>
      </c>
      <c r="D3934" s="2" t="s">
        <v>10</v>
      </c>
      <c r="E3934" s="2" t="str">
        <f>HYPERLINK("http://ts.21cn.com/tousu/show/id/1334674","http://ts.21cn.com/tousu/show/id/1334674")</f>
        <v>http://ts.21cn.com/tousu/show/id/1334674</v>
      </c>
      <c r="F3934" s="2" t="s">
        <v>11</v>
      </c>
      <c r="G3934" s="2" t="s">
        <v>36411</v>
      </c>
      <c r="H3934" s="2" t="s">
        <v>36412</v>
      </c>
    </row>
    <row r="3935" spans="1:8" ht="25.05" customHeight="1" x14ac:dyDescent="0.25">
      <c r="A3935" s="2" t="s">
        <v>8</v>
      </c>
      <c r="B3935" s="2" t="str">
        <f>HYPERLINK("http://ts.21cn.com/tousu/show/id/1334675","账目对不上多了1个月的利息钱")</f>
        <v>账目对不上多了1个月的利息钱</v>
      </c>
      <c r="C3935" s="2" t="s">
        <v>34</v>
      </c>
      <c r="D3935" s="2" t="s">
        <v>10</v>
      </c>
      <c r="E3935" s="2" t="str">
        <f>HYPERLINK("http://ts.21cn.com/tousu/show/id/1334675","http://ts.21cn.com/tousu/show/id/1334675")</f>
        <v>http://ts.21cn.com/tousu/show/id/1334675</v>
      </c>
      <c r="F3935" s="2" t="s">
        <v>11</v>
      </c>
      <c r="G3935" s="2" t="s">
        <v>36409</v>
      </c>
      <c r="H3935" s="2" t="s">
        <v>36410</v>
      </c>
    </row>
    <row r="3936" spans="1:8" ht="25.05" customHeight="1" x14ac:dyDescent="0.25">
      <c r="A3936" s="2" t="s">
        <v>8</v>
      </c>
      <c r="B3936" s="2" t="str">
        <f>HYPERLINK("http://ts.21cn.com/tousu/show/id/1334676","本人没借款，然后催收函一直往家里寄")</f>
        <v>本人没借款，然后催收函一直往家里寄</v>
      </c>
      <c r="C3936" s="2" t="s">
        <v>34</v>
      </c>
      <c r="D3936" s="2" t="s">
        <v>10</v>
      </c>
      <c r="E3936" s="2" t="str">
        <f>HYPERLINK("http://ts.21cn.com/tousu/show/id/1334676","http://ts.21cn.com/tousu/show/id/1334676")</f>
        <v>http://ts.21cn.com/tousu/show/id/1334676</v>
      </c>
      <c r="F3936" s="2" t="s">
        <v>11</v>
      </c>
      <c r="G3936" s="2" t="s">
        <v>36407</v>
      </c>
      <c r="H3936" s="2" t="s">
        <v>36408</v>
      </c>
    </row>
    <row r="3937" spans="1:8" ht="25.05" customHeight="1" x14ac:dyDescent="0.25">
      <c r="A3937" s="2" t="s">
        <v>8</v>
      </c>
      <c r="B3937" s="2" t="str">
        <f>HYPERLINK("http://ts.21cn.com/tousu/show/id/1334677","银行卡金额被盗")</f>
        <v>银行卡金额被盗</v>
      </c>
      <c r="C3937" s="2" t="s">
        <v>9</v>
      </c>
      <c r="D3937" s="2" t="s">
        <v>10</v>
      </c>
      <c r="E3937" s="2" t="str">
        <f>HYPERLINK("http://ts.21cn.com/tousu/show/id/1334677","http://ts.21cn.com/tousu/show/id/1334677")</f>
        <v>http://ts.21cn.com/tousu/show/id/1334677</v>
      </c>
      <c r="F3937" s="2" t="s">
        <v>11</v>
      </c>
      <c r="G3937" s="2" t="s">
        <v>36405</v>
      </c>
      <c r="H3937" s="2" t="s">
        <v>36406</v>
      </c>
    </row>
    <row r="3938" spans="1:8" ht="25.05" customHeight="1" x14ac:dyDescent="0.25">
      <c r="A3938" s="2" t="s">
        <v>8</v>
      </c>
      <c r="B3938" s="2" t="str">
        <f>HYPERLINK("http://ts.21cn.com/tousu/show/id/1334678","银行卡保险公司")</f>
        <v>银行卡保险公司</v>
      </c>
      <c r="C3938" s="2" t="s">
        <v>9</v>
      </c>
      <c r="D3938" s="2" t="s">
        <v>10</v>
      </c>
      <c r="E3938" s="2" t="str">
        <f>HYPERLINK("http://ts.21cn.com/tousu/show/id/1334678","http://ts.21cn.com/tousu/show/id/1334678")</f>
        <v>http://ts.21cn.com/tousu/show/id/1334678</v>
      </c>
      <c r="F3938" s="2" t="s">
        <v>11</v>
      </c>
      <c r="G3938" s="2" t="s">
        <v>36403</v>
      </c>
      <c r="H3938" s="2" t="s">
        <v>36404</v>
      </c>
    </row>
    <row r="3939" spans="1:8" ht="25.05" customHeight="1" x14ac:dyDescent="0.25">
      <c r="A3939" s="2" t="s">
        <v>8</v>
      </c>
      <c r="B3939" s="2" t="str">
        <f>HYPERLINK("http://ts.21cn.com/tousu/show/id/1334679","不知情况下被扣费")</f>
        <v>不知情况下被扣费</v>
      </c>
      <c r="C3939" s="2" t="s">
        <v>9</v>
      </c>
      <c r="D3939" s="2" t="s">
        <v>10</v>
      </c>
      <c r="E3939" s="2" t="str">
        <f>HYPERLINK("http://ts.21cn.com/tousu/show/id/1334679","http://ts.21cn.com/tousu/show/id/1334679")</f>
        <v>http://ts.21cn.com/tousu/show/id/1334679</v>
      </c>
      <c r="F3939" s="2" t="s">
        <v>11</v>
      </c>
      <c r="G3939" s="2" t="s">
        <v>36401</v>
      </c>
      <c r="H3939" s="2" t="s">
        <v>36402</v>
      </c>
    </row>
    <row r="3940" spans="1:8" ht="25.05" customHeight="1" x14ac:dyDescent="0.25">
      <c r="A3940" s="2" t="s">
        <v>8</v>
      </c>
      <c r="B3940" s="2" t="str">
        <f>HYPERLINK("http://ts.21cn.com/tousu/show/id/1334681","违约金高利贷")</f>
        <v>违约金高利贷</v>
      </c>
      <c r="C3940" s="2" t="s">
        <v>9</v>
      </c>
      <c r="D3940" s="2" t="s">
        <v>10</v>
      </c>
      <c r="E3940" s="2" t="str">
        <f>HYPERLINK("http://ts.21cn.com/tousu/show/id/1334681","http://ts.21cn.com/tousu/show/id/1334681")</f>
        <v>http://ts.21cn.com/tousu/show/id/1334681</v>
      </c>
      <c r="F3940" s="2" t="s">
        <v>11</v>
      </c>
      <c r="G3940" s="2" t="s">
        <v>36399</v>
      </c>
      <c r="H3940" s="2" t="s">
        <v>36400</v>
      </c>
    </row>
    <row r="3941" spans="1:8" ht="25.05" customHeight="1" x14ac:dyDescent="0.25">
      <c r="A3941" s="2" t="s">
        <v>8</v>
      </c>
      <c r="B3941" s="2" t="str">
        <f>HYPERLINK("http://ts.21cn.com/tousu/show/id/1334682","浦发信用卡协商还款")</f>
        <v>浦发信用卡协商还款</v>
      </c>
      <c r="C3941" s="2" t="s">
        <v>9</v>
      </c>
      <c r="D3941" s="2" t="s">
        <v>10</v>
      </c>
      <c r="E3941" s="2" t="str">
        <f>HYPERLINK("http://ts.21cn.com/tousu/show/id/1334682","http://ts.21cn.com/tousu/show/id/1334682")</f>
        <v>http://ts.21cn.com/tousu/show/id/1334682</v>
      </c>
      <c r="F3941" s="2" t="s">
        <v>11</v>
      </c>
      <c r="G3941" s="2" t="s">
        <v>36397</v>
      </c>
      <c r="H3941" s="2" t="s">
        <v>36398</v>
      </c>
    </row>
    <row r="3942" spans="1:8" ht="25.05" customHeight="1" x14ac:dyDescent="0.25">
      <c r="A3942" s="2" t="s">
        <v>8</v>
      </c>
      <c r="B3942" s="2" t="str">
        <f>HYPERLINK("http://ts.21cn.com/tousu/show/id/1334683","新橙优品代扣失败导致逾期，并且官方失联")</f>
        <v>新橙优品代扣失败导致逾期，并且官方失联</v>
      </c>
      <c r="C3942" s="2" t="s">
        <v>9</v>
      </c>
      <c r="D3942" s="2" t="s">
        <v>10</v>
      </c>
      <c r="E3942" s="2" t="str">
        <f>HYPERLINK("http://ts.21cn.com/tousu/show/id/1334683","http://ts.21cn.com/tousu/show/id/1334683")</f>
        <v>http://ts.21cn.com/tousu/show/id/1334683</v>
      </c>
      <c r="F3942" s="2" t="s">
        <v>11</v>
      </c>
      <c r="G3942" s="2" t="s">
        <v>36395</v>
      </c>
      <c r="H3942" s="2" t="s">
        <v>36396</v>
      </c>
    </row>
    <row r="3943" spans="1:8" ht="25.05" customHeight="1" x14ac:dyDescent="0.25">
      <c r="A3943" s="2" t="s">
        <v>8</v>
      </c>
      <c r="B3943" s="2" t="str">
        <f>HYPERLINK("http://ts.21cn.com/tousu/show/id/1334684","投诉广发银行信用卡行")</f>
        <v>投诉广发银行信用卡行</v>
      </c>
      <c r="C3943" s="2" t="s">
        <v>9</v>
      </c>
      <c r="D3943" s="2" t="s">
        <v>10</v>
      </c>
      <c r="E3943" s="2" t="str">
        <f>HYPERLINK("http://ts.21cn.com/tousu/show/id/1334684","http://ts.21cn.com/tousu/show/id/1334684")</f>
        <v>http://ts.21cn.com/tousu/show/id/1334684</v>
      </c>
      <c r="F3943" s="2" t="s">
        <v>11</v>
      </c>
      <c r="G3943" s="2" t="s">
        <v>36393</v>
      </c>
      <c r="H3943" s="2" t="s">
        <v>36394</v>
      </c>
    </row>
    <row r="3944" spans="1:8" ht="25.05" customHeight="1" x14ac:dyDescent="0.25">
      <c r="A3944" s="2" t="s">
        <v>8</v>
      </c>
      <c r="B3944" s="2" t="str">
        <f>HYPERLINK("http://ts.21cn.com/tousu/show/id/1334685","投诉维信卡卡贷")</f>
        <v>投诉维信卡卡贷</v>
      </c>
      <c r="C3944" s="2" t="s">
        <v>34</v>
      </c>
      <c r="D3944" s="2" t="s">
        <v>10</v>
      </c>
      <c r="E3944" s="2" t="str">
        <f>HYPERLINK("http://ts.21cn.com/tousu/show/id/1334685","http://ts.21cn.com/tousu/show/id/1334685")</f>
        <v>http://ts.21cn.com/tousu/show/id/1334685</v>
      </c>
      <c r="F3944" s="2" t="s">
        <v>11</v>
      </c>
      <c r="G3944" s="2" t="s">
        <v>36391</v>
      </c>
      <c r="H3944" s="2" t="s">
        <v>36392</v>
      </c>
    </row>
    <row r="3945" spans="1:8" ht="25.05" customHeight="1" x14ac:dyDescent="0.25">
      <c r="A3945" s="2" t="s">
        <v>8</v>
      </c>
      <c r="B3945" s="2" t="str">
        <f>HYPERLINK("http://ts.21cn.com/tousu/show/id/1334687","亚博体育注销我的账号")</f>
        <v>亚博体育注销我的账号</v>
      </c>
      <c r="C3945" s="2" t="s">
        <v>9</v>
      </c>
      <c r="D3945" s="2" t="s">
        <v>10</v>
      </c>
      <c r="E3945" s="2" t="str">
        <f>HYPERLINK("http://ts.21cn.com/tousu/show/id/1334687","http://ts.21cn.com/tousu/show/id/1334687")</f>
        <v>http://ts.21cn.com/tousu/show/id/1334687</v>
      </c>
      <c r="F3945" s="2" t="s">
        <v>11</v>
      </c>
      <c r="G3945" s="2" t="s">
        <v>36389</v>
      </c>
      <c r="H3945" s="2" t="s">
        <v>36390</v>
      </c>
    </row>
    <row r="3946" spans="1:8" ht="25.05" customHeight="1" x14ac:dyDescent="0.25">
      <c r="A3946" s="2" t="s">
        <v>8</v>
      </c>
      <c r="B3946" s="2" t="str">
        <f>HYPERLINK("http://ts.21cn.com/tousu/show/id/1334686","擅自扣款要求退款")</f>
        <v>擅自扣款要求退款</v>
      </c>
      <c r="C3946" s="2" t="s">
        <v>9</v>
      </c>
      <c r="D3946" s="2" t="s">
        <v>10</v>
      </c>
      <c r="E3946" s="2" t="str">
        <f>HYPERLINK("http://ts.21cn.com/tousu/show/id/1334686","http://ts.21cn.com/tousu/show/id/1334686")</f>
        <v>http://ts.21cn.com/tousu/show/id/1334686</v>
      </c>
      <c r="F3946" s="2" t="s">
        <v>11</v>
      </c>
      <c r="G3946" s="2" t="s">
        <v>36387</v>
      </c>
      <c r="H3946" s="2" t="s">
        <v>36388</v>
      </c>
    </row>
    <row r="3947" spans="1:8" ht="25.05" customHeight="1" x14ac:dyDescent="0.25">
      <c r="A3947" s="2" t="s">
        <v>8</v>
      </c>
      <c r="B3947" s="2" t="str">
        <f>HYPERLINK("http://ts.21cn.com/tousu/show/id/1334689","滴滴公司网约车驾驶员证件")</f>
        <v>滴滴公司网约车驾驶员证件</v>
      </c>
      <c r="C3947" s="2" t="s">
        <v>34</v>
      </c>
      <c r="D3947" s="2" t="s">
        <v>10</v>
      </c>
      <c r="E3947" s="2" t="str">
        <f>HYPERLINK("http://ts.21cn.com/tousu/show/id/1334689","http://ts.21cn.com/tousu/show/id/1334689")</f>
        <v>http://ts.21cn.com/tousu/show/id/1334689</v>
      </c>
      <c r="F3947" s="2" t="s">
        <v>11</v>
      </c>
      <c r="G3947" s="2" t="s">
        <v>36385</v>
      </c>
      <c r="H3947" s="2" t="s">
        <v>36386</v>
      </c>
    </row>
    <row r="3948" spans="1:8" ht="25.05" customHeight="1" x14ac:dyDescent="0.25">
      <c r="A3948" s="2" t="s">
        <v>8</v>
      </c>
      <c r="B3948" s="2" t="str">
        <f>HYPERLINK("http://ts.21cn.com/tousu/show/id/1334688","做出赔偿要求调整利息")</f>
        <v>做出赔偿要求调整利息</v>
      </c>
      <c r="C3948" s="2" t="s">
        <v>34</v>
      </c>
      <c r="D3948" s="2" t="s">
        <v>10</v>
      </c>
      <c r="E3948" s="2" t="str">
        <f>HYPERLINK("http://ts.21cn.com/tousu/show/id/1334688","http://ts.21cn.com/tousu/show/id/1334688")</f>
        <v>http://ts.21cn.com/tousu/show/id/1334688</v>
      </c>
      <c r="F3948" s="2" t="s">
        <v>11</v>
      </c>
      <c r="G3948" s="2" t="s">
        <v>36383</v>
      </c>
      <c r="H3948" s="2" t="s">
        <v>36384</v>
      </c>
    </row>
    <row r="3949" spans="1:8" ht="25.05" customHeight="1" x14ac:dyDescent="0.25">
      <c r="A3949" s="2" t="s">
        <v>8</v>
      </c>
      <c r="B3949" s="2" t="str">
        <f>HYPERLINK("http://ts.21cn.com/tousu/show/id/1334690","OPPOR9SPLUS大规模无限重启变砖")</f>
        <v>OPPOR9SPLUS大规模无限重启变砖</v>
      </c>
      <c r="C3949" s="2" t="s">
        <v>34</v>
      </c>
      <c r="D3949" s="2" t="s">
        <v>10</v>
      </c>
      <c r="E3949" s="2" t="str">
        <f>HYPERLINK("http://ts.21cn.com/tousu/show/id/1334690","http://ts.21cn.com/tousu/show/id/1334690")</f>
        <v>http://ts.21cn.com/tousu/show/id/1334690</v>
      </c>
      <c r="F3949" s="2" t="s">
        <v>11</v>
      </c>
      <c r="G3949" s="2" t="s">
        <v>36381</v>
      </c>
      <c r="H3949" s="2" t="s">
        <v>36382</v>
      </c>
    </row>
    <row r="3950" spans="1:8" ht="25.05" customHeight="1" x14ac:dyDescent="0.25">
      <c r="A3950" s="2" t="s">
        <v>8</v>
      </c>
      <c r="B3950" s="2" t="str">
        <f>HYPERLINK("http://ts.21cn.com/tousu/show/id/1334680","火影帮砍头息套路贷拒绝协商")</f>
        <v>火影帮砍头息套路贷拒绝协商</v>
      </c>
      <c r="C3950" s="2" t="s">
        <v>9</v>
      </c>
      <c r="D3950" s="2" t="s">
        <v>10</v>
      </c>
      <c r="E3950" s="2" t="str">
        <f>HYPERLINK("http://ts.21cn.com/tousu/show/id/1334680","http://ts.21cn.com/tousu/show/id/1334680")</f>
        <v>http://ts.21cn.com/tousu/show/id/1334680</v>
      </c>
      <c r="F3950" s="2" t="s">
        <v>11</v>
      </c>
      <c r="G3950" s="2" t="s">
        <v>36379</v>
      </c>
      <c r="H3950" s="2" t="s">
        <v>36380</v>
      </c>
    </row>
    <row r="3951" spans="1:8" ht="25.05" customHeight="1" x14ac:dyDescent="0.25">
      <c r="A3951" s="2" t="s">
        <v>8</v>
      </c>
      <c r="B3951" s="2" t="str">
        <f>HYPERLINK("http://ts.21cn.com/tousu/show/id/1334691","松紧贷乱发信息")</f>
        <v>松紧贷乱发信息</v>
      </c>
      <c r="C3951" s="2" t="s">
        <v>9</v>
      </c>
      <c r="D3951" s="2" t="s">
        <v>10</v>
      </c>
      <c r="E3951" s="2" t="str">
        <f>HYPERLINK("http://ts.21cn.com/tousu/show/id/1334691","http://ts.21cn.com/tousu/show/id/1334691")</f>
        <v>http://ts.21cn.com/tousu/show/id/1334691</v>
      </c>
      <c r="F3951" s="2" t="s">
        <v>11</v>
      </c>
      <c r="G3951" s="2" t="s">
        <v>36377</v>
      </c>
      <c r="H3951" s="2" t="s">
        <v>36378</v>
      </c>
    </row>
    <row r="3952" spans="1:8" ht="25.05" customHeight="1" x14ac:dyDescent="0.25">
      <c r="A3952" s="2" t="s">
        <v>8</v>
      </c>
      <c r="B3952" s="2" t="str">
        <f>HYPERLINK("http://ts.21cn.com/tousu/show/id/1334692","贷款软件莫名其妙扣钱")</f>
        <v>贷款软件莫名其妙扣钱</v>
      </c>
      <c r="C3952" s="2" t="s">
        <v>9</v>
      </c>
      <c r="D3952" s="2" t="s">
        <v>10</v>
      </c>
      <c r="E3952" s="2" t="str">
        <f>HYPERLINK("http://ts.21cn.com/tousu/show/id/1334692","http://ts.21cn.com/tousu/show/id/1334692")</f>
        <v>http://ts.21cn.com/tousu/show/id/1334692</v>
      </c>
      <c r="F3952" s="2" t="s">
        <v>11</v>
      </c>
      <c r="G3952" s="2" t="s">
        <v>36375</v>
      </c>
      <c r="H3952" s="2" t="s">
        <v>36376</v>
      </c>
    </row>
    <row r="3953" spans="1:8" ht="25.05" customHeight="1" x14ac:dyDescent="0.25">
      <c r="A3953" s="2" t="s">
        <v>8</v>
      </c>
      <c r="B3953" s="2" t="str">
        <f>HYPERLINK("http://ts.21cn.com/tousu/show/id/1334693","招联金融催收威胁人身安全")</f>
        <v>招联金融催收威胁人身安全</v>
      </c>
      <c r="C3953" s="2" t="s">
        <v>9</v>
      </c>
      <c r="D3953" s="2" t="s">
        <v>10</v>
      </c>
      <c r="E3953" s="2" t="str">
        <f>HYPERLINK("http://ts.21cn.com/tousu/show/id/1334693","http://ts.21cn.com/tousu/show/id/1334693")</f>
        <v>http://ts.21cn.com/tousu/show/id/1334693</v>
      </c>
      <c r="F3953" s="2" t="s">
        <v>11</v>
      </c>
      <c r="G3953" s="2" t="s">
        <v>36373</v>
      </c>
      <c r="H3953" s="2" t="s">
        <v>36374</v>
      </c>
    </row>
    <row r="3954" spans="1:8" ht="25.05" customHeight="1" x14ac:dyDescent="0.25">
      <c r="A3954" s="2" t="s">
        <v>8</v>
      </c>
      <c r="B3954" s="2" t="str">
        <f>HYPERLINK("http://ts.21cn.com/tousu/show/id/1334696","现控达人非法套路贷")</f>
        <v>现控达人非法套路贷</v>
      </c>
      <c r="C3954" s="2" t="s">
        <v>9</v>
      </c>
      <c r="D3954" s="2" t="s">
        <v>10</v>
      </c>
      <c r="E3954" s="2" t="str">
        <f>HYPERLINK("http://ts.21cn.com/tousu/show/id/1334696","http://ts.21cn.com/tousu/show/id/1334696")</f>
        <v>http://ts.21cn.com/tousu/show/id/1334696</v>
      </c>
      <c r="F3954" s="2" t="s">
        <v>11</v>
      </c>
      <c r="G3954" s="2" t="s">
        <v>36371</v>
      </c>
      <c r="H3954" s="2" t="s">
        <v>36372</v>
      </c>
    </row>
    <row r="3955" spans="1:8" ht="25.05" customHeight="1" x14ac:dyDescent="0.25">
      <c r="A3955" s="2" t="s">
        <v>8</v>
      </c>
      <c r="B3955" s="2" t="str">
        <f>HYPERLINK("http://ts.21cn.com/tousu/show/id/1334694","优信优卡失联，请北京银联商务退套餐")</f>
        <v>优信优卡失联，请北京银联商务退套餐</v>
      </c>
      <c r="C3955" s="2" t="s">
        <v>9</v>
      </c>
      <c r="D3955" s="2" t="s">
        <v>10</v>
      </c>
      <c r="E3955" s="2" t="str">
        <f>HYPERLINK("http://ts.21cn.com/tousu/show/id/1334694","http://ts.21cn.com/tousu/show/id/1334694")</f>
        <v>http://ts.21cn.com/tousu/show/id/1334694</v>
      </c>
      <c r="F3955" s="2" t="s">
        <v>11</v>
      </c>
      <c r="G3955" s="2" t="s">
        <v>36369</v>
      </c>
      <c r="H3955" s="2" t="s">
        <v>36370</v>
      </c>
    </row>
    <row r="3956" spans="1:8" ht="25.05" customHeight="1" x14ac:dyDescent="0.25">
      <c r="A3956" s="2" t="s">
        <v>8</v>
      </c>
      <c r="B3956" s="2" t="str">
        <f>HYPERLINK("http://ts.21cn.com/tousu/show/id/1334695","投诉飞猪旅游")</f>
        <v>投诉飞猪旅游</v>
      </c>
      <c r="C3956" s="2" t="s">
        <v>9</v>
      </c>
      <c r="D3956" s="2" t="s">
        <v>10</v>
      </c>
      <c r="E3956" s="2" t="str">
        <f>HYPERLINK("http://ts.21cn.com/tousu/show/id/1334695","http://ts.21cn.com/tousu/show/id/1334695")</f>
        <v>http://ts.21cn.com/tousu/show/id/1334695</v>
      </c>
      <c r="F3956" s="2" t="s">
        <v>11</v>
      </c>
      <c r="G3956" s="2" t="s">
        <v>36367</v>
      </c>
      <c r="H3956" s="2" t="s">
        <v>36368</v>
      </c>
    </row>
    <row r="3957" spans="1:8" ht="25.05" customHeight="1" x14ac:dyDescent="0.25">
      <c r="A3957" s="2" t="s">
        <v>8</v>
      </c>
      <c r="B3957" s="2" t="str">
        <f>HYPERLINK("http://ts.21cn.com/tousu/show/id/1334698","转转集体投诉专题")</f>
        <v>转转集体投诉专题</v>
      </c>
      <c r="C3957" s="2" t="s">
        <v>9</v>
      </c>
      <c r="D3957" s="2" t="s">
        <v>10</v>
      </c>
      <c r="E3957" s="2" t="str">
        <f>HYPERLINK("http://ts.21cn.com/tousu/show/id/1334698","http://ts.21cn.com/tousu/show/id/1334698")</f>
        <v>http://ts.21cn.com/tousu/show/id/1334698</v>
      </c>
      <c r="F3957" s="2" t="s">
        <v>11</v>
      </c>
      <c r="G3957" s="2" t="s">
        <v>36365</v>
      </c>
      <c r="H3957" s="2" t="s">
        <v>36366</v>
      </c>
    </row>
    <row r="3958" spans="1:8" ht="25.05" customHeight="1" x14ac:dyDescent="0.25">
      <c r="A3958" s="2" t="s">
        <v>8</v>
      </c>
      <c r="B3958" s="2" t="str">
        <f>HYPERLINK("http://ts.21cn.com/tousu/show/id/1334700","快狗乱扣费")</f>
        <v>快狗乱扣费</v>
      </c>
      <c r="C3958" s="2" t="s">
        <v>9</v>
      </c>
      <c r="D3958" s="2" t="s">
        <v>10</v>
      </c>
      <c r="E3958" s="2" t="str">
        <f>HYPERLINK("http://ts.21cn.com/tousu/show/id/1334700","http://ts.21cn.com/tousu/show/id/1334700")</f>
        <v>http://ts.21cn.com/tousu/show/id/1334700</v>
      </c>
      <c r="F3958" s="2" t="s">
        <v>11</v>
      </c>
      <c r="G3958" s="2" t="s">
        <v>36363</v>
      </c>
      <c r="H3958" s="2" t="s">
        <v>36364</v>
      </c>
    </row>
    <row r="3959" spans="1:8" ht="25.05" customHeight="1" x14ac:dyDescent="0.25">
      <c r="A3959" s="2" t="s">
        <v>8</v>
      </c>
      <c r="B3959" s="2" t="str">
        <f>HYPERLINK("http://ts.21cn.com/tousu/show/id/1334703","小红书账号被封禁")</f>
        <v>小红书账号被封禁</v>
      </c>
      <c r="C3959" s="2" t="s">
        <v>9</v>
      </c>
      <c r="D3959" s="2" t="s">
        <v>10</v>
      </c>
      <c r="E3959" s="2" t="str">
        <f>HYPERLINK("http://ts.21cn.com/tousu/show/id/1334703","http://ts.21cn.com/tousu/show/id/1334703")</f>
        <v>http://ts.21cn.com/tousu/show/id/1334703</v>
      </c>
      <c r="F3959" s="2" t="s">
        <v>11</v>
      </c>
      <c r="G3959" s="2" t="s">
        <v>36361</v>
      </c>
      <c r="H3959" s="2" t="s">
        <v>36362</v>
      </c>
    </row>
    <row r="3960" spans="1:8" ht="25.05" customHeight="1" x14ac:dyDescent="0.25">
      <c r="A3960" s="2" t="s">
        <v>8</v>
      </c>
      <c r="B3960" s="2" t="str">
        <f>HYPERLINK("http://ts.21cn.com/tousu/show/id/1334704","协商减免服务费及利息")</f>
        <v>协商减免服务费及利息</v>
      </c>
      <c r="C3960" s="2" t="s">
        <v>9</v>
      </c>
      <c r="D3960" s="2" t="s">
        <v>10</v>
      </c>
      <c r="E3960" s="2" t="str">
        <f>HYPERLINK("http://ts.21cn.com/tousu/show/id/1334704","http://ts.21cn.com/tousu/show/id/1334704")</f>
        <v>http://ts.21cn.com/tousu/show/id/1334704</v>
      </c>
      <c r="F3960" s="2" t="s">
        <v>11</v>
      </c>
      <c r="G3960" s="2" t="s">
        <v>36359</v>
      </c>
      <c r="H3960" s="2" t="s">
        <v>36360</v>
      </c>
    </row>
    <row r="3961" spans="1:8" ht="25.05" customHeight="1" x14ac:dyDescent="0.25">
      <c r="A3961" s="2" t="s">
        <v>8</v>
      </c>
      <c r="B3961" s="2" t="str">
        <f>HYPERLINK("http://ts.21cn.com/tousu/show/id/1334705","钱站高利贷阴阳合同")</f>
        <v>钱站高利贷阴阳合同</v>
      </c>
      <c r="C3961" s="2" t="s">
        <v>9</v>
      </c>
      <c r="D3961" s="2" t="s">
        <v>10</v>
      </c>
      <c r="E3961" s="2" t="str">
        <f>HYPERLINK("http://ts.21cn.com/tousu/show/id/1334705","http://ts.21cn.com/tousu/show/id/1334705")</f>
        <v>http://ts.21cn.com/tousu/show/id/1334705</v>
      </c>
      <c r="F3961" s="2" t="s">
        <v>11</v>
      </c>
      <c r="G3961" s="2" t="s">
        <v>36357</v>
      </c>
      <c r="H3961" s="2" t="s">
        <v>36358</v>
      </c>
    </row>
    <row r="3962" spans="1:8" ht="25.05" customHeight="1" x14ac:dyDescent="0.25">
      <c r="A3962" s="2" t="s">
        <v>8</v>
      </c>
      <c r="B3962" s="2" t="str">
        <f>HYPERLINK("http://ts.21cn.com/tousu/show/id/1334706","恶意催收")</f>
        <v>恶意催收</v>
      </c>
      <c r="C3962" s="2" t="s">
        <v>9</v>
      </c>
      <c r="D3962" s="2" t="s">
        <v>10</v>
      </c>
      <c r="E3962" s="2" t="str">
        <f>HYPERLINK("http://ts.21cn.com/tousu/show/id/1334706","http://ts.21cn.com/tousu/show/id/1334706")</f>
        <v>http://ts.21cn.com/tousu/show/id/1334706</v>
      </c>
      <c r="F3962" s="2" t="s">
        <v>11</v>
      </c>
      <c r="G3962" s="2" t="s">
        <v>36355</v>
      </c>
      <c r="H3962" s="2" t="s">
        <v>36356</v>
      </c>
    </row>
    <row r="3963" spans="1:8" ht="25.05" customHeight="1" x14ac:dyDescent="0.25">
      <c r="A3963" s="2" t="s">
        <v>8</v>
      </c>
      <c r="B3963" s="2" t="str">
        <f>HYPERLINK("http://ts.21cn.com/tousu/show/id/1334707","点点，胡乱收费")</f>
        <v>点点，胡乱收费</v>
      </c>
      <c r="C3963" s="2" t="s">
        <v>9</v>
      </c>
      <c r="D3963" s="2" t="s">
        <v>10</v>
      </c>
      <c r="E3963" s="2" t="str">
        <f>HYPERLINK("http://ts.21cn.com/tousu/show/id/1334707","http://ts.21cn.com/tousu/show/id/1334707")</f>
        <v>http://ts.21cn.com/tousu/show/id/1334707</v>
      </c>
      <c r="F3963" s="2" t="s">
        <v>11</v>
      </c>
      <c r="G3963" s="2" t="s">
        <v>36353</v>
      </c>
      <c r="H3963" s="2" t="s">
        <v>36354</v>
      </c>
    </row>
    <row r="3964" spans="1:8" ht="25.05" customHeight="1" x14ac:dyDescent="0.25">
      <c r="A3964" s="2" t="s">
        <v>8</v>
      </c>
      <c r="B3964" s="2" t="str">
        <f>HYPERLINK("http://ts.21cn.com/tousu/show/id/1334708","带上钱暴力催收骚扰所有通话记录")</f>
        <v>带上钱暴力催收骚扰所有通话记录</v>
      </c>
      <c r="C3964" s="2" t="s">
        <v>9</v>
      </c>
      <c r="D3964" s="2" t="s">
        <v>10</v>
      </c>
      <c r="E3964" s="2" t="str">
        <f>HYPERLINK("http://ts.21cn.com/tousu/show/id/1334708","http://ts.21cn.com/tousu/show/id/1334708")</f>
        <v>http://ts.21cn.com/tousu/show/id/1334708</v>
      </c>
      <c r="F3964" s="2" t="s">
        <v>11</v>
      </c>
      <c r="G3964" s="2" t="s">
        <v>36351</v>
      </c>
      <c r="H3964" s="2" t="s">
        <v>36352</v>
      </c>
    </row>
    <row r="3965" spans="1:8" ht="25.05" customHeight="1" x14ac:dyDescent="0.25">
      <c r="A3965" s="2" t="s">
        <v>8</v>
      </c>
      <c r="B3965" s="2" t="str">
        <f>HYPERLINK("http://ts.21cn.com/tousu/show/id/1334709","爱白条高利贷")</f>
        <v>爱白条高利贷</v>
      </c>
      <c r="C3965" s="2" t="s">
        <v>9</v>
      </c>
      <c r="D3965" s="2" t="s">
        <v>10</v>
      </c>
      <c r="E3965" s="2" t="str">
        <f>HYPERLINK("http://ts.21cn.com/tousu/show/id/1334709","http://ts.21cn.com/tousu/show/id/1334709")</f>
        <v>http://ts.21cn.com/tousu/show/id/1334709</v>
      </c>
      <c r="F3965" s="2" t="s">
        <v>11</v>
      </c>
      <c r="G3965" s="2" t="s">
        <v>36349</v>
      </c>
      <c r="H3965" s="2" t="s">
        <v>36350</v>
      </c>
    </row>
    <row r="3966" spans="1:8" ht="25.05" customHeight="1" x14ac:dyDescent="0.25">
      <c r="A3966" s="2" t="s">
        <v>8</v>
      </c>
      <c r="B3966" s="2" t="str">
        <f>HYPERLINK("http://ts.21cn.com/tousu/show/id/1334710","未之情的情况下扣除银行卡里的钱")</f>
        <v>未之情的情况下扣除银行卡里的钱</v>
      </c>
      <c r="C3966" s="2" t="s">
        <v>34</v>
      </c>
      <c r="D3966" s="2" t="s">
        <v>10</v>
      </c>
      <c r="E3966" s="2" t="str">
        <f>HYPERLINK("http://ts.21cn.com/tousu/show/id/1334710","http://ts.21cn.com/tousu/show/id/1334710")</f>
        <v>http://ts.21cn.com/tousu/show/id/1334710</v>
      </c>
      <c r="F3966" s="2" t="s">
        <v>11</v>
      </c>
      <c r="G3966" s="2" t="s">
        <v>36347</v>
      </c>
      <c r="H3966" s="2" t="s">
        <v>36348</v>
      </c>
    </row>
    <row r="3967" spans="1:8" ht="25.05" customHeight="1" x14ac:dyDescent="0.25">
      <c r="A3967" s="2" t="s">
        <v>8</v>
      </c>
      <c r="B3967" s="2" t="str">
        <f>HYPERLINK("http://ts.21cn.com/tousu/show/id/1334711","珍爱网诱导消费者，签订霸王合同")</f>
        <v>珍爱网诱导消费者，签订霸王合同</v>
      </c>
      <c r="C3967" s="2" t="s">
        <v>9</v>
      </c>
      <c r="D3967" s="2" t="s">
        <v>10</v>
      </c>
      <c r="E3967" s="2" t="str">
        <f>HYPERLINK("http://ts.21cn.com/tousu/show/id/1334711","http://ts.21cn.com/tousu/show/id/1334711")</f>
        <v>http://ts.21cn.com/tousu/show/id/1334711</v>
      </c>
      <c r="F3967" s="2" t="s">
        <v>11</v>
      </c>
      <c r="G3967" s="2" t="s">
        <v>36345</v>
      </c>
      <c r="H3967" s="2" t="s">
        <v>36346</v>
      </c>
    </row>
    <row r="3968" spans="1:8" ht="25.05" customHeight="1" x14ac:dyDescent="0.25">
      <c r="A3968" s="2" t="s">
        <v>8</v>
      </c>
      <c r="B3968" s="2" t="str">
        <f>HYPERLINK("http://ts.21cn.com/tousu/show/id/1334712","垃圾软件砍头息")</f>
        <v>垃圾软件砍头息</v>
      </c>
      <c r="C3968" s="2" t="s">
        <v>9</v>
      </c>
      <c r="D3968" s="2" t="s">
        <v>10</v>
      </c>
      <c r="E3968" s="2" t="str">
        <f>HYPERLINK("http://ts.21cn.com/tousu/show/id/1334712","http://ts.21cn.com/tousu/show/id/1334712")</f>
        <v>http://ts.21cn.com/tousu/show/id/1334712</v>
      </c>
      <c r="F3968" s="2" t="s">
        <v>11</v>
      </c>
      <c r="G3968" s="2" t="s">
        <v>36343</v>
      </c>
      <c r="H3968" s="2" t="s">
        <v>36344</v>
      </c>
    </row>
    <row r="3969" spans="1:8" ht="25.05" customHeight="1" x14ac:dyDescent="0.25">
      <c r="A3969" s="2" t="s">
        <v>8</v>
      </c>
      <c r="B3969" s="2" t="str">
        <f>HYPERLINK("http://ts.21cn.com/tousu/show/id/1334713","宜人贷收取高额前期服务费（贷款10W，服务费近2W）及利息")</f>
        <v>宜人贷收取高额前期服务费（贷款10W，服务费近2W）及利息</v>
      </c>
      <c r="C3969" s="2" t="s">
        <v>9</v>
      </c>
      <c r="D3969" s="2" t="s">
        <v>10</v>
      </c>
      <c r="E3969" s="2" t="str">
        <f>HYPERLINK("http://ts.21cn.com/tousu/show/id/1334713","http://ts.21cn.com/tousu/show/id/1334713")</f>
        <v>http://ts.21cn.com/tousu/show/id/1334713</v>
      </c>
      <c r="F3969" s="2" t="s">
        <v>11</v>
      </c>
      <c r="G3969" s="2" t="s">
        <v>36341</v>
      </c>
      <c r="H3969" s="2" t="s">
        <v>36342</v>
      </c>
    </row>
    <row r="3970" spans="1:8" ht="25.05" customHeight="1" x14ac:dyDescent="0.25">
      <c r="A3970" s="2" t="s">
        <v>8</v>
      </c>
      <c r="B3970" s="2" t="str">
        <f>HYPERLINK("http://ts.21cn.com/tousu/show/id/1334715","联动优势辽宁上海分公司恶意扣费")</f>
        <v>联动优势辽宁上海分公司恶意扣费</v>
      </c>
      <c r="C3970" s="2" t="s">
        <v>9</v>
      </c>
      <c r="D3970" s="2" t="s">
        <v>10</v>
      </c>
      <c r="E3970" s="2" t="str">
        <f>HYPERLINK("http://ts.21cn.com/tousu/show/id/1334715","http://ts.21cn.com/tousu/show/id/1334715")</f>
        <v>http://ts.21cn.com/tousu/show/id/1334715</v>
      </c>
      <c r="F3970" s="2" t="s">
        <v>11</v>
      </c>
      <c r="G3970" s="2" t="s">
        <v>36339</v>
      </c>
      <c r="H3970" s="2" t="s">
        <v>36340</v>
      </c>
    </row>
    <row r="3971" spans="1:8" ht="25.05" customHeight="1" x14ac:dyDescent="0.25">
      <c r="A3971" s="2" t="s">
        <v>8</v>
      </c>
      <c r="B3971" s="2" t="str">
        <f>HYPERLINK("http://ts.21cn.com/tousu/show/id/1334716","乱扣费")</f>
        <v>乱扣费</v>
      </c>
      <c r="C3971" s="2" t="s">
        <v>9</v>
      </c>
      <c r="D3971" s="2" t="s">
        <v>10</v>
      </c>
      <c r="E3971" s="2" t="str">
        <f>HYPERLINK("http://ts.21cn.com/tousu/show/id/1334716","http://ts.21cn.com/tousu/show/id/1334716")</f>
        <v>http://ts.21cn.com/tousu/show/id/1334716</v>
      </c>
      <c r="F3971" s="2" t="s">
        <v>11</v>
      </c>
      <c r="G3971" s="2" t="s">
        <v>36337</v>
      </c>
      <c r="H3971" s="2" t="s">
        <v>36338</v>
      </c>
    </row>
    <row r="3972" spans="1:8" ht="25.05" customHeight="1" x14ac:dyDescent="0.25">
      <c r="A3972" s="2" t="s">
        <v>8</v>
      </c>
      <c r="B3972" s="2" t="str">
        <f>HYPERLINK("http://ts.21cn.com/tousu/show/id/1334717","自由魔卡六便士砍头息高利息网贷")</f>
        <v>自由魔卡六便士砍头息高利息网贷</v>
      </c>
      <c r="C3972" s="2" t="s">
        <v>9</v>
      </c>
      <c r="D3972" s="2" t="s">
        <v>10</v>
      </c>
      <c r="E3972" s="2" t="str">
        <f>HYPERLINK("http://ts.21cn.com/tousu/show/id/1334717","http://ts.21cn.com/tousu/show/id/1334717")</f>
        <v>http://ts.21cn.com/tousu/show/id/1334717</v>
      </c>
      <c r="F3972" s="2" t="s">
        <v>11</v>
      </c>
      <c r="G3972" s="2" t="s">
        <v>36335</v>
      </c>
      <c r="H3972" s="2" t="s">
        <v>36336</v>
      </c>
    </row>
    <row r="3973" spans="1:8" ht="25.05" customHeight="1" x14ac:dyDescent="0.25">
      <c r="A3973" s="2" t="s">
        <v>8</v>
      </c>
      <c r="B3973" s="2" t="str">
        <f>HYPERLINK("http://ts.21cn.com/tousu/show/id/1334714","月光侠分期/月光侠计划高利贷欺诈用户资料")</f>
        <v>月光侠分期/月光侠计划高利贷欺诈用户资料</v>
      </c>
      <c r="C3973" s="2" t="s">
        <v>9</v>
      </c>
      <c r="D3973" s="2" t="s">
        <v>10</v>
      </c>
      <c r="E3973" s="2" t="str">
        <f>HYPERLINK("http://ts.21cn.com/tousu/show/id/1334714","http://ts.21cn.com/tousu/show/id/1334714")</f>
        <v>http://ts.21cn.com/tousu/show/id/1334714</v>
      </c>
      <c r="F3973" s="2" t="s">
        <v>11</v>
      </c>
      <c r="G3973" s="2" t="s">
        <v>36333</v>
      </c>
      <c r="H3973" s="2" t="s">
        <v>36334</v>
      </c>
    </row>
    <row r="3974" spans="1:8" ht="25.05" customHeight="1" x14ac:dyDescent="0.25">
      <c r="A3974" s="2" t="s">
        <v>8</v>
      </c>
      <c r="B3974" s="2" t="str">
        <f>HYPERLINK("http://ts.21cn.com/tousu/show/id/1334718","强买强卖")</f>
        <v>强买强卖</v>
      </c>
      <c r="C3974" s="2" t="s">
        <v>9</v>
      </c>
      <c r="D3974" s="2" t="s">
        <v>10</v>
      </c>
      <c r="E3974" s="2" t="str">
        <f>HYPERLINK("http://ts.21cn.com/tousu/show/id/1334718","http://ts.21cn.com/tousu/show/id/1334718")</f>
        <v>http://ts.21cn.com/tousu/show/id/1334718</v>
      </c>
      <c r="F3974" s="2" t="s">
        <v>11</v>
      </c>
      <c r="G3974" s="2" t="s">
        <v>36331</v>
      </c>
      <c r="H3974" s="2" t="s">
        <v>36332</v>
      </c>
    </row>
    <row r="3975" spans="1:8" ht="25.05" customHeight="1" x14ac:dyDescent="0.25">
      <c r="A3975" s="2" t="s">
        <v>8</v>
      </c>
      <c r="B3975" s="2" t="str">
        <f>HYPERLINK("http://ts.21cn.com/tousu/show/id/1334719","在闪银至尊借款借了2600，还了5期了，连本带息其实已经够了，最后一期请协商减免销账。")</f>
        <v>在闪银至尊借款借了2600，还了5期了，连本带息其实已经够了，最后一期请协商减免销账。</v>
      </c>
      <c r="C3975" s="2" t="s">
        <v>34</v>
      </c>
      <c r="D3975" s="2" t="s">
        <v>10</v>
      </c>
      <c r="E3975" s="2" t="str">
        <f>HYPERLINK("http://ts.21cn.com/tousu/show/id/1334719","http://ts.21cn.com/tousu/show/id/1334719")</f>
        <v>http://ts.21cn.com/tousu/show/id/1334719</v>
      </c>
      <c r="F3975" s="2" t="s">
        <v>11</v>
      </c>
      <c r="G3975" s="2" t="s">
        <v>36330</v>
      </c>
      <c r="H3975" s="2" t="s">
        <v>36329</v>
      </c>
    </row>
    <row r="3976" spans="1:8" ht="25.05" customHeight="1" x14ac:dyDescent="0.25">
      <c r="A3976" s="2" t="s">
        <v>8</v>
      </c>
      <c r="B3976" s="2" t="str">
        <f>HYPERLINK("http://ts.21cn.com/tousu/show/id/1334720","有问题和客服无法沟通")</f>
        <v>有问题和客服无法沟通</v>
      </c>
      <c r="C3976" s="2" t="s">
        <v>34</v>
      </c>
      <c r="D3976" s="2" t="s">
        <v>10</v>
      </c>
      <c r="E3976" s="2" t="str">
        <f>HYPERLINK("http://ts.21cn.com/tousu/show/id/1334720","http://ts.21cn.com/tousu/show/id/1334720")</f>
        <v>http://ts.21cn.com/tousu/show/id/1334720</v>
      </c>
      <c r="F3976" s="2" t="s">
        <v>11</v>
      </c>
      <c r="G3976" s="2" t="s">
        <v>36327</v>
      </c>
      <c r="H3976" s="2" t="s">
        <v>36328</v>
      </c>
    </row>
    <row r="3977" spans="1:8" ht="25.05" customHeight="1" x14ac:dyDescent="0.25">
      <c r="A3977" s="2" t="s">
        <v>8</v>
      </c>
      <c r="B3977" s="2" t="str">
        <f>HYPERLINK("http://ts.21cn.com/tousu/show/id/1334721","恶意违约，收高额利息")</f>
        <v>恶意违约，收高额利息</v>
      </c>
      <c r="C3977" s="2" t="s">
        <v>9</v>
      </c>
      <c r="D3977" s="2" t="s">
        <v>10</v>
      </c>
      <c r="E3977" s="2" t="str">
        <f>HYPERLINK("http://ts.21cn.com/tousu/show/id/1334721","http://ts.21cn.com/tousu/show/id/1334721")</f>
        <v>http://ts.21cn.com/tousu/show/id/1334721</v>
      </c>
      <c r="F3977" s="2" t="s">
        <v>11</v>
      </c>
      <c r="G3977" s="2" t="s">
        <v>36325</v>
      </c>
      <c r="H3977" s="2" t="s">
        <v>36326</v>
      </c>
    </row>
    <row r="3978" spans="1:8" ht="25.05" customHeight="1" x14ac:dyDescent="0.25">
      <c r="A3978" s="2" t="s">
        <v>8</v>
      </c>
      <c r="B3978" s="2" t="str">
        <f>HYPERLINK("http://ts.21cn.com/tousu/show/id/1334722","小浦优客未经同意扣款")</f>
        <v>小浦优客未经同意扣款</v>
      </c>
      <c r="C3978" s="2" t="s">
        <v>9</v>
      </c>
      <c r="D3978" s="2" t="s">
        <v>10</v>
      </c>
      <c r="E3978" s="2" t="str">
        <f>HYPERLINK("http://ts.21cn.com/tousu/show/id/1334722","http://ts.21cn.com/tousu/show/id/1334722")</f>
        <v>http://ts.21cn.com/tousu/show/id/1334722</v>
      </c>
      <c r="F3978" s="2" t="s">
        <v>11</v>
      </c>
      <c r="G3978" s="2" t="s">
        <v>36323</v>
      </c>
      <c r="H3978" s="2" t="s">
        <v>36324</v>
      </c>
    </row>
    <row r="3979" spans="1:8" ht="25.05" customHeight="1" x14ac:dyDescent="0.25">
      <c r="A3979" s="2" t="s">
        <v>8</v>
      </c>
      <c r="B3979" s="2" t="str">
        <f>HYPERLINK("http://ts.21cn.com/tousu/show/id/1334723","骚扰加电话轰炸")</f>
        <v>骚扰加电话轰炸</v>
      </c>
      <c r="C3979" s="2" t="s">
        <v>34</v>
      </c>
      <c r="D3979" s="2" t="s">
        <v>10</v>
      </c>
      <c r="E3979" s="2" t="str">
        <f>HYPERLINK("http://ts.21cn.com/tousu/show/id/1334723","http://ts.21cn.com/tousu/show/id/1334723")</f>
        <v>http://ts.21cn.com/tousu/show/id/1334723</v>
      </c>
      <c r="F3979" s="2" t="s">
        <v>11</v>
      </c>
      <c r="G3979" s="2" t="s">
        <v>36321</v>
      </c>
      <c r="H3979" s="2" t="s">
        <v>36322</v>
      </c>
    </row>
    <row r="3980" spans="1:8" ht="25.05" customHeight="1" x14ac:dyDescent="0.25">
      <c r="A3980" s="2" t="s">
        <v>8</v>
      </c>
      <c r="B3980" s="2" t="str">
        <f>HYPERLINK("http://ts.21cn.com/tousu/show/id/1334699","多宝分期非法高利贷套路贷非常的暴力催收")</f>
        <v>多宝分期非法高利贷套路贷非常的暴力催收</v>
      </c>
      <c r="C3980" s="2" t="s">
        <v>9</v>
      </c>
      <c r="D3980" s="2" t="s">
        <v>10</v>
      </c>
      <c r="E3980" s="2" t="str">
        <f>HYPERLINK("http://ts.21cn.com/tousu/show/id/1334699","http://ts.21cn.com/tousu/show/id/1334699")</f>
        <v>http://ts.21cn.com/tousu/show/id/1334699</v>
      </c>
      <c r="F3980" s="2" t="s">
        <v>11</v>
      </c>
      <c r="G3980" s="2" t="s">
        <v>36319</v>
      </c>
      <c r="H3980" s="2" t="s">
        <v>36320</v>
      </c>
    </row>
    <row r="3981" spans="1:8" ht="25.05" customHeight="1" x14ac:dyDescent="0.25">
      <c r="A3981" s="2" t="s">
        <v>8</v>
      </c>
      <c r="B3981" s="2" t="str">
        <f>HYPERLINK("http://ts.21cn.com/tousu/show/id/1334724","恶意违约")</f>
        <v>恶意违约</v>
      </c>
      <c r="C3981" s="2" t="s">
        <v>9</v>
      </c>
      <c r="D3981" s="2" t="s">
        <v>10</v>
      </c>
      <c r="E3981" s="2" t="str">
        <f>HYPERLINK("http://ts.21cn.com/tousu/show/id/1334724","http://ts.21cn.com/tousu/show/id/1334724")</f>
        <v>http://ts.21cn.com/tousu/show/id/1334724</v>
      </c>
      <c r="F3981" s="2" t="s">
        <v>11</v>
      </c>
      <c r="G3981" s="2" t="s">
        <v>36317</v>
      </c>
      <c r="H3981" s="2" t="s">
        <v>36318</v>
      </c>
    </row>
    <row r="3982" spans="1:8" ht="25.05" customHeight="1" x14ac:dyDescent="0.25">
      <c r="A3982" s="2" t="s">
        <v>8</v>
      </c>
      <c r="B3982" s="2" t="str">
        <f>HYPERLINK("http://ts.21cn.com/tousu/show/id/1334726","不退还租金")</f>
        <v>不退还租金</v>
      </c>
      <c r="C3982" s="2" t="s">
        <v>9</v>
      </c>
      <c r="D3982" s="2" t="s">
        <v>10</v>
      </c>
      <c r="E3982" s="2" t="str">
        <f>HYPERLINK("http://ts.21cn.com/tousu/show/id/1334726","http://ts.21cn.com/tousu/show/id/1334726")</f>
        <v>http://ts.21cn.com/tousu/show/id/1334726</v>
      </c>
      <c r="F3982" s="2" t="s">
        <v>11</v>
      </c>
      <c r="G3982" s="2" t="s">
        <v>36314</v>
      </c>
      <c r="H3982" s="2" t="s">
        <v>36315</v>
      </c>
    </row>
    <row r="3983" spans="1:8" ht="25.05" customHeight="1" x14ac:dyDescent="0.25">
      <c r="A3983" s="2" t="s">
        <v>8</v>
      </c>
      <c r="B3983" s="2" t="str">
        <f>HYPERLINK("http://ts.21cn.com/tousu/show/id/1334727","司机无诚信，滴滴不作为")</f>
        <v>司机无诚信，滴滴不作为</v>
      </c>
      <c r="C3983" s="2" t="s">
        <v>9</v>
      </c>
      <c r="D3983" s="2" t="s">
        <v>10</v>
      </c>
      <c r="E3983" s="2" t="str">
        <f>HYPERLINK("http://ts.21cn.com/tousu/show/id/1334727","http://ts.21cn.com/tousu/show/id/1334727")</f>
        <v>http://ts.21cn.com/tousu/show/id/1334727</v>
      </c>
      <c r="F3983" s="2" t="s">
        <v>11</v>
      </c>
      <c r="G3983" s="2" t="s">
        <v>36314</v>
      </c>
      <c r="H3983" s="2" t="s">
        <v>36316</v>
      </c>
    </row>
    <row r="3984" spans="1:8" ht="25.05" customHeight="1" x14ac:dyDescent="0.25">
      <c r="A3984" s="2" t="s">
        <v>8</v>
      </c>
      <c r="B3984" s="2" t="str">
        <f>HYPERLINK("http://ts.21cn.com/tousu/show/id/1334728","及贷平台第三方智享贷放款未经许可乱扣所谓的学堂会员费欺诈")</f>
        <v>及贷平台第三方智享贷放款未经许可乱扣所谓的学堂会员费欺诈</v>
      </c>
      <c r="C3984" s="2" t="s">
        <v>9</v>
      </c>
      <c r="D3984" s="2" t="s">
        <v>10</v>
      </c>
      <c r="E3984" s="2" t="str">
        <f>HYPERLINK("http://ts.21cn.com/tousu/show/id/1334728","http://ts.21cn.com/tousu/show/id/1334728")</f>
        <v>http://ts.21cn.com/tousu/show/id/1334728</v>
      </c>
      <c r="F3984" s="2" t="s">
        <v>11</v>
      </c>
      <c r="G3984" s="2" t="s">
        <v>36312</v>
      </c>
      <c r="H3984" s="2" t="s">
        <v>36313</v>
      </c>
    </row>
    <row r="3985" spans="1:8" ht="25.05" customHeight="1" x14ac:dyDescent="0.25">
      <c r="A3985" s="2" t="s">
        <v>8</v>
      </c>
      <c r="B3985" s="2" t="str">
        <f>HYPERLINK("http://ts.21cn.com/tousu/show/id/1334730","平台误判，申诉审核人员儿戏对待，要求平台重新审核")</f>
        <v>平台误判，申诉审核人员儿戏对待，要求平台重新审核</v>
      </c>
      <c r="C3985" s="2" t="s">
        <v>9</v>
      </c>
      <c r="D3985" s="2" t="s">
        <v>10</v>
      </c>
      <c r="E3985" s="2" t="str">
        <f>HYPERLINK("http://ts.21cn.com/tousu/show/id/1334730","http://ts.21cn.com/tousu/show/id/1334730")</f>
        <v>http://ts.21cn.com/tousu/show/id/1334730</v>
      </c>
      <c r="F3985" s="2" t="s">
        <v>11</v>
      </c>
      <c r="G3985" s="2" t="s">
        <v>36310</v>
      </c>
      <c r="H3985" s="2" t="s">
        <v>36311</v>
      </c>
    </row>
    <row r="3986" spans="1:8" ht="25.05" customHeight="1" x14ac:dyDescent="0.25">
      <c r="A3986" s="2" t="s">
        <v>8</v>
      </c>
      <c r="B3986" s="2" t="str">
        <f>HYPERLINK("http://ts.21cn.com/tousu/show/id/1334733","要求退款一直让我去找腾讯客服")</f>
        <v>要求退款一直让我去找腾讯客服</v>
      </c>
      <c r="C3986" s="2" t="s">
        <v>9</v>
      </c>
      <c r="D3986" s="2" t="s">
        <v>10</v>
      </c>
      <c r="E3986" s="2" t="str">
        <f>HYPERLINK("http://ts.21cn.com/tousu/show/id/1334733","http://ts.21cn.com/tousu/show/id/1334733")</f>
        <v>http://ts.21cn.com/tousu/show/id/1334733</v>
      </c>
      <c r="F3986" s="2" t="s">
        <v>11</v>
      </c>
      <c r="G3986" s="2" t="s">
        <v>36308</v>
      </c>
      <c r="H3986" s="2" t="s">
        <v>36309</v>
      </c>
    </row>
    <row r="3987" spans="1:8" ht="25.05" customHeight="1" x14ac:dyDescent="0.25">
      <c r="A3987" s="2" t="s">
        <v>8</v>
      </c>
      <c r="B3987" s="2" t="str">
        <f>HYPERLINK("http://ts.21cn.com/tousu/show/id/1334734","街电充电宝丢失找回还了以后，不退还扣除的99元")</f>
        <v>街电充电宝丢失找回还了以后，不退还扣除的99元</v>
      </c>
      <c r="C3987" s="2" t="s">
        <v>9</v>
      </c>
      <c r="D3987" s="2" t="s">
        <v>10</v>
      </c>
      <c r="E3987" s="2" t="str">
        <f>HYPERLINK("http://ts.21cn.com/tousu/show/id/1334734","http://ts.21cn.com/tousu/show/id/1334734")</f>
        <v>http://ts.21cn.com/tousu/show/id/1334734</v>
      </c>
      <c r="F3987" s="2" t="s">
        <v>11</v>
      </c>
      <c r="G3987" s="2" t="s">
        <v>36306</v>
      </c>
      <c r="H3987" s="2" t="s">
        <v>36307</v>
      </c>
    </row>
    <row r="3988" spans="1:8" ht="25.05" customHeight="1" x14ac:dyDescent="0.25">
      <c r="A3988" s="2" t="s">
        <v>8</v>
      </c>
      <c r="B3988" s="2" t="str">
        <f>HYPERLINK("http://ts.21cn.com/tousu/show/id/1334736","闪银结清证明")</f>
        <v>闪银结清证明</v>
      </c>
      <c r="C3988" s="2" t="s">
        <v>9</v>
      </c>
      <c r="D3988" s="2" t="s">
        <v>10</v>
      </c>
      <c r="E3988" s="2" t="str">
        <f>HYPERLINK("http://ts.21cn.com/tousu/show/id/1334736","http://ts.21cn.com/tousu/show/id/1334736")</f>
        <v>http://ts.21cn.com/tousu/show/id/1334736</v>
      </c>
      <c r="F3988" s="2" t="s">
        <v>11</v>
      </c>
      <c r="G3988" s="2" t="s">
        <v>36304</v>
      </c>
      <c r="H3988" s="2" t="s">
        <v>36305</v>
      </c>
    </row>
    <row r="3989" spans="1:8" ht="25.05" customHeight="1" x14ac:dyDescent="0.25">
      <c r="A3989" s="2" t="s">
        <v>8</v>
      </c>
      <c r="B3989" s="2" t="str">
        <f>HYPERLINK("http://ts.21cn.com/tousu/show/id/1334737","天天接到乱七八糟的电话，严重影响到我个人生活。")</f>
        <v>天天接到乱七八糟的电话，严重影响到我个人生活。</v>
      </c>
      <c r="C3989" s="2" t="s">
        <v>9</v>
      </c>
      <c r="D3989" s="2" t="s">
        <v>10</v>
      </c>
      <c r="E3989" s="2" t="str">
        <f>HYPERLINK("http://ts.21cn.com/tousu/show/id/1334737","http://ts.21cn.com/tousu/show/id/1334737")</f>
        <v>http://ts.21cn.com/tousu/show/id/1334737</v>
      </c>
      <c r="F3989" s="2" t="s">
        <v>11</v>
      </c>
      <c r="G3989" s="2" t="s">
        <v>36302</v>
      </c>
      <c r="H3989" s="2" t="s">
        <v>36303</v>
      </c>
    </row>
    <row r="3990" spans="1:8" ht="25.05" customHeight="1" x14ac:dyDescent="0.25">
      <c r="A3990" s="2" t="s">
        <v>8</v>
      </c>
      <c r="B3990" s="2" t="str">
        <f>HYPERLINK("http://ts.21cn.com/tousu/show/id/1334738","想一次性还清的，高额违约金承受不了")</f>
        <v>想一次性还清的，高额违约金承受不了</v>
      </c>
      <c r="C3990" s="2" t="s">
        <v>9</v>
      </c>
      <c r="D3990" s="2" t="s">
        <v>10</v>
      </c>
      <c r="E3990" s="2" t="str">
        <f>HYPERLINK("http://ts.21cn.com/tousu/show/id/1334738","http://ts.21cn.com/tousu/show/id/1334738")</f>
        <v>http://ts.21cn.com/tousu/show/id/1334738</v>
      </c>
      <c r="F3990" s="2" t="s">
        <v>11</v>
      </c>
      <c r="G3990" s="2" t="s">
        <v>36300</v>
      </c>
      <c r="H3990" s="2" t="s">
        <v>36301</v>
      </c>
    </row>
    <row r="3991" spans="1:8" ht="25.05" customHeight="1" x14ac:dyDescent="0.25">
      <c r="A3991" s="2" t="s">
        <v>8</v>
      </c>
      <c r="B3991" s="2" t="str">
        <f>HYPERLINK("http://ts.21cn.com/tousu/show/id/1334735","蚂蚁分期里边的绿卡和大王卡砍头息，高利贷，恶意辱骂，恐吓本人和联系人，")</f>
        <v>蚂蚁分期里边的绿卡和大王卡砍头息，高利贷，恶意辱骂，恐吓本人和联系人，</v>
      </c>
      <c r="C3991" s="2" t="s">
        <v>9</v>
      </c>
      <c r="D3991" s="2" t="s">
        <v>10</v>
      </c>
      <c r="E3991" s="2" t="str">
        <f>HYPERLINK("http://ts.21cn.com/tousu/show/id/1334735","http://ts.21cn.com/tousu/show/id/1334735")</f>
        <v>http://ts.21cn.com/tousu/show/id/1334735</v>
      </c>
      <c r="F3991" s="2" t="s">
        <v>11</v>
      </c>
      <c r="G3991" s="2" t="s">
        <v>36298</v>
      </c>
      <c r="H3991" s="2" t="s">
        <v>36299</v>
      </c>
    </row>
    <row r="3992" spans="1:8" ht="25.05" customHeight="1" x14ac:dyDescent="0.25">
      <c r="A3992" s="2" t="s">
        <v>8</v>
      </c>
      <c r="B3992" s="2" t="str">
        <f>HYPERLINK("http://ts.21cn.com/tousu/show/id/1334739","我来贷巨额逾期费用")</f>
        <v>我来贷巨额逾期费用</v>
      </c>
      <c r="C3992" s="2" t="s">
        <v>9</v>
      </c>
      <c r="D3992" s="2" t="s">
        <v>10</v>
      </c>
      <c r="E3992" s="2" t="str">
        <f>HYPERLINK("http://ts.21cn.com/tousu/show/id/1334739","http://ts.21cn.com/tousu/show/id/1334739")</f>
        <v>http://ts.21cn.com/tousu/show/id/1334739</v>
      </c>
      <c r="F3992" s="2" t="s">
        <v>11</v>
      </c>
      <c r="G3992" s="2" t="s">
        <v>36296</v>
      </c>
      <c r="H3992" s="2" t="s">
        <v>36297</v>
      </c>
    </row>
    <row r="3993" spans="1:8" ht="25.05" customHeight="1" x14ac:dyDescent="0.25">
      <c r="A3993" s="2" t="s">
        <v>8</v>
      </c>
      <c r="B3993" s="2" t="str">
        <f>HYPERLINK("http://ts.21cn.com/tousu/show/id/1334740","爱农驿站为非法商户提供支付通道")</f>
        <v>爱农驿站为非法商户提供支付通道</v>
      </c>
      <c r="C3993" s="2" t="s">
        <v>9</v>
      </c>
      <c r="D3993" s="2" t="s">
        <v>10</v>
      </c>
      <c r="E3993" s="2" t="str">
        <f>HYPERLINK("http://ts.21cn.com/tousu/show/id/1334740","http://ts.21cn.com/tousu/show/id/1334740")</f>
        <v>http://ts.21cn.com/tousu/show/id/1334740</v>
      </c>
      <c r="F3993" s="2" t="s">
        <v>11</v>
      </c>
      <c r="G3993" s="2" t="s">
        <v>36294</v>
      </c>
      <c r="H3993" s="2" t="s">
        <v>36295</v>
      </c>
    </row>
    <row r="3994" spans="1:8" ht="25.05" customHeight="1" x14ac:dyDescent="0.25">
      <c r="A3994" s="2" t="s">
        <v>8</v>
      </c>
      <c r="B3994" s="2" t="str">
        <f>HYPERLINK("http://ts.21cn.com/tousu/show/id/1334742","网贷平台填个基本资料扣了我299")</f>
        <v>网贷平台填个基本资料扣了我299</v>
      </c>
      <c r="C3994" s="2" t="s">
        <v>34</v>
      </c>
      <c r="D3994" s="2" t="s">
        <v>10</v>
      </c>
      <c r="E3994" s="2" t="str">
        <f>HYPERLINK("http://ts.21cn.com/tousu/show/id/1334742","http://ts.21cn.com/tousu/show/id/1334742")</f>
        <v>http://ts.21cn.com/tousu/show/id/1334742</v>
      </c>
      <c r="F3994" s="2" t="s">
        <v>11</v>
      </c>
      <c r="G3994" s="2" t="s">
        <v>36292</v>
      </c>
      <c r="H3994" s="2" t="s">
        <v>36293</v>
      </c>
    </row>
    <row r="3995" spans="1:8" ht="25.05" customHeight="1" x14ac:dyDescent="0.25">
      <c r="A3995" s="2" t="s">
        <v>8</v>
      </c>
      <c r="B3995" s="2" t="str">
        <f>HYPERLINK("http://ts.21cn.com/tousu/show/id/1334743","钓鱼网站")</f>
        <v>钓鱼网站</v>
      </c>
      <c r="C3995" s="2" t="s">
        <v>9</v>
      </c>
      <c r="D3995" s="2" t="s">
        <v>10</v>
      </c>
      <c r="E3995" s="2" t="str">
        <f>HYPERLINK("http://ts.21cn.com/tousu/show/id/1334743","http://ts.21cn.com/tousu/show/id/1334743")</f>
        <v>http://ts.21cn.com/tousu/show/id/1334743</v>
      </c>
      <c r="F3995" s="2" t="s">
        <v>11</v>
      </c>
      <c r="G3995" s="2" t="s">
        <v>36290</v>
      </c>
      <c r="H3995" s="2" t="s">
        <v>36291</v>
      </c>
    </row>
    <row r="3996" spans="1:8" ht="25.05" customHeight="1" x14ac:dyDescent="0.25">
      <c r="A3996" s="2" t="s">
        <v>8</v>
      </c>
      <c r="B3996" s="2" t="str">
        <f>HYPERLINK("http://ts.21cn.com/tousu/show/id/1334731","在闪电借款对公还款的同时又在App还款成功，相当于还款两次，麻烦退还对公还款钱")</f>
        <v>在闪电借款对公还款的同时又在App还款成功，相当于还款两次，麻烦退还对公还款钱</v>
      </c>
      <c r="C3996" s="2" t="s">
        <v>34</v>
      </c>
      <c r="D3996" s="2" t="s">
        <v>10</v>
      </c>
      <c r="E3996" s="2" t="str">
        <f>HYPERLINK("http://ts.21cn.com/tousu/show/id/1334731","http://ts.21cn.com/tousu/show/id/1334731")</f>
        <v>http://ts.21cn.com/tousu/show/id/1334731</v>
      </c>
      <c r="F3996" s="2" t="s">
        <v>11</v>
      </c>
      <c r="G3996" s="2" t="s">
        <v>36288</v>
      </c>
      <c r="H3996" s="2" t="s">
        <v>36289</v>
      </c>
    </row>
    <row r="3997" spans="1:8" ht="25.05" customHeight="1" x14ac:dyDescent="0.25">
      <c r="A3997" s="2" t="s">
        <v>8</v>
      </c>
      <c r="B3997" s="2" t="str">
        <f>HYPERLINK("http://ts.21cn.com/tousu/show/id/1334741","火影帮砍头息，高利贷")</f>
        <v>火影帮砍头息，高利贷</v>
      </c>
      <c r="C3997" s="2" t="s">
        <v>34</v>
      </c>
      <c r="D3997" s="2" t="s">
        <v>10</v>
      </c>
      <c r="E3997" s="2" t="str">
        <f>HYPERLINK("http://ts.21cn.com/tousu/show/id/1334741","http://ts.21cn.com/tousu/show/id/1334741")</f>
        <v>http://ts.21cn.com/tousu/show/id/1334741</v>
      </c>
      <c r="F3997" s="2" t="s">
        <v>11</v>
      </c>
      <c r="G3997" s="2" t="s">
        <v>36286</v>
      </c>
      <c r="H3997" s="2" t="s">
        <v>36287</v>
      </c>
    </row>
    <row r="3998" spans="1:8" ht="25.05" customHeight="1" x14ac:dyDescent="0.25">
      <c r="A3998" s="2" t="s">
        <v>8</v>
      </c>
      <c r="B3998" s="2" t="str">
        <f>HYPERLINK("http://ts.21cn.com/tousu/show/id/1334745","月光侠砍头息")</f>
        <v>月光侠砍头息</v>
      </c>
      <c r="C3998" s="2" t="s">
        <v>9</v>
      </c>
      <c r="D3998" s="2" t="s">
        <v>10</v>
      </c>
      <c r="E3998" s="2" t="str">
        <f>HYPERLINK("http://ts.21cn.com/tousu/show/id/1334745","http://ts.21cn.com/tousu/show/id/1334745")</f>
        <v>http://ts.21cn.com/tousu/show/id/1334745</v>
      </c>
      <c r="F3998" s="2" t="s">
        <v>11</v>
      </c>
      <c r="G3998" s="2" t="s">
        <v>36284</v>
      </c>
      <c r="H3998" s="2" t="s">
        <v>36285</v>
      </c>
    </row>
    <row r="3999" spans="1:8" ht="25.05" customHeight="1" x14ac:dyDescent="0.25">
      <c r="A3999" s="2" t="s">
        <v>8</v>
      </c>
      <c r="B3999" s="2" t="str">
        <f>HYPERLINK("http://ts.21cn.com/tousu/show/id/1334746","贪玩蓝月装备回收欺诈")</f>
        <v>贪玩蓝月装备回收欺诈</v>
      </c>
      <c r="C3999" s="2" t="s">
        <v>9</v>
      </c>
      <c r="D3999" s="2" t="s">
        <v>10</v>
      </c>
      <c r="E3999" s="2" t="str">
        <f>HYPERLINK("http://ts.21cn.com/tousu/show/id/1334746","http://ts.21cn.com/tousu/show/id/1334746")</f>
        <v>http://ts.21cn.com/tousu/show/id/1334746</v>
      </c>
      <c r="F3999" s="2" t="s">
        <v>11</v>
      </c>
      <c r="G3999" s="2" t="s">
        <v>36282</v>
      </c>
      <c r="H3999" s="2" t="s">
        <v>36283</v>
      </c>
    </row>
    <row r="4000" spans="1:8" ht="25.05" customHeight="1" x14ac:dyDescent="0.25">
      <c r="A4000" s="2" t="s">
        <v>8</v>
      </c>
      <c r="B4000" s="2" t="str">
        <f>HYPERLINK("http://ts.21cn.com/tousu/show/id/1334747","21邮箱登陆入口不见了，点开是189邮箱下载的app")</f>
        <v>21邮箱登陆入口不见了，点开是189邮箱下载的app</v>
      </c>
      <c r="C4000" s="2" t="s">
        <v>34</v>
      </c>
      <c r="D4000" s="2" t="s">
        <v>10</v>
      </c>
      <c r="E4000" s="2" t="str">
        <f>HYPERLINK("http://ts.21cn.com/tousu/show/id/1334747","http://ts.21cn.com/tousu/show/id/1334747")</f>
        <v>http://ts.21cn.com/tousu/show/id/1334747</v>
      </c>
      <c r="F4000" s="2" t="s">
        <v>11</v>
      </c>
      <c r="G4000" s="2" t="s">
        <v>36280</v>
      </c>
      <c r="H4000" s="2" t="s">
        <v>36281</v>
      </c>
    </row>
    <row r="4001" spans="1:8" ht="25.05" customHeight="1" x14ac:dyDescent="0.25">
      <c r="A4001" s="2" t="s">
        <v>8</v>
      </c>
      <c r="B4001" s="2" t="str">
        <f>HYPERLINK("http://ts.21cn.com/tousu/show/id/1334748","支付宝第三方催收人员直接不给协商的余地")</f>
        <v>支付宝第三方催收人员直接不给协商的余地</v>
      </c>
      <c r="C4001" s="2" t="s">
        <v>9</v>
      </c>
      <c r="D4001" s="2" t="s">
        <v>10</v>
      </c>
      <c r="E4001" s="2" t="str">
        <f>HYPERLINK("http://ts.21cn.com/tousu/show/id/1334748","http://ts.21cn.com/tousu/show/id/1334748")</f>
        <v>http://ts.21cn.com/tousu/show/id/1334748</v>
      </c>
      <c r="F4001" s="2" t="s">
        <v>11</v>
      </c>
      <c r="G4001" s="2" t="s">
        <v>36278</v>
      </c>
      <c r="H4001" s="2" t="s">
        <v>36279</v>
      </c>
    </row>
    <row r="4002" spans="1:8" ht="25.05" customHeight="1" x14ac:dyDescent="0.25">
      <c r="A4002" s="2" t="s">
        <v>8</v>
      </c>
      <c r="B4002" s="2" t="str">
        <f>HYPERLINK("http://ts.21cn.com/tousu/show/id/1334750","小浦优客在我不知情下扣了我报告费，我要举报并要求退款")</f>
        <v>小浦优客在我不知情下扣了我报告费，我要举报并要求退款</v>
      </c>
      <c r="C4002" s="2" t="s">
        <v>9</v>
      </c>
      <c r="D4002" s="2" t="s">
        <v>10</v>
      </c>
      <c r="E4002" s="2" t="str">
        <f>HYPERLINK("http://ts.21cn.com/tousu/show/id/1334750","http://ts.21cn.com/tousu/show/id/1334750")</f>
        <v>http://ts.21cn.com/tousu/show/id/1334750</v>
      </c>
      <c r="F4002" s="2" t="s">
        <v>11</v>
      </c>
      <c r="G4002" s="2" t="s">
        <v>36276</v>
      </c>
      <c r="H4002" s="2" t="s">
        <v>36277</v>
      </c>
    </row>
    <row r="4003" spans="1:8" ht="25.05" customHeight="1" x14ac:dyDescent="0.25">
      <c r="A4003" s="2" t="s">
        <v>8</v>
      </c>
      <c r="B4003" s="2" t="str">
        <f>HYPERLINK("http://ts.21cn.com/tousu/show/id/1334751","闪银奇艺平台就是不能协商，客服有问题")</f>
        <v>闪银奇艺平台就是不能协商，客服有问题</v>
      </c>
      <c r="C4003" s="2" t="s">
        <v>34</v>
      </c>
      <c r="D4003" s="2" t="s">
        <v>10</v>
      </c>
      <c r="E4003" s="2" t="str">
        <f>HYPERLINK("http://ts.21cn.com/tousu/show/id/1334751","http://ts.21cn.com/tousu/show/id/1334751")</f>
        <v>http://ts.21cn.com/tousu/show/id/1334751</v>
      </c>
      <c r="F4003" s="2" t="s">
        <v>11</v>
      </c>
      <c r="G4003" s="2" t="s">
        <v>36274</v>
      </c>
      <c r="H4003" s="2" t="s">
        <v>36275</v>
      </c>
    </row>
    <row r="4004" spans="1:8" ht="25.05" customHeight="1" x14ac:dyDescent="0.25">
      <c r="A4004" s="2" t="s">
        <v>8</v>
      </c>
      <c r="B4004" s="2" t="str">
        <f>HYPERLINK("http://ts.21cn.com/tousu/show/id/1334752","中腾信还款日当天暴力催收")</f>
        <v>中腾信还款日当天暴力催收</v>
      </c>
      <c r="C4004" s="2" t="s">
        <v>9</v>
      </c>
      <c r="D4004" s="2" t="s">
        <v>10</v>
      </c>
      <c r="E4004" s="2" t="str">
        <f>HYPERLINK("http://ts.21cn.com/tousu/show/id/1334752","http://ts.21cn.com/tousu/show/id/1334752")</f>
        <v>http://ts.21cn.com/tousu/show/id/1334752</v>
      </c>
      <c r="F4004" s="2" t="s">
        <v>11</v>
      </c>
      <c r="G4004" s="2" t="s">
        <v>36272</v>
      </c>
      <c r="H4004" s="2" t="s">
        <v>36273</v>
      </c>
    </row>
    <row r="4005" spans="1:8" ht="25.05" customHeight="1" x14ac:dyDescent="0.25">
      <c r="A4005" s="2" t="s">
        <v>8</v>
      </c>
      <c r="B4005" s="2" t="str">
        <f>HYPERLINK("http://ts.21cn.com/tousu/show/id/1334753","捆绑费用")</f>
        <v>捆绑费用</v>
      </c>
      <c r="C4005" s="2" t="s">
        <v>34</v>
      </c>
      <c r="D4005" s="2" t="s">
        <v>10</v>
      </c>
      <c r="E4005" s="2" t="str">
        <f>HYPERLINK("http://ts.21cn.com/tousu/show/id/1334753","http://ts.21cn.com/tousu/show/id/1334753")</f>
        <v>http://ts.21cn.com/tousu/show/id/1334753</v>
      </c>
      <c r="F4005" s="2" t="s">
        <v>11</v>
      </c>
      <c r="G4005" s="2" t="s">
        <v>36270</v>
      </c>
      <c r="H4005" s="2" t="s">
        <v>36271</v>
      </c>
    </row>
    <row r="4006" spans="1:8" ht="25.05" customHeight="1" x14ac:dyDescent="0.25">
      <c r="A4006" s="2" t="s">
        <v>8</v>
      </c>
      <c r="B4006" s="2" t="str">
        <f>HYPERLINK("http://ts.21cn.com/tousu/show/id/1334755","及贷平台违规冻结储蓄卡，非法占用客户资金")</f>
        <v>及贷平台违规冻结储蓄卡，非法占用客户资金</v>
      </c>
      <c r="C4006" s="2" t="s">
        <v>9</v>
      </c>
      <c r="D4006" s="2" t="s">
        <v>10</v>
      </c>
      <c r="E4006" s="2" t="str">
        <f>HYPERLINK("http://ts.21cn.com/tousu/show/id/1334755","http://ts.21cn.com/tousu/show/id/1334755")</f>
        <v>http://ts.21cn.com/tousu/show/id/1334755</v>
      </c>
      <c r="F4006" s="2" t="s">
        <v>11</v>
      </c>
      <c r="G4006" s="2" t="s">
        <v>36268</v>
      </c>
      <c r="H4006" s="2" t="s">
        <v>36269</v>
      </c>
    </row>
    <row r="4007" spans="1:8" ht="25.05" customHeight="1" x14ac:dyDescent="0.25">
      <c r="A4007" s="2" t="s">
        <v>8</v>
      </c>
      <c r="B4007" s="2" t="str">
        <f>HYPERLINK("http://ts.21cn.com/tousu/show/id/1334756","gofun之前绑定的手机号已经注销,无法更换手机号或注销账号")</f>
        <v>gofun之前绑定的手机号已经注销,无法更换手机号或注销账号</v>
      </c>
      <c r="C4007" s="2" t="s">
        <v>9</v>
      </c>
      <c r="D4007" s="2" t="s">
        <v>10</v>
      </c>
      <c r="E4007" s="2" t="str">
        <f>HYPERLINK("http://ts.21cn.com/tousu/show/id/1334756","http://ts.21cn.com/tousu/show/id/1334756")</f>
        <v>http://ts.21cn.com/tousu/show/id/1334756</v>
      </c>
      <c r="F4007" s="2" t="s">
        <v>11</v>
      </c>
      <c r="G4007" s="2" t="s">
        <v>36266</v>
      </c>
      <c r="H4007" s="2" t="s">
        <v>36267</v>
      </c>
    </row>
    <row r="4008" spans="1:8" ht="25.05" customHeight="1" x14ac:dyDescent="0.25">
      <c r="A4008" s="2" t="s">
        <v>8</v>
      </c>
      <c r="B4008" s="2" t="str">
        <f>HYPERLINK("http://ts.21cn.com/tousu/show/id/1334757","工单正在报盘，无法还款")</f>
        <v>工单正在报盘，无法还款</v>
      </c>
      <c r="C4008" s="2" t="s">
        <v>34</v>
      </c>
      <c r="D4008" s="2" t="s">
        <v>10</v>
      </c>
      <c r="E4008" s="2" t="str">
        <f>HYPERLINK("http://ts.21cn.com/tousu/show/id/1334757","http://ts.21cn.com/tousu/show/id/1334757")</f>
        <v>http://ts.21cn.com/tousu/show/id/1334757</v>
      </c>
      <c r="F4008" s="2" t="s">
        <v>11</v>
      </c>
      <c r="G4008" s="2" t="s">
        <v>36264</v>
      </c>
      <c r="H4008" s="2" t="s">
        <v>36265</v>
      </c>
    </row>
    <row r="4009" spans="1:8" ht="25.05" customHeight="1" x14ac:dyDescent="0.25">
      <c r="A4009" s="2" t="s">
        <v>8</v>
      </c>
      <c r="B4009" s="2" t="str">
        <f>HYPERLINK("http://ts.21cn.com/tousu/show/id/1334759","要求产品下架")</f>
        <v>要求产品下架</v>
      </c>
      <c r="C4009" s="2" t="s">
        <v>9</v>
      </c>
      <c r="D4009" s="2" t="s">
        <v>10</v>
      </c>
      <c r="E4009" s="2" t="str">
        <f>HYPERLINK("http://ts.21cn.com/tousu/show/id/1334759","http://ts.21cn.com/tousu/show/id/1334759")</f>
        <v>http://ts.21cn.com/tousu/show/id/1334759</v>
      </c>
      <c r="F4009" s="2" t="s">
        <v>11</v>
      </c>
      <c r="G4009" s="2" t="s">
        <v>36262</v>
      </c>
      <c r="H4009" s="2" t="s">
        <v>36263</v>
      </c>
    </row>
    <row r="4010" spans="1:8" ht="25.05" customHeight="1" x14ac:dyDescent="0.25">
      <c r="A4010" s="2" t="s">
        <v>8</v>
      </c>
      <c r="B4010" s="2" t="str">
        <f>HYPERLINK("http://ts.21cn.com/tousu/show/id/1334754","盗刷")</f>
        <v>盗刷</v>
      </c>
      <c r="C4010" s="2" t="s">
        <v>9</v>
      </c>
      <c r="D4010" s="2" t="s">
        <v>10</v>
      </c>
      <c r="E4010" s="2" t="str">
        <f>HYPERLINK("http://ts.21cn.com/tousu/show/id/1334754","http://ts.21cn.com/tousu/show/id/1334754")</f>
        <v>http://ts.21cn.com/tousu/show/id/1334754</v>
      </c>
      <c r="F4010" s="2" t="s">
        <v>11</v>
      </c>
      <c r="G4010" s="2" t="s">
        <v>36260</v>
      </c>
      <c r="H4010" s="2" t="s">
        <v>36261</v>
      </c>
    </row>
    <row r="4011" spans="1:8" ht="25.05" customHeight="1" x14ac:dyDescent="0.25">
      <c r="A4011" s="2" t="s">
        <v>8</v>
      </c>
      <c r="B4011" s="2" t="str">
        <f>HYPERLINK("http://ts.21cn.com/tousu/show/id/1334760","套路贷款利率高")</f>
        <v>套路贷款利率高</v>
      </c>
      <c r="C4011" s="2" t="s">
        <v>9</v>
      </c>
      <c r="D4011" s="2" t="s">
        <v>10</v>
      </c>
      <c r="E4011" s="2" t="str">
        <f>HYPERLINK("http://ts.21cn.com/tousu/show/id/1334760","http://ts.21cn.com/tousu/show/id/1334760")</f>
        <v>http://ts.21cn.com/tousu/show/id/1334760</v>
      </c>
      <c r="F4011" s="2" t="s">
        <v>11</v>
      </c>
      <c r="G4011" s="2" t="s">
        <v>36258</v>
      </c>
      <c r="H4011" s="2" t="s">
        <v>36259</v>
      </c>
    </row>
    <row r="4012" spans="1:8" ht="25.05" customHeight="1" x14ac:dyDescent="0.25">
      <c r="A4012" s="2" t="s">
        <v>8</v>
      </c>
      <c r="B4012" s="2" t="str">
        <f>HYPERLINK("http://ts.21cn.com/tousu/show/id/1334761","威胁爆通讯录，乱扣款")</f>
        <v>威胁爆通讯录，乱扣款</v>
      </c>
      <c r="C4012" s="2" t="s">
        <v>9</v>
      </c>
      <c r="D4012" s="2" t="s">
        <v>10</v>
      </c>
      <c r="E4012" s="2" t="str">
        <f>HYPERLINK("http://ts.21cn.com/tousu/show/id/1334761","http://ts.21cn.com/tousu/show/id/1334761")</f>
        <v>http://ts.21cn.com/tousu/show/id/1334761</v>
      </c>
      <c r="F4012" s="2" t="s">
        <v>11</v>
      </c>
      <c r="G4012" s="2" t="s">
        <v>36256</v>
      </c>
      <c r="H4012" s="2" t="s">
        <v>36257</v>
      </c>
    </row>
    <row r="4013" spans="1:8" ht="25.05" customHeight="1" x14ac:dyDescent="0.25">
      <c r="A4013" s="2" t="s">
        <v>8</v>
      </c>
      <c r="B4013" s="2" t="str">
        <f>HYPERLINK("http://ts.21cn.com/tousu/show/id/1334758","分期通app贷款软件无理收取会员费用，严重诱导消费者扣费")</f>
        <v>分期通app贷款软件无理收取会员费用，严重诱导消费者扣费</v>
      </c>
      <c r="C4013" s="2" t="s">
        <v>9</v>
      </c>
      <c r="D4013" s="2" t="s">
        <v>10</v>
      </c>
      <c r="E4013" s="2" t="str">
        <f>HYPERLINK("http://ts.21cn.com/tousu/show/id/1334758","http://ts.21cn.com/tousu/show/id/1334758")</f>
        <v>http://ts.21cn.com/tousu/show/id/1334758</v>
      </c>
      <c r="F4013" s="2" t="s">
        <v>11</v>
      </c>
      <c r="G4013" s="2" t="s">
        <v>36254</v>
      </c>
      <c r="H4013" s="2" t="s">
        <v>36255</v>
      </c>
    </row>
    <row r="4014" spans="1:8" ht="25.05" customHeight="1" x14ac:dyDescent="0.25">
      <c r="A4014" s="2" t="s">
        <v>8</v>
      </c>
      <c r="B4014" s="2" t="str">
        <f>HYPERLINK("http://ts.21cn.com/tousu/show/id/1334763","对滴滴司机不公平")</f>
        <v>对滴滴司机不公平</v>
      </c>
      <c r="C4014" s="2" t="s">
        <v>9</v>
      </c>
      <c r="D4014" s="2" t="s">
        <v>10</v>
      </c>
      <c r="E4014" s="2" t="str">
        <f>HYPERLINK("http://ts.21cn.com/tousu/show/id/1334763","http://ts.21cn.com/tousu/show/id/1334763")</f>
        <v>http://ts.21cn.com/tousu/show/id/1334763</v>
      </c>
      <c r="F4014" s="2" t="s">
        <v>11</v>
      </c>
      <c r="G4014" s="2" t="s">
        <v>36252</v>
      </c>
      <c r="H4014" s="2" t="s">
        <v>36253</v>
      </c>
    </row>
    <row r="4015" spans="1:8" ht="25.05" customHeight="1" x14ac:dyDescent="0.25">
      <c r="A4015" s="2" t="s">
        <v>8</v>
      </c>
      <c r="B4015" s="2" t="str">
        <f>HYPERLINK("http://ts.21cn.com/tousu/show/id/1334764","交通银行催收打骚扰电话")</f>
        <v>交通银行催收打骚扰电话</v>
      </c>
      <c r="C4015" s="2" t="s">
        <v>9</v>
      </c>
      <c r="D4015" s="2" t="s">
        <v>10</v>
      </c>
      <c r="E4015" s="2" t="str">
        <f>HYPERLINK("http://ts.21cn.com/tousu/show/id/1334764","http://ts.21cn.com/tousu/show/id/1334764")</f>
        <v>http://ts.21cn.com/tousu/show/id/1334764</v>
      </c>
      <c r="F4015" s="2" t="s">
        <v>11</v>
      </c>
      <c r="G4015" s="2" t="s">
        <v>36250</v>
      </c>
      <c r="H4015" s="2" t="s">
        <v>36251</v>
      </c>
    </row>
    <row r="4016" spans="1:8" ht="25.05" customHeight="1" x14ac:dyDescent="0.25">
      <c r="A4016" s="2" t="s">
        <v>8</v>
      </c>
      <c r="B4016" s="2" t="str">
        <f>HYPERLINK("http://ts.21cn.com/tousu/show/id/1334765","贷上钱暴力催收")</f>
        <v>贷上钱暴力催收</v>
      </c>
      <c r="C4016" s="2" t="s">
        <v>9</v>
      </c>
      <c r="D4016" s="2" t="s">
        <v>10</v>
      </c>
      <c r="E4016" s="2" t="str">
        <f>HYPERLINK("http://ts.21cn.com/tousu/show/id/1334765","http://ts.21cn.com/tousu/show/id/1334765")</f>
        <v>http://ts.21cn.com/tousu/show/id/1334765</v>
      </c>
      <c r="F4016" s="2" t="s">
        <v>11</v>
      </c>
      <c r="G4016" s="2" t="s">
        <v>36248</v>
      </c>
      <c r="H4016" s="2" t="s">
        <v>36249</v>
      </c>
    </row>
    <row r="4017" spans="1:8" ht="25.05" customHeight="1" x14ac:dyDescent="0.25">
      <c r="A4017" s="2" t="s">
        <v>8</v>
      </c>
      <c r="B4017" s="2" t="str">
        <f>HYPERLINK("http://ts.21cn.com/tousu/show/id/1334766","优信优卡失联，请北京银联商务退套餐")</f>
        <v>优信优卡失联，请北京银联商务退套餐</v>
      </c>
      <c r="C4017" s="2" t="s">
        <v>9</v>
      </c>
      <c r="D4017" s="2" t="s">
        <v>10</v>
      </c>
      <c r="E4017" s="2" t="str">
        <f>HYPERLINK("http://ts.21cn.com/tousu/show/id/1334766","http://ts.21cn.com/tousu/show/id/1334766")</f>
        <v>http://ts.21cn.com/tousu/show/id/1334766</v>
      </c>
      <c r="F4017" s="2" t="s">
        <v>11</v>
      </c>
      <c r="G4017" s="2" t="s">
        <v>36246</v>
      </c>
      <c r="H4017" s="2" t="s">
        <v>36247</v>
      </c>
    </row>
    <row r="4018" spans="1:8" ht="25.05" customHeight="1" x14ac:dyDescent="0.25">
      <c r="A4018" s="2" t="s">
        <v>8</v>
      </c>
      <c r="B4018" s="2" t="str">
        <f>HYPERLINK("http://ts.21cn.com/tousu/show/id/1334767","高利贷爆通讯录")</f>
        <v>高利贷爆通讯录</v>
      </c>
      <c r="C4018" s="2" t="s">
        <v>9</v>
      </c>
      <c r="D4018" s="2" t="s">
        <v>10</v>
      </c>
      <c r="E4018" s="2" t="str">
        <f>HYPERLINK("http://ts.21cn.com/tousu/show/id/1334767","http://ts.21cn.com/tousu/show/id/1334767")</f>
        <v>http://ts.21cn.com/tousu/show/id/1334767</v>
      </c>
      <c r="F4018" s="2" t="s">
        <v>11</v>
      </c>
      <c r="G4018" s="2" t="s">
        <v>36244</v>
      </c>
      <c r="H4018" s="2" t="s">
        <v>36245</v>
      </c>
    </row>
    <row r="4019" spans="1:8" ht="25.05" customHeight="1" x14ac:dyDescent="0.25">
      <c r="A4019" s="2" t="s">
        <v>8</v>
      </c>
      <c r="B4019" s="2" t="str">
        <f>HYPERLINK("http://ts.21cn.com/tousu/show/id/1334768","违法催收")</f>
        <v>违法催收</v>
      </c>
      <c r="C4019" s="2" t="s">
        <v>9</v>
      </c>
      <c r="D4019" s="2" t="s">
        <v>10</v>
      </c>
      <c r="E4019" s="2" t="str">
        <f>HYPERLINK("http://ts.21cn.com/tousu/show/id/1334768","http://ts.21cn.com/tousu/show/id/1334768")</f>
        <v>http://ts.21cn.com/tousu/show/id/1334768</v>
      </c>
      <c r="F4019" s="2" t="s">
        <v>11</v>
      </c>
      <c r="G4019" s="2" t="s">
        <v>36242</v>
      </c>
      <c r="H4019" s="2" t="s">
        <v>36243</v>
      </c>
    </row>
    <row r="4020" spans="1:8" ht="25.05" customHeight="1" x14ac:dyDescent="0.25">
      <c r="A4020" s="2" t="s">
        <v>8</v>
      </c>
      <c r="B4020" s="2" t="str">
        <f>HYPERLINK("http://ts.21cn.com/tousu/show/id/1334770","多收服务费")</f>
        <v>多收服务费</v>
      </c>
      <c r="C4020" s="2" t="s">
        <v>9</v>
      </c>
      <c r="D4020" s="2" t="s">
        <v>10</v>
      </c>
      <c r="E4020" s="2" t="str">
        <f>HYPERLINK("http://ts.21cn.com/tousu/show/id/1334770","http://ts.21cn.com/tousu/show/id/1334770")</f>
        <v>http://ts.21cn.com/tousu/show/id/1334770</v>
      </c>
      <c r="F4020" s="2" t="s">
        <v>11</v>
      </c>
      <c r="G4020" s="2" t="s">
        <v>36240</v>
      </c>
      <c r="H4020" s="2" t="s">
        <v>36241</v>
      </c>
    </row>
    <row r="4021" spans="1:8" ht="25.05" customHeight="1" x14ac:dyDescent="0.25">
      <c r="A4021" s="2" t="s">
        <v>8</v>
      </c>
      <c r="B4021" s="2" t="str">
        <f>HYPERLINK("http://ts.21cn.com/tousu/show/id/1334771","捷信还完把我征信弄完了，要求把征信改过来")</f>
        <v>捷信还完把我征信弄完了，要求把征信改过来</v>
      </c>
      <c r="C4021" s="2" t="s">
        <v>9</v>
      </c>
      <c r="D4021" s="2" t="s">
        <v>10</v>
      </c>
      <c r="E4021" s="2" t="str">
        <f>HYPERLINK("http://ts.21cn.com/tousu/show/id/1334771","http://ts.21cn.com/tousu/show/id/1334771")</f>
        <v>http://ts.21cn.com/tousu/show/id/1334771</v>
      </c>
      <c r="F4021" s="2" t="s">
        <v>11</v>
      </c>
      <c r="G4021" s="2" t="s">
        <v>36238</v>
      </c>
      <c r="H4021" s="2" t="s">
        <v>36239</v>
      </c>
    </row>
    <row r="4022" spans="1:8" ht="25.05" customHeight="1" x14ac:dyDescent="0.25">
      <c r="A4022" s="2" t="s">
        <v>8</v>
      </c>
      <c r="B4022" s="2" t="str">
        <f>HYPERLINK("http://ts.21cn.com/tousu/show/id/1334773","信用管家好运金借款2250按周还款，4周28天要还3089")</f>
        <v>信用管家好运金借款2250按周还款，4周28天要还3089</v>
      </c>
      <c r="C4022" s="2" t="s">
        <v>34</v>
      </c>
      <c r="D4022" s="2" t="s">
        <v>10</v>
      </c>
      <c r="E4022" s="2" t="str">
        <f>HYPERLINK("http://ts.21cn.com/tousu/show/id/1334773","http://ts.21cn.com/tousu/show/id/1334773")</f>
        <v>http://ts.21cn.com/tousu/show/id/1334773</v>
      </c>
      <c r="F4022" s="2" t="s">
        <v>11</v>
      </c>
      <c r="G4022" s="2" t="s">
        <v>36236</v>
      </c>
      <c r="H4022" s="2" t="s">
        <v>36237</v>
      </c>
    </row>
    <row r="4023" spans="1:8" ht="25.05" customHeight="1" x14ac:dyDescent="0.25">
      <c r="A4023" s="2" t="s">
        <v>8</v>
      </c>
      <c r="B4023" s="2" t="str">
        <f>HYPERLINK("http://ts.21cn.com/tousu/show/id/1334774","及贷放款时直接扣除所谓的保费，存在欺诈消费行为")</f>
        <v>及贷放款时直接扣除所谓的保费，存在欺诈消费行为</v>
      </c>
      <c r="C4023" s="2" t="s">
        <v>9</v>
      </c>
      <c r="D4023" s="2" t="s">
        <v>10</v>
      </c>
      <c r="E4023" s="2" t="str">
        <f>HYPERLINK("http://ts.21cn.com/tousu/show/id/1334774","http://ts.21cn.com/tousu/show/id/1334774")</f>
        <v>http://ts.21cn.com/tousu/show/id/1334774</v>
      </c>
      <c r="F4023" s="2" t="s">
        <v>11</v>
      </c>
      <c r="G4023" s="2" t="s">
        <v>36235</v>
      </c>
      <c r="H4023" s="2" t="s">
        <v>34289</v>
      </c>
    </row>
    <row r="4024" spans="1:8" ht="25.05" customHeight="1" x14ac:dyDescent="0.25">
      <c r="A4024" s="2" t="s">
        <v>8</v>
      </c>
      <c r="B4024" s="2" t="str">
        <f>HYPERLINK("http://ts.21cn.com/tousu/show/id/1334775","非法赌博平台提供交易渠道")</f>
        <v>非法赌博平台提供交易渠道</v>
      </c>
      <c r="C4024" s="2" t="s">
        <v>9</v>
      </c>
      <c r="D4024" s="2" t="s">
        <v>10</v>
      </c>
      <c r="E4024" s="2" t="str">
        <f>HYPERLINK("http://ts.21cn.com/tousu/show/id/1334775","http://ts.21cn.com/tousu/show/id/1334775")</f>
        <v>http://ts.21cn.com/tousu/show/id/1334775</v>
      </c>
      <c r="F4024" s="2" t="s">
        <v>11</v>
      </c>
      <c r="G4024" s="2" t="s">
        <v>36233</v>
      </c>
      <c r="H4024" s="2" t="s">
        <v>36234</v>
      </c>
    </row>
    <row r="4025" spans="1:8" ht="25.05" customHeight="1" x14ac:dyDescent="0.25">
      <c r="A4025" s="2" t="s">
        <v>8</v>
      </c>
      <c r="B4025" s="2" t="str">
        <f>HYPERLINK("http://ts.21cn.com/tousu/show/id/1334762","利用买保险收取前期费用")</f>
        <v>利用买保险收取前期费用</v>
      </c>
      <c r="C4025" s="2" t="s">
        <v>34</v>
      </c>
      <c r="D4025" s="2" t="s">
        <v>10</v>
      </c>
      <c r="E4025" s="2" t="str">
        <f>HYPERLINK("http://ts.21cn.com/tousu/show/id/1334762","http://ts.21cn.com/tousu/show/id/1334762")</f>
        <v>http://ts.21cn.com/tousu/show/id/1334762</v>
      </c>
      <c r="F4025" s="2" t="s">
        <v>11</v>
      </c>
      <c r="G4025" s="2" t="s">
        <v>36231</v>
      </c>
      <c r="H4025" s="2" t="s">
        <v>36232</v>
      </c>
    </row>
    <row r="4026" spans="1:8" ht="25.05" customHeight="1" x14ac:dyDescent="0.25">
      <c r="A4026" s="2" t="s">
        <v>8</v>
      </c>
      <c r="B4026" s="2" t="str">
        <f>HYPERLINK("http://ts.21cn.com/tousu/show/id/1334776","呗呗分期，高利贷平台，暴力催收")</f>
        <v>呗呗分期，高利贷平台，暴力催收</v>
      </c>
      <c r="C4026" s="2" t="s">
        <v>9</v>
      </c>
      <c r="D4026" s="2" t="s">
        <v>10</v>
      </c>
      <c r="E4026" s="2" t="str">
        <f>HYPERLINK("http://ts.21cn.com/tousu/show/id/1334776","http://ts.21cn.com/tousu/show/id/1334776")</f>
        <v>http://ts.21cn.com/tousu/show/id/1334776</v>
      </c>
      <c r="F4026" s="2" t="s">
        <v>11</v>
      </c>
      <c r="G4026" s="2" t="s">
        <v>36229</v>
      </c>
      <c r="H4026" s="2" t="s">
        <v>36230</v>
      </c>
    </row>
    <row r="4027" spans="1:8" ht="25.05" customHeight="1" x14ac:dyDescent="0.25">
      <c r="A4027" s="2" t="s">
        <v>8</v>
      </c>
      <c r="B4027" s="2" t="str">
        <f>HYPERLINK("http://ts.21cn.com/tousu/show/id/1334777","河南省驻马店市教育局")</f>
        <v>河南省驻马店市教育局</v>
      </c>
      <c r="C4027" s="2" t="s">
        <v>9</v>
      </c>
      <c r="D4027" s="2" t="s">
        <v>10</v>
      </c>
      <c r="E4027" s="2" t="str">
        <f>HYPERLINK("http://ts.21cn.com/tousu/show/id/1334777","http://ts.21cn.com/tousu/show/id/1334777")</f>
        <v>http://ts.21cn.com/tousu/show/id/1334777</v>
      </c>
      <c r="F4027" s="2" t="s">
        <v>11</v>
      </c>
      <c r="G4027" s="2" t="s">
        <v>36227</v>
      </c>
      <c r="H4027" s="2" t="s">
        <v>36228</v>
      </c>
    </row>
    <row r="4028" spans="1:8" ht="25.05" customHeight="1" x14ac:dyDescent="0.25">
      <c r="A4028" s="2" t="s">
        <v>8</v>
      </c>
      <c r="B4028" s="2" t="str">
        <f>HYPERLINK("http://ts.21cn.com/tousu/show/id/1334778","豆豆钱退逾期费一直没有退")</f>
        <v>豆豆钱退逾期费一直没有退</v>
      </c>
      <c r="C4028" s="2" t="s">
        <v>34</v>
      </c>
      <c r="D4028" s="2" t="s">
        <v>10</v>
      </c>
      <c r="E4028" s="2" t="str">
        <f>HYPERLINK("http://ts.21cn.com/tousu/show/id/1334778","http://ts.21cn.com/tousu/show/id/1334778")</f>
        <v>http://ts.21cn.com/tousu/show/id/1334778</v>
      </c>
      <c r="F4028" s="2" t="s">
        <v>11</v>
      </c>
      <c r="G4028" s="2" t="s">
        <v>36225</v>
      </c>
      <c r="H4028" s="2" t="s">
        <v>36226</v>
      </c>
    </row>
    <row r="4029" spans="1:8" ht="25.05" customHeight="1" x14ac:dyDescent="0.25">
      <c r="A4029" s="2" t="s">
        <v>8</v>
      </c>
      <c r="B4029" s="2" t="str">
        <f>HYPERLINK("http://ts.21cn.com/tousu/show/id/1334779","钱橙无忧随意扣费")</f>
        <v>钱橙无忧随意扣费</v>
      </c>
      <c r="C4029" s="2" t="s">
        <v>34</v>
      </c>
      <c r="D4029" s="2" t="s">
        <v>10</v>
      </c>
      <c r="E4029" s="2" t="str">
        <f>HYPERLINK("http://ts.21cn.com/tousu/show/id/1334779","http://ts.21cn.com/tousu/show/id/1334779")</f>
        <v>http://ts.21cn.com/tousu/show/id/1334779</v>
      </c>
      <c r="F4029" s="2" t="s">
        <v>11</v>
      </c>
      <c r="G4029" s="2" t="s">
        <v>36223</v>
      </c>
      <c r="H4029" s="2" t="s">
        <v>36224</v>
      </c>
    </row>
    <row r="4030" spans="1:8" ht="25.05" customHeight="1" x14ac:dyDescent="0.25">
      <c r="A4030" s="2" t="s">
        <v>8</v>
      </c>
      <c r="B4030" s="2" t="str">
        <f>HYPERLINK("http://ts.21cn.com/tousu/show/id/1334780","枣庄市峄城区易威电子商务中心公司违规给博彩平台提供支付通道")</f>
        <v>枣庄市峄城区易威电子商务中心公司违规给博彩平台提供支付通道</v>
      </c>
      <c r="C4030" s="2" t="s">
        <v>9</v>
      </c>
      <c r="D4030" s="2" t="s">
        <v>10</v>
      </c>
      <c r="E4030" s="2" t="str">
        <f>HYPERLINK("http://ts.21cn.com/tousu/show/id/1334780","http://ts.21cn.com/tousu/show/id/1334780")</f>
        <v>http://ts.21cn.com/tousu/show/id/1334780</v>
      </c>
      <c r="F4030" s="2" t="s">
        <v>11</v>
      </c>
      <c r="G4030" s="2" t="s">
        <v>36221</v>
      </c>
      <c r="H4030" s="2" t="s">
        <v>36222</v>
      </c>
    </row>
    <row r="4031" spans="1:8" ht="25.05" customHeight="1" x14ac:dyDescent="0.25">
      <c r="A4031" s="2" t="s">
        <v>8</v>
      </c>
      <c r="B4031" s="2" t="str">
        <f>HYPERLINK("http://ts.21cn.com/tousu/show/id/1334769","优信优卡不能充值，合作方寺库、北京银联商务受牵连，回应协助积极处理")</f>
        <v>优信优卡不能充值，合作方寺库、北京银联商务受牵连，回应协助积极处理</v>
      </c>
      <c r="C4031" s="2" t="s">
        <v>9</v>
      </c>
      <c r="D4031" s="2" t="s">
        <v>10</v>
      </c>
      <c r="E4031" s="2" t="str">
        <f>HYPERLINK("http://ts.21cn.com/tousu/show/id/1334769","http://ts.21cn.com/tousu/show/id/1334769")</f>
        <v>http://ts.21cn.com/tousu/show/id/1334769</v>
      </c>
      <c r="F4031" s="2" t="s">
        <v>11</v>
      </c>
      <c r="G4031" s="2" t="s">
        <v>36219</v>
      </c>
      <c r="H4031" s="2" t="s">
        <v>36220</v>
      </c>
    </row>
    <row r="4032" spans="1:8" ht="25.05" customHeight="1" x14ac:dyDescent="0.25">
      <c r="A4032" s="2" t="s">
        <v>8</v>
      </c>
      <c r="B4032" s="2" t="str">
        <f>HYPERLINK("http://ts.21cn.com/tousu/show/id/1334781","强制买保险费")</f>
        <v>强制买保险费</v>
      </c>
      <c r="C4032" s="2" t="s">
        <v>9</v>
      </c>
      <c r="D4032" s="2" t="s">
        <v>10</v>
      </c>
      <c r="E4032" s="2" t="str">
        <f>HYPERLINK("http://ts.21cn.com/tousu/show/id/1334781","http://ts.21cn.com/tousu/show/id/1334781")</f>
        <v>http://ts.21cn.com/tousu/show/id/1334781</v>
      </c>
      <c r="F4032" s="2" t="s">
        <v>11</v>
      </c>
      <c r="G4032" s="2" t="s">
        <v>36217</v>
      </c>
      <c r="H4032" s="2" t="s">
        <v>36218</v>
      </c>
    </row>
    <row r="4033" spans="1:8" ht="25.05" customHeight="1" x14ac:dyDescent="0.25">
      <c r="A4033" s="2" t="s">
        <v>8</v>
      </c>
      <c r="B4033" s="2" t="str">
        <f>HYPERLINK("http://ts.21cn.com/tousu/show/id/1334784","松紧贷暴力催收，高利贷，合同欺诈")</f>
        <v>松紧贷暴力催收，高利贷，合同欺诈</v>
      </c>
      <c r="C4033" s="2" t="s">
        <v>9</v>
      </c>
      <c r="D4033" s="2" t="s">
        <v>10</v>
      </c>
      <c r="E4033" s="2" t="str">
        <f>HYPERLINK("http://ts.21cn.com/tousu/show/id/1334784","http://ts.21cn.com/tousu/show/id/1334784")</f>
        <v>http://ts.21cn.com/tousu/show/id/1334784</v>
      </c>
      <c r="F4033" s="2" t="s">
        <v>11</v>
      </c>
      <c r="G4033" s="2" t="s">
        <v>36215</v>
      </c>
      <c r="H4033" s="2" t="s">
        <v>36216</v>
      </c>
    </row>
    <row r="4034" spans="1:8" ht="25.05" customHeight="1" x14ac:dyDescent="0.25">
      <c r="A4034" s="2" t="s">
        <v>8</v>
      </c>
      <c r="B4034" s="2" t="str">
        <f>HYPERLINK("http://ts.21cn.com/tousu/show/id/1334785","闪银平台保险与借款平台勾结不处理退保要求")</f>
        <v>闪银平台保险与借款平台勾结不处理退保要求</v>
      </c>
      <c r="C4034" s="2" t="s">
        <v>9</v>
      </c>
      <c r="D4034" s="2" t="s">
        <v>10</v>
      </c>
      <c r="E4034" s="2" t="str">
        <f>HYPERLINK("http://ts.21cn.com/tousu/show/id/1334785","http://ts.21cn.com/tousu/show/id/1334785")</f>
        <v>http://ts.21cn.com/tousu/show/id/1334785</v>
      </c>
      <c r="F4034" s="2" t="s">
        <v>11</v>
      </c>
      <c r="G4034" s="2" t="s">
        <v>36213</v>
      </c>
      <c r="H4034" s="2" t="s">
        <v>36214</v>
      </c>
    </row>
    <row r="4035" spans="1:8" ht="25.05" customHeight="1" x14ac:dyDescent="0.25">
      <c r="A4035" s="2" t="s">
        <v>8</v>
      </c>
      <c r="B4035" s="2" t="str">
        <f>HYPERLINK("http://ts.21cn.com/tousu/show/id/1334787","先花一亿收了前期测评费用没有借款不退测评费")</f>
        <v>先花一亿收了前期测评费用没有借款不退测评费</v>
      </c>
      <c r="C4035" s="2" t="s">
        <v>9</v>
      </c>
      <c r="D4035" s="2" t="s">
        <v>10</v>
      </c>
      <c r="E4035" s="2" t="str">
        <f>HYPERLINK("http://ts.21cn.com/tousu/show/id/1334787","http://ts.21cn.com/tousu/show/id/1334787")</f>
        <v>http://ts.21cn.com/tousu/show/id/1334787</v>
      </c>
      <c r="F4035" s="2" t="s">
        <v>11</v>
      </c>
      <c r="G4035" s="2" t="s">
        <v>36211</v>
      </c>
      <c r="H4035" s="2" t="s">
        <v>36212</v>
      </c>
    </row>
    <row r="4036" spans="1:8" ht="25.05" customHeight="1" x14ac:dyDescent="0.25">
      <c r="A4036" s="2" t="s">
        <v>8</v>
      </c>
      <c r="B4036" s="2" t="str">
        <f>HYPERLINK("http://ts.21cn.com/tousu/show/id/1334788","及贷向在校大学生放贷款，侵犯个人隐私权，性质恶劣")</f>
        <v>及贷向在校大学生放贷款，侵犯个人隐私权，性质恶劣</v>
      </c>
      <c r="C4036" s="2" t="s">
        <v>9</v>
      </c>
      <c r="D4036" s="2" t="s">
        <v>10</v>
      </c>
      <c r="E4036" s="2" t="str">
        <f>HYPERLINK("http://ts.21cn.com/tousu/show/id/1334788","http://ts.21cn.com/tousu/show/id/1334788")</f>
        <v>http://ts.21cn.com/tousu/show/id/1334788</v>
      </c>
      <c r="F4036" s="2" t="s">
        <v>11</v>
      </c>
      <c r="G4036" s="2" t="s">
        <v>36209</v>
      </c>
      <c r="H4036" s="2" t="s">
        <v>36210</v>
      </c>
    </row>
    <row r="4037" spans="1:8" ht="25.05" customHeight="1" x14ac:dyDescent="0.25">
      <c r="A4037" s="2" t="s">
        <v>8</v>
      </c>
      <c r="B4037" s="2" t="str">
        <f>HYPERLINK("http://ts.21cn.com/tousu/show/id/1334789","网易考拉付款十三天未发货")</f>
        <v>网易考拉付款十三天未发货</v>
      </c>
      <c r="C4037" s="2" t="s">
        <v>9</v>
      </c>
      <c r="D4037" s="2" t="s">
        <v>10</v>
      </c>
      <c r="E4037" s="2" t="str">
        <f>HYPERLINK("http://ts.21cn.com/tousu/show/id/1334789","http://ts.21cn.com/tousu/show/id/1334789")</f>
        <v>http://ts.21cn.com/tousu/show/id/1334789</v>
      </c>
      <c r="F4037" s="2" t="s">
        <v>11</v>
      </c>
      <c r="G4037" s="2" t="s">
        <v>36207</v>
      </c>
      <c r="H4037" s="2" t="s">
        <v>36208</v>
      </c>
    </row>
    <row r="4038" spans="1:8" ht="25.05" customHeight="1" x14ac:dyDescent="0.25">
      <c r="A4038" s="2" t="s">
        <v>8</v>
      </c>
      <c r="B4038" s="2" t="str">
        <f>HYPERLINK("http://ts.21cn.com/tousu/show/id/1334790","小花钱包暴力催收")</f>
        <v>小花钱包暴力催收</v>
      </c>
      <c r="C4038" s="2" t="s">
        <v>9</v>
      </c>
      <c r="D4038" s="2" t="s">
        <v>10</v>
      </c>
      <c r="E4038" s="2" t="str">
        <f>HYPERLINK("http://ts.21cn.com/tousu/show/id/1334790","http://ts.21cn.com/tousu/show/id/1334790")</f>
        <v>http://ts.21cn.com/tousu/show/id/1334790</v>
      </c>
      <c r="F4038" s="2" t="s">
        <v>11</v>
      </c>
      <c r="G4038" s="2" t="s">
        <v>36205</v>
      </c>
      <c r="H4038" s="2" t="s">
        <v>36206</v>
      </c>
    </row>
    <row r="4039" spans="1:8" ht="25.05" customHeight="1" x14ac:dyDescent="0.25">
      <c r="A4039" s="2" t="s">
        <v>8</v>
      </c>
      <c r="B4039" s="2" t="str">
        <f>HYPERLINK("http://ts.21cn.com/tousu/show/id/1334791","51人品贷黑心高利贷，暴利催收骚扰联系人")</f>
        <v>51人品贷黑心高利贷，暴利催收骚扰联系人</v>
      </c>
      <c r="C4039" s="2" t="s">
        <v>9</v>
      </c>
      <c r="D4039" s="2" t="s">
        <v>10</v>
      </c>
      <c r="E4039" s="2" t="str">
        <f>HYPERLINK("http://ts.21cn.com/tousu/show/id/1334791","http://ts.21cn.com/tousu/show/id/1334791")</f>
        <v>http://ts.21cn.com/tousu/show/id/1334791</v>
      </c>
      <c r="F4039" s="2" t="s">
        <v>11</v>
      </c>
      <c r="G4039" s="2" t="s">
        <v>36203</v>
      </c>
      <c r="H4039" s="2" t="s">
        <v>36204</v>
      </c>
    </row>
    <row r="4040" spans="1:8" ht="25.05" customHeight="1" x14ac:dyDescent="0.25">
      <c r="A4040" s="2" t="s">
        <v>8</v>
      </c>
      <c r="B4040" s="2" t="str">
        <f>HYPERLINK("http://ts.21cn.com/tousu/show/id/1334792","逾期第一天就开始骚扰联系，很烦，没有规则性")</f>
        <v>逾期第一天就开始骚扰联系，很烦，没有规则性</v>
      </c>
      <c r="C4040" s="2" t="s">
        <v>9</v>
      </c>
      <c r="D4040" s="2" t="s">
        <v>10</v>
      </c>
      <c r="E4040" s="2" t="str">
        <f>HYPERLINK("http://ts.21cn.com/tousu/show/id/1334792","http://ts.21cn.com/tousu/show/id/1334792")</f>
        <v>http://ts.21cn.com/tousu/show/id/1334792</v>
      </c>
      <c r="F4040" s="2" t="s">
        <v>11</v>
      </c>
      <c r="G4040" s="2" t="s">
        <v>36201</v>
      </c>
      <c r="H4040" s="2" t="s">
        <v>36202</v>
      </c>
    </row>
    <row r="4041" spans="1:8" ht="25.05" customHeight="1" x14ac:dyDescent="0.25">
      <c r="A4041" s="2" t="s">
        <v>8</v>
      </c>
      <c r="B4041" s="2" t="str">
        <f>HYPERLINK("http://ts.21cn.com/tousu/show/id/1334793","不要骚扰我的家人")</f>
        <v>不要骚扰我的家人</v>
      </c>
      <c r="C4041" s="2" t="s">
        <v>34</v>
      </c>
      <c r="D4041" s="2" t="s">
        <v>10</v>
      </c>
      <c r="E4041" s="2" t="str">
        <f>HYPERLINK("http://ts.21cn.com/tousu/show/id/1334793","http://ts.21cn.com/tousu/show/id/1334793")</f>
        <v>http://ts.21cn.com/tousu/show/id/1334793</v>
      </c>
      <c r="F4041" s="2" t="s">
        <v>11</v>
      </c>
      <c r="G4041" s="2" t="s">
        <v>36199</v>
      </c>
      <c r="H4041" s="2" t="s">
        <v>36200</v>
      </c>
    </row>
    <row r="4042" spans="1:8" ht="25.05" customHeight="1" x14ac:dyDescent="0.25">
      <c r="A4042" s="2" t="s">
        <v>8</v>
      </c>
      <c r="B4042" s="2" t="str">
        <f>HYPERLINK("http://ts.21cn.com/tousu/show/id/1334794","漯河市郾城区天吧做日用百货店给博彩平台提供支付通道")</f>
        <v>漯河市郾城区天吧做日用百货店给博彩平台提供支付通道</v>
      </c>
      <c r="C4042" s="2" t="s">
        <v>9</v>
      </c>
      <c r="D4042" s="2" t="s">
        <v>10</v>
      </c>
      <c r="E4042" s="2" t="str">
        <f>HYPERLINK("http://ts.21cn.com/tousu/show/id/1334794","http://ts.21cn.com/tousu/show/id/1334794")</f>
        <v>http://ts.21cn.com/tousu/show/id/1334794</v>
      </c>
      <c r="F4042" s="2" t="s">
        <v>11</v>
      </c>
      <c r="G4042" s="2" t="s">
        <v>36197</v>
      </c>
      <c r="H4042" s="2" t="s">
        <v>36198</v>
      </c>
    </row>
    <row r="4043" spans="1:8" ht="25.05" customHeight="1" x14ac:dyDescent="0.25">
      <c r="A4043" s="2" t="s">
        <v>8</v>
      </c>
      <c r="B4043" s="2" t="str">
        <f>HYPERLINK("http://ts.21cn.com/tousu/show/id/1334795","全家便利店张杨路店本人做了6天工作没有发工资")</f>
        <v>全家便利店张杨路店本人做了6天工作没有发工资</v>
      </c>
      <c r="C4043" s="2" t="s">
        <v>9</v>
      </c>
      <c r="D4043" s="2" t="s">
        <v>10</v>
      </c>
      <c r="E4043" s="2" t="str">
        <f>HYPERLINK("http://ts.21cn.com/tousu/show/id/1334795","http://ts.21cn.com/tousu/show/id/1334795")</f>
        <v>http://ts.21cn.com/tousu/show/id/1334795</v>
      </c>
      <c r="F4043" s="2" t="s">
        <v>11</v>
      </c>
      <c r="G4043" s="2" t="s">
        <v>36195</v>
      </c>
      <c r="H4043" s="2" t="s">
        <v>36196</v>
      </c>
    </row>
    <row r="4044" spans="1:8" ht="25.05" customHeight="1" x14ac:dyDescent="0.25">
      <c r="A4044" s="2" t="s">
        <v>8</v>
      </c>
      <c r="B4044" s="2" t="str">
        <f>HYPERLINK("http://ts.21cn.com/tousu/show/id/1334796","高利贷，催收恐吓，威胁")</f>
        <v>高利贷，催收恐吓，威胁</v>
      </c>
      <c r="C4044" s="2" t="s">
        <v>9</v>
      </c>
      <c r="D4044" s="2" t="s">
        <v>10</v>
      </c>
      <c r="E4044" s="2" t="str">
        <f>HYPERLINK("http://ts.21cn.com/tousu/show/id/1334796","http://ts.21cn.com/tousu/show/id/1334796")</f>
        <v>http://ts.21cn.com/tousu/show/id/1334796</v>
      </c>
      <c r="F4044" s="2" t="s">
        <v>11</v>
      </c>
      <c r="G4044" s="2" t="s">
        <v>36193</v>
      </c>
      <c r="H4044" s="2" t="s">
        <v>36194</v>
      </c>
    </row>
    <row r="4045" spans="1:8" ht="25.05" customHeight="1" x14ac:dyDescent="0.25">
      <c r="A4045" s="2" t="s">
        <v>8</v>
      </c>
      <c r="B4045" s="2" t="str">
        <f>HYPERLINK("http://ts.21cn.com/tousu/show/id/1334797","新橙优品还款日无提醒导致逾期")</f>
        <v>新橙优品还款日无提醒导致逾期</v>
      </c>
      <c r="C4045" s="2" t="s">
        <v>34</v>
      </c>
      <c r="D4045" s="2" t="s">
        <v>10</v>
      </c>
      <c r="E4045" s="2" t="str">
        <f>HYPERLINK("http://ts.21cn.com/tousu/show/id/1334797","http://ts.21cn.com/tousu/show/id/1334797")</f>
        <v>http://ts.21cn.com/tousu/show/id/1334797</v>
      </c>
      <c r="F4045" s="2" t="s">
        <v>11</v>
      </c>
      <c r="G4045" s="2" t="s">
        <v>36191</v>
      </c>
      <c r="H4045" s="2" t="s">
        <v>36192</v>
      </c>
    </row>
    <row r="4046" spans="1:8" ht="25.05" customHeight="1" x14ac:dyDescent="0.25">
      <c r="A4046" s="2" t="s">
        <v>8</v>
      </c>
      <c r="B4046" s="2" t="str">
        <f>HYPERLINK("http://ts.21cn.com/tousu/show/id/1334799","钱站高利贷，催收骚扰恐吓")</f>
        <v>钱站高利贷，催收骚扰恐吓</v>
      </c>
      <c r="C4046" s="2" t="s">
        <v>9</v>
      </c>
      <c r="D4046" s="2" t="s">
        <v>10</v>
      </c>
      <c r="E4046" s="2" t="str">
        <f>HYPERLINK("http://ts.21cn.com/tousu/show/id/1334799","http://ts.21cn.com/tousu/show/id/1334799")</f>
        <v>http://ts.21cn.com/tousu/show/id/1334799</v>
      </c>
      <c r="F4046" s="2" t="s">
        <v>11</v>
      </c>
      <c r="G4046" s="2" t="s">
        <v>36188</v>
      </c>
      <c r="H4046" s="2" t="s">
        <v>36189</v>
      </c>
    </row>
    <row r="4047" spans="1:8" ht="25.05" customHeight="1" x14ac:dyDescent="0.25">
      <c r="A4047" s="2" t="s">
        <v>8</v>
      </c>
      <c r="B4047" s="2" t="str">
        <f>HYPERLINK("http://ts.21cn.com/tousu/show/id/1334798","高利贷恐吓")</f>
        <v>高利贷恐吓</v>
      </c>
      <c r="C4047" s="2" t="s">
        <v>9</v>
      </c>
      <c r="D4047" s="2" t="s">
        <v>10</v>
      </c>
      <c r="E4047" s="2" t="str">
        <f>HYPERLINK("http://ts.21cn.com/tousu/show/id/1334798","http://ts.21cn.com/tousu/show/id/1334798")</f>
        <v>http://ts.21cn.com/tousu/show/id/1334798</v>
      </c>
      <c r="F4047" s="2" t="s">
        <v>11</v>
      </c>
      <c r="G4047" s="2" t="s">
        <v>36188</v>
      </c>
      <c r="H4047" s="2" t="s">
        <v>36190</v>
      </c>
    </row>
    <row r="4048" spans="1:8" ht="25.05" customHeight="1" x14ac:dyDescent="0.25">
      <c r="A4048" s="2" t="s">
        <v>8</v>
      </c>
      <c r="B4048" s="2" t="str">
        <f>HYPERLINK("http://ts.21cn.com/tousu/show/id/1334800","非法扣钱")</f>
        <v>非法扣钱</v>
      </c>
      <c r="C4048" s="2" t="s">
        <v>9</v>
      </c>
      <c r="D4048" s="2" t="s">
        <v>10</v>
      </c>
      <c r="E4048" s="2" t="str">
        <f>HYPERLINK("http://ts.21cn.com/tousu/show/id/1334800","http://ts.21cn.com/tousu/show/id/1334800")</f>
        <v>http://ts.21cn.com/tousu/show/id/1334800</v>
      </c>
      <c r="F4048" s="2" t="s">
        <v>11</v>
      </c>
      <c r="G4048" s="2" t="s">
        <v>36186</v>
      </c>
      <c r="H4048" s="2" t="s">
        <v>36187</v>
      </c>
    </row>
    <row r="4049" spans="1:8" ht="25.05" customHeight="1" x14ac:dyDescent="0.25">
      <c r="A4049" s="2" t="s">
        <v>8</v>
      </c>
      <c r="B4049" s="2" t="str">
        <f>HYPERLINK("http://ts.21cn.com/tousu/show/id/1334801","平安普惠恶意催收")</f>
        <v>平安普惠恶意催收</v>
      </c>
      <c r="C4049" s="2" t="s">
        <v>9</v>
      </c>
      <c r="D4049" s="2" t="s">
        <v>10</v>
      </c>
      <c r="E4049" s="2" t="str">
        <f>HYPERLINK("http://ts.21cn.com/tousu/show/id/1334801","http://ts.21cn.com/tousu/show/id/1334801")</f>
        <v>http://ts.21cn.com/tousu/show/id/1334801</v>
      </c>
      <c r="F4049" s="2" t="s">
        <v>11</v>
      </c>
      <c r="G4049" s="2" t="s">
        <v>36184</v>
      </c>
      <c r="H4049" s="2" t="s">
        <v>36185</v>
      </c>
    </row>
    <row r="4050" spans="1:8" ht="25.05" customHeight="1" x14ac:dyDescent="0.25">
      <c r="A4050" s="2" t="s">
        <v>8</v>
      </c>
      <c r="B4050" s="2" t="str">
        <f>HYPERLINK("http://ts.21cn.com/tousu/show/id/1334783","美团会员红包办理不合理")</f>
        <v>美团会员红包办理不合理</v>
      </c>
      <c r="C4050" s="2" t="s">
        <v>34</v>
      </c>
      <c r="D4050" s="2" t="s">
        <v>10</v>
      </c>
      <c r="E4050" s="2" t="str">
        <f>HYPERLINK("http://ts.21cn.com/tousu/show/id/1334783","http://ts.21cn.com/tousu/show/id/1334783")</f>
        <v>http://ts.21cn.com/tousu/show/id/1334783</v>
      </c>
      <c r="F4050" s="2" t="s">
        <v>11</v>
      </c>
      <c r="G4050" s="2" t="s">
        <v>36182</v>
      </c>
      <c r="H4050" s="2" t="s">
        <v>36183</v>
      </c>
    </row>
    <row r="4051" spans="1:8" ht="25.05" customHeight="1" x14ac:dyDescent="0.25">
      <c r="A4051" s="2" t="s">
        <v>8</v>
      </c>
      <c r="B4051" s="2" t="str">
        <f>HYPERLINK("http://ts.21cn.com/tousu/show/id/1334802","北京友缘在线网络科技股份有限公司明显存在欺诈行为")</f>
        <v>北京友缘在线网络科技股份有限公司明显存在欺诈行为</v>
      </c>
      <c r="C4051" s="2" t="s">
        <v>9</v>
      </c>
      <c r="D4051" s="2" t="s">
        <v>10</v>
      </c>
      <c r="E4051" s="2" t="str">
        <f>HYPERLINK("http://ts.21cn.com/tousu/show/id/1334802","http://ts.21cn.com/tousu/show/id/1334802")</f>
        <v>http://ts.21cn.com/tousu/show/id/1334802</v>
      </c>
      <c r="F4051" s="2" t="s">
        <v>11</v>
      </c>
      <c r="G4051" s="2" t="s">
        <v>36180</v>
      </c>
      <c r="H4051" s="2" t="s">
        <v>36181</v>
      </c>
    </row>
    <row r="4052" spans="1:8" ht="25.05" customHeight="1" x14ac:dyDescent="0.25">
      <c r="A4052" s="2" t="s">
        <v>8</v>
      </c>
      <c r="B4052" s="2" t="str">
        <f>HYPERLINK("http://ts.21cn.com/tousu/show/id/1334803","乳山市方海百货店给博彩平台提供支付通道")</f>
        <v>乳山市方海百货店给博彩平台提供支付通道</v>
      </c>
      <c r="C4052" s="2" t="s">
        <v>9</v>
      </c>
      <c r="D4052" s="2" t="s">
        <v>10</v>
      </c>
      <c r="E4052" s="2" t="str">
        <f>HYPERLINK("http://ts.21cn.com/tousu/show/id/1334803","http://ts.21cn.com/tousu/show/id/1334803")</f>
        <v>http://ts.21cn.com/tousu/show/id/1334803</v>
      </c>
      <c r="F4052" s="2" t="s">
        <v>11</v>
      </c>
      <c r="G4052" s="2" t="s">
        <v>36178</v>
      </c>
      <c r="H4052" s="2" t="s">
        <v>36179</v>
      </c>
    </row>
    <row r="4053" spans="1:8" ht="25.05" customHeight="1" x14ac:dyDescent="0.25">
      <c r="A4053" s="2" t="s">
        <v>8</v>
      </c>
      <c r="B4053" s="2" t="str">
        <f>HYPERLINK("http://ts.21cn.com/tousu/show/id/1334805","用钱宝涉嫌套路用户")</f>
        <v>用钱宝涉嫌套路用户</v>
      </c>
      <c r="C4053" s="2" t="s">
        <v>9</v>
      </c>
      <c r="D4053" s="2" t="s">
        <v>10</v>
      </c>
      <c r="E4053" s="2" t="str">
        <f>HYPERLINK("http://ts.21cn.com/tousu/show/id/1334805","http://ts.21cn.com/tousu/show/id/1334805")</f>
        <v>http://ts.21cn.com/tousu/show/id/1334805</v>
      </c>
      <c r="F4053" s="2" t="s">
        <v>11</v>
      </c>
      <c r="G4053" s="2" t="s">
        <v>36176</v>
      </c>
      <c r="H4053" s="2" t="s">
        <v>36177</v>
      </c>
    </row>
    <row r="4054" spans="1:8" ht="25.05" customHeight="1" x14ac:dyDescent="0.25">
      <c r="A4054" s="2" t="s">
        <v>8</v>
      </c>
      <c r="B4054" s="2" t="str">
        <f>HYPERLINK("http://ts.21cn.com/tousu/show/id/1334807","强制性收担保费")</f>
        <v>强制性收担保费</v>
      </c>
      <c r="C4054" s="2" t="s">
        <v>9</v>
      </c>
      <c r="D4054" s="2" t="s">
        <v>10</v>
      </c>
      <c r="E4054" s="2" t="str">
        <f>HYPERLINK("http://ts.21cn.com/tousu/show/id/1334807","http://ts.21cn.com/tousu/show/id/1334807")</f>
        <v>http://ts.21cn.com/tousu/show/id/1334807</v>
      </c>
      <c r="F4054" s="2" t="s">
        <v>11</v>
      </c>
      <c r="G4054" s="2" t="s">
        <v>36174</v>
      </c>
      <c r="H4054" s="2" t="s">
        <v>36175</v>
      </c>
    </row>
    <row r="4055" spans="1:8" ht="25.05" customHeight="1" x14ac:dyDescent="0.25">
      <c r="A4055" s="2" t="s">
        <v>8</v>
      </c>
      <c r="B4055" s="2" t="str">
        <f>HYPERLINK("http://ts.21cn.com/tousu/show/id/1334806","要求退还哼哼以及瞬瞬到账金额销账利率太高无法接受")</f>
        <v>要求退还哼哼以及瞬瞬到账金额销账利率太高无法接受</v>
      </c>
      <c r="C4055" s="2" t="s">
        <v>34</v>
      </c>
      <c r="D4055" s="2" t="s">
        <v>10</v>
      </c>
      <c r="E4055" s="2" t="str">
        <f>HYPERLINK("http://ts.21cn.com/tousu/show/id/1334806","http://ts.21cn.com/tousu/show/id/1334806")</f>
        <v>http://ts.21cn.com/tousu/show/id/1334806</v>
      </c>
      <c r="F4055" s="2" t="s">
        <v>11</v>
      </c>
      <c r="G4055" s="2" t="s">
        <v>36172</v>
      </c>
      <c r="H4055" s="2" t="s">
        <v>36173</v>
      </c>
    </row>
    <row r="4056" spans="1:8" ht="25.05" customHeight="1" x14ac:dyDescent="0.25">
      <c r="A4056" s="2" t="s">
        <v>8</v>
      </c>
      <c r="B4056" s="2" t="str">
        <f>HYPERLINK("http://ts.21cn.com/tousu/show/id/1334808","无法和客服达成一致")</f>
        <v>无法和客服达成一致</v>
      </c>
      <c r="C4056" s="2" t="s">
        <v>9</v>
      </c>
      <c r="D4056" s="2" t="s">
        <v>10</v>
      </c>
      <c r="E4056" s="2" t="str">
        <f>HYPERLINK("http://ts.21cn.com/tousu/show/id/1334808","http://ts.21cn.com/tousu/show/id/1334808")</f>
        <v>http://ts.21cn.com/tousu/show/id/1334808</v>
      </c>
      <c r="F4056" s="2" t="s">
        <v>11</v>
      </c>
      <c r="G4056" s="2" t="s">
        <v>36170</v>
      </c>
      <c r="H4056" s="2" t="s">
        <v>36171</v>
      </c>
    </row>
    <row r="4057" spans="1:8" ht="25.05" customHeight="1" x14ac:dyDescent="0.25">
      <c r="A4057" s="2" t="s">
        <v>8</v>
      </c>
      <c r="B4057" s="2" t="str">
        <f>HYPERLINK("http://ts.21cn.com/tousu/show/id/1334809","及贷放砍头贷而且年化利息超过36％隐藏借款合同")</f>
        <v>及贷放砍头贷而且年化利息超过36％隐藏借款合同</v>
      </c>
      <c r="C4057" s="2" t="s">
        <v>34</v>
      </c>
      <c r="D4057" s="2" t="s">
        <v>10</v>
      </c>
      <c r="E4057" s="2" t="str">
        <f>HYPERLINK("http://ts.21cn.com/tousu/show/id/1334809","http://ts.21cn.com/tousu/show/id/1334809")</f>
        <v>http://ts.21cn.com/tousu/show/id/1334809</v>
      </c>
      <c r="F4057" s="2" t="s">
        <v>11</v>
      </c>
      <c r="G4057" s="2" t="s">
        <v>36168</v>
      </c>
      <c r="H4057" s="2" t="s">
        <v>36169</v>
      </c>
    </row>
    <row r="4058" spans="1:8" ht="25.05" customHeight="1" x14ac:dyDescent="0.25">
      <c r="A4058" s="2" t="s">
        <v>8</v>
      </c>
      <c r="B4058" s="2" t="str">
        <f>HYPERLINK("http://ts.21cn.com/tousu/show/id/1334810","漯河市郾城区佳一五号日用百货店违规给博彩平台提供支付通道")</f>
        <v>漯河市郾城区佳一五号日用百货店违规给博彩平台提供支付通道</v>
      </c>
      <c r="C4058" s="2" t="s">
        <v>9</v>
      </c>
      <c r="D4058" s="2" t="s">
        <v>10</v>
      </c>
      <c r="E4058" s="2" t="str">
        <f>HYPERLINK("http://ts.21cn.com/tousu/show/id/1334810","http://ts.21cn.com/tousu/show/id/1334810")</f>
        <v>http://ts.21cn.com/tousu/show/id/1334810</v>
      </c>
      <c r="F4058" s="2" t="s">
        <v>11</v>
      </c>
      <c r="G4058" s="2" t="s">
        <v>36166</v>
      </c>
      <c r="H4058" s="2" t="s">
        <v>36167</v>
      </c>
    </row>
    <row r="4059" spans="1:8" ht="25.05" customHeight="1" x14ac:dyDescent="0.25">
      <c r="A4059" s="2" t="s">
        <v>8</v>
      </c>
      <c r="B4059" s="2" t="str">
        <f>HYPERLINK("http://ts.21cn.com/tousu/show/id/1334782","严正交涉，马上取消分期付款合同。")</f>
        <v>严正交涉，马上取消分期付款合同。</v>
      </c>
      <c r="C4059" s="2" t="s">
        <v>34</v>
      </c>
      <c r="D4059" s="2" t="s">
        <v>10</v>
      </c>
      <c r="E4059" s="2" t="str">
        <f>HYPERLINK("http://ts.21cn.com/tousu/show/id/1334782","http://ts.21cn.com/tousu/show/id/1334782")</f>
        <v>http://ts.21cn.com/tousu/show/id/1334782</v>
      </c>
      <c r="F4059" s="2" t="s">
        <v>11</v>
      </c>
      <c r="G4059" s="2" t="s">
        <v>36164</v>
      </c>
      <c r="H4059" s="2" t="s">
        <v>36165</v>
      </c>
    </row>
    <row r="4060" spans="1:8" ht="25.05" customHeight="1" x14ac:dyDescent="0.25">
      <c r="A4060" s="2" t="s">
        <v>8</v>
      </c>
      <c r="B4060" s="2" t="str">
        <f>HYPERLINK("http://ts.21cn.com/tousu/show/id/1334811","国美易卡系统问题扣款失败")</f>
        <v>国美易卡系统问题扣款失败</v>
      </c>
      <c r="C4060" s="2" t="s">
        <v>34</v>
      </c>
      <c r="D4060" s="2" t="s">
        <v>10</v>
      </c>
      <c r="E4060" s="2" t="str">
        <f>HYPERLINK("http://ts.21cn.com/tousu/show/id/1334811","http://ts.21cn.com/tousu/show/id/1334811")</f>
        <v>http://ts.21cn.com/tousu/show/id/1334811</v>
      </c>
      <c r="F4060" s="2" t="s">
        <v>11</v>
      </c>
      <c r="G4060" s="2" t="s">
        <v>36162</v>
      </c>
      <c r="H4060" s="2" t="s">
        <v>36163</v>
      </c>
    </row>
    <row r="4061" spans="1:8" ht="25.05" customHeight="1" x14ac:dyDescent="0.25">
      <c r="A4061" s="2" t="s">
        <v>8</v>
      </c>
      <c r="B4061" s="2" t="str">
        <f>HYPERLINK("http://ts.21cn.com/tousu/show/id/1334812","飞猪平台欺诈和诱导消费者")</f>
        <v>飞猪平台欺诈和诱导消费者</v>
      </c>
      <c r="C4061" s="2" t="s">
        <v>9</v>
      </c>
      <c r="D4061" s="2" t="s">
        <v>10</v>
      </c>
      <c r="E4061" s="2" t="str">
        <f>HYPERLINK("http://ts.21cn.com/tousu/show/id/1334812","http://ts.21cn.com/tousu/show/id/1334812")</f>
        <v>http://ts.21cn.com/tousu/show/id/1334812</v>
      </c>
      <c r="F4061" s="2" t="s">
        <v>11</v>
      </c>
      <c r="G4061" s="2" t="s">
        <v>36160</v>
      </c>
      <c r="H4061" s="2" t="s">
        <v>36161</v>
      </c>
    </row>
    <row r="4062" spans="1:8" ht="25.05" customHeight="1" x14ac:dyDescent="0.25">
      <c r="A4062" s="2" t="s">
        <v>8</v>
      </c>
      <c r="B4062" s="2" t="str">
        <f>HYPERLINK("http://ts.21cn.com/tousu/show/id/1334804","借贷宝平台上的出借方暴力催收")</f>
        <v>借贷宝平台上的出借方暴力催收</v>
      </c>
      <c r="C4062" s="2" t="s">
        <v>9</v>
      </c>
      <c r="D4062" s="2" t="s">
        <v>10</v>
      </c>
      <c r="E4062" s="2" t="str">
        <f>HYPERLINK("http://ts.21cn.com/tousu/show/id/1334804","http://ts.21cn.com/tousu/show/id/1334804")</f>
        <v>http://ts.21cn.com/tousu/show/id/1334804</v>
      </c>
      <c r="F4062" s="2" t="s">
        <v>11</v>
      </c>
      <c r="G4062" s="2" t="s">
        <v>36158</v>
      </c>
      <c r="H4062" s="2" t="s">
        <v>36159</v>
      </c>
    </row>
    <row r="4063" spans="1:8" ht="25.05" customHeight="1" x14ac:dyDescent="0.25">
      <c r="A4063" s="2" t="s">
        <v>8</v>
      </c>
      <c r="B4063" s="2" t="str">
        <f>HYPERLINK("http://ts.21cn.com/tousu/show/id/1334813","盗刷私自扣款要求退款")</f>
        <v>盗刷私自扣款要求退款</v>
      </c>
      <c r="C4063" s="2" t="s">
        <v>9</v>
      </c>
      <c r="D4063" s="2" t="s">
        <v>10</v>
      </c>
      <c r="E4063" s="2" t="str">
        <f>HYPERLINK("http://ts.21cn.com/tousu/show/id/1334813","http://ts.21cn.com/tousu/show/id/1334813")</f>
        <v>http://ts.21cn.com/tousu/show/id/1334813</v>
      </c>
      <c r="F4063" s="2" t="s">
        <v>11</v>
      </c>
      <c r="G4063" s="2" t="s">
        <v>36156</v>
      </c>
      <c r="H4063" s="2" t="s">
        <v>36157</v>
      </c>
    </row>
    <row r="4064" spans="1:8" ht="25.05" customHeight="1" x14ac:dyDescent="0.25">
      <c r="A4064" s="2" t="s">
        <v>8</v>
      </c>
      <c r="B4064" s="2" t="str">
        <f>HYPERLINK("http://ts.21cn.com/tousu/show/id/1334814","借贷平台不能提前还款，且没有自动扣除还款金额导致逾期1天收了违约金")</f>
        <v>借贷平台不能提前还款，且没有自动扣除还款金额导致逾期1天收了违约金</v>
      </c>
      <c r="C4064" s="2" t="s">
        <v>9</v>
      </c>
      <c r="D4064" s="2" t="s">
        <v>10</v>
      </c>
      <c r="E4064" s="2" t="str">
        <f>HYPERLINK("http://ts.21cn.com/tousu/show/id/1334814","http://ts.21cn.com/tousu/show/id/1334814")</f>
        <v>http://ts.21cn.com/tousu/show/id/1334814</v>
      </c>
      <c r="F4064" s="2" t="s">
        <v>11</v>
      </c>
      <c r="G4064" s="2" t="s">
        <v>36154</v>
      </c>
      <c r="H4064" s="2" t="s">
        <v>36155</v>
      </c>
    </row>
    <row r="4065" spans="1:8" ht="25.05" customHeight="1" x14ac:dyDescent="0.25">
      <c r="A4065" s="2" t="s">
        <v>8</v>
      </c>
      <c r="B4065" s="2" t="str">
        <f>HYPERLINK("http://ts.21cn.com/tousu/show/id/1334815","创维电视酷开会员退费")</f>
        <v>创维电视酷开会员退费</v>
      </c>
      <c r="C4065" s="2" t="s">
        <v>9</v>
      </c>
      <c r="D4065" s="2" t="s">
        <v>10</v>
      </c>
      <c r="E4065" s="2" t="str">
        <f>HYPERLINK("http://ts.21cn.com/tousu/show/id/1334815","http://ts.21cn.com/tousu/show/id/1334815")</f>
        <v>http://ts.21cn.com/tousu/show/id/1334815</v>
      </c>
      <c r="F4065" s="2" t="s">
        <v>11</v>
      </c>
      <c r="G4065" s="2" t="s">
        <v>36152</v>
      </c>
      <c r="H4065" s="2" t="s">
        <v>36153</v>
      </c>
    </row>
    <row r="4066" spans="1:8" ht="25.05" customHeight="1" x14ac:dyDescent="0.25">
      <c r="A4066" s="2" t="s">
        <v>8</v>
      </c>
      <c r="B4066" s="2" t="str">
        <f>HYPERLINK("http://ts.21cn.com/tousu/show/id/1334816","小问题太多闹心")</f>
        <v>小问题太多闹心</v>
      </c>
      <c r="C4066" s="2" t="s">
        <v>9</v>
      </c>
      <c r="D4066" s="2" t="s">
        <v>10</v>
      </c>
      <c r="E4066" s="2" t="str">
        <f>HYPERLINK("http://ts.21cn.com/tousu/show/id/1334816","http://ts.21cn.com/tousu/show/id/1334816")</f>
        <v>http://ts.21cn.com/tousu/show/id/1334816</v>
      </c>
      <c r="F4066" s="2" t="s">
        <v>11</v>
      </c>
      <c r="G4066" s="2" t="s">
        <v>36150</v>
      </c>
      <c r="H4066" s="2" t="s">
        <v>36151</v>
      </c>
    </row>
    <row r="4067" spans="1:8" ht="25.05" customHeight="1" x14ac:dyDescent="0.25">
      <c r="A4067" s="2" t="s">
        <v>8</v>
      </c>
      <c r="B4067" s="2" t="str">
        <f>HYPERLINK("http://ts.21cn.com/tousu/show/id/1334817","盗刷人民币")</f>
        <v>盗刷人民币</v>
      </c>
      <c r="C4067" s="2" t="s">
        <v>9</v>
      </c>
      <c r="D4067" s="2" t="s">
        <v>10</v>
      </c>
      <c r="E4067" s="2" t="str">
        <f>HYPERLINK("http://ts.21cn.com/tousu/show/id/1334817","http://ts.21cn.com/tousu/show/id/1334817")</f>
        <v>http://ts.21cn.com/tousu/show/id/1334817</v>
      </c>
      <c r="F4067" s="2" t="s">
        <v>11</v>
      </c>
      <c r="G4067" s="2" t="s">
        <v>36148</v>
      </c>
      <c r="H4067" s="2" t="s">
        <v>36149</v>
      </c>
    </row>
    <row r="4068" spans="1:8" ht="25.05" customHeight="1" x14ac:dyDescent="0.25">
      <c r="A4068" s="2" t="s">
        <v>8</v>
      </c>
      <c r="B4068" s="2" t="str">
        <f>HYPERLINK("http://ts.21cn.com/tousu/show/id/1334818","驴妈妈权益金无法使用")</f>
        <v>驴妈妈权益金无法使用</v>
      </c>
      <c r="C4068" s="2" t="s">
        <v>9</v>
      </c>
      <c r="D4068" s="2" t="s">
        <v>10</v>
      </c>
      <c r="E4068" s="2" t="str">
        <f>HYPERLINK("http://ts.21cn.com/tousu/show/id/1334818","http://ts.21cn.com/tousu/show/id/1334818")</f>
        <v>http://ts.21cn.com/tousu/show/id/1334818</v>
      </c>
      <c r="F4068" s="2" t="s">
        <v>11</v>
      </c>
      <c r="G4068" s="2" t="s">
        <v>36146</v>
      </c>
      <c r="H4068" s="2" t="s">
        <v>36147</v>
      </c>
    </row>
    <row r="4069" spans="1:8" ht="25.05" customHeight="1" x14ac:dyDescent="0.25">
      <c r="A4069" s="2" t="s">
        <v>8</v>
      </c>
      <c r="B4069" s="2" t="str">
        <f>HYPERLINK("http://ts.21cn.com/tousu/show/id/1334819","原阳县初露百货商行违规给博彩平台提供支付通道")</f>
        <v>原阳县初露百货商行违规给博彩平台提供支付通道</v>
      </c>
      <c r="C4069" s="2" t="s">
        <v>9</v>
      </c>
      <c r="D4069" s="2" t="s">
        <v>10</v>
      </c>
      <c r="E4069" s="2" t="str">
        <f>HYPERLINK("http://ts.21cn.com/tousu/show/id/1334819","http://ts.21cn.com/tousu/show/id/1334819")</f>
        <v>http://ts.21cn.com/tousu/show/id/1334819</v>
      </c>
      <c r="F4069" s="2" t="s">
        <v>11</v>
      </c>
      <c r="G4069" s="2" t="s">
        <v>36144</v>
      </c>
      <c r="H4069" s="2" t="s">
        <v>36145</v>
      </c>
    </row>
    <row r="4070" spans="1:8" ht="25.05" customHeight="1" x14ac:dyDescent="0.25">
      <c r="A4070" s="2" t="s">
        <v>8</v>
      </c>
      <c r="B4070" s="2" t="str">
        <f>HYPERLINK("http://ts.21cn.com/tousu/show/id/1334820","暴力催收威胁恐吓")</f>
        <v>暴力催收威胁恐吓</v>
      </c>
      <c r="C4070" s="2" t="s">
        <v>9</v>
      </c>
      <c r="D4070" s="2" t="s">
        <v>10</v>
      </c>
      <c r="E4070" s="2" t="str">
        <f>HYPERLINK("http://ts.21cn.com/tousu/show/id/1334820","http://ts.21cn.com/tousu/show/id/1334820")</f>
        <v>http://ts.21cn.com/tousu/show/id/1334820</v>
      </c>
      <c r="F4070" s="2" t="s">
        <v>11</v>
      </c>
      <c r="G4070" s="2" t="s">
        <v>36142</v>
      </c>
      <c r="H4070" s="2" t="s">
        <v>36143</v>
      </c>
    </row>
    <row r="4071" spans="1:8" ht="25.05" customHeight="1" x14ac:dyDescent="0.25">
      <c r="A4071" s="2" t="s">
        <v>8</v>
      </c>
      <c r="B4071" s="2" t="str">
        <f>HYPERLINK("http://ts.21cn.com/tousu/show/id/1334821","安逸花欺诈消费者")</f>
        <v>安逸花欺诈消费者</v>
      </c>
      <c r="C4071" s="2" t="s">
        <v>9</v>
      </c>
      <c r="D4071" s="2" t="s">
        <v>10</v>
      </c>
      <c r="E4071" s="2" t="str">
        <f>HYPERLINK("http://ts.21cn.com/tousu/show/id/1334821","http://ts.21cn.com/tousu/show/id/1334821")</f>
        <v>http://ts.21cn.com/tousu/show/id/1334821</v>
      </c>
      <c r="F4071" s="2" t="s">
        <v>11</v>
      </c>
      <c r="G4071" s="2" t="s">
        <v>36140</v>
      </c>
      <c r="H4071" s="2" t="s">
        <v>36141</v>
      </c>
    </row>
    <row r="4072" spans="1:8" ht="25.05" customHeight="1" x14ac:dyDescent="0.25">
      <c r="A4072" s="2" t="s">
        <v>8</v>
      </c>
      <c r="B4072" s="2" t="str">
        <f>HYPERLINK("http://ts.21cn.com/tousu/show/id/1334822","垃圾平台乱收服务费")</f>
        <v>垃圾平台乱收服务费</v>
      </c>
      <c r="C4072" s="2" t="s">
        <v>9</v>
      </c>
      <c r="D4072" s="2" t="s">
        <v>10</v>
      </c>
      <c r="E4072" s="2" t="str">
        <f>HYPERLINK("http://ts.21cn.com/tousu/show/id/1334822","http://ts.21cn.com/tousu/show/id/1334822")</f>
        <v>http://ts.21cn.com/tousu/show/id/1334822</v>
      </c>
      <c r="F4072" s="2" t="s">
        <v>11</v>
      </c>
      <c r="G4072" s="2" t="s">
        <v>36138</v>
      </c>
      <c r="H4072" s="2" t="s">
        <v>36139</v>
      </c>
    </row>
    <row r="4073" spans="1:8" ht="25.05" customHeight="1" x14ac:dyDescent="0.25">
      <c r="A4073" s="2" t="s">
        <v>8</v>
      </c>
      <c r="B4073" s="2" t="str">
        <f>HYPERLINK("http://ts.21cn.com/tousu/show/id/1334823","平台做事太过分了")</f>
        <v>平台做事太过分了</v>
      </c>
      <c r="C4073" s="2" t="s">
        <v>9</v>
      </c>
      <c r="D4073" s="2" t="s">
        <v>10</v>
      </c>
      <c r="E4073" s="2" t="str">
        <f>HYPERLINK("http://ts.21cn.com/tousu/show/id/1334823","http://ts.21cn.com/tousu/show/id/1334823")</f>
        <v>http://ts.21cn.com/tousu/show/id/1334823</v>
      </c>
      <c r="F4073" s="2" t="s">
        <v>11</v>
      </c>
      <c r="G4073" s="2" t="s">
        <v>36136</v>
      </c>
      <c r="H4073" s="2" t="s">
        <v>36137</v>
      </c>
    </row>
    <row r="4074" spans="1:8" ht="25.05" customHeight="1" x14ac:dyDescent="0.25">
      <c r="A4074" s="2" t="s">
        <v>8</v>
      </c>
      <c r="B4074" s="2" t="str">
        <f>HYPERLINK("http://ts.21cn.com/tousu/show/id/1334824","持续骚扰非借款人员，性质恶劣，投诉")</f>
        <v>持续骚扰非借款人员，性质恶劣，投诉</v>
      </c>
      <c r="C4074" s="2" t="s">
        <v>9</v>
      </c>
      <c r="D4074" s="2" t="s">
        <v>10</v>
      </c>
      <c r="E4074" s="2" t="str">
        <f>HYPERLINK("http://ts.21cn.com/tousu/show/id/1334824","http://ts.21cn.com/tousu/show/id/1334824")</f>
        <v>http://ts.21cn.com/tousu/show/id/1334824</v>
      </c>
      <c r="F4074" s="2" t="s">
        <v>11</v>
      </c>
      <c r="G4074" s="2" t="s">
        <v>36134</v>
      </c>
      <c r="H4074" s="2" t="s">
        <v>36135</v>
      </c>
    </row>
    <row r="4075" spans="1:8" ht="25.05" customHeight="1" x14ac:dyDescent="0.25">
      <c r="A4075" s="2" t="s">
        <v>8</v>
      </c>
      <c r="B4075" s="2" t="str">
        <f>HYPERLINK("http://ts.21cn.com/tousu/show/id/1334826","要求海风教育退款")</f>
        <v>要求海风教育退款</v>
      </c>
      <c r="C4075" s="2" t="s">
        <v>34</v>
      </c>
      <c r="D4075" s="2" t="s">
        <v>10</v>
      </c>
      <c r="E4075" s="2" t="str">
        <f>HYPERLINK("http://ts.21cn.com/tousu/show/id/1334826","http://ts.21cn.com/tousu/show/id/1334826")</f>
        <v>http://ts.21cn.com/tousu/show/id/1334826</v>
      </c>
      <c r="F4075" s="2" t="s">
        <v>11</v>
      </c>
      <c r="G4075" s="2" t="s">
        <v>36132</v>
      </c>
      <c r="H4075" s="2" t="s">
        <v>36133</v>
      </c>
    </row>
    <row r="4076" spans="1:8" ht="25.05" customHeight="1" x14ac:dyDescent="0.25">
      <c r="A4076" s="2" t="s">
        <v>8</v>
      </c>
      <c r="B4076" s="2" t="str">
        <f>HYPERLINK("http://ts.21cn.com/tousu/show/id/1334827","打电话威胁我，利息太高")</f>
        <v>打电话威胁我，利息太高</v>
      </c>
      <c r="C4076" s="2" t="s">
        <v>9</v>
      </c>
      <c r="D4076" s="2" t="s">
        <v>10</v>
      </c>
      <c r="E4076" s="2" t="str">
        <f>HYPERLINK("http://ts.21cn.com/tousu/show/id/1334827","http://ts.21cn.com/tousu/show/id/1334827")</f>
        <v>http://ts.21cn.com/tousu/show/id/1334827</v>
      </c>
      <c r="F4076" s="2" t="s">
        <v>11</v>
      </c>
      <c r="G4076" s="2" t="s">
        <v>36130</v>
      </c>
      <c r="H4076" s="2" t="s">
        <v>36131</v>
      </c>
    </row>
    <row r="4077" spans="1:8" ht="25.05" customHeight="1" x14ac:dyDescent="0.25">
      <c r="A4077" s="2" t="s">
        <v>8</v>
      </c>
      <c r="B4077" s="2" t="str">
        <f>HYPERLINK("http://ts.21cn.com/tousu/show/id/1334828","小浦优客恶意扣款")</f>
        <v>小浦优客恶意扣款</v>
      </c>
      <c r="C4077" s="2" t="s">
        <v>9</v>
      </c>
      <c r="D4077" s="2" t="s">
        <v>10</v>
      </c>
      <c r="E4077" s="2" t="str">
        <f>HYPERLINK("http://ts.21cn.com/tousu/show/id/1334828","http://ts.21cn.com/tousu/show/id/1334828")</f>
        <v>http://ts.21cn.com/tousu/show/id/1334828</v>
      </c>
      <c r="F4077" s="2" t="s">
        <v>11</v>
      </c>
      <c r="G4077" s="2" t="s">
        <v>36128</v>
      </c>
      <c r="H4077" s="2" t="s">
        <v>36129</v>
      </c>
    </row>
    <row r="4078" spans="1:8" ht="25.05" customHeight="1" x14ac:dyDescent="0.25">
      <c r="A4078" s="2" t="s">
        <v>8</v>
      </c>
      <c r="B4078" s="2" t="str">
        <f>HYPERLINK("http://ts.21cn.com/tousu/show/id/1334829","漯河市源汇区退完百货店违规给博彩平台提供支付通道")</f>
        <v>漯河市源汇区退完百货店违规给博彩平台提供支付通道</v>
      </c>
      <c r="C4078" s="2" t="s">
        <v>9</v>
      </c>
      <c r="D4078" s="2" t="s">
        <v>10</v>
      </c>
      <c r="E4078" s="2" t="str">
        <f>HYPERLINK("http://ts.21cn.com/tousu/show/id/1334829","http://ts.21cn.com/tousu/show/id/1334829")</f>
        <v>http://ts.21cn.com/tousu/show/id/1334829</v>
      </c>
      <c r="F4078" s="2" t="s">
        <v>11</v>
      </c>
      <c r="G4078" s="2" t="s">
        <v>36126</v>
      </c>
      <c r="H4078" s="2" t="s">
        <v>36127</v>
      </c>
    </row>
    <row r="4079" spans="1:8" ht="25.05" customHeight="1" x14ac:dyDescent="0.25">
      <c r="A4079" s="2" t="s">
        <v>8</v>
      </c>
      <c r="B4079" s="2" t="str">
        <f>HYPERLINK("http://ts.21cn.com/tousu/show/id/1334830","严重骚扰日常生活")</f>
        <v>严重骚扰日常生活</v>
      </c>
      <c r="C4079" s="2" t="s">
        <v>9</v>
      </c>
      <c r="D4079" s="2" t="s">
        <v>10</v>
      </c>
      <c r="E4079" s="2" t="str">
        <f>HYPERLINK("http://ts.21cn.com/tousu/show/id/1334830","http://ts.21cn.com/tousu/show/id/1334830")</f>
        <v>http://ts.21cn.com/tousu/show/id/1334830</v>
      </c>
      <c r="F4079" s="2" t="s">
        <v>11</v>
      </c>
      <c r="G4079" s="2" t="s">
        <v>36124</v>
      </c>
      <c r="H4079" s="2" t="s">
        <v>36125</v>
      </c>
    </row>
    <row r="4080" spans="1:8" ht="25.05" customHeight="1" x14ac:dyDescent="0.25">
      <c r="A4080" s="2" t="s">
        <v>8</v>
      </c>
      <c r="B4080" s="2" t="str">
        <f>HYPERLINK("http://ts.21cn.com/tousu/show/id/1334831","会牛科技月光侠")</f>
        <v>会牛科技月光侠</v>
      </c>
      <c r="C4080" s="2" t="s">
        <v>9</v>
      </c>
      <c r="D4080" s="2" t="s">
        <v>10</v>
      </c>
      <c r="E4080" s="2" t="str">
        <f>HYPERLINK("http://ts.21cn.com/tousu/show/id/1334831","http://ts.21cn.com/tousu/show/id/1334831")</f>
        <v>http://ts.21cn.com/tousu/show/id/1334831</v>
      </c>
      <c r="F4080" s="2" t="s">
        <v>11</v>
      </c>
      <c r="G4080" s="2" t="s">
        <v>36122</v>
      </c>
      <c r="H4080" s="2" t="s">
        <v>36123</v>
      </c>
    </row>
    <row r="4081" spans="1:8" ht="25.05" customHeight="1" x14ac:dyDescent="0.25">
      <c r="A4081" s="2" t="s">
        <v>8</v>
      </c>
      <c r="B4081" s="2" t="str">
        <f>HYPERLINK("http://ts.21cn.com/tousu/show/id/1334835","受贷上钱电话短信骚扰")</f>
        <v>受贷上钱电话短信骚扰</v>
      </c>
      <c r="C4081" s="2" t="s">
        <v>9</v>
      </c>
      <c r="D4081" s="2" t="s">
        <v>10</v>
      </c>
      <c r="E4081" s="2" t="str">
        <f>HYPERLINK("http://ts.21cn.com/tousu/show/id/1334835","http://ts.21cn.com/tousu/show/id/1334835")</f>
        <v>http://ts.21cn.com/tousu/show/id/1334835</v>
      </c>
      <c r="F4081" s="2" t="s">
        <v>11</v>
      </c>
      <c r="G4081" s="2" t="s">
        <v>36120</v>
      </c>
      <c r="H4081" s="2" t="s">
        <v>36121</v>
      </c>
    </row>
    <row r="4082" spans="1:8" ht="25.05" customHeight="1" x14ac:dyDescent="0.25">
      <c r="A4082" s="2" t="s">
        <v>8</v>
      </c>
      <c r="B4082" s="2" t="str">
        <f>HYPERLINK("http://ts.21cn.com/tousu/show/id/1334837","钱站高利贷阴阳合同")</f>
        <v>钱站高利贷阴阳合同</v>
      </c>
      <c r="C4082" s="2" t="s">
        <v>9</v>
      </c>
      <c r="D4082" s="2" t="s">
        <v>10</v>
      </c>
      <c r="E4082" s="2" t="str">
        <f>HYPERLINK("http://ts.21cn.com/tousu/show/id/1334837","http://ts.21cn.com/tousu/show/id/1334837")</f>
        <v>http://ts.21cn.com/tousu/show/id/1334837</v>
      </c>
      <c r="F4082" s="2" t="s">
        <v>11</v>
      </c>
      <c r="G4082" s="2" t="s">
        <v>36118</v>
      </c>
      <c r="H4082" s="2" t="s">
        <v>36119</v>
      </c>
    </row>
    <row r="4083" spans="1:8" ht="25.05" customHeight="1" x14ac:dyDescent="0.25">
      <c r="A4083" s="2" t="s">
        <v>8</v>
      </c>
      <c r="B4083" s="2" t="str">
        <f>HYPERLINK("http://ts.21cn.com/tousu/show/id/1334836","天天贷")</f>
        <v>天天贷</v>
      </c>
      <c r="C4083" s="2" t="s">
        <v>9</v>
      </c>
      <c r="D4083" s="2" t="s">
        <v>10</v>
      </c>
      <c r="E4083" s="2" t="str">
        <f>HYPERLINK("http://ts.21cn.com/tousu/show/id/1334836","http://ts.21cn.com/tousu/show/id/1334836")</f>
        <v>http://ts.21cn.com/tousu/show/id/1334836</v>
      </c>
      <c r="F4083" s="2" t="s">
        <v>11</v>
      </c>
      <c r="G4083" s="2" t="s">
        <v>36116</v>
      </c>
      <c r="H4083" s="2" t="s">
        <v>36117</v>
      </c>
    </row>
    <row r="4084" spans="1:8" ht="25.05" customHeight="1" x14ac:dyDescent="0.25">
      <c r="A4084" s="2" t="s">
        <v>8</v>
      </c>
      <c r="B4084" s="2" t="str">
        <f>HYPERLINK("http://ts.21cn.com/tousu/show/id/1334838","微信被限制提现，余额不让提现")</f>
        <v>微信被限制提现，余额不让提现</v>
      </c>
      <c r="C4084" s="2" t="s">
        <v>9</v>
      </c>
      <c r="D4084" s="2" t="s">
        <v>10</v>
      </c>
      <c r="E4084" s="2" t="str">
        <f>HYPERLINK("http://ts.21cn.com/tousu/show/id/1334838","http://ts.21cn.com/tousu/show/id/1334838")</f>
        <v>http://ts.21cn.com/tousu/show/id/1334838</v>
      </c>
      <c r="F4084" s="2" t="s">
        <v>11</v>
      </c>
      <c r="G4084" s="2" t="s">
        <v>36114</v>
      </c>
      <c r="H4084" s="2" t="s">
        <v>36115</v>
      </c>
    </row>
    <row r="4085" spans="1:8" ht="25.05" customHeight="1" x14ac:dyDescent="0.25">
      <c r="A4085" s="2" t="s">
        <v>8</v>
      </c>
      <c r="B4085" s="2" t="str">
        <f>HYPERLINK("http://ts.21cn.com/tousu/show/id/1334839","枣庄市峄城区博联电子商务中心违规给博彩平台提供支付通道")</f>
        <v>枣庄市峄城区博联电子商务中心违规给博彩平台提供支付通道</v>
      </c>
      <c r="C4085" s="2" t="s">
        <v>9</v>
      </c>
      <c r="D4085" s="2" t="s">
        <v>10</v>
      </c>
      <c r="E4085" s="2" t="str">
        <f>HYPERLINK("http://ts.21cn.com/tousu/show/id/1334839","http://ts.21cn.com/tousu/show/id/1334839")</f>
        <v>http://ts.21cn.com/tousu/show/id/1334839</v>
      </c>
      <c r="F4085" s="2" t="s">
        <v>11</v>
      </c>
      <c r="G4085" s="2" t="s">
        <v>36112</v>
      </c>
      <c r="H4085" s="2" t="s">
        <v>36113</v>
      </c>
    </row>
    <row r="4086" spans="1:8" ht="25.05" customHeight="1" x14ac:dyDescent="0.25">
      <c r="A4086" s="2" t="s">
        <v>8</v>
      </c>
      <c r="B4086" s="2" t="str">
        <f>HYPERLINK("http://ts.21cn.com/tousu/show/id/1334840","美团克扣员工押金")</f>
        <v>美团克扣员工押金</v>
      </c>
      <c r="C4086" s="2" t="s">
        <v>9</v>
      </c>
      <c r="D4086" s="2" t="s">
        <v>10</v>
      </c>
      <c r="E4086" s="2" t="str">
        <f>HYPERLINK("http://ts.21cn.com/tousu/show/id/1334840","http://ts.21cn.com/tousu/show/id/1334840")</f>
        <v>http://ts.21cn.com/tousu/show/id/1334840</v>
      </c>
      <c r="F4086" s="2" t="s">
        <v>11</v>
      </c>
      <c r="G4086" s="2" t="s">
        <v>36110</v>
      </c>
      <c r="H4086" s="2" t="s">
        <v>36111</v>
      </c>
    </row>
    <row r="4087" spans="1:8" ht="25.05" customHeight="1" x14ac:dyDescent="0.25">
      <c r="A4087" s="2" t="s">
        <v>8</v>
      </c>
      <c r="B4087" s="2" t="str">
        <f>HYPERLINK("http://ts.21cn.com/tousu/show/id/1334832","自由魔卡超级马力贷砍头息高利贷")</f>
        <v>自由魔卡超级马力贷砍头息高利贷</v>
      </c>
      <c r="C4087" s="2" t="s">
        <v>9</v>
      </c>
      <c r="D4087" s="2" t="s">
        <v>10</v>
      </c>
      <c r="E4087" s="2" t="str">
        <f>HYPERLINK("http://ts.21cn.com/tousu/show/id/1334832","http://ts.21cn.com/tousu/show/id/1334832")</f>
        <v>http://ts.21cn.com/tousu/show/id/1334832</v>
      </c>
      <c r="F4087" s="2" t="s">
        <v>11</v>
      </c>
      <c r="G4087" s="2" t="s">
        <v>36108</v>
      </c>
      <c r="H4087" s="2" t="s">
        <v>36109</v>
      </c>
    </row>
    <row r="4088" spans="1:8" ht="25.05" customHeight="1" x14ac:dyDescent="0.25">
      <c r="A4088" s="2" t="s">
        <v>8</v>
      </c>
      <c r="B4088" s="2" t="str">
        <f>HYPERLINK("http://ts.21cn.com/tousu/show/id/1334841","苏宁易购新机电脑质量问题")</f>
        <v>苏宁易购新机电脑质量问题</v>
      </c>
      <c r="C4088" s="2" t="s">
        <v>9</v>
      </c>
      <c r="D4088" s="2" t="s">
        <v>10</v>
      </c>
      <c r="E4088" s="2" t="str">
        <f>HYPERLINK("http://ts.21cn.com/tousu/show/id/1334841","http://ts.21cn.com/tousu/show/id/1334841")</f>
        <v>http://ts.21cn.com/tousu/show/id/1334841</v>
      </c>
      <c r="F4088" s="2" t="s">
        <v>11</v>
      </c>
      <c r="G4088" s="2" t="s">
        <v>36106</v>
      </c>
      <c r="H4088" s="2" t="s">
        <v>36107</v>
      </c>
    </row>
    <row r="4089" spans="1:8" ht="25.05" customHeight="1" x14ac:dyDescent="0.25">
      <c r="A4089" s="2" t="s">
        <v>8</v>
      </c>
      <c r="B4089" s="2" t="str">
        <f>HYPERLINK("http://ts.21cn.com/tousu/show/id/1334843","携程网购买的车票不给退款，")</f>
        <v>携程网购买的车票不给退款，</v>
      </c>
      <c r="C4089" s="2" t="s">
        <v>34</v>
      </c>
      <c r="D4089" s="2" t="s">
        <v>10</v>
      </c>
      <c r="E4089" s="2" t="str">
        <f>HYPERLINK("http://ts.21cn.com/tousu/show/id/1334843","http://ts.21cn.com/tousu/show/id/1334843")</f>
        <v>http://ts.21cn.com/tousu/show/id/1334843</v>
      </c>
      <c r="F4089" s="2" t="s">
        <v>11</v>
      </c>
      <c r="G4089" s="2" t="s">
        <v>36104</v>
      </c>
      <c r="H4089" s="2" t="s">
        <v>36105</v>
      </c>
    </row>
    <row r="4090" spans="1:8" ht="25.05" customHeight="1" x14ac:dyDescent="0.25">
      <c r="A4090" s="2" t="s">
        <v>8</v>
      </c>
      <c r="B4090" s="2" t="str">
        <f>HYPERLINK("http://ts.21cn.com/tousu/show/id/1334842","交易猫平台账号被找回")</f>
        <v>交易猫平台账号被找回</v>
      </c>
      <c r="C4090" s="2" t="s">
        <v>9</v>
      </c>
      <c r="D4090" s="2" t="s">
        <v>10</v>
      </c>
      <c r="E4090" s="2" t="str">
        <f>HYPERLINK("http://ts.21cn.com/tousu/show/id/1334842","http://ts.21cn.com/tousu/show/id/1334842")</f>
        <v>http://ts.21cn.com/tousu/show/id/1334842</v>
      </c>
      <c r="F4090" s="2" t="s">
        <v>11</v>
      </c>
      <c r="G4090" s="2" t="s">
        <v>36102</v>
      </c>
      <c r="H4090" s="2" t="s">
        <v>36103</v>
      </c>
    </row>
    <row r="4091" spans="1:8" ht="25.05" customHeight="1" x14ac:dyDescent="0.25">
      <c r="A4091" s="2" t="s">
        <v>8</v>
      </c>
      <c r="B4091" s="2" t="str">
        <f>HYPERLINK("http://ts.21cn.com/tousu/show/id/1334844","要求水莲金条协商还款金额")</f>
        <v>要求水莲金条协商还款金额</v>
      </c>
      <c r="C4091" s="2" t="s">
        <v>9</v>
      </c>
      <c r="D4091" s="2" t="s">
        <v>10</v>
      </c>
      <c r="E4091" s="2" t="str">
        <f>HYPERLINK("http://ts.21cn.com/tousu/show/id/1334844","http://ts.21cn.com/tousu/show/id/1334844")</f>
        <v>http://ts.21cn.com/tousu/show/id/1334844</v>
      </c>
      <c r="F4091" s="2" t="s">
        <v>11</v>
      </c>
      <c r="G4091" s="2" t="s">
        <v>36100</v>
      </c>
      <c r="H4091" s="2" t="s">
        <v>36101</v>
      </c>
    </row>
    <row r="4092" spans="1:8" ht="25.05" customHeight="1" x14ac:dyDescent="0.25">
      <c r="A4092" s="2" t="s">
        <v>8</v>
      </c>
      <c r="B4092" s="2" t="str">
        <f>HYPERLINK("http://ts.21cn.com/tousu/show/id/1334845","章鱼精选APP欺诈消费者")</f>
        <v>章鱼精选APP欺诈消费者</v>
      </c>
      <c r="C4092" s="2" t="s">
        <v>9</v>
      </c>
      <c r="D4092" s="2" t="s">
        <v>10</v>
      </c>
      <c r="E4092" s="2" t="str">
        <f>HYPERLINK("http://ts.21cn.com/tousu/show/id/1334845","http://ts.21cn.com/tousu/show/id/1334845")</f>
        <v>http://ts.21cn.com/tousu/show/id/1334845</v>
      </c>
      <c r="F4092" s="2" t="s">
        <v>11</v>
      </c>
      <c r="G4092" s="2" t="s">
        <v>36098</v>
      </c>
      <c r="H4092" s="2" t="s">
        <v>36099</v>
      </c>
    </row>
    <row r="4093" spans="1:8" ht="25.05" customHeight="1" x14ac:dyDescent="0.25">
      <c r="A4093" s="2" t="s">
        <v>8</v>
      </c>
      <c r="B4093" s="2" t="str">
        <f>HYPERLINK("http://ts.21cn.com/tousu/show/id/1334847","华硕主板氧化了在保修期内不保修叫我花钱买新的")</f>
        <v>华硕主板氧化了在保修期内不保修叫我花钱买新的</v>
      </c>
      <c r="C4093" s="2" t="s">
        <v>34</v>
      </c>
      <c r="D4093" s="2" t="s">
        <v>10</v>
      </c>
      <c r="E4093" s="2" t="str">
        <f>HYPERLINK("http://ts.21cn.com/tousu/show/id/1334847","http://ts.21cn.com/tousu/show/id/1334847")</f>
        <v>http://ts.21cn.com/tousu/show/id/1334847</v>
      </c>
      <c r="F4093" s="2" t="s">
        <v>11</v>
      </c>
      <c r="G4093" s="2" t="s">
        <v>36096</v>
      </c>
      <c r="H4093" s="2" t="s">
        <v>36097</v>
      </c>
    </row>
    <row r="4094" spans="1:8" ht="25.05" customHeight="1" x14ac:dyDescent="0.25">
      <c r="A4094" s="2" t="s">
        <v>8</v>
      </c>
      <c r="B4094" s="2" t="str">
        <f>HYPERLINK("http://ts.21cn.com/tousu/show/id/1334846","淘宝卖家发骚扰信息给买家要好评，把他这种骚扰行为写在评论上淘宝居然还允许商家屏蔽掉差评的评论，现在还在不断骚扰我")</f>
        <v>淘宝卖家发骚扰信息给买家要好评，把他这种骚扰行为写在评论上淘宝居然还允许商家屏蔽掉差评的评论，现在还在不断骚扰我</v>
      </c>
      <c r="C4094" s="2" t="s">
        <v>9</v>
      </c>
      <c r="D4094" s="2" t="s">
        <v>10</v>
      </c>
      <c r="E4094" s="2" t="str">
        <f>HYPERLINK("http://ts.21cn.com/tousu/show/id/1334846","http://ts.21cn.com/tousu/show/id/1334846")</f>
        <v>http://ts.21cn.com/tousu/show/id/1334846</v>
      </c>
      <c r="F4094" s="2" t="s">
        <v>11</v>
      </c>
      <c r="G4094" s="2" t="s">
        <v>36094</v>
      </c>
      <c r="H4094" s="2" t="s">
        <v>36095</v>
      </c>
    </row>
    <row r="4095" spans="1:8" ht="25.05" customHeight="1" x14ac:dyDescent="0.25">
      <c r="A4095" s="2" t="s">
        <v>8</v>
      </c>
      <c r="B4095" s="2" t="str">
        <f>HYPERLINK("http://ts.21cn.com/tousu/show/id/1334848","你我贷暴力催收侮辱谩骂家人盗用本人图片进行人身攻击")</f>
        <v>你我贷暴力催收侮辱谩骂家人盗用本人图片进行人身攻击</v>
      </c>
      <c r="C4095" s="2" t="s">
        <v>9</v>
      </c>
      <c r="D4095" s="2" t="s">
        <v>10</v>
      </c>
      <c r="E4095" s="2" t="str">
        <f>HYPERLINK("http://ts.21cn.com/tousu/show/id/1334848","http://ts.21cn.com/tousu/show/id/1334848")</f>
        <v>http://ts.21cn.com/tousu/show/id/1334848</v>
      </c>
      <c r="F4095" s="2" t="s">
        <v>11</v>
      </c>
      <c r="G4095" s="2" t="s">
        <v>36092</v>
      </c>
      <c r="H4095" s="2" t="s">
        <v>36093</v>
      </c>
    </row>
    <row r="4096" spans="1:8" ht="25.05" customHeight="1" x14ac:dyDescent="0.25">
      <c r="A4096" s="2" t="s">
        <v>8</v>
      </c>
      <c r="B4096" s="2" t="str">
        <f>HYPERLINK("http://ts.21cn.com/tousu/show/id/1334849","支付宝花呗借呗")</f>
        <v>支付宝花呗借呗</v>
      </c>
      <c r="C4096" s="2" t="s">
        <v>9</v>
      </c>
      <c r="D4096" s="2" t="s">
        <v>10</v>
      </c>
      <c r="E4096" s="2" t="str">
        <f>HYPERLINK("http://ts.21cn.com/tousu/show/id/1334849","http://ts.21cn.com/tousu/show/id/1334849")</f>
        <v>http://ts.21cn.com/tousu/show/id/1334849</v>
      </c>
      <c r="F4096" s="2" t="s">
        <v>11</v>
      </c>
      <c r="G4096" s="2" t="s">
        <v>36090</v>
      </c>
      <c r="H4096" s="2" t="s">
        <v>36091</v>
      </c>
    </row>
    <row r="4097" spans="1:8" ht="25.05" customHeight="1" x14ac:dyDescent="0.25">
      <c r="A4097" s="2" t="s">
        <v>8</v>
      </c>
      <c r="B4097" s="2" t="str">
        <f>HYPERLINK("http://ts.21cn.com/tousu/show/id/1334850","电话轰炸")</f>
        <v>电话轰炸</v>
      </c>
      <c r="C4097" s="2" t="s">
        <v>34</v>
      </c>
      <c r="D4097" s="2" t="s">
        <v>10</v>
      </c>
      <c r="E4097" s="2" t="str">
        <f>HYPERLINK("http://ts.21cn.com/tousu/show/id/1334850","http://ts.21cn.com/tousu/show/id/1334850")</f>
        <v>http://ts.21cn.com/tousu/show/id/1334850</v>
      </c>
      <c r="F4097" s="2" t="s">
        <v>11</v>
      </c>
      <c r="G4097" s="2" t="s">
        <v>36088</v>
      </c>
      <c r="H4097" s="2" t="s">
        <v>36089</v>
      </c>
    </row>
    <row r="4098" spans="1:8" ht="25.05" customHeight="1" x14ac:dyDescent="0.25">
      <c r="A4098" s="2" t="s">
        <v>8</v>
      </c>
      <c r="B4098" s="2" t="str">
        <f>HYPERLINK("http://ts.21cn.com/tousu/show/id/1334851","维经同意私自扣费")</f>
        <v>维经同意私自扣费</v>
      </c>
      <c r="C4098" s="2" t="s">
        <v>9</v>
      </c>
      <c r="D4098" s="2" t="s">
        <v>10</v>
      </c>
      <c r="E4098" s="2" t="str">
        <f>HYPERLINK("http://ts.21cn.com/tousu/show/id/1334851","http://ts.21cn.com/tousu/show/id/1334851")</f>
        <v>http://ts.21cn.com/tousu/show/id/1334851</v>
      </c>
      <c r="F4098" s="2" t="s">
        <v>11</v>
      </c>
      <c r="G4098" s="2" t="s">
        <v>36086</v>
      </c>
      <c r="H4098" s="2" t="s">
        <v>36087</v>
      </c>
    </row>
    <row r="4099" spans="1:8" ht="25.05" customHeight="1" x14ac:dyDescent="0.25">
      <c r="A4099" s="2" t="s">
        <v>8</v>
      </c>
      <c r="B4099" s="2" t="str">
        <f>HYPERLINK("http://ts.21cn.com/tousu/show/id/1334852","联系不上客服，套路贷")</f>
        <v>联系不上客服，套路贷</v>
      </c>
      <c r="C4099" s="2" t="s">
        <v>9</v>
      </c>
      <c r="D4099" s="2" t="s">
        <v>10</v>
      </c>
      <c r="E4099" s="2" t="str">
        <f>HYPERLINK("http://ts.21cn.com/tousu/show/id/1334852","http://ts.21cn.com/tousu/show/id/1334852")</f>
        <v>http://ts.21cn.com/tousu/show/id/1334852</v>
      </c>
      <c r="F4099" s="2" t="s">
        <v>11</v>
      </c>
      <c r="G4099" s="2" t="s">
        <v>36084</v>
      </c>
      <c r="H4099" s="2" t="s">
        <v>36085</v>
      </c>
    </row>
    <row r="4100" spans="1:8" ht="25.05" customHeight="1" x14ac:dyDescent="0.25">
      <c r="A4100" s="2" t="s">
        <v>8</v>
      </c>
      <c r="B4100" s="2" t="str">
        <f>HYPERLINK("http://ts.21cn.com/tousu/show/id/1334853","贷上钱平台高利贷")</f>
        <v>贷上钱平台高利贷</v>
      </c>
      <c r="C4100" s="2" t="s">
        <v>9</v>
      </c>
      <c r="D4100" s="2" t="s">
        <v>10</v>
      </c>
      <c r="E4100" s="2" t="str">
        <f>HYPERLINK("http://ts.21cn.com/tousu/show/id/1334853","http://ts.21cn.com/tousu/show/id/1334853")</f>
        <v>http://ts.21cn.com/tousu/show/id/1334853</v>
      </c>
      <c r="F4100" s="2" t="s">
        <v>11</v>
      </c>
      <c r="G4100" s="2" t="s">
        <v>36082</v>
      </c>
      <c r="H4100" s="2" t="s">
        <v>36083</v>
      </c>
    </row>
    <row r="4101" spans="1:8" ht="25.05" customHeight="1" x14ac:dyDescent="0.25">
      <c r="A4101" s="2" t="s">
        <v>8</v>
      </c>
      <c r="B4101" s="2" t="str">
        <f>HYPERLINK("http://ts.21cn.com/tousu/show/id/1334855","于2019年9月9日，在天猫平台静志数码专营店购得兄弟牌DCP-B7500D打印机一台长时间不发货欺诈行为")</f>
        <v>于2019年9月9日，在天猫平台静志数码专营店购得兄弟牌DCP-B7500D打印机一台长时间不发货欺诈行为</v>
      </c>
      <c r="C4101" s="2" t="s">
        <v>9</v>
      </c>
      <c r="D4101" s="2" t="s">
        <v>10</v>
      </c>
      <c r="E4101" s="2" t="str">
        <f>HYPERLINK("http://ts.21cn.com/tousu/show/id/1334855","http://ts.21cn.com/tousu/show/id/1334855")</f>
        <v>http://ts.21cn.com/tousu/show/id/1334855</v>
      </c>
      <c r="F4101" s="2" t="s">
        <v>11</v>
      </c>
      <c r="G4101" s="2" t="s">
        <v>36080</v>
      </c>
      <c r="H4101" s="2" t="s">
        <v>36081</v>
      </c>
    </row>
    <row r="4102" spans="1:8" ht="25.05" customHeight="1" x14ac:dyDescent="0.25">
      <c r="A4102" s="2" t="s">
        <v>8</v>
      </c>
      <c r="B4102" s="2" t="str">
        <f>HYPERLINK("http://ts.21cn.com/tousu/show/id/1334856","你我贷机器人电话每5分钟骚扰我")</f>
        <v>你我贷机器人电话每5分钟骚扰我</v>
      </c>
      <c r="C4102" s="2" t="s">
        <v>34</v>
      </c>
      <c r="D4102" s="2" t="s">
        <v>10</v>
      </c>
      <c r="E4102" s="2" t="str">
        <f>HYPERLINK("http://ts.21cn.com/tousu/show/id/1334856","http://ts.21cn.com/tousu/show/id/1334856")</f>
        <v>http://ts.21cn.com/tousu/show/id/1334856</v>
      </c>
      <c r="F4102" s="2" t="s">
        <v>11</v>
      </c>
      <c r="G4102" s="2" t="s">
        <v>36078</v>
      </c>
      <c r="H4102" s="2" t="s">
        <v>36079</v>
      </c>
    </row>
    <row r="4103" spans="1:8" ht="25.05" customHeight="1" x14ac:dyDescent="0.25">
      <c r="A4103" s="2" t="s">
        <v>8</v>
      </c>
      <c r="B4103" s="2" t="str">
        <f>HYPERLINK("http://ts.21cn.com/tousu/show/id/1334857","百事普惠恶意扣款")</f>
        <v>百事普惠恶意扣款</v>
      </c>
      <c r="C4103" s="2" t="s">
        <v>9</v>
      </c>
      <c r="D4103" s="2" t="s">
        <v>10</v>
      </c>
      <c r="E4103" s="2" t="str">
        <f>HYPERLINK("http://ts.21cn.com/tousu/show/id/1334857","http://ts.21cn.com/tousu/show/id/1334857")</f>
        <v>http://ts.21cn.com/tousu/show/id/1334857</v>
      </c>
      <c r="F4103" s="2" t="s">
        <v>11</v>
      </c>
      <c r="G4103" s="2" t="s">
        <v>36076</v>
      </c>
      <c r="H4103" s="2" t="s">
        <v>36077</v>
      </c>
    </row>
    <row r="4104" spans="1:8" ht="25.05" customHeight="1" x14ac:dyDescent="0.25">
      <c r="A4104" s="2" t="s">
        <v>8</v>
      </c>
      <c r="B4104" s="2" t="str">
        <f>HYPERLINK("http://ts.21cn.com/tousu/show/id/1334858","美团预定公寓不到两个小时不退预定金")</f>
        <v>美团预定公寓不到两个小时不退预定金</v>
      </c>
      <c r="C4104" s="2" t="s">
        <v>9</v>
      </c>
      <c r="D4104" s="2" t="s">
        <v>10</v>
      </c>
      <c r="E4104" s="2" t="str">
        <f>HYPERLINK("http://ts.21cn.com/tousu/show/id/1334858","http://ts.21cn.com/tousu/show/id/1334858")</f>
        <v>http://ts.21cn.com/tousu/show/id/1334858</v>
      </c>
      <c r="F4104" s="2" t="s">
        <v>11</v>
      </c>
      <c r="G4104" s="2" t="s">
        <v>36074</v>
      </c>
      <c r="H4104" s="2" t="s">
        <v>36075</v>
      </c>
    </row>
    <row r="4105" spans="1:8" ht="25.05" customHeight="1" x14ac:dyDescent="0.25">
      <c r="A4105" s="2" t="s">
        <v>8</v>
      </c>
      <c r="B4105" s="2" t="str">
        <f>HYPERLINK("http://ts.21cn.com/tousu/show/id/1334859","聚福钱包未经许可私自扣款")</f>
        <v>聚福钱包未经许可私自扣款</v>
      </c>
      <c r="C4105" s="2" t="s">
        <v>9</v>
      </c>
      <c r="D4105" s="2" t="s">
        <v>10</v>
      </c>
      <c r="E4105" s="2" t="str">
        <f>HYPERLINK("http://ts.21cn.com/tousu/show/id/1334859","http://ts.21cn.com/tousu/show/id/1334859")</f>
        <v>http://ts.21cn.com/tousu/show/id/1334859</v>
      </c>
      <c r="F4105" s="2" t="s">
        <v>11</v>
      </c>
      <c r="G4105" s="2" t="s">
        <v>36072</v>
      </c>
      <c r="H4105" s="2" t="s">
        <v>36073</v>
      </c>
    </row>
    <row r="4106" spans="1:8" ht="25.05" customHeight="1" x14ac:dyDescent="0.25">
      <c r="A4106" s="2" t="s">
        <v>8</v>
      </c>
      <c r="B4106" s="2" t="str">
        <f>HYPERLINK("http://ts.21cn.com/tousu/show/id/1334861","购分期不经过个人同意直接扣款199")</f>
        <v>购分期不经过个人同意直接扣款199</v>
      </c>
      <c r="C4106" s="2" t="s">
        <v>9</v>
      </c>
      <c r="D4106" s="2" t="s">
        <v>10</v>
      </c>
      <c r="E4106" s="2" t="str">
        <f>HYPERLINK("http://ts.21cn.com/tousu/show/id/1334861","http://ts.21cn.com/tousu/show/id/1334861")</f>
        <v>http://ts.21cn.com/tousu/show/id/1334861</v>
      </c>
      <c r="F4106" s="2" t="s">
        <v>11</v>
      </c>
      <c r="G4106" s="2" t="s">
        <v>36070</v>
      </c>
      <c r="H4106" s="2" t="s">
        <v>36071</v>
      </c>
    </row>
    <row r="4107" spans="1:8" ht="25.05" customHeight="1" x14ac:dyDescent="0.25">
      <c r="A4107" s="2" t="s">
        <v>8</v>
      </c>
      <c r="B4107" s="2" t="str">
        <f>HYPERLINK("http://ts.21cn.com/tousu/show/id/1334860","被人恶意下单")</f>
        <v>被人恶意下单</v>
      </c>
      <c r="C4107" s="2" t="s">
        <v>9</v>
      </c>
      <c r="D4107" s="2" t="s">
        <v>10</v>
      </c>
      <c r="E4107" s="2" t="str">
        <f>HYPERLINK("http://ts.21cn.com/tousu/show/id/1334860","http://ts.21cn.com/tousu/show/id/1334860")</f>
        <v>http://ts.21cn.com/tousu/show/id/1334860</v>
      </c>
      <c r="F4107" s="2" t="s">
        <v>11</v>
      </c>
      <c r="G4107" s="2" t="s">
        <v>36068</v>
      </c>
      <c r="H4107" s="2" t="s">
        <v>36069</v>
      </c>
    </row>
    <row r="4108" spans="1:8" ht="25.05" customHeight="1" x14ac:dyDescent="0.25">
      <c r="A4108" s="2" t="s">
        <v>8</v>
      </c>
      <c r="B4108" s="2" t="str">
        <f>HYPERLINK("http://ts.21cn.com/tousu/show/id/1334862","归还非法砍头息")</f>
        <v>归还非法砍头息</v>
      </c>
      <c r="C4108" s="2" t="s">
        <v>9</v>
      </c>
      <c r="D4108" s="2" t="s">
        <v>10</v>
      </c>
      <c r="E4108" s="2" t="str">
        <f>HYPERLINK("http://ts.21cn.com/tousu/show/id/1334862","http://ts.21cn.com/tousu/show/id/1334862")</f>
        <v>http://ts.21cn.com/tousu/show/id/1334862</v>
      </c>
      <c r="F4108" s="2" t="s">
        <v>11</v>
      </c>
      <c r="G4108" s="2" t="s">
        <v>36066</v>
      </c>
      <c r="H4108" s="2" t="s">
        <v>36067</v>
      </c>
    </row>
    <row r="4109" spans="1:8" ht="25.05" customHeight="1" x14ac:dyDescent="0.25">
      <c r="A4109" s="2" t="s">
        <v>8</v>
      </c>
      <c r="B4109" s="2" t="str">
        <f>HYPERLINK("http://ts.21cn.com/tousu/show/id/1334863","钱站高利贷阴阳合同")</f>
        <v>钱站高利贷阴阳合同</v>
      </c>
      <c r="C4109" s="2" t="s">
        <v>9</v>
      </c>
      <c r="D4109" s="2" t="s">
        <v>10</v>
      </c>
      <c r="E4109" s="2" t="str">
        <f>HYPERLINK("http://ts.21cn.com/tousu/show/id/1334863","http://ts.21cn.com/tousu/show/id/1334863")</f>
        <v>http://ts.21cn.com/tousu/show/id/1334863</v>
      </c>
      <c r="F4109" s="2" t="s">
        <v>11</v>
      </c>
      <c r="G4109" s="2" t="s">
        <v>36064</v>
      </c>
      <c r="H4109" s="2" t="s">
        <v>36065</v>
      </c>
    </row>
    <row r="4110" spans="1:8" ht="25.05" customHeight="1" x14ac:dyDescent="0.25">
      <c r="A4110" s="2" t="s">
        <v>8</v>
      </c>
      <c r="B4110" s="2" t="str">
        <f>HYPERLINK("http://ts.21cn.com/tousu/show/id/1334864","360侵犯个人隐私")</f>
        <v>360侵犯个人隐私</v>
      </c>
      <c r="C4110" s="2" t="s">
        <v>9</v>
      </c>
      <c r="D4110" s="2" t="s">
        <v>10</v>
      </c>
      <c r="E4110" s="2" t="str">
        <f>HYPERLINK("http://ts.21cn.com/tousu/show/id/1334864","http://ts.21cn.com/tousu/show/id/1334864")</f>
        <v>http://ts.21cn.com/tousu/show/id/1334864</v>
      </c>
      <c r="F4110" s="2" t="s">
        <v>11</v>
      </c>
      <c r="G4110" s="2" t="s">
        <v>36062</v>
      </c>
      <c r="H4110" s="2" t="s">
        <v>36063</v>
      </c>
    </row>
    <row r="4111" spans="1:8" ht="25.05" customHeight="1" x14ac:dyDescent="0.25">
      <c r="A4111" s="2" t="s">
        <v>8</v>
      </c>
      <c r="B4111" s="2" t="str">
        <f>HYPERLINK("http://ts.21cn.com/tousu/show/id/1334865","信用管家支付为套路贷提供结算渠道")</f>
        <v>信用管家支付为套路贷提供结算渠道</v>
      </c>
      <c r="C4111" s="2" t="s">
        <v>9</v>
      </c>
      <c r="D4111" s="2" t="s">
        <v>10</v>
      </c>
      <c r="E4111" s="2" t="str">
        <f>HYPERLINK("http://ts.21cn.com/tousu/show/id/1334865","http://ts.21cn.com/tousu/show/id/1334865")</f>
        <v>http://ts.21cn.com/tousu/show/id/1334865</v>
      </c>
      <c r="F4111" s="2" t="s">
        <v>11</v>
      </c>
      <c r="G4111" s="2" t="s">
        <v>36060</v>
      </c>
      <c r="H4111" s="2" t="s">
        <v>36061</v>
      </c>
    </row>
    <row r="4112" spans="1:8" ht="25.05" customHeight="1" x14ac:dyDescent="0.25">
      <c r="A4112" s="2" t="s">
        <v>8</v>
      </c>
      <c r="B4112" s="2" t="str">
        <f>HYPERLINK("http://ts.21cn.com/tousu/show/id/1334866","闪银平台商品贷单方面违约，拒不发货，虚假宣传，")</f>
        <v>闪银平台商品贷单方面违约，拒不发货，虚假宣传，</v>
      </c>
      <c r="C4112" s="2" t="s">
        <v>9</v>
      </c>
      <c r="D4112" s="2" t="s">
        <v>10</v>
      </c>
      <c r="E4112" s="2" t="str">
        <f>HYPERLINK("http://ts.21cn.com/tousu/show/id/1334866","http://ts.21cn.com/tousu/show/id/1334866")</f>
        <v>http://ts.21cn.com/tousu/show/id/1334866</v>
      </c>
      <c r="F4112" s="2" t="s">
        <v>11</v>
      </c>
      <c r="G4112" s="2" t="s">
        <v>36058</v>
      </c>
      <c r="H4112" s="2" t="s">
        <v>36059</v>
      </c>
    </row>
    <row r="4113" spans="1:8" ht="25.05" customHeight="1" x14ac:dyDescent="0.25">
      <c r="A4113" s="2" t="s">
        <v>8</v>
      </c>
      <c r="B4113" s="2" t="str">
        <f>HYPERLINK("http://ts.21cn.com/tousu/show/id/1334867","盗用我个人资料")</f>
        <v>盗用我个人资料</v>
      </c>
      <c r="C4113" s="2" t="s">
        <v>9</v>
      </c>
      <c r="D4113" s="2" t="s">
        <v>10</v>
      </c>
      <c r="E4113" s="2" t="str">
        <f>HYPERLINK("http://ts.21cn.com/tousu/show/id/1334867","http://ts.21cn.com/tousu/show/id/1334867")</f>
        <v>http://ts.21cn.com/tousu/show/id/1334867</v>
      </c>
      <c r="F4113" s="2" t="s">
        <v>11</v>
      </c>
      <c r="G4113" s="2" t="s">
        <v>36056</v>
      </c>
      <c r="H4113" s="2" t="s">
        <v>36057</v>
      </c>
    </row>
    <row r="4114" spans="1:8" ht="25.05" customHeight="1" x14ac:dyDescent="0.25">
      <c r="A4114" s="2" t="s">
        <v>8</v>
      </c>
      <c r="B4114" s="2" t="str">
        <f>HYPERLINK("http://ts.21cn.com/tousu/show/id/1334868","利息高。还了钱。强制逾期")</f>
        <v>利息高。还了钱。强制逾期</v>
      </c>
      <c r="C4114" s="2" t="s">
        <v>9</v>
      </c>
      <c r="D4114" s="2" t="s">
        <v>10</v>
      </c>
      <c r="E4114" s="2" t="str">
        <f>HYPERLINK("http://ts.21cn.com/tousu/show/id/1334868","http://ts.21cn.com/tousu/show/id/1334868")</f>
        <v>http://ts.21cn.com/tousu/show/id/1334868</v>
      </c>
      <c r="F4114" s="2" t="s">
        <v>11</v>
      </c>
      <c r="G4114" s="2" t="s">
        <v>36054</v>
      </c>
      <c r="H4114" s="2" t="s">
        <v>36055</v>
      </c>
    </row>
    <row r="4115" spans="1:8" ht="25.05" customHeight="1" x14ac:dyDescent="0.25">
      <c r="A4115" s="2" t="s">
        <v>8</v>
      </c>
      <c r="B4115" s="2" t="str">
        <f>HYPERLINK("http://ts.21cn.com/tousu/show/id/1334869","多次上门威逼，骚扰正常生活，让家人沦为笑话")</f>
        <v>多次上门威逼，骚扰正常生活，让家人沦为笑话</v>
      </c>
      <c r="C4115" s="2" t="s">
        <v>9</v>
      </c>
      <c r="D4115" s="2" t="s">
        <v>10</v>
      </c>
      <c r="E4115" s="2" t="str">
        <f>HYPERLINK("http://ts.21cn.com/tousu/show/id/1334869","http://ts.21cn.com/tousu/show/id/1334869")</f>
        <v>http://ts.21cn.com/tousu/show/id/1334869</v>
      </c>
      <c r="F4115" s="2" t="s">
        <v>11</v>
      </c>
      <c r="G4115" s="2" t="s">
        <v>36052</v>
      </c>
      <c r="H4115" s="2" t="s">
        <v>36053</v>
      </c>
    </row>
    <row r="4116" spans="1:8" ht="25.05" customHeight="1" x14ac:dyDescent="0.25">
      <c r="A4116" s="2" t="s">
        <v>8</v>
      </c>
      <c r="B4116" s="2" t="str">
        <f>HYPERLINK("http://ts.21cn.com/tousu/show/id/1334871","快递公司超出时间未收件免邮费，收了邮费一直不退回")</f>
        <v>快递公司超出时间未收件免邮费，收了邮费一直不退回</v>
      </c>
      <c r="C4116" s="2" t="s">
        <v>9</v>
      </c>
      <c r="D4116" s="2" t="s">
        <v>10</v>
      </c>
      <c r="E4116" s="2" t="str">
        <f>HYPERLINK("http://ts.21cn.com/tousu/show/id/1334871","http://ts.21cn.com/tousu/show/id/1334871")</f>
        <v>http://ts.21cn.com/tousu/show/id/1334871</v>
      </c>
      <c r="F4116" s="2" t="s">
        <v>11</v>
      </c>
      <c r="G4116" s="2" t="s">
        <v>36050</v>
      </c>
      <c r="H4116" s="2" t="s">
        <v>36051</v>
      </c>
    </row>
    <row r="4117" spans="1:8" ht="25.05" customHeight="1" x14ac:dyDescent="0.25">
      <c r="A4117" s="2" t="s">
        <v>8</v>
      </c>
      <c r="B4117" s="2" t="str">
        <f>HYPERLINK("http://ts.21cn.com/tousu/show/id/1334870","恒昌公司旗下恒易贷合同金额远高于实际借款金额")</f>
        <v>恒昌公司旗下恒易贷合同金额远高于实际借款金额</v>
      </c>
      <c r="C4117" s="2" t="s">
        <v>9</v>
      </c>
      <c r="D4117" s="2" t="s">
        <v>10</v>
      </c>
      <c r="E4117" s="2" t="str">
        <f>HYPERLINK("http://ts.21cn.com/tousu/show/id/1334870","http://ts.21cn.com/tousu/show/id/1334870")</f>
        <v>http://ts.21cn.com/tousu/show/id/1334870</v>
      </c>
      <c r="F4117" s="2" t="s">
        <v>11</v>
      </c>
      <c r="G4117" s="2" t="s">
        <v>36048</v>
      </c>
      <c r="H4117" s="2" t="s">
        <v>36049</v>
      </c>
    </row>
    <row r="4118" spans="1:8" ht="25.05" customHeight="1" x14ac:dyDescent="0.25">
      <c r="A4118" s="2" t="s">
        <v>8</v>
      </c>
      <c r="B4118" s="2" t="str">
        <f>HYPERLINK("http://ts.21cn.com/tousu/show/id/1334872","上海造艺网络技术有限公司")</f>
        <v>上海造艺网络技术有限公司</v>
      </c>
      <c r="C4118" s="2" t="s">
        <v>9</v>
      </c>
      <c r="D4118" s="2" t="s">
        <v>10</v>
      </c>
      <c r="E4118" s="2" t="str">
        <f>HYPERLINK("http://ts.21cn.com/tousu/show/id/1334872","http://ts.21cn.com/tousu/show/id/1334872")</f>
        <v>http://ts.21cn.com/tousu/show/id/1334872</v>
      </c>
      <c r="F4118" s="2" t="s">
        <v>11</v>
      </c>
      <c r="G4118" s="2" t="s">
        <v>36046</v>
      </c>
      <c r="H4118" s="2" t="s">
        <v>36047</v>
      </c>
    </row>
    <row r="4119" spans="1:8" ht="25.05" customHeight="1" x14ac:dyDescent="0.25">
      <c r="A4119" s="2" t="s">
        <v>8</v>
      </c>
      <c r="B4119" s="2" t="str">
        <f>HYPERLINK("http://ts.21cn.com/tousu/show/id/1334874","凡普金科旗下钱站app暴力催收")</f>
        <v>凡普金科旗下钱站app暴力催收</v>
      </c>
      <c r="C4119" s="2" t="s">
        <v>9</v>
      </c>
      <c r="D4119" s="2" t="s">
        <v>10</v>
      </c>
      <c r="E4119" s="2" t="str">
        <f>HYPERLINK("http://ts.21cn.com/tousu/show/id/1334874","http://ts.21cn.com/tousu/show/id/1334874")</f>
        <v>http://ts.21cn.com/tousu/show/id/1334874</v>
      </c>
      <c r="F4119" s="2" t="s">
        <v>11</v>
      </c>
      <c r="G4119" s="2" t="s">
        <v>36044</v>
      </c>
      <c r="H4119" s="2" t="s">
        <v>36045</v>
      </c>
    </row>
    <row r="4120" spans="1:8" ht="25.05" customHeight="1" x14ac:dyDescent="0.25">
      <c r="A4120" s="2" t="s">
        <v>8</v>
      </c>
      <c r="B4120" s="2" t="str">
        <f>HYPERLINK("http://ts.21cn.com/tousu/show/id/1334873","金鸡下蛋威力贷来花花菜鸟有钱")</f>
        <v>金鸡下蛋威力贷来花花菜鸟有钱</v>
      </c>
      <c r="C4120" s="2" t="s">
        <v>9</v>
      </c>
      <c r="D4120" s="2" t="s">
        <v>10</v>
      </c>
      <c r="E4120" s="2" t="str">
        <f>HYPERLINK("http://ts.21cn.com/tousu/show/id/1334873","http://ts.21cn.com/tousu/show/id/1334873")</f>
        <v>http://ts.21cn.com/tousu/show/id/1334873</v>
      </c>
      <c r="F4120" s="2" t="s">
        <v>11</v>
      </c>
      <c r="G4120" s="2" t="s">
        <v>36042</v>
      </c>
      <c r="H4120" s="2" t="s">
        <v>36043</v>
      </c>
    </row>
    <row r="4121" spans="1:8" ht="25.05" customHeight="1" x14ac:dyDescent="0.25">
      <c r="A4121" s="2" t="s">
        <v>8</v>
      </c>
      <c r="B4121" s="2" t="str">
        <f>HYPERLINK("http://ts.21cn.com/tousu/show/id/1334875","滴滴网约车恶意扣钱")</f>
        <v>滴滴网约车恶意扣钱</v>
      </c>
      <c r="C4121" s="2" t="s">
        <v>9</v>
      </c>
      <c r="D4121" s="2" t="s">
        <v>10</v>
      </c>
      <c r="E4121" s="2" t="str">
        <f>HYPERLINK("http://ts.21cn.com/tousu/show/id/1334875","http://ts.21cn.com/tousu/show/id/1334875")</f>
        <v>http://ts.21cn.com/tousu/show/id/1334875</v>
      </c>
      <c r="F4121" s="2" t="s">
        <v>11</v>
      </c>
      <c r="G4121" s="2" t="s">
        <v>36040</v>
      </c>
      <c r="H4121" s="2" t="s">
        <v>36041</v>
      </c>
    </row>
    <row r="4122" spans="1:8" ht="25.05" customHeight="1" x14ac:dyDescent="0.25">
      <c r="A4122" s="2" t="s">
        <v>8</v>
      </c>
      <c r="B4122" s="2" t="str">
        <f>HYPERLINK("http://ts.21cn.com/tousu/show/id/1334876","投诉拼多多虚假广告宣传")</f>
        <v>投诉拼多多虚假广告宣传</v>
      </c>
      <c r="C4122" s="2" t="s">
        <v>9</v>
      </c>
      <c r="D4122" s="2" t="s">
        <v>10</v>
      </c>
      <c r="E4122" s="2" t="str">
        <f>HYPERLINK("http://ts.21cn.com/tousu/show/id/1334876","http://ts.21cn.com/tousu/show/id/1334876")</f>
        <v>http://ts.21cn.com/tousu/show/id/1334876</v>
      </c>
      <c r="F4122" s="2" t="s">
        <v>11</v>
      </c>
      <c r="G4122" s="2" t="s">
        <v>36038</v>
      </c>
      <c r="H4122" s="2" t="s">
        <v>36039</v>
      </c>
    </row>
    <row r="4123" spans="1:8" ht="25.05" customHeight="1" x14ac:dyDescent="0.25">
      <c r="A4123" s="2" t="s">
        <v>8</v>
      </c>
      <c r="B4123" s="2" t="str">
        <f>HYPERLINK("http://ts.21cn.com/tousu/show/id/1334877","汽车之家里面的及贷误导客户直接放款")</f>
        <v>汽车之家里面的及贷误导客户直接放款</v>
      </c>
      <c r="C4123" s="2" t="s">
        <v>9</v>
      </c>
      <c r="D4123" s="2" t="s">
        <v>10</v>
      </c>
      <c r="E4123" s="2" t="str">
        <f>HYPERLINK("http://ts.21cn.com/tousu/show/id/1334877","http://ts.21cn.com/tousu/show/id/1334877")</f>
        <v>http://ts.21cn.com/tousu/show/id/1334877</v>
      </c>
      <c r="F4123" s="2" t="s">
        <v>11</v>
      </c>
      <c r="G4123" s="2" t="s">
        <v>36036</v>
      </c>
      <c r="H4123" s="2" t="s">
        <v>36037</v>
      </c>
    </row>
    <row r="4124" spans="1:8" ht="25.05" customHeight="1" x14ac:dyDescent="0.25">
      <c r="A4124" s="2" t="s">
        <v>8</v>
      </c>
      <c r="B4124" s="2" t="str">
        <f>HYPERLINK("http://ts.21cn.com/tousu/show/id/1334878","众安保险勾结高利贷小赢卡贷欺瞒借款人，捆绑违规销售")</f>
        <v>众安保险勾结高利贷小赢卡贷欺瞒借款人，捆绑违规销售</v>
      </c>
      <c r="C4124" s="2" t="s">
        <v>9</v>
      </c>
      <c r="D4124" s="2" t="s">
        <v>10</v>
      </c>
      <c r="E4124" s="2" t="str">
        <f>HYPERLINK("http://ts.21cn.com/tousu/show/id/1334878","http://ts.21cn.com/tousu/show/id/1334878")</f>
        <v>http://ts.21cn.com/tousu/show/id/1334878</v>
      </c>
      <c r="F4124" s="2" t="s">
        <v>11</v>
      </c>
      <c r="G4124" s="2" t="s">
        <v>36034</v>
      </c>
      <c r="H4124" s="2" t="s">
        <v>36035</v>
      </c>
    </row>
    <row r="4125" spans="1:8" ht="25.05" customHeight="1" x14ac:dyDescent="0.25">
      <c r="A4125" s="2" t="s">
        <v>8</v>
      </c>
      <c r="B4125" s="2" t="str">
        <f>HYPERLINK("http://ts.21cn.com/tousu/show/id/1334879","天天打电话给我要我贷款")</f>
        <v>天天打电话给我要我贷款</v>
      </c>
      <c r="C4125" s="2" t="s">
        <v>34</v>
      </c>
      <c r="D4125" s="2" t="s">
        <v>10</v>
      </c>
      <c r="E4125" s="2" t="str">
        <f>HYPERLINK("http://ts.21cn.com/tousu/show/id/1334879","http://ts.21cn.com/tousu/show/id/1334879")</f>
        <v>http://ts.21cn.com/tousu/show/id/1334879</v>
      </c>
      <c r="F4125" s="2" t="s">
        <v>11</v>
      </c>
      <c r="G4125" s="2" t="s">
        <v>36032</v>
      </c>
      <c r="H4125" s="2" t="s">
        <v>36033</v>
      </c>
    </row>
    <row r="4126" spans="1:8" ht="25.05" customHeight="1" x14ac:dyDescent="0.25">
      <c r="A4126" s="2" t="s">
        <v>8</v>
      </c>
      <c r="B4126" s="2" t="str">
        <f>HYPERLINK("http://ts.21cn.com/tousu/show/id/1334833","运费险是假的吗，收到货为什么不退款")</f>
        <v>运费险是假的吗，收到货为什么不退款</v>
      </c>
      <c r="C4126" s="2" t="s">
        <v>9</v>
      </c>
      <c r="D4126" s="2" t="s">
        <v>10</v>
      </c>
      <c r="E4126" s="2" t="str">
        <f>HYPERLINK("http://ts.21cn.com/tousu/show/id/1334833","http://ts.21cn.com/tousu/show/id/1334833")</f>
        <v>http://ts.21cn.com/tousu/show/id/1334833</v>
      </c>
      <c r="F4126" s="2" t="s">
        <v>11</v>
      </c>
      <c r="G4126" s="2" t="s">
        <v>36030</v>
      </c>
      <c r="H4126" s="2" t="s">
        <v>36031</v>
      </c>
    </row>
    <row r="4127" spans="1:8" ht="25.05" customHeight="1" x14ac:dyDescent="0.25">
      <c r="A4127" s="2" t="s">
        <v>8</v>
      </c>
      <c r="B4127" s="2" t="str">
        <f>HYPERLINK("http://ts.21cn.com/tousu/show/id/1334880","快递卡件导致近400个订单被判虚假发货，共被罚款3910元")</f>
        <v>快递卡件导致近400个订单被判虚假发货，共被罚款3910元</v>
      </c>
      <c r="C4127" s="2" t="s">
        <v>9</v>
      </c>
      <c r="D4127" s="2" t="s">
        <v>10</v>
      </c>
      <c r="E4127" s="2" t="str">
        <f>HYPERLINK("http://ts.21cn.com/tousu/show/id/1334880","http://ts.21cn.com/tousu/show/id/1334880")</f>
        <v>http://ts.21cn.com/tousu/show/id/1334880</v>
      </c>
      <c r="F4127" s="2" t="s">
        <v>11</v>
      </c>
      <c r="G4127" s="2" t="s">
        <v>36028</v>
      </c>
      <c r="H4127" s="2" t="s">
        <v>36029</v>
      </c>
    </row>
    <row r="4128" spans="1:8" ht="25.05" customHeight="1" x14ac:dyDescent="0.25">
      <c r="A4128" s="2" t="s">
        <v>8</v>
      </c>
      <c r="B4128" s="2" t="str">
        <f>HYPERLINK("http://ts.21cn.com/tousu/show/id/1334881","自由摩卡诺和信用计划砍头息套路贷")</f>
        <v>自由摩卡诺和信用计划砍头息套路贷</v>
      </c>
      <c r="C4128" s="2" t="s">
        <v>9</v>
      </c>
      <c r="D4128" s="2" t="s">
        <v>10</v>
      </c>
      <c r="E4128" s="2" t="str">
        <f>HYPERLINK("http://ts.21cn.com/tousu/show/id/1334881","http://ts.21cn.com/tousu/show/id/1334881")</f>
        <v>http://ts.21cn.com/tousu/show/id/1334881</v>
      </c>
      <c r="F4128" s="2" t="s">
        <v>11</v>
      </c>
      <c r="G4128" s="2" t="s">
        <v>36026</v>
      </c>
      <c r="H4128" s="2" t="s">
        <v>36027</v>
      </c>
    </row>
    <row r="4129" spans="1:8" ht="25.05" customHeight="1" x14ac:dyDescent="0.25">
      <c r="A4129" s="2" t="s">
        <v>8</v>
      </c>
      <c r="B4129" s="2" t="str">
        <f>HYPERLINK("http://ts.21cn.com/tousu/show/id/1334834","对用户做虚假广告引诱消费")</f>
        <v>对用户做虚假广告引诱消费</v>
      </c>
      <c r="C4129" s="2" t="s">
        <v>9</v>
      </c>
      <c r="D4129" s="2" t="s">
        <v>10</v>
      </c>
      <c r="E4129" s="2" t="str">
        <f>HYPERLINK("http://ts.21cn.com/tousu/show/id/1334834","http://ts.21cn.com/tousu/show/id/1334834")</f>
        <v>http://ts.21cn.com/tousu/show/id/1334834</v>
      </c>
      <c r="F4129" s="2" t="s">
        <v>11</v>
      </c>
      <c r="G4129" s="2" t="s">
        <v>36024</v>
      </c>
      <c r="H4129" s="2" t="s">
        <v>36025</v>
      </c>
    </row>
    <row r="4130" spans="1:8" ht="25.05" customHeight="1" x14ac:dyDescent="0.25">
      <c r="A4130" s="2" t="s">
        <v>8</v>
      </c>
      <c r="B4130" s="2" t="str">
        <f>HYPERLINK("http://ts.21cn.com/tousu/show/id/1334883","你我贷借款协商还款")</f>
        <v>你我贷借款协商还款</v>
      </c>
      <c r="C4130" s="2" t="s">
        <v>9</v>
      </c>
      <c r="D4130" s="2" t="s">
        <v>10</v>
      </c>
      <c r="E4130" s="2" t="str">
        <f>HYPERLINK("http://ts.21cn.com/tousu/show/id/1334883","http://ts.21cn.com/tousu/show/id/1334883")</f>
        <v>http://ts.21cn.com/tousu/show/id/1334883</v>
      </c>
      <c r="F4130" s="2" t="s">
        <v>11</v>
      </c>
      <c r="G4130" s="2" t="s">
        <v>36022</v>
      </c>
      <c r="H4130" s="2" t="s">
        <v>36023</v>
      </c>
    </row>
    <row r="4131" spans="1:8" ht="25.05" customHeight="1" x14ac:dyDescent="0.25">
      <c r="A4131" s="2" t="s">
        <v>8</v>
      </c>
      <c r="B4131" s="2" t="str">
        <f>HYPERLINK("http://ts.21cn.com/tousu/show/id/1334884","金逸影城服务态度极其恶劣")</f>
        <v>金逸影城服务态度极其恶劣</v>
      </c>
      <c r="C4131" s="2" t="s">
        <v>9</v>
      </c>
      <c r="D4131" s="2" t="s">
        <v>10</v>
      </c>
      <c r="E4131" s="2" t="str">
        <f>HYPERLINK("http://ts.21cn.com/tousu/show/id/1334884","http://ts.21cn.com/tousu/show/id/1334884")</f>
        <v>http://ts.21cn.com/tousu/show/id/1334884</v>
      </c>
      <c r="F4131" s="2" t="s">
        <v>11</v>
      </c>
      <c r="G4131" s="2" t="s">
        <v>36020</v>
      </c>
      <c r="H4131" s="2" t="s">
        <v>36021</v>
      </c>
    </row>
    <row r="4132" spans="1:8" ht="25.05" customHeight="1" x14ac:dyDescent="0.25">
      <c r="A4132" s="2" t="s">
        <v>8</v>
      </c>
      <c r="B4132" s="2" t="str">
        <f>HYPERLINK("http://ts.21cn.com/tousu/show/id/1334885","协商解决还款日期")</f>
        <v>协商解决还款日期</v>
      </c>
      <c r="C4132" s="2" t="s">
        <v>9</v>
      </c>
      <c r="D4132" s="2" t="s">
        <v>10</v>
      </c>
      <c r="E4132" s="2" t="str">
        <f>HYPERLINK("http://ts.21cn.com/tousu/show/id/1334885","http://ts.21cn.com/tousu/show/id/1334885")</f>
        <v>http://ts.21cn.com/tousu/show/id/1334885</v>
      </c>
      <c r="F4132" s="2" t="s">
        <v>11</v>
      </c>
      <c r="G4132" s="2" t="s">
        <v>36018</v>
      </c>
      <c r="H4132" s="2" t="s">
        <v>36019</v>
      </c>
    </row>
    <row r="4133" spans="1:8" ht="25.05" customHeight="1" x14ac:dyDescent="0.25">
      <c r="A4133" s="2" t="s">
        <v>8</v>
      </c>
      <c r="B4133" s="2" t="str">
        <f>HYPERLINK("http://ts.21cn.com/tousu/show/id/1334886","622路（成和园小区—北京站东）刷公交卡多扣费")</f>
        <v>622路（成和园小区—北京站东）刷公交卡多扣费</v>
      </c>
      <c r="C4133" s="2" t="s">
        <v>9</v>
      </c>
      <c r="D4133" s="2" t="s">
        <v>10</v>
      </c>
      <c r="E4133" s="2" t="str">
        <f>HYPERLINK("http://ts.21cn.com/tousu/show/id/1334886","http://ts.21cn.com/tousu/show/id/1334886")</f>
        <v>http://ts.21cn.com/tousu/show/id/1334886</v>
      </c>
      <c r="F4133" s="2" t="s">
        <v>11</v>
      </c>
      <c r="G4133" s="2" t="s">
        <v>36016</v>
      </c>
      <c r="H4133" s="2" t="s">
        <v>36017</v>
      </c>
    </row>
    <row r="4134" spans="1:8" ht="25.05" customHeight="1" x14ac:dyDescent="0.25">
      <c r="A4134" s="2" t="s">
        <v>8</v>
      </c>
      <c r="B4134" s="2" t="str">
        <f>HYPERLINK("http://ts.21cn.com/tousu/show/id/1334888","京东卖家恐吓消费者")</f>
        <v>京东卖家恐吓消费者</v>
      </c>
      <c r="C4134" s="2" t="s">
        <v>9</v>
      </c>
      <c r="D4134" s="2" t="s">
        <v>10</v>
      </c>
      <c r="E4134" s="2" t="str">
        <f>HYPERLINK("http://ts.21cn.com/tousu/show/id/1334888","http://ts.21cn.com/tousu/show/id/1334888")</f>
        <v>http://ts.21cn.com/tousu/show/id/1334888</v>
      </c>
      <c r="F4134" s="2" t="s">
        <v>11</v>
      </c>
      <c r="G4134" s="2" t="s">
        <v>36014</v>
      </c>
      <c r="H4134" s="2" t="s">
        <v>36015</v>
      </c>
    </row>
    <row r="4135" spans="1:8" ht="25.05" customHeight="1" x14ac:dyDescent="0.25">
      <c r="A4135" s="2" t="s">
        <v>8</v>
      </c>
      <c r="B4135" s="2" t="str">
        <f>HYPERLINK("http://ts.21cn.com/tousu/show/id/1334889","砍头息，冒充公安机关，超过法定利率，拒绝提供利息利率，短信恐吓")</f>
        <v>砍头息，冒充公安机关，超过法定利率，拒绝提供利息利率，短信恐吓</v>
      </c>
      <c r="C4135" s="2" t="s">
        <v>9</v>
      </c>
      <c r="D4135" s="2" t="s">
        <v>10</v>
      </c>
      <c r="E4135" s="2" t="str">
        <f>HYPERLINK("http://ts.21cn.com/tousu/show/id/1334889","http://ts.21cn.com/tousu/show/id/1334889")</f>
        <v>http://ts.21cn.com/tousu/show/id/1334889</v>
      </c>
      <c r="F4135" s="2" t="s">
        <v>11</v>
      </c>
      <c r="G4135" s="2" t="s">
        <v>36012</v>
      </c>
      <c r="H4135" s="2" t="s">
        <v>36013</v>
      </c>
    </row>
    <row r="4136" spans="1:8" ht="25.05" customHeight="1" x14ac:dyDescent="0.25">
      <c r="A4136" s="2" t="s">
        <v>8</v>
      </c>
      <c r="B4136" s="2" t="str">
        <f>HYPERLINK("http://ts.21cn.com/tousu/show/id/1334892","暴力催收骚扰")</f>
        <v>暴力催收骚扰</v>
      </c>
      <c r="C4136" s="2" t="s">
        <v>9</v>
      </c>
      <c r="D4136" s="2" t="s">
        <v>10</v>
      </c>
      <c r="E4136" s="2" t="str">
        <f>HYPERLINK("http://ts.21cn.com/tousu/show/id/1334892","http://ts.21cn.com/tousu/show/id/1334892")</f>
        <v>http://ts.21cn.com/tousu/show/id/1334892</v>
      </c>
      <c r="F4136" s="2" t="s">
        <v>11</v>
      </c>
      <c r="G4136" s="2" t="s">
        <v>36010</v>
      </c>
      <c r="H4136" s="2" t="s">
        <v>36011</v>
      </c>
    </row>
    <row r="4137" spans="1:8" ht="25.05" customHeight="1" x14ac:dyDescent="0.25">
      <c r="A4137" s="2" t="s">
        <v>8</v>
      </c>
      <c r="B4137" s="2" t="str">
        <f>HYPERLINK("http://ts.21cn.com/tousu/show/id/1334890","提前两天买景点票不能改签")</f>
        <v>提前两天买景点票不能改签</v>
      </c>
      <c r="C4137" s="2" t="s">
        <v>9</v>
      </c>
      <c r="D4137" s="2" t="s">
        <v>10</v>
      </c>
      <c r="E4137" s="2" t="str">
        <f>HYPERLINK("http://ts.21cn.com/tousu/show/id/1334890","http://ts.21cn.com/tousu/show/id/1334890")</f>
        <v>http://ts.21cn.com/tousu/show/id/1334890</v>
      </c>
      <c r="F4137" s="2" t="s">
        <v>11</v>
      </c>
      <c r="G4137" s="2" t="s">
        <v>36008</v>
      </c>
      <c r="H4137" s="2" t="s">
        <v>36009</v>
      </c>
    </row>
    <row r="4138" spans="1:8" ht="25.05" customHeight="1" x14ac:dyDescent="0.25">
      <c r="A4138" s="2" t="s">
        <v>8</v>
      </c>
      <c r="B4138" s="2" t="str">
        <f>HYPERLINK("http://ts.21cn.com/tousu/show/id/1334893","转转平台售卖描述不符合的商品")</f>
        <v>转转平台售卖描述不符合的商品</v>
      </c>
      <c r="C4138" s="2" t="s">
        <v>9</v>
      </c>
      <c r="D4138" s="2" t="s">
        <v>10</v>
      </c>
      <c r="E4138" s="2" t="str">
        <f>HYPERLINK("http://ts.21cn.com/tousu/show/id/1334893","http://ts.21cn.com/tousu/show/id/1334893")</f>
        <v>http://ts.21cn.com/tousu/show/id/1334893</v>
      </c>
      <c r="F4138" s="2" t="s">
        <v>11</v>
      </c>
      <c r="G4138" s="2" t="s">
        <v>36006</v>
      </c>
      <c r="H4138" s="2" t="s">
        <v>36007</v>
      </c>
    </row>
    <row r="4139" spans="1:8" ht="25.05" customHeight="1" x14ac:dyDescent="0.25">
      <c r="A4139" s="2" t="s">
        <v>8</v>
      </c>
      <c r="B4139" s="2" t="str">
        <f>HYPERLINK("http://ts.21cn.com/tousu/show/id/1334894","宜信普惠员工放高利贷，威胁恐吓")</f>
        <v>宜信普惠员工放高利贷，威胁恐吓</v>
      </c>
      <c r="C4139" s="2" t="s">
        <v>9</v>
      </c>
      <c r="D4139" s="2" t="s">
        <v>10</v>
      </c>
      <c r="E4139" s="2" t="str">
        <f>HYPERLINK("http://ts.21cn.com/tousu/show/id/1334894","http://ts.21cn.com/tousu/show/id/1334894")</f>
        <v>http://ts.21cn.com/tousu/show/id/1334894</v>
      </c>
      <c r="F4139" s="2" t="s">
        <v>11</v>
      </c>
      <c r="G4139" s="2" t="s">
        <v>36004</v>
      </c>
      <c r="H4139" s="2" t="s">
        <v>36005</v>
      </c>
    </row>
    <row r="4140" spans="1:8" ht="25.05" customHeight="1" x14ac:dyDescent="0.25">
      <c r="A4140" s="2" t="s">
        <v>8</v>
      </c>
      <c r="B4140" s="2" t="str">
        <f>HYPERLINK("http://ts.21cn.com/tousu/show/id/1334895","玖富万卡高利贷")</f>
        <v>玖富万卡高利贷</v>
      </c>
      <c r="C4140" s="2" t="s">
        <v>9</v>
      </c>
      <c r="D4140" s="2" t="s">
        <v>10</v>
      </c>
      <c r="E4140" s="2" t="str">
        <f>HYPERLINK("http://ts.21cn.com/tousu/show/id/1334895","http://ts.21cn.com/tousu/show/id/1334895")</f>
        <v>http://ts.21cn.com/tousu/show/id/1334895</v>
      </c>
      <c r="F4140" s="2" t="s">
        <v>11</v>
      </c>
      <c r="G4140" s="2" t="s">
        <v>36002</v>
      </c>
      <c r="H4140" s="2" t="s">
        <v>36003</v>
      </c>
    </row>
    <row r="4141" spans="1:8" ht="25.05" customHeight="1" x14ac:dyDescent="0.25">
      <c r="A4141" s="2" t="s">
        <v>8</v>
      </c>
      <c r="B4141" s="2" t="str">
        <f>HYPERLINK("http://ts.21cn.com/tousu/show/id/1334887","恶意催收严重影响了我的正常生活和工作")</f>
        <v>恶意催收严重影响了我的正常生活和工作</v>
      </c>
      <c r="C4141" s="2" t="s">
        <v>9</v>
      </c>
      <c r="D4141" s="2" t="s">
        <v>10</v>
      </c>
      <c r="E4141" s="2" t="str">
        <f>HYPERLINK("http://ts.21cn.com/tousu/show/id/1334887","http://ts.21cn.com/tousu/show/id/1334887")</f>
        <v>http://ts.21cn.com/tousu/show/id/1334887</v>
      </c>
      <c r="F4141" s="2" t="s">
        <v>11</v>
      </c>
      <c r="G4141" s="2" t="s">
        <v>36000</v>
      </c>
      <c r="H4141" s="2" t="s">
        <v>36001</v>
      </c>
    </row>
    <row r="4142" spans="1:8" ht="25.05" customHeight="1" x14ac:dyDescent="0.25">
      <c r="A4142" s="2" t="s">
        <v>8</v>
      </c>
      <c r="B4142" s="2" t="str">
        <f>HYPERLINK("http://ts.21cn.com/tousu/show/id/1334896","新橙分期，晋商消费金融正常还款恶意上征信")</f>
        <v>新橙分期，晋商消费金融正常还款恶意上征信</v>
      </c>
      <c r="C4142" s="2" t="s">
        <v>9</v>
      </c>
      <c r="D4142" s="2" t="s">
        <v>10</v>
      </c>
      <c r="E4142" s="2" t="str">
        <f>HYPERLINK("http://ts.21cn.com/tousu/show/id/1334896","http://ts.21cn.com/tousu/show/id/1334896")</f>
        <v>http://ts.21cn.com/tousu/show/id/1334896</v>
      </c>
      <c r="F4142" s="2" t="s">
        <v>11</v>
      </c>
      <c r="G4142" s="2" t="s">
        <v>35998</v>
      </c>
      <c r="H4142" s="2" t="s">
        <v>35999</v>
      </c>
    </row>
    <row r="4143" spans="1:8" ht="25.05" customHeight="1" x14ac:dyDescent="0.25">
      <c r="A4143" s="2" t="s">
        <v>8</v>
      </c>
      <c r="B4143" s="2" t="str">
        <f>HYPERLINK("http://ts.21cn.com/tousu/show/id/1334897","钱站高利贷阴阳合同")</f>
        <v>钱站高利贷阴阳合同</v>
      </c>
      <c r="C4143" s="2" t="s">
        <v>9</v>
      </c>
      <c r="D4143" s="2" t="s">
        <v>10</v>
      </c>
      <c r="E4143" s="2" t="str">
        <f>HYPERLINK("http://ts.21cn.com/tousu/show/id/1334897","http://ts.21cn.com/tousu/show/id/1334897")</f>
        <v>http://ts.21cn.com/tousu/show/id/1334897</v>
      </c>
      <c r="F4143" s="2" t="s">
        <v>11</v>
      </c>
      <c r="G4143" s="2" t="s">
        <v>35996</v>
      </c>
      <c r="H4143" s="2" t="s">
        <v>35997</v>
      </c>
    </row>
    <row r="4144" spans="1:8" ht="25.05" customHeight="1" x14ac:dyDescent="0.25">
      <c r="A4144" s="2" t="s">
        <v>8</v>
      </c>
      <c r="B4144" s="2" t="str">
        <f>HYPERLINK("http://ts.21cn.com/tousu/show/id/1334898","自由摩卡信用计划套路贷")</f>
        <v>自由摩卡信用计划套路贷</v>
      </c>
      <c r="C4144" s="2" t="s">
        <v>9</v>
      </c>
      <c r="D4144" s="2" t="s">
        <v>10</v>
      </c>
      <c r="E4144" s="2" t="str">
        <f>HYPERLINK("http://ts.21cn.com/tousu/show/id/1334898","http://ts.21cn.com/tousu/show/id/1334898")</f>
        <v>http://ts.21cn.com/tousu/show/id/1334898</v>
      </c>
      <c r="F4144" s="2" t="s">
        <v>11</v>
      </c>
      <c r="G4144" s="2" t="s">
        <v>35994</v>
      </c>
      <c r="H4144" s="2" t="s">
        <v>35995</v>
      </c>
    </row>
    <row r="4145" spans="1:8" ht="25.05" customHeight="1" x14ac:dyDescent="0.25">
      <c r="A4145" s="2" t="s">
        <v>8</v>
      </c>
      <c r="B4145" s="2" t="str">
        <f>HYPERLINK("http://ts.21cn.com/tousu/show/id/1334899","盈盈有钱高利息，套路贷")</f>
        <v>盈盈有钱高利息，套路贷</v>
      </c>
      <c r="C4145" s="2" t="s">
        <v>9</v>
      </c>
      <c r="D4145" s="2" t="s">
        <v>10</v>
      </c>
      <c r="E4145" s="2" t="str">
        <f>HYPERLINK("http://ts.21cn.com/tousu/show/id/1334899","http://ts.21cn.com/tousu/show/id/1334899")</f>
        <v>http://ts.21cn.com/tousu/show/id/1334899</v>
      </c>
      <c r="F4145" s="2" t="s">
        <v>11</v>
      </c>
      <c r="G4145" s="2" t="s">
        <v>35992</v>
      </c>
      <c r="H4145" s="2" t="s">
        <v>35993</v>
      </c>
    </row>
    <row r="4146" spans="1:8" ht="25.05" customHeight="1" x14ac:dyDescent="0.25">
      <c r="A4146" s="2" t="s">
        <v>8</v>
      </c>
      <c r="B4146" s="2" t="str">
        <f>HYPERLINK("http://ts.21cn.com/tousu/show/id/1334900","浦发说话不算数，软暴力逼债")</f>
        <v>浦发说话不算数，软暴力逼债</v>
      </c>
      <c r="C4146" s="2" t="s">
        <v>9</v>
      </c>
      <c r="D4146" s="2" t="s">
        <v>10</v>
      </c>
      <c r="E4146" s="2" t="str">
        <f>HYPERLINK("http://ts.21cn.com/tousu/show/id/1334900","http://ts.21cn.com/tousu/show/id/1334900")</f>
        <v>http://ts.21cn.com/tousu/show/id/1334900</v>
      </c>
      <c r="F4146" s="2" t="s">
        <v>11</v>
      </c>
      <c r="G4146" s="2" t="s">
        <v>35990</v>
      </c>
      <c r="H4146" s="2" t="s">
        <v>35991</v>
      </c>
    </row>
    <row r="4147" spans="1:8" ht="25.05" customHeight="1" x14ac:dyDescent="0.25">
      <c r="A4147" s="2" t="s">
        <v>8</v>
      </c>
      <c r="B4147" s="2" t="str">
        <f>HYPERLINK("http://ts.21cn.com/tousu/show/id/1334891","退货及店员态度问题")</f>
        <v>退货及店员态度问题</v>
      </c>
      <c r="C4147" s="2" t="s">
        <v>34</v>
      </c>
      <c r="D4147" s="2" t="s">
        <v>10</v>
      </c>
      <c r="E4147" s="2" t="str">
        <f>HYPERLINK("http://ts.21cn.com/tousu/show/id/1334891","http://ts.21cn.com/tousu/show/id/1334891")</f>
        <v>http://ts.21cn.com/tousu/show/id/1334891</v>
      </c>
      <c r="F4147" s="2" t="s">
        <v>11</v>
      </c>
      <c r="G4147" s="2" t="s">
        <v>35988</v>
      </c>
      <c r="H4147" s="2" t="s">
        <v>35989</v>
      </c>
    </row>
    <row r="4148" spans="1:8" ht="25.05" customHeight="1" x14ac:dyDescent="0.25">
      <c r="A4148" s="2" t="s">
        <v>8</v>
      </c>
      <c r="B4148" s="2" t="str">
        <f>HYPERLINK("http://ts.21cn.com/tousu/show/id/1334901","自由魔卡六便士高价会员费砍头息")</f>
        <v>自由魔卡六便士高价会员费砍头息</v>
      </c>
      <c r="C4148" s="2" t="s">
        <v>34</v>
      </c>
      <c r="D4148" s="2" t="s">
        <v>10</v>
      </c>
      <c r="E4148" s="2" t="str">
        <f>HYPERLINK("http://ts.21cn.com/tousu/show/id/1334901","http://ts.21cn.com/tousu/show/id/1334901")</f>
        <v>http://ts.21cn.com/tousu/show/id/1334901</v>
      </c>
      <c r="F4148" s="2" t="s">
        <v>11</v>
      </c>
      <c r="G4148" s="2" t="s">
        <v>35986</v>
      </c>
      <c r="H4148" s="2" t="s">
        <v>35987</v>
      </c>
    </row>
    <row r="4149" spans="1:8" ht="25.05" customHeight="1" x14ac:dyDescent="0.25">
      <c r="A4149" s="2" t="s">
        <v>8</v>
      </c>
      <c r="B4149" s="2" t="str">
        <f>HYPERLINK("http://ts.21cn.com/tousu/show/id/1334902","中大互联教育平台欺诈学员")</f>
        <v>中大互联教育平台欺诈学员</v>
      </c>
      <c r="C4149" s="2" t="s">
        <v>9</v>
      </c>
      <c r="D4149" s="2" t="s">
        <v>10</v>
      </c>
      <c r="E4149" s="2" t="str">
        <f>HYPERLINK("http://ts.21cn.com/tousu/show/id/1334902","http://ts.21cn.com/tousu/show/id/1334902")</f>
        <v>http://ts.21cn.com/tousu/show/id/1334902</v>
      </c>
      <c r="F4149" s="2" t="s">
        <v>11</v>
      </c>
      <c r="G4149" s="2" t="s">
        <v>35984</v>
      </c>
      <c r="H4149" s="2" t="s">
        <v>35985</v>
      </c>
    </row>
    <row r="4150" spans="1:8" ht="25.05" customHeight="1" x14ac:dyDescent="0.25">
      <c r="A4150" s="2" t="s">
        <v>8</v>
      </c>
      <c r="B4150" s="2" t="str">
        <f>HYPERLINK("http://ts.21cn.com/tousu/show/id/1334903","贷上钱变相收取高额利息")</f>
        <v>贷上钱变相收取高额利息</v>
      </c>
      <c r="C4150" s="2" t="s">
        <v>9</v>
      </c>
      <c r="D4150" s="2" t="s">
        <v>10</v>
      </c>
      <c r="E4150" s="2" t="str">
        <f>HYPERLINK("http://ts.21cn.com/tousu/show/id/1334903","http://ts.21cn.com/tousu/show/id/1334903")</f>
        <v>http://ts.21cn.com/tousu/show/id/1334903</v>
      </c>
      <c r="F4150" s="2" t="s">
        <v>11</v>
      </c>
      <c r="G4150" s="2" t="s">
        <v>35982</v>
      </c>
      <c r="H4150" s="2" t="s">
        <v>35983</v>
      </c>
    </row>
    <row r="4151" spans="1:8" ht="25.05" customHeight="1" x14ac:dyDescent="0.25">
      <c r="A4151" s="2" t="s">
        <v>8</v>
      </c>
      <c r="B4151" s="2" t="str">
        <f>HYPERLINK("http://ts.21cn.com/tousu/show/id/1334904","去哪儿网与无良商家合伙欺诈消费者。")</f>
        <v>去哪儿网与无良商家合伙欺诈消费者。</v>
      </c>
      <c r="C4151" s="2" t="s">
        <v>9</v>
      </c>
      <c r="D4151" s="2" t="s">
        <v>10</v>
      </c>
      <c r="E4151" s="2" t="str">
        <f>HYPERLINK("http://ts.21cn.com/tousu/show/id/1334904","http://ts.21cn.com/tousu/show/id/1334904")</f>
        <v>http://ts.21cn.com/tousu/show/id/1334904</v>
      </c>
      <c r="F4151" s="2" t="s">
        <v>11</v>
      </c>
      <c r="G4151" s="2" t="s">
        <v>35980</v>
      </c>
      <c r="H4151" s="2" t="s">
        <v>35981</v>
      </c>
    </row>
    <row r="4152" spans="1:8" ht="25.05" customHeight="1" x14ac:dyDescent="0.25">
      <c r="A4152" s="2" t="s">
        <v>8</v>
      </c>
      <c r="B4152" s="2" t="str">
        <f>HYPERLINK("http://ts.21cn.com/tousu/show/id/1334905","拍拍贷在没有联系本人的情况下骚扰了家里人")</f>
        <v>拍拍贷在没有联系本人的情况下骚扰了家里人</v>
      </c>
      <c r="C4152" s="2" t="s">
        <v>9</v>
      </c>
      <c r="D4152" s="2" t="s">
        <v>10</v>
      </c>
      <c r="E4152" s="2" t="str">
        <f>HYPERLINK("http://ts.21cn.com/tousu/show/id/1334905","http://ts.21cn.com/tousu/show/id/1334905")</f>
        <v>http://ts.21cn.com/tousu/show/id/1334905</v>
      </c>
      <c r="F4152" s="2" t="s">
        <v>11</v>
      </c>
      <c r="G4152" s="2" t="s">
        <v>35978</v>
      </c>
      <c r="H4152" s="2" t="s">
        <v>35979</v>
      </c>
    </row>
    <row r="4153" spans="1:8" ht="25.05" customHeight="1" x14ac:dyDescent="0.25">
      <c r="A4153" s="2" t="s">
        <v>8</v>
      </c>
      <c r="B4153" s="2" t="str">
        <f>HYPERLINK("http://ts.21cn.com/tousu/show/id/1334906","gofun注册使用，原手机号收回，现目前无法更改")</f>
        <v>gofun注册使用，原手机号收回，现目前无法更改</v>
      </c>
      <c r="C4153" s="2" t="s">
        <v>9</v>
      </c>
      <c r="D4153" s="2" t="s">
        <v>10</v>
      </c>
      <c r="E4153" s="2" t="str">
        <f>HYPERLINK("http://ts.21cn.com/tousu/show/id/1334906","http://ts.21cn.com/tousu/show/id/1334906")</f>
        <v>http://ts.21cn.com/tousu/show/id/1334906</v>
      </c>
      <c r="F4153" s="2" t="s">
        <v>11</v>
      </c>
      <c r="G4153" s="2" t="s">
        <v>35976</v>
      </c>
      <c r="H4153" s="2" t="s">
        <v>35977</v>
      </c>
    </row>
    <row r="4154" spans="1:8" ht="25.05" customHeight="1" x14ac:dyDescent="0.25">
      <c r="A4154" s="2" t="s">
        <v>8</v>
      </c>
      <c r="B4154" s="2" t="str">
        <f>HYPERLINK("http://ts.21cn.com/tousu/show/id/1334729","购买网课的产品还未使用而且拒绝退费")</f>
        <v>购买网课的产品还未使用而且拒绝退费</v>
      </c>
      <c r="C4154" s="2" t="s">
        <v>9</v>
      </c>
      <c r="D4154" s="2" t="s">
        <v>10</v>
      </c>
      <c r="E4154" s="2" t="str">
        <f>HYPERLINK("http://ts.21cn.com/tousu/show/id/1334729","http://ts.21cn.com/tousu/show/id/1334729")</f>
        <v>http://ts.21cn.com/tousu/show/id/1334729</v>
      </c>
      <c r="F4154" s="2" t="s">
        <v>11</v>
      </c>
      <c r="G4154" s="2" t="s">
        <v>35974</v>
      </c>
      <c r="H4154" s="2" t="s">
        <v>35975</v>
      </c>
    </row>
    <row r="4155" spans="1:8" ht="25.05" customHeight="1" x14ac:dyDescent="0.25">
      <c r="A4155" s="2" t="s">
        <v>8</v>
      </c>
      <c r="B4155" s="2" t="str">
        <f>HYPERLINK("http://ts.21cn.com/tousu/show/id/1334907","非法境外博彩")</f>
        <v>非法境外博彩</v>
      </c>
      <c r="C4155" s="2" t="s">
        <v>9</v>
      </c>
      <c r="D4155" s="2" t="s">
        <v>10</v>
      </c>
      <c r="E4155" s="2" t="str">
        <f>HYPERLINK("http://ts.21cn.com/tousu/show/id/1334907","http://ts.21cn.com/tousu/show/id/1334907")</f>
        <v>http://ts.21cn.com/tousu/show/id/1334907</v>
      </c>
      <c r="F4155" s="2" t="s">
        <v>11</v>
      </c>
      <c r="G4155" s="2" t="s">
        <v>35971</v>
      </c>
      <c r="H4155" s="2" t="s">
        <v>35972</v>
      </c>
    </row>
    <row r="4156" spans="1:8" ht="25.05" customHeight="1" x14ac:dyDescent="0.25">
      <c r="A4156" s="2" t="s">
        <v>8</v>
      </c>
      <c r="B4156" s="2" t="str">
        <f>HYPERLINK("http://ts.21cn.com/tousu/show/id/1334701","商家不退款")</f>
        <v>商家不退款</v>
      </c>
      <c r="C4156" s="2" t="s">
        <v>9</v>
      </c>
      <c r="D4156" s="2" t="s">
        <v>10</v>
      </c>
      <c r="E4156" s="2" t="str">
        <f>HYPERLINK("http://ts.21cn.com/tousu/show/id/1334701","http://ts.21cn.com/tousu/show/id/1334701")</f>
        <v>http://ts.21cn.com/tousu/show/id/1334701</v>
      </c>
      <c r="F4156" s="2" t="s">
        <v>11</v>
      </c>
      <c r="G4156" s="2" t="s">
        <v>35971</v>
      </c>
      <c r="H4156" s="2" t="s">
        <v>35973</v>
      </c>
    </row>
    <row r="4157" spans="1:8" ht="25.05" customHeight="1" x14ac:dyDescent="0.25">
      <c r="A4157" s="2" t="s">
        <v>8</v>
      </c>
      <c r="B4157" s="2" t="str">
        <f>HYPERLINK("http://ts.21cn.com/tousu/show/id/1334908","微粒贷不根据事实协商，软暴力逼债")</f>
        <v>微粒贷不根据事实协商，软暴力逼债</v>
      </c>
      <c r="C4157" s="2" t="s">
        <v>9</v>
      </c>
      <c r="D4157" s="2" t="s">
        <v>10</v>
      </c>
      <c r="E4157" s="2" t="str">
        <f>HYPERLINK("http://ts.21cn.com/tousu/show/id/1334908","http://ts.21cn.com/tousu/show/id/1334908")</f>
        <v>http://ts.21cn.com/tousu/show/id/1334908</v>
      </c>
      <c r="F4157" s="2" t="s">
        <v>11</v>
      </c>
      <c r="G4157" s="2" t="s">
        <v>35969</v>
      </c>
      <c r="H4157" s="2" t="s">
        <v>35970</v>
      </c>
    </row>
    <row r="4158" spans="1:8" ht="25.05" customHeight="1" x14ac:dyDescent="0.25">
      <c r="A4158" s="2" t="s">
        <v>8</v>
      </c>
      <c r="B4158" s="2" t="str">
        <f>HYPERLINK("http://ts.21cn.com/tousu/show/id/1334909","马上金融的利息与实际所收不符")</f>
        <v>马上金融的利息与实际所收不符</v>
      </c>
      <c r="C4158" s="2" t="s">
        <v>9</v>
      </c>
      <c r="D4158" s="2" t="s">
        <v>10</v>
      </c>
      <c r="E4158" s="2" t="str">
        <f>HYPERLINK("http://ts.21cn.com/tousu/show/id/1334909","http://ts.21cn.com/tousu/show/id/1334909")</f>
        <v>http://ts.21cn.com/tousu/show/id/1334909</v>
      </c>
      <c r="F4158" s="2" t="s">
        <v>11</v>
      </c>
      <c r="G4158" s="2" t="s">
        <v>35967</v>
      </c>
      <c r="H4158" s="2" t="s">
        <v>35968</v>
      </c>
    </row>
    <row r="4159" spans="1:8" ht="25.05" customHeight="1" x14ac:dyDescent="0.25">
      <c r="A4159" s="2" t="s">
        <v>8</v>
      </c>
      <c r="B4159" s="2" t="str">
        <f>HYPERLINK("http://ts.21cn.com/tousu/show/id/1334912","滴滴公司不给派单")</f>
        <v>滴滴公司不给派单</v>
      </c>
      <c r="C4159" s="2" t="s">
        <v>34</v>
      </c>
      <c r="D4159" s="2" t="s">
        <v>10</v>
      </c>
      <c r="E4159" s="2" t="str">
        <f>HYPERLINK("http://ts.21cn.com/tousu/show/id/1334912","http://ts.21cn.com/tousu/show/id/1334912")</f>
        <v>http://ts.21cn.com/tousu/show/id/1334912</v>
      </c>
      <c r="F4159" s="2" t="s">
        <v>11</v>
      </c>
      <c r="G4159" s="2" t="s">
        <v>35965</v>
      </c>
      <c r="H4159" s="2" t="s">
        <v>35966</v>
      </c>
    </row>
    <row r="4160" spans="1:8" ht="25.05" customHeight="1" x14ac:dyDescent="0.25">
      <c r="A4160" s="2" t="s">
        <v>8</v>
      </c>
      <c r="B4160" s="2" t="str">
        <f>HYPERLINK("http://ts.21cn.com/tousu/show/id/1334910","我要投诉达飞云贷")</f>
        <v>我要投诉达飞云贷</v>
      </c>
      <c r="C4160" s="2" t="s">
        <v>9</v>
      </c>
      <c r="D4160" s="2" t="s">
        <v>10</v>
      </c>
      <c r="E4160" s="2" t="str">
        <f>HYPERLINK("http://ts.21cn.com/tousu/show/id/1334910","http://ts.21cn.com/tousu/show/id/1334910")</f>
        <v>http://ts.21cn.com/tousu/show/id/1334910</v>
      </c>
      <c r="F4160" s="2" t="s">
        <v>11</v>
      </c>
      <c r="G4160" s="2" t="s">
        <v>35963</v>
      </c>
      <c r="H4160" s="2" t="s">
        <v>35964</v>
      </c>
    </row>
    <row r="4161" spans="1:8" ht="25.05" customHeight="1" x14ac:dyDescent="0.25">
      <c r="A4161" s="2" t="s">
        <v>8</v>
      </c>
      <c r="B4161" s="2" t="str">
        <f>HYPERLINK("http://ts.21cn.com/tousu/show/id/1334913","滴滴分期严重高利贷")</f>
        <v>滴滴分期严重高利贷</v>
      </c>
      <c r="C4161" s="2" t="s">
        <v>9</v>
      </c>
      <c r="D4161" s="2" t="s">
        <v>10</v>
      </c>
      <c r="E4161" s="2" t="str">
        <f>HYPERLINK("http://ts.21cn.com/tousu/show/id/1334913","http://ts.21cn.com/tousu/show/id/1334913")</f>
        <v>http://ts.21cn.com/tousu/show/id/1334913</v>
      </c>
      <c r="F4161" s="2" t="s">
        <v>11</v>
      </c>
      <c r="G4161" s="2" t="s">
        <v>35961</v>
      </c>
      <c r="H4161" s="2" t="s">
        <v>35962</v>
      </c>
    </row>
    <row r="4162" spans="1:8" ht="25.05" customHeight="1" x14ac:dyDescent="0.25">
      <c r="A4162" s="2" t="s">
        <v>8</v>
      </c>
      <c r="B4162" s="2" t="str">
        <f>HYPERLINK("http://ts.21cn.com/tousu/show/id/1334914","酒店订单不可取消，且酒店位置过于便宜平台并未给予提示。")</f>
        <v>酒店订单不可取消，且酒店位置过于便宜平台并未给予提示。</v>
      </c>
      <c r="C4162" s="2" t="s">
        <v>9</v>
      </c>
      <c r="D4162" s="2" t="s">
        <v>10</v>
      </c>
      <c r="E4162" s="2" t="str">
        <f>HYPERLINK("http://ts.21cn.com/tousu/show/id/1334914","http://ts.21cn.com/tousu/show/id/1334914")</f>
        <v>http://ts.21cn.com/tousu/show/id/1334914</v>
      </c>
      <c r="F4162" s="2" t="s">
        <v>11</v>
      </c>
      <c r="G4162" s="2" t="s">
        <v>35959</v>
      </c>
      <c r="H4162" s="2" t="s">
        <v>35960</v>
      </c>
    </row>
    <row r="4163" spans="1:8" ht="25.05" customHeight="1" x14ac:dyDescent="0.25">
      <c r="A4163" s="2" t="s">
        <v>8</v>
      </c>
      <c r="B4163" s="2" t="str">
        <f>HYPERLINK("http://ts.21cn.com/tousu/show/id/1334916","泄露个人资料")</f>
        <v>泄露个人资料</v>
      </c>
      <c r="C4163" s="2" t="s">
        <v>9</v>
      </c>
      <c r="D4163" s="2" t="s">
        <v>10</v>
      </c>
      <c r="E4163" s="2" t="str">
        <f>HYPERLINK("http://ts.21cn.com/tousu/show/id/1334916","http://ts.21cn.com/tousu/show/id/1334916")</f>
        <v>http://ts.21cn.com/tousu/show/id/1334916</v>
      </c>
      <c r="F4163" s="2" t="s">
        <v>11</v>
      </c>
      <c r="G4163" s="2" t="s">
        <v>35957</v>
      </c>
      <c r="H4163" s="2" t="s">
        <v>35958</v>
      </c>
    </row>
    <row r="4164" spans="1:8" ht="25.05" customHeight="1" x14ac:dyDescent="0.25">
      <c r="A4164" s="2" t="s">
        <v>8</v>
      </c>
      <c r="B4164" s="2" t="str">
        <f>HYPERLINK("http://ts.21cn.com/tousu/show/id/1334917","特约中智无故扣款")</f>
        <v>特约中智无故扣款</v>
      </c>
      <c r="C4164" s="2" t="s">
        <v>9</v>
      </c>
      <c r="D4164" s="2" t="s">
        <v>10</v>
      </c>
      <c r="E4164" s="2" t="str">
        <f>HYPERLINK("http://ts.21cn.com/tousu/show/id/1334917","http://ts.21cn.com/tousu/show/id/1334917")</f>
        <v>http://ts.21cn.com/tousu/show/id/1334917</v>
      </c>
      <c r="F4164" s="2" t="s">
        <v>11</v>
      </c>
      <c r="G4164" s="2" t="s">
        <v>35955</v>
      </c>
      <c r="H4164" s="2" t="s">
        <v>35956</v>
      </c>
    </row>
    <row r="4165" spans="1:8" ht="25.05" customHeight="1" x14ac:dyDescent="0.25">
      <c r="A4165" s="2" t="s">
        <v>8</v>
      </c>
      <c r="B4165" s="2" t="str">
        <f>HYPERLINK("http://ts.21cn.com/tousu/show/id/1334918","百事惠普在我未知情情况下恶意扣款")</f>
        <v>百事惠普在我未知情情况下恶意扣款</v>
      </c>
      <c r="C4165" s="2" t="s">
        <v>9</v>
      </c>
      <c r="D4165" s="2" t="s">
        <v>10</v>
      </c>
      <c r="E4165" s="2" t="str">
        <f>HYPERLINK("http://ts.21cn.com/tousu/show/id/1334918","http://ts.21cn.com/tousu/show/id/1334918")</f>
        <v>http://ts.21cn.com/tousu/show/id/1334918</v>
      </c>
      <c r="F4165" s="2" t="s">
        <v>11</v>
      </c>
      <c r="G4165" s="2" t="s">
        <v>35953</v>
      </c>
      <c r="H4165" s="2" t="s">
        <v>35954</v>
      </c>
    </row>
    <row r="4166" spans="1:8" ht="25.05" customHeight="1" x14ac:dyDescent="0.25">
      <c r="A4166" s="2" t="s">
        <v>8</v>
      </c>
      <c r="B4166" s="2" t="str">
        <f>HYPERLINK("http://ts.21cn.com/tousu/show/id/1334919","萌推挂羊头卖狗肉有没有人管")</f>
        <v>萌推挂羊头卖狗肉有没有人管</v>
      </c>
      <c r="C4166" s="2" t="s">
        <v>9</v>
      </c>
      <c r="D4166" s="2" t="s">
        <v>10</v>
      </c>
      <c r="E4166" s="2" t="str">
        <f>HYPERLINK("http://ts.21cn.com/tousu/show/id/1334919","http://ts.21cn.com/tousu/show/id/1334919")</f>
        <v>http://ts.21cn.com/tousu/show/id/1334919</v>
      </c>
      <c r="F4166" s="2" t="s">
        <v>11</v>
      </c>
      <c r="G4166" s="2" t="s">
        <v>35951</v>
      </c>
      <c r="H4166" s="2" t="s">
        <v>35952</v>
      </c>
    </row>
    <row r="4167" spans="1:8" ht="25.05" customHeight="1" x14ac:dyDescent="0.25">
      <c r="A4167" s="2" t="s">
        <v>8</v>
      </c>
      <c r="B4167" s="2" t="str">
        <f>HYPERLINK("http://ts.21cn.com/tousu/show/id/1334920","浙江问问网络科技有限公司假冒天猫中国移动官方旗舰店名号无视中国法律大肆诱导消费者贩卖有质量问题手机不予7天内退款")</f>
        <v>浙江问问网络科技有限公司假冒天猫中国移动官方旗舰店名号无视中国法律大肆诱导消费者贩卖有质量问题手机不予7天内退款</v>
      </c>
      <c r="C4167" s="2" t="s">
        <v>9</v>
      </c>
      <c r="D4167" s="2" t="s">
        <v>10</v>
      </c>
      <c r="E4167" s="2" t="str">
        <f>HYPERLINK("http://ts.21cn.com/tousu/show/id/1334920","http://ts.21cn.com/tousu/show/id/1334920")</f>
        <v>http://ts.21cn.com/tousu/show/id/1334920</v>
      </c>
      <c r="F4167" s="2" t="s">
        <v>11</v>
      </c>
      <c r="G4167" s="2" t="s">
        <v>35949</v>
      </c>
      <c r="H4167" s="2" t="s">
        <v>35950</v>
      </c>
    </row>
    <row r="4168" spans="1:8" ht="25.05" customHeight="1" x14ac:dyDescent="0.25">
      <c r="A4168" s="2" t="s">
        <v>8</v>
      </c>
      <c r="B4168" s="2" t="str">
        <f>HYPERLINK("http://ts.21cn.com/tousu/show/id/1334921","平安普惠贷款隐瞒隐藏并强制收取高额保险费管理费投诉事宜")</f>
        <v>平安普惠贷款隐瞒隐藏并强制收取高额保险费管理费投诉事宜</v>
      </c>
      <c r="C4168" s="2" t="s">
        <v>9</v>
      </c>
      <c r="D4168" s="2" t="s">
        <v>10</v>
      </c>
      <c r="E4168" s="2" t="str">
        <f>HYPERLINK("http://ts.21cn.com/tousu/show/id/1334921","http://ts.21cn.com/tousu/show/id/1334921")</f>
        <v>http://ts.21cn.com/tousu/show/id/1334921</v>
      </c>
      <c r="F4168" s="2" t="s">
        <v>11</v>
      </c>
      <c r="G4168" s="2" t="s">
        <v>35947</v>
      </c>
      <c r="H4168" s="2" t="s">
        <v>35948</v>
      </c>
    </row>
    <row r="4169" spans="1:8" ht="25.05" customHeight="1" x14ac:dyDescent="0.25">
      <c r="A4169" s="2" t="s">
        <v>8</v>
      </c>
      <c r="B4169" s="2" t="str">
        <f>HYPERLINK("http://ts.21cn.com/tousu/show/id/1334915","虚假充值话费")</f>
        <v>虚假充值话费</v>
      </c>
      <c r="C4169" s="2" t="s">
        <v>9</v>
      </c>
      <c r="D4169" s="2" t="s">
        <v>10</v>
      </c>
      <c r="E4169" s="2" t="str">
        <f>HYPERLINK("http://ts.21cn.com/tousu/show/id/1334915","http://ts.21cn.com/tousu/show/id/1334915")</f>
        <v>http://ts.21cn.com/tousu/show/id/1334915</v>
      </c>
      <c r="F4169" s="2" t="s">
        <v>11</v>
      </c>
      <c r="G4169" s="2" t="s">
        <v>35945</v>
      </c>
      <c r="H4169" s="2" t="s">
        <v>35946</v>
      </c>
    </row>
    <row r="4170" spans="1:8" ht="25.05" customHeight="1" x14ac:dyDescent="0.25">
      <c r="A4170" s="2" t="s">
        <v>8</v>
      </c>
      <c r="B4170" s="2" t="str">
        <f>HYPERLINK("http://ts.21cn.com/tousu/show/id/1334922","九毛发卡网站购卡无效！")</f>
        <v>九毛发卡网站购卡无效！</v>
      </c>
      <c r="C4170" s="2" t="s">
        <v>9</v>
      </c>
      <c r="D4170" s="2" t="s">
        <v>10</v>
      </c>
      <c r="E4170" s="2" t="str">
        <f>HYPERLINK("http://ts.21cn.com/tousu/show/id/1334922","http://ts.21cn.com/tousu/show/id/1334922")</f>
        <v>http://ts.21cn.com/tousu/show/id/1334922</v>
      </c>
      <c r="F4170" s="2" t="s">
        <v>11</v>
      </c>
      <c r="G4170" s="2" t="s">
        <v>35943</v>
      </c>
      <c r="H4170" s="2" t="s">
        <v>35944</v>
      </c>
    </row>
    <row r="4171" spans="1:8" ht="25.05" customHeight="1" x14ac:dyDescent="0.25">
      <c r="A4171" s="2" t="s">
        <v>8</v>
      </c>
      <c r="B4171" s="2" t="str">
        <f>HYPERLINK("http://ts.21cn.com/tousu/show/id/1334923","虚假充值话费")</f>
        <v>虚假充值话费</v>
      </c>
      <c r="C4171" s="2" t="s">
        <v>9</v>
      </c>
      <c r="D4171" s="2" t="s">
        <v>10</v>
      </c>
      <c r="E4171" s="2" t="str">
        <f>HYPERLINK("http://ts.21cn.com/tousu/show/id/1334923","http://ts.21cn.com/tousu/show/id/1334923")</f>
        <v>http://ts.21cn.com/tousu/show/id/1334923</v>
      </c>
      <c r="F4171" s="2" t="s">
        <v>11</v>
      </c>
      <c r="G4171" s="2" t="s">
        <v>35941</v>
      </c>
      <c r="H4171" s="2" t="s">
        <v>35942</v>
      </c>
    </row>
    <row r="4172" spans="1:8" ht="25.05" customHeight="1" x14ac:dyDescent="0.25">
      <c r="A4172" s="2" t="s">
        <v>8</v>
      </c>
      <c r="B4172" s="2" t="str">
        <f>HYPERLINK("http://ts.21cn.com/tousu/show/id/1334925","信用管家旗下轻周转芒果筹高利贷")</f>
        <v>信用管家旗下轻周转芒果筹高利贷</v>
      </c>
      <c r="C4172" s="2" t="s">
        <v>9</v>
      </c>
      <c r="D4172" s="2" t="s">
        <v>10</v>
      </c>
      <c r="E4172" s="2" t="str">
        <f>HYPERLINK("http://ts.21cn.com/tousu/show/id/1334925","http://ts.21cn.com/tousu/show/id/1334925")</f>
        <v>http://ts.21cn.com/tousu/show/id/1334925</v>
      </c>
      <c r="F4172" s="2" t="s">
        <v>11</v>
      </c>
      <c r="G4172" s="2" t="s">
        <v>35939</v>
      </c>
      <c r="H4172" s="2" t="s">
        <v>35940</v>
      </c>
    </row>
    <row r="4173" spans="1:8" ht="25.05" customHeight="1" x14ac:dyDescent="0.25">
      <c r="A4173" s="2" t="s">
        <v>8</v>
      </c>
      <c r="B4173" s="2" t="str">
        <f>HYPERLINK("http://ts.21cn.com/tousu/show/id/1334927","去哪网买的涠洲岛门票因无法使用，联系不了商家，无法退款。")</f>
        <v>去哪网买的涠洲岛门票因无法使用，联系不了商家，无法退款。</v>
      </c>
      <c r="C4173" s="2" t="s">
        <v>9</v>
      </c>
      <c r="D4173" s="2" t="s">
        <v>10</v>
      </c>
      <c r="E4173" s="2" t="str">
        <f>HYPERLINK("http://ts.21cn.com/tousu/show/id/1334927","http://ts.21cn.com/tousu/show/id/1334927")</f>
        <v>http://ts.21cn.com/tousu/show/id/1334927</v>
      </c>
      <c r="F4173" s="2" t="s">
        <v>11</v>
      </c>
      <c r="G4173" s="2" t="s">
        <v>35937</v>
      </c>
      <c r="H4173" s="2" t="s">
        <v>35938</v>
      </c>
    </row>
    <row r="4174" spans="1:8" ht="25.05" customHeight="1" x14ac:dyDescent="0.25">
      <c r="A4174" s="2" t="s">
        <v>8</v>
      </c>
      <c r="B4174" s="2" t="str">
        <f>HYPERLINK("http://ts.21cn.com/tousu/show/id/1334928","霸王条款不退还未办理认证费用")</f>
        <v>霸王条款不退还未办理认证费用</v>
      </c>
      <c r="C4174" s="2" t="s">
        <v>9</v>
      </c>
      <c r="D4174" s="2" t="s">
        <v>10</v>
      </c>
      <c r="E4174" s="2" t="str">
        <f>HYPERLINK("http://ts.21cn.com/tousu/show/id/1334928","http://ts.21cn.com/tousu/show/id/1334928")</f>
        <v>http://ts.21cn.com/tousu/show/id/1334928</v>
      </c>
      <c r="F4174" s="2" t="s">
        <v>11</v>
      </c>
      <c r="G4174" s="2" t="s">
        <v>35935</v>
      </c>
      <c r="H4174" s="2" t="s">
        <v>35936</v>
      </c>
    </row>
    <row r="4175" spans="1:8" ht="25.05" customHeight="1" x14ac:dyDescent="0.25">
      <c r="A4175" s="2" t="s">
        <v>8</v>
      </c>
      <c r="B4175" s="2" t="str">
        <f>HYPERLINK("http://ts.21cn.com/tousu/show/id/1334926","北京一卡通APP充值的钱消失，无法退款，客服无法联系")</f>
        <v>北京一卡通APP充值的钱消失，无法退款，客服无法联系</v>
      </c>
      <c r="C4175" s="2" t="s">
        <v>9</v>
      </c>
      <c r="D4175" s="2" t="s">
        <v>10</v>
      </c>
      <c r="E4175" s="2" t="str">
        <f>HYPERLINK("http://ts.21cn.com/tousu/show/id/1334926","http://ts.21cn.com/tousu/show/id/1334926")</f>
        <v>http://ts.21cn.com/tousu/show/id/1334926</v>
      </c>
      <c r="F4175" s="2" t="s">
        <v>11</v>
      </c>
      <c r="G4175" s="2" t="s">
        <v>35933</v>
      </c>
      <c r="H4175" s="2" t="s">
        <v>35934</v>
      </c>
    </row>
    <row r="4176" spans="1:8" ht="25.05" customHeight="1" x14ac:dyDescent="0.25">
      <c r="A4176" s="2" t="s">
        <v>8</v>
      </c>
      <c r="B4176" s="2" t="str">
        <f>HYPERLINK("http://ts.21cn.com/tousu/show/id/1334929","光大银行免费1188投诉")</f>
        <v>光大银行免费1188投诉</v>
      </c>
      <c r="C4176" s="2" t="s">
        <v>9</v>
      </c>
      <c r="D4176" s="2" t="s">
        <v>10</v>
      </c>
      <c r="E4176" s="2" t="str">
        <f>HYPERLINK("http://ts.21cn.com/tousu/show/id/1334929","http://ts.21cn.com/tousu/show/id/1334929")</f>
        <v>http://ts.21cn.com/tousu/show/id/1334929</v>
      </c>
      <c r="F4176" s="2" t="s">
        <v>11</v>
      </c>
      <c r="G4176" s="2" t="s">
        <v>35931</v>
      </c>
      <c r="H4176" s="2" t="s">
        <v>35932</v>
      </c>
    </row>
    <row r="4177" spans="1:8" ht="25.05" customHeight="1" x14ac:dyDescent="0.25">
      <c r="A4177" s="2" t="s">
        <v>8</v>
      </c>
      <c r="B4177" s="2" t="str">
        <f>HYPERLINK("http://ts.21cn.com/tousu/show/id/1334930","退款一直不到账，客服不处理")</f>
        <v>退款一直不到账，客服不处理</v>
      </c>
      <c r="C4177" s="2" t="s">
        <v>9</v>
      </c>
      <c r="D4177" s="2" t="s">
        <v>10</v>
      </c>
      <c r="E4177" s="2" t="str">
        <f>HYPERLINK("http://ts.21cn.com/tousu/show/id/1334930","http://ts.21cn.com/tousu/show/id/1334930")</f>
        <v>http://ts.21cn.com/tousu/show/id/1334930</v>
      </c>
      <c r="F4177" s="2" t="s">
        <v>11</v>
      </c>
      <c r="G4177" s="2" t="s">
        <v>35929</v>
      </c>
      <c r="H4177" s="2" t="s">
        <v>35930</v>
      </c>
    </row>
    <row r="4178" spans="1:8" ht="25.05" customHeight="1" x14ac:dyDescent="0.25">
      <c r="A4178" s="2" t="s">
        <v>8</v>
      </c>
      <c r="B4178" s="2" t="str">
        <f>HYPERLINK("http://ts.21cn.com/tousu/show/id/1334931","玖富集团阴阳合同年利息百分之50")</f>
        <v>玖富集团阴阳合同年利息百分之50</v>
      </c>
      <c r="C4178" s="2" t="s">
        <v>9</v>
      </c>
      <c r="D4178" s="2" t="s">
        <v>10</v>
      </c>
      <c r="E4178" s="2" t="str">
        <f>HYPERLINK("http://ts.21cn.com/tousu/show/id/1334931","http://ts.21cn.com/tousu/show/id/1334931")</f>
        <v>http://ts.21cn.com/tousu/show/id/1334931</v>
      </c>
      <c r="F4178" s="2" t="s">
        <v>11</v>
      </c>
      <c r="G4178" s="2" t="s">
        <v>35927</v>
      </c>
      <c r="H4178" s="2" t="s">
        <v>35928</v>
      </c>
    </row>
    <row r="4179" spans="1:8" ht="25.05" customHeight="1" x14ac:dyDescent="0.25">
      <c r="A4179" s="2" t="s">
        <v>8</v>
      </c>
      <c r="B4179" s="2" t="str">
        <f>HYPERLINK("http://ts.21cn.com/tousu/show/id/1334932","爱又米国庆期间暴力催收，威胁")</f>
        <v>爱又米国庆期间暴力催收，威胁</v>
      </c>
      <c r="C4179" s="2" t="s">
        <v>9</v>
      </c>
      <c r="D4179" s="2" t="s">
        <v>10</v>
      </c>
      <c r="E4179" s="2" t="str">
        <f>HYPERLINK("http://ts.21cn.com/tousu/show/id/1334932","http://ts.21cn.com/tousu/show/id/1334932")</f>
        <v>http://ts.21cn.com/tousu/show/id/1334932</v>
      </c>
      <c r="F4179" s="2" t="s">
        <v>11</v>
      </c>
      <c r="G4179" s="2" t="s">
        <v>35925</v>
      </c>
      <c r="H4179" s="2" t="s">
        <v>35926</v>
      </c>
    </row>
    <row r="4180" spans="1:8" ht="25.05" customHeight="1" x14ac:dyDescent="0.25">
      <c r="A4180" s="2" t="s">
        <v>8</v>
      </c>
      <c r="B4180" s="2" t="str">
        <f>HYPERLINK("http://ts.21cn.com/tousu/show/id/1334934","松紧贷高利息，砍头息，")</f>
        <v>松紧贷高利息，砍头息，</v>
      </c>
      <c r="C4180" s="2" t="s">
        <v>34</v>
      </c>
      <c r="D4180" s="2" t="s">
        <v>10</v>
      </c>
      <c r="E4180" s="2" t="str">
        <f>HYPERLINK("http://ts.21cn.com/tousu/show/id/1334934","http://ts.21cn.com/tousu/show/id/1334934")</f>
        <v>http://ts.21cn.com/tousu/show/id/1334934</v>
      </c>
      <c r="F4180" s="2" t="s">
        <v>11</v>
      </c>
      <c r="G4180" s="2" t="s">
        <v>35923</v>
      </c>
      <c r="H4180" s="2" t="s">
        <v>35924</v>
      </c>
    </row>
    <row r="4181" spans="1:8" ht="25.05" customHeight="1" x14ac:dyDescent="0.25">
      <c r="A4181" s="2" t="s">
        <v>8</v>
      </c>
      <c r="B4181" s="2" t="str">
        <f>HYPERLINK("http://ts.21cn.com/tousu/show/id/1334935","高利贷中的")</f>
        <v>高利贷中的</v>
      </c>
      <c r="C4181" s="2" t="s">
        <v>9</v>
      </c>
      <c r="D4181" s="2" t="s">
        <v>10</v>
      </c>
      <c r="E4181" s="2" t="str">
        <f>HYPERLINK("http://ts.21cn.com/tousu/show/id/1334935","http://ts.21cn.com/tousu/show/id/1334935")</f>
        <v>http://ts.21cn.com/tousu/show/id/1334935</v>
      </c>
      <c r="F4181" s="2" t="s">
        <v>11</v>
      </c>
      <c r="G4181" s="2" t="s">
        <v>35921</v>
      </c>
      <c r="H4181" s="2" t="s">
        <v>35922</v>
      </c>
    </row>
    <row r="4182" spans="1:8" ht="25.05" customHeight="1" x14ac:dyDescent="0.25">
      <c r="A4182" s="2" t="s">
        <v>8</v>
      </c>
      <c r="B4182" s="2" t="str">
        <f>HYPERLINK("http://ts.21cn.com/tousu/show/id/1334937","联通信号差，长达半年仍未得到任何回复")</f>
        <v>联通信号差，长达半年仍未得到任何回复</v>
      </c>
      <c r="C4182" s="2" t="s">
        <v>9</v>
      </c>
      <c r="D4182" s="2" t="s">
        <v>10</v>
      </c>
      <c r="E4182" s="2" t="str">
        <f>HYPERLINK("http://ts.21cn.com/tousu/show/id/1334937","http://ts.21cn.com/tousu/show/id/1334937")</f>
        <v>http://ts.21cn.com/tousu/show/id/1334937</v>
      </c>
      <c r="F4182" s="2" t="s">
        <v>11</v>
      </c>
      <c r="G4182" s="2" t="s">
        <v>35919</v>
      </c>
      <c r="H4182" s="2" t="s">
        <v>35920</v>
      </c>
    </row>
    <row r="4183" spans="1:8" ht="25.05" customHeight="1" x14ac:dyDescent="0.25">
      <c r="A4183" s="2" t="s">
        <v>8</v>
      </c>
      <c r="B4183" s="2" t="str">
        <f>HYPERLINK("http://ts.21cn.com/tousu/show/id/1334939","滴滴平台，不顾及司机死活")</f>
        <v>滴滴平台，不顾及司机死活</v>
      </c>
      <c r="C4183" s="2" t="s">
        <v>9</v>
      </c>
      <c r="D4183" s="2" t="s">
        <v>10</v>
      </c>
      <c r="E4183" s="2" t="str">
        <f>HYPERLINK("http://ts.21cn.com/tousu/show/id/1334939","http://ts.21cn.com/tousu/show/id/1334939")</f>
        <v>http://ts.21cn.com/tousu/show/id/1334939</v>
      </c>
      <c r="F4183" s="2" t="s">
        <v>11</v>
      </c>
      <c r="G4183" s="2" t="s">
        <v>35917</v>
      </c>
      <c r="H4183" s="2" t="s">
        <v>35918</v>
      </c>
    </row>
    <row r="4184" spans="1:8" ht="25.05" customHeight="1" x14ac:dyDescent="0.25">
      <c r="A4184" s="2" t="s">
        <v>8</v>
      </c>
      <c r="B4184" s="2" t="str">
        <f>HYPERLINK("http://ts.21cn.com/tousu/show/id/1334940","霸王条款，拒绝退款")</f>
        <v>霸王条款，拒绝退款</v>
      </c>
      <c r="C4184" s="2" t="s">
        <v>9</v>
      </c>
      <c r="D4184" s="2" t="s">
        <v>10</v>
      </c>
      <c r="E4184" s="2" t="str">
        <f>HYPERLINK("http://ts.21cn.com/tousu/show/id/1334940","http://ts.21cn.com/tousu/show/id/1334940")</f>
        <v>http://ts.21cn.com/tousu/show/id/1334940</v>
      </c>
      <c r="F4184" s="2" t="s">
        <v>11</v>
      </c>
      <c r="G4184" s="2" t="s">
        <v>35915</v>
      </c>
      <c r="H4184" s="2" t="s">
        <v>35916</v>
      </c>
    </row>
    <row r="4185" spans="1:8" ht="25.05" customHeight="1" x14ac:dyDescent="0.25">
      <c r="A4185" s="2" t="s">
        <v>8</v>
      </c>
      <c r="B4185" s="2" t="str">
        <f>HYPERLINK("http://ts.21cn.com/tousu/show/id/1334941","与拍拍贷协商一次性还清，免除部分利息")</f>
        <v>与拍拍贷协商一次性还清，免除部分利息</v>
      </c>
      <c r="C4185" s="2" t="s">
        <v>9</v>
      </c>
      <c r="D4185" s="2" t="s">
        <v>10</v>
      </c>
      <c r="E4185" s="2" t="str">
        <f>HYPERLINK("http://ts.21cn.com/tousu/show/id/1334941","http://ts.21cn.com/tousu/show/id/1334941")</f>
        <v>http://ts.21cn.com/tousu/show/id/1334941</v>
      </c>
      <c r="F4185" s="2" t="s">
        <v>11</v>
      </c>
      <c r="G4185" s="2" t="s">
        <v>35913</v>
      </c>
      <c r="H4185" s="2" t="s">
        <v>35914</v>
      </c>
    </row>
    <row r="4186" spans="1:8" ht="25.05" customHeight="1" x14ac:dyDescent="0.25">
      <c r="A4186" s="2" t="s">
        <v>8</v>
      </c>
      <c r="B4186" s="2" t="str">
        <f>HYPERLINK("http://ts.21cn.com/tousu/show/id/1334942","小赢轰炸式骚扰通讯录亲戚朋友")</f>
        <v>小赢轰炸式骚扰通讯录亲戚朋友</v>
      </c>
      <c r="C4186" s="2" t="s">
        <v>9</v>
      </c>
      <c r="D4186" s="2" t="s">
        <v>10</v>
      </c>
      <c r="E4186" s="2" t="str">
        <f>HYPERLINK("http://ts.21cn.com/tousu/show/id/1334942","http://ts.21cn.com/tousu/show/id/1334942")</f>
        <v>http://ts.21cn.com/tousu/show/id/1334942</v>
      </c>
      <c r="F4186" s="2" t="s">
        <v>11</v>
      </c>
      <c r="G4186" s="2" t="s">
        <v>35911</v>
      </c>
      <c r="H4186" s="2" t="s">
        <v>35912</v>
      </c>
    </row>
    <row r="4187" spans="1:8" ht="25.05" customHeight="1" x14ac:dyDescent="0.25">
      <c r="A4187" s="2" t="s">
        <v>8</v>
      </c>
      <c r="B4187" s="2" t="str">
        <f>HYPERLINK("http://ts.21cn.com/tousu/show/id/1334944","逾期之后收取高额罚金")</f>
        <v>逾期之后收取高额罚金</v>
      </c>
      <c r="C4187" s="2" t="s">
        <v>9</v>
      </c>
      <c r="D4187" s="2" t="s">
        <v>10</v>
      </c>
      <c r="E4187" s="2" t="str">
        <f>HYPERLINK("http://ts.21cn.com/tousu/show/id/1334944","http://ts.21cn.com/tousu/show/id/1334944")</f>
        <v>http://ts.21cn.com/tousu/show/id/1334944</v>
      </c>
      <c r="F4187" s="2" t="s">
        <v>11</v>
      </c>
      <c r="G4187" s="2" t="s">
        <v>35909</v>
      </c>
      <c r="H4187" s="2" t="s">
        <v>35910</v>
      </c>
    </row>
    <row r="4188" spans="1:8" ht="25.05" customHeight="1" x14ac:dyDescent="0.25">
      <c r="A4188" s="2" t="s">
        <v>8</v>
      </c>
      <c r="B4188" s="2" t="str">
        <f>HYPERLINK("http://ts.21cn.com/tousu/show/id/1334945","蟹卡售后问题")</f>
        <v>蟹卡售后问题</v>
      </c>
      <c r="C4188" s="2" t="s">
        <v>9</v>
      </c>
      <c r="D4188" s="2" t="s">
        <v>10</v>
      </c>
      <c r="E4188" s="2" t="str">
        <f>HYPERLINK("http://ts.21cn.com/tousu/show/id/1334945","http://ts.21cn.com/tousu/show/id/1334945")</f>
        <v>http://ts.21cn.com/tousu/show/id/1334945</v>
      </c>
      <c r="F4188" s="2" t="s">
        <v>11</v>
      </c>
      <c r="G4188" s="2" t="s">
        <v>35907</v>
      </c>
      <c r="H4188" s="2" t="s">
        <v>35908</v>
      </c>
    </row>
    <row r="4189" spans="1:8" ht="25.05" customHeight="1" x14ac:dyDescent="0.25">
      <c r="A4189" s="2" t="s">
        <v>8</v>
      </c>
      <c r="B4189" s="2" t="str">
        <f>HYPERLINK("http://ts.21cn.com/tousu/show/id/1334946","噪音扰民")</f>
        <v>噪音扰民</v>
      </c>
      <c r="C4189" s="2" t="s">
        <v>9</v>
      </c>
      <c r="D4189" s="2" t="s">
        <v>10</v>
      </c>
      <c r="E4189" s="2" t="str">
        <f>HYPERLINK("http://ts.21cn.com/tousu/show/id/1334946","http://ts.21cn.com/tousu/show/id/1334946")</f>
        <v>http://ts.21cn.com/tousu/show/id/1334946</v>
      </c>
      <c r="F4189" s="2" t="s">
        <v>11</v>
      </c>
      <c r="G4189" s="2" t="s">
        <v>35905</v>
      </c>
      <c r="H4189" s="2" t="s">
        <v>35906</v>
      </c>
    </row>
    <row r="4190" spans="1:8" ht="25.05" customHeight="1" x14ac:dyDescent="0.25">
      <c r="A4190" s="2" t="s">
        <v>8</v>
      </c>
      <c r="B4190" s="2" t="str">
        <f>HYPERLINK("http://ts.21cn.com/tousu/show/id/1334948","京东购买的商品不处理售后")</f>
        <v>京东购买的商品不处理售后</v>
      </c>
      <c r="C4190" s="2" t="s">
        <v>9</v>
      </c>
      <c r="D4190" s="2" t="s">
        <v>10</v>
      </c>
      <c r="E4190" s="2" t="str">
        <f>HYPERLINK("http://ts.21cn.com/tousu/show/id/1334948","http://ts.21cn.com/tousu/show/id/1334948")</f>
        <v>http://ts.21cn.com/tousu/show/id/1334948</v>
      </c>
      <c r="F4190" s="2" t="s">
        <v>11</v>
      </c>
      <c r="G4190" s="2" t="s">
        <v>35903</v>
      </c>
      <c r="H4190" s="2" t="s">
        <v>35904</v>
      </c>
    </row>
    <row r="4191" spans="1:8" ht="25.05" customHeight="1" x14ac:dyDescent="0.25">
      <c r="A4191" s="2" t="s">
        <v>8</v>
      </c>
      <c r="B4191" s="2" t="str">
        <f>HYPERLINK("http://ts.21cn.com/tousu/show/id/1334947","秒钱理财到期一月，迟迟不还款")</f>
        <v>秒钱理财到期一月，迟迟不还款</v>
      </c>
      <c r="C4191" s="2" t="s">
        <v>9</v>
      </c>
      <c r="D4191" s="2" t="s">
        <v>10</v>
      </c>
      <c r="E4191" s="2" t="str">
        <f>HYPERLINK("http://ts.21cn.com/tousu/show/id/1334947","http://ts.21cn.com/tousu/show/id/1334947")</f>
        <v>http://ts.21cn.com/tousu/show/id/1334947</v>
      </c>
      <c r="F4191" s="2" t="s">
        <v>11</v>
      </c>
      <c r="G4191" s="2" t="s">
        <v>35901</v>
      </c>
      <c r="H4191" s="2" t="s">
        <v>35902</v>
      </c>
    </row>
    <row r="4192" spans="1:8" ht="25.05" customHeight="1" x14ac:dyDescent="0.25">
      <c r="A4192" s="2" t="s">
        <v>8</v>
      </c>
      <c r="B4192" s="2" t="str">
        <f>HYPERLINK("http://ts.21cn.com/tousu/show/id/1333261","聚福钱包无故扣款299元请聚投诉帮忙介入")</f>
        <v>聚福钱包无故扣款299元请聚投诉帮忙介入</v>
      </c>
      <c r="C4192" s="2" t="s">
        <v>34</v>
      </c>
      <c r="D4192" s="2" t="s">
        <v>10</v>
      </c>
      <c r="E4192" s="2" t="str">
        <f>HYPERLINK("http://ts.21cn.com/tousu/show/id/1333261","http://ts.21cn.com/tousu/show/id/1333261")</f>
        <v>http://ts.21cn.com/tousu/show/id/1333261</v>
      </c>
      <c r="F4192" s="2" t="s">
        <v>11</v>
      </c>
      <c r="G4192" s="2" t="s">
        <v>35899</v>
      </c>
      <c r="H4192" s="2" t="s">
        <v>35900</v>
      </c>
    </row>
    <row r="4193" spans="1:8" ht="25.05" customHeight="1" x14ac:dyDescent="0.25">
      <c r="A4193" s="2" t="s">
        <v>8</v>
      </c>
      <c r="B4193" s="2" t="str">
        <f>HYPERLINK("http://ts.21cn.com/tousu/show/id/1334950","你我贷年综合利率超过36%，踩法律红线，申请逾期8天还款，不同意吗？")</f>
        <v>你我贷年综合利率超过36%，踩法律红线，申请逾期8天还款，不同意吗？</v>
      </c>
      <c r="C4193" s="2" t="s">
        <v>9</v>
      </c>
      <c r="D4193" s="2" t="s">
        <v>10</v>
      </c>
      <c r="E4193" s="2" t="str">
        <f>HYPERLINK("http://ts.21cn.com/tousu/show/id/1334950","http://ts.21cn.com/tousu/show/id/1334950")</f>
        <v>http://ts.21cn.com/tousu/show/id/1334950</v>
      </c>
      <c r="F4193" s="2" t="s">
        <v>11</v>
      </c>
      <c r="G4193" s="2" t="s">
        <v>35897</v>
      </c>
      <c r="H4193" s="2" t="s">
        <v>35898</v>
      </c>
    </row>
    <row r="4194" spans="1:8" ht="25.05" customHeight="1" x14ac:dyDescent="0.25">
      <c r="A4194" s="2" t="s">
        <v>8</v>
      </c>
      <c r="B4194" s="2" t="str">
        <f>HYPERLINK("http://ts.21cn.com/tousu/show/id/1334952","投诉安逸花套路贷")</f>
        <v>投诉安逸花套路贷</v>
      </c>
      <c r="C4194" s="2" t="s">
        <v>9</v>
      </c>
      <c r="D4194" s="2" t="s">
        <v>10</v>
      </c>
      <c r="E4194" s="2" t="str">
        <f>HYPERLINK("http://ts.21cn.com/tousu/show/id/1334952","http://ts.21cn.com/tousu/show/id/1334952")</f>
        <v>http://ts.21cn.com/tousu/show/id/1334952</v>
      </c>
      <c r="F4194" s="2" t="s">
        <v>11</v>
      </c>
      <c r="G4194" s="2" t="s">
        <v>35895</v>
      </c>
      <c r="H4194" s="2" t="s">
        <v>35896</v>
      </c>
    </row>
    <row r="4195" spans="1:8" ht="25.05" customHeight="1" x14ac:dyDescent="0.25">
      <c r="A4195" s="2" t="s">
        <v>8</v>
      </c>
      <c r="B4195" s="2" t="str">
        <f>HYPERLINK("http://ts.21cn.com/tousu/show/id/1334953","一直未退款")</f>
        <v>一直未退款</v>
      </c>
      <c r="C4195" s="2" t="s">
        <v>9</v>
      </c>
      <c r="D4195" s="2" t="s">
        <v>10</v>
      </c>
      <c r="E4195" s="2" t="str">
        <f>HYPERLINK("http://ts.21cn.com/tousu/show/id/1334953","http://ts.21cn.com/tousu/show/id/1334953")</f>
        <v>http://ts.21cn.com/tousu/show/id/1334953</v>
      </c>
      <c r="F4195" s="2" t="s">
        <v>11</v>
      </c>
      <c r="G4195" s="2" t="s">
        <v>35893</v>
      </c>
      <c r="H4195" s="2" t="s">
        <v>35894</v>
      </c>
    </row>
    <row r="4196" spans="1:8" ht="25.05" customHeight="1" x14ac:dyDescent="0.25">
      <c r="A4196" s="2" t="s">
        <v>8</v>
      </c>
      <c r="B4196" s="2" t="str">
        <f>HYPERLINK("http://ts.21cn.com/tousu/show/id/1334943","龙行管家虚假宣传误导办卡")</f>
        <v>龙行管家虚假宣传误导办卡</v>
      </c>
      <c r="C4196" s="2" t="s">
        <v>9</v>
      </c>
      <c r="D4196" s="2" t="s">
        <v>10</v>
      </c>
      <c r="E4196" s="2" t="str">
        <f>HYPERLINK("http://ts.21cn.com/tousu/show/id/1334943","http://ts.21cn.com/tousu/show/id/1334943")</f>
        <v>http://ts.21cn.com/tousu/show/id/1334943</v>
      </c>
      <c r="F4196" s="2" t="s">
        <v>11</v>
      </c>
      <c r="G4196" s="2" t="s">
        <v>35891</v>
      </c>
      <c r="H4196" s="2" t="s">
        <v>35892</v>
      </c>
    </row>
    <row r="4197" spans="1:8" ht="25.05" customHeight="1" x14ac:dyDescent="0.25">
      <c r="A4197" s="2" t="s">
        <v>8</v>
      </c>
      <c r="B4197" s="2" t="str">
        <f>HYPERLINK("http://ts.21cn.com/tousu/show/id/1334954","暴力催收，轰炸通讯录，恶意报复，歪曲事实，催收存在个人报复心里，为了个人业绩，不择手段")</f>
        <v>暴力催收，轰炸通讯录，恶意报复，歪曲事实，催收存在个人报复心里，为了个人业绩，不择手段</v>
      </c>
      <c r="C4197" s="2" t="s">
        <v>9</v>
      </c>
      <c r="D4197" s="2" t="s">
        <v>10</v>
      </c>
      <c r="E4197" s="2" t="str">
        <f>HYPERLINK("http://ts.21cn.com/tousu/show/id/1334954","http://ts.21cn.com/tousu/show/id/1334954")</f>
        <v>http://ts.21cn.com/tousu/show/id/1334954</v>
      </c>
      <c r="F4197" s="2" t="s">
        <v>11</v>
      </c>
      <c r="G4197" s="2" t="s">
        <v>35889</v>
      </c>
      <c r="H4197" s="2" t="s">
        <v>35890</v>
      </c>
    </row>
    <row r="4198" spans="1:8" ht="25.05" customHeight="1" x14ac:dyDescent="0.25">
      <c r="A4198" s="2" t="s">
        <v>8</v>
      </c>
      <c r="B4198" s="2" t="str">
        <f>HYPERLINK("http://ts.21cn.com/tousu/show/id/1334955","拍拍贷故意还款日不让人还款，导致我逾期")</f>
        <v>拍拍贷故意还款日不让人还款，导致我逾期</v>
      </c>
      <c r="C4198" s="2" t="s">
        <v>9</v>
      </c>
      <c r="D4198" s="2" t="s">
        <v>10</v>
      </c>
      <c r="E4198" s="2" t="str">
        <f>HYPERLINK("http://ts.21cn.com/tousu/show/id/1334955","http://ts.21cn.com/tousu/show/id/1334955")</f>
        <v>http://ts.21cn.com/tousu/show/id/1334955</v>
      </c>
      <c r="F4198" s="2" t="s">
        <v>11</v>
      </c>
      <c r="G4198" s="2" t="s">
        <v>35887</v>
      </c>
      <c r="H4198" s="2" t="s">
        <v>35888</v>
      </c>
    </row>
    <row r="4199" spans="1:8" ht="25.05" customHeight="1" x14ac:dyDescent="0.25">
      <c r="A4199" s="2" t="s">
        <v>8</v>
      </c>
      <c r="B4199" s="2" t="str">
        <f>HYPERLINK("http://ts.21cn.com/tousu/show/id/1334956","如若还不处理我的订单做足资料请律师帮忙检举")</f>
        <v>如若还不处理我的订单做足资料请律师帮忙检举</v>
      </c>
      <c r="C4199" s="2" t="s">
        <v>9</v>
      </c>
      <c r="D4199" s="2" t="s">
        <v>10</v>
      </c>
      <c r="E4199" s="2" t="str">
        <f>HYPERLINK("http://ts.21cn.com/tousu/show/id/1334956","http://ts.21cn.com/tousu/show/id/1334956")</f>
        <v>http://ts.21cn.com/tousu/show/id/1334956</v>
      </c>
      <c r="F4199" s="2" t="s">
        <v>11</v>
      </c>
      <c r="G4199" s="2" t="s">
        <v>35885</v>
      </c>
      <c r="H4199" s="2" t="s">
        <v>35886</v>
      </c>
    </row>
    <row r="4200" spans="1:8" ht="25.05" customHeight="1" x14ac:dyDescent="0.25">
      <c r="A4200" s="2" t="s">
        <v>8</v>
      </c>
      <c r="B4200" s="2" t="str">
        <f>HYPERLINK("http://ts.21cn.com/tousu/show/id/1334957","信用管家存钱柜又名金钱保砍头息虚假合同")</f>
        <v>信用管家存钱柜又名金钱保砍头息虚假合同</v>
      </c>
      <c r="C4200" s="2" t="s">
        <v>9</v>
      </c>
      <c r="D4200" s="2" t="s">
        <v>10</v>
      </c>
      <c r="E4200" s="2" t="str">
        <f>HYPERLINK("http://ts.21cn.com/tousu/show/id/1334957","http://ts.21cn.com/tousu/show/id/1334957")</f>
        <v>http://ts.21cn.com/tousu/show/id/1334957</v>
      </c>
      <c r="F4200" s="2" t="s">
        <v>11</v>
      </c>
      <c r="G4200" s="2" t="s">
        <v>35883</v>
      </c>
      <c r="H4200" s="2" t="s">
        <v>35884</v>
      </c>
    </row>
    <row r="4201" spans="1:8" ht="25.05" customHeight="1" x14ac:dyDescent="0.25">
      <c r="A4201" s="2" t="s">
        <v>8</v>
      </c>
      <c r="B4201" s="2" t="str">
        <f>HYPERLINK("http://ts.21cn.com/tousu/show/id/1334958","钱老哥")</f>
        <v>钱老哥</v>
      </c>
      <c r="C4201" s="2" t="s">
        <v>34</v>
      </c>
      <c r="D4201" s="2" t="s">
        <v>10</v>
      </c>
      <c r="E4201" s="2" t="str">
        <f>HYPERLINK("http://ts.21cn.com/tousu/show/id/1334958","http://ts.21cn.com/tousu/show/id/1334958")</f>
        <v>http://ts.21cn.com/tousu/show/id/1334958</v>
      </c>
      <c r="F4201" s="2" t="s">
        <v>11</v>
      </c>
      <c r="G4201" s="2" t="s">
        <v>35881</v>
      </c>
      <c r="H4201" s="2" t="s">
        <v>35882</v>
      </c>
    </row>
    <row r="4202" spans="1:8" ht="25.05" customHeight="1" x14ac:dyDescent="0.25">
      <c r="A4202" s="2" t="s">
        <v>8</v>
      </c>
      <c r="B4202" s="2" t="str">
        <f>HYPERLINK("http://ts.21cn.com/tousu/show/id/1334959","高炮套路贷")</f>
        <v>高炮套路贷</v>
      </c>
      <c r="C4202" s="2" t="s">
        <v>9</v>
      </c>
      <c r="D4202" s="2" t="s">
        <v>10</v>
      </c>
      <c r="E4202" s="2" t="str">
        <f>HYPERLINK("http://ts.21cn.com/tousu/show/id/1334959","http://ts.21cn.com/tousu/show/id/1334959")</f>
        <v>http://ts.21cn.com/tousu/show/id/1334959</v>
      </c>
      <c r="F4202" s="2" t="s">
        <v>11</v>
      </c>
      <c r="G4202" s="2" t="s">
        <v>35879</v>
      </c>
      <c r="H4202" s="2" t="s">
        <v>35880</v>
      </c>
    </row>
    <row r="4203" spans="1:8" ht="25.05" customHeight="1" x14ac:dyDescent="0.25">
      <c r="A4203" s="2" t="s">
        <v>8</v>
      </c>
      <c r="B4203" s="2" t="str">
        <f>HYPERLINK("http://ts.21cn.com/tousu/show/id/1334960","对旗下物流商管理不善不作为恶意拖延时间")</f>
        <v>对旗下物流商管理不善不作为恶意拖延时间</v>
      </c>
      <c r="C4203" s="2" t="s">
        <v>9</v>
      </c>
      <c r="D4203" s="2" t="s">
        <v>10</v>
      </c>
      <c r="E4203" s="2" t="str">
        <f>HYPERLINK("http://ts.21cn.com/tousu/show/id/1334960","http://ts.21cn.com/tousu/show/id/1334960")</f>
        <v>http://ts.21cn.com/tousu/show/id/1334960</v>
      </c>
      <c r="F4203" s="2" t="s">
        <v>11</v>
      </c>
      <c r="G4203" s="2" t="s">
        <v>35877</v>
      </c>
      <c r="H4203" s="2" t="s">
        <v>35878</v>
      </c>
    </row>
    <row r="4204" spans="1:8" ht="25.05" customHeight="1" x14ac:dyDescent="0.25">
      <c r="A4204" s="2" t="s">
        <v>8</v>
      </c>
      <c r="B4204" s="2" t="str">
        <f>HYPERLINK("http://ts.21cn.com/tousu/show/id/1334961","套路贷，退还我逾期费，正常恢复我征信，提供我结清证明，")</f>
        <v>套路贷，退还我逾期费，正常恢复我征信，提供我结清证明，</v>
      </c>
      <c r="C4204" s="2" t="s">
        <v>9</v>
      </c>
      <c r="D4204" s="2" t="s">
        <v>10</v>
      </c>
      <c r="E4204" s="2" t="str">
        <f>HYPERLINK("http://ts.21cn.com/tousu/show/id/1334961","http://ts.21cn.com/tousu/show/id/1334961")</f>
        <v>http://ts.21cn.com/tousu/show/id/1334961</v>
      </c>
      <c r="F4204" s="2" t="s">
        <v>11</v>
      </c>
      <c r="G4204" s="2" t="s">
        <v>35875</v>
      </c>
      <c r="H4204" s="2" t="s">
        <v>35876</v>
      </c>
    </row>
    <row r="4205" spans="1:8" ht="25.05" customHeight="1" x14ac:dyDescent="0.25">
      <c r="A4205" s="2" t="s">
        <v>8</v>
      </c>
      <c r="B4205" s="2" t="str">
        <f>HYPERLINK("http://ts.21cn.com/tousu/show/id/1334962","暴力催收轰炸")</f>
        <v>暴力催收轰炸</v>
      </c>
      <c r="C4205" s="2" t="s">
        <v>9</v>
      </c>
      <c r="D4205" s="2" t="s">
        <v>10</v>
      </c>
      <c r="E4205" s="2" t="str">
        <f>HYPERLINK("http://ts.21cn.com/tousu/show/id/1334962","http://ts.21cn.com/tousu/show/id/1334962")</f>
        <v>http://ts.21cn.com/tousu/show/id/1334962</v>
      </c>
      <c r="F4205" s="2" t="s">
        <v>11</v>
      </c>
      <c r="G4205" s="2" t="s">
        <v>35873</v>
      </c>
      <c r="H4205" s="2" t="s">
        <v>35874</v>
      </c>
    </row>
    <row r="4206" spans="1:8" ht="25.05" customHeight="1" x14ac:dyDescent="0.25">
      <c r="A4206" s="2" t="s">
        <v>8</v>
      </c>
      <c r="B4206" s="2" t="str">
        <f>HYPERLINK("http://ts.21cn.com/tousu/show/id/1334964","新橙优品代扣失败导致逾期，并且官方失联")</f>
        <v>新橙优品代扣失败导致逾期，并且官方失联</v>
      </c>
      <c r="C4206" s="2" t="s">
        <v>9</v>
      </c>
      <c r="D4206" s="2" t="s">
        <v>10</v>
      </c>
      <c r="E4206" s="2" t="str">
        <f>HYPERLINK("http://ts.21cn.com/tousu/show/id/1334964","http://ts.21cn.com/tousu/show/id/1334964")</f>
        <v>http://ts.21cn.com/tousu/show/id/1334964</v>
      </c>
      <c r="F4206" s="2" t="s">
        <v>11</v>
      </c>
      <c r="G4206" s="2" t="s">
        <v>35871</v>
      </c>
      <c r="H4206" s="2" t="s">
        <v>35872</v>
      </c>
    </row>
    <row r="4207" spans="1:8" ht="25.05" customHeight="1" x14ac:dyDescent="0.25">
      <c r="A4207" s="2" t="s">
        <v>8</v>
      </c>
      <c r="B4207" s="2" t="str">
        <f>HYPERLINK("http://ts.21cn.com/tousu/show/id/1334963","百万钱包百万大鹅高利息，砍头息")</f>
        <v>百万钱包百万大鹅高利息，砍头息</v>
      </c>
      <c r="C4207" s="2" t="s">
        <v>34</v>
      </c>
      <c r="D4207" s="2" t="s">
        <v>10</v>
      </c>
      <c r="E4207" s="2" t="str">
        <f>HYPERLINK("http://ts.21cn.com/tousu/show/id/1334963","http://ts.21cn.com/tousu/show/id/1334963")</f>
        <v>http://ts.21cn.com/tousu/show/id/1334963</v>
      </c>
      <c r="F4207" s="2" t="s">
        <v>11</v>
      </c>
      <c r="G4207" s="2" t="s">
        <v>35869</v>
      </c>
      <c r="H4207" s="2" t="s">
        <v>35870</v>
      </c>
    </row>
    <row r="4208" spans="1:8" ht="25.05" customHeight="1" x14ac:dyDescent="0.25">
      <c r="A4208" s="2" t="s">
        <v>8</v>
      </c>
      <c r="B4208" s="2" t="str">
        <f>HYPERLINK("http://ts.21cn.com/tousu/show/id/1334966","迅付沪快恶意扣款")</f>
        <v>迅付沪快恶意扣款</v>
      </c>
      <c r="C4208" s="2" t="s">
        <v>9</v>
      </c>
      <c r="D4208" s="2" t="s">
        <v>10</v>
      </c>
      <c r="E4208" s="2" t="str">
        <f>HYPERLINK("http://ts.21cn.com/tousu/show/id/1334966","http://ts.21cn.com/tousu/show/id/1334966")</f>
        <v>http://ts.21cn.com/tousu/show/id/1334966</v>
      </c>
      <c r="F4208" s="2" t="s">
        <v>11</v>
      </c>
      <c r="G4208" s="2" t="s">
        <v>35867</v>
      </c>
      <c r="H4208" s="2" t="s">
        <v>35868</v>
      </c>
    </row>
    <row r="4209" spans="1:8" ht="25.05" customHeight="1" x14ac:dyDescent="0.25">
      <c r="A4209" s="2" t="s">
        <v>8</v>
      </c>
      <c r="B4209" s="2" t="str">
        <f>HYPERLINK("http://ts.21cn.com/tousu/show/id/1334967","利用套餐送手机，欺诈用户分期购买手机")</f>
        <v>利用套餐送手机，欺诈用户分期购买手机</v>
      </c>
      <c r="C4209" s="2" t="s">
        <v>9</v>
      </c>
      <c r="D4209" s="2" t="s">
        <v>10</v>
      </c>
      <c r="E4209" s="2" t="str">
        <f>HYPERLINK("http://ts.21cn.com/tousu/show/id/1334967","http://ts.21cn.com/tousu/show/id/1334967")</f>
        <v>http://ts.21cn.com/tousu/show/id/1334967</v>
      </c>
      <c r="F4209" s="2" t="s">
        <v>11</v>
      </c>
      <c r="G4209" s="2" t="s">
        <v>35865</v>
      </c>
      <c r="H4209" s="2" t="s">
        <v>35866</v>
      </c>
    </row>
    <row r="4210" spans="1:8" ht="25.05" customHeight="1" x14ac:dyDescent="0.25">
      <c r="A4210" s="2" t="s">
        <v>8</v>
      </c>
      <c r="B4210" s="2" t="str">
        <f>HYPERLINK("http://ts.21cn.com/tousu/show/id/1334968","投诉上海瀚银信息技术有限公司退款43000")</f>
        <v>投诉上海瀚银信息技术有限公司退款43000</v>
      </c>
      <c r="C4210" s="2" t="s">
        <v>9</v>
      </c>
      <c r="D4210" s="2" t="s">
        <v>10</v>
      </c>
      <c r="E4210" s="2" t="str">
        <f>HYPERLINK("http://ts.21cn.com/tousu/show/id/1334968","http://ts.21cn.com/tousu/show/id/1334968")</f>
        <v>http://ts.21cn.com/tousu/show/id/1334968</v>
      </c>
      <c r="F4210" s="2" t="s">
        <v>11</v>
      </c>
      <c r="G4210" s="2" t="s">
        <v>35863</v>
      </c>
      <c r="H4210" s="2" t="s">
        <v>35864</v>
      </c>
    </row>
    <row r="4211" spans="1:8" ht="25.05" customHeight="1" x14ac:dyDescent="0.25">
      <c r="A4211" s="2" t="s">
        <v>8</v>
      </c>
      <c r="B4211" s="2" t="str">
        <f>HYPERLINK("http://ts.21cn.com/tousu/show/id/1334969","携程退汽车票被扣除大额手续费")</f>
        <v>携程退汽车票被扣除大额手续费</v>
      </c>
      <c r="C4211" s="2" t="s">
        <v>9</v>
      </c>
      <c r="D4211" s="2" t="s">
        <v>10</v>
      </c>
      <c r="E4211" s="2" t="str">
        <f>HYPERLINK("http://ts.21cn.com/tousu/show/id/1334969","http://ts.21cn.com/tousu/show/id/1334969")</f>
        <v>http://ts.21cn.com/tousu/show/id/1334969</v>
      </c>
      <c r="F4211" s="2" t="s">
        <v>11</v>
      </c>
      <c r="G4211" s="2" t="s">
        <v>35861</v>
      </c>
      <c r="H4211" s="2" t="s">
        <v>35862</v>
      </c>
    </row>
    <row r="4212" spans="1:8" ht="25.05" customHeight="1" x14ac:dyDescent="0.25">
      <c r="A4212" s="2" t="s">
        <v>8</v>
      </c>
      <c r="B4212" s="2" t="str">
        <f>HYPERLINK("http://ts.21cn.com/tousu/show/id/1334970","拉卡拉随便冻结商户收款店铺冻结资金不做任何正面回复")</f>
        <v>拉卡拉随便冻结商户收款店铺冻结资金不做任何正面回复</v>
      </c>
      <c r="C4212" s="2" t="s">
        <v>9</v>
      </c>
      <c r="D4212" s="2" t="s">
        <v>10</v>
      </c>
      <c r="E4212" s="2" t="str">
        <f>HYPERLINK("http://ts.21cn.com/tousu/show/id/1334970","http://ts.21cn.com/tousu/show/id/1334970")</f>
        <v>http://ts.21cn.com/tousu/show/id/1334970</v>
      </c>
      <c r="F4212" s="2" t="s">
        <v>11</v>
      </c>
      <c r="G4212" s="2" t="s">
        <v>35859</v>
      </c>
      <c r="H4212" s="2" t="s">
        <v>35860</v>
      </c>
    </row>
    <row r="4213" spans="1:8" ht="25.05" customHeight="1" x14ac:dyDescent="0.25">
      <c r="A4213" s="2" t="s">
        <v>8</v>
      </c>
      <c r="B4213" s="2" t="str">
        <f>HYPERLINK("http://ts.21cn.com/tousu/show/id/1334972","涉嫌洗钱，为赌博平台提供充值渠道")</f>
        <v>涉嫌洗钱，为赌博平台提供充值渠道</v>
      </c>
      <c r="C4213" s="2" t="s">
        <v>9</v>
      </c>
      <c r="D4213" s="2" t="s">
        <v>10</v>
      </c>
      <c r="E4213" s="2" t="str">
        <f>HYPERLINK("http://ts.21cn.com/tousu/show/id/1334972","http://ts.21cn.com/tousu/show/id/1334972")</f>
        <v>http://ts.21cn.com/tousu/show/id/1334972</v>
      </c>
      <c r="F4213" s="2" t="s">
        <v>11</v>
      </c>
      <c r="G4213" s="2" t="s">
        <v>35857</v>
      </c>
      <c r="H4213" s="2" t="s">
        <v>35858</v>
      </c>
    </row>
    <row r="4214" spans="1:8" ht="25.05" customHeight="1" x14ac:dyDescent="0.25">
      <c r="A4214" s="2" t="s">
        <v>8</v>
      </c>
      <c r="B4214" s="2" t="str">
        <f>HYPERLINK("http://ts.21cn.com/tousu/show/id/1334973","连连支付为714高炮《小周到口袋》提供支付渠道")</f>
        <v>连连支付为714高炮《小周到口袋》提供支付渠道</v>
      </c>
      <c r="C4214" s="2" t="s">
        <v>9</v>
      </c>
      <c r="D4214" s="2" t="s">
        <v>10</v>
      </c>
      <c r="E4214" s="2" t="str">
        <f>HYPERLINK("http://ts.21cn.com/tousu/show/id/1334973","http://ts.21cn.com/tousu/show/id/1334973")</f>
        <v>http://ts.21cn.com/tousu/show/id/1334973</v>
      </c>
      <c r="F4214" s="2" t="s">
        <v>11</v>
      </c>
      <c r="G4214" s="2" t="s">
        <v>35855</v>
      </c>
      <c r="H4214" s="2" t="s">
        <v>35856</v>
      </c>
    </row>
    <row r="4215" spans="1:8" ht="25.05" customHeight="1" x14ac:dyDescent="0.25">
      <c r="A4215" s="2" t="s">
        <v>8</v>
      </c>
      <c r="B4215" s="2" t="str">
        <f>HYPERLINK("http://ts.21cn.com/tousu/show/id/1334975","月光侠分期高额砍头息")</f>
        <v>月光侠分期高额砍头息</v>
      </c>
      <c r="C4215" s="2" t="s">
        <v>34</v>
      </c>
      <c r="D4215" s="2" t="s">
        <v>10</v>
      </c>
      <c r="E4215" s="2" t="str">
        <f>HYPERLINK("http://ts.21cn.com/tousu/show/id/1334975","http://ts.21cn.com/tousu/show/id/1334975")</f>
        <v>http://ts.21cn.com/tousu/show/id/1334975</v>
      </c>
      <c r="F4215" s="2" t="s">
        <v>11</v>
      </c>
      <c r="G4215" s="2" t="s">
        <v>35853</v>
      </c>
      <c r="H4215" s="2" t="s">
        <v>35854</v>
      </c>
    </row>
    <row r="4216" spans="1:8" ht="25.05" customHeight="1" x14ac:dyDescent="0.25">
      <c r="A4216" s="2" t="s">
        <v>8</v>
      </c>
      <c r="B4216" s="2" t="str">
        <f>HYPERLINK("http://ts.21cn.com/tousu/show/id/1334976","借贷宝催收人员")</f>
        <v>借贷宝催收人员</v>
      </c>
      <c r="C4216" s="2" t="s">
        <v>9</v>
      </c>
      <c r="D4216" s="2" t="s">
        <v>10</v>
      </c>
      <c r="E4216" s="2" t="str">
        <f>HYPERLINK("http://ts.21cn.com/tousu/show/id/1334976","http://ts.21cn.com/tousu/show/id/1334976")</f>
        <v>http://ts.21cn.com/tousu/show/id/1334976</v>
      </c>
      <c r="F4216" s="2" t="s">
        <v>11</v>
      </c>
      <c r="G4216" s="2" t="s">
        <v>35851</v>
      </c>
      <c r="H4216" s="2" t="s">
        <v>35852</v>
      </c>
    </row>
    <row r="4217" spans="1:8" ht="25.05" customHeight="1" x14ac:dyDescent="0.25">
      <c r="A4217" s="2" t="s">
        <v>8</v>
      </c>
      <c r="B4217" s="2" t="str">
        <f>HYPERLINK("http://ts.21cn.com/tousu/show/id/1334977","聚福钱包未经许可私自扣款")</f>
        <v>聚福钱包未经许可私自扣款</v>
      </c>
      <c r="C4217" s="2" t="s">
        <v>9</v>
      </c>
      <c r="D4217" s="2" t="s">
        <v>10</v>
      </c>
      <c r="E4217" s="2" t="str">
        <f>HYPERLINK("http://ts.21cn.com/tousu/show/id/1334977","http://ts.21cn.com/tousu/show/id/1334977")</f>
        <v>http://ts.21cn.com/tousu/show/id/1334977</v>
      </c>
      <c r="F4217" s="2" t="s">
        <v>11</v>
      </c>
      <c r="G4217" s="2" t="s">
        <v>35849</v>
      </c>
      <c r="H4217" s="2" t="s">
        <v>35850</v>
      </c>
    </row>
    <row r="4218" spans="1:8" ht="25.05" customHeight="1" x14ac:dyDescent="0.25">
      <c r="A4218" s="2" t="s">
        <v>8</v>
      </c>
      <c r="B4218" s="2" t="str">
        <f>HYPERLINK("http://ts.21cn.com/tousu/show/id/1334978","卧龙钱包超高利息")</f>
        <v>卧龙钱包超高利息</v>
      </c>
      <c r="C4218" s="2" t="s">
        <v>9</v>
      </c>
      <c r="D4218" s="2" t="s">
        <v>10</v>
      </c>
      <c r="E4218" s="2" t="str">
        <f>HYPERLINK("http://ts.21cn.com/tousu/show/id/1334978","http://ts.21cn.com/tousu/show/id/1334978")</f>
        <v>http://ts.21cn.com/tousu/show/id/1334978</v>
      </c>
      <c r="F4218" s="2" t="s">
        <v>11</v>
      </c>
      <c r="G4218" s="2" t="s">
        <v>35847</v>
      </c>
      <c r="H4218" s="2" t="s">
        <v>35848</v>
      </c>
    </row>
    <row r="4219" spans="1:8" ht="25.05" customHeight="1" x14ac:dyDescent="0.25">
      <c r="A4219" s="2" t="s">
        <v>8</v>
      </c>
      <c r="B4219" s="2" t="str">
        <f>HYPERLINK("http://ts.21cn.com/tousu/show/id/1334979","滴滴车主乱惩罚车主")</f>
        <v>滴滴车主乱惩罚车主</v>
      </c>
      <c r="C4219" s="2" t="s">
        <v>9</v>
      </c>
      <c r="D4219" s="2" t="s">
        <v>10</v>
      </c>
      <c r="E4219" s="2" t="str">
        <f>HYPERLINK("http://ts.21cn.com/tousu/show/id/1334979","http://ts.21cn.com/tousu/show/id/1334979")</f>
        <v>http://ts.21cn.com/tousu/show/id/1334979</v>
      </c>
      <c r="F4219" s="2" t="s">
        <v>11</v>
      </c>
      <c r="G4219" s="2" t="s">
        <v>35845</v>
      </c>
      <c r="H4219" s="2" t="s">
        <v>35846</v>
      </c>
    </row>
    <row r="4220" spans="1:8" ht="25.05" customHeight="1" x14ac:dyDescent="0.25">
      <c r="A4220" s="2" t="s">
        <v>8</v>
      </c>
      <c r="B4220" s="2" t="str">
        <f>HYPERLINK("http://ts.21cn.com/tousu/show/id/1334980","钱站余额无法取出")</f>
        <v>钱站余额无法取出</v>
      </c>
      <c r="C4220" s="2" t="s">
        <v>9</v>
      </c>
      <c r="D4220" s="2" t="s">
        <v>10</v>
      </c>
      <c r="E4220" s="2" t="str">
        <f>HYPERLINK("http://ts.21cn.com/tousu/show/id/1334980","http://ts.21cn.com/tousu/show/id/1334980")</f>
        <v>http://ts.21cn.com/tousu/show/id/1334980</v>
      </c>
      <c r="F4220" s="2" t="s">
        <v>11</v>
      </c>
      <c r="G4220" s="2" t="s">
        <v>35843</v>
      </c>
      <c r="H4220" s="2" t="s">
        <v>35844</v>
      </c>
    </row>
    <row r="4221" spans="1:8" ht="25.05" customHeight="1" x14ac:dyDescent="0.25">
      <c r="A4221" s="2" t="s">
        <v>8</v>
      </c>
      <c r="B4221" s="2" t="str">
        <f>HYPERLINK("http://ts.21cn.com/tousu/show/id/1334981","714高炮")</f>
        <v>714高炮</v>
      </c>
      <c r="C4221" s="2" t="s">
        <v>34</v>
      </c>
      <c r="D4221" s="2" t="s">
        <v>10</v>
      </c>
      <c r="E4221" s="2" t="str">
        <f>HYPERLINK("http://ts.21cn.com/tousu/show/id/1334981","http://ts.21cn.com/tousu/show/id/1334981")</f>
        <v>http://ts.21cn.com/tousu/show/id/1334981</v>
      </c>
      <c r="F4221" s="2" t="s">
        <v>11</v>
      </c>
      <c r="G4221" s="2" t="s">
        <v>35841</v>
      </c>
      <c r="H4221" s="2" t="s">
        <v>35842</v>
      </c>
    </row>
    <row r="4222" spans="1:8" ht="25.05" customHeight="1" x14ac:dyDescent="0.25">
      <c r="A4222" s="2" t="s">
        <v>8</v>
      </c>
      <c r="B4222" s="2" t="str">
        <f>HYPERLINK("http://ts.21cn.com/tousu/show/id/1334983","中金支付未经本人允许盗扣本人卡内余额")</f>
        <v>中金支付未经本人允许盗扣本人卡内余额</v>
      </c>
      <c r="C4222" s="2" t="s">
        <v>9</v>
      </c>
      <c r="D4222" s="2" t="s">
        <v>10</v>
      </c>
      <c r="E4222" s="2" t="str">
        <f>HYPERLINK("http://ts.21cn.com/tousu/show/id/1334983","http://ts.21cn.com/tousu/show/id/1334983")</f>
        <v>http://ts.21cn.com/tousu/show/id/1334983</v>
      </c>
      <c r="F4222" s="2" t="s">
        <v>11</v>
      </c>
      <c r="G4222" s="2" t="s">
        <v>35839</v>
      </c>
      <c r="H4222" s="2" t="s">
        <v>35840</v>
      </c>
    </row>
    <row r="4223" spans="1:8" ht="25.05" customHeight="1" x14ac:dyDescent="0.25">
      <c r="A4223" s="2" t="s">
        <v>8</v>
      </c>
      <c r="B4223" s="2" t="str">
        <f>HYPERLINK("http://ts.21cn.com/tousu/show/id/1334984","玖富万卡高利贷，阴阳合同伪造合同")</f>
        <v>玖富万卡高利贷，阴阳合同伪造合同</v>
      </c>
      <c r="C4223" s="2" t="s">
        <v>9</v>
      </c>
      <c r="D4223" s="2" t="s">
        <v>10</v>
      </c>
      <c r="E4223" s="2" t="str">
        <f>HYPERLINK("http://ts.21cn.com/tousu/show/id/1334984","http://ts.21cn.com/tousu/show/id/1334984")</f>
        <v>http://ts.21cn.com/tousu/show/id/1334984</v>
      </c>
      <c r="F4223" s="2" t="s">
        <v>11</v>
      </c>
      <c r="G4223" s="2" t="s">
        <v>35837</v>
      </c>
      <c r="H4223" s="2" t="s">
        <v>35838</v>
      </c>
    </row>
    <row r="4224" spans="1:8" ht="25.05" customHeight="1" x14ac:dyDescent="0.25">
      <c r="A4224" s="2" t="s">
        <v>8</v>
      </c>
      <c r="B4224" s="2" t="str">
        <f>HYPERLINK("http://ts.21cn.com/tousu/show/id/1334985","全能车平台所有会员服务失效，要求退款")</f>
        <v>全能车平台所有会员服务失效，要求退款</v>
      </c>
      <c r="C4224" s="2" t="s">
        <v>9</v>
      </c>
      <c r="D4224" s="2" t="s">
        <v>10</v>
      </c>
      <c r="E4224" s="2" t="str">
        <f>HYPERLINK("http://ts.21cn.com/tousu/show/id/1334985","http://ts.21cn.com/tousu/show/id/1334985")</f>
        <v>http://ts.21cn.com/tousu/show/id/1334985</v>
      </c>
      <c r="F4224" s="2" t="s">
        <v>11</v>
      </c>
      <c r="G4224" s="2" t="s">
        <v>35835</v>
      </c>
      <c r="H4224" s="2" t="s">
        <v>35836</v>
      </c>
    </row>
    <row r="4225" spans="1:8" ht="25.05" customHeight="1" x14ac:dyDescent="0.25">
      <c r="A4225" s="2" t="s">
        <v>8</v>
      </c>
      <c r="B4225" s="2" t="str">
        <f>HYPERLINK("http://ts.21cn.com/tousu/show/id/1334986","拍拍贷强行让我逾期")</f>
        <v>拍拍贷强行让我逾期</v>
      </c>
      <c r="C4225" s="2" t="s">
        <v>9</v>
      </c>
      <c r="D4225" s="2" t="s">
        <v>10</v>
      </c>
      <c r="E4225" s="2" t="str">
        <f>HYPERLINK("http://ts.21cn.com/tousu/show/id/1334986","http://ts.21cn.com/tousu/show/id/1334986")</f>
        <v>http://ts.21cn.com/tousu/show/id/1334986</v>
      </c>
      <c r="F4225" s="2" t="s">
        <v>11</v>
      </c>
      <c r="G4225" s="2" t="s">
        <v>35833</v>
      </c>
      <c r="H4225" s="2" t="s">
        <v>35834</v>
      </c>
    </row>
    <row r="4226" spans="1:8" ht="25.05" customHeight="1" x14ac:dyDescent="0.25">
      <c r="A4226" s="2" t="s">
        <v>8</v>
      </c>
      <c r="B4226" s="2" t="str">
        <f>HYPERLINK("http://ts.21cn.com/tousu/show/id/1334971","有缘网扣除我168元，我希望能尽快协商退款")</f>
        <v>有缘网扣除我168元，我希望能尽快协商退款</v>
      </c>
      <c r="C4226" s="2" t="s">
        <v>9</v>
      </c>
      <c r="D4226" s="2" t="s">
        <v>10</v>
      </c>
      <c r="E4226" s="2" t="str">
        <f>HYPERLINK("http://ts.21cn.com/tousu/show/id/1334971","http://ts.21cn.com/tousu/show/id/1334971")</f>
        <v>http://ts.21cn.com/tousu/show/id/1334971</v>
      </c>
      <c r="F4226" s="2" t="s">
        <v>11</v>
      </c>
      <c r="G4226" s="2" t="s">
        <v>35831</v>
      </c>
      <c r="H4226" s="2" t="s">
        <v>35832</v>
      </c>
    </row>
    <row r="4227" spans="1:8" ht="25.05" customHeight="1" x14ac:dyDescent="0.25">
      <c r="A4227" s="2" t="s">
        <v>8</v>
      </c>
      <c r="B4227" s="2" t="str">
        <f>HYPERLINK("http://ts.21cn.com/tousu/show/id/1334987","快闪卡贷高利贷、砍头息")</f>
        <v>快闪卡贷高利贷、砍头息</v>
      </c>
      <c r="C4227" s="2" t="s">
        <v>9</v>
      </c>
      <c r="D4227" s="2" t="s">
        <v>10</v>
      </c>
      <c r="E4227" s="2" t="str">
        <f>HYPERLINK("http://ts.21cn.com/tousu/show/id/1334987","http://ts.21cn.com/tousu/show/id/1334987")</f>
        <v>http://ts.21cn.com/tousu/show/id/1334987</v>
      </c>
      <c r="F4227" s="2" t="s">
        <v>11</v>
      </c>
      <c r="G4227" s="2" t="s">
        <v>35829</v>
      </c>
      <c r="H4227" s="2" t="s">
        <v>35830</v>
      </c>
    </row>
    <row r="4228" spans="1:8" ht="25.05" customHeight="1" x14ac:dyDescent="0.25">
      <c r="A4228" s="2" t="s">
        <v>8</v>
      </c>
      <c r="B4228" s="2" t="str">
        <f>HYPERLINK("http://ts.21cn.com/tousu/show/id/1334988","请求魔域退还充值的人民币")</f>
        <v>请求魔域退还充值的人民币</v>
      </c>
      <c r="C4228" s="2" t="s">
        <v>9</v>
      </c>
      <c r="D4228" s="2" t="s">
        <v>10</v>
      </c>
      <c r="E4228" s="2" t="str">
        <f>HYPERLINK("http://ts.21cn.com/tousu/show/id/1334988","http://ts.21cn.com/tousu/show/id/1334988")</f>
        <v>http://ts.21cn.com/tousu/show/id/1334988</v>
      </c>
      <c r="F4228" s="2" t="s">
        <v>11</v>
      </c>
      <c r="G4228" s="2" t="s">
        <v>35827</v>
      </c>
      <c r="H4228" s="2" t="s">
        <v>35828</v>
      </c>
    </row>
    <row r="4229" spans="1:8" ht="25.05" customHeight="1" x14ac:dyDescent="0.25">
      <c r="A4229" s="2" t="s">
        <v>8</v>
      </c>
      <c r="B4229" s="2" t="str">
        <f>HYPERLINK("http://ts.21cn.com/tousu/show/id/1334989","为《赤兔宝》提供第三方支付业务")</f>
        <v>为《赤兔宝》提供第三方支付业务</v>
      </c>
      <c r="C4229" s="2" t="s">
        <v>9</v>
      </c>
      <c r="D4229" s="2" t="s">
        <v>10</v>
      </c>
      <c r="E4229" s="2" t="str">
        <f>HYPERLINK("http://ts.21cn.com/tousu/show/id/1334989","http://ts.21cn.com/tousu/show/id/1334989")</f>
        <v>http://ts.21cn.com/tousu/show/id/1334989</v>
      </c>
      <c r="F4229" s="2" t="s">
        <v>11</v>
      </c>
      <c r="G4229" s="2" t="s">
        <v>35825</v>
      </c>
      <c r="H4229" s="2" t="s">
        <v>35826</v>
      </c>
    </row>
    <row r="4230" spans="1:8" ht="25.05" customHeight="1" x14ac:dyDescent="0.25">
      <c r="A4230" s="2" t="s">
        <v>8</v>
      </c>
      <c r="B4230" s="2" t="str">
        <f>HYPERLINK("http://ts.21cn.com/tousu/show/id/1334990","造艺技术豹子贷套路并在本人未确认情况下收款299元，")</f>
        <v>造艺技术豹子贷套路并在本人未确认情况下收款299元，</v>
      </c>
      <c r="C4230" s="2" t="s">
        <v>9</v>
      </c>
      <c r="D4230" s="2" t="s">
        <v>10</v>
      </c>
      <c r="E4230" s="2" t="str">
        <f>HYPERLINK("http://ts.21cn.com/tousu/show/id/1334990","http://ts.21cn.com/tousu/show/id/1334990")</f>
        <v>http://ts.21cn.com/tousu/show/id/1334990</v>
      </c>
      <c r="F4230" s="2" t="s">
        <v>11</v>
      </c>
      <c r="G4230" s="2" t="s">
        <v>35823</v>
      </c>
      <c r="H4230" s="2" t="s">
        <v>35824</v>
      </c>
    </row>
    <row r="4231" spans="1:8" ht="25.05" customHeight="1" x14ac:dyDescent="0.25">
      <c r="A4231" s="2" t="s">
        <v>8</v>
      </c>
      <c r="B4231" s="2" t="str">
        <f>HYPERLINK("http://ts.21cn.com/tousu/show/id/1334991","易宝支付与讯联智付一起为套路贷牟利！")</f>
        <v>易宝支付与讯联智付一起为套路贷牟利！</v>
      </c>
      <c r="C4231" s="2" t="s">
        <v>9</v>
      </c>
      <c r="D4231" s="2" t="s">
        <v>10</v>
      </c>
      <c r="E4231" s="2" t="str">
        <f>HYPERLINK("http://ts.21cn.com/tousu/show/id/1334991","http://ts.21cn.com/tousu/show/id/1334991")</f>
        <v>http://ts.21cn.com/tousu/show/id/1334991</v>
      </c>
      <c r="F4231" s="2" t="s">
        <v>11</v>
      </c>
      <c r="G4231" s="2" t="s">
        <v>35821</v>
      </c>
      <c r="H4231" s="2" t="s">
        <v>35822</v>
      </c>
    </row>
    <row r="4232" spans="1:8" ht="25.05" customHeight="1" x14ac:dyDescent="0.25">
      <c r="A4232" s="2" t="s">
        <v>8</v>
      </c>
      <c r="B4232" s="2" t="str">
        <f>HYPERLINK("http://ts.21cn.com/tousu/show/id/1334993","钱水艇未经过同意从银行卡扣钱")</f>
        <v>钱水艇未经过同意从银行卡扣钱</v>
      </c>
      <c r="C4232" s="2" t="s">
        <v>9</v>
      </c>
      <c r="D4232" s="2" t="s">
        <v>10</v>
      </c>
      <c r="E4232" s="2" t="str">
        <f>HYPERLINK("http://ts.21cn.com/tousu/show/id/1334993","http://ts.21cn.com/tousu/show/id/1334993")</f>
        <v>http://ts.21cn.com/tousu/show/id/1334993</v>
      </c>
      <c r="F4232" s="2" t="s">
        <v>11</v>
      </c>
      <c r="G4232" s="2" t="s">
        <v>35819</v>
      </c>
      <c r="H4232" s="2" t="s">
        <v>35820</v>
      </c>
    </row>
    <row r="4233" spans="1:8" ht="25.05" customHeight="1" x14ac:dyDescent="0.25">
      <c r="A4233" s="2" t="s">
        <v>8</v>
      </c>
      <c r="B4233" s="2" t="str">
        <f>HYPERLINK("http://ts.21cn.com/tousu/show/id/1334994","nice平台买鞋不发货不退款")</f>
        <v>nice平台买鞋不发货不退款</v>
      </c>
      <c r="C4233" s="2" t="s">
        <v>9</v>
      </c>
      <c r="D4233" s="2" t="s">
        <v>10</v>
      </c>
      <c r="E4233" s="2" t="str">
        <f>HYPERLINK("http://ts.21cn.com/tousu/show/id/1334994","http://ts.21cn.com/tousu/show/id/1334994")</f>
        <v>http://ts.21cn.com/tousu/show/id/1334994</v>
      </c>
      <c r="F4233" s="2" t="s">
        <v>11</v>
      </c>
      <c r="G4233" s="2" t="s">
        <v>35817</v>
      </c>
      <c r="H4233" s="2" t="s">
        <v>35818</v>
      </c>
    </row>
    <row r="4234" spans="1:8" ht="25.05" customHeight="1" x14ac:dyDescent="0.25">
      <c r="A4234" s="2" t="s">
        <v>8</v>
      </c>
      <c r="B4234" s="2" t="str">
        <f>HYPERLINK("http://ts.21cn.com/tousu/show/id/1334995","我在闪趣充了1500，就拍到50元话费，骗子APP")</f>
        <v>我在闪趣充了1500，就拍到50元话费，骗子APP</v>
      </c>
      <c r="C4234" s="2" t="s">
        <v>9</v>
      </c>
      <c r="D4234" s="2" t="s">
        <v>10</v>
      </c>
      <c r="E4234" s="2" t="str">
        <f>HYPERLINK("http://ts.21cn.com/tousu/show/id/1334995","http://ts.21cn.com/tousu/show/id/1334995")</f>
        <v>http://ts.21cn.com/tousu/show/id/1334995</v>
      </c>
      <c r="F4234" s="2" t="s">
        <v>11</v>
      </c>
      <c r="G4234" s="2" t="s">
        <v>35815</v>
      </c>
      <c r="H4234" s="2" t="s">
        <v>35816</v>
      </c>
    </row>
    <row r="4235" spans="1:8" ht="25.05" customHeight="1" x14ac:dyDescent="0.25">
      <c r="A4235" s="2" t="s">
        <v>8</v>
      </c>
      <c r="B4235" s="2" t="str">
        <f>HYPERLINK("http://ts.21cn.com/tousu/show/id/1334996","新橙优品乱扣钱")</f>
        <v>新橙优品乱扣钱</v>
      </c>
      <c r="C4235" s="2" t="s">
        <v>9</v>
      </c>
      <c r="D4235" s="2" t="s">
        <v>10</v>
      </c>
      <c r="E4235" s="2" t="str">
        <f>HYPERLINK("http://ts.21cn.com/tousu/show/id/1334996","http://ts.21cn.com/tousu/show/id/1334996")</f>
        <v>http://ts.21cn.com/tousu/show/id/1334996</v>
      </c>
      <c r="F4235" s="2" t="s">
        <v>11</v>
      </c>
      <c r="G4235" s="2" t="s">
        <v>35813</v>
      </c>
      <c r="H4235" s="2" t="s">
        <v>35814</v>
      </c>
    </row>
    <row r="4236" spans="1:8" ht="25.05" customHeight="1" x14ac:dyDescent="0.25">
      <c r="A4236" s="2" t="s">
        <v>8</v>
      </c>
      <c r="B4236" s="2" t="str">
        <f>HYPERLINK("http://ts.21cn.com/tousu/show/id/1334974","以游戏交易平台提现违规不断要求客户充值人民币")</f>
        <v>以游戏交易平台提现违规不断要求客户充值人民币</v>
      </c>
      <c r="C4236" s="2" t="s">
        <v>9</v>
      </c>
      <c r="D4236" s="2" t="s">
        <v>10</v>
      </c>
      <c r="E4236" s="2" t="str">
        <f>HYPERLINK("http://ts.21cn.com/tousu/show/id/1334974","http://ts.21cn.com/tousu/show/id/1334974")</f>
        <v>http://ts.21cn.com/tousu/show/id/1334974</v>
      </c>
      <c r="F4236" s="2" t="s">
        <v>11</v>
      </c>
      <c r="G4236" s="2" t="s">
        <v>35811</v>
      </c>
      <c r="H4236" s="2" t="s">
        <v>35812</v>
      </c>
    </row>
    <row r="4237" spans="1:8" ht="25.05" customHeight="1" x14ac:dyDescent="0.25">
      <c r="A4237" s="2" t="s">
        <v>8</v>
      </c>
      <c r="B4237" s="2" t="str">
        <f>HYPERLINK("http://ts.21cn.com/tousu/show/id/1334997","蚂蚁精帮，虚假宣传赌博软件，一起打麻将APP存在赌博性质")</f>
        <v>蚂蚁精帮，虚假宣传赌博软件，一起打麻将APP存在赌博性质</v>
      </c>
      <c r="C4237" s="2" t="s">
        <v>9</v>
      </c>
      <c r="D4237" s="2" t="s">
        <v>10</v>
      </c>
      <c r="E4237" s="2" t="str">
        <f>HYPERLINK("http://ts.21cn.com/tousu/show/id/1334997","http://ts.21cn.com/tousu/show/id/1334997")</f>
        <v>http://ts.21cn.com/tousu/show/id/1334997</v>
      </c>
      <c r="F4237" s="2" t="s">
        <v>11</v>
      </c>
      <c r="G4237" s="2" t="s">
        <v>35809</v>
      </c>
      <c r="H4237" s="2" t="s">
        <v>35810</v>
      </c>
    </row>
    <row r="4238" spans="1:8" ht="25.05" customHeight="1" x14ac:dyDescent="0.25">
      <c r="A4238" s="2" t="s">
        <v>8</v>
      </c>
      <c r="B4238" s="2" t="str">
        <f>HYPERLINK("http://ts.21cn.com/tousu/show/id/1334998","你我贷利率高的吓人")</f>
        <v>你我贷利率高的吓人</v>
      </c>
      <c r="C4238" s="2" t="s">
        <v>9</v>
      </c>
      <c r="D4238" s="2" t="s">
        <v>10</v>
      </c>
      <c r="E4238" s="2" t="str">
        <f>HYPERLINK("http://ts.21cn.com/tousu/show/id/1334998","http://ts.21cn.com/tousu/show/id/1334998")</f>
        <v>http://ts.21cn.com/tousu/show/id/1334998</v>
      </c>
      <c r="F4238" s="2" t="s">
        <v>11</v>
      </c>
      <c r="G4238" s="2" t="s">
        <v>35807</v>
      </c>
      <c r="H4238" s="2" t="s">
        <v>35808</v>
      </c>
    </row>
    <row r="4239" spans="1:8" ht="25.05" customHeight="1" x14ac:dyDescent="0.25">
      <c r="A4239" s="2" t="s">
        <v>8</v>
      </c>
      <c r="B4239" s="2" t="str">
        <f>HYPERLINK("http://ts.21cn.com/tousu/show/id/1335001","双辽市春天支农小额贷款公司违法经营高利贷")</f>
        <v>双辽市春天支农小额贷款公司违法经营高利贷</v>
      </c>
      <c r="C4239" s="2" t="s">
        <v>9</v>
      </c>
      <c r="D4239" s="2" t="s">
        <v>10</v>
      </c>
      <c r="E4239" s="2" t="str">
        <f>HYPERLINK("http://ts.21cn.com/tousu/show/id/1335001","http://ts.21cn.com/tousu/show/id/1335001")</f>
        <v>http://ts.21cn.com/tousu/show/id/1335001</v>
      </c>
      <c r="F4239" s="2" t="s">
        <v>11</v>
      </c>
      <c r="G4239" s="2" t="s">
        <v>35805</v>
      </c>
      <c r="H4239" s="2" t="s">
        <v>35806</v>
      </c>
    </row>
    <row r="4240" spans="1:8" ht="25.05" customHeight="1" x14ac:dyDescent="0.25">
      <c r="A4240" s="2" t="s">
        <v>8</v>
      </c>
      <c r="B4240" s="2" t="str">
        <f>HYPERLINK("http://ts.21cn.com/tousu/show/id/1335000","山东济宁朝花夕拾教育咨询有限公司虚假宣传，诱导消费")</f>
        <v>山东济宁朝花夕拾教育咨询有限公司虚假宣传，诱导消费</v>
      </c>
      <c r="C4240" s="2" t="s">
        <v>9</v>
      </c>
      <c r="D4240" s="2" t="s">
        <v>10</v>
      </c>
      <c r="E4240" s="2" t="str">
        <f>HYPERLINK("http://ts.21cn.com/tousu/show/id/1335000","http://ts.21cn.com/tousu/show/id/1335000")</f>
        <v>http://ts.21cn.com/tousu/show/id/1335000</v>
      </c>
      <c r="F4240" s="2" t="s">
        <v>11</v>
      </c>
      <c r="G4240" s="2" t="s">
        <v>35803</v>
      </c>
      <c r="H4240" s="2" t="s">
        <v>35804</v>
      </c>
    </row>
    <row r="4241" spans="1:8" ht="25.05" customHeight="1" x14ac:dyDescent="0.25">
      <c r="A4241" s="2" t="s">
        <v>8</v>
      </c>
      <c r="B4241" s="2" t="str">
        <f>HYPERLINK("http://ts.21cn.com/tousu/show/id/1335003","百事普惠恶意扣款")</f>
        <v>百事普惠恶意扣款</v>
      </c>
      <c r="C4241" s="2" t="s">
        <v>9</v>
      </c>
      <c r="D4241" s="2" t="s">
        <v>10</v>
      </c>
      <c r="E4241" s="2" t="str">
        <f>HYPERLINK("http://ts.21cn.com/tousu/show/id/1335003","http://ts.21cn.com/tousu/show/id/1335003")</f>
        <v>http://ts.21cn.com/tousu/show/id/1335003</v>
      </c>
      <c r="F4241" s="2" t="s">
        <v>11</v>
      </c>
      <c r="G4241" s="2" t="s">
        <v>35801</v>
      </c>
      <c r="H4241" s="2" t="s">
        <v>35802</v>
      </c>
    </row>
    <row r="4242" spans="1:8" ht="25.05" customHeight="1" x14ac:dyDescent="0.25">
      <c r="A4242" s="2" t="s">
        <v>8</v>
      </c>
      <c r="B4242" s="2" t="str">
        <f>HYPERLINK("http://ts.21cn.com/tousu/show/id/1335004","希望银行能帮助消费者们")</f>
        <v>希望银行能帮助消费者们</v>
      </c>
      <c r="C4242" s="2" t="s">
        <v>9</v>
      </c>
      <c r="D4242" s="2" t="s">
        <v>10</v>
      </c>
      <c r="E4242" s="2" t="str">
        <f>HYPERLINK("http://ts.21cn.com/tousu/show/id/1335004","http://ts.21cn.com/tousu/show/id/1335004")</f>
        <v>http://ts.21cn.com/tousu/show/id/1335004</v>
      </c>
      <c r="F4242" s="2" t="s">
        <v>11</v>
      </c>
      <c r="G4242" s="2" t="s">
        <v>35799</v>
      </c>
      <c r="H4242" s="2" t="s">
        <v>35800</v>
      </c>
    </row>
    <row r="4243" spans="1:8" ht="25.05" customHeight="1" x14ac:dyDescent="0.25">
      <c r="A4243" s="2" t="s">
        <v>8</v>
      </c>
      <c r="B4243" s="2" t="str">
        <f>HYPERLINK("http://ts.21cn.com/tousu/show/id/1334999","北京有缘网不知用什么手段进行免密收费")</f>
        <v>北京有缘网不知用什么手段进行免密收费</v>
      </c>
      <c r="C4243" s="2" t="s">
        <v>34</v>
      </c>
      <c r="D4243" s="2" t="s">
        <v>10</v>
      </c>
      <c r="E4243" s="2" t="str">
        <f>HYPERLINK("http://ts.21cn.com/tousu/show/id/1334999","http://ts.21cn.com/tousu/show/id/1334999")</f>
        <v>http://ts.21cn.com/tousu/show/id/1334999</v>
      </c>
      <c r="F4243" s="2" t="s">
        <v>11</v>
      </c>
      <c r="G4243" s="2" t="s">
        <v>35797</v>
      </c>
      <c r="H4243" s="2" t="s">
        <v>35798</v>
      </c>
    </row>
    <row r="4244" spans="1:8" ht="25.05" customHeight="1" x14ac:dyDescent="0.25">
      <c r="A4244" s="2" t="s">
        <v>8</v>
      </c>
      <c r="B4244" s="2" t="str">
        <f>HYPERLINK("http://ts.21cn.com/tousu/show/id/1335005","聚福钱包未经许可私自扣款")</f>
        <v>聚福钱包未经许可私自扣款</v>
      </c>
      <c r="C4244" s="2" t="s">
        <v>9</v>
      </c>
      <c r="D4244" s="2" t="s">
        <v>10</v>
      </c>
      <c r="E4244" s="2" t="str">
        <f>HYPERLINK("http://ts.21cn.com/tousu/show/id/1335005","http://ts.21cn.com/tousu/show/id/1335005")</f>
        <v>http://ts.21cn.com/tousu/show/id/1335005</v>
      </c>
      <c r="F4244" s="2" t="s">
        <v>11</v>
      </c>
      <c r="G4244" s="2" t="s">
        <v>35795</v>
      </c>
      <c r="H4244" s="2" t="s">
        <v>35796</v>
      </c>
    </row>
    <row r="4245" spans="1:8" ht="25.05" customHeight="1" x14ac:dyDescent="0.25">
      <c r="A4245" s="2" t="s">
        <v>8</v>
      </c>
      <c r="B4245" s="2" t="str">
        <f>HYPERLINK("http://ts.21cn.com/tousu/show/id/1335007","特约百度服务半夜无缘无故扣款")</f>
        <v>特约百度服务半夜无缘无故扣款</v>
      </c>
      <c r="C4245" s="2" t="s">
        <v>9</v>
      </c>
      <c r="D4245" s="2" t="s">
        <v>10</v>
      </c>
      <c r="E4245" s="2" t="str">
        <f>HYPERLINK("http://ts.21cn.com/tousu/show/id/1335007","http://ts.21cn.com/tousu/show/id/1335007")</f>
        <v>http://ts.21cn.com/tousu/show/id/1335007</v>
      </c>
      <c r="F4245" s="2" t="s">
        <v>11</v>
      </c>
      <c r="G4245" s="2" t="s">
        <v>35793</v>
      </c>
      <c r="H4245" s="2" t="s">
        <v>35794</v>
      </c>
    </row>
    <row r="4246" spans="1:8" ht="25.05" customHeight="1" x14ac:dyDescent="0.25">
      <c r="A4246" s="2" t="s">
        <v>8</v>
      </c>
      <c r="B4246" s="2" t="str">
        <f>HYPERLINK("http://ts.21cn.com/tousu/show/id/1335008","钱站～披着正规借款平台的高利贷")</f>
        <v>钱站～披着正规借款平台的高利贷</v>
      </c>
      <c r="C4246" s="2" t="s">
        <v>34</v>
      </c>
      <c r="D4246" s="2" t="s">
        <v>10</v>
      </c>
      <c r="E4246" s="2" t="str">
        <f>HYPERLINK("http://ts.21cn.com/tousu/show/id/1335008","http://ts.21cn.com/tousu/show/id/1335008")</f>
        <v>http://ts.21cn.com/tousu/show/id/1335008</v>
      </c>
      <c r="F4246" s="2" t="s">
        <v>11</v>
      </c>
      <c r="G4246" s="2" t="s">
        <v>35791</v>
      </c>
      <c r="H4246" s="2" t="s">
        <v>35792</v>
      </c>
    </row>
    <row r="4247" spans="1:8" ht="25.05" customHeight="1" x14ac:dyDescent="0.25">
      <c r="A4247" s="2" t="s">
        <v>8</v>
      </c>
      <c r="B4247" s="2" t="str">
        <f>HYPERLINK("http://ts.21cn.com/tousu/show/id/1335009","天天鉴宝不退货退款")</f>
        <v>天天鉴宝不退货退款</v>
      </c>
      <c r="C4247" s="2" t="s">
        <v>9</v>
      </c>
      <c r="D4247" s="2" t="s">
        <v>10</v>
      </c>
      <c r="E4247" s="2" t="str">
        <f>HYPERLINK("http://ts.21cn.com/tousu/show/id/1335009","http://ts.21cn.com/tousu/show/id/1335009")</f>
        <v>http://ts.21cn.com/tousu/show/id/1335009</v>
      </c>
      <c r="F4247" s="2" t="s">
        <v>11</v>
      </c>
      <c r="G4247" s="2" t="s">
        <v>35789</v>
      </c>
      <c r="H4247" s="2" t="s">
        <v>35790</v>
      </c>
    </row>
    <row r="4248" spans="1:8" ht="25.05" customHeight="1" x14ac:dyDescent="0.25">
      <c r="A4248" s="2" t="s">
        <v>8</v>
      </c>
      <c r="B4248" s="2" t="str">
        <f>HYPERLINK("http://ts.21cn.com/tousu/show/id/1335010","大量用户无法退还立刻出行499元押金")</f>
        <v>大量用户无法退还立刻出行499元押金</v>
      </c>
      <c r="C4248" s="2" t="s">
        <v>34</v>
      </c>
      <c r="D4248" s="2" t="s">
        <v>10</v>
      </c>
      <c r="E4248" s="2" t="str">
        <f>HYPERLINK("http://ts.21cn.com/tousu/show/id/1335010","http://ts.21cn.com/tousu/show/id/1335010")</f>
        <v>http://ts.21cn.com/tousu/show/id/1335010</v>
      </c>
      <c r="F4248" s="2" t="s">
        <v>11</v>
      </c>
      <c r="G4248" s="2" t="s">
        <v>35787</v>
      </c>
      <c r="H4248" s="2" t="s">
        <v>35788</v>
      </c>
    </row>
    <row r="4249" spans="1:8" ht="25.05" customHeight="1" x14ac:dyDescent="0.25">
      <c r="A4249" s="2" t="s">
        <v>8</v>
      </c>
      <c r="B4249" s="2" t="str">
        <f>HYPERLINK("http://ts.21cn.com/tousu/show/id/1335011","来分期套路")</f>
        <v>来分期套路</v>
      </c>
      <c r="C4249" s="2" t="s">
        <v>9</v>
      </c>
      <c r="D4249" s="2" t="s">
        <v>10</v>
      </c>
      <c r="E4249" s="2" t="str">
        <f>HYPERLINK("http://ts.21cn.com/tousu/show/id/1335011","http://ts.21cn.com/tousu/show/id/1335011")</f>
        <v>http://ts.21cn.com/tousu/show/id/1335011</v>
      </c>
      <c r="F4249" s="2" t="s">
        <v>11</v>
      </c>
      <c r="G4249" s="2" t="s">
        <v>35785</v>
      </c>
      <c r="H4249" s="2" t="s">
        <v>35786</v>
      </c>
    </row>
    <row r="4250" spans="1:8" ht="25.05" customHeight="1" x14ac:dyDescent="0.25">
      <c r="A4250" s="2" t="s">
        <v>8</v>
      </c>
      <c r="B4250" s="2" t="str">
        <f>HYPERLINK("http://ts.21cn.com/tousu/show/id/1335012","快闪卡贷高额砍头息光大银行恶意上报个人征信")</f>
        <v>快闪卡贷高额砍头息光大银行恶意上报个人征信</v>
      </c>
      <c r="C4250" s="2" t="s">
        <v>9</v>
      </c>
      <c r="D4250" s="2" t="s">
        <v>10</v>
      </c>
      <c r="E4250" s="2" t="str">
        <f>HYPERLINK("http://ts.21cn.com/tousu/show/id/1335012","http://ts.21cn.com/tousu/show/id/1335012")</f>
        <v>http://ts.21cn.com/tousu/show/id/1335012</v>
      </c>
      <c r="F4250" s="2" t="s">
        <v>11</v>
      </c>
      <c r="G4250" s="2" t="s">
        <v>35783</v>
      </c>
      <c r="H4250" s="2" t="s">
        <v>35784</v>
      </c>
    </row>
    <row r="4251" spans="1:8" ht="25.05" customHeight="1" x14ac:dyDescent="0.25">
      <c r="A4251" s="2" t="s">
        <v>8</v>
      </c>
      <c r="B4251" s="2" t="str">
        <f>HYPERLINK("http://ts.21cn.com/tousu/show/id/1335006","诱导顾客消费")</f>
        <v>诱导顾客消费</v>
      </c>
      <c r="C4251" s="2" t="s">
        <v>9</v>
      </c>
      <c r="D4251" s="2" t="s">
        <v>10</v>
      </c>
      <c r="E4251" s="2" t="str">
        <f>HYPERLINK("http://ts.21cn.com/tousu/show/id/1335006","http://ts.21cn.com/tousu/show/id/1335006")</f>
        <v>http://ts.21cn.com/tousu/show/id/1335006</v>
      </c>
      <c r="F4251" s="2" t="s">
        <v>11</v>
      </c>
      <c r="G4251" s="2" t="s">
        <v>35781</v>
      </c>
      <c r="H4251" s="2" t="s">
        <v>35782</v>
      </c>
    </row>
    <row r="4252" spans="1:8" ht="25.05" customHeight="1" x14ac:dyDescent="0.25">
      <c r="A4252" s="2" t="s">
        <v>8</v>
      </c>
      <c r="B4252" s="2" t="str">
        <f>HYPERLINK("http://ts.21cn.com/tousu/show/id/1335013","最差的银行，交通银行")</f>
        <v>最差的银行，交通银行</v>
      </c>
      <c r="C4252" s="2" t="s">
        <v>34</v>
      </c>
      <c r="D4252" s="2" t="s">
        <v>10</v>
      </c>
      <c r="E4252" s="2" t="str">
        <f>HYPERLINK("http://ts.21cn.com/tousu/show/id/1335013","http://ts.21cn.com/tousu/show/id/1335013")</f>
        <v>http://ts.21cn.com/tousu/show/id/1335013</v>
      </c>
      <c r="F4252" s="2" t="s">
        <v>11</v>
      </c>
      <c r="G4252" s="2" t="s">
        <v>35779</v>
      </c>
      <c r="H4252" s="2" t="s">
        <v>35780</v>
      </c>
    </row>
    <row r="4253" spans="1:8" ht="25.05" customHeight="1" x14ac:dyDescent="0.25">
      <c r="A4253" s="2" t="s">
        <v>8</v>
      </c>
      <c r="B4253" s="2" t="str">
        <f>HYPERLINK("http://ts.21cn.com/tousu/show/id/1335015","京东金融在注销白条和金条的情况下无法开具结清证明")</f>
        <v>京东金融在注销白条和金条的情况下无法开具结清证明</v>
      </c>
      <c r="C4253" s="2" t="s">
        <v>9</v>
      </c>
      <c r="D4253" s="2" t="s">
        <v>10</v>
      </c>
      <c r="E4253" s="2" t="str">
        <f>HYPERLINK("http://ts.21cn.com/tousu/show/id/1335015","http://ts.21cn.com/tousu/show/id/1335015")</f>
        <v>http://ts.21cn.com/tousu/show/id/1335015</v>
      </c>
      <c r="F4253" s="2" t="s">
        <v>11</v>
      </c>
      <c r="G4253" s="2" t="s">
        <v>35777</v>
      </c>
      <c r="H4253" s="2" t="s">
        <v>35778</v>
      </c>
    </row>
    <row r="4254" spans="1:8" ht="25.05" customHeight="1" x14ac:dyDescent="0.25">
      <c r="A4254" s="2" t="s">
        <v>8</v>
      </c>
      <c r="B4254" s="2" t="str">
        <f>HYPERLINK("http://ts.21cn.com/tousu/show/id/1335016","投诉豹子贷")</f>
        <v>投诉豹子贷</v>
      </c>
      <c r="C4254" s="2" t="s">
        <v>9</v>
      </c>
      <c r="D4254" s="2" t="s">
        <v>10</v>
      </c>
      <c r="E4254" s="2" t="str">
        <f>HYPERLINK("http://ts.21cn.com/tousu/show/id/1335016","http://ts.21cn.com/tousu/show/id/1335016")</f>
        <v>http://ts.21cn.com/tousu/show/id/1335016</v>
      </c>
      <c r="F4254" s="2" t="s">
        <v>11</v>
      </c>
      <c r="G4254" s="2" t="s">
        <v>35775</v>
      </c>
      <c r="H4254" s="2" t="s">
        <v>35776</v>
      </c>
    </row>
    <row r="4255" spans="1:8" ht="25.05" customHeight="1" x14ac:dyDescent="0.25">
      <c r="A4255" s="2" t="s">
        <v>8</v>
      </c>
      <c r="B4255" s="2" t="str">
        <f>HYPERLINK("http://ts.21cn.com/tousu/show/id/1335017","百事普惠恶意扣款")</f>
        <v>百事普惠恶意扣款</v>
      </c>
      <c r="C4255" s="2" t="s">
        <v>9</v>
      </c>
      <c r="D4255" s="2" t="s">
        <v>10</v>
      </c>
      <c r="E4255" s="2" t="str">
        <f>HYPERLINK("http://ts.21cn.com/tousu/show/id/1335017","http://ts.21cn.com/tousu/show/id/1335017")</f>
        <v>http://ts.21cn.com/tousu/show/id/1335017</v>
      </c>
      <c r="F4255" s="2" t="s">
        <v>11</v>
      </c>
      <c r="G4255" s="2" t="s">
        <v>35773</v>
      </c>
      <c r="H4255" s="2" t="s">
        <v>35774</v>
      </c>
    </row>
    <row r="4256" spans="1:8" ht="25.05" customHeight="1" x14ac:dyDescent="0.25">
      <c r="A4256" s="2" t="s">
        <v>8</v>
      </c>
      <c r="B4256" s="2" t="str">
        <f>HYPERLINK("http://ts.21cn.com/tousu/show/id/1335018","来分期有额度不予借款不予以解释")</f>
        <v>来分期有额度不予借款不予以解释</v>
      </c>
      <c r="C4256" s="2" t="s">
        <v>34</v>
      </c>
      <c r="D4256" s="2" t="s">
        <v>10</v>
      </c>
      <c r="E4256" s="2" t="str">
        <f>HYPERLINK("http://ts.21cn.com/tousu/show/id/1335018","http://ts.21cn.com/tousu/show/id/1335018")</f>
        <v>http://ts.21cn.com/tousu/show/id/1335018</v>
      </c>
      <c r="F4256" s="2" t="s">
        <v>11</v>
      </c>
      <c r="G4256" s="2" t="s">
        <v>35771</v>
      </c>
      <c r="H4256" s="2" t="s">
        <v>35772</v>
      </c>
    </row>
    <row r="4257" spans="1:8" ht="25.05" customHeight="1" x14ac:dyDescent="0.25">
      <c r="A4257" s="2" t="s">
        <v>8</v>
      </c>
      <c r="B4257" s="2" t="str">
        <f>HYPERLINK("http://ts.21cn.com/tousu/show/id/1335019","套路贷，前期费用")</f>
        <v>套路贷，前期费用</v>
      </c>
      <c r="C4257" s="2" t="s">
        <v>9</v>
      </c>
      <c r="D4257" s="2" t="s">
        <v>10</v>
      </c>
      <c r="E4257" s="2" t="str">
        <f>HYPERLINK("http://ts.21cn.com/tousu/show/id/1335019","http://ts.21cn.com/tousu/show/id/1335019")</f>
        <v>http://ts.21cn.com/tousu/show/id/1335019</v>
      </c>
      <c r="F4257" s="2" t="s">
        <v>11</v>
      </c>
      <c r="G4257" s="2" t="s">
        <v>35769</v>
      </c>
      <c r="H4257" s="2" t="s">
        <v>35770</v>
      </c>
    </row>
    <row r="4258" spans="1:8" ht="25.05" customHeight="1" x14ac:dyDescent="0.25">
      <c r="A4258" s="2" t="s">
        <v>8</v>
      </c>
      <c r="B4258" s="2" t="str">
        <f>HYPERLINK("http://ts.21cn.com/tousu/show/id/1335020","苏宁任性付给额度却不给用")</f>
        <v>苏宁任性付给额度却不给用</v>
      </c>
      <c r="C4258" s="2" t="s">
        <v>34</v>
      </c>
      <c r="D4258" s="2" t="s">
        <v>10</v>
      </c>
      <c r="E4258" s="2" t="str">
        <f>HYPERLINK("http://ts.21cn.com/tousu/show/id/1335020","http://ts.21cn.com/tousu/show/id/1335020")</f>
        <v>http://ts.21cn.com/tousu/show/id/1335020</v>
      </c>
      <c r="F4258" s="2" t="s">
        <v>11</v>
      </c>
      <c r="G4258" s="2" t="s">
        <v>35767</v>
      </c>
      <c r="H4258" s="2" t="s">
        <v>35768</v>
      </c>
    </row>
    <row r="4259" spans="1:8" ht="25.05" customHeight="1" x14ac:dyDescent="0.25">
      <c r="A4259" s="2" t="s">
        <v>8</v>
      </c>
      <c r="B4259" s="2" t="str">
        <f>HYPERLINK("http://ts.21cn.com/tousu/show/id/1335021","汇聚支付为不法高利贷提供违规放款通道")</f>
        <v>汇聚支付为不法高利贷提供违规放款通道</v>
      </c>
      <c r="C4259" s="2" t="s">
        <v>9</v>
      </c>
      <c r="D4259" s="2" t="s">
        <v>10</v>
      </c>
      <c r="E4259" s="2" t="str">
        <f>HYPERLINK("http://ts.21cn.com/tousu/show/id/1335021","http://ts.21cn.com/tousu/show/id/1335021")</f>
        <v>http://ts.21cn.com/tousu/show/id/1335021</v>
      </c>
      <c r="F4259" s="2" t="s">
        <v>11</v>
      </c>
      <c r="G4259" s="2" t="s">
        <v>35765</v>
      </c>
      <c r="H4259" s="2" t="s">
        <v>35766</v>
      </c>
    </row>
    <row r="4260" spans="1:8" ht="25.05" customHeight="1" x14ac:dyDescent="0.25">
      <c r="A4260" s="2" t="s">
        <v>8</v>
      </c>
      <c r="B4260" s="2" t="str">
        <f>HYPERLINK("http://ts.21cn.com/tousu/show/id/1335022","58速运也就是快狗不地道")</f>
        <v>58速运也就是快狗不地道</v>
      </c>
      <c r="C4260" s="2" t="s">
        <v>34</v>
      </c>
      <c r="D4260" s="2" t="s">
        <v>10</v>
      </c>
      <c r="E4260" s="2" t="str">
        <f>HYPERLINK("http://ts.21cn.com/tousu/show/id/1335022","http://ts.21cn.com/tousu/show/id/1335022")</f>
        <v>http://ts.21cn.com/tousu/show/id/1335022</v>
      </c>
      <c r="F4260" s="2" t="s">
        <v>11</v>
      </c>
      <c r="G4260" s="2" t="s">
        <v>35763</v>
      </c>
      <c r="H4260" s="2" t="s">
        <v>35764</v>
      </c>
    </row>
    <row r="4261" spans="1:8" ht="25.05" customHeight="1" x14ac:dyDescent="0.25">
      <c r="A4261" s="2" t="s">
        <v>8</v>
      </c>
      <c r="B4261" s="2" t="str">
        <f>HYPERLINK("http://ts.21cn.com/tousu/show/id/1335023","请认真的处理给我派单问题")</f>
        <v>请认真的处理给我派单问题</v>
      </c>
      <c r="C4261" s="2" t="s">
        <v>9</v>
      </c>
      <c r="D4261" s="2" t="s">
        <v>10</v>
      </c>
      <c r="E4261" s="2" t="str">
        <f>HYPERLINK("http://ts.21cn.com/tousu/show/id/1335023","http://ts.21cn.com/tousu/show/id/1335023")</f>
        <v>http://ts.21cn.com/tousu/show/id/1335023</v>
      </c>
      <c r="F4261" s="2" t="s">
        <v>11</v>
      </c>
      <c r="G4261" s="2" t="s">
        <v>35761</v>
      </c>
      <c r="H4261" s="2" t="s">
        <v>35762</v>
      </c>
    </row>
    <row r="4262" spans="1:8" ht="25.05" customHeight="1" x14ac:dyDescent="0.25">
      <c r="A4262" s="2" t="s">
        <v>8</v>
      </c>
      <c r="B4262" s="2" t="str">
        <f>HYPERLINK("http://ts.21cn.com/tousu/show/id/1335024","黑心商户欺诈客户")</f>
        <v>黑心商户欺诈客户</v>
      </c>
      <c r="C4262" s="2" t="s">
        <v>9</v>
      </c>
      <c r="D4262" s="2" t="s">
        <v>10</v>
      </c>
      <c r="E4262" s="2" t="str">
        <f>HYPERLINK("http://ts.21cn.com/tousu/show/id/1335024","http://ts.21cn.com/tousu/show/id/1335024")</f>
        <v>http://ts.21cn.com/tousu/show/id/1335024</v>
      </c>
      <c r="F4262" s="2" t="s">
        <v>11</v>
      </c>
      <c r="G4262" s="2" t="s">
        <v>35759</v>
      </c>
      <c r="H4262" s="2" t="s">
        <v>35760</v>
      </c>
    </row>
    <row r="4263" spans="1:8" ht="25.05" customHeight="1" x14ac:dyDescent="0.25">
      <c r="A4263" s="2" t="s">
        <v>8</v>
      </c>
      <c r="B4263" s="2" t="str">
        <f>HYPERLINK("http://ts.21cn.com/tousu/show/id/1335025","老板让我们刷单，拿了我们钱跑路了！希望能帮我们把钱要回来")</f>
        <v>老板让我们刷单，拿了我们钱跑路了！希望能帮我们把钱要回来</v>
      </c>
      <c r="C4263" s="2" t="s">
        <v>9</v>
      </c>
      <c r="D4263" s="2" t="s">
        <v>10</v>
      </c>
      <c r="E4263" s="2" t="str">
        <f>HYPERLINK("http://ts.21cn.com/tousu/show/id/1335025","http://ts.21cn.com/tousu/show/id/1335025")</f>
        <v>http://ts.21cn.com/tousu/show/id/1335025</v>
      </c>
      <c r="F4263" s="2" t="s">
        <v>11</v>
      </c>
      <c r="G4263" s="2" t="s">
        <v>35757</v>
      </c>
      <c r="H4263" s="2" t="s">
        <v>35758</v>
      </c>
    </row>
    <row r="4264" spans="1:8" ht="25.05" customHeight="1" x14ac:dyDescent="0.25">
      <c r="A4264" s="2" t="s">
        <v>8</v>
      </c>
      <c r="B4264" s="2" t="str">
        <f>HYPERLINK("http://ts.21cn.com/tousu/show/id/1335026","微信莫名其妙被冻结资金5700")</f>
        <v>微信莫名其妙被冻结资金5700</v>
      </c>
      <c r="C4264" s="2" t="s">
        <v>9</v>
      </c>
      <c r="D4264" s="2" t="s">
        <v>10</v>
      </c>
      <c r="E4264" s="2" t="str">
        <f>HYPERLINK("http://ts.21cn.com/tousu/show/id/1335026","http://ts.21cn.com/tousu/show/id/1335026")</f>
        <v>http://ts.21cn.com/tousu/show/id/1335026</v>
      </c>
      <c r="F4264" s="2" t="s">
        <v>11</v>
      </c>
      <c r="G4264" s="2" t="s">
        <v>35755</v>
      </c>
      <c r="H4264" s="2" t="s">
        <v>35756</v>
      </c>
    </row>
    <row r="4265" spans="1:8" ht="25.05" customHeight="1" x14ac:dyDescent="0.25">
      <c r="A4265" s="2" t="s">
        <v>8</v>
      </c>
      <c r="B4265" s="2" t="str">
        <f>HYPERLINK("http://ts.21cn.com/tousu/show/id/1335027","衫德支付黑龙江分公司违规为赌博平台提供支付通道")</f>
        <v>衫德支付黑龙江分公司违规为赌博平台提供支付通道</v>
      </c>
      <c r="C4265" s="2" t="s">
        <v>9</v>
      </c>
      <c r="D4265" s="2" t="s">
        <v>10</v>
      </c>
      <c r="E4265" s="2" t="str">
        <f>HYPERLINK("http://ts.21cn.com/tousu/show/id/1335027","http://ts.21cn.com/tousu/show/id/1335027")</f>
        <v>http://ts.21cn.com/tousu/show/id/1335027</v>
      </c>
      <c r="F4265" s="2" t="s">
        <v>11</v>
      </c>
      <c r="G4265" s="2" t="s">
        <v>35754</v>
      </c>
      <c r="H4265" s="2" t="s">
        <v>5447</v>
      </c>
    </row>
    <row r="4266" spans="1:8" ht="25.05" customHeight="1" x14ac:dyDescent="0.25">
      <c r="A4266" s="2" t="s">
        <v>8</v>
      </c>
      <c r="B4266" s="2" t="str">
        <f>HYPERLINK("http://ts.21cn.com/tousu/show/id/1335028","合利宝为多个7天高利贷提供违法支付通道")</f>
        <v>合利宝为多个7天高利贷提供违法支付通道</v>
      </c>
      <c r="C4266" s="2" t="s">
        <v>9</v>
      </c>
      <c r="D4266" s="2" t="s">
        <v>10</v>
      </c>
      <c r="E4266" s="2" t="str">
        <f>HYPERLINK("http://ts.21cn.com/tousu/show/id/1335028","http://ts.21cn.com/tousu/show/id/1335028")</f>
        <v>http://ts.21cn.com/tousu/show/id/1335028</v>
      </c>
      <c r="F4266" s="2" t="s">
        <v>11</v>
      </c>
      <c r="G4266" s="2" t="s">
        <v>35752</v>
      </c>
      <c r="H4266" s="2" t="s">
        <v>35753</v>
      </c>
    </row>
    <row r="4267" spans="1:8" ht="25.05" customHeight="1" x14ac:dyDescent="0.25">
      <c r="A4267" s="2" t="s">
        <v>8</v>
      </c>
      <c r="B4267" s="2" t="str">
        <f>HYPERLINK("http://ts.21cn.com/tousu/show/id/1335029","有缘网未经，同意恶意扣费")</f>
        <v>有缘网未经，同意恶意扣费</v>
      </c>
      <c r="C4267" s="2" t="s">
        <v>9</v>
      </c>
      <c r="D4267" s="2" t="s">
        <v>10</v>
      </c>
      <c r="E4267" s="2" t="str">
        <f>HYPERLINK("http://ts.21cn.com/tousu/show/id/1335029","http://ts.21cn.com/tousu/show/id/1335029")</f>
        <v>http://ts.21cn.com/tousu/show/id/1335029</v>
      </c>
      <c r="F4267" s="2" t="s">
        <v>11</v>
      </c>
      <c r="G4267" s="2" t="s">
        <v>35750</v>
      </c>
      <c r="H4267" s="2" t="s">
        <v>35751</v>
      </c>
    </row>
    <row r="4268" spans="1:8" ht="25.05" customHeight="1" x14ac:dyDescent="0.25">
      <c r="A4268" s="2" t="s">
        <v>8</v>
      </c>
      <c r="B4268" s="2" t="str">
        <f>HYPERLINK("http://ts.21cn.com/tousu/show/id/1335030","汇潮支付为高利贷提供放款渠道")</f>
        <v>汇潮支付为高利贷提供放款渠道</v>
      </c>
      <c r="C4268" s="2" t="s">
        <v>9</v>
      </c>
      <c r="D4268" s="2" t="s">
        <v>10</v>
      </c>
      <c r="E4268" s="2" t="str">
        <f>HYPERLINK("http://ts.21cn.com/tousu/show/id/1335030","http://ts.21cn.com/tousu/show/id/1335030")</f>
        <v>http://ts.21cn.com/tousu/show/id/1335030</v>
      </c>
      <c r="F4268" s="2" t="s">
        <v>11</v>
      </c>
      <c r="G4268" s="2" t="s">
        <v>35748</v>
      </c>
      <c r="H4268" s="2" t="s">
        <v>35749</v>
      </c>
    </row>
    <row r="4269" spans="1:8" ht="25.05" customHeight="1" x14ac:dyDescent="0.25">
      <c r="A4269" s="2" t="s">
        <v>8</v>
      </c>
      <c r="B4269" s="2" t="str">
        <f>HYPERLINK("http://ts.21cn.com/tousu/show/id/1335032","任性付额度冻结")</f>
        <v>任性付额度冻结</v>
      </c>
      <c r="C4269" s="2" t="s">
        <v>9</v>
      </c>
      <c r="D4269" s="2" t="s">
        <v>10</v>
      </c>
      <c r="E4269" s="2" t="str">
        <f>HYPERLINK("http://ts.21cn.com/tousu/show/id/1335032","http://ts.21cn.com/tousu/show/id/1335032")</f>
        <v>http://ts.21cn.com/tousu/show/id/1335032</v>
      </c>
      <c r="F4269" s="2" t="s">
        <v>11</v>
      </c>
      <c r="G4269" s="2" t="s">
        <v>35746</v>
      </c>
      <c r="H4269" s="2" t="s">
        <v>35747</v>
      </c>
    </row>
    <row r="4270" spans="1:8" ht="25.05" customHeight="1" x14ac:dyDescent="0.25">
      <c r="A4270" s="2" t="s">
        <v>8</v>
      </c>
      <c r="B4270" s="2" t="str">
        <f>HYPERLINK("http://ts.21cn.com/tousu/show/id/1335033","微信被冻结5781")</f>
        <v>微信被冻结5781</v>
      </c>
      <c r="C4270" s="2" t="s">
        <v>9</v>
      </c>
      <c r="D4270" s="2" t="s">
        <v>10</v>
      </c>
      <c r="E4270" s="2" t="str">
        <f>HYPERLINK("http://ts.21cn.com/tousu/show/id/1335033","http://ts.21cn.com/tousu/show/id/1335033")</f>
        <v>http://ts.21cn.com/tousu/show/id/1335033</v>
      </c>
      <c r="F4270" s="2" t="s">
        <v>11</v>
      </c>
      <c r="G4270" s="2" t="s">
        <v>35744</v>
      </c>
      <c r="H4270" s="2" t="s">
        <v>35745</v>
      </c>
    </row>
    <row r="4271" spans="1:8" ht="25.05" customHeight="1" x14ac:dyDescent="0.25">
      <c r="A4271" s="2" t="s">
        <v>8</v>
      </c>
      <c r="B4271" s="2" t="str">
        <f>HYPERLINK("http://ts.21cn.com/tousu/show/id/1335034","贷上钱以买游戏豆为由收取高额贷款通过费")</f>
        <v>贷上钱以买游戏豆为由收取高额贷款通过费</v>
      </c>
      <c r="C4271" s="2" t="s">
        <v>9</v>
      </c>
      <c r="D4271" s="2" t="s">
        <v>10</v>
      </c>
      <c r="E4271" s="2" t="str">
        <f>HYPERLINK("http://ts.21cn.com/tousu/show/id/1335034","http://ts.21cn.com/tousu/show/id/1335034")</f>
        <v>http://ts.21cn.com/tousu/show/id/1335034</v>
      </c>
      <c r="F4271" s="2" t="s">
        <v>11</v>
      </c>
      <c r="G4271" s="2" t="s">
        <v>35743</v>
      </c>
      <c r="H4271" s="2" t="s">
        <v>30008</v>
      </c>
    </row>
    <row r="4272" spans="1:8" ht="25.05" customHeight="1" x14ac:dyDescent="0.25">
      <c r="A4272" s="2" t="s">
        <v>8</v>
      </c>
      <c r="B4272" s="2" t="str">
        <f>HYPERLINK("http://ts.21cn.com/tousu/show/id/1335035","大石星光KTV不见了存酒卡，酒就不给客户拿出来")</f>
        <v>大石星光KTV不见了存酒卡，酒就不给客户拿出来</v>
      </c>
      <c r="C4272" s="2" t="s">
        <v>9</v>
      </c>
      <c r="D4272" s="2" t="s">
        <v>10</v>
      </c>
      <c r="E4272" s="2" t="str">
        <f>HYPERLINK("http://ts.21cn.com/tousu/show/id/1335035","http://ts.21cn.com/tousu/show/id/1335035")</f>
        <v>http://ts.21cn.com/tousu/show/id/1335035</v>
      </c>
      <c r="F4272" s="2" t="s">
        <v>11</v>
      </c>
      <c r="G4272" s="2" t="s">
        <v>35741</v>
      </c>
      <c r="H4272" s="2" t="s">
        <v>35742</v>
      </c>
    </row>
    <row r="4273" spans="1:8" ht="25.05" customHeight="1" x14ac:dyDescent="0.25">
      <c r="A4273" s="2" t="s">
        <v>8</v>
      </c>
      <c r="B4273" s="2" t="str">
        <f>HYPERLINK("http://ts.21cn.com/tousu/show/id/1335036","代练开外挂导致游戏损失")</f>
        <v>代练开外挂导致游戏损失</v>
      </c>
      <c r="C4273" s="2" t="s">
        <v>9</v>
      </c>
      <c r="D4273" s="2" t="s">
        <v>10</v>
      </c>
      <c r="E4273" s="2" t="str">
        <f>HYPERLINK("http://ts.21cn.com/tousu/show/id/1335036","http://ts.21cn.com/tousu/show/id/1335036")</f>
        <v>http://ts.21cn.com/tousu/show/id/1335036</v>
      </c>
      <c r="F4273" s="2" t="s">
        <v>11</v>
      </c>
      <c r="G4273" s="2" t="s">
        <v>35739</v>
      </c>
      <c r="H4273" s="2" t="s">
        <v>35740</v>
      </c>
    </row>
    <row r="4274" spans="1:8" ht="25.05" customHeight="1" x14ac:dyDescent="0.25">
      <c r="A4274" s="2" t="s">
        <v>8</v>
      </c>
      <c r="B4274" s="2" t="str">
        <f>HYPERLINK("http://ts.21cn.com/tousu/show/id/1335037","用钱宝高利贷")</f>
        <v>用钱宝高利贷</v>
      </c>
      <c r="C4274" s="2" t="s">
        <v>9</v>
      </c>
      <c r="D4274" s="2" t="s">
        <v>10</v>
      </c>
      <c r="E4274" s="2" t="str">
        <f>HYPERLINK("http://ts.21cn.com/tousu/show/id/1335037","http://ts.21cn.com/tousu/show/id/1335037")</f>
        <v>http://ts.21cn.com/tousu/show/id/1335037</v>
      </c>
      <c r="F4274" s="2" t="s">
        <v>11</v>
      </c>
      <c r="G4274" s="2" t="s">
        <v>35737</v>
      </c>
      <c r="H4274" s="2" t="s">
        <v>35738</v>
      </c>
    </row>
    <row r="4275" spans="1:8" ht="25.05" customHeight="1" x14ac:dyDescent="0.25">
      <c r="A4275" s="2" t="s">
        <v>8</v>
      </c>
      <c r="B4275" s="2" t="str">
        <f>HYPERLINK("http://ts.21cn.com/tousu/show/id/1335038","钱站高利贷阴阳合同")</f>
        <v>钱站高利贷阴阳合同</v>
      </c>
      <c r="C4275" s="2" t="s">
        <v>9</v>
      </c>
      <c r="D4275" s="2" t="s">
        <v>10</v>
      </c>
      <c r="E4275" s="2" t="str">
        <f>HYPERLINK("http://ts.21cn.com/tousu/show/id/1335038","http://ts.21cn.com/tousu/show/id/1335038")</f>
        <v>http://ts.21cn.com/tousu/show/id/1335038</v>
      </c>
      <c r="F4275" s="2" t="s">
        <v>11</v>
      </c>
      <c r="G4275" s="2" t="s">
        <v>35735</v>
      </c>
      <c r="H4275" s="2" t="s">
        <v>35736</v>
      </c>
    </row>
    <row r="4276" spans="1:8" ht="25.05" customHeight="1" x14ac:dyDescent="0.25">
      <c r="A4276" s="2" t="s">
        <v>8</v>
      </c>
      <c r="B4276" s="2" t="str">
        <f>HYPERLINK("http://ts.21cn.com/tousu/show/id/1335039","高利贷一般的花呗网商贷")</f>
        <v>高利贷一般的花呗网商贷</v>
      </c>
      <c r="C4276" s="2" t="s">
        <v>9</v>
      </c>
      <c r="D4276" s="2" t="s">
        <v>10</v>
      </c>
      <c r="E4276" s="2" t="str">
        <f>HYPERLINK("http://ts.21cn.com/tousu/show/id/1335039","http://ts.21cn.com/tousu/show/id/1335039")</f>
        <v>http://ts.21cn.com/tousu/show/id/1335039</v>
      </c>
      <c r="F4276" s="2" t="s">
        <v>11</v>
      </c>
      <c r="G4276" s="2" t="s">
        <v>35733</v>
      </c>
      <c r="H4276" s="2" t="s">
        <v>35734</v>
      </c>
    </row>
    <row r="4277" spans="1:8" ht="25.05" customHeight="1" x14ac:dyDescent="0.25">
      <c r="A4277" s="2" t="s">
        <v>8</v>
      </c>
      <c r="B4277" s="2" t="str">
        <f>HYPERLINK("http://ts.21cn.com/tousu/show/id/1335040","协融借多宝分期利息太高超过国家规定且无法还款")</f>
        <v>协融借多宝分期利息太高超过国家规定且无法还款</v>
      </c>
      <c r="C4277" s="2" t="s">
        <v>9</v>
      </c>
      <c r="D4277" s="2" t="s">
        <v>10</v>
      </c>
      <c r="E4277" s="2" t="str">
        <f>HYPERLINK("http://ts.21cn.com/tousu/show/id/1335040","http://ts.21cn.com/tousu/show/id/1335040")</f>
        <v>http://ts.21cn.com/tousu/show/id/1335040</v>
      </c>
      <c r="F4277" s="2" t="s">
        <v>11</v>
      </c>
      <c r="G4277" s="2" t="s">
        <v>35731</v>
      </c>
      <c r="H4277" s="2" t="s">
        <v>35732</v>
      </c>
    </row>
    <row r="4278" spans="1:8" ht="25.05" customHeight="1" x14ac:dyDescent="0.25">
      <c r="A4278" s="2" t="s">
        <v>8</v>
      </c>
      <c r="B4278" s="2" t="str">
        <f>HYPERLINK("http://ts.21cn.com/tousu/show/id/1335041","上海造艺扣费")</f>
        <v>上海造艺扣费</v>
      </c>
      <c r="C4278" s="2" t="s">
        <v>9</v>
      </c>
      <c r="D4278" s="2" t="s">
        <v>10</v>
      </c>
      <c r="E4278" s="2" t="str">
        <f>HYPERLINK("http://ts.21cn.com/tousu/show/id/1335041","http://ts.21cn.com/tousu/show/id/1335041")</f>
        <v>http://ts.21cn.com/tousu/show/id/1335041</v>
      </c>
      <c r="F4278" s="2" t="s">
        <v>11</v>
      </c>
      <c r="G4278" s="2" t="s">
        <v>35729</v>
      </c>
      <c r="H4278" s="2" t="s">
        <v>35730</v>
      </c>
    </row>
    <row r="4279" spans="1:8" ht="25.05" customHeight="1" x14ac:dyDescent="0.25">
      <c r="A4279" s="2" t="s">
        <v>8</v>
      </c>
      <c r="B4279" s="2" t="str">
        <f>HYPERLINK("http://ts.21cn.com/tousu/show/id/1335043","在冯氏商贸多次打款补货，到现在没有发货也不退钱")</f>
        <v>在冯氏商贸多次打款补货，到现在没有发货也不退钱</v>
      </c>
      <c r="C4279" s="2" t="s">
        <v>9</v>
      </c>
      <c r="D4279" s="2" t="s">
        <v>10</v>
      </c>
      <c r="E4279" s="2" t="str">
        <f>HYPERLINK("http://ts.21cn.com/tousu/show/id/1335043","http://ts.21cn.com/tousu/show/id/1335043")</f>
        <v>http://ts.21cn.com/tousu/show/id/1335043</v>
      </c>
      <c r="F4279" s="2" t="s">
        <v>11</v>
      </c>
      <c r="G4279" s="2" t="s">
        <v>35727</v>
      </c>
      <c r="H4279" s="2" t="s">
        <v>35728</v>
      </c>
    </row>
    <row r="4280" spans="1:8" ht="25.05" customHeight="1" x14ac:dyDescent="0.25">
      <c r="A4280" s="2" t="s">
        <v>8</v>
      </c>
      <c r="B4280" s="2" t="str">
        <f>HYPERLINK("http://ts.21cn.com/tousu/show/id/1335042","分期通恶意收取会员费用")</f>
        <v>分期通恶意收取会员费用</v>
      </c>
      <c r="C4280" s="2" t="s">
        <v>9</v>
      </c>
      <c r="D4280" s="2" t="s">
        <v>10</v>
      </c>
      <c r="E4280" s="2" t="str">
        <f>HYPERLINK("http://ts.21cn.com/tousu/show/id/1335042","http://ts.21cn.com/tousu/show/id/1335042")</f>
        <v>http://ts.21cn.com/tousu/show/id/1335042</v>
      </c>
      <c r="F4280" s="2" t="s">
        <v>11</v>
      </c>
      <c r="G4280" s="2" t="s">
        <v>35725</v>
      </c>
      <c r="H4280" s="2" t="s">
        <v>35726</v>
      </c>
    </row>
    <row r="4281" spans="1:8" ht="25.05" customHeight="1" x14ac:dyDescent="0.25">
      <c r="A4281" s="2" t="s">
        <v>8</v>
      </c>
      <c r="B4281" s="2" t="str">
        <f>HYPERLINK("http://ts.21cn.com/tousu/show/id/1335044","还款还不了导致逾期")</f>
        <v>还款还不了导致逾期</v>
      </c>
      <c r="C4281" s="2" t="s">
        <v>9</v>
      </c>
      <c r="D4281" s="2" t="s">
        <v>10</v>
      </c>
      <c r="E4281" s="2" t="str">
        <f>HYPERLINK("http://ts.21cn.com/tousu/show/id/1335044","http://ts.21cn.com/tousu/show/id/1335044")</f>
        <v>http://ts.21cn.com/tousu/show/id/1335044</v>
      </c>
      <c r="F4281" s="2" t="s">
        <v>11</v>
      </c>
      <c r="G4281" s="2" t="s">
        <v>35723</v>
      </c>
      <c r="H4281" s="2" t="s">
        <v>35724</v>
      </c>
    </row>
    <row r="4282" spans="1:8" ht="25.05" customHeight="1" x14ac:dyDescent="0.25">
      <c r="A4282" s="2" t="s">
        <v>8</v>
      </c>
      <c r="B4282" s="2" t="str">
        <f>HYPERLINK("http://ts.21cn.com/tousu/show/id/1335045","下单迟迟不发货，不退款")</f>
        <v>下单迟迟不发货，不退款</v>
      </c>
      <c r="C4282" s="2" t="s">
        <v>9</v>
      </c>
      <c r="D4282" s="2" t="s">
        <v>10</v>
      </c>
      <c r="E4282" s="2" t="str">
        <f>HYPERLINK("http://ts.21cn.com/tousu/show/id/1335045","http://ts.21cn.com/tousu/show/id/1335045")</f>
        <v>http://ts.21cn.com/tousu/show/id/1335045</v>
      </c>
      <c r="F4282" s="2" t="s">
        <v>11</v>
      </c>
      <c r="G4282" s="2" t="s">
        <v>35721</v>
      </c>
      <c r="H4282" s="2" t="s">
        <v>35722</v>
      </c>
    </row>
    <row r="4283" spans="1:8" ht="25.05" customHeight="1" x14ac:dyDescent="0.25">
      <c r="A4283" s="2" t="s">
        <v>8</v>
      </c>
      <c r="B4283" s="2" t="str">
        <f>HYPERLINK("http://ts.21cn.com/tousu/show/id/1335046","海南萨姆尔网络科技有限公司联合急用钱包扣款！")</f>
        <v>海南萨姆尔网络科技有限公司联合急用钱包扣款！</v>
      </c>
      <c r="C4283" s="2" t="s">
        <v>34</v>
      </c>
      <c r="D4283" s="2" t="s">
        <v>10</v>
      </c>
      <c r="E4283" s="2" t="str">
        <f>HYPERLINK("http://ts.21cn.com/tousu/show/id/1335046","http://ts.21cn.com/tousu/show/id/1335046")</f>
        <v>http://ts.21cn.com/tousu/show/id/1335046</v>
      </c>
      <c r="F4283" s="2" t="s">
        <v>11</v>
      </c>
      <c r="G4283" s="2" t="s">
        <v>35719</v>
      </c>
      <c r="H4283" s="2" t="s">
        <v>35720</v>
      </c>
    </row>
    <row r="4284" spans="1:8" ht="25.05" customHeight="1" x14ac:dyDescent="0.25">
      <c r="A4284" s="2" t="s">
        <v>8</v>
      </c>
      <c r="B4284" s="2" t="str">
        <f>HYPERLINK("http://ts.21cn.com/tousu/show/id/1335047","钱站高利贷阴阳合同")</f>
        <v>钱站高利贷阴阳合同</v>
      </c>
      <c r="C4284" s="2" t="s">
        <v>9</v>
      </c>
      <c r="D4284" s="2" t="s">
        <v>10</v>
      </c>
      <c r="E4284" s="2" t="str">
        <f>HYPERLINK("http://ts.21cn.com/tousu/show/id/1335047","http://ts.21cn.com/tousu/show/id/1335047")</f>
        <v>http://ts.21cn.com/tousu/show/id/1335047</v>
      </c>
      <c r="F4284" s="2" t="s">
        <v>11</v>
      </c>
      <c r="G4284" s="2" t="s">
        <v>35717</v>
      </c>
      <c r="H4284" s="2" t="s">
        <v>35718</v>
      </c>
    </row>
    <row r="4285" spans="1:8" ht="25.05" customHeight="1" x14ac:dyDescent="0.25">
      <c r="A4285" s="2" t="s">
        <v>8</v>
      </c>
      <c r="B4285" s="2" t="str">
        <f>HYPERLINK("http://ts.21cn.com/tousu/show/id/1335048","被小当家套路一年之久")</f>
        <v>被小当家套路一年之久</v>
      </c>
      <c r="C4285" s="2" t="s">
        <v>9</v>
      </c>
      <c r="D4285" s="2" t="s">
        <v>10</v>
      </c>
      <c r="E4285" s="2" t="str">
        <f>HYPERLINK("http://ts.21cn.com/tousu/show/id/1335048","http://ts.21cn.com/tousu/show/id/1335048")</f>
        <v>http://ts.21cn.com/tousu/show/id/1335048</v>
      </c>
      <c r="F4285" s="2" t="s">
        <v>11</v>
      </c>
      <c r="G4285" s="2" t="s">
        <v>35715</v>
      </c>
      <c r="H4285" s="2" t="s">
        <v>35716</v>
      </c>
    </row>
    <row r="4286" spans="1:8" ht="25.05" customHeight="1" x14ac:dyDescent="0.25">
      <c r="A4286" s="2" t="s">
        <v>8</v>
      </c>
      <c r="B4286" s="2" t="str">
        <f>HYPERLINK("http://ts.21cn.com/tousu/show/id/1335049","华夏银行为违规网贷提供资金存管")</f>
        <v>华夏银行为违规网贷提供资金存管</v>
      </c>
      <c r="C4286" s="2" t="s">
        <v>9</v>
      </c>
      <c r="D4286" s="2" t="s">
        <v>10</v>
      </c>
      <c r="E4286" s="2" t="str">
        <f>HYPERLINK("http://ts.21cn.com/tousu/show/id/1335049","http://ts.21cn.com/tousu/show/id/1335049")</f>
        <v>http://ts.21cn.com/tousu/show/id/1335049</v>
      </c>
      <c r="F4286" s="2" t="s">
        <v>11</v>
      </c>
      <c r="G4286" s="2" t="s">
        <v>35713</v>
      </c>
      <c r="H4286" s="2" t="s">
        <v>35714</v>
      </c>
    </row>
    <row r="4287" spans="1:8" ht="25.05" customHeight="1" x14ac:dyDescent="0.25">
      <c r="A4287" s="2" t="s">
        <v>8</v>
      </c>
      <c r="B4287" s="2" t="str">
        <f>HYPERLINK("http://ts.21cn.com/tousu/show/id/1335050","不能还款导致逾期")</f>
        <v>不能还款导致逾期</v>
      </c>
      <c r="C4287" s="2" t="s">
        <v>9</v>
      </c>
      <c r="D4287" s="2" t="s">
        <v>10</v>
      </c>
      <c r="E4287" s="2" t="str">
        <f>HYPERLINK("http://ts.21cn.com/tousu/show/id/1335050","http://ts.21cn.com/tousu/show/id/1335050")</f>
        <v>http://ts.21cn.com/tousu/show/id/1335050</v>
      </c>
      <c r="F4287" s="2" t="s">
        <v>11</v>
      </c>
      <c r="G4287" s="2" t="s">
        <v>35711</v>
      </c>
      <c r="H4287" s="2" t="s">
        <v>35712</v>
      </c>
    </row>
    <row r="4288" spans="1:8" ht="25.05" customHeight="1" x14ac:dyDescent="0.25">
      <c r="A4288" s="2" t="s">
        <v>8</v>
      </c>
      <c r="B4288" s="2" t="str">
        <f>HYPERLINK("http://ts.21cn.com/tousu/show/id/1335051","恶意使客户逾期")</f>
        <v>恶意使客户逾期</v>
      </c>
      <c r="C4288" s="2" t="s">
        <v>9</v>
      </c>
      <c r="D4288" s="2" t="s">
        <v>10</v>
      </c>
      <c r="E4288" s="2" t="str">
        <f>HYPERLINK("http://ts.21cn.com/tousu/show/id/1335051","http://ts.21cn.com/tousu/show/id/1335051")</f>
        <v>http://ts.21cn.com/tousu/show/id/1335051</v>
      </c>
      <c r="F4288" s="2" t="s">
        <v>11</v>
      </c>
      <c r="G4288" s="2" t="s">
        <v>35709</v>
      </c>
      <c r="H4288" s="2" t="s">
        <v>35710</v>
      </c>
    </row>
    <row r="4289" spans="1:8" ht="25.05" customHeight="1" x14ac:dyDescent="0.25">
      <c r="A4289" s="2" t="s">
        <v>8</v>
      </c>
      <c r="B4289" s="2" t="str">
        <f>HYPERLINK("http://ts.21cn.com/tousu/show/id/1335052","信用管家旗下的神马借")</f>
        <v>信用管家旗下的神马借</v>
      </c>
      <c r="C4289" s="2" t="s">
        <v>34</v>
      </c>
      <c r="D4289" s="2" t="s">
        <v>10</v>
      </c>
      <c r="E4289" s="2" t="str">
        <f>HYPERLINK("http://ts.21cn.com/tousu/show/id/1335052","http://ts.21cn.com/tousu/show/id/1335052")</f>
        <v>http://ts.21cn.com/tousu/show/id/1335052</v>
      </c>
      <c r="F4289" s="2" t="s">
        <v>11</v>
      </c>
      <c r="G4289" s="2" t="s">
        <v>35707</v>
      </c>
      <c r="H4289" s="2" t="s">
        <v>35708</v>
      </c>
    </row>
    <row r="4290" spans="1:8" ht="25.05" customHeight="1" x14ac:dyDescent="0.25">
      <c r="A4290" s="2" t="s">
        <v>8</v>
      </c>
      <c r="B4290" s="2" t="str">
        <f>HYPERLINK("http://ts.21cn.com/tousu/show/id/1335053","投诉揭阳电信乱收费，霸王行为，挖坑让老百姓跳！")</f>
        <v>投诉揭阳电信乱收费，霸王行为，挖坑让老百姓跳！</v>
      </c>
      <c r="C4290" s="2" t="s">
        <v>9</v>
      </c>
      <c r="D4290" s="2" t="s">
        <v>10</v>
      </c>
      <c r="E4290" s="2" t="str">
        <f>HYPERLINK("http://ts.21cn.com/tousu/show/id/1335053","http://ts.21cn.com/tousu/show/id/1335053")</f>
        <v>http://ts.21cn.com/tousu/show/id/1335053</v>
      </c>
      <c r="F4290" s="2" t="s">
        <v>11</v>
      </c>
      <c r="G4290" s="2" t="s">
        <v>35705</v>
      </c>
      <c r="H4290" s="2" t="s">
        <v>35706</v>
      </c>
    </row>
    <row r="4291" spans="1:8" ht="25.05" customHeight="1" x14ac:dyDescent="0.25">
      <c r="A4291" s="2" t="s">
        <v>8</v>
      </c>
      <c r="B4291" s="2" t="str">
        <f>HYPERLINK("http://ts.21cn.com/tousu/show/id/1325428","协商还款银行不给予处理")</f>
        <v>协商还款银行不给予处理</v>
      </c>
      <c r="C4291" s="2" t="s">
        <v>9</v>
      </c>
      <c r="D4291" s="2" t="s">
        <v>10</v>
      </c>
      <c r="E4291" s="2" t="str">
        <f>HYPERLINK("http://ts.21cn.com/tousu/show/id/1325428","http://ts.21cn.com/tousu/show/id/1325428")</f>
        <v>http://ts.21cn.com/tousu/show/id/1325428</v>
      </c>
      <c r="F4291" s="2" t="s">
        <v>11</v>
      </c>
      <c r="G4291" s="2" t="s">
        <v>35703</v>
      </c>
      <c r="H4291" s="2" t="s">
        <v>35704</v>
      </c>
    </row>
    <row r="4292" spans="1:8" ht="25.05" customHeight="1" x14ac:dyDescent="0.25">
      <c r="A4292" s="2" t="s">
        <v>8</v>
      </c>
      <c r="B4292" s="2" t="str">
        <f>HYPERLINK("http://ts.21cn.com/tousu/show/id/1335054","我来贷高利贷")</f>
        <v>我来贷高利贷</v>
      </c>
      <c r="C4292" s="2" t="s">
        <v>9</v>
      </c>
      <c r="D4292" s="2" t="s">
        <v>10</v>
      </c>
      <c r="E4292" s="2" t="str">
        <f>HYPERLINK("http://ts.21cn.com/tousu/show/id/1335054","http://ts.21cn.com/tousu/show/id/1335054")</f>
        <v>http://ts.21cn.com/tousu/show/id/1335054</v>
      </c>
      <c r="F4292" s="2" t="s">
        <v>11</v>
      </c>
      <c r="G4292" s="2" t="s">
        <v>35701</v>
      </c>
      <c r="H4292" s="2" t="s">
        <v>35702</v>
      </c>
    </row>
    <row r="4293" spans="1:8" ht="25.05" customHeight="1" x14ac:dyDescent="0.25">
      <c r="A4293" s="2" t="s">
        <v>8</v>
      </c>
      <c r="B4293" s="2" t="str">
        <f>HYPERLINK("http://ts.21cn.com/tousu/show/id/1335055","被骗求退款")</f>
        <v>被骗求退款</v>
      </c>
      <c r="C4293" s="2" t="s">
        <v>9</v>
      </c>
      <c r="D4293" s="2" t="s">
        <v>10</v>
      </c>
      <c r="E4293" s="2" t="str">
        <f>HYPERLINK("http://ts.21cn.com/tousu/show/id/1335055","http://ts.21cn.com/tousu/show/id/1335055")</f>
        <v>http://ts.21cn.com/tousu/show/id/1335055</v>
      </c>
      <c r="F4293" s="2" t="s">
        <v>11</v>
      </c>
      <c r="G4293" s="2" t="s">
        <v>35699</v>
      </c>
      <c r="H4293" s="2" t="s">
        <v>35700</v>
      </c>
    </row>
    <row r="4294" spans="1:8" ht="25.05" customHeight="1" x14ac:dyDescent="0.25">
      <c r="A4294" s="2" t="s">
        <v>8</v>
      </c>
      <c r="B4294" s="2" t="str">
        <f>HYPERLINK("http://ts.21cn.com/tousu/show/id/1335056","闪银")</f>
        <v>闪银</v>
      </c>
      <c r="C4294" s="2" t="s">
        <v>34</v>
      </c>
      <c r="D4294" s="2" t="s">
        <v>10</v>
      </c>
      <c r="E4294" s="2" t="str">
        <f>HYPERLINK("http://ts.21cn.com/tousu/show/id/1335056","http://ts.21cn.com/tousu/show/id/1335056")</f>
        <v>http://ts.21cn.com/tousu/show/id/1335056</v>
      </c>
      <c r="F4294" s="2" t="s">
        <v>11</v>
      </c>
      <c r="G4294" s="2" t="s">
        <v>35697</v>
      </c>
      <c r="H4294" s="2" t="s">
        <v>35698</v>
      </c>
    </row>
    <row r="4295" spans="1:8" ht="25.05" customHeight="1" x14ac:dyDescent="0.25">
      <c r="A4295" s="2" t="s">
        <v>8</v>
      </c>
      <c r="B4295" s="2" t="str">
        <f>HYPERLINK("http://ts.21cn.com/tousu/show/id/1335057","套路贷款")</f>
        <v>套路贷款</v>
      </c>
      <c r="C4295" s="2" t="s">
        <v>9</v>
      </c>
      <c r="D4295" s="2" t="s">
        <v>10</v>
      </c>
      <c r="E4295" s="2" t="str">
        <f>HYPERLINK("http://ts.21cn.com/tousu/show/id/1335057","http://ts.21cn.com/tousu/show/id/1335057")</f>
        <v>http://ts.21cn.com/tousu/show/id/1335057</v>
      </c>
      <c r="F4295" s="2" t="s">
        <v>11</v>
      </c>
      <c r="G4295" s="2" t="s">
        <v>35695</v>
      </c>
      <c r="H4295" s="2" t="s">
        <v>35696</v>
      </c>
    </row>
    <row r="4296" spans="1:8" ht="25.05" customHeight="1" x14ac:dyDescent="0.25">
      <c r="A4296" s="2" t="s">
        <v>8</v>
      </c>
      <c r="B4296" s="2" t="str">
        <f>HYPERLINK("http://ts.21cn.com/tousu/show/id/1335058","高利贷，砍头息")</f>
        <v>高利贷，砍头息</v>
      </c>
      <c r="C4296" s="2" t="s">
        <v>9</v>
      </c>
      <c r="D4296" s="2" t="s">
        <v>10</v>
      </c>
      <c r="E4296" s="2" t="str">
        <f>HYPERLINK("http://ts.21cn.com/tousu/show/id/1335058","http://ts.21cn.com/tousu/show/id/1335058")</f>
        <v>http://ts.21cn.com/tousu/show/id/1335058</v>
      </c>
      <c r="F4296" s="2" t="s">
        <v>11</v>
      </c>
      <c r="G4296" s="2" t="s">
        <v>35693</v>
      </c>
      <c r="H4296" s="2" t="s">
        <v>35694</v>
      </c>
    </row>
    <row r="4297" spans="1:8" ht="25.05" customHeight="1" x14ac:dyDescent="0.25">
      <c r="A4297" s="2" t="s">
        <v>8</v>
      </c>
      <c r="B4297" s="2" t="str">
        <f>HYPERLINK("http://ts.21cn.com/tousu/show/id/1335059","LOL防沉迷被恶意绑定13岁以下小孩")</f>
        <v>LOL防沉迷被恶意绑定13岁以下小孩</v>
      </c>
      <c r="C4297" s="2" t="s">
        <v>9</v>
      </c>
      <c r="D4297" s="2" t="s">
        <v>10</v>
      </c>
      <c r="E4297" s="2" t="str">
        <f>HYPERLINK("http://ts.21cn.com/tousu/show/id/1335059","http://ts.21cn.com/tousu/show/id/1335059")</f>
        <v>http://ts.21cn.com/tousu/show/id/1335059</v>
      </c>
      <c r="F4297" s="2" t="s">
        <v>11</v>
      </c>
      <c r="G4297" s="2" t="s">
        <v>35691</v>
      </c>
      <c r="H4297" s="2" t="s">
        <v>35692</v>
      </c>
    </row>
    <row r="4298" spans="1:8" ht="25.05" customHeight="1" x14ac:dyDescent="0.25">
      <c r="A4298" s="2" t="s">
        <v>8</v>
      </c>
      <c r="B4298" s="2" t="str">
        <f>HYPERLINK("http://ts.21cn.com/tousu/show/id/1335060","农业银行信用卡要逼死我娘仨了")</f>
        <v>农业银行信用卡要逼死我娘仨了</v>
      </c>
      <c r="C4298" s="2" t="s">
        <v>9</v>
      </c>
      <c r="D4298" s="2" t="s">
        <v>10</v>
      </c>
      <c r="E4298" s="2" t="str">
        <f>HYPERLINK("http://ts.21cn.com/tousu/show/id/1335060","http://ts.21cn.com/tousu/show/id/1335060")</f>
        <v>http://ts.21cn.com/tousu/show/id/1335060</v>
      </c>
      <c r="F4298" s="2" t="s">
        <v>11</v>
      </c>
      <c r="G4298" s="2" t="s">
        <v>35689</v>
      </c>
      <c r="H4298" s="2" t="s">
        <v>35690</v>
      </c>
    </row>
    <row r="4299" spans="1:8" ht="25.05" customHeight="1" x14ac:dyDescent="0.25">
      <c r="A4299" s="2" t="s">
        <v>8</v>
      </c>
      <c r="B4299" s="2" t="str">
        <f>HYPERLINK("http://ts.21cn.com/tousu/show/id/1335061","北京友缘在线旗下处处app以虚假活动0元开vip诱导开通支付宝免密支付后设置陷阱对消费者进行欺诈性扣费，")</f>
        <v>北京友缘在线旗下处处app以虚假活动0元开vip诱导开通支付宝免密支付后设置陷阱对消费者进行欺诈性扣费，</v>
      </c>
      <c r="C4299" s="2" t="s">
        <v>9</v>
      </c>
      <c r="D4299" s="2" t="s">
        <v>10</v>
      </c>
      <c r="E4299" s="2" t="str">
        <f>HYPERLINK("http://ts.21cn.com/tousu/show/id/1335061","http://ts.21cn.com/tousu/show/id/1335061")</f>
        <v>http://ts.21cn.com/tousu/show/id/1335061</v>
      </c>
      <c r="F4299" s="2" t="s">
        <v>11</v>
      </c>
      <c r="G4299" s="2" t="s">
        <v>35688</v>
      </c>
      <c r="H4299" s="2" t="s">
        <v>32404</v>
      </c>
    </row>
    <row r="4300" spans="1:8" ht="25.05" customHeight="1" x14ac:dyDescent="0.25">
      <c r="A4300" s="2" t="s">
        <v>8</v>
      </c>
      <c r="B4300" s="2" t="str">
        <f>HYPERLINK("http://ts.21cn.com/tousu/show/id/1335062","为不正规平台提供资金通道")</f>
        <v>为不正规平台提供资金通道</v>
      </c>
      <c r="C4300" s="2" t="s">
        <v>34</v>
      </c>
      <c r="D4300" s="2" t="s">
        <v>10</v>
      </c>
      <c r="E4300" s="2" t="str">
        <f>HYPERLINK("http://ts.21cn.com/tousu/show/id/1335062","http://ts.21cn.com/tousu/show/id/1335062")</f>
        <v>http://ts.21cn.com/tousu/show/id/1335062</v>
      </c>
      <c r="F4300" s="2" t="s">
        <v>11</v>
      </c>
      <c r="G4300" s="2" t="s">
        <v>35687</v>
      </c>
      <c r="H4300" s="2" t="s">
        <v>35686</v>
      </c>
    </row>
    <row r="4301" spans="1:8" ht="25.05" customHeight="1" x14ac:dyDescent="0.25">
      <c r="A4301" s="2" t="s">
        <v>8</v>
      </c>
      <c r="B4301" s="2" t="str">
        <f>HYPERLINK("http://ts.21cn.com/tousu/show/id/1335063","为不正规平台提供资金通道")</f>
        <v>为不正规平台提供资金通道</v>
      </c>
      <c r="C4301" s="2" t="s">
        <v>34</v>
      </c>
      <c r="D4301" s="2" t="s">
        <v>10</v>
      </c>
      <c r="E4301" s="2" t="str">
        <f>HYPERLINK("http://ts.21cn.com/tousu/show/id/1335063","http://ts.21cn.com/tousu/show/id/1335063")</f>
        <v>http://ts.21cn.com/tousu/show/id/1335063</v>
      </c>
      <c r="F4301" s="2" t="s">
        <v>11</v>
      </c>
      <c r="G4301" s="2" t="s">
        <v>35685</v>
      </c>
      <c r="H4301" s="2" t="s">
        <v>35686</v>
      </c>
    </row>
    <row r="4302" spans="1:8" ht="25.05" customHeight="1" x14ac:dyDescent="0.25">
      <c r="A4302" s="2" t="s">
        <v>8</v>
      </c>
      <c r="B4302" s="2" t="str">
        <f>HYPERLINK("http://ts.21cn.com/tousu/show/id/1335064","滴滴恶意扣除司机劳动成果")</f>
        <v>滴滴恶意扣除司机劳动成果</v>
      </c>
      <c r="C4302" s="2" t="s">
        <v>9</v>
      </c>
      <c r="D4302" s="2" t="s">
        <v>10</v>
      </c>
      <c r="E4302" s="2" t="str">
        <f>HYPERLINK("http://ts.21cn.com/tousu/show/id/1335064","http://ts.21cn.com/tousu/show/id/1335064")</f>
        <v>http://ts.21cn.com/tousu/show/id/1335064</v>
      </c>
      <c r="F4302" s="2" t="s">
        <v>11</v>
      </c>
      <c r="G4302" s="2" t="s">
        <v>35683</v>
      </c>
      <c r="H4302" s="2" t="s">
        <v>35684</v>
      </c>
    </row>
    <row r="4303" spans="1:8" ht="25.05" customHeight="1" x14ac:dyDescent="0.25">
      <c r="A4303" s="2" t="s">
        <v>8</v>
      </c>
      <c r="B4303" s="2" t="str">
        <f>HYPERLINK("http://ts.21cn.com/tousu/show/id/1335065","建设银行晚上莫名其妙被扣了钱")</f>
        <v>建设银行晚上莫名其妙被扣了钱</v>
      </c>
      <c r="C4303" s="2" t="s">
        <v>9</v>
      </c>
      <c r="D4303" s="2" t="s">
        <v>10</v>
      </c>
      <c r="E4303" s="2" t="str">
        <f>HYPERLINK("http://ts.21cn.com/tousu/show/id/1335065","http://ts.21cn.com/tousu/show/id/1335065")</f>
        <v>http://ts.21cn.com/tousu/show/id/1335065</v>
      </c>
      <c r="F4303" s="2" t="s">
        <v>11</v>
      </c>
      <c r="G4303" s="2" t="s">
        <v>35681</v>
      </c>
      <c r="H4303" s="2" t="s">
        <v>35682</v>
      </c>
    </row>
    <row r="4304" spans="1:8" ht="25.05" customHeight="1" x14ac:dyDescent="0.25">
      <c r="A4304" s="2" t="s">
        <v>8</v>
      </c>
      <c r="B4304" s="2" t="str">
        <f>HYPERLINK("http://ts.21cn.com/tousu/show/id/1335066","自动贩卖机已付款未出货品")</f>
        <v>自动贩卖机已付款未出货品</v>
      </c>
      <c r="C4304" s="2" t="s">
        <v>9</v>
      </c>
      <c r="D4304" s="2" t="s">
        <v>10</v>
      </c>
      <c r="E4304" s="2" t="str">
        <f>HYPERLINK("http://ts.21cn.com/tousu/show/id/1335066","http://ts.21cn.com/tousu/show/id/1335066")</f>
        <v>http://ts.21cn.com/tousu/show/id/1335066</v>
      </c>
      <c r="F4304" s="2" t="s">
        <v>11</v>
      </c>
      <c r="G4304" s="2" t="s">
        <v>35679</v>
      </c>
      <c r="H4304" s="2" t="s">
        <v>35680</v>
      </c>
    </row>
    <row r="4305" spans="1:8" ht="25.05" customHeight="1" x14ac:dyDescent="0.25">
      <c r="A4305" s="2" t="s">
        <v>8</v>
      </c>
      <c r="B4305" s="2" t="str">
        <f>HYPERLINK("http://ts.21cn.com/tousu/show/id/1335067","顺丰快递超时，还私自修改预计到达时间")</f>
        <v>顺丰快递超时，还私自修改预计到达时间</v>
      </c>
      <c r="C4305" s="2" t="s">
        <v>9</v>
      </c>
      <c r="D4305" s="2" t="s">
        <v>10</v>
      </c>
      <c r="E4305" s="2" t="str">
        <f>HYPERLINK("http://ts.21cn.com/tousu/show/id/1335067","http://ts.21cn.com/tousu/show/id/1335067")</f>
        <v>http://ts.21cn.com/tousu/show/id/1335067</v>
      </c>
      <c r="F4305" s="2" t="s">
        <v>11</v>
      </c>
      <c r="G4305" s="2" t="s">
        <v>35677</v>
      </c>
      <c r="H4305" s="2" t="s">
        <v>35678</v>
      </c>
    </row>
    <row r="4306" spans="1:8" ht="25.05" customHeight="1" x14ac:dyDescent="0.25">
      <c r="A4306" s="2" t="s">
        <v>8</v>
      </c>
      <c r="B4306" s="2" t="str">
        <f>HYPERLINK("http://ts.21cn.com/tousu/show/id/1335068","玖富、钱站涉嫌高利贷砍头息")</f>
        <v>玖富、钱站涉嫌高利贷砍头息</v>
      </c>
      <c r="C4306" s="2" t="s">
        <v>9</v>
      </c>
      <c r="D4306" s="2" t="s">
        <v>10</v>
      </c>
      <c r="E4306" s="2" t="str">
        <f>HYPERLINK("http://ts.21cn.com/tousu/show/id/1335068","http://ts.21cn.com/tousu/show/id/1335068")</f>
        <v>http://ts.21cn.com/tousu/show/id/1335068</v>
      </c>
      <c r="F4306" s="2" t="s">
        <v>11</v>
      </c>
      <c r="G4306" s="2" t="s">
        <v>35675</v>
      </c>
      <c r="H4306" s="2" t="s">
        <v>35676</v>
      </c>
    </row>
    <row r="4307" spans="1:8" ht="25.05" customHeight="1" x14ac:dyDescent="0.25">
      <c r="A4307" s="2" t="s">
        <v>8</v>
      </c>
      <c r="B4307" s="2" t="str">
        <f>HYPERLINK("http://ts.21cn.com/tousu/show/id/1335069","凡普金科旗下钱站app暴力催收")</f>
        <v>凡普金科旗下钱站app暴力催收</v>
      </c>
      <c r="C4307" s="2" t="s">
        <v>9</v>
      </c>
      <c r="D4307" s="2" t="s">
        <v>10</v>
      </c>
      <c r="E4307" s="2" t="str">
        <f>HYPERLINK("http://ts.21cn.com/tousu/show/id/1335069","http://ts.21cn.com/tousu/show/id/1335069")</f>
        <v>http://ts.21cn.com/tousu/show/id/1335069</v>
      </c>
      <c r="F4307" s="2" t="s">
        <v>11</v>
      </c>
      <c r="G4307" s="2" t="s">
        <v>35673</v>
      </c>
      <c r="H4307" s="2" t="s">
        <v>35674</v>
      </c>
    </row>
    <row r="4308" spans="1:8" ht="25.05" customHeight="1" x14ac:dyDescent="0.25">
      <c r="A4308" s="2" t="s">
        <v>8</v>
      </c>
      <c r="B4308" s="2" t="str">
        <f>HYPERLINK("http://ts.21cn.com/tousu/show/id/1335070","扫黑除恶的背景下得仕股份有限公司却无法无天，无视法律")</f>
        <v>扫黑除恶的背景下得仕股份有限公司却无法无天，无视法律</v>
      </c>
      <c r="C4308" s="2" t="s">
        <v>9</v>
      </c>
      <c r="D4308" s="2" t="s">
        <v>10</v>
      </c>
      <c r="E4308" s="2" t="str">
        <f>HYPERLINK("http://ts.21cn.com/tousu/show/id/1335070","http://ts.21cn.com/tousu/show/id/1335070")</f>
        <v>http://ts.21cn.com/tousu/show/id/1335070</v>
      </c>
      <c r="F4308" s="2" t="s">
        <v>11</v>
      </c>
      <c r="G4308" s="2" t="s">
        <v>35671</v>
      </c>
      <c r="H4308" s="2" t="s">
        <v>35672</v>
      </c>
    </row>
    <row r="4309" spans="1:8" ht="25.05" customHeight="1" x14ac:dyDescent="0.25">
      <c r="A4309" s="2" t="s">
        <v>8</v>
      </c>
      <c r="B4309" s="2" t="str">
        <f>HYPERLINK("http://ts.21cn.com/tousu/show/id/1335071","淘手游提现不到账也没有提现账单")</f>
        <v>淘手游提现不到账也没有提现账单</v>
      </c>
      <c r="C4309" s="2" t="s">
        <v>34</v>
      </c>
      <c r="D4309" s="2" t="s">
        <v>10</v>
      </c>
      <c r="E4309" s="2" t="str">
        <f>HYPERLINK("http://ts.21cn.com/tousu/show/id/1335071","http://ts.21cn.com/tousu/show/id/1335071")</f>
        <v>http://ts.21cn.com/tousu/show/id/1335071</v>
      </c>
      <c r="F4309" s="2" t="s">
        <v>11</v>
      </c>
      <c r="G4309" s="2" t="s">
        <v>35669</v>
      </c>
      <c r="H4309" s="2" t="s">
        <v>35670</v>
      </c>
    </row>
    <row r="4310" spans="1:8" ht="25.05" customHeight="1" x14ac:dyDescent="0.25">
      <c r="A4310" s="2" t="s">
        <v>8</v>
      </c>
      <c r="B4310" s="2" t="str">
        <f>HYPERLINK("http://ts.21cn.com/tousu/show/id/1335072","玖富万卡无法还款")</f>
        <v>玖富万卡无法还款</v>
      </c>
      <c r="C4310" s="2" t="s">
        <v>9</v>
      </c>
      <c r="D4310" s="2" t="s">
        <v>10</v>
      </c>
      <c r="E4310" s="2" t="str">
        <f>HYPERLINK("http://ts.21cn.com/tousu/show/id/1335072","http://ts.21cn.com/tousu/show/id/1335072")</f>
        <v>http://ts.21cn.com/tousu/show/id/1335072</v>
      </c>
      <c r="F4310" s="2" t="s">
        <v>11</v>
      </c>
      <c r="G4310" s="2" t="s">
        <v>35667</v>
      </c>
      <c r="H4310" s="2" t="s">
        <v>35668</v>
      </c>
    </row>
    <row r="4311" spans="1:8" ht="25.05" customHeight="1" x14ac:dyDescent="0.25">
      <c r="A4311" s="2" t="s">
        <v>8</v>
      </c>
      <c r="B4311" s="2" t="str">
        <f>HYPERLINK("http://ts.21cn.com/tousu/show/id/1332232","怀疑盗刷")</f>
        <v>怀疑盗刷</v>
      </c>
      <c r="C4311" s="2" t="s">
        <v>9</v>
      </c>
      <c r="D4311" s="2" t="s">
        <v>10</v>
      </c>
      <c r="E4311" s="2" t="str">
        <f>HYPERLINK("http://ts.21cn.com/tousu/show/id/1332232","http://ts.21cn.com/tousu/show/id/1332232")</f>
        <v>http://ts.21cn.com/tousu/show/id/1332232</v>
      </c>
      <c r="F4311" s="2" t="s">
        <v>11</v>
      </c>
      <c r="G4311" s="2" t="s">
        <v>35665</v>
      </c>
      <c r="H4311" s="2" t="s">
        <v>35666</v>
      </c>
    </row>
    <row r="4312" spans="1:8" ht="25.05" customHeight="1" x14ac:dyDescent="0.25">
      <c r="A4312" s="2" t="s">
        <v>8</v>
      </c>
      <c r="B4312" s="2" t="str">
        <f>HYPERLINK("http://ts.21cn.com/tousu/show/id/1335073","买东西到现在没收到货")</f>
        <v>买东西到现在没收到货</v>
      </c>
      <c r="C4312" s="2" t="s">
        <v>34</v>
      </c>
      <c r="D4312" s="2" t="s">
        <v>10</v>
      </c>
      <c r="E4312" s="2" t="str">
        <f>HYPERLINK("http://ts.21cn.com/tousu/show/id/1335073","http://ts.21cn.com/tousu/show/id/1335073")</f>
        <v>http://ts.21cn.com/tousu/show/id/1335073</v>
      </c>
      <c r="F4312" s="2" t="s">
        <v>11</v>
      </c>
      <c r="G4312" s="2" t="s">
        <v>35663</v>
      </c>
      <c r="H4312" s="2" t="s">
        <v>35664</v>
      </c>
    </row>
    <row r="4313" spans="1:8" ht="25.05" customHeight="1" x14ac:dyDescent="0.25">
      <c r="A4313" s="2" t="s">
        <v>8</v>
      </c>
      <c r="B4313" s="2" t="str">
        <f>HYPERLINK("http://ts.21cn.com/tousu/show/id/1335074","联易宝平台涉嫌高利贷，砍头息")</f>
        <v>联易宝平台涉嫌高利贷，砍头息</v>
      </c>
      <c r="C4313" s="2" t="s">
        <v>9</v>
      </c>
      <c r="D4313" s="2" t="s">
        <v>10</v>
      </c>
      <c r="E4313" s="2" t="str">
        <f>HYPERLINK("http://ts.21cn.com/tousu/show/id/1335074","http://ts.21cn.com/tousu/show/id/1335074")</f>
        <v>http://ts.21cn.com/tousu/show/id/1335074</v>
      </c>
      <c r="F4313" s="2" t="s">
        <v>11</v>
      </c>
      <c r="G4313" s="2" t="s">
        <v>35661</v>
      </c>
      <c r="H4313" s="2" t="s">
        <v>35662</v>
      </c>
    </row>
    <row r="4314" spans="1:8" ht="25.05" customHeight="1" x14ac:dyDescent="0.25">
      <c r="A4314" s="2" t="s">
        <v>8</v>
      </c>
      <c r="B4314" s="2" t="str">
        <f>HYPERLINK("http://ts.21cn.com/tousu/show/id/1335075","高利贷阴阳合同给予退款销账")</f>
        <v>高利贷阴阳合同给予退款销账</v>
      </c>
      <c r="C4314" s="2" t="s">
        <v>9</v>
      </c>
      <c r="D4314" s="2" t="s">
        <v>10</v>
      </c>
      <c r="E4314" s="2" t="str">
        <f>HYPERLINK("http://ts.21cn.com/tousu/show/id/1335075","http://ts.21cn.com/tousu/show/id/1335075")</f>
        <v>http://ts.21cn.com/tousu/show/id/1335075</v>
      </c>
      <c r="F4314" s="2" t="s">
        <v>11</v>
      </c>
      <c r="G4314" s="2" t="s">
        <v>35659</v>
      </c>
      <c r="H4314" s="2" t="s">
        <v>35660</v>
      </c>
    </row>
    <row r="4315" spans="1:8" ht="25.05" customHeight="1" x14ac:dyDescent="0.25">
      <c r="A4315" s="2" t="s">
        <v>8</v>
      </c>
      <c r="B4315" s="2" t="str">
        <f>HYPERLINK("http://ts.21cn.com/tousu/show/id/1335077","高额手续费")</f>
        <v>高额手续费</v>
      </c>
      <c r="C4315" s="2" t="s">
        <v>34</v>
      </c>
      <c r="D4315" s="2" t="s">
        <v>10</v>
      </c>
      <c r="E4315" s="2" t="str">
        <f>HYPERLINK("http://ts.21cn.com/tousu/show/id/1335077","http://ts.21cn.com/tousu/show/id/1335077")</f>
        <v>http://ts.21cn.com/tousu/show/id/1335077</v>
      </c>
      <c r="F4315" s="2" t="s">
        <v>11</v>
      </c>
      <c r="G4315" s="2" t="s">
        <v>35657</v>
      </c>
      <c r="H4315" s="2" t="s">
        <v>35658</v>
      </c>
    </row>
    <row r="4316" spans="1:8" ht="25.05" customHeight="1" x14ac:dyDescent="0.25">
      <c r="A4316" s="2" t="s">
        <v>8</v>
      </c>
      <c r="B4316" s="2" t="str">
        <f>HYPERLINK("http://ts.21cn.com/tousu/show/id/1335078","喵下贷～汇潮支付高利贷")</f>
        <v>喵下贷～汇潮支付高利贷</v>
      </c>
      <c r="C4316" s="2" t="s">
        <v>9</v>
      </c>
      <c r="D4316" s="2" t="s">
        <v>10</v>
      </c>
      <c r="E4316" s="2" t="str">
        <f>HYPERLINK("http://ts.21cn.com/tousu/show/id/1335078","http://ts.21cn.com/tousu/show/id/1335078")</f>
        <v>http://ts.21cn.com/tousu/show/id/1335078</v>
      </c>
      <c r="F4316" s="2" t="s">
        <v>11</v>
      </c>
      <c r="G4316" s="2" t="s">
        <v>35655</v>
      </c>
      <c r="H4316" s="2" t="s">
        <v>35656</v>
      </c>
    </row>
    <row r="4317" spans="1:8" ht="25.05" customHeight="1" x14ac:dyDescent="0.25">
      <c r="A4317" s="2" t="s">
        <v>8</v>
      </c>
      <c r="B4317" s="2" t="str">
        <f>HYPERLINK("http://ts.21cn.com/tousu/show/id/1335079","小牛在线不回款")</f>
        <v>小牛在线不回款</v>
      </c>
      <c r="C4317" s="2" t="s">
        <v>34</v>
      </c>
      <c r="D4317" s="2" t="s">
        <v>10</v>
      </c>
      <c r="E4317" s="2" t="str">
        <f>HYPERLINK("http://ts.21cn.com/tousu/show/id/1335079","http://ts.21cn.com/tousu/show/id/1335079")</f>
        <v>http://ts.21cn.com/tousu/show/id/1335079</v>
      </c>
      <c r="F4317" s="2" t="s">
        <v>11</v>
      </c>
      <c r="G4317" s="2" t="s">
        <v>35653</v>
      </c>
      <c r="H4317" s="2" t="s">
        <v>35654</v>
      </c>
    </row>
    <row r="4318" spans="1:8" ht="25.05" customHeight="1" x14ac:dyDescent="0.25">
      <c r="A4318" s="2" t="s">
        <v>8</v>
      </c>
      <c r="B4318" s="2" t="str">
        <f>HYPERLINK("http://ts.21cn.com/tousu/show/id/1335081","交易过程中卖家转移物品终裁让买家负责")</f>
        <v>交易过程中卖家转移物品终裁让买家负责</v>
      </c>
      <c r="C4318" s="2" t="s">
        <v>9</v>
      </c>
      <c r="D4318" s="2" t="s">
        <v>10</v>
      </c>
      <c r="E4318" s="2" t="str">
        <f>HYPERLINK("http://ts.21cn.com/tousu/show/id/1335081","http://ts.21cn.com/tousu/show/id/1335081")</f>
        <v>http://ts.21cn.com/tousu/show/id/1335081</v>
      </c>
      <c r="F4318" s="2" t="s">
        <v>11</v>
      </c>
      <c r="G4318" s="2" t="s">
        <v>35651</v>
      </c>
      <c r="H4318" s="2" t="s">
        <v>35652</v>
      </c>
    </row>
    <row r="4319" spans="1:8" ht="25.05" customHeight="1" x14ac:dyDescent="0.25">
      <c r="A4319" s="2" t="s">
        <v>8</v>
      </c>
      <c r="B4319" s="2" t="str">
        <f>HYPERLINK("http://ts.21cn.com/tousu/show/id/1335082","维信卡卡贷乱扣费")</f>
        <v>维信卡卡贷乱扣费</v>
      </c>
      <c r="C4319" s="2" t="s">
        <v>9</v>
      </c>
      <c r="D4319" s="2" t="s">
        <v>10</v>
      </c>
      <c r="E4319" s="2" t="str">
        <f>HYPERLINK("http://ts.21cn.com/tousu/show/id/1335082","http://ts.21cn.com/tousu/show/id/1335082")</f>
        <v>http://ts.21cn.com/tousu/show/id/1335082</v>
      </c>
      <c r="F4319" s="2" t="s">
        <v>11</v>
      </c>
      <c r="G4319" s="2" t="s">
        <v>35649</v>
      </c>
      <c r="H4319" s="2" t="s">
        <v>35650</v>
      </c>
    </row>
    <row r="4320" spans="1:8" ht="25.05" customHeight="1" x14ac:dyDescent="0.25">
      <c r="A4320" s="2" t="s">
        <v>8</v>
      </c>
      <c r="B4320" s="2" t="str">
        <f>HYPERLINK("http://ts.21cn.com/tousu/show/id/1335083","贷上钱以买游戏豆为由收取高额贷款通过费")</f>
        <v>贷上钱以买游戏豆为由收取高额贷款通过费</v>
      </c>
      <c r="C4320" s="2" t="s">
        <v>9</v>
      </c>
      <c r="D4320" s="2" t="s">
        <v>10</v>
      </c>
      <c r="E4320" s="2" t="str">
        <f>HYPERLINK("http://ts.21cn.com/tousu/show/id/1335083","http://ts.21cn.com/tousu/show/id/1335083")</f>
        <v>http://ts.21cn.com/tousu/show/id/1335083</v>
      </c>
      <c r="F4320" s="2" t="s">
        <v>11</v>
      </c>
      <c r="G4320" s="2" t="s">
        <v>35647</v>
      </c>
      <c r="H4320" s="2" t="s">
        <v>35648</v>
      </c>
    </row>
    <row r="4321" spans="1:8" ht="25.05" customHeight="1" x14ac:dyDescent="0.25">
      <c r="A4321" s="2" t="s">
        <v>8</v>
      </c>
      <c r="B4321" s="2" t="str">
        <f>HYPERLINK("http://ts.21cn.com/tousu/show/id/1335084","拼多多为不法商家提供充值平台")</f>
        <v>拼多多为不法商家提供充值平台</v>
      </c>
      <c r="C4321" s="2" t="s">
        <v>9</v>
      </c>
      <c r="D4321" s="2" t="s">
        <v>10</v>
      </c>
      <c r="E4321" s="2" t="str">
        <f>HYPERLINK("http://ts.21cn.com/tousu/show/id/1335084","http://ts.21cn.com/tousu/show/id/1335084")</f>
        <v>http://ts.21cn.com/tousu/show/id/1335084</v>
      </c>
      <c r="F4321" s="2" t="s">
        <v>11</v>
      </c>
      <c r="G4321" s="2" t="s">
        <v>35645</v>
      </c>
      <c r="H4321" s="2" t="s">
        <v>35646</v>
      </c>
    </row>
    <row r="4322" spans="1:8" ht="25.05" customHeight="1" x14ac:dyDescent="0.25">
      <c r="A4322" s="2" t="s">
        <v>8</v>
      </c>
      <c r="B4322" s="2" t="str">
        <f>HYPERLINK("http://ts.21cn.com/tousu/show/id/1335085","退回砍头息")</f>
        <v>退回砍头息</v>
      </c>
      <c r="C4322" s="2" t="s">
        <v>9</v>
      </c>
      <c r="D4322" s="2" t="s">
        <v>10</v>
      </c>
      <c r="E4322" s="2" t="str">
        <f>HYPERLINK("http://ts.21cn.com/tousu/show/id/1335085","http://ts.21cn.com/tousu/show/id/1335085")</f>
        <v>http://ts.21cn.com/tousu/show/id/1335085</v>
      </c>
      <c r="F4322" s="2" t="s">
        <v>11</v>
      </c>
      <c r="G4322" s="2" t="s">
        <v>35643</v>
      </c>
      <c r="H4322" s="2" t="s">
        <v>35644</v>
      </c>
    </row>
    <row r="4323" spans="1:8" ht="25.05" customHeight="1" x14ac:dyDescent="0.25">
      <c r="A4323" s="2" t="s">
        <v>8</v>
      </c>
      <c r="B4323" s="2" t="str">
        <f>HYPERLINK("http://ts.21cn.com/tousu/show/id/1335086","哼哼延期还款")</f>
        <v>哼哼延期还款</v>
      </c>
      <c r="C4323" s="2" t="s">
        <v>34</v>
      </c>
      <c r="D4323" s="2" t="s">
        <v>10</v>
      </c>
      <c r="E4323" s="2" t="str">
        <f>HYPERLINK("http://ts.21cn.com/tousu/show/id/1335086","http://ts.21cn.com/tousu/show/id/1335086")</f>
        <v>http://ts.21cn.com/tousu/show/id/1335086</v>
      </c>
      <c r="F4323" s="2" t="s">
        <v>11</v>
      </c>
      <c r="G4323" s="2" t="s">
        <v>35641</v>
      </c>
      <c r="H4323" s="2" t="s">
        <v>35642</v>
      </c>
    </row>
    <row r="4324" spans="1:8" ht="25.05" customHeight="1" x14ac:dyDescent="0.25">
      <c r="A4324" s="2" t="s">
        <v>8</v>
      </c>
      <c r="B4324" s="2" t="str">
        <f>HYPERLINK("http://ts.21cn.com/tousu/show/id/1314569","造艺技术强行扣款")</f>
        <v>造艺技术强行扣款</v>
      </c>
      <c r="C4324" s="2" t="s">
        <v>9</v>
      </c>
      <c r="D4324" s="2" t="s">
        <v>10</v>
      </c>
      <c r="E4324" s="2" t="str">
        <f>HYPERLINK("http://ts.21cn.com/tousu/show/id/1314569","http://ts.21cn.com/tousu/show/id/1314569")</f>
        <v>http://ts.21cn.com/tousu/show/id/1314569</v>
      </c>
      <c r="F4324" s="2" t="s">
        <v>11</v>
      </c>
      <c r="G4324" s="2" t="s">
        <v>35639</v>
      </c>
      <c r="H4324" s="2" t="s">
        <v>35640</v>
      </c>
    </row>
    <row r="4325" spans="1:8" ht="25.05" customHeight="1" x14ac:dyDescent="0.25">
      <c r="A4325" s="2" t="s">
        <v>8</v>
      </c>
      <c r="B4325" s="2" t="str">
        <f>HYPERLINK("http://ts.21cn.com/tousu/show/id/1335087","还款日还不了款现在要求协商解决")</f>
        <v>还款日还不了款现在要求协商解决</v>
      </c>
      <c r="C4325" s="2" t="s">
        <v>34</v>
      </c>
      <c r="D4325" s="2" t="s">
        <v>10</v>
      </c>
      <c r="E4325" s="2" t="str">
        <f>HYPERLINK("http://ts.21cn.com/tousu/show/id/1335087","http://ts.21cn.com/tousu/show/id/1335087")</f>
        <v>http://ts.21cn.com/tousu/show/id/1335087</v>
      </c>
      <c r="F4325" s="2" t="s">
        <v>11</v>
      </c>
      <c r="G4325" s="2" t="s">
        <v>35637</v>
      </c>
      <c r="H4325" s="2" t="s">
        <v>35638</v>
      </c>
    </row>
    <row r="4326" spans="1:8" ht="25.05" customHeight="1" x14ac:dyDescent="0.25">
      <c r="A4326" s="2" t="s">
        <v>8</v>
      </c>
      <c r="B4326" s="2" t="str">
        <f>HYPERLINK("http://ts.21cn.com/tousu/show/id/1335089","北京友缘网科技有限公司欺诈用户")</f>
        <v>北京友缘网科技有限公司欺诈用户</v>
      </c>
      <c r="C4326" s="2" t="s">
        <v>9</v>
      </c>
      <c r="D4326" s="2" t="s">
        <v>10</v>
      </c>
      <c r="E4326" s="2" t="str">
        <f>HYPERLINK("http://ts.21cn.com/tousu/show/id/1335089","http://ts.21cn.com/tousu/show/id/1335089")</f>
        <v>http://ts.21cn.com/tousu/show/id/1335089</v>
      </c>
      <c r="F4326" s="2" t="s">
        <v>11</v>
      </c>
      <c r="G4326" s="2" t="s">
        <v>35635</v>
      </c>
      <c r="H4326" s="2" t="s">
        <v>35636</v>
      </c>
    </row>
    <row r="4327" spans="1:8" ht="25.05" customHeight="1" x14ac:dyDescent="0.25">
      <c r="A4327" s="2" t="s">
        <v>8</v>
      </c>
      <c r="B4327" s="2" t="str">
        <f>HYPERLINK("http://ts.21cn.com/tousu/show/id/1335090","高铁管家恶意扣款，退款不成功")</f>
        <v>高铁管家恶意扣款，退款不成功</v>
      </c>
      <c r="C4327" s="2" t="s">
        <v>9</v>
      </c>
      <c r="D4327" s="2" t="s">
        <v>10</v>
      </c>
      <c r="E4327" s="2" t="str">
        <f>HYPERLINK("http://ts.21cn.com/tousu/show/id/1335090","http://ts.21cn.com/tousu/show/id/1335090")</f>
        <v>http://ts.21cn.com/tousu/show/id/1335090</v>
      </c>
      <c r="F4327" s="2" t="s">
        <v>11</v>
      </c>
      <c r="G4327" s="2" t="s">
        <v>35633</v>
      </c>
      <c r="H4327" s="2" t="s">
        <v>35634</v>
      </c>
    </row>
    <row r="4328" spans="1:8" ht="25.05" customHeight="1" x14ac:dyDescent="0.25">
      <c r="A4328" s="2" t="s">
        <v>8</v>
      </c>
      <c r="B4328" s="2" t="str">
        <f>HYPERLINK("http://ts.21cn.com/tousu/show/id/1335092","新浪分期违规收取分期服务费")</f>
        <v>新浪分期违规收取分期服务费</v>
      </c>
      <c r="C4328" s="2" t="s">
        <v>9</v>
      </c>
      <c r="D4328" s="2" t="s">
        <v>10</v>
      </c>
      <c r="E4328" s="2" t="str">
        <f>HYPERLINK("http://ts.21cn.com/tousu/show/id/1335092","http://ts.21cn.com/tousu/show/id/1335092")</f>
        <v>http://ts.21cn.com/tousu/show/id/1335092</v>
      </c>
      <c r="F4328" s="2" t="s">
        <v>11</v>
      </c>
      <c r="G4328" s="2" t="s">
        <v>35631</v>
      </c>
      <c r="H4328" s="2" t="s">
        <v>35632</v>
      </c>
    </row>
    <row r="4329" spans="1:8" ht="25.05" customHeight="1" x14ac:dyDescent="0.25">
      <c r="A4329" s="2" t="s">
        <v>8</v>
      </c>
      <c r="B4329" s="2" t="str">
        <f>HYPERLINK("http://ts.21cn.com/tousu/show/id/1335093","被交通银行无限制的骚扰")</f>
        <v>被交通银行无限制的骚扰</v>
      </c>
      <c r="C4329" s="2" t="s">
        <v>9</v>
      </c>
      <c r="D4329" s="2" t="s">
        <v>10</v>
      </c>
      <c r="E4329" s="2" t="str">
        <f>HYPERLINK("http://ts.21cn.com/tousu/show/id/1335093","http://ts.21cn.com/tousu/show/id/1335093")</f>
        <v>http://ts.21cn.com/tousu/show/id/1335093</v>
      </c>
      <c r="F4329" s="2" t="s">
        <v>11</v>
      </c>
      <c r="G4329" s="2" t="s">
        <v>35629</v>
      </c>
      <c r="H4329" s="2" t="s">
        <v>35630</v>
      </c>
    </row>
    <row r="4330" spans="1:8" ht="25.05" customHeight="1" x14ac:dyDescent="0.25">
      <c r="A4330" s="2" t="s">
        <v>8</v>
      </c>
      <c r="B4330" s="2" t="str">
        <f>HYPERLINK("http://ts.21cn.com/tousu/show/id/1335094","借款乱扣费，还有高利率逾期费用")</f>
        <v>借款乱扣费，还有高利率逾期费用</v>
      </c>
      <c r="C4330" s="2" t="s">
        <v>9</v>
      </c>
      <c r="D4330" s="2" t="s">
        <v>10</v>
      </c>
      <c r="E4330" s="2" t="str">
        <f>HYPERLINK("http://ts.21cn.com/tousu/show/id/1335094","http://ts.21cn.com/tousu/show/id/1335094")</f>
        <v>http://ts.21cn.com/tousu/show/id/1335094</v>
      </c>
      <c r="F4330" s="2" t="s">
        <v>11</v>
      </c>
      <c r="G4330" s="2" t="s">
        <v>35627</v>
      </c>
      <c r="H4330" s="2" t="s">
        <v>35628</v>
      </c>
    </row>
    <row r="4331" spans="1:8" ht="25.05" customHeight="1" x14ac:dyDescent="0.25">
      <c r="A4331" s="2" t="s">
        <v>8</v>
      </c>
      <c r="B4331" s="2" t="str">
        <f>HYPERLINK("http://ts.21cn.com/tousu/show/id/1335095","高利贷套路贷")</f>
        <v>高利贷套路贷</v>
      </c>
      <c r="C4331" s="2" t="s">
        <v>9</v>
      </c>
      <c r="D4331" s="2" t="s">
        <v>10</v>
      </c>
      <c r="E4331" s="2" t="str">
        <f>HYPERLINK("http://ts.21cn.com/tousu/show/id/1335095","http://ts.21cn.com/tousu/show/id/1335095")</f>
        <v>http://ts.21cn.com/tousu/show/id/1335095</v>
      </c>
      <c r="F4331" s="2" t="s">
        <v>11</v>
      </c>
      <c r="G4331" s="2" t="s">
        <v>35625</v>
      </c>
      <c r="H4331" s="2" t="s">
        <v>35626</v>
      </c>
    </row>
    <row r="4332" spans="1:8" ht="25.05" customHeight="1" x14ac:dyDescent="0.25">
      <c r="A4332" s="2" t="s">
        <v>8</v>
      </c>
      <c r="B4332" s="2" t="str">
        <f>HYPERLINK("http://ts.21cn.com/tousu/show/id/1335096","信而富连同中金支付收取砍头息，高额利息")</f>
        <v>信而富连同中金支付收取砍头息，高额利息</v>
      </c>
      <c r="C4332" s="2" t="s">
        <v>9</v>
      </c>
      <c r="D4332" s="2" t="s">
        <v>10</v>
      </c>
      <c r="E4332" s="2" t="str">
        <f>HYPERLINK("http://ts.21cn.com/tousu/show/id/1335096","http://ts.21cn.com/tousu/show/id/1335096")</f>
        <v>http://ts.21cn.com/tousu/show/id/1335096</v>
      </c>
      <c r="F4332" s="2" t="s">
        <v>11</v>
      </c>
      <c r="G4332" s="2" t="s">
        <v>35623</v>
      </c>
      <c r="H4332" s="2" t="s">
        <v>35624</v>
      </c>
    </row>
    <row r="4333" spans="1:8" ht="25.05" customHeight="1" x14ac:dyDescent="0.25">
      <c r="A4333" s="2" t="s">
        <v>8</v>
      </c>
      <c r="B4333" s="2" t="str">
        <f>HYPERLINK("http://ts.21cn.com/tousu/show/id/1335098","时光分期违规收取服务费")</f>
        <v>时光分期违规收取服务费</v>
      </c>
      <c r="C4333" s="2" t="s">
        <v>9</v>
      </c>
      <c r="D4333" s="2" t="s">
        <v>10</v>
      </c>
      <c r="E4333" s="2" t="str">
        <f>HYPERLINK("http://ts.21cn.com/tousu/show/id/1335098","http://ts.21cn.com/tousu/show/id/1335098")</f>
        <v>http://ts.21cn.com/tousu/show/id/1335098</v>
      </c>
      <c r="F4333" s="2" t="s">
        <v>11</v>
      </c>
      <c r="G4333" s="2" t="s">
        <v>35621</v>
      </c>
      <c r="H4333" s="2" t="s">
        <v>35622</v>
      </c>
    </row>
    <row r="4334" spans="1:8" ht="25.05" customHeight="1" x14ac:dyDescent="0.25">
      <c r="A4334" s="2" t="s">
        <v>8</v>
      </c>
      <c r="B4334" s="2" t="str">
        <f>HYPERLINK("http://ts.21cn.com/tousu/show/id/1335099","无缘无故就给取消额度")</f>
        <v>无缘无故就给取消额度</v>
      </c>
      <c r="C4334" s="2" t="s">
        <v>9</v>
      </c>
      <c r="D4334" s="2" t="s">
        <v>10</v>
      </c>
      <c r="E4334" s="2" t="str">
        <f>HYPERLINK("http://ts.21cn.com/tousu/show/id/1335099","http://ts.21cn.com/tousu/show/id/1335099")</f>
        <v>http://ts.21cn.com/tousu/show/id/1335099</v>
      </c>
      <c r="F4334" s="2" t="s">
        <v>11</v>
      </c>
      <c r="G4334" s="2" t="s">
        <v>35619</v>
      </c>
      <c r="H4334" s="2" t="s">
        <v>35620</v>
      </c>
    </row>
    <row r="4335" spans="1:8" ht="25.05" customHeight="1" x14ac:dyDescent="0.25">
      <c r="A4335" s="2" t="s">
        <v>8</v>
      </c>
      <c r="B4335" s="2" t="str">
        <f>HYPERLINK("http://ts.21cn.com/tousu/show/id/1335101","拍拍贷威胁恐吓联系人")</f>
        <v>拍拍贷威胁恐吓联系人</v>
      </c>
      <c r="C4335" s="2" t="s">
        <v>9</v>
      </c>
      <c r="D4335" s="2" t="s">
        <v>10</v>
      </c>
      <c r="E4335" s="2" t="str">
        <f>HYPERLINK("http://ts.21cn.com/tousu/show/id/1335101","http://ts.21cn.com/tousu/show/id/1335101")</f>
        <v>http://ts.21cn.com/tousu/show/id/1335101</v>
      </c>
      <c r="F4335" s="2" t="s">
        <v>11</v>
      </c>
      <c r="G4335" s="2" t="s">
        <v>35617</v>
      </c>
      <c r="H4335" s="2" t="s">
        <v>35618</v>
      </c>
    </row>
    <row r="4336" spans="1:8" ht="25.05" customHeight="1" x14ac:dyDescent="0.25">
      <c r="A4336" s="2" t="s">
        <v>8</v>
      </c>
      <c r="B4336" s="2" t="str">
        <f>HYPERLINK("http://ts.21cn.com/tousu/show/id/1335102","滴滴平台不分青红照白扣我服务分")</f>
        <v>滴滴平台不分青红照白扣我服务分</v>
      </c>
      <c r="C4336" s="2" t="s">
        <v>9</v>
      </c>
      <c r="D4336" s="2" t="s">
        <v>10</v>
      </c>
      <c r="E4336" s="2" t="str">
        <f>HYPERLINK("http://ts.21cn.com/tousu/show/id/1335102","http://ts.21cn.com/tousu/show/id/1335102")</f>
        <v>http://ts.21cn.com/tousu/show/id/1335102</v>
      </c>
      <c r="F4336" s="2" t="s">
        <v>11</v>
      </c>
      <c r="G4336" s="2" t="s">
        <v>35615</v>
      </c>
      <c r="H4336" s="2" t="s">
        <v>35616</v>
      </c>
    </row>
    <row r="4337" spans="1:8" ht="25.05" customHeight="1" x14ac:dyDescent="0.25">
      <c r="A4337" s="2" t="s">
        <v>8</v>
      </c>
      <c r="B4337" s="2" t="str">
        <f>HYPERLINK("http://ts.21cn.com/tousu/show/id/1335104","这才是超高利贷")</f>
        <v>这才是超高利贷</v>
      </c>
      <c r="C4337" s="2" t="s">
        <v>9</v>
      </c>
      <c r="D4337" s="2" t="s">
        <v>10</v>
      </c>
      <c r="E4337" s="2" t="str">
        <f>HYPERLINK("http://ts.21cn.com/tousu/show/id/1335104","http://ts.21cn.com/tousu/show/id/1335104")</f>
        <v>http://ts.21cn.com/tousu/show/id/1335104</v>
      </c>
      <c r="F4337" s="2" t="s">
        <v>11</v>
      </c>
      <c r="G4337" s="2" t="s">
        <v>35613</v>
      </c>
      <c r="H4337" s="2" t="s">
        <v>35614</v>
      </c>
    </row>
    <row r="4338" spans="1:8" ht="25.05" customHeight="1" x14ac:dyDescent="0.25">
      <c r="A4338" s="2" t="s">
        <v>8</v>
      </c>
      <c r="B4338" s="2" t="str">
        <f>HYPERLINK("http://ts.21cn.com/tousu/show/id/1335105","恢复之前额度")</f>
        <v>恢复之前额度</v>
      </c>
      <c r="C4338" s="2" t="s">
        <v>9</v>
      </c>
      <c r="D4338" s="2" t="s">
        <v>10</v>
      </c>
      <c r="E4338" s="2" t="str">
        <f>HYPERLINK("http://ts.21cn.com/tousu/show/id/1335105","http://ts.21cn.com/tousu/show/id/1335105")</f>
        <v>http://ts.21cn.com/tousu/show/id/1335105</v>
      </c>
      <c r="F4338" s="2" t="s">
        <v>11</v>
      </c>
      <c r="G4338" s="2" t="s">
        <v>35611</v>
      </c>
      <c r="H4338" s="2" t="s">
        <v>35612</v>
      </c>
    </row>
    <row r="4339" spans="1:8" ht="25.05" customHeight="1" x14ac:dyDescent="0.25">
      <c r="A4339" s="2" t="s">
        <v>8</v>
      </c>
      <c r="B4339" s="2" t="str">
        <f>HYPERLINK("http://ts.21cn.com/tousu/show/id/1335106","充值套餐不能使用")</f>
        <v>充值套餐不能使用</v>
      </c>
      <c r="C4339" s="2" t="s">
        <v>9</v>
      </c>
      <c r="D4339" s="2" t="s">
        <v>10</v>
      </c>
      <c r="E4339" s="2" t="str">
        <f>HYPERLINK("http://ts.21cn.com/tousu/show/id/1335106","http://ts.21cn.com/tousu/show/id/1335106")</f>
        <v>http://ts.21cn.com/tousu/show/id/1335106</v>
      </c>
      <c r="F4339" s="2" t="s">
        <v>11</v>
      </c>
      <c r="G4339" s="2" t="s">
        <v>35609</v>
      </c>
      <c r="H4339" s="2" t="s">
        <v>35610</v>
      </c>
    </row>
    <row r="4340" spans="1:8" ht="25.05" customHeight="1" x14ac:dyDescent="0.25">
      <c r="A4340" s="2" t="s">
        <v>8</v>
      </c>
      <c r="B4340" s="2" t="str">
        <f>HYPERLINK("http://ts.21cn.com/tousu/show/id/1335107","钱站高利贷阴阳合同")</f>
        <v>钱站高利贷阴阳合同</v>
      </c>
      <c r="C4340" s="2" t="s">
        <v>9</v>
      </c>
      <c r="D4340" s="2" t="s">
        <v>10</v>
      </c>
      <c r="E4340" s="2" t="str">
        <f>HYPERLINK("http://ts.21cn.com/tousu/show/id/1335107","http://ts.21cn.com/tousu/show/id/1335107")</f>
        <v>http://ts.21cn.com/tousu/show/id/1335107</v>
      </c>
      <c r="F4340" s="2" t="s">
        <v>11</v>
      </c>
      <c r="G4340" s="2" t="s">
        <v>35607</v>
      </c>
      <c r="H4340" s="2" t="s">
        <v>35608</v>
      </c>
    </row>
    <row r="4341" spans="1:8" ht="25.05" customHeight="1" x14ac:dyDescent="0.25">
      <c r="A4341" s="2" t="s">
        <v>8</v>
      </c>
      <c r="B4341" s="2" t="str">
        <f>HYPERLINK("http://ts.21cn.com/tousu/show/id/1335109","悦程出行机场人员诱导办卡，")</f>
        <v>悦程出行机场人员诱导办卡，</v>
      </c>
      <c r="C4341" s="2" t="s">
        <v>9</v>
      </c>
      <c r="D4341" s="2" t="s">
        <v>10</v>
      </c>
      <c r="E4341" s="2" t="str">
        <f>HYPERLINK("http://ts.21cn.com/tousu/show/id/1335109","http://ts.21cn.com/tousu/show/id/1335109")</f>
        <v>http://ts.21cn.com/tousu/show/id/1335109</v>
      </c>
      <c r="F4341" s="2" t="s">
        <v>11</v>
      </c>
      <c r="G4341" s="2" t="s">
        <v>35605</v>
      </c>
      <c r="H4341" s="2" t="s">
        <v>35606</v>
      </c>
    </row>
    <row r="4342" spans="1:8" ht="25.05" customHeight="1" x14ac:dyDescent="0.25">
      <c r="A4342" s="2" t="s">
        <v>8</v>
      </c>
      <c r="B4342" s="2" t="str">
        <f>HYPERLINK("http://ts.21cn.com/tousu/show/id/1335110","乱扣费")</f>
        <v>乱扣费</v>
      </c>
      <c r="C4342" s="2" t="s">
        <v>9</v>
      </c>
      <c r="D4342" s="2" t="s">
        <v>10</v>
      </c>
      <c r="E4342" s="2" t="str">
        <f>HYPERLINK("http://ts.21cn.com/tousu/show/id/1335110","http://ts.21cn.com/tousu/show/id/1335110")</f>
        <v>http://ts.21cn.com/tousu/show/id/1335110</v>
      </c>
      <c r="F4342" s="2" t="s">
        <v>11</v>
      </c>
      <c r="G4342" s="2" t="s">
        <v>35603</v>
      </c>
      <c r="H4342" s="2" t="s">
        <v>35604</v>
      </c>
    </row>
    <row r="4343" spans="1:8" ht="25.05" customHeight="1" x14ac:dyDescent="0.25">
      <c r="A4343" s="2" t="s">
        <v>8</v>
      </c>
      <c r="B4343" s="2" t="str">
        <f>HYPERLINK("http://ts.21cn.com/tousu/show/id/1335111","百度有钱花尊享贷，满易贷高利贷高额砍头息，恶意催收！")</f>
        <v>百度有钱花尊享贷，满易贷高利贷高额砍头息，恶意催收！</v>
      </c>
      <c r="C4343" s="2" t="s">
        <v>9</v>
      </c>
      <c r="D4343" s="2" t="s">
        <v>10</v>
      </c>
      <c r="E4343" s="2" t="str">
        <f>HYPERLINK("http://ts.21cn.com/tousu/show/id/1335111","http://ts.21cn.com/tousu/show/id/1335111")</f>
        <v>http://ts.21cn.com/tousu/show/id/1335111</v>
      </c>
      <c r="F4343" s="2" t="s">
        <v>11</v>
      </c>
      <c r="G4343" s="2" t="s">
        <v>35601</v>
      </c>
      <c r="H4343" s="2" t="s">
        <v>35602</v>
      </c>
    </row>
    <row r="4344" spans="1:8" ht="25.05" customHeight="1" x14ac:dyDescent="0.25">
      <c r="A4344" s="2" t="s">
        <v>8</v>
      </c>
      <c r="B4344" s="2" t="str">
        <f>HYPERLINK("http://ts.21cn.com/tousu/show/id/1335112","钱站恶意骚扰，暴力催收")</f>
        <v>钱站恶意骚扰，暴力催收</v>
      </c>
      <c r="C4344" s="2" t="s">
        <v>9</v>
      </c>
      <c r="D4344" s="2" t="s">
        <v>10</v>
      </c>
      <c r="E4344" s="2" t="str">
        <f>HYPERLINK("http://ts.21cn.com/tousu/show/id/1335112","http://ts.21cn.com/tousu/show/id/1335112")</f>
        <v>http://ts.21cn.com/tousu/show/id/1335112</v>
      </c>
      <c r="F4344" s="2" t="s">
        <v>11</v>
      </c>
      <c r="G4344" s="2" t="s">
        <v>35599</v>
      </c>
      <c r="H4344" s="2" t="s">
        <v>35600</v>
      </c>
    </row>
    <row r="4345" spans="1:8" ht="25.05" customHeight="1" x14ac:dyDescent="0.25">
      <c r="A4345" s="2" t="s">
        <v>8</v>
      </c>
      <c r="B4345" s="2" t="str">
        <f>HYPERLINK("http://ts.21cn.com/tousu/show/id/1335113","交通银行暴力催收私自发送短信")</f>
        <v>交通银行暴力催收私自发送短信</v>
      </c>
      <c r="C4345" s="2" t="s">
        <v>9</v>
      </c>
      <c r="D4345" s="2" t="s">
        <v>10</v>
      </c>
      <c r="E4345" s="2" t="str">
        <f>HYPERLINK("http://ts.21cn.com/tousu/show/id/1335113","http://ts.21cn.com/tousu/show/id/1335113")</f>
        <v>http://ts.21cn.com/tousu/show/id/1335113</v>
      </c>
      <c r="F4345" s="2" t="s">
        <v>11</v>
      </c>
      <c r="G4345" s="2" t="s">
        <v>35597</v>
      </c>
      <c r="H4345" s="2" t="s">
        <v>35598</v>
      </c>
    </row>
    <row r="4346" spans="1:8" ht="25.05" customHeight="1" x14ac:dyDescent="0.25">
      <c r="A4346" s="2" t="s">
        <v>8</v>
      </c>
      <c r="B4346" s="2" t="str">
        <f>HYPERLINK("http://ts.21cn.com/tousu/show/id/1335114","钱站高利贷阴阳合同")</f>
        <v>钱站高利贷阴阳合同</v>
      </c>
      <c r="C4346" s="2" t="s">
        <v>9</v>
      </c>
      <c r="D4346" s="2" t="s">
        <v>10</v>
      </c>
      <c r="E4346" s="2" t="str">
        <f>HYPERLINK("http://ts.21cn.com/tousu/show/id/1335114","http://ts.21cn.com/tousu/show/id/1335114")</f>
        <v>http://ts.21cn.com/tousu/show/id/1335114</v>
      </c>
      <c r="F4346" s="2" t="s">
        <v>11</v>
      </c>
      <c r="G4346" s="2" t="s">
        <v>35595</v>
      </c>
      <c r="H4346" s="2" t="s">
        <v>35596</v>
      </c>
    </row>
    <row r="4347" spans="1:8" ht="25.05" customHeight="1" x14ac:dyDescent="0.25">
      <c r="A4347" s="2" t="s">
        <v>8</v>
      </c>
      <c r="B4347" s="2" t="str">
        <f>HYPERLINK("http://ts.21cn.com/tousu/show/id/1335115","度小满金融暴力催收")</f>
        <v>度小满金融暴力催收</v>
      </c>
      <c r="C4347" s="2" t="s">
        <v>9</v>
      </c>
      <c r="D4347" s="2" t="s">
        <v>10</v>
      </c>
      <c r="E4347" s="2" t="str">
        <f>HYPERLINK("http://ts.21cn.com/tousu/show/id/1335115","http://ts.21cn.com/tousu/show/id/1335115")</f>
        <v>http://ts.21cn.com/tousu/show/id/1335115</v>
      </c>
      <c r="F4347" s="2" t="s">
        <v>11</v>
      </c>
      <c r="G4347" s="2" t="s">
        <v>35593</v>
      </c>
      <c r="H4347" s="2" t="s">
        <v>35594</v>
      </c>
    </row>
    <row r="4348" spans="1:8" ht="25.05" customHeight="1" x14ac:dyDescent="0.25">
      <c r="A4348" s="2" t="s">
        <v>8</v>
      </c>
      <c r="B4348" s="2" t="str">
        <f>HYPERLINK("http://ts.21cn.com/tousu/show/id/1335116","玖富万卡阴阳合同。")</f>
        <v>玖富万卡阴阳合同。</v>
      </c>
      <c r="C4348" s="2" t="s">
        <v>9</v>
      </c>
      <c r="D4348" s="2" t="s">
        <v>10</v>
      </c>
      <c r="E4348" s="2" t="str">
        <f>HYPERLINK("http://ts.21cn.com/tousu/show/id/1335116","http://ts.21cn.com/tousu/show/id/1335116")</f>
        <v>http://ts.21cn.com/tousu/show/id/1335116</v>
      </c>
      <c r="F4348" s="2" t="s">
        <v>11</v>
      </c>
      <c r="G4348" s="2" t="s">
        <v>35591</v>
      </c>
      <c r="H4348" s="2" t="s">
        <v>35592</v>
      </c>
    </row>
    <row r="4349" spans="1:8" ht="25.05" customHeight="1" x14ac:dyDescent="0.25">
      <c r="A4349" s="2" t="s">
        <v>8</v>
      </c>
      <c r="B4349" s="2" t="str">
        <f>HYPERLINK("http://ts.21cn.com/tousu/show/id/1335117","美团预定酒店到店告知无房")</f>
        <v>美团预定酒店到店告知无房</v>
      </c>
      <c r="C4349" s="2" t="s">
        <v>34</v>
      </c>
      <c r="D4349" s="2" t="s">
        <v>10</v>
      </c>
      <c r="E4349" s="2" t="str">
        <f>HYPERLINK("http://ts.21cn.com/tousu/show/id/1335117","http://ts.21cn.com/tousu/show/id/1335117")</f>
        <v>http://ts.21cn.com/tousu/show/id/1335117</v>
      </c>
      <c r="F4349" s="2" t="s">
        <v>11</v>
      </c>
      <c r="G4349" s="2" t="s">
        <v>35589</v>
      </c>
      <c r="H4349" s="2" t="s">
        <v>35590</v>
      </c>
    </row>
    <row r="4350" spans="1:8" ht="25.05" customHeight="1" x14ac:dyDescent="0.25">
      <c r="A4350" s="2" t="s">
        <v>8</v>
      </c>
      <c r="B4350" s="2" t="str">
        <f>HYPERLINK("http://ts.21cn.com/tousu/show/id/1335118","钱咖分期高利贷")</f>
        <v>钱咖分期高利贷</v>
      </c>
      <c r="C4350" s="2" t="s">
        <v>9</v>
      </c>
      <c r="D4350" s="2" t="s">
        <v>10</v>
      </c>
      <c r="E4350" s="2" t="str">
        <f>HYPERLINK("http://ts.21cn.com/tousu/show/id/1335118","http://ts.21cn.com/tousu/show/id/1335118")</f>
        <v>http://ts.21cn.com/tousu/show/id/1335118</v>
      </c>
      <c r="F4350" s="2" t="s">
        <v>11</v>
      </c>
      <c r="G4350" s="2" t="s">
        <v>35587</v>
      </c>
      <c r="H4350" s="2" t="s">
        <v>35588</v>
      </c>
    </row>
    <row r="4351" spans="1:8" ht="25.05" customHeight="1" x14ac:dyDescent="0.25">
      <c r="A4351" s="2" t="s">
        <v>8</v>
      </c>
      <c r="B4351" s="2" t="str">
        <f>HYPERLINK("http://ts.21cn.com/tousu/show/id/1335119","中通速运物流一直没动静")</f>
        <v>中通速运物流一直没动静</v>
      </c>
      <c r="C4351" s="2" t="s">
        <v>9</v>
      </c>
      <c r="D4351" s="2" t="s">
        <v>10</v>
      </c>
      <c r="E4351" s="2" t="str">
        <f>HYPERLINK("http://ts.21cn.com/tousu/show/id/1335119","http://ts.21cn.com/tousu/show/id/1335119")</f>
        <v>http://ts.21cn.com/tousu/show/id/1335119</v>
      </c>
      <c r="F4351" s="2" t="s">
        <v>11</v>
      </c>
      <c r="G4351" s="2" t="s">
        <v>35585</v>
      </c>
      <c r="H4351" s="2" t="s">
        <v>35586</v>
      </c>
    </row>
    <row r="4352" spans="1:8" ht="25.05" customHeight="1" x14ac:dyDescent="0.25">
      <c r="A4352" s="2" t="s">
        <v>8</v>
      </c>
      <c r="B4352" s="2" t="str">
        <f>HYPERLINK("http://ts.21cn.com/tousu/show/id/1335120","51柯基贷过高服务费，过高逾期费")</f>
        <v>51柯基贷过高服务费，过高逾期费</v>
      </c>
      <c r="C4352" s="2" t="s">
        <v>34</v>
      </c>
      <c r="D4352" s="2" t="s">
        <v>10</v>
      </c>
      <c r="E4352" s="2" t="str">
        <f>HYPERLINK("http://ts.21cn.com/tousu/show/id/1335120","http://ts.21cn.com/tousu/show/id/1335120")</f>
        <v>http://ts.21cn.com/tousu/show/id/1335120</v>
      </c>
      <c r="F4352" s="2" t="s">
        <v>11</v>
      </c>
      <c r="G4352" s="2" t="s">
        <v>35583</v>
      </c>
      <c r="H4352" s="2" t="s">
        <v>35584</v>
      </c>
    </row>
    <row r="4353" spans="1:8" ht="25.05" customHeight="1" x14ac:dyDescent="0.25">
      <c r="A4353" s="2" t="s">
        <v>8</v>
      </c>
      <c r="B4353" s="2" t="str">
        <f>HYPERLINK("http://ts.21cn.com/tousu/show/id/1335121","牛人有品高额砍头息")</f>
        <v>牛人有品高额砍头息</v>
      </c>
      <c r="C4353" s="2" t="s">
        <v>34</v>
      </c>
      <c r="D4353" s="2" t="s">
        <v>10</v>
      </c>
      <c r="E4353" s="2" t="str">
        <f>HYPERLINK("http://ts.21cn.com/tousu/show/id/1335121","http://ts.21cn.com/tousu/show/id/1335121")</f>
        <v>http://ts.21cn.com/tousu/show/id/1335121</v>
      </c>
      <c r="F4353" s="2" t="s">
        <v>11</v>
      </c>
      <c r="G4353" s="2" t="s">
        <v>35581</v>
      </c>
      <c r="H4353" s="2" t="s">
        <v>35582</v>
      </c>
    </row>
    <row r="4354" spans="1:8" ht="25.05" customHeight="1" x14ac:dyDescent="0.25">
      <c r="A4354" s="2" t="s">
        <v>8</v>
      </c>
      <c r="B4354" s="2" t="str">
        <f>HYPERLINK("http://ts.21cn.com/tousu/show/id/1335122","拼多多现金助力活动")</f>
        <v>拼多多现金助力活动</v>
      </c>
      <c r="C4354" s="2" t="s">
        <v>9</v>
      </c>
      <c r="D4354" s="2" t="s">
        <v>10</v>
      </c>
      <c r="E4354" s="2" t="str">
        <f>HYPERLINK("http://ts.21cn.com/tousu/show/id/1335122","http://ts.21cn.com/tousu/show/id/1335122")</f>
        <v>http://ts.21cn.com/tousu/show/id/1335122</v>
      </c>
      <c r="F4354" s="2" t="s">
        <v>11</v>
      </c>
      <c r="G4354" s="2" t="s">
        <v>35579</v>
      </c>
      <c r="H4354" s="2" t="s">
        <v>35580</v>
      </c>
    </row>
    <row r="4355" spans="1:8" ht="25.05" customHeight="1" x14ac:dyDescent="0.25">
      <c r="A4355" s="2" t="s">
        <v>8</v>
      </c>
      <c r="B4355" s="2" t="str">
        <f>HYPERLINK("http://ts.21cn.com/tousu/show/id/1335123","要求宜人贷结清")</f>
        <v>要求宜人贷结清</v>
      </c>
      <c r="C4355" s="2" t="s">
        <v>34</v>
      </c>
      <c r="D4355" s="2" t="s">
        <v>10</v>
      </c>
      <c r="E4355" s="2" t="str">
        <f>HYPERLINK("http://ts.21cn.com/tousu/show/id/1335123","http://ts.21cn.com/tousu/show/id/1335123")</f>
        <v>http://ts.21cn.com/tousu/show/id/1335123</v>
      </c>
      <c r="F4355" s="2" t="s">
        <v>11</v>
      </c>
      <c r="G4355" s="2" t="s">
        <v>35577</v>
      </c>
      <c r="H4355" s="2" t="s">
        <v>35578</v>
      </c>
    </row>
    <row r="4356" spans="1:8" ht="25.05" customHeight="1" x14ac:dyDescent="0.25">
      <c r="A4356" s="2" t="s">
        <v>8</v>
      </c>
      <c r="B4356" s="2" t="str">
        <f>HYPERLINK("http://ts.21cn.com/tousu/show/id/1335124","游戏公司回档造成损失")</f>
        <v>游戏公司回档造成损失</v>
      </c>
      <c r="C4356" s="2" t="s">
        <v>9</v>
      </c>
      <c r="D4356" s="2" t="s">
        <v>10</v>
      </c>
      <c r="E4356" s="2" t="str">
        <f>HYPERLINK("http://ts.21cn.com/tousu/show/id/1335124","http://ts.21cn.com/tousu/show/id/1335124")</f>
        <v>http://ts.21cn.com/tousu/show/id/1335124</v>
      </c>
      <c r="F4356" s="2" t="s">
        <v>11</v>
      </c>
      <c r="G4356" s="2" t="s">
        <v>35575</v>
      </c>
      <c r="H4356" s="2" t="s">
        <v>35576</v>
      </c>
    </row>
    <row r="4357" spans="1:8" ht="25.05" customHeight="1" x14ac:dyDescent="0.25">
      <c r="A4357" s="2" t="s">
        <v>8</v>
      </c>
      <c r="B4357" s="2" t="str">
        <f>HYPERLINK("http://ts.21cn.com/tousu/show/id/1335126","捷信骚扰")</f>
        <v>捷信骚扰</v>
      </c>
      <c r="C4357" s="2" t="s">
        <v>9</v>
      </c>
      <c r="D4357" s="2" t="s">
        <v>10</v>
      </c>
      <c r="E4357" s="2" t="str">
        <f>HYPERLINK("http://ts.21cn.com/tousu/show/id/1335126","http://ts.21cn.com/tousu/show/id/1335126")</f>
        <v>http://ts.21cn.com/tousu/show/id/1335126</v>
      </c>
      <c r="F4357" s="2" t="s">
        <v>11</v>
      </c>
      <c r="G4357" s="2" t="s">
        <v>35573</v>
      </c>
      <c r="H4357" s="2" t="s">
        <v>35574</v>
      </c>
    </row>
    <row r="4358" spans="1:8" ht="25.05" customHeight="1" x14ac:dyDescent="0.25">
      <c r="A4358" s="2" t="s">
        <v>8</v>
      </c>
      <c r="B4358" s="2" t="str">
        <f>HYPERLINK("http://ts.21cn.com/tousu/show/id/1335127","上海你我贷嘉优贷高利息")</f>
        <v>上海你我贷嘉优贷高利息</v>
      </c>
      <c r="C4358" s="2" t="s">
        <v>9</v>
      </c>
      <c r="D4358" s="2" t="s">
        <v>10</v>
      </c>
      <c r="E4358" s="2" t="str">
        <f>HYPERLINK("http://ts.21cn.com/tousu/show/id/1335127","http://ts.21cn.com/tousu/show/id/1335127")</f>
        <v>http://ts.21cn.com/tousu/show/id/1335127</v>
      </c>
      <c r="F4358" s="2" t="s">
        <v>11</v>
      </c>
      <c r="G4358" s="2" t="s">
        <v>35572</v>
      </c>
      <c r="H4358" s="2" t="s">
        <v>21845</v>
      </c>
    </row>
    <row r="4359" spans="1:8" ht="25.05" customHeight="1" x14ac:dyDescent="0.25">
      <c r="A4359" s="2" t="s">
        <v>8</v>
      </c>
      <c r="B4359" s="2" t="str">
        <f>HYPERLINK("http://ts.21cn.com/tousu/show/id/1335128","交易猫客服不理人")</f>
        <v>交易猫客服不理人</v>
      </c>
      <c r="C4359" s="2" t="s">
        <v>9</v>
      </c>
      <c r="D4359" s="2" t="s">
        <v>10</v>
      </c>
      <c r="E4359" s="2" t="str">
        <f>HYPERLINK("http://ts.21cn.com/tousu/show/id/1335128","http://ts.21cn.com/tousu/show/id/1335128")</f>
        <v>http://ts.21cn.com/tousu/show/id/1335128</v>
      </c>
      <c r="F4359" s="2" t="s">
        <v>11</v>
      </c>
      <c r="G4359" s="2" t="s">
        <v>35570</v>
      </c>
      <c r="H4359" s="2" t="s">
        <v>35571</v>
      </c>
    </row>
    <row r="4360" spans="1:8" ht="25.05" customHeight="1" x14ac:dyDescent="0.25">
      <c r="A4360" s="2" t="s">
        <v>8</v>
      </c>
      <c r="B4360" s="2" t="str">
        <f>HYPERLINK("http://ts.21cn.com/tousu/show/id/1335129","搜集者欺诈乱扣费")</f>
        <v>搜集者欺诈乱扣费</v>
      </c>
      <c r="C4360" s="2" t="s">
        <v>9</v>
      </c>
      <c r="D4360" s="2" t="s">
        <v>10</v>
      </c>
      <c r="E4360" s="2" t="str">
        <f>HYPERLINK("http://ts.21cn.com/tousu/show/id/1335129","http://ts.21cn.com/tousu/show/id/1335129")</f>
        <v>http://ts.21cn.com/tousu/show/id/1335129</v>
      </c>
      <c r="F4360" s="2" t="s">
        <v>11</v>
      </c>
      <c r="G4360" s="2" t="s">
        <v>35568</v>
      </c>
      <c r="H4360" s="2" t="s">
        <v>35569</v>
      </c>
    </row>
    <row r="4361" spans="1:8" ht="25.05" customHeight="1" x14ac:dyDescent="0.25">
      <c r="A4361" s="2" t="s">
        <v>8</v>
      </c>
      <c r="B4361" s="2" t="str">
        <f>HYPERLINK("http://ts.21cn.com/tousu/show/id/1335130","微信支付冻结资金")</f>
        <v>微信支付冻结资金</v>
      </c>
      <c r="C4361" s="2" t="s">
        <v>9</v>
      </c>
      <c r="D4361" s="2" t="s">
        <v>10</v>
      </c>
      <c r="E4361" s="2" t="str">
        <f>HYPERLINK("http://ts.21cn.com/tousu/show/id/1335130","http://ts.21cn.com/tousu/show/id/1335130")</f>
        <v>http://ts.21cn.com/tousu/show/id/1335130</v>
      </c>
      <c r="F4361" s="2" t="s">
        <v>11</v>
      </c>
      <c r="G4361" s="2" t="s">
        <v>35566</v>
      </c>
      <c r="H4361" s="2" t="s">
        <v>35567</v>
      </c>
    </row>
    <row r="4362" spans="1:8" ht="25.05" customHeight="1" x14ac:dyDescent="0.25">
      <c r="A4362" s="2" t="s">
        <v>8</v>
      </c>
      <c r="B4362" s="2" t="str">
        <f>HYPERLINK("http://ts.21cn.com/tousu/show/id/1335132","随你分期高利贷")</f>
        <v>随你分期高利贷</v>
      </c>
      <c r="C4362" s="2" t="s">
        <v>9</v>
      </c>
      <c r="D4362" s="2" t="s">
        <v>10</v>
      </c>
      <c r="E4362" s="2" t="str">
        <f>HYPERLINK("http://ts.21cn.com/tousu/show/id/1335132","http://ts.21cn.com/tousu/show/id/1335132")</f>
        <v>http://ts.21cn.com/tousu/show/id/1335132</v>
      </c>
      <c r="F4362" s="2" t="s">
        <v>11</v>
      </c>
      <c r="G4362" s="2" t="s">
        <v>35564</v>
      </c>
      <c r="H4362" s="2" t="s">
        <v>35565</v>
      </c>
    </row>
    <row r="4363" spans="1:8" ht="25.05" customHeight="1" x14ac:dyDescent="0.25">
      <c r="A4363" s="2" t="s">
        <v>8</v>
      </c>
      <c r="B4363" s="2" t="str">
        <f>HYPERLINK("http://ts.21cn.com/tousu/show/id/1335134","平安普惠i贷未自动扣款导致逾期")</f>
        <v>平安普惠i贷未自动扣款导致逾期</v>
      </c>
      <c r="C4363" s="2" t="s">
        <v>9</v>
      </c>
      <c r="D4363" s="2" t="s">
        <v>10</v>
      </c>
      <c r="E4363" s="2" t="str">
        <f>HYPERLINK("http://ts.21cn.com/tousu/show/id/1335134","http://ts.21cn.com/tousu/show/id/1335134")</f>
        <v>http://ts.21cn.com/tousu/show/id/1335134</v>
      </c>
      <c r="F4363" s="2" t="s">
        <v>11</v>
      </c>
      <c r="G4363" s="2" t="s">
        <v>35562</v>
      </c>
      <c r="H4363" s="2" t="s">
        <v>35563</v>
      </c>
    </row>
    <row r="4364" spans="1:8" ht="25.05" customHeight="1" x14ac:dyDescent="0.25">
      <c r="A4364" s="2" t="s">
        <v>8</v>
      </c>
      <c r="B4364" s="2" t="str">
        <f>HYPERLINK("http://ts.21cn.com/tousu/show/id/1335133","玖富万卡擅自改写合同，变相收取费用，高利贷")</f>
        <v>玖富万卡擅自改写合同，变相收取费用，高利贷</v>
      </c>
      <c r="C4364" s="2" t="s">
        <v>9</v>
      </c>
      <c r="D4364" s="2" t="s">
        <v>10</v>
      </c>
      <c r="E4364" s="2" t="str">
        <f>HYPERLINK("http://ts.21cn.com/tousu/show/id/1335133","http://ts.21cn.com/tousu/show/id/1335133")</f>
        <v>http://ts.21cn.com/tousu/show/id/1335133</v>
      </c>
      <c r="F4364" s="2" t="s">
        <v>11</v>
      </c>
      <c r="G4364" s="2" t="s">
        <v>35560</v>
      </c>
      <c r="H4364" s="2" t="s">
        <v>35561</v>
      </c>
    </row>
    <row r="4365" spans="1:8" ht="25.05" customHeight="1" x14ac:dyDescent="0.25">
      <c r="A4365" s="2" t="s">
        <v>8</v>
      </c>
      <c r="B4365" s="2" t="str">
        <f>HYPERLINK("http://ts.21cn.com/tousu/show/id/1335131","闪银未经过用户确认下款")</f>
        <v>闪银未经过用户确认下款</v>
      </c>
      <c r="C4365" s="2" t="s">
        <v>9</v>
      </c>
      <c r="D4365" s="2" t="s">
        <v>10</v>
      </c>
      <c r="E4365" s="2" t="str">
        <f>HYPERLINK("http://ts.21cn.com/tousu/show/id/1335131","http://ts.21cn.com/tousu/show/id/1335131")</f>
        <v>http://ts.21cn.com/tousu/show/id/1335131</v>
      </c>
      <c r="F4365" s="2" t="s">
        <v>11</v>
      </c>
      <c r="G4365" s="2" t="s">
        <v>35558</v>
      </c>
      <c r="H4365" s="2" t="s">
        <v>35559</v>
      </c>
    </row>
    <row r="4366" spans="1:8" ht="25.05" customHeight="1" x14ac:dyDescent="0.25">
      <c r="A4366" s="2" t="s">
        <v>8</v>
      </c>
      <c r="B4366" s="2" t="str">
        <f>HYPERLINK("http://ts.21cn.com/tousu/show/id/1335135","豹子贷无故扣我299还扣我俩次")</f>
        <v>豹子贷无故扣我299还扣我俩次</v>
      </c>
      <c r="C4366" s="2" t="s">
        <v>9</v>
      </c>
      <c r="D4366" s="2" t="s">
        <v>10</v>
      </c>
      <c r="E4366" s="2" t="str">
        <f>HYPERLINK("http://ts.21cn.com/tousu/show/id/1335135","http://ts.21cn.com/tousu/show/id/1335135")</f>
        <v>http://ts.21cn.com/tousu/show/id/1335135</v>
      </c>
      <c r="F4366" s="2" t="s">
        <v>11</v>
      </c>
      <c r="G4366" s="2" t="s">
        <v>35557</v>
      </c>
      <c r="H4366" s="2" t="s">
        <v>35507</v>
      </c>
    </row>
    <row r="4367" spans="1:8" ht="25.05" customHeight="1" x14ac:dyDescent="0.25">
      <c r="A4367" s="2" t="s">
        <v>8</v>
      </c>
      <c r="B4367" s="2" t="str">
        <f>HYPERLINK("http://ts.21cn.com/tousu/show/id/1335125","天天快递龟速，不派送")</f>
        <v>天天快递龟速，不派送</v>
      </c>
      <c r="C4367" s="2" t="s">
        <v>9</v>
      </c>
      <c r="D4367" s="2" t="s">
        <v>10</v>
      </c>
      <c r="E4367" s="2" t="str">
        <f>HYPERLINK("http://ts.21cn.com/tousu/show/id/1335125","http://ts.21cn.com/tousu/show/id/1335125")</f>
        <v>http://ts.21cn.com/tousu/show/id/1335125</v>
      </c>
      <c r="F4367" s="2" t="s">
        <v>11</v>
      </c>
      <c r="G4367" s="2" t="s">
        <v>35555</v>
      </c>
      <c r="H4367" s="2" t="s">
        <v>35556</v>
      </c>
    </row>
    <row r="4368" spans="1:8" ht="25.05" customHeight="1" x14ac:dyDescent="0.25">
      <c r="A4368" s="2" t="s">
        <v>8</v>
      </c>
      <c r="B4368" s="2" t="str">
        <f>HYPERLINK("http://ts.21cn.com/tousu/show/id/1335137","欺诈.高利贷")</f>
        <v>欺诈.高利贷</v>
      </c>
      <c r="C4368" s="2" t="s">
        <v>9</v>
      </c>
      <c r="D4368" s="2" t="s">
        <v>10</v>
      </c>
      <c r="E4368" s="2" t="str">
        <f>HYPERLINK("http://ts.21cn.com/tousu/show/id/1335137","http://ts.21cn.com/tousu/show/id/1335137")</f>
        <v>http://ts.21cn.com/tousu/show/id/1335137</v>
      </c>
      <c r="F4368" s="2" t="s">
        <v>11</v>
      </c>
      <c r="G4368" s="2" t="s">
        <v>35553</v>
      </c>
      <c r="H4368" s="2" t="s">
        <v>35554</v>
      </c>
    </row>
    <row r="4369" spans="1:8" ht="25.05" customHeight="1" x14ac:dyDescent="0.25">
      <c r="A4369" s="2" t="s">
        <v>8</v>
      </c>
      <c r="B4369" s="2" t="str">
        <f>HYPERLINK("http://ts.21cn.com/tousu/show/id/1335138","洋钱罐借款高利贷")</f>
        <v>洋钱罐借款高利贷</v>
      </c>
      <c r="C4369" s="2" t="s">
        <v>9</v>
      </c>
      <c r="D4369" s="2" t="s">
        <v>10</v>
      </c>
      <c r="E4369" s="2" t="str">
        <f>HYPERLINK("http://ts.21cn.com/tousu/show/id/1335138","http://ts.21cn.com/tousu/show/id/1335138")</f>
        <v>http://ts.21cn.com/tousu/show/id/1335138</v>
      </c>
      <c r="F4369" s="2" t="s">
        <v>11</v>
      </c>
      <c r="G4369" s="2" t="s">
        <v>35551</v>
      </c>
      <c r="H4369" s="2" t="s">
        <v>35552</v>
      </c>
    </row>
    <row r="4370" spans="1:8" ht="25.05" customHeight="1" x14ac:dyDescent="0.25">
      <c r="A4370" s="2" t="s">
        <v>8</v>
      </c>
      <c r="B4370" s="2" t="str">
        <f>HYPERLINK("http://ts.21cn.com/tousu/show/id/1335139","微信达标一")</f>
        <v>微信达标一</v>
      </c>
      <c r="C4370" s="2" t="s">
        <v>9</v>
      </c>
      <c r="D4370" s="2" t="s">
        <v>10</v>
      </c>
      <c r="E4370" s="2" t="str">
        <f>HYPERLINK("http://ts.21cn.com/tousu/show/id/1335139","http://ts.21cn.com/tousu/show/id/1335139")</f>
        <v>http://ts.21cn.com/tousu/show/id/1335139</v>
      </c>
      <c r="F4370" s="2" t="s">
        <v>11</v>
      </c>
      <c r="G4370" s="2" t="s">
        <v>35549</v>
      </c>
      <c r="H4370" s="2" t="s">
        <v>35550</v>
      </c>
    </row>
    <row r="4371" spans="1:8" ht="25.05" customHeight="1" x14ac:dyDescent="0.25">
      <c r="A4371" s="2" t="s">
        <v>8</v>
      </c>
      <c r="B4371" s="2" t="str">
        <f>HYPERLINK("http://ts.21cn.com/tousu/show/id/1335140","希望尽快处理")</f>
        <v>希望尽快处理</v>
      </c>
      <c r="C4371" s="2" t="s">
        <v>9</v>
      </c>
      <c r="D4371" s="2" t="s">
        <v>10</v>
      </c>
      <c r="E4371" s="2" t="str">
        <f>HYPERLINK("http://ts.21cn.com/tousu/show/id/1335140","http://ts.21cn.com/tousu/show/id/1335140")</f>
        <v>http://ts.21cn.com/tousu/show/id/1335140</v>
      </c>
      <c r="F4371" s="2" t="s">
        <v>11</v>
      </c>
      <c r="G4371" s="2" t="s">
        <v>35547</v>
      </c>
      <c r="H4371" s="2" t="s">
        <v>35548</v>
      </c>
    </row>
    <row r="4372" spans="1:8" ht="25.05" customHeight="1" x14ac:dyDescent="0.25">
      <c r="A4372" s="2" t="s">
        <v>8</v>
      </c>
      <c r="B4372" s="2" t="str">
        <f>HYPERLINK("http://ts.21cn.com/tousu/show/id/1335142","信用管家好运金高利贷")</f>
        <v>信用管家好运金高利贷</v>
      </c>
      <c r="C4372" s="2" t="s">
        <v>9</v>
      </c>
      <c r="D4372" s="2" t="s">
        <v>10</v>
      </c>
      <c r="E4372" s="2" t="str">
        <f>HYPERLINK("http://ts.21cn.com/tousu/show/id/1335142","http://ts.21cn.com/tousu/show/id/1335142")</f>
        <v>http://ts.21cn.com/tousu/show/id/1335142</v>
      </c>
      <c r="F4372" s="2" t="s">
        <v>11</v>
      </c>
      <c r="G4372" s="2" t="s">
        <v>35544</v>
      </c>
      <c r="H4372" s="2" t="s">
        <v>35545</v>
      </c>
    </row>
    <row r="4373" spans="1:8" ht="25.05" customHeight="1" x14ac:dyDescent="0.25">
      <c r="A4373" s="2" t="s">
        <v>8</v>
      </c>
      <c r="B4373" s="2" t="str">
        <f>HYPERLINK("http://ts.21cn.com/tousu/show/id/1335141","智行火车票没有提醒自动扣款")</f>
        <v>智行火车票没有提醒自动扣款</v>
      </c>
      <c r="C4373" s="2" t="s">
        <v>9</v>
      </c>
      <c r="D4373" s="2" t="s">
        <v>10</v>
      </c>
      <c r="E4373" s="2" t="str">
        <f>HYPERLINK("http://ts.21cn.com/tousu/show/id/1335141","http://ts.21cn.com/tousu/show/id/1335141")</f>
        <v>http://ts.21cn.com/tousu/show/id/1335141</v>
      </c>
      <c r="F4373" s="2" t="s">
        <v>11</v>
      </c>
      <c r="G4373" s="2" t="s">
        <v>35544</v>
      </c>
      <c r="H4373" s="2" t="s">
        <v>35546</v>
      </c>
    </row>
    <row r="4374" spans="1:8" ht="25.05" customHeight="1" x14ac:dyDescent="0.25">
      <c r="A4374" s="2" t="s">
        <v>8</v>
      </c>
      <c r="B4374" s="2" t="str">
        <f>HYPERLINK("http://ts.21cn.com/tousu/show/id/1335136","云端商务诱导消费")</f>
        <v>云端商务诱导消费</v>
      </c>
      <c r="C4374" s="2" t="s">
        <v>9</v>
      </c>
      <c r="D4374" s="2" t="s">
        <v>10</v>
      </c>
      <c r="E4374" s="2" t="str">
        <f>HYPERLINK("http://ts.21cn.com/tousu/show/id/1335136","http://ts.21cn.com/tousu/show/id/1335136")</f>
        <v>http://ts.21cn.com/tousu/show/id/1335136</v>
      </c>
      <c r="F4374" s="2" t="s">
        <v>11</v>
      </c>
      <c r="G4374" s="2" t="s">
        <v>35542</v>
      </c>
      <c r="H4374" s="2" t="s">
        <v>35543</v>
      </c>
    </row>
    <row r="4375" spans="1:8" ht="25.05" customHeight="1" x14ac:dyDescent="0.25">
      <c r="A4375" s="2" t="s">
        <v>8</v>
      </c>
      <c r="B4375" s="2" t="str">
        <f>HYPERLINK("http://ts.21cn.com/tousu/show/id/1335143","立借网贷高利贷")</f>
        <v>立借网贷高利贷</v>
      </c>
      <c r="C4375" s="2" t="s">
        <v>9</v>
      </c>
      <c r="D4375" s="2" t="s">
        <v>10</v>
      </c>
      <c r="E4375" s="2" t="str">
        <f>HYPERLINK("http://ts.21cn.com/tousu/show/id/1335143","http://ts.21cn.com/tousu/show/id/1335143")</f>
        <v>http://ts.21cn.com/tousu/show/id/1335143</v>
      </c>
      <c r="F4375" s="2" t="s">
        <v>11</v>
      </c>
      <c r="G4375" s="2" t="s">
        <v>35540</v>
      </c>
      <c r="H4375" s="2" t="s">
        <v>35541</v>
      </c>
    </row>
    <row r="4376" spans="1:8" ht="25.05" customHeight="1" x14ac:dyDescent="0.25">
      <c r="A4376" s="2" t="s">
        <v>8</v>
      </c>
      <c r="B4376" s="2" t="str">
        <f>HYPERLINK("http://ts.21cn.com/tousu/show/id/1335144","唯品会售卖劣质产品")</f>
        <v>唯品会售卖劣质产品</v>
      </c>
      <c r="C4376" s="2" t="s">
        <v>34</v>
      </c>
      <c r="D4376" s="2" t="s">
        <v>10</v>
      </c>
      <c r="E4376" s="2" t="str">
        <f>HYPERLINK("http://ts.21cn.com/tousu/show/id/1335144","http://ts.21cn.com/tousu/show/id/1335144")</f>
        <v>http://ts.21cn.com/tousu/show/id/1335144</v>
      </c>
      <c r="F4376" s="2" t="s">
        <v>11</v>
      </c>
      <c r="G4376" s="2" t="s">
        <v>35538</v>
      </c>
      <c r="H4376" s="2" t="s">
        <v>35539</v>
      </c>
    </row>
    <row r="4377" spans="1:8" ht="25.05" customHeight="1" x14ac:dyDescent="0.25">
      <c r="A4377" s="2" t="s">
        <v>8</v>
      </c>
      <c r="B4377" s="2" t="str">
        <f>HYPERLINK("http://ts.21cn.com/tousu/show/id/1335145","退货未全额退款")</f>
        <v>退货未全额退款</v>
      </c>
      <c r="C4377" s="2" t="s">
        <v>34</v>
      </c>
      <c r="D4377" s="2" t="s">
        <v>10</v>
      </c>
      <c r="E4377" s="2" t="str">
        <f>HYPERLINK("http://ts.21cn.com/tousu/show/id/1335145","http://ts.21cn.com/tousu/show/id/1335145")</f>
        <v>http://ts.21cn.com/tousu/show/id/1335145</v>
      </c>
      <c r="F4377" s="2" t="s">
        <v>11</v>
      </c>
      <c r="G4377" s="2" t="s">
        <v>35536</v>
      </c>
      <c r="H4377" s="2" t="s">
        <v>35537</v>
      </c>
    </row>
    <row r="4378" spans="1:8" ht="25.05" customHeight="1" x14ac:dyDescent="0.25">
      <c r="A4378" s="2" t="s">
        <v>8</v>
      </c>
      <c r="B4378" s="2" t="str">
        <f>HYPERLINK("http://ts.21cn.com/tousu/show/id/1335147","暴力催收，上门恐吓骚扰家人")</f>
        <v>暴力催收，上门恐吓骚扰家人</v>
      </c>
      <c r="C4378" s="2" t="s">
        <v>9</v>
      </c>
      <c r="D4378" s="2" t="s">
        <v>10</v>
      </c>
      <c r="E4378" s="2" t="str">
        <f>HYPERLINK("http://ts.21cn.com/tousu/show/id/1335147","http://ts.21cn.com/tousu/show/id/1335147")</f>
        <v>http://ts.21cn.com/tousu/show/id/1335147</v>
      </c>
      <c r="F4378" s="2" t="s">
        <v>11</v>
      </c>
      <c r="G4378" s="2" t="s">
        <v>35534</v>
      </c>
      <c r="H4378" s="2" t="s">
        <v>35535</v>
      </c>
    </row>
    <row r="4379" spans="1:8" ht="25.05" customHeight="1" x14ac:dyDescent="0.25">
      <c r="A4379" s="2" t="s">
        <v>8</v>
      </c>
      <c r="B4379" s="2" t="str">
        <f>HYPERLINK("http://ts.21cn.com/tousu/show/id/1335148","宜人贷高额逾期费用")</f>
        <v>宜人贷高额逾期费用</v>
      </c>
      <c r="C4379" s="2" t="s">
        <v>9</v>
      </c>
      <c r="D4379" s="2" t="s">
        <v>10</v>
      </c>
      <c r="E4379" s="2" t="str">
        <f>HYPERLINK("http://ts.21cn.com/tousu/show/id/1335148","http://ts.21cn.com/tousu/show/id/1335148")</f>
        <v>http://ts.21cn.com/tousu/show/id/1335148</v>
      </c>
      <c r="F4379" s="2" t="s">
        <v>11</v>
      </c>
      <c r="G4379" s="2" t="s">
        <v>35532</v>
      </c>
      <c r="H4379" s="2" t="s">
        <v>35533</v>
      </c>
    </row>
    <row r="4380" spans="1:8" ht="25.05" customHeight="1" x14ac:dyDescent="0.25">
      <c r="A4380" s="2" t="s">
        <v>8</v>
      </c>
      <c r="B4380" s="2" t="str">
        <f>HYPERLINK("http://ts.21cn.com/tousu/show/id/1335149","杭州市民卡为小黑鲨高利贷提供支付通道")</f>
        <v>杭州市民卡为小黑鲨高利贷提供支付通道</v>
      </c>
      <c r="C4380" s="2" t="s">
        <v>9</v>
      </c>
      <c r="D4380" s="2" t="s">
        <v>10</v>
      </c>
      <c r="E4380" s="2" t="str">
        <f>HYPERLINK("http://ts.21cn.com/tousu/show/id/1335149","http://ts.21cn.com/tousu/show/id/1335149")</f>
        <v>http://ts.21cn.com/tousu/show/id/1335149</v>
      </c>
      <c r="F4380" s="2" t="s">
        <v>11</v>
      </c>
      <c r="G4380" s="2" t="s">
        <v>35530</v>
      </c>
      <c r="H4380" s="2" t="s">
        <v>35531</v>
      </c>
    </row>
    <row r="4381" spans="1:8" ht="25.05" customHeight="1" x14ac:dyDescent="0.25">
      <c r="A4381" s="2" t="s">
        <v>8</v>
      </c>
      <c r="B4381" s="2" t="str">
        <f>HYPERLINK("http://ts.21cn.com/tousu/show/id/1335151","哈啰单车扣费问题")</f>
        <v>哈啰单车扣费问题</v>
      </c>
      <c r="C4381" s="2" t="s">
        <v>34</v>
      </c>
      <c r="D4381" s="2" t="s">
        <v>10</v>
      </c>
      <c r="E4381" s="2" t="str">
        <f>HYPERLINK("http://ts.21cn.com/tousu/show/id/1335151","http://ts.21cn.com/tousu/show/id/1335151")</f>
        <v>http://ts.21cn.com/tousu/show/id/1335151</v>
      </c>
      <c r="F4381" s="2" t="s">
        <v>11</v>
      </c>
      <c r="G4381" s="2" t="s">
        <v>35528</v>
      </c>
      <c r="H4381" s="2" t="s">
        <v>35529</v>
      </c>
    </row>
    <row r="4382" spans="1:8" ht="25.05" customHeight="1" x14ac:dyDescent="0.25">
      <c r="A4382" s="2" t="s">
        <v>8</v>
      </c>
      <c r="B4382" s="2" t="str">
        <f>HYPERLINK("http://ts.21cn.com/tousu/show/id/1335152","小浦优品未说明报告费私自扣款")</f>
        <v>小浦优品未说明报告费私自扣款</v>
      </c>
      <c r="C4382" s="2" t="s">
        <v>9</v>
      </c>
      <c r="D4382" s="2" t="s">
        <v>10</v>
      </c>
      <c r="E4382" s="2" t="str">
        <f>HYPERLINK("http://ts.21cn.com/tousu/show/id/1335152","http://ts.21cn.com/tousu/show/id/1335152")</f>
        <v>http://ts.21cn.com/tousu/show/id/1335152</v>
      </c>
      <c r="F4382" s="2" t="s">
        <v>11</v>
      </c>
      <c r="G4382" s="2" t="s">
        <v>35526</v>
      </c>
      <c r="H4382" s="2" t="s">
        <v>35527</v>
      </c>
    </row>
    <row r="4383" spans="1:8" ht="25.05" customHeight="1" x14ac:dyDescent="0.25">
      <c r="A4383" s="2" t="s">
        <v>8</v>
      </c>
      <c r="B4383" s="2" t="str">
        <f>HYPERLINK("http://ts.21cn.com/tousu/show/id/1335153","及贷骚扰通讯录联系人")</f>
        <v>及贷骚扰通讯录联系人</v>
      </c>
      <c r="C4383" s="2" t="s">
        <v>9</v>
      </c>
      <c r="D4383" s="2" t="s">
        <v>10</v>
      </c>
      <c r="E4383" s="2" t="str">
        <f>HYPERLINK("http://ts.21cn.com/tousu/show/id/1335153","http://ts.21cn.com/tousu/show/id/1335153")</f>
        <v>http://ts.21cn.com/tousu/show/id/1335153</v>
      </c>
      <c r="F4383" s="2" t="s">
        <v>11</v>
      </c>
      <c r="G4383" s="2" t="s">
        <v>35524</v>
      </c>
      <c r="H4383" s="2" t="s">
        <v>35525</v>
      </c>
    </row>
    <row r="4384" spans="1:8" ht="25.05" customHeight="1" x14ac:dyDescent="0.25">
      <c r="A4384" s="2" t="s">
        <v>8</v>
      </c>
      <c r="B4384" s="2" t="str">
        <f>HYPERLINK("http://ts.21cn.com/tousu/show/id/1335154","凡普金科旗下钱站app暴力催收")</f>
        <v>凡普金科旗下钱站app暴力催收</v>
      </c>
      <c r="C4384" s="2" t="s">
        <v>9</v>
      </c>
      <c r="D4384" s="2" t="s">
        <v>10</v>
      </c>
      <c r="E4384" s="2" t="str">
        <f>HYPERLINK("http://ts.21cn.com/tousu/show/id/1335154","http://ts.21cn.com/tousu/show/id/1335154")</f>
        <v>http://ts.21cn.com/tousu/show/id/1335154</v>
      </c>
      <c r="F4384" s="2" t="s">
        <v>11</v>
      </c>
      <c r="G4384" s="2" t="s">
        <v>35522</v>
      </c>
      <c r="H4384" s="2" t="s">
        <v>35523</v>
      </c>
    </row>
    <row r="4385" spans="1:8" ht="25.05" customHeight="1" x14ac:dyDescent="0.25">
      <c r="A4385" s="2" t="s">
        <v>8</v>
      </c>
      <c r="B4385" s="2" t="str">
        <f>HYPERLINK("http://ts.21cn.com/tousu/show/id/1335155","豹子贷扣款299")</f>
        <v>豹子贷扣款299</v>
      </c>
      <c r="C4385" s="2" t="s">
        <v>34</v>
      </c>
      <c r="D4385" s="2" t="s">
        <v>10</v>
      </c>
      <c r="E4385" s="2" t="str">
        <f>HYPERLINK("http://ts.21cn.com/tousu/show/id/1335155","http://ts.21cn.com/tousu/show/id/1335155")</f>
        <v>http://ts.21cn.com/tousu/show/id/1335155</v>
      </c>
      <c r="F4385" s="2" t="s">
        <v>11</v>
      </c>
      <c r="G4385" s="2" t="s">
        <v>35520</v>
      </c>
      <c r="H4385" s="2" t="s">
        <v>35521</v>
      </c>
    </row>
    <row r="4386" spans="1:8" ht="25.05" customHeight="1" x14ac:dyDescent="0.25">
      <c r="A4386" s="2" t="s">
        <v>8</v>
      </c>
      <c r="B4386" s="2" t="str">
        <f>HYPERLINK("http://ts.21cn.com/tousu/show/id/1335150","诱导客户")</f>
        <v>诱导客户</v>
      </c>
      <c r="C4386" s="2" t="s">
        <v>9</v>
      </c>
      <c r="D4386" s="2" t="s">
        <v>10</v>
      </c>
      <c r="E4386" s="2" t="str">
        <f>HYPERLINK("http://ts.21cn.com/tousu/show/id/1335150","http://ts.21cn.com/tousu/show/id/1335150")</f>
        <v>http://ts.21cn.com/tousu/show/id/1335150</v>
      </c>
      <c r="F4386" s="2" t="s">
        <v>11</v>
      </c>
      <c r="G4386" s="2" t="s">
        <v>35518</v>
      </c>
      <c r="H4386" s="2" t="s">
        <v>35519</v>
      </c>
    </row>
    <row r="4387" spans="1:8" ht="25.05" customHeight="1" x14ac:dyDescent="0.25">
      <c r="A4387" s="2" t="s">
        <v>8</v>
      </c>
      <c r="B4387" s="2" t="str">
        <f>HYPERLINK("http://ts.21cn.com/tousu/show/id/1335156","支付宝莫名其妙被冻结")</f>
        <v>支付宝莫名其妙被冻结</v>
      </c>
      <c r="C4387" s="2" t="s">
        <v>9</v>
      </c>
      <c r="D4387" s="2" t="s">
        <v>10</v>
      </c>
      <c r="E4387" s="2" t="str">
        <f>HYPERLINK("http://ts.21cn.com/tousu/show/id/1335156","http://ts.21cn.com/tousu/show/id/1335156")</f>
        <v>http://ts.21cn.com/tousu/show/id/1335156</v>
      </c>
      <c r="F4387" s="2" t="s">
        <v>11</v>
      </c>
      <c r="G4387" s="2" t="s">
        <v>35516</v>
      </c>
      <c r="H4387" s="2" t="s">
        <v>35517</v>
      </c>
    </row>
    <row r="4388" spans="1:8" ht="25.05" customHeight="1" x14ac:dyDescent="0.25">
      <c r="A4388" s="2" t="s">
        <v>8</v>
      </c>
      <c r="B4388" s="2" t="str">
        <f>HYPERLINK("http://ts.21cn.com/tousu/show/id/1335108","桔米贷未经同意扣前期会员费用")</f>
        <v>桔米贷未经同意扣前期会员费用</v>
      </c>
      <c r="C4388" s="2" t="s">
        <v>9</v>
      </c>
      <c r="D4388" s="2" t="s">
        <v>10</v>
      </c>
      <c r="E4388" s="2" t="str">
        <f>HYPERLINK("http://ts.21cn.com/tousu/show/id/1335108","http://ts.21cn.com/tousu/show/id/1335108")</f>
        <v>http://ts.21cn.com/tousu/show/id/1335108</v>
      </c>
      <c r="F4388" s="2" t="s">
        <v>11</v>
      </c>
      <c r="G4388" s="2" t="s">
        <v>35514</v>
      </c>
      <c r="H4388" s="2" t="s">
        <v>35515</v>
      </c>
    </row>
    <row r="4389" spans="1:8" ht="25.05" customHeight="1" x14ac:dyDescent="0.25">
      <c r="A4389" s="2" t="s">
        <v>8</v>
      </c>
      <c r="B4389" s="2" t="str">
        <f>HYPERLINK("http://ts.21cn.com/tousu/show/id/1335157","苏宁购买康佳电视不到一天，画质很差，退货无门")</f>
        <v>苏宁购买康佳电视不到一天，画质很差，退货无门</v>
      </c>
      <c r="C4389" s="2" t="s">
        <v>34</v>
      </c>
      <c r="D4389" s="2" t="s">
        <v>10</v>
      </c>
      <c r="E4389" s="2" t="str">
        <f>HYPERLINK("http://ts.21cn.com/tousu/show/id/1335157","http://ts.21cn.com/tousu/show/id/1335157")</f>
        <v>http://ts.21cn.com/tousu/show/id/1335157</v>
      </c>
      <c r="F4389" s="2" t="s">
        <v>11</v>
      </c>
      <c r="G4389" s="2" t="s">
        <v>35512</v>
      </c>
      <c r="H4389" s="2" t="s">
        <v>35513</v>
      </c>
    </row>
    <row r="4390" spans="1:8" ht="25.05" customHeight="1" x14ac:dyDescent="0.25">
      <c r="A4390" s="2" t="s">
        <v>8</v>
      </c>
      <c r="B4390" s="2" t="str">
        <f>HYPERLINK("http://ts.21cn.com/tousu/show/id/1335158","快闪卡贷收砍头息，逾期费用过高")</f>
        <v>快闪卡贷收砍头息，逾期费用过高</v>
      </c>
      <c r="C4390" s="2" t="s">
        <v>34</v>
      </c>
      <c r="D4390" s="2" t="s">
        <v>10</v>
      </c>
      <c r="E4390" s="2" t="str">
        <f>HYPERLINK("http://ts.21cn.com/tousu/show/id/1335158","http://ts.21cn.com/tousu/show/id/1335158")</f>
        <v>http://ts.21cn.com/tousu/show/id/1335158</v>
      </c>
      <c r="F4390" s="2" t="s">
        <v>11</v>
      </c>
      <c r="G4390" s="2" t="s">
        <v>35510</v>
      </c>
      <c r="H4390" s="2" t="s">
        <v>35511</v>
      </c>
    </row>
    <row r="4391" spans="1:8" ht="25.05" customHeight="1" x14ac:dyDescent="0.25">
      <c r="A4391" s="2" t="s">
        <v>8</v>
      </c>
      <c r="B4391" s="2" t="str">
        <f>HYPERLINK("http://ts.21cn.com/tousu/show/id/1335146","退还全部余额以及马上拆机")</f>
        <v>退还全部余额以及马上拆机</v>
      </c>
      <c r="C4391" s="2" t="s">
        <v>9</v>
      </c>
      <c r="D4391" s="2" t="s">
        <v>10</v>
      </c>
      <c r="E4391" s="2" t="str">
        <f>HYPERLINK("http://ts.21cn.com/tousu/show/id/1335146","http://ts.21cn.com/tousu/show/id/1335146")</f>
        <v>http://ts.21cn.com/tousu/show/id/1335146</v>
      </c>
      <c r="F4391" s="2" t="s">
        <v>11</v>
      </c>
      <c r="G4391" s="2" t="s">
        <v>35508</v>
      </c>
      <c r="H4391" s="2" t="s">
        <v>35509</v>
      </c>
    </row>
    <row r="4392" spans="1:8" ht="25.05" customHeight="1" x14ac:dyDescent="0.25">
      <c r="A4392" s="2" t="s">
        <v>8</v>
      </c>
      <c r="B4392" s="2" t="str">
        <f>HYPERLINK("http://ts.21cn.com/tousu/show/id/1335159","豹子贷无故扣我299")</f>
        <v>豹子贷无故扣我299</v>
      </c>
      <c r="C4392" s="2" t="s">
        <v>9</v>
      </c>
      <c r="D4392" s="2" t="s">
        <v>10</v>
      </c>
      <c r="E4392" s="2" t="str">
        <f>HYPERLINK("http://ts.21cn.com/tousu/show/id/1335159","http://ts.21cn.com/tousu/show/id/1335159")</f>
        <v>http://ts.21cn.com/tousu/show/id/1335159</v>
      </c>
      <c r="F4392" s="2" t="s">
        <v>11</v>
      </c>
      <c r="G4392" s="2" t="s">
        <v>35506</v>
      </c>
      <c r="H4392" s="2" t="s">
        <v>35507</v>
      </c>
    </row>
    <row r="4393" spans="1:8" ht="25.05" customHeight="1" x14ac:dyDescent="0.25">
      <c r="A4393" s="2" t="s">
        <v>8</v>
      </c>
      <c r="B4393" s="2" t="str">
        <f>HYPERLINK("http://ts.21cn.com/tousu/show/id/1335160","消费中金-嘉盈顺乱扣钱")</f>
        <v>消费中金-嘉盈顺乱扣钱</v>
      </c>
      <c r="C4393" s="2" t="s">
        <v>9</v>
      </c>
      <c r="D4393" s="2" t="s">
        <v>10</v>
      </c>
      <c r="E4393" s="2" t="str">
        <f>HYPERLINK("http://ts.21cn.com/tousu/show/id/1335160","http://ts.21cn.com/tousu/show/id/1335160")</f>
        <v>http://ts.21cn.com/tousu/show/id/1335160</v>
      </c>
      <c r="F4393" s="2" t="s">
        <v>11</v>
      </c>
      <c r="G4393" s="2" t="s">
        <v>35504</v>
      </c>
      <c r="H4393" s="2" t="s">
        <v>35505</v>
      </c>
    </row>
    <row r="4394" spans="1:8" ht="25.05" customHeight="1" x14ac:dyDescent="0.25">
      <c r="A4394" s="2" t="s">
        <v>8</v>
      </c>
      <c r="B4394" s="2" t="str">
        <f>HYPERLINK("http://ts.21cn.com/tousu/show/id/1335161","现金巴士套路贷")</f>
        <v>现金巴士套路贷</v>
      </c>
      <c r="C4394" s="2" t="s">
        <v>9</v>
      </c>
      <c r="D4394" s="2" t="s">
        <v>10</v>
      </c>
      <c r="E4394" s="2" t="str">
        <f>HYPERLINK("http://ts.21cn.com/tousu/show/id/1335161","http://ts.21cn.com/tousu/show/id/1335161")</f>
        <v>http://ts.21cn.com/tousu/show/id/1335161</v>
      </c>
      <c r="F4394" s="2" t="s">
        <v>11</v>
      </c>
      <c r="G4394" s="2" t="s">
        <v>35502</v>
      </c>
      <c r="H4394" s="2" t="s">
        <v>35503</v>
      </c>
    </row>
    <row r="4395" spans="1:8" ht="25.05" customHeight="1" x14ac:dyDescent="0.25">
      <c r="A4395" s="2" t="s">
        <v>8</v>
      </c>
      <c r="B4395" s="2" t="str">
        <f>HYPERLINK("http://ts.21cn.com/tousu/show/id/1335162","广州省悦点科技有限公司高利贷")</f>
        <v>广州省悦点科技有限公司高利贷</v>
      </c>
      <c r="C4395" s="2" t="s">
        <v>9</v>
      </c>
      <c r="D4395" s="2" t="s">
        <v>10</v>
      </c>
      <c r="E4395" s="2" t="str">
        <f>HYPERLINK("http://ts.21cn.com/tousu/show/id/1335162","http://ts.21cn.com/tousu/show/id/1335162")</f>
        <v>http://ts.21cn.com/tousu/show/id/1335162</v>
      </c>
      <c r="F4395" s="2" t="s">
        <v>11</v>
      </c>
      <c r="G4395" s="2" t="s">
        <v>35500</v>
      </c>
      <c r="H4395" s="2" t="s">
        <v>35501</v>
      </c>
    </row>
    <row r="4396" spans="1:8" ht="25.05" customHeight="1" x14ac:dyDescent="0.25">
      <c r="A4396" s="2" t="s">
        <v>8</v>
      </c>
      <c r="B4396" s="2" t="str">
        <f>HYPERLINK("http://ts.21cn.com/tousu/show/id/1335163","指上旅游")</f>
        <v>指上旅游</v>
      </c>
      <c r="C4396" s="2" t="s">
        <v>9</v>
      </c>
      <c r="D4396" s="2" t="s">
        <v>10</v>
      </c>
      <c r="E4396" s="2" t="str">
        <f>HYPERLINK("http://ts.21cn.com/tousu/show/id/1335163","http://ts.21cn.com/tousu/show/id/1335163")</f>
        <v>http://ts.21cn.com/tousu/show/id/1335163</v>
      </c>
      <c r="F4396" s="2" t="s">
        <v>11</v>
      </c>
      <c r="G4396" s="2" t="s">
        <v>35498</v>
      </c>
      <c r="H4396" s="2" t="s">
        <v>35499</v>
      </c>
    </row>
    <row r="4397" spans="1:8" ht="25.05" customHeight="1" x14ac:dyDescent="0.25">
      <c r="A4397" s="2" t="s">
        <v>8</v>
      </c>
      <c r="B4397" s="2" t="str">
        <f>HYPERLINK("http://ts.21cn.com/tousu/show/id/1335164","骚扰短信")</f>
        <v>骚扰短信</v>
      </c>
      <c r="C4397" s="2" t="s">
        <v>9</v>
      </c>
      <c r="D4397" s="2" t="s">
        <v>10</v>
      </c>
      <c r="E4397" s="2" t="str">
        <f>HYPERLINK("http://ts.21cn.com/tousu/show/id/1335164","http://ts.21cn.com/tousu/show/id/1335164")</f>
        <v>http://ts.21cn.com/tousu/show/id/1335164</v>
      </c>
      <c r="F4397" s="2" t="s">
        <v>11</v>
      </c>
      <c r="G4397" s="2" t="s">
        <v>35496</v>
      </c>
      <c r="H4397" s="2" t="s">
        <v>35497</v>
      </c>
    </row>
    <row r="4398" spans="1:8" ht="25.05" customHeight="1" x14ac:dyDescent="0.25">
      <c r="A4398" s="2" t="s">
        <v>8</v>
      </c>
      <c r="B4398" s="2" t="str">
        <f>HYPERLINK("http://ts.21cn.com/tousu/show/id/1335165","闪银app哼哼套路贷")</f>
        <v>闪银app哼哼套路贷</v>
      </c>
      <c r="C4398" s="2" t="s">
        <v>9</v>
      </c>
      <c r="D4398" s="2" t="s">
        <v>10</v>
      </c>
      <c r="E4398" s="2" t="str">
        <f>HYPERLINK("http://ts.21cn.com/tousu/show/id/1335165","http://ts.21cn.com/tousu/show/id/1335165")</f>
        <v>http://ts.21cn.com/tousu/show/id/1335165</v>
      </c>
      <c r="F4398" s="2" t="s">
        <v>11</v>
      </c>
      <c r="G4398" s="2" t="s">
        <v>35494</v>
      </c>
      <c r="H4398" s="2" t="s">
        <v>35495</v>
      </c>
    </row>
    <row r="4399" spans="1:8" ht="25.05" customHeight="1" x14ac:dyDescent="0.25">
      <c r="A4399" s="2" t="s">
        <v>8</v>
      </c>
      <c r="B4399" s="2" t="str">
        <f>HYPERLINK("http://ts.21cn.com/tousu/show/id/1335166","美团酒店因优惠过大拒绝接单")</f>
        <v>美团酒店因优惠过大拒绝接单</v>
      </c>
      <c r="C4399" s="2" t="s">
        <v>9</v>
      </c>
      <c r="D4399" s="2" t="s">
        <v>10</v>
      </c>
      <c r="E4399" s="2" t="str">
        <f>HYPERLINK("http://ts.21cn.com/tousu/show/id/1335166","http://ts.21cn.com/tousu/show/id/1335166")</f>
        <v>http://ts.21cn.com/tousu/show/id/1335166</v>
      </c>
      <c r="F4399" s="2" t="s">
        <v>11</v>
      </c>
      <c r="G4399" s="2" t="s">
        <v>35492</v>
      </c>
      <c r="H4399" s="2" t="s">
        <v>35493</v>
      </c>
    </row>
    <row r="4400" spans="1:8" ht="25.05" customHeight="1" x14ac:dyDescent="0.25">
      <c r="A4400" s="2" t="s">
        <v>8</v>
      </c>
      <c r="B4400" s="2" t="str">
        <f>HYPERLINK("http://ts.21cn.com/tousu/show/id/1335167","交通银行信用卡")</f>
        <v>交通银行信用卡</v>
      </c>
      <c r="C4400" s="2" t="s">
        <v>9</v>
      </c>
      <c r="D4400" s="2" t="s">
        <v>10</v>
      </c>
      <c r="E4400" s="2" t="str">
        <f>HYPERLINK("http://ts.21cn.com/tousu/show/id/1335167","http://ts.21cn.com/tousu/show/id/1335167")</f>
        <v>http://ts.21cn.com/tousu/show/id/1335167</v>
      </c>
      <c r="F4400" s="2" t="s">
        <v>11</v>
      </c>
      <c r="G4400" s="2" t="s">
        <v>35490</v>
      </c>
      <c r="H4400" s="2" t="s">
        <v>35491</v>
      </c>
    </row>
    <row r="4401" spans="1:8" ht="25.05" customHeight="1" x14ac:dyDescent="0.25">
      <c r="A4401" s="2" t="s">
        <v>8</v>
      </c>
      <c r="B4401" s="2" t="str">
        <f>HYPERLINK("http://ts.21cn.com/tousu/show/id/1335169","钱站高利贷")</f>
        <v>钱站高利贷</v>
      </c>
      <c r="C4401" s="2" t="s">
        <v>9</v>
      </c>
      <c r="D4401" s="2" t="s">
        <v>10</v>
      </c>
      <c r="E4401" s="2" t="str">
        <f>HYPERLINK("http://ts.21cn.com/tousu/show/id/1335169","http://ts.21cn.com/tousu/show/id/1335169")</f>
        <v>http://ts.21cn.com/tousu/show/id/1335169</v>
      </c>
      <c r="F4401" s="2" t="s">
        <v>11</v>
      </c>
      <c r="G4401" s="2" t="s">
        <v>35488</v>
      </c>
      <c r="H4401" s="2" t="s">
        <v>35489</v>
      </c>
    </row>
    <row r="4402" spans="1:8" ht="25.05" customHeight="1" x14ac:dyDescent="0.25">
      <c r="A4402" s="2" t="s">
        <v>8</v>
      </c>
      <c r="B4402" s="2" t="str">
        <f>HYPERLINK("http://ts.21cn.com/tousu/show/id/1335168","延期还款")</f>
        <v>延期还款</v>
      </c>
      <c r="C4402" s="2" t="s">
        <v>34</v>
      </c>
      <c r="D4402" s="2" t="s">
        <v>10</v>
      </c>
      <c r="E4402" s="2" t="str">
        <f>HYPERLINK("http://ts.21cn.com/tousu/show/id/1335168","http://ts.21cn.com/tousu/show/id/1335168")</f>
        <v>http://ts.21cn.com/tousu/show/id/1335168</v>
      </c>
      <c r="F4402" s="2" t="s">
        <v>11</v>
      </c>
      <c r="G4402" s="2" t="s">
        <v>35486</v>
      </c>
      <c r="H4402" s="2" t="s">
        <v>35487</v>
      </c>
    </row>
    <row r="4403" spans="1:8" ht="25.05" customHeight="1" x14ac:dyDescent="0.25">
      <c r="A4403" s="2" t="s">
        <v>8</v>
      </c>
      <c r="B4403" s="2" t="str">
        <f>HYPERLINK("http://ts.21cn.com/tousu/show/id/1335170","你好，智行火车票我改的手动自己支付，不知道怎么的后来还是自动扣款了，而且我还不知道，现在过了一天才发现，说是没有办法退款")</f>
        <v>你好，智行火车票我改的手动自己支付，不知道怎么的后来还是自动扣款了，而且我还不知道，现在过了一天才发现，说是没有办法退款</v>
      </c>
      <c r="C4403" s="2" t="s">
        <v>9</v>
      </c>
      <c r="D4403" s="2" t="s">
        <v>10</v>
      </c>
      <c r="E4403" s="2" t="str">
        <f>HYPERLINK("http://ts.21cn.com/tousu/show/id/1335170","http://ts.21cn.com/tousu/show/id/1335170")</f>
        <v>http://ts.21cn.com/tousu/show/id/1335170</v>
      </c>
      <c r="F4403" s="2" t="s">
        <v>11</v>
      </c>
      <c r="G4403" s="2" t="s">
        <v>35484</v>
      </c>
      <c r="H4403" s="2" t="s">
        <v>35485</v>
      </c>
    </row>
    <row r="4404" spans="1:8" ht="25.05" customHeight="1" x14ac:dyDescent="0.25">
      <c r="A4404" s="2" t="s">
        <v>8</v>
      </c>
      <c r="B4404" s="2" t="str">
        <f>HYPERLINK("http://ts.21cn.com/tousu/show/id/1335171","误导消费者请求退款")</f>
        <v>误导消费者请求退款</v>
      </c>
      <c r="C4404" s="2" t="s">
        <v>9</v>
      </c>
      <c r="D4404" s="2" t="s">
        <v>10</v>
      </c>
      <c r="E4404" s="2" t="str">
        <f>HYPERLINK("http://ts.21cn.com/tousu/show/id/1335171","http://ts.21cn.com/tousu/show/id/1335171")</f>
        <v>http://ts.21cn.com/tousu/show/id/1335171</v>
      </c>
      <c r="F4404" s="2" t="s">
        <v>11</v>
      </c>
      <c r="G4404" s="2" t="s">
        <v>35482</v>
      </c>
      <c r="H4404" s="2" t="s">
        <v>35483</v>
      </c>
    </row>
    <row r="4405" spans="1:8" ht="25.05" customHeight="1" x14ac:dyDescent="0.25">
      <c r="A4405" s="2" t="s">
        <v>8</v>
      </c>
      <c r="B4405" s="2" t="str">
        <f>HYPERLINK("http://ts.21cn.com/tousu/show/id/1335172","百度贴吧吧主删帖，不能反应事实")</f>
        <v>百度贴吧吧主删帖，不能反应事实</v>
      </c>
      <c r="C4405" s="2" t="s">
        <v>9</v>
      </c>
      <c r="D4405" s="2" t="s">
        <v>10</v>
      </c>
      <c r="E4405" s="2" t="str">
        <f>HYPERLINK("http://ts.21cn.com/tousu/show/id/1335172","http://ts.21cn.com/tousu/show/id/1335172")</f>
        <v>http://ts.21cn.com/tousu/show/id/1335172</v>
      </c>
      <c r="F4405" s="2" t="s">
        <v>11</v>
      </c>
      <c r="G4405" s="2" t="s">
        <v>35480</v>
      </c>
      <c r="H4405" s="2" t="s">
        <v>35481</v>
      </c>
    </row>
    <row r="4406" spans="1:8" ht="25.05" customHeight="1" x14ac:dyDescent="0.25">
      <c r="A4406" s="2" t="s">
        <v>8</v>
      </c>
      <c r="B4406" s="2" t="str">
        <f>HYPERLINK("http://ts.21cn.com/tousu/show/id/1335174","小赢卡贷协商今日还款")</f>
        <v>小赢卡贷协商今日还款</v>
      </c>
      <c r="C4406" s="2" t="s">
        <v>34</v>
      </c>
      <c r="D4406" s="2" t="s">
        <v>10</v>
      </c>
      <c r="E4406" s="2" t="str">
        <f>HYPERLINK("http://ts.21cn.com/tousu/show/id/1335174","http://ts.21cn.com/tousu/show/id/1335174")</f>
        <v>http://ts.21cn.com/tousu/show/id/1335174</v>
      </c>
      <c r="F4406" s="2" t="s">
        <v>11</v>
      </c>
      <c r="G4406" s="2" t="s">
        <v>35478</v>
      </c>
      <c r="H4406" s="2" t="s">
        <v>35479</v>
      </c>
    </row>
    <row r="4407" spans="1:8" ht="25.05" customHeight="1" x14ac:dyDescent="0.25">
      <c r="A4407" s="2" t="s">
        <v>8</v>
      </c>
      <c r="B4407" s="2" t="str">
        <f>HYPERLINK("http://ts.21cn.com/tousu/show/id/1335175","玖富万卡擅自改写合同，变相收取费用，高利贷")</f>
        <v>玖富万卡擅自改写合同，变相收取费用，高利贷</v>
      </c>
      <c r="C4407" s="2" t="s">
        <v>9</v>
      </c>
      <c r="D4407" s="2" t="s">
        <v>10</v>
      </c>
      <c r="E4407" s="2" t="str">
        <f>HYPERLINK("http://ts.21cn.com/tousu/show/id/1335175","http://ts.21cn.com/tousu/show/id/1335175")</f>
        <v>http://ts.21cn.com/tousu/show/id/1335175</v>
      </c>
      <c r="F4407" s="2" t="s">
        <v>11</v>
      </c>
      <c r="G4407" s="2" t="s">
        <v>35476</v>
      </c>
      <c r="H4407" s="2" t="s">
        <v>35477</v>
      </c>
    </row>
    <row r="4408" spans="1:8" ht="25.05" customHeight="1" x14ac:dyDescent="0.25">
      <c r="A4408" s="2" t="s">
        <v>8</v>
      </c>
      <c r="B4408" s="2" t="str">
        <f>HYPERLINK("http://ts.21cn.com/tousu/show/id/1335176","安全带高利贷砍头期")</f>
        <v>安全带高利贷砍头期</v>
      </c>
      <c r="C4408" s="2" t="s">
        <v>9</v>
      </c>
      <c r="D4408" s="2" t="s">
        <v>10</v>
      </c>
      <c r="E4408" s="2" t="str">
        <f>HYPERLINK("http://ts.21cn.com/tousu/show/id/1335176","http://ts.21cn.com/tousu/show/id/1335176")</f>
        <v>http://ts.21cn.com/tousu/show/id/1335176</v>
      </c>
      <c r="F4408" s="2" t="s">
        <v>11</v>
      </c>
      <c r="G4408" s="2" t="s">
        <v>35474</v>
      </c>
      <c r="H4408" s="2" t="s">
        <v>35475</v>
      </c>
    </row>
    <row r="4409" spans="1:8" ht="25.05" customHeight="1" x14ac:dyDescent="0.25">
      <c r="A4409" s="2" t="s">
        <v>8</v>
      </c>
      <c r="B4409" s="2" t="str">
        <f>HYPERLINK("http://ts.21cn.com/tousu/show/id/1334302","肥猫贷暴力催收高利贷")</f>
        <v>肥猫贷暴力催收高利贷</v>
      </c>
      <c r="C4409" s="2" t="s">
        <v>9</v>
      </c>
      <c r="D4409" s="2" t="s">
        <v>10</v>
      </c>
      <c r="E4409" s="2" t="str">
        <f>HYPERLINK("http://ts.21cn.com/tousu/show/id/1334302","http://ts.21cn.com/tousu/show/id/1334302")</f>
        <v>http://ts.21cn.com/tousu/show/id/1334302</v>
      </c>
      <c r="F4409" s="2" t="s">
        <v>11</v>
      </c>
      <c r="G4409" s="2" t="s">
        <v>35472</v>
      </c>
      <c r="H4409" s="2" t="s">
        <v>35473</v>
      </c>
    </row>
    <row r="4410" spans="1:8" ht="25.05" customHeight="1" x14ac:dyDescent="0.25">
      <c r="A4410" s="2" t="s">
        <v>8</v>
      </c>
      <c r="B4410" s="2" t="str">
        <f>HYPERLINK("http://ts.21cn.com/tousu/show/id/1335177","ETC被限制走不了高速，在锁卡前几次询问客服人员未得到解决")</f>
        <v>ETC被限制走不了高速，在锁卡前几次询问客服人员未得到解决</v>
      </c>
      <c r="C4410" s="2" t="s">
        <v>9</v>
      </c>
      <c r="D4410" s="2" t="s">
        <v>10</v>
      </c>
      <c r="E4410" s="2" t="str">
        <f>HYPERLINK("http://ts.21cn.com/tousu/show/id/1335177","http://ts.21cn.com/tousu/show/id/1335177")</f>
        <v>http://ts.21cn.com/tousu/show/id/1335177</v>
      </c>
      <c r="F4410" s="2" t="s">
        <v>11</v>
      </c>
      <c r="G4410" s="2" t="s">
        <v>35470</v>
      </c>
      <c r="H4410" s="2" t="s">
        <v>35471</v>
      </c>
    </row>
    <row r="4411" spans="1:8" ht="25.05" customHeight="1" x14ac:dyDescent="0.25">
      <c r="A4411" s="2" t="s">
        <v>8</v>
      </c>
      <c r="B4411" s="2" t="str">
        <f>HYPERLINK("http://ts.21cn.com/tousu/show/id/1335179","华夏银行信用卡销户销不掉")</f>
        <v>华夏银行信用卡销户销不掉</v>
      </c>
      <c r="C4411" s="2" t="s">
        <v>9</v>
      </c>
      <c r="D4411" s="2" t="s">
        <v>10</v>
      </c>
      <c r="E4411" s="2" t="str">
        <f>HYPERLINK("http://ts.21cn.com/tousu/show/id/1335179","http://ts.21cn.com/tousu/show/id/1335179")</f>
        <v>http://ts.21cn.com/tousu/show/id/1335179</v>
      </c>
      <c r="F4411" s="2" t="s">
        <v>11</v>
      </c>
      <c r="G4411" s="2" t="s">
        <v>35468</v>
      </c>
      <c r="H4411" s="2" t="s">
        <v>35469</v>
      </c>
    </row>
    <row r="4412" spans="1:8" ht="25.05" customHeight="1" x14ac:dyDescent="0.25">
      <c r="A4412" s="2" t="s">
        <v>8</v>
      </c>
      <c r="B4412" s="2" t="str">
        <f>HYPERLINK("http://ts.21cn.com/tousu/show/id/1335178","网络公司恶意盗刷银行卡")</f>
        <v>网络公司恶意盗刷银行卡</v>
      </c>
      <c r="C4412" s="2" t="s">
        <v>9</v>
      </c>
      <c r="D4412" s="2" t="s">
        <v>10</v>
      </c>
      <c r="E4412" s="2" t="str">
        <f>HYPERLINK("http://ts.21cn.com/tousu/show/id/1335178","http://ts.21cn.com/tousu/show/id/1335178")</f>
        <v>http://ts.21cn.com/tousu/show/id/1335178</v>
      </c>
      <c r="F4412" s="2" t="s">
        <v>11</v>
      </c>
      <c r="G4412" s="2" t="s">
        <v>35466</v>
      </c>
      <c r="H4412" s="2" t="s">
        <v>35467</v>
      </c>
    </row>
    <row r="4413" spans="1:8" ht="25.05" customHeight="1" x14ac:dyDescent="0.25">
      <c r="A4413" s="2" t="s">
        <v>8</v>
      </c>
      <c r="B4413" s="2" t="str">
        <f>HYPERLINK("http://ts.21cn.com/tousu/show/id/1335180","分期鸭涉嫌高利贷")</f>
        <v>分期鸭涉嫌高利贷</v>
      </c>
      <c r="C4413" s="2" t="s">
        <v>9</v>
      </c>
      <c r="D4413" s="2" t="s">
        <v>10</v>
      </c>
      <c r="E4413" s="2" t="str">
        <f>HYPERLINK("http://ts.21cn.com/tousu/show/id/1335180","http://ts.21cn.com/tousu/show/id/1335180")</f>
        <v>http://ts.21cn.com/tousu/show/id/1335180</v>
      </c>
      <c r="F4413" s="2" t="s">
        <v>11</v>
      </c>
      <c r="G4413" s="2" t="s">
        <v>35464</v>
      </c>
      <c r="H4413" s="2" t="s">
        <v>35465</v>
      </c>
    </row>
    <row r="4414" spans="1:8" ht="25.05" customHeight="1" x14ac:dyDescent="0.25">
      <c r="A4414" s="2" t="s">
        <v>8</v>
      </c>
      <c r="B4414" s="2" t="str">
        <f>HYPERLINK("http://ts.21cn.com/tousu/show/id/1335181","招联金融电话骚扰")</f>
        <v>招联金融电话骚扰</v>
      </c>
      <c r="C4414" s="2" t="s">
        <v>9</v>
      </c>
      <c r="D4414" s="2" t="s">
        <v>10</v>
      </c>
      <c r="E4414" s="2" t="str">
        <f>HYPERLINK("http://ts.21cn.com/tousu/show/id/1335181","http://ts.21cn.com/tousu/show/id/1335181")</f>
        <v>http://ts.21cn.com/tousu/show/id/1335181</v>
      </c>
      <c r="F4414" s="2" t="s">
        <v>11</v>
      </c>
      <c r="G4414" s="2" t="s">
        <v>35462</v>
      </c>
      <c r="H4414" s="2" t="s">
        <v>35463</v>
      </c>
    </row>
    <row r="4415" spans="1:8" ht="25.05" customHeight="1" x14ac:dyDescent="0.25">
      <c r="A4415" s="2" t="s">
        <v>8</v>
      </c>
      <c r="B4415" s="2" t="str">
        <f>HYPERLINK("http://ts.21cn.com/tousu/show/id/1335182","我来贷旗下掏新机暴力催收")</f>
        <v>我来贷旗下掏新机暴力催收</v>
      </c>
      <c r="C4415" s="2" t="s">
        <v>9</v>
      </c>
      <c r="D4415" s="2" t="s">
        <v>10</v>
      </c>
      <c r="E4415" s="2" t="str">
        <f>HYPERLINK("http://ts.21cn.com/tousu/show/id/1335182","http://ts.21cn.com/tousu/show/id/1335182")</f>
        <v>http://ts.21cn.com/tousu/show/id/1335182</v>
      </c>
      <c r="F4415" s="2" t="s">
        <v>11</v>
      </c>
      <c r="G4415" s="2" t="s">
        <v>35460</v>
      </c>
      <c r="H4415" s="2" t="s">
        <v>35461</v>
      </c>
    </row>
    <row r="4416" spans="1:8" ht="25.05" customHeight="1" x14ac:dyDescent="0.25">
      <c r="A4416" s="2" t="s">
        <v>8</v>
      </c>
      <c r="B4416" s="2" t="str">
        <f>HYPERLINK("http://ts.21cn.com/tousu/show/id/1335183","51人品贷暴力催收")</f>
        <v>51人品贷暴力催收</v>
      </c>
      <c r="C4416" s="2" t="s">
        <v>9</v>
      </c>
      <c r="D4416" s="2" t="s">
        <v>10</v>
      </c>
      <c r="E4416" s="2" t="str">
        <f>HYPERLINK("http://ts.21cn.com/tousu/show/id/1335183","http://ts.21cn.com/tousu/show/id/1335183")</f>
        <v>http://ts.21cn.com/tousu/show/id/1335183</v>
      </c>
      <c r="F4416" s="2" t="s">
        <v>11</v>
      </c>
      <c r="G4416" s="2" t="s">
        <v>35458</v>
      </c>
      <c r="H4416" s="2" t="s">
        <v>35459</v>
      </c>
    </row>
    <row r="4417" spans="1:8" ht="25.05" customHeight="1" x14ac:dyDescent="0.25">
      <c r="A4417" s="2" t="s">
        <v>8</v>
      </c>
      <c r="B4417" s="2" t="str">
        <f>HYPERLINK("http://ts.21cn.com/tousu/show/id/1335184","招联金融暴力催收解决不满意")</f>
        <v>招联金融暴力催收解决不满意</v>
      </c>
      <c r="C4417" s="2" t="s">
        <v>9</v>
      </c>
      <c r="D4417" s="2" t="s">
        <v>10</v>
      </c>
      <c r="E4417" s="2" t="str">
        <f>HYPERLINK("http://ts.21cn.com/tousu/show/id/1335184","http://ts.21cn.com/tousu/show/id/1335184")</f>
        <v>http://ts.21cn.com/tousu/show/id/1335184</v>
      </c>
      <c r="F4417" s="2" t="s">
        <v>11</v>
      </c>
      <c r="G4417" s="2" t="s">
        <v>35456</v>
      </c>
      <c r="H4417" s="2" t="s">
        <v>35457</v>
      </c>
    </row>
    <row r="4418" spans="1:8" ht="25.05" customHeight="1" x14ac:dyDescent="0.25">
      <c r="A4418" s="2" t="s">
        <v>8</v>
      </c>
      <c r="B4418" s="2" t="str">
        <f>HYPERLINK("http://ts.21cn.com/tousu/show/id/1335185","利息太高，协商还款")</f>
        <v>利息太高，协商还款</v>
      </c>
      <c r="C4418" s="2" t="s">
        <v>9</v>
      </c>
      <c r="D4418" s="2" t="s">
        <v>10</v>
      </c>
      <c r="E4418" s="2" t="str">
        <f>HYPERLINK("http://ts.21cn.com/tousu/show/id/1335185","http://ts.21cn.com/tousu/show/id/1335185")</f>
        <v>http://ts.21cn.com/tousu/show/id/1335185</v>
      </c>
      <c r="F4418" s="2" t="s">
        <v>11</v>
      </c>
      <c r="G4418" s="2" t="s">
        <v>35454</v>
      </c>
      <c r="H4418" s="2" t="s">
        <v>35455</v>
      </c>
    </row>
    <row r="4419" spans="1:8" ht="25.05" customHeight="1" x14ac:dyDescent="0.25">
      <c r="A4419" s="2" t="s">
        <v>8</v>
      </c>
      <c r="B4419" s="2" t="str">
        <f>HYPERLINK("http://ts.21cn.com/tousu/show/id/1335187","百度贴吧乱封别人账号")</f>
        <v>百度贴吧乱封别人账号</v>
      </c>
      <c r="C4419" s="2" t="s">
        <v>34</v>
      </c>
      <c r="D4419" s="2" t="s">
        <v>10</v>
      </c>
      <c r="E4419" s="2" t="str">
        <f>HYPERLINK("http://ts.21cn.com/tousu/show/id/1335187","http://ts.21cn.com/tousu/show/id/1335187")</f>
        <v>http://ts.21cn.com/tousu/show/id/1335187</v>
      </c>
      <c r="F4419" s="2" t="s">
        <v>11</v>
      </c>
      <c r="G4419" s="2" t="s">
        <v>35452</v>
      </c>
      <c r="H4419" s="2" t="s">
        <v>35453</v>
      </c>
    </row>
    <row r="4420" spans="1:8" ht="25.05" customHeight="1" x14ac:dyDescent="0.25">
      <c r="A4420" s="2" t="s">
        <v>8</v>
      </c>
      <c r="B4420" s="2" t="str">
        <f>HYPERLINK("http://ts.21cn.com/tousu/show/id/1335189","关于美约app乱扣费问题，免费试用后，自动续费会员一年298元")</f>
        <v>关于美约app乱扣费问题，免费试用后，自动续费会员一年298元</v>
      </c>
      <c r="C4420" s="2" t="s">
        <v>34</v>
      </c>
      <c r="D4420" s="2" t="s">
        <v>10</v>
      </c>
      <c r="E4420" s="2" t="str">
        <f>HYPERLINK("http://ts.21cn.com/tousu/show/id/1335189","http://ts.21cn.com/tousu/show/id/1335189")</f>
        <v>http://ts.21cn.com/tousu/show/id/1335189</v>
      </c>
      <c r="F4420" s="2" t="s">
        <v>11</v>
      </c>
      <c r="G4420" s="2" t="s">
        <v>35450</v>
      </c>
      <c r="H4420" s="2" t="s">
        <v>35451</v>
      </c>
    </row>
    <row r="4421" spans="1:8" ht="25.05" customHeight="1" x14ac:dyDescent="0.25">
      <c r="A4421" s="2" t="s">
        <v>8</v>
      </c>
      <c r="B4421" s="2" t="str">
        <f>HYPERLINK("http://ts.21cn.com/tousu/show/id/1335192","淘集集400多一直拖着不退款.还说我发回去的不是他发过来的商品！！！！商家电话还是空号")</f>
        <v>淘集集400多一直拖着不退款.还说我发回去的不是他发过来的商品！！！！商家电话还是空号</v>
      </c>
      <c r="C4421" s="2" t="s">
        <v>9</v>
      </c>
      <c r="D4421" s="2" t="s">
        <v>10</v>
      </c>
      <c r="E4421" s="2" t="str">
        <f>HYPERLINK("http://ts.21cn.com/tousu/show/id/1335192","http://ts.21cn.com/tousu/show/id/1335192")</f>
        <v>http://ts.21cn.com/tousu/show/id/1335192</v>
      </c>
      <c r="F4421" s="2" t="s">
        <v>11</v>
      </c>
      <c r="G4421" s="2" t="s">
        <v>35448</v>
      </c>
      <c r="H4421" s="2" t="s">
        <v>35449</v>
      </c>
    </row>
    <row r="4422" spans="1:8" ht="25.05" customHeight="1" x14ac:dyDescent="0.25">
      <c r="A4422" s="2" t="s">
        <v>8</v>
      </c>
      <c r="B4422" s="2" t="str">
        <f>HYPERLINK("http://ts.21cn.com/tousu/show/id/1335191","骚扰")</f>
        <v>骚扰</v>
      </c>
      <c r="C4422" s="2" t="s">
        <v>9</v>
      </c>
      <c r="D4422" s="2" t="s">
        <v>10</v>
      </c>
      <c r="E4422" s="2" t="str">
        <f>HYPERLINK("http://ts.21cn.com/tousu/show/id/1335191","http://ts.21cn.com/tousu/show/id/1335191")</f>
        <v>http://ts.21cn.com/tousu/show/id/1335191</v>
      </c>
      <c r="F4422" s="2" t="s">
        <v>11</v>
      </c>
      <c r="G4422" s="2" t="s">
        <v>35446</v>
      </c>
      <c r="H4422" s="2" t="s">
        <v>35447</v>
      </c>
    </row>
    <row r="4423" spans="1:8" ht="25.05" customHeight="1" x14ac:dyDescent="0.25">
      <c r="A4423" s="2" t="s">
        <v>8</v>
      </c>
      <c r="B4423" s="2" t="str">
        <f>HYPERLINK("http://ts.21cn.com/tousu/show/id/1335196","小黑鱼，点心贷借款2000偷偷扣除500元保险费，存在欺诈行为。")</f>
        <v>小黑鱼，点心贷借款2000偷偷扣除500元保险费，存在欺诈行为。</v>
      </c>
      <c r="C4423" s="2" t="s">
        <v>9</v>
      </c>
      <c r="D4423" s="2" t="s">
        <v>10</v>
      </c>
      <c r="E4423" s="2" t="str">
        <f>HYPERLINK("http://ts.21cn.com/tousu/show/id/1335196","http://ts.21cn.com/tousu/show/id/1335196")</f>
        <v>http://ts.21cn.com/tousu/show/id/1335196</v>
      </c>
      <c r="F4423" s="2" t="s">
        <v>11</v>
      </c>
      <c r="G4423" s="2" t="s">
        <v>35445</v>
      </c>
      <c r="H4423" s="2" t="s">
        <v>35444</v>
      </c>
    </row>
    <row r="4424" spans="1:8" ht="25.05" customHeight="1" x14ac:dyDescent="0.25">
      <c r="A4424" s="2" t="s">
        <v>8</v>
      </c>
      <c r="B4424" s="2" t="str">
        <f>HYPERLINK("http://ts.21cn.com/tousu/show/id/1335197","小黑鱼，点心贷借款2000偷偷扣除500元保险费，存在欺诈行为。")</f>
        <v>小黑鱼，点心贷借款2000偷偷扣除500元保险费，存在欺诈行为。</v>
      </c>
      <c r="C4424" s="2" t="s">
        <v>9</v>
      </c>
      <c r="D4424" s="2" t="s">
        <v>10</v>
      </c>
      <c r="E4424" s="2" t="str">
        <f>HYPERLINK("http://ts.21cn.com/tousu/show/id/1335197","http://ts.21cn.com/tousu/show/id/1335197")</f>
        <v>http://ts.21cn.com/tousu/show/id/1335197</v>
      </c>
      <c r="F4424" s="2" t="s">
        <v>11</v>
      </c>
      <c r="G4424" s="2" t="s">
        <v>35443</v>
      </c>
      <c r="H4424" s="2" t="s">
        <v>35444</v>
      </c>
    </row>
    <row r="4425" spans="1:8" ht="25.05" customHeight="1" x14ac:dyDescent="0.25">
      <c r="A4425" s="2" t="s">
        <v>8</v>
      </c>
      <c r="B4425" s="2" t="str">
        <f>HYPERLINK("http://ts.21cn.com/tousu/show/id/1335193","快闪卡贷，砍头息，高利贷")</f>
        <v>快闪卡贷，砍头息，高利贷</v>
      </c>
      <c r="C4425" s="2" t="s">
        <v>9</v>
      </c>
      <c r="D4425" s="2" t="s">
        <v>10</v>
      </c>
      <c r="E4425" s="2" t="str">
        <f>HYPERLINK("http://ts.21cn.com/tousu/show/id/1335193","http://ts.21cn.com/tousu/show/id/1335193")</f>
        <v>http://ts.21cn.com/tousu/show/id/1335193</v>
      </c>
      <c r="F4425" s="2" t="s">
        <v>11</v>
      </c>
      <c r="G4425" s="2" t="s">
        <v>35441</v>
      </c>
      <c r="H4425" s="2" t="s">
        <v>35442</v>
      </c>
    </row>
    <row r="4426" spans="1:8" ht="25.05" customHeight="1" x14ac:dyDescent="0.25">
      <c r="A4426" s="2" t="s">
        <v>8</v>
      </c>
      <c r="B4426" s="2" t="str">
        <f>HYPERLINK("http://ts.21cn.com/tousu/show/id/1335194","小黄车欺诈营销，将199押金转年卡")</f>
        <v>小黄车欺诈营销，将199押金转年卡</v>
      </c>
      <c r="C4426" s="2" t="s">
        <v>9</v>
      </c>
      <c r="D4426" s="2" t="s">
        <v>10</v>
      </c>
      <c r="E4426" s="2" t="str">
        <f>HYPERLINK("http://ts.21cn.com/tousu/show/id/1335194","http://ts.21cn.com/tousu/show/id/1335194")</f>
        <v>http://ts.21cn.com/tousu/show/id/1335194</v>
      </c>
      <c r="F4426" s="2" t="s">
        <v>11</v>
      </c>
      <c r="G4426" s="2" t="s">
        <v>35439</v>
      </c>
      <c r="H4426" s="2" t="s">
        <v>35440</v>
      </c>
    </row>
    <row r="4427" spans="1:8" ht="25.05" customHeight="1" x14ac:dyDescent="0.25">
      <c r="A4427" s="2" t="s">
        <v>8</v>
      </c>
      <c r="B4427" s="2" t="str">
        <f>HYPERLINK("http://ts.21cn.com/tousu/show/id/1335195","壹心分期高利贷")</f>
        <v>壹心分期高利贷</v>
      </c>
      <c r="C4427" s="2" t="s">
        <v>9</v>
      </c>
      <c r="D4427" s="2" t="s">
        <v>10</v>
      </c>
      <c r="E4427" s="2" t="str">
        <f>HYPERLINK("http://ts.21cn.com/tousu/show/id/1335195","http://ts.21cn.com/tousu/show/id/1335195")</f>
        <v>http://ts.21cn.com/tousu/show/id/1335195</v>
      </c>
      <c r="F4427" s="2" t="s">
        <v>11</v>
      </c>
      <c r="G4427" s="2" t="s">
        <v>35437</v>
      </c>
      <c r="H4427" s="2" t="s">
        <v>35438</v>
      </c>
    </row>
    <row r="4428" spans="1:8" ht="25.05" customHeight="1" x14ac:dyDescent="0.25">
      <c r="A4428" s="2" t="s">
        <v>8</v>
      </c>
      <c r="B4428" s="2" t="str">
        <f>HYPERLINK("http://ts.21cn.com/tousu/show/id/1335198","葡萄分期714高炮")</f>
        <v>葡萄分期714高炮</v>
      </c>
      <c r="C4428" s="2" t="s">
        <v>9</v>
      </c>
      <c r="D4428" s="2" t="s">
        <v>10</v>
      </c>
      <c r="E4428" s="2" t="str">
        <f>HYPERLINK("http://ts.21cn.com/tousu/show/id/1335198","http://ts.21cn.com/tousu/show/id/1335198")</f>
        <v>http://ts.21cn.com/tousu/show/id/1335198</v>
      </c>
      <c r="F4428" s="2" t="s">
        <v>11</v>
      </c>
      <c r="G4428" s="2" t="s">
        <v>35435</v>
      </c>
      <c r="H4428" s="2" t="s">
        <v>35436</v>
      </c>
    </row>
    <row r="4429" spans="1:8" ht="25.05" customHeight="1" x14ac:dyDescent="0.25">
      <c r="A4429" s="2" t="s">
        <v>8</v>
      </c>
      <c r="B4429" s="2" t="str">
        <f>HYPERLINK("http://ts.21cn.com/tousu/show/id/1335173","投诉分期乐开通黑卡额度给我冻结收取黑卡费用却没有服务")</f>
        <v>投诉分期乐开通黑卡额度给我冻结收取黑卡费用却没有服务</v>
      </c>
      <c r="C4429" s="2" t="s">
        <v>9</v>
      </c>
      <c r="D4429" s="2" t="s">
        <v>10</v>
      </c>
      <c r="E4429" s="2" t="str">
        <f>HYPERLINK("http://ts.21cn.com/tousu/show/id/1335173","http://ts.21cn.com/tousu/show/id/1335173")</f>
        <v>http://ts.21cn.com/tousu/show/id/1335173</v>
      </c>
      <c r="F4429" s="2" t="s">
        <v>11</v>
      </c>
      <c r="G4429" s="2" t="s">
        <v>35433</v>
      </c>
      <c r="H4429" s="2" t="s">
        <v>35434</v>
      </c>
    </row>
    <row r="4430" spans="1:8" ht="25.05" customHeight="1" x14ac:dyDescent="0.25">
      <c r="A4430" s="2" t="s">
        <v>8</v>
      </c>
      <c r="B4430" s="2" t="str">
        <f>HYPERLINK("http://ts.21cn.com/tousu/show/id/1335199","卡卡贷暴力催收")</f>
        <v>卡卡贷暴力催收</v>
      </c>
      <c r="C4430" s="2" t="s">
        <v>9</v>
      </c>
      <c r="D4430" s="2" t="s">
        <v>10</v>
      </c>
      <c r="E4430" s="2" t="str">
        <f>HYPERLINK("http://ts.21cn.com/tousu/show/id/1335199","http://ts.21cn.com/tousu/show/id/1335199")</f>
        <v>http://ts.21cn.com/tousu/show/id/1335199</v>
      </c>
      <c r="F4430" s="2" t="s">
        <v>11</v>
      </c>
      <c r="G4430" s="2" t="s">
        <v>35431</v>
      </c>
      <c r="H4430" s="2" t="s">
        <v>35432</v>
      </c>
    </row>
    <row r="4431" spans="1:8" ht="25.05" customHeight="1" x14ac:dyDescent="0.25">
      <c r="A4431" s="2" t="s">
        <v>8</v>
      </c>
      <c r="B4431" s="2" t="str">
        <f>HYPERLINK("http://ts.21cn.com/tousu/show/id/1335200","套路贷，故意无法还款增加逾期费，高利贷")</f>
        <v>套路贷，故意无法还款增加逾期费，高利贷</v>
      </c>
      <c r="C4431" s="2" t="s">
        <v>9</v>
      </c>
      <c r="D4431" s="2" t="s">
        <v>10</v>
      </c>
      <c r="E4431" s="2" t="str">
        <f>HYPERLINK("http://ts.21cn.com/tousu/show/id/1335200","http://ts.21cn.com/tousu/show/id/1335200")</f>
        <v>http://ts.21cn.com/tousu/show/id/1335200</v>
      </c>
      <c r="F4431" s="2" t="s">
        <v>11</v>
      </c>
      <c r="G4431" s="2" t="s">
        <v>35429</v>
      </c>
      <c r="H4431" s="2" t="s">
        <v>35430</v>
      </c>
    </row>
    <row r="4432" spans="1:8" ht="25.05" customHeight="1" x14ac:dyDescent="0.25">
      <c r="A4432" s="2" t="s">
        <v>8</v>
      </c>
      <c r="B4432" s="2" t="str">
        <f>HYPERLINK("http://ts.21cn.com/tousu/show/id/1335201","牛人有品砍头息")</f>
        <v>牛人有品砍头息</v>
      </c>
      <c r="C4432" s="2" t="s">
        <v>9</v>
      </c>
      <c r="D4432" s="2" t="s">
        <v>10</v>
      </c>
      <c r="E4432" s="2" t="str">
        <f>HYPERLINK("http://ts.21cn.com/tousu/show/id/1335201","http://ts.21cn.com/tousu/show/id/1335201")</f>
        <v>http://ts.21cn.com/tousu/show/id/1335201</v>
      </c>
      <c r="F4432" s="2" t="s">
        <v>11</v>
      </c>
      <c r="G4432" s="2" t="s">
        <v>35427</v>
      </c>
      <c r="H4432" s="2" t="s">
        <v>35428</v>
      </c>
    </row>
    <row r="4433" spans="1:8" ht="25.05" customHeight="1" x14ac:dyDescent="0.25">
      <c r="A4433" s="2" t="s">
        <v>8</v>
      </c>
      <c r="B4433" s="2" t="str">
        <f>HYPERLINK("http://ts.21cn.com/tousu/show/id/1335202","拍拍贷逾期利息高，并且要爆我通讯录")</f>
        <v>拍拍贷逾期利息高，并且要爆我通讯录</v>
      </c>
      <c r="C4433" s="2" t="s">
        <v>34</v>
      </c>
      <c r="D4433" s="2" t="s">
        <v>10</v>
      </c>
      <c r="E4433" s="2" t="str">
        <f>HYPERLINK("http://ts.21cn.com/tousu/show/id/1335202","http://ts.21cn.com/tousu/show/id/1335202")</f>
        <v>http://ts.21cn.com/tousu/show/id/1335202</v>
      </c>
      <c r="F4433" s="2" t="s">
        <v>11</v>
      </c>
      <c r="G4433" s="2" t="s">
        <v>35425</v>
      </c>
      <c r="H4433" s="2" t="s">
        <v>35426</v>
      </c>
    </row>
    <row r="4434" spans="1:8" ht="25.05" customHeight="1" x14ac:dyDescent="0.25">
      <c r="A4434" s="2" t="s">
        <v>8</v>
      </c>
      <c r="B4434" s="2" t="str">
        <f>HYPERLINK("http://ts.21cn.com/tousu/show/id/1335188","高利息，暴力催收")</f>
        <v>高利息，暴力催收</v>
      </c>
      <c r="C4434" s="2" t="s">
        <v>9</v>
      </c>
      <c r="D4434" s="2" t="s">
        <v>10</v>
      </c>
      <c r="E4434" s="2" t="str">
        <f>HYPERLINK("http://ts.21cn.com/tousu/show/id/1335188","http://ts.21cn.com/tousu/show/id/1335188")</f>
        <v>http://ts.21cn.com/tousu/show/id/1335188</v>
      </c>
      <c r="F4434" s="2" t="s">
        <v>11</v>
      </c>
      <c r="G4434" s="2" t="s">
        <v>35423</v>
      </c>
      <c r="H4434" s="2" t="s">
        <v>35424</v>
      </c>
    </row>
    <row r="4435" spans="1:8" ht="25.05" customHeight="1" x14ac:dyDescent="0.25">
      <c r="A4435" s="2" t="s">
        <v>8</v>
      </c>
      <c r="B4435" s="2" t="str">
        <f>HYPERLINK("http://ts.21cn.com/tousu/show/id/1335203","还呗天天发短信骚扰")</f>
        <v>还呗天天发短信骚扰</v>
      </c>
      <c r="C4435" s="2" t="s">
        <v>9</v>
      </c>
      <c r="D4435" s="2" t="s">
        <v>10</v>
      </c>
      <c r="E4435" s="2" t="str">
        <f>HYPERLINK("http://ts.21cn.com/tousu/show/id/1335203","http://ts.21cn.com/tousu/show/id/1335203")</f>
        <v>http://ts.21cn.com/tousu/show/id/1335203</v>
      </c>
      <c r="F4435" s="2" t="s">
        <v>11</v>
      </c>
      <c r="G4435" s="2" t="s">
        <v>35421</v>
      </c>
      <c r="H4435" s="2" t="s">
        <v>35422</v>
      </c>
    </row>
    <row r="4436" spans="1:8" ht="25.05" customHeight="1" x14ac:dyDescent="0.25">
      <c r="A4436" s="2" t="s">
        <v>8</v>
      </c>
      <c r="B4436" s="2" t="str">
        <f>HYPERLINK("http://ts.21cn.com/tousu/show/id/1335205","闪电借款买财神卡不给借")</f>
        <v>闪电借款买财神卡不给借</v>
      </c>
      <c r="C4436" s="2" t="s">
        <v>34</v>
      </c>
      <c r="D4436" s="2" t="s">
        <v>10</v>
      </c>
      <c r="E4436" s="2" t="str">
        <f>HYPERLINK("http://ts.21cn.com/tousu/show/id/1335205","http://ts.21cn.com/tousu/show/id/1335205")</f>
        <v>http://ts.21cn.com/tousu/show/id/1335205</v>
      </c>
      <c r="F4436" s="2" t="s">
        <v>11</v>
      </c>
      <c r="G4436" s="2" t="s">
        <v>35419</v>
      </c>
      <c r="H4436" s="2" t="s">
        <v>35420</v>
      </c>
    </row>
    <row r="4437" spans="1:8" ht="25.05" customHeight="1" x14ac:dyDescent="0.25">
      <c r="A4437" s="2" t="s">
        <v>8</v>
      </c>
      <c r="B4437" s="2" t="str">
        <f>HYPERLINK("http://ts.21cn.com/tousu/show/id/1335206","超级高利贷")</f>
        <v>超级高利贷</v>
      </c>
      <c r="C4437" s="2" t="s">
        <v>9</v>
      </c>
      <c r="D4437" s="2" t="s">
        <v>10</v>
      </c>
      <c r="E4437" s="2" t="str">
        <f>HYPERLINK("http://ts.21cn.com/tousu/show/id/1335206","http://ts.21cn.com/tousu/show/id/1335206")</f>
        <v>http://ts.21cn.com/tousu/show/id/1335206</v>
      </c>
      <c r="F4437" s="2" t="s">
        <v>11</v>
      </c>
      <c r="G4437" s="2" t="s">
        <v>35417</v>
      </c>
      <c r="H4437" s="2" t="s">
        <v>35418</v>
      </c>
    </row>
    <row r="4438" spans="1:8" ht="25.05" customHeight="1" x14ac:dyDescent="0.25">
      <c r="A4438" s="2" t="s">
        <v>8</v>
      </c>
      <c r="B4438" s="2" t="str">
        <f>HYPERLINK("http://ts.21cn.com/tousu/show/id/1335207","乐意花，青岛乐开花")</f>
        <v>乐意花，青岛乐开花</v>
      </c>
      <c r="C4438" s="2" t="s">
        <v>9</v>
      </c>
      <c r="D4438" s="2" t="s">
        <v>10</v>
      </c>
      <c r="E4438" s="2" t="str">
        <f>HYPERLINK("http://ts.21cn.com/tousu/show/id/1335207","http://ts.21cn.com/tousu/show/id/1335207")</f>
        <v>http://ts.21cn.com/tousu/show/id/1335207</v>
      </c>
      <c r="F4438" s="2" t="s">
        <v>11</v>
      </c>
      <c r="G4438" s="2" t="s">
        <v>35415</v>
      </c>
      <c r="H4438" s="2" t="s">
        <v>35416</v>
      </c>
    </row>
    <row r="4439" spans="1:8" ht="25.05" customHeight="1" x14ac:dyDescent="0.25">
      <c r="A4439" s="2" t="s">
        <v>8</v>
      </c>
      <c r="B4439" s="2" t="str">
        <f>HYPERLINK("http://ts.21cn.com/tousu/show/id/1335208","信用管家平台石头管家高利贷")</f>
        <v>信用管家平台石头管家高利贷</v>
      </c>
      <c r="C4439" s="2" t="s">
        <v>9</v>
      </c>
      <c r="D4439" s="2" t="s">
        <v>10</v>
      </c>
      <c r="E4439" s="2" t="str">
        <f>HYPERLINK("http://ts.21cn.com/tousu/show/id/1335208","http://ts.21cn.com/tousu/show/id/1335208")</f>
        <v>http://ts.21cn.com/tousu/show/id/1335208</v>
      </c>
      <c r="F4439" s="2" t="s">
        <v>11</v>
      </c>
      <c r="G4439" s="2" t="s">
        <v>35413</v>
      </c>
      <c r="H4439" s="2" t="s">
        <v>35414</v>
      </c>
    </row>
    <row r="4440" spans="1:8" ht="25.05" customHeight="1" x14ac:dyDescent="0.25">
      <c r="A4440" s="2" t="s">
        <v>8</v>
      </c>
      <c r="B4440" s="2" t="str">
        <f>HYPERLINK("http://ts.21cn.com/tousu/show/id/1335209","被催收威胁")</f>
        <v>被催收威胁</v>
      </c>
      <c r="C4440" s="2" t="s">
        <v>9</v>
      </c>
      <c r="D4440" s="2" t="s">
        <v>10</v>
      </c>
      <c r="E4440" s="2" t="str">
        <f>HYPERLINK("http://ts.21cn.com/tousu/show/id/1335209","http://ts.21cn.com/tousu/show/id/1335209")</f>
        <v>http://ts.21cn.com/tousu/show/id/1335209</v>
      </c>
      <c r="F4440" s="2" t="s">
        <v>11</v>
      </c>
      <c r="G4440" s="2" t="s">
        <v>35411</v>
      </c>
      <c r="H4440" s="2" t="s">
        <v>35412</v>
      </c>
    </row>
    <row r="4441" spans="1:8" ht="25.05" customHeight="1" x14ac:dyDescent="0.25">
      <c r="A4441" s="2" t="s">
        <v>8</v>
      </c>
      <c r="B4441" s="2" t="str">
        <f>HYPERLINK("http://ts.21cn.com/tousu/show/id/1335211","投诉拼多多购买会没有任何提示自动扣款")</f>
        <v>投诉拼多多购买会没有任何提示自动扣款</v>
      </c>
      <c r="C4441" s="2" t="s">
        <v>9</v>
      </c>
      <c r="D4441" s="2" t="s">
        <v>10</v>
      </c>
      <c r="E4441" s="2" t="str">
        <f>HYPERLINK("http://ts.21cn.com/tousu/show/id/1335211","http://ts.21cn.com/tousu/show/id/1335211")</f>
        <v>http://ts.21cn.com/tousu/show/id/1335211</v>
      </c>
      <c r="F4441" s="2" t="s">
        <v>11</v>
      </c>
      <c r="G4441" s="2" t="s">
        <v>35409</v>
      </c>
      <c r="H4441" s="2" t="s">
        <v>35410</v>
      </c>
    </row>
    <row r="4442" spans="1:8" ht="25.05" customHeight="1" x14ac:dyDescent="0.25">
      <c r="A4442" s="2" t="s">
        <v>8</v>
      </c>
      <c r="B4442" s="2" t="str">
        <f>HYPERLINK("http://ts.21cn.com/tousu/show/id/1335212","小赢卡货骚扰")</f>
        <v>小赢卡货骚扰</v>
      </c>
      <c r="C4442" s="2" t="s">
        <v>9</v>
      </c>
      <c r="D4442" s="2" t="s">
        <v>10</v>
      </c>
      <c r="E4442" s="2" t="str">
        <f>HYPERLINK("http://ts.21cn.com/tousu/show/id/1335212","http://ts.21cn.com/tousu/show/id/1335212")</f>
        <v>http://ts.21cn.com/tousu/show/id/1335212</v>
      </c>
      <c r="F4442" s="2" t="s">
        <v>11</v>
      </c>
      <c r="G4442" s="2" t="s">
        <v>35407</v>
      </c>
      <c r="H4442" s="2" t="s">
        <v>35408</v>
      </c>
    </row>
    <row r="4443" spans="1:8" ht="25.05" customHeight="1" x14ac:dyDescent="0.25">
      <c r="A4443" s="2" t="s">
        <v>8</v>
      </c>
      <c r="B4443" s="2" t="str">
        <f>HYPERLINK("http://ts.21cn.com/tousu/show/id/1335214","易宝支付在10月4号连续无理由扣款共259.17元")</f>
        <v>易宝支付在10月4号连续无理由扣款共259.17元</v>
      </c>
      <c r="C4443" s="2" t="s">
        <v>9</v>
      </c>
      <c r="D4443" s="2" t="s">
        <v>10</v>
      </c>
      <c r="E4443" s="2" t="str">
        <f>HYPERLINK("http://ts.21cn.com/tousu/show/id/1335214","http://ts.21cn.com/tousu/show/id/1335214")</f>
        <v>http://ts.21cn.com/tousu/show/id/1335214</v>
      </c>
      <c r="F4443" s="2" t="s">
        <v>11</v>
      </c>
      <c r="G4443" s="2" t="s">
        <v>35405</v>
      </c>
      <c r="H4443" s="2" t="s">
        <v>35406</v>
      </c>
    </row>
    <row r="4444" spans="1:8" ht="25.05" customHeight="1" x14ac:dyDescent="0.25">
      <c r="A4444" s="2" t="s">
        <v>8</v>
      </c>
      <c r="B4444" s="2" t="str">
        <f>HYPERLINK("http://ts.21cn.com/tousu/show/id/1335215","虚假宣传误导消费者办卡消费")</f>
        <v>虚假宣传误导消费者办卡消费</v>
      </c>
      <c r="C4444" s="2" t="s">
        <v>9</v>
      </c>
      <c r="D4444" s="2" t="s">
        <v>10</v>
      </c>
      <c r="E4444" s="2" t="str">
        <f>HYPERLINK("http://ts.21cn.com/tousu/show/id/1335215","http://ts.21cn.com/tousu/show/id/1335215")</f>
        <v>http://ts.21cn.com/tousu/show/id/1335215</v>
      </c>
      <c r="F4444" s="2" t="s">
        <v>11</v>
      </c>
      <c r="G4444" s="2" t="s">
        <v>35403</v>
      </c>
      <c r="H4444" s="2" t="s">
        <v>35404</v>
      </c>
    </row>
    <row r="4445" spans="1:8" ht="25.05" customHeight="1" x14ac:dyDescent="0.25">
      <c r="A4445" s="2" t="s">
        <v>8</v>
      </c>
      <c r="B4445" s="2" t="str">
        <f>HYPERLINK("http://ts.21cn.com/tousu/show/id/1335216","骚扰无关人员")</f>
        <v>骚扰无关人员</v>
      </c>
      <c r="C4445" s="2" t="s">
        <v>34</v>
      </c>
      <c r="D4445" s="2" t="s">
        <v>10</v>
      </c>
      <c r="E4445" s="2" t="str">
        <f>HYPERLINK("http://ts.21cn.com/tousu/show/id/1335216","http://ts.21cn.com/tousu/show/id/1335216")</f>
        <v>http://ts.21cn.com/tousu/show/id/1335216</v>
      </c>
      <c r="F4445" s="2" t="s">
        <v>11</v>
      </c>
      <c r="G4445" s="2" t="s">
        <v>35401</v>
      </c>
      <c r="H4445" s="2" t="s">
        <v>35402</v>
      </c>
    </row>
    <row r="4446" spans="1:8" ht="25.05" customHeight="1" x14ac:dyDescent="0.25">
      <c r="A4446" s="2" t="s">
        <v>8</v>
      </c>
      <c r="B4446" s="2" t="str">
        <f>HYPERLINK("http://ts.21cn.com/tousu/show/id/1335217","闪银白条砍头息")</f>
        <v>闪银白条砍头息</v>
      </c>
      <c r="C4446" s="2" t="s">
        <v>9</v>
      </c>
      <c r="D4446" s="2" t="s">
        <v>10</v>
      </c>
      <c r="E4446" s="2" t="str">
        <f>HYPERLINK("http://ts.21cn.com/tousu/show/id/1335217","http://ts.21cn.com/tousu/show/id/1335217")</f>
        <v>http://ts.21cn.com/tousu/show/id/1335217</v>
      </c>
      <c r="F4446" s="2" t="s">
        <v>11</v>
      </c>
      <c r="G4446" s="2" t="s">
        <v>35399</v>
      </c>
      <c r="H4446" s="2" t="s">
        <v>35400</v>
      </c>
    </row>
    <row r="4447" spans="1:8" ht="25.05" customHeight="1" x14ac:dyDescent="0.25">
      <c r="A4447" s="2" t="s">
        <v>8</v>
      </c>
      <c r="B4447" s="2" t="str">
        <f>HYPERLINK("http://ts.21cn.com/tousu/show/id/1335218","闪电借款总是放款失败")</f>
        <v>闪电借款总是放款失败</v>
      </c>
      <c r="C4447" s="2" t="s">
        <v>9</v>
      </c>
      <c r="D4447" s="2" t="s">
        <v>10</v>
      </c>
      <c r="E4447" s="2" t="str">
        <f>HYPERLINK("http://ts.21cn.com/tousu/show/id/1335218","http://ts.21cn.com/tousu/show/id/1335218")</f>
        <v>http://ts.21cn.com/tousu/show/id/1335218</v>
      </c>
      <c r="F4447" s="2" t="s">
        <v>11</v>
      </c>
      <c r="G4447" s="2" t="s">
        <v>35397</v>
      </c>
      <c r="H4447" s="2" t="s">
        <v>35398</v>
      </c>
    </row>
    <row r="4448" spans="1:8" ht="25.05" customHeight="1" x14ac:dyDescent="0.25">
      <c r="A4448" s="2" t="s">
        <v>8</v>
      </c>
      <c r="B4448" s="2" t="str">
        <f>HYPERLINK("http://ts.21cn.com/tousu/show/id/1335219","招联金融公司在借款人逾期后恶意诽谤中伤借款人爆通讯录")</f>
        <v>招联金融公司在借款人逾期后恶意诽谤中伤借款人爆通讯录</v>
      </c>
      <c r="C4448" s="2" t="s">
        <v>9</v>
      </c>
      <c r="D4448" s="2" t="s">
        <v>10</v>
      </c>
      <c r="E4448" s="2" t="str">
        <f>HYPERLINK("http://ts.21cn.com/tousu/show/id/1335219","http://ts.21cn.com/tousu/show/id/1335219")</f>
        <v>http://ts.21cn.com/tousu/show/id/1335219</v>
      </c>
      <c r="F4448" s="2" t="s">
        <v>11</v>
      </c>
      <c r="G4448" s="2" t="s">
        <v>35395</v>
      </c>
      <c r="H4448" s="2" t="s">
        <v>35396</v>
      </c>
    </row>
    <row r="4449" spans="1:8" ht="25.05" customHeight="1" x14ac:dyDescent="0.25">
      <c r="A4449" s="2" t="s">
        <v>8</v>
      </c>
      <c r="B4449" s="2" t="str">
        <f>HYPERLINK("http://ts.21cn.com/tousu/show/id/1335222","招联好期贷乱涨利息变高利贷")</f>
        <v>招联好期贷乱涨利息变高利贷</v>
      </c>
      <c r="C4449" s="2" t="s">
        <v>9</v>
      </c>
      <c r="D4449" s="2" t="s">
        <v>10</v>
      </c>
      <c r="E4449" s="2" t="str">
        <f>HYPERLINK("http://ts.21cn.com/tousu/show/id/1335222","http://ts.21cn.com/tousu/show/id/1335222")</f>
        <v>http://ts.21cn.com/tousu/show/id/1335222</v>
      </c>
      <c r="F4449" s="2" t="s">
        <v>11</v>
      </c>
      <c r="G4449" s="2" t="s">
        <v>35393</v>
      </c>
      <c r="H4449" s="2" t="s">
        <v>35394</v>
      </c>
    </row>
    <row r="4450" spans="1:8" ht="25.05" customHeight="1" x14ac:dyDescent="0.25">
      <c r="A4450" s="2" t="s">
        <v>8</v>
      </c>
      <c r="B4450" s="2" t="str">
        <f>HYPERLINK("http://ts.21cn.com/tousu/show/id/1335220","玖富万卡借款平台高利贷砍头息套路贷")</f>
        <v>玖富万卡借款平台高利贷砍头息套路贷</v>
      </c>
      <c r="C4450" s="2" t="s">
        <v>9</v>
      </c>
      <c r="D4450" s="2" t="s">
        <v>10</v>
      </c>
      <c r="E4450" s="2" t="str">
        <f>HYPERLINK("http://ts.21cn.com/tousu/show/id/1335220","http://ts.21cn.com/tousu/show/id/1335220")</f>
        <v>http://ts.21cn.com/tousu/show/id/1335220</v>
      </c>
      <c r="F4450" s="2" t="s">
        <v>11</v>
      </c>
      <c r="G4450" s="2" t="s">
        <v>35391</v>
      </c>
      <c r="H4450" s="2" t="s">
        <v>35392</v>
      </c>
    </row>
    <row r="4451" spans="1:8" ht="25.05" customHeight="1" x14ac:dyDescent="0.25">
      <c r="A4451" s="2" t="s">
        <v>8</v>
      </c>
      <c r="B4451" s="2" t="str">
        <f>HYPERLINK("http://ts.21cn.com/tousu/show/id/1335221","分期贷（信用管家）旗下存钱柜（金钱保）高利贷")</f>
        <v>分期贷（信用管家）旗下存钱柜（金钱保）高利贷</v>
      </c>
      <c r="C4451" s="2" t="s">
        <v>9</v>
      </c>
      <c r="D4451" s="2" t="s">
        <v>10</v>
      </c>
      <c r="E4451" s="2" t="str">
        <f>HYPERLINK("http://ts.21cn.com/tousu/show/id/1335221","http://ts.21cn.com/tousu/show/id/1335221")</f>
        <v>http://ts.21cn.com/tousu/show/id/1335221</v>
      </c>
      <c r="F4451" s="2" t="s">
        <v>11</v>
      </c>
      <c r="G4451" s="2" t="s">
        <v>35390</v>
      </c>
      <c r="H4451" s="2" t="s">
        <v>32281</v>
      </c>
    </row>
    <row r="4452" spans="1:8" ht="25.05" customHeight="1" x14ac:dyDescent="0.25">
      <c r="A4452" s="2" t="s">
        <v>8</v>
      </c>
      <c r="B4452" s="2" t="str">
        <f>HYPERLINK("http://ts.21cn.com/tousu/show/id/1335223","小当家无法还款造成逾期")</f>
        <v>小当家无法还款造成逾期</v>
      </c>
      <c r="C4452" s="2" t="s">
        <v>34</v>
      </c>
      <c r="D4452" s="2" t="s">
        <v>10</v>
      </c>
      <c r="E4452" s="2" t="str">
        <f>HYPERLINK("http://ts.21cn.com/tousu/show/id/1335223","http://ts.21cn.com/tousu/show/id/1335223")</f>
        <v>http://ts.21cn.com/tousu/show/id/1335223</v>
      </c>
      <c r="F4452" s="2" t="s">
        <v>11</v>
      </c>
      <c r="G4452" s="2" t="s">
        <v>35388</v>
      </c>
      <c r="H4452" s="2" t="s">
        <v>35389</v>
      </c>
    </row>
    <row r="4453" spans="1:8" ht="25.05" customHeight="1" x14ac:dyDescent="0.25">
      <c r="A4453" s="2" t="s">
        <v>8</v>
      </c>
      <c r="B4453" s="2" t="str">
        <f>HYPERLINK("http://ts.21cn.com/tousu/show/id/1335224","小当家暴力催收，电话骚扰")</f>
        <v>小当家暴力催收，电话骚扰</v>
      </c>
      <c r="C4453" s="2" t="s">
        <v>9</v>
      </c>
      <c r="D4453" s="2" t="s">
        <v>10</v>
      </c>
      <c r="E4453" s="2" t="str">
        <f>HYPERLINK("http://ts.21cn.com/tousu/show/id/1335224","http://ts.21cn.com/tousu/show/id/1335224")</f>
        <v>http://ts.21cn.com/tousu/show/id/1335224</v>
      </c>
      <c r="F4453" s="2" t="s">
        <v>11</v>
      </c>
      <c r="G4453" s="2" t="s">
        <v>35385</v>
      </c>
      <c r="H4453" s="2" t="s">
        <v>35386</v>
      </c>
    </row>
    <row r="4454" spans="1:8" ht="25.05" customHeight="1" x14ac:dyDescent="0.25">
      <c r="A4454" s="2" t="s">
        <v>8</v>
      </c>
      <c r="B4454" s="2" t="str">
        <f>HYPERLINK("http://ts.21cn.com/tousu/show/id/1335226","及贷砍头息高利息无力支付")</f>
        <v>及贷砍头息高利息无力支付</v>
      </c>
      <c r="C4454" s="2" t="s">
        <v>9</v>
      </c>
      <c r="D4454" s="2" t="s">
        <v>10</v>
      </c>
      <c r="E4454" s="2" t="str">
        <f>HYPERLINK("http://ts.21cn.com/tousu/show/id/1335226","http://ts.21cn.com/tousu/show/id/1335226")</f>
        <v>http://ts.21cn.com/tousu/show/id/1335226</v>
      </c>
      <c r="F4454" s="2" t="s">
        <v>11</v>
      </c>
      <c r="G4454" s="2" t="s">
        <v>35385</v>
      </c>
      <c r="H4454" s="2" t="s">
        <v>35387</v>
      </c>
    </row>
    <row r="4455" spans="1:8" ht="25.05" customHeight="1" x14ac:dyDescent="0.25">
      <c r="A4455" s="2" t="s">
        <v>8</v>
      </c>
      <c r="B4455" s="2" t="str">
        <f>HYPERLINK("http://ts.21cn.com/tousu/show/id/1335225","百度服务无故扣款")</f>
        <v>百度服务无故扣款</v>
      </c>
      <c r="C4455" s="2" t="s">
        <v>34</v>
      </c>
      <c r="D4455" s="2" t="s">
        <v>10</v>
      </c>
      <c r="E4455" s="2" t="str">
        <f>HYPERLINK("http://ts.21cn.com/tousu/show/id/1335225","http://ts.21cn.com/tousu/show/id/1335225")</f>
        <v>http://ts.21cn.com/tousu/show/id/1335225</v>
      </c>
      <c r="F4455" s="2" t="s">
        <v>11</v>
      </c>
      <c r="G4455" s="2" t="s">
        <v>35383</v>
      </c>
      <c r="H4455" s="2" t="s">
        <v>35384</v>
      </c>
    </row>
    <row r="4456" spans="1:8" ht="25.05" customHeight="1" x14ac:dyDescent="0.25">
      <c r="A4456" s="2" t="s">
        <v>8</v>
      </c>
      <c r="B4456" s="2" t="str">
        <f>HYPERLINK("http://ts.21cn.com/tousu/show/id/1335227","714高炮")</f>
        <v>714高炮</v>
      </c>
      <c r="C4456" s="2" t="s">
        <v>9</v>
      </c>
      <c r="D4456" s="2" t="s">
        <v>10</v>
      </c>
      <c r="E4456" s="2" t="str">
        <f>HYPERLINK("http://ts.21cn.com/tousu/show/id/1335227","http://ts.21cn.com/tousu/show/id/1335227")</f>
        <v>http://ts.21cn.com/tousu/show/id/1335227</v>
      </c>
      <c r="F4456" s="2" t="s">
        <v>11</v>
      </c>
      <c r="G4456" s="2" t="s">
        <v>35381</v>
      </c>
      <c r="H4456" s="2" t="s">
        <v>35382</v>
      </c>
    </row>
    <row r="4457" spans="1:8" ht="25.05" customHeight="1" x14ac:dyDescent="0.25">
      <c r="A4457" s="2" t="s">
        <v>8</v>
      </c>
      <c r="B4457" s="2" t="str">
        <f>HYPERLINK("http://ts.21cn.com/tousu/show/id/1335228","高利率远远超过国家规定的最高利率")</f>
        <v>高利率远远超过国家规定的最高利率</v>
      </c>
      <c r="C4457" s="2" t="s">
        <v>34</v>
      </c>
      <c r="D4457" s="2" t="s">
        <v>10</v>
      </c>
      <c r="E4457" s="2" t="str">
        <f>HYPERLINK("http://ts.21cn.com/tousu/show/id/1335228","http://ts.21cn.com/tousu/show/id/1335228")</f>
        <v>http://ts.21cn.com/tousu/show/id/1335228</v>
      </c>
      <c r="F4457" s="2" t="s">
        <v>11</v>
      </c>
      <c r="G4457" s="2" t="s">
        <v>35379</v>
      </c>
      <c r="H4457" s="2" t="s">
        <v>35380</v>
      </c>
    </row>
    <row r="4458" spans="1:8" ht="25.05" customHeight="1" x14ac:dyDescent="0.25">
      <c r="A4458" s="2" t="s">
        <v>8</v>
      </c>
      <c r="B4458" s="2" t="str">
        <f>HYPERLINK("http://ts.21cn.com/tousu/show/id/1335229","升学机构拒绝学员退学推诿不退款")</f>
        <v>升学机构拒绝学员退学推诿不退款</v>
      </c>
      <c r="C4458" s="2" t="s">
        <v>9</v>
      </c>
      <c r="D4458" s="2" t="s">
        <v>10</v>
      </c>
      <c r="E4458" s="2" t="str">
        <f>HYPERLINK("http://ts.21cn.com/tousu/show/id/1335229","http://ts.21cn.com/tousu/show/id/1335229")</f>
        <v>http://ts.21cn.com/tousu/show/id/1335229</v>
      </c>
      <c r="F4458" s="2" t="s">
        <v>11</v>
      </c>
      <c r="G4458" s="2" t="s">
        <v>35377</v>
      </c>
      <c r="H4458" s="2" t="s">
        <v>35378</v>
      </c>
    </row>
    <row r="4459" spans="1:8" ht="25.05" customHeight="1" x14ac:dyDescent="0.25">
      <c r="A4459" s="2" t="s">
        <v>8</v>
      </c>
      <c r="B4459" s="2" t="str">
        <f>HYPERLINK("http://ts.21cn.com/tousu/show/id/1335230","唯品会送达延迟超10天")</f>
        <v>唯品会送达延迟超10天</v>
      </c>
      <c r="C4459" s="2" t="s">
        <v>9</v>
      </c>
      <c r="D4459" s="2" t="s">
        <v>10</v>
      </c>
      <c r="E4459" s="2" t="str">
        <f>HYPERLINK("http://ts.21cn.com/tousu/show/id/1335230","http://ts.21cn.com/tousu/show/id/1335230")</f>
        <v>http://ts.21cn.com/tousu/show/id/1335230</v>
      </c>
      <c r="F4459" s="2" t="s">
        <v>11</v>
      </c>
      <c r="G4459" s="2" t="s">
        <v>35375</v>
      </c>
      <c r="H4459" s="2" t="s">
        <v>35376</v>
      </c>
    </row>
    <row r="4460" spans="1:8" ht="25.05" customHeight="1" x14ac:dyDescent="0.25">
      <c r="A4460" s="2" t="s">
        <v>8</v>
      </c>
      <c r="B4460" s="2" t="str">
        <f>HYPERLINK("http://ts.21cn.com/tousu/show/id/1335232","洋钱罐不接受协商")</f>
        <v>洋钱罐不接受协商</v>
      </c>
      <c r="C4460" s="2" t="s">
        <v>34</v>
      </c>
      <c r="D4460" s="2" t="s">
        <v>10</v>
      </c>
      <c r="E4460" s="2" t="str">
        <f>HYPERLINK("http://ts.21cn.com/tousu/show/id/1335232","http://ts.21cn.com/tousu/show/id/1335232")</f>
        <v>http://ts.21cn.com/tousu/show/id/1335232</v>
      </c>
      <c r="F4460" s="2" t="s">
        <v>11</v>
      </c>
      <c r="G4460" s="2" t="s">
        <v>35373</v>
      </c>
      <c r="H4460" s="2" t="s">
        <v>35374</v>
      </c>
    </row>
    <row r="4461" spans="1:8" ht="25.05" customHeight="1" x14ac:dyDescent="0.25">
      <c r="A4461" s="2" t="s">
        <v>8</v>
      </c>
      <c r="B4461" s="2" t="str">
        <f>HYPERLINK("http://ts.21cn.com/tousu/show/id/1335231","无故扣款")</f>
        <v>无故扣款</v>
      </c>
      <c r="C4461" s="2" t="s">
        <v>9</v>
      </c>
      <c r="D4461" s="2" t="s">
        <v>10</v>
      </c>
      <c r="E4461" s="2" t="str">
        <f>HYPERLINK("http://ts.21cn.com/tousu/show/id/1335231","http://ts.21cn.com/tousu/show/id/1335231")</f>
        <v>http://ts.21cn.com/tousu/show/id/1335231</v>
      </c>
      <c r="F4461" s="2" t="s">
        <v>11</v>
      </c>
      <c r="G4461" s="2" t="s">
        <v>35371</v>
      </c>
      <c r="H4461" s="2" t="s">
        <v>35372</v>
      </c>
    </row>
    <row r="4462" spans="1:8" ht="25.05" customHeight="1" x14ac:dyDescent="0.25">
      <c r="A4462" s="2" t="s">
        <v>8</v>
      </c>
      <c r="B4462" s="2" t="str">
        <f>HYPERLINK("http://ts.21cn.com/tousu/show/id/1335233","畅捷支付违规给牛人有品提供高利贷放款渠道")</f>
        <v>畅捷支付违规给牛人有品提供高利贷放款渠道</v>
      </c>
      <c r="C4462" s="2" t="s">
        <v>9</v>
      </c>
      <c r="D4462" s="2" t="s">
        <v>10</v>
      </c>
      <c r="E4462" s="2" t="str">
        <f>HYPERLINK("http://ts.21cn.com/tousu/show/id/1335233","http://ts.21cn.com/tousu/show/id/1335233")</f>
        <v>http://ts.21cn.com/tousu/show/id/1335233</v>
      </c>
      <c r="F4462" s="2" t="s">
        <v>11</v>
      </c>
      <c r="G4462" s="2" t="s">
        <v>35369</v>
      </c>
      <c r="H4462" s="2" t="s">
        <v>35370</v>
      </c>
    </row>
    <row r="4463" spans="1:8" ht="25.05" customHeight="1" x14ac:dyDescent="0.25">
      <c r="A4463" s="2" t="s">
        <v>8</v>
      </c>
      <c r="B4463" s="2" t="str">
        <f>HYPERLINK("http://ts.21cn.com/tousu/show/id/1335234","中国人行，河北省信用联社，还老百姓一个公道")</f>
        <v>中国人行，河北省信用联社，还老百姓一个公道</v>
      </c>
      <c r="C4463" s="2" t="s">
        <v>9</v>
      </c>
      <c r="D4463" s="2" t="s">
        <v>10</v>
      </c>
      <c r="E4463" s="2" t="str">
        <f>HYPERLINK("http://ts.21cn.com/tousu/show/id/1335234","http://ts.21cn.com/tousu/show/id/1335234")</f>
        <v>http://ts.21cn.com/tousu/show/id/1335234</v>
      </c>
      <c r="F4463" s="2" t="s">
        <v>11</v>
      </c>
      <c r="G4463" s="2" t="s">
        <v>35367</v>
      </c>
      <c r="H4463" s="2" t="s">
        <v>35368</v>
      </c>
    </row>
    <row r="4464" spans="1:8" ht="25.05" customHeight="1" x14ac:dyDescent="0.25">
      <c r="A4464" s="2" t="s">
        <v>8</v>
      </c>
      <c r="B4464" s="2" t="str">
        <f>HYPERLINK("http://ts.21cn.com/tousu/show/id/1335235","花转转高利贷")</f>
        <v>花转转高利贷</v>
      </c>
      <c r="C4464" s="2" t="s">
        <v>9</v>
      </c>
      <c r="D4464" s="2" t="s">
        <v>10</v>
      </c>
      <c r="E4464" s="2" t="str">
        <f>HYPERLINK("http://ts.21cn.com/tousu/show/id/1335235","http://ts.21cn.com/tousu/show/id/1335235")</f>
        <v>http://ts.21cn.com/tousu/show/id/1335235</v>
      </c>
      <c r="F4464" s="2" t="s">
        <v>11</v>
      </c>
      <c r="G4464" s="2" t="s">
        <v>35365</v>
      </c>
      <c r="H4464" s="2" t="s">
        <v>35366</v>
      </c>
    </row>
    <row r="4465" spans="1:8" ht="25.05" customHeight="1" x14ac:dyDescent="0.25">
      <c r="A4465" s="2" t="s">
        <v>8</v>
      </c>
      <c r="B4465" s="2" t="str">
        <f>HYPERLINK("http://ts.21cn.com/tousu/show/id/1335237","微贷网多米贷违规收取贷款保险费")</f>
        <v>微贷网多米贷违规收取贷款保险费</v>
      </c>
      <c r="C4465" s="2" t="s">
        <v>9</v>
      </c>
      <c r="D4465" s="2" t="s">
        <v>10</v>
      </c>
      <c r="E4465" s="2" t="str">
        <f>HYPERLINK("http://ts.21cn.com/tousu/show/id/1335237","http://ts.21cn.com/tousu/show/id/1335237")</f>
        <v>http://ts.21cn.com/tousu/show/id/1335237</v>
      </c>
      <c r="F4465" s="2" t="s">
        <v>11</v>
      </c>
      <c r="G4465" s="2" t="s">
        <v>35363</v>
      </c>
      <c r="H4465" s="2" t="s">
        <v>35364</v>
      </c>
    </row>
    <row r="4466" spans="1:8" ht="25.05" customHeight="1" x14ac:dyDescent="0.25">
      <c r="A4466" s="2" t="s">
        <v>8</v>
      </c>
      <c r="B4466" s="2" t="str">
        <f>HYPERLINK("http://ts.21cn.com/tousu/show/id/1335238","MAKA设计软件诱导用户充会员，无故扣款328元")</f>
        <v>MAKA设计软件诱导用户充会员，无故扣款328元</v>
      </c>
      <c r="C4466" s="2" t="s">
        <v>9</v>
      </c>
      <c r="D4466" s="2" t="s">
        <v>10</v>
      </c>
      <c r="E4466" s="2" t="str">
        <f>HYPERLINK("http://ts.21cn.com/tousu/show/id/1335238","http://ts.21cn.com/tousu/show/id/1335238")</f>
        <v>http://ts.21cn.com/tousu/show/id/1335238</v>
      </c>
      <c r="F4466" s="2" t="s">
        <v>11</v>
      </c>
      <c r="G4466" s="2" t="s">
        <v>35361</v>
      </c>
      <c r="H4466" s="2" t="s">
        <v>35362</v>
      </c>
    </row>
    <row r="4467" spans="1:8" ht="25.05" customHeight="1" x14ac:dyDescent="0.25">
      <c r="A4467" s="2" t="s">
        <v>8</v>
      </c>
      <c r="B4467" s="2" t="str">
        <f>HYPERLINK("http://ts.21cn.com/tousu/show/id/1335239","青春宝高利贷")</f>
        <v>青春宝高利贷</v>
      </c>
      <c r="C4467" s="2" t="s">
        <v>9</v>
      </c>
      <c r="D4467" s="2" t="s">
        <v>10</v>
      </c>
      <c r="E4467" s="2" t="str">
        <f>HYPERLINK("http://ts.21cn.com/tousu/show/id/1335239","http://ts.21cn.com/tousu/show/id/1335239")</f>
        <v>http://ts.21cn.com/tousu/show/id/1335239</v>
      </c>
      <c r="F4467" s="2" t="s">
        <v>11</v>
      </c>
      <c r="G4467" s="2" t="s">
        <v>35359</v>
      </c>
      <c r="H4467" s="2" t="s">
        <v>35360</v>
      </c>
    </row>
    <row r="4468" spans="1:8" ht="25.05" customHeight="1" x14ac:dyDescent="0.25">
      <c r="A4468" s="2" t="s">
        <v>8</v>
      </c>
      <c r="B4468" s="2" t="str">
        <f>HYPERLINK("http://ts.21cn.com/tousu/show/id/1335240","唆使我盗用他人身份证信息")</f>
        <v>唆使我盗用他人身份证信息</v>
      </c>
      <c r="C4468" s="2" t="s">
        <v>9</v>
      </c>
      <c r="D4468" s="2" t="s">
        <v>10</v>
      </c>
      <c r="E4468" s="2" t="str">
        <f>HYPERLINK("http://ts.21cn.com/tousu/show/id/1335240","http://ts.21cn.com/tousu/show/id/1335240")</f>
        <v>http://ts.21cn.com/tousu/show/id/1335240</v>
      </c>
      <c r="F4468" s="2" t="s">
        <v>11</v>
      </c>
      <c r="G4468" s="2" t="s">
        <v>35357</v>
      </c>
      <c r="H4468" s="2" t="s">
        <v>35358</v>
      </c>
    </row>
    <row r="4469" spans="1:8" ht="25.05" customHeight="1" x14ac:dyDescent="0.25">
      <c r="A4469" s="2" t="s">
        <v>8</v>
      </c>
      <c r="B4469" s="2" t="str">
        <f>HYPERLINK("http://ts.21cn.com/tousu/show/id/1335242","航旅之家vip黑金卡欺诈消费者")</f>
        <v>航旅之家vip黑金卡欺诈消费者</v>
      </c>
      <c r="C4469" s="2" t="s">
        <v>9</v>
      </c>
      <c r="D4469" s="2" t="s">
        <v>10</v>
      </c>
      <c r="E4469" s="2" t="str">
        <f>HYPERLINK("http://ts.21cn.com/tousu/show/id/1335242","http://ts.21cn.com/tousu/show/id/1335242")</f>
        <v>http://ts.21cn.com/tousu/show/id/1335242</v>
      </c>
      <c r="F4469" s="2" t="s">
        <v>11</v>
      </c>
      <c r="G4469" s="2" t="s">
        <v>35354</v>
      </c>
      <c r="H4469" s="2" t="s">
        <v>35355</v>
      </c>
    </row>
    <row r="4470" spans="1:8" ht="25.05" customHeight="1" x14ac:dyDescent="0.25">
      <c r="A4470" s="2" t="s">
        <v>8</v>
      </c>
      <c r="B4470" s="2" t="str">
        <f>HYPERLINK("http://ts.21cn.com/tousu/show/id/1335243","分期通恶意收取会员费用")</f>
        <v>分期通恶意收取会员费用</v>
      </c>
      <c r="C4470" s="2" t="s">
        <v>9</v>
      </c>
      <c r="D4470" s="2" t="s">
        <v>10</v>
      </c>
      <c r="E4470" s="2" t="str">
        <f>HYPERLINK("http://ts.21cn.com/tousu/show/id/1335243","http://ts.21cn.com/tousu/show/id/1335243")</f>
        <v>http://ts.21cn.com/tousu/show/id/1335243</v>
      </c>
      <c r="F4470" s="2" t="s">
        <v>11</v>
      </c>
      <c r="G4470" s="2" t="s">
        <v>35354</v>
      </c>
      <c r="H4470" s="2" t="s">
        <v>35356</v>
      </c>
    </row>
    <row r="4471" spans="1:8" ht="25.05" customHeight="1" x14ac:dyDescent="0.25">
      <c r="A4471" s="2" t="s">
        <v>8</v>
      </c>
      <c r="B4471" s="2" t="str">
        <f>HYPERLINK("http://ts.21cn.com/tousu/show/id/1335244","51人品贷黑心高利贷，暴利催收骚扰联系人")</f>
        <v>51人品贷黑心高利贷，暴利催收骚扰联系人</v>
      </c>
      <c r="C4471" s="2" t="s">
        <v>9</v>
      </c>
      <c r="D4471" s="2" t="s">
        <v>10</v>
      </c>
      <c r="E4471" s="2" t="str">
        <f>HYPERLINK("http://ts.21cn.com/tousu/show/id/1335244","http://ts.21cn.com/tousu/show/id/1335244")</f>
        <v>http://ts.21cn.com/tousu/show/id/1335244</v>
      </c>
      <c r="F4471" s="2" t="s">
        <v>11</v>
      </c>
      <c r="G4471" s="2" t="s">
        <v>35352</v>
      </c>
      <c r="H4471" s="2" t="s">
        <v>35353</v>
      </c>
    </row>
    <row r="4472" spans="1:8" ht="25.05" customHeight="1" x14ac:dyDescent="0.25">
      <c r="A4472" s="2" t="s">
        <v>8</v>
      </c>
      <c r="B4472" s="2" t="str">
        <f>HYPERLINK("http://ts.21cn.com/tousu/show/id/1335246","豹子贷恶意扣款")</f>
        <v>豹子贷恶意扣款</v>
      </c>
      <c r="C4472" s="2" t="s">
        <v>9</v>
      </c>
      <c r="D4472" s="2" t="s">
        <v>10</v>
      </c>
      <c r="E4472" s="2" t="str">
        <f>HYPERLINK("http://ts.21cn.com/tousu/show/id/1335246","http://ts.21cn.com/tousu/show/id/1335246")</f>
        <v>http://ts.21cn.com/tousu/show/id/1335246</v>
      </c>
      <c r="F4472" s="2" t="s">
        <v>11</v>
      </c>
      <c r="G4472" s="2" t="s">
        <v>35350</v>
      </c>
      <c r="H4472" s="2" t="s">
        <v>35351</v>
      </c>
    </row>
    <row r="4473" spans="1:8" ht="25.05" customHeight="1" x14ac:dyDescent="0.25">
      <c r="A4473" s="2" t="s">
        <v>8</v>
      </c>
      <c r="B4473" s="2" t="str">
        <f>HYPERLINK("http://ts.21cn.com/tousu/show/id/1335247","你我贷平台电话骚扰")</f>
        <v>你我贷平台电话骚扰</v>
      </c>
      <c r="C4473" s="2" t="s">
        <v>9</v>
      </c>
      <c r="D4473" s="2" t="s">
        <v>10</v>
      </c>
      <c r="E4473" s="2" t="str">
        <f>HYPERLINK("http://ts.21cn.com/tousu/show/id/1335247","http://ts.21cn.com/tousu/show/id/1335247")</f>
        <v>http://ts.21cn.com/tousu/show/id/1335247</v>
      </c>
      <c r="F4473" s="2" t="s">
        <v>11</v>
      </c>
      <c r="G4473" s="2" t="s">
        <v>35348</v>
      </c>
      <c r="H4473" s="2" t="s">
        <v>35349</v>
      </c>
    </row>
    <row r="4474" spans="1:8" ht="25.05" customHeight="1" x14ac:dyDescent="0.25">
      <c r="A4474" s="2" t="s">
        <v>8</v>
      </c>
      <c r="B4474" s="2" t="str">
        <f>HYPERLINK("http://ts.21cn.com/tousu/show/id/1335250","投诉兴业银行信用卡未告知恶意扣取年费")</f>
        <v>投诉兴业银行信用卡未告知恶意扣取年费</v>
      </c>
      <c r="C4474" s="2" t="s">
        <v>9</v>
      </c>
      <c r="D4474" s="2" t="s">
        <v>10</v>
      </c>
      <c r="E4474" s="2" t="str">
        <f>HYPERLINK("http://ts.21cn.com/tousu/show/id/1335250","http://ts.21cn.com/tousu/show/id/1335250")</f>
        <v>http://ts.21cn.com/tousu/show/id/1335250</v>
      </c>
      <c r="F4474" s="2" t="s">
        <v>11</v>
      </c>
      <c r="G4474" s="2" t="s">
        <v>35346</v>
      </c>
      <c r="H4474" s="2" t="s">
        <v>35347</v>
      </c>
    </row>
    <row r="4475" spans="1:8" ht="25.05" customHeight="1" x14ac:dyDescent="0.25">
      <c r="A4475" s="2" t="s">
        <v>8</v>
      </c>
      <c r="B4475" s="2" t="str">
        <f>HYPERLINK("http://ts.21cn.com/tousu/show/id/1335248","现金巴士砍头息，不协商")</f>
        <v>现金巴士砍头息，不协商</v>
      </c>
      <c r="C4475" s="2" t="s">
        <v>9</v>
      </c>
      <c r="D4475" s="2" t="s">
        <v>10</v>
      </c>
      <c r="E4475" s="2" t="str">
        <f>HYPERLINK("http://ts.21cn.com/tousu/show/id/1335248","http://ts.21cn.com/tousu/show/id/1335248")</f>
        <v>http://ts.21cn.com/tousu/show/id/1335248</v>
      </c>
      <c r="F4475" s="2" t="s">
        <v>11</v>
      </c>
      <c r="G4475" s="2" t="s">
        <v>35344</v>
      </c>
      <c r="H4475" s="2" t="s">
        <v>35345</v>
      </c>
    </row>
    <row r="4476" spans="1:8" ht="25.05" customHeight="1" x14ac:dyDescent="0.25">
      <c r="A4476" s="2" t="s">
        <v>8</v>
      </c>
      <c r="B4476" s="2" t="str">
        <f>HYPERLINK("http://ts.21cn.com/tousu/show/id/1335249","无休止的骚扰通讯录以及本人")</f>
        <v>无休止的骚扰通讯录以及本人</v>
      </c>
      <c r="C4476" s="2" t="s">
        <v>9</v>
      </c>
      <c r="D4476" s="2" t="s">
        <v>10</v>
      </c>
      <c r="E4476" s="2" t="str">
        <f>HYPERLINK("http://ts.21cn.com/tousu/show/id/1335249","http://ts.21cn.com/tousu/show/id/1335249")</f>
        <v>http://ts.21cn.com/tousu/show/id/1335249</v>
      </c>
      <c r="F4476" s="2" t="s">
        <v>11</v>
      </c>
      <c r="G4476" s="2" t="s">
        <v>35342</v>
      </c>
      <c r="H4476" s="2" t="s">
        <v>35343</v>
      </c>
    </row>
    <row r="4477" spans="1:8" ht="25.05" customHeight="1" x14ac:dyDescent="0.25">
      <c r="A4477" s="2" t="s">
        <v>8</v>
      </c>
      <c r="B4477" s="2" t="str">
        <f>HYPERLINK("http://ts.21cn.com/tousu/show/id/1335251","信用飞黑网贷，收取砍头息和借款人毫不知情的保险费，")</f>
        <v>信用飞黑网贷，收取砍头息和借款人毫不知情的保险费，</v>
      </c>
      <c r="C4477" s="2" t="s">
        <v>9</v>
      </c>
      <c r="D4477" s="2" t="s">
        <v>10</v>
      </c>
      <c r="E4477" s="2" t="str">
        <f>HYPERLINK("http://ts.21cn.com/tousu/show/id/1335251","http://ts.21cn.com/tousu/show/id/1335251")</f>
        <v>http://ts.21cn.com/tousu/show/id/1335251</v>
      </c>
      <c r="F4477" s="2" t="s">
        <v>11</v>
      </c>
      <c r="G4477" s="2" t="s">
        <v>35340</v>
      </c>
      <c r="H4477" s="2" t="s">
        <v>35341</v>
      </c>
    </row>
    <row r="4478" spans="1:8" ht="25.05" customHeight="1" x14ac:dyDescent="0.25">
      <c r="A4478" s="2" t="s">
        <v>8</v>
      </c>
      <c r="B4478" s="2" t="str">
        <f>HYPERLINK("http://ts.21cn.com/tousu/show/id/1335252","高利贷暴力催收")</f>
        <v>高利贷暴力催收</v>
      </c>
      <c r="C4478" s="2" t="s">
        <v>9</v>
      </c>
      <c r="D4478" s="2" t="s">
        <v>10</v>
      </c>
      <c r="E4478" s="2" t="str">
        <f>HYPERLINK("http://ts.21cn.com/tousu/show/id/1335252","http://ts.21cn.com/tousu/show/id/1335252")</f>
        <v>http://ts.21cn.com/tousu/show/id/1335252</v>
      </c>
      <c r="F4478" s="2" t="s">
        <v>11</v>
      </c>
      <c r="G4478" s="2" t="s">
        <v>35338</v>
      </c>
      <c r="H4478" s="2" t="s">
        <v>35339</v>
      </c>
    </row>
    <row r="4479" spans="1:8" ht="25.05" customHeight="1" x14ac:dyDescent="0.25">
      <c r="A4479" s="2" t="s">
        <v>8</v>
      </c>
      <c r="B4479" s="2" t="str">
        <f>HYPERLINK("http://ts.21cn.com/tousu/show/id/1335255","牛人有品砍头息高利贷")</f>
        <v>牛人有品砍头息高利贷</v>
      </c>
      <c r="C4479" s="2" t="s">
        <v>9</v>
      </c>
      <c r="D4479" s="2" t="s">
        <v>10</v>
      </c>
      <c r="E4479" s="2" t="str">
        <f>HYPERLINK("http://ts.21cn.com/tousu/show/id/1335255","http://ts.21cn.com/tousu/show/id/1335255")</f>
        <v>http://ts.21cn.com/tousu/show/id/1335255</v>
      </c>
      <c r="F4479" s="2" t="s">
        <v>11</v>
      </c>
      <c r="G4479" s="2" t="s">
        <v>35336</v>
      </c>
      <c r="H4479" s="2" t="s">
        <v>35337</v>
      </c>
    </row>
    <row r="4480" spans="1:8" ht="25.05" customHeight="1" x14ac:dyDescent="0.25">
      <c r="A4480" s="2" t="s">
        <v>8</v>
      </c>
      <c r="B4480" s="2" t="str">
        <f>HYPERLINK("http://ts.21cn.com/tousu/show/id/1335254","保险公司捆绑高利贷")</f>
        <v>保险公司捆绑高利贷</v>
      </c>
      <c r="C4480" s="2" t="s">
        <v>9</v>
      </c>
      <c r="D4480" s="2" t="s">
        <v>10</v>
      </c>
      <c r="E4480" s="2" t="str">
        <f>HYPERLINK("http://ts.21cn.com/tousu/show/id/1335254","http://ts.21cn.com/tousu/show/id/1335254")</f>
        <v>http://ts.21cn.com/tousu/show/id/1335254</v>
      </c>
      <c r="F4480" s="2" t="s">
        <v>11</v>
      </c>
      <c r="G4480" s="2" t="s">
        <v>35334</v>
      </c>
      <c r="H4480" s="2" t="s">
        <v>35335</v>
      </c>
    </row>
    <row r="4481" spans="1:8" ht="25.05" customHeight="1" x14ac:dyDescent="0.25">
      <c r="A4481" s="2" t="s">
        <v>8</v>
      </c>
      <c r="B4481" s="2" t="str">
        <f>HYPERLINK("http://ts.21cn.com/tousu/show/id/1335256","好易贷威胁爆通讯录，本来希望协商处理")</f>
        <v>好易贷威胁爆通讯录，本来希望协商处理</v>
      </c>
      <c r="C4481" s="2" t="s">
        <v>9</v>
      </c>
      <c r="D4481" s="2" t="s">
        <v>10</v>
      </c>
      <c r="E4481" s="2" t="str">
        <f>HYPERLINK("http://ts.21cn.com/tousu/show/id/1335256","http://ts.21cn.com/tousu/show/id/1335256")</f>
        <v>http://ts.21cn.com/tousu/show/id/1335256</v>
      </c>
      <c r="F4481" s="2" t="s">
        <v>11</v>
      </c>
      <c r="G4481" s="2" t="s">
        <v>35332</v>
      </c>
      <c r="H4481" s="2" t="s">
        <v>35333</v>
      </c>
    </row>
    <row r="4482" spans="1:8" ht="25.05" customHeight="1" x14ac:dyDescent="0.25">
      <c r="A4482" s="2" t="s">
        <v>8</v>
      </c>
      <c r="B4482" s="2" t="str">
        <f>HYPERLINK("http://ts.21cn.com/tousu/show/id/1335213","51人品贷暴力催收")</f>
        <v>51人品贷暴力催收</v>
      </c>
      <c r="C4482" s="2" t="s">
        <v>9</v>
      </c>
      <c r="D4482" s="2" t="s">
        <v>10</v>
      </c>
      <c r="E4482" s="2" t="str">
        <f>HYPERLINK("http://ts.21cn.com/tousu/show/id/1335213","http://ts.21cn.com/tousu/show/id/1335213")</f>
        <v>http://ts.21cn.com/tousu/show/id/1335213</v>
      </c>
      <c r="F4482" s="2" t="s">
        <v>11</v>
      </c>
      <c r="G4482" s="2" t="s">
        <v>35330</v>
      </c>
      <c r="H4482" s="2" t="s">
        <v>35331</v>
      </c>
    </row>
    <row r="4483" spans="1:8" ht="25.05" customHeight="1" x14ac:dyDescent="0.25">
      <c r="A4483" s="2" t="s">
        <v>8</v>
      </c>
      <c r="B4483" s="2" t="str">
        <f>HYPERLINK("http://ts.21cn.com/tousu/show/id/1335258","聚福钱包未经许可私自扣款")</f>
        <v>聚福钱包未经许可私自扣款</v>
      </c>
      <c r="C4483" s="2" t="s">
        <v>9</v>
      </c>
      <c r="D4483" s="2" t="s">
        <v>10</v>
      </c>
      <c r="E4483" s="2" t="str">
        <f>HYPERLINK("http://ts.21cn.com/tousu/show/id/1335258","http://ts.21cn.com/tousu/show/id/1335258")</f>
        <v>http://ts.21cn.com/tousu/show/id/1335258</v>
      </c>
      <c r="F4483" s="2" t="s">
        <v>11</v>
      </c>
      <c r="G4483" s="2" t="s">
        <v>35328</v>
      </c>
      <c r="H4483" s="2" t="s">
        <v>35329</v>
      </c>
    </row>
    <row r="4484" spans="1:8" ht="25.05" customHeight="1" x14ac:dyDescent="0.25">
      <c r="A4484" s="2" t="s">
        <v>8</v>
      </c>
      <c r="B4484" s="2" t="str">
        <f>HYPERLINK("http://ts.21cn.com/tousu/show/id/1335257","我作为蜂鸟众包骑手被莫名限制接单，并且不让申诉")</f>
        <v>我作为蜂鸟众包骑手被莫名限制接单，并且不让申诉</v>
      </c>
      <c r="C4484" s="2" t="s">
        <v>9</v>
      </c>
      <c r="D4484" s="2" t="s">
        <v>10</v>
      </c>
      <c r="E4484" s="2" t="str">
        <f>HYPERLINK("http://ts.21cn.com/tousu/show/id/1335257","http://ts.21cn.com/tousu/show/id/1335257")</f>
        <v>http://ts.21cn.com/tousu/show/id/1335257</v>
      </c>
      <c r="F4484" s="2" t="s">
        <v>11</v>
      </c>
      <c r="G4484" s="2" t="s">
        <v>35326</v>
      </c>
      <c r="H4484" s="2" t="s">
        <v>35327</v>
      </c>
    </row>
    <row r="4485" spans="1:8" ht="25.05" customHeight="1" x14ac:dyDescent="0.25">
      <c r="A4485" s="2" t="s">
        <v>8</v>
      </c>
      <c r="B4485" s="2" t="str">
        <f>HYPERLINK("http://ts.21cn.com/tousu/show/id/1335259","胖胖有米高利贷")</f>
        <v>胖胖有米高利贷</v>
      </c>
      <c r="C4485" s="2" t="s">
        <v>9</v>
      </c>
      <c r="D4485" s="2" t="s">
        <v>10</v>
      </c>
      <c r="E4485" s="2" t="str">
        <f>HYPERLINK("http://ts.21cn.com/tousu/show/id/1335259","http://ts.21cn.com/tousu/show/id/1335259")</f>
        <v>http://ts.21cn.com/tousu/show/id/1335259</v>
      </c>
      <c r="F4485" s="2" t="s">
        <v>11</v>
      </c>
      <c r="G4485" s="2" t="s">
        <v>35324</v>
      </c>
      <c r="H4485" s="2" t="s">
        <v>35325</v>
      </c>
    </row>
    <row r="4486" spans="1:8" ht="25.05" customHeight="1" x14ac:dyDescent="0.25">
      <c r="A4486" s="2" t="s">
        <v>8</v>
      </c>
      <c r="B4486" s="2" t="str">
        <f>HYPERLINK("http://ts.21cn.com/tousu/show/id/1335260","闪银砍头息，高利贷")</f>
        <v>闪银砍头息，高利贷</v>
      </c>
      <c r="C4486" s="2" t="s">
        <v>9</v>
      </c>
      <c r="D4486" s="2" t="s">
        <v>10</v>
      </c>
      <c r="E4486" s="2" t="str">
        <f>HYPERLINK("http://ts.21cn.com/tousu/show/id/1335260","http://ts.21cn.com/tousu/show/id/1335260")</f>
        <v>http://ts.21cn.com/tousu/show/id/1335260</v>
      </c>
      <c r="F4486" s="2" t="s">
        <v>11</v>
      </c>
      <c r="G4486" s="2" t="s">
        <v>35322</v>
      </c>
      <c r="H4486" s="2" t="s">
        <v>35323</v>
      </c>
    </row>
    <row r="4487" spans="1:8" ht="25.05" customHeight="1" x14ac:dyDescent="0.25">
      <c r="A4487" s="2" t="s">
        <v>8</v>
      </c>
      <c r="B4487" s="2" t="str">
        <f>HYPERLINK("http://ts.21cn.com/tousu/show/id/1335261","北京诚讯信息咨询有限公司乱扣费")</f>
        <v>北京诚讯信息咨询有限公司乱扣费</v>
      </c>
      <c r="C4487" s="2" t="s">
        <v>9</v>
      </c>
      <c r="D4487" s="2" t="s">
        <v>10</v>
      </c>
      <c r="E4487" s="2" t="str">
        <f>HYPERLINK("http://ts.21cn.com/tousu/show/id/1335261","http://ts.21cn.com/tousu/show/id/1335261")</f>
        <v>http://ts.21cn.com/tousu/show/id/1335261</v>
      </c>
      <c r="F4487" s="2" t="s">
        <v>11</v>
      </c>
      <c r="G4487" s="2" t="s">
        <v>35320</v>
      </c>
      <c r="H4487" s="2" t="s">
        <v>35321</v>
      </c>
    </row>
    <row r="4488" spans="1:8" ht="25.05" customHeight="1" x14ac:dyDescent="0.25">
      <c r="A4488" s="2" t="s">
        <v>8</v>
      </c>
      <c r="B4488" s="2" t="str">
        <f>HYPERLINK("http://ts.21cn.com/tousu/show/id/1335262","宜人贷存在断头息，高利贷")</f>
        <v>宜人贷存在断头息，高利贷</v>
      </c>
      <c r="C4488" s="2" t="s">
        <v>9</v>
      </c>
      <c r="D4488" s="2" t="s">
        <v>10</v>
      </c>
      <c r="E4488" s="2" t="str">
        <f>HYPERLINK("http://ts.21cn.com/tousu/show/id/1335262","http://ts.21cn.com/tousu/show/id/1335262")</f>
        <v>http://ts.21cn.com/tousu/show/id/1335262</v>
      </c>
      <c r="F4488" s="2" t="s">
        <v>11</v>
      </c>
      <c r="G4488" s="2" t="s">
        <v>35318</v>
      </c>
      <c r="H4488" s="2" t="s">
        <v>35319</v>
      </c>
    </row>
    <row r="4489" spans="1:8" ht="25.05" customHeight="1" x14ac:dyDescent="0.25">
      <c r="A4489" s="2" t="s">
        <v>8</v>
      </c>
      <c r="B4489" s="2" t="str">
        <f>HYPERLINK("http://ts.21cn.com/tousu/show/id/1335263","拍拍贷逾期费用问题")</f>
        <v>拍拍贷逾期费用问题</v>
      </c>
      <c r="C4489" s="2" t="s">
        <v>34</v>
      </c>
      <c r="D4489" s="2" t="s">
        <v>10</v>
      </c>
      <c r="E4489" s="2" t="str">
        <f>HYPERLINK("http://ts.21cn.com/tousu/show/id/1335263","http://ts.21cn.com/tousu/show/id/1335263")</f>
        <v>http://ts.21cn.com/tousu/show/id/1335263</v>
      </c>
      <c r="F4489" s="2" t="s">
        <v>11</v>
      </c>
      <c r="G4489" s="2" t="s">
        <v>35316</v>
      </c>
      <c r="H4489" s="2" t="s">
        <v>35317</v>
      </c>
    </row>
    <row r="4490" spans="1:8" ht="25.05" customHeight="1" x14ac:dyDescent="0.25">
      <c r="A4490" s="2" t="s">
        <v>8</v>
      </c>
      <c r="B4490" s="2" t="str">
        <f>HYPERLINK("http://ts.21cn.com/tousu/show/id/1335264","航旅之家存在服务欺诈")</f>
        <v>航旅之家存在服务欺诈</v>
      </c>
      <c r="C4490" s="2" t="s">
        <v>9</v>
      </c>
      <c r="D4490" s="2" t="s">
        <v>10</v>
      </c>
      <c r="E4490" s="2" t="str">
        <f>HYPERLINK("http://ts.21cn.com/tousu/show/id/1335264","http://ts.21cn.com/tousu/show/id/1335264")</f>
        <v>http://ts.21cn.com/tousu/show/id/1335264</v>
      </c>
      <c r="F4490" s="2" t="s">
        <v>11</v>
      </c>
      <c r="G4490" s="2" t="s">
        <v>35314</v>
      </c>
      <c r="H4490" s="2" t="s">
        <v>35315</v>
      </c>
    </row>
    <row r="4491" spans="1:8" ht="25.05" customHeight="1" x14ac:dyDescent="0.25">
      <c r="A4491" s="2" t="s">
        <v>8</v>
      </c>
      <c r="B4491" s="2" t="str">
        <f>HYPERLINK("http://ts.21cn.com/tousu/show/id/1335253","招联金融无故冻结额度")</f>
        <v>招联金融无故冻结额度</v>
      </c>
      <c r="C4491" s="2" t="s">
        <v>9</v>
      </c>
      <c r="D4491" s="2" t="s">
        <v>10</v>
      </c>
      <c r="E4491" s="2" t="str">
        <f>HYPERLINK("http://ts.21cn.com/tousu/show/id/1335253","http://ts.21cn.com/tousu/show/id/1335253")</f>
        <v>http://ts.21cn.com/tousu/show/id/1335253</v>
      </c>
      <c r="F4491" s="2" t="s">
        <v>11</v>
      </c>
      <c r="G4491" s="2" t="s">
        <v>35312</v>
      </c>
      <c r="H4491" s="2" t="s">
        <v>35313</v>
      </c>
    </row>
    <row r="4492" spans="1:8" ht="25.05" customHeight="1" x14ac:dyDescent="0.25">
      <c r="A4492" s="2" t="s">
        <v>8</v>
      </c>
      <c r="B4492" s="2" t="str">
        <f>HYPERLINK("http://ts.21cn.com/tousu/show/id/1335265","凡普快车车贷已结清抵押手续迟迟不退还")</f>
        <v>凡普快车车贷已结清抵押手续迟迟不退还</v>
      </c>
      <c r="C4492" s="2" t="s">
        <v>9</v>
      </c>
      <c r="D4492" s="2" t="s">
        <v>10</v>
      </c>
      <c r="E4492" s="2" t="str">
        <f>HYPERLINK("http://ts.21cn.com/tousu/show/id/1335265","http://ts.21cn.com/tousu/show/id/1335265")</f>
        <v>http://ts.21cn.com/tousu/show/id/1335265</v>
      </c>
      <c r="F4492" s="2" t="s">
        <v>11</v>
      </c>
      <c r="G4492" s="2" t="s">
        <v>35310</v>
      </c>
      <c r="H4492" s="2" t="s">
        <v>35311</v>
      </c>
    </row>
    <row r="4493" spans="1:8" ht="25.05" customHeight="1" x14ac:dyDescent="0.25">
      <c r="A4493" s="2" t="s">
        <v>8</v>
      </c>
      <c r="B4493" s="2" t="str">
        <f>HYPERLINK("http://ts.21cn.com/tousu/show/id/1335266","好易贷高利贷")</f>
        <v>好易贷高利贷</v>
      </c>
      <c r="C4493" s="2" t="s">
        <v>9</v>
      </c>
      <c r="D4493" s="2" t="s">
        <v>10</v>
      </c>
      <c r="E4493" s="2" t="str">
        <f>HYPERLINK("http://ts.21cn.com/tousu/show/id/1335266","http://ts.21cn.com/tousu/show/id/1335266")</f>
        <v>http://ts.21cn.com/tousu/show/id/1335266</v>
      </c>
      <c r="F4493" s="2" t="s">
        <v>11</v>
      </c>
      <c r="G4493" s="2" t="s">
        <v>35308</v>
      </c>
      <c r="H4493" s="2" t="s">
        <v>35309</v>
      </c>
    </row>
    <row r="4494" spans="1:8" ht="25.05" customHeight="1" x14ac:dyDescent="0.25">
      <c r="A4494" s="2" t="s">
        <v>8</v>
      </c>
      <c r="B4494" s="2" t="str">
        <f>HYPERLINK("http://ts.21cn.com/tousu/show/id/1335267","畅捷支付为高利贷提供放款通道")</f>
        <v>畅捷支付为高利贷提供放款通道</v>
      </c>
      <c r="C4494" s="2" t="s">
        <v>9</v>
      </c>
      <c r="D4494" s="2" t="s">
        <v>10</v>
      </c>
      <c r="E4494" s="2" t="str">
        <f>HYPERLINK("http://ts.21cn.com/tousu/show/id/1335267","http://ts.21cn.com/tousu/show/id/1335267")</f>
        <v>http://ts.21cn.com/tousu/show/id/1335267</v>
      </c>
      <c r="F4494" s="2" t="s">
        <v>11</v>
      </c>
      <c r="G4494" s="2" t="s">
        <v>35306</v>
      </c>
      <c r="H4494" s="2" t="s">
        <v>35307</v>
      </c>
    </row>
    <row r="4495" spans="1:8" ht="25.05" customHeight="1" x14ac:dyDescent="0.25">
      <c r="A4495" s="2" t="s">
        <v>8</v>
      </c>
      <c r="B4495" s="2" t="str">
        <f>HYPERLINK("http://ts.21cn.com/tousu/show/id/1335268","及贷旗下智享贷协议还款后仍显示有欠款")</f>
        <v>及贷旗下智享贷协议还款后仍显示有欠款</v>
      </c>
      <c r="C4495" s="2" t="s">
        <v>9</v>
      </c>
      <c r="D4495" s="2" t="s">
        <v>10</v>
      </c>
      <c r="E4495" s="2" t="str">
        <f>HYPERLINK("http://ts.21cn.com/tousu/show/id/1335268","http://ts.21cn.com/tousu/show/id/1335268")</f>
        <v>http://ts.21cn.com/tousu/show/id/1335268</v>
      </c>
      <c r="F4495" s="2" t="s">
        <v>11</v>
      </c>
      <c r="G4495" s="2" t="s">
        <v>35304</v>
      </c>
      <c r="H4495" s="2" t="s">
        <v>35305</v>
      </c>
    </row>
    <row r="4496" spans="1:8" ht="25.05" customHeight="1" x14ac:dyDescent="0.25">
      <c r="A4496" s="2" t="s">
        <v>8</v>
      </c>
      <c r="B4496" s="2" t="str">
        <f>HYPERLINK("http://ts.21cn.com/tousu/show/id/1335269","钱站暴力催收")</f>
        <v>钱站暴力催收</v>
      </c>
      <c r="C4496" s="2" t="s">
        <v>9</v>
      </c>
      <c r="D4496" s="2" t="s">
        <v>10</v>
      </c>
      <c r="E4496" s="2" t="str">
        <f>HYPERLINK("http://ts.21cn.com/tousu/show/id/1335269","http://ts.21cn.com/tousu/show/id/1335269")</f>
        <v>http://ts.21cn.com/tousu/show/id/1335269</v>
      </c>
      <c r="F4496" s="2" t="s">
        <v>11</v>
      </c>
      <c r="G4496" s="2" t="s">
        <v>35302</v>
      </c>
      <c r="H4496" s="2" t="s">
        <v>35303</v>
      </c>
    </row>
    <row r="4497" spans="1:8" ht="25.05" customHeight="1" x14ac:dyDescent="0.25">
      <c r="A4497" s="2" t="s">
        <v>8</v>
      </c>
      <c r="B4497" s="2" t="str">
        <f>HYPERLINK("http://ts.21cn.com/tousu/show/id/1335270","立借平台给高利贷打广告")</f>
        <v>立借平台给高利贷打广告</v>
      </c>
      <c r="C4497" s="2" t="s">
        <v>9</v>
      </c>
      <c r="D4497" s="2" t="s">
        <v>10</v>
      </c>
      <c r="E4497" s="2" t="str">
        <f>HYPERLINK("http://ts.21cn.com/tousu/show/id/1335270","http://ts.21cn.com/tousu/show/id/1335270")</f>
        <v>http://ts.21cn.com/tousu/show/id/1335270</v>
      </c>
      <c r="F4497" s="2" t="s">
        <v>11</v>
      </c>
      <c r="G4497" s="2" t="s">
        <v>35300</v>
      </c>
      <c r="H4497" s="2" t="s">
        <v>35301</v>
      </c>
    </row>
    <row r="4498" spans="1:8" ht="25.05" customHeight="1" x14ac:dyDescent="0.25">
      <c r="A4498" s="2" t="s">
        <v>8</v>
      </c>
      <c r="B4498" s="2" t="str">
        <f>HYPERLINK("http://ts.21cn.com/tousu/show/id/1335271","树林分期高利贷")</f>
        <v>树林分期高利贷</v>
      </c>
      <c r="C4498" s="2" t="s">
        <v>9</v>
      </c>
      <c r="D4498" s="2" t="s">
        <v>10</v>
      </c>
      <c r="E4498" s="2" t="str">
        <f>HYPERLINK("http://ts.21cn.com/tousu/show/id/1335271","http://ts.21cn.com/tousu/show/id/1335271")</f>
        <v>http://ts.21cn.com/tousu/show/id/1335271</v>
      </c>
      <c r="F4498" s="2" t="s">
        <v>11</v>
      </c>
      <c r="G4498" s="2" t="s">
        <v>35298</v>
      </c>
      <c r="H4498" s="2" t="s">
        <v>35299</v>
      </c>
    </row>
    <row r="4499" spans="1:8" ht="25.05" customHeight="1" x14ac:dyDescent="0.25">
      <c r="A4499" s="2" t="s">
        <v>8</v>
      </c>
      <c r="B4499" s="2" t="str">
        <f>HYPERLINK("http://ts.21cn.com/tousu/show/id/1335272","立借，高利息，套路贷，暴力催收")</f>
        <v>立借，高利息，套路贷，暴力催收</v>
      </c>
      <c r="C4499" s="2" t="s">
        <v>9</v>
      </c>
      <c r="D4499" s="2" t="s">
        <v>10</v>
      </c>
      <c r="E4499" s="2" t="str">
        <f>HYPERLINK("http://ts.21cn.com/tousu/show/id/1335272","http://ts.21cn.com/tousu/show/id/1335272")</f>
        <v>http://ts.21cn.com/tousu/show/id/1335272</v>
      </c>
      <c r="F4499" s="2" t="s">
        <v>11</v>
      </c>
      <c r="G4499" s="2" t="s">
        <v>35296</v>
      </c>
      <c r="H4499" s="2" t="s">
        <v>35297</v>
      </c>
    </row>
    <row r="4500" spans="1:8" ht="25.05" customHeight="1" x14ac:dyDescent="0.25">
      <c r="A4500" s="2" t="s">
        <v>8</v>
      </c>
      <c r="B4500" s="2" t="str">
        <f>HYPERLINK("http://ts.21cn.com/tousu/show/id/1335273","乱扣费")</f>
        <v>乱扣费</v>
      </c>
      <c r="C4500" s="2" t="s">
        <v>9</v>
      </c>
      <c r="D4500" s="2" t="s">
        <v>10</v>
      </c>
      <c r="E4500" s="2" t="str">
        <f>HYPERLINK("http://ts.21cn.com/tousu/show/id/1335273","http://ts.21cn.com/tousu/show/id/1335273")</f>
        <v>http://ts.21cn.com/tousu/show/id/1335273</v>
      </c>
      <c r="F4500" s="2" t="s">
        <v>11</v>
      </c>
      <c r="G4500" s="2" t="s">
        <v>35294</v>
      </c>
      <c r="H4500" s="2" t="s">
        <v>35295</v>
      </c>
    </row>
    <row r="4501" spans="1:8" ht="25.05" customHeight="1" x14ac:dyDescent="0.25">
      <c r="A4501" s="2" t="s">
        <v>8</v>
      </c>
      <c r="B4501" s="2" t="str">
        <f>HYPERLINK("http://ts.21cn.com/tousu/show/id/1335275","骚扰家人")</f>
        <v>骚扰家人</v>
      </c>
      <c r="C4501" s="2" t="s">
        <v>9</v>
      </c>
      <c r="D4501" s="2" t="s">
        <v>10</v>
      </c>
      <c r="E4501" s="2" t="str">
        <f>HYPERLINK("http://ts.21cn.com/tousu/show/id/1335275","http://ts.21cn.com/tousu/show/id/1335275")</f>
        <v>http://ts.21cn.com/tousu/show/id/1335275</v>
      </c>
      <c r="F4501" s="2" t="s">
        <v>11</v>
      </c>
      <c r="G4501" s="2" t="s">
        <v>35291</v>
      </c>
      <c r="H4501" s="2" t="s">
        <v>35292</v>
      </c>
    </row>
    <row r="4502" spans="1:8" ht="25.05" customHeight="1" x14ac:dyDescent="0.25">
      <c r="A4502" s="2" t="s">
        <v>8</v>
      </c>
      <c r="B4502" s="2" t="str">
        <f>HYPERLINK("http://ts.21cn.com/tousu/show/id/1335274","电话催收")</f>
        <v>电话催收</v>
      </c>
      <c r="C4502" s="2" t="s">
        <v>9</v>
      </c>
      <c r="D4502" s="2" t="s">
        <v>10</v>
      </c>
      <c r="E4502" s="2" t="str">
        <f>HYPERLINK("http://ts.21cn.com/tousu/show/id/1335274","http://ts.21cn.com/tousu/show/id/1335274")</f>
        <v>http://ts.21cn.com/tousu/show/id/1335274</v>
      </c>
      <c r="F4502" s="2" t="s">
        <v>11</v>
      </c>
      <c r="G4502" s="2" t="s">
        <v>35291</v>
      </c>
      <c r="H4502" s="2" t="s">
        <v>35293</v>
      </c>
    </row>
    <row r="4503" spans="1:8" ht="25.05" customHeight="1" x14ac:dyDescent="0.25">
      <c r="A4503" s="2" t="s">
        <v>8</v>
      </c>
      <c r="B4503" s="2" t="str">
        <f>HYPERLINK("http://ts.21cn.com/tousu/show/id/1335276","分期通恶意收取会员费用")</f>
        <v>分期通恶意收取会员费用</v>
      </c>
      <c r="C4503" s="2" t="s">
        <v>9</v>
      </c>
      <c r="D4503" s="2" t="s">
        <v>10</v>
      </c>
      <c r="E4503" s="2" t="str">
        <f>HYPERLINK("http://ts.21cn.com/tousu/show/id/1335276","http://ts.21cn.com/tousu/show/id/1335276")</f>
        <v>http://ts.21cn.com/tousu/show/id/1335276</v>
      </c>
      <c r="F4503" s="2" t="s">
        <v>11</v>
      </c>
      <c r="G4503" s="2" t="s">
        <v>35289</v>
      </c>
      <c r="H4503" s="2" t="s">
        <v>35290</v>
      </c>
    </row>
    <row r="4504" spans="1:8" ht="25.05" customHeight="1" x14ac:dyDescent="0.25">
      <c r="A4504" s="2" t="s">
        <v>8</v>
      </c>
      <c r="B4504" s="2" t="str">
        <f>HYPERLINK("http://ts.21cn.com/tousu/show/id/1335277","你我贷国庆期间催收")</f>
        <v>你我贷国庆期间催收</v>
      </c>
      <c r="C4504" s="2" t="s">
        <v>34</v>
      </c>
      <c r="D4504" s="2" t="s">
        <v>10</v>
      </c>
      <c r="E4504" s="2" t="str">
        <f>HYPERLINK("http://ts.21cn.com/tousu/show/id/1335277","http://ts.21cn.com/tousu/show/id/1335277")</f>
        <v>http://ts.21cn.com/tousu/show/id/1335277</v>
      </c>
      <c r="F4504" s="2" t="s">
        <v>11</v>
      </c>
      <c r="G4504" s="2" t="s">
        <v>35287</v>
      </c>
      <c r="H4504" s="2" t="s">
        <v>35288</v>
      </c>
    </row>
    <row r="4505" spans="1:8" ht="25.05" customHeight="1" x14ac:dyDescent="0.25">
      <c r="A4505" s="2" t="s">
        <v>8</v>
      </c>
      <c r="B4505" s="2" t="str">
        <f>HYPERLINK("http://ts.21cn.com/tousu/show/id/1335278","我希望协商还款时间")</f>
        <v>我希望协商还款时间</v>
      </c>
      <c r="C4505" s="2" t="s">
        <v>34</v>
      </c>
      <c r="D4505" s="2" t="s">
        <v>10</v>
      </c>
      <c r="E4505" s="2" t="str">
        <f>HYPERLINK("http://ts.21cn.com/tousu/show/id/1335278","http://ts.21cn.com/tousu/show/id/1335278")</f>
        <v>http://ts.21cn.com/tousu/show/id/1335278</v>
      </c>
      <c r="F4505" s="2" t="s">
        <v>11</v>
      </c>
      <c r="G4505" s="2" t="s">
        <v>35285</v>
      </c>
      <c r="H4505" s="2" t="s">
        <v>35286</v>
      </c>
    </row>
    <row r="4506" spans="1:8" ht="25.05" customHeight="1" x14ac:dyDescent="0.25">
      <c r="A4506" s="2" t="s">
        <v>8</v>
      </c>
      <c r="B4506" s="2" t="str">
        <f>HYPERLINK("http://ts.21cn.com/tousu/show/id/1335279","银闪奇异旗下的哼哼平台收取高额利息")</f>
        <v>银闪奇异旗下的哼哼平台收取高额利息</v>
      </c>
      <c r="C4506" s="2" t="s">
        <v>9</v>
      </c>
      <c r="D4506" s="2" t="s">
        <v>10</v>
      </c>
      <c r="E4506" s="2" t="str">
        <f>HYPERLINK("http://ts.21cn.com/tousu/show/id/1335279","http://ts.21cn.com/tousu/show/id/1335279")</f>
        <v>http://ts.21cn.com/tousu/show/id/1335279</v>
      </c>
      <c r="F4506" s="2" t="s">
        <v>11</v>
      </c>
      <c r="G4506" s="2" t="s">
        <v>35283</v>
      </c>
      <c r="H4506" s="2" t="s">
        <v>35284</v>
      </c>
    </row>
    <row r="4507" spans="1:8" ht="25.05" customHeight="1" x14ac:dyDescent="0.25">
      <c r="A4507" s="2" t="s">
        <v>8</v>
      </c>
      <c r="B4507" s="2" t="str">
        <f>HYPERLINK("http://ts.21cn.com/tousu/show/id/1335281","支付宝52租机客服电话永远不借要不就是关机")</f>
        <v>支付宝52租机客服电话永远不借要不就是关机</v>
      </c>
      <c r="C4507" s="2" t="s">
        <v>9</v>
      </c>
      <c r="D4507" s="2" t="s">
        <v>10</v>
      </c>
      <c r="E4507" s="2" t="str">
        <f>HYPERLINK("http://ts.21cn.com/tousu/show/id/1335281","http://ts.21cn.com/tousu/show/id/1335281")</f>
        <v>http://ts.21cn.com/tousu/show/id/1335281</v>
      </c>
      <c r="F4507" s="2" t="s">
        <v>11</v>
      </c>
      <c r="G4507" s="2" t="s">
        <v>35281</v>
      </c>
      <c r="H4507" s="2" t="s">
        <v>35282</v>
      </c>
    </row>
    <row r="4508" spans="1:8" ht="25.05" customHeight="1" x14ac:dyDescent="0.25">
      <c r="A4508" s="2" t="s">
        <v>8</v>
      </c>
      <c r="B4508" s="2" t="str">
        <f>HYPERLINK("http://ts.21cn.com/tousu/show/id/1335280","微粒贷暴力催收恐吓骚扰")</f>
        <v>微粒贷暴力催收恐吓骚扰</v>
      </c>
      <c r="C4508" s="2" t="s">
        <v>9</v>
      </c>
      <c r="D4508" s="2" t="s">
        <v>10</v>
      </c>
      <c r="E4508" s="2" t="str">
        <f>HYPERLINK("http://ts.21cn.com/tousu/show/id/1335280","http://ts.21cn.com/tousu/show/id/1335280")</f>
        <v>http://ts.21cn.com/tousu/show/id/1335280</v>
      </c>
      <c r="F4508" s="2" t="s">
        <v>11</v>
      </c>
      <c r="G4508" s="2" t="s">
        <v>35279</v>
      </c>
      <c r="H4508" s="2" t="s">
        <v>35280</v>
      </c>
    </row>
    <row r="4509" spans="1:8" ht="25.05" customHeight="1" x14ac:dyDescent="0.25">
      <c r="A4509" s="2" t="s">
        <v>8</v>
      </c>
      <c r="B4509" s="2" t="str">
        <f>HYPERLINK("http://ts.21cn.com/tousu/show/id/1335282","小赢卡贷砍头息阴阳合同冒充公检法")</f>
        <v>小赢卡贷砍头息阴阳合同冒充公检法</v>
      </c>
      <c r="C4509" s="2" t="s">
        <v>9</v>
      </c>
      <c r="D4509" s="2" t="s">
        <v>10</v>
      </c>
      <c r="E4509" s="2" t="str">
        <f>HYPERLINK("http://ts.21cn.com/tousu/show/id/1335282","http://ts.21cn.com/tousu/show/id/1335282")</f>
        <v>http://ts.21cn.com/tousu/show/id/1335282</v>
      </c>
      <c r="F4509" s="2" t="s">
        <v>11</v>
      </c>
      <c r="G4509" s="2" t="s">
        <v>35277</v>
      </c>
      <c r="H4509" s="2" t="s">
        <v>35278</v>
      </c>
    </row>
    <row r="4510" spans="1:8" ht="25.05" customHeight="1" x14ac:dyDescent="0.25">
      <c r="A4510" s="2" t="s">
        <v>8</v>
      </c>
      <c r="B4510" s="2" t="str">
        <f>HYPERLINK("http://ts.21cn.com/tousu/show/id/1335284","高利贷")</f>
        <v>高利贷</v>
      </c>
      <c r="C4510" s="2" t="s">
        <v>9</v>
      </c>
      <c r="D4510" s="2" t="s">
        <v>10</v>
      </c>
      <c r="E4510" s="2" t="str">
        <f>HYPERLINK("http://ts.21cn.com/tousu/show/id/1335284","http://ts.21cn.com/tousu/show/id/1335284")</f>
        <v>http://ts.21cn.com/tousu/show/id/1335284</v>
      </c>
      <c r="F4510" s="2" t="s">
        <v>11</v>
      </c>
      <c r="G4510" s="2" t="s">
        <v>35275</v>
      </c>
      <c r="H4510" s="2" t="s">
        <v>35276</v>
      </c>
    </row>
    <row r="4511" spans="1:8" ht="25.05" customHeight="1" x14ac:dyDescent="0.25">
      <c r="A4511" s="2" t="s">
        <v>8</v>
      </c>
      <c r="B4511" s="2" t="str">
        <f>HYPERLINK("http://ts.21cn.com/tousu/show/id/1335285","拍拍贷真厉害")</f>
        <v>拍拍贷真厉害</v>
      </c>
      <c r="C4511" s="2" t="s">
        <v>9</v>
      </c>
      <c r="D4511" s="2" t="s">
        <v>10</v>
      </c>
      <c r="E4511" s="2" t="str">
        <f>HYPERLINK("http://ts.21cn.com/tousu/show/id/1335285","http://ts.21cn.com/tousu/show/id/1335285")</f>
        <v>http://ts.21cn.com/tousu/show/id/1335285</v>
      </c>
      <c r="F4511" s="2" t="s">
        <v>11</v>
      </c>
      <c r="G4511" s="2" t="s">
        <v>35273</v>
      </c>
      <c r="H4511" s="2" t="s">
        <v>35274</v>
      </c>
    </row>
    <row r="4512" spans="1:8" ht="25.05" customHeight="1" x14ac:dyDescent="0.25">
      <c r="A4512" s="2" t="s">
        <v>8</v>
      </c>
      <c r="B4512" s="2" t="str">
        <f>HYPERLINK("http://ts.21cn.com/tousu/show/id/1335286","小浦优客未经同意扣款")</f>
        <v>小浦优客未经同意扣款</v>
      </c>
      <c r="C4512" s="2" t="s">
        <v>34</v>
      </c>
      <c r="D4512" s="2" t="s">
        <v>10</v>
      </c>
      <c r="E4512" s="2" t="str">
        <f>HYPERLINK("http://ts.21cn.com/tousu/show/id/1335286","http://ts.21cn.com/tousu/show/id/1335286")</f>
        <v>http://ts.21cn.com/tousu/show/id/1335286</v>
      </c>
      <c r="F4512" s="2" t="s">
        <v>11</v>
      </c>
      <c r="G4512" s="2" t="s">
        <v>35271</v>
      </c>
      <c r="H4512" s="2" t="s">
        <v>35272</v>
      </c>
    </row>
    <row r="4513" spans="1:8" ht="25.05" customHeight="1" x14ac:dyDescent="0.25">
      <c r="A4513" s="2" t="s">
        <v>8</v>
      </c>
      <c r="B4513" s="2" t="str">
        <f>HYPERLINK("http://ts.21cn.com/tousu/show/id/1335288","退款短我钱")</f>
        <v>退款短我钱</v>
      </c>
      <c r="C4513" s="2" t="s">
        <v>34</v>
      </c>
      <c r="D4513" s="2" t="s">
        <v>10</v>
      </c>
      <c r="E4513" s="2" t="str">
        <f>HYPERLINK("http://ts.21cn.com/tousu/show/id/1335288","http://ts.21cn.com/tousu/show/id/1335288")</f>
        <v>http://ts.21cn.com/tousu/show/id/1335288</v>
      </c>
      <c r="F4513" s="2" t="s">
        <v>11</v>
      </c>
      <c r="G4513" s="2" t="s">
        <v>35269</v>
      </c>
      <c r="H4513" s="2" t="s">
        <v>35270</v>
      </c>
    </row>
    <row r="4514" spans="1:8" ht="25.05" customHeight="1" x14ac:dyDescent="0.25">
      <c r="A4514" s="2" t="s">
        <v>8</v>
      </c>
      <c r="B4514" s="2" t="str">
        <f>HYPERLINK("http://ts.21cn.com/tousu/show/id/1335287","微信被永久冻结不能提现")</f>
        <v>微信被永久冻结不能提现</v>
      </c>
      <c r="C4514" s="2" t="s">
        <v>9</v>
      </c>
      <c r="D4514" s="2" t="s">
        <v>10</v>
      </c>
      <c r="E4514" s="2" t="str">
        <f>HYPERLINK("http://ts.21cn.com/tousu/show/id/1335287","http://ts.21cn.com/tousu/show/id/1335287")</f>
        <v>http://ts.21cn.com/tousu/show/id/1335287</v>
      </c>
      <c r="F4514" s="2" t="s">
        <v>11</v>
      </c>
      <c r="G4514" s="2" t="s">
        <v>35267</v>
      </c>
      <c r="H4514" s="2" t="s">
        <v>35268</v>
      </c>
    </row>
    <row r="4515" spans="1:8" ht="25.05" customHeight="1" x14ac:dyDescent="0.25">
      <c r="A4515" s="2" t="s">
        <v>8</v>
      </c>
      <c r="B4515" s="2" t="str">
        <f>HYPERLINK("http://ts.21cn.com/tousu/show/id/1335289","9月1号已提前还款随手记福贷但其拒不解除合同")</f>
        <v>9月1号已提前还款随手记福贷但其拒不解除合同</v>
      </c>
      <c r="C4515" s="2" t="s">
        <v>34</v>
      </c>
      <c r="D4515" s="2" t="s">
        <v>10</v>
      </c>
      <c r="E4515" s="2" t="str">
        <f>HYPERLINK("http://ts.21cn.com/tousu/show/id/1335289","http://ts.21cn.com/tousu/show/id/1335289")</f>
        <v>http://ts.21cn.com/tousu/show/id/1335289</v>
      </c>
      <c r="F4515" s="2" t="s">
        <v>11</v>
      </c>
      <c r="G4515" s="2" t="s">
        <v>35265</v>
      </c>
      <c r="H4515" s="2" t="s">
        <v>35266</v>
      </c>
    </row>
    <row r="4516" spans="1:8" ht="25.05" customHeight="1" x14ac:dyDescent="0.25">
      <c r="A4516" s="2" t="s">
        <v>8</v>
      </c>
      <c r="B4516" s="2" t="str">
        <f>HYPERLINK("http://ts.21cn.com/tousu/show/id/1335290","用钱宝高利贷")</f>
        <v>用钱宝高利贷</v>
      </c>
      <c r="C4516" s="2" t="s">
        <v>9</v>
      </c>
      <c r="D4516" s="2" t="s">
        <v>10</v>
      </c>
      <c r="E4516" s="2" t="str">
        <f>HYPERLINK("http://ts.21cn.com/tousu/show/id/1335290","http://ts.21cn.com/tousu/show/id/1335290")</f>
        <v>http://ts.21cn.com/tousu/show/id/1335290</v>
      </c>
      <c r="F4516" s="2" t="s">
        <v>11</v>
      </c>
      <c r="G4516" s="2" t="s">
        <v>35263</v>
      </c>
      <c r="H4516" s="2" t="s">
        <v>35264</v>
      </c>
    </row>
    <row r="4517" spans="1:8" ht="25.05" customHeight="1" x14ac:dyDescent="0.25">
      <c r="A4517" s="2" t="s">
        <v>8</v>
      </c>
      <c r="B4517" s="2" t="str">
        <f>HYPERLINK("http://ts.21cn.com/tousu/show/id/1335291","手机借钱上多宝分期高利贷且还款日连续扣款失败")</f>
        <v>手机借钱上多宝分期高利贷且还款日连续扣款失败</v>
      </c>
      <c r="C4517" s="2" t="s">
        <v>9</v>
      </c>
      <c r="D4517" s="2" t="s">
        <v>10</v>
      </c>
      <c r="E4517" s="2" t="str">
        <f>HYPERLINK("http://ts.21cn.com/tousu/show/id/1335291","http://ts.21cn.com/tousu/show/id/1335291")</f>
        <v>http://ts.21cn.com/tousu/show/id/1335291</v>
      </c>
      <c r="F4517" s="2" t="s">
        <v>11</v>
      </c>
      <c r="G4517" s="2" t="s">
        <v>35261</v>
      </c>
      <c r="H4517" s="2" t="s">
        <v>35262</v>
      </c>
    </row>
    <row r="4518" spans="1:8" ht="25.05" customHeight="1" x14ac:dyDescent="0.25">
      <c r="A4518" s="2" t="s">
        <v>8</v>
      </c>
      <c r="B4518" s="2" t="str">
        <f>HYPERLINK("http://ts.21cn.com/tousu/show/id/1335292","中信信用卡消费3900欠款5200")</f>
        <v>中信信用卡消费3900欠款5200</v>
      </c>
      <c r="C4518" s="2" t="s">
        <v>9</v>
      </c>
      <c r="D4518" s="2" t="s">
        <v>10</v>
      </c>
      <c r="E4518" s="2" t="str">
        <f>HYPERLINK("http://ts.21cn.com/tousu/show/id/1335292","http://ts.21cn.com/tousu/show/id/1335292")</f>
        <v>http://ts.21cn.com/tousu/show/id/1335292</v>
      </c>
      <c r="F4518" s="2" t="s">
        <v>11</v>
      </c>
      <c r="G4518" s="2" t="s">
        <v>35259</v>
      </c>
      <c r="H4518" s="2" t="s">
        <v>35260</v>
      </c>
    </row>
    <row r="4519" spans="1:8" ht="25.05" customHeight="1" x14ac:dyDescent="0.25">
      <c r="A4519" s="2" t="s">
        <v>8</v>
      </c>
      <c r="B4519" s="2" t="str">
        <f>HYPERLINK("http://ts.21cn.com/tousu/show/id/1335294","平安易贷欺诈客户")</f>
        <v>平安易贷欺诈客户</v>
      </c>
      <c r="C4519" s="2" t="s">
        <v>9</v>
      </c>
      <c r="D4519" s="2" t="s">
        <v>10</v>
      </c>
      <c r="E4519" s="2" t="str">
        <f>HYPERLINK("http://ts.21cn.com/tousu/show/id/1335294","http://ts.21cn.com/tousu/show/id/1335294")</f>
        <v>http://ts.21cn.com/tousu/show/id/1335294</v>
      </c>
      <c r="F4519" s="2" t="s">
        <v>11</v>
      </c>
      <c r="G4519" s="2" t="s">
        <v>35257</v>
      </c>
      <c r="H4519" s="2" t="s">
        <v>35258</v>
      </c>
    </row>
    <row r="4520" spans="1:8" ht="25.05" customHeight="1" x14ac:dyDescent="0.25">
      <c r="A4520" s="2" t="s">
        <v>8</v>
      </c>
      <c r="B4520" s="2" t="str">
        <f>HYPERLINK("http://ts.21cn.com/tousu/show/id/1335293","百事普惠恶意扣款")</f>
        <v>百事普惠恶意扣款</v>
      </c>
      <c r="C4520" s="2" t="s">
        <v>9</v>
      </c>
      <c r="D4520" s="2" t="s">
        <v>10</v>
      </c>
      <c r="E4520" s="2" t="str">
        <f>HYPERLINK("http://ts.21cn.com/tousu/show/id/1335293","http://ts.21cn.com/tousu/show/id/1335293")</f>
        <v>http://ts.21cn.com/tousu/show/id/1335293</v>
      </c>
      <c r="F4520" s="2" t="s">
        <v>11</v>
      </c>
      <c r="G4520" s="2" t="s">
        <v>35255</v>
      </c>
      <c r="H4520" s="2" t="s">
        <v>35256</v>
      </c>
    </row>
    <row r="4521" spans="1:8" ht="25.05" customHeight="1" x14ac:dyDescent="0.25">
      <c r="A4521" s="2" t="s">
        <v>8</v>
      </c>
      <c r="B4521" s="2" t="str">
        <f>HYPERLINK("http://ts.21cn.com/tousu/show/id/1335295","钱站高利贷阴阳合同，暴力催收，恐吓威胁")</f>
        <v>钱站高利贷阴阳合同，暴力催收，恐吓威胁</v>
      </c>
      <c r="C4521" s="2" t="s">
        <v>9</v>
      </c>
      <c r="D4521" s="2" t="s">
        <v>10</v>
      </c>
      <c r="E4521" s="2" t="str">
        <f>HYPERLINK("http://ts.21cn.com/tousu/show/id/1335295","http://ts.21cn.com/tousu/show/id/1335295")</f>
        <v>http://ts.21cn.com/tousu/show/id/1335295</v>
      </c>
      <c r="F4521" s="2" t="s">
        <v>11</v>
      </c>
      <c r="G4521" s="2" t="s">
        <v>35253</v>
      </c>
      <c r="H4521" s="2" t="s">
        <v>35254</v>
      </c>
    </row>
    <row r="4522" spans="1:8" ht="25.05" customHeight="1" x14ac:dyDescent="0.25">
      <c r="A4522" s="2" t="s">
        <v>8</v>
      </c>
      <c r="B4522" s="2" t="str">
        <f>HYPERLINK("http://ts.21cn.com/tousu/show/id/1335296","京东白条国庆期间仍暴力催收骚扰不断")</f>
        <v>京东白条国庆期间仍暴力催收骚扰不断</v>
      </c>
      <c r="C4522" s="2" t="s">
        <v>9</v>
      </c>
      <c r="D4522" s="2" t="s">
        <v>10</v>
      </c>
      <c r="E4522" s="2" t="str">
        <f>HYPERLINK("http://ts.21cn.com/tousu/show/id/1335296","http://ts.21cn.com/tousu/show/id/1335296")</f>
        <v>http://ts.21cn.com/tousu/show/id/1335296</v>
      </c>
      <c r="F4522" s="2" t="s">
        <v>11</v>
      </c>
      <c r="G4522" s="2" t="s">
        <v>35251</v>
      </c>
      <c r="H4522" s="2" t="s">
        <v>35252</v>
      </c>
    </row>
    <row r="4523" spans="1:8" ht="25.05" customHeight="1" x14ac:dyDescent="0.25">
      <c r="A4523" s="2" t="s">
        <v>8</v>
      </c>
      <c r="B4523" s="2" t="str">
        <f>HYPERLINK("http://ts.21cn.com/tousu/show/id/1335297","垃圾广告邮件取消订阅")</f>
        <v>垃圾广告邮件取消订阅</v>
      </c>
      <c r="C4523" s="2" t="s">
        <v>34</v>
      </c>
      <c r="D4523" s="2" t="s">
        <v>10</v>
      </c>
      <c r="E4523" s="2" t="str">
        <f>HYPERLINK("http://ts.21cn.com/tousu/show/id/1335297","http://ts.21cn.com/tousu/show/id/1335297")</f>
        <v>http://ts.21cn.com/tousu/show/id/1335297</v>
      </c>
      <c r="F4523" s="2" t="s">
        <v>11</v>
      </c>
      <c r="G4523" s="2" t="s">
        <v>35249</v>
      </c>
      <c r="H4523" s="2" t="s">
        <v>35250</v>
      </c>
    </row>
    <row r="4524" spans="1:8" ht="25.05" customHeight="1" x14ac:dyDescent="0.25">
      <c r="A4524" s="2" t="s">
        <v>8</v>
      </c>
      <c r="B4524" s="2" t="str">
        <f>HYPERLINK("http://ts.21cn.com/tousu/show/id/1335299","投诉小通商城扣费")</f>
        <v>投诉小通商城扣费</v>
      </c>
      <c r="C4524" s="2" t="s">
        <v>9</v>
      </c>
      <c r="D4524" s="2" t="s">
        <v>10</v>
      </c>
      <c r="E4524" s="2" t="str">
        <f>HYPERLINK("http://ts.21cn.com/tousu/show/id/1335299","http://ts.21cn.com/tousu/show/id/1335299")</f>
        <v>http://ts.21cn.com/tousu/show/id/1335299</v>
      </c>
      <c r="F4524" s="2" t="s">
        <v>11</v>
      </c>
      <c r="G4524" s="2" t="s">
        <v>35247</v>
      </c>
      <c r="H4524" s="2" t="s">
        <v>35248</v>
      </c>
    </row>
    <row r="4525" spans="1:8" ht="25.05" customHeight="1" x14ac:dyDescent="0.25">
      <c r="A4525" s="2" t="s">
        <v>8</v>
      </c>
      <c r="B4525" s="2" t="str">
        <f>HYPERLINK("http://ts.21cn.com/tousu/show/id/1335298","万达贷还款未销账催收本人")</f>
        <v>万达贷还款未销账催收本人</v>
      </c>
      <c r="C4525" s="2" t="s">
        <v>34</v>
      </c>
      <c r="D4525" s="2" t="s">
        <v>10</v>
      </c>
      <c r="E4525" s="2" t="str">
        <f>HYPERLINK("http://ts.21cn.com/tousu/show/id/1335298","http://ts.21cn.com/tousu/show/id/1335298")</f>
        <v>http://ts.21cn.com/tousu/show/id/1335298</v>
      </c>
      <c r="F4525" s="2" t="s">
        <v>11</v>
      </c>
      <c r="G4525" s="2" t="s">
        <v>35245</v>
      </c>
      <c r="H4525" s="2" t="s">
        <v>35246</v>
      </c>
    </row>
    <row r="4526" spans="1:8" ht="25.05" customHeight="1" x14ac:dyDescent="0.25">
      <c r="A4526" s="2" t="s">
        <v>8</v>
      </c>
      <c r="B4526" s="2" t="str">
        <f>HYPERLINK("http://ts.21cn.com/tousu/show/id/1335300","招联金融暴力催收")</f>
        <v>招联金融暴力催收</v>
      </c>
      <c r="C4526" s="2" t="s">
        <v>9</v>
      </c>
      <c r="D4526" s="2" t="s">
        <v>10</v>
      </c>
      <c r="E4526" s="2" t="str">
        <f>HYPERLINK("http://ts.21cn.com/tousu/show/id/1335300","http://ts.21cn.com/tousu/show/id/1335300")</f>
        <v>http://ts.21cn.com/tousu/show/id/1335300</v>
      </c>
      <c r="F4526" s="2" t="s">
        <v>11</v>
      </c>
      <c r="G4526" s="2" t="s">
        <v>35243</v>
      </c>
      <c r="H4526" s="2" t="s">
        <v>35244</v>
      </c>
    </row>
    <row r="4527" spans="1:8" ht="25.05" customHeight="1" x14ac:dyDescent="0.25">
      <c r="A4527" s="2" t="s">
        <v>8</v>
      </c>
      <c r="B4527" s="2" t="str">
        <f>HYPERLINK("http://ts.21cn.com/tousu/show/id/1335301","花转转要求本金协商还款")</f>
        <v>花转转要求本金协商还款</v>
      </c>
      <c r="C4527" s="2" t="s">
        <v>9</v>
      </c>
      <c r="D4527" s="2" t="s">
        <v>10</v>
      </c>
      <c r="E4527" s="2" t="str">
        <f>HYPERLINK("http://ts.21cn.com/tousu/show/id/1335301","http://ts.21cn.com/tousu/show/id/1335301")</f>
        <v>http://ts.21cn.com/tousu/show/id/1335301</v>
      </c>
      <c r="F4527" s="2" t="s">
        <v>11</v>
      </c>
      <c r="G4527" s="2" t="s">
        <v>35241</v>
      </c>
      <c r="H4527" s="2" t="s">
        <v>28182</v>
      </c>
    </row>
    <row r="4528" spans="1:8" ht="25.05" customHeight="1" x14ac:dyDescent="0.25">
      <c r="A4528" s="2" t="s">
        <v>8</v>
      </c>
      <c r="B4528" s="2" t="str">
        <f>HYPERLINK("http://ts.21cn.com/tousu/show/id/1335186","航旅之家欺诈火车票根本不能优惠")</f>
        <v>航旅之家欺诈火车票根本不能优惠</v>
      </c>
      <c r="C4528" s="2" t="s">
        <v>9</v>
      </c>
      <c r="D4528" s="2" t="s">
        <v>10</v>
      </c>
      <c r="E4528" s="2" t="str">
        <f>HYPERLINK("http://ts.21cn.com/tousu/show/id/1335186","http://ts.21cn.com/tousu/show/id/1335186")</f>
        <v>http://ts.21cn.com/tousu/show/id/1335186</v>
      </c>
      <c r="F4528" s="2" t="s">
        <v>11</v>
      </c>
      <c r="G4528" s="2" t="s">
        <v>35241</v>
      </c>
      <c r="H4528" s="2" t="s">
        <v>35242</v>
      </c>
    </row>
    <row r="4529" spans="1:8" ht="25.05" customHeight="1" x14ac:dyDescent="0.25">
      <c r="A4529" s="2" t="s">
        <v>8</v>
      </c>
      <c r="B4529" s="2" t="str">
        <f>HYPERLINK("http://ts.21cn.com/tousu/show/id/1335302","二郎神砍头息，高利贷")</f>
        <v>二郎神砍头息，高利贷</v>
      </c>
      <c r="C4529" s="2" t="s">
        <v>9</v>
      </c>
      <c r="D4529" s="2" t="s">
        <v>10</v>
      </c>
      <c r="E4529" s="2" t="str">
        <f>HYPERLINK("http://ts.21cn.com/tousu/show/id/1335302","http://ts.21cn.com/tousu/show/id/1335302")</f>
        <v>http://ts.21cn.com/tousu/show/id/1335302</v>
      </c>
      <c r="F4529" s="2" t="s">
        <v>11</v>
      </c>
      <c r="G4529" s="2" t="s">
        <v>35239</v>
      </c>
      <c r="H4529" s="2" t="s">
        <v>35240</v>
      </c>
    </row>
    <row r="4530" spans="1:8" ht="25.05" customHeight="1" x14ac:dyDescent="0.25">
      <c r="A4530" s="2" t="s">
        <v>8</v>
      </c>
      <c r="B4530" s="2" t="str">
        <f>HYPERLINK("http://ts.21cn.com/tousu/show/id/1335303","唯品会AC米兰体恤掉毛严重，非常严重")</f>
        <v>唯品会AC米兰体恤掉毛严重，非常严重</v>
      </c>
      <c r="C4530" s="2" t="s">
        <v>34</v>
      </c>
      <c r="D4530" s="2" t="s">
        <v>10</v>
      </c>
      <c r="E4530" s="2" t="str">
        <f>HYPERLINK("http://ts.21cn.com/tousu/show/id/1335303","http://ts.21cn.com/tousu/show/id/1335303")</f>
        <v>http://ts.21cn.com/tousu/show/id/1335303</v>
      </c>
      <c r="F4530" s="2" t="s">
        <v>11</v>
      </c>
      <c r="G4530" s="2" t="s">
        <v>35237</v>
      </c>
      <c r="H4530" s="2" t="s">
        <v>35238</v>
      </c>
    </row>
    <row r="4531" spans="1:8" ht="25.05" customHeight="1" x14ac:dyDescent="0.25">
      <c r="A4531" s="2" t="s">
        <v>8</v>
      </c>
      <c r="B4531" s="2" t="str">
        <f>HYPERLINK("http://ts.21cn.com/tousu/show/id/1335305","黑心网贷")</f>
        <v>黑心网贷</v>
      </c>
      <c r="C4531" s="2" t="s">
        <v>9</v>
      </c>
      <c r="D4531" s="2" t="s">
        <v>10</v>
      </c>
      <c r="E4531" s="2" t="str">
        <f>HYPERLINK("http://ts.21cn.com/tousu/show/id/1335305","http://ts.21cn.com/tousu/show/id/1335305")</f>
        <v>http://ts.21cn.com/tousu/show/id/1335305</v>
      </c>
      <c r="F4531" s="2" t="s">
        <v>11</v>
      </c>
      <c r="G4531" s="2" t="s">
        <v>35234</v>
      </c>
      <c r="H4531" s="2" t="s">
        <v>35235</v>
      </c>
    </row>
    <row r="4532" spans="1:8" ht="25.05" customHeight="1" x14ac:dyDescent="0.25">
      <c r="A4532" s="2" t="s">
        <v>8</v>
      </c>
      <c r="B4532" s="2" t="str">
        <f>HYPERLINK("http://ts.21cn.com/tousu/show/id/1335306","微粒贷催收各种威胁爆通讯录")</f>
        <v>微粒贷催收各种威胁爆通讯录</v>
      </c>
      <c r="C4532" s="2" t="s">
        <v>9</v>
      </c>
      <c r="D4532" s="2" t="s">
        <v>10</v>
      </c>
      <c r="E4532" s="2" t="str">
        <f>HYPERLINK("http://ts.21cn.com/tousu/show/id/1335306","http://ts.21cn.com/tousu/show/id/1335306")</f>
        <v>http://ts.21cn.com/tousu/show/id/1335306</v>
      </c>
      <c r="F4532" s="2" t="s">
        <v>11</v>
      </c>
      <c r="G4532" s="2" t="s">
        <v>35234</v>
      </c>
      <c r="H4532" s="2" t="s">
        <v>35236</v>
      </c>
    </row>
    <row r="4533" spans="1:8" ht="25.05" customHeight="1" x14ac:dyDescent="0.25">
      <c r="A4533" s="2" t="s">
        <v>8</v>
      </c>
      <c r="B4533" s="2" t="str">
        <f>HYPERLINK("http://ts.21cn.com/tousu/show/id/1335304","钱站暴力催收，影响身边的亲朋好友")</f>
        <v>钱站暴力催收，影响身边的亲朋好友</v>
      </c>
      <c r="C4533" s="2" t="s">
        <v>9</v>
      </c>
      <c r="D4533" s="2" t="s">
        <v>10</v>
      </c>
      <c r="E4533" s="2" t="str">
        <f>HYPERLINK("http://ts.21cn.com/tousu/show/id/1335304","http://ts.21cn.com/tousu/show/id/1335304")</f>
        <v>http://ts.21cn.com/tousu/show/id/1335304</v>
      </c>
      <c r="F4533" s="2" t="s">
        <v>11</v>
      </c>
      <c r="G4533" s="2" t="s">
        <v>35232</v>
      </c>
      <c r="H4533" s="2" t="s">
        <v>35233</v>
      </c>
    </row>
    <row r="4534" spans="1:8" ht="25.05" customHeight="1" x14ac:dyDescent="0.25">
      <c r="A4534" s="2" t="s">
        <v>8</v>
      </c>
      <c r="B4534" s="2" t="str">
        <f>HYPERLINK("http://ts.21cn.com/tousu/show/id/1335308","时光分期恐吓威胁")</f>
        <v>时光分期恐吓威胁</v>
      </c>
      <c r="C4534" s="2" t="s">
        <v>9</v>
      </c>
      <c r="D4534" s="2" t="s">
        <v>10</v>
      </c>
      <c r="E4534" s="2" t="str">
        <f>HYPERLINK("http://ts.21cn.com/tousu/show/id/1335308","http://ts.21cn.com/tousu/show/id/1335308")</f>
        <v>http://ts.21cn.com/tousu/show/id/1335308</v>
      </c>
      <c r="F4534" s="2" t="s">
        <v>11</v>
      </c>
      <c r="G4534" s="2" t="s">
        <v>35230</v>
      </c>
      <c r="H4534" s="2" t="s">
        <v>35231</v>
      </c>
    </row>
    <row r="4535" spans="1:8" ht="25.05" customHeight="1" x14ac:dyDescent="0.25">
      <c r="A4535" s="2" t="s">
        <v>8</v>
      </c>
      <c r="B4535" s="2" t="str">
        <f>HYPERLINK("http://ts.21cn.com/tousu/show/id/1335307","兴业银行信用卡在不知情的情况下还款金额转账单分期")</f>
        <v>兴业银行信用卡在不知情的情况下还款金额转账单分期</v>
      </c>
      <c r="C4535" s="2" t="s">
        <v>9</v>
      </c>
      <c r="D4535" s="2" t="s">
        <v>10</v>
      </c>
      <c r="E4535" s="2" t="str">
        <f>HYPERLINK("http://ts.21cn.com/tousu/show/id/1335307","http://ts.21cn.com/tousu/show/id/1335307")</f>
        <v>http://ts.21cn.com/tousu/show/id/1335307</v>
      </c>
      <c r="F4535" s="2" t="s">
        <v>11</v>
      </c>
      <c r="G4535" s="2" t="s">
        <v>35228</v>
      </c>
      <c r="H4535" s="2" t="s">
        <v>35229</v>
      </c>
    </row>
    <row r="4536" spans="1:8" ht="25.05" customHeight="1" x14ac:dyDescent="0.25">
      <c r="A4536" s="2" t="s">
        <v>8</v>
      </c>
      <c r="B4536" s="2" t="str">
        <f>HYPERLINK("http://ts.21cn.com/tousu/show/id/1335309","砍头息，高利贷")</f>
        <v>砍头息，高利贷</v>
      </c>
      <c r="C4536" s="2" t="s">
        <v>9</v>
      </c>
      <c r="D4536" s="2" t="s">
        <v>10</v>
      </c>
      <c r="E4536" s="2" t="str">
        <f>HYPERLINK("http://ts.21cn.com/tousu/show/id/1335309","http://ts.21cn.com/tousu/show/id/1335309")</f>
        <v>http://ts.21cn.com/tousu/show/id/1335309</v>
      </c>
      <c r="F4536" s="2" t="s">
        <v>11</v>
      </c>
      <c r="G4536" s="2" t="s">
        <v>35226</v>
      </c>
      <c r="H4536" s="2" t="s">
        <v>35227</v>
      </c>
    </row>
    <row r="4537" spans="1:8" ht="25.05" customHeight="1" x14ac:dyDescent="0.25">
      <c r="A4537" s="2" t="s">
        <v>8</v>
      </c>
      <c r="B4537" s="2" t="str">
        <f>HYPERLINK("http://ts.21cn.com/tousu/show/id/1335310","分期通恶意收取会员费用")</f>
        <v>分期通恶意收取会员费用</v>
      </c>
      <c r="C4537" s="2" t="s">
        <v>9</v>
      </c>
      <c r="D4537" s="2" t="s">
        <v>10</v>
      </c>
      <c r="E4537" s="2" t="str">
        <f>HYPERLINK("http://ts.21cn.com/tousu/show/id/1335310","http://ts.21cn.com/tousu/show/id/1335310")</f>
        <v>http://ts.21cn.com/tousu/show/id/1335310</v>
      </c>
      <c r="F4537" s="2" t="s">
        <v>11</v>
      </c>
      <c r="G4537" s="2" t="s">
        <v>35224</v>
      </c>
      <c r="H4537" s="2" t="s">
        <v>35225</v>
      </c>
    </row>
    <row r="4538" spans="1:8" ht="25.05" customHeight="1" x14ac:dyDescent="0.25">
      <c r="A4538" s="2" t="s">
        <v>8</v>
      </c>
      <c r="B4538" s="2" t="str">
        <f>HYPERLINK("http://ts.21cn.com/tousu/show/id/1335311","给你花呗提前还款仍需扣除服务费")</f>
        <v>给你花呗提前还款仍需扣除服务费</v>
      </c>
      <c r="C4538" s="2" t="s">
        <v>9</v>
      </c>
      <c r="D4538" s="2" t="s">
        <v>10</v>
      </c>
      <c r="E4538" s="2" t="str">
        <f>HYPERLINK("http://ts.21cn.com/tousu/show/id/1335311","http://ts.21cn.com/tousu/show/id/1335311")</f>
        <v>http://ts.21cn.com/tousu/show/id/1335311</v>
      </c>
      <c r="F4538" s="2" t="s">
        <v>11</v>
      </c>
      <c r="G4538" s="2" t="s">
        <v>35222</v>
      </c>
      <c r="H4538" s="2" t="s">
        <v>35223</v>
      </c>
    </row>
    <row r="4539" spans="1:8" ht="25.05" customHeight="1" x14ac:dyDescent="0.25">
      <c r="A4539" s="2" t="s">
        <v>8</v>
      </c>
      <c r="B4539" s="2" t="str">
        <f>HYPERLINK("http://ts.21cn.com/tousu/show/id/1335312","上海造艺网络科技有限公司")</f>
        <v>上海造艺网络科技有限公司</v>
      </c>
      <c r="C4539" s="2" t="s">
        <v>9</v>
      </c>
      <c r="D4539" s="2" t="s">
        <v>10</v>
      </c>
      <c r="E4539" s="2" t="str">
        <f>HYPERLINK("http://ts.21cn.com/tousu/show/id/1335312","http://ts.21cn.com/tousu/show/id/1335312")</f>
        <v>http://ts.21cn.com/tousu/show/id/1335312</v>
      </c>
      <c r="F4539" s="2" t="s">
        <v>11</v>
      </c>
      <c r="G4539" s="2" t="s">
        <v>35220</v>
      </c>
      <c r="H4539" s="2" t="s">
        <v>35221</v>
      </c>
    </row>
    <row r="4540" spans="1:8" ht="25.05" customHeight="1" x14ac:dyDescent="0.25">
      <c r="A4540" s="2" t="s">
        <v>8</v>
      </c>
      <c r="B4540" s="2" t="str">
        <f>HYPERLINK("http://ts.21cn.com/tousu/show/id/1335313","小浦优客未说明事项，擅自扣款296元，要求退回其金额")</f>
        <v>小浦优客未说明事项，擅自扣款296元，要求退回其金额</v>
      </c>
      <c r="C4540" s="2" t="s">
        <v>9</v>
      </c>
      <c r="D4540" s="2" t="s">
        <v>10</v>
      </c>
      <c r="E4540" s="2" t="str">
        <f>HYPERLINK("http://ts.21cn.com/tousu/show/id/1335313","http://ts.21cn.com/tousu/show/id/1335313")</f>
        <v>http://ts.21cn.com/tousu/show/id/1335313</v>
      </c>
      <c r="F4540" s="2" t="s">
        <v>11</v>
      </c>
      <c r="G4540" s="2" t="s">
        <v>35218</v>
      </c>
      <c r="H4540" s="2" t="s">
        <v>35219</v>
      </c>
    </row>
    <row r="4541" spans="1:8" ht="25.05" customHeight="1" x14ac:dyDescent="0.25">
      <c r="A4541" s="2" t="s">
        <v>8</v>
      </c>
      <c r="B4541" s="2" t="str">
        <f>HYPERLINK("http://ts.21cn.com/tousu/show/id/1335316","小米贷款，马上金融，高利贷")</f>
        <v>小米贷款，马上金融，高利贷</v>
      </c>
      <c r="C4541" s="2" t="s">
        <v>9</v>
      </c>
      <c r="D4541" s="2" t="s">
        <v>10</v>
      </c>
      <c r="E4541" s="2" t="str">
        <f>HYPERLINK("http://ts.21cn.com/tousu/show/id/1335316","http://ts.21cn.com/tousu/show/id/1335316")</f>
        <v>http://ts.21cn.com/tousu/show/id/1335316</v>
      </c>
      <c r="F4541" s="2" t="s">
        <v>11</v>
      </c>
      <c r="G4541" s="2" t="s">
        <v>35216</v>
      </c>
      <c r="H4541" s="2" t="s">
        <v>35217</v>
      </c>
    </row>
    <row r="4542" spans="1:8" ht="25.05" customHeight="1" x14ac:dyDescent="0.25">
      <c r="A4542" s="2" t="s">
        <v>8</v>
      </c>
      <c r="B4542" s="2" t="str">
        <f>HYPERLINK("http://ts.21cn.com/tousu/show/id/1335314","未经同意被中金支付从我银行卡扣除59.46元")</f>
        <v>未经同意被中金支付从我银行卡扣除59.46元</v>
      </c>
      <c r="C4542" s="2" t="s">
        <v>34</v>
      </c>
      <c r="D4542" s="2" t="s">
        <v>10</v>
      </c>
      <c r="E4542" s="2" t="str">
        <f>HYPERLINK("http://ts.21cn.com/tousu/show/id/1335314","http://ts.21cn.com/tousu/show/id/1335314")</f>
        <v>http://ts.21cn.com/tousu/show/id/1335314</v>
      </c>
      <c r="F4542" s="2" t="s">
        <v>11</v>
      </c>
      <c r="G4542" s="2" t="s">
        <v>35214</v>
      </c>
      <c r="H4542" s="2" t="s">
        <v>35215</v>
      </c>
    </row>
    <row r="4543" spans="1:8" ht="25.05" customHeight="1" x14ac:dyDescent="0.25">
      <c r="A4543" s="2" t="s">
        <v>8</v>
      </c>
      <c r="B4543" s="2" t="str">
        <f>HYPERLINK("http://ts.21cn.com/tousu/show/id/1335317","APP无法还款要求逾期费取消")</f>
        <v>APP无法还款要求逾期费取消</v>
      </c>
      <c r="C4543" s="2" t="s">
        <v>34</v>
      </c>
      <c r="D4543" s="2" t="s">
        <v>10</v>
      </c>
      <c r="E4543" s="2" t="str">
        <f>HYPERLINK("http://ts.21cn.com/tousu/show/id/1335317","http://ts.21cn.com/tousu/show/id/1335317")</f>
        <v>http://ts.21cn.com/tousu/show/id/1335317</v>
      </c>
      <c r="F4543" s="2" t="s">
        <v>11</v>
      </c>
      <c r="G4543" s="2" t="s">
        <v>35212</v>
      </c>
      <c r="H4543" s="2" t="s">
        <v>35213</v>
      </c>
    </row>
    <row r="4544" spans="1:8" ht="25.05" customHeight="1" x14ac:dyDescent="0.25">
      <c r="A4544" s="2" t="s">
        <v>8</v>
      </c>
      <c r="B4544" s="2" t="str">
        <f>HYPERLINK("http://ts.21cn.com/tousu/show/id/1335318","瓜子二手车保卖到期不过户")</f>
        <v>瓜子二手车保卖到期不过户</v>
      </c>
      <c r="C4544" s="2" t="s">
        <v>9</v>
      </c>
      <c r="D4544" s="2" t="s">
        <v>10</v>
      </c>
      <c r="E4544" s="2" t="str">
        <f>HYPERLINK("http://ts.21cn.com/tousu/show/id/1335318","http://ts.21cn.com/tousu/show/id/1335318")</f>
        <v>http://ts.21cn.com/tousu/show/id/1335318</v>
      </c>
      <c r="F4544" s="2" t="s">
        <v>11</v>
      </c>
      <c r="G4544" s="2" t="s">
        <v>35210</v>
      </c>
      <c r="H4544" s="2" t="s">
        <v>35211</v>
      </c>
    </row>
    <row r="4545" spans="1:8" ht="25.05" customHeight="1" x14ac:dyDescent="0.25">
      <c r="A4545" s="2" t="s">
        <v>8</v>
      </c>
      <c r="B4545" s="2" t="str">
        <f>HYPERLINK("http://ts.21cn.com/tousu/show/id/1335319","易借逾期威胁打通讯录")</f>
        <v>易借逾期威胁打通讯录</v>
      </c>
      <c r="C4545" s="2" t="s">
        <v>9</v>
      </c>
      <c r="D4545" s="2" t="s">
        <v>10</v>
      </c>
      <c r="E4545" s="2" t="str">
        <f>HYPERLINK("http://ts.21cn.com/tousu/show/id/1335319","http://ts.21cn.com/tousu/show/id/1335319")</f>
        <v>http://ts.21cn.com/tousu/show/id/1335319</v>
      </c>
      <c r="F4545" s="2" t="s">
        <v>11</v>
      </c>
      <c r="G4545" s="2" t="s">
        <v>35208</v>
      </c>
      <c r="H4545" s="2" t="s">
        <v>35209</v>
      </c>
    </row>
    <row r="4546" spans="1:8" ht="25.05" customHeight="1" x14ac:dyDescent="0.25">
      <c r="A4546" s="2" t="s">
        <v>8</v>
      </c>
      <c r="B4546" s="2" t="str">
        <f>HYPERLINK("http://ts.21cn.com/tousu/show/id/1335322","智行app自动购买加速包")</f>
        <v>智行app自动购买加速包</v>
      </c>
      <c r="C4546" s="2" t="s">
        <v>9</v>
      </c>
      <c r="D4546" s="2" t="s">
        <v>10</v>
      </c>
      <c r="E4546" s="2" t="str">
        <f>HYPERLINK("http://ts.21cn.com/tousu/show/id/1335322","http://ts.21cn.com/tousu/show/id/1335322")</f>
        <v>http://ts.21cn.com/tousu/show/id/1335322</v>
      </c>
      <c r="F4546" s="2" t="s">
        <v>11</v>
      </c>
      <c r="G4546" s="2" t="s">
        <v>35206</v>
      </c>
      <c r="H4546" s="2" t="s">
        <v>35207</v>
      </c>
    </row>
    <row r="4547" spans="1:8" ht="25.05" customHeight="1" x14ac:dyDescent="0.25">
      <c r="A4547" s="2" t="s">
        <v>8</v>
      </c>
      <c r="B4547" s="2" t="str">
        <f>HYPERLINK("http://ts.21cn.com/tousu/show/id/1335321","钱咖高利贷")</f>
        <v>钱咖高利贷</v>
      </c>
      <c r="C4547" s="2" t="s">
        <v>9</v>
      </c>
      <c r="D4547" s="2" t="s">
        <v>10</v>
      </c>
      <c r="E4547" s="2" t="str">
        <f>HYPERLINK("http://ts.21cn.com/tousu/show/id/1335321","http://ts.21cn.com/tousu/show/id/1335321")</f>
        <v>http://ts.21cn.com/tousu/show/id/1335321</v>
      </c>
      <c r="F4547" s="2" t="s">
        <v>11</v>
      </c>
      <c r="G4547" s="2" t="s">
        <v>35204</v>
      </c>
      <c r="H4547" s="2" t="s">
        <v>35205</v>
      </c>
    </row>
    <row r="4548" spans="1:8" ht="25.05" customHeight="1" x14ac:dyDescent="0.25">
      <c r="A4548" s="2" t="s">
        <v>8</v>
      </c>
      <c r="B4548" s="2" t="str">
        <f>HYPERLINK("http://ts.21cn.com/tousu/show/id/1335323","闪电借款不退款")</f>
        <v>闪电借款不退款</v>
      </c>
      <c r="C4548" s="2" t="s">
        <v>9</v>
      </c>
      <c r="D4548" s="2" t="s">
        <v>10</v>
      </c>
      <c r="E4548" s="2" t="str">
        <f>HYPERLINK("http://ts.21cn.com/tousu/show/id/1335323","http://ts.21cn.com/tousu/show/id/1335323")</f>
        <v>http://ts.21cn.com/tousu/show/id/1335323</v>
      </c>
      <c r="F4548" s="2" t="s">
        <v>11</v>
      </c>
      <c r="G4548" s="2" t="s">
        <v>35202</v>
      </c>
      <c r="H4548" s="2" t="s">
        <v>35203</v>
      </c>
    </row>
    <row r="4549" spans="1:8" ht="25.05" customHeight="1" x14ac:dyDescent="0.25">
      <c r="A4549" s="2" t="s">
        <v>8</v>
      </c>
      <c r="B4549" s="2" t="str">
        <f>HYPERLINK("http://ts.21cn.com/tousu/show/id/1335324","自由摩卡借款2000一月砍头费500，要还2060")</f>
        <v>自由摩卡借款2000一月砍头费500，要还2060</v>
      </c>
      <c r="C4549" s="2" t="s">
        <v>9</v>
      </c>
      <c r="D4549" s="2" t="s">
        <v>10</v>
      </c>
      <c r="E4549" s="2" t="str">
        <f>HYPERLINK("http://ts.21cn.com/tousu/show/id/1335324","http://ts.21cn.com/tousu/show/id/1335324")</f>
        <v>http://ts.21cn.com/tousu/show/id/1335324</v>
      </c>
      <c r="F4549" s="2" t="s">
        <v>11</v>
      </c>
      <c r="G4549" s="2" t="s">
        <v>35200</v>
      </c>
      <c r="H4549" s="2" t="s">
        <v>35201</v>
      </c>
    </row>
    <row r="4550" spans="1:8" ht="25.05" customHeight="1" x14ac:dyDescent="0.25">
      <c r="A4550" s="2" t="s">
        <v>8</v>
      </c>
      <c r="B4550" s="2" t="str">
        <f>HYPERLINK("http://ts.21cn.com/tousu/show/id/1335325","洋钱罐暴力催收")</f>
        <v>洋钱罐暴力催收</v>
      </c>
      <c r="C4550" s="2" t="s">
        <v>9</v>
      </c>
      <c r="D4550" s="2" t="s">
        <v>10</v>
      </c>
      <c r="E4550" s="2" t="str">
        <f>HYPERLINK("http://ts.21cn.com/tousu/show/id/1335325","http://ts.21cn.com/tousu/show/id/1335325")</f>
        <v>http://ts.21cn.com/tousu/show/id/1335325</v>
      </c>
      <c r="F4550" s="2" t="s">
        <v>11</v>
      </c>
      <c r="G4550" s="2" t="s">
        <v>35198</v>
      </c>
      <c r="H4550" s="2" t="s">
        <v>35199</v>
      </c>
    </row>
    <row r="4551" spans="1:8" ht="25.05" customHeight="1" x14ac:dyDescent="0.25">
      <c r="A4551" s="2" t="s">
        <v>8</v>
      </c>
      <c r="B4551" s="2" t="str">
        <f>HYPERLINK("http://ts.21cn.com/tousu/show/id/1335326","点点通高利贷、套路贷")</f>
        <v>点点通高利贷、套路贷</v>
      </c>
      <c r="C4551" s="2" t="s">
        <v>9</v>
      </c>
      <c r="D4551" s="2" t="s">
        <v>10</v>
      </c>
      <c r="E4551" s="2" t="str">
        <f>HYPERLINK("http://ts.21cn.com/tousu/show/id/1335326","http://ts.21cn.com/tousu/show/id/1335326")</f>
        <v>http://ts.21cn.com/tousu/show/id/1335326</v>
      </c>
      <c r="F4551" s="2" t="s">
        <v>11</v>
      </c>
      <c r="G4551" s="2" t="s">
        <v>35196</v>
      </c>
      <c r="H4551" s="2" t="s">
        <v>35197</v>
      </c>
    </row>
    <row r="4552" spans="1:8" ht="25.05" customHeight="1" x14ac:dyDescent="0.25">
      <c r="A4552" s="2" t="s">
        <v>8</v>
      </c>
      <c r="B4552" s="2" t="str">
        <f>HYPERLINK("http://ts.21cn.com/tousu/show/id/1335327","高利贷阴阳合同")</f>
        <v>高利贷阴阳合同</v>
      </c>
      <c r="C4552" s="2" t="s">
        <v>9</v>
      </c>
      <c r="D4552" s="2" t="s">
        <v>10</v>
      </c>
      <c r="E4552" s="2" t="str">
        <f>HYPERLINK("http://ts.21cn.com/tousu/show/id/1335327","http://ts.21cn.com/tousu/show/id/1335327")</f>
        <v>http://ts.21cn.com/tousu/show/id/1335327</v>
      </c>
      <c r="F4552" s="2" t="s">
        <v>11</v>
      </c>
      <c r="G4552" s="2" t="s">
        <v>35194</v>
      </c>
      <c r="H4552" s="2" t="s">
        <v>35195</v>
      </c>
    </row>
    <row r="4553" spans="1:8" ht="25.05" customHeight="1" x14ac:dyDescent="0.25">
      <c r="A4553" s="2" t="s">
        <v>8</v>
      </c>
      <c r="B4553" s="2" t="str">
        <f>HYPERLINK("http://ts.21cn.com/tousu/show/id/1335328","卖家以不会操作为由拒绝取消订单")</f>
        <v>卖家以不会操作为由拒绝取消订单</v>
      </c>
      <c r="C4553" s="2" t="s">
        <v>9</v>
      </c>
      <c r="D4553" s="2" t="s">
        <v>10</v>
      </c>
      <c r="E4553" s="2" t="str">
        <f>HYPERLINK("http://ts.21cn.com/tousu/show/id/1335328","http://ts.21cn.com/tousu/show/id/1335328")</f>
        <v>http://ts.21cn.com/tousu/show/id/1335328</v>
      </c>
      <c r="F4553" s="2" t="s">
        <v>11</v>
      </c>
      <c r="G4553" s="2" t="s">
        <v>35192</v>
      </c>
      <c r="H4553" s="2" t="s">
        <v>35193</v>
      </c>
    </row>
    <row r="4554" spans="1:8" ht="25.05" customHeight="1" x14ac:dyDescent="0.25">
      <c r="A4554" s="2" t="s">
        <v>8</v>
      </c>
      <c r="B4554" s="2" t="str">
        <f>HYPERLINK("http://ts.21cn.com/tousu/show/id/1335330","及贷暴力催收")</f>
        <v>及贷暴力催收</v>
      </c>
      <c r="C4554" s="2" t="s">
        <v>9</v>
      </c>
      <c r="D4554" s="2" t="s">
        <v>10</v>
      </c>
      <c r="E4554" s="2" t="str">
        <f>HYPERLINK("http://ts.21cn.com/tousu/show/id/1335330","http://ts.21cn.com/tousu/show/id/1335330")</f>
        <v>http://ts.21cn.com/tousu/show/id/1335330</v>
      </c>
      <c r="F4554" s="2" t="s">
        <v>11</v>
      </c>
      <c r="G4554" s="2" t="s">
        <v>35190</v>
      </c>
      <c r="H4554" s="2" t="s">
        <v>35191</v>
      </c>
    </row>
    <row r="4555" spans="1:8" ht="25.05" customHeight="1" x14ac:dyDescent="0.25">
      <c r="A4555" s="2" t="s">
        <v>8</v>
      </c>
      <c r="B4555" s="2" t="str">
        <f>HYPERLINK("http://ts.21cn.com/tousu/show/id/1335332","点点通砍头息，恶意催收骚扰")</f>
        <v>点点通砍头息，恶意催收骚扰</v>
      </c>
      <c r="C4555" s="2" t="s">
        <v>9</v>
      </c>
      <c r="D4555" s="2" t="s">
        <v>10</v>
      </c>
      <c r="E4555" s="2" t="str">
        <f>HYPERLINK("http://ts.21cn.com/tousu/show/id/1335332","http://ts.21cn.com/tousu/show/id/1335332")</f>
        <v>http://ts.21cn.com/tousu/show/id/1335332</v>
      </c>
      <c r="F4555" s="2" t="s">
        <v>11</v>
      </c>
      <c r="G4555" s="2" t="s">
        <v>35188</v>
      </c>
      <c r="H4555" s="2" t="s">
        <v>35189</v>
      </c>
    </row>
    <row r="4556" spans="1:8" ht="25.05" customHeight="1" x14ac:dyDescent="0.25">
      <c r="A4556" s="2" t="s">
        <v>8</v>
      </c>
      <c r="B4556" s="2" t="str">
        <f>HYPERLINK("http://ts.21cn.com/tousu/show/id/1335331","信用管家里的石头管家")</f>
        <v>信用管家里的石头管家</v>
      </c>
      <c r="C4556" s="2" t="s">
        <v>9</v>
      </c>
      <c r="D4556" s="2" t="s">
        <v>10</v>
      </c>
      <c r="E4556" s="2" t="str">
        <f>HYPERLINK("http://ts.21cn.com/tousu/show/id/1335331","http://ts.21cn.com/tousu/show/id/1335331")</f>
        <v>http://ts.21cn.com/tousu/show/id/1335331</v>
      </c>
      <c r="F4556" s="2" t="s">
        <v>11</v>
      </c>
      <c r="G4556" s="2" t="s">
        <v>35186</v>
      </c>
      <c r="H4556" s="2" t="s">
        <v>35187</v>
      </c>
    </row>
    <row r="4557" spans="1:8" ht="25.05" customHeight="1" x14ac:dyDescent="0.25">
      <c r="A4557" s="2" t="s">
        <v>8</v>
      </c>
      <c r="B4557" s="2" t="str">
        <f>HYPERLINK("http://ts.21cn.com/tousu/show/id/1335334","催收乱打通讯录")</f>
        <v>催收乱打通讯录</v>
      </c>
      <c r="C4557" s="2" t="s">
        <v>9</v>
      </c>
      <c r="D4557" s="2" t="s">
        <v>10</v>
      </c>
      <c r="E4557" s="2" t="str">
        <f>HYPERLINK("http://ts.21cn.com/tousu/show/id/1335334","http://ts.21cn.com/tousu/show/id/1335334")</f>
        <v>http://ts.21cn.com/tousu/show/id/1335334</v>
      </c>
      <c r="F4557" s="2" t="s">
        <v>11</v>
      </c>
      <c r="G4557" s="2" t="s">
        <v>35184</v>
      </c>
      <c r="H4557" s="2" t="s">
        <v>35185</v>
      </c>
    </row>
    <row r="4558" spans="1:8" ht="25.05" customHeight="1" x14ac:dyDescent="0.25">
      <c r="A4558" s="2" t="s">
        <v>8</v>
      </c>
      <c r="B4558" s="2" t="str">
        <f>HYPERLINK("http://ts.21cn.com/tousu/show/id/1335335","维信卡卡贷在我不知名下扣款1499")</f>
        <v>维信卡卡贷在我不知名下扣款1499</v>
      </c>
      <c r="C4558" s="2" t="s">
        <v>9</v>
      </c>
      <c r="D4558" s="2" t="s">
        <v>10</v>
      </c>
      <c r="E4558" s="2" t="str">
        <f>HYPERLINK("http://ts.21cn.com/tousu/show/id/1335335","http://ts.21cn.com/tousu/show/id/1335335")</f>
        <v>http://ts.21cn.com/tousu/show/id/1335335</v>
      </c>
      <c r="F4558" s="2" t="s">
        <v>11</v>
      </c>
      <c r="G4558" s="2" t="s">
        <v>35182</v>
      </c>
      <c r="H4558" s="2" t="s">
        <v>35183</v>
      </c>
    </row>
    <row r="4559" spans="1:8" ht="25.05" customHeight="1" x14ac:dyDescent="0.25">
      <c r="A4559" s="2" t="s">
        <v>8</v>
      </c>
      <c r="B4559" s="2" t="str">
        <f>HYPERLINK("http://ts.21cn.com/tousu/show/id/1335337","砍头息高利贷")</f>
        <v>砍头息高利贷</v>
      </c>
      <c r="C4559" s="2" t="s">
        <v>9</v>
      </c>
      <c r="D4559" s="2" t="s">
        <v>10</v>
      </c>
      <c r="E4559" s="2" t="str">
        <f>HYPERLINK("http://ts.21cn.com/tousu/show/id/1335337","http://ts.21cn.com/tousu/show/id/1335337")</f>
        <v>http://ts.21cn.com/tousu/show/id/1335337</v>
      </c>
      <c r="F4559" s="2" t="s">
        <v>11</v>
      </c>
      <c r="G4559" s="2" t="s">
        <v>35180</v>
      </c>
      <c r="H4559" s="2" t="s">
        <v>35181</v>
      </c>
    </row>
    <row r="4560" spans="1:8" ht="25.05" customHeight="1" x14ac:dyDescent="0.25">
      <c r="A4560" s="2" t="s">
        <v>8</v>
      </c>
      <c r="B4560" s="2" t="str">
        <f>HYPERLINK("http://ts.21cn.com/tousu/show/id/1335336","12306候补订单退单未收到退款")</f>
        <v>12306候补订单退单未收到退款</v>
      </c>
      <c r="C4560" s="2" t="s">
        <v>34</v>
      </c>
      <c r="D4560" s="2" t="s">
        <v>10</v>
      </c>
      <c r="E4560" s="2" t="str">
        <f>HYPERLINK("http://ts.21cn.com/tousu/show/id/1335336","http://ts.21cn.com/tousu/show/id/1335336")</f>
        <v>http://ts.21cn.com/tousu/show/id/1335336</v>
      </c>
      <c r="F4560" s="2" t="s">
        <v>11</v>
      </c>
      <c r="G4560" s="2" t="s">
        <v>35178</v>
      </c>
      <c r="H4560" s="2" t="s">
        <v>35179</v>
      </c>
    </row>
    <row r="4561" spans="1:8" ht="25.05" customHeight="1" x14ac:dyDescent="0.25">
      <c r="A4561" s="2" t="s">
        <v>8</v>
      </c>
      <c r="B4561" s="2" t="str">
        <f>HYPERLINK("http://ts.21cn.com/tousu/show/id/1335338","有信钱包短信骚扰")</f>
        <v>有信钱包短信骚扰</v>
      </c>
      <c r="C4561" s="2" t="s">
        <v>9</v>
      </c>
      <c r="D4561" s="2" t="s">
        <v>10</v>
      </c>
      <c r="E4561" s="2" t="str">
        <f>HYPERLINK("http://ts.21cn.com/tousu/show/id/1335338","http://ts.21cn.com/tousu/show/id/1335338")</f>
        <v>http://ts.21cn.com/tousu/show/id/1335338</v>
      </c>
      <c r="F4561" s="2" t="s">
        <v>11</v>
      </c>
      <c r="G4561" s="2" t="s">
        <v>35176</v>
      </c>
      <c r="H4561" s="2" t="s">
        <v>35177</v>
      </c>
    </row>
    <row r="4562" spans="1:8" ht="25.05" customHeight="1" x14ac:dyDescent="0.25">
      <c r="A4562" s="2" t="s">
        <v>8</v>
      </c>
      <c r="B4562" s="2" t="str">
        <f>HYPERLINK("http://ts.21cn.com/tousu/show/id/1335339","牛人有品收取高额砍头息")</f>
        <v>牛人有品收取高额砍头息</v>
      </c>
      <c r="C4562" s="2" t="s">
        <v>34</v>
      </c>
      <c r="D4562" s="2" t="s">
        <v>10</v>
      </c>
      <c r="E4562" s="2" t="str">
        <f>HYPERLINK("http://ts.21cn.com/tousu/show/id/1335339","http://ts.21cn.com/tousu/show/id/1335339")</f>
        <v>http://ts.21cn.com/tousu/show/id/1335339</v>
      </c>
      <c r="F4562" s="2" t="s">
        <v>11</v>
      </c>
      <c r="G4562" s="2" t="s">
        <v>35174</v>
      </c>
      <c r="H4562" s="2" t="s">
        <v>35175</v>
      </c>
    </row>
    <row r="4563" spans="1:8" ht="25.05" customHeight="1" x14ac:dyDescent="0.25">
      <c r="A4563" s="2" t="s">
        <v>8</v>
      </c>
      <c r="B4563" s="2" t="str">
        <f>HYPERLINK("http://ts.21cn.com/tousu/show/id/1335340","不要骚扰通讯录协商还款时间")</f>
        <v>不要骚扰通讯录协商还款时间</v>
      </c>
      <c r="C4563" s="2" t="s">
        <v>9</v>
      </c>
      <c r="D4563" s="2" t="s">
        <v>10</v>
      </c>
      <c r="E4563" s="2" t="str">
        <f>HYPERLINK("http://ts.21cn.com/tousu/show/id/1335340","http://ts.21cn.com/tousu/show/id/1335340")</f>
        <v>http://ts.21cn.com/tousu/show/id/1335340</v>
      </c>
      <c r="F4563" s="2" t="s">
        <v>11</v>
      </c>
      <c r="G4563" s="2" t="s">
        <v>35172</v>
      </c>
      <c r="H4563" s="2" t="s">
        <v>35173</v>
      </c>
    </row>
    <row r="4564" spans="1:8" ht="25.05" customHeight="1" x14ac:dyDescent="0.25">
      <c r="A4564" s="2" t="s">
        <v>8</v>
      </c>
      <c r="B4564" s="2" t="str">
        <f>HYPERLINK("http://ts.21cn.com/tousu/show/id/1335342","聪明理财，还我们血汗钱")</f>
        <v>聪明理财，还我们血汗钱</v>
      </c>
      <c r="C4564" s="2" t="s">
        <v>9</v>
      </c>
      <c r="D4564" s="2" t="s">
        <v>10</v>
      </c>
      <c r="E4564" s="2" t="str">
        <f>HYPERLINK("http://ts.21cn.com/tousu/show/id/1335342","http://ts.21cn.com/tousu/show/id/1335342")</f>
        <v>http://ts.21cn.com/tousu/show/id/1335342</v>
      </c>
      <c r="F4564" s="2" t="s">
        <v>11</v>
      </c>
      <c r="G4564" s="2" t="s">
        <v>35170</v>
      </c>
      <c r="H4564" s="2" t="s">
        <v>35171</v>
      </c>
    </row>
    <row r="4565" spans="1:8" ht="25.05" customHeight="1" x14ac:dyDescent="0.25">
      <c r="A4565" s="2" t="s">
        <v>8</v>
      </c>
      <c r="B4565" s="2" t="str">
        <f>HYPERLINK("http://ts.21cn.com/tousu/show/id/1335344","来分期套路")</f>
        <v>来分期套路</v>
      </c>
      <c r="C4565" s="2" t="s">
        <v>34</v>
      </c>
      <c r="D4565" s="2" t="s">
        <v>10</v>
      </c>
      <c r="E4565" s="2" t="str">
        <f>HYPERLINK("http://ts.21cn.com/tousu/show/id/1335344","http://ts.21cn.com/tousu/show/id/1335344")</f>
        <v>http://ts.21cn.com/tousu/show/id/1335344</v>
      </c>
      <c r="F4565" s="2" t="s">
        <v>11</v>
      </c>
      <c r="G4565" s="2" t="s">
        <v>35168</v>
      </c>
      <c r="H4565" s="2" t="s">
        <v>35169</v>
      </c>
    </row>
    <row r="4566" spans="1:8" ht="25.05" customHeight="1" x14ac:dyDescent="0.25">
      <c r="A4566" s="2" t="s">
        <v>8</v>
      </c>
      <c r="B4566" s="2" t="str">
        <f>HYPERLINK("http://ts.21cn.com/tousu/show/id/1335343","快贷高利贷暴力催收")</f>
        <v>快贷高利贷暴力催收</v>
      </c>
      <c r="C4566" s="2" t="s">
        <v>9</v>
      </c>
      <c r="D4566" s="2" t="s">
        <v>10</v>
      </c>
      <c r="E4566" s="2" t="str">
        <f>HYPERLINK("http://ts.21cn.com/tousu/show/id/1335343","http://ts.21cn.com/tousu/show/id/1335343")</f>
        <v>http://ts.21cn.com/tousu/show/id/1335343</v>
      </c>
      <c r="F4566" s="2" t="s">
        <v>11</v>
      </c>
      <c r="G4566" s="2" t="s">
        <v>35166</v>
      </c>
      <c r="H4566" s="2" t="s">
        <v>35167</v>
      </c>
    </row>
    <row r="4567" spans="1:8" ht="25.05" customHeight="1" x14ac:dyDescent="0.25">
      <c r="A4567" s="2" t="s">
        <v>8</v>
      </c>
      <c r="B4567" s="2" t="str">
        <f>HYPERLINK("http://ts.21cn.com/tousu/show/id/1335320","交易猫王者荣耀账号，完成交易后，钱转入交易猫，账号不对，密保手机也没换，简答来说就是钱没了，也没有号，交易猫也不处理。")</f>
        <v>交易猫王者荣耀账号，完成交易后，钱转入交易猫，账号不对，密保手机也没换，简答来说就是钱没了，也没有号，交易猫也不处理。</v>
      </c>
      <c r="C4567" s="2" t="s">
        <v>9</v>
      </c>
      <c r="D4567" s="2" t="s">
        <v>10</v>
      </c>
      <c r="E4567" s="2" t="str">
        <f>HYPERLINK("http://ts.21cn.com/tousu/show/id/1335320","http://ts.21cn.com/tousu/show/id/1335320")</f>
        <v>http://ts.21cn.com/tousu/show/id/1335320</v>
      </c>
      <c r="F4567" s="2" t="s">
        <v>11</v>
      </c>
      <c r="G4567" s="2" t="s">
        <v>35164</v>
      </c>
      <c r="H4567" s="2" t="s">
        <v>35165</v>
      </c>
    </row>
    <row r="4568" spans="1:8" ht="25.05" customHeight="1" x14ac:dyDescent="0.25">
      <c r="A4568" s="2" t="s">
        <v>8</v>
      </c>
      <c r="B4568" s="2" t="str">
        <f>HYPERLINK("http://ts.21cn.com/tousu/show/id/1335345","自由摩卡诺和信用计划砍头息")</f>
        <v>自由摩卡诺和信用计划砍头息</v>
      </c>
      <c r="C4568" s="2" t="s">
        <v>9</v>
      </c>
      <c r="D4568" s="2" t="s">
        <v>10</v>
      </c>
      <c r="E4568" s="2" t="str">
        <f>HYPERLINK("http://ts.21cn.com/tousu/show/id/1335345","http://ts.21cn.com/tousu/show/id/1335345")</f>
        <v>http://ts.21cn.com/tousu/show/id/1335345</v>
      </c>
      <c r="F4568" s="2" t="s">
        <v>11</v>
      </c>
      <c r="G4568" s="2" t="s">
        <v>35162</v>
      </c>
      <c r="H4568" s="2" t="s">
        <v>35163</v>
      </c>
    </row>
    <row r="4569" spans="1:8" ht="25.05" customHeight="1" x14ac:dyDescent="0.25">
      <c r="A4569" s="2" t="s">
        <v>8</v>
      </c>
      <c r="B4569" s="2" t="str">
        <f>HYPERLINK("http://ts.21cn.com/tousu/show/id/1335347","高额利息，砍头息")</f>
        <v>高额利息，砍头息</v>
      </c>
      <c r="C4569" s="2" t="s">
        <v>9</v>
      </c>
      <c r="D4569" s="2" t="s">
        <v>10</v>
      </c>
      <c r="E4569" s="2" t="str">
        <f>HYPERLINK("http://ts.21cn.com/tousu/show/id/1335347","http://ts.21cn.com/tousu/show/id/1335347")</f>
        <v>http://ts.21cn.com/tousu/show/id/1335347</v>
      </c>
      <c r="F4569" s="2" t="s">
        <v>11</v>
      </c>
      <c r="G4569" s="2" t="s">
        <v>35160</v>
      </c>
      <c r="H4569" s="2" t="s">
        <v>35161</v>
      </c>
    </row>
    <row r="4570" spans="1:8" ht="25.05" customHeight="1" x14ac:dyDescent="0.25">
      <c r="A4570" s="2" t="s">
        <v>8</v>
      </c>
      <c r="B4570" s="2" t="str">
        <f>HYPERLINK("http://ts.21cn.com/tousu/show/id/1335346","一上午就三个催收电话了，骚扰")</f>
        <v>一上午就三个催收电话了，骚扰</v>
      </c>
      <c r="C4570" s="2" t="s">
        <v>9</v>
      </c>
      <c r="D4570" s="2" t="s">
        <v>10</v>
      </c>
      <c r="E4570" s="2" t="str">
        <f>HYPERLINK("http://ts.21cn.com/tousu/show/id/1335346","http://ts.21cn.com/tousu/show/id/1335346")</f>
        <v>http://ts.21cn.com/tousu/show/id/1335346</v>
      </c>
      <c r="F4570" s="2" t="s">
        <v>11</v>
      </c>
      <c r="G4570" s="2" t="s">
        <v>35158</v>
      </c>
      <c r="H4570" s="2" t="s">
        <v>35159</v>
      </c>
    </row>
    <row r="4571" spans="1:8" ht="25.05" customHeight="1" x14ac:dyDescent="0.25">
      <c r="A4571" s="2" t="s">
        <v>8</v>
      </c>
      <c r="B4571" s="2" t="str">
        <f>HYPERLINK("http://ts.21cn.com/tousu/show/id/1335348","自由魔卡六便士高价会员费砍头息")</f>
        <v>自由魔卡六便士高价会员费砍头息</v>
      </c>
      <c r="C4571" s="2" t="s">
        <v>9</v>
      </c>
      <c r="D4571" s="2" t="s">
        <v>10</v>
      </c>
      <c r="E4571" s="2" t="str">
        <f>HYPERLINK("http://ts.21cn.com/tousu/show/id/1335348","http://ts.21cn.com/tousu/show/id/1335348")</f>
        <v>http://ts.21cn.com/tousu/show/id/1335348</v>
      </c>
      <c r="F4571" s="2" t="s">
        <v>11</v>
      </c>
      <c r="G4571" s="2" t="s">
        <v>35156</v>
      </c>
      <c r="H4571" s="2" t="s">
        <v>35157</v>
      </c>
    </row>
    <row r="4572" spans="1:8" ht="25.05" customHeight="1" x14ac:dyDescent="0.25">
      <c r="A4572" s="2" t="s">
        <v>8</v>
      </c>
      <c r="B4572" s="2" t="str">
        <f>HYPERLINK("http://ts.21cn.com/tousu/show/id/1335350","投诉好分期阴阳合同，高利息")</f>
        <v>投诉好分期阴阳合同，高利息</v>
      </c>
      <c r="C4572" s="2" t="s">
        <v>9</v>
      </c>
      <c r="D4572" s="2" t="s">
        <v>10</v>
      </c>
      <c r="E4572" s="2" t="str">
        <f>HYPERLINK("http://ts.21cn.com/tousu/show/id/1335350","http://ts.21cn.com/tousu/show/id/1335350")</f>
        <v>http://ts.21cn.com/tousu/show/id/1335350</v>
      </c>
      <c r="F4572" s="2" t="s">
        <v>11</v>
      </c>
      <c r="G4572" s="2" t="s">
        <v>35154</v>
      </c>
      <c r="H4572" s="2" t="s">
        <v>35155</v>
      </c>
    </row>
    <row r="4573" spans="1:8" ht="25.05" customHeight="1" x14ac:dyDescent="0.25">
      <c r="A4573" s="2" t="s">
        <v>8</v>
      </c>
      <c r="B4573" s="2" t="str">
        <f>HYPERLINK("http://ts.21cn.com/tousu/show/id/1335333","希望腾讯官方或者苹果公司给我退款")</f>
        <v>希望腾讯官方或者苹果公司给我退款</v>
      </c>
      <c r="C4573" s="2" t="s">
        <v>9</v>
      </c>
      <c r="D4573" s="2" t="s">
        <v>10</v>
      </c>
      <c r="E4573" s="2" t="str">
        <f>HYPERLINK("http://ts.21cn.com/tousu/show/id/1335333","http://ts.21cn.com/tousu/show/id/1335333")</f>
        <v>http://ts.21cn.com/tousu/show/id/1335333</v>
      </c>
      <c r="F4573" s="2" t="s">
        <v>11</v>
      </c>
      <c r="G4573" s="2" t="s">
        <v>35152</v>
      </c>
      <c r="H4573" s="2" t="s">
        <v>35153</v>
      </c>
    </row>
    <row r="4574" spans="1:8" ht="25.05" customHeight="1" x14ac:dyDescent="0.25">
      <c r="A4574" s="2" t="s">
        <v>8</v>
      </c>
      <c r="B4574" s="2" t="str">
        <f>HYPERLINK("http://ts.21cn.com/tousu/show/id/1335351","小浦优客APP报告扣款未提示，现要求退回")</f>
        <v>小浦优客APP报告扣款未提示，现要求退回</v>
      </c>
      <c r="C4574" s="2" t="s">
        <v>9</v>
      </c>
      <c r="D4574" s="2" t="s">
        <v>10</v>
      </c>
      <c r="E4574" s="2" t="str">
        <f>HYPERLINK("http://ts.21cn.com/tousu/show/id/1335351","http://ts.21cn.com/tousu/show/id/1335351")</f>
        <v>http://ts.21cn.com/tousu/show/id/1335351</v>
      </c>
      <c r="F4574" s="2" t="s">
        <v>11</v>
      </c>
      <c r="G4574" s="2" t="s">
        <v>35151</v>
      </c>
      <c r="H4574" s="2" t="s">
        <v>34858</v>
      </c>
    </row>
    <row r="4575" spans="1:8" ht="25.05" customHeight="1" x14ac:dyDescent="0.25">
      <c r="A4575" s="2" t="s">
        <v>8</v>
      </c>
      <c r="B4575" s="2" t="str">
        <f>HYPERLINK("http://ts.21cn.com/tousu/show/id/1335352","套路贷，砍头息")</f>
        <v>套路贷，砍头息</v>
      </c>
      <c r="C4575" s="2" t="s">
        <v>9</v>
      </c>
      <c r="D4575" s="2" t="s">
        <v>10</v>
      </c>
      <c r="E4575" s="2" t="str">
        <f>HYPERLINK("http://ts.21cn.com/tousu/show/id/1335352","http://ts.21cn.com/tousu/show/id/1335352")</f>
        <v>http://ts.21cn.com/tousu/show/id/1335352</v>
      </c>
      <c r="F4575" s="2" t="s">
        <v>11</v>
      </c>
      <c r="G4575" s="2" t="s">
        <v>35149</v>
      </c>
      <c r="H4575" s="2" t="s">
        <v>35150</v>
      </c>
    </row>
    <row r="4576" spans="1:8" ht="25.05" customHeight="1" x14ac:dyDescent="0.25">
      <c r="A4576" s="2" t="s">
        <v>8</v>
      </c>
      <c r="B4576" s="2" t="str">
        <f>HYPERLINK("http://ts.21cn.com/tousu/show/id/1335353","买了黑卡借款失败")</f>
        <v>买了黑卡借款失败</v>
      </c>
      <c r="C4576" s="2" t="s">
        <v>34</v>
      </c>
      <c r="D4576" s="2" t="s">
        <v>10</v>
      </c>
      <c r="E4576" s="2" t="str">
        <f>HYPERLINK("http://ts.21cn.com/tousu/show/id/1335353","http://ts.21cn.com/tousu/show/id/1335353")</f>
        <v>http://ts.21cn.com/tousu/show/id/1335353</v>
      </c>
      <c r="F4576" s="2" t="s">
        <v>11</v>
      </c>
      <c r="G4576" s="2" t="s">
        <v>35147</v>
      </c>
      <c r="H4576" s="2" t="s">
        <v>35148</v>
      </c>
    </row>
    <row r="4577" spans="1:8" ht="25.05" customHeight="1" x14ac:dyDescent="0.25">
      <c r="A4577" s="2" t="s">
        <v>8</v>
      </c>
      <c r="B4577" s="2" t="str">
        <f>HYPERLINK("http://ts.21cn.com/tousu/show/id/1335354","要求唯品会退款")</f>
        <v>要求唯品会退款</v>
      </c>
      <c r="C4577" s="2" t="s">
        <v>9</v>
      </c>
      <c r="D4577" s="2" t="s">
        <v>10</v>
      </c>
      <c r="E4577" s="2" t="str">
        <f>HYPERLINK("http://ts.21cn.com/tousu/show/id/1335354","http://ts.21cn.com/tousu/show/id/1335354")</f>
        <v>http://ts.21cn.com/tousu/show/id/1335354</v>
      </c>
      <c r="F4577" s="2" t="s">
        <v>11</v>
      </c>
      <c r="G4577" s="2" t="s">
        <v>35145</v>
      </c>
      <c r="H4577" s="2" t="s">
        <v>35146</v>
      </c>
    </row>
    <row r="4578" spans="1:8" ht="25.05" customHeight="1" x14ac:dyDescent="0.25">
      <c r="A4578" s="2" t="s">
        <v>8</v>
      </c>
      <c r="B4578" s="2" t="str">
        <f>HYPERLINK("http://ts.21cn.com/tousu/show/id/1335355","催收，高利贷")</f>
        <v>催收，高利贷</v>
      </c>
      <c r="C4578" s="2" t="s">
        <v>9</v>
      </c>
      <c r="D4578" s="2" t="s">
        <v>10</v>
      </c>
      <c r="E4578" s="2" t="str">
        <f>HYPERLINK("http://ts.21cn.com/tousu/show/id/1335355","http://ts.21cn.com/tousu/show/id/1335355")</f>
        <v>http://ts.21cn.com/tousu/show/id/1335355</v>
      </c>
      <c r="F4578" s="2" t="s">
        <v>11</v>
      </c>
      <c r="G4578" s="2" t="s">
        <v>35143</v>
      </c>
      <c r="H4578" s="2" t="s">
        <v>35144</v>
      </c>
    </row>
    <row r="4579" spans="1:8" ht="25.05" customHeight="1" x14ac:dyDescent="0.25">
      <c r="A4579" s="2" t="s">
        <v>8</v>
      </c>
      <c r="B4579" s="2" t="str">
        <f>HYPERLINK("http://ts.21cn.com/tousu/show/id/1335356","态度恶劣，话没听清楚就挂了")</f>
        <v>态度恶劣，话没听清楚就挂了</v>
      </c>
      <c r="C4579" s="2" t="s">
        <v>9</v>
      </c>
      <c r="D4579" s="2" t="s">
        <v>10</v>
      </c>
      <c r="E4579" s="2" t="str">
        <f>HYPERLINK("http://ts.21cn.com/tousu/show/id/1335356","http://ts.21cn.com/tousu/show/id/1335356")</f>
        <v>http://ts.21cn.com/tousu/show/id/1335356</v>
      </c>
      <c r="F4579" s="2" t="s">
        <v>11</v>
      </c>
      <c r="G4579" s="2" t="s">
        <v>35141</v>
      </c>
      <c r="H4579" s="2" t="s">
        <v>35142</v>
      </c>
    </row>
    <row r="4580" spans="1:8" ht="25.05" customHeight="1" x14ac:dyDescent="0.25">
      <c r="A4580" s="2" t="s">
        <v>8</v>
      </c>
      <c r="B4580" s="2" t="str">
        <f>HYPERLINK("http://ts.21cn.com/tousu/show/id/1335357","麻烦给时间处理")</f>
        <v>麻烦给时间处理</v>
      </c>
      <c r="C4580" s="2" t="s">
        <v>9</v>
      </c>
      <c r="D4580" s="2" t="s">
        <v>10</v>
      </c>
      <c r="E4580" s="2" t="str">
        <f>HYPERLINK("http://ts.21cn.com/tousu/show/id/1335357","http://ts.21cn.com/tousu/show/id/1335357")</f>
        <v>http://ts.21cn.com/tousu/show/id/1335357</v>
      </c>
      <c r="F4580" s="2" t="s">
        <v>11</v>
      </c>
      <c r="G4580" s="2" t="s">
        <v>35139</v>
      </c>
      <c r="H4580" s="2" t="s">
        <v>35140</v>
      </c>
    </row>
    <row r="4581" spans="1:8" ht="25.05" customHeight="1" x14ac:dyDescent="0.25">
      <c r="A4581" s="2" t="s">
        <v>8</v>
      </c>
      <c r="B4581" s="2" t="str">
        <f>HYPERLINK("http://ts.21cn.com/tousu/show/id/1335358","钱站app违规畸高收取所谓“服务费”")</f>
        <v>钱站app违规畸高收取所谓“服务费”</v>
      </c>
      <c r="C4581" s="2" t="s">
        <v>9</v>
      </c>
      <c r="D4581" s="2" t="s">
        <v>10</v>
      </c>
      <c r="E4581" s="2" t="str">
        <f>HYPERLINK("http://ts.21cn.com/tousu/show/id/1335358","http://ts.21cn.com/tousu/show/id/1335358")</f>
        <v>http://ts.21cn.com/tousu/show/id/1335358</v>
      </c>
      <c r="F4581" s="2" t="s">
        <v>11</v>
      </c>
      <c r="G4581" s="2" t="s">
        <v>35137</v>
      </c>
      <c r="H4581" s="2" t="s">
        <v>35138</v>
      </c>
    </row>
    <row r="4582" spans="1:8" ht="25.05" customHeight="1" x14ac:dyDescent="0.25">
      <c r="A4582" s="2" t="s">
        <v>8</v>
      </c>
      <c r="B4582" s="2" t="str">
        <f>HYPERLINK("http://ts.21cn.com/tousu/show/id/1335360","信用卡暴力催收")</f>
        <v>信用卡暴力催收</v>
      </c>
      <c r="C4582" s="2" t="s">
        <v>9</v>
      </c>
      <c r="D4582" s="2" t="s">
        <v>10</v>
      </c>
      <c r="E4582" s="2" t="str">
        <f>HYPERLINK("http://ts.21cn.com/tousu/show/id/1335360","http://ts.21cn.com/tousu/show/id/1335360")</f>
        <v>http://ts.21cn.com/tousu/show/id/1335360</v>
      </c>
      <c r="F4582" s="2" t="s">
        <v>11</v>
      </c>
      <c r="G4582" s="2" t="s">
        <v>35135</v>
      </c>
      <c r="H4582" s="2" t="s">
        <v>35136</v>
      </c>
    </row>
    <row r="4583" spans="1:8" ht="25.05" customHeight="1" x14ac:dyDescent="0.25">
      <c r="A4583" s="2" t="s">
        <v>8</v>
      </c>
      <c r="B4583" s="2" t="str">
        <f>HYPERLINK("http://ts.21cn.com/tousu/show/id/1335359","无缘无故扣钱500，完全不知情")</f>
        <v>无缘无故扣钱500，完全不知情</v>
      </c>
      <c r="C4583" s="2" t="s">
        <v>9</v>
      </c>
      <c r="D4583" s="2" t="s">
        <v>10</v>
      </c>
      <c r="E4583" s="2" t="str">
        <f>HYPERLINK("http://ts.21cn.com/tousu/show/id/1335359","http://ts.21cn.com/tousu/show/id/1335359")</f>
        <v>http://ts.21cn.com/tousu/show/id/1335359</v>
      </c>
      <c r="F4583" s="2" t="s">
        <v>11</v>
      </c>
      <c r="G4583" s="2" t="s">
        <v>35133</v>
      </c>
      <c r="H4583" s="2" t="s">
        <v>35134</v>
      </c>
    </row>
    <row r="4584" spans="1:8" ht="25.05" customHeight="1" x14ac:dyDescent="0.25">
      <c r="A4584" s="2" t="s">
        <v>8</v>
      </c>
      <c r="B4584" s="2" t="str">
        <f>HYPERLINK("http://ts.21cn.com/tousu/show/id/1335362","钱橙无忧盗刷钱")</f>
        <v>钱橙无忧盗刷钱</v>
      </c>
      <c r="C4584" s="2" t="s">
        <v>9</v>
      </c>
      <c r="D4584" s="2" t="s">
        <v>10</v>
      </c>
      <c r="E4584" s="2" t="str">
        <f>HYPERLINK("http://ts.21cn.com/tousu/show/id/1335362","http://ts.21cn.com/tousu/show/id/1335362")</f>
        <v>http://ts.21cn.com/tousu/show/id/1335362</v>
      </c>
      <c r="F4584" s="2" t="s">
        <v>11</v>
      </c>
      <c r="G4584" s="2" t="s">
        <v>35131</v>
      </c>
      <c r="H4584" s="2" t="s">
        <v>35132</v>
      </c>
    </row>
    <row r="4585" spans="1:8" ht="25.05" customHeight="1" x14ac:dyDescent="0.25">
      <c r="A4585" s="2" t="s">
        <v>8</v>
      </c>
      <c r="B4585" s="2" t="str">
        <f>HYPERLINK("http://ts.21cn.com/tousu/show/id/1335361","高利贷，阴阳合同砍头息")</f>
        <v>高利贷，阴阳合同砍头息</v>
      </c>
      <c r="C4585" s="2" t="s">
        <v>9</v>
      </c>
      <c r="D4585" s="2" t="s">
        <v>10</v>
      </c>
      <c r="E4585" s="2" t="str">
        <f>HYPERLINK("http://ts.21cn.com/tousu/show/id/1335361","http://ts.21cn.com/tousu/show/id/1335361")</f>
        <v>http://ts.21cn.com/tousu/show/id/1335361</v>
      </c>
      <c r="F4585" s="2" t="s">
        <v>11</v>
      </c>
      <c r="G4585" s="2" t="s">
        <v>35129</v>
      </c>
      <c r="H4585" s="2" t="s">
        <v>35130</v>
      </c>
    </row>
    <row r="4586" spans="1:8" ht="25.05" customHeight="1" x14ac:dyDescent="0.25">
      <c r="A4586" s="2" t="s">
        <v>8</v>
      </c>
      <c r="B4586" s="2" t="str">
        <f>HYPERLINK("http://ts.21cn.com/tousu/show/id/1335363","小当家高利息砍头息网址打不开联系不到客服")</f>
        <v>小当家高利息砍头息网址打不开联系不到客服</v>
      </c>
      <c r="C4586" s="2" t="s">
        <v>9</v>
      </c>
      <c r="D4586" s="2" t="s">
        <v>10</v>
      </c>
      <c r="E4586" s="2" t="str">
        <f>HYPERLINK("http://ts.21cn.com/tousu/show/id/1335363","http://ts.21cn.com/tousu/show/id/1335363")</f>
        <v>http://ts.21cn.com/tousu/show/id/1335363</v>
      </c>
      <c r="F4586" s="2" t="s">
        <v>11</v>
      </c>
      <c r="G4586" s="2" t="s">
        <v>35127</v>
      </c>
      <c r="H4586" s="2" t="s">
        <v>35128</v>
      </c>
    </row>
    <row r="4587" spans="1:8" ht="25.05" customHeight="1" x14ac:dyDescent="0.25">
      <c r="A4587" s="2" t="s">
        <v>8</v>
      </c>
      <c r="B4587" s="2" t="str">
        <f>HYPERLINK("http://ts.21cn.com/tousu/show/id/1335365","小赢卡贷暴力威胁，不同意协商")</f>
        <v>小赢卡贷暴力威胁，不同意协商</v>
      </c>
      <c r="C4587" s="2" t="s">
        <v>9</v>
      </c>
      <c r="D4587" s="2" t="s">
        <v>10</v>
      </c>
      <c r="E4587" s="2" t="str">
        <f>HYPERLINK("http://ts.21cn.com/tousu/show/id/1335365","http://ts.21cn.com/tousu/show/id/1335365")</f>
        <v>http://ts.21cn.com/tousu/show/id/1335365</v>
      </c>
      <c r="F4587" s="2" t="s">
        <v>11</v>
      </c>
      <c r="G4587" s="2" t="s">
        <v>35125</v>
      </c>
      <c r="H4587" s="2" t="s">
        <v>35126</v>
      </c>
    </row>
    <row r="4588" spans="1:8" ht="25.05" customHeight="1" x14ac:dyDescent="0.25">
      <c r="A4588" s="2" t="s">
        <v>8</v>
      </c>
      <c r="B4588" s="2" t="str">
        <f>HYPERLINK("http://ts.21cn.com/tousu/show/id/1335367","广发银行信用卡协商还款")</f>
        <v>广发银行信用卡协商还款</v>
      </c>
      <c r="C4588" s="2" t="s">
        <v>9</v>
      </c>
      <c r="D4588" s="2" t="s">
        <v>10</v>
      </c>
      <c r="E4588" s="2" t="str">
        <f>HYPERLINK("http://ts.21cn.com/tousu/show/id/1335367","http://ts.21cn.com/tousu/show/id/1335367")</f>
        <v>http://ts.21cn.com/tousu/show/id/1335367</v>
      </c>
      <c r="F4588" s="2" t="s">
        <v>11</v>
      </c>
      <c r="G4588" s="2" t="s">
        <v>35123</v>
      </c>
      <c r="H4588" s="2" t="s">
        <v>35124</v>
      </c>
    </row>
    <row r="4589" spans="1:8" ht="25.05" customHeight="1" x14ac:dyDescent="0.25">
      <c r="A4589" s="2" t="s">
        <v>8</v>
      </c>
      <c r="B4589" s="2" t="str">
        <f>HYPERLINK("http://ts.21cn.com/tousu/show/id/1335366","时光分期不爆利催收")</f>
        <v>时光分期不爆利催收</v>
      </c>
      <c r="C4589" s="2" t="s">
        <v>9</v>
      </c>
      <c r="D4589" s="2" t="s">
        <v>10</v>
      </c>
      <c r="E4589" s="2" t="str">
        <f>HYPERLINK("http://ts.21cn.com/tousu/show/id/1335366","http://ts.21cn.com/tousu/show/id/1335366")</f>
        <v>http://ts.21cn.com/tousu/show/id/1335366</v>
      </c>
      <c r="F4589" s="2" t="s">
        <v>11</v>
      </c>
      <c r="G4589" s="2" t="s">
        <v>35121</v>
      </c>
      <c r="H4589" s="2" t="s">
        <v>35122</v>
      </c>
    </row>
    <row r="4590" spans="1:8" ht="25.05" customHeight="1" x14ac:dyDescent="0.25">
      <c r="A4590" s="2" t="s">
        <v>8</v>
      </c>
      <c r="B4590" s="2" t="str">
        <f>HYPERLINK("http://ts.21cn.com/tousu/show/id/1335368","威胁爆通讯录，村委会")</f>
        <v>威胁爆通讯录，村委会</v>
      </c>
      <c r="C4590" s="2" t="s">
        <v>9</v>
      </c>
      <c r="D4590" s="2" t="s">
        <v>10</v>
      </c>
      <c r="E4590" s="2" t="str">
        <f>HYPERLINK("http://ts.21cn.com/tousu/show/id/1335368","http://ts.21cn.com/tousu/show/id/1335368")</f>
        <v>http://ts.21cn.com/tousu/show/id/1335368</v>
      </c>
      <c r="F4590" s="2" t="s">
        <v>11</v>
      </c>
      <c r="G4590" s="2" t="s">
        <v>35119</v>
      </c>
      <c r="H4590" s="2" t="s">
        <v>35120</v>
      </c>
    </row>
    <row r="4591" spans="1:8" ht="25.05" customHeight="1" x14ac:dyDescent="0.25">
      <c r="A4591" s="2" t="s">
        <v>8</v>
      </c>
      <c r="B4591" s="2" t="str">
        <f>HYPERLINK("http://ts.21cn.com/tousu/show/id/1335370","想有钱暴力催收恐吓")</f>
        <v>想有钱暴力催收恐吓</v>
      </c>
      <c r="C4591" s="2" t="s">
        <v>9</v>
      </c>
      <c r="D4591" s="2" t="s">
        <v>10</v>
      </c>
      <c r="E4591" s="2" t="str">
        <f>HYPERLINK("http://ts.21cn.com/tousu/show/id/1335370","http://ts.21cn.com/tousu/show/id/1335370")</f>
        <v>http://ts.21cn.com/tousu/show/id/1335370</v>
      </c>
      <c r="F4591" s="2" t="s">
        <v>11</v>
      </c>
      <c r="G4591" s="2" t="s">
        <v>35117</v>
      </c>
      <c r="H4591" s="2" t="s">
        <v>35118</v>
      </c>
    </row>
    <row r="4592" spans="1:8" ht="25.05" customHeight="1" x14ac:dyDescent="0.25">
      <c r="A4592" s="2" t="s">
        <v>8</v>
      </c>
      <c r="B4592" s="2" t="str">
        <f>HYPERLINK("http://ts.21cn.com/tousu/show/id/1335369","多跑不补钱还乱扣钱")</f>
        <v>多跑不补钱还乱扣钱</v>
      </c>
      <c r="C4592" s="2" t="s">
        <v>9</v>
      </c>
      <c r="D4592" s="2" t="s">
        <v>10</v>
      </c>
      <c r="E4592" s="2" t="str">
        <f>HYPERLINK("http://ts.21cn.com/tousu/show/id/1335369","http://ts.21cn.com/tousu/show/id/1335369")</f>
        <v>http://ts.21cn.com/tousu/show/id/1335369</v>
      </c>
      <c r="F4592" s="2" t="s">
        <v>11</v>
      </c>
      <c r="G4592" s="2" t="s">
        <v>35115</v>
      </c>
      <c r="H4592" s="2" t="s">
        <v>35116</v>
      </c>
    </row>
    <row r="4593" spans="1:8" ht="25.05" customHeight="1" x14ac:dyDescent="0.25">
      <c r="A4593" s="2" t="s">
        <v>8</v>
      </c>
      <c r="B4593" s="2" t="str">
        <f>HYPERLINK("http://ts.21cn.com/tousu/show/id/1335371","活力花利息太高")</f>
        <v>活力花利息太高</v>
      </c>
      <c r="C4593" s="2" t="s">
        <v>9</v>
      </c>
      <c r="D4593" s="2" t="s">
        <v>10</v>
      </c>
      <c r="E4593" s="2" t="str">
        <f>HYPERLINK("http://ts.21cn.com/tousu/show/id/1335371","http://ts.21cn.com/tousu/show/id/1335371")</f>
        <v>http://ts.21cn.com/tousu/show/id/1335371</v>
      </c>
      <c r="F4593" s="2" t="s">
        <v>11</v>
      </c>
      <c r="G4593" s="2" t="s">
        <v>35113</v>
      </c>
      <c r="H4593" s="2" t="s">
        <v>35114</v>
      </c>
    </row>
    <row r="4594" spans="1:8" ht="25.05" customHeight="1" x14ac:dyDescent="0.25">
      <c r="A4594" s="2" t="s">
        <v>8</v>
      </c>
      <c r="B4594" s="2" t="str">
        <f>HYPERLINK("http://ts.21cn.com/tousu/show/id/1335372","美团生活费不给协商直接暴力催收")</f>
        <v>美团生活费不给协商直接暴力催收</v>
      </c>
      <c r="C4594" s="2" t="s">
        <v>9</v>
      </c>
      <c r="D4594" s="2" t="s">
        <v>10</v>
      </c>
      <c r="E4594" s="2" t="str">
        <f>HYPERLINK("http://ts.21cn.com/tousu/show/id/1335372","http://ts.21cn.com/tousu/show/id/1335372")</f>
        <v>http://ts.21cn.com/tousu/show/id/1335372</v>
      </c>
      <c r="F4594" s="2" t="s">
        <v>11</v>
      </c>
      <c r="G4594" s="2" t="s">
        <v>35111</v>
      </c>
      <c r="H4594" s="2" t="s">
        <v>35112</v>
      </c>
    </row>
    <row r="4595" spans="1:8" ht="25.05" customHeight="1" x14ac:dyDescent="0.25">
      <c r="A4595" s="2" t="s">
        <v>8</v>
      </c>
      <c r="B4595" s="2" t="str">
        <f>HYPERLINK("http://ts.21cn.com/tousu/show/id/1335374","苏宁拼购强扣保证金")</f>
        <v>苏宁拼购强扣保证金</v>
      </c>
      <c r="C4595" s="2" t="s">
        <v>9</v>
      </c>
      <c r="D4595" s="2" t="s">
        <v>10</v>
      </c>
      <c r="E4595" s="2" t="str">
        <f>HYPERLINK("http://ts.21cn.com/tousu/show/id/1335374","http://ts.21cn.com/tousu/show/id/1335374")</f>
        <v>http://ts.21cn.com/tousu/show/id/1335374</v>
      </c>
      <c r="F4595" s="2" t="s">
        <v>11</v>
      </c>
      <c r="G4595" s="2" t="s">
        <v>35109</v>
      </c>
      <c r="H4595" s="2" t="s">
        <v>35110</v>
      </c>
    </row>
    <row r="4596" spans="1:8" ht="25.05" customHeight="1" x14ac:dyDescent="0.25">
      <c r="A4596" s="2" t="s">
        <v>8</v>
      </c>
      <c r="B4596" s="2" t="str">
        <f>HYPERLINK("http://ts.21cn.com/tousu/show/id/1335373","暴力涉黑催收")</f>
        <v>暴力涉黑催收</v>
      </c>
      <c r="C4596" s="2" t="s">
        <v>9</v>
      </c>
      <c r="D4596" s="2" t="s">
        <v>10</v>
      </c>
      <c r="E4596" s="2" t="str">
        <f>HYPERLINK("http://ts.21cn.com/tousu/show/id/1335373","http://ts.21cn.com/tousu/show/id/1335373")</f>
        <v>http://ts.21cn.com/tousu/show/id/1335373</v>
      </c>
      <c r="F4596" s="2" t="s">
        <v>11</v>
      </c>
      <c r="G4596" s="2" t="s">
        <v>35107</v>
      </c>
      <c r="H4596" s="2" t="s">
        <v>35108</v>
      </c>
    </row>
    <row r="4597" spans="1:8" ht="25.05" customHeight="1" x14ac:dyDescent="0.25">
      <c r="A4597" s="2" t="s">
        <v>8</v>
      </c>
      <c r="B4597" s="2" t="str">
        <f>HYPERLINK("http://ts.21cn.com/tousu/show/id/1335375","充了迅捷视频转换器半年会员48元，视频转换一直失败，开始以为是电脑问题，可试了很多次都不行。")</f>
        <v>充了迅捷视频转换器半年会员48元，视频转换一直失败，开始以为是电脑问题，可试了很多次都不行。</v>
      </c>
      <c r="C4597" s="2" t="s">
        <v>34</v>
      </c>
      <c r="D4597" s="2" t="s">
        <v>10</v>
      </c>
      <c r="E4597" s="2" t="str">
        <f>HYPERLINK("http://ts.21cn.com/tousu/show/id/1335375","http://ts.21cn.com/tousu/show/id/1335375")</f>
        <v>http://ts.21cn.com/tousu/show/id/1335375</v>
      </c>
      <c r="F4597" s="2" t="s">
        <v>11</v>
      </c>
      <c r="G4597" s="2" t="s">
        <v>35105</v>
      </c>
      <c r="H4597" s="2" t="s">
        <v>35106</v>
      </c>
    </row>
    <row r="4598" spans="1:8" ht="25.05" customHeight="1" x14ac:dyDescent="0.25">
      <c r="A4598" s="2" t="s">
        <v>8</v>
      </c>
      <c r="B4598" s="2" t="str">
        <f>HYPERLINK("http://ts.21cn.com/tousu/show/id/1335377","贷上钱暴力催收骚扰、态度恶虐！超高利息！")</f>
        <v>贷上钱暴力催收骚扰、态度恶虐！超高利息！</v>
      </c>
      <c r="C4598" s="2" t="s">
        <v>9</v>
      </c>
      <c r="D4598" s="2" t="s">
        <v>10</v>
      </c>
      <c r="E4598" s="2" t="str">
        <f>HYPERLINK("http://ts.21cn.com/tousu/show/id/1335377","http://ts.21cn.com/tousu/show/id/1335377")</f>
        <v>http://ts.21cn.com/tousu/show/id/1335377</v>
      </c>
      <c r="F4598" s="2" t="s">
        <v>11</v>
      </c>
      <c r="G4598" s="2" t="s">
        <v>35103</v>
      </c>
      <c r="H4598" s="2" t="s">
        <v>35104</v>
      </c>
    </row>
    <row r="4599" spans="1:8" ht="25.05" customHeight="1" x14ac:dyDescent="0.25">
      <c r="A4599" s="2" t="s">
        <v>8</v>
      </c>
      <c r="B4599" s="2" t="str">
        <f>HYPERLINK("http://ts.21cn.com/tousu/show/id/1335376","贷上钱高利贷，骚扰联系人")</f>
        <v>贷上钱高利贷，骚扰联系人</v>
      </c>
      <c r="C4599" s="2" t="s">
        <v>9</v>
      </c>
      <c r="D4599" s="2" t="s">
        <v>10</v>
      </c>
      <c r="E4599" s="2" t="str">
        <f>HYPERLINK("http://ts.21cn.com/tousu/show/id/1335376","http://ts.21cn.com/tousu/show/id/1335376")</f>
        <v>http://ts.21cn.com/tousu/show/id/1335376</v>
      </c>
      <c r="F4599" s="2" t="s">
        <v>11</v>
      </c>
      <c r="G4599" s="2" t="s">
        <v>35101</v>
      </c>
      <c r="H4599" s="2" t="s">
        <v>35102</v>
      </c>
    </row>
    <row r="4600" spans="1:8" ht="25.05" customHeight="1" x14ac:dyDescent="0.25">
      <c r="A4600" s="2" t="s">
        <v>8</v>
      </c>
      <c r="B4600" s="2" t="str">
        <f>HYPERLINK("http://ts.21cn.com/tousu/show/id/1335378","高利贷多宝分期")</f>
        <v>高利贷多宝分期</v>
      </c>
      <c r="C4600" s="2" t="s">
        <v>9</v>
      </c>
      <c r="D4600" s="2" t="s">
        <v>10</v>
      </c>
      <c r="E4600" s="2" t="str">
        <f>HYPERLINK("http://ts.21cn.com/tousu/show/id/1335378","http://ts.21cn.com/tousu/show/id/1335378")</f>
        <v>http://ts.21cn.com/tousu/show/id/1335378</v>
      </c>
      <c r="F4600" s="2" t="s">
        <v>11</v>
      </c>
      <c r="G4600" s="2" t="s">
        <v>35099</v>
      </c>
      <c r="H4600" s="2" t="s">
        <v>35100</v>
      </c>
    </row>
    <row r="4601" spans="1:8" ht="25.05" customHeight="1" x14ac:dyDescent="0.25">
      <c r="A4601" s="2" t="s">
        <v>8</v>
      </c>
      <c r="B4601" s="2" t="str">
        <f>HYPERLINK("http://ts.21cn.com/tousu/show/id/1327989","百邦黑心商家")</f>
        <v>百邦黑心商家</v>
      </c>
      <c r="C4601" s="2" t="s">
        <v>9</v>
      </c>
      <c r="D4601" s="2" t="s">
        <v>10</v>
      </c>
      <c r="E4601" s="2" t="str">
        <f>HYPERLINK("http://ts.21cn.com/tousu/show/id/1327989","http://ts.21cn.com/tousu/show/id/1327989")</f>
        <v>http://ts.21cn.com/tousu/show/id/1327989</v>
      </c>
      <c r="F4601" s="2" t="s">
        <v>11</v>
      </c>
      <c r="G4601" s="2" t="s">
        <v>35097</v>
      </c>
      <c r="H4601" s="2" t="s">
        <v>35098</v>
      </c>
    </row>
    <row r="4602" spans="1:8" ht="25.05" customHeight="1" x14ac:dyDescent="0.25">
      <c r="A4602" s="2" t="s">
        <v>8</v>
      </c>
      <c r="B4602" s="2" t="str">
        <f>HYPERLINK("http://ts.21cn.com/tousu/show/id/1335379","携程网")</f>
        <v>携程网</v>
      </c>
      <c r="C4602" s="2" t="s">
        <v>9</v>
      </c>
      <c r="D4602" s="2" t="s">
        <v>10</v>
      </c>
      <c r="E4602" s="2" t="str">
        <f>HYPERLINK("http://ts.21cn.com/tousu/show/id/1335379","http://ts.21cn.com/tousu/show/id/1335379")</f>
        <v>http://ts.21cn.com/tousu/show/id/1335379</v>
      </c>
      <c r="F4602" s="2" t="s">
        <v>11</v>
      </c>
      <c r="G4602" s="2" t="s">
        <v>35095</v>
      </c>
      <c r="H4602" s="2" t="s">
        <v>35096</v>
      </c>
    </row>
    <row r="4603" spans="1:8" ht="25.05" customHeight="1" x14ac:dyDescent="0.25">
      <c r="A4603" s="2" t="s">
        <v>8</v>
      </c>
      <c r="B4603" s="2" t="str">
        <f>HYPERLINK("http://ts.21cn.com/tousu/show/id/1335380","新意花小木钱包APP无法还款导致高利贷利息")</f>
        <v>新意花小木钱包APP无法还款导致高利贷利息</v>
      </c>
      <c r="C4603" s="2" t="s">
        <v>9</v>
      </c>
      <c r="D4603" s="2" t="s">
        <v>10</v>
      </c>
      <c r="E4603" s="2" t="str">
        <f>HYPERLINK("http://ts.21cn.com/tousu/show/id/1335380","http://ts.21cn.com/tousu/show/id/1335380")</f>
        <v>http://ts.21cn.com/tousu/show/id/1335380</v>
      </c>
      <c r="F4603" s="2" t="s">
        <v>11</v>
      </c>
      <c r="G4603" s="2" t="s">
        <v>35093</v>
      </c>
      <c r="H4603" s="2" t="s">
        <v>35094</v>
      </c>
    </row>
    <row r="4604" spans="1:8" ht="25.05" customHeight="1" x14ac:dyDescent="0.25">
      <c r="A4604" s="2" t="s">
        <v>8</v>
      </c>
      <c r="B4604" s="2" t="str">
        <f>HYPERLINK("http://ts.21cn.com/tousu/show/id/1335383","要求易到用车退款！！")</f>
        <v>要求易到用车退款！！</v>
      </c>
      <c r="C4604" s="2" t="s">
        <v>9</v>
      </c>
      <c r="D4604" s="2" t="s">
        <v>10</v>
      </c>
      <c r="E4604" s="2" t="str">
        <f>HYPERLINK("http://ts.21cn.com/tousu/show/id/1335383","http://ts.21cn.com/tousu/show/id/1335383")</f>
        <v>http://ts.21cn.com/tousu/show/id/1335383</v>
      </c>
      <c r="F4604" s="2" t="s">
        <v>11</v>
      </c>
      <c r="G4604" s="2" t="s">
        <v>35091</v>
      </c>
      <c r="H4604" s="2" t="s">
        <v>35092</v>
      </c>
    </row>
    <row r="4605" spans="1:8" ht="25.05" customHeight="1" x14ac:dyDescent="0.25">
      <c r="A4605" s="2" t="s">
        <v>8</v>
      </c>
      <c r="B4605" s="2" t="str">
        <f>HYPERLINK("http://ts.21cn.com/tousu/show/id/1335382","时光分期综合年化高达60.8%，投诉高利贷")</f>
        <v>时光分期综合年化高达60.8%，投诉高利贷</v>
      </c>
      <c r="C4605" s="2" t="s">
        <v>9</v>
      </c>
      <c r="D4605" s="2" t="s">
        <v>10</v>
      </c>
      <c r="E4605" s="2" t="str">
        <f>HYPERLINK("http://ts.21cn.com/tousu/show/id/1335382","http://ts.21cn.com/tousu/show/id/1335382")</f>
        <v>http://ts.21cn.com/tousu/show/id/1335382</v>
      </c>
      <c r="F4605" s="2" t="s">
        <v>11</v>
      </c>
      <c r="G4605" s="2" t="s">
        <v>35089</v>
      </c>
      <c r="H4605" s="2" t="s">
        <v>35090</v>
      </c>
    </row>
    <row r="4606" spans="1:8" ht="25.05" customHeight="1" x14ac:dyDescent="0.25">
      <c r="A4606" s="2" t="s">
        <v>8</v>
      </c>
      <c r="B4606" s="2" t="str">
        <f>HYPERLINK("http://ts.21cn.com/tousu/show/id/1335381","好易借套路贷黑社会威胁@公安部")</f>
        <v>好易借套路贷黑社会威胁@公安部</v>
      </c>
      <c r="C4606" s="2" t="s">
        <v>9</v>
      </c>
      <c r="D4606" s="2" t="s">
        <v>10</v>
      </c>
      <c r="E4606" s="2" t="str">
        <f>HYPERLINK("http://ts.21cn.com/tousu/show/id/1335381","http://ts.21cn.com/tousu/show/id/1335381")</f>
        <v>http://ts.21cn.com/tousu/show/id/1335381</v>
      </c>
      <c r="F4606" s="2" t="s">
        <v>11</v>
      </c>
      <c r="G4606" s="2" t="s">
        <v>35087</v>
      </c>
      <c r="H4606" s="2" t="s">
        <v>35088</v>
      </c>
    </row>
    <row r="4607" spans="1:8" ht="25.05" customHeight="1" x14ac:dyDescent="0.25">
      <c r="A4607" s="2" t="s">
        <v>8</v>
      </c>
      <c r="B4607" s="2" t="str">
        <f>HYPERLINK("http://ts.21cn.com/tousu/show/id/1335364","超出国家利率，高利贷")</f>
        <v>超出国家利率，高利贷</v>
      </c>
      <c r="C4607" s="2" t="s">
        <v>9</v>
      </c>
      <c r="D4607" s="2" t="s">
        <v>10</v>
      </c>
      <c r="E4607" s="2" t="str">
        <f>HYPERLINK("http://ts.21cn.com/tousu/show/id/1335364","http://ts.21cn.com/tousu/show/id/1335364")</f>
        <v>http://ts.21cn.com/tousu/show/id/1335364</v>
      </c>
      <c r="F4607" s="2" t="s">
        <v>11</v>
      </c>
      <c r="G4607" s="2" t="s">
        <v>35085</v>
      </c>
      <c r="H4607" s="2" t="s">
        <v>35086</v>
      </c>
    </row>
    <row r="4608" spans="1:8" ht="25.05" customHeight="1" x14ac:dyDescent="0.25">
      <c r="A4608" s="2" t="s">
        <v>8</v>
      </c>
      <c r="B4608" s="2" t="str">
        <f>HYPERLINK("http://ts.21cn.com/tousu/show/id/1335385","钱咖分期高利贷，套路贷")</f>
        <v>钱咖分期高利贷，套路贷</v>
      </c>
      <c r="C4608" s="2" t="s">
        <v>9</v>
      </c>
      <c r="D4608" s="2" t="s">
        <v>10</v>
      </c>
      <c r="E4608" s="2" t="str">
        <f>HYPERLINK("http://ts.21cn.com/tousu/show/id/1335385","http://ts.21cn.com/tousu/show/id/1335385")</f>
        <v>http://ts.21cn.com/tousu/show/id/1335385</v>
      </c>
      <c r="F4608" s="2" t="s">
        <v>11</v>
      </c>
      <c r="G4608" s="2" t="s">
        <v>35083</v>
      </c>
      <c r="H4608" s="2" t="s">
        <v>35084</v>
      </c>
    </row>
    <row r="4609" spans="1:8" ht="25.05" customHeight="1" x14ac:dyDescent="0.25">
      <c r="A4609" s="2" t="s">
        <v>8</v>
      </c>
      <c r="B4609" s="2" t="str">
        <f>HYPERLINK("http://ts.21cn.com/tousu/show/id/1335386","我来贷对我进行催账")</f>
        <v>我来贷对我进行催账</v>
      </c>
      <c r="C4609" s="2" t="s">
        <v>9</v>
      </c>
      <c r="D4609" s="2" t="s">
        <v>10</v>
      </c>
      <c r="E4609" s="2" t="str">
        <f>HYPERLINK("http://ts.21cn.com/tousu/show/id/1335386","http://ts.21cn.com/tousu/show/id/1335386")</f>
        <v>http://ts.21cn.com/tousu/show/id/1335386</v>
      </c>
      <c r="F4609" s="2" t="s">
        <v>11</v>
      </c>
      <c r="G4609" s="2" t="s">
        <v>35081</v>
      </c>
      <c r="H4609" s="2" t="s">
        <v>35082</v>
      </c>
    </row>
    <row r="4610" spans="1:8" ht="25.05" customHeight="1" x14ac:dyDescent="0.25">
      <c r="A4610" s="2" t="s">
        <v>8</v>
      </c>
      <c r="B4610" s="2" t="str">
        <f>HYPERLINK("http://ts.21cn.com/tousu/show/id/1335387","真的钱站可以一手周天吗")</f>
        <v>真的钱站可以一手周天吗</v>
      </c>
      <c r="C4610" s="2" t="s">
        <v>9</v>
      </c>
      <c r="D4610" s="2" t="s">
        <v>10</v>
      </c>
      <c r="E4610" s="2" t="str">
        <f>HYPERLINK("http://ts.21cn.com/tousu/show/id/1335387","http://ts.21cn.com/tousu/show/id/1335387")</f>
        <v>http://ts.21cn.com/tousu/show/id/1335387</v>
      </c>
      <c r="F4610" s="2" t="s">
        <v>11</v>
      </c>
      <c r="G4610" s="2" t="s">
        <v>35079</v>
      </c>
      <c r="H4610" s="2" t="s">
        <v>35080</v>
      </c>
    </row>
    <row r="4611" spans="1:8" ht="25.05" customHeight="1" x14ac:dyDescent="0.25">
      <c r="A4611" s="2" t="s">
        <v>8</v>
      </c>
      <c r="B4611" s="2" t="str">
        <f>HYPERLINK("http://ts.21cn.com/tousu/show/id/1335388","平安催收人员威胁恐吓")</f>
        <v>平安催收人员威胁恐吓</v>
      </c>
      <c r="C4611" s="2" t="s">
        <v>9</v>
      </c>
      <c r="D4611" s="2" t="s">
        <v>10</v>
      </c>
      <c r="E4611" s="2" t="str">
        <f>HYPERLINK("http://ts.21cn.com/tousu/show/id/1335388","http://ts.21cn.com/tousu/show/id/1335388")</f>
        <v>http://ts.21cn.com/tousu/show/id/1335388</v>
      </c>
      <c r="F4611" s="2" t="s">
        <v>11</v>
      </c>
      <c r="G4611" s="2" t="s">
        <v>35077</v>
      </c>
      <c r="H4611" s="2" t="s">
        <v>35078</v>
      </c>
    </row>
    <row r="4612" spans="1:8" ht="25.05" customHeight="1" x14ac:dyDescent="0.25">
      <c r="A4612" s="2" t="s">
        <v>8</v>
      </c>
      <c r="B4612" s="2" t="str">
        <f>HYPERLINK("http://ts.21cn.com/tousu/show/id/1335389","信用飞砍头息")</f>
        <v>信用飞砍头息</v>
      </c>
      <c r="C4612" s="2" t="s">
        <v>34</v>
      </c>
      <c r="D4612" s="2" t="s">
        <v>10</v>
      </c>
      <c r="E4612" s="2" t="str">
        <f>HYPERLINK("http://ts.21cn.com/tousu/show/id/1335389","http://ts.21cn.com/tousu/show/id/1335389")</f>
        <v>http://ts.21cn.com/tousu/show/id/1335389</v>
      </c>
      <c r="F4612" s="2" t="s">
        <v>11</v>
      </c>
      <c r="G4612" s="2" t="s">
        <v>35075</v>
      </c>
      <c r="H4612" s="2" t="s">
        <v>35076</v>
      </c>
    </row>
    <row r="4613" spans="1:8" ht="25.05" customHeight="1" x14ac:dyDescent="0.25">
      <c r="A4613" s="2" t="s">
        <v>8</v>
      </c>
      <c r="B4613" s="2" t="str">
        <f>HYPERLINK("http://ts.21cn.com/tousu/show/id/1335390","请求钱伴给与还款延期")</f>
        <v>请求钱伴给与还款延期</v>
      </c>
      <c r="C4613" s="2" t="s">
        <v>34</v>
      </c>
      <c r="D4613" s="2" t="s">
        <v>10</v>
      </c>
      <c r="E4613" s="2" t="str">
        <f>HYPERLINK("http://ts.21cn.com/tousu/show/id/1335390","http://ts.21cn.com/tousu/show/id/1335390")</f>
        <v>http://ts.21cn.com/tousu/show/id/1335390</v>
      </c>
      <c r="F4613" s="2" t="s">
        <v>11</v>
      </c>
      <c r="G4613" s="2" t="s">
        <v>35073</v>
      </c>
      <c r="H4613" s="2" t="s">
        <v>35074</v>
      </c>
    </row>
    <row r="4614" spans="1:8" ht="25.05" customHeight="1" x14ac:dyDescent="0.25">
      <c r="A4614" s="2" t="s">
        <v>8</v>
      </c>
      <c r="B4614" s="2" t="str">
        <f>HYPERLINK("http://ts.21cn.com/tousu/show/id/1335393","青柠檬高利贷，套路贷，违规催收。")</f>
        <v>青柠檬高利贷，套路贷，违规催收。</v>
      </c>
      <c r="C4614" s="2" t="s">
        <v>9</v>
      </c>
      <c r="D4614" s="2" t="s">
        <v>10</v>
      </c>
      <c r="E4614" s="2" t="str">
        <f>HYPERLINK("http://ts.21cn.com/tousu/show/id/1335393","http://ts.21cn.com/tousu/show/id/1335393")</f>
        <v>http://ts.21cn.com/tousu/show/id/1335393</v>
      </c>
      <c r="F4614" s="2" t="s">
        <v>11</v>
      </c>
      <c r="G4614" s="2" t="s">
        <v>35071</v>
      </c>
      <c r="H4614" s="2" t="s">
        <v>35072</v>
      </c>
    </row>
    <row r="4615" spans="1:8" ht="25.05" customHeight="1" x14ac:dyDescent="0.25">
      <c r="A4615" s="2" t="s">
        <v>8</v>
      </c>
      <c r="B4615" s="2" t="str">
        <f>HYPERLINK("http://ts.21cn.com/tousu/show/id/1335391","高利贷催收")</f>
        <v>高利贷催收</v>
      </c>
      <c r="C4615" s="2" t="s">
        <v>9</v>
      </c>
      <c r="D4615" s="2" t="s">
        <v>10</v>
      </c>
      <c r="E4615" s="2" t="str">
        <f>HYPERLINK("http://ts.21cn.com/tousu/show/id/1335391","http://ts.21cn.com/tousu/show/id/1335391")</f>
        <v>http://ts.21cn.com/tousu/show/id/1335391</v>
      </c>
      <c r="F4615" s="2" t="s">
        <v>11</v>
      </c>
      <c r="G4615" s="2" t="s">
        <v>35069</v>
      </c>
      <c r="H4615" s="2" t="s">
        <v>35070</v>
      </c>
    </row>
    <row r="4616" spans="1:8" ht="25.05" customHeight="1" x14ac:dyDescent="0.25">
      <c r="A4616" s="2" t="s">
        <v>8</v>
      </c>
      <c r="B4616" s="2" t="str">
        <f>HYPERLINK("http://ts.21cn.com/tousu/show/id/1335392","投诉中邮消费金融恶意催收")</f>
        <v>投诉中邮消费金融恶意催收</v>
      </c>
      <c r="C4616" s="2" t="s">
        <v>9</v>
      </c>
      <c r="D4616" s="2" t="s">
        <v>10</v>
      </c>
      <c r="E4616" s="2" t="str">
        <f>HYPERLINK("http://ts.21cn.com/tousu/show/id/1335392","http://ts.21cn.com/tousu/show/id/1335392")</f>
        <v>http://ts.21cn.com/tousu/show/id/1335392</v>
      </c>
      <c r="F4616" s="2" t="s">
        <v>11</v>
      </c>
      <c r="G4616" s="2" t="s">
        <v>35067</v>
      </c>
      <c r="H4616" s="2" t="s">
        <v>35068</v>
      </c>
    </row>
    <row r="4617" spans="1:8" ht="25.05" customHeight="1" x14ac:dyDescent="0.25">
      <c r="A4617" s="2" t="s">
        <v>8</v>
      </c>
      <c r="B4617" s="2" t="str">
        <f>HYPERLINK("http://ts.21cn.com/tousu/show/id/1335394","非法收取利息")</f>
        <v>非法收取利息</v>
      </c>
      <c r="C4617" s="2" t="s">
        <v>9</v>
      </c>
      <c r="D4617" s="2" t="s">
        <v>10</v>
      </c>
      <c r="E4617" s="2" t="str">
        <f>HYPERLINK("http://ts.21cn.com/tousu/show/id/1335394","http://ts.21cn.com/tousu/show/id/1335394")</f>
        <v>http://ts.21cn.com/tousu/show/id/1335394</v>
      </c>
      <c r="F4617" s="2" t="s">
        <v>11</v>
      </c>
      <c r="G4617" s="2" t="s">
        <v>35065</v>
      </c>
      <c r="H4617" s="2" t="s">
        <v>35066</v>
      </c>
    </row>
    <row r="4618" spans="1:8" ht="25.05" customHeight="1" x14ac:dyDescent="0.25">
      <c r="A4618" s="2" t="s">
        <v>8</v>
      </c>
      <c r="B4618" s="2" t="str">
        <f>HYPERLINK("http://ts.21cn.com/tousu/show/id/1335395","新橙优品高利贷")</f>
        <v>新橙优品高利贷</v>
      </c>
      <c r="C4618" s="2" t="s">
        <v>9</v>
      </c>
      <c r="D4618" s="2" t="s">
        <v>10</v>
      </c>
      <c r="E4618" s="2" t="str">
        <f>HYPERLINK("http://ts.21cn.com/tousu/show/id/1335395","http://ts.21cn.com/tousu/show/id/1335395")</f>
        <v>http://ts.21cn.com/tousu/show/id/1335395</v>
      </c>
      <c r="F4618" s="2" t="s">
        <v>11</v>
      </c>
      <c r="G4618" s="2" t="s">
        <v>35063</v>
      </c>
      <c r="H4618" s="2" t="s">
        <v>35064</v>
      </c>
    </row>
    <row r="4619" spans="1:8" ht="25.05" customHeight="1" x14ac:dyDescent="0.25">
      <c r="A4619" s="2" t="s">
        <v>8</v>
      </c>
      <c r="B4619" s="2" t="str">
        <f>HYPERLINK("http://ts.21cn.com/tousu/show/id/1335396","立借青春宝高利贷砍头息")</f>
        <v>立借青春宝高利贷砍头息</v>
      </c>
      <c r="C4619" s="2" t="s">
        <v>9</v>
      </c>
      <c r="D4619" s="2" t="s">
        <v>10</v>
      </c>
      <c r="E4619" s="2" t="str">
        <f>HYPERLINK("http://ts.21cn.com/tousu/show/id/1335396","http://ts.21cn.com/tousu/show/id/1335396")</f>
        <v>http://ts.21cn.com/tousu/show/id/1335396</v>
      </c>
      <c r="F4619" s="2" t="s">
        <v>11</v>
      </c>
      <c r="G4619" s="2" t="s">
        <v>35061</v>
      </c>
      <c r="H4619" s="2" t="s">
        <v>35062</v>
      </c>
    </row>
    <row r="4620" spans="1:8" ht="25.05" customHeight="1" x14ac:dyDescent="0.25">
      <c r="A4620" s="2" t="s">
        <v>8</v>
      </c>
      <c r="B4620" s="2" t="str">
        <f>HYPERLINK("http://ts.21cn.com/tousu/show/id/1335398","逾期6天才联系我逾期费1天10块钱？")</f>
        <v>逾期6天才联系我逾期费1天10块钱？</v>
      </c>
      <c r="C4620" s="2" t="s">
        <v>34</v>
      </c>
      <c r="D4620" s="2" t="s">
        <v>10</v>
      </c>
      <c r="E4620" s="2" t="str">
        <f>HYPERLINK("http://ts.21cn.com/tousu/show/id/1335398","http://ts.21cn.com/tousu/show/id/1335398")</f>
        <v>http://ts.21cn.com/tousu/show/id/1335398</v>
      </c>
      <c r="F4620" s="2" t="s">
        <v>11</v>
      </c>
      <c r="G4620" s="2" t="s">
        <v>35059</v>
      </c>
      <c r="H4620" s="2" t="s">
        <v>35060</v>
      </c>
    </row>
    <row r="4621" spans="1:8" ht="25.05" customHeight="1" x14ac:dyDescent="0.25">
      <c r="A4621" s="2" t="s">
        <v>8</v>
      </c>
      <c r="B4621" s="2" t="str">
        <f>HYPERLINK("http://ts.21cn.com/tousu/show/id/1335399","玖富万卡高利贷")</f>
        <v>玖富万卡高利贷</v>
      </c>
      <c r="C4621" s="2" t="s">
        <v>9</v>
      </c>
      <c r="D4621" s="2" t="s">
        <v>10</v>
      </c>
      <c r="E4621" s="2" t="str">
        <f>HYPERLINK("http://ts.21cn.com/tousu/show/id/1335399","http://ts.21cn.com/tousu/show/id/1335399")</f>
        <v>http://ts.21cn.com/tousu/show/id/1335399</v>
      </c>
      <c r="F4621" s="2" t="s">
        <v>11</v>
      </c>
      <c r="G4621" s="2" t="s">
        <v>35057</v>
      </c>
      <c r="H4621" s="2" t="s">
        <v>35058</v>
      </c>
    </row>
    <row r="4622" spans="1:8" ht="25.05" customHeight="1" x14ac:dyDescent="0.25">
      <c r="A4622" s="2" t="s">
        <v>8</v>
      </c>
      <c r="B4622" s="2" t="str">
        <f>HYPERLINK("http://ts.21cn.com/tousu/show/id/1335406","51人品贷暴力催收")</f>
        <v>51人品贷暴力催收</v>
      </c>
      <c r="C4622" s="2" t="s">
        <v>9</v>
      </c>
      <c r="D4622" s="2" t="s">
        <v>10</v>
      </c>
      <c r="E4622" s="2" t="str">
        <f>HYPERLINK("http://ts.21cn.com/tousu/show/id/1335406","http://ts.21cn.com/tousu/show/id/1335406")</f>
        <v>http://ts.21cn.com/tousu/show/id/1335406</v>
      </c>
      <c r="F4622" s="2" t="s">
        <v>11</v>
      </c>
      <c r="G4622" s="2" t="s">
        <v>35053</v>
      </c>
      <c r="H4622" s="2" t="s">
        <v>35054</v>
      </c>
    </row>
    <row r="4623" spans="1:8" ht="25.05" customHeight="1" x14ac:dyDescent="0.25">
      <c r="A4623" s="2" t="s">
        <v>8</v>
      </c>
      <c r="B4623" s="2" t="str">
        <f>HYPERLINK("http://ts.21cn.com/tousu/show/id/1335404","退款200")</f>
        <v>退款200</v>
      </c>
      <c r="C4623" s="2" t="s">
        <v>9</v>
      </c>
      <c r="D4623" s="2" t="s">
        <v>10</v>
      </c>
      <c r="E4623" s="2" t="str">
        <f>HYPERLINK("http://ts.21cn.com/tousu/show/id/1335404","http://ts.21cn.com/tousu/show/id/1335404")</f>
        <v>http://ts.21cn.com/tousu/show/id/1335404</v>
      </c>
      <c r="F4623" s="2" t="s">
        <v>11</v>
      </c>
      <c r="G4623" s="2" t="s">
        <v>35053</v>
      </c>
      <c r="H4623" s="2" t="s">
        <v>35055</v>
      </c>
    </row>
    <row r="4624" spans="1:8" ht="25.05" customHeight="1" x14ac:dyDescent="0.25">
      <c r="A4624" s="2" t="s">
        <v>8</v>
      </c>
      <c r="B4624" s="2" t="str">
        <f>HYPERLINK("http://ts.21cn.com/tousu/show/id/1335397","易兴速贷假贷款")</f>
        <v>易兴速贷假贷款</v>
      </c>
      <c r="C4624" s="2" t="s">
        <v>9</v>
      </c>
      <c r="D4624" s="2" t="s">
        <v>10</v>
      </c>
      <c r="E4624" s="2" t="str">
        <f>HYPERLINK("http://ts.21cn.com/tousu/show/id/1335397","http://ts.21cn.com/tousu/show/id/1335397")</f>
        <v>http://ts.21cn.com/tousu/show/id/1335397</v>
      </c>
      <c r="F4624" s="2" t="s">
        <v>11</v>
      </c>
      <c r="G4624" s="2" t="s">
        <v>35053</v>
      </c>
      <c r="H4624" s="2" t="s">
        <v>35056</v>
      </c>
    </row>
    <row r="4625" spans="1:8" ht="25.05" customHeight="1" x14ac:dyDescent="0.25">
      <c r="A4625" s="2" t="s">
        <v>8</v>
      </c>
      <c r="B4625" s="2" t="str">
        <f>HYPERLINK("http://ts.21cn.com/tousu/show/id/1335400","每日优鲜不给退款")</f>
        <v>每日优鲜不给退款</v>
      </c>
      <c r="C4625" s="2" t="s">
        <v>9</v>
      </c>
      <c r="D4625" s="2" t="s">
        <v>10</v>
      </c>
      <c r="E4625" s="2" t="str">
        <f>HYPERLINK("http://ts.21cn.com/tousu/show/id/1335400","http://ts.21cn.com/tousu/show/id/1335400")</f>
        <v>http://ts.21cn.com/tousu/show/id/1335400</v>
      </c>
      <c r="F4625" s="2" t="s">
        <v>11</v>
      </c>
      <c r="G4625" s="2" t="s">
        <v>35051</v>
      </c>
      <c r="H4625" s="2" t="s">
        <v>35052</v>
      </c>
    </row>
    <row r="4626" spans="1:8" ht="25.05" customHeight="1" x14ac:dyDescent="0.25">
      <c r="A4626" s="2" t="s">
        <v>8</v>
      </c>
      <c r="B4626" s="2" t="str">
        <f>HYPERLINK("http://ts.21cn.com/tousu/show/id/1335401","请求唯品会协商还款")</f>
        <v>请求唯品会协商还款</v>
      </c>
      <c r="C4626" s="2" t="s">
        <v>9</v>
      </c>
      <c r="D4626" s="2" t="s">
        <v>10</v>
      </c>
      <c r="E4626" s="2" t="str">
        <f>HYPERLINK("http://ts.21cn.com/tousu/show/id/1335401","http://ts.21cn.com/tousu/show/id/1335401")</f>
        <v>http://ts.21cn.com/tousu/show/id/1335401</v>
      </c>
      <c r="F4626" s="2" t="s">
        <v>11</v>
      </c>
      <c r="G4626" s="2" t="s">
        <v>35049</v>
      </c>
      <c r="H4626" s="2" t="s">
        <v>35050</v>
      </c>
    </row>
    <row r="4627" spans="1:8" ht="25.05" customHeight="1" x14ac:dyDescent="0.25">
      <c r="A4627" s="2" t="s">
        <v>8</v>
      </c>
      <c r="B4627" s="2" t="str">
        <f>HYPERLINK("http://ts.21cn.com/tousu/show/id/1335402","小浦优客未经同意扣款")</f>
        <v>小浦优客未经同意扣款</v>
      </c>
      <c r="C4627" s="2" t="s">
        <v>9</v>
      </c>
      <c r="D4627" s="2" t="s">
        <v>10</v>
      </c>
      <c r="E4627" s="2" t="str">
        <f>HYPERLINK("http://ts.21cn.com/tousu/show/id/1335402","http://ts.21cn.com/tousu/show/id/1335402")</f>
        <v>http://ts.21cn.com/tousu/show/id/1335402</v>
      </c>
      <c r="F4627" s="2" t="s">
        <v>11</v>
      </c>
      <c r="G4627" s="2" t="s">
        <v>35047</v>
      </c>
      <c r="H4627" s="2" t="s">
        <v>35048</v>
      </c>
    </row>
    <row r="4628" spans="1:8" ht="25.05" customHeight="1" x14ac:dyDescent="0.25">
      <c r="A4628" s="2" t="s">
        <v>8</v>
      </c>
      <c r="B4628" s="2" t="str">
        <f>HYPERLINK("http://ts.21cn.com/tousu/show/id/1335403","普惠冒充公检法")</f>
        <v>普惠冒充公检法</v>
      </c>
      <c r="C4628" s="2" t="s">
        <v>9</v>
      </c>
      <c r="D4628" s="2" t="s">
        <v>10</v>
      </c>
      <c r="E4628" s="2" t="str">
        <f>HYPERLINK("http://ts.21cn.com/tousu/show/id/1335403","http://ts.21cn.com/tousu/show/id/1335403")</f>
        <v>http://ts.21cn.com/tousu/show/id/1335403</v>
      </c>
      <c r="F4628" s="2" t="s">
        <v>11</v>
      </c>
      <c r="G4628" s="2" t="s">
        <v>35045</v>
      </c>
      <c r="H4628" s="2" t="s">
        <v>35046</v>
      </c>
    </row>
    <row r="4629" spans="1:8" ht="25.05" customHeight="1" x14ac:dyDescent="0.25">
      <c r="A4629" s="2" t="s">
        <v>8</v>
      </c>
      <c r="B4629" s="2" t="str">
        <f>HYPERLINK("http://ts.21cn.com/tousu/show/id/1335405","支付宝上海寻梦信息技术有限公司未经本人同意私自扣款")</f>
        <v>支付宝上海寻梦信息技术有限公司未经本人同意私自扣款</v>
      </c>
      <c r="C4629" s="2" t="s">
        <v>9</v>
      </c>
      <c r="D4629" s="2" t="s">
        <v>10</v>
      </c>
      <c r="E4629" s="2" t="str">
        <f>HYPERLINK("http://ts.21cn.com/tousu/show/id/1335405","http://ts.21cn.com/tousu/show/id/1335405")</f>
        <v>http://ts.21cn.com/tousu/show/id/1335405</v>
      </c>
      <c r="F4629" s="2" t="s">
        <v>11</v>
      </c>
      <c r="G4629" s="2" t="s">
        <v>35044</v>
      </c>
      <c r="H4629" s="2" t="s">
        <v>25706</v>
      </c>
    </row>
    <row r="4630" spans="1:8" ht="25.05" customHeight="1" x14ac:dyDescent="0.25">
      <c r="A4630" s="2" t="s">
        <v>8</v>
      </c>
      <c r="B4630" s="2" t="str">
        <f>HYPERLINK("http://ts.21cn.com/tousu/show/id/1335407","立借平台钱置宝高利贷")</f>
        <v>立借平台钱置宝高利贷</v>
      </c>
      <c r="C4630" s="2" t="s">
        <v>9</v>
      </c>
      <c r="D4630" s="2" t="s">
        <v>10</v>
      </c>
      <c r="E4630" s="2" t="str">
        <f>HYPERLINK("http://ts.21cn.com/tousu/show/id/1335407","http://ts.21cn.com/tousu/show/id/1335407")</f>
        <v>http://ts.21cn.com/tousu/show/id/1335407</v>
      </c>
      <c r="F4630" s="2" t="s">
        <v>11</v>
      </c>
      <c r="G4630" s="2" t="s">
        <v>35042</v>
      </c>
      <c r="H4630" s="2" t="s">
        <v>35043</v>
      </c>
    </row>
    <row r="4631" spans="1:8" ht="25.05" customHeight="1" x14ac:dyDescent="0.25">
      <c r="A4631" s="2" t="s">
        <v>8</v>
      </c>
      <c r="B4631" s="2" t="str">
        <f>HYPERLINK("http://ts.21cn.com/tousu/show/id/1335408","恶意诱导扣费")</f>
        <v>恶意诱导扣费</v>
      </c>
      <c r="C4631" s="2" t="s">
        <v>9</v>
      </c>
      <c r="D4631" s="2" t="s">
        <v>10</v>
      </c>
      <c r="E4631" s="2" t="str">
        <f>HYPERLINK("http://ts.21cn.com/tousu/show/id/1335408","http://ts.21cn.com/tousu/show/id/1335408")</f>
        <v>http://ts.21cn.com/tousu/show/id/1335408</v>
      </c>
      <c r="F4631" s="2" t="s">
        <v>11</v>
      </c>
      <c r="G4631" s="2" t="s">
        <v>35040</v>
      </c>
      <c r="H4631" s="2" t="s">
        <v>35041</v>
      </c>
    </row>
    <row r="4632" spans="1:8" ht="25.05" customHeight="1" x14ac:dyDescent="0.25">
      <c r="A4632" s="2" t="s">
        <v>8</v>
      </c>
      <c r="B4632" s="2" t="str">
        <f>HYPERLINK("http://ts.21cn.com/tousu/show/id/1335409","维信卡卡贷恶意收取费用，扣款失败费？")</f>
        <v>维信卡卡贷恶意收取费用，扣款失败费？</v>
      </c>
      <c r="C4632" s="2" t="s">
        <v>9</v>
      </c>
      <c r="D4632" s="2" t="s">
        <v>10</v>
      </c>
      <c r="E4632" s="2" t="str">
        <f>HYPERLINK("http://ts.21cn.com/tousu/show/id/1335409","http://ts.21cn.com/tousu/show/id/1335409")</f>
        <v>http://ts.21cn.com/tousu/show/id/1335409</v>
      </c>
      <c r="F4632" s="2" t="s">
        <v>11</v>
      </c>
      <c r="G4632" s="2" t="s">
        <v>35038</v>
      </c>
      <c r="H4632" s="2" t="s">
        <v>35039</v>
      </c>
    </row>
    <row r="4633" spans="1:8" ht="25.05" customHeight="1" x14ac:dyDescent="0.25">
      <c r="A4633" s="2" t="s">
        <v>8</v>
      </c>
      <c r="B4633" s="2" t="str">
        <f>HYPERLINK("http://ts.21cn.com/tousu/show/id/1335410","高额利息砍头息")</f>
        <v>高额利息砍头息</v>
      </c>
      <c r="C4633" s="2" t="s">
        <v>9</v>
      </c>
      <c r="D4633" s="2" t="s">
        <v>10</v>
      </c>
      <c r="E4633" s="2" t="str">
        <f>HYPERLINK("http://ts.21cn.com/tousu/show/id/1335410","http://ts.21cn.com/tousu/show/id/1335410")</f>
        <v>http://ts.21cn.com/tousu/show/id/1335410</v>
      </c>
      <c r="F4633" s="2" t="s">
        <v>11</v>
      </c>
      <c r="G4633" s="2" t="s">
        <v>35036</v>
      </c>
      <c r="H4633" s="2" t="s">
        <v>35037</v>
      </c>
    </row>
    <row r="4634" spans="1:8" ht="25.05" customHeight="1" x14ac:dyDescent="0.25">
      <c r="A4634" s="2" t="s">
        <v>8</v>
      </c>
      <c r="B4634" s="2" t="str">
        <f>HYPERLINK("http://ts.21cn.com/tousu/show/id/1335411","钱站高利贷")</f>
        <v>钱站高利贷</v>
      </c>
      <c r="C4634" s="2" t="s">
        <v>9</v>
      </c>
      <c r="D4634" s="2" t="s">
        <v>10</v>
      </c>
      <c r="E4634" s="2" t="str">
        <f>HYPERLINK("http://ts.21cn.com/tousu/show/id/1335411","http://ts.21cn.com/tousu/show/id/1335411")</f>
        <v>http://ts.21cn.com/tousu/show/id/1335411</v>
      </c>
      <c r="F4634" s="2" t="s">
        <v>11</v>
      </c>
      <c r="G4634" s="2" t="s">
        <v>35034</v>
      </c>
      <c r="H4634" s="2" t="s">
        <v>35035</v>
      </c>
    </row>
    <row r="4635" spans="1:8" ht="25.05" customHeight="1" x14ac:dyDescent="0.25">
      <c r="A4635" s="2" t="s">
        <v>8</v>
      </c>
      <c r="B4635" s="2" t="str">
        <f>HYPERLINK("http://ts.21cn.com/tousu/show/id/1335412","2019.10.04日闪电借款购买了财神黑卡不给退")</f>
        <v>2019.10.04日闪电借款购买了财神黑卡不给退</v>
      </c>
      <c r="C4635" s="2" t="s">
        <v>9</v>
      </c>
      <c r="D4635" s="2" t="s">
        <v>10</v>
      </c>
      <c r="E4635" s="2" t="str">
        <f>HYPERLINK("http://ts.21cn.com/tousu/show/id/1335412","http://ts.21cn.com/tousu/show/id/1335412")</f>
        <v>http://ts.21cn.com/tousu/show/id/1335412</v>
      </c>
      <c r="F4635" s="2" t="s">
        <v>11</v>
      </c>
      <c r="G4635" s="2" t="s">
        <v>35032</v>
      </c>
      <c r="H4635" s="2" t="s">
        <v>35033</v>
      </c>
    </row>
    <row r="4636" spans="1:8" ht="25.05" customHeight="1" x14ac:dyDescent="0.25">
      <c r="A4636" s="2" t="s">
        <v>8</v>
      </c>
      <c r="B4636" s="2" t="str">
        <f>HYPERLINK("http://ts.21cn.com/tousu/show/id/1335414","非法高利贷砍头息，")</f>
        <v>非法高利贷砍头息，</v>
      </c>
      <c r="C4636" s="2" t="s">
        <v>9</v>
      </c>
      <c r="D4636" s="2" t="s">
        <v>10</v>
      </c>
      <c r="E4636" s="2" t="str">
        <f>HYPERLINK("http://ts.21cn.com/tousu/show/id/1335414","http://ts.21cn.com/tousu/show/id/1335414")</f>
        <v>http://ts.21cn.com/tousu/show/id/1335414</v>
      </c>
      <c r="F4636" s="2" t="s">
        <v>11</v>
      </c>
      <c r="G4636" s="2" t="s">
        <v>35030</v>
      </c>
      <c r="H4636" s="2" t="s">
        <v>35031</v>
      </c>
    </row>
    <row r="4637" spans="1:8" ht="25.05" customHeight="1" x14ac:dyDescent="0.25">
      <c r="A4637" s="2" t="s">
        <v>8</v>
      </c>
      <c r="B4637" s="2" t="str">
        <f>HYPERLINK("http://ts.21cn.com/tousu/show/id/1335413","马上消费金融")</f>
        <v>马上消费金融</v>
      </c>
      <c r="C4637" s="2" t="s">
        <v>34</v>
      </c>
      <c r="D4637" s="2" t="s">
        <v>10</v>
      </c>
      <c r="E4637" s="2" t="str">
        <f>HYPERLINK("http://ts.21cn.com/tousu/show/id/1335413","http://ts.21cn.com/tousu/show/id/1335413")</f>
        <v>http://ts.21cn.com/tousu/show/id/1335413</v>
      </c>
      <c r="F4637" s="2" t="s">
        <v>11</v>
      </c>
      <c r="G4637" s="2" t="s">
        <v>35028</v>
      </c>
      <c r="H4637" s="2" t="s">
        <v>35029</v>
      </c>
    </row>
    <row r="4638" spans="1:8" ht="25.05" customHeight="1" x14ac:dyDescent="0.25">
      <c r="A4638" s="2" t="s">
        <v>8</v>
      </c>
      <c r="B4638" s="2" t="str">
        <f>HYPERLINK("http://ts.21cn.com/tousu/show/id/1335415","小赢易贷客服态度差并带有威胁")</f>
        <v>小赢易贷客服态度差并带有威胁</v>
      </c>
      <c r="C4638" s="2" t="s">
        <v>9</v>
      </c>
      <c r="D4638" s="2" t="s">
        <v>10</v>
      </c>
      <c r="E4638" s="2" t="str">
        <f>HYPERLINK("http://ts.21cn.com/tousu/show/id/1335415","http://ts.21cn.com/tousu/show/id/1335415")</f>
        <v>http://ts.21cn.com/tousu/show/id/1335415</v>
      </c>
      <c r="F4638" s="2" t="s">
        <v>11</v>
      </c>
      <c r="G4638" s="2" t="s">
        <v>35026</v>
      </c>
      <c r="H4638" s="2" t="s">
        <v>35027</v>
      </c>
    </row>
    <row r="4639" spans="1:8" ht="25.05" customHeight="1" x14ac:dyDescent="0.25">
      <c r="A4639" s="2" t="s">
        <v>8</v>
      </c>
      <c r="B4639" s="2" t="str">
        <f>HYPERLINK("http://ts.21cn.com/tousu/show/id/1335416","暴力催收 微信、电话威胁本人父母")</f>
        <v>暴力催收 微信、电话威胁本人父母</v>
      </c>
      <c r="C4639" s="2" t="s">
        <v>9</v>
      </c>
      <c r="D4639" s="2" t="s">
        <v>10</v>
      </c>
      <c r="E4639" s="2" t="str">
        <f>HYPERLINK("http://ts.21cn.com/tousu/show/id/1335416","http://ts.21cn.com/tousu/show/id/1335416")</f>
        <v>http://ts.21cn.com/tousu/show/id/1335416</v>
      </c>
      <c r="F4639" s="2" t="s">
        <v>11</v>
      </c>
      <c r="G4639" s="2" t="s">
        <v>35024</v>
      </c>
      <c r="H4639" s="2" t="s">
        <v>35025</v>
      </c>
    </row>
    <row r="4640" spans="1:8" ht="25.05" customHeight="1" x14ac:dyDescent="0.25">
      <c r="A4640" s="2" t="s">
        <v>8</v>
      </c>
      <c r="B4640" s="2" t="str">
        <f>HYPERLINK("http://ts.21cn.com/tousu/show/id/1335417","暴力催收，软暴力")</f>
        <v>暴力催收，软暴力</v>
      </c>
      <c r="C4640" s="2" t="s">
        <v>9</v>
      </c>
      <c r="D4640" s="2" t="s">
        <v>10</v>
      </c>
      <c r="E4640" s="2" t="str">
        <f>HYPERLINK("http://ts.21cn.com/tousu/show/id/1335417","http://ts.21cn.com/tousu/show/id/1335417")</f>
        <v>http://ts.21cn.com/tousu/show/id/1335417</v>
      </c>
      <c r="F4640" s="2" t="s">
        <v>11</v>
      </c>
      <c r="G4640" s="2" t="s">
        <v>35022</v>
      </c>
      <c r="H4640" s="2" t="s">
        <v>35023</v>
      </c>
    </row>
    <row r="4641" spans="1:8" ht="25.05" customHeight="1" x14ac:dyDescent="0.25">
      <c r="A4641" s="2" t="s">
        <v>8</v>
      </c>
      <c r="B4641" s="2" t="str">
        <f>HYPERLINK("http://ts.21cn.com/tousu/show/id/1335418","安逸花锁定账户")</f>
        <v>安逸花锁定账户</v>
      </c>
      <c r="C4641" s="2" t="s">
        <v>34</v>
      </c>
      <c r="D4641" s="2" t="s">
        <v>10</v>
      </c>
      <c r="E4641" s="2" t="str">
        <f>HYPERLINK("http://ts.21cn.com/tousu/show/id/1335418","http://ts.21cn.com/tousu/show/id/1335418")</f>
        <v>http://ts.21cn.com/tousu/show/id/1335418</v>
      </c>
      <c r="F4641" s="2" t="s">
        <v>11</v>
      </c>
      <c r="G4641" s="2" t="s">
        <v>35020</v>
      </c>
      <c r="H4641" s="2" t="s">
        <v>35021</v>
      </c>
    </row>
    <row r="4642" spans="1:8" ht="25.05" customHeight="1" x14ac:dyDescent="0.25">
      <c r="A4642" s="2" t="s">
        <v>8</v>
      </c>
      <c r="B4642" s="2" t="str">
        <f>HYPERLINK("http://ts.21cn.com/tousu/show/id/1335419","贷上钱以买游戏豆为由收取高额贷款通过费")</f>
        <v>贷上钱以买游戏豆为由收取高额贷款通过费</v>
      </c>
      <c r="C4642" s="2" t="s">
        <v>9</v>
      </c>
      <c r="D4642" s="2" t="s">
        <v>10</v>
      </c>
      <c r="E4642" s="2" t="str">
        <f>HYPERLINK("http://ts.21cn.com/tousu/show/id/1335419","http://ts.21cn.com/tousu/show/id/1335419")</f>
        <v>http://ts.21cn.com/tousu/show/id/1335419</v>
      </c>
      <c r="F4642" s="2" t="s">
        <v>11</v>
      </c>
      <c r="G4642" s="2" t="s">
        <v>35018</v>
      </c>
      <c r="H4642" s="2" t="s">
        <v>35019</v>
      </c>
    </row>
    <row r="4643" spans="1:8" ht="25.05" customHeight="1" x14ac:dyDescent="0.25">
      <c r="A4643" s="2" t="s">
        <v>8</v>
      </c>
      <c r="B4643" s="2" t="str">
        <f>HYPERLINK("http://ts.21cn.com/tousu/show/id/1335420","阴阳合同，恐吓，暴利催收，高利贷，套路贷")</f>
        <v>阴阳合同，恐吓，暴利催收，高利贷，套路贷</v>
      </c>
      <c r="C4643" s="2" t="s">
        <v>9</v>
      </c>
      <c r="D4643" s="2" t="s">
        <v>10</v>
      </c>
      <c r="E4643" s="2" t="str">
        <f>HYPERLINK("http://ts.21cn.com/tousu/show/id/1335420","http://ts.21cn.com/tousu/show/id/1335420")</f>
        <v>http://ts.21cn.com/tousu/show/id/1335420</v>
      </c>
      <c r="F4643" s="2" t="s">
        <v>11</v>
      </c>
      <c r="G4643" s="2" t="s">
        <v>35016</v>
      </c>
      <c r="H4643" s="2" t="s">
        <v>35017</v>
      </c>
    </row>
    <row r="4644" spans="1:8" ht="25.05" customHeight="1" x14ac:dyDescent="0.25">
      <c r="A4644" s="2" t="s">
        <v>8</v>
      </c>
      <c r="B4644" s="2" t="str">
        <f>HYPERLINK("http://ts.21cn.com/tousu/show/id/1335423","绿森商城全款购买iphone手机拒不退款")</f>
        <v>绿森商城全款购买iphone手机拒不退款</v>
      </c>
      <c r="C4644" s="2" t="s">
        <v>9</v>
      </c>
      <c r="D4644" s="2" t="s">
        <v>10</v>
      </c>
      <c r="E4644" s="2" t="str">
        <f>HYPERLINK("http://ts.21cn.com/tousu/show/id/1335423","http://ts.21cn.com/tousu/show/id/1335423")</f>
        <v>http://ts.21cn.com/tousu/show/id/1335423</v>
      </c>
      <c r="F4644" s="2" t="s">
        <v>11</v>
      </c>
      <c r="G4644" s="2" t="s">
        <v>35014</v>
      </c>
      <c r="H4644" s="2" t="s">
        <v>35015</v>
      </c>
    </row>
    <row r="4645" spans="1:8" ht="25.05" customHeight="1" x14ac:dyDescent="0.25">
      <c r="A4645" s="2" t="s">
        <v>8</v>
      </c>
      <c r="B4645" s="2" t="str">
        <f>HYPERLINK("http://ts.21cn.com/tousu/show/id/1335421","有钱花催收")</f>
        <v>有钱花催收</v>
      </c>
      <c r="C4645" s="2" t="s">
        <v>9</v>
      </c>
      <c r="D4645" s="2" t="s">
        <v>10</v>
      </c>
      <c r="E4645" s="2" t="str">
        <f>HYPERLINK("http://ts.21cn.com/tousu/show/id/1335421","http://ts.21cn.com/tousu/show/id/1335421")</f>
        <v>http://ts.21cn.com/tousu/show/id/1335421</v>
      </c>
      <c r="F4645" s="2" t="s">
        <v>11</v>
      </c>
      <c r="G4645" s="2" t="s">
        <v>35012</v>
      </c>
      <c r="H4645" s="2" t="s">
        <v>35013</v>
      </c>
    </row>
    <row r="4646" spans="1:8" ht="25.05" customHeight="1" x14ac:dyDescent="0.25">
      <c r="A4646" s="2" t="s">
        <v>8</v>
      </c>
      <c r="B4646" s="2" t="str">
        <f>HYPERLINK("http://ts.21cn.com/tousu/show/id/1335422","捷信金融商家收款不到账")</f>
        <v>捷信金融商家收款不到账</v>
      </c>
      <c r="C4646" s="2" t="s">
        <v>34</v>
      </c>
      <c r="D4646" s="2" t="s">
        <v>10</v>
      </c>
      <c r="E4646" s="2" t="str">
        <f>HYPERLINK("http://ts.21cn.com/tousu/show/id/1335422","http://ts.21cn.com/tousu/show/id/1335422")</f>
        <v>http://ts.21cn.com/tousu/show/id/1335422</v>
      </c>
      <c r="F4646" s="2" t="s">
        <v>11</v>
      </c>
      <c r="G4646" s="2" t="s">
        <v>35010</v>
      </c>
      <c r="H4646" s="2" t="s">
        <v>35011</v>
      </c>
    </row>
    <row r="4647" spans="1:8" ht="25.05" customHeight="1" x14ac:dyDescent="0.25">
      <c r="A4647" s="2" t="s">
        <v>8</v>
      </c>
      <c r="B4647" s="2" t="str">
        <f>HYPERLINK("http://ts.21cn.com/tousu/show/id/1335425","浦发信用卡协商还款")</f>
        <v>浦发信用卡协商还款</v>
      </c>
      <c r="C4647" s="2" t="s">
        <v>9</v>
      </c>
      <c r="D4647" s="2" t="s">
        <v>10</v>
      </c>
      <c r="E4647" s="2" t="str">
        <f>HYPERLINK("http://ts.21cn.com/tousu/show/id/1335425","http://ts.21cn.com/tousu/show/id/1335425")</f>
        <v>http://ts.21cn.com/tousu/show/id/1335425</v>
      </c>
      <c r="F4647" s="2" t="s">
        <v>11</v>
      </c>
      <c r="G4647" s="2" t="s">
        <v>35008</v>
      </c>
      <c r="H4647" s="2" t="s">
        <v>35009</v>
      </c>
    </row>
    <row r="4648" spans="1:8" ht="25.05" customHeight="1" x14ac:dyDescent="0.25">
      <c r="A4648" s="2" t="s">
        <v>8</v>
      </c>
      <c r="B4648" s="2" t="str">
        <f>HYPERLINK("http://ts.21cn.com/tousu/show/id/1335424","钱站高利贷阴阳合同")</f>
        <v>钱站高利贷阴阳合同</v>
      </c>
      <c r="C4648" s="2" t="s">
        <v>9</v>
      </c>
      <c r="D4648" s="2" t="s">
        <v>10</v>
      </c>
      <c r="E4648" s="2" t="str">
        <f>HYPERLINK("http://ts.21cn.com/tousu/show/id/1335424","http://ts.21cn.com/tousu/show/id/1335424")</f>
        <v>http://ts.21cn.com/tousu/show/id/1335424</v>
      </c>
      <c r="F4648" s="2" t="s">
        <v>11</v>
      </c>
      <c r="G4648" s="2" t="s">
        <v>35006</v>
      </c>
      <c r="H4648" s="2" t="s">
        <v>35007</v>
      </c>
    </row>
    <row r="4649" spans="1:8" ht="25.05" customHeight="1" x14ac:dyDescent="0.25">
      <c r="A4649" s="2" t="s">
        <v>8</v>
      </c>
      <c r="B4649" s="2" t="str">
        <f>HYPERLINK("http://ts.21cn.com/tousu/show/id/1335426","集体投诉：TOGO途歌共享汽车倒计时？不退押金，客服已联系不上")</f>
        <v>集体投诉：TOGO途歌共享汽车倒计时？不退押金，客服已联系不上</v>
      </c>
      <c r="C4649" s="2" t="s">
        <v>9</v>
      </c>
      <c r="D4649" s="2" t="s">
        <v>10</v>
      </c>
      <c r="E4649" s="2" t="str">
        <f>HYPERLINK("http://ts.21cn.com/tousu/show/id/1335426","http://ts.21cn.com/tousu/show/id/1335426")</f>
        <v>http://ts.21cn.com/tousu/show/id/1335426</v>
      </c>
      <c r="F4649" s="2" t="s">
        <v>11</v>
      </c>
      <c r="G4649" s="2" t="s">
        <v>35004</v>
      </c>
      <c r="H4649" s="2" t="s">
        <v>35005</v>
      </c>
    </row>
    <row r="4650" spans="1:8" ht="25.05" customHeight="1" x14ac:dyDescent="0.25">
      <c r="A4650" s="2" t="s">
        <v>8</v>
      </c>
      <c r="B4650" s="2" t="str">
        <f>HYPERLINK("http://ts.21cn.com/tousu/show/id/1335428","你我贷暴力催收")</f>
        <v>你我贷暴力催收</v>
      </c>
      <c r="C4650" s="2" t="s">
        <v>9</v>
      </c>
      <c r="D4650" s="2" t="s">
        <v>10</v>
      </c>
      <c r="E4650" s="2" t="str">
        <f>HYPERLINK("http://ts.21cn.com/tousu/show/id/1335428","http://ts.21cn.com/tousu/show/id/1335428")</f>
        <v>http://ts.21cn.com/tousu/show/id/1335428</v>
      </c>
      <c r="F4650" s="2" t="s">
        <v>11</v>
      </c>
      <c r="G4650" s="2" t="s">
        <v>35001</v>
      </c>
      <c r="H4650" s="2" t="s">
        <v>35002</v>
      </c>
    </row>
    <row r="4651" spans="1:8" ht="25.05" customHeight="1" x14ac:dyDescent="0.25">
      <c r="A4651" s="2" t="s">
        <v>8</v>
      </c>
      <c r="B4651" s="2" t="str">
        <f>HYPERLINK("http://ts.21cn.com/tousu/show/id/1335427","闪电借款暴力催收")</f>
        <v>闪电借款暴力催收</v>
      </c>
      <c r="C4651" s="2" t="s">
        <v>9</v>
      </c>
      <c r="D4651" s="2" t="s">
        <v>10</v>
      </c>
      <c r="E4651" s="2" t="str">
        <f>HYPERLINK("http://ts.21cn.com/tousu/show/id/1335427","http://ts.21cn.com/tousu/show/id/1335427")</f>
        <v>http://ts.21cn.com/tousu/show/id/1335427</v>
      </c>
      <c r="F4651" s="2" t="s">
        <v>11</v>
      </c>
      <c r="G4651" s="2" t="s">
        <v>35001</v>
      </c>
      <c r="H4651" s="2" t="s">
        <v>35003</v>
      </c>
    </row>
    <row r="4652" spans="1:8" ht="25.05" customHeight="1" x14ac:dyDescent="0.25">
      <c r="A4652" s="2" t="s">
        <v>8</v>
      </c>
      <c r="B4652" s="2" t="str">
        <f>HYPERLINK("http://ts.21cn.com/tousu/show/id/1335432","京东商城拒不提供备用机")</f>
        <v>京东商城拒不提供备用机</v>
      </c>
      <c r="C4652" s="2" t="s">
        <v>34</v>
      </c>
      <c r="D4652" s="2" t="s">
        <v>10</v>
      </c>
      <c r="E4652" s="2" t="str">
        <f>HYPERLINK("http://ts.21cn.com/tousu/show/id/1335432","http://ts.21cn.com/tousu/show/id/1335432")</f>
        <v>http://ts.21cn.com/tousu/show/id/1335432</v>
      </c>
      <c r="F4652" s="2" t="s">
        <v>11</v>
      </c>
      <c r="G4652" s="2" t="s">
        <v>34999</v>
      </c>
      <c r="H4652" s="2" t="s">
        <v>35000</v>
      </c>
    </row>
    <row r="4653" spans="1:8" ht="25.05" customHeight="1" x14ac:dyDescent="0.25">
      <c r="A4653" s="2" t="s">
        <v>8</v>
      </c>
      <c r="B4653" s="2" t="str">
        <f>HYPERLINK("http://ts.21cn.com/tousu/show/id/1335430","小浦优客（宏萨科技）app未提示扣取报告费要求退回")</f>
        <v>小浦优客（宏萨科技）app未提示扣取报告费要求退回</v>
      </c>
      <c r="C4653" s="2" t="s">
        <v>9</v>
      </c>
      <c r="D4653" s="2" t="s">
        <v>10</v>
      </c>
      <c r="E4653" s="2" t="str">
        <f>HYPERLINK("http://ts.21cn.com/tousu/show/id/1335430","http://ts.21cn.com/tousu/show/id/1335430")</f>
        <v>http://ts.21cn.com/tousu/show/id/1335430</v>
      </c>
      <c r="F4653" s="2" t="s">
        <v>11</v>
      </c>
      <c r="G4653" s="2" t="s">
        <v>34997</v>
      </c>
      <c r="H4653" s="2" t="s">
        <v>34998</v>
      </c>
    </row>
    <row r="4654" spans="1:8" ht="25.05" customHeight="1" x14ac:dyDescent="0.25">
      <c r="A4654" s="2" t="s">
        <v>8</v>
      </c>
      <c r="B4654" s="2" t="str">
        <f>HYPERLINK("http://ts.21cn.com/tousu/show/id/1335431","恶意诱导扣费")</f>
        <v>恶意诱导扣费</v>
      </c>
      <c r="C4654" s="2" t="s">
        <v>9</v>
      </c>
      <c r="D4654" s="2" t="s">
        <v>10</v>
      </c>
      <c r="E4654" s="2" t="str">
        <f>HYPERLINK("http://ts.21cn.com/tousu/show/id/1335431","http://ts.21cn.com/tousu/show/id/1335431")</f>
        <v>http://ts.21cn.com/tousu/show/id/1335431</v>
      </c>
      <c r="F4654" s="2" t="s">
        <v>11</v>
      </c>
      <c r="G4654" s="2" t="s">
        <v>34995</v>
      </c>
      <c r="H4654" s="2" t="s">
        <v>34996</v>
      </c>
    </row>
    <row r="4655" spans="1:8" ht="25.05" customHeight="1" x14ac:dyDescent="0.25">
      <c r="A4655" s="2" t="s">
        <v>8</v>
      </c>
      <c r="B4655" s="2" t="str">
        <f>HYPERLINK("http://ts.21cn.com/tousu/show/id/1335433","佑佑分期非法放贷暴力催收")</f>
        <v>佑佑分期非法放贷暴力催收</v>
      </c>
      <c r="C4655" s="2" t="s">
        <v>9</v>
      </c>
      <c r="D4655" s="2" t="s">
        <v>10</v>
      </c>
      <c r="E4655" s="2" t="str">
        <f>HYPERLINK("http://ts.21cn.com/tousu/show/id/1335433","http://ts.21cn.com/tousu/show/id/1335433")</f>
        <v>http://ts.21cn.com/tousu/show/id/1335433</v>
      </c>
      <c r="F4655" s="2" t="s">
        <v>11</v>
      </c>
      <c r="G4655" s="2" t="s">
        <v>34993</v>
      </c>
      <c r="H4655" s="2" t="s">
        <v>34994</v>
      </c>
    </row>
    <row r="4656" spans="1:8" ht="25.05" customHeight="1" x14ac:dyDescent="0.25">
      <c r="A4656" s="2" t="s">
        <v>8</v>
      </c>
      <c r="B4656" s="2" t="str">
        <f>HYPERLINK("http://ts.21cn.com/tousu/show/id/1335436","约单app账户不能提现")</f>
        <v>约单app账户不能提现</v>
      </c>
      <c r="C4656" s="2" t="s">
        <v>9</v>
      </c>
      <c r="D4656" s="2" t="s">
        <v>10</v>
      </c>
      <c r="E4656" s="2" t="str">
        <f>HYPERLINK("http://ts.21cn.com/tousu/show/id/1335436","http://ts.21cn.com/tousu/show/id/1335436")</f>
        <v>http://ts.21cn.com/tousu/show/id/1335436</v>
      </c>
      <c r="F4656" s="2" t="s">
        <v>11</v>
      </c>
      <c r="G4656" s="2" t="s">
        <v>34991</v>
      </c>
      <c r="H4656" s="2" t="s">
        <v>34992</v>
      </c>
    </row>
    <row r="4657" spans="1:8" ht="25.05" customHeight="1" x14ac:dyDescent="0.25">
      <c r="A4657" s="2" t="s">
        <v>8</v>
      </c>
      <c r="B4657" s="2" t="str">
        <f>HYPERLINK("http://ts.21cn.com/tousu/show/id/1335434","小赢卡贷暴力催收")</f>
        <v>小赢卡贷暴力催收</v>
      </c>
      <c r="C4657" s="2" t="s">
        <v>9</v>
      </c>
      <c r="D4657" s="2" t="s">
        <v>10</v>
      </c>
      <c r="E4657" s="2" t="str">
        <f>HYPERLINK("http://ts.21cn.com/tousu/show/id/1335434","http://ts.21cn.com/tousu/show/id/1335434")</f>
        <v>http://ts.21cn.com/tousu/show/id/1335434</v>
      </c>
      <c r="F4657" s="2" t="s">
        <v>11</v>
      </c>
      <c r="G4657" s="2" t="s">
        <v>34988</v>
      </c>
      <c r="H4657" s="2" t="s">
        <v>34989</v>
      </c>
    </row>
    <row r="4658" spans="1:8" ht="25.05" customHeight="1" x14ac:dyDescent="0.25">
      <c r="A4658" s="2" t="s">
        <v>8</v>
      </c>
      <c r="B4658" s="2" t="str">
        <f>HYPERLINK("http://ts.21cn.com/tousu/show/id/1334510","高利息，只能还款不能借款")</f>
        <v>高利息，只能还款不能借款</v>
      </c>
      <c r="C4658" s="2" t="s">
        <v>34</v>
      </c>
      <c r="D4658" s="2" t="s">
        <v>10</v>
      </c>
      <c r="E4658" s="2" t="str">
        <f>HYPERLINK("http://ts.21cn.com/tousu/show/id/1334510","http://ts.21cn.com/tousu/show/id/1334510")</f>
        <v>http://ts.21cn.com/tousu/show/id/1334510</v>
      </c>
      <c r="F4658" s="2" t="s">
        <v>11</v>
      </c>
      <c r="G4658" s="2" t="s">
        <v>34988</v>
      </c>
      <c r="H4658" s="2" t="s">
        <v>34990</v>
      </c>
    </row>
    <row r="4659" spans="1:8" ht="25.05" customHeight="1" x14ac:dyDescent="0.25">
      <c r="A4659" s="2" t="s">
        <v>8</v>
      </c>
      <c r="B4659" s="2" t="str">
        <f>HYPERLINK("http://ts.21cn.com/tousu/show/id/1257088","收了钱，就跑了客服不管")</f>
        <v>收了钱，就跑了客服不管</v>
      </c>
      <c r="C4659" s="2" t="s">
        <v>9</v>
      </c>
      <c r="D4659" s="2" t="s">
        <v>10</v>
      </c>
      <c r="E4659" s="2" t="str">
        <f>HYPERLINK("http://ts.21cn.com/tousu/show/id/1257088","http://ts.21cn.com/tousu/show/id/1257088")</f>
        <v>http://ts.21cn.com/tousu/show/id/1257088</v>
      </c>
      <c r="F4659" s="2" t="s">
        <v>11</v>
      </c>
      <c r="G4659" s="2" t="s">
        <v>34986</v>
      </c>
      <c r="H4659" s="2" t="s">
        <v>34987</v>
      </c>
    </row>
    <row r="4660" spans="1:8" ht="25.05" customHeight="1" x14ac:dyDescent="0.25">
      <c r="A4660" s="2" t="s">
        <v>8</v>
      </c>
      <c r="B4660" s="2" t="str">
        <f>HYPERLINK("http://ts.21cn.com/tousu/show/id/1335190","盛钱包激活费")</f>
        <v>盛钱包激活费</v>
      </c>
      <c r="C4660" s="2" t="s">
        <v>9</v>
      </c>
      <c r="D4660" s="2" t="s">
        <v>10</v>
      </c>
      <c r="E4660" s="2" t="str">
        <f>HYPERLINK("http://ts.21cn.com/tousu/show/id/1335190","http://ts.21cn.com/tousu/show/id/1335190")</f>
        <v>http://ts.21cn.com/tousu/show/id/1335190</v>
      </c>
      <c r="F4660" s="2" t="s">
        <v>11</v>
      </c>
      <c r="G4660" s="2" t="s">
        <v>34984</v>
      </c>
      <c r="H4660" s="2" t="s">
        <v>34985</v>
      </c>
    </row>
    <row r="4661" spans="1:8" ht="25.05" customHeight="1" x14ac:dyDescent="0.25">
      <c r="A4661" s="2" t="s">
        <v>8</v>
      </c>
      <c r="B4661" s="2" t="str">
        <f>HYPERLINK("http://ts.21cn.com/tousu/show/id/1335438","嘀嗒没技术取证碰到无赖拿不到车费")</f>
        <v>嘀嗒没技术取证碰到无赖拿不到车费</v>
      </c>
      <c r="C4661" s="2" t="s">
        <v>9</v>
      </c>
      <c r="D4661" s="2" t="s">
        <v>10</v>
      </c>
      <c r="E4661" s="2" t="str">
        <f>HYPERLINK("http://ts.21cn.com/tousu/show/id/1335438","http://ts.21cn.com/tousu/show/id/1335438")</f>
        <v>http://ts.21cn.com/tousu/show/id/1335438</v>
      </c>
      <c r="F4661" s="2" t="s">
        <v>11</v>
      </c>
      <c r="G4661" s="2" t="s">
        <v>34982</v>
      </c>
      <c r="H4661" s="2" t="s">
        <v>34983</v>
      </c>
    </row>
    <row r="4662" spans="1:8" ht="25.05" customHeight="1" x14ac:dyDescent="0.25">
      <c r="A4662" s="2" t="s">
        <v>8</v>
      </c>
      <c r="B4662" s="2" t="str">
        <f>HYPERLINK("http://ts.21cn.com/tousu/show/id/1335439","活力花逾期高利息")</f>
        <v>活力花逾期高利息</v>
      </c>
      <c r="C4662" s="2" t="s">
        <v>34</v>
      </c>
      <c r="D4662" s="2" t="s">
        <v>10</v>
      </c>
      <c r="E4662" s="2" t="str">
        <f>HYPERLINK("http://ts.21cn.com/tousu/show/id/1335439","http://ts.21cn.com/tousu/show/id/1335439")</f>
        <v>http://ts.21cn.com/tousu/show/id/1335439</v>
      </c>
      <c r="F4662" s="2" t="s">
        <v>11</v>
      </c>
      <c r="G4662" s="2" t="s">
        <v>34980</v>
      </c>
      <c r="H4662" s="2" t="s">
        <v>34981</v>
      </c>
    </row>
    <row r="4663" spans="1:8" ht="25.05" customHeight="1" x14ac:dyDescent="0.25">
      <c r="A4663" s="2" t="s">
        <v>8</v>
      </c>
      <c r="B4663" s="2" t="str">
        <f>HYPERLINK("http://ts.21cn.com/tousu/show/id/1335441","还没到还款日就不停发短信打电话催收")</f>
        <v>还没到还款日就不停发短信打电话催收</v>
      </c>
      <c r="C4663" s="2" t="s">
        <v>9</v>
      </c>
      <c r="D4663" s="2" t="s">
        <v>10</v>
      </c>
      <c r="E4663" s="2" t="str">
        <f>HYPERLINK("http://ts.21cn.com/tousu/show/id/1335441","http://ts.21cn.com/tousu/show/id/1335441")</f>
        <v>http://ts.21cn.com/tousu/show/id/1335441</v>
      </c>
      <c r="F4663" s="2" t="s">
        <v>11</v>
      </c>
      <c r="G4663" s="2" t="s">
        <v>34978</v>
      </c>
      <c r="H4663" s="2" t="s">
        <v>34979</v>
      </c>
    </row>
    <row r="4664" spans="1:8" ht="25.05" customHeight="1" x14ac:dyDescent="0.25">
      <c r="A4664" s="2" t="s">
        <v>8</v>
      </c>
      <c r="B4664" s="2" t="str">
        <f>HYPERLINK("http://ts.21cn.com/tousu/show/id/1335442","高利息，提前还款要手续还不让借款")</f>
        <v>高利息，提前还款要手续还不让借款</v>
      </c>
      <c r="C4664" s="2" t="s">
        <v>34</v>
      </c>
      <c r="D4664" s="2" t="s">
        <v>10</v>
      </c>
      <c r="E4664" s="2" t="str">
        <f>HYPERLINK("http://ts.21cn.com/tousu/show/id/1335442","http://ts.21cn.com/tousu/show/id/1335442")</f>
        <v>http://ts.21cn.com/tousu/show/id/1335442</v>
      </c>
      <c r="F4664" s="2" t="s">
        <v>11</v>
      </c>
      <c r="G4664" s="2" t="s">
        <v>34976</v>
      </c>
      <c r="H4664" s="2" t="s">
        <v>34977</v>
      </c>
    </row>
    <row r="4665" spans="1:8" ht="25.05" customHeight="1" x14ac:dyDescent="0.25">
      <c r="A4665" s="2" t="s">
        <v>8</v>
      </c>
      <c r="B4665" s="2" t="str">
        <f>HYPERLINK("http://ts.21cn.com/tousu/show/id/1335444","投诉平安普惠暴力催收假传法律文书")</f>
        <v>投诉平安普惠暴力催收假传法律文书</v>
      </c>
      <c r="C4665" s="2" t="s">
        <v>9</v>
      </c>
      <c r="D4665" s="2" t="s">
        <v>10</v>
      </c>
      <c r="E4665" s="2" t="str">
        <f>HYPERLINK("http://ts.21cn.com/tousu/show/id/1335444","http://ts.21cn.com/tousu/show/id/1335444")</f>
        <v>http://ts.21cn.com/tousu/show/id/1335444</v>
      </c>
      <c r="F4665" s="2" t="s">
        <v>11</v>
      </c>
      <c r="G4665" s="2" t="s">
        <v>34974</v>
      </c>
      <c r="H4665" s="2" t="s">
        <v>34975</v>
      </c>
    </row>
    <row r="4666" spans="1:8" ht="25.05" customHeight="1" x14ac:dyDescent="0.25">
      <c r="A4666" s="2" t="s">
        <v>8</v>
      </c>
      <c r="B4666" s="2" t="str">
        <f>HYPERLINK("http://ts.21cn.com/tousu/show/id/1335445","新浪分期高利贷，黑社会恐吓暴力催收")</f>
        <v>新浪分期高利贷，黑社会恐吓暴力催收</v>
      </c>
      <c r="C4666" s="2" t="s">
        <v>9</v>
      </c>
      <c r="D4666" s="2" t="s">
        <v>10</v>
      </c>
      <c r="E4666" s="2" t="str">
        <f>HYPERLINK("http://ts.21cn.com/tousu/show/id/1335445","http://ts.21cn.com/tousu/show/id/1335445")</f>
        <v>http://ts.21cn.com/tousu/show/id/1335445</v>
      </c>
      <c r="F4666" s="2" t="s">
        <v>11</v>
      </c>
      <c r="G4666" s="2" t="s">
        <v>34972</v>
      </c>
      <c r="H4666" s="2" t="s">
        <v>34973</v>
      </c>
    </row>
    <row r="4667" spans="1:8" ht="25.05" customHeight="1" x14ac:dyDescent="0.25">
      <c r="A4667" s="2" t="s">
        <v>8</v>
      </c>
      <c r="B4667" s="2" t="str">
        <f>HYPERLINK("http://ts.21cn.com/tousu/show/id/1335446","拖欠兼职应收工资")</f>
        <v>拖欠兼职应收工资</v>
      </c>
      <c r="C4667" s="2" t="s">
        <v>9</v>
      </c>
      <c r="D4667" s="2" t="s">
        <v>10</v>
      </c>
      <c r="E4667" s="2" t="str">
        <f>HYPERLINK("http://ts.21cn.com/tousu/show/id/1335446","http://ts.21cn.com/tousu/show/id/1335446")</f>
        <v>http://ts.21cn.com/tousu/show/id/1335446</v>
      </c>
      <c r="F4667" s="2" t="s">
        <v>11</v>
      </c>
      <c r="G4667" s="2" t="s">
        <v>34970</v>
      </c>
      <c r="H4667" s="2" t="s">
        <v>34971</v>
      </c>
    </row>
    <row r="4668" spans="1:8" ht="25.05" customHeight="1" x14ac:dyDescent="0.25">
      <c r="A4668" s="2" t="s">
        <v>8</v>
      </c>
      <c r="B4668" s="2" t="str">
        <f>HYPERLINK("http://ts.21cn.com/tousu/show/id/1335447","百事普惠恶意扣款")</f>
        <v>百事普惠恶意扣款</v>
      </c>
      <c r="C4668" s="2" t="s">
        <v>9</v>
      </c>
      <c r="D4668" s="2" t="s">
        <v>10</v>
      </c>
      <c r="E4668" s="2" t="str">
        <f>HYPERLINK("http://ts.21cn.com/tousu/show/id/1335447","http://ts.21cn.com/tousu/show/id/1335447")</f>
        <v>http://ts.21cn.com/tousu/show/id/1335447</v>
      </c>
      <c r="F4668" s="2" t="s">
        <v>11</v>
      </c>
      <c r="G4668" s="2" t="s">
        <v>34968</v>
      </c>
      <c r="H4668" s="2" t="s">
        <v>34969</v>
      </c>
    </row>
    <row r="4669" spans="1:8" ht="25.05" customHeight="1" x14ac:dyDescent="0.25">
      <c r="A4669" s="2" t="s">
        <v>8</v>
      </c>
      <c r="B4669" s="2" t="str">
        <f>HYPERLINK("http://ts.21cn.com/tousu/show/id/1335429","一款叫做百事惠普的app,恶意扣款")</f>
        <v>一款叫做百事惠普的app,恶意扣款</v>
      </c>
      <c r="C4669" s="2" t="s">
        <v>9</v>
      </c>
      <c r="D4669" s="2" t="s">
        <v>10</v>
      </c>
      <c r="E4669" s="2" t="str">
        <f>HYPERLINK("http://ts.21cn.com/tousu/show/id/1335429","http://ts.21cn.com/tousu/show/id/1335429")</f>
        <v>http://ts.21cn.com/tousu/show/id/1335429</v>
      </c>
      <c r="F4669" s="2" t="s">
        <v>11</v>
      </c>
      <c r="G4669" s="2" t="s">
        <v>34966</v>
      </c>
      <c r="H4669" s="2" t="s">
        <v>34967</v>
      </c>
    </row>
    <row r="4670" spans="1:8" ht="25.05" customHeight="1" x14ac:dyDescent="0.25">
      <c r="A4670" s="2" t="s">
        <v>8</v>
      </c>
      <c r="B4670" s="2" t="str">
        <f>HYPERLINK("http://ts.21cn.com/tousu/show/id/1335448","趣惠买app.小趣白条借款砍头息")</f>
        <v>趣惠买app.小趣白条借款砍头息</v>
      </c>
      <c r="C4670" s="2" t="s">
        <v>9</v>
      </c>
      <c r="D4670" s="2" t="s">
        <v>10</v>
      </c>
      <c r="E4670" s="2" t="str">
        <f>HYPERLINK("http://ts.21cn.com/tousu/show/id/1335448","http://ts.21cn.com/tousu/show/id/1335448")</f>
        <v>http://ts.21cn.com/tousu/show/id/1335448</v>
      </c>
      <c r="F4670" s="2" t="s">
        <v>11</v>
      </c>
      <c r="G4670" s="2" t="s">
        <v>34964</v>
      </c>
      <c r="H4670" s="2" t="s">
        <v>34965</v>
      </c>
    </row>
    <row r="4671" spans="1:8" ht="25.05" customHeight="1" x14ac:dyDescent="0.25">
      <c r="A4671" s="2" t="s">
        <v>8</v>
      </c>
      <c r="B4671" s="2" t="str">
        <f>HYPERLINK("http://ts.21cn.com/tousu/show/id/1335449","滴滴客服坑司机直接影响到司机权益")</f>
        <v>滴滴客服坑司机直接影响到司机权益</v>
      </c>
      <c r="C4671" s="2" t="s">
        <v>9</v>
      </c>
      <c r="D4671" s="2" t="s">
        <v>10</v>
      </c>
      <c r="E4671" s="2" t="str">
        <f>HYPERLINK("http://ts.21cn.com/tousu/show/id/1335449","http://ts.21cn.com/tousu/show/id/1335449")</f>
        <v>http://ts.21cn.com/tousu/show/id/1335449</v>
      </c>
      <c r="F4671" s="2" t="s">
        <v>11</v>
      </c>
      <c r="G4671" s="2" t="s">
        <v>34962</v>
      </c>
      <c r="H4671" s="2" t="s">
        <v>34963</v>
      </c>
    </row>
    <row r="4672" spans="1:8" ht="25.05" customHeight="1" x14ac:dyDescent="0.25">
      <c r="A4672" s="2" t="s">
        <v>8</v>
      </c>
      <c r="B4672" s="2" t="str">
        <f>HYPERLINK("http://ts.21cn.com/tousu/show/id/1335451","携趣信息科技（上海）有限公司盗扣我299元")</f>
        <v>携趣信息科技（上海）有限公司盗扣我299元</v>
      </c>
      <c r="C4672" s="2" t="s">
        <v>9</v>
      </c>
      <c r="D4672" s="2" t="s">
        <v>10</v>
      </c>
      <c r="E4672" s="2" t="str">
        <f>HYPERLINK("http://ts.21cn.com/tousu/show/id/1335451","http://ts.21cn.com/tousu/show/id/1335451")</f>
        <v>http://ts.21cn.com/tousu/show/id/1335451</v>
      </c>
      <c r="F4672" s="2" t="s">
        <v>11</v>
      </c>
      <c r="G4672" s="2" t="s">
        <v>34960</v>
      </c>
      <c r="H4672" s="2" t="s">
        <v>34961</v>
      </c>
    </row>
    <row r="4673" spans="1:8" ht="25.05" customHeight="1" x14ac:dyDescent="0.25">
      <c r="A4673" s="2" t="s">
        <v>8</v>
      </c>
      <c r="B4673" s="2" t="str">
        <f>HYPERLINK("http://ts.21cn.com/tousu/show/id/1335450","玖富就像吸血鬼")</f>
        <v>玖富就像吸血鬼</v>
      </c>
      <c r="C4673" s="2" t="s">
        <v>9</v>
      </c>
      <c r="D4673" s="2" t="s">
        <v>10</v>
      </c>
      <c r="E4673" s="2" t="str">
        <f>HYPERLINK("http://ts.21cn.com/tousu/show/id/1335450","http://ts.21cn.com/tousu/show/id/1335450")</f>
        <v>http://ts.21cn.com/tousu/show/id/1335450</v>
      </c>
      <c r="F4673" s="2" t="s">
        <v>11</v>
      </c>
      <c r="G4673" s="2" t="s">
        <v>34958</v>
      </c>
      <c r="H4673" s="2" t="s">
        <v>34959</v>
      </c>
    </row>
    <row r="4674" spans="1:8" ht="25.05" customHeight="1" x14ac:dyDescent="0.25">
      <c r="A4674" s="2" t="s">
        <v>8</v>
      </c>
      <c r="B4674" s="2" t="str">
        <f>HYPERLINK("http://ts.21cn.com/tousu/show/id/1335453","请求你我贷给点时间")</f>
        <v>请求你我贷给点时间</v>
      </c>
      <c r="C4674" s="2" t="s">
        <v>34</v>
      </c>
      <c r="D4674" s="2" t="s">
        <v>10</v>
      </c>
      <c r="E4674" s="2" t="str">
        <f>HYPERLINK("http://ts.21cn.com/tousu/show/id/1335453","http://ts.21cn.com/tousu/show/id/1335453")</f>
        <v>http://ts.21cn.com/tousu/show/id/1335453</v>
      </c>
      <c r="F4674" s="2" t="s">
        <v>11</v>
      </c>
      <c r="G4674" s="2" t="s">
        <v>34956</v>
      </c>
      <c r="H4674" s="2" t="s">
        <v>34957</v>
      </c>
    </row>
    <row r="4675" spans="1:8" ht="25.05" customHeight="1" x14ac:dyDescent="0.25">
      <c r="A4675" s="2" t="s">
        <v>8</v>
      </c>
      <c r="B4675" s="2" t="str">
        <f>HYPERLINK("http://ts.21cn.com/tousu/show/id/1335452","闪银.砍头息,高利贷，免除高于国家允许的利息")</f>
        <v>闪银.砍头息,高利贷，免除高于国家允许的利息</v>
      </c>
      <c r="C4675" s="2" t="s">
        <v>9</v>
      </c>
      <c r="D4675" s="2" t="s">
        <v>10</v>
      </c>
      <c r="E4675" s="2" t="str">
        <f>HYPERLINK("http://ts.21cn.com/tousu/show/id/1335452","http://ts.21cn.com/tousu/show/id/1335452")</f>
        <v>http://ts.21cn.com/tousu/show/id/1335452</v>
      </c>
      <c r="F4675" s="2" t="s">
        <v>11</v>
      </c>
      <c r="G4675" s="2" t="s">
        <v>34954</v>
      </c>
      <c r="H4675" s="2" t="s">
        <v>34955</v>
      </c>
    </row>
    <row r="4676" spans="1:8" ht="25.05" customHeight="1" x14ac:dyDescent="0.25">
      <c r="A4676" s="2" t="s">
        <v>8</v>
      </c>
      <c r="B4676" s="2" t="str">
        <f>HYPERLINK("http://ts.21cn.com/tousu/show/id/1335454","还呗逾期朋友亲人遭电话骚扰")</f>
        <v>还呗逾期朋友亲人遭电话骚扰</v>
      </c>
      <c r="C4676" s="2" t="s">
        <v>9</v>
      </c>
      <c r="D4676" s="2" t="s">
        <v>10</v>
      </c>
      <c r="E4676" s="2" t="str">
        <f>HYPERLINK("http://ts.21cn.com/tousu/show/id/1335454","http://ts.21cn.com/tousu/show/id/1335454")</f>
        <v>http://ts.21cn.com/tousu/show/id/1335454</v>
      </c>
      <c r="F4676" s="2" t="s">
        <v>11</v>
      </c>
      <c r="G4676" s="2" t="s">
        <v>34952</v>
      </c>
      <c r="H4676" s="2" t="s">
        <v>34953</v>
      </c>
    </row>
    <row r="4677" spans="1:8" ht="25.05" customHeight="1" x14ac:dyDescent="0.25">
      <c r="A4677" s="2" t="s">
        <v>8</v>
      </c>
      <c r="B4677" s="2" t="str">
        <f>HYPERLINK("http://ts.21cn.com/tousu/show/id/1335210","闪电借款黑卡钱200元")</f>
        <v>闪电借款黑卡钱200元</v>
      </c>
      <c r="C4677" s="2" t="s">
        <v>34</v>
      </c>
      <c r="D4677" s="2" t="s">
        <v>10</v>
      </c>
      <c r="E4677" s="2" t="str">
        <f>HYPERLINK("http://ts.21cn.com/tousu/show/id/1335210","http://ts.21cn.com/tousu/show/id/1335210")</f>
        <v>http://ts.21cn.com/tousu/show/id/1335210</v>
      </c>
      <c r="F4677" s="2" t="s">
        <v>11</v>
      </c>
      <c r="G4677" s="2" t="s">
        <v>34950</v>
      </c>
      <c r="H4677" s="2" t="s">
        <v>34951</v>
      </c>
    </row>
    <row r="4678" spans="1:8" ht="25.05" customHeight="1" x14ac:dyDescent="0.25">
      <c r="A4678" s="2" t="s">
        <v>8</v>
      </c>
      <c r="B4678" s="2" t="str">
        <f>HYPERLINK("http://ts.21cn.com/tousu/show/id/1335455","玖富万卡变相收取费用高利贷")</f>
        <v>玖富万卡变相收取费用高利贷</v>
      </c>
      <c r="C4678" s="2" t="s">
        <v>9</v>
      </c>
      <c r="D4678" s="2" t="s">
        <v>10</v>
      </c>
      <c r="E4678" s="2" t="str">
        <f>HYPERLINK("http://ts.21cn.com/tousu/show/id/1335455","http://ts.21cn.com/tousu/show/id/1335455")</f>
        <v>http://ts.21cn.com/tousu/show/id/1335455</v>
      </c>
      <c r="F4678" s="2" t="s">
        <v>11</v>
      </c>
      <c r="G4678" s="2" t="s">
        <v>34948</v>
      </c>
      <c r="H4678" s="2" t="s">
        <v>34949</v>
      </c>
    </row>
    <row r="4679" spans="1:8" ht="25.05" customHeight="1" x14ac:dyDescent="0.25">
      <c r="A4679" s="2" t="s">
        <v>8</v>
      </c>
      <c r="B4679" s="2" t="str">
        <f>HYPERLINK("http://ts.21cn.com/tousu/show/id/1335456","心意花小木钱包砍头意，骚扰不断")</f>
        <v>心意花小木钱包砍头意，骚扰不断</v>
      </c>
      <c r="C4679" s="2" t="s">
        <v>9</v>
      </c>
      <c r="D4679" s="2" t="s">
        <v>10</v>
      </c>
      <c r="E4679" s="2" t="str">
        <f>HYPERLINK("http://ts.21cn.com/tousu/show/id/1335456","http://ts.21cn.com/tousu/show/id/1335456")</f>
        <v>http://ts.21cn.com/tousu/show/id/1335456</v>
      </c>
      <c r="F4679" s="2" t="s">
        <v>11</v>
      </c>
      <c r="G4679" s="2" t="s">
        <v>34946</v>
      </c>
      <c r="H4679" s="2" t="s">
        <v>34947</v>
      </c>
    </row>
    <row r="4680" spans="1:8" ht="25.05" customHeight="1" x14ac:dyDescent="0.25">
      <c r="A4680" s="2" t="s">
        <v>8</v>
      </c>
      <c r="B4680" s="2" t="str">
        <f>HYPERLINK("http://ts.21cn.com/tousu/show/id/1335457","平安普惠非法联系通讯录")</f>
        <v>平安普惠非法联系通讯录</v>
      </c>
      <c r="C4680" s="2" t="s">
        <v>9</v>
      </c>
      <c r="D4680" s="2" t="s">
        <v>10</v>
      </c>
      <c r="E4680" s="2" t="str">
        <f>HYPERLINK("http://ts.21cn.com/tousu/show/id/1335457","http://ts.21cn.com/tousu/show/id/1335457")</f>
        <v>http://ts.21cn.com/tousu/show/id/1335457</v>
      </c>
      <c r="F4680" s="2" t="s">
        <v>11</v>
      </c>
      <c r="G4680" s="2" t="s">
        <v>34944</v>
      </c>
      <c r="H4680" s="2" t="s">
        <v>34945</v>
      </c>
    </row>
    <row r="4681" spans="1:8" ht="25.05" customHeight="1" x14ac:dyDescent="0.25">
      <c r="A4681" s="2" t="s">
        <v>8</v>
      </c>
      <c r="B4681" s="2" t="str">
        <f>HYPERLINK("http://ts.21cn.com/tousu/show/id/1335458","小浦优客未经同意扣款")</f>
        <v>小浦优客未经同意扣款</v>
      </c>
      <c r="C4681" s="2" t="s">
        <v>9</v>
      </c>
      <c r="D4681" s="2" t="s">
        <v>10</v>
      </c>
      <c r="E4681" s="2" t="str">
        <f>HYPERLINK("http://ts.21cn.com/tousu/show/id/1335458","http://ts.21cn.com/tousu/show/id/1335458")</f>
        <v>http://ts.21cn.com/tousu/show/id/1335458</v>
      </c>
      <c r="F4681" s="2" t="s">
        <v>11</v>
      </c>
      <c r="G4681" s="2" t="s">
        <v>34942</v>
      </c>
      <c r="H4681" s="2" t="s">
        <v>34943</v>
      </c>
    </row>
    <row r="4682" spans="1:8" ht="25.05" customHeight="1" x14ac:dyDescent="0.25">
      <c r="A4682" s="2" t="s">
        <v>8</v>
      </c>
      <c r="B4682" s="2" t="str">
        <f>HYPERLINK("http://ts.21cn.com/tousu/show/id/1335459","花转转高利贷")</f>
        <v>花转转高利贷</v>
      </c>
      <c r="C4682" s="2" t="s">
        <v>9</v>
      </c>
      <c r="D4682" s="2" t="s">
        <v>10</v>
      </c>
      <c r="E4682" s="2" t="str">
        <f>HYPERLINK("http://ts.21cn.com/tousu/show/id/1335459","http://ts.21cn.com/tousu/show/id/1335459")</f>
        <v>http://ts.21cn.com/tousu/show/id/1335459</v>
      </c>
      <c r="F4682" s="2" t="s">
        <v>11</v>
      </c>
      <c r="G4682" s="2" t="s">
        <v>34940</v>
      </c>
      <c r="H4682" s="2" t="s">
        <v>34941</v>
      </c>
    </row>
    <row r="4683" spans="1:8" ht="25.05" customHeight="1" x14ac:dyDescent="0.25">
      <c r="A4683" s="2" t="s">
        <v>8</v>
      </c>
      <c r="B4683" s="2" t="str">
        <f>HYPERLINK("http://ts.21cn.com/tousu/show/id/1335460","YY信用暴力骚扰，威胁")</f>
        <v>YY信用暴力骚扰，威胁</v>
      </c>
      <c r="C4683" s="2" t="s">
        <v>9</v>
      </c>
      <c r="D4683" s="2" t="s">
        <v>10</v>
      </c>
      <c r="E4683" s="2" t="str">
        <f>HYPERLINK("http://ts.21cn.com/tousu/show/id/1335460","http://ts.21cn.com/tousu/show/id/1335460")</f>
        <v>http://ts.21cn.com/tousu/show/id/1335460</v>
      </c>
      <c r="F4683" s="2" t="s">
        <v>11</v>
      </c>
      <c r="G4683" s="2" t="s">
        <v>34938</v>
      </c>
      <c r="H4683" s="2" t="s">
        <v>34939</v>
      </c>
    </row>
    <row r="4684" spans="1:8" ht="25.05" customHeight="1" x14ac:dyDescent="0.25">
      <c r="A4684" s="2" t="s">
        <v>8</v>
      </c>
      <c r="B4684" s="2" t="str">
        <f>HYPERLINK("http://ts.21cn.com/tousu/show/id/1335461","高利息，催款态度急")</f>
        <v>高利息，催款态度急</v>
      </c>
      <c r="C4684" s="2" t="s">
        <v>34</v>
      </c>
      <c r="D4684" s="2" t="s">
        <v>10</v>
      </c>
      <c r="E4684" s="2" t="str">
        <f>HYPERLINK("http://ts.21cn.com/tousu/show/id/1335461","http://ts.21cn.com/tousu/show/id/1335461")</f>
        <v>http://ts.21cn.com/tousu/show/id/1335461</v>
      </c>
      <c r="F4684" s="2" t="s">
        <v>11</v>
      </c>
      <c r="G4684" s="2" t="s">
        <v>34936</v>
      </c>
      <c r="H4684" s="2" t="s">
        <v>34937</v>
      </c>
    </row>
    <row r="4685" spans="1:8" ht="25.05" customHeight="1" x14ac:dyDescent="0.25">
      <c r="A4685" s="2" t="s">
        <v>8</v>
      </c>
      <c r="B4685" s="2" t="str">
        <f>HYPERLINK("http://ts.21cn.com/tousu/show/id/1335463","融360旗下平台时光分期暴力催收")</f>
        <v>融360旗下平台时光分期暴力催收</v>
      </c>
      <c r="C4685" s="2" t="s">
        <v>9</v>
      </c>
      <c r="D4685" s="2" t="s">
        <v>10</v>
      </c>
      <c r="E4685" s="2" t="str">
        <f>HYPERLINK("http://ts.21cn.com/tousu/show/id/1335463","http://ts.21cn.com/tousu/show/id/1335463")</f>
        <v>http://ts.21cn.com/tousu/show/id/1335463</v>
      </c>
      <c r="F4685" s="2" t="s">
        <v>11</v>
      </c>
      <c r="G4685" s="2" t="s">
        <v>34934</v>
      </c>
      <c r="H4685" s="2" t="s">
        <v>34935</v>
      </c>
    </row>
    <row r="4686" spans="1:8" ht="25.05" customHeight="1" x14ac:dyDescent="0.25">
      <c r="A4686" s="2" t="s">
        <v>8</v>
      </c>
      <c r="B4686" s="2" t="str">
        <f>HYPERLINK("http://ts.21cn.com/tousu/show/id/1335464","闪银强制性购物，砍头息")</f>
        <v>闪银强制性购物，砍头息</v>
      </c>
      <c r="C4686" s="2" t="s">
        <v>9</v>
      </c>
      <c r="D4686" s="2" t="s">
        <v>10</v>
      </c>
      <c r="E4686" s="2" t="str">
        <f>HYPERLINK("http://ts.21cn.com/tousu/show/id/1335464","http://ts.21cn.com/tousu/show/id/1335464")</f>
        <v>http://ts.21cn.com/tousu/show/id/1335464</v>
      </c>
      <c r="F4686" s="2" t="s">
        <v>11</v>
      </c>
      <c r="G4686" s="2" t="s">
        <v>34932</v>
      </c>
      <c r="H4686" s="2" t="s">
        <v>34933</v>
      </c>
    </row>
    <row r="4687" spans="1:8" ht="25.05" customHeight="1" x14ac:dyDescent="0.25">
      <c r="A4687" s="2" t="s">
        <v>8</v>
      </c>
      <c r="B4687" s="2" t="str">
        <f>HYPERLINK("http://ts.21cn.com/tousu/show/id/1335465","投诉苹果商店Videoleap应用自动扣费")</f>
        <v>投诉苹果商店Videoleap应用自动扣费</v>
      </c>
      <c r="C4687" s="2" t="s">
        <v>9</v>
      </c>
      <c r="D4687" s="2" t="s">
        <v>10</v>
      </c>
      <c r="E4687" s="2" t="str">
        <f>HYPERLINK("http://ts.21cn.com/tousu/show/id/1335465","http://ts.21cn.com/tousu/show/id/1335465")</f>
        <v>http://ts.21cn.com/tousu/show/id/1335465</v>
      </c>
      <c r="F4687" s="2" t="s">
        <v>11</v>
      </c>
      <c r="G4687" s="2" t="s">
        <v>34930</v>
      </c>
      <c r="H4687" s="2" t="s">
        <v>34931</v>
      </c>
    </row>
    <row r="4688" spans="1:8" ht="25.05" customHeight="1" x14ac:dyDescent="0.25">
      <c r="A4688" s="2" t="s">
        <v>8</v>
      </c>
      <c r="B4688" s="2" t="str">
        <f>HYPERLINK("http://ts.21cn.com/tousu/show/id/1335466","广东腾大科技有限公司通过绑定快捷通未经允许直接扣款")</f>
        <v>广东腾大科技有限公司通过绑定快捷通未经允许直接扣款</v>
      </c>
      <c r="C4688" s="2" t="s">
        <v>9</v>
      </c>
      <c r="D4688" s="2" t="s">
        <v>10</v>
      </c>
      <c r="E4688" s="2" t="str">
        <f>HYPERLINK("http://ts.21cn.com/tousu/show/id/1335466","http://ts.21cn.com/tousu/show/id/1335466")</f>
        <v>http://ts.21cn.com/tousu/show/id/1335466</v>
      </c>
      <c r="F4688" s="2" t="s">
        <v>11</v>
      </c>
      <c r="G4688" s="2" t="s">
        <v>34928</v>
      </c>
      <c r="H4688" s="2" t="s">
        <v>34929</v>
      </c>
    </row>
    <row r="4689" spans="1:8" ht="25.05" customHeight="1" x14ac:dyDescent="0.25">
      <c r="A4689" s="2" t="s">
        <v>8</v>
      </c>
      <c r="B4689" s="2" t="str">
        <f>HYPERLINK("http://ts.21cn.com/tousu/show/id/1335468","交易猫收了保证金不退了")</f>
        <v>交易猫收了保证金不退了</v>
      </c>
      <c r="C4689" s="2" t="s">
        <v>9</v>
      </c>
      <c r="D4689" s="2" t="s">
        <v>10</v>
      </c>
      <c r="E4689" s="2" t="str">
        <f>HYPERLINK("http://ts.21cn.com/tousu/show/id/1335468","http://ts.21cn.com/tousu/show/id/1335468")</f>
        <v>http://ts.21cn.com/tousu/show/id/1335468</v>
      </c>
      <c r="F4689" s="2" t="s">
        <v>11</v>
      </c>
      <c r="G4689" s="2" t="s">
        <v>34926</v>
      </c>
      <c r="H4689" s="2" t="s">
        <v>34927</v>
      </c>
    </row>
    <row r="4690" spans="1:8" ht="25.05" customHeight="1" x14ac:dyDescent="0.25">
      <c r="A4690" s="2" t="s">
        <v>8</v>
      </c>
      <c r="B4690" s="2" t="str">
        <f>HYPERLINK("http://ts.21cn.com/tousu/show/id/1335467","投诉途牛旅游网由于天气原因航班取消给顾客造成损失由游客承担损失问题")</f>
        <v>投诉途牛旅游网由于天气原因航班取消给顾客造成损失由游客承担损失问题</v>
      </c>
      <c r="C4690" s="2" t="s">
        <v>9</v>
      </c>
      <c r="D4690" s="2" t="s">
        <v>10</v>
      </c>
      <c r="E4690" s="2" t="str">
        <f>HYPERLINK("http://ts.21cn.com/tousu/show/id/1335467","http://ts.21cn.com/tousu/show/id/1335467")</f>
        <v>http://ts.21cn.com/tousu/show/id/1335467</v>
      </c>
      <c r="F4690" s="2" t="s">
        <v>11</v>
      </c>
      <c r="G4690" s="2" t="s">
        <v>34924</v>
      </c>
      <c r="H4690" s="2" t="s">
        <v>34925</v>
      </c>
    </row>
    <row r="4691" spans="1:8" ht="25.05" customHeight="1" x14ac:dyDescent="0.25">
      <c r="A4691" s="2" t="s">
        <v>8</v>
      </c>
      <c r="B4691" s="2" t="str">
        <f>HYPERLINK("http://ts.21cn.com/tousu/show/id/1335469","51人品贷注销困难，无法解绑银行卡")</f>
        <v>51人品贷注销困难，无法解绑银行卡</v>
      </c>
      <c r="C4691" s="2" t="s">
        <v>9</v>
      </c>
      <c r="D4691" s="2" t="s">
        <v>10</v>
      </c>
      <c r="E4691" s="2" t="str">
        <f>HYPERLINK("http://ts.21cn.com/tousu/show/id/1335469","http://ts.21cn.com/tousu/show/id/1335469")</f>
        <v>http://ts.21cn.com/tousu/show/id/1335469</v>
      </c>
      <c r="F4691" s="2" t="s">
        <v>11</v>
      </c>
      <c r="G4691" s="2" t="s">
        <v>34922</v>
      </c>
      <c r="H4691" s="2" t="s">
        <v>34923</v>
      </c>
    </row>
    <row r="4692" spans="1:8" ht="25.05" customHeight="1" x14ac:dyDescent="0.25">
      <c r="A4692" s="2" t="s">
        <v>8</v>
      </c>
      <c r="B4692" s="2" t="str">
        <f>HYPERLINK("http://ts.21cn.com/tousu/show/id/1335471","来分期骚扰")</f>
        <v>来分期骚扰</v>
      </c>
      <c r="C4692" s="2" t="s">
        <v>9</v>
      </c>
      <c r="D4692" s="2" t="s">
        <v>10</v>
      </c>
      <c r="E4692" s="2" t="str">
        <f>HYPERLINK("http://ts.21cn.com/tousu/show/id/1335471","http://ts.21cn.com/tousu/show/id/1335471")</f>
        <v>http://ts.21cn.com/tousu/show/id/1335471</v>
      </c>
      <c r="F4692" s="2" t="s">
        <v>11</v>
      </c>
      <c r="G4692" s="2" t="s">
        <v>34920</v>
      </c>
      <c r="H4692" s="2" t="s">
        <v>34921</v>
      </c>
    </row>
    <row r="4693" spans="1:8" ht="25.05" customHeight="1" x14ac:dyDescent="0.25">
      <c r="A4693" s="2" t="s">
        <v>8</v>
      </c>
      <c r="B4693" s="2" t="str">
        <f>HYPERLINK("http://ts.21cn.com/tousu/show/id/1335470","普惠分期恶意扣款")</f>
        <v>普惠分期恶意扣款</v>
      </c>
      <c r="C4693" s="2" t="s">
        <v>9</v>
      </c>
      <c r="D4693" s="2" t="s">
        <v>10</v>
      </c>
      <c r="E4693" s="2" t="str">
        <f>HYPERLINK("http://ts.21cn.com/tousu/show/id/1335470","http://ts.21cn.com/tousu/show/id/1335470")</f>
        <v>http://ts.21cn.com/tousu/show/id/1335470</v>
      </c>
      <c r="F4693" s="2" t="s">
        <v>11</v>
      </c>
      <c r="G4693" s="2" t="s">
        <v>34918</v>
      </c>
      <c r="H4693" s="2" t="s">
        <v>34919</v>
      </c>
    </row>
    <row r="4694" spans="1:8" ht="25.05" customHeight="1" x14ac:dyDescent="0.25">
      <c r="A4694" s="2" t="s">
        <v>8</v>
      </c>
      <c r="B4694" s="2" t="str">
        <f>HYPERLINK("http://ts.21cn.com/tousu/show/id/1335472","腾讯不解决问题")</f>
        <v>腾讯不解决问题</v>
      </c>
      <c r="C4694" s="2" t="s">
        <v>9</v>
      </c>
      <c r="D4694" s="2" t="s">
        <v>10</v>
      </c>
      <c r="E4694" s="2" t="str">
        <f>HYPERLINK("http://ts.21cn.com/tousu/show/id/1335472","http://ts.21cn.com/tousu/show/id/1335472")</f>
        <v>http://ts.21cn.com/tousu/show/id/1335472</v>
      </c>
      <c r="F4694" s="2" t="s">
        <v>11</v>
      </c>
      <c r="G4694" s="2" t="s">
        <v>34916</v>
      </c>
      <c r="H4694" s="2" t="s">
        <v>34917</v>
      </c>
    </row>
    <row r="4695" spans="1:8" ht="25.05" customHeight="1" x14ac:dyDescent="0.25">
      <c r="A4695" s="2" t="s">
        <v>8</v>
      </c>
      <c r="B4695" s="2" t="str">
        <f>HYPERLINK("http://ts.21cn.com/tousu/show/id/1335473","好分期提前还款不减免利息及其他费用")</f>
        <v>好分期提前还款不减免利息及其他费用</v>
      </c>
      <c r="C4695" s="2" t="s">
        <v>9</v>
      </c>
      <c r="D4695" s="2" t="s">
        <v>10</v>
      </c>
      <c r="E4695" s="2" t="str">
        <f>HYPERLINK("http://ts.21cn.com/tousu/show/id/1335473","http://ts.21cn.com/tousu/show/id/1335473")</f>
        <v>http://ts.21cn.com/tousu/show/id/1335473</v>
      </c>
      <c r="F4695" s="2" t="s">
        <v>11</v>
      </c>
      <c r="G4695" s="2" t="s">
        <v>34914</v>
      </c>
      <c r="H4695" s="2" t="s">
        <v>34915</v>
      </c>
    </row>
    <row r="4696" spans="1:8" ht="25.05" customHeight="1" x14ac:dyDescent="0.25">
      <c r="A4696" s="2" t="s">
        <v>8</v>
      </c>
      <c r="B4696" s="2" t="str">
        <f>HYPERLINK("http://ts.21cn.com/tousu/show/id/1335475","无故扣款，没有任何说明")</f>
        <v>无故扣款，没有任何说明</v>
      </c>
      <c r="C4696" s="2" t="s">
        <v>34</v>
      </c>
      <c r="D4696" s="2" t="s">
        <v>10</v>
      </c>
      <c r="E4696" s="2" t="str">
        <f>HYPERLINK("http://ts.21cn.com/tousu/show/id/1335475","http://ts.21cn.com/tousu/show/id/1335475")</f>
        <v>http://ts.21cn.com/tousu/show/id/1335475</v>
      </c>
      <c r="F4696" s="2" t="s">
        <v>11</v>
      </c>
      <c r="G4696" s="2" t="s">
        <v>34912</v>
      </c>
      <c r="H4696" s="2" t="s">
        <v>34913</v>
      </c>
    </row>
    <row r="4697" spans="1:8" ht="25.05" customHeight="1" x14ac:dyDescent="0.25">
      <c r="A4697" s="2" t="s">
        <v>8</v>
      </c>
      <c r="B4697" s="2" t="str">
        <f>HYPERLINK("http://ts.21cn.com/tousu/show/id/1335476","支付宝方恶意催收及高额利息")</f>
        <v>支付宝方恶意催收及高额利息</v>
      </c>
      <c r="C4697" s="2" t="s">
        <v>9</v>
      </c>
      <c r="D4697" s="2" t="s">
        <v>10</v>
      </c>
      <c r="E4697" s="2" t="str">
        <f>HYPERLINK("http://ts.21cn.com/tousu/show/id/1335476","http://ts.21cn.com/tousu/show/id/1335476")</f>
        <v>http://ts.21cn.com/tousu/show/id/1335476</v>
      </c>
      <c r="F4697" s="2" t="s">
        <v>11</v>
      </c>
      <c r="G4697" s="2" t="s">
        <v>34910</v>
      </c>
      <c r="H4697" s="2" t="s">
        <v>34911</v>
      </c>
    </row>
    <row r="4698" spans="1:8" ht="25.05" customHeight="1" x14ac:dyDescent="0.25">
      <c r="A4698" s="2" t="s">
        <v>8</v>
      </c>
      <c r="B4698" s="2" t="str">
        <f>HYPERLINK("http://ts.21cn.com/tousu/show/id/1335477","浦发信用卡账单不合理")</f>
        <v>浦发信用卡账单不合理</v>
      </c>
      <c r="C4698" s="2" t="s">
        <v>34</v>
      </c>
      <c r="D4698" s="2" t="s">
        <v>10</v>
      </c>
      <c r="E4698" s="2" t="str">
        <f>HYPERLINK("http://ts.21cn.com/tousu/show/id/1335477","http://ts.21cn.com/tousu/show/id/1335477")</f>
        <v>http://ts.21cn.com/tousu/show/id/1335477</v>
      </c>
      <c r="F4698" s="2" t="s">
        <v>11</v>
      </c>
      <c r="G4698" s="2" t="s">
        <v>34908</v>
      </c>
      <c r="H4698" s="2" t="s">
        <v>34909</v>
      </c>
    </row>
    <row r="4699" spans="1:8" ht="25.05" customHeight="1" x14ac:dyDescent="0.25">
      <c r="A4699" s="2" t="s">
        <v>8</v>
      </c>
      <c r="B4699" s="2" t="str">
        <f>HYPERLINK("http://ts.21cn.com/tousu/show/id/1335478","隐瞒.强制消费")</f>
        <v>隐瞒.强制消费</v>
      </c>
      <c r="C4699" s="2" t="s">
        <v>9</v>
      </c>
      <c r="D4699" s="2" t="s">
        <v>10</v>
      </c>
      <c r="E4699" s="2" t="str">
        <f>HYPERLINK("http://ts.21cn.com/tousu/show/id/1335478","http://ts.21cn.com/tousu/show/id/1335478")</f>
        <v>http://ts.21cn.com/tousu/show/id/1335478</v>
      </c>
      <c r="F4699" s="2" t="s">
        <v>11</v>
      </c>
      <c r="G4699" s="2" t="s">
        <v>34906</v>
      </c>
      <c r="H4699" s="2" t="s">
        <v>34907</v>
      </c>
    </row>
    <row r="4700" spans="1:8" ht="25.05" customHeight="1" x14ac:dyDescent="0.25">
      <c r="A4700" s="2" t="s">
        <v>8</v>
      </c>
      <c r="B4700" s="2" t="str">
        <f>HYPERLINK("http://ts.21cn.com/tousu/show/id/1335479","南京市建邺区牵线缘婚庆服务中心为非法网站提供支付")</f>
        <v>南京市建邺区牵线缘婚庆服务中心为非法网站提供支付</v>
      </c>
      <c r="C4700" s="2" t="s">
        <v>9</v>
      </c>
      <c r="D4700" s="2" t="s">
        <v>10</v>
      </c>
      <c r="E4700" s="2" t="str">
        <f>HYPERLINK("http://ts.21cn.com/tousu/show/id/1335479","http://ts.21cn.com/tousu/show/id/1335479")</f>
        <v>http://ts.21cn.com/tousu/show/id/1335479</v>
      </c>
      <c r="F4700" s="2" t="s">
        <v>11</v>
      </c>
      <c r="G4700" s="2" t="s">
        <v>34904</v>
      </c>
      <c r="H4700" s="2" t="s">
        <v>34905</v>
      </c>
    </row>
    <row r="4701" spans="1:8" ht="25.05" customHeight="1" x14ac:dyDescent="0.25">
      <c r="A4701" s="2" t="s">
        <v>8</v>
      </c>
      <c r="B4701" s="2" t="str">
        <f>HYPERLINK("http://ts.21cn.com/tousu/show/id/1335480","擅自扣款不予退款")</f>
        <v>擅自扣款不予退款</v>
      </c>
      <c r="C4701" s="2" t="s">
        <v>9</v>
      </c>
      <c r="D4701" s="2" t="s">
        <v>10</v>
      </c>
      <c r="E4701" s="2" t="str">
        <f>HYPERLINK("http://ts.21cn.com/tousu/show/id/1335480","http://ts.21cn.com/tousu/show/id/1335480")</f>
        <v>http://ts.21cn.com/tousu/show/id/1335480</v>
      </c>
      <c r="F4701" s="2" t="s">
        <v>11</v>
      </c>
      <c r="G4701" s="2" t="s">
        <v>34902</v>
      </c>
      <c r="H4701" s="2" t="s">
        <v>34903</v>
      </c>
    </row>
    <row r="4702" spans="1:8" ht="25.05" customHeight="1" x14ac:dyDescent="0.25">
      <c r="A4702" s="2" t="s">
        <v>8</v>
      </c>
      <c r="B4702" s="2" t="str">
        <f>HYPERLINK("http://ts.21cn.com/tousu/show/id/1335481","下单48小时还没有到账，可是我的钱已经给过了")</f>
        <v>下单48小时还没有到账，可是我的钱已经给过了</v>
      </c>
      <c r="C4702" s="2" t="s">
        <v>9</v>
      </c>
      <c r="D4702" s="2" t="s">
        <v>10</v>
      </c>
      <c r="E4702" s="2" t="str">
        <f>HYPERLINK("http://ts.21cn.com/tousu/show/id/1335481","http://ts.21cn.com/tousu/show/id/1335481")</f>
        <v>http://ts.21cn.com/tousu/show/id/1335481</v>
      </c>
      <c r="F4702" s="2" t="s">
        <v>11</v>
      </c>
      <c r="G4702" s="2" t="s">
        <v>34900</v>
      </c>
      <c r="H4702" s="2" t="s">
        <v>34901</v>
      </c>
    </row>
    <row r="4703" spans="1:8" ht="25.05" customHeight="1" x14ac:dyDescent="0.25">
      <c r="A4703" s="2" t="s">
        <v>8</v>
      </c>
      <c r="B4703" s="2" t="str">
        <f>HYPERLINK("http://ts.21cn.com/tousu/show/id/1335483","利息太高")</f>
        <v>利息太高</v>
      </c>
      <c r="C4703" s="2" t="s">
        <v>9</v>
      </c>
      <c r="D4703" s="2" t="s">
        <v>10</v>
      </c>
      <c r="E4703" s="2" t="str">
        <f>HYPERLINK("http://ts.21cn.com/tousu/show/id/1335483","http://ts.21cn.com/tousu/show/id/1335483")</f>
        <v>http://ts.21cn.com/tousu/show/id/1335483</v>
      </c>
      <c r="F4703" s="2" t="s">
        <v>11</v>
      </c>
      <c r="G4703" s="2" t="s">
        <v>34898</v>
      </c>
      <c r="H4703" s="2" t="s">
        <v>34899</v>
      </c>
    </row>
    <row r="4704" spans="1:8" ht="25.05" customHeight="1" x14ac:dyDescent="0.25">
      <c r="A4704" s="2" t="s">
        <v>8</v>
      </c>
      <c r="B4704" s="2" t="str">
        <f>HYPERLINK("http://ts.21cn.com/tousu/show/id/1335482","百事普惠从我银行卡里私自扣款299")</f>
        <v>百事普惠从我银行卡里私自扣款299</v>
      </c>
      <c r="C4704" s="2" t="s">
        <v>9</v>
      </c>
      <c r="D4704" s="2" t="s">
        <v>10</v>
      </c>
      <c r="E4704" s="2" t="str">
        <f>HYPERLINK("http://ts.21cn.com/tousu/show/id/1335482","http://ts.21cn.com/tousu/show/id/1335482")</f>
        <v>http://ts.21cn.com/tousu/show/id/1335482</v>
      </c>
      <c r="F4704" s="2" t="s">
        <v>11</v>
      </c>
      <c r="G4704" s="2" t="s">
        <v>34896</v>
      </c>
      <c r="H4704" s="2" t="s">
        <v>34897</v>
      </c>
    </row>
    <row r="4705" spans="1:8" ht="25.05" customHeight="1" x14ac:dyDescent="0.25">
      <c r="A4705" s="2" t="s">
        <v>8</v>
      </c>
      <c r="B4705" s="2" t="str">
        <f>HYPERLINK("http://ts.21cn.com/tousu/show/id/1335485","杭州义牛网络51人品贷发放高利贷给在校学生。")</f>
        <v>杭州义牛网络51人品贷发放高利贷给在校学生。</v>
      </c>
      <c r="C4705" s="2" t="s">
        <v>9</v>
      </c>
      <c r="D4705" s="2" t="s">
        <v>10</v>
      </c>
      <c r="E4705" s="2" t="str">
        <f>HYPERLINK("http://ts.21cn.com/tousu/show/id/1335485","http://ts.21cn.com/tousu/show/id/1335485")</f>
        <v>http://ts.21cn.com/tousu/show/id/1335485</v>
      </c>
      <c r="F4705" s="2" t="s">
        <v>11</v>
      </c>
      <c r="G4705" s="2" t="s">
        <v>34894</v>
      </c>
      <c r="H4705" s="2" t="s">
        <v>34895</v>
      </c>
    </row>
    <row r="4706" spans="1:8" ht="25.05" customHeight="1" x14ac:dyDescent="0.25">
      <c r="A4706" s="2" t="s">
        <v>8</v>
      </c>
      <c r="B4706" s="2" t="str">
        <f>HYPERLINK("http://ts.21cn.com/tousu/show/id/1335484","泄露个人信息资料，爆通讯录")</f>
        <v>泄露个人信息资料，爆通讯录</v>
      </c>
      <c r="C4706" s="2" t="s">
        <v>9</v>
      </c>
      <c r="D4706" s="2" t="s">
        <v>10</v>
      </c>
      <c r="E4706" s="2" t="str">
        <f>HYPERLINK("http://ts.21cn.com/tousu/show/id/1335484","http://ts.21cn.com/tousu/show/id/1335484")</f>
        <v>http://ts.21cn.com/tousu/show/id/1335484</v>
      </c>
      <c r="F4706" s="2" t="s">
        <v>11</v>
      </c>
      <c r="G4706" s="2" t="s">
        <v>34892</v>
      </c>
      <c r="H4706" s="2" t="s">
        <v>34893</v>
      </c>
    </row>
    <row r="4707" spans="1:8" ht="25.05" customHeight="1" x14ac:dyDescent="0.25">
      <c r="A4707" s="2" t="s">
        <v>8</v>
      </c>
      <c r="B4707" s="2" t="str">
        <f>HYPERLINK("http://ts.21cn.com/tousu/show/id/1335486","工行账户莫名被扣款299元")</f>
        <v>工行账户莫名被扣款299元</v>
      </c>
      <c r="C4707" s="2" t="s">
        <v>34</v>
      </c>
      <c r="D4707" s="2" t="s">
        <v>10</v>
      </c>
      <c r="E4707" s="2" t="str">
        <f>HYPERLINK("http://ts.21cn.com/tousu/show/id/1335486","http://ts.21cn.com/tousu/show/id/1335486")</f>
        <v>http://ts.21cn.com/tousu/show/id/1335486</v>
      </c>
      <c r="F4707" s="2" t="s">
        <v>11</v>
      </c>
      <c r="G4707" s="2" t="s">
        <v>34890</v>
      </c>
      <c r="H4707" s="2" t="s">
        <v>34891</v>
      </c>
    </row>
    <row r="4708" spans="1:8" ht="25.05" customHeight="1" x14ac:dyDescent="0.25">
      <c r="A4708" s="2" t="s">
        <v>8</v>
      </c>
      <c r="B4708" s="2" t="str">
        <f>HYPERLINK("http://ts.21cn.com/tousu/show/id/1335487","招联好期贷霸道蛮不讲理")</f>
        <v>招联好期贷霸道蛮不讲理</v>
      </c>
      <c r="C4708" s="2" t="s">
        <v>9</v>
      </c>
      <c r="D4708" s="2" t="s">
        <v>10</v>
      </c>
      <c r="E4708" s="2" t="str">
        <f>HYPERLINK("http://ts.21cn.com/tousu/show/id/1335487","http://ts.21cn.com/tousu/show/id/1335487")</f>
        <v>http://ts.21cn.com/tousu/show/id/1335487</v>
      </c>
      <c r="F4708" s="2" t="s">
        <v>11</v>
      </c>
      <c r="G4708" s="2" t="s">
        <v>34887</v>
      </c>
      <c r="H4708" s="2" t="s">
        <v>34888</v>
      </c>
    </row>
    <row r="4709" spans="1:8" ht="25.05" customHeight="1" x14ac:dyDescent="0.25">
      <c r="A4709" s="2" t="s">
        <v>8</v>
      </c>
      <c r="B4709" s="2" t="str">
        <f>HYPERLINK("http://ts.21cn.com/tousu/show/id/1335489","协商还款")</f>
        <v>协商还款</v>
      </c>
      <c r="C4709" s="2" t="s">
        <v>9</v>
      </c>
      <c r="D4709" s="2" t="s">
        <v>10</v>
      </c>
      <c r="E4709" s="2" t="str">
        <f>HYPERLINK("http://ts.21cn.com/tousu/show/id/1335489","http://ts.21cn.com/tousu/show/id/1335489")</f>
        <v>http://ts.21cn.com/tousu/show/id/1335489</v>
      </c>
      <c r="F4709" s="2" t="s">
        <v>11</v>
      </c>
      <c r="G4709" s="2" t="s">
        <v>34887</v>
      </c>
      <c r="H4709" s="2" t="s">
        <v>34889</v>
      </c>
    </row>
    <row r="4710" spans="1:8" ht="25.05" customHeight="1" x14ac:dyDescent="0.25">
      <c r="A4710" s="2" t="s">
        <v>8</v>
      </c>
      <c r="B4710" s="2" t="str">
        <f>HYPERLINK("http://ts.21cn.com/tousu/show/id/1335488","严重骚扰")</f>
        <v>严重骚扰</v>
      </c>
      <c r="C4710" s="2" t="s">
        <v>9</v>
      </c>
      <c r="D4710" s="2" t="s">
        <v>10</v>
      </c>
      <c r="E4710" s="2" t="str">
        <f>HYPERLINK("http://ts.21cn.com/tousu/show/id/1335488","http://ts.21cn.com/tousu/show/id/1335488")</f>
        <v>http://ts.21cn.com/tousu/show/id/1335488</v>
      </c>
      <c r="F4710" s="2" t="s">
        <v>11</v>
      </c>
      <c r="G4710" s="2" t="s">
        <v>34885</v>
      </c>
      <c r="H4710" s="2" t="s">
        <v>34886</v>
      </c>
    </row>
    <row r="4711" spans="1:8" ht="25.05" customHeight="1" x14ac:dyDescent="0.25">
      <c r="A4711" s="2" t="s">
        <v>8</v>
      </c>
      <c r="B4711" s="2" t="str">
        <f>HYPERLINK("http://ts.21cn.com/tousu/show/id/1335490","飞猪卖家虚假订单，拒绝退款")</f>
        <v>飞猪卖家虚假订单，拒绝退款</v>
      </c>
      <c r="C4711" s="2" t="s">
        <v>9</v>
      </c>
      <c r="D4711" s="2" t="s">
        <v>10</v>
      </c>
      <c r="E4711" s="2" t="str">
        <f>HYPERLINK("http://ts.21cn.com/tousu/show/id/1335490","http://ts.21cn.com/tousu/show/id/1335490")</f>
        <v>http://ts.21cn.com/tousu/show/id/1335490</v>
      </c>
      <c r="F4711" s="2" t="s">
        <v>11</v>
      </c>
      <c r="G4711" s="2" t="s">
        <v>34883</v>
      </c>
      <c r="H4711" s="2" t="s">
        <v>34884</v>
      </c>
    </row>
    <row r="4712" spans="1:8" ht="25.05" customHeight="1" x14ac:dyDescent="0.25">
      <c r="A4712" s="2" t="s">
        <v>8</v>
      </c>
      <c r="B4712" s="2" t="str">
        <f>HYPERLINK("http://ts.21cn.com/tousu/show/id/1222039","账户余额提现不了")</f>
        <v>账户余额提现不了</v>
      </c>
      <c r="C4712" s="2" t="s">
        <v>34</v>
      </c>
      <c r="D4712" s="2" t="s">
        <v>10</v>
      </c>
      <c r="E4712" s="2" t="str">
        <f>HYPERLINK("http://ts.21cn.com/tousu/show/id/1222039","http://ts.21cn.com/tousu/show/id/1222039")</f>
        <v>http://ts.21cn.com/tousu/show/id/1222039</v>
      </c>
      <c r="F4712" s="2" t="s">
        <v>11</v>
      </c>
      <c r="G4712" s="2" t="s">
        <v>34881</v>
      </c>
      <c r="H4712" s="2" t="s">
        <v>34882</v>
      </c>
    </row>
    <row r="4713" spans="1:8" ht="25.05" customHeight="1" x14ac:dyDescent="0.25">
      <c r="A4713" s="2" t="s">
        <v>8</v>
      </c>
      <c r="B4713" s="2" t="str">
        <f>HYPERLINK("http://ts.21cn.com/tousu/show/id/1335492","暴力催收你我贷")</f>
        <v>暴力催收你我贷</v>
      </c>
      <c r="C4713" s="2" t="s">
        <v>9</v>
      </c>
      <c r="D4713" s="2" t="s">
        <v>10</v>
      </c>
      <c r="E4713" s="2" t="str">
        <f>HYPERLINK("http://ts.21cn.com/tousu/show/id/1335492","http://ts.21cn.com/tousu/show/id/1335492")</f>
        <v>http://ts.21cn.com/tousu/show/id/1335492</v>
      </c>
      <c r="F4713" s="2" t="s">
        <v>11</v>
      </c>
      <c r="G4713" s="2" t="s">
        <v>34879</v>
      </c>
      <c r="H4713" s="2" t="s">
        <v>34880</v>
      </c>
    </row>
    <row r="4714" spans="1:8" ht="25.05" customHeight="1" x14ac:dyDescent="0.25">
      <c r="A4714" s="2" t="s">
        <v>8</v>
      </c>
      <c r="B4714" s="2" t="str">
        <f>HYPERLINK("http://ts.21cn.com/tousu/show/id/1335493","立刻出行APP保证金退款申请2019-05-20申请到2019-10-04还未成功")</f>
        <v>立刻出行APP保证金退款申请2019-05-20申请到2019-10-04还未成功</v>
      </c>
      <c r="C4714" s="2" t="s">
        <v>34</v>
      </c>
      <c r="D4714" s="2" t="s">
        <v>10</v>
      </c>
      <c r="E4714" s="2" t="str">
        <f>HYPERLINK("http://ts.21cn.com/tousu/show/id/1335493","http://ts.21cn.com/tousu/show/id/1335493")</f>
        <v>http://ts.21cn.com/tousu/show/id/1335493</v>
      </c>
      <c r="F4714" s="2" t="s">
        <v>11</v>
      </c>
      <c r="G4714" s="2" t="s">
        <v>34877</v>
      </c>
      <c r="H4714" s="2" t="s">
        <v>34878</v>
      </c>
    </row>
    <row r="4715" spans="1:8" ht="25.05" customHeight="1" x14ac:dyDescent="0.25">
      <c r="A4715" s="2" t="s">
        <v>8</v>
      </c>
      <c r="B4715" s="2" t="str">
        <f>HYPERLINK("http://ts.21cn.com/tousu/show/id/1335494","智享贷暴力催收")</f>
        <v>智享贷暴力催收</v>
      </c>
      <c r="C4715" s="2" t="s">
        <v>9</v>
      </c>
      <c r="D4715" s="2" t="s">
        <v>10</v>
      </c>
      <c r="E4715" s="2" t="str">
        <f>HYPERLINK("http://ts.21cn.com/tousu/show/id/1335494","http://ts.21cn.com/tousu/show/id/1335494")</f>
        <v>http://ts.21cn.com/tousu/show/id/1335494</v>
      </c>
      <c r="F4715" s="2" t="s">
        <v>11</v>
      </c>
      <c r="G4715" s="2" t="s">
        <v>34875</v>
      </c>
      <c r="H4715" s="2" t="s">
        <v>34876</v>
      </c>
    </row>
    <row r="4716" spans="1:8" ht="25.05" customHeight="1" x14ac:dyDescent="0.25">
      <c r="A4716" s="2" t="s">
        <v>8</v>
      </c>
      <c r="B4716" s="2" t="str">
        <f>HYPERLINK("http://ts.21cn.com/tousu/show/id/1335495","万达普惠骚扰")</f>
        <v>万达普惠骚扰</v>
      </c>
      <c r="C4716" s="2" t="s">
        <v>9</v>
      </c>
      <c r="D4716" s="2" t="s">
        <v>10</v>
      </c>
      <c r="E4716" s="2" t="str">
        <f>HYPERLINK("http://ts.21cn.com/tousu/show/id/1335495","http://ts.21cn.com/tousu/show/id/1335495")</f>
        <v>http://ts.21cn.com/tousu/show/id/1335495</v>
      </c>
      <c r="F4716" s="2" t="s">
        <v>11</v>
      </c>
      <c r="G4716" s="2" t="s">
        <v>34873</v>
      </c>
      <c r="H4716" s="2" t="s">
        <v>34874</v>
      </c>
    </row>
    <row r="4717" spans="1:8" ht="25.05" customHeight="1" x14ac:dyDescent="0.25">
      <c r="A4717" s="2" t="s">
        <v>8</v>
      </c>
      <c r="B4717" s="2" t="str">
        <f>HYPERLINK("http://ts.21cn.com/tousu/show/id/1335496","招联金融协商还款时间暴力催收")</f>
        <v>招联金融协商还款时间暴力催收</v>
      </c>
      <c r="C4717" s="2" t="s">
        <v>9</v>
      </c>
      <c r="D4717" s="2" t="s">
        <v>10</v>
      </c>
      <c r="E4717" s="2" t="str">
        <f>HYPERLINK("http://ts.21cn.com/tousu/show/id/1335496","http://ts.21cn.com/tousu/show/id/1335496")</f>
        <v>http://ts.21cn.com/tousu/show/id/1335496</v>
      </c>
      <c r="F4717" s="2" t="s">
        <v>11</v>
      </c>
      <c r="G4717" s="2" t="s">
        <v>34871</v>
      </c>
      <c r="H4717" s="2" t="s">
        <v>34872</v>
      </c>
    </row>
    <row r="4718" spans="1:8" ht="25.05" customHeight="1" x14ac:dyDescent="0.25">
      <c r="A4718" s="2" t="s">
        <v>8</v>
      </c>
      <c r="B4718" s="2" t="str">
        <f>HYPERLINK("http://ts.21cn.com/tousu/show/id/1335498","莫名被扣296服务费")</f>
        <v>莫名被扣296服务费</v>
      </c>
      <c r="C4718" s="2" t="s">
        <v>34</v>
      </c>
      <c r="D4718" s="2" t="s">
        <v>10</v>
      </c>
      <c r="E4718" s="2" t="str">
        <f>HYPERLINK("http://ts.21cn.com/tousu/show/id/1335498","http://ts.21cn.com/tousu/show/id/1335498")</f>
        <v>http://ts.21cn.com/tousu/show/id/1335498</v>
      </c>
      <c r="F4718" s="2" t="s">
        <v>11</v>
      </c>
      <c r="G4718" s="2" t="s">
        <v>34869</v>
      </c>
      <c r="H4718" s="2" t="s">
        <v>34870</v>
      </c>
    </row>
    <row r="4719" spans="1:8" ht="25.05" customHeight="1" x14ac:dyDescent="0.25">
      <c r="A4719" s="2" t="s">
        <v>8</v>
      </c>
      <c r="B4719" s="2" t="str">
        <f>HYPERLINK("http://ts.21cn.com/tousu/show/id/1335499","王者钱包，老头易，催收威胁爆通讯录，并叫出通讯录里联系人")</f>
        <v>王者钱包，老头易，催收威胁爆通讯录，并叫出通讯录里联系人</v>
      </c>
      <c r="C4719" s="2" t="s">
        <v>9</v>
      </c>
      <c r="D4719" s="2" t="s">
        <v>10</v>
      </c>
      <c r="E4719" s="2" t="str">
        <f>HYPERLINK("http://ts.21cn.com/tousu/show/id/1335499","http://ts.21cn.com/tousu/show/id/1335499")</f>
        <v>http://ts.21cn.com/tousu/show/id/1335499</v>
      </c>
      <c r="F4719" s="2" t="s">
        <v>11</v>
      </c>
      <c r="G4719" s="2" t="s">
        <v>34867</v>
      </c>
      <c r="H4719" s="2" t="s">
        <v>34868</v>
      </c>
    </row>
    <row r="4720" spans="1:8" ht="25.05" customHeight="1" x14ac:dyDescent="0.25">
      <c r="A4720" s="2" t="s">
        <v>8</v>
      </c>
      <c r="B4720" s="2" t="str">
        <f>HYPERLINK("http://ts.21cn.com/tousu/show/id/1335502","网贷高利贷全部关闭")</f>
        <v>网贷高利贷全部关闭</v>
      </c>
      <c r="C4720" s="2" t="s">
        <v>9</v>
      </c>
      <c r="D4720" s="2" t="s">
        <v>10</v>
      </c>
      <c r="E4720" s="2" t="str">
        <f>HYPERLINK("http://ts.21cn.com/tousu/show/id/1335502","http://ts.21cn.com/tousu/show/id/1335502")</f>
        <v>http://ts.21cn.com/tousu/show/id/1335502</v>
      </c>
      <c r="F4720" s="2" t="s">
        <v>11</v>
      </c>
      <c r="G4720" s="2" t="s">
        <v>34865</v>
      </c>
      <c r="H4720" s="2" t="s">
        <v>34866</v>
      </c>
    </row>
    <row r="4721" spans="1:8" ht="25.05" customHeight="1" x14ac:dyDescent="0.25">
      <c r="A4721" s="2" t="s">
        <v>8</v>
      </c>
      <c r="B4721" s="2" t="str">
        <f>HYPERLINK("http://ts.21cn.com/tousu/show/id/1335503","ofo小黄车不退押金，客服电话打不通")</f>
        <v>ofo小黄车不退押金，客服电话打不通</v>
      </c>
      <c r="C4721" s="2" t="s">
        <v>9</v>
      </c>
      <c r="D4721" s="2" t="s">
        <v>10</v>
      </c>
      <c r="E4721" s="2" t="str">
        <f>HYPERLINK("http://ts.21cn.com/tousu/show/id/1335503","http://ts.21cn.com/tousu/show/id/1335503")</f>
        <v>http://ts.21cn.com/tousu/show/id/1335503</v>
      </c>
      <c r="F4721" s="2" t="s">
        <v>11</v>
      </c>
      <c r="G4721" s="2" t="s">
        <v>34863</v>
      </c>
      <c r="H4721" s="2" t="s">
        <v>34864</v>
      </c>
    </row>
    <row r="4722" spans="1:8" ht="25.05" customHeight="1" x14ac:dyDescent="0.25">
      <c r="A4722" s="2" t="s">
        <v>8</v>
      </c>
      <c r="B4722" s="2" t="str">
        <f>HYPERLINK("http://ts.21cn.com/tousu/show/id/1335505","来分期诱导性借款，")</f>
        <v>来分期诱导性借款，</v>
      </c>
      <c r="C4722" s="2" t="s">
        <v>9</v>
      </c>
      <c r="D4722" s="2" t="s">
        <v>10</v>
      </c>
      <c r="E4722" s="2" t="str">
        <f>HYPERLINK("http://ts.21cn.com/tousu/show/id/1335505","http://ts.21cn.com/tousu/show/id/1335505")</f>
        <v>http://ts.21cn.com/tousu/show/id/1335505</v>
      </c>
      <c r="F4722" s="2" t="s">
        <v>11</v>
      </c>
      <c r="G4722" s="2" t="s">
        <v>34861</v>
      </c>
      <c r="H4722" s="2" t="s">
        <v>34862</v>
      </c>
    </row>
    <row r="4723" spans="1:8" ht="25.05" customHeight="1" x14ac:dyDescent="0.25">
      <c r="A4723" s="2" t="s">
        <v>8</v>
      </c>
      <c r="B4723" s="2" t="str">
        <f>HYPERLINK("http://ts.21cn.com/tousu/show/id/1335506","信用星球砍头息")</f>
        <v>信用星球砍头息</v>
      </c>
      <c r="C4723" s="2" t="s">
        <v>9</v>
      </c>
      <c r="D4723" s="2" t="s">
        <v>10</v>
      </c>
      <c r="E4723" s="2" t="str">
        <f>HYPERLINK("http://ts.21cn.com/tousu/show/id/1335506","http://ts.21cn.com/tousu/show/id/1335506")</f>
        <v>http://ts.21cn.com/tousu/show/id/1335506</v>
      </c>
      <c r="F4723" s="2" t="s">
        <v>11</v>
      </c>
      <c r="G4723" s="2" t="s">
        <v>34859</v>
      </c>
      <c r="H4723" s="2" t="s">
        <v>34860</v>
      </c>
    </row>
    <row r="4724" spans="1:8" ht="25.05" customHeight="1" x14ac:dyDescent="0.25">
      <c r="A4724" s="2" t="s">
        <v>8</v>
      </c>
      <c r="B4724" s="2" t="str">
        <f>HYPERLINK("http://ts.21cn.com/tousu/show/id/1335507","小浦优客未经同意扣款")</f>
        <v>小浦优客未经同意扣款</v>
      </c>
      <c r="C4724" s="2" t="s">
        <v>9</v>
      </c>
      <c r="D4724" s="2" t="s">
        <v>10</v>
      </c>
      <c r="E4724" s="2" t="str">
        <f>HYPERLINK("http://ts.21cn.com/tousu/show/id/1335507","http://ts.21cn.com/tousu/show/id/1335507")</f>
        <v>http://ts.21cn.com/tousu/show/id/1335507</v>
      </c>
      <c r="F4724" s="2" t="s">
        <v>11</v>
      </c>
      <c r="G4724" s="2" t="s">
        <v>34857</v>
      </c>
      <c r="H4724" s="2" t="s">
        <v>34858</v>
      </c>
    </row>
    <row r="4725" spans="1:8" ht="25.05" customHeight="1" x14ac:dyDescent="0.25">
      <c r="A4725" s="2" t="s">
        <v>8</v>
      </c>
      <c r="B4725" s="2" t="str">
        <f>HYPERLINK("http://ts.21cn.com/tousu/show/id/1335508","点点通恶意催款联系不到客服")</f>
        <v>点点通恶意催款联系不到客服</v>
      </c>
      <c r="C4725" s="2" t="s">
        <v>9</v>
      </c>
      <c r="D4725" s="2" t="s">
        <v>10</v>
      </c>
      <c r="E4725" s="2" t="str">
        <f>HYPERLINK("http://ts.21cn.com/tousu/show/id/1335508","http://ts.21cn.com/tousu/show/id/1335508")</f>
        <v>http://ts.21cn.com/tousu/show/id/1335508</v>
      </c>
      <c r="F4725" s="2" t="s">
        <v>11</v>
      </c>
      <c r="G4725" s="2" t="s">
        <v>34855</v>
      </c>
      <c r="H4725" s="2" t="s">
        <v>34856</v>
      </c>
    </row>
    <row r="4726" spans="1:8" ht="25.05" customHeight="1" x14ac:dyDescent="0.25">
      <c r="A4726" s="2" t="s">
        <v>8</v>
      </c>
      <c r="B4726" s="2" t="str">
        <f>HYPERLINK("http://ts.21cn.com/tousu/show/id/1335509","套路贷")</f>
        <v>套路贷</v>
      </c>
      <c r="C4726" s="2" t="s">
        <v>9</v>
      </c>
      <c r="D4726" s="2" t="s">
        <v>10</v>
      </c>
      <c r="E4726" s="2" t="str">
        <f>HYPERLINK("http://ts.21cn.com/tousu/show/id/1335509","http://ts.21cn.com/tousu/show/id/1335509")</f>
        <v>http://ts.21cn.com/tousu/show/id/1335509</v>
      </c>
      <c r="F4726" s="2" t="s">
        <v>11</v>
      </c>
      <c r="G4726" s="2" t="s">
        <v>34853</v>
      </c>
      <c r="H4726" s="2" t="s">
        <v>34854</v>
      </c>
    </row>
    <row r="4727" spans="1:8" ht="25.05" customHeight="1" x14ac:dyDescent="0.25">
      <c r="A4727" s="2" t="s">
        <v>8</v>
      </c>
      <c r="B4727" s="2" t="str">
        <f>HYPERLINK("http://ts.21cn.com/tousu/show/id/1335510","用钱宝套路贷")</f>
        <v>用钱宝套路贷</v>
      </c>
      <c r="C4727" s="2" t="s">
        <v>9</v>
      </c>
      <c r="D4727" s="2" t="s">
        <v>10</v>
      </c>
      <c r="E4727" s="2" t="str">
        <f>HYPERLINK("http://ts.21cn.com/tousu/show/id/1335510","http://ts.21cn.com/tousu/show/id/1335510")</f>
        <v>http://ts.21cn.com/tousu/show/id/1335510</v>
      </c>
      <c r="F4727" s="2" t="s">
        <v>11</v>
      </c>
      <c r="G4727" s="2" t="s">
        <v>34851</v>
      </c>
      <c r="H4727" s="2" t="s">
        <v>34852</v>
      </c>
    </row>
    <row r="4728" spans="1:8" ht="25.05" customHeight="1" x14ac:dyDescent="0.25">
      <c r="A4728" s="2" t="s">
        <v>8</v>
      </c>
      <c r="B4728" s="2" t="str">
        <f>HYPERLINK("http://ts.21cn.com/tousu/show/id/1335437","钱站（套路贷）高利贷暴力催收")</f>
        <v>钱站（套路贷）高利贷暴力催收</v>
      </c>
      <c r="C4728" s="2" t="s">
        <v>9</v>
      </c>
      <c r="D4728" s="2" t="s">
        <v>10</v>
      </c>
      <c r="E4728" s="2" t="str">
        <f>HYPERLINK("http://ts.21cn.com/tousu/show/id/1335437","http://ts.21cn.com/tousu/show/id/1335437")</f>
        <v>http://ts.21cn.com/tousu/show/id/1335437</v>
      </c>
      <c r="F4728" s="2" t="s">
        <v>11</v>
      </c>
      <c r="G4728" s="2" t="s">
        <v>34849</v>
      </c>
      <c r="H4728" s="2" t="s">
        <v>34850</v>
      </c>
    </row>
    <row r="4729" spans="1:8" ht="25.05" customHeight="1" x14ac:dyDescent="0.25">
      <c r="A4729" s="2" t="s">
        <v>8</v>
      </c>
      <c r="B4729" s="2" t="str">
        <f>HYPERLINK("http://ts.21cn.com/tousu/show/id/1335511","钱站高利贷阴阳合同")</f>
        <v>钱站高利贷阴阳合同</v>
      </c>
      <c r="C4729" s="2" t="s">
        <v>9</v>
      </c>
      <c r="D4729" s="2" t="s">
        <v>10</v>
      </c>
      <c r="E4729" s="2" t="str">
        <f>HYPERLINK("http://ts.21cn.com/tousu/show/id/1335511","http://ts.21cn.com/tousu/show/id/1335511")</f>
        <v>http://ts.21cn.com/tousu/show/id/1335511</v>
      </c>
      <c r="F4729" s="2" t="s">
        <v>11</v>
      </c>
      <c r="G4729" s="2" t="s">
        <v>34847</v>
      </c>
      <c r="H4729" s="2" t="s">
        <v>34848</v>
      </c>
    </row>
    <row r="4730" spans="1:8" ht="25.05" customHeight="1" x14ac:dyDescent="0.25">
      <c r="A4730" s="2" t="s">
        <v>8</v>
      </c>
      <c r="B4730" s="2" t="str">
        <f>HYPERLINK("http://ts.21cn.com/tousu/show/id/1335514","蟹老弟收取高额砍头息APP下架导致逾期协商不接受")</f>
        <v>蟹老弟收取高额砍头息APP下架导致逾期协商不接受</v>
      </c>
      <c r="C4730" s="2" t="s">
        <v>9</v>
      </c>
      <c r="D4730" s="2" t="s">
        <v>10</v>
      </c>
      <c r="E4730" s="2" t="str">
        <f>HYPERLINK("http://ts.21cn.com/tousu/show/id/1335514","http://ts.21cn.com/tousu/show/id/1335514")</f>
        <v>http://ts.21cn.com/tousu/show/id/1335514</v>
      </c>
      <c r="F4730" s="2" t="s">
        <v>11</v>
      </c>
      <c r="G4730" s="2" t="s">
        <v>34844</v>
      </c>
      <c r="H4730" s="2" t="s">
        <v>34845</v>
      </c>
    </row>
    <row r="4731" spans="1:8" ht="25.05" customHeight="1" x14ac:dyDescent="0.25">
      <c r="A4731" s="2" t="s">
        <v>8</v>
      </c>
      <c r="B4731" s="2" t="str">
        <f>HYPERLINK("http://ts.21cn.com/tousu/show/id/1335513","新办手机号遭到滴滴金融狂轰滥炸")</f>
        <v>新办手机号遭到滴滴金融狂轰滥炸</v>
      </c>
      <c r="C4731" s="2" t="s">
        <v>9</v>
      </c>
      <c r="D4731" s="2" t="s">
        <v>10</v>
      </c>
      <c r="E4731" s="2" t="str">
        <f>HYPERLINK("http://ts.21cn.com/tousu/show/id/1335513","http://ts.21cn.com/tousu/show/id/1335513")</f>
        <v>http://ts.21cn.com/tousu/show/id/1335513</v>
      </c>
      <c r="F4731" s="2" t="s">
        <v>11</v>
      </c>
      <c r="G4731" s="2" t="s">
        <v>34844</v>
      </c>
      <c r="H4731" s="2" t="s">
        <v>34846</v>
      </c>
    </row>
    <row r="4732" spans="1:8" ht="25.05" customHeight="1" x14ac:dyDescent="0.25">
      <c r="A4732" s="2" t="s">
        <v>8</v>
      </c>
      <c r="B4732" s="2" t="str">
        <f>HYPERLINK("http://ts.21cn.com/tousu/show/id/1335515","立借树林分期高额砍头息")</f>
        <v>立借树林分期高额砍头息</v>
      </c>
      <c r="C4732" s="2" t="s">
        <v>9</v>
      </c>
      <c r="D4732" s="2" t="s">
        <v>10</v>
      </c>
      <c r="E4732" s="2" t="str">
        <f>HYPERLINK("http://ts.21cn.com/tousu/show/id/1335515","http://ts.21cn.com/tousu/show/id/1335515")</f>
        <v>http://ts.21cn.com/tousu/show/id/1335515</v>
      </c>
      <c r="F4732" s="2" t="s">
        <v>11</v>
      </c>
      <c r="G4732" s="2" t="s">
        <v>34842</v>
      </c>
      <c r="H4732" s="2" t="s">
        <v>34843</v>
      </c>
    </row>
    <row r="4733" spans="1:8" ht="25.05" customHeight="1" x14ac:dyDescent="0.25">
      <c r="A4733" s="2" t="s">
        <v>8</v>
      </c>
      <c r="B4733" s="2" t="str">
        <f>HYPERLINK("http://ts.21cn.com/tousu/show/id/1335517","随寓公寓拖欠押金，莫名扣除卫生费")</f>
        <v>随寓公寓拖欠押金，莫名扣除卫生费</v>
      </c>
      <c r="C4733" s="2" t="s">
        <v>9</v>
      </c>
      <c r="D4733" s="2" t="s">
        <v>10</v>
      </c>
      <c r="E4733" s="2" t="str">
        <f>HYPERLINK("http://ts.21cn.com/tousu/show/id/1335517","http://ts.21cn.com/tousu/show/id/1335517")</f>
        <v>http://ts.21cn.com/tousu/show/id/1335517</v>
      </c>
      <c r="F4733" s="2" t="s">
        <v>11</v>
      </c>
      <c r="G4733" s="2" t="s">
        <v>34840</v>
      </c>
      <c r="H4733" s="2" t="s">
        <v>34841</v>
      </c>
    </row>
    <row r="4734" spans="1:8" ht="25.05" customHeight="1" x14ac:dyDescent="0.25">
      <c r="A4734" s="2" t="s">
        <v>8</v>
      </c>
      <c r="B4734" s="2" t="str">
        <f>HYPERLINK("http://ts.21cn.com/tousu/show/id/1335518","乐刻自动扣费")</f>
        <v>乐刻自动扣费</v>
      </c>
      <c r="C4734" s="2" t="s">
        <v>34</v>
      </c>
      <c r="D4734" s="2" t="s">
        <v>10</v>
      </c>
      <c r="E4734" s="2" t="str">
        <f>HYPERLINK("http://ts.21cn.com/tousu/show/id/1335518","http://ts.21cn.com/tousu/show/id/1335518")</f>
        <v>http://ts.21cn.com/tousu/show/id/1335518</v>
      </c>
      <c r="F4734" s="2" t="s">
        <v>11</v>
      </c>
      <c r="G4734" s="2" t="s">
        <v>34838</v>
      </c>
      <c r="H4734" s="2" t="s">
        <v>34839</v>
      </c>
    </row>
    <row r="4735" spans="1:8" ht="25.05" customHeight="1" x14ac:dyDescent="0.25">
      <c r="A4735" s="2" t="s">
        <v>8</v>
      </c>
      <c r="B4735" s="2" t="str">
        <f>HYPERLINK("http://ts.21cn.com/tousu/show/id/1335520","牛人有品高额砍头息")</f>
        <v>牛人有品高额砍头息</v>
      </c>
      <c r="C4735" s="2" t="s">
        <v>34</v>
      </c>
      <c r="D4735" s="2" t="s">
        <v>10</v>
      </c>
      <c r="E4735" s="2" t="str">
        <f>HYPERLINK("http://ts.21cn.com/tousu/show/id/1335520","http://ts.21cn.com/tousu/show/id/1335520")</f>
        <v>http://ts.21cn.com/tousu/show/id/1335520</v>
      </c>
      <c r="F4735" s="2" t="s">
        <v>11</v>
      </c>
      <c r="G4735" s="2" t="s">
        <v>34836</v>
      </c>
      <c r="H4735" s="2" t="s">
        <v>34837</v>
      </c>
    </row>
    <row r="4736" spans="1:8" ht="25.05" customHeight="1" x14ac:dyDescent="0.25">
      <c r="A4736" s="2" t="s">
        <v>8</v>
      </c>
      <c r="B4736" s="2" t="str">
        <f>HYPERLINK("http://ts.21cn.com/tousu/show/id/1335521","我在小花钱包借了5万块钱一直正常还款7个月因为利益太高最近两个月还款有延迟几天就遭到他们平台电话短信微信加好友威胁还有通")</f>
        <v>我在小花钱包借了5万块钱一直正常还款7个月因为利益太高最近两个月还款有延迟几天就遭到他们平台电话短信微信加好友威胁还有通</v>
      </c>
      <c r="C4736" s="2" t="s">
        <v>9</v>
      </c>
      <c r="D4736" s="2" t="s">
        <v>10</v>
      </c>
      <c r="E4736" s="2" t="str">
        <f>HYPERLINK("http://ts.21cn.com/tousu/show/id/1335521","http://ts.21cn.com/tousu/show/id/1335521")</f>
        <v>http://ts.21cn.com/tousu/show/id/1335521</v>
      </c>
      <c r="F4736" s="2" t="s">
        <v>11</v>
      </c>
      <c r="G4736" s="2" t="s">
        <v>34834</v>
      </c>
      <c r="H4736" s="2" t="s">
        <v>34835</v>
      </c>
    </row>
    <row r="4737" spans="1:8" ht="25.05" customHeight="1" x14ac:dyDescent="0.25">
      <c r="A4737" s="2" t="s">
        <v>8</v>
      </c>
      <c r="B4737" s="2" t="str">
        <f>HYPERLINK("http://ts.21cn.com/tousu/show/id/1335522","好易借恶心的很，高利贷")</f>
        <v>好易借恶心的很，高利贷</v>
      </c>
      <c r="C4737" s="2" t="s">
        <v>9</v>
      </c>
      <c r="D4737" s="2" t="s">
        <v>10</v>
      </c>
      <c r="E4737" s="2" t="str">
        <f>HYPERLINK("http://ts.21cn.com/tousu/show/id/1335522","http://ts.21cn.com/tousu/show/id/1335522")</f>
        <v>http://ts.21cn.com/tousu/show/id/1335522</v>
      </c>
      <c r="F4737" s="2" t="s">
        <v>11</v>
      </c>
      <c r="G4737" s="2" t="s">
        <v>34832</v>
      </c>
      <c r="H4737" s="2" t="s">
        <v>34833</v>
      </c>
    </row>
    <row r="4738" spans="1:8" ht="25.05" customHeight="1" x14ac:dyDescent="0.25">
      <c r="A4738" s="2" t="s">
        <v>8</v>
      </c>
      <c r="B4738" s="2" t="str">
        <f>HYPERLINK("http://ts.21cn.com/tousu/show/id/1335523","小浦优客未经同意扣款")</f>
        <v>小浦优客未经同意扣款</v>
      </c>
      <c r="C4738" s="2" t="s">
        <v>34</v>
      </c>
      <c r="D4738" s="2" t="s">
        <v>10</v>
      </c>
      <c r="E4738" s="2" t="str">
        <f>HYPERLINK("http://ts.21cn.com/tousu/show/id/1335523","http://ts.21cn.com/tousu/show/id/1335523")</f>
        <v>http://ts.21cn.com/tousu/show/id/1335523</v>
      </c>
      <c r="F4738" s="2" t="s">
        <v>11</v>
      </c>
      <c r="G4738" s="2" t="s">
        <v>34830</v>
      </c>
      <c r="H4738" s="2" t="s">
        <v>34831</v>
      </c>
    </row>
    <row r="4739" spans="1:8" ht="25.05" customHeight="1" x14ac:dyDescent="0.25">
      <c r="A4739" s="2" t="s">
        <v>8</v>
      </c>
      <c r="B4739" s="2" t="str">
        <f>HYPERLINK("http://ts.21cn.com/tousu/show/id/1335524","有用分期涉嫌高息放贷，存管资质不足")</f>
        <v>有用分期涉嫌高息放贷，存管资质不足</v>
      </c>
      <c r="C4739" s="2" t="s">
        <v>9</v>
      </c>
      <c r="D4739" s="2" t="s">
        <v>10</v>
      </c>
      <c r="E4739" s="2" t="str">
        <f>HYPERLINK("http://ts.21cn.com/tousu/show/id/1335524","http://ts.21cn.com/tousu/show/id/1335524")</f>
        <v>http://ts.21cn.com/tousu/show/id/1335524</v>
      </c>
      <c r="F4739" s="2" t="s">
        <v>11</v>
      </c>
      <c r="G4739" s="2" t="s">
        <v>34828</v>
      </c>
      <c r="H4739" s="2" t="s">
        <v>34829</v>
      </c>
    </row>
    <row r="4740" spans="1:8" ht="25.05" customHeight="1" x14ac:dyDescent="0.25">
      <c r="A4740" s="2" t="s">
        <v>8</v>
      </c>
      <c r="B4740" s="2" t="str">
        <f>HYPERLINK("http://ts.21cn.com/tousu/show/id/1335525","套路贷暴力催收砍头息")</f>
        <v>套路贷暴力催收砍头息</v>
      </c>
      <c r="C4740" s="2" t="s">
        <v>9</v>
      </c>
      <c r="D4740" s="2" t="s">
        <v>10</v>
      </c>
      <c r="E4740" s="2" t="str">
        <f>HYPERLINK("http://ts.21cn.com/tousu/show/id/1335525","http://ts.21cn.com/tousu/show/id/1335525")</f>
        <v>http://ts.21cn.com/tousu/show/id/1335525</v>
      </c>
      <c r="F4740" s="2" t="s">
        <v>11</v>
      </c>
      <c r="G4740" s="2" t="s">
        <v>34826</v>
      </c>
      <c r="H4740" s="2" t="s">
        <v>34827</v>
      </c>
    </row>
    <row r="4741" spans="1:8" ht="25.05" customHeight="1" x14ac:dyDescent="0.25">
      <c r="A4741" s="2" t="s">
        <v>8</v>
      </c>
      <c r="B4741" s="2" t="str">
        <f>HYPERLINK("http://ts.21cn.com/tousu/show/id/1335526","东亚信用卡被无故停用")</f>
        <v>东亚信用卡被无故停用</v>
      </c>
      <c r="C4741" s="2" t="s">
        <v>9</v>
      </c>
      <c r="D4741" s="2" t="s">
        <v>10</v>
      </c>
      <c r="E4741" s="2" t="str">
        <f>HYPERLINK("http://ts.21cn.com/tousu/show/id/1335526","http://ts.21cn.com/tousu/show/id/1335526")</f>
        <v>http://ts.21cn.com/tousu/show/id/1335526</v>
      </c>
      <c r="F4741" s="2" t="s">
        <v>11</v>
      </c>
      <c r="G4741" s="2" t="s">
        <v>34824</v>
      </c>
      <c r="H4741" s="2" t="s">
        <v>34825</v>
      </c>
    </row>
    <row r="4742" spans="1:8" ht="25.05" customHeight="1" x14ac:dyDescent="0.25">
      <c r="A4742" s="2" t="s">
        <v>8</v>
      </c>
      <c r="B4742" s="2" t="str">
        <f>HYPERLINK("http://ts.21cn.com/tousu/show/id/1335527","薄荷好借变相的砍头息")</f>
        <v>薄荷好借变相的砍头息</v>
      </c>
      <c r="C4742" s="2" t="s">
        <v>9</v>
      </c>
      <c r="D4742" s="2" t="s">
        <v>10</v>
      </c>
      <c r="E4742" s="2" t="str">
        <f>HYPERLINK("http://ts.21cn.com/tousu/show/id/1335527","http://ts.21cn.com/tousu/show/id/1335527")</f>
        <v>http://ts.21cn.com/tousu/show/id/1335527</v>
      </c>
      <c r="F4742" s="2" t="s">
        <v>11</v>
      </c>
      <c r="G4742" s="2" t="s">
        <v>34822</v>
      </c>
      <c r="H4742" s="2" t="s">
        <v>34823</v>
      </c>
    </row>
    <row r="4743" spans="1:8" ht="25.05" customHeight="1" x14ac:dyDescent="0.25">
      <c r="A4743" s="2" t="s">
        <v>8</v>
      </c>
      <c r="B4743" s="2" t="str">
        <f>HYPERLINK("http://ts.21cn.com/tousu/show/id/1335501","爱又米诱导收取会员费，违规放贷")</f>
        <v>爱又米诱导收取会员费，违规放贷</v>
      </c>
      <c r="C4743" s="2" t="s">
        <v>9</v>
      </c>
      <c r="D4743" s="2" t="s">
        <v>10</v>
      </c>
      <c r="E4743" s="2" t="str">
        <f>HYPERLINK("http://ts.21cn.com/tousu/show/id/1335501","http://ts.21cn.com/tousu/show/id/1335501")</f>
        <v>http://ts.21cn.com/tousu/show/id/1335501</v>
      </c>
      <c r="F4743" s="2" t="s">
        <v>11</v>
      </c>
      <c r="G4743" s="2" t="s">
        <v>34820</v>
      </c>
      <c r="H4743" s="2" t="s">
        <v>34821</v>
      </c>
    </row>
    <row r="4744" spans="1:8" ht="25.05" customHeight="1" x14ac:dyDescent="0.25">
      <c r="A4744" s="2" t="s">
        <v>8</v>
      </c>
      <c r="B4744" s="2" t="str">
        <f>HYPERLINK("http://ts.21cn.com/tousu/show/id/1335491","支付宝商户无辜扣款，")</f>
        <v>支付宝商户无辜扣款，</v>
      </c>
      <c r="C4744" s="2" t="s">
        <v>9</v>
      </c>
      <c r="D4744" s="2" t="s">
        <v>10</v>
      </c>
      <c r="E4744" s="2" t="str">
        <f>HYPERLINK("http://ts.21cn.com/tousu/show/id/1335491","http://ts.21cn.com/tousu/show/id/1335491")</f>
        <v>http://ts.21cn.com/tousu/show/id/1335491</v>
      </c>
      <c r="F4744" s="2" t="s">
        <v>11</v>
      </c>
      <c r="G4744" s="2" t="s">
        <v>34818</v>
      </c>
      <c r="H4744" s="2" t="s">
        <v>34819</v>
      </c>
    </row>
    <row r="4745" spans="1:8" ht="25.05" customHeight="1" x14ac:dyDescent="0.25">
      <c r="A4745" s="2" t="s">
        <v>8</v>
      </c>
      <c r="B4745" s="2" t="str">
        <f>HYPERLINK("http://ts.21cn.com/tousu/show/id/1335528","钱站借贷平台高额收取利息并电话信息威胁骚扰其家人和我")</f>
        <v>钱站借贷平台高额收取利息并电话信息威胁骚扰其家人和我</v>
      </c>
      <c r="C4745" s="2" t="s">
        <v>9</v>
      </c>
      <c r="D4745" s="2" t="s">
        <v>10</v>
      </c>
      <c r="E4745" s="2" t="str">
        <f>HYPERLINK("http://ts.21cn.com/tousu/show/id/1335528","http://ts.21cn.com/tousu/show/id/1335528")</f>
        <v>http://ts.21cn.com/tousu/show/id/1335528</v>
      </c>
      <c r="F4745" s="2" t="s">
        <v>11</v>
      </c>
      <c r="G4745" s="2" t="s">
        <v>34816</v>
      </c>
      <c r="H4745" s="2" t="s">
        <v>34817</v>
      </c>
    </row>
    <row r="4746" spans="1:8" ht="25.05" customHeight="1" x14ac:dyDescent="0.25">
      <c r="A4746" s="2" t="s">
        <v>8</v>
      </c>
      <c r="B4746" s="2" t="str">
        <f>HYPERLINK("http://ts.21cn.com/tousu/show/id/1335529","拍拍贷恶意炸通讯录并且拒不承认胡搅蛮缠，辱骂我")</f>
        <v>拍拍贷恶意炸通讯录并且拒不承认胡搅蛮缠，辱骂我</v>
      </c>
      <c r="C4746" s="2" t="s">
        <v>9</v>
      </c>
      <c r="D4746" s="2" t="s">
        <v>10</v>
      </c>
      <c r="E4746" s="2" t="str">
        <f>HYPERLINK("http://ts.21cn.com/tousu/show/id/1335529","http://ts.21cn.com/tousu/show/id/1335529")</f>
        <v>http://ts.21cn.com/tousu/show/id/1335529</v>
      </c>
      <c r="F4746" s="2" t="s">
        <v>11</v>
      </c>
      <c r="G4746" s="2" t="s">
        <v>34814</v>
      </c>
      <c r="H4746" s="2" t="s">
        <v>34815</v>
      </c>
    </row>
    <row r="4747" spans="1:8" ht="25.05" customHeight="1" x14ac:dyDescent="0.25">
      <c r="A4747" s="2" t="s">
        <v>8</v>
      </c>
      <c r="B4747" s="2" t="str">
        <f>HYPERLINK("http://ts.21cn.com/tousu/show/id/1335531","大连水云涧温泉")</f>
        <v>大连水云涧温泉</v>
      </c>
      <c r="C4747" s="2" t="s">
        <v>9</v>
      </c>
      <c r="D4747" s="2" t="s">
        <v>10</v>
      </c>
      <c r="E4747" s="2" t="str">
        <f>HYPERLINK("http://ts.21cn.com/tousu/show/id/1335531","http://ts.21cn.com/tousu/show/id/1335531")</f>
        <v>http://ts.21cn.com/tousu/show/id/1335531</v>
      </c>
      <c r="F4747" s="2" t="s">
        <v>11</v>
      </c>
      <c r="G4747" s="2" t="s">
        <v>34812</v>
      </c>
      <c r="H4747" s="2" t="s">
        <v>34813</v>
      </c>
    </row>
    <row r="4748" spans="1:8" ht="25.05" customHeight="1" x14ac:dyDescent="0.25">
      <c r="A4748" s="2" t="s">
        <v>8</v>
      </c>
      <c r="B4748" s="2" t="str">
        <f>HYPERLINK("http://ts.21cn.com/tousu/show/id/1335504","收了我的钱不给下款人也联系不到")</f>
        <v>收了我的钱不给下款人也联系不到</v>
      </c>
      <c r="C4748" s="2" t="s">
        <v>34</v>
      </c>
      <c r="D4748" s="2" t="s">
        <v>10</v>
      </c>
      <c r="E4748" s="2" t="str">
        <f>HYPERLINK("http://ts.21cn.com/tousu/show/id/1335504","http://ts.21cn.com/tousu/show/id/1335504")</f>
        <v>http://ts.21cn.com/tousu/show/id/1335504</v>
      </c>
      <c r="F4748" s="2" t="s">
        <v>11</v>
      </c>
      <c r="G4748" s="2" t="s">
        <v>34810</v>
      </c>
      <c r="H4748" s="2" t="s">
        <v>34811</v>
      </c>
    </row>
    <row r="4749" spans="1:8" ht="25.05" customHeight="1" x14ac:dyDescent="0.25">
      <c r="A4749" s="2" t="s">
        <v>8</v>
      </c>
      <c r="B4749" s="2" t="str">
        <f>HYPERLINK("http://ts.21cn.com/tousu/show/id/1335532","小浦优客无故扣费")</f>
        <v>小浦优客无故扣费</v>
      </c>
      <c r="C4749" s="2" t="s">
        <v>9</v>
      </c>
      <c r="D4749" s="2" t="s">
        <v>10</v>
      </c>
      <c r="E4749" s="2" t="str">
        <f>HYPERLINK("http://ts.21cn.com/tousu/show/id/1335532","http://ts.21cn.com/tousu/show/id/1335532")</f>
        <v>http://ts.21cn.com/tousu/show/id/1335532</v>
      </c>
      <c r="F4749" s="2" t="s">
        <v>11</v>
      </c>
      <c r="G4749" s="2" t="s">
        <v>34808</v>
      </c>
      <c r="H4749" s="2" t="s">
        <v>34809</v>
      </c>
    </row>
    <row r="4750" spans="1:8" ht="25.05" customHeight="1" x14ac:dyDescent="0.25">
      <c r="A4750" s="2" t="s">
        <v>8</v>
      </c>
      <c r="B4750" s="2" t="str">
        <f>HYPERLINK("http://ts.21cn.com/tousu/show/id/1088242","及贷骚扰电话威胁")</f>
        <v>及贷骚扰电话威胁</v>
      </c>
      <c r="C4750" s="2" t="s">
        <v>9</v>
      </c>
      <c r="D4750" s="2" t="s">
        <v>10</v>
      </c>
      <c r="E4750" s="2" t="str">
        <f>HYPERLINK("http://ts.21cn.com/tousu/show/id/1088242","http://ts.21cn.com/tousu/show/id/1088242")</f>
        <v>http://ts.21cn.com/tousu/show/id/1088242</v>
      </c>
      <c r="F4750" s="2" t="s">
        <v>11</v>
      </c>
      <c r="G4750" s="2" t="s">
        <v>34806</v>
      </c>
      <c r="H4750" s="2" t="s">
        <v>34807</v>
      </c>
    </row>
    <row r="4751" spans="1:8" ht="25.05" customHeight="1" x14ac:dyDescent="0.25">
      <c r="A4751" s="2" t="s">
        <v>8</v>
      </c>
      <c r="B4751" s="2" t="str">
        <f>HYPERLINK("http://ts.21cn.com/tousu/show/id/1335533","转转冻结交易资金不予解封")</f>
        <v>转转冻结交易资金不予解封</v>
      </c>
      <c r="C4751" s="2" t="s">
        <v>9</v>
      </c>
      <c r="D4751" s="2" t="s">
        <v>10</v>
      </c>
      <c r="E4751" s="2" t="str">
        <f>HYPERLINK("http://ts.21cn.com/tousu/show/id/1335533","http://ts.21cn.com/tousu/show/id/1335533")</f>
        <v>http://ts.21cn.com/tousu/show/id/1335533</v>
      </c>
      <c r="F4751" s="2" t="s">
        <v>11</v>
      </c>
      <c r="G4751" s="2" t="s">
        <v>34804</v>
      </c>
      <c r="H4751" s="2" t="s">
        <v>34805</v>
      </c>
    </row>
    <row r="4752" spans="1:8" ht="25.05" customHeight="1" x14ac:dyDescent="0.25">
      <c r="A4752" s="2" t="s">
        <v>8</v>
      </c>
      <c r="B4752" s="2" t="str">
        <f>HYPERLINK("http://ts.21cn.com/tousu/show/id/1335534","玖富万卡催款态度恶劣骚扰影响正常工作说")</f>
        <v>玖富万卡催款态度恶劣骚扰影响正常工作说</v>
      </c>
      <c r="C4752" s="2" t="s">
        <v>9</v>
      </c>
      <c r="D4752" s="2" t="s">
        <v>10</v>
      </c>
      <c r="E4752" s="2" t="str">
        <f>HYPERLINK("http://ts.21cn.com/tousu/show/id/1335534","http://ts.21cn.com/tousu/show/id/1335534")</f>
        <v>http://ts.21cn.com/tousu/show/id/1335534</v>
      </c>
      <c r="F4752" s="2" t="s">
        <v>11</v>
      </c>
      <c r="G4752" s="2" t="s">
        <v>34802</v>
      </c>
      <c r="H4752" s="2" t="s">
        <v>34803</v>
      </c>
    </row>
    <row r="4753" spans="1:8" ht="25.05" customHeight="1" x14ac:dyDescent="0.25">
      <c r="A4753" s="2" t="s">
        <v>8</v>
      </c>
      <c r="B4753" s="2" t="str">
        <f>HYPERLINK("http://ts.21cn.com/tousu/show/id/1335535","趣钱花忽悠会员费")</f>
        <v>趣钱花忽悠会员费</v>
      </c>
      <c r="C4753" s="2" t="s">
        <v>9</v>
      </c>
      <c r="D4753" s="2" t="s">
        <v>10</v>
      </c>
      <c r="E4753" s="2" t="str">
        <f>HYPERLINK("http://ts.21cn.com/tousu/show/id/1335535","http://ts.21cn.com/tousu/show/id/1335535")</f>
        <v>http://ts.21cn.com/tousu/show/id/1335535</v>
      </c>
      <c r="F4753" s="2" t="s">
        <v>11</v>
      </c>
      <c r="G4753" s="2" t="s">
        <v>34800</v>
      </c>
      <c r="H4753" s="2" t="s">
        <v>34801</v>
      </c>
    </row>
    <row r="4754" spans="1:8" ht="25.05" customHeight="1" x14ac:dyDescent="0.25">
      <c r="A4754" s="2" t="s">
        <v>8</v>
      </c>
      <c r="B4754" s="2" t="str">
        <f>HYPERLINK("http://ts.21cn.com/tousu/show/id/1335536","钱站虚假合同高利贷阴阳合同")</f>
        <v>钱站虚假合同高利贷阴阳合同</v>
      </c>
      <c r="C4754" s="2" t="s">
        <v>9</v>
      </c>
      <c r="D4754" s="2" t="s">
        <v>10</v>
      </c>
      <c r="E4754" s="2" t="str">
        <f>HYPERLINK("http://ts.21cn.com/tousu/show/id/1335536","http://ts.21cn.com/tousu/show/id/1335536")</f>
        <v>http://ts.21cn.com/tousu/show/id/1335536</v>
      </c>
      <c r="F4754" s="2" t="s">
        <v>11</v>
      </c>
      <c r="G4754" s="2" t="s">
        <v>34798</v>
      </c>
      <c r="H4754" s="2" t="s">
        <v>34799</v>
      </c>
    </row>
    <row r="4755" spans="1:8" ht="25.05" customHeight="1" x14ac:dyDescent="0.25">
      <c r="A4755" s="2" t="s">
        <v>8</v>
      </c>
      <c r="B4755" s="2" t="str">
        <f>HYPERLINK("http://ts.21cn.com/tousu/show/id/1335537","易行商旅虚假宣传，诱导误消费")</f>
        <v>易行商旅虚假宣传，诱导误消费</v>
      </c>
      <c r="C4755" s="2" t="s">
        <v>9</v>
      </c>
      <c r="D4755" s="2" t="s">
        <v>10</v>
      </c>
      <c r="E4755" s="2" t="str">
        <f>HYPERLINK("http://ts.21cn.com/tousu/show/id/1335537","http://ts.21cn.com/tousu/show/id/1335537")</f>
        <v>http://ts.21cn.com/tousu/show/id/1335537</v>
      </c>
      <c r="F4755" s="2" t="s">
        <v>11</v>
      </c>
      <c r="G4755" s="2" t="s">
        <v>34796</v>
      </c>
      <c r="H4755" s="2" t="s">
        <v>34797</v>
      </c>
    </row>
    <row r="4756" spans="1:8" ht="25.05" customHeight="1" x14ac:dyDescent="0.25">
      <c r="A4756" s="2" t="s">
        <v>8</v>
      </c>
      <c r="B4756" s="2" t="str">
        <f>HYPERLINK("http://ts.21cn.com/tousu/show/id/1335500","玖富万卡随意更改合同，变相收取手续费，高利贷")</f>
        <v>玖富万卡随意更改合同，变相收取手续费，高利贷</v>
      </c>
      <c r="C4756" s="2" t="s">
        <v>9</v>
      </c>
      <c r="D4756" s="2" t="s">
        <v>10</v>
      </c>
      <c r="E4756" s="2" t="str">
        <f>HYPERLINK("http://ts.21cn.com/tousu/show/id/1335500","http://ts.21cn.com/tousu/show/id/1335500")</f>
        <v>http://ts.21cn.com/tousu/show/id/1335500</v>
      </c>
      <c r="F4756" s="2" t="s">
        <v>11</v>
      </c>
      <c r="G4756" s="2" t="s">
        <v>34794</v>
      </c>
      <c r="H4756" s="2" t="s">
        <v>34795</v>
      </c>
    </row>
    <row r="4757" spans="1:8" ht="25.05" customHeight="1" x14ac:dyDescent="0.25">
      <c r="A4757" s="2" t="s">
        <v>8</v>
      </c>
      <c r="B4757" s="2" t="str">
        <f>HYPERLINK("http://ts.21cn.com/tousu/show/id/1335462","捷信高利贷套路贷，威胁恐吓要上门，还骚扰我朋友")</f>
        <v>捷信高利贷套路贷，威胁恐吓要上门，还骚扰我朋友</v>
      </c>
      <c r="C4757" s="2" t="s">
        <v>9</v>
      </c>
      <c r="D4757" s="2" t="s">
        <v>10</v>
      </c>
      <c r="E4757" s="2" t="str">
        <f>HYPERLINK("http://ts.21cn.com/tousu/show/id/1335462","http://ts.21cn.com/tousu/show/id/1335462")</f>
        <v>http://ts.21cn.com/tousu/show/id/1335462</v>
      </c>
      <c r="F4757" s="2" t="s">
        <v>11</v>
      </c>
      <c r="G4757" s="2" t="s">
        <v>34792</v>
      </c>
      <c r="H4757" s="2" t="s">
        <v>34793</v>
      </c>
    </row>
    <row r="4758" spans="1:8" ht="25.05" customHeight="1" x14ac:dyDescent="0.25">
      <c r="A4758" s="2" t="s">
        <v>8</v>
      </c>
      <c r="B4758" s="2" t="str">
        <f>HYPERLINK("http://ts.21cn.com/tousu/show/id/1335538","立借钱置宝贷款已结清又问还钱")</f>
        <v>立借钱置宝贷款已结清又问还钱</v>
      </c>
      <c r="C4758" s="2" t="s">
        <v>34</v>
      </c>
      <c r="D4758" s="2" t="s">
        <v>10</v>
      </c>
      <c r="E4758" s="2" t="str">
        <f>HYPERLINK("http://ts.21cn.com/tousu/show/id/1335538","http://ts.21cn.com/tousu/show/id/1335538")</f>
        <v>http://ts.21cn.com/tousu/show/id/1335538</v>
      </c>
      <c r="F4758" s="2" t="s">
        <v>11</v>
      </c>
      <c r="G4758" s="2" t="s">
        <v>34790</v>
      </c>
      <c r="H4758" s="2" t="s">
        <v>34791</v>
      </c>
    </row>
    <row r="4759" spans="1:8" ht="25.05" customHeight="1" x14ac:dyDescent="0.25">
      <c r="A4759" s="2" t="s">
        <v>8</v>
      </c>
      <c r="B4759" s="2" t="str">
        <f>HYPERLINK("http://ts.21cn.com/tousu/show/id/1335539","投诉招联金融")</f>
        <v>投诉招联金融</v>
      </c>
      <c r="C4759" s="2" t="s">
        <v>9</v>
      </c>
      <c r="D4759" s="2" t="s">
        <v>10</v>
      </c>
      <c r="E4759" s="2" t="str">
        <f>HYPERLINK("http://ts.21cn.com/tousu/show/id/1335539","http://ts.21cn.com/tousu/show/id/1335539")</f>
        <v>http://ts.21cn.com/tousu/show/id/1335539</v>
      </c>
      <c r="F4759" s="2" t="s">
        <v>11</v>
      </c>
      <c r="G4759" s="2" t="s">
        <v>34788</v>
      </c>
      <c r="H4759" s="2" t="s">
        <v>34789</v>
      </c>
    </row>
    <row r="4760" spans="1:8" ht="25.05" customHeight="1" x14ac:dyDescent="0.25">
      <c r="A4760" s="2" t="s">
        <v>8</v>
      </c>
      <c r="B4760" s="2" t="str">
        <f>HYPERLINK("http://ts.21cn.com/tousu/show/id/1335540","十一期间联动云租车3天用车9小时不给退余款")</f>
        <v>十一期间联动云租车3天用车9小时不给退余款</v>
      </c>
      <c r="C4760" s="2" t="s">
        <v>34</v>
      </c>
      <c r="D4760" s="2" t="s">
        <v>10</v>
      </c>
      <c r="E4760" s="2" t="str">
        <f>HYPERLINK("http://ts.21cn.com/tousu/show/id/1335540","http://ts.21cn.com/tousu/show/id/1335540")</f>
        <v>http://ts.21cn.com/tousu/show/id/1335540</v>
      </c>
      <c r="F4760" s="2" t="s">
        <v>11</v>
      </c>
      <c r="G4760" s="2" t="s">
        <v>34786</v>
      </c>
      <c r="H4760" s="2" t="s">
        <v>34787</v>
      </c>
    </row>
    <row r="4761" spans="1:8" ht="25.05" customHeight="1" x14ac:dyDescent="0.25">
      <c r="A4761" s="2" t="s">
        <v>8</v>
      </c>
      <c r="B4761" s="2" t="str">
        <f>HYPERLINK("http://ts.21cn.com/tousu/show/id/1335541","深海教育利用虚假宣传诱导消费者购课，霸王条款规避自身责任，售后踢皮球，拒不解决问题")</f>
        <v>深海教育利用虚假宣传诱导消费者购课，霸王条款规避自身责任，售后踢皮球，拒不解决问题</v>
      </c>
      <c r="C4761" s="2" t="s">
        <v>9</v>
      </c>
      <c r="D4761" s="2" t="s">
        <v>10</v>
      </c>
      <c r="E4761" s="2" t="str">
        <f>HYPERLINK("http://ts.21cn.com/tousu/show/id/1335541","http://ts.21cn.com/tousu/show/id/1335541")</f>
        <v>http://ts.21cn.com/tousu/show/id/1335541</v>
      </c>
      <c r="F4761" s="2" t="s">
        <v>11</v>
      </c>
      <c r="G4761" s="2" t="s">
        <v>34784</v>
      </c>
      <c r="H4761" s="2" t="s">
        <v>34785</v>
      </c>
    </row>
    <row r="4762" spans="1:8" ht="25.05" customHeight="1" x14ac:dyDescent="0.25">
      <c r="A4762" s="2" t="s">
        <v>8</v>
      </c>
      <c r="B4762" s="2" t="str">
        <f>HYPERLINK("http://ts.21cn.com/tousu/show/id/1335542","钱橙无忧随意扣费")</f>
        <v>钱橙无忧随意扣费</v>
      </c>
      <c r="C4762" s="2" t="s">
        <v>9</v>
      </c>
      <c r="D4762" s="2" t="s">
        <v>10</v>
      </c>
      <c r="E4762" s="2" t="str">
        <f>HYPERLINK("http://ts.21cn.com/tousu/show/id/1335542","http://ts.21cn.com/tousu/show/id/1335542")</f>
        <v>http://ts.21cn.com/tousu/show/id/1335542</v>
      </c>
      <c r="F4762" s="2" t="s">
        <v>11</v>
      </c>
      <c r="G4762" s="2" t="s">
        <v>34782</v>
      </c>
      <c r="H4762" s="2" t="s">
        <v>34783</v>
      </c>
    </row>
    <row r="4763" spans="1:8" ht="25.05" customHeight="1" x14ac:dyDescent="0.25">
      <c r="A4763" s="2" t="s">
        <v>8</v>
      </c>
      <c r="B4763" s="2" t="str">
        <f>HYPERLINK("http://ts.21cn.com/tousu/show/id/1335543","轻周转芒果筹高利贷暴力催收")</f>
        <v>轻周转芒果筹高利贷暴力催收</v>
      </c>
      <c r="C4763" s="2" t="s">
        <v>9</v>
      </c>
      <c r="D4763" s="2" t="s">
        <v>10</v>
      </c>
      <c r="E4763" s="2" t="str">
        <f>HYPERLINK("http://ts.21cn.com/tousu/show/id/1335543","http://ts.21cn.com/tousu/show/id/1335543")</f>
        <v>http://ts.21cn.com/tousu/show/id/1335543</v>
      </c>
      <c r="F4763" s="2" t="s">
        <v>11</v>
      </c>
      <c r="G4763" s="2" t="s">
        <v>34780</v>
      </c>
      <c r="H4763" s="2" t="s">
        <v>34781</v>
      </c>
    </row>
    <row r="4764" spans="1:8" ht="25.05" customHeight="1" x14ac:dyDescent="0.25">
      <c r="A4764" s="2" t="s">
        <v>8</v>
      </c>
      <c r="B4764" s="2" t="str">
        <f>HYPERLINK("http://ts.21cn.com/tousu/show/id/1335544","及贷放款时候直接购买几千块会员14000要还198000")</f>
        <v>及贷放款时候直接购买几千块会员14000要还198000</v>
      </c>
      <c r="C4764" s="2" t="s">
        <v>9</v>
      </c>
      <c r="D4764" s="2" t="s">
        <v>10</v>
      </c>
      <c r="E4764" s="2" t="str">
        <f>HYPERLINK("http://ts.21cn.com/tousu/show/id/1335544","http://ts.21cn.com/tousu/show/id/1335544")</f>
        <v>http://ts.21cn.com/tousu/show/id/1335544</v>
      </c>
      <c r="F4764" s="2" t="s">
        <v>11</v>
      </c>
      <c r="G4764" s="2" t="s">
        <v>34778</v>
      </c>
      <c r="H4764" s="2" t="s">
        <v>34779</v>
      </c>
    </row>
    <row r="4765" spans="1:8" ht="25.05" customHeight="1" x14ac:dyDescent="0.25">
      <c r="A4765" s="2" t="s">
        <v>8</v>
      </c>
      <c r="B4765" s="2" t="str">
        <f>HYPERLINK("http://ts.21cn.com/tousu/show/id/1335545","九阳答谢会净水机退货")</f>
        <v>九阳答谢会净水机退货</v>
      </c>
      <c r="C4765" s="2" t="s">
        <v>34</v>
      </c>
      <c r="D4765" s="2" t="s">
        <v>10</v>
      </c>
      <c r="E4765" s="2" t="str">
        <f>HYPERLINK("http://ts.21cn.com/tousu/show/id/1335545","http://ts.21cn.com/tousu/show/id/1335545")</f>
        <v>http://ts.21cn.com/tousu/show/id/1335545</v>
      </c>
      <c r="F4765" s="2" t="s">
        <v>11</v>
      </c>
      <c r="G4765" s="2" t="s">
        <v>34776</v>
      </c>
      <c r="H4765" s="2" t="s">
        <v>34777</v>
      </c>
    </row>
    <row r="4766" spans="1:8" ht="25.05" customHeight="1" x14ac:dyDescent="0.25">
      <c r="A4766" s="2" t="s">
        <v>8</v>
      </c>
      <c r="B4766" s="2" t="str">
        <f>HYPERLINK("http://ts.21cn.com/tousu/show/id/1335245","天猫平台长虹尚境专卖店买家退货后迟迟未按约定退款并以之前的人不在为由各种推诿")</f>
        <v>天猫平台长虹尚境专卖店买家退货后迟迟未按约定退款并以之前的人不在为由各种推诿</v>
      </c>
      <c r="C4766" s="2" t="s">
        <v>9</v>
      </c>
      <c r="D4766" s="2" t="s">
        <v>10</v>
      </c>
      <c r="E4766" s="2" t="str">
        <f>HYPERLINK("http://ts.21cn.com/tousu/show/id/1335245","http://ts.21cn.com/tousu/show/id/1335245")</f>
        <v>http://ts.21cn.com/tousu/show/id/1335245</v>
      </c>
      <c r="F4766" s="2" t="s">
        <v>11</v>
      </c>
      <c r="G4766" s="2" t="s">
        <v>34774</v>
      </c>
      <c r="H4766" s="2" t="s">
        <v>34775</v>
      </c>
    </row>
    <row r="4767" spans="1:8" ht="25.05" customHeight="1" x14ac:dyDescent="0.25">
      <c r="A4767" s="2" t="s">
        <v>8</v>
      </c>
      <c r="B4767" s="2" t="str">
        <f>HYPERLINK("http://ts.21cn.com/tousu/show/id/1335546","秒快贷还款日就开始催收")</f>
        <v>秒快贷还款日就开始催收</v>
      </c>
      <c r="C4767" s="2" t="s">
        <v>9</v>
      </c>
      <c r="D4767" s="2" t="s">
        <v>10</v>
      </c>
      <c r="E4767" s="2" t="str">
        <f>HYPERLINK("http://ts.21cn.com/tousu/show/id/1335546","http://ts.21cn.com/tousu/show/id/1335546")</f>
        <v>http://ts.21cn.com/tousu/show/id/1335546</v>
      </c>
      <c r="F4767" s="2" t="s">
        <v>11</v>
      </c>
      <c r="G4767" s="2" t="s">
        <v>34772</v>
      </c>
      <c r="H4767" s="2" t="s">
        <v>34773</v>
      </c>
    </row>
    <row r="4768" spans="1:8" ht="25.05" customHeight="1" x14ac:dyDescent="0.25">
      <c r="A4768" s="2" t="s">
        <v>8</v>
      </c>
      <c r="B4768" s="2" t="str">
        <f>HYPERLINK("http://ts.21cn.com/tousu/show/id/1335547","应急牛太黑了借款3000，到账2100，要求周期7天")</f>
        <v>应急牛太黑了借款3000，到账2100，要求周期7天</v>
      </c>
      <c r="C4768" s="2" t="s">
        <v>9</v>
      </c>
      <c r="D4768" s="2" t="s">
        <v>10</v>
      </c>
      <c r="E4768" s="2" t="str">
        <f>HYPERLINK("http://ts.21cn.com/tousu/show/id/1335547","http://ts.21cn.com/tousu/show/id/1335547")</f>
        <v>http://ts.21cn.com/tousu/show/id/1335547</v>
      </c>
      <c r="F4768" s="2" t="s">
        <v>11</v>
      </c>
      <c r="G4768" s="2" t="s">
        <v>34770</v>
      </c>
      <c r="H4768" s="2" t="s">
        <v>34771</v>
      </c>
    </row>
    <row r="4769" spans="1:8" ht="25.05" customHeight="1" x14ac:dyDescent="0.25">
      <c r="A4769" s="2" t="s">
        <v>8</v>
      </c>
      <c r="B4769" s="2" t="str">
        <f>HYPERLINK("http://ts.21cn.com/tousu/show/id/1335550","壹心分期砍头息高利贷")</f>
        <v>壹心分期砍头息高利贷</v>
      </c>
      <c r="C4769" s="2" t="s">
        <v>9</v>
      </c>
      <c r="D4769" s="2" t="s">
        <v>10</v>
      </c>
      <c r="E4769" s="2" t="str">
        <f>HYPERLINK("http://ts.21cn.com/tousu/show/id/1335550","http://ts.21cn.com/tousu/show/id/1335550")</f>
        <v>http://ts.21cn.com/tousu/show/id/1335550</v>
      </c>
      <c r="F4769" s="2" t="s">
        <v>11</v>
      </c>
      <c r="G4769" s="2" t="s">
        <v>34768</v>
      </c>
      <c r="H4769" s="2" t="s">
        <v>34769</v>
      </c>
    </row>
    <row r="4770" spans="1:8" ht="25.05" customHeight="1" x14ac:dyDescent="0.25">
      <c r="A4770" s="2" t="s">
        <v>8</v>
      </c>
      <c r="B4770" s="2" t="str">
        <f>HYPERLINK("http://ts.21cn.com/tousu/show/id/1335552","诱导消费者、未按合同约定履行合同义务")</f>
        <v>诱导消费者、未按合同约定履行合同义务</v>
      </c>
      <c r="C4770" s="2" t="s">
        <v>9</v>
      </c>
      <c r="D4770" s="2" t="s">
        <v>10</v>
      </c>
      <c r="E4770" s="2" t="str">
        <f>HYPERLINK("http://ts.21cn.com/tousu/show/id/1335552","http://ts.21cn.com/tousu/show/id/1335552")</f>
        <v>http://ts.21cn.com/tousu/show/id/1335552</v>
      </c>
      <c r="F4770" s="2" t="s">
        <v>11</v>
      </c>
      <c r="G4770" s="2" t="s">
        <v>34766</v>
      </c>
      <c r="H4770" s="2" t="s">
        <v>34767</v>
      </c>
    </row>
    <row r="4771" spans="1:8" ht="25.05" customHeight="1" x14ac:dyDescent="0.25">
      <c r="A4771" s="2" t="s">
        <v>8</v>
      </c>
      <c r="B4771" s="2" t="str">
        <f>HYPERLINK("http://ts.21cn.com/tousu/show/id/1335553","转运公司丢件不负责")</f>
        <v>转运公司丢件不负责</v>
      </c>
      <c r="C4771" s="2" t="s">
        <v>34</v>
      </c>
      <c r="D4771" s="2" t="s">
        <v>10</v>
      </c>
      <c r="E4771" s="2" t="str">
        <f>HYPERLINK("http://ts.21cn.com/tousu/show/id/1335553","http://ts.21cn.com/tousu/show/id/1335553")</f>
        <v>http://ts.21cn.com/tousu/show/id/1335553</v>
      </c>
      <c r="F4771" s="2" t="s">
        <v>11</v>
      </c>
      <c r="G4771" s="2" t="s">
        <v>34764</v>
      </c>
      <c r="H4771" s="2" t="s">
        <v>34765</v>
      </c>
    </row>
    <row r="4772" spans="1:8" ht="25.05" customHeight="1" x14ac:dyDescent="0.25">
      <c r="A4772" s="2" t="s">
        <v>8</v>
      </c>
      <c r="B4772" s="2" t="str">
        <f>HYPERLINK("http://ts.21cn.com/tousu/show/id/1335554","你我贷恶意套取高额服务费涉嫌高利贷并放纵第三方暴力催款")</f>
        <v>你我贷恶意套取高额服务费涉嫌高利贷并放纵第三方暴力催款</v>
      </c>
      <c r="C4772" s="2" t="s">
        <v>9</v>
      </c>
      <c r="D4772" s="2" t="s">
        <v>10</v>
      </c>
      <c r="E4772" s="2" t="str">
        <f>HYPERLINK("http://ts.21cn.com/tousu/show/id/1335554","http://ts.21cn.com/tousu/show/id/1335554")</f>
        <v>http://ts.21cn.com/tousu/show/id/1335554</v>
      </c>
      <c r="F4772" s="2" t="s">
        <v>11</v>
      </c>
      <c r="G4772" s="2" t="s">
        <v>34763</v>
      </c>
      <c r="H4772" s="2" t="s">
        <v>34410</v>
      </c>
    </row>
    <row r="4773" spans="1:8" ht="25.05" customHeight="1" x14ac:dyDescent="0.25">
      <c r="A4773" s="2" t="s">
        <v>8</v>
      </c>
      <c r="B4773" s="2" t="str">
        <f>HYPERLINK("http://ts.21cn.com/tousu/show/id/1335555","胖胖有米高利贷暴力催收，恳请警方介入处理")</f>
        <v>胖胖有米高利贷暴力催收，恳请警方介入处理</v>
      </c>
      <c r="C4773" s="2" t="s">
        <v>9</v>
      </c>
      <c r="D4773" s="2" t="s">
        <v>10</v>
      </c>
      <c r="E4773" s="2" t="str">
        <f>HYPERLINK("http://ts.21cn.com/tousu/show/id/1335555","http://ts.21cn.com/tousu/show/id/1335555")</f>
        <v>http://ts.21cn.com/tousu/show/id/1335555</v>
      </c>
      <c r="F4773" s="2" t="s">
        <v>11</v>
      </c>
      <c r="G4773" s="2" t="s">
        <v>34761</v>
      </c>
      <c r="H4773" s="2" t="s">
        <v>34762</v>
      </c>
    </row>
    <row r="4774" spans="1:8" ht="25.05" customHeight="1" x14ac:dyDescent="0.25">
      <c r="A4774" s="2" t="s">
        <v>8</v>
      </c>
      <c r="B4774" s="2" t="str">
        <f>HYPERLINK("http://ts.21cn.com/tousu/show/id/1335556","拍拍贷无法注销个人信息")</f>
        <v>拍拍贷无法注销个人信息</v>
      </c>
      <c r="C4774" s="2" t="s">
        <v>9</v>
      </c>
      <c r="D4774" s="2" t="s">
        <v>10</v>
      </c>
      <c r="E4774" s="2" t="str">
        <f>HYPERLINK("http://ts.21cn.com/tousu/show/id/1335556","http://ts.21cn.com/tousu/show/id/1335556")</f>
        <v>http://ts.21cn.com/tousu/show/id/1335556</v>
      </c>
      <c r="F4774" s="2" t="s">
        <v>11</v>
      </c>
      <c r="G4774" s="2" t="s">
        <v>34759</v>
      </c>
      <c r="H4774" s="2" t="s">
        <v>34760</v>
      </c>
    </row>
    <row r="4775" spans="1:8" ht="25.05" customHeight="1" x14ac:dyDescent="0.25">
      <c r="A4775" s="2" t="s">
        <v>8</v>
      </c>
      <c r="B4775" s="2" t="str">
        <f>HYPERLINK("http://ts.21cn.com/tousu/show/id/1335558","不退押金不退绿本")</f>
        <v>不退押金不退绿本</v>
      </c>
      <c r="C4775" s="2" t="s">
        <v>9</v>
      </c>
      <c r="D4775" s="2" t="s">
        <v>10</v>
      </c>
      <c r="E4775" s="2" t="str">
        <f>HYPERLINK("http://ts.21cn.com/tousu/show/id/1335558","http://ts.21cn.com/tousu/show/id/1335558")</f>
        <v>http://ts.21cn.com/tousu/show/id/1335558</v>
      </c>
      <c r="F4775" s="2" t="s">
        <v>11</v>
      </c>
      <c r="G4775" s="2" t="s">
        <v>34757</v>
      </c>
      <c r="H4775" s="2" t="s">
        <v>34758</v>
      </c>
    </row>
    <row r="4776" spans="1:8" ht="25.05" customHeight="1" x14ac:dyDescent="0.25">
      <c r="A4776" s="2" t="s">
        <v>8</v>
      </c>
      <c r="B4776" s="2" t="str">
        <f>HYPERLINK("http://ts.21cn.com/tousu/show/id/1335559","微贷网的多米贷收取砍头息高利贷")</f>
        <v>微贷网的多米贷收取砍头息高利贷</v>
      </c>
      <c r="C4776" s="2" t="s">
        <v>9</v>
      </c>
      <c r="D4776" s="2" t="s">
        <v>10</v>
      </c>
      <c r="E4776" s="2" t="str">
        <f>HYPERLINK("http://ts.21cn.com/tousu/show/id/1335559","http://ts.21cn.com/tousu/show/id/1335559")</f>
        <v>http://ts.21cn.com/tousu/show/id/1335559</v>
      </c>
      <c r="F4776" s="2" t="s">
        <v>11</v>
      </c>
      <c r="G4776" s="2" t="s">
        <v>34755</v>
      </c>
      <c r="H4776" s="2" t="s">
        <v>34756</v>
      </c>
    </row>
    <row r="4777" spans="1:8" ht="25.05" customHeight="1" x14ac:dyDescent="0.25">
      <c r="A4777" s="2" t="s">
        <v>8</v>
      </c>
      <c r="B4777" s="2" t="str">
        <f>HYPERLINK("http://ts.21cn.com/tousu/show/id/1335562","态度恶劣威胁催收")</f>
        <v>态度恶劣威胁催收</v>
      </c>
      <c r="C4777" s="2" t="s">
        <v>9</v>
      </c>
      <c r="D4777" s="2" t="s">
        <v>10</v>
      </c>
      <c r="E4777" s="2" t="str">
        <f>HYPERLINK("http://ts.21cn.com/tousu/show/id/1335562","http://ts.21cn.com/tousu/show/id/1335562")</f>
        <v>http://ts.21cn.com/tousu/show/id/1335562</v>
      </c>
      <c r="F4777" s="2" t="s">
        <v>11</v>
      </c>
      <c r="G4777" s="2" t="s">
        <v>34753</v>
      </c>
      <c r="H4777" s="2" t="s">
        <v>34754</v>
      </c>
    </row>
    <row r="4778" spans="1:8" ht="25.05" customHeight="1" x14ac:dyDescent="0.25">
      <c r="A4778" s="2" t="s">
        <v>8</v>
      </c>
      <c r="B4778" s="2" t="str">
        <f>HYPERLINK("http://ts.21cn.com/tousu/show/id/1335561","时光分期联系我协商还款")</f>
        <v>时光分期联系我协商还款</v>
      </c>
      <c r="C4778" s="2" t="s">
        <v>9</v>
      </c>
      <c r="D4778" s="2" t="s">
        <v>10</v>
      </c>
      <c r="E4778" s="2" t="str">
        <f>HYPERLINK("http://ts.21cn.com/tousu/show/id/1335561","http://ts.21cn.com/tousu/show/id/1335561")</f>
        <v>http://ts.21cn.com/tousu/show/id/1335561</v>
      </c>
      <c r="F4778" s="2" t="s">
        <v>11</v>
      </c>
      <c r="G4778" s="2" t="s">
        <v>34751</v>
      </c>
      <c r="H4778" s="2" t="s">
        <v>34752</v>
      </c>
    </row>
    <row r="4779" spans="1:8" ht="25.05" customHeight="1" x14ac:dyDescent="0.25">
      <c r="A4779" s="2" t="s">
        <v>8</v>
      </c>
      <c r="B4779" s="2" t="str">
        <f>HYPERLINK("http://ts.21cn.com/tousu/show/id/1335563","协商还款延期。")</f>
        <v>协商还款延期。</v>
      </c>
      <c r="C4779" s="2" t="s">
        <v>34</v>
      </c>
      <c r="D4779" s="2" t="s">
        <v>10</v>
      </c>
      <c r="E4779" s="2" t="str">
        <f>HYPERLINK("http://ts.21cn.com/tousu/show/id/1335563","http://ts.21cn.com/tousu/show/id/1335563")</f>
        <v>http://ts.21cn.com/tousu/show/id/1335563</v>
      </c>
      <c r="F4779" s="2" t="s">
        <v>11</v>
      </c>
      <c r="G4779" s="2" t="s">
        <v>34749</v>
      </c>
      <c r="H4779" s="2" t="s">
        <v>34750</v>
      </c>
    </row>
    <row r="4780" spans="1:8" ht="25.05" customHeight="1" x14ac:dyDescent="0.25">
      <c r="A4780" s="2" t="s">
        <v>8</v>
      </c>
      <c r="B4780" s="2" t="str">
        <f>HYPERLINK("http://ts.21cn.com/tousu/show/id/1335564","不明扣款，盗刷银行卡")</f>
        <v>不明扣款，盗刷银行卡</v>
      </c>
      <c r="C4780" s="2" t="s">
        <v>9</v>
      </c>
      <c r="D4780" s="2" t="s">
        <v>10</v>
      </c>
      <c r="E4780" s="2" t="str">
        <f>HYPERLINK("http://ts.21cn.com/tousu/show/id/1335564","http://ts.21cn.com/tousu/show/id/1335564")</f>
        <v>http://ts.21cn.com/tousu/show/id/1335564</v>
      </c>
      <c r="F4780" s="2" t="s">
        <v>11</v>
      </c>
      <c r="G4780" s="2" t="s">
        <v>34747</v>
      </c>
      <c r="H4780" s="2" t="s">
        <v>34748</v>
      </c>
    </row>
    <row r="4781" spans="1:8" ht="25.05" customHeight="1" x14ac:dyDescent="0.25">
      <c r="A4781" s="2" t="s">
        <v>8</v>
      </c>
      <c r="B4781" s="2" t="str">
        <f>HYPERLINK("http://ts.21cn.com/tousu/show/id/1335566","来分期借款账单带有未知的保险费用，阴阳合同")</f>
        <v>来分期借款账单带有未知的保险费用，阴阳合同</v>
      </c>
      <c r="C4781" s="2" t="s">
        <v>9</v>
      </c>
      <c r="D4781" s="2" t="s">
        <v>10</v>
      </c>
      <c r="E4781" s="2" t="str">
        <f>HYPERLINK("http://ts.21cn.com/tousu/show/id/1335566","http://ts.21cn.com/tousu/show/id/1335566")</f>
        <v>http://ts.21cn.com/tousu/show/id/1335566</v>
      </c>
      <c r="F4781" s="2" t="s">
        <v>11</v>
      </c>
      <c r="G4781" s="2" t="s">
        <v>34745</v>
      </c>
      <c r="H4781" s="2" t="s">
        <v>34746</v>
      </c>
    </row>
    <row r="4782" spans="1:8" ht="25.05" customHeight="1" x14ac:dyDescent="0.25">
      <c r="A4782" s="2" t="s">
        <v>8</v>
      </c>
      <c r="B4782" s="2" t="str">
        <f>HYPERLINK("http://ts.21cn.com/tousu/show/id/1335565","玖富万卡高额利息实在承受不起")</f>
        <v>玖富万卡高额利息实在承受不起</v>
      </c>
      <c r="C4782" s="2" t="s">
        <v>9</v>
      </c>
      <c r="D4782" s="2" t="s">
        <v>10</v>
      </c>
      <c r="E4782" s="2" t="str">
        <f>HYPERLINK("http://ts.21cn.com/tousu/show/id/1335565","http://ts.21cn.com/tousu/show/id/1335565")</f>
        <v>http://ts.21cn.com/tousu/show/id/1335565</v>
      </c>
      <c r="F4782" s="2" t="s">
        <v>11</v>
      </c>
      <c r="G4782" s="2" t="s">
        <v>34743</v>
      </c>
      <c r="H4782" s="2" t="s">
        <v>34744</v>
      </c>
    </row>
    <row r="4783" spans="1:8" ht="25.05" customHeight="1" x14ac:dyDescent="0.25">
      <c r="A4783" s="2" t="s">
        <v>8</v>
      </c>
      <c r="B4783" s="2" t="str">
        <f>HYPERLINK("http://ts.21cn.com/tousu/show/id/1335567","智行火车票更换手机号后，无法登陆原账号")</f>
        <v>智行火车票更换手机号后，无法登陆原账号</v>
      </c>
      <c r="C4783" s="2" t="s">
        <v>34</v>
      </c>
      <c r="D4783" s="2" t="s">
        <v>10</v>
      </c>
      <c r="E4783" s="2" t="str">
        <f>HYPERLINK("http://ts.21cn.com/tousu/show/id/1335567","http://ts.21cn.com/tousu/show/id/1335567")</f>
        <v>http://ts.21cn.com/tousu/show/id/1335567</v>
      </c>
      <c r="F4783" s="2" t="s">
        <v>11</v>
      </c>
      <c r="G4783" s="2" t="s">
        <v>34741</v>
      </c>
      <c r="H4783" s="2" t="s">
        <v>34742</v>
      </c>
    </row>
    <row r="4784" spans="1:8" ht="25.05" customHeight="1" x14ac:dyDescent="0.25">
      <c r="A4784" s="2" t="s">
        <v>8</v>
      </c>
      <c r="B4784" s="2" t="str">
        <f>HYPERLINK("http://ts.21cn.com/tousu/show/id/1335568","钱站高利贷阴阳合同")</f>
        <v>钱站高利贷阴阳合同</v>
      </c>
      <c r="C4784" s="2" t="s">
        <v>9</v>
      </c>
      <c r="D4784" s="2" t="s">
        <v>10</v>
      </c>
      <c r="E4784" s="2" t="str">
        <f>HYPERLINK("http://ts.21cn.com/tousu/show/id/1335568","http://ts.21cn.com/tousu/show/id/1335568")</f>
        <v>http://ts.21cn.com/tousu/show/id/1335568</v>
      </c>
      <c r="F4784" s="2" t="s">
        <v>11</v>
      </c>
      <c r="G4784" s="2" t="s">
        <v>34739</v>
      </c>
      <c r="H4784" s="2" t="s">
        <v>34740</v>
      </c>
    </row>
    <row r="4785" spans="1:8" ht="25.05" customHeight="1" x14ac:dyDescent="0.25">
      <c r="A4785" s="2" t="s">
        <v>8</v>
      </c>
      <c r="B4785" s="2" t="str">
        <f>HYPERLINK("http://ts.21cn.com/tousu/show/id/1335570","APP下线，导致逾期")</f>
        <v>APP下线，导致逾期</v>
      </c>
      <c r="C4785" s="2" t="s">
        <v>9</v>
      </c>
      <c r="D4785" s="2" t="s">
        <v>10</v>
      </c>
      <c r="E4785" s="2" t="str">
        <f>HYPERLINK("http://ts.21cn.com/tousu/show/id/1335570","http://ts.21cn.com/tousu/show/id/1335570")</f>
        <v>http://ts.21cn.com/tousu/show/id/1335570</v>
      </c>
      <c r="F4785" s="2" t="s">
        <v>11</v>
      </c>
      <c r="G4785" s="2" t="s">
        <v>34737</v>
      </c>
      <c r="H4785" s="2" t="s">
        <v>31886</v>
      </c>
    </row>
    <row r="4786" spans="1:8" ht="25.05" customHeight="1" x14ac:dyDescent="0.25">
      <c r="A4786" s="2" t="s">
        <v>8</v>
      </c>
      <c r="B4786" s="2" t="str">
        <f>HYPERLINK("http://ts.21cn.com/tousu/show/id/1335569","商量的余地都没有")</f>
        <v>商量的余地都没有</v>
      </c>
      <c r="C4786" s="2" t="s">
        <v>9</v>
      </c>
      <c r="D4786" s="2" t="s">
        <v>10</v>
      </c>
      <c r="E4786" s="2" t="str">
        <f>HYPERLINK("http://ts.21cn.com/tousu/show/id/1335569","http://ts.21cn.com/tousu/show/id/1335569")</f>
        <v>http://ts.21cn.com/tousu/show/id/1335569</v>
      </c>
      <c r="F4786" s="2" t="s">
        <v>11</v>
      </c>
      <c r="G4786" s="2" t="s">
        <v>34737</v>
      </c>
      <c r="H4786" s="2" t="s">
        <v>34738</v>
      </c>
    </row>
    <row r="4787" spans="1:8" ht="25.05" customHeight="1" x14ac:dyDescent="0.25">
      <c r="A4787" s="2" t="s">
        <v>8</v>
      </c>
      <c r="B4787" s="2" t="str">
        <f>HYPERLINK("http://ts.21cn.com/tousu/show/id/1335571","关于美约app乱扣费问题，免费试用后，自动续费会员一年298元")</f>
        <v>关于美约app乱扣费问题，免费试用后，自动续费会员一年298元</v>
      </c>
      <c r="C4787" s="2" t="s">
        <v>34</v>
      </c>
      <c r="D4787" s="2" t="s">
        <v>10</v>
      </c>
      <c r="E4787" s="2" t="str">
        <f>HYPERLINK("http://ts.21cn.com/tousu/show/id/1335571","http://ts.21cn.com/tousu/show/id/1335571")</f>
        <v>http://ts.21cn.com/tousu/show/id/1335571</v>
      </c>
      <c r="F4787" s="2" t="s">
        <v>11</v>
      </c>
      <c r="G4787" s="2" t="s">
        <v>34735</v>
      </c>
      <c r="H4787" s="2" t="s">
        <v>34736</v>
      </c>
    </row>
    <row r="4788" spans="1:8" ht="25.05" customHeight="1" x14ac:dyDescent="0.25">
      <c r="A4788" s="2" t="s">
        <v>8</v>
      </c>
      <c r="B4788" s="2" t="str">
        <f>HYPERLINK("http://ts.21cn.com/tousu/show/id/1335573","立借平台套路贷利息高暴力催收不协商")</f>
        <v>立借平台套路贷利息高暴力催收不协商</v>
      </c>
      <c r="C4788" s="2" t="s">
        <v>9</v>
      </c>
      <c r="D4788" s="2" t="s">
        <v>10</v>
      </c>
      <c r="E4788" s="2" t="str">
        <f>HYPERLINK("http://ts.21cn.com/tousu/show/id/1335573","http://ts.21cn.com/tousu/show/id/1335573")</f>
        <v>http://ts.21cn.com/tousu/show/id/1335573</v>
      </c>
      <c r="F4788" s="2" t="s">
        <v>11</v>
      </c>
      <c r="G4788" s="2" t="s">
        <v>34733</v>
      </c>
      <c r="H4788" s="2" t="s">
        <v>34734</v>
      </c>
    </row>
    <row r="4789" spans="1:8" ht="25.05" customHeight="1" x14ac:dyDescent="0.25">
      <c r="A4789" s="2" t="s">
        <v>8</v>
      </c>
      <c r="B4789" s="2" t="str">
        <f>HYPERLINK("http://ts.21cn.com/tousu/show/id/1335574","钱站高利贷强制你借款")</f>
        <v>钱站高利贷强制你借款</v>
      </c>
      <c r="C4789" s="2" t="s">
        <v>9</v>
      </c>
      <c r="D4789" s="2" t="s">
        <v>10</v>
      </c>
      <c r="E4789" s="2" t="str">
        <f>HYPERLINK("http://ts.21cn.com/tousu/show/id/1335574","http://ts.21cn.com/tousu/show/id/1335574")</f>
        <v>http://ts.21cn.com/tousu/show/id/1335574</v>
      </c>
      <c r="F4789" s="2" t="s">
        <v>11</v>
      </c>
      <c r="G4789" s="2" t="s">
        <v>34731</v>
      </c>
      <c r="H4789" s="2" t="s">
        <v>34732</v>
      </c>
    </row>
    <row r="4790" spans="1:8" ht="25.05" customHeight="1" x14ac:dyDescent="0.25">
      <c r="A4790" s="2" t="s">
        <v>8</v>
      </c>
      <c r="B4790" s="2" t="str">
        <f>HYPERLINK("http://ts.21cn.com/tousu/show/id/1335575","飞猪预定酒店不可退订")</f>
        <v>飞猪预定酒店不可退订</v>
      </c>
      <c r="C4790" s="2" t="s">
        <v>9</v>
      </c>
      <c r="D4790" s="2" t="s">
        <v>10</v>
      </c>
      <c r="E4790" s="2" t="str">
        <f>HYPERLINK("http://ts.21cn.com/tousu/show/id/1335575","http://ts.21cn.com/tousu/show/id/1335575")</f>
        <v>http://ts.21cn.com/tousu/show/id/1335575</v>
      </c>
      <c r="F4790" s="2" t="s">
        <v>11</v>
      </c>
      <c r="G4790" s="2" t="s">
        <v>34729</v>
      </c>
      <c r="H4790" s="2" t="s">
        <v>34730</v>
      </c>
    </row>
    <row r="4791" spans="1:8" ht="25.05" customHeight="1" x14ac:dyDescent="0.25">
      <c r="A4791" s="2" t="s">
        <v>8</v>
      </c>
      <c r="B4791" s="2" t="str">
        <f>HYPERLINK("http://ts.21cn.com/tousu/show/id/1335576","马上金融收取高额逾期费用")</f>
        <v>马上金融收取高额逾期费用</v>
      </c>
      <c r="C4791" s="2" t="s">
        <v>34</v>
      </c>
      <c r="D4791" s="2" t="s">
        <v>10</v>
      </c>
      <c r="E4791" s="2" t="str">
        <f>HYPERLINK("http://ts.21cn.com/tousu/show/id/1335576","http://ts.21cn.com/tousu/show/id/1335576")</f>
        <v>http://ts.21cn.com/tousu/show/id/1335576</v>
      </c>
      <c r="F4791" s="2" t="s">
        <v>11</v>
      </c>
      <c r="G4791" s="2" t="s">
        <v>34727</v>
      </c>
      <c r="H4791" s="2" t="s">
        <v>34728</v>
      </c>
    </row>
    <row r="4792" spans="1:8" ht="25.05" customHeight="1" x14ac:dyDescent="0.25">
      <c r="A4792" s="2" t="s">
        <v>8</v>
      </c>
      <c r="B4792" s="2" t="str">
        <f>HYPERLINK("http://ts.21cn.com/tousu/show/id/1335578","私自扣费，无缘无故被扣296元")</f>
        <v>私自扣费，无缘无故被扣296元</v>
      </c>
      <c r="C4792" s="2" t="s">
        <v>9</v>
      </c>
      <c r="D4792" s="2" t="s">
        <v>10</v>
      </c>
      <c r="E4792" s="2" t="str">
        <f>HYPERLINK("http://ts.21cn.com/tousu/show/id/1335578","http://ts.21cn.com/tousu/show/id/1335578")</f>
        <v>http://ts.21cn.com/tousu/show/id/1335578</v>
      </c>
      <c r="F4792" s="2" t="s">
        <v>11</v>
      </c>
      <c r="G4792" s="2" t="s">
        <v>34725</v>
      </c>
      <c r="H4792" s="2" t="s">
        <v>34726</v>
      </c>
    </row>
    <row r="4793" spans="1:8" ht="25.05" customHeight="1" x14ac:dyDescent="0.25">
      <c r="A4793" s="2" t="s">
        <v>8</v>
      </c>
      <c r="B4793" s="2" t="str">
        <f>HYPERLINK("http://ts.21cn.com/tousu/show/id/1335580","拼多多欺诈")</f>
        <v>拼多多欺诈</v>
      </c>
      <c r="C4793" s="2" t="s">
        <v>9</v>
      </c>
      <c r="D4793" s="2" t="s">
        <v>10</v>
      </c>
      <c r="E4793" s="2" t="str">
        <f>HYPERLINK("http://ts.21cn.com/tousu/show/id/1335580","http://ts.21cn.com/tousu/show/id/1335580")</f>
        <v>http://ts.21cn.com/tousu/show/id/1335580</v>
      </c>
      <c r="F4793" s="2" t="s">
        <v>11</v>
      </c>
      <c r="G4793" s="2" t="s">
        <v>34723</v>
      </c>
      <c r="H4793" s="2" t="s">
        <v>34724</v>
      </c>
    </row>
    <row r="4794" spans="1:8" ht="25.05" customHeight="1" x14ac:dyDescent="0.25">
      <c r="A4794" s="2" t="s">
        <v>8</v>
      </c>
      <c r="B4794" s="2" t="str">
        <f>HYPERLINK("http://ts.21cn.com/tousu/show/id/1335581","没有正规维修单")</f>
        <v>没有正规维修单</v>
      </c>
      <c r="C4794" s="2" t="s">
        <v>9</v>
      </c>
      <c r="D4794" s="2" t="s">
        <v>10</v>
      </c>
      <c r="E4794" s="2" t="str">
        <f>HYPERLINK("http://ts.21cn.com/tousu/show/id/1335581","http://ts.21cn.com/tousu/show/id/1335581")</f>
        <v>http://ts.21cn.com/tousu/show/id/1335581</v>
      </c>
      <c r="F4794" s="2" t="s">
        <v>11</v>
      </c>
      <c r="G4794" s="2" t="s">
        <v>34721</v>
      </c>
      <c r="H4794" s="2" t="s">
        <v>34722</v>
      </c>
    </row>
    <row r="4795" spans="1:8" ht="25.05" customHeight="1" x14ac:dyDescent="0.25">
      <c r="A4795" s="2" t="s">
        <v>8</v>
      </c>
      <c r="B4795" s="2" t="str">
        <f>HYPERLINK("http://ts.21cn.com/tousu/show/id/1335584","好易借高利贷，还款日期不合理，要求协商处理并销账")</f>
        <v>好易借高利贷，还款日期不合理，要求协商处理并销账</v>
      </c>
      <c r="C4795" s="2" t="s">
        <v>9</v>
      </c>
      <c r="D4795" s="2" t="s">
        <v>10</v>
      </c>
      <c r="E4795" s="2" t="str">
        <f>HYPERLINK("http://ts.21cn.com/tousu/show/id/1335584","http://ts.21cn.com/tousu/show/id/1335584")</f>
        <v>http://ts.21cn.com/tousu/show/id/1335584</v>
      </c>
      <c r="F4795" s="2" t="s">
        <v>11</v>
      </c>
      <c r="G4795" s="2" t="s">
        <v>34719</v>
      </c>
      <c r="H4795" s="2" t="s">
        <v>34720</v>
      </c>
    </row>
    <row r="4796" spans="1:8" ht="25.05" customHeight="1" x14ac:dyDescent="0.25">
      <c r="A4796" s="2" t="s">
        <v>8</v>
      </c>
      <c r="B4796" s="2" t="str">
        <f>HYPERLINK("http://ts.21cn.com/tousu/show/id/1335583","京东活力花高利息")</f>
        <v>京东活力花高利息</v>
      </c>
      <c r="C4796" s="2" t="s">
        <v>9</v>
      </c>
      <c r="D4796" s="2" t="s">
        <v>10</v>
      </c>
      <c r="E4796" s="2" t="str">
        <f>HYPERLINK("http://ts.21cn.com/tousu/show/id/1335583","http://ts.21cn.com/tousu/show/id/1335583")</f>
        <v>http://ts.21cn.com/tousu/show/id/1335583</v>
      </c>
      <c r="F4796" s="2" t="s">
        <v>11</v>
      </c>
      <c r="G4796" s="2" t="s">
        <v>34717</v>
      </c>
      <c r="H4796" s="2" t="s">
        <v>34718</v>
      </c>
    </row>
    <row r="4797" spans="1:8" ht="25.05" customHeight="1" x14ac:dyDescent="0.25">
      <c r="A4797" s="2" t="s">
        <v>8</v>
      </c>
      <c r="B4797" s="2" t="str">
        <f>HYPERLINK("http://ts.21cn.com/tousu/show/id/1335586","支付宝商户给非法人员提供账户")</f>
        <v>支付宝商户给非法人员提供账户</v>
      </c>
      <c r="C4797" s="2" t="s">
        <v>9</v>
      </c>
      <c r="D4797" s="2" t="s">
        <v>10</v>
      </c>
      <c r="E4797" s="2" t="str">
        <f>HYPERLINK("http://ts.21cn.com/tousu/show/id/1335586","http://ts.21cn.com/tousu/show/id/1335586")</f>
        <v>http://ts.21cn.com/tousu/show/id/1335586</v>
      </c>
      <c r="F4797" s="2" t="s">
        <v>11</v>
      </c>
      <c r="G4797" s="2" t="s">
        <v>34714</v>
      </c>
      <c r="H4797" s="2" t="s">
        <v>34715</v>
      </c>
    </row>
    <row r="4798" spans="1:8" ht="25.05" customHeight="1" x14ac:dyDescent="0.25">
      <c r="A4798" s="2" t="s">
        <v>8</v>
      </c>
      <c r="B4798" s="2" t="str">
        <f>HYPERLINK("http://ts.21cn.com/tousu/show/id/1335585","小浦优客乱扣费")</f>
        <v>小浦优客乱扣费</v>
      </c>
      <c r="C4798" s="2" t="s">
        <v>9</v>
      </c>
      <c r="D4798" s="2" t="s">
        <v>10</v>
      </c>
      <c r="E4798" s="2" t="str">
        <f>HYPERLINK("http://ts.21cn.com/tousu/show/id/1335585","http://ts.21cn.com/tousu/show/id/1335585")</f>
        <v>http://ts.21cn.com/tousu/show/id/1335585</v>
      </c>
      <c r="F4798" s="2" t="s">
        <v>11</v>
      </c>
      <c r="G4798" s="2" t="s">
        <v>34714</v>
      </c>
      <c r="H4798" s="2" t="s">
        <v>34716</v>
      </c>
    </row>
    <row r="4799" spans="1:8" ht="25.05" customHeight="1" x14ac:dyDescent="0.25">
      <c r="A4799" s="2" t="s">
        <v>8</v>
      </c>
      <c r="B4799" s="2" t="str">
        <f>HYPERLINK("http://ts.21cn.com/tousu/show/id/1335587","钱站还款失败逾期利息过高")</f>
        <v>钱站还款失败逾期利息过高</v>
      </c>
      <c r="C4799" s="2" t="s">
        <v>34</v>
      </c>
      <c r="D4799" s="2" t="s">
        <v>10</v>
      </c>
      <c r="E4799" s="2" t="str">
        <f>HYPERLINK("http://ts.21cn.com/tousu/show/id/1335587","http://ts.21cn.com/tousu/show/id/1335587")</f>
        <v>http://ts.21cn.com/tousu/show/id/1335587</v>
      </c>
      <c r="F4799" s="2" t="s">
        <v>11</v>
      </c>
      <c r="G4799" s="2" t="s">
        <v>34712</v>
      </c>
      <c r="H4799" s="2" t="s">
        <v>34713</v>
      </c>
    </row>
    <row r="4800" spans="1:8" ht="25.05" customHeight="1" x14ac:dyDescent="0.25">
      <c r="A4800" s="2" t="s">
        <v>8</v>
      </c>
      <c r="B4800" s="2" t="str">
        <f>HYPERLINK("http://ts.21cn.com/tousu/show/id/1335588","光大银行暴力恐吓催收")</f>
        <v>光大银行暴力恐吓催收</v>
      </c>
      <c r="C4800" s="2" t="s">
        <v>9</v>
      </c>
      <c r="D4800" s="2" t="s">
        <v>10</v>
      </c>
      <c r="E4800" s="2" t="str">
        <f>HYPERLINK("http://ts.21cn.com/tousu/show/id/1335588","http://ts.21cn.com/tousu/show/id/1335588")</f>
        <v>http://ts.21cn.com/tousu/show/id/1335588</v>
      </c>
      <c r="F4800" s="2" t="s">
        <v>11</v>
      </c>
      <c r="G4800" s="2" t="s">
        <v>34709</v>
      </c>
      <c r="H4800" s="2" t="s">
        <v>34710</v>
      </c>
    </row>
    <row r="4801" spans="1:8" ht="25.05" customHeight="1" x14ac:dyDescent="0.25">
      <c r="A4801" s="2" t="s">
        <v>8</v>
      </c>
      <c r="B4801" s="2" t="str">
        <f>HYPERLINK("http://ts.21cn.com/tousu/show/id/1335589","宙斯钱包还款当天不断打电话催收")</f>
        <v>宙斯钱包还款当天不断打电话催收</v>
      </c>
      <c r="C4801" s="2" t="s">
        <v>9</v>
      </c>
      <c r="D4801" s="2" t="s">
        <v>10</v>
      </c>
      <c r="E4801" s="2" t="str">
        <f>HYPERLINK("http://ts.21cn.com/tousu/show/id/1335589","http://ts.21cn.com/tousu/show/id/1335589")</f>
        <v>http://ts.21cn.com/tousu/show/id/1335589</v>
      </c>
      <c r="F4801" s="2" t="s">
        <v>11</v>
      </c>
      <c r="G4801" s="2" t="s">
        <v>34709</v>
      </c>
      <c r="H4801" s="2" t="s">
        <v>34711</v>
      </c>
    </row>
    <row r="4802" spans="1:8" ht="25.05" customHeight="1" x14ac:dyDescent="0.25">
      <c r="A4802" s="2" t="s">
        <v>8</v>
      </c>
      <c r="B4802" s="2" t="str">
        <f>HYPERLINK("http://ts.21cn.com/tousu/show/id/1335590","交通银行因逾期违法疯狂打电话催收")</f>
        <v>交通银行因逾期违法疯狂打电话催收</v>
      </c>
      <c r="C4802" s="2" t="s">
        <v>9</v>
      </c>
      <c r="D4802" s="2" t="s">
        <v>10</v>
      </c>
      <c r="E4802" s="2" t="str">
        <f>HYPERLINK("http://ts.21cn.com/tousu/show/id/1335590","http://ts.21cn.com/tousu/show/id/1335590")</f>
        <v>http://ts.21cn.com/tousu/show/id/1335590</v>
      </c>
      <c r="F4802" s="2" t="s">
        <v>11</v>
      </c>
      <c r="G4802" s="2" t="s">
        <v>34707</v>
      </c>
      <c r="H4802" s="2" t="s">
        <v>34708</v>
      </c>
    </row>
    <row r="4803" spans="1:8" ht="25.05" customHeight="1" x14ac:dyDescent="0.25">
      <c r="A4803" s="2" t="s">
        <v>8</v>
      </c>
      <c r="B4803" s="2" t="str">
        <f>HYPERLINK("http://ts.21cn.com/tousu/show/id/1335592","拍拍贷高额利息")</f>
        <v>拍拍贷高额利息</v>
      </c>
      <c r="C4803" s="2" t="s">
        <v>9</v>
      </c>
      <c r="D4803" s="2" t="s">
        <v>10</v>
      </c>
      <c r="E4803" s="2" t="str">
        <f>HYPERLINK("http://ts.21cn.com/tousu/show/id/1335592","http://ts.21cn.com/tousu/show/id/1335592")</f>
        <v>http://ts.21cn.com/tousu/show/id/1335592</v>
      </c>
      <c r="F4803" s="2" t="s">
        <v>11</v>
      </c>
      <c r="G4803" s="2" t="s">
        <v>34705</v>
      </c>
      <c r="H4803" s="2" t="s">
        <v>34706</v>
      </c>
    </row>
    <row r="4804" spans="1:8" ht="25.05" customHeight="1" x14ac:dyDescent="0.25">
      <c r="A4804" s="2" t="s">
        <v>8</v>
      </c>
      <c r="B4804" s="2" t="str">
        <f>HYPERLINK("http://ts.21cn.com/tousu/show/id/1335591","快手")</f>
        <v>快手</v>
      </c>
      <c r="C4804" s="2" t="s">
        <v>34</v>
      </c>
      <c r="D4804" s="2" t="s">
        <v>10</v>
      </c>
      <c r="E4804" s="2" t="str">
        <f>HYPERLINK("http://ts.21cn.com/tousu/show/id/1335591","http://ts.21cn.com/tousu/show/id/1335591")</f>
        <v>http://ts.21cn.com/tousu/show/id/1335591</v>
      </c>
      <c r="F4804" s="2" t="s">
        <v>11</v>
      </c>
      <c r="G4804" s="2" t="s">
        <v>34703</v>
      </c>
      <c r="H4804" s="2" t="s">
        <v>34704</v>
      </c>
    </row>
    <row r="4805" spans="1:8" ht="25.05" customHeight="1" x14ac:dyDescent="0.25">
      <c r="A4805" s="2" t="s">
        <v>8</v>
      </c>
      <c r="B4805" s="2" t="str">
        <f>HYPERLINK("http://ts.21cn.com/tousu/show/id/1335593","四季沐歌太阳能质量差售后服务态度差")</f>
        <v>四季沐歌太阳能质量差售后服务态度差</v>
      </c>
      <c r="C4805" s="2" t="s">
        <v>9</v>
      </c>
      <c r="D4805" s="2" t="s">
        <v>10</v>
      </c>
      <c r="E4805" s="2" t="str">
        <f>HYPERLINK("http://ts.21cn.com/tousu/show/id/1335593","http://ts.21cn.com/tousu/show/id/1335593")</f>
        <v>http://ts.21cn.com/tousu/show/id/1335593</v>
      </c>
      <c r="F4805" s="2" t="s">
        <v>11</v>
      </c>
      <c r="G4805" s="2" t="s">
        <v>34701</v>
      </c>
      <c r="H4805" s="2" t="s">
        <v>34702</v>
      </c>
    </row>
    <row r="4806" spans="1:8" ht="25.05" customHeight="1" x14ac:dyDescent="0.25">
      <c r="A4806" s="2" t="s">
        <v>8</v>
      </c>
      <c r="B4806" s="2" t="str">
        <f>HYPERLINK("http://ts.21cn.com/tousu/show/id/1335594","商银信支付平台违规提供支付平台")</f>
        <v>商银信支付平台违规提供支付平台</v>
      </c>
      <c r="C4806" s="2" t="s">
        <v>9</v>
      </c>
      <c r="D4806" s="2" t="s">
        <v>10</v>
      </c>
      <c r="E4806" s="2" t="str">
        <f>HYPERLINK("http://ts.21cn.com/tousu/show/id/1335594","http://ts.21cn.com/tousu/show/id/1335594")</f>
        <v>http://ts.21cn.com/tousu/show/id/1335594</v>
      </c>
      <c r="F4806" s="2" t="s">
        <v>11</v>
      </c>
      <c r="G4806" s="2" t="s">
        <v>34699</v>
      </c>
      <c r="H4806" s="2" t="s">
        <v>34700</v>
      </c>
    </row>
    <row r="4807" spans="1:8" ht="25.05" customHeight="1" x14ac:dyDescent="0.25">
      <c r="A4807" s="2" t="s">
        <v>8</v>
      </c>
      <c r="B4807" s="2" t="str">
        <f>HYPERLINK("http://ts.21cn.com/tousu/show/id/1335595","客服态度不好，遇问题不处理")</f>
        <v>客服态度不好，遇问题不处理</v>
      </c>
      <c r="C4807" s="2" t="s">
        <v>9</v>
      </c>
      <c r="D4807" s="2" t="s">
        <v>10</v>
      </c>
      <c r="E4807" s="2" t="str">
        <f>HYPERLINK("http://ts.21cn.com/tousu/show/id/1335595","http://ts.21cn.com/tousu/show/id/1335595")</f>
        <v>http://ts.21cn.com/tousu/show/id/1335595</v>
      </c>
      <c r="F4807" s="2" t="s">
        <v>11</v>
      </c>
      <c r="G4807" s="2" t="s">
        <v>34697</v>
      </c>
      <c r="H4807" s="2" t="s">
        <v>34698</v>
      </c>
    </row>
    <row r="4808" spans="1:8" ht="25.05" customHeight="1" x14ac:dyDescent="0.25">
      <c r="A4808" s="2" t="s">
        <v>8</v>
      </c>
      <c r="B4808" s="2" t="str">
        <f>HYPERLINK("http://ts.21cn.com/tousu/show/id/1335596","交通银行信用卡客服威胁恐吓")</f>
        <v>交通银行信用卡客服威胁恐吓</v>
      </c>
      <c r="C4808" s="2" t="s">
        <v>9</v>
      </c>
      <c r="D4808" s="2" t="s">
        <v>10</v>
      </c>
      <c r="E4808" s="2" t="str">
        <f>HYPERLINK("http://ts.21cn.com/tousu/show/id/1335596","http://ts.21cn.com/tousu/show/id/1335596")</f>
        <v>http://ts.21cn.com/tousu/show/id/1335596</v>
      </c>
      <c r="F4808" s="2" t="s">
        <v>11</v>
      </c>
      <c r="G4808" s="2" t="s">
        <v>34695</v>
      </c>
      <c r="H4808" s="2" t="s">
        <v>34696</v>
      </c>
    </row>
    <row r="4809" spans="1:8" ht="25.05" customHeight="1" x14ac:dyDescent="0.25">
      <c r="A4809" s="2" t="s">
        <v>8</v>
      </c>
      <c r="B4809" s="2" t="str">
        <f>HYPERLINK("http://ts.21cn.com/tousu/show/id/1335597","闪电借款购买不合理的财神黑卡才可退款而且申请退不了。")</f>
        <v>闪电借款购买不合理的财神黑卡才可退款而且申请退不了。</v>
      </c>
      <c r="C4809" s="2" t="s">
        <v>9</v>
      </c>
      <c r="D4809" s="2" t="s">
        <v>10</v>
      </c>
      <c r="E4809" s="2" t="str">
        <f>HYPERLINK("http://ts.21cn.com/tousu/show/id/1335597","http://ts.21cn.com/tousu/show/id/1335597")</f>
        <v>http://ts.21cn.com/tousu/show/id/1335597</v>
      </c>
      <c r="F4809" s="2" t="s">
        <v>11</v>
      </c>
      <c r="G4809" s="2" t="s">
        <v>34693</v>
      </c>
      <c r="H4809" s="2" t="s">
        <v>34694</v>
      </c>
    </row>
    <row r="4810" spans="1:8" ht="25.05" customHeight="1" x14ac:dyDescent="0.25">
      <c r="A4810" s="2" t="s">
        <v>8</v>
      </c>
      <c r="B4810" s="2" t="str">
        <f>HYPERLINK("http://ts.21cn.com/tousu/show/id/1335598","立借钱置宝严重高利贷")</f>
        <v>立借钱置宝严重高利贷</v>
      </c>
      <c r="C4810" s="2" t="s">
        <v>9</v>
      </c>
      <c r="D4810" s="2" t="s">
        <v>10</v>
      </c>
      <c r="E4810" s="2" t="str">
        <f>HYPERLINK("http://ts.21cn.com/tousu/show/id/1335598","http://ts.21cn.com/tousu/show/id/1335598")</f>
        <v>http://ts.21cn.com/tousu/show/id/1335598</v>
      </c>
      <c r="F4810" s="2" t="s">
        <v>11</v>
      </c>
      <c r="G4810" s="2" t="s">
        <v>34691</v>
      </c>
      <c r="H4810" s="2" t="s">
        <v>34692</v>
      </c>
    </row>
    <row r="4811" spans="1:8" ht="25.05" customHeight="1" x14ac:dyDescent="0.25">
      <c r="A4811" s="2" t="s">
        <v>8</v>
      </c>
      <c r="B4811" s="2" t="str">
        <f>HYPERLINK("http://ts.21cn.com/tousu/show/id/1335599","玖富万卡高利贷，阴阳合同")</f>
        <v>玖富万卡高利贷，阴阳合同</v>
      </c>
      <c r="C4811" s="2" t="s">
        <v>9</v>
      </c>
      <c r="D4811" s="2" t="s">
        <v>10</v>
      </c>
      <c r="E4811" s="2" t="str">
        <f>HYPERLINK("http://ts.21cn.com/tousu/show/id/1335599","http://ts.21cn.com/tousu/show/id/1335599")</f>
        <v>http://ts.21cn.com/tousu/show/id/1335599</v>
      </c>
      <c r="F4811" s="2" t="s">
        <v>11</v>
      </c>
      <c r="G4811" s="2" t="s">
        <v>34689</v>
      </c>
      <c r="H4811" s="2" t="s">
        <v>34690</v>
      </c>
    </row>
    <row r="4812" spans="1:8" ht="25.05" customHeight="1" x14ac:dyDescent="0.25">
      <c r="A4812" s="2" t="s">
        <v>8</v>
      </c>
      <c r="B4812" s="2" t="str">
        <f>HYPERLINK("http://ts.21cn.com/tousu/show/id/1335600","还款链接打开失效，主动还款失败")</f>
        <v>还款链接打开失效，主动还款失败</v>
      </c>
      <c r="C4812" s="2" t="s">
        <v>34</v>
      </c>
      <c r="D4812" s="2" t="s">
        <v>10</v>
      </c>
      <c r="E4812" s="2" t="str">
        <f>HYPERLINK("http://ts.21cn.com/tousu/show/id/1335600","http://ts.21cn.com/tousu/show/id/1335600")</f>
        <v>http://ts.21cn.com/tousu/show/id/1335600</v>
      </c>
      <c r="F4812" s="2" t="s">
        <v>11</v>
      </c>
      <c r="G4812" s="2" t="s">
        <v>34687</v>
      </c>
      <c r="H4812" s="2" t="s">
        <v>34688</v>
      </c>
    </row>
    <row r="4813" spans="1:8" ht="25.05" customHeight="1" x14ac:dyDescent="0.25">
      <c r="A4813" s="2" t="s">
        <v>8</v>
      </c>
      <c r="B4813" s="2" t="str">
        <f>HYPERLINK("http://ts.21cn.com/tousu/show/id/1335601","美团珠江夜游退款")</f>
        <v>美团珠江夜游退款</v>
      </c>
      <c r="C4813" s="2" t="s">
        <v>34</v>
      </c>
      <c r="D4813" s="2" t="s">
        <v>10</v>
      </c>
      <c r="E4813" s="2" t="str">
        <f>HYPERLINK("http://ts.21cn.com/tousu/show/id/1335601","http://ts.21cn.com/tousu/show/id/1335601")</f>
        <v>http://ts.21cn.com/tousu/show/id/1335601</v>
      </c>
      <c r="F4813" s="2" t="s">
        <v>11</v>
      </c>
      <c r="G4813" s="2" t="s">
        <v>34685</v>
      </c>
      <c r="H4813" s="2" t="s">
        <v>34686</v>
      </c>
    </row>
    <row r="4814" spans="1:8" ht="25.05" customHeight="1" x14ac:dyDescent="0.25">
      <c r="A4814" s="2" t="s">
        <v>8</v>
      </c>
      <c r="B4814" s="2" t="str">
        <f>HYPERLINK("http://ts.21cn.com/tousu/show/id/1335602","转转号无故封禁")</f>
        <v>转转号无故封禁</v>
      </c>
      <c r="C4814" s="2" t="s">
        <v>34</v>
      </c>
      <c r="D4814" s="2" t="s">
        <v>10</v>
      </c>
      <c r="E4814" s="2" t="str">
        <f>HYPERLINK("http://ts.21cn.com/tousu/show/id/1335602","http://ts.21cn.com/tousu/show/id/1335602")</f>
        <v>http://ts.21cn.com/tousu/show/id/1335602</v>
      </c>
      <c r="F4814" s="2" t="s">
        <v>11</v>
      </c>
      <c r="G4814" s="2" t="s">
        <v>34683</v>
      </c>
      <c r="H4814" s="2" t="s">
        <v>34684</v>
      </c>
    </row>
    <row r="4815" spans="1:8" ht="25.05" customHeight="1" x14ac:dyDescent="0.25">
      <c r="A4815" s="2" t="s">
        <v>8</v>
      </c>
      <c r="B4815" s="2" t="str">
        <f>HYPERLINK("http://ts.21cn.com/tousu/show/id/1335603","活力花暴力催收")</f>
        <v>活力花暴力催收</v>
      </c>
      <c r="C4815" s="2" t="s">
        <v>9</v>
      </c>
      <c r="D4815" s="2" t="s">
        <v>10</v>
      </c>
      <c r="E4815" s="2" t="str">
        <f>HYPERLINK("http://ts.21cn.com/tousu/show/id/1335603","http://ts.21cn.com/tousu/show/id/1335603")</f>
        <v>http://ts.21cn.com/tousu/show/id/1335603</v>
      </c>
      <c r="F4815" s="2" t="s">
        <v>11</v>
      </c>
      <c r="G4815" s="2" t="s">
        <v>34681</v>
      </c>
      <c r="H4815" s="2" t="s">
        <v>34682</v>
      </c>
    </row>
    <row r="4816" spans="1:8" ht="25.05" customHeight="1" x14ac:dyDescent="0.25">
      <c r="A4816" s="2" t="s">
        <v>8</v>
      </c>
      <c r="B4816" s="2" t="str">
        <f>HYPERLINK("http://ts.21cn.com/tousu/show/id/1335604","及贷恶意增加本金及费用")</f>
        <v>及贷恶意增加本金及费用</v>
      </c>
      <c r="C4816" s="2" t="s">
        <v>9</v>
      </c>
      <c r="D4816" s="2" t="s">
        <v>10</v>
      </c>
      <c r="E4816" s="2" t="str">
        <f>HYPERLINK("http://ts.21cn.com/tousu/show/id/1335604","http://ts.21cn.com/tousu/show/id/1335604")</f>
        <v>http://ts.21cn.com/tousu/show/id/1335604</v>
      </c>
      <c r="F4816" s="2" t="s">
        <v>11</v>
      </c>
      <c r="G4816" s="2" t="s">
        <v>34679</v>
      </c>
      <c r="H4816" s="2" t="s">
        <v>34680</v>
      </c>
    </row>
    <row r="4817" spans="1:8" ht="25.05" customHeight="1" x14ac:dyDescent="0.25">
      <c r="A4817" s="2" t="s">
        <v>8</v>
      </c>
      <c r="B4817" s="2" t="str">
        <f>HYPERLINK("http://ts.21cn.com/tousu/show/id/1335605","多米贷暴力催收")</f>
        <v>多米贷暴力催收</v>
      </c>
      <c r="C4817" s="2" t="s">
        <v>9</v>
      </c>
      <c r="D4817" s="2" t="s">
        <v>10</v>
      </c>
      <c r="E4817" s="2" t="str">
        <f>HYPERLINK("http://ts.21cn.com/tousu/show/id/1335605","http://ts.21cn.com/tousu/show/id/1335605")</f>
        <v>http://ts.21cn.com/tousu/show/id/1335605</v>
      </c>
      <c r="F4817" s="2" t="s">
        <v>11</v>
      </c>
      <c r="G4817" s="2" t="s">
        <v>34677</v>
      </c>
      <c r="H4817" s="2" t="s">
        <v>34678</v>
      </c>
    </row>
    <row r="4818" spans="1:8" ht="25.05" customHeight="1" x14ac:dyDescent="0.25">
      <c r="A4818" s="2" t="s">
        <v>8</v>
      </c>
      <c r="B4818" s="2" t="str">
        <f>HYPERLINK("http://ts.21cn.com/tousu/show/id/1335606","新橙优品催收")</f>
        <v>新橙优品催收</v>
      </c>
      <c r="C4818" s="2" t="s">
        <v>9</v>
      </c>
      <c r="D4818" s="2" t="s">
        <v>10</v>
      </c>
      <c r="E4818" s="2" t="str">
        <f>HYPERLINK("http://ts.21cn.com/tousu/show/id/1335606","http://ts.21cn.com/tousu/show/id/1335606")</f>
        <v>http://ts.21cn.com/tousu/show/id/1335606</v>
      </c>
      <c r="F4818" s="2" t="s">
        <v>11</v>
      </c>
      <c r="G4818" s="2" t="s">
        <v>34676</v>
      </c>
      <c r="H4818" s="2" t="s">
        <v>33483</v>
      </c>
    </row>
    <row r="4819" spans="1:8" ht="25.05" customHeight="1" x14ac:dyDescent="0.25">
      <c r="A4819" s="2" t="s">
        <v>8</v>
      </c>
      <c r="B4819" s="2" t="str">
        <f>HYPERLINK("http://ts.21cn.com/tousu/show/id/1335607","中腾信，砍头息，高利贷，群发隐私违规催收。")</f>
        <v>中腾信，砍头息，高利贷，群发隐私违规催收。</v>
      </c>
      <c r="C4819" s="2" t="s">
        <v>9</v>
      </c>
      <c r="D4819" s="2" t="s">
        <v>10</v>
      </c>
      <c r="E4819" s="2" t="str">
        <f>HYPERLINK("http://ts.21cn.com/tousu/show/id/1335607","http://ts.21cn.com/tousu/show/id/1335607")</f>
        <v>http://ts.21cn.com/tousu/show/id/1335607</v>
      </c>
      <c r="F4819" s="2" t="s">
        <v>11</v>
      </c>
      <c r="G4819" s="2" t="s">
        <v>34674</v>
      </c>
      <c r="H4819" s="2" t="s">
        <v>34675</v>
      </c>
    </row>
    <row r="4820" spans="1:8" ht="25.05" customHeight="1" x14ac:dyDescent="0.25">
      <c r="A4820" s="2" t="s">
        <v>8</v>
      </c>
      <c r="B4820" s="2" t="str">
        <f>HYPERLINK("http://ts.21cn.com/tousu/show/id/1335608","毫不知情，强行扣费")</f>
        <v>毫不知情，强行扣费</v>
      </c>
      <c r="C4820" s="2" t="s">
        <v>9</v>
      </c>
      <c r="D4820" s="2" t="s">
        <v>10</v>
      </c>
      <c r="E4820" s="2" t="str">
        <f>HYPERLINK("http://ts.21cn.com/tousu/show/id/1335608","http://ts.21cn.com/tousu/show/id/1335608")</f>
        <v>http://ts.21cn.com/tousu/show/id/1335608</v>
      </c>
      <c r="F4820" s="2" t="s">
        <v>11</v>
      </c>
      <c r="G4820" s="2" t="s">
        <v>34672</v>
      </c>
      <c r="H4820" s="2" t="s">
        <v>34673</v>
      </c>
    </row>
    <row r="4821" spans="1:8" ht="25.05" customHeight="1" x14ac:dyDescent="0.25">
      <c r="A4821" s="2" t="s">
        <v>8</v>
      </c>
      <c r="B4821" s="2" t="str">
        <f>HYPERLINK("http://ts.21cn.com/tousu/show/id/1335609","没有跟中金签约无缘无故扣我的钱")</f>
        <v>没有跟中金签约无缘无故扣我的钱</v>
      </c>
      <c r="C4821" s="2" t="s">
        <v>9</v>
      </c>
      <c r="D4821" s="2" t="s">
        <v>10</v>
      </c>
      <c r="E4821" s="2" t="str">
        <f>HYPERLINK("http://ts.21cn.com/tousu/show/id/1335609","http://ts.21cn.com/tousu/show/id/1335609")</f>
        <v>http://ts.21cn.com/tousu/show/id/1335609</v>
      </c>
      <c r="F4821" s="2" t="s">
        <v>11</v>
      </c>
      <c r="G4821" s="2" t="s">
        <v>34670</v>
      </c>
      <c r="H4821" s="2" t="s">
        <v>34671</v>
      </c>
    </row>
    <row r="4822" spans="1:8" ht="25.05" customHeight="1" x14ac:dyDescent="0.25">
      <c r="A4822" s="2" t="s">
        <v>8</v>
      </c>
      <c r="B4822" s="2" t="str">
        <f>HYPERLINK("http://ts.21cn.com/tousu/show/id/1335610","自由魔卡六便士砍头息暴力催收")</f>
        <v>自由魔卡六便士砍头息暴力催收</v>
      </c>
      <c r="C4822" s="2" t="s">
        <v>9</v>
      </c>
      <c r="D4822" s="2" t="s">
        <v>10</v>
      </c>
      <c r="E4822" s="2" t="str">
        <f>HYPERLINK("http://ts.21cn.com/tousu/show/id/1335610","http://ts.21cn.com/tousu/show/id/1335610")</f>
        <v>http://ts.21cn.com/tousu/show/id/1335610</v>
      </c>
      <c r="F4822" s="2" t="s">
        <v>11</v>
      </c>
      <c r="G4822" s="2" t="s">
        <v>34668</v>
      </c>
      <c r="H4822" s="2" t="s">
        <v>34669</v>
      </c>
    </row>
    <row r="4823" spans="1:8" ht="25.05" customHeight="1" x14ac:dyDescent="0.25">
      <c r="A4823" s="2" t="s">
        <v>8</v>
      </c>
      <c r="B4823" s="2" t="str">
        <f>HYPERLINK("http://ts.21cn.com/tousu/show/id/1335611","中国银行信用卡没有任何提示扣除额度")</f>
        <v>中国银行信用卡没有任何提示扣除额度</v>
      </c>
      <c r="C4823" s="2" t="s">
        <v>9</v>
      </c>
      <c r="D4823" s="2" t="s">
        <v>10</v>
      </c>
      <c r="E4823" s="2" t="str">
        <f>HYPERLINK("http://ts.21cn.com/tousu/show/id/1335611","http://ts.21cn.com/tousu/show/id/1335611")</f>
        <v>http://ts.21cn.com/tousu/show/id/1335611</v>
      </c>
      <c r="F4823" s="2" t="s">
        <v>11</v>
      </c>
      <c r="G4823" s="2" t="s">
        <v>34666</v>
      </c>
      <c r="H4823" s="2" t="s">
        <v>34667</v>
      </c>
    </row>
    <row r="4824" spans="1:8" ht="25.05" customHeight="1" x14ac:dyDescent="0.25">
      <c r="A4824" s="2" t="s">
        <v>8</v>
      </c>
      <c r="B4824" s="2" t="str">
        <f>HYPERLINK("http://ts.21cn.com/tousu/show/id/1335612","诚信经营；退还保证金；迟迟不处理")</f>
        <v>诚信经营；退还保证金；迟迟不处理</v>
      </c>
      <c r="C4824" s="2" t="s">
        <v>9</v>
      </c>
      <c r="D4824" s="2" t="s">
        <v>10</v>
      </c>
      <c r="E4824" s="2" t="str">
        <f>HYPERLINK("http://ts.21cn.com/tousu/show/id/1335612","http://ts.21cn.com/tousu/show/id/1335612")</f>
        <v>http://ts.21cn.com/tousu/show/id/1335612</v>
      </c>
      <c r="F4824" s="2" t="s">
        <v>11</v>
      </c>
      <c r="G4824" s="2" t="s">
        <v>34664</v>
      </c>
      <c r="H4824" s="2" t="s">
        <v>34665</v>
      </c>
    </row>
    <row r="4825" spans="1:8" ht="25.05" customHeight="1" x14ac:dyDescent="0.25">
      <c r="A4825" s="2" t="s">
        <v>8</v>
      </c>
      <c r="B4825" s="2" t="str">
        <f>HYPERLINK("http://ts.21cn.com/tousu/show/id/1335613","凡普金科旗下钱站就是高利贷，喝人血灭绝人性，借九千四还了十万九千七百多，现在还要还四万八千")</f>
        <v>凡普金科旗下钱站就是高利贷，喝人血灭绝人性，借九千四还了十万九千七百多，现在还要还四万八千</v>
      </c>
      <c r="C4825" s="2" t="s">
        <v>9</v>
      </c>
      <c r="D4825" s="2" t="s">
        <v>10</v>
      </c>
      <c r="E4825" s="2" t="str">
        <f>HYPERLINK("http://ts.21cn.com/tousu/show/id/1335613","http://ts.21cn.com/tousu/show/id/1335613")</f>
        <v>http://ts.21cn.com/tousu/show/id/1335613</v>
      </c>
      <c r="F4825" s="2" t="s">
        <v>11</v>
      </c>
      <c r="G4825" s="2" t="s">
        <v>34662</v>
      </c>
      <c r="H4825" s="2" t="s">
        <v>34663</v>
      </c>
    </row>
    <row r="4826" spans="1:8" ht="25.05" customHeight="1" x14ac:dyDescent="0.25">
      <c r="A4826" s="2" t="s">
        <v>8</v>
      </c>
      <c r="B4826" s="2" t="str">
        <f>HYPERLINK("http://ts.21cn.com/tousu/show/id/1335614","豹子贷无故扣钱不需要还要扣")</f>
        <v>豹子贷无故扣钱不需要还要扣</v>
      </c>
      <c r="C4826" s="2" t="s">
        <v>9</v>
      </c>
      <c r="D4826" s="2" t="s">
        <v>10</v>
      </c>
      <c r="E4826" s="2" t="str">
        <f>HYPERLINK("http://ts.21cn.com/tousu/show/id/1335614","http://ts.21cn.com/tousu/show/id/1335614")</f>
        <v>http://ts.21cn.com/tousu/show/id/1335614</v>
      </c>
      <c r="F4826" s="2" t="s">
        <v>11</v>
      </c>
      <c r="G4826" s="2" t="s">
        <v>34660</v>
      </c>
      <c r="H4826" s="2" t="s">
        <v>34661</v>
      </c>
    </row>
    <row r="4827" spans="1:8" ht="25.05" customHeight="1" x14ac:dyDescent="0.25">
      <c r="A4827" s="2" t="s">
        <v>8</v>
      </c>
      <c r="B4827" s="2" t="str">
        <f>HYPERLINK("http://ts.21cn.com/tousu/show/id/1335615","拼多多中国最垃圾网店平台")</f>
        <v>拼多多中国最垃圾网店平台</v>
      </c>
      <c r="C4827" s="2" t="s">
        <v>9</v>
      </c>
      <c r="D4827" s="2" t="s">
        <v>10</v>
      </c>
      <c r="E4827" s="2" t="str">
        <f>HYPERLINK("http://ts.21cn.com/tousu/show/id/1335615","http://ts.21cn.com/tousu/show/id/1335615")</f>
        <v>http://ts.21cn.com/tousu/show/id/1335615</v>
      </c>
      <c r="F4827" s="2" t="s">
        <v>11</v>
      </c>
      <c r="G4827" s="2" t="s">
        <v>34658</v>
      </c>
      <c r="H4827" s="2" t="s">
        <v>34659</v>
      </c>
    </row>
    <row r="4828" spans="1:8" ht="25.05" customHeight="1" x14ac:dyDescent="0.25">
      <c r="A4828" s="2" t="s">
        <v>8</v>
      </c>
      <c r="B4828" s="2" t="str">
        <f>HYPERLINK("http://ts.21cn.com/tousu/show/id/1335616","高利贷")</f>
        <v>高利贷</v>
      </c>
      <c r="C4828" s="2" t="s">
        <v>9</v>
      </c>
      <c r="D4828" s="2" t="s">
        <v>10</v>
      </c>
      <c r="E4828" s="2" t="str">
        <f>HYPERLINK("http://ts.21cn.com/tousu/show/id/1335616","http://ts.21cn.com/tousu/show/id/1335616")</f>
        <v>http://ts.21cn.com/tousu/show/id/1335616</v>
      </c>
      <c r="F4828" s="2" t="s">
        <v>11</v>
      </c>
      <c r="G4828" s="2" t="s">
        <v>34656</v>
      </c>
      <c r="H4828" s="2" t="s">
        <v>34657</v>
      </c>
    </row>
    <row r="4829" spans="1:8" ht="25.05" customHeight="1" x14ac:dyDescent="0.25">
      <c r="A4829" s="2" t="s">
        <v>8</v>
      </c>
      <c r="B4829" s="2" t="str">
        <f>HYPERLINK("http://ts.21cn.com/tousu/show/id/1335617","淘手游平台不处理不退款")</f>
        <v>淘手游平台不处理不退款</v>
      </c>
      <c r="C4829" s="2" t="s">
        <v>9</v>
      </c>
      <c r="D4829" s="2" t="s">
        <v>10</v>
      </c>
      <c r="E4829" s="2" t="str">
        <f>HYPERLINK("http://ts.21cn.com/tousu/show/id/1335617","http://ts.21cn.com/tousu/show/id/1335617")</f>
        <v>http://ts.21cn.com/tousu/show/id/1335617</v>
      </c>
      <c r="F4829" s="2" t="s">
        <v>11</v>
      </c>
      <c r="G4829" s="2" t="s">
        <v>34654</v>
      </c>
      <c r="H4829" s="2" t="s">
        <v>34655</v>
      </c>
    </row>
    <row r="4830" spans="1:8" ht="25.05" customHeight="1" x14ac:dyDescent="0.25">
      <c r="A4830" s="2" t="s">
        <v>8</v>
      </c>
      <c r="B4830" s="2" t="str">
        <f>HYPERLINK("http://ts.21cn.com/tousu/show/id/1335618","食品安全问题")</f>
        <v>食品安全问题</v>
      </c>
      <c r="C4830" s="2" t="s">
        <v>9</v>
      </c>
      <c r="D4830" s="2" t="s">
        <v>10</v>
      </c>
      <c r="E4830" s="2" t="str">
        <f>HYPERLINK("http://ts.21cn.com/tousu/show/id/1335618","http://ts.21cn.com/tousu/show/id/1335618")</f>
        <v>http://ts.21cn.com/tousu/show/id/1335618</v>
      </c>
      <c r="F4830" s="2" t="s">
        <v>11</v>
      </c>
      <c r="G4830" s="2" t="s">
        <v>34652</v>
      </c>
      <c r="H4830" s="2" t="s">
        <v>34653</v>
      </c>
    </row>
    <row r="4831" spans="1:8" ht="25.05" customHeight="1" x14ac:dyDescent="0.25">
      <c r="A4831" s="2" t="s">
        <v>8</v>
      </c>
      <c r="B4831" s="2" t="str">
        <f>HYPERLINK("http://ts.21cn.com/tousu/show/id/1335619","合肥新桥机场工作人员虚假宣传办航盟会员卡")</f>
        <v>合肥新桥机场工作人员虚假宣传办航盟会员卡</v>
      </c>
      <c r="C4831" s="2" t="s">
        <v>9</v>
      </c>
      <c r="D4831" s="2" t="s">
        <v>10</v>
      </c>
      <c r="E4831" s="2" t="str">
        <f>HYPERLINK("http://ts.21cn.com/tousu/show/id/1335619","http://ts.21cn.com/tousu/show/id/1335619")</f>
        <v>http://ts.21cn.com/tousu/show/id/1335619</v>
      </c>
      <c r="F4831" s="2" t="s">
        <v>11</v>
      </c>
      <c r="G4831" s="2" t="s">
        <v>34650</v>
      </c>
      <c r="H4831" s="2" t="s">
        <v>34651</v>
      </c>
    </row>
    <row r="4832" spans="1:8" ht="25.05" customHeight="1" x14ac:dyDescent="0.25">
      <c r="A4832" s="2" t="s">
        <v>8</v>
      </c>
      <c r="B4832" s="2" t="str">
        <f>HYPERLINK("http://ts.21cn.com/tousu/show/id/1335620","qq飞车不予退款，上传凭证迟迟不理人，难道现在腾讯公司现在是店大欺客吗？")</f>
        <v>qq飞车不予退款，上传凭证迟迟不理人，难道现在腾讯公司现在是店大欺客吗？</v>
      </c>
      <c r="C4832" s="2" t="s">
        <v>9</v>
      </c>
      <c r="D4832" s="2" t="s">
        <v>10</v>
      </c>
      <c r="E4832" s="2" t="str">
        <f>HYPERLINK("http://ts.21cn.com/tousu/show/id/1335620","http://ts.21cn.com/tousu/show/id/1335620")</f>
        <v>http://ts.21cn.com/tousu/show/id/1335620</v>
      </c>
      <c r="F4832" s="2" t="s">
        <v>11</v>
      </c>
      <c r="G4832" s="2" t="s">
        <v>34648</v>
      </c>
      <c r="H4832" s="2" t="s">
        <v>34649</v>
      </c>
    </row>
    <row r="4833" spans="1:8" ht="25.05" customHeight="1" x14ac:dyDescent="0.25">
      <c r="A4833" s="2" t="s">
        <v>8</v>
      </c>
      <c r="B4833" s="2" t="str">
        <f>HYPERLINK("http://ts.21cn.com/tousu/show/id/1335621","无故扣款，事先没有任何说明")</f>
        <v>无故扣款，事先没有任何说明</v>
      </c>
      <c r="C4833" s="2" t="s">
        <v>9</v>
      </c>
      <c r="D4833" s="2" t="s">
        <v>10</v>
      </c>
      <c r="E4833" s="2" t="str">
        <f>HYPERLINK("http://ts.21cn.com/tousu/show/id/1335621","http://ts.21cn.com/tousu/show/id/1335621")</f>
        <v>http://ts.21cn.com/tousu/show/id/1335621</v>
      </c>
      <c r="F4833" s="2" t="s">
        <v>11</v>
      </c>
      <c r="G4833" s="2" t="s">
        <v>34646</v>
      </c>
      <c r="H4833" s="2" t="s">
        <v>34647</v>
      </c>
    </row>
    <row r="4834" spans="1:8" ht="25.05" customHeight="1" x14ac:dyDescent="0.25">
      <c r="A4834" s="2" t="s">
        <v>8</v>
      </c>
      <c r="B4834" s="2" t="str">
        <f>HYPERLINK("http://ts.21cn.com/tousu/show/id/1335622","未经允许扣钱")</f>
        <v>未经允许扣钱</v>
      </c>
      <c r="C4834" s="2" t="s">
        <v>9</v>
      </c>
      <c r="D4834" s="2" t="s">
        <v>10</v>
      </c>
      <c r="E4834" s="2" t="str">
        <f>HYPERLINK("http://ts.21cn.com/tousu/show/id/1335622","http://ts.21cn.com/tousu/show/id/1335622")</f>
        <v>http://ts.21cn.com/tousu/show/id/1335622</v>
      </c>
      <c r="F4834" s="2" t="s">
        <v>11</v>
      </c>
      <c r="G4834" s="2" t="s">
        <v>34644</v>
      </c>
      <c r="H4834" s="2" t="s">
        <v>34645</v>
      </c>
    </row>
    <row r="4835" spans="1:8" ht="25.05" customHeight="1" x14ac:dyDescent="0.25">
      <c r="A4835" s="2" t="s">
        <v>8</v>
      </c>
      <c r="B4835" s="2" t="str">
        <f>HYPERLINK("http://ts.21cn.com/tousu/show/id/1335624","高利息")</f>
        <v>高利息</v>
      </c>
      <c r="C4835" s="2" t="s">
        <v>9</v>
      </c>
      <c r="D4835" s="2" t="s">
        <v>10</v>
      </c>
      <c r="E4835" s="2" t="str">
        <f>HYPERLINK("http://ts.21cn.com/tousu/show/id/1335624","http://ts.21cn.com/tousu/show/id/1335624")</f>
        <v>http://ts.21cn.com/tousu/show/id/1335624</v>
      </c>
      <c r="F4835" s="2" t="s">
        <v>11</v>
      </c>
      <c r="G4835" s="2" t="s">
        <v>34642</v>
      </c>
      <c r="H4835" s="2" t="s">
        <v>34643</v>
      </c>
    </row>
    <row r="4836" spans="1:8" ht="25.05" customHeight="1" x14ac:dyDescent="0.25">
      <c r="A4836" s="2" t="s">
        <v>8</v>
      </c>
      <c r="B4836" s="2" t="str">
        <f>HYPERLINK("http://ts.21cn.com/tousu/show/id/1335623","活力花不愿协商")</f>
        <v>活力花不愿协商</v>
      </c>
      <c r="C4836" s="2" t="s">
        <v>9</v>
      </c>
      <c r="D4836" s="2" t="s">
        <v>10</v>
      </c>
      <c r="E4836" s="2" t="str">
        <f>HYPERLINK("http://ts.21cn.com/tousu/show/id/1335623","http://ts.21cn.com/tousu/show/id/1335623")</f>
        <v>http://ts.21cn.com/tousu/show/id/1335623</v>
      </c>
      <c r="F4836" s="2" t="s">
        <v>11</v>
      </c>
      <c r="G4836" s="2" t="s">
        <v>34640</v>
      </c>
      <c r="H4836" s="2" t="s">
        <v>34641</v>
      </c>
    </row>
    <row r="4837" spans="1:8" ht="25.05" customHeight="1" x14ac:dyDescent="0.25">
      <c r="A4837" s="2" t="s">
        <v>8</v>
      </c>
      <c r="B4837" s="2" t="str">
        <f>HYPERLINK("http://ts.21cn.com/tousu/show/id/1335625","快易熊还款失败造成逾期")</f>
        <v>快易熊还款失败造成逾期</v>
      </c>
      <c r="C4837" s="2" t="s">
        <v>9</v>
      </c>
      <c r="D4837" s="2" t="s">
        <v>10</v>
      </c>
      <c r="E4837" s="2" t="str">
        <f>HYPERLINK("http://ts.21cn.com/tousu/show/id/1335625","http://ts.21cn.com/tousu/show/id/1335625")</f>
        <v>http://ts.21cn.com/tousu/show/id/1335625</v>
      </c>
      <c r="F4837" s="2" t="s">
        <v>11</v>
      </c>
      <c r="G4837" s="2" t="s">
        <v>34638</v>
      </c>
      <c r="H4837" s="2" t="s">
        <v>34639</v>
      </c>
    </row>
    <row r="4838" spans="1:8" ht="25.05" customHeight="1" x14ac:dyDescent="0.25">
      <c r="A4838" s="2" t="s">
        <v>8</v>
      </c>
      <c r="B4838" s="2" t="str">
        <f>HYPERLINK("http://ts.21cn.com/tousu/show/id/1335627","超高利贷，套路贷款，暴力催收")</f>
        <v>超高利贷，套路贷款，暴力催收</v>
      </c>
      <c r="C4838" s="2" t="s">
        <v>9</v>
      </c>
      <c r="D4838" s="2" t="s">
        <v>10</v>
      </c>
      <c r="E4838" s="2" t="str">
        <f>HYPERLINK("http://ts.21cn.com/tousu/show/id/1335627","http://ts.21cn.com/tousu/show/id/1335627")</f>
        <v>http://ts.21cn.com/tousu/show/id/1335627</v>
      </c>
      <c r="F4838" s="2" t="s">
        <v>11</v>
      </c>
      <c r="G4838" s="2" t="s">
        <v>34636</v>
      </c>
      <c r="H4838" s="2" t="s">
        <v>34637</v>
      </c>
    </row>
    <row r="4839" spans="1:8" ht="25.05" customHeight="1" x14ac:dyDescent="0.25">
      <c r="A4839" s="2" t="s">
        <v>8</v>
      </c>
      <c r="B4839" s="2" t="str">
        <f>HYPERLINK("http://ts.21cn.com/tousu/show/id/1335628","钱站高利贷阴阳合同")</f>
        <v>钱站高利贷阴阳合同</v>
      </c>
      <c r="C4839" s="2" t="s">
        <v>9</v>
      </c>
      <c r="D4839" s="2" t="s">
        <v>10</v>
      </c>
      <c r="E4839" s="2" t="str">
        <f>HYPERLINK("http://ts.21cn.com/tousu/show/id/1335628","http://ts.21cn.com/tousu/show/id/1335628")</f>
        <v>http://ts.21cn.com/tousu/show/id/1335628</v>
      </c>
      <c r="F4839" s="2" t="s">
        <v>11</v>
      </c>
      <c r="G4839" s="2" t="s">
        <v>34633</v>
      </c>
      <c r="H4839" s="2" t="s">
        <v>34634</v>
      </c>
    </row>
    <row r="4840" spans="1:8" ht="25.05" customHeight="1" x14ac:dyDescent="0.25">
      <c r="A4840" s="2" t="s">
        <v>8</v>
      </c>
      <c r="B4840" s="2" t="str">
        <f>HYPERLINK("http://ts.21cn.com/tousu/show/id/1335626","未成年人在和平精英里充钱")</f>
        <v>未成年人在和平精英里充钱</v>
      </c>
      <c r="C4840" s="2" t="s">
        <v>34</v>
      </c>
      <c r="D4840" s="2" t="s">
        <v>10</v>
      </c>
      <c r="E4840" s="2" t="str">
        <f>HYPERLINK("http://ts.21cn.com/tousu/show/id/1335626","http://ts.21cn.com/tousu/show/id/1335626")</f>
        <v>http://ts.21cn.com/tousu/show/id/1335626</v>
      </c>
      <c r="F4840" s="2" t="s">
        <v>11</v>
      </c>
      <c r="G4840" s="2" t="s">
        <v>34633</v>
      </c>
      <c r="H4840" s="2" t="s">
        <v>34635</v>
      </c>
    </row>
    <row r="4841" spans="1:8" ht="25.05" customHeight="1" x14ac:dyDescent="0.25">
      <c r="A4841" s="2" t="s">
        <v>8</v>
      </c>
      <c r="B4841" s="2" t="str">
        <f>HYPERLINK("http://ts.21cn.com/tousu/show/id/1335629","月光侠")</f>
        <v>月光侠</v>
      </c>
      <c r="C4841" s="2" t="s">
        <v>9</v>
      </c>
      <c r="D4841" s="2" t="s">
        <v>10</v>
      </c>
      <c r="E4841" s="2" t="str">
        <f>HYPERLINK("http://ts.21cn.com/tousu/show/id/1335629","http://ts.21cn.com/tousu/show/id/1335629")</f>
        <v>http://ts.21cn.com/tousu/show/id/1335629</v>
      </c>
      <c r="F4841" s="2" t="s">
        <v>11</v>
      </c>
      <c r="G4841" s="2" t="s">
        <v>34631</v>
      </c>
      <c r="H4841" s="2" t="s">
        <v>34632</v>
      </c>
    </row>
    <row r="4842" spans="1:8" ht="25.05" customHeight="1" x14ac:dyDescent="0.25">
      <c r="A4842" s="2" t="s">
        <v>8</v>
      </c>
      <c r="B4842" s="2" t="str">
        <f>HYPERLINK("http://ts.21cn.com/tousu/show/id/1335630","国美金融不给销户")</f>
        <v>国美金融不给销户</v>
      </c>
      <c r="C4842" s="2" t="s">
        <v>9</v>
      </c>
      <c r="D4842" s="2" t="s">
        <v>10</v>
      </c>
      <c r="E4842" s="2" t="str">
        <f>HYPERLINK("http://ts.21cn.com/tousu/show/id/1335630","http://ts.21cn.com/tousu/show/id/1335630")</f>
        <v>http://ts.21cn.com/tousu/show/id/1335630</v>
      </c>
      <c r="F4842" s="2" t="s">
        <v>11</v>
      </c>
      <c r="G4842" s="2" t="s">
        <v>34629</v>
      </c>
      <c r="H4842" s="2" t="s">
        <v>34630</v>
      </c>
    </row>
    <row r="4843" spans="1:8" ht="25.05" customHeight="1" x14ac:dyDescent="0.25">
      <c r="A4843" s="2" t="s">
        <v>8</v>
      </c>
      <c r="B4843" s="2" t="str">
        <f>HYPERLINK("http://ts.21cn.com/tousu/show/id/1335631","联动云租车强制保险以内不可报保险")</f>
        <v>联动云租车强制保险以内不可报保险</v>
      </c>
      <c r="C4843" s="2" t="s">
        <v>9</v>
      </c>
      <c r="D4843" s="2" t="s">
        <v>10</v>
      </c>
      <c r="E4843" s="2" t="str">
        <f>HYPERLINK("http://ts.21cn.com/tousu/show/id/1335631","http://ts.21cn.com/tousu/show/id/1335631")</f>
        <v>http://ts.21cn.com/tousu/show/id/1335631</v>
      </c>
      <c r="F4843" s="2" t="s">
        <v>11</v>
      </c>
      <c r="G4843" s="2" t="s">
        <v>34627</v>
      </c>
      <c r="H4843" s="2" t="s">
        <v>34628</v>
      </c>
    </row>
    <row r="4844" spans="1:8" ht="25.05" customHeight="1" x14ac:dyDescent="0.25">
      <c r="A4844" s="2" t="s">
        <v>8</v>
      </c>
      <c r="B4844" s="2" t="str">
        <f>HYPERLINK("http://ts.21cn.com/tousu/show/id/1335632","通联沪快无缘无故扣款")</f>
        <v>通联沪快无缘无故扣款</v>
      </c>
      <c r="C4844" s="2" t="s">
        <v>34</v>
      </c>
      <c r="D4844" s="2" t="s">
        <v>10</v>
      </c>
      <c r="E4844" s="2" t="str">
        <f>HYPERLINK("http://ts.21cn.com/tousu/show/id/1335632","http://ts.21cn.com/tousu/show/id/1335632")</f>
        <v>http://ts.21cn.com/tousu/show/id/1335632</v>
      </c>
      <c r="F4844" s="2" t="s">
        <v>11</v>
      </c>
      <c r="G4844" s="2" t="s">
        <v>34625</v>
      </c>
      <c r="H4844" s="2" t="s">
        <v>34626</v>
      </c>
    </row>
    <row r="4845" spans="1:8" ht="25.05" customHeight="1" x14ac:dyDescent="0.25">
      <c r="A4845" s="2" t="s">
        <v>8</v>
      </c>
      <c r="B4845" s="2" t="str">
        <f>HYPERLINK("http://ts.21cn.com/tousu/show/id/1335633","来分期网贷利息过高，天天打催债骚扰电话")</f>
        <v>来分期网贷利息过高，天天打催债骚扰电话</v>
      </c>
      <c r="C4845" s="2" t="s">
        <v>9</v>
      </c>
      <c r="D4845" s="2" t="s">
        <v>10</v>
      </c>
      <c r="E4845" s="2" t="str">
        <f>HYPERLINK("http://ts.21cn.com/tousu/show/id/1335633","http://ts.21cn.com/tousu/show/id/1335633")</f>
        <v>http://ts.21cn.com/tousu/show/id/1335633</v>
      </c>
      <c r="F4845" s="2" t="s">
        <v>11</v>
      </c>
      <c r="G4845" s="2" t="s">
        <v>34623</v>
      </c>
      <c r="H4845" s="2" t="s">
        <v>34624</v>
      </c>
    </row>
    <row r="4846" spans="1:8" ht="25.05" customHeight="1" x14ac:dyDescent="0.25">
      <c r="A4846" s="2" t="s">
        <v>8</v>
      </c>
      <c r="B4846" s="2" t="str">
        <f>HYPERLINK("http://ts.21cn.com/tousu/show/id/1335634","龙分期服务费")</f>
        <v>龙分期服务费</v>
      </c>
      <c r="C4846" s="2" t="s">
        <v>34</v>
      </c>
      <c r="D4846" s="2" t="s">
        <v>10</v>
      </c>
      <c r="E4846" s="2" t="str">
        <f>HYPERLINK("http://ts.21cn.com/tousu/show/id/1335634","http://ts.21cn.com/tousu/show/id/1335634")</f>
        <v>http://ts.21cn.com/tousu/show/id/1335634</v>
      </c>
      <c r="F4846" s="2" t="s">
        <v>11</v>
      </c>
      <c r="G4846" s="2" t="s">
        <v>34621</v>
      </c>
      <c r="H4846" s="2" t="s">
        <v>34622</v>
      </c>
    </row>
    <row r="4847" spans="1:8" ht="25.05" customHeight="1" x14ac:dyDescent="0.25">
      <c r="A4847" s="2" t="s">
        <v>8</v>
      </c>
      <c r="B4847" s="2" t="str">
        <f>HYPERLINK("http://ts.21cn.com/tousu/show/id/1335636","钱站高利贷阴阳合同")</f>
        <v>钱站高利贷阴阳合同</v>
      </c>
      <c r="C4847" s="2" t="s">
        <v>9</v>
      </c>
      <c r="D4847" s="2" t="s">
        <v>10</v>
      </c>
      <c r="E4847" s="2" t="str">
        <f>HYPERLINK("http://ts.21cn.com/tousu/show/id/1335636","http://ts.21cn.com/tousu/show/id/1335636")</f>
        <v>http://ts.21cn.com/tousu/show/id/1335636</v>
      </c>
      <c r="F4847" s="2" t="s">
        <v>11</v>
      </c>
      <c r="G4847" s="2" t="s">
        <v>34619</v>
      </c>
      <c r="H4847" s="2" t="s">
        <v>34620</v>
      </c>
    </row>
    <row r="4848" spans="1:8" ht="25.05" customHeight="1" x14ac:dyDescent="0.25">
      <c r="A4848" s="2" t="s">
        <v>8</v>
      </c>
      <c r="B4848" s="2" t="str">
        <f>HYPERLINK("http://ts.21cn.com/tousu/show/id/1335637","电话骚扰，恐吓，暴力催收")</f>
        <v>电话骚扰，恐吓，暴力催收</v>
      </c>
      <c r="C4848" s="2" t="s">
        <v>9</v>
      </c>
      <c r="D4848" s="2" t="s">
        <v>10</v>
      </c>
      <c r="E4848" s="2" t="str">
        <f>HYPERLINK("http://ts.21cn.com/tousu/show/id/1335637","http://ts.21cn.com/tousu/show/id/1335637")</f>
        <v>http://ts.21cn.com/tousu/show/id/1335637</v>
      </c>
      <c r="F4848" s="2" t="s">
        <v>11</v>
      </c>
      <c r="G4848" s="2" t="s">
        <v>34617</v>
      </c>
      <c r="H4848" s="2" t="s">
        <v>34618</v>
      </c>
    </row>
    <row r="4849" spans="1:8" ht="25.05" customHeight="1" x14ac:dyDescent="0.25">
      <c r="A4849" s="2" t="s">
        <v>8</v>
      </c>
      <c r="B4849" s="2" t="str">
        <f>HYPERLINK("http://ts.21cn.com/tousu/show/id/1335638","小米金融暴力催收，再联系顺畅的时骚扰联系人，干扰正常生活")</f>
        <v>小米金融暴力催收，再联系顺畅的时骚扰联系人，干扰正常生活</v>
      </c>
      <c r="C4849" s="2" t="s">
        <v>9</v>
      </c>
      <c r="D4849" s="2" t="s">
        <v>10</v>
      </c>
      <c r="E4849" s="2" t="str">
        <f>HYPERLINK("http://ts.21cn.com/tousu/show/id/1335638","http://ts.21cn.com/tousu/show/id/1335638")</f>
        <v>http://ts.21cn.com/tousu/show/id/1335638</v>
      </c>
      <c r="F4849" s="2" t="s">
        <v>11</v>
      </c>
      <c r="G4849" s="2" t="s">
        <v>34615</v>
      </c>
      <c r="H4849" s="2" t="s">
        <v>34616</v>
      </c>
    </row>
    <row r="4850" spans="1:8" ht="25.05" customHeight="1" x14ac:dyDescent="0.25">
      <c r="A4850" s="2" t="s">
        <v>8</v>
      </c>
      <c r="B4850" s="2" t="str">
        <f>HYPERLINK("http://ts.21cn.com/tousu/show/id/1335639","借款app恶意扣款")</f>
        <v>借款app恶意扣款</v>
      </c>
      <c r="C4850" s="2" t="s">
        <v>9</v>
      </c>
      <c r="D4850" s="2" t="s">
        <v>10</v>
      </c>
      <c r="E4850" s="2" t="str">
        <f>HYPERLINK("http://ts.21cn.com/tousu/show/id/1335639","http://ts.21cn.com/tousu/show/id/1335639")</f>
        <v>http://ts.21cn.com/tousu/show/id/1335639</v>
      </c>
      <c r="F4850" s="2" t="s">
        <v>11</v>
      </c>
      <c r="G4850" s="2" t="s">
        <v>34613</v>
      </c>
      <c r="H4850" s="2" t="s">
        <v>34614</v>
      </c>
    </row>
    <row r="4851" spans="1:8" ht="25.05" customHeight="1" x14ac:dyDescent="0.25">
      <c r="A4851" s="2" t="s">
        <v>8</v>
      </c>
      <c r="B4851" s="2" t="str">
        <f>HYPERLINK("http://ts.21cn.com/tousu/show/id/1335640","平台拨打借款人通讯录")</f>
        <v>平台拨打借款人通讯录</v>
      </c>
      <c r="C4851" s="2" t="s">
        <v>9</v>
      </c>
      <c r="D4851" s="2" t="s">
        <v>10</v>
      </c>
      <c r="E4851" s="2" t="str">
        <f>HYPERLINK("http://ts.21cn.com/tousu/show/id/1335640","http://ts.21cn.com/tousu/show/id/1335640")</f>
        <v>http://ts.21cn.com/tousu/show/id/1335640</v>
      </c>
      <c r="F4851" s="2" t="s">
        <v>11</v>
      </c>
      <c r="G4851" s="2" t="s">
        <v>34611</v>
      </c>
      <c r="H4851" s="2" t="s">
        <v>34612</v>
      </c>
    </row>
    <row r="4852" spans="1:8" ht="25.05" customHeight="1" x14ac:dyDescent="0.25">
      <c r="A4852" s="2" t="s">
        <v>8</v>
      </c>
      <c r="B4852" s="2" t="str">
        <f>HYPERLINK("http://ts.21cn.com/tousu/show/id/1335641","浦发银行催收态度恶劣")</f>
        <v>浦发银行催收态度恶劣</v>
      </c>
      <c r="C4852" s="2" t="s">
        <v>9</v>
      </c>
      <c r="D4852" s="2" t="s">
        <v>10</v>
      </c>
      <c r="E4852" s="2" t="str">
        <f>HYPERLINK("http://ts.21cn.com/tousu/show/id/1335641","http://ts.21cn.com/tousu/show/id/1335641")</f>
        <v>http://ts.21cn.com/tousu/show/id/1335641</v>
      </c>
      <c r="F4852" s="2" t="s">
        <v>11</v>
      </c>
      <c r="G4852" s="2" t="s">
        <v>34609</v>
      </c>
      <c r="H4852" s="2" t="s">
        <v>34610</v>
      </c>
    </row>
    <row r="4853" spans="1:8" ht="25.05" customHeight="1" x14ac:dyDescent="0.25">
      <c r="A4853" s="2" t="s">
        <v>8</v>
      </c>
      <c r="B4853" s="2" t="str">
        <f>HYPERLINK("http://ts.21cn.com/tousu/show/id/1335642","投诉玖富万卡阴阳合同，高利贷")</f>
        <v>投诉玖富万卡阴阳合同，高利贷</v>
      </c>
      <c r="C4853" s="2" t="s">
        <v>9</v>
      </c>
      <c r="D4853" s="2" t="s">
        <v>10</v>
      </c>
      <c r="E4853" s="2" t="str">
        <f>HYPERLINK("http://ts.21cn.com/tousu/show/id/1335642","http://ts.21cn.com/tousu/show/id/1335642")</f>
        <v>http://ts.21cn.com/tousu/show/id/1335642</v>
      </c>
      <c r="F4853" s="2" t="s">
        <v>11</v>
      </c>
      <c r="G4853" s="2" t="s">
        <v>34607</v>
      </c>
      <c r="H4853" s="2" t="s">
        <v>34608</v>
      </c>
    </row>
    <row r="4854" spans="1:8" ht="25.05" customHeight="1" x14ac:dyDescent="0.25">
      <c r="A4854" s="2" t="s">
        <v>8</v>
      </c>
      <c r="B4854" s="2" t="str">
        <f>HYPERLINK("http://ts.21cn.com/tousu/show/id/1335643","永恒优享高炮714")</f>
        <v>永恒优享高炮714</v>
      </c>
      <c r="C4854" s="2" t="s">
        <v>9</v>
      </c>
      <c r="D4854" s="2" t="s">
        <v>10</v>
      </c>
      <c r="E4854" s="2" t="str">
        <f>HYPERLINK("http://ts.21cn.com/tousu/show/id/1335643","http://ts.21cn.com/tousu/show/id/1335643")</f>
        <v>http://ts.21cn.com/tousu/show/id/1335643</v>
      </c>
      <c r="F4854" s="2" t="s">
        <v>11</v>
      </c>
      <c r="G4854" s="2" t="s">
        <v>34605</v>
      </c>
      <c r="H4854" s="2" t="s">
        <v>34606</v>
      </c>
    </row>
    <row r="4855" spans="1:8" ht="25.05" customHeight="1" x14ac:dyDescent="0.25">
      <c r="A4855" s="2" t="s">
        <v>8</v>
      </c>
      <c r="B4855" s="2" t="str">
        <f>HYPERLINK("http://ts.21cn.com/tousu/show/id/1335645","随意乱扣我银行卡余额")</f>
        <v>随意乱扣我银行卡余额</v>
      </c>
      <c r="C4855" s="2" t="s">
        <v>9</v>
      </c>
      <c r="D4855" s="2" t="s">
        <v>10</v>
      </c>
      <c r="E4855" s="2" t="str">
        <f>HYPERLINK("http://ts.21cn.com/tousu/show/id/1335645","http://ts.21cn.com/tousu/show/id/1335645")</f>
        <v>http://ts.21cn.com/tousu/show/id/1335645</v>
      </c>
      <c r="F4855" s="2" t="s">
        <v>11</v>
      </c>
      <c r="G4855" s="2" t="s">
        <v>34603</v>
      </c>
      <c r="H4855" s="2" t="s">
        <v>34604</v>
      </c>
    </row>
    <row r="4856" spans="1:8" ht="25.05" customHeight="1" x14ac:dyDescent="0.25">
      <c r="A4856" s="2" t="s">
        <v>8</v>
      </c>
      <c r="B4856" s="2" t="str">
        <f>HYPERLINK("http://ts.21cn.com/tousu/show/id/1335644","714高炮类贷款")</f>
        <v>714高炮类贷款</v>
      </c>
      <c r="C4856" s="2" t="s">
        <v>9</v>
      </c>
      <c r="D4856" s="2" t="s">
        <v>10</v>
      </c>
      <c r="E4856" s="2" t="str">
        <f>HYPERLINK("http://ts.21cn.com/tousu/show/id/1335644","http://ts.21cn.com/tousu/show/id/1335644")</f>
        <v>http://ts.21cn.com/tousu/show/id/1335644</v>
      </c>
      <c r="F4856" s="2" t="s">
        <v>11</v>
      </c>
      <c r="G4856" s="2" t="s">
        <v>34601</v>
      </c>
      <c r="H4856" s="2" t="s">
        <v>34602</v>
      </c>
    </row>
    <row r="4857" spans="1:8" ht="25.05" customHeight="1" x14ac:dyDescent="0.25">
      <c r="A4857" s="2" t="s">
        <v>8</v>
      </c>
      <c r="B4857" s="2" t="str">
        <f>HYPERLINK("http://ts.21cn.com/tousu/show/id/1335646","打电话骚扰通讯录好友")</f>
        <v>打电话骚扰通讯录好友</v>
      </c>
      <c r="C4857" s="2" t="s">
        <v>9</v>
      </c>
      <c r="D4857" s="2" t="s">
        <v>10</v>
      </c>
      <c r="E4857" s="2" t="str">
        <f>HYPERLINK("http://ts.21cn.com/tousu/show/id/1335646","http://ts.21cn.com/tousu/show/id/1335646")</f>
        <v>http://ts.21cn.com/tousu/show/id/1335646</v>
      </c>
      <c r="F4857" s="2" t="s">
        <v>11</v>
      </c>
      <c r="G4857" s="2" t="s">
        <v>34599</v>
      </c>
      <c r="H4857" s="2" t="s">
        <v>34600</v>
      </c>
    </row>
    <row r="4858" spans="1:8" ht="25.05" customHeight="1" x14ac:dyDescent="0.25">
      <c r="A4858" s="2" t="s">
        <v>8</v>
      </c>
      <c r="B4858" s="2" t="str">
        <f>HYPERLINK("http://ts.21cn.com/tousu/show/id/1335647","高利贷，砍头息")</f>
        <v>高利贷，砍头息</v>
      </c>
      <c r="C4858" s="2" t="s">
        <v>9</v>
      </c>
      <c r="D4858" s="2" t="s">
        <v>10</v>
      </c>
      <c r="E4858" s="2" t="str">
        <f>HYPERLINK("http://ts.21cn.com/tousu/show/id/1335647","http://ts.21cn.com/tousu/show/id/1335647")</f>
        <v>http://ts.21cn.com/tousu/show/id/1335647</v>
      </c>
      <c r="F4858" s="2" t="s">
        <v>11</v>
      </c>
      <c r="G4858" s="2" t="s">
        <v>34597</v>
      </c>
      <c r="H4858" s="2" t="s">
        <v>34598</v>
      </c>
    </row>
    <row r="4859" spans="1:8" ht="25.05" customHeight="1" x14ac:dyDescent="0.25">
      <c r="A4859" s="2" t="s">
        <v>8</v>
      </c>
      <c r="B4859" s="2" t="str">
        <f>HYPERLINK("http://ts.21cn.com/tousu/show/id/1335648","未经许可私自扣钱")</f>
        <v>未经许可私自扣钱</v>
      </c>
      <c r="C4859" s="2" t="s">
        <v>9</v>
      </c>
      <c r="D4859" s="2" t="s">
        <v>10</v>
      </c>
      <c r="E4859" s="2" t="str">
        <f>HYPERLINK("http://ts.21cn.com/tousu/show/id/1335648","http://ts.21cn.com/tousu/show/id/1335648")</f>
        <v>http://ts.21cn.com/tousu/show/id/1335648</v>
      </c>
      <c r="F4859" s="2" t="s">
        <v>11</v>
      </c>
      <c r="G4859" s="2" t="s">
        <v>34595</v>
      </c>
      <c r="H4859" s="2" t="s">
        <v>34596</v>
      </c>
    </row>
    <row r="4860" spans="1:8" ht="25.05" customHeight="1" x14ac:dyDescent="0.25">
      <c r="A4860" s="2" t="s">
        <v>8</v>
      </c>
      <c r="B4860" s="2" t="str">
        <f>HYPERLINK("http://ts.21cn.com/tousu/show/id/1335649","拖欠农民工工资")</f>
        <v>拖欠农民工工资</v>
      </c>
      <c r="C4860" s="2" t="s">
        <v>9</v>
      </c>
      <c r="D4860" s="2" t="s">
        <v>10</v>
      </c>
      <c r="E4860" s="2" t="str">
        <f>HYPERLINK("http://ts.21cn.com/tousu/show/id/1335649","http://ts.21cn.com/tousu/show/id/1335649")</f>
        <v>http://ts.21cn.com/tousu/show/id/1335649</v>
      </c>
      <c r="F4860" s="2" t="s">
        <v>11</v>
      </c>
      <c r="G4860" s="2" t="s">
        <v>34593</v>
      </c>
      <c r="H4860" s="2" t="s">
        <v>34594</v>
      </c>
    </row>
    <row r="4861" spans="1:8" ht="25.05" customHeight="1" x14ac:dyDescent="0.25">
      <c r="A4861" s="2" t="s">
        <v>8</v>
      </c>
      <c r="B4861" s="2" t="str">
        <f>HYPERLINK("http://ts.21cn.com/tousu/show/id/1335650","钱橙无忧app欺瞒扣款")</f>
        <v>钱橙无忧app欺瞒扣款</v>
      </c>
      <c r="C4861" s="2" t="s">
        <v>9</v>
      </c>
      <c r="D4861" s="2" t="s">
        <v>10</v>
      </c>
      <c r="E4861" s="2" t="str">
        <f>HYPERLINK("http://ts.21cn.com/tousu/show/id/1335650","http://ts.21cn.com/tousu/show/id/1335650")</f>
        <v>http://ts.21cn.com/tousu/show/id/1335650</v>
      </c>
      <c r="F4861" s="2" t="s">
        <v>11</v>
      </c>
      <c r="G4861" s="2" t="s">
        <v>34591</v>
      </c>
      <c r="H4861" s="2" t="s">
        <v>34592</v>
      </c>
    </row>
    <row r="4862" spans="1:8" ht="25.05" customHeight="1" x14ac:dyDescent="0.25">
      <c r="A4862" s="2" t="s">
        <v>8</v>
      </c>
      <c r="B4862" s="2" t="str">
        <f>HYPERLINK("http://ts.21cn.com/tousu/show/id/1335651","交易猫平台收取保险费用")</f>
        <v>交易猫平台收取保险费用</v>
      </c>
      <c r="C4862" s="2" t="s">
        <v>9</v>
      </c>
      <c r="D4862" s="2" t="s">
        <v>10</v>
      </c>
      <c r="E4862" s="2" t="str">
        <f>HYPERLINK("http://ts.21cn.com/tousu/show/id/1335651","http://ts.21cn.com/tousu/show/id/1335651")</f>
        <v>http://ts.21cn.com/tousu/show/id/1335651</v>
      </c>
      <c r="F4862" s="2" t="s">
        <v>11</v>
      </c>
      <c r="G4862" s="2" t="s">
        <v>34589</v>
      </c>
      <c r="H4862" s="2" t="s">
        <v>34590</v>
      </c>
    </row>
    <row r="4863" spans="1:8" ht="25.05" customHeight="1" x14ac:dyDescent="0.25">
      <c r="A4863" s="2" t="s">
        <v>8</v>
      </c>
      <c r="B4863" s="2" t="str">
        <f>HYPERLINK("http://ts.21cn.com/tousu/show/id/1335349","套路贷，砍头息，高利贷隐瞒")</f>
        <v>套路贷，砍头息，高利贷隐瞒</v>
      </c>
      <c r="C4863" s="2" t="s">
        <v>9</v>
      </c>
      <c r="D4863" s="2" t="s">
        <v>10</v>
      </c>
      <c r="E4863" s="2" t="str">
        <f>HYPERLINK("http://ts.21cn.com/tousu/show/id/1335349","http://ts.21cn.com/tousu/show/id/1335349")</f>
        <v>http://ts.21cn.com/tousu/show/id/1335349</v>
      </c>
      <c r="F4863" s="2" t="s">
        <v>11</v>
      </c>
      <c r="G4863" s="2" t="s">
        <v>34587</v>
      </c>
      <c r="H4863" s="2" t="s">
        <v>34588</v>
      </c>
    </row>
    <row r="4864" spans="1:8" ht="25.05" customHeight="1" x14ac:dyDescent="0.25">
      <c r="A4864" s="2" t="s">
        <v>8</v>
      </c>
      <c r="B4864" s="2" t="str">
        <f>HYPERLINK("http://ts.21cn.com/tousu/show/id/1335653","立借青春宝高利贷恐吓本人")</f>
        <v>立借青春宝高利贷恐吓本人</v>
      </c>
      <c r="C4864" s="2" t="s">
        <v>9</v>
      </c>
      <c r="D4864" s="2" t="s">
        <v>10</v>
      </c>
      <c r="E4864" s="2" t="str">
        <f>HYPERLINK("http://ts.21cn.com/tousu/show/id/1335653","http://ts.21cn.com/tousu/show/id/1335653")</f>
        <v>http://ts.21cn.com/tousu/show/id/1335653</v>
      </c>
      <c r="F4864" s="2" t="s">
        <v>11</v>
      </c>
      <c r="G4864" s="2" t="s">
        <v>34585</v>
      </c>
      <c r="H4864" s="2" t="s">
        <v>34586</v>
      </c>
    </row>
    <row r="4865" spans="1:8" ht="25.05" customHeight="1" x14ac:dyDescent="0.25">
      <c r="A4865" s="2" t="s">
        <v>8</v>
      </c>
      <c r="B4865" s="2" t="str">
        <f>HYPERLINK("http://ts.21cn.com/tousu/show/id/1335655","套路贷平台")</f>
        <v>套路贷平台</v>
      </c>
      <c r="C4865" s="2" t="s">
        <v>9</v>
      </c>
      <c r="D4865" s="2" t="s">
        <v>10</v>
      </c>
      <c r="E4865" s="2" t="str">
        <f>HYPERLINK("http://ts.21cn.com/tousu/show/id/1335655","http://ts.21cn.com/tousu/show/id/1335655")</f>
        <v>http://ts.21cn.com/tousu/show/id/1335655</v>
      </c>
      <c r="F4865" s="2" t="s">
        <v>11</v>
      </c>
      <c r="G4865" s="2" t="s">
        <v>34582</v>
      </c>
      <c r="H4865" s="2" t="s">
        <v>34583</v>
      </c>
    </row>
    <row r="4866" spans="1:8" ht="25.05" customHeight="1" x14ac:dyDescent="0.25">
      <c r="A4866" s="2" t="s">
        <v>8</v>
      </c>
      <c r="B4866" s="2" t="str">
        <f>HYPERLINK("http://ts.21cn.com/tousu/show/id/1335654","我来贷按时转账算我逾期")</f>
        <v>我来贷按时转账算我逾期</v>
      </c>
      <c r="C4866" s="2" t="s">
        <v>34</v>
      </c>
      <c r="D4866" s="2" t="s">
        <v>10</v>
      </c>
      <c r="E4866" s="2" t="str">
        <f>HYPERLINK("http://ts.21cn.com/tousu/show/id/1335654","http://ts.21cn.com/tousu/show/id/1335654")</f>
        <v>http://ts.21cn.com/tousu/show/id/1335654</v>
      </c>
      <c r="F4866" s="2" t="s">
        <v>11</v>
      </c>
      <c r="G4866" s="2" t="s">
        <v>34582</v>
      </c>
      <c r="H4866" s="2" t="s">
        <v>34584</v>
      </c>
    </row>
    <row r="4867" spans="1:8" ht="25.05" customHeight="1" x14ac:dyDescent="0.25">
      <c r="A4867" s="2" t="s">
        <v>8</v>
      </c>
      <c r="B4867" s="2" t="str">
        <f>HYPERLINK("http://ts.21cn.com/tousu/show/id/1335656","暴力催收")</f>
        <v>暴力催收</v>
      </c>
      <c r="C4867" s="2" t="s">
        <v>9</v>
      </c>
      <c r="D4867" s="2" t="s">
        <v>10</v>
      </c>
      <c r="E4867" s="2" t="str">
        <f>HYPERLINK("http://ts.21cn.com/tousu/show/id/1335656","http://ts.21cn.com/tousu/show/id/1335656")</f>
        <v>http://ts.21cn.com/tousu/show/id/1335656</v>
      </c>
      <c r="F4867" s="2" t="s">
        <v>11</v>
      </c>
      <c r="G4867" s="2" t="s">
        <v>34580</v>
      </c>
      <c r="H4867" s="2" t="s">
        <v>34581</v>
      </c>
    </row>
    <row r="4868" spans="1:8" ht="25.05" customHeight="1" x14ac:dyDescent="0.25">
      <c r="A4868" s="2" t="s">
        <v>8</v>
      </c>
      <c r="B4868" s="2" t="str">
        <f>HYPERLINK("http://ts.21cn.com/tousu/show/id/1335657","珠江夜游船票退款")</f>
        <v>珠江夜游船票退款</v>
      </c>
      <c r="C4868" s="2" t="s">
        <v>9</v>
      </c>
      <c r="D4868" s="2" t="s">
        <v>10</v>
      </c>
      <c r="E4868" s="2" t="str">
        <f>HYPERLINK("http://ts.21cn.com/tousu/show/id/1335657","http://ts.21cn.com/tousu/show/id/1335657")</f>
        <v>http://ts.21cn.com/tousu/show/id/1335657</v>
      </c>
      <c r="F4868" s="2" t="s">
        <v>11</v>
      </c>
      <c r="G4868" s="2" t="s">
        <v>34578</v>
      </c>
      <c r="H4868" s="2" t="s">
        <v>34579</v>
      </c>
    </row>
    <row r="4869" spans="1:8" ht="25.05" customHeight="1" x14ac:dyDescent="0.25">
      <c r="A4869" s="2" t="s">
        <v>8</v>
      </c>
      <c r="B4869" s="2" t="str">
        <f>HYPERLINK("http://ts.21cn.com/tousu/show/id/1335658","钱老哥心意转恶意导致客户无法还款增加利息")</f>
        <v>钱老哥心意转恶意导致客户无法还款增加利息</v>
      </c>
      <c r="C4869" s="2" t="s">
        <v>9</v>
      </c>
      <c r="D4869" s="2" t="s">
        <v>10</v>
      </c>
      <c r="E4869" s="2" t="str">
        <f>HYPERLINK("http://ts.21cn.com/tousu/show/id/1335658","http://ts.21cn.com/tousu/show/id/1335658")</f>
        <v>http://ts.21cn.com/tousu/show/id/1335658</v>
      </c>
      <c r="F4869" s="2" t="s">
        <v>11</v>
      </c>
      <c r="G4869" s="2" t="s">
        <v>34576</v>
      </c>
      <c r="H4869" s="2" t="s">
        <v>34577</v>
      </c>
    </row>
    <row r="4870" spans="1:8" ht="25.05" customHeight="1" x14ac:dyDescent="0.25">
      <c r="A4870" s="2" t="s">
        <v>8</v>
      </c>
      <c r="B4870" s="2" t="str">
        <f>HYPERLINK("http://ts.21cn.com/tousu/show/id/1335659","等了一个小时最后平台自动给我取消订单")</f>
        <v>等了一个小时最后平台自动给我取消订单</v>
      </c>
      <c r="C4870" s="2" t="s">
        <v>9</v>
      </c>
      <c r="D4870" s="2" t="s">
        <v>10</v>
      </c>
      <c r="E4870" s="2" t="str">
        <f>HYPERLINK("http://ts.21cn.com/tousu/show/id/1335659","http://ts.21cn.com/tousu/show/id/1335659")</f>
        <v>http://ts.21cn.com/tousu/show/id/1335659</v>
      </c>
      <c r="F4870" s="2" t="s">
        <v>11</v>
      </c>
      <c r="G4870" s="2" t="s">
        <v>34574</v>
      </c>
      <c r="H4870" s="2" t="s">
        <v>34575</v>
      </c>
    </row>
    <row r="4871" spans="1:8" ht="25.05" customHeight="1" x14ac:dyDescent="0.25">
      <c r="A4871" s="2" t="s">
        <v>8</v>
      </c>
      <c r="B4871" s="2" t="str">
        <f>HYPERLINK("http://ts.21cn.com/tousu/show/id/1335661","发短信轰炸我和我的家人")</f>
        <v>发短信轰炸我和我的家人</v>
      </c>
      <c r="C4871" s="2" t="s">
        <v>34</v>
      </c>
      <c r="D4871" s="2" t="s">
        <v>10</v>
      </c>
      <c r="E4871" s="2" t="str">
        <f>HYPERLINK("http://ts.21cn.com/tousu/show/id/1335661","http://ts.21cn.com/tousu/show/id/1335661")</f>
        <v>http://ts.21cn.com/tousu/show/id/1335661</v>
      </c>
      <c r="F4871" s="2" t="s">
        <v>11</v>
      </c>
      <c r="G4871" s="2" t="s">
        <v>34572</v>
      </c>
      <c r="H4871" s="2" t="s">
        <v>34573</v>
      </c>
    </row>
    <row r="4872" spans="1:8" ht="25.05" customHeight="1" x14ac:dyDescent="0.25">
      <c r="A4872" s="2" t="s">
        <v>8</v>
      </c>
      <c r="B4872" s="2" t="str">
        <f>HYPERLINK("http://ts.21cn.com/tousu/show/id/1335660","你我贷年综合利率超过36%，踩法律红线，申请逾期8天还款，不同意吗？")</f>
        <v>你我贷年综合利率超过36%，踩法律红线，申请逾期8天还款，不同意吗？</v>
      </c>
      <c r="C4872" s="2" t="s">
        <v>9</v>
      </c>
      <c r="D4872" s="2" t="s">
        <v>10</v>
      </c>
      <c r="E4872" s="2" t="str">
        <f>HYPERLINK("http://ts.21cn.com/tousu/show/id/1335660","http://ts.21cn.com/tousu/show/id/1335660")</f>
        <v>http://ts.21cn.com/tousu/show/id/1335660</v>
      </c>
      <c r="F4872" s="2" t="s">
        <v>11</v>
      </c>
      <c r="G4872" s="2" t="s">
        <v>34570</v>
      </c>
      <c r="H4872" s="2" t="s">
        <v>34571</v>
      </c>
    </row>
    <row r="4873" spans="1:8" ht="25.05" customHeight="1" x14ac:dyDescent="0.25">
      <c r="A4873" s="2" t="s">
        <v>8</v>
      </c>
      <c r="B4873" s="2" t="str">
        <f>HYPERLINK("http://ts.21cn.com/tousu/show/id/1335663","凡普金罚息过高")</f>
        <v>凡普金罚息过高</v>
      </c>
      <c r="C4873" s="2" t="s">
        <v>9</v>
      </c>
      <c r="D4873" s="2" t="s">
        <v>10</v>
      </c>
      <c r="E4873" s="2" t="str">
        <f>HYPERLINK("http://ts.21cn.com/tousu/show/id/1335663","http://ts.21cn.com/tousu/show/id/1335663")</f>
        <v>http://ts.21cn.com/tousu/show/id/1335663</v>
      </c>
      <c r="F4873" s="2" t="s">
        <v>11</v>
      </c>
      <c r="G4873" s="2" t="s">
        <v>34568</v>
      </c>
      <c r="H4873" s="2" t="s">
        <v>34569</v>
      </c>
    </row>
    <row r="4874" spans="1:8" ht="25.05" customHeight="1" x14ac:dyDescent="0.25">
      <c r="A4874" s="2" t="s">
        <v>8</v>
      </c>
      <c r="B4874" s="2" t="str">
        <f>HYPERLINK("http://ts.21cn.com/tousu/show/id/1335664","宝付乱扣钱")</f>
        <v>宝付乱扣钱</v>
      </c>
      <c r="C4874" s="2" t="s">
        <v>9</v>
      </c>
      <c r="D4874" s="2" t="s">
        <v>10</v>
      </c>
      <c r="E4874" s="2" t="str">
        <f>HYPERLINK("http://ts.21cn.com/tousu/show/id/1335664","http://ts.21cn.com/tousu/show/id/1335664")</f>
        <v>http://ts.21cn.com/tousu/show/id/1335664</v>
      </c>
      <c r="F4874" s="2" t="s">
        <v>11</v>
      </c>
      <c r="G4874" s="2" t="s">
        <v>34566</v>
      </c>
      <c r="H4874" s="2" t="s">
        <v>34567</v>
      </c>
    </row>
    <row r="4875" spans="1:8" ht="25.05" customHeight="1" x14ac:dyDescent="0.25">
      <c r="A4875" s="2" t="s">
        <v>8</v>
      </c>
      <c r="B4875" s="2" t="str">
        <f>HYPERLINK("http://ts.21cn.com/tousu/show/id/1335665","快捷通支付恶意扣费")</f>
        <v>快捷通支付恶意扣费</v>
      </c>
      <c r="C4875" s="2" t="s">
        <v>9</v>
      </c>
      <c r="D4875" s="2" t="s">
        <v>10</v>
      </c>
      <c r="E4875" s="2" t="str">
        <f>HYPERLINK("http://ts.21cn.com/tousu/show/id/1335665","http://ts.21cn.com/tousu/show/id/1335665")</f>
        <v>http://ts.21cn.com/tousu/show/id/1335665</v>
      </c>
      <c r="F4875" s="2" t="s">
        <v>11</v>
      </c>
      <c r="G4875" s="2" t="s">
        <v>34564</v>
      </c>
      <c r="H4875" s="2" t="s">
        <v>34565</v>
      </c>
    </row>
    <row r="4876" spans="1:8" ht="25.05" customHeight="1" x14ac:dyDescent="0.25">
      <c r="A4876" s="2" t="s">
        <v>8</v>
      </c>
      <c r="B4876" s="2" t="str">
        <f>HYPERLINK("http://ts.21cn.com/tousu/show/id/1335666","暴露我的个人资料")</f>
        <v>暴露我的个人资料</v>
      </c>
      <c r="C4876" s="2" t="s">
        <v>9</v>
      </c>
      <c r="D4876" s="2" t="s">
        <v>10</v>
      </c>
      <c r="E4876" s="2" t="str">
        <f>HYPERLINK("http://ts.21cn.com/tousu/show/id/1335666","http://ts.21cn.com/tousu/show/id/1335666")</f>
        <v>http://ts.21cn.com/tousu/show/id/1335666</v>
      </c>
      <c r="F4876" s="2" t="s">
        <v>11</v>
      </c>
      <c r="G4876" s="2" t="s">
        <v>34562</v>
      </c>
      <c r="H4876" s="2" t="s">
        <v>34563</v>
      </c>
    </row>
    <row r="4877" spans="1:8" ht="25.05" customHeight="1" x14ac:dyDescent="0.25">
      <c r="A4877" s="2" t="s">
        <v>8</v>
      </c>
      <c r="B4877" s="2" t="str">
        <f>HYPERLINK("http://ts.21cn.com/tousu/show/id/1335668","杭州市民卡提供高利贷支付渠道")</f>
        <v>杭州市民卡提供高利贷支付渠道</v>
      </c>
      <c r="C4877" s="2" t="s">
        <v>9</v>
      </c>
      <c r="D4877" s="2" t="s">
        <v>10</v>
      </c>
      <c r="E4877" s="2" t="str">
        <f>HYPERLINK("http://ts.21cn.com/tousu/show/id/1335668","http://ts.21cn.com/tousu/show/id/1335668")</f>
        <v>http://ts.21cn.com/tousu/show/id/1335668</v>
      </c>
      <c r="F4877" s="2" t="s">
        <v>11</v>
      </c>
      <c r="G4877" s="2" t="s">
        <v>34560</v>
      </c>
      <c r="H4877" s="2" t="s">
        <v>34561</v>
      </c>
    </row>
    <row r="4878" spans="1:8" ht="25.05" customHeight="1" x14ac:dyDescent="0.25">
      <c r="A4878" s="2" t="s">
        <v>8</v>
      </c>
      <c r="B4878" s="2" t="str">
        <f>HYPERLINK("http://ts.21cn.com/tousu/show/id/1335667","百度有钱花套路贷暴力催收")</f>
        <v>百度有钱花套路贷暴力催收</v>
      </c>
      <c r="C4878" s="2" t="s">
        <v>9</v>
      </c>
      <c r="D4878" s="2" t="s">
        <v>10</v>
      </c>
      <c r="E4878" s="2" t="str">
        <f>HYPERLINK("http://ts.21cn.com/tousu/show/id/1335667","http://ts.21cn.com/tousu/show/id/1335667")</f>
        <v>http://ts.21cn.com/tousu/show/id/1335667</v>
      </c>
      <c r="F4878" s="2" t="s">
        <v>11</v>
      </c>
      <c r="G4878" s="2" t="s">
        <v>34558</v>
      </c>
      <c r="H4878" s="2" t="s">
        <v>34559</v>
      </c>
    </row>
    <row r="4879" spans="1:8" ht="25.05" customHeight="1" x14ac:dyDescent="0.25">
      <c r="A4879" s="2" t="s">
        <v>8</v>
      </c>
      <c r="B4879" s="2" t="str">
        <f>HYPERLINK("http://ts.21cn.com/tousu/show/id/1335669","申请终止理财，请银生宝，乐家易付航天电子，敏付科技退款！")</f>
        <v>申请终止理财，请银生宝，乐家易付航天电子，敏付科技退款！</v>
      </c>
      <c r="C4879" s="2" t="s">
        <v>9</v>
      </c>
      <c r="D4879" s="2" t="s">
        <v>10</v>
      </c>
      <c r="E4879" s="2" t="str">
        <f>HYPERLINK("http://ts.21cn.com/tousu/show/id/1335669","http://ts.21cn.com/tousu/show/id/1335669")</f>
        <v>http://ts.21cn.com/tousu/show/id/1335669</v>
      </c>
      <c r="F4879" s="2" t="s">
        <v>11</v>
      </c>
      <c r="G4879" s="2" t="s">
        <v>34556</v>
      </c>
      <c r="H4879" s="2" t="s">
        <v>34557</v>
      </c>
    </row>
    <row r="4880" spans="1:8" ht="25.05" customHeight="1" x14ac:dyDescent="0.25">
      <c r="A4880" s="2" t="s">
        <v>8</v>
      </c>
      <c r="B4880" s="2" t="str">
        <f>HYPERLINK("http://ts.21cn.com/tousu/show/id/1335670","高利贷恶意催收")</f>
        <v>高利贷恶意催收</v>
      </c>
      <c r="C4880" s="2" t="s">
        <v>9</v>
      </c>
      <c r="D4880" s="2" t="s">
        <v>10</v>
      </c>
      <c r="E4880" s="2" t="str">
        <f>HYPERLINK("http://ts.21cn.com/tousu/show/id/1335670","http://ts.21cn.com/tousu/show/id/1335670")</f>
        <v>http://ts.21cn.com/tousu/show/id/1335670</v>
      </c>
      <c r="F4880" s="2" t="s">
        <v>11</v>
      </c>
      <c r="G4880" s="2" t="s">
        <v>34554</v>
      </c>
      <c r="H4880" s="2" t="s">
        <v>34555</v>
      </c>
    </row>
    <row r="4881" spans="1:8" ht="25.05" customHeight="1" x14ac:dyDescent="0.25">
      <c r="A4881" s="2" t="s">
        <v>8</v>
      </c>
      <c r="B4881" s="2" t="str">
        <f>HYPERLINK("http://ts.21cn.com/tousu/show/id/1335671","冲了会员没到账，客服一个小时一个人都没处理完")</f>
        <v>冲了会员没到账，客服一个小时一个人都没处理完</v>
      </c>
      <c r="C4881" s="2" t="s">
        <v>9</v>
      </c>
      <c r="D4881" s="2" t="s">
        <v>10</v>
      </c>
      <c r="E4881" s="2" t="str">
        <f>HYPERLINK("http://ts.21cn.com/tousu/show/id/1335671","http://ts.21cn.com/tousu/show/id/1335671")</f>
        <v>http://ts.21cn.com/tousu/show/id/1335671</v>
      </c>
      <c r="F4881" s="2" t="s">
        <v>11</v>
      </c>
      <c r="G4881" s="2" t="s">
        <v>34552</v>
      </c>
      <c r="H4881" s="2" t="s">
        <v>34553</v>
      </c>
    </row>
    <row r="4882" spans="1:8" ht="25.05" customHeight="1" x14ac:dyDescent="0.25">
      <c r="A4882" s="2" t="s">
        <v>8</v>
      </c>
      <c r="B4882" s="2" t="str">
        <f>HYPERLINK("http://ts.21cn.com/tousu/show/id/1335672","风险评估报告")</f>
        <v>风险评估报告</v>
      </c>
      <c r="C4882" s="2" t="s">
        <v>9</v>
      </c>
      <c r="D4882" s="2" t="s">
        <v>10</v>
      </c>
      <c r="E4882" s="2" t="str">
        <f>HYPERLINK("http://ts.21cn.com/tousu/show/id/1335672","http://ts.21cn.com/tousu/show/id/1335672")</f>
        <v>http://ts.21cn.com/tousu/show/id/1335672</v>
      </c>
      <c r="F4882" s="2" t="s">
        <v>11</v>
      </c>
      <c r="G4882" s="2" t="s">
        <v>34550</v>
      </c>
      <c r="H4882" s="2" t="s">
        <v>34551</v>
      </c>
    </row>
    <row r="4883" spans="1:8" ht="25.05" customHeight="1" x14ac:dyDescent="0.25">
      <c r="A4883" s="2" t="s">
        <v>8</v>
      </c>
      <c r="B4883" s="2" t="str">
        <f>HYPERLINK("http://ts.21cn.com/tousu/show/id/1335673","“钱站”就是高利贷")</f>
        <v>“钱站”就是高利贷</v>
      </c>
      <c r="C4883" s="2" t="s">
        <v>9</v>
      </c>
      <c r="D4883" s="2" t="s">
        <v>10</v>
      </c>
      <c r="E4883" s="2" t="str">
        <f>HYPERLINK("http://ts.21cn.com/tousu/show/id/1335673","http://ts.21cn.com/tousu/show/id/1335673")</f>
        <v>http://ts.21cn.com/tousu/show/id/1335673</v>
      </c>
      <c r="F4883" s="2" t="s">
        <v>11</v>
      </c>
      <c r="G4883" s="2" t="s">
        <v>34548</v>
      </c>
      <c r="H4883" s="2" t="s">
        <v>34549</v>
      </c>
    </row>
    <row r="4884" spans="1:8" ht="25.05" customHeight="1" x14ac:dyDescent="0.25">
      <c r="A4884" s="2" t="s">
        <v>8</v>
      </c>
      <c r="B4884" s="2" t="str">
        <f>HYPERLINK("http://ts.21cn.com/tousu/show/id/1335674","要求平台核实恢复服务分")</f>
        <v>要求平台核实恢复服务分</v>
      </c>
      <c r="C4884" s="2" t="s">
        <v>9</v>
      </c>
      <c r="D4884" s="2" t="s">
        <v>10</v>
      </c>
      <c r="E4884" s="2" t="str">
        <f>HYPERLINK("http://ts.21cn.com/tousu/show/id/1335674","http://ts.21cn.com/tousu/show/id/1335674")</f>
        <v>http://ts.21cn.com/tousu/show/id/1335674</v>
      </c>
      <c r="F4884" s="2" t="s">
        <v>11</v>
      </c>
      <c r="G4884" s="2" t="s">
        <v>34546</v>
      </c>
      <c r="H4884" s="2" t="s">
        <v>34547</v>
      </c>
    </row>
    <row r="4885" spans="1:8" ht="25.05" customHeight="1" x14ac:dyDescent="0.25">
      <c r="A4885" s="2" t="s">
        <v>8</v>
      </c>
      <c r="B4885" s="2" t="str">
        <f>HYPERLINK("http://ts.21cn.com/tousu/show/id/1335675","还款失败逾期利息过高")</f>
        <v>还款失败逾期利息过高</v>
      </c>
      <c r="C4885" s="2" t="s">
        <v>9</v>
      </c>
      <c r="D4885" s="2" t="s">
        <v>10</v>
      </c>
      <c r="E4885" s="2" t="str">
        <f>HYPERLINK("http://ts.21cn.com/tousu/show/id/1335675","http://ts.21cn.com/tousu/show/id/1335675")</f>
        <v>http://ts.21cn.com/tousu/show/id/1335675</v>
      </c>
      <c r="F4885" s="2" t="s">
        <v>11</v>
      </c>
      <c r="G4885" s="2" t="s">
        <v>34544</v>
      </c>
      <c r="H4885" s="2" t="s">
        <v>34545</v>
      </c>
    </row>
    <row r="4886" spans="1:8" ht="25.05" customHeight="1" x14ac:dyDescent="0.25">
      <c r="A4886" s="2" t="s">
        <v>8</v>
      </c>
      <c r="B4886" s="2" t="str">
        <f>HYPERLINK("http://ts.21cn.com/tousu/show/id/1335662","珍爱网诱导消费，签霸王条例，虚假误导宣传")</f>
        <v>珍爱网诱导消费，签霸王条例，虚假误导宣传</v>
      </c>
      <c r="C4886" s="2" t="s">
        <v>9</v>
      </c>
      <c r="D4886" s="2" t="s">
        <v>10</v>
      </c>
      <c r="E4886" s="2" t="str">
        <f>HYPERLINK("http://ts.21cn.com/tousu/show/id/1335662","http://ts.21cn.com/tousu/show/id/1335662")</f>
        <v>http://ts.21cn.com/tousu/show/id/1335662</v>
      </c>
      <c r="F4886" s="2" t="s">
        <v>11</v>
      </c>
      <c r="G4886" s="2" t="s">
        <v>34542</v>
      </c>
      <c r="H4886" s="2" t="s">
        <v>34543</v>
      </c>
    </row>
    <row r="4887" spans="1:8" ht="25.05" customHeight="1" x14ac:dyDescent="0.25">
      <c r="A4887" s="2" t="s">
        <v>8</v>
      </c>
      <c r="B4887" s="2" t="str">
        <f>HYPERLINK("http://ts.21cn.com/tousu/show/id/1335677","众安保险私自购买保险")</f>
        <v>众安保险私自购买保险</v>
      </c>
      <c r="C4887" s="2" t="s">
        <v>9</v>
      </c>
      <c r="D4887" s="2" t="s">
        <v>10</v>
      </c>
      <c r="E4887" s="2" t="str">
        <f>HYPERLINK("http://ts.21cn.com/tousu/show/id/1335677","http://ts.21cn.com/tousu/show/id/1335677")</f>
        <v>http://ts.21cn.com/tousu/show/id/1335677</v>
      </c>
      <c r="F4887" s="2" t="s">
        <v>11</v>
      </c>
      <c r="G4887" s="2" t="s">
        <v>34540</v>
      </c>
      <c r="H4887" s="2" t="s">
        <v>34541</v>
      </c>
    </row>
    <row r="4888" spans="1:8" ht="25.05" customHeight="1" x14ac:dyDescent="0.25">
      <c r="A4888" s="2" t="s">
        <v>8</v>
      </c>
      <c r="B4888" s="2" t="str">
        <f>HYPERLINK("http://ts.21cn.com/tousu/show/id/1335678","零钱不能提现")</f>
        <v>零钱不能提现</v>
      </c>
      <c r="C4888" s="2" t="s">
        <v>34</v>
      </c>
      <c r="D4888" s="2" t="s">
        <v>10</v>
      </c>
      <c r="E4888" s="2" t="str">
        <f>HYPERLINK("http://ts.21cn.com/tousu/show/id/1335678","http://ts.21cn.com/tousu/show/id/1335678")</f>
        <v>http://ts.21cn.com/tousu/show/id/1335678</v>
      </c>
      <c r="F4888" s="2" t="s">
        <v>11</v>
      </c>
      <c r="G4888" s="2" t="s">
        <v>34538</v>
      </c>
      <c r="H4888" s="2" t="s">
        <v>34539</v>
      </c>
    </row>
    <row r="4889" spans="1:8" ht="25.05" customHeight="1" x14ac:dyDescent="0.25">
      <c r="A4889" s="2" t="s">
        <v>8</v>
      </c>
      <c r="B4889" s="2" t="str">
        <f>HYPERLINK("http://ts.21cn.com/tousu/show/id/1335679","贷上钱App")</f>
        <v>贷上钱App</v>
      </c>
      <c r="C4889" s="2" t="s">
        <v>9</v>
      </c>
      <c r="D4889" s="2" t="s">
        <v>10</v>
      </c>
      <c r="E4889" s="2" t="str">
        <f>HYPERLINK("http://ts.21cn.com/tousu/show/id/1335679","http://ts.21cn.com/tousu/show/id/1335679")</f>
        <v>http://ts.21cn.com/tousu/show/id/1335679</v>
      </c>
      <c r="F4889" s="2" t="s">
        <v>11</v>
      </c>
      <c r="G4889" s="2" t="s">
        <v>34536</v>
      </c>
      <c r="H4889" s="2" t="s">
        <v>34537</v>
      </c>
    </row>
    <row r="4890" spans="1:8" ht="25.05" customHeight="1" x14ac:dyDescent="0.25">
      <c r="A4890" s="2" t="s">
        <v>8</v>
      </c>
      <c r="B4890" s="2" t="str">
        <f>HYPERLINK("http://ts.21cn.com/tousu/show/id/1335680","钱橙无忧借款app没有任何提示下，注册之后无端扣费")</f>
        <v>钱橙无忧借款app没有任何提示下，注册之后无端扣费</v>
      </c>
      <c r="C4890" s="2" t="s">
        <v>9</v>
      </c>
      <c r="D4890" s="2" t="s">
        <v>10</v>
      </c>
      <c r="E4890" s="2" t="str">
        <f>HYPERLINK("http://ts.21cn.com/tousu/show/id/1335680","http://ts.21cn.com/tousu/show/id/1335680")</f>
        <v>http://ts.21cn.com/tousu/show/id/1335680</v>
      </c>
      <c r="F4890" s="2" t="s">
        <v>11</v>
      </c>
      <c r="G4890" s="2" t="s">
        <v>34534</v>
      </c>
      <c r="H4890" s="2" t="s">
        <v>34535</v>
      </c>
    </row>
    <row r="4891" spans="1:8" ht="25.05" customHeight="1" x14ac:dyDescent="0.25">
      <c r="A4891" s="2" t="s">
        <v>8</v>
      </c>
      <c r="B4891" s="2" t="str">
        <f>HYPERLINK("http://ts.21cn.com/tousu/show/id/1335681","乐意花暴力催收")</f>
        <v>乐意花暴力催收</v>
      </c>
      <c r="C4891" s="2" t="s">
        <v>9</v>
      </c>
      <c r="D4891" s="2" t="s">
        <v>10</v>
      </c>
      <c r="E4891" s="2" t="str">
        <f>HYPERLINK("http://ts.21cn.com/tousu/show/id/1335681","http://ts.21cn.com/tousu/show/id/1335681")</f>
        <v>http://ts.21cn.com/tousu/show/id/1335681</v>
      </c>
      <c r="F4891" s="2" t="s">
        <v>11</v>
      </c>
      <c r="G4891" s="2" t="s">
        <v>34532</v>
      </c>
      <c r="H4891" s="2" t="s">
        <v>34533</v>
      </c>
    </row>
    <row r="4892" spans="1:8" ht="25.05" customHeight="1" x14ac:dyDescent="0.25">
      <c r="A4892" s="2" t="s">
        <v>8</v>
      </c>
      <c r="B4892" s="2" t="str">
        <f>HYPERLINK("http://ts.21cn.com/tousu/show/id/1335683","打电话骚扰通讯录好友天天打电话给我的通讯录好友，骚扰和辱骂。进行语言攻击。")</f>
        <v>打电话骚扰通讯录好友天天打电话给我的通讯录好友，骚扰和辱骂。进行语言攻击。</v>
      </c>
      <c r="C4892" s="2" t="s">
        <v>9</v>
      </c>
      <c r="D4892" s="2" t="s">
        <v>10</v>
      </c>
      <c r="E4892" s="2" t="str">
        <f>HYPERLINK("http://ts.21cn.com/tousu/show/id/1335683","http://ts.21cn.com/tousu/show/id/1335683")</f>
        <v>http://ts.21cn.com/tousu/show/id/1335683</v>
      </c>
      <c r="F4892" s="2" t="s">
        <v>11</v>
      </c>
      <c r="G4892" s="2" t="s">
        <v>34530</v>
      </c>
      <c r="H4892" s="2" t="s">
        <v>34531</v>
      </c>
    </row>
    <row r="4893" spans="1:8" ht="25.05" customHeight="1" x14ac:dyDescent="0.25">
      <c r="A4893" s="2" t="s">
        <v>8</v>
      </c>
      <c r="B4893" s="2" t="str">
        <f>HYPERLINK("http://ts.21cn.com/tousu/show/id/1335684","中国移动封锁我短信功能")</f>
        <v>中国移动封锁我短信功能</v>
      </c>
      <c r="C4893" s="2" t="s">
        <v>34</v>
      </c>
      <c r="D4893" s="2" t="s">
        <v>10</v>
      </c>
      <c r="E4893" s="2" t="str">
        <f>HYPERLINK("http://ts.21cn.com/tousu/show/id/1335684","http://ts.21cn.com/tousu/show/id/1335684")</f>
        <v>http://ts.21cn.com/tousu/show/id/1335684</v>
      </c>
      <c r="F4893" s="2" t="s">
        <v>11</v>
      </c>
      <c r="G4893" s="2" t="s">
        <v>34528</v>
      </c>
      <c r="H4893" s="2" t="s">
        <v>34529</v>
      </c>
    </row>
    <row r="4894" spans="1:8" ht="25.05" customHeight="1" x14ac:dyDescent="0.25">
      <c r="A4894" s="2" t="s">
        <v>8</v>
      </c>
      <c r="B4894" s="2" t="str">
        <f>HYPERLINK("http://ts.21cn.com/tousu/show/id/1335685","高利贷威胁")</f>
        <v>高利贷威胁</v>
      </c>
      <c r="C4894" s="2" t="s">
        <v>9</v>
      </c>
      <c r="D4894" s="2" t="s">
        <v>10</v>
      </c>
      <c r="E4894" s="2" t="str">
        <f>HYPERLINK("http://ts.21cn.com/tousu/show/id/1335685","http://ts.21cn.com/tousu/show/id/1335685")</f>
        <v>http://ts.21cn.com/tousu/show/id/1335685</v>
      </c>
      <c r="F4894" s="2" t="s">
        <v>11</v>
      </c>
      <c r="G4894" s="2" t="s">
        <v>34527</v>
      </c>
      <c r="H4894" s="2" t="s">
        <v>21906</v>
      </c>
    </row>
    <row r="4895" spans="1:8" ht="25.05" customHeight="1" x14ac:dyDescent="0.25">
      <c r="A4895" s="2" t="s">
        <v>8</v>
      </c>
      <c r="B4895" s="2" t="str">
        <f>HYPERLINK("http://ts.21cn.com/tousu/show/id/1335686","高利贷砍头息套路贷")</f>
        <v>高利贷砍头息套路贷</v>
      </c>
      <c r="C4895" s="2" t="s">
        <v>9</v>
      </c>
      <c r="D4895" s="2" t="s">
        <v>10</v>
      </c>
      <c r="E4895" s="2" t="str">
        <f>HYPERLINK("http://ts.21cn.com/tousu/show/id/1335686","http://ts.21cn.com/tousu/show/id/1335686")</f>
        <v>http://ts.21cn.com/tousu/show/id/1335686</v>
      </c>
      <c r="F4895" s="2" t="s">
        <v>11</v>
      </c>
      <c r="G4895" s="2" t="s">
        <v>34525</v>
      </c>
      <c r="H4895" s="2" t="s">
        <v>34526</v>
      </c>
    </row>
    <row r="4896" spans="1:8" ht="25.05" customHeight="1" x14ac:dyDescent="0.25">
      <c r="A4896" s="2" t="s">
        <v>8</v>
      </c>
      <c r="B4896" s="2" t="str">
        <f>HYPERLINK("http://ts.21cn.com/tousu/show/id/1335687","立借客服态度差并带有威胁")</f>
        <v>立借客服态度差并带有威胁</v>
      </c>
      <c r="C4896" s="2" t="s">
        <v>9</v>
      </c>
      <c r="D4896" s="2" t="s">
        <v>10</v>
      </c>
      <c r="E4896" s="2" t="str">
        <f>HYPERLINK("http://ts.21cn.com/tousu/show/id/1335687","http://ts.21cn.com/tousu/show/id/1335687")</f>
        <v>http://ts.21cn.com/tousu/show/id/1335687</v>
      </c>
      <c r="F4896" s="2" t="s">
        <v>11</v>
      </c>
      <c r="G4896" s="2" t="s">
        <v>34523</v>
      </c>
      <c r="H4896" s="2" t="s">
        <v>34524</v>
      </c>
    </row>
    <row r="4897" spans="1:8" ht="25.05" customHeight="1" x14ac:dyDescent="0.25">
      <c r="A4897" s="2" t="s">
        <v>8</v>
      </c>
      <c r="B4897" s="2" t="str">
        <f>HYPERLINK("http://ts.21cn.com/tousu/show/id/1335688","上门暴力收款从我朋友哪里套到我家地址，直接带人上门暴力收款。导致我的家人在邻居面前名誉扫地。")</f>
        <v>上门暴力收款从我朋友哪里套到我家地址，直接带人上门暴力收款。导致我的家人在邻居面前名誉扫地。</v>
      </c>
      <c r="C4897" s="2" t="s">
        <v>9</v>
      </c>
      <c r="D4897" s="2" t="s">
        <v>10</v>
      </c>
      <c r="E4897" s="2" t="str">
        <f>HYPERLINK("http://ts.21cn.com/tousu/show/id/1335688","http://ts.21cn.com/tousu/show/id/1335688")</f>
        <v>http://ts.21cn.com/tousu/show/id/1335688</v>
      </c>
      <c r="F4897" s="2" t="s">
        <v>11</v>
      </c>
      <c r="G4897" s="2" t="s">
        <v>34521</v>
      </c>
      <c r="H4897" s="2" t="s">
        <v>34522</v>
      </c>
    </row>
    <row r="4898" spans="1:8" ht="25.05" customHeight="1" x14ac:dyDescent="0.25">
      <c r="A4898" s="2" t="s">
        <v>8</v>
      </c>
      <c r="B4898" s="2" t="str">
        <f>HYPERLINK("http://ts.21cn.com/tousu/show/id/1335689","自由魔卡六便士高额砍头息高利贷")</f>
        <v>自由魔卡六便士高额砍头息高利贷</v>
      </c>
      <c r="C4898" s="2" t="s">
        <v>34</v>
      </c>
      <c r="D4898" s="2" t="s">
        <v>10</v>
      </c>
      <c r="E4898" s="2" t="str">
        <f>HYPERLINK("http://ts.21cn.com/tousu/show/id/1335689","http://ts.21cn.com/tousu/show/id/1335689")</f>
        <v>http://ts.21cn.com/tousu/show/id/1335689</v>
      </c>
      <c r="F4898" s="2" t="s">
        <v>11</v>
      </c>
      <c r="G4898" s="2" t="s">
        <v>34519</v>
      </c>
      <c r="H4898" s="2" t="s">
        <v>34520</v>
      </c>
    </row>
    <row r="4899" spans="1:8" ht="25.05" customHeight="1" x14ac:dyDescent="0.25">
      <c r="A4899" s="2" t="s">
        <v>8</v>
      </c>
      <c r="B4899" s="2" t="str">
        <f>HYPERLINK("http://ts.21cn.com/tousu/show/id/1335690","用“呼死你”等软件轰炸")</f>
        <v>用“呼死你”等软件轰炸</v>
      </c>
      <c r="C4899" s="2" t="s">
        <v>9</v>
      </c>
      <c r="D4899" s="2" t="s">
        <v>10</v>
      </c>
      <c r="E4899" s="2" t="str">
        <f>HYPERLINK("http://ts.21cn.com/tousu/show/id/1335690","http://ts.21cn.com/tousu/show/id/1335690")</f>
        <v>http://ts.21cn.com/tousu/show/id/1335690</v>
      </c>
      <c r="F4899" s="2" t="s">
        <v>11</v>
      </c>
      <c r="G4899" s="2" t="s">
        <v>34517</v>
      </c>
      <c r="H4899" s="2" t="s">
        <v>34518</v>
      </c>
    </row>
    <row r="4900" spans="1:8" ht="25.05" customHeight="1" x14ac:dyDescent="0.25">
      <c r="A4900" s="2" t="s">
        <v>8</v>
      </c>
      <c r="B4900" s="2" t="str">
        <f>HYPERLINK("http://ts.21cn.com/tousu/show/id/1335691","钱橙无忧随意扣费")</f>
        <v>钱橙无忧随意扣费</v>
      </c>
      <c r="C4900" s="2" t="s">
        <v>9</v>
      </c>
      <c r="D4900" s="2" t="s">
        <v>10</v>
      </c>
      <c r="E4900" s="2" t="str">
        <f>HYPERLINK("http://ts.21cn.com/tousu/show/id/1335691","http://ts.21cn.com/tousu/show/id/1335691")</f>
        <v>http://ts.21cn.com/tousu/show/id/1335691</v>
      </c>
      <c r="F4900" s="2" t="s">
        <v>11</v>
      </c>
      <c r="G4900" s="2" t="s">
        <v>34515</v>
      </c>
      <c r="H4900" s="2" t="s">
        <v>34516</v>
      </c>
    </row>
    <row r="4901" spans="1:8" ht="25.05" customHeight="1" x14ac:dyDescent="0.25">
      <c r="A4901" s="2" t="s">
        <v>8</v>
      </c>
      <c r="B4901" s="2" t="str">
        <f>HYPERLINK("http://ts.21cn.com/tousu/show/id/1335692","造艺科技")</f>
        <v>造艺科技</v>
      </c>
      <c r="C4901" s="2" t="s">
        <v>34</v>
      </c>
      <c r="D4901" s="2" t="s">
        <v>10</v>
      </c>
      <c r="E4901" s="2" t="str">
        <f>HYPERLINK("http://ts.21cn.com/tousu/show/id/1335692","http://ts.21cn.com/tousu/show/id/1335692")</f>
        <v>http://ts.21cn.com/tousu/show/id/1335692</v>
      </c>
      <c r="F4901" s="2" t="s">
        <v>11</v>
      </c>
      <c r="G4901" s="2" t="s">
        <v>34513</v>
      </c>
      <c r="H4901" s="2" t="s">
        <v>34514</v>
      </c>
    </row>
    <row r="4902" spans="1:8" ht="25.05" customHeight="1" x14ac:dyDescent="0.25">
      <c r="A4902" s="2" t="s">
        <v>8</v>
      </c>
      <c r="B4902" s="2" t="str">
        <f>HYPERLINK("http://ts.21cn.com/tousu/show/id/1335693","我来贷年利率百分之36")</f>
        <v>我来贷年利率百分之36</v>
      </c>
      <c r="C4902" s="2" t="s">
        <v>9</v>
      </c>
      <c r="D4902" s="2" t="s">
        <v>10</v>
      </c>
      <c r="E4902" s="2" t="str">
        <f>HYPERLINK("http://ts.21cn.com/tousu/show/id/1335693","http://ts.21cn.com/tousu/show/id/1335693")</f>
        <v>http://ts.21cn.com/tousu/show/id/1335693</v>
      </c>
      <c r="F4902" s="2" t="s">
        <v>11</v>
      </c>
      <c r="G4902" s="2" t="s">
        <v>34511</v>
      </c>
      <c r="H4902" s="2" t="s">
        <v>34512</v>
      </c>
    </row>
    <row r="4903" spans="1:8" ht="25.05" customHeight="1" x14ac:dyDescent="0.25">
      <c r="A4903" s="2" t="s">
        <v>8</v>
      </c>
      <c r="B4903" s="2" t="str">
        <f>HYPERLINK("http://ts.21cn.com/tousu/show/id/1335694","百度有钱花威胁催收")</f>
        <v>百度有钱花威胁催收</v>
      </c>
      <c r="C4903" s="2" t="s">
        <v>9</v>
      </c>
      <c r="D4903" s="2" t="s">
        <v>10</v>
      </c>
      <c r="E4903" s="2" t="str">
        <f>HYPERLINK("http://ts.21cn.com/tousu/show/id/1335694","http://ts.21cn.com/tousu/show/id/1335694")</f>
        <v>http://ts.21cn.com/tousu/show/id/1335694</v>
      </c>
      <c r="F4903" s="2" t="s">
        <v>11</v>
      </c>
      <c r="G4903" s="2" t="s">
        <v>34509</v>
      </c>
      <c r="H4903" s="2" t="s">
        <v>34510</v>
      </c>
    </row>
    <row r="4904" spans="1:8" ht="25.05" customHeight="1" x14ac:dyDescent="0.25">
      <c r="A4904" s="2" t="s">
        <v>8</v>
      </c>
      <c r="B4904" s="2" t="str">
        <f>HYPERLINK("http://ts.21cn.com/tousu/show/id/1335695","潍坊滨海新兴村拆迁安置豆腐渣工程")</f>
        <v>潍坊滨海新兴村拆迁安置豆腐渣工程</v>
      </c>
      <c r="C4904" s="2" t="s">
        <v>9</v>
      </c>
      <c r="D4904" s="2" t="s">
        <v>10</v>
      </c>
      <c r="E4904" s="2" t="str">
        <f>HYPERLINK("http://ts.21cn.com/tousu/show/id/1335695","http://ts.21cn.com/tousu/show/id/1335695")</f>
        <v>http://ts.21cn.com/tousu/show/id/1335695</v>
      </c>
      <c r="F4904" s="2" t="s">
        <v>11</v>
      </c>
      <c r="G4904" s="2" t="s">
        <v>34507</v>
      </c>
      <c r="H4904" s="2" t="s">
        <v>34508</v>
      </c>
    </row>
    <row r="4905" spans="1:8" ht="25.05" customHeight="1" x14ac:dyDescent="0.25">
      <c r="A4905" s="2" t="s">
        <v>8</v>
      </c>
      <c r="B4905" s="2" t="str">
        <f>HYPERLINK("http://ts.21cn.com/tousu/show/id/1335696","1500下款1100扣费388不到账")</f>
        <v>1500下款1100扣费388不到账</v>
      </c>
      <c r="C4905" s="2" t="s">
        <v>9</v>
      </c>
      <c r="D4905" s="2" t="s">
        <v>10</v>
      </c>
      <c r="E4905" s="2" t="str">
        <f>HYPERLINK("http://ts.21cn.com/tousu/show/id/1335696","http://ts.21cn.com/tousu/show/id/1335696")</f>
        <v>http://ts.21cn.com/tousu/show/id/1335696</v>
      </c>
      <c r="F4905" s="2" t="s">
        <v>11</v>
      </c>
      <c r="G4905" s="2" t="s">
        <v>34505</v>
      </c>
      <c r="H4905" s="2" t="s">
        <v>34506</v>
      </c>
    </row>
    <row r="4906" spans="1:8" ht="25.05" customHeight="1" x14ac:dyDescent="0.25">
      <c r="A4906" s="2" t="s">
        <v>8</v>
      </c>
      <c r="B4906" s="2" t="str">
        <f>HYPERLINK("http://ts.21cn.com/tousu/show/id/1335697","立借贷款给月光侠分期提供平台，月光侠暴力催收")</f>
        <v>立借贷款给月光侠分期提供平台，月光侠暴力催收</v>
      </c>
      <c r="C4906" s="2" t="s">
        <v>9</v>
      </c>
      <c r="D4906" s="2" t="s">
        <v>10</v>
      </c>
      <c r="E4906" s="2" t="str">
        <f>HYPERLINK("http://ts.21cn.com/tousu/show/id/1335697","http://ts.21cn.com/tousu/show/id/1335697")</f>
        <v>http://ts.21cn.com/tousu/show/id/1335697</v>
      </c>
      <c r="F4906" s="2" t="s">
        <v>11</v>
      </c>
      <c r="G4906" s="2" t="s">
        <v>34503</v>
      </c>
      <c r="H4906" s="2" t="s">
        <v>34504</v>
      </c>
    </row>
    <row r="4907" spans="1:8" ht="25.05" customHeight="1" x14ac:dyDescent="0.25">
      <c r="A4907" s="2" t="s">
        <v>8</v>
      </c>
      <c r="B4907" s="2" t="str">
        <f>HYPERLINK("http://ts.21cn.com/tousu/show/id/1335698","打电话威胁我，利息太高，砍头息")</f>
        <v>打电话威胁我，利息太高，砍头息</v>
      </c>
      <c r="C4907" s="2" t="s">
        <v>9</v>
      </c>
      <c r="D4907" s="2" t="s">
        <v>10</v>
      </c>
      <c r="E4907" s="2" t="str">
        <f>HYPERLINK("http://ts.21cn.com/tousu/show/id/1335698","http://ts.21cn.com/tousu/show/id/1335698")</f>
        <v>http://ts.21cn.com/tousu/show/id/1335698</v>
      </c>
      <c r="F4907" s="2" t="s">
        <v>11</v>
      </c>
      <c r="G4907" s="2" t="s">
        <v>34501</v>
      </c>
      <c r="H4907" s="2" t="s">
        <v>34502</v>
      </c>
    </row>
    <row r="4908" spans="1:8" ht="25.05" customHeight="1" x14ac:dyDescent="0.25">
      <c r="A4908" s="2" t="s">
        <v>8</v>
      </c>
      <c r="B4908" s="2" t="str">
        <f>HYPERLINK("http://ts.21cn.com/tousu/show/id/1335699","百事普惠恶意扣款")</f>
        <v>百事普惠恶意扣款</v>
      </c>
      <c r="C4908" s="2" t="s">
        <v>9</v>
      </c>
      <c r="D4908" s="2" t="s">
        <v>10</v>
      </c>
      <c r="E4908" s="2" t="str">
        <f>HYPERLINK("http://ts.21cn.com/tousu/show/id/1335699","http://ts.21cn.com/tousu/show/id/1335699")</f>
        <v>http://ts.21cn.com/tousu/show/id/1335699</v>
      </c>
      <c r="F4908" s="2" t="s">
        <v>11</v>
      </c>
      <c r="G4908" s="2" t="s">
        <v>34499</v>
      </c>
      <c r="H4908" s="2" t="s">
        <v>34500</v>
      </c>
    </row>
    <row r="4909" spans="1:8" ht="25.05" customHeight="1" x14ac:dyDescent="0.25">
      <c r="A4909" s="2" t="s">
        <v>8</v>
      </c>
      <c r="B4909" s="2" t="str">
        <f>HYPERLINK("http://ts.21cn.com/tousu/show/id/1335700","协商还款")</f>
        <v>协商还款</v>
      </c>
      <c r="C4909" s="2" t="s">
        <v>9</v>
      </c>
      <c r="D4909" s="2" t="s">
        <v>10</v>
      </c>
      <c r="E4909" s="2" t="str">
        <f>HYPERLINK("http://ts.21cn.com/tousu/show/id/1335700","http://ts.21cn.com/tousu/show/id/1335700")</f>
        <v>http://ts.21cn.com/tousu/show/id/1335700</v>
      </c>
      <c r="F4909" s="2" t="s">
        <v>11</v>
      </c>
      <c r="G4909" s="2" t="s">
        <v>34497</v>
      </c>
      <c r="H4909" s="2" t="s">
        <v>34498</v>
      </c>
    </row>
    <row r="4910" spans="1:8" ht="25.05" customHeight="1" x14ac:dyDescent="0.25">
      <c r="A4910" s="2" t="s">
        <v>8</v>
      </c>
      <c r="B4910" s="2" t="str">
        <f>HYPERLINK("http://ts.21cn.com/tousu/show/id/1335701","拍拍贷协商处理")</f>
        <v>拍拍贷协商处理</v>
      </c>
      <c r="C4910" s="2" t="s">
        <v>9</v>
      </c>
      <c r="D4910" s="2" t="s">
        <v>10</v>
      </c>
      <c r="E4910" s="2" t="str">
        <f>HYPERLINK("http://ts.21cn.com/tousu/show/id/1335701","http://ts.21cn.com/tousu/show/id/1335701")</f>
        <v>http://ts.21cn.com/tousu/show/id/1335701</v>
      </c>
      <c r="F4910" s="2" t="s">
        <v>11</v>
      </c>
      <c r="G4910" s="2" t="s">
        <v>34495</v>
      </c>
      <c r="H4910" s="2" t="s">
        <v>34496</v>
      </c>
    </row>
    <row r="4911" spans="1:8" ht="25.05" customHeight="1" x14ac:dyDescent="0.25">
      <c r="A4911" s="2" t="s">
        <v>8</v>
      </c>
      <c r="B4911" s="2" t="str">
        <f>HYPERLINK("http://ts.21cn.com/tousu/show/id/1335702","自由摩卡诺和信用计划砍头息高利贷套路贷")</f>
        <v>自由摩卡诺和信用计划砍头息高利贷套路贷</v>
      </c>
      <c r="C4911" s="2" t="s">
        <v>9</v>
      </c>
      <c r="D4911" s="2" t="s">
        <v>10</v>
      </c>
      <c r="E4911" s="2" t="str">
        <f>HYPERLINK("http://ts.21cn.com/tousu/show/id/1335702","http://ts.21cn.com/tousu/show/id/1335702")</f>
        <v>http://ts.21cn.com/tousu/show/id/1335702</v>
      </c>
      <c r="F4911" s="2" t="s">
        <v>11</v>
      </c>
      <c r="G4911" s="2" t="s">
        <v>34493</v>
      </c>
      <c r="H4911" s="2" t="s">
        <v>34494</v>
      </c>
    </row>
    <row r="4912" spans="1:8" ht="25.05" customHeight="1" x14ac:dyDescent="0.25">
      <c r="A4912" s="2" t="s">
        <v>8</v>
      </c>
      <c r="B4912" s="2" t="str">
        <f>HYPERLINK("http://ts.21cn.com/tousu/show/id/1335703","买到空号要求退款")</f>
        <v>买到空号要求退款</v>
      </c>
      <c r="C4912" s="2" t="s">
        <v>34</v>
      </c>
      <c r="D4912" s="2" t="s">
        <v>10</v>
      </c>
      <c r="E4912" s="2" t="str">
        <f>HYPERLINK("http://ts.21cn.com/tousu/show/id/1335703","http://ts.21cn.com/tousu/show/id/1335703")</f>
        <v>http://ts.21cn.com/tousu/show/id/1335703</v>
      </c>
      <c r="F4912" s="2" t="s">
        <v>11</v>
      </c>
      <c r="G4912" s="2" t="s">
        <v>34491</v>
      </c>
      <c r="H4912" s="2" t="s">
        <v>34492</v>
      </c>
    </row>
    <row r="4913" spans="1:8" ht="25.05" customHeight="1" x14ac:dyDescent="0.25">
      <c r="A4913" s="2" t="s">
        <v>8</v>
      </c>
      <c r="B4913" s="2" t="str">
        <f>HYPERLINK("http://ts.21cn.com/tousu/show/id/1335704","豹子贷扣费申请不通过不退款")</f>
        <v>豹子贷扣费申请不通过不退款</v>
      </c>
      <c r="C4913" s="2" t="s">
        <v>34</v>
      </c>
      <c r="D4913" s="2" t="s">
        <v>10</v>
      </c>
      <c r="E4913" s="2" t="str">
        <f>HYPERLINK("http://ts.21cn.com/tousu/show/id/1335704","http://ts.21cn.com/tousu/show/id/1335704")</f>
        <v>http://ts.21cn.com/tousu/show/id/1335704</v>
      </c>
      <c r="F4913" s="2" t="s">
        <v>11</v>
      </c>
      <c r="G4913" s="2" t="s">
        <v>34489</v>
      </c>
      <c r="H4913" s="2" t="s">
        <v>34490</v>
      </c>
    </row>
    <row r="4914" spans="1:8" ht="25.05" customHeight="1" x14ac:dyDescent="0.25">
      <c r="A4914" s="2" t="s">
        <v>8</v>
      </c>
      <c r="B4914" s="2" t="str">
        <f>HYPERLINK("http://ts.21cn.com/tousu/show/id/1335705","非法冻结账户资金")</f>
        <v>非法冻结账户资金</v>
      </c>
      <c r="C4914" s="2" t="s">
        <v>9</v>
      </c>
      <c r="D4914" s="2" t="s">
        <v>10</v>
      </c>
      <c r="E4914" s="2" t="str">
        <f>HYPERLINK("http://ts.21cn.com/tousu/show/id/1335705","http://ts.21cn.com/tousu/show/id/1335705")</f>
        <v>http://ts.21cn.com/tousu/show/id/1335705</v>
      </c>
      <c r="F4914" s="2" t="s">
        <v>11</v>
      </c>
      <c r="G4914" s="2" t="s">
        <v>34487</v>
      </c>
      <c r="H4914" s="2" t="s">
        <v>34488</v>
      </c>
    </row>
    <row r="4915" spans="1:8" ht="25.05" customHeight="1" x14ac:dyDescent="0.25">
      <c r="A4915" s="2" t="s">
        <v>8</v>
      </c>
      <c r="B4915" s="2" t="str">
        <f>HYPERLINK("http://ts.21cn.com/tousu/show/id/1335706","小影app自动扣费的流氓问题")</f>
        <v>小影app自动扣费的流氓问题</v>
      </c>
      <c r="C4915" s="2" t="s">
        <v>9</v>
      </c>
      <c r="D4915" s="2" t="s">
        <v>10</v>
      </c>
      <c r="E4915" s="2" t="str">
        <f>HYPERLINK("http://ts.21cn.com/tousu/show/id/1335706","http://ts.21cn.com/tousu/show/id/1335706")</f>
        <v>http://ts.21cn.com/tousu/show/id/1335706</v>
      </c>
      <c r="F4915" s="2" t="s">
        <v>11</v>
      </c>
      <c r="G4915" s="2" t="s">
        <v>34485</v>
      </c>
      <c r="H4915" s="2" t="s">
        <v>34486</v>
      </c>
    </row>
    <row r="4916" spans="1:8" ht="25.05" customHeight="1" x14ac:dyDescent="0.25">
      <c r="A4916" s="2" t="s">
        <v>8</v>
      </c>
      <c r="B4916" s="2" t="str">
        <f>HYPERLINK("http://ts.21cn.com/tousu/show/id/1335707","点心贷违法恶意骚扰")</f>
        <v>点心贷违法恶意骚扰</v>
      </c>
      <c r="C4916" s="2" t="s">
        <v>9</v>
      </c>
      <c r="D4916" s="2" t="s">
        <v>10</v>
      </c>
      <c r="E4916" s="2" t="str">
        <f>HYPERLINK("http://ts.21cn.com/tousu/show/id/1335707","http://ts.21cn.com/tousu/show/id/1335707")</f>
        <v>http://ts.21cn.com/tousu/show/id/1335707</v>
      </c>
      <c r="F4916" s="2" t="s">
        <v>11</v>
      </c>
      <c r="G4916" s="2" t="s">
        <v>34483</v>
      </c>
      <c r="H4916" s="2" t="s">
        <v>34484</v>
      </c>
    </row>
    <row r="4917" spans="1:8" ht="25.05" customHeight="1" x14ac:dyDescent="0.25">
      <c r="A4917" s="2" t="s">
        <v>8</v>
      </c>
      <c r="B4917" s="2" t="str">
        <f>HYPERLINK("http://ts.21cn.com/tousu/show/id/1335710","冒充国家执法机关")</f>
        <v>冒充国家执法机关</v>
      </c>
      <c r="C4917" s="2" t="s">
        <v>9</v>
      </c>
      <c r="D4917" s="2" t="s">
        <v>10</v>
      </c>
      <c r="E4917" s="2" t="str">
        <f>HYPERLINK("http://ts.21cn.com/tousu/show/id/1335710","http://ts.21cn.com/tousu/show/id/1335710")</f>
        <v>http://ts.21cn.com/tousu/show/id/1335710</v>
      </c>
      <c r="F4917" s="2" t="s">
        <v>11</v>
      </c>
      <c r="G4917" s="2" t="s">
        <v>34482</v>
      </c>
      <c r="H4917" s="2" t="s">
        <v>21896</v>
      </c>
    </row>
    <row r="4918" spans="1:8" ht="25.05" customHeight="1" x14ac:dyDescent="0.25">
      <c r="A4918" s="2" t="s">
        <v>8</v>
      </c>
      <c r="B4918" s="2" t="str">
        <f>HYPERLINK("http://ts.21cn.com/tousu/show/id/1335708","闪电借贷，套路贷")</f>
        <v>闪电借贷，套路贷</v>
      </c>
      <c r="C4918" s="2" t="s">
        <v>9</v>
      </c>
      <c r="D4918" s="2" t="s">
        <v>10</v>
      </c>
      <c r="E4918" s="2" t="str">
        <f>HYPERLINK("http://ts.21cn.com/tousu/show/id/1335708","http://ts.21cn.com/tousu/show/id/1335708")</f>
        <v>http://ts.21cn.com/tousu/show/id/1335708</v>
      </c>
      <c r="F4918" s="2" t="s">
        <v>11</v>
      </c>
      <c r="G4918" s="2" t="s">
        <v>34480</v>
      </c>
      <c r="H4918" s="2" t="s">
        <v>34481</v>
      </c>
    </row>
    <row r="4919" spans="1:8" ht="25.05" customHeight="1" x14ac:dyDescent="0.25">
      <c r="A4919" s="2" t="s">
        <v>8</v>
      </c>
      <c r="B4919" s="2" t="str">
        <f>HYPERLINK("http://ts.21cn.com/tousu/show/id/1335709","冒充国家执法机关冒充国家执法机关工作人员对你进行恐吓、暴力催收。冒充法院给我发法院受理书起诉我。")</f>
        <v>冒充国家执法机关冒充国家执法机关工作人员对你进行恐吓、暴力催收。冒充法院给我发法院受理书起诉我。</v>
      </c>
      <c r="C4919" s="2" t="s">
        <v>9</v>
      </c>
      <c r="D4919" s="2" t="s">
        <v>10</v>
      </c>
      <c r="E4919" s="2" t="str">
        <f>HYPERLINK("http://ts.21cn.com/tousu/show/id/1335709","http://ts.21cn.com/tousu/show/id/1335709")</f>
        <v>http://ts.21cn.com/tousu/show/id/1335709</v>
      </c>
      <c r="F4919" s="2" t="s">
        <v>11</v>
      </c>
      <c r="G4919" s="2" t="s">
        <v>34478</v>
      </c>
      <c r="H4919" s="2" t="s">
        <v>34479</v>
      </c>
    </row>
    <row r="4920" spans="1:8" ht="25.05" customHeight="1" x14ac:dyDescent="0.25">
      <c r="A4920" s="2" t="s">
        <v>8</v>
      </c>
      <c r="B4920" s="2" t="str">
        <f>HYPERLINK("http://ts.21cn.com/tousu/show/id/1335711","我来贷高利贷，无法提前还款")</f>
        <v>我来贷高利贷，无法提前还款</v>
      </c>
      <c r="C4920" s="2" t="s">
        <v>9</v>
      </c>
      <c r="D4920" s="2" t="s">
        <v>10</v>
      </c>
      <c r="E4920" s="2" t="str">
        <f>HYPERLINK("http://ts.21cn.com/tousu/show/id/1335711","http://ts.21cn.com/tousu/show/id/1335711")</f>
        <v>http://ts.21cn.com/tousu/show/id/1335711</v>
      </c>
      <c r="F4920" s="2" t="s">
        <v>11</v>
      </c>
      <c r="G4920" s="2" t="s">
        <v>34476</v>
      </c>
      <c r="H4920" s="2" t="s">
        <v>34477</v>
      </c>
    </row>
    <row r="4921" spans="1:8" ht="25.05" customHeight="1" x14ac:dyDescent="0.25">
      <c r="A4921" s="2" t="s">
        <v>8</v>
      </c>
      <c r="B4921" s="2" t="str">
        <f>HYPERLINK("http://ts.21cn.com/tousu/show/id/1335712","快闪卡贷砍头息利率高出国家法定利息")</f>
        <v>快闪卡贷砍头息利率高出国家法定利息</v>
      </c>
      <c r="C4921" s="2" t="s">
        <v>34</v>
      </c>
      <c r="D4921" s="2" t="s">
        <v>10</v>
      </c>
      <c r="E4921" s="2" t="str">
        <f>HYPERLINK("http://ts.21cn.com/tousu/show/id/1335712","http://ts.21cn.com/tousu/show/id/1335712")</f>
        <v>http://ts.21cn.com/tousu/show/id/1335712</v>
      </c>
      <c r="F4921" s="2" t="s">
        <v>11</v>
      </c>
      <c r="G4921" s="2" t="s">
        <v>34474</v>
      </c>
      <c r="H4921" s="2" t="s">
        <v>34475</v>
      </c>
    </row>
    <row r="4922" spans="1:8" ht="25.05" customHeight="1" x14ac:dyDescent="0.25">
      <c r="A4922" s="2" t="s">
        <v>8</v>
      </c>
      <c r="B4922" s="2" t="str">
        <f>HYPERLINK("http://ts.21cn.com/tousu/show/id/1335713","砍头息阴阳合同冒充公检法")</f>
        <v>砍头息阴阳合同冒充公检法</v>
      </c>
      <c r="C4922" s="2" t="s">
        <v>9</v>
      </c>
      <c r="D4922" s="2" t="s">
        <v>10</v>
      </c>
      <c r="E4922" s="2" t="str">
        <f>HYPERLINK("http://ts.21cn.com/tousu/show/id/1335713","http://ts.21cn.com/tousu/show/id/1335713")</f>
        <v>http://ts.21cn.com/tousu/show/id/1335713</v>
      </c>
      <c r="F4922" s="2" t="s">
        <v>11</v>
      </c>
      <c r="G4922" s="2" t="s">
        <v>34472</v>
      </c>
      <c r="H4922" s="2" t="s">
        <v>34473</v>
      </c>
    </row>
    <row r="4923" spans="1:8" ht="25.05" customHeight="1" x14ac:dyDescent="0.25">
      <c r="A4923" s="2" t="s">
        <v>8</v>
      </c>
      <c r="B4923" s="2" t="str">
        <f>HYPERLINK("http://ts.21cn.com/tousu/show/id/1335718","恶意催收，威胁恐吓")</f>
        <v>恶意催收，威胁恐吓</v>
      </c>
      <c r="C4923" s="2" t="s">
        <v>9</v>
      </c>
      <c r="D4923" s="2" t="s">
        <v>10</v>
      </c>
      <c r="E4923" s="2" t="str">
        <f>HYPERLINK("http://ts.21cn.com/tousu/show/id/1335718","http://ts.21cn.com/tousu/show/id/1335718")</f>
        <v>http://ts.21cn.com/tousu/show/id/1335718</v>
      </c>
      <c r="F4923" s="2" t="s">
        <v>11</v>
      </c>
      <c r="G4923" s="2" t="s">
        <v>34470</v>
      </c>
      <c r="H4923" s="2" t="s">
        <v>34471</v>
      </c>
    </row>
    <row r="4924" spans="1:8" ht="25.05" customHeight="1" x14ac:dyDescent="0.25">
      <c r="A4924" s="2" t="s">
        <v>8</v>
      </c>
      <c r="B4924" s="2" t="str">
        <f>HYPERLINK("http://ts.21cn.com/tousu/show/id/1335717","上门暴力收款")</f>
        <v>上门暴力收款</v>
      </c>
      <c r="C4924" s="2" t="s">
        <v>9</v>
      </c>
      <c r="D4924" s="2" t="s">
        <v>10</v>
      </c>
      <c r="E4924" s="2" t="str">
        <f>HYPERLINK("http://ts.21cn.com/tousu/show/id/1335717","http://ts.21cn.com/tousu/show/id/1335717")</f>
        <v>http://ts.21cn.com/tousu/show/id/1335717</v>
      </c>
      <c r="F4924" s="2" t="s">
        <v>11</v>
      </c>
      <c r="G4924" s="2" t="s">
        <v>34469</v>
      </c>
      <c r="H4924" s="2" t="s">
        <v>21884</v>
      </c>
    </row>
    <row r="4925" spans="1:8" ht="25.05" customHeight="1" x14ac:dyDescent="0.25">
      <c r="A4925" s="2" t="s">
        <v>8</v>
      </c>
      <c r="B4925" s="2" t="str">
        <f>HYPERLINK("http://ts.21cn.com/tousu/show/id/1335719","用“呼死你”等软件轰炸用“呼死你”等软件轰炸我和我身边亲戚朋友。特来投诉请停止骚扰")</f>
        <v>用“呼死你”等软件轰炸用“呼死你”等软件轰炸我和我身边亲戚朋友。特来投诉请停止骚扰</v>
      </c>
      <c r="C4925" s="2" t="s">
        <v>9</v>
      </c>
      <c r="D4925" s="2" t="s">
        <v>10</v>
      </c>
      <c r="E4925" s="2" t="str">
        <f>HYPERLINK("http://ts.21cn.com/tousu/show/id/1335719","http://ts.21cn.com/tousu/show/id/1335719")</f>
        <v>http://ts.21cn.com/tousu/show/id/1335719</v>
      </c>
      <c r="F4925" s="2" t="s">
        <v>11</v>
      </c>
      <c r="G4925" s="2" t="s">
        <v>34467</v>
      </c>
      <c r="H4925" s="2" t="s">
        <v>34468</v>
      </c>
    </row>
    <row r="4926" spans="1:8" ht="25.05" customHeight="1" x14ac:dyDescent="0.25">
      <c r="A4926" s="2" t="s">
        <v>8</v>
      </c>
      <c r="B4926" s="2" t="str">
        <f>HYPERLINK("http://ts.21cn.com/tousu/show/id/1335720","投诉聚福钱包")</f>
        <v>投诉聚福钱包</v>
      </c>
      <c r="C4926" s="2" t="s">
        <v>9</v>
      </c>
      <c r="D4926" s="2" t="s">
        <v>10</v>
      </c>
      <c r="E4926" s="2" t="str">
        <f>HYPERLINK("http://ts.21cn.com/tousu/show/id/1335720","http://ts.21cn.com/tousu/show/id/1335720")</f>
        <v>http://ts.21cn.com/tousu/show/id/1335720</v>
      </c>
      <c r="F4926" s="2" t="s">
        <v>11</v>
      </c>
      <c r="G4926" s="2" t="s">
        <v>34465</v>
      </c>
      <c r="H4926" s="2" t="s">
        <v>34466</v>
      </c>
    </row>
    <row r="4927" spans="1:8" ht="25.05" customHeight="1" x14ac:dyDescent="0.25">
      <c r="A4927" s="2" t="s">
        <v>8</v>
      </c>
      <c r="B4927" s="2" t="str">
        <f>HYPERLINK("http://ts.21cn.com/tousu/show/id/1335721","中国银联广东分公司违规扣款")</f>
        <v>中国银联广东分公司违规扣款</v>
      </c>
      <c r="C4927" s="2" t="s">
        <v>9</v>
      </c>
      <c r="D4927" s="2" t="s">
        <v>10</v>
      </c>
      <c r="E4927" s="2" t="str">
        <f>HYPERLINK("http://ts.21cn.com/tousu/show/id/1335721","http://ts.21cn.com/tousu/show/id/1335721")</f>
        <v>http://ts.21cn.com/tousu/show/id/1335721</v>
      </c>
      <c r="F4927" s="2" t="s">
        <v>11</v>
      </c>
      <c r="G4927" s="2" t="s">
        <v>34463</v>
      </c>
      <c r="H4927" s="2" t="s">
        <v>34464</v>
      </c>
    </row>
    <row r="4928" spans="1:8" ht="25.05" customHeight="1" x14ac:dyDescent="0.25">
      <c r="A4928" s="2" t="s">
        <v>8</v>
      </c>
      <c r="B4928" s="2" t="str">
        <f>HYPERLINK("http://ts.21cn.com/tousu/show/id/1335722","拼多多乱罚商家的款")</f>
        <v>拼多多乱罚商家的款</v>
      </c>
      <c r="C4928" s="2" t="s">
        <v>9</v>
      </c>
      <c r="D4928" s="2" t="s">
        <v>10</v>
      </c>
      <c r="E4928" s="2" t="str">
        <f>HYPERLINK("http://ts.21cn.com/tousu/show/id/1335722","http://ts.21cn.com/tousu/show/id/1335722")</f>
        <v>http://ts.21cn.com/tousu/show/id/1335722</v>
      </c>
      <c r="F4928" s="2" t="s">
        <v>11</v>
      </c>
      <c r="G4928" s="2" t="s">
        <v>34461</v>
      </c>
      <c r="H4928" s="2" t="s">
        <v>34462</v>
      </c>
    </row>
    <row r="4929" spans="1:8" ht="25.05" customHeight="1" x14ac:dyDescent="0.25">
      <c r="A4929" s="2" t="s">
        <v>8</v>
      </c>
      <c r="B4929" s="2" t="str">
        <f>HYPERLINK("http://ts.21cn.com/tousu/show/id/1335723","巨额逾期费用")</f>
        <v>巨额逾期费用</v>
      </c>
      <c r="C4929" s="2" t="s">
        <v>9</v>
      </c>
      <c r="D4929" s="2" t="s">
        <v>10</v>
      </c>
      <c r="E4929" s="2" t="str">
        <f>HYPERLINK("http://ts.21cn.com/tousu/show/id/1335723","http://ts.21cn.com/tousu/show/id/1335723")</f>
        <v>http://ts.21cn.com/tousu/show/id/1335723</v>
      </c>
      <c r="F4929" s="2" t="s">
        <v>11</v>
      </c>
      <c r="G4929" s="2" t="s">
        <v>34459</v>
      </c>
      <c r="H4929" s="2" t="s">
        <v>34460</v>
      </c>
    </row>
    <row r="4930" spans="1:8" ht="25.05" customHeight="1" x14ac:dyDescent="0.25">
      <c r="A4930" s="2" t="s">
        <v>8</v>
      </c>
      <c r="B4930" s="2" t="str">
        <f>HYPERLINK("http://ts.21cn.com/tousu/show/id/1335715","10.2号我在拼多平台上买了200元的充值卡往本机上充钱的结果不知怎的充错了商家拒退款")</f>
        <v>10.2号我在拼多平台上买了200元的充值卡往本机上充钱的结果不知怎的充错了商家拒退款</v>
      </c>
      <c r="C4930" s="2" t="s">
        <v>9</v>
      </c>
      <c r="D4930" s="2" t="s">
        <v>10</v>
      </c>
      <c r="E4930" s="2" t="str">
        <f>HYPERLINK("http://ts.21cn.com/tousu/show/id/1335715","http://ts.21cn.com/tousu/show/id/1335715")</f>
        <v>http://ts.21cn.com/tousu/show/id/1335715</v>
      </c>
      <c r="F4930" s="2" t="s">
        <v>11</v>
      </c>
      <c r="G4930" s="2" t="s">
        <v>34457</v>
      </c>
      <c r="H4930" s="2" t="s">
        <v>34458</v>
      </c>
    </row>
    <row r="4931" spans="1:8" ht="25.05" customHeight="1" x14ac:dyDescent="0.25">
      <c r="A4931" s="2" t="s">
        <v>8</v>
      </c>
      <c r="B4931" s="2" t="str">
        <f>HYPERLINK("http://ts.21cn.com/tousu/show/id/1335724","神马借高利贷，信用管家，畅捷支付，潮州市盛林信息科技，支付宝为神马借提供服务")</f>
        <v>神马借高利贷，信用管家，畅捷支付，潮州市盛林信息科技，支付宝为神马借提供服务</v>
      </c>
      <c r="C4931" s="2" t="s">
        <v>9</v>
      </c>
      <c r="D4931" s="2" t="s">
        <v>10</v>
      </c>
      <c r="E4931" s="2" t="str">
        <f>HYPERLINK("http://ts.21cn.com/tousu/show/id/1335724","http://ts.21cn.com/tousu/show/id/1335724")</f>
        <v>http://ts.21cn.com/tousu/show/id/1335724</v>
      </c>
      <c r="F4931" s="2" t="s">
        <v>11</v>
      </c>
      <c r="G4931" s="2" t="s">
        <v>34455</v>
      </c>
      <c r="H4931" s="2" t="s">
        <v>34456</v>
      </c>
    </row>
    <row r="4932" spans="1:8" ht="25.05" customHeight="1" x14ac:dyDescent="0.25">
      <c r="A4932" s="2" t="s">
        <v>8</v>
      </c>
      <c r="B4932" s="2" t="str">
        <f>HYPERLINK("http://ts.21cn.com/tousu/show/id/1335725","拼多多平台不诚信不退运费")</f>
        <v>拼多多平台不诚信不退运费</v>
      </c>
      <c r="C4932" s="2" t="s">
        <v>9</v>
      </c>
      <c r="D4932" s="2" t="s">
        <v>10</v>
      </c>
      <c r="E4932" s="2" t="str">
        <f>HYPERLINK("http://ts.21cn.com/tousu/show/id/1335725","http://ts.21cn.com/tousu/show/id/1335725")</f>
        <v>http://ts.21cn.com/tousu/show/id/1335725</v>
      </c>
      <c r="F4932" s="2" t="s">
        <v>11</v>
      </c>
      <c r="G4932" s="2" t="s">
        <v>34453</v>
      </c>
      <c r="H4932" s="2" t="s">
        <v>34454</v>
      </c>
    </row>
    <row r="4933" spans="1:8" ht="25.05" customHeight="1" x14ac:dyDescent="0.25">
      <c r="A4933" s="2" t="s">
        <v>8</v>
      </c>
      <c r="B4933" s="2" t="str">
        <f>HYPERLINK("http://ts.21cn.com/tousu/show/id/1335726","网贷结清，闪银各种推脱不开结清证明")</f>
        <v>网贷结清，闪银各种推脱不开结清证明</v>
      </c>
      <c r="C4933" s="2" t="s">
        <v>9</v>
      </c>
      <c r="D4933" s="2" t="s">
        <v>10</v>
      </c>
      <c r="E4933" s="2" t="str">
        <f>HYPERLINK("http://ts.21cn.com/tousu/show/id/1335726","http://ts.21cn.com/tousu/show/id/1335726")</f>
        <v>http://ts.21cn.com/tousu/show/id/1335726</v>
      </c>
      <c r="F4933" s="2" t="s">
        <v>11</v>
      </c>
      <c r="G4933" s="2" t="s">
        <v>34451</v>
      </c>
      <c r="H4933" s="2" t="s">
        <v>34452</v>
      </c>
    </row>
    <row r="4934" spans="1:8" ht="25.05" customHeight="1" x14ac:dyDescent="0.25">
      <c r="A4934" s="2" t="s">
        <v>8</v>
      </c>
      <c r="B4934" s="2" t="str">
        <f>HYPERLINK("http://ts.21cn.com/tousu/show/id/1335727","鼎泰鑫、小花钱包、中腾信、暴力催收，出卖个人隐私")</f>
        <v>鼎泰鑫、小花钱包、中腾信、暴力催收，出卖个人隐私</v>
      </c>
      <c r="C4934" s="2" t="s">
        <v>9</v>
      </c>
      <c r="D4934" s="2" t="s">
        <v>10</v>
      </c>
      <c r="E4934" s="2" t="str">
        <f>HYPERLINK("http://ts.21cn.com/tousu/show/id/1335727","http://ts.21cn.com/tousu/show/id/1335727")</f>
        <v>http://ts.21cn.com/tousu/show/id/1335727</v>
      </c>
      <c r="F4934" s="2" t="s">
        <v>11</v>
      </c>
      <c r="G4934" s="2" t="s">
        <v>34449</v>
      </c>
      <c r="H4934" s="2" t="s">
        <v>34450</v>
      </c>
    </row>
    <row r="4935" spans="1:8" ht="25.05" customHeight="1" x14ac:dyDescent="0.25">
      <c r="A4935" s="2" t="s">
        <v>8</v>
      </c>
      <c r="B4935" s="2" t="str">
        <f>HYPERLINK("http://ts.21cn.com/tousu/show/id/1335728","快递乡镇为什么要收钱")</f>
        <v>快递乡镇为什么要收钱</v>
      </c>
      <c r="C4935" s="2" t="s">
        <v>9</v>
      </c>
      <c r="D4935" s="2" t="s">
        <v>10</v>
      </c>
      <c r="E4935" s="2" t="str">
        <f>HYPERLINK("http://ts.21cn.com/tousu/show/id/1335728","http://ts.21cn.com/tousu/show/id/1335728")</f>
        <v>http://ts.21cn.com/tousu/show/id/1335728</v>
      </c>
      <c r="F4935" s="2" t="s">
        <v>11</v>
      </c>
      <c r="G4935" s="2" t="s">
        <v>34447</v>
      </c>
      <c r="H4935" s="2" t="s">
        <v>34448</v>
      </c>
    </row>
    <row r="4936" spans="1:8" ht="25.05" customHeight="1" x14ac:dyDescent="0.25">
      <c r="A4936" s="2" t="s">
        <v>8</v>
      </c>
      <c r="B4936" s="2" t="str">
        <f>HYPERLINK("http://ts.21cn.com/tousu/show/id/1335729","投诉腾讯云视听诱导性消费者冲错会员")</f>
        <v>投诉腾讯云视听诱导性消费者冲错会员</v>
      </c>
      <c r="C4936" s="2" t="s">
        <v>9</v>
      </c>
      <c r="D4936" s="2" t="s">
        <v>10</v>
      </c>
      <c r="E4936" s="2" t="str">
        <f>HYPERLINK("http://ts.21cn.com/tousu/show/id/1335729","http://ts.21cn.com/tousu/show/id/1335729")</f>
        <v>http://ts.21cn.com/tousu/show/id/1335729</v>
      </c>
      <c r="F4936" s="2" t="s">
        <v>11</v>
      </c>
      <c r="G4936" s="2" t="s">
        <v>34445</v>
      </c>
      <c r="H4936" s="2" t="s">
        <v>34446</v>
      </c>
    </row>
    <row r="4937" spans="1:8" ht="25.05" customHeight="1" x14ac:dyDescent="0.25">
      <c r="A4937" s="2" t="s">
        <v>8</v>
      </c>
      <c r="B4937" s="2" t="str">
        <f>HYPERLINK("http://ts.21cn.com/tousu/show/id/1335730","非法贷款")</f>
        <v>非法贷款</v>
      </c>
      <c r="C4937" s="2" t="s">
        <v>9</v>
      </c>
      <c r="D4937" s="2" t="s">
        <v>10</v>
      </c>
      <c r="E4937" s="2" t="str">
        <f>HYPERLINK("http://ts.21cn.com/tousu/show/id/1335730","http://ts.21cn.com/tousu/show/id/1335730")</f>
        <v>http://ts.21cn.com/tousu/show/id/1335730</v>
      </c>
      <c r="F4937" s="2" t="s">
        <v>11</v>
      </c>
      <c r="G4937" s="2" t="s">
        <v>34443</v>
      </c>
      <c r="H4937" s="2" t="s">
        <v>34444</v>
      </c>
    </row>
    <row r="4938" spans="1:8" ht="25.05" customHeight="1" x14ac:dyDescent="0.25">
      <c r="A4938" s="2" t="s">
        <v>8</v>
      </c>
      <c r="B4938" s="2" t="str">
        <f>HYPERLINK("http://ts.21cn.com/tousu/show/id/1335731","被暴力追债爆通讯录")</f>
        <v>被暴力追债爆通讯录</v>
      </c>
      <c r="C4938" s="2" t="s">
        <v>9</v>
      </c>
      <c r="D4938" s="2" t="s">
        <v>10</v>
      </c>
      <c r="E4938" s="2" t="str">
        <f>HYPERLINK("http://ts.21cn.com/tousu/show/id/1335731","http://ts.21cn.com/tousu/show/id/1335731")</f>
        <v>http://ts.21cn.com/tousu/show/id/1335731</v>
      </c>
      <c r="F4938" s="2" t="s">
        <v>11</v>
      </c>
      <c r="G4938" s="2" t="s">
        <v>34441</v>
      </c>
      <c r="H4938" s="2" t="s">
        <v>34442</v>
      </c>
    </row>
    <row r="4939" spans="1:8" ht="25.05" customHeight="1" x14ac:dyDescent="0.25">
      <c r="A4939" s="2" t="s">
        <v>8</v>
      </c>
      <c r="B4939" s="2" t="str">
        <f>HYPERLINK("http://ts.21cn.com/tousu/show/id/1335733","高利贷威胁网贷利率超过百分之三十六，或者是逾期费高于中国人民银行规定的逾期利率。")</f>
        <v>高利贷威胁网贷利率超过百分之三十六，或者是逾期费高于中国人民银行规定的逾期利率。</v>
      </c>
      <c r="C4939" s="2" t="s">
        <v>9</v>
      </c>
      <c r="D4939" s="2" t="s">
        <v>10</v>
      </c>
      <c r="E4939" s="2" t="str">
        <f>HYPERLINK("http://ts.21cn.com/tousu/show/id/1335733","http://ts.21cn.com/tousu/show/id/1335733")</f>
        <v>http://ts.21cn.com/tousu/show/id/1335733</v>
      </c>
      <c r="F4939" s="2" t="s">
        <v>11</v>
      </c>
      <c r="G4939" s="2" t="s">
        <v>34440</v>
      </c>
      <c r="H4939" s="2" t="s">
        <v>34439</v>
      </c>
    </row>
    <row r="4940" spans="1:8" ht="25.05" customHeight="1" x14ac:dyDescent="0.25">
      <c r="A4940" s="2" t="s">
        <v>8</v>
      </c>
      <c r="B4940" s="2" t="str">
        <f>HYPERLINK("http://ts.21cn.com/tousu/show/id/1335732","小赢轰炸式骚扰通讯录亲戚朋友")</f>
        <v>小赢轰炸式骚扰通讯录亲戚朋友</v>
      </c>
      <c r="C4940" s="2" t="s">
        <v>34</v>
      </c>
      <c r="D4940" s="2" t="s">
        <v>10</v>
      </c>
      <c r="E4940" s="2" t="str">
        <f>HYPERLINK("http://ts.21cn.com/tousu/show/id/1335732","http://ts.21cn.com/tousu/show/id/1335732")</f>
        <v>http://ts.21cn.com/tousu/show/id/1335732</v>
      </c>
      <c r="F4940" s="2" t="s">
        <v>11</v>
      </c>
      <c r="G4940" s="2" t="s">
        <v>34437</v>
      </c>
      <c r="H4940" s="2" t="s">
        <v>34438</v>
      </c>
    </row>
    <row r="4941" spans="1:8" ht="25.05" customHeight="1" x14ac:dyDescent="0.25">
      <c r="A4941" s="2" t="s">
        <v>8</v>
      </c>
      <c r="B4941" s="2" t="str">
        <f>HYPERLINK("http://ts.21cn.com/tousu/show/id/1335734","暴力催收")</f>
        <v>暴力催收</v>
      </c>
      <c r="C4941" s="2" t="s">
        <v>9</v>
      </c>
      <c r="D4941" s="2" t="s">
        <v>10</v>
      </c>
      <c r="E4941" s="2" t="str">
        <f>HYPERLINK("http://ts.21cn.com/tousu/show/id/1335734","http://ts.21cn.com/tousu/show/id/1335734")</f>
        <v>http://ts.21cn.com/tousu/show/id/1335734</v>
      </c>
      <c r="F4941" s="2" t="s">
        <v>11</v>
      </c>
      <c r="G4941" s="2" t="s">
        <v>34435</v>
      </c>
      <c r="H4941" s="2" t="s">
        <v>34436</v>
      </c>
    </row>
    <row r="4942" spans="1:8" ht="25.05" customHeight="1" x14ac:dyDescent="0.25">
      <c r="A4942" s="2" t="s">
        <v>8</v>
      </c>
      <c r="B4942" s="2" t="str">
        <f>HYPERLINK("http://ts.21cn.com/tousu/show/id/1335736","快递收货地址变更顺丰不转运到指定地点")</f>
        <v>快递收货地址变更顺丰不转运到指定地点</v>
      </c>
      <c r="C4942" s="2" t="s">
        <v>34</v>
      </c>
      <c r="D4942" s="2" t="s">
        <v>10</v>
      </c>
      <c r="E4942" s="2" t="str">
        <f>HYPERLINK("http://ts.21cn.com/tousu/show/id/1335736","http://ts.21cn.com/tousu/show/id/1335736")</f>
        <v>http://ts.21cn.com/tousu/show/id/1335736</v>
      </c>
      <c r="F4942" s="2" t="s">
        <v>11</v>
      </c>
      <c r="G4942" s="2" t="s">
        <v>34433</v>
      </c>
      <c r="H4942" s="2" t="s">
        <v>34434</v>
      </c>
    </row>
    <row r="4943" spans="1:8" ht="25.05" customHeight="1" x14ac:dyDescent="0.25">
      <c r="A4943" s="2" t="s">
        <v>8</v>
      </c>
      <c r="B4943" s="2" t="str">
        <f>HYPERLINK("http://ts.21cn.com/tousu/show/id/1335737","打电话威胁我和骚扰朋友")</f>
        <v>打电话威胁我和骚扰朋友</v>
      </c>
      <c r="C4943" s="2" t="s">
        <v>9</v>
      </c>
      <c r="D4943" s="2" t="s">
        <v>10</v>
      </c>
      <c r="E4943" s="2" t="str">
        <f>HYPERLINK("http://ts.21cn.com/tousu/show/id/1335737","http://ts.21cn.com/tousu/show/id/1335737")</f>
        <v>http://ts.21cn.com/tousu/show/id/1335737</v>
      </c>
      <c r="F4943" s="2" t="s">
        <v>11</v>
      </c>
      <c r="G4943" s="2" t="s">
        <v>34431</v>
      </c>
      <c r="H4943" s="2" t="s">
        <v>34432</v>
      </c>
    </row>
    <row r="4944" spans="1:8" ht="25.05" customHeight="1" x14ac:dyDescent="0.25">
      <c r="A4944" s="2" t="s">
        <v>8</v>
      </c>
      <c r="B4944" s="2" t="str">
        <f>HYPERLINK("http://ts.21cn.com/tousu/show/id/1335740","借贷平台不能提前还款，且没有自动扣除还款金额导致逾期1天收了违约金")</f>
        <v>借贷平台不能提前还款，且没有自动扣除还款金额导致逾期1天收了违约金</v>
      </c>
      <c r="C4944" s="2" t="s">
        <v>9</v>
      </c>
      <c r="D4944" s="2" t="s">
        <v>10</v>
      </c>
      <c r="E4944" s="2" t="str">
        <f>HYPERLINK("http://ts.21cn.com/tousu/show/id/1335740","http://ts.21cn.com/tousu/show/id/1335740")</f>
        <v>http://ts.21cn.com/tousu/show/id/1335740</v>
      </c>
      <c r="F4944" s="2" t="s">
        <v>11</v>
      </c>
      <c r="G4944" s="2" t="s">
        <v>34429</v>
      </c>
      <c r="H4944" s="2" t="s">
        <v>34430</v>
      </c>
    </row>
    <row r="4945" spans="1:8" ht="25.05" customHeight="1" x14ac:dyDescent="0.25">
      <c r="A4945" s="2" t="s">
        <v>8</v>
      </c>
      <c r="B4945" s="2" t="str">
        <f>HYPERLINK("http://ts.21cn.com/tousu/show/id/1335739","投诉微店对商家管控不力")</f>
        <v>投诉微店对商家管控不力</v>
      </c>
      <c r="C4945" s="2" t="s">
        <v>9</v>
      </c>
      <c r="D4945" s="2" t="s">
        <v>10</v>
      </c>
      <c r="E4945" s="2" t="str">
        <f>HYPERLINK("http://ts.21cn.com/tousu/show/id/1335739","http://ts.21cn.com/tousu/show/id/1335739")</f>
        <v>http://ts.21cn.com/tousu/show/id/1335739</v>
      </c>
      <c r="F4945" s="2" t="s">
        <v>11</v>
      </c>
      <c r="G4945" s="2" t="s">
        <v>34427</v>
      </c>
      <c r="H4945" s="2" t="s">
        <v>34428</v>
      </c>
    </row>
    <row r="4946" spans="1:8" ht="25.05" customHeight="1" x14ac:dyDescent="0.25">
      <c r="A4946" s="2" t="s">
        <v>8</v>
      </c>
      <c r="B4946" s="2" t="str">
        <f>HYPERLINK("http://ts.21cn.com/tousu/show/id/1335741","小孩子偷大人手机充值游戏，腾讯方面电话通的不接")</f>
        <v>小孩子偷大人手机充值游戏，腾讯方面电话通的不接</v>
      </c>
      <c r="C4946" s="2" t="s">
        <v>9</v>
      </c>
      <c r="D4946" s="2" t="s">
        <v>10</v>
      </c>
      <c r="E4946" s="2" t="str">
        <f>HYPERLINK("http://ts.21cn.com/tousu/show/id/1335741","http://ts.21cn.com/tousu/show/id/1335741")</f>
        <v>http://ts.21cn.com/tousu/show/id/1335741</v>
      </c>
      <c r="F4946" s="2" t="s">
        <v>11</v>
      </c>
      <c r="G4946" s="2" t="s">
        <v>34425</v>
      </c>
      <c r="H4946" s="2" t="s">
        <v>34426</v>
      </c>
    </row>
    <row r="4947" spans="1:8" ht="25.05" customHeight="1" x14ac:dyDescent="0.25">
      <c r="A4947" s="2" t="s">
        <v>8</v>
      </c>
      <c r="B4947" s="2" t="str">
        <f>HYPERLINK("http://ts.21cn.com/tousu/show/id/1335743","滴滴平台对待司机不公平")</f>
        <v>滴滴平台对待司机不公平</v>
      </c>
      <c r="C4947" s="2" t="s">
        <v>9</v>
      </c>
      <c r="D4947" s="2" t="s">
        <v>10</v>
      </c>
      <c r="E4947" s="2" t="str">
        <f>HYPERLINK("http://ts.21cn.com/tousu/show/id/1335743","http://ts.21cn.com/tousu/show/id/1335743")</f>
        <v>http://ts.21cn.com/tousu/show/id/1335743</v>
      </c>
      <c r="F4947" s="2" t="s">
        <v>11</v>
      </c>
      <c r="G4947" s="2" t="s">
        <v>34423</v>
      </c>
      <c r="H4947" s="2" t="s">
        <v>34424</v>
      </c>
    </row>
    <row r="4948" spans="1:8" ht="25.05" customHeight="1" x14ac:dyDescent="0.25">
      <c r="A4948" s="2" t="s">
        <v>8</v>
      </c>
      <c r="B4948" s="2" t="str">
        <f>HYPERLINK("http://ts.21cn.com/tousu/show/id/1335744","恶意催收严重影响了我的正常生活和工作")</f>
        <v>恶意催收严重影响了我的正常生活和工作</v>
      </c>
      <c r="C4948" s="2" t="s">
        <v>9</v>
      </c>
      <c r="D4948" s="2" t="s">
        <v>10</v>
      </c>
      <c r="E4948" s="2" t="str">
        <f>HYPERLINK("http://ts.21cn.com/tousu/show/id/1335744","http://ts.21cn.com/tousu/show/id/1335744")</f>
        <v>http://ts.21cn.com/tousu/show/id/1335744</v>
      </c>
      <c r="F4948" s="2" t="s">
        <v>11</v>
      </c>
      <c r="G4948" s="2" t="s">
        <v>34421</v>
      </c>
      <c r="H4948" s="2" t="s">
        <v>34422</v>
      </c>
    </row>
    <row r="4949" spans="1:8" ht="25.05" customHeight="1" x14ac:dyDescent="0.25">
      <c r="A4949" s="2" t="s">
        <v>8</v>
      </c>
      <c r="B4949" s="2" t="str">
        <f>HYPERLINK("http://ts.21cn.com/tousu/show/id/1335745","淘宝买到翻新机官方置之不理")</f>
        <v>淘宝买到翻新机官方置之不理</v>
      </c>
      <c r="C4949" s="2" t="s">
        <v>9</v>
      </c>
      <c r="D4949" s="2" t="s">
        <v>10</v>
      </c>
      <c r="E4949" s="2" t="str">
        <f>HYPERLINK("http://ts.21cn.com/tousu/show/id/1335745","http://ts.21cn.com/tousu/show/id/1335745")</f>
        <v>http://ts.21cn.com/tousu/show/id/1335745</v>
      </c>
      <c r="F4949" s="2" t="s">
        <v>11</v>
      </c>
      <c r="G4949" s="2" t="s">
        <v>34419</v>
      </c>
      <c r="H4949" s="2" t="s">
        <v>34420</v>
      </c>
    </row>
    <row r="4950" spans="1:8" ht="25.05" customHeight="1" x14ac:dyDescent="0.25">
      <c r="A4950" s="2" t="s">
        <v>8</v>
      </c>
      <c r="B4950" s="2" t="str">
        <f>HYPERLINK("http://ts.21cn.com/tousu/show/id/1335746","高利贷")</f>
        <v>高利贷</v>
      </c>
      <c r="C4950" s="2" t="s">
        <v>9</v>
      </c>
      <c r="D4950" s="2" t="s">
        <v>10</v>
      </c>
      <c r="E4950" s="2" t="str">
        <f>HYPERLINK("http://ts.21cn.com/tousu/show/id/1335746","http://ts.21cn.com/tousu/show/id/1335746")</f>
        <v>http://ts.21cn.com/tousu/show/id/1335746</v>
      </c>
      <c r="F4950" s="2" t="s">
        <v>11</v>
      </c>
      <c r="G4950" s="2" t="s">
        <v>34417</v>
      </c>
      <c r="H4950" s="2" t="s">
        <v>34418</v>
      </c>
    </row>
    <row r="4951" spans="1:8" ht="25.05" customHeight="1" x14ac:dyDescent="0.25">
      <c r="A4951" s="2" t="s">
        <v>8</v>
      </c>
      <c r="B4951" s="2" t="str">
        <f>HYPERLINK("http://ts.21cn.com/tousu/show/id/1335747","钱站高利贷")</f>
        <v>钱站高利贷</v>
      </c>
      <c r="C4951" s="2" t="s">
        <v>9</v>
      </c>
      <c r="D4951" s="2" t="s">
        <v>10</v>
      </c>
      <c r="E4951" s="2" t="str">
        <f>HYPERLINK("http://ts.21cn.com/tousu/show/id/1335747","http://ts.21cn.com/tousu/show/id/1335747")</f>
        <v>http://ts.21cn.com/tousu/show/id/1335747</v>
      </c>
      <c r="F4951" s="2" t="s">
        <v>11</v>
      </c>
      <c r="G4951" s="2" t="s">
        <v>34415</v>
      </c>
      <c r="H4951" s="2" t="s">
        <v>34416</v>
      </c>
    </row>
    <row r="4952" spans="1:8" ht="25.05" customHeight="1" x14ac:dyDescent="0.25">
      <c r="A4952" s="2" t="s">
        <v>8</v>
      </c>
      <c r="B4952" s="2" t="str">
        <f>HYPERLINK("http://ts.21cn.com/tousu/show/id/1335748","投诉小象优品是高利贷，贷款利息远超国家的红线")</f>
        <v>投诉小象优品是高利贷，贷款利息远超国家的红线</v>
      </c>
      <c r="C4952" s="2" t="s">
        <v>9</v>
      </c>
      <c r="D4952" s="2" t="s">
        <v>10</v>
      </c>
      <c r="E4952" s="2" t="str">
        <f>HYPERLINK("http://ts.21cn.com/tousu/show/id/1335748","http://ts.21cn.com/tousu/show/id/1335748")</f>
        <v>http://ts.21cn.com/tousu/show/id/1335748</v>
      </c>
      <c r="F4952" s="2" t="s">
        <v>11</v>
      </c>
      <c r="G4952" s="2" t="s">
        <v>34413</v>
      </c>
      <c r="H4952" s="2" t="s">
        <v>34414</v>
      </c>
    </row>
    <row r="4953" spans="1:8" ht="25.05" customHeight="1" x14ac:dyDescent="0.25">
      <c r="A4953" s="2" t="s">
        <v>8</v>
      </c>
      <c r="B4953" s="2" t="str">
        <f>HYPERLINK("http://ts.21cn.com/tousu/show/id/1335750","威胁收款")</f>
        <v>威胁收款</v>
      </c>
      <c r="C4953" s="2" t="s">
        <v>9</v>
      </c>
      <c r="D4953" s="2" t="s">
        <v>10</v>
      </c>
      <c r="E4953" s="2" t="str">
        <f>HYPERLINK("http://ts.21cn.com/tousu/show/id/1335750","http://ts.21cn.com/tousu/show/id/1335750")</f>
        <v>http://ts.21cn.com/tousu/show/id/1335750</v>
      </c>
      <c r="F4953" s="2" t="s">
        <v>11</v>
      </c>
      <c r="G4953" s="2" t="s">
        <v>34411</v>
      </c>
      <c r="H4953" s="2" t="s">
        <v>34412</v>
      </c>
    </row>
    <row r="4954" spans="1:8" ht="25.05" customHeight="1" x14ac:dyDescent="0.25">
      <c r="A4954" s="2" t="s">
        <v>8</v>
      </c>
      <c r="B4954" s="2" t="str">
        <f>HYPERLINK("http://ts.21cn.com/tousu/show/id/1335749","你我贷恶意套取高额服务费涉嫌放纵第三方催收")</f>
        <v>你我贷恶意套取高额服务费涉嫌放纵第三方催收</v>
      </c>
      <c r="C4954" s="2" t="s">
        <v>9</v>
      </c>
      <c r="D4954" s="2" t="s">
        <v>10</v>
      </c>
      <c r="E4954" s="2" t="str">
        <f>HYPERLINK("http://ts.21cn.com/tousu/show/id/1335749","http://ts.21cn.com/tousu/show/id/1335749")</f>
        <v>http://ts.21cn.com/tousu/show/id/1335749</v>
      </c>
      <c r="F4954" s="2" t="s">
        <v>11</v>
      </c>
      <c r="G4954" s="2" t="s">
        <v>34409</v>
      </c>
      <c r="H4954" s="2" t="s">
        <v>34410</v>
      </c>
    </row>
    <row r="4955" spans="1:8" ht="25.05" customHeight="1" x14ac:dyDescent="0.25">
      <c r="A4955" s="2" t="s">
        <v>8</v>
      </c>
      <c r="B4955" s="2" t="str">
        <f>HYPERLINK("http://ts.21cn.com/tousu/show/id/1335752","海风教育拖延退款，要求该机构解除我与招联金融分期付款并退款给我")</f>
        <v>海风教育拖延退款，要求该机构解除我与招联金融分期付款并退款给我</v>
      </c>
      <c r="C4955" s="2" t="s">
        <v>34</v>
      </c>
      <c r="D4955" s="2" t="s">
        <v>10</v>
      </c>
      <c r="E4955" s="2" t="str">
        <f>HYPERLINK("http://ts.21cn.com/tousu/show/id/1335752","http://ts.21cn.com/tousu/show/id/1335752")</f>
        <v>http://ts.21cn.com/tousu/show/id/1335752</v>
      </c>
      <c r="F4955" s="2" t="s">
        <v>11</v>
      </c>
      <c r="G4955" s="2" t="s">
        <v>34407</v>
      </c>
      <c r="H4955" s="2" t="s">
        <v>34408</v>
      </c>
    </row>
    <row r="4956" spans="1:8" ht="25.05" customHeight="1" x14ac:dyDescent="0.25">
      <c r="A4956" s="2" t="s">
        <v>8</v>
      </c>
      <c r="B4956" s="2" t="str">
        <f>HYPERLINK("http://ts.21cn.com/tousu/show/id/1335751","信用飞砍头息")</f>
        <v>信用飞砍头息</v>
      </c>
      <c r="C4956" s="2" t="s">
        <v>9</v>
      </c>
      <c r="D4956" s="2" t="s">
        <v>10</v>
      </c>
      <c r="E4956" s="2" t="str">
        <f>HYPERLINK("http://ts.21cn.com/tousu/show/id/1335751","http://ts.21cn.com/tousu/show/id/1335751")</f>
        <v>http://ts.21cn.com/tousu/show/id/1335751</v>
      </c>
      <c r="F4956" s="2" t="s">
        <v>11</v>
      </c>
      <c r="G4956" s="2" t="s">
        <v>34405</v>
      </c>
      <c r="H4956" s="2" t="s">
        <v>34406</v>
      </c>
    </row>
    <row r="4957" spans="1:8" ht="25.05" customHeight="1" x14ac:dyDescent="0.25">
      <c r="A4957" s="2" t="s">
        <v>8</v>
      </c>
      <c r="B4957" s="2" t="str">
        <f>HYPERLINK("http://ts.21cn.com/tousu/show/id/1335753","宜人万花道歉")</f>
        <v>宜人万花道歉</v>
      </c>
      <c r="C4957" s="2" t="s">
        <v>9</v>
      </c>
      <c r="D4957" s="2" t="s">
        <v>10</v>
      </c>
      <c r="E4957" s="2" t="str">
        <f>HYPERLINK("http://ts.21cn.com/tousu/show/id/1335753","http://ts.21cn.com/tousu/show/id/1335753")</f>
        <v>http://ts.21cn.com/tousu/show/id/1335753</v>
      </c>
      <c r="F4957" s="2" t="s">
        <v>11</v>
      </c>
      <c r="G4957" s="2" t="s">
        <v>34403</v>
      </c>
      <c r="H4957" s="2" t="s">
        <v>34404</v>
      </c>
    </row>
    <row r="4958" spans="1:8" ht="25.05" customHeight="1" x14ac:dyDescent="0.25">
      <c r="A4958" s="2" t="s">
        <v>8</v>
      </c>
      <c r="B4958" s="2" t="str">
        <f>HYPERLINK("http://ts.21cn.com/tousu/show/id/1335754","闪银退还至尊借款收取的720元所谓至尊担保凭证费用")</f>
        <v>闪银退还至尊借款收取的720元所谓至尊担保凭证费用</v>
      </c>
      <c r="C4958" s="2" t="s">
        <v>9</v>
      </c>
      <c r="D4958" s="2" t="s">
        <v>10</v>
      </c>
      <c r="E4958" s="2" t="str">
        <f>HYPERLINK("http://ts.21cn.com/tousu/show/id/1335754","http://ts.21cn.com/tousu/show/id/1335754")</f>
        <v>http://ts.21cn.com/tousu/show/id/1335754</v>
      </c>
      <c r="F4958" s="2" t="s">
        <v>11</v>
      </c>
      <c r="G4958" s="2" t="s">
        <v>34401</v>
      </c>
      <c r="H4958" s="2" t="s">
        <v>34402</v>
      </c>
    </row>
    <row r="4959" spans="1:8" ht="25.05" customHeight="1" x14ac:dyDescent="0.25">
      <c r="A4959" s="2" t="s">
        <v>8</v>
      </c>
      <c r="B4959" s="2" t="str">
        <f>HYPERLINK("http://ts.21cn.com/tousu/show/id/1335755","想申请协商还款，逾期费用过高")</f>
        <v>想申请协商还款，逾期费用过高</v>
      </c>
      <c r="C4959" s="2" t="s">
        <v>34</v>
      </c>
      <c r="D4959" s="2" t="s">
        <v>10</v>
      </c>
      <c r="E4959" s="2" t="str">
        <f>HYPERLINK("http://ts.21cn.com/tousu/show/id/1335755","http://ts.21cn.com/tousu/show/id/1335755")</f>
        <v>http://ts.21cn.com/tousu/show/id/1335755</v>
      </c>
      <c r="F4959" s="2" t="s">
        <v>11</v>
      </c>
      <c r="G4959" s="2" t="s">
        <v>34399</v>
      </c>
      <c r="H4959" s="2" t="s">
        <v>34400</v>
      </c>
    </row>
    <row r="4960" spans="1:8" ht="25.05" customHeight="1" x14ac:dyDescent="0.25">
      <c r="A4960" s="2" t="s">
        <v>8</v>
      </c>
      <c r="B4960" s="2" t="str">
        <f>HYPERLINK("http://ts.21cn.com/tousu/show/id/1335756","暴力催收威胁恐吓")</f>
        <v>暴力催收威胁恐吓</v>
      </c>
      <c r="C4960" s="2" t="s">
        <v>9</v>
      </c>
      <c r="D4960" s="2" t="s">
        <v>10</v>
      </c>
      <c r="E4960" s="2" t="str">
        <f>HYPERLINK("http://ts.21cn.com/tousu/show/id/1335756","http://ts.21cn.com/tousu/show/id/1335756")</f>
        <v>http://ts.21cn.com/tousu/show/id/1335756</v>
      </c>
      <c r="F4960" s="2" t="s">
        <v>11</v>
      </c>
      <c r="G4960" s="2" t="s">
        <v>34397</v>
      </c>
      <c r="H4960" s="2" t="s">
        <v>34398</v>
      </c>
    </row>
    <row r="4961" spans="1:8" ht="25.05" customHeight="1" x14ac:dyDescent="0.25">
      <c r="A4961" s="2" t="s">
        <v>8</v>
      </c>
      <c r="B4961" s="2" t="str">
        <f>HYPERLINK("http://ts.21cn.com/tousu/show/id/1335757","肥猫贷高利贷")</f>
        <v>肥猫贷高利贷</v>
      </c>
      <c r="C4961" s="2" t="s">
        <v>9</v>
      </c>
      <c r="D4961" s="2" t="s">
        <v>10</v>
      </c>
      <c r="E4961" s="2" t="str">
        <f>HYPERLINK("http://ts.21cn.com/tousu/show/id/1335757","http://ts.21cn.com/tousu/show/id/1335757")</f>
        <v>http://ts.21cn.com/tousu/show/id/1335757</v>
      </c>
      <c r="F4961" s="2" t="s">
        <v>11</v>
      </c>
      <c r="G4961" s="2" t="s">
        <v>34395</v>
      </c>
      <c r="H4961" s="2" t="s">
        <v>34396</v>
      </c>
    </row>
    <row r="4962" spans="1:8" ht="25.05" customHeight="1" x14ac:dyDescent="0.25">
      <c r="A4962" s="2" t="s">
        <v>8</v>
      </c>
      <c r="B4962" s="2" t="str">
        <f>HYPERLINK("http://ts.21cn.com/tousu/show/id/1335759","714.砍头息高利贷")</f>
        <v>714.砍头息高利贷</v>
      </c>
      <c r="C4962" s="2" t="s">
        <v>9</v>
      </c>
      <c r="D4962" s="2" t="s">
        <v>10</v>
      </c>
      <c r="E4962" s="2" t="str">
        <f>HYPERLINK("http://ts.21cn.com/tousu/show/id/1335759","http://ts.21cn.com/tousu/show/id/1335759")</f>
        <v>http://ts.21cn.com/tousu/show/id/1335759</v>
      </c>
      <c r="F4962" s="2" t="s">
        <v>11</v>
      </c>
      <c r="G4962" s="2" t="s">
        <v>34393</v>
      </c>
      <c r="H4962" s="2" t="s">
        <v>34394</v>
      </c>
    </row>
    <row r="4963" spans="1:8" ht="25.05" customHeight="1" x14ac:dyDescent="0.25">
      <c r="A4963" s="2" t="s">
        <v>8</v>
      </c>
      <c r="B4963" s="2" t="str">
        <f>HYPERLINK("http://ts.21cn.com/tousu/show/id/1335760","捷信逾期")</f>
        <v>捷信逾期</v>
      </c>
      <c r="C4963" s="2" t="s">
        <v>9</v>
      </c>
      <c r="D4963" s="2" t="s">
        <v>10</v>
      </c>
      <c r="E4963" s="2" t="str">
        <f>HYPERLINK("http://ts.21cn.com/tousu/show/id/1335760","http://ts.21cn.com/tousu/show/id/1335760")</f>
        <v>http://ts.21cn.com/tousu/show/id/1335760</v>
      </c>
      <c r="F4963" s="2" t="s">
        <v>11</v>
      </c>
      <c r="G4963" s="2" t="s">
        <v>34392</v>
      </c>
      <c r="H4963" s="2" t="s">
        <v>25303</v>
      </c>
    </row>
    <row r="4964" spans="1:8" ht="25.05" customHeight="1" x14ac:dyDescent="0.25">
      <c r="A4964" s="2" t="s">
        <v>8</v>
      </c>
      <c r="B4964" s="2" t="str">
        <f>HYPERLINK("http://ts.21cn.com/tousu/show/id/1335761","支付宝恶意催收不允许协商还款")</f>
        <v>支付宝恶意催收不允许协商还款</v>
      </c>
      <c r="C4964" s="2" t="s">
        <v>9</v>
      </c>
      <c r="D4964" s="2" t="s">
        <v>10</v>
      </c>
      <c r="E4964" s="2" t="str">
        <f>HYPERLINK("http://ts.21cn.com/tousu/show/id/1335761","http://ts.21cn.com/tousu/show/id/1335761")</f>
        <v>http://ts.21cn.com/tousu/show/id/1335761</v>
      </c>
      <c r="F4964" s="2" t="s">
        <v>11</v>
      </c>
      <c r="G4964" s="2" t="s">
        <v>34390</v>
      </c>
      <c r="H4964" s="2" t="s">
        <v>34391</v>
      </c>
    </row>
    <row r="4965" spans="1:8" ht="25.05" customHeight="1" x14ac:dyDescent="0.25">
      <c r="A4965" s="2" t="s">
        <v>8</v>
      </c>
      <c r="B4965" s="2" t="str">
        <f>HYPERLINK("http://ts.21cn.com/tousu/show/id/1335762","钱橙无忧随意扣费")</f>
        <v>钱橙无忧随意扣费</v>
      </c>
      <c r="C4965" s="2" t="s">
        <v>9</v>
      </c>
      <c r="D4965" s="2" t="s">
        <v>10</v>
      </c>
      <c r="E4965" s="2" t="str">
        <f>HYPERLINK("http://ts.21cn.com/tousu/show/id/1335762","http://ts.21cn.com/tousu/show/id/1335762")</f>
        <v>http://ts.21cn.com/tousu/show/id/1335762</v>
      </c>
      <c r="F4965" s="2" t="s">
        <v>11</v>
      </c>
      <c r="G4965" s="2" t="s">
        <v>34388</v>
      </c>
      <c r="H4965" s="2" t="s">
        <v>34389</v>
      </c>
    </row>
    <row r="4966" spans="1:8" ht="25.05" customHeight="1" x14ac:dyDescent="0.25">
      <c r="A4966" s="2" t="s">
        <v>8</v>
      </c>
      <c r="B4966" s="2" t="str">
        <f>HYPERLINK("http://ts.21cn.com/tousu/show/id/1335738","肥猫贷高利贷，填了资料，直接放款，放款后才知道用4天，利息特别高")</f>
        <v>肥猫贷高利贷，填了资料，直接放款，放款后才知道用4天，利息特别高</v>
      </c>
      <c r="C4966" s="2" t="s">
        <v>9</v>
      </c>
      <c r="D4966" s="2" t="s">
        <v>10</v>
      </c>
      <c r="E4966" s="2" t="str">
        <f>HYPERLINK("http://ts.21cn.com/tousu/show/id/1335738","http://ts.21cn.com/tousu/show/id/1335738")</f>
        <v>http://ts.21cn.com/tousu/show/id/1335738</v>
      </c>
      <c r="F4966" s="2" t="s">
        <v>11</v>
      </c>
      <c r="G4966" s="2" t="s">
        <v>34386</v>
      </c>
      <c r="H4966" s="2" t="s">
        <v>34387</v>
      </c>
    </row>
    <row r="4967" spans="1:8" ht="25.05" customHeight="1" x14ac:dyDescent="0.25">
      <c r="A4967" s="2" t="s">
        <v>8</v>
      </c>
      <c r="B4967" s="2" t="str">
        <f>HYPERLINK("http://ts.21cn.com/tousu/show/id/1335764","恒富创融科技钱橙无忧贷款平台恶意私自扣款168元")</f>
        <v>恒富创融科技钱橙无忧贷款平台恶意私自扣款168元</v>
      </c>
      <c r="C4967" s="2" t="s">
        <v>9</v>
      </c>
      <c r="D4967" s="2" t="s">
        <v>10</v>
      </c>
      <c r="E4967" s="2" t="str">
        <f>HYPERLINK("http://ts.21cn.com/tousu/show/id/1335764","http://ts.21cn.com/tousu/show/id/1335764")</f>
        <v>http://ts.21cn.com/tousu/show/id/1335764</v>
      </c>
      <c r="F4967" s="2" t="s">
        <v>11</v>
      </c>
      <c r="G4967" s="2" t="s">
        <v>34384</v>
      </c>
      <c r="H4967" s="2" t="s">
        <v>34385</v>
      </c>
    </row>
    <row r="4968" spans="1:8" ht="25.05" customHeight="1" x14ac:dyDescent="0.25">
      <c r="A4968" s="2" t="s">
        <v>8</v>
      </c>
      <c r="B4968" s="2" t="str">
        <f>HYPERLINK("http://ts.21cn.com/tousu/show/id/1335763","被附近约爱坑钱")</f>
        <v>被附近约爱坑钱</v>
      </c>
      <c r="C4968" s="2" t="s">
        <v>9</v>
      </c>
      <c r="D4968" s="2" t="s">
        <v>10</v>
      </c>
      <c r="E4968" s="2" t="str">
        <f>HYPERLINK("http://ts.21cn.com/tousu/show/id/1335763","http://ts.21cn.com/tousu/show/id/1335763")</f>
        <v>http://ts.21cn.com/tousu/show/id/1335763</v>
      </c>
      <c r="F4968" s="2" t="s">
        <v>11</v>
      </c>
      <c r="G4968" s="2" t="s">
        <v>34382</v>
      </c>
      <c r="H4968" s="2" t="s">
        <v>34383</v>
      </c>
    </row>
    <row r="4969" spans="1:8" ht="25.05" customHeight="1" x14ac:dyDescent="0.25">
      <c r="A4969" s="2" t="s">
        <v>8</v>
      </c>
      <c r="B4969" s="2" t="str">
        <f>HYPERLINK("http://ts.21cn.com/tousu/show/id/1335765","闪银奇艺未经过同意就下款")</f>
        <v>闪银奇艺未经过同意就下款</v>
      </c>
      <c r="C4969" s="2" t="s">
        <v>9</v>
      </c>
      <c r="D4969" s="2" t="s">
        <v>10</v>
      </c>
      <c r="E4969" s="2" t="str">
        <f>HYPERLINK("http://ts.21cn.com/tousu/show/id/1335765","http://ts.21cn.com/tousu/show/id/1335765")</f>
        <v>http://ts.21cn.com/tousu/show/id/1335765</v>
      </c>
      <c r="F4969" s="2" t="s">
        <v>11</v>
      </c>
      <c r="G4969" s="2" t="s">
        <v>34380</v>
      </c>
      <c r="H4969" s="2" t="s">
        <v>34381</v>
      </c>
    </row>
    <row r="4970" spans="1:8" ht="25.05" customHeight="1" x14ac:dyDescent="0.25">
      <c r="A4970" s="2" t="s">
        <v>8</v>
      </c>
      <c r="B4970" s="2" t="str">
        <f>HYPERLINK("http://ts.21cn.com/tousu/show/id/1335766","合同有问题")</f>
        <v>合同有问题</v>
      </c>
      <c r="C4970" s="2" t="s">
        <v>9</v>
      </c>
      <c r="D4970" s="2" t="s">
        <v>10</v>
      </c>
      <c r="E4970" s="2" t="str">
        <f>HYPERLINK("http://ts.21cn.com/tousu/show/id/1335766","http://ts.21cn.com/tousu/show/id/1335766")</f>
        <v>http://ts.21cn.com/tousu/show/id/1335766</v>
      </c>
      <c r="F4970" s="2" t="s">
        <v>11</v>
      </c>
      <c r="G4970" s="2" t="s">
        <v>34378</v>
      </c>
      <c r="H4970" s="2" t="s">
        <v>34379</v>
      </c>
    </row>
    <row r="4971" spans="1:8" ht="25.05" customHeight="1" x14ac:dyDescent="0.25">
      <c r="A4971" s="2" t="s">
        <v>8</v>
      </c>
      <c r="B4971" s="2" t="str">
        <f>HYPERLINK("http://ts.21cn.com/tousu/show/id/1335767","你我贷暴力催收答应我延期还款又暴力催收")</f>
        <v>你我贷暴力催收答应我延期还款又暴力催收</v>
      </c>
      <c r="C4971" s="2" t="s">
        <v>9</v>
      </c>
      <c r="D4971" s="2" t="s">
        <v>10</v>
      </c>
      <c r="E4971" s="2" t="str">
        <f>HYPERLINK("http://ts.21cn.com/tousu/show/id/1335767","http://ts.21cn.com/tousu/show/id/1335767")</f>
        <v>http://ts.21cn.com/tousu/show/id/1335767</v>
      </c>
      <c r="F4971" s="2" t="s">
        <v>11</v>
      </c>
      <c r="G4971" s="2" t="s">
        <v>34376</v>
      </c>
      <c r="H4971" s="2" t="s">
        <v>34377</v>
      </c>
    </row>
    <row r="4972" spans="1:8" ht="25.05" customHeight="1" x14ac:dyDescent="0.25">
      <c r="A4972" s="2" t="s">
        <v>8</v>
      </c>
      <c r="B4972" s="2" t="str">
        <f>HYPERLINK("http://ts.21cn.com/tousu/show/id/1335769","宜兴的滴滴不派单给快车都派单给优享了")</f>
        <v>宜兴的滴滴不派单给快车都派单给优享了</v>
      </c>
      <c r="C4972" s="2" t="s">
        <v>9</v>
      </c>
      <c r="D4972" s="2" t="s">
        <v>10</v>
      </c>
      <c r="E4972" s="2" t="str">
        <f>HYPERLINK("http://ts.21cn.com/tousu/show/id/1335769","http://ts.21cn.com/tousu/show/id/1335769")</f>
        <v>http://ts.21cn.com/tousu/show/id/1335769</v>
      </c>
      <c r="F4972" s="2" t="s">
        <v>11</v>
      </c>
      <c r="G4972" s="2" t="s">
        <v>34374</v>
      </c>
      <c r="H4972" s="2" t="s">
        <v>34375</v>
      </c>
    </row>
    <row r="4973" spans="1:8" ht="25.05" customHeight="1" x14ac:dyDescent="0.25">
      <c r="A4973" s="2" t="s">
        <v>8</v>
      </c>
      <c r="B4973" s="2" t="str">
        <f>HYPERLINK("http://ts.21cn.com/tousu/show/id/1335770","信而富购买商城的锅没有发货，而且钱已经还完了！")</f>
        <v>信而富购买商城的锅没有发货，而且钱已经还完了！</v>
      </c>
      <c r="C4973" s="2" t="s">
        <v>9</v>
      </c>
      <c r="D4973" s="2" t="s">
        <v>10</v>
      </c>
      <c r="E4973" s="2" t="str">
        <f>HYPERLINK("http://ts.21cn.com/tousu/show/id/1335770","http://ts.21cn.com/tousu/show/id/1335770")</f>
        <v>http://ts.21cn.com/tousu/show/id/1335770</v>
      </c>
      <c r="F4973" s="2" t="s">
        <v>11</v>
      </c>
      <c r="G4973" s="2" t="s">
        <v>34372</v>
      </c>
      <c r="H4973" s="2" t="s">
        <v>34373</v>
      </c>
    </row>
    <row r="4974" spans="1:8" ht="25.05" customHeight="1" x14ac:dyDescent="0.25">
      <c r="A4974" s="2" t="s">
        <v>8</v>
      </c>
      <c r="B4974" s="2" t="str">
        <f>HYPERLINK("http://ts.21cn.com/tousu/show/id/1335771","网贷平台下款扣处费用")</f>
        <v>网贷平台下款扣处费用</v>
      </c>
      <c r="C4974" s="2" t="s">
        <v>9</v>
      </c>
      <c r="D4974" s="2" t="s">
        <v>10</v>
      </c>
      <c r="E4974" s="2" t="str">
        <f>HYPERLINK("http://ts.21cn.com/tousu/show/id/1335771","http://ts.21cn.com/tousu/show/id/1335771")</f>
        <v>http://ts.21cn.com/tousu/show/id/1335771</v>
      </c>
      <c r="F4974" s="2" t="s">
        <v>11</v>
      </c>
      <c r="G4974" s="2" t="s">
        <v>34370</v>
      </c>
      <c r="H4974" s="2" t="s">
        <v>34371</v>
      </c>
    </row>
    <row r="4975" spans="1:8" ht="25.05" customHeight="1" x14ac:dyDescent="0.25">
      <c r="A4975" s="2" t="s">
        <v>8</v>
      </c>
      <c r="B4975" s="2" t="str">
        <f>HYPERLINK("http://ts.21cn.com/tousu/show/id/1335772","高利贷。暴力催收")</f>
        <v>高利贷。暴力催收</v>
      </c>
      <c r="C4975" s="2" t="s">
        <v>9</v>
      </c>
      <c r="D4975" s="2" t="s">
        <v>10</v>
      </c>
      <c r="E4975" s="2" t="str">
        <f>HYPERLINK("http://ts.21cn.com/tousu/show/id/1335772","http://ts.21cn.com/tousu/show/id/1335772")</f>
        <v>http://ts.21cn.com/tousu/show/id/1335772</v>
      </c>
      <c r="F4975" s="2" t="s">
        <v>11</v>
      </c>
      <c r="G4975" s="2" t="s">
        <v>34368</v>
      </c>
      <c r="H4975" s="2" t="s">
        <v>34369</v>
      </c>
    </row>
    <row r="4976" spans="1:8" ht="25.05" customHeight="1" x14ac:dyDescent="0.25">
      <c r="A4976" s="2" t="s">
        <v>8</v>
      </c>
      <c r="B4976" s="2" t="str">
        <f>HYPERLINK("http://ts.21cn.com/tousu/show/id/1335773","拼多多自动扣取钱财")</f>
        <v>拼多多自动扣取钱财</v>
      </c>
      <c r="C4976" s="2" t="s">
        <v>9</v>
      </c>
      <c r="D4976" s="2" t="s">
        <v>10</v>
      </c>
      <c r="E4976" s="2" t="str">
        <f>HYPERLINK("http://ts.21cn.com/tousu/show/id/1335773","http://ts.21cn.com/tousu/show/id/1335773")</f>
        <v>http://ts.21cn.com/tousu/show/id/1335773</v>
      </c>
      <c r="F4976" s="2" t="s">
        <v>11</v>
      </c>
      <c r="G4976" s="2" t="s">
        <v>34366</v>
      </c>
      <c r="H4976" s="2" t="s">
        <v>34367</v>
      </c>
    </row>
    <row r="4977" spans="1:8" ht="25.05" customHeight="1" x14ac:dyDescent="0.25">
      <c r="A4977" s="2" t="s">
        <v>8</v>
      </c>
      <c r="B4977" s="2" t="str">
        <f>HYPERLINK("http://ts.21cn.com/tousu/show/id/1335775","及贷还了一年还差一半本金")</f>
        <v>及贷还了一年还差一半本金</v>
      </c>
      <c r="C4977" s="2" t="s">
        <v>9</v>
      </c>
      <c r="D4977" s="2" t="s">
        <v>10</v>
      </c>
      <c r="E4977" s="2" t="str">
        <f>HYPERLINK("http://ts.21cn.com/tousu/show/id/1335775","http://ts.21cn.com/tousu/show/id/1335775")</f>
        <v>http://ts.21cn.com/tousu/show/id/1335775</v>
      </c>
      <c r="F4977" s="2" t="s">
        <v>11</v>
      </c>
      <c r="G4977" s="2" t="s">
        <v>34364</v>
      </c>
      <c r="H4977" s="2" t="s">
        <v>34365</v>
      </c>
    </row>
    <row r="4978" spans="1:8" ht="25.05" customHeight="1" x14ac:dyDescent="0.25">
      <c r="A4978" s="2" t="s">
        <v>8</v>
      </c>
      <c r="B4978" s="2" t="str">
        <f>HYPERLINK("http://ts.21cn.com/tousu/show/id/1335774","招联金融暴力催收威胁恐吓")</f>
        <v>招联金融暴力催收威胁恐吓</v>
      </c>
      <c r="C4978" s="2" t="s">
        <v>9</v>
      </c>
      <c r="D4978" s="2" t="s">
        <v>10</v>
      </c>
      <c r="E4978" s="2" t="str">
        <f>HYPERLINK("http://ts.21cn.com/tousu/show/id/1335774","http://ts.21cn.com/tousu/show/id/1335774")</f>
        <v>http://ts.21cn.com/tousu/show/id/1335774</v>
      </c>
      <c r="F4978" s="2" t="s">
        <v>11</v>
      </c>
      <c r="G4978" s="2" t="s">
        <v>34362</v>
      </c>
      <c r="H4978" s="2" t="s">
        <v>34363</v>
      </c>
    </row>
    <row r="4979" spans="1:8" ht="25.05" customHeight="1" x14ac:dyDescent="0.25">
      <c r="A4979" s="2" t="s">
        <v>8</v>
      </c>
      <c r="B4979" s="2" t="str">
        <f>HYPERLINK("http://ts.21cn.com/tousu/show/id/1335776","闪电借款已经还本金和利息，还强制购买黑卡并催收")</f>
        <v>闪电借款已经还本金和利息，还强制购买黑卡并催收</v>
      </c>
      <c r="C4979" s="2" t="s">
        <v>9</v>
      </c>
      <c r="D4979" s="2" t="s">
        <v>10</v>
      </c>
      <c r="E4979" s="2" t="str">
        <f>HYPERLINK("http://ts.21cn.com/tousu/show/id/1335776","http://ts.21cn.com/tousu/show/id/1335776")</f>
        <v>http://ts.21cn.com/tousu/show/id/1335776</v>
      </c>
      <c r="F4979" s="2" t="s">
        <v>11</v>
      </c>
      <c r="G4979" s="2" t="s">
        <v>34360</v>
      </c>
      <c r="H4979" s="2" t="s">
        <v>34361</v>
      </c>
    </row>
    <row r="4980" spans="1:8" ht="25.05" customHeight="1" x14ac:dyDescent="0.25">
      <c r="A4980" s="2" t="s">
        <v>8</v>
      </c>
      <c r="B4980" s="2" t="str">
        <f>HYPERLINK("http://ts.21cn.com/tousu/show/id/1335777","盗取用户信息，恶意扣款")</f>
        <v>盗取用户信息，恶意扣款</v>
      </c>
      <c r="C4980" s="2" t="s">
        <v>9</v>
      </c>
      <c r="D4980" s="2" t="s">
        <v>10</v>
      </c>
      <c r="E4980" s="2" t="str">
        <f>HYPERLINK("http://ts.21cn.com/tousu/show/id/1335777","http://ts.21cn.com/tousu/show/id/1335777")</f>
        <v>http://ts.21cn.com/tousu/show/id/1335777</v>
      </c>
      <c r="F4980" s="2" t="s">
        <v>11</v>
      </c>
      <c r="G4980" s="2" t="s">
        <v>34358</v>
      </c>
      <c r="H4980" s="2" t="s">
        <v>34359</v>
      </c>
    </row>
    <row r="4981" spans="1:8" ht="25.05" customHeight="1" x14ac:dyDescent="0.25">
      <c r="A4981" s="2" t="s">
        <v>8</v>
      </c>
      <c r="B4981" s="2" t="str">
        <f>HYPERLINK("http://ts.21cn.com/tousu/show/id/1335758","聚富分期恶意扣费")</f>
        <v>聚富分期恶意扣费</v>
      </c>
      <c r="C4981" s="2" t="s">
        <v>9</v>
      </c>
      <c r="D4981" s="2" t="s">
        <v>10</v>
      </c>
      <c r="E4981" s="2" t="str">
        <f>HYPERLINK("http://ts.21cn.com/tousu/show/id/1335758","http://ts.21cn.com/tousu/show/id/1335758")</f>
        <v>http://ts.21cn.com/tousu/show/id/1335758</v>
      </c>
      <c r="F4981" s="2" t="s">
        <v>11</v>
      </c>
      <c r="G4981" s="2" t="s">
        <v>34356</v>
      </c>
      <c r="H4981" s="2" t="s">
        <v>34357</v>
      </c>
    </row>
    <row r="4982" spans="1:8" ht="25.05" customHeight="1" x14ac:dyDescent="0.25">
      <c r="A4982" s="2" t="s">
        <v>8</v>
      </c>
      <c r="B4982" s="2" t="str">
        <f>HYPERLINK("http://ts.21cn.com/tousu/show/id/1335778","暴力催收")</f>
        <v>暴力催收</v>
      </c>
      <c r="C4982" s="2" t="s">
        <v>9</v>
      </c>
      <c r="D4982" s="2" t="s">
        <v>10</v>
      </c>
      <c r="E4982" s="2" t="str">
        <f>HYPERLINK("http://ts.21cn.com/tousu/show/id/1335778","http://ts.21cn.com/tousu/show/id/1335778")</f>
        <v>http://ts.21cn.com/tousu/show/id/1335778</v>
      </c>
      <c r="F4982" s="2" t="s">
        <v>11</v>
      </c>
      <c r="G4982" s="2" t="s">
        <v>34354</v>
      </c>
      <c r="H4982" s="2" t="s">
        <v>34355</v>
      </c>
    </row>
    <row r="4983" spans="1:8" ht="25.05" customHeight="1" x14ac:dyDescent="0.25">
      <c r="A4983" s="2" t="s">
        <v>8</v>
      </c>
      <c r="B4983" s="2" t="str">
        <f>HYPERLINK("http://ts.21cn.com/tousu/show/id/1335779","微博借钱")</f>
        <v>微博借钱</v>
      </c>
      <c r="C4983" s="2" t="s">
        <v>34</v>
      </c>
      <c r="D4983" s="2" t="s">
        <v>10</v>
      </c>
      <c r="E4983" s="2" t="str">
        <f>HYPERLINK("http://ts.21cn.com/tousu/show/id/1335779","http://ts.21cn.com/tousu/show/id/1335779")</f>
        <v>http://ts.21cn.com/tousu/show/id/1335779</v>
      </c>
      <c r="F4983" s="2" t="s">
        <v>11</v>
      </c>
      <c r="G4983" s="2" t="s">
        <v>34352</v>
      </c>
      <c r="H4983" s="2" t="s">
        <v>34353</v>
      </c>
    </row>
    <row r="4984" spans="1:8" ht="25.05" customHeight="1" x14ac:dyDescent="0.25">
      <c r="A4984" s="2" t="s">
        <v>8</v>
      </c>
      <c r="B4984" s="2" t="str">
        <f>HYPERLINK("http://ts.21cn.com/tousu/show/id/1335780","网贷结清，立借各种推脱不开结清证明")</f>
        <v>网贷结清，立借各种推脱不开结清证明</v>
      </c>
      <c r="C4984" s="2" t="s">
        <v>9</v>
      </c>
      <c r="D4984" s="2" t="s">
        <v>10</v>
      </c>
      <c r="E4984" s="2" t="str">
        <f>HYPERLINK("http://ts.21cn.com/tousu/show/id/1335780","http://ts.21cn.com/tousu/show/id/1335780")</f>
        <v>http://ts.21cn.com/tousu/show/id/1335780</v>
      </c>
      <c r="F4984" s="2" t="s">
        <v>11</v>
      </c>
      <c r="G4984" s="2" t="s">
        <v>34350</v>
      </c>
      <c r="H4984" s="2" t="s">
        <v>34351</v>
      </c>
    </row>
    <row r="4985" spans="1:8" ht="25.05" customHeight="1" x14ac:dyDescent="0.25">
      <c r="A4985" s="2" t="s">
        <v>8</v>
      </c>
      <c r="B4985" s="2" t="str">
        <f>HYPERLINK("http://ts.21cn.com/tousu/show/id/1335781","信用管家里面的石头管家")</f>
        <v>信用管家里面的石头管家</v>
      </c>
      <c r="C4985" s="2" t="s">
        <v>9</v>
      </c>
      <c r="D4985" s="2" t="s">
        <v>10</v>
      </c>
      <c r="E4985" s="2" t="str">
        <f>HYPERLINK("http://ts.21cn.com/tousu/show/id/1335781","http://ts.21cn.com/tousu/show/id/1335781")</f>
        <v>http://ts.21cn.com/tousu/show/id/1335781</v>
      </c>
      <c r="F4985" s="2" t="s">
        <v>11</v>
      </c>
      <c r="G4985" s="2" t="s">
        <v>34348</v>
      </c>
      <c r="H4985" s="2" t="s">
        <v>34349</v>
      </c>
    </row>
    <row r="4986" spans="1:8" ht="25.05" customHeight="1" x14ac:dyDescent="0.25">
      <c r="A4986" s="2" t="s">
        <v>8</v>
      </c>
      <c r="B4986" s="2" t="str">
        <f>HYPERLINK("http://ts.21cn.com/tousu/show/id/1335782","锦鲤口袋通过了一直都是今日签约已满客服电话永远打不通")</f>
        <v>锦鲤口袋通过了一直都是今日签约已满客服电话永远打不通</v>
      </c>
      <c r="C4986" s="2" t="s">
        <v>9</v>
      </c>
      <c r="D4986" s="2" t="s">
        <v>10</v>
      </c>
      <c r="E4986" s="2" t="str">
        <f>HYPERLINK("http://ts.21cn.com/tousu/show/id/1335782","http://ts.21cn.com/tousu/show/id/1335782")</f>
        <v>http://ts.21cn.com/tousu/show/id/1335782</v>
      </c>
      <c r="F4986" s="2" t="s">
        <v>11</v>
      </c>
      <c r="G4986" s="2" t="s">
        <v>34346</v>
      </c>
      <c r="H4986" s="2" t="s">
        <v>34347</v>
      </c>
    </row>
    <row r="4987" spans="1:8" ht="25.05" customHeight="1" x14ac:dyDescent="0.25">
      <c r="A4987" s="2" t="s">
        <v>8</v>
      </c>
      <c r="B4987" s="2" t="str">
        <f>HYPERLINK("http://ts.21cn.com/tousu/show/id/1335783","客服协商未果")</f>
        <v>客服协商未果</v>
      </c>
      <c r="C4987" s="2" t="s">
        <v>9</v>
      </c>
      <c r="D4987" s="2" t="s">
        <v>10</v>
      </c>
      <c r="E4987" s="2" t="str">
        <f>HYPERLINK("http://ts.21cn.com/tousu/show/id/1335783","http://ts.21cn.com/tousu/show/id/1335783")</f>
        <v>http://ts.21cn.com/tousu/show/id/1335783</v>
      </c>
      <c r="F4987" s="2" t="s">
        <v>11</v>
      </c>
      <c r="G4987" s="2" t="s">
        <v>34344</v>
      </c>
      <c r="H4987" s="2" t="s">
        <v>34345</v>
      </c>
    </row>
    <row r="4988" spans="1:8" ht="25.05" customHeight="1" x14ac:dyDescent="0.25">
      <c r="A4988" s="2" t="s">
        <v>8</v>
      </c>
      <c r="B4988" s="2" t="str">
        <f>HYPERLINK("http://ts.21cn.com/tousu/show/id/1335784","多宝分期高利贷，联系不上客服")</f>
        <v>多宝分期高利贷，联系不上客服</v>
      </c>
      <c r="C4988" s="2" t="s">
        <v>9</v>
      </c>
      <c r="D4988" s="2" t="s">
        <v>10</v>
      </c>
      <c r="E4988" s="2" t="str">
        <f>HYPERLINK("http://ts.21cn.com/tousu/show/id/1335784","http://ts.21cn.com/tousu/show/id/1335784")</f>
        <v>http://ts.21cn.com/tousu/show/id/1335784</v>
      </c>
      <c r="F4988" s="2" t="s">
        <v>11</v>
      </c>
      <c r="G4988" s="2" t="s">
        <v>34342</v>
      </c>
      <c r="H4988" s="2" t="s">
        <v>34343</v>
      </c>
    </row>
    <row r="4989" spans="1:8" ht="25.05" customHeight="1" x14ac:dyDescent="0.25">
      <c r="A4989" s="2" t="s">
        <v>8</v>
      </c>
      <c r="B4989" s="2" t="str">
        <f>HYPERLINK("http://ts.21cn.com/tousu/show/id/1335785","借款9900，两天后还款竟然要还10122")</f>
        <v>借款9900，两天后还款竟然要还10122</v>
      </c>
      <c r="C4989" s="2" t="s">
        <v>9</v>
      </c>
      <c r="D4989" s="2" t="s">
        <v>10</v>
      </c>
      <c r="E4989" s="2" t="str">
        <f>HYPERLINK("http://ts.21cn.com/tousu/show/id/1335785","http://ts.21cn.com/tousu/show/id/1335785")</f>
        <v>http://ts.21cn.com/tousu/show/id/1335785</v>
      </c>
      <c r="F4989" s="2" t="s">
        <v>11</v>
      </c>
      <c r="G4989" s="2" t="s">
        <v>34340</v>
      </c>
      <c r="H4989" s="2" t="s">
        <v>34341</v>
      </c>
    </row>
    <row r="4990" spans="1:8" ht="25.05" customHeight="1" x14ac:dyDescent="0.25">
      <c r="A4990" s="2" t="s">
        <v>8</v>
      </c>
      <c r="B4990" s="2" t="str">
        <f>HYPERLINK("http://ts.21cn.com/tousu/show/id/1335787","活力花爆我通讯录")</f>
        <v>活力花爆我通讯录</v>
      </c>
      <c r="C4990" s="2" t="s">
        <v>9</v>
      </c>
      <c r="D4990" s="2" t="s">
        <v>10</v>
      </c>
      <c r="E4990" s="2" t="str">
        <f>HYPERLINK("http://ts.21cn.com/tousu/show/id/1335787","http://ts.21cn.com/tousu/show/id/1335787")</f>
        <v>http://ts.21cn.com/tousu/show/id/1335787</v>
      </c>
      <c r="F4990" s="2" t="s">
        <v>11</v>
      </c>
      <c r="G4990" s="2" t="s">
        <v>34338</v>
      </c>
      <c r="H4990" s="2" t="s">
        <v>34339</v>
      </c>
    </row>
    <row r="4991" spans="1:8" ht="25.05" customHeight="1" x14ac:dyDescent="0.25">
      <c r="A4991" s="2" t="s">
        <v>8</v>
      </c>
      <c r="B4991" s="2" t="str">
        <f>HYPERLINK("http://ts.21cn.com/tousu/show/id/1335788","打电话威胁家人")</f>
        <v>打电话威胁家人</v>
      </c>
      <c r="C4991" s="2" t="s">
        <v>9</v>
      </c>
      <c r="D4991" s="2" t="s">
        <v>10</v>
      </c>
      <c r="E4991" s="2" t="str">
        <f>HYPERLINK("http://ts.21cn.com/tousu/show/id/1335788","http://ts.21cn.com/tousu/show/id/1335788")</f>
        <v>http://ts.21cn.com/tousu/show/id/1335788</v>
      </c>
      <c r="F4991" s="2" t="s">
        <v>11</v>
      </c>
      <c r="G4991" s="2" t="s">
        <v>34336</v>
      </c>
      <c r="H4991" s="2" t="s">
        <v>34337</v>
      </c>
    </row>
    <row r="4992" spans="1:8" ht="25.05" customHeight="1" x14ac:dyDescent="0.25">
      <c r="A4992" s="2" t="s">
        <v>8</v>
      </c>
      <c r="B4992" s="2" t="str">
        <f>HYPERLINK("http://ts.21cn.com/tousu/show/id/1335794","多次拨打电话不处理，退还会员费")</f>
        <v>多次拨打电话不处理，退还会员费</v>
      </c>
      <c r="C4992" s="2" t="s">
        <v>9</v>
      </c>
      <c r="D4992" s="2" t="s">
        <v>10</v>
      </c>
      <c r="E4992" s="2" t="str">
        <f>HYPERLINK("http://ts.21cn.com/tousu/show/id/1335794","http://ts.21cn.com/tousu/show/id/1335794")</f>
        <v>http://ts.21cn.com/tousu/show/id/1335794</v>
      </c>
      <c r="F4992" s="2" t="s">
        <v>11</v>
      </c>
      <c r="G4992" s="2" t="s">
        <v>34334</v>
      </c>
      <c r="H4992" s="2" t="s">
        <v>34335</v>
      </c>
    </row>
    <row r="4993" spans="1:8" ht="25.05" customHeight="1" x14ac:dyDescent="0.25">
      <c r="A4993" s="2" t="s">
        <v>8</v>
      </c>
      <c r="B4993" s="2" t="str">
        <f>HYPERLINK("http://ts.21cn.com/tousu/show/id/1335790","ofo小黄车余额不退联系客服无应答")</f>
        <v>ofo小黄车余额不退联系客服无应答</v>
      </c>
      <c r="C4993" s="2" t="s">
        <v>9</v>
      </c>
      <c r="D4993" s="2" t="s">
        <v>10</v>
      </c>
      <c r="E4993" s="2" t="str">
        <f>HYPERLINK("http://ts.21cn.com/tousu/show/id/1335790","http://ts.21cn.com/tousu/show/id/1335790")</f>
        <v>http://ts.21cn.com/tousu/show/id/1335790</v>
      </c>
      <c r="F4993" s="2" t="s">
        <v>11</v>
      </c>
      <c r="G4993" s="2" t="s">
        <v>34332</v>
      </c>
      <c r="H4993" s="2" t="s">
        <v>34333</v>
      </c>
    </row>
    <row r="4994" spans="1:8" ht="25.05" customHeight="1" x14ac:dyDescent="0.25">
      <c r="A4994" s="2" t="s">
        <v>8</v>
      </c>
      <c r="B4994" s="2" t="str">
        <f>HYPERLINK("http://ts.21cn.com/tousu/show/id/1335791","滴滴公司不派单")</f>
        <v>滴滴公司不派单</v>
      </c>
      <c r="C4994" s="2" t="s">
        <v>34</v>
      </c>
      <c r="D4994" s="2" t="s">
        <v>10</v>
      </c>
      <c r="E4994" s="2" t="str">
        <f>HYPERLINK("http://ts.21cn.com/tousu/show/id/1335791","http://ts.21cn.com/tousu/show/id/1335791")</f>
        <v>http://ts.21cn.com/tousu/show/id/1335791</v>
      </c>
      <c r="F4994" s="2" t="s">
        <v>11</v>
      </c>
      <c r="G4994" s="2" t="s">
        <v>34330</v>
      </c>
      <c r="H4994" s="2" t="s">
        <v>34331</v>
      </c>
    </row>
    <row r="4995" spans="1:8" ht="25.05" customHeight="1" x14ac:dyDescent="0.25">
      <c r="A4995" s="2" t="s">
        <v>8</v>
      </c>
      <c r="B4995" s="2" t="str">
        <f>HYPERLINK("http://ts.21cn.com/tousu/show/id/1335792","接不到单")</f>
        <v>接不到单</v>
      </c>
      <c r="C4995" s="2" t="s">
        <v>9</v>
      </c>
      <c r="D4995" s="2" t="s">
        <v>10</v>
      </c>
      <c r="E4995" s="2" t="str">
        <f>HYPERLINK("http://ts.21cn.com/tousu/show/id/1335792","http://ts.21cn.com/tousu/show/id/1335792")</f>
        <v>http://ts.21cn.com/tousu/show/id/1335792</v>
      </c>
      <c r="F4995" s="2" t="s">
        <v>11</v>
      </c>
      <c r="G4995" s="2" t="s">
        <v>34328</v>
      </c>
      <c r="H4995" s="2" t="s">
        <v>34329</v>
      </c>
    </row>
    <row r="4996" spans="1:8" ht="25.05" customHeight="1" x14ac:dyDescent="0.25">
      <c r="A4996" s="2" t="s">
        <v>8</v>
      </c>
      <c r="B4996" s="2" t="str">
        <f>HYPERLINK("http://ts.21cn.com/tousu/show/id/1335795","左右钱包借款一分钟收700利息")</f>
        <v>左右钱包借款一分钟收700利息</v>
      </c>
      <c r="C4996" s="2" t="s">
        <v>34</v>
      </c>
      <c r="D4996" s="2" t="s">
        <v>10</v>
      </c>
      <c r="E4996" s="2" t="str">
        <f>HYPERLINK("http://ts.21cn.com/tousu/show/id/1335795","http://ts.21cn.com/tousu/show/id/1335795")</f>
        <v>http://ts.21cn.com/tousu/show/id/1335795</v>
      </c>
      <c r="F4996" s="2" t="s">
        <v>11</v>
      </c>
      <c r="G4996" s="2" t="s">
        <v>34326</v>
      </c>
      <c r="H4996" s="2" t="s">
        <v>34327</v>
      </c>
    </row>
    <row r="4997" spans="1:8" ht="25.05" customHeight="1" x14ac:dyDescent="0.25">
      <c r="A4997" s="2" t="s">
        <v>8</v>
      </c>
      <c r="B4997" s="2" t="str">
        <f>HYPERLINK("http://ts.21cn.com/tousu/show/id/1335796","微粒贷暴力催收")</f>
        <v>微粒贷暴力催收</v>
      </c>
      <c r="C4997" s="2" t="s">
        <v>9</v>
      </c>
      <c r="D4997" s="2" t="s">
        <v>10</v>
      </c>
      <c r="E4997" s="2" t="str">
        <f>HYPERLINK("http://ts.21cn.com/tousu/show/id/1335796","http://ts.21cn.com/tousu/show/id/1335796")</f>
        <v>http://ts.21cn.com/tousu/show/id/1335796</v>
      </c>
      <c r="F4997" s="2" t="s">
        <v>11</v>
      </c>
      <c r="G4997" s="2" t="s">
        <v>34324</v>
      </c>
      <c r="H4997" s="2" t="s">
        <v>34325</v>
      </c>
    </row>
    <row r="4998" spans="1:8" ht="25.05" customHeight="1" x14ac:dyDescent="0.25">
      <c r="A4998" s="2" t="s">
        <v>8</v>
      </c>
      <c r="B4998" s="2" t="str">
        <f>HYPERLINK("http://ts.21cn.com/tousu/show/id/1335797","立借扣费申请不通过不退款")</f>
        <v>立借扣费申请不通过不退款</v>
      </c>
      <c r="C4998" s="2" t="s">
        <v>9</v>
      </c>
      <c r="D4998" s="2" t="s">
        <v>10</v>
      </c>
      <c r="E4998" s="2" t="str">
        <f>HYPERLINK("http://ts.21cn.com/tousu/show/id/1335797","http://ts.21cn.com/tousu/show/id/1335797")</f>
        <v>http://ts.21cn.com/tousu/show/id/1335797</v>
      </c>
      <c r="F4998" s="2" t="s">
        <v>11</v>
      </c>
      <c r="G4998" s="2" t="s">
        <v>34322</v>
      </c>
      <c r="H4998" s="2" t="s">
        <v>34323</v>
      </c>
    </row>
    <row r="4999" spans="1:8" ht="25.05" customHeight="1" x14ac:dyDescent="0.25">
      <c r="A4999" s="2" t="s">
        <v>8</v>
      </c>
      <c r="B4999" s="2" t="str">
        <f>HYPERLINK("http://ts.21cn.com/tousu/show/id/1335798","闪银科技泄露个人信息")</f>
        <v>闪银科技泄露个人信息</v>
      </c>
      <c r="C4999" s="2" t="s">
        <v>9</v>
      </c>
      <c r="D4999" s="2" t="s">
        <v>10</v>
      </c>
      <c r="E4999" s="2" t="str">
        <f>HYPERLINK("http://ts.21cn.com/tousu/show/id/1335798","http://ts.21cn.com/tousu/show/id/1335798")</f>
        <v>http://ts.21cn.com/tousu/show/id/1335798</v>
      </c>
      <c r="F4999" s="2" t="s">
        <v>11</v>
      </c>
      <c r="G4999" s="2" t="s">
        <v>34320</v>
      </c>
      <c r="H4999" s="2" t="s">
        <v>34321</v>
      </c>
    </row>
    <row r="5000" spans="1:8" ht="25.05" customHeight="1" x14ac:dyDescent="0.25">
      <c r="A5000" s="2" t="s">
        <v>8</v>
      </c>
      <c r="B5000" s="2" t="str">
        <f>HYPERLINK("http://ts.21cn.com/tousu/show/id/1335799","带上钱里面的随心go贷款")</f>
        <v>带上钱里面的随心go贷款</v>
      </c>
      <c r="C5000" s="2" t="s">
        <v>9</v>
      </c>
      <c r="D5000" s="2" t="s">
        <v>10</v>
      </c>
      <c r="E5000" s="2" t="str">
        <f>HYPERLINK("http://ts.21cn.com/tousu/show/id/1335799","http://ts.21cn.com/tousu/show/id/1335799")</f>
        <v>http://ts.21cn.com/tousu/show/id/1335799</v>
      </c>
      <c r="F5000" s="2" t="s">
        <v>11</v>
      </c>
      <c r="G5000" s="2" t="s">
        <v>34318</v>
      </c>
      <c r="H5000" s="2" t="s">
        <v>34319</v>
      </c>
    </row>
    <row r="5001" spans="1:8" ht="25.05" customHeight="1" x14ac:dyDescent="0.25">
      <c r="A5001" s="2" t="s">
        <v>8</v>
      </c>
      <c r="B5001" s="2" t="str">
        <f>HYPERLINK("http://ts.21cn.com/tousu/show/id/1335802","小象优品逾期暴力催收并骚扰通讯录")</f>
        <v>小象优品逾期暴力催收并骚扰通讯录</v>
      </c>
      <c r="C5001" s="2" t="s">
        <v>9</v>
      </c>
      <c r="D5001" s="2" t="s">
        <v>10</v>
      </c>
      <c r="E5001" s="2" t="str">
        <f>HYPERLINK("http://ts.21cn.com/tousu/show/id/1335802","http://ts.21cn.com/tousu/show/id/1335802")</f>
        <v>http://ts.21cn.com/tousu/show/id/1335802</v>
      </c>
      <c r="F5001" s="2" t="s">
        <v>11</v>
      </c>
      <c r="G5001" s="2" t="s">
        <v>34316</v>
      </c>
      <c r="H5001" s="2" t="s">
        <v>34317</v>
      </c>
    </row>
    <row r="5002" spans="1:8" ht="25.05" customHeight="1" x14ac:dyDescent="0.25">
      <c r="A5002" s="2" t="s">
        <v>8</v>
      </c>
      <c r="B5002" s="2" t="str">
        <f>HYPERLINK("http://ts.21cn.com/tousu/show/id/1335800","套路贷款利率高")</f>
        <v>套路贷款利率高</v>
      </c>
      <c r="C5002" s="2" t="s">
        <v>9</v>
      </c>
      <c r="D5002" s="2" t="s">
        <v>10</v>
      </c>
      <c r="E5002" s="2" t="str">
        <f>HYPERLINK("http://ts.21cn.com/tousu/show/id/1335800","http://ts.21cn.com/tousu/show/id/1335800")</f>
        <v>http://ts.21cn.com/tousu/show/id/1335800</v>
      </c>
      <c r="F5002" s="2" t="s">
        <v>11</v>
      </c>
      <c r="G5002" s="2" t="s">
        <v>34314</v>
      </c>
      <c r="H5002" s="2" t="s">
        <v>34315</v>
      </c>
    </row>
    <row r="5003" spans="1:8" ht="25.05" customHeight="1" x14ac:dyDescent="0.25">
      <c r="A5003" s="2" t="s">
        <v>8</v>
      </c>
      <c r="B5003" s="2" t="str">
        <f>HYPERLINK("http://ts.21cn.com/tousu/show/id/1335803","浙江航天电子信息产业有限公司为违法违规平台网站提供支付结算通道")</f>
        <v>浙江航天电子信息产业有限公司为违法违规平台网站提供支付结算通道</v>
      </c>
      <c r="C5003" s="2" t="s">
        <v>9</v>
      </c>
      <c r="D5003" s="2" t="s">
        <v>10</v>
      </c>
      <c r="E5003" s="2" t="str">
        <f>HYPERLINK("http://ts.21cn.com/tousu/show/id/1335803","http://ts.21cn.com/tousu/show/id/1335803")</f>
        <v>http://ts.21cn.com/tousu/show/id/1335803</v>
      </c>
      <c r="F5003" s="2" t="s">
        <v>11</v>
      </c>
      <c r="G5003" s="2" t="s">
        <v>34312</v>
      </c>
      <c r="H5003" s="2" t="s">
        <v>34313</v>
      </c>
    </row>
    <row r="5004" spans="1:8" ht="25.05" customHeight="1" x14ac:dyDescent="0.25">
      <c r="A5004" s="2" t="s">
        <v>8</v>
      </c>
      <c r="B5004" s="2" t="str">
        <f>HYPERLINK("http://ts.21cn.com/tousu/show/id/1335804","暴力催收，利息高")</f>
        <v>暴力催收，利息高</v>
      </c>
      <c r="C5004" s="2" t="s">
        <v>9</v>
      </c>
      <c r="D5004" s="2" t="s">
        <v>10</v>
      </c>
      <c r="E5004" s="2" t="str">
        <f>HYPERLINK("http://ts.21cn.com/tousu/show/id/1335804","http://ts.21cn.com/tousu/show/id/1335804")</f>
        <v>http://ts.21cn.com/tousu/show/id/1335804</v>
      </c>
      <c r="F5004" s="2" t="s">
        <v>11</v>
      </c>
      <c r="G5004" s="2" t="s">
        <v>34310</v>
      </c>
      <c r="H5004" s="2" t="s">
        <v>34311</v>
      </c>
    </row>
    <row r="5005" spans="1:8" ht="25.05" customHeight="1" x14ac:dyDescent="0.25">
      <c r="A5005" s="2" t="s">
        <v>8</v>
      </c>
      <c r="B5005" s="2" t="str">
        <f>HYPERLINK("http://ts.21cn.com/tousu/show/id/1335806","拍拍贷高利贷，")</f>
        <v>拍拍贷高利贷，</v>
      </c>
      <c r="C5005" s="2" t="s">
        <v>9</v>
      </c>
      <c r="D5005" s="2" t="s">
        <v>10</v>
      </c>
      <c r="E5005" s="2" t="str">
        <f>HYPERLINK("http://ts.21cn.com/tousu/show/id/1335806","http://ts.21cn.com/tousu/show/id/1335806")</f>
        <v>http://ts.21cn.com/tousu/show/id/1335806</v>
      </c>
      <c r="F5005" s="2" t="s">
        <v>11</v>
      </c>
      <c r="G5005" s="2" t="s">
        <v>34308</v>
      </c>
      <c r="H5005" s="2" t="s">
        <v>34309</v>
      </c>
    </row>
    <row r="5006" spans="1:8" ht="25.05" customHeight="1" x14ac:dyDescent="0.25">
      <c r="A5006" s="2" t="s">
        <v>8</v>
      </c>
      <c r="B5006" s="2" t="str">
        <f>HYPERLINK("http://ts.21cn.com/tousu/show/id/1335807","畅捷支付为714高利产品提供支付同道，代扣现金")</f>
        <v>畅捷支付为714高利产品提供支付同道，代扣现金</v>
      </c>
      <c r="C5006" s="2" t="s">
        <v>34</v>
      </c>
      <c r="D5006" s="2" t="s">
        <v>10</v>
      </c>
      <c r="E5006" s="2" t="str">
        <f>HYPERLINK("http://ts.21cn.com/tousu/show/id/1335807","http://ts.21cn.com/tousu/show/id/1335807")</f>
        <v>http://ts.21cn.com/tousu/show/id/1335807</v>
      </c>
      <c r="F5006" s="2" t="s">
        <v>11</v>
      </c>
      <c r="G5006" s="2" t="s">
        <v>34306</v>
      </c>
      <c r="H5006" s="2" t="s">
        <v>34307</v>
      </c>
    </row>
    <row r="5007" spans="1:8" ht="25.05" customHeight="1" x14ac:dyDescent="0.25">
      <c r="A5007" s="2" t="s">
        <v>8</v>
      </c>
      <c r="B5007" s="2" t="str">
        <f>HYPERLINK("http://ts.21cn.com/tousu/show/id/1335808","上海翰银为赌博输平台收单，请求瀚银为我退款挽回经济损失")</f>
        <v>上海翰银为赌博输平台收单，请求瀚银为我退款挽回经济损失</v>
      </c>
      <c r="C5007" s="2" t="s">
        <v>9</v>
      </c>
      <c r="D5007" s="2" t="s">
        <v>10</v>
      </c>
      <c r="E5007" s="2" t="str">
        <f>HYPERLINK("http://ts.21cn.com/tousu/show/id/1335808","http://ts.21cn.com/tousu/show/id/1335808")</f>
        <v>http://ts.21cn.com/tousu/show/id/1335808</v>
      </c>
      <c r="F5007" s="2" t="s">
        <v>11</v>
      </c>
      <c r="G5007" s="2" t="s">
        <v>34304</v>
      </c>
      <c r="H5007" s="2" t="s">
        <v>34305</v>
      </c>
    </row>
    <row r="5008" spans="1:8" ht="25.05" customHeight="1" x14ac:dyDescent="0.25">
      <c r="A5008" s="2" t="s">
        <v>8</v>
      </c>
      <c r="B5008" s="2" t="str">
        <f>HYPERLINK("http://ts.21cn.com/tousu/show/id/1335809","协融借暴力催收严重影响我的生活")</f>
        <v>协融借暴力催收严重影响我的生活</v>
      </c>
      <c r="C5008" s="2" t="s">
        <v>9</v>
      </c>
      <c r="D5008" s="2" t="s">
        <v>10</v>
      </c>
      <c r="E5008" s="2" t="str">
        <f>HYPERLINK("http://ts.21cn.com/tousu/show/id/1335809","http://ts.21cn.com/tousu/show/id/1335809")</f>
        <v>http://ts.21cn.com/tousu/show/id/1335809</v>
      </c>
      <c r="F5008" s="2" t="s">
        <v>11</v>
      </c>
      <c r="G5008" s="2" t="s">
        <v>34302</v>
      </c>
      <c r="H5008" s="2" t="s">
        <v>34303</v>
      </c>
    </row>
    <row r="5009" spans="1:8" ht="25.05" customHeight="1" x14ac:dyDescent="0.25">
      <c r="A5009" s="2" t="s">
        <v>8</v>
      </c>
      <c r="B5009" s="2" t="str">
        <f>HYPERLINK("http://ts.21cn.com/tousu/show/id/1335810","欺诈消费")</f>
        <v>欺诈消费</v>
      </c>
      <c r="C5009" s="2" t="s">
        <v>9</v>
      </c>
      <c r="D5009" s="2" t="s">
        <v>10</v>
      </c>
      <c r="E5009" s="2" t="str">
        <f>HYPERLINK("http://ts.21cn.com/tousu/show/id/1335810","http://ts.21cn.com/tousu/show/id/1335810")</f>
        <v>http://ts.21cn.com/tousu/show/id/1335810</v>
      </c>
      <c r="F5009" s="2" t="s">
        <v>11</v>
      </c>
      <c r="G5009" s="2" t="s">
        <v>34300</v>
      </c>
      <c r="H5009" s="2" t="s">
        <v>34301</v>
      </c>
    </row>
    <row r="5010" spans="1:8" ht="25.05" customHeight="1" x14ac:dyDescent="0.25">
      <c r="A5010" s="2" t="s">
        <v>8</v>
      </c>
      <c r="B5010" s="2" t="str">
        <f>HYPERLINK("http://ts.21cn.com/tousu/show/id/1335811","小浦优客app未提示扣取报告费要求退回")</f>
        <v>小浦优客app未提示扣取报告费要求退回</v>
      </c>
      <c r="C5010" s="2" t="s">
        <v>34</v>
      </c>
      <c r="D5010" s="2" t="s">
        <v>10</v>
      </c>
      <c r="E5010" s="2" t="str">
        <f>HYPERLINK("http://ts.21cn.com/tousu/show/id/1335811","http://ts.21cn.com/tousu/show/id/1335811")</f>
        <v>http://ts.21cn.com/tousu/show/id/1335811</v>
      </c>
      <c r="F5010" s="2" t="s">
        <v>11</v>
      </c>
      <c r="G5010" s="2" t="s">
        <v>34298</v>
      </c>
      <c r="H5010" s="2" t="s">
        <v>34299</v>
      </c>
    </row>
    <row r="5011" spans="1:8" ht="25.05" customHeight="1" x14ac:dyDescent="0.25">
      <c r="A5011" s="2" t="s">
        <v>8</v>
      </c>
      <c r="B5011" s="2" t="str">
        <f>HYPERLINK("http://ts.21cn.com/tousu/show/id/1335813","贷上钱以买游戏豆为由收取高额贷款通过费")</f>
        <v>贷上钱以买游戏豆为由收取高额贷款通过费</v>
      </c>
      <c r="C5011" s="2" t="s">
        <v>34</v>
      </c>
      <c r="D5011" s="2" t="s">
        <v>10</v>
      </c>
      <c r="E5011" s="2" t="str">
        <f>HYPERLINK("http://ts.21cn.com/tousu/show/id/1335813","http://ts.21cn.com/tousu/show/id/1335813")</f>
        <v>http://ts.21cn.com/tousu/show/id/1335813</v>
      </c>
      <c r="F5011" s="2" t="s">
        <v>11</v>
      </c>
      <c r="G5011" s="2" t="s">
        <v>34296</v>
      </c>
      <c r="H5011" s="2" t="s">
        <v>34297</v>
      </c>
    </row>
    <row r="5012" spans="1:8" ht="25.05" customHeight="1" x14ac:dyDescent="0.25">
      <c r="A5012" s="2" t="s">
        <v>8</v>
      </c>
      <c r="B5012" s="2" t="str">
        <f>HYPERLINK("http://ts.21cn.com/tousu/show/id/1335812","找人来抓我")</f>
        <v>找人来抓我</v>
      </c>
      <c r="C5012" s="2" t="s">
        <v>34</v>
      </c>
      <c r="D5012" s="2" t="s">
        <v>10</v>
      </c>
      <c r="E5012" s="2" t="str">
        <f>HYPERLINK("http://ts.21cn.com/tousu/show/id/1335812","http://ts.21cn.com/tousu/show/id/1335812")</f>
        <v>http://ts.21cn.com/tousu/show/id/1335812</v>
      </c>
      <c r="F5012" s="2" t="s">
        <v>11</v>
      </c>
      <c r="G5012" s="2" t="s">
        <v>34294</v>
      </c>
      <c r="H5012" s="2" t="s">
        <v>34295</v>
      </c>
    </row>
    <row r="5013" spans="1:8" ht="25.05" customHeight="1" x14ac:dyDescent="0.25">
      <c r="A5013" s="2" t="s">
        <v>8</v>
      </c>
      <c r="B5013" s="2" t="str">
        <f>HYPERLINK("http://ts.21cn.com/tousu/show/id/1335814","购分期没有任何提示乱扣费199元")</f>
        <v>购分期没有任何提示乱扣费199元</v>
      </c>
      <c r="C5013" s="2" t="s">
        <v>9</v>
      </c>
      <c r="D5013" s="2" t="s">
        <v>10</v>
      </c>
      <c r="E5013" s="2" t="str">
        <f>HYPERLINK("http://ts.21cn.com/tousu/show/id/1335814","http://ts.21cn.com/tousu/show/id/1335814")</f>
        <v>http://ts.21cn.com/tousu/show/id/1335814</v>
      </c>
      <c r="F5013" s="2" t="s">
        <v>11</v>
      </c>
      <c r="G5013" s="2" t="s">
        <v>34292</v>
      </c>
      <c r="H5013" s="2" t="s">
        <v>34293</v>
      </c>
    </row>
    <row r="5014" spans="1:8" ht="25.05" customHeight="1" x14ac:dyDescent="0.25">
      <c r="A5014" s="2" t="s">
        <v>8</v>
      </c>
      <c r="B5014" s="2" t="str">
        <f>HYPERLINK("http://ts.21cn.com/tousu/show/id/1335815","维信金科诱导性借款")</f>
        <v>维信金科诱导性借款</v>
      </c>
      <c r="C5014" s="2" t="s">
        <v>9</v>
      </c>
      <c r="D5014" s="2" t="s">
        <v>10</v>
      </c>
      <c r="E5014" s="2" t="str">
        <f>HYPERLINK("http://ts.21cn.com/tousu/show/id/1335815","http://ts.21cn.com/tousu/show/id/1335815")</f>
        <v>http://ts.21cn.com/tousu/show/id/1335815</v>
      </c>
      <c r="F5014" s="2" t="s">
        <v>11</v>
      </c>
      <c r="G5014" s="2" t="s">
        <v>34290</v>
      </c>
      <c r="H5014" s="2" t="s">
        <v>34291</v>
      </c>
    </row>
    <row r="5015" spans="1:8" ht="25.05" customHeight="1" x14ac:dyDescent="0.25">
      <c r="A5015" s="2" t="s">
        <v>8</v>
      </c>
      <c r="B5015" s="2" t="str">
        <f>HYPERLINK("http://ts.21cn.com/tousu/show/id/1335816","及贷放款时直接扣除所谓的保险费，错在欺诈行为")</f>
        <v>及贷放款时直接扣除所谓的保险费，错在欺诈行为</v>
      </c>
      <c r="C5015" s="2" t="s">
        <v>9</v>
      </c>
      <c r="D5015" s="2" t="s">
        <v>10</v>
      </c>
      <c r="E5015" s="2" t="str">
        <f>HYPERLINK("http://ts.21cn.com/tousu/show/id/1335816","http://ts.21cn.com/tousu/show/id/1335816")</f>
        <v>http://ts.21cn.com/tousu/show/id/1335816</v>
      </c>
      <c r="F5015" s="2" t="s">
        <v>11</v>
      </c>
      <c r="G5015" s="2" t="s">
        <v>34288</v>
      </c>
      <c r="H5015" s="2" t="s">
        <v>34289</v>
      </c>
    </row>
    <row r="5016" spans="1:8" ht="25.05" customHeight="1" x14ac:dyDescent="0.25">
      <c r="A5016" s="2" t="s">
        <v>8</v>
      </c>
      <c r="B5016" s="2" t="str">
        <f>HYPERLINK("http://ts.21cn.com/tousu/show/id/1335512","第三方支付公司通过云闪付替非法博彩网站洗钱")</f>
        <v>第三方支付公司通过云闪付替非法博彩网站洗钱</v>
      </c>
      <c r="C5016" s="2" t="s">
        <v>9</v>
      </c>
      <c r="D5016" s="2" t="s">
        <v>10</v>
      </c>
      <c r="E5016" s="2" t="str">
        <f>HYPERLINK("http://ts.21cn.com/tousu/show/id/1335512","http://ts.21cn.com/tousu/show/id/1335512")</f>
        <v>http://ts.21cn.com/tousu/show/id/1335512</v>
      </c>
      <c r="F5016" s="2" t="s">
        <v>11</v>
      </c>
      <c r="G5016" s="2" t="s">
        <v>34286</v>
      </c>
      <c r="H5016" s="2" t="s">
        <v>34287</v>
      </c>
    </row>
    <row r="5017" spans="1:8" ht="25.05" customHeight="1" x14ac:dyDescent="0.25">
      <c r="A5017" s="2" t="s">
        <v>8</v>
      </c>
      <c r="B5017" s="2" t="str">
        <f>HYPERLINK("http://ts.21cn.com/tousu/show/id/1335818","暴力催收威胁恐吓")</f>
        <v>暴力催收威胁恐吓</v>
      </c>
      <c r="C5017" s="2" t="s">
        <v>9</v>
      </c>
      <c r="D5017" s="2" t="s">
        <v>10</v>
      </c>
      <c r="E5017" s="2" t="str">
        <f>HYPERLINK("http://ts.21cn.com/tousu/show/id/1335818","http://ts.21cn.com/tousu/show/id/1335818")</f>
        <v>http://ts.21cn.com/tousu/show/id/1335818</v>
      </c>
      <c r="F5017" s="2" t="s">
        <v>11</v>
      </c>
      <c r="G5017" s="2" t="s">
        <v>34284</v>
      </c>
      <c r="H5017" s="2" t="s">
        <v>34285</v>
      </c>
    </row>
    <row r="5018" spans="1:8" ht="25.05" customHeight="1" x14ac:dyDescent="0.25">
      <c r="A5018" s="2" t="s">
        <v>8</v>
      </c>
      <c r="B5018" s="2" t="str">
        <f>HYPERLINK("http://ts.21cn.com/tousu/show/id/1335819","唯一视觉旅拍出错合同欺诈消费者")</f>
        <v>唯一视觉旅拍出错合同欺诈消费者</v>
      </c>
      <c r="C5018" s="2" t="s">
        <v>9</v>
      </c>
      <c r="D5018" s="2" t="s">
        <v>10</v>
      </c>
      <c r="E5018" s="2" t="str">
        <f>HYPERLINK("http://ts.21cn.com/tousu/show/id/1335819","http://ts.21cn.com/tousu/show/id/1335819")</f>
        <v>http://ts.21cn.com/tousu/show/id/1335819</v>
      </c>
      <c r="F5018" s="2" t="s">
        <v>11</v>
      </c>
      <c r="G5018" s="2" t="s">
        <v>34282</v>
      </c>
      <c r="H5018" s="2" t="s">
        <v>34283</v>
      </c>
    </row>
    <row r="5019" spans="1:8" ht="25.05" customHeight="1" x14ac:dyDescent="0.25">
      <c r="A5019" s="2" t="s">
        <v>8</v>
      </c>
      <c r="B5019" s="2" t="str">
        <f>HYPERLINK("http://ts.21cn.com/tousu/show/id/1335820","支付宝为非法网站提供充值渠道，反馈举报后，不处理")</f>
        <v>支付宝为非法网站提供充值渠道，反馈举报后，不处理</v>
      </c>
      <c r="C5019" s="2" t="s">
        <v>9</v>
      </c>
      <c r="D5019" s="2" t="s">
        <v>10</v>
      </c>
      <c r="E5019" s="2" t="str">
        <f>HYPERLINK("http://ts.21cn.com/tousu/show/id/1335820","http://ts.21cn.com/tousu/show/id/1335820")</f>
        <v>http://ts.21cn.com/tousu/show/id/1335820</v>
      </c>
      <c r="F5019" s="2" t="s">
        <v>11</v>
      </c>
      <c r="G5019" s="2" t="s">
        <v>34280</v>
      </c>
      <c r="H5019" s="2" t="s">
        <v>34281</v>
      </c>
    </row>
    <row r="5020" spans="1:8" ht="25.05" customHeight="1" x14ac:dyDescent="0.25">
      <c r="A5020" s="2" t="s">
        <v>8</v>
      </c>
      <c r="B5020" s="2" t="str">
        <f>HYPERLINK("http://ts.21cn.com/tousu/show/id/1335822","佛山百合网实体店不可信")</f>
        <v>佛山百合网实体店不可信</v>
      </c>
      <c r="C5020" s="2" t="s">
        <v>9</v>
      </c>
      <c r="D5020" s="2" t="s">
        <v>10</v>
      </c>
      <c r="E5020" s="2" t="str">
        <f>HYPERLINK("http://ts.21cn.com/tousu/show/id/1335822","http://ts.21cn.com/tousu/show/id/1335822")</f>
        <v>http://ts.21cn.com/tousu/show/id/1335822</v>
      </c>
      <c r="F5020" s="2" t="s">
        <v>11</v>
      </c>
      <c r="G5020" s="2" t="s">
        <v>34278</v>
      </c>
      <c r="H5020" s="2" t="s">
        <v>34279</v>
      </c>
    </row>
    <row r="5021" spans="1:8" ht="25.05" customHeight="1" x14ac:dyDescent="0.25">
      <c r="A5021" s="2" t="s">
        <v>8</v>
      </c>
      <c r="B5021" s="2" t="str">
        <f>HYPERLINK("http://ts.21cn.com/tousu/show/id/1335823","旺卡猫恶意扣款")</f>
        <v>旺卡猫恶意扣款</v>
      </c>
      <c r="C5021" s="2" t="s">
        <v>9</v>
      </c>
      <c r="D5021" s="2" t="s">
        <v>10</v>
      </c>
      <c r="E5021" s="2" t="str">
        <f>HYPERLINK("http://ts.21cn.com/tousu/show/id/1335823","http://ts.21cn.com/tousu/show/id/1335823")</f>
        <v>http://ts.21cn.com/tousu/show/id/1335823</v>
      </c>
      <c r="F5021" s="2" t="s">
        <v>11</v>
      </c>
      <c r="G5021" s="2" t="s">
        <v>34276</v>
      </c>
      <c r="H5021" s="2" t="s">
        <v>34277</v>
      </c>
    </row>
    <row r="5022" spans="1:8" ht="25.05" customHeight="1" x14ac:dyDescent="0.25">
      <c r="A5022" s="2" t="s">
        <v>8</v>
      </c>
      <c r="B5022" s="2" t="str">
        <f>HYPERLINK("http://ts.21cn.com/tousu/show/id/1335824","强制扣费")</f>
        <v>强制扣费</v>
      </c>
      <c r="C5022" s="2" t="s">
        <v>9</v>
      </c>
      <c r="D5022" s="2" t="s">
        <v>10</v>
      </c>
      <c r="E5022" s="2" t="str">
        <f>HYPERLINK("http://ts.21cn.com/tousu/show/id/1335824","http://ts.21cn.com/tousu/show/id/1335824")</f>
        <v>http://ts.21cn.com/tousu/show/id/1335824</v>
      </c>
      <c r="F5022" s="2" t="s">
        <v>11</v>
      </c>
      <c r="G5022" s="2" t="s">
        <v>34274</v>
      </c>
      <c r="H5022" s="2" t="s">
        <v>34275</v>
      </c>
    </row>
    <row r="5023" spans="1:8" ht="25.05" customHeight="1" x14ac:dyDescent="0.25">
      <c r="A5023" s="2" t="s">
        <v>8</v>
      </c>
      <c r="B5023" s="2" t="str">
        <f>HYPERLINK("http://ts.21cn.com/tousu/show/id/1335821","给你花松紧贷砍头息暴力催收")</f>
        <v>给你花松紧贷砍头息暴力催收</v>
      </c>
      <c r="C5023" s="2" t="s">
        <v>9</v>
      </c>
      <c r="D5023" s="2" t="s">
        <v>10</v>
      </c>
      <c r="E5023" s="2" t="str">
        <f>HYPERLINK("http://ts.21cn.com/tousu/show/id/1335821","http://ts.21cn.com/tousu/show/id/1335821")</f>
        <v>http://ts.21cn.com/tousu/show/id/1335821</v>
      </c>
      <c r="F5023" s="2" t="s">
        <v>11</v>
      </c>
      <c r="G5023" s="2" t="s">
        <v>34272</v>
      </c>
      <c r="H5023" s="2" t="s">
        <v>34273</v>
      </c>
    </row>
    <row r="5024" spans="1:8" ht="25.05" customHeight="1" x14ac:dyDescent="0.25">
      <c r="A5024" s="2" t="s">
        <v>8</v>
      </c>
      <c r="B5024" s="2" t="str">
        <f>HYPERLINK("http://ts.21cn.com/tousu/show/id/1335825","滴滴安全部门既当裁判员又当运动员，态度蛮横")</f>
        <v>滴滴安全部门既当裁判员又当运动员，态度蛮横</v>
      </c>
      <c r="C5024" s="2" t="s">
        <v>9</v>
      </c>
      <c r="D5024" s="2" t="s">
        <v>10</v>
      </c>
      <c r="E5024" s="2" t="str">
        <f>HYPERLINK("http://ts.21cn.com/tousu/show/id/1335825","http://ts.21cn.com/tousu/show/id/1335825")</f>
        <v>http://ts.21cn.com/tousu/show/id/1335825</v>
      </c>
      <c r="F5024" s="2" t="s">
        <v>11</v>
      </c>
      <c r="G5024" s="2" t="s">
        <v>34270</v>
      </c>
      <c r="H5024" s="2" t="s">
        <v>34271</v>
      </c>
    </row>
    <row r="5025" spans="1:8" ht="25.05" customHeight="1" x14ac:dyDescent="0.25">
      <c r="A5025" s="2" t="s">
        <v>8</v>
      </c>
      <c r="B5025" s="2" t="str">
        <f>HYPERLINK("http://ts.21cn.com/tousu/show/id/1335827","存在恐吓，爆通讯录，爆照片行为")</f>
        <v>存在恐吓，爆通讯录，爆照片行为</v>
      </c>
      <c r="C5025" s="2" t="s">
        <v>9</v>
      </c>
      <c r="D5025" s="2" t="s">
        <v>10</v>
      </c>
      <c r="E5025" s="2" t="str">
        <f>HYPERLINK("http://ts.21cn.com/tousu/show/id/1335827","http://ts.21cn.com/tousu/show/id/1335827")</f>
        <v>http://ts.21cn.com/tousu/show/id/1335827</v>
      </c>
      <c r="F5025" s="2" t="s">
        <v>11</v>
      </c>
      <c r="G5025" s="2" t="s">
        <v>34268</v>
      </c>
      <c r="H5025" s="2" t="s">
        <v>34269</v>
      </c>
    </row>
    <row r="5026" spans="1:8" ht="25.05" customHeight="1" x14ac:dyDescent="0.25">
      <c r="A5026" s="2" t="s">
        <v>8</v>
      </c>
      <c r="B5026" s="2" t="str">
        <f>HYPERLINK("http://ts.21cn.com/tousu/show/id/1335828","小赢卡贷暴力催收")</f>
        <v>小赢卡贷暴力催收</v>
      </c>
      <c r="C5026" s="2" t="s">
        <v>9</v>
      </c>
      <c r="D5026" s="2" t="s">
        <v>10</v>
      </c>
      <c r="E5026" s="2" t="str">
        <f>HYPERLINK("http://ts.21cn.com/tousu/show/id/1335828","http://ts.21cn.com/tousu/show/id/1335828")</f>
        <v>http://ts.21cn.com/tousu/show/id/1335828</v>
      </c>
      <c r="F5026" s="2" t="s">
        <v>11</v>
      </c>
      <c r="G5026" s="2" t="s">
        <v>34266</v>
      </c>
      <c r="H5026" s="2" t="s">
        <v>34267</v>
      </c>
    </row>
    <row r="5027" spans="1:8" ht="25.05" customHeight="1" x14ac:dyDescent="0.25">
      <c r="A5027" s="2" t="s">
        <v>8</v>
      </c>
      <c r="B5027" s="2" t="str">
        <f>HYPERLINK("http://ts.21cn.com/tousu/show/id/1335831","安逸花未经我的允许从我的卡里扣钱")</f>
        <v>安逸花未经我的允许从我的卡里扣钱</v>
      </c>
      <c r="C5027" s="2" t="s">
        <v>34</v>
      </c>
      <c r="D5027" s="2" t="s">
        <v>10</v>
      </c>
      <c r="E5027" s="2" t="str">
        <f>HYPERLINK("http://ts.21cn.com/tousu/show/id/1335831","http://ts.21cn.com/tousu/show/id/1335831")</f>
        <v>http://ts.21cn.com/tousu/show/id/1335831</v>
      </c>
      <c r="F5027" s="2" t="s">
        <v>11</v>
      </c>
      <c r="G5027" s="2" t="s">
        <v>34264</v>
      </c>
      <c r="H5027" s="2" t="s">
        <v>34265</v>
      </c>
    </row>
    <row r="5028" spans="1:8" ht="25.05" customHeight="1" x14ac:dyDescent="0.25">
      <c r="A5028" s="2" t="s">
        <v>8</v>
      </c>
      <c r="B5028" s="2" t="str">
        <f>HYPERLINK("http://ts.21cn.com/tousu/show/id/1335832","闪银平台要改进，希望延期还款，结果客服不同意")</f>
        <v>闪银平台要改进，希望延期还款，结果客服不同意</v>
      </c>
      <c r="C5028" s="2" t="s">
        <v>9</v>
      </c>
      <c r="D5028" s="2" t="s">
        <v>10</v>
      </c>
      <c r="E5028" s="2" t="str">
        <f>HYPERLINK("http://ts.21cn.com/tousu/show/id/1335832","http://ts.21cn.com/tousu/show/id/1335832")</f>
        <v>http://ts.21cn.com/tousu/show/id/1335832</v>
      </c>
      <c r="F5028" s="2" t="s">
        <v>11</v>
      </c>
      <c r="G5028" s="2" t="s">
        <v>34262</v>
      </c>
      <c r="H5028" s="2" t="s">
        <v>34263</v>
      </c>
    </row>
    <row r="5029" spans="1:8" ht="25.05" customHeight="1" x14ac:dyDescent="0.25">
      <c r="A5029" s="2" t="s">
        <v>8</v>
      </c>
      <c r="B5029" s="2" t="str">
        <f>HYPERLINK("http://ts.21cn.com/tousu/show/id/1335833","以买游戏豆为由收取高额贷款通过费")</f>
        <v>以买游戏豆为由收取高额贷款通过费</v>
      </c>
      <c r="C5029" s="2" t="s">
        <v>9</v>
      </c>
      <c r="D5029" s="2" t="s">
        <v>10</v>
      </c>
      <c r="E5029" s="2" t="str">
        <f>HYPERLINK("http://ts.21cn.com/tousu/show/id/1335833","http://ts.21cn.com/tousu/show/id/1335833")</f>
        <v>http://ts.21cn.com/tousu/show/id/1335833</v>
      </c>
      <c r="F5029" s="2" t="s">
        <v>11</v>
      </c>
      <c r="G5029" s="2" t="s">
        <v>34260</v>
      </c>
      <c r="H5029" s="2" t="s">
        <v>34261</v>
      </c>
    </row>
    <row r="5030" spans="1:8" ht="25.05" customHeight="1" x14ac:dyDescent="0.25">
      <c r="A5030" s="2" t="s">
        <v>8</v>
      </c>
      <c r="B5030" s="2" t="str">
        <f>HYPERLINK("http://ts.21cn.com/tousu/show/id/1335834","无法和解")</f>
        <v>无法和解</v>
      </c>
      <c r="C5030" s="2" t="s">
        <v>34</v>
      </c>
      <c r="D5030" s="2" t="s">
        <v>10</v>
      </c>
      <c r="E5030" s="2" t="str">
        <f>HYPERLINK("http://ts.21cn.com/tousu/show/id/1335834","http://ts.21cn.com/tousu/show/id/1335834")</f>
        <v>http://ts.21cn.com/tousu/show/id/1335834</v>
      </c>
      <c r="F5030" s="2" t="s">
        <v>11</v>
      </c>
      <c r="G5030" s="2" t="s">
        <v>34258</v>
      </c>
      <c r="H5030" s="2" t="s">
        <v>34259</v>
      </c>
    </row>
    <row r="5031" spans="1:8" ht="25.05" customHeight="1" x14ac:dyDescent="0.25">
      <c r="A5031" s="2" t="s">
        <v>8</v>
      </c>
      <c r="B5031" s="2" t="str">
        <f>HYPERLINK("http://ts.21cn.com/tousu/show/id/1335835","信用飞高额利息暴力催收")</f>
        <v>信用飞高额利息暴力催收</v>
      </c>
      <c r="C5031" s="2" t="s">
        <v>9</v>
      </c>
      <c r="D5031" s="2" t="s">
        <v>10</v>
      </c>
      <c r="E5031" s="2" t="str">
        <f>HYPERLINK("http://ts.21cn.com/tousu/show/id/1335835","http://ts.21cn.com/tousu/show/id/1335835")</f>
        <v>http://ts.21cn.com/tousu/show/id/1335835</v>
      </c>
      <c r="F5031" s="2" t="s">
        <v>11</v>
      </c>
      <c r="G5031" s="2" t="s">
        <v>34256</v>
      </c>
      <c r="H5031" s="2" t="s">
        <v>34257</v>
      </c>
    </row>
    <row r="5032" spans="1:8" ht="25.05" customHeight="1" x14ac:dyDescent="0.25">
      <c r="A5032" s="2" t="s">
        <v>8</v>
      </c>
      <c r="B5032" s="2" t="str">
        <f>HYPERLINK("http://ts.21cn.com/tousu/show/id/1335836","合同利率和实际收的利息不符合")</f>
        <v>合同利率和实际收的利息不符合</v>
      </c>
      <c r="C5032" s="2" t="s">
        <v>9</v>
      </c>
      <c r="D5032" s="2" t="s">
        <v>10</v>
      </c>
      <c r="E5032" s="2" t="str">
        <f>HYPERLINK("http://ts.21cn.com/tousu/show/id/1335836","http://ts.21cn.com/tousu/show/id/1335836")</f>
        <v>http://ts.21cn.com/tousu/show/id/1335836</v>
      </c>
      <c r="F5032" s="2" t="s">
        <v>11</v>
      </c>
      <c r="G5032" s="2" t="s">
        <v>34254</v>
      </c>
      <c r="H5032" s="2" t="s">
        <v>34255</v>
      </c>
    </row>
    <row r="5033" spans="1:8" ht="25.05" customHeight="1" x14ac:dyDescent="0.25">
      <c r="A5033" s="2" t="s">
        <v>8</v>
      </c>
      <c r="B5033" s="2" t="str">
        <f>HYPERLINK("http://ts.21cn.com/tousu/show/id/1335837","还呗和浦发银行信用卡整天发一些垃圾短信和链接")</f>
        <v>还呗和浦发银行信用卡整天发一些垃圾短信和链接</v>
      </c>
      <c r="C5033" s="2" t="s">
        <v>9</v>
      </c>
      <c r="D5033" s="2" t="s">
        <v>10</v>
      </c>
      <c r="E5033" s="2" t="str">
        <f>HYPERLINK("http://ts.21cn.com/tousu/show/id/1335837","http://ts.21cn.com/tousu/show/id/1335837")</f>
        <v>http://ts.21cn.com/tousu/show/id/1335837</v>
      </c>
      <c r="F5033" s="2" t="s">
        <v>11</v>
      </c>
      <c r="G5033" s="2" t="s">
        <v>34252</v>
      </c>
      <c r="H5033" s="2" t="s">
        <v>34253</v>
      </c>
    </row>
    <row r="5034" spans="1:8" ht="25.05" customHeight="1" x14ac:dyDescent="0.25">
      <c r="A5034" s="2" t="s">
        <v>8</v>
      </c>
      <c r="B5034" s="2" t="str">
        <f>HYPERLINK("http://ts.21cn.com/tousu/show/id/1335838","约单app霸王条款，消费者不能及时退单，和提现！")</f>
        <v>约单app霸王条款，消费者不能及时退单，和提现！</v>
      </c>
      <c r="C5034" s="2" t="s">
        <v>9</v>
      </c>
      <c r="D5034" s="2" t="s">
        <v>10</v>
      </c>
      <c r="E5034" s="2" t="str">
        <f>HYPERLINK("http://ts.21cn.com/tousu/show/id/1335838","http://ts.21cn.com/tousu/show/id/1335838")</f>
        <v>http://ts.21cn.com/tousu/show/id/1335838</v>
      </c>
      <c r="F5034" s="2" t="s">
        <v>11</v>
      </c>
      <c r="G5034" s="2" t="s">
        <v>34250</v>
      </c>
      <c r="H5034" s="2" t="s">
        <v>34251</v>
      </c>
    </row>
    <row r="5035" spans="1:8" ht="25.05" customHeight="1" x14ac:dyDescent="0.25">
      <c r="A5035" s="2" t="s">
        <v>8</v>
      </c>
      <c r="B5035" s="2" t="str">
        <f>HYPERLINK("http://ts.21cn.com/tousu/show/id/1335841","顺丰快递丢件苹果11只理赔500")</f>
        <v>顺丰快递丢件苹果11只理赔500</v>
      </c>
      <c r="C5035" s="2" t="s">
        <v>34</v>
      </c>
      <c r="D5035" s="2" t="s">
        <v>10</v>
      </c>
      <c r="E5035" s="2" t="str">
        <f>HYPERLINK("http://ts.21cn.com/tousu/show/id/1335841","http://ts.21cn.com/tousu/show/id/1335841")</f>
        <v>http://ts.21cn.com/tousu/show/id/1335841</v>
      </c>
      <c r="F5035" s="2" t="s">
        <v>11</v>
      </c>
      <c r="G5035" s="2" t="s">
        <v>34248</v>
      </c>
      <c r="H5035" s="2" t="s">
        <v>34249</v>
      </c>
    </row>
    <row r="5036" spans="1:8" ht="25.05" customHeight="1" x14ac:dyDescent="0.25">
      <c r="A5036" s="2" t="s">
        <v>8</v>
      </c>
      <c r="B5036" s="2" t="str">
        <f>HYPERLINK("http://ts.21cn.com/tousu/show/id/1335840","京东AOC自营旗舰店虚假宣传")</f>
        <v>京东AOC自营旗舰店虚假宣传</v>
      </c>
      <c r="C5036" s="2" t="s">
        <v>9</v>
      </c>
      <c r="D5036" s="2" t="s">
        <v>10</v>
      </c>
      <c r="E5036" s="2" t="str">
        <f>HYPERLINK("http://ts.21cn.com/tousu/show/id/1335840","http://ts.21cn.com/tousu/show/id/1335840")</f>
        <v>http://ts.21cn.com/tousu/show/id/1335840</v>
      </c>
      <c r="F5036" s="2" t="s">
        <v>11</v>
      </c>
      <c r="G5036" s="2" t="s">
        <v>34246</v>
      </c>
      <c r="H5036" s="2" t="s">
        <v>34247</v>
      </c>
    </row>
    <row r="5037" spans="1:8" ht="25.05" customHeight="1" x14ac:dyDescent="0.25">
      <c r="A5037" s="2" t="s">
        <v>8</v>
      </c>
      <c r="B5037" s="2" t="str">
        <f>HYPERLINK("http://ts.21cn.com/tousu/show/id/1335842","及贷旗下智享贷平台协议还款后任然显示有欠款")</f>
        <v>及贷旗下智享贷平台协议还款后任然显示有欠款</v>
      </c>
      <c r="C5037" s="2" t="s">
        <v>9</v>
      </c>
      <c r="D5037" s="2" t="s">
        <v>10</v>
      </c>
      <c r="E5037" s="2" t="str">
        <f>HYPERLINK("http://ts.21cn.com/tousu/show/id/1335842","http://ts.21cn.com/tousu/show/id/1335842")</f>
        <v>http://ts.21cn.com/tousu/show/id/1335842</v>
      </c>
      <c r="F5037" s="2" t="s">
        <v>11</v>
      </c>
      <c r="G5037" s="2" t="s">
        <v>34244</v>
      </c>
      <c r="H5037" s="2" t="s">
        <v>34245</v>
      </c>
    </row>
    <row r="5038" spans="1:8" ht="25.05" customHeight="1" x14ac:dyDescent="0.25">
      <c r="A5038" s="2" t="s">
        <v>8</v>
      </c>
      <c r="B5038" s="2" t="str">
        <f>HYPERLINK("http://ts.21cn.com/tousu/show/id/1335844","美团招联电话骚扰")</f>
        <v>美团招联电话骚扰</v>
      </c>
      <c r="C5038" s="2" t="s">
        <v>9</v>
      </c>
      <c r="D5038" s="2" t="s">
        <v>10</v>
      </c>
      <c r="E5038" s="2" t="str">
        <f>HYPERLINK("http://ts.21cn.com/tousu/show/id/1335844","http://ts.21cn.com/tousu/show/id/1335844")</f>
        <v>http://ts.21cn.com/tousu/show/id/1335844</v>
      </c>
      <c r="F5038" s="2" t="s">
        <v>11</v>
      </c>
      <c r="G5038" s="2" t="s">
        <v>34242</v>
      </c>
      <c r="H5038" s="2" t="s">
        <v>34243</v>
      </c>
    </row>
    <row r="5039" spans="1:8" ht="25.05" customHeight="1" x14ac:dyDescent="0.25">
      <c r="A5039" s="2" t="s">
        <v>8</v>
      </c>
      <c r="B5039" s="2" t="str">
        <f>HYPERLINK("http://ts.21cn.com/tousu/show/id/1335845","小浦优客APP涉嫌欺诈")</f>
        <v>小浦优客APP涉嫌欺诈</v>
      </c>
      <c r="C5039" s="2" t="s">
        <v>9</v>
      </c>
      <c r="D5039" s="2" t="s">
        <v>10</v>
      </c>
      <c r="E5039" s="2" t="str">
        <f>HYPERLINK("http://ts.21cn.com/tousu/show/id/1335845","http://ts.21cn.com/tousu/show/id/1335845")</f>
        <v>http://ts.21cn.com/tousu/show/id/1335845</v>
      </c>
      <c r="F5039" s="2" t="s">
        <v>11</v>
      </c>
      <c r="G5039" s="2" t="s">
        <v>34240</v>
      </c>
      <c r="H5039" s="2" t="s">
        <v>34241</v>
      </c>
    </row>
    <row r="5040" spans="1:8" ht="25.05" customHeight="1" x14ac:dyDescent="0.25">
      <c r="A5040" s="2" t="s">
        <v>8</v>
      </c>
      <c r="B5040" s="2" t="str">
        <f>HYPERLINK("http://ts.21cn.com/tousu/show/id/1335847","高利贷新橙优品")</f>
        <v>高利贷新橙优品</v>
      </c>
      <c r="C5040" s="2" t="s">
        <v>9</v>
      </c>
      <c r="D5040" s="2" t="s">
        <v>10</v>
      </c>
      <c r="E5040" s="2" t="str">
        <f>HYPERLINK("http://ts.21cn.com/tousu/show/id/1335847","http://ts.21cn.com/tousu/show/id/1335847")</f>
        <v>http://ts.21cn.com/tousu/show/id/1335847</v>
      </c>
      <c r="F5040" s="2" t="s">
        <v>11</v>
      </c>
      <c r="G5040" s="2" t="s">
        <v>34238</v>
      </c>
      <c r="H5040" s="2" t="s">
        <v>34239</v>
      </c>
    </row>
    <row r="5041" spans="1:8" ht="25.05" customHeight="1" x14ac:dyDescent="0.25">
      <c r="A5041" s="2" t="s">
        <v>8</v>
      </c>
      <c r="B5041" s="2" t="str">
        <f>HYPERLINK("http://ts.21cn.com/tousu/show/id/1335846","全额还款减免")</f>
        <v>全额还款减免</v>
      </c>
      <c r="C5041" s="2" t="s">
        <v>9</v>
      </c>
      <c r="D5041" s="2" t="s">
        <v>10</v>
      </c>
      <c r="E5041" s="2" t="str">
        <f>HYPERLINK("http://ts.21cn.com/tousu/show/id/1335846","http://ts.21cn.com/tousu/show/id/1335846")</f>
        <v>http://ts.21cn.com/tousu/show/id/1335846</v>
      </c>
      <c r="F5041" s="2" t="s">
        <v>11</v>
      </c>
      <c r="G5041" s="2" t="s">
        <v>34236</v>
      </c>
      <c r="H5041" s="2" t="s">
        <v>34237</v>
      </c>
    </row>
    <row r="5042" spans="1:8" ht="25.05" customHeight="1" x14ac:dyDescent="0.25">
      <c r="A5042" s="2" t="s">
        <v>8</v>
      </c>
      <c r="B5042" s="2" t="str">
        <f>HYPERLINK("http://ts.21cn.com/tousu/show/id/1335848","请求延期还款")</f>
        <v>请求延期还款</v>
      </c>
      <c r="C5042" s="2" t="s">
        <v>9</v>
      </c>
      <c r="D5042" s="2" t="s">
        <v>10</v>
      </c>
      <c r="E5042" s="2" t="str">
        <f>HYPERLINK("http://ts.21cn.com/tousu/show/id/1335848","http://ts.21cn.com/tousu/show/id/1335848")</f>
        <v>http://ts.21cn.com/tousu/show/id/1335848</v>
      </c>
      <c r="F5042" s="2" t="s">
        <v>11</v>
      </c>
      <c r="G5042" s="2" t="s">
        <v>34234</v>
      </c>
      <c r="H5042" s="2" t="s">
        <v>34235</v>
      </c>
    </row>
    <row r="5043" spans="1:8" ht="25.05" customHeight="1" x14ac:dyDescent="0.25">
      <c r="A5043" s="2" t="s">
        <v>8</v>
      </c>
      <c r="B5043" s="2" t="str">
        <f>HYPERLINK("http://ts.21cn.com/tousu/show/id/1335851","高利息，没有经过同意强制性买了个什么学堂会员一千多，催款态度极其恶劣，")</f>
        <v>高利息，没有经过同意强制性买了个什么学堂会员一千多，催款态度极其恶劣，</v>
      </c>
      <c r="C5043" s="2" t="s">
        <v>9</v>
      </c>
      <c r="D5043" s="2" t="s">
        <v>10</v>
      </c>
      <c r="E5043" s="2" t="str">
        <f>HYPERLINK("http://ts.21cn.com/tousu/show/id/1335851","http://ts.21cn.com/tousu/show/id/1335851")</f>
        <v>http://ts.21cn.com/tousu/show/id/1335851</v>
      </c>
      <c r="F5043" s="2" t="s">
        <v>11</v>
      </c>
      <c r="G5043" s="2" t="s">
        <v>34232</v>
      </c>
      <c r="H5043" s="2" t="s">
        <v>34233</v>
      </c>
    </row>
    <row r="5044" spans="1:8" ht="25.05" customHeight="1" x14ac:dyDescent="0.25">
      <c r="A5044" s="2" t="s">
        <v>8</v>
      </c>
      <c r="B5044" s="2" t="str">
        <f>HYPERLINK("http://ts.21cn.com/tousu/show/id/1335850","网贷提前转款")</f>
        <v>网贷提前转款</v>
      </c>
      <c r="C5044" s="2" t="s">
        <v>9</v>
      </c>
      <c r="D5044" s="2" t="s">
        <v>10</v>
      </c>
      <c r="E5044" s="2" t="str">
        <f>HYPERLINK("http://ts.21cn.com/tousu/show/id/1335850","http://ts.21cn.com/tousu/show/id/1335850")</f>
        <v>http://ts.21cn.com/tousu/show/id/1335850</v>
      </c>
      <c r="F5044" s="2" t="s">
        <v>11</v>
      </c>
      <c r="G5044" s="2" t="s">
        <v>34230</v>
      </c>
      <c r="H5044" s="2" t="s">
        <v>34231</v>
      </c>
    </row>
    <row r="5045" spans="1:8" ht="25.05" customHeight="1" x14ac:dyDescent="0.25">
      <c r="A5045" s="2" t="s">
        <v>8</v>
      </c>
      <c r="B5045" s="2" t="str">
        <f>HYPERLINK("http://ts.21cn.com/tousu/show/id/1335853","没有按照合同来")</f>
        <v>没有按照合同来</v>
      </c>
      <c r="C5045" s="2" t="s">
        <v>34</v>
      </c>
      <c r="D5045" s="2" t="s">
        <v>10</v>
      </c>
      <c r="E5045" s="2" t="str">
        <f>HYPERLINK("http://ts.21cn.com/tousu/show/id/1335853","http://ts.21cn.com/tousu/show/id/1335853")</f>
        <v>http://ts.21cn.com/tousu/show/id/1335853</v>
      </c>
      <c r="F5045" s="2" t="s">
        <v>11</v>
      </c>
      <c r="G5045" s="2" t="s">
        <v>34228</v>
      </c>
      <c r="H5045" s="2" t="s">
        <v>34229</v>
      </c>
    </row>
    <row r="5046" spans="1:8" ht="25.05" customHeight="1" x14ac:dyDescent="0.25">
      <c r="A5046" s="2" t="s">
        <v>8</v>
      </c>
      <c r="B5046" s="2" t="str">
        <f>HYPERLINK("http://ts.21cn.com/tousu/show/id/1335855","暴力催收态度十分不好")</f>
        <v>暴力催收态度十分不好</v>
      </c>
      <c r="C5046" s="2" t="s">
        <v>9</v>
      </c>
      <c r="D5046" s="2" t="s">
        <v>10</v>
      </c>
      <c r="E5046" s="2" t="str">
        <f>HYPERLINK("http://ts.21cn.com/tousu/show/id/1335855","http://ts.21cn.com/tousu/show/id/1335855")</f>
        <v>http://ts.21cn.com/tousu/show/id/1335855</v>
      </c>
      <c r="F5046" s="2" t="s">
        <v>11</v>
      </c>
      <c r="G5046" s="2" t="s">
        <v>34226</v>
      </c>
      <c r="H5046" s="2" t="s">
        <v>34227</v>
      </c>
    </row>
    <row r="5047" spans="1:8" ht="25.05" customHeight="1" x14ac:dyDescent="0.25">
      <c r="A5047" s="2" t="s">
        <v>8</v>
      </c>
      <c r="B5047" s="2" t="str">
        <f>HYPERLINK("http://ts.21cn.com/tousu/show/id/1335858","非法扣钱")</f>
        <v>非法扣钱</v>
      </c>
      <c r="C5047" s="2" t="s">
        <v>9</v>
      </c>
      <c r="D5047" s="2" t="s">
        <v>10</v>
      </c>
      <c r="E5047" s="2" t="str">
        <f>HYPERLINK("http://ts.21cn.com/tousu/show/id/1335858","http://ts.21cn.com/tousu/show/id/1335858")</f>
        <v>http://ts.21cn.com/tousu/show/id/1335858</v>
      </c>
      <c r="F5047" s="2" t="s">
        <v>11</v>
      </c>
      <c r="G5047" s="2" t="s">
        <v>34224</v>
      </c>
      <c r="H5047" s="2" t="s">
        <v>34225</v>
      </c>
    </row>
    <row r="5048" spans="1:8" ht="25.05" customHeight="1" x14ac:dyDescent="0.25">
      <c r="A5048" s="2" t="s">
        <v>8</v>
      </c>
      <c r="B5048" s="2" t="str">
        <f>HYPERLINK("http://ts.21cn.com/tousu/show/id/1335859","维信金科综合年利率超过36％，踩法律红线")</f>
        <v>维信金科综合年利率超过36％，踩法律红线</v>
      </c>
      <c r="C5048" s="2" t="s">
        <v>9</v>
      </c>
      <c r="D5048" s="2" t="s">
        <v>10</v>
      </c>
      <c r="E5048" s="2" t="str">
        <f>HYPERLINK("http://ts.21cn.com/tousu/show/id/1335859","http://ts.21cn.com/tousu/show/id/1335859")</f>
        <v>http://ts.21cn.com/tousu/show/id/1335859</v>
      </c>
      <c r="F5048" s="2" t="s">
        <v>11</v>
      </c>
      <c r="G5048" s="2" t="s">
        <v>34222</v>
      </c>
      <c r="H5048" s="2" t="s">
        <v>34223</v>
      </c>
    </row>
    <row r="5049" spans="1:8" ht="25.05" customHeight="1" x14ac:dyDescent="0.25">
      <c r="A5049" s="2" t="s">
        <v>8</v>
      </c>
      <c r="B5049" s="2" t="str">
        <f>HYPERLINK("http://ts.21cn.com/tousu/show/id/1335860","变相欺诈消费者的趣专享")</f>
        <v>变相欺诈消费者的趣专享</v>
      </c>
      <c r="C5049" s="2" t="s">
        <v>9</v>
      </c>
      <c r="D5049" s="2" t="s">
        <v>10</v>
      </c>
      <c r="E5049" s="2" t="str">
        <f>HYPERLINK("http://ts.21cn.com/tousu/show/id/1335860","http://ts.21cn.com/tousu/show/id/1335860")</f>
        <v>http://ts.21cn.com/tousu/show/id/1335860</v>
      </c>
      <c r="F5049" s="2" t="s">
        <v>11</v>
      </c>
      <c r="G5049" s="2" t="s">
        <v>34220</v>
      </c>
      <c r="H5049" s="2" t="s">
        <v>34221</v>
      </c>
    </row>
    <row r="5050" spans="1:8" ht="25.05" customHeight="1" x14ac:dyDescent="0.25">
      <c r="A5050" s="2" t="s">
        <v>8</v>
      </c>
      <c r="B5050" s="2" t="str">
        <f>HYPERLINK("http://ts.21cn.com/tousu/show/id/1335861","百度有钱花乱七八遭的电话和短信对本人进行威胁和恐吓")</f>
        <v>百度有钱花乱七八遭的电话和短信对本人进行威胁和恐吓</v>
      </c>
      <c r="C5050" s="2" t="s">
        <v>9</v>
      </c>
      <c r="D5050" s="2" t="s">
        <v>10</v>
      </c>
      <c r="E5050" s="2" t="str">
        <f>HYPERLINK("http://ts.21cn.com/tousu/show/id/1335861","http://ts.21cn.com/tousu/show/id/1335861")</f>
        <v>http://ts.21cn.com/tousu/show/id/1335861</v>
      </c>
      <c r="F5050" s="2" t="s">
        <v>11</v>
      </c>
      <c r="G5050" s="2" t="s">
        <v>34218</v>
      </c>
      <c r="H5050" s="2" t="s">
        <v>34219</v>
      </c>
    </row>
    <row r="5051" spans="1:8" ht="25.05" customHeight="1" x14ac:dyDescent="0.25">
      <c r="A5051" s="2" t="s">
        <v>8</v>
      </c>
      <c r="B5051" s="2" t="str">
        <f>HYPERLINK("http://ts.21cn.com/tousu/show/id/1335862","投诉立借里面的钱置宝，")</f>
        <v>投诉立借里面的钱置宝，</v>
      </c>
      <c r="C5051" s="2" t="s">
        <v>9</v>
      </c>
      <c r="D5051" s="2" t="s">
        <v>10</v>
      </c>
      <c r="E5051" s="2" t="str">
        <f>HYPERLINK("http://ts.21cn.com/tousu/show/id/1335862","http://ts.21cn.com/tousu/show/id/1335862")</f>
        <v>http://ts.21cn.com/tousu/show/id/1335862</v>
      </c>
      <c r="F5051" s="2" t="s">
        <v>11</v>
      </c>
      <c r="G5051" s="2" t="s">
        <v>34216</v>
      </c>
      <c r="H5051" s="2" t="s">
        <v>34217</v>
      </c>
    </row>
    <row r="5052" spans="1:8" ht="25.05" customHeight="1" x14ac:dyDescent="0.25">
      <c r="A5052" s="2" t="s">
        <v>8</v>
      </c>
      <c r="B5052" s="2" t="str">
        <f>HYPERLINK("http://ts.21cn.com/tousu/show/id/1335863","砍头息严重过度催收态度恶劣")</f>
        <v>砍头息严重过度催收态度恶劣</v>
      </c>
      <c r="C5052" s="2" t="s">
        <v>9</v>
      </c>
      <c r="D5052" s="2" t="s">
        <v>10</v>
      </c>
      <c r="E5052" s="2" t="str">
        <f>HYPERLINK("http://ts.21cn.com/tousu/show/id/1335863","http://ts.21cn.com/tousu/show/id/1335863")</f>
        <v>http://ts.21cn.com/tousu/show/id/1335863</v>
      </c>
      <c r="F5052" s="2" t="s">
        <v>11</v>
      </c>
      <c r="G5052" s="2" t="s">
        <v>34214</v>
      </c>
      <c r="H5052" s="2" t="s">
        <v>34215</v>
      </c>
    </row>
    <row r="5053" spans="1:8" ht="25.05" customHeight="1" x14ac:dyDescent="0.25">
      <c r="A5053" s="2" t="s">
        <v>8</v>
      </c>
      <c r="B5053" s="2" t="str">
        <f>HYPERLINK("http://ts.21cn.com/tousu/show/id/1335864","交通银行催收地域黑")</f>
        <v>交通银行催收地域黑</v>
      </c>
      <c r="C5053" s="2" t="s">
        <v>9</v>
      </c>
      <c r="D5053" s="2" t="s">
        <v>10</v>
      </c>
      <c r="E5053" s="2" t="str">
        <f>HYPERLINK("http://ts.21cn.com/tousu/show/id/1335864","http://ts.21cn.com/tousu/show/id/1335864")</f>
        <v>http://ts.21cn.com/tousu/show/id/1335864</v>
      </c>
      <c r="F5053" s="2" t="s">
        <v>11</v>
      </c>
      <c r="G5053" s="2" t="s">
        <v>34212</v>
      </c>
      <c r="H5053" s="2" t="s">
        <v>34213</v>
      </c>
    </row>
    <row r="5054" spans="1:8" ht="25.05" customHeight="1" x14ac:dyDescent="0.25">
      <c r="A5054" s="2" t="s">
        <v>8</v>
      </c>
      <c r="B5054" s="2" t="str">
        <f>HYPERLINK("http://ts.21cn.com/tousu/show/id/1335865","超利贷")</f>
        <v>超利贷</v>
      </c>
      <c r="C5054" s="2" t="s">
        <v>9</v>
      </c>
      <c r="D5054" s="2" t="s">
        <v>10</v>
      </c>
      <c r="E5054" s="2" t="str">
        <f>HYPERLINK("http://ts.21cn.com/tousu/show/id/1335865","http://ts.21cn.com/tousu/show/id/1335865")</f>
        <v>http://ts.21cn.com/tousu/show/id/1335865</v>
      </c>
      <c r="F5054" s="2" t="s">
        <v>11</v>
      </c>
      <c r="G5054" s="2" t="s">
        <v>34210</v>
      </c>
      <c r="H5054" s="2" t="s">
        <v>34211</v>
      </c>
    </row>
    <row r="5055" spans="1:8" ht="25.05" customHeight="1" x14ac:dyDescent="0.25">
      <c r="A5055" s="2" t="s">
        <v>8</v>
      </c>
      <c r="B5055" s="2" t="str">
        <f>HYPERLINK("http://ts.21cn.com/tousu/show/id/1335866","逾期一天就被打电话")</f>
        <v>逾期一天就被打电话</v>
      </c>
      <c r="C5055" s="2" t="s">
        <v>9</v>
      </c>
      <c r="D5055" s="2" t="s">
        <v>10</v>
      </c>
      <c r="E5055" s="2" t="str">
        <f>HYPERLINK("http://ts.21cn.com/tousu/show/id/1335866","http://ts.21cn.com/tousu/show/id/1335866")</f>
        <v>http://ts.21cn.com/tousu/show/id/1335866</v>
      </c>
      <c r="F5055" s="2" t="s">
        <v>11</v>
      </c>
      <c r="G5055" s="2" t="s">
        <v>34208</v>
      </c>
      <c r="H5055" s="2" t="s">
        <v>34209</v>
      </c>
    </row>
    <row r="5056" spans="1:8" ht="25.05" customHeight="1" x14ac:dyDescent="0.25">
      <c r="A5056" s="2" t="s">
        <v>8</v>
      </c>
      <c r="B5056" s="2" t="str">
        <f>HYPERLINK("http://ts.21cn.com/tousu/show/id/1335867","OPPOR9SPLUS大规模无限重启变砖")</f>
        <v>OPPOR9SPLUS大规模无限重启变砖</v>
      </c>
      <c r="C5056" s="2" t="s">
        <v>9</v>
      </c>
      <c r="D5056" s="2" t="s">
        <v>10</v>
      </c>
      <c r="E5056" s="2" t="str">
        <f>HYPERLINK("http://ts.21cn.com/tousu/show/id/1335867","http://ts.21cn.com/tousu/show/id/1335867")</f>
        <v>http://ts.21cn.com/tousu/show/id/1335867</v>
      </c>
      <c r="F5056" s="2" t="s">
        <v>11</v>
      </c>
      <c r="G5056" s="2" t="s">
        <v>34206</v>
      </c>
      <c r="H5056" s="2" t="s">
        <v>34207</v>
      </c>
    </row>
    <row r="5057" spans="1:8" ht="25.05" customHeight="1" x14ac:dyDescent="0.25">
      <c r="A5057" s="2" t="s">
        <v>8</v>
      </c>
      <c r="B5057" s="2" t="str">
        <f>HYPERLINK("http://ts.21cn.com/tousu/show/id/1335868","信用管家91买呗高利贷")</f>
        <v>信用管家91买呗高利贷</v>
      </c>
      <c r="C5057" s="2" t="s">
        <v>9</v>
      </c>
      <c r="D5057" s="2" t="s">
        <v>10</v>
      </c>
      <c r="E5057" s="2" t="str">
        <f>HYPERLINK("http://ts.21cn.com/tousu/show/id/1335868","http://ts.21cn.com/tousu/show/id/1335868")</f>
        <v>http://ts.21cn.com/tousu/show/id/1335868</v>
      </c>
      <c r="F5057" s="2" t="s">
        <v>11</v>
      </c>
      <c r="G5057" s="2" t="s">
        <v>34204</v>
      </c>
      <c r="H5057" s="2" t="s">
        <v>34205</v>
      </c>
    </row>
    <row r="5058" spans="1:8" ht="25.05" customHeight="1" x14ac:dyDescent="0.25">
      <c r="A5058" s="2" t="s">
        <v>8</v>
      </c>
      <c r="B5058" s="2" t="str">
        <f>HYPERLINK("http://ts.21cn.com/tousu/show/id/1335817","宜人贷的砍头息、高额逾期费、信息费、虚假年利率")</f>
        <v>宜人贷的砍头息、高额逾期费、信息费、虚假年利率</v>
      </c>
      <c r="C5058" s="2" t="s">
        <v>9</v>
      </c>
      <c r="D5058" s="2" t="s">
        <v>10</v>
      </c>
      <c r="E5058" s="2" t="str">
        <f>HYPERLINK("http://ts.21cn.com/tousu/show/id/1335817","http://ts.21cn.com/tousu/show/id/1335817")</f>
        <v>http://ts.21cn.com/tousu/show/id/1335817</v>
      </c>
      <c r="F5058" s="2" t="s">
        <v>11</v>
      </c>
      <c r="G5058" s="2" t="s">
        <v>34202</v>
      </c>
      <c r="H5058" s="2" t="s">
        <v>34203</v>
      </c>
    </row>
    <row r="5059" spans="1:8" ht="25.05" customHeight="1" x14ac:dyDescent="0.25">
      <c r="A5059" s="2" t="s">
        <v>8</v>
      </c>
      <c r="B5059" s="2" t="str">
        <f>HYPERLINK("http://ts.21cn.com/tousu/show/id/1335870","在马上金融买会员延期致下个月，9月份告知我需要在还款前的前三天申请才可以延期，9月份购买的是10月份的延期")</f>
        <v>在马上金融买会员延期致下个月，9月份告知我需要在还款前的前三天申请才可以延期，9月份购买的是10月份的延期</v>
      </c>
      <c r="C5059" s="2" t="s">
        <v>9</v>
      </c>
      <c r="D5059" s="2" t="s">
        <v>10</v>
      </c>
      <c r="E5059" s="2" t="str">
        <f>HYPERLINK("http://ts.21cn.com/tousu/show/id/1335870","http://ts.21cn.com/tousu/show/id/1335870")</f>
        <v>http://ts.21cn.com/tousu/show/id/1335870</v>
      </c>
      <c r="F5059" s="2" t="s">
        <v>11</v>
      </c>
      <c r="G5059" s="2" t="s">
        <v>34200</v>
      </c>
      <c r="H5059" s="2" t="s">
        <v>34201</v>
      </c>
    </row>
    <row r="5060" spans="1:8" ht="25.05" customHeight="1" x14ac:dyDescent="0.25">
      <c r="A5060" s="2" t="s">
        <v>8</v>
      </c>
      <c r="B5060" s="2" t="str">
        <f>HYPERLINK("http://ts.21cn.com/tousu/show/id/1335869","我来数科（原我来贷）无法提前还款，利息太高")</f>
        <v>我来数科（原我来贷）无法提前还款，利息太高</v>
      </c>
      <c r="C5060" s="2" t="s">
        <v>9</v>
      </c>
      <c r="D5060" s="2" t="s">
        <v>10</v>
      </c>
      <c r="E5060" s="2" t="str">
        <f>HYPERLINK("http://ts.21cn.com/tousu/show/id/1335869","http://ts.21cn.com/tousu/show/id/1335869")</f>
        <v>http://ts.21cn.com/tousu/show/id/1335869</v>
      </c>
      <c r="F5060" s="2" t="s">
        <v>11</v>
      </c>
      <c r="G5060" s="2" t="s">
        <v>34198</v>
      </c>
      <c r="H5060" s="2" t="s">
        <v>34199</v>
      </c>
    </row>
    <row r="5061" spans="1:8" ht="25.05" customHeight="1" x14ac:dyDescent="0.25">
      <c r="A5061" s="2" t="s">
        <v>8</v>
      </c>
      <c r="B5061" s="2" t="str">
        <f>HYPERLINK("http://ts.21cn.com/tousu/show/id/1335871","注销帐号注销不了")</f>
        <v>注销帐号注销不了</v>
      </c>
      <c r="C5061" s="2" t="s">
        <v>9</v>
      </c>
      <c r="D5061" s="2" t="s">
        <v>10</v>
      </c>
      <c r="E5061" s="2" t="str">
        <f>HYPERLINK("http://ts.21cn.com/tousu/show/id/1335871","http://ts.21cn.com/tousu/show/id/1335871")</f>
        <v>http://ts.21cn.com/tousu/show/id/1335871</v>
      </c>
      <c r="F5061" s="2" t="s">
        <v>11</v>
      </c>
      <c r="G5061" s="2" t="s">
        <v>34197</v>
      </c>
      <c r="H5061" s="2" t="s">
        <v>25141</v>
      </c>
    </row>
    <row r="5062" spans="1:8" ht="25.05" customHeight="1" x14ac:dyDescent="0.25">
      <c r="A5062" s="2" t="s">
        <v>8</v>
      </c>
      <c r="B5062" s="2" t="str">
        <f>HYPERLINK("http://ts.21cn.com/tousu/show/id/1335872","途家定位信息不准确，导致订单错误，不可以退单，更改订单。")</f>
        <v>途家定位信息不准确，导致订单错误，不可以退单，更改订单。</v>
      </c>
      <c r="C5062" s="2" t="s">
        <v>34</v>
      </c>
      <c r="D5062" s="2" t="s">
        <v>10</v>
      </c>
      <c r="E5062" s="2" t="str">
        <f>HYPERLINK("http://ts.21cn.com/tousu/show/id/1335872","http://ts.21cn.com/tousu/show/id/1335872")</f>
        <v>http://ts.21cn.com/tousu/show/id/1335872</v>
      </c>
      <c r="F5062" s="2" t="s">
        <v>11</v>
      </c>
      <c r="G5062" s="2" t="s">
        <v>34196</v>
      </c>
      <c r="H5062" s="2" t="s">
        <v>34195</v>
      </c>
    </row>
    <row r="5063" spans="1:8" ht="25.05" customHeight="1" x14ac:dyDescent="0.25">
      <c r="A5063" s="2" t="s">
        <v>8</v>
      </c>
      <c r="B5063" s="2" t="str">
        <f>HYPERLINK("http://ts.21cn.com/tousu/show/id/1335829","钱站借款三千实际到账2400分期三个月一期一千五百多逾期一天一百五十多")</f>
        <v>钱站借款三千实际到账2400分期三个月一期一千五百多逾期一天一百五十多</v>
      </c>
      <c r="C5063" s="2" t="s">
        <v>9</v>
      </c>
      <c r="D5063" s="2" t="s">
        <v>10</v>
      </c>
      <c r="E5063" s="2" t="str">
        <f>HYPERLINK("http://ts.21cn.com/tousu/show/id/1335829","http://ts.21cn.com/tousu/show/id/1335829")</f>
        <v>http://ts.21cn.com/tousu/show/id/1335829</v>
      </c>
      <c r="F5063" s="2" t="s">
        <v>11</v>
      </c>
      <c r="G5063" s="2" t="s">
        <v>34193</v>
      </c>
      <c r="H5063" s="2" t="s">
        <v>34194</v>
      </c>
    </row>
    <row r="5064" spans="1:8" ht="25.05" customHeight="1" x14ac:dyDescent="0.25">
      <c r="A5064" s="2" t="s">
        <v>8</v>
      </c>
      <c r="B5064" s="2" t="str">
        <f>HYPERLINK("http://ts.21cn.com/tousu/show/id/1335873","贷上钱捆绑强制购买产品")</f>
        <v>贷上钱捆绑强制购买产品</v>
      </c>
      <c r="C5064" s="2" t="s">
        <v>9</v>
      </c>
      <c r="D5064" s="2" t="s">
        <v>10</v>
      </c>
      <c r="E5064" s="2" t="str">
        <f>HYPERLINK("http://ts.21cn.com/tousu/show/id/1335873","http://ts.21cn.com/tousu/show/id/1335873")</f>
        <v>http://ts.21cn.com/tousu/show/id/1335873</v>
      </c>
      <c r="F5064" s="2" t="s">
        <v>11</v>
      </c>
      <c r="G5064" s="2" t="s">
        <v>34191</v>
      </c>
      <c r="H5064" s="2" t="s">
        <v>34192</v>
      </c>
    </row>
    <row r="5065" spans="1:8" ht="25.05" customHeight="1" x14ac:dyDescent="0.25">
      <c r="A5065" s="2" t="s">
        <v>8</v>
      </c>
      <c r="B5065" s="2" t="str">
        <f>HYPERLINK("http://ts.21cn.com/tousu/show/id/1335874","立借拒绝协商还款")</f>
        <v>立借拒绝协商还款</v>
      </c>
      <c r="C5065" s="2" t="s">
        <v>9</v>
      </c>
      <c r="D5065" s="2" t="s">
        <v>10</v>
      </c>
      <c r="E5065" s="2" t="str">
        <f>HYPERLINK("http://ts.21cn.com/tousu/show/id/1335874","http://ts.21cn.com/tousu/show/id/1335874")</f>
        <v>http://ts.21cn.com/tousu/show/id/1335874</v>
      </c>
      <c r="F5065" s="2" t="s">
        <v>11</v>
      </c>
      <c r="G5065" s="2" t="s">
        <v>34189</v>
      </c>
      <c r="H5065" s="2" t="s">
        <v>34190</v>
      </c>
    </row>
    <row r="5066" spans="1:8" ht="25.05" customHeight="1" x14ac:dyDescent="0.25">
      <c r="A5066" s="2" t="s">
        <v>8</v>
      </c>
      <c r="B5066" s="2" t="str">
        <f>HYPERLINK("http://ts.21cn.com/tousu/show/id/1335875","闪银平台需要强制购物才能借款")</f>
        <v>闪银平台需要强制购物才能借款</v>
      </c>
      <c r="C5066" s="2" t="s">
        <v>9</v>
      </c>
      <c r="D5066" s="2" t="s">
        <v>10</v>
      </c>
      <c r="E5066" s="2" t="str">
        <f>HYPERLINK("http://ts.21cn.com/tousu/show/id/1335875","http://ts.21cn.com/tousu/show/id/1335875")</f>
        <v>http://ts.21cn.com/tousu/show/id/1335875</v>
      </c>
      <c r="F5066" s="2" t="s">
        <v>11</v>
      </c>
      <c r="G5066" s="2" t="s">
        <v>34187</v>
      </c>
      <c r="H5066" s="2" t="s">
        <v>34188</v>
      </c>
    </row>
    <row r="5067" spans="1:8" ht="25.05" customHeight="1" x14ac:dyDescent="0.25">
      <c r="A5067" s="2" t="s">
        <v>8</v>
      </c>
      <c r="B5067" s="2" t="str">
        <f>HYPERLINK("http://ts.21cn.com/tousu/show/id/1335876","发假文件吓唬我要我自己去自首")</f>
        <v>发假文件吓唬我要我自己去自首</v>
      </c>
      <c r="C5067" s="2" t="s">
        <v>34</v>
      </c>
      <c r="D5067" s="2" t="s">
        <v>10</v>
      </c>
      <c r="E5067" s="2" t="str">
        <f>HYPERLINK("http://ts.21cn.com/tousu/show/id/1335876","http://ts.21cn.com/tousu/show/id/1335876")</f>
        <v>http://ts.21cn.com/tousu/show/id/1335876</v>
      </c>
      <c r="F5067" s="2" t="s">
        <v>11</v>
      </c>
      <c r="G5067" s="2" t="s">
        <v>34185</v>
      </c>
      <c r="H5067" s="2" t="s">
        <v>34186</v>
      </c>
    </row>
    <row r="5068" spans="1:8" ht="25.05" customHeight="1" x14ac:dyDescent="0.25">
      <c r="A5068" s="2" t="s">
        <v>8</v>
      </c>
      <c r="B5068" s="2" t="str">
        <f>HYPERLINK("http://ts.21cn.com/tousu/show/id/1335877","U钱包高利贷")</f>
        <v>U钱包高利贷</v>
      </c>
      <c r="C5068" s="2" t="s">
        <v>9</v>
      </c>
      <c r="D5068" s="2" t="s">
        <v>10</v>
      </c>
      <c r="E5068" s="2" t="str">
        <f>HYPERLINK("http://ts.21cn.com/tousu/show/id/1335877","http://ts.21cn.com/tousu/show/id/1335877")</f>
        <v>http://ts.21cn.com/tousu/show/id/1335877</v>
      </c>
      <c r="F5068" s="2" t="s">
        <v>11</v>
      </c>
      <c r="G5068" s="2" t="s">
        <v>34183</v>
      </c>
      <c r="H5068" s="2" t="s">
        <v>34184</v>
      </c>
    </row>
    <row r="5069" spans="1:8" ht="25.05" customHeight="1" x14ac:dyDescent="0.25">
      <c r="A5069" s="2" t="s">
        <v>8</v>
      </c>
      <c r="B5069" s="2" t="str">
        <f>HYPERLINK("http://ts.21cn.com/tousu/show/id/1335878","暴力催收")</f>
        <v>暴力催收</v>
      </c>
      <c r="C5069" s="2" t="s">
        <v>9</v>
      </c>
      <c r="D5069" s="2" t="s">
        <v>10</v>
      </c>
      <c r="E5069" s="2" t="str">
        <f>HYPERLINK("http://ts.21cn.com/tousu/show/id/1335878","http://ts.21cn.com/tousu/show/id/1335878")</f>
        <v>http://ts.21cn.com/tousu/show/id/1335878</v>
      </c>
      <c r="F5069" s="2" t="s">
        <v>11</v>
      </c>
      <c r="G5069" s="2" t="s">
        <v>34181</v>
      </c>
      <c r="H5069" s="2" t="s">
        <v>34182</v>
      </c>
    </row>
    <row r="5070" spans="1:8" ht="25.05" customHeight="1" x14ac:dyDescent="0.25">
      <c r="A5070" s="2" t="s">
        <v>8</v>
      </c>
      <c r="B5070" s="2" t="str">
        <f>HYPERLINK("http://ts.21cn.com/tousu/show/id/1335880","投诉随行付还到")</f>
        <v>投诉随行付还到</v>
      </c>
      <c r="C5070" s="2" t="s">
        <v>9</v>
      </c>
      <c r="D5070" s="2" t="s">
        <v>10</v>
      </c>
      <c r="E5070" s="2" t="str">
        <f>HYPERLINK("http://ts.21cn.com/tousu/show/id/1335880","http://ts.21cn.com/tousu/show/id/1335880")</f>
        <v>http://ts.21cn.com/tousu/show/id/1335880</v>
      </c>
      <c r="F5070" s="2" t="s">
        <v>11</v>
      </c>
      <c r="G5070" s="2" t="s">
        <v>34179</v>
      </c>
      <c r="H5070" s="2" t="s">
        <v>34180</v>
      </c>
    </row>
    <row r="5071" spans="1:8" ht="25.05" customHeight="1" x14ac:dyDescent="0.25">
      <c r="A5071" s="2" t="s">
        <v>8</v>
      </c>
      <c r="B5071" s="2" t="str">
        <f>HYPERLINK("http://ts.21cn.com/tousu/show/id/1335879","被假催收恶意辱骂恐吓")</f>
        <v>被假催收恶意辱骂恐吓</v>
      </c>
      <c r="C5071" s="2" t="s">
        <v>9</v>
      </c>
      <c r="D5071" s="2" t="s">
        <v>10</v>
      </c>
      <c r="E5071" s="2" t="str">
        <f>HYPERLINK("http://ts.21cn.com/tousu/show/id/1335879","http://ts.21cn.com/tousu/show/id/1335879")</f>
        <v>http://ts.21cn.com/tousu/show/id/1335879</v>
      </c>
      <c r="F5071" s="2" t="s">
        <v>11</v>
      </c>
      <c r="G5071" s="2" t="s">
        <v>34177</v>
      </c>
      <c r="H5071" s="2" t="s">
        <v>34178</v>
      </c>
    </row>
    <row r="5072" spans="1:8" ht="25.05" customHeight="1" x14ac:dyDescent="0.25">
      <c r="A5072" s="2" t="s">
        <v>8</v>
      </c>
      <c r="B5072" s="2" t="str">
        <f>HYPERLINK("http://ts.21cn.com/tousu/show/id/1335881","牛人有品高利贷砍头息要求协商不处理")</f>
        <v>牛人有品高利贷砍头息要求协商不处理</v>
      </c>
      <c r="C5072" s="2" t="s">
        <v>9</v>
      </c>
      <c r="D5072" s="2" t="s">
        <v>10</v>
      </c>
      <c r="E5072" s="2" t="str">
        <f>HYPERLINK("http://ts.21cn.com/tousu/show/id/1335881","http://ts.21cn.com/tousu/show/id/1335881")</f>
        <v>http://ts.21cn.com/tousu/show/id/1335881</v>
      </c>
      <c r="F5072" s="2" t="s">
        <v>11</v>
      </c>
      <c r="G5072" s="2" t="s">
        <v>34175</v>
      </c>
      <c r="H5072" s="2" t="s">
        <v>34176</v>
      </c>
    </row>
    <row r="5073" spans="1:8" ht="25.05" customHeight="1" x14ac:dyDescent="0.25">
      <c r="A5073" s="2" t="s">
        <v>8</v>
      </c>
      <c r="B5073" s="2" t="str">
        <f>HYPERLINK("http://ts.21cn.com/tousu/show/id/1335882","安逸花恶意扣取用户资金")</f>
        <v>安逸花恶意扣取用户资金</v>
      </c>
      <c r="C5073" s="2" t="s">
        <v>9</v>
      </c>
      <c r="D5073" s="2" t="s">
        <v>10</v>
      </c>
      <c r="E5073" s="2" t="str">
        <f>HYPERLINK("http://ts.21cn.com/tousu/show/id/1335882","http://ts.21cn.com/tousu/show/id/1335882")</f>
        <v>http://ts.21cn.com/tousu/show/id/1335882</v>
      </c>
      <c r="F5073" s="2" t="s">
        <v>11</v>
      </c>
      <c r="G5073" s="2" t="s">
        <v>34173</v>
      </c>
      <c r="H5073" s="2" t="s">
        <v>34174</v>
      </c>
    </row>
    <row r="5074" spans="1:8" ht="25.05" customHeight="1" x14ac:dyDescent="0.25">
      <c r="A5074" s="2" t="s">
        <v>8</v>
      </c>
      <c r="B5074" s="2" t="str">
        <f>HYPERLINK("http://ts.21cn.com/tousu/show/id/1335884","嗨钱网扣前期，高利贷，app还款无门，协商还款金额")</f>
        <v>嗨钱网扣前期，高利贷，app还款无门，协商还款金额</v>
      </c>
      <c r="C5074" s="2" t="s">
        <v>9</v>
      </c>
      <c r="D5074" s="2" t="s">
        <v>10</v>
      </c>
      <c r="E5074" s="2" t="str">
        <f>HYPERLINK("http://ts.21cn.com/tousu/show/id/1335884","http://ts.21cn.com/tousu/show/id/1335884")</f>
        <v>http://ts.21cn.com/tousu/show/id/1335884</v>
      </c>
      <c r="F5074" s="2" t="s">
        <v>11</v>
      </c>
      <c r="G5074" s="2" t="s">
        <v>34171</v>
      </c>
      <c r="H5074" s="2" t="s">
        <v>34172</v>
      </c>
    </row>
    <row r="5075" spans="1:8" ht="25.05" customHeight="1" x14ac:dyDescent="0.25">
      <c r="A5075" s="2" t="s">
        <v>8</v>
      </c>
      <c r="B5075" s="2" t="str">
        <f>HYPERLINK("http://ts.21cn.com/tousu/show/id/1335883","农业银行信用卡催收乱打电话")</f>
        <v>农业银行信用卡催收乱打电话</v>
      </c>
      <c r="C5075" s="2" t="s">
        <v>9</v>
      </c>
      <c r="D5075" s="2" t="s">
        <v>10</v>
      </c>
      <c r="E5075" s="2" t="str">
        <f>HYPERLINK("http://ts.21cn.com/tousu/show/id/1335883","http://ts.21cn.com/tousu/show/id/1335883")</f>
        <v>http://ts.21cn.com/tousu/show/id/1335883</v>
      </c>
      <c r="F5075" s="2" t="s">
        <v>11</v>
      </c>
      <c r="G5075" s="2" t="s">
        <v>34169</v>
      </c>
      <c r="H5075" s="2" t="s">
        <v>34170</v>
      </c>
    </row>
    <row r="5076" spans="1:8" ht="25.05" customHeight="1" x14ac:dyDescent="0.25">
      <c r="A5076" s="2" t="s">
        <v>8</v>
      </c>
      <c r="B5076" s="2" t="str">
        <f>HYPERLINK("http://ts.21cn.com/tousu/show/id/1335885","投诉轻周转芒果筹")</f>
        <v>投诉轻周转芒果筹</v>
      </c>
      <c r="C5076" s="2" t="s">
        <v>9</v>
      </c>
      <c r="D5076" s="2" t="s">
        <v>10</v>
      </c>
      <c r="E5076" s="2" t="str">
        <f>HYPERLINK("http://ts.21cn.com/tousu/show/id/1335885","http://ts.21cn.com/tousu/show/id/1335885")</f>
        <v>http://ts.21cn.com/tousu/show/id/1335885</v>
      </c>
      <c r="F5076" s="2" t="s">
        <v>11</v>
      </c>
      <c r="G5076" s="2" t="s">
        <v>34167</v>
      </c>
      <c r="H5076" s="2" t="s">
        <v>34168</v>
      </c>
    </row>
    <row r="5077" spans="1:8" ht="25.05" customHeight="1" x14ac:dyDescent="0.25">
      <c r="A5077" s="2" t="s">
        <v>8</v>
      </c>
      <c r="B5077" s="2" t="str">
        <f>HYPERLINK("http://ts.21cn.com/tousu/show/id/1335886","及贷平台变相收取高额服务费，而且打电话提前还款不予任何减免")</f>
        <v>及贷平台变相收取高额服务费，而且打电话提前还款不予任何减免</v>
      </c>
      <c r="C5077" s="2" t="s">
        <v>9</v>
      </c>
      <c r="D5077" s="2" t="s">
        <v>10</v>
      </c>
      <c r="E5077" s="2" t="str">
        <f>HYPERLINK("http://ts.21cn.com/tousu/show/id/1335886","http://ts.21cn.com/tousu/show/id/1335886")</f>
        <v>http://ts.21cn.com/tousu/show/id/1335886</v>
      </c>
      <c r="F5077" s="2" t="s">
        <v>11</v>
      </c>
      <c r="G5077" s="2" t="s">
        <v>34165</v>
      </c>
      <c r="H5077" s="2" t="s">
        <v>34166</v>
      </c>
    </row>
    <row r="5078" spans="1:8" ht="25.05" customHeight="1" x14ac:dyDescent="0.25">
      <c r="A5078" s="2" t="s">
        <v>8</v>
      </c>
      <c r="B5078" s="2" t="str">
        <f>HYPERLINK("http://ts.21cn.com/tousu/show/id/1335887","维信金科骚扰我的朋友")</f>
        <v>维信金科骚扰我的朋友</v>
      </c>
      <c r="C5078" s="2" t="s">
        <v>9</v>
      </c>
      <c r="D5078" s="2" t="s">
        <v>10</v>
      </c>
      <c r="E5078" s="2" t="str">
        <f>HYPERLINK("http://ts.21cn.com/tousu/show/id/1335887","http://ts.21cn.com/tousu/show/id/1335887")</f>
        <v>http://ts.21cn.com/tousu/show/id/1335887</v>
      </c>
      <c r="F5078" s="2" t="s">
        <v>11</v>
      </c>
      <c r="G5078" s="2" t="s">
        <v>34163</v>
      </c>
      <c r="H5078" s="2" t="s">
        <v>34164</v>
      </c>
    </row>
    <row r="5079" spans="1:8" ht="25.05" customHeight="1" x14ac:dyDescent="0.25">
      <c r="A5079" s="2" t="s">
        <v>8</v>
      </c>
      <c r="B5079" s="2" t="str">
        <f>HYPERLINK("http://ts.21cn.com/tousu/show/id/1335889","钱伴就是快贷高利贷太恐怖")</f>
        <v>钱伴就是快贷高利贷太恐怖</v>
      </c>
      <c r="C5079" s="2" t="s">
        <v>9</v>
      </c>
      <c r="D5079" s="2" t="s">
        <v>10</v>
      </c>
      <c r="E5079" s="2" t="str">
        <f>HYPERLINK("http://ts.21cn.com/tousu/show/id/1335889","http://ts.21cn.com/tousu/show/id/1335889")</f>
        <v>http://ts.21cn.com/tousu/show/id/1335889</v>
      </c>
      <c r="F5079" s="2" t="s">
        <v>11</v>
      </c>
      <c r="G5079" s="2" t="s">
        <v>34161</v>
      </c>
      <c r="H5079" s="2" t="s">
        <v>34162</v>
      </c>
    </row>
    <row r="5080" spans="1:8" ht="25.05" customHeight="1" x14ac:dyDescent="0.25">
      <c r="A5080" s="2" t="s">
        <v>8</v>
      </c>
      <c r="B5080" s="2" t="str">
        <f>HYPERLINK("http://ts.21cn.com/tousu/show/id/1335890","恐吓侮辱威胁")</f>
        <v>恐吓侮辱威胁</v>
      </c>
      <c r="C5080" s="2" t="s">
        <v>9</v>
      </c>
      <c r="D5080" s="2" t="s">
        <v>10</v>
      </c>
      <c r="E5080" s="2" t="str">
        <f>HYPERLINK("http://ts.21cn.com/tousu/show/id/1335890","http://ts.21cn.com/tousu/show/id/1335890")</f>
        <v>http://ts.21cn.com/tousu/show/id/1335890</v>
      </c>
      <c r="F5080" s="2" t="s">
        <v>11</v>
      </c>
      <c r="G5080" s="2" t="s">
        <v>34159</v>
      </c>
      <c r="H5080" s="2" t="s">
        <v>34160</v>
      </c>
    </row>
    <row r="5081" spans="1:8" ht="25.05" customHeight="1" x14ac:dyDescent="0.25">
      <c r="A5081" s="2" t="s">
        <v>8</v>
      </c>
      <c r="B5081" s="2" t="str">
        <f>HYPERLINK("http://ts.21cn.com/tousu/show/id/1335891","网贷非法催收")</f>
        <v>网贷非法催收</v>
      </c>
      <c r="C5081" s="2" t="s">
        <v>9</v>
      </c>
      <c r="D5081" s="2" t="s">
        <v>10</v>
      </c>
      <c r="E5081" s="2" t="str">
        <f>HYPERLINK("http://ts.21cn.com/tousu/show/id/1335891","http://ts.21cn.com/tousu/show/id/1335891")</f>
        <v>http://ts.21cn.com/tousu/show/id/1335891</v>
      </c>
      <c r="F5081" s="2" t="s">
        <v>11</v>
      </c>
      <c r="G5081" s="2" t="s">
        <v>34157</v>
      </c>
      <c r="H5081" s="2" t="s">
        <v>34158</v>
      </c>
    </row>
    <row r="5082" spans="1:8" ht="25.05" customHeight="1" x14ac:dyDescent="0.25">
      <c r="A5082" s="2" t="s">
        <v>8</v>
      </c>
      <c r="B5082" s="2" t="str">
        <f>HYPERLINK("http://ts.21cn.com/tousu/show/id/1335892","逼我走投无路")</f>
        <v>逼我走投无路</v>
      </c>
      <c r="C5082" s="2" t="s">
        <v>9</v>
      </c>
      <c r="D5082" s="2" t="s">
        <v>10</v>
      </c>
      <c r="E5082" s="2" t="str">
        <f>HYPERLINK("http://ts.21cn.com/tousu/show/id/1335892","http://ts.21cn.com/tousu/show/id/1335892")</f>
        <v>http://ts.21cn.com/tousu/show/id/1335892</v>
      </c>
      <c r="F5082" s="2" t="s">
        <v>11</v>
      </c>
      <c r="G5082" s="2" t="s">
        <v>34155</v>
      </c>
      <c r="H5082" s="2" t="s">
        <v>34156</v>
      </c>
    </row>
    <row r="5083" spans="1:8" ht="25.05" customHeight="1" x14ac:dyDescent="0.25">
      <c r="A5083" s="2" t="s">
        <v>8</v>
      </c>
      <c r="B5083" s="2" t="str">
        <f>HYPERLINK("http://ts.21cn.com/tousu/show/id/1335893","玖富万卡高利息，骚扰电话不停")</f>
        <v>玖富万卡高利息，骚扰电话不停</v>
      </c>
      <c r="C5083" s="2" t="s">
        <v>9</v>
      </c>
      <c r="D5083" s="2" t="s">
        <v>10</v>
      </c>
      <c r="E5083" s="2" t="str">
        <f>HYPERLINK("http://ts.21cn.com/tousu/show/id/1335893","http://ts.21cn.com/tousu/show/id/1335893")</f>
        <v>http://ts.21cn.com/tousu/show/id/1335893</v>
      </c>
      <c r="F5083" s="2" t="s">
        <v>11</v>
      </c>
      <c r="G5083" s="2" t="s">
        <v>34153</v>
      </c>
      <c r="H5083" s="2" t="s">
        <v>34154</v>
      </c>
    </row>
    <row r="5084" spans="1:8" ht="25.05" customHeight="1" x14ac:dyDescent="0.25">
      <c r="A5084" s="2" t="s">
        <v>8</v>
      </c>
      <c r="B5084" s="2" t="str">
        <f>HYPERLINK("http://ts.21cn.com/tousu/show/id/1335896","钱站骚扰我家人")</f>
        <v>钱站骚扰我家人</v>
      </c>
      <c r="C5084" s="2" t="s">
        <v>9</v>
      </c>
      <c r="D5084" s="2" t="s">
        <v>10</v>
      </c>
      <c r="E5084" s="2" t="str">
        <f>HYPERLINK("http://ts.21cn.com/tousu/show/id/1335896","http://ts.21cn.com/tousu/show/id/1335896")</f>
        <v>http://ts.21cn.com/tousu/show/id/1335896</v>
      </c>
      <c r="F5084" s="2" t="s">
        <v>11</v>
      </c>
      <c r="G5084" s="2" t="s">
        <v>34151</v>
      </c>
      <c r="H5084" s="2" t="s">
        <v>34152</v>
      </c>
    </row>
    <row r="5085" spans="1:8" ht="25.05" customHeight="1" x14ac:dyDescent="0.25">
      <c r="A5085" s="2" t="s">
        <v>8</v>
      </c>
      <c r="B5085" s="2" t="str">
        <f>HYPERLINK("http://ts.21cn.com/tousu/show/id/1335897","高利息")</f>
        <v>高利息</v>
      </c>
      <c r="C5085" s="2" t="s">
        <v>9</v>
      </c>
      <c r="D5085" s="2" t="s">
        <v>10</v>
      </c>
      <c r="E5085" s="2" t="str">
        <f>HYPERLINK("http://ts.21cn.com/tousu/show/id/1335897","http://ts.21cn.com/tousu/show/id/1335897")</f>
        <v>http://ts.21cn.com/tousu/show/id/1335897</v>
      </c>
      <c r="F5085" s="2" t="s">
        <v>11</v>
      </c>
      <c r="G5085" s="2" t="s">
        <v>34149</v>
      </c>
      <c r="H5085" s="2" t="s">
        <v>34150</v>
      </c>
    </row>
    <row r="5086" spans="1:8" ht="25.05" customHeight="1" x14ac:dyDescent="0.25">
      <c r="A5086" s="2" t="s">
        <v>8</v>
      </c>
      <c r="B5086" s="2" t="str">
        <f>HYPERLINK("http://ts.21cn.com/tousu/show/id/1335898","王者钱包，谁在给他底气，提前协商还款，态度坚决")</f>
        <v>王者钱包，谁在给他底气，提前协商还款，态度坚决</v>
      </c>
      <c r="C5086" s="2" t="s">
        <v>9</v>
      </c>
      <c r="D5086" s="2" t="s">
        <v>10</v>
      </c>
      <c r="E5086" s="2" t="str">
        <f>HYPERLINK("http://ts.21cn.com/tousu/show/id/1335898","http://ts.21cn.com/tousu/show/id/1335898")</f>
        <v>http://ts.21cn.com/tousu/show/id/1335898</v>
      </c>
      <c r="F5086" s="2" t="s">
        <v>11</v>
      </c>
      <c r="G5086" s="2" t="s">
        <v>34147</v>
      </c>
      <c r="H5086" s="2" t="s">
        <v>34148</v>
      </c>
    </row>
    <row r="5087" spans="1:8" ht="25.05" customHeight="1" x14ac:dyDescent="0.25">
      <c r="A5087" s="2" t="s">
        <v>8</v>
      </c>
      <c r="B5087" s="2" t="str">
        <f>HYPERLINK("http://ts.21cn.com/tousu/show/id/1335899","盛POS机有欺诈消费者嫌疑")</f>
        <v>盛POS机有欺诈消费者嫌疑</v>
      </c>
      <c r="C5087" s="2" t="s">
        <v>9</v>
      </c>
      <c r="D5087" s="2" t="s">
        <v>10</v>
      </c>
      <c r="E5087" s="2" t="str">
        <f>HYPERLINK("http://ts.21cn.com/tousu/show/id/1335899","http://ts.21cn.com/tousu/show/id/1335899")</f>
        <v>http://ts.21cn.com/tousu/show/id/1335899</v>
      </c>
      <c r="F5087" s="2" t="s">
        <v>11</v>
      </c>
      <c r="G5087" s="2" t="s">
        <v>34145</v>
      </c>
      <c r="H5087" s="2" t="s">
        <v>34146</v>
      </c>
    </row>
    <row r="5088" spans="1:8" ht="25.05" customHeight="1" x14ac:dyDescent="0.25">
      <c r="A5088" s="2" t="s">
        <v>8</v>
      </c>
      <c r="B5088" s="2" t="str">
        <f>HYPERLINK("http://ts.21cn.com/tousu/show/id/1335900","自由魔卡六便士国庆节期间暴力催收")</f>
        <v>自由魔卡六便士国庆节期间暴力催收</v>
      </c>
      <c r="C5088" s="2" t="s">
        <v>9</v>
      </c>
      <c r="D5088" s="2" t="s">
        <v>10</v>
      </c>
      <c r="E5088" s="2" t="str">
        <f>HYPERLINK("http://ts.21cn.com/tousu/show/id/1335900","http://ts.21cn.com/tousu/show/id/1335900")</f>
        <v>http://ts.21cn.com/tousu/show/id/1335900</v>
      </c>
      <c r="F5088" s="2" t="s">
        <v>11</v>
      </c>
      <c r="G5088" s="2" t="s">
        <v>34143</v>
      </c>
      <c r="H5088" s="2" t="s">
        <v>34144</v>
      </c>
    </row>
    <row r="5089" spans="1:8" ht="25.05" customHeight="1" x14ac:dyDescent="0.25">
      <c r="A5089" s="2" t="s">
        <v>8</v>
      </c>
      <c r="B5089" s="2" t="str">
        <f>HYPERLINK("http://ts.21cn.com/tousu/show/id/1335901","骚扰，逼迫，恐吓")</f>
        <v>骚扰，逼迫，恐吓</v>
      </c>
      <c r="C5089" s="2" t="s">
        <v>9</v>
      </c>
      <c r="D5089" s="2" t="s">
        <v>10</v>
      </c>
      <c r="E5089" s="2" t="str">
        <f>HYPERLINK("http://ts.21cn.com/tousu/show/id/1335901","http://ts.21cn.com/tousu/show/id/1335901")</f>
        <v>http://ts.21cn.com/tousu/show/id/1335901</v>
      </c>
      <c r="F5089" s="2" t="s">
        <v>11</v>
      </c>
      <c r="G5089" s="2" t="s">
        <v>34141</v>
      </c>
      <c r="H5089" s="2" t="s">
        <v>34142</v>
      </c>
    </row>
    <row r="5090" spans="1:8" ht="25.05" customHeight="1" x14ac:dyDescent="0.25">
      <c r="A5090" s="2" t="s">
        <v>8</v>
      </c>
      <c r="B5090" s="2" t="str">
        <f>HYPERLINK("http://ts.21cn.com/tousu/show/id/1335902","有缘网私自扣用户钱款")</f>
        <v>有缘网私自扣用户钱款</v>
      </c>
      <c r="C5090" s="2" t="s">
        <v>9</v>
      </c>
      <c r="D5090" s="2" t="s">
        <v>10</v>
      </c>
      <c r="E5090" s="2" t="str">
        <f>HYPERLINK("http://ts.21cn.com/tousu/show/id/1335902","http://ts.21cn.com/tousu/show/id/1335902")</f>
        <v>http://ts.21cn.com/tousu/show/id/1335902</v>
      </c>
      <c r="F5090" s="2" t="s">
        <v>11</v>
      </c>
      <c r="G5090" s="2" t="s">
        <v>34139</v>
      </c>
      <c r="H5090" s="2" t="s">
        <v>34140</v>
      </c>
    </row>
    <row r="5091" spans="1:8" ht="25.05" customHeight="1" x14ac:dyDescent="0.25">
      <c r="A5091" s="2" t="s">
        <v>8</v>
      </c>
      <c r="B5091" s="2" t="str">
        <f>HYPERLINK("http://ts.21cn.com/tousu/show/id/1335903","要求调整利息，砍头贷")</f>
        <v>要求调整利息，砍头贷</v>
      </c>
      <c r="C5091" s="2" t="s">
        <v>9</v>
      </c>
      <c r="D5091" s="2" t="s">
        <v>10</v>
      </c>
      <c r="E5091" s="2" t="str">
        <f>HYPERLINK("http://ts.21cn.com/tousu/show/id/1335903","http://ts.21cn.com/tousu/show/id/1335903")</f>
        <v>http://ts.21cn.com/tousu/show/id/1335903</v>
      </c>
      <c r="F5091" s="2" t="s">
        <v>11</v>
      </c>
      <c r="G5091" s="2" t="s">
        <v>34137</v>
      </c>
      <c r="H5091" s="2" t="s">
        <v>34138</v>
      </c>
    </row>
    <row r="5092" spans="1:8" ht="25.05" customHeight="1" x14ac:dyDescent="0.25">
      <c r="A5092" s="2" t="s">
        <v>8</v>
      </c>
      <c r="B5092" s="2" t="str">
        <f>HYPERLINK("http://ts.21cn.com/tousu/show/id/1335904","你我贷提前还款收取高额费用")</f>
        <v>你我贷提前还款收取高额费用</v>
      </c>
      <c r="C5092" s="2" t="s">
        <v>9</v>
      </c>
      <c r="D5092" s="2" t="s">
        <v>10</v>
      </c>
      <c r="E5092" s="2" t="str">
        <f>HYPERLINK("http://ts.21cn.com/tousu/show/id/1335904","http://ts.21cn.com/tousu/show/id/1335904")</f>
        <v>http://ts.21cn.com/tousu/show/id/1335904</v>
      </c>
      <c r="F5092" s="2" t="s">
        <v>11</v>
      </c>
      <c r="G5092" s="2" t="s">
        <v>34135</v>
      </c>
      <c r="H5092" s="2" t="s">
        <v>34136</v>
      </c>
    </row>
    <row r="5093" spans="1:8" ht="25.05" customHeight="1" x14ac:dyDescent="0.25">
      <c r="A5093" s="2" t="s">
        <v>8</v>
      </c>
      <c r="B5093" s="2" t="str">
        <f>HYPERLINK("http://ts.21cn.com/tousu/show/id/1335905","打家人电话对家人造成影响")</f>
        <v>打家人电话对家人造成影响</v>
      </c>
      <c r="C5093" s="2" t="s">
        <v>9</v>
      </c>
      <c r="D5093" s="2" t="s">
        <v>10</v>
      </c>
      <c r="E5093" s="2" t="str">
        <f>HYPERLINK("http://ts.21cn.com/tousu/show/id/1335905","http://ts.21cn.com/tousu/show/id/1335905")</f>
        <v>http://ts.21cn.com/tousu/show/id/1335905</v>
      </c>
      <c r="F5093" s="2" t="s">
        <v>11</v>
      </c>
      <c r="G5093" s="2" t="s">
        <v>34133</v>
      </c>
      <c r="H5093" s="2" t="s">
        <v>34134</v>
      </c>
    </row>
    <row r="5094" spans="1:8" ht="25.05" customHeight="1" x14ac:dyDescent="0.25">
      <c r="A5094" s="2" t="s">
        <v>8</v>
      </c>
      <c r="B5094" s="2" t="str">
        <f>HYPERLINK("http://ts.21cn.com/tousu/show/id/1335909","交通银行暴力催收")</f>
        <v>交通银行暴力催收</v>
      </c>
      <c r="C5094" s="2" t="s">
        <v>9</v>
      </c>
      <c r="D5094" s="2" t="s">
        <v>10</v>
      </c>
      <c r="E5094" s="2" t="str">
        <f>HYPERLINK("http://ts.21cn.com/tousu/show/id/1335909","http://ts.21cn.com/tousu/show/id/1335909")</f>
        <v>http://ts.21cn.com/tousu/show/id/1335909</v>
      </c>
      <c r="F5094" s="2" t="s">
        <v>11</v>
      </c>
      <c r="G5094" s="2" t="s">
        <v>34131</v>
      </c>
      <c r="H5094" s="2" t="s">
        <v>34132</v>
      </c>
    </row>
    <row r="5095" spans="1:8" ht="25.05" customHeight="1" x14ac:dyDescent="0.25">
      <c r="A5095" s="2" t="s">
        <v>8</v>
      </c>
      <c r="B5095" s="2" t="str">
        <f>HYPERLINK("http://ts.21cn.com/tousu/show/id/1335907","垃圾短信骚扰我")</f>
        <v>垃圾短信骚扰我</v>
      </c>
      <c r="C5095" s="2" t="s">
        <v>9</v>
      </c>
      <c r="D5095" s="2" t="s">
        <v>10</v>
      </c>
      <c r="E5095" s="2" t="str">
        <f>HYPERLINK("http://ts.21cn.com/tousu/show/id/1335907","http://ts.21cn.com/tousu/show/id/1335907")</f>
        <v>http://ts.21cn.com/tousu/show/id/1335907</v>
      </c>
      <c r="F5095" s="2" t="s">
        <v>11</v>
      </c>
      <c r="G5095" s="2" t="s">
        <v>34129</v>
      </c>
      <c r="H5095" s="2" t="s">
        <v>34130</v>
      </c>
    </row>
    <row r="5096" spans="1:8" ht="25.05" customHeight="1" x14ac:dyDescent="0.25">
      <c r="A5096" s="2" t="s">
        <v>8</v>
      </c>
      <c r="B5096" s="2" t="str">
        <f>HYPERLINK("http://ts.21cn.com/tousu/show/id/1335908","投诉途虎")</f>
        <v>投诉途虎</v>
      </c>
      <c r="C5096" s="2" t="s">
        <v>9</v>
      </c>
      <c r="D5096" s="2" t="s">
        <v>10</v>
      </c>
      <c r="E5096" s="2" t="str">
        <f>HYPERLINK("http://ts.21cn.com/tousu/show/id/1335908","http://ts.21cn.com/tousu/show/id/1335908")</f>
        <v>http://ts.21cn.com/tousu/show/id/1335908</v>
      </c>
      <c r="F5096" s="2" t="s">
        <v>11</v>
      </c>
      <c r="G5096" s="2" t="s">
        <v>34127</v>
      </c>
      <c r="H5096" s="2" t="s">
        <v>34128</v>
      </c>
    </row>
    <row r="5097" spans="1:8" ht="25.05" customHeight="1" x14ac:dyDescent="0.25">
      <c r="A5097" s="2" t="s">
        <v>8</v>
      </c>
      <c r="B5097" s="2" t="str">
        <f>HYPERLINK("http://ts.21cn.com/tousu/show/id/1335910","钱站高利贷阴阳合同")</f>
        <v>钱站高利贷阴阳合同</v>
      </c>
      <c r="C5097" s="2" t="s">
        <v>9</v>
      </c>
      <c r="D5097" s="2" t="s">
        <v>10</v>
      </c>
      <c r="E5097" s="2" t="str">
        <f>HYPERLINK("http://ts.21cn.com/tousu/show/id/1335910","http://ts.21cn.com/tousu/show/id/1335910")</f>
        <v>http://ts.21cn.com/tousu/show/id/1335910</v>
      </c>
      <c r="F5097" s="2" t="s">
        <v>11</v>
      </c>
      <c r="G5097" s="2" t="s">
        <v>34125</v>
      </c>
      <c r="H5097" s="2" t="s">
        <v>34126</v>
      </c>
    </row>
    <row r="5098" spans="1:8" ht="25.05" customHeight="1" x14ac:dyDescent="0.25">
      <c r="A5098" s="2" t="s">
        <v>8</v>
      </c>
      <c r="B5098" s="2" t="str">
        <f>HYPERLINK("http://ts.21cn.com/tousu/show/id/1335911","胖胖有米高利贷砍头息暴力催收")</f>
        <v>胖胖有米高利贷砍头息暴力催收</v>
      </c>
      <c r="C5098" s="2" t="s">
        <v>9</v>
      </c>
      <c r="D5098" s="2" t="s">
        <v>10</v>
      </c>
      <c r="E5098" s="2" t="str">
        <f>HYPERLINK("http://ts.21cn.com/tousu/show/id/1335911","http://ts.21cn.com/tousu/show/id/1335911")</f>
        <v>http://ts.21cn.com/tousu/show/id/1335911</v>
      </c>
      <c r="F5098" s="2" t="s">
        <v>11</v>
      </c>
      <c r="G5098" s="2" t="s">
        <v>34123</v>
      </c>
      <c r="H5098" s="2" t="s">
        <v>34124</v>
      </c>
    </row>
    <row r="5099" spans="1:8" ht="25.05" customHeight="1" x14ac:dyDescent="0.25">
      <c r="A5099" s="2" t="s">
        <v>8</v>
      </c>
      <c r="B5099" s="2" t="str">
        <f>HYPERLINK("http://ts.21cn.com/tousu/show/id/1335913","京东白条延期还款")</f>
        <v>京东白条延期还款</v>
      </c>
      <c r="C5099" s="2" t="s">
        <v>9</v>
      </c>
      <c r="D5099" s="2" t="s">
        <v>10</v>
      </c>
      <c r="E5099" s="2" t="str">
        <f>HYPERLINK("http://ts.21cn.com/tousu/show/id/1335913","http://ts.21cn.com/tousu/show/id/1335913")</f>
        <v>http://ts.21cn.com/tousu/show/id/1335913</v>
      </c>
      <c r="F5099" s="2" t="s">
        <v>11</v>
      </c>
      <c r="G5099" s="2" t="s">
        <v>34121</v>
      </c>
      <c r="H5099" s="2" t="s">
        <v>34122</v>
      </c>
    </row>
    <row r="5100" spans="1:8" ht="25.05" customHeight="1" x14ac:dyDescent="0.25">
      <c r="A5100" s="2" t="s">
        <v>8</v>
      </c>
      <c r="B5100" s="2" t="str">
        <f>HYPERLINK("http://ts.21cn.com/tousu/show/id/1335914","欺诈")</f>
        <v>欺诈</v>
      </c>
      <c r="C5100" s="2" t="s">
        <v>9</v>
      </c>
      <c r="D5100" s="2" t="s">
        <v>10</v>
      </c>
      <c r="E5100" s="2" t="str">
        <f>HYPERLINK("http://ts.21cn.com/tousu/show/id/1335914","http://ts.21cn.com/tousu/show/id/1335914")</f>
        <v>http://ts.21cn.com/tousu/show/id/1335914</v>
      </c>
      <c r="F5100" s="2" t="s">
        <v>11</v>
      </c>
      <c r="G5100" s="2" t="s">
        <v>34119</v>
      </c>
      <c r="H5100" s="2" t="s">
        <v>34120</v>
      </c>
    </row>
    <row r="5101" spans="1:8" ht="25.05" customHeight="1" x14ac:dyDescent="0.25">
      <c r="A5101" s="2" t="s">
        <v>8</v>
      </c>
      <c r="B5101" s="2" t="str">
        <f>HYPERLINK("http://ts.21cn.com/tousu/show/id/1335895","优钱花诱导用户办会员，说的和做的完全两个现象")</f>
        <v>优钱花诱导用户办会员，说的和做的完全两个现象</v>
      </c>
      <c r="C5101" s="2" t="s">
        <v>9</v>
      </c>
      <c r="D5101" s="2" t="s">
        <v>10</v>
      </c>
      <c r="E5101" s="2" t="str">
        <f>HYPERLINK("http://ts.21cn.com/tousu/show/id/1335895","http://ts.21cn.com/tousu/show/id/1335895")</f>
        <v>http://ts.21cn.com/tousu/show/id/1335895</v>
      </c>
      <c r="F5101" s="2" t="s">
        <v>11</v>
      </c>
      <c r="G5101" s="2" t="s">
        <v>34118</v>
      </c>
      <c r="H5101" s="2" t="s">
        <v>31043</v>
      </c>
    </row>
    <row r="5102" spans="1:8" ht="25.05" customHeight="1" x14ac:dyDescent="0.25">
      <c r="A5102" s="2" t="s">
        <v>8</v>
      </c>
      <c r="B5102" s="2" t="str">
        <f>HYPERLINK("http://ts.21cn.com/tousu/show/id/1335894","即有分期变态利率与恶性催收")</f>
        <v>即有分期变态利率与恶性催收</v>
      </c>
      <c r="C5102" s="2" t="s">
        <v>34</v>
      </c>
      <c r="D5102" s="2" t="s">
        <v>10</v>
      </c>
      <c r="E5102" s="2" t="str">
        <f>HYPERLINK("http://ts.21cn.com/tousu/show/id/1335894","http://ts.21cn.com/tousu/show/id/1335894")</f>
        <v>http://ts.21cn.com/tousu/show/id/1335894</v>
      </c>
      <c r="F5102" s="2" t="s">
        <v>11</v>
      </c>
      <c r="G5102" s="2" t="s">
        <v>34116</v>
      </c>
      <c r="H5102" s="2" t="s">
        <v>34117</v>
      </c>
    </row>
    <row r="5103" spans="1:8" ht="25.05" customHeight="1" x14ac:dyDescent="0.25">
      <c r="A5103" s="2" t="s">
        <v>8</v>
      </c>
      <c r="B5103" s="2" t="str">
        <f>HYPERLINK("http://ts.21cn.com/tousu/show/id/1335916","不能注销账户")</f>
        <v>不能注销账户</v>
      </c>
      <c r="C5103" s="2" t="s">
        <v>34</v>
      </c>
      <c r="D5103" s="2" t="s">
        <v>10</v>
      </c>
      <c r="E5103" s="2" t="str">
        <f>HYPERLINK("http://ts.21cn.com/tousu/show/id/1335916","http://ts.21cn.com/tousu/show/id/1335916")</f>
        <v>http://ts.21cn.com/tousu/show/id/1335916</v>
      </c>
      <c r="F5103" s="2" t="s">
        <v>11</v>
      </c>
      <c r="G5103" s="2" t="s">
        <v>34114</v>
      </c>
      <c r="H5103" s="2" t="s">
        <v>34115</v>
      </c>
    </row>
    <row r="5104" spans="1:8" ht="25.05" customHeight="1" x14ac:dyDescent="0.25">
      <c r="A5104" s="2" t="s">
        <v>8</v>
      </c>
      <c r="B5104" s="2" t="str">
        <f>HYPERLINK("http://ts.21cn.com/tousu/show/id/1335917","广州富能网络科技有限公司非法从事证券行业虚拟公司虚拟平台")</f>
        <v>广州富能网络科技有限公司非法从事证券行业虚拟公司虚拟平台</v>
      </c>
      <c r="C5104" s="2" t="s">
        <v>9</v>
      </c>
      <c r="D5104" s="2" t="s">
        <v>10</v>
      </c>
      <c r="E5104" s="2" t="str">
        <f>HYPERLINK("http://ts.21cn.com/tousu/show/id/1335917","http://ts.21cn.com/tousu/show/id/1335917")</f>
        <v>http://ts.21cn.com/tousu/show/id/1335917</v>
      </c>
      <c r="F5104" s="2" t="s">
        <v>11</v>
      </c>
      <c r="G5104" s="2" t="s">
        <v>34112</v>
      </c>
      <c r="H5104" s="2" t="s">
        <v>34113</v>
      </c>
    </row>
    <row r="5105" spans="1:8" ht="25.05" customHeight="1" x14ac:dyDescent="0.25">
      <c r="A5105" s="2" t="s">
        <v>8</v>
      </c>
      <c r="B5105" s="2" t="str">
        <f>HYPERLINK("http://ts.21cn.com/tousu/show/id/1335919","我要在尚德机构退学她们不予许")</f>
        <v>我要在尚德机构退学她们不予许</v>
      </c>
      <c r="C5105" s="2" t="s">
        <v>9</v>
      </c>
      <c r="D5105" s="2" t="s">
        <v>10</v>
      </c>
      <c r="E5105" s="2" t="str">
        <f>HYPERLINK("http://ts.21cn.com/tousu/show/id/1335919","http://ts.21cn.com/tousu/show/id/1335919")</f>
        <v>http://ts.21cn.com/tousu/show/id/1335919</v>
      </c>
      <c r="F5105" s="2" t="s">
        <v>11</v>
      </c>
      <c r="G5105" s="2" t="s">
        <v>34110</v>
      </c>
      <c r="H5105" s="2" t="s">
        <v>34111</v>
      </c>
    </row>
    <row r="5106" spans="1:8" ht="25.05" customHeight="1" x14ac:dyDescent="0.25">
      <c r="A5106" s="2" t="s">
        <v>8</v>
      </c>
      <c r="B5106" s="2" t="str">
        <f>HYPERLINK("http://ts.21cn.com/tousu/show/id/1335920","豹子贷私自扣费后不退款")</f>
        <v>豹子贷私自扣费后不退款</v>
      </c>
      <c r="C5106" s="2" t="s">
        <v>9</v>
      </c>
      <c r="D5106" s="2" t="s">
        <v>10</v>
      </c>
      <c r="E5106" s="2" t="str">
        <f>HYPERLINK("http://ts.21cn.com/tousu/show/id/1335920","http://ts.21cn.com/tousu/show/id/1335920")</f>
        <v>http://ts.21cn.com/tousu/show/id/1335920</v>
      </c>
      <c r="F5106" s="2" t="s">
        <v>11</v>
      </c>
      <c r="G5106" s="2" t="s">
        <v>34108</v>
      </c>
      <c r="H5106" s="2" t="s">
        <v>34109</v>
      </c>
    </row>
    <row r="5107" spans="1:8" ht="25.05" customHeight="1" x14ac:dyDescent="0.25">
      <c r="A5107" s="2" t="s">
        <v>8</v>
      </c>
      <c r="B5107" s="2" t="str">
        <f>HYPERLINK("http://ts.21cn.com/tousu/show/id/1335922","钱站高利贷阴阳合同暴力催收")</f>
        <v>钱站高利贷阴阳合同暴力催收</v>
      </c>
      <c r="C5107" s="2" t="s">
        <v>9</v>
      </c>
      <c r="D5107" s="2" t="s">
        <v>10</v>
      </c>
      <c r="E5107" s="2" t="str">
        <f>HYPERLINK("http://ts.21cn.com/tousu/show/id/1335922","http://ts.21cn.com/tousu/show/id/1335922")</f>
        <v>http://ts.21cn.com/tousu/show/id/1335922</v>
      </c>
      <c r="F5107" s="2" t="s">
        <v>11</v>
      </c>
      <c r="G5107" s="2" t="s">
        <v>34106</v>
      </c>
      <c r="H5107" s="2" t="s">
        <v>34107</v>
      </c>
    </row>
    <row r="5108" spans="1:8" ht="25.05" customHeight="1" x14ac:dyDescent="0.25">
      <c r="A5108" s="2" t="s">
        <v>8</v>
      </c>
      <c r="B5108" s="2" t="str">
        <f>HYPERLINK("http://ts.21cn.com/tousu/show/id/1335921","月光侠高利贷")</f>
        <v>月光侠高利贷</v>
      </c>
      <c r="C5108" s="2" t="s">
        <v>9</v>
      </c>
      <c r="D5108" s="2" t="s">
        <v>10</v>
      </c>
      <c r="E5108" s="2" t="str">
        <f>HYPERLINK("http://ts.21cn.com/tousu/show/id/1335921","http://ts.21cn.com/tousu/show/id/1335921")</f>
        <v>http://ts.21cn.com/tousu/show/id/1335921</v>
      </c>
      <c r="F5108" s="2" t="s">
        <v>11</v>
      </c>
      <c r="G5108" s="2" t="s">
        <v>34104</v>
      </c>
      <c r="H5108" s="2" t="s">
        <v>34105</v>
      </c>
    </row>
    <row r="5109" spans="1:8" ht="25.05" customHeight="1" x14ac:dyDescent="0.25">
      <c r="A5109" s="2" t="s">
        <v>8</v>
      </c>
      <c r="B5109" s="2" t="str">
        <f>HYPERLINK("http://ts.21cn.com/tousu/show/id/1335923","考拉海购买包包拒绝退货")</f>
        <v>考拉海购买包包拒绝退货</v>
      </c>
      <c r="C5109" s="2" t="s">
        <v>9</v>
      </c>
      <c r="D5109" s="2" t="s">
        <v>10</v>
      </c>
      <c r="E5109" s="2" t="str">
        <f>HYPERLINK("http://ts.21cn.com/tousu/show/id/1335923","http://ts.21cn.com/tousu/show/id/1335923")</f>
        <v>http://ts.21cn.com/tousu/show/id/1335923</v>
      </c>
      <c r="F5109" s="2" t="s">
        <v>11</v>
      </c>
      <c r="G5109" s="2" t="s">
        <v>34102</v>
      </c>
      <c r="H5109" s="2" t="s">
        <v>34103</v>
      </c>
    </row>
    <row r="5110" spans="1:8" ht="25.05" customHeight="1" x14ac:dyDescent="0.25">
      <c r="A5110" s="2" t="s">
        <v>8</v>
      </c>
      <c r="B5110" s="2" t="str">
        <f>HYPERLINK("http://ts.21cn.com/tousu/show/id/1335924","逾期协商不同意，利息都是9000多，一共贷了17500，")</f>
        <v>逾期协商不同意，利息都是9000多，一共贷了17500，</v>
      </c>
      <c r="C5110" s="2" t="s">
        <v>9</v>
      </c>
      <c r="D5110" s="2" t="s">
        <v>10</v>
      </c>
      <c r="E5110" s="2" t="str">
        <f>HYPERLINK("http://ts.21cn.com/tousu/show/id/1335924","http://ts.21cn.com/tousu/show/id/1335924")</f>
        <v>http://ts.21cn.com/tousu/show/id/1335924</v>
      </c>
      <c r="F5110" s="2" t="s">
        <v>11</v>
      </c>
      <c r="G5110" s="2" t="s">
        <v>34100</v>
      </c>
      <c r="H5110" s="2" t="s">
        <v>34101</v>
      </c>
    </row>
    <row r="5111" spans="1:8" ht="25.05" customHeight="1" x14ac:dyDescent="0.25">
      <c r="A5111" s="2" t="s">
        <v>8</v>
      </c>
      <c r="B5111" s="2" t="str">
        <f>HYPERLINK("http://ts.21cn.com/tousu/show/id/1335926","聚富分期高额前期")</f>
        <v>聚富分期高额前期</v>
      </c>
      <c r="C5111" s="2" t="s">
        <v>9</v>
      </c>
      <c r="D5111" s="2" t="s">
        <v>10</v>
      </c>
      <c r="E5111" s="2" t="str">
        <f>HYPERLINK("http://ts.21cn.com/tousu/show/id/1335926","http://ts.21cn.com/tousu/show/id/1335926")</f>
        <v>http://ts.21cn.com/tousu/show/id/1335926</v>
      </c>
      <c r="F5111" s="2" t="s">
        <v>11</v>
      </c>
      <c r="G5111" s="2" t="s">
        <v>34098</v>
      </c>
      <c r="H5111" s="2" t="s">
        <v>34099</v>
      </c>
    </row>
    <row r="5112" spans="1:8" ht="25.05" customHeight="1" x14ac:dyDescent="0.25">
      <c r="A5112" s="2" t="s">
        <v>8</v>
      </c>
      <c r="B5112" s="2" t="str">
        <f>HYPERLINK("http://ts.21cn.com/tousu/show/id/1335928","嗨钱网还款了不入账一直显示逾期")</f>
        <v>嗨钱网还款了不入账一直显示逾期</v>
      </c>
      <c r="C5112" s="2" t="s">
        <v>9</v>
      </c>
      <c r="D5112" s="2" t="s">
        <v>10</v>
      </c>
      <c r="E5112" s="2" t="str">
        <f>HYPERLINK("http://ts.21cn.com/tousu/show/id/1335928","http://ts.21cn.com/tousu/show/id/1335928")</f>
        <v>http://ts.21cn.com/tousu/show/id/1335928</v>
      </c>
      <c r="F5112" s="2" t="s">
        <v>11</v>
      </c>
      <c r="G5112" s="2" t="s">
        <v>34096</v>
      </c>
      <c r="H5112" s="2" t="s">
        <v>34097</v>
      </c>
    </row>
    <row r="5113" spans="1:8" ht="25.05" customHeight="1" x14ac:dyDescent="0.25">
      <c r="A5113" s="2" t="s">
        <v>8</v>
      </c>
      <c r="B5113" s="2" t="str">
        <f>HYPERLINK("http://ts.21cn.com/tousu/show/id/1247822","广州方鸿网络科技有限公司非法配资集资虚拟平台没有实际公司")</f>
        <v>广州方鸿网络科技有限公司非法配资集资虚拟平台没有实际公司</v>
      </c>
      <c r="C5113" s="2" t="s">
        <v>9</v>
      </c>
      <c r="D5113" s="2" t="s">
        <v>10</v>
      </c>
      <c r="E5113" s="2" t="str">
        <f>HYPERLINK("http://ts.21cn.com/tousu/show/id/1247822","http://ts.21cn.com/tousu/show/id/1247822")</f>
        <v>http://ts.21cn.com/tousu/show/id/1247822</v>
      </c>
      <c r="F5113" s="2" t="s">
        <v>11</v>
      </c>
      <c r="G5113" s="2" t="s">
        <v>34094</v>
      </c>
      <c r="H5113" s="2" t="s">
        <v>34095</v>
      </c>
    </row>
    <row r="5114" spans="1:8" ht="25.05" customHeight="1" x14ac:dyDescent="0.25">
      <c r="A5114" s="2" t="s">
        <v>8</v>
      </c>
      <c r="B5114" s="2" t="str">
        <f>HYPERLINK("http://ts.21cn.com/tousu/show/id/1335929","请求返还我50元罚款钱，并付给我18.8元的接单费")</f>
        <v>请求返还我50元罚款钱，并付给我18.8元的接单费</v>
      </c>
      <c r="C5114" s="2" t="s">
        <v>9</v>
      </c>
      <c r="D5114" s="2" t="s">
        <v>10</v>
      </c>
      <c r="E5114" s="2" t="str">
        <f>HYPERLINK("http://ts.21cn.com/tousu/show/id/1335929","http://ts.21cn.com/tousu/show/id/1335929")</f>
        <v>http://ts.21cn.com/tousu/show/id/1335929</v>
      </c>
      <c r="F5114" s="2" t="s">
        <v>11</v>
      </c>
      <c r="G5114" s="2" t="s">
        <v>34092</v>
      </c>
      <c r="H5114" s="2" t="s">
        <v>34093</v>
      </c>
    </row>
    <row r="5115" spans="1:8" ht="25.05" customHeight="1" x14ac:dyDescent="0.25">
      <c r="A5115" s="2" t="s">
        <v>8</v>
      </c>
      <c r="B5115" s="2" t="str">
        <f>HYPERLINK("http://ts.21cn.com/tousu/show/id/1335930","买商铺10万定金想退回，没签合同，只有一张收据")</f>
        <v>买商铺10万定金想退回，没签合同，只有一张收据</v>
      </c>
      <c r="C5115" s="2" t="s">
        <v>34</v>
      </c>
      <c r="D5115" s="2" t="s">
        <v>10</v>
      </c>
      <c r="E5115" s="2" t="str">
        <f>HYPERLINK("http://ts.21cn.com/tousu/show/id/1335930","http://ts.21cn.com/tousu/show/id/1335930")</f>
        <v>http://ts.21cn.com/tousu/show/id/1335930</v>
      </c>
      <c r="F5115" s="2" t="s">
        <v>11</v>
      </c>
      <c r="G5115" s="2" t="s">
        <v>34090</v>
      </c>
      <c r="H5115" s="2" t="s">
        <v>34091</v>
      </c>
    </row>
    <row r="5116" spans="1:8" ht="25.05" customHeight="1" x14ac:dyDescent="0.25">
      <c r="A5116" s="2" t="s">
        <v>8</v>
      </c>
      <c r="B5116" s="2" t="str">
        <f>HYPERLINK("http://ts.21cn.com/tousu/show/id/1335931","安心记加班里借款一千元延期费差不多高于本金")</f>
        <v>安心记加班里借款一千元延期费差不多高于本金</v>
      </c>
      <c r="C5116" s="2" t="s">
        <v>9</v>
      </c>
      <c r="D5116" s="2" t="s">
        <v>10</v>
      </c>
      <c r="E5116" s="2" t="str">
        <f>HYPERLINK("http://ts.21cn.com/tousu/show/id/1335931","http://ts.21cn.com/tousu/show/id/1335931")</f>
        <v>http://ts.21cn.com/tousu/show/id/1335931</v>
      </c>
      <c r="F5116" s="2" t="s">
        <v>11</v>
      </c>
      <c r="G5116" s="2" t="s">
        <v>34088</v>
      </c>
      <c r="H5116" s="2" t="s">
        <v>34089</v>
      </c>
    </row>
    <row r="5117" spans="1:8" ht="25.05" customHeight="1" x14ac:dyDescent="0.25">
      <c r="A5117" s="2" t="s">
        <v>8</v>
      </c>
      <c r="B5117" s="2" t="str">
        <f>HYPERLINK("http://ts.21cn.com/tousu/show/id/1335932","平安普惠贷款隐瞒隐藏并强制收取高额保险费管理费投诉事宜")</f>
        <v>平安普惠贷款隐瞒隐藏并强制收取高额保险费管理费投诉事宜</v>
      </c>
      <c r="C5117" s="2" t="s">
        <v>9</v>
      </c>
      <c r="D5117" s="2" t="s">
        <v>10</v>
      </c>
      <c r="E5117" s="2" t="str">
        <f>HYPERLINK("http://ts.21cn.com/tousu/show/id/1335932","http://ts.21cn.com/tousu/show/id/1335932")</f>
        <v>http://ts.21cn.com/tousu/show/id/1335932</v>
      </c>
      <c r="F5117" s="2" t="s">
        <v>11</v>
      </c>
      <c r="G5117" s="2" t="s">
        <v>34086</v>
      </c>
      <c r="H5117" s="2" t="s">
        <v>34087</v>
      </c>
    </row>
    <row r="5118" spans="1:8" ht="25.05" customHeight="1" x14ac:dyDescent="0.25">
      <c r="A5118" s="2" t="s">
        <v>8</v>
      </c>
      <c r="B5118" s="2" t="str">
        <f>HYPERLINK("http://ts.21cn.com/tousu/show/id/1335933","微信商业版8万多元资金被冻结，处罚除退款外除资金权限")</f>
        <v>微信商业版8万多元资金被冻结，处罚除退款外除资金权限</v>
      </c>
      <c r="C5118" s="2" t="s">
        <v>9</v>
      </c>
      <c r="D5118" s="2" t="s">
        <v>10</v>
      </c>
      <c r="E5118" s="2" t="str">
        <f>HYPERLINK("http://ts.21cn.com/tousu/show/id/1335933","http://ts.21cn.com/tousu/show/id/1335933")</f>
        <v>http://ts.21cn.com/tousu/show/id/1335933</v>
      </c>
      <c r="F5118" s="2" t="s">
        <v>11</v>
      </c>
      <c r="G5118" s="2" t="s">
        <v>34084</v>
      </c>
      <c r="H5118" s="2" t="s">
        <v>34085</v>
      </c>
    </row>
    <row r="5119" spans="1:8" ht="25.05" customHeight="1" x14ac:dyDescent="0.25">
      <c r="A5119" s="2" t="s">
        <v>8</v>
      </c>
      <c r="B5119" s="2" t="str">
        <f>HYPERLINK("http://ts.21cn.com/tousu/show/id/1335934","退款")</f>
        <v>退款</v>
      </c>
      <c r="C5119" s="2" t="s">
        <v>9</v>
      </c>
      <c r="D5119" s="2" t="s">
        <v>10</v>
      </c>
      <c r="E5119" s="2" t="str">
        <f>HYPERLINK("http://ts.21cn.com/tousu/show/id/1335934","http://ts.21cn.com/tousu/show/id/1335934")</f>
        <v>http://ts.21cn.com/tousu/show/id/1335934</v>
      </c>
      <c r="F5119" s="2" t="s">
        <v>11</v>
      </c>
      <c r="G5119" s="2" t="s">
        <v>34082</v>
      </c>
      <c r="H5119" s="2" t="s">
        <v>34083</v>
      </c>
    </row>
    <row r="5120" spans="1:8" ht="25.05" customHeight="1" x14ac:dyDescent="0.25">
      <c r="A5120" s="2" t="s">
        <v>8</v>
      </c>
      <c r="B5120" s="2" t="str">
        <f>HYPERLINK("http://ts.21cn.com/tousu/show/id/1335935","高铁管家恶意扣款")</f>
        <v>高铁管家恶意扣款</v>
      </c>
      <c r="C5120" s="2" t="s">
        <v>9</v>
      </c>
      <c r="D5120" s="2" t="s">
        <v>10</v>
      </c>
      <c r="E5120" s="2" t="str">
        <f>HYPERLINK("http://ts.21cn.com/tousu/show/id/1335935","http://ts.21cn.com/tousu/show/id/1335935")</f>
        <v>http://ts.21cn.com/tousu/show/id/1335935</v>
      </c>
      <c r="F5120" s="2" t="s">
        <v>11</v>
      </c>
      <c r="G5120" s="2" t="s">
        <v>34080</v>
      </c>
      <c r="H5120" s="2" t="s">
        <v>34081</v>
      </c>
    </row>
    <row r="5121" spans="1:8" ht="25.05" customHeight="1" x14ac:dyDescent="0.25">
      <c r="A5121" s="2" t="s">
        <v>8</v>
      </c>
      <c r="B5121" s="2" t="str">
        <f>HYPERLINK("http://ts.21cn.com/tousu/show/id/1335936","高利货小赢卡货")</f>
        <v>高利货小赢卡货</v>
      </c>
      <c r="C5121" s="2" t="s">
        <v>9</v>
      </c>
      <c r="D5121" s="2" t="s">
        <v>10</v>
      </c>
      <c r="E5121" s="2" t="str">
        <f>HYPERLINK("http://ts.21cn.com/tousu/show/id/1335936","http://ts.21cn.com/tousu/show/id/1335936")</f>
        <v>http://ts.21cn.com/tousu/show/id/1335936</v>
      </c>
      <c r="F5121" s="2" t="s">
        <v>11</v>
      </c>
      <c r="G5121" s="2" t="s">
        <v>34078</v>
      </c>
      <c r="H5121" s="2" t="s">
        <v>34079</v>
      </c>
    </row>
    <row r="5122" spans="1:8" ht="25.05" customHeight="1" x14ac:dyDescent="0.25">
      <c r="A5122" s="2" t="s">
        <v>8</v>
      </c>
      <c r="B5122" s="2" t="str">
        <f>HYPERLINK("http://ts.21cn.com/tousu/show/id/1335937","拼多多（30天省钱月卡）涉嫌欺诈，并自动开通免密支付，未经过本人确认悄悄付款")</f>
        <v>拼多多（30天省钱月卡）涉嫌欺诈，并自动开通免密支付，未经过本人确认悄悄付款</v>
      </c>
      <c r="C5122" s="2" t="s">
        <v>9</v>
      </c>
      <c r="D5122" s="2" t="s">
        <v>10</v>
      </c>
      <c r="E5122" s="2" t="str">
        <f>HYPERLINK("http://ts.21cn.com/tousu/show/id/1335937","http://ts.21cn.com/tousu/show/id/1335937")</f>
        <v>http://ts.21cn.com/tousu/show/id/1335937</v>
      </c>
      <c r="F5122" s="2" t="s">
        <v>11</v>
      </c>
      <c r="G5122" s="2" t="s">
        <v>34076</v>
      </c>
      <c r="H5122" s="2" t="s">
        <v>34077</v>
      </c>
    </row>
    <row r="5123" spans="1:8" ht="25.05" customHeight="1" x14ac:dyDescent="0.25">
      <c r="A5123" s="2" t="s">
        <v>8</v>
      </c>
      <c r="B5123" s="2" t="str">
        <f>HYPERLINK("http://ts.21cn.com/tousu/show/id/1335938","小浦优客未经同意扣款")</f>
        <v>小浦优客未经同意扣款</v>
      </c>
      <c r="C5123" s="2" t="s">
        <v>34</v>
      </c>
      <c r="D5123" s="2" t="s">
        <v>10</v>
      </c>
      <c r="E5123" s="2" t="str">
        <f>HYPERLINK("http://ts.21cn.com/tousu/show/id/1335938","http://ts.21cn.com/tousu/show/id/1335938")</f>
        <v>http://ts.21cn.com/tousu/show/id/1335938</v>
      </c>
      <c r="F5123" s="2" t="s">
        <v>11</v>
      </c>
      <c r="G5123" s="2" t="s">
        <v>34074</v>
      </c>
      <c r="H5123" s="2" t="s">
        <v>34075</v>
      </c>
    </row>
    <row r="5124" spans="1:8" ht="25.05" customHeight="1" x14ac:dyDescent="0.25">
      <c r="A5124" s="2" t="s">
        <v>8</v>
      </c>
      <c r="B5124" s="2" t="str">
        <f>HYPERLINK("http://ts.21cn.com/tousu/show/id/1335940","小沃科技TV未经过机主同意开通收费项目")</f>
        <v>小沃科技TV未经过机主同意开通收费项目</v>
      </c>
      <c r="C5124" s="2" t="s">
        <v>9</v>
      </c>
      <c r="D5124" s="2" t="s">
        <v>10</v>
      </c>
      <c r="E5124" s="2" t="str">
        <f>HYPERLINK("http://ts.21cn.com/tousu/show/id/1335940","http://ts.21cn.com/tousu/show/id/1335940")</f>
        <v>http://ts.21cn.com/tousu/show/id/1335940</v>
      </c>
      <c r="F5124" s="2" t="s">
        <v>11</v>
      </c>
      <c r="G5124" s="2" t="s">
        <v>34072</v>
      </c>
      <c r="H5124" s="2" t="s">
        <v>34073</v>
      </c>
    </row>
    <row r="5125" spans="1:8" ht="25.05" customHeight="1" x14ac:dyDescent="0.25">
      <c r="A5125" s="2" t="s">
        <v>8</v>
      </c>
      <c r="B5125" s="2" t="str">
        <f>HYPERLINK("http://ts.21cn.com/tousu/show/id/1335939","捷信高利息")</f>
        <v>捷信高利息</v>
      </c>
      <c r="C5125" s="2" t="s">
        <v>9</v>
      </c>
      <c r="D5125" s="2" t="s">
        <v>10</v>
      </c>
      <c r="E5125" s="2" t="str">
        <f>HYPERLINK("http://ts.21cn.com/tousu/show/id/1335939","http://ts.21cn.com/tousu/show/id/1335939")</f>
        <v>http://ts.21cn.com/tousu/show/id/1335939</v>
      </c>
      <c r="F5125" s="2" t="s">
        <v>11</v>
      </c>
      <c r="G5125" s="2" t="s">
        <v>34070</v>
      </c>
      <c r="H5125" s="2" t="s">
        <v>34071</v>
      </c>
    </row>
    <row r="5126" spans="1:8" ht="25.05" customHeight="1" x14ac:dyDescent="0.25">
      <c r="A5126" s="2" t="s">
        <v>8</v>
      </c>
      <c r="B5126" s="2" t="str">
        <f>HYPERLINK("http://ts.21cn.com/tousu/show/id/1335941","威胁打电话给父母，工作单位领导")</f>
        <v>威胁打电话给父母，工作单位领导</v>
      </c>
      <c r="C5126" s="2" t="s">
        <v>9</v>
      </c>
      <c r="D5126" s="2" t="s">
        <v>10</v>
      </c>
      <c r="E5126" s="2" t="str">
        <f>HYPERLINK("http://ts.21cn.com/tousu/show/id/1335941","http://ts.21cn.com/tousu/show/id/1335941")</f>
        <v>http://ts.21cn.com/tousu/show/id/1335941</v>
      </c>
      <c r="F5126" s="2" t="s">
        <v>11</v>
      </c>
      <c r="G5126" s="2" t="s">
        <v>34068</v>
      </c>
      <c r="H5126" s="2" t="s">
        <v>34069</v>
      </c>
    </row>
    <row r="5127" spans="1:8" ht="25.05" customHeight="1" x14ac:dyDescent="0.25">
      <c r="A5127" s="2" t="s">
        <v>8</v>
      </c>
      <c r="B5127" s="2" t="str">
        <f>HYPERLINK("http://ts.21cn.com/tousu/show/id/1335943","拍拍贷高利率")</f>
        <v>拍拍贷高利率</v>
      </c>
      <c r="C5127" s="2" t="s">
        <v>34</v>
      </c>
      <c r="D5127" s="2" t="s">
        <v>10</v>
      </c>
      <c r="E5127" s="2" t="str">
        <f>HYPERLINK("http://ts.21cn.com/tousu/show/id/1335943","http://ts.21cn.com/tousu/show/id/1335943")</f>
        <v>http://ts.21cn.com/tousu/show/id/1335943</v>
      </c>
      <c r="F5127" s="2" t="s">
        <v>11</v>
      </c>
      <c r="G5127" s="2" t="s">
        <v>34066</v>
      </c>
      <c r="H5127" s="2" t="s">
        <v>34067</v>
      </c>
    </row>
    <row r="5128" spans="1:8" ht="25.05" customHeight="1" x14ac:dyDescent="0.25">
      <c r="A5128" s="2" t="s">
        <v>8</v>
      </c>
      <c r="B5128" s="2" t="str">
        <f>HYPERLINK("http://ts.21cn.com/tousu/show/id/1335942","玖富万卡高利贷暴力催收")</f>
        <v>玖富万卡高利贷暴力催收</v>
      </c>
      <c r="C5128" s="2" t="s">
        <v>9</v>
      </c>
      <c r="D5128" s="2" t="s">
        <v>10</v>
      </c>
      <c r="E5128" s="2" t="str">
        <f>HYPERLINK("http://ts.21cn.com/tousu/show/id/1335942","http://ts.21cn.com/tousu/show/id/1335942")</f>
        <v>http://ts.21cn.com/tousu/show/id/1335942</v>
      </c>
      <c r="F5128" s="2" t="s">
        <v>11</v>
      </c>
      <c r="G5128" s="2" t="s">
        <v>34064</v>
      </c>
      <c r="H5128" s="2" t="s">
        <v>34065</v>
      </c>
    </row>
    <row r="5129" spans="1:8" ht="25.05" customHeight="1" x14ac:dyDescent="0.25">
      <c r="A5129" s="2" t="s">
        <v>8</v>
      </c>
      <c r="B5129" s="2" t="str">
        <f>HYPERLINK("http://ts.21cn.com/tousu/show/id/1335944","爱钱进整存宝转让债权难，140天转让期")</f>
        <v>爱钱进整存宝转让债权难，140天转让期</v>
      </c>
      <c r="C5129" s="2" t="s">
        <v>9</v>
      </c>
      <c r="D5129" s="2" t="s">
        <v>10</v>
      </c>
      <c r="E5129" s="2" t="str">
        <f>HYPERLINK("http://ts.21cn.com/tousu/show/id/1335944","http://ts.21cn.com/tousu/show/id/1335944")</f>
        <v>http://ts.21cn.com/tousu/show/id/1335944</v>
      </c>
      <c r="F5129" s="2" t="s">
        <v>11</v>
      </c>
      <c r="G5129" s="2" t="s">
        <v>34062</v>
      </c>
      <c r="H5129" s="2" t="s">
        <v>34063</v>
      </c>
    </row>
    <row r="5130" spans="1:8" ht="25.05" customHeight="1" x14ac:dyDescent="0.25">
      <c r="A5130" s="2" t="s">
        <v>8</v>
      </c>
      <c r="B5130" s="2" t="str">
        <f>HYPERLINK("http://ts.21cn.com/tousu/show/id/1335946","宙斯钱包高利息，一天逾期费600，")</f>
        <v>宙斯钱包高利息，一天逾期费600，</v>
      </c>
      <c r="C5130" s="2" t="s">
        <v>9</v>
      </c>
      <c r="D5130" s="2" t="s">
        <v>10</v>
      </c>
      <c r="E5130" s="2" t="str">
        <f>HYPERLINK("http://ts.21cn.com/tousu/show/id/1335946","http://ts.21cn.com/tousu/show/id/1335946")</f>
        <v>http://ts.21cn.com/tousu/show/id/1335946</v>
      </c>
      <c r="F5130" s="2" t="s">
        <v>11</v>
      </c>
      <c r="G5130" s="2" t="s">
        <v>34060</v>
      </c>
      <c r="H5130" s="2" t="s">
        <v>34061</v>
      </c>
    </row>
    <row r="5131" spans="1:8" ht="25.05" customHeight="1" x14ac:dyDescent="0.25">
      <c r="A5131" s="2" t="s">
        <v>8</v>
      </c>
      <c r="B5131" s="2" t="str">
        <f>HYPERLINK("http://ts.21cn.com/tousu/show/id/1335945","牛人有品收取非法砍头息")</f>
        <v>牛人有品收取非法砍头息</v>
      </c>
      <c r="C5131" s="2" t="s">
        <v>9</v>
      </c>
      <c r="D5131" s="2" t="s">
        <v>10</v>
      </c>
      <c r="E5131" s="2" t="str">
        <f>HYPERLINK("http://ts.21cn.com/tousu/show/id/1335945","http://ts.21cn.com/tousu/show/id/1335945")</f>
        <v>http://ts.21cn.com/tousu/show/id/1335945</v>
      </c>
      <c r="F5131" s="2" t="s">
        <v>11</v>
      </c>
      <c r="G5131" s="2" t="s">
        <v>34058</v>
      </c>
      <c r="H5131" s="2" t="s">
        <v>34059</v>
      </c>
    </row>
    <row r="5132" spans="1:8" ht="25.05" customHeight="1" x14ac:dyDescent="0.25">
      <c r="A5132" s="2" t="s">
        <v>8</v>
      </c>
      <c r="B5132" s="2" t="str">
        <f>HYPERLINK("http://ts.21cn.com/tousu/show/id/1335947","骏途网购的动物园门票时间选错了不给退")</f>
        <v>骏途网购的动物园门票时间选错了不给退</v>
      </c>
      <c r="C5132" s="2" t="s">
        <v>9</v>
      </c>
      <c r="D5132" s="2" t="s">
        <v>10</v>
      </c>
      <c r="E5132" s="2" t="str">
        <f>HYPERLINK("http://ts.21cn.com/tousu/show/id/1335947","http://ts.21cn.com/tousu/show/id/1335947")</f>
        <v>http://ts.21cn.com/tousu/show/id/1335947</v>
      </c>
      <c r="F5132" s="2" t="s">
        <v>11</v>
      </c>
      <c r="G5132" s="2" t="s">
        <v>34056</v>
      </c>
      <c r="H5132" s="2" t="s">
        <v>34057</v>
      </c>
    </row>
    <row r="5133" spans="1:8" ht="25.05" customHeight="1" x14ac:dyDescent="0.25">
      <c r="A5133" s="2" t="s">
        <v>8</v>
      </c>
      <c r="B5133" s="2" t="str">
        <f>HYPERLINK("http://ts.21cn.com/tousu/show/id/1335948","要求提前还款，之前咨询他们客服，说他们合规，不能提前，只能一期一期还。")</f>
        <v>要求提前还款，之前咨询他们客服，说他们合规，不能提前，只能一期一期还。</v>
      </c>
      <c r="C5133" s="2" t="s">
        <v>34</v>
      </c>
      <c r="D5133" s="2" t="s">
        <v>10</v>
      </c>
      <c r="E5133" s="2" t="str">
        <f>HYPERLINK("http://ts.21cn.com/tousu/show/id/1335948","http://ts.21cn.com/tousu/show/id/1335948")</f>
        <v>http://ts.21cn.com/tousu/show/id/1335948</v>
      </c>
      <c r="F5133" s="2" t="s">
        <v>11</v>
      </c>
      <c r="G5133" s="2" t="s">
        <v>34054</v>
      </c>
      <c r="H5133" s="2" t="s">
        <v>34055</v>
      </c>
    </row>
    <row r="5134" spans="1:8" ht="25.05" customHeight="1" x14ac:dyDescent="0.25">
      <c r="A5134" s="2" t="s">
        <v>8</v>
      </c>
      <c r="B5134" s="2" t="str">
        <f>HYPERLINK("http://ts.21cn.com/tousu/show/id/1335951","玖富万卡高利贷，暴力催收，合同欺诈")</f>
        <v>玖富万卡高利贷，暴力催收，合同欺诈</v>
      </c>
      <c r="C5134" s="2" t="s">
        <v>9</v>
      </c>
      <c r="D5134" s="2" t="s">
        <v>10</v>
      </c>
      <c r="E5134" s="2" t="str">
        <f>HYPERLINK("http://ts.21cn.com/tousu/show/id/1335951","http://ts.21cn.com/tousu/show/id/1335951")</f>
        <v>http://ts.21cn.com/tousu/show/id/1335951</v>
      </c>
      <c r="F5134" s="2" t="s">
        <v>11</v>
      </c>
      <c r="G5134" s="2" t="s">
        <v>34052</v>
      </c>
      <c r="H5134" s="2" t="s">
        <v>34053</v>
      </c>
    </row>
    <row r="5135" spans="1:8" ht="25.05" customHeight="1" x14ac:dyDescent="0.25">
      <c r="A5135" s="2" t="s">
        <v>8</v>
      </c>
      <c r="B5135" s="2" t="str">
        <f>HYPERLINK("http://ts.21cn.com/tousu/show/id/1335950","莫名其妙被扣钱了，要求退款")</f>
        <v>莫名其妙被扣钱了，要求退款</v>
      </c>
      <c r="C5135" s="2" t="s">
        <v>9</v>
      </c>
      <c r="D5135" s="2" t="s">
        <v>10</v>
      </c>
      <c r="E5135" s="2" t="str">
        <f>HYPERLINK("http://ts.21cn.com/tousu/show/id/1335950","http://ts.21cn.com/tousu/show/id/1335950")</f>
        <v>http://ts.21cn.com/tousu/show/id/1335950</v>
      </c>
      <c r="F5135" s="2" t="s">
        <v>11</v>
      </c>
      <c r="G5135" s="2" t="s">
        <v>34050</v>
      </c>
      <c r="H5135" s="2" t="s">
        <v>34051</v>
      </c>
    </row>
    <row r="5136" spans="1:8" ht="25.05" customHeight="1" x14ac:dyDescent="0.25">
      <c r="A5136" s="2" t="s">
        <v>8</v>
      </c>
      <c r="B5136" s="2" t="str">
        <f>HYPERLINK("http://ts.21cn.com/tousu/show/id/1335952","榕树贷款")</f>
        <v>榕树贷款</v>
      </c>
      <c r="C5136" s="2" t="s">
        <v>34</v>
      </c>
      <c r="D5136" s="2" t="s">
        <v>10</v>
      </c>
      <c r="E5136" s="2" t="str">
        <f>HYPERLINK("http://ts.21cn.com/tousu/show/id/1335952","http://ts.21cn.com/tousu/show/id/1335952")</f>
        <v>http://ts.21cn.com/tousu/show/id/1335952</v>
      </c>
      <c r="F5136" s="2" t="s">
        <v>11</v>
      </c>
      <c r="G5136" s="2" t="s">
        <v>34048</v>
      </c>
      <c r="H5136" s="2" t="s">
        <v>34049</v>
      </c>
    </row>
    <row r="5137" spans="1:8" ht="25.05" customHeight="1" x14ac:dyDescent="0.25">
      <c r="A5137" s="2" t="s">
        <v>8</v>
      </c>
      <c r="B5137" s="2" t="str">
        <f>HYPERLINK("http://ts.21cn.com/tousu/show/id/1335953","顺风快递拆包偷梁换柱")</f>
        <v>顺风快递拆包偷梁换柱</v>
      </c>
      <c r="C5137" s="2" t="s">
        <v>9</v>
      </c>
      <c r="D5137" s="2" t="s">
        <v>10</v>
      </c>
      <c r="E5137" s="2" t="str">
        <f>HYPERLINK("http://ts.21cn.com/tousu/show/id/1335953","http://ts.21cn.com/tousu/show/id/1335953")</f>
        <v>http://ts.21cn.com/tousu/show/id/1335953</v>
      </c>
      <c r="F5137" s="2" t="s">
        <v>11</v>
      </c>
      <c r="G5137" s="2" t="s">
        <v>34046</v>
      </c>
      <c r="H5137" s="2" t="s">
        <v>34047</v>
      </c>
    </row>
    <row r="5138" spans="1:8" ht="25.05" customHeight="1" x14ac:dyDescent="0.25">
      <c r="A5138" s="2" t="s">
        <v>8</v>
      </c>
      <c r="B5138" s="2" t="str">
        <f>HYPERLINK("http://ts.21cn.com/tousu/show/id/1335954","活力花暴力催收，骚扰家人")</f>
        <v>活力花暴力催收，骚扰家人</v>
      </c>
      <c r="C5138" s="2" t="s">
        <v>9</v>
      </c>
      <c r="D5138" s="2" t="s">
        <v>10</v>
      </c>
      <c r="E5138" s="2" t="str">
        <f>HYPERLINK("http://ts.21cn.com/tousu/show/id/1335954","http://ts.21cn.com/tousu/show/id/1335954")</f>
        <v>http://ts.21cn.com/tousu/show/id/1335954</v>
      </c>
      <c r="F5138" s="2" t="s">
        <v>11</v>
      </c>
      <c r="G5138" s="2" t="s">
        <v>34044</v>
      </c>
      <c r="H5138" s="2" t="s">
        <v>34045</v>
      </c>
    </row>
    <row r="5139" spans="1:8" ht="25.05" customHeight="1" x14ac:dyDescent="0.25">
      <c r="A5139" s="2" t="s">
        <v>8</v>
      </c>
      <c r="B5139" s="2" t="str">
        <f>HYPERLINK("http://ts.21cn.com/tousu/show/id/1335912","严重超出国家规定利率，虚假广告")</f>
        <v>严重超出国家规定利率，虚假广告</v>
      </c>
      <c r="C5139" s="2" t="s">
        <v>9</v>
      </c>
      <c r="D5139" s="2" t="s">
        <v>10</v>
      </c>
      <c r="E5139" s="2" t="str">
        <f>HYPERLINK("http://ts.21cn.com/tousu/show/id/1335912","http://ts.21cn.com/tousu/show/id/1335912")</f>
        <v>http://ts.21cn.com/tousu/show/id/1335912</v>
      </c>
      <c r="F5139" s="2" t="s">
        <v>11</v>
      </c>
      <c r="G5139" s="2" t="s">
        <v>34042</v>
      </c>
      <c r="H5139" s="2" t="s">
        <v>34043</v>
      </c>
    </row>
    <row r="5140" spans="1:8" ht="25.05" customHeight="1" x14ac:dyDescent="0.25">
      <c r="A5140" s="2" t="s">
        <v>8</v>
      </c>
      <c r="B5140" s="2" t="str">
        <f>HYPERLINK("http://ts.21cn.com/tousu/show/id/1335956","不接受协商")</f>
        <v>不接受协商</v>
      </c>
      <c r="C5140" s="2" t="s">
        <v>9</v>
      </c>
      <c r="D5140" s="2" t="s">
        <v>10</v>
      </c>
      <c r="E5140" s="2" t="str">
        <f>HYPERLINK("http://ts.21cn.com/tousu/show/id/1335956","http://ts.21cn.com/tousu/show/id/1335956")</f>
        <v>http://ts.21cn.com/tousu/show/id/1335956</v>
      </c>
      <c r="F5140" s="2" t="s">
        <v>11</v>
      </c>
      <c r="G5140" s="2" t="s">
        <v>34040</v>
      </c>
      <c r="H5140" s="2" t="s">
        <v>34041</v>
      </c>
    </row>
    <row r="5141" spans="1:8" ht="25.05" customHeight="1" x14ac:dyDescent="0.25">
      <c r="A5141" s="2" t="s">
        <v>8</v>
      </c>
      <c r="B5141" s="2" t="str">
        <f>HYPERLINK("http://ts.21cn.com/tousu/show/id/1335925","要求退款")</f>
        <v>要求退款</v>
      </c>
      <c r="C5141" s="2" t="s">
        <v>9</v>
      </c>
      <c r="D5141" s="2" t="s">
        <v>10</v>
      </c>
      <c r="E5141" s="2" t="str">
        <f>HYPERLINK("http://ts.21cn.com/tousu/show/id/1335925","http://ts.21cn.com/tousu/show/id/1335925")</f>
        <v>http://ts.21cn.com/tousu/show/id/1335925</v>
      </c>
      <c r="F5141" s="2" t="s">
        <v>11</v>
      </c>
      <c r="G5141" s="2" t="s">
        <v>34038</v>
      </c>
      <c r="H5141" s="2" t="s">
        <v>34039</v>
      </c>
    </row>
    <row r="5142" spans="1:8" ht="25.05" customHeight="1" x14ac:dyDescent="0.25">
      <c r="A5142" s="2" t="s">
        <v>8</v>
      </c>
      <c r="B5142" s="2" t="str">
        <f>HYPERLINK("http://ts.21cn.com/tousu/show/id/1335957","创维电视机不给我售后质保")</f>
        <v>创维电视机不给我售后质保</v>
      </c>
      <c r="C5142" s="2" t="s">
        <v>9</v>
      </c>
      <c r="D5142" s="2" t="s">
        <v>10</v>
      </c>
      <c r="E5142" s="2" t="str">
        <f>HYPERLINK("http://ts.21cn.com/tousu/show/id/1335957","http://ts.21cn.com/tousu/show/id/1335957")</f>
        <v>http://ts.21cn.com/tousu/show/id/1335957</v>
      </c>
      <c r="F5142" s="2" t="s">
        <v>11</v>
      </c>
      <c r="G5142" s="2" t="s">
        <v>34036</v>
      </c>
      <c r="H5142" s="2" t="s">
        <v>34037</v>
      </c>
    </row>
    <row r="5143" spans="1:8" ht="25.05" customHeight="1" x14ac:dyDescent="0.25">
      <c r="A5143" s="2" t="s">
        <v>8</v>
      </c>
      <c r="B5143" s="2" t="str">
        <f>HYPERLINK("http://ts.21cn.com/tousu/show/id/1335958","盗取用户信息，服务态度差，恶心扣款盗刷")</f>
        <v>盗取用户信息，服务态度差，恶心扣款盗刷</v>
      </c>
      <c r="C5143" s="2" t="s">
        <v>9</v>
      </c>
      <c r="D5143" s="2" t="s">
        <v>10</v>
      </c>
      <c r="E5143" s="2" t="str">
        <f>HYPERLINK("http://ts.21cn.com/tousu/show/id/1335958","http://ts.21cn.com/tousu/show/id/1335958")</f>
        <v>http://ts.21cn.com/tousu/show/id/1335958</v>
      </c>
      <c r="F5143" s="2" t="s">
        <v>11</v>
      </c>
      <c r="G5143" s="2" t="s">
        <v>34034</v>
      </c>
      <c r="H5143" s="2" t="s">
        <v>34035</v>
      </c>
    </row>
    <row r="5144" spans="1:8" ht="25.05" customHeight="1" x14ac:dyDescent="0.25">
      <c r="A5144" s="2" t="s">
        <v>8</v>
      </c>
      <c r="B5144" s="2" t="str">
        <f>HYPERLINK("http://ts.21cn.com/tousu/show/id/1335959","蛋壳公寓私自变价推卸责任")</f>
        <v>蛋壳公寓私自变价推卸责任</v>
      </c>
      <c r="C5144" s="2" t="s">
        <v>9</v>
      </c>
      <c r="D5144" s="2" t="s">
        <v>10</v>
      </c>
      <c r="E5144" s="2" t="str">
        <f>HYPERLINK("http://ts.21cn.com/tousu/show/id/1335959","http://ts.21cn.com/tousu/show/id/1335959")</f>
        <v>http://ts.21cn.com/tousu/show/id/1335959</v>
      </c>
      <c r="F5144" s="2" t="s">
        <v>11</v>
      </c>
      <c r="G5144" s="2" t="s">
        <v>34032</v>
      </c>
      <c r="H5144" s="2" t="s">
        <v>34033</v>
      </c>
    </row>
    <row r="5145" spans="1:8" ht="25.05" customHeight="1" x14ac:dyDescent="0.25">
      <c r="A5145" s="2" t="s">
        <v>8</v>
      </c>
      <c r="B5145" s="2" t="str">
        <f>HYPERLINK("http://ts.21cn.com/tousu/show/id/1335960","恶意骚扰")</f>
        <v>恶意骚扰</v>
      </c>
      <c r="C5145" s="2" t="s">
        <v>9</v>
      </c>
      <c r="D5145" s="2" t="s">
        <v>10</v>
      </c>
      <c r="E5145" s="2" t="str">
        <f>HYPERLINK("http://ts.21cn.com/tousu/show/id/1335960","http://ts.21cn.com/tousu/show/id/1335960")</f>
        <v>http://ts.21cn.com/tousu/show/id/1335960</v>
      </c>
      <c r="F5145" s="2" t="s">
        <v>11</v>
      </c>
      <c r="G5145" s="2" t="s">
        <v>34030</v>
      </c>
      <c r="H5145" s="2" t="s">
        <v>34031</v>
      </c>
    </row>
    <row r="5146" spans="1:8" ht="25.05" customHeight="1" x14ac:dyDescent="0.25">
      <c r="A5146" s="2" t="s">
        <v>8</v>
      </c>
      <c r="B5146" s="2" t="str">
        <f>HYPERLINK("http://ts.21cn.com/tousu/show/id/1335961","有盈好贷，高利贷")</f>
        <v>有盈好贷，高利贷</v>
      </c>
      <c r="C5146" s="2" t="s">
        <v>9</v>
      </c>
      <c r="D5146" s="2" t="s">
        <v>10</v>
      </c>
      <c r="E5146" s="2" t="str">
        <f>HYPERLINK("http://ts.21cn.com/tousu/show/id/1335961","http://ts.21cn.com/tousu/show/id/1335961")</f>
        <v>http://ts.21cn.com/tousu/show/id/1335961</v>
      </c>
      <c r="F5146" s="2" t="s">
        <v>11</v>
      </c>
      <c r="G5146" s="2" t="s">
        <v>34028</v>
      </c>
      <c r="H5146" s="2" t="s">
        <v>34029</v>
      </c>
    </row>
    <row r="5147" spans="1:8" ht="25.05" customHeight="1" x14ac:dyDescent="0.25">
      <c r="A5147" s="2" t="s">
        <v>8</v>
      </c>
      <c r="B5147" s="2" t="str">
        <f>HYPERLINK("http://ts.21cn.com/tousu/show/id/1335962","好分期高利率")</f>
        <v>好分期高利率</v>
      </c>
      <c r="C5147" s="2" t="s">
        <v>34</v>
      </c>
      <c r="D5147" s="2" t="s">
        <v>10</v>
      </c>
      <c r="E5147" s="2" t="str">
        <f>HYPERLINK("http://ts.21cn.com/tousu/show/id/1335962","http://ts.21cn.com/tousu/show/id/1335962")</f>
        <v>http://ts.21cn.com/tousu/show/id/1335962</v>
      </c>
      <c r="F5147" s="2" t="s">
        <v>11</v>
      </c>
      <c r="G5147" s="2" t="s">
        <v>34026</v>
      </c>
      <c r="H5147" s="2" t="s">
        <v>34027</v>
      </c>
    </row>
    <row r="5148" spans="1:8" ht="25.05" customHeight="1" x14ac:dyDescent="0.25">
      <c r="A5148" s="2" t="s">
        <v>8</v>
      </c>
      <c r="B5148" s="2" t="str">
        <f>HYPERLINK("http://ts.21cn.com/tousu/show/id/1335963","借款砍头息（借款399元，实际到款300元），利率远远超过国家规定")</f>
        <v>借款砍头息（借款399元，实际到款300元），利率远远超过国家规定</v>
      </c>
      <c r="C5148" s="2" t="s">
        <v>34</v>
      </c>
      <c r="D5148" s="2" t="s">
        <v>10</v>
      </c>
      <c r="E5148" s="2" t="str">
        <f>HYPERLINK("http://ts.21cn.com/tousu/show/id/1335963","http://ts.21cn.com/tousu/show/id/1335963")</f>
        <v>http://ts.21cn.com/tousu/show/id/1335963</v>
      </c>
      <c r="F5148" s="2" t="s">
        <v>11</v>
      </c>
      <c r="G5148" s="2" t="s">
        <v>34024</v>
      </c>
      <c r="H5148" s="2" t="s">
        <v>34025</v>
      </c>
    </row>
    <row r="5149" spans="1:8" ht="25.05" customHeight="1" x14ac:dyDescent="0.25">
      <c r="A5149" s="2" t="s">
        <v>8</v>
      </c>
      <c r="B5149" s="2" t="str">
        <f>HYPERLINK("http://ts.21cn.com/tousu/show/id/1335968","小花钱包逾期第二天就暴力催收，到处群发短信")</f>
        <v>小花钱包逾期第二天就暴力催收，到处群发短信</v>
      </c>
      <c r="C5149" s="2" t="s">
        <v>9</v>
      </c>
      <c r="D5149" s="2" t="s">
        <v>10</v>
      </c>
      <c r="E5149" s="2" t="str">
        <f>HYPERLINK("http://ts.21cn.com/tousu/show/id/1335968","http://ts.21cn.com/tousu/show/id/1335968")</f>
        <v>http://ts.21cn.com/tousu/show/id/1335968</v>
      </c>
      <c r="F5149" s="2" t="s">
        <v>11</v>
      </c>
      <c r="G5149" s="2" t="s">
        <v>34022</v>
      </c>
      <c r="H5149" s="2" t="s">
        <v>34023</v>
      </c>
    </row>
    <row r="5150" spans="1:8" ht="25.05" customHeight="1" x14ac:dyDescent="0.25">
      <c r="A5150" s="2" t="s">
        <v>8</v>
      </c>
      <c r="B5150" s="2" t="str">
        <f>HYPERLINK("http://ts.21cn.com/tousu/show/id/1335964","青柠檬非法收取砍头息")</f>
        <v>青柠檬非法收取砍头息</v>
      </c>
      <c r="C5150" s="2" t="s">
        <v>9</v>
      </c>
      <c r="D5150" s="2" t="s">
        <v>10</v>
      </c>
      <c r="E5150" s="2" t="str">
        <f>HYPERLINK("http://ts.21cn.com/tousu/show/id/1335964","http://ts.21cn.com/tousu/show/id/1335964")</f>
        <v>http://ts.21cn.com/tousu/show/id/1335964</v>
      </c>
      <c r="F5150" s="2" t="s">
        <v>11</v>
      </c>
      <c r="G5150" s="2" t="s">
        <v>34020</v>
      </c>
      <c r="H5150" s="2" t="s">
        <v>34021</v>
      </c>
    </row>
    <row r="5151" spans="1:8" ht="25.05" customHeight="1" x14ac:dyDescent="0.25">
      <c r="A5151" s="2" t="s">
        <v>8</v>
      </c>
      <c r="B5151" s="2" t="str">
        <f>HYPERLINK("http://ts.21cn.com/tousu/show/id/1335965","无法登陆进行还款")</f>
        <v>无法登陆进行还款</v>
      </c>
      <c r="C5151" s="2" t="s">
        <v>9</v>
      </c>
      <c r="D5151" s="2" t="s">
        <v>10</v>
      </c>
      <c r="E5151" s="2" t="str">
        <f>HYPERLINK("http://ts.21cn.com/tousu/show/id/1335965","http://ts.21cn.com/tousu/show/id/1335965")</f>
        <v>http://ts.21cn.com/tousu/show/id/1335965</v>
      </c>
      <c r="F5151" s="2" t="s">
        <v>11</v>
      </c>
      <c r="G5151" s="2" t="s">
        <v>34018</v>
      </c>
      <c r="H5151" s="2" t="s">
        <v>34019</v>
      </c>
    </row>
    <row r="5152" spans="1:8" ht="25.05" customHeight="1" x14ac:dyDescent="0.25">
      <c r="A5152" s="2" t="s">
        <v>8</v>
      </c>
      <c r="B5152" s="2" t="str">
        <f>HYPERLINK("http://ts.21cn.com/tousu/show/id/1335967","信用飞暴力催收砍头息")</f>
        <v>信用飞暴力催收砍头息</v>
      </c>
      <c r="C5152" s="2" t="s">
        <v>9</v>
      </c>
      <c r="D5152" s="2" t="s">
        <v>10</v>
      </c>
      <c r="E5152" s="2" t="str">
        <f>HYPERLINK("http://ts.21cn.com/tousu/show/id/1335967","http://ts.21cn.com/tousu/show/id/1335967")</f>
        <v>http://ts.21cn.com/tousu/show/id/1335967</v>
      </c>
      <c r="F5152" s="2" t="s">
        <v>11</v>
      </c>
      <c r="G5152" s="2" t="s">
        <v>34016</v>
      </c>
      <c r="H5152" s="2" t="s">
        <v>34017</v>
      </c>
    </row>
    <row r="5153" spans="1:8" ht="25.05" customHeight="1" x14ac:dyDescent="0.25">
      <c r="A5153" s="2" t="s">
        <v>8</v>
      </c>
      <c r="B5153" s="2" t="str">
        <f>HYPERLINK("http://ts.21cn.com/tousu/show/id/1335949","微信支付被永久冻结，无法提现")</f>
        <v>微信支付被永久冻结，无法提现</v>
      </c>
      <c r="C5153" s="2" t="s">
        <v>9</v>
      </c>
      <c r="D5153" s="2" t="s">
        <v>10</v>
      </c>
      <c r="E5153" s="2" t="str">
        <f>HYPERLINK("http://ts.21cn.com/tousu/show/id/1335949","http://ts.21cn.com/tousu/show/id/1335949")</f>
        <v>http://ts.21cn.com/tousu/show/id/1335949</v>
      </c>
      <c r="F5153" s="2" t="s">
        <v>11</v>
      </c>
      <c r="G5153" s="2" t="s">
        <v>34014</v>
      </c>
      <c r="H5153" s="2" t="s">
        <v>34015</v>
      </c>
    </row>
    <row r="5154" spans="1:8" ht="25.05" customHeight="1" x14ac:dyDescent="0.25">
      <c r="A5154" s="2" t="s">
        <v>8</v>
      </c>
      <c r="B5154" s="2" t="str">
        <f>HYPERLINK("http://ts.21cn.com/tousu/show/id/1335969","人寿全民保退保收费无说明")</f>
        <v>人寿全民保退保收费无说明</v>
      </c>
      <c r="C5154" s="2" t="s">
        <v>9</v>
      </c>
      <c r="D5154" s="2" t="s">
        <v>10</v>
      </c>
      <c r="E5154" s="2" t="str">
        <f>HYPERLINK("http://ts.21cn.com/tousu/show/id/1335969","http://ts.21cn.com/tousu/show/id/1335969")</f>
        <v>http://ts.21cn.com/tousu/show/id/1335969</v>
      </c>
      <c r="F5154" s="2" t="s">
        <v>11</v>
      </c>
      <c r="G5154" s="2" t="s">
        <v>34012</v>
      </c>
      <c r="H5154" s="2" t="s">
        <v>34013</v>
      </c>
    </row>
    <row r="5155" spans="1:8" ht="25.05" customHeight="1" x14ac:dyDescent="0.25">
      <c r="A5155" s="2" t="s">
        <v>8</v>
      </c>
      <c r="B5155" s="2" t="str">
        <f>HYPERLINK("http://ts.21cn.com/tousu/show/id/1335971","苏宁死不要脸，店大欺客")</f>
        <v>苏宁死不要脸，店大欺客</v>
      </c>
      <c r="C5155" s="2" t="s">
        <v>9</v>
      </c>
      <c r="D5155" s="2" t="s">
        <v>10</v>
      </c>
      <c r="E5155" s="2" t="str">
        <f>HYPERLINK("http://ts.21cn.com/tousu/show/id/1335971","http://ts.21cn.com/tousu/show/id/1335971")</f>
        <v>http://ts.21cn.com/tousu/show/id/1335971</v>
      </c>
      <c r="F5155" s="2" t="s">
        <v>11</v>
      </c>
      <c r="G5155" s="2" t="s">
        <v>34010</v>
      </c>
      <c r="H5155" s="2" t="s">
        <v>34011</v>
      </c>
    </row>
    <row r="5156" spans="1:8" ht="25.05" customHeight="1" x14ac:dyDescent="0.25">
      <c r="A5156" s="2" t="s">
        <v>8</v>
      </c>
      <c r="B5156" s="2" t="str">
        <f>HYPERLINK("http://ts.21cn.com/tousu/show/id/1335966","在交易猫卖号卖家支付1300，现在联系不到客服了")</f>
        <v>在交易猫卖号卖家支付1300，现在联系不到客服了</v>
      </c>
      <c r="C5156" s="2" t="s">
        <v>9</v>
      </c>
      <c r="D5156" s="2" t="s">
        <v>10</v>
      </c>
      <c r="E5156" s="2" t="str">
        <f>HYPERLINK("http://ts.21cn.com/tousu/show/id/1335966","http://ts.21cn.com/tousu/show/id/1335966")</f>
        <v>http://ts.21cn.com/tousu/show/id/1335966</v>
      </c>
      <c r="F5156" s="2" t="s">
        <v>11</v>
      </c>
      <c r="G5156" s="2" t="s">
        <v>34008</v>
      </c>
      <c r="H5156" s="2" t="s">
        <v>34009</v>
      </c>
    </row>
    <row r="5157" spans="1:8" ht="25.05" customHeight="1" x14ac:dyDescent="0.25">
      <c r="A5157" s="2" t="s">
        <v>8</v>
      </c>
      <c r="B5157" s="2" t="str">
        <f>HYPERLINK("http://ts.21cn.com/tousu/show/id/1335970","钱站高利贷阴阳合同")</f>
        <v>钱站高利贷阴阳合同</v>
      </c>
      <c r="C5157" s="2" t="s">
        <v>9</v>
      </c>
      <c r="D5157" s="2" t="s">
        <v>10</v>
      </c>
      <c r="E5157" s="2" t="str">
        <f>HYPERLINK("http://ts.21cn.com/tousu/show/id/1335970","http://ts.21cn.com/tousu/show/id/1335970")</f>
        <v>http://ts.21cn.com/tousu/show/id/1335970</v>
      </c>
      <c r="F5157" s="2" t="s">
        <v>11</v>
      </c>
      <c r="G5157" s="2" t="s">
        <v>34006</v>
      </c>
      <c r="H5157" s="2" t="s">
        <v>34007</v>
      </c>
    </row>
    <row r="5158" spans="1:8" ht="25.05" customHeight="1" x14ac:dyDescent="0.25">
      <c r="A5158" s="2" t="s">
        <v>8</v>
      </c>
      <c r="B5158" s="2" t="str">
        <f>HYPERLINK("http://ts.21cn.com/tousu/show/id/1335972","嗨钱持续暴力催收")</f>
        <v>嗨钱持续暴力催收</v>
      </c>
      <c r="C5158" s="2" t="s">
        <v>9</v>
      </c>
      <c r="D5158" s="2" t="s">
        <v>10</v>
      </c>
      <c r="E5158" s="2" t="str">
        <f>HYPERLINK("http://ts.21cn.com/tousu/show/id/1335972","http://ts.21cn.com/tousu/show/id/1335972")</f>
        <v>http://ts.21cn.com/tousu/show/id/1335972</v>
      </c>
      <c r="F5158" s="2" t="s">
        <v>11</v>
      </c>
      <c r="G5158" s="2" t="s">
        <v>34004</v>
      </c>
      <c r="H5158" s="2" t="s">
        <v>34005</v>
      </c>
    </row>
    <row r="5159" spans="1:8" ht="25.05" customHeight="1" x14ac:dyDescent="0.25">
      <c r="A5159" s="2" t="s">
        <v>8</v>
      </c>
      <c r="B5159" s="2" t="str">
        <f>HYPERLINK("http://ts.21cn.com/tousu/show/id/1335973","骚扰")</f>
        <v>骚扰</v>
      </c>
      <c r="C5159" s="2" t="s">
        <v>9</v>
      </c>
      <c r="D5159" s="2" t="s">
        <v>10</v>
      </c>
      <c r="E5159" s="2" t="str">
        <f>HYPERLINK("http://ts.21cn.com/tousu/show/id/1335973","http://ts.21cn.com/tousu/show/id/1335973")</f>
        <v>http://ts.21cn.com/tousu/show/id/1335973</v>
      </c>
      <c r="F5159" s="2" t="s">
        <v>11</v>
      </c>
      <c r="G5159" s="2" t="s">
        <v>34002</v>
      </c>
      <c r="H5159" s="2" t="s">
        <v>34003</v>
      </c>
    </row>
    <row r="5160" spans="1:8" ht="25.05" customHeight="1" x14ac:dyDescent="0.25">
      <c r="A5160" s="2" t="s">
        <v>8</v>
      </c>
      <c r="B5160" s="2" t="str">
        <f>HYPERLINK("http://ts.21cn.com/tousu/show/id/1335974","中腾信砍头息高利息请求提前还款减免部分金额")</f>
        <v>中腾信砍头息高利息请求提前还款减免部分金额</v>
      </c>
      <c r="C5160" s="2" t="s">
        <v>34</v>
      </c>
      <c r="D5160" s="2" t="s">
        <v>10</v>
      </c>
      <c r="E5160" s="2" t="str">
        <f>HYPERLINK("http://ts.21cn.com/tousu/show/id/1335974","http://ts.21cn.com/tousu/show/id/1335974")</f>
        <v>http://ts.21cn.com/tousu/show/id/1335974</v>
      </c>
      <c r="F5160" s="2" t="s">
        <v>11</v>
      </c>
      <c r="G5160" s="2" t="s">
        <v>34000</v>
      </c>
      <c r="H5160" s="2" t="s">
        <v>34001</v>
      </c>
    </row>
    <row r="5161" spans="1:8" ht="25.05" customHeight="1" x14ac:dyDescent="0.25">
      <c r="A5161" s="2" t="s">
        <v>8</v>
      </c>
      <c r="B5161" s="2" t="str">
        <f>HYPERLINK("http://ts.21cn.com/tousu/show/id/1335975","点点，爆力吹收恐吓")</f>
        <v>点点，爆力吹收恐吓</v>
      </c>
      <c r="C5161" s="2" t="s">
        <v>9</v>
      </c>
      <c r="D5161" s="2" t="s">
        <v>10</v>
      </c>
      <c r="E5161" s="2" t="str">
        <f>HYPERLINK("http://ts.21cn.com/tousu/show/id/1335975","http://ts.21cn.com/tousu/show/id/1335975")</f>
        <v>http://ts.21cn.com/tousu/show/id/1335975</v>
      </c>
      <c r="F5161" s="2" t="s">
        <v>11</v>
      </c>
      <c r="G5161" s="2" t="s">
        <v>33998</v>
      </c>
      <c r="H5161" s="2" t="s">
        <v>33999</v>
      </c>
    </row>
    <row r="5162" spans="1:8" ht="25.05" customHeight="1" x14ac:dyDescent="0.25">
      <c r="A5162" s="2" t="s">
        <v>8</v>
      </c>
      <c r="B5162" s="2" t="str">
        <f>HYPERLINK("http://ts.21cn.com/tousu/show/id/1335976","随意扣款胡乱收费")</f>
        <v>随意扣款胡乱收费</v>
      </c>
      <c r="C5162" s="2" t="s">
        <v>9</v>
      </c>
      <c r="D5162" s="2" t="s">
        <v>10</v>
      </c>
      <c r="E5162" s="2" t="str">
        <f>HYPERLINK("http://ts.21cn.com/tousu/show/id/1335976","http://ts.21cn.com/tousu/show/id/1335976")</f>
        <v>http://ts.21cn.com/tousu/show/id/1335976</v>
      </c>
      <c r="F5162" s="2" t="s">
        <v>11</v>
      </c>
      <c r="G5162" s="2" t="s">
        <v>33996</v>
      </c>
      <c r="H5162" s="2" t="s">
        <v>33997</v>
      </c>
    </row>
    <row r="5163" spans="1:8" ht="25.05" customHeight="1" x14ac:dyDescent="0.25">
      <c r="A5163" s="2" t="s">
        <v>8</v>
      </c>
      <c r="B5163" s="2" t="str">
        <f>HYPERLINK("http://ts.21cn.com/tousu/show/id/1335977","关于美约app乱扣费问题，免费试用后，自动续费会员一年298元")</f>
        <v>关于美约app乱扣费问题，免费试用后，自动续费会员一年298元</v>
      </c>
      <c r="C5163" s="2" t="s">
        <v>34</v>
      </c>
      <c r="D5163" s="2" t="s">
        <v>10</v>
      </c>
      <c r="E5163" s="2" t="str">
        <f>HYPERLINK("http://ts.21cn.com/tousu/show/id/1335977","http://ts.21cn.com/tousu/show/id/1335977")</f>
        <v>http://ts.21cn.com/tousu/show/id/1335977</v>
      </c>
      <c r="F5163" s="2" t="s">
        <v>11</v>
      </c>
      <c r="G5163" s="2" t="s">
        <v>33994</v>
      </c>
      <c r="H5163" s="2" t="s">
        <v>33995</v>
      </c>
    </row>
    <row r="5164" spans="1:8" ht="25.05" customHeight="1" x14ac:dyDescent="0.25">
      <c r="A5164" s="2" t="s">
        <v>8</v>
      </c>
      <c r="B5164" s="2" t="str">
        <f>HYPERLINK("http://ts.21cn.com/tousu/show/id/1335978","714高利息平台")</f>
        <v>714高利息平台</v>
      </c>
      <c r="C5164" s="2" t="s">
        <v>9</v>
      </c>
      <c r="D5164" s="2" t="s">
        <v>10</v>
      </c>
      <c r="E5164" s="2" t="str">
        <f>HYPERLINK("http://ts.21cn.com/tousu/show/id/1335978","http://ts.21cn.com/tousu/show/id/1335978")</f>
        <v>http://ts.21cn.com/tousu/show/id/1335978</v>
      </c>
      <c r="F5164" s="2" t="s">
        <v>11</v>
      </c>
      <c r="G5164" s="2" t="s">
        <v>33992</v>
      </c>
      <c r="H5164" s="2" t="s">
        <v>33993</v>
      </c>
    </row>
    <row r="5165" spans="1:8" ht="25.05" customHeight="1" x14ac:dyDescent="0.25">
      <c r="A5165" s="2" t="s">
        <v>8</v>
      </c>
      <c r="B5165" s="2" t="str">
        <f>HYPERLINK("http://ts.21cn.com/tousu/show/id/1335979","客服不协商态度太嚣张")</f>
        <v>客服不协商态度太嚣张</v>
      </c>
      <c r="C5165" s="2" t="s">
        <v>9</v>
      </c>
      <c r="D5165" s="2" t="s">
        <v>10</v>
      </c>
      <c r="E5165" s="2" t="str">
        <f>HYPERLINK("http://ts.21cn.com/tousu/show/id/1335979","http://ts.21cn.com/tousu/show/id/1335979")</f>
        <v>http://ts.21cn.com/tousu/show/id/1335979</v>
      </c>
      <c r="F5165" s="2" t="s">
        <v>11</v>
      </c>
      <c r="G5165" s="2" t="s">
        <v>33990</v>
      </c>
      <c r="H5165" s="2" t="s">
        <v>33991</v>
      </c>
    </row>
    <row r="5166" spans="1:8" ht="25.05" customHeight="1" x14ac:dyDescent="0.25">
      <c r="A5166" s="2" t="s">
        <v>8</v>
      </c>
      <c r="B5166" s="2" t="str">
        <f>HYPERLINK("http://ts.21cn.com/tousu/show/id/1335980","微粒贷骚扰恐吓")</f>
        <v>微粒贷骚扰恐吓</v>
      </c>
      <c r="C5166" s="2" t="s">
        <v>9</v>
      </c>
      <c r="D5166" s="2" t="s">
        <v>10</v>
      </c>
      <c r="E5166" s="2" t="str">
        <f>HYPERLINK("http://ts.21cn.com/tousu/show/id/1335980","http://ts.21cn.com/tousu/show/id/1335980")</f>
        <v>http://ts.21cn.com/tousu/show/id/1335980</v>
      </c>
      <c r="F5166" s="2" t="s">
        <v>11</v>
      </c>
      <c r="G5166" s="2" t="s">
        <v>33988</v>
      </c>
      <c r="H5166" s="2" t="s">
        <v>33989</v>
      </c>
    </row>
    <row r="5167" spans="1:8" ht="25.05" customHeight="1" x14ac:dyDescent="0.25">
      <c r="A5167" s="2" t="s">
        <v>8</v>
      </c>
      <c r="B5167" s="2" t="str">
        <f>HYPERLINK("http://ts.21cn.com/tousu/show/id/1335982","闪银奇异闪管家不放款也让不注销")</f>
        <v>闪银奇异闪管家不放款也让不注销</v>
      </c>
      <c r="C5167" s="2" t="s">
        <v>9</v>
      </c>
      <c r="D5167" s="2" t="s">
        <v>10</v>
      </c>
      <c r="E5167" s="2" t="str">
        <f>HYPERLINK("http://ts.21cn.com/tousu/show/id/1335982","http://ts.21cn.com/tousu/show/id/1335982")</f>
        <v>http://ts.21cn.com/tousu/show/id/1335982</v>
      </c>
      <c r="F5167" s="2" t="s">
        <v>11</v>
      </c>
      <c r="G5167" s="2" t="s">
        <v>33986</v>
      </c>
      <c r="H5167" s="2" t="s">
        <v>33987</v>
      </c>
    </row>
    <row r="5168" spans="1:8" ht="25.05" customHeight="1" x14ac:dyDescent="0.25">
      <c r="A5168" s="2" t="s">
        <v>8</v>
      </c>
      <c r="B5168" s="2" t="str">
        <f>HYPERLINK("http://ts.21cn.com/tousu/show/id/1335984","艺龙预定酒店买保险，无法理赔，通过保险公司无法查询到保单信息")</f>
        <v>艺龙预定酒店买保险，无法理赔，通过保险公司无法查询到保单信息</v>
      </c>
      <c r="C5168" s="2" t="s">
        <v>9</v>
      </c>
      <c r="D5168" s="2" t="s">
        <v>10</v>
      </c>
      <c r="E5168" s="2" t="str">
        <f>HYPERLINK("http://ts.21cn.com/tousu/show/id/1335984","http://ts.21cn.com/tousu/show/id/1335984")</f>
        <v>http://ts.21cn.com/tousu/show/id/1335984</v>
      </c>
      <c r="F5168" s="2" t="s">
        <v>11</v>
      </c>
      <c r="G5168" s="2" t="s">
        <v>33984</v>
      </c>
      <c r="H5168" s="2" t="s">
        <v>33985</v>
      </c>
    </row>
    <row r="5169" spans="1:8" ht="25.05" customHeight="1" x14ac:dyDescent="0.25">
      <c r="A5169" s="2" t="s">
        <v>8</v>
      </c>
      <c r="B5169" s="2" t="str">
        <f>HYPERLINK("http://ts.21cn.com/tousu/show/id/1302512","现代金融无故扣我199元")</f>
        <v>现代金融无故扣我199元</v>
      </c>
      <c r="C5169" s="2" t="s">
        <v>34</v>
      </c>
      <c r="D5169" s="2" t="s">
        <v>10</v>
      </c>
      <c r="E5169" s="2" t="str">
        <f>HYPERLINK("http://ts.21cn.com/tousu/show/id/1302512","http://ts.21cn.com/tousu/show/id/1302512")</f>
        <v>http://ts.21cn.com/tousu/show/id/1302512</v>
      </c>
      <c r="F5169" s="2" t="s">
        <v>11</v>
      </c>
      <c r="G5169" s="2" t="s">
        <v>33982</v>
      </c>
      <c r="H5169" s="2" t="s">
        <v>33983</v>
      </c>
    </row>
    <row r="5170" spans="1:8" ht="25.05" customHeight="1" x14ac:dyDescent="0.25">
      <c r="A5170" s="2" t="s">
        <v>8</v>
      </c>
      <c r="B5170" s="2" t="str">
        <f>HYPERLINK("http://ts.21cn.com/tousu/show/id/1335983","中国银联股份有限公司广东分公司给黑网贷虾米在线平台做资金接入口")</f>
        <v>中国银联股份有限公司广东分公司给黑网贷虾米在线平台做资金接入口</v>
      </c>
      <c r="C5170" s="2" t="s">
        <v>9</v>
      </c>
      <c r="D5170" s="2" t="s">
        <v>10</v>
      </c>
      <c r="E5170" s="2" t="str">
        <f>HYPERLINK("http://ts.21cn.com/tousu/show/id/1335983","http://ts.21cn.com/tousu/show/id/1335983")</f>
        <v>http://ts.21cn.com/tousu/show/id/1335983</v>
      </c>
      <c r="F5170" s="2" t="s">
        <v>11</v>
      </c>
      <c r="G5170" s="2" t="s">
        <v>33980</v>
      </c>
      <c r="H5170" s="2" t="s">
        <v>33981</v>
      </c>
    </row>
    <row r="5171" spans="1:8" ht="25.05" customHeight="1" x14ac:dyDescent="0.25">
      <c r="A5171" s="2" t="s">
        <v>8</v>
      </c>
      <c r="B5171" s="2" t="str">
        <f>HYPERLINK("http://ts.21cn.com/tousu/show/id/1335985","中金支付盗取卡钱款")</f>
        <v>中金支付盗取卡钱款</v>
      </c>
      <c r="C5171" s="2" t="s">
        <v>9</v>
      </c>
      <c r="D5171" s="2" t="s">
        <v>10</v>
      </c>
      <c r="E5171" s="2" t="str">
        <f>HYPERLINK("http://ts.21cn.com/tousu/show/id/1335985","http://ts.21cn.com/tousu/show/id/1335985")</f>
        <v>http://ts.21cn.com/tousu/show/id/1335985</v>
      </c>
      <c r="F5171" s="2" t="s">
        <v>11</v>
      </c>
      <c r="G5171" s="2" t="s">
        <v>33978</v>
      </c>
      <c r="H5171" s="2" t="s">
        <v>33979</v>
      </c>
    </row>
    <row r="5172" spans="1:8" ht="25.05" customHeight="1" x14ac:dyDescent="0.25">
      <c r="A5172" s="2" t="s">
        <v>8</v>
      </c>
      <c r="B5172" s="2" t="str">
        <f>HYPERLINK("http://ts.21cn.com/tousu/show/id/1335987","暴力催收无理辱骂不予协商威胁恐吓")</f>
        <v>暴力催收无理辱骂不予协商威胁恐吓</v>
      </c>
      <c r="C5172" s="2" t="s">
        <v>9</v>
      </c>
      <c r="D5172" s="2" t="s">
        <v>10</v>
      </c>
      <c r="E5172" s="2" t="str">
        <f>HYPERLINK("http://ts.21cn.com/tousu/show/id/1335987","http://ts.21cn.com/tousu/show/id/1335987")</f>
        <v>http://ts.21cn.com/tousu/show/id/1335987</v>
      </c>
      <c r="F5172" s="2" t="s">
        <v>11</v>
      </c>
      <c r="G5172" s="2" t="s">
        <v>33976</v>
      </c>
      <c r="H5172" s="2" t="s">
        <v>33977</v>
      </c>
    </row>
    <row r="5173" spans="1:8" ht="25.05" customHeight="1" x14ac:dyDescent="0.25">
      <c r="A5173" s="2" t="s">
        <v>8</v>
      </c>
      <c r="B5173" s="2" t="str">
        <f>HYPERLINK("http://ts.21cn.com/tousu/show/id/1335988","牛人有品高利贷砍头息")</f>
        <v>牛人有品高利贷砍头息</v>
      </c>
      <c r="C5173" s="2" t="s">
        <v>9</v>
      </c>
      <c r="D5173" s="2" t="s">
        <v>10</v>
      </c>
      <c r="E5173" s="2" t="str">
        <f>HYPERLINK("http://ts.21cn.com/tousu/show/id/1335988","http://ts.21cn.com/tousu/show/id/1335988")</f>
        <v>http://ts.21cn.com/tousu/show/id/1335988</v>
      </c>
      <c r="F5173" s="2" t="s">
        <v>11</v>
      </c>
      <c r="G5173" s="2" t="s">
        <v>33975</v>
      </c>
      <c r="H5173" s="2" t="s">
        <v>32761</v>
      </c>
    </row>
    <row r="5174" spans="1:8" ht="25.05" customHeight="1" x14ac:dyDescent="0.25">
      <c r="A5174" s="2" t="s">
        <v>8</v>
      </c>
      <c r="B5174" s="2" t="str">
        <f>HYPERLINK("http://ts.21cn.com/tousu/show/id/1335990","暴力催收，影响个人生活")</f>
        <v>暴力催收，影响个人生活</v>
      </c>
      <c r="C5174" s="2" t="s">
        <v>9</v>
      </c>
      <c r="D5174" s="2" t="s">
        <v>10</v>
      </c>
      <c r="E5174" s="2" t="str">
        <f>HYPERLINK("http://ts.21cn.com/tousu/show/id/1335990","http://ts.21cn.com/tousu/show/id/1335990")</f>
        <v>http://ts.21cn.com/tousu/show/id/1335990</v>
      </c>
      <c r="F5174" s="2" t="s">
        <v>11</v>
      </c>
      <c r="G5174" s="2" t="s">
        <v>33973</v>
      </c>
      <c r="H5174" s="2" t="s">
        <v>33974</v>
      </c>
    </row>
    <row r="5175" spans="1:8" ht="25.05" customHeight="1" x14ac:dyDescent="0.25">
      <c r="A5175" s="2" t="s">
        <v>8</v>
      </c>
      <c r="B5175" s="2" t="str">
        <f>HYPERLINK("http://ts.21cn.com/tousu/show/id/1335989","My钱包违法催收骚扰通讯录")</f>
        <v>My钱包违法催收骚扰通讯录</v>
      </c>
      <c r="C5175" s="2" t="s">
        <v>9</v>
      </c>
      <c r="D5175" s="2" t="s">
        <v>10</v>
      </c>
      <c r="E5175" s="2" t="str">
        <f>HYPERLINK("http://ts.21cn.com/tousu/show/id/1335989","http://ts.21cn.com/tousu/show/id/1335989")</f>
        <v>http://ts.21cn.com/tousu/show/id/1335989</v>
      </c>
      <c r="F5175" s="2" t="s">
        <v>11</v>
      </c>
      <c r="G5175" s="2" t="s">
        <v>33971</v>
      </c>
      <c r="H5175" s="2" t="s">
        <v>33972</v>
      </c>
    </row>
    <row r="5176" spans="1:8" ht="25.05" customHeight="1" x14ac:dyDescent="0.25">
      <c r="A5176" s="2" t="s">
        <v>8</v>
      </c>
      <c r="B5176" s="2" t="str">
        <f>HYPERLINK("http://ts.21cn.com/tousu/show/id/1335994","私自扣费")</f>
        <v>私自扣费</v>
      </c>
      <c r="C5176" s="2" t="s">
        <v>9</v>
      </c>
      <c r="D5176" s="2" t="s">
        <v>10</v>
      </c>
      <c r="E5176" s="2" t="str">
        <f>HYPERLINK("http://ts.21cn.com/tousu/show/id/1335994","http://ts.21cn.com/tousu/show/id/1335994")</f>
        <v>http://ts.21cn.com/tousu/show/id/1335994</v>
      </c>
      <c r="F5176" s="2" t="s">
        <v>11</v>
      </c>
      <c r="G5176" s="2" t="s">
        <v>33969</v>
      </c>
      <c r="H5176" s="2" t="s">
        <v>33970</v>
      </c>
    </row>
    <row r="5177" spans="1:8" ht="25.05" customHeight="1" x14ac:dyDescent="0.25">
      <c r="A5177" s="2" t="s">
        <v>8</v>
      </c>
      <c r="B5177" s="2" t="str">
        <f>HYPERLINK("http://ts.21cn.com/tousu/show/id/1335991","京东金条额度冻结")</f>
        <v>京东金条额度冻结</v>
      </c>
      <c r="C5177" s="2" t="s">
        <v>34</v>
      </c>
      <c r="D5177" s="2" t="s">
        <v>10</v>
      </c>
      <c r="E5177" s="2" t="str">
        <f>HYPERLINK("http://ts.21cn.com/tousu/show/id/1335991","http://ts.21cn.com/tousu/show/id/1335991")</f>
        <v>http://ts.21cn.com/tousu/show/id/1335991</v>
      </c>
      <c r="F5177" s="2" t="s">
        <v>11</v>
      </c>
      <c r="G5177" s="2" t="s">
        <v>33967</v>
      </c>
      <c r="H5177" s="2" t="s">
        <v>33968</v>
      </c>
    </row>
    <row r="5178" spans="1:8" ht="25.05" customHeight="1" x14ac:dyDescent="0.25">
      <c r="A5178" s="2" t="s">
        <v>8</v>
      </c>
      <c r="B5178" s="2" t="str">
        <f>HYPERLINK("http://ts.21cn.com/tousu/show/id/1335992","虚假指导")</f>
        <v>虚假指导</v>
      </c>
      <c r="C5178" s="2" t="s">
        <v>9</v>
      </c>
      <c r="D5178" s="2" t="s">
        <v>10</v>
      </c>
      <c r="E5178" s="2" t="str">
        <f>HYPERLINK("http://ts.21cn.com/tousu/show/id/1335992","http://ts.21cn.com/tousu/show/id/1335992")</f>
        <v>http://ts.21cn.com/tousu/show/id/1335992</v>
      </c>
      <c r="F5178" s="2" t="s">
        <v>11</v>
      </c>
      <c r="G5178" s="2" t="s">
        <v>33965</v>
      </c>
      <c r="H5178" s="2" t="s">
        <v>33966</v>
      </c>
    </row>
    <row r="5179" spans="1:8" ht="25.05" customHeight="1" x14ac:dyDescent="0.25">
      <c r="A5179" s="2" t="s">
        <v>8</v>
      </c>
      <c r="B5179" s="2" t="str">
        <f>HYPERLINK("http://ts.21cn.com/tousu/show/id/1335993","严重影响我现在的生活状态")</f>
        <v>严重影响我现在的生活状态</v>
      </c>
      <c r="C5179" s="2" t="s">
        <v>9</v>
      </c>
      <c r="D5179" s="2" t="s">
        <v>10</v>
      </c>
      <c r="E5179" s="2" t="str">
        <f>HYPERLINK("http://ts.21cn.com/tousu/show/id/1335993","http://ts.21cn.com/tousu/show/id/1335993")</f>
        <v>http://ts.21cn.com/tousu/show/id/1335993</v>
      </c>
      <c r="F5179" s="2" t="s">
        <v>11</v>
      </c>
      <c r="G5179" s="2" t="s">
        <v>33963</v>
      </c>
      <c r="H5179" s="2" t="s">
        <v>33964</v>
      </c>
    </row>
    <row r="5180" spans="1:8" ht="25.05" customHeight="1" x14ac:dyDescent="0.25">
      <c r="A5180" s="2" t="s">
        <v>8</v>
      </c>
      <c r="B5180" s="2" t="str">
        <f>HYPERLINK("http://ts.21cn.com/tousu/show/id/1335996","停止骚扰")</f>
        <v>停止骚扰</v>
      </c>
      <c r="C5180" s="2" t="s">
        <v>9</v>
      </c>
      <c r="D5180" s="2" t="s">
        <v>10</v>
      </c>
      <c r="E5180" s="2" t="str">
        <f>HYPERLINK("http://ts.21cn.com/tousu/show/id/1335996","http://ts.21cn.com/tousu/show/id/1335996")</f>
        <v>http://ts.21cn.com/tousu/show/id/1335996</v>
      </c>
      <c r="F5180" s="2" t="s">
        <v>11</v>
      </c>
      <c r="G5180" s="2" t="s">
        <v>33961</v>
      </c>
      <c r="H5180" s="2" t="s">
        <v>33962</v>
      </c>
    </row>
    <row r="5181" spans="1:8" ht="25.05" customHeight="1" x14ac:dyDescent="0.25">
      <c r="A5181" s="2" t="s">
        <v>8</v>
      </c>
      <c r="B5181" s="2" t="str">
        <f>HYPERLINK("http://ts.21cn.com/tousu/show/id/1336002","乱扣银行卡里面的余额")</f>
        <v>乱扣银行卡里面的余额</v>
      </c>
      <c r="C5181" s="2" t="s">
        <v>9</v>
      </c>
      <c r="D5181" s="2" t="s">
        <v>10</v>
      </c>
      <c r="E5181" s="2" t="str">
        <f>HYPERLINK("http://ts.21cn.com/tousu/show/id/1336002","http://ts.21cn.com/tousu/show/id/1336002")</f>
        <v>http://ts.21cn.com/tousu/show/id/1336002</v>
      </c>
      <c r="F5181" s="2" t="s">
        <v>11</v>
      </c>
      <c r="G5181" s="2" t="s">
        <v>33959</v>
      </c>
      <c r="H5181" s="2" t="s">
        <v>33960</v>
      </c>
    </row>
    <row r="5182" spans="1:8" ht="25.05" customHeight="1" x14ac:dyDescent="0.25">
      <c r="A5182" s="2" t="s">
        <v>8</v>
      </c>
      <c r="B5182" s="2" t="str">
        <f>HYPERLINK("http://ts.21cn.com/tousu/show/id/1335997","高利贷")</f>
        <v>高利贷</v>
      </c>
      <c r="C5182" s="2" t="s">
        <v>9</v>
      </c>
      <c r="D5182" s="2" t="s">
        <v>10</v>
      </c>
      <c r="E5182" s="2" t="str">
        <f>HYPERLINK("http://ts.21cn.com/tousu/show/id/1335997","http://ts.21cn.com/tousu/show/id/1335997")</f>
        <v>http://ts.21cn.com/tousu/show/id/1335997</v>
      </c>
      <c r="F5182" s="2" t="s">
        <v>11</v>
      </c>
      <c r="G5182" s="2" t="s">
        <v>33957</v>
      </c>
      <c r="H5182" s="2" t="s">
        <v>33958</v>
      </c>
    </row>
    <row r="5183" spans="1:8" ht="25.05" customHeight="1" x14ac:dyDescent="0.25">
      <c r="A5183" s="2" t="s">
        <v>8</v>
      </c>
      <c r="B5183" s="2" t="str">
        <f>HYPERLINK("http://ts.21cn.com/tousu/show/id/1335998","闪银闪豆平台客服不处理，有还款意愿")</f>
        <v>闪银闪豆平台客服不处理，有还款意愿</v>
      </c>
      <c r="C5183" s="2" t="s">
        <v>9</v>
      </c>
      <c r="D5183" s="2" t="s">
        <v>10</v>
      </c>
      <c r="E5183" s="2" t="str">
        <f>HYPERLINK("http://ts.21cn.com/tousu/show/id/1335998","http://ts.21cn.com/tousu/show/id/1335998")</f>
        <v>http://ts.21cn.com/tousu/show/id/1335998</v>
      </c>
      <c r="F5183" s="2" t="s">
        <v>11</v>
      </c>
      <c r="G5183" s="2" t="s">
        <v>33955</v>
      </c>
      <c r="H5183" s="2" t="s">
        <v>33956</v>
      </c>
    </row>
    <row r="5184" spans="1:8" ht="25.05" customHeight="1" x14ac:dyDescent="0.25">
      <c r="A5184" s="2" t="s">
        <v>8</v>
      </c>
      <c r="B5184" s="2" t="str">
        <f>HYPERLINK("http://ts.21cn.com/tousu/show/id/1335999","立借的利息与实际所收不符")</f>
        <v>立借的利息与实际所收不符</v>
      </c>
      <c r="C5184" s="2" t="s">
        <v>9</v>
      </c>
      <c r="D5184" s="2" t="s">
        <v>10</v>
      </c>
      <c r="E5184" s="2" t="str">
        <f>HYPERLINK("http://ts.21cn.com/tousu/show/id/1335999","http://ts.21cn.com/tousu/show/id/1335999")</f>
        <v>http://ts.21cn.com/tousu/show/id/1335999</v>
      </c>
      <c r="F5184" s="2" t="s">
        <v>11</v>
      </c>
      <c r="G5184" s="2" t="s">
        <v>33953</v>
      </c>
      <c r="H5184" s="2" t="s">
        <v>33954</v>
      </c>
    </row>
    <row r="5185" spans="1:8" ht="25.05" customHeight="1" x14ac:dyDescent="0.25">
      <c r="A5185" s="2" t="s">
        <v>8</v>
      </c>
      <c r="B5185" s="2" t="str">
        <f>HYPERLINK("http://ts.21cn.com/tousu/show/id/1336004","贷上钱高利贷骚扰")</f>
        <v>贷上钱高利贷骚扰</v>
      </c>
      <c r="C5185" s="2" t="s">
        <v>9</v>
      </c>
      <c r="D5185" s="2" t="s">
        <v>10</v>
      </c>
      <c r="E5185" s="2" t="str">
        <f>HYPERLINK("http://ts.21cn.com/tousu/show/id/1336004","http://ts.21cn.com/tousu/show/id/1336004")</f>
        <v>http://ts.21cn.com/tousu/show/id/1336004</v>
      </c>
      <c r="F5185" s="2" t="s">
        <v>11</v>
      </c>
      <c r="G5185" s="2" t="s">
        <v>33951</v>
      </c>
      <c r="H5185" s="2" t="s">
        <v>33952</v>
      </c>
    </row>
    <row r="5186" spans="1:8" ht="25.05" customHeight="1" x14ac:dyDescent="0.25">
      <c r="A5186" s="2" t="s">
        <v>8</v>
      </c>
      <c r="B5186" s="2" t="str">
        <f>HYPERLINK("http://ts.21cn.com/tousu/show/id/1336000","暴力倾向")</f>
        <v>暴力倾向</v>
      </c>
      <c r="C5186" s="2" t="s">
        <v>9</v>
      </c>
      <c r="D5186" s="2" t="s">
        <v>10</v>
      </c>
      <c r="E5186" s="2" t="str">
        <f>HYPERLINK("http://ts.21cn.com/tousu/show/id/1336000","http://ts.21cn.com/tousu/show/id/1336000")</f>
        <v>http://ts.21cn.com/tousu/show/id/1336000</v>
      </c>
      <c r="F5186" s="2" t="s">
        <v>11</v>
      </c>
      <c r="G5186" s="2" t="s">
        <v>33949</v>
      </c>
      <c r="H5186" s="2" t="s">
        <v>33950</v>
      </c>
    </row>
    <row r="5187" spans="1:8" ht="25.05" customHeight="1" x14ac:dyDescent="0.25">
      <c r="A5187" s="2" t="s">
        <v>8</v>
      </c>
      <c r="B5187" s="2" t="str">
        <f>HYPERLINK("http://ts.21cn.com/tousu/show/id/1336001","阳光保险与活力花同流合污阴阳合同捆绑保险")</f>
        <v>阳光保险与活力花同流合污阴阳合同捆绑保险</v>
      </c>
      <c r="C5187" s="2" t="s">
        <v>9</v>
      </c>
      <c r="D5187" s="2" t="s">
        <v>10</v>
      </c>
      <c r="E5187" s="2" t="str">
        <f>HYPERLINK("http://ts.21cn.com/tousu/show/id/1336001","http://ts.21cn.com/tousu/show/id/1336001")</f>
        <v>http://ts.21cn.com/tousu/show/id/1336001</v>
      </c>
      <c r="F5187" s="2" t="s">
        <v>11</v>
      </c>
      <c r="G5187" s="2" t="s">
        <v>33947</v>
      </c>
      <c r="H5187" s="2" t="s">
        <v>33948</v>
      </c>
    </row>
    <row r="5188" spans="1:8" ht="25.05" customHeight="1" x14ac:dyDescent="0.25">
      <c r="A5188" s="2" t="s">
        <v>8</v>
      </c>
      <c r="B5188" s="2" t="str">
        <f>HYPERLINK("http://ts.21cn.com/tousu/show/id/1336003","违规支付渠道，应全额退回")</f>
        <v>违规支付渠道，应全额退回</v>
      </c>
      <c r="C5188" s="2" t="s">
        <v>9</v>
      </c>
      <c r="D5188" s="2" t="s">
        <v>10</v>
      </c>
      <c r="E5188" s="2" t="str">
        <f>HYPERLINK("http://ts.21cn.com/tousu/show/id/1336003","http://ts.21cn.com/tousu/show/id/1336003")</f>
        <v>http://ts.21cn.com/tousu/show/id/1336003</v>
      </c>
      <c r="F5188" s="2" t="s">
        <v>11</v>
      </c>
      <c r="G5188" s="2" t="s">
        <v>33945</v>
      </c>
      <c r="H5188" s="2" t="s">
        <v>33946</v>
      </c>
    </row>
    <row r="5189" spans="1:8" ht="25.05" customHeight="1" x14ac:dyDescent="0.25">
      <c r="A5189" s="2" t="s">
        <v>8</v>
      </c>
      <c r="B5189" s="2" t="str">
        <f>HYPERLINK("http://ts.21cn.com/tousu/show/id/1336006","小赢卡贷合同与实际还款不一致")</f>
        <v>小赢卡贷合同与实际还款不一致</v>
      </c>
      <c r="C5189" s="2" t="s">
        <v>9</v>
      </c>
      <c r="D5189" s="2" t="s">
        <v>10</v>
      </c>
      <c r="E5189" s="2" t="str">
        <f>HYPERLINK("http://ts.21cn.com/tousu/show/id/1336006","http://ts.21cn.com/tousu/show/id/1336006")</f>
        <v>http://ts.21cn.com/tousu/show/id/1336006</v>
      </c>
      <c r="F5189" s="2" t="s">
        <v>11</v>
      </c>
      <c r="G5189" s="2" t="s">
        <v>33943</v>
      </c>
      <c r="H5189" s="2" t="s">
        <v>33944</v>
      </c>
    </row>
    <row r="5190" spans="1:8" ht="25.05" customHeight="1" x14ac:dyDescent="0.25">
      <c r="A5190" s="2" t="s">
        <v>8</v>
      </c>
      <c r="B5190" s="2" t="str">
        <f>HYPERLINK("http://ts.21cn.com/tousu/show/id/1336005","高利贷，714高炮")</f>
        <v>高利贷，714高炮</v>
      </c>
      <c r="C5190" s="2" t="s">
        <v>9</v>
      </c>
      <c r="D5190" s="2" t="s">
        <v>10</v>
      </c>
      <c r="E5190" s="2" t="str">
        <f>HYPERLINK("http://ts.21cn.com/tousu/show/id/1336005","http://ts.21cn.com/tousu/show/id/1336005")</f>
        <v>http://ts.21cn.com/tousu/show/id/1336005</v>
      </c>
      <c r="F5190" s="2" t="s">
        <v>11</v>
      </c>
      <c r="G5190" s="2" t="s">
        <v>33941</v>
      </c>
      <c r="H5190" s="2" t="s">
        <v>33942</v>
      </c>
    </row>
    <row r="5191" spans="1:8" ht="25.05" customHeight="1" x14ac:dyDescent="0.25">
      <c r="A5191" s="2" t="s">
        <v>8</v>
      </c>
      <c r="B5191" s="2" t="str">
        <f>HYPERLINK("http://ts.21cn.com/tousu/show/id/1336007","中腾信套路贷，暴力催收")</f>
        <v>中腾信套路贷，暴力催收</v>
      </c>
      <c r="C5191" s="2" t="s">
        <v>9</v>
      </c>
      <c r="D5191" s="2" t="s">
        <v>10</v>
      </c>
      <c r="E5191" s="2" t="str">
        <f>HYPERLINK("http://ts.21cn.com/tousu/show/id/1336007","http://ts.21cn.com/tousu/show/id/1336007")</f>
        <v>http://ts.21cn.com/tousu/show/id/1336007</v>
      </c>
      <c r="F5191" s="2" t="s">
        <v>11</v>
      </c>
      <c r="G5191" s="2" t="s">
        <v>33939</v>
      </c>
      <c r="H5191" s="2" t="s">
        <v>33940</v>
      </c>
    </row>
    <row r="5192" spans="1:8" ht="25.05" customHeight="1" x14ac:dyDescent="0.25">
      <c r="A5192" s="2" t="s">
        <v>8</v>
      </c>
      <c r="B5192" s="2" t="str">
        <f>HYPERLINK("http://ts.21cn.com/tousu/show/id/1336010","讯联智付中兴付")</f>
        <v>讯联智付中兴付</v>
      </c>
      <c r="C5192" s="2" t="s">
        <v>9</v>
      </c>
      <c r="D5192" s="2" t="s">
        <v>10</v>
      </c>
      <c r="E5192" s="2" t="str">
        <f>HYPERLINK("http://ts.21cn.com/tousu/show/id/1336010","http://ts.21cn.com/tousu/show/id/1336010")</f>
        <v>http://ts.21cn.com/tousu/show/id/1336010</v>
      </c>
      <c r="F5192" s="2" t="s">
        <v>11</v>
      </c>
      <c r="G5192" s="2" t="s">
        <v>33937</v>
      </c>
      <c r="H5192" s="2" t="s">
        <v>33938</v>
      </c>
    </row>
    <row r="5193" spans="1:8" ht="25.05" customHeight="1" x14ac:dyDescent="0.25">
      <c r="A5193" s="2" t="s">
        <v>8</v>
      </c>
      <c r="B5193" s="2" t="str">
        <f>HYPERLINK("http://ts.21cn.com/tousu/show/id/1336009","张口骂我侮辱我")</f>
        <v>张口骂我侮辱我</v>
      </c>
      <c r="C5193" s="2" t="s">
        <v>9</v>
      </c>
      <c r="D5193" s="2" t="s">
        <v>10</v>
      </c>
      <c r="E5193" s="2" t="str">
        <f>HYPERLINK("http://ts.21cn.com/tousu/show/id/1336009","http://ts.21cn.com/tousu/show/id/1336009")</f>
        <v>http://ts.21cn.com/tousu/show/id/1336009</v>
      </c>
      <c r="F5193" s="2" t="s">
        <v>11</v>
      </c>
      <c r="G5193" s="2" t="s">
        <v>33935</v>
      </c>
      <c r="H5193" s="2" t="s">
        <v>33936</v>
      </c>
    </row>
    <row r="5194" spans="1:8" ht="25.05" customHeight="1" x14ac:dyDescent="0.25">
      <c r="A5194" s="2" t="s">
        <v>8</v>
      </c>
      <c r="B5194" s="2" t="str">
        <f>HYPERLINK("http://ts.21cn.com/tousu/show/id/1336011","玖富万卡擅自改写合同，变相收取费用，高利贷")</f>
        <v>玖富万卡擅自改写合同，变相收取费用，高利贷</v>
      </c>
      <c r="C5194" s="2" t="s">
        <v>9</v>
      </c>
      <c r="D5194" s="2" t="s">
        <v>10</v>
      </c>
      <c r="E5194" s="2" t="str">
        <f>HYPERLINK("http://ts.21cn.com/tousu/show/id/1336011","http://ts.21cn.com/tousu/show/id/1336011")</f>
        <v>http://ts.21cn.com/tousu/show/id/1336011</v>
      </c>
      <c r="F5194" s="2" t="s">
        <v>11</v>
      </c>
      <c r="G5194" s="2" t="s">
        <v>33933</v>
      </c>
      <c r="H5194" s="2" t="s">
        <v>33934</v>
      </c>
    </row>
    <row r="5195" spans="1:8" ht="25.05" customHeight="1" x14ac:dyDescent="0.25">
      <c r="A5195" s="2" t="s">
        <v>8</v>
      </c>
      <c r="B5195" s="2" t="str">
        <f>HYPERLINK("http://ts.21cn.com/tousu/show/id/1336013","逾期协商不同意，利息都9000多，一个贷了17500")</f>
        <v>逾期协商不同意，利息都9000多，一个贷了17500</v>
      </c>
      <c r="C5195" s="2" t="s">
        <v>9</v>
      </c>
      <c r="D5195" s="2" t="s">
        <v>10</v>
      </c>
      <c r="E5195" s="2" t="str">
        <f>HYPERLINK("http://ts.21cn.com/tousu/show/id/1336013","http://ts.21cn.com/tousu/show/id/1336013")</f>
        <v>http://ts.21cn.com/tousu/show/id/1336013</v>
      </c>
      <c r="F5195" s="2" t="s">
        <v>11</v>
      </c>
      <c r="G5195" s="2" t="s">
        <v>33931</v>
      </c>
      <c r="H5195" s="2" t="s">
        <v>33932</v>
      </c>
    </row>
    <row r="5196" spans="1:8" ht="25.05" customHeight="1" x14ac:dyDescent="0.25">
      <c r="A5196" s="2" t="s">
        <v>8</v>
      </c>
      <c r="B5196" s="2" t="str">
        <f>HYPERLINK("http://ts.21cn.com/tousu/show/id/1336012","你我贷")</f>
        <v>你我贷</v>
      </c>
      <c r="C5196" s="2" t="s">
        <v>9</v>
      </c>
      <c r="D5196" s="2" t="s">
        <v>10</v>
      </c>
      <c r="E5196" s="2" t="str">
        <f>HYPERLINK("http://ts.21cn.com/tousu/show/id/1336012","http://ts.21cn.com/tousu/show/id/1336012")</f>
        <v>http://ts.21cn.com/tousu/show/id/1336012</v>
      </c>
      <c r="F5196" s="2" t="s">
        <v>11</v>
      </c>
      <c r="G5196" s="2" t="s">
        <v>33929</v>
      </c>
      <c r="H5196" s="2" t="s">
        <v>33930</v>
      </c>
    </row>
    <row r="5197" spans="1:8" ht="25.05" customHeight="1" x14ac:dyDescent="0.25">
      <c r="A5197" s="2" t="s">
        <v>8</v>
      </c>
      <c r="B5197" s="2" t="str">
        <f>HYPERLINK("http://ts.21cn.com/tousu/show/id/1336014","信用钱包高利贷")</f>
        <v>信用钱包高利贷</v>
      </c>
      <c r="C5197" s="2" t="s">
        <v>9</v>
      </c>
      <c r="D5197" s="2" t="s">
        <v>10</v>
      </c>
      <c r="E5197" s="2" t="str">
        <f>HYPERLINK("http://ts.21cn.com/tousu/show/id/1336014","http://ts.21cn.com/tousu/show/id/1336014")</f>
        <v>http://ts.21cn.com/tousu/show/id/1336014</v>
      </c>
      <c r="F5197" s="2" t="s">
        <v>11</v>
      </c>
      <c r="G5197" s="2" t="s">
        <v>33927</v>
      </c>
      <c r="H5197" s="2" t="s">
        <v>33928</v>
      </c>
    </row>
    <row r="5198" spans="1:8" ht="25.05" customHeight="1" x14ac:dyDescent="0.25">
      <c r="A5198" s="2" t="s">
        <v>8</v>
      </c>
      <c r="B5198" s="2" t="str">
        <f>HYPERLINK("http://ts.21cn.com/tousu/show/id/1336015","中信信用卡高利贷")</f>
        <v>中信信用卡高利贷</v>
      </c>
      <c r="C5198" s="2" t="s">
        <v>9</v>
      </c>
      <c r="D5198" s="2" t="s">
        <v>10</v>
      </c>
      <c r="E5198" s="2" t="str">
        <f>HYPERLINK("http://ts.21cn.com/tousu/show/id/1336015","http://ts.21cn.com/tousu/show/id/1336015")</f>
        <v>http://ts.21cn.com/tousu/show/id/1336015</v>
      </c>
      <c r="F5198" s="2" t="s">
        <v>11</v>
      </c>
      <c r="G5198" s="2" t="s">
        <v>33925</v>
      </c>
      <c r="H5198" s="2" t="s">
        <v>33926</v>
      </c>
    </row>
    <row r="5199" spans="1:8" ht="25.05" customHeight="1" x14ac:dyDescent="0.25">
      <c r="A5199" s="2" t="s">
        <v>8</v>
      </c>
      <c r="B5199" s="2" t="str">
        <f>HYPERLINK("http://ts.21cn.com/tousu/show/id/1336016","停止催收，放宽10天还款时间，调整利率")</f>
        <v>停止催收，放宽10天还款时间，调整利率</v>
      </c>
      <c r="C5199" s="2" t="s">
        <v>9</v>
      </c>
      <c r="D5199" s="2" t="s">
        <v>10</v>
      </c>
      <c r="E5199" s="2" t="str">
        <f>HYPERLINK("http://ts.21cn.com/tousu/show/id/1336016","http://ts.21cn.com/tousu/show/id/1336016")</f>
        <v>http://ts.21cn.com/tousu/show/id/1336016</v>
      </c>
      <c r="F5199" s="2" t="s">
        <v>11</v>
      </c>
      <c r="G5199" s="2" t="s">
        <v>33923</v>
      </c>
      <c r="H5199" s="2" t="s">
        <v>33924</v>
      </c>
    </row>
    <row r="5200" spans="1:8" ht="25.05" customHeight="1" x14ac:dyDescent="0.25">
      <c r="A5200" s="2" t="s">
        <v>8</v>
      </c>
      <c r="B5200" s="2" t="str">
        <f>HYPERLINK("http://ts.21cn.com/tousu/show/id/1336017","帮我朋友来投诉的")</f>
        <v>帮我朋友来投诉的</v>
      </c>
      <c r="C5200" s="2" t="s">
        <v>34</v>
      </c>
      <c r="D5200" s="2" t="s">
        <v>10</v>
      </c>
      <c r="E5200" s="2" t="str">
        <f>HYPERLINK("http://ts.21cn.com/tousu/show/id/1336017","http://ts.21cn.com/tousu/show/id/1336017")</f>
        <v>http://ts.21cn.com/tousu/show/id/1336017</v>
      </c>
      <c r="F5200" s="2" t="s">
        <v>11</v>
      </c>
      <c r="G5200" s="2" t="s">
        <v>33921</v>
      </c>
      <c r="H5200" s="2" t="s">
        <v>33922</v>
      </c>
    </row>
    <row r="5201" spans="1:8" ht="25.05" customHeight="1" x14ac:dyDescent="0.25">
      <c r="A5201" s="2" t="s">
        <v>8</v>
      </c>
      <c r="B5201" s="2" t="str">
        <f>HYPERLINK("http://ts.21cn.com/tousu/show/id/1335986","714高炮高利贷")</f>
        <v>714高炮高利贷</v>
      </c>
      <c r="C5201" s="2" t="s">
        <v>9</v>
      </c>
      <c r="D5201" s="2" t="s">
        <v>10</v>
      </c>
      <c r="E5201" s="2" t="str">
        <f>HYPERLINK("http://ts.21cn.com/tousu/show/id/1335986","http://ts.21cn.com/tousu/show/id/1335986")</f>
        <v>http://ts.21cn.com/tousu/show/id/1335986</v>
      </c>
      <c r="F5201" s="2" t="s">
        <v>11</v>
      </c>
      <c r="G5201" s="2" t="s">
        <v>33919</v>
      </c>
      <c r="H5201" s="2" t="s">
        <v>33920</v>
      </c>
    </row>
    <row r="5202" spans="1:8" ht="25.05" customHeight="1" x14ac:dyDescent="0.25">
      <c r="A5202" s="2" t="s">
        <v>8</v>
      </c>
      <c r="B5202" s="2" t="str">
        <f>HYPERLINK("http://ts.21cn.com/tousu/show/id/1336020","大手钱包涉嫌高利贷")</f>
        <v>大手钱包涉嫌高利贷</v>
      </c>
      <c r="C5202" s="2" t="s">
        <v>9</v>
      </c>
      <c r="D5202" s="2" t="s">
        <v>10</v>
      </c>
      <c r="E5202" s="2" t="str">
        <f>HYPERLINK("http://ts.21cn.com/tousu/show/id/1336020","http://ts.21cn.com/tousu/show/id/1336020")</f>
        <v>http://ts.21cn.com/tousu/show/id/1336020</v>
      </c>
      <c r="F5202" s="2" t="s">
        <v>11</v>
      </c>
      <c r="G5202" s="2" t="s">
        <v>33917</v>
      </c>
      <c r="H5202" s="2" t="s">
        <v>33918</v>
      </c>
    </row>
    <row r="5203" spans="1:8" ht="25.05" customHeight="1" x14ac:dyDescent="0.25">
      <c r="A5203" s="2" t="s">
        <v>8</v>
      </c>
      <c r="B5203" s="2" t="str">
        <f>HYPERLINK("http://ts.21cn.com/tousu/show/id/1336019","小浦优客未经同意扣款")</f>
        <v>小浦优客未经同意扣款</v>
      </c>
      <c r="C5203" s="2" t="s">
        <v>34</v>
      </c>
      <c r="D5203" s="2" t="s">
        <v>10</v>
      </c>
      <c r="E5203" s="2" t="str">
        <f>HYPERLINK("http://ts.21cn.com/tousu/show/id/1336019","http://ts.21cn.com/tousu/show/id/1336019")</f>
        <v>http://ts.21cn.com/tousu/show/id/1336019</v>
      </c>
      <c r="F5203" s="2" t="s">
        <v>11</v>
      </c>
      <c r="G5203" s="2" t="s">
        <v>33915</v>
      </c>
      <c r="H5203" s="2" t="s">
        <v>33916</v>
      </c>
    </row>
    <row r="5204" spans="1:8" ht="25.05" customHeight="1" x14ac:dyDescent="0.25">
      <c r="A5204" s="2" t="s">
        <v>8</v>
      </c>
      <c r="B5204" s="2" t="str">
        <f>HYPERLINK("http://ts.21cn.com/tousu/show/id/1336021","强制销售保险")</f>
        <v>强制销售保险</v>
      </c>
      <c r="C5204" s="2" t="s">
        <v>9</v>
      </c>
      <c r="D5204" s="2" t="s">
        <v>10</v>
      </c>
      <c r="E5204" s="2" t="str">
        <f>HYPERLINK("http://ts.21cn.com/tousu/show/id/1336021","http://ts.21cn.com/tousu/show/id/1336021")</f>
        <v>http://ts.21cn.com/tousu/show/id/1336021</v>
      </c>
      <c r="F5204" s="2" t="s">
        <v>11</v>
      </c>
      <c r="G5204" s="2" t="s">
        <v>33913</v>
      </c>
      <c r="H5204" s="2" t="s">
        <v>33914</v>
      </c>
    </row>
    <row r="5205" spans="1:8" ht="25.05" customHeight="1" x14ac:dyDescent="0.25">
      <c r="A5205" s="2" t="s">
        <v>8</v>
      </c>
      <c r="B5205" s="2" t="str">
        <f>HYPERLINK("http://ts.21cn.com/tousu/show/id/1336022","哆咪黑卡直接扣除我银行卡现金")</f>
        <v>哆咪黑卡直接扣除我银行卡现金</v>
      </c>
      <c r="C5205" s="2" t="s">
        <v>9</v>
      </c>
      <c r="D5205" s="2" t="s">
        <v>10</v>
      </c>
      <c r="E5205" s="2" t="str">
        <f>HYPERLINK("http://ts.21cn.com/tousu/show/id/1336022","http://ts.21cn.com/tousu/show/id/1336022")</f>
        <v>http://ts.21cn.com/tousu/show/id/1336022</v>
      </c>
      <c r="F5205" s="2" t="s">
        <v>11</v>
      </c>
      <c r="G5205" s="2" t="s">
        <v>33911</v>
      </c>
      <c r="H5205" s="2" t="s">
        <v>33912</v>
      </c>
    </row>
    <row r="5206" spans="1:8" ht="25.05" customHeight="1" x14ac:dyDescent="0.25">
      <c r="A5206" s="2" t="s">
        <v>8</v>
      </c>
      <c r="B5206" s="2" t="str">
        <f>HYPERLINK("http://ts.21cn.com/tousu/show/id/1336023","你我贷暴利催收")</f>
        <v>你我贷暴利催收</v>
      </c>
      <c r="C5206" s="2" t="s">
        <v>9</v>
      </c>
      <c r="D5206" s="2" t="s">
        <v>10</v>
      </c>
      <c r="E5206" s="2" t="str">
        <f>HYPERLINK("http://ts.21cn.com/tousu/show/id/1336023","http://ts.21cn.com/tousu/show/id/1336023")</f>
        <v>http://ts.21cn.com/tousu/show/id/1336023</v>
      </c>
      <c r="F5206" s="2" t="s">
        <v>11</v>
      </c>
      <c r="G5206" s="2" t="s">
        <v>33909</v>
      </c>
      <c r="H5206" s="2" t="s">
        <v>33910</v>
      </c>
    </row>
    <row r="5207" spans="1:8" ht="25.05" customHeight="1" x14ac:dyDescent="0.25">
      <c r="A5207" s="2" t="s">
        <v>8</v>
      </c>
      <c r="B5207" s="2" t="str">
        <f>HYPERLINK("http://ts.21cn.com/tousu/show/id/1336024","小浦优客未提示要扣款，擅自扣款要求退回")</f>
        <v>小浦优客未提示要扣款，擅自扣款要求退回</v>
      </c>
      <c r="C5207" s="2" t="s">
        <v>9</v>
      </c>
      <c r="D5207" s="2" t="s">
        <v>10</v>
      </c>
      <c r="E5207" s="2" t="str">
        <f>HYPERLINK("http://ts.21cn.com/tousu/show/id/1336024","http://ts.21cn.com/tousu/show/id/1336024")</f>
        <v>http://ts.21cn.com/tousu/show/id/1336024</v>
      </c>
      <c r="F5207" s="2" t="s">
        <v>11</v>
      </c>
      <c r="G5207" s="2" t="s">
        <v>33907</v>
      </c>
      <c r="H5207" s="2" t="s">
        <v>33908</v>
      </c>
    </row>
    <row r="5208" spans="1:8" ht="25.05" customHeight="1" x14ac:dyDescent="0.25">
      <c r="A5208" s="2" t="s">
        <v>8</v>
      </c>
      <c r="B5208" s="2" t="str">
        <f>HYPERLINK("http://ts.21cn.com/tousu/show/id/1336025","要求平安普惠金融停止骚扰，并主动协商")</f>
        <v>要求平安普惠金融停止骚扰，并主动协商</v>
      </c>
      <c r="C5208" s="2" t="s">
        <v>9</v>
      </c>
      <c r="D5208" s="2" t="s">
        <v>10</v>
      </c>
      <c r="E5208" s="2" t="str">
        <f>HYPERLINK("http://ts.21cn.com/tousu/show/id/1336025","http://ts.21cn.com/tousu/show/id/1336025")</f>
        <v>http://ts.21cn.com/tousu/show/id/1336025</v>
      </c>
      <c r="F5208" s="2" t="s">
        <v>11</v>
      </c>
      <c r="G5208" s="2" t="s">
        <v>33905</v>
      </c>
      <c r="H5208" s="2" t="s">
        <v>33906</v>
      </c>
    </row>
    <row r="5209" spans="1:8" ht="25.05" customHeight="1" x14ac:dyDescent="0.25">
      <c r="A5209" s="2" t="s">
        <v>8</v>
      </c>
      <c r="B5209" s="2" t="str">
        <f>HYPERLINK("http://ts.21cn.com/tousu/show/id/1336026","莫名其妙被扣了198")</f>
        <v>莫名其妙被扣了198</v>
      </c>
      <c r="C5209" s="2" t="s">
        <v>9</v>
      </c>
      <c r="D5209" s="2" t="s">
        <v>10</v>
      </c>
      <c r="E5209" s="2" t="str">
        <f>HYPERLINK("http://ts.21cn.com/tousu/show/id/1336026","http://ts.21cn.com/tousu/show/id/1336026")</f>
        <v>http://ts.21cn.com/tousu/show/id/1336026</v>
      </c>
      <c r="F5209" s="2" t="s">
        <v>11</v>
      </c>
      <c r="G5209" s="2" t="s">
        <v>33903</v>
      </c>
      <c r="H5209" s="2" t="s">
        <v>33904</v>
      </c>
    </row>
    <row r="5210" spans="1:8" ht="25.05" customHeight="1" x14ac:dyDescent="0.25">
      <c r="A5210" s="2" t="s">
        <v>8</v>
      </c>
      <c r="B5210" s="2" t="str">
        <f>HYPERLINK("http://ts.21cn.com/tousu/show/id/1336027","高利贷，砍头系，国家毒瘤")</f>
        <v>高利贷，砍头系，国家毒瘤</v>
      </c>
      <c r="C5210" s="2" t="s">
        <v>9</v>
      </c>
      <c r="D5210" s="2" t="s">
        <v>10</v>
      </c>
      <c r="E5210" s="2" t="str">
        <f>HYPERLINK("http://ts.21cn.com/tousu/show/id/1336027","http://ts.21cn.com/tousu/show/id/1336027")</f>
        <v>http://ts.21cn.com/tousu/show/id/1336027</v>
      </c>
      <c r="F5210" s="2" t="s">
        <v>11</v>
      </c>
      <c r="G5210" s="2" t="s">
        <v>33901</v>
      </c>
      <c r="H5210" s="2" t="s">
        <v>33902</v>
      </c>
    </row>
    <row r="5211" spans="1:8" ht="25.05" customHeight="1" x14ac:dyDescent="0.25">
      <c r="A5211" s="2" t="s">
        <v>8</v>
      </c>
      <c r="B5211" s="2" t="str">
        <f>HYPERLINK("http://ts.21cn.com/tousu/show/id/1336030","钱站高利贷阴阳合同")</f>
        <v>钱站高利贷阴阳合同</v>
      </c>
      <c r="C5211" s="2" t="s">
        <v>9</v>
      </c>
      <c r="D5211" s="2" t="s">
        <v>10</v>
      </c>
      <c r="E5211" s="2" t="str">
        <f>HYPERLINK("http://ts.21cn.com/tousu/show/id/1336030","http://ts.21cn.com/tousu/show/id/1336030")</f>
        <v>http://ts.21cn.com/tousu/show/id/1336030</v>
      </c>
      <c r="F5211" s="2" t="s">
        <v>11</v>
      </c>
      <c r="G5211" s="2" t="s">
        <v>33899</v>
      </c>
      <c r="H5211" s="2" t="s">
        <v>33900</v>
      </c>
    </row>
    <row r="5212" spans="1:8" ht="25.05" customHeight="1" x14ac:dyDescent="0.25">
      <c r="A5212" s="2" t="s">
        <v>8</v>
      </c>
      <c r="B5212" s="2" t="str">
        <f>HYPERLINK("http://ts.21cn.com/tousu/show/id/1336028","多乐优品高利息")</f>
        <v>多乐优品高利息</v>
      </c>
      <c r="C5212" s="2" t="s">
        <v>9</v>
      </c>
      <c r="D5212" s="2" t="s">
        <v>10</v>
      </c>
      <c r="E5212" s="2" t="str">
        <f>HYPERLINK("http://ts.21cn.com/tousu/show/id/1336028","http://ts.21cn.com/tousu/show/id/1336028")</f>
        <v>http://ts.21cn.com/tousu/show/id/1336028</v>
      </c>
      <c r="F5212" s="2" t="s">
        <v>11</v>
      </c>
      <c r="G5212" s="2" t="s">
        <v>33897</v>
      </c>
      <c r="H5212" s="2" t="s">
        <v>33898</v>
      </c>
    </row>
    <row r="5213" spans="1:8" ht="25.05" customHeight="1" x14ac:dyDescent="0.25">
      <c r="A5213" s="2" t="s">
        <v>8</v>
      </c>
      <c r="B5213" s="2" t="str">
        <f>HYPERLINK("http://ts.21cn.com/tousu/show/id/1336031","你我贷秒借高利贷或服务费收取过高")</f>
        <v>你我贷秒借高利贷或服务费收取过高</v>
      </c>
      <c r="C5213" s="2" t="s">
        <v>9</v>
      </c>
      <c r="D5213" s="2" t="s">
        <v>10</v>
      </c>
      <c r="E5213" s="2" t="str">
        <f>HYPERLINK("http://ts.21cn.com/tousu/show/id/1336031","http://ts.21cn.com/tousu/show/id/1336031")</f>
        <v>http://ts.21cn.com/tousu/show/id/1336031</v>
      </c>
      <c r="F5213" s="2" t="s">
        <v>11</v>
      </c>
      <c r="G5213" s="2" t="s">
        <v>33895</v>
      </c>
      <c r="H5213" s="2" t="s">
        <v>33896</v>
      </c>
    </row>
    <row r="5214" spans="1:8" ht="25.05" customHeight="1" x14ac:dyDescent="0.25">
      <c r="A5214" s="2" t="s">
        <v>8</v>
      </c>
      <c r="B5214" s="2" t="str">
        <f>HYPERLINK("http://ts.21cn.com/tousu/show/id/1336032","爱白条高利贷")</f>
        <v>爱白条高利贷</v>
      </c>
      <c r="C5214" s="2" t="s">
        <v>9</v>
      </c>
      <c r="D5214" s="2" t="s">
        <v>10</v>
      </c>
      <c r="E5214" s="2" t="str">
        <f>HYPERLINK("http://ts.21cn.com/tousu/show/id/1336032","http://ts.21cn.com/tousu/show/id/1336032")</f>
        <v>http://ts.21cn.com/tousu/show/id/1336032</v>
      </c>
      <c r="F5214" s="2" t="s">
        <v>11</v>
      </c>
      <c r="G5214" s="2" t="s">
        <v>33893</v>
      </c>
      <c r="H5214" s="2" t="s">
        <v>33894</v>
      </c>
    </row>
    <row r="5215" spans="1:8" ht="25.05" customHeight="1" x14ac:dyDescent="0.25">
      <c r="A5215" s="2" t="s">
        <v>8</v>
      </c>
      <c r="B5215" s="2" t="str">
        <f>HYPERLINK("http://ts.21cn.com/tousu/show/id/1336008","轻周转芒果筹高利贷")</f>
        <v>轻周转芒果筹高利贷</v>
      </c>
      <c r="C5215" s="2" t="s">
        <v>9</v>
      </c>
      <c r="D5215" s="2" t="s">
        <v>10</v>
      </c>
      <c r="E5215" s="2" t="str">
        <f>HYPERLINK("http://ts.21cn.com/tousu/show/id/1336008","http://ts.21cn.com/tousu/show/id/1336008")</f>
        <v>http://ts.21cn.com/tousu/show/id/1336008</v>
      </c>
      <c r="F5215" s="2" t="s">
        <v>11</v>
      </c>
      <c r="G5215" s="2" t="s">
        <v>33891</v>
      </c>
      <c r="H5215" s="2" t="s">
        <v>33892</v>
      </c>
    </row>
    <row r="5216" spans="1:8" ht="25.05" customHeight="1" x14ac:dyDescent="0.25">
      <c r="A5216" s="2" t="s">
        <v>8</v>
      </c>
      <c r="B5216" s="2" t="str">
        <f>HYPERLINK("http://ts.21cn.com/tousu/show/id/1336029","玖富万卡高利贷，阴阳合同")</f>
        <v>玖富万卡高利贷，阴阳合同</v>
      </c>
      <c r="C5216" s="2" t="s">
        <v>9</v>
      </c>
      <c r="D5216" s="2" t="s">
        <v>10</v>
      </c>
      <c r="E5216" s="2" t="str">
        <f>HYPERLINK("http://ts.21cn.com/tousu/show/id/1336029","http://ts.21cn.com/tousu/show/id/1336029")</f>
        <v>http://ts.21cn.com/tousu/show/id/1336029</v>
      </c>
      <c r="F5216" s="2" t="s">
        <v>11</v>
      </c>
      <c r="G5216" s="2" t="s">
        <v>33889</v>
      </c>
      <c r="H5216" s="2" t="s">
        <v>33890</v>
      </c>
    </row>
    <row r="5217" spans="1:8" ht="25.05" customHeight="1" x14ac:dyDescent="0.25">
      <c r="A5217" s="2" t="s">
        <v>8</v>
      </c>
      <c r="B5217" s="2" t="str">
        <f>HYPERLINK("http://ts.21cn.com/tousu/show/id/1336036","新橙优品高利贷，砍头息")</f>
        <v>新橙优品高利贷，砍头息</v>
      </c>
      <c r="C5217" s="2" t="s">
        <v>9</v>
      </c>
      <c r="D5217" s="2" t="s">
        <v>10</v>
      </c>
      <c r="E5217" s="2" t="str">
        <f>HYPERLINK("http://ts.21cn.com/tousu/show/id/1336036","http://ts.21cn.com/tousu/show/id/1336036")</f>
        <v>http://ts.21cn.com/tousu/show/id/1336036</v>
      </c>
      <c r="F5217" s="2" t="s">
        <v>11</v>
      </c>
      <c r="G5217" s="2" t="s">
        <v>33887</v>
      </c>
      <c r="H5217" s="2" t="s">
        <v>33888</v>
      </c>
    </row>
    <row r="5218" spans="1:8" ht="25.05" customHeight="1" x14ac:dyDescent="0.25">
      <c r="A5218" s="2" t="s">
        <v>8</v>
      </c>
      <c r="B5218" s="2" t="str">
        <f>HYPERLINK("http://ts.21cn.com/tousu/show/id/1336037","没到还款期叫我还账，")</f>
        <v>没到还款期叫我还账，</v>
      </c>
      <c r="C5218" s="2" t="s">
        <v>34</v>
      </c>
      <c r="D5218" s="2" t="s">
        <v>10</v>
      </c>
      <c r="E5218" s="2" t="str">
        <f>HYPERLINK("http://ts.21cn.com/tousu/show/id/1336037","http://ts.21cn.com/tousu/show/id/1336037")</f>
        <v>http://ts.21cn.com/tousu/show/id/1336037</v>
      </c>
      <c r="F5218" s="2" t="s">
        <v>11</v>
      </c>
      <c r="G5218" s="2" t="s">
        <v>33885</v>
      </c>
      <c r="H5218" s="2" t="s">
        <v>33886</v>
      </c>
    </row>
    <row r="5219" spans="1:8" ht="25.05" customHeight="1" x14ac:dyDescent="0.25">
      <c r="A5219" s="2" t="s">
        <v>8</v>
      </c>
      <c r="B5219" s="2" t="str">
        <f>HYPERLINK("http://ts.21cn.com/tousu/show/id/1336038","714高炮贷")</f>
        <v>714高炮贷</v>
      </c>
      <c r="C5219" s="2" t="s">
        <v>9</v>
      </c>
      <c r="D5219" s="2" t="s">
        <v>10</v>
      </c>
      <c r="E5219" s="2" t="str">
        <f>HYPERLINK("http://ts.21cn.com/tousu/show/id/1336038","http://ts.21cn.com/tousu/show/id/1336038")</f>
        <v>http://ts.21cn.com/tousu/show/id/1336038</v>
      </c>
      <c r="F5219" s="2" t="s">
        <v>11</v>
      </c>
      <c r="G5219" s="2" t="s">
        <v>33883</v>
      </c>
      <c r="H5219" s="2" t="s">
        <v>33884</v>
      </c>
    </row>
    <row r="5220" spans="1:8" ht="25.05" customHeight="1" x14ac:dyDescent="0.25">
      <c r="A5220" s="2" t="s">
        <v>8</v>
      </c>
      <c r="B5220" s="2" t="str">
        <f>HYPERLINK("http://ts.21cn.com/tousu/show/id/1336039","大道用车押金返还")</f>
        <v>大道用车押金返还</v>
      </c>
      <c r="C5220" s="2" t="s">
        <v>9</v>
      </c>
      <c r="D5220" s="2" t="s">
        <v>10</v>
      </c>
      <c r="E5220" s="2" t="str">
        <f>HYPERLINK("http://ts.21cn.com/tousu/show/id/1336039","http://ts.21cn.com/tousu/show/id/1336039")</f>
        <v>http://ts.21cn.com/tousu/show/id/1336039</v>
      </c>
      <c r="F5220" s="2" t="s">
        <v>11</v>
      </c>
      <c r="G5220" s="2" t="s">
        <v>33881</v>
      </c>
      <c r="H5220" s="2" t="s">
        <v>33882</v>
      </c>
    </row>
    <row r="5221" spans="1:8" ht="25.05" customHeight="1" x14ac:dyDescent="0.25">
      <c r="A5221" s="2" t="s">
        <v>8</v>
      </c>
      <c r="B5221" s="2" t="str">
        <f>HYPERLINK("http://ts.21cn.com/tousu/show/id/1336040","闪电借款协商还款")</f>
        <v>闪电借款协商还款</v>
      </c>
      <c r="C5221" s="2" t="s">
        <v>9</v>
      </c>
      <c r="D5221" s="2" t="s">
        <v>10</v>
      </c>
      <c r="E5221" s="2" t="str">
        <f>HYPERLINK("http://ts.21cn.com/tousu/show/id/1336040","http://ts.21cn.com/tousu/show/id/1336040")</f>
        <v>http://ts.21cn.com/tousu/show/id/1336040</v>
      </c>
      <c r="F5221" s="2" t="s">
        <v>11</v>
      </c>
      <c r="G5221" s="2" t="s">
        <v>33879</v>
      </c>
      <c r="H5221" s="2" t="s">
        <v>33880</v>
      </c>
    </row>
    <row r="5222" spans="1:8" ht="25.05" customHeight="1" x14ac:dyDescent="0.25">
      <c r="A5222" s="2" t="s">
        <v>8</v>
      </c>
      <c r="B5222" s="2" t="str">
        <f>HYPERLINK("http://ts.21cn.com/tousu/show/id/1336041","交易猫平台购账号被卖家找回")</f>
        <v>交易猫平台购账号被卖家找回</v>
      </c>
      <c r="C5222" s="2" t="s">
        <v>9</v>
      </c>
      <c r="D5222" s="2" t="s">
        <v>10</v>
      </c>
      <c r="E5222" s="2" t="str">
        <f>HYPERLINK("http://ts.21cn.com/tousu/show/id/1336041","http://ts.21cn.com/tousu/show/id/1336041")</f>
        <v>http://ts.21cn.com/tousu/show/id/1336041</v>
      </c>
      <c r="F5222" s="2" t="s">
        <v>11</v>
      </c>
      <c r="G5222" s="2" t="s">
        <v>33877</v>
      </c>
      <c r="H5222" s="2" t="s">
        <v>33878</v>
      </c>
    </row>
    <row r="5223" spans="1:8" ht="25.05" customHeight="1" x14ac:dyDescent="0.25">
      <c r="A5223" s="2" t="s">
        <v>8</v>
      </c>
      <c r="B5223" s="2" t="str">
        <f>HYPERLINK("http://ts.21cn.com/tousu/show/id/1336042","小浦优客未经同意扣款")</f>
        <v>小浦优客未经同意扣款</v>
      </c>
      <c r="C5223" s="2" t="s">
        <v>34</v>
      </c>
      <c r="D5223" s="2" t="s">
        <v>10</v>
      </c>
      <c r="E5223" s="2" t="str">
        <f>HYPERLINK("http://ts.21cn.com/tousu/show/id/1336042","http://ts.21cn.com/tousu/show/id/1336042")</f>
        <v>http://ts.21cn.com/tousu/show/id/1336042</v>
      </c>
      <c r="F5223" s="2" t="s">
        <v>11</v>
      </c>
      <c r="G5223" s="2" t="s">
        <v>33875</v>
      </c>
      <c r="H5223" s="2" t="s">
        <v>33876</v>
      </c>
    </row>
    <row r="5224" spans="1:8" ht="25.05" customHeight="1" x14ac:dyDescent="0.25">
      <c r="A5224" s="2" t="s">
        <v>8</v>
      </c>
      <c r="B5224" s="2" t="str">
        <f>HYPERLINK("http://ts.21cn.com/tousu/show/id/1336049","我来数科（原我来贷）高利贷并且无法提前还款")</f>
        <v>我来数科（原我来贷）高利贷并且无法提前还款</v>
      </c>
      <c r="C5224" s="2" t="s">
        <v>9</v>
      </c>
      <c r="D5224" s="2" t="s">
        <v>10</v>
      </c>
      <c r="E5224" s="2" t="str">
        <f>HYPERLINK("http://ts.21cn.com/tousu/show/id/1336049","http://ts.21cn.com/tousu/show/id/1336049")</f>
        <v>http://ts.21cn.com/tousu/show/id/1336049</v>
      </c>
      <c r="F5224" s="2" t="s">
        <v>11</v>
      </c>
      <c r="G5224" s="2" t="s">
        <v>33871</v>
      </c>
      <c r="H5224" s="2" t="s">
        <v>33872</v>
      </c>
    </row>
    <row r="5225" spans="1:8" ht="25.05" customHeight="1" x14ac:dyDescent="0.25">
      <c r="A5225" s="2" t="s">
        <v>8</v>
      </c>
      <c r="B5225" s="2" t="str">
        <f>HYPERLINK("http://ts.21cn.com/tousu/show/id/1336054","可怜的姐姐")</f>
        <v>可怜的姐姐</v>
      </c>
      <c r="C5225" s="2" t="s">
        <v>34</v>
      </c>
      <c r="D5225" s="2" t="s">
        <v>10</v>
      </c>
      <c r="E5225" s="2" t="str">
        <f>HYPERLINK("http://ts.21cn.com/tousu/show/id/1336054","http://ts.21cn.com/tousu/show/id/1336054")</f>
        <v>http://ts.21cn.com/tousu/show/id/1336054</v>
      </c>
      <c r="F5225" s="2" t="s">
        <v>11</v>
      </c>
      <c r="G5225" s="2" t="s">
        <v>33871</v>
      </c>
      <c r="H5225" s="2" t="s">
        <v>33873</v>
      </c>
    </row>
    <row r="5226" spans="1:8" ht="25.05" customHeight="1" x14ac:dyDescent="0.25">
      <c r="A5226" s="2" t="s">
        <v>8</v>
      </c>
      <c r="B5226" s="2" t="str">
        <f>HYPERLINK("http://ts.21cn.com/tousu/show/id/1336033","太黑了本人出点事没想到这黑")</f>
        <v>太黑了本人出点事没想到这黑</v>
      </c>
      <c r="C5226" s="2" t="s">
        <v>9</v>
      </c>
      <c r="D5226" s="2" t="s">
        <v>10</v>
      </c>
      <c r="E5226" s="2" t="str">
        <f>HYPERLINK("http://ts.21cn.com/tousu/show/id/1336033","http://ts.21cn.com/tousu/show/id/1336033")</f>
        <v>http://ts.21cn.com/tousu/show/id/1336033</v>
      </c>
      <c r="F5226" s="2" t="s">
        <v>11</v>
      </c>
      <c r="G5226" s="2" t="s">
        <v>33871</v>
      </c>
      <c r="H5226" s="2" t="s">
        <v>33874</v>
      </c>
    </row>
    <row r="5227" spans="1:8" ht="25.05" customHeight="1" x14ac:dyDescent="0.25">
      <c r="A5227" s="2" t="s">
        <v>8</v>
      </c>
      <c r="B5227" s="2" t="str">
        <f>HYPERLINK("http://ts.21cn.com/tousu/show/id/1336043","瀚银旗下商户涉嫌为非法赌博公司提供服务")</f>
        <v>瀚银旗下商户涉嫌为非法赌博公司提供服务</v>
      </c>
      <c r="C5227" s="2" t="s">
        <v>9</v>
      </c>
      <c r="D5227" s="2" t="s">
        <v>10</v>
      </c>
      <c r="E5227" s="2" t="str">
        <f>HYPERLINK("http://ts.21cn.com/tousu/show/id/1336043","http://ts.21cn.com/tousu/show/id/1336043")</f>
        <v>http://ts.21cn.com/tousu/show/id/1336043</v>
      </c>
      <c r="F5227" s="2" t="s">
        <v>11</v>
      </c>
      <c r="G5227" s="2" t="s">
        <v>33869</v>
      </c>
      <c r="H5227" s="2" t="s">
        <v>33870</v>
      </c>
    </row>
    <row r="5228" spans="1:8" ht="25.05" customHeight="1" x14ac:dyDescent="0.25">
      <c r="A5228" s="2" t="s">
        <v>8</v>
      </c>
      <c r="B5228" s="2" t="str">
        <f>HYPERLINK("http://ts.21cn.com/tousu/show/id/1336045","闪电借款协商还款")</f>
        <v>闪电借款协商还款</v>
      </c>
      <c r="C5228" s="2" t="s">
        <v>9</v>
      </c>
      <c r="D5228" s="2" t="s">
        <v>10</v>
      </c>
      <c r="E5228" s="2" t="str">
        <f>HYPERLINK("http://ts.21cn.com/tousu/show/id/1336045","http://ts.21cn.com/tousu/show/id/1336045")</f>
        <v>http://ts.21cn.com/tousu/show/id/1336045</v>
      </c>
      <c r="F5228" s="2" t="s">
        <v>11</v>
      </c>
      <c r="G5228" s="2" t="s">
        <v>33867</v>
      </c>
      <c r="H5228" s="2" t="s">
        <v>33868</v>
      </c>
    </row>
    <row r="5229" spans="1:8" ht="25.05" customHeight="1" x14ac:dyDescent="0.25">
      <c r="A5229" s="2" t="s">
        <v>8</v>
      </c>
      <c r="B5229" s="2" t="str">
        <f>HYPERLINK("http://ts.21cn.com/tousu/show/id/1336044","探探科技有限公司")</f>
        <v>探探科技有限公司</v>
      </c>
      <c r="C5229" s="2" t="s">
        <v>9</v>
      </c>
      <c r="D5229" s="2" t="s">
        <v>10</v>
      </c>
      <c r="E5229" s="2" t="str">
        <f>HYPERLINK("http://ts.21cn.com/tousu/show/id/1336044","http://ts.21cn.com/tousu/show/id/1336044")</f>
        <v>http://ts.21cn.com/tousu/show/id/1336044</v>
      </c>
      <c r="F5229" s="2" t="s">
        <v>11</v>
      </c>
      <c r="G5229" s="2" t="s">
        <v>33865</v>
      </c>
      <c r="H5229" s="2" t="s">
        <v>33866</v>
      </c>
    </row>
    <row r="5230" spans="1:8" ht="25.05" customHeight="1" x14ac:dyDescent="0.25">
      <c r="A5230" s="2" t="s">
        <v>8</v>
      </c>
      <c r="B5230" s="2" t="str">
        <f>HYPERLINK("http://ts.21cn.com/tousu/show/id/1336046","上海宝付支付公司多次恶意扣款")</f>
        <v>上海宝付支付公司多次恶意扣款</v>
      </c>
      <c r="C5230" s="2" t="s">
        <v>9</v>
      </c>
      <c r="D5230" s="2" t="s">
        <v>10</v>
      </c>
      <c r="E5230" s="2" t="str">
        <f>HYPERLINK("http://ts.21cn.com/tousu/show/id/1336046","http://ts.21cn.com/tousu/show/id/1336046")</f>
        <v>http://ts.21cn.com/tousu/show/id/1336046</v>
      </c>
      <c r="F5230" s="2" t="s">
        <v>11</v>
      </c>
      <c r="G5230" s="2" t="s">
        <v>33863</v>
      </c>
      <c r="H5230" s="2" t="s">
        <v>33864</v>
      </c>
    </row>
    <row r="5231" spans="1:8" ht="25.05" customHeight="1" x14ac:dyDescent="0.25">
      <c r="A5231" s="2" t="s">
        <v>8</v>
      </c>
      <c r="B5231" s="2" t="str">
        <f>HYPERLINK("http://ts.21cn.com/tousu/show/id/1336047","苏宁易购放高利贷")</f>
        <v>苏宁易购放高利贷</v>
      </c>
      <c r="C5231" s="2" t="s">
        <v>9</v>
      </c>
      <c r="D5231" s="2" t="s">
        <v>10</v>
      </c>
      <c r="E5231" s="2" t="str">
        <f>HYPERLINK("http://ts.21cn.com/tousu/show/id/1336047","http://ts.21cn.com/tousu/show/id/1336047")</f>
        <v>http://ts.21cn.com/tousu/show/id/1336047</v>
      </c>
      <c r="F5231" s="2" t="s">
        <v>11</v>
      </c>
      <c r="G5231" s="2" t="s">
        <v>33861</v>
      </c>
      <c r="H5231" s="2" t="s">
        <v>33862</v>
      </c>
    </row>
    <row r="5232" spans="1:8" ht="25.05" customHeight="1" x14ac:dyDescent="0.25">
      <c r="A5232" s="2" t="s">
        <v>8</v>
      </c>
      <c r="B5232" s="2" t="str">
        <f>HYPERLINK("http://ts.21cn.com/tousu/show/id/1336048","平台购买了账号但是一直得不到服务")</f>
        <v>平台购买了账号但是一直得不到服务</v>
      </c>
      <c r="C5232" s="2" t="s">
        <v>9</v>
      </c>
      <c r="D5232" s="2" t="s">
        <v>10</v>
      </c>
      <c r="E5232" s="2" t="str">
        <f>HYPERLINK("http://ts.21cn.com/tousu/show/id/1336048","http://ts.21cn.com/tousu/show/id/1336048")</f>
        <v>http://ts.21cn.com/tousu/show/id/1336048</v>
      </c>
      <c r="F5232" s="2" t="s">
        <v>11</v>
      </c>
      <c r="G5232" s="2" t="s">
        <v>33859</v>
      </c>
      <c r="H5232" s="2" t="s">
        <v>33860</v>
      </c>
    </row>
    <row r="5233" spans="1:8" ht="25.05" customHeight="1" x14ac:dyDescent="0.25">
      <c r="A5233" s="2" t="s">
        <v>8</v>
      </c>
      <c r="B5233" s="2" t="str">
        <f>HYPERLINK("http://ts.21cn.com/tousu/show/id/1336050","违规提供支付通道")</f>
        <v>违规提供支付通道</v>
      </c>
      <c r="C5233" s="2" t="s">
        <v>9</v>
      </c>
      <c r="D5233" s="2" t="s">
        <v>10</v>
      </c>
      <c r="E5233" s="2" t="str">
        <f>HYPERLINK("http://ts.21cn.com/tousu/show/id/1336050","http://ts.21cn.com/tousu/show/id/1336050")</f>
        <v>http://ts.21cn.com/tousu/show/id/1336050</v>
      </c>
      <c r="F5233" s="2" t="s">
        <v>11</v>
      </c>
      <c r="G5233" s="2" t="s">
        <v>33857</v>
      </c>
      <c r="H5233" s="2" t="s">
        <v>33858</v>
      </c>
    </row>
    <row r="5234" spans="1:8" ht="25.05" customHeight="1" x14ac:dyDescent="0.25">
      <c r="A5234" s="2" t="s">
        <v>8</v>
      </c>
      <c r="B5234" s="2" t="str">
        <f>HYPERLINK("http://ts.21cn.com/tousu/show/id/1336052","拍拍")</f>
        <v>拍拍</v>
      </c>
      <c r="C5234" s="2" t="s">
        <v>34</v>
      </c>
      <c r="D5234" s="2" t="s">
        <v>10</v>
      </c>
      <c r="E5234" s="2" t="str">
        <f>HYPERLINK("http://ts.21cn.com/tousu/show/id/1336052","http://ts.21cn.com/tousu/show/id/1336052")</f>
        <v>http://ts.21cn.com/tousu/show/id/1336052</v>
      </c>
      <c r="F5234" s="2" t="s">
        <v>11</v>
      </c>
      <c r="G5234" s="2" t="s">
        <v>33855</v>
      </c>
      <c r="H5234" s="2" t="s">
        <v>33856</v>
      </c>
    </row>
    <row r="5235" spans="1:8" ht="25.05" customHeight="1" x14ac:dyDescent="0.25">
      <c r="A5235" s="2" t="s">
        <v>8</v>
      </c>
      <c r="B5235" s="2" t="str">
        <f>HYPERLINK("http://ts.21cn.com/tousu/show/id/1336053","雇佣黑社会威逼父母还儿子的账")</f>
        <v>雇佣黑社会威逼父母还儿子的账</v>
      </c>
      <c r="C5235" s="2" t="s">
        <v>9</v>
      </c>
      <c r="D5235" s="2" t="s">
        <v>10</v>
      </c>
      <c r="E5235" s="2" t="str">
        <f>HYPERLINK("http://ts.21cn.com/tousu/show/id/1336053","http://ts.21cn.com/tousu/show/id/1336053")</f>
        <v>http://ts.21cn.com/tousu/show/id/1336053</v>
      </c>
      <c r="F5235" s="2" t="s">
        <v>11</v>
      </c>
      <c r="G5235" s="2" t="s">
        <v>33853</v>
      </c>
      <c r="H5235" s="2" t="s">
        <v>33854</v>
      </c>
    </row>
    <row r="5236" spans="1:8" ht="25.05" customHeight="1" x14ac:dyDescent="0.25">
      <c r="A5236" s="2" t="s">
        <v>8</v>
      </c>
      <c r="B5236" s="2" t="str">
        <f>HYPERLINK("http://ts.21cn.com/tousu/show/id/1336051","暴力催收。恐吓，威胁")</f>
        <v>暴力催收。恐吓，威胁</v>
      </c>
      <c r="C5236" s="2" t="s">
        <v>9</v>
      </c>
      <c r="D5236" s="2" t="s">
        <v>10</v>
      </c>
      <c r="E5236" s="2" t="str">
        <f>HYPERLINK("http://ts.21cn.com/tousu/show/id/1336051","http://ts.21cn.com/tousu/show/id/1336051")</f>
        <v>http://ts.21cn.com/tousu/show/id/1336051</v>
      </c>
      <c r="F5236" s="2" t="s">
        <v>11</v>
      </c>
      <c r="G5236" s="2" t="s">
        <v>33851</v>
      </c>
      <c r="H5236" s="2" t="s">
        <v>33852</v>
      </c>
    </row>
    <row r="5237" spans="1:8" ht="25.05" customHeight="1" x14ac:dyDescent="0.25">
      <c r="A5237" s="2" t="s">
        <v>8</v>
      </c>
      <c r="B5237" s="2" t="str">
        <f>HYPERLINK("http://ts.21cn.com/tousu/show/id/1336055","立借高额逾期费影响正常还款")</f>
        <v>立借高额逾期费影响正常还款</v>
      </c>
      <c r="C5237" s="2" t="s">
        <v>34</v>
      </c>
      <c r="D5237" s="2" t="s">
        <v>10</v>
      </c>
      <c r="E5237" s="2" t="str">
        <f>HYPERLINK("http://ts.21cn.com/tousu/show/id/1336055","http://ts.21cn.com/tousu/show/id/1336055")</f>
        <v>http://ts.21cn.com/tousu/show/id/1336055</v>
      </c>
      <c r="F5237" s="2" t="s">
        <v>11</v>
      </c>
      <c r="G5237" s="2" t="s">
        <v>33849</v>
      </c>
      <c r="H5237" s="2" t="s">
        <v>33850</v>
      </c>
    </row>
    <row r="5238" spans="1:8" ht="25.05" customHeight="1" x14ac:dyDescent="0.25">
      <c r="A5238" s="2" t="s">
        <v>8</v>
      </c>
      <c r="B5238" s="2" t="str">
        <f>HYPERLINK("http://ts.21cn.com/tousu/show/id/1336056","退货已签收不退款")</f>
        <v>退货已签收不退款</v>
      </c>
      <c r="C5238" s="2" t="s">
        <v>9</v>
      </c>
      <c r="D5238" s="2" t="s">
        <v>10</v>
      </c>
      <c r="E5238" s="2" t="str">
        <f>HYPERLINK("http://ts.21cn.com/tousu/show/id/1336056","http://ts.21cn.com/tousu/show/id/1336056")</f>
        <v>http://ts.21cn.com/tousu/show/id/1336056</v>
      </c>
      <c r="F5238" s="2" t="s">
        <v>11</v>
      </c>
      <c r="G5238" s="2" t="s">
        <v>33847</v>
      </c>
      <c r="H5238" s="2" t="s">
        <v>33848</v>
      </c>
    </row>
    <row r="5239" spans="1:8" ht="25.05" customHeight="1" x14ac:dyDescent="0.25">
      <c r="A5239" s="2" t="s">
        <v>8</v>
      </c>
      <c r="B5239" s="2" t="str">
        <f>HYPERLINK("http://ts.21cn.com/tousu/show/id/1336057","暴力催收联系不到点融客服")</f>
        <v>暴力催收联系不到点融客服</v>
      </c>
      <c r="C5239" s="2" t="s">
        <v>9</v>
      </c>
      <c r="D5239" s="2" t="s">
        <v>10</v>
      </c>
      <c r="E5239" s="2" t="str">
        <f>HYPERLINK("http://ts.21cn.com/tousu/show/id/1336057","http://ts.21cn.com/tousu/show/id/1336057")</f>
        <v>http://ts.21cn.com/tousu/show/id/1336057</v>
      </c>
      <c r="F5239" s="2" t="s">
        <v>11</v>
      </c>
      <c r="G5239" s="2" t="s">
        <v>33845</v>
      </c>
      <c r="H5239" s="2" t="s">
        <v>33846</v>
      </c>
    </row>
    <row r="5240" spans="1:8" ht="25.05" customHeight="1" x14ac:dyDescent="0.25">
      <c r="A5240" s="2" t="s">
        <v>8</v>
      </c>
      <c r="B5240" s="2" t="str">
        <f>HYPERLINK("http://ts.21cn.com/tousu/show/id/1336058","电话卡没用了，人在广东就我跑去上海办理。")</f>
        <v>电话卡没用了，人在广东就我跑去上海办理。</v>
      </c>
      <c r="C5240" s="2" t="s">
        <v>9</v>
      </c>
      <c r="D5240" s="2" t="s">
        <v>10</v>
      </c>
      <c r="E5240" s="2" t="str">
        <f>HYPERLINK("http://ts.21cn.com/tousu/show/id/1336058","http://ts.21cn.com/tousu/show/id/1336058")</f>
        <v>http://ts.21cn.com/tousu/show/id/1336058</v>
      </c>
      <c r="F5240" s="2" t="s">
        <v>11</v>
      </c>
      <c r="G5240" s="2" t="s">
        <v>33843</v>
      </c>
      <c r="H5240" s="2" t="s">
        <v>33844</v>
      </c>
    </row>
    <row r="5241" spans="1:8" ht="25.05" customHeight="1" x14ac:dyDescent="0.25">
      <c r="A5241" s="2" t="s">
        <v>8</v>
      </c>
      <c r="B5241" s="2" t="str">
        <f>HYPERLINK("http://ts.21cn.com/tousu/show/id/1336059","私自刷取本人银行卡金额")</f>
        <v>私自刷取本人银行卡金额</v>
      </c>
      <c r="C5241" s="2" t="s">
        <v>9</v>
      </c>
      <c r="D5241" s="2" t="s">
        <v>10</v>
      </c>
      <c r="E5241" s="2" t="str">
        <f>HYPERLINK("http://ts.21cn.com/tousu/show/id/1336059","http://ts.21cn.com/tousu/show/id/1336059")</f>
        <v>http://ts.21cn.com/tousu/show/id/1336059</v>
      </c>
      <c r="F5241" s="2" t="s">
        <v>11</v>
      </c>
      <c r="G5241" s="2" t="s">
        <v>33841</v>
      </c>
      <c r="H5241" s="2" t="s">
        <v>33842</v>
      </c>
    </row>
    <row r="5242" spans="1:8" ht="25.05" customHeight="1" x14ac:dyDescent="0.25">
      <c r="A5242" s="2" t="s">
        <v>8</v>
      </c>
      <c r="B5242" s="2" t="str">
        <f>HYPERLINK("http://ts.21cn.com/tousu/show/id/1336060","小赢卡贷高利贷")</f>
        <v>小赢卡贷高利贷</v>
      </c>
      <c r="C5242" s="2" t="s">
        <v>9</v>
      </c>
      <c r="D5242" s="2" t="s">
        <v>10</v>
      </c>
      <c r="E5242" s="2" t="str">
        <f>HYPERLINK("http://ts.21cn.com/tousu/show/id/1336060","http://ts.21cn.com/tousu/show/id/1336060")</f>
        <v>http://ts.21cn.com/tousu/show/id/1336060</v>
      </c>
      <c r="F5242" s="2" t="s">
        <v>11</v>
      </c>
      <c r="G5242" s="2" t="s">
        <v>33839</v>
      </c>
      <c r="H5242" s="2" t="s">
        <v>33840</v>
      </c>
    </row>
    <row r="5243" spans="1:8" ht="25.05" customHeight="1" x14ac:dyDescent="0.25">
      <c r="A5243" s="2" t="s">
        <v>8</v>
      </c>
      <c r="B5243" s="2" t="str">
        <f>HYPERLINK("http://ts.21cn.com/tousu/show/id/1336062","LV包包瑕疵，要求退换货，店家不认")</f>
        <v>LV包包瑕疵，要求退换货，店家不认</v>
      </c>
      <c r="C5243" s="2" t="s">
        <v>9</v>
      </c>
      <c r="D5243" s="2" t="s">
        <v>10</v>
      </c>
      <c r="E5243" s="2" t="str">
        <f>HYPERLINK("http://ts.21cn.com/tousu/show/id/1336062","http://ts.21cn.com/tousu/show/id/1336062")</f>
        <v>http://ts.21cn.com/tousu/show/id/1336062</v>
      </c>
      <c r="F5243" s="2" t="s">
        <v>11</v>
      </c>
      <c r="G5243" s="2" t="s">
        <v>33837</v>
      </c>
      <c r="H5243" s="2" t="s">
        <v>33838</v>
      </c>
    </row>
    <row r="5244" spans="1:8" ht="25.05" customHeight="1" x14ac:dyDescent="0.25">
      <c r="A5244" s="2" t="s">
        <v>8</v>
      </c>
      <c r="B5244" s="2" t="str">
        <f>HYPERLINK("http://ts.21cn.com/tousu/show/id/1336063","申请借东风平台后一直打电话骚扰")</f>
        <v>申请借东风平台后一直打电话骚扰</v>
      </c>
      <c r="C5244" s="2" t="s">
        <v>9</v>
      </c>
      <c r="D5244" s="2" t="s">
        <v>10</v>
      </c>
      <c r="E5244" s="2" t="str">
        <f>HYPERLINK("http://ts.21cn.com/tousu/show/id/1336063","http://ts.21cn.com/tousu/show/id/1336063")</f>
        <v>http://ts.21cn.com/tousu/show/id/1336063</v>
      </c>
      <c r="F5244" s="2" t="s">
        <v>11</v>
      </c>
      <c r="G5244" s="2" t="s">
        <v>33835</v>
      </c>
      <c r="H5244" s="2" t="s">
        <v>33836</v>
      </c>
    </row>
    <row r="5245" spans="1:8" ht="25.05" customHeight="1" x14ac:dyDescent="0.25">
      <c r="A5245" s="2" t="s">
        <v>8</v>
      </c>
      <c r="B5245" s="2" t="str">
        <f>HYPERLINK("http://ts.21cn.com/tousu/show/id/1336065","小浦优客未经同意扣款")</f>
        <v>小浦优客未经同意扣款</v>
      </c>
      <c r="C5245" s="2" t="s">
        <v>9</v>
      </c>
      <c r="D5245" s="2" t="s">
        <v>10</v>
      </c>
      <c r="E5245" s="2" t="str">
        <f>HYPERLINK("http://ts.21cn.com/tousu/show/id/1336065","http://ts.21cn.com/tousu/show/id/1336065")</f>
        <v>http://ts.21cn.com/tousu/show/id/1336065</v>
      </c>
      <c r="F5245" s="2" t="s">
        <v>11</v>
      </c>
      <c r="G5245" s="2" t="s">
        <v>33834</v>
      </c>
      <c r="H5245" s="2" t="s">
        <v>11904</v>
      </c>
    </row>
    <row r="5246" spans="1:8" ht="25.05" customHeight="1" x14ac:dyDescent="0.25">
      <c r="A5246" s="2" t="s">
        <v>8</v>
      </c>
      <c r="B5246" s="2" t="str">
        <f>HYPERLINK("http://ts.21cn.com/tousu/show/id/1336064","及贷放砍头贷而且年化利息超过36％隐藏借款合同")</f>
        <v>及贷放砍头贷而且年化利息超过36％隐藏借款合同</v>
      </c>
      <c r="C5246" s="2" t="s">
        <v>34</v>
      </c>
      <c r="D5246" s="2" t="s">
        <v>10</v>
      </c>
      <c r="E5246" s="2" t="str">
        <f>HYPERLINK("http://ts.21cn.com/tousu/show/id/1336064","http://ts.21cn.com/tousu/show/id/1336064")</f>
        <v>http://ts.21cn.com/tousu/show/id/1336064</v>
      </c>
      <c r="F5246" s="2" t="s">
        <v>11</v>
      </c>
      <c r="G5246" s="2" t="s">
        <v>33832</v>
      </c>
      <c r="H5246" s="2" t="s">
        <v>33833</v>
      </c>
    </row>
    <row r="5247" spans="1:8" ht="25.05" customHeight="1" x14ac:dyDescent="0.25">
      <c r="A5247" s="2" t="s">
        <v>8</v>
      </c>
      <c r="B5247" s="2" t="str">
        <f>HYPERLINK("http://ts.21cn.com/tousu/show/id/1336066","立借平台为钱置宝高利贷提供放款通道")</f>
        <v>立借平台为钱置宝高利贷提供放款通道</v>
      </c>
      <c r="C5247" s="2" t="s">
        <v>9</v>
      </c>
      <c r="D5247" s="2" t="s">
        <v>10</v>
      </c>
      <c r="E5247" s="2" t="str">
        <f>HYPERLINK("http://ts.21cn.com/tousu/show/id/1336066","http://ts.21cn.com/tousu/show/id/1336066")</f>
        <v>http://ts.21cn.com/tousu/show/id/1336066</v>
      </c>
      <c r="F5247" s="2" t="s">
        <v>11</v>
      </c>
      <c r="G5247" s="2" t="s">
        <v>33830</v>
      </c>
      <c r="H5247" s="2" t="s">
        <v>33831</v>
      </c>
    </row>
    <row r="5248" spans="1:8" ht="25.05" customHeight="1" x14ac:dyDescent="0.25">
      <c r="A5248" s="2" t="s">
        <v>8</v>
      </c>
      <c r="B5248" s="2" t="str">
        <f>HYPERLINK("http://ts.21cn.com/tousu/show/id/1336067","农行信用卡无故扣留我的钱")</f>
        <v>农行信用卡无故扣留我的钱</v>
      </c>
      <c r="C5248" s="2" t="s">
        <v>9</v>
      </c>
      <c r="D5248" s="2" t="s">
        <v>10</v>
      </c>
      <c r="E5248" s="2" t="str">
        <f>HYPERLINK("http://ts.21cn.com/tousu/show/id/1336067","http://ts.21cn.com/tousu/show/id/1336067")</f>
        <v>http://ts.21cn.com/tousu/show/id/1336067</v>
      </c>
      <c r="F5248" s="2" t="s">
        <v>11</v>
      </c>
      <c r="G5248" s="2" t="s">
        <v>33828</v>
      </c>
      <c r="H5248" s="2" t="s">
        <v>33829</v>
      </c>
    </row>
    <row r="5249" spans="1:8" ht="25.05" customHeight="1" x14ac:dyDescent="0.25">
      <c r="A5249" s="2" t="s">
        <v>8</v>
      </c>
      <c r="B5249" s="2" t="str">
        <f>HYPERLINK("http://ts.21cn.com/tousu/show/id/1336068","自由魔卡高利贷砍头息")</f>
        <v>自由魔卡高利贷砍头息</v>
      </c>
      <c r="C5249" s="2" t="s">
        <v>9</v>
      </c>
      <c r="D5249" s="2" t="s">
        <v>10</v>
      </c>
      <c r="E5249" s="2" t="str">
        <f>HYPERLINK("http://ts.21cn.com/tousu/show/id/1336068","http://ts.21cn.com/tousu/show/id/1336068")</f>
        <v>http://ts.21cn.com/tousu/show/id/1336068</v>
      </c>
      <c r="F5249" s="2" t="s">
        <v>11</v>
      </c>
      <c r="G5249" s="2" t="s">
        <v>33826</v>
      </c>
      <c r="H5249" s="2" t="s">
        <v>33827</v>
      </c>
    </row>
    <row r="5250" spans="1:8" ht="25.05" customHeight="1" x14ac:dyDescent="0.25">
      <c r="A5250" s="2" t="s">
        <v>8</v>
      </c>
      <c r="B5250" s="2" t="str">
        <f>HYPERLINK("http://ts.21cn.com/tousu/show/id/1336069","鼎泰鑫、小花钱包、中腾信暴力催收、出卖个人隐私")</f>
        <v>鼎泰鑫、小花钱包、中腾信暴力催收、出卖个人隐私</v>
      </c>
      <c r="C5250" s="2" t="s">
        <v>9</v>
      </c>
      <c r="D5250" s="2" t="s">
        <v>10</v>
      </c>
      <c r="E5250" s="2" t="str">
        <f>HYPERLINK("http://ts.21cn.com/tousu/show/id/1336069","http://ts.21cn.com/tousu/show/id/1336069")</f>
        <v>http://ts.21cn.com/tousu/show/id/1336069</v>
      </c>
      <c r="F5250" s="2" t="s">
        <v>11</v>
      </c>
      <c r="G5250" s="2" t="s">
        <v>33824</v>
      </c>
      <c r="H5250" s="2" t="s">
        <v>33825</v>
      </c>
    </row>
    <row r="5251" spans="1:8" ht="25.05" customHeight="1" x14ac:dyDescent="0.25">
      <c r="A5251" s="2" t="s">
        <v>8</v>
      </c>
      <c r="B5251" s="2" t="str">
        <f>HYPERLINK("http://ts.21cn.com/tousu/show/id/1336071","贷款公司太黑了")</f>
        <v>贷款公司太黑了</v>
      </c>
      <c r="C5251" s="2" t="s">
        <v>9</v>
      </c>
      <c r="D5251" s="2" t="s">
        <v>10</v>
      </c>
      <c r="E5251" s="2" t="str">
        <f>HYPERLINK("http://ts.21cn.com/tousu/show/id/1336071","http://ts.21cn.com/tousu/show/id/1336071")</f>
        <v>http://ts.21cn.com/tousu/show/id/1336071</v>
      </c>
      <c r="F5251" s="2" t="s">
        <v>11</v>
      </c>
      <c r="G5251" s="2" t="s">
        <v>33822</v>
      </c>
      <c r="H5251" s="2" t="s">
        <v>33823</v>
      </c>
    </row>
    <row r="5252" spans="1:8" ht="25.05" customHeight="1" x14ac:dyDescent="0.25">
      <c r="A5252" s="2" t="s">
        <v>8</v>
      </c>
      <c r="B5252" s="2" t="str">
        <f>HYPERLINK("http://ts.21cn.com/tousu/show/id/1336070","纵容砍头息，没有合理监管到位")</f>
        <v>纵容砍头息，没有合理监管到位</v>
      </c>
      <c r="C5252" s="2" t="s">
        <v>9</v>
      </c>
      <c r="D5252" s="2" t="s">
        <v>10</v>
      </c>
      <c r="E5252" s="2" t="str">
        <f>HYPERLINK("http://ts.21cn.com/tousu/show/id/1336070","http://ts.21cn.com/tousu/show/id/1336070")</f>
        <v>http://ts.21cn.com/tousu/show/id/1336070</v>
      </c>
      <c r="F5252" s="2" t="s">
        <v>11</v>
      </c>
      <c r="G5252" s="2" t="s">
        <v>33820</v>
      </c>
      <c r="H5252" s="2" t="s">
        <v>33821</v>
      </c>
    </row>
    <row r="5253" spans="1:8" ht="25.05" customHeight="1" x14ac:dyDescent="0.25">
      <c r="A5253" s="2" t="s">
        <v>8</v>
      </c>
      <c r="B5253" s="2" t="str">
        <f>HYPERLINK("http://ts.21cn.com/tousu/show/id/1336072","海小葵高利贷砍头息暴力催收")</f>
        <v>海小葵高利贷砍头息暴力催收</v>
      </c>
      <c r="C5253" s="2" t="s">
        <v>9</v>
      </c>
      <c r="D5253" s="2" t="s">
        <v>10</v>
      </c>
      <c r="E5253" s="2" t="str">
        <f>HYPERLINK("http://ts.21cn.com/tousu/show/id/1336072","http://ts.21cn.com/tousu/show/id/1336072")</f>
        <v>http://ts.21cn.com/tousu/show/id/1336072</v>
      </c>
      <c r="F5253" s="2" t="s">
        <v>11</v>
      </c>
      <c r="G5253" s="2" t="s">
        <v>33818</v>
      </c>
      <c r="H5253" s="2" t="s">
        <v>33819</v>
      </c>
    </row>
    <row r="5254" spans="1:8" ht="25.05" customHeight="1" x14ac:dyDescent="0.25">
      <c r="A5254" s="2" t="s">
        <v>8</v>
      </c>
      <c r="B5254" s="2" t="str">
        <f>HYPERLINK("http://ts.21cn.com/tousu/show/id/1336073","携程不负责任")</f>
        <v>携程不负责任</v>
      </c>
      <c r="C5254" s="2" t="s">
        <v>9</v>
      </c>
      <c r="D5254" s="2" t="s">
        <v>10</v>
      </c>
      <c r="E5254" s="2" t="str">
        <f>HYPERLINK("http://ts.21cn.com/tousu/show/id/1336073","http://ts.21cn.com/tousu/show/id/1336073")</f>
        <v>http://ts.21cn.com/tousu/show/id/1336073</v>
      </c>
      <c r="F5254" s="2" t="s">
        <v>11</v>
      </c>
      <c r="G5254" s="2" t="s">
        <v>33816</v>
      </c>
      <c r="H5254" s="2" t="s">
        <v>33817</v>
      </c>
    </row>
    <row r="5255" spans="1:8" ht="25.05" customHeight="1" x14ac:dyDescent="0.25">
      <c r="A5255" s="2" t="s">
        <v>8</v>
      </c>
      <c r="B5255" s="2" t="str">
        <f>HYPERLINK("http://ts.21cn.com/tousu/show/id/1336074","小浦优客未经同意扣款")</f>
        <v>小浦优客未经同意扣款</v>
      </c>
      <c r="C5255" s="2" t="s">
        <v>34</v>
      </c>
      <c r="D5255" s="2" t="s">
        <v>10</v>
      </c>
      <c r="E5255" s="2" t="str">
        <f>HYPERLINK("http://ts.21cn.com/tousu/show/id/1336074","http://ts.21cn.com/tousu/show/id/1336074")</f>
        <v>http://ts.21cn.com/tousu/show/id/1336074</v>
      </c>
      <c r="F5255" s="2" t="s">
        <v>11</v>
      </c>
      <c r="G5255" s="2" t="s">
        <v>33814</v>
      </c>
      <c r="H5255" s="2" t="s">
        <v>33815</v>
      </c>
    </row>
    <row r="5256" spans="1:8" ht="25.05" customHeight="1" x14ac:dyDescent="0.25">
      <c r="A5256" s="2" t="s">
        <v>8</v>
      </c>
      <c r="B5256" s="2" t="str">
        <f>HYPERLINK("http://ts.21cn.com/tousu/show/id/1336076","东西没收到，钱也没退")</f>
        <v>东西没收到，钱也没退</v>
      </c>
      <c r="C5256" s="2" t="s">
        <v>9</v>
      </c>
      <c r="D5256" s="2" t="s">
        <v>10</v>
      </c>
      <c r="E5256" s="2" t="str">
        <f>HYPERLINK("http://ts.21cn.com/tousu/show/id/1336076","http://ts.21cn.com/tousu/show/id/1336076")</f>
        <v>http://ts.21cn.com/tousu/show/id/1336076</v>
      </c>
      <c r="F5256" s="2" t="s">
        <v>11</v>
      </c>
      <c r="G5256" s="2" t="s">
        <v>33812</v>
      </c>
      <c r="H5256" s="2" t="s">
        <v>33813</v>
      </c>
    </row>
    <row r="5257" spans="1:8" ht="25.05" customHeight="1" x14ac:dyDescent="0.25">
      <c r="A5257" s="2" t="s">
        <v>8</v>
      </c>
      <c r="B5257" s="2" t="str">
        <f>HYPERLINK("http://ts.21cn.com/tousu/show/id/1336075","豹子贷恶意扣款")</f>
        <v>豹子贷恶意扣款</v>
      </c>
      <c r="C5257" s="2" t="s">
        <v>9</v>
      </c>
      <c r="D5257" s="2" t="s">
        <v>10</v>
      </c>
      <c r="E5257" s="2" t="str">
        <f>HYPERLINK("http://ts.21cn.com/tousu/show/id/1336075","http://ts.21cn.com/tousu/show/id/1336075")</f>
        <v>http://ts.21cn.com/tousu/show/id/1336075</v>
      </c>
      <c r="F5257" s="2" t="s">
        <v>11</v>
      </c>
      <c r="G5257" s="2" t="s">
        <v>33810</v>
      </c>
      <c r="H5257" s="2" t="s">
        <v>33811</v>
      </c>
    </row>
    <row r="5258" spans="1:8" ht="25.05" customHeight="1" x14ac:dyDescent="0.25">
      <c r="A5258" s="2" t="s">
        <v>8</v>
      </c>
      <c r="B5258" s="2" t="str">
        <f>HYPERLINK("http://ts.21cn.com/tousu/show/id/1336077","钱包易贷砍头息，高利贷")</f>
        <v>钱包易贷砍头息，高利贷</v>
      </c>
      <c r="C5258" s="2" t="s">
        <v>9</v>
      </c>
      <c r="D5258" s="2" t="s">
        <v>10</v>
      </c>
      <c r="E5258" s="2" t="str">
        <f>HYPERLINK("http://ts.21cn.com/tousu/show/id/1336077","http://ts.21cn.com/tousu/show/id/1336077")</f>
        <v>http://ts.21cn.com/tousu/show/id/1336077</v>
      </c>
      <c r="F5258" s="2" t="s">
        <v>11</v>
      </c>
      <c r="G5258" s="2" t="s">
        <v>33808</v>
      </c>
      <c r="H5258" s="2" t="s">
        <v>33809</v>
      </c>
    </row>
    <row r="5259" spans="1:8" ht="25.05" customHeight="1" x14ac:dyDescent="0.25">
      <c r="A5259" s="2" t="s">
        <v>8</v>
      </c>
      <c r="B5259" s="2" t="str">
        <f>HYPERLINK("http://ts.21cn.com/tousu/show/id/1336078","火影帮高利贷砍头息")</f>
        <v>火影帮高利贷砍头息</v>
      </c>
      <c r="C5259" s="2" t="s">
        <v>34</v>
      </c>
      <c r="D5259" s="2" t="s">
        <v>10</v>
      </c>
      <c r="E5259" s="2" t="str">
        <f>HYPERLINK("http://ts.21cn.com/tousu/show/id/1336078","http://ts.21cn.com/tousu/show/id/1336078")</f>
        <v>http://ts.21cn.com/tousu/show/id/1336078</v>
      </c>
      <c r="F5259" s="2" t="s">
        <v>11</v>
      </c>
      <c r="G5259" s="2" t="s">
        <v>33806</v>
      </c>
      <c r="H5259" s="2" t="s">
        <v>33807</v>
      </c>
    </row>
    <row r="5260" spans="1:8" ht="25.05" customHeight="1" x14ac:dyDescent="0.25">
      <c r="A5260" s="2" t="s">
        <v>8</v>
      </c>
      <c r="B5260" s="2" t="str">
        <f>HYPERLINK("http://ts.21cn.com/tousu/show/id/1336079","来分期爆力吹收恐吓")</f>
        <v>来分期爆力吹收恐吓</v>
      </c>
      <c r="C5260" s="2" t="s">
        <v>9</v>
      </c>
      <c r="D5260" s="2" t="s">
        <v>10</v>
      </c>
      <c r="E5260" s="2" t="str">
        <f>HYPERLINK("http://ts.21cn.com/tousu/show/id/1336079","http://ts.21cn.com/tousu/show/id/1336079")</f>
        <v>http://ts.21cn.com/tousu/show/id/1336079</v>
      </c>
      <c r="F5260" s="2" t="s">
        <v>11</v>
      </c>
      <c r="G5260" s="2" t="s">
        <v>33804</v>
      </c>
      <c r="H5260" s="2" t="s">
        <v>33805</v>
      </c>
    </row>
    <row r="5261" spans="1:8" ht="25.05" customHeight="1" x14ac:dyDescent="0.25">
      <c r="A5261" s="2" t="s">
        <v>8</v>
      </c>
      <c r="B5261" s="2" t="str">
        <f>HYPERLINK("http://ts.21cn.com/tousu/show/id/1336080","小黑鱼点心贷非法砍头息，到账1500，秒扣375")</f>
        <v>小黑鱼点心贷非法砍头息，到账1500，秒扣375</v>
      </c>
      <c r="C5261" s="2" t="s">
        <v>9</v>
      </c>
      <c r="D5261" s="2" t="s">
        <v>10</v>
      </c>
      <c r="E5261" s="2" t="str">
        <f>HYPERLINK("http://ts.21cn.com/tousu/show/id/1336080","http://ts.21cn.com/tousu/show/id/1336080")</f>
        <v>http://ts.21cn.com/tousu/show/id/1336080</v>
      </c>
      <c r="F5261" s="2" t="s">
        <v>11</v>
      </c>
      <c r="G5261" s="2" t="s">
        <v>33802</v>
      </c>
      <c r="H5261" s="2" t="s">
        <v>33803</v>
      </c>
    </row>
    <row r="5262" spans="1:8" ht="25.05" customHeight="1" x14ac:dyDescent="0.25">
      <c r="A5262" s="2" t="s">
        <v>8</v>
      </c>
      <c r="B5262" s="2" t="str">
        <f>HYPERLINK("http://ts.21cn.com/tousu/show/id/1336081","爱钱进app存在陷阱")</f>
        <v>爱钱进app存在陷阱</v>
      </c>
      <c r="C5262" s="2" t="s">
        <v>9</v>
      </c>
      <c r="D5262" s="2" t="s">
        <v>10</v>
      </c>
      <c r="E5262" s="2" t="str">
        <f>HYPERLINK("http://ts.21cn.com/tousu/show/id/1336081","http://ts.21cn.com/tousu/show/id/1336081")</f>
        <v>http://ts.21cn.com/tousu/show/id/1336081</v>
      </c>
      <c r="F5262" s="2" t="s">
        <v>11</v>
      </c>
      <c r="G5262" s="2" t="s">
        <v>33800</v>
      </c>
      <c r="H5262" s="2" t="s">
        <v>33801</v>
      </c>
    </row>
    <row r="5263" spans="1:8" ht="25.05" customHeight="1" x14ac:dyDescent="0.25">
      <c r="A5263" s="2" t="s">
        <v>8</v>
      </c>
      <c r="B5263" s="2" t="str">
        <f>HYPERLINK("http://ts.21cn.com/tousu/show/id/1336082","暴力催收")</f>
        <v>暴力催收</v>
      </c>
      <c r="C5263" s="2" t="s">
        <v>9</v>
      </c>
      <c r="D5263" s="2" t="s">
        <v>10</v>
      </c>
      <c r="E5263" s="2" t="str">
        <f>HYPERLINK("http://ts.21cn.com/tousu/show/id/1336082","http://ts.21cn.com/tousu/show/id/1336082")</f>
        <v>http://ts.21cn.com/tousu/show/id/1336082</v>
      </c>
      <c r="F5263" s="2" t="s">
        <v>11</v>
      </c>
      <c r="G5263" s="2" t="s">
        <v>33798</v>
      </c>
      <c r="H5263" s="2" t="s">
        <v>33799</v>
      </c>
    </row>
    <row r="5264" spans="1:8" ht="25.05" customHeight="1" x14ac:dyDescent="0.25">
      <c r="A5264" s="2" t="s">
        <v>8</v>
      </c>
      <c r="B5264" s="2" t="str">
        <f>HYPERLINK("http://ts.21cn.com/tousu/show/id/1336083","淘宝手机退货拒收了不给我退款")</f>
        <v>淘宝手机退货拒收了不给我退款</v>
      </c>
      <c r="C5264" s="2" t="s">
        <v>9</v>
      </c>
      <c r="D5264" s="2" t="s">
        <v>10</v>
      </c>
      <c r="E5264" s="2" t="str">
        <f>HYPERLINK("http://ts.21cn.com/tousu/show/id/1336083","http://ts.21cn.com/tousu/show/id/1336083")</f>
        <v>http://ts.21cn.com/tousu/show/id/1336083</v>
      </c>
      <c r="F5264" s="2" t="s">
        <v>11</v>
      </c>
      <c r="G5264" s="2" t="s">
        <v>33796</v>
      </c>
      <c r="H5264" s="2" t="s">
        <v>33797</v>
      </c>
    </row>
    <row r="5265" spans="1:8" ht="25.05" customHeight="1" x14ac:dyDescent="0.25">
      <c r="A5265" s="2" t="s">
        <v>8</v>
      </c>
      <c r="B5265" s="2" t="str">
        <f>HYPERLINK("http://ts.21cn.com/tousu/show/id/1336084","不处理。")</f>
        <v>不处理。</v>
      </c>
      <c r="C5265" s="2" t="s">
        <v>9</v>
      </c>
      <c r="D5265" s="2" t="s">
        <v>10</v>
      </c>
      <c r="E5265" s="2" t="str">
        <f>HYPERLINK("http://ts.21cn.com/tousu/show/id/1336084","http://ts.21cn.com/tousu/show/id/1336084")</f>
        <v>http://ts.21cn.com/tousu/show/id/1336084</v>
      </c>
      <c r="F5265" s="2" t="s">
        <v>11</v>
      </c>
      <c r="G5265" s="2" t="s">
        <v>33794</v>
      </c>
      <c r="H5265" s="2" t="s">
        <v>33795</v>
      </c>
    </row>
    <row r="5266" spans="1:8" ht="25.05" customHeight="1" x14ac:dyDescent="0.25">
      <c r="A5266" s="2" t="s">
        <v>8</v>
      </c>
      <c r="B5266" s="2" t="str">
        <f>HYPERLINK("http://ts.21cn.com/tousu/show/id/1336085","微信支付冻结")</f>
        <v>微信支付冻结</v>
      </c>
      <c r="C5266" s="2" t="s">
        <v>34</v>
      </c>
      <c r="D5266" s="2" t="s">
        <v>10</v>
      </c>
      <c r="E5266" s="2" t="str">
        <f>HYPERLINK("http://ts.21cn.com/tousu/show/id/1336085","http://ts.21cn.com/tousu/show/id/1336085")</f>
        <v>http://ts.21cn.com/tousu/show/id/1336085</v>
      </c>
      <c r="F5266" s="2" t="s">
        <v>11</v>
      </c>
      <c r="G5266" s="2" t="s">
        <v>33792</v>
      </c>
      <c r="H5266" s="2" t="s">
        <v>33793</v>
      </c>
    </row>
    <row r="5267" spans="1:8" ht="25.05" customHeight="1" x14ac:dyDescent="0.25">
      <c r="A5267" s="2" t="s">
        <v>8</v>
      </c>
      <c r="B5267" s="2" t="str">
        <f>HYPERLINK("http://ts.21cn.com/tousu/show/id/1336088","月光侠分期高额利息，随意打联系人电话")</f>
        <v>月光侠分期高额利息，随意打联系人电话</v>
      </c>
      <c r="C5267" s="2" t="s">
        <v>9</v>
      </c>
      <c r="D5267" s="2" t="s">
        <v>10</v>
      </c>
      <c r="E5267" s="2" t="str">
        <f>HYPERLINK("http://ts.21cn.com/tousu/show/id/1336088","http://ts.21cn.com/tousu/show/id/1336088")</f>
        <v>http://ts.21cn.com/tousu/show/id/1336088</v>
      </c>
      <c r="F5267" s="2" t="s">
        <v>11</v>
      </c>
      <c r="G5267" s="2" t="s">
        <v>33790</v>
      </c>
      <c r="H5267" s="2" t="s">
        <v>33791</v>
      </c>
    </row>
    <row r="5268" spans="1:8" ht="25.05" customHeight="1" x14ac:dyDescent="0.25">
      <c r="A5268" s="2" t="s">
        <v>8</v>
      </c>
      <c r="B5268" s="2" t="str">
        <f>HYPERLINK("http://ts.21cn.com/tousu/show/id/1336087","小花钱包暴力催收！群发联系人")</f>
        <v>小花钱包暴力催收！群发联系人</v>
      </c>
      <c r="C5268" s="2" t="s">
        <v>9</v>
      </c>
      <c r="D5268" s="2" t="s">
        <v>10</v>
      </c>
      <c r="E5268" s="2" t="str">
        <f>HYPERLINK("http://ts.21cn.com/tousu/show/id/1336087","http://ts.21cn.com/tousu/show/id/1336087")</f>
        <v>http://ts.21cn.com/tousu/show/id/1336087</v>
      </c>
      <c r="F5268" s="2" t="s">
        <v>11</v>
      </c>
      <c r="G5268" s="2" t="s">
        <v>33788</v>
      </c>
      <c r="H5268" s="2" t="s">
        <v>33789</v>
      </c>
    </row>
    <row r="5269" spans="1:8" ht="25.05" customHeight="1" x14ac:dyDescent="0.25">
      <c r="A5269" s="2" t="s">
        <v>8</v>
      </c>
      <c r="B5269" s="2" t="str">
        <f>HYPERLINK("http://ts.21cn.com/tousu/show/id/1336089","新大陆科技集团旗下的星POSS管家私自冻结我的账户102875元")</f>
        <v>新大陆科技集团旗下的星POSS管家私自冻结我的账户102875元</v>
      </c>
      <c r="C5269" s="2" t="s">
        <v>9</v>
      </c>
      <c r="D5269" s="2" t="s">
        <v>10</v>
      </c>
      <c r="E5269" s="2" t="str">
        <f>HYPERLINK("http://ts.21cn.com/tousu/show/id/1336089","http://ts.21cn.com/tousu/show/id/1336089")</f>
        <v>http://ts.21cn.com/tousu/show/id/1336089</v>
      </c>
      <c r="F5269" s="2" t="s">
        <v>11</v>
      </c>
      <c r="G5269" s="2" t="s">
        <v>33786</v>
      </c>
      <c r="H5269" s="2" t="s">
        <v>33787</v>
      </c>
    </row>
    <row r="5270" spans="1:8" ht="25.05" customHeight="1" x14ac:dyDescent="0.25">
      <c r="A5270" s="2" t="s">
        <v>8</v>
      </c>
      <c r="B5270" s="2" t="str">
        <f>HYPERLINK("http://ts.21cn.com/tousu/show/id/1336090","石家庄瞳爱科技有限公司坑害消费者，强烈要求退款！！！")</f>
        <v>石家庄瞳爱科技有限公司坑害消费者，强烈要求退款！！！</v>
      </c>
      <c r="C5270" s="2" t="s">
        <v>9</v>
      </c>
      <c r="D5270" s="2" t="s">
        <v>10</v>
      </c>
      <c r="E5270" s="2" t="str">
        <f>HYPERLINK("http://ts.21cn.com/tousu/show/id/1336090","http://ts.21cn.com/tousu/show/id/1336090")</f>
        <v>http://ts.21cn.com/tousu/show/id/1336090</v>
      </c>
      <c r="F5270" s="2" t="s">
        <v>11</v>
      </c>
      <c r="G5270" s="2" t="s">
        <v>33784</v>
      </c>
      <c r="H5270" s="2" t="s">
        <v>33785</v>
      </c>
    </row>
    <row r="5271" spans="1:8" ht="25.05" customHeight="1" x14ac:dyDescent="0.25">
      <c r="A5271" s="2" t="s">
        <v>8</v>
      </c>
      <c r="B5271" s="2" t="str">
        <f>HYPERLINK("http://ts.21cn.com/tousu/show/id/1336091","青客公寓押金退款周期过长")</f>
        <v>青客公寓押金退款周期过长</v>
      </c>
      <c r="C5271" s="2" t="s">
        <v>9</v>
      </c>
      <c r="D5271" s="2" t="s">
        <v>10</v>
      </c>
      <c r="E5271" s="2" t="str">
        <f>HYPERLINK("http://ts.21cn.com/tousu/show/id/1336091","http://ts.21cn.com/tousu/show/id/1336091")</f>
        <v>http://ts.21cn.com/tousu/show/id/1336091</v>
      </c>
      <c r="F5271" s="2" t="s">
        <v>11</v>
      </c>
      <c r="G5271" s="2" t="s">
        <v>33782</v>
      </c>
      <c r="H5271" s="2" t="s">
        <v>33783</v>
      </c>
    </row>
    <row r="5272" spans="1:8" ht="25.05" customHeight="1" x14ac:dyDescent="0.25">
      <c r="A5272" s="2" t="s">
        <v>8</v>
      </c>
      <c r="B5272" s="2" t="str">
        <f>HYPERLINK("http://ts.21cn.com/tousu/show/id/1336092","叉叉助手不能用了半年还不退款客服又联系不到")</f>
        <v>叉叉助手不能用了半年还不退款客服又联系不到</v>
      </c>
      <c r="C5272" s="2" t="s">
        <v>9</v>
      </c>
      <c r="D5272" s="2" t="s">
        <v>10</v>
      </c>
      <c r="E5272" s="2" t="str">
        <f>HYPERLINK("http://ts.21cn.com/tousu/show/id/1336092","http://ts.21cn.com/tousu/show/id/1336092")</f>
        <v>http://ts.21cn.com/tousu/show/id/1336092</v>
      </c>
      <c r="F5272" s="2" t="s">
        <v>11</v>
      </c>
      <c r="G5272" s="2" t="s">
        <v>33780</v>
      </c>
      <c r="H5272" s="2" t="s">
        <v>33781</v>
      </c>
    </row>
    <row r="5273" spans="1:8" ht="25.05" customHeight="1" x14ac:dyDescent="0.25">
      <c r="A5273" s="2" t="s">
        <v>8</v>
      </c>
      <c r="B5273" s="2" t="str">
        <f>HYPERLINK("http://ts.21cn.com/tousu/show/id/1336094","购分期私自扣费")</f>
        <v>购分期私自扣费</v>
      </c>
      <c r="C5273" s="2" t="s">
        <v>9</v>
      </c>
      <c r="D5273" s="2" t="s">
        <v>10</v>
      </c>
      <c r="E5273" s="2" t="str">
        <f>HYPERLINK("http://ts.21cn.com/tousu/show/id/1336094","http://ts.21cn.com/tousu/show/id/1336094")</f>
        <v>http://ts.21cn.com/tousu/show/id/1336094</v>
      </c>
      <c r="F5273" s="2" t="s">
        <v>11</v>
      </c>
      <c r="G5273" s="2" t="s">
        <v>33778</v>
      </c>
      <c r="H5273" s="2" t="s">
        <v>33779</v>
      </c>
    </row>
    <row r="5274" spans="1:8" ht="25.05" customHeight="1" x14ac:dyDescent="0.25">
      <c r="A5274" s="2" t="s">
        <v>8</v>
      </c>
      <c r="B5274" s="2" t="str">
        <f>HYPERLINK("http://ts.21cn.com/tousu/show/id/1336093","账户资金没有安全保障")</f>
        <v>账户资金没有安全保障</v>
      </c>
      <c r="C5274" s="2" t="s">
        <v>9</v>
      </c>
      <c r="D5274" s="2" t="s">
        <v>10</v>
      </c>
      <c r="E5274" s="2" t="str">
        <f>HYPERLINK("http://ts.21cn.com/tousu/show/id/1336093","http://ts.21cn.com/tousu/show/id/1336093")</f>
        <v>http://ts.21cn.com/tousu/show/id/1336093</v>
      </c>
      <c r="F5274" s="2" t="s">
        <v>11</v>
      </c>
      <c r="G5274" s="2" t="s">
        <v>33776</v>
      </c>
      <c r="H5274" s="2" t="s">
        <v>33777</v>
      </c>
    </row>
    <row r="5275" spans="1:8" ht="25.05" customHeight="1" x14ac:dyDescent="0.25">
      <c r="A5275" s="2" t="s">
        <v>8</v>
      </c>
      <c r="B5275" s="2" t="str">
        <f>HYPERLINK("http://ts.21cn.com/tousu/show/id/1336095","协商还款，还款后已告知催收部门延期到账后还不停的电话骚扰")</f>
        <v>协商还款，还款后已告知催收部门延期到账后还不停的电话骚扰</v>
      </c>
      <c r="C5275" s="2" t="s">
        <v>9</v>
      </c>
      <c r="D5275" s="2" t="s">
        <v>10</v>
      </c>
      <c r="E5275" s="2" t="str">
        <f>HYPERLINK("http://ts.21cn.com/tousu/show/id/1336095","http://ts.21cn.com/tousu/show/id/1336095")</f>
        <v>http://ts.21cn.com/tousu/show/id/1336095</v>
      </c>
      <c r="F5275" s="2" t="s">
        <v>11</v>
      </c>
      <c r="G5275" s="2" t="s">
        <v>33774</v>
      </c>
      <c r="H5275" s="2" t="s">
        <v>33775</v>
      </c>
    </row>
    <row r="5276" spans="1:8" ht="25.05" customHeight="1" x14ac:dyDescent="0.25">
      <c r="A5276" s="2" t="s">
        <v>8</v>
      </c>
      <c r="B5276" s="2" t="str">
        <f>HYPERLINK("http://ts.21cn.com/tousu/show/id/1336096","天津移动亲情网办理未生效额外扣话费")</f>
        <v>天津移动亲情网办理未生效额外扣话费</v>
      </c>
      <c r="C5276" s="2" t="s">
        <v>34</v>
      </c>
      <c r="D5276" s="2" t="s">
        <v>10</v>
      </c>
      <c r="E5276" s="2" t="str">
        <f>HYPERLINK("http://ts.21cn.com/tousu/show/id/1336096","http://ts.21cn.com/tousu/show/id/1336096")</f>
        <v>http://ts.21cn.com/tousu/show/id/1336096</v>
      </c>
      <c r="F5276" s="2" t="s">
        <v>11</v>
      </c>
      <c r="G5276" s="2" t="s">
        <v>33772</v>
      </c>
      <c r="H5276" s="2" t="s">
        <v>33773</v>
      </c>
    </row>
    <row r="5277" spans="1:8" ht="25.05" customHeight="1" x14ac:dyDescent="0.25">
      <c r="A5277" s="2" t="s">
        <v>8</v>
      </c>
      <c r="B5277" s="2" t="str">
        <f>HYPERLINK("http://ts.21cn.com/tousu/show/id/1336098","宙斯钱包高利贷砍头息")</f>
        <v>宙斯钱包高利贷砍头息</v>
      </c>
      <c r="C5277" s="2" t="s">
        <v>9</v>
      </c>
      <c r="D5277" s="2" t="s">
        <v>10</v>
      </c>
      <c r="E5277" s="2" t="str">
        <f>HYPERLINK("http://ts.21cn.com/tousu/show/id/1336098","http://ts.21cn.com/tousu/show/id/1336098")</f>
        <v>http://ts.21cn.com/tousu/show/id/1336098</v>
      </c>
      <c r="F5277" s="2" t="s">
        <v>11</v>
      </c>
      <c r="G5277" s="2" t="s">
        <v>33770</v>
      </c>
      <c r="H5277" s="2" t="s">
        <v>33771</v>
      </c>
    </row>
    <row r="5278" spans="1:8" ht="25.05" customHeight="1" x14ac:dyDescent="0.25">
      <c r="A5278" s="2" t="s">
        <v>8</v>
      </c>
      <c r="B5278" s="2" t="str">
        <f>HYPERLINK("http://ts.21cn.com/tousu/show/id/1336099","闪银奇艺闪管家不放款也不让注销")</f>
        <v>闪银奇艺闪管家不放款也不让注销</v>
      </c>
      <c r="C5278" s="2" t="s">
        <v>9</v>
      </c>
      <c r="D5278" s="2" t="s">
        <v>10</v>
      </c>
      <c r="E5278" s="2" t="str">
        <f>HYPERLINK("http://ts.21cn.com/tousu/show/id/1336099","http://ts.21cn.com/tousu/show/id/1336099")</f>
        <v>http://ts.21cn.com/tousu/show/id/1336099</v>
      </c>
      <c r="F5278" s="2" t="s">
        <v>11</v>
      </c>
      <c r="G5278" s="2" t="s">
        <v>33768</v>
      </c>
      <c r="H5278" s="2" t="s">
        <v>33769</v>
      </c>
    </row>
    <row r="5279" spans="1:8" ht="25.05" customHeight="1" x14ac:dyDescent="0.25">
      <c r="A5279" s="2" t="s">
        <v>8</v>
      </c>
      <c r="B5279" s="2" t="str">
        <f>HYPERLINK("http://ts.21cn.com/tousu/show/id/1336100","无通知私自多次扣款")</f>
        <v>无通知私自多次扣款</v>
      </c>
      <c r="C5279" s="2" t="s">
        <v>9</v>
      </c>
      <c r="D5279" s="2" t="s">
        <v>10</v>
      </c>
      <c r="E5279" s="2" t="str">
        <f>HYPERLINK("http://ts.21cn.com/tousu/show/id/1336100","http://ts.21cn.com/tousu/show/id/1336100")</f>
        <v>http://ts.21cn.com/tousu/show/id/1336100</v>
      </c>
      <c r="F5279" s="2" t="s">
        <v>11</v>
      </c>
      <c r="G5279" s="2" t="s">
        <v>33766</v>
      </c>
      <c r="H5279" s="2" t="s">
        <v>33767</v>
      </c>
    </row>
    <row r="5280" spans="1:8" ht="25.05" customHeight="1" x14ac:dyDescent="0.25">
      <c r="A5280" s="2" t="s">
        <v>8</v>
      </c>
      <c r="B5280" s="2" t="str">
        <f>HYPERLINK("http://ts.21cn.com/tousu/show/id/1336102","如期分期联合天下信用收取高额砍头息和高利贷")</f>
        <v>如期分期联合天下信用收取高额砍头息和高利贷</v>
      </c>
      <c r="C5280" s="2" t="s">
        <v>9</v>
      </c>
      <c r="D5280" s="2" t="s">
        <v>10</v>
      </c>
      <c r="E5280" s="2" t="str">
        <f>HYPERLINK("http://ts.21cn.com/tousu/show/id/1336102","http://ts.21cn.com/tousu/show/id/1336102")</f>
        <v>http://ts.21cn.com/tousu/show/id/1336102</v>
      </c>
      <c r="F5280" s="2" t="s">
        <v>11</v>
      </c>
      <c r="G5280" s="2" t="s">
        <v>33764</v>
      </c>
      <c r="H5280" s="2" t="s">
        <v>33765</v>
      </c>
    </row>
    <row r="5281" spans="1:8" ht="25.05" customHeight="1" x14ac:dyDescent="0.25">
      <c r="A5281" s="2" t="s">
        <v>8</v>
      </c>
      <c r="B5281" s="2" t="str">
        <f>HYPERLINK("http://ts.21cn.com/tousu/show/id/1336103","滴滴规则侵犯司机权益")</f>
        <v>滴滴规则侵犯司机权益</v>
      </c>
      <c r="C5281" s="2" t="s">
        <v>9</v>
      </c>
      <c r="D5281" s="2" t="s">
        <v>10</v>
      </c>
      <c r="E5281" s="2" t="str">
        <f>HYPERLINK("http://ts.21cn.com/tousu/show/id/1336103","http://ts.21cn.com/tousu/show/id/1336103")</f>
        <v>http://ts.21cn.com/tousu/show/id/1336103</v>
      </c>
      <c r="F5281" s="2" t="s">
        <v>11</v>
      </c>
      <c r="G5281" s="2" t="s">
        <v>33762</v>
      </c>
      <c r="H5281" s="2" t="s">
        <v>33763</v>
      </c>
    </row>
    <row r="5282" spans="1:8" ht="25.05" customHeight="1" x14ac:dyDescent="0.25">
      <c r="A5282" s="2" t="s">
        <v>8</v>
      </c>
      <c r="B5282" s="2" t="str">
        <f>HYPERLINK("http://ts.21cn.com/tousu/show/id/1336104","高铁管家明显误导消费，在有余票情况下，明显误导使用VIP极速出票。")</f>
        <v>高铁管家明显误导消费，在有余票情况下，明显误导使用VIP极速出票。</v>
      </c>
      <c r="C5282" s="2" t="s">
        <v>34</v>
      </c>
      <c r="D5282" s="2" t="s">
        <v>10</v>
      </c>
      <c r="E5282" s="2" t="str">
        <f>HYPERLINK("http://ts.21cn.com/tousu/show/id/1336104","http://ts.21cn.com/tousu/show/id/1336104")</f>
        <v>http://ts.21cn.com/tousu/show/id/1336104</v>
      </c>
      <c r="F5282" s="2" t="s">
        <v>11</v>
      </c>
      <c r="G5282" s="2" t="s">
        <v>33760</v>
      </c>
      <c r="H5282" s="2" t="s">
        <v>33761</v>
      </c>
    </row>
    <row r="5283" spans="1:8" ht="25.05" customHeight="1" x14ac:dyDescent="0.25">
      <c r="A5283" s="2" t="s">
        <v>8</v>
      </c>
      <c r="B5283" s="2" t="str">
        <f>HYPERLINK("http://ts.21cn.com/tousu/show/id/1336105","美团生活费骚扰联系人")</f>
        <v>美团生活费骚扰联系人</v>
      </c>
      <c r="C5283" s="2" t="s">
        <v>9</v>
      </c>
      <c r="D5283" s="2" t="s">
        <v>10</v>
      </c>
      <c r="E5283" s="2" t="str">
        <f>HYPERLINK("http://ts.21cn.com/tousu/show/id/1336105","http://ts.21cn.com/tousu/show/id/1336105")</f>
        <v>http://ts.21cn.com/tousu/show/id/1336105</v>
      </c>
      <c r="F5283" s="2" t="s">
        <v>11</v>
      </c>
      <c r="G5283" s="2" t="s">
        <v>33758</v>
      </c>
      <c r="H5283" s="2" t="s">
        <v>33759</v>
      </c>
    </row>
    <row r="5284" spans="1:8" ht="25.05" customHeight="1" x14ac:dyDescent="0.25">
      <c r="A5284" s="2" t="s">
        <v>8</v>
      </c>
      <c r="B5284" s="2" t="str">
        <f>HYPERLINK("http://ts.21cn.com/tousu/show/id/1336107","要命的催款")</f>
        <v>要命的催款</v>
      </c>
      <c r="C5284" s="2" t="s">
        <v>9</v>
      </c>
      <c r="D5284" s="2" t="s">
        <v>10</v>
      </c>
      <c r="E5284" s="2" t="str">
        <f>HYPERLINK("http://ts.21cn.com/tousu/show/id/1336107","http://ts.21cn.com/tousu/show/id/1336107")</f>
        <v>http://ts.21cn.com/tousu/show/id/1336107</v>
      </c>
      <c r="F5284" s="2" t="s">
        <v>11</v>
      </c>
      <c r="G5284" s="2" t="s">
        <v>33756</v>
      </c>
      <c r="H5284" s="2" t="s">
        <v>33757</v>
      </c>
    </row>
    <row r="5285" spans="1:8" ht="25.05" customHeight="1" x14ac:dyDescent="0.25">
      <c r="A5285" s="2" t="s">
        <v>8</v>
      </c>
      <c r="B5285" s="2" t="str">
        <f>HYPERLINK("http://ts.21cn.com/tousu/show/id/1336106","浦发信用卡高利息，暴力催收，恶意散步消息")</f>
        <v>浦发信用卡高利息，暴力催收，恶意散步消息</v>
      </c>
      <c r="C5285" s="2" t="s">
        <v>9</v>
      </c>
      <c r="D5285" s="2" t="s">
        <v>10</v>
      </c>
      <c r="E5285" s="2" t="str">
        <f>HYPERLINK("http://ts.21cn.com/tousu/show/id/1336106","http://ts.21cn.com/tousu/show/id/1336106")</f>
        <v>http://ts.21cn.com/tousu/show/id/1336106</v>
      </c>
      <c r="F5285" s="2" t="s">
        <v>11</v>
      </c>
      <c r="G5285" s="2" t="s">
        <v>33754</v>
      </c>
      <c r="H5285" s="2" t="s">
        <v>33755</v>
      </c>
    </row>
    <row r="5286" spans="1:8" ht="25.05" customHeight="1" x14ac:dyDescent="0.25">
      <c r="A5286" s="2" t="s">
        <v>8</v>
      </c>
      <c r="B5286" s="2" t="str">
        <f>HYPERLINK("http://ts.21cn.com/tousu/show/id/1336109","腾讯课堂优梯教育诱导交费")</f>
        <v>腾讯课堂优梯教育诱导交费</v>
      </c>
      <c r="C5286" s="2" t="s">
        <v>9</v>
      </c>
      <c r="D5286" s="2" t="s">
        <v>10</v>
      </c>
      <c r="E5286" s="2" t="str">
        <f>HYPERLINK("http://ts.21cn.com/tousu/show/id/1336109","http://ts.21cn.com/tousu/show/id/1336109")</f>
        <v>http://ts.21cn.com/tousu/show/id/1336109</v>
      </c>
      <c r="F5286" s="2" t="s">
        <v>11</v>
      </c>
      <c r="G5286" s="2" t="s">
        <v>33752</v>
      </c>
      <c r="H5286" s="2" t="s">
        <v>33753</v>
      </c>
    </row>
    <row r="5287" spans="1:8" ht="25.05" customHeight="1" x14ac:dyDescent="0.25">
      <c r="A5287" s="2" t="s">
        <v>8</v>
      </c>
      <c r="B5287" s="2" t="str">
        <f>HYPERLINK("http://ts.21cn.com/tousu/show/id/1336108","交易猫买号，账号异常，登陆时显示被封号，现在被冻结，仲裁客服不管")</f>
        <v>交易猫买号，账号异常，登陆时显示被封号，现在被冻结，仲裁客服不管</v>
      </c>
      <c r="C5287" s="2" t="s">
        <v>9</v>
      </c>
      <c r="D5287" s="2" t="s">
        <v>10</v>
      </c>
      <c r="E5287" s="2" t="str">
        <f>HYPERLINK("http://ts.21cn.com/tousu/show/id/1336108","http://ts.21cn.com/tousu/show/id/1336108")</f>
        <v>http://ts.21cn.com/tousu/show/id/1336108</v>
      </c>
      <c r="F5287" s="2" t="s">
        <v>11</v>
      </c>
      <c r="G5287" s="2" t="s">
        <v>33750</v>
      </c>
      <c r="H5287" s="2" t="s">
        <v>33751</v>
      </c>
    </row>
    <row r="5288" spans="1:8" ht="25.05" customHeight="1" x14ac:dyDescent="0.25">
      <c r="A5288" s="2" t="s">
        <v>8</v>
      </c>
      <c r="B5288" s="2" t="str">
        <f>HYPERLINK("http://ts.21cn.com/tousu/show/id/1336110","暴力催收，非法拨打通讯录，给单位领导打电话说要起诉我")</f>
        <v>暴力催收，非法拨打通讯录，给单位领导打电话说要起诉我</v>
      </c>
      <c r="C5288" s="2" t="s">
        <v>9</v>
      </c>
      <c r="D5288" s="2" t="s">
        <v>10</v>
      </c>
      <c r="E5288" s="2" t="str">
        <f>HYPERLINK("http://ts.21cn.com/tousu/show/id/1336110","http://ts.21cn.com/tousu/show/id/1336110")</f>
        <v>http://ts.21cn.com/tousu/show/id/1336110</v>
      </c>
      <c r="F5288" s="2" t="s">
        <v>11</v>
      </c>
      <c r="G5288" s="2" t="s">
        <v>33748</v>
      </c>
      <c r="H5288" s="2" t="s">
        <v>33749</v>
      </c>
    </row>
    <row r="5289" spans="1:8" ht="25.05" customHeight="1" x14ac:dyDescent="0.25">
      <c r="A5289" s="2" t="s">
        <v>8</v>
      </c>
      <c r="B5289" s="2" t="str">
        <f>HYPERLINK("http://ts.21cn.com/tousu/show/id/1336111","小当家借款平台无法还款，高利息")</f>
        <v>小当家借款平台无法还款，高利息</v>
      </c>
      <c r="C5289" s="2" t="s">
        <v>34</v>
      </c>
      <c r="D5289" s="2" t="s">
        <v>10</v>
      </c>
      <c r="E5289" s="2" t="str">
        <f>HYPERLINK("http://ts.21cn.com/tousu/show/id/1336111","http://ts.21cn.com/tousu/show/id/1336111")</f>
        <v>http://ts.21cn.com/tousu/show/id/1336111</v>
      </c>
      <c r="F5289" s="2" t="s">
        <v>11</v>
      </c>
      <c r="G5289" s="2" t="s">
        <v>33746</v>
      </c>
      <c r="H5289" s="2" t="s">
        <v>33747</v>
      </c>
    </row>
    <row r="5290" spans="1:8" ht="25.05" customHeight="1" x14ac:dyDescent="0.25">
      <c r="A5290" s="2" t="s">
        <v>8</v>
      </c>
      <c r="B5290" s="2" t="str">
        <f>HYPERLINK("http://ts.21cn.com/tousu/show/id/1336115","伪造合同更改贷款信息盗取信息")</f>
        <v>伪造合同更改贷款信息盗取信息</v>
      </c>
      <c r="C5290" s="2" t="s">
        <v>9</v>
      </c>
      <c r="D5290" s="2" t="s">
        <v>10</v>
      </c>
      <c r="E5290" s="2" t="str">
        <f>HYPERLINK("http://ts.21cn.com/tousu/show/id/1336115","http://ts.21cn.com/tousu/show/id/1336115")</f>
        <v>http://ts.21cn.com/tousu/show/id/1336115</v>
      </c>
      <c r="F5290" s="2" t="s">
        <v>11</v>
      </c>
      <c r="G5290" s="2" t="s">
        <v>33744</v>
      </c>
      <c r="H5290" s="2" t="s">
        <v>33745</v>
      </c>
    </row>
    <row r="5291" spans="1:8" ht="25.05" customHeight="1" x14ac:dyDescent="0.25">
      <c r="A5291" s="2" t="s">
        <v>8</v>
      </c>
      <c r="B5291" s="2" t="str">
        <f>HYPERLINK("http://ts.21cn.com/tousu/show/id/1336112","私自刷取银行金额要求退款")</f>
        <v>私自刷取银行金额要求退款</v>
      </c>
      <c r="C5291" s="2" t="s">
        <v>9</v>
      </c>
      <c r="D5291" s="2" t="s">
        <v>10</v>
      </c>
      <c r="E5291" s="2" t="str">
        <f>HYPERLINK("http://ts.21cn.com/tousu/show/id/1336112","http://ts.21cn.com/tousu/show/id/1336112")</f>
        <v>http://ts.21cn.com/tousu/show/id/1336112</v>
      </c>
      <c r="F5291" s="2" t="s">
        <v>11</v>
      </c>
      <c r="G5291" s="2" t="s">
        <v>33742</v>
      </c>
      <c r="H5291" s="2" t="s">
        <v>33743</v>
      </c>
    </row>
    <row r="5292" spans="1:8" ht="25.05" customHeight="1" x14ac:dyDescent="0.25">
      <c r="A5292" s="2" t="s">
        <v>8</v>
      </c>
      <c r="B5292" s="2" t="str">
        <f>HYPERLINK("http://ts.21cn.com/tousu/show/id/1336114","易安保险于及贷借款平台强行搭售保险合同")</f>
        <v>易安保险于及贷借款平台强行搭售保险合同</v>
      </c>
      <c r="C5292" s="2" t="s">
        <v>9</v>
      </c>
      <c r="D5292" s="2" t="s">
        <v>10</v>
      </c>
      <c r="E5292" s="2" t="str">
        <f>HYPERLINK("http://ts.21cn.com/tousu/show/id/1336114","http://ts.21cn.com/tousu/show/id/1336114")</f>
        <v>http://ts.21cn.com/tousu/show/id/1336114</v>
      </c>
      <c r="F5292" s="2" t="s">
        <v>11</v>
      </c>
      <c r="G5292" s="2" t="s">
        <v>33739</v>
      </c>
      <c r="H5292" s="2" t="s">
        <v>33740</v>
      </c>
    </row>
    <row r="5293" spans="1:8" ht="25.05" customHeight="1" x14ac:dyDescent="0.25">
      <c r="A5293" s="2" t="s">
        <v>8</v>
      </c>
      <c r="B5293" s="2" t="str">
        <f>HYPERLINK("http://ts.21cn.com/tousu/show/id/1336113","劝我朋友别想不开")</f>
        <v>劝我朋友别想不开</v>
      </c>
      <c r="C5293" s="2" t="s">
        <v>34</v>
      </c>
      <c r="D5293" s="2" t="s">
        <v>10</v>
      </c>
      <c r="E5293" s="2" t="str">
        <f>HYPERLINK("http://ts.21cn.com/tousu/show/id/1336113","http://ts.21cn.com/tousu/show/id/1336113")</f>
        <v>http://ts.21cn.com/tousu/show/id/1336113</v>
      </c>
      <c r="F5293" s="2" t="s">
        <v>11</v>
      </c>
      <c r="G5293" s="2" t="s">
        <v>33739</v>
      </c>
      <c r="H5293" s="2" t="s">
        <v>33741</v>
      </c>
    </row>
    <row r="5294" spans="1:8" ht="25.05" customHeight="1" x14ac:dyDescent="0.25">
      <c r="A5294" s="2" t="s">
        <v>8</v>
      </c>
      <c r="B5294" s="2" t="str">
        <f>HYPERLINK("http://ts.21cn.com/tousu/show/id/1336116","国美易卡严重骚扰和爆通讯录")</f>
        <v>国美易卡严重骚扰和爆通讯录</v>
      </c>
      <c r="C5294" s="2" t="s">
        <v>9</v>
      </c>
      <c r="D5294" s="2" t="s">
        <v>10</v>
      </c>
      <c r="E5294" s="2" t="str">
        <f>HYPERLINK("http://ts.21cn.com/tousu/show/id/1336116","http://ts.21cn.com/tousu/show/id/1336116")</f>
        <v>http://ts.21cn.com/tousu/show/id/1336116</v>
      </c>
      <c r="F5294" s="2" t="s">
        <v>11</v>
      </c>
      <c r="G5294" s="2" t="s">
        <v>33737</v>
      </c>
      <c r="H5294" s="2" t="s">
        <v>33738</v>
      </c>
    </row>
    <row r="5295" spans="1:8" ht="25.05" customHeight="1" x14ac:dyDescent="0.25">
      <c r="A5295" s="2" t="s">
        <v>8</v>
      </c>
      <c r="B5295" s="2" t="str">
        <f>HYPERLINK("http://ts.21cn.com/tousu/show/id/1336117","给我说话的机会都没有")</f>
        <v>给我说话的机会都没有</v>
      </c>
      <c r="C5295" s="2" t="s">
        <v>34</v>
      </c>
      <c r="D5295" s="2" t="s">
        <v>10</v>
      </c>
      <c r="E5295" s="2" t="str">
        <f>HYPERLINK("http://ts.21cn.com/tousu/show/id/1336117","http://ts.21cn.com/tousu/show/id/1336117")</f>
        <v>http://ts.21cn.com/tousu/show/id/1336117</v>
      </c>
      <c r="F5295" s="2" t="s">
        <v>11</v>
      </c>
      <c r="G5295" s="2" t="s">
        <v>33735</v>
      </c>
      <c r="H5295" s="2" t="s">
        <v>33736</v>
      </c>
    </row>
    <row r="5296" spans="1:8" ht="25.05" customHeight="1" x14ac:dyDescent="0.25">
      <c r="A5296" s="2" t="s">
        <v>8</v>
      </c>
      <c r="B5296" s="2" t="str">
        <f>HYPERLINK("http://ts.21cn.com/tousu/show/id/1336118","淘宝账号被盗取被别人开店违规操作封锁账号和支付宝号")</f>
        <v>淘宝账号被盗取被别人开店违规操作封锁账号和支付宝号</v>
      </c>
      <c r="C5296" s="2" t="s">
        <v>9</v>
      </c>
      <c r="D5296" s="2" t="s">
        <v>10</v>
      </c>
      <c r="E5296" s="2" t="str">
        <f>HYPERLINK("http://ts.21cn.com/tousu/show/id/1336118","http://ts.21cn.com/tousu/show/id/1336118")</f>
        <v>http://ts.21cn.com/tousu/show/id/1336118</v>
      </c>
      <c r="F5296" s="2" t="s">
        <v>11</v>
      </c>
      <c r="G5296" s="2" t="s">
        <v>33733</v>
      </c>
      <c r="H5296" s="2" t="s">
        <v>33734</v>
      </c>
    </row>
    <row r="5297" spans="1:8" ht="25.05" customHeight="1" x14ac:dyDescent="0.25">
      <c r="A5297" s="2" t="s">
        <v>8</v>
      </c>
      <c r="B5297" s="2" t="str">
        <f>HYPERLINK("http://ts.21cn.com/tousu/show/id/1336119","24小时内,全额退款,解除咖啡易融贷款-")</f>
        <v>24小时内,全额退款,解除咖啡易融贷款-</v>
      </c>
      <c r="C5297" s="2" t="s">
        <v>34</v>
      </c>
      <c r="D5297" s="2" t="s">
        <v>10</v>
      </c>
      <c r="E5297" s="2" t="str">
        <f>HYPERLINK("http://ts.21cn.com/tousu/show/id/1336119","http://ts.21cn.com/tousu/show/id/1336119")</f>
        <v>http://ts.21cn.com/tousu/show/id/1336119</v>
      </c>
      <c r="F5297" s="2" t="s">
        <v>11</v>
      </c>
      <c r="G5297" s="2" t="s">
        <v>33731</v>
      </c>
      <c r="H5297" s="2" t="s">
        <v>33732</v>
      </c>
    </row>
    <row r="5298" spans="1:8" ht="25.05" customHeight="1" x14ac:dyDescent="0.25">
      <c r="A5298" s="2" t="s">
        <v>8</v>
      </c>
      <c r="B5298" s="2" t="str">
        <f>HYPERLINK("http://ts.21cn.com/tousu/show/id/1336120","恐吓威胁")</f>
        <v>恐吓威胁</v>
      </c>
      <c r="C5298" s="2" t="s">
        <v>9</v>
      </c>
      <c r="D5298" s="2" t="s">
        <v>10</v>
      </c>
      <c r="E5298" s="2" t="str">
        <f>HYPERLINK("http://ts.21cn.com/tousu/show/id/1336120","http://ts.21cn.com/tousu/show/id/1336120")</f>
        <v>http://ts.21cn.com/tousu/show/id/1336120</v>
      </c>
      <c r="F5298" s="2" t="s">
        <v>11</v>
      </c>
      <c r="G5298" s="2" t="s">
        <v>33729</v>
      </c>
      <c r="H5298" s="2" t="s">
        <v>33730</v>
      </c>
    </row>
    <row r="5299" spans="1:8" ht="25.05" customHeight="1" x14ac:dyDescent="0.25">
      <c r="A5299" s="2" t="s">
        <v>8</v>
      </c>
      <c r="B5299" s="2" t="str">
        <f>HYPERLINK("http://ts.21cn.com/tousu/show/id/1336121","钱站属于高利贷")</f>
        <v>钱站属于高利贷</v>
      </c>
      <c r="C5299" s="2" t="s">
        <v>9</v>
      </c>
      <c r="D5299" s="2" t="s">
        <v>10</v>
      </c>
      <c r="E5299" s="2" t="str">
        <f>HYPERLINK("http://ts.21cn.com/tousu/show/id/1336121","http://ts.21cn.com/tousu/show/id/1336121")</f>
        <v>http://ts.21cn.com/tousu/show/id/1336121</v>
      </c>
      <c r="F5299" s="2" t="s">
        <v>11</v>
      </c>
      <c r="G5299" s="2" t="s">
        <v>33727</v>
      </c>
      <c r="H5299" s="2" t="s">
        <v>33728</v>
      </c>
    </row>
    <row r="5300" spans="1:8" ht="25.05" customHeight="1" x14ac:dyDescent="0.25">
      <c r="A5300" s="2" t="s">
        <v>8</v>
      </c>
      <c r="B5300" s="2" t="str">
        <f>HYPERLINK("http://ts.21cn.com/tousu/show/id/1336122","高利贷周周花花")</f>
        <v>高利贷周周花花</v>
      </c>
      <c r="C5300" s="2" t="s">
        <v>9</v>
      </c>
      <c r="D5300" s="2" t="s">
        <v>10</v>
      </c>
      <c r="E5300" s="2" t="str">
        <f>HYPERLINK("http://ts.21cn.com/tousu/show/id/1336122","http://ts.21cn.com/tousu/show/id/1336122")</f>
        <v>http://ts.21cn.com/tousu/show/id/1336122</v>
      </c>
      <c r="F5300" s="2" t="s">
        <v>11</v>
      </c>
      <c r="G5300" s="2" t="s">
        <v>33725</v>
      </c>
      <c r="H5300" s="2" t="s">
        <v>33726</v>
      </c>
    </row>
    <row r="5301" spans="1:8" ht="25.05" customHeight="1" x14ac:dyDescent="0.25">
      <c r="A5301" s="2" t="s">
        <v>8</v>
      </c>
      <c r="B5301" s="2" t="str">
        <f>HYPERLINK("http://ts.21cn.com/tousu/show/id/1336123","暴力催收")</f>
        <v>暴力催收</v>
      </c>
      <c r="C5301" s="2" t="s">
        <v>9</v>
      </c>
      <c r="D5301" s="2" t="s">
        <v>10</v>
      </c>
      <c r="E5301" s="2" t="str">
        <f>HYPERLINK("http://ts.21cn.com/tousu/show/id/1336123","http://ts.21cn.com/tousu/show/id/1336123")</f>
        <v>http://ts.21cn.com/tousu/show/id/1336123</v>
      </c>
      <c r="F5301" s="2" t="s">
        <v>11</v>
      </c>
      <c r="G5301" s="2" t="s">
        <v>33723</v>
      </c>
      <c r="H5301" s="2" t="s">
        <v>33724</v>
      </c>
    </row>
    <row r="5302" spans="1:8" ht="25.05" customHeight="1" x14ac:dyDescent="0.25">
      <c r="A5302" s="2" t="s">
        <v>8</v>
      </c>
      <c r="B5302" s="2" t="str">
        <f>HYPERLINK("http://ts.21cn.com/tousu/show/id/1336124","360借条电话骚扰，短信恐吓，暴力催收")</f>
        <v>360借条电话骚扰，短信恐吓，暴力催收</v>
      </c>
      <c r="C5302" s="2" t="s">
        <v>9</v>
      </c>
      <c r="D5302" s="2" t="s">
        <v>10</v>
      </c>
      <c r="E5302" s="2" t="str">
        <f>HYPERLINK("http://ts.21cn.com/tousu/show/id/1336124","http://ts.21cn.com/tousu/show/id/1336124")</f>
        <v>http://ts.21cn.com/tousu/show/id/1336124</v>
      </c>
      <c r="F5302" s="2" t="s">
        <v>11</v>
      </c>
      <c r="G5302" s="2" t="s">
        <v>33721</v>
      </c>
      <c r="H5302" s="2" t="s">
        <v>33722</v>
      </c>
    </row>
    <row r="5303" spans="1:8" ht="25.05" customHeight="1" x14ac:dyDescent="0.25">
      <c r="A5303" s="2" t="s">
        <v>8</v>
      </c>
      <c r="B5303" s="2" t="str">
        <f>HYPERLINK("http://ts.21cn.com/tousu/show/id/1336126","易起来714高炮")</f>
        <v>易起来714高炮</v>
      </c>
      <c r="C5303" s="2" t="s">
        <v>34</v>
      </c>
      <c r="D5303" s="2" t="s">
        <v>10</v>
      </c>
      <c r="E5303" s="2" t="str">
        <f>HYPERLINK("http://ts.21cn.com/tousu/show/id/1336126","http://ts.21cn.com/tousu/show/id/1336126")</f>
        <v>http://ts.21cn.com/tousu/show/id/1336126</v>
      </c>
      <c r="F5303" s="2" t="s">
        <v>11</v>
      </c>
      <c r="G5303" s="2" t="s">
        <v>33719</v>
      </c>
      <c r="H5303" s="2" t="s">
        <v>33720</v>
      </c>
    </row>
    <row r="5304" spans="1:8" ht="25.05" customHeight="1" x14ac:dyDescent="0.25">
      <c r="A5304" s="2" t="s">
        <v>8</v>
      </c>
      <c r="B5304" s="2" t="str">
        <f>HYPERLINK("http://ts.21cn.com/tousu/show/id/1336127","砍头息协商还款")</f>
        <v>砍头息协商还款</v>
      </c>
      <c r="C5304" s="2" t="s">
        <v>34</v>
      </c>
      <c r="D5304" s="2" t="s">
        <v>10</v>
      </c>
      <c r="E5304" s="2" t="str">
        <f>HYPERLINK("http://ts.21cn.com/tousu/show/id/1336127","http://ts.21cn.com/tousu/show/id/1336127")</f>
        <v>http://ts.21cn.com/tousu/show/id/1336127</v>
      </c>
      <c r="F5304" s="2" t="s">
        <v>11</v>
      </c>
      <c r="G5304" s="2" t="s">
        <v>33717</v>
      </c>
      <c r="H5304" s="2" t="s">
        <v>33718</v>
      </c>
    </row>
    <row r="5305" spans="1:8" ht="25.05" customHeight="1" x14ac:dyDescent="0.25">
      <c r="A5305" s="2" t="s">
        <v>8</v>
      </c>
      <c r="B5305" s="2" t="str">
        <f>HYPERLINK("http://ts.21cn.com/tousu/show/id/1336128","买单侠利息太高要求降息")</f>
        <v>买单侠利息太高要求降息</v>
      </c>
      <c r="C5305" s="2" t="s">
        <v>9</v>
      </c>
      <c r="D5305" s="2" t="s">
        <v>10</v>
      </c>
      <c r="E5305" s="2" t="str">
        <f>HYPERLINK("http://ts.21cn.com/tousu/show/id/1336128","http://ts.21cn.com/tousu/show/id/1336128")</f>
        <v>http://ts.21cn.com/tousu/show/id/1336128</v>
      </c>
      <c r="F5305" s="2" t="s">
        <v>11</v>
      </c>
      <c r="G5305" s="2" t="s">
        <v>33715</v>
      </c>
      <c r="H5305" s="2" t="s">
        <v>33716</v>
      </c>
    </row>
    <row r="5306" spans="1:8" ht="25.05" customHeight="1" x14ac:dyDescent="0.25">
      <c r="A5306" s="2" t="s">
        <v>8</v>
      </c>
      <c r="B5306" s="2" t="str">
        <f>HYPERLINK("http://ts.21cn.com/tousu/show/id/1336129","打电话骚扰我的联系人")</f>
        <v>打电话骚扰我的联系人</v>
      </c>
      <c r="C5306" s="2" t="s">
        <v>9</v>
      </c>
      <c r="D5306" s="2" t="s">
        <v>10</v>
      </c>
      <c r="E5306" s="2" t="str">
        <f>HYPERLINK("http://ts.21cn.com/tousu/show/id/1336129","http://ts.21cn.com/tousu/show/id/1336129")</f>
        <v>http://ts.21cn.com/tousu/show/id/1336129</v>
      </c>
      <c r="F5306" s="2" t="s">
        <v>11</v>
      </c>
      <c r="G5306" s="2" t="s">
        <v>33713</v>
      </c>
      <c r="H5306" s="2" t="s">
        <v>33714</v>
      </c>
    </row>
    <row r="5307" spans="1:8" ht="25.05" customHeight="1" x14ac:dyDescent="0.25">
      <c r="A5307" s="2" t="s">
        <v>8</v>
      </c>
      <c r="B5307" s="2" t="str">
        <f>HYPERLINK("http://ts.21cn.com/tousu/show/id/1336131","拍拍贷骚扰")</f>
        <v>拍拍贷骚扰</v>
      </c>
      <c r="C5307" s="2" t="s">
        <v>9</v>
      </c>
      <c r="D5307" s="2" t="s">
        <v>10</v>
      </c>
      <c r="E5307" s="2" t="str">
        <f>HYPERLINK("http://ts.21cn.com/tousu/show/id/1336131","http://ts.21cn.com/tousu/show/id/1336131")</f>
        <v>http://ts.21cn.com/tousu/show/id/1336131</v>
      </c>
      <c r="F5307" s="2" t="s">
        <v>11</v>
      </c>
      <c r="G5307" s="2" t="s">
        <v>33711</v>
      </c>
      <c r="H5307" s="2" t="s">
        <v>33712</v>
      </c>
    </row>
    <row r="5308" spans="1:8" ht="25.05" customHeight="1" x14ac:dyDescent="0.25">
      <c r="A5308" s="2" t="s">
        <v>8</v>
      </c>
      <c r="B5308" s="2" t="str">
        <f>HYPERLINK("http://ts.21cn.com/tousu/show/id/1336130","提前结清")</f>
        <v>提前结清</v>
      </c>
      <c r="C5308" s="2" t="s">
        <v>9</v>
      </c>
      <c r="D5308" s="2" t="s">
        <v>10</v>
      </c>
      <c r="E5308" s="2" t="str">
        <f>HYPERLINK("http://ts.21cn.com/tousu/show/id/1336130","http://ts.21cn.com/tousu/show/id/1336130")</f>
        <v>http://ts.21cn.com/tousu/show/id/1336130</v>
      </c>
      <c r="F5308" s="2" t="s">
        <v>11</v>
      </c>
      <c r="G5308" s="2" t="s">
        <v>33709</v>
      </c>
      <c r="H5308" s="2" t="s">
        <v>33710</v>
      </c>
    </row>
    <row r="5309" spans="1:8" ht="25.05" customHeight="1" x14ac:dyDescent="0.25">
      <c r="A5309" s="2" t="s">
        <v>8</v>
      </c>
      <c r="B5309" s="2" t="str">
        <f>HYPERLINK("http://ts.21cn.com/tousu/show/id/1336132","微粒贷第三方催收公司伪造法律文书进行暴力催收")</f>
        <v>微粒贷第三方催收公司伪造法律文书进行暴力催收</v>
      </c>
      <c r="C5309" s="2" t="s">
        <v>9</v>
      </c>
      <c r="D5309" s="2" t="s">
        <v>10</v>
      </c>
      <c r="E5309" s="2" t="str">
        <f>HYPERLINK("http://ts.21cn.com/tousu/show/id/1336132","http://ts.21cn.com/tousu/show/id/1336132")</f>
        <v>http://ts.21cn.com/tousu/show/id/1336132</v>
      </c>
      <c r="F5309" s="2" t="s">
        <v>11</v>
      </c>
      <c r="G5309" s="2" t="s">
        <v>33707</v>
      </c>
      <c r="H5309" s="2" t="s">
        <v>33708</v>
      </c>
    </row>
    <row r="5310" spans="1:8" ht="25.05" customHeight="1" x14ac:dyDescent="0.25">
      <c r="A5310" s="2" t="s">
        <v>8</v>
      </c>
      <c r="B5310" s="2" t="str">
        <f>HYPERLINK("http://ts.21cn.com/tousu/show/id/1336133","小浦优客未经同意扣款")</f>
        <v>小浦优客未经同意扣款</v>
      </c>
      <c r="C5310" s="2" t="s">
        <v>9</v>
      </c>
      <c r="D5310" s="2" t="s">
        <v>10</v>
      </c>
      <c r="E5310" s="2" t="str">
        <f>HYPERLINK("http://ts.21cn.com/tousu/show/id/1336133","http://ts.21cn.com/tousu/show/id/1336133")</f>
        <v>http://ts.21cn.com/tousu/show/id/1336133</v>
      </c>
      <c r="F5310" s="2" t="s">
        <v>11</v>
      </c>
      <c r="G5310" s="2" t="s">
        <v>33706</v>
      </c>
      <c r="H5310" s="2" t="s">
        <v>11904</v>
      </c>
    </row>
    <row r="5311" spans="1:8" ht="25.05" customHeight="1" x14ac:dyDescent="0.25">
      <c r="A5311" s="2" t="s">
        <v>8</v>
      </c>
      <c r="B5311" s="2" t="str">
        <f>HYPERLINK("http://ts.21cn.com/tousu/show/id/1336134","高利贷砍头息")</f>
        <v>高利贷砍头息</v>
      </c>
      <c r="C5311" s="2" t="s">
        <v>9</v>
      </c>
      <c r="D5311" s="2" t="s">
        <v>10</v>
      </c>
      <c r="E5311" s="2" t="str">
        <f>HYPERLINK("http://ts.21cn.com/tousu/show/id/1336134","http://ts.21cn.com/tousu/show/id/1336134")</f>
        <v>http://ts.21cn.com/tousu/show/id/1336134</v>
      </c>
      <c r="F5311" s="2" t="s">
        <v>11</v>
      </c>
      <c r="G5311" s="2" t="s">
        <v>33704</v>
      </c>
      <c r="H5311" s="2" t="s">
        <v>33705</v>
      </c>
    </row>
    <row r="5312" spans="1:8" ht="25.05" customHeight="1" x14ac:dyDescent="0.25">
      <c r="A5312" s="2" t="s">
        <v>8</v>
      </c>
      <c r="B5312" s="2" t="str">
        <f>HYPERLINK("http://ts.21cn.com/tousu/show/id/1336135","360借条提前还款要还一年利息。")</f>
        <v>360借条提前还款要还一年利息。</v>
      </c>
      <c r="C5312" s="2" t="s">
        <v>9</v>
      </c>
      <c r="D5312" s="2" t="s">
        <v>10</v>
      </c>
      <c r="E5312" s="2" t="str">
        <f>HYPERLINK("http://ts.21cn.com/tousu/show/id/1336135","http://ts.21cn.com/tousu/show/id/1336135")</f>
        <v>http://ts.21cn.com/tousu/show/id/1336135</v>
      </c>
      <c r="F5312" s="2" t="s">
        <v>11</v>
      </c>
      <c r="G5312" s="2" t="s">
        <v>33702</v>
      </c>
      <c r="H5312" s="2" t="s">
        <v>33703</v>
      </c>
    </row>
    <row r="5313" spans="1:8" ht="25.05" customHeight="1" x14ac:dyDescent="0.25">
      <c r="A5313" s="2" t="s">
        <v>8</v>
      </c>
      <c r="B5313" s="2" t="str">
        <f>HYPERLINK("http://ts.21cn.com/tousu/show/id/1336136","逾期怎么处理")</f>
        <v>逾期怎么处理</v>
      </c>
      <c r="C5313" s="2" t="s">
        <v>34</v>
      </c>
      <c r="D5313" s="2" t="s">
        <v>10</v>
      </c>
      <c r="E5313" s="2" t="str">
        <f>HYPERLINK("http://ts.21cn.com/tousu/show/id/1336136","http://ts.21cn.com/tousu/show/id/1336136")</f>
        <v>http://ts.21cn.com/tousu/show/id/1336136</v>
      </c>
      <c r="F5313" s="2" t="s">
        <v>11</v>
      </c>
      <c r="G5313" s="2" t="s">
        <v>33700</v>
      </c>
      <c r="H5313" s="2" t="s">
        <v>33701</v>
      </c>
    </row>
    <row r="5314" spans="1:8" ht="25.05" customHeight="1" x14ac:dyDescent="0.25">
      <c r="A5314" s="2" t="s">
        <v>8</v>
      </c>
      <c r="B5314" s="2" t="str">
        <f>HYPERLINK("http://ts.21cn.com/tousu/show/id/1336137","松紧贷的砍头息和高额利息")</f>
        <v>松紧贷的砍头息和高额利息</v>
      </c>
      <c r="C5314" s="2" t="s">
        <v>9</v>
      </c>
      <c r="D5314" s="2" t="s">
        <v>10</v>
      </c>
      <c r="E5314" s="2" t="str">
        <f>HYPERLINK("http://ts.21cn.com/tousu/show/id/1336137","http://ts.21cn.com/tousu/show/id/1336137")</f>
        <v>http://ts.21cn.com/tousu/show/id/1336137</v>
      </c>
      <c r="F5314" s="2" t="s">
        <v>11</v>
      </c>
      <c r="G5314" s="2" t="s">
        <v>33698</v>
      </c>
      <c r="H5314" s="2" t="s">
        <v>33699</v>
      </c>
    </row>
    <row r="5315" spans="1:8" ht="25.05" customHeight="1" x14ac:dyDescent="0.25">
      <c r="A5315" s="2" t="s">
        <v>8</v>
      </c>
      <c r="B5315" s="2" t="str">
        <f>HYPERLINK("http://ts.21cn.com/tousu/show/id/1336138","非法网贷暴力催收")</f>
        <v>非法网贷暴力催收</v>
      </c>
      <c r="C5315" s="2" t="s">
        <v>9</v>
      </c>
      <c r="D5315" s="2" t="s">
        <v>10</v>
      </c>
      <c r="E5315" s="2" t="str">
        <f>HYPERLINK("http://ts.21cn.com/tousu/show/id/1336138","http://ts.21cn.com/tousu/show/id/1336138")</f>
        <v>http://ts.21cn.com/tousu/show/id/1336138</v>
      </c>
      <c r="F5315" s="2" t="s">
        <v>11</v>
      </c>
      <c r="G5315" s="2" t="s">
        <v>33696</v>
      </c>
      <c r="H5315" s="2" t="s">
        <v>33697</v>
      </c>
    </row>
    <row r="5316" spans="1:8" ht="25.05" customHeight="1" x14ac:dyDescent="0.25">
      <c r="A5316" s="2" t="s">
        <v>8</v>
      </c>
      <c r="B5316" s="2" t="str">
        <f>HYPERLINK("http://ts.21cn.com/tousu/show/id/1336139","捷信高利贷套路贷，骚扰！")</f>
        <v>捷信高利贷套路贷，骚扰！</v>
      </c>
      <c r="C5316" s="2" t="s">
        <v>9</v>
      </c>
      <c r="D5316" s="2" t="s">
        <v>10</v>
      </c>
      <c r="E5316" s="2" t="str">
        <f>HYPERLINK("http://ts.21cn.com/tousu/show/id/1336139","http://ts.21cn.com/tousu/show/id/1336139")</f>
        <v>http://ts.21cn.com/tousu/show/id/1336139</v>
      </c>
      <c r="F5316" s="2" t="s">
        <v>11</v>
      </c>
      <c r="G5316" s="2" t="s">
        <v>33694</v>
      </c>
      <c r="H5316" s="2" t="s">
        <v>33695</v>
      </c>
    </row>
    <row r="5317" spans="1:8" ht="25.05" customHeight="1" x14ac:dyDescent="0.25">
      <c r="A5317" s="2" t="s">
        <v>8</v>
      </c>
      <c r="B5317" s="2" t="str">
        <f>HYPERLINK("http://ts.21cn.com/tousu/show/id/1336140","714高炮贷")</f>
        <v>714高炮贷</v>
      </c>
      <c r="C5317" s="2" t="s">
        <v>34</v>
      </c>
      <c r="D5317" s="2" t="s">
        <v>10</v>
      </c>
      <c r="E5317" s="2" t="str">
        <f>HYPERLINK("http://ts.21cn.com/tousu/show/id/1336140","http://ts.21cn.com/tousu/show/id/1336140")</f>
        <v>http://ts.21cn.com/tousu/show/id/1336140</v>
      </c>
      <c r="F5317" s="2" t="s">
        <v>11</v>
      </c>
      <c r="G5317" s="2" t="s">
        <v>33692</v>
      </c>
      <c r="H5317" s="2" t="s">
        <v>33693</v>
      </c>
    </row>
    <row r="5318" spans="1:8" ht="25.05" customHeight="1" x14ac:dyDescent="0.25">
      <c r="A5318" s="2" t="s">
        <v>8</v>
      </c>
      <c r="B5318" s="2" t="str">
        <f>HYPERLINK("http://ts.21cn.com/tousu/show/id/1336141","网贷结清，闪银平台各种推脱不开结清证明")</f>
        <v>网贷结清，闪银平台各种推脱不开结清证明</v>
      </c>
      <c r="C5318" s="2" t="s">
        <v>9</v>
      </c>
      <c r="D5318" s="2" t="s">
        <v>10</v>
      </c>
      <c r="E5318" s="2" t="str">
        <f>HYPERLINK("http://ts.21cn.com/tousu/show/id/1336141","http://ts.21cn.com/tousu/show/id/1336141")</f>
        <v>http://ts.21cn.com/tousu/show/id/1336141</v>
      </c>
      <c r="F5318" s="2" t="s">
        <v>11</v>
      </c>
      <c r="G5318" s="2" t="s">
        <v>33690</v>
      </c>
      <c r="H5318" s="2" t="s">
        <v>33691</v>
      </c>
    </row>
    <row r="5319" spans="1:8" ht="25.05" customHeight="1" x14ac:dyDescent="0.25">
      <c r="A5319" s="2" t="s">
        <v>8</v>
      </c>
      <c r="B5319" s="2" t="str">
        <f>HYPERLINK("http://ts.21cn.com/tousu/show/id/1336142","蓝鲸鱼APP超利贷无视法律法规放贷")</f>
        <v>蓝鲸鱼APP超利贷无视法律法规放贷</v>
      </c>
      <c r="C5319" s="2" t="s">
        <v>9</v>
      </c>
      <c r="D5319" s="2" t="s">
        <v>10</v>
      </c>
      <c r="E5319" s="2" t="str">
        <f>HYPERLINK("http://ts.21cn.com/tousu/show/id/1336142","http://ts.21cn.com/tousu/show/id/1336142")</f>
        <v>http://ts.21cn.com/tousu/show/id/1336142</v>
      </c>
      <c r="F5319" s="2" t="s">
        <v>11</v>
      </c>
      <c r="G5319" s="2" t="s">
        <v>33688</v>
      </c>
      <c r="H5319" s="2" t="s">
        <v>33689</v>
      </c>
    </row>
    <row r="5320" spans="1:8" ht="25.05" customHeight="1" x14ac:dyDescent="0.25">
      <c r="A5320" s="2" t="s">
        <v>8</v>
      </c>
      <c r="B5320" s="2" t="str">
        <f>HYPERLINK("http://ts.21cn.com/tousu/show/id/1336143","立借高利贷")</f>
        <v>立借高利贷</v>
      </c>
      <c r="C5320" s="2" t="s">
        <v>9</v>
      </c>
      <c r="D5320" s="2" t="s">
        <v>10</v>
      </c>
      <c r="E5320" s="2" t="str">
        <f>HYPERLINK("http://ts.21cn.com/tousu/show/id/1336143","http://ts.21cn.com/tousu/show/id/1336143")</f>
        <v>http://ts.21cn.com/tousu/show/id/1336143</v>
      </c>
      <c r="F5320" s="2" t="s">
        <v>11</v>
      </c>
      <c r="G5320" s="2" t="s">
        <v>33686</v>
      </c>
      <c r="H5320" s="2" t="s">
        <v>33687</v>
      </c>
    </row>
    <row r="5321" spans="1:8" ht="25.05" customHeight="1" x14ac:dyDescent="0.25">
      <c r="A5321" s="2" t="s">
        <v>8</v>
      </c>
      <c r="B5321" s="2" t="str">
        <f>HYPERLINK("http://ts.21cn.com/tousu/show/id/1336145","来分期恶意电话骚扰")</f>
        <v>来分期恶意电话骚扰</v>
      </c>
      <c r="C5321" s="2" t="s">
        <v>9</v>
      </c>
      <c r="D5321" s="2" t="s">
        <v>10</v>
      </c>
      <c r="E5321" s="2" t="str">
        <f>HYPERLINK("http://ts.21cn.com/tousu/show/id/1336145","http://ts.21cn.com/tousu/show/id/1336145")</f>
        <v>http://ts.21cn.com/tousu/show/id/1336145</v>
      </c>
      <c r="F5321" s="2" t="s">
        <v>11</v>
      </c>
      <c r="G5321" s="2" t="s">
        <v>33684</v>
      </c>
      <c r="H5321" s="2" t="s">
        <v>33685</v>
      </c>
    </row>
    <row r="5322" spans="1:8" ht="25.05" customHeight="1" x14ac:dyDescent="0.25">
      <c r="A5322" s="2" t="s">
        <v>8</v>
      </c>
      <c r="B5322" s="2" t="str">
        <f>HYPERLINK("http://ts.21cn.com/tousu/show/id/1336147","714高炮期期贷")</f>
        <v>714高炮期期贷</v>
      </c>
      <c r="C5322" s="2" t="s">
        <v>9</v>
      </c>
      <c r="D5322" s="2" t="s">
        <v>10</v>
      </c>
      <c r="E5322" s="2" t="str">
        <f>HYPERLINK("http://ts.21cn.com/tousu/show/id/1336147","http://ts.21cn.com/tousu/show/id/1336147")</f>
        <v>http://ts.21cn.com/tousu/show/id/1336147</v>
      </c>
      <c r="F5322" s="2" t="s">
        <v>11</v>
      </c>
      <c r="G5322" s="2" t="s">
        <v>33682</v>
      </c>
      <c r="H5322" s="2" t="s">
        <v>33683</v>
      </c>
    </row>
    <row r="5323" spans="1:8" ht="25.05" customHeight="1" x14ac:dyDescent="0.25">
      <c r="A5323" s="2" t="s">
        <v>8</v>
      </c>
      <c r="B5323" s="2" t="str">
        <f>HYPERLINK("http://ts.21cn.com/tousu/show/id/1336148","变相收钱")</f>
        <v>变相收钱</v>
      </c>
      <c r="C5323" s="2" t="s">
        <v>9</v>
      </c>
      <c r="D5323" s="2" t="s">
        <v>10</v>
      </c>
      <c r="E5323" s="2" t="str">
        <f>HYPERLINK("http://ts.21cn.com/tousu/show/id/1336148","http://ts.21cn.com/tousu/show/id/1336148")</f>
        <v>http://ts.21cn.com/tousu/show/id/1336148</v>
      </c>
      <c r="F5323" s="2" t="s">
        <v>11</v>
      </c>
      <c r="G5323" s="2" t="s">
        <v>33680</v>
      </c>
      <c r="H5323" s="2" t="s">
        <v>33681</v>
      </c>
    </row>
    <row r="5324" spans="1:8" ht="25.05" customHeight="1" x14ac:dyDescent="0.25">
      <c r="A5324" s="2" t="s">
        <v>8</v>
      </c>
      <c r="B5324" s="2" t="str">
        <f>HYPERLINK("http://ts.21cn.com/tousu/show/id/1336149","及贷向在校大学生放贷款，侵犯个人隐私权，性质恶劣")</f>
        <v>及贷向在校大学生放贷款，侵犯个人隐私权，性质恶劣</v>
      </c>
      <c r="C5324" s="2" t="s">
        <v>9</v>
      </c>
      <c r="D5324" s="2" t="s">
        <v>10</v>
      </c>
      <c r="E5324" s="2" t="str">
        <f>HYPERLINK("http://ts.21cn.com/tousu/show/id/1336149","http://ts.21cn.com/tousu/show/id/1336149")</f>
        <v>http://ts.21cn.com/tousu/show/id/1336149</v>
      </c>
      <c r="F5324" s="2" t="s">
        <v>11</v>
      </c>
      <c r="G5324" s="2" t="s">
        <v>33678</v>
      </c>
      <c r="H5324" s="2" t="s">
        <v>33679</v>
      </c>
    </row>
    <row r="5325" spans="1:8" ht="25.05" customHeight="1" x14ac:dyDescent="0.25">
      <c r="A5325" s="2" t="s">
        <v>8</v>
      </c>
      <c r="B5325" s="2" t="str">
        <f>HYPERLINK("http://ts.21cn.com/tousu/show/id/1336150","暴力催收，骚扰第三方")</f>
        <v>暴力催收，骚扰第三方</v>
      </c>
      <c r="C5325" s="2" t="s">
        <v>9</v>
      </c>
      <c r="D5325" s="2" t="s">
        <v>10</v>
      </c>
      <c r="E5325" s="2" t="str">
        <f>HYPERLINK("http://ts.21cn.com/tousu/show/id/1336150","http://ts.21cn.com/tousu/show/id/1336150")</f>
        <v>http://ts.21cn.com/tousu/show/id/1336150</v>
      </c>
      <c r="F5325" s="2" t="s">
        <v>11</v>
      </c>
      <c r="G5325" s="2" t="s">
        <v>33676</v>
      </c>
      <c r="H5325" s="2" t="s">
        <v>33677</v>
      </c>
    </row>
    <row r="5326" spans="1:8" ht="25.05" customHeight="1" x14ac:dyDescent="0.25">
      <c r="A5326" s="2" t="s">
        <v>8</v>
      </c>
      <c r="B5326" s="2" t="str">
        <f>HYPERLINK("http://ts.21cn.com/tousu/show/id/1336152","玖富万卡高利贷阴阳合同收取高额服务费")</f>
        <v>玖富万卡高利贷阴阳合同收取高额服务费</v>
      </c>
      <c r="C5326" s="2" t="s">
        <v>9</v>
      </c>
      <c r="D5326" s="2" t="s">
        <v>10</v>
      </c>
      <c r="E5326" s="2" t="str">
        <f>HYPERLINK("http://ts.21cn.com/tousu/show/id/1336152","http://ts.21cn.com/tousu/show/id/1336152")</f>
        <v>http://ts.21cn.com/tousu/show/id/1336152</v>
      </c>
      <c r="F5326" s="2" t="s">
        <v>11</v>
      </c>
      <c r="G5326" s="2" t="s">
        <v>33674</v>
      </c>
      <c r="H5326" s="2" t="s">
        <v>33675</v>
      </c>
    </row>
    <row r="5327" spans="1:8" ht="25.05" customHeight="1" x14ac:dyDescent="0.25">
      <c r="A5327" s="2" t="s">
        <v>8</v>
      </c>
      <c r="B5327" s="2" t="str">
        <f>HYPERLINK("http://ts.21cn.com/tousu/show/id/1336151","暴力催收")</f>
        <v>暴力催收</v>
      </c>
      <c r="C5327" s="2" t="s">
        <v>9</v>
      </c>
      <c r="D5327" s="2" t="s">
        <v>10</v>
      </c>
      <c r="E5327" s="2" t="str">
        <f>HYPERLINK("http://ts.21cn.com/tousu/show/id/1336151","http://ts.21cn.com/tousu/show/id/1336151")</f>
        <v>http://ts.21cn.com/tousu/show/id/1336151</v>
      </c>
      <c r="F5327" s="2" t="s">
        <v>11</v>
      </c>
      <c r="G5327" s="2" t="s">
        <v>33672</v>
      </c>
      <c r="H5327" s="2" t="s">
        <v>33673</v>
      </c>
    </row>
    <row r="5328" spans="1:8" ht="25.05" customHeight="1" x14ac:dyDescent="0.25">
      <c r="A5328" s="2" t="s">
        <v>8</v>
      </c>
      <c r="B5328" s="2" t="str">
        <f>HYPERLINK("http://ts.21cn.com/tousu/show/id/1336153","你我贷威胁恐吓骚扰家人")</f>
        <v>你我贷威胁恐吓骚扰家人</v>
      </c>
      <c r="C5328" s="2" t="s">
        <v>9</v>
      </c>
      <c r="D5328" s="2" t="s">
        <v>10</v>
      </c>
      <c r="E5328" s="2" t="str">
        <f>HYPERLINK("http://ts.21cn.com/tousu/show/id/1336153","http://ts.21cn.com/tousu/show/id/1336153")</f>
        <v>http://ts.21cn.com/tousu/show/id/1336153</v>
      </c>
      <c r="F5328" s="2" t="s">
        <v>11</v>
      </c>
      <c r="G5328" s="2" t="s">
        <v>33670</v>
      </c>
      <c r="H5328" s="2" t="s">
        <v>33671</v>
      </c>
    </row>
    <row r="5329" spans="1:8" ht="25.05" customHeight="1" x14ac:dyDescent="0.25">
      <c r="A5329" s="2" t="s">
        <v>8</v>
      </c>
      <c r="B5329" s="2" t="str">
        <f>HYPERLINK("http://ts.21cn.com/tousu/show/id/1336157","714高炮")</f>
        <v>714高炮</v>
      </c>
      <c r="C5329" s="2" t="s">
        <v>34</v>
      </c>
      <c r="D5329" s="2" t="s">
        <v>10</v>
      </c>
      <c r="E5329" s="2" t="str">
        <f>HYPERLINK("http://ts.21cn.com/tousu/show/id/1336157","http://ts.21cn.com/tousu/show/id/1336157")</f>
        <v>http://ts.21cn.com/tousu/show/id/1336157</v>
      </c>
      <c r="F5329" s="2" t="s">
        <v>11</v>
      </c>
      <c r="G5329" s="2" t="s">
        <v>33668</v>
      </c>
      <c r="H5329" s="2" t="s">
        <v>33669</v>
      </c>
    </row>
    <row r="5330" spans="1:8" ht="25.05" customHeight="1" x14ac:dyDescent="0.25">
      <c r="A5330" s="2" t="s">
        <v>8</v>
      </c>
      <c r="B5330" s="2" t="str">
        <f>HYPERLINK("http://ts.21cn.com/tousu/show/id/1336154","米条联盟高利贷")</f>
        <v>米条联盟高利贷</v>
      </c>
      <c r="C5330" s="2" t="s">
        <v>9</v>
      </c>
      <c r="D5330" s="2" t="s">
        <v>10</v>
      </c>
      <c r="E5330" s="2" t="str">
        <f>HYPERLINK("http://ts.21cn.com/tousu/show/id/1336154","http://ts.21cn.com/tousu/show/id/1336154")</f>
        <v>http://ts.21cn.com/tousu/show/id/1336154</v>
      </c>
      <c r="F5330" s="2" t="s">
        <v>11</v>
      </c>
      <c r="G5330" s="2" t="s">
        <v>33666</v>
      </c>
      <c r="H5330" s="2" t="s">
        <v>33667</v>
      </c>
    </row>
    <row r="5331" spans="1:8" ht="25.05" customHeight="1" x14ac:dyDescent="0.25">
      <c r="A5331" s="2" t="s">
        <v>8</v>
      </c>
      <c r="B5331" s="2" t="str">
        <f>HYPERLINK("http://ts.21cn.com/tousu/show/id/1336155","宜人贷高利息暴")</f>
        <v>宜人贷高利息暴</v>
      </c>
      <c r="C5331" s="2" t="s">
        <v>9</v>
      </c>
      <c r="D5331" s="2" t="s">
        <v>10</v>
      </c>
      <c r="E5331" s="2" t="str">
        <f>HYPERLINK("http://ts.21cn.com/tousu/show/id/1336155","http://ts.21cn.com/tousu/show/id/1336155")</f>
        <v>http://ts.21cn.com/tousu/show/id/1336155</v>
      </c>
      <c r="F5331" s="2" t="s">
        <v>11</v>
      </c>
      <c r="G5331" s="2" t="s">
        <v>33664</v>
      </c>
      <c r="H5331" s="2" t="s">
        <v>33665</v>
      </c>
    </row>
    <row r="5332" spans="1:8" ht="25.05" customHeight="1" x14ac:dyDescent="0.25">
      <c r="A5332" s="2" t="s">
        <v>8</v>
      </c>
      <c r="B5332" s="2" t="str">
        <f>HYPERLINK("http://ts.21cn.com/tousu/show/id/1336125","玖富万卡违法网贷，高利贷，阴阳合同，私自变更合同")</f>
        <v>玖富万卡违法网贷，高利贷，阴阳合同，私自变更合同</v>
      </c>
      <c r="C5332" s="2" t="s">
        <v>9</v>
      </c>
      <c r="D5332" s="2" t="s">
        <v>10</v>
      </c>
      <c r="E5332" s="2" t="str">
        <f>HYPERLINK("http://ts.21cn.com/tousu/show/id/1336125","http://ts.21cn.com/tousu/show/id/1336125")</f>
        <v>http://ts.21cn.com/tousu/show/id/1336125</v>
      </c>
      <c r="F5332" s="2" t="s">
        <v>11</v>
      </c>
      <c r="G5332" s="2" t="s">
        <v>33662</v>
      </c>
      <c r="H5332" s="2" t="s">
        <v>33663</v>
      </c>
    </row>
    <row r="5333" spans="1:8" ht="25.05" customHeight="1" x14ac:dyDescent="0.25">
      <c r="A5333" s="2" t="s">
        <v>8</v>
      </c>
      <c r="B5333" s="2" t="str">
        <f>HYPERLINK("http://ts.21cn.com/tousu/show/id/1336158","京东金条协商处理，第三方催收不予协商，表明一次必须还款")</f>
        <v>京东金条协商处理，第三方催收不予协商，表明一次必须还款</v>
      </c>
      <c r="C5333" s="2" t="s">
        <v>9</v>
      </c>
      <c r="D5333" s="2" t="s">
        <v>10</v>
      </c>
      <c r="E5333" s="2" t="str">
        <f>HYPERLINK("http://ts.21cn.com/tousu/show/id/1336158","http://ts.21cn.com/tousu/show/id/1336158")</f>
        <v>http://ts.21cn.com/tousu/show/id/1336158</v>
      </c>
      <c r="F5333" s="2" t="s">
        <v>11</v>
      </c>
      <c r="G5333" s="2" t="s">
        <v>33660</v>
      </c>
      <c r="H5333" s="2" t="s">
        <v>33661</v>
      </c>
    </row>
    <row r="5334" spans="1:8" ht="25.05" customHeight="1" x14ac:dyDescent="0.25">
      <c r="A5334" s="2" t="s">
        <v>8</v>
      </c>
      <c r="B5334" s="2" t="str">
        <f>HYPERLINK("http://ts.21cn.com/tousu/show/id/1336159","公司倒闭了老板跑路了")</f>
        <v>公司倒闭了老板跑路了</v>
      </c>
      <c r="C5334" s="2" t="s">
        <v>9</v>
      </c>
      <c r="D5334" s="2" t="s">
        <v>10</v>
      </c>
      <c r="E5334" s="2" t="str">
        <f>HYPERLINK("http://ts.21cn.com/tousu/show/id/1336159","http://ts.21cn.com/tousu/show/id/1336159")</f>
        <v>http://ts.21cn.com/tousu/show/id/1336159</v>
      </c>
      <c r="F5334" s="2" t="s">
        <v>11</v>
      </c>
      <c r="G5334" s="2" t="s">
        <v>33658</v>
      </c>
      <c r="H5334" s="2" t="s">
        <v>33659</v>
      </c>
    </row>
    <row r="5335" spans="1:8" ht="25.05" customHeight="1" x14ac:dyDescent="0.25">
      <c r="A5335" s="2" t="s">
        <v>8</v>
      </c>
      <c r="B5335" s="2" t="str">
        <f>HYPERLINK("http://ts.21cn.com/tousu/show/id/1336160","立借霸道蛮不讲理")</f>
        <v>立借霸道蛮不讲理</v>
      </c>
      <c r="C5335" s="2" t="s">
        <v>9</v>
      </c>
      <c r="D5335" s="2" t="s">
        <v>10</v>
      </c>
      <c r="E5335" s="2" t="str">
        <f>HYPERLINK("http://ts.21cn.com/tousu/show/id/1336160","http://ts.21cn.com/tousu/show/id/1336160")</f>
        <v>http://ts.21cn.com/tousu/show/id/1336160</v>
      </c>
      <c r="F5335" s="2" t="s">
        <v>11</v>
      </c>
      <c r="G5335" s="2" t="s">
        <v>33657</v>
      </c>
      <c r="H5335" s="2" t="s">
        <v>21884</v>
      </c>
    </row>
    <row r="5336" spans="1:8" ht="25.05" customHeight="1" x14ac:dyDescent="0.25">
      <c r="A5336" s="2" t="s">
        <v>8</v>
      </c>
      <c r="B5336" s="2" t="str">
        <f>HYPERLINK("http://ts.21cn.com/tousu/show/id/1336161","高利贷砍头息套路贷")</f>
        <v>高利贷砍头息套路贷</v>
      </c>
      <c r="C5336" s="2" t="s">
        <v>9</v>
      </c>
      <c r="D5336" s="2" t="s">
        <v>10</v>
      </c>
      <c r="E5336" s="2" t="str">
        <f>HYPERLINK("http://ts.21cn.com/tousu/show/id/1336161","http://ts.21cn.com/tousu/show/id/1336161")</f>
        <v>http://ts.21cn.com/tousu/show/id/1336161</v>
      </c>
      <c r="F5336" s="2" t="s">
        <v>11</v>
      </c>
      <c r="G5336" s="2" t="s">
        <v>33655</v>
      </c>
      <c r="H5336" s="2" t="s">
        <v>33656</v>
      </c>
    </row>
    <row r="5337" spans="1:8" ht="25.05" customHeight="1" x14ac:dyDescent="0.25">
      <c r="A5337" s="2" t="s">
        <v>8</v>
      </c>
      <c r="B5337" s="2" t="str">
        <f>HYPERLINK("http://ts.21cn.com/tousu/show/id/1336162","玖富万卡高利贷")</f>
        <v>玖富万卡高利贷</v>
      </c>
      <c r="C5337" s="2" t="s">
        <v>9</v>
      </c>
      <c r="D5337" s="2" t="s">
        <v>10</v>
      </c>
      <c r="E5337" s="2" t="str">
        <f>HYPERLINK("http://ts.21cn.com/tousu/show/id/1336162","http://ts.21cn.com/tousu/show/id/1336162")</f>
        <v>http://ts.21cn.com/tousu/show/id/1336162</v>
      </c>
      <c r="F5337" s="2" t="s">
        <v>11</v>
      </c>
      <c r="G5337" s="2" t="s">
        <v>33653</v>
      </c>
      <c r="H5337" s="2" t="s">
        <v>33654</v>
      </c>
    </row>
    <row r="5338" spans="1:8" ht="25.05" customHeight="1" x14ac:dyDescent="0.25">
      <c r="A5338" s="2" t="s">
        <v>8</v>
      </c>
      <c r="B5338" s="2" t="str">
        <f>HYPERLINK("http://ts.21cn.com/tousu/show/id/1336163","马上金融安逸花无辜冻结账户")</f>
        <v>马上金融安逸花无辜冻结账户</v>
      </c>
      <c r="C5338" s="2" t="s">
        <v>34</v>
      </c>
      <c r="D5338" s="2" t="s">
        <v>10</v>
      </c>
      <c r="E5338" s="2" t="str">
        <f>HYPERLINK("http://ts.21cn.com/tousu/show/id/1336163","http://ts.21cn.com/tousu/show/id/1336163")</f>
        <v>http://ts.21cn.com/tousu/show/id/1336163</v>
      </c>
      <c r="F5338" s="2" t="s">
        <v>11</v>
      </c>
      <c r="G5338" s="2" t="s">
        <v>33651</v>
      </c>
      <c r="H5338" s="2" t="s">
        <v>33652</v>
      </c>
    </row>
    <row r="5339" spans="1:8" ht="25.05" customHeight="1" x14ac:dyDescent="0.25">
      <c r="A5339" s="2" t="s">
        <v>8</v>
      </c>
      <c r="B5339" s="2" t="str">
        <f>HYPERLINK("http://ts.21cn.com/tousu/show/id/1336168","在交易猫卖王者账号，客服说要缴纳500的保险金，我说要退回，一直在说在忙")</f>
        <v>在交易猫卖王者账号，客服说要缴纳500的保险金，我说要退回，一直在说在忙</v>
      </c>
      <c r="C5339" s="2" t="s">
        <v>9</v>
      </c>
      <c r="D5339" s="2" t="s">
        <v>10</v>
      </c>
      <c r="E5339" s="2" t="str">
        <f>HYPERLINK("http://ts.21cn.com/tousu/show/id/1336168","http://ts.21cn.com/tousu/show/id/1336168")</f>
        <v>http://ts.21cn.com/tousu/show/id/1336168</v>
      </c>
      <c r="F5339" s="2" t="s">
        <v>11</v>
      </c>
      <c r="G5339" s="2" t="s">
        <v>33649</v>
      </c>
      <c r="H5339" s="2" t="s">
        <v>33650</v>
      </c>
    </row>
    <row r="5340" spans="1:8" ht="25.05" customHeight="1" x14ac:dyDescent="0.25">
      <c r="A5340" s="2" t="s">
        <v>8</v>
      </c>
      <c r="B5340" s="2" t="str">
        <f>HYPERLINK("http://ts.21cn.com/tousu/show/id/1336164","app还不了款给平台的利息已经高达本金呀")</f>
        <v>app还不了款给平台的利息已经高达本金呀</v>
      </c>
      <c r="C5340" s="2" t="s">
        <v>9</v>
      </c>
      <c r="D5340" s="2" t="s">
        <v>10</v>
      </c>
      <c r="E5340" s="2" t="str">
        <f>HYPERLINK("http://ts.21cn.com/tousu/show/id/1336164","http://ts.21cn.com/tousu/show/id/1336164")</f>
        <v>http://ts.21cn.com/tousu/show/id/1336164</v>
      </c>
      <c r="F5340" s="2" t="s">
        <v>11</v>
      </c>
      <c r="G5340" s="2" t="s">
        <v>33647</v>
      </c>
      <c r="H5340" s="2" t="s">
        <v>33648</v>
      </c>
    </row>
    <row r="5341" spans="1:8" ht="25.05" customHeight="1" x14ac:dyDescent="0.25">
      <c r="A5341" s="2" t="s">
        <v>8</v>
      </c>
      <c r="B5341" s="2" t="str">
        <f>HYPERLINK("http://ts.21cn.com/tousu/show/id/1336169","招联金融暴力催收")</f>
        <v>招联金融暴力催收</v>
      </c>
      <c r="C5341" s="2" t="s">
        <v>9</v>
      </c>
      <c r="D5341" s="2" t="s">
        <v>10</v>
      </c>
      <c r="E5341" s="2" t="str">
        <f>HYPERLINK("http://ts.21cn.com/tousu/show/id/1336169","http://ts.21cn.com/tousu/show/id/1336169")</f>
        <v>http://ts.21cn.com/tousu/show/id/1336169</v>
      </c>
      <c r="F5341" s="2" t="s">
        <v>11</v>
      </c>
      <c r="G5341" s="2" t="s">
        <v>33645</v>
      </c>
      <c r="H5341" s="2" t="s">
        <v>33646</v>
      </c>
    </row>
    <row r="5342" spans="1:8" ht="25.05" customHeight="1" x14ac:dyDescent="0.25">
      <c r="A5342" s="2" t="s">
        <v>8</v>
      </c>
      <c r="B5342" s="2" t="str">
        <f>HYPERLINK("http://ts.21cn.com/tousu/show/id/1336166","电话威胁恐吓家人朋友，曝光通讯录")</f>
        <v>电话威胁恐吓家人朋友，曝光通讯录</v>
      </c>
      <c r="C5342" s="2" t="s">
        <v>9</v>
      </c>
      <c r="D5342" s="2" t="s">
        <v>10</v>
      </c>
      <c r="E5342" s="2" t="str">
        <f>HYPERLINK("http://ts.21cn.com/tousu/show/id/1336166","http://ts.21cn.com/tousu/show/id/1336166")</f>
        <v>http://ts.21cn.com/tousu/show/id/1336166</v>
      </c>
      <c r="F5342" s="2" t="s">
        <v>11</v>
      </c>
      <c r="G5342" s="2" t="s">
        <v>33643</v>
      </c>
      <c r="H5342" s="2" t="s">
        <v>33644</v>
      </c>
    </row>
    <row r="5343" spans="1:8" ht="25.05" customHeight="1" x14ac:dyDescent="0.25">
      <c r="A5343" s="2" t="s">
        <v>8</v>
      </c>
      <c r="B5343" s="2" t="str">
        <f>HYPERLINK("http://ts.21cn.com/tousu/show/id/1336167","立马理财严重逾期")</f>
        <v>立马理财严重逾期</v>
      </c>
      <c r="C5343" s="2" t="s">
        <v>9</v>
      </c>
      <c r="D5343" s="2" t="s">
        <v>10</v>
      </c>
      <c r="E5343" s="2" t="str">
        <f>HYPERLINK("http://ts.21cn.com/tousu/show/id/1336167","http://ts.21cn.com/tousu/show/id/1336167")</f>
        <v>http://ts.21cn.com/tousu/show/id/1336167</v>
      </c>
      <c r="F5343" s="2" t="s">
        <v>11</v>
      </c>
      <c r="G5343" s="2" t="s">
        <v>33641</v>
      </c>
      <c r="H5343" s="2" t="s">
        <v>33642</v>
      </c>
    </row>
    <row r="5344" spans="1:8" ht="25.05" customHeight="1" x14ac:dyDescent="0.25">
      <c r="A5344" s="2" t="s">
        <v>8</v>
      </c>
      <c r="B5344" s="2" t="str">
        <f>HYPERLINK("http://ts.21cn.com/tousu/show/id/1336170","网贷")</f>
        <v>网贷</v>
      </c>
      <c r="C5344" s="2" t="s">
        <v>9</v>
      </c>
      <c r="D5344" s="2" t="s">
        <v>10</v>
      </c>
      <c r="E5344" s="2" t="str">
        <f>HYPERLINK("http://ts.21cn.com/tousu/show/id/1336170","http://ts.21cn.com/tousu/show/id/1336170")</f>
        <v>http://ts.21cn.com/tousu/show/id/1336170</v>
      </c>
      <c r="F5344" s="2" t="s">
        <v>11</v>
      </c>
      <c r="G5344" s="2" t="s">
        <v>33639</v>
      </c>
      <c r="H5344" s="2" t="s">
        <v>33640</v>
      </c>
    </row>
    <row r="5345" spans="1:8" ht="25.05" customHeight="1" x14ac:dyDescent="0.25">
      <c r="A5345" s="2" t="s">
        <v>8</v>
      </c>
      <c r="B5345" s="2" t="str">
        <f>HYPERLINK("http://ts.21cn.com/tousu/show/id/1336171","暴力催收恐吓")</f>
        <v>暴力催收恐吓</v>
      </c>
      <c r="C5345" s="2" t="s">
        <v>9</v>
      </c>
      <c r="D5345" s="2" t="s">
        <v>10</v>
      </c>
      <c r="E5345" s="2" t="str">
        <f>HYPERLINK("http://ts.21cn.com/tousu/show/id/1336171","http://ts.21cn.com/tousu/show/id/1336171")</f>
        <v>http://ts.21cn.com/tousu/show/id/1336171</v>
      </c>
      <c r="F5345" s="2" t="s">
        <v>11</v>
      </c>
      <c r="G5345" s="2" t="s">
        <v>33637</v>
      </c>
      <c r="H5345" s="2" t="s">
        <v>33638</v>
      </c>
    </row>
    <row r="5346" spans="1:8" ht="25.05" customHeight="1" x14ac:dyDescent="0.25">
      <c r="A5346" s="2" t="s">
        <v>8</v>
      </c>
      <c r="B5346" s="2" t="str">
        <f>HYPERLINK("http://ts.21cn.com/tousu/show/id/1336144","小花钱包阴阳合同，利率畸高，暴力催收")</f>
        <v>小花钱包阴阳合同，利率畸高，暴力催收</v>
      </c>
      <c r="C5346" s="2" t="s">
        <v>9</v>
      </c>
      <c r="D5346" s="2" t="s">
        <v>10</v>
      </c>
      <c r="E5346" s="2" t="str">
        <f>HYPERLINK("http://ts.21cn.com/tousu/show/id/1336144","http://ts.21cn.com/tousu/show/id/1336144")</f>
        <v>http://ts.21cn.com/tousu/show/id/1336144</v>
      </c>
      <c r="F5346" s="2" t="s">
        <v>11</v>
      </c>
      <c r="G5346" s="2" t="s">
        <v>33635</v>
      </c>
      <c r="H5346" s="2" t="s">
        <v>33636</v>
      </c>
    </row>
    <row r="5347" spans="1:8" ht="25.05" customHeight="1" x14ac:dyDescent="0.25">
      <c r="A5347" s="2" t="s">
        <v>8</v>
      </c>
      <c r="B5347" s="2" t="str">
        <f>HYPERLINK("http://ts.21cn.com/tousu/show/id/1336172","维信金科系统问题无法还款，开始骚扰")</f>
        <v>维信金科系统问题无法还款，开始骚扰</v>
      </c>
      <c r="C5347" s="2" t="s">
        <v>9</v>
      </c>
      <c r="D5347" s="2" t="s">
        <v>10</v>
      </c>
      <c r="E5347" s="2" t="str">
        <f>HYPERLINK("http://ts.21cn.com/tousu/show/id/1336172","http://ts.21cn.com/tousu/show/id/1336172")</f>
        <v>http://ts.21cn.com/tousu/show/id/1336172</v>
      </c>
      <c r="F5347" s="2" t="s">
        <v>11</v>
      </c>
      <c r="G5347" s="2" t="s">
        <v>33633</v>
      </c>
      <c r="H5347" s="2" t="s">
        <v>33634</v>
      </c>
    </row>
    <row r="5348" spans="1:8" ht="25.05" customHeight="1" x14ac:dyDescent="0.25">
      <c r="A5348" s="2" t="s">
        <v>8</v>
      </c>
      <c r="B5348" s="2" t="str">
        <f>HYPERLINK("http://ts.21cn.com/tousu/show/id/1336174","百事普惠恶意扣款")</f>
        <v>百事普惠恶意扣款</v>
      </c>
      <c r="C5348" s="2" t="s">
        <v>9</v>
      </c>
      <c r="D5348" s="2" t="s">
        <v>10</v>
      </c>
      <c r="E5348" s="2" t="str">
        <f>HYPERLINK("http://ts.21cn.com/tousu/show/id/1336174","http://ts.21cn.com/tousu/show/id/1336174")</f>
        <v>http://ts.21cn.com/tousu/show/id/1336174</v>
      </c>
      <c r="F5348" s="2" t="s">
        <v>11</v>
      </c>
      <c r="G5348" s="2" t="s">
        <v>33631</v>
      </c>
      <c r="H5348" s="2" t="s">
        <v>33632</v>
      </c>
    </row>
    <row r="5349" spans="1:8" ht="25.05" customHeight="1" x14ac:dyDescent="0.25">
      <c r="A5349" s="2" t="s">
        <v>8</v>
      </c>
      <c r="B5349" s="2" t="str">
        <f>HYPERLINK("http://ts.21cn.com/tousu/show/id/1336175","骚扰信息")</f>
        <v>骚扰信息</v>
      </c>
      <c r="C5349" s="2" t="s">
        <v>9</v>
      </c>
      <c r="D5349" s="2" t="s">
        <v>10</v>
      </c>
      <c r="E5349" s="2" t="str">
        <f>HYPERLINK("http://ts.21cn.com/tousu/show/id/1336175","http://ts.21cn.com/tousu/show/id/1336175")</f>
        <v>http://ts.21cn.com/tousu/show/id/1336175</v>
      </c>
      <c r="F5349" s="2" t="s">
        <v>11</v>
      </c>
      <c r="G5349" s="2" t="s">
        <v>33629</v>
      </c>
      <c r="H5349" s="2" t="s">
        <v>33630</v>
      </c>
    </row>
    <row r="5350" spans="1:8" ht="25.05" customHeight="1" x14ac:dyDescent="0.25">
      <c r="A5350" s="2" t="s">
        <v>8</v>
      </c>
      <c r="B5350" s="2" t="str">
        <f>HYPERLINK("http://ts.21cn.com/tousu/show/id/1336176","浙江移动退还我一年多来的话费")</f>
        <v>浙江移动退还我一年多来的话费</v>
      </c>
      <c r="C5350" s="2" t="s">
        <v>34</v>
      </c>
      <c r="D5350" s="2" t="s">
        <v>10</v>
      </c>
      <c r="E5350" s="2" t="str">
        <f>HYPERLINK("http://ts.21cn.com/tousu/show/id/1336176","http://ts.21cn.com/tousu/show/id/1336176")</f>
        <v>http://ts.21cn.com/tousu/show/id/1336176</v>
      </c>
      <c r="F5350" s="2" t="s">
        <v>11</v>
      </c>
      <c r="G5350" s="2" t="s">
        <v>33627</v>
      </c>
      <c r="H5350" s="2" t="s">
        <v>33628</v>
      </c>
    </row>
    <row r="5351" spans="1:8" ht="25.05" customHeight="1" x14ac:dyDescent="0.25">
      <c r="A5351" s="2" t="s">
        <v>8</v>
      </c>
      <c r="B5351" s="2" t="str">
        <f>HYPERLINK("http://ts.21cn.com/tousu/show/id/1336165","酒店不处理退款问题")</f>
        <v>酒店不处理退款问题</v>
      </c>
      <c r="C5351" s="2" t="s">
        <v>9</v>
      </c>
      <c r="D5351" s="2" t="s">
        <v>10</v>
      </c>
      <c r="E5351" s="2" t="str">
        <f>HYPERLINK("http://ts.21cn.com/tousu/show/id/1336165","http://ts.21cn.com/tousu/show/id/1336165")</f>
        <v>http://ts.21cn.com/tousu/show/id/1336165</v>
      </c>
      <c r="F5351" s="2" t="s">
        <v>11</v>
      </c>
      <c r="G5351" s="2" t="s">
        <v>33625</v>
      </c>
      <c r="H5351" s="2" t="s">
        <v>33626</v>
      </c>
    </row>
    <row r="5352" spans="1:8" ht="25.05" customHeight="1" x14ac:dyDescent="0.25">
      <c r="A5352" s="2" t="s">
        <v>8</v>
      </c>
      <c r="B5352" s="2" t="str">
        <f>HYPERLINK("http://ts.21cn.com/tousu/show/id/1336177","宜兴滴滴快车不派单")</f>
        <v>宜兴滴滴快车不派单</v>
      </c>
      <c r="C5352" s="2" t="s">
        <v>34</v>
      </c>
      <c r="D5352" s="2" t="s">
        <v>10</v>
      </c>
      <c r="E5352" s="2" t="str">
        <f>HYPERLINK("http://ts.21cn.com/tousu/show/id/1336177","http://ts.21cn.com/tousu/show/id/1336177")</f>
        <v>http://ts.21cn.com/tousu/show/id/1336177</v>
      </c>
      <c r="F5352" s="2" t="s">
        <v>11</v>
      </c>
      <c r="G5352" s="2" t="s">
        <v>33623</v>
      </c>
      <c r="H5352" s="2" t="s">
        <v>33624</v>
      </c>
    </row>
    <row r="5353" spans="1:8" ht="25.05" customHeight="1" x14ac:dyDescent="0.25">
      <c r="A5353" s="2" t="s">
        <v>8</v>
      </c>
      <c r="B5353" s="2" t="str">
        <f>HYPERLINK("http://ts.21cn.com/tousu/show/id/1336178","招商银行外包催收")</f>
        <v>招商银行外包催收</v>
      </c>
      <c r="C5353" s="2" t="s">
        <v>9</v>
      </c>
      <c r="D5353" s="2" t="s">
        <v>10</v>
      </c>
      <c r="E5353" s="2" t="str">
        <f>HYPERLINK("http://ts.21cn.com/tousu/show/id/1336178","http://ts.21cn.com/tousu/show/id/1336178")</f>
        <v>http://ts.21cn.com/tousu/show/id/1336178</v>
      </c>
      <c r="F5353" s="2" t="s">
        <v>11</v>
      </c>
      <c r="G5353" s="2" t="s">
        <v>33621</v>
      </c>
      <c r="H5353" s="2" t="s">
        <v>33622</v>
      </c>
    </row>
    <row r="5354" spans="1:8" ht="25.05" customHeight="1" x14ac:dyDescent="0.25">
      <c r="A5354" s="2" t="s">
        <v>8</v>
      </c>
      <c r="B5354" s="2" t="str">
        <f>HYPERLINK("http://ts.21cn.com/tousu/show/id/1336179","投诉高利贷月光侠分期")</f>
        <v>投诉高利贷月光侠分期</v>
      </c>
      <c r="C5354" s="2" t="s">
        <v>9</v>
      </c>
      <c r="D5354" s="2" t="s">
        <v>10</v>
      </c>
      <c r="E5354" s="2" t="str">
        <f>HYPERLINK("http://ts.21cn.com/tousu/show/id/1336179","http://ts.21cn.com/tousu/show/id/1336179")</f>
        <v>http://ts.21cn.com/tousu/show/id/1336179</v>
      </c>
      <c r="F5354" s="2" t="s">
        <v>11</v>
      </c>
      <c r="G5354" s="2" t="s">
        <v>33619</v>
      </c>
      <c r="H5354" s="2" t="s">
        <v>33620</v>
      </c>
    </row>
    <row r="5355" spans="1:8" ht="25.05" customHeight="1" x14ac:dyDescent="0.25">
      <c r="A5355" s="2" t="s">
        <v>8</v>
      </c>
      <c r="B5355" s="2" t="str">
        <f>HYPERLINK("http://ts.21cn.com/tousu/show/id/1336180","高利贷")</f>
        <v>高利贷</v>
      </c>
      <c r="C5355" s="2" t="s">
        <v>9</v>
      </c>
      <c r="D5355" s="2" t="s">
        <v>10</v>
      </c>
      <c r="E5355" s="2" t="str">
        <f>HYPERLINK("http://ts.21cn.com/tousu/show/id/1336180","http://ts.21cn.com/tousu/show/id/1336180")</f>
        <v>http://ts.21cn.com/tousu/show/id/1336180</v>
      </c>
      <c r="F5355" s="2" t="s">
        <v>11</v>
      </c>
      <c r="G5355" s="2" t="s">
        <v>33617</v>
      </c>
      <c r="H5355" s="2" t="s">
        <v>33618</v>
      </c>
    </row>
    <row r="5356" spans="1:8" ht="25.05" customHeight="1" x14ac:dyDescent="0.25">
      <c r="A5356" s="2" t="s">
        <v>8</v>
      </c>
      <c r="B5356" s="2" t="str">
        <f>HYPERLINK("http://ts.21cn.com/tousu/show/id/1336182","高利贷恐吓")</f>
        <v>高利贷恐吓</v>
      </c>
      <c r="C5356" s="2" t="s">
        <v>9</v>
      </c>
      <c r="D5356" s="2" t="s">
        <v>10</v>
      </c>
      <c r="E5356" s="2" t="str">
        <f>HYPERLINK("http://ts.21cn.com/tousu/show/id/1336182","http://ts.21cn.com/tousu/show/id/1336182")</f>
        <v>http://ts.21cn.com/tousu/show/id/1336182</v>
      </c>
      <c r="F5356" s="2" t="s">
        <v>11</v>
      </c>
      <c r="G5356" s="2" t="s">
        <v>33615</v>
      </c>
      <c r="H5356" s="2" t="s">
        <v>33616</v>
      </c>
    </row>
    <row r="5357" spans="1:8" ht="25.05" customHeight="1" x14ac:dyDescent="0.25">
      <c r="A5357" s="2" t="s">
        <v>8</v>
      </c>
      <c r="B5357" s="2" t="str">
        <f>HYPERLINK("http://ts.21cn.com/tousu/show/id/1336183","暴力催收，利息高，威胁，爆通讯录")</f>
        <v>暴力催收，利息高，威胁，爆通讯录</v>
      </c>
      <c r="C5357" s="2" t="s">
        <v>9</v>
      </c>
      <c r="D5357" s="2" t="s">
        <v>10</v>
      </c>
      <c r="E5357" s="2" t="str">
        <f>HYPERLINK("http://ts.21cn.com/tousu/show/id/1336183","http://ts.21cn.com/tousu/show/id/1336183")</f>
        <v>http://ts.21cn.com/tousu/show/id/1336183</v>
      </c>
      <c r="F5357" s="2" t="s">
        <v>11</v>
      </c>
      <c r="G5357" s="2" t="s">
        <v>33613</v>
      </c>
      <c r="H5357" s="2" t="s">
        <v>33614</v>
      </c>
    </row>
    <row r="5358" spans="1:8" ht="25.05" customHeight="1" x14ac:dyDescent="0.25">
      <c r="A5358" s="2" t="s">
        <v>8</v>
      </c>
      <c r="B5358" s="2" t="str">
        <f>HYPERLINK("http://ts.21cn.com/tousu/show/id/1336184","榕树贷款暴力催收")</f>
        <v>榕树贷款暴力催收</v>
      </c>
      <c r="C5358" s="2" t="s">
        <v>9</v>
      </c>
      <c r="D5358" s="2" t="s">
        <v>10</v>
      </c>
      <c r="E5358" s="2" t="str">
        <f>HYPERLINK("http://ts.21cn.com/tousu/show/id/1336184","http://ts.21cn.com/tousu/show/id/1336184")</f>
        <v>http://ts.21cn.com/tousu/show/id/1336184</v>
      </c>
      <c r="F5358" s="2" t="s">
        <v>11</v>
      </c>
      <c r="G5358" s="2" t="s">
        <v>33611</v>
      </c>
      <c r="H5358" s="2" t="s">
        <v>33612</v>
      </c>
    </row>
    <row r="5359" spans="1:8" ht="25.05" customHeight="1" x14ac:dyDescent="0.25">
      <c r="A5359" s="2" t="s">
        <v>8</v>
      </c>
      <c r="B5359" s="2" t="str">
        <f>HYPERLINK("http://ts.21cn.com/tousu/show/id/1336185","玖富万卡利率高达72%")</f>
        <v>玖富万卡利率高达72%</v>
      </c>
      <c r="C5359" s="2" t="s">
        <v>34</v>
      </c>
      <c r="D5359" s="2" t="s">
        <v>10</v>
      </c>
      <c r="E5359" s="2" t="str">
        <f>HYPERLINK("http://ts.21cn.com/tousu/show/id/1336185","http://ts.21cn.com/tousu/show/id/1336185")</f>
        <v>http://ts.21cn.com/tousu/show/id/1336185</v>
      </c>
      <c r="F5359" s="2" t="s">
        <v>11</v>
      </c>
      <c r="G5359" s="2" t="s">
        <v>33609</v>
      </c>
      <c r="H5359" s="2" t="s">
        <v>33610</v>
      </c>
    </row>
    <row r="5360" spans="1:8" ht="25.05" customHeight="1" x14ac:dyDescent="0.25">
      <c r="A5360" s="2" t="s">
        <v>8</v>
      </c>
      <c r="B5360" s="2" t="str">
        <f>HYPERLINK("http://ts.21cn.com/tousu/show/id/1336187","招联金融暴力催收")</f>
        <v>招联金融暴力催收</v>
      </c>
      <c r="C5360" s="2" t="s">
        <v>9</v>
      </c>
      <c r="D5360" s="2" t="s">
        <v>10</v>
      </c>
      <c r="E5360" s="2" t="str">
        <f>HYPERLINK("http://ts.21cn.com/tousu/show/id/1336187","http://ts.21cn.com/tousu/show/id/1336187")</f>
        <v>http://ts.21cn.com/tousu/show/id/1336187</v>
      </c>
      <c r="F5360" s="2" t="s">
        <v>11</v>
      </c>
      <c r="G5360" s="2" t="s">
        <v>33606</v>
      </c>
      <c r="H5360" s="2" t="s">
        <v>33607</v>
      </c>
    </row>
    <row r="5361" spans="1:8" ht="25.05" customHeight="1" x14ac:dyDescent="0.25">
      <c r="A5361" s="2" t="s">
        <v>8</v>
      </c>
      <c r="B5361" s="2" t="str">
        <f>HYPERLINK("http://ts.21cn.com/tousu/show/id/1336186","砍头息，隐藏条款")</f>
        <v>砍头息，隐藏条款</v>
      </c>
      <c r="C5361" s="2" t="s">
        <v>9</v>
      </c>
      <c r="D5361" s="2" t="s">
        <v>10</v>
      </c>
      <c r="E5361" s="2" t="str">
        <f>HYPERLINK("http://ts.21cn.com/tousu/show/id/1336186","http://ts.21cn.com/tousu/show/id/1336186")</f>
        <v>http://ts.21cn.com/tousu/show/id/1336186</v>
      </c>
      <c r="F5361" s="2" t="s">
        <v>11</v>
      </c>
      <c r="G5361" s="2" t="s">
        <v>33606</v>
      </c>
      <c r="H5361" s="2" t="s">
        <v>33608</v>
      </c>
    </row>
    <row r="5362" spans="1:8" ht="25.05" customHeight="1" x14ac:dyDescent="0.25">
      <c r="A5362" s="2" t="s">
        <v>8</v>
      </c>
      <c r="B5362" s="2" t="str">
        <f>HYPERLINK("http://ts.21cn.com/tousu/show/id/1336190","暴力催收恐吓催收虚假律师函")</f>
        <v>暴力催收恐吓催收虚假律师函</v>
      </c>
      <c r="C5362" s="2" t="s">
        <v>9</v>
      </c>
      <c r="D5362" s="2" t="s">
        <v>10</v>
      </c>
      <c r="E5362" s="2" t="str">
        <f>HYPERLINK("http://ts.21cn.com/tousu/show/id/1336190","http://ts.21cn.com/tousu/show/id/1336190")</f>
        <v>http://ts.21cn.com/tousu/show/id/1336190</v>
      </c>
      <c r="F5362" s="2" t="s">
        <v>11</v>
      </c>
      <c r="G5362" s="2" t="s">
        <v>33604</v>
      </c>
      <c r="H5362" s="2" t="s">
        <v>33605</v>
      </c>
    </row>
    <row r="5363" spans="1:8" ht="25.05" customHeight="1" x14ac:dyDescent="0.25">
      <c r="A5363" s="2" t="s">
        <v>8</v>
      </c>
      <c r="B5363" s="2" t="str">
        <f>HYPERLINK("http://ts.21cn.com/tousu/show/id/1336188","平安普惠贷款隐瞒隐藏并强制收取高额保险费管理费投诉事宜")</f>
        <v>平安普惠贷款隐瞒隐藏并强制收取高额保险费管理费投诉事宜</v>
      </c>
      <c r="C5363" s="2" t="s">
        <v>9</v>
      </c>
      <c r="D5363" s="2" t="s">
        <v>10</v>
      </c>
      <c r="E5363" s="2" t="str">
        <f>HYPERLINK("http://ts.21cn.com/tousu/show/id/1336188","http://ts.21cn.com/tousu/show/id/1336188")</f>
        <v>http://ts.21cn.com/tousu/show/id/1336188</v>
      </c>
      <c r="F5363" s="2" t="s">
        <v>11</v>
      </c>
      <c r="G5363" s="2" t="s">
        <v>33602</v>
      </c>
      <c r="H5363" s="2" t="s">
        <v>33603</v>
      </c>
    </row>
    <row r="5364" spans="1:8" ht="25.05" customHeight="1" x14ac:dyDescent="0.25">
      <c r="A5364" s="2" t="s">
        <v>8</v>
      </c>
      <c r="B5364" s="2" t="str">
        <f>HYPERLINK("http://ts.21cn.com/tousu/show/id/1336189","高利贷")</f>
        <v>高利贷</v>
      </c>
      <c r="C5364" s="2" t="s">
        <v>9</v>
      </c>
      <c r="D5364" s="2" t="s">
        <v>10</v>
      </c>
      <c r="E5364" s="2" t="str">
        <f>HYPERLINK("http://ts.21cn.com/tousu/show/id/1336189","http://ts.21cn.com/tousu/show/id/1336189")</f>
        <v>http://ts.21cn.com/tousu/show/id/1336189</v>
      </c>
      <c r="F5364" s="2" t="s">
        <v>11</v>
      </c>
      <c r="G5364" s="2" t="s">
        <v>33600</v>
      </c>
      <c r="H5364" s="2" t="s">
        <v>33601</v>
      </c>
    </row>
    <row r="5365" spans="1:8" ht="25.05" customHeight="1" x14ac:dyDescent="0.25">
      <c r="A5365" s="2" t="s">
        <v>8</v>
      </c>
      <c r="B5365" s="2" t="str">
        <f>HYPERLINK("http://ts.21cn.com/tousu/show/id/1336191","中经汇通小马车主卡无法使用")</f>
        <v>中经汇通小马车主卡无法使用</v>
      </c>
      <c r="C5365" s="2" t="s">
        <v>9</v>
      </c>
      <c r="D5365" s="2" t="s">
        <v>10</v>
      </c>
      <c r="E5365" s="2" t="str">
        <f>HYPERLINK("http://ts.21cn.com/tousu/show/id/1336191","http://ts.21cn.com/tousu/show/id/1336191")</f>
        <v>http://ts.21cn.com/tousu/show/id/1336191</v>
      </c>
      <c r="F5365" s="2" t="s">
        <v>11</v>
      </c>
      <c r="G5365" s="2" t="s">
        <v>33598</v>
      </c>
      <c r="H5365" s="2" t="s">
        <v>33599</v>
      </c>
    </row>
    <row r="5366" spans="1:8" ht="25.05" customHeight="1" x14ac:dyDescent="0.25">
      <c r="A5366" s="2" t="s">
        <v>8</v>
      </c>
      <c r="B5366" s="2" t="str">
        <f>HYPERLINK("http://ts.21cn.com/tousu/show/id/1336192","押金半年了一直不退，而且现在号码停机登陆不了")</f>
        <v>押金半年了一直不退，而且现在号码停机登陆不了</v>
      </c>
      <c r="C5366" s="2" t="s">
        <v>34</v>
      </c>
      <c r="D5366" s="2" t="s">
        <v>10</v>
      </c>
      <c r="E5366" s="2" t="str">
        <f>HYPERLINK("http://ts.21cn.com/tousu/show/id/1336192","http://ts.21cn.com/tousu/show/id/1336192")</f>
        <v>http://ts.21cn.com/tousu/show/id/1336192</v>
      </c>
      <c r="F5366" s="2" t="s">
        <v>11</v>
      </c>
      <c r="G5366" s="2" t="s">
        <v>33596</v>
      </c>
      <c r="H5366" s="2" t="s">
        <v>33597</v>
      </c>
    </row>
    <row r="5367" spans="1:8" ht="25.05" customHeight="1" x14ac:dyDescent="0.25">
      <c r="A5367" s="2" t="s">
        <v>8</v>
      </c>
      <c r="B5367" s="2" t="str">
        <f>HYPERLINK("http://ts.21cn.com/tousu/show/id/1336193","淘宝可能非法监听消费者")</f>
        <v>淘宝可能非法监听消费者</v>
      </c>
      <c r="C5367" s="2" t="s">
        <v>9</v>
      </c>
      <c r="D5367" s="2" t="s">
        <v>10</v>
      </c>
      <c r="E5367" s="2" t="str">
        <f>HYPERLINK("http://ts.21cn.com/tousu/show/id/1336193","http://ts.21cn.com/tousu/show/id/1336193")</f>
        <v>http://ts.21cn.com/tousu/show/id/1336193</v>
      </c>
      <c r="F5367" s="2" t="s">
        <v>11</v>
      </c>
      <c r="G5367" s="2" t="s">
        <v>33594</v>
      </c>
      <c r="H5367" s="2" t="s">
        <v>33595</v>
      </c>
    </row>
    <row r="5368" spans="1:8" ht="25.05" customHeight="1" x14ac:dyDescent="0.25">
      <c r="A5368" s="2" t="s">
        <v>8</v>
      </c>
      <c r="B5368" s="2" t="str">
        <f>HYPERLINK("http://ts.21cn.com/tousu/show/id/1336194","航司没出票去哪网不给拦截出票")</f>
        <v>航司没出票去哪网不给拦截出票</v>
      </c>
      <c r="C5368" s="2" t="s">
        <v>34</v>
      </c>
      <c r="D5368" s="2" t="s">
        <v>10</v>
      </c>
      <c r="E5368" s="2" t="str">
        <f>HYPERLINK("http://ts.21cn.com/tousu/show/id/1336194","http://ts.21cn.com/tousu/show/id/1336194")</f>
        <v>http://ts.21cn.com/tousu/show/id/1336194</v>
      </c>
      <c r="F5368" s="2" t="s">
        <v>11</v>
      </c>
      <c r="G5368" s="2" t="s">
        <v>33592</v>
      </c>
      <c r="H5368" s="2" t="s">
        <v>33593</v>
      </c>
    </row>
    <row r="5369" spans="1:8" ht="25.05" customHeight="1" x14ac:dyDescent="0.25">
      <c r="A5369" s="2" t="s">
        <v>8</v>
      </c>
      <c r="B5369" s="2" t="str">
        <f>HYPERLINK("http://ts.21cn.com/tousu/show/id/1336195","小浦优客没有经过本人同意扣款")</f>
        <v>小浦优客没有经过本人同意扣款</v>
      </c>
      <c r="C5369" s="2" t="s">
        <v>9</v>
      </c>
      <c r="D5369" s="2" t="s">
        <v>10</v>
      </c>
      <c r="E5369" s="2" t="str">
        <f>HYPERLINK("http://ts.21cn.com/tousu/show/id/1336195","http://ts.21cn.com/tousu/show/id/1336195")</f>
        <v>http://ts.21cn.com/tousu/show/id/1336195</v>
      </c>
      <c r="F5369" s="2" t="s">
        <v>11</v>
      </c>
      <c r="G5369" s="2" t="s">
        <v>33590</v>
      </c>
      <c r="H5369" s="2" t="s">
        <v>33591</v>
      </c>
    </row>
    <row r="5370" spans="1:8" ht="25.05" customHeight="1" x14ac:dyDescent="0.25">
      <c r="A5370" s="2" t="s">
        <v>8</v>
      </c>
      <c r="B5370" s="2" t="str">
        <f>HYPERLINK("http://ts.21cn.com/tousu/show/id/1336196","马上金融故意不扣款导致我逾期收取高额逾期费")</f>
        <v>马上金融故意不扣款导致我逾期收取高额逾期费</v>
      </c>
      <c r="C5370" s="2" t="s">
        <v>34</v>
      </c>
      <c r="D5370" s="2" t="s">
        <v>10</v>
      </c>
      <c r="E5370" s="2" t="str">
        <f>HYPERLINK("http://ts.21cn.com/tousu/show/id/1336196","http://ts.21cn.com/tousu/show/id/1336196")</f>
        <v>http://ts.21cn.com/tousu/show/id/1336196</v>
      </c>
      <c r="F5370" s="2" t="s">
        <v>11</v>
      </c>
      <c r="G5370" s="2" t="s">
        <v>33588</v>
      </c>
      <c r="H5370" s="2" t="s">
        <v>33589</v>
      </c>
    </row>
    <row r="5371" spans="1:8" ht="25.05" customHeight="1" x14ac:dyDescent="0.25">
      <c r="A5371" s="2" t="s">
        <v>8</v>
      </c>
      <c r="B5371" s="2" t="str">
        <f>HYPERLINK("http://ts.21cn.com/tousu/show/id/1336197","OPPOR9SPLUS大规模无限重启变砖")</f>
        <v>OPPOR9SPLUS大规模无限重启变砖</v>
      </c>
      <c r="C5371" s="2" t="s">
        <v>34</v>
      </c>
      <c r="D5371" s="2" t="s">
        <v>10</v>
      </c>
      <c r="E5371" s="2" t="str">
        <f>HYPERLINK("http://ts.21cn.com/tousu/show/id/1336197","http://ts.21cn.com/tousu/show/id/1336197")</f>
        <v>http://ts.21cn.com/tousu/show/id/1336197</v>
      </c>
      <c r="F5371" s="2" t="s">
        <v>11</v>
      </c>
      <c r="G5371" s="2" t="s">
        <v>33586</v>
      </c>
      <c r="H5371" s="2" t="s">
        <v>33587</v>
      </c>
    </row>
    <row r="5372" spans="1:8" ht="25.05" customHeight="1" x14ac:dyDescent="0.25">
      <c r="A5372" s="2" t="s">
        <v>8</v>
      </c>
      <c r="B5372" s="2" t="str">
        <f>HYPERLINK("http://ts.21cn.com/tousu/show/id/1336198","小赢卡贷强制分期，提前还款仍收取高价利息费用")</f>
        <v>小赢卡贷强制分期，提前还款仍收取高价利息费用</v>
      </c>
      <c r="C5372" s="2" t="s">
        <v>9</v>
      </c>
      <c r="D5372" s="2" t="s">
        <v>10</v>
      </c>
      <c r="E5372" s="2" t="str">
        <f>HYPERLINK("http://ts.21cn.com/tousu/show/id/1336198","http://ts.21cn.com/tousu/show/id/1336198")</f>
        <v>http://ts.21cn.com/tousu/show/id/1336198</v>
      </c>
      <c r="F5372" s="2" t="s">
        <v>11</v>
      </c>
      <c r="G5372" s="2" t="s">
        <v>33584</v>
      </c>
      <c r="H5372" s="2" t="s">
        <v>33585</v>
      </c>
    </row>
    <row r="5373" spans="1:8" ht="25.05" customHeight="1" x14ac:dyDescent="0.25">
      <c r="A5373" s="2" t="s">
        <v>8</v>
      </c>
      <c r="B5373" s="2" t="str">
        <f>HYPERLINK("http://ts.21cn.com/tousu/show/id/1336199","淘宝买抽油烟机有问题不给处理")</f>
        <v>淘宝买抽油烟机有问题不给处理</v>
      </c>
      <c r="C5373" s="2" t="s">
        <v>9</v>
      </c>
      <c r="D5373" s="2" t="s">
        <v>10</v>
      </c>
      <c r="E5373" s="2" t="str">
        <f>HYPERLINK("http://ts.21cn.com/tousu/show/id/1336199","http://ts.21cn.com/tousu/show/id/1336199")</f>
        <v>http://ts.21cn.com/tousu/show/id/1336199</v>
      </c>
      <c r="F5373" s="2" t="s">
        <v>11</v>
      </c>
      <c r="G5373" s="2" t="s">
        <v>33582</v>
      </c>
      <c r="H5373" s="2" t="s">
        <v>33583</v>
      </c>
    </row>
    <row r="5374" spans="1:8" ht="25.05" customHeight="1" x14ac:dyDescent="0.25">
      <c r="A5374" s="2" t="s">
        <v>8</v>
      </c>
      <c r="B5374" s="2" t="str">
        <f>HYPERLINK("http://ts.21cn.com/tousu/show/id/1336181","盛钱包及代理坑激活费")</f>
        <v>盛钱包及代理坑激活费</v>
      </c>
      <c r="C5374" s="2" t="s">
        <v>9</v>
      </c>
      <c r="D5374" s="2" t="s">
        <v>10</v>
      </c>
      <c r="E5374" s="2" t="str">
        <f>HYPERLINK("http://ts.21cn.com/tousu/show/id/1336181","http://ts.21cn.com/tousu/show/id/1336181")</f>
        <v>http://ts.21cn.com/tousu/show/id/1336181</v>
      </c>
      <c r="F5374" s="2" t="s">
        <v>11</v>
      </c>
      <c r="G5374" s="2" t="s">
        <v>33580</v>
      </c>
      <c r="H5374" s="2" t="s">
        <v>33581</v>
      </c>
    </row>
    <row r="5375" spans="1:8" ht="25.05" customHeight="1" x14ac:dyDescent="0.25">
      <c r="A5375" s="2" t="s">
        <v>8</v>
      </c>
      <c r="B5375" s="2" t="str">
        <f>HYPERLINK("http://ts.21cn.com/tousu/show/id/1336200","恶意泄漏恐吓")</f>
        <v>恶意泄漏恐吓</v>
      </c>
      <c r="C5375" s="2" t="s">
        <v>9</v>
      </c>
      <c r="D5375" s="2" t="s">
        <v>10</v>
      </c>
      <c r="E5375" s="2" t="str">
        <f>HYPERLINK("http://ts.21cn.com/tousu/show/id/1336200","http://ts.21cn.com/tousu/show/id/1336200")</f>
        <v>http://ts.21cn.com/tousu/show/id/1336200</v>
      </c>
      <c r="F5375" s="2" t="s">
        <v>11</v>
      </c>
      <c r="G5375" s="2" t="s">
        <v>33578</v>
      </c>
      <c r="H5375" s="2" t="s">
        <v>33579</v>
      </c>
    </row>
    <row r="5376" spans="1:8" ht="25.05" customHeight="1" x14ac:dyDescent="0.25">
      <c r="A5376" s="2" t="s">
        <v>8</v>
      </c>
      <c r="B5376" s="2" t="str">
        <f>HYPERLINK("http://ts.21cn.com/tousu/show/id/1336201","闪银退还至尊借款收取的720元所谓至尊担保凭证费用")</f>
        <v>闪银退还至尊借款收取的720元所谓至尊担保凭证费用</v>
      </c>
      <c r="C5376" s="2" t="s">
        <v>9</v>
      </c>
      <c r="D5376" s="2" t="s">
        <v>10</v>
      </c>
      <c r="E5376" s="2" t="str">
        <f>HYPERLINK("http://ts.21cn.com/tousu/show/id/1336201","http://ts.21cn.com/tousu/show/id/1336201")</f>
        <v>http://ts.21cn.com/tousu/show/id/1336201</v>
      </c>
      <c r="F5376" s="2" t="s">
        <v>11</v>
      </c>
      <c r="G5376" s="2" t="s">
        <v>33576</v>
      </c>
      <c r="H5376" s="2" t="s">
        <v>33577</v>
      </c>
    </row>
    <row r="5377" spans="1:8" ht="25.05" customHeight="1" x14ac:dyDescent="0.25">
      <c r="A5377" s="2" t="s">
        <v>8</v>
      </c>
      <c r="B5377" s="2" t="str">
        <f>HYPERLINK("http://ts.21cn.com/tousu/show/id/1336202","滴滴派单问题")</f>
        <v>滴滴派单问题</v>
      </c>
      <c r="C5377" s="2" t="s">
        <v>9</v>
      </c>
      <c r="D5377" s="2" t="s">
        <v>10</v>
      </c>
      <c r="E5377" s="2" t="str">
        <f>HYPERLINK("http://ts.21cn.com/tousu/show/id/1336202","http://ts.21cn.com/tousu/show/id/1336202")</f>
        <v>http://ts.21cn.com/tousu/show/id/1336202</v>
      </c>
      <c r="F5377" s="2" t="s">
        <v>11</v>
      </c>
      <c r="G5377" s="2" t="s">
        <v>33574</v>
      </c>
      <c r="H5377" s="2" t="s">
        <v>33575</v>
      </c>
    </row>
    <row r="5378" spans="1:8" ht="25.05" customHeight="1" x14ac:dyDescent="0.25">
      <c r="A5378" s="2" t="s">
        <v>8</v>
      </c>
      <c r="B5378" s="2" t="str">
        <f>HYPERLINK("http://ts.21cn.com/tousu/show/id/1336204","轰炸式骚扰通讯录亲戚朋友")</f>
        <v>轰炸式骚扰通讯录亲戚朋友</v>
      </c>
      <c r="C5378" s="2" t="s">
        <v>9</v>
      </c>
      <c r="D5378" s="2" t="s">
        <v>10</v>
      </c>
      <c r="E5378" s="2" t="str">
        <f>HYPERLINK("http://ts.21cn.com/tousu/show/id/1336204","http://ts.21cn.com/tousu/show/id/1336204")</f>
        <v>http://ts.21cn.com/tousu/show/id/1336204</v>
      </c>
      <c r="F5378" s="2" t="s">
        <v>11</v>
      </c>
      <c r="G5378" s="2" t="s">
        <v>33572</v>
      </c>
      <c r="H5378" s="2" t="s">
        <v>33573</v>
      </c>
    </row>
    <row r="5379" spans="1:8" ht="25.05" customHeight="1" x14ac:dyDescent="0.25">
      <c r="A5379" s="2" t="s">
        <v>8</v>
      </c>
      <c r="B5379" s="2" t="str">
        <f>HYPERLINK("http://ts.21cn.com/tousu/show/id/1336205","转转禁言我的账号")</f>
        <v>转转禁言我的账号</v>
      </c>
      <c r="C5379" s="2" t="s">
        <v>34</v>
      </c>
      <c r="D5379" s="2" t="s">
        <v>10</v>
      </c>
      <c r="E5379" s="2" t="str">
        <f>HYPERLINK("http://ts.21cn.com/tousu/show/id/1336205","http://ts.21cn.com/tousu/show/id/1336205")</f>
        <v>http://ts.21cn.com/tousu/show/id/1336205</v>
      </c>
      <c r="F5379" s="2" t="s">
        <v>11</v>
      </c>
      <c r="G5379" s="2" t="s">
        <v>33570</v>
      </c>
      <c r="H5379" s="2" t="s">
        <v>33571</v>
      </c>
    </row>
    <row r="5380" spans="1:8" ht="25.05" customHeight="1" x14ac:dyDescent="0.25">
      <c r="A5380" s="2" t="s">
        <v>8</v>
      </c>
      <c r="B5380" s="2" t="str">
        <f>HYPERLINK("http://ts.21cn.com/tousu/show/id/1336206","肥猫贷高利贷")</f>
        <v>肥猫贷高利贷</v>
      </c>
      <c r="C5380" s="2" t="s">
        <v>9</v>
      </c>
      <c r="D5380" s="2" t="s">
        <v>10</v>
      </c>
      <c r="E5380" s="2" t="str">
        <f>HYPERLINK("http://ts.21cn.com/tousu/show/id/1336206","http://ts.21cn.com/tousu/show/id/1336206")</f>
        <v>http://ts.21cn.com/tousu/show/id/1336206</v>
      </c>
      <c r="F5380" s="2" t="s">
        <v>11</v>
      </c>
      <c r="G5380" s="2" t="s">
        <v>33568</v>
      </c>
      <c r="H5380" s="2" t="s">
        <v>33569</v>
      </c>
    </row>
    <row r="5381" spans="1:8" ht="25.05" customHeight="1" x14ac:dyDescent="0.25">
      <c r="A5381" s="2" t="s">
        <v>8</v>
      </c>
      <c r="B5381" s="2" t="str">
        <f>HYPERLINK("http://ts.21cn.com/tousu/show/id/1336210","砍头息，高利贷")</f>
        <v>砍头息，高利贷</v>
      </c>
      <c r="C5381" s="2" t="s">
        <v>9</v>
      </c>
      <c r="D5381" s="2" t="s">
        <v>10</v>
      </c>
      <c r="E5381" s="2" t="str">
        <f>HYPERLINK("http://ts.21cn.com/tousu/show/id/1336210","http://ts.21cn.com/tousu/show/id/1336210")</f>
        <v>http://ts.21cn.com/tousu/show/id/1336210</v>
      </c>
      <c r="F5381" s="2" t="s">
        <v>11</v>
      </c>
      <c r="G5381" s="2" t="s">
        <v>33566</v>
      </c>
      <c r="H5381" s="2" t="s">
        <v>33567</v>
      </c>
    </row>
    <row r="5382" spans="1:8" ht="25.05" customHeight="1" x14ac:dyDescent="0.25">
      <c r="A5382" s="2" t="s">
        <v>8</v>
      </c>
      <c r="B5382" s="2" t="str">
        <f>HYPERLINK("http://ts.21cn.com/tousu/show/id/1336211","拍拍贷侵犯个人隐私")</f>
        <v>拍拍贷侵犯个人隐私</v>
      </c>
      <c r="C5382" s="2" t="s">
        <v>9</v>
      </c>
      <c r="D5382" s="2" t="s">
        <v>10</v>
      </c>
      <c r="E5382" s="2" t="str">
        <f>HYPERLINK("http://ts.21cn.com/tousu/show/id/1336211","http://ts.21cn.com/tousu/show/id/1336211")</f>
        <v>http://ts.21cn.com/tousu/show/id/1336211</v>
      </c>
      <c r="F5382" s="2" t="s">
        <v>11</v>
      </c>
      <c r="G5382" s="2" t="s">
        <v>33564</v>
      </c>
      <c r="H5382" s="2" t="s">
        <v>33565</v>
      </c>
    </row>
    <row r="5383" spans="1:8" ht="25.05" customHeight="1" x14ac:dyDescent="0.25">
      <c r="A5383" s="2" t="s">
        <v>8</v>
      </c>
      <c r="B5383" s="2" t="str">
        <f>HYPERLINK("http://ts.21cn.com/tousu/show/id/1336212","714砍头息")</f>
        <v>714砍头息</v>
      </c>
      <c r="C5383" s="2" t="s">
        <v>34</v>
      </c>
      <c r="D5383" s="2" t="s">
        <v>10</v>
      </c>
      <c r="E5383" s="2" t="str">
        <f>HYPERLINK("http://ts.21cn.com/tousu/show/id/1336212","http://ts.21cn.com/tousu/show/id/1336212")</f>
        <v>http://ts.21cn.com/tousu/show/id/1336212</v>
      </c>
      <c r="F5383" s="2" t="s">
        <v>11</v>
      </c>
      <c r="G5383" s="2" t="s">
        <v>33562</v>
      </c>
      <c r="H5383" s="2" t="s">
        <v>33563</v>
      </c>
    </row>
    <row r="5384" spans="1:8" ht="25.05" customHeight="1" x14ac:dyDescent="0.25">
      <c r="A5384" s="2" t="s">
        <v>8</v>
      </c>
      <c r="B5384" s="2" t="str">
        <f>HYPERLINK("http://ts.21cn.com/tousu/show/id/1336213","开通了百度网盘超级会员自动续费功能无法取消续费")</f>
        <v>开通了百度网盘超级会员自动续费功能无法取消续费</v>
      </c>
      <c r="C5384" s="2" t="s">
        <v>34</v>
      </c>
      <c r="D5384" s="2" t="s">
        <v>10</v>
      </c>
      <c r="E5384" s="2" t="str">
        <f>HYPERLINK("http://ts.21cn.com/tousu/show/id/1336213","http://ts.21cn.com/tousu/show/id/1336213")</f>
        <v>http://ts.21cn.com/tousu/show/id/1336213</v>
      </c>
      <c r="F5384" s="2" t="s">
        <v>11</v>
      </c>
      <c r="G5384" s="2" t="s">
        <v>33560</v>
      </c>
      <c r="H5384" s="2" t="s">
        <v>33561</v>
      </c>
    </row>
    <row r="5385" spans="1:8" ht="25.05" customHeight="1" x14ac:dyDescent="0.25">
      <c r="A5385" s="2" t="s">
        <v>8</v>
      </c>
      <c r="B5385" s="2" t="str">
        <f>HYPERLINK("http://ts.21cn.com/tousu/show/id/1336214","外汇黑平台和第三方支付平台")</f>
        <v>外汇黑平台和第三方支付平台</v>
      </c>
      <c r="C5385" s="2" t="s">
        <v>9</v>
      </c>
      <c r="D5385" s="2" t="s">
        <v>10</v>
      </c>
      <c r="E5385" s="2" t="str">
        <f>HYPERLINK("http://ts.21cn.com/tousu/show/id/1336214","http://ts.21cn.com/tousu/show/id/1336214")</f>
        <v>http://ts.21cn.com/tousu/show/id/1336214</v>
      </c>
      <c r="F5385" s="2" t="s">
        <v>11</v>
      </c>
      <c r="G5385" s="2" t="s">
        <v>33558</v>
      </c>
      <c r="H5385" s="2" t="s">
        <v>33559</v>
      </c>
    </row>
    <row r="5386" spans="1:8" ht="25.05" customHeight="1" x14ac:dyDescent="0.25">
      <c r="A5386" s="2" t="s">
        <v>8</v>
      </c>
      <c r="B5386" s="2" t="str">
        <f>HYPERLINK("http://ts.21cn.com/tousu/show/id/1336215","小黑鲨高利贷杭州市民卡为高利贷提供支付通道")</f>
        <v>小黑鲨高利贷杭州市民卡为高利贷提供支付通道</v>
      </c>
      <c r="C5386" s="2" t="s">
        <v>9</v>
      </c>
      <c r="D5386" s="2" t="s">
        <v>10</v>
      </c>
      <c r="E5386" s="2" t="str">
        <f>HYPERLINK("http://ts.21cn.com/tousu/show/id/1336215","http://ts.21cn.com/tousu/show/id/1336215")</f>
        <v>http://ts.21cn.com/tousu/show/id/1336215</v>
      </c>
      <c r="F5386" s="2" t="s">
        <v>11</v>
      </c>
      <c r="G5386" s="2" t="s">
        <v>33556</v>
      </c>
      <c r="H5386" s="2" t="s">
        <v>33557</v>
      </c>
    </row>
    <row r="5387" spans="1:8" ht="25.05" customHeight="1" x14ac:dyDescent="0.25">
      <c r="A5387" s="2" t="s">
        <v>8</v>
      </c>
      <c r="B5387" s="2" t="str">
        <f>HYPERLINK("http://ts.21cn.com/tousu/show/id/1336217","在及贷借的款觉得利息高了，想一次性结清的结果违约金也高的很，接受不了，希望调整")</f>
        <v>在及贷借的款觉得利息高了，想一次性结清的结果违约金也高的很，接受不了，希望调整</v>
      </c>
      <c r="C5387" s="2" t="s">
        <v>9</v>
      </c>
      <c r="D5387" s="2" t="s">
        <v>10</v>
      </c>
      <c r="E5387" s="2" t="str">
        <f>HYPERLINK("http://ts.21cn.com/tousu/show/id/1336217","http://ts.21cn.com/tousu/show/id/1336217")</f>
        <v>http://ts.21cn.com/tousu/show/id/1336217</v>
      </c>
      <c r="F5387" s="2" t="s">
        <v>11</v>
      </c>
      <c r="G5387" s="2" t="s">
        <v>33554</v>
      </c>
      <c r="H5387" s="2" t="s">
        <v>33555</v>
      </c>
    </row>
    <row r="5388" spans="1:8" ht="25.05" customHeight="1" x14ac:dyDescent="0.25">
      <c r="A5388" s="2" t="s">
        <v>8</v>
      </c>
      <c r="B5388" s="2" t="str">
        <f>HYPERLINK("http://ts.21cn.com/tousu/show/id/1336216","钱站高利贷阴阳合同")</f>
        <v>钱站高利贷阴阳合同</v>
      </c>
      <c r="C5388" s="2" t="s">
        <v>9</v>
      </c>
      <c r="D5388" s="2" t="s">
        <v>10</v>
      </c>
      <c r="E5388" s="2" t="str">
        <f>HYPERLINK("http://ts.21cn.com/tousu/show/id/1336216","http://ts.21cn.com/tousu/show/id/1336216")</f>
        <v>http://ts.21cn.com/tousu/show/id/1336216</v>
      </c>
      <c r="F5388" s="2" t="s">
        <v>11</v>
      </c>
      <c r="G5388" s="2" t="s">
        <v>33552</v>
      </c>
      <c r="H5388" s="2" t="s">
        <v>33553</v>
      </c>
    </row>
    <row r="5389" spans="1:8" ht="25.05" customHeight="1" x14ac:dyDescent="0.25">
      <c r="A5389" s="2" t="s">
        <v>8</v>
      </c>
      <c r="B5389" s="2" t="str">
        <f>HYPERLINK("http://ts.21cn.com/tousu/show/id/1330884","高利贷砍头息，暴力催收")</f>
        <v>高利贷砍头息，暴力催收</v>
      </c>
      <c r="C5389" s="2" t="s">
        <v>9</v>
      </c>
      <c r="D5389" s="2" t="s">
        <v>10</v>
      </c>
      <c r="E5389" s="2" t="str">
        <f>HYPERLINK("http://ts.21cn.com/tousu/show/id/1330884","http://ts.21cn.com/tousu/show/id/1330884")</f>
        <v>http://ts.21cn.com/tousu/show/id/1330884</v>
      </c>
      <c r="F5389" s="2" t="s">
        <v>11</v>
      </c>
      <c r="G5389" s="2" t="s">
        <v>33550</v>
      </c>
      <c r="H5389" s="2" t="s">
        <v>33551</v>
      </c>
    </row>
    <row r="5390" spans="1:8" ht="25.05" customHeight="1" x14ac:dyDescent="0.25">
      <c r="A5390" s="2" t="s">
        <v>8</v>
      </c>
      <c r="B5390" s="2" t="str">
        <f>HYPERLINK("http://ts.21cn.com/tousu/show/id/1336218","腾安基金邮政卡扣款")</f>
        <v>腾安基金邮政卡扣款</v>
      </c>
      <c r="C5390" s="2" t="s">
        <v>9</v>
      </c>
      <c r="D5390" s="2" t="s">
        <v>10</v>
      </c>
      <c r="E5390" s="2" t="str">
        <f>HYPERLINK("http://ts.21cn.com/tousu/show/id/1336218","http://ts.21cn.com/tousu/show/id/1336218")</f>
        <v>http://ts.21cn.com/tousu/show/id/1336218</v>
      </c>
      <c r="F5390" s="2" t="s">
        <v>11</v>
      </c>
      <c r="G5390" s="2" t="s">
        <v>33548</v>
      </c>
      <c r="H5390" s="2" t="s">
        <v>33549</v>
      </c>
    </row>
    <row r="5391" spans="1:8" ht="25.05" customHeight="1" x14ac:dyDescent="0.25">
      <c r="A5391" s="2" t="s">
        <v>8</v>
      </c>
      <c r="B5391" s="2" t="str">
        <f>HYPERLINK("http://ts.21cn.com/tousu/show/id/1336220","滴滴车主乱定罪司机违规")</f>
        <v>滴滴车主乱定罪司机违规</v>
      </c>
      <c r="C5391" s="2" t="s">
        <v>9</v>
      </c>
      <c r="D5391" s="2" t="s">
        <v>10</v>
      </c>
      <c r="E5391" s="2" t="str">
        <f>HYPERLINK("http://ts.21cn.com/tousu/show/id/1336220","http://ts.21cn.com/tousu/show/id/1336220")</f>
        <v>http://ts.21cn.com/tousu/show/id/1336220</v>
      </c>
      <c r="F5391" s="2" t="s">
        <v>11</v>
      </c>
      <c r="G5391" s="2" t="s">
        <v>33546</v>
      </c>
      <c r="H5391" s="2" t="s">
        <v>33547</v>
      </c>
    </row>
    <row r="5392" spans="1:8" ht="25.05" customHeight="1" x14ac:dyDescent="0.25">
      <c r="A5392" s="2" t="s">
        <v>8</v>
      </c>
      <c r="B5392" s="2" t="str">
        <f>HYPERLINK("http://ts.21cn.com/tousu/show/id/1336221","骚扰威胁暴力随收")</f>
        <v>骚扰威胁暴力随收</v>
      </c>
      <c r="C5392" s="2" t="s">
        <v>9</v>
      </c>
      <c r="D5392" s="2" t="s">
        <v>10</v>
      </c>
      <c r="E5392" s="2" t="str">
        <f>HYPERLINK("http://ts.21cn.com/tousu/show/id/1336221","http://ts.21cn.com/tousu/show/id/1336221")</f>
        <v>http://ts.21cn.com/tousu/show/id/1336221</v>
      </c>
      <c r="F5392" s="2" t="s">
        <v>11</v>
      </c>
      <c r="G5392" s="2" t="s">
        <v>33544</v>
      </c>
      <c r="H5392" s="2" t="s">
        <v>33545</v>
      </c>
    </row>
    <row r="5393" spans="1:8" ht="25.05" customHeight="1" x14ac:dyDescent="0.25">
      <c r="A5393" s="2" t="s">
        <v>8</v>
      </c>
      <c r="B5393" s="2" t="str">
        <f>HYPERLINK("http://ts.21cn.com/tousu/show/id/1336222","高利贷")</f>
        <v>高利贷</v>
      </c>
      <c r="C5393" s="2" t="s">
        <v>9</v>
      </c>
      <c r="D5393" s="2" t="s">
        <v>10</v>
      </c>
      <c r="E5393" s="2" t="str">
        <f>HYPERLINK("http://ts.21cn.com/tousu/show/id/1336222","http://ts.21cn.com/tousu/show/id/1336222")</f>
        <v>http://ts.21cn.com/tousu/show/id/1336222</v>
      </c>
      <c r="F5393" s="2" t="s">
        <v>11</v>
      </c>
      <c r="G5393" s="2" t="s">
        <v>33542</v>
      </c>
      <c r="H5393" s="2" t="s">
        <v>33543</v>
      </c>
    </row>
    <row r="5394" spans="1:8" ht="25.05" customHeight="1" x14ac:dyDescent="0.25">
      <c r="A5394" s="2" t="s">
        <v>8</v>
      </c>
      <c r="B5394" s="2" t="str">
        <f>HYPERLINK("http://ts.21cn.com/tousu/show/id/1336223","平安i贷收取高额的服务费和保险费，还款日暴力催收，要求退还服务费和保险费")</f>
        <v>平安i贷收取高额的服务费和保险费，还款日暴力催收，要求退还服务费和保险费</v>
      </c>
      <c r="C5394" s="2" t="s">
        <v>9</v>
      </c>
      <c r="D5394" s="2" t="s">
        <v>10</v>
      </c>
      <c r="E5394" s="2" t="str">
        <f>HYPERLINK("http://ts.21cn.com/tousu/show/id/1336223","http://ts.21cn.com/tousu/show/id/1336223")</f>
        <v>http://ts.21cn.com/tousu/show/id/1336223</v>
      </c>
      <c r="F5394" s="2" t="s">
        <v>11</v>
      </c>
      <c r="G5394" s="2" t="s">
        <v>33540</v>
      </c>
      <c r="H5394" s="2" t="s">
        <v>33541</v>
      </c>
    </row>
    <row r="5395" spans="1:8" ht="25.05" customHeight="1" x14ac:dyDescent="0.25">
      <c r="A5395" s="2" t="s">
        <v>8</v>
      </c>
      <c r="B5395" s="2" t="str">
        <f>HYPERLINK("http://ts.21cn.com/tousu/show/id/1336224","小浦优客，私自扣款，恶意扣款")</f>
        <v>小浦优客，私自扣款，恶意扣款</v>
      </c>
      <c r="C5395" s="2" t="s">
        <v>9</v>
      </c>
      <c r="D5395" s="2" t="s">
        <v>10</v>
      </c>
      <c r="E5395" s="2" t="str">
        <f>HYPERLINK("http://ts.21cn.com/tousu/show/id/1336224","http://ts.21cn.com/tousu/show/id/1336224")</f>
        <v>http://ts.21cn.com/tousu/show/id/1336224</v>
      </c>
      <c r="F5395" s="2" t="s">
        <v>11</v>
      </c>
      <c r="G5395" s="2" t="s">
        <v>33538</v>
      </c>
      <c r="H5395" s="2" t="s">
        <v>33539</v>
      </c>
    </row>
    <row r="5396" spans="1:8" ht="25.05" customHeight="1" x14ac:dyDescent="0.25">
      <c r="A5396" s="2" t="s">
        <v>8</v>
      </c>
      <c r="B5396" s="2" t="str">
        <f>HYPERLINK("http://ts.21cn.com/tousu/show/id/1336225","败家子欠款1万多")</f>
        <v>败家子欠款1万多</v>
      </c>
      <c r="C5396" s="2" t="s">
        <v>9</v>
      </c>
      <c r="D5396" s="2" t="s">
        <v>10</v>
      </c>
      <c r="E5396" s="2" t="str">
        <f>HYPERLINK("http://ts.21cn.com/tousu/show/id/1336225","http://ts.21cn.com/tousu/show/id/1336225")</f>
        <v>http://ts.21cn.com/tousu/show/id/1336225</v>
      </c>
      <c r="F5396" s="2" t="s">
        <v>11</v>
      </c>
      <c r="G5396" s="2" t="s">
        <v>33536</v>
      </c>
      <c r="H5396" s="2" t="s">
        <v>33537</v>
      </c>
    </row>
    <row r="5397" spans="1:8" ht="25.05" customHeight="1" x14ac:dyDescent="0.25">
      <c r="A5397" s="2" t="s">
        <v>8</v>
      </c>
      <c r="B5397" s="2" t="str">
        <f>HYPERLINK("http://ts.21cn.com/tousu/show/id/1336226","维信金科维平台不让退款")</f>
        <v>维信金科维平台不让退款</v>
      </c>
      <c r="C5397" s="2" t="s">
        <v>34</v>
      </c>
      <c r="D5397" s="2" t="s">
        <v>10</v>
      </c>
      <c r="E5397" s="2" t="str">
        <f>HYPERLINK("http://ts.21cn.com/tousu/show/id/1336226","http://ts.21cn.com/tousu/show/id/1336226")</f>
        <v>http://ts.21cn.com/tousu/show/id/1336226</v>
      </c>
      <c r="F5397" s="2" t="s">
        <v>11</v>
      </c>
      <c r="G5397" s="2" t="s">
        <v>33534</v>
      </c>
      <c r="H5397" s="2" t="s">
        <v>33535</v>
      </c>
    </row>
    <row r="5398" spans="1:8" ht="25.05" customHeight="1" x14ac:dyDescent="0.25">
      <c r="A5398" s="2" t="s">
        <v>8</v>
      </c>
      <c r="B5398" s="2" t="str">
        <f>HYPERLINK("http://ts.21cn.com/tousu/show/id/1336227","360借条协商解决")</f>
        <v>360借条协商解决</v>
      </c>
      <c r="C5398" s="2" t="s">
        <v>9</v>
      </c>
      <c r="D5398" s="2" t="s">
        <v>10</v>
      </c>
      <c r="E5398" s="2" t="str">
        <f>HYPERLINK("http://ts.21cn.com/tousu/show/id/1336227","http://ts.21cn.com/tousu/show/id/1336227")</f>
        <v>http://ts.21cn.com/tousu/show/id/1336227</v>
      </c>
      <c r="F5398" s="2" t="s">
        <v>11</v>
      </c>
      <c r="G5398" s="2" t="s">
        <v>33532</v>
      </c>
      <c r="H5398" s="2" t="s">
        <v>33533</v>
      </c>
    </row>
    <row r="5399" spans="1:8" ht="25.05" customHeight="1" x14ac:dyDescent="0.25">
      <c r="A5399" s="2" t="s">
        <v>8</v>
      </c>
      <c r="B5399" s="2" t="str">
        <f>HYPERLINK("http://ts.21cn.com/tousu/show/id/1336228","闲鱼客客服联系不上")</f>
        <v>闲鱼客客服联系不上</v>
      </c>
      <c r="C5399" s="2" t="s">
        <v>34</v>
      </c>
      <c r="D5399" s="2" t="s">
        <v>10</v>
      </c>
      <c r="E5399" s="2" t="str">
        <f>HYPERLINK("http://ts.21cn.com/tousu/show/id/1336228","http://ts.21cn.com/tousu/show/id/1336228")</f>
        <v>http://ts.21cn.com/tousu/show/id/1336228</v>
      </c>
      <c r="F5399" s="2" t="s">
        <v>11</v>
      </c>
      <c r="G5399" s="2" t="s">
        <v>33530</v>
      </c>
      <c r="H5399" s="2" t="s">
        <v>33531</v>
      </c>
    </row>
    <row r="5400" spans="1:8" ht="25.05" customHeight="1" x14ac:dyDescent="0.25">
      <c r="A5400" s="2" t="s">
        <v>8</v>
      </c>
      <c r="B5400" s="2" t="str">
        <f>HYPERLINK("http://ts.21cn.com/tousu/show/id/1336229","微博借款暴力催收，威胁，恐吓，辱骂，涉黑")</f>
        <v>微博借款暴力催收，威胁，恐吓，辱骂，涉黑</v>
      </c>
      <c r="C5400" s="2" t="s">
        <v>9</v>
      </c>
      <c r="D5400" s="2" t="s">
        <v>10</v>
      </c>
      <c r="E5400" s="2" t="str">
        <f>HYPERLINK("http://ts.21cn.com/tousu/show/id/1336229","http://ts.21cn.com/tousu/show/id/1336229")</f>
        <v>http://ts.21cn.com/tousu/show/id/1336229</v>
      </c>
      <c r="F5400" s="2" t="s">
        <v>11</v>
      </c>
      <c r="G5400" s="2" t="s">
        <v>33528</v>
      </c>
      <c r="H5400" s="2" t="s">
        <v>33529</v>
      </c>
    </row>
    <row r="5401" spans="1:8" ht="25.05" customHeight="1" x14ac:dyDescent="0.25">
      <c r="A5401" s="2" t="s">
        <v>8</v>
      </c>
      <c r="B5401" s="2" t="str">
        <f>HYPERLINK("http://ts.21cn.com/tousu/show/id/1336230","黑心公司，员工一个比一个没素质")</f>
        <v>黑心公司，员工一个比一个没素质</v>
      </c>
      <c r="C5401" s="2" t="s">
        <v>9</v>
      </c>
      <c r="D5401" s="2" t="s">
        <v>10</v>
      </c>
      <c r="E5401" s="2" t="str">
        <f>HYPERLINK("http://ts.21cn.com/tousu/show/id/1336230","http://ts.21cn.com/tousu/show/id/1336230")</f>
        <v>http://ts.21cn.com/tousu/show/id/1336230</v>
      </c>
      <c r="F5401" s="2" t="s">
        <v>11</v>
      </c>
      <c r="G5401" s="2" t="s">
        <v>33526</v>
      </c>
      <c r="H5401" s="2" t="s">
        <v>33527</v>
      </c>
    </row>
    <row r="5402" spans="1:8" ht="25.05" customHeight="1" x14ac:dyDescent="0.25">
      <c r="A5402" s="2" t="s">
        <v>8</v>
      </c>
      <c r="B5402" s="2" t="str">
        <f>HYPERLINK("http://ts.21cn.com/tousu/show/id/1336203","弟弟误解学生贷款")</f>
        <v>弟弟误解学生贷款</v>
      </c>
      <c r="C5402" s="2" t="s">
        <v>9</v>
      </c>
      <c r="D5402" s="2" t="s">
        <v>10</v>
      </c>
      <c r="E5402" s="2" t="str">
        <f>HYPERLINK("http://ts.21cn.com/tousu/show/id/1336203","http://ts.21cn.com/tousu/show/id/1336203")</f>
        <v>http://ts.21cn.com/tousu/show/id/1336203</v>
      </c>
      <c r="F5402" s="2" t="s">
        <v>11</v>
      </c>
      <c r="G5402" s="2" t="s">
        <v>33524</v>
      </c>
      <c r="H5402" s="2" t="s">
        <v>33525</v>
      </c>
    </row>
    <row r="5403" spans="1:8" ht="25.05" customHeight="1" x14ac:dyDescent="0.25">
      <c r="A5403" s="2" t="s">
        <v>8</v>
      </c>
      <c r="B5403" s="2" t="str">
        <f>HYPERLINK("http://ts.21cn.com/tousu/show/id/1336232","交通银行恶意催熟")</f>
        <v>交通银行恶意催熟</v>
      </c>
      <c r="C5403" s="2" t="s">
        <v>9</v>
      </c>
      <c r="D5403" s="2" t="s">
        <v>10</v>
      </c>
      <c r="E5403" s="2" t="str">
        <f>HYPERLINK("http://ts.21cn.com/tousu/show/id/1336232","http://ts.21cn.com/tousu/show/id/1336232")</f>
        <v>http://ts.21cn.com/tousu/show/id/1336232</v>
      </c>
      <c r="F5403" s="2" t="s">
        <v>11</v>
      </c>
      <c r="G5403" s="2" t="s">
        <v>33522</v>
      </c>
      <c r="H5403" s="2" t="s">
        <v>33523</v>
      </c>
    </row>
    <row r="5404" spans="1:8" ht="25.05" customHeight="1" x14ac:dyDescent="0.25">
      <c r="A5404" s="2" t="s">
        <v>8</v>
      </c>
      <c r="B5404" s="2" t="str">
        <f>HYPERLINK("http://ts.21cn.com/tousu/show/id/1336231","平安银行信用卡雇佣黑社会外包公司冒充警察无法无天暴力催收")</f>
        <v>平安银行信用卡雇佣黑社会外包公司冒充警察无法无天暴力催收</v>
      </c>
      <c r="C5404" s="2" t="s">
        <v>9</v>
      </c>
      <c r="D5404" s="2" t="s">
        <v>10</v>
      </c>
      <c r="E5404" s="2" t="str">
        <f>HYPERLINK("http://ts.21cn.com/tousu/show/id/1336231","http://ts.21cn.com/tousu/show/id/1336231")</f>
        <v>http://ts.21cn.com/tousu/show/id/1336231</v>
      </c>
      <c r="F5404" s="2" t="s">
        <v>11</v>
      </c>
      <c r="G5404" s="2" t="s">
        <v>33520</v>
      </c>
      <c r="H5404" s="2" t="s">
        <v>33521</v>
      </c>
    </row>
    <row r="5405" spans="1:8" ht="25.05" customHeight="1" x14ac:dyDescent="0.25">
      <c r="A5405" s="2" t="s">
        <v>8</v>
      </c>
      <c r="B5405" s="2" t="str">
        <f>HYPERLINK("http://ts.21cn.com/tousu/show/id/1336234","支付宝恶意催收，骚扰支付宝充话费对象")</f>
        <v>支付宝恶意催收，骚扰支付宝充话费对象</v>
      </c>
      <c r="C5405" s="2" t="s">
        <v>9</v>
      </c>
      <c r="D5405" s="2" t="s">
        <v>10</v>
      </c>
      <c r="E5405" s="2" t="str">
        <f>HYPERLINK("http://ts.21cn.com/tousu/show/id/1336234","http://ts.21cn.com/tousu/show/id/1336234")</f>
        <v>http://ts.21cn.com/tousu/show/id/1336234</v>
      </c>
      <c r="F5405" s="2" t="s">
        <v>11</v>
      </c>
      <c r="G5405" s="2" t="s">
        <v>33519</v>
      </c>
      <c r="H5405" s="2" t="s">
        <v>25321</v>
      </c>
    </row>
    <row r="5406" spans="1:8" ht="25.05" customHeight="1" x14ac:dyDescent="0.25">
      <c r="A5406" s="2" t="s">
        <v>8</v>
      </c>
      <c r="B5406" s="2" t="str">
        <f>HYPERLINK("http://ts.21cn.com/tousu/show/id/1336235","欺诈")</f>
        <v>欺诈</v>
      </c>
      <c r="C5406" s="2" t="s">
        <v>9</v>
      </c>
      <c r="D5406" s="2" t="s">
        <v>10</v>
      </c>
      <c r="E5406" s="2" t="str">
        <f>HYPERLINK("http://ts.21cn.com/tousu/show/id/1336235","http://ts.21cn.com/tousu/show/id/1336235")</f>
        <v>http://ts.21cn.com/tousu/show/id/1336235</v>
      </c>
      <c r="F5406" s="2" t="s">
        <v>11</v>
      </c>
      <c r="G5406" s="2" t="s">
        <v>33517</v>
      </c>
      <c r="H5406" s="2" t="s">
        <v>33518</v>
      </c>
    </row>
    <row r="5407" spans="1:8" ht="25.05" customHeight="1" x14ac:dyDescent="0.25">
      <c r="A5407" s="2" t="s">
        <v>8</v>
      </c>
      <c r="B5407" s="2" t="str">
        <f>HYPERLINK("http://ts.21cn.com/tousu/show/id/1336237","贷上钱恶意催收")</f>
        <v>贷上钱恶意催收</v>
      </c>
      <c r="C5407" s="2" t="s">
        <v>9</v>
      </c>
      <c r="D5407" s="2" t="s">
        <v>10</v>
      </c>
      <c r="E5407" s="2" t="str">
        <f>HYPERLINK("http://ts.21cn.com/tousu/show/id/1336237","http://ts.21cn.com/tousu/show/id/1336237")</f>
        <v>http://ts.21cn.com/tousu/show/id/1336237</v>
      </c>
      <c r="F5407" s="2" t="s">
        <v>11</v>
      </c>
      <c r="G5407" s="2" t="s">
        <v>33515</v>
      </c>
      <c r="H5407" s="2" t="s">
        <v>33516</v>
      </c>
    </row>
    <row r="5408" spans="1:8" ht="25.05" customHeight="1" x14ac:dyDescent="0.25">
      <c r="A5408" s="2" t="s">
        <v>8</v>
      </c>
      <c r="B5408" s="2" t="str">
        <f>HYPERLINK("http://ts.21cn.com/tousu/show/id/1336239","平安普惠贷款隐瞒隐藏并强制收取高额保险费管理费投诉事宜")</f>
        <v>平安普惠贷款隐瞒隐藏并强制收取高额保险费管理费投诉事宜</v>
      </c>
      <c r="C5408" s="2" t="s">
        <v>9</v>
      </c>
      <c r="D5408" s="2" t="s">
        <v>10</v>
      </c>
      <c r="E5408" s="2" t="str">
        <f>HYPERLINK("http://ts.21cn.com/tousu/show/id/1336239","http://ts.21cn.com/tousu/show/id/1336239")</f>
        <v>http://ts.21cn.com/tousu/show/id/1336239</v>
      </c>
      <c r="F5408" s="2" t="s">
        <v>11</v>
      </c>
      <c r="G5408" s="2" t="s">
        <v>33513</v>
      </c>
      <c r="H5408" s="2" t="s">
        <v>33514</v>
      </c>
    </row>
    <row r="5409" spans="1:8" ht="25.05" customHeight="1" x14ac:dyDescent="0.25">
      <c r="A5409" s="2" t="s">
        <v>8</v>
      </c>
      <c r="B5409" s="2" t="str">
        <f>HYPERLINK("http://ts.21cn.com/tousu/show/id/1336240","威胁我爆力收款")</f>
        <v>威胁我爆力收款</v>
      </c>
      <c r="C5409" s="2" t="s">
        <v>9</v>
      </c>
      <c r="D5409" s="2" t="s">
        <v>10</v>
      </c>
      <c r="E5409" s="2" t="str">
        <f>HYPERLINK("http://ts.21cn.com/tousu/show/id/1336240","http://ts.21cn.com/tousu/show/id/1336240")</f>
        <v>http://ts.21cn.com/tousu/show/id/1336240</v>
      </c>
      <c r="F5409" s="2" t="s">
        <v>11</v>
      </c>
      <c r="G5409" s="2" t="s">
        <v>33511</v>
      </c>
      <c r="H5409" s="2" t="s">
        <v>33512</v>
      </c>
    </row>
    <row r="5410" spans="1:8" ht="25.05" customHeight="1" x14ac:dyDescent="0.25">
      <c r="A5410" s="2" t="s">
        <v>8</v>
      </c>
      <c r="B5410" s="2" t="str">
        <f>HYPERLINK("http://ts.21cn.com/tousu/show/id/1336219","强制扣费")</f>
        <v>强制扣费</v>
      </c>
      <c r="C5410" s="2" t="s">
        <v>9</v>
      </c>
      <c r="D5410" s="2" t="s">
        <v>10</v>
      </c>
      <c r="E5410" s="2" t="str">
        <f>HYPERLINK("http://ts.21cn.com/tousu/show/id/1336219","http://ts.21cn.com/tousu/show/id/1336219")</f>
        <v>http://ts.21cn.com/tousu/show/id/1336219</v>
      </c>
      <c r="F5410" s="2" t="s">
        <v>11</v>
      </c>
      <c r="G5410" s="2" t="s">
        <v>33509</v>
      </c>
      <c r="H5410" s="2" t="s">
        <v>33510</v>
      </c>
    </row>
    <row r="5411" spans="1:8" ht="25.05" customHeight="1" x14ac:dyDescent="0.25">
      <c r="A5411" s="2" t="s">
        <v>8</v>
      </c>
      <c r="B5411" s="2" t="str">
        <f>HYPERLINK("http://ts.21cn.com/tousu/show/id/1336241","平安普惠暴力催收")</f>
        <v>平安普惠暴力催收</v>
      </c>
      <c r="C5411" s="2" t="s">
        <v>9</v>
      </c>
      <c r="D5411" s="2" t="s">
        <v>10</v>
      </c>
      <c r="E5411" s="2" t="str">
        <f>HYPERLINK("http://ts.21cn.com/tousu/show/id/1336241","http://ts.21cn.com/tousu/show/id/1336241")</f>
        <v>http://ts.21cn.com/tousu/show/id/1336241</v>
      </c>
      <c r="F5411" s="2" t="s">
        <v>11</v>
      </c>
      <c r="G5411" s="2" t="s">
        <v>33507</v>
      </c>
      <c r="H5411" s="2" t="s">
        <v>33508</v>
      </c>
    </row>
    <row r="5412" spans="1:8" ht="25.05" customHeight="1" x14ac:dyDescent="0.25">
      <c r="A5412" s="2" t="s">
        <v>8</v>
      </c>
      <c r="B5412" s="2" t="str">
        <f>HYPERLINK("http://ts.21cn.com/tousu/show/id/1336242","新浪支付为高利贷小象优品提供放款渠道")</f>
        <v>新浪支付为高利贷小象优品提供放款渠道</v>
      </c>
      <c r="C5412" s="2" t="s">
        <v>9</v>
      </c>
      <c r="D5412" s="2" t="s">
        <v>10</v>
      </c>
      <c r="E5412" s="2" t="str">
        <f>HYPERLINK("http://ts.21cn.com/tousu/show/id/1336242","http://ts.21cn.com/tousu/show/id/1336242")</f>
        <v>http://ts.21cn.com/tousu/show/id/1336242</v>
      </c>
      <c r="F5412" s="2" t="s">
        <v>11</v>
      </c>
      <c r="G5412" s="2" t="s">
        <v>33505</v>
      </c>
      <c r="H5412" s="2" t="s">
        <v>33506</v>
      </c>
    </row>
    <row r="5413" spans="1:8" ht="25.05" customHeight="1" x14ac:dyDescent="0.25">
      <c r="A5413" s="2" t="s">
        <v>8</v>
      </c>
      <c r="B5413" s="2" t="str">
        <f>HYPERLINK("http://ts.21cn.com/tousu/show/id/1336244","砍头息")</f>
        <v>砍头息</v>
      </c>
      <c r="C5413" s="2" t="s">
        <v>34</v>
      </c>
      <c r="D5413" s="2" t="s">
        <v>10</v>
      </c>
      <c r="E5413" s="2" t="str">
        <f>HYPERLINK("http://ts.21cn.com/tousu/show/id/1336244","http://ts.21cn.com/tousu/show/id/1336244")</f>
        <v>http://ts.21cn.com/tousu/show/id/1336244</v>
      </c>
      <c r="F5413" s="2" t="s">
        <v>11</v>
      </c>
      <c r="G5413" s="2" t="s">
        <v>33502</v>
      </c>
      <c r="H5413" s="2" t="s">
        <v>33503</v>
      </c>
    </row>
    <row r="5414" spans="1:8" ht="25.05" customHeight="1" x14ac:dyDescent="0.25">
      <c r="A5414" s="2" t="s">
        <v>8</v>
      </c>
      <c r="B5414" s="2" t="str">
        <f>HYPERLINK("http://ts.21cn.com/tousu/show/id/1336243","有用分期高利贷超利贷")</f>
        <v>有用分期高利贷超利贷</v>
      </c>
      <c r="C5414" s="2" t="s">
        <v>9</v>
      </c>
      <c r="D5414" s="2" t="s">
        <v>10</v>
      </c>
      <c r="E5414" s="2" t="str">
        <f>HYPERLINK("http://ts.21cn.com/tousu/show/id/1336243","http://ts.21cn.com/tousu/show/id/1336243")</f>
        <v>http://ts.21cn.com/tousu/show/id/1336243</v>
      </c>
      <c r="F5414" s="2" t="s">
        <v>11</v>
      </c>
      <c r="G5414" s="2" t="s">
        <v>33502</v>
      </c>
      <c r="H5414" s="2" t="s">
        <v>33504</v>
      </c>
    </row>
    <row r="5415" spans="1:8" ht="25.05" customHeight="1" x14ac:dyDescent="0.25">
      <c r="A5415" s="2" t="s">
        <v>8</v>
      </c>
      <c r="B5415" s="2" t="str">
        <f>HYPERLINK("http://ts.21cn.com/tousu/show/id/1336245","闪银瞬瞬哼哼申请延期")</f>
        <v>闪银瞬瞬哼哼申请延期</v>
      </c>
      <c r="C5415" s="2" t="s">
        <v>9</v>
      </c>
      <c r="D5415" s="2" t="s">
        <v>10</v>
      </c>
      <c r="E5415" s="2" t="str">
        <f>HYPERLINK("http://ts.21cn.com/tousu/show/id/1336245","http://ts.21cn.com/tousu/show/id/1336245")</f>
        <v>http://ts.21cn.com/tousu/show/id/1336245</v>
      </c>
      <c r="F5415" s="2" t="s">
        <v>11</v>
      </c>
      <c r="G5415" s="2" t="s">
        <v>33500</v>
      </c>
      <c r="H5415" s="2" t="s">
        <v>33501</v>
      </c>
    </row>
    <row r="5416" spans="1:8" ht="25.05" customHeight="1" x14ac:dyDescent="0.25">
      <c r="A5416" s="2" t="s">
        <v>8</v>
      </c>
      <c r="B5416" s="2" t="str">
        <f>HYPERLINK("http://ts.21cn.com/tousu/show/id/1336246","小黑鱼用私人电话辱骂套路贷借2300实际到账1971")</f>
        <v>小黑鱼用私人电话辱骂套路贷借2300实际到账1971</v>
      </c>
      <c r="C5416" s="2" t="s">
        <v>9</v>
      </c>
      <c r="D5416" s="2" t="s">
        <v>10</v>
      </c>
      <c r="E5416" s="2" t="str">
        <f>HYPERLINK("http://ts.21cn.com/tousu/show/id/1336246","http://ts.21cn.com/tousu/show/id/1336246")</f>
        <v>http://ts.21cn.com/tousu/show/id/1336246</v>
      </c>
      <c r="F5416" s="2" t="s">
        <v>11</v>
      </c>
      <c r="G5416" s="2" t="s">
        <v>33498</v>
      </c>
      <c r="H5416" s="2" t="s">
        <v>33499</v>
      </c>
    </row>
    <row r="5417" spans="1:8" ht="25.05" customHeight="1" x14ac:dyDescent="0.25">
      <c r="A5417" s="2" t="s">
        <v>8</v>
      </c>
      <c r="B5417" s="2" t="str">
        <f>HYPERLINK("http://ts.21cn.com/tousu/show/id/1336249","立借做违规支付")</f>
        <v>立借做违规支付</v>
      </c>
      <c r="C5417" s="2" t="s">
        <v>9</v>
      </c>
      <c r="D5417" s="2" t="s">
        <v>10</v>
      </c>
      <c r="E5417" s="2" t="str">
        <f>HYPERLINK("http://ts.21cn.com/tousu/show/id/1336249","http://ts.21cn.com/tousu/show/id/1336249")</f>
        <v>http://ts.21cn.com/tousu/show/id/1336249</v>
      </c>
      <c r="F5417" s="2" t="s">
        <v>11</v>
      </c>
      <c r="G5417" s="2" t="s">
        <v>33496</v>
      </c>
      <c r="H5417" s="2" t="s">
        <v>33497</v>
      </c>
    </row>
    <row r="5418" spans="1:8" ht="25.05" customHeight="1" x14ac:dyDescent="0.25">
      <c r="A5418" s="2" t="s">
        <v>8</v>
      </c>
      <c r="B5418" s="2" t="str">
        <f>HYPERLINK("http://ts.21cn.com/tousu/show/id/1336247","银谷惠普非谤贷款人")</f>
        <v>银谷惠普非谤贷款人</v>
      </c>
      <c r="C5418" s="2" t="s">
        <v>9</v>
      </c>
      <c r="D5418" s="2" t="s">
        <v>10</v>
      </c>
      <c r="E5418" s="2" t="str">
        <f>HYPERLINK("http://ts.21cn.com/tousu/show/id/1336247","http://ts.21cn.com/tousu/show/id/1336247")</f>
        <v>http://ts.21cn.com/tousu/show/id/1336247</v>
      </c>
      <c r="F5418" s="2" t="s">
        <v>11</v>
      </c>
      <c r="G5418" s="2" t="s">
        <v>33494</v>
      </c>
      <c r="H5418" s="2" t="s">
        <v>33495</v>
      </c>
    </row>
    <row r="5419" spans="1:8" ht="25.05" customHeight="1" x14ac:dyDescent="0.25">
      <c r="A5419" s="2" t="s">
        <v>8</v>
      </c>
      <c r="B5419" s="2" t="str">
        <f>HYPERLINK("http://ts.21cn.com/tousu/show/id/1336248","无理由的上门闹")</f>
        <v>无理由的上门闹</v>
      </c>
      <c r="C5419" s="2" t="s">
        <v>34</v>
      </c>
      <c r="D5419" s="2" t="s">
        <v>10</v>
      </c>
      <c r="E5419" s="2" t="str">
        <f>HYPERLINK("http://ts.21cn.com/tousu/show/id/1336248","http://ts.21cn.com/tousu/show/id/1336248")</f>
        <v>http://ts.21cn.com/tousu/show/id/1336248</v>
      </c>
      <c r="F5419" s="2" t="s">
        <v>11</v>
      </c>
      <c r="G5419" s="2" t="s">
        <v>33492</v>
      </c>
      <c r="H5419" s="2" t="s">
        <v>33493</v>
      </c>
    </row>
    <row r="5420" spans="1:8" ht="25.05" customHeight="1" x14ac:dyDescent="0.25">
      <c r="A5420" s="2" t="s">
        <v>8</v>
      </c>
      <c r="B5420" s="2" t="str">
        <f>HYPERLINK("http://ts.21cn.com/tousu/show/id/1336250","恐怖催收")</f>
        <v>恐怖催收</v>
      </c>
      <c r="C5420" s="2" t="s">
        <v>9</v>
      </c>
      <c r="D5420" s="2" t="s">
        <v>10</v>
      </c>
      <c r="E5420" s="2" t="str">
        <f>HYPERLINK("http://ts.21cn.com/tousu/show/id/1336250","http://ts.21cn.com/tousu/show/id/1336250")</f>
        <v>http://ts.21cn.com/tousu/show/id/1336250</v>
      </c>
      <c r="F5420" s="2" t="s">
        <v>11</v>
      </c>
      <c r="G5420" s="2" t="s">
        <v>33490</v>
      </c>
      <c r="H5420" s="2" t="s">
        <v>33491</v>
      </c>
    </row>
    <row r="5421" spans="1:8" ht="25.05" customHeight="1" x14ac:dyDescent="0.25">
      <c r="A5421" s="2" t="s">
        <v>8</v>
      </c>
      <c r="B5421" s="2" t="str">
        <f>HYPERLINK("http://ts.21cn.com/tousu/show/id/1336251","闪银平台商品贷借款结果平台方单方面违约，拒不发货，虚假宣传，性质太恶劣，")</f>
        <v>闪银平台商品贷借款结果平台方单方面违约，拒不发货，虚假宣传，性质太恶劣，</v>
      </c>
      <c r="C5421" s="2" t="s">
        <v>9</v>
      </c>
      <c r="D5421" s="2" t="s">
        <v>10</v>
      </c>
      <c r="E5421" s="2" t="str">
        <f>HYPERLINK("http://ts.21cn.com/tousu/show/id/1336251","http://ts.21cn.com/tousu/show/id/1336251")</f>
        <v>http://ts.21cn.com/tousu/show/id/1336251</v>
      </c>
      <c r="F5421" s="2" t="s">
        <v>11</v>
      </c>
      <c r="G5421" s="2" t="s">
        <v>33488</v>
      </c>
      <c r="H5421" s="2" t="s">
        <v>33489</v>
      </c>
    </row>
    <row r="5422" spans="1:8" ht="25.05" customHeight="1" x14ac:dyDescent="0.25">
      <c r="A5422" s="2" t="s">
        <v>8</v>
      </c>
      <c r="B5422" s="2" t="str">
        <f>HYPERLINK("http://ts.21cn.com/tousu/show/id/1336252","骚扰")</f>
        <v>骚扰</v>
      </c>
      <c r="C5422" s="2" t="s">
        <v>9</v>
      </c>
      <c r="D5422" s="2" t="s">
        <v>10</v>
      </c>
      <c r="E5422" s="2" t="str">
        <f>HYPERLINK("http://ts.21cn.com/tousu/show/id/1336252","http://ts.21cn.com/tousu/show/id/1336252")</f>
        <v>http://ts.21cn.com/tousu/show/id/1336252</v>
      </c>
      <c r="F5422" s="2" t="s">
        <v>11</v>
      </c>
      <c r="G5422" s="2" t="s">
        <v>33486</v>
      </c>
      <c r="H5422" s="2" t="s">
        <v>33487</v>
      </c>
    </row>
    <row r="5423" spans="1:8" ht="25.05" customHeight="1" x14ac:dyDescent="0.25">
      <c r="A5423" s="2" t="s">
        <v>8</v>
      </c>
      <c r="B5423" s="2" t="str">
        <f>HYPERLINK("http://ts.21cn.com/tousu/show/id/1336253","恐吓骚扰，")</f>
        <v>恐吓骚扰，</v>
      </c>
      <c r="C5423" s="2" t="s">
        <v>9</v>
      </c>
      <c r="D5423" s="2" t="s">
        <v>10</v>
      </c>
      <c r="E5423" s="2" t="str">
        <f>HYPERLINK("http://ts.21cn.com/tousu/show/id/1336253","http://ts.21cn.com/tousu/show/id/1336253")</f>
        <v>http://ts.21cn.com/tousu/show/id/1336253</v>
      </c>
      <c r="F5423" s="2" t="s">
        <v>11</v>
      </c>
      <c r="G5423" s="2" t="s">
        <v>33484</v>
      </c>
      <c r="H5423" s="2" t="s">
        <v>33485</v>
      </c>
    </row>
    <row r="5424" spans="1:8" ht="25.05" customHeight="1" x14ac:dyDescent="0.25">
      <c r="A5424" s="2" t="s">
        <v>8</v>
      </c>
      <c r="B5424" s="2" t="str">
        <f>HYPERLINK("http://ts.21cn.com/tousu/show/id/1336254","高利贷，砍头息，暴力催收，侮辱通讯录好友")</f>
        <v>高利贷，砍头息，暴力催收，侮辱通讯录好友</v>
      </c>
      <c r="C5424" s="2" t="s">
        <v>9</v>
      </c>
      <c r="D5424" s="2" t="s">
        <v>10</v>
      </c>
      <c r="E5424" s="2" t="str">
        <f>HYPERLINK("http://ts.21cn.com/tousu/show/id/1336254","http://ts.21cn.com/tousu/show/id/1336254")</f>
        <v>http://ts.21cn.com/tousu/show/id/1336254</v>
      </c>
      <c r="F5424" s="2" t="s">
        <v>11</v>
      </c>
      <c r="G5424" s="2" t="s">
        <v>33482</v>
      </c>
      <c r="H5424" s="2" t="s">
        <v>33483</v>
      </c>
    </row>
    <row r="5425" spans="1:8" ht="25.05" customHeight="1" x14ac:dyDescent="0.25">
      <c r="A5425" s="2" t="s">
        <v>8</v>
      </c>
      <c r="B5425" s="2" t="str">
        <f>HYPERLINK("http://ts.21cn.com/tousu/show/id/1336255","京东售后问题")</f>
        <v>京东售后问题</v>
      </c>
      <c r="C5425" s="2" t="s">
        <v>9</v>
      </c>
      <c r="D5425" s="2" t="s">
        <v>10</v>
      </c>
      <c r="E5425" s="2" t="str">
        <f>HYPERLINK("http://ts.21cn.com/tousu/show/id/1336255","http://ts.21cn.com/tousu/show/id/1336255")</f>
        <v>http://ts.21cn.com/tousu/show/id/1336255</v>
      </c>
      <c r="F5425" s="2" t="s">
        <v>11</v>
      </c>
      <c r="G5425" s="2" t="s">
        <v>33480</v>
      </c>
      <c r="H5425" s="2" t="s">
        <v>33481</v>
      </c>
    </row>
    <row r="5426" spans="1:8" ht="25.05" customHeight="1" x14ac:dyDescent="0.25">
      <c r="A5426" s="2" t="s">
        <v>8</v>
      </c>
      <c r="B5426" s="2" t="str">
        <f>HYPERLINK("http://ts.21cn.com/tousu/show/id/1336256","51人品贷黑心高利贷，暴利催收骚扰联系人")</f>
        <v>51人品贷黑心高利贷，暴利催收骚扰联系人</v>
      </c>
      <c r="C5426" s="2" t="s">
        <v>9</v>
      </c>
      <c r="D5426" s="2" t="s">
        <v>10</v>
      </c>
      <c r="E5426" s="2" t="str">
        <f>HYPERLINK("http://ts.21cn.com/tousu/show/id/1336256","http://ts.21cn.com/tousu/show/id/1336256")</f>
        <v>http://ts.21cn.com/tousu/show/id/1336256</v>
      </c>
      <c r="F5426" s="2" t="s">
        <v>11</v>
      </c>
      <c r="G5426" s="2" t="s">
        <v>33478</v>
      </c>
      <c r="H5426" s="2" t="s">
        <v>33479</v>
      </c>
    </row>
    <row r="5427" spans="1:8" ht="25.05" customHeight="1" x14ac:dyDescent="0.25">
      <c r="A5427" s="2" t="s">
        <v>8</v>
      </c>
      <c r="B5427" s="2" t="str">
        <f>HYPERLINK("http://ts.21cn.com/tousu/show/id/1336258","盗取通讯录骚扰电话")</f>
        <v>盗取通讯录骚扰电话</v>
      </c>
      <c r="C5427" s="2" t="s">
        <v>9</v>
      </c>
      <c r="D5427" s="2" t="s">
        <v>10</v>
      </c>
      <c r="E5427" s="2" t="str">
        <f>HYPERLINK("http://ts.21cn.com/tousu/show/id/1336258","http://ts.21cn.com/tousu/show/id/1336258")</f>
        <v>http://ts.21cn.com/tousu/show/id/1336258</v>
      </c>
      <c r="F5427" s="2" t="s">
        <v>11</v>
      </c>
      <c r="G5427" s="2" t="s">
        <v>33476</v>
      </c>
      <c r="H5427" s="2" t="s">
        <v>33477</v>
      </c>
    </row>
    <row r="5428" spans="1:8" ht="25.05" customHeight="1" x14ac:dyDescent="0.25">
      <c r="A5428" s="2" t="s">
        <v>8</v>
      </c>
      <c r="B5428" s="2" t="str">
        <f>HYPERLINK("http://ts.21cn.com/tousu/show/id/1336207","Takeitorleaveit！不支持7天无理由退货≈不能完全退货京东及其第三方商家包赚不赔的销售手法")</f>
        <v>Takeitorleaveit！不支持7天无理由退货≈不能完全退货京东及其第三方商家包赚不赔的销售手法</v>
      </c>
      <c r="C5428" s="2" t="s">
        <v>34</v>
      </c>
      <c r="D5428" s="2" t="s">
        <v>10</v>
      </c>
      <c r="E5428" s="2" t="str">
        <f>HYPERLINK("http://ts.21cn.com/tousu/show/id/1336207","http://ts.21cn.com/tousu/show/id/1336207")</f>
        <v>http://ts.21cn.com/tousu/show/id/1336207</v>
      </c>
      <c r="F5428" s="2" t="s">
        <v>11</v>
      </c>
      <c r="G5428" s="2" t="s">
        <v>33473</v>
      </c>
      <c r="H5428" s="2" t="s">
        <v>33474</v>
      </c>
    </row>
    <row r="5429" spans="1:8" ht="25.05" customHeight="1" x14ac:dyDescent="0.25">
      <c r="A5429" s="2" t="s">
        <v>8</v>
      </c>
      <c r="B5429" s="2" t="str">
        <f>HYPERLINK("http://ts.21cn.com/tousu/show/id/1336257","境外非法赌博")</f>
        <v>境外非法赌博</v>
      </c>
      <c r="C5429" s="2" t="s">
        <v>9</v>
      </c>
      <c r="D5429" s="2" t="s">
        <v>10</v>
      </c>
      <c r="E5429" s="2" t="str">
        <f>HYPERLINK("http://ts.21cn.com/tousu/show/id/1336257","http://ts.21cn.com/tousu/show/id/1336257")</f>
        <v>http://ts.21cn.com/tousu/show/id/1336257</v>
      </c>
      <c r="F5429" s="2" t="s">
        <v>11</v>
      </c>
      <c r="G5429" s="2" t="s">
        <v>33473</v>
      </c>
      <c r="H5429" s="2" t="s">
        <v>33475</v>
      </c>
    </row>
    <row r="5430" spans="1:8" ht="25.05" customHeight="1" x14ac:dyDescent="0.25">
      <c r="A5430" s="2" t="s">
        <v>8</v>
      </c>
      <c r="B5430" s="2" t="str">
        <f>HYPERLINK("http://ts.21cn.com/tousu/show/id/1336259","叮当想花（想花乐）有恃无恐，高额砍头息和阴阳合同")</f>
        <v>叮当想花（想花乐）有恃无恐，高额砍头息和阴阳合同</v>
      </c>
      <c r="C5430" s="2" t="s">
        <v>9</v>
      </c>
      <c r="D5430" s="2" t="s">
        <v>10</v>
      </c>
      <c r="E5430" s="2" t="str">
        <f>HYPERLINK("http://ts.21cn.com/tousu/show/id/1336259","http://ts.21cn.com/tousu/show/id/1336259")</f>
        <v>http://ts.21cn.com/tousu/show/id/1336259</v>
      </c>
      <c r="F5430" s="2" t="s">
        <v>11</v>
      </c>
      <c r="G5430" s="2" t="s">
        <v>33471</v>
      </c>
      <c r="H5430" s="2" t="s">
        <v>33472</v>
      </c>
    </row>
    <row r="5431" spans="1:8" ht="25.05" customHeight="1" x14ac:dyDescent="0.25">
      <c r="A5431" s="2" t="s">
        <v>8</v>
      </c>
      <c r="B5431" s="2" t="str">
        <f>HYPERLINK("http://ts.21cn.com/tousu/show/id/1336260","买的冰箱太小，要退货购买时运费是我自己掏的，现在要退货运费还得自己掏，和客服沟通无果")</f>
        <v>买的冰箱太小，要退货购买时运费是我自己掏的，现在要退货运费还得自己掏，和客服沟通无果</v>
      </c>
      <c r="C5431" s="2" t="s">
        <v>9</v>
      </c>
      <c r="D5431" s="2" t="s">
        <v>10</v>
      </c>
      <c r="E5431" s="2" t="str">
        <f>HYPERLINK("http://ts.21cn.com/tousu/show/id/1336260","http://ts.21cn.com/tousu/show/id/1336260")</f>
        <v>http://ts.21cn.com/tousu/show/id/1336260</v>
      </c>
      <c r="F5431" s="2" t="s">
        <v>11</v>
      </c>
      <c r="G5431" s="2" t="s">
        <v>33469</v>
      </c>
      <c r="H5431" s="2" t="s">
        <v>33470</v>
      </c>
    </row>
    <row r="5432" spans="1:8" ht="25.05" customHeight="1" x14ac:dyDescent="0.25">
      <c r="A5432" s="2" t="s">
        <v>8</v>
      </c>
      <c r="B5432" s="2" t="str">
        <f>HYPERLINK("http://ts.21cn.com/tousu/show/id/1336261","钱站高利贷")</f>
        <v>钱站高利贷</v>
      </c>
      <c r="C5432" s="2" t="s">
        <v>9</v>
      </c>
      <c r="D5432" s="2" t="s">
        <v>10</v>
      </c>
      <c r="E5432" s="2" t="str">
        <f>HYPERLINK("http://ts.21cn.com/tousu/show/id/1336261","http://ts.21cn.com/tousu/show/id/1336261")</f>
        <v>http://ts.21cn.com/tousu/show/id/1336261</v>
      </c>
      <c r="F5432" s="2" t="s">
        <v>11</v>
      </c>
      <c r="G5432" s="2" t="s">
        <v>33467</v>
      </c>
      <c r="H5432" s="2" t="s">
        <v>33468</v>
      </c>
    </row>
    <row r="5433" spans="1:8" ht="25.05" customHeight="1" x14ac:dyDescent="0.25">
      <c r="A5433" s="2" t="s">
        <v>8</v>
      </c>
      <c r="B5433" s="2" t="str">
        <f>HYPERLINK("http://ts.21cn.com/tousu/show/id/1336238","中国移动宽带无法注销")</f>
        <v>中国移动宽带无法注销</v>
      </c>
      <c r="C5433" s="2" t="s">
        <v>9</v>
      </c>
      <c r="D5433" s="2" t="s">
        <v>10</v>
      </c>
      <c r="E5433" s="2" t="str">
        <f>HYPERLINK("http://ts.21cn.com/tousu/show/id/1336238","http://ts.21cn.com/tousu/show/id/1336238")</f>
        <v>http://ts.21cn.com/tousu/show/id/1336238</v>
      </c>
      <c r="F5433" s="2" t="s">
        <v>11</v>
      </c>
      <c r="G5433" s="2" t="s">
        <v>33465</v>
      </c>
      <c r="H5433" s="2" t="s">
        <v>33466</v>
      </c>
    </row>
    <row r="5434" spans="1:8" ht="25.05" customHeight="1" x14ac:dyDescent="0.25">
      <c r="A5434" s="2" t="s">
        <v>8</v>
      </c>
      <c r="B5434" s="2" t="str">
        <f>HYPERLINK("http://ts.21cn.com/tousu/show/id/1336264","高利贷，砍头息，套路贷！！！")</f>
        <v>高利贷，砍头息，套路贷！！！</v>
      </c>
      <c r="C5434" s="2" t="s">
        <v>9</v>
      </c>
      <c r="D5434" s="2" t="s">
        <v>10</v>
      </c>
      <c r="E5434" s="2" t="str">
        <f>HYPERLINK("http://ts.21cn.com/tousu/show/id/1336264","http://ts.21cn.com/tousu/show/id/1336264")</f>
        <v>http://ts.21cn.com/tousu/show/id/1336264</v>
      </c>
      <c r="F5434" s="2" t="s">
        <v>11</v>
      </c>
      <c r="G5434" s="2" t="s">
        <v>33463</v>
      </c>
      <c r="H5434" s="2" t="s">
        <v>33464</v>
      </c>
    </row>
    <row r="5435" spans="1:8" ht="25.05" customHeight="1" x14ac:dyDescent="0.25">
      <c r="A5435" s="2" t="s">
        <v>8</v>
      </c>
      <c r="B5435" s="2" t="str">
        <f>HYPERLINK("http://ts.21cn.com/tousu/show/id/1336262","及贷恶意盗用个人资料")</f>
        <v>及贷恶意盗用个人资料</v>
      </c>
      <c r="C5435" s="2" t="s">
        <v>9</v>
      </c>
      <c r="D5435" s="2" t="s">
        <v>10</v>
      </c>
      <c r="E5435" s="2" t="str">
        <f>HYPERLINK("http://ts.21cn.com/tousu/show/id/1336262","http://ts.21cn.com/tousu/show/id/1336262")</f>
        <v>http://ts.21cn.com/tousu/show/id/1336262</v>
      </c>
      <c r="F5435" s="2" t="s">
        <v>11</v>
      </c>
      <c r="G5435" s="2" t="s">
        <v>33461</v>
      </c>
      <c r="H5435" s="2" t="s">
        <v>33462</v>
      </c>
    </row>
    <row r="5436" spans="1:8" ht="25.05" customHeight="1" x14ac:dyDescent="0.25">
      <c r="A5436" s="2" t="s">
        <v>8</v>
      </c>
      <c r="B5436" s="2" t="str">
        <f>HYPERLINK("http://ts.21cn.com/tousu/show/id/1336263","小花钱包谩骂威胁")</f>
        <v>小花钱包谩骂威胁</v>
      </c>
      <c r="C5436" s="2" t="s">
        <v>9</v>
      </c>
      <c r="D5436" s="2" t="s">
        <v>10</v>
      </c>
      <c r="E5436" s="2" t="str">
        <f>HYPERLINK("http://ts.21cn.com/tousu/show/id/1336263","http://ts.21cn.com/tousu/show/id/1336263")</f>
        <v>http://ts.21cn.com/tousu/show/id/1336263</v>
      </c>
      <c r="F5436" s="2" t="s">
        <v>11</v>
      </c>
      <c r="G5436" s="2" t="s">
        <v>33459</v>
      </c>
      <c r="H5436" s="2" t="s">
        <v>33460</v>
      </c>
    </row>
    <row r="5437" spans="1:8" ht="25.05" customHeight="1" x14ac:dyDescent="0.25">
      <c r="A5437" s="2" t="s">
        <v>8</v>
      </c>
      <c r="B5437" s="2" t="str">
        <f>HYPERLINK("http://ts.21cn.com/tousu/show/id/1336265","信而富变相高利贷")</f>
        <v>信而富变相高利贷</v>
      </c>
      <c r="C5437" s="2" t="s">
        <v>9</v>
      </c>
      <c r="D5437" s="2" t="s">
        <v>10</v>
      </c>
      <c r="E5437" s="2" t="str">
        <f>HYPERLINK("http://ts.21cn.com/tousu/show/id/1336265","http://ts.21cn.com/tousu/show/id/1336265")</f>
        <v>http://ts.21cn.com/tousu/show/id/1336265</v>
      </c>
      <c r="F5437" s="2" t="s">
        <v>11</v>
      </c>
      <c r="G5437" s="2" t="s">
        <v>33457</v>
      </c>
      <c r="H5437" s="2" t="s">
        <v>33458</v>
      </c>
    </row>
    <row r="5438" spans="1:8" ht="25.05" customHeight="1" x14ac:dyDescent="0.25">
      <c r="A5438" s="2" t="s">
        <v>8</v>
      </c>
      <c r="B5438" s="2" t="str">
        <f>HYPERLINK("http://ts.21cn.com/tousu/show/id/1336266","平安银行暴力催收")</f>
        <v>平安银行暴力催收</v>
      </c>
      <c r="C5438" s="2" t="s">
        <v>9</v>
      </c>
      <c r="D5438" s="2" t="s">
        <v>10</v>
      </c>
      <c r="E5438" s="2" t="str">
        <f>HYPERLINK("http://ts.21cn.com/tousu/show/id/1336266","http://ts.21cn.com/tousu/show/id/1336266")</f>
        <v>http://ts.21cn.com/tousu/show/id/1336266</v>
      </c>
      <c r="F5438" s="2" t="s">
        <v>11</v>
      </c>
      <c r="G5438" s="2" t="s">
        <v>33455</v>
      </c>
      <c r="H5438" s="2" t="s">
        <v>33456</v>
      </c>
    </row>
    <row r="5439" spans="1:8" ht="25.05" customHeight="1" x14ac:dyDescent="0.25">
      <c r="A5439" s="2" t="s">
        <v>8</v>
      </c>
      <c r="B5439" s="2" t="str">
        <f>HYPERLINK("http://ts.21cn.com/tousu/show/id/1336267","贷款给妈妈看病")</f>
        <v>贷款给妈妈看病</v>
      </c>
      <c r="C5439" s="2" t="s">
        <v>34</v>
      </c>
      <c r="D5439" s="2" t="s">
        <v>10</v>
      </c>
      <c r="E5439" s="2" t="str">
        <f>HYPERLINK("http://ts.21cn.com/tousu/show/id/1336267","http://ts.21cn.com/tousu/show/id/1336267")</f>
        <v>http://ts.21cn.com/tousu/show/id/1336267</v>
      </c>
      <c r="F5439" s="2" t="s">
        <v>11</v>
      </c>
      <c r="G5439" s="2" t="s">
        <v>33453</v>
      </c>
      <c r="H5439" s="2" t="s">
        <v>33454</v>
      </c>
    </row>
    <row r="5440" spans="1:8" ht="25.05" customHeight="1" x14ac:dyDescent="0.25">
      <c r="A5440" s="2" t="s">
        <v>8</v>
      </c>
      <c r="B5440" s="2" t="str">
        <f>HYPERLINK("http://ts.21cn.com/tousu/show/id/1336268","捆绑购物现要求协商平台不同意")</f>
        <v>捆绑购物现要求协商平台不同意</v>
      </c>
      <c r="C5440" s="2" t="s">
        <v>9</v>
      </c>
      <c r="D5440" s="2" t="s">
        <v>10</v>
      </c>
      <c r="E5440" s="2" t="str">
        <f>HYPERLINK("http://ts.21cn.com/tousu/show/id/1336268","http://ts.21cn.com/tousu/show/id/1336268")</f>
        <v>http://ts.21cn.com/tousu/show/id/1336268</v>
      </c>
      <c r="F5440" s="2" t="s">
        <v>11</v>
      </c>
      <c r="G5440" s="2" t="s">
        <v>33451</v>
      </c>
      <c r="H5440" s="2" t="s">
        <v>33452</v>
      </c>
    </row>
    <row r="5441" spans="1:8" ht="25.05" customHeight="1" x14ac:dyDescent="0.25">
      <c r="A5441" s="2" t="s">
        <v>8</v>
      </c>
      <c r="B5441" s="2" t="str">
        <f>HYPERLINK("http://ts.21cn.com/tousu/show/id/1336270","腾安基金扣我500")</f>
        <v>腾安基金扣我500</v>
      </c>
      <c r="C5441" s="2" t="s">
        <v>9</v>
      </c>
      <c r="D5441" s="2" t="s">
        <v>10</v>
      </c>
      <c r="E5441" s="2" t="str">
        <f>HYPERLINK("http://ts.21cn.com/tousu/show/id/1336270","http://ts.21cn.com/tousu/show/id/1336270")</f>
        <v>http://ts.21cn.com/tousu/show/id/1336270</v>
      </c>
      <c r="F5441" s="2" t="s">
        <v>11</v>
      </c>
      <c r="G5441" s="2" t="s">
        <v>33449</v>
      </c>
      <c r="H5441" s="2" t="s">
        <v>33450</v>
      </c>
    </row>
    <row r="5442" spans="1:8" ht="25.05" customHeight="1" x14ac:dyDescent="0.25">
      <c r="A5442" s="2" t="s">
        <v>8</v>
      </c>
      <c r="B5442" s="2" t="str">
        <f>HYPERLINK("http://ts.21cn.com/tousu/show/id/1336269","携程借去花暴力催收")</f>
        <v>携程借去花暴力催收</v>
      </c>
      <c r="C5442" s="2" t="s">
        <v>9</v>
      </c>
      <c r="D5442" s="2" t="s">
        <v>10</v>
      </c>
      <c r="E5442" s="2" t="str">
        <f>HYPERLINK("http://ts.21cn.com/tousu/show/id/1336269","http://ts.21cn.com/tousu/show/id/1336269")</f>
        <v>http://ts.21cn.com/tousu/show/id/1336269</v>
      </c>
      <c r="F5442" s="2" t="s">
        <v>11</v>
      </c>
      <c r="G5442" s="2" t="s">
        <v>33447</v>
      </c>
      <c r="H5442" s="2" t="s">
        <v>33448</v>
      </c>
    </row>
    <row r="5443" spans="1:8" ht="25.05" customHeight="1" x14ac:dyDescent="0.25">
      <c r="A5443" s="2" t="s">
        <v>8</v>
      </c>
      <c r="B5443" s="2" t="str">
        <f>HYPERLINK("http://ts.21cn.com/tousu/show/id/1336271","砍头息app登录不上")</f>
        <v>砍头息app登录不上</v>
      </c>
      <c r="C5443" s="2" t="s">
        <v>9</v>
      </c>
      <c r="D5443" s="2" t="s">
        <v>10</v>
      </c>
      <c r="E5443" s="2" t="str">
        <f>HYPERLINK("http://ts.21cn.com/tousu/show/id/1336271","http://ts.21cn.com/tousu/show/id/1336271")</f>
        <v>http://ts.21cn.com/tousu/show/id/1336271</v>
      </c>
      <c r="F5443" s="2" t="s">
        <v>11</v>
      </c>
      <c r="G5443" s="2" t="s">
        <v>33445</v>
      </c>
      <c r="H5443" s="2" t="s">
        <v>33446</v>
      </c>
    </row>
    <row r="5444" spans="1:8" ht="25.05" customHeight="1" x14ac:dyDescent="0.25">
      <c r="A5444" s="2" t="s">
        <v>8</v>
      </c>
      <c r="B5444" s="2" t="str">
        <f>HYPERLINK("http://ts.21cn.com/tousu/show/id/1336272","近期资金困难，协商分期还款")</f>
        <v>近期资金困难，协商分期还款</v>
      </c>
      <c r="C5444" s="2" t="s">
        <v>34</v>
      </c>
      <c r="D5444" s="2" t="s">
        <v>10</v>
      </c>
      <c r="E5444" s="2" t="str">
        <f>HYPERLINK("http://ts.21cn.com/tousu/show/id/1336272","http://ts.21cn.com/tousu/show/id/1336272")</f>
        <v>http://ts.21cn.com/tousu/show/id/1336272</v>
      </c>
      <c r="F5444" s="2" t="s">
        <v>11</v>
      </c>
      <c r="G5444" s="2" t="s">
        <v>33443</v>
      </c>
      <c r="H5444" s="2" t="s">
        <v>33444</v>
      </c>
    </row>
    <row r="5445" spans="1:8" ht="25.05" customHeight="1" x14ac:dyDescent="0.25">
      <c r="A5445" s="2" t="s">
        <v>8</v>
      </c>
      <c r="B5445" s="2" t="str">
        <f>HYPERLINK("http://ts.21cn.com/tousu/show/id/1336273","饿了么蜂鸟众包无辜封禁账号")</f>
        <v>饿了么蜂鸟众包无辜封禁账号</v>
      </c>
      <c r="C5445" s="2" t="s">
        <v>9</v>
      </c>
      <c r="D5445" s="2" t="s">
        <v>10</v>
      </c>
      <c r="E5445" s="2" t="str">
        <f>HYPERLINK("http://ts.21cn.com/tousu/show/id/1336273","http://ts.21cn.com/tousu/show/id/1336273")</f>
        <v>http://ts.21cn.com/tousu/show/id/1336273</v>
      </c>
      <c r="F5445" s="2" t="s">
        <v>11</v>
      </c>
      <c r="G5445" s="2" t="s">
        <v>33441</v>
      </c>
      <c r="H5445" s="2" t="s">
        <v>33442</v>
      </c>
    </row>
    <row r="5446" spans="1:8" ht="25.05" customHeight="1" x14ac:dyDescent="0.25">
      <c r="A5446" s="2" t="s">
        <v>8</v>
      </c>
      <c r="B5446" s="2" t="str">
        <f>HYPERLINK("http://ts.21cn.com/tousu/show/id/1336274","暴力催收，侮辱人")</f>
        <v>暴力催收，侮辱人</v>
      </c>
      <c r="C5446" s="2" t="s">
        <v>9</v>
      </c>
      <c r="D5446" s="2" t="s">
        <v>10</v>
      </c>
      <c r="E5446" s="2" t="str">
        <f>HYPERLINK("http://ts.21cn.com/tousu/show/id/1336274","http://ts.21cn.com/tousu/show/id/1336274")</f>
        <v>http://ts.21cn.com/tousu/show/id/1336274</v>
      </c>
      <c r="F5446" s="2" t="s">
        <v>11</v>
      </c>
      <c r="G5446" s="2" t="s">
        <v>33439</v>
      </c>
      <c r="H5446" s="2" t="s">
        <v>33440</v>
      </c>
    </row>
    <row r="5447" spans="1:8" ht="25.05" customHeight="1" x14ac:dyDescent="0.25">
      <c r="A5447" s="2" t="s">
        <v>8</v>
      </c>
      <c r="B5447" s="2" t="str">
        <f>HYPERLINK("http://ts.21cn.com/tousu/show/id/1336275","小象优品暴力催收，群发信息骚扰")</f>
        <v>小象优品暴力催收，群发信息骚扰</v>
      </c>
      <c r="C5447" s="2" t="s">
        <v>9</v>
      </c>
      <c r="D5447" s="2" t="s">
        <v>10</v>
      </c>
      <c r="E5447" s="2" t="str">
        <f>HYPERLINK("http://ts.21cn.com/tousu/show/id/1336275","http://ts.21cn.com/tousu/show/id/1336275")</f>
        <v>http://ts.21cn.com/tousu/show/id/1336275</v>
      </c>
      <c r="F5447" s="2" t="s">
        <v>11</v>
      </c>
      <c r="G5447" s="2" t="s">
        <v>33437</v>
      </c>
      <c r="H5447" s="2" t="s">
        <v>33438</v>
      </c>
    </row>
    <row r="5448" spans="1:8" ht="25.05" customHeight="1" x14ac:dyDescent="0.25">
      <c r="A5448" s="2" t="s">
        <v>8</v>
      </c>
      <c r="B5448" s="2" t="str">
        <f>HYPERLINK("http://ts.21cn.com/tousu/show/id/1336277","714高炮")</f>
        <v>714高炮</v>
      </c>
      <c r="C5448" s="2" t="s">
        <v>9</v>
      </c>
      <c r="D5448" s="2" t="s">
        <v>10</v>
      </c>
      <c r="E5448" s="2" t="str">
        <f>HYPERLINK("http://ts.21cn.com/tousu/show/id/1336277","http://ts.21cn.com/tousu/show/id/1336277")</f>
        <v>http://ts.21cn.com/tousu/show/id/1336277</v>
      </c>
      <c r="F5448" s="2" t="s">
        <v>11</v>
      </c>
      <c r="G5448" s="2" t="s">
        <v>33435</v>
      </c>
      <c r="H5448" s="2" t="s">
        <v>33436</v>
      </c>
    </row>
    <row r="5449" spans="1:8" ht="25.05" customHeight="1" x14ac:dyDescent="0.25">
      <c r="A5449" s="2" t="s">
        <v>8</v>
      </c>
      <c r="B5449" s="2" t="str">
        <f>HYPERLINK("http://ts.21cn.com/tousu/show/id/1336276","拍拍贷转卖账户及电话骚扰通讯录")</f>
        <v>拍拍贷转卖账户及电话骚扰通讯录</v>
      </c>
      <c r="C5449" s="2" t="s">
        <v>9</v>
      </c>
      <c r="D5449" s="2" t="s">
        <v>10</v>
      </c>
      <c r="E5449" s="2" t="str">
        <f>HYPERLINK("http://ts.21cn.com/tousu/show/id/1336276","http://ts.21cn.com/tousu/show/id/1336276")</f>
        <v>http://ts.21cn.com/tousu/show/id/1336276</v>
      </c>
      <c r="F5449" s="2" t="s">
        <v>11</v>
      </c>
      <c r="G5449" s="2" t="s">
        <v>33433</v>
      </c>
      <c r="H5449" s="2" t="s">
        <v>33434</v>
      </c>
    </row>
    <row r="5450" spans="1:8" ht="25.05" customHeight="1" x14ac:dyDescent="0.25">
      <c r="A5450" s="2" t="s">
        <v>8</v>
      </c>
      <c r="B5450" s="2" t="str">
        <f>HYPERLINK("http://ts.21cn.com/tousu/show/id/1336278","我在美团定了酒店，提前取消不给取消，必须让我入住，重庆这边雨大，不能赶到那个酒店，但是美团和酒店都不给退，不知道怎么解决")</f>
        <v>我在美团定了酒店，提前取消不给取消，必须让我入住，重庆这边雨大，不能赶到那个酒店，但是美团和酒店都不给退，不知道怎么解决</v>
      </c>
      <c r="C5450" s="2" t="s">
        <v>9</v>
      </c>
      <c r="D5450" s="2" t="s">
        <v>10</v>
      </c>
      <c r="E5450" s="2" t="str">
        <f>HYPERLINK("http://ts.21cn.com/tousu/show/id/1336278","http://ts.21cn.com/tousu/show/id/1336278")</f>
        <v>http://ts.21cn.com/tousu/show/id/1336278</v>
      </c>
      <c r="F5450" s="2" t="s">
        <v>11</v>
      </c>
      <c r="G5450" s="2" t="s">
        <v>33431</v>
      </c>
      <c r="H5450" s="2" t="s">
        <v>33432</v>
      </c>
    </row>
    <row r="5451" spans="1:8" ht="25.05" customHeight="1" x14ac:dyDescent="0.25">
      <c r="A5451" s="2" t="s">
        <v>8</v>
      </c>
      <c r="B5451" s="2" t="str">
        <f>HYPERLINK("http://ts.21cn.com/tousu/show/id/1336279","催收威胁骚扰无关亲友")</f>
        <v>催收威胁骚扰无关亲友</v>
      </c>
      <c r="C5451" s="2" t="s">
        <v>9</v>
      </c>
      <c r="D5451" s="2" t="s">
        <v>10</v>
      </c>
      <c r="E5451" s="2" t="str">
        <f>HYPERLINK("http://ts.21cn.com/tousu/show/id/1336279","http://ts.21cn.com/tousu/show/id/1336279")</f>
        <v>http://ts.21cn.com/tousu/show/id/1336279</v>
      </c>
      <c r="F5451" s="2" t="s">
        <v>11</v>
      </c>
      <c r="G5451" s="2" t="s">
        <v>33429</v>
      </c>
      <c r="H5451" s="2" t="s">
        <v>33430</v>
      </c>
    </row>
    <row r="5452" spans="1:8" ht="25.05" customHeight="1" x14ac:dyDescent="0.25">
      <c r="A5452" s="2" t="s">
        <v>8</v>
      </c>
      <c r="B5452" s="2" t="str">
        <f>HYPERLINK("http://ts.21cn.com/tousu/show/id/1336281","钱站高利贷阴阳合同")</f>
        <v>钱站高利贷阴阳合同</v>
      </c>
      <c r="C5452" s="2" t="s">
        <v>9</v>
      </c>
      <c r="D5452" s="2" t="s">
        <v>10</v>
      </c>
      <c r="E5452" s="2" t="str">
        <f>HYPERLINK("http://ts.21cn.com/tousu/show/id/1336281","http://ts.21cn.com/tousu/show/id/1336281")</f>
        <v>http://ts.21cn.com/tousu/show/id/1336281</v>
      </c>
      <c r="F5452" s="2" t="s">
        <v>11</v>
      </c>
      <c r="G5452" s="2" t="s">
        <v>33427</v>
      </c>
      <c r="H5452" s="2" t="s">
        <v>33428</v>
      </c>
    </row>
    <row r="5453" spans="1:8" ht="25.05" customHeight="1" x14ac:dyDescent="0.25">
      <c r="A5453" s="2" t="s">
        <v>8</v>
      </c>
      <c r="B5453" s="2" t="str">
        <f>HYPERLINK("http://ts.21cn.com/tousu/show/id/1336280","拍拍贷还完本金和百分之24利息还恶意催收")</f>
        <v>拍拍贷还完本金和百分之24利息还恶意催收</v>
      </c>
      <c r="C5453" s="2" t="s">
        <v>9</v>
      </c>
      <c r="D5453" s="2" t="s">
        <v>10</v>
      </c>
      <c r="E5453" s="2" t="str">
        <f>HYPERLINK("http://ts.21cn.com/tousu/show/id/1336280","http://ts.21cn.com/tousu/show/id/1336280")</f>
        <v>http://ts.21cn.com/tousu/show/id/1336280</v>
      </c>
      <c r="F5453" s="2" t="s">
        <v>11</v>
      </c>
      <c r="G5453" s="2" t="s">
        <v>33425</v>
      </c>
      <c r="H5453" s="2" t="s">
        <v>33426</v>
      </c>
    </row>
    <row r="5454" spans="1:8" ht="25.05" customHeight="1" x14ac:dyDescent="0.25">
      <c r="A5454" s="2" t="s">
        <v>8</v>
      </c>
      <c r="B5454" s="2" t="str">
        <f>HYPERLINK("http://ts.21cn.com/tousu/show/id/1336282","停止暴力催收")</f>
        <v>停止暴力催收</v>
      </c>
      <c r="C5454" s="2" t="s">
        <v>9</v>
      </c>
      <c r="D5454" s="2" t="s">
        <v>10</v>
      </c>
      <c r="E5454" s="2" t="str">
        <f>HYPERLINK("http://ts.21cn.com/tousu/show/id/1336282","http://ts.21cn.com/tousu/show/id/1336282")</f>
        <v>http://ts.21cn.com/tousu/show/id/1336282</v>
      </c>
      <c r="F5454" s="2" t="s">
        <v>11</v>
      </c>
      <c r="G5454" s="2" t="s">
        <v>33423</v>
      </c>
      <c r="H5454" s="2" t="s">
        <v>33424</v>
      </c>
    </row>
    <row r="5455" spans="1:8" ht="25.05" customHeight="1" x14ac:dyDescent="0.25">
      <c r="A5455" s="2" t="s">
        <v>8</v>
      </c>
      <c r="B5455" s="2" t="str">
        <f>HYPERLINK("http://ts.21cn.com/tousu/show/id/1336283","小花钱包暴力催收")</f>
        <v>小花钱包暴力催收</v>
      </c>
      <c r="C5455" s="2" t="s">
        <v>9</v>
      </c>
      <c r="D5455" s="2" t="s">
        <v>10</v>
      </c>
      <c r="E5455" s="2" t="str">
        <f>HYPERLINK("http://ts.21cn.com/tousu/show/id/1336283","http://ts.21cn.com/tousu/show/id/1336283")</f>
        <v>http://ts.21cn.com/tousu/show/id/1336283</v>
      </c>
      <c r="F5455" s="2" t="s">
        <v>11</v>
      </c>
      <c r="G5455" s="2" t="s">
        <v>33421</v>
      </c>
      <c r="H5455" s="2" t="s">
        <v>33422</v>
      </c>
    </row>
    <row r="5456" spans="1:8" ht="25.05" customHeight="1" x14ac:dyDescent="0.25">
      <c r="A5456" s="2" t="s">
        <v>8</v>
      </c>
      <c r="B5456" s="2" t="str">
        <f>HYPERLINK("http://ts.21cn.com/tousu/show/id/1336285","玖富万卡高利贷，阴阳合同")</f>
        <v>玖富万卡高利贷，阴阳合同</v>
      </c>
      <c r="C5456" s="2" t="s">
        <v>9</v>
      </c>
      <c r="D5456" s="2" t="s">
        <v>10</v>
      </c>
      <c r="E5456" s="2" t="str">
        <f>HYPERLINK("http://ts.21cn.com/tousu/show/id/1336285","http://ts.21cn.com/tousu/show/id/1336285")</f>
        <v>http://ts.21cn.com/tousu/show/id/1336285</v>
      </c>
      <c r="F5456" s="2" t="s">
        <v>11</v>
      </c>
      <c r="G5456" s="2" t="s">
        <v>33419</v>
      </c>
      <c r="H5456" s="2" t="s">
        <v>33420</v>
      </c>
    </row>
    <row r="5457" spans="1:8" ht="25.05" customHeight="1" x14ac:dyDescent="0.25">
      <c r="A5457" s="2" t="s">
        <v>8</v>
      </c>
      <c r="B5457" s="2" t="str">
        <f>HYPERLINK("http://ts.21cn.com/tousu/show/id/1336286","恶意报复，泄露个人信息，骚扰借款人亲戚朋友，严重影响他人生活")</f>
        <v>恶意报复，泄露个人信息，骚扰借款人亲戚朋友，严重影响他人生活</v>
      </c>
      <c r="C5457" s="2" t="s">
        <v>9</v>
      </c>
      <c r="D5457" s="2" t="s">
        <v>10</v>
      </c>
      <c r="E5457" s="2" t="str">
        <f>HYPERLINK("http://ts.21cn.com/tousu/show/id/1336286","http://ts.21cn.com/tousu/show/id/1336286")</f>
        <v>http://ts.21cn.com/tousu/show/id/1336286</v>
      </c>
      <c r="F5457" s="2" t="s">
        <v>11</v>
      </c>
      <c r="G5457" s="2" t="s">
        <v>33417</v>
      </c>
      <c r="H5457" s="2" t="s">
        <v>33418</v>
      </c>
    </row>
    <row r="5458" spans="1:8" ht="25.05" customHeight="1" x14ac:dyDescent="0.25">
      <c r="A5458" s="2" t="s">
        <v>8</v>
      </c>
      <c r="B5458" s="2" t="str">
        <f>HYPERLINK("http://ts.21cn.com/tousu/show/id/1336287","暴力语言催收")</f>
        <v>暴力语言催收</v>
      </c>
      <c r="C5458" s="2" t="s">
        <v>9</v>
      </c>
      <c r="D5458" s="2" t="s">
        <v>10</v>
      </c>
      <c r="E5458" s="2" t="str">
        <f>HYPERLINK("http://ts.21cn.com/tousu/show/id/1336287","http://ts.21cn.com/tousu/show/id/1336287")</f>
        <v>http://ts.21cn.com/tousu/show/id/1336287</v>
      </c>
      <c r="F5458" s="2" t="s">
        <v>11</v>
      </c>
      <c r="G5458" s="2" t="s">
        <v>33415</v>
      </c>
      <c r="H5458" s="2" t="s">
        <v>33416</v>
      </c>
    </row>
    <row r="5459" spans="1:8" ht="25.05" customHeight="1" x14ac:dyDescent="0.25">
      <c r="A5459" s="2" t="s">
        <v>8</v>
      </c>
      <c r="B5459" s="2" t="str">
        <f>HYPERLINK("http://ts.21cn.com/tousu/show/id/1336288","你我贷协商今日还款")</f>
        <v>你我贷协商今日还款</v>
      </c>
      <c r="C5459" s="2" t="s">
        <v>34</v>
      </c>
      <c r="D5459" s="2" t="s">
        <v>10</v>
      </c>
      <c r="E5459" s="2" t="str">
        <f>HYPERLINK("http://ts.21cn.com/tousu/show/id/1336288","http://ts.21cn.com/tousu/show/id/1336288")</f>
        <v>http://ts.21cn.com/tousu/show/id/1336288</v>
      </c>
      <c r="F5459" s="2" t="s">
        <v>11</v>
      </c>
      <c r="G5459" s="2" t="s">
        <v>33413</v>
      </c>
      <c r="H5459" s="2" t="s">
        <v>33414</v>
      </c>
    </row>
    <row r="5460" spans="1:8" ht="25.05" customHeight="1" x14ac:dyDescent="0.25">
      <c r="A5460" s="2" t="s">
        <v>8</v>
      </c>
      <c r="B5460" s="2" t="str">
        <f>HYPERLINK("http://ts.21cn.com/tousu/show/id/1336290","欺诈")</f>
        <v>欺诈</v>
      </c>
      <c r="C5460" s="2" t="s">
        <v>9</v>
      </c>
      <c r="D5460" s="2" t="s">
        <v>10</v>
      </c>
      <c r="E5460" s="2" t="str">
        <f>HYPERLINK("http://ts.21cn.com/tousu/show/id/1336290","http://ts.21cn.com/tousu/show/id/1336290")</f>
        <v>http://ts.21cn.com/tousu/show/id/1336290</v>
      </c>
      <c r="F5460" s="2" t="s">
        <v>11</v>
      </c>
      <c r="G5460" s="2" t="s">
        <v>33411</v>
      </c>
      <c r="H5460" s="2" t="s">
        <v>33412</v>
      </c>
    </row>
    <row r="5461" spans="1:8" ht="25.05" customHeight="1" x14ac:dyDescent="0.25">
      <c r="A5461" s="2" t="s">
        <v>8</v>
      </c>
      <c r="B5461" s="2" t="str">
        <f>HYPERLINK("http://ts.21cn.com/tousu/show/id/1336291","小浦优客胡乱扣款")</f>
        <v>小浦优客胡乱扣款</v>
      </c>
      <c r="C5461" s="2" t="s">
        <v>9</v>
      </c>
      <c r="D5461" s="2" t="s">
        <v>10</v>
      </c>
      <c r="E5461" s="2" t="str">
        <f>HYPERLINK("http://ts.21cn.com/tousu/show/id/1336291","http://ts.21cn.com/tousu/show/id/1336291")</f>
        <v>http://ts.21cn.com/tousu/show/id/1336291</v>
      </c>
      <c r="F5461" s="2" t="s">
        <v>11</v>
      </c>
      <c r="G5461" s="2" t="s">
        <v>33409</v>
      </c>
      <c r="H5461" s="2" t="s">
        <v>33410</v>
      </c>
    </row>
    <row r="5462" spans="1:8" ht="25.05" customHeight="1" x14ac:dyDescent="0.25">
      <c r="A5462" s="2" t="s">
        <v>8</v>
      </c>
      <c r="B5462" s="2" t="str">
        <f>HYPERLINK("http://ts.21cn.com/tousu/show/id/1336293","714高炮")</f>
        <v>714高炮</v>
      </c>
      <c r="C5462" s="2" t="s">
        <v>34</v>
      </c>
      <c r="D5462" s="2" t="s">
        <v>10</v>
      </c>
      <c r="E5462" s="2" t="str">
        <f>HYPERLINK("http://ts.21cn.com/tousu/show/id/1336293","http://ts.21cn.com/tousu/show/id/1336293")</f>
        <v>http://ts.21cn.com/tousu/show/id/1336293</v>
      </c>
      <c r="F5462" s="2" t="s">
        <v>11</v>
      </c>
      <c r="G5462" s="2" t="s">
        <v>33407</v>
      </c>
      <c r="H5462" s="2" t="s">
        <v>33408</v>
      </c>
    </row>
    <row r="5463" spans="1:8" ht="25.05" customHeight="1" x14ac:dyDescent="0.25">
      <c r="A5463" s="2" t="s">
        <v>8</v>
      </c>
      <c r="B5463" s="2" t="str">
        <f>HYPERLINK("http://ts.21cn.com/tousu/show/id/1336295","美团众包")</f>
        <v>美团众包</v>
      </c>
      <c r="C5463" s="2" t="s">
        <v>34</v>
      </c>
      <c r="D5463" s="2" t="s">
        <v>10</v>
      </c>
      <c r="E5463" s="2" t="str">
        <f>HYPERLINK("http://ts.21cn.com/tousu/show/id/1336295","http://ts.21cn.com/tousu/show/id/1336295")</f>
        <v>http://ts.21cn.com/tousu/show/id/1336295</v>
      </c>
      <c r="F5463" s="2" t="s">
        <v>11</v>
      </c>
      <c r="G5463" s="2" t="s">
        <v>33405</v>
      </c>
      <c r="H5463" s="2" t="s">
        <v>33406</v>
      </c>
    </row>
    <row r="5464" spans="1:8" ht="25.05" customHeight="1" x14ac:dyDescent="0.25">
      <c r="A5464" s="2" t="s">
        <v>8</v>
      </c>
      <c r="B5464" s="2" t="str">
        <f>HYPERLINK("http://ts.21cn.com/tousu/show/id/1336297","招联金融平台服务费")</f>
        <v>招联金融平台服务费</v>
      </c>
      <c r="C5464" s="2" t="s">
        <v>9</v>
      </c>
      <c r="D5464" s="2" t="s">
        <v>10</v>
      </c>
      <c r="E5464" s="2" t="str">
        <f>HYPERLINK("http://ts.21cn.com/tousu/show/id/1336297","http://ts.21cn.com/tousu/show/id/1336297")</f>
        <v>http://ts.21cn.com/tousu/show/id/1336297</v>
      </c>
      <c r="F5464" s="2" t="s">
        <v>11</v>
      </c>
      <c r="G5464" s="2" t="s">
        <v>33403</v>
      </c>
      <c r="H5464" s="2" t="s">
        <v>33404</v>
      </c>
    </row>
    <row r="5465" spans="1:8" ht="25.05" customHeight="1" x14ac:dyDescent="0.25">
      <c r="A5465" s="2" t="s">
        <v>8</v>
      </c>
      <c r="B5465" s="2" t="str">
        <f>HYPERLINK("http://ts.21cn.com/tousu/show/id/1336296","腾达无线网卡U6恶意收集客户上网记录")</f>
        <v>腾达无线网卡U6恶意收集客户上网记录</v>
      </c>
      <c r="C5465" s="2" t="s">
        <v>9</v>
      </c>
      <c r="D5465" s="2" t="s">
        <v>10</v>
      </c>
      <c r="E5465" s="2" t="str">
        <f>HYPERLINK("http://ts.21cn.com/tousu/show/id/1336296","http://ts.21cn.com/tousu/show/id/1336296")</f>
        <v>http://ts.21cn.com/tousu/show/id/1336296</v>
      </c>
      <c r="F5465" s="2" t="s">
        <v>11</v>
      </c>
      <c r="G5465" s="2" t="s">
        <v>33401</v>
      </c>
      <c r="H5465" s="2" t="s">
        <v>33402</v>
      </c>
    </row>
    <row r="5466" spans="1:8" ht="25.05" customHeight="1" x14ac:dyDescent="0.25">
      <c r="A5466" s="2" t="s">
        <v>8</v>
      </c>
      <c r="B5466" s="2" t="str">
        <f>HYPERLINK("http://ts.21cn.com/tousu/show/id/1336298","恶意仲裁")</f>
        <v>恶意仲裁</v>
      </c>
      <c r="C5466" s="2" t="s">
        <v>9</v>
      </c>
      <c r="D5466" s="2" t="s">
        <v>10</v>
      </c>
      <c r="E5466" s="2" t="str">
        <f>HYPERLINK("http://ts.21cn.com/tousu/show/id/1336298","http://ts.21cn.com/tousu/show/id/1336298")</f>
        <v>http://ts.21cn.com/tousu/show/id/1336298</v>
      </c>
      <c r="F5466" s="2" t="s">
        <v>11</v>
      </c>
      <c r="G5466" s="2" t="s">
        <v>33399</v>
      </c>
      <c r="H5466" s="2" t="s">
        <v>33400</v>
      </c>
    </row>
    <row r="5467" spans="1:8" ht="25.05" customHeight="1" x14ac:dyDescent="0.25">
      <c r="A5467" s="2" t="s">
        <v>8</v>
      </c>
      <c r="B5467" s="2" t="str">
        <f>HYPERLINK("http://ts.21cn.com/tousu/show/id/1336299","闪银哼哼贷平台利率高达百分之240，")</f>
        <v>闪银哼哼贷平台利率高达百分之240，</v>
      </c>
      <c r="C5467" s="2" t="s">
        <v>34</v>
      </c>
      <c r="D5467" s="2" t="s">
        <v>10</v>
      </c>
      <c r="E5467" s="2" t="str">
        <f>HYPERLINK("http://ts.21cn.com/tousu/show/id/1336299","http://ts.21cn.com/tousu/show/id/1336299")</f>
        <v>http://ts.21cn.com/tousu/show/id/1336299</v>
      </c>
      <c r="F5467" s="2" t="s">
        <v>11</v>
      </c>
      <c r="G5467" s="2" t="s">
        <v>33397</v>
      </c>
      <c r="H5467" s="2" t="s">
        <v>33398</v>
      </c>
    </row>
    <row r="5468" spans="1:8" ht="25.05" customHeight="1" x14ac:dyDescent="0.25">
      <c r="A5468" s="2" t="s">
        <v>8</v>
      </c>
      <c r="B5468" s="2" t="str">
        <f>HYPERLINK("http://ts.21cn.com/tousu/show/id/1336300","立借逾期费用问题")</f>
        <v>立借逾期费用问题</v>
      </c>
      <c r="C5468" s="2" t="s">
        <v>34</v>
      </c>
      <c r="D5468" s="2" t="s">
        <v>10</v>
      </c>
      <c r="E5468" s="2" t="str">
        <f>HYPERLINK("http://ts.21cn.com/tousu/show/id/1336300","http://ts.21cn.com/tousu/show/id/1336300")</f>
        <v>http://ts.21cn.com/tousu/show/id/1336300</v>
      </c>
      <c r="F5468" s="2" t="s">
        <v>11</v>
      </c>
      <c r="G5468" s="2" t="s">
        <v>33395</v>
      </c>
      <c r="H5468" s="2" t="s">
        <v>33396</v>
      </c>
    </row>
    <row r="5469" spans="1:8" ht="25.05" customHeight="1" x14ac:dyDescent="0.25">
      <c r="A5469" s="2" t="s">
        <v>8</v>
      </c>
      <c r="B5469" s="2" t="str">
        <f>HYPERLINK("http://ts.21cn.com/tousu/show/id/1336302","滴滴公司不派单给快车司机，都派给优享司机了")</f>
        <v>滴滴公司不派单给快车司机，都派给优享司机了</v>
      </c>
      <c r="C5469" s="2" t="s">
        <v>34</v>
      </c>
      <c r="D5469" s="2" t="s">
        <v>10</v>
      </c>
      <c r="E5469" s="2" t="str">
        <f>HYPERLINK("http://ts.21cn.com/tousu/show/id/1336302","http://ts.21cn.com/tousu/show/id/1336302")</f>
        <v>http://ts.21cn.com/tousu/show/id/1336302</v>
      </c>
      <c r="F5469" s="2" t="s">
        <v>11</v>
      </c>
      <c r="G5469" s="2" t="s">
        <v>33393</v>
      </c>
      <c r="H5469" s="2" t="s">
        <v>33394</v>
      </c>
    </row>
    <row r="5470" spans="1:8" ht="25.05" customHeight="1" x14ac:dyDescent="0.25">
      <c r="A5470" s="2" t="s">
        <v>8</v>
      </c>
      <c r="B5470" s="2" t="str">
        <f>HYPERLINK("http://ts.21cn.com/tousu/show/id/1336304","归还本金销账")</f>
        <v>归还本金销账</v>
      </c>
      <c r="C5470" s="2" t="s">
        <v>34</v>
      </c>
      <c r="D5470" s="2" t="s">
        <v>10</v>
      </c>
      <c r="E5470" s="2" t="str">
        <f>HYPERLINK("http://ts.21cn.com/tousu/show/id/1336304","http://ts.21cn.com/tousu/show/id/1336304")</f>
        <v>http://ts.21cn.com/tousu/show/id/1336304</v>
      </c>
      <c r="F5470" s="2" t="s">
        <v>11</v>
      </c>
      <c r="G5470" s="2" t="s">
        <v>33391</v>
      </c>
      <c r="H5470" s="2" t="s">
        <v>33392</v>
      </c>
    </row>
    <row r="5471" spans="1:8" ht="25.05" customHeight="1" x14ac:dyDescent="0.25">
      <c r="A5471" s="2" t="s">
        <v>8</v>
      </c>
      <c r="B5471" s="2" t="str">
        <f>HYPERLINK("http://ts.21cn.com/tousu/show/id/1336305","暴通信录")</f>
        <v>暴通信录</v>
      </c>
      <c r="C5471" s="2" t="s">
        <v>9</v>
      </c>
      <c r="D5471" s="2" t="s">
        <v>10</v>
      </c>
      <c r="E5471" s="2" t="str">
        <f>HYPERLINK("http://ts.21cn.com/tousu/show/id/1336305","http://ts.21cn.com/tousu/show/id/1336305")</f>
        <v>http://ts.21cn.com/tousu/show/id/1336305</v>
      </c>
      <c r="F5471" s="2" t="s">
        <v>11</v>
      </c>
      <c r="G5471" s="2" t="s">
        <v>33389</v>
      </c>
      <c r="H5471" s="2" t="s">
        <v>33390</v>
      </c>
    </row>
    <row r="5472" spans="1:8" ht="25.05" customHeight="1" x14ac:dyDescent="0.25">
      <c r="A5472" s="2" t="s">
        <v>8</v>
      </c>
      <c r="B5472" s="2" t="str">
        <f>HYPERLINK("http://ts.21cn.com/tousu/show/id/1336307","小通商城无缘无故扣我300多")</f>
        <v>小通商城无缘无故扣我300多</v>
      </c>
      <c r="C5472" s="2" t="s">
        <v>9</v>
      </c>
      <c r="D5472" s="2" t="s">
        <v>10</v>
      </c>
      <c r="E5472" s="2" t="str">
        <f>HYPERLINK("http://ts.21cn.com/tousu/show/id/1336307","http://ts.21cn.com/tousu/show/id/1336307")</f>
        <v>http://ts.21cn.com/tousu/show/id/1336307</v>
      </c>
      <c r="F5472" s="2" t="s">
        <v>11</v>
      </c>
      <c r="G5472" s="2" t="s">
        <v>33387</v>
      </c>
      <c r="H5472" s="2" t="s">
        <v>33388</v>
      </c>
    </row>
    <row r="5473" spans="1:8" ht="25.05" customHeight="1" x14ac:dyDescent="0.25">
      <c r="A5473" s="2" t="s">
        <v>8</v>
      </c>
      <c r="B5473" s="2" t="str">
        <f>HYPERLINK("http://ts.21cn.com/tousu/show/id/1336308","小象优品暴力催收，骚扰通讯录好友")</f>
        <v>小象优品暴力催收，骚扰通讯录好友</v>
      </c>
      <c r="C5473" s="2" t="s">
        <v>9</v>
      </c>
      <c r="D5473" s="2" t="s">
        <v>10</v>
      </c>
      <c r="E5473" s="2" t="str">
        <f>HYPERLINK("http://ts.21cn.com/tousu/show/id/1336308","http://ts.21cn.com/tousu/show/id/1336308")</f>
        <v>http://ts.21cn.com/tousu/show/id/1336308</v>
      </c>
      <c r="F5473" s="2" t="s">
        <v>11</v>
      </c>
      <c r="G5473" s="2" t="s">
        <v>33385</v>
      </c>
      <c r="H5473" s="2" t="s">
        <v>33386</v>
      </c>
    </row>
    <row r="5474" spans="1:8" ht="25.05" customHeight="1" x14ac:dyDescent="0.25">
      <c r="A5474" s="2" t="s">
        <v>8</v>
      </c>
      <c r="B5474" s="2" t="str">
        <f>HYPERLINK("http://ts.21cn.com/tousu/show/id/1336309","请众泰厂家尽快处理")</f>
        <v>请众泰厂家尽快处理</v>
      </c>
      <c r="C5474" s="2" t="s">
        <v>9</v>
      </c>
      <c r="D5474" s="2" t="s">
        <v>10</v>
      </c>
      <c r="E5474" s="2" t="str">
        <f>HYPERLINK("http://ts.21cn.com/tousu/show/id/1336309","http://ts.21cn.com/tousu/show/id/1336309")</f>
        <v>http://ts.21cn.com/tousu/show/id/1336309</v>
      </c>
      <c r="F5474" s="2" t="s">
        <v>11</v>
      </c>
      <c r="G5474" s="2" t="s">
        <v>33383</v>
      </c>
      <c r="H5474" s="2" t="s">
        <v>33384</v>
      </c>
    </row>
    <row r="5475" spans="1:8" ht="25.05" customHeight="1" x14ac:dyDescent="0.25">
      <c r="A5475" s="2" t="s">
        <v>8</v>
      </c>
      <c r="B5475" s="2" t="str">
        <f>HYPERLINK("http://ts.21cn.com/tousu/show/id/1336310","饭卡充值未到账")</f>
        <v>饭卡充值未到账</v>
      </c>
      <c r="C5475" s="2" t="s">
        <v>34</v>
      </c>
      <c r="D5475" s="2" t="s">
        <v>10</v>
      </c>
      <c r="E5475" s="2" t="str">
        <f>HYPERLINK("http://ts.21cn.com/tousu/show/id/1336310","http://ts.21cn.com/tousu/show/id/1336310")</f>
        <v>http://ts.21cn.com/tousu/show/id/1336310</v>
      </c>
      <c r="F5475" s="2" t="s">
        <v>11</v>
      </c>
      <c r="G5475" s="2" t="s">
        <v>33381</v>
      </c>
      <c r="H5475" s="2" t="s">
        <v>33382</v>
      </c>
    </row>
    <row r="5476" spans="1:8" ht="25.05" customHeight="1" x14ac:dyDescent="0.25">
      <c r="A5476" s="2" t="s">
        <v>8</v>
      </c>
      <c r="B5476" s="2" t="str">
        <f>HYPERLINK("http://ts.21cn.com/tousu/show/id/1336311","招联金融暴力崔收")</f>
        <v>招联金融暴力崔收</v>
      </c>
      <c r="C5476" s="2" t="s">
        <v>9</v>
      </c>
      <c r="D5476" s="2" t="s">
        <v>10</v>
      </c>
      <c r="E5476" s="2" t="str">
        <f>HYPERLINK("http://ts.21cn.com/tousu/show/id/1336311","http://ts.21cn.com/tousu/show/id/1336311")</f>
        <v>http://ts.21cn.com/tousu/show/id/1336311</v>
      </c>
      <c r="F5476" s="2" t="s">
        <v>11</v>
      </c>
      <c r="G5476" s="2" t="s">
        <v>33379</v>
      </c>
      <c r="H5476" s="2" t="s">
        <v>33380</v>
      </c>
    </row>
    <row r="5477" spans="1:8" ht="25.05" customHeight="1" x14ac:dyDescent="0.25">
      <c r="A5477" s="2" t="s">
        <v>8</v>
      </c>
      <c r="B5477" s="2" t="str">
        <f>HYPERLINK("http://ts.21cn.com/tousu/show/id/1336312","客服态度不好，遇问题不处理")</f>
        <v>客服态度不好，遇问题不处理</v>
      </c>
      <c r="C5477" s="2" t="s">
        <v>9</v>
      </c>
      <c r="D5477" s="2" t="s">
        <v>10</v>
      </c>
      <c r="E5477" s="2" t="str">
        <f>HYPERLINK("http://ts.21cn.com/tousu/show/id/1336312","http://ts.21cn.com/tousu/show/id/1336312")</f>
        <v>http://ts.21cn.com/tousu/show/id/1336312</v>
      </c>
      <c r="F5477" s="2" t="s">
        <v>11</v>
      </c>
      <c r="G5477" s="2" t="s">
        <v>33378</v>
      </c>
      <c r="H5477" s="2" t="s">
        <v>29226</v>
      </c>
    </row>
    <row r="5478" spans="1:8" ht="25.05" customHeight="1" x14ac:dyDescent="0.25">
      <c r="A5478" s="2" t="s">
        <v>8</v>
      </c>
      <c r="B5478" s="2" t="str">
        <f>HYPERLINK("http://ts.21cn.com/tousu/show/id/1336313","要求平台尽快提供卖家个人信息")</f>
        <v>要求平台尽快提供卖家个人信息</v>
      </c>
      <c r="C5478" s="2" t="s">
        <v>9</v>
      </c>
      <c r="D5478" s="2" t="s">
        <v>10</v>
      </c>
      <c r="E5478" s="2" t="str">
        <f>HYPERLINK("http://ts.21cn.com/tousu/show/id/1336313","http://ts.21cn.com/tousu/show/id/1336313")</f>
        <v>http://ts.21cn.com/tousu/show/id/1336313</v>
      </c>
      <c r="F5478" s="2" t="s">
        <v>11</v>
      </c>
      <c r="G5478" s="2" t="s">
        <v>33376</v>
      </c>
      <c r="H5478" s="2" t="s">
        <v>33377</v>
      </c>
    </row>
    <row r="5479" spans="1:8" ht="25.05" customHeight="1" x14ac:dyDescent="0.25">
      <c r="A5479" s="2" t="s">
        <v>8</v>
      </c>
      <c r="B5479" s="2" t="str">
        <f>HYPERLINK("http://ts.21cn.com/tousu/show/id/1336315","瑞银信瑞卡贷爆通讯录")</f>
        <v>瑞银信瑞卡贷爆通讯录</v>
      </c>
      <c r="C5479" s="2" t="s">
        <v>9</v>
      </c>
      <c r="D5479" s="2" t="s">
        <v>10</v>
      </c>
      <c r="E5479" s="2" t="str">
        <f>HYPERLINK("http://ts.21cn.com/tousu/show/id/1336315","http://ts.21cn.com/tousu/show/id/1336315")</f>
        <v>http://ts.21cn.com/tousu/show/id/1336315</v>
      </c>
      <c r="F5479" s="2" t="s">
        <v>11</v>
      </c>
      <c r="G5479" s="2" t="s">
        <v>33374</v>
      </c>
      <c r="H5479" s="2" t="s">
        <v>33375</v>
      </c>
    </row>
    <row r="5480" spans="1:8" ht="25.05" customHeight="1" x14ac:dyDescent="0.25">
      <c r="A5480" s="2" t="s">
        <v>8</v>
      </c>
      <c r="B5480" s="2" t="str">
        <f>HYPERLINK("http://ts.21cn.com/tousu/show/id/1336314","利息太高无力反驳")</f>
        <v>利息太高无力反驳</v>
      </c>
      <c r="C5480" s="2" t="s">
        <v>9</v>
      </c>
      <c r="D5480" s="2" t="s">
        <v>10</v>
      </c>
      <c r="E5480" s="2" t="str">
        <f>HYPERLINK("http://ts.21cn.com/tousu/show/id/1336314","http://ts.21cn.com/tousu/show/id/1336314")</f>
        <v>http://ts.21cn.com/tousu/show/id/1336314</v>
      </c>
      <c r="F5480" s="2" t="s">
        <v>11</v>
      </c>
      <c r="G5480" s="2" t="s">
        <v>33372</v>
      </c>
      <c r="H5480" s="2" t="s">
        <v>33373</v>
      </c>
    </row>
    <row r="5481" spans="1:8" ht="25.05" customHeight="1" x14ac:dyDescent="0.25">
      <c r="A5481" s="2" t="s">
        <v>8</v>
      </c>
      <c r="B5481" s="2" t="str">
        <f>HYPERLINK("http://ts.21cn.com/tousu/show/id/1336303","酷宝支付为违法机构提供结算通道")</f>
        <v>酷宝支付为违法机构提供结算通道</v>
      </c>
      <c r="C5481" s="2" t="s">
        <v>9</v>
      </c>
      <c r="D5481" s="2" t="s">
        <v>10</v>
      </c>
      <c r="E5481" s="2" t="str">
        <f>HYPERLINK("http://ts.21cn.com/tousu/show/id/1336303","http://ts.21cn.com/tousu/show/id/1336303")</f>
        <v>http://ts.21cn.com/tousu/show/id/1336303</v>
      </c>
      <c r="F5481" s="2" t="s">
        <v>11</v>
      </c>
      <c r="G5481" s="2" t="s">
        <v>33370</v>
      </c>
      <c r="H5481" s="2" t="s">
        <v>33371</v>
      </c>
    </row>
    <row r="5482" spans="1:8" ht="25.05" customHeight="1" x14ac:dyDescent="0.25">
      <c r="A5482" s="2" t="s">
        <v>8</v>
      </c>
      <c r="B5482" s="2" t="str">
        <f>HYPERLINK("http://ts.21cn.com/tousu/show/id/1336316","好易贷高利贷暴力催收")</f>
        <v>好易贷高利贷暴力催收</v>
      </c>
      <c r="C5482" s="2" t="s">
        <v>9</v>
      </c>
      <c r="D5482" s="2" t="s">
        <v>10</v>
      </c>
      <c r="E5482" s="2" t="str">
        <f>HYPERLINK("http://ts.21cn.com/tousu/show/id/1336316","http://ts.21cn.com/tousu/show/id/1336316")</f>
        <v>http://ts.21cn.com/tousu/show/id/1336316</v>
      </c>
      <c r="F5482" s="2" t="s">
        <v>11</v>
      </c>
      <c r="G5482" s="2" t="s">
        <v>33368</v>
      </c>
      <c r="H5482" s="2" t="s">
        <v>33369</v>
      </c>
    </row>
    <row r="5483" spans="1:8" ht="25.05" customHeight="1" x14ac:dyDescent="0.25">
      <c r="A5483" s="2" t="s">
        <v>8</v>
      </c>
      <c r="B5483" s="2" t="str">
        <f>HYPERLINK("http://ts.21cn.com/tousu/show/id/1336306","信用卡代还平台维信宝，开了会员不执行")</f>
        <v>信用卡代还平台维信宝，开了会员不执行</v>
      </c>
      <c r="C5483" s="2" t="s">
        <v>9</v>
      </c>
      <c r="D5483" s="2" t="s">
        <v>10</v>
      </c>
      <c r="E5483" s="2" t="str">
        <f>HYPERLINK("http://ts.21cn.com/tousu/show/id/1336306","http://ts.21cn.com/tousu/show/id/1336306")</f>
        <v>http://ts.21cn.com/tousu/show/id/1336306</v>
      </c>
      <c r="F5483" s="2" t="s">
        <v>11</v>
      </c>
      <c r="G5483" s="2" t="s">
        <v>33366</v>
      </c>
      <c r="H5483" s="2" t="s">
        <v>33367</v>
      </c>
    </row>
    <row r="5484" spans="1:8" ht="25.05" customHeight="1" x14ac:dyDescent="0.25">
      <c r="A5484" s="2" t="s">
        <v>8</v>
      </c>
      <c r="B5484" s="2" t="str">
        <f>HYPERLINK("http://ts.21cn.com/tousu/show/id/1336317","急有钱app借款714高利贷")</f>
        <v>急有钱app借款714高利贷</v>
      </c>
      <c r="C5484" s="2" t="s">
        <v>9</v>
      </c>
      <c r="D5484" s="2" t="s">
        <v>10</v>
      </c>
      <c r="E5484" s="2" t="str">
        <f>HYPERLINK("http://ts.21cn.com/tousu/show/id/1336317","http://ts.21cn.com/tousu/show/id/1336317")</f>
        <v>http://ts.21cn.com/tousu/show/id/1336317</v>
      </c>
      <c r="F5484" s="2" t="s">
        <v>11</v>
      </c>
      <c r="G5484" s="2" t="s">
        <v>33364</v>
      </c>
      <c r="H5484" s="2" t="s">
        <v>33365</v>
      </c>
    </row>
    <row r="5485" spans="1:8" ht="25.05" customHeight="1" x14ac:dyDescent="0.25">
      <c r="A5485" s="2" t="s">
        <v>8</v>
      </c>
      <c r="B5485" s="2" t="str">
        <f>HYPERLINK("http://ts.21cn.com/tousu/show/id/1336301","小浦优客私自扣款")</f>
        <v>小浦优客私自扣款</v>
      </c>
      <c r="C5485" s="2" t="s">
        <v>9</v>
      </c>
      <c r="D5485" s="2" t="s">
        <v>10</v>
      </c>
      <c r="E5485" s="2" t="str">
        <f>HYPERLINK("http://ts.21cn.com/tousu/show/id/1336301","http://ts.21cn.com/tousu/show/id/1336301")</f>
        <v>http://ts.21cn.com/tousu/show/id/1336301</v>
      </c>
      <c r="F5485" s="2" t="s">
        <v>11</v>
      </c>
      <c r="G5485" s="2" t="s">
        <v>33362</v>
      </c>
      <c r="H5485" s="2" t="s">
        <v>33363</v>
      </c>
    </row>
    <row r="5486" spans="1:8" ht="25.05" customHeight="1" x14ac:dyDescent="0.25">
      <c r="A5486" s="2" t="s">
        <v>8</v>
      </c>
      <c r="B5486" s="2" t="str">
        <f>HYPERLINK("http://ts.21cn.com/tousu/show/id/1336318","月光侠爆打通讯录")</f>
        <v>月光侠爆打通讯录</v>
      </c>
      <c r="C5486" s="2" t="s">
        <v>9</v>
      </c>
      <c r="D5486" s="2" t="s">
        <v>10</v>
      </c>
      <c r="E5486" s="2" t="str">
        <f>HYPERLINK("http://ts.21cn.com/tousu/show/id/1336318","http://ts.21cn.com/tousu/show/id/1336318")</f>
        <v>http://ts.21cn.com/tousu/show/id/1336318</v>
      </c>
      <c r="F5486" s="2" t="s">
        <v>11</v>
      </c>
      <c r="G5486" s="2" t="s">
        <v>33360</v>
      </c>
      <c r="H5486" s="2" t="s">
        <v>33361</v>
      </c>
    </row>
    <row r="5487" spans="1:8" ht="25.05" customHeight="1" x14ac:dyDescent="0.25">
      <c r="A5487" s="2" t="s">
        <v>8</v>
      </c>
      <c r="B5487" s="2" t="str">
        <f>HYPERLINK("http://ts.21cn.com/tousu/show/id/1336289","乐客独角兽套路消费者会员费")</f>
        <v>乐客独角兽套路消费者会员费</v>
      </c>
      <c r="C5487" s="2" t="s">
        <v>9</v>
      </c>
      <c r="D5487" s="2" t="s">
        <v>10</v>
      </c>
      <c r="E5487" s="2" t="str">
        <f>HYPERLINK("http://ts.21cn.com/tousu/show/id/1336289","http://ts.21cn.com/tousu/show/id/1336289")</f>
        <v>http://ts.21cn.com/tousu/show/id/1336289</v>
      </c>
      <c r="F5487" s="2" t="s">
        <v>11</v>
      </c>
      <c r="G5487" s="2" t="s">
        <v>33358</v>
      </c>
      <c r="H5487" s="2" t="s">
        <v>33359</v>
      </c>
    </row>
    <row r="5488" spans="1:8" ht="25.05" customHeight="1" x14ac:dyDescent="0.25">
      <c r="A5488" s="2" t="s">
        <v>8</v>
      </c>
      <c r="B5488" s="2" t="str">
        <f>HYPERLINK("http://ts.21cn.com/tousu/show/id/1336319","正常还了三期就冻结了，要求全额还，")</f>
        <v>正常还了三期就冻结了，要求全额还，</v>
      </c>
      <c r="C5488" s="2" t="s">
        <v>9</v>
      </c>
      <c r="D5488" s="2" t="s">
        <v>10</v>
      </c>
      <c r="E5488" s="2" t="str">
        <f>HYPERLINK("http://ts.21cn.com/tousu/show/id/1336319","http://ts.21cn.com/tousu/show/id/1336319")</f>
        <v>http://ts.21cn.com/tousu/show/id/1336319</v>
      </c>
      <c r="F5488" s="2" t="s">
        <v>11</v>
      </c>
      <c r="G5488" s="2" t="s">
        <v>33356</v>
      </c>
      <c r="H5488" s="2" t="s">
        <v>33357</v>
      </c>
    </row>
    <row r="5489" spans="1:8" ht="25.05" customHeight="1" x14ac:dyDescent="0.25">
      <c r="A5489" s="2" t="s">
        <v>8</v>
      </c>
      <c r="B5489" s="2" t="str">
        <f>HYPERLINK("http://ts.21cn.com/tousu/show/id/1336321","来分期电话骚扰")</f>
        <v>来分期电话骚扰</v>
      </c>
      <c r="C5489" s="2" t="s">
        <v>9</v>
      </c>
      <c r="D5489" s="2" t="s">
        <v>10</v>
      </c>
      <c r="E5489" s="2" t="str">
        <f>HYPERLINK("http://ts.21cn.com/tousu/show/id/1336321","http://ts.21cn.com/tousu/show/id/1336321")</f>
        <v>http://ts.21cn.com/tousu/show/id/1336321</v>
      </c>
      <c r="F5489" s="2" t="s">
        <v>11</v>
      </c>
      <c r="G5489" s="2" t="s">
        <v>33354</v>
      </c>
      <c r="H5489" s="2" t="s">
        <v>33355</v>
      </c>
    </row>
    <row r="5490" spans="1:8" ht="25.05" customHeight="1" x14ac:dyDescent="0.25">
      <c r="A5490" s="2" t="s">
        <v>8</v>
      </c>
      <c r="B5490" s="2" t="str">
        <f>HYPERLINK("http://ts.21cn.com/tousu/show/id/1336320","资料泄密")</f>
        <v>资料泄密</v>
      </c>
      <c r="C5490" s="2" t="s">
        <v>34</v>
      </c>
      <c r="D5490" s="2" t="s">
        <v>10</v>
      </c>
      <c r="E5490" s="2" t="str">
        <f>HYPERLINK("http://ts.21cn.com/tousu/show/id/1336320","http://ts.21cn.com/tousu/show/id/1336320")</f>
        <v>http://ts.21cn.com/tousu/show/id/1336320</v>
      </c>
      <c r="F5490" s="2" t="s">
        <v>11</v>
      </c>
      <c r="G5490" s="2" t="s">
        <v>33352</v>
      </c>
      <c r="H5490" s="2" t="s">
        <v>33353</v>
      </c>
    </row>
    <row r="5491" spans="1:8" ht="25.05" customHeight="1" x14ac:dyDescent="0.25">
      <c r="A5491" s="2" t="s">
        <v>8</v>
      </c>
      <c r="B5491" s="2" t="str">
        <f>HYPERLINK("http://ts.21cn.com/tousu/show/id/1336322","支付宝借呗暴力催收")</f>
        <v>支付宝借呗暴力催收</v>
      </c>
      <c r="C5491" s="2" t="s">
        <v>9</v>
      </c>
      <c r="D5491" s="2" t="s">
        <v>10</v>
      </c>
      <c r="E5491" s="2" t="str">
        <f>HYPERLINK("http://ts.21cn.com/tousu/show/id/1336322","http://ts.21cn.com/tousu/show/id/1336322")</f>
        <v>http://ts.21cn.com/tousu/show/id/1336322</v>
      </c>
      <c r="F5491" s="2" t="s">
        <v>11</v>
      </c>
      <c r="G5491" s="2" t="s">
        <v>33350</v>
      </c>
      <c r="H5491" s="2" t="s">
        <v>33351</v>
      </c>
    </row>
    <row r="5492" spans="1:8" ht="25.05" customHeight="1" x14ac:dyDescent="0.25">
      <c r="A5492" s="2" t="s">
        <v>8</v>
      </c>
      <c r="B5492" s="2" t="str">
        <f>HYPERLINK("http://ts.21cn.com/tousu/show/id/1336323","恶意冻结资金")</f>
        <v>恶意冻结资金</v>
      </c>
      <c r="C5492" s="2" t="s">
        <v>9</v>
      </c>
      <c r="D5492" s="2" t="s">
        <v>10</v>
      </c>
      <c r="E5492" s="2" t="str">
        <f>HYPERLINK("http://ts.21cn.com/tousu/show/id/1336323","http://ts.21cn.com/tousu/show/id/1336323")</f>
        <v>http://ts.21cn.com/tousu/show/id/1336323</v>
      </c>
      <c r="F5492" s="2" t="s">
        <v>11</v>
      </c>
      <c r="G5492" s="2" t="s">
        <v>33348</v>
      </c>
      <c r="H5492" s="2" t="s">
        <v>33349</v>
      </c>
    </row>
    <row r="5493" spans="1:8" ht="25.05" customHeight="1" x14ac:dyDescent="0.25">
      <c r="A5493" s="2" t="s">
        <v>8</v>
      </c>
      <c r="B5493" s="2" t="str">
        <f>HYPERLINK("http://ts.21cn.com/tousu/show/id/1336325","左右钱包高利贷")</f>
        <v>左右钱包高利贷</v>
      </c>
      <c r="C5493" s="2" t="s">
        <v>9</v>
      </c>
      <c r="D5493" s="2" t="s">
        <v>10</v>
      </c>
      <c r="E5493" s="2" t="str">
        <f>HYPERLINK("http://ts.21cn.com/tousu/show/id/1336325","http://ts.21cn.com/tousu/show/id/1336325")</f>
        <v>http://ts.21cn.com/tousu/show/id/1336325</v>
      </c>
      <c r="F5493" s="2" t="s">
        <v>11</v>
      </c>
      <c r="G5493" s="2" t="s">
        <v>33346</v>
      </c>
      <c r="H5493" s="2" t="s">
        <v>33347</v>
      </c>
    </row>
    <row r="5494" spans="1:8" ht="25.05" customHeight="1" x14ac:dyDescent="0.25">
      <c r="A5494" s="2" t="s">
        <v>8</v>
      </c>
      <c r="B5494" s="2" t="str">
        <f>HYPERLINK("http://ts.21cn.com/tousu/show/id/1336326","小浦优客在不知情的时候就恶意扣款")</f>
        <v>小浦优客在不知情的时候就恶意扣款</v>
      </c>
      <c r="C5494" s="2" t="s">
        <v>9</v>
      </c>
      <c r="D5494" s="2" t="s">
        <v>10</v>
      </c>
      <c r="E5494" s="2" t="str">
        <f>HYPERLINK("http://ts.21cn.com/tousu/show/id/1336326","http://ts.21cn.com/tousu/show/id/1336326")</f>
        <v>http://ts.21cn.com/tousu/show/id/1336326</v>
      </c>
      <c r="F5494" s="2" t="s">
        <v>11</v>
      </c>
      <c r="G5494" s="2" t="s">
        <v>33344</v>
      </c>
      <c r="H5494" s="2" t="s">
        <v>33345</v>
      </c>
    </row>
    <row r="5495" spans="1:8" ht="25.05" customHeight="1" x14ac:dyDescent="0.25">
      <c r="A5495" s="2" t="s">
        <v>8</v>
      </c>
      <c r="B5495" s="2" t="str">
        <f>HYPERLINK("http://ts.21cn.com/tousu/show/id/1336327","账单已结清不销账")</f>
        <v>账单已结清不销账</v>
      </c>
      <c r="C5495" s="2" t="s">
        <v>9</v>
      </c>
      <c r="D5495" s="2" t="s">
        <v>10</v>
      </c>
      <c r="E5495" s="2" t="str">
        <f>HYPERLINK("http://ts.21cn.com/tousu/show/id/1336327","http://ts.21cn.com/tousu/show/id/1336327")</f>
        <v>http://ts.21cn.com/tousu/show/id/1336327</v>
      </c>
      <c r="F5495" s="2" t="s">
        <v>11</v>
      </c>
      <c r="G5495" s="2" t="s">
        <v>33342</v>
      </c>
      <c r="H5495" s="2" t="s">
        <v>33343</v>
      </c>
    </row>
    <row r="5496" spans="1:8" ht="25.05" customHeight="1" x14ac:dyDescent="0.25">
      <c r="A5496" s="2" t="s">
        <v>8</v>
      </c>
      <c r="B5496" s="2" t="str">
        <f>HYPERLINK("http://ts.21cn.com/tousu/show/id/1336328","爆利催收，高利贷")</f>
        <v>爆利催收，高利贷</v>
      </c>
      <c r="C5496" s="2" t="s">
        <v>9</v>
      </c>
      <c r="D5496" s="2" t="s">
        <v>10</v>
      </c>
      <c r="E5496" s="2" t="str">
        <f>HYPERLINK("http://ts.21cn.com/tousu/show/id/1336328","http://ts.21cn.com/tousu/show/id/1336328")</f>
        <v>http://ts.21cn.com/tousu/show/id/1336328</v>
      </c>
      <c r="F5496" s="2" t="s">
        <v>11</v>
      </c>
      <c r="G5496" s="2" t="s">
        <v>33340</v>
      </c>
      <c r="H5496" s="2" t="s">
        <v>33341</v>
      </c>
    </row>
    <row r="5497" spans="1:8" ht="25.05" customHeight="1" x14ac:dyDescent="0.25">
      <c r="A5497" s="2" t="s">
        <v>8</v>
      </c>
      <c r="B5497" s="2" t="str">
        <f>HYPERLINK("http://ts.21cn.com/tousu/show/id/1336330","安逸花暴力催收")</f>
        <v>安逸花暴力催收</v>
      </c>
      <c r="C5497" s="2" t="s">
        <v>9</v>
      </c>
      <c r="D5497" s="2" t="s">
        <v>10</v>
      </c>
      <c r="E5497" s="2" t="str">
        <f>HYPERLINK("http://ts.21cn.com/tousu/show/id/1336330","http://ts.21cn.com/tousu/show/id/1336330")</f>
        <v>http://ts.21cn.com/tousu/show/id/1336330</v>
      </c>
      <c r="F5497" s="2" t="s">
        <v>11</v>
      </c>
      <c r="G5497" s="2" t="s">
        <v>33338</v>
      </c>
      <c r="H5497" s="2" t="s">
        <v>33339</v>
      </c>
    </row>
    <row r="5498" spans="1:8" ht="25.05" customHeight="1" x14ac:dyDescent="0.25">
      <c r="A5498" s="2" t="s">
        <v>8</v>
      </c>
      <c r="B5498" s="2" t="str">
        <f>HYPERLINK("http://ts.21cn.com/tousu/show/id/1336333","钱站直接明强")</f>
        <v>钱站直接明强</v>
      </c>
      <c r="C5498" s="2" t="s">
        <v>34</v>
      </c>
      <c r="D5498" s="2" t="s">
        <v>10</v>
      </c>
      <c r="E5498" s="2" t="str">
        <f>HYPERLINK("http://ts.21cn.com/tousu/show/id/1336333","http://ts.21cn.com/tousu/show/id/1336333")</f>
        <v>http://ts.21cn.com/tousu/show/id/1336333</v>
      </c>
      <c r="F5498" s="2" t="s">
        <v>11</v>
      </c>
      <c r="G5498" s="2" t="s">
        <v>33336</v>
      </c>
      <c r="H5498" s="2" t="s">
        <v>33337</v>
      </c>
    </row>
    <row r="5499" spans="1:8" ht="25.05" customHeight="1" x14ac:dyDescent="0.25">
      <c r="A5499" s="2" t="s">
        <v>8</v>
      </c>
      <c r="B5499" s="2" t="str">
        <f>HYPERLINK("http://ts.21cn.com/tousu/show/id/1336332","平安i贷还款日当天恶意骚扰")</f>
        <v>平安i贷还款日当天恶意骚扰</v>
      </c>
      <c r="C5499" s="2" t="s">
        <v>9</v>
      </c>
      <c r="D5499" s="2" t="s">
        <v>10</v>
      </c>
      <c r="E5499" s="2" t="str">
        <f>HYPERLINK("http://ts.21cn.com/tousu/show/id/1336332","http://ts.21cn.com/tousu/show/id/1336332")</f>
        <v>http://ts.21cn.com/tousu/show/id/1336332</v>
      </c>
      <c r="F5499" s="2" t="s">
        <v>11</v>
      </c>
      <c r="G5499" s="2" t="s">
        <v>33334</v>
      </c>
      <c r="H5499" s="2" t="s">
        <v>33335</v>
      </c>
    </row>
    <row r="5500" spans="1:8" ht="25.05" customHeight="1" x14ac:dyDescent="0.25">
      <c r="A5500" s="2" t="s">
        <v>8</v>
      </c>
      <c r="B5500" s="2" t="str">
        <f>HYPERLINK("http://ts.21cn.com/tousu/show/id/1336334","苏宁易购手机买回来用了一个月不到就坏了，不处理，说维修需要交费")</f>
        <v>苏宁易购手机买回来用了一个月不到就坏了，不处理，说维修需要交费</v>
      </c>
      <c r="C5500" s="2" t="s">
        <v>9</v>
      </c>
      <c r="D5500" s="2" t="s">
        <v>10</v>
      </c>
      <c r="E5500" s="2" t="str">
        <f>HYPERLINK("http://ts.21cn.com/tousu/show/id/1336334","http://ts.21cn.com/tousu/show/id/1336334")</f>
        <v>http://ts.21cn.com/tousu/show/id/1336334</v>
      </c>
      <c r="F5500" s="2" t="s">
        <v>11</v>
      </c>
      <c r="G5500" s="2" t="s">
        <v>33332</v>
      </c>
      <c r="H5500" s="2" t="s">
        <v>33333</v>
      </c>
    </row>
    <row r="5501" spans="1:8" ht="25.05" customHeight="1" x14ac:dyDescent="0.25">
      <c r="A5501" s="2" t="s">
        <v>8</v>
      </c>
      <c r="B5501" s="2" t="str">
        <f>HYPERLINK("http://ts.21cn.com/tousu/show/id/1336335","电脑端优酷无弹幕")</f>
        <v>电脑端优酷无弹幕</v>
      </c>
      <c r="C5501" s="2" t="s">
        <v>9</v>
      </c>
      <c r="D5501" s="2" t="s">
        <v>10</v>
      </c>
      <c r="E5501" s="2" t="str">
        <f>HYPERLINK("http://ts.21cn.com/tousu/show/id/1336335","http://ts.21cn.com/tousu/show/id/1336335")</f>
        <v>http://ts.21cn.com/tousu/show/id/1336335</v>
      </c>
      <c r="F5501" s="2" t="s">
        <v>11</v>
      </c>
      <c r="G5501" s="2" t="s">
        <v>33330</v>
      </c>
      <c r="H5501" s="2" t="s">
        <v>33331</v>
      </c>
    </row>
    <row r="5502" spans="1:8" ht="25.05" customHeight="1" x14ac:dyDescent="0.25">
      <c r="A5502" s="2" t="s">
        <v>8</v>
      </c>
      <c r="B5502" s="2" t="str">
        <f>HYPERLINK("http://ts.21cn.com/tousu/show/id/1336336","众安保险在投保人不知情的情况捆绑销售保险")</f>
        <v>众安保险在投保人不知情的情况捆绑销售保险</v>
      </c>
      <c r="C5502" s="2" t="s">
        <v>9</v>
      </c>
      <c r="D5502" s="2" t="s">
        <v>10</v>
      </c>
      <c r="E5502" s="2" t="str">
        <f>HYPERLINK("http://ts.21cn.com/tousu/show/id/1336336","http://ts.21cn.com/tousu/show/id/1336336")</f>
        <v>http://ts.21cn.com/tousu/show/id/1336336</v>
      </c>
      <c r="F5502" s="2" t="s">
        <v>11</v>
      </c>
      <c r="G5502" s="2" t="s">
        <v>33328</v>
      </c>
      <c r="H5502" s="2" t="s">
        <v>33329</v>
      </c>
    </row>
    <row r="5503" spans="1:8" ht="25.05" customHeight="1" x14ac:dyDescent="0.25">
      <c r="A5503" s="2" t="s">
        <v>8</v>
      </c>
      <c r="B5503" s="2" t="str">
        <f>HYPERLINK("http://ts.21cn.com/tousu/show/id/1336338","高利贷")</f>
        <v>高利贷</v>
      </c>
      <c r="C5503" s="2" t="s">
        <v>9</v>
      </c>
      <c r="D5503" s="2" t="s">
        <v>10</v>
      </c>
      <c r="E5503" s="2" t="str">
        <f>HYPERLINK("http://ts.21cn.com/tousu/show/id/1336338","http://ts.21cn.com/tousu/show/id/1336338")</f>
        <v>http://ts.21cn.com/tousu/show/id/1336338</v>
      </c>
      <c r="F5503" s="2" t="s">
        <v>11</v>
      </c>
      <c r="G5503" s="2" t="s">
        <v>33326</v>
      </c>
      <c r="H5503" s="2" t="s">
        <v>33327</v>
      </c>
    </row>
    <row r="5504" spans="1:8" ht="25.05" customHeight="1" x14ac:dyDescent="0.25">
      <c r="A5504" s="2" t="s">
        <v>8</v>
      </c>
      <c r="B5504" s="2" t="str">
        <f>HYPERLINK("http://ts.21cn.com/tousu/show/id/1336337","小花呗高利贷")</f>
        <v>小花呗高利贷</v>
      </c>
      <c r="C5504" s="2" t="s">
        <v>9</v>
      </c>
      <c r="D5504" s="2" t="s">
        <v>10</v>
      </c>
      <c r="E5504" s="2" t="str">
        <f>HYPERLINK("http://ts.21cn.com/tousu/show/id/1336337","http://ts.21cn.com/tousu/show/id/1336337")</f>
        <v>http://ts.21cn.com/tousu/show/id/1336337</v>
      </c>
      <c r="F5504" s="2" t="s">
        <v>11</v>
      </c>
      <c r="G5504" s="2" t="s">
        <v>33324</v>
      </c>
      <c r="H5504" s="2" t="s">
        <v>33325</v>
      </c>
    </row>
    <row r="5505" spans="1:8" ht="25.05" customHeight="1" x14ac:dyDescent="0.25">
      <c r="A5505" s="2" t="s">
        <v>8</v>
      </c>
      <c r="B5505" s="2" t="str">
        <f>HYPERLINK("http://ts.21cn.com/tousu/show/id/1336341","招联金融暴力催收")</f>
        <v>招联金融暴力催收</v>
      </c>
      <c r="C5505" s="2" t="s">
        <v>9</v>
      </c>
      <c r="D5505" s="2" t="s">
        <v>10</v>
      </c>
      <c r="E5505" s="2" t="str">
        <f>HYPERLINK("http://ts.21cn.com/tousu/show/id/1336341","http://ts.21cn.com/tousu/show/id/1336341")</f>
        <v>http://ts.21cn.com/tousu/show/id/1336341</v>
      </c>
      <c r="F5505" s="2" t="s">
        <v>11</v>
      </c>
      <c r="G5505" s="2" t="s">
        <v>33322</v>
      </c>
      <c r="H5505" s="2" t="s">
        <v>33323</v>
      </c>
    </row>
    <row r="5506" spans="1:8" ht="25.05" customHeight="1" x14ac:dyDescent="0.25">
      <c r="A5506" s="2" t="s">
        <v>8</v>
      </c>
      <c r="B5506" s="2" t="str">
        <f>HYPERLINK("http://ts.21cn.com/tousu/show/id/1336340","高利贷协商还款")</f>
        <v>高利贷协商还款</v>
      </c>
      <c r="C5506" s="2" t="s">
        <v>9</v>
      </c>
      <c r="D5506" s="2" t="s">
        <v>10</v>
      </c>
      <c r="E5506" s="2" t="str">
        <f>HYPERLINK("http://ts.21cn.com/tousu/show/id/1336340","http://ts.21cn.com/tousu/show/id/1336340")</f>
        <v>http://ts.21cn.com/tousu/show/id/1336340</v>
      </c>
      <c r="F5506" s="2" t="s">
        <v>11</v>
      </c>
      <c r="G5506" s="2" t="s">
        <v>33320</v>
      </c>
      <c r="H5506" s="2" t="s">
        <v>33321</v>
      </c>
    </row>
    <row r="5507" spans="1:8" ht="25.05" customHeight="1" x14ac:dyDescent="0.25">
      <c r="A5507" s="2" t="s">
        <v>8</v>
      </c>
      <c r="B5507" s="2" t="str">
        <f>HYPERLINK("http://ts.21cn.com/tousu/show/id/1336342","小黑鱼点心贷")</f>
        <v>小黑鱼点心贷</v>
      </c>
      <c r="C5507" s="2" t="s">
        <v>9</v>
      </c>
      <c r="D5507" s="2" t="s">
        <v>10</v>
      </c>
      <c r="E5507" s="2" t="str">
        <f>HYPERLINK("http://ts.21cn.com/tousu/show/id/1336342","http://ts.21cn.com/tousu/show/id/1336342")</f>
        <v>http://ts.21cn.com/tousu/show/id/1336342</v>
      </c>
      <c r="F5507" s="2" t="s">
        <v>11</v>
      </c>
      <c r="G5507" s="2" t="s">
        <v>33318</v>
      </c>
      <c r="H5507" s="2" t="s">
        <v>33319</v>
      </c>
    </row>
    <row r="5508" spans="1:8" ht="25.05" customHeight="1" x14ac:dyDescent="0.25">
      <c r="A5508" s="2" t="s">
        <v>8</v>
      </c>
      <c r="B5508" s="2" t="str">
        <f>HYPERLINK("http://ts.21cn.com/tousu/show/id/1336344","拼多多无辜霸道关店说我哪里发布毒品")</f>
        <v>拼多多无辜霸道关店说我哪里发布毒品</v>
      </c>
      <c r="C5508" s="2" t="s">
        <v>34</v>
      </c>
      <c r="D5508" s="2" t="s">
        <v>10</v>
      </c>
      <c r="E5508" s="2" t="str">
        <f>HYPERLINK("http://ts.21cn.com/tousu/show/id/1336344","http://ts.21cn.com/tousu/show/id/1336344")</f>
        <v>http://ts.21cn.com/tousu/show/id/1336344</v>
      </c>
      <c r="F5508" s="2" t="s">
        <v>11</v>
      </c>
      <c r="G5508" s="2" t="s">
        <v>33316</v>
      </c>
      <c r="H5508" s="2" t="s">
        <v>33317</v>
      </c>
    </row>
    <row r="5509" spans="1:8" ht="25.05" customHeight="1" x14ac:dyDescent="0.25">
      <c r="A5509" s="2" t="s">
        <v>8</v>
      </c>
      <c r="B5509" s="2" t="str">
        <f>HYPERLINK("http://ts.21cn.com/tousu/show/id/1336343","提现不了")</f>
        <v>提现不了</v>
      </c>
      <c r="C5509" s="2" t="s">
        <v>9</v>
      </c>
      <c r="D5509" s="2" t="s">
        <v>10</v>
      </c>
      <c r="E5509" s="2" t="str">
        <f>HYPERLINK("http://ts.21cn.com/tousu/show/id/1336343","http://ts.21cn.com/tousu/show/id/1336343")</f>
        <v>http://ts.21cn.com/tousu/show/id/1336343</v>
      </c>
      <c r="F5509" s="2" t="s">
        <v>11</v>
      </c>
      <c r="G5509" s="2" t="s">
        <v>33314</v>
      </c>
      <c r="H5509" s="2" t="s">
        <v>33315</v>
      </c>
    </row>
    <row r="5510" spans="1:8" ht="25.05" customHeight="1" x14ac:dyDescent="0.25">
      <c r="A5510" s="2" t="s">
        <v>8</v>
      </c>
      <c r="B5510" s="2" t="str">
        <f>HYPERLINK("http://ts.21cn.com/tousu/show/id/1336346","刷宝老推赌博平台")</f>
        <v>刷宝老推赌博平台</v>
      </c>
      <c r="C5510" s="2" t="s">
        <v>9</v>
      </c>
      <c r="D5510" s="2" t="s">
        <v>10</v>
      </c>
      <c r="E5510" s="2" t="str">
        <f>HYPERLINK("http://ts.21cn.com/tousu/show/id/1336346","http://ts.21cn.com/tousu/show/id/1336346")</f>
        <v>http://ts.21cn.com/tousu/show/id/1336346</v>
      </c>
      <c r="F5510" s="2" t="s">
        <v>11</v>
      </c>
      <c r="G5510" s="2" t="s">
        <v>33312</v>
      </c>
      <c r="H5510" s="2" t="s">
        <v>33313</v>
      </c>
    </row>
    <row r="5511" spans="1:8" ht="25.05" customHeight="1" x14ac:dyDescent="0.25">
      <c r="A5511" s="2" t="s">
        <v>8</v>
      </c>
      <c r="B5511" s="2" t="str">
        <f>HYPERLINK("http://ts.21cn.com/tousu/show/id/1336329","阴阳合同，弄需作假")</f>
        <v>阴阳合同，弄需作假</v>
      </c>
      <c r="C5511" s="2" t="s">
        <v>9</v>
      </c>
      <c r="D5511" s="2" t="s">
        <v>10</v>
      </c>
      <c r="E5511" s="2" t="str">
        <f>HYPERLINK("http://ts.21cn.com/tousu/show/id/1336329","http://ts.21cn.com/tousu/show/id/1336329")</f>
        <v>http://ts.21cn.com/tousu/show/id/1336329</v>
      </c>
      <c r="F5511" s="2" t="s">
        <v>11</v>
      </c>
      <c r="G5511" s="2" t="s">
        <v>33310</v>
      </c>
      <c r="H5511" s="2" t="s">
        <v>33311</v>
      </c>
    </row>
    <row r="5512" spans="1:8" ht="25.05" customHeight="1" x14ac:dyDescent="0.25">
      <c r="A5512" s="2" t="s">
        <v>8</v>
      </c>
      <c r="B5512" s="2" t="str">
        <f>HYPERLINK("http://ts.21cn.com/tousu/show/id/1336348","易鑫集团高利贷")</f>
        <v>易鑫集团高利贷</v>
      </c>
      <c r="C5512" s="2" t="s">
        <v>9</v>
      </c>
      <c r="D5512" s="2" t="s">
        <v>10</v>
      </c>
      <c r="E5512" s="2" t="str">
        <f>HYPERLINK("http://ts.21cn.com/tousu/show/id/1336348","http://ts.21cn.com/tousu/show/id/1336348")</f>
        <v>http://ts.21cn.com/tousu/show/id/1336348</v>
      </c>
      <c r="F5512" s="2" t="s">
        <v>11</v>
      </c>
      <c r="G5512" s="2" t="s">
        <v>33308</v>
      </c>
      <c r="H5512" s="2" t="s">
        <v>33309</v>
      </c>
    </row>
    <row r="5513" spans="1:8" ht="25.05" customHeight="1" x14ac:dyDescent="0.25">
      <c r="A5513" s="2" t="s">
        <v>8</v>
      </c>
      <c r="B5513" s="2" t="str">
        <f>HYPERLINK("http://ts.21cn.com/tousu/show/id/1336347","投诉维信金科分期")</f>
        <v>投诉维信金科分期</v>
      </c>
      <c r="C5513" s="2" t="s">
        <v>9</v>
      </c>
      <c r="D5513" s="2" t="s">
        <v>10</v>
      </c>
      <c r="E5513" s="2" t="str">
        <f>HYPERLINK("http://ts.21cn.com/tousu/show/id/1336347","http://ts.21cn.com/tousu/show/id/1336347")</f>
        <v>http://ts.21cn.com/tousu/show/id/1336347</v>
      </c>
      <c r="F5513" s="2" t="s">
        <v>11</v>
      </c>
      <c r="G5513" s="2" t="s">
        <v>33307</v>
      </c>
      <c r="H5513" s="2" t="s">
        <v>25538</v>
      </c>
    </row>
    <row r="5514" spans="1:8" ht="25.05" customHeight="1" x14ac:dyDescent="0.25">
      <c r="A5514" s="2" t="s">
        <v>8</v>
      </c>
      <c r="B5514" s="2" t="str">
        <f>HYPERLINK("http://ts.21cn.com/tousu/show/id/1336349","账号登陆不上")</f>
        <v>账号登陆不上</v>
      </c>
      <c r="C5514" s="2" t="s">
        <v>9</v>
      </c>
      <c r="D5514" s="2" t="s">
        <v>10</v>
      </c>
      <c r="E5514" s="2" t="str">
        <f>HYPERLINK("http://ts.21cn.com/tousu/show/id/1336349","http://ts.21cn.com/tousu/show/id/1336349")</f>
        <v>http://ts.21cn.com/tousu/show/id/1336349</v>
      </c>
      <c r="F5514" s="2" t="s">
        <v>11</v>
      </c>
      <c r="G5514" s="2" t="s">
        <v>33304</v>
      </c>
      <c r="H5514" s="2" t="s">
        <v>33305</v>
      </c>
    </row>
    <row r="5515" spans="1:8" ht="25.05" customHeight="1" x14ac:dyDescent="0.25">
      <c r="A5515" s="2" t="s">
        <v>8</v>
      </c>
      <c r="B5515" s="2" t="str">
        <f>HYPERLINK("http://ts.21cn.com/tousu/show/id/1336350","点点通高利贷")</f>
        <v>点点通高利贷</v>
      </c>
      <c r="C5515" s="2" t="s">
        <v>9</v>
      </c>
      <c r="D5515" s="2" t="s">
        <v>10</v>
      </c>
      <c r="E5515" s="2" t="str">
        <f>HYPERLINK("http://ts.21cn.com/tousu/show/id/1336350","http://ts.21cn.com/tousu/show/id/1336350")</f>
        <v>http://ts.21cn.com/tousu/show/id/1336350</v>
      </c>
      <c r="F5515" s="2" t="s">
        <v>11</v>
      </c>
      <c r="G5515" s="2" t="s">
        <v>33304</v>
      </c>
      <c r="H5515" s="2" t="s">
        <v>33306</v>
      </c>
    </row>
    <row r="5516" spans="1:8" ht="25.05" customHeight="1" x14ac:dyDescent="0.25">
      <c r="A5516" s="2" t="s">
        <v>8</v>
      </c>
      <c r="B5516" s="2" t="str">
        <f>HYPERLINK("http://ts.21cn.com/tousu/show/id/1336352","闪银平台暴力催收侮辱谩骂家人盗用本人图片进行人身攻击，性质恶劣")</f>
        <v>闪银平台暴力催收侮辱谩骂家人盗用本人图片进行人身攻击，性质恶劣</v>
      </c>
      <c r="C5516" s="2" t="s">
        <v>9</v>
      </c>
      <c r="D5516" s="2" t="s">
        <v>10</v>
      </c>
      <c r="E5516" s="2" t="str">
        <f>HYPERLINK("http://ts.21cn.com/tousu/show/id/1336352","http://ts.21cn.com/tousu/show/id/1336352")</f>
        <v>http://ts.21cn.com/tousu/show/id/1336352</v>
      </c>
      <c r="F5516" s="2" t="s">
        <v>11</v>
      </c>
      <c r="G5516" s="2" t="s">
        <v>33301</v>
      </c>
      <c r="H5516" s="2" t="s">
        <v>33302</v>
      </c>
    </row>
    <row r="5517" spans="1:8" ht="25.05" customHeight="1" x14ac:dyDescent="0.25">
      <c r="A5517" s="2" t="s">
        <v>8</v>
      </c>
      <c r="B5517" s="2" t="str">
        <f>HYPERLINK("http://ts.21cn.com/tousu/show/id/1336339","民航通黑卡虚假宣传、存在欺诈行为")</f>
        <v>民航通黑卡虚假宣传、存在欺诈行为</v>
      </c>
      <c r="C5517" s="2" t="s">
        <v>9</v>
      </c>
      <c r="D5517" s="2" t="s">
        <v>10</v>
      </c>
      <c r="E5517" s="2" t="str">
        <f>HYPERLINK("http://ts.21cn.com/tousu/show/id/1336339","http://ts.21cn.com/tousu/show/id/1336339")</f>
        <v>http://ts.21cn.com/tousu/show/id/1336339</v>
      </c>
      <c r="F5517" s="2" t="s">
        <v>11</v>
      </c>
      <c r="G5517" s="2" t="s">
        <v>33301</v>
      </c>
      <c r="H5517" s="2" t="s">
        <v>33303</v>
      </c>
    </row>
    <row r="5518" spans="1:8" ht="25.05" customHeight="1" x14ac:dyDescent="0.25">
      <c r="A5518" s="2" t="s">
        <v>8</v>
      </c>
      <c r="B5518" s="2" t="str">
        <f>HYPERLINK("http://ts.21cn.com/tousu/show/id/1336351","特约中智消费在我不知道扣的什么钱的情况下扣除了我两笔钱")</f>
        <v>特约中智消费在我不知道扣的什么钱的情况下扣除了我两笔钱</v>
      </c>
      <c r="C5518" s="2" t="s">
        <v>9</v>
      </c>
      <c r="D5518" s="2" t="s">
        <v>10</v>
      </c>
      <c r="E5518" s="2" t="str">
        <f>HYPERLINK("http://ts.21cn.com/tousu/show/id/1336351","http://ts.21cn.com/tousu/show/id/1336351")</f>
        <v>http://ts.21cn.com/tousu/show/id/1336351</v>
      </c>
      <c r="F5518" s="2" t="s">
        <v>11</v>
      </c>
      <c r="G5518" s="2" t="s">
        <v>33299</v>
      </c>
      <c r="H5518" s="2" t="s">
        <v>33300</v>
      </c>
    </row>
    <row r="5519" spans="1:8" ht="25.05" customHeight="1" x14ac:dyDescent="0.25">
      <c r="A5519" s="2" t="s">
        <v>8</v>
      </c>
      <c r="B5519" s="2" t="str">
        <f>HYPERLINK("http://ts.21cn.com/tousu/show/id/1336353","恐吓威胁")</f>
        <v>恐吓威胁</v>
      </c>
      <c r="C5519" s="2" t="s">
        <v>9</v>
      </c>
      <c r="D5519" s="2" t="s">
        <v>10</v>
      </c>
      <c r="E5519" s="2" t="str">
        <f>HYPERLINK("http://ts.21cn.com/tousu/show/id/1336353","http://ts.21cn.com/tousu/show/id/1336353")</f>
        <v>http://ts.21cn.com/tousu/show/id/1336353</v>
      </c>
      <c r="F5519" s="2" t="s">
        <v>11</v>
      </c>
      <c r="G5519" s="2" t="s">
        <v>33297</v>
      </c>
      <c r="H5519" s="2" t="s">
        <v>33298</v>
      </c>
    </row>
    <row r="5520" spans="1:8" ht="25.05" customHeight="1" x14ac:dyDescent="0.25">
      <c r="A5520" s="2" t="s">
        <v>8</v>
      </c>
      <c r="B5520" s="2" t="str">
        <f>HYPERLINK("http://ts.21cn.com/tousu/show/id/1336354","小虎贷高利贷")</f>
        <v>小虎贷高利贷</v>
      </c>
      <c r="C5520" s="2" t="s">
        <v>9</v>
      </c>
      <c r="D5520" s="2" t="s">
        <v>10</v>
      </c>
      <c r="E5520" s="2" t="str">
        <f>HYPERLINK("http://ts.21cn.com/tousu/show/id/1336354","http://ts.21cn.com/tousu/show/id/1336354")</f>
        <v>http://ts.21cn.com/tousu/show/id/1336354</v>
      </c>
      <c r="F5520" s="2" t="s">
        <v>11</v>
      </c>
      <c r="G5520" s="2" t="s">
        <v>33295</v>
      </c>
      <c r="H5520" s="2" t="s">
        <v>33296</v>
      </c>
    </row>
    <row r="5521" spans="1:8" ht="25.05" customHeight="1" x14ac:dyDescent="0.25">
      <c r="A5521" s="2" t="s">
        <v>8</v>
      </c>
      <c r="B5521" s="2" t="str">
        <f>HYPERLINK("http://ts.21cn.com/tousu/show/id/1336355","接不到单")</f>
        <v>接不到单</v>
      </c>
      <c r="C5521" s="2" t="s">
        <v>34</v>
      </c>
      <c r="D5521" s="2" t="s">
        <v>10</v>
      </c>
      <c r="E5521" s="2" t="str">
        <f>HYPERLINK("http://ts.21cn.com/tousu/show/id/1336355","http://ts.21cn.com/tousu/show/id/1336355")</f>
        <v>http://ts.21cn.com/tousu/show/id/1336355</v>
      </c>
      <c r="F5521" s="2" t="s">
        <v>11</v>
      </c>
      <c r="G5521" s="2" t="s">
        <v>33293</v>
      </c>
      <c r="H5521" s="2" t="s">
        <v>33294</v>
      </c>
    </row>
    <row r="5522" spans="1:8" ht="25.05" customHeight="1" x14ac:dyDescent="0.25">
      <c r="A5522" s="2" t="s">
        <v>8</v>
      </c>
      <c r="B5522" s="2" t="str">
        <f>HYPERLINK("http://ts.21cn.com/tousu/show/id/1336345","滴滴派单欺负合规司机")</f>
        <v>滴滴派单欺负合规司机</v>
      </c>
      <c r="C5522" s="2" t="s">
        <v>9</v>
      </c>
      <c r="D5522" s="2" t="s">
        <v>10</v>
      </c>
      <c r="E5522" s="2" t="str">
        <f>HYPERLINK("http://ts.21cn.com/tousu/show/id/1336345","http://ts.21cn.com/tousu/show/id/1336345")</f>
        <v>http://ts.21cn.com/tousu/show/id/1336345</v>
      </c>
      <c r="F5522" s="2" t="s">
        <v>11</v>
      </c>
      <c r="G5522" s="2" t="s">
        <v>33291</v>
      </c>
      <c r="H5522" s="2" t="s">
        <v>33292</v>
      </c>
    </row>
    <row r="5523" spans="1:8" ht="25.05" customHeight="1" x14ac:dyDescent="0.25">
      <c r="A5523" s="2" t="s">
        <v>8</v>
      </c>
      <c r="B5523" s="2" t="str">
        <f>HYPERLINK("http://ts.21cn.com/tousu/show/id/1336356","京东电商购买的手机，一周出问题未解决")</f>
        <v>京东电商购买的手机，一周出问题未解决</v>
      </c>
      <c r="C5523" s="2" t="s">
        <v>9</v>
      </c>
      <c r="D5523" s="2" t="s">
        <v>10</v>
      </c>
      <c r="E5523" s="2" t="str">
        <f>HYPERLINK("http://ts.21cn.com/tousu/show/id/1336356","http://ts.21cn.com/tousu/show/id/1336356")</f>
        <v>http://ts.21cn.com/tousu/show/id/1336356</v>
      </c>
      <c r="F5523" s="2" t="s">
        <v>11</v>
      </c>
      <c r="G5523" s="2" t="s">
        <v>33289</v>
      </c>
      <c r="H5523" s="2" t="s">
        <v>33290</v>
      </c>
    </row>
    <row r="5524" spans="1:8" ht="25.05" customHeight="1" x14ac:dyDescent="0.25">
      <c r="A5524" s="2" t="s">
        <v>8</v>
      </c>
      <c r="B5524" s="2" t="str">
        <f>HYPERLINK("http://ts.21cn.com/tousu/show/id/1336358","投诉拍拍贷态度恶劣恐吓")</f>
        <v>投诉拍拍贷态度恶劣恐吓</v>
      </c>
      <c r="C5524" s="2" t="s">
        <v>9</v>
      </c>
      <c r="D5524" s="2" t="s">
        <v>10</v>
      </c>
      <c r="E5524" s="2" t="str">
        <f>HYPERLINK("http://ts.21cn.com/tousu/show/id/1336358","http://ts.21cn.com/tousu/show/id/1336358")</f>
        <v>http://ts.21cn.com/tousu/show/id/1336358</v>
      </c>
      <c r="F5524" s="2" t="s">
        <v>11</v>
      </c>
      <c r="G5524" s="2" t="s">
        <v>33287</v>
      </c>
      <c r="H5524" s="2" t="s">
        <v>33288</v>
      </c>
    </row>
    <row r="5525" spans="1:8" ht="25.05" customHeight="1" x14ac:dyDescent="0.25">
      <c r="A5525" s="2" t="s">
        <v>8</v>
      </c>
      <c r="B5525" s="2" t="str">
        <f>HYPERLINK("http://ts.21cn.com/tousu/show/id/1336359","暴力催收爆通讯录砍头息")</f>
        <v>暴力催收爆通讯录砍头息</v>
      </c>
      <c r="C5525" s="2" t="s">
        <v>9</v>
      </c>
      <c r="D5525" s="2" t="s">
        <v>10</v>
      </c>
      <c r="E5525" s="2" t="str">
        <f>HYPERLINK("http://ts.21cn.com/tousu/show/id/1336359","http://ts.21cn.com/tousu/show/id/1336359")</f>
        <v>http://ts.21cn.com/tousu/show/id/1336359</v>
      </c>
      <c r="F5525" s="2" t="s">
        <v>11</v>
      </c>
      <c r="G5525" s="2" t="s">
        <v>33285</v>
      </c>
      <c r="H5525" s="2" t="s">
        <v>33286</v>
      </c>
    </row>
    <row r="5526" spans="1:8" ht="25.05" customHeight="1" x14ac:dyDescent="0.25">
      <c r="A5526" s="2" t="s">
        <v>8</v>
      </c>
      <c r="B5526" s="2" t="str">
        <f>HYPERLINK("http://ts.21cn.com/tousu/show/id/1336360","多宝分期不能还款要求线下还款")</f>
        <v>多宝分期不能还款要求线下还款</v>
      </c>
      <c r="C5526" s="2" t="s">
        <v>9</v>
      </c>
      <c r="D5526" s="2" t="s">
        <v>10</v>
      </c>
      <c r="E5526" s="2" t="str">
        <f>HYPERLINK("http://ts.21cn.com/tousu/show/id/1336360","http://ts.21cn.com/tousu/show/id/1336360")</f>
        <v>http://ts.21cn.com/tousu/show/id/1336360</v>
      </c>
      <c r="F5526" s="2" t="s">
        <v>11</v>
      </c>
      <c r="G5526" s="2" t="s">
        <v>33283</v>
      </c>
      <c r="H5526" s="2" t="s">
        <v>33284</v>
      </c>
    </row>
    <row r="5527" spans="1:8" ht="25.05" customHeight="1" x14ac:dyDescent="0.25">
      <c r="A5527" s="2" t="s">
        <v>8</v>
      </c>
      <c r="B5527" s="2" t="str">
        <f>HYPERLINK("http://ts.21cn.com/tousu/show/id/1336331","捆绑收取会员费，砍头息，变相高利贷")</f>
        <v>捆绑收取会员费，砍头息，变相高利贷</v>
      </c>
      <c r="C5527" s="2" t="s">
        <v>9</v>
      </c>
      <c r="D5527" s="2" t="s">
        <v>10</v>
      </c>
      <c r="E5527" s="2" t="str">
        <f>HYPERLINK("http://ts.21cn.com/tousu/show/id/1336331","http://ts.21cn.com/tousu/show/id/1336331")</f>
        <v>http://ts.21cn.com/tousu/show/id/1336331</v>
      </c>
      <c r="F5527" s="2" t="s">
        <v>11</v>
      </c>
      <c r="G5527" s="2" t="s">
        <v>33281</v>
      </c>
      <c r="H5527" s="2" t="s">
        <v>33282</v>
      </c>
    </row>
    <row r="5528" spans="1:8" ht="25.05" customHeight="1" x14ac:dyDescent="0.25">
      <c r="A5528" s="2" t="s">
        <v>8</v>
      </c>
      <c r="B5528" s="2" t="str">
        <f>HYPERLINK("http://ts.21cn.com/tousu/show/id/1336361","及贷平台天天打电话骚扰，真烦躁")</f>
        <v>及贷平台天天打电话骚扰，真烦躁</v>
      </c>
      <c r="C5528" s="2" t="s">
        <v>9</v>
      </c>
      <c r="D5528" s="2" t="s">
        <v>10</v>
      </c>
      <c r="E5528" s="2" t="str">
        <f>HYPERLINK("http://ts.21cn.com/tousu/show/id/1336361","http://ts.21cn.com/tousu/show/id/1336361")</f>
        <v>http://ts.21cn.com/tousu/show/id/1336361</v>
      </c>
      <c r="F5528" s="2" t="s">
        <v>11</v>
      </c>
      <c r="G5528" s="2" t="s">
        <v>33279</v>
      </c>
      <c r="H5528" s="2" t="s">
        <v>33280</v>
      </c>
    </row>
    <row r="5529" spans="1:8" ht="25.05" customHeight="1" x14ac:dyDescent="0.25">
      <c r="A5529" s="2" t="s">
        <v>8</v>
      </c>
      <c r="B5529" s="2" t="str">
        <f>HYPERLINK("http://ts.21cn.com/tousu/show/id/1336362","申请减免综合费用，一次性还清平台贷款。")</f>
        <v>申请减免综合费用，一次性还清平台贷款。</v>
      </c>
      <c r="C5529" s="2" t="s">
        <v>34</v>
      </c>
      <c r="D5529" s="2" t="s">
        <v>10</v>
      </c>
      <c r="E5529" s="2" t="str">
        <f>HYPERLINK("http://ts.21cn.com/tousu/show/id/1336362","http://ts.21cn.com/tousu/show/id/1336362")</f>
        <v>http://ts.21cn.com/tousu/show/id/1336362</v>
      </c>
      <c r="F5529" s="2" t="s">
        <v>11</v>
      </c>
      <c r="G5529" s="2" t="s">
        <v>33277</v>
      </c>
      <c r="H5529" s="2" t="s">
        <v>33278</v>
      </c>
    </row>
    <row r="5530" spans="1:8" ht="25.05" customHeight="1" x14ac:dyDescent="0.25">
      <c r="A5530" s="2" t="s">
        <v>8</v>
      </c>
      <c r="B5530" s="2" t="str">
        <f>HYPERLINK("http://ts.21cn.com/tousu/show/id/1336363","强行要我家人帮我代还")</f>
        <v>强行要我家人帮我代还</v>
      </c>
      <c r="C5530" s="2" t="s">
        <v>9</v>
      </c>
      <c r="D5530" s="2" t="s">
        <v>10</v>
      </c>
      <c r="E5530" s="2" t="str">
        <f>HYPERLINK("http://ts.21cn.com/tousu/show/id/1336363","http://ts.21cn.com/tousu/show/id/1336363")</f>
        <v>http://ts.21cn.com/tousu/show/id/1336363</v>
      </c>
      <c r="F5530" s="2" t="s">
        <v>11</v>
      </c>
      <c r="G5530" s="2" t="s">
        <v>33275</v>
      </c>
      <c r="H5530" s="2" t="s">
        <v>33276</v>
      </c>
    </row>
    <row r="5531" spans="1:8" ht="25.05" customHeight="1" x14ac:dyDescent="0.25">
      <c r="A5531" s="2" t="s">
        <v>8</v>
      </c>
      <c r="B5531" s="2" t="str">
        <f>HYPERLINK("http://ts.21cn.com/tousu/show/id/1336365","6天高利贷套路贷【天天贷】黑社会暴力违法")</f>
        <v>6天高利贷套路贷【天天贷】黑社会暴力违法</v>
      </c>
      <c r="C5531" s="2" t="s">
        <v>9</v>
      </c>
      <c r="D5531" s="2" t="s">
        <v>10</v>
      </c>
      <c r="E5531" s="2" t="str">
        <f>HYPERLINK("http://ts.21cn.com/tousu/show/id/1336365","http://ts.21cn.com/tousu/show/id/1336365")</f>
        <v>http://ts.21cn.com/tousu/show/id/1336365</v>
      </c>
      <c r="F5531" s="2" t="s">
        <v>11</v>
      </c>
      <c r="G5531" s="2" t="s">
        <v>33273</v>
      </c>
      <c r="H5531" s="2" t="s">
        <v>33274</v>
      </c>
    </row>
    <row r="5532" spans="1:8" ht="25.05" customHeight="1" x14ac:dyDescent="0.25">
      <c r="A5532" s="2" t="s">
        <v>8</v>
      </c>
      <c r="B5532" s="2" t="str">
        <f>HYPERLINK("http://ts.21cn.com/tousu/show/id/1336366","拍拍贷暴力催收")</f>
        <v>拍拍贷暴力催收</v>
      </c>
      <c r="C5532" s="2" t="s">
        <v>9</v>
      </c>
      <c r="D5532" s="2" t="s">
        <v>10</v>
      </c>
      <c r="E5532" s="2" t="str">
        <f>HYPERLINK("http://ts.21cn.com/tousu/show/id/1336366","http://ts.21cn.com/tousu/show/id/1336366")</f>
        <v>http://ts.21cn.com/tousu/show/id/1336366</v>
      </c>
      <c r="F5532" s="2" t="s">
        <v>11</v>
      </c>
      <c r="G5532" s="2" t="s">
        <v>33271</v>
      </c>
      <c r="H5532" s="2" t="s">
        <v>33272</v>
      </c>
    </row>
    <row r="5533" spans="1:8" ht="25.05" customHeight="1" x14ac:dyDescent="0.25">
      <c r="A5533" s="2" t="s">
        <v>8</v>
      </c>
      <c r="B5533" s="2" t="str">
        <f>HYPERLINK("http://ts.21cn.com/tousu/show/id/1336369","神马借高利贷，不能主动还款，逾期费一天100多")</f>
        <v>神马借高利贷，不能主动还款，逾期费一天100多</v>
      </c>
      <c r="C5533" s="2" t="s">
        <v>9</v>
      </c>
      <c r="D5533" s="2" t="s">
        <v>10</v>
      </c>
      <c r="E5533" s="2" t="str">
        <f>HYPERLINK("http://ts.21cn.com/tousu/show/id/1336369","http://ts.21cn.com/tousu/show/id/1336369")</f>
        <v>http://ts.21cn.com/tousu/show/id/1336369</v>
      </c>
      <c r="F5533" s="2" t="s">
        <v>11</v>
      </c>
      <c r="G5533" s="2" t="s">
        <v>33269</v>
      </c>
      <c r="H5533" s="2" t="s">
        <v>33270</v>
      </c>
    </row>
    <row r="5534" spans="1:8" ht="25.05" customHeight="1" x14ac:dyDescent="0.25">
      <c r="A5534" s="2" t="s">
        <v>8</v>
      </c>
      <c r="B5534" s="2" t="str">
        <f>HYPERLINK("http://ts.21cn.com/tousu/show/id/1336367","平安普惠")</f>
        <v>平安普惠</v>
      </c>
      <c r="C5534" s="2" t="s">
        <v>9</v>
      </c>
      <c r="D5534" s="2" t="s">
        <v>10</v>
      </c>
      <c r="E5534" s="2" t="str">
        <f>HYPERLINK("http://ts.21cn.com/tousu/show/id/1336367","http://ts.21cn.com/tousu/show/id/1336367")</f>
        <v>http://ts.21cn.com/tousu/show/id/1336367</v>
      </c>
      <c r="F5534" s="2" t="s">
        <v>11</v>
      </c>
      <c r="G5534" s="2" t="s">
        <v>33267</v>
      </c>
      <c r="H5534" s="2" t="s">
        <v>33268</v>
      </c>
    </row>
    <row r="5535" spans="1:8" ht="25.05" customHeight="1" x14ac:dyDescent="0.25">
      <c r="A5535" s="2" t="s">
        <v>8</v>
      </c>
      <c r="B5535" s="2" t="str">
        <f>HYPERLINK("http://ts.21cn.com/tousu/show/id/1336370","小浦优客未经同意扣款")</f>
        <v>小浦优客未经同意扣款</v>
      </c>
      <c r="C5535" s="2" t="s">
        <v>9</v>
      </c>
      <c r="D5535" s="2" t="s">
        <v>10</v>
      </c>
      <c r="E5535" s="2" t="str">
        <f>HYPERLINK("http://ts.21cn.com/tousu/show/id/1336370","http://ts.21cn.com/tousu/show/id/1336370")</f>
        <v>http://ts.21cn.com/tousu/show/id/1336370</v>
      </c>
      <c r="F5535" s="2" t="s">
        <v>11</v>
      </c>
      <c r="G5535" s="2" t="s">
        <v>33265</v>
      </c>
      <c r="H5535" s="2" t="s">
        <v>33266</v>
      </c>
    </row>
    <row r="5536" spans="1:8" ht="25.05" customHeight="1" x14ac:dyDescent="0.25">
      <c r="A5536" s="2" t="s">
        <v>8</v>
      </c>
      <c r="B5536" s="2" t="str">
        <f>HYPERLINK("http://ts.21cn.com/tousu/show/id/1336357","分期通收取费用不退还")</f>
        <v>分期通收取费用不退还</v>
      </c>
      <c r="C5536" s="2" t="s">
        <v>9</v>
      </c>
      <c r="D5536" s="2" t="s">
        <v>10</v>
      </c>
      <c r="E5536" s="2" t="str">
        <f>HYPERLINK("http://ts.21cn.com/tousu/show/id/1336357","http://ts.21cn.com/tousu/show/id/1336357")</f>
        <v>http://ts.21cn.com/tousu/show/id/1336357</v>
      </c>
      <c r="F5536" s="2" t="s">
        <v>11</v>
      </c>
      <c r="G5536" s="2" t="s">
        <v>33263</v>
      </c>
      <c r="H5536" s="2" t="s">
        <v>33264</v>
      </c>
    </row>
    <row r="5537" spans="1:8" ht="25.05" customHeight="1" x14ac:dyDescent="0.25">
      <c r="A5537" s="2" t="s">
        <v>8</v>
      </c>
      <c r="B5537" s="2" t="str">
        <f>HYPERLINK("http://ts.21cn.com/tousu/show/id/1336371","胡乱收费")</f>
        <v>胡乱收费</v>
      </c>
      <c r="C5537" s="2" t="s">
        <v>9</v>
      </c>
      <c r="D5537" s="2" t="s">
        <v>10</v>
      </c>
      <c r="E5537" s="2" t="str">
        <f>HYPERLINK("http://ts.21cn.com/tousu/show/id/1336371","http://ts.21cn.com/tousu/show/id/1336371")</f>
        <v>http://ts.21cn.com/tousu/show/id/1336371</v>
      </c>
      <c r="F5537" s="2" t="s">
        <v>11</v>
      </c>
      <c r="G5537" s="2" t="s">
        <v>33261</v>
      </c>
      <c r="H5537" s="2" t="s">
        <v>33262</v>
      </c>
    </row>
    <row r="5538" spans="1:8" ht="25.05" customHeight="1" x14ac:dyDescent="0.25">
      <c r="A5538" s="2" t="s">
        <v>8</v>
      </c>
      <c r="B5538" s="2" t="str">
        <f>HYPERLINK("http://ts.21cn.com/tousu/show/id/1336372","银小借恶意扣费")</f>
        <v>银小借恶意扣费</v>
      </c>
      <c r="C5538" s="2" t="s">
        <v>9</v>
      </c>
      <c r="D5538" s="2" t="s">
        <v>10</v>
      </c>
      <c r="E5538" s="2" t="str">
        <f>HYPERLINK("http://ts.21cn.com/tousu/show/id/1336372","http://ts.21cn.com/tousu/show/id/1336372")</f>
        <v>http://ts.21cn.com/tousu/show/id/1336372</v>
      </c>
      <c r="F5538" s="2" t="s">
        <v>11</v>
      </c>
      <c r="G5538" s="2" t="s">
        <v>33259</v>
      </c>
      <c r="H5538" s="2" t="s">
        <v>33260</v>
      </c>
    </row>
    <row r="5539" spans="1:8" ht="25.05" customHeight="1" x14ac:dyDescent="0.25">
      <c r="A5539" s="2" t="s">
        <v>8</v>
      </c>
      <c r="B5539" s="2" t="str">
        <f>HYPERLINK("http://ts.21cn.com/tousu/show/id/1336373","洋钱罐借款套路分期，高利率")</f>
        <v>洋钱罐借款套路分期，高利率</v>
      </c>
      <c r="C5539" s="2" t="s">
        <v>9</v>
      </c>
      <c r="D5539" s="2" t="s">
        <v>10</v>
      </c>
      <c r="E5539" s="2" t="str">
        <f>HYPERLINK("http://ts.21cn.com/tousu/show/id/1336373","http://ts.21cn.com/tousu/show/id/1336373")</f>
        <v>http://ts.21cn.com/tousu/show/id/1336373</v>
      </c>
      <c r="F5539" s="2" t="s">
        <v>11</v>
      </c>
      <c r="G5539" s="2" t="s">
        <v>33257</v>
      </c>
      <c r="H5539" s="2" t="s">
        <v>33258</v>
      </c>
    </row>
    <row r="5540" spans="1:8" ht="25.05" customHeight="1" x14ac:dyDescent="0.25">
      <c r="A5540" s="2" t="s">
        <v>8</v>
      </c>
      <c r="B5540" s="2" t="str">
        <f>HYPERLINK("http://ts.21cn.com/tousu/show/id/1336374","砍头息高利贷")</f>
        <v>砍头息高利贷</v>
      </c>
      <c r="C5540" s="2" t="s">
        <v>9</v>
      </c>
      <c r="D5540" s="2" t="s">
        <v>10</v>
      </c>
      <c r="E5540" s="2" t="str">
        <f>HYPERLINK("http://ts.21cn.com/tousu/show/id/1336374","http://ts.21cn.com/tousu/show/id/1336374")</f>
        <v>http://ts.21cn.com/tousu/show/id/1336374</v>
      </c>
      <c r="F5540" s="2" t="s">
        <v>11</v>
      </c>
      <c r="G5540" s="2" t="s">
        <v>33255</v>
      </c>
      <c r="H5540" s="2" t="s">
        <v>33256</v>
      </c>
    </row>
    <row r="5541" spans="1:8" ht="25.05" customHeight="1" x14ac:dyDescent="0.25">
      <c r="A5541" s="2" t="s">
        <v>8</v>
      </c>
      <c r="B5541" s="2" t="str">
        <f>HYPERLINK("http://ts.21cn.com/tousu/show/id/1336375","飞猪预定酒店不能退款")</f>
        <v>飞猪预定酒店不能退款</v>
      </c>
      <c r="C5541" s="2" t="s">
        <v>9</v>
      </c>
      <c r="D5541" s="2" t="s">
        <v>10</v>
      </c>
      <c r="E5541" s="2" t="str">
        <f>HYPERLINK("http://ts.21cn.com/tousu/show/id/1336375","http://ts.21cn.com/tousu/show/id/1336375")</f>
        <v>http://ts.21cn.com/tousu/show/id/1336375</v>
      </c>
      <c r="F5541" s="2" t="s">
        <v>11</v>
      </c>
      <c r="G5541" s="2" t="s">
        <v>33253</v>
      </c>
      <c r="H5541" s="2" t="s">
        <v>33254</v>
      </c>
    </row>
    <row r="5542" spans="1:8" ht="25.05" customHeight="1" x14ac:dyDescent="0.25">
      <c r="A5542" s="2" t="s">
        <v>8</v>
      </c>
      <c r="B5542" s="2" t="str">
        <f>HYPERLINK("http://ts.21cn.com/tousu/show/id/1336376","我来贷巨额逾期费")</f>
        <v>我来贷巨额逾期费</v>
      </c>
      <c r="C5542" s="2" t="s">
        <v>9</v>
      </c>
      <c r="D5542" s="2" t="s">
        <v>10</v>
      </c>
      <c r="E5542" s="2" t="str">
        <f>HYPERLINK("http://ts.21cn.com/tousu/show/id/1336376","http://ts.21cn.com/tousu/show/id/1336376")</f>
        <v>http://ts.21cn.com/tousu/show/id/1336376</v>
      </c>
      <c r="F5542" s="2" t="s">
        <v>11</v>
      </c>
      <c r="G5542" s="2" t="s">
        <v>33251</v>
      </c>
      <c r="H5542" s="2" t="s">
        <v>33252</v>
      </c>
    </row>
    <row r="5543" spans="1:8" ht="25.05" customHeight="1" x14ac:dyDescent="0.25">
      <c r="A5543" s="2" t="s">
        <v>8</v>
      </c>
      <c r="B5543" s="2" t="str">
        <f>HYPERLINK("http://ts.21cn.com/tousu/show/id/1336377","中腾信暴力催收")</f>
        <v>中腾信暴力催收</v>
      </c>
      <c r="C5543" s="2" t="s">
        <v>9</v>
      </c>
      <c r="D5543" s="2" t="s">
        <v>10</v>
      </c>
      <c r="E5543" s="2" t="str">
        <f>HYPERLINK("http://ts.21cn.com/tousu/show/id/1336377","http://ts.21cn.com/tousu/show/id/1336377")</f>
        <v>http://ts.21cn.com/tousu/show/id/1336377</v>
      </c>
      <c r="F5543" s="2" t="s">
        <v>11</v>
      </c>
      <c r="G5543" s="2" t="s">
        <v>33249</v>
      </c>
      <c r="H5543" s="2" t="s">
        <v>33250</v>
      </c>
    </row>
    <row r="5544" spans="1:8" ht="25.05" customHeight="1" x14ac:dyDescent="0.25">
      <c r="A5544" s="2" t="s">
        <v>8</v>
      </c>
      <c r="B5544" s="2" t="str">
        <f>HYPERLINK("http://ts.21cn.com/tousu/show/id/1336378","借款三千，分期不平衡，逾期乱收费")</f>
        <v>借款三千，分期不平衡，逾期乱收费</v>
      </c>
      <c r="C5544" s="2" t="s">
        <v>9</v>
      </c>
      <c r="D5544" s="2" t="s">
        <v>10</v>
      </c>
      <c r="E5544" s="2" t="str">
        <f>HYPERLINK("http://ts.21cn.com/tousu/show/id/1336378","http://ts.21cn.com/tousu/show/id/1336378")</f>
        <v>http://ts.21cn.com/tousu/show/id/1336378</v>
      </c>
      <c r="F5544" s="2" t="s">
        <v>11</v>
      </c>
      <c r="G5544" s="2" t="s">
        <v>33247</v>
      </c>
      <c r="H5544" s="2" t="s">
        <v>33248</v>
      </c>
    </row>
    <row r="5545" spans="1:8" ht="25.05" customHeight="1" x14ac:dyDescent="0.25">
      <c r="A5545" s="2" t="s">
        <v>8</v>
      </c>
      <c r="B5545" s="2" t="str">
        <f>HYPERLINK("http://ts.21cn.com/tousu/show/id/1336380","钱站暴力催收")</f>
        <v>钱站暴力催收</v>
      </c>
      <c r="C5545" s="2" t="s">
        <v>9</v>
      </c>
      <c r="D5545" s="2" t="s">
        <v>10</v>
      </c>
      <c r="E5545" s="2" t="str">
        <f>HYPERLINK("http://ts.21cn.com/tousu/show/id/1336380","http://ts.21cn.com/tousu/show/id/1336380")</f>
        <v>http://ts.21cn.com/tousu/show/id/1336380</v>
      </c>
      <c r="F5545" s="2" t="s">
        <v>11</v>
      </c>
      <c r="G5545" s="2" t="s">
        <v>33245</v>
      </c>
      <c r="H5545" s="2" t="s">
        <v>33246</v>
      </c>
    </row>
    <row r="5546" spans="1:8" ht="25.05" customHeight="1" x14ac:dyDescent="0.25">
      <c r="A5546" s="2" t="s">
        <v>8</v>
      </c>
      <c r="B5546" s="2" t="str">
        <f>HYPERLINK("http://ts.21cn.com/tousu/show/id/1336381","贷款没到银行卡还要挟还钱")</f>
        <v>贷款没到银行卡还要挟还钱</v>
      </c>
      <c r="C5546" s="2" t="s">
        <v>9</v>
      </c>
      <c r="D5546" s="2" t="s">
        <v>10</v>
      </c>
      <c r="E5546" s="2" t="str">
        <f>HYPERLINK("http://ts.21cn.com/tousu/show/id/1336381","http://ts.21cn.com/tousu/show/id/1336381")</f>
        <v>http://ts.21cn.com/tousu/show/id/1336381</v>
      </c>
      <c r="F5546" s="2" t="s">
        <v>11</v>
      </c>
      <c r="G5546" s="2" t="s">
        <v>33243</v>
      </c>
      <c r="H5546" s="2" t="s">
        <v>33244</v>
      </c>
    </row>
    <row r="5547" spans="1:8" ht="25.05" customHeight="1" x14ac:dyDescent="0.25">
      <c r="A5547" s="2" t="s">
        <v>8</v>
      </c>
      <c r="B5547" s="2" t="str">
        <f>HYPERLINK("http://ts.21cn.com/tousu/show/id/1336382","万惠及贷收取高额息费")</f>
        <v>万惠及贷收取高额息费</v>
      </c>
      <c r="C5547" s="2" t="s">
        <v>9</v>
      </c>
      <c r="D5547" s="2" t="s">
        <v>10</v>
      </c>
      <c r="E5547" s="2" t="str">
        <f>HYPERLINK("http://ts.21cn.com/tousu/show/id/1336382","http://ts.21cn.com/tousu/show/id/1336382")</f>
        <v>http://ts.21cn.com/tousu/show/id/1336382</v>
      </c>
      <c r="F5547" s="2" t="s">
        <v>11</v>
      </c>
      <c r="G5547" s="2" t="s">
        <v>33241</v>
      </c>
      <c r="H5547" s="2" t="s">
        <v>33242</v>
      </c>
    </row>
    <row r="5548" spans="1:8" ht="25.05" customHeight="1" x14ac:dyDescent="0.25">
      <c r="A5548" s="2" t="s">
        <v>8</v>
      </c>
      <c r="B5548" s="2" t="str">
        <f>HYPERLINK("http://ts.21cn.com/tousu/show/id/1336383","云端商务诱导消费")</f>
        <v>云端商务诱导消费</v>
      </c>
      <c r="C5548" s="2" t="s">
        <v>9</v>
      </c>
      <c r="D5548" s="2" t="s">
        <v>10</v>
      </c>
      <c r="E5548" s="2" t="str">
        <f>HYPERLINK("http://ts.21cn.com/tousu/show/id/1336383","http://ts.21cn.com/tousu/show/id/1336383")</f>
        <v>http://ts.21cn.com/tousu/show/id/1336383</v>
      </c>
      <c r="F5548" s="2" t="s">
        <v>11</v>
      </c>
      <c r="G5548" s="2" t="s">
        <v>33239</v>
      </c>
      <c r="H5548" s="2" t="s">
        <v>33240</v>
      </c>
    </row>
    <row r="5549" spans="1:8" ht="25.05" customHeight="1" x14ac:dyDescent="0.25">
      <c r="A5549" s="2" t="s">
        <v>8</v>
      </c>
      <c r="B5549" s="2" t="str">
        <f>HYPERLINK("http://ts.21cn.com/tousu/show/id/1336384","招联金融肆意骚扰恐吓威胁")</f>
        <v>招联金融肆意骚扰恐吓威胁</v>
      </c>
      <c r="C5549" s="2" t="s">
        <v>9</v>
      </c>
      <c r="D5549" s="2" t="s">
        <v>10</v>
      </c>
      <c r="E5549" s="2" t="str">
        <f>HYPERLINK("http://ts.21cn.com/tousu/show/id/1336384","http://ts.21cn.com/tousu/show/id/1336384")</f>
        <v>http://ts.21cn.com/tousu/show/id/1336384</v>
      </c>
      <c r="F5549" s="2" t="s">
        <v>11</v>
      </c>
      <c r="G5549" s="2" t="s">
        <v>33237</v>
      </c>
      <c r="H5549" s="2" t="s">
        <v>33238</v>
      </c>
    </row>
    <row r="5550" spans="1:8" ht="25.05" customHeight="1" x14ac:dyDescent="0.25">
      <c r="A5550" s="2" t="s">
        <v>8</v>
      </c>
      <c r="B5550" s="2" t="str">
        <f>HYPERLINK("http://ts.21cn.com/tousu/show/id/1336385","北京博艺方红商贸有限公司为贷款公司刷卡")</f>
        <v>北京博艺方红商贸有限公司为贷款公司刷卡</v>
      </c>
      <c r="C5550" s="2" t="s">
        <v>9</v>
      </c>
      <c r="D5550" s="2" t="s">
        <v>10</v>
      </c>
      <c r="E5550" s="2" t="str">
        <f>HYPERLINK("http://ts.21cn.com/tousu/show/id/1336385","http://ts.21cn.com/tousu/show/id/1336385")</f>
        <v>http://ts.21cn.com/tousu/show/id/1336385</v>
      </c>
      <c r="F5550" s="2" t="s">
        <v>11</v>
      </c>
      <c r="G5550" s="2" t="s">
        <v>33235</v>
      </c>
      <c r="H5550" s="2" t="s">
        <v>33236</v>
      </c>
    </row>
    <row r="5551" spans="1:8" ht="25.05" customHeight="1" x14ac:dyDescent="0.25">
      <c r="A5551" s="2" t="s">
        <v>8</v>
      </c>
      <c r="B5551" s="2" t="str">
        <f>HYPERLINK("http://ts.21cn.com/tousu/show/id/1336387","钱站高利贷阴阳合同")</f>
        <v>钱站高利贷阴阳合同</v>
      </c>
      <c r="C5551" s="2" t="s">
        <v>9</v>
      </c>
      <c r="D5551" s="2" t="s">
        <v>10</v>
      </c>
      <c r="E5551" s="2" t="str">
        <f>HYPERLINK("http://ts.21cn.com/tousu/show/id/1336387","http://ts.21cn.com/tousu/show/id/1336387")</f>
        <v>http://ts.21cn.com/tousu/show/id/1336387</v>
      </c>
      <c r="F5551" s="2" t="s">
        <v>11</v>
      </c>
      <c r="G5551" s="2" t="s">
        <v>33233</v>
      </c>
      <c r="H5551" s="2" t="s">
        <v>33234</v>
      </c>
    </row>
    <row r="5552" spans="1:8" ht="25.05" customHeight="1" x14ac:dyDescent="0.25">
      <c r="A5552" s="2" t="s">
        <v>8</v>
      </c>
      <c r="B5552" s="2" t="str">
        <f>HYPERLINK("http://ts.21cn.com/tousu/show/id/1336388","滴滴公司乱判责")</f>
        <v>滴滴公司乱判责</v>
      </c>
      <c r="C5552" s="2" t="s">
        <v>9</v>
      </c>
      <c r="D5552" s="2" t="s">
        <v>10</v>
      </c>
      <c r="E5552" s="2" t="str">
        <f>HYPERLINK("http://ts.21cn.com/tousu/show/id/1336388","http://ts.21cn.com/tousu/show/id/1336388")</f>
        <v>http://ts.21cn.com/tousu/show/id/1336388</v>
      </c>
      <c r="F5552" s="2" t="s">
        <v>11</v>
      </c>
      <c r="G5552" s="2" t="s">
        <v>33231</v>
      </c>
      <c r="H5552" s="2" t="s">
        <v>33232</v>
      </c>
    </row>
    <row r="5553" spans="1:8" ht="25.05" customHeight="1" x14ac:dyDescent="0.25">
      <c r="A5553" s="2" t="s">
        <v>8</v>
      </c>
      <c r="B5553" s="2" t="str">
        <f>HYPERLINK("http://ts.21cn.com/tousu/show/id/1336389","滴滴派单不合理")</f>
        <v>滴滴派单不合理</v>
      </c>
      <c r="C5553" s="2" t="s">
        <v>9</v>
      </c>
      <c r="D5553" s="2" t="s">
        <v>10</v>
      </c>
      <c r="E5553" s="2" t="str">
        <f>HYPERLINK("http://ts.21cn.com/tousu/show/id/1336389","http://ts.21cn.com/tousu/show/id/1336389")</f>
        <v>http://ts.21cn.com/tousu/show/id/1336389</v>
      </c>
      <c r="F5553" s="2" t="s">
        <v>11</v>
      </c>
      <c r="G5553" s="2" t="s">
        <v>33229</v>
      </c>
      <c r="H5553" s="2" t="s">
        <v>33230</v>
      </c>
    </row>
    <row r="5554" spans="1:8" ht="25.05" customHeight="1" x14ac:dyDescent="0.25">
      <c r="A5554" s="2" t="s">
        <v>8</v>
      </c>
      <c r="B5554" s="2" t="str">
        <f>HYPERLINK("http://ts.21cn.com/tousu/show/id/1336391","维信金科计划高利贷套路贷")</f>
        <v>维信金科计划高利贷套路贷</v>
      </c>
      <c r="C5554" s="2" t="s">
        <v>9</v>
      </c>
      <c r="D5554" s="2" t="s">
        <v>10</v>
      </c>
      <c r="E5554" s="2" t="str">
        <f>HYPERLINK("http://ts.21cn.com/tousu/show/id/1336391","http://ts.21cn.com/tousu/show/id/1336391")</f>
        <v>http://ts.21cn.com/tousu/show/id/1336391</v>
      </c>
      <c r="F5554" s="2" t="s">
        <v>11</v>
      </c>
      <c r="G5554" s="2" t="s">
        <v>33227</v>
      </c>
      <c r="H5554" s="2" t="s">
        <v>33228</v>
      </c>
    </row>
    <row r="5555" spans="1:8" ht="25.05" customHeight="1" x14ac:dyDescent="0.25">
      <c r="A5555" s="2" t="s">
        <v>8</v>
      </c>
      <c r="B5555" s="2" t="str">
        <f>HYPERLINK("http://ts.21cn.com/tousu/show/id/1336390","接到客服电话要求提供验证码然后钱给划走了，闪银闪贷至尊贷，这去损失谁来赔？")</f>
        <v>接到客服电话要求提供验证码然后钱给划走了，闪银闪贷至尊贷，这去损失谁来赔？</v>
      </c>
      <c r="C5555" s="2" t="s">
        <v>9</v>
      </c>
      <c r="D5555" s="2" t="s">
        <v>10</v>
      </c>
      <c r="E5555" s="2" t="str">
        <f>HYPERLINK("http://ts.21cn.com/tousu/show/id/1336390","http://ts.21cn.com/tousu/show/id/1336390")</f>
        <v>http://ts.21cn.com/tousu/show/id/1336390</v>
      </c>
      <c r="F5555" s="2" t="s">
        <v>11</v>
      </c>
      <c r="G5555" s="2" t="s">
        <v>33225</v>
      </c>
      <c r="H5555" s="2" t="s">
        <v>33226</v>
      </c>
    </row>
    <row r="5556" spans="1:8" ht="25.05" customHeight="1" x14ac:dyDescent="0.25">
      <c r="A5556" s="2" t="s">
        <v>8</v>
      </c>
      <c r="B5556" s="2" t="str">
        <f>HYPERLINK("http://ts.21cn.com/tousu/show/id/1336392","加收服务费")</f>
        <v>加收服务费</v>
      </c>
      <c r="C5556" s="2" t="s">
        <v>34</v>
      </c>
      <c r="D5556" s="2" t="s">
        <v>10</v>
      </c>
      <c r="E5556" s="2" t="str">
        <f>HYPERLINK("http://ts.21cn.com/tousu/show/id/1336392","http://ts.21cn.com/tousu/show/id/1336392")</f>
        <v>http://ts.21cn.com/tousu/show/id/1336392</v>
      </c>
      <c r="F5556" s="2" t="s">
        <v>11</v>
      </c>
      <c r="G5556" s="2" t="s">
        <v>33223</v>
      </c>
      <c r="H5556" s="2" t="s">
        <v>33224</v>
      </c>
    </row>
    <row r="5557" spans="1:8" ht="25.05" customHeight="1" x14ac:dyDescent="0.25">
      <c r="A5557" s="2" t="s">
        <v>8</v>
      </c>
      <c r="B5557" s="2" t="str">
        <f>HYPERLINK("http://ts.21cn.com/tousu/show/id/1336393","小虎贷锁id")</f>
        <v>小虎贷锁id</v>
      </c>
      <c r="C5557" s="2" t="s">
        <v>9</v>
      </c>
      <c r="D5557" s="2" t="s">
        <v>10</v>
      </c>
      <c r="E5557" s="2" t="str">
        <f>HYPERLINK("http://ts.21cn.com/tousu/show/id/1336393","http://ts.21cn.com/tousu/show/id/1336393")</f>
        <v>http://ts.21cn.com/tousu/show/id/1336393</v>
      </c>
      <c r="F5557" s="2" t="s">
        <v>11</v>
      </c>
      <c r="G5557" s="2" t="s">
        <v>33221</v>
      </c>
      <c r="H5557" s="2" t="s">
        <v>33222</v>
      </c>
    </row>
    <row r="5558" spans="1:8" ht="25.05" customHeight="1" x14ac:dyDescent="0.25">
      <c r="A5558" s="2" t="s">
        <v>8</v>
      </c>
      <c r="B5558" s="2" t="str">
        <f>HYPERLINK("http://ts.21cn.com/tousu/show/id/1336394","造艺科技扣款")</f>
        <v>造艺科技扣款</v>
      </c>
      <c r="C5558" s="2" t="s">
        <v>34</v>
      </c>
      <c r="D5558" s="2" t="s">
        <v>10</v>
      </c>
      <c r="E5558" s="2" t="str">
        <f>HYPERLINK("http://ts.21cn.com/tousu/show/id/1336394","http://ts.21cn.com/tousu/show/id/1336394")</f>
        <v>http://ts.21cn.com/tousu/show/id/1336394</v>
      </c>
      <c r="F5558" s="2" t="s">
        <v>11</v>
      </c>
      <c r="G5558" s="2" t="s">
        <v>33219</v>
      </c>
      <c r="H5558" s="2" t="s">
        <v>33220</v>
      </c>
    </row>
    <row r="5559" spans="1:8" ht="25.05" customHeight="1" x14ac:dyDescent="0.25">
      <c r="A5559" s="2" t="s">
        <v>8</v>
      </c>
      <c r="B5559" s="2" t="str">
        <f>HYPERLINK("http://ts.21cn.com/tousu/show/id/1336396","钱站高利贷阴阳合同")</f>
        <v>钱站高利贷阴阳合同</v>
      </c>
      <c r="C5559" s="2" t="s">
        <v>9</v>
      </c>
      <c r="D5559" s="2" t="s">
        <v>10</v>
      </c>
      <c r="E5559" s="2" t="str">
        <f>HYPERLINK("http://ts.21cn.com/tousu/show/id/1336396","http://ts.21cn.com/tousu/show/id/1336396")</f>
        <v>http://ts.21cn.com/tousu/show/id/1336396</v>
      </c>
      <c r="F5559" s="2" t="s">
        <v>11</v>
      </c>
      <c r="G5559" s="2" t="s">
        <v>33217</v>
      </c>
      <c r="H5559" s="2" t="s">
        <v>33218</v>
      </c>
    </row>
    <row r="5560" spans="1:8" ht="25.05" customHeight="1" x14ac:dyDescent="0.25">
      <c r="A5560" s="2" t="s">
        <v>8</v>
      </c>
      <c r="B5560" s="2" t="str">
        <f>HYPERLINK("http://ts.21cn.com/tousu/show/id/1336395","你我贷恶意骚扰联系人扬言发图片发录音")</f>
        <v>你我贷恶意骚扰联系人扬言发图片发录音</v>
      </c>
      <c r="C5560" s="2" t="s">
        <v>9</v>
      </c>
      <c r="D5560" s="2" t="s">
        <v>10</v>
      </c>
      <c r="E5560" s="2" t="str">
        <f>HYPERLINK("http://ts.21cn.com/tousu/show/id/1336395","http://ts.21cn.com/tousu/show/id/1336395")</f>
        <v>http://ts.21cn.com/tousu/show/id/1336395</v>
      </c>
      <c r="F5560" s="2" t="s">
        <v>11</v>
      </c>
      <c r="G5560" s="2" t="s">
        <v>33215</v>
      </c>
      <c r="H5560" s="2" t="s">
        <v>33216</v>
      </c>
    </row>
    <row r="5561" spans="1:8" ht="25.05" customHeight="1" x14ac:dyDescent="0.25">
      <c r="A5561" s="2" t="s">
        <v>8</v>
      </c>
      <c r="B5561" s="2" t="str">
        <f>HYPERLINK("http://ts.21cn.com/tousu/show/id/1336397","及贷")</f>
        <v>及贷</v>
      </c>
      <c r="C5561" s="2" t="s">
        <v>34</v>
      </c>
      <c r="D5561" s="2" t="s">
        <v>10</v>
      </c>
      <c r="E5561" s="2" t="str">
        <f>HYPERLINK("http://ts.21cn.com/tousu/show/id/1336397","http://ts.21cn.com/tousu/show/id/1336397")</f>
        <v>http://ts.21cn.com/tousu/show/id/1336397</v>
      </c>
      <c r="F5561" s="2" t="s">
        <v>11</v>
      </c>
      <c r="G5561" s="2" t="s">
        <v>33213</v>
      </c>
      <c r="H5561" s="2" t="s">
        <v>33214</v>
      </c>
    </row>
    <row r="5562" spans="1:8" ht="25.05" customHeight="1" x14ac:dyDescent="0.25">
      <c r="A5562" s="2" t="s">
        <v>8</v>
      </c>
      <c r="B5562" s="2" t="str">
        <f>HYPERLINK("http://ts.21cn.com/tousu/show/id/1336399","钱包易贷非法暴力催收")</f>
        <v>钱包易贷非法暴力催收</v>
      </c>
      <c r="C5562" s="2" t="s">
        <v>9</v>
      </c>
      <c r="D5562" s="2" t="s">
        <v>10</v>
      </c>
      <c r="E5562" s="2" t="str">
        <f>HYPERLINK("http://ts.21cn.com/tousu/show/id/1336399","http://ts.21cn.com/tousu/show/id/1336399")</f>
        <v>http://ts.21cn.com/tousu/show/id/1336399</v>
      </c>
      <c r="F5562" s="2" t="s">
        <v>11</v>
      </c>
      <c r="G5562" s="2" t="s">
        <v>33211</v>
      </c>
      <c r="H5562" s="2" t="s">
        <v>33212</v>
      </c>
    </row>
    <row r="5563" spans="1:8" ht="25.05" customHeight="1" x14ac:dyDescent="0.25">
      <c r="A5563" s="2" t="s">
        <v>8</v>
      </c>
      <c r="B5563" s="2" t="str">
        <f>HYPERLINK("http://ts.21cn.com/tousu/show/id/1336398","不合理扣款")</f>
        <v>不合理扣款</v>
      </c>
      <c r="C5563" s="2" t="s">
        <v>9</v>
      </c>
      <c r="D5563" s="2" t="s">
        <v>10</v>
      </c>
      <c r="E5563" s="2" t="str">
        <f>HYPERLINK("http://ts.21cn.com/tousu/show/id/1336398","http://ts.21cn.com/tousu/show/id/1336398")</f>
        <v>http://ts.21cn.com/tousu/show/id/1336398</v>
      </c>
      <c r="F5563" s="2" t="s">
        <v>11</v>
      </c>
      <c r="G5563" s="2" t="s">
        <v>33209</v>
      </c>
      <c r="H5563" s="2" t="s">
        <v>33210</v>
      </c>
    </row>
    <row r="5564" spans="1:8" ht="25.05" customHeight="1" x14ac:dyDescent="0.25">
      <c r="A5564" s="2" t="s">
        <v>8</v>
      </c>
      <c r="B5564" s="2" t="str">
        <f>HYPERLINK("http://ts.21cn.com/tousu/show/id/1336400","汽车之家里面的及贷点进去看一下就直接放款了，这不是强制借款吗？，")</f>
        <v>汽车之家里面的及贷点进去看一下就直接放款了，这不是强制借款吗？，</v>
      </c>
      <c r="C5564" s="2" t="s">
        <v>9</v>
      </c>
      <c r="D5564" s="2" t="s">
        <v>10</v>
      </c>
      <c r="E5564" s="2" t="str">
        <f>HYPERLINK("http://ts.21cn.com/tousu/show/id/1336400","http://ts.21cn.com/tousu/show/id/1336400")</f>
        <v>http://ts.21cn.com/tousu/show/id/1336400</v>
      </c>
      <c r="F5564" s="2" t="s">
        <v>11</v>
      </c>
      <c r="G5564" s="2" t="s">
        <v>33207</v>
      </c>
      <c r="H5564" s="2" t="s">
        <v>33208</v>
      </c>
    </row>
    <row r="5565" spans="1:8" ht="25.05" customHeight="1" x14ac:dyDescent="0.25">
      <c r="A5565" s="2" t="s">
        <v>8</v>
      </c>
      <c r="B5565" s="2" t="str">
        <f>HYPERLINK("http://ts.21cn.com/tousu/show/id/1336402","玖富万卡高利贷，阴阳合同")</f>
        <v>玖富万卡高利贷，阴阳合同</v>
      </c>
      <c r="C5565" s="2" t="s">
        <v>9</v>
      </c>
      <c r="D5565" s="2" t="s">
        <v>10</v>
      </c>
      <c r="E5565" s="2" t="str">
        <f>HYPERLINK("http://ts.21cn.com/tousu/show/id/1336402","http://ts.21cn.com/tousu/show/id/1336402")</f>
        <v>http://ts.21cn.com/tousu/show/id/1336402</v>
      </c>
      <c r="F5565" s="2" t="s">
        <v>11</v>
      </c>
      <c r="G5565" s="2" t="s">
        <v>33205</v>
      </c>
      <c r="H5565" s="2" t="s">
        <v>33206</v>
      </c>
    </row>
    <row r="5566" spans="1:8" ht="25.05" customHeight="1" x14ac:dyDescent="0.25">
      <c r="A5566" s="2" t="s">
        <v>8</v>
      </c>
      <c r="B5566" s="2" t="str">
        <f>HYPERLINK("http://ts.21cn.com/tousu/show/id/1336401","额度")</f>
        <v>额度</v>
      </c>
      <c r="C5566" s="2" t="s">
        <v>34</v>
      </c>
      <c r="D5566" s="2" t="s">
        <v>10</v>
      </c>
      <c r="E5566" s="2" t="str">
        <f>HYPERLINK("http://ts.21cn.com/tousu/show/id/1336401","http://ts.21cn.com/tousu/show/id/1336401")</f>
        <v>http://ts.21cn.com/tousu/show/id/1336401</v>
      </c>
      <c r="F5566" s="2" t="s">
        <v>11</v>
      </c>
      <c r="G5566" s="2" t="s">
        <v>33203</v>
      </c>
      <c r="H5566" s="2" t="s">
        <v>33204</v>
      </c>
    </row>
    <row r="5567" spans="1:8" ht="25.05" customHeight="1" x14ac:dyDescent="0.25">
      <c r="A5567" s="2" t="s">
        <v>8</v>
      </c>
      <c r="B5567" s="2" t="str">
        <f>HYPERLINK("http://ts.21cn.com/tousu/show/id/1336403","冒充执法者吓唬我")</f>
        <v>冒充执法者吓唬我</v>
      </c>
      <c r="C5567" s="2" t="s">
        <v>9</v>
      </c>
      <c r="D5567" s="2" t="s">
        <v>10</v>
      </c>
      <c r="E5567" s="2" t="str">
        <f>HYPERLINK("http://ts.21cn.com/tousu/show/id/1336403","http://ts.21cn.com/tousu/show/id/1336403")</f>
        <v>http://ts.21cn.com/tousu/show/id/1336403</v>
      </c>
      <c r="F5567" s="2" t="s">
        <v>11</v>
      </c>
      <c r="G5567" s="2" t="s">
        <v>33201</v>
      </c>
      <c r="H5567" s="2" t="s">
        <v>33202</v>
      </c>
    </row>
    <row r="5568" spans="1:8" ht="25.05" customHeight="1" x14ac:dyDescent="0.25">
      <c r="A5568" s="2" t="s">
        <v>8</v>
      </c>
      <c r="B5568" s="2" t="str">
        <f>HYPERLINK("http://ts.21cn.com/tousu/show/id/1336405","蘑菇租房不解决问题")</f>
        <v>蘑菇租房不解决问题</v>
      </c>
      <c r="C5568" s="2" t="s">
        <v>9</v>
      </c>
      <c r="D5568" s="2" t="s">
        <v>10</v>
      </c>
      <c r="E5568" s="2" t="str">
        <f>HYPERLINK("http://ts.21cn.com/tousu/show/id/1336405","http://ts.21cn.com/tousu/show/id/1336405")</f>
        <v>http://ts.21cn.com/tousu/show/id/1336405</v>
      </c>
      <c r="F5568" s="2" t="s">
        <v>11</v>
      </c>
      <c r="G5568" s="2" t="s">
        <v>33199</v>
      </c>
      <c r="H5568" s="2" t="s">
        <v>33200</v>
      </c>
    </row>
    <row r="5569" spans="1:8" ht="25.05" customHeight="1" x14ac:dyDescent="0.25">
      <c r="A5569" s="2" t="s">
        <v>8</v>
      </c>
      <c r="B5569" s="2" t="str">
        <f>HYPERLINK("http://ts.21cn.com/tousu/show/id/1336406","立借导流万金海高利贷")</f>
        <v>立借导流万金海高利贷</v>
      </c>
      <c r="C5569" s="2" t="s">
        <v>9</v>
      </c>
      <c r="D5569" s="2" t="s">
        <v>10</v>
      </c>
      <c r="E5569" s="2" t="str">
        <f>HYPERLINK("http://ts.21cn.com/tousu/show/id/1336406","http://ts.21cn.com/tousu/show/id/1336406")</f>
        <v>http://ts.21cn.com/tousu/show/id/1336406</v>
      </c>
      <c r="F5569" s="2" t="s">
        <v>11</v>
      </c>
      <c r="G5569" s="2" t="s">
        <v>33197</v>
      </c>
      <c r="H5569" s="2" t="s">
        <v>33198</v>
      </c>
    </row>
    <row r="5570" spans="1:8" ht="25.05" customHeight="1" x14ac:dyDescent="0.25">
      <c r="A5570" s="2" t="s">
        <v>8</v>
      </c>
      <c r="B5570" s="2" t="str">
        <f>HYPERLINK("http://ts.21cn.com/tousu/show/id/1336407","豆豆钱高利率，高利息")</f>
        <v>豆豆钱高利率，高利息</v>
      </c>
      <c r="C5570" s="2" t="s">
        <v>9</v>
      </c>
      <c r="D5570" s="2" t="s">
        <v>10</v>
      </c>
      <c r="E5570" s="2" t="str">
        <f>HYPERLINK("http://ts.21cn.com/tousu/show/id/1336407","http://ts.21cn.com/tousu/show/id/1336407")</f>
        <v>http://ts.21cn.com/tousu/show/id/1336407</v>
      </c>
      <c r="F5570" s="2" t="s">
        <v>11</v>
      </c>
      <c r="G5570" s="2" t="s">
        <v>33195</v>
      </c>
      <c r="H5570" s="2" t="s">
        <v>33196</v>
      </c>
    </row>
    <row r="5571" spans="1:8" ht="25.05" customHeight="1" x14ac:dyDescent="0.25">
      <c r="A5571" s="2" t="s">
        <v>8</v>
      </c>
      <c r="B5571" s="2" t="str">
        <f>HYPERLINK("http://ts.21cn.com/tousu/show/id/1336408","暴力追缴，语言攻击")</f>
        <v>暴力追缴，语言攻击</v>
      </c>
      <c r="C5571" s="2" t="s">
        <v>9</v>
      </c>
      <c r="D5571" s="2" t="s">
        <v>10</v>
      </c>
      <c r="E5571" s="2" t="str">
        <f>HYPERLINK("http://ts.21cn.com/tousu/show/id/1336408","http://ts.21cn.com/tousu/show/id/1336408")</f>
        <v>http://ts.21cn.com/tousu/show/id/1336408</v>
      </c>
      <c r="F5571" s="2" t="s">
        <v>11</v>
      </c>
      <c r="G5571" s="2" t="s">
        <v>33193</v>
      </c>
      <c r="H5571" s="2" t="s">
        <v>33194</v>
      </c>
    </row>
    <row r="5572" spans="1:8" ht="25.05" customHeight="1" x14ac:dyDescent="0.25">
      <c r="A5572" s="2" t="s">
        <v>8</v>
      </c>
      <c r="B5572" s="2" t="str">
        <f>HYPERLINK("http://ts.21cn.com/tousu/show/id/1336409","高利率，严重骚扰，")</f>
        <v>高利率，严重骚扰，</v>
      </c>
      <c r="C5572" s="2" t="s">
        <v>9</v>
      </c>
      <c r="D5572" s="2" t="s">
        <v>10</v>
      </c>
      <c r="E5572" s="2" t="str">
        <f>HYPERLINK("http://ts.21cn.com/tousu/show/id/1336409","http://ts.21cn.com/tousu/show/id/1336409")</f>
        <v>http://ts.21cn.com/tousu/show/id/1336409</v>
      </c>
      <c r="F5572" s="2" t="s">
        <v>11</v>
      </c>
      <c r="G5572" s="2" t="s">
        <v>33191</v>
      </c>
      <c r="H5572" s="2" t="s">
        <v>33192</v>
      </c>
    </row>
    <row r="5573" spans="1:8" ht="25.05" customHeight="1" x14ac:dyDescent="0.25">
      <c r="A5573" s="2" t="s">
        <v>8</v>
      </c>
      <c r="B5573" s="2" t="str">
        <f>HYPERLINK("http://ts.21cn.com/tousu/show/id/1336414","维信金科强制分期，提前还款仍收取高价利息费用")</f>
        <v>维信金科强制分期，提前还款仍收取高价利息费用</v>
      </c>
      <c r="C5573" s="2" t="s">
        <v>9</v>
      </c>
      <c r="D5573" s="2" t="s">
        <v>10</v>
      </c>
      <c r="E5573" s="2" t="str">
        <f>HYPERLINK("http://ts.21cn.com/tousu/show/id/1336414","http://ts.21cn.com/tousu/show/id/1336414")</f>
        <v>http://ts.21cn.com/tousu/show/id/1336414</v>
      </c>
      <c r="F5573" s="2" t="s">
        <v>11</v>
      </c>
      <c r="G5573" s="2" t="s">
        <v>33186</v>
      </c>
      <c r="H5573" s="2" t="s">
        <v>33187</v>
      </c>
    </row>
    <row r="5574" spans="1:8" ht="25.05" customHeight="1" x14ac:dyDescent="0.25">
      <c r="A5574" s="2" t="s">
        <v>8</v>
      </c>
      <c r="B5574" s="2" t="str">
        <f>HYPERLINK("http://ts.21cn.com/tousu/show/id/1336412","信用管家里91买呗涉及高利贷砍头息")</f>
        <v>信用管家里91买呗涉及高利贷砍头息</v>
      </c>
      <c r="C5574" s="2" t="s">
        <v>9</v>
      </c>
      <c r="D5574" s="2" t="s">
        <v>10</v>
      </c>
      <c r="E5574" s="2" t="str">
        <f>HYPERLINK("http://ts.21cn.com/tousu/show/id/1336412","http://ts.21cn.com/tousu/show/id/1336412")</f>
        <v>http://ts.21cn.com/tousu/show/id/1336412</v>
      </c>
      <c r="F5574" s="2" t="s">
        <v>11</v>
      </c>
      <c r="G5574" s="2" t="s">
        <v>33186</v>
      </c>
      <c r="H5574" s="2" t="s">
        <v>33188</v>
      </c>
    </row>
    <row r="5575" spans="1:8" ht="25.05" customHeight="1" x14ac:dyDescent="0.25">
      <c r="A5575" s="2" t="s">
        <v>8</v>
      </c>
      <c r="B5575" s="2" t="str">
        <f>HYPERLINK("http://ts.21cn.com/tousu/show/id/1336411","中信银行第三方催收公司骚扰电话")</f>
        <v>中信银行第三方催收公司骚扰电话</v>
      </c>
      <c r="C5575" s="2" t="s">
        <v>9</v>
      </c>
      <c r="D5575" s="2" t="s">
        <v>10</v>
      </c>
      <c r="E5575" s="2" t="str">
        <f>HYPERLINK("http://ts.21cn.com/tousu/show/id/1336411","http://ts.21cn.com/tousu/show/id/1336411")</f>
        <v>http://ts.21cn.com/tousu/show/id/1336411</v>
      </c>
      <c r="F5575" s="2" t="s">
        <v>11</v>
      </c>
      <c r="G5575" s="2" t="s">
        <v>33186</v>
      </c>
      <c r="H5575" s="2" t="s">
        <v>33189</v>
      </c>
    </row>
    <row r="5576" spans="1:8" ht="25.05" customHeight="1" x14ac:dyDescent="0.25">
      <c r="A5576" s="2" t="s">
        <v>8</v>
      </c>
      <c r="B5576" s="2" t="str">
        <f>HYPERLINK("http://ts.21cn.com/tousu/show/id/1336413","还没逾期就开始天天打骚扰电话，这种平台谁敢借？")</f>
        <v>还没逾期就开始天天打骚扰电话，这种平台谁敢借？</v>
      </c>
      <c r="C5576" s="2" t="s">
        <v>9</v>
      </c>
      <c r="D5576" s="2" t="s">
        <v>10</v>
      </c>
      <c r="E5576" s="2" t="str">
        <f>HYPERLINK("http://ts.21cn.com/tousu/show/id/1336413","http://ts.21cn.com/tousu/show/id/1336413")</f>
        <v>http://ts.21cn.com/tousu/show/id/1336413</v>
      </c>
      <c r="F5576" s="2" t="s">
        <v>11</v>
      </c>
      <c r="G5576" s="2" t="s">
        <v>33186</v>
      </c>
      <c r="H5576" s="2" t="s">
        <v>33190</v>
      </c>
    </row>
    <row r="5577" spans="1:8" ht="25.05" customHeight="1" x14ac:dyDescent="0.25">
      <c r="A5577" s="2" t="s">
        <v>8</v>
      </c>
      <c r="B5577" s="2" t="str">
        <f>HYPERLINK("http://ts.21cn.com/tousu/show/id/1336410","黑心贷")</f>
        <v>黑心贷</v>
      </c>
      <c r="C5577" s="2" t="s">
        <v>9</v>
      </c>
      <c r="D5577" s="2" t="s">
        <v>10</v>
      </c>
      <c r="E5577" s="2" t="str">
        <f>HYPERLINK("http://ts.21cn.com/tousu/show/id/1336410","http://ts.21cn.com/tousu/show/id/1336410")</f>
        <v>http://ts.21cn.com/tousu/show/id/1336410</v>
      </c>
      <c r="F5577" s="2" t="s">
        <v>11</v>
      </c>
      <c r="G5577" s="2" t="s">
        <v>33184</v>
      </c>
      <c r="H5577" s="2" t="s">
        <v>33185</v>
      </c>
    </row>
    <row r="5578" spans="1:8" ht="25.05" customHeight="1" x14ac:dyDescent="0.25">
      <c r="A5578" s="2" t="s">
        <v>8</v>
      </c>
      <c r="B5578" s="2" t="str">
        <f>HYPERLINK("http://ts.21cn.com/tousu/show/id/1336416","邻居家暴力收款")</f>
        <v>邻居家暴力收款</v>
      </c>
      <c r="C5578" s="2" t="s">
        <v>9</v>
      </c>
      <c r="D5578" s="2" t="s">
        <v>10</v>
      </c>
      <c r="E5578" s="2" t="str">
        <f>HYPERLINK("http://ts.21cn.com/tousu/show/id/1336416","http://ts.21cn.com/tousu/show/id/1336416")</f>
        <v>http://ts.21cn.com/tousu/show/id/1336416</v>
      </c>
      <c r="F5578" s="2" t="s">
        <v>11</v>
      </c>
      <c r="G5578" s="2" t="s">
        <v>33182</v>
      </c>
      <c r="H5578" s="2" t="s">
        <v>33183</v>
      </c>
    </row>
    <row r="5579" spans="1:8" ht="25.05" customHeight="1" x14ac:dyDescent="0.25">
      <c r="A5579" s="2" t="s">
        <v>8</v>
      </c>
      <c r="B5579" s="2" t="str">
        <f>HYPERLINK("http://ts.21cn.com/tousu/show/id/1336417","我来贷无法提前结清")</f>
        <v>我来贷无法提前结清</v>
      </c>
      <c r="C5579" s="2" t="s">
        <v>9</v>
      </c>
      <c r="D5579" s="2" t="s">
        <v>10</v>
      </c>
      <c r="E5579" s="2" t="str">
        <f>HYPERLINK("http://ts.21cn.com/tousu/show/id/1336417","http://ts.21cn.com/tousu/show/id/1336417")</f>
        <v>http://ts.21cn.com/tousu/show/id/1336417</v>
      </c>
      <c r="F5579" s="2" t="s">
        <v>11</v>
      </c>
      <c r="G5579" s="2" t="s">
        <v>33180</v>
      </c>
      <c r="H5579" s="2" t="s">
        <v>33181</v>
      </c>
    </row>
    <row r="5580" spans="1:8" ht="25.05" customHeight="1" x14ac:dyDescent="0.25">
      <c r="A5580" s="2" t="s">
        <v>8</v>
      </c>
      <c r="B5580" s="2" t="str">
        <f>HYPERLINK("http://ts.21cn.com/tousu/show/id/1336418","众安保险在投保人不知情的情况捆绑销售保险")</f>
        <v>众安保险在投保人不知情的情况捆绑销售保险</v>
      </c>
      <c r="C5580" s="2" t="s">
        <v>9</v>
      </c>
      <c r="D5580" s="2" t="s">
        <v>10</v>
      </c>
      <c r="E5580" s="2" t="str">
        <f>HYPERLINK("http://ts.21cn.com/tousu/show/id/1336418","http://ts.21cn.com/tousu/show/id/1336418")</f>
        <v>http://ts.21cn.com/tousu/show/id/1336418</v>
      </c>
      <c r="F5580" s="2" t="s">
        <v>11</v>
      </c>
      <c r="G5580" s="2" t="s">
        <v>33178</v>
      </c>
      <c r="H5580" s="2" t="s">
        <v>33179</v>
      </c>
    </row>
    <row r="5581" spans="1:8" ht="25.05" customHeight="1" x14ac:dyDescent="0.25">
      <c r="A5581" s="2" t="s">
        <v>8</v>
      </c>
      <c r="B5581" s="2" t="str">
        <f>HYPERLINK("http://ts.21cn.com/tousu/show/id/1336419","一个朋友在及贷借的款填写的我的号码，后来没联系了，然后天天打电话骚扰我")</f>
        <v>一个朋友在及贷借的款填写的我的号码，后来没联系了，然后天天打电话骚扰我</v>
      </c>
      <c r="C5581" s="2" t="s">
        <v>9</v>
      </c>
      <c r="D5581" s="2" t="s">
        <v>10</v>
      </c>
      <c r="E5581" s="2" t="str">
        <f>HYPERLINK("http://ts.21cn.com/tousu/show/id/1336419","http://ts.21cn.com/tousu/show/id/1336419")</f>
        <v>http://ts.21cn.com/tousu/show/id/1336419</v>
      </c>
      <c r="F5581" s="2" t="s">
        <v>11</v>
      </c>
      <c r="G5581" s="2" t="s">
        <v>33176</v>
      </c>
      <c r="H5581" s="2" t="s">
        <v>33177</v>
      </c>
    </row>
    <row r="5582" spans="1:8" ht="25.05" customHeight="1" x14ac:dyDescent="0.25">
      <c r="A5582" s="2" t="s">
        <v>8</v>
      </c>
      <c r="B5582" s="2" t="str">
        <f>HYPERLINK("http://ts.21cn.com/tousu/show/id/1336421","及贷没经过本人同意爆我通讯录")</f>
        <v>及贷没经过本人同意爆我通讯录</v>
      </c>
      <c r="C5582" s="2" t="s">
        <v>9</v>
      </c>
      <c r="D5582" s="2" t="s">
        <v>10</v>
      </c>
      <c r="E5582" s="2" t="str">
        <f>HYPERLINK("http://ts.21cn.com/tousu/show/id/1336421","http://ts.21cn.com/tousu/show/id/1336421")</f>
        <v>http://ts.21cn.com/tousu/show/id/1336421</v>
      </c>
      <c r="F5582" s="2" t="s">
        <v>11</v>
      </c>
      <c r="G5582" s="2" t="s">
        <v>33174</v>
      </c>
      <c r="H5582" s="2" t="s">
        <v>33175</v>
      </c>
    </row>
    <row r="5583" spans="1:8" ht="25.05" customHeight="1" x14ac:dyDescent="0.25">
      <c r="A5583" s="2" t="s">
        <v>8</v>
      </c>
      <c r="B5583" s="2" t="str">
        <f>HYPERLINK("http://ts.21cn.com/tousu/show/id/1336422","无故扣款")</f>
        <v>无故扣款</v>
      </c>
      <c r="C5583" s="2" t="s">
        <v>34</v>
      </c>
      <c r="D5583" s="2" t="s">
        <v>10</v>
      </c>
      <c r="E5583" s="2" t="str">
        <f>HYPERLINK("http://ts.21cn.com/tousu/show/id/1336422","http://ts.21cn.com/tousu/show/id/1336422")</f>
        <v>http://ts.21cn.com/tousu/show/id/1336422</v>
      </c>
      <c r="F5583" s="2" t="s">
        <v>11</v>
      </c>
      <c r="G5583" s="2" t="s">
        <v>33172</v>
      </c>
      <c r="H5583" s="2" t="s">
        <v>33173</v>
      </c>
    </row>
    <row r="5584" spans="1:8" ht="25.05" customHeight="1" x14ac:dyDescent="0.25">
      <c r="A5584" s="2" t="s">
        <v>8</v>
      </c>
      <c r="B5584" s="2" t="str">
        <f>HYPERLINK("http://ts.21cn.com/tousu/show/id/1336424","快贷公司暴击催收")</f>
        <v>快贷公司暴击催收</v>
      </c>
      <c r="C5584" s="2" t="s">
        <v>9</v>
      </c>
      <c r="D5584" s="2" t="s">
        <v>10</v>
      </c>
      <c r="E5584" s="2" t="str">
        <f>HYPERLINK("http://ts.21cn.com/tousu/show/id/1336424","http://ts.21cn.com/tousu/show/id/1336424")</f>
        <v>http://ts.21cn.com/tousu/show/id/1336424</v>
      </c>
      <c r="F5584" s="2" t="s">
        <v>11</v>
      </c>
      <c r="G5584" s="2" t="s">
        <v>33170</v>
      </c>
      <c r="H5584" s="2" t="s">
        <v>33171</v>
      </c>
    </row>
    <row r="5585" spans="1:8" ht="25.05" customHeight="1" x14ac:dyDescent="0.25">
      <c r="A5585" s="2" t="s">
        <v>8</v>
      </c>
      <c r="B5585" s="2" t="str">
        <f>HYPERLINK("http://ts.21cn.com/tousu/show/id/1336425","快钱支付与合顺宝高利贷")</f>
        <v>快钱支付与合顺宝高利贷</v>
      </c>
      <c r="C5585" s="2" t="s">
        <v>9</v>
      </c>
      <c r="D5585" s="2" t="s">
        <v>10</v>
      </c>
      <c r="E5585" s="2" t="str">
        <f>HYPERLINK("http://ts.21cn.com/tousu/show/id/1336425","http://ts.21cn.com/tousu/show/id/1336425")</f>
        <v>http://ts.21cn.com/tousu/show/id/1336425</v>
      </c>
      <c r="F5585" s="2" t="s">
        <v>11</v>
      </c>
      <c r="G5585" s="2" t="s">
        <v>33168</v>
      </c>
      <c r="H5585" s="2" t="s">
        <v>33169</v>
      </c>
    </row>
    <row r="5586" spans="1:8" ht="25.05" customHeight="1" x14ac:dyDescent="0.25">
      <c r="A5586" s="2" t="s">
        <v>8</v>
      </c>
      <c r="B5586" s="2" t="str">
        <f>HYPERLINK("http://ts.21cn.com/tousu/show/id/1336426","你我贷高利贷阴阳合同")</f>
        <v>你我贷高利贷阴阳合同</v>
      </c>
      <c r="C5586" s="2" t="s">
        <v>9</v>
      </c>
      <c r="D5586" s="2" t="s">
        <v>10</v>
      </c>
      <c r="E5586" s="2" t="str">
        <f>HYPERLINK("http://ts.21cn.com/tousu/show/id/1336426","http://ts.21cn.com/tousu/show/id/1336426")</f>
        <v>http://ts.21cn.com/tousu/show/id/1336426</v>
      </c>
      <c r="F5586" s="2" t="s">
        <v>11</v>
      </c>
      <c r="G5586" s="2" t="s">
        <v>33166</v>
      </c>
      <c r="H5586" s="2" t="s">
        <v>33167</v>
      </c>
    </row>
    <row r="5587" spans="1:8" ht="25.05" customHeight="1" x14ac:dyDescent="0.25">
      <c r="A5587" s="2" t="s">
        <v>8</v>
      </c>
      <c r="B5587" s="2" t="str">
        <f>HYPERLINK("http://ts.21cn.com/tousu/show/id/1336427","松紧贷暴力催收侮辱亲朋好友")</f>
        <v>松紧贷暴力催收侮辱亲朋好友</v>
      </c>
      <c r="C5587" s="2" t="s">
        <v>9</v>
      </c>
      <c r="D5587" s="2" t="s">
        <v>10</v>
      </c>
      <c r="E5587" s="2" t="str">
        <f>HYPERLINK("http://ts.21cn.com/tousu/show/id/1336427","http://ts.21cn.com/tousu/show/id/1336427")</f>
        <v>http://ts.21cn.com/tousu/show/id/1336427</v>
      </c>
      <c r="F5587" s="2" t="s">
        <v>11</v>
      </c>
      <c r="G5587" s="2" t="s">
        <v>33164</v>
      </c>
      <c r="H5587" s="2" t="s">
        <v>33165</v>
      </c>
    </row>
    <row r="5588" spans="1:8" ht="25.05" customHeight="1" x14ac:dyDescent="0.25">
      <c r="A5588" s="2" t="s">
        <v>8</v>
      </c>
      <c r="B5588" s="2" t="str">
        <f>HYPERLINK("http://ts.21cn.com/tousu/show/id/1336428","哈啰单车调度费不退还")</f>
        <v>哈啰单车调度费不退还</v>
      </c>
      <c r="C5588" s="2" t="s">
        <v>9</v>
      </c>
      <c r="D5588" s="2" t="s">
        <v>10</v>
      </c>
      <c r="E5588" s="2" t="str">
        <f>HYPERLINK("http://ts.21cn.com/tousu/show/id/1336428","http://ts.21cn.com/tousu/show/id/1336428")</f>
        <v>http://ts.21cn.com/tousu/show/id/1336428</v>
      </c>
      <c r="F5588" s="2" t="s">
        <v>11</v>
      </c>
      <c r="G5588" s="2" t="s">
        <v>33162</v>
      </c>
      <c r="H5588" s="2" t="s">
        <v>33163</v>
      </c>
    </row>
    <row r="5589" spans="1:8" ht="25.05" customHeight="1" x14ac:dyDescent="0.25">
      <c r="A5589" s="2" t="s">
        <v>8</v>
      </c>
      <c r="B5589" s="2" t="str">
        <f>HYPERLINK("http://ts.21cn.com/tousu/show/id/1336209","浦发信用卡暴力催收，违法找第三方外包公司骚扰家人")</f>
        <v>浦发信用卡暴力催收，违法找第三方外包公司骚扰家人</v>
      </c>
      <c r="C5589" s="2" t="s">
        <v>9</v>
      </c>
      <c r="D5589" s="2" t="s">
        <v>10</v>
      </c>
      <c r="E5589" s="2" t="str">
        <f>HYPERLINK("http://ts.21cn.com/tousu/show/id/1336209","http://ts.21cn.com/tousu/show/id/1336209")</f>
        <v>http://ts.21cn.com/tousu/show/id/1336209</v>
      </c>
      <c r="F5589" s="2" t="s">
        <v>11</v>
      </c>
      <c r="G5589" s="2" t="s">
        <v>33160</v>
      </c>
      <c r="H5589" s="2" t="s">
        <v>33161</v>
      </c>
    </row>
    <row r="5590" spans="1:8" ht="25.05" customHeight="1" x14ac:dyDescent="0.25">
      <c r="A5590" s="2" t="s">
        <v>8</v>
      </c>
      <c r="B5590" s="2" t="str">
        <f>HYPERLINK("http://ts.21cn.com/tousu/show/id/1336429","小浦优客未经同意扣款")</f>
        <v>小浦优客未经同意扣款</v>
      </c>
      <c r="C5590" s="2" t="s">
        <v>34</v>
      </c>
      <c r="D5590" s="2" t="s">
        <v>10</v>
      </c>
      <c r="E5590" s="2" t="str">
        <f>HYPERLINK("http://ts.21cn.com/tousu/show/id/1336429","http://ts.21cn.com/tousu/show/id/1336429")</f>
        <v>http://ts.21cn.com/tousu/show/id/1336429</v>
      </c>
      <c r="F5590" s="2" t="s">
        <v>11</v>
      </c>
      <c r="G5590" s="2" t="s">
        <v>33158</v>
      </c>
      <c r="H5590" s="2" t="s">
        <v>33159</v>
      </c>
    </row>
    <row r="5591" spans="1:8" ht="25.05" customHeight="1" x14ac:dyDescent="0.25">
      <c r="A5591" s="2" t="s">
        <v>8</v>
      </c>
      <c r="B5591" s="2" t="str">
        <f>HYPERLINK("http://ts.21cn.com/tousu/show/id/1336431","摆渡者售卖翻新机")</f>
        <v>摆渡者售卖翻新机</v>
      </c>
      <c r="C5591" s="2" t="s">
        <v>34</v>
      </c>
      <c r="D5591" s="2" t="s">
        <v>10</v>
      </c>
      <c r="E5591" s="2" t="str">
        <f>HYPERLINK("http://ts.21cn.com/tousu/show/id/1336431","http://ts.21cn.com/tousu/show/id/1336431")</f>
        <v>http://ts.21cn.com/tousu/show/id/1336431</v>
      </c>
      <c r="F5591" s="2" t="s">
        <v>11</v>
      </c>
      <c r="G5591" s="2" t="s">
        <v>33156</v>
      </c>
      <c r="H5591" s="2" t="s">
        <v>33157</v>
      </c>
    </row>
    <row r="5592" spans="1:8" ht="25.05" customHeight="1" x14ac:dyDescent="0.25">
      <c r="A5592" s="2" t="s">
        <v>8</v>
      </c>
      <c r="B5592" s="2" t="str">
        <f>HYPERLINK("http://ts.21cn.com/tousu/show/id/1336433","滴滴快车")</f>
        <v>滴滴快车</v>
      </c>
      <c r="C5592" s="2" t="s">
        <v>34</v>
      </c>
      <c r="D5592" s="2" t="s">
        <v>10</v>
      </c>
      <c r="E5592" s="2" t="str">
        <f>HYPERLINK("http://ts.21cn.com/tousu/show/id/1336433","http://ts.21cn.com/tousu/show/id/1336433")</f>
        <v>http://ts.21cn.com/tousu/show/id/1336433</v>
      </c>
      <c r="F5592" s="2" t="s">
        <v>11</v>
      </c>
      <c r="G5592" s="2" t="s">
        <v>33154</v>
      </c>
      <c r="H5592" s="2" t="s">
        <v>33155</v>
      </c>
    </row>
    <row r="5593" spans="1:8" ht="25.05" customHeight="1" x14ac:dyDescent="0.25">
      <c r="A5593" s="2" t="s">
        <v>8</v>
      </c>
      <c r="B5593" s="2" t="str">
        <f>HYPERLINK("http://ts.21cn.com/tousu/show/id/1336435","暴力催收骚扰")</f>
        <v>暴力催收骚扰</v>
      </c>
      <c r="C5593" s="2" t="s">
        <v>9</v>
      </c>
      <c r="D5593" s="2" t="s">
        <v>10</v>
      </c>
      <c r="E5593" s="2" t="str">
        <f>HYPERLINK("http://ts.21cn.com/tousu/show/id/1336435","http://ts.21cn.com/tousu/show/id/1336435")</f>
        <v>http://ts.21cn.com/tousu/show/id/1336435</v>
      </c>
      <c r="F5593" s="2" t="s">
        <v>11</v>
      </c>
      <c r="G5593" s="2" t="s">
        <v>33152</v>
      </c>
      <c r="H5593" s="2" t="s">
        <v>33153</v>
      </c>
    </row>
    <row r="5594" spans="1:8" ht="25.05" customHeight="1" x14ac:dyDescent="0.25">
      <c r="A5594" s="2" t="s">
        <v>8</v>
      </c>
      <c r="B5594" s="2" t="str">
        <f>HYPERLINK("http://ts.21cn.com/tousu/show/id/1336423","企鹅电竞中奖迟迟不发货")</f>
        <v>企鹅电竞中奖迟迟不发货</v>
      </c>
      <c r="C5594" s="2" t="s">
        <v>9</v>
      </c>
      <c r="D5594" s="2" t="s">
        <v>10</v>
      </c>
      <c r="E5594" s="2" t="str">
        <f>HYPERLINK("http://ts.21cn.com/tousu/show/id/1336423","http://ts.21cn.com/tousu/show/id/1336423")</f>
        <v>http://ts.21cn.com/tousu/show/id/1336423</v>
      </c>
      <c r="F5594" s="2" t="s">
        <v>11</v>
      </c>
      <c r="G5594" s="2" t="s">
        <v>33150</v>
      </c>
      <c r="H5594" s="2" t="s">
        <v>33151</v>
      </c>
    </row>
    <row r="5595" spans="1:8" ht="25.05" customHeight="1" x14ac:dyDescent="0.25">
      <c r="A5595" s="2" t="s">
        <v>8</v>
      </c>
      <c r="B5595" s="2" t="str">
        <f>HYPERLINK("http://ts.21cn.com/tousu/show/id/1336437","平安普惠软暴力催收")</f>
        <v>平安普惠软暴力催收</v>
      </c>
      <c r="C5595" s="2" t="s">
        <v>9</v>
      </c>
      <c r="D5595" s="2" t="s">
        <v>10</v>
      </c>
      <c r="E5595" s="2" t="str">
        <f>HYPERLINK("http://ts.21cn.com/tousu/show/id/1336437","http://ts.21cn.com/tousu/show/id/1336437")</f>
        <v>http://ts.21cn.com/tousu/show/id/1336437</v>
      </c>
      <c r="F5595" s="2" t="s">
        <v>11</v>
      </c>
      <c r="G5595" s="2" t="s">
        <v>33148</v>
      </c>
      <c r="H5595" s="2" t="s">
        <v>33149</v>
      </c>
    </row>
    <row r="5596" spans="1:8" ht="25.05" customHeight="1" x14ac:dyDescent="0.25">
      <c r="A5596" s="2" t="s">
        <v>8</v>
      </c>
      <c r="B5596" s="2" t="str">
        <f>HYPERLINK("http://ts.21cn.com/tousu/show/id/1336438","京东白条外包电话威胁上门并发假律师函")</f>
        <v>京东白条外包电话威胁上门并发假律师函</v>
      </c>
      <c r="C5596" s="2" t="s">
        <v>9</v>
      </c>
      <c r="D5596" s="2" t="s">
        <v>10</v>
      </c>
      <c r="E5596" s="2" t="str">
        <f>HYPERLINK("http://ts.21cn.com/tousu/show/id/1336438","http://ts.21cn.com/tousu/show/id/1336438")</f>
        <v>http://ts.21cn.com/tousu/show/id/1336438</v>
      </c>
      <c r="F5596" s="2" t="s">
        <v>11</v>
      </c>
      <c r="G5596" s="2" t="s">
        <v>33146</v>
      </c>
      <c r="H5596" s="2" t="s">
        <v>33147</v>
      </c>
    </row>
    <row r="5597" spans="1:8" ht="25.05" customHeight="1" x14ac:dyDescent="0.25">
      <c r="A5597" s="2" t="s">
        <v>8</v>
      </c>
      <c r="B5597" s="2" t="str">
        <f>HYPERLINK("http://ts.21cn.com/tousu/show/id/1336415","申通快递敷衍客户")</f>
        <v>申通快递敷衍客户</v>
      </c>
      <c r="C5597" s="2" t="s">
        <v>9</v>
      </c>
      <c r="D5597" s="2" t="s">
        <v>10</v>
      </c>
      <c r="E5597" s="2" t="str">
        <f>HYPERLINK("http://ts.21cn.com/tousu/show/id/1336415","http://ts.21cn.com/tousu/show/id/1336415")</f>
        <v>http://ts.21cn.com/tousu/show/id/1336415</v>
      </c>
      <c r="F5597" s="2" t="s">
        <v>11</v>
      </c>
      <c r="G5597" s="2" t="s">
        <v>33144</v>
      </c>
      <c r="H5597" s="2" t="s">
        <v>33145</v>
      </c>
    </row>
    <row r="5598" spans="1:8" ht="25.05" customHeight="1" x14ac:dyDescent="0.25">
      <c r="A5598" s="2" t="s">
        <v>8</v>
      </c>
      <c r="B5598" s="2" t="str">
        <f>HYPERLINK("http://ts.21cn.com/tousu/show/id/1336439","招联金融威胁短信")</f>
        <v>招联金融威胁短信</v>
      </c>
      <c r="C5598" s="2" t="s">
        <v>9</v>
      </c>
      <c r="D5598" s="2" t="s">
        <v>10</v>
      </c>
      <c r="E5598" s="2" t="str">
        <f>HYPERLINK("http://ts.21cn.com/tousu/show/id/1336439","http://ts.21cn.com/tousu/show/id/1336439")</f>
        <v>http://ts.21cn.com/tousu/show/id/1336439</v>
      </c>
      <c r="F5598" s="2" t="s">
        <v>11</v>
      </c>
      <c r="G5598" s="2" t="s">
        <v>33142</v>
      </c>
      <c r="H5598" s="2" t="s">
        <v>33143</v>
      </c>
    </row>
    <row r="5599" spans="1:8" ht="25.05" customHeight="1" x14ac:dyDescent="0.25">
      <c r="A5599" s="2" t="s">
        <v>8</v>
      </c>
      <c r="B5599" s="2" t="str">
        <f>HYPERLINK("http://ts.21cn.com/tousu/show/id/1336440","立借钱置宝被动逾期，客服无法联系")</f>
        <v>立借钱置宝被动逾期，客服无法联系</v>
      </c>
      <c r="C5599" s="2" t="s">
        <v>9</v>
      </c>
      <c r="D5599" s="2" t="s">
        <v>10</v>
      </c>
      <c r="E5599" s="2" t="str">
        <f>HYPERLINK("http://ts.21cn.com/tousu/show/id/1336440","http://ts.21cn.com/tousu/show/id/1336440")</f>
        <v>http://ts.21cn.com/tousu/show/id/1336440</v>
      </c>
      <c r="F5599" s="2" t="s">
        <v>11</v>
      </c>
      <c r="G5599" s="2" t="s">
        <v>33140</v>
      </c>
      <c r="H5599" s="2" t="s">
        <v>33141</v>
      </c>
    </row>
    <row r="5600" spans="1:8" ht="25.05" customHeight="1" x14ac:dyDescent="0.25">
      <c r="A5600" s="2" t="s">
        <v>8</v>
      </c>
      <c r="B5600" s="2" t="str">
        <f>HYPERLINK("http://ts.21cn.com/tousu/show/id/1336441","小浦优客app未提示扣去报告费用要求退回")</f>
        <v>小浦优客app未提示扣去报告费用要求退回</v>
      </c>
      <c r="C5600" s="2" t="s">
        <v>9</v>
      </c>
      <c r="D5600" s="2" t="s">
        <v>10</v>
      </c>
      <c r="E5600" s="2" t="str">
        <f>HYPERLINK("http://ts.21cn.com/tousu/show/id/1336441","http://ts.21cn.com/tousu/show/id/1336441")</f>
        <v>http://ts.21cn.com/tousu/show/id/1336441</v>
      </c>
      <c r="F5600" s="2" t="s">
        <v>11</v>
      </c>
      <c r="G5600" s="2" t="s">
        <v>33138</v>
      </c>
      <c r="H5600" s="2" t="s">
        <v>33139</v>
      </c>
    </row>
    <row r="5601" spans="1:8" ht="25.05" customHeight="1" x14ac:dyDescent="0.25">
      <c r="A5601" s="2" t="s">
        <v>8</v>
      </c>
      <c r="B5601" s="2" t="str">
        <f>HYPERLINK("http://ts.21cn.com/tousu/show/id/1336442","第七下载站提供非法赌博app公开下载")</f>
        <v>第七下载站提供非法赌博app公开下载</v>
      </c>
      <c r="C5601" s="2" t="s">
        <v>9</v>
      </c>
      <c r="D5601" s="2" t="s">
        <v>10</v>
      </c>
      <c r="E5601" s="2" t="str">
        <f>HYPERLINK("http://ts.21cn.com/tousu/show/id/1336442","http://ts.21cn.com/tousu/show/id/1336442")</f>
        <v>http://ts.21cn.com/tousu/show/id/1336442</v>
      </c>
      <c r="F5601" s="2" t="s">
        <v>11</v>
      </c>
      <c r="G5601" s="2" t="s">
        <v>33136</v>
      </c>
      <c r="H5601" s="2" t="s">
        <v>33137</v>
      </c>
    </row>
    <row r="5602" spans="1:8" ht="25.05" customHeight="1" x14ac:dyDescent="0.25">
      <c r="A5602" s="2" t="s">
        <v>8</v>
      </c>
      <c r="B5602" s="2" t="str">
        <f>HYPERLINK("http://ts.21cn.com/tousu/show/id/1336434","交易猫卖号被买家二次换绑并恶意仲裁")</f>
        <v>交易猫卖号被买家二次换绑并恶意仲裁</v>
      </c>
      <c r="C5602" s="2" t="s">
        <v>9</v>
      </c>
      <c r="D5602" s="2" t="s">
        <v>10</v>
      </c>
      <c r="E5602" s="2" t="str">
        <f>HYPERLINK("http://ts.21cn.com/tousu/show/id/1336434","http://ts.21cn.com/tousu/show/id/1336434")</f>
        <v>http://ts.21cn.com/tousu/show/id/1336434</v>
      </c>
      <c r="F5602" s="2" t="s">
        <v>11</v>
      </c>
      <c r="G5602" s="2" t="s">
        <v>33134</v>
      </c>
      <c r="H5602" s="2" t="s">
        <v>33135</v>
      </c>
    </row>
    <row r="5603" spans="1:8" ht="25.05" customHeight="1" x14ac:dyDescent="0.25">
      <c r="A5603" s="2" t="s">
        <v>8</v>
      </c>
      <c r="B5603" s="2" t="str">
        <f>HYPERLINK("http://ts.21cn.com/tousu/show/id/1336443","借贷宝出借人电话骚扰")</f>
        <v>借贷宝出借人电话骚扰</v>
      </c>
      <c r="C5603" s="2" t="s">
        <v>9</v>
      </c>
      <c r="D5603" s="2" t="s">
        <v>10</v>
      </c>
      <c r="E5603" s="2" t="str">
        <f>HYPERLINK("http://ts.21cn.com/tousu/show/id/1336443","http://ts.21cn.com/tousu/show/id/1336443")</f>
        <v>http://ts.21cn.com/tousu/show/id/1336443</v>
      </c>
      <c r="F5603" s="2" t="s">
        <v>11</v>
      </c>
      <c r="G5603" s="2" t="s">
        <v>33132</v>
      </c>
      <c r="H5603" s="2" t="s">
        <v>33133</v>
      </c>
    </row>
    <row r="5604" spans="1:8" ht="25.05" customHeight="1" x14ac:dyDescent="0.25">
      <c r="A5604" s="2" t="s">
        <v>8</v>
      </c>
      <c r="B5604" s="2" t="str">
        <f>HYPERLINK("http://ts.21cn.com/tousu/show/id/1336444","我来数科高额逾期费")</f>
        <v>我来数科高额逾期费</v>
      </c>
      <c r="C5604" s="2" t="s">
        <v>34</v>
      </c>
      <c r="D5604" s="2" t="s">
        <v>10</v>
      </c>
      <c r="E5604" s="2" t="str">
        <f>HYPERLINK("http://ts.21cn.com/tousu/show/id/1336444","http://ts.21cn.com/tousu/show/id/1336444")</f>
        <v>http://ts.21cn.com/tousu/show/id/1336444</v>
      </c>
      <c r="F5604" s="2" t="s">
        <v>11</v>
      </c>
      <c r="G5604" s="2" t="s">
        <v>33130</v>
      </c>
      <c r="H5604" s="2" t="s">
        <v>33131</v>
      </c>
    </row>
    <row r="5605" spans="1:8" ht="25.05" customHeight="1" x14ac:dyDescent="0.25">
      <c r="A5605" s="2" t="s">
        <v>8</v>
      </c>
      <c r="B5605" s="2" t="str">
        <f>HYPERLINK("http://ts.21cn.com/tousu/show/id/1336445","还完本金和利息还恶意催收")</f>
        <v>还完本金和利息还恶意催收</v>
      </c>
      <c r="C5605" s="2" t="s">
        <v>9</v>
      </c>
      <c r="D5605" s="2" t="s">
        <v>10</v>
      </c>
      <c r="E5605" s="2" t="str">
        <f>HYPERLINK("http://ts.21cn.com/tousu/show/id/1336445","http://ts.21cn.com/tousu/show/id/1336445")</f>
        <v>http://ts.21cn.com/tousu/show/id/1336445</v>
      </c>
      <c r="F5605" s="2" t="s">
        <v>11</v>
      </c>
      <c r="G5605" s="2" t="s">
        <v>33128</v>
      </c>
      <c r="H5605" s="2" t="s">
        <v>33129</v>
      </c>
    </row>
    <row r="5606" spans="1:8" ht="25.05" customHeight="1" x14ac:dyDescent="0.25">
      <c r="A5606" s="2" t="s">
        <v>8</v>
      </c>
      <c r="B5606" s="2" t="str">
        <f>HYPERLINK("http://ts.21cn.com/tousu/show/id/1336446","私自扣款299。未经允许。并不退还。强制收取")</f>
        <v>私自扣款299。未经允许。并不退还。强制收取</v>
      </c>
      <c r="C5606" s="2" t="s">
        <v>9</v>
      </c>
      <c r="D5606" s="2" t="s">
        <v>10</v>
      </c>
      <c r="E5606" s="2" t="str">
        <f>HYPERLINK("http://ts.21cn.com/tousu/show/id/1336446","http://ts.21cn.com/tousu/show/id/1336446")</f>
        <v>http://ts.21cn.com/tousu/show/id/1336446</v>
      </c>
      <c r="F5606" s="2" t="s">
        <v>11</v>
      </c>
      <c r="G5606" s="2" t="s">
        <v>33126</v>
      </c>
      <c r="H5606" s="2" t="s">
        <v>33127</v>
      </c>
    </row>
    <row r="5607" spans="1:8" ht="25.05" customHeight="1" x14ac:dyDescent="0.25">
      <c r="A5607" s="2" t="s">
        <v>8</v>
      </c>
      <c r="B5607" s="2" t="str">
        <f>HYPERLINK("http://ts.21cn.com/tousu/show/id/1336447","手机借钱app多宝分期收取高额利息并且暴力催收")</f>
        <v>手机借钱app多宝分期收取高额利息并且暴力催收</v>
      </c>
      <c r="C5607" s="2" t="s">
        <v>9</v>
      </c>
      <c r="D5607" s="2" t="s">
        <v>10</v>
      </c>
      <c r="E5607" s="2" t="str">
        <f>HYPERLINK("http://ts.21cn.com/tousu/show/id/1336447","http://ts.21cn.com/tousu/show/id/1336447")</f>
        <v>http://ts.21cn.com/tousu/show/id/1336447</v>
      </c>
      <c r="F5607" s="2" t="s">
        <v>11</v>
      </c>
      <c r="G5607" s="2" t="s">
        <v>33124</v>
      </c>
      <c r="H5607" s="2" t="s">
        <v>33125</v>
      </c>
    </row>
    <row r="5608" spans="1:8" ht="25.05" customHeight="1" x14ac:dyDescent="0.25">
      <c r="A5608" s="2" t="s">
        <v>8</v>
      </c>
      <c r="B5608" s="2" t="str">
        <f>HYPERLINK("http://ts.21cn.com/tousu/show/id/1336448","恒易融砍头息")</f>
        <v>恒易融砍头息</v>
      </c>
      <c r="C5608" s="2" t="s">
        <v>9</v>
      </c>
      <c r="D5608" s="2" t="s">
        <v>10</v>
      </c>
      <c r="E5608" s="2" t="str">
        <f>HYPERLINK("http://ts.21cn.com/tousu/show/id/1336448","http://ts.21cn.com/tousu/show/id/1336448")</f>
        <v>http://ts.21cn.com/tousu/show/id/1336448</v>
      </c>
      <c r="F5608" s="2" t="s">
        <v>11</v>
      </c>
      <c r="G5608" s="2" t="s">
        <v>33122</v>
      </c>
      <c r="H5608" s="2" t="s">
        <v>33123</v>
      </c>
    </row>
    <row r="5609" spans="1:8" ht="25.05" customHeight="1" x14ac:dyDescent="0.25">
      <c r="A5609" s="2" t="s">
        <v>8</v>
      </c>
      <c r="B5609" s="2" t="str">
        <f>HYPERLINK("http://ts.21cn.com/tousu/show/id/1336449","青柠檬高利贷砍头息")</f>
        <v>青柠檬高利贷砍头息</v>
      </c>
      <c r="C5609" s="2" t="s">
        <v>9</v>
      </c>
      <c r="D5609" s="2" t="s">
        <v>10</v>
      </c>
      <c r="E5609" s="2" t="str">
        <f>HYPERLINK("http://ts.21cn.com/tousu/show/id/1336449","http://ts.21cn.com/tousu/show/id/1336449")</f>
        <v>http://ts.21cn.com/tousu/show/id/1336449</v>
      </c>
      <c r="F5609" s="2" t="s">
        <v>11</v>
      </c>
      <c r="G5609" s="2" t="s">
        <v>33120</v>
      </c>
      <c r="H5609" s="2" t="s">
        <v>33121</v>
      </c>
    </row>
    <row r="5610" spans="1:8" ht="25.05" customHeight="1" x14ac:dyDescent="0.25">
      <c r="A5610" s="2" t="s">
        <v>8</v>
      </c>
      <c r="B5610" s="2" t="str">
        <f>HYPERLINK("http://ts.21cn.com/tousu/show/id/1336450","嗨学网销售虚假宣传，引诱并误导不符合条件的我报考消防考试和其培训班，现要求退费")</f>
        <v>嗨学网销售虚假宣传，引诱并误导不符合条件的我报考消防考试和其培训班，现要求退费</v>
      </c>
      <c r="C5610" s="2" t="s">
        <v>9</v>
      </c>
      <c r="D5610" s="2" t="s">
        <v>10</v>
      </c>
      <c r="E5610" s="2" t="str">
        <f>HYPERLINK("http://ts.21cn.com/tousu/show/id/1336450","http://ts.21cn.com/tousu/show/id/1336450")</f>
        <v>http://ts.21cn.com/tousu/show/id/1336450</v>
      </c>
      <c r="F5610" s="2" t="s">
        <v>11</v>
      </c>
      <c r="G5610" s="2" t="s">
        <v>33118</v>
      </c>
      <c r="H5610" s="2" t="s">
        <v>33119</v>
      </c>
    </row>
    <row r="5611" spans="1:8" ht="25.05" customHeight="1" x14ac:dyDescent="0.25">
      <c r="A5611" s="2" t="s">
        <v>8</v>
      </c>
      <c r="B5611" s="2" t="str">
        <f>HYPERLINK("http://ts.21cn.com/tousu/show/id/1336451","京东发坏手机拒不承认，让消费者买单")</f>
        <v>京东发坏手机拒不承认，让消费者买单</v>
      </c>
      <c r="C5611" s="2" t="s">
        <v>9</v>
      </c>
      <c r="D5611" s="2" t="s">
        <v>10</v>
      </c>
      <c r="E5611" s="2" t="str">
        <f>HYPERLINK("http://ts.21cn.com/tousu/show/id/1336451","http://ts.21cn.com/tousu/show/id/1336451")</f>
        <v>http://ts.21cn.com/tousu/show/id/1336451</v>
      </c>
      <c r="F5611" s="2" t="s">
        <v>11</v>
      </c>
      <c r="G5611" s="2" t="s">
        <v>33116</v>
      </c>
      <c r="H5611" s="2" t="s">
        <v>33117</v>
      </c>
    </row>
    <row r="5612" spans="1:8" ht="25.05" customHeight="1" x14ac:dyDescent="0.25">
      <c r="A5612" s="2" t="s">
        <v>8</v>
      </c>
      <c r="B5612" s="2" t="str">
        <f>HYPERLINK("http://ts.21cn.com/tousu/show/id/1336452","闪银平台放款立即收取费用")</f>
        <v>闪银平台放款立即收取费用</v>
      </c>
      <c r="C5612" s="2" t="s">
        <v>34</v>
      </c>
      <c r="D5612" s="2" t="s">
        <v>10</v>
      </c>
      <c r="E5612" s="2" t="str">
        <f>HYPERLINK("http://ts.21cn.com/tousu/show/id/1336452","http://ts.21cn.com/tousu/show/id/1336452")</f>
        <v>http://ts.21cn.com/tousu/show/id/1336452</v>
      </c>
      <c r="F5612" s="2" t="s">
        <v>11</v>
      </c>
      <c r="G5612" s="2" t="s">
        <v>33114</v>
      </c>
      <c r="H5612" s="2" t="s">
        <v>33115</v>
      </c>
    </row>
    <row r="5613" spans="1:8" ht="25.05" customHeight="1" x14ac:dyDescent="0.25">
      <c r="A5613" s="2" t="s">
        <v>8</v>
      </c>
      <c r="B5613" s="2" t="str">
        <f>HYPERLINK("http://ts.21cn.com/tousu/show/id/1336453","为高利贷提供支付平台")</f>
        <v>为高利贷提供支付平台</v>
      </c>
      <c r="C5613" s="2" t="s">
        <v>9</v>
      </c>
      <c r="D5613" s="2" t="s">
        <v>10</v>
      </c>
      <c r="E5613" s="2" t="str">
        <f>HYPERLINK("http://ts.21cn.com/tousu/show/id/1336453","http://ts.21cn.com/tousu/show/id/1336453")</f>
        <v>http://ts.21cn.com/tousu/show/id/1336453</v>
      </c>
      <c r="F5613" s="2" t="s">
        <v>11</v>
      </c>
      <c r="G5613" s="2" t="s">
        <v>33112</v>
      </c>
      <c r="H5613" s="2" t="s">
        <v>33113</v>
      </c>
    </row>
    <row r="5614" spans="1:8" ht="25.05" customHeight="1" x14ac:dyDescent="0.25">
      <c r="A5614" s="2" t="s">
        <v>8</v>
      </c>
      <c r="B5614" s="2" t="str">
        <f>HYPERLINK("http://ts.21cn.com/tousu/show/id/1336454","小牛电动态度恶劣挑衅客户")</f>
        <v>小牛电动态度恶劣挑衅客户</v>
      </c>
      <c r="C5614" s="2" t="s">
        <v>9</v>
      </c>
      <c r="D5614" s="2" t="s">
        <v>10</v>
      </c>
      <c r="E5614" s="2" t="str">
        <f>HYPERLINK("http://ts.21cn.com/tousu/show/id/1336454","http://ts.21cn.com/tousu/show/id/1336454")</f>
        <v>http://ts.21cn.com/tousu/show/id/1336454</v>
      </c>
      <c r="F5614" s="2" t="s">
        <v>11</v>
      </c>
      <c r="G5614" s="2" t="s">
        <v>33110</v>
      </c>
      <c r="H5614" s="2" t="s">
        <v>33111</v>
      </c>
    </row>
    <row r="5615" spans="1:8" ht="25.05" customHeight="1" x14ac:dyDescent="0.25">
      <c r="A5615" s="2" t="s">
        <v>8</v>
      </c>
      <c r="B5615" s="2" t="str">
        <f>HYPERLINK("http://ts.21cn.com/tousu/show/id/1336455","宜兴滴滴平台不派单给快车司机全部派给优享司机快车没有活路")</f>
        <v>宜兴滴滴平台不派单给快车司机全部派给优享司机快车没有活路</v>
      </c>
      <c r="C5615" s="2" t="s">
        <v>34</v>
      </c>
      <c r="D5615" s="2" t="s">
        <v>10</v>
      </c>
      <c r="E5615" s="2" t="str">
        <f>HYPERLINK("http://ts.21cn.com/tousu/show/id/1336455","http://ts.21cn.com/tousu/show/id/1336455")</f>
        <v>http://ts.21cn.com/tousu/show/id/1336455</v>
      </c>
      <c r="F5615" s="2" t="s">
        <v>11</v>
      </c>
      <c r="G5615" s="2" t="s">
        <v>33108</v>
      </c>
      <c r="H5615" s="2" t="s">
        <v>33109</v>
      </c>
    </row>
    <row r="5616" spans="1:8" ht="25.05" customHeight="1" x14ac:dyDescent="0.25">
      <c r="A5616" s="2" t="s">
        <v>8</v>
      </c>
      <c r="B5616" s="2" t="str">
        <f>HYPERLINK("http://ts.21cn.com/tousu/show/id/1336456","现金巴士app下架微信公众号耶无法使用到账逾期现在要求减免逾期费用")</f>
        <v>现金巴士app下架微信公众号耶无法使用到账逾期现在要求减免逾期费用</v>
      </c>
      <c r="C5616" s="2" t="s">
        <v>34</v>
      </c>
      <c r="D5616" s="2" t="s">
        <v>10</v>
      </c>
      <c r="E5616" s="2" t="str">
        <f>HYPERLINK("http://ts.21cn.com/tousu/show/id/1336456","http://ts.21cn.com/tousu/show/id/1336456")</f>
        <v>http://ts.21cn.com/tousu/show/id/1336456</v>
      </c>
      <c r="F5616" s="2" t="s">
        <v>11</v>
      </c>
      <c r="G5616" s="2" t="s">
        <v>33106</v>
      </c>
      <c r="H5616" s="2" t="s">
        <v>33107</v>
      </c>
    </row>
    <row r="5617" spans="1:8" ht="25.05" customHeight="1" x14ac:dyDescent="0.25">
      <c r="A5617" s="2" t="s">
        <v>8</v>
      </c>
      <c r="B5617" s="2" t="str">
        <f>HYPERLINK("http://ts.21cn.com/tousu/show/id/1336459","要求退回注册时候收取的会员费用")</f>
        <v>要求退回注册时候收取的会员费用</v>
      </c>
      <c r="C5617" s="2" t="s">
        <v>34</v>
      </c>
      <c r="D5617" s="2" t="s">
        <v>10</v>
      </c>
      <c r="E5617" s="2" t="str">
        <f>HYPERLINK("http://ts.21cn.com/tousu/show/id/1336459","http://ts.21cn.com/tousu/show/id/1336459")</f>
        <v>http://ts.21cn.com/tousu/show/id/1336459</v>
      </c>
      <c r="F5617" s="2" t="s">
        <v>11</v>
      </c>
      <c r="G5617" s="2" t="s">
        <v>33104</v>
      </c>
      <c r="H5617" s="2" t="s">
        <v>33105</v>
      </c>
    </row>
    <row r="5618" spans="1:8" ht="25.05" customHeight="1" x14ac:dyDescent="0.25">
      <c r="A5618" s="2" t="s">
        <v>8</v>
      </c>
      <c r="B5618" s="2" t="str">
        <f>HYPERLINK("http://ts.21cn.com/tousu/show/id/1336458","滴滴")</f>
        <v>滴滴</v>
      </c>
      <c r="C5618" s="2" t="s">
        <v>9</v>
      </c>
      <c r="D5618" s="2" t="s">
        <v>10</v>
      </c>
      <c r="E5618" s="2" t="str">
        <f>HYPERLINK("http://ts.21cn.com/tousu/show/id/1336458","http://ts.21cn.com/tousu/show/id/1336458")</f>
        <v>http://ts.21cn.com/tousu/show/id/1336458</v>
      </c>
      <c r="F5618" s="2" t="s">
        <v>11</v>
      </c>
      <c r="G5618" s="2" t="s">
        <v>33102</v>
      </c>
      <c r="H5618" s="2" t="s">
        <v>33103</v>
      </c>
    </row>
    <row r="5619" spans="1:8" ht="25.05" customHeight="1" x14ac:dyDescent="0.25">
      <c r="A5619" s="2" t="s">
        <v>8</v>
      </c>
      <c r="B5619" s="2" t="str">
        <f>HYPERLINK("http://ts.21cn.com/tousu/show/id/1336457","招联金融群发侮辱短信")</f>
        <v>招联金融群发侮辱短信</v>
      </c>
      <c r="C5619" s="2" t="s">
        <v>9</v>
      </c>
      <c r="D5619" s="2" t="s">
        <v>10</v>
      </c>
      <c r="E5619" s="2" t="str">
        <f>HYPERLINK("http://ts.21cn.com/tousu/show/id/1336457","http://ts.21cn.com/tousu/show/id/1336457")</f>
        <v>http://ts.21cn.com/tousu/show/id/1336457</v>
      </c>
      <c r="F5619" s="2" t="s">
        <v>11</v>
      </c>
      <c r="G5619" s="2" t="s">
        <v>33100</v>
      </c>
      <c r="H5619" s="2" t="s">
        <v>33101</v>
      </c>
    </row>
    <row r="5620" spans="1:8" ht="25.05" customHeight="1" x14ac:dyDescent="0.25">
      <c r="A5620" s="2" t="s">
        <v>8</v>
      </c>
      <c r="B5620" s="2" t="str">
        <f>HYPERLINK("http://ts.21cn.com/tousu/show/id/1336430","光大云缴费话费充值不到账")</f>
        <v>光大云缴费话费充值不到账</v>
      </c>
      <c r="C5620" s="2" t="s">
        <v>9</v>
      </c>
      <c r="D5620" s="2" t="s">
        <v>10</v>
      </c>
      <c r="E5620" s="2" t="str">
        <f>HYPERLINK("http://ts.21cn.com/tousu/show/id/1336430","http://ts.21cn.com/tousu/show/id/1336430")</f>
        <v>http://ts.21cn.com/tousu/show/id/1336430</v>
      </c>
      <c r="F5620" s="2" t="s">
        <v>11</v>
      </c>
      <c r="G5620" s="2" t="s">
        <v>33098</v>
      </c>
      <c r="H5620" s="2" t="s">
        <v>33099</v>
      </c>
    </row>
    <row r="5621" spans="1:8" ht="25.05" customHeight="1" x14ac:dyDescent="0.25">
      <c r="A5621" s="2" t="s">
        <v>8</v>
      </c>
      <c r="B5621" s="2" t="str">
        <f>HYPERLINK("http://ts.21cn.com/tousu/show/id/1336462","逾期一天发信息威胁当事人")</f>
        <v>逾期一天发信息威胁当事人</v>
      </c>
      <c r="C5621" s="2" t="s">
        <v>9</v>
      </c>
      <c r="D5621" s="2" t="s">
        <v>10</v>
      </c>
      <c r="E5621" s="2" t="str">
        <f>HYPERLINK("http://ts.21cn.com/tousu/show/id/1336462","http://ts.21cn.com/tousu/show/id/1336462")</f>
        <v>http://ts.21cn.com/tousu/show/id/1336462</v>
      </c>
      <c r="F5621" s="2" t="s">
        <v>11</v>
      </c>
      <c r="G5621" s="2" t="s">
        <v>33096</v>
      </c>
      <c r="H5621" s="2" t="s">
        <v>33097</v>
      </c>
    </row>
    <row r="5622" spans="1:8" ht="25.05" customHeight="1" x14ac:dyDescent="0.25">
      <c r="A5622" s="2" t="s">
        <v>8</v>
      </c>
      <c r="B5622" s="2" t="str">
        <f>HYPERLINK("http://ts.21cn.com/tousu/show/id/1336460","捷信贷款3.5万，已还本金并多还1.5万利息")</f>
        <v>捷信贷款3.5万，已还本金并多还1.5万利息</v>
      </c>
      <c r="C5622" s="2" t="s">
        <v>9</v>
      </c>
      <c r="D5622" s="2" t="s">
        <v>10</v>
      </c>
      <c r="E5622" s="2" t="str">
        <f>HYPERLINK("http://ts.21cn.com/tousu/show/id/1336460","http://ts.21cn.com/tousu/show/id/1336460")</f>
        <v>http://ts.21cn.com/tousu/show/id/1336460</v>
      </c>
      <c r="F5622" s="2" t="s">
        <v>11</v>
      </c>
      <c r="G5622" s="2" t="s">
        <v>33094</v>
      </c>
      <c r="H5622" s="2" t="s">
        <v>33095</v>
      </c>
    </row>
    <row r="5623" spans="1:8" ht="25.05" customHeight="1" x14ac:dyDescent="0.25">
      <c r="A5623" s="2" t="s">
        <v>8</v>
      </c>
      <c r="B5623" s="2" t="str">
        <f>HYPERLINK("http://ts.21cn.com/tousu/show/id/1336461","你我贷收高利息")</f>
        <v>你我贷收高利息</v>
      </c>
      <c r="C5623" s="2" t="s">
        <v>9</v>
      </c>
      <c r="D5623" s="2" t="s">
        <v>10</v>
      </c>
      <c r="E5623" s="2" t="str">
        <f>HYPERLINK("http://ts.21cn.com/tousu/show/id/1336461","http://ts.21cn.com/tousu/show/id/1336461")</f>
        <v>http://ts.21cn.com/tousu/show/id/1336461</v>
      </c>
      <c r="F5623" s="2" t="s">
        <v>11</v>
      </c>
      <c r="G5623" s="2" t="s">
        <v>33093</v>
      </c>
      <c r="H5623" s="2" t="s">
        <v>21845</v>
      </c>
    </row>
    <row r="5624" spans="1:8" ht="25.05" customHeight="1" x14ac:dyDescent="0.25">
      <c r="A5624" s="2" t="s">
        <v>8</v>
      </c>
      <c r="B5624" s="2" t="str">
        <f>HYPERLINK("http://ts.21cn.com/tousu/show/id/1336463","小浦优客app未提示报告费直接收取要求退回")</f>
        <v>小浦优客app未提示报告费直接收取要求退回</v>
      </c>
      <c r="C5624" s="2" t="s">
        <v>34</v>
      </c>
      <c r="D5624" s="2" t="s">
        <v>10</v>
      </c>
      <c r="E5624" s="2" t="str">
        <f>HYPERLINK("http://ts.21cn.com/tousu/show/id/1336463","http://ts.21cn.com/tousu/show/id/1336463")</f>
        <v>http://ts.21cn.com/tousu/show/id/1336463</v>
      </c>
      <c r="F5624" s="2" t="s">
        <v>11</v>
      </c>
      <c r="G5624" s="2" t="s">
        <v>33091</v>
      </c>
      <c r="H5624" s="2" t="s">
        <v>33092</v>
      </c>
    </row>
    <row r="5625" spans="1:8" ht="25.05" customHeight="1" x14ac:dyDescent="0.25">
      <c r="A5625" s="2" t="s">
        <v>8</v>
      </c>
      <c r="B5625" s="2" t="str">
        <f>HYPERLINK("http://ts.21cn.com/tousu/show/id/1336464","闪电借款暴力催收")</f>
        <v>闪电借款暴力催收</v>
      </c>
      <c r="C5625" s="2" t="s">
        <v>9</v>
      </c>
      <c r="D5625" s="2" t="s">
        <v>10</v>
      </c>
      <c r="E5625" s="2" t="str">
        <f>HYPERLINK("http://ts.21cn.com/tousu/show/id/1336464","http://ts.21cn.com/tousu/show/id/1336464")</f>
        <v>http://ts.21cn.com/tousu/show/id/1336464</v>
      </c>
      <c r="F5625" s="2" t="s">
        <v>11</v>
      </c>
      <c r="G5625" s="2" t="s">
        <v>33089</v>
      </c>
      <c r="H5625" s="2" t="s">
        <v>33090</v>
      </c>
    </row>
    <row r="5626" spans="1:8" ht="25.05" customHeight="1" x14ac:dyDescent="0.25">
      <c r="A5626" s="2" t="s">
        <v>8</v>
      </c>
      <c r="B5626" s="2" t="str">
        <f>HYPERLINK("http://ts.21cn.com/tousu/show/id/1336465","已经过了放款期客服不与打款")</f>
        <v>已经过了放款期客服不与打款</v>
      </c>
      <c r="C5626" s="2" t="s">
        <v>34</v>
      </c>
      <c r="D5626" s="2" t="s">
        <v>10</v>
      </c>
      <c r="E5626" s="2" t="str">
        <f>HYPERLINK("http://ts.21cn.com/tousu/show/id/1336465","http://ts.21cn.com/tousu/show/id/1336465")</f>
        <v>http://ts.21cn.com/tousu/show/id/1336465</v>
      </c>
      <c r="F5626" s="2" t="s">
        <v>11</v>
      </c>
      <c r="G5626" s="2" t="s">
        <v>33087</v>
      </c>
      <c r="H5626" s="2" t="s">
        <v>33088</v>
      </c>
    </row>
    <row r="5627" spans="1:8" ht="25.05" customHeight="1" x14ac:dyDescent="0.25">
      <c r="A5627" s="2" t="s">
        <v>8</v>
      </c>
      <c r="B5627" s="2" t="str">
        <f>HYPERLINK("http://ts.21cn.com/tousu/show/id/1336466","夸大宣传误导消费者没有售后")</f>
        <v>夸大宣传误导消费者没有售后</v>
      </c>
      <c r="C5627" s="2" t="s">
        <v>9</v>
      </c>
      <c r="D5627" s="2" t="s">
        <v>10</v>
      </c>
      <c r="E5627" s="2" t="str">
        <f>HYPERLINK("http://ts.21cn.com/tousu/show/id/1336466","http://ts.21cn.com/tousu/show/id/1336466")</f>
        <v>http://ts.21cn.com/tousu/show/id/1336466</v>
      </c>
      <c r="F5627" s="2" t="s">
        <v>11</v>
      </c>
      <c r="G5627" s="2" t="s">
        <v>33085</v>
      </c>
      <c r="H5627" s="2" t="s">
        <v>33086</v>
      </c>
    </row>
    <row r="5628" spans="1:8" ht="25.05" customHeight="1" x14ac:dyDescent="0.25">
      <c r="A5628" s="2" t="s">
        <v>8</v>
      </c>
      <c r="B5628" s="2" t="str">
        <f>HYPERLINK("http://ts.21cn.com/tousu/show/id/1336467","暴力催收")</f>
        <v>暴力催收</v>
      </c>
      <c r="C5628" s="2" t="s">
        <v>9</v>
      </c>
      <c r="D5628" s="2" t="s">
        <v>10</v>
      </c>
      <c r="E5628" s="2" t="str">
        <f>HYPERLINK("http://ts.21cn.com/tousu/show/id/1336467","http://ts.21cn.com/tousu/show/id/1336467")</f>
        <v>http://ts.21cn.com/tousu/show/id/1336467</v>
      </c>
      <c r="F5628" s="2" t="s">
        <v>11</v>
      </c>
      <c r="G5628" s="2" t="s">
        <v>33083</v>
      </c>
      <c r="H5628" s="2" t="s">
        <v>33084</v>
      </c>
    </row>
    <row r="5629" spans="1:8" ht="25.05" customHeight="1" x14ac:dyDescent="0.25">
      <c r="A5629" s="2" t="s">
        <v>8</v>
      </c>
      <c r="B5629" s="2" t="str">
        <f>HYPERLINK("http://ts.21cn.com/tousu/show/id/1336468","维信金科泄露信息乱扣费")</f>
        <v>维信金科泄露信息乱扣费</v>
      </c>
      <c r="C5629" s="2" t="s">
        <v>9</v>
      </c>
      <c r="D5629" s="2" t="s">
        <v>10</v>
      </c>
      <c r="E5629" s="2" t="str">
        <f>HYPERLINK("http://ts.21cn.com/tousu/show/id/1336468","http://ts.21cn.com/tousu/show/id/1336468")</f>
        <v>http://ts.21cn.com/tousu/show/id/1336468</v>
      </c>
      <c r="F5629" s="2" t="s">
        <v>11</v>
      </c>
      <c r="G5629" s="2" t="s">
        <v>33081</v>
      </c>
      <c r="H5629" s="2" t="s">
        <v>33082</v>
      </c>
    </row>
    <row r="5630" spans="1:8" ht="25.05" customHeight="1" x14ac:dyDescent="0.25">
      <c r="A5630" s="2" t="s">
        <v>8</v>
      </c>
      <c r="B5630" s="2" t="str">
        <f>HYPERLINK("http://ts.21cn.com/tousu/show/id/1336470","闪银平台以买游戏豆为由收取高额贷款通过费")</f>
        <v>闪银平台以买游戏豆为由收取高额贷款通过费</v>
      </c>
      <c r="C5630" s="2" t="s">
        <v>9</v>
      </c>
      <c r="D5630" s="2" t="s">
        <v>10</v>
      </c>
      <c r="E5630" s="2" t="str">
        <f>HYPERLINK("http://ts.21cn.com/tousu/show/id/1336470","http://ts.21cn.com/tousu/show/id/1336470")</f>
        <v>http://ts.21cn.com/tousu/show/id/1336470</v>
      </c>
      <c r="F5630" s="2" t="s">
        <v>11</v>
      </c>
      <c r="G5630" s="2" t="s">
        <v>33079</v>
      </c>
      <c r="H5630" s="2" t="s">
        <v>33080</v>
      </c>
    </row>
    <row r="5631" spans="1:8" ht="25.05" customHeight="1" x14ac:dyDescent="0.25">
      <c r="A5631" s="2" t="s">
        <v>8</v>
      </c>
      <c r="B5631" s="2" t="str">
        <f>HYPERLINK("http://ts.21cn.com/tousu/show/id/1336473","手机贷还款问题")</f>
        <v>手机贷还款问题</v>
      </c>
      <c r="C5631" s="2" t="s">
        <v>34</v>
      </c>
      <c r="D5631" s="2" t="s">
        <v>10</v>
      </c>
      <c r="E5631" s="2" t="str">
        <f>HYPERLINK("http://ts.21cn.com/tousu/show/id/1336473","http://ts.21cn.com/tousu/show/id/1336473")</f>
        <v>http://ts.21cn.com/tousu/show/id/1336473</v>
      </c>
      <c r="F5631" s="2" t="s">
        <v>11</v>
      </c>
      <c r="G5631" s="2" t="s">
        <v>33077</v>
      </c>
      <c r="H5631" s="2" t="s">
        <v>33078</v>
      </c>
    </row>
    <row r="5632" spans="1:8" ht="25.05" customHeight="1" x14ac:dyDescent="0.25">
      <c r="A5632" s="2" t="s">
        <v>8</v>
      </c>
      <c r="B5632" s="2" t="str">
        <f>HYPERLINK("http://ts.21cn.com/tousu/show/id/1336471","人人贷阴阳合同")</f>
        <v>人人贷阴阳合同</v>
      </c>
      <c r="C5632" s="2" t="s">
        <v>9</v>
      </c>
      <c r="D5632" s="2" t="s">
        <v>10</v>
      </c>
      <c r="E5632" s="2" t="str">
        <f>HYPERLINK("http://ts.21cn.com/tousu/show/id/1336471","http://ts.21cn.com/tousu/show/id/1336471")</f>
        <v>http://ts.21cn.com/tousu/show/id/1336471</v>
      </c>
      <c r="F5632" s="2" t="s">
        <v>11</v>
      </c>
      <c r="G5632" s="2" t="s">
        <v>33075</v>
      </c>
      <c r="H5632" s="2" t="s">
        <v>33076</v>
      </c>
    </row>
    <row r="5633" spans="1:8" ht="25.05" customHeight="1" x14ac:dyDescent="0.25">
      <c r="A5633" s="2" t="s">
        <v>8</v>
      </c>
      <c r="B5633" s="2" t="str">
        <f>HYPERLINK("http://ts.21cn.com/tousu/show/id/1336472","四季钱庄高利贷平台")</f>
        <v>四季钱庄高利贷平台</v>
      </c>
      <c r="C5633" s="2" t="s">
        <v>9</v>
      </c>
      <c r="D5633" s="2" t="s">
        <v>10</v>
      </c>
      <c r="E5633" s="2" t="str">
        <f>HYPERLINK("http://ts.21cn.com/tousu/show/id/1336472","http://ts.21cn.com/tousu/show/id/1336472")</f>
        <v>http://ts.21cn.com/tousu/show/id/1336472</v>
      </c>
      <c r="F5633" s="2" t="s">
        <v>11</v>
      </c>
      <c r="G5633" s="2" t="s">
        <v>33073</v>
      </c>
      <c r="H5633" s="2" t="s">
        <v>33074</v>
      </c>
    </row>
    <row r="5634" spans="1:8" ht="25.05" customHeight="1" x14ac:dyDescent="0.25">
      <c r="A5634" s="2" t="s">
        <v>8</v>
      </c>
      <c r="B5634" s="2" t="str">
        <f>HYPERLINK("http://ts.21cn.com/tousu/show/id/1336474","快递丢了没人管")</f>
        <v>快递丢了没人管</v>
      </c>
      <c r="C5634" s="2" t="s">
        <v>9</v>
      </c>
      <c r="D5634" s="2" t="s">
        <v>10</v>
      </c>
      <c r="E5634" s="2" t="str">
        <f>HYPERLINK("http://ts.21cn.com/tousu/show/id/1336474","http://ts.21cn.com/tousu/show/id/1336474")</f>
        <v>http://ts.21cn.com/tousu/show/id/1336474</v>
      </c>
      <c r="F5634" s="2" t="s">
        <v>11</v>
      </c>
      <c r="G5634" s="2" t="s">
        <v>33071</v>
      </c>
      <c r="H5634" s="2" t="s">
        <v>33072</v>
      </c>
    </row>
    <row r="5635" spans="1:8" ht="25.05" customHeight="1" x14ac:dyDescent="0.25">
      <c r="A5635" s="2" t="s">
        <v>8</v>
      </c>
      <c r="B5635" s="2" t="str">
        <f>HYPERLINK("http://ts.21cn.com/tousu/show/id/1336475","及贷平台威胁说要找外包第三方上门催收")</f>
        <v>及贷平台威胁说要找外包第三方上门催收</v>
      </c>
      <c r="C5635" s="2" t="s">
        <v>9</v>
      </c>
      <c r="D5635" s="2" t="s">
        <v>10</v>
      </c>
      <c r="E5635" s="2" t="str">
        <f>HYPERLINK("http://ts.21cn.com/tousu/show/id/1336475","http://ts.21cn.com/tousu/show/id/1336475")</f>
        <v>http://ts.21cn.com/tousu/show/id/1336475</v>
      </c>
      <c r="F5635" s="2" t="s">
        <v>11</v>
      </c>
      <c r="G5635" s="2" t="s">
        <v>33069</v>
      </c>
      <c r="H5635" s="2" t="s">
        <v>33070</v>
      </c>
    </row>
    <row r="5636" spans="1:8" ht="25.05" customHeight="1" x14ac:dyDescent="0.25">
      <c r="A5636" s="2" t="s">
        <v>8</v>
      </c>
      <c r="B5636" s="2" t="str">
        <f>HYPERLINK("http://ts.21cn.com/tousu/show/id/1336477","利息达到了%68")</f>
        <v>利息达到了%68</v>
      </c>
      <c r="C5636" s="2" t="s">
        <v>34</v>
      </c>
      <c r="D5636" s="2" t="s">
        <v>10</v>
      </c>
      <c r="E5636" s="2" t="str">
        <f>HYPERLINK("http://ts.21cn.com/tousu/show/id/1336477","http://ts.21cn.com/tousu/show/id/1336477")</f>
        <v>http://ts.21cn.com/tousu/show/id/1336477</v>
      </c>
      <c r="F5636" s="2" t="s">
        <v>11</v>
      </c>
      <c r="G5636" s="2" t="s">
        <v>33067</v>
      </c>
      <c r="H5636" s="2" t="s">
        <v>33068</v>
      </c>
    </row>
    <row r="5637" spans="1:8" ht="25.05" customHeight="1" x14ac:dyDescent="0.25">
      <c r="A5637" s="2" t="s">
        <v>8</v>
      </c>
      <c r="B5637" s="2" t="str">
        <f>HYPERLINK("http://ts.21cn.com/tousu/show/id/1336476","湖南移动“0元购机”套路贷陷井。")</f>
        <v>湖南移动“0元购机”套路贷陷井。</v>
      </c>
      <c r="C5637" s="2" t="s">
        <v>9</v>
      </c>
      <c r="D5637" s="2" t="s">
        <v>10</v>
      </c>
      <c r="E5637" s="2" t="str">
        <f>HYPERLINK("http://ts.21cn.com/tousu/show/id/1336476","http://ts.21cn.com/tousu/show/id/1336476")</f>
        <v>http://ts.21cn.com/tousu/show/id/1336476</v>
      </c>
      <c r="F5637" s="2" t="s">
        <v>11</v>
      </c>
      <c r="G5637" s="2" t="s">
        <v>33065</v>
      </c>
      <c r="H5637" s="2" t="s">
        <v>33066</v>
      </c>
    </row>
    <row r="5638" spans="1:8" ht="25.05" customHeight="1" x14ac:dyDescent="0.25">
      <c r="A5638" s="2" t="s">
        <v>8</v>
      </c>
      <c r="B5638" s="2" t="str">
        <f>HYPERLINK("http://ts.21cn.com/tousu/show/id/1336478","借花钱app未提示收费直接扣费")</f>
        <v>借花钱app未提示收费直接扣费</v>
      </c>
      <c r="C5638" s="2" t="s">
        <v>34</v>
      </c>
      <c r="D5638" s="2" t="s">
        <v>10</v>
      </c>
      <c r="E5638" s="2" t="str">
        <f>HYPERLINK("http://ts.21cn.com/tousu/show/id/1336478","http://ts.21cn.com/tousu/show/id/1336478")</f>
        <v>http://ts.21cn.com/tousu/show/id/1336478</v>
      </c>
      <c r="F5638" s="2" t="s">
        <v>11</v>
      </c>
      <c r="G5638" s="2" t="s">
        <v>33063</v>
      </c>
      <c r="H5638" s="2" t="s">
        <v>33064</v>
      </c>
    </row>
    <row r="5639" spans="1:8" ht="25.05" customHeight="1" x14ac:dyDescent="0.25">
      <c r="A5639" s="2" t="s">
        <v>8</v>
      </c>
      <c r="B5639" s="2" t="str">
        <f>HYPERLINK("http://ts.21cn.com/tousu/show/id/1336479","钱站高利贷阴阳合同")</f>
        <v>钱站高利贷阴阳合同</v>
      </c>
      <c r="C5639" s="2" t="s">
        <v>9</v>
      </c>
      <c r="D5639" s="2" t="s">
        <v>10</v>
      </c>
      <c r="E5639" s="2" t="str">
        <f>HYPERLINK("http://ts.21cn.com/tousu/show/id/1336479","http://ts.21cn.com/tousu/show/id/1336479")</f>
        <v>http://ts.21cn.com/tousu/show/id/1336479</v>
      </c>
      <c r="F5639" s="2" t="s">
        <v>11</v>
      </c>
      <c r="G5639" s="2" t="s">
        <v>33061</v>
      </c>
      <c r="H5639" s="2" t="s">
        <v>33062</v>
      </c>
    </row>
    <row r="5640" spans="1:8" ht="25.05" customHeight="1" x14ac:dyDescent="0.25">
      <c r="A5640" s="2" t="s">
        <v>8</v>
      </c>
      <c r="B5640" s="2" t="str">
        <f>HYPERLINK("http://ts.21cn.com/tousu/show/id/1336480","没接到电话为什么给我家里人打电话")</f>
        <v>没接到电话为什么给我家里人打电话</v>
      </c>
      <c r="C5640" s="2" t="s">
        <v>34</v>
      </c>
      <c r="D5640" s="2" t="s">
        <v>10</v>
      </c>
      <c r="E5640" s="2" t="str">
        <f>HYPERLINK("http://ts.21cn.com/tousu/show/id/1336480","http://ts.21cn.com/tousu/show/id/1336480")</f>
        <v>http://ts.21cn.com/tousu/show/id/1336480</v>
      </c>
      <c r="F5640" s="2" t="s">
        <v>11</v>
      </c>
      <c r="G5640" s="2" t="s">
        <v>33059</v>
      </c>
      <c r="H5640" s="2" t="s">
        <v>33060</v>
      </c>
    </row>
    <row r="5641" spans="1:8" ht="25.05" customHeight="1" x14ac:dyDescent="0.25">
      <c r="A5641" s="2" t="s">
        <v>8</v>
      </c>
      <c r="B5641" s="2" t="str">
        <f>HYPERLINK("http://ts.21cn.com/tousu/show/id/1336481","苹果ID盗刷到store商场里")</f>
        <v>苹果ID盗刷到store商场里</v>
      </c>
      <c r="C5641" s="2" t="s">
        <v>9</v>
      </c>
      <c r="D5641" s="2" t="s">
        <v>10</v>
      </c>
      <c r="E5641" s="2" t="str">
        <f>HYPERLINK("http://ts.21cn.com/tousu/show/id/1336481","http://ts.21cn.com/tousu/show/id/1336481")</f>
        <v>http://ts.21cn.com/tousu/show/id/1336481</v>
      </c>
      <c r="F5641" s="2" t="s">
        <v>11</v>
      </c>
      <c r="G5641" s="2" t="s">
        <v>33057</v>
      </c>
      <c r="H5641" s="2" t="s">
        <v>33058</v>
      </c>
    </row>
    <row r="5642" spans="1:8" ht="25.05" customHeight="1" x14ac:dyDescent="0.25">
      <c r="A5642" s="2" t="s">
        <v>8</v>
      </c>
      <c r="B5642" s="2" t="str">
        <f>HYPERLINK("http://ts.21cn.com/tousu/show/id/1336484","未经任何联系私自扣款")</f>
        <v>未经任何联系私自扣款</v>
      </c>
      <c r="C5642" s="2" t="s">
        <v>9</v>
      </c>
      <c r="D5642" s="2" t="s">
        <v>10</v>
      </c>
      <c r="E5642" s="2" t="str">
        <f>HYPERLINK("http://ts.21cn.com/tousu/show/id/1336484","http://ts.21cn.com/tousu/show/id/1336484")</f>
        <v>http://ts.21cn.com/tousu/show/id/1336484</v>
      </c>
      <c r="F5642" s="2" t="s">
        <v>11</v>
      </c>
      <c r="G5642" s="2" t="s">
        <v>33055</v>
      </c>
      <c r="H5642" s="2" t="s">
        <v>33056</v>
      </c>
    </row>
    <row r="5643" spans="1:8" ht="25.05" customHeight="1" x14ac:dyDescent="0.25">
      <c r="A5643" s="2" t="s">
        <v>8</v>
      </c>
      <c r="B5643" s="2" t="str">
        <f>HYPERLINK("http://ts.21cn.com/tousu/show/id/1336482","没听说过更没用过说我逾期转给本地外包要上门")</f>
        <v>没听说过更没用过说我逾期转给本地外包要上门</v>
      </c>
      <c r="C5643" s="2" t="s">
        <v>9</v>
      </c>
      <c r="D5643" s="2" t="s">
        <v>10</v>
      </c>
      <c r="E5643" s="2" t="str">
        <f>HYPERLINK("http://ts.21cn.com/tousu/show/id/1336482","http://ts.21cn.com/tousu/show/id/1336482")</f>
        <v>http://ts.21cn.com/tousu/show/id/1336482</v>
      </c>
      <c r="F5643" s="2" t="s">
        <v>11</v>
      </c>
      <c r="G5643" s="2" t="s">
        <v>33053</v>
      </c>
      <c r="H5643" s="2" t="s">
        <v>33054</v>
      </c>
    </row>
    <row r="5644" spans="1:8" ht="25.05" customHeight="1" x14ac:dyDescent="0.25">
      <c r="A5644" s="2" t="s">
        <v>8</v>
      </c>
      <c r="B5644" s="2" t="str">
        <f>HYPERLINK("http://ts.21cn.com/tousu/show/id/1336485","平安普惠高利贷，爆通讯录")</f>
        <v>平安普惠高利贷，爆通讯录</v>
      </c>
      <c r="C5644" s="2" t="s">
        <v>9</v>
      </c>
      <c r="D5644" s="2" t="s">
        <v>10</v>
      </c>
      <c r="E5644" s="2" t="str">
        <f>HYPERLINK("http://ts.21cn.com/tousu/show/id/1336485","http://ts.21cn.com/tousu/show/id/1336485")</f>
        <v>http://ts.21cn.com/tousu/show/id/1336485</v>
      </c>
      <c r="F5644" s="2" t="s">
        <v>11</v>
      </c>
      <c r="G5644" s="2" t="s">
        <v>33051</v>
      </c>
      <c r="H5644" s="2" t="s">
        <v>33052</v>
      </c>
    </row>
    <row r="5645" spans="1:8" ht="25.05" customHeight="1" x14ac:dyDescent="0.25">
      <c r="A5645" s="2" t="s">
        <v>8</v>
      </c>
      <c r="B5645" s="2" t="str">
        <f>HYPERLINK("http://ts.21cn.com/tousu/show/id/1336486","好分期即将进行暴力催收")</f>
        <v>好分期即将进行暴力催收</v>
      </c>
      <c r="C5645" s="2" t="s">
        <v>9</v>
      </c>
      <c r="D5645" s="2" t="s">
        <v>10</v>
      </c>
      <c r="E5645" s="2" t="str">
        <f>HYPERLINK("http://ts.21cn.com/tousu/show/id/1336486","http://ts.21cn.com/tousu/show/id/1336486")</f>
        <v>http://ts.21cn.com/tousu/show/id/1336486</v>
      </c>
      <c r="F5645" s="2" t="s">
        <v>11</v>
      </c>
      <c r="G5645" s="2" t="s">
        <v>33049</v>
      </c>
      <c r="H5645" s="2" t="s">
        <v>33050</v>
      </c>
    </row>
    <row r="5646" spans="1:8" ht="25.05" customHeight="1" x14ac:dyDescent="0.25">
      <c r="A5646" s="2" t="s">
        <v>8</v>
      </c>
      <c r="B5646" s="2" t="str">
        <f>HYPERLINK("http://ts.21cn.com/tousu/show/id/1336487","中国移动恶意更改套餐")</f>
        <v>中国移动恶意更改套餐</v>
      </c>
      <c r="C5646" s="2" t="s">
        <v>9</v>
      </c>
      <c r="D5646" s="2" t="s">
        <v>10</v>
      </c>
      <c r="E5646" s="2" t="str">
        <f>HYPERLINK("http://ts.21cn.com/tousu/show/id/1336487","http://ts.21cn.com/tousu/show/id/1336487")</f>
        <v>http://ts.21cn.com/tousu/show/id/1336487</v>
      </c>
      <c r="F5646" s="2" t="s">
        <v>11</v>
      </c>
      <c r="G5646" s="2" t="s">
        <v>33047</v>
      </c>
      <c r="H5646" s="2" t="s">
        <v>33048</v>
      </c>
    </row>
    <row r="5647" spans="1:8" ht="25.05" customHeight="1" x14ac:dyDescent="0.25">
      <c r="A5647" s="2" t="s">
        <v>8</v>
      </c>
      <c r="B5647" s="2" t="str">
        <f>HYPERLINK("http://ts.21cn.com/tousu/show/id/1336489","阴阳合同，而且之前的借款界面没有")</f>
        <v>阴阳合同，而且之前的借款界面没有</v>
      </c>
      <c r="C5647" s="2" t="s">
        <v>9</v>
      </c>
      <c r="D5647" s="2" t="s">
        <v>10</v>
      </c>
      <c r="E5647" s="2" t="str">
        <f>HYPERLINK("http://ts.21cn.com/tousu/show/id/1336489","http://ts.21cn.com/tousu/show/id/1336489")</f>
        <v>http://ts.21cn.com/tousu/show/id/1336489</v>
      </c>
      <c r="F5647" s="2" t="s">
        <v>11</v>
      </c>
      <c r="G5647" s="2" t="s">
        <v>33045</v>
      </c>
      <c r="H5647" s="2" t="s">
        <v>33046</v>
      </c>
    </row>
    <row r="5648" spans="1:8" ht="25.05" customHeight="1" x14ac:dyDescent="0.25">
      <c r="A5648" s="2" t="s">
        <v>8</v>
      </c>
      <c r="B5648" s="2" t="str">
        <f>HYPERLINK("http://ts.21cn.com/tousu/show/id/1336490","闪银平台泄露借款人的隐私，天天接到莫名其妙的电话不知道怎么回事")</f>
        <v>闪银平台泄露借款人的隐私，天天接到莫名其妙的电话不知道怎么回事</v>
      </c>
      <c r="C5648" s="2" t="s">
        <v>9</v>
      </c>
      <c r="D5648" s="2" t="s">
        <v>10</v>
      </c>
      <c r="E5648" s="2" t="str">
        <f>HYPERLINK("http://ts.21cn.com/tousu/show/id/1336490","http://ts.21cn.com/tousu/show/id/1336490")</f>
        <v>http://ts.21cn.com/tousu/show/id/1336490</v>
      </c>
      <c r="F5648" s="2" t="s">
        <v>11</v>
      </c>
      <c r="G5648" s="2" t="s">
        <v>33043</v>
      </c>
      <c r="H5648" s="2" t="s">
        <v>33044</v>
      </c>
    </row>
    <row r="5649" spans="1:8" ht="25.05" customHeight="1" x14ac:dyDescent="0.25">
      <c r="A5649" s="2" t="s">
        <v>8</v>
      </c>
      <c r="B5649" s="2" t="str">
        <f>HYPERLINK("http://ts.21cn.com/tousu/show/id/1336492","维信金科要求协商不处理")</f>
        <v>维信金科要求协商不处理</v>
      </c>
      <c r="C5649" s="2" t="s">
        <v>9</v>
      </c>
      <c r="D5649" s="2" t="s">
        <v>10</v>
      </c>
      <c r="E5649" s="2" t="str">
        <f>HYPERLINK("http://ts.21cn.com/tousu/show/id/1336492","http://ts.21cn.com/tousu/show/id/1336492")</f>
        <v>http://ts.21cn.com/tousu/show/id/1336492</v>
      </c>
      <c r="F5649" s="2" t="s">
        <v>11</v>
      </c>
      <c r="G5649" s="2" t="s">
        <v>33041</v>
      </c>
      <c r="H5649" s="2" t="s">
        <v>33042</v>
      </c>
    </row>
    <row r="5650" spans="1:8" ht="25.05" customHeight="1" x14ac:dyDescent="0.25">
      <c r="A5650" s="2" t="s">
        <v>8</v>
      </c>
      <c r="B5650" s="2" t="str">
        <f>HYPERLINK("http://ts.21cn.com/tousu/show/id/1336491","拍拍贷暴力催收")</f>
        <v>拍拍贷暴力催收</v>
      </c>
      <c r="C5650" s="2" t="s">
        <v>9</v>
      </c>
      <c r="D5650" s="2" t="s">
        <v>10</v>
      </c>
      <c r="E5650" s="2" t="str">
        <f>HYPERLINK("http://ts.21cn.com/tousu/show/id/1336491","http://ts.21cn.com/tousu/show/id/1336491")</f>
        <v>http://ts.21cn.com/tousu/show/id/1336491</v>
      </c>
      <c r="F5650" s="2" t="s">
        <v>11</v>
      </c>
      <c r="G5650" s="2" t="s">
        <v>33039</v>
      </c>
      <c r="H5650" s="2" t="s">
        <v>33040</v>
      </c>
    </row>
    <row r="5651" spans="1:8" ht="25.05" customHeight="1" x14ac:dyDescent="0.25">
      <c r="A5651" s="2" t="s">
        <v>8</v>
      </c>
      <c r="B5651" s="2" t="str">
        <f>HYPERLINK("http://ts.21cn.com/tousu/show/id/1336493","逾期费用超过国家规定")</f>
        <v>逾期费用超过国家规定</v>
      </c>
      <c r="C5651" s="2" t="s">
        <v>9</v>
      </c>
      <c r="D5651" s="2" t="s">
        <v>10</v>
      </c>
      <c r="E5651" s="2" t="str">
        <f>HYPERLINK("http://ts.21cn.com/tousu/show/id/1336493","http://ts.21cn.com/tousu/show/id/1336493")</f>
        <v>http://ts.21cn.com/tousu/show/id/1336493</v>
      </c>
      <c r="F5651" s="2" t="s">
        <v>11</v>
      </c>
      <c r="G5651" s="2" t="s">
        <v>33037</v>
      </c>
      <c r="H5651" s="2" t="s">
        <v>33038</v>
      </c>
    </row>
    <row r="5652" spans="1:8" ht="25.05" customHeight="1" x14ac:dyDescent="0.25">
      <c r="A5652" s="2" t="s">
        <v>8</v>
      </c>
      <c r="B5652" s="2" t="str">
        <f>HYPERLINK("http://ts.21cn.com/tousu/show/id/1336495","恐吓，骚扰我正常生活")</f>
        <v>恐吓，骚扰我正常生活</v>
      </c>
      <c r="C5652" s="2" t="s">
        <v>9</v>
      </c>
      <c r="D5652" s="2" t="s">
        <v>10</v>
      </c>
      <c r="E5652" s="2" t="str">
        <f>HYPERLINK("http://ts.21cn.com/tousu/show/id/1336495","http://ts.21cn.com/tousu/show/id/1336495")</f>
        <v>http://ts.21cn.com/tousu/show/id/1336495</v>
      </c>
      <c r="F5652" s="2" t="s">
        <v>11</v>
      </c>
      <c r="G5652" s="2" t="s">
        <v>33035</v>
      </c>
      <c r="H5652" s="2" t="s">
        <v>33036</v>
      </c>
    </row>
    <row r="5653" spans="1:8" ht="25.05" customHeight="1" x14ac:dyDescent="0.25">
      <c r="A5653" s="2" t="s">
        <v>8</v>
      </c>
      <c r="B5653" s="2" t="str">
        <f>HYPERLINK("http://ts.21cn.com/tousu/show/id/1336497","来分期利息超高借款本金和利息分不清")</f>
        <v>来分期利息超高借款本金和利息分不清</v>
      </c>
      <c r="C5653" s="2" t="s">
        <v>9</v>
      </c>
      <c r="D5653" s="2" t="s">
        <v>10</v>
      </c>
      <c r="E5653" s="2" t="str">
        <f>HYPERLINK("http://ts.21cn.com/tousu/show/id/1336497","http://ts.21cn.com/tousu/show/id/1336497")</f>
        <v>http://ts.21cn.com/tousu/show/id/1336497</v>
      </c>
      <c r="F5653" s="2" t="s">
        <v>11</v>
      </c>
      <c r="G5653" s="2" t="s">
        <v>33033</v>
      </c>
      <c r="H5653" s="2" t="s">
        <v>33034</v>
      </c>
    </row>
    <row r="5654" spans="1:8" ht="25.05" customHeight="1" x14ac:dyDescent="0.25">
      <c r="A5654" s="2" t="s">
        <v>8</v>
      </c>
      <c r="B5654" s="2" t="str">
        <f>HYPERLINK("http://ts.21cn.com/tousu/show/id/1336496","滴滴公司派单不公平现象")</f>
        <v>滴滴公司派单不公平现象</v>
      </c>
      <c r="C5654" s="2" t="s">
        <v>9</v>
      </c>
      <c r="D5654" s="2" t="s">
        <v>10</v>
      </c>
      <c r="E5654" s="2" t="str">
        <f>HYPERLINK("http://ts.21cn.com/tousu/show/id/1336496","http://ts.21cn.com/tousu/show/id/1336496")</f>
        <v>http://ts.21cn.com/tousu/show/id/1336496</v>
      </c>
      <c r="F5654" s="2" t="s">
        <v>11</v>
      </c>
      <c r="G5654" s="2" t="s">
        <v>33031</v>
      </c>
      <c r="H5654" s="2" t="s">
        <v>33032</v>
      </c>
    </row>
    <row r="5655" spans="1:8" ht="25.05" customHeight="1" x14ac:dyDescent="0.25">
      <c r="A5655" s="2" t="s">
        <v>8</v>
      </c>
      <c r="B5655" s="2" t="str">
        <f>HYPERLINK("http://ts.21cn.com/tousu/show/id/1336498","解除限制")</f>
        <v>解除限制</v>
      </c>
      <c r="C5655" s="2" t="s">
        <v>34</v>
      </c>
      <c r="D5655" s="2" t="s">
        <v>10</v>
      </c>
      <c r="E5655" s="2" t="str">
        <f>HYPERLINK("http://ts.21cn.com/tousu/show/id/1336498","http://ts.21cn.com/tousu/show/id/1336498")</f>
        <v>http://ts.21cn.com/tousu/show/id/1336498</v>
      </c>
      <c r="F5655" s="2" t="s">
        <v>11</v>
      </c>
      <c r="G5655" s="2" t="s">
        <v>33029</v>
      </c>
      <c r="H5655" s="2" t="s">
        <v>33030</v>
      </c>
    </row>
    <row r="5656" spans="1:8" ht="25.05" customHeight="1" x14ac:dyDescent="0.25">
      <c r="A5656" s="2" t="s">
        <v>8</v>
      </c>
      <c r="B5656" s="2" t="str">
        <f>HYPERLINK("http://ts.21cn.com/tousu/show/id/1336499","趣花分期高利贷")</f>
        <v>趣花分期高利贷</v>
      </c>
      <c r="C5656" s="2" t="s">
        <v>9</v>
      </c>
      <c r="D5656" s="2" t="s">
        <v>10</v>
      </c>
      <c r="E5656" s="2" t="str">
        <f>HYPERLINK("http://ts.21cn.com/tousu/show/id/1336499","http://ts.21cn.com/tousu/show/id/1336499")</f>
        <v>http://ts.21cn.com/tousu/show/id/1336499</v>
      </c>
      <c r="F5656" s="2" t="s">
        <v>11</v>
      </c>
      <c r="G5656" s="2" t="s">
        <v>33027</v>
      </c>
      <c r="H5656" s="2" t="s">
        <v>33028</v>
      </c>
    </row>
    <row r="5657" spans="1:8" ht="25.05" customHeight="1" x14ac:dyDescent="0.25">
      <c r="A5657" s="2" t="s">
        <v>8</v>
      </c>
      <c r="B5657" s="2" t="str">
        <f>HYPERLINK("http://ts.21cn.com/tousu/show/id/1336500","催收素质及其低下")</f>
        <v>催收素质及其低下</v>
      </c>
      <c r="C5657" s="2" t="s">
        <v>9</v>
      </c>
      <c r="D5657" s="2" t="s">
        <v>10</v>
      </c>
      <c r="E5657" s="2" t="str">
        <f>HYPERLINK("http://ts.21cn.com/tousu/show/id/1336500","http://ts.21cn.com/tousu/show/id/1336500")</f>
        <v>http://ts.21cn.com/tousu/show/id/1336500</v>
      </c>
      <c r="F5657" s="2" t="s">
        <v>11</v>
      </c>
      <c r="G5657" s="2" t="s">
        <v>33025</v>
      </c>
      <c r="H5657" s="2" t="s">
        <v>33026</v>
      </c>
    </row>
    <row r="5658" spans="1:8" ht="25.05" customHeight="1" x14ac:dyDescent="0.25">
      <c r="A5658" s="2" t="s">
        <v>8</v>
      </c>
      <c r="B5658" s="2" t="str">
        <f>HYPERLINK("http://ts.21cn.com/tousu/show/id/1336501","小浦优客不经过我同意私自扣除我银行卡296元钱")</f>
        <v>小浦优客不经过我同意私自扣除我银行卡296元钱</v>
      </c>
      <c r="C5658" s="2" t="s">
        <v>9</v>
      </c>
      <c r="D5658" s="2" t="s">
        <v>10</v>
      </c>
      <c r="E5658" s="2" t="str">
        <f>HYPERLINK("http://ts.21cn.com/tousu/show/id/1336501","http://ts.21cn.com/tousu/show/id/1336501")</f>
        <v>http://ts.21cn.com/tousu/show/id/1336501</v>
      </c>
      <c r="F5658" s="2" t="s">
        <v>11</v>
      </c>
      <c r="G5658" s="2" t="s">
        <v>33023</v>
      </c>
      <c r="H5658" s="2" t="s">
        <v>33024</v>
      </c>
    </row>
    <row r="5659" spans="1:8" ht="25.05" customHeight="1" x14ac:dyDescent="0.25">
      <c r="A5659" s="2" t="s">
        <v>8</v>
      </c>
      <c r="B5659" s="2" t="str">
        <f>HYPERLINK("http://ts.21cn.com/tousu/show/id/1336502","剥削我们的劳动成果")</f>
        <v>剥削我们的劳动成果</v>
      </c>
      <c r="C5659" s="2" t="s">
        <v>9</v>
      </c>
      <c r="D5659" s="2" t="s">
        <v>10</v>
      </c>
      <c r="E5659" s="2" t="str">
        <f>HYPERLINK("http://ts.21cn.com/tousu/show/id/1336502","http://ts.21cn.com/tousu/show/id/1336502")</f>
        <v>http://ts.21cn.com/tousu/show/id/1336502</v>
      </c>
      <c r="F5659" s="2" t="s">
        <v>11</v>
      </c>
      <c r="G5659" s="2" t="s">
        <v>33021</v>
      </c>
      <c r="H5659" s="2" t="s">
        <v>33022</v>
      </c>
    </row>
    <row r="5660" spans="1:8" ht="25.05" customHeight="1" x14ac:dyDescent="0.25">
      <c r="A5660" s="2" t="s">
        <v>8</v>
      </c>
      <c r="B5660" s="2" t="str">
        <f>HYPERLINK("http://ts.21cn.com/tousu/show/id/1336503","立借借款十二期实际三期就要还完，变相高利贷")</f>
        <v>立借借款十二期实际三期就要还完，变相高利贷</v>
      </c>
      <c r="C5660" s="2" t="s">
        <v>9</v>
      </c>
      <c r="D5660" s="2" t="s">
        <v>10</v>
      </c>
      <c r="E5660" s="2" t="str">
        <f>HYPERLINK("http://ts.21cn.com/tousu/show/id/1336503","http://ts.21cn.com/tousu/show/id/1336503")</f>
        <v>http://ts.21cn.com/tousu/show/id/1336503</v>
      </c>
      <c r="F5660" s="2" t="s">
        <v>11</v>
      </c>
      <c r="G5660" s="2" t="s">
        <v>33019</v>
      </c>
      <c r="H5660" s="2" t="s">
        <v>33020</v>
      </c>
    </row>
    <row r="5661" spans="1:8" ht="25.05" customHeight="1" x14ac:dyDescent="0.25">
      <c r="A5661" s="2" t="s">
        <v>8</v>
      </c>
      <c r="B5661" s="2" t="str">
        <f>HYPERLINK("http://ts.21cn.com/tousu/show/id/1333586","非法高利贷")</f>
        <v>非法高利贷</v>
      </c>
      <c r="C5661" s="2" t="s">
        <v>9</v>
      </c>
      <c r="D5661" s="2" t="s">
        <v>10</v>
      </c>
      <c r="E5661" s="2" t="str">
        <f>HYPERLINK("http://ts.21cn.com/tousu/show/id/1333586","http://ts.21cn.com/tousu/show/id/1333586")</f>
        <v>http://ts.21cn.com/tousu/show/id/1333586</v>
      </c>
      <c r="F5661" s="2" t="s">
        <v>11</v>
      </c>
      <c r="G5661" s="2" t="s">
        <v>33017</v>
      </c>
      <c r="H5661" s="2" t="s">
        <v>33018</v>
      </c>
    </row>
    <row r="5662" spans="1:8" ht="25.05" customHeight="1" x14ac:dyDescent="0.25">
      <c r="A5662" s="2" t="s">
        <v>8</v>
      </c>
      <c r="B5662" s="2" t="str">
        <f>HYPERLINK("http://ts.21cn.com/tousu/show/id/1336504","国美易卡，催收")</f>
        <v>国美易卡，催收</v>
      </c>
      <c r="C5662" s="2" t="s">
        <v>9</v>
      </c>
      <c r="D5662" s="2" t="s">
        <v>10</v>
      </c>
      <c r="E5662" s="2" t="str">
        <f>HYPERLINK("http://ts.21cn.com/tousu/show/id/1336504","http://ts.21cn.com/tousu/show/id/1336504")</f>
        <v>http://ts.21cn.com/tousu/show/id/1336504</v>
      </c>
      <c r="F5662" s="2" t="s">
        <v>11</v>
      </c>
      <c r="G5662" s="2" t="s">
        <v>33015</v>
      </c>
      <c r="H5662" s="2" t="s">
        <v>33016</v>
      </c>
    </row>
    <row r="5663" spans="1:8" ht="25.05" customHeight="1" x14ac:dyDescent="0.25">
      <c r="A5663" s="2" t="s">
        <v>8</v>
      </c>
      <c r="B5663" s="2" t="str">
        <f>HYPERLINK("http://ts.21cn.com/tousu/show/id/1336505","贷款时候收取押金，怕你不还款，说等还款完了以后再退反")</f>
        <v>贷款时候收取押金，怕你不还款，说等还款完了以后再退反</v>
      </c>
      <c r="C5663" s="2" t="s">
        <v>34</v>
      </c>
      <c r="D5663" s="2" t="s">
        <v>10</v>
      </c>
      <c r="E5663" s="2" t="str">
        <f>HYPERLINK("http://ts.21cn.com/tousu/show/id/1336505","http://ts.21cn.com/tousu/show/id/1336505")</f>
        <v>http://ts.21cn.com/tousu/show/id/1336505</v>
      </c>
      <c r="F5663" s="2" t="s">
        <v>11</v>
      </c>
      <c r="G5663" s="2" t="s">
        <v>33013</v>
      </c>
      <c r="H5663" s="2" t="s">
        <v>33014</v>
      </c>
    </row>
    <row r="5664" spans="1:8" ht="25.05" customHeight="1" x14ac:dyDescent="0.25">
      <c r="A5664" s="2" t="s">
        <v>8</v>
      </c>
      <c r="B5664" s="2" t="str">
        <f>HYPERLINK("http://ts.21cn.com/tousu/show/id/1336506","信用管家分期乱扣费")</f>
        <v>信用管家分期乱扣费</v>
      </c>
      <c r="C5664" s="2" t="s">
        <v>9</v>
      </c>
      <c r="D5664" s="2" t="s">
        <v>10</v>
      </c>
      <c r="E5664" s="2" t="str">
        <f>HYPERLINK("http://ts.21cn.com/tousu/show/id/1336506","http://ts.21cn.com/tousu/show/id/1336506")</f>
        <v>http://ts.21cn.com/tousu/show/id/1336506</v>
      </c>
      <c r="F5664" s="2" t="s">
        <v>11</v>
      </c>
      <c r="G5664" s="2" t="s">
        <v>33011</v>
      </c>
      <c r="H5664" s="2" t="s">
        <v>33012</v>
      </c>
    </row>
    <row r="5665" spans="1:8" ht="25.05" customHeight="1" x14ac:dyDescent="0.25">
      <c r="A5665" s="2" t="s">
        <v>8</v>
      </c>
      <c r="B5665" s="2" t="str">
        <f>HYPERLINK("http://ts.21cn.com/tousu/show/id/1336508","暴力催收，恐吓")</f>
        <v>暴力催收，恐吓</v>
      </c>
      <c r="C5665" s="2" t="s">
        <v>9</v>
      </c>
      <c r="D5665" s="2" t="s">
        <v>10</v>
      </c>
      <c r="E5665" s="2" t="str">
        <f>HYPERLINK("http://ts.21cn.com/tousu/show/id/1336508","http://ts.21cn.com/tousu/show/id/1336508")</f>
        <v>http://ts.21cn.com/tousu/show/id/1336508</v>
      </c>
      <c r="F5665" s="2" t="s">
        <v>11</v>
      </c>
      <c r="G5665" s="2" t="s">
        <v>33009</v>
      </c>
      <c r="H5665" s="2" t="s">
        <v>33010</v>
      </c>
    </row>
    <row r="5666" spans="1:8" ht="25.05" customHeight="1" x14ac:dyDescent="0.25">
      <c r="A5666" s="2" t="s">
        <v>8</v>
      </c>
      <c r="B5666" s="2" t="str">
        <f>HYPERLINK("http://ts.21cn.com/tousu/show/id/1336507","投诉你我贷")</f>
        <v>投诉你我贷</v>
      </c>
      <c r="C5666" s="2" t="s">
        <v>9</v>
      </c>
      <c r="D5666" s="2" t="s">
        <v>10</v>
      </c>
      <c r="E5666" s="2" t="str">
        <f>HYPERLINK("http://ts.21cn.com/tousu/show/id/1336507","http://ts.21cn.com/tousu/show/id/1336507")</f>
        <v>http://ts.21cn.com/tousu/show/id/1336507</v>
      </c>
      <c r="F5666" s="2" t="s">
        <v>11</v>
      </c>
      <c r="G5666" s="2" t="s">
        <v>33007</v>
      </c>
      <c r="H5666" s="2" t="s">
        <v>33008</v>
      </c>
    </row>
    <row r="5667" spans="1:8" ht="25.05" customHeight="1" x14ac:dyDescent="0.25">
      <c r="A5667" s="2" t="s">
        <v>8</v>
      </c>
      <c r="B5667" s="2" t="str">
        <f>HYPERLINK("http://ts.21cn.com/tousu/show/id/1336510","玖富叮当高利贷，暴力催收，合同欺诈")</f>
        <v>玖富叮当高利贷，暴力催收，合同欺诈</v>
      </c>
      <c r="C5667" s="2" t="s">
        <v>9</v>
      </c>
      <c r="D5667" s="2" t="s">
        <v>10</v>
      </c>
      <c r="E5667" s="2" t="str">
        <f>HYPERLINK("http://ts.21cn.com/tousu/show/id/1336510","http://ts.21cn.com/tousu/show/id/1336510")</f>
        <v>http://ts.21cn.com/tousu/show/id/1336510</v>
      </c>
      <c r="F5667" s="2" t="s">
        <v>11</v>
      </c>
      <c r="G5667" s="2" t="s">
        <v>33005</v>
      </c>
      <c r="H5667" s="2" t="s">
        <v>33006</v>
      </c>
    </row>
    <row r="5668" spans="1:8" ht="25.05" customHeight="1" x14ac:dyDescent="0.25">
      <c r="A5668" s="2" t="s">
        <v>8</v>
      </c>
      <c r="B5668" s="2" t="str">
        <f>HYPERLINK("http://ts.21cn.com/tousu/show/id/1336512","这么多热点不派单")</f>
        <v>这么多热点不派单</v>
      </c>
      <c r="C5668" s="2" t="s">
        <v>34</v>
      </c>
      <c r="D5668" s="2" t="s">
        <v>10</v>
      </c>
      <c r="E5668" s="2" t="str">
        <f>HYPERLINK("http://ts.21cn.com/tousu/show/id/1336512","http://ts.21cn.com/tousu/show/id/1336512")</f>
        <v>http://ts.21cn.com/tousu/show/id/1336512</v>
      </c>
      <c r="F5668" s="2" t="s">
        <v>11</v>
      </c>
      <c r="G5668" s="2" t="s">
        <v>33003</v>
      </c>
      <c r="H5668" s="2" t="s">
        <v>33004</v>
      </c>
    </row>
    <row r="5669" spans="1:8" ht="25.05" customHeight="1" x14ac:dyDescent="0.25">
      <c r="A5669" s="2" t="s">
        <v>8</v>
      </c>
      <c r="B5669" s="2" t="str">
        <f>HYPERLINK("http://ts.21cn.com/tousu/show/id/1336511","买的物联卡插手机上无法使用，退套餐不同意")</f>
        <v>买的物联卡插手机上无法使用，退套餐不同意</v>
      </c>
      <c r="C5669" s="2" t="s">
        <v>9</v>
      </c>
      <c r="D5669" s="2" t="s">
        <v>10</v>
      </c>
      <c r="E5669" s="2" t="str">
        <f>HYPERLINK("http://ts.21cn.com/tousu/show/id/1336511","http://ts.21cn.com/tousu/show/id/1336511")</f>
        <v>http://ts.21cn.com/tousu/show/id/1336511</v>
      </c>
      <c r="F5669" s="2" t="s">
        <v>11</v>
      </c>
      <c r="G5669" s="2" t="s">
        <v>33001</v>
      </c>
      <c r="H5669" s="2" t="s">
        <v>33002</v>
      </c>
    </row>
    <row r="5670" spans="1:8" ht="25.05" customHeight="1" x14ac:dyDescent="0.25">
      <c r="A5670" s="2" t="s">
        <v>8</v>
      </c>
      <c r="B5670" s="2" t="str">
        <f>HYPERLINK("http://ts.21cn.com/tousu/show/id/1336513","招联暴力催收")</f>
        <v>招联暴力催收</v>
      </c>
      <c r="C5670" s="2" t="s">
        <v>9</v>
      </c>
      <c r="D5670" s="2" t="s">
        <v>10</v>
      </c>
      <c r="E5670" s="2" t="str">
        <f>HYPERLINK("http://ts.21cn.com/tousu/show/id/1336513","http://ts.21cn.com/tousu/show/id/1336513")</f>
        <v>http://ts.21cn.com/tousu/show/id/1336513</v>
      </c>
      <c r="F5670" s="2" t="s">
        <v>11</v>
      </c>
      <c r="G5670" s="2" t="s">
        <v>32999</v>
      </c>
      <c r="H5670" s="2" t="s">
        <v>33000</v>
      </c>
    </row>
    <row r="5671" spans="1:8" ht="25.05" customHeight="1" x14ac:dyDescent="0.25">
      <c r="A5671" s="2" t="s">
        <v>8</v>
      </c>
      <c r="B5671" s="2" t="str">
        <f>HYPERLINK("http://ts.21cn.com/tousu/show/id/1336515","经济困难，请求分期还款，愿意重新计算利息重新分24期")</f>
        <v>经济困难，请求分期还款，愿意重新计算利息重新分24期</v>
      </c>
      <c r="C5671" s="2" t="s">
        <v>9</v>
      </c>
      <c r="D5671" s="2" t="s">
        <v>10</v>
      </c>
      <c r="E5671" s="2" t="str">
        <f>HYPERLINK("http://ts.21cn.com/tousu/show/id/1336515","http://ts.21cn.com/tousu/show/id/1336515")</f>
        <v>http://ts.21cn.com/tousu/show/id/1336515</v>
      </c>
      <c r="F5671" s="2" t="s">
        <v>11</v>
      </c>
      <c r="G5671" s="2" t="s">
        <v>32997</v>
      </c>
      <c r="H5671" s="2" t="s">
        <v>32998</v>
      </c>
    </row>
    <row r="5672" spans="1:8" ht="25.05" customHeight="1" x14ac:dyDescent="0.25">
      <c r="A5672" s="2" t="s">
        <v>8</v>
      </c>
      <c r="B5672" s="2" t="str">
        <f>HYPERLINK("http://ts.21cn.com/tousu/show/id/1336514","快闪卡贷不解决问题，不还钱")</f>
        <v>快闪卡贷不解决问题，不还钱</v>
      </c>
      <c r="C5672" s="2" t="s">
        <v>9</v>
      </c>
      <c r="D5672" s="2" t="s">
        <v>10</v>
      </c>
      <c r="E5672" s="2" t="str">
        <f>HYPERLINK("http://ts.21cn.com/tousu/show/id/1336514","http://ts.21cn.com/tousu/show/id/1336514")</f>
        <v>http://ts.21cn.com/tousu/show/id/1336514</v>
      </c>
      <c r="F5672" s="2" t="s">
        <v>11</v>
      </c>
      <c r="G5672" s="2" t="s">
        <v>32995</v>
      </c>
      <c r="H5672" s="2" t="s">
        <v>32996</v>
      </c>
    </row>
    <row r="5673" spans="1:8" ht="25.05" customHeight="1" x14ac:dyDescent="0.25">
      <c r="A5673" s="2" t="s">
        <v>8</v>
      </c>
      <c r="B5673" s="2" t="str">
        <f>HYPERLINK("http://ts.21cn.com/tousu/show/id/1336516","暴击催收")</f>
        <v>暴击催收</v>
      </c>
      <c r="C5673" s="2" t="s">
        <v>9</v>
      </c>
      <c r="D5673" s="2" t="s">
        <v>10</v>
      </c>
      <c r="E5673" s="2" t="str">
        <f>HYPERLINK("http://ts.21cn.com/tousu/show/id/1336516","http://ts.21cn.com/tousu/show/id/1336516")</f>
        <v>http://ts.21cn.com/tousu/show/id/1336516</v>
      </c>
      <c r="F5673" s="2" t="s">
        <v>11</v>
      </c>
      <c r="G5673" s="2" t="s">
        <v>32993</v>
      </c>
      <c r="H5673" s="2" t="s">
        <v>32994</v>
      </c>
    </row>
    <row r="5674" spans="1:8" ht="25.05" customHeight="1" x14ac:dyDescent="0.25">
      <c r="A5674" s="2" t="s">
        <v>8</v>
      </c>
      <c r="B5674" s="2" t="str">
        <f>HYPERLINK("http://ts.21cn.com/tousu/show/id/1336517","极秒贷涉嫌高利贷")</f>
        <v>极秒贷涉嫌高利贷</v>
      </c>
      <c r="C5674" s="2" t="s">
        <v>9</v>
      </c>
      <c r="D5674" s="2" t="s">
        <v>10</v>
      </c>
      <c r="E5674" s="2" t="str">
        <f>HYPERLINK("http://ts.21cn.com/tousu/show/id/1336517","http://ts.21cn.com/tousu/show/id/1336517")</f>
        <v>http://ts.21cn.com/tousu/show/id/1336517</v>
      </c>
      <c r="F5674" s="2" t="s">
        <v>11</v>
      </c>
      <c r="G5674" s="2" t="s">
        <v>32991</v>
      </c>
      <c r="H5674" s="2" t="s">
        <v>32992</v>
      </c>
    </row>
    <row r="5675" spans="1:8" ht="25.05" customHeight="1" x14ac:dyDescent="0.25">
      <c r="A5675" s="2" t="s">
        <v>8</v>
      </c>
      <c r="B5675" s="2" t="str">
        <f>HYPERLINK("http://ts.21cn.com/tousu/show/id/1336518","恐吓，暴力催收，威胁")</f>
        <v>恐吓，暴力催收，威胁</v>
      </c>
      <c r="C5675" s="2" t="s">
        <v>9</v>
      </c>
      <c r="D5675" s="2" t="s">
        <v>10</v>
      </c>
      <c r="E5675" s="2" t="str">
        <f>HYPERLINK("http://ts.21cn.com/tousu/show/id/1336518","http://ts.21cn.com/tousu/show/id/1336518")</f>
        <v>http://ts.21cn.com/tousu/show/id/1336518</v>
      </c>
      <c r="F5675" s="2" t="s">
        <v>11</v>
      </c>
      <c r="G5675" s="2" t="s">
        <v>32989</v>
      </c>
      <c r="H5675" s="2" t="s">
        <v>32990</v>
      </c>
    </row>
    <row r="5676" spans="1:8" ht="25.05" customHeight="1" x14ac:dyDescent="0.25">
      <c r="A5676" s="2" t="s">
        <v>8</v>
      </c>
      <c r="B5676" s="2" t="str">
        <f>HYPERLINK("http://ts.21cn.com/tousu/show/id/1336520","希望能销账")</f>
        <v>希望能销账</v>
      </c>
      <c r="C5676" s="2" t="s">
        <v>9</v>
      </c>
      <c r="D5676" s="2" t="s">
        <v>10</v>
      </c>
      <c r="E5676" s="2" t="str">
        <f>HYPERLINK("http://ts.21cn.com/tousu/show/id/1336520","http://ts.21cn.com/tousu/show/id/1336520")</f>
        <v>http://ts.21cn.com/tousu/show/id/1336520</v>
      </c>
      <c r="F5676" s="2" t="s">
        <v>11</v>
      </c>
      <c r="G5676" s="2" t="s">
        <v>32987</v>
      </c>
      <c r="H5676" s="2" t="s">
        <v>32988</v>
      </c>
    </row>
    <row r="5677" spans="1:8" ht="25.05" customHeight="1" x14ac:dyDescent="0.25">
      <c r="A5677" s="2" t="s">
        <v>8</v>
      </c>
      <c r="B5677" s="2" t="str">
        <f>HYPERLINK("http://ts.21cn.com/tousu/show/id/1336519","来分期利息本金分不清忽悠客户")</f>
        <v>来分期利息本金分不清忽悠客户</v>
      </c>
      <c r="C5677" s="2" t="s">
        <v>9</v>
      </c>
      <c r="D5677" s="2" t="s">
        <v>10</v>
      </c>
      <c r="E5677" s="2" t="str">
        <f>HYPERLINK("http://ts.21cn.com/tousu/show/id/1336519","http://ts.21cn.com/tousu/show/id/1336519")</f>
        <v>http://ts.21cn.com/tousu/show/id/1336519</v>
      </c>
      <c r="F5677" s="2" t="s">
        <v>11</v>
      </c>
      <c r="G5677" s="2" t="s">
        <v>32985</v>
      </c>
      <c r="H5677" s="2" t="s">
        <v>32986</v>
      </c>
    </row>
    <row r="5678" spans="1:8" ht="25.05" customHeight="1" x14ac:dyDescent="0.25">
      <c r="A5678" s="2" t="s">
        <v>8</v>
      </c>
      <c r="B5678" s="2" t="str">
        <f>HYPERLINK("http://ts.21cn.com/tousu/show/id/1336521","购买礼包未发货")</f>
        <v>购买礼包未发货</v>
      </c>
      <c r="C5678" s="2" t="s">
        <v>9</v>
      </c>
      <c r="D5678" s="2" t="s">
        <v>10</v>
      </c>
      <c r="E5678" s="2" t="str">
        <f>HYPERLINK("http://ts.21cn.com/tousu/show/id/1336521","http://ts.21cn.com/tousu/show/id/1336521")</f>
        <v>http://ts.21cn.com/tousu/show/id/1336521</v>
      </c>
      <c r="F5678" s="2" t="s">
        <v>11</v>
      </c>
      <c r="G5678" s="2" t="s">
        <v>32983</v>
      </c>
      <c r="H5678" s="2" t="s">
        <v>32984</v>
      </c>
    </row>
    <row r="5679" spans="1:8" ht="25.05" customHeight="1" x14ac:dyDescent="0.25">
      <c r="A5679" s="2" t="s">
        <v>8</v>
      </c>
      <c r="B5679" s="2" t="str">
        <f>HYPERLINK("http://ts.21cn.com/tousu/show/id/1336522","钱站高利贷阴阳合同")</f>
        <v>钱站高利贷阴阳合同</v>
      </c>
      <c r="C5679" s="2" t="s">
        <v>9</v>
      </c>
      <c r="D5679" s="2" t="s">
        <v>10</v>
      </c>
      <c r="E5679" s="2" t="str">
        <f>HYPERLINK("http://ts.21cn.com/tousu/show/id/1336522","http://ts.21cn.com/tousu/show/id/1336522")</f>
        <v>http://ts.21cn.com/tousu/show/id/1336522</v>
      </c>
      <c r="F5679" s="2" t="s">
        <v>11</v>
      </c>
      <c r="G5679" s="2" t="s">
        <v>32981</v>
      </c>
      <c r="H5679" s="2" t="s">
        <v>32982</v>
      </c>
    </row>
    <row r="5680" spans="1:8" ht="25.05" customHeight="1" x14ac:dyDescent="0.25">
      <c r="A5680" s="2" t="s">
        <v>8</v>
      </c>
      <c r="B5680" s="2" t="str">
        <f>HYPERLINK("http://ts.21cn.com/tousu/show/id/1336523","信用管家好运金威胁爆通讯录")</f>
        <v>信用管家好运金威胁爆通讯录</v>
      </c>
      <c r="C5680" s="2" t="s">
        <v>9</v>
      </c>
      <c r="D5680" s="2" t="s">
        <v>10</v>
      </c>
      <c r="E5680" s="2" t="str">
        <f>HYPERLINK("http://ts.21cn.com/tousu/show/id/1336523","http://ts.21cn.com/tousu/show/id/1336523")</f>
        <v>http://ts.21cn.com/tousu/show/id/1336523</v>
      </c>
      <c r="F5680" s="2" t="s">
        <v>11</v>
      </c>
      <c r="G5680" s="2" t="s">
        <v>32979</v>
      </c>
      <c r="H5680" s="2" t="s">
        <v>32980</v>
      </c>
    </row>
    <row r="5681" spans="1:8" ht="25.05" customHeight="1" x14ac:dyDescent="0.25">
      <c r="A5681" s="2" t="s">
        <v>8</v>
      </c>
      <c r="B5681" s="2" t="str">
        <f>HYPERLINK("http://ts.21cn.com/tousu/show/id/1336524","猴犀利恐吓威胁")</f>
        <v>猴犀利恐吓威胁</v>
      </c>
      <c r="C5681" s="2" t="s">
        <v>9</v>
      </c>
      <c r="D5681" s="2" t="s">
        <v>10</v>
      </c>
      <c r="E5681" s="2" t="str">
        <f>HYPERLINK("http://ts.21cn.com/tousu/show/id/1336524","http://ts.21cn.com/tousu/show/id/1336524")</f>
        <v>http://ts.21cn.com/tousu/show/id/1336524</v>
      </c>
      <c r="F5681" s="2" t="s">
        <v>11</v>
      </c>
      <c r="G5681" s="2" t="s">
        <v>32977</v>
      </c>
      <c r="H5681" s="2" t="s">
        <v>32978</v>
      </c>
    </row>
    <row r="5682" spans="1:8" ht="25.05" customHeight="1" x14ac:dyDescent="0.25">
      <c r="A5682" s="2" t="s">
        <v>8</v>
      </c>
      <c r="B5682" s="2" t="str">
        <f>HYPERLINK("http://ts.21cn.com/tousu/show/id/1336525","贷上钱利息高")</f>
        <v>贷上钱利息高</v>
      </c>
      <c r="C5682" s="2" t="s">
        <v>9</v>
      </c>
      <c r="D5682" s="2" t="s">
        <v>10</v>
      </c>
      <c r="E5682" s="2" t="str">
        <f>HYPERLINK("http://ts.21cn.com/tousu/show/id/1336525","http://ts.21cn.com/tousu/show/id/1336525")</f>
        <v>http://ts.21cn.com/tousu/show/id/1336525</v>
      </c>
      <c r="F5682" s="2" t="s">
        <v>11</v>
      </c>
      <c r="G5682" s="2" t="s">
        <v>32975</v>
      </c>
      <c r="H5682" s="2" t="s">
        <v>32976</v>
      </c>
    </row>
    <row r="5683" spans="1:8" ht="25.05" customHeight="1" x14ac:dyDescent="0.25">
      <c r="A5683" s="2" t="s">
        <v>8</v>
      </c>
      <c r="B5683" s="2" t="str">
        <f>HYPERLINK("http://ts.21cn.com/tousu/show/id/1336528","高利贷砍头息")</f>
        <v>高利贷砍头息</v>
      </c>
      <c r="C5683" s="2" t="s">
        <v>9</v>
      </c>
      <c r="D5683" s="2" t="s">
        <v>10</v>
      </c>
      <c r="E5683" s="2" t="str">
        <f>HYPERLINK("http://ts.21cn.com/tousu/show/id/1336528","http://ts.21cn.com/tousu/show/id/1336528")</f>
        <v>http://ts.21cn.com/tousu/show/id/1336528</v>
      </c>
      <c r="F5683" s="2" t="s">
        <v>11</v>
      </c>
      <c r="G5683" s="2" t="s">
        <v>32973</v>
      </c>
      <c r="H5683" s="2" t="s">
        <v>32974</v>
      </c>
    </row>
    <row r="5684" spans="1:8" ht="25.05" customHeight="1" x14ac:dyDescent="0.25">
      <c r="A5684" s="2" t="s">
        <v>8</v>
      </c>
      <c r="B5684" s="2" t="str">
        <f>HYPERLINK("http://ts.21cn.com/tousu/show/id/1336527","忽悠买保险")</f>
        <v>忽悠买保险</v>
      </c>
      <c r="C5684" s="2" t="s">
        <v>9</v>
      </c>
      <c r="D5684" s="2" t="s">
        <v>10</v>
      </c>
      <c r="E5684" s="2" t="str">
        <f>HYPERLINK("http://ts.21cn.com/tousu/show/id/1336527","http://ts.21cn.com/tousu/show/id/1336527")</f>
        <v>http://ts.21cn.com/tousu/show/id/1336527</v>
      </c>
      <c r="F5684" s="2" t="s">
        <v>11</v>
      </c>
      <c r="G5684" s="2" t="s">
        <v>32971</v>
      </c>
      <c r="H5684" s="2" t="s">
        <v>32972</v>
      </c>
    </row>
    <row r="5685" spans="1:8" ht="25.05" customHeight="1" x14ac:dyDescent="0.25">
      <c r="A5685" s="2" t="s">
        <v>8</v>
      </c>
      <c r="B5685" s="2" t="str">
        <f>HYPERLINK("http://ts.21cn.com/tousu/show/id/1336529","新浪微博上门催收，恐吓")</f>
        <v>新浪微博上门催收，恐吓</v>
      </c>
      <c r="C5685" s="2" t="s">
        <v>9</v>
      </c>
      <c r="D5685" s="2" t="s">
        <v>10</v>
      </c>
      <c r="E5685" s="2" t="str">
        <f>HYPERLINK("http://ts.21cn.com/tousu/show/id/1336529","http://ts.21cn.com/tousu/show/id/1336529")</f>
        <v>http://ts.21cn.com/tousu/show/id/1336529</v>
      </c>
      <c r="F5685" s="2" t="s">
        <v>11</v>
      </c>
      <c r="G5685" s="2" t="s">
        <v>32969</v>
      </c>
      <c r="H5685" s="2" t="s">
        <v>32970</v>
      </c>
    </row>
    <row r="5686" spans="1:8" ht="25.05" customHeight="1" x14ac:dyDescent="0.25">
      <c r="A5686" s="2" t="s">
        <v>8</v>
      </c>
      <c r="B5686" s="2" t="str">
        <f>HYPERLINK("http://ts.21cn.com/tousu/show/id/1336530","小象优品高利息")</f>
        <v>小象优品高利息</v>
      </c>
      <c r="C5686" s="2" t="s">
        <v>34</v>
      </c>
      <c r="D5686" s="2" t="s">
        <v>10</v>
      </c>
      <c r="E5686" s="2" t="str">
        <f>HYPERLINK("http://ts.21cn.com/tousu/show/id/1336530","http://ts.21cn.com/tousu/show/id/1336530")</f>
        <v>http://ts.21cn.com/tousu/show/id/1336530</v>
      </c>
      <c r="F5686" s="2" t="s">
        <v>11</v>
      </c>
      <c r="G5686" s="2" t="s">
        <v>32967</v>
      </c>
      <c r="H5686" s="2" t="s">
        <v>32968</v>
      </c>
    </row>
    <row r="5687" spans="1:8" ht="25.05" customHeight="1" x14ac:dyDescent="0.25">
      <c r="A5687" s="2" t="s">
        <v>8</v>
      </c>
      <c r="B5687" s="2" t="str">
        <f>HYPERLINK("http://ts.21cn.com/tousu/show/id/1336534","滴滴不派单给合规快车司机")</f>
        <v>滴滴不派单给合规快车司机</v>
      </c>
      <c r="C5687" s="2" t="s">
        <v>34</v>
      </c>
      <c r="D5687" s="2" t="s">
        <v>10</v>
      </c>
      <c r="E5687" s="2" t="str">
        <f>HYPERLINK("http://ts.21cn.com/tousu/show/id/1336534","http://ts.21cn.com/tousu/show/id/1336534")</f>
        <v>http://ts.21cn.com/tousu/show/id/1336534</v>
      </c>
      <c r="F5687" s="2" t="s">
        <v>11</v>
      </c>
      <c r="G5687" s="2" t="s">
        <v>32965</v>
      </c>
      <c r="H5687" s="2" t="s">
        <v>32966</v>
      </c>
    </row>
    <row r="5688" spans="1:8" ht="25.05" customHeight="1" x14ac:dyDescent="0.25">
      <c r="A5688" s="2" t="s">
        <v>8</v>
      </c>
      <c r="B5688" s="2" t="str">
        <f>HYPERLINK("http://ts.21cn.com/tousu/show/id/1336532","时光分期威胁，砍头息")</f>
        <v>时光分期威胁，砍头息</v>
      </c>
      <c r="C5688" s="2" t="s">
        <v>9</v>
      </c>
      <c r="D5688" s="2" t="s">
        <v>10</v>
      </c>
      <c r="E5688" s="2" t="str">
        <f>HYPERLINK("http://ts.21cn.com/tousu/show/id/1336532","http://ts.21cn.com/tousu/show/id/1336532")</f>
        <v>http://ts.21cn.com/tousu/show/id/1336532</v>
      </c>
      <c r="F5688" s="2" t="s">
        <v>11</v>
      </c>
      <c r="G5688" s="2" t="s">
        <v>32963</v>
      </c>
      <c r="H5688" s="2" t="s">
        <v>32964</v>
      </c>
    </row>
    <row r="5689" spans="1:8" ht="25.05" customHeight="1" x14ac:dyDescent="0.25">
      <c r="A5689" s="2" t="s">
        <v>8</v>
      </c>
      <c r="B5689" s="2" t="str">
        <f>HYPERLINK("http://ts.21cn.com/tousu/show/id/1336533","绑定银行卡乱扣费")</f>
        <v>绑定银行卡乱扣费</v>
      </c>
      <c r="C5689" s="2" t="s">
        <v>9</v>
      </c>
      <c r="D5689" s="2" t="s">
        <v>10</v>
      </c>
      <c r="E5689" s="2" t="str">
        <f>HYPERLINK("http://ts.21cn.com/tousu/show/id/1336533","http://ts.21cn.com/tousu/show/id/1336533")</f>
        <v>http://ts.21cn.com/tousu/show/id/1336533</v>
      </c>
      <c r="F5689" s="2" t="s">
        <v>11</v>
      </c>
      <c r="G5689" s="2" t="s">
        <v>32961</v>
      </c>
      <c r="H5689" s="2" t="s">
        <v>32962</v>
      </c>
    </row>
    <row r="5690" spans="1:8" ht="25.05" customHeight="1" x14ac:dyDescent="0.25">
      <c r="A5690" s="2" t="s">
        <v>8</v>
      </c>
      <c r="B5690" s="2" t="str">
        <f>HYPERLINK("http://ts.21cn.com/tousu/show/id/1336535","360借条暴力威胁催收")</f>
        <v>360借条暴力威胁催收</v>
      </c>
      <c r="C5690" s="2" t="s">
        <v>9</v>
      </c>
      <c r="D5690" s="2" t="s">
        <v>10</v>
      </c>
      <c r="E5690" s="2" t="str">
        <f>HYPERLINK("http://ts.21cn.com/tousu/show/id/1336535","http://ts.21cn.com/tousu/show/id/1336535")</f>
        <v>http://ts.21cn.com/tousu/show/id/1336535</v>
      </c>
      <c r="F5690" s="2" t="s">
        <v>11</v>
      </c>
      <c r="G5690" s="2" t="s">
        <v>32959</v>
      </c>
      <c r="H5690" s="2" t="s">
        <v>32960</v>
      </c>
    </row>
    <row r="5691" spans="1:8" ht="25.05" customHeight="1" x14ac:dyDescent="0.25">
      <c r="A5691" s="2" t="s">
        <v>8</v>
      </c>
      <c r="B5691" s="2" t="str">
        <f>HYPERLINK("http://ts.21cn.com/tousu/show/id/1336536","严重威胁家人朋友，造成严重生活影响")</f>
        <v>严重威胁家人朋友，造成严重生活影响</v>
      </c>
      <c r="C5691" s="2" t="s">
        <v>9</v>
      </c>
      <c r="D5691" s="2" t="s">
        <v>10</v>
      </c>
      <c r="E5691" s="2" t="str">
        <f>HYPERLINK("http://ts.21cn.com/tousu/show/id/1336536","http://ts.21cn.com/tousu/show/id/1336536")</f>
        <v>http://ts.21cn.com/tousu/show/id/1336536</v>
      </c>
      <c r="F5691" s="2" t="s">
        <v>11</v>
      </c>
      <c r="G5691" s="2" t="s">
        <v>32957</v>
      </c>
      <c r="H5691" s="2" t="s">
        <v>32958</v>
      </c>
    </row>
    <row r="5692" spans="1:8" ht="25.05" customHeight="1" x14ac:dyDescent="0.25">
      <c r="A5692" s="2" t="s">
        <v>8</v>
      </c>
      <c r="B5692" s="2" t="str">
        <f>HYPERLINK("http://ts.21cn.com/tousu/show/id/1336537","投诉翰银科技和得仕股份")</f>
        <v>投诉翰银科技和得仕股份</v>
      </c>
      <c r="C5692" s="2" t="s">
        <v>9</v>
      </c>
      <c r="D5692" s="2" t="s">
        <v>10</v>
      </c>
      <c r="E5692" s="2" t="str">
        <f>HYPERLINK("http://ts.21cn.com/tousu/show/id/1336537","http://ts.21cn.com/tousu/show/id/1336537")</f>
        <v>http://ts.21cn.com/tousu/show/id/1336537</v>
      </c>
      <c r="F5692" s="2" t="s">
        <v>11</v>
      </c>
      <c r="G5692" s="2" t="s">
        <v>32955</v>
      </c>
      <c r="H5692" s="2" t="s">
        <v>32956</v>
      </c>
    </row>
    <row r="5693" spans="1:8" ht="25.05" customHeight="1" x14ac:dyDescent="0.25">
      <c r="A5693" s="2" t="s">
        <v>8</v>
      </c>
      <c r="B5693" s="2" t="str">
        <f>HYPERLINK("http://ts.21cn.com/tousu/show/id/1336538","玉米粉里参加有沙子")</f>
        <v>玉米粉里参加有沙子</v>
      </c>
      <c r="C5693" s="2" t="s">
        <v>9</v>
      </c>
      <c r="D5693" s="2" t="s">
        <v>10</v>
      </c>
      <c r="E5693" s="2" t="str">
        <f>HYPERLINK("http://ts.21cn.com/tousu/show/id/1336538","http://ts.21cn.com/tousu/show/id/1336538")</f>
        <v>http://ts.21cn.com/tousu/show/id/1336538</v>
      </c>
      <c r="F5693" s="2" t="s">
        <v>11</v>
      </c>
      <c r="G5693" s="2" t="s">
        <v>32953</v>
      </c>
      <c r="H5693" s="2" t="s">
        <v>32954</v>
      </c>
    </row>
    <row r="5694" spans="1:8" ht="25.05" customHeight="1" x14ac:dyDescent="0.25">
      <c r="A5694" s="2" t="s">
        <v>8</v>
      </c>
      <c r="B5694" s="2" t="str">
        <f>HYPERLINK("http://ts.21cn.com/tousu/show/id/1336539","闲鱼卖家")</f>
        <v>闲鱼卖家</v>
      </c>
      <c r="C5694" s="2" t="s">
        <v>9</v>
      </c>
      <c r="D5694" s="2" t="s">
        <v>10</v>
      </c>
      <c r="E5694" s="2" t="str">
        <f>HYPERLINK("http://ts.21cn.com/tousu/show/id/1336539","http://ts.21cn.com/tousu/show/id/1336539")</f>
        <v>http://ts.21cn.com/tousu/show/id/1336539</v>
      </c>
      <c r="F5694" s="2" t="s">
        <v>11</v>
      </c>
      <c r="G5694" s="2" t="s">
        <v>32951</v>
      </c>
      <c r="H5694" s="2" t="s">
        <v>32952</v>
      </c>
    </row>
    <row r="5695" spans="1:8" ht="25.05" customHeight="1" x14ac:dyDescent="0.25">
      <c r="A5695" s="2" t="s">
        <v>8</v>
      </c>
      <c r="B5695" s="2" t="str">
        <f>HYPERLINK("http://ts.21cn.com/tousu/show/id/1336540","安家趣花app引导充值会员之后审核失败")</f>
        <v>安家趣花app引导充值会员之后审核失败</v>
      </c>
      <c r="C5695" s="2" t="s">
        <v>9</v>
      </c>
      <c r="D5695" s="2" t="s">
        <v>10</v>
      </c>
      <c r="E5695" s="2" t="str">
        <f>HYPERLINK("http://ts.21cn.com/tousu/show/id/1336540","http://ts.21cn.com/tousu/show/id/1336540")</f>
        <v>http://ts.21cn.com/tousu/show/id/1336540</v>
      </c>
      <c r="F5695" s="2" t="s">
        <v>11</v>
      </c>
      <c r="G5695" s="2" t="s">
        <v>32949</v>
      </c>
      <c r="H5695" s="2" t="s">
        <v>32950</v>
      </c>
    </row>
    <row r="5696" spans="1:8" ht="25.05" customHeight="1" x14ac:dyDescent="0.25">
      <c r="A5696" s="2" t="s">
        <v>8</v>
      </c>
      <c r="B5696" s="2" t="str">
        <f>HYPERLINK("http://ts.21cn.com/tousu/show/id/1336531","没在言好时间退款")</f>
        <v>没在言好时间退款</v>
      </c>
      <c r="C5696" s="2" t="s">
        <v>9</v>
      </c>
      <c r="D5696" s="2" t="s">
        <v>10</v>
      </c>
      <c r="E5696" s="2" t="str">
        <f>HYPERLINK("http://ts.21cn.com/tousu/show/id/1336531","http://ts.21cn.com/tousu/show/id/1336531")</f>
        <v>http://ts.21cn.com/tousu/show/id/1336531</v>
      </c>
      <c r="F5696" s="2" t="s">
        <v>11</v>
      </c>
      <c r="G5696" s="2" t="s">
        <v>32947</v>
      </c>
      <c r="H5696" s="2" t="s">
        <v>32948</v>
      </c>
    </row>
    <row r="5697" spans="1:8" ht="25.05" customHeight="1" x14ac:dyDescent="0.25">
      <c r="A5697" s="2" t="s">
        <v>8</v>
      </c>
      <c r="B5697" s="2" t="str">
        <f>HYPERLINK("http://ts.21cn.com/tousu/show/id/1336541","神州租车霸王条款买了保险出险让客户承担")</f>
        <v>神州租车霸王条款买了保险出险让客户承担</v>
      </c>
      <c r="C5697" s="2" t="s">
        <v>9</v>
      </c>
      <c r="D5697" s="2" t="s">
        <v>10</v>
      </c>
      <c r="E5697" s="2" t="str">
        <f>HYPERLINK("http://ts.21cn.com/tousu/show/id/1336541","http://ts.21cn.com/tousu/show/id/1336541")</f>
        <v>http://ts.21cn.com/tousu/show/id/1336541</v>
      </c>
      <c r="F5697" s="2" t="s">
        <v>11</v>
      </c>
      <c r="G5697" s="2" t="s">
        <v>32945</v>
      </c>
      <c r="H5697" s="2" t="s">
        <v>32946</v>
      </c>
    </row>
    <row r="5698" spans="1:8" ht="25.05" customHeight="1" x14ac:dyDescent="0.25">
      <c r="A5698" s="2" t="s">
        <v>8</v>
      </c>
      <c r="B5698" s="2" t="str">
        <f>HYPERLINK("http://ts.21cn.com/tousu/show/id/1336526","365无优贷套路贷")</f>
        <v>365无优贷套路贷</v>
      </c>
      <c r="C5698" s="2" t="s">
        <v>9</v>
      </c>
      <c r="D5698" s="2" t="s">
        <v>10</v>
      </c>
      <c r="E5698" s="2" t="str">
        <f>HYPERLINK("http://ts.21cn.com/tousu/show/id/1336526","http://ts.21cn.com/tousu/show/id/1336526")</f>
        <v>http://ts.21cn.com/tousu/show/id/1336526</v>
      </c>
      <c r="F5698" s="2" t="s">
        <v>11</v>
      </c>
      <c r="G5698" s="2" t="s">
        <v>32943</v>
      </c>
      <c r="H5698" s="2" t="s">
        <v>32944</v>
      </c>
    </row>
    <row r="5699" spans="1:8" ht="25.05" customHeight="1" x14ac:dyDescent="0.25">
      <c r="A5699" s="2" t="s">
        <v>8</v>
      </c>
      <c r="B5699" s="2" t="str">
        <f>HYPERLINK("http://ts.21cn.com/tousu/show/id/1336488","网络套路贷恐吓套路受害人的钱")</f>
        <v>网络套路贷恐吓套路受害人的钱</v>
      </c>
      <c r="C5699" s="2" t="s">
        <v>9</v>
      </c>
      <c r="D5699" s="2" t="s">
        <v>10</v>
      </c>
      <c r="E5699" s="2" t="str">
        <f>HYPERLINK("http://ts.21cn.com/tousu/show/id/1336488","http://ts.21cn.com/tousu/show/id/1336488")</f>
        <v>http://ts.21cn.com/tousu/show/id/1336488</v>
      </c>
      <c r="F5699" s="2" t="s">
        <v>11</v>
      </c>
      <c r="G5699" s="2" t="s">
        <v>32940</v>
      </c>
      <c r="H5699" s="2" t="s">
        <v>32941</v>
      </c>
    </row>
    <row r="5700" spans="1:8" ht="25.05" customHeight="1" x14ac:dyDescent="0.25">
      <c r="A5700" s="2" t="s">
        <v>8</v>
      </c>
      <c r="B5700" s="2" t="str">
        <f>HYPERLINK("http://ts.21cn.com/tousu/show/id/1336542","联通小沃科技平台乱扣费")</f>
        <v>联通小沃科技平台乱扣费</v>
      </c>
      <c r="C5700" s="2" t="s">
        <v>9</v>
      </c>
      <c r="D5700" s="2" t="s">
        <v>10</v>
      </c>
      <c r="E5700" s="2" t="str">
        <f>HYPERLINK("http://ts.21cn.com/tousu/show/id/1336542","http://ts.21cn.com/tousu/show/id/1336542")</f>
        <v>http://ts.21cn.com/tousu/show/id/1336542</v>
      </c>
      <c r="F5700" s="2" t="s">
        <v>11</v>
      </c>
      <c r="G5700" s="2" t="s">
        <v>32940</v>
      </c>
      <c r="H5700" s="2" t="s">
        <v>32942</v>
      </c>
    </row>
    <row r="5701" spans="1:8" ht="25.05" customHeight="1" x14ac:dyDescent="0.25">
      <c r="A5701" s="2" t="s">
        <v>8</v>
      </c>
      <c r="B5701" s="2" t="str">
        <f>HYPERLINK("http://ts.21cn.com/tousu/show/id/1334607","中信银行罚息太高，叫我以贷养贷")</f>
        <v>中信银行罚息太高，叫我以贷养贷</v>
      </c>
      <c r="C5701" s="2" t="s">
        <v>9</v>
      </c>
      <c r="D5701" s="2" t="s">
        <v>10</v>
      </c>
      <c r="E5701" s="2" t="str">
        <f>HYPERLINK("http://ts.21cn.com/tousu/show/id/1334607","http://ts.21cn.com/tousu/show/id/1334607")</f>
        <v>http://ts.21cn.com/tousu/show/id/1334607</v>
      </c>
      <c r="F5701" s="2" t="s">
        <v>11</v>
      </c>
      <c r="G5701" s="2" t="s">
        <v>32938</v>
      </c>
      <c r="H5701" s="2" t="s">
        <v>32939</v>
      </c>
    </row>
    <row r="5702" spans="1:8" ht="25.05" customHeight="1" x14ac:dyDescent="0.25">
      <c r="A5702" s="2" t="s">
        <v>8</v>
      </c>
      <c r="B5702" s="2" t="str">
        <f>HYPERLINK("http://ts.21cn.com/tousu/show/id/1336543","闪银连连支付违规加收逾期费用，跟合同上不一样")</f>
        <v>闪银连连支付违规加收逾期费用，跟合同上不一样</v>
      </c>
      <c r="C5702" s="2" t="s">
        <v>9</v>
      </c>
      <c r="D5702" s="2" t="s">
        <v>10</v>
      </c>
      <c r="E5702" s="2" t="str">
        <f>HYPERLINK("http://ts.21cn.com/tousu/show/id/1336543","http://ts.21cn.com/tousu/show/id/1336543")</f>
        <v>http://ts.21cn.com/tousu/show/id/1336543</v>
      </c>
      <c r="F5702" s="2" t="s">
        <v>11</v>
      </c>
      <c r="G5702" s="2" t="s">
        <v>32936</v>
      </c>
      <c r="H5702" s="2" t="s">
        <v>32937</v>
      </c>
    </row>
    <row r="5703" spans="1:8" ht="25.05" customHeight="1" x14ac:dyDescent="0.25">
      <c r="A5703" s="2" t="s">
        <v>8</v>
      </c>
      <c r="B5703" s="2" t="str">
        <f>HYPERLINK("http://ts.21cn.com/tousu/show/id/1336544","恶意催熟")</f>
        <v>恶意催熟</v>
      </c>
      <c r="C5703" s="2" t="s">
        <v>9</v>
      </c>
      <c r="D5703" s="2" t="s">
        <v>10</v>
      </c>
      <c r="E5703" s="2" t="str">
        <f>HYPERLINK("http://ts.21cn.com/tousu/show/id/1336544","http://ts.21cn.com/tousu/show/id/1336544")</f>
        <v>http://ts.21cn.com/tousu/show/id/1336544</v>
      </c>
      <c r="F5703" s="2" t="s">
        <v>11</v>
      </c>
      <c r="G5703" s="2" t="s">
        <v>32935</v>
      </c>
      <c r="H5703" s="2" t="s">
        <v>22054</v>
      </c>
    </row>
    <row r="5704" spans="1:8" ht="25.05" customHeight="1" x14ac:dyDescent="0.25">
      <c r="A5704" s="2" t="s">
        <v>8</v>
      </c>
      <c r="B5704" s="2" t="str">
        <f>HYPERLINK("http://ts.21cn.com/tousu/show/id/1336546","除紧急联系人之外我朋友家人也收到了催收的电话，损毁个人名誉，以及威胁恐吓")</f>
        <v>除紧急联系人之外我朋友家人也收到了催收的电话，损毁个人名誉，以及威胁恐吓</v>
      </c>
      <c r="C5704" s="2" t="s">
        <v>9</v>
      </c>
      <c r="D5704" s="2" t="s">
        <v>10</v>
      </c>
      <c r="E5704" s="2" t="str">
        <f>HYPERLINK("http://ts.21cn.com/tousu/show/id/1336546","http://ts.21cn.com/tousu/show/id/1336546")</f>
        <v>http://ts.21cn.com/tousu/show/id/1336546</v>
      </c>
      <c r="F5704" s="2" t="s">
        <v>11</v>
      </c>
      <c r="G5704" s="2" t="s">
        <v>32934</v>
      </c>
      <c r="H5704" s="2" t="s">
        <v>22050</v>
      </c>
    </row>
    <row r="5705" spans="1:8" ht="25.05" customHeight="1" x14ac:dyDescent="0.25">
      <c r="A5705" s="2" t="s">
        <v>8</v>
      </c>
      <c r="B5705" s="2" t="str">
        <f>HYPERLINK("http://ts.21cn.com/tousu/show/id/1336547","本人有意愿还款，为什么得到结案处理以后还苦苦相逼呢")</f>
        <v>本人有意愿还款，为什么得到结案处理以后还苦苦相逼呢</v>
      </c>
      <c r="C5705" s="2" t="s">
        <v>34</v>
      </c>
      <c r="D5705" s="2" t="s">
        <v>10</v>
      </c>
      <c r="E5705" s="2" t="str">
        <f>HYPERLINK("http://ts.21cn.com/tousu/show/id/1336547","http://ts.21cn.com/tousu/show/id/1336547")</f>
        <v>http://ts.21cn.com/tousu/show/id/1336547</v>
      </c>
      <c r="F5705" s="2" t="s">
        <v>11</v>
      </c>
      <c r="G5705" s="2" t="s">
        <v>32932</v>
      </c>
      <c r="H5705" s="2" t="s">
        <v>32933</v>
      </c>
    </row>
    <row r="5706" spans="1:8" ht="25.05" customHeight="1" x14ac:dyDescent="0.25">
      <c r="A5706" s="2" t="s">
        <v>8</v>
      </c>
      <c r="B5706" s="2" t="str">
        <f>HYPERLINK("http://ts.21cn.com/tousu/show/id/1336548","电话辱骂")</f>
        <v>电话辱骂</v>
      </c>
      <c r="C5706" s="2" t="s">
        <v>9</v>
      </c>
      <c r="D5706" s="2" t="s">
        <v>10</v>
      </c>
      <c r="E5706" s="2" t="str">
        <f>HYPERLINK("http://ts.21cn.com/tousu/show/id/1336548","http://ts.21cn.com/tousu/show/id/1336548")</f>
        <v>http://ts.21cn.com/tousu/show/id/1336548</v>
      </c>
      <c r="F5706" s="2" t="s">
        <v>11</v>
      </c>
      <c r="G5706" s="2" t="s">
        <v>32930</v>
      </c>
      <c r="H5706" s="2" t="s">
        <v>32931</v>
      </c>
    </row>
    <row r="5707" spans="1:8" ht="25.05" customHeight="1" x14ac:dyDescent="0.25">
      <c r="A5707" s="2" t="s">
        <v>8</v>
      </c>
      <c r="B5707" s="2" t="str">
        <f>HYPERLINK("http://ts.21cn.com/tousu/show/id/1336549","及贷还完把我征信弄完了，要求把征信改过来")</f>
        <v>及贷还完把我征信弄完了，要求把征信改过来</v>
      </c>
      <c r="C5707" s="2" t="s">
        <v>9</v>
      </c>
      <c r="D5707" s="2" t="s">
        <v>10</v>
      </c>
      <c r="E5707" s="2" t="str">
        <f>HYPERLINK("http://ts.21cn.com/tousu/show/id/1336549","http://ts.21cn.com/tousu/show/id/1336549")</f>
        <v>http://ts.21cn.com/tousu/show/id/1336549</v>
      </c>
      <c r="F5707" s="2" t="s">
        <v>11</v>
      </c>
      <c r="G5707" s="2" t="s">
        <v>32928</v>
      </c>
      <c r="H5707" s="2" t="s">
        <v>32929</v>
      </c>
    </row>
    <row r="5708" spans="1:8" ht="25.05" customHeight="1" x14ac:dyDescent="0.25">
      <c r="A5708" s="2" t="s">
        <v>8</v>
      </c>
      <c r="B5708" s="2" t="str">
        <f>HYPERLINK("http://ts.21cn.com/tousu/show/id/1336550","暴力倾向性收本金")</f>
        <v>暴力倾向性收本金</v>
      </c>
      <c r="C5708" s="2" t="s">
        <v>9</v>
      </c>
      <c r="D5708" s="2" t="s">
        <v>10</v>
      </c>
      <c r="E5708" s="2" t="str">
        <f>HYPERLINK("http://ts.21cn.com/tousu/show/id/1336550","http://ts.21cn.com/tousu/show/id/1336550")</f>
        <v>http://ts.21cn.com/tousu/show/id/1336550</v>
      </c>
      <c r="F5708" s="2" t="s">
        <v>11</v>
      </c>
      <c r="G5708" s="2" t="s">
        <v>32927</v>
      </c>
      <c r="H5708" s="2" t="s">
        <v>29410</v>
      </c>
    </row>
    <row r="5709" spans="1:8" ht="25.05" customHeight="1" x14ac:dyDescent="0.25">
      <c r="A5709" s="2" t="s">
        <v>8</v>
      </c>
      <c r="B5709" s="2" t="str">
        <f>HYPERLINK("http://ts.21cn.com/tousu/show/id/1336551","小花钱包暴力催收恐吓威胁，骚扰通讯录联系人，24小")</f>
        <v>小花钱包暴力催收恐吓威胁，骚扰通讯录联系人，24小</v>
      </c>
      <c r="C5709" s="2" t="s">
        <v>9</v>
      </c>
      <c r="D5709" s="2" t="s">
        <v>10</v>
      </c>
      <c r="E5709" s="2" t="str">
        <f>HYPERLINK("http://ts.21cn.com/tousu/show/id/1336551","http://ts.21cn.com/tousu/show/id/1336551")</f>
        <v>http://ts.21cn.com/tousu/show/id/1336551</v>
      </c>
      <c r="F5709" s="2" t="s">
        <v>11</v>
      </c>
      <c r="G5709" s="2" t="s">
        <v>32925</v>
      </c>
      <c r="H5709" s="2" t="s">
        <v>32926</v>
      </c>
    </row>
    <row r="5710" spans="1:8" ht="25.05" customHeight="1" x14ac:dyDescent="0.25">
      <c r="A5710" s="2" t="s">
        <v>8</v>
      </c>
      <c r="B5710" s="2" t="str">
        <f>HYPERLINK("http://ts.21cn.com/tousu/show/id/1336552","钱站高利贷阴阳合同")</f>
        <v>钱站高利贷阴阳合同</v>
      </c>
      <c r="C5710" s="2" t="s">
        <v>9</v>
      </c>
      <c r="D5710" s="2" t="s">
        <v>10</v>
      </c>
      <c r="E5710" s="2" t="str">
        <f>HYPERLINK("http://ts.21cn.com/tousu/show/id/1336552","http://ts.21cn.com/tousu/show/id/1336552")</f>
        <v>http://ts.21cn.com/tousu/show/id/1336552</v>
      </c>
      <c r="F5710" s="2" t="s">
        <v>11</v>
      </c>
      <c r="G5710" s="2" t="s">
        <v>32923</v>
      </c>
      <c r="H5710" s="2" t="s">
        <v>32924</v>
      </c>
    </row>
    <row r="5711" spans="1:8" ht="25.05" customHeight="1" x14ac:dyDescent="0.25">
      <c r="A5711" s="2" t="s">
        <v>8</v>
      </c>
      <c r="B5711" s="2" t="str">
        <f>HYPERLINK("http://ts.21cn.com/tousu/show/id/1336553","北京友缘在线网络公司诱导扣款")</f>
        <v>北京友缘在线网络公司诱导扣款</v>
      </c>
      <c r="C5711" s="2" t="s">
        <v>9</v>
      </c>
      <c r="D5711" s="2" t="s">
        <v>10</v>
      </c>
      <c r="E5711" s="2" t="str">
        <f>HYPERLINK("http://ts.21cn.com/tousu/show/id/1336553","http://ts.21cn.com/tousu/show/id/1336553")</f>
        <v>http://ts.21cn.com/tousu/show/id/1336553</v>
      </c>
      <c r="F5711" s="2" t="s">
        <v>11</v>
      </c>
      <c r="G5711" s="2" t="s">
        <v>32922</v>
      </c>
      <c r="H5711" s="2" t="s">
        <v>32404</v>
      </c>
    </row>
    <row r="5712" spans="1:8" ht="25.05" customHeight="1" x14ac:dyDescent="0.25">
      <c r="A5712" s="2" t="s">
        <v>8</v>
      </c>
      <c r="B5712" s="2" t="str">
        <f>HYPERLINK("http://ts.21cn.com/tousu/show/id/1336554","投诉快递公司不送货上门，还乱收费")</f>
        <v>投诉快递公司不送货上门，还乱收费</v>
      </c>
      <c r="C5712" s="2" t="s">
        <v>9</v>
      </c>
      <c r="D5712" s="2" t="s">
        <v>10</v>
      </c>
      <c r="E5712" s="2" t="str">
        <f>HYPERLINK("http://ts.21cn.com/tousu/show/id/1336554","http://ts.21cn.com/tousu/show/id/1336554")</f>
        <v>http://ts.21cn.com/tousu/show/id/1336554</v>
      </c>
      <c r="F5712" s="2" t="s">
        <v>11</v>
      </c>
      <c r="G5712" s="2" t="s">
        <v>32921</v>
      </c>
      <c r="H5712" s="2" t="s">
        <v>32876</v>
      </c>
    </row>
    <row r="5713" spans="1:8" ht="25.05" customHeight="1" x14ac:dyDescent="0.25">
      <c r="A5713" s="2" t="s">
        <v>8</v>
      </c>
      <c r="B5713" s="2" t="str">
        <f>HYPERLINK("http://ts.21cn.com/tousu/show/id/1336556","微贷网变象强制充游戏币实为砍头息")</f>
        <v>微贷网变象强制充游戏币实为砍头息</v>
      </c>
      <c r="C5713" s="2" t="s">
        <v>9</v>
      </c>
      <c r="D5713" s="2" t="s">
        <v>10</v>
      </c>
      <c r="E5713" s="2" t="str">
        <f>HYPERLINK("http://ts.21cn.com/tousu/show/id/1336556","http://ts.21cn.com/tousu/show/id/1336556")</f>
        <v>http://ts.21cn.com/tousu/show/id/1336556</v>
      </c>
      <c r="F5713" s="2" t="s">
        <v>11</v>
      </c>
      <c r="G5713" s="2" t="s">
        <v>32919</v>
      </c>
      <c r="H5713" s="2" t="s">
        <v>32920</v>
      </c>
    </row>
    <row r="5714" spans="1:8" ht="25.05" customHeight="1" x14ac:dyDescent="0.25">
      <c r="A5714" s="2" t="s">
        <v>8</v>
      </c>
      <c r="B5714" s="2" t="str">
        <f>HYPERLINK("http://ts.21cn.com/tousu/show/id/1336562","苏宁易购拒绝履行七天无理由退货")</f>
        <v>苏宁易购拒绝履行七天无理由退货</v>
      </c>
      <c r="C5714" s="2" t="s">
        <v>9</v>
      </c>
      <c r="D5714" s="2" t="s">
        <v>10</v>
      </c>
      <c r="E5714" s="2" t="str">
        <f>HYPERLINK("http://ts.21cn.com/tousu/show/id/1336562","http://ts.21cn.com/tousu/show/id/1336562")</f>
        <v>http://ts.21cn.com/tousu/show/id/1336562</v>
      </c>
      <c r="F5714" s="2" t="s">
        <v>11</v>
      </c>
      <c r="G5714" s="2" t="s">
        <v>32917</v>
      </c>
      <c r="H5714" s="2" t="s">
        <v>32918</v>
      </c>
    </row>
    <row r="5715" spans="1:8" ht="25.05" customHeight="1" x14ac:dyDescent="0.25">
      <c r="A5715" s="2" t="s">
        <v>8</v>
      </c>
      <c r="B5715" s="2" t="str">
        <f>HYPERLINK("http://ts.21cn.com/tousu/show/id/1336557","亚马逊中国频频砍单，法院多次判定违约")</f>
        <v>亚马逊中国频频砍单，法院多次判定违约</v>
      </c>
      <c r="C5715" s="2" t="s">
        <v>9</v>
      </c>
      <c r="D5715" s="2" t="s">
        <v>10</v>
      </c>
      <c r="E5715" s="2" t="str">
        <f>HYPERLINK("http://ts.21cn.com/tousu/show/id/1336557","http://ts.21cn.com/tousu/show/id/1336557")</f>
        <v>http://ts.21cn.com/tousu/show/id/1336557</v>
      </c>
      <c r="F5715" s="2" t="s">
        <v>11</v>
      </c>
      <c r="G5715" s="2" t="s">
        <v>32915</v>
      </c>
      <c r="H5715" s="2" t="s">
        <v>32916</v>
      </c>
    </row>
    <row r="5716" spans="1:8" ht="25.05" customHeight="1" x14ac:dyDescent="0.25">
      <c r="A5716" s="2" t="s">
        <v>8</v>
      </c>
      <c r="B5716" s="2" t="str">
        <f>HYPERLINK("http://ts.21cn.com/tousu/show/id/1336559","天天高利贷")</f>
        <v>天天高利贷</v>
      </c>
      <c r="C5716" s="2" t="s">
        <v>9</v>
      </c>
      <c r="D5716" s="2" t="s">
        <v>10</v>
      </c>
      <c r="E5716" s="2" t="str">
        <f>HYPERLINK("http://ts.21cn.com/tousu/show/id/1336559","http://ts.21cn.com/tousu/show/id/1336559")</f>
        <v>http://ts.21cn.com/tousu/show/id/1336559</v>
      </c>
      <c r="F5716" s="2" t="s">
        <v>11</v>
      </c>
      <c r="G5716" s="2" t="s">
        <v>32913</v>
      </c>
      <c r="H5716" s="2" t="s">
        <v>32914</v>
      </c>
    </row>
    <row r="5717" spans="1:8" ht="25.05" customHeight="1" x14ac:dyDescent="0.25">
      <c r="A5717" s="2" t="s">
        <v>8</v>
      </c>
      <c r="B5717" s="2" t="str">
        <f>HYPERLINK("http://ts.21cn.com/tousu/show/id/1336561","砍头息，高利贷，虚拟物品无实物")</f>
        <v>砍头息，高利贷，虚拟物品无实物</v>
      </c>
      <c r="C5717" s="2" t="s">
        <v>9</v>
      </c>
      <c r="D5717" s="2" t="s">
        <v>10</v>
      </c>
      <c r="E5717" s="2" t="str">
        <f>HYPERLINK("http://ts.21cn.com/tousu/show/id/1336561","http://ts.21cn.com/tousu/show/id/1336561")</f>
        <v>http://ts.21cn.com/tousu/show/id/1336561</v>
      </c>
      <c r="F5717" s="2" t="s">
        <v>11</v>
      </c>
      <c r="G5717" s="2" t="s">
        <v>32911</v>
      </c>
      <c r="H5717" s="2" t="s">
        <v>32912</v>
      </c>
    </row>
    <row r="5718" spans="1:8" ht="25.05" customHeight="1" x14ac:dyDescent="0.25">
      <c r="A5718" s="2" t="s">
        <v>8</v>
      </c>
      <c r="B5718" s="2" t="str">
        <f>HYPERLINK("http://ts.21cn.com/tousu/show/id/1336564","尚德机构退费难于上青天，还恶意电话骚扰及威胁谩骂")</f>
        <v>尚德机构退费难于上青天，还恶意电话骚扰及威胁谩骂</v>
      </c>
      <c r="C5718" s="2" t="s">
        <v>9</v>
      </c>
      <c r="D5718" s="2" t="s">
        <v>10</v>
      </c>
      <c r="E5718" s="2" t="str">
        <f>HYPERLINK("http://ts.21cn.com/tousu/show/id/1336564","http://ts.21cn.com/tousu/show/id/1336564")</f>
        <v>http://ts.21cn.com/tousu/show/id/1336564</v>
      </c>
      <c r="F5718" s="2" t="s">
        <v>11</v>
      </c>
      <c r="G5718" s="2" t="s">
        <v>32909</v>
      </c>
      <c r="H5718" s="2" t="s">
        <v>32910</v>
      </c>
    </row>
    <row r="5719" spans="1:8" ht="25.05" customHeight="1" x14ac:dyDescent="0.25">
      <c r="A5719" s="2" t="s">
        <v>8</v>
      </c>
      <c r="B5719" s="2" t="str">
        <f>HYPERLINK("http://ts.21cn.com/tousu/show/id/1336560","苹果官方拒保港版iPhone（有发票）")</f>
        <v>苹果官方拒保港版iPhone（有发票）</v>
      </c>
      <c r="C5719" s="2" t="s">
        <v>9</v>
      </c>
      <c r="D5719" s="2" t="s">
        <v>10</v>
      </c>
      <c r="E5719" s="2" t="str">
        <f>HYPERLINK("http://ts.21cn.com/tousu/show/id/1336560","http://ts.21cn.com/tousu/show/id/1336560")</f>
        <v>http://ts.21cn.com/tousu/show/id/1336560</v>
      </c>
      <c r="F5719" s="2" t="s">
        <v>11</v>
      </c>
      <c r="G5719" s="2" t="s">
        <v>32907</v>
      </c>
      <c r="H5719" s="2" t="s">
        <v>32908</v>
      </c>
    </row>
    <row r="5720" spans="1:8" ht="25.05" customHeight="1" x14ac:dyDescent="0.25">
      <c r="A5720" s="2" t="s">
        <v>8</v>
      </c>
      <c r="B5720" s="2" t="str">
        <f>HYPERLINK("http://ts.21cn.com/tousu/show/id/1336565","投诉安亿花app，退回欺诈的198元钱。")</f>
        <v>投诉安亿花app，退回欺诈的198元钱。</v>
      </c>
      <c r="C5720" s="2" t="s">
        <v>9</v>
      </c>
      <c r="D5720" s="2" t="s">
        <v>10</v>
      </c>
      <c r="E5720" s="2" t="str">
        <f>HYPERLINK("http://ts.21cn.com/tousu/show/id/1336565","http://ts.21cn.com/tousu/show/id/1336565")</f>
        <v>http://ts.21cn.com/tousu/show/id/1336565</v>
      </c>
      <c r="F5720" s="2" t="s">
        <v>11</v>
      </c>
      <c r="G5720" s="2" t="s">
        <v>32905</v>
      </c>
      <c r="H5720" s="2" t="s">
        <v>32906</v>
      </c>
    </row>
    <row r="5721" spans="1:8" ht="25.05" customHeight="1" x14ac:dyDescent="0.25">
      <c r="A5721" s="2" t="s">
        <v>8</v>
      </c>
      <c r="B5721" s="2" t="str">
        <f>HYPERLINK("http://ts.21cn.com/tousu/show/id/1336566","招联金融爆通信录严重影响到个人信息泄露，")</f>
        <v>招联金融爆通信录严重影响到个人信息泄露，</v>
      </c>
      <c r="C5721" s="2" t="s">
        <v>9</v>
      </c>
      <c r="D5721" s="2" t="s">
        <v>10</v>
      </c>
      <c r="E5721" s="2" t="str">
        <f>HYPERLINK("http://ts.21cn.com/tousu/show/id/1336566","http://ts.21cn.com/tousu/show/id/1336566")</f>
        <v>http://ts.21cn.com/tousu/show/id/1336566</v>
      </c>
      <c r="F5721" s="2" t="s">
        <v>11</v>
      </c>
      <c r="G5721" s="2" t="s">
        <v>32903</v>
      </c>
      <c r="H5721" s="2" t="s">
        <v>32904</v>
      </c>
    </row>
    <row r="5722" spans="1:8" ht="25.05" customHeight="1" x14ac:dyDescent="0.25">
      <c r="A5722" s="2" t="s">
        <v>8</v>
      </c>
      <c r="B5722" s="2" t="str">
        <f>HYPERLINK("http://ts.21cn.com/tousu/show/id/1333456","安逸花单方面终止合同，锁定账户")</f>
        <v>安逸花单方面终止合同，锁定账户</v>
      </c>
      <c r="C5722" s="2" t="s">
        <v>34</v>
      </c>
      <c r="D5722" s="2" t="s">
        <v>10</v>
      </c>
      <c r="E5722" s="2" t="str">
        <f>HYPERLINK("http://ts.21cn.com/tousu/show/id/1333456","http://ts.21cn.com/tousu/show/id/1333456")</f>
        <v>http://ts.21cn.com/tousu/show/id/1333456</v>
      </c>
      <c r="F5722" s="2" t="s">
        <v>11</v>
      </c>
      <c r="G5722" s="2" t="s">
        <v>32901</v>
      </c>
      <c r="H5722" s="2" t="s">
        <v>32902</v>
      </c>
    </row>
    <row r="5723" spans="1:8" ht="25.05" customHeight="1" x14ac:dyDescent="0.25">
      <c r="A5723" s="2" t="s">
        <v>8</v>
      </c>
      <c r="B5723" s="2" t="str">
        <f>HYPERLINK("http://ts.21cn.com/tousu/show/id/1336567","未获得本人同意扣取银行卡余额")</f>
        <v>未获得本人同意扣取银行卡余额</v>
      </c>
      <c r="C5723" s="2" t="s">
        <v>9</v>
      </c>
      <c r="D5723" s="2" t="s">
        <v>10</v>
      </c>
      <c r="E5723" s="2" t="str">
        <f>HYPERLINK("http://ts.21cn.com/tousu/show/id/1336567","http://ts.21cn.com/tousu/show/id/1336567")</f>
        <v>http://ts.21cn.com/tousu/show/id/1336567</v>
      </c>
      <c r="F5723" s="2" t="s">
        <v>11</v>
      </c>
      <c r="G5723" s="2" t="s">
        <v>32899</v>
      </c>
      <c r="H5723" s="2" t="s">
        <v>32900</v>
      </c>
    </row>
    <row r="5724" spans="1:8" ht="25.05" customHeight="1" x14ac:dyDescent="0.25">
      <c r="A5724" s="2" t="s">
        <v>8</v>
      </c>
      <c r="B5724" s="2" t="str">
        <f>HYPERLINK("http://ts.21cn.com/tousu/show/id/1336568","套路货，砍头息")</f>
        <v>套路货，砍头息</v>
      </c>
      <c r="C5724" s="2" t="s">
        <v>9</v>
      </c>
      <c r="D5724" s="2" t="s">
        <v>10</v>
      </c>
      <c r="E5724" s="2" t="str">
        <f>HYPERLINK("http://ts.21cn.com/tousu/show/id/1336568","http://ts.21cn.com/tousu/show/id/1336568")</f>
        <v>http://ts.21cn.com/tousu/show/id/1336568</v>
      </c>
      <c r="F5724" s="2" t="s">
        <v>11</v>
      </c>
      <c r="G5724" s="2" t="s">
        <v>32897</v>
      </c>
      <c r="H5724" s="2" t="s">
        <v>32898</v>
      </c>
    </row>
    <row r="5725" spans="1:8" ht="25.05" customHeight="1" x14ac:dyDescent="0.25">
      <c r="A5725" s="2" t="s">
        <v>8</v>
      </c>
      <c r="B5725" s="2" t="str">
        <f>HYPERLINK("http://ts.21cn.com/tousu/show/id/1336569","快递不配送到家并且乱收费")</f>
        <v>快递不配送到家并且乱收费</v>
      </c>
      <c r="C5725" s="2" t="s">
        <v>9</v>
      </c>
      <c r="D5725" s="2" t="s">
        <v>10</v>
      </c>
      <c r="E5725" s="2" t="str">
        <f>HYPERLINK("http://ts.21cn.com/tousu/show/id/1336569","http://ts.21cn.com/tousu/show/id/1336569")</f>
        <v>http://ts.21cn.com/tousu/show/id/1336569</v>
      </c>
      <c r="F5725" s="2" t="s">
        <v>11</v>
      </c>
      <c r="G5725" s="2" t="s">
        <v>32896</v>
      </c>
      <c r="H5725" s="2" t="s">
        <v>32876</v>
      </c>
    </row>
    <row r="5726" spans="1:8" ht="25.05" customHeight="1" x14ac:dyDescent="0.25">
      <c r="A5726" s="2" t="s">
        <v>8</v>
      </c>
      <c r="B5726" s="2" t="str">
        <f>HYPERLINK("http://ts.21cn.com/tousu/show/id/1336570","本人原想充值陌陌余额误充至陌陌币客服核实后不予退款")</f>
        <v>本人原想充值陌陌余额误充至陌陌币客服核实后不予退款</v>
      </c>
      <c r="C5726" s="2" t="s">
        <v>9</v>
      </c>
      <c r="D5726" s="2" t="s">
        <v>10</v>
      </c>
      <c r="E5726" s="2" t="str">
        <f>HYPERLINK("http://ts.21cn.com/tousu/show/id/1336570","http://ts.21cn.com/tousu/show/id/1336570")</f>
        <v>http://ts.21cn.com/tousu/show/id/1336570</v>
      </c>
      <c r="F5726" s="2" t="s">
        <v>11</v>
      </c>
      <c r="G5726" s="2" t="s">
        <v>32894</v>
      </c>
      <c r="H5726" s="2" t="s">
        <v>32895</v>
      </c>
    </row>
    <row r="5727" spans="1:8" ht="25.05" customHeight="1" x14ac:dyDescent="0.25">
      <c r="A5727" s="2" t="s">
        <v>8</v>
      </c>
      <c r="B5727" s="2" t="str">
        <f>HYPERLINK("http://ts.21cn.com/tousu/show/id/1336571","闪银奇艺账户余额提现不了")</f>
        <v>闪银奇艺账户余额提现不了</v>
      </c>
      <c r="C5727" s="2" t="s">
        <v>34</v>
      </c>
      <c r="D5727" s="2" t="s">
        <v>10</v>
      </c>
      <c r="E5727" s="2" t="str">
        <f>HYPERLINK("http://ts.21cn.com/tousu/show/id/1336571","http://ts.21cn.com/tousu/show/id/1336571")</f>
        <v>http://ts.21cn.com/tousu/show/id/1336571</v>
      </c>
      <c r="F5727" s="2" t="s">
        <v>11</v>
      </c>
      <c r="G5727" s="2" t="s">
        <v>32892</v>
      </c>
      <c r="H5727" s="2" t="s">
        <v>32893</v>
      </c>
    </row>
    <row r="5728" spans="1:8" ht="25.05" customHeight="1" x14ac:dyDescent="0.25">
      <c r="A5728" s="2" t="s">
        <v>8</v>
      </c>
      <c r="B5728" s="2" t="str">
        <f>HYPERLINK("http://ts.21cn.com/tousu/show/id/1336573","京东金融转错没有实名帐号钱居然要三天以后才可以退回")</f>
        <v>京东金融转错没有实名帐号钱居然要三天以后才可以退回</v>
      </c>
      <c r="C5728" s="2" t="s">
        <v>9</v>
      </c>
      <c r="D5728" s="2" t="s">
        <v>10</v>
      </c>
      <c r="E5728" s="2" t="str">
        <f>HYPERLINK("http://ts.21cn.com/tousu/show/id/1336573","http://ts.21cn.com/tousu/show/id/1336573")</f>
        <v>http://ts.21cn.com/tousu/show/id/1336573</v>
      </c>
      <c r="F5728" s="2" t="s">
        <v>11</v>
      </c>
      <c r="G5728" s="2" t="s">
        <v>32890</v>
      </c>
      <c r="H5728" s="2" t="s">
        <v>32891</v>
      </c>
    </row>
    <row r="5729" spans="1:8" ht="25.05" customHeight="1" x14ac:dyDescent="0.25">
      <c r="A5729" s="2" t="s">
        <v>8</v>
      </c>
      <c r="B5729" s="2" t="str">
        <f>HYPERLINK("http://ts.21cn.com/tousu/show/id/1336572","及贷不靠谱软件诱导人绑定银行卡扣钱")</f>
        <v>及贷不靠谱软件诱导人绑定银行卡扣钱</v>
      </c>
      <c r="C5729" s="2" t="s">
        <v>9</v>
      </c>
      <c r="D5729" s="2" t="s">
        <v>10</v>
      </c>
      <c r="E5729" s="2" t="str">
        <f>HYPERLINK("http://ts.21cn.com/tousu/show/id/1336572","http://ts.21cn.com/tousu/show/id/1336572")</f>
        <v>http://ts.21cn.com/tousu/show/id/1336572</v>
      </c>
      <c r="F5729" s="2" t="s">
        <v>11</v>
      </c>
      <c r="G5729" s="2" t="s">
        <v>32888</v>
      </c>
      <c r="H5729" s="2" t="s">
        <v>32889</v>
      </c>
    </row>
    <row r="5730" spans="1:8" ht="25.05" customHeight="1" x14ac:dyDescent="0.25">
      <c r="A5730" s="2" t="s">
        <v>8</v>
      </c>
      <c r="B5730" s="2" t="str">
        <f>HYPERLINK("http://ts.21cn.com/tousu/show/id/1336574","无任何理由禁封我微信号导致我一共充值了3万的王者荣耀也不能登陆")</f>
        <v>无任何理由禁封我微信号导致我一共充值了3万的王者荣耀也不能登陆</v>
      </c>
      <c r="C5730" s="2" t="s">
        <v>9</v>
      </c>
      <c r="D5730" s="2" t="s">
        <v>10</v>
      </c>
      <c r="E5730" s="2" t="str">
        <f>HYPERLINK("http://ts.21cn.com/tousu/show/id/1336574","http://ts.21cn.com/tousu/show/id/1336574")</f>
        <v>http://ts.21cn.com/tousu/show/id/1336574</v>
      </c>
      <c r="F5730" s="2" t="s">
        <v>11</v>
      </c>
      <c r="G5730" s="2" t="s">
        <v>32886</v>
      </c>
      <c r="H5730" s="2" t="s">
        <v>32887</v>
      </c>
    </row>
    <row r="5731" spans="1:8" ht="25.05" customHeight="1" x14ac:dyDescent="0.25">
      <c r="A5731" s="2" t="s">
        <v>8</v>
      </c>
      <c r="B5731" s="2" t="str">
        <f>HYPERLINK("http://ts.21cn.com/tousu/show/id/1336575","抖音极速版在提现时永远显示失败")</f>
        <v>抖音极速版在提现时永远显示失败</v>
      </c>
      <c r="C5731" s="2" t="s">
        <v>9</v>
      </c>
      <c r="D5731" s="2" t="s">
        <v>10</v>
      </c>
      <c r="E5731" s="2" t="str">
        <f>HYPERLINK("http://ts.21cn.com/tousu/show/id/1336575","http://ts.21cn.com/tousu/show/id/1336575")</f>
        <v>http://ts.21cn.com/tousu/show/id/1336575</v>
      </c>
      <c r="F5731" s="2" t="s">
        <v>11</v>
      </c>
      <c r="G5731" s="2" t="s">
        <v>32884</v>
      </c>
      <c r="H5731" s="2" t="s">
        <v>32885</v>
      </c>
    </row>
    <row r="5732" spans="1:8" ht="25.05" customHeight="1" x14ac:dyDescent="0.25">
      <c r="A5732" s="2" t="s">
        <v>8</v>
      </c>
      <c r="B5732" s="2" t="str">
        <f>HYPERLINK("http://ts.21cn.com/tousu/show/id/1336577","汇潮支付为高利贷平台提供支付通道")</f>
        <v>汇潮支付为高利贷平台提供支付通道</v>
      </c>
      <c r="C5732" s="2" t="s">
        <v>9</v>
      </c>
      <c r="D5732" s="2" t="s">
        <v>10</v>
      </c>
      <c r="E5732" s="2" t="str">
        <f>HYPERLINK("http://ts.21cn.com/tousu/show/id/1336577","http://ts.21cn.com/tousu/show/id/1336577")</f>
        <v>http://ts.21cn.com/tousu/show/id/1336577</v>
      </c>
      <c r="F5732" s="2" t="s">
        <v>11</v>
      </c>
      <c r="G5732" s="2" t="s">
        <v>32882</v>
      </c>
      <c r="H5732" s="2" t="s">
        <v>32883</v>
      </c>
    </row>
    <row r="5733" spans="1:8" ht="25.05" customHeight="1" x14ac:dyDescent="0.25">
      <c r="A5733" s="2" t="s">
        <v>8</v>
      </c>
      <c r="B5733" s="2" t="str">
        <f>HYPERLINK("http://ts.21cn.com/tousu/show/id/1336578","用我的电话联系我的朋友家人")</f>
        <v>用我的电话联系我的朋友家人</v>
      </c>
      <c r="C5733" s="2" t="s">
        <v>34</v>
      </c>
      <c r="D5733" s="2" t="s">
        <v>10</v>
      </c>
      <c r="E5733" s="2" t="str">
        <f>HYPERLINK("http://ts.21cn.com/tousu/show/id/1336578","http://ts.21cn.com/tousu/show/id/1336578")</f>
        <v>http://ts.21cn.com/tousu/show/id/1336578</v>
      </c>
      <c r="F5733" s="2" t="s">
        <v>11</v>
      </c>
      <c r="G5733" s="2" t="s">
        <v>32881</v>
      </c>
      <c r="H5733" s="2" t="s">
        <v>25303</v>
      </c>
    </row>
    <row r="5734" spans="1:8" ht="25.05" customHeight="1" x14ac:dyDescent="0.25">
      <c r="A5734" s="2" t="s">
        <v>8</v>
      </c>
      <c r="B5734" s="2" t="str">
        <f>HYPERLINK("http://ts.21cn.com/tousu/show/id/1336579","浦发银行给条活路")</f>
        <v>浦发银行给条活路</v>
      </c>
      <c r="C5734" s="2" t="s">
        <v>9</v>
      </c>
      <c r="D5734" s="2" t="s">
        <v>10</v>
      </c>
      <c r="E5734" s="2" t="str">
        <f>HYPERLINK("http://ts.21cn.com/tousu/show/id/1336579","http://ts.21cn.com/tousu/show/id/1336579")</f>
        <v>http://ts.21cn.com/tousu/show/id/1336579</v>
      </c>
      <c r="F5734" s="2" t="s">
        <v>11</v>
      </c>
      <c r="G5734" s="2" t="s">
        <v>32879</v>
      </c>
      <c r="H5734" s="2" t="s">
        <v>32880</v>
      </c>
    </row>
    <row r="5735" spans="1:8" ht="25.05" customHeight="1" x14ac:dyDescent="0.25">
      <c r="A5735" s="2" t="s">
        <v>8</v>
      </c>
      <c r="B5735" s="2" t="str">
        <f>HYPERLINK("http://ts.21cn.com/tousu/show/id/1336580","小当家APP无法登录无法还款")</f>
        <v>小当家APP无法登录无法还款</v>
      </c>
      <c r="C5735" s="2" t="s">
        <v>34</v>
      </c>
      <c r="D5735" s="2" t="s">
        <v>10</v>
      </c>
      <c r="E5735" s="2" t="str">
        <f>HYPERLINK("http://ts.21cn.com/tousu/show/id/1336580","http://ts.21cn.com/tousu/show/id/1336580")</f>
        <v>http://ts.21cn.com/tousu/show/id/1336580</v>
      </c>
      <c r="F5735" s="2" t="s">
        <v>11</v>
      </c>
      <c r="G5735" s="2" t="s">
        <v>32877</v>
      </c>
      <c r="H5735" s="2" t="s">
        <v>32878</v>
      </c>
    </row>
    <row r="5736" spans="1:8" ht="25.05" customHeight="1" x14ac:dyDescent="0.25">
      <c r="A5736" s="2" t="s">
        <v>8</v>
      </c>
      <c r="B5736" s="2" t="str">
        <f>HYPERLINK("http://ts.21cn.com/tousu/show/id/1336563","网络欺诈受害人已达到500人以上，都已向所在地公安报案，但是一直未有消息")</f>
        <v>网络欺诈受害人已达到500人以上，都已向所在地公安报案，但是一直未有消息</v>
      </c>
      <c r="C5736" s="2" t="s">
        <v>9</v>
      </c>
      <c r="D5736" s="2" t="s">
        <v>10</v>
      </c>
      <c r="E5736" s="2" t="str">
        <f>HYPERLINK("http://ts.21cn.com/tousu/show/id/1336563","http://ts.21cn.com/tousu/show/id/1336563")</f>
        <v>http://ts.21cn.com/tousu/show/id/1336563</v>
      </c>
      <c r="F5736" s="2" t="s">
        <v>11</v>
      </c>
      <c r="G5736" s="2" t="s">
        <v>32874</v>
      </c>
      <c r="H5736" s="2" t="s">
        <v>32875</v>
      </c>
    </row>
    <row r="5737" spans="1:8" ht="25.05" customHeight="1" x14ac:dyDescent="0.25">
      <c r="A5737" s="2" t="s">
        <v>8</v>
      </c>
      <c r="B5737" s="2" t="str">
        <f>HYPERLINK("http://ts.21cn.com/tousu/show/id/1336581","快递不配送且乱收费")</f>
        <v>快递不配送且乱收费</v>
      </c>
      <c r="C5737" s="2" t="s">
        <v>9</v>
      </c>
      <c r="D5737" s="2" t="s">
        <v>10</v>
      </c>
      <c r="E5737" s="2" t="str">
        <f>HYPERLINK("http://ts.21cn.com/tousu/show/id/1336581","http://ts.21cn.com/tousu/show/id/1336581")</f>
        <v>http://ts.21cn.com/tousu/show/id/1336581</v>
      </c>
      <c r="F5737" s="2" t="s">
        <v>11</v>
      </c>
      <c r="G5737" s="2" t="s">
        <v>32874</v>
      </c>
      <c r="H5737" s="2" t="s">
        <v>32876</v>
      </c>
    </row>
    <row r="5738" spans="1:8" ht="25.05" customHeight="1" x14ac:dyDescent="0.25">
      <c r="A5738" s="2" t="s">
        <v>8</v>
      </c>
      <c r="B5738" s="2" t="str">
        <f>HYPERLINK("http://ts.21cn.com/tousu/show/id/1336582","协商还款没结果")</f>
        <v>协商还款没结果</v>
      </c>
      <c r="C5738" s="2" t="s">
        <v>9</v>
      </c>
      <c r="D5738" s="2" t="s">
        <v>10</v>
      </c>
      <c r="E5738" s="2" t="str">
        <f>HYPERLINK("http://ts.21cn.com/tousu/show/id/1336582","http://ts.21cn.com/tousu/show/id/1336582")</f>
        <v>http://ts.21cn.com/tousu/show/id/1336582</v>
      </c>
      <c r="F5738" s="2" t="s">
        <v>11</v>
      </c>
      <c r="G5738" s="2" t="s">
        <v>32872</v>
      </c>
      <c r="H5738" s="2" t="s">
        <v>32873</v>
      </c>
    </row>
    <row r="5739" spans="1:8" ht="25.05" customHeight="1" x14ac:dyDescent="0.25">
      <c r="A5739" s="2" t="s">
        <v>8</v>
      </c>
      <c r="B5739" s="2" t="str">
        <f>HYPERLINK("http://ts.21cn.com/tousu/show/id/1336584","安家趣花app引导充值会员之后审核失败")</f>
        <v>安家趣花app引导充值会员之后审核失败</v>
      </c>
      <c r="C5739" s="2" t="s">
        <v>9</v>
      </c>
      <c r="D5739" s="2" t="s">
        <v>10</v>
      </c>
      <c r="E5739" s="2" t="str">
        <f>HYPERLINK("http://ts.21cn.com/tousu/show/id/1336584","http://ts.21cn.com/tousu/show/id/1336584")</f>
        <v>http://ts.21cn.com/tousu/show/id/1336584</v>
      </c>
      <c r="F5739" s="2" t="s">
        <v>11</v>
      </c>
      <c r="G5739" s="2" t="s">
        <v>32870</v>
      </c>
      <c r="H5739" s="2" t="s">
        <v>32871</v>
      </c>
    </row>
    <row r="5740" spans="1:8" ht="25.05" customHeight="1" x14ac:dyDescent="0.25">
      <c r="A5740" s="2" t="s">
        <v>8</v>
      </c>
      <c r="B5740" s="2" t="str">
        <f>HYPERLINK("http://ts.21cn.com/tousu/show/id/1336586","捆绑销售")</f>
        <v>捆绑销售</v>
      </c>
      <c r="C5740" s="2" t="s">
        <v>9</v>
      </c>
      <c r="D5740" s="2" t="s">
        <v>10</v>
      </c>
      <c r="E5740" s="2" t="str">
        <f>HYPERLINK("http://ts.21cn.com/tousu/show/id/1336586","http://ts.21cn.com/tousu/show/id/1336586")</f>
        <v>http://ts.21cn.com/tousu/show/id/1336586</v>
      </c>
      <c r="F5740" s="2" t="s">
        <v>11</v>
      </c>
      <c r="G5740" s="2" t="s">
        <v>32869</v>
      </c>
      <c r="H5740" s="2" t="s">
        <v>28784</v>
      </c>
    </row>
    <row r="5741" spans="1:8" ht="25.05" customHeight="1" x14ac:dyDescent="0.25">
      <c r="A5741" s="2" t="s">
        <v>8</v>
      </c>
      <c r="B5741" s="2" t="str">
        <f>HYPERLINK("http://ts.21cn.com/tousu/show/id/1336588","黑心点心贷砍头息，暴力催收")</f>
        <v>黑心点心贷砍头息，暴力催收</v>
      </c>
      <c r="C5741" s="2" t="s">
        <v>9</v>
      </c>
      <c r="D5741" s="2" t="s">
        <v>10</v>
      </c>
      <c r="E5741" s="2" t="str">
        <f>HYPERLINK("http://ts.21cn.com/tousu/show/id/1336588","http://ts.21cn.com/tousu/show/id/1336588")</f>
        <v>http://ts.21cn.com/tousu/show/id/1336588</v>
      </c>
      <c r="F5741" s="2" t="s">
        <v>11</v>
      </c>
      <c r="G5741" s="2" t="s">
        <v>32867</v>
      </c>
      <c r="H5741" s="2" t="s">
        <v>32868</v>
      </c>
    </row>
    <row r="5742" spans="1:8" ht="25.05" customHeight="1" x14ac:dyDescent="0.25">
      <c r="A5742" s="2" t="s">
        <v>8</v>
      </c>
      <c r="B5742" s="2" t="str">
        <f>HYPERLINK("http://ts.21cn.com/tousu/show/id/1336589","砍头息，高利贷，虚拟商品没有实物")</f>
        <v>砍头息，高利贷，虚拟商品没有实物</v>
      </c>
      <c r="C5742" s="2" t="s">
        <v>9</v>
      </c>
      <c r="D5742" s="2" t="s">
        <v>10</v>
      </c>
      <c r="E5742" s="2" t="str">
        <f>HYPERLINK("http://ts.21cn.com/tousu/show/id/1336589","http://ts.21cn.com/tousu/show/id/1336589")</f>
        <v>http://ts.21cn.com/tousu/show/id/1336589</v>
      </c>
      <c r="F5742" s="2" t="s">
        <v>11</v>
      </c>
      <c r="G5742" s="2" t="s">
        <v>32865</v>
      </c>
      <c r="H5742" s="2" t="s">
        <v>32866</v>
      </c>
    </row>
    <row r="5743" spans="1:8" ht="25.05" customHeight="1" x14ac:dyDescent="0.25">
      <c r="A5743" s="2" t="s">
        <v>8</v>
      </c>
      <c r="B5743" s="2" t="str">
        <f>HYPERLINK("http://ts.21cn.com/tousu/show/id/1336590","培训贷、不予退款")</f>
        <v>培训贷、不予退款</v>
      </c>
      <c r="C5743" s="2" t="s">
        <v>9</v>
      </c>
      <c r="D5743" s="2" t="s">
        <v>10</v>
      </c>
      <c r="E5743" s="2" t="str">
        <f>HYPERLINK("http://ts.21cn.com/tousu/show/id/1336590","http://ts.21cn.com/tousu/show/id/1336590")</f>
        <v>http://ts.21cn.com/tousu/show/id/1336590</v>
      </c>
      <c r="F5743" s="2" t="s">
        <v>11</v>
      </c>
      <c r="G5743" s="2" t="s">
        <v>32863</v>
      </c>
      <c r="H5743" s="2" t="s">
        <v>32864</v>
      </c>
    </row>
    <row r="5744" spans="1:8" ht="25.05" customHeight="1" x14ac:dyDescent="0.25">
      <c r="A5744" s="2" t="s">
        <v>8</v>
      </c>
      <c r="B5744" s="2" t="str">
        <f>HYPERLINK("http://ts.21cn.com/tousu/show/id/1336591","该公司软件以免费体验vip为由开通免密支付扣我168元")</f>
        <v>该公司软件以免费体验vip为由开通免密支付扣我168元</v>
      </c>
      <c r="C5744" s="2" t="s">
        <v>9</v>
      </c>
      <c r="D5744" s="2" t="s">
        <v>10</v>
      </c>
      <c r="E5744" s="2" t="str">
        <f>HYPERLINK("http://ts.21cn.com/tousu/show/id/1336591","http://ts.21cn.com/tousu/show/id/1336591")</f>
        <v>http://ts.21cn.com/tousu/show/id/1336591</v>
      </c>
      <c r="F5744" s="2" t="s">
        <v>11</v>
      </c>
      <c r="G5744" s="2" t="s">
        <v>32861</v>
      </c>
      <c r="H5744" s="2" t="s">
        <v>32862</v>
      </c>
    </row>
    <row r="5745" spans="1:8" ht="25.05" customHeight="1" x14ac:dyDescent="0.25">
      <c r="A5745" s="2" t="s">
        <v>8</v>
      </c>
      <c r="B5745" s="2" t="str">
        <f>HYPERLINK("http://ts.21cn.com/tousu/show/id/1336592","郑海清。暴力催收！中华败类！")</f>
        <v>郑海清。暴力催收！中华败类！</v>
      </c>
      <c r="C5745" s="2" t="s">
        <v>9</v>
      </c>
      <c r="D5745" s="2" t="s">
        <v>10</v>
      </c>
      <c r="E5745" s="2" t="str">
        <f>HYPERLINK("http://ts.21cn.com/tousu/show/id/1336592","http://ts.21cn.com/tousu/show/id/1336592")</f>
        <v>http://ts.21cn.com/tousu/show/id/1336592</v>
      </c>
      <c r="F5745" s="2" t="s">
        <v>11</v>
      </c>
      <c r="G5745" s="2" t="s">
        <v>32859</v>
      </c>
      <c r="H5745" s="2" t="s">
        <v>32860</v>
      </c>
    </row>
    <row r="5746" spans="1:8" ht="25.05" customHeight="1" x14ac:dyDescent="0.25">
      <c r="A5746" s="2" t="s">
        <v>8</v>
      </c>
      <c r="B5746" s="2" t="str">
        <f>HYPERLINK("http://ts.21cn.com/tousu/show/id/1336587","高利贷，砍头息")</f>
        <v>高利贷，砍头息</v>
      </c>
      <c r="C5746" s="2" t="s">
        <v>9</v>
      </c>
      <c r="D5746" s="2" t="s">
        <v>10</v>
      </c>
      <c r="E5746" s="2" t="str">
        <f>HYPERLINK("http://ts.21cn.com/tousu/show/id/1336587","http://ts.21cn.com/tousu/show/id/1336587")</f>
        <v>http://ts.21cn.com/tousu/show/id/1336587</v>
      </c>
      <c r="F5746" s="2" t="s">
        <v>11</v>
      </c>
      <c r="G5746" s="2" t="s">
        <v>32857</v>
      </c>
      <c r="H5746" s="2" t="s">
        <v>32858</v>
      </c>
    </row>
    <row r="5747" spans="1:8" ht="25.05" customHeight="1" x14ac:dyDescent="0.25">
      <c r="A5747" s="2" t="s">
        <v>8</v>
      </c>
      <c r="B5747" s="2" t="str">
        <f>HYPERLINK("http://ts.21cn.com/tousu/show/id/1336596","暴力催收骚扰家人朋友")</f>
        <v>暴力催收骚扰家人朋友</v>
      </c>
      <c r="C5747" s="2" t="s">
        <v>9</v>
      </c>
      <c r="D5747" s="2" t="s">
        <v>10</v>
      </c>
      <c r="E5747" s="2" t="str">
        <f>HYPERLINK("http://ts.21cn.com/tousu/show/id/1336596","http://ts.21cn.com/tousu/show/id/1336596")</f>
        <v>http://ts.21cn.com/tousu/show/id/1336596</v>
      </c>
      <c r="F5747" s="2" t="s">
        <v>11</v>
      </c>
      <c r="G5747" s="2" t="s">
        <v>32855</v>
      </c>
      <c r="H5747" s="2" t="s">
        <v>32856</v>
      </c>
    </row>
    <row r="5748" spans="1:8" ht="25.05" customHeight="1" x14ac:dyDescent="0.25">
      <c r="A5748" s="2" t="s">
        <v>8</v>
      </c>
      <c r="B5748" s="2" t="str">
        <f>HYPERLINK("http://ts.21cn.com/tousu/show/id/1336594","快递公司不配送且乱收费")</f>
        <v>快递公司不配送且乱收费</v>
      </c>
      <c r="C5748" s="2" t="s">
        <v>9</v>
      </c>
      <c r="D5748" s="2" t="s">
        <v>10</v>
      </c>
      <c r="E5748" s="2" t="str">
        <f>HYPERLINK("http://ts.21cn.com/tousu/show/id/1336594","http://ts.21cn.com/tousu/show/id/1336594")</f>
        <v>http://ts.21cn.com/tousu/show/id/1336594</v>
      </c>
      <c r="F5748" s="2" t="s">
        <v>11</v>
      </c>
      <c r="G5748" s="2" t="s">
        <v>32852</v>
      </c>
      <c r="H5748" s="2" t="s">
        <v>32853</v>
      </c>
    </row>
    <row r="5749" spans="1:8" ht="25.05" customHeight="1" x14ac:dyDescent="0.25">
      <c r="A5749" s="2" t="s">
        <v>8</v>
      </c>
      <c r="B5749" s="2" t="str">
        <f>HYPERLINK("http://ts.21cn.com/tousu/show/id/1336595","玖富万卡高利贷")</f>
        <v>玖富万卡高利贷</v>
      </c>
      <c r="C5749" s="2" t="s">
        <v>9</v>
      </c>
      <c r="D5749" s="2" t="s">
        <v>10</v>
      </c>
      <c r="E5749" s="2" t="str">
        <f>HYPERLINK("http://ts.21cn.com/tousu/show/id/1336595","http://ts.21cn.com/tousu/show/id/1336595")</f>
        <v>http://ts.21cn.com/tousu/show/id/1336595</v>
      </c>
      <c r="F5749" s="2" t="s">
        <v>11</v>
      </c>
      <c r="G5749" s="2" t="s">
        <v>32852</v>
      </c>
      <c r="H5749" s="2" t="s">
        <v>32854</v>
      </c>
    </row>
    <row r="5750" spans="1:8" ht="25.05" customHeight="1" x14ac:dyDescent="0.25">
      <c r="A5750" s="2" t="s">
        <v>8</v>
      </c>
      <c r="B5750" s="2" t="str">
        <f>HYPERLINK("http://ts.21cn.com/tousu/show/id/1336597","联系不到收款人末收到货品")</f>
        <v>联系不到收款人末收到货品</v>
      </c>
      <c r="C5750" s="2" t="s">
        <v>9</v>
      </c>
      <c r="D5750" s="2" t="s">
        <v>10</v>
      </c>
      <c r="E5750" s="2" t="str">
        <f>HYPERLINK("http://ts.21cn.com/tousu/show/id/1336597","http://ts.21cn.com/tousu/show/id/1336597")</f>
        <v>http://ts.21cn.com/tousu/show/id/1336597</v>
      </c>
      <c r="F5750" s="2" t="s">
        <v>11</v>
      </c>
      <c r="G5750" s="2" t="s">
        <v>32850</v>
      </c>
      <c r="H5750" s="2" t="s">
        <v>32851</v>
      </c>
    </row>
    <row r="5751" spans="1:8" ht="25.05" customHeight="1" x14ac:dyDescent="0.25">
      <c r="A5751" s="2" t="s">
        <v>8</v>
      </c>
      <c r="B5751" s="2" t="str">
        <f>HYPERLINK("http://ts.21cn.com/tousu/show/id/1335852","停止恶意骚扰")</f>
        <v>停止恶意骚扰</v>
      </c>
      <c r="C5751" s="2" t="s">
        <v>9</v>
      </c>
      <c r="D5751" s="2" t="s">
        <v>10</v>
      </c>
      <c r="E5751" s="2" t="str">
        <f>HYPERLINK("http://ts.21cn.com/tousu/show/id/1335852","http://ts.21cn.com/tousu/show/id/1335852")</f>
        <v>http://ts.21cn.com/tousu/show/id/1335852</v>
      </c>
      <c r="F5751" s="2" t="s">
        <v>11</v>
      </c>
      <c r="G5751" s="2" t="s">
        <v>32848</v>
      </c>
      <c r="H5751" s="2" t="s">
        <v>32849</v>
      </c>
    </row>
    <row r="5752" spans="1:8" ht="25.05" customHeight="1" x14ac:dyDescent="0.25">
      <c r="A5752" s="2" t="s">
        <v>8</v>
      </c>
      <c r="B5752" s="2" t="str">
        <f>HYPERLINK("http://ts.21cn.com/tousu/show/id/1336598","360借条借钱还要收工本费，不给工本费，到期就要给利息，滞纳金，违约金等")</f>
        <v>360借条借钱还要收工本费，不给工本费，到期就要给利息，滞纳金，违约金等</v>
      </c>
      <c r="C5752" s="2" t="s">
        <v>9</v>
      </c>
      <c r="D5752" s="2" t="s">
        <v>10</v>
      </c>
      <c r="E5752" s="2" t="str">
        <f>HYPERLINK("http://ts.21cn.com/tousu/show/id/1336598","http://ts.21cn.com/tousu/show/id/1336598")</f>
        <v>http://ts.21cn.com/tousu/show/id/1336598</v>
      </c>
      <c r="F5752" s="2" t="s">
        <v>11</v>
      </c>
      <c r="G5752" s="2" t="s">
        <v>32846</v>
      </c>
      <c r="H5752" s="2" t="s">
        <v>32847</v>
      </c>
    </row>
    <row r="5753" spans="1:8" ht="25.05" customHeight="1" x14ac:dyDescent="0.25">
      <c r="A5753" s="2" t="s">
        <v>8</v>
      </c>
      <c r="B5753" s="2" t="str">
        <f>HYPERLINK("http://ts.21cn.com/tousu/show/id/1336583","拍拍贷己经协商还款了，债权频繁转让，")</f>
        <v>拍拍贷己经协商还款了，债权频繁转让，</v>
      </c>
      <c r="C5753" s="2" t="s">
        <v>9</v>
      </c>
      <c r="D5753" s="2" t="s">
        <v>10</v>
      </c>
      <c r="E5753" s="2" t="str">
        <f>HYPERLINK("http://ts.21cn.com/tousu/show/id/1336583","http://ts.21cn.com/tousu/show/id/1336583")</f>
        <v>http://ts.21cn.com/tousu/show/id/1336583</v>
      </c>
      <c r="F5753" s="2" t="s">
        <v>11</v>
      </c>
      <c r="G5753" s="2" t="s">
        <v>32844</v>
      </c>
      <c r="H5753" s="2" t="s">
        <v>32845</v>
      </c>
    </row>
    <row r="5754" spans="1:8" ht="25.05" customHeight="1" x14ac:dyDescent="0.25">
      <c r="A5754" s="2" t="s">
        <v>8</v>
      </c>
      <c r="B5754" s="2" t="str">
        <f>HYPERLINK("http://ts.21cn.com/tousu/show/id/1336603","谁来管管这些贷款公司")</f>
        <v>谁来管管这些贷款公司</v>
      </c>
      <c r="C5754" s="2" t="s">
        <v>9</v>
      </c>
      <c r="D5754" s="2" t="s">
        <v>10</v>
      </c>
      <c r="E5754" s="2" t="str">
        <f>HYPERLINK("http://ts.21cn.com/tousu/show/id/1336603","http://ts.21cn.com/tousu/show/id/1336603")</f>
        <v>http://ts.21cn.com/tousu/show/id/1336603</v>
      </c>
      <c r="F5754" s="2" t="s">
        <v>11</v>
      </c>
      <c r="G5754" s="2" t="s">
        <v>32843</v>
      </c>
      <c r="H5754" s="2" t="s">
        <v>25319</v>
      </c>
    </row>
    <row r="5755" spans="1:8" ht="25.05" customHeight="1" x14ac:dyDescent="0.25">
      <c r="A5755" s="2" t="s">
        <v>8</v>
      </c>
      <c r="B5755" s="2" t="str">
        <f>HYPERLINK("http://ts.21cn.com/tousu/show/id/1336602","闪银平台擅自改写合同，变相收取费用，不明费用太多")</f>
        <v>闪银平台擅自改写合同，变相收取费用，不明费用太多</v>
      </c>
      <c r="C5755" s="2" t="s">
        <v>9</v>
      </c>
      <c r="D5755" s="2" t="s">
        <v>10</v>
      </c>
      <c r="E5755" s="2" t="str">
        <f>HYPERLINK("http://ts.21cn.com/tousu/show/id/1336602","http://ts.21cn.com/tousu/show/id/1336602")</f>
        <v>http://ts.21cn.com/tousu/show/id/1336602</v>
      </c>
      <c r="F5755" s="2" t="s">
        <v>11</v>
      </c>
      <c r="G5755" s="2" t="s">
        <v>32841</v>
      </c>
      <c r="H5755" s="2" t="s">
        <v>32842</v>
      </c>
    </row>
    <row r="5756" spans="1:8" ht="25.05" customHeight="1" x14ac:dyDescent="0.25">
      <c r="A5756" s="2" t="s">
        <v>8</v>
      </c>
      <c r="B5756" s="2" t="str">
        <f>HYPERLINK("http://ts.21cn.com/tousu/show/id/1336604","蟹老弟，高利贷不协商，联系不上客服")</f>
        <v>蟹老弟，高利贷不协商，联系不上客服</v>
      </c>
      <c r="C5756" s="2" t="s">
        <v>9</v>
      </c>
      <c r="D5756" s="2" t="s">
        <v>10</v>
      </c>
      <c r="E5756" s="2" t="str">
        <f>HYPERLINK("http://ts.21cn.com/tousu/show/id/1336604","http://ts.21cn.com/tousu/show/id/1336604")</f>
        <v>http://ts.21cn.com/tousu/show/id/1336604</v>
      </c>
      <c r="F5756" s="2" t="s">
        <v>11</v>
      </c>
      <c r="G5756" s="2" t="s">
        <v>32839</v>
      </c>
      <c r="H5756" s="2" t="s">
        <v>32840</v>
      </c>
    </row>
    <row r="5757" spans="1:8" ht="25.05" customHeight="1" x14ac:dyDescent="0.25">
      <c r="A5757" s="2" t="s">
        <v>8</v>
      </c>
      <c r="B5757" s="2" t="str">
        <f>HYPERLINK("http://ts.21cn.com/tousu/show/id/1335981","恢复我的口碑值、还我被滴滴私下扣的血汗钱")</f>
        <v>恢复我的口碑值、还我被滴滴私下扣的血汗钱</v>
      </c>
      <c r="C5757" s="2" t="s">
        <v>9</v>
      </c>
      <c r="D5757" s="2" t="s">
        <v>10</v>
      </c>
      <c r="E5757" s="2" t="str">
        <f>HYPERLINK("http://ts.21cn.com/tousu/show/id/1335981","http://ts.21cn.com/tousu/show/id/1335981")</f>
        <v>http://ts.21cn.com/tousu/show/id/1335981</v>
      </c>
      <c r="F5757" s="2" t="s">
        <v>11</v>
      </c>
      <c r="G5757" s="2" t="s">
        <v>32837</v>
      </c>
      <c r="H5757" s="2" t="s">
        <v>32838</v>
      </c>
    </row>
    <row r="5758" spans="1:8" ht="25.05" customHeight="1" x14ac:dyDescent="0.25">
      <c r="A5758" s="2" t="s">
        <v>8</v>
      </c>
      <c r="B5758" s="2" t="str">
        <f>HYPERLINK("http://ts.21cn.com/tousu/show/id/1336605","时光分期")</f>
        <v>时光分期</v>
      </c>
      <c r="C5758" s="2" t="s">
        <v>9</v>
      </c>
      <c r="D5758" s="2" t="s">
        <v>10</v>
      </c>
      <c r="E5758" s="2" t="str">
        <f>HYPERLINK("http://ts.21cn.com/tousu/show/id/1336605","http://ts.21cn.com/tousu/show/id/1336605")</f>
        <v>http://ts.21cn.com/tousu/show/id/1336605</v>
      </c>
      <c r="F5758" s="2" t="s">
        <v>11</v>
      </c>
      <c r="G5758" s="2" t="s">
        <v>32835</v>
      </c>
      <c r="H5758" s="2" t="s">
        <v>32836</v>
      </c>
    </row>
    <row r="5759" spans="1:8" ht="25.05" customHeight="1" x14ac:dyDescent="0.25">
      <c r="A5759" s="2" t="s">
        <v>8</v>
      </c>
      <c r="B5759" s="2" t="str">
        <f>HYPERLINK("http://ts.21cn.com/tousu/show/id/1336606","浦发银行信用卡违规催收")</f>
        <v>浦发银行信用卡违规催收</v>
      </c>
      <c r="C5759" s="2" t="s">
        <v>9</v>
      </c>
      <c r="D5759" s="2" t="s">
        <v>10</v>
      </c>
      <c r="E5759" s="2" t="str">
        <f>HYPERLINK("http://ts.21cn.com/tousu/show/id/1336606","http://ts.21cn.com/tousu/show/id/1336606")</f>
        <v>http://ts.21cn.com/tousu/show/id/1336606</v>
      </c>
      <c r="F5759" s="2" t="s">
        <v>11</v>
      </c>
      <c r="G5759" s="2" t="s">
        <v>32833</v>
      </c>
      <c r="H5759" s="2" t="s">
        <v>32834</v>
      </c>
    </row>
    <row r="5760" spans="1:8" ht="25.05" customHeight="1" x14ac:dyDescent="0.25">
      <c r="A5760" s="2" t="s">
        <v>8</v>
      </c>
      <c r="B5760" s="2" t="str">
        <f>HYPERLINK("http://ts.21cn.com/tousu/show/id/1336607","滴滴司机改贡献分以后江苏宜兴滴滴快车司机接不到单！")</f>
        <v>滴滴司机改贡献分以后江苏宜兴滴滴快车司机接不到单！</v>
      </c>
      <c r="C5760" s="2" t="s">
        <v>34</v>
      </c>
      <c r="D5760" s="2" t="s">
        <v>10</v>
      </c>
      <c r="E5760" s="2" t="str">
        <f>HYPERLINK("http://ts.21cn.com/tousu/show/id/1336607","http://ts.21cn.com/tousu/show/id/1336607")</f>
        <v>http://ts.21cn.com/tousu/show/id/1336607</v>
      </c>
      <c r="F5760" s="2" t="s">
        <v>11</v>
      </c>
      <c r="G5760" s="2" t="s">
        <v>32831</v>
      </c>
      <c r="H5760" s="2" t="s">
        <v>32832</v>
      </c>
    </row>
    <row r="5761" spans="1:8" ht="25.05" customHeight="1" x14ac:dyDescent="0.25">
      <c r="A5761" s="2" t="s">
        <v>8</v>
      </c>
      <c r="B5761" s="2" t="str">
        <f>HYPERLINK("http://ts.21cn.com/tousu/show/id/1336608","收取费用后不联系我")</f>
        <v>收取费用后不联系我</v>
      </c>
      <c r="C5761" s="2" t="s">
        <v>9</v>
      </c>
      <c r="D5761" s="2" t="s">
        <v>10</v>
      </c>
      <c r="E5761" s="2" t="str">
        <f>HYPERLINK("http://ts.21cn.com/tousu/show/id/1336608","http://ts.21cn.com/tousu/show/id/1336608")</f>
        <v>http://ts.21cn.com/tousu/show/id/1336608</v>
      </c>
      <c r="F5761" s="2" t="s">
        <v>11</v>
      </c>
      <c r="G5761" s="2" t="s">
        <v>32829</v>
      </c>
      <c r="H5761" s="2" t="s">
        <v>32830</v>
      </c>
    </row>
    <row r="5762" spans="1:8" ht="25.05" customHeight="1" x14ac:dyDescent="0.25">
      <c r="A5762" s="2" t="s">
        <v>8</v>
      </c>
      <c r="B5762" s="2" t="str">
        <f>HYPERLINK("http://ts.21cn.com/tousu/show/id/1336609","及贷平台本金已还清，利息要求按照国家规定给，客服不处理")</f>
        <v>及贷平台本金已还清，利息要求按照国家规定给，客服不处理</v>
      </c>
      <c r="C5762" s="2" t="s">
        <v>9</v>
      </c>
      <c r="D5762" s="2" t="s">
        <v>10</v>
      </c>
      <c r="E5762" s="2" t="str">
        <f>HYPERLINK("http://ts.21cn.com/tousu/show/id/1336609","http://ts.21cn.com/tousu/show/id/1336609")</f>
        <v>http://ts.21cn.com/tousu/show/id/1336609</v>
      </c>
      <c r="F5762" s="2" t="s">
        <v>11</v>
      </c>
      <c r="G5762" s="2" t="s">
        <v>32827</v>
      </c>
      <c r="H5762" s="2" t="s">
        <v>32828</v>
      </c>
    </row>
    <row r="5763" spans="1:8" ht="25.05" customHeight="1" x14ac:dyDescent="0.25">
      <c r="A5763" s="2" t="s">
        <v>8</v>
      </c>
      <c r="B5763" s="2" t="str">
        <f>HYPERLINK("http://ts.21cn.com/tousu/show/id/1336610","调和协商解决不了")</f>
        <v>调和协商解决不了</v>
      </c>
      <c r="C5763" s="2" t="s">
        <v>9</v>
      </c>
      <c r="D5763" s="2" t="s">
        <v>10</v>
      </c>
      <c r="E5763" s="2" t="str">
        <f>HYPERLINK("http://ts.21cn.com/tousu/show/id/1336610","http://ts.21cn.com/tousu/show/id/1336610")</f>
        <v>http://ts.21cn.com/tousu/show/id/1336610</v>
      </c>
      <c r="F5763" s="2" t="s">
        <v>11</v>
      </c>
      <c r="G5763" s="2" t="s">
        <v>32826</v>
      </c>
      <c r="H5763" s="2" t="s">
        <v>25141</v>
      </c>
    </row>
    <row r="5764" spans="1:8" ht="25.05" customHeight="1" x14ac:dyDescent="0.25">
      <c r="A5764" s="2" t="s">
        <v>8</v>
      </c>
      <c r="B5764" s="2" t="str">
        <f>HYPERLINK("http://ts.21cn.com/tousu/show/id/1336611","饿了么平台恶意扣骑手款项！")</f>
        <v>饿了么平台恶意扣骑手款项！</v>
      </c>
      <c r="C5764" s="2" t="s">
        <v>9</v>
      </c>
      <c r="D5764" s="2" t="s">
        <v>10</v>
      </c>
      <c r="E5764" s="2" t="str">
        <f>HYPERLINK("http://ts.21cn.com/tousu/show/id/1336611","http://ts.21cn.com/tousu/show/id/1336611")</f>
        <v>http://ts.21cn.com/tousu/show/id/1336611</v>
      </c>
      <c r="F5764" s="2" t="s">
        <v>11</v>
      </c>
      <c r="G5764" s="2" t="s">
        <v>32824</v>
      </c>
      <c r="H5764" s="2" t="s">
        <v>32825</v>
      </c>
    </row>
    <row r="5765" spans="1:8" ht="25.05" customHeight="1" x14ac:dyDescent="0.25">
      <c r="A5765" s="2" t="s">
        <v>8</v>
      </c>
      <c r="B5765" s="2" t="str">
        <f>HYPERLINK("http://ts.21cn.com/tousu/show/id/1336600","新易袋以高额贷款提现会员费用")</f>
        <v>新易袋以高额贷款提现会员费用</v>
      </c>
      <c r="C5765" s="2" t="s">
        <v>34</v>
      </c>
      <c r="D5765" s="2" t="s">
        <v>10</v>
      </c>
      <c r="E5765" s="2" t="str">
        <f>HYPERLINK("http://ts.21cn.com/tousu/show/id/1336600","http://ts.21cn.com/tousu/show/id/1336600")</f>
        <v>http://ts.21cn.com/tousu/show/id/1336600</v>
      </c>
      <c r="F5765" s="2" t="s">
        <v>11</v>
      </c>
      <c r="G5765" s="2" t="s">
        <v>32822</v>
      </c>
      <c r="H5765" s="2" t="s">
        <v>32823</v>
      </c>
    </row>
    <row r="5766" spans="1:8" ht="25.05" customHeight="1" x14ac:dyDescent="0.25">
      <c r="A5766" s="2" t="s">
        <v>8</v>
      </c>
      <c r="B5766" s="2" t="str">
        <f>HYPERLINK("http://ts.21cn.com/tousu/show/id/1336613","诱惑并强制用户扣费且拨打人工客服无人理会")</f>
        <v>诱惑并强制用户扣费且拨打人工客服无人理会</v>
      </c>
      <c r="C5766" s="2" t="s">
        <v>9</v>
      </c>
      <c r="D5766" s="2" t="s">
        <v>10</v>
      </c>
      <c r="E5766" s="2" t="str">
        <f>HYPERLINK("http://ts.21cn.com/tousu/show/id/1336613","http://ts.21cn.com/tousu/show/id/1336613")</f>
        <v>http://ts.21cn.com/tousu/show/id/1336613</v>
      </c>
      <c r="F5766" s="2" t="s">
        <v>11</v>
      </c>
      <c r="G5766" s="2" t="s">
        <v>32820</v>
      </c>
      <c r="H5766" s="2" t="s">
        <v>32821</v>
      </c>
    </row>
    <row r="5767" spans="1:8" ht="25.05" customHeight="1" x14ac:dyDescent="0.25">
      <c r="A5767" s="2" t="s">
        <v>8</v>
      </c>
      <c r="B5767" s="2" t="str">
        <f>HYPERLINK("http://ts.21cn.com/tousu/show/id/1336614","维信金科旗下豆豆钱平台逾期费一直没退还，不履行承诺")</f>
        <v>维信金科旗下豆豆钱平台逾期费一直没退还，不履行承诺</v>
      </c>
      <c r="C5767" s="2" t="s">
        <v>9</v>
      </c>
      <c r="D5767" s="2" t="s">
        <v>10</v>
      </c>
      <c r="E5767" s="2" t="str">
        <f>HYPERLINK("http://ts.21cn.com/tousu/show/id/1336614","http://ts.21cn.com/tousu/show/id/1336614")</f>
        <v>http://ts.21cn.com/tousu/show/id/1336614</v>
      </c>
      <c r="F5767" s="2" t="s">
        <v>11</v>
      </c>
      <c r="G5767" s="2" t="s">
        <v>32818</v>
      </c>
      <c r="H5767" s="2" t="s">
        <v>32819</v>
      </c>
    </row>
    <row r="5768" spans="1:8" ht="25.05" customHeight="1" x14ac:dyDescent="0.25">
      <c r="A5768" s="2" t="s">
        <v>8</v>
      </c>
      <c r="B5768" s="2" t="str">
        <f>HYPERLINK("http://ts.21cn.com/tousu/show/id/1336615","捷信违法催收非法联系通讯录")</f>
        <v>捷信违法催收非法联系通讯录</v>
      </c>
      <c r="C5768" s="2" t="s">
        <v>9</v>
      </c>
      <c r="D5768" s="2" t="s">
        <v>10</v>
      </c>
      <c r="E5768" s="2" t="str">
        <f>HYPERLINK("http://ts.21cn.com/tousu/show/id/1336615","http://ts.21cn.com/tousu/show/id/1336615")</f>
        <v>http://ts.21cn.com/tousu/show/id/1336615</v>
      </c>
      <c r="F5768" s="2" t="s">
        <v>11</v>
      </c>
      <c r="G5768" s="2" t="s">
        <v>32816</v>
      </c>
      <c r="H5768" s="2" t="s">
        <v>32817</v>
      </c>
    </row>
    <row r="5769" spans="1:8" ht="25.05" customHeight="1" x14ac:dyDescent="0.25">
      <c r="A5769" s="2" t="s">
        <v>8</v>
      </c>
      <c r="B5769" s="2" t="str">
        <f>HYPERLINK("http://ts.21cn.com/tousu/show/id/1336616","小红书会员自动续费不告知超一年")</f>
        <v>小红书会员自动续费不告知超一年</v>
      </c>
      <c r="C5769" s="2" t="s">
        <v>9</v>
      </c>
      <c r="D5769" s="2" t="s">
        <v>10</v>
      </c>
      <c r="E5769" s="2" t="str">
        <f>HYPERLINK("http://ts.21cn.com/tousu/show/id/1336616","http://ts.21cn.com/tousu/show/id/1336616")</f>
        <v>http://ts.21cn.com/tousu/show/id/1336616</v>
      </c>
      <c r="F5769" s="2" t="s">
        <v>11</v>
      </c>
      <c r="G5769" s="2" t="s">
        <v>32814</v>
      </c>
      <c r="H5769" s="2" t="s">
        <v>32815</v>
      </c>
    </row>
    <row r="5770" spans="1:8" ht="25.05" customHeight="1" x14ac:dyDescent="0.25">
      <c r="A5770" s="2" t="s">
        <v>8</v>
      </c>
      <c r="B5770" s="2" t="str">
        <f>HYPERLINK("http://ts.21cn.com/tousu/show/id/1336617","指上旅行")</f>
        <v>指上旅行</v>
      </c>
      <c r="C5770" s="2" t="s">
        <v>9</v>
      </c>
      <c r="D5770" s="2" t="s">
        <v>10</v>
      </c>
      <c r="E5770" s="2" t="str">
        <f>HYPERLINK("http://ts.21cn.com/tousu/show/id/1336617","http://ts.21cn.com/tousu/show/id/1336617")</f>
        <v>http://ts.21cn.com/tousu/show/id/1336617</v>
      </c>
      <c r="F5770" s="2" t="s">
        <v>11</v>
      </c>
      <c r="G5770" s="2" t="s">
        <v>32812</v>
      </c>
      <c r="H5770" s="2" t="s">
        <v>32813</v>
      </c>
    </row>
    <row r="5771" spans="1:8" ht="25.05" customHeight="1" x14ac:dyDescent="0.25">
      <c r="A5771" s="2" t="s">
        <v>8</v>
      </c>
      <c r="B5771" s="2" t="str">
        <f>HYPERLINK("http://ts.21cn.com/tousu/show/id/1336618","网贷骚扰家人朋友")</f>
        <v>网贷骚扰家人朋友</v>
      </c>
      <c r="C5771" s="2" t="s">
        <v>9</v>
      </c>
      <c r="D5771" s="2" t="s">
        <v>10</v>
      </c>
      <c r="E5771" s="2" t="str">
        <f>HYPERLINK("http://ts.21cn.com/tousu/show/id/1336618","http://ts.21cn.com/tousu/show/id/1336618")</f>
        <v>http://ts.21cn.com/tousu/show/id/1336618</v>
      </c>
      <c r="F5771" s="2" t="s">
        <v>11</v>
      </c>
      <c r="G5771" s="2" t="s">
        <v>32810</v>
      </c>
      <c r="H5771" s="2" t="s">
        <v>32811</v>
      </c>
    </row>
    <row r="5772" spans="1:8" ht="25.05" customHeight="1" x14ac:dyDescent="0.25">
      <c r="A5772" s="2" t="s">
        <v>8</v>
      </c>
      <c r="B5772" s="2" t="str">
        <f>HYPERLINK("http://ts.21cn.com/tousu/show/id/1336619","互联网消费金融无耻混蛋之佰仟金融！")</f>
        <v>互联网消费金融无耻混蛋之佰仟金融！</v>
      </c>
      <c r="C5772" s="2" t="s">
        <v>9</v>
      </c>
      <c r="D5772" s="2" t="s">
        <v>10</v>
      </c>
      <c r="E5772" s="2" t="str">
        <f>HYPERLINK("http://ts.21cn.com/tousu/show/id/1336619","http://ts.21cn.com/tousu/show/id/1336619")</f>
        <v>http://ts.21cn.com/tousu/show/id/1336619</v>
      </c>
      <c r="F5772" s="2" t="s">
        <v>11</v>
      </c>
      <c r="G5772" s="2" t="s">
        <v>32808</v>
      </c>
      <c r="H5772" s="2" t="s">
        <v>32809</v>
      </c>
    </row>
    <row r="5773" spans="1:8" ht="25.05" customHeight="1" x14ac:dyDescent="0.25">
      <c r="A5773" s="2" t="s">
        <v>8</v>
      </c>
      <c r="B5773" s="2" t="str">
        <f>HYPERLINK("http://ts.21cn.com/tousu/show/id/1336620","平安银行信用卡雇佣外包人员到处打电话加微信散播恶语")</f>
        <v>平安银行信用卡雇佣外包人员到处打电话加微信散播恶语</v>
      </c>
      <c r="C5773" s="2" t="s">
        <v>9</v>
      </c>
      <c r="D5773" s="2" t="s">
        <v>10</v>
      </c>
      <c r="E5773" s="2" t="str">
        <f>HYPERLINK("http://ts.21cn.com/tousu/show/id/1336620","http://ts.21cn.com/tousu/show/id/1336620")</f>
        <v>http://ts.21cn.com/tousu/show/id/1336620</v>
      </c>
      <c r="F5773" s="2" t="s">
        <v>11</v>
      </c>
      <c r="G5773" s="2" t="s">
        <v>32806</v>
      </c>
      <c r="H5773" s="2" t="s">
        <v>32807</v>
      </c>
    </row>
    <row r="5774" spans="1:8" ht="25.05" customHeight="1" x14ac:dyDescent="0.25">
      <c r="A5774" s="2" t="s">
        <v>8</v>
      </c>
      <c r="B5774" s="2" t="str">
        <f>HYPERLINK("http://ts.21cn.com/tousu/show/id/1334542","滴滴恶意封禁账号")</f>
        <v>滴滴恶意封禁账号</v>
      </c>
      <c r="C5774" s="2" t="s">
        <v>9</v>
      </c>
      <c r="D5774" s="2" t="s">
        <v>10</v>
      </c>
      <c r="E5774" s="2" t="str">
        <f>HYPERLINK("http://ts.21cn.com/tousu/show/id/1334542","http://ts.21cn.com/tousu/show/id/1334542")</f>
        <v>http://ts.21cn.com/tousu/show/id/1334542</v>
      </c>
      <c r="F5774" s="2" t="s">
        <v>11</v>
      </c>
      <c r="G5774" s="2" t="s">
        <v>32804</v>
      </c>
      <c r="H5774" s="2" t="s">
        <v>32805</v>
      </c>
    </row>
    <row r="5775" spans="1:8" ht="25.05" customHeight="1" x14ac:dyDescent="0.25">
      <c r="A5775" s="2" t="s">
        <v>8</v>
      </c>
      <c r="B5775" s="2" t="str">
        <f>HYPERLINK("http://ts.21cn.com/tousu/show/id/1336622","移动套餐无法取消")</f>
        <v>移动套餐无法取消</v>
      </c>
      <c r="C5775" s="2" t="s">
        <v>9</v>
      </c>
      <c r="D5775" s="2" t="s">
        <v>10</v>
      </c>
      <c r="E5775" s="2" t="str">
        <f>HYPERLINK("http://ts.21cn.com/tousu/show/id/1336622","http://ts.21cn.com/tousu/show/id/1336622")</f>
        <v>http://ts.21cn.com/tousu/show/id/1336622</v>
      </c>
      <c r="F5775" s="2" t="s">
        <v>11</v>
      </c>
      <c r="G5775" s="2" t="s">
        <v>32802</v>
      </c>
      <c r="H5775" s="2" t="s">
        <v>32803</v>
      </c>
    </row>
    <row r="5776" spans="1:8" ht="25.05" customHeight="1" x14ac:dyDescent="0.25">
      <c r="A5776" s="2" t="s">
        <v>8</v>
      </c>
      <c r="B5776" s="2" t="str">
        <f>HYPERLINK("http://ts.21cn.com/tousu/show/id/1336623","招联金融催收骚扰通讯录")</f>
        <v>招联金融催收骚扰通讯录</v>
      </c>
      <c r="C5776" s="2" t="s">
        <v>9</v>
      </c>
      <c r="D5776" s="2" t="s">
        <v>10</v>
      </c>
      <c r="E5776" s="2" t="str">
        <f>HYPERLINK("http://ts.21cn.com/tousu/show/id/1336623","http://ts.21cn.com/tousu/show/id/1336623")</f>
        <v>http://ts.21cn.com/tousu/show/id/1336623</v>
      </c>
      <c r="F5776" s="2" t="s">
        <v>11</v>
      </c>
      <c r="G5776" s="2" t="s">
        <v>32800</v>
      </c>
      <c r="H5776" s="2" t="s">
        <v>32801</v>
      </c>
    </row>
    <row r="5777" spans="1:8" ht="25.05" customHeight="1" x14ac:dyDescent="0.25">
      <c r="A5777" s="2" t="s">
        <v>8</v>
      </c>
      <c r="B5777" s="2" t="str">
        <f>HYPERLINK("http://ts.21cn.com/tousu/show/id/1336625","请招商信用卡中心给我回复并让第三方催收停止对我及亲友的骚扰")</f>
        <v>请招商信用卡中心给我回复并让第三方催收停止对我及亲友的骚扰</v>
      </c>
      <c r="C5777" s="2" t="s">
        <v>9</v>
      </c>
      <c r="D5777" s="2" t="s">
        <v>10</v>
      </c>
      <c r="E5777" s="2" t="str">
        <f>HYPERLINK("http://ts.21cn.com/tousu/show/id/1336625","http://ts.21cn.com/tousu/show/id/1336625")</f>
        <v>http://ts.21cn.com/tousu/show/id/1336625</v>
      </c>
      <c r="F5777" s="2" t="s">
        <v>11</v>
      </c>
      <c r="G5777" s="2" t="s">
        <v>32798</v>
      </c>
      <c r="H5777" s="2" t="s">
        <v>32799</v>
      </c>
    </row>
    <row r="5778" spans="1:8" ht="25.05" customHeight="1" x14ac:dyDescent="0.25">
      <c r="A5778" s="2" t="s">
        <v>8</v>
      </c>
      <c r="B5778" s="2" t="str">
        <f>HYPERLINK("http://ts.21cn.com/tousu/show/id/1336624","小花钱包，暴力催收，威胁")</f>
        <v>小花钱包，暴力催收，威胁</v>
      </c>
      <c r="C5778" s="2" t="s">
        <v>9</v>
      </c>
      <c r="D5778" s="2" t="s">
        <v>10</v>
      </c>
      <c r="E5778" s="2" t="str">
        <f>HYPERLINK("http://ts.21cn.com/tousu/show/id/1336624","http://ts.21cn.com/tousu/show/id/1336624")</f>
        <v>http://ts.21cn.com/tousu/show/id/1336624</v>
      </c>
      <c r="F5778" s="2" t="s">
        <v>11</v>
      </c>
      <c r="G5778" s="2" t="s">
        <v>32796</v>
      </c>
      <c r="H5778" s="2" t="s">
        <v>32797</v>
      </c>
    </row>
    <row r="5779" spans="1:8" ht="25.05" customHeight="1" x14ac:dyDescent="0.25">
      <c r="A5779" s="2" t="s">
        <v>8</v>
      </c>
      <c r="B5779" s="2" t="str">
        <f>HYPERLINK("http://ts.21cn.com/tousu/show/id/1336626","聚福钱包未经允许私自扣款")</f>
        <v>聚福钱包未经允许私自扣款</v>
      </c>
      <c r="C5779" s="2" t="s">
        <v>9</v>
      </c>
      <c r="D5779" s="2" t="s">
        <v>10</v>
      </c>
      <c r="E5779" s="2" t="str">
        <f>HYPERLINK("http://ts.21cn.com/tousu/show/id/1336626","http://ts.21cn.com/tousu/show/id/1336626")</f>
        <v>http://ts.21cn.com/tousu/show/id/1336626</v>
      </c>
      <c r="F5779" s="2" t="s">
        <v>11</v>
      </c>
      <c r="G5779" s="2" t="s">
        <v>32794</v>
      </c>
      <c r="H5779" s="2" t="s">
        <v>32795</v>
      </c>
    </row>
    <row r="5780" spans="1:8" ht="25.05" customHeight="1" x14ac:dyDescent="0.25">
      <c r="A5780" s="2" t="s">
        <v>8</v>
      </c>
      <c r="B5780" s="2" t="str">
        <f>HYPERLINK("http://ts.21cn.com/tousu/show/id/1336627","小象优品恶意骚扰通讯录")</f>
        <v>小象优品恶意骚扰通讯录</v>
      </c>
      <c r="C5780" s="2" t="s">
        <v>9</v>
      </c>
      <c r="D5780" s="2" t="s">
        <v>10</v>
      </c>
      <c r="E5780" s="2" t="str">
        <f>HYPERLINK("http://ts.21cn.com/tousu/show/id/1336627","http://ts.21cn.com/tousu/show/id/1336627")</f>
        <v>http://ts.21cn.com/tousu/show/id/1336627</v>
      </c>
      <c r="F5780" s="2" t="s">
        <v>11</v>
      </c>
      <c r="G5780" s="2" t="s">
        <v>32792</v>
      </c>
      <c r="H5780" s="2" t="s">
        <v>32793</v>
      </c>
    </row>
    <row r="5781" spans="1:8" ht="25.05" customHeight="1" x14ac:dyDescent="0.25">
      <c r="A5781" s="2" t="s">
        <v>8</v>
      </c>
      <c r="B5781" s="2" t="str">
        <f>HYPERLINK("http://ts.21cn.com/tousu/show/id/1336629","好易贷涉嫌违法高利贷，砍头息")</f>
        <v>好易贷涉嫌违法高利贷，砍头息</v>
      </c>
      <c r="C5781" s="2" t="s">
        <v>9</v>
      </c>
      <c r="D5781" s="2" t="s">
        <v>10</v>
      </c>
      <c r="E5781" s="2" t="str">
        <f>HYPERLINK("http://ts.21cn.com/tousu/show/id/1336629","http://ts.21cn.com/tousu/show/id/1336629")</f>
        <v>http://ts.21cn.com/tousu/show/id/1336629</v>
      </c>
      <c r="F5781" s="2" t="s">
        <v>11</v>
      </c>
      <c r="G5781" s="2" t="s">
        <v>32790</v>
      </c>
      <c r="H5781" s="2" t="s">
        <v>32791</v>
      </c>
    </row>
    <row r="5782" spans="1:8" ht="25.05" customHeight="1" x14ac:dyDescent="0.25">
      <c r="A5782" s="2" t="s">
        <v>8</v>
      </c>
      <c r="B5782" s="2" t="str">
        <f>HYPERLINK("http://ts.21cn.com/tousu/show/id/1336630","开店宝业务员诱导我办理免费pos机，收取369押金说一年以后退还")</f>
        <v>开店宝业务员诱导我办理免费pos机，收取369押金说一年以后退还</v>
      </c>
      <c r="C5782" s="2" t="s">
        <v>9</v>
      </c>
      <c r="D5782" s="2" t="s">
        <v>10</v>
      </c>
      <c r="E5782" s="2" t="str">
        <f>HYPERLINK("http://ts.21cn.com/tousu/show/id/1336630","http://ts.21cn.com/tousu/show/id/1336630")</f>
        <v>http://ts.21cn.com/tousu/show/id/1336630</v>
      </c>
      <c r="F5782" s="2" t="s">
        <v>11</v>
      </c>
      <c r="G5782" s="2" t="s">
        <v>32788</v>
      </c>
      <c r="H5782" s="2" t="s">
        <v>32789</v>
      </c>
    </row>
    <row r="5783" spans="1:8" ht="25.05" customHeight="1" x14ac:dyDescent="0.25">
      <c r="A5783" s="2" t="s">
        <v>8</v>
      </c>
      <c r="B5783" s="2" t="str">
        <f>HYPERLINK("http://ts.21cn.com/tousu/show/id/1336631","自动扣款失败APP无法还款网址无法连接")</f>
        <v>自动扣款失败APP无法还款网址无法连接</v>
      </c>
      <c r="C5783" s="2" t="s">
        <v>9</v>
      </c>
      <c r="D5783" s="2" t="s">
        <v>10</v>
      </c>
      <c r="E5783" s="2" t="str">
        <f>HYPERLINK("http://ts.21cn.com/tousu/show/id/1336631","http://ts.21cn.com/tousu/show/id/1336631")</f>
        <v>http://ts.21cn.com/tousu/show/id/1336631</v>
      </c>
      <c r="F5783" s="2" t="s">
        <v>11</v>
      </c>
      <c r="G5783" s="2" t="s">
        <v>32786</v>
      </c>
      <c r="H5783" s="2" t="s">
        <v>32787</v>
      </c>
    </row>
    <row r="5784" spans="1:8" ht="25.05" customHeight="1" x14ac:dyDescent="0.25">
      <c r="A5784" s="2" t="s">
        <v>8</v>
      </c>
      <c r="B5784" s="2" t="str">
        <f>HYPERLINK("http://ts.21cn.com/tousu/show/id/1336633","要求小浦优品退款")</f>
        <v>要求小浦优品退款</v>
      </c>
      <c r="C5784" s="2" t="s">
        <v>34</v>
      </c>
      <c r="D5784" s="2" t="s">
        <v>10</v>
      </c>
      <c r="E5784" s="2" t="str">
        <f>HYPERLINK("http://ts.21cn.com/tousu/show/id/1336633","http://ts.21cn.com/tousu/show/id/1336633")</f>
        <v>http://ts.21cn.com/tousu/show/id/1336633</v>
      </c>
      <c r="F5784" s="2" t="s">
        <v>11</v>
      </c>
      <c r="G5784" s="2" t="s">
        <v>32784</v>
      </c>
      <c r="H5784" s="2" t="s">
        <v>32785</v>
      </c>
    </row>
    <row r="5785" spans="1:8" ht="25.05" customHeight="1" x14ac:dyDescent="0.25">
      <c r="A5785" s="2" t="s">
        <v>8</v>
      </c>
      <c r="B5785" s="2" t="str">
        <f>HYPERLINK("http://ts.21cn.com/tousu/show/id/1336635","超高利率高利贷")</f>
        <v>超高利率高利贷</v>
      </c>
      <c r="C5785" s="2" t="s">
        <v>9</v>
      </c>
      <c r="D5785" s="2" t="s">
        <v>10</v>
      </c>
      <c r="E5785" s="2" t="str">
        <f>HYPERLINK("http://ts.21cn.com/tousu/show/id/1336635","http://ts.21cn.com/tousu/show/id/1336635")</f>
        <v>http://ts.21cn.com/tousu/show/id/1336635</v>
      </c>
      <c r="F5785" s="2" t="s">
        <v>11</v>
      </c>
      <c r="G5785" s="2" t="s">
        <v>32782</v>
      </c>
      <c r="H5785" s="2" t="s">
        <v>32783</v>
      </c>
    </row>
    <row r="5786" spans="1:8" ht="25.05" customHeight="1" x14ac:dyDescent="0.25">
      <c r="A5786" s="2" t="s">
        <v>8</v>
      </c>
      <c r="B5786" s="2" t="str">
        <f>HYPERLINK("http://ts.21cn.com/tousu/show/id/1336634","长虹集体投诉专题")</f>
        <v>长虹集体投诉专题</v>
      </c>
      <c r="C5786" s="2" t="s">
        <v>9</v>
      </c>
      <c r="D5786" s="2" t="s">
        <v>10</v>
      </c>
      <c r="E5786" s="2" t="str">
        <f>HYPERLINK("http://ts.21cn.com/tousu/show/id/1336634","http://ts.21cn.com/tousu/show/id/1336634")</f>
        <v>http://ts.21cn.com/tousu/show/id/1336634</v>
      </c>
      <c r="F5786" s="2" t="s">
        <v>11</v>
      </c>
      <c r="G5786" s="2" t="s">
        <v>32780</v>
      </c>
      <c r="H5786" s="2" t="s">
        <v>32781</v>
      </c>
    </row>
    <row r="5787" spans="1:8" ht="25.05" customHeight="1" x14ac:dyDescent="0.25">
      <c r="A5787" s="2" t="s">
        <v>8</v>
      </c>
      <c r="B5787" s="2" t="str">
        <f>HYPERLINK("http://ts.21cn.com/tousu/show/id/1336636","宝付网络科技上海有限公司乱扣费")</f>
        <v>宝付网络科技上海有限公司乱扣费</v>
      </c>
      <c r="C5787" s="2" t="s">
        <v>9</v>
      </c>
      <c r="D5787" s="2" t="s">
        <v>10</v>
      </c>
      <c r="E5787" s="2" t="str">
        <f>HYPERLINK("http://ts.21cn.com/tousu/show/id/1336636","http://ts.21cn.com/tousu/show/id/1336636")</f>
        <v>http://ts.21cn.com/tousu/show/id/1336636</v>
      </c>
      <c r="F5787" s="2" t="s">
        <v>11</v>
      </c>
      <c r="G5787" s="2" t="s">
        <v>32778</v>
      </c>
      <c r="H5787" s="2" t="s">
        <v>32779</v>
      </c>
    </row>
    <row r="5788" spans="1:8" ht="25.05" customHeight="1" x14ac:dyDescent="0.25">
      <c r="A5788" s="2" t="s">
        <v>8</v>
      </c>
      <c r="B5788" s="2" t="str">
        <f>HYPERLINK("http://ts.21cn.com/tousu/show/id/1336637","聚福钱包未经许可私自扣款")</f>
        <v>聚福钱包未经许可私自扣款</v>
      </c>
      <c r="C5788" s="2" t="s">
        <v>9</v>
      </c>
      <c r="D5788" s="2" t="s">
        <v>10</v>
      </c>
      <c r="E5788" s="2" t="str">
        <f>HYPERLINK("http://ts.21cn.com/tousu/show/id/1336637","http://ts.21cn.com/tousu/show/id/1336637")</f>
        <v>http://ts.21cn.com/tousu/show/id/1336637</v>
      </c>
      <c r="F5788" s="2" t="s">
        <v>11</v>
      </c>
      <c r="G5788" s="2" t="s">
        <v>32776</v>
      </c>
      <c r="H5788" s="2" t="s">
        <v>32777</v>
      </c>
    </row>
    <row r="5789" spans="1:8" ht="25.05" customHeight="1" x14ac:dyDescent="0.25">
      <c r="A5789" s="2" t="s">
        <v>8</v>
      </c>
      <c r="B5789" s="2" t="str">
        <f>HYPERLINK("http://ts.21cn.com/tousu/show/id/1336638","尽快处理退款，一个周没有退款给我")</f>
        <v>尽快处理退款，一个周没有退款给我</v>
      </c>
      <c r="C5789" s="2" t="s">
        <v>34</v>
      </c>
      <c r="D5789" s="2" t="s">
        <v>10</v>
      </c>
      <c r="E5789" s="2" t="str">
        <f>HYPERLINK("http://ts.21cn.com/tousu/show/id/1336638","http://ts.21cn.com/tousu/show/id/1336638")</f>
        <v>http://ts.21cn.com/tousu/show/id/1336638</v>
      </c>
      <c r="F5789" s="2" t="s">
        <v>11</v>
      </c>
      <c r="G5789" s="2" t="s">
        <v>32774</v>
      </c>
      <c r="H5789" s="2" t="s">
        <v>32775</v>
      </c>
    </row>
    <row r="5790" spans="1:8" ht="25.05" customHeight="1" x14ac:dyDescent="0.25">
      <c r="A5790" s="2" t="s">
        <v>8</v>
      </c>
      <c r="B5790" s="2" t="str">
        <f>HYPERLINK("http://ts.21cn.com/tousu/show/id/1336599","其他代理业务资金_中国银联股份有限公司广东分公司专户14")</f>
        <v>其他代理业务资金_中国银联股份有限公司广东分公司专户14</v>
      </c>
      <c r="C5790" s="2" t="s">
        <v>34</v>
      </c>
      <c r="D5790" s="2" t="s">
        <v>10</v>
      </c>
      <c r="E5790" s="2" t="str">
        <f>HYPERLINK("http://ts.21cn.com/tousu/show/id/1336599","http://ts.21cn.com/tousu/show/id/1336599")</f>
        <v>http://ts.21cn.com/tousu/show/id/1336599</v>
      </c>
      <c r="F5790" s="2" t="s">
        <v>11</v>
      </c>
      <c r="G5790" s="2" t="s">
        <v>32772</v>
      </c>
      <c r="H5790" s="2" t="s">
        <v>32773</v>
      </c>
    </row>
    <row r="5791" spans="1:8" ht="25.05" customHeight="1" x14ac:dyDescent="0.25">
      <c r="A5791" s="2" t="s">
        <v>8</v>
      </c>
      <c r="B5791" s="2" t="str">
        <f>HYPERLINK("http://ts.21cn.com/tousu/show/id/1336639","暴力催收，恐吓，骚扰通讯录")</f>
        <v>暴力催收，恐吓，骚扰通讯录</v>
      </c>
      <c r="C5791" s="2" t="s">
        <v>9</v>
      </c>
      <c r="D5791" s="2" t="s">
        <v>10</v>
      </c>
      <c r="E5791" s="2" t="str">
        <f>HYPERLINK("http://ts.21cn.com/tousu/show/id/1336639","http://ts.21cn.com/tousu/show/id/1336639")</f>
        <v>http://ts.21cn.com/tousu/show/id/1336639</v>
      </c>
      <c r="F5791" s="2" t="s">
        <v>11</v>
      </c>
      <c r="G5791" s="2" t="s">
        <v>32770</v>
      </c>
      <c r="H5791" s="2" t="s">
        <v>32771</v>
      </c>
    </row>
    <row r="5792" spans="1:8" ht="25.05" customHeight="1" x14ac:dyDescent="0.25">
      <c r="A5792" s="2" t="s">
        <v>8</v>
      </c>
      <c r="B5792" s="2" t="str">
        <f>HYPERLINK("http://ts.21cn.com/tousu/show/id/1336640","携程预定民宿不可取消霸王条款严重侵犯消费者合法权益")</f>
        <v>携程预定民宿不可取消霸王条款严重侵犯消费者合法权益</v>
      </c>
      <c r="C5792" s="2" t="s">
        <v>9</v>
      </c>
      <c r="D5792" s="2" t="s">
        <v>10</v>
      </c>
      <c r="E5792" s="2" t="str">
        <f>HYPERLINK("http://ts.21cn.com/tousu/show/id/1336640","http://ts.21cn.com/tousu/show/id/1336640")</f>
        <v>http://ts.21cn.com/tousu/show/id/1336640</v>
      </c>
      <c r="F5792" s="2" t="s">
        <v>11</v>
      </c>
      <c r="G5792" s="2" t="s">
        <v>32768</v>
      </c>
      <c r="H5792" s="2" t="s">
        <v>32769</v>
      </c>
    </row>
    <row r="5793" spans="1:8" ht="25.05" customHeight="1" x14ac:dyDescent="0.25">
      <c r="A5793" s="2" t="s">
        <v>8</v>
      </c>
      <c r="B5793" s="2" t="str">
        <f>HYPERLINK("http://ts.21cn.com/tousu/show/id/1336641","小花钱包暴力催收！")</f>
        <v>小花钱包暴力催收！</v>
      </c>
      <c r="C5793" s="2" t="s">
        <v>9</v>
      </c>
      <c r="D5793" s="2" t="s">
        <v>10</v>
      </c>
      <c r="E5793" s="2" t="str">
        <f>HYPERLINK("http://ts.21cn.com/tousu/show/id/1336641","http://ts.21cn.com/tousu/show/id/1336641")</f>
        <v>http://ts.21cn.com/tousu/show/id/1336641</v>
      </c>
      <c r="F5793" s="2" t="s">
        <v>11</v>
      </c>
      <c r="G5793" s="2" t="s">
        <v>32766</v>
      </c>
      <c r="H5793" s="2" t="s">
        <v>32767</v>
      </c>
    </row>
    <row r="5794" spans="1:8" ht="25.05" customHeight="1" x14ac:dyDescent="0.25">
      <c r="A5794" s="2" t="s">
        <v>8</v>
      </c>
      <c r="B5794" s="2" t="str">
        <f>HYPERLINK("http://ts.21cn.com/tousu/show/id/1336642","摩拜单车不退回20块钱车辆管理费")</f>
        <v>摩拜单车不退回20块钱车辆管理费</v>
      </c>
      <c r="C5794" s="2" t="s">
        <v>34</v>
      </c>
      <c r="D5794" s="2" t="s">
        <v>10</v>
      </c>
      <c r="E5794" s="2" t="str">
        <f>HYPERLINK("http://ts.21cn.com/tousu/show/id/1336642","http://ts.21cn.com/tousu/show/id/1336642")</f>
        <v>http://ts.21cn.com/tousu/show/id/1336642</v>
      </c>
      <c r="F5794" s="2" t="s">
        <v>11</v>
      </c>
      <c r="G5794" s="2" t="s">
        <v>32764</v>
      </c>
      <c r="H5794" s="2" t="s">
        <v>32765</v>
      </c>
    </row>
    <row r="5795" spans="1:8" ht="25.05" customHeight="1" x14ac:dyDescent="0.25">
      <c r="A5795" s="2" t="s">
        <v>8</v>
      </c>
      <c r="B5795" s="2" t="str">
        <f>HYPERLINK("http://ts.21cn.com/tousu/show/id/1336644","恐吓，骚扰，影响正常生活，精神受打击")</f>
        <v>恐吓，骚扰，影响正常生活，精神受打击</v>
      </c>
      <c r="C5795" s="2" t="s">
        <v>9</v>
      </c>
      <c r="D5795" s="2" t="s">
        <v>10</v>
      </c>
      <c r="E5795" s="2" t="str">
        <f>HYPERLINK("http://ts.21cn.com/tousu/show/id/1336644","http://ts.21cn.com/tousu/show/id/1336644")</f>
        <v>http://ts.21cn.com/tousu/show/id/1336644</v>
      </c>
      <c r="F5795" s="2" t="s">
        <v>11</v>
      </c>
      <c r="G5795" s="2" t="s">
        <v>32762</v>
      </c>
      <c r="H5795" s="2" t="s">
        <v>32763</v>
      </c>
    </row>
    <row r="5796" spans="1:8" ht="25.05" customHeight="1" x14ac:dyDescent="0.25">
      <c r="A5796" s="2" t="s">
        <v>8</v>
      </c>
      <c r="B5796" s="2" t="str">
        <f>HYPERLINK("http://ts.21cn.com/tousu/show/id/1336645","牛人又品高利贷")</f>
        <v>牛人又品高利贷</v>
      </c>
      <c r="C5796" s="2" t="s">
        <v>9</v>
      </c>
      <c r="D5796" s="2" t="s">
        <v>10</v>
      </c>
      <c r="E5796" s="2" t="str">
        <f>HYPERLINK("http://ts.21cn.com/tousu/show/id/1336645","http://ts.21cn.com/tousu/show/id/1336645")</f>
        <v>http://ts.21cn.com/tousu/show/id/1336645</v>
      </c>
      <c r="F5796" s="2" t="s">
        <v>11</v>
      </c>
      <c r="G5796" s="2" t="s">
        <v>32760</v>
      </c>
      <c r="H5796" s="2" t="s">
        <v>32761</v>
      </c>
    </row>
    <row r="5797" spans="1:8" ht="25.05" customHeight="1" x14ac:dyDescent="0.25">
      <c r="A5797" s="2" t="s">
        <v>8</v>
      </c>
      <c r="B5797" s="2" t="str">
        <f>HYPERLINK("http://ts.21cn.com/tousu/show/id/1336646","钱站爱钱进阴阳合同")</f>
        <v>钱站爱钱进阴阳合同</v>
      </c>
      <c r="C5797" s="2" t="s">
        <v>9</v>
      </c>
      <c r="D5797" s="2" t="s">
        <v>10</v>
      </c>
      <c r="E5797" s="2" t="str">
        <f>HYPERLINK("http://ts.21cn.com/tousu/show/id/1336646","http://ts.21cn.com/tousu/show/id/1336646")</f>
        <v>http://ts.21cn.com/tousu/show/id/1336646</v>
      </c>
      <c r="F5797" s="2" t="s">
        <v>11</v>
      </c>
      <c r="G5797" s="2" t="s">
        <v>32758</v>
      </c>
      <c r="H5797" s="2" t="s">
        <v>32759</v>
      </c>
    </row>
    <row r="5798" spans="1:8" ht="25.05" customHeight="1" x14ac:dyDescent="0.25">
      <c r="A5798" s="2" t="s">
        <v>8</v>
      </c>
      <c r="B5798" s="2" t="str">
        <f>HYPERLINK("http://ts.21cn.com/tousu/show/id/1336648","高利贷恶意催收恐吓威胁")</f>
        <v>高利贷恶意催收恐吓威胁</v>
      </c>
      <c r="C5798" s="2" t="s">
        <v>9</v>
      </c>
      <c r="D5798" s="2" t="s">
        <v>10</v>
      </c>
      <c r="E5798" s="2" t="str">
        <f>HYPERLINK("http://ts.21cn.com/tousu/show/id/1336648","http://ts.21cn.com/tousu/show/id/1336648")</f>
        <v>http://ts.21cn.com/tousu/show/id/1336648</v>
      </c>
      <c r="F5798" s="2" t="s">
        <v>11</v>
      </c>
      <c r="G5798" s="2" t="s">
        <v>32756</v>
      </c>
      <c r="H5798" s="2" t="s">
        <v>32757</v>
      </c>
    </row>
    <row r="5799" spans="1:8" ht="25.05" customHeight="1" x14ac:dyDescent="0.25">
      <c r="A5799" s="2" t="s">
        <v>8</v>
      </c>
      <c r="B5799" s="2" t="str">
        <f>HYPERLINK("http://ts.21cn.com/tousu/show/id/1336649","打电话骚扰家人和朋友，还威胁家人，威胁我")</f>
        <v>打电话骚扰家人和朋友，还威胁家人，威胁我</v>
      </c>
      <c r="C5799" s="2" t="s">
        <v>9</v>
      </c>
      <c r="D5799" s="2" t="s">
        <v>10</v>
      </c>
      <c r="E5799" s="2" t="str">
        <f>HYPERLINK("http://ts.21cn.com/tousu/show/id/1336649","http://ts.21cn.com/tousu/show/id/1336649")</f>
        <v>http://ts.21cn.com/tousu/show/id/1336649</v>
      </c>
      <c r="F5799" s="2" t="s">
        <v>11</v>
      </c>
      <c r="G5799" s="2" t="s">
        <v>32754</v>
      </c>
      <c r="H5799" s="2" t="s">
        <v>32755</v>
      </c>
    </row>
    <row r="5800" spans="1:8" ht="25.05" customHeight="1" x14ac:dyDescent="0.25">
      <c r="A5800" s="2" t="s">
        <v>8</v>
      </c>
      <c r="B5800" s="2" t="str">
        <f>HYPERLINK("http://ts.21cn.com/tousu/show/id/1336650","海小葵严重骚扰，高利贷")</f>
        <v>海小葵严重骚扰，高利贷</v>
      </c>
      <c r="C5800" s="2" t="s">
        <v>9</v>
      </c>
      <c r="D5800" s="2" t="s">
        <v>10</v>
      </c>
      <c r="E5800" s="2" t="str">
        <f>HYPERLINK("http://ts.21cn.com/tousu/show/id/1336650","http://ts.21cn.com/tousu/show/id/1336650")</f>
        <v>http://ts.21cn.com/tousu/show/id/1336650</v>
      </c>
      <c r="F5800" s="2" t="s">
        <v>11</v>
      </c>
      <c r="G5800" s="2" t="s">
        <v>32752</v>
      </c>
      <c r="H5800" s="2" t="s">
        <v>32753</v>
      </c>
    </row>
    <row r="5801" spans="1:8" ht="25.05" customHeight="1" x14ac:dyDescent="0.25">
      <c r="A5801" s="2" t="s">
        <v>8</v>
      </c>
      <c r="B5801" s="2" t="str">
        <f>HYPERLINK("http://ts.21cn.com/tousu/show/id/1336651","要求购买会员，并未提供可借款平台。退款不予处理")</f>
        <v>要求购买会员，并未提供可借款平台。退款不予处理</v>
      </c>
      <c r="C5801" s="2" t="s">
        <v>9</v>
      </c>
      <c r="D5801" s="2" t="s">
        <v>10</v>
      </c>
      <c r="E5801" s="2" t="str">
        <f>HYPERLINK("http://ts.21cn.com/tousu/show/id/1336651","http://ts.21cn.com/tousu/show/id/1336651")</f>
        <v>http://ts.21cn.com/tousu/show/id/1336651</v>
      </c>
      <c r="F5801" s="2" t="s">
        <v>11</v>
      </c>
      <c r="G5801" s="2" t="s">
        <v>32750</v>
      </c>
      <c r="H5801" s="2" t="s">
        <v>32751</v>
      </c>
    </row>
    <row r="5802" spans="1:8" ht="25.05" customHeight="1" x14ac:dyDescent="0.25">
      <c r="A5802" s="2" t="s">
        <v>8</v>
      </c>
      <c r="B5802" s="2" t="str">
        <f>HYPERLINK("http://ts.21cn.com/tousu/show/id/1336652","平安I贷暴力催收")</f>
        <v>平安I贷暴力催收</v>
      </c>
      <c r="C5802" s="2" t="s">
        <v>9</v>
      </c>
      <c r="D5802" s="2" t="s">
        <v>10</v>
      </c>
      <c r="E5802" s="2" t="str">
        <f>HYPERLINK("http://ts.21cn.com/tousu/show/id/1336652","http://ts.21cn.com/tousu/show/id/1336652")</f>
        <v>http://ts.21cn.com/tousu/show/id/1336652</v>
      </c>
      <c r="F5802" s="2" t="s">
        <v>11</v>
      </c>
      <c r="G5802" s="2" t="s">
        <v>32747</v>
      </c>
      <c r="H5802" s="2" t="s">
        <v>32748</v>
      </c>
    </row>
    <row r="5803" spans="1:8" ht="25.05" customHeight="1" x14ac:dyDescent="0.25">
      <c r="A5803" s="2" t="s">
        <v>8</v>
      </c>
      <c r="B5803" s="2" t="str">
        <f>HYPERLINK("http://ts.21cn.com/tousu/show/id/1336653","捷信消费金融有限公司高利贷骚扰上门家里人")</f>
        <v>捷信消费金融有限公司高利贷骚扰上门家里人</v>
      </c>
      <c r="C5803" s="2" t="s">
        <v>9</v>
      </c>
      <c r="D5803" s="2" t="s">
        <v>10</v>
      </c>
      <c r="E5803" s="2" t="str">
        <f>HYPERLINK("http://ts.21cn.com/tousu/show/id/1336653","http://ts.21cn.com/tousu/show/id/1336653")</f>
        <v>http://ts.21cn.com/tousu/show/id/1336653</v>
      </c>
      <c r="F5803" s="2" t="s">
        <v>11</v>
      </c>
      <c r="G5803" s="2" t="s">
        <v>32747</v>
      </c>
      <c r="H5803" s="2" t="s">
        <v>32749</v>
      </c>
    </row>
    <row r="5804" spans="1:8" ht="25.05" customHeight="1" x14ac:dyDescent="0.25">
      <c r="A5804" s="2" t="s">
        <v>8</v>
      </c>
      <c r="B5804" s="2" t="str">
        <f>HYPERLINK("http://ts.21cn.com/tousu/show/id/1336654","易直播传递色情挑逗勾引内容")</f>
        <v>易直播传递色情挑逗勾引内容</v>
      </c>
      <c r="C5804" s="2" t="s">
        <v>34</v>
      </c>
      <c r="D5804" s="2" t="s">
        <v>10</v>
      </c>
      <c r="E5804" s="2" t="str">
        <f>HYPERLINK("http://ts.21cn.com/tousu/show/id/1336654","http://ts.21cn.com/tousu/show/id/1336654")</f>
        <v>http://ts.21cn.com/tousu/show/id/1336654</v>
      </c>
      <c r="F5804" s="2" t="s">
        <v>11</v>
      </c>
      <c r="G5804" s="2" t="s">
        <v>32745</v>
      </c>
      <c r="H5804" s="2" t="s">
        <v>32746</v>
      </c>
    </row>
    <row r="5805" spans="1:8" ht="25.05" customHeight="1" x14ac:dyDescent="0.25">
      <c r="A5805" s="2" t="s">
        <v>8</v>
      </c>
      <c r="B5805" s="2" t="str">
        <f>HYPERLINK("http://ts.21cn.com/tousu/show/id/1336657","你我贷暴力电话催收")</f>
        <v>你我贷暴力电话催收</v>
      </c>
      <c r="C5805" s="2" t="s">
        <v>9</v>
      </c>
      <c r="D5805" s="2" t="s">
        <v>10</v>
      </c>
      <c r="E5805" s="2" t="str">
        <f>HYPERLINK("http://ts.21cn.com/tousu/show/id/1336657","http://ts.21cn.com/tousu/show/id/1336657")</f>
        <v>http://ts.21cn.com/tousu/show/id/1336657</v>
      </c>
      <c r="F5805" s="2" t="s">
        <v>11</v>
      </c>
      <c r="G5805" s="2" t="s">
        <v>32743</v>
      </c>
      <c r="H5805" s="2" t="s">
        <v>32744</v>
      </c>
    </row>
    <row r="5806" spans="1:8" ht="25.05" customHeight="1" x14ac:dyDescent="0.25">
      <c r="A5806" s="2" t="s">
        <v>8</v>
      </c>
      <c r="B5806" s="2" t="str">
        <f>HYPERLINK("http://ts.21cn.com/tousu/show/id/1336656","乱扣信誉积分")</f>
        <v>乱扣信誉积分</v>
      </c>
      <c r="C5806" s="2" t="s">
        <v>9</v>
      </c>
      <c r="D5806" s="2" t="s">
        <v>10</v>
      </c>
      <c r="E5806" s="2" t="str">
        <f>HYPERLINK("http://ts.21cn.com/tousu/show/id/1336656","http://ts.21cn.com/tousu/show/id/1336656")</f>
        <v>http://ts.21cn.com/tousu/show/id/1336656</v>
      </c>
      <c r="F5806" s="2" t="s">
        <v>11</v>
      </c>
      <c r="G5806" s="2" t="s">
        <v>32741</v>
      </c>
      <c r="H5806" s="2" t="s">
        <v>32742</v>
      </c>
    </row>
    <row r="5807" spans="1:8" ht="25.05" customHeight="1" x14ac:dyDescent="0.25">
      <c r="A5807" s="2" t="s">
        <v>8</v>
      </c>
      <c r="B5807" s="2" t="str">
        <f>HYPERLINK("http://ts.21cn.com/tousu/show/id/1336658","暴力催收")</f>
        <v>暴力催收</v>
      </c>
      <c r="C5807" s="2" t="s">
        <v>9</v>
      </c>
      <c r="D5807" s="2" t="s">
        <v>10</v>
      </c>
      <c r="E5807" s="2" t="str">
        <f>HYPERLINK("http://ts.21cn.com/tousu/show/id/1336658","http://ts.21cn.com/tousu/show/id/1336658")</f>
        <v>http://ts.21cn.com/tousu/show/id/1336658</v>
      </c>
      <c r="F5807" s="2" t="s">
        <v>11</v>
      </c>
      <c r="G5807" s="2" t="s">
        <v>32739</v>
      </c>
      <c r="H5807" s="2" t="s">
        <v>32740</v>
      </c>
    </row>
    <row r="5808" spans="1:8" ht="25.05" customHeight="1" x14ac:dyDescent="0.25">
      <c r="A5808" s="2" t="s">
        <v>8</v>
      </c>
      <c r="B5808" s="2" t="str">
        <f>HYPERLINK("http://ts.21cn.com/tousu/show/id/1336659","暴力倾向语气恶力还叫我拿枪打死他老板好了")</f>
        <v>暴力倾向语气恶力还叫我拿枪打死他老板好了</v>
      </c>
      <c r="C5808" s="2" t="s">
        <v>9</v>
      </c>
      <c r="D5808" s="2" t="s">
        <v>10</v>
      </c>
      <c r="E5808" s="2" t="str">
        <f>HYPERLINK("http://ts.21cn.com/tousu/show/id/1336659","http://ts.21cn.com/tousu/show/id/1336659")</f>
        <v>http://ts.21cn.com/tousu/show/id/1336659</v>
      </c>
      <c r="F5808" s="2" t="s">
        <v>11</v>
      </c>
      <c r="G5808" s="2" t="s">
        <v>32737</v>
      </c>
      <c r="H5808" s="2" t="s">
        <v>32738</v>
      </c>
    </row>
    <row r="5809" spans="1:8" ht="25.05" customHeight="1" x14ac:dyDescent="0.25">
      <c r="A5809" s="2" t="s">
        <v>8</v>
      </c>
      <c r="B5809" s="2" t="str">
        <f>HYPERLINK("http://ts.21cn.com/tousu/show/id/1336660","天猫桑代旗舰店拒不履行合约不发货")</f>
        <v>天猫桑代旗舰店拒不履行合约不发货</v>
      </c>
      <c r="C5809" s="2" t="s">
        <v>9</v>
      </c>
      <c r="D5809" s="2" t="s">
        <v>10</v>
      </c>
      <c r="E5809" s="2" t="str">
        <f>HYPERLINK("http://ts.21cn.com/tousu/show/id/1336660","http://ts.21cn.com/tousu/show/id/1336660")</f>
        <v>http://ts.21cn.com/tousu/show/id/1336660</v>
      </c>
      <c r="F5809" s="2" t="s">
        <v>11</v>
      </c>
      <c r="G5809" s="2" t="s">
        <v>32735</v>
      </c>
      <c r="H5809" s="2" t="s">
        <v>32736</v>
      </c>
    </row>
    <row r="5810" spans="1:8" ht="25.05" customHeight="1" x14ac:dyDescent="0.25">
      <c r="A5810" s="2" t="s">
        <v>8</v>
      </c>
      <c r="B5810" s="2" t="str">
        <f>HYPERLINK("http://ts.21cn.com/tousu/show/id/1336662","闪银奇异高利贷砍头息催收")</f>
        <v>闪银奇异高利贷砍头息催收</v>
      </c>
      <c r="C5810" s="2" t="s">
        <v>9</v>
      </c>
      <c r="D5810" s="2" t="s">
        <v>10</v>
      </c>
      <c r="E5810" s="2" t="str">
        <f>HYPERLINK("http://ts.21cn.com/tousu/show/id/1336662","http://ts.21cn.com/tousu/show/id/1336662")</f>
        <v>http://ts.21cn.com/tousu/show/id/1336662</v>
      </c>
      <c r="F5810" s="2" t="s">
        <v>11</v>
      </c>
      <c r="G5810" s="2" t="s">
        <v>32733</v>
      </c>
      <c r="H5810" s="2" t="s">
        <v>32734</v>
      </c>
    </row>
    <row r="5811" spans="1:8" ht="25.05" customHeight="1" x14ac:dyDescent="0.25">
      <c r="A5811" s="2" t="s">
        <v>8</v>
      </c>
      <c r="B5811" s="2" t="str">
        <f>HYPERLINK("http://ts.21cn.com/tousu/show/id/1336663","没开卡就乱收年费")</f>
        <v>没开卡就乱收年费</v>
      </c>
      <c r="C5811" s="2" t="s">
        <v>9</v>
      </c>
      <c r="D5811" s="2" t="s">
        <v>10</v>
      </c>
      <c r="E5811" s="2" t="str">
        <f>HYPERLINK("http://ts.21cn.com/tousu/show/id/1336663","http://ts.21cn.com/tousu/show/id/1336663")</f>
        <v>http://ts.21cn.com/tousu/show/id/1336663</v>
      </c>
      <c r="F5811" s="2" t="s">
        <v>11</v>
      </c>
      <c r="G5811" s="2" t="s">
        <v>32731</v>
      </c>
      <c r="H5811" s="2" t="s">
        <v>32732</v>
      </c>
    </row>
    <row r="5812" spans="1:8" ht="25.05" customHeight="1" x14ac:dyDescent="0.25">
      <c r="A5812" s="2" t="s">
        <v>8</v>
      </c>
      <c r="B5812" s="2" t="str">
        <f>HYPERLINK("http://ts.21cn.com/tousu/show/id/1336632","闪银里的糯米白条强卖")</f>
        <v>闪银里的糯米白条强卖</v>
      </c>
      <c r="C5812" s="2" t="s">
        <v>9</v>
      </c>
      <c r="D5812" s="2" t="s">
        <v>10</v>
      </c>
      <c r="E5812" s="2" t="str">
        <f>HYPERLINK("http://ts.21cn.com/tousu/show/id/1336632","http://ts.21cn.com/tousu/show/id/1336632")</f>
        <v>http://ts.21cn.com/tousu/show/id/1336632</v>
      </c>
      <c r="F5812" s="2" t="s">
        <v>11</v>
      </c>
      <c r="G5812" s="2" t="s">
        <v>32729</v>
      </c>
      <c r="H5812" s="2" t="s">
        <v>32730</v>
      </c>
    </row>
    <row r="5813" spans="1:8" ht="25.05" customHeight="1" x14ac:dyDescent="0.25">
      <c r="A5813" s="2" t="s">
        <v>8</v>
      </c>
      <c r="B5813" s="2" t="str">
        <f>HYPERLINK("http://ts.21cn.com/tousu/show/id/1336664","你我贷暴力催收")</f>
        <v>你我贷暴力催收</v>
      </c>
      <c r="C5813" s="2" t="s">
        <v>9</v>
      </c>
      <c r="D5813" s="2" t="s">
        <v>10</v>
      </c>
      <c r="E5813" s="2" t="str">
        <f>HYPERLINK("http://ts.21cn.com/tousu/show/id/1336664","http://ts.21cn.com/tousu/show/id/1336664")</f>
        <v>http://ts.21cn.com/tousu/show/id/1336664</v>
      </c>
      <c r="F5813" s="2" t="s">
        <v>11</v>
      </c>
      <c r="G5813" s="2" t="s">
        <v>32727</v>
      </c>
      <c r="H5813" s="2" t="s">
        <v>32728</v>
      </c>
    </row>
    <row r="5814" spans="1:8" ht="25.05" customHeight="1" x14ac:dyDescent="0.25">
      <c r="A5814" s="2" t="s">
        <v>8</v>
      </c>
      <c r="B5814" s="2" t="str">
        <f>HYPERLINK("http://ts.21cn.com/tousu/show/id/1336665","下单之前未告知有费用提交申请之后才收费")</f>
        <v>下单之前未告知有费用提交申请之后才收费</v>
      </c>
      <c r="C5814" s="2" t="s">
        <v>9</v>
      </c>
      <c r="D5814" s="2" t="s">
        <v>10</v>
      </c>
      <c r="E5814" s="2" t="str">
        <f>HYPERLINK("http://ts.21cn.com/tousu/show/id/1336665","http://ts.21cn.com/tousu/show/id/1336665")</f>
        <v>http://ts.21cn.com/tousu/show/id/1336665</v>
      </c>
      <c r="F5814" s="2" t="s">
        <v>11</v>
      </c>
      <c r="G5814" s="2" t="s">
        <v>32725</v>
      </c>
      <c r="H5814" s="2" t="s">
        <v>32726</v>
      </c>
    </row>
    <row r="5815" spans="1:8" ht="25.05" customHeight="1" x14ac:dyDescent="0.25">
      <c r="A5815" s="2" t="s">
        <v>8</v>
      </c>
      <c r="B5815" s="2" t="str">
        <f>HYPERLINK("http://ts.21cn.com/tousu/show/id/1336666","小浦优客乱扣费")</f>
        <v>小浦优客乱扣费</v>
      </c>
      <c r="C5815" s="2" t="s">
        <v>9</v>
      </c>
      <c r="D5815" s="2" t="s">
        <v>10</v>
      </c>
      <c r="E5815" s="2" t="str">
        <f>HYPERLINK("http://ts.21cn.com/tousu/show/id/1336666","http://ts.21cn.com/tousu/show/id/1336666")</f>
        <v>http://ts.21cn.com/tousu/show/id/1336666</v>
      </c>
      <c r="F5815" s="2" t="s">
        <v>11</v>
      </c>
      <c r="G5815" s="2" t="s">
        <v>32723</v>
      </c>
      <c r="H5815" s="2" t="s">
        <v>32724</v>
      </c>
    </row>
    <row r="5816" spans="1:8" ht="25.05" customHeight="1" x14ac:dyDescent="0.25">
      <c r="A5816" s="2" t="s">
        <v>8</v>
      </c>
      <c r="B5816" s="2" t="str">
        <f>HYPERLINK("http://ts.21cn.com/tousu/show/id/1336667","账号注销困难")</f>
        <v>账号注销困难</v>
      </c>
      <c r="C5816" s="2" t="s">
        <v>9</v>
      </c>
      <c r="D5816" s="2" t="s">
        <v>10</v>
      </c>
      <c r="E5816" s="2" t="str">
        <f>HYPERLINK("http://ts.21cn.com/tousu/show/id/1336667","http://ts.21cn.com/tousu/show/id/1336667")</f>
        <v>http://ts.21cn.com/tousu/show/id/1336667</v>
      </c>
      <c r="F5816" s="2" t="s">
        <v>11</v>
      </c>
      <c r="G5816" s="2" t="s">
        <v>32721</v>
      </c>
      <c r="H5816" s="2" t="s">
        <v>32722</v>
      </c>
    </row>
    <row r="5817" spans="1:8" ht="25.05" customHeight="1" x14ac:dyDescent="0.25">
      <c r="A5817" s="2" t="s">
        <v>8</v>
      </c>
      <c r="B5817" s="2" t="str">
        <f>HYPERLINK("http://ts.21cn.com/tousu/show/id/1336668","拒绝协商")</f>
        <v>拒绝协商</v>
      </c>
      <c r="C5817" s="2" t="s">
        <v>9</v>
      </c>
      <c r="D5817" s="2" t="s">
        <v>10</v>
      </c>
      <c r="E5817" s="2" t="str">
        <f>HYPERLINK("http://ts.21cn.com/tousu/show/id/1336668","http://ts.21cn.com/tousu/show/id/1336668")</f>
        <v>http://ts.21cn.com/tousu/show/id/1336668</v>
      </c>
      <c r="F5817" s="2" t="s">
        <v>11</v>
      </c>
      <c r="G5817" s="2" t="s">
        <v>32719</v>
      </c>
      <c r="H5817" s="2" t="s">
        <v>32720</v>
      </c>
    </row>
    <row r="5818" spans="1:8" ht="25.05" customHeight="1" x14ac:dyDescent="0.25">
      <c r="A5818" s="2" t="s">
        <v>8</v>
      </c>
      <c r="B5818" s="2" t="str">
        <f>HYPERLINK("http://ts.21cn.com/tousu/show/id/1336669","爱农驿站、开境外非法赌博")</f>
        <v>爱农驿站、开境外非法赌博</v>
      </c>
      <c r="C5818" s="2" t="s">
        <v>9</v>
      </c>
      <c r="D5818" s="2" t="s">
        <v>10</v>
      </c>
      <c r="E5818" s="2" t="str">
        <f>HYPERLINK("http://ts.21cn.com/tousu/show/id/1336669","http://ts.21cn.com/tousu/show/id/1336669")</f>
        <v>http://ts.21cn.com/tousu/show/id/1336669</v>
      </c>
      <c r="F5818" s="2" t="s">
        <v>11</v>
      </c>
      <c r="G5818" s="2" t="s">
        <v>32717</v>
      </c>
      <c r="H5818" s="2" t="s">
        <v>32718</v>
      </c>
    </row>
    <row r="5819" spans="1:8" ht="25.05" customHeight="1" x14ac:dyDescent="0.25">
      <c r="A5819" s="2" t="s">
        <v>8</v>
      </c>
      <c r="B5819" s="2" t="str">
        <f>HYPERLINK("http://ts.21cn.com/tousu/show/id/1336670","套路贷")</f>
        <v>套路贷</v>
      </c>
      <c r="C5819" s="2" t="s">
        <v>9</v>
      </c>
      <c r="D5819" s="2" t="s">
        <v>10</v>
      </c>
      <c r="E5819" s="2" t="str">
        <f>HYPERLINK("http://ts.21cn.com/tousu/show/id/1336670","http://ts.21cn.com/tousu/show/id/1336670")</f>
        <v>http://ts.21cn.com/tousu/show/id/1336670</v>
      </c>
      <c r="F5819" s="2" t="s">
        <v>11</v>
      </c>
      <c r="G5819" s="2" t="s">
        <v>32715</v>
      </c>
      <c r="H5819" s="2" t="s">
        <v>32716</v>
      </c>
    </row>
    <row r="5820" spans="1:8" ht="25.05" customHeight="1" x14ac:dyDescent="0.25">
      <c r="A5820" s="2" t="s">
        <v>8</v>
      </c>
      <c r="B5820" s="2" t="str">
        <f>HYPERLINK("http://ts.21cn.com/tousu/show/id/1336671","同城艺龙购票退票手续费")</f>
        <v>同城艺龙购票退票手续费</v>
      </c>
      <c r="C5820" s="2" t="s">
        <v>9</v>
      </c>
      <c r="D5820" s="2" t="s">
        <v>10</v>
      </c>
      <c r="E5820" s="2" t="str">
        <f>HYPERLINK("http://ts.21cn.com/tousu/show/id/1336671","http://ts.21cn.com/tousu/show/id/1336671")</f>
        <v>http://ts.21cn.com/tousu/show/id/1336671</v>
      </c>
      <c r="F5820" s="2" t="s">
        <v>11</v>
      </c>
      <c r="G5820" s="2" t="s">
        <v>32713</v>
      </c>
      <c r="H5820" s="2" t="s">
        <v>32714</v>
      </c>
    </row>
    <row r="5821" spans="1:8" ht="25.05" customHeight="1" x14ac:dyDescent="0.25">
      <c r="A5821" s="2" t="s">
        <v>8</v>
      </c>
      <c r="B5821" s="2" t="str">
        <f>HYPERLINK("http://ts.21cn.com/tousu/show/id/1336672","物流速度太慢")</f>
        <v>物流速度太慢</v>
      </c>
      <c r="C5821" s="2" t="s">
        <v>9</v>
      </c>
      <c r="D5821" s="2" t="s">
        <v>10</v>
      </c>
      <c r="E5821" s="2" t="str">
        <f>HYPERLINK("http://ts.21cn.com/tousu/show/id/1336672","http://ts.21cn.com/tousu/show/id/1336672")</f>
        <v>http://ts.21cn.com/tousu/show/id/1336672</v>
      </c>
      <c r="F5821" s="2" t="s">
        <v>11</v>
      </c>
      <c r="G5821" s="2" t="s">
        <v>32711</v>
      </c>
      <c r="H5821" s="2" t="s">
        <v>32712</v>
      </c>
    </row>
    <row r="5822" spans="1:8" ht="25.05" customHeight="1" x14ac:dyDescent="0.25">
      <c r="A5822" s="2" t="s">
        <v>8</v>
      </c>
      <c r="B5822" s="2" t="str">
        <f>HYPERLINK("http://ts.21cn.com/tousu/show/id/1336673","来这分期")</f>
        <v>来这分期</v>
      </c>
      <c r="C5822" s="2" t="s">
        <v>9</v>
      </c>
      <c r="D5822" s="2" t="s">
        <v>10</v>
      </c>
      <c r="E5822" s="2" t="str">
        <f>HYPERLINK("http://ts.21cn.com/tousu/show/id/1336673","http://ts.21cn.com/tousu/show/id/1336673")</f>
        <v>http://ts.21cn.com/tousu/show/id/1336673</v>
      </c>
      <c r="F5822" s="2" t="s">
        <v>11</v>
      </c>
      <c r="G5822" s="2" t="s">
        <v>32709</v>
      </c>
      <c r="H5822" s="2" t="s">
        <v>32710</v>
      </c>
    </row>
    <row r="5823" spans="1:8" ht="25.05" customHeight="1" x14ac:dyDescent="0.25">
      <c r="A5823" s="2" t="s">
        <v>8</v>
      </c>
      <c r="B5823" s="2" t="str">
        <f>HYPERLINK("http://ts.21cn.com/tousu/show/id/1336675","花转转樱桃小借超级高利贷")</f>
        <v>花转转樱桃小借超级高利贷</v>
      </c>
      <c r="C5823" s="2" t="s">
        <v>9</v>
      </c>
      <c r="D5823" s="2" t="s">
        <v>10</v>
      </c>
      <c r="E5823" s="2" t="str">
        <f>HYPERLINK("http://ts.21cn.com/tousu/show/id/1336675","http://ts.21cn.com/tousu/show/id/1336675")</f>
        <v>http://ts.21cn.com/tousu/show/id/1336675</v>
      </c>
      <c r="F5823" s="2" t="s">
        <v>11</v>
      </c>
      <c r="G5823" s="2" t="s">
        <v>32707</v>
      </c>
      <c r="H5823" s="2" t="s">
        <v>32708</v>
      </c>
    </row>
    <row r="5824" spans="1:8" ht="25.05" customHeight="1" x14ac:dyDescent="0.25">
      <c r="A5824" s="2" t="s">
        <v>8</v>
      </c>
      <c r="B5824" s="2" t="str">
        <f>HYPERLINK("http://ts.21cn.com/tousu/show/id/1336676","萌萌钱包套路贷")</f>
        <v>萌萌钱包套路贷</v>
      </c>
      <c r="C5824" s="2" t="s">
        <v>9</v>
      </c>
      <c r="D5824" s="2" t="s">
        <v>10</v>
      </c>
      <c r="E5824" s="2" t="str">
        <f>HYPERLINK("http://ts.21cn.com/tousu/show/id/1336676","http://ts.21cn.com/tousu/show/id/1336676")</f>
        <v>http://ts.21cn.com/tousu/show/id/1336676</v>
      </c>
      <c r="F5824" s="2" t="s">
        <v>11</v>
      </c>
      <c r="G5824" s="2" t="s">
        <v>32705</v>
      </c>
      <c r="H5824" s="2" t="s">
        <v>32706</v>
      </c>
    </row>
    <row r="5825" spans="1:8" ht="25.05" customHeight="1" x14ac:dyDescent="0.25">
      <c r="A5825" s="2" t="s">
        <v>8</v>
      </c>
      <c r="B5825" s="2" t="str">
        <f>HYPERLINK("http://ts.21cn.com/tousu/show/id/1336677","被禁止发布商品")</f>
        <v>被禁止发布商品</v>
      </c>
      <c r="C5825" s="2" t="s">
        <v>9</v>
      </c>
      <c r="D5825" s="2" t="s">
        <v>10</v>
      </c>
      <c r="E5825" s="2" t="str">
        <f>HYPERLINK("http://ts.21cn.com/tousu/show/id/1336677","http://ts.21cn.com/tousu/show/id/1336677")</f>
        <v>http://ts.21cn.com/tousu/show/id/1336677</v>
      </c>
      <c r="F5825" s="2" t="s">
        <v>11</v>
      </c>
      <c r="G5825" s="2" t="s">
        <v>32703</v>
      </c>
      <c r="H5825" s="2" t="s">
        <v>32704</v>
      </c>
    </row>
    <row r="5826" spans="1:8" ht="25.05" customHeight="1" x14ac:dyDescent="0.25">
      <c r="A5826" s="2" t="s">
        <v>8</v>
      </c>
      <c r="B5826" s="2" t="str">
        <f>HYPERLINK("http://ts.21cn.com/tousu/show/id/1336678","拍拍贷恐吓老人")</f>
        <v>拍拍贷恐吓老人</v>
      </c>
      <c r="C5826" s="2" t="s">
        <v>9</v>
      </c>
      <c r="D5826" s="2" t="s">
        <v>10</v>
      </c>
      <c r="E5826" s="2" t="str">
        <f>HYPERLINK("http://ts.21cn.com/tousu/show/id/1336678","http://ts.21cn.com/tousu/show/id/1336678")</f>
        <v>http://ts.21cn.com/tousu/show/id/1336678</v>
      </c>
      <c r="F5826" s="2" t="s">
        <v>11</v>
      </c>
      <c r="G5826" s="2" t="s">
        <v>32701</v>
      </c>
      <c r="H5826" s="2" t="s">
        <v>32702</v>
      </c>
    </row>
    <row r="5827" spans="1:8" ht="25.05" customHeight="1" x14ac:dyDescent="0.25">
      <c r="A5827" s="2" t="s">
        <v>8</v>
      </c>
      <c r="B5827" s="2" t="str">
        <f>HYPERLINK("http://ts.21cn.com/tousu/show/id/1336679","利率高于规定的年化率百分之二十四")</f>
        <v>利率高于规定的年化率百分之二十四</v>
      </c>
      <c r="C5827" s="2" t="s">
        <v>34</v>
      </c>
      <c r="D5827" s="2" t="s">
        <v>10</v>
      </c>
      <c r="E5827" s="2" t="str">
        <f>HYPERLINK("http://ts.21cn.com/tousu/show/id/1336679","http://ts.21cn.com/tousu/show/id/1336679")</f>
        <v>http://ts.21cn.com/tousu/show/id/1336679</v>
      </c>
      <c r="F5827" s="2" t="s">
        <v>11</v>
      </c>
      <c r="G5827" s="2" t="s">
        <v>32699</v>
      </c>
      <c r="H5827" s="2" t="s">
        <v>32700</v>
      </c>
    </row>
    <row r="5828" spans="1:8" ht="25.05" customHeight="1" x14ac:dyDescent="0.25">
      <c r="A5828" s="2" t="s">
        <v>8</v>
      </c>
      <c r="B5828" s="2" t="str">
        <f>HYPERLINK("http://ts.21cn.com/tousu/show/id/1336680","百事普惠恶意扣款299元")</f>
        <v>百事普惠恶意扣款299元</v>
      </c>
      <c r="C5828" s="2" t="s">
        <v>9</v>
      </c>
      <c r="D5828" s="2" t="s">
        <v>10</v>
      </c>
      <c r="E5828" s="2" t="str">
        <f>HYPERLINK("http://ts.21cn.com/tousu/show/id/1336680","http://ts.21cn.com/tousu/show/id/1336680")</f>
        <v>http://ts.21cn.com/tousu/show/id/1336680</v>
      </c>
      <c r="F5828" s="2" t="s">
        <v>11</v>
      </c>
      <c r="G5828" s="2" t="s">
        <v>32697</v>
      </c>
      <c r="H5828" s="2" t="s">
        <v>32698</v>
      </c>
    </row>
    <row r="5829" spans="1:8" ht="25.05" customHeight="1" x14ac:dyDescent="0.25">
      <c r="A5829" s="2" t="s">
        <v>8</v>
      </c>
      <c r="B5829" s="2" t="str">
        <f>HYPERLINK("http://ts.21cn.com/tousu/show/id/1336681","被恶意仲裁交易猫客服不理人")</f>
        <v>被恶意仲裁交易猫客服不理人</v>
      </c>
      <c r="C5829" s="2" t="s">
        <v>9</v>
      </c>
      <c r="D5829" s="2" t="s">
        <v>10</v>
      </c>
      <c r="E5829" s="2" t="str">
        <f>HYPERLINK("http://ts.21cn.com/tousu/show/id/1336681","http://ts.21cn.com/tousu/show/id/1336681")</f>
        <v>http://ts.21cn.com/tousu/show/id/1336681</v>
      </c>
      <c r="F5829" s="2" t="s">
        <v>11</v>
      </c>
      <c r="G5829" s="2" t="s">
        <v>32695</v>
      </c>
      <c r="H5829" s="2" t="s">
        <v>32696</v>
      </c>
    </row>
    <row r="5830" spans="1:8" ht="25.05" customHeight="1" x14ac:dyDescent="0.25">
      <c r="A5830" s="2" t="s">
        <v>8</v>
      </c>
      <c r="B5830" s="2" t="str">
        <f>HYPERLINK("http://ts.21cn.com/tousu/show/id/1336682","滴滴出行派单较少")</f>
        <v>滴滴出行派单较少</v>
      </c>
      <c r="C5830" s="2" t="s">
        <v>34</v>
      </c>
      <c r="D5830" s="2" t="s">
        <v>10</v>
      </c>
      <c r="E5830" s="2" t="str">
        <f>HYPERLINK("http://ts.21cn.com/tousu/show/id/1336682","http://ts.21cn.com/tousu/show/id/1336682")</f>
        <v>http://ts.21cn.com/tousu/show/id/1336682</v>
      </c>
      <c r="F5830" s="2" t="s">
        <v>11</v>
      </c>
      <c r="G5830" s="2" t="s">
        <v>32693</v>
      </c>
      <c r="H5830" s="2" t="s">
        <v>32694</v>
      </c>
    </row>
    <row r="5831" spans="1:8" ht="25.05" customHeight="1" x14ac:dyDescent="0.25">
      <c r="A5831" s="2" t="s">
        <v>8</v>
      </c>
      <c r="B5831" s="2" t="str">
        <f>HYPERLINK("http://ts.21cn.com/tousu/show/id/1336683","骚扰威胁恐吓")</f>
        <v>骚扰威胁恐吓</v>
      </c>
      <c r="C5831" s="2" t="s">
        <v>9</v>
      </c>
      <c r="D5831" s="2" t="s">
        <v>10</v>
      </c>
      <c r="E5831" s="2" t="str">
        <f>HYPERLINK("http://ts.21cn.com/tousu/show/id/1336683","http://ts.21cn.com/tousu/show/id/1336683")</f>
        <v>http://ts.21cn.com/tousu/show/id/1336683</v>
      </c>
      <c r="F5831" s="2" t="s">
        <v>11</v>
      </c>
      <c r="G5831" s="2" t="s">
        <v>32691</v>
      </c>
      <c r="H5831" s="2" t="s">
        <v>32692</v>
      </c>
    </row>
    <row r="5832" spans="1:8" ht="25.05" customHeight="1" x14ac:dyDescent="0.25">
      <c r="A5832" s="2" t="s">
        <v>8</v>
      </c>
      <c r="B5832" s="2" t="str">
        <f>HYPERLINK("http://ts.21cn.com/tousu/show/id/1336684","延期几天时间")</f>
        <v>延期几天时间</v>
      </c>
      <c r="C5832" s="2" t="s">
        <v>9</v>
      </c>
      <c r="D5832" s="2" t="s">
        <v>10</v>
      </c>
      <c r="E5832" s="2" t="str">
        <f>HYPERLINK("http://ts.21cn.com/tousu/show/id/1336684","http://ts.21cn.com/tousu/show/id/1336684")</f>
        <v>http://ts.21cn.com/tousu/show/id/1336684</v>
      </c>
      <c r="F5832" s="2" t="s">
        <v>11</v>
      </c>
      <c r="G5832" s="2" t="s">
        <v>32689</v>
      </c>
      <c r="H5832" s="2" t="s">
        <v>32690</v>
      </c>
    </row>
    <row r="5833" spans="1:8" ht="25.05" customHeight="1" x14ac:dyDescent="0.25">
      <c r="A5833" s="2" t="s">
        <v>8</v>
      </c>
      <c r="B5833" s="2" t="str">
        <f>HYPERLINK("http://ts.21cn.com/tousu/show/id/1336685","接不到单")</f>
        <v>接不到单</v>
      </c>
      <c r="C5833" s="2" t="s">
        <v>34</v>
      </c>
      <c r="D5833" s="2" t="s">
        <v>10</v>
      </c>
      <c r="E5833" s="2" t="str">
        <f>HYPERLINK("http://ts.21cn.com/tousu/show/id/1336685","http://ts.21cn.com/tousu/show/id/1336685")</f>
        <v>http://ts.21cn.com/tousu/show/id/1336685</v>
      </c>
      <c r="F5833" s="2" t="s">
        <v>11</v>
      </c>
      <c r="G5833" s="2" t="s">
        <v>32687</v>
      </c>
      <c r="H5833" s="2" t="s">
        <v>32688</v>
      </c>
    </row>
    <row r="5834" spans="1:8" ht="25.05" customHeight="1" x14ac:dyDescent="0.25">
      <c r="A5834" s="2" t="s">
        <v>8</v>
      </c>
      <c r="B5834" s="2" t="str">
        <f>HYPERLINK("http://ts.21cn.com/tousu/show/id/1336687","达飞云贷打亲戚朋友恶意催收骚扰暴力")</f>
        <v>达飞云贷打亲戚朋友恶意催收骚扰暴力</v>
      </c>
      <c r="C5834" s="2" t="s">
        <v>9</v>
      </c>
      <c r="D5834" s="2" t="s">
        <v>10</v>
      </c>
      <c r="E5834" s="2" t="str">
        <f>HYPERLINK("http://ts.21cn.com/tousu/show/id/1336687","http://ts.21cn.com/tousu/show/id/1336687")</f>
        <v>http://ts.21cn.com/tousu/show/id/1336687</v>
      </c>
      <c r="F5834" s="2" t="s">
        <v>11</v>
      </c>
      <c r="G5834" s="2" t="s">
        <v>32685</v>
      </c>
      <c r="H5834" s="2" t="s">
        <v>32686</v>
      </c>
    </row>
    <row r="5835" spans="1:8" ht="25.05" customHeight="1" x14ac:dyDescent="0.25">
      <c r="A5835" s="2" t="s">
        <v>8</v>
      </c>
      <c r="B5835" s="2" t="str">
        <f>HYPERLINK("http://ts.21cn.com/tousu/show/id/1336689","手机分期还两期没还了过了一个月又变成三期没还")</f>
        <v>手机分期还两期没还了过了一个月又变成三期没还</v>
      </c>
      <c r="C5835" s="2" t="s">
        <v>34</v>
      </c>
      <c r="D5835" s="2" t="s">
        <v>10</v>
      </c>
      <c r="E5835" s="2" t="str">
        <f>HYPERLINK("http://ts.21cn.com/tousu/show/id/1336689","http://ts.21cn.com/tousu/show/id/1336689")</f>
        <v>http://ts.21cn.com/tousu/show/id/1336689</v>
      </c>
      <c r="F5835" s="2" t="s">
        <v>11</v>
      </c>
      <c r="G5835" s="2" t="s">
        <v>32683</v>
      </c>
      <c r="H5835" s="2" t="s">
        <v>32684</v>
      </c>
    </row>
    <row r="5836" spans="1:8" ht="25.05" customHeight="1" x14ac:dyDescent="0.25">
      <c r="A5836" s="2" t="s">
        <v>8</v>
      </c>
      <c r="B5836" s="2" t="str">
        <f>HYPERLINK("http://ts.21cn.com/tousu/show/id/1336690","豹子贷无故扣钱不需要还要扣")</f>
        <v>豹子贷无故扣钱不需要还要扣</v>
      </c>
      <c r="C5836" s="2" t="s">
        <v>9</v>
      </c>
      <c r="D5836" s="2" t="s">
        <v>10</v>
      </c>
      <c r="E5836" s="2" t="str">
        <f>HYPERLINK("http://ts.21cn.com/tousu/show/id/1336690","http://ts.21cn.com/tousu/show/id/1336690")</f>
        <v>http://ts.21cn.com/tousu/show/id/1336690</v>
      </c>
      <c r="F5836" s="2" t="s">
        <v>11</v>
      </c>
      <c r="G5836" s="2" t="s">
        <v>32681</v>
      </c>
      <c r="H5836" s="2" t="s">
        <v>32682</v>
      </c>
    </row>
    <row r="5837" spans="1:8" ht="25.05" customHeight="1" x14ac:dyDescent="0.25">
      <c r="A5837" s="2" t="s">
        <v>8</v>
      </c>
      <c r="B5837" s="2" t="str">
        <f>HYPERLINK("http://ts.21cn.com/tousu/show/id/1336691","还款有纠纷协商解决")</f>
        <v>还款有纠纷协商解决</v>
      </c>
      <c r="C5837" s="2" t="s">
        <v>34</v>
      </c>
      <c r="D5837" s="2" t="s">
        <v>10</v>
      </c>
      <c r="E5837" s="2" t="str">
        <f>HYPERLINK("http://ts.21cn.com/tousu/show/id/1336691","http://ts.21cn.com/tousu/show/id/1336691")</f>
        <v>http://ts.21cn.com/tousu/show/id/1336691</v>
      </c>
      <c r="F5837" s="2" t="s">
        <v>11</v>
      </c>
      <c r="G5837" s="2" t="s">
        <v>32679</v>
      </c>
      <c r="H5837" s="2" t="s">
        <v>32680</v>
      </c>
    </row>
    <row r="5838" spans="1:8" ht="25.05" customHeight="1" x14ac:dyDescent="0.25">
      <c r="A5838" s="2" t="s">
        <v>8</v>
      </c>
      <c r="B5838" s="2" t="str">
        <f>HYPERLINK("http://ts.21cn.com/tousu/show/id/1336692","小浦优客未经同意扣款")</f>
        <v>小浦优客未经同意扣款</v>
      </c>
      <c r="C5838" s="2" t="s">
        <v>9</v>
      </c>
      <c r="D5838" s="2" t="s">
        <v>10</v>
      </c>
      <c r="E5838" s="2" t="str">
        <f>HYPERLINK("http://ts.21cn.com/tousu/show/id/1336692","http://ts.21cn.com/tousu/show/id/1336692")</f>
        <v>http://ts.21cn.com/tousu/show/id/1336692</v>
      </c>
      <c r="F5838" s="2" t="s">
        <v>11</v>
      </c>
      <c r="G5838" s="2" t="s">
        <v>32677</v>
      </c>
      <c r="H5838" s="2" t="s">
        <v>32678</v>
      </c>
    </row>
    <row r="5839" spans="1:8" ht="25.05" customHeight="1" x14ac:dyDescent="0.25">
      <c r="A5839" s="2" t="s">
        <v>8</v>
      </c>
      <c r="B5839" s="2" t="str">
        <f>HYPERLINK("http://ts.21cn.com/tousu/show/id/1336693","报我通讯录让我和我朋友不和")</f>
        <v>报我通讯录让我和我朋友不和</v>
      </c>
      <c r="C5839" s="2" t="s">
        <v>34</v>
      </c>
      <c r="D5839" s="2" t="s">
        <v>10</v>
      </c>
      <c r="E5839" s="2" t="str">
        <f>HYPERLINK("http://ts.21cn.com/tousu/show/id/1336693","http://ts.21cn.com/tousu/show/id/1336693")</f>
        <v>http://ts.21cn.com/tousu/show/id/1336693</v>
      </c>
      <c r="F5839" s="2" t="s">
        <v>11</v>
      </c>
      <c r="G5839" s="2" t="s">
        <v>32676</v>
      </c>
      <c r="H5839" s="2" t="s">
        <v>21837</v>
      </c>
    </row>
    <row r="5840" spans="1:8" ht="25.05" customHeight="1" x14ac:dyDescent="0.25">
      <c r="A5840" s="2" t="s">
        <v>8</v>
      </c>
      <c r="B5840" s="2" t="str">
        <f>HYPERLINK("http://ts.21cn.com/tousu/show/id/1336694","广发没通知降低不能分期")</f>
        <v>广发没通知降低不能分期</v>
      </c>
      <c r="C5840" s="2" t="s">
        <v>9</v>
      </c>
      <c r="D5840" s="2" t="s">
        <v>10</v>
      </c>
      <c r="E5840" s="2" t="str">
        <f>HYPERLINK("http://ts.21cn.com/tousu/show/id/1336694","http://ts.21cn.com/tousu/show/id/1336694")</f>
        <v>http://ts.21cn.com/tousu/show/id/1336694</v>
      </c>
      <c r="F5840" s="2" t="s">
        <v>11</v>
      </c>
      <c r="G5840" s="2" t="s">
        <v>32674</v>
      </c>
      <c r="H5840" s="2" t="s">
        <v>32675</v>
      </c>
    </row>
    <row r="5841" spans="1:8" ht="25.05" customHeight="1" x14ac:dyDescent="0.25">
      <c r="A5841" s="2" t="s">
        <v>8</v>
      </c>
      <c r="B5841" s="2" t="str">
        <f>HYPERLINK("http://ts.21cn.com/tousu/show/id/1336695","及贷借款被拒，承诺时间内保费依然没退回")</f>
        <v>及贷借款被拒，承诺时间内保费依然没退回</v>
      </c>
      <c r="C5841" s="2" t="s">
        <v>34</v>
      </c>
      <c r="D5841" s="2" t="s">
        <v>10</v>
      </c>
      <c r="E5841" s="2" t="str">
        <f>HYPERLINK("http://ts.21cn.com/tousu/show/id/1336695","http://ts.21cn.com/tousu/show/id/1336695")</f>
        <v>http://ts.21cn.com/tousu/show/id/1336695</v>
      </c>
      <c r="F5841" s="2" t="s">
        <v>11</v>
      </c>
      <c r="G5841" s="2" t="s">
        <v>32672</v>
      </c>
      <c r="H5841" s="2" t="s">
        <v>32673</v>
      </c>
    </row>
    <row r="5842" spans="1:8" ht="25.05" customHeight="1" x14ac:dyDescent="0.25">
      <c r="A5842" s="2" t="s">
        <v>8</v>
      </c>
      <c r="B5842" s="2" t="str">
        <f>HYPERLINK("http://ts.21cn.com/tousu/show/id/1336696","滴滴客服不作为，判责申诉不合理")</f>
        <v>滴滴客服不作为，判责申诉不合理</v>
      </c>
      <c r="C5842" s="2" t="s">
        <v>9</v>
      </c>
      <c r="D5842" s="2" t="s">
        <v>10</v>
      </c>
      <c r="E5842" s="2" t="str">
        <f>HYPERLINK("http://ts.21cn.com/tousu/show/id/1336696","http://ts.21cn.com/tousu/show/id/1336696")</f>
        <v>http://ts.21cn.com/tousu/show/id/1336696</v>
      </c>
      <c r="F5842" s="2" t="s">
        <v>11</v>
      </c>
      <c r="G5842" s="2" t="s">
        <v>32670</v>
      </c>
      <c r="H5842" s="2" t="s">
        <v>32671</v>
      </c>
    </row>
    <row r="5843" spans="1:8" ht="25.05" customHeight="1" x14ac:dyDescent="0.25">
      <c r="A5843" s="2" t="s">
        <v>8</v>
      </c>
      <c r="B5843" s="2" t="str">
        <f>HYPERLINK("http://ts.21cn.com/tousu/show/id/1336697","玖富叮当高利贷，暴力催收，合同欺诈")</f>
        <v>玖富叮当高利贷，暴力催收，合同欺诈</v>
      </c>
      <c r="C5843" s="2" t="s">
        <v>9</v>
      </c>
      <c r="D5843" s="2" t="s">
        <v>10</v>
      </c>
      <c r="E5843" s="2" t="str">
        <f>HYPERLINK("http://ts.21cn.com/tousu/show/id/1336697","http://ts.21cn.com/tousu/show/id/1336697")</f>
        <v>http://ts.21cn.com/tousu/show/id/1336697</v>
      </c>
      <c r="F5843" s="2" t="s">
        <v>11</v>
      </c>
      <c r="G5843" s="2" t="s">
        <v>32668</v>
      </c>
      <c r="H5843" s="2" t="s">
        <v>32669</v>
      </c>
    </row>
    <row r="5844" spans="1:8" ht="25.05" customHeight="1" x14ac:dyDescent="0.25">
      <c r="A5844" s="2" t="s">
        <v>8</v>
      </c>
      <c r="B5844" s="2" t="str">
        <f>HYPERLINK("http://ts.21cn.com/tousu/show/id/1336698","分期通恶意收取会员费用")</f>
        <v>分期通恶意收取会员费用</v>
      </c>
      <c r="C5844" s="2" t="s">
        <v>9</v>
      </c>
      <c r="D5844" s="2" t="s">
        <v>10</v>
      </c>
      <c r="E5844" s="2" t="str">
        <f>HYPERLINK("http://ts.21cn.com/tousu/show/id/1336698","http://ts.21cn.com/tousu/show/id/1336698")</f>
        <v>http://ts.21cn.com/tousu/show/id/1336698</v>
      </c>
      <c r="F5844" s="2" t="s">
        <v>11</v>
      </c>
      <c r="G5844" s="2" t="s">
        <v>32666</v>
      </c>
      <c r="H5844" s="2" t="s">
        <v>32667</v>
      </c>
    </row>
    <row r="5845" spans="1:8" ht="25.05" customHeight="1" x14ac:dyDescent="0.25">
      <c r="A5845" s="2" t="s">
        <v>8</v>
      </c>
      <c r="B5845" s="2" t="str">
        <f>HYPERLINK("http://ts.21cn.com/tousu/show/id/1336699","安逸花单方面擅自终止合同，锁定账户几年")</f>
        <v>安逸花单方面擅自终止合同，锁定账户几年</v>
      </c>
      <c r="C5845" s="2" t="s">
        <v>9</v>
      </c>
      <c r="D5845" s="2" t="s">
        <v>10</v>
      </c>
      <c r="E5845" s="2" t="str">
        <f>HYPERLINK("http://ts.21cn.com/tousu/show/id/1336699","http://ts.21cn.com/tousu/show/id/1336699")</f>
        <v>http://ts.21cn.com/tousu/show/id/1336699</v>
      </c>
      <c r="F5845" s="2" t="s">
        <v>11</v>
      </c>
      <c r="G5845" s="2" t="s">
        <v>32664</v>
      </c>
      <c r="H5845" s="2" t="s">
        <v>32665</v>
      </c>
    </row>
    <row r="5846" spans="1:8" ht="25.05" customHeight="1" x14ac:dyDescent="0.25">
      <c r="A5846" s="2" t="s">
        <v>8</v>
      </c>
      <c r="B5846" s="2" t="str">
        <f>HYPERLINK("http://ts.21cn.com/tousu/show/id/1336688","苏宁易购网购电视屏幕破损")</f>
        <v>苏宁易购网购电视屏幕破损</v>
      </c>
      <c r="C5846" s="2" t="s">
        <v>9</v>
      </c>
      <c r="D5846" s="2" t="s">
        <v>10</v>
      </c>
      <c r="E5846" s="2" t="str">
        <f>HYPERLINK("http://ts.21cn.com/tousu/show/id/1336688","http://ts.21cn.com/tousu/show/id/1336688")</f>
        <v>http://ts.21cn.com/tousu/show/id/1336688</v>
      </c>
      <c r="F5846" s="2" t="s">
        <v>11</v>
      </c>
      <c r="G5846" s="2" t="s">
        <v>32662</v>
      </c>
      <c r="H5846" s="2" t="s">
        <v>32663</v>
      </c>
    </row>
    <row r="5847" spans="1:8" ht="25.05" customHeight="1" x14ac:dyDescent="0.25">
      <c r="A5847" s="2" t="s">
        <v>8</v>
      </c>
      <c r="B5847" s="2" t="str">
        <f>HYPERLINK("http://ts.21cn.com/tousu/show/id/1336700","投诉现金巴士砍头息")</f>
        <v>投诉现金巴士砍头息</v>
      </c>
      <c r="C5847" s="2" t="s">
        <v>34</v>
      </c>
      <c r="D5847" s="2" t="s">
        <v>10</v>
      </c>
      <c r="E5847" s="2" t="str">
        <f>HYPERLINK("http://ts.21cn.com/tousu/show/id/1336700","http://ts.21cn.com/tousu/show/id/1336700")</f>
        <v>http://ts.21cn.com/tousu/show/id/1336700</v>
      </c>
      <c r="F5847" s="2" t="s">
        <v>11</v>
      </c>
      <c r="G5847" s="2" t="s">
        <v>32660</v>
      </c>
      <c r="H5847" s="2" t="s">
        <v>32661</v>
      </c>
    </row>
    <row r="5848" spans="1:8" ht="25.05" customHeight="1" x14ac:dyDescent="0.25">
      <c r="A5848" s="2" t="s">
        <v>8</v>
      </c>
      <c r="B5848" s="2" t="str">
        <f>HYPERLINK("http://ts.21cn.com/tousu/show/id/1336701","应急白卡")</f>
        <v>应急白卡</v>
      </c>
      <c r="C5848" s="2" t="s">
        <v>9</v>
      </c>
      <c r="D5848" s="2" t="s">
        <v>10</v>
      </c>
      <c r="E5848" s="2" t="str">
        <f>HYPERLINK("http://ts.21cn.com/tousu/show/id/1336701","http://ts.21cn.com/tousu/show/id/1336701")</f>
        <v>http://ts.21cn.com/tousu/show/id/1336701</v>
      </c>
      <c r="F5848" s="2" t="s">
        <v>11</v>
      </c>
      <c r="G5848" s="2" t="s">
        <v>32658</v>
      </c>
      <c r="H5848" s="2" t="s">
        <v>32659</v>
      </c>
    </row>
    <row r="5849" spans="1:8" ht="25.05" customHeight="1" x14ac:dyDescent="0.25">
      <c r="A5849" s="2" t="s">
        <v>8</v>
      </c>
      <c r="B5849" s="2" t="str">
        <f>HYPERLINK("http://ts.21cn.com/tousu/show/id/1336703","买了瞳爱情感11800的课程，一点解决实际问题的能力都没有，跟男朋友的关系没有任何改善")</f>
        <v>买了瞳爱情感11800的课程，一点解决实际问题的能力都没有，跟男朋友的关系没有任何改善</v>
      </c>
      <c r="C5849" s="2" t="s">
        <v>34</v>
      </c>
      <c r="D5849" s="2" t="s">
        <v>10</v>
      </c>
      <c r="E5849" s="2" t="str">
        <f>HYPERLINK("http://ts.21cn.com/tousu/show/id/1336703","http://ts.21cn.com/tousu/show/id/1336703")</f>
        <v>http://ts.21cn.com/tousu/show/id/1336703</v>
      </c>
      <c r="F5849" s="2" t="s">
        <v>11</v>
      </c>
      <c r="G5849" s="2" t="s">
        <v>32656</v>
      </c>
      <c r="H5849" s="2" t="s">
        <v>32657</v>
      </c>
    </row>
    <row r="5850" spans="1:8" ht="25.05" customHeight="1" x14ac:dyDescent="0.25">
      <c r="A5850" s="2" t="s">
        <v>8</v>
      </c>
      <c r="B5850" s="2" t="str">
        <f>HYPERLINK("http://ts.21cn.com/tousu/show/id/1336702","宜人贷虚假宣传强制下款使用高利贷")</f>
        <v>宜人贷虚假宣传强制下款使用高利贷</v>
      </c>
      <c r="C5850" s="2" t="s">
        <v>9</v>
      </c>
      <c r="D5850" s="2" t="s">
        <v>10</v>
      </c>
      <c r="E5850" s="2" t="str">
        <f>HYPERLINK("http://ts.21cn.com/tousu/show/id/1336702","http://ts.21cn.com/tousu/show/id/1336702")</f>
        <v>http://ts.21cn.com/tousu/show/id/1336702</v>
      </c>
      <c r="F5850" s="2" t="s">
        <v>11</v>
      </c>
      <c r="G5850" s="2" t="s">
        <v>32654</v>
      </c>
      <c r="H5850" s="2" t="s">
        <v>32655</v>
      </c>
    </row>
    <row r="5851" spans="1:8" ht="25.05" customHeight="1" x14ac:dyDescent="0.25">
      <c r="A5851" s="2" t="s">
        <v>8</v>
      </c>
      <c r="B5851" s="2" t="str">
        <f>HYPERLINK("http://ts.21cn.com/tousu/show/id/1336704","协商未果一直拖")</f>
        <v>协商未果一直拖</v>
      </c>
      <c r="C5851" s="2" t="s">
        <v>9</v>
      </c>
      <c r="D5851" s="2" t="s">
        <v>10</v>
      </c>
      <c r="E5851" s="2" t="str">
        <f>HYPERLINK("http://ts.21cn.com/tousu/show/id/1336704","http://ts.21cn.com/tousu/show/id/1336704")</f>
        <v>http://ts.21cn.com/tousu/show/id/1336704</v>
      </c>
      <c r="F5851" s="2" t="s">
        <v>11</v>
      </c>
      <c r="G5851" s="2" t="s">
        <v>32652</v>
      </c>
      <c r="H5851" s="2" t="s">
        <v>32653</v>
      </c>
    </row>
    <row r="5852" spans="1:8" ht="25.05" customHeight="1" x14ac:dyDescent="0.25">
      <c r="A5852" s="2" t="s">
        <v>8</v>
      </c>
      <c r="B5852" s="2" t="str">
        <f>HYPERLINK("http://ts.21cn.com/tousu/show/id/1336707","滴滴不派单")</f>
        <v>滴滴不派单</v>
      </c>
      <c r="C5852" s="2" t="s">
        <v>34</v>
      </c>
      <c r="D5852" s="2" t="s">
        <v>10</v>
      </c>
      <c r="E5852" s="2" t="str">
        <f>HYPERLINK("http://ts.21cn.com/tousu/show/id/1336707","http://ts.21cn.com/tousu/show/id/1336707")</f>
        <v>http://ts.21cn.com/tousu/show/id/1336707</v>
      </c>
      <c r="F5852" s="2" t="s">
        <v>11</v>
      </c>
      <c r="G5852" s="2" t="s">
        <v>32650</v>
      </c>
      <c r="H5852" s="2" t="s">
        <v>32651</v>
      </c>
    </row>
    <row r="5853" spans="1:8" ht="25.05" customHeight="1" x14ac:dyDescent="0.25">
      <c r="A5853" s="2" t="s">
        <v>8</v>
      </c>
      <c r="B5853" s="2" t="str">
        <f>HYPERLINK("http://ts.21cn.com/tousu/show/id/1336705","投诉及贷变相“砍头息”以及提前结清仍需付清后续利息")</f>
        <v>投诉及贷变相“砍头息”以及提前结清仍需付清后续利息</v>
      </c>
      <c r="C5853" s="2" t="s">
        <v>9</v>
      </c>
      <c r="D5853" s="2" t="s">
        <v>10</v>
      </c>
      <c r="E5853" s="2" t="str">
        <f>HYPERLINK("http://ts.21cn.com/tousu/show/id/1336705","http://ts.21cn.com/tousu/show/id/1336705")</f>
        <v>http://ts.21cn.com/tousu/show/id/1336705</v>
      </c>
      <c r="F5853" s="2" t="s">
        <v>11</v>
      </c>
      <c r="G5853" s="2" t="s">
        <v>32648</v>
      </c>
      <c r="H5853" s="2" t="s">
        <v>32649</v>
      </c>
    </row>
    <row r="5854" spans="1:8" ht="25.05" customHeight="1" x14ac:dyDescent="0.25">
      <c r="A5854" s="2" t="s">
        <v>8</v>
      </c>
      <c r="B5854" s="2" t="str">
        <f>HYPERLINK("http://ts.21cn.com/tousu/show/id/1336706","立借平台无理发短信，这个月还没过就发下个月的帐单来")</f>
        <v>立借平台无理发短信，这个月还没过就发下个月的帐单来</v>
      </c>
      <c r="C5854" s="2" t="s">
        <v>9</v>
      </c>
      <c r="D5854" s="2" t="s">
        <v>10</v>
      </c>
      <c r="E5854" s="2" t="str">
        <f>HYPERLINK("http://ts.21cn.com/tousu/show/id/1336706","http://ts.21cn.com/tousu/show/id/1336706")</f>
        <v>http://ts.21cn.com/tousu/show/id/1336706</v>
      </c>
      <c r="F5854" s="2" t="s">
        <v>11</v>
      </c>
      <c r="G5854" s="2" t="s">
        <v>32646</v>
      </c>
      <c r="H5854" s="2" t="s">
        <v>32647</v>
      </c>
    </row>
    <row r="5855" spans="1:8" ht="25.05" customHeight="1" x14ac:dyDescent="0.25">
      <c r="A5855" s="2" t="s">
        <v>8</v>
      </c>
      <c r="B5855" s="2" t="str">
        <f>HYPERLINK("http://ts.21cn.com/tousu/show/id/1336708","烟台西部明珠商务咨询有限公司涉嫌不实推销、误导消费者")</f>
        <v>烟台西部明珠商务咨询有限公司涉嫌不实推销、误导消费者</v>
      </c>
      <c r="C5855" s="2" t="s">
        <v>9</v>
      </c>
      <c r="D5855" s="2" t="s">
        <v>10</v>
      </c>
      <c r="E5855" s="2" t="str">
        <f>HYPERLINK("http://ts.21cn.com/tousu/show/id/1336708","http://ts.21cn.com/tousu/show/id/1336708")</f>
        <v>http://ts.21cn.com/tousu/show/id/1336708</v>
      </c>
      <c r="F5855" s="2" t="s">
        <v>11</v>
      </c>
      <c r="G5855" s="2" t="s">
        <v>32644</v>
      </c>
      <c r="H5855" s="2" t="s">
        <v>32645</v>
      </c>
    </row>
    <row r="5856" spans="1:8" ht="25.05" customHeight="1" x14ac:dyDescent="0.25">
      <c r="A5856" s="2" t="s">
        <v>8</v>
      </c>
      <c r="B5856" s="2" t="str">
        <f>HYPERLINK("http://ts.21cn.com/tousu/show/id/1336709","小熊有钱未经本人确认，直接扣款")</f>
        <v>小熊有钱未经本人确认，直接扣款</v>
      </c>
      <c r="C5856" s="2" t="s">
        <v>9</v>
      </c>
      <c r="D5856" s="2" t="s">
        <v>10</v>
      </c>
      <c r="E5856" s="2" t="str">
        <f>HYPERLINK("http://ts.21cn.com/tousu/show/id/1336709","http://ts.21cn.com/tousu/show/id/1336709")</f>
        <v>http://ts.21cn.com/tousu/show/id/1336709</v>
      </c>
      <c r="F5856" s="2" t="s">
        <v>11</v>
      </c>
      <c r="G5856" s="2" t="s">
        <v>32642</v>
      </c>
      <c r="H5856" s="2" t="s">
        <v>32643</v>
      </c>
    </row>
    <row r="5857" spans="1:8" ht="25.05" customHeight="1" x14ac:dyDescent="0.25">
      <c r="A5857" s="2" t="s">
        <v>8</v>
      </c>
      <c r="B5857" s="2" t="str">
        <f>HYPERLINK("http://ts.21cn.com/tousu/show/id/1336711","暴力催收威胁恐吓")</f>
        <v>暴力催收威胁恐吓</v>
      </c>
      <c r="C5857" s="2" t="s">
        <v>9</v>
      </c>
      <c r="D5857" s="2" t="s">
        <v>10</v>
      </c>
      <c r="E5857" s="2" t="str">
        <f>HYPERLINK("http://ts.21cn.com/tousu/show/id/1336711","http://ts.21cn.com/tousu/show/id/1336711")</f>
        <v>http://ts.21cn.com/tousu/show/id/1336711</v>
      </c>
      <c r="F5857" s="2" t="s">
        <v>11</v>
      </c>
      <c r="G5857" s="2" t="s">
        <v>32640</v>
      </c>
      <c r="H5857" s="2" t="s">
        <v>32641</v>
      </c>
    </row>
    <row r="5858" spans="1:8" ht="25.05" customHeight="1" x14ac:dyDescent="0.25">
      <c r="A5858" s="2" t="s">
        <v>8</v>
      </c>
      <c r="B5858" s="2" t="str">
        <f>HYPERLINK("http://ts.21cn.com/tousu/show/id/1336712","腾讯课堂火鸟教育虚假宣传霸王条款拒不退款")</f>
        <v>腾讯课堂火鸟教育虚假宣传霸王条款拒不退款</v>
      </c>
      <c r="C5858" s="2" t="s">
        <v>9</v>
      </c>
      <c r="D5858" s="2" t="s">
        <v>10</v>
      </c>
      <c r="E5858" s="2" t="str">
        <f>HYPERLINK("http://ts.21cn.com/tousu/show/id/1336712","http://ts.21cn.com/tousu/show/id/1336712")</f>
        <v>http://ts.21cn.com/tousu/show/id/1336712</v>
      </c>
      <c r="F5858" s="2" t="s">
        <v>11</v>
      </c>
      <c r="G5858" s="2" t="s">
        <v>32638</v>
      </c>
      <c r="H5858" s="2" t="s">
        <v>32639</v>
      </c>
    </row>
    <row r="5859" spans="1:8" ht="25.05" customHeight="1" x14ac:dyDescent="0.25">
      <c r="A5859" s="2" t="s">
        <v>8</v>
      </c>
      <c r="B5859" s="2" t="str">
        <f>HYPERLINK("http://ts.21cn.com/tousu/show/id/1336713","恶意扣款")</f>
        <v>恶意扣款</v>
      </c>
      <c r="C5859" s="2" t="s">
        <v>9</v>
      </c>
      <c r="D5859" s="2" t="s">
        <v>10</v>
      </c>
      <c r="E5859" s="2" t="str">
        <f>HYPERLINK("http://ts.21cn.com/tousu/show/id/1336713","http://ts.21cn.com/tousu/show/id/1336713")</f>
        <v>http://ts.21cn.com/tousu/show/id/1336713</v>
      </c>
      <c r="F5859" s="2" t="s">
        <v>11</v>
      </c>
      <c r="G5859" s="2" t="s">
        <v>32636</v>
      </c>
      <c r="H5859" s="2" t="s">
        <v>32637</v>
      </c>
    </row>
    <row r="5860" spans="1:8" ht="25.05" customHeight="1" x14ac:dyDescent="0.25">
      <c r="A5860" s="2" t="s">
        <v>8</v>
      </c>
      <c r="B5860" s="2" t="str">
        <f>HYPERLINK("http://ts.21cn.com/tousu/show/id/1336714","美团退款不对")</f>
        <v>美团退款不对</v>
      </c>
      <c r="C5860" s="2" t="s">
        <v>34</v>
      </c>
      <c r="D5860" s="2" t="s">
        <v>10</v>
      </c>
      <c r="E5860" s="2" t="str">
        <f>HYPERLINK("http://ts.21cn.com/tousu/show/id/1336714","http://ts.21cn.com/tousu/show/id/1336714")</f>
        <v>http://ts.21cn.com/tousu/show/id/1336714</v>
      </c>
      <c r="F5860" s="2" t="s">
        <v>11</v>
      </c>
      <c r="G5860" s="2" t="s">
        <v>32634</v>
      </c>
      <c r="H5860" s="2" t="s">
        <v>32635</v>
      </c>
    </row>
    <row r="5861" spans="1:8" ht="25.05" customHeight="1" x14ac:dyDescent="0.25">
      <c r="A5861" s="2" t="s">
        <v>8</v>
      </c>
      <c r="B5861" s="2" t="str">
        <f>HYPERLINK("http://ts.21cn.com/tousu/show/id/1336718","恶意扣费")</f>
        <v>恶意扣费</v>
      </c>
      <c r="C5861" s="2" t="s">
        <v>9</v>
      </c>
      <c r="D5861" s="2" t="s">
        <v>10</v>
      </c>
      <c r="E5861" s="2" t="str">
        <f>HYPERLINK("http://ts.21cn.com/tousu/show/id/1336718","http://ts.21cn.com/tousu/show/id/1336718")</f>
        <v>http://ts.21cn.com/tousu/show/id/1336718</v>
      </c>
      <c r="F5861" s="2" t="s">
        <v>11</v>
      </c>
      <c r="G5861" s="2" t="s">
        <v>32632</v>
      </c>
      <c r="H5861" s="2" t="s">
        <v>32633</v>
      </c>
    </row>
    <row r="5862" spans="1:8" ht="25.05" customHeight="1" x14ac:dyDescent="0.25">
      <c r="A5862" s="2" t="s">
        <v>8</v>
      </c>
      <c r="B5862" s="2" t="str">
        <f>HYPERLINK("http://ts.21cn.com/tousu/show/id/1336719","714高炮")</f>
        <v>714高炮</v>
      </c>
      <c r="C5862" s="2" t="s">
        <v>9</v>
      </c>
      <c r="D5862" s="2" t="s">
        <v>10</v>
      </c>
      <c r="E5862" s="2" t="str">
        <f>HYPERLINK("http://ts.21cn.com/tousu/show/id/1336719","http://ts.21cn.com/tousu/show/id/1336719")</f>
        <v>http://ts.21cn.com/tousu/show/id/1336719</v>
      </c>
      <c r="F5862" s="2" t="s">
        <v>11</v>
      </c>
      <c r="G5862" s="2" t="s">
        <v>32630</v>
      </c>
      <c r="H5862" s="2" t="s">
        <v>32631</v>
      </c>
    </row>
    <row r="5863" spans="1:8" ht="25.05" customHeight="1" x14ac:dyDescent="0.25">
      <c r="A5863" s="2" t="s">
        <v>8</v>
      </c>
      <c r="B5863" s="2" t="str">
        <f>HYPERLINK("http://ts.21cn.com/tousu/show/id/1336720","刚刚注册的亚马逊日本站商家账户被冻结，扣掉的月租不退还")</f>
        <v>刚刚注册的亚马逊日本站商家账户被冻结，扣掉的月租不退还</v>
      </c>
      <c r="C5863" s="2" t="s">
        <v>9</v>
      </c>
      <c r="D5863" s="2" t="s">
        <v>10</v>
      </c>
      <c r="E5863" s="2" t="str">
        <f>HYPERLINK("http://ts.21cn.com/tousu/show/id/1336720","http://ts.21cn.com/tousu/show/id/1336720")</f>
        <v>http://ts.21cn.com/tousu/show/id/1336720</v>
      </c>
      <c r="F5863" s="2" t="s">
        <v>11</v>
      </c>
      <c r="G5863" s="2" t="s">
        <v>32628</v>
      </c>
      <c r="H5863" s="2" t="s">
        <v>32629</v>
      </c>
    </row>
    <row r="5864" spans="1:8" ht="25.05" customHeight="1" x14ac:dyDescent="0.25">
      <c r="A5864" s="2" t="s">
        <v>8</v>
      </c>
      <c r="B5864" s="2" t="str">
        <f>HYPERLINK("http://ts.21cn.com/tousu/show/id/1336721","捆绑保险变相砍头息，请求减免销账")</f>
        <v>捆绑保险变相砍头息，请求减免销账</v>
      </c>
      <c r="C5864" s="2" t="s">
        <v>9</v>
      </c>
      <c r="D5864" s="2" t="s">
        <v>10</v>
      </c>
      <c r="E5864" s="2" t="str">
        <f>HYPERLINK("http://ts.21cn.com/tousu/show/id/1336721","http://ts.21cn.com/tousu/show/id/1336721")</f>
        <v>http://ts.21cn.com/tousu/show/id/1336721</v>
      </c>
      <c r="F5864" s="2" t="s">
        <v>11</v>
      </c>
      <c r="G5864" s="2" t="s">
        <v>32626</v>
      </c>
      <c r="H5864" s="2" t="s">
        <v>32627</v>
      </c>
    </row>
    <row r="5865" spans="1:8" ht="25.05" customHeight="1" x14ac:dyDescent="0.25">
      <c r="A5865" s="2" t="s">
        <v>8</v>
      </c>
      <c r="B5865" s="2" t="str">
        <f>HYPERLINK("http://ts.21cn.com/tousu/show/id/1336722","合肥巢翼家居品牌管理有限公司欺诈消费者")</f>
        <v>合肥巢翼家居品牌管理有限公司欺诈消费者</v>
      </c>
      <c r="C5865" s="2" t="s">
        <v>9</v>
      </c>
      <c r="D5865" s="2" t="s">
        <v>10</v>
      </c>
      <c r="E5865" s="2" t="str">
        <f>HYPERLINK("http://ts.21cn.com/tousu/show/id/1336722","http://ts.21cn.com/tousu/show/id/1336722")</f>
        <v>http://ts.21cn.com/tousu/show/id/1336722</v>
      </c>
      <c r="F5865" s="2" t="s">
        <v>11</v>
      </c>
      <c r="G5865" s="2" t="s">
        <v>32624</v>
      </c>
      <c r="H5865" s="2" t="s">
        <v>32625</v>
      </c>
    </row>
    <row r="5866" spans="1:8" ht="25.05" customHeight="1" x14ac:dyDescent="0.25">
      <c r="A5866" s="2" t="s">
        <v>8</v>
      </c>
      <c r="B5866" s="2" t="str">
        <f>HYPERLINK("http://ts.21cn.com/tousu/show/id/1336723","钱站高利贷阴阳合同")</f>
        <v>钱站高利贷阴阳合同</v>
      </c>
      <c r="C5866" s="2" t="s">
        <v>9</v>
      </c>
      <c r="D5866" s="2" t="s">
        <v>10</v>
      </c>
      <c r="E5866" s="2" t="str">
        <f>HYPERLINK("http://ts.21cn.com/tousu/show/id/1336723","http://ts.21cn.com/tousu/show/id/1336723")</f>
        <v>http://ts.21cn.com/tousu/show/id/1336723</v>
      </c>
      <c r="F5866" s="2" t="s">
        <v>11</v>
      </c>
      <c r="G5866" s="2" t="s">
        <v>32622</v>
      </c>
      <c r="H5866" s="2" t="s">
        <v>32623</v>
      </c>
    </row>
    <row r="5867" spans="1:8" ht="25.05" customHeight="1" x14ac:dyDescent="0.25">
      <c r="A5867" s="2" t="s">
        <v>8</v>
      </c>
      <c r="B5867" s="2" t="str">
        <f>HYPERLINK("http://ts.21cn.com/tousu/show/id/1336725","钱站高利贷阴阳合同，借1000元还1500元")</f>
        <v>钱站高利贷阴阳合同，借1000元还1500元</v>
      </c>
      <c r="C5867" s="2" t="s">
        <v>9</v>
      </c>
      <c r="D5867" s="2" t="s">
        <v>10</v>
      </c>
      <c r="E5867" s="2" t="str">
        <f>HYPERLINK("http://ts.21cn.com/tousu/show/id/1336725","http://ts.21cn.com/tousu/show/id/1336725")</f>
        <v>http://ts.21cn.com/tousu/show/id/1336725</v>
      </c>
      <c r="F5867" s="2" t="s">
        <v>11</v>
      </c>
      <c r="G5867" s="2" t="s">
        <v>32620</v>
      </c>
      <c r="H5867" s="2" t="s">
        <v>32621</v>
      </c>
    </row>
    <row r="5868" spans="1:8" ht="25.05" customHeight="1" x14ac:dyDescent="0.25">
      <c r="A5868" s="2" t="s">
        <v>8</v>
      </c>
      <c r="B5868" s="2" t="str">
        <f>HYPERLINK("http://ts.21cn.com/tousu/show/id/1336727","维信卡卡贷")</f>
        <v>维信卡卡贷</v>
      </c>
      <c r="C5868" s="2" t="s">
        <v>34</v>
      </c>
      <c r="D5868" s="2" t="s">
        <v>10</v>
      </c>
      <c r="E5868" s="2" t="str">
        <f>HYPERLINK("http://ts.21cn.com/tousu/show/id/1336727","http://ts.21cn.com/tousu/show/id/1336727")</f>
        <v>http://ts.21cn.com/tousu/show/id/1336727</v>
      </c>
      <c r="F5868" s="2" t="s">
        <v>11</v>
      </c>
      <c r="G5868" s="2" t="s">
        <v>32618</v>
      </c>
      <c r="H5868" s="2" t="s">
        <v>32619</v>
      </c>
    </row>
    <row r="5869" spans="1:8" ht="25.05" customHeight="1" x14ac:dyDescent="0.25">
      <c r="A5869" s="2" t="s">
        <v>8</v>
      </c>
      <c r="B5869" s="2" t="str">
        <f>HYPERLINK("http://ts.21cn.com/tousu/show/id/1336728","滴滴公司派单不公平")</f>
        <v>滴滴公司派单不公平</v>
      </c>
      <c r="C5869" s="2" t="s">
        <v>9</v>
      </c>
      <c r="D5869" s="2" t="s">
        <v>10</v>
      </c>
      <c r="E5869" s="2" t="str">
        <f>HYPERLINK("http://ts.21cn.com/tousu/show/id/1336728","http://ts.21cn.com/tousu/show/id/1336728")</f>
        <v>http://ts.21cn.com/tousu/show/id/1336728</v>
      </c>
      <c r="F5869" s="2" t="s">
        <v>11</v>
      </c>
      <c r="G5869" s="2" t="s">
        <v>32616</v>
      </c>
      <c r="H5869" s="2" t="s">
        <v>32617</v>
      </c>
    </row>
    <row r="5870" spans="1:8" ht="25.05" customHeight="1" x14ac:dyDescent="0.25">
      <c r="A5870" s="2" t="s">
        <v>8</v>
      </c>
      <c r="B5870" s="2" t="str">
        <f>HYPERLINK("http://ts.21cn.com/tousu/show/id/1336724","美团众包骑手在不明确责任下随意扣款，劳务公司敷衍")</f>
        <v>美团众包骑手在不明确责任下随意扣款，劳务公司敷衍</v>
      </c>
      <c r="C5870" s="2" t="s">
        <v>9</v>
      </c>
      <c r="D5870" s="2" t="s">
        <v>10</v>
      </c>
      <c r="E5870" s="2" t="str">
        <f>HYPERLINK("http://ts.21cn.com/tousu/show/id/1336724","http://ts.21cn.com/tousu/show/id/1336724")</f>
        <v>http://ts.21cn.com/tousu/show/id/1336724</v>
      </c>
      <c r="F5870" s="2" t="s">
        <v>11</v>
      </c>
      <c r="G5870" s="2" t="s">
        <v>32613</v>
      </c>
      <c r="H5870" s="2" t="s">
        <v>32614</v>
      </c>
    </row>
    <row r="5871" spans="1:8" ht="25.05" customHeight="1" x14ac:dyDescent="0.25">
      <c r="A5871" s="2" t="s">
        <v>8</v>
      </c>
      <c r="B5871" s="2" t="str">
        <f>HYPERLINK("http://ts.21cn.com/tousu/show/id/1336729","维信卡卡贷涉嫌高利率和砍头息")</f>
        <v>维信卡卡贷涉嫌高利率和砍头息</v>
      </c>
      <c r="C5871" s="2" t="s">
        <v>9</v>
      </c>
      <c r="D5871" s="2" t="s">
        <v>10</v>
      </c>
      <c r="E5871" s="2" t="str">
        <f>HYPERLINK("http://ts.21cn.com/tousu/show/id/1336729","http://ts.21cn.com/tousu/show/id/1336729")</f>
        <v>http://ts.21cn.com/tousu/show/id/1336729</v>
      </c>
      <c r="F5871" s="2" t="s">
        <v>11</v>
      </c>
      <c r="G5871" s="2" t="s">
        <v>32613</v>
      </c>
      <c r="H5871" s="2" t="s">
        <v>32615</v>
      </c>
    </row>
    <row r="5872" spans="1:8" ht="25.05" customHeight="1" x14ac:dyDescent="0.25">
      <c r="A5872" s="2" t="s">
        <v>8</v>
      </c>
      <c r="B5872" s="2" t="str">
        <f>HYPERLINK("http://ts.21cn.com/tousu/show/id/1336730","北京友缘在线旗下处处app未经同意不知道通过什么手段开启了免密支付导致被扣费用存在严重欺诈行为")</f>
        <v>北京友缘在线旗下处处app未经同意不知道通过什么手段开启了免密支付导致被扣费用存在严重欺诈行为</v>
      </c>
      <c r="C5872" s="2" t="s">
        <v>9</v>
      </c>
      <c r="D5872" s="2" t="s">
        <v>10</v>
      </c>
      <c r="E5872" s="2" t="str">
        <f>HYPERLINK("http://ts.21cn.com/tousu/show/id/1336730","http://ts.21cn.com/tousu/show/id/1336730")</f>
        <v>http://ts.21cn.com/tousu/show/id/1336730</v>
      </c>
      <c r="F5872" s="2" t="s">
        <v>11</v>
      </c>
      <c r="G5872" s="2" t="s">
        <v>32611</v>
      </c>
      <c r="H5872" s="2" t="s">
        <v>32612</v>
      </c>
    </row>
    <row r="5873" spans="1:8" ht="25.05" customHeight="1" x14ac:dyDescent="0.25">
      <c r="A5873" s="2" t="s">
        <v>8</v>
      </c>
      <c r="B5873" s="2" t="str">
        <f>HYPERLINK("http://ts.21cn.com/tousu/show/id/1336731","京东购买的产品十几天还未发货，订单显示已完成")</f>
        <v>京东购买的产品十几天还未发货，订单显示已完成</v>
      </c>
      <c r="C5873" s="2" t="s">
        <v>34</v>
      </c>
      <c r="D5873" s="2" t="s">
        <v>10</v>
      </c>
      <c r="E5873" s="2" t="str">
        <f>HYPERLINK("http://ts.21cn.com/tousu/show/id/1336731","http://ts.21cn.com/tousu/show/id/1336731")</f>
        <v>http://ts.21cn.com/tousu/show/id/1336731</v>
      </c>
      <c r="F5873" s="2" t="s">
        <v>11</v>
      </c>
      <c r="G5873" s="2" t="s">
        <v>32609</v>
      </c>
      <c r="H5873" s="2" t="s">
        <v>32610</v>
      </c>
    </row>
    <row r="5874" spans="1:8" ht="25.05" customHeight="1" x14ac:dyDescent="0.25">
      <c r="A5874" s="2" t="s">
        <v>8</v>
      </c>
      <c r="B5874" s="2" t="str">
        <f>HYPERLINK("http://ts.21cn.com/tousu/show/id/1336732","宜人贷砍头息")</f>
        <v>宜人贷砍头息</v>
      </c>
      <c r="C5874" s="2" t="s">
        <v>9</v>
      </c>
      <c r="D5874" s="2" t="s">
        <v>10</v>
      </c>
      <c r="E5874" s="2" t="str">
        <f>HYPERLINK("http://ts.21cn.com/tousu/show/id/1336732","http://ts.21cn.com/tousu/show/id/1336732")</f>
        <v>http://ts.21cn.com/tousu/show/id/1336732</v>
      </c>
      <c r="F5874" s="2" t="s">
        <v>11</v>
      </c>
      <c r="G5874" s="2" t="s">
        <v>32607</v>
      </c>
      <c r="H5874" s="2" t="s">
        <v>32608</v>
      </c>
    </row>
    <row r="5875" spans="1:8" ht="25.05" customHeight="1" x14ac:dyDescent="0.25">
      <c r="A5875" s="2" t="s">
        <v>8</v>
      </c>
      <c r="B5875" s="2" t="str">
        <f>HYPERLINK("http://ts.21cn.com/tousu/show/id/1336733","为何移动套餐不能退订？")</f>
        <v>为何移动套餐不能退订？</v>
      </c>
      <c r="C5875" s="2" t="s">
        <v>9</v>
      </c>
      <c r="D5875" s="2" t="s">
        <v>10</v>
      </c>
      <c r="E5875" s="2" t="str">
        <f>HYPERLINK("http://ts.21cn.com/tousu/show/id/1336733","http://ts.21cn.com/tousu/show/id/1336733")</f>
        <v>http://ts.21cn.com/tousu/show/id/1336733</v>
      </c>
      <c r="F5875" s="2" t="s">
        <v>11</v>
      </c>
      <c r="G5875" s="2" t="s">
        <v>32605</v>
      </c>
      <c r="H5875" s="2" t="s">
        <v>32606</v>
      </c>
    </row>
    <row r="5876" spans="1:8" ht="25.05" customHeight="1" x14ac:dyDescent="0.25">
      <c r="A5876" s="2" t="s">
        <v>8</v>
      </c>
      <c r="B5876" s="2" t="str">
        <f>HYPERLINK("http://ts.21cn.com/tousu/show/id/1336735","购买了问题账号不予处理退款")</f>
        <v>购买了问题账号不予处理退款</v>
      </c>
      <c r="C5876" s="2" t="s">
        <v>9</v>
      </c>
      <c r="D5876" s="2" t="s">
        <v>10</v>
      </c>
      <c r="E5876" s="2" t="str">
        <f>HYPERLINK("http://ts.21cn.com/tousu/show/id/1336735","http://ts.21cn.com/tousu/show/id/1336735")</f>
        <v>http://ts.21cn.com/tousu/show/id/1336735</v>
      </c>
      <c r="F5876" s="2" t="s">
        <v>11</v>
      </c>
      <c r="G5876" s="2" t="s">
        <v>32603</v>
      </c>
      <c r="H5876" s="2" t="s">
        <v>32604</v>
      </c>
    </row>
    <row r="5877" spans="1:8" ht="25.05" customHeight="1" x14ac:dyDescent="0.25">
      <c r="A5877" s="2" t="s">
        <v>8</v>
      </c>
      <c r="B5877" s="2" t="str">
        <f>HYPERLINK("http://ts.21cn.com/tousu/show/id/1336737","投诉贷上钱")</f>
        <v>投诉贷上钱</v>
      </c>
      <c r="C5877" s="2" t="s">
        <v>9</v>
      </c>
      <c r="D5877" s="2" t="s">
        <v>10</v>
      </c>
      <c r="E5877" s="2" t="str">
        <f>HYPERLINK("http://ts.21cn.com/tousu/show/id/1336737","http://ts.21cn.com/tousu/show/id/1336737")</f>
        <v>http://ts.21cn.com/tousu/show/id/1336737</v>
      </c>
      <c r="F5877" s="2" t="s">
        <v>11</v>
      </c>
      <c r="G5877" s="2" t="s">
        <v>32601</v>
      </c>
      <c r="H5877" s="2" t="s">
        <v>32602</v>
      </c>
    </row>
    <row r="5878" spans="1:8" ht="25.05" customHeight="1" x14ac:dyDescent="0.25">
      <c r="A5878" s="2" t="s">
        <v>8</v>
      </c>
      <c r="B5878" s="2" t="str">
        <f>HYPERLINK("http://ts.21cn.com/tousu/show/id/1336736","52租机一直不退款，客服电话一直无人接听，在线客服无人处理问题")</f>
        <v>52租机一直不退款，客服电话一直无人接听，在线客服无人处理问题</v>
      </c>
      <c r="C5878" s="2" t="s">
        <v>9</v>
      </c>
      <c r="D5878" s="2" t="s">
        <v>10</v>
      </c>
      <c r="E5878" s="2" t="str">
        <f>HYPERLINK("http://ts.21cn.com/tousu/show/id/1336736","http://ts.21cn.com/tousu/show/id/1336736")</f>
        <v>http://ts.21cn.com/tousu/show/id/1336736</v>
      </c>
      <c r="F5878" s="2" t="s">
        <v>11</v>
      </c>
      <c r="G5878" s="2" t="s">
        <v>32599</v>
      </c>
      <c r="H5878" s="2" t="s">
        <v>32600</v>
      </c>
    </row>
    <row r="5879" spans="1:8" ht="25.05" customHeight="1" x14ac:dyDescent="0.25">
      <c r="A5879" s="2" t="s">
        <v>8</v>
      </c>
      <c r="B5879" s="2" t="str">
        <f>HYPERLINK("http://ts.21cn.com/tousu/show/id/1336738","催收人员暴力催收，威胁24小时不还款就邮寄催收通告涵")</f>
        <v>催收人员暴力催收，威胁24小时不还款就邮寄催收通告涵</v>
      </c>
      <c r="C5879" s="2" t="s">
        <v>9</v>
      </c>
      <c r="D5879" s="2" t="s">
        <v>10</v>
      </c>
      <c r="E5879" s="2" t="str">
        <f>HYPERLINK("http://ts.21cn.com/tousu/show/id/1336738","http://ts.21cn.com/tousu/show/id/1336738")</f>
        <v>http://ts.21cn.com/tousu/show/id/1336738</v>
      </c>
      <c r="F5879" s="2" t="s">
        <v>11</v>
      </c>
      <c r="G5879" s="2" t="s">
        <v>32597</v>
      </c>
      <c r="H5879" s="2" t="s">
        <v>32598</v>
      </c>
    </row>
    <row r="5880" spans="1:8" ht="25.05" customHeight="1" x14ac:dyDescent="0.25">
      <c r="A5880" s="2" t="s">
        <v>8</v>
      </c>
      <c r="B5880" s="2" t="str">
        <f>HYPERLINK("http://ts.21cn.com/tousu/show/id/1336740","贷上钱无逾期打我父母电话，存在高额利息")</f>
        <v>贷上钱无逾期打我父母电话，存在高额利息</v>
      </c>
      <c r="C5880" s="2" t="s">
        <v>9</v>
      </c>
      <c r="D5880" s="2" t="s">
        <v>10</v>
      </c>
      <c r="E5880" s="2" t="str">
        <f>HYPERLINK("http://ts.21cn.com/tousu/show/id/1336740","http://ts.21cn.com/tousu/show/id/1336740")</f>
        <v>http://ts.21cn.com/tousu/show/id/1336740</v>
      </c>
      <c r="F5880" s="2" t="s">
        <v>11</v>
      </c>
      <c r="G5880" s="2" t="s">
        <v>32595</v>
      </c>
      <c r="H5880" s="2" t="s">
        <v>32596</v>
      </c>
    </row>
    <row r="5881" spans="1:8" ht="25.05" customHeight="1" x14ac:dyDescent="0.25">
      <c r="A5881" s="2" t="s">
        <v>8</v>
      </c>
      <c r="B5881" s="2" t="str">
        <f>HYPERLINK("http://ts.21cn.com/tousu/show/id/1336741","随心分期高利贷")</f>
        <v>随心分期高利贷</v>
      </c>
      <c r="C5881" s="2" t="s">
        <v>9</v>
      </c>
      <c r="D5881" s="2" t="s">
        <v>10</v>
      </c>
      <c r="E5881" s="2" t="str">
        <f>HYPERLINK("http://ts.21cn.com/tousu/show/id/1336741","http://ts.21cn.com/tousu/show/id/1336741")</f>
        <v>http://ts.21cn.com/tousu/show/id/1336741</v>
      </c>
      <c r="F5881" s="2" t="s">
        <v>11</v>
      </c>
      <c r="G5881" s="2" t="s">
        <v>32593</v>
      </c>
      <c r="H5881" s="2" t="s">
        <v>32594</v>
      </c>
    </row>
    <row r="5882" spans="1:8" ht="25.05" customHeight="1" x14ac:dyDescent="0.25">
      <c r="A5882" s="2" t="s">
        <v>8</v>
      </c>
      <c r="B5882" s="2" t="str">
        <f>HYPERLINK("http://ts.21cn.com/tousu/show/id/1336742","延迟一个月还款")</f>
        <v>延迟一个月还款</v>
      </c>
      <c r="C5882" s="2" t="s">
        <v>34</v>
      </c>
      <c r="D5882" s="2" t="s">
        <v>10</v>
      </c>
      <c r="E5882" s="2" t="str">
        <f>HYPERLINK("http://ts.21cn.com/tousu/show/id/1336742","http://ts.21cn.com/tousu/show/id/1336742")</f>
        <v>http://ts.21cn.com/tousu/show/id/1336742</v>
      </c>
      <c r="F5882" s="2" t="s">
        <v>11</v>
      </c>
      <c r="G5882" s="2" t="s">
        <v>32591</v>
      </c>
      <c r="H5882" s="2" t="s">
        <v>32592</v>
      </c>
    </row>
    <row r="5883" spans="1:8" ht="25.05" customHeight="1" x14ac:dyDescent="0.25">
      <c r="A5883" s="2" t="s">
        <v>8</v>
      </c>
      <c r="B5883" s="2" t="str">
        <f>HYPERLINK("http://ts.21cn.com/tousu/show/id/1336743","gofun出行日租订单还车时多收油费申请返还")</f>
        <v>gofun出行日租订单还车时多收油费申请返还</v>
      </c>
      <c r="C5883" s="2" t="s">
        <v>34</v>
      </c>
      <c r="D5883" s="2" t="s">
        <v>10</v>
      </c>
      <c r="E5883" s="2" t="str">
        <f>HYPERLINK("http://ts.21cn.com/tousu/show/id/1336743","http://ts.21cn.com/tousu/show/id/1336743")</f>
        <v>http://ts.21cn.com/tousu/show/id/1336743</v>
      </c>
      <c r="F5883" s="2" t="s">
        <v>11</v>
      </c>
      <c r="G5883" s="2" t="s">
        <v>32589</v>
      </c>
      <c r="H5883" s="2" t="s">
        <v>32590</v>
      </c>
    </row>
    <row r="5884" spans="1:8" ht="25.05" customHeight="1" x14ac:dyDescent="0.25">
      <c r="A5884" s="2" t="s">
        <v>8</v>
      </c>
      <c r="B5884" s="2" t="str">
        <f>HYPERLINK("http://ts.21cn.com/tousu/show/id/1336745","安逸花单方面中止合同")</f>
        <v>安逸花单方面中止合同</v>
      </c>
      <c r="C5884" s="2" t="s">
        <v>34</v>
      </c>
      <c r="D5884" s="2" t="s">
        <v>10</v>
      </c>
      <c r="E5884" s="2" t="str">
        <f>HYPERLINK("http://ts.21cn.com/tousu/show/id/1336745","http://ts.21cn.com/tousu/show/id/1336745")</f>
        <v>http://ts.21cn.com/tousu/show/id/1336745</v>
      </c>
      <c r="F5884" s="2" t="s">
        <v>11</v>
      </c>
      <c r="G5884" s="2" t="s">
        <v>32587</v>
      </c>
      <c r="H5884" s="2" t="s">
        <v>32588</v>
      </c>
    </row>
    <row r="5885" spans="1:8" ht="25.05" customHeight="1" x14ac:dyDescent="0.25">
      <c r="A5885" s="2" t="s">
        <v>8</v>
      </c>
      <c r="B5885" s="2" t="str">
        <f>HYPERLINK("http://ts.21cn.com/tousu/show/id/1336746","在京东买的鞋子穿了二三天出现质量问题，平台及商家给的解决方案敷衍消费者")</f>
        <v>在京东买的鞋子穿了二三天出现质量问题，平台及商家给的解决方案敷衍消费者</v>
      </c>
      <c r="C5885" s="2" t="s">
        <v>9</v>
      </c>
      <c r="D5885" s="2" t="s">
        <v>10</v>
      </c>
      <c r="E5885" s="2" t="str">
        <f>HYPERLINK("http://ts.21cn.com/tousu/show/id/1336746","http://ts.21cn.com/tousu/show/id/1336746")</f>
        <v>http://ts.21cn.com/tousu/show/id/1336746</v>
      </c>
      <c r="F5885" s="2" t="s">
        <v>11</v>
      </c>
      <c r="G5885" s="2" t="s">
        <v>32585</v>
      </c>
      <c r="H5885" s="2" t="s">
        <v>32586</v>
      </c>
    </row>
    <row r="5886" spans="1:8" ht="25.05" customHeight="1" x14ac:dyDescent="0.25">
      <c r="A5886" s="2" t="s">
        <v>8</v>
      </c>
      <c r="B5886" s="2" t="str">
        <f>HYPERLINK("http://ts.21cn.com/tousu/show/id/1336747","高利贷砍头息")</f>
        <v>高利贷砍头息</v>
      </c>
      <c r="C5886" s="2" t="s">
        <v>9</v>
      </c>
      <c r="D5886" s="2" t="s">
        <v>10</v>
      </c>
      <c r="E5886" s="2" t="str">
        <f>HYPERLINK("http://ts.21cn.com/tousu/show/id/1336747","http://ts.21cn.com/tousu/show/id/1336747")</f>
        <v>http://ts.21cn.com/tousu/show/id/1336747</v>
      </c>
      <c r="F5886" s="2" t="s">
        <v>11</v>
      </c>
      <c r="G5886" s="2" t="s">
        <v>32583</v>
      </c>
      <c r="H5886" s="2" t="s">
        <v>32584</v>
      </c>
    </row>
    <row r="5887" spans="1:8" ht="25.05" customHeight="1" x14ac:dyDescent="0.25">
      <c r="A5887" s="2" t="s">
        <v>8</v>
      </c>
      <c r="B5887" s="2" t="str">
        <f>HYPERLINK("http://ts.21cn.com/tousu/show/id/1336748","立借平台打电话现任工作单位，严重影响生活，一点颜面都不给")</f>
        <v>立借平台打电话现任工作单位，严重影响生活，一点颜面都不给</v>
      </c>
      <c r="C5887" s="2" t="s">
        <v>9</v>
      </c>
      <c r="D5887" s="2" t="s">
        <v>10</v>
      </c>
      <c r="E5887" s="2" t="str">
        <f>HYPERLINK("http://ts.21cn.com/tousu/show/id/1336748","http://ts.21cn.com/tousu/show/id/1336748")</f>
        <v>http://ts.21cn.com/tousu/show/id/1336748</v>
      </c>
      <c r="F5887" s="2" t="s">
        <v>11</v>
      </c>
      <c r="G5887" s="2" t="s">
        <v>32581</v>
      </c>
      <c r="H5887" s="2" t="s">
        <v>32582</v>
      </c>
    </row>
    <row r="5888" spans="1:8" ht="25.05" customHeight="1" x14ac:dyDescent="0.25">
      <c r="A5888" s="2" t="s">
        <v>8</v>
      </c>
      <c r="B5888" s="2" t="str">
        <f>HYPERLINK("http://ts.21cn.com/tousu/show/id/1336749","无故拖延时间给我算违约金")</f>
        <v>无故拖延时间给我算违约金</v>
      </c>
      <c r="C5888" s="2" t="s">
        <v>9</v>
      </c>
      <c r="D5888" s="2" t="s">
        <v>10</v>
      </c>
      <c r="E5888" s="2" t="str">
        <f>HYPERLINK("http://ts.21cn.com/tousu/show/id/1336749","http://ts.21cn.com/tousu/show/id/1336749")</f>
        <v>http://ts.21cn.com/tousu/show/id/1336749</v>
      </c>
      <c r="F5888" s="2" t="s">
        <v>11</v>
      </c>
      <c r="G5888" s="2" t="s">
        <v>32579</v>
      </c>
      <c r="H5888" s="2" t="s">
        <v>32580</v>
      </c>
    </row>
    <row r="5889" spans="1:8" ht="25.05" customHeight="1" x14ac:dyDescent="0.25">
      <c r="A5889" s="2" t="s">
        <v>8</v>
      </c>
      <c r="B5889" s="2" t="str">
        <f>HYPERLINK("http://ts.21cn.com/tousu/show/id/1336750","高利贷套路贷恶意催收")</f>
        <v>高利贷套路贷恶意催收</v>
      </c>
      <c r="C5889" s="2" t="s">
        <v>9</v>
      </c>
      <c r="D5889" s="2" t="s">
        <v>10</v>
      </c>
      <c r="E5889" s="2" t="str">
        <f>HYPERLINK("http://ts.21cn.com/tousu/show/id/1336750","http://ts.21cn.com/tousu/show/id/1336750")</f>
        <v>http://ts.21cn.com/tousu/show/id/1336750</v>
      </c>
      <c r="F5889" s="2" t="s">
        <v>11</v>
      </c>
      <c r="G5889" s="2" t="s">
        <v>32577</v>
      </c>
      <c r="H5889" s="2" t="s">
        <v>32578</v>
      </c>
    </row>
    <row r="5890" spans="1:8" ht="25.05" customHeight="1" x14ac:dyDescent="0.25">
      <c r="A5890" s="2" t="s">
        <v>8</v>
      </c>
      <c r="B5890" s="2" t="str">
        <f>HYPERLINK("http://ts.21cn.com/tousu/show/id/1336751","暴力催收")</f>
        <v>暴力催收</v>
      </c>
      <c r="C5890" s="2" t="s">
        <v>9</v>
      </c>
      <c r="D5890" s="2" t="s">
        <v>10</v>
      </c>
      <c r="E5890" s="2" t="str">
        <f>HYPERLINK("http://ts.21cn.com/tousu/show/id/1336751","http://ts.21cn.com/tousu/show/id/1336751")</f>
        <v>http://ts.21cn.com/tousu/show/id/1336751</v>
      </c>
      <c r="F5890" s="2" t="s">
        <v>11</v>
      </c>
      <c r="G5890" s="2" t="s">
        <v>32575</v>
      </c>
      <c r="H5890" s="2" t="s">
        <v>32576</v>
      </c>
    </row>
    <row r="5891" spans="1:8" ht="25.05" customHeight="1" x14ac:dyDescent="0.25">
      <c r="A5891" s="2" t="s">
        <v>8</v>
      </c>
      <c r="B5891" s="2" t="str">
        <f>HYPERLINK("http://ts.21cn.com/tousu/show/id/1336752","小花钱包暴力催收")</f>
        <v>小花钱包暴力催收</v>
      </c>
      <c r="C5891" s="2" t="s">
        <v>9</v>
      </c>
      <c r="D5891" s="2" t="s">
        <v>10</v>
      </c>
      <c r="E5891" s="2" t="str">
        <f>HYPERLINK("http://ts.21cn.com/tousu/show/id/1336752","http://ts.21cn.com/tousu/show/id/1336752")</f>
        <v>http://ts.21cn.com/tousu/show/id/1336752</v>
      </c>
      <c r="F5891" s="2" t="s">
        <v>11</v>
      </c>
      <c r="G5891" s="2" t="s">
        <v>32573</v>
      </c>
      <c r="H5891" s="2" t="s">
        <v>32574</v>
      </c>
    </row>
    <row r="5892" spans="1:8" ht="25.05" customHeight="1" x14ac:dyDescent="0.25">
      <c r="A5892" s="2" t="s">
        <v>8</v>
      </c>
      <c r="B5892" s="2" t="str">
        <f>HYPERLINK("http://ts.21cn.com/tousu/show/id/1336753","北京友缘在线网络科技股份有限公司旗下app《约会吧》非法收取费用现象")</f>
        <v>北京友缘在线网络科技股份有限公司旗下app《约会吧》非法收取费用现象</v>
      </c>
      <c r="C5892" s="2" t="s">
        <v>9</v>
      </c>
      <c r="D5892" s="2" t="s">
        <v>10</v>
      </c>
      <c r="E5892" s="2" t="str">
        <f>HYPERLINK("http://ts.21cn.com/tousu/show/id/1336753","http://ts.21cn.com/tousu/show/id/1336753")</f>
        <v>http://ts.21cn.com/tousu/show/id/1336753</v>
      </c>
      <c r="F5892" s="2" t="s">
        <v>11</v>
      </c>
      <c r="G5892" s="2" t="s">
        <v>32571</v>
      </c>
      <c r="H5892" s="2" t="s">
        <v>32572</v>
      </c>
    </row>
    <row r="5893" spans="1:8" ht="25.05" customHeight="1" x14ac:dyDescent="0.25">
      <c r="A5893" s="2" t="s">
        <v>8</v>
      </c>
      <c r="B5893" s="2" t="str">
        <f>HYPERLINK("http://ts.21cn.com/tousu/show/id/1336754","百万钱包变相收取手续费和砍头息")</f>
        <v>百万钱包变相收取手续费和砍头息</v>
      </c>
      <c r="C5893" s="2" t="s">
        <v>9</v>
      </c>
      <c r="D5893" s="2" t="s">
        <v>10</v>
      </c>
      <c r="E5893" s="2" t="str">
        <f>HYPERLINK("http://ts.21cn.com/tousu/show/id/1336754","http://ts.21cn.com/tousu/show/id/1336754")</f>
        <v>http://ts.21cn.com/tousu/show/id/1336754</v>
      </c>
      <c r="F5893" s="2" t="s">
        <v>11</v>
      </c>
      <c r="G5893" s="2" t="s">
        <v>32569</v>
      </c>
      <c r="H5893" s="2" t="s">
        <v>32570</v>
      </c>
    </row>
    <row r="5894" spans="1:8" ht="25.05" customHeight="1" x14ac:dyDescent="0.25">
      <c r="A5894" s="2" t="s">
        <v>8</v>
      </c>
      <c r="B5894" s="2" t="str">
        <f>HYPERLINK("http://ts.21cn.com/tousu/show/id/1336755","立借贷款给月光侠分期提供平台，月光侠暴力催收")</f>
        <v>立借贷款给月光侠分期提供平台，月光侠暴力催收</v>
      </c>
      <c r="C5894" s="2" t="s">
        <v>9</v>
      </c>
      <c r="D5894" s="2" t="s">
        <v>10</v>
      </c>
      <c r="E5894" s="2" t="str">
        <f>HYPERLINK("http://ts.21cn.com/tousu/show/id/1336755","http://ts.21cn.com/tousu/show/id/1336755")</f>
        <v>http://ts.21cn.com/tousu/show/id/1336755</v>
      </c>
      <c r="F5894" s="2" t="s">
        <v>11</v>
      </c>
      <c r="G5894" s="2" t="s">
        <v>32567</v>
      </c>
      <c r="H5894" s="2" t="s">
        <v>32568</v>
      </c>
    </row>
    <row r="5895" spans="1:8" ht="25.05" customHeight="1" x14ac:dyDescent="0.25">
      <c r="A5895" s="2" t="s">
        <v>8</v>
      </c>
      <c r="B5895" s="2" t="str">
        <f>HYPERLINK("http://ts.21cn.com/tousu/show/id/1336756","借贷宝纵容放高利贷")</f>
        <v>借贷宝纵容放高利贷</v>
      </c>
      <c r="C5895" s="2" t="s">
        <v>9</v>
      </c>
      <c r="D5895" s="2" t="s">
        <v>10</v>
      </c>
      <c r="E5895" s="2" t="str">
        <f>HYPERLINK("http://ts.21cn.com/tousu/show/id/1336756","http://ts.21cn.com/tousu/show/id/1336756")</f>
        <v>http://ts.21cn.com/tousu/show/id/1336756</v>
      </c>
      <c r="F5895" s="2" t="s">
        <v>11</v>
      </c>
      <c r="G5895" s="2" t="s">
        <v>32565</v>
      </c>
      <c r="H5895" s="2" t="s">
        <v>32566</v>
      </c>
    </row>
    <row r="5896" spans="1:8" ht="25.05" customHeight="1" x14ac:dyDescent="0.25">
      <c r="A5896" s="2" t="s">
        <v>8</v>
      </c>
      <c r="B5896" s="2" t="str">
        <f>HYPERLINK("http://ts.21cn.com/tousu/show/id/1336734","转转请给出合理解释")</f>
        <v>转转请给出合理解释</v>
      </c>
      <c r="C5896" s="2" t="s">
        <v>9</v>
      </c>
      <c r="D5896" s="2" t="s">
        <v>10</v>
      </c>
      <c r="E5896" s="2" t="str">
        <f>HYPERLINK("http://ts.21cn.com/tousu/show/id/1336734","http://ts.21cn.com/tousu/show/id/1336734")</f>
        <v>http://ts.21cn.com/tousu/show/id/1336734</v>
      </c>
      <c r="F5896" s="2" t="s">
        <v>11</v>
      </c>
      <c r="G5896" s="2" t="s">
        <v>32563</v>
      </c>
      <c r="H5896" s="2" t="s">
        <v>32564</v>
      </c>
    </row>
    <row r="5897" spans="1:8" ht="25.05" customHeight="1" x14ac:dyDescent="0.25">
      <c r="A5897" s="2" t="s">
        <v>8</v>
      </c>
      <c r="B5897" s="2" t="str">
        <f>HYPERLINK("http://ts.21cn.com/tousu/show/id/1336759","微博恶意导致逾期")</f>
        <v>微博恶意导致逾期</v>
      </c>
      <c r="C5897" s="2" t="s">
        <v>9</v>
      </c>
      <c r="D5897" s="2" t="s">
        <v>10</v>
      </c>
      <c r="E5897" s="2" t="str">
        <f>HYPERLINK("http://ts.21cn.com/tousu/show/id/1336759","http://ts.21cn.com/tousu/show/id/1336759")</f>
        <v>http://ts.21cn.com/tousu/show/id/1336759</v>
      </c>
      <c r="F5897" s="2" t="s">
        <v>11</v>
      </c>
      <c r="G5897" s="2" t="s">
        <v>32561</v>
      </c>
      <c r="H5897" s="2" t="s">
        <v>32562</v>
      </c>
    </row>
    <row r="5898" spans="1:8" ht="25.05" customHeight="1" x14ac:dyDescent="0.25">
      <c r="A5898" s="2" t="s">
        <v>8</v>
      </c>
      <c r="B5898" s="2" t="str">
        <f>HYPERLINK("http://ts.21cn.com/tousu/show/id/1336757","银行卡被盗刷")</f>
        <v>银行卡被盗刷</v>
      </c>
      <c r="C5898" s="2" t="s">
        <v>9</v>
      </c>
      <c r="D5898" s="2" t="s">
        <v>10</v>
      </c>
      <c r="E5898" s="2" t="str">
        <f>HYPERLINK("http://ts.21cn.com/tousu/show/id/1336757","http://ts.21cn.com/tousu/show/id/1336757")</f>
        <v>http://ts.21cn.com/tousu/show/id/1336757</v>
      </c>
      <c r="F5898" s="2" t="s">
        <v>11</v>
      </c>
      <c r="G5898" s="2" t="s">
        <v>32559</v>
      </c>
      <c r="H5898" s="2" t="s">
        <v>32560</v>
      </c>
    </row>
    <row r="5899" spans="1:8" ht="25.05" customHeight="1" x14ac:dyDescent="0.25">
      <c r="A5899" s="2" t="s">
        <v>8</v>
      </c>
      <c r="B5899" s="2" t="str">
        <f>HYPERLINK("http://ts.21cn.com/tousu/show/id/1336758","714高炮")</f>
        <v>714高炮</v>
      </c>
      <c r="C5899" s="2" t="s">
        <v>9</v>
      </c>
      <c r="D5899" s="2" t="s">
        <v>10</v>
      </c>
      <c r="E5899" s="2" t="str">
        <f>HYPERLINK("http://ts.21cn.com/tousu/show/id/1336758","http://ts.21cn.com/tousu/show/id/1336758")</f>
        <v>http://ts.21cn.com/tousu/show/id/1336758</v>
      </c>
      <c r="F5899" s="2" t="s">
        <v>11</v>
      </c>
      <c r="G5899" s="2" t="s">
        <v>32557</v>
      </c>
      <c r="H5899" s="2" t="s">
        <v>32558</v>
      </c>
    </row>
    <row r="5900" spans="1:8" ht="25.05" customHeight="1" x14ac:dyDescent="0.25">
      <c r="A5900" s="2" t="s">
        <v>8</v>
      </c>
      <c r="B5900" s="2" t="str">
        <f>HYPERLINK("http://ts.21cn.com/tousu/show/id/1336760","无故扣费")</f>
        <v>无故扣费</v>
      </c>
      <c r="C5900" s="2" t="s">
        <v>9</v>
      </c>
      <c r="D5900" s="2" t="s">
        <v>10</v>
      </c>
      <c r="E5900" s="2" t="str">
        <f>HYPERLINK("http://ts.21cn.com/tousu/show/id/1336760","http://ts.21cn.com/tousu/show/id/1336760")</f>
        <v>http://ts.21cn.com/tousu/show/id/1336760</v>
      </c>
      <c r="F5900" s="2" t="s">
        <v>11</v>
      </c>
      <c r="G5900" s="2" t="s">
        <v>32555</v>
      </c>
      <c r="H5900" s="2" t="s">
        <v>32556</v>
      </c>
    </row>
    <row r="5901" spans="1:8" ht="25.05" customHeight="1" x14ac:dyDescent="0.25">
      <c r="A5901" s="2" t="s">
        <v>8</v>
      </c>
      <c r="B5901" s="2" t="str">
        <f>HYPERLINK("http://ts.21cn.com/tousu/show/id/1336761","上海淇毓信息科技有限公司下属360借条威胁伪造合同")</f>
        <v>上海淇毓信息科技有限公司下属360借条威胁伪造合同</v>
      </c>
      <c r="C5901" s="2" t="s">
        <v>9</v>
      </c>
      <c r="D5901" s="2" t="s">
        <v>10</v>
      </c>
      <c r="E5901" s="2" t="str">
        <f>HYPERLINK("http://ts.21cn.com/tousu/show/id/1336761","http://ts.21cn.com/tousu/show/id/1336761")</f>
        <v>http://ts.21cn.com/tousu/show/id/1336761</v>
      </c>
      <c r="F5901" s="2" t="s">
        <v>11</v>
      </c>
      <c r="G5901" s="2" t="s">
        <v>32553</v>
      </c>
      <c r="H5901" s="2" t="s">
        <v>32554</v>
      </c>
    </row>
    <row r="5902" spans="1:8" ht="25.05" customHeight="1" x14ac:dyDescent="0.25">
      <c r="A5902" s="2" t="s">
        <v>8</v>
      </c>
      <c r="B5902" s="2" t="str">
        <f>HYPERLINK("http://ts.21cn.com/tousu/show/id/1336762","立马销帐已经还清")</f>
        <v>立马销帐已经还清</v>
      </c>
      <c r="C5902" s="2" t="s">
        <v>34</v>
      </c>
      <c r="D5902" s="2" t="s">
        <v>10</v>
      </c>
      <c r="E5902" s="2" t="str">
        <f>HYPERLINK("http://ts.21cn.com/tousu/show/id/1336762","http://ts.21cn.com/tousu/show/id/1336762")</f>
        <v>http://ts.21cn.com/tousu/show/id/1336762</v>
      </c>
      <c r="F5902" s="2" t="s">
        <v>11</v>
      </c>
      <c r="G5902" s="2" t="s">
        <v>32551</v>
      </c>
      <c r="H5902" s="2" t="s">
        <v>32552</v>
      </c>
    </row>
    <row r="5903" spans="1:8" ht="25.05" customHeight="1" x14ac:dyDescent="0.25">
      <c r="A5903" s="2" t="s">
        <v>8</v>
      </c>
      <c r="B5903" s="2" t="str">
        <f>HYPERLINK("http://ts.21cn.com/tousu/show/id/1336763","立借平台冒充法院打电话恐吓催收，说要到法院去报到，虚假")</f>
        <v>立借平台冒充法院打电话恐吓催收，说要到法院去报到，虚假</v>
      </c>
      <c r="C5903" s="2" t="s">
        <v>9</v>
      </c>
      <c r="D5903" s="2" t="s">
        <v>10</v>
      </c>
      <c r="E5903" s="2" t="str">
        <f>HYPERLINK("http://ts.21cn.com/tousu/show/id/1336763","http://ts.21cn.com/tousu/show/id/1336763")</f>
        <v>http://ts.21cn.com/tousu/show/id/1336763</v>
      </c>
      <c r="F5903" s="2" t="s">
        <v>11</v>
      </c>
      <c r="G5903" s="2" t="s">
        <v>32549</v>
      </c>
      <c r="H5903" s="2" t="s">
        <v>32550</v>
      </c>
    </row>
    <row r="5904" spans="1:8" ht="25.05" customHeight="1" x14ac:dyDescent="0.25">
      <c r="A5904" s="2" t="s">
        <v>8</v>
      </c>
      <c r="B5904" s="2" t="str">
        <f>HYPERLINK("http://ts.21cn.com/tousu/show/id/1336764","有用分期暴力催收")</f>
        <v>有用分期暴力催收</v>
      </c>
      <c r="C5904" s="2" t="s">
        <v>9</v>
      </c>
      <c r="D5904" s="2" t="s">
        <v>10</v>
      </c>
      <c r="E5904" s="2" t="str">
        <f>HYPERLINK("http://ts.21cn.com/tousu/show/id/1336764","http://ts.21cn.com/tousu/show/id/1336764")</f>
        <v>http://ts.21cn.com/tousu/show/id/1336764</v>
      </c>
      <c r="F5904" s="2" t="s">
        <v>11</v>
      </c>
      <c r="G5904" s="2" t="s">
        <v>32547</v>
      </c>
      <c r="H5904" s="2" t="s">
        <v>32548</v>
      </c>
    </row>
    <row r="5905" spans="1:8" ht="25.05" customHeight="1" x14ac:dyDescent="0.25">
      <c r="A5905" s="2" t="s">
        <v>8</v>
      </c>
      <c r="B5905" s="2" t="str">
        <f>HYPERLINK("http://ts.21cn.com/tousu/show/id/1336765","逾期后变相收费")</f>
        <v>逾期后变相收费</v>
      </c>
      <c r="C5905" s="2" t="s">
        <v>9</v>
      </c>
      <c r="D5905" s="2" t="s">
        <v>10</v>
      </c>
      <c r="E5905" s="2" t="str">
        <f>HYPERLINK("http://ts.21cn.com/tousu/show/id/1336765","http://ts.21cn.com/tousu/show/id/1336765")</f>
        <v>http://ts.21cn.com/tousu/show/id/1336765</v>
      </c>
      <c r="F5905" s="2" t="s">
        <v>11</v>
      </c>
      <c r="G5905" s="2" t="s">
        <v>32545</v>
      </c>
      <c r="H5905" s="2" t="s">
        <v>32546</v>
      </c>
    </row>
    <row r="5906" spans="1:8" ht="25.05" customHeight="1" x14ac:dyDescent="0.25">
      <c r="A5906" s="2" t="s">
        <v>8</v>
      </c>
      <c r="B5906" s="2" t="str">
        <f>HYPERLINK("http://ts.21cn.com/tousu/show/id/1336766","在网易云音乐购买的笛子有问题")</f>
        <v>在网易云音乐购买的笛子有问题</v>
      </c>
      <c r="C5906" s="2" t="s">
        <v>34</v>
      </c>
      <c r="D5906" s="2" t="s">
        <v>10</v>
      </c>
      <c r="E5906" s="2" t="str">
        <f>HYPERLINK("http://ts.21cn.com/tousu/show/id/1336766","http://ts.21cn.com/tousu/show/id/1336766")</f>
        <v>http://ts.21cn.com/tousu/show/id/1336766</v>
      </c>
      <c r="F5906" s="2" t="s">
        <v>11</v>
      </c>
      <c r="G5906" s="2" t="s">
        <v>32543</v>
      </c>
      <c r="H5906" s="2" t="s">
        <v>32544</v>
      </c>
    </row>
    <row r="5907" spans="1:8" ht="25.05" customHeight="1" x14ac:dyDescent="0.25">
      <c r="A5907" s="2" t="s">
        <v>8</v>
      </c>
      <c r="B5907" s="2" t="str">
        <f>HYPERLINK("http://ts.21cn.com/tousu/show/id/1336767","要求退款249元无效退款")</f>
        <v>要求退款249元无效退款</v>
      </c>
      <c r="C5907" s="2" t="s">
        <v>34</v>
      </c>
      <c r="D5907" s="2" t="s">
        <v>10</v>
      </c>
      <c r="E5907" s="2" t="str">
        <f>HYPERLINK("http://ts.21cn.com/tousu/show/id/1336767","http://ts.21cn.com/tousu/show/id/1336767")</f>
        <v>http://ts.21cn.com/tousu/show/id/1336767</v>
      </c>
      <c r="F5907" s="2" t="s">
        <v>11</v>
      </c>
      <c r="G5907" s="2" t="s">
        <v>32541</v>
      </c>
      <c r="H5907" s="2" t="s">
        <v>32542</v>
      </c>
    </row>
    <row r="5908" spans="1:8" ht="25.05" customHeight="1" x14ac:dyDescent="0.25">
      <c r="A5908" s="2" t="s">
        <v>8</v>
      </c>
      <c r="B5908" s="2" t="str">
        <f>HYPERLINK("http://ts.21cn.com/tousu/show/id/1336768","乱扣手机话费")</f>
        <v>乱扣手机话费</v>
      </c>
      <c r="C5908" s="2" t="s">
        <v>9</v>
      </c>
      <c r="D5908" s="2" t="s">
        <v>10</v>
      </c>
      <c r="E5908" s="2" t="str">
        <f>HYPERLINK("http://ts.21cn.com/tousu/show/id/1336768","http://ts.21cn.com/tousu/show/id/1336768")</f>
        <v>http://ts.21cn.com/tousu/show/id/1336768</v>
      </c>
      <c r="F5908" s="2" t="s">
        <v>11</v>
      </c>
      <c r="G5908" s="2" t="s">
        <v>32539</v>
      </c>
      <c r="H5908" s="2" t="s">
        <v>32540</v>
      </c>
    </row>
    <row r="5909" spans="1:8" ht="25.05" customHeight="1" x14ac:dyDescent="0.25">
      <c r="A5909" s="2" t="s">
        <v>8</v>
      </c>
      <c r="B5909" s="2" t="str">
        <f>HYPERLINK("http://ts.21cn.com/tousu/show/id/1336770","立借平台工作人员态度及其差，问一点处理问题都不耐烦，还骂人")</f>
        <v>立借平台工作人员态度及其差，问一点处理问题都不耐烦，还骂人</v>
      </c>
      <c r="C5909" s="2" t="s">
        <v>9</v>
      </c>
      <c r="D5909" s="2" t="s">
        <v>10</v>
      </c>
      <c r="E5909" s="2" t="str">
        <f>HYPERLINK("http://ts.21cn.com/tousu/show/id/1336770","http://ts.21cn.com/tousu/show/id/1336770")</f>
        <v>http://ts.21cn.com/tousu/show/id/1336770</v>
      </c>
      <c r="F5909" s="2" t="s">
        <v>11</v>
      </c>
      <c r="G5909" s="2" t="s">
        <v>32537</v>
      </c>
      <c r="H5909" s="2" t="s">
        <v>32538</v>
      </c>
    </row>
    <row r="5910" spans="1:8" ht="25.05" customHeight="1" x14ac:dyDescent="0.25">
      <c r="A5910" s="2" t="s">
        <v>8</v>
      </c>
      <c r="B5910" s="2" t="str">
        <f>HYPERLINK("http://ts.21cn.com/tousu/show/id/1336771","美团外卖不合理规定，造成损失")</f>
        <v>美团外卖不合理规定，造成损失</v>
      </c>
      <c r="C5910" s="2" t="s">
        <v>9</v>
      </c>
      <c r="D5910" s="2" t="s">
        <v>10</v>
      </c>
      <c r="E5910" s="2" t="str">
        <f>HYPERLINK("http://ts.21cn.com/tousu/show/id/1336771","http://ts.21cn.com/tousu/show/id/1336771")</f>
        <v>http://ts.21cn.com/tousu/show/id/1336771</v>
      </c>
      <c r="F5910" s="2" t="s">
        <v>11</v>
      </c>
      <c r="G5910" s="2" t="s">
        <v>32535</v>
      </c>
      <c r="H5910" s="2" t="s">
        <v>32536</v>
      </c>
    </row>
    <row r="5911" spans="1:8" ht="25.05" customHeight="1" x14ac:dyDescent="0.25">
      <c r="A5911" s="2" t="s">
        <v>8</v>
      </c>
      <c r="B5911" s="2" t="str">
        <f>HYPERLINK("http://ts.21cn.com/tousu/show/id/1336772","钱站高利贷阴阳合同年利率百分之400")</f>
        <v>钱站高利贷阴阳合同年利率百分之400</v>
      </c>
      <c r="C5911" s="2" t="s">
        <v>9</v>
      </c>
      <c r="D5911" s="2" t="s">
        <v>10</v>
      </c>
      <c r="E5911" s="2" t="str">
        <f>HYPERLINK("http://ts.21cn.com/tousu/show/id/1336772","http://ts.21cn.com/tousu/show/id/1336772")</f>
        <v>http://ts.21cn.com/tousu/show/id/1336772</v>
      </c>
      <c r="F5911" s="2" t="s">
        <v>11</v>
      </c>
      <c r="G5911" s="2" t="s">
        <v>32533</v>
      </c>
      <c r="H5911" s="2" t="s">
        <v>32534</v>
      </c>
    </row>
    <row r="5912" spans="1:8" ht="25.05" customHeight="1" x14ac:dyDescent="0.25">
      <c r="A5912" s="2" t="s">
        <v>8</v>
      </c>
      <c r="B5912" s="2" t="str">
        <f>HYPERLINK("http://ts.21cn.com/tousu/show/id/1336483","威胁爆通讯录暴力催收")</f>
        <v>威胁爆通讯录暴力催收</v>
      </c>
      <c r="C5912" s="2" t="s">
        <v>9</v>
      </c>
      <c r="D5912" s="2" t="s">
        <v>10</v>
      </c>
      <c r="E5912" s="2" t="str">
        <f>HYPERLINK("http://ts.21cn.com/tousu/show/id/1336483","http://ts.21cn.com/tousu/show/id/1336483")</f>
        <v>http://ts.21cn.com/tousu/show/id/1336483</v>
      </c>
      <c r="F5912" s="2" t="s">
        <v>11</v>
      </c>
      <c r="G5912" s="2" t="s">
        <v>32531</v>
      </c>
      <c r="H5912" s="2" t="s">
        <v>32532</v>
      </c>
    </row>
    <row r="5913" spans="1:8" ht="25.05" customHeight="1" x14ac:dyDescent="0.25">
      <c r="A5913" s="2" t="s">
        <v>8</v>
      </c>
      <c r="B5913" s="2" t="str">
        <f>HYPERLINK("http://ts.21cn.com/tousu/show/id/1336773","维信金科分期太高了")</f>
        <v>维信金科分期太高了</v>
      </c>
      <c r="C5913" s="2" t="s">
        <v>9</v>
      </c>
      <c r="D5913" s="2" t="s">
        <v>10</v>
      </c>
      <c r="E5913" s="2" t="str">
        <f>HYPERLINK("http://ts.21cn.com/tousu/show/id/1336773","http://ts.21cn.com/tousu/show/id/1336773")</f>
        <v>http://ts.21cn.com/tousu/show/id/1336773</v>
      </c>
      <c r="F5913" s="2" t="s">
        <v>11</v>
      </c>
      <c r="G5913" s="2" t="s">
        <v>32529</v>
      </c>
      <c r="H5913" s="2" t="s">
        <v>32530</v>
      </c>
    </row>
    <row r="5914" spans="1:8" ht="25.05" customHeight="1" x14ac:dyDescent="0.25">
      <c r="A5914" s="2" t="s">
        <v>8</v>
      </c>
      <c r="B5914" s="2" t="str">
        <f>HYPERLINK("http://ts.21cn.com/tousu/show/id/1336774","京东金条还款日没有任何提醒导致逾期一天")</f>
        <v>京东金条还款日没有任何提醒导致逾期一天</v>
      </c>
      <c r="C5914" s="2" t="s">
        <v>9</v>
      </c>
      <c r="D5914" s="2" t="s">
        <v>10</v>
      </c>
      <c r="E5914" s="2" t="str">
        <f>HYPERLINK("http://ts.21cn.com/tousu/show/id/1336774","http://ts.21cn.com/tousu/show/id/1336774")</f>
        <v>http://ts.21cn.com/tousu/show/id/1336774</v>
      </c>
      <c r="F5914" s="2" t="s">
        <v>11</v>
      </c>
      <c r="G5914" s="2" t="s">
        <v>32527</v>
      </c>
      <c r="H5914" s="2" t="s">
        <v>32528</v>
      </c>
    </row>
    <row r="5915" spans="1:8" ht="25.05" customHeight="1" x14ac:dyDescent="0.25">
      <c r="A5915" s="2" t="s">
        <v>8</v>
      </c>
      <c r="B5915" s="2" t="str">
        <f>HYPERLINK("http://ts.21cn.com/tousu/show/id/1336769","北京天恒有孚教育商业欺诈给学员提供假学历证和工作证明蒙混通过消防工程师考前审核，考后被发现虚假会被拉进失信名单，费钱费力")</f>
        <v>北京天恒有孚教育商业欺诈给学员提供假学历证和工作证明蒙混通过消防工程师考前审核，考后被发现虚假会被拉进失信名单，费钱费力</v>
      </c>
      <c r="C5915" s="2" t="s">
        <v>9</v>
      </c>
      <c r="D5915" s="2" t="s">
        <v>10</v>
      </c>
      <c r="E5915" s="2" t="str">
        <f>HYPERLINK("http://ts.21cn.com/tousu/show/id/1336769","http://ts.21cn.com/tousu/show/id/1336769")</f>
        <v>http://ts.21cn.com/tousu/show/id/1336769</v>
      </c>
      <c r="F5915" s="2" t="s">
        <v>11</v>
      </c>
      <c r="G5915" s="2" t="s">
        <v>32525</v>
      </c>
      <c r="H5915" s="2" t="s">
        <v>32526</v>
      </c>
    </row>
    <row r="5916" spans="1:8" ht="25.05" customHeight="1" x14ac:dyDescent="0.25">
      <c r="A5916" s="2" t="s">
        <v>8</v>
      </c>
      <c r="B5916" s="2" t="str">
        <f>HYPERLINK("http://ts.21cn.com/tousu/show/id/1336777","无故多出800多的费用")</f>
        <v>无故多出800多的费用</v>
      </c>
      <c r="C5916" s="2" t="s">
        <v>9</v>
      </c>
      <c r="D5916" s="2" t="s">
        <v>10</v>
      </c>
      <c r="E5916" s="2" t="str">
        <f>HYPERLINK("http://ts.21cn.com/tousu/show/id/1336777","http://ts.21cn.com/tousu/show/id/1336777")</f>
        <v>http://ts.21cn.com/tousu/show/id/1336777</v>
      </c>
      <c r="F5916" s="2" t="s">
        <v>11</v>
      </c>
      <c r="G5916" s="2" t="s">
        <v>32523</v>
      </c>
      <c r="H5916" s="2" t="s">
        <v>32524</v>
      </c>
    </row>
    <row r="5917" spans="1:8" ht="25.05" customHeight="1" x14ac:dyDescent="0.25">
      <c r="A5917" s="2" t="s">
        <v>8</v>
      </c>
      <c r="B5917" s="2" t="str">
        <f>HYPERLINK("http://ts.21cn.com/tousu/show/id/1336778","立借这个平台快把我朋友逼疯了，还不起钱了就还威胁恐吓")</f>
        <v>立借这个平台快把我朋友逼疯了，还不起钱了就还威胁恐吓</v>
      </c>
      <c r="C5917" s="2" t="s">
        <v>9</v>
      </c>
      <c r="D5917" s="2" t="s">
        <v>10</v>
      </c>
      <c r="E5917" s="2" t="str">
        <f>HYPERLINK("http://ts.21cn.com/tousu/show/id/1336778","http://ts.21cn.com/tousu/show/id/1336778")</f>
        <v>http://ts.21cn.com/tousu/show/id/1336778</v>
      </c>
      <c r="F5917" s="2" t="s">
        <v>11</v>
      </c>
      <c r="G5917" s="2" t="s">
        <v>32521</v>
      </c>
      <c r="H5917" s="2" t="s">
        <v>32522</v>
      </c>
    </row>
    <row r="5918" spans="1:8" ht="25.05" customHeight="1" x14ac:dyDescent="0.25">
      <c r="A5918" s="2" t="s">
        <v>8</v>
      </c>
      <c r="B5918" s="2" t="str">
        <f>HYPERLINK("http://ts.21cn.com/tousu/show/id/1336779","海小葵利息超过国家标准")</f>
        <v>海小葵利息超过国家标准</v>
      </c>
      <c r="C5918" s="2" t="s">
        <v>9</v>
      </c>
      <c r="D5918" s="2" t="s">
        <v>10</v>
      </c>
      <c r="E5918" s="2" t="str">
        <f>HYPERLINK("http://ts.21cn.com/tousu/show/id/1336779","http://ts.21cn.com/tousu/show/id/1336779")</f>
        <v>http://ts.21cn.com/tousu/show/id/1336779</v>
      </c>
      <c r="F5918" s="2" t="s">
        <v>11</v>
      </c>
      <c r="G5918" s="2" t="s">
        <v>32519</v>
      </c>
      <c r="H5918" s="2" t="s">
        <v>32520</v>
      </c>
    </row>
    <row r="5919" spans="1:8" ht="25.05" customHeight="1" x14ac:dyDescent="0.25">
      <c r="A5919" s="2" t="s">
        <v>8</v>
      </c>
      <c r="B5919" s="2" t="str">
        <f>HYPERLINK("http://ts.21cn.com/tousu/show/id/1336781","拼多多平台完全偏向买家，顾客举证无效平台还是给予退款")</f>
        <v>拼多多平台完全偏向买家，顾客举证无效平台还是给予退款</v>
      </c>
      <c r="C5919" s="2" t="s">
        <v>9</v>
      </c>
      <c r="D5919" s="2" t="s">
        <v>10</v>
      </c>
      <c r="E5919" s="2" t="str">
        <f>HYPERLINK("http://ts.21cn.com/tousu/show/id/1336781","http://ts.21cn.com/tousu/show/id/1336781")</f>
        <v>http://ts.21cn.com/tousu/show/id/1336781</v>
      </c>
      <c r="F5919" s="2" t="s">
        <v>11</v>
      </c>
      <c r="G5919" s="2" t="s">
        <v>32517</v>
      </c>
      <c r="H5919" s="2" t="s">
        <v>32518</v>
      </c>
    </row>
    <row r="5920" spans="1:8" ht="25.05" customHeight="1" x14ac:dyDescent="0.25">
      <c r="A5920" s="2" t="s">
        <v>8</v>
      </c>
      <c r="B5920" s="2" t="str">
        <f>HYPERLINK("http://ts.21cn.com/tousu/show/id/1336780","你我贷高利息逼学生")</f>
        <v>你我贷高利息逼学生</v>
      </c>
      <c r="C5920" s="2" t="s">
        <v>9</v>
      </c>
      <c r="D5920" s="2" t="s">
        <v>10</v>
      </c>
      <c r="E5920" s="2" t="str">
        <f>HYPERLINK("http://ts.21cn.com/tousu/show/id/1336780","http://ts.21cn.com/tousu/show/id/1336780")</f>
        <v>http://ts.21cn.com/tousu/show/id/1336780</v>
      </c>
      <c r="F5920" s="2" t="s">
        <v>11</v>
      </c>
      <c r="G5920" s="2" t="s">
        <v>32515</v>
      </c>
      <c r="H5920" s="2" t="s">
        <v>32516</v>
      </c>
    </row>
    <row r="5921" spans="1:8" ht="25.05" customHeight="1" x14ac:dyDescent="0.25">
      <c r="A5921" s="2" t="s">
        <v>8</v>
      </c>
      <c r="B5921" s="2" t="str">
        <f>HYPERLINK("http://ts.21cn.com/tousu/show/id/1336782","中国银行储蓄卡被盗刷")</f>
        <v>中国银行储蓄卡被盗刷</v>
      </c>
      <c r="C5921" s="2" t="s">
        <v>9</v>
      </c>
      <c r="D5921" s="2" t="s">
        <v>10</v>
      </c>
      <c r="E5921" s="2" t="str">
        <f>HYPERLINK("http://ts.21cn.com/tousu/show/id/1336782","http://ts.21cn.com/tousu/show/id/1336782")</f>
        <v>http://ts.21cn.com/tousu/show/id/1336782</v>
      </c>
      <c r="F5921" s="2" t="s">
        <v>11</v>
      </c>
      <c r="G5921" s="2" t="s">
        <v>32513</v>
      </c>
      <c r="H5921" s="2" t="s">
        <v>32514</v>
      </c>
    </row>
    <row r="5922" spans="1:8" ht="25.05" customHeight="1" x14ac:dyDescent="0.25">
      <c r="A5922" s="2" t="s">
        <v>8</v>
      </c>
      <c r="B5922" s="2" t="str">
        <f>HYPERLINK("http://ts.21cn.com/tousu/show/id/1336783","人身攻击")</f>
        <v>人身攻击</v>
      </c>
      <c r="C5922" s="2" t="s">
        <v>9</v>
      </c>
      <c r="D5922" s="2" t="s">
        <v>10</v>
      </c>
      <c r="E5922" s="2" t="str">
        <f>HYPERLINK("http://ts.21cn.com/tousu/show/id/1336783","http://ts.21cn.com/tousu/show/id/1336783")</f>
        <v>http://ts.21cn.com/tousu/show/id/1336783</v>
      </c>
      <c r="F5922" s="2" t="s">
        <v>11</v>
      </c>
      <c r="G5922" s="2" t="s">
        <v>32511</v>
      </c>
      <c r="H5922" s="2" t="s">
        <v>32512</v>
      </c>
    </row>
    <row r="5923" spans="1:8" ht="25.05" customHeight="1" x14ac:dyDescent="0.25">
      <c r="A5923" s="2" t="s">
        <v>8</v>
      </c>
      <c r="B5923" s="2" t="str">
        <f>HYPERLINK("http://ts.21cn.com/tousu/show/id/1336784","没有用他们家的借款，过几天无缘无故乱扣我银行卡的钱")</f>
        <v>没有用他们家的借款，过几天无缘无故乱扣我银行卡的钱</v>
      </c>
      <c r="C5923" s="2" t="s">
        <v>9</v>
      </c>
      <c r="D5923" s="2" t="s">
        <v>10</v>
      </c>
      <c r="E5923" s="2" t="str">
        <f>HYPERLINK("http://ts.21cn.com/tousu/show/id/1336784","http://ts.21cn.com/tousu/show/id/1336784")</f>
        <v>http://ts.21cn.com/tousu/show/id/1336784</v>
      </c>
      <c r="F5923" s="2" t="s">
        <v>11</v>
      </c>
      <c r="G5923" s="2" t="s">
        <v>32509</v>
      </c>
      <c r="H5923" s="2" t="s">
        <v>32510</v>
      </c>
    </row>
    <row r="5924" spans="1:8" ht="25.05" customHeight="1" x14ac:dyDescent="0.25">
      <c r="A5924" s="2" t="s">
        <v>8</v>
      </c>
      <c r="B5924" s="2" t="str">
        <f>HYPERLINK("http://ts.21cn.com/tousu/show/id/1336785","骚扰诱惑贷款")</f>
        <v>骚扰诱惑贷款</v>
      </c>
      <c r="C5924" s="2" t="s">
        <v>9</v>
      </c>
      <c r="D5924" s="2" t="s">
        <v>10</v>
      </c>
      <c r="E5924" s="2" t="str">
        <f>HYPERLINK("http://ts.21cn.com/tousu/show/id/1336785","http://ts.21cn.com/tousu/show/id/1336785")</f>
        <v>http://ts.21cn.com/tousu/show/id/1336785</v>
      </c>
      <c r="F5924" s="2" t="s">
        <v>11</v>
      </c>
      <c r="G5924" s="2" t="s">
        <v>32508</v>
      </c>
      <c r="H5924" s="2" t="s">
        <v>32492</v>
      </c>
    </row>
    <row r="5925" spans="1:8" ht="25.05" customHeight="1" x14ac:dyDescent="0.25">
      <c r="A5925" s="2" t="s">
        <v>8</v>
      </c>
      <c r="B5925" s="2" t="str">
        <f>HYPERLINK("http://ts.21cn.com/tousu/show/id/1336786","多扣了一个月的利息")</f>
        <v>多扣了一个月的利息</v>
      </c>
      <c r="C5925" s="2" t="s">
        <v>9</v>
      </c>
      <c r="D5925" s="2" t="s">
        <v>10</v>
      </c>
      <c r="E5925" s="2" t="str">
        <f>HYPERLINK("http://ts.21cn.com/tousu/show/id/1336786","http://ts.21cn.com/tousu/show/id/1336786")</f>
        <v>http://ts.21cn.com/tousu/show/id/1336786</v>
      </c>
      <c r="F5925" s="2" t="s">
        <v>11</v>
      </c>
      <c r="G5925" s="2" t="s">
        <v>32506</v>
      </c>
      <c r="H5925" s="2" t="s">
        <v>32507</v>
      </c>
    </row>
    <row r="5926" spans="1:8" ht="25.05" customHeight="1" x14ac:dyDescent="0.25">
      <c r="A5926" s="2" t="s">
        <v>8</v>
      </c>
      <c r="B5926" s="2" t="str">
        <f>HYPERLINK("http://ts.21cn.com/tousu/show/id/1336788","中腾信，小花钱包恶意催收，骚扰借款人亲戚朋友")</f>
        <v>中腾信，小花钱包恶意催收，骚扰借款人亲戚朋友</v>
      </c>
      <c r="C5926" s="2" t="s">
        <v>9</v>
      </c>
      <c r="D5926" s="2" t="s">
        <v>10</v>
      </c>
      <c r="E5926" s="2" t="str">
        <f>HYPERLINK("http://ts.21cn.com/tousu/show/id/1336788","http://ts.21cn.com/tousu/show/id/1336788")</f>
        <v>http://ts.21cn.com/tousu/show/id/1336788</v>
      </c>
      <c r="F5926" s="2" t="s">
        <v>11</v>
      </c>
      <c r="G5926" s="2" t="s">
        <v>32503</v>
      </c>
      <c r="H5926" s="2" t="s">
        <v>32504</v>
      </c>
    </row>
    <row r="5927" spans="1:8" ht="25.05" customHeight="1" x14ac:dyDescent="0.25">
      <c r="A5927" s="2" t="s">
        <v>8</v>
      </c>
      <c r="B5927" s="2" t="str">
        <f>HYPERLINK("http://ts.21cn.com/tousu/show/id/1336787","拼多多涉嫌商家套路赌博网")</f>
        <v>拼多多涉嫌商家套路赌博网</v>
      </c>
      <c r="C5927" s="2" t="s">
        <v>9</v>
      </c>
      <c r="D5927" s="2" t="s">
        <v>10</v>
      </c>
      <c r="E5927" s="2" t="str">
        <f>HYPERLINK("http://ts.21cn.com/tousu/show/id/1336787","http://ts.21cn.com/tousu/show/id/1336787")</f>
        <v>http://ts.21cn.com/tousu/show/id/1336787</v>
      </c>
      <c r="F5927" s="2" t="s">
        <v>11</v>
      </c>
      <c r="G5927" s="2" t="s">
        <v>32503</v>
      </c>
      <c r="H5927" s="2" t="s">
        <v>32505</v>
      </c>
    </row>
    <row r="5928" spans="1:8" ht="25.05" customHeight="1" x14ac:dyDescent="0.25">
      <c r="A5928" s="2" t="s">
        <v>8</v>
      </c>
      <c r="B5928" s="2" t="str">
        <f>HYPERLINK("http://ts.21cn.com/tousu/show/id/1336789","骚扰威胁")</f>
        <v>骚扰威胁</v>
      </c>
      <c r="C5928" s="2" t="s">
        <v>9</v>
      </c>
      <c r="D5928" s="2" t="s">
        <v>10</v>
      </c>
      <c r="E5928" s="2" t="str">
        <f>HYPERLINK("http://ts.21cn.com/tousu/show/id/1336789","http://ts.21cn.com/tousu/show/id/1336789")</f>
        <v>http://ts.21cn.com/tousu/show/id/1336789</v>
      </c>
      <c r="F5928" s="2" t="s">
        <v>11</v>
      </c>
      <c r="G5928" s="2" t="s">
        <v>32502</v>
      </c>
      <c r="H5928" s="2" t="s">
        <v>32492</v>
      </c>
    </row>
    <row r="5929" spans="1:8" ht="25.05" customHeight="1" x14ac:dyDescent="0.25">
      <c r="A5929" s="2" t="s">
        <v>8</v>
      </c>
      <c r="B5929" s="2" t="str">
        <f>HYPERLINK("http://ts.21cn.com/tousu/show/id/1336790","人身攻击")</f>
        <v>人身攻击</v>
      </c>
      <c r="C5929" s="2" t="s">
        <v>9</v>
      </c>
      <c r="D5929" s="2" t="s">
        <v>10</v>
      </c>
      <c r="E5929" s="2" t="str">
        <f>HYPERLINK("http://ts.21cn.com/tousu/show/id/1336790","http://ts.21cn.com/tousu/show/id/1336790")</f>
        <v>http://ts.21cn.com/tousu/show/id/1336790</v>
      </c>
      <c r="F5929" s="2" t="s">
        <v>11</v>
      </c>
      <c r="G5929" s="2" t="s">
        <v>32500</v>
      </c>
      <c r="H5929" s="2" t="s">
        <v>32501</v>
      </c>
    </row>
    <row r="5930" spans="1:8" ht="25.05" customHeight="1" x14ac:dyDescent="0.25">
      <c r="A5930" s="2" t="s">
        <v>8</v>
      </c>
      <c r="B5930" s="2" t="str">
        <f>HYPERLINK("http://ts.21cn.com/tousu/show/id/1336791","月光侠分期收取高额手续费高利贷")</f>
        <v>月光侠分期收取高额手续费高利贷</v>
      </c>
      <c r="C5930" s="2" t="s">
        <v>9</v>
      </c>
      <c r="D5930" s="2" t="s">
        <v>10</v>
      </c>
      <c r="E5930" s="2" t="str">
        <f>HYPERLINK("http://ts.21cn.com/tousu/show/id/1336791","http://ts.21cn.com/tousu/show/id/1336791")</f>
        <v>http://ts.21cn.com/tousu/show/id/1336791</v>
      </c>
      <c r="F5930" s="2" t="s">
        <v>11</v>
      </c>
      <c r="G5930" s="2" t="s">
        <v>32498</v>
      </c>
      <c r="H5930" s="2" t="s">
        <v>32499</v>
      </c>
    </row>
    <row r="5931" spans="1:8" ht="25.05" customHeight="1" x14ac:dyDescent="0.25">
      <c r="A5931" s="2" t="s">
        <v>8</v>
      </c>
      <c r="B5931" s="2" t="str">
        <f>HYPERLINK("http://ts.21cn.com/tousu/show/id/1336793","立借恶意收取所谓前期小秘书费用")</f>
        <v>立借恶意收取所谓前期小秘书费用</v>
      </c>
      <c r="C5931" s="2" t="s">
        <v>9</v>
      </c>
      <c r="D5931" s="2" t="s">
        <v>10</v>
      </c>
      <c r="E5931" s="2" t="str">
        <f>HYPERLINK("http://ts.21cn.com/tousu/show/id/1336793","http://ts.21cn.com/tousu/show/id/1336793")</f>
        <v>http://ts.21cn.com/tousu/show/id/1336793</v>
      </c>
      <c r="F5931" s="2" t="s">
        <v>11</v>
      </c>
      <c r="G5931" s="2" t="s">
        <v>32496</v>
      </c>
      <c r="H5931" s="2" t="s">
        <v>32497</v>
      </c>
    </row>
    <row r="5932" spans="1:8" ht="25.05" customHeight="1" x14ac:dyDescent="0.25">
      <c r="A5932" s="2" t="s">
        <v>8</v>
      </c>
      <c r="B5932" s="2" t="str">
        <f>HYPERLINK("http://ts.21cn.com/tousu/show/id/1336794","手机借钱协同多宝分期放高利贷")</f>
        <v>手机借钱协同多宝分期放高利贷</v>
      </c>
      <c r="C5932" s="2" t="s">
        <v>9</v>
      </c>
      <c r="D5932" s="2" t="s">
        <v>10</v>
      </c>
      <c r="E5932" s="2" t="str">
        <f>HYPERLINK("http://ts.21cn.com/tousu/show/id/1336794","http://ts.21cn.com/tousu/show/id/1336794")</f>
        <v>http://ts.21cn.com/tousu/show/id/1336794</v>
      </c>
      <c r="F5932" s="2" t="s">
        <v>11</v>
      </c>
      <c r="G5932" s="2" t="s">
        <v>32494</v>
      </c>
      <c r="H5932" s="2" t="s">
        <v>32495</v>
      </c>
    </row>
    <row r="5933" spans="1:8" ht="25.05" customHeight="1" x14ac:dyDescent="0.25">
      <c r="A5933" s="2" t="s">
        <v>8</v>
      </c>
      <c r="B5933" s="2" t="str">
        <f>HYPERLINK("http://ts.21cn.com/tousu/show/id/1336795","天天上班没有时间接电话")</f>
        <v>天天上班没有时间接电话</v>
      </c>
      <c r="C5933" s="2" t="s">
        <v>34</v>
      </c>
      <c r="D5933" s="2" t="s">
        <v>10</v>
      </c>
      <c r="E5933" s="2" t="str">
        <f>HYPERLINK("http://ts.21cn.com/tousu/show/id/1336795","http://ts.21cn.com/tousu/show/id/1336795")</f>
        <v>http://ts.21cn.com/tousu/show/id/1336795</v>
      </c>
      <c r="F5933" s="2" t="s">
        <v>11</v>
      </c>
      <c r="G5933" s="2" t="s">
        <v>32493</v>
      </c>
      <c r="H5933" s="2" t="s">
        <v>25741</v>
      </c>
    </row>
    <row r="5934" spans="1:8" ht="25.05" customHeight="1" x14ac:dyDescent="0.25">
      <c r="A5934" s="2" t="s">
        <v>8</v>
      </c>
      <c r="B5934" s="2" t="str">
        <f>HYPERLINK("http://ts.21cn.com/tousu/show/id/1336796","骚扰言语恐吓")</f>
        <v>骚扰言语恐吓</v>
      </c>
      <c r="C5934" s="2" t="s">
        <v>9</v>
      </c>
      <c r="D5934" s="2" t="s">
        <v>10</v>
      </c>
      <c r="E5934" s="2" t="str">
        <f>HYPERLINK("http://ts.21cn.com/tousu/show/id/1336796","http://ts.21cn.com/tousu/show/id/1336796")</f>
        <v>http://ts.21cn.com/tousu/show/id/1336796</v>
      </c>
      <c r="F5934" s="2" t="s">
        <v>11</v>
      </c>
      <c r="G5934" s="2" t="s">
        <v>32491</v>
      </c>
      <c r="H5934" s="2" t="s">
        <v>32492</v>
      </c>
    </row>
    <row r="5935" spans="1:8" ht="25.05" customHeight="1" x14ac:dyDescent="0.25">
      <c r="A5935" s="2" t="s">
        <v>8</v>
      </c>
      <c r="B5935" s="2" t="str">
        <f>HYPERLINK("http://ts.21cn.com/tousu/show/id/1336797","卡牛平台收取砍头息")</f>
        <v>卡牛平台收取砍头息</v>
      </c>
      <c r="C5935" s="2" t="s">
        <v>9</v>
      </c>
      <c r="D5935" s="2" t="s">
        <v>10</v>
      </c>
      <c r="E5935" s="2" t="str">
        <f>HYPERLINK("http://ts.21cn.com/tousu/show/id/1336797","http://ts.21cn.com/tousu/show/id/1336797")</f>
        <v>http://ts.21cn.com/tousu/show/id/1336797</v>
      </c>
      <c r="F5935" s="2" t="s">
        <v>11</v>
      </c>
      <c r="G5935" s="2" t="s">
        <v>32489</v>
      </c>
      <c r="H5935" s="2" t="s">
        <v>32490</v>
      </c>
    </row>
    <row r="5936" spans="1:8" ht="25.05" customHeight="1" x14ac:dyDescent="0.25">
      <c r="A5936" s="2" t="s">
        <v>8</v>
      </c>
      <c r="B5936" s="2" t="str">
        <f>HYPERLINK("http://ts.21cn.com/tousu/show/id/1336799","立借平台操作失误造成客户经济损失又不负责")</f>
        <v>立借平台操作失误造成客户经济损失又不负责</v>
      </c>
      <c r="C5936" s="2" t="s">
        <v>9</v>
      </c>
      <c r="D5936" s="2" t="s">
        <v>10</v>
      </c>
      <c r="E5936" s="2" t="str">
        <f>HYPERLINK("http://ts.21cn.com/tousu/show/id/1336799","http://ts.21cn.com/tousu/show/id/1336799")</f>
        <v>http://ts.21cn.com/tousu/show/id/1336799</v>
      </c>
      <c r="F5936" s="2" t="s">
        <v>11</v>
      </c>
      <c r="G5936" s="2" t="s">
        <v>32487</v>
      </c>
      <c r="H5936" s="2" t="s">
        <v>32488</v>
      </c>
    </row>
    <row r="5937" spans="1:8" ht="25.05" customHeight="1" x14ac:dyDescent="0.25">
      <c r="A5937" s="2" t="s">
        <v>8</v>
      </c>
      <c r="B5937" s="2" t="str">
        <f>HYPERLINK("http://ts.21cn.com/tousu/show/id/1336792","虚假宣传，欺诈消费者")</f>
        <v>虚假宣传，欺诈消费者</v>
      </c>
      <c r="C5937" s="2" t="s">
        <v>9</v>
      </c>
      <c r="D5937" s="2" t="s">
        <v>10</v>
      </c>
      <c r="E5937" s="2" t="str">
        <f>HYPERLINK("http://ts.21cn.com/tousu/show/id/1336792","http://ts.21cn.com/tousu/show/id/1336792")</f>
        <v>http://ts.21cn.com/tousu/show/id/1336792</v>
      </c>
      <c r="F5937" s="2" t="s">
        <v>11</v>
      </c>
      <c r="G5937" s="2" t="s">
        <v>32485</v>
      </c>
      <c r="H5937" s="2" t="s">
        <v>32486</v>
      </c>
    </row>
    <row r="5938" spans="1:8" ht="25.05" customHeight="1" x14ac:dyDescent="0.25">
      <c r="A5938" s="2" t="s">
        <v>8</v>
      </c>
      <c r="B5938" s="2" t="str">
        <f>HYPERLINK("http://ts.21cn.com/tousu/show/id/1336800","蓝店app无法提现")</f>
        <v>蓝店app无法提现</v>
      </c>
      <c r="C5938" s="2" t="s">
        <v>9</v>
      </c>
      <c r="D5938" s="2" t="s">
        <v>10</v>
      </c>
      <c r="E5938" s="2" t="str">
        <f>HYPERLINK("http://ts.21cn.com/tousu/show/id/1336800","http://ts.21cn.com/tousu/show/id/1336800")</f>
        <v>http://ts.21cn.com/tousu/show/id/1336800</v>
      </c>
      <c r="F5938" s="2" t="s">
        <v>11</v>
      </c>
      <c r="G5938" s="2" t="s">
        <v>32483</v>
      </c>
      <c r="H5938" s="2" t="s">
        <v>32484</v>
      </c>
    </row>
    <row r="5939" spans="1:8" ht="25.05" customHeight="1" x14ac:dyDescent="0.25">
      <c r="A5939" s="2" t="s">
        <v>8</v>
      </c>
      <c r="B5939" s="2" t="str">
        <f>HYPERLINK("http://ts.21cn.com/tousu/show/id/1336802","每天去我家闹催款")</f>
        <v>每天去我家闹催款</v>
      </c>
      <c r="C5939" s="2" t="s">
        <v>9</v>
      </c>
      <c r="D5939" s="2" t="s">
        <v>10</v>
      </c>
      <c r="E5939" s="2" t="str">
        <f>HYPERLINK("http://ts.21cn.com/tousu/show/id/1336802","http://ts.21cn.com/tousu/show/id/1336802")</f>
        <v>http://ts.21cn.com/tousu/show/id/1336802</v>
      </c>
      <c r="F5939" s="2" t="s">
        <v>11</v>
      </c>
      <c r="G5939" s="2" t="s">
        <v>32481</v>
      </c>
      <c r="H5939" s="2" t="s">
        <v>32482</v>
      </c>
    </row>
    <row r="5940" spans="1:8" ht="25.05" customHeight="1" x14ac:dyDescent="0.25">
      <c r="A5940" s="2" t="s">
        <v>8</v>
      </c>
      <c r="B5940" s="2" t="str">
        <f>HYPERLINK("http://ts.21cn.com/tousu/show/id/1336803","马上金融安逸花取消并且退还寿险费灵活包费保证险费")</f>
        <v>马上金融安逸花取消并且退还寿险费灵活包费保证险费</v>
      </c>
      <c r="C5940" s="2" t="s">
        <v>9</v>
      </c>
      <c r="D5940" s="2" t="s">
        <v>10</v>
      </c>
      <c r="E5940" s="2" t="str">
        <f>HYPERLINK("http://ts.21cn.com/tousu/show/id/1336803","http://ts.21cn.com/tousu/show/id/1336803")</f>
        <v>http://ts.21cn.com/tousu/show/id/1336803</v>
      </c>
      <c r="F5940" s="2" t="s">
        <v>11</v>
      </c>
      <c r="G5940" s="2" t="s">
        <v>32479</v>
      </c>
      <c r="H5940" s="2" t="s">
        <v>32480</v>
      </c>
    </row>
    <row r="5941" spans="1:8" ht="25.05" customHeight="1" x14ac:dyDescent="0.25">
      <c r="A5941" s="2" t="s">
        <v>8</v>
      </c>
      <c r="B5941" s="2" t="str">
        <f>HYPERLINK("http://ts.21cn.com/tousu/show/id/1336804","龙虾分期故意不让人还款")</f>
        <v>龙虾分期故意不让人还款</v>
      </c>
      <c r="C5941" s="2" t="s">
        <v>9</v>
      </c>
      <c r="D5941" s="2" t="s">
        <v>10</v>
      </c>
      <c r="E5941" s="2" t="str">
        <f>HYPERLINK("http://ts.21cn.com/tousu/show/id/1336804","http://ts.21cn.com/tousu/show/id/1336804")</f>
        <v>http://ts.21cn.com/tousu/show/id/1336804</v>
      </c>
      <c r="F5941" s="2" t="s">
        <v>11</v>
      </c>
      <c r="G5941" s="2" t="s">
        <v>32477</v>
      </c>
      <c r="H5941" s="2" t="s">
        <v>32478</v>
      </c>
    </row>
    <row r="5942" spans="1:8" ht="25.05" customHeight="1" x14ac:dyDescent="0.25">
      <c r="A5942" s="2" t="s">
        <v>8</v>
      </c>
      <c r="B5942" s="2" t="str">
        <f>HYPERLINK("http://ts.21cn.com/tousu/show/id/1336805","猫眼APP拉新活动欺诈消费者")</f>
        <v>猫眼APP拉新活动欺诈消费者</v>
      </c>
      <c r="C5942" s="2" t="s">
        <v>9</v>
      </c>
      <c r="D5942" s="2" t="s">
        <v>10</v>
      </c>
      <c r="E5942" s="2" t="str">
        <f>HYPERLINK("http://ts.21cn.com/tousu/show/id/1336805","http://ts.21cn.com/tousu/show/id/1336805")</f>
        <v>http://ts.21cn.com/tousu/show/id/1336805</v>
      </c>
      <c r="F5942" s="2" t="s">
        <v>11</v>
      </c>
      <c r="G5942" s="2" t="s">
        <v>32475</v>
      </c>
      <c r="H5942" s="2" t="s">
        <v>32476</v>
      </c>
    </row>
    <row r="5943" spans="1:8" ht="25.05" customHeight="1" x14ac:dyDescent="0.25">
      <c r="A5943" s="2" t="s">
        <v>8</v>
      </c>
      <c r="B5943" s="2" t="str">
        <f>HYPERLINK("http://ts.21cn.com/tousu/show/id/1336807","钱站借款三千实际到账2400分期三")</f>
        <v>钱站借款三千实际到账2400分期三</v>
      </c>
      <c r="C5943" s="2" t="s">
        <v>34</v>
      </c>
      <c r="D5943" s="2" t="s">
        <v>10</v>
      </c>
      <c r="E5943" s="2" t="str">
        <f>HYPERLINK("http://ts.21cn.com/tousu/show/id/1336807","http://ts.21cn.com/tousu/show/id/1336807")</f>
        <v>http://ts.21cn.com/tousu/show/id/1336807</v>
      </c>
      <c r="F5943" s="2" t="s">
        <v>11</v>
      </c>
      <c r="G5943" s="2" t="s">
        <v>32473</v>
      </c>
      <c r="H5943" s="2" t="s">
        <v>32474</v>
      </c>
    </row>
    <row r="5944" spans="1:8" ht="25.05" customHeight="1" x14ac:dyDescent="0.25">
      <c r="A5944" s="2" t="s">
        <v>8</v>
      </c>
      <c r="B5944" s="2" t="str">
        <f>HYPERLINK("http://ts.21cn.com/tousu/show/id/1336808","利息高于国家标准，暴力催收，打骚扰电话，")</f>
        <v>利息高于国家标准，暴力催收，打骚扰电话，</v>
      </c>
      <c r="C5944" s="2" t="s">
        <v>9</v>
      </c>
      <c r="D5944" s="2" t="s">
        <v>10</v>
      </c>
      <c r="E5944" s="2" t="str">
        <f>HYPERLINK("http://ts.21cn.com/tousu/show/id/1336808","http://ts.21cn.com/tousu/show/id/1336808")</f>
        <v>http://ts.21cn.com/tousu/show/id/1336808</v>
      </c>
      <c r="F5944" s="2" t="s">
        <v>11</v>
      </c>
      <c r="G5944" s="2" t="s">
        <v>32471</v>
      </c>
      <c r="H5944" s="2" t="s">
        <v>32472</v>
      </c>
    </row>
    <row r="5945" spans="1:8" ht="25.05" customHeight="1" x14ac:dyDescent="0.25">
      <c r="A5945" s="2" t="s">
        <v>8</v>
      </c>
      <c r="B5945" s="2" t="str">
        <f>HYPERLINK("http://ts.21cn.com/tousu/show/id/1336810","TCL电视无售后服务")</f>
        <v>TCL电视无售后服务</v>
      </c>
      <c r="C5945" s="2" t="s">
        <v>9</v>
      </c>
      <c r="D5945" s="2" t="s">
        <v>10</v>
      </c>
      <c r="E5945" s="2" t="str">
        <f>HYPERLINK("http://ts.21cn.com/tousu/show/id/1336810","http://ts.21cn.com/tousu/show/id/1336810")</f>
        <v>http://ts.21cn.com/tousu/show/id/1336810</v>
      </c>
      <c r="F5945" s="2" t="s">
        <v>11</v>
      </c>
      <c r="G5945" s="2" t="s">
        <v>32469</v>
      </c>
      <c r="H5945" s="2" t="s">
        <v>32470</v>
      </c>
    </row>
    <row r="5946" spans="1:8" ht="25.05" customHeight="1" x14ac:dyDescent="0.25">
      <c r="A5946" s="2" t="s">
        <v>8</v>
      </c>
      <c r="B5946" s="2" t="str">
        <f>HYPERLINK("http://ts.21cn.com/tousu/show/id/1336809","人身攻击")</f>
        <v>人身攻击</v>
      </c>
      <c r="C5946" s="2" t="s">
        <v>9</v>
      </c>
      <c r="D5946" s="2" t="s">
        <v>10</v>
      </c>
      <c r="E5946" s="2" t="str">
        <f>HYPERLINK("http://ts.21cn.com/tousu/show/id/1336809","http://ts.21cn.com/tousu/show/id/1336809")</f>
        <v>http://ts.21cn.com/tousu/show/id/1336809</v>
      </c>
      <c r="F5946" s="2" t="s">
        <v>11</v>
      </c>
      <c r="G5946" s="2" t="s">
        <v>32467</v>
      </c>
      <c r="H5946" s="2" t="s">
        <v>32468</v>
      </c>
    </row>
    <row r="5947" spans="1:8" ht="25.05" customHeight="1" x14ac:dyDescent="0.25">
      <c r="A5947" s="2" t="s">
        <v>8</v>
      </c>
      <c r="B5947" s="2" t="str">
        <f>HYPERLINK("http://ts.21cn.com/tousu/show/id/1336813","催款到家里来不让出门")</f>
        <v>催款到家里来不让出门</v>
      </c>
      <c r="C5947" s="2" t="s">
        <v>9</v>
      </c>
      <c r="D5947" s="2" t="s">
        <v>10</v>
      </c>
      <c r="E5947" s="2" t="str">
        <f>HYPERLINK("http://ts.21cn.com/tousu/show/id/1336813","http://ts.21cn.com/tousu/show/id/1336813")</f>
        <v>http://ts.21cn.com/tousu/show/id/1336813</v>
      </c>
      <c r="F5947" s="2" t="s">
        <v>11</v>
      </c>
      <c r="G5947" s="2" t="s">
        <v>32465</v>
      </c>
      <c r="H5947" s="2" t="s">
        <v>32466</v>
      </c>
    </row>
    <row r="5948" spans="1:8" ht="25.05" customHeight="1" x14ac:dyDescent="0.25">
      <c r="A5948" s="2" t="s">
        <v>8</v>
      </c>
      <c r="B5948" s="2" t="str">
        <f>HYPERLINK("http://ts.21cn.com/tousu/show/id/1336811","捷信金融消费贷款问题")</f>
        <v>捷信金融消费贷款问题</v>
      </c>
      <c r="C5948" s="2" t="s">
        <v>34</v>
      </c>
      <c r="D5948" s="2" t="s">
        <v>10</v>
      </c>
      <c r="E5948" s="2" t="str">
        <f>HYPERLINK("http://ts.21cn.com/tousu/show/id/1336811","http://ts.21cn.com/tousu/show/id/1336811")</f>
        <v>http://ts.21cn.com/tousu/show/id/1336811</v>
      </c>
      <c r="F5948" s="2" t="s">
        <v>11</v>
      </c>
      <c r="G5948" s="2" t="s">
        <v>32464</v>
      </c>
      <c r="H5948" s="2" t="s">
        <v>1078</v>
      </c>
    </row>
    <row r="5949" spans="1:8" ht="25.05" customHeight="1" x14ac:dyDescent="0.25">
      <c r="A5949" s="2" t="s">
        <v>8</v>
      </c>
      <c r="B5949" s="2" t="str">
        <f>HYPERLINK("http://ts.21cn.com/tousu/show/id/1336812","有缘网app约会吧欺诈消费者，要求退款")</f>
        <v>有缘网app约会吧欺诈消费者，要求退款</v>
      </c>
      <c r="C5949" s="2" t="s">
        <v>9</v>
      </c>
      <c r="D5949" s="2" t="s">
        <v>10</v>
      </c>
      <c r="E5949" s="2" t="str">
        <f>HYPERLINK("http://ts.21cn.com/tousu/show/id/1336812","http://ts.21cn.com/tousu/show/id/1336812")</f>
        <v>http://ts.21cn.com/tousu/show/id/1336812</v>
      </c>
      <c r="F5949" s="2" t="s">
        <v>11</v>
      </c>
      <c r="G5949" s="2" t="s">
        <v>32462</v>
      </c>
      <c r="H5949" s="2" t="s">
        <v>32463</v>
      </c>
    </row>
    <row r="5950" spans="1:8" ht="25.05" customHeight="1" x14ac:dyDescent="0.25">
      <c r="A5950" s="2" t="s">
        <v>8</v>
      </c>
      <c r="B5950" s="2" t="str">
        <f>HYPERLINK("http://ts.21cn.com/tousu/show/id/1336814","不上征信的假的百度有钱花的平台")</f>
        <v>不上征信的假的百度有钱花的平台</v>
      </c>
      <c r="C5950" s="2" t="s">
        <v>34</v>
      </c>
      <c r="D5950" s="2" t="s">
        <v>10</v>
      </c>
      <c r="E5950" s="2" t="str">
        <f>HYPERLINK("http://ts.21cn.com/tousu/show/id/1336814","http://ts.21cn.com/tousu/show/id/1336814")</f>
        <v>http://ts.21cn.com/tousu/show/id/1336814</v>
      </c>
      <c r="F5950" s="2" t="s">
        <v>11</v>
      </c>
      <c r="G5950" s="2" t="s">
        <v>32460</v>
      </c>
      <c r="H5950" s="2" t="s">
        <v>32461</v>
      </c>
    </row>
    <row r="5951" spans="1:8" ht="25.05" customHeight="1" x14ac:dyDescent="0.25">
      <c r="A5951" s="2" t="s">
        <v>8</v>
      </c>
      <c r="B5951" s="2" t="str">
        <f>HYPERLINK("http://ts.21cn.com/tousu/show/id/1336798","携趣信息科技上海有限公司乱扣费")</f>
        <v>携趣信息科技上海有限公司乱扣费</v>
      </c>
      <c r="C5951" s="2" t="s">
        <v>9</v>
      </c>
      <c r="D5951" s="2" t="s">
        <v>10</v>
      </c>
      <c r="E5951" s="2" t="str">
        <f>HYPERLINK("http://ts.21cn.com/tousu/show/id/1336798","http://ts.21cn.com/tousu/show/id/1336798")</f>
        <v>http://ts.21cn.com/tousu/show/id/1336798</v>
      </c>
      <c r="F5951" s="2" t="s">
        <v>11</v>
      </c>
      <c r="G5951" s="2" t="s">
        <v>32458</v>
      </c>
      <c r="H5951" s="2" t="s">
        <v>32459</v>
      </c>
    </row>
    <row r="5952" spans="1:8" ht="25.05" customHeight="1" x14ac:dyDescent="0.25">
      <c r="A5952" s="2" t="s">
        <v>8</v>
      </c>
      <c r="B5952" s="2" t="str">
        <f>HYPERLINK("http://ts.21cn.com/tousu/show/id/1336815","立借平台进行排名优化，他们用违规手段进行操作，发现后拒绝退款")</f>
        <v>立借平台进行排名优化，他们用违规手段进行操作，发现后拒绝退款</v>
      </c>
      <c r="C5952" s="2" t="s">
        <v>34</v>
      </c>
      <c r="D5952" s="2" t="s">
        <v>10</v>
      </c>
      <c r="E5952" s="2" t="str">
        <f>HYPERLINK("http://ts.21cn.com/tousu/show/id/1336815","http://ts.21cn.com/tousu/show/id/1336815")</f>
        <v>http://ts.21cn.com/tousu/show/id/1336815</v>
      </c>
      <c r="F5952" s="2" t="s">
        <v>11</v>
      </c>
      <c r="G5952" s="2" t="s">
        <v>32456</v>
      </c>
      <c r="H5952" s="2" t="s">
        <v>32457</v>
      </c>
    </row>
    <row r="5953" spans="1:8" ht="25.05" customHeight="1" x14ac:dyDescent="0.25">
      <c r="A5953" s="2" t="s">
        <v>8</v>
      </c>
      <c r="B5953" s="2" t="str">
        <f>HYPERLINK("http://ts.21cn.com/tousu/show/id/1336816","月光侠分期暴力催收电话短信骚扰爆通讯录")</f>
        <v>月光侠分期暴力催收电话短信骚扰爆通讯录</v>
      </c>
      <c r="C5953" s="2" t="s">
        <v>9</v>
      </c>
      <c r="D5953" s="2" t="s">
        <v>10</v>
      </c>
      <c r="E5953" s="2" t="str">
        <f>HYPERLINK("http://ts.21cn.com/tousu/show/id/1336816","http://ts.21cn.com/tousu/show/id/1336816")</f>
        <v>http://ts.21cn.com/tousu/show/id/1336816</v>
      </c>
      <c r="F5953" s="2" t="s">
        <v>11</v>
      </c>
      <c r="G5953" s="2" t="s">
        <v>32454</v>
      </c>
      <c r="H5953" s="2" t="s">
        <v>32455</v>
      </c>
    </row>
    <row r="5954" spans="1:8" ht="25.05" customHeight="1" x14ac:dyDescent="0.25">
      <c r="A5954" s="2" t="s">
        <v>8</v>
      </c>
      <c r="B5954" s="2" t="str">
        <f>HYPERLINK("http://ts.21cn.com/tousu/show/id/1336818","差点打起来了")</f>
        <v>差点打起来了</v>
      </c>
      <c r="C5954" s="2" t="s">
        <v>9</v>
      </c>
      <c r="D5954" s="2" t="s">
        <v>10</v>
      </c>
      <c r="E5954" s="2" t="str">
        <f>HYPERLINK("http://ts.21cn.com/tousu/show/id/1336818","http://ts.21cn.com/tousu/show/id/1336818")</f>
        <v>http://ts.21cn.com/tousu/show/id/1336818</v>
      </c>
      <c r="F5954" s="2" t="s">
        <v>11</v>
      </c>
      <c r="G5954" s="2" t="s">
        <v>32452</v>
      </c>
      <c r="H5954" s="2" t="s">
        <v>32453</v>
      </c>
    </row>
    <row r="5955" spans="1:8" ht="25.05" customHeight="1" x14ac:dyDescent="0.25">
      <c r="A5955" s="2" t="s">
        <v>8</v>
      </c>
      <c r="B5955" s="2" t="str">
        <f>HYPERLINK("http://ts.21cn.com/tousu/show/id/1336819","支付宝账号无法收款")</f>
        <v>支付宝账号无法收款</v>
      </c>
      <c r="C5955" s="2" t="s">
        <v>9</v>
      </c>
      <c r="D5955" s="2" t="s">
        <v>10</v>
      </c>
      <c r="E5955" s="2" t="str">
        <f>HYPERLINK("http://ts.21cn.com/tousu/show/id/1336819","http://ts.21cn.com/tousu/show/id/1336819")</f>
        <v>http://ts.21cn.com/tousu/show/id/1336819</v>
      </c>
      <c r="F5955" s="2" t="s">
        <v>11</v>
      </c>
      <c r="G5955" s="2" t="s">
        <v>32449</v>
      </c>
      <c r="H5955" s="2" t="s">
        <v>32450</v>
      </c>
    </row>
    <row r="5956" spans="1:8" ht="25.05" customHeight="1" x14ac:dyDescent="0.25">
      <c r="A5956" s="2" t="s">
        <v>8</v>
      </c>
      <c r="B5956" s="2" t="str">
        <f>HYPERLINK("http://ts.21cn.com/tousu/show/id/1336821","给你花平台上的米多点贷款砍头息")</f>
        <v>给你花平台上的米多点贷款砍头息</v>
      </c>
      <c r="C5956" s="2" t="s">
        <v>9</v>
      </c>
      <c r="D5956" s="2" t="s">
        <v>10</v>
      </c>
      <c r="E5956" s="2" t="str">
        <f>HYPERLINK("http://ts.21cn.com/tousu/show/id/1336821","http://ts.21cn.com/tousu/show/id/1336821")</f>
        <v>http://ts.21cn.com/tousu/show/id/1336821</v>
      </c>
      <c r="F5956" s="2" t="s">
        <v>11</v>
      </c>
      <c r="G5956" s="2" t="s">
        <v>32449</v>
      </c>
      <c r="H5956" s="2" t="s">
        <v>32451</v>
      </c>
    </row>
    <row r="5957" spans="1:8" ht="25.05" customHeight="1" x14ac:dyDescent="0.25">
      <c r="A5957" s="2" t="s">
        <v>8</v>
      </c>
      <c r="B5957" s="2" t="str">
        <f>HYPERLINK("http://ts.21cn.com/tousu/show/id/1336820","智行火车票APP账号无法注销或解绑手机号")</f>
        <v>智行火车票APP账号无法注销或解绑手机号</v>
      </c>
      <c r="C5957" s="2" t="s">
        <v>34</v>
      </c>
      <c r="D5957" s="2" t="s">
        <v>10</v>
      </c>
      <c r="E5957" s="2" t="str">
        <f>HYPERLINK("http://ts.21cn.com/tousu/show/id/1336820","http://ts.21cn.com/tousu/show/id/1336820")</f>
        <v>http://ts.21cn.com/tousu/show/id/1336820</v>
      </c>
      <c r="F5957" s="2" t="s">
        <v>11</v>
      </c>
      <c r="G5957" s="2" t="s">
        <v>32447</v>
      </c>
      <c r="H5957" s="2" t="s">
        <v>32448</v>
      </c>
    </row>
    <row r="5958" spans="1:8" ht="25.05" customHeight="1" x14ac:dyDescent="0.25">
      <c r="A5958" s="2" t="s">
        <v>8</v>
      </c>
      <c r="B5958" s="2" t="str">
        <f>HYPERLINK("http://ts.21cn.com/tousu/show/id/1336822","阴阳合同，砍头息，高利贷")</f>
        <v>阴阳合同，砍头息，高利贷</v>
      </c>
      <c r="C5958" s="2" t="s">
        <v>9</v>
      </c>
      <c r="D5958" s="2" t="s">
        <v>10</v>
      </c>
      <c r="E5958" s="2" t="str">
        <f>HYPERLINK("http://ts.21cn.com/tousu/show/id/1336822","http://ts.21cn.com/tousu/show/id/1336822")</f>
        <v>http://ts.21cn.com/tousu/show/id/1336822</v>
      </c>
      <c r="F5958" s="2" t="s">
        <v>11</v>
      </c>
      <c r="G5958" s="2" t="s">
        <v>32445</v>
      </c>
      <c r="H5958" s="2" t="s">
        <v>32446</v>
      </c>
    </row>
    <row r="5959" spans="1:8" ht="25.05" customHeight="1" x14ac:dyDescent="0.25">
      <c r="A5959" s="2" t="s">
        <v>8</v>
      </c>
      <c r="B5959" s="2" t="str">
        <f>HYPERLINK("http://ts.21cn.com/tousu/show/id/1336775","二次投诉小黑鲨高利贷砍头息，谎称拨打本人电话恶意结案")</f>
        <v>二次投诉小黑鲨高利贷砍头息，谎称拨打本人电话恶意结案</v>
      </c>
      <c r="C5959" s="2" t="s">
        <v>9</v>
      </c>
      <c r="D5959" s="2" t="s">
        <v>10</v>
      </c>
      <c r="E5959" s="2" t="str">
        <f>HYPERLINK("http://ts.21cn.com/tousu/show/id/1336775","http://ts.21cn.com/tousu/show/id/1336775")</f>
        <v>http://ts.21cn.com/tousu/show/id/1336775</v>
      </c>
      <c r="F5959" s="2" t="s">
        <v>11</v>
      </c>
      <c r="G5959" s="2" t="s">
        <v>32443</v>
      </c>
      <c r="H5959" s="2" t="s">
        <v>32444</v>
      </c>
    </row>
    <row r="5960" spans="1:8" ht="25.05" customHeight="1" x14ac:dyDescent="0.25">
      <c r="A5960" s="2" t="s">
        <v>8</v>
      </c>
      <c r="B5960" s="2" t="str">
        <f>HYPERLINK("http://ts.21cn.com/tousu/show/id/1336823","聚福钱包未经许可私自扣款")</f>
        <v>聚福钱包未经许可私自扣款</v>
      </c>
      <c r="C5960" s="2" t="s">
        <v>9</v>
      </c>
      <c r="D5960" s="2" t="s">
        <v>10</v>
      </c>
      <c r="E5960" s="2" t="str">
        <f>HYPERLINK("http://ts.21cn.com/tousu/show/id/1336823","http://ts.21cn.com/tousu/show/id/1336823")</f>
        <v>http://ts.21cn.com/tousu/show/id/1336823</v>
      </c>
      <c r="F5960" s="2" t="s">
        <v>11</v>
      </c>
      <c r="G5960" s="2" t="s">
        <v>32441</v>
      </c>
      <c r="H5960" s="2" t="s">
        <v>32442</v>
      </c>
    </row>
    <row r="5961" spans="1:8" ht="25.05" customHeight="1" x14ac:dyDescent="0.25">
      <c r="A5961" s="2" t="s">
        <v>8</v>
      </c>
      <c r="B5961" s="2" t="str">
        <f>HYPERLINK("http://ts.21cn.com/tousu/show/id/1336824","立借平台出了问题互相推脱，拒不处理，这种平台不会再有第二次合作")</f>
        <v>立借平台出了问题互相推脱，拒不处理，这种平台不会再有第二次合作</v>
      </c>
      <c r="C5961" s="2" t="s">
        <v>9</v>
      </c>
      <c r="D5961" s="2" t="s">
        <v>10</v>
      </c>
      <c r="E5961" s="2" t="str">
        <f>HYPERLINK("http://ts.21cn.com/tousu/show/id/1336824","http://ts.21cn.com/tousu/show/id/1336824")</f>
        <v>http://ts.21cn.com/tousu/show/id/1336824</v>
      </c>
      <c r="F5961" s="2" t="s">
        <v>11</v>
      </c>
      <c r="G5961" s="2" t="s">
        <v>32439</v>
      </c>
      <c r="H5961" s="2" t="s">
        <v>32440</v>
      </c>
    </row>
    <row r="5962" spans="1:8" ht="25.05" customHeight="1" x14ac:dyDescent="0.25">
      <c r="A5962" s="2" t="s">
        <v>8</v>
      </c>
      <c r="B5962" s="2" t="str">
        <f>HYPERLINK("http://ts.21cn.com/tousu/show/id/1336826","维信金科套路贷")</f>
        <v>维信金科套路贷</v>
      </c>
      <c r="C5962" s="2" t="s">
        <v>9</v>
      </c>
      <c r="D5962" s="2" t="s">
        <v>10</v>
      </c>
      <c r="E5962" s="2" t="str">
        <f>HYPERLINK("http://ts.21cn.com/tousu/show/id/1336826","http://ts.21cn.com/tousu/show/id/1336826")</f>
        <v>http://ts.21cn.com/tousu/show/id/1336826</v>
      </c>
      <c r="F5962" s="2" t="s">
        <v>11</v>
      </c>
      <c r="G5962" s="2" t="s">
        <v>32437</v>
      </c>
      <c r="H5962" s="2" t="s">
        <v>32438</v>
      </c>
    </row>
    <row r="5963" spans="1:8" ht="25.05" customHeight="1" x14ac:dyDescent="0.25">
      <c r="A5963" s="2" t="s">
        <v>8</v>
      </c>
      <c r="B5963" s="2" t="str">
        <f>HYPERLINK("http://ts.21cn.com/tousu/show/id/1336827","卡牛瑞贷变相收费：高利贷")</f>
        <v>卡牛瑞贷变相收费：高利贷</v>
      </c>
      <c r="C5963" s="2" t="s">
        <v>9</v>
      </c>
      <c r="D5963" s="2" t="s">
        <v>10</v>
      </c>
      <c r="E5963" s="2" t="str">
        <f>HYPERLINK("http://ts.21cn.com/tousu/show/id/1336827","http://ts.21cn.com/tousu/show/id/1336827")</f>
        <v>http://ts.21cn.com/tousu/show/id/1336827</v>
      </c>
      <c r="F5963" s="2" t="s">
        <v>11</v>
      </c>
      <c r="G5963" s="2" t="s">
        <v>32435</v>
      </c>
      <c r="H5963" s="2" t="s">
        <v>32436</v>
      </c>
    </row>
    <row r="5964" spans="1:8" ht="25.05" customHeight="1" x14ac:dyDescent="0.25">
      <c r="A5964" s="2" t="s">
        <v>8</v>
      </c>
      <c r="B5964" s="2" t="str">
        <f>HYPERLINK("http://ts.21cn.com/tousu/show/id/1336828","无法还款")</f>
        <v>无法还款</v>
      </c>
      <c r="C5964" s="2" t="s">
        <v>34</v>
      </c>
      <c r="D5964" s="2" t="s">
        <v>10</v>
      </c>
      <c r="E5964" s="2" t="str">
        <f>HYPERLINK("http://ts.21cn.com/tousu/show/id/1336828","http://ts.21cn.com/tousu/show/id/1336828")</f>
        <v>http://ts.21cn.com/tousu/show/id/1336828</v>
      </c>
      <c r="F5964" s="2" t="s">
        <v>11</v>
      </c>
      <c r="G5964" s="2" t="s">
        <v>32433</v>
      </c>
      <c r="H5964" s="2" t="s">
        <v>32434</v>
      </c>
    </row>
    <row r="5965" spans="1:8" ht="25.05" customHeight="1" x14ac:dyDescent="0.25">
      <c r="A5965" s="2" t="s">
        <v>8</v>
      </c>
      <c r="B5965" s="2" t="str">
        <f>HYPERLINK("http://ts.21cn.com/tousu/show/id/1336829","你不知道的互联网消费金融黑料之佰仟金融！")</f>
        <v>你不知道的互联网消费金融黑料之佰仟金融！</v>
      </c>
      <c r="C5965" s="2" t="s">
        <v>9</v>
      </c>
      <c r="D5965" s="2" t="s">
        <v>10</v>
      </c>
      <c r="E5965" s="2" t="str">
        <f>HYPERLINK("http://ts.21cn.com/tousu/show/id/1336829","http://ts.21cn.com/tousu/show/id/1336829")</f>
        <v>http://ts.21cn.com/tousu/show/id/1336829</v>
      </c>
      <c r="F5965" s="2" t="s">
        <v>11</v>
      </c>
      <c r="G5965" s="2" t="s">
        <v>32431</v>
      </c>
      <c r="H5965" s="2" t="s">
        <v>32432</v>
      </c>
    </row>
    <row r="5966" spans="1:8" ht="25.05" customHeight="1" x14ac:dyDescent="0.25">
      <c r="A5966" s="2" t="s">
        <v>8</v>
      </c>
      <c r="B5966" s="2" t="str">
        <f>HYPERLINK("http://ts.21cn.com/tousu/show/id/1336830","立借平台乱扣费，提示叫借款人绑卡，没有明确提示显示要扣费")</f>
        <v>立借平台乱扣费，提示叫借款人绑卡，没有明确提示显示要扣费</v>
      </c>
      <c r="C5966" s="2" t="s">
        <v>9</v>
      </c>
      <c r="D5966" s="2" t="s">
        <v>10</v>
      </c>
      <c r="E5966" s="2" t="str">
        <f>HYPERLINK("http://ts.21cn.com/tousu/show/id/1336830","http://ts.21cn.com/tousu/show/id/1336830")</f>
        <v>http://ts.21cn.com/tousu/show/id/1336830</v>
      </c>
      <c r="F5966" s="2" t="s">
        <v>11</v>
      </c>
      <c r="G5966" s="2" t="s">
        <v>32429</v>
      </c>
      <c r="H5966" s="2" t="s">
        <v>32430</v>
      </c>
    </row>
    <row r="5967" spans="1:8" ht="25.05" customHeight="1" x14ac:dyDescent="0.25">
      <c r="A5967" s="2" t="s">
        <v>8</v>
      </c>
      <c r="B5967" s="2" t="str">
        <f>HYPERLINK("http://ts.21cn.com/tousu/show/id/1336436","闲鱼购买到假货、闲鱼平台反复变换说辞，侵占消费者权益")</f>
        <v>闲鱼购买到假货、闲鱼平台反复变换说辞，侵占消费者权益</v>
      </c>
      <c r="C5967" s="2" t="s">
        <v>9</v>
      </c>
      <c r="D5967" s="2" t="s">
        <v>10</v>
      </c>
      <c r="E5967" s="2" t="str">
        <f>HYPERLINK("http://ts.21cn.com/tousu/show/id/1336436","http://ts.21cn.com/tousu/show/id/1336436")</f>
        <v>http://ts.21cn.com/tousu/show/id/1336436</v>
      </c>
      <c r="F5967" s="2" t="s">
        <v>11</v>
      </c>
      <c r="G5967" s="2" t="s">
        <v>32427</v>
      </c>
      <c r="H5967" s="2" t="s">
        <v>32428</v>
      </c>
    </row>
    <row r="5968" spans="1:8" ht="25.05" customHeight="1" x14ac:dyDescent="0.25">
      <c r="A5968" s="2" t="s">
        <v>8</v>
      </c>
      <c r="B5968" s="2" t="str">
        <f>HYPERLINK("http://ts.21cn.com/tousu/show/id/1336831","省呗客服恐吓本人")</f>
        <v>省呗客服恐吓本人</v>
      </c>
      <c r="C5968" s="2" t="s">
        <v>9</v>
      </c>
      <c r="D5968" s="2" t="s">
        <v>10</v>
      </c>
      <c r="E5968" s="2" t="str">
        <f>HYPERLINK("http://ts.21cn.com/tousu/show/id/1336831","http://ts.21cn.com/tousu/show/id/1336831")</f>
        <v>http://ts.21cn.com/tousu/show/id/1336831</v>
      </c>
      <c r="F5968" s="2" t="s">
        <v>11</v>
      </c>
      <c r="G5968" s="2" t="s">
        <v>32425</v>
      </c>
      <c r="H5968" s="2" t="s">
        <v>32426</v>
      </c>
    </row>
    <row r="5969" spans="1:8" ht="25.05" customHeight="1" x14ac:dyDescent="0.25">
      <c r="A5969" s="2" t="s">
        <v>8</v>
      </c>
      <c r="B5969" s="2" t="str">
        <f>HYPERLINK("http://ts.21cn.com/tousu/show/id/1336832","投诉维信金科乱收费")</f>
        <v>投诉维信金科乱收费</v>
      </c>
      <c r="C5969" s="2" t="s">
        <v>9</v>
      </c>
      <c r="D5969" s="2" t="s">
        <v>10</v>
      </c>
      <c r="E5969" s="2" t="str">
        <f>HYPERLINK("http://ts.21cn.com/tousu/show/id/1336832","http://ts.21cn.com/tousu/show/id/1336832")</f>
        <v>http://ts.21cn.com/tousu/show/id/1336832</v>
      </c>
      <c r="F5969" s="2" t="s">
        <v>11</v>
      </c>
      <c r="G5969" s="2" t="s">
        <v>32423</v>
      </c>
      <c r="H5969" s="2" t="s">
        <v>32424</v>
      </c>
    </row>
    <row r="5970" spans="1:8" ht="25.05" customHeight="1" x14ac:dyDescent="0.25">
      <c r="A5970" s="2" t="s">
        <v>8</v>
      </c>
      <c r="B5970" s="2" t="str">
        <f>HYPERLINK("http://ts.21cn.com/tousu/show/id/1336834","立借平台无法正常还款，卡里有钱，各种办法都试验了，就是还不了")</f>
        <v>立借平台无法正常还款，卡里有钱，各种办法都试验了，就是还不了</v>
      </c>
      <c r="C5970" s="2" t="s">
        <v>34</v>
      </c>
      <c r="D5970" s="2" t="s">
        <v>10</v>
      </c>
      <c r="E5970" s="2" t="str">
        <f>HYPERLINK("http://ts.21cn.com/tousu/show/id/1336834","http://ts.21cn.com/tousu/show/id/1336834")</f>
        <v>http://ts.21cn.com/tousu/show/id/1336834</v>
      </c>
      <c r="F5970" s="2" t="s">
        <v>11</v>
      </c>
      <c r="G5970" s="2" t="s">
        <v>32421</v>
      </c>
      <c r="H5970" s="2" t="s">
        <v>32422</v>
      </c>
    </row>
    <row r="5971" spans="1:8" ht="25.05" customHeight="1" x14ac:dyDescent="0.25">
      <c r="A5971" s="2" t="s">
        <v>8</v>
      </c>
      <c r="B5971" s="2" t="str">
        <f>HYPERLINK("http://ts.21cn.com/tousu/show/id/1336836","网贷要交工本费才肯放款")</f>
        <v>网贷要交工本费才肯放款</v>
      </c>
      <c r="C5971" s="2" t="s">
        <v>9</v>
      </c>
      <c r="D5971" s="2" t="s">
        <v>10</v>
      </c>
      <c r="E5971" s="2" t="str">
        <f>HYPERLINK("http://ts.21cn.com/tousu/show/id/1336836","http://ts.21cn.com/tousu/show/id/1336836")</f>
        <v>http://ts.21cn.com/tousu/show/id/1336836</v>
      </c>
      <c r="F5971" s="2" t="s">
        <v>11</v>
      </c>
      <c r="G5971" s="2" t="s">
        <v>32419</v>
      </c>
      <c r="H5971" s="2" t="s">
        <v>32420</v>
      </c>
    </row>
    <row r="5972" spans="1:8" ht="25.05" customHeight="1" x14ac:dyDescent="0.25">
      <c r="A5972" s="2" t="s">
        <v>8</v>
      </c>
      <c r="B5972" s="2" t="str">
        <f>HYPERLINK("http://ts.21cn.com/tousu/show/id/1336837","石嘴山银行通过民间借贷平台放高利贷")</f>
        <v>石嘴山银行通过民间借贷平台放高利贷</v>
      </c>
      <c r="C5972" s="2" t="s">
        <v>9</v>
      </c>
      <c r="D5972" s="2" t="s">
        <v>10</v>
      </c>
      <c r="E5972" s="2" t="str">
        <f>HYPERLINK("http://ts.21cn.com/tousu/show/id/1336837","http://ts.21cn.com/tousu/show/id/1336837")</f>
        <v>http://ts.21cn.com/tousu/show/id/1336837</v>
      </c>
      <c r="F5972" s="2" t="s">
        <v>11</v>
      </c>
      <c r="G5972" s="2" t="s">
        <v>32417</v>
      </c>
      <c r="H5972" s="2" t="s">
        <v>32418</v>
      </c>
    </row>
    <row r="5973" spans="1:8" ht="25.05" customHeight="1" x14ac:dyDescent="0.25">
      <c r="A5973" s="2" t="s">
        <v>8</v>
      </c>
      <c r="B5973" s="2" t="str">
        <f>HYPERLINK("http://ts.21cn.com/tousu/show/id/1336835","平安银行全额退保明确到账时间")</f>
        <v>平安银行全额退保明确到账时间</v>
      </c>
      <c r="C5973" s="2" t="s">
        <v>9</v>
      </c>
      <c r="D5973" s="2" t="s">
        <v>10</v>
      </c>
      <c r="E5973" s="2" t="str">
        <f>HYPERLINK("http://ts.21cn.com/tousu/show/id/1336835","http://ts.21cn.com/tousu/show/id/1336835")</f>
        <v>http://ts.21cn.com/tousu/show/id/1336835</v>
      </c>
      <c r="F5973" s="2" t="s">
        <v>11</v>
      </c>
      <c r="G5973" s="2" t="s">
        <v>32415</v>
      </c>
      <c r="H5973" s="2" t="s">
        <v>32416</v>
      </c>
    </row>
    <row r="5974" spans="1:8" ht="25.05" customHeight="1" x14ac:dyDescent="0.25">
      <c r="A5974" s="2" t="s">
        <v>8</v>
      </c>
      <c r="B5974" s="2" t="str">
        <f>HYPERLINK("http://ts.21cn.com/tousu/show/id/1336838","砍头息高利贷")</f>
        <v>砍头息高利贷</v>
      </c>
      <c r="C5974" s="2" t="s">
        <v>9</v>
      </c>
      <c r="D5974" s="2" t="s">
        <v>10</v>
      </c>
      <c r="E5974" s="2" t="str">
        <f>HYPERLINK("http://ts.21cn.com/tousu/show/id/1336838","http://ts.21cn.com/tousu/show/id/1336838")</f>
        <v>http://ts.21cn.com/tousu/show/id/1336838</v>
      </c>
      <c r="F5974" s="2" t="s">
        <v>11</v>
      </c>
      <c r="G5974" s="2" t="s">
        <v>32413</v>
      </c>
      <c r="H5974" s="2" t="s">
        <v>32414</v>
      </c>
    </row>
    <row r="5975" spans="1:8" ht="25.05" customHeight="1" x14ac:dyDescent="0.25">
      <c r="A5975" s="2" t="s">
        <v>8</v>
      </c>
      <c r="B5975" s="2" t="str">
        <f>HYPERLINK("http://ts.21cn.com/tousu/show/id/1336839","联动云拖延退款")</f>
        <v>联动云拖延退款</v>
      </c>
      <c r="C5975" s="2" t="s">
        <v>9</v>
      </c>
      <c r="D5975" s="2" t="s">
        <v>10</v>
      </c>
      <c r="E5975" s="2" t="str">
        <f>HYPERLINK("http://ts.21cn.com/tousu/show/id/1336839","http://ts.21cn.com/tousu/show/id/1336839")</f>
        <v>http://ts.21cn.com/tousu/show/id/1336839</v>
      </c>
      <c r="F5975" s="2" t="s">
        <v>11</v>
      </c>
      <c r="G5975" s="2" t="s">
        <v>32411</v>
      </c>
      <c r="H5975" s="2" t="s">
        <v>32412</v>
      </c>
    </row>
    <row r="5976" spans="1:8" ht="25.05" customHeight="1" x14ac:dyDescent="0.25">
      <c r="A5976" s="2" t="s">
        <v>8</v>
      </c>
      <c r="B5976" s="2" t="str">
        <f>HYPERLINK("http://ts.21cn.com/tousu/show/id/1336840","速金服高利贷")</f>
        <v>速金服高利贷</v>
      </c>
      <c r="C5976" s="2" t="s">
        <v>9</v>
      </c>
      <c r="D5976" s="2" t="s">
        <v>10</v>
      </c>
      <c r="E5976" s="2" t="str">
        <f>HYPERLINK("http://ts.21cn.com/tousu/show/id/1336840","http://ts.21cn.com/tousu/show/id/1336840")</f>
        <v>http://ts.21cn.com/tousu/show/id/1336840</v>
      </c>
      <c r="F5976" s="2" t="s">
        <v>11</v>
      </c>
      <c r="G5976" s="2" t="s">
        <v>32409</v>
      </c>
      <c r="H5976" s="2" t="s">
        <v>32410</v>
      </c>
    </row>
    <row r="5977" spans="1:8" ht="25.05" customHeight="1" x14ac:dyDescent="0.25">
      <c r="A5977" s="2" t="s">
        <v>8</v>
      </c>
      <c r="B5977" s="2" t="str">
        <f>HYPERLINK("http://ts.21cn.com/tousu/show/id/1336841","由于立借平台系统问题软件打不开，还款不成功")</f>
        <v>由于立借平台系统问题软件打不开，还款不成功</v>
      </c>
      <c r="C5977" s="2" t="s">
        <v>9</v>
      </c>
      <c r="D5977" s="2" t="s">
        <v>10</v>
      </c>
      <c r="E5977" s="2" t="str">
        <f>HYPERLINK("http://ts.21cn.com/tousu/show/id/1336841","http://ts.21cn.com/tousu/show/id/1336841")</f>
        <v>http://ts.21cn.com/tousu/show/id/1336841</v>
      </c>
      <c r="F5977" s="2" t="s">
        <v>11</v>
      </c>
      <c r="G5977" s="2" t="s">
        <v>32407</v>
      </c>
      <c r="H5977" s="2" t="s">
        <v>32408</v>
      </c>
    </row>
    <row r="5978" spans="1:8" ht="25.05" customHeight="1" x14ac:dyDescent="0.25">
      <c r="A5978" s="2" t="s">
        <v>8</v>
      </c>
      <c r="B5978" s="2" t="str">
        <f>HYPERLINK("http://ts.21cn.com/tousu/show/id/1336842","金东金条系统问题导致征信逾期")</f>
        <v>金东金条系统问题导致征信逾期</v>
      </c>
      <c r="C5978" s="2" t="s">
        <v>9</v>
      </c>
      <c r="D5978" s="2" t="s">
        <v>10</v>
      </c>
      <c r="E5978" s="2" t="str">
        <f>HYPERLINK("http://ts.21cn.com/tousu/show/id/1336842","http://ts.21cn.com/tousu/show/id/1336842")</f>
        <v>http://ts.21cn.com/tousu/show/id/1336842</v>
      </c>
      <c r="F5978" s="2" t="s">
        <v>11</v>
      </c>
      <c r="G5978" s="2" t="s">
        <v>32405</v>
      </c>
      <c r="H5978" s="2" t="s">
        <v>32406</v>
      </c>
    </row>
    <row r="5979" spans="1:8" ht="25.05" customHeight="1" x14ac:dyDescent="0.25">
      <c r="A5979" s="2" t="s">
        <v>8</v>
      </c>
      <c r="B5979" s="2" t="str">
        <f>HYPERLINK("http://ts.21cn.com/tousu/show/id/1336843","欺诈")</f>
        <v>欺诈</v>
      </c>
      <c r="C5979" s="2" t="s">
        <v>9</v>
      </c>
      <c r="D5979" s="2" t="s">
        <v>10</v>
      </c>
      <c r="E5979" s="2" t="str">
        <f>HYPERLINK("http://ts.21cn.com/tousu/show/id/1336843","http://ts.21cn.com/tousu/show/id/1336843")</f>
        <v>http://ts.21cn.com/tousu/show/id/1336843</v>
      </c>
      <c r="F5979" s="2" t="s">
        <v>11</v>
      </c>
      <c r="G5979" s="2" t="s">
        <v>32403</v>
      </c>
      <c r="H5979" s="2" t="s">
        <v>32404</v>
      </c>
    </row>
    <row r="5980" spans="1:8" ht="25.05" customHeight="1" x14ac:dyDescent="0.25">
      <c r="A5980" s="2" t="s">
        <v>8</v>
      </c>
      <c r="B5980" s="2" t="str">
        <f>HYPERLINK("http://ts.21cn.com/tousu/show/id/1336844","维信金科捆绑购物协商不同意")</f>
        <v>维信金科捆绑购物协商不同意</v>
      </c>
      <c r="C5980" s="2" t="s">
        <v>34</v>
      </c>
      <c r="D5980" s="2" t="s">
        <v>10</v>
      </c>
      <c r="E5980" s="2" t="str">
        <f>HYPERLINK("http://ts.21cn.com/tousu/show/id/1336844","http://ts.21cn.com/tousu/show/id/1336844")</f>
        <v>http://ts.21cn.com/tousu/show/id/1336844</v>
      </c>
      <c r="F5980" s="2" t="s">
        <v>11</v>
      </c>
      <c r="G5980" s="2" t="s">
        <v>32401</v>
      </c>
      <c r="H5980" s="2" t="s">
        <v>32402</v>
      </c>
    </row>
    <row r="5981" spans="1:8" ht="25.05" customHeight="1" x14ac:dyDescent="0.25">
      <c r="A5981" s="2" t="s">
        <v>8</v>
      </c>
      <c r="B5981" s="2" t="str">
        <f>HYPERLINK("http://ts.21cn.com/tousu/show/id/1336845","贷款70000万，分48期，一共要还款129600，这利息高的离谱吧，说是服务费和人工什么费")</f>
        <v>贷款70000万，分48期，一共要还款129600，这利息高的离谱吧，说是服务费和人工什么费</v>
      </c>
      <c r="C5981" s="2" t="s">
        <v>9</v>
      </c>
      <c r="D5981" s="2" t="s">
        <v>10</v>
      </c>
      <c r="E5981" s="2" t="str">
        <f>HYPERLINK("http://ts.21cn.com/tousu/show/id/1336845","http://ts.21cn.com/tousu/show/id/1336845")</f>
        <v>http://ts.21cn.com/tousu/show/id/1336845</v>
      </c>
      <c r="F5981" s="2" t="s">
        <v>11</v>
      </c>
      <c r="G5981" s="2" t="s">
        <v>32399</v>
      </c>
      <c r="H5981" s="2" t="s">
        <v>32400</v>
      </c>
    </row>
    <row r="5982" spans="1:8" ht="25.05" customHeight="1" x14ac:dyDescent="0.25">
      <c r="A5982" s="2" t="s">
        <v>8</v>
      </c>
      <c r="B5982" s="2" t="str">
        <f>HYPERLINK("http://ts.21cn.com/tousu/show/id/1336847","中腾信高利贷，打擦边球，")</f>
        <v>中腾信高利贷，打擦边球，</v>
      </c>
      <c r="C5982" s="2" t="s">
        <v>9</v>
      </c>
      <c r="D5982" s="2" t="s">
        <v>10</v>
      </c>
      <c r="E5982" s="2" t="str">
        <f>HYPERLINK("http://ts.21cn.com/tousu/show/id/1336847","http://ts.21cn.com/tousu/show/id/1336847")</f>
        <v>http://ts.21cn.com/tousu/show/id/1336847</v>
      </c>
      <c r="F5982" s="2" t="s">
        <v>11</v>
      </c>
      <c r="G5982" s="2" t="s">
        <v>32397</v>
      </c>
      <c r="H5982" s="2" t="s">
        <v>32398</v>
      </c>
    </row>
    <row r="5983" spans="1:8" ht="25.05" customHeight="1" x14ac:dyDescent="0.25">
      <c r="A5983" s="2" t="s">
        <v>8</v>
      </c>
      <c r="B5983" s="2" t="str">
        <f>HYPERLINK("http://ts.21cn.com/tousu/show/id/1336846","豹子贷恶意扣款")</f>
        <v>豹子贷恶意扣款</v>
      </c>
      <c r="C5983" s="2" t="s">
        <v>9</v>
      </c>
      <c r="D5983" s="2" t="s">
        <v>10</v>
      </c>
      <c r="E5983" s="2" t="str">
        <f>HYPERLINK("http://ts.21cn.com/tousu/show/id/1336846","http://ts.21cn.com/tousu/show/id/1336846")</f>
        <v>http://ts.21cn.com/tousu/show/id/1336846</v>
      </c>
      <c r="F5983" s="2" t="s">
        <v>11</v>
      </c>
      <c r="G5983" s="2" t="s">
        <v>32395</v>
      </c>
      <c r="H5983" s="2" t="s">
        <v>32396</v>
      </c>
    </row>
    <row r="5984" spans="1:8" ht="25.05" customHeight="1" x14ac:dyDescent="0.25">
      <c r="A5984" s="2" t="s">
        <v>8</v>
      </c>
      <c r="B5984" s="2" t="str">
        <f>HYPERLINK("http://ts.21cn.com/tousu/show/id/1336848","要求减免部分利息，不然太难了，要求正规化")</f>
        <v>要求减免部分利息，不然太难了，要求正规化</v>
      </c>
      <c r="C5984" s="2" t="s">
        <v>9</v>
      </c>
      <c r="D5984" s="2" t="s">
        <v>10</v>
      </c>
      <c r="E5984" s="2" t="str">
        <f>HYPERLINK("http://ts.21cn.com/tousu/show/id/1336848","http://ts.21cn.com/tousu/show/id/1336848")</f>
        <v>http://ts.21cn.com/tousu/show/id/1336848</v>
      </c>
      <c r="F5984" s="2" t="s">
        <v>11</v>
      </c>
      <c r="G5984" s="2" t="s">
        <v>32393</v>
      </c>
      <c r="H5984" s="2" t="s">
        <v>32394</v>
      </c>
    </row>
    <row r="5985" spans="1:8" ht="25.05" customHeight="1" x14ac:dyDescent="0.25">
      <c r="A5985" s="2" t="s">
        <v>8</v>
      </c>
      <c r="B5985" s="2" t="str">
        <f>HYPERLINK("http://ts.21cn.com/tousu/show/id/1336850","有问题处理不了")</f>
        <v>有问题处理不了</v>
      </c>
      <c r="C5985" s="2" t="s">
        <v>34</v>
      </c>
      <c r="D5985" s="2" t="s">
        <v>10</v>
      </c>
      <c r="E5985" s="2" t="str">
        <f>HYPERLINK("http://ts.21cn.com/tousu/show/id/1336850","http://ts.21cn.com/tousu/show/id/1336850")</f>
        <v>http://ts.21cn.com/tousu/show/id/1336850</v>
      </c>
      <c r="F5985" s="2" t="s">
        <v>11</v>
      </c>
      <c r="G5985" s="2" t="s">
        <v>32392</v>
      </c>
      <c r="H5985" s="2" t="s">
        <v>25961</v>
      </c>
    </row>
    <row r="5986" spans="1:8" ht="25.05" customHeight="1" x14ac:dyDescent="0.25">
      <c r="A5986" s="2" t="s">
        <v>8</v>
      </c>
      <c r="B5986" s="2" t="str">
        <f>HYPERLINK("http://ts.21cn.com/tousu/show/id/1336851","扫码骑车后把车停到路口拐角，没有收到任何提示，再打开app时说我停车在非服务区域，收取10元调度费。")</f>
        <v>扫码骑车后把车停到路口拐角，没有收到任何提示，再打开app时说我停车在非服务区域，收取10元调度费。</v>
      </c>
      <c r="C5986" s="2" t="s">
        <v>34</v>
      </c>
      <c r="D5986" s="2" t="s">
        <v>10</v>
      </c>
      <c r="E5986" s="2" t="str">
        <f>HYPERLINK("http://ts.21cn.com/tousu/show/id/1336851","http://ts.21cn.com/tousu/show/id/1336851")</f>
        <v>http://ts.21cn.com/tousu/show/id/1336851</v>
      </c>
      <c r="F5986" s="2" t="s">
        <v>11</v>
      </c>
      <c r="G5986" s="2" t="s">
        <v>32390</v>
      </c>
      <c r="H5986" s="2" t="s">
        <v>32391</v>
      </c>
    </row>
    <row r="5987" spans="1:8" ht="25.05" customHeight="1" x14ac:dyDescent="0.25">
      <c r="A5987" s="2" t="s">
        <v>8</v>
      </c>
      <c r="B5987" s="2" t="str">
        <f>HYPERLINK("http://ts.21cn.com/tousu/show/id/1336852","钱站高利贷阴阳合同")</f>
        <v>钱站高利贷阴阳合同</v>
      </c>
      <c r="C5987" s="2" t="s">
        <v>9</v>
      </c>
      <c r="D5987" s="2" t="s">
        <v>10</v>
      </c>
      <c r="E5987" s="2" t="str">
        <f>HYPERLINK("http://ts.21cn.com/tousu/show/id/1336852","http://ts.21cn.com/tousu/show/id/1336852")</f>
        <v>http://ts.21cn.com/tousu/show/id/1336852</v>
      </c>
      <c r="F5987" s="2" t="s">
        <v>11</v>
      </c>
      <c r="G5987" s="2" t="s">
        <v>32388</v>
      </c>
      <c r="H5987" s="2" t="s">
        <v>32389</v>
      </c>
    </row>
    <row r="5988" spans="1:8" ht="25.05" customHeight="1" x14ac:dyDescent="0.25">
      <c r="A5988" s="2" t="s">
        <v>8</v>
      </c>
      <c r="B5988" s="2" t="str">
        <f>HYPERLINK("http://ts.21cn.com/tousu/show/id/1336853","守信宝暴力催收")</f>
        <v>守信宝暴力催收</v>
      </c>
      <c r="C5988" s="2" t="s">
        <v>9</v>
      </c>
      <c r="D5988" s="2" t="s">
        <v>10</v>
      </c>
      <c r="E5988" s="2" t="str">
        <f>HYPERLINK("http://ts.21cn.com/tousu/show/id/1336853","http://ts.21cn.com/tousu/show/id/1336853")</f>
        <v>http://ts.21cn.com/tousu/show/id/1336853</v>
      </c>
      <c r="F5988" s="2" t="s">
        <v>11</v>
      </c>
      <c r="G5988" s="2" t="s">
        <v>32386</v>
      </c>
      <c r="H5988" s="2" t="s">
        <v>32387</v>
      </c>
    </row>
    <row r="5989" spans="1:8" ht="25.05" customHeight="1" x14ac:dyDescent="0.25">
      <c r="A5989" s="2" t="s">
        <v>8</v>
      </c>
      <c r="B5989" s="2" t="str">
        <f>HYPERLINK("http://ts.21cn.com/tousu/show/id/1336854","买票未显示订单")</f>
        <v>买票未显示订单</v>
      </c>
      <c r="C5989" s="2" t="s">
        <v>9</v>
      </c>
      <c r="D5989" s="2" t="s">
        <v>10</v>
      </c>
      <c r="E5989" s="2" t="str">
        <f>HYPERLINK("http://ts.21cn.com/tousu/show/id/1336854","http://ts.21cn.com/tousu/show/id/1336854")</f>
        <v>http://ts.21cn.com/tousu/show/id/1336854</v>
      </c>
      <c r="F5989" s="2" t="s">
        <v>11</v>
      </c>
      <c r="G5989" s="2" t="s">
        <v>32384</v>
      </c>
      <c r="H5989" s="2" t="s">
        <v>32385</v>
      </c>
    </row>
    <row r="5990" spans="1:8" ht="25.05" customHeight="1" x14ac:dyDescent="0.25">
      <c r="A5990" s="2" t="s">
        <v>8</v>
      </c>
      <c r="B5990" s="2" t="str">
        <f>HYPERLINK("http://ts.21cn.com/tousu/show/id/1336855","信用贷涉嫌暴力催收，砍头息，骚扰我家人和朋友")</f>
        <v>信用贷涉嫌暴力催收，砍头息，骚扰我家人和朋友</v>
      </c>
      <c r="C5990" s="2" t="s">
        <v>9</v>
      </c>
      <c r="D5990" s="2" t="s">
        <v>10</v>
      </c>
      <c r="E5990" s="2" t="str">
        <f>HYPERLINK("http://ts.21cn.com/tousu/show/id/1336855","http://ts.21cn.com/tousu/show/id/1336855")</f>
        <v>http://ts.21cn.com/tousu/show/id/1336855</v>
      </c>
      <c r="F5990" s="2" t="s">
        <v>11</v>
      </c>
      <c r="G5990" s="2" t="s">
        <v>32382</v>
      </c>
      <c r="H5990" s="2" t="s">
        <v>32383</v>
      </c>
    </row>
    <row r="5991" spans="1:8" ht="25.05" customHeight="1" x14ac:dyDescent="0.25">
      <c r="A5991" s="2" t="s">
        <v>8</v>
      </c>
      <c r="B5991" s="2" t="str">
        <f>HYPERLINK("http://ts.21cn.com/tousu/show/id/1336857","你我贷高利贷变相砍头息")</f>
        <v>你我贷高利贷变相砍头息</v>
      </c>
      <c r="C5991" s="2" t="s">
        <v>9</v>
      </c>
      <c r="D5991" s="2" t="s">
        <v>10</v>
      </c>
      <c r="E5991" s="2" t="str">
        <f>HYPERLINK("http://ts.21cn.com/tousu/show/id/1336857","http://ts.21cn.com/tousu/show/id/1336857")</f>
        <v>http://ts.21cn.com/tousu/show/id/1336857</v>
      </c>
      <c r="F5991" s="2" t="s">
        <v>11</v>
      </c>
      <c r="G5991" s="2" t="s">
        <v>32380</v>
      </c>
      <c r="H5991" s="2" t="s">
        <v>32381</v>
      </c>
    </row>
    <row r="5992" spans="1:8" ht="25.05" customHeight="1" x14ac:dyDescent="0.25">
      <c r="A5992" s="2" t="s">
        <v>8</v>
      </c>
      <c r="B5992" s="2" t="str">
        <f>HYPERLINK("http://ts.21cn.com/tousu/show/id/1336859","淘宝无故关闭卖家的经营权")</f>
        <v>淘宝无故关闭卖家的经营权</v>
      </c>
      <c r="C5992" s="2" t="s">
        <v>34</v>
      </c>
      <c r="D5992" s="2" t="s">
        <v>10</v>
      </c>
      <c r="E5992" s="2" t="str">
        <f>HYPERLINK("http://ts.21cn.com/tousu/show/id/1336859","http://ts.21cn.com/tousu/show/id/1336859")</f>
        <v>http://ts.21cn.com/tousu/show/id/1336859</v>
      </c>
      <c r="F5992" s="2" t="s">
        <v>11</v>
      </c>
      <c r="G5992" s="2" t="s">
        <v>32378</v>
      </c>
      <c r="H5992" s="2" t="s">
        <v>32379</v>
      </c>
    </row>
    <row r="5993" spans="1:8" ht="25.05" customHeight="1" x14ac:dyDescent="0.25">
      <c r="A5993" s="2" t="s">
        <v>8</v>
      </c>
      <c r="B5993" s="2" t="str">
        <f>HYPERLINK("http://ts.21cn.com/tousu/show/id/1336858","借款5千，一个月后要还6400元，这么明显的息钱把别人当什么？")</f>
        <v>借款5千，一个月后要还6400元，这么明显的息钱把别人当什么？</v>
      </c>
      <c r="C5993" s="2" t="s">
        <v>9</v>
      </c>
      <c r="D5993" s="2" t="s">
        <v>10</v>
      </c>
      <c r="E5993" s="2" t="str">
        <f>HYPERLINK("http://ts.21cn.com/tousu/show/id/1336858","http://ts.21cn.com/tousu/show/id/1336858")</f>
        <v>http://ts.21cn.com/tousu/show/id/1336858</v>
      </c>
      <c r="F5993" s="2" t="s">
        <v>11</v>
      </c>
      <c r="G5993" s="2" t="s">
        <v>32376</v>
      </c>
      <c r="H5993" s="2" t="s">
        <v>32377</v>
      </c>
    </row>
    <row r="5994" spans="1:8" ht="25.05" customHeight="1" x14ac:dyDescent="0.25">
      <c r="A5994" s="2" t="s">
        <v>8</v>
      </c>
      <c r="B5994" s="2" t="str">
        <f>HYPERLINK("http://ts.21cn.com/tousu/show/id/1336860","要求英孚教育退款，终止合同且退百度钱包教育贷款遭拒（不接受违约金，协议无此项说明）")</f>
        <v>要求英孚教育退款，终止合同且退百度钱包教育贷款遭拒（不接受违约金，协议无此项说明）</v>
      </c>
      <c r="C5994" s="2" t="s">
        <v>9</v>
      </c>
      <c r="D5994" s="2" t="s">
        <v>10</v>
      </c>
      <c r="E5994" s="2" t="str">
        <f>HYPERLINK("http://ts.21cn.com/tousu/show/id/1336860","http://ts.21cn.com/tousu/show/id/1336860")</f>
        <v>http://ts.21cn.com/tousu/show/id/1336860</v>
      </c>
      <c r="F5994" s="2" t="s">
        <v>11</v>
      </c>
      <c r="G5994" s="2" t="s">
        <v>32374</v>
      </c>
      <c r="H5994" s="2" t="s">
        <v>32375</v>
      </c>
    </row>
    <row r="5995" spans="1:8" ht="25.05" customHeight="1" x14ac:dyDescent="0.25">
      <c r="A5995" s="2" t="s">
        <v>8</v>
      </c>
      <c r="B5995" s="2" t="str">
        <f>HYPERLINK("http://ts.21cn.com/tousu/show/id/1336861","外贸信托无缘无故扣我6560.24元")</f>
        <v>外贸信托无缘无故扣我6560.24元</v>
      </c>
      <c r="C5995" s="2" t="s">
        <v>9</v>
      </c>
      <c r="D5995" s="2" t="s">
        <v>10</v>
      </c>
      <c r="E5995" s="2" t="str">
        <f>HYPERLINK("http://ts.21cn.com/tousu/show/id/1336861","http://ts.21cn.com/tousu/show/id/1336861")</f>
        <v>http://ts.21cn.com/tousu/show/id/1336861</v>
      </c>
      <c r="F5995" s="2" t="s">
        <v>11</v>
      </c>
      <c r="G5995" s="2" t="s">
        <v>32372</v>
      </c>
      <c r="H5995" s="2" t="s">
        <v>32373</v>
      </c>
    </row>
    <row r="5996" spans="1:8" ht="25.05" customHeight="1" x14ac:dyDescent="0.25">
      <c r="A5996" s="2" t="s">
        <v>8</v>
      </c>
      <c r="B5996" s="2" t="str">
        <f>HYPERLINK("http://ts.21cn.com/tousu/show/id/1336863","维信金科平台自己收虚假物品费用，还允许众多高炮小贷上面放贷，肆意交易客户信息")</f>
        <v>维信金科平台自己收虚假物品费用，还允许众多高炮小贷上面放贷，肆意交易客户信息</v>
      </c>
      <c r="C5996" s="2" t="s">
        <v>9</v>
      </c>
      <c r="D5996" s="2" t="s">
        <v>10</v>
      </c>
      <c r="E5996" s="2" t="str">
        <f>HYPERLINK("http://ts.21cn.com/tousu/show/id/1336863","http://ts.21cn.com/tousu/show/id/1336863")</f>
        <v>http://ts.21cn.com/tousu/show/id/1336863</v>
      </c>
      <c r="F5996" s="2" t="s">
        <v>11</v>
      </c>
      <c r="G5996" s="2" t="s">
        <v>32370</v>
      </c>
      <c r="H5996" s="2" t="s">
        <v>32371</v>
      </c>
    </row>
    <row r="5997" spans="1:8" ht="25.05" customHeight="1" x14ac:dyDescent="0.25">
      <c r="A5997" s="2" t="s">
        <v>8</v>
      </c>
      <c r="B5997" s="2" t="str">
        <f>HYPERLINK("http://ts.21cn.com/tousu/show/id/1336864","美团众包乱扣钱")</f>
        <v>美团众包乱扣钱</v>
      </c>
      <c r="C5997" s="2" t="s">
        <v>9</v>
      </c>
      <c r="D5997" s="2" t="s">
        <v>10</v>
      </c>
      <c r="E5997" s="2" t="str">
        <f>HYPERLINK("http://ts.21cn.com/tousu/show/id/1336864","http://ts.21cn.com/tousu/show/id/1336864")</f>
        <v>http://ts.21cn.com/tousu/show/id/1336864</v>
      </c>
      <c r="F5997" s="2" t="s">
        <v>11</v>
      </c>
      <c r="G5997" s="2" t="s">
        <v>32368</v>
      </c>
      <c r="H5997" s="2" t="s">
        <v>32369</v>
      </c>
    </row>
    <row r="5998" spans="1:8" ht="25.05" customHeight="1" x14ac:dyDescent="0.25">
      <c r="A5998" s="2" t="s">
        <v>8</v>
      </c>
      <c r="B5998" s="2" t="str">
        <f>HYPERLINK("http://ts.21cn.com/tousu/show/id/1336866","唯品花威胁恐吓说打通讯录联系亲人")</f>
        <v>唯品花威胁恐吓说打通讯录联系亲人</v>
      </c>
      <c r="C5998" s="2" t="s">
        <v>9</v>
      </c>
      <c r="D5998" s="2" t="s">
        <v>10</v>
      </c>
      <c r="E5998" s="2" t="str">
        <f>HYPERLINK("http://ts.21cn.com/tousu/show/id/1336866","http://ts.21cn.com/tousu/show/id/1336866")</f>
        <v>http://ts.21cn.com/tousu/show/id/1336866</v>
      </c>
      <c r="F5998" s="2" t="s">
        <v>11</v>
      </c>
      <c r="G5998" s="2" t="s">
        <v>32366</v>
      </c>
      <c r="H5998" s="2" t="s">
        <v>32367</v>
      </c>
    </row>
    <row r="5999" spans="1:8" ht="25.05" customHeight="1" x14ac:dyDescent="0.25">
      <c r="A5999" s="2" t="s">
        <v>8</v>
      </c>
      <c r="B5999" s="2" t="str">
        <f>HYPERLINK("http://ts.21cn.com/tousu/show/id/1336867","京东金条漏发还款提醒，造成未及时还款逾期几小时，联系客服说明非恶意拒不受理")</f>
        <v>京东金条漏发还款提醒，造成未及时还款逾期几小时，联系客服说明非恶意拒不受理</v>
      </c>
      <c r="C5999" s="2" t="s">
        <v>9</v>
      </c>
      <c r="D5999" s="2" t="s">
        <v>10</v>
      </c>
      <c r="E5999" s="2" t="str">
        <f>HYPERLINK("http://ts.21cn.com/tousu/show/id/1336867","http://ts.21cn.com/tousu/show/id/1336867")</f>
        <v>http://ts.21cn.com/tousu/show/id/1336867</v>
      </c>
      <c r="F5999" s="2" t="s">
        <v>11</v>
      </c>
      <c r="G5999" s="2" t="s">
        <v>32364</v>
      </c>
      <c r="H5999" s="2" t="s">
        <v>32365</v>
      </c>
    </row>
    <row r="6000" spans="1:8" ht="25.05" customHeight="1" x14ac:dyDescent="0.25">
      <c r="A6000" s="2" t="s">
        <v>8</v>
      </c>
      <c r="B6000" s="2" t="str">
        <f>HYPERLINK("http://ts.21cn.com/tousu/show/id/1336862","被所谓的唯品会洁柔客服拿走6175.20块钱")</f>
        <v>被所谓的唯品会洁柔客服拿走6175.20块钱</v>
      </c>
      <c r="C6000" s="2" t="s">
        <v>9</v>
      </c>
      <c r="D6000" s="2" t="s">
        <v>10</v>
      </c>
      <c r="E6000" s="2" t="str">
        <f>HYPERLINK("http://ts.21cn.com/tousu/show/id/1336862","http://ts.21cn.com/tousu/show/id/1336862")</f>
        <v>http://ts.21cn.com/tousu/show/id/1336862</v>
      </c>
      <c r="F6000" s="2" t="s">
        <v>11</v>
      </c>
      <c r="G6000" s="2" t="s">
        <v>32362</v>
      </c>
      <c r="H6000" s="2" t="s">
        <v>32363</v>
      </c>
    </row>
    <row r="6001" spans="1:8" ht="25.05" customHeight="1" x14ac:dyDescent="0.25">
      <c r="A6001" s="2" t="s">
        <v>8</v>
      </c>
      <c r="B6001" s="2" t="str">
        <f>HYPERLINK("http://ts.21cn.com/tousu/show/id/1336868","钱站高利贷")</f>
        <v>钱站高利贷</v>
      </c>
      <c r="C6001" s="2" t="s">
        <v>9</v>
      </c>
      <c r="D6001" s="2" t="s">
        <v>10</v>
      </c>
      <c r="E6001" s="2" t="str">
        <f>HYPERLINK("http://ts.21cn.com/tousu/show/id/1336868","http://ts.21cn.com/tousu/show/id/1336868")</f>
        <v>http://ts.21cn.com/tousu/show/id/1336868</v>
      </c>
      <c r="F6001" s="2" t="s">
        <v>11</v>
      </c>
      <c r="G6001" s="2" t="s">
        <v>32360</v>
      </c>
      <c r="H6001" s="2" t="s">
        <v>32361</v>
      </c>
    </row>
    <row r="6002" spans="1:8" ht="25.05" customHeight="1" x14ac:dyDescent="0.25">
      <c r="A6002" s="2" t="s">
        <v>8</v>
      </c>
      <c r="B6002" s="2" t="str">
        <f>HYPERLINK("http://ts.21cn.com/tousu/show/id/1336869","维信金科平台隐藏条款，盗取用户信息，恶意盗刷")</f>
        <v>维信金科平台隐藏条款，盗取用户信息，恶意盗刷</v>
      </c>
      <c r="C6002" s="2" t="s">
        <v>9</v>
      </c>
      <c r="D6002" s="2" t="s">
        <v>10</v>
      </c>
      <c r="E6002" s="2" t="str">
        <f>HYPERLINK("http://ts.21cn.com/tousu/show/id/1336869","http://ts.21cn.com/tousu/show/id/1336869")</f>
        <v>http://ts.21cn.com/tousu/show/id/1336869</v>
      </c>
      <c r="F6002" s="2" t="s">
        <v>11</v>
      </c>
      <c r="G6002" s="2" t="s">
        <v>32359</v>
      </c>
      <c r="H6002" s="2" t="s">
        <v>12169</v>
      </c>
    </row>
    <row r="6003" spans="1:8" ht="25.05" customHeight="1" x14ac:dyDescent="0.25">
      <c r="A6003" s="2" t="s">
        <v>8</v>
      </c>
      <c r="B6003" s="2" t="str">
        <f>HYPERLINK("http://ts.21cn.com/tousu/show/id/1336872","乱加收杂七杂八的费用，完全不知道这些费用的由来")</f>
        <v>乱加收杂七杂八的费用，完全不知道这些费用的由来</v>
      </c>
      <c r="C6003" s="2" t="s">
        <v>34</v>
      </c>
      <c r="D6003" s="2" t="s">
        <v>10</v>
      </c>
      <c r="E6003" s="2" t="str">
        <f>HYPERLINK("http://ts.21cn.com/tousu/show/id/1336872","http://ts.21cn.com/tousu/show/id/1336872")</f>
        <v>http://ts.21cn.com/tousu/show/id/1336872</v>
      </c>
      <c r="F6003" s="2" t="s">
        <v>11</v>
      </c>
      <c r="G6003" s="2" t="s">
        <v>32357</v>
      </c>
      <c r="H6003" s="2" t="s">
        <v>32358</v>
      </c>
    </row>
    <row r="6004" spans="1:8" ht="25.05" customHeight="1" x14ac:dyDescent="0.25">
      <c r="A6004" s="2" t="s">
        <v>8</v>
      </c>
      <c r="B6004" s="2" t="str">
        <f>HYPERLINK("http://ts.21cn.com/tousu/show/id/1336873","玖富万卡擅自改写合同，变相收取费用，高利贷")</f>
        <v>玖富万卡擅自改写合同，变相收取费用，高利贷</v>
      </c>
      <c r="C6004" s="2" t="s">
        <v>9</v>
      </c>
      <c r="D6004" s="2" t="s">
        <v>10</v>
      </c>
      <c r="E6004" s="2" t="str">
        <f>HYPERLINK("http://ts.21cn.com/tousu/show/id/1336873","http://ts.21cn.com/tousu/show/id/1336873")</f>
        <v>http://ts.21cn.com/tousu/show/id/1336873</v>
      </c>
      <c r="F6004" s="2" t="s">
        <v>11</v>
      </c>
      <c r="G6004" s="2" t="s">
        <v>32355</v>
      </c>
      <c r="H6004" s="2" t="s">
        <v>32356</v>
      </c>
    </row>
    <row r="6005" spans="1:8" ht="25.05" customHeight="1" x14ac:dyDescent="0.25">
      <c r="A6005" s="2" t="s">
        <v>8</v>
      </c>
      <c r="B6005" s="2" t="str">
        <f>HYPERLINK("http://ts.21cn.com/tousu/show/id/1336871","预定酒店到了顺超时住宿，款项也不退")</f>
        <v>预定酒店到了顺超时住宿，款项也不退</v>
      </c>
      <c r="C6005" s="2" t="s">
        <v>9</v>
      </c>
      <c r="D6005" s="2" t="s">
        <v>10</v>
      </c>
      <c r="E6005" s="2" t="str">
        <f>HYPERLINK("http://ts.21cn.com/tousu/show/id/1336871","http://ts.21cn.com/tousu/show/id/1336871")</f>
        <v>http://ts.21cn.com/tousu/show/id/1336871</v>
      </c>
      <c r="F6005" s="2" t="s">
        <v>11</v>
      </c>
      <c r="G6005" s="2" t="s">
        <v>32353</v>
      </c>
      <c r="H6005" s="2" t="s">
        <v>32354</v>
      </c>
    </row>
    <row r="6006" spans="1:8" ht="25.05" customHeight="1" x14ac:dyDescent="0.25">
      <c r="A6006" s="2" t="s">
        <v>8</v>
      </c>
      <c r="B6006" s="2" t="str">
        <f>HYPERLINK("http://ts.21cn.com/tousu/show/id/1336874","招联金融暴力催收")</f>
        <v>招联金融暴力催收</v>
      </c>
      <c r="C6006" s="2" t="s">
        <v>9</v>
      </c>
      <c r="D6006" s="2" t="s">
        <v>10</v>
      </c>
      <c r="E6006" s="2" t="str">
        <f>HYPERLINK("http://ts.21cn.com/tousu/show/id/1336874","http://ts.21cn.com/tousu/show/id/1336874")</f>
        <v>http://ts.21cn.com/tousu/show/id/1336874</v>
      </c>
      <c r="F6006" s="2" t="s">
        <v>11</v>
      </c>
      <c r="G6006" s="2" t="s">
        <v>32351</v>
      </c>
      <c r="H6006" s="2" t="s">
        <v>32352</v>
      </c>
    </row>
    <row r="6007" spans="1:8" ht="25.05" customHeight="1" x14ac:dyDescent="0.25">
      <c r="A6007" s="2" t="s">
        <v>8</v>
      </c>
      <c r="B6007" s="2" t="str">
        <f>HYPERLINK("http://ts.21cn.com/tousu/show/id/1336870","暴力催收恐吓威胁")</f>
        <v>暴力催收恐吓威胁</v>
      </c>
      <c r="C6007" s="2" t="s">
        <v>9</v>
      </c>
      <c r="D6007" s="2" t="s">
        <v>10</v>
      </c>
      <c r="E6007" s="2" t="str">
        <f>HYPERLINK("http://ts.21cn.com/tousu/show/id/1336870","http://ts.21cn.com/tousu/show/id/1336870")</f>
        <v>http://ts.21cn.com/tousu/show/id/1336870</v>
      </c>
      <c r="F6007" s="2" t="s">
        <v>11</v>
      </c>
      <c r="G6007" s="2" t="s">
        <v>32349</v>
      </c>
      <c r="H6007" s="2" t="s">
        <v>32350</v>
      </c>
    </row>
    <row r="6008" spans="1:8" ht="25.05" customHeight="1" x14ac:dyDescent="0.25">
      <c r="A6008" s="2" t="s">
        <v>8</v>
      </c>
      <c r="B6008" s="2" t="str">
        <f>HYPERLINK("http://ts.21cn.com/tousu/show/id/1336875","联系不到贷款公司")</f>
        <v>联系不到贷款公司</v>
      </c>
      <c r="C6008" s="2" t="s">
        <v>34</v>
      </c>
      <c r="D6008" s="2" t="s">
        <v>10</v>
      </c>
      <c r="E6008" s="2" t="str">
        <f>HYPERLINK("http://ts.21cn.com/tousu/show/id/1336875","http://ts.21cn.com/tousu/show/id/1336875")</f>
        <v>http://ts.21cn.com/tousu/show/id/1336875</v>
      </c>
      <c r="F6008" s="2" t="s">
        <v>11</v>
      </c>
      <c r="G6008" s="2" t="s">
        <v>32347</v>
      </c>
      <c r="H6008" s="2" t="s">
        <v>32348</v>
      </c>
    </row>
    <row r="6009" spans="1:8" ht="25.05" customHeight="1" x14ac:dyDescent="0.25">
      <c r="A6009" s="2" t="s">
        <v>8</v>
      </c>
      <c r="B6009" s="2" t="str">
        <f>HYPERLINK("http://ts.21cn.com/tousu/show/id/1336876","电话恐吓谎称使用其软件")</f>
        <v>电话恐吓谎称使用其软件</v>
      </c>
      <c r="C6009" s="2" t="s">
        <v>9</v>
      </c>
      <c r="D6009" s="2" t="s">
        <v>10</v>
      </c>
      <c r="E6009" s="2" t="str">
        <f>HYPERLINK("http://ts.21cn.com/tousu/show/id/1336876","http://ts.21cn.com/tousu/show/id/1336876")</f>
        <v>http://ts.21cn.com/tousu/show/id/1336876</v>
      </c>
      <c r="F6009" s="2" t="s">
        <v>11</v>
      </c>
      <c r="G6009" s="2" t="s">
        <v>32345</v>
      </c>
      <c r="H6009" s="2" t="s">
        <v>32346</v>
      </c>
    </row>
    <row r="6010" spans="1:8" ht="25.05" customHeight="1" x14ac:dyDescent="0.25">
      <c r="A6010" s="2" t="s">
        <v>8</v>
      </c>
      <c r="B6010" s="2" t="str">
        <f>HYPERLINK("http://ts.21cn.com/tousu/show/id/1336877","京东实力坑")</f>
        <v>京东实力坑</v>
      </c>
      <c r="C6010" s="2" t="s">
        <v>9</v>
      </c>
      <c r="D6010" s="2" t="s">
        <v>10</v>
      </c>
      <c r="E6010" s="2" t="str">
        <f>HYPERLINK("http://ts.21cn.com/tousu/show/id/1336877","http://ts.21cn.com/tousu/show/id/1336877")</f>
        <v>http://ts.21cn.com/tousu/show/id/1336877</v>
      </c>
      <c r="F6010" s="2" t="s">
        <v>11</v>
      </c>
      <c r="G6010" s="2" t="s">
        <v>32343</v>
      </c>
      <c r="H6010" s="2" t="s">
        <v>32344</v>
      </c>
    </row>
    <row r="6011" spans="1:8" ht="25.05" customHeight="1" x14ac:dyDescent="0.25">
      <c r="A6011" s="2" t="s">
        <v>8</v>
      </c>
      <c r="B6011" s="2" t="str">
        <f>HYPERLINK("http://ts.21cn.com/tousu/show/id/1336878","私自扣款")</f>
        <v>私自扣款</v>
      </c>
      <c r="C6011" s="2" t="s">
        <v>9</v>
      </c>
      <c r="D6011" s="2" t="s">
        <v>10</v>
      </c>
      <c r="E6011" s="2" t="str">
        <f>HYPERLINK("http://ts.21cn.com/tousu/show/id/1336878","http://ts.21cn.com/tousu/show/id/1336878")</f>
        <v>http://ts.21cn.com/tousu/show/id/1336878</v>
      </c>
      <c r="F6011" s="2" t="s">
        <v>11</v>
      </c>
      <c r="G6011" s="2" t="s">
        <v>32341</v>
      </c>
      <c r="H6011" s="2" t="s">
        <v>32342</v>
      </c>
    </row>
    <row r="6012" spans="1:8" ht="25.05" customHeight="1" x14ac:dyDescent="0.25">
      <c r="A6012" s="2" t="s">
        <v>8</v>
      </c>
      <c r="B6012" s="2" t="str">
        <f>HYPERLINK("http://ts.21cn.com/tousu/show/id/1336879","押金不退还")</f>
        <v>押金不退还</v>
      </c>
      <c r="C6012" s="2" t="s">
        <v>9</v>
      </c>
      <c r="D6012" s="2" t="s">
        <v>10</v>
      </c>
      <c r="E6012" s="2" t="str">
        <f>HYPERLINK("http://ts.21cn.com/tousu/show/id/1336879","http://ts.21cn.com/tousu/show/id/1336879")</f>
        <v>http://ts.21cn.com/tousu/show/id/1336879</v>
      </c>
      <c r="F6012" s="2" t="s">
        <v>11</v>
      </c>
      <c r="G6012" s="2" t="s">
        <v>32339</v>
      </c>
      <c r="H6012" s="2" t="s">
        <v>32340</v>
      </c>
    </row>
    <row r="6013" spans="1:8" ht="25.05" customHeight="1" x14ac:dyDescent="0.25">
      <c r="A6013" s="2" t="s">
        <v>8</v>
      </c>
      <c r="B6013" s="2" t="str">
        <f>HYPERLINK("http://ts.21cn.com/tousu/show/id/1336880","无法还款")</f>
        <v>无法还款</v>
      </c>
      <c r="C6013" s="2" t="s">
        <v>9</v>
      </c>
      <c r="D6013" s="2" t="s">
        <v>10</v>
      </c>
      <c r="E6013" s="2" t="str">
        <f>HYPERLINK("http://ts.21cn.com/tousu/show/id/1336880","http://ts.21cn.com/tousu/show/id/1336880")</f>
        <v>http://ts.21cn.com/tousu/show/id/1336880</v>
      </c>
      <c r="F6013" s="2" t="s">
        <v>11</v>
      </c>
      <c r="G6013" s="2" t="s">
        <v>32337</v>
      </c>
      <c r="H6013" s="2" t="s">
        <v>32338</v>
      </c>
    </row>
    <row r="6014" spans="1:8" ht="25.05" customHeight="1" x14ac:dyDescent="0.25">
      <c r="A6014" s="2" t="s">
        <v>8</v>
      </c>
      <c r="B6014" s="2" t="str">
        <f>HYPERLINK("http://ts.21cn.com/tousu/show/id/1336881","招联威胁他人生命")</f>
        <v>招联威胁他人生命</v>
      </c>
      <c r="C6014" s="2" t="s">
        <v>9</v>
      </c>
      <c r="D6014" s="2" t="s">
        <v>10</v>
      </c>
      <c r="E6014" s="2" t="str">
        <f>HYPERLINK("http://ts.21cn.com/tousu/show/id/1336881","http://ts.21cn.com/tousu/show/id/1336881")</f>
        <v>http://ts.21cn.com/tousu/show/id/1336881</v>
      </c>
      <c r="F6014" s="2" t="s">
        <v>11</v>
      </c>
      <c r="G6014" s="2" t="s">
        <v>32335</v>
      </c>
      <c r="H6014" s="2" t="s">
        <v>32336</v>
      </c>
    </row>
    <row r="6015" spans="1:8" ht="25.05" customHeight="1" x14ac:dyDescent="0.25">
      <c r="A6015" s="2" t="s">
        <v>8</v>
      </c>
      <c r="B6015" s="2" t="str">
        <f>HYPERLINK("http://ts.21cn.com/tousu/show/id/1336883","OPPOR9SPLUS大规模无限重启变砖")</f>
        <v>OPPOR9SPLUS大规模无限重启变砖</v>
      </c>
      <c r="C6015" s="2" t="s">
        <v>9</v>
      </c>
      <c r="D6015" s="2" t="s">
        <v>10</v>
      </c>
      <c r="E6015" s="2" t="str">
        <f>HYPERLINK("http://ts.21cn.com/tousu/show/id/1336883","http://ts.21cn.com/tousu/show/id/1336883")</f>
        <v>http://ts.21cn.com/tousu/show/id/1336883</v>
      </c>
      <c r="F6015" s="2" t="s">
        <v>11</v>
      </c>
      <c r="G6015" s="2" t="s">
        <v>32333</v>
      </c>
      <c r="H6015" s="2" t="s">
        <v>32334</v>
      </c>
    </row>
    <row r="6016" spans="1:8" ht="25.05" customHeight="1" x14ac:dyDescent="0.25">
      <c r="A6016" s="2" t="s">
        <v>8</v>
      </c>
      <c r="B6016" s="2" t="str">
        <f>HYPERLINK("http://ts.21cn.com/tousu/show/id/1336884","大量用户无法退还立刻出行499元押金")</f>
        <v>大量用户无法退还立刻出行499元押金</v>
      </c>
      <c r="C6016" s="2" t="s">
        <v>34</v>
      </c>
      <c r="D6016" s="2" t="s">
        <v>10</v>
      </c>
      <c r="E6016" s="2" t="str">
        <f>HYPERLINK("http://ts.21cn.com/tousu/show/id/1336884","http://ts.21cn.com/tousu/show/id/1336884")</f>
        <v>http://ts.21cn.com/tousu/show/id/1336884</v>
      </c>
      <c r="F6016" s="2" t="s">
        <v>11</v>
      </c>
      <c r="G6016" s="2" t="s">
        <v>32331</v>
      </c>
      <c r="H6016" s="2" t="s">
        <v>32332</v>
      </c>
    </row>
    <row r="6017" spans="1:8" ht="25.05" customHeight="1" x14ac:dyDescent="0.25">
      <c r="A6017" s="2" t="s">
        <v>8</v>
      </c>
      <c r="B6017" s="2" t="str">
        <f>HYPERLINK("http://ts.21cn.com/tousu/show/id/1336885","猫眼电影无故退演唱会门票，客服以系统异常搪塞，并不予处理")</f>
        <v>猫眼电影无故退演唱会门票，客服以系统异常搪塞，并不予处理</v>
      </c>
      <c r="C6017" s="2" t="s">
        <v>9</v>
      </c>
      <c r="D6017" s="2" t="s">
        <v>10</v>
      </c>
      <c r="E6017" s="2" t="str">
        <f>HYPERLINK("http://ts.21cn.com/tousu/show/id/1336885","http://ts.21cn.com/tousu/show/id/1336885")</f>
        <v>http://ts.21cn.com/tousu/show/id/1336885</v>
      </c>
      <c r="F6017" s="2" t="s">
        <v>11</v>
      </c>
      <c r="G6017" s="2" t="s">
        <v>32329</v>
      </c>
      <c r="H6017" s="2" t="s">
        <v>32330</v>
      </c>
    </row>
    <row r="6018" spans="1:8" ht="25.05" customHeight="1" x14ac:dyDescent="0.25">
      <c r="A6018" s="2" t="s">
        <v>8</v>
      </c>
      <c r="B6018" s="2" t="str">
        <f>HYPERLINK("http://ts.21cn.com/tousu/show/id/1336886","阴阳合同、隐瞒借款人、不诚信黑网贷")</f>
        <v>阴阳合同、隐瞒借款人、不诚信黑网贷</v>
      </c>
      <c r="C6018" s="2" t="s">
        <v>9</v>
      </c>
      <c r="D6018" s="2" t="s">
        <v>10</v>
      </c>
      <c r="E6018" s="2" t="str">
        <f>HYPERLINK("http://ts.21cn.com/tousu/show/id/1336886","http://ts.21cn.com/tousu/show/id/1336886")</f>
        <v>http://ts.21cn.com/tousu/show/id/1336886</v>
      </c>
      <c r="F6018" s="2" t="s">
        <v>11</v>
      </c>
      <c r="G6018" s="2" t="s">
        <v>32327</v>
      </c>
      <c r="H6018" s="2" t="s">
        <v>32328</v>
      </c>
    </row>
    <row r="6019" spans="1:8" ht="25.05" customHeight="1" x14ac:dyDescent="0.25">
      <c r="A6019" s="2" t="s">
        <v>8</v>
      </c>
      <c r="B6019" s="2" t="str">
        <f>HYPERLINK("http://ts.21cn.com/tousu/show/id/1336887","柯基贷爆通讯录骚扰家人")</f>
        <v>柯基贷爆通讯录骚扰家人</v>
      </c>
      <c r="C6019" s="2" t="s">
        <v>9</v>
      </c>
      <c r="D6019" s="2" t="s">
        <v>10</v>
      </c>
      <c r="E6019" s="2" t="str">
        <f>HYPERLINK("http://ts.21cn.com/tousu/show/id/1336887","http://ts.21cn.com/tousu/show/id/1336887")</f>
        <v>http://ts.21cn.com/tousu/show/id/1336887</v>
      </c>
      <c r="F6019" s="2" t="s">
        <v>11</v>
      </c>
      <c r="G6019" s="2" t="s">
        <v>32325</v>
      </c>
      <c r="H6019" s="2" t="s">
        <v>32326</v>
      </c>
    </row>
    <row r="6020" spans="1:8" ht="25.05" customHeight="1" x14ac:dyDescent="0.25">
      <c r="A6020" s="2" t="s">
        <v>8</v>
      </c>
      <c r="B6020" s="2" t="str">
        <f>HYPERLINK("http://ts.21cn.com/tousu/show/id/1336888","天猫商城购买的创维电视内屏破了不给退")</f>
        <v>天猫商城购买的创维电视内屏破了不给退</v>
      </c>
      <c r="C6020" s="2" t="s">
        <v>9</v>
      </c>
      <c r="D6020" s="2" t="s">
        <v>10</v>
      </c>
      <c r="E6020" s="2" t="str">
        <f>HYPERLINK("http://ts.21cn.com/tousu/show/id/1336888","http://ts.21cn.com/tousu/show/id/1336888")</f>
        <v>http://ts.21cn.com/tousu/show/id/1336888</v>
      </c>
      <c r="F6020" s="2" t="s">
        <v>11</v>
      </c>
      <c r="G6020" s="2" t="s">
        <v>32323</v>
      </c>
      <c r="H6020" s="2" t="s">
        <v>32324</v>
      </c>
    </row>
    <row r="6021" spans="1:8" ht="25.05" customHeight="1" x14ac:dyDescent="0.25">
      <c r="A6021" s="2" t="s">
        <v>8</v>
      </c>
      <c r="B6021" s="2" t="str">
        <f>HYPERLINK("http://ts.21cn.com/tousu/show/id/1336889","微信支付冻结不给我解冻无人给我解决")</f>
        <v>微信支付冻结不给我解冻无人给我解决</v>
      </c>
      <c r="C6021" s="2" t="s">
        <v>9</v>
      </c>
      <c r="D6021" s="2" t="s">
        <v>10</v>
      </c>
      <c r="E6021" s="2" t="str">
        <f>HYPERLINK("http://ts.21cn.com/tousu/show/id/1336889","http://ts.21cn.com/tousu/show/id/1336889")</f>
        <v>http://ts.21cn.com/tousu/show/id/1336889</v>
      </c>
      <c r="F6021" s="2" t="s">
        <v>11</v>
      </c>
      <c r="G6021" s="2" t="s">
        <v>32321</v>
      </c>
      <c r="H6021" s="2" t="s">
        <v>32322</v>
      </c>
    </row>
    <row r="6022" spans="1:8" ht="25.05" customHeight="1" x14ac:dyDescent="0.25">
      <c r="A6022" s="2" t="s">
        <v>8</v>
      </c>
      <c r="B6022" s="2" t="str">
        <f>HYPERLINK("http://ts.21cn.com/tousu/show/id/1336890","关于拼多多售假，包庇卖家")</f>
        <v>关于拼多多售假，包庇卖家</v>
      </c>
      <c r="C6022" s="2" t="s">
        <v>9</v>
      </c>
      <c r="D6022" s="2" t="s">
        <v>10</v>
      </c>
      <c r="E6022" s="2" t="str">
        <f>HYPERLINK("http://ts.21cn.com/tousu/show/id/1336890","http://ts.21cn.com/tousu/show/id/1336890")</f>
        <v>http://ts.21cn.com/tousu/show/id/1336890</v>
      </c>
      <c r="F6022" s="2" t="s">
        <v>11</v>
      </c>
      <c r="G6022" s="2" t="s">
        <v>32319</v>
      </c>
      <c r="H6022" s="2" t="s">
        <v>32320</v>
      </c>
    </row>
    <row r="6023" spans="1:8" ht="25.05" customHeight="1" x14ac:dyDescent="0.25">
      <c r="A6023" s="2" t="s">
        <v>8</v>
      </c>
      <c r="B6023" s="2" t="str">
        <f>HYPERLINK("http://ts.21cn.com/tousu/show/id/1336825","”网银在线“和”中金支付“为高利贷51人品（杭州义牛网络技术有限）违规提供支付通道隐匿扣款方违反保险法！")</f>
        <v>”网银在线“和”中金支付“为高利贷51人品（杭州义牛网络技术有限）违规提供支付通道隐匿扣款方违反保险法！</v>
      </c>
      <c r="C6023" s="2" t="s">
        <v>9</v>
      </c>
      <c r="D6023" s="2" t="s">
        <v>10</v>
      </c>
      <c r="E6023" s="2" t="str">
        <f>HYPERLINK("http://ts.21cn.com/tousu/show/id/1336825","http://ts.21cn.com/tousu/show/id/1336825")</f>
        <v>http://ts.21cn.com/tousu/show/id/1336825</v>
      </c>
      <c r="F6023" s="2" t="s">
        <v>11</v>
      </c>
      <c r="G6023" s="2" t="s">
        <v>32317</v>
      </c>
      <c r="H6023" s="2" t="s">
        <v>32318</v>
      </c>
    </row>
    <row r="6024" spans="1:8" ht="25.05" customHeight="1" x14ac:dyDescent="0.25">
      <c r="A6024" s="2" t="s">
        <v>8</v>
      </c>
      <c r="B6024" s="2" t="str">
        <f>HYPERLINK("http://ts.21cn.com/tousu/show/id/1336891","喷火龙套路贷")</f>
        <v>喷火龙套路贷</v>
      </c>
      <c r="C6024" s="2" t="s">
        <v>9</v>
      </c>
      <c r="D6024" s="2" t="s">
        <v>10</v>
      </c>
      <c r="E6024" s="2" t="str">
        <f>HYPERLINK("http://ts.21cn.com/tousu/show/id/1336891","http://ts.21cn.com/tousu/show/id/1336891")</f>
        <v>http://ts.21cn.com/tousu/show/id/1336891</v>
      </c>
      <c r="F6024" s="2" t="s">
        <v>11</v>
      </c>
      <c r="G6024" s="2" t="s">
        <v>32315</v>
      </c>
      <c r="H6024" s="2" t="s">
        <v>32316</v>
      </c>
    </row>
    <row r="6025" spans="1:8" ht="25.05" customHeight="1" x14ac:dyDescent="0.25">
      <c r="A6025" s="2" t="s">
        <v>8</v>
      </c>
      <c r="B6025" s="2" t="str">
        <f>HYPERLINK("http://ts.21cn.com/tousu/show/id/1336892","退回我的上岗保证金")</f>
        <v>退回我的上岗保证金</v>
      </c>
      <c r="C6025" s="2" t="s">
        <v>9</v>
      </c>
      <c r="D6025" s="2" t="s">
        <v>10</v>
      </c>
      <c r="E6025" s="2" t="str">
        <f>HYPERLINK("http://ts.21cn.com/tousu/show/id/1336892","http://ts.21cn.com/tousu/show/id/1336892")</f>
        <v>http://ts.21cn.com/tousu/show/id/1336892</v>
      </c>
      <c r="F6025" s="2" t="s">
        <v>11</v>
      </c>
      <c r="G6025" s="2" t="s">
        <v>32313</v>
      </c>
      <c r="H6025" s="2" t="s">
        <v>32314</v>
      </c>
    </row>
    <row r="6026" spans="1:8" ht="25.05" customHeight="1" x14ac:dyDescent="0.25">
      <c r="A6026" s="2" t="s">
        <v>8</v>
      </c>
      <c r="B6026" s="2" t="str">
        <f>HYPERLINK("http://ts.21cn.com/tousu/show/id/1331977","后宫app，不给提取资金")</f>
        <v>后宫app，不给提取资金</v>
      </c>
      <c r="C6026" s="2" t="s">
        <v>9</v>
      </c>
      <c r="D6026" s="2" t="s">
        <v>10</v>
      </c>
      <c r="E6026" s="2" t="str">
        <f>HYPERLINK("http://ts.21cn.com/tousu/show/id/1331977","http://ts.21cn.com/tousu/show/id/1331977")</f>
        <v>http://ts.21cn.com/tousu/show/id/1331977</v>
      </c>
      <c r="F6026" s="2" t="s">
        <v>11</v>
      </c>
      <c r="G6026" s="2" t="s">
        <v>32311</v>
      </c>
      <c r="H6026" s="2" t="s">
        <v>32312</v>
      </c>
    </row>
    <row r="6027" spans="1:8" ht="25.05" customHeight="1" x14ac:dyDescent="0.25">
      <c r="A6027" s="2" t="s">
        <v>8</v>
      </c>
      <c r="B6027" s="2" t="str">
        <f>HYPERLINK("http://ts.21cn.com/tousu/show/id/1336893","宜兴滴滴快车司机单子去哪里了？")</f>
        <v>宜兴滴滴快车司机单子去哪里了？</v>
      </c>
      <c r="C6027" s="2" t="s">
        <v>9</v>
      </c>
      <c r="D6027" s="2" t="s">
        <v>10</v>
      </c>
      <c r="E6027" s="2" t="str">
        <f>HYPERLINK("http://ts.21cn.com/tousu/show/id/1336893","http://ts.21cn.com/tousu/show/id/1336893")</f>
        <v>http://ts.21cn.com/tousu/show/id/1336893</v>
      </c>
      <c r="F6027" s="2" t="s">
        <v>11</v>
      </c>
      <c r="G6027" s="2" t="s">
        <v>32309</v>
      </c>
      <c r="H6027" s="2" t="s">
        <v>32310</v>
      </c>
    </row>
    <row r="6028" spans="1:8" ht="25.05" customHeight="1" x14ac:dyDescent="0.25">
      <c r="A6028" s="2" t="s">
        <v>8</v>
      </c>
      <c r="B6028" s="2" t="str">
        <f>HYPERLINK("http://ts.21cn.com/tousu/show/id/1336894","快闪卡贷砍头息 高利贷")</f>
        <v>快闪卡贷砍头息 高利贷</v>
      </c>
      <c r="C6028" s="2" t="s">
        <v>9</v>
      </c>
      <c r="D6028" s="2" t="s">
        <v>10</v>
      </c>
      <c r="E6028" s="2" t="str">
        <f>HYPERLINK("http://ts.21cn.com/tousu/show/id/1336894","http://ts.21cn.com/tousu/show/id/1336894")</f>
        <v>http://ts.21cn.com/tousu/show/id/1336894</v>
      </c>
      <c r="F6028" s="2" t="s">
        <v>11</v>
      </c>
      <c r="G6028" s="2" t="s">
        <v>32306</v>
      </c>
      <c r="H6028" s="2" t="s">
        <v>32307</v>
      </c>
    </row>
    <row r="6029" spans="1:8" ht="25.05" customHeight="1" x14ac:dyDescent="0.25">
      <c r="A6029" s="2" t="s">
        <v>8</v>
      </c>
      <c r="B6029" s="2" t="str">
        <f>HYPERLINK("http://ts.21cn.com/tousu/show/id/1336897","滴滴出行限制服务分限制派单")</f>
        <v>滴滴出行限制服务分限制派单</v>
      </c>
      <c r="C6029" s="2" t="s">
        <v>9</v>
      </c>
      <c r="D6029" s="2" t="s">
        <v>10</v>
      </c>
      <c r="E6029" s="2" t="str">
        <f>HYPERLINK("http://ts.21cn.com/tousu/show/id/1336897","http://ts.21cn.com/tousu/show/id/1336897")</f>
        <v>http://ts.21cn.com/tousu/show/id/1336897</v>
      </c>
      <c r="F6029" s="2" t="s">
        <v>11</v>
      </c>
      <c r="G6029" s="2" t="s">
        <v>32306</v>
      </c>
      <c r="H6029" s="2" t="s">
        <v>32308</v>
      </c>
    </row>
    <row r="6030" spans="1:8" ht="25.05" customHeight="1" x14ac:dyDescent="0.25">
      <c r="A6030" s="2" t="s">
        <v>8</v>
      </c>
      <c r="B6030" s="2" t="str">
        <f>HYPERLINK("http://ts.21cn.com/tousu/show/id/1336895","捷信爆通讯录")</f>
        <v>捷信爆通讯录</v>
      </c>
      <c r="C6030" s="2" t="s">
        <v>9</v>
      </c>
      <c r="D6030" s="2" t="s">
        <v>10</v>
      </c>
      <c r="E6030" s="2" t="str">
        <f>HYPERLINK("http://ts.21cn.com/tousu/show/id/1336895","http://ts.21cn.com/tousu/show/id/1336895")</f>
        <v>http://ts.21cn.com/tousu/show/id/1336895</v>
      </c>
      <c r="F6030" s="2" t="s">
        <v>11</v>
      </c>
      <c r="G6030" s="2" t="s">
        <v>32304</v>
      </c>
      <c r="H6030" s="2" t="s">
        <v>32305</v>
      </c>
    </row>
    <row r="6031" spans="1:8" ht="25.05" customHeight="1" x14ac:dyDescent="0.25">
      <c r="A6031" s="2" t="s">
        <v>8</v>
      </c>
      <c r="B6031" s="2" t="str">
        <f>HYPERLINK("http://ts.21cn.com/tousu/show/id/1336896","高利贷暴力催收威胁")</f>
        <v>高利贷暴力催收威胁</v>
      </c>
      <c r="C6031" s="2" t="s">
        <v>9</v>
      </c>
      <c r="D6031" s="2" t="s">
        <v>10</v>
      </c>
      <c r="E6031" s="2" t="str">
        <f>HYPERLINK("http://ts.21cn.com/tousu/show/id/1336896","http://ts.21cn.com/tousu/show/id/1336896")</f>
        <v>http://ts.21cn.com/tousu/show/id/1336896</v>
      </c>
      <c r="F6031" s="2" t="s">
        <v>11</v>
      </c>
      <c r="G6031" s="2" t="s">
        <v>32302</v>
      </c>
      <c r="H6031" s="2" t="s">
        <v>32303</v>
      </c>
    </row>
    <row r="6032" spans="1:8" ht="25.05" customHeight="1" x14ac:dyDescent="0.25">
      <c r="A6032" s="2" t="s">
        <v>8</v>
      </c>
      <c r="B6032" s="2" t="str">
        <f>HYPERLINK("http://ts.21cn.com/tousu/show/id/1336898","投诉中金支付未知情况下扣款")</f>
        <v>投诉中金支付未知情况下扣款</v>
      </c>
      <c r="C6032" s="2" t="s">
        <v>9</v>
      </c>
      <c r="D6032" s="2" t="s">
        <v>10</v>
      </c>
      <c r="E6032" s="2" t="str">
        <f>HYPERLINK("http://ts.21cn.com/tousu/show/id/1336898","http://ts.21cn.com/tousu/show/id/1336898")</f>
        <v>http://ts.21cn.com/tousu/show/id/1336898</v>
      </c>
      <c r="F6032" s="2" t="s">
        <v>11</v>
      </c>
      <c r="G6032" s="2" t="s">
        <v>32300</v>
      </c>
      <c r="H6032" s="2" t="s">
        <v>32301</v>
      </c>
    </row>
    <row r="6033" spans="1:8" ht="25.05" customHeight="1" x14ac:dyDescent="0.25">
      <c r="A6033" s="2" t="s">
        <v>8</v>
      </c>
      <c r="B6033" s="2" t="str">
        <f>HYPERLINK("http://ts.21cn.com/tousu/show/id/1336899","钱站高利贷阴阳合同")</f>
        <v>钱站高利贷阴阳合同</v>
      </c>
      <c r="C6033" s="2" t="s">
        <v>9</v>
      </c>
      <c r="D6033" s="2" t="s">
        <v>10</v>
      </c>
      <c r="E6033" s="2" t="str">
        <f>HYPERLINK("http://ts.21cn.com/tousu/show/id/1336899","http://ts.21cn.com/tousu/show/id/1336899")</f>
        <v>http://ts.21cn.com/tousu/show/id/1336899</v>
      </c>
      <c r="F6033" s="2" t="s">
        <v>11</v>
      </c>
      <c r="G6033" s="2" t="s">
        <v>32298</v>
      </c>
      <c r="H6033" s="2" t="s">
        <v>32299</v>
      </c>
    </row>
    <row r="6034" spans="1:8" ht="25.05" customHeight="1" x14ac:dyDescent="0.25">
      <c r="A6034" s="2" t="s">
        <v>8</v>
      </c>
      <c r="B6034" s="2" t="str">
        <f>HYPERLINK("http://ts.21cn.com/tousu/show/id/1336901","你我贷高利暴力催收")</f>
        <v>你我贷高利暴力催收</v>
      </c>
      <c r="C6034" s="2" t="s">
        <v>9</v>
      </c>
      <c r="D6034" s="2" t="s">
        <v>10</v>
      </c>
      <c r="E6034" s="2" t="str">
        <f>HYPERLINK("http://ts.21cn.com/tousu/show/id/1336901","http://ts.21cn.com/tousu/show/id/1336901")</f>
        <v>http://ts.21cn.com/tousu/show/id/1336901</v>
      </c>
      <c r="F6034" s="2" t="s">
        <v>11</v>
      </c>
      <c r="G6034" s="2" t="s">
        <v>32296</v>
      </c>
      <c r="H6034" s="2" t="s">
        <v>32297</v>
      </c>
    </row>
    <row r="6035" spans="1:8" ht="25.05" customHeight="1" x14ac:dyDescent="0.25">
      <c r="A6035" s="2" t="s">
        <v>8</v>
      </c>
      <c r="B6035" s="2" t="str">
        <f>HYPERLINK("http://ts.21cn.com/tousu/show/id/1336882","淘宝卖家强买强卖客服戏耍消费者")</f>
        <v>淘宝卖家强买强卖客服戏耍消费者</v>
      </c>
      <c r="C6035" s="2" t="s">
        <v>9</v>
      </c>
      <c r="D6035" s="2" t="s">
        <v>10</v>
      </c>
      <c r="E6035" s="2" t="str">
        <f>HYPERLINK("http://ts.21cn.com/tousu/show/id/1336882","http://ts.21cn.com/tousu/show/id/1336882")</f>
        <v>http://ts.21cn.com/tousu/show/id/1336882</v>
      </c>
      <c r="F6035" s="2" t="s">
        <v>11</v>
      </c>
      <c r="G6035" s="2" t="s">
        <v>32294</v>
      </c>
      <c r="H6035" s="2" t="s">
        <v>32295</v>
      </c>
    </row>
    <row r="6036" spans="1:8" ht="25.05" customHeight="1" x14ac:dyDescent="0.25">
      <c r="A6036" s="2" t="s">
        <v>8</v>
      </c>
      <c r="B6036" s="2" t="str">
        <f>HYPERLINK("http://ts.21cn.com/tousu/show/id/1336902","申请更正合同一次性结清销账")</f>
        <v>申请更正合同一次性结清销账</v>
      </c>
      <c r="C6036" s="2" t="s">
        <v>9</v>
      </c>
      <c r="D6036" s="2" t="s">
        <v>10</v>
      </c>
      <c r="E6036" s="2" t="str">
        <f>HYPERLINK("http://ts.21cn.com/tousu/show/id/1336902","http://ts.21cn.com/tousu/show/id/1336902")</f>
        <v>http://ts.21cn.com/tousu/show/id/1336902</v>
      </c>
      <c r="F6036" s="2" t="s">
        <v>11</v>
      </c>
      <c r="G6036" s="2" t="s">
        <v>32292</v>
      </c>
      <c r="H6036" s="2" t="s">
        <v>32293</v>
      </c>
    </row>
    <row r="6037" spans="1:8" ht="25.05" customHeight="1" x14ac:dyDescent="0.25">
      <c r="A6037" s="2" t="s">
        <v>8</v>
      </c>
      <c r="B6037" s="2" t="str">
        <f>HYPERLINK("http://ts.21cn.com/tousu/show/id/1336903","龙行管家虚假宣传误导办卡")</f>
        <v>龙行管家虚假宣传误导办卡</v>
      </c>
      <c r="C6037" s="2" t="s">
        <v>9</v>
      </c>
      <c r="D6037" s="2" t="s">
        <v>10</v>
      </c>
      <c r="E6037" s="2" t="str">
        <f>HYPERLINK("http://ts.21cn.com/tousu/show/id/1336903","http://ts.21cn.com/tousu/show/id/1336903")</f>
        <v>http://ts.21cn.com/tousu/show/id/1336903</v>
      </c>
      <c r="F6037" s="2" t="s">
        <v>11</v>
      </c>
      <c r="G6037" s="2" t="s">
        <v>32290</v>
      </c>
      <c r="H6037" s="2" t="s">
        <v>32291</v>
      </c>
    </row>
    <row r="6038" spans="1:8" ht="25.05" customHeight="1" x14ac:dyDescent="0.25">
      <c r="A6038" s="2" t="s">
        <v>8</v>
      </c>
      <c r="B6038" s="2" t="str">
        <f>HYPERLINK("http://ts.21cn.com/tousu/show/id/1333352","一年内有安全投诉")</f>
        <v>一年内有安全投诉</v>
      </c>
      <c r="C6038" s="2" t="s">
        <v>9</v>
      </c>
      <c r="D6038" s="2" t="s">
        <v>10</v>
      </c>
      <c r="E6038" s="2" t="str">
        <f>HYPERLINK("http://ts.21cn.com/tousu/show/id/1333352","http://ts.21cn.com/tousu/show/id/1333352")</f>
        <v>http://ts.21cn.com/tousu/show/id/1333352</v>
      </c>
      <c r="F6038" s="2" t="s">
        <v>11</v>
      </c>
      <c r="G6038" s="2" t="s">
        <v>32288</v>
      </c>
      <c r="H6038" s="2" t="s">
        <v>32289</v>
      </c>
    </row>
    <row r="6039" spans="1:8" ht="25.05" customHeight="1" x14ac:dyDescent="0.25">
      <c r="A6039" s="2" t="s">
        <v>8</v>
      </c>
      <c r="B6039" s="2" t="str">
        <f>HYPERLINK("http://ts.21cn.com/tousu/show/id/1336904","不退定金电话不接")</f>
        <v>不退定金电话不接</v>
      </c>
      <c r="C6039" s="2" t="s">
        <v>9</v>
      </c>
      <c r="D6039" s="2" t="s">
        <v>10</v>
      </c>
      <c r="E6039" s="2" t="str">
        <f>HYPERLINK("http://ts.21cn.com/tousu/show/id/1336904","http://ts.21cn.com/tousu/show/id/1336904")</f>
        <v>http://ts.21cn.com/tousu/show/id/1336904</v>
      </c>
      <c r="F6039" s="2" t="s">
        <v>11</v>
      </c>
      <c r="G6039" s="2" t="s">
        <v>32286</v>
      </c>
      <c r="H6039" s="2" t="s">
        <v>32287</v>
      </c>
    </row>
    <row r="6040" spans="1:8" ht="25.05" customHeight="1" x14ac:dyDescent="0.25">
      <c r="A6040" s="2" t="s">
        <v>8</v>
      </c>
      <c r="B6040" s="2" t="str">
        <f>HYPERLINK("http://ts.21cn.com/tousu/show/id/1336906","交易猫购买网络账号被召回。")</f>
        <v>交易猫购买网络账号被召回。</v>
      </c>
      <c r="C6040" s="2" t="s">
        <v>9</v>
      </c>
      <c r="D6040" s="2" t="s">
        <v>10</v>
      </c>
      <c r="E6040" s="2" t="str">
        <f>HYPERLINK("http://ts.21cn.com/tousu/show/id/1336906","http://ts.21cn.com/tousu/show/id/1336906")</f>
        <v>http://ts.21cn.com/tousu/show/id/1336906</v>
      </c>
      <c r="F6040" s="2" t="s">
        <v>11</v>
      </c>
      <c r="G6040" s="2" t="s">
        <v>32284</v>
      </c>
      <c r="H6040" s="2" t="s">
        <v>32285</v>
      </c>
    </row>
    <row r="6041" spans="1:8" ht="25.05" customHeight="1" x14ac:dyDescent="0.25">
      <c r="A6041" s="2" t="s">
        <v>8</v>
      </c>
      <c r="B6041" s="2" t="str">
        <f>HYPERLINK("http://ts.21cn.com/tousu/show/id/1336907","广发信用卡分期还款坑人")</f>
        <v>广发信用卡分期还款坑人</v>
      </c>
      <c r="C6041" s="2" t="s">
        <v>9</v>
      </c>
      <c r="D6041" s="2" t="s">
        <v>10</v>
      </c>
      <c r="E6041" s="2" t="str">
        <f>HYPERLINK("http://ts.21cn.com/tousu/show/id/1336907","http://ts.21cn.com/tousu/show/id/1336907")</f>
        <v>http://ts.21cn.com/tousu/show/id/1336907</v>
      </c>
      <c r="F6041" s="2" t="s">
        <v>11</v>
      </c>
      <c r="G6041" s="2" t="s">
        <v>32282</v>
      </c>
      <c r="H6041" s="2" t="s">
        <v>32283</v>
      </c>
    </row>
    <row r="6042" spans="1:8" ht="25.05" customHeight="1" x14ac:dyDescent="0.25">
      <c r="A6042" s="2" t="s">
        <v>8</v>
      </c>
      <c r="B6042" s="2" t="str">
        <f>HYPERLINK("http://ts.21cn.com/tousu/show/id/1336909","信用管家的存钱柜高利贷砍头息")</f>
        <v>信用管家的存钱柜高利贷砍头息</v>
      </c>
      <c r="C6042" s="2" t="s">
        <v>9</v>
      </c>
      <c r="D6042" s="2" t="s">
        <v>10</v>
      </c>
      <c r="E6042" s="2" t="str">
        <f>HYPERLINK("http://ts.21cn.com/tousu/show/id/1336909","http://ts.21cn.com/tousu/show/id/1336909")</f>
        <v>http://ts.21cn.com/tousu/show/id/1336909</v>
      </c>
      <c r="F6042" s="2" t="s">
        <v>11</v>
      </c>
      <c r="G6042" s="2" t="s">
        <v>32280</v>
      </c>
      <c r="H6042" s="2" t="s">
        <v>32281</v>
      </c>
    </row>
    <row r="6043" spans="1:8" ht="25.05" customHeight="1" x14ac:dyDescent="0.25">
      <c r="A6043" s="2" t="s">
        <v>8</v>
      </c>
      <c r="B6043" s="2" t="str">
        <f>HYPERLINK("http://ts.21cn.com/tousu/show/id/1336910","海淘免税店app买了双匡威1970海军蓝经多方证实为假鞋")</f>
        <v>海淘免税店app买了双匡威1970海军蓝经多方证实为假鞋</v>
      </c>
      <c r="C6043" s="2" t="s">
        <v>9</v>
      </c>
      <c r="D6043" s="2" t="s">
        <v>10</v>
      </c>
      <c r="E6043" s="2" t="str">
        <f>HYPERLINK("http://ts.21cn.com/tousu/show/id/1336910","http://ts.21cn.com/tousu/show/id/1336910")</f>
        <v>http://ts.21cn.com/tousu/show/id/1336910</v>
      </c>
      <c r="F6043" s="2" t="s">
        <v>11</v>
      </c>
      <c r="G6043" s="2" t="s">
        <v>32278</v>
      </c>
      <c r="H6043" s="2" t="s">
        <v>32279</v>
      </c>
    </row>
    <row r="6044" spans="1:8" ht="25.05" customHeight="1" x14ac:dyDescent="0.25">
      <c r="A6044" s="2" t="s">
        <v>8</v>
      </c>
      <c r="B6044" s="2" t="str">
        <f>HYPERLINK("http://ts.21cn.com/tousu/show/id/1336911","航司取消航班智行不能全额退款")</f>
        <v>航司取消航班智行不能全额退款</v>
      </c>
      <c r="C6044" s="2" t="s">
        <v>34</v>
      </c>
      <c r="D6044" s="2" t="s">
        <v>10</v>
      </c>
      <c r="E6044" s="2" t="str">
        <f>HYPERLINK("http://ts.21cn.com/tousu/show/id/1336911","http://ts.21cn.com/tousu/show/id/1336911")</f>
        <v>http://ts.21cn.com/tousu/show/id/1336911</v>
      </c>
      <c r="F6044" s="2" t="s">
        <v>11</v>
      </c>
      <c r="G6044" s="2" t="s">
        <v>32276</v>
      </c>
      <c r="H6044" s="2" t="s">
        <v>32277</v>
      </c>
    </row>
    <row r="6045" spans="1:8" ht="25.05" customHeight="1" x14ac:dyDescent="0.25">
      <c r="A6045" s="2" t="s">
        <v>8</v>
      </c>
      <c r="B6045" s="2" t="str">
        <f>HYPERLINK("http://ts.21cn.com/tousu/show/id/1336912","充值未到账但扣钱")</f>
        <v>充值未到账但扣钱</v>
      </c>
      <c r="C6045" s="2" t="s">
        <v>34</v>
      </c>
      <c r="D6045" s="2" t="s">
        <v>10</v>
      </c>
      <c r="E6045" s="2" t="str">
        <f>HYPERLINK("http://ts.21cn.com/tousu/show/id/1336912","http://ts.21cn.com/tousu/show/id/1336912")</f>
        <v>http://ts.21cn.com/tousu/show/id/1336912</v>
      </c>
      <c r="F6045" s="2" t="s">
        <v>11</v>
      </c>
      <c r="G6045" s="2" t="s">
        <v>32274</v>
      </c>
      <c r="H6045" s="2" t="s">
        <v>32275</v>
      </c>
    </row>
    <row r="6046" spans="1:8" ht="25.05" customHeight="1" x14ac:dyDescent="0.25">
      <c r="A6046" s="2" t="s">
        <v>8</v>
      </c>
      <c r="B6046" s="2" t="str">
        <f>HYPERLINK("http://ts.21cn.com/tousu/show/id/1336913","贷上钱暴力催收言语恐高利贷")</f>
        <v>贷上钱暴力催收言语恐高利贷</v>
      </c>
      <c r="C6046" s="2" t="s">
        <v>9</v>
      </c>
      <c r="D6046" s="2" t="s">
        <v>10</v>
      </c>
      <c r="E6046" s="2" t="str">
        <f>HYPERLINK("http://ts.21cn.com/tousu/show/id/1336913","http://ts.21cn.com/tousu/show/id/1336913")</f>
        <v>http://ts.21cn.com/tousu/show/id/1336913</v>
      </c>
      <c r="F6046" s="2" t="s">
        <v>11</v>
      </c>
      <c r="G6046" s="2" t="s">
        <v>32272</v>
      </c>
      <c r="H6046" s="2" t="s">
        <v>32273</v>
      </c>
    </row>
    <row r="6047" spans="1:8" ht="25.05" customHeight="1" x14ac:dyDescent="0.25">
      <c r="A6047" s="2" t="s">
        <v>8</v>
      </c>
      <c r="B6047" s="2" t="str">
        <f>HYPERLINK("http://ts.21cn.com/tousu/show/id/1336914","好运金高利贷")</f>
        <v>好运金高利贷</v>
      </c>
      <c r="C6047" s="2" t="s">
        <v>9</v>
      </c>
      <c r="D6047" s="2" t="s">
        <v>10</v>
      </c>
      <c r="E6047" s="2" t="str">
        <f>HYPERLINK("http://ts.21cn.com/tousu/show/id/1336914","http://ts.21cn.com/tousu/show/id/1336914")</f>
        <v>http://ts.21cn.com/tousu/show/id/1336914</v>
      </c>
      <c r="F6047" s="2" t="s">
        <v>11</v>
      </c>
      <c r="G6047" s="2" t="s">
        <v>32270</v>
      </c>
      <c r="H6047" s="2" t="s">
        <v>32271</v>
      </c>
    </row>
    <row r="6048" spans="1:8" ht="25.05" customHeight="1" x14ac:dyDescent="0.25">
      <c r="A6048" s="2" t="s">
        <v>8</v>
      </c>
      <c r="B6048" s="2" t="str">
        <f>HYPERLINK("http://ts.21cn.com/tousu/show/id/1336905","你我贷充值成功后余额为0，导致无法还款")</f>
        <v>你我贷充值成功后余额为0，导致无法还款</v>
      </c>
      <c r="C6048" s="2" t="s">
        <v>34</v>
      </c>
      <c r="D6048" s="2" t="s">
        <v>10</v>
      </c>
      <c r="E6048" s="2" t="str">
        <f>HYPERLINK("http://ts.21cn.com/tousu/show/id/1336905","http://ts.21cn.com/tousu/show/id/1336905")</f>
        <v>http://ts.21cn.com/tousu/show/id/1336905</v>
      </c>
      <c r="F6048" s="2" t="s">
        <v>11</v>
      </c>
      <c r="G6048" s="2" t="s">
        <v>32268</v>
      </c>
      <c r="H6048" s="2" t="s">
        <v>32269</v>
      </c>
    </row>
    <row r="6049" spans="1:8" ht="25.05" customHeight="1" x14ac:dyDescent="0.25">
      <c r="A6049" s="2" t="s">
        <v>8</v>
      </c>
      <c r="B6049" s="2" t="str">
        <f>HYPERLINK("http://ts.21cn.com/tousu/show/id/1336916","京东未按承诺时间送达，要求按规定给予赔偿")</f>
        <v>京东未按承诺时间送达，要求按规定给予赔偿</v>
      </c>
      <c r="C6049" s="2" t="s">
        <v>9</v>
      </c>
      <c r="D6049" s="2" t="s">
        <v>10</v>
      </c>
      <c r="E6049" s="2" t="str">
        <f>HYPERLINK("http://ts.21cn.com/tousu/show/id/1336916","http://ts.21cn.com/tousu/show/id/1336916")</f>
        <v>http://ts.21cn.com/tousu/show/id/1336916</v>
      </c>
      <c r="F6049" s="2" t="s">
        <v>11</v>
      </c>
      <c r="G6049" s="2" t="s">
        <v>32266</v>
      </c>
      <c r="H6049" s="2" t="s">
        <v>32267</v>
      </c>
    </row>
    <row r="6050" spans="1:8" ht="25.05" customHeight="1" x14ac:dyDescent="0.25">
      <c r="A6050" s="2" t="s">
        <v>8</v>
      </c>
      <c r="B6050" s="2" t="str">
        <f>HYPERLINK("http://ts.21cn.com/tousu/show/id/1336917","拍拍贷恶意催收恐吓")</f>
        <v>拍拍贷恶意催收恐吓</v>
      </c>
      <c r="C6050" s="2" t="s">
        <v>9</v>
      </c>
      <c r="D6050" s="2" t="s">
        <v>10</v>
      </c>
      <c r="E6050" s="2" t="str">
        <f>HYPERLINK("http://ts.21cn.com/tousu/show/id/1336917","http://ts.21cn.com/tousu/show/id/1336917")</f>
        <v>http://ts.21cn.com/tousu/show/id/1336917</v>
      </c>
      <c r="F6050" s="2" t="s">
        <v>11</v>
      </c>
      <c r="G6050" s="2" t="s">
        <v>32264</v>
      </c>
      <c r="H6050" s="2" t="s">
        <v>32265</v>
      </c>
    </row>
    <row r="6051" spans="1:8" ht="25.05" customHeight="1" x14ac:dyDescent="0.25">
      <c r="A6051" s="2" t="s">
        <v>8</v>
      </c>
      <c r="B6051" s="2" t="str">
        <f>HYPERLINK("http://ts.21cn.com/tousu/show/id/1336918","真金服乱扣钱")</f>
        <v>真金服乱扣钱</v>
      </c>
      <c r="C6051" s="2" t="s">
        <v>9</v>
      </c>
      <c r="D6051" s="2" t="s">
        <v>10</v>
      </c>
      <c r="E6051" s="2" t="str">
        <f>HYPERLINK("http://ts.21cn.com/tousu/show/id/1336918","http://ts.21cn.com/tousu/show/id/1336918")</f>
        <v>http://ts.21cn.com/tousu/show/id/1336918</v>
      </c>
      <c r="F6051" s="2" t="s">
        <v>11</v>
      </c>
      <c r="G6051" s="2" t="s">
        <v>32262</v>
      </c>
      <c r="H6051" s="2" t="s">
        <v>32263</v>
      </c>
    </row>
    <row r="6052" spans="1:8" ht="25.05" customHeight="1" x14ac:dyDescent="0.25">
      <c r="A6052" s="2" t="s">
        <v>8</v>
      </c>
      <c r="B6052" s="2" t="str">
        <f>HYPERLINK("http://ts.21cn.com/tousu/show/id/1336919","立借里边的月月借高利贷")</f>
        <v>立借里边的月月借高利贷</v>
      </c>
      <c r="C6052" s="2" t="s">
        <v>9</v>
      </c>
      <c r="D6052" s="2" t="s">
        <v>10</v>
      </c>
      <c r="E6052" s="2" t="str">
        <f>HYPERLINK("http://ts.21cn.com/tousu/show/id/1336919","http://ts.21cn.com/tousu/show/id/1336919")</f>
        <v>http://ts.21cn.com/tousu/show/id/1336919</v>
      </c>
      <c r="F6052" s="2" t="s">
        <v>11</v>
      </c>
      <c r="G6052" s="2" t="s">
        <v>32260</v>
      </c>
      <c r="H6052" s="2" t="s">
        <v>32261</v>
      </c>
    </row>
    <row r="6053" spans="1:8" ht="25.05" customHeight="1" x14ac:dyDescent="0.25">
      <c r="A6053" s="2" t="s">
        <v>8</v>
      </c>
      <c r="B6053" s="2" t="str">
        <f>HYPERLINK("http://ts.21cn.com/tousu/show/id/1336921","恶意催收态度恶劣")</f>
        <v>恶意催收态度恶劣</v>
      </c>
      <c r="C6053" s="2" t="s">
        <v>9</v>
      </c>
      <c r="D6053" s="2" t="s">
        <v>10</v>
      </c>
      <c r="E6053" s="2" t="str">
        <f>HYPERLINK("http://ts.21cn.com/tousu/show/id/1336921","http://ts.21cn.com/tousu/show/id/1336921")</f>
        <v>http://ts.21cn.com/tousu/show/id/1336921</v>
      </c>
      <c r="F6053" s="2" t="s">
        <v>11</v>
      </c>
      <c r="G6053" s="2" t="s">
        <v>32258</v>
      </c>
      <c r="H6053" s="2" t="s">
        <v>32259</v>
      </c>
    </row>
    <row r="6054" spans="1:8" ht="25.05" customHeight="1" x14ac:dyDescent="0.25">
      <c r="A6054" s="2" t="s">
        <v>8</v>
      </c>
      <c r="B6054" s="2" t="str">
        <f>HYPERLINK("http://ts.21cn.com/tousu/show/id/1336922","澳门金沙无法提现")</f>
        <v>澳门金沙无法提现</v>
      </c>
      <c r="C6054" s="2" t="s">
        <v>9</v>
      </c>
      <c r="D6054" s="2" t="s">
        <v>10</v>
      </c>
      <c r="E6054" s="2" t="str">
        <f>HYPERLINK("http://ts.21cn.com/tousu/show/id/1336922","http://ts.21cn.com/tousu/show/id/1336922")</f>
        <v>http://ts.21cn.com/tousu/show/id/1336922</v>
      </c>
      <c r="F6054" s="2" t="s">
        <v>11</v>
      </c>
      <c r="G6054" s="2" t="s">
        <v>32256</v>
      </c>
      <c r="H6054" s="2" t="s">
        <v>32257</v>
      </c>
    </row>
    <row r="6055" spans="1:8" ht="25.05" customHeight="1" x14ac:dyDescent="0.25">
      <c r="A6055" s="2" t="s">
        <v>8</v>
      </c>
      <c r="B6055" s="2" t="str">
        <f>HYPERLINK("http://ts.21cn.com/tousu/show/id/1336923","乱扣银行卡里面的钱")</f>
        <v>乱扣银行卡里面的钱</v>
      </c>
      <c r="C6055" s="2" t="s">
        <v>9</v>
      </c>
      <c r="D6055" s="2" t="s">
        <v>10</v>
      </c>
      <c r="E6055" s="2" t="str">
        <f>HYPERLINK("http://ts.21cn.com/tousu/show/id/1336923","http://ts.21cn.com/tousu/show/id/1336923")</f>
        <v>http://ts.21cn.com/tousu/show/id/1336923</v>
      </c>
      <c r="F6055" s="2" t="s">
        <v>11</v>
      </c>
      <c r="G6055" s="2" t="s">
        <v>32254</v>
      </c>
      <c r="H6055" s="2" t="s">
        <v>32255</v>
      </c>
    </row>
    <row r="6056" spans="1:8" ht="25.05" customHeight="1" x14ac:dyDescent="0.25">
      <c r="A6056" s="2" t="s">
        <v>8</v>
      </c>
      <c r="B6056" s="2" t="str">
        <f>HYPERLINK("http://ts.21cn.com/tousu/show/id/1336924","钱站阴阳合同、高利贷")</f>
        <v>钱站阴阳合同、高利贷</v>
      </c>
      <c r="C6056" s="2" t="s">
        <v>9</v>
      </c>
      <c r="D6056" s="2" t="s">
        <v>10</v>
      </c>
      <c r="E6056" s="2" t="str">
        <f>HYPERLINK("http://ts.21cn.com/tousu/show/id/1336924","http://ts.21cn.com/tousu/show/id/1336924")</f>
        <v>http://ts.21cn.com/tousu/show/id/1336924</v>
      </c>
      <c r="F6056" s="2" t="s">
        <v>11</v>
      </c>
      <c r="G6056" s="2" t="s">
        <v>32252</v>
      </c>
      <c r="H6056" s="2" t="s">
        <v>32253</v>
      </c>
    </row>
    <row r="6057" spans="1:8" ht="25.05" customHeight="1" x14ac:dyDescent="0.25">
      <c r="A6057" s="2" t="s">
        <v>8</v>
      </c>
      <c r="B6057" s="2" t="str">
        <f>HYPERLINK("http://ts.21cn.com/tousu/show/id/1333720","规范市场，下架产品")</f>
        <v>规范市场，下架产品</v>
      </c>
      <c r="C6057" s="2" t="s">
        <v>9</v>
      </c>
      <c r="D6057" s="2" t="s">
        <v>10</v>
      </c>
      <c r="E6057" s="2" t="str">
        <f>HYPERLINK("http://ts.21cn.com/tousu/show/id/1333720","http://ts.21cn.com/tousu/show/id/1333720")</f>
        <v>http://ts.21cn.com/tousu/show/id/1333720</v>
      </c>
      <c r="F6057" s="2" t="s">
        <v>11</v>
      </c>
      <c r="G6057" s="2" t="s">
        <v>32250</v>
      </c>
      <c r="H6057" s="2" t="s">
        <v>32251</v>
      </c>
    </row>
    <row r="6058" spans="1:8" ht="25.05" customHeight="1" x14ac:dyDescent="0.25">
      <c r="A6058" s="2" t="s">
        <v>8</v>
      </c>
      <c r="B6058" s="2" t="str">
        <f>HYPERLINK("http://ts.21cn.com/tousu/show/id/1336926","拍拍贷存心扣款失败导致用户逾期")</f>
        <v>拍拍贷存心扣款失败导致用户逾期</v>
      </c>
      <c r="C6058" s="2" t="s">
        <v>9</v>
      </c>
      <c r="D6058" s="2" t="s">
        <v>10</v>
      </c>
      <c r="E6058" s="2" t="str">
        <f>HYPERLINK("http://ts.21cn.com/tousu/show/id/1336926","http://ts.21cn.com/tousu/show/id/1336926")</f>
        <v>http://ts.21cn.com/tousu/show/id/1336926</v>
      </c>
      <c r="F6058" s="2" t="s">
        <v>11</v>
      </c>
      <c r="G6058" s="2" t="s">
        <v>32248</v>
      </c>
      <c r="H6058" s="2" t="s">
        <v>32249</v>
      </c>
    </row>
    <row r="6059" spans="1:8" ht="25.05" customHeight="1" x14ac:dyDescent="0.25">
      <c r="A6059" s="2" t="s">
        <v>8</v>
      </c>
      <c r="B6059" s="2" t="str">
        <f>HYPERLINK("http://ts.21cn.com/tousu/show/id/1336927","小当家到期主动还款失败")</f>
        <v>小当家到期主动还款失败</v>
      </c>
      <c r="C6059" s="2" t="s">
        <v>9</v>
      </c>
      <c r="D6059" s="2" t="s">
        <v>10</v>
      </c>
      <c r="E6059" s="2" t="str">
        <f>HYPERLINK("http://ts.21cn.com/tousu/show/id/1336927","http://ts.21cn.com/tousu/show/id/1336927")</f>
        <v>http://ts.21cn.com/tousu/show/id/1336927</v>
      </c>
      <c r="F6059" s="2" t="s">
        <v>11</v>
      </c>
      <c r="G6059" s="2" t="s">
        <v>32246</v>
      </c>
      <c r="H6059" s="2" t="s">
        <v>32247</v>
      </c>
    </row>
    <row r="6060" spans="1:8" ht="25.05" customHeight="1" x14ac:dyDescent="0.25">
      <c r="A6060" s="2" t="s">
        <v>8</v>
      </c>
      <c r="B6060" s="2" t="str">
        <f>HYPERLINK("http://ts.21cn.com/tousu/show/id/1336928","融360为套路贷提供平台")</f>
        <v>融360为套路贷提供平台</v>
      </c>
      <c r="C6060" s="2" t="s">
        <v>9</v>
      </c>
      <c r="D6060" s="2" t="s">
        <v>10</v>
      </c>
      <c r="E6060" s="2" t="str">
        <f>HYPERLINK("http://ts.21cn.com/tousu/show/id/1336928","http://ts.21cn.com/tousu/show/id/1336928")</f>
        <v>http://ts.21cn.com/tousu/show/id/1336928</v>
      </c>
      <c r="F6060" s="2" t="s">
        <v>11</v>
      </c>
      <c r="G6060" s="2" t="s">
        <v>32244</v>
      </c>
      <c r="H6060" s="2" t="s">
        <v>32245</v>
      </c>
    </row>
    <row r="6061" spans="1:8" ht="25.05" customHeight="1" x14ac:dyDescent="0.25">
      <c r="A6061" s="2" t="s">
        <v>8</v>
      </c>
      <c r="B6061" s="2" t="str">
        <f>HYPERLINK("http://ts.21cn.com/tousu/show/id/1336929","菜鸟有钱，暴力催收，")</f>
        <v>菜鸟有钱，暴力催收，</v>
      </c>
      <c r="C6061" s="2" t="s">
        <v>9</v>
      </c>
      <c r="D6061" s="2" t="s">
        <v>10</v>
      </c>
      <c r="E6061" s="2" t="str">
        <f>HYPERLINK("http://ts.21cn.com/tousu/show/id/1336929","http://ts.21cn.com/tousu/show/id/1336929")</f>
        <v>http://ts.21cn.com/tousu/show/id/1336929</v>
      </c>
      <c r="F6061" s="2" t="s">
        <v>11</v>
      </c>
      <c r="G6061" s="2" t="s">
        <v>32242</v>
      </c>
      <c r="H6061" s="2" t="s">
        <v>32243</v>
      </c>
    </row>
    <row r="6062" spans="1:8" ht="25.05" customHeight="1" x14ac:dyDescent="0.25">
      <c r="A6062" s="2" t="s">
        <v>8</v>
      </c>
      <c r="B6062" s="2" t="str">
        <f>HYPERLINK("http://ts.21cn.com/tousu/show/id/1336931","钱站高利贷阴阳合同")</f>
        <v>钱站高利贷阴阳合同</v>
      </c>
      <c r="C6062" s="2" t="s">
        <v>9</v>
      </c>
      <c r="D6062" s="2" t="s">
        <v>10</v>
      </c>
      <c r="E6062" s="2" t="str">
        <f>HYPERLINK("http://ts.21cn.com/tousu/show/id/1336931","http://ts.21cn.com/tousu/show/id/1336931")</f>
        <v>http://ts.21cn.com/tousu/show/id/1336931</v>
      </c>
      <c r="F6062" s="2" t="s">
        <v>11</v>
      </c>
      <c r="G6062" s="2" t="s">
        <v>32240</v>
      </c>
      <c r="H6062" s="2" t="s">
        <v>32241</v>
      </c>
    </row>
    <row r="6063" spans="1:8" ht="25.05" customHeight="1" x14ac:dyDescent="0.25">
      <c r="A6063" s="2" t="s">
        <v>8</v>
      </c>
      <c r="B6063" s="2" t="str">
        <f>HYPERLINK("http://ts.21cn.com/tousu/show/id/1336932","云闪付为不正规平台提供支付通道")</f>
        <v>云闪付为不正规平台提供支付通道</v>
      </c>
      <c r="C6063" s="2" t="s">
        <v>34</v>
      </c>
      <c r="D6063" s="2" t="s">
        <v>10</v>
      </c>
      <c r="E6063" s="2" t="str">
        <f>HYPERLINK("http://ts.21cn.com/tousu/show/id/1336932","http://ts.21cn.com/tousu/show/id/1336932")</f>
        <v>http://ts.21cn.com/tousu/show/id/1336932</v>
      </c>
      <c r="F6063" s="2" t="s">
        <v>11</v>
      </c>
      <c r="G6063" s="2" t="s">
        <v>32238</v>
      </c>
      <c r="H6063" s="2" t="s">
        <v>32239</v>
      </c>
    </row>
    <row r="6064" spans="1:8" ht="25.05" customHeight="1" x14ac:dyDescent="0.25">
      <c r="A6064" s="2" t="s">
        <v>8</v>
      </c>
      <c r="B6064" s="2" t="str">
        <f>HYPERLINK("http://ts.21cn.com/tousu/show/id/1336933","云闪付为违规赌博网站提供支付")</f>
        <v>云闪付为违规赌博网站提供支付</v>
      </c>
      <c r="C6064" s="2" t="s">
        <v>9</v>
      </c>
      <c r="D6064" s="2" t="s">
        <v>10</v>
      </c>
      <c r="E6064" s="2" t="str">
        <f>HYPERLINK("http://ts.21cn.com/tousu/show/id/1336933","http://ts.21cn.com/tousu/show/id/1336933")</f>
        <v>http://ts.21cn.com/tousu/show/id/1336933</v>
      </c>
      <c r="F6064" s="2" t="s">
        <v>11</v>
      </c>
      <c r="G6064" s="2" t="s">
        <v>32236</v>
      </c>
      <c r="H6064" s="2" t="s">
        <v>32237</v>
      </c>
    </row>
    <row r="6065" spans="1:8" ht="25.05" customHeight="1" x14ac:dyDescent="0.25">
      <c r="A6065" s="2" t="s">
        <v>8</v>
      </c>
      <c r="B6065" s="2" t="str">
        <f>HYPERLINK("http://ts.21cn.com/tousu/show/id/1336934","钱站阴阳合同")</f>
        <v>钱站阴阳合同</v>
      </c>
      <c r="C6065" s="2" t="s">
        <v>9</v>
      </c>
      <c r="D6065" s="2" t="s">
        <v>10</v>
      </c>
      <c r="E6065" s="2" t="str">
        <f>HYPERLINK("http://ts.21cn.com/tousu/show/id/1336934","http://ts.21cn.com/tousu/show/id/1336934")</f>
        <v>http://ts.21cn.com/tousu/show/id/1336934</v>
      </c>
      <c r="F6065" s="2" t="s">
        <v>11</v>
      </c>
      <c r="G6065" s="2" t="s">
        <v>32234</v>
      </c>
      <c r="H6065" s="2" t="s">
        <v>32235</v>
      </c>
    </row>
    <row r="6066" spans="1:8" ht="25.05" customHeight="1" x14ac:dyDescent="0.25">
      <c r="A6066" s="2" t="s">
        <v>8</v>
      </c>
      <c r="B6066" s="2" t="str">
        <f>HYPERLINK("http://ts.21cn.com/tousu/show/id/1336936","网络借款")</f>
        <v>网络借款</v>
      </c>
      <c r="C6066" s="2" t="s">
        <v>34</v>
      </c>
      <c r="D6066" s="2" t="s">
        <v>10</v>
      </c>
      <c r="E6066" s="2" t="str">
        <f>HYPERLINK("http://ts.21cn.com/tousu/show/id/1336936","http://ts.21cn.com/tousu/show/id/1336936")</f>
        <v>http://ts.21cn.com/tousu/show/id/1336936</v>
      </c>
      <c r="F6066" s="2" t="s">
        <v>11</v>
      </c>
      <c r="G6066" s="2" t="s">
        <v>32232</v>
      </c>
      <c r="H6066" s="2" t="s">
        <v>32233</v>
      </c>
    </row>
    <row r="6067" spans="1:8" ht="25.05" customHeight="1" x14ac:dyDescent="0.25">
      <c r="A6067" s="2" t="s">
        <v>8</v>
      </c>
      <c r="B6067" s="2" t="str">
        <f>HYPERLINK("http://ts.21cn.com/tousu/show/id/1336937","及贷借款捆绑销售学堂会员")</f>
        <v>及贷借款捆绑销售学堂会员</v>
      </c>
      <c r="C6067" s="2" t="s">
        <v>9</v>
      </c>
      <c r="D6067" s="2" t="s">
        <v>10</v>
      </c>
      <c r="E6067" s="2" t="str">
        <f>HYPERLINK("http://ts.21cn.com/tousu/show/id/1336937","http://ts.21cn.com/tousu/show/id/1336937")</f>
        <v>http://ts.21cn.com/tousu/show/id/1336937</v>
      </c>
      <c r="F6067" s="2" t="s">
        <v>11</v>
      </c>
      <c r="G6067" s="2" t="s">
        <v>32230</v>
      </c>
      <c r="H6067" s="2" t="s">
        <v>32231</v>
      </c>
    </row>
    <row r="6068" spans="1:8" ht="25.05" customHeight="1" x14ac:dyDescent="0.25">
      <c r="A6068" s="2" t="s">
        <v>8</v>
      </c>
      <c r="B6068" s="2" t="str">
        <f>HYPERLINK("http://ts.21cn.com/tousu/show/id/1336930","网络赌博")</f>
        <v>网络赌博</v>
      </c>
      <c r="C6068" s="2" t="s">
        <v>9</v>
      </c>
      <c r="D6068" s="2" t="s">
        <v>10</v>
      </c>
      <c r="E6068" s="2" t="str">
        <f>HYPERLINK("http://ts.21cn.com/tousu/show/id/1336930","http://ts.21cn.com/tousu/show/id/1336930")</f>
        <v>http://ts.21cn.com/tousu/show/id/1336930</v>
      </c>
      <c r="F6068" s="2" t="s">
        <v>11</v>
      </c>
      <c r="G6068" s="2" t="s">
        <v>32228</v>
      </c>
      <c r="H6068" s="2" t="s">
        <v>32229</v>
      </c>
    </row>
    <row r="6069" spans="1:8" ht="25.05" customHeight="1" x14ac:dyDescent="0.25">
      <c r="A6069" s="2" t="s">
        <v>8</v>
      </c>
      <c r="B6069" s="2" t="str">
        <f>HYPERLINK("http://ts.21cn.com/tousu/show/id/1336938","恶意催收轰炸通讯录套路贷")</f>
        <v>恶意催收轰炸通讯录套路贷</v>
      </c>
      <c r="C6069" s="2" t="s">
        <v>9</v>
      </c>
      <c r="D6069" s="2" t="s">
        <v>10</v>
      </c>
      <c r="E6069" s="2" t="str">
        <f>HYPERLINK("http://ts.21cn.com/tousu/show/id/1336938","http://ts.21cn.com/tousu/show/id/1336938")</f>
        <v>http://ts.21cn.com/tousu/show/id/1336938</v>
      </c>
      <c r="F6069" s="2" t="s">
        <v>11</v>
      </c>
      <c r="G6069" s="2" t="s">
        <v>32226</v>
      </c>
      <c r="H6069" s="2" t="s">
        <v>32227</v>
      </c>
    </row>
    <row r="6070" spans="1:8" ht="25.05" customHeight="1" x14ac:dyDescent="0.25">
      <c r="A6070" s="2" t="s">
        <v>8</v>
      </c>
      <c r="B6070" s="2" t="str">
        <f>HYPERLINK("http://ts.21cn.com/tousu/show/id/1336939","财小帮平台收取不符合国家标准高额利息")</f>
        <v>财小帮平台收取不符合国家标准高额利息</v>
      </c>
      <c r="C6070" s="2" t="s">
        <v>9</v>
      </c>
      <c r="D6070" s="2" t="s">
        <v>10</v>
      </c>
      <c r="E6070" s="2" t="str">
        <f>HYPERLINK("http://ts.21cn.com/tousu/show/id/1336939","http://ts.21cn.com/tousu/show/id/1336939")</f>
        <v>http://ts.21cn.com/tousu/show/id/1336939</v>
      </c>
      <c r="F6070" s="2" t="s">
        <v>11</v>
      </c>
      <c r="G6070" s="2" t="s">
        <v>32224</v>
      </c>
      <c r="H6070" s="2" t="s">
        <v>32225</v>
      </c>
    </row>
    <row r="6071" spans="1:8" ht="25.05" customHeight="1" x14ac:dyDescent="0.25">
      <c r="A6071" s="2" t="s">
        <v>8</v>
      </c>
      <c r="B6071" s="2" t="str">
        <f>HYPERLINK("http://ts.21cn.com/tousu/show/id/1336940","蜂鸟众包无辜限制接单")</f>
        <v>蜂鸟众包无辜限制接单</v>
      </c>
      <c r="C6071" s="2" t="s">
        <v>9</v>
      </c>
      <c r="D6071" s="2" t="s">
        <v>10</v>
      </c>
      <c r="E6071" s="2" t="str">
        <f>HYPERLINK("http://ts.21cn.com/tousu/show/id/1336940","http://ts.21cn.com/tousu/show/id/1336940")</f>
        <v>http://ts.21cn.com/tousu/show/id/1336940</v>
      </c>
      <c r="F6071" s="2" t="s">
        <v>11</v>
      </c>
      <c r="G6071" s="2" t="s">
        <v>32222</v>
      </c>
      <c r="H6071" s="2" t="s">
        <v>32223</v>
      </c>
    </row>
    <row r="6072" spans="1:8" ht="25.05" customHeight="1" x14ac:dyDescent="0.25">
      <c r="A6072" s="2" t="s">
        <v>8</v>
      </c>
      <c r="B6072" s="2" t="str">
        <f>HYPERLINK("http://ts.21cn.com/tousu/show/id/1336941","投诉我主良缘")</f>
        <v>投诉我主良缘</v>
      </c>
      <c r="C6072" s="2" t="s">
        <v>9</v>
      </c>
      <c r="D6072" s="2" t="s">
        <v>10</v>
      </c>
      <c r="E6072" s="2" t="str">
        <f>HYPERLINK("http://ts.21cn.com/tousu/show/id/1336941","http://ts.21cn.com/tousu/show/id/1336941")</f>
        <v>http://ts.21cn.com/tousu/show/id/1336941</v>
      </c>
      <c r="F6072" s="2" t="s">
        <v>11</v>
      </c>
      <c r="G6072" s="2" t="s">
        <v>32220</v>
      </c>
      <c r="H6072" s="2" t="s">
        <v>32221</v>
      </c>
    </row>
    <row r="6073" spans="1:8" ht="25.05" customHeight="1" x14ac:dyDescent="0.25">
      <c r="A6073" s="2" t="s">
        <v>8</v>
      </c>
      <c r="B6073" s="2" t="str">
        <f>HYPERLINK("http://ts.21cn.com/tousu/show/id/1336942","携程暴力催收")</f>
        <v>携程暴力催收</v>
      </c>
      <c r="C6073" s="2" t="s">
        <v>9</v>
      </c>
      <c r="D6073" s="2" t="s">
        <v>10</v>
      </c>
      <c r="E6073" s="2" t="str">
        <f>HYPERLINK("http://ts.21cn.com/tousu/show/id/1336942","http://ts.21cn.com/tousu/show/id/1336942")</f>
        <v>http://ts.21cn.com/tousu/show/id/1336942</v>
      </c>
      <c r="F6073" s="2" t="s">
        <v>11</v>
      </c>
      <c r="G6073" s="2" t="s">
        <v>32218</v>
      </c>
      <c r="H6073" s="2" t="s">
        <v>32219</v>
      </c>
    </row>
    <row r="6074" spans="1:8" ht="25.05" customHeight="1" x14ac:dyDescent="0.25">
      <c r="A6074" s="2" t="s">
        <v>8</v>
      </c>
      <c r="B6074" s="2" t="str">
        <f>HYPERLINK("http://ts.21cn.com/tousu/show/id/1336943","现控达人恶意制造逾期")</f>
        <v>现控达人恶意制造逾期</v>
      </c>
      <c r="C6074" s="2" t="s">
        <v>9</v>
      </c>
      <c r="D6074" s="2" t="s">
        <v>10</v>
      </c>
      <c r="E6074" s="2" t="str">
        <f>HYPERLINK("http://ts.21cn.com/tousu/show/id/1336943","http://ts.21cn.com/tousu/show/id/1336943")</f>
        <v>http://ts.21cn.com/tousu/show/id/1336943</v>
      </c>
      <c r="F6074" s="2" t="s">
        <v>11</v>
      </c>
      <c r="G6074" s="2" t="s">
        <v>32216</v>
      </c>
      <c r="H6074" s="2" t="s">
        <v>32217</v>
      </c>
    </row>
    <row r="6075" spans="1:8" ht="25.05" customHeight="1" x14ac:dyDescent="0.25">
      <c r="A6075" s="2" t="s">
        <v>8</v>
      </c>
      <c r="B6075" s="2" t="str">
        <f>HYPERLINK("http://ts.21cn.com/tousu/show/id/1336944","天津追缘无线科技有限公司通过恋爱神器app，以0元开通3天会员为由，通过支付宝免密支付，未经同意，私自扣除我168元，说")</f>
        <v>天津追缘无线科技有限公司通过恋爱神器app，以0元开通3天会员为由，通过支付宝免密支付，未经同意，私自扣除我168元，说</v>
      </c>
      <c r="C6075" s="2" t="s">
        <v>9</v>
      </c>
      <c r="D6075" s="2" t="s">
        <v>10</v>
      </c>
      <c r="E6075" s="2" t="str">
        <f>HYPERLINK("http://ts.21cn.com/tousu/show/id/1336944","http://ts.21cn.com/tousu/show/id/1336944")</f>
        <v>http://ts.21cn.com/tousu/show/id/1336944</v>
      </c>
      <c r="F6075" s="2" t="s">
        <v>11</v>
      </c>
      <c r="G6075" s="2" t="s">
        <v>32214</v>
      </c>
      <c r="H6075" s="2" t="s">
        <v>32215</v>
      </c>
    </row>
    <row r="6076" spans="1:8" ht="25.05" customHeight="1" x14ac:dyDescent="0.25">
      <c r="A6076" s="2" t="s">
        <v>8</v>
      </c>
      <c r="B6076" s="2" t="str">
        <f>HYPERLINK("http://ts.21cn.com/tousu/show/id/1336945","我是一名达达,在京东站点配送过快递两个月天,现在不做了,想解绑站点以便退出押金,联系站点站点说成功解绑,了，但是")</f>
        <v>我是一名达达,在京东站点配送过快递两个月天,现在不做了,想解绑站点以便退出押金,联系站点站点说成功解绑,了，但是</v>
      </c>
      <c r="C6076" s="2" t="s">
        <v>9</v>
      </c>
      <c r="D6076" s="2" t="s">
        <v>10</v>
      </c>
      <c r="E6076" s="2" t="str">
        <f>HYPERLINK("http://ts.21cn.com/tousu/show/id/1336945","http://ts.21cn.com/tousu/show/id/1336945")</f>
        <v>http://ts.21cn.com/tousu/show/id/1336945</v>
      </c>
      <c r="F6076" s="2" t="s">
        <v>11</v>
      </c>
      <c r="G6076" s="2" t="s">
        <v>32212</v>
      </c>
      <c r="H6076" s="2" t="s">
        <v>32213</v>
      </c>
    </row>
    <row r="6077" spans="1:8" ht="25.05" customHeight="1" x14ac:dyDescent="0.25">
      <c r="A6077" s="2" t="s">
        <v>8</v>
      </c>
      <c r="B6077" s="2" t="str">
        <f>HYPERLINK("http://ts.21cn.com/tousu/show/id/1336946","银行卡被无故扣费")</f>
        <v>银行卡被无故扣费</v>
      </c>
      <c r="C6077" s="2" t="s">
        <v>9</v>
      </c>
      <c r="D6077" s="2" t="s">
        <v>10</v>
      </c>
      <c r="E6077" s="2" t="str">
        <f>HYPERLINK("http://ts.21cn.com/tousu/show/id/1336946","http://ts.21cn.com/tousu/show/id/1336946")</f>
        <v>http://ts.21cn.com/tousu/show/id/1336946</v>
      </c>
      <c r="F6077" s="2" t="s">
        <v>11</v>
      </c>
      <c r="G6077" s="2" t="s">
        <v>32210</v>
      </c>
      <c r="H6077" s="2" t="s">
        <v>32211</v>
      </c>
    </row>
    <row r="6078" spans="1:8" ht="25.05" customHeight="1" x14ac:dyDescent="0.25">
      <c r="A6078" s="2" t="s">
        <v>8</v>
      </c>
      <c r="B6078" s="2" t="str">
        <f>HYPERLINK("http://ts.21cn.com/tousu/show/id/1336948","绑定银行卡直接扣费")</f>
        <v>绑定银行卡直接扣费</v>
      </c>
      <c r="C6078" s="2" t="s">
        <v>34</v>
      </c>
      <c r="D6078" s="2" t="s">
        <v>10</v>
      </c>
      <c r="E6078" s="2" t="str">
        <f>HYPERLINK("http://ts.21cn.com/tousu/show/id/1336948","http://ts.21cn.com/tousu/show/id/1336948")</f>
        <v>http://ts.21cn.com/tousu/show/id/1336948</v>
      </c>
      <c r="F6078" s="2" t="s">
        <v>11</v>
      </c>
      <c r="G6078" s="2" t="s">
        <v>32208</v>
      </c>
      <c r="H6078" s="2" t="s">
        <v>32209</v>
      </c>
    </row>
    <row r="6079" spans="1:8" ht="25.05" customHeight="1" x14ac:dyDescent="0.25">
      <c r="A6079" s="2" t="s">
        <v>8</v>
      </c>
      <c r="B6079" s="2" t="str">
        <f>HYPERLINK("http://ts.21cn.com/tousu/show/id/1336949","豹子贷通联支付网络服务股份有限公司-携趣信息科技（上海）有限公司恶意扣费")</f>
        <v>豹子贷通联支付网络服务股份有限公司-携趣信息科技（上海）有限公司恶意扣费</v>
      </c>
      <c r="C6079" s="2" t="s">
        <v>9</v>
      </c>
      <c r="D6079" s="2" t="s">
        <v>10</v>
      </c>
      <c r="E6079" s="2" t="str">
        <f>HYPERLINK("http://ts.21cn.com/tousu/show/id/1336949","http://ts.21cn.com/tousu/show/id/1336949")</f>
        <v>http://ts.21cn.com/tousu/show/id/1336949</v>
      </c>
      <c r="F6079" s="2" t="s">
        <v>11</v>
      </c>
      <c r="G6079" s="2" t="s">
        <v>32206</v>
      </c>
      <c r="H6079" s="2" t="s">
        <v>32207</v>
      </c>
    </row>
    <row r="6080" spans="1:8" ht="25.05" customHeight="1" x14ac:dyDescent="0.25">
      <c r="A6080" s="2" t="s">
        <v>8</v>
      </c>
      <c r="B6080" s="2" t="str">
        <f>HYPERLINK("http://ts.21cn.com/tousu/show/id/1336950","退款")</f>
        <v>退款</v>
      </c>
      <c r="C6080" s="2" t="s">
        <v>34</v>
      </c>
      <c r="D6080" s="2" t="s">
        <v>10</v>
      </c>
      <c r="E6080" s="2" t="str">
        <f>HYPERLINK("http://ts.21cn.com/tousu/show/id/1336950","http://ts.21cn.com/tousu/show/id/1336950")</f>
        <v>http://ts.21cn.com/tousu/show/id/1336950</v>
      </c>
      <c r="F6080" s="2" t="s">
        <v>11</v>
      </c>
      <c r="G6080" s="2" t="s">
        <v>32204</v>
      </c>
      <c r="H6080" s="2" t="s">
        <v>32205</v>
      </c>
    </row>
    <row r="6081" spans="1:8" ht="25.05" customHeight="1" x14ac:dyDescent="0.25">
      <c r="A6081" s="2" t="s">
        <v>8</v>
      </c>
      <c r="B6081" s="2" t="str">
        <f>HYPERLINK("http://ts.21cn.com/tousu/show/id/1336951","月光侠分期砍头息")</f>
        <v>月光侠分期砍头息</v>
      </c>
      <c r="C6081" s="2" t="s">
        <v>34</v>
      </c>
      <c r="D6081" s="2" t="s">
        <v>10</v>
      </c>
      <c r="E6081" s="2" t="str">
        <f>HYPERLINK("http://ts.21cn.com/tousu/show/id/1336951","http://ts.21cn.com/tousu/show/id/1336951")</f>
        <v>http://ts.21cn.com/tousu/show/id/1336951</v>
      </c>
      <c r="F6081" s="2" t="s">
        <v>11</v>
      </c>
      <c r="G6081" s="2" t="s">
        <v>32202</v>
      </c>
      <c r="H6081" s="2" t="s">
        <v>32203</v>
      </c>
    </row>
    <row r="6082" spans="1:8" ht="25.05" customHeight="1" x14ac:dyDescent="0.25">
      <c r="A6082" s="2" t="s">
        <v>8</v>
      </c>
      <c r="B6082" s="2" t="str">
        <f>HYPERLINK("http://ts.21cn.com/tousu/show/id/1336952","拍拍贷窃取手机通讯录，恶意骚扰，威胁恐吓")</f>
        <v>拍拍贷窃取手机通讯录，恶意骚扰，威胁恐吓</v>
      </c>
      <c r="C6082" s="2" t="s">
        <v>9</v>
      </c>
      <c r="D6082" s="2" t="s">
        <v>10</v>
      </c>
      <c r="E6082" s="2" t="str">
        <f>HYPERLINK("http://ts.21cn.com/tousu/show/id/1336952","http://ts.21cn.com/tousu/show/id/1336952")</f>
        <v>http://ts.21cn.com/tousu/show/id/1336952</v>
      </c>
      <c r="F6082" s="2" t="s">
        <v>11</v>
      </c>
      <c r="G6082" s="2" t="s">
        <v>32200</v>
      </c>
      <c r="H6082" s="2" t="s">
        <v>32201</v>
      </c>
    </row>
    <row r="6083" spans="1:8" ht="25.05" customHeight="1" x14ac:dyDescent="0.25">
      <c r="A6083" s="2" t="s">
        <v>8</v>
      </c>
      <c r="B6083" s="2" t="str">
        <f>HYPERLINK("http://ts.21cn.com/tousu/show/id/1336954","联动云70块停车费27天不退")</f>
        <v>联动云70块停车费27天不退</v>
      </c>
      <c r="C6083" s="2" t="s">
        <v>34</v>
      </c>
      <c r="D6083" s="2" t="s">
        <v>10</v>
      </c>
      <c r="E6083" s="2" t="str">
        <f>HYPERLINK("http://ts.21cn.com/tousu/show/id/1336954","http://ts.21cn.com/tousu/show/id/1336954")</f>
        <v>http://ts.21cn.com/tousu/show/id/1336954</v>
      </c>
      <c r="F6083" s="2" t="s">
        <v>11</v>
      </c>
      <c r="G6083" s="2" t="s">
        <v>32198</v>
      </c>
      <c r="H6083" s="2" t="s">
        <v>32199</v>
      </c>
    </row>
    <row r="6084" spans="1:8" ht="25.05" customHeight="1" x14ac:dyDescent="0.25">
      <c r="A6084" s="2" t="s">
        <v>8</v>
      </c>
      <c r="B6084" s="2" t="str">
        <f>HYPERLINK("http://ts.21cn.com/tousu/show/id/1336956","信而富虚拟购物卡")</f>
        <v>信而富虚拟购物卡</v>
      </c>
      <c r="C6084" s="2" t="s">
        <v>9</v>
      </c>
      <c r="D6084" s="2" t="s">
        <v>10</v>
      </c>
      <c r="E6084" s="2" t="str">
        <f>HYPERLINK("http://ts.21cn.com/tousu/show/id/1336956","http://ts.21cn.com/tousu/show/id/1336956")</f>
        <v>http://ts.21cn.com/tousu/show/id/1336956</v>
      </c>
      <c r="F6084" s="2" t="s">
        <v>11</v>
      </c>
      <c r="G6084" s="2" t="s">
        <v>32196</v>
      </c>
      <c r="H6084" s="2" t="s">
        <v>32197</v>
      </c>
    </row>
    <row r="6085" spans="1:8" ht="25.05" customHeight="1" x14ac:dyDescent="0.25">
      <c r="A6085" s="2" t="s">
        <v>8</v>
      </c>
      <c r="B6085" s="2" t="str">
        <f>HYPERLINK("http://ts.21cn.com/tousu/show/id/1336958","协商之中，联系通讯录，暴力催收")</f>
        <v>协商之中，联系通讯录，暴力催收</v>
      </c>
      <c r="C6085" s="2" t="s">
        <v>9</v>
      </c>
      <c r="D6085" s="2" t="s">
        <v>10</v>
      </c>
      <c r="E6085" s="2" t="str">
        <f>HYPERLINK("http://ts.21cn.com/tousu/show/id/1336958","http://ts.21cn.com/tousu/show/id/1336958")</f>
        <v>http://ts.21cn.com/tousu/show/id/1336958</v>
      </c>
      <c r="F6085" s="2" t="s">
        <v>11</v>
      </c>
      <c r="G6085" s="2" t="s">
        <v>32194</v>
      </c>
      <c r="H6085" s="2" t="s">
        <v>32195</v>
      </c>
    </row>
    <row r="6086" spans="1:8" ht="25.05" customHeight="1" x14ac:dyDescent="0.25">
      <c r="A6086" s="2" t="s">
        <v>8</v>
      </c>
      <c r="B6086" s="2" t="str">
        <f>HYPERLINK("http://ts.21cn.com/tousu/show/id/1336957","银联云闪付为违规赌博网站支付")</f>
        <v>银联云闪付为违规赌博网站支付</v>
      </c>
      <c r="C6086" s="2" t="s">
        <v>9</v>
      </c>
      <c r="D6086" s="2" t="s">
        <v>10</v>
      </c>
      <c r="E6086" s="2" t="str">
        <f>HYPERLINK("http://ts.21cn.com/tousu/show/id/1336957","http://ts.21cn.com/tousu/show/id/1336957")</f>
        <v>http://ts.21cn.com/tousu/show/id/1336957</v>
      </c>
      <c r="F6086" s="2" t="s">
        <v>11</v>
      </c>
      <c r="G6086" s="2" t="s">
        <v>32192</v>
      </c>
      <c r="H6086" s="2" t="s">
        <v>32193</v>
      </c>
    </row>
    <row r="6087" spans="1:8" ht="25.05" customHeight="1" x14ac:dyDescent="0.25">
      <c r="A6087" s="2" t="s">
        <v>8</v>
      </c>
      <c r="B6087" s="2" t="str">
        <f>HYPERLINK("http://ts.21cn.com/tousu/show/id/1336959","豹子贷隐藏乱扣费")</f>
        <v>豹子贷隐藏乱扣费</v>
      </c>
      <c r="C6087" s="2" t="s">
        <v>9</v>
      </c>
      <c r="D6087" s="2" t="s">
        <v>10</v>
      </c>
      <c r="E6087" s="2" t="str">
        <f>HYPERLINK("http://ts.21cn.com/tousu/show/id/1336959","http://ts.21cn.com/tousu/show/id/1336959")</f>
        <v>http://ts.21cn.com/tousu/show/id/1336959</v>
      </c>
      <c r="F6087" s="2" t="s">
        <v>11</v>
      </c>
      <c r="G6087" s="2" t="s">
        <v>32190</v>
      </c>
      <c r="H6087" s="2" t="s">
        <v>32191</v>
      </c>
    </row>
    <row r="6088" spans="1:8" ht="25.05" customHeight="1" x14ac:dyDescent="0.25">
      <c r="A6088" s="2" t="s">
        <v>8</v>
      </c>
      <c r="B6088" s="2" t="str">
        <f>HYPERLINK("http://ts.21cn.com/tousu/show/id/1336960","借款4800到账5980扣款1180实际到账4800还款一年共还6240.92")</f>
        <v>借款4800到账5980扣款1180实际到账4800还款一年共还6240.92</v>
      </c>
      <c r="C6088" s="2" t="s">
        <v>34</v>
      </c>
      <c r="D6088" s="2" t="s">
        <v>10</v>
      </c>
      <c r="E6088" s="2" t="str">
        <f>HYPERLINK("http://ts.21cn.com/tousu/show/id/1336960","http://ts.21cn.com/tousu/show/id/1336960")</f>
        <v>http://ts.21cn.com/tousu/show/id/1336960</v>
      </c>
      <c r="F6088" s="2" t="s">
        <v>11</v>
      </c>
      <c r="G6088" s="2" t="s">
        <v>32188</v>
      </c>
      <c r="H6088" s="2" t="s">
        <v>32189</v>
      </c>
    </row>
    <row r="6089" spans="1:8" ht="25.05" customHeight="1" x14ac:dyDescent="0.25">
      <c r="A6089" s="2" t="s">
        <v>8</v>
      </c>
      <c r="B6089" s="2" t="str">
        <f>HYPERLINK("http://ts.21cn.com/tousu/show/id/1336961","河北兆淼网络科技有限公司旗下畅玖花套路贷砍头息")</f>
        <v>河北兆淼网络科技有限公司旗下畅玖花套路贷砍头息</v>
      </c>
      <c r="C6089" s="2" t="s">
        <v>9</v>
      </c>
      <c r="D6089" s="2" t="s">
        <v>10</v>
      </c>
      <c r="E6089" s="2" t="str">
        <f>HYPERLINK("http://ts.21cn.com/tousu/show/id/1336961","http://ts.21cn.com/tousu/show/id/1336961")</f>
        <v>http://ts.21cn.com/tousu/show/id/1336961</v>
      </c>
      <c r="F6089" s="2" t="s">
        <v>11</v>
      </c>
      <c r="G6089" s="2" t="s">
        <v>32186</v>
      </c>
      <c r="H6089" s="2" t="s">
        <v>32187</v>
      </c>
    </row>
    <row r="6090" spans="1:8" ht="25.05" customHeight="1" x14ac:dyDescent="0.25">
      <c r="A6090" s="2" t="s">
        <v>8</v>
      </c>
      <c r="B6090" s="2" t="str">
        <f>HYPERLINK("http://ts.21cn.com/tousu/show/id/1336962","高利贷、砍头息、暴力催收")</f>
        <v>高利贷、砍头息、暴力催收</v>
      </c>
      <c r="C6090" s="2" t="s">
        <v>9</v>
      </c>
      <c r="D6090" s="2" t="s">
        <v>10</v>
      </c>
      <c r="E6090" s="2" t="str">
        <f>HYPERLINK("http://ts.21cn.com/tousu/show/id/1336962","http://ts.21cn.com/tousu/show/id/1336962")</f>
        <v>http://ts.21cn.com/tousu/show/id/1336962</v>
      </c>
      <c r="F6090" s="2" t="s">
        <v>11</v>
      </c>
      <c r="G6090" s="2" t="s">
        <v>32184</v>
      </c>
      <c r="H6090" s="2" t="s">
        <v>32185</v>
      </c>
    </row>
    <row r="6091" spans="1:8" ht="25.05" customHeight="1" x14ac:dyDescent="0.25">
      <c r="A6091" s="2" t="s">
        <v>8</v>
      </c>
      <c r="B6091" s="2" t="str">
        <f>HYPERLINK("http://ts.21cn.com/tousu/show/id/1336963","北京友缘在线旗下处处app诱导领取免费VIP开启了免密支付未经同意被扣费用存在严重欺诈行为")</f>
        <v>北京友缘在线旗下处处app诱导领取免费VIP开启了免密支付未经同意被扣费用存在严重欺诈行为</v>
      </c>
      <c r="C6091" s="2" t="s">
        <v>9</v>
      </c>
      <c r="D6091" s="2" t="s">
        <v>10</v>
      </c>
      <c r="E6091" s="2" t="str">
        <f>HYPERLINK("http://ts.21cn.com/tousu/show/id/1336963","http://ts.21cn.com/tousu/show/id/1336963")</f>
        <v>http://ts.21cn.com/tousu/show/id/1336963</v>
      </c>
      <c r="F6091" s="2" t="s">
        <v>11</v>
      </c>
      <c r="G6091" s="2" t="s">
        <v>32182</v>
      </c>
      <c r="H6091" s="2" t="s">
        <v>32183</v>
      </c>
    </row>
    <row r="6092" spans="1:8" ht="25.05" customHeight="1" x14ac:dyDescent="0.25">
      <c r="A6092" s="2" t="s">
        <v>8</v>
      </c>
      <c r="B6092" s="2" t="str">
        <f>HYPERLINK("http://ts.21cn.com/tousu/show/id/1336947","汇聚支付不审核资质违规为套路贷提供支付渠道")</f>
        <v>汇聚支付不审核资质违规为套路贷提供支付渠道</v>
      </c>
      <c r="C6092" s="2" t="s">
        <v>9</v>
      </c>
      <c r="D6092" s="2" t="s">
        <v>10</v>
      </c>
      <c r="E6092" s="2" t="str">
        <f>HYPERLINK("http://ts.21cn.com/tousu/show/id/1336947","http://ts.21cn.com/tousu/show/id/1336947")</f>
        <v>http://ts.21cn.com/tousu/show/id/1336947</v>
      </c>
      <c r="F6092" s="2" t="s">
        <v>11</v>
      </c>
      <c r="G6092" s="2" t="s">
        <v>32180</v>
      </c>
      <c r="H6092" s="2" t="s">
        <v>32181</v>
      </c>
    </row>
    <row r="6093" spans="1:8" ht="25.05" customHeight="1" x14ac:dyDescent="0.25">
      <c r="A6093" s="2" t="s">
        <v>8</v>
      </c>
      <c r="B6093" s="2" t="str">
        <f>HYPERLINK("http://ts.21cn.com/tousu/show/id/1336967","望与你我贷调整利率协商结清注销账户")</f>
        <v>望与你我贷调整利率协商结清注销账户</v>
      </c>
      <c r="C6093" s="2" t="s">
        <v>9</v>
      </c>
      <c r="D6093" s="2" t="s">
        <v>10</v>
      </c>
      <c r="E6093" s="2" t="str">
        <f>HYPERLINK("http://ts.21cn.com/tousu/show/id/1336967","http://ts.21cn.com/tousu/show/id/1336967")</f>
        <v>http://ts.21cn.com/tousu/show/id/1336967</v>
      </c>
      <c r="F6093" s="2" t="s">
        <v>11</v>
      </c>
      <c r="G6093" s="2" t="s">
        <v>32178</v>
      </c>
      <c r="H6093" s="2" t="s">
        <v>32179</v>
      </c>
    </row>
    <row r="6094" spans="1:8" ht="25.05" customHeight="1" x14ac:dyDescent="0.25">
      <c r="A6094" s="2" t="s">
        <v>8</v>
      </c>
      <c r="B6094" s="2" t="str">
        <f>HYPERLINK("http://ts.21cn.com/tousu/show/id/1336965","升学教育机构不退款")</f>
        <v>升学教育机构不退款</v>
      </c>
      <c r="C6094" s="2" t="s">
        <v>9</v>
      </c>
      <c r="D6094" s="2" t="s">
        <v>10</v>
      </c>
      <c r="E6094" s="2" t="str">
        <f>HYPERLINK("http://ts.21cn.com/tousu/show/id/1336965","http://ts.21cn.com/tousu/show/id/1336965")</f>
        <v>http://ts.21cn.com/tousu/show/id/1336965</v>
      </c>
      <c r="F6094" s="2" t="s">
        <v>11</v>
      </c>
      <c r="G6094" s="2" t="s">
        <v>32176</v>
      </c>
      <c r="H6094" s="2" t="s">
        <v>32177</v>
      </c>
    </row>
    <row r="6095" spans="1:8" ht="25.05" customHeight="1" x14ac:dyDescent="0.25">
      <c r="A6095" s="2" t="s">
        <v>8</v>
      </c>
      <c r="B6095" s="2" t="str">
        <f>HYPERLINK("http://ts.21cn.com/tousu/show/id/1336969","阴阳合同，暴力催收")</f>
        <v>阴阳合同，暴力催收</v>
      </c>
      <c r="C6095" s="2" t="s">
        <v>9</v>
      </c>
      <c r="D6095" s="2" t="s">
        <v>10</v>
      </c>
      <c r="E6095" s="2" t="str">
        <f>HYPERLINK("http://ts.21cn.com/tousu/show/id/1336969","http://ts.21cn.com/tousu/show/id/1336969")</f>
        <v>http://ts.21cn.com/tousu/show/id/1336969</v>
      </c>
      <c r="F6095" s="2" t="s">
        <v>11</v>
      </c>
      <c r="G6095" s="2" t="s">
        <v>32174</v>
      </c>
      <c r="H6095" s="2" t="s">
        <v>32175</v>
      </c>
    </row>
    <row r="6096" spans="1:8" ht="25.05" customHeight="1" x14ac:dyDescent="0.25">
      <c r="A6096" s="2" t="s">
        <v>8</v>
      </c>
      <c r="B6096" s="2" t="str">
        <f>HYPERLINK("http://ts.21cn.com/tousu/show/id/1336966","莫名其妙扣款1695.12")</f>
        <v>莫名其妙扣款1695.12</v>
      </c>
      <c r="C6096" s="2" t="s">
        <v>34</v>
      </c>
      <c r="D6096" s="2" t="s">
        <v>10</v>
      </c>
      <c r="E6096" s="2" t="str">
        <f>HYPERLINK("http://ts.21cn.com/tousu/show/id/1336966","http://ts.21cn.com/tousu/show/id/1336966")</f>
        <v>http://ts.21cn.com/tousu/show/id/1336966</v>
      </c>
      <c r="F6096" s="2" t="s">
        <v>11</v>
      </c>
      <c r="G6096" s="2" t="s">
        <v>32172</v>
      </c>
      <c r="H6096" s="2" t="s">
        <v>32173</v>
      </c>
    </row>
    <row r="6097" spans="1:8" ht="25.05" customHeight="1" x14ac:dyDescent="0.25">
      <c r="A6097" s="2" t="s">
        <v>8</v>
      </c>
      <c r="B6097" s="2" t="str">
        <f>HYPERLINK("http://ts.21cn.com/tousu/show/id/1336970","网赌平台")</f>
        <v>网赌平台</v>
      </c>
      <c r="C6097" s="2" t="s">
        <v>9</v>
      </c>
      <c r="D6097" s="2" t="s">
        <v>10</v>
      </c>
      <c r="E6097" s="2" t="str">
        <f>HYPERLINK("http://ts.21cn.com/tousu/show/id/1336970","http://ts.21cn.com/tousu/show/id/1336970")</f>
        <v>http://ts.21cn.com/tousu/show/id/1336970</v>
      </c>
      <c r="F6097" s="2" t="s">
        <v>11</v>
      </c>
      <c r="G6097" s="2" t="s">
        <v>32170</v>
      </c>
      <c r="H6097" s="2" t="s">
        <v>32171</v>
      </c>
    </row>
    <row r="6098" spans="1:8" ht="25.05" customHeight="1" x14ac:dyDescent="0.25">
      <c r="A6098" s="2" t="s">
        <v>8</v>
      </c>
      <c r="B6098" s="2" t="str">
        <f>HYPERLINK("http://ts.21cn.com/tousu/show/id/1336971","辛苦拍的图片，修好的图片，水印都加了还是被人盗，")</f>
        <v>辛苦拍的图片，修好的图片，水印都加了还是被人盗，</v>
      </c>
      <c r="C6098" s="2" t="s">
        <v>34</v>
      </c>
      <c r="D6098" s="2" t="s">
        <v>10</v>
      </c>
      <c r="E6098" s="2" t="str">
        <f>HYPERLINK("http://ts.21cn.com/tousu/show/id/1336971","http://ts.21cn.com/tousu/show/id/1336971")</f>
        <v>http://ts.21cn.com/tousu/show/id/1336971</v>
      </c>
      <c r="F6098" s="2" t="s">
        <v>11</v>
      </c>
      <c r="G6098" s="2" t="s">
        <v>32168</v>
      </c>
      <c r="H6098" s="2" t="s">
        <v>32169</v>
      </c>
    </row>
    <row r="6099" spans="1:8" ht="25.05" customHeight="1" x14ac:dyDescent="0.25">
      <c r="A6099" s="2" t="s">
        <v>8</v>
      </c>
      <c r="B6099" s="2" t="str">
        <f>HYPERLINK("http://ts.21cn.com/tousu/show/id/1336972","万惠及贷变相收取高额息费以及暴力催收")</f>
        <v>万惠及贷变相收取高额息费以及暴力催收</v>
      </c>
      <c r="C6099" s="2" t="s">
        <v>9</v>
      </c>
      <c r="D6099" s="2" t="s">
        <v>10</v>
      </c>
      <c r="E6099" s="2" t="str">
        <f>HYPERLINK("http://ts.21cn.com/tousu/show/id/1336972","http://ts.21cn.com/tousu/show/id/1336972")</f>
        <v>http://ts.21cn.com/tousu/show/id/1336972</v>
      </c>
      <c r="F6099" s="2" t="s">
        <v>11</v>
      </c>
      <c r="G6099" s="2" t="s">
        <v>32166</v>
      </c>
      <c r="H6099" s="2" t="s">
        <v>32167</v>
      </c>
    </row>
    <row r="6100" spans="1:8" ht="25.05" customHeight="1" x14ac:dyDescent="0.25">
      <c r="A6100" s="2" t="s">
        <v>8</v>
      </c>
      <c r="B6100" s="2" t="str">
        <f>HYPERLINK("http://ts.21cn.com/tousu/show/id/1336973","畅捷支付为高利贷提供放款渠道")</f>
        <v>畅捷支付为高利贷提供放款渠道</v>
      </c>
      <c r="C6100" s="2" t="s">
        <v>9</v>
      </c>
      <c r="D6100" s="2" t="s">
        <v>10</v>
      </c>
      <c r="E6100" s="2" t="str">
        <f>HYPERLINK("http://ts.21cn.com/tousu/show/id/1336973","http://ts.21cn.com/tousu/show/id/1336973")</f>
        <v>http://ts.21cn.com/tousu/show/id/1336973</v>
      </c>
      <c r="F6100" s="2" t="s">
        <v>11</v>
      </c>
      <c r="G6100" s="2" t="s">
        <v>32164</v>
      </c>
      <c r="H6100" s="2" t="s">
        <v>32165</v>
      </c>
    </row>
    <row r="6101" spans="1:8" ht="25.05" customHeight="1" x14ac:dyDescent="0.25">
      <c r="A6101" s="2" t="s">
        <v>8</v>
      </c>
      <c r="B6101" s="2" t="str">
        <f>HYPERLINK("http://ts.21cn.com/tousu/show/id/1336975","招联金融恐吓")</f>
        <v>招联金融恐吓</v>
      </c>
      <c r="C6101" s="2" t="s">
        <v>9</v>
      </c>
      <c r="D6101" s="2" t="s">
        <v>10</v>
      </c>
      <c r="E6101" s="2" t="str">
        <f>HYPERLINK("http://ts.21cn.com/tousu/show/id/1336975","http://ts.21cn.com/tousu/show/id/1336975")</f>
        <v>http://ts.21cn.com/tousu/show/id/1336975</v>
      </c>
      <c r="F6101" s="2" t="s">
        <v>11</v>
      </c>
      <c r="G6101" s="2" t="s">
        <v>32162</v>
      </c>
      <c r="H6101" s="2" t="s">
        <v>32163</v>
      </c>
    </row>
    <row r="6102" spans="1:8" ht="25.05" customHeight="1" x14ac:dyDescent="0.25">
      <c r="A6102" s="2" t="s">
        <v>8</v>
      </c>
      <c r="B6102" s="2" t="str">
        <f>HYPERLINK("http://ts.21cn.com/tousu/show/id/1336976","还款金额与到账金额不符")</f>
        <v>还款金额与到账金额不符</v>
      </c>
      <c r="C6102" s="2" t="s">
        <v>9</v>
      </c>
      <c r="D6102" s="2" t="s">
        <v>10</v>
      </c>
      <c r="E6102" s="2" t="str">
        <f>HYPERLINK("http://ts.21cn.com/tousu/show/id/1336976","http://ts.21cn.com/tousu/show/id/1336976")</f>
        <v>http://ts.21cn.com/tousu/show/id/1336976</v>
      </c>
      <c r="F6102" s="2" t="s">
        <v>11</v>
      </c>
      <c r="G6102" s="2" t="s">
        <v>32160</v>
      </c>
      <c r="H6102" s="2" t="s">
        <v>32161</v>
      </c>
    </row>
    <row r="6103" spans="1:8" ht="25.05" customHeight="1" x14ac:dyDescent="0.25">
      <c r="A6103" s="2" t="s">
        <v>8</v>
      </c>
      <c r="B6103" s="2" t="str">
        <f>HYPERLINK("http://ts.21cn.com/tousu/show/id/1336977","钱老哥利息太高，高过高利贷")</f>
        <v>钱老哥利息太高，高过高利贷</v>
      </c>
      <c r="C6103" s="2" t="s">
        <v>9</v>
      </c>
      <c r="D6103" s="2" t="s">
        <v>10</v>
      </c>
      <c r="E6103" s="2" t="str">
        <f>HYPERLINK("http://ts.21cn.com/tousu/show/id/1336977","http://ts.21cn.com/tousu/show/id/1336977")</f>
        <v>http://ts.21cn.com/tousu/show/id/1336977</v>
      </c>
      <c r="F6103" s="2" t="s">
        <v>11</v>
      </c>
      <c r="G6103" s="2" t="s">
        <v>32158</v>
      </c>
      <c r="H6103" s="2" t="s">
        <v>32159</v>
      </c>
    </row>
    <row r="6104" spans="1:8" ht="25.05" customHeight="1" x14ac:dyDescent="0.25">
      <c r="A6104" s="2" t="s">
        <v>8</v>
      </c>
      <c r="B6104" s="2" t="str">
        <f>HYPERLINK("http://ts.21cn.com/tousu/show/id/1336968","钱被转走希望能追回")</f>
        <v>钱被转走希望能追回</v>
      </c>
      <c r="C6104" s="2" t="s">
        <v>9</v>
      </c>
      <c r="D6104" s="2" t="s">
        <v>10</v>
      </c>
      <c r="E6104" s="2" t="str">
        <f>HYPERLINK("http://ts.21cn.com/tousu/show/id/1336968","http://ts.21cn.com/tousu/show/id/1336968")</f>
        <v>http://ts.21cn.com/tousu/show/id/1336968</v>
      </c>
      <c r="F6104" s="2" t="s">
        <v>11</v>
      </c>
      <c r="G6104" s="2" t="s">
        <v>32156</v>
      </c>
      <c r="H6104" s="2" t="s">
        <v>32157</v>
      </c>
    </row>
    <row r="6105" spans="1:8" ht="25.05" customHeight="1" x14ac:dyDescent="0.25">
      <c r="A6105" s="2" t="s">
        <v>8</v>
      </c>
      <c r="B6105" s="2" t="str">
        <f>HYPERLINK("http://ts.21cn.com/tousu/show/id/1336979","小额贷款高额利息暴力催收")</f>
        <v>小额贷款高额利息暴力催收</v>
      </c>
      <c r="C6105" s="2" t="s">
        <v>9</v>
      </c>
      <c r="D6105" s="2" t="s">
        <v>10</v>
      </c>
      <c r="E6105" s="2" t="str">
        <f>HYPERLINK("http://ts.21cn.com/tousu/show/id/1336979","http://ts.21cn.com/tousu/show/id/1336979")</f>
        <v>http://ts.21cn.com/tousu/show/id/1336979</v>
      </c>
      <c r="F6105" s="2" t="s">
        <v>11</v>
      </c>
      <c r="G6105" s="2" t="s">
        <v>32154</v>
      </c>
      <c r="H6105" s="2" t="s">
        <v>32155</v>
      </c>
    </row>
    <row r="6106" spans="1:8" ht="25.05" customHeight="1" x14ac:dyDescent="0.25">
      <c r="A6106" s="2" t="s">
        <v>8</v>
      </c>
      <c r="B6106" s="2" t="str">
        <f>HYPERLINK("http://ts.21cn.com/tousu/show/id/1336980","投诉东莞移动无故停机的问题。")</f>
        <v>投诉东莞移动无故停机的问题。</v>
      </c>
      <c r="C6106" s="2" t="s">
        <v>9</v>
      </c>
      <c r="D6106" s="2" t="s">
        <v>10</v>
      </c>
      <c r="E6106" s="2" t="str">
        <f>HYPERLINK("http://ts.21cn.com/tousu/show/id/1336980","http://ts.21cn.com/tousu/show/id/1336980")</f>
        <v>http://ts.21cn.com/tousu/show/id/1336980</v>
      </c>
      <c r="F6106" s="2" t="s">
        <v>11</v>
      </c>
      <c r="G6106" s="2" t="s">
        <v>32152</v>
      </c>
      <c r="H6106" s="2" t="s">
        <v>32153</v>
      </c>
    </row>
    <row r="6107" spans="1:8" ht="25.05" customHeight="1" x14ac:dyDescent="0.25">
      <c r="A6107" s="2" t="s">
        <v>8</v>
      </c>
      <c r="B6107" s="2" t="str">
        <f>HYPERLINK("http://ts.21cn.com/tousu/show/id/1336981","我要投诉黑网贷暴力催收辱骂爆通讯录")</f>
        <v>我要投诉黑网贷暴力催收辱骂爆通讯录</v>
      </c>
      <c r="C6107" s="2" t="s">
        <v>9</v>
      </c>
      <c r="D6107" s="2" t="s">
        <v>10</v>
      </c>
      <c r="E6107" s="2" t="str">
        <f>HYPERLINK("http://ts.21cn.com/tousu/show/id/1336981","http://ts.21cn.com/tousu/show/id/1336981")</f>
        <v>http://ts.21cn.com/tousu/show/id/1336981</v>
      </c>
      <c r="F6107" s="2" t="s">
        <v>11</v>
      </c>
      <c r="G6107" s="2" t="s">
        <v>32150</v>
      </c>
      <c r="H6107" s="2" t="s">
        <v>32151</v>
      </c>
    </row>
    <row r="6108" spans="1:8" ht="25.05" customHeight="1" x14ac:dyDescent="0.25">
      <c r="A6108" s="2" t="s">
        <v>8</v>
      </c>
      <c r="B6108" s="2" t="str">
        <f>HYPERLINK("http://ts.21cn.com/tousu/show/id/1336982","微享加砍头息")</f>
        <v>微享加砍头息</v>
      </c>
      <c r="C6108" s="2" t="s">
        <v>9</v>
      </c>
      <c r="D6108" s="2" t="s">
        <v>10</v>
      </c>
      <c r="E6108" s="2" t="str">
        <f>HYPERLINK("http://ts.21cn.com/tousu/show/id/1336982","http://ts.21cn.com/tousu/show/id/1336982")</f>
        <v>http://ts.21cn.com/tousu/show/id/1336982</v>
      </c>
      <c r="F6108" s="2" t="s">
        <v>11</v>
      </c>
      <c r="G6108" s="2" t="s">
        <v>32148</v>
      </c>
      <c r="H6108" s="2" t="s">
        <v>32149</v>
      </c>
    </row>
    <row r="6109" spans="1:8" ht="25.05" customHeight="1" x14ac:dyDescent="0.25">
      <c r="A6109" s="2" t="s">
        <v>8</v>
      </c>
      <c r="B6109" s="2" t="str">
        <f>HYPERLINK("http://ts.21cn.com/tousu/show/id/1336983","网贷利息过高")</f>
        <v>网贷利息过高</v>
      </c>
      <c r="C6109" s="2" t="s">
        <v>9</v>
      </c>
      <c r="D6109" s="2" t="s">
        <v>10</v>
      </c>
      <c r="E6109" s="2" t="str">
        <f>HYPERLINK("http://ts.21cn.com/tousu/show/id/1336983","http://ts.21cn.com/tousu/show/id/1336983")</f>
        <v>http://ts.21cn.com/tousu/show/id/1336983</v>
      </c>
      <c r="F6109" s="2" t="s">
        <v>11</v>
      </c>
      <c r="G6109" s="2" t="s">
        <v>32146</v>
      </c>
      <c r="H6109" s="2" t="s">
        <v>32147</v>
      </c>
    </row>
    <row r="6110" spans="1:8" ht="25.05" customHeight="1" x14ac:dyDescent="0.25">
      <c r="A6110" s="2" t="s">
        <v>8</v>
      </c>
      <c r="B6110" s="2" t="str">
        <f>HYPERLINK("http://ts.21cn.com/tousu/show/id/1336984","捷信金融收取巨额贷款管理费")</f>
        <v>捷信金融收取巨额贷款管理费</v>
      </c>
      <c r="C6110" s="2" t="s">
        <v>9</v>
      </c>
      <c r="D6110" s="2" t="s">
        <v>10</v>
      </c>
      <c r="E6110" s="2" t="str">
        <f>HYPERLINK("http://ts.21cn.com/tousu/show/id/1336984","http://ts.21cn.com/tousu/show/id/1336984")</f>
        <v>http://ts.21cn.com/tousu/show/id/1336984</v>
      </c>
      <c r="F6110" s="2" t="s">
        <v>11</v>
      </c>
      <c r="G6110" s="2" t="s">
        <v>32144</v>
      </c>
      <c r="H6110" s="2" t="s">
        <v>32145</v>
      </c>
    </row>
    <row r="6111" spans="1:8" ht="25.05" customHeight="1" x14ac:dyDescent="0.25">
      <c r="A6111" s="2" t="s">
        <v>8</v>
      </c>
      <c r="B6111" s="2" t="str">
        <f>HYPERLINK("http://ts.21cn.com/tousu/show/id/1336974","宜人贷")</f>
        <v>宜人贷</v>
      </c>
      <c r="C6111" s="2" t="s">
        <v>9</v>
      </c>
      <c r="D6111" s="2" t="s">
        <v>10</v>
      </c>
      <c r="E6111" s="2" t="str">
        <f>HYPERLINK("http://ts.21cn.com/tousu/show/id/1336974","http://ts.21cn.com/tousu/show/id/1336974")</f>
        <v>http://ts.21cn.com/tousu/show/id/1336974</v>
      </c>
      <c r="F6111" s="2" t="s">
        <v>11</v>
      </c>
      <c r="G6111" s="2" t="s">
        <v>32142</v>
      </c>
      <c r="H6111" s="2" t="s">
        <v>32143</v>
      </c>
    </row>
    <row r="6112" spans="1:8" ht="25.05" customHeight="1" x14ac:dyDescent="0.25">
      <c r="A6112" s="2" t="s">
        <v>8</v>
      </c>
      <c r="B6112" s="2" t="str">
        <f>HYPERLINK("http://ts.21cn.com/tousu/show/id/1336985","归还本人强制购物砍头息")</f>
        <v>归还本人强制购物砍头息</v>
      </c>
      <c r="C6112" s="2" t="s">
        <v>9</v>
      </c>
      <c r="D6112" s="2" t="s">
        <v>10</v>
      </c>
      <c r="E6112" s="2" t="str">
        <f>HYPERLINK("http://ts.21cn.com/tousu/show/id/1336985","http://ts.21cn.com/tousu/show/id/1336985")</f>
        <v>http://ts.21cn.com/tousu/show/id/1336985</v>
      </c>
      <c r="F6112" s="2" t="s">
        <v>11</v>
      </c>
      <c r="G6112" s="2" t="s">
        <v>32140</v>
      </c>
      <c r="H6112" s="2" t="s">
        <v>32141</v>
      </c>
    </row>
    <row r="6113" spans="1:8" ht="25.05" customHeight="1" x14ac:dyDescent="0.25">
      <c r="A6113" s="2" t="s">
        <v>8</v>
      </c>
      <c r="B6113" s="2" t="str">
        <f>HYPERLINK("http://ts.21cn.com/tousu/show/id/1336986","投诉小赢卡贷高利贷")</f>
        <v>投诉小赢卡贷高利贷</v>
      </c>
      <c r="C6113" s="2" t="s">
        <v>9</v>
      </c>
      <c r="D6113" s="2" t="s">
        <v>10</v>
      </c>
      <c r="E6113" s="2" t="str">
        <f>HYPERLINK("http://ts.21cn.com/tousu/show/id/1336986","http://ts.21cn.com/tousu/show/id/1336986")</f>
        <v>http://ts.21cn.com/tousu/show/id/1336986</v>
      </c>
      <c r="F6113" s="2" t="s">
        <v>11</v>
      </c>
      <c r="G6113" s="2" t="s">
        <v>32138</v>
      </c>
      <c r="H6113" s="2" t="s">
        <v>32139</v>
      </c>
    </row>
    <row r="6114" spans="1:8" ht="25.05" customHeight="1" x14ac:dyDescent="0.25">
      <c r="A6114" s="2" t="s">
        <v>8</v>
      </c>
      <c r="B6114" s="2" t="str">
        <f>HYPERLINK("http://ts.21cn.com/tousu/show/id/1336987","小花钱包借据8464元实到6500元")</f>
        <v>小花钱包借据8464元实到6500元</v>
      </c>
      <c r="C6114" s="2" t="s">
        <v>9</v>
      </c>
      <c r="D6114" s="2" t="s">
        <v>10</v>
      </c>
      <c r="E6114" s="2" t="str">
        <f>HYPERLINK("http://ts.21cn.com/tousu/show/id/1336987","http://ts.21cn.com/tousu/show/id/1336987")</f>
        <v>http://ts.21cn.com/tousu/show/id/1336987</v>
      </c>
      <c r="F6114" s="2" t="s">
        <v>11</v>
      </c>
      <c r="G6114" s="2" t="s">
        <v>32136</v>
      </c>
      <c r="H6114" s="2" t="s">
        <v>32137</v>
      </c>
    </row>
    <row r="6115" spans="1:8" ht="25.05" customHeight="1" x14ac:dyDescent="0.25">
      <c r="A6115" s="2" t="s">
        <v>8</v>
      </c>
      <c r="B6115" s="2" t="str">
        <f>HYPERLINK("http://ts.21cn.com/tousu/show/id/1336988","投诉云闪付及第三方支付公司为境外赌博平台提供支付接口")</f>
        <v>投诉云闪付及第三方支付公司为境外赌博平台提供支付接口</v>
      </c>
      <c r="C6115" s="2" t="s">
        <v>9</v>
      </c>
      <c r="D6115" s="2" t="s">
        <v>10</v>
      </c>
      <c r="E6115" s="2" t="str">
        <f>HYPERLINK("http://ts.21cn.com/tousu/show/id/1336988","http://ts.21cn.com/tousu/show/id/1336988")</f>
        <v>http://ts.21cn.com/tousu/show/id/1336988</v>
      </c>
      <c r="F6115" s="2" t="s">
        <v>11</v>
      </c>
      <c r="G6115" s="2" t="s">
        <v>32134</v>
      </c>
      <c r="H6115" s="2" t="s">
        <v>32135</v>
      </c>
    </row>
    <row r="6116" spans="1:8" ht="25.05" customHeight="1" x14ac:dyDescent="0.25">
      <c r="A6116" s="2" t="s">
        <v>8</v>
      </c>
      <c r="B6116" s="2" t="str">
        <f>HYPERLINK("http://ts.21cn.com/tousu/show/id/1336991","钱伴高利贷违规，暴力催收")</f>
        <v>钱伴高利贷违规，暴力催收</v>
      </c>
      <c r="C6116" s="2" t="s">
        <v>9</v>
      </c>
      <c r="D6116" s="2" t="s">
        <v>10</v>
      </c>
      <c r="E6116" s="2" t="str">
        <f>HYPERLINK("http://ts.21cn.com/tousu/show/id/1336991","http://ts.21cn.com/tousu/show/id/1336991")</f>
        <v>http://ts.21cn.com/tousu/show/id/1336991</v>
      </c>
      <c r="F6116" s="2" t="s">
        <v>11</v>
      </c>
      <c r="G6116" s="2" t="s">
        <v>32132</v>
      </c>
      <c r="H6116" s="2" t="s">
        <v>32133</v>
      </c>
    </row>
    <row r="6117" spans="1:8" ht="25.05" customHeight="1" x14ac:dyDescent="0.25">
      <c r="A6117" s="2" t="s">
        <v>8</v>
      </c>
      <c r="B6117" s="2" t="str">
        <f>HYPERLINK("http://ts.21cn.com/tousu/show/id/1336993","3天不黑退款，客服没反应")</f>
        <v>3天不黑退款，客服没反应</v>
      </c>
      <c r="C6117" s="2" t="s">
        <v>9</v>
      </c>
      <c r="D6117" s="2" t="s">
        <v>10</v>
      </c>
      <c r="E6117" s="2" t="str">
        <f>HYPERLINK("http://ts.21cn.com/tousu/show/id/1336993","http://ts.21cn.com/tousu/show/id/1336993")</f>
        <v>http://ts.21cn.com/tousu/show/id/1336993</v>
      </c>
      <c r="F6117" s="2" t="s">
        <v>11</v>
      </c>
      <c r="G6117" s="2" t="s">
        <v>32130</v>
      </c>
      <c r="H6117" s="2" t="s">
        <v>32131</v>
      </c>
    </row>
    <row r="6118" spans="1:8" ht="25.05" customHeight="1" x14ac:dyDescent="0.25">
      <c r="A6118" s="2" t="s">
        <v>8</v>
      </c>
      <c r="B6118" s="2" t="str">
        <f>HYPERLINK("http://ts.21cn.com/tousu/show/id/1336994","赌博网站")</f>
        <v>赌博网站</v>
      </c>
      <c r="C6118" s="2" t="s">
        <v>9</v>
      </c>
      <c r="D6118" s="2" t="s">
        <v>10</v>
      </c>
      <c r="E6118" s="2" t="str">
        <f>HYPERLINK("http://ts.21cn.com/tousu/show/id/1336994","http://ts.21cn.com/tousu/show/id/1336994")</f>
        <v>http://ts.21cn.com/tousu/show/id/1336994</v>
      </c>
      <c r="F6118" s="2" t="s">
        <v>11</v>
      </c>
      <c r="G6118" s="2" t="s">
        <v>32128</v>
      </c>
      <c r="H6118" s="2" t="s">
        <v>32129</v>
      </c>
    </row>
    <row r="6119" spans="1:8" ht="25.05" customHeight="1" x14ac:dyDescent="0.25">
      <c r="A6119" s="2" t="s">
        <v>8</v>
      </c>
      <c r="B6119" s="2" t="str">
        <f>HYPERLINK("http://ts.21cn.com/tousu/show/id/1336996","欺诈")</f>
        <v>欺诈</v>
      </c>
      <c r="C6119" s="2" t="s">
        <v>9</v>
      </c>
      <c r="D6119" s="2" t="s">
        <v>10</v>
      </c>
      <c r="E6119" s="2" t="str">
        <f>HYPERLINK("http://ts.21cn.com/tousu/show/id/1336996","http://ts.21cn.com/tousu/show/id/1336996")</f>
        <v>http://ts.21cn.com/tousu/show/id/1336996</v>
      </c>
      <c r="F6119" s="2" t="s">
        <v>11</v>
      </c>
      <c r="G6119" s="2" t="s">
        <v>32126</v>
      </c>
      <c r="H6119" s="2" t="s">
        <v>32127</v>
      </c>
    </row>
    <row r="6120" spans="1:8" ht="25.05" customHeight="1" x14ac:dyDescent="0.25">
      <c r="A6120" s="2" t="s">
        <v>8</v>
      </c>
      <c r="B6120" s="2" t="str">
        <f>HYPERLINK("http://ts.21cn.com/tousu/show/id/1336998","超过年利率的标准收费")</f>
        <v>超过年利率的标准收费</v>
      </c>
      <c r="C6120" s="2" t="s">
        <v>9</v>
      </c>
      <c r="D6120" s="2" t="s">
        <v>10</v>
      </c>
      <c r="E6120" s="2" t="str">
        <f>HYPERLINK("http://ts.21cn.com/tousu/show/id/1336998","http://ts.21cn.com/tousu/show/id/1336998")</f>
        <v>http://ts.21cn.com/tousu/show/id/1336998</v>
      </c>
      <c r="F6120" s="2" t="s">
        <v>11</v>
      </c>
      <c r="G6120" s="2" t="s">
        <v>32124</v>
      </c>
      <c r="H6120" s="2" t="s">
        <v>32125</v>
      </c>
    </row>
    <row r="6121" spans="1:8" ht="25.05" customHeight="1" x14ac:dyDescent="0.25">
      <c r="A6121" s="2" t="s">
        <v>8</v>
      </c>
      <c r="B6121" s="2" t="str">
        <f>HYPERLINK("http://ts.21cn.com/tousu/show/id/1336999","玖富高炮")</f>
        <v>玖富高炮</v>
      </c>
      <c r="C6121" s="2" t="s">
        <v>9</v>
      </c>
      <c r="D6121" s="2" t="s">
        <v>10</v>
      </c>
      <c r="E6121" s="2" t="str">
        <f>HYPERLINK("http://ts.21cn.com/tousu/show/id/1336999","http://ts.21cn.com/tousu/show/id/1336999")</f>
        <v>http://ts.21cn.com/tousu/show/id/1336999</v>
      </c>
      <c r="F6121" s="2" t="s">
        <v>11</v>
      </c>
      <c r="G6121" s="2" t="s">
        <v>32122</v>
      </c>
      <c r="H6121" s="2" t="s">
        <v>32123</v>
      </c>
    </row>
    <row r="6122" spans="1:8" ht="25.05" customHeight="1" x14ac:dyDescent="0.25">
      <c r="A6122" s="2" t="s">
        <v>8</v>
      </c>
      <c r="B6122" s="2" t="str">
        <f>HYPERLINK("http://ts.21cn.com/tousu/show/id/1337001","给网赌提供支付通道和传播通道。")</f>
        <v>给网赌提供支付通道和传播通道。</v>
      </c>
      <c r="C6122" s="2" t="s">
        <v>9</v>
      </c>
      <c r="D6122" s="2" t="s">
        <v>10</v>
      </c>
      <c r="E6122" s="2" t="str">
        <f>HYPERLINK("http://ts.21cn.com/tousu/show/id/1337001","http://ts.21cn.com/tousu/show/id/1337001")</f>
        <v>http://ts.21cn.com/tousu/show/id/1337001</v>
      </c>
      <c r="F6122" s="2" t="s">
        <v>11</v>
      </c>
      <c r="G6122" s="2" t="s">
        <v>32120</v>
      </c>
      <c r="H6122" s="2" t="s">
        <v>32121</v>
      </c>
    </row>
    <row r="6123" spans="1:8" ht="25.05" customHeight="1" x14ac:dyDescent="0.25">
      <c r="A6123" s="2" t="s">
        <v>8</v>
      </c>
      <c r="B6123" s="2" t="str">
        <f>HYPERLINK("http://ts.21cn.com/tousu/show/id/1336995","支付宝收款码莫名其妙被限制")</f>
        <v>支付宝收款码莫名其妙被限制</v>
      </c>
      <c r="C6123" s="2" t="s">
        <v>34</v>
      </c>
      <c r="D6123" s="2" t="s">
        <v>10</v>
      </c>
      <c r="E6123" s="2" t="str">
        <f>HYPERLINK("http://ts.21cn.com/tousu/show/id/1336995","http://ts.21cn.com/tousu/show/id/1336995")</f>
        <v>http://ts.21cn.com/tousu/show/id/1336995</v>
      </c>
      <c r="F6123" s="2" t="s">
        <v>11</v>
      </c>
      <c r="G6123" s="2" t="s">
        <v>32118</v>
      </c>
      <c r="H6123" s="2" t="s">
        <v>32119</v>
      </c>
    </row>
    <row r="6124" spans="1:8" ht="25.05" customHeight="1" x14ac:dyDescent="0.25">
      <c r="A6124" s="2" t="s">
        <v>8</v>
      </c>
      <c r="B6124" s="2" t="str">
        <f>HYPERLINK("http://ts.21cn.com/tousu/show/id/1337002","盗刷储蓄卡")</f>
        <v>盗刷储蓄卡</v>
      </c>
      <c r="C6124" s="2" t="s">
        <v>9</v>
      </c>
      <c r="D6124" s="2" t="s">
        <v>10</v>
      </c>
      <c r="E6124" s="2" t="str">
        <f>HYPERLINK("http://ts.21cn.com/tousu/show/id/1337002","http://ts.21cn.com/tousu/show/id/1337002")</f>
        <v>http://ts.21cn.com/tousu/show/id/1337002</v>
      </c>
      <c r="F6124" s="2" t="s">
        <v>11</v>
      </c>
      <c r="G6124" s="2" t="s">
        <v>32116</v>
      </c>
      <c r="H6124" s="2" t="s">
        <v>32117</v>
      </c>
    </row>
    <row r="6125" spans="1:8" ht="25.05" customHeight="1" x14ac:dyDescent="0.25">
      <c r="A6125" s="2" t="s">
        <v>8</v>
      </c>
      <c r="B6125" s="2" t="str">
        <f>HYPERLINK("http://ts.21cn.com/tousu/show/id/1337004","高利贷骚扰")</f>
        <v>高利贷骚扰</v>
      </c>
      <c r="C6125" s="2" t="s">
        <v>9</v>
      </c>
      <c r="D6125" s="2" t="s">
        <v>10</v>
      </c>
      <c r="E6125" s="2" t="str">
        <f>HYPERLINK("http://ts.21cn.com/tousu/show/id/1337004","http://ts.21cn.com/tousu/show/id/1337004")</f>
        <v>http://ts.21cn.com/tousu/show/id/1337004</v>
      </c>
      <c r="F6125" s="2" t="s">
        <v>11</v>
      </c>
      <c r="G6125" s="2" t="s">
        <v>32114</v>
      </c>
      <c r="H6125" s="2" t="s">
        <v>32115</v>
      </c>
    </row>
    <row r="6126" spans="1:8" ht="25.05" customHeight="1" x14ac:dyDescent="0.25">
      <c r="A6126" s="2" t="s">
        <v>8</v>
      </c>
      <c r="B6126" s="2" t="str">
        <f>HYPERLINK("http://ts.21cn.com/tousu/show/id/1337006","胖胖有米高利贷，暴力威胁，肆意骚扰")</f>
        <v>胖胖有米高利贷，暴力威胁，肆意骚扰</v>
      </c>
      <c r="C6126" s="2" t="s">
        <v>9</v>
      </c>
      <c r="D6126" s="2" t="s">
        <v>10</v>
      </c>
      <c r="E6126" s="2" t="str">
        <f>HYPERLINK("http://ts.21cn.com/tousu/show/id/1337006","http://ts.21cn.com/tousu/show/id/1337006")</f>
        <v>http://ts.21cn.com/tousu/show/id/1337006</v>
      </c>
      <c r="F6126" s="2" t="s">
        <v>11</v>
      </c>
      <c r="G6126" s="2" t="s">
        <v>32112</v>
      </c>
      <c r="H6126" s="2" t="s">
        <v>32113</v>
      </c>
    </row>
    <row r="6127" spans="1:8" ht="25.05" customHeight="1" x14ac:dyDescent="0.25">
      <c r="A6127" s="2" t="s">
        <v>8</v>
      </c>
      <c r="B6127" s="2" t="str">
        <f>HYPERLINK("http://ts.21cn.com/tousu/show/id/1337007","请求额度恢复可用")</f>
        <v>请求额度恢复可用</v>
      </c>
      <c r="C6127" s="2" t="s">
        <v>34</v>
      </c>
      <c r="D6127" s="2" t="s">
        <v>10</v>
      </c>
      <c r="E6127" s="2" t="str">
        <f>HYPERLINK("http://ts.21cn.com/tousu/show/id/1337007","http://ts.21cn.com/tousu/show/id/1337007")</f>
        <v>http://ts.21cn.com/tousu/show/id/1337007</v>
      </c>
      <c r="F6127" s="2" t="s">
        <v>11</v>
      </c>
      <c r="G6127" s="2" t="s">
        <v>32110</v>
      </c>
      <c r="H6127" s="2" t="s">
        <v>32111</v>
      </c>
    </row>
    <row r="6128" spans="1:8" ht="25.05" customHeight="1" x14ac:dyDescent="0.25">
      <c r="A6128" s="2" t="s">
        <v>8</v>
      </c>
      <c r="B6128" s="2" t="str">
        <f>HYPERLINK("http://ts.21cn.com/tousu/show/id/1337008","贷上钱比高利贷还高")</f>
        <v>贷上钱比高利贷还高</v>
      </c>
      <c r="C6128" s="2" t="s">
        <v>9</v>
      </c>
      <c r="D6128" s="2" t="s">
        <v>10</v>
      </c>
      <c r="E6128" s="2" t="str">
        <f>HYPERLINK("http://ts.21cn.com/tousu/show/id/1337008","http://ts.21cn.com/tousu/show/id/1337008")</f>
        <v>http://ts.21cn.com/tousu/show/id/1337008</v>
      </c>
      <c r="F6128" s="2" t="s">
        <v>11</v>
      </c>
      <c r="G6128" s="2" t="s">
        <v>32108</v>
      </c>
      <c r="H6128" s="2" t="s">
        <v>32109</v>
      </c>
    </row>
    <row r="6129" spans="1:8" ht="25.05" customHeight="1" x14ac:dyDescent="0.25">
      <c r="A6129" s="2" t="s">
        <v>8</v>
      </c>
      <c r="B6129" s="2" t="str">
        <f>HYPERLINK("http://ts.21cn.com/tousu/show/id/1337009","北京有缘网恶意扣款")</f>
        <v>北京有缘网恶意扣款</v>
      </c>
      <c r="C6129" s="2" t="s">
        <v>9</v>
      </c>
      <c r="D6129" s="2" t="s">
        <v>10</v>
      </c>
      <c r="E6129" s="2" t="str">
        <f>HYPERLINK("http://ts.21cn.com/tousu/show/id/1337009","http://ts.21cn.com/tousu/show/id/1337009")</f>
        <v>http://ts.21cn.com/tousu/show/id/1337009</v>
      </c>
      <c r="F6129" s="2" t="s">
        <v>11</v>
      </c>
      <c r="G6129" s="2" t="s">
        <v>32106</v>
      </c>
      <c r="H6129" s="2" t="s">
        <v>32107</v>
      </c>
    </row>
    <row r="6130" spans="1:8" ht="25.05" customHeight="1" x14ac:dyDescent="0.25">
      <c r="A6130" s="2" t="s">
        <v>8</v>
      </c>
      <c r="B6130" s="2" t="str">
        <f>HYPERLINK("http://ts.21cn.com/tousu/show/id/1337010","货拉拉不退保证金")</f>
        <v>货拉拉不退保证金</v>
      </c>
      <c r="C6130" s="2" t="s">
        <v>9</v>
      </c>
      <c r="D6130" s="2" t="s">
        <v>10</v>
      </c>
      <c r="E6130" s="2" t="str">
        <f>HYPERLINK("http://ts.21cn.com/tousu/show/id/1337010","http://ts.21cn.com/tousu/show/id/1337010")</f>
        <v>http://ts.21cn.com/tousu/show/id/1337010</v>
      </c>
      <c r="F6130" s="2" t="s">
        <v>11</v>
      </c>
      <c r="G6130" s="2" t="s">
        <v>32104</v>
      </c>
      <c r="H6130" s="2" t="s">
        <v>32105</v>
      </c>
    </row>
    <row r="6131" spans="1:8" ht="25.05" customHeight="1" x14ac:dyDescent="0.25">
      <c r="A6131" s="2" t="s">
        <v>8</v>
      </c>
      <c r="B6131" s="2" t="str">
        <f>HYPERLINK("http://ts.21cn.com/tousu/show/id/1337003","投诉百事普惠和通联支付联伙恶意扣款")</f>
        <v>投诉百事普惠和通联支付联伙恶意扣款</v>
      </c>
      <c r="C6131" s="2" t="s">
        <v>9</v>
      </c>
      <c r="D6131" s="2" t="s">
        <v>10</v>
      </c>
      <c r="E6131" s="2" t="str">
        <f>HYPERLINK("http://ts.21cn.com/tousu/show/id/1337003","http://ts.21cn.com/tousu/show/id/1337003")</f>
        <v>http://ts.21cn.com/tousu/show/id/1337003</v>
      </c>
      <c r="F6131" s="2" t="s">
        <v>11</v>
      </c>
      <c r="G6131" s="2" t="s">
        <v>32102</v>
      </c>
      <c r="H6131" s="2" t="s">
        <v>32103</v>
      </c>
    </row>
    <row r="6132" spans="1:8" ht="25.05" customHeight="1" x14ac:dyDescent="0.25">
      <c r="A6132" s="2" t="s">
        <v>8</v>
      </c>
      <c r="B6132" s="2" t="str">
        <f>HYPERLINK("http://ts.21cn.com/tousu/show/id/1337011","不小心买错账号退款找不到这个界面然后客服也联系不上")</f>
        <v>不小心买错账号退款找不到这个界面然后客服也联系不上</v>
      </c>
      <c r="C6132" s="2" t="s">
        <v>9</v>
      </c>
      <c r="D6132" s="2" t="s">
        <v>10</v>
      </c>
      <c r="E6132" s="2" t="str">
        <f>HYPERLINK("http://ts.21cn.com/tousu/show/id/1337011","http://ts.21cn.com/tousu/show/id/1337011")</f>
        <v>http://ts.21cn.com/tousu/show/id/1337011</v>
      </c>
      <c r="F6132" s="2" t="s">
        <v>11</v>
      </c>
      <c r="G6132" s="2" t="s">
        <v>32100</v>
      </c>
      <c r="H6132" s="2" t="s">
        <v>32101</v>
      </c>
    </row>
    <row r="6133" spans="1:8" ht="25.05" customHeight="1" x14ac:dyDescent="0.25">
      <c r="A6133" s="2" t="s">
        <v>8</v>
      </c>
      <c r="B6133" s="2" t="str">
        <f>HYPERLINK("http://ts.21cn.com/tousu/show/id/1337012","京东金融导致本人高压生活")</f>
        <v>京东金融导致本人高压生活</v>
      </c>
      <c r="C6133" s="2" t="s">
        <v>9</v>
      </c>
      <c r="D6133" s="2" t="s">
        <v>10</v>
      </c>
      <c r="E6133" s="2" t="str">
        <f>HYPERLINK("http://ts.21cn.com/tousu/show/id/1337012","http://ts.21cn.com/tousu/show/id/1337012")</f>
        <v>http://ts.21cn.com/tousu/show/id/1337012</v>
      </c>
      <c r="F6133" s="2" t="s">
        <v>11</v>
      </c>
      <c r="G6133" s="2" t="s">
        <v>32098</v>
      </c>
      <c r="H6133" s="2" t="s">
        <v>32099</v>
      </c>
    </row>
    <row r="6134" spans="1:8" ht="25.05" customHeight="1" x14ac:dyDescent="0.25">
      <c r="A6134" s="2" t="s">
        <v>8</v>
      </c>
      <c r="B6134" s="2" t="str">
        <f>HYPERLINK("http://ts.21cn.com/tousu/show/id/1337013","为非法平台提供资金结算")</f>
        <v>为非法平台提供资金结算</v>
      </c>
      <c r="C6134" s="2" t="s">
        <v>9</v>
      </c>
      <c r="D6134" s="2" t="s">
        <v>10</v>
      </c>
      <c r="E6134" s="2" t="str">
        <f>HYPERLINK("http://ts.21cn.com/tousu/show/id/1337013","http://ts.21cn.com/tousu/show/id/1337013")</f>
        <v>http://ts.21cn.com/tousu/show/id/1337013</v>
      </c>
      <c r="F6134" s="2" t="s">
        <v>11</v>
      </c>
      <c r="G6134" s="2" t="s">
        <v>32096</v>
      </c>
      <c r="H6134" s="2" t="s">
        <v>32097</v>
      </c>
    </row>
    <row r="6135" spans="1:8" ht="25.05" customHeight="1" x14ac:dyDescent="0.25">
      <c r="A6135" s="2" t="s">
        <v>8</v>
      </c>
      <c r="B6135" s="2" t="str">
        <f>HYPERLINK("http://ts.21cn.com/tousu/show/id/1337014","中金支付四川分公司盗刷银行卡")</f>
        <v>中金支付四川分公司盗刷银行卡</v>
      </c>
      <c r="C6135" s="2" t="s">
        <v>9</v>
      </c>
      <c r="D6135" s="2" t="s">
        <v>10</v>
      </c>
      <c r="E6135" s="2" t="str">
        <f>HYPERLINK("http://ts.21cn.com/tousu/show/id/1337014","http://ts.21cn.com/tousu/show/id/1337014")</f>
        <v>http://ts.21cn.com/tousu/show/id/1337014</v>
      </c>
      <c r="F6135" s="2" t="s">
        <v>11</v>
      </c>
      <c r="G6135" s="2" t="s">
        <v>32094</v>
      </c>
      <c r="H6135" s="2" t="s">
        <v>32095</v>
      </c>
    </row>
    <row r="6136" spans="1:8" ht="25.05" customHeight="1" x14ac:dyDescent="0.25">
      <c r="A6136" s="2" t="s">
        <v>8</v>
      </c>
      <c r="B6136" s="2" t="str">
        <f>HYPERLINK("http://ts.21cn.com/tousu/show/id/1337017","请求第三方支付微信支付帮我追回血汗钱")</f>
        <v>请求第三方支付微信支付帮我追回血汗钱</v>
      </c>
      <c r="C6136" s="2" t="s">
        <v>9</v>
      </c>
      <c r="D6136" s="2" t="s">
        <v>10</v>
      </c>
      <c r="E6136" s="2" t="str">
        <f>HYPERLINK("http://ts.21cn.com/tousu/show/id/1337017","http://ts.21cn.com/tousu/show/id/1337017")</f>
        <v>http://ts.21cn.com/tousu/show/id/1337017</v>
      </c>
      <c r="F6136" s="2" t="s">
        <v>11</v>
      </c>
      <c r="G6136" s="2" t="s">
        <v>32092</v>
      </c>
      <c r="H6136" s="2" t="s">
        <v>32093</v>
      </c>
    </row>
    <row r="6137" spans="1:8" ht="25.05" customHeight="1" x14ac:dyDescent="0.25">
      <c r="A6137" s="2" t="s">
        <v>8</v>
      </c>
      <c r="B6137" s="2" t="str">
        <f>HYPERLINK("http://ts.21cn.com/tousu/show/id/1337018","多米贷违规收取砍头息")</f>
        <v>多米贷违规收取砍头息</v>
      </c>
      <c r="C6137" s="2" t="s">
        <v>9</v>
      </c>
      <c r="D6137" s="2" t="s">
        <v>10</v>
      </c>
      <c r="E6137" s="2" t="str">
        <f>HYPERLINK("http://ts.21cn.com/tousu/show/id/1337018","http://ts.21cn.com/tousu/show/id/1337018")</f>
        <v>http://ts.21cn.com/tousu/show/id/1337018</v>
      </c>
      <c r="F6137" s="2" t="s">
        <v>11</v>
      </c>
      <c r="G6137" s="2" t="s">
        <v>32090</v>
      </c>
      <c r="H6137" s="2" t="s">
        <v>32091</v>
      </c>
    </row>
    <row r="6138" spans="1:8" ht="25.05" customHeight="1" x14ac:dyDescent="0.25">
      <c r="A6138" s="2" t="s">
        <v>8</v>
      </c>
      <c r="B6138" s="2" t="str">
        <f>HYPERLINK("http://ts.21cn.com/tousu/show/id/1337019","爱钱进旗下月光侠与华夏存管强制放款")</f>
        <v>爱钱进旗下月光侠与华夏存管强制放款</v>
      </c>
      <c r="C6138" s="2" t="s">
        <v>9</v>
      </c>
      <c r="D6138" s="2" t="s">
        <v>10</v>
      </c>
      <c r="E6138" s="2" t="str">
        <f>HYPERLINK("http://ts.21cn.com/tousu/show/id/1337019","http://ts.21cn.com/tousu/show/id/1337019")</f>
        <v>http://ts.21cn.com/tousu/show/id/1337019</v>
      </c>
      <c r="F6138" s="2" t="s">
        <v>11</v>
      </c>
      <c r="G6138" s="2" t="s">
        <v>32088</v>
      </c>
      <c r="H6138" s="2" t="s">
        <v>32089</v>
      </c>
    </row>
    <row r="6139" spans="1:8" ht="25.05" customHeight="1" x14ac:dyDescent="0.25">
      <c r="A6139" s="2" t="s">
        <v>8</v>
      </c>
      <c r="B6139" s="2" t="str">
        <f>HYPERLINK("http://ts.21cn.com/tousu/show/id/1337020","猫眼虚假活动无法体现")</f>
        <v>猫眼虚假活动无法体现</v>
      </c>
      <c r="C6139" s="2" t="s">
        <v>9</v>
      </c>
      <c r="D6139" s="2" t="s">
        <v>10</v>
      </c>
      <c r="E6139" s="2" t="str">
        <f>HYPERLINK("http://ts.21cn.com/tousu/show/id/1337020","http://ts.21cn.com/tousu/show/id/1337020")</f>
        <v>http://ts.21cn.com/tousu/show/id/1337020</v>
      </c>
      <c r="F6139" s="2" t="s">
        <v>11</v>
      </c>
      <c r="G6139" s="2" t="s">
        <v>32086</v>
      </c>
      <c r="H6139" s="2" t="s">
        <v>32087</v>
      </c>
    </row>
    <row r="6140" spans="1:8" ht="25.05" customHeight="1" x14ac:dyDescent="0.25">
      <c r="A6140" s="2" t="s">
        <v>8</v>
      </c>
      <c r="B6140" s="2" t="str">
        <f>HYPERLINK("http://ts.21cn.com/tousu/show/id/1337021","钱站高利贷阴阳合同")</f>
        <v>钱站高利贷阴阳合同</v>
      </c>
      <c r="C6140" s="2" t="s">
        <v>9</v>
      </c>
      <c r="D6140" s="2" t="s">
        <v>10</v>
      </c>
      <c r="E6140" s="2" t="str">
        <f>HYPERLINK("http://ts.21cn.com/tousu/show/id/1337021","http://ts.21cn.com/tousu/show/id/1337021")</f>
        <v>http://ts.21cn.com/tousu/show/id/1337021</v>
      </c>
      <c r="F6140" s="2" t="s">
        <v>11</v>
      </c>
      <c r="G6140" s="2" t="s">
        <v>32084</v>
      </c>
      <c r="H6140" s="2" t="s">
        <v>32085</v>
      </c>
    </row>
    <row r="6141" spans="1:8" ht="25.05" customHeight="1" x14ac:dyDescent="0.25">
      <c r="A6141" s="2" t="s">
        <v>8</v>
      </c>
      <c r="B6141" s="2" t="str">
        <f>HYPERLINK("http://ts.21cn.com/tousu/show/id/1337022","支付宝为高利贷提供清算服务")</f>
        <v>支付宝为高利贷提供清算服务</v>
      </c>
      <c r="C6141" s="2" t="s">
        <v>9</v>
      </c>
      <c r="D6141" s="2" t="s">
        <v>10</v>
      </c>
      <c r="E6141" s="2" t="str">
        <f>HYPERLINK("http://ts.21cn.com/tousu/show/id/1337022","http://ts.21cn.com/tousu/show/id/1337022")</f>
        <v>http://ts.21cn.com/tousu/show/id/1337022</v>
      </c>
      <c r="F6141" s="2" t="s">
        <v>11</v>
      </c>
      <c r="G6141" s="2" t="s">
        <v>32082</v>
      </c>
      <c r="H6141" s="2" t="s">
        <v>32083</v>
      </c>
    </row>
    <row r="6142" spans="1:8" ht="25.05" customHeight="1" x14ac:dyDescent="0.25">
      <c r="A6142" s="2" t="s">
        <v>8</v>
      </c>
      <c r="B6142" s="2" t="str">
        <f>HYPERLINK("http://ts.21cn.com/tousu/show/id/1337023","gofun出行拖延解决颠覆的拖车费用，不按实际数目返还，且不给予提现，只能用于平台使用")</f>
        <v>gofun出行拖延解决颠覆的拖车费用，不按实际数目返还，且不给予提现，只能用于平台使用</v>
      </c>
      <c r="C6142" s="2" t="s">
        <v>9</v>
      </c>
      <c r="D6142" s="2" t="s">
        <v>10</v>
      </c>
      <c r="E6142" s="2" t="str">
        <f>HYPERLINK("http://ts.21cn.com/tousu/show/id/1337023","http://ts.21cn.com/tousu/show/id/1337023")</f>
        <v>http://ts.21cn.com/tousu/show/id/1337023</v>
      </c>
      <c r="F6142" s="2" t="s">
        <v>11</v>
      </c>
      <c r="G6142" s="2" t="s">
        <v>32080</v>
      </c>
      <c r="H6142" s="2" t="s">
        <v>32081</v>
      </c>
    </row>
    <row r="6143" spans="1:8" ht="25.05" customHeight="1" x14ac:dyDescent="0.25">
      <c r="A6143" s="2" t="s">
        <v>8</v>
      </c>
      <c r="B6143" s="2" t="str">
        <f>HYPERLINK("http://ts.21cn.com/tousu/show/id/1337025","欺诈")</f>
        <v>欺诈</v>
      </c>
      <c r="C6143" s="2" t="s">
        <v>9</v>
      </c>
      <c r="D6143" s="2" t="s">
        <v>10</v>
      </c>
      <c r="E6143" s="2" t="str">
        <f>HYPERLINK("http://ts.21cn.com/tousu/show/id/1337025","http://ts.21cn.com/tousu/show/id/1337025")</f>
        <v>http://ts.21cn.com/tousu/show/id/1337025</v>
      </c>
      <c r="F6143" s="2" t="s">
        <v>11</v>
      </c>
      <c r="G6143" s="2" t="s">
        <v>32078</v>
      </c>
      <c r="H6143" s="2" t="s">
        <v>32079</v>
      </c>
    </row>
    <row r="6144" spans="1:8" ht="25.05" customHeight="1" x14ac:dyDescent="0.25">
      <c r="A6144" s="2" t="s">
        <v>8</v>
      </c>
      <c r="B6144" s="2" t="str">
        <f>HYPERLINK("http://ts.21cn.com/tousu/show/id/1337026","非法提供赌博支付通道")</f>
        <v>非法提供赌博支付通道</v>
      </c>
      <c r="C6144" s="2" t="s">
        <v>9</v>
      </c>
      <c r="D6144" s="2" t="s">
        <v>10</v>
      </c>
      <c r="E6144" s="2" t="str">
        <f>HYPERLINK("http://ts.21cn.com/tousu/show/id/1337026","http://ts.21cn.com/tousu/show/id/1337026")</f>
        <v>http://ts.21cn.com/tousu/show/id/1337026</v>
      </c>
      <c r="F6144" s="2" t="s">
        <v>11</v>
      </c>
      <c r="G6144" s="2" t="s">
        <v>32076</v>
      </c>
      <c r="H6144" s="2" t="s">
        <v>32077</v>
      </c>
    </row>
    <row r="6145" spans="1:8" ht="25.05" customHeight="1" x14ac:dyDescent="0.25">
      <c r="A6145" s="2" t="s">
        <v>8</v>
      </c>
      <c r="B6145" s="2" t="str">
        <f>HYPERLINK("http://ts.21cn.com/tousu/show/id/1337027","滴滴出行真不想说你！")</f>
        <v>滴滴出行真不想说你！</v>
      </c>
      <c r="C6145" s="2" t="s">
        <v>34</v>
      </c>
      <c r="D6145" s="2" t="s">
        <v>10</v>
      </c>
      <c r="E6145" s="2" t="str">
        <f>HYPERLINK("http://ts.21cn.com/tousu/show/id/1337027","http://ts.21cn.com/tousu/show/id/1337027")</f>
        <v>http://ts.21cn.com/tousu/show/id/1337027</v>
      </c>
      <c r="F6145" s="2" t="s">
        <v>11</v>
      </c>
      <c r="G6145" s="2" t="s">
        <v>32074</v>
      </c>
      <c r="H6145" s="2" t="s">
        <v>32075</v>
      </c>
    </row>
    <row r="6146" spans="1:8" ht="25.05" customHeight="1" x14ac:dyDescent="0.25">
      <c r="A6146" s="2" t="s">
        <v>8</v>
      </c>
      <c r="B6146" s="2" t="str">
        <f>HYPERLINK("http://ts.21cn.com/tousu/show/id/1337029","唯品会恶意拖延客户还款造成利滚利")</f>
        <v>唯品会恶意拖延客户还款造成利滚利</v>
      </c>
      <c r="C6146" s="2" t="s">
        <v>9</v>
      </c>
      <c r="D6146" s="2" t="s">
        <v>10</v>
      </c>
      <c r="E6146" s="2" t="str">
        <f>HYPERLINK("http://ts.21cn.com/tousu/show/id/1337029","http://ts.21cn.com/tousu/show/id/1337029")</f>
        <v>http://ts.21cn.com/tousu/show/id/1337029</v>
      </c>
      <c r="F6146" s="2" t="s">
        <v>11</v>
      </c>
      <c r="G6146" s="2" t="s">
        <v>32072</v>
      </c>
      <c r="H6146" s="2" t="s">
        <v>32073</v>
      </c>
    </row>
    <row r="6147" spans="1:8" ht="25.05" customHeight="1" x14ac:dyDescent="0.25">
      <c r="A6147" s="2" t="s">
        <v>8</v>
      </c>
      <c r="B6147" s="2" t="str">
        <f>HYPERLINK("http://ts.21cn.com/tousu/show/id/1337030","高利贷肥猫应急")</f>
        <v>高利贷肥猫应急</v>
      </c>
      <c r="C6147" s="2" t="s">
        <v>9</v>
      </c>
      <c r="D6147" s="2" t="s">
        <v>10</v>
      </c>
      <c r="E6147" s="2" t="str">
        <f>HYPERLINK("http://ts.21cn.com/tousu/show/id/1337030","http://ts.21cn.com/tousu/show/id/1337030")</f>
        <v>http://ts.21cn.com/tousu/show/id/1337030</v>
      </c>
      <c r="F6147" s="2" t="s">
        <v>11</v>
      </c>
      <c r="G6147" s="2" t="s">
        <v>32070</v>
      </c>
      <c r="H6147" s="2" t="s">
        <v>32071</v>
      </c>
    </row>
    <row r="6148" spans="1:8" ht="25.05" customHeight="1" x14ac:dyDescent="0.25">
      <c r="A6148" s="2" t="s">
        <v>8</v>
      </c>
      <c r="B6148" s="2" t="str">
        <f>HYPERLINK("http://ts.21cn.com/tousu/show/id/1337031","被网贷平台恶意扣钱")</f>
        <v>被网贷平台恶意扣钱</v>
      </c>
      <c r="C6148" s="2" t="s">
        <v>9</v>
      </c>
      <c r="D6148" s="2" t="s">
        <v>10</v>
      </c>
      <c r="E6148" s="2" t="str">
        <f>HYPERLINK("http://ts.21cn.com/tousu/show/id/1337031","http://ts.21cn.com/tousu/show/id/1337031")</f>
        <v>http://ts.21cn.com/tousu/show/id/1337031</v>
      </c>
      <c r="F6148" s="2" t="s">
        <v>11</v>
      </c>
      <c r="G6148" s="2" t="s">
        <v>32068</v>
      </c>
      <c r="H6148" s="2" t="s">
        <v>32069</v>
      </c>
    </row>
    <row r="6149" spans="1:8" ht="25.05" customHeight="1" x14ac:dyDescent="0.25">
      <c r="A6149" s="2" t="s">
        <v>8</v>
      </c>
      <c r="B6149" s="2" t="str">
        <f>HYPERLINK("http://ts.21cn.com/tousu/show/id/1337032","借贷宝纵容高利贷")</f>
        <v>借贷宝纵容高利贷</v>
      </c>
      <c r="C6149" s="2" t="s">
        <v>9</v>
      </c>
      <c r="D6149" s="2" t="s">
        <v>10</v>
      </c>
      <c r="E6149" s="2" t="str">
        <f>HYPERLINK("http://ts.21cn.com/tousu/show/id/1337032","http://ts.21cn.com/tousu/show/id/1337032")</f>
        <v>http://ts.21cn.com/tousu/show/id/1337032</v>
      </c>
      <c r="F6149" s="2" t="s">
        <v>11</v>
      </c>
      <c r="G6149" s="2" t="s">
        <v>32067</v>
      </c>
      <c r="H6149" s="2" t="s">
        <v>20202</v>
      </c>
    </row>
    <row r="6150" spans="1:8" ht="25.05" customHeight="1" x14ac:dyDescent="0.25">
      <c r="A6150" s="2" t="s">
        <v>8</v>
      </c>
      <c r="B6150" s="2" t="str">
        <f>HYPERLINK("http://ts.21cn.com/tousu/show/id/1337034","蚂蚁分期信用贷")</f>
        <v>蚂蚁分期信用贷</v>
      </c>
      <c r="C6150" s="2" t="s">
        <v>9</v>
      </c>
      <c r="D6150" s="2" t="s">
        <v>10</v>
      </c>
      <c r="E6150" s="2" t="str">
        <f>HYPERLINK("http://ts.21cn.com/tousu/show/id/1337034","http://ts.21cn.com/tousu/show/id/1337034")</f>
        <v>http://ts.21cn.com/tousu/show/id/1337034</v>
      </c>
      <c r="F6150" s="2" t="s">
        <v>11</v>
      </c>
      <c r="G6150" s="2" t="s">
        <v>32065</v>
      </c>
      <c r="H6150" s="2" t="s">
        <v>32066</v>
      </c>
    </row>
    <row r="6151" spans="1:8" ht="25.05" customHeight="1" x14ac:dyDescent="0.25">
      <c r="A6151" s="2" t="s">
        <v>8</v>
      </c>
      <c r="B6151" s="2" t="str">
        <f>HYPERLINK("http://ts.21cn.com/tousu/show/id/1337035","单子都派给新优享了")</f>
        <v>单子都派给新优享了</v>
      </c>
      <c r="C6151" s="2" t="s">
        <v>34</v>
      </c>
      <c r="D6151" s="2" t="s">
        <v>10</v>
      </c>
      <c r="E6151" s="2" t="str">
        <f>HYPERLINK("http://ts.21cn.com/tousu/show/id/1337035","http://ts.21cn.com/tousu/show/id/1337035")</f>
        <v>http://ts.21cn.com/tousu/show/id/1337035</v>
      </c>
      <c r="F6151" s="2" t="s">
        <v>11</v>
      </c>
      <c r="G6151" s="2" t="s">
        <v>32063</v>
      </c>
      <c r="H6151" s="2" t="s">
        <v>32064</v>
      </c>
    </row>
    <row r="6152" spans="1:8" ht="25.05" customHeight="1" x14ac:dyDescent="0.25">
      <c r="A6152" s="2" t="s">
        <v>8</v>
      </c>
      <c r="B6152" s="2" t="str">
        <f>HYPERLINK("http://ts.21cn.com/tousu/show/id/1337036","拍拍贷无法还款导致逾期1天")</f>
        <v>拍拍贷无法还款导致逾期1天</v>
      </c>
      <c r="C6152" s="2" t="s">
        <v>9</v>
      </c>
      <c r="D6152" s="2" t="s">
        <v>10</v>
      </c>
      <c r="E6152" s="2" t="str">
        <f>HYPERLINK("http://ts.21cn.com/tousu/show/id/1337036","http://ts.21cn.com/tousu/show/id/1337036")</f>
        <v>http://ts.21cn.com/tousu/show/id/1337036</v>
      </c>
      <c r="F6152" s="2" t="s">
        <v>11</v>
      </c>
      <c r="G6152" s="2" t="s">
        <v>32061</v>
      </c>
      <c r="H6152" s="2" t="s">
        <v>32062</v>
      </c>
    </row>
    <row r="6153" spans="1:8" ht="25.05" customHeight="1" x14ac:dyDescent="0.25">
      <c r="A6153" s="2" t="s">
        <v>8</v>
      </c>
      <c r="B6153" s="2" t="str">
        <f>HYPERLINK("http://ts.21cn.com/tousu/show/id/1337038","本人要投诉得仕股份，瀚银，航天电子。")</f>
        <v>本人要投诉得仕股份，瀚银，航天电子。</v>
      </c>
      <c r="C6153" s="2" t="s">
        <v>9</v>
      </c>
      <c r="D6153" s="2" t="s">
        <v>10</v>
      </c>
      <c r="E6153" s="2" t="str">
        <f>HYPERLINK("http://ts.21cn.com/tousu/show/id/1337038","http://ts.21cn.com/tousu/show/id/1337038")</f>
        <v>http://ts.21cn.com/tousu/show/id/1337038</v>
      </c>
      <c r="F6153" s="2" t="s">
        <v>11</v>
      </c>
      <c r="G6153" s="2" t="s">
        <v>32059</v>
      </c>
      <c r="H6153" s="2" t="s">
        <v>32060</v>
      </c>
    </row>
    <row r="6154" spans="1:8" ht="25.05" customHeight="1" x14ac:dyDescent="0.25">
      <c r="A6154" s="2" t="s">
        <v>8</v>
      </c>
      <c r="B6154" s="2" t="str">
        <f>HYPERLINK("http://ts.21cn.com/tousu/show/id/1337041","唯品会突然停用唯品花")</f>
        <v>唯品会突然停用唯品花</v>
      </c>
      <c r="C6154" s="2" t="s">
        <v>34</v>
      </c>
      <c r="D6154" s="2" t="s">
        <v>10</v>
      </c>
      <c r="E6154" s="2" t="str">
        <f>HYPERLINK("http://ts.21cn.com/tousu/show/id/1337041","http://ts.21cn.com/tousu/show/id/1337041")</f>
        <v>http://ts.21cn.com/tousu/show/id/1337041</v>
      </c>
      <c r="F6154" s="2" t="s">
        <v>11</v>
      </c>
      <c r="G6154" s="2" t="s">
        <v>32057</v>
      </c>
      <c r="H6154" s="2" t="s">
        <v>32058</v>
      </c>
    </row>
    <row r="6155" spans="1:8" ht="25.05" customHeight="1" x14ac:dyDescent="0.25">
      <c r="A6155" s="2" t="s">
        <v>8</v>
      </c>
      <c r="B6155" s="2" t="str">
        <f>HYPERLINK("http://ts.21cn.com/tousu/show/id/1337040","亚博体育APP传播网络赌博。害了许多人。")</f>
        <v>亚博体育APP传播网络赌博。害了许多人。</v>
      </c>
      <c r="C6155" s="2" t="s">
        <v>9</v>
      </c>
      <c r="D6155" s="2" t="s">
        <v>10</v>
      </c>
      <c r="E6155" s="2" t="str">
        <f>HYPERLINK("http://ts.21cn.com/tousu/show/id/1337040","http://ts.21cn.com/tousu/show/id/1337040")</f>
        <v>http://ts.21cn.com/tousu/show/id/1337040</v>
      </c>
      <c r="F6155" s="2" t="s">
        <v>11</v>
      </c>
      <c r="G6155" s="2" t="s">
        <v>32055</v>
      </c>
      <c r="H6155" s="2" t="s">
        <v>32056</v>
      </c>
    </row>
    <row r="6156" spans="1:8" ht="25.05" customHeight="1" x14ac:dyDescent="0.25">
      <c r="A6156" s="2" t="s">
        <v>8</v>
      </c>
      <c r="B6156" s="2" t="str">
        <f>HYPERLINK("http://ts.21cn.com/tousu/show/id/1337042","威胁恐吓")</f>
        <v>威胁恐吓</v>
      </c>
      <c r="C6156" s="2" t="s">
        <v>9</v>
      </c>
      <c r="D6156" s="2" t="s">
        <v>10</v>
      </c>
      <c r="E6156" s="2" t="str">
        <f>HYPERLINK("http://ts.21cn.com/tousu/show/id/1337042","http://ts.21cn.com/tousu/show/id/1337042")</f>
        <v>http://ts.21cn.com/tousu/show/id/1337042</v>
      </c>
      <c r="F6156" s="2" t="s">
        <v>11</v>
      </c>
      <c r="G6156" s="2" t="s">
        <v>32053</v>
      </c>
      <c r="H6156" s="2" t="s">
        <v>32054</v>
      </c>
    </row>
    <row r="6157" spans="1:8" ht="25.05" customHeight="1" x14ac:dyDescent="0.25">
      <c r="A6157" s="2" t="s">
        <v>8</v>
      </c>
      <c r="B6157" s="2" t="str">
        <f>HYPERLINK("http://ts.21cn.com/tousu/show/id/1337043","爱农驿站为境外赌博平台提供第三方支付")</f>
        <v>爱农驿站为境外赌博平台提供第三方支付</v>
      </c>
      <c r="C6157" s="2" t="s">
        <v>9</v>
      </c>
      <c r="D6157" s="2" t="s">
        <v>10</v>
      </c>
      <c r="E6157" s="2" t="str">
        <f>HYPERLINK("http://ts.21cn.com/tousu/show/id/1337043","http://ts.21cn.com/tousu/show/id/1337043")</f>
        <v>http://ts.21cn.com/tousu/show/id/1337043</v>
      </c>
      <c r="F6157" s="2" t="s">
        <v>11</v>
      </c>
      <c r="G6157" s="2" t="s">
        <v>32051</v>
      </c>
      <c r="H6157" s="2" t="s">
        <v>32052</v>
      </c>
    </row>
    <row r="6158" spans="1:8" ht="25.05" customHeight="1" x14ac:dyDescent="0.25">
      <c r="A6158" s="2" t="s">
        <v>8</v>
      </c>
      <c r="B6158" s="2" t="str">
        <f>HYPERLINK("http://ts.21cn.com/tousu/show/id/1337044","豆豆钱砍头息，高利贷，无法提前结清")</f>
        <v>豆豆钱砍头息，高利贷，无法提前结清</v>
      </c>
      <c r="C6158" s="2" t="s">
        <v>9</v>
      </c>
      <c r="D6158" s="2" t="s">
        <v>10</v>
      </c>
      <c r="E6158" s="2" t="str">
        <f>HYPERLINK("http://ts.21cn.com/tousu/show/id/1337044","http://ts.21cn.com/tousu/show/id/1337044")</f>
        <v>http://ts.21cn.com/tousu/show/id/1337044</v>
      </c>
      <c r="F6158" s="2" t="s">
        <v>11</v>
      </c>
      <c r="G6158" s="2" t="s">
        <v>32049</v>
      </c>
      <c r="H6158" s="2" t="s">
        <v>32050</v>
      </c>
    </row>
    <row r="6159" spans="1:8" ht="25.05" customHeight="1" x14ac:dyDescent="0.25">
      <c r="A6159" s="2" t="s">
        <v>8</v>
      </c>
      <c r="B6159" s="2" t="str">
        <f>HYPERLINK("http://ts.21cn.com/tousu/show/id/1337045","南京玉恒商业管理有限公司疑似跑路")</f>
        <v>南京玉恒商业管理有限公司疑似跑路</v>
      </c>
      <c r="C6159" s="2" t="s">
        <v>9</v>
      </c>
      <c r="D6159" s="2" t="s">
        <v>10</v>
      </c>
      <c r="E6159" s="2" t="str">
        <f>HYPERLINK("http://ts.21cn.com/tousu/show/id/1337045","http://ts.21cn.com/tousu/show/id/1337045")</f>
        <v>http://ts.21cn.com/tousu/show/id/1337045</v>
      </c>
      <c r="F6159" s="2" t="s">
        <v>11</v>
      </c>
      <c r="G6159" s="2" t="s">
        <v>32047</v>
      </c>
      <c r="H6159" s="2" t="s">
        <v>32048</v>
      </c>
    </row>
    <row r="6160" spans="1:8" ht="25.05" customHeight="1" x14ac:dyDescent="0.25">
      <c r="A6160" s="2" t="s">
        <v>8</v>
      </c>
      <c r="B6160" s="2" t="str">
        <f>HYPERLINK("http://ts.21cn.com/tousu/show/id/1337046","同程旅游网上订票不支持退票，订票过程没有任何提示不能退票")</f>
        <v>同程旅游网上订票不支持退票，订票过程没有任何提示不能退票</v>
      </c>
      <c r="C6160" s="2" t="s">
        <v>9</v>
      </c>
      <c r="D6160" s="2" t="s">
        <v>10</v>
      </c>
      <c r="E6160" s="2" t="str">
        <f>HYPERLINK("http://ts.21cn.com/tousu/show/id/1337046","http://ts.21cn.com/tousu/show/id/1337046")</f>
        <v>http://ts.21cn.com/tousu/show/id/1337046</v>
      </c>
      <c r="F6160" s="2" t="s">
        <v>11</v>
      </c>
      <c r="G6160" s="2" t="s">
        <v>32045</v>
      </c>
      <c r="H6160" s="2" t="s">
        <v>32046</v>
      </c>
    </row>
    <row r="6161" spans="1:8" ht="25.05" customHeight="1" x14ac:dyDescent="0.25">
      <c r="A6161" s="2" t="s">
        <v>8</v>
      </c>
      <c r="B6161" s="2" t="str">
        <f>HYPERLINK("http://ts.21cn.com/tousu/show/id/1337047","凌晨一点多收到无辜收到扣款信息")</f>
        <v>凌晨一点多收到无辜收到扣款信息</v>
      </c>
      <c r="C6161" s="2" t="s">
        <v>34</v>
      </c>
      <c r="D6161" s="2" t="s">
        <v>10</v>
      </c>
      <c r="E6161" s="2" t="str">
        <f>HYPERLINK("http://ts.21cn.com/tousu/show/id/1337047","http://ts.21cn.com/tousu/show/id/1337047")</f>
        <v>http://ts.21cn.com/tousu/show/id/1337047</v>
      </c>
      <c r="F6161" s="2" t="s">
        <v>11</v>
      </c>
      <c r="G6161" s="2" t="s">
        <v>32043</v>
      </c>
      <c r="H6161" s="2" t="s">
        <v>32044</v>
      </c>
    </row>
    <row r="6162" spans="1:8" ht="25.05" customHeight="1" x14ac:dyDescent="0.25">
      <c r="A6162" s="2" t="s">
        <v>8</v>
      </c>
      <c r="B6162" s="2" t="str">
        <f>HYPERLINK("http://ts.21cn.com/tousu/show/id/1337049","滴滴出行不给派单")</f>
        <v>滴滴出行不给派单</v>
      </c>
      <c r="C6162" s="2" t="s">
        <v>9</v>
      </c>
      <c r="D6162" s="2" t="s">
        <v>10</v>
      </c>
      <c r="E6162" s="2" t="str">
        <f>HYPERLINK("http://ts.21cn.com/tousu/show/id/1337049","http://ts.21cn.com/tousu/show/id/1337049")</f>
        <v>http://ts.21cn.com/tousu/show/id/1337049</v>
      </c>
      <c r="F6162" s="2" t="s">
        <v>11</v>
      </c>
      <c r="G6162" s="2" t="s">
        <v>32041</v>
      </c>
      <c r="H6162" s="2" t="s">
        <v>32042</v>
      </c>
    </row>
    <row r="6163" spans="1:8" ht="25.05" customHeight="1" x14ac:dyDescent="0.25">
      <c r="A6163" s="2" t="s">
        <v>8</v>
      </c>
      <c r="B6163" s="2" t="str">
        <f>HYPERLINK("http://ts.21cn.com/tousu/show/id/1337048","高额收取逾期管理费")</f>
        <v>高额收取逾期管理费</v>
      </c>
      <c r="C6163" s="2" t="s">
        <v>9</v>
      </c>
      <c r="D6163" s="2" t="s">
        <v>10</v>
      </c>
      <c r="E6163" s="2" t="str">
        <f>HYPERLINK("http://ts.21cn.com/tousu/show/id/1337048","http://ts.21cn.com/tousu/show/id/1337048")</f>
        <v>http://ts.21cn.com/tousu/show/id/1337048</v>
      </c>
      <c r="F6163" s="2" t="s">
        <v>11</v>
      </c>
      <c r="G6163" s="2" t="s">
        <v>32039</v>
      </c>
      <c r="H6163" s="2" t="s">
        <v>32040</v>
      </c>
    </row>
    <row r="6164" spans="1:8" ht="25.05" customHeight="1" x14ac:dyDescent="0.25">
      <c r="A6164" s="2" t="s">
        <v>8</v>
      </c>
      <c r="B6164" s="2" t="str">
        <f>HYPERLINK("http://ts.21cn.com/tousu/show/id/1337050","未经个人允许扣除299元")</f>
        <v>未经个人允许扣除299元</v>
      </c>
      <c r="C6164" s="2" t="s">
        <v>34</v>
      </c>
      <c r="D6164" s="2" t="s">
        <v>10</v>
      </c>
      <c r="E6164" s="2" t="str">
        <f>HYPERLINK("http://ts.21cn.com/tousu/show/id/1337050","http://ts.21cn.com/tousu/show/id/1337050")</f>
        <v>http://ts.21cn.com/tousu/show/id/1337050</v>
      </c>
      <c r="F6164" s="2" t="s">
        <v>11</v>
      </c>
      <c r="G6164" s="2" t="s">
        <v>32037</v>
      </c>
      <c r="H6164" s="2" t="s">
        <v>32038</v>
      </c>
    </row>
    <row r="6165" spans="1:8" ht="25.05" customHeight="1" x14ac:dyDescent="0.25">
      <c r="A6165" s="2" t="s">
        <v>8</v>
      </c>
      <c r="B6165" s="2" t="str">
        <f>HYPERLINK("http://ts.21cn.com/tousu/show/id/1337052","工商银行乱扣款")</f>
        <v>工商银行乱扣款</v>
      </c>
      <c r="C6165" s="2" t="s">
        <v>9</v>
      </c>
      <c r="D6165" s="2" t="s">
        <v>10</v>
      </c>
      <c r="E6165" s="2" t="str">
        <f>HYPERLINK("http://ts.21cn.com/tousu/show/id/1337052","http://ts.21cn.com/tousu/show/id/1337052")</f>
        <v>http://ts.21cn.com/tousu/show/id/1337052</v>
      </c>
      <c r="F6165" s="2" t="s">
        <v>11</v>
      </c>
      <c r="G6165" s="2" t="s">
        <v>32035</v>
      </c>
      <c r="H6165" s="2" t="s">
        <v>32036</v>
      </c>
    </row>
    <row r="6166" spans="1:8" ht="25.05" customHeight="1" x14ac:dyDescent="0.25">
      <c r="A6166" s="2" t="s">
        <v>8</v>
      </c>
      <c r="B6166" s="2" t="str">
        <f>HYPERLINK("http://ts.21cn.com/tousu/show/id/1337053","联动云收费不透明，消费者没有知情权")</f>
        <v>联动云收费不透明，消费者没有知情权</v>
      </c>
      <c r="C6166" s="2" t="s">
        <v>9</v>
      </c>
      <c r="D6166" s="2" t="s">
        <v>10</v>
      </c>
      <c r="E6166" s="2" t="str">
        <f>HYPERLINK("http://ts.21cn.com/tousu/show/id/1337053","http://ts.21cn.com/tousu/show/id/1337053")</f>
        <v>http://ts.21cn.com/tousu/show/id/1337053</v>
      </c>
      <c r="F6166" s="2" t="s">
        <v>11</v>
      </c>
      <c r="G6166" s="2" t="s">
        <v>32033</v>
      </c>
      <c r="H6166" s="2" t="s">
        <v>32034</v>
      </c>
    </row>
    <row r="6167" spans="1:8" ht="25.05" customHeight="1" x14ac:dyDescent="0.25">
      <c r="A6167" s="2" t="s">
        <v>8</v>
      </c>
      <c r="B6167" s="2" t="str">
        <f>HYPERLINK("http://ts.21cn.com/tousu/show/id/1337054","百事普惠恶意扣款")</f>
        <v>百事普惠恶意扣款</v>
      </c>
      <c r="C6167" s="2" t="s">
        <v>9</v>
      </c>
      <c r="D6167" s="2" t="s">
        <v>10</v>
      </c>
      <c r="E6167" s="2" t="str">
        <f>HYPERLINK("http://ts.21cn.com/tousu/show/id/1337054","http://ts.21cn.com/tousu/show/id/1337054")</f>
        <v>http://ts.21cn.com/tousu/show/id/1337054</v>
      </c>
      <c r="F6167" s="2" t="s">
        <v>11</v>
      </c>
      <c r="G6167" s="2" t="s">
        <v>32031</v>
      </c>
      <c r="H6167" s="2" t="s">
        <v>32032</v>
      </c>
    </row>
    <row r="6168" spans="1:8" ht="25.05" customHeight="1" x14ac:dyDescent="0.25">
      <c r="A6168" s="2" t="s">
        <v>8</v>
      </c>
      <c r="B6168" s="2" t="str">
        <f>HYPERLINK("http://ts.21cn.com/tousu/show/id/1337055","砍头息，私自改合同")</f>
        <v>砍头息，私自改合同</v>
      </c>
      <c r="C6168" s="2" t="s">
        <v>9</v>
      </c>
      <c r="D6168" s="2" t="s">
        <v>10</v>
      </c>
      <c r="E6168" s="2" t="str">
        <f>HYPERLINK("http://ts.21cn.com/tousu/show/id/1337055","http://ts.21cn.com/tousu/show/id/1337055")</f>
        <v>http://ts.21cn.com/tousu/show/id/1337055</v>
      </c>
      <c r="F6168" s="2" t="s">
        <v>11</v>
      </c>
      <c r="G6168" s="2" t="s">
        <v>32029</v>
      </c>
      <c r="H6168" s="2" t="s">
        <v>32030</v>
      </c>
    </row>
    <row r="6169" spans="1:8" ht="25.05" customHeight="1" x14ac:dyDescent="0.25">
      <c r="A6169" s="2" t="s">
        <v>8</v>
      </c>
      <c r="B6169" s="2" t="str">
        <f>HYPERLINK("http://ts.21cn.com/tousu/show/id/1337056","小花钱包平台利用个人信息进行威胁")</f>
        <v>小花钱包平台利用个人信息进行威胁</v>
      </c>
      <c r="C6169" s="2" t="s">
        <v>9</v>
      </c>
      <c r="D6169" s="2" t="s">
        <v>10</v>
      </c>
      <c r="E6169" s="2" t="str">
        <f>HYPERLINK("http://ts.21cn.com/tousu/show/id/1337056","http://ts.21cn.com/tousu/show/id/1337056")</f>
        <v>http://ts.21cn.com/tousu/show/id/1337056</v>
      </c>
      <c r="F6169" s="2" t="s">
        <v>11</v>
      </c>
      <c r="G6169" s="2" t="s">
        <v>32027</v>
      </c>
      <c r="H6169" s="2" t="s">
        <v>32028</v>
      </c>
    </row>
    <row r="6170" spans="1:8" ht="25.05" customHeight="1" x14ac:dyDescent="0.25">
      <c r="A6170" s="2" t="s">
        <v>8</v>
      </c>
      <c r="B6170" s="2" t="str">
        <f>HYPERLINK("http://ts.21cn.com/tousu/show/id/1337057","菜鸟有钱暴力催收")</f>
        <v>菜鸟有钱暴力催收</v>
      </c>
      <c r="C6170" s="2" t="s">
        <v>9</v>
      </c>
      <c r="D6170" s="2" t="s">
        <v>10</v>
      </c>
      <c r="E6170" s="2" t="str">
        <f>HYPERLINK("http://ts.21cn.com/tousu/show/id/1337057","http://ts.21cn.com/tousu/show/id/1337057")</f>
        <v>http://ts.21cn.com/tousu/show/id/1337057</v>
      </c>
      <c r="F6170" s="2" t="s">
        <v>11</v>
      </c>
      <c r="G6170" s="2" t="s">
        <v>32025</v>
      </c>
      <c r="H6170" s="2" t="s">
        <v>32026</v>
      </c>
    </row>
    <row r="6171" spans="1:8" ht="25.05" customHeight="1" x14ac:dyDescent="0.25">
      <c r="A6171" s="2" t="s">
        <v>8</v>
      </c>
      <c r="B6171" s="2" t="str">
        <f>HYPERLINK("http://ts.21cn.com/tousu/show/id/1337058","贷上钱以买游戏豆为由收取高额贷款通过费")</f>
        <v>贷上钱以买游戏豆为由收取高额贷款通过费</v>
      </c>
      <c r="C6171" s="2" t="s">
        <v>9</v>
      </c>
      <c r="D6171" s="2" t="s">
        <v>10</v>
      </c>
      <c r="E6171" s="2" t="str">
        <f>HYPERLINK("http://ts.21cn.com/tousu/show/id/1337058","http://ts.21cn.com/tousu/show/id/1337058")</f>
        <v>http://ts.21cn.com/tousu/show/id/1337058</v>
      </c>
      <c r="F6171" s="2" t="s">
        <v>11</v>
      </c>
      <c r="G6171" s="2" t="s">
        <v>32023</v>
      </c>
      <c r="H6171" s="2" t="s">
        <v>32024</v>
      </c>
    </row>
    <row r="6172" spans="1:8" ht="25.05" customHeight="1" x14ac:dyDescent="0.25">
      <c r="A6172" s="2" t="s">
        <v>8</v>
      </c>
      <c r="B6172" s="2" t="str">
        <f>HYPERLINK("http://ts.21cn.com/tousu/show/id/1337059","私自扣我银行卡的钱")</f>
        <v>私自扣我银行卡的钱</v>
      </c>
      <c r="C6172" s="2" t="s">
        <v>9</v>
      </c>
      <c r="D6172" s="2" t="s">
        <v>10</v>
      </c>
      <c r="E6172" s="2" t="str">
        <f>HYPERLINK("http://ts.21cn.com/tousu/show/id/1337059","http://ts.21cn.com/tousu/show/id/1337059")</f>
        <v>http://ts.21cn.com/tousu/show/id/1337059</v>
      </c>
      <c r="F6172" s="2" t="s">
        <v>11</v>
      </c>
      <c r="G6172" s="2" t="s">
        <v>32021</v>
      </c>
      <c r="H6172" s="2" t="s">
        <v>32022</v>
      </c>
    </row>
    <row r="6173" spans="1:8" ht="25.05" customHeight="1" x14ac:dyDescent="0.25">
      <c r="A6173" s="2" t="s">
        <v>8</v>
      </c>
      <c r="B6173" s="2" t="str">
        <f>HYPERLINK("http://ts.21cn.com/tousu/show/id/1337060","小浦优客在我本人不知道的情况下扣了我296")</f>
        <v>小浦优客在我本人不知道的情况下扣了我296</v>
      </c>
      <c r="C6173" s="2" t="s">
        <v>9</v>
      </c>
      <c r="D6173" s="2" t="s">
        <v>10</v>
      </c>
      <c r="E6173" s="2" t="str">
        <f>HYPERLINK("http://ts.21cn.com/tousu/show/id/1337060","http://ts.21cn.com/tousu/show/id/1337060")</f>
        <v>http://ts.21cn.com/tousu/show/id/1337060</v>
      </c>
      <c r="F6173" s="2" t="s">
        <v>11</v>
      </c>
      <c r="G6173" s="2" t="s">
        <v>32019</v>
      </c>
      <c r="H6173" s="2" t="s">
        <v>32020</v>
      </c>
    </row>
    <row r="6174" spans="1:8" ht="25.05" customHeight="1" x14ac:dyDescent="0.25">
      <c r="A6174" s="2" t="s">
        <v>8</v>
      </c>
      <c r="B6174" s="2" t="str">
        <f>HYPERLINK("http://ts.21cn.com/tousu/show/id/1337061","云柜乱收费，百世快递乱放快递")</f>
        <v>云柜乱收费，百世快递乱放快递</v>
      </c>
      <c r="C6174" s="2" t="s">
        <v>9</v>
      </c>
      <c r="D6174" s="2" t="s">
        <v>10</v>
      </c>
      <c r="E6174" s="2" t="str">
        <f>HYPERLINK("http://ts.21cn.com/tousu/show/id/1337061","http://ts.21cn.com/tousu/show/id/1337061")</f>
        <v>http://ts.21cn.com/tousu/show/id/1337061</v>
      </c>
      <c r="F6174" s="2" t="s">
        <v>11</v>
      </c>
      <c r="G6174" s="2" t="s">
        <v>32017</v>
      </c>
      <c r="H6174" s="2" t="s">
        <v>32018</v>
      </c>
    </row>
    <row r="6175" spans="1:8" ht="25.05" customHeight="1" x14ac:dyDescent="0.25">
      <c r="A6175" s="2" t="s">
        <v>8</v>
      </c>
      <c r="B6175" s="2" t="str">
        <f>HYPERLINK("http://ts.21cn.com/tousu/show/id/1337062","滴滴出行")</f>
        <v>滴滴出行</v>
      </c>
      <c r="C6175" s="2" t="s">
        <v>9</v>
      </c>
      <c r="D6175" s="2" t="s">
        <v>10</v>
      </c>
      <c r="E6175" s="2" t="str">
        <f>HYPERLINK("http://ts.21cn.com/tousu/show/id/1337062","http://ts.21cn.com/tousu/show/id/1337062")</f>
        <v>http://ts.21cn.com/tousu/show/id/1337062</v>
      </c>
      <c r="F6175" s="2" t="s">
        <v>11</v>
      </c>
      <c r="G6175" s="2" t="s">
        <v>32015</v>
      </c>
      <c r="H6175" s="2" t="s">
        <v>32016</v>
      </c>
    </row>
    <row r="6176" spans="1:8" ht="25.05" customHeight="1" x14ac:dyDescent="0.25">
      <c r="A6176" s="2" t="s">
        <v>8</v>
      </c>
      <c r="B6176" s="2" t="str">
        <f>HYPERLINK("http://ts.21cn.com/tousu/show/id/1337063","莫名其妙被扣款")</f>
        <v>莫名其妙被扣款</v>
      </c>
      <c r="C6176" s="2" t="s">
        <v>9</v>
      </c>
      <c r="D6176" s="2" t="s">
        <v>10</v>
      </c>
      <c r="E6176" s="2" t="str">
        <f>HYPERLINK("http://ts.21cn.com/tousu/show/id/1337063","http://ts.21cn.com/tousu/show/id/1337063")</f>
        <v>http://ts.21cn.com/tousu/show/id/1337063</v>
      </c>
      <c r="F6176" s="2" t="s">
        <v>11</v>
      </c>
      <c r="G6176" s="2" t="s">
        <v>32013</v>
      </c>
      <c r="H6176" s="2" t="s">
        <v>32014</v>
      </c>
    </row>
    <row r="6177" spans="1:8" ht="25.05" customHeight="1" x14ac:dyDescent="0.25">
      <c r="A6177" s="2" t="s">
        <v>8</v>
      </c>
      <c r="B6177" s="2" t="str">
        <f>HYPERLINK("http://ts.21cn.com/tousu/show/id/1337064","玖富万卡高利")</f>
        <v>玖富万卡高利</v>
      </c>
      <c r="C6177" s="2" t="s">
        <v>34</v>
      </c>
      <c r="D6177" s="2" t="s">
        <v>10</v>
      </c>
      <c r="E6177" s="2" t="str">
        <f>HYPERLINK("http://ts.21cn.com/tousu/show/id/1337064","http://ts.21cn.com/tousu/show/id/1337064")</f>
        <v>http://ts.21cn.com/tousu/show/id/1337064</v>
      </c>
      <c r="F6177" s="2" t="s">
        <v>11</v>
      </c>
      <c r="G6177" s="2" t="s">
        <v>32011</v>
      </c>
      <c r="H6177" s="2" t="s">
        <v>32012</v>
      </c>
    </row>
    <row r="6178" spans="1:8" ht="25.05" customHeight="1" x14ac:dyDescent="0.25">
      <c r="A6178" s="2" t="s">
        <v>8</v>
      </c>
      <c r="B6178" s="2" t="str">
        <f>HYPERLINK("http://ts.21cn.com/tousu/show/id/1337066","协商还款")</f>
        <v>协商还款</v>
      </c>
      <c r="C6178" s="2" t="s">
        <v>34</v>
      </c>
      <c r="D6178" s="2" t="s">
        <v>10</v>
      </c>
      <c r="E6178" s="2" t="str">
        <f>HYPERLINK("http://ts.21cn.com/tousu/show/id/1337066","http://ts.21cn.com/tousu/show/id/1337066")</f>
        <v>http://ts.21cn.com/tousu/show/id/1337066</v>
      </c>
      <c r="F6178" s="2" t="s">
        <v>11</v>
      </c>
      <c r="G6178" s="2" t="s">
        <v>32009</v>
      </c>
      <c r="H6178" s="2" t="s">
        <v>32010</v>
      </c>
    </row>
    <row r="6179" spans="1:8" ht="25.05" customHeight="1" x14ac:dyDescent="0.25">
      <c r="A6179" s="2" t="s">
        <v>8</v>
      </c>
      <c r="B6179" s="2" t="str">
        <f>HYPERLINK("http://ts.21cn.com/tousu/show/id/1337067","钱站暴力催收")</f>
        <v>钱站暴力催收</v>
      </c>
      <c r="C6179" s="2" t="s">
        <v>9</v>
      </c>
      <c r="D6179" s="2" t="s">
        <v>10</v>
      </c>
      <c r="E6179" s="2" t="str">
        <f>HYPERLINK("http://ts.21cn.com/tousu/show/id/1337067","http://ts.21cn.com/tousu/show/id/1337067")</f>
        <v>http://ts.21cn.com/tousu/show/id/1337067</v>
      </c>
      <c r="F6179" s="2" t="s">
        <v>11</v>
      </c>
      <c r="G6179" s="2" t="s">
        <v>32007</v>
      </c>
      <c r="H6179" s="2" t="s">
        <v>32008</v>
      </c>
    </row>
    <row r="6180" spans="1:8" ht="25.05" customHeight="1" x14ac:dyDescent="0.25">
      <c r="A6180" s="2" t="s">
        <v>8</v>
      </c>
      <c r="B6180" s="2" t="str">
        <f>HYPERLINK("http://ts.21cn.com/tousu/show/id/1337068","滴滴出行凌驾于规则之上不顾司机利益，出什么口碑值，导致司机接不到单子")</f>
        <v>滴滴出行凌驾于规则之上不顾司机利益，出什么口碑值，导致司机接不到单子</v>
      </c>
      <c r="C6180" s="2" t="s">
        <v>9</v>
      </c>
      <c r="D6180" s="2" t="s">
        <v>10</v>
      </c>
      <c r="E6180" s="2" t="str">
        <f>HYPERLINK("http://ts.21cn.com/tousu/show/id/1337068","http://ts.21cn.com/tousu/show/id/1337068")</f>
        <v>http://ts.21cn.com/tousu/show/id/1337068</v>
      </c>
      <c r="F6180" s="2" t="s">
        <v>11</v>
      </c>
      <c r="G6180" s="2" t="s">
        <v>32005</v>
      </c>
      <c r="H6180" s="2" t="s">
        <v>32006</v>
      </c>
    </row>
    <row r="6181" spans="1:8" ht="25.05" customHeight="1" x14ac:dyDescent="0.25">
      <c r="A6181" s="2" t="s">
        <v>8</v>
      </c>
      <c r="B6181" s="2" t="str">
        <f>HYPERLINK("http://ts.21cn.com/tousu/show/id/1337069","支付限制")</f>
        <v>支付限制</v>
      </c>
      <c r="C6181" s="2" t="s">
        <v>34</v>
      </c>
      <c r="D6181" s="2" t="s">
        <v>10</v>
      </c>
      <c r="E6181" s="2" t="str">
        <f>HYPERLINK("http://ts.21cn.com/tousu/show/id/1337069","http://ts.21cn.com/tousu/show/id/1337069")</f>
        <v>http://ts.21cn.com/tousu/show/id/1337069</v>
      </c>
      <c r="F6181" s="2" t="s">
        <v>11</v>
      </c>
      <c r="G6181" s="2" t="s">
        <v>32003</v>
      </c>
      <c r="H6181" s="2" t="s">
        <v>32004</v>
      </c>
    </row>
    <row r="6182" spans="1:8" ht="25.05" customHeight="1" x14ac:dyDescent="0.25">
      <c r="A6182" s="2" t="s">
        <v>8</v>
      </c>
      <c r="B6182" s="2" t="str">
        <f>HYPERLINK("http://ts.21cn.com/tousu/show/id/1337070","信用管家云享贷")</f>
        <v>信用管家云享贷</v>
      </c>
      <c r="C6182" s="2" t="s">
        <v>9</v>
      </c>
      <c r="D6182" s="2" t="s">
        <v>10</v>
      </c>
      <c r="E6182" s="2" t="str">
        <f>HYPERLINK("http://ts.21cn.com/tousu/show/id/1337070","http://ts.21cn.com/tousu/show/id/1337070")</f>
        <v>http://ts.21cn.com/tousu/show/id/1337070</v>
      </c>
      <c r="F6182" s="2" t="s">
        <v>11</v>
      </c>
      <c r="G6182" s="2" t="s">
        <v>32001</v>
      </c>
      <c r="H6182" s="2" t="s">
        <v>32002</v>
      </c>
    </row>
    <row r="6183" spans="1:8" ht="25.05" customHeight="1" x14ac:dyDescent="0.25">
      <c r="A6183" s="2" t="s">
        <v>8</v>
      </c>
      <c r="B6183" s="2" t="str">
        <f>HYPERLINK("http://ts.21cn.com/tousu/show/id/1337071","闪银收取高额砍头息")</f>
        <v>闪银收取高额砍头息</v>
      </c>
      <c r="C6183" s="2" t="s">
        <v>34</v>
      </c>
      <c r="D6183" s="2" t="s">
        <v>10</v>
      </c>
      <c r="E6183" s="2" t="str">
        <f>HYPERLINK("http://ts.21cn.com/tousu/show/id/1337071","http://ts.21cn.com/tousu/show/id/1337071")</f>
        <v>http://ts.21cn.com/tousu/show/id/1337071</v>
      </c>
      <c r="F6183" s="2" t="s">
        <v>11</v>
      </c>
      <c r="G6183" s="2" t="s">
        <v>31999</v>
      </c>
      <c r="H6183" s="2" t="s">
        <v>32000</v>
      </c>
    </row>
    <row r="6184" spans="1:8" ht="25.05" customHeight="1" x14ac:dyDescent="0.25">
      <c r="A6184" s="2" t="s">
        <v>8</v>
      </c>
      <c r="B6184" s="2" t="str">
        <f>HYPERLINK("http://ts.21cn.com/tousu/show/id/1337072","海澜电商存在拉人头传销")</f>
        <v>海澜电商存在拉人头传销</v>
      </c>
      <c r="C6184" s="2" t="s">
        <v>9</v>
      </c>
      <c r="D6184" s="2" t="s">
        <v>10</v>
      </c>
      <c r="E6184" s="2" t="str">
        <f>HYPERLINK("http://ts.21cn.com/tousu/show/id/1337072","http://ts.21cn.com/tousu/show/id/1337072")</f>
        <v>http://ts.21cn.com/tousu/show/id/1337072</v>
      </c>
      <c r="F6184" s="2" t="s">
        <v>11</v>
      </c>
      <c r="G6184" s="2" t="s">
        <v>31997</v>
      </c>
      <c r="H6184" s="2" t="s">
        <v>31998</v>
      </c>
    </row>
    <row r="6185" spans="1:8" ht="25.05" customHeight="1" x14ac:dyDescent="0.25">
      <c r="A6185" s="2" t="s">
        <v>8</v>
      </c>
      <c r="B6185" s="2" t="str">
        <f>HYPERLINK("http://ts.21cn.com/tousu/show/id/1337073","汇潮支付为高利贷来花花平台提供放款渠道")</f>
        <v>汇潮支付为高利贷来花花平台提供放款渠道</v>
      </c>
      <c r="C6185" s="2" t="s">
        <v>9</v>
      </c>
      <c r="D6185" s="2" t="s">
        <v>10</v>
      </c>
      <c r="E6185" s="2" t="str">
        <f>HYPERLINK("http://ts.21cn.com/tousu/show/id/1337073","http://ts.21cn.com/tousu/show/id/1337073")</f>
        <v>http://ts.21cn.com/tousu/show/id/1337073</v>
      </c>
      <c r="F6185" s="2" t="s">
        <v>11</v>
      </c>
      <c r="G6185" s="2" t="s">
        <v>31995</v>
      </c>
      <c r="H6185" s="2" t="s">
        <v>31996</v>
      </c>
    </row>
    <row r="6186" spans="1:8" ht="25.05" customHeight="1" x14ac:dyDescent="0.25">
      <c r="A6186" s="2" t="s">
        <v>8</v>
      </c>
      <c r="B6186" s="2" t="str">
        <f>HYPERLINK("http://ts.21cn.com/tousu/show/id/1337074","来这分期app高利贷套路贷")</f>
        <v>来这分期app高利贷套路贷</v>
      </c>
      <c r="C6186" s="2" t="s">
        <v>9</v>
      </c>
      <c r="D6186" s="2" t="s">
        <v>10</v>
      </c>
      <c r="E6186" s="2" t="str">
        <f>HYPERLINK("http://ts.21cn.com/tousu/show/id/1337074","http://ts.21cn.com/tousu/show/id/1337074")</f>
        <v>http://ts.21cn.com/tousu/show/id/1337074</v>
      </c>
      <c r="F6186" s="2" t="s">
        <v>11</v>
      </c>
      <c r="G6186" s="2" t="s">
        <v>31993</v>
      </c>
      <c r="H6186" s="2" t="s">
        <v>31994</v>
      </c>
    </row>
    <row r="6187" spans="1:8" ht="25.05" customHeight="1" x14ac:dyDescent="0.25">
      <c r="A6187" s="2" t="s">
        <v>8</v>
      </c>
      <c r="B6187" s="2" t="str">
        <f>HYPERLINK("http://ts.21cn.com/tousu/show/id/1337076","滴滴司机接不到单子")</f>
        <v>滴滴司机接不到单子</v>
      </c>
      <c r="C6187" s="2" t="s">
        <v>34</v>
      </c>
      <c r="D6187" s="2" t="s">
        <v>10</v>
      </c>
      <c r="E6187" s="2" t="str">
        <f>HYPERLINK("http://ts.21cn.com/tousu/show/id/1337076","http://ts.21cn.com/tousu/show/id/1337076")</f>
        <v>http://ts.21cn.com/tousu/show/id/1337076</v>
      </c>
      <c r="F6187" s="2" t="s">
        <v>11</v>
      </c>
      <c r="G6187" s="2" t="s">
        <v>31991</v>
      </c>
      <c r="H6187" s="2" t="s">
        <v>31992</v>
      </c>
    </row>
    <row r="6188" spans="1:8" ht="25.05" customHeight="1" x14ac:dyDescent="0.25">
      <c r="A6188" s="2" t="s">
        <v>8</v>
      </c>
      <c r="B6188" s="2" t="str">
        <f>HYPERLINK("http://ts.21cn.com/tousu/show/id/1337075","钱站高利贷阴阳合同")</f>
        <v>钱站高利贷阴阳合同</v>
      </c>
      <c r="C6188" s="2" t="s">
        <v>9</v>
      </c>
      <c r="D6188" s="2" t="s">
        <v>10</v>
      </c>
      <c r="E6188" s="2" t="str">
        <f>HYPERLINK("http://ts.21cn.com/tousu/show/id/1337075","http://ts.21cn.com/tousu/show/id/1337075")</f>
        <v>http://ts.21cn.com/tousu/show/id/1337075</v>
      </c>
      <c r="F6188" s="2" t="s">
        <v>11</v>
      </c>
      <c r="G6188" s="2" t="s">
        <v>31989</v>
      </c>
      <c r="H6188" s="2" t="s">
        <v>31990</v>
      </c>
    </row>
    <row r="6189" spans="1:8" ht="25.05" customHeight="1" x14ac:dyDescent="0.25">
      <c r="A6189" s="2" t="s">
        <v>8</v>
      </c>
      <c r="B6189" s="2" t="str">
        <f>HYPERLINK("http://ts.21cn.com/tousu/show/id/1337077","马上消费金融希望可以减免，现我实在无力偿还")</f>
        <v>马上消费金融希望可以减免，现我实在无力偿还</v>
      </c>
      <c r="C6189" s="2" t="s">
        <v>9</v>
      </c>
      <c r="D6189" s="2" t="s">
        <v>10</v>
      </c>
      <c r="E6189" s="2" t="str">
        <f>HYPERLINK("http://ts.21cn.com/tousu/show/id/1337077","http://ts.21cn.com/tousu/show/id/1337077")</f>
        <v>http://ts.21cn.com/tousu/show/id/1337077</v>
      </c>
      <c r="F6189" s="2" t="s">
        <v>11</v>
      </c>
      <c r="G6189" s="2" t="s">
        <v>31987</v>
      </c>
      <c r="H6189" s="2" t="s">
        <v>31988</v>
      </c>
    </row>
    <row r="6190" spans="1:8" ht="25.05" customHeight="1" x14ac:dyDescent="0.25">
      <c r="A6190" s="2" t="s">
        <v>8</v>
      </c>
      <c r="B6190" s="2" t="str">
        <f>HYPERLINK("http://ts.21cn.com/tousu/show/id/1337078","绿森商城购买苹果手机退款超时未处理")</f>
        <v>绿森商城购买苹果手机退款超时未处理</v>
      </c>
      <c r="C6190" s="2" t="s">
        <v>9</v>
      </c>
      <c r="D6190" s="2" t="s">
        <v>10</v>
      </c>
      <c r="E6190" s="2" t="str">
        <f>HYPERLINK("http://ts.21cn.com/tousu/show/id/1337078","http://ts.21cn.com/tousu/show/id/1337078")</f>
        <v>http://ts.21cn.com/tousu/show/id/1337078</v>
      </c>
      <c r="F6190" s="2" t="s">
        <v>11</v>
      </c>
      <c r="G6190" s="2" t="s">
        <v>31985</v>
      </c>
      <c r="H6190" s="2" t="s">
        <v>31986</v>
      </c>
    </row>
    <row r="6191" spans="1:8" ht="25.05" customHeight="1" x14ac:dyDescent="0.25">
      <c r="A6191" s="2" t="s">
        <v>8</v>
      </c>
      <c r="B6191" s="2" t="str">
        <f>HYPERLINK("http://ts.21cn.com/tousu/show/id/1337079","今借到高利贷砍头贷")</f>
        <v>今借到高利贷砍头贷</v>
      </c>
      <c r="C6191" s="2" t="s">
        <v>9</v>
      </c>
      <c r="D6191" s="2" t="s">
        <v>10</v>
      </c>
      <c r="E6191" s="2" t="str">
        <f>HYPERLINK("http://ts.21cn.com/tousu/show/id/1337079","http://ts.21cn.com/tousu/show/id/1337079")</f>
        <v>http://ts.21cn.com/tousu/show/id/1337079</v>
      </c>
      <c r="F6191" s="2" t="s">
        <v>11</v>
      </c>
      <c r="G6191" s="2" t="s">
        <v>31983</v>
      </c>
      <c r="H6191" s="2" t="s">
        <v>31984</v>
      </c>
    </row>
    <row r="6192" spans="1:8" ht="25.05" customHeight="1" x14ac:dyDescent="0.25">
      <c r="A6192" s="2" t="s">
        <v>8</v>
      </c>
      <c r="B6192" s="2" t="str">
        <f>HYPERLINK("http://ts.21cn.com/tousu/show/id/1337080","恶心扣款")</f>
        <v>恶心扣款</v>
      </c>
      <c r="C6192" s="2" t="s">
        <v>9</v>
      </c>
      <c r="D6192" s="2" t="s">
        <v>10</v>
      </c>
      <c r="E6192" s="2" t="str">
        <f>HYPERLINK("http://ts.21cn.com/tousu/show/id/1337080","http://ts.21cn.com/tousu/show/id/1337080")</f>
        <v>http://ts.21cn.com/tousu/show/id/1337080</v>
      </c>
      <c r="F6192" s="2" t="s">
        <v>11</v>
      </c>
      <c r="G6192" s="2" t="s">
        <v>31981</v>
      </c>
      <c r="H6192" s="2" t="s">
        <v>31982</v>
      </c>
    </row>
    <row r="6193" spans="1:8" ht="25.05" customHeight="1" x14ac:dyDescent="0.25">
      <c r="A6193" s="2" t="s">
        <v>8</v>
      </c>
      <c r="B6193" s="2" t="str">
        <f>HYPERLINK("http://ts.21cn.com/tousu/show/id/1337081","举报套路贷款")</f>
        <v>举报套路贷款</v>
      </c>
      <c r="C6193" s="2" t="s">
        <v>9</v>
      </c>
      <c r="D6193" s="2" t="s">
        <v>10</v>
      </c>
      <c r="E6193" s="2" t="str">
        <f>HYPERLINK("http://ts.21cn.com/tousu/show/id/1337081","http://ts.21cn.com/tousu/show/id/1337081")</f>
        <v>http://ts.21cn.com/tousu/show/id/1337081</v>
      </c>
      <c r="F6193" s="2" t="s">
        <v>11</v>
      </c>
      <c r="G6193" s="2" t="s">
        <v>31979</v>
      </c>
      <c r="H6193" s="2" t="s">
        <v>31980</v>
      </c>
    </row>
    <row r="6194" spans="1:8" ht="25.05" customHeight="1" x14ac:dyDescent="0.25">
      <c r="A6194" s="2" t="s">
        <v>8</v>
      </c>
      <c r="B6194" s="2" t="str">
        <f>HYPERLINK("http://ts.21cn.com/tousu/show/id/1337082","高利贷")</f>
        <v>高利贷</v>
      </c>
      <c r="C6194" s="2" t="s">
        <v>9</v>
      </c>
      <c r="D6194" s="2" t="s">
        <v>10</v>
      </c>
      <c r="E6194" s="2" t="str">
        <f>HYPERLINK("http://ts.21cn.com/tousu/show/id/1337082","http://ts.21cn.com/tousu/show/id/1337082")</f>
        <v>http://ts.21cn.com/tousu/show/id/1337082</v>
      </c>
      <c r="F6194" s="2" t="s">
        <v>11</v>
      </c>
      <c r="G6194" s="2" t="s">
        <v>31977</v>
      </c>
      <c r="H6194" s="2" t="s">
        <v>31978</v>
      </c>
    </row>
    <row r="6195" spans="1:8" ht="25.05" customHeight="1" x14ac:dyDescent="0.25">
      <c r="A6195" s="2" t="s">
        <v>8</v>
      </c>
      <c r="B6195" s="2" t="str">
        <f>HYPERLINK("http://ts.21cn.com/tousu/show/id/1337083","新意花小木钱包")</f>
        <v>新意花小木钱包</v>
      </c>
      <c r="C6195" s="2" t="s">
        <v>9</v>
      </c>
      <c r="D6195" s="2" t="s">
        <v>10</v>
      </c>
      <c r="E6195" s="2" t="str">
        <f>HYPERLINK("http://ts.21cn.com/tousu/show/id/1337083","http://ts.21cn.com/tousu/show/id/1337083")</f>
        <v>http://ts.21cn.com/tousu/show/id/1337083</v>
      </c>
      <c r="F6195" s="2" t="s">
        <v>11</v>
      </c>
      <c r="G6195" s="2" t="s">
        <v>31975</v>
      </c>
      <c r="H6195" s="2" t="s">
        <v>31976</v>
      </c>
    </row>
    <row r="6196" spans="1:8" ht="25.05" customHeight="1" x14ac:dyDescent="0.25">
      <c r="A6196" s="2" t="s">
        <v>8</v>
      </c>
      <c r="B6196" s="2" t="str">
        <f>HYPERLINK("http://ts.21cn.com/tousu/show/id/1337084","信而富砍头息")</f>
        <v>信而富砍头息</v>
      </c>
      <c r="C6196" s="2" t="s">
        <v>9</v>
      </c>
      <c r="D6196" s="2" t="s">
        <v>10</v>
      </c>
      <c r="E6196" s="2" t="str">
        <f>HYPERLINK("http://ts.21cn.com/tousu/show/id/1337084","http://ts.21cn.com/tousu/show/id/1337084")</f>
        <v>http://ts.21cn.com/tousu/show/id/1337084</v>
      </c>
      <c r="F6196" s="2" t="s">
        <v>11</v>
      </c>
      <c r="G6196" s="2" t="s">
        <v>31973</v>
      </c>
      <c r="H6196" s="2" t="s">
        <v>31974</v>
      </c>
    </row>
    <row r="6197" spans="1:8" ht="25.05" customHeight="1" x14ac:dyDescent="0.25">
      <c r="A6197" s="2" t="s">
        <v>8</v>
      </c>
      <c r="B6197" s="2" t="str">
        <f>HYPERLINK("http://ts.21cn.com/tousu/show/id/1337085","抢票款未退")</f>
        <v>抢票款未退</v>
      </c>
      <c r="C6197" s="2" t="s">
        <v>34</v>
      </c>
      <c r="D6197" s="2" t="s">
        <v>10</v>
      </c>
      <c r="E6197" s="2" t="str">
        <f>HYPERLINK("http://ts.21cn.com/tousu/show/id/1337085","http://ts.21cn.com/tousu/show/id/1337085")</f>
        <v>http://ts.21cn.com/tousu/show/id/1337085</v>
      </c>
      <c r="F6197" s="2" t="s">
        <v>11</v>
      </c>
      <c r="G6197" s="2" t="s">
        <v>31971</v>
      </c>
      <c r="H6197" s="2" t="s">
        <v>31972</v>
      </c>
    </row>
    <row r="6198" spans="1:8" ht="25.05" customHeight="1" x14ac:dyDescent="0.25">
      <c r="A6198" s="2" t="s">
        <v>8</v>
      </c>
      <c r="B6198" s="2" t="str">
        <f>HYPERLINK("http://ts.21cn.com/tousu/show/id/1337086","利息高，乱收费用")</f>
        <v>利息高，乱收费用</v>
      </c>
      <c r="C6198" s="2" t="s">
        <v>9</v>
      </c>
      <c r="D6198" s="2" t="s">
        <v>10</v>
      </c>
      <c r="E6198" s="2" t="str">
        <f>HYPERLINK("http://ts.21cn.com/tousu/show/id/1337086","http://ts.21cn.com/tousu/show/id/1337086")</f>
        <v>http://ts.21cn.com/tousu/show/id/1337086</v>
      </c>
      <c r="F6198" s="2" t="s">
        <v>11</v>
      </c>
      <c r="G6198" s="2" t="s">
        <v>31969</v>
      </c>
      <c r="H6198" s="2" t="s">
        <v>31970</v>
      </c>
    </row>
    <row r="6199" spans="1:8" ht="25.05" customHeight="1" x14ac:dyDescent="0.25">
      <c r="A6199" s="2" t="s">
        <v>8</v>
      </c>
      <c r="B6199" s="2" t="str">
        <f>HYPERLINK("http://ts.21cn.com/tousu/show/id/1337087","宜人贷制定假合同，虚增借款金额")</f>
        <v>宜人贷制定假合同，虚增借款金额</v>
      </c>
      <c r="C6199" s="2" t="s">
        <v>9</v>
      </c>
      <c r="D6199" s="2" t="s">
        <v>10</v>
      </c>
      <c r="E6199" s="2" t="str">
        <f>HYPERLINK("http://ts.21cn.com/tousu/show/id/1337087","http://ts.21cn.com/tousu/show/id/1337087")</f>
        <v>http://ts.21cn.com/tousu/show/id/1337087</v>
      </c>
      <c r="F6199" s="2" t="s">
        <v>11</v>
      </c>
      <c r="G6199" s="2" t="s">
        <v>31967</v>
      </c>
      <c r="H6199" s="2" t="s">
        <v>31968</v>
      </c>
    </row>
    <row r="6200" spans="1:8" ht="25.05" customHeight="1" x14ac:dyDescent="0.25">
      <c r="A6200" s="2" t="s">
        <v>8</v>
      </c>
      <c r="B6200" s="2" t="str">
        <f>HYPERLINK("http://ts.21cn.com/tousu/show/id/1337088","滴滴不给快车司机派单")</f>
        <v>滴滴不给快车司机派单</v>
      </c>
      <c r="C6200" s="2" t="s">
        <v>9</v>
      </c>
      <c r="D6200" s="2" t="s">
        <v>10</v>
      </c>
      <c r="E6200" s="2" t="str">
        <f>HYPERLINK("http://ts.21cn.com/tousu/show/id/1337088","http://ts.21cn.com/tousu/show/id/1337088")</f>
        <v>http://ts.21cn.com/tousu/show/id/1337088</v>
      </c>
      <c r="F6200" s="2" t="s">
        <v>11</v>
      </c>
      <c r="G6200" s="2" t="s">
        <v>31965</v>
      </c>
      <c r="H6200" s="2" t="s">
        <v>31966</v>
      </c>
    </row>
    <row r="6201" spans="1:8" ht="25.05" customHeight="1" x14ac:dyDescent="0.25">
      <c r="A6201" s="2" t="s">
        <v>8</v>
      </c>
      <c r="B6201" s="2" t="str">
        <f>HYPERLINK("http://ts.21cn.com/tousu/show/id/1337090","淘宝上买了手机要求退款，卖家说有划痕拒收并关闭交易不退款手机也不知去向")</f>
        <v>淘宝上买了手机要求退款，卖家说有划痕拒收并关闭交易不退款手机也不知去向</v>
      </c>
      <c r="C6201" s="2" t="s">
        <v>9</v>
      </c>
      <c r="D6201" s="2" t="s">
        <v>10</v>
      </c>
      <c r="E6201" s="2" t="str">
        <f>HYPERLINK("http://ts.21cn.com/tousu/show/id/1337090","http://ts.21cn.com/tousu/show/id/1337090")</f>
        <v>http://ts.21cn.com/tousu/show/id/1337090</v>
      </c>
      <c r="F6201" s="2" t="s">
        <v>11</v>
      </c>
      <c r="G6201" s="2" t="s">
        <v>31963</v>
      </c>
      <c r="H6201" s="2" t="s">
        <v>31964</v>
      </c>
    </row>
    <row r="6202" spans="1:8" ht="25.05" customHeight="1" x14ac:dyDescent="0.25">
      <c r="A6202" s="2" t="s">
        <v>8</v>
      </c>
      <c r="B6202" s="2" t="str">
        <f>HYPERLINK("http://ts.21cn.com/tousu/show/id/1337089","暴力")</f>
        <v>暴力</v>
      </c>
      <c r="C6202" s="2" t="s">
        <v>9</v>
      </c>
      <c r="D6202" s="2" t="s">
        <v>10</v>
      </c>
      <c r="E6202" s="2" t="str">
        <f>HYPERLINK("http://ts.21cn.com/tousu/show/id/1337089","http://ts.21cn.com/tousu/show/id/1337089")</f>
        <v>http://ts.21cn.com/tousu/show/id/1337089</v>
      </c>
      <c r="F6202" s="2" t="s">
        <v>11</v>
      </c>
      <c r="G6202" s="2" t="s">
        <v>31961</v>
      </c>
      <c r="H6202" s="2" t="s">
        <v>31962</v>
      </c>
    </row>
    <row r="6203" spans="1:8" ht="25.05" customHeight="1" x14ac:dyDescent="0.25">
      <c r="A6203" s="2" t="s">
        <v>8</v>
      </c>
      <c r="B6203" s="2" t="str">
        <f>HYPERLINK("http://ts.21cn.com/tousu/show/id/1337091","申请还款期推后")</f>
        <v>申请还款期推后</v>
      </c>
      <c r="C6203" s="2" t="s">
        <v>34</v>
      </c>
      <c r="D6203" s="2" t="s">
        <v>10</v>
      </c>
      <c r="E6203" s="2" t="str">
        <f>HYPERLINK("http://ts.21cn.com/tousu/show/id/1337091","http://ts.21cn.com/tousu/show/id/1337091")</f>
        <v>http://ts.21cn.com/tousu/show/id/1337091</v>
      </c>
      <c r="F6203" s="2" t="s">
        <v>11</v>
      </c>
      <c r="G6203" s="2" t="s">
        <v>31959</v>
      </c>
      <c r="H6203" s="2" t="s">
        <v>31960</v>
      </c>
    </row>
    <row r="6204" spans="1:8" ht="25.05" customHeight="1" x14ac:dyDescent="0.25">
      <c r="A6204" s="2" t="s">
        <v>8</v>
      </c>
      <c r="B6204" s="2" t="str">
        <f>HYPERLINK("http://ts.21cn.com/tousu/show/id/1337092","暴力催收，威胁，恐吓，")</f>
        <v>暴力催收，威胁，恐吓，</v>
      </c>
      <c r="C6204" s="2" t="s">
        <v>9</v>
      </c>
      <c r="D6204" s="2" t="s">
        <v>10</v>
      </c>
      <c r="E6204" s="2" t="str">
        <f>HYPERLINK("http://ts.21cn.com/tousu/show/id/1337092","http://ts.21cn.com/tousu/show/id/1337092")</f>
        <v>http://ts.21cn.com/tousu/show/id/1337092</v>
      </c>
      <c r="F6204" s="2" t="s">
        <v>11</v>
      </c>
      <c r="G6204" s="2" t="s">
        <v>31957</v>
      </c>
      <c r="H6204" s="2" t="s">
        <v>31958</v>
      </c>
    </row>
    <row r="6205" spans="1:8" ht="25.05" customHeight="1" x14ac:dyDescent="0.25">
      <c r="A6205" s="2" t="s">
        <v>8</v>
      </c>
      <c r="B6205" s="2" t="str">
        <f>HYPERLINK("http://ts.21cn.com/tousu/show/id/1337093","无缘无故扣卡里钱")</f>
        <v>无缘无故扣卡里钱</v>
      </c>
      <c r="C6205" s="2" t="s">
        <v>9</v>
      </c>
      <c r="D6205" s="2" t="s">
        <v>10</v>
      </c>
      <c r="E6205" s="2" t="str">
        <f>HYPERLINK("http://ts.21cn.com/tousu/show/id/1337093","http://ts.21cn.com/tousu/show/id/1337093")</f>
        <v>http://ts.21cn.com/tousu/show/id/1337093</v>
      </c>
      <c r="F6205" s="2" t="s">
        <v>11</v>
      </c>
      <c r="G6205" s="2" t="s">
        <v>31954</v>
      </c>
      <c r="H6205" s="2" t="s">
        <v>31955</v>
      </c>
    </row>
    <row r="6206" spans="1:8" ht="25.05" customHeight="1" x14ac:dyDescent="0.25">
      <c r="A6206" s="2" t="s">
        <v>8</v>
      </c>
      <c r="B6206" s="2" t="str">
        <f>HYPERLINK("http://ts.21cn.com/tousu/show/id/1337051","聚投诉非法催收，泄露个人隐私，骚扰家人")</f>
        <v>聚投诉非法催收，泄露个人隐私，骚扰家人</v>
      </c>
      <c r="C6206" s="2" t="s">
        <v>9</v>
      </c>
      <c r="D6206" s="2" t="s">
        <v>10</v>
      </c>
      <c r="E6206" s="2" t="str">
        <f>HYPERLINK("http://ts.21cn.com/tousu/show/id/1337051","http://ts.21cn.com/tousu/show/id/1337051")</f>
        <v>http://ts.21cn.com/tousu/show/id/1337051</v>
      </c>
      <c r="F6206" s="2" t="s">
        <v>11</v>
      </c>
      <c r="G6206" s="2" t="s">
        <v>31954</v>
      </c>
      <c r="H6206" s="2" t="s">
        <v>31956</v>
      </c>
    </row>
    <row r="6207" spans="1:8" ht="25.05" customHeight="1" x14ac:dyDescent="0.25">
      <c r="A6207" s="2" t="s">
        <v>8</v>
      </c>
      <c r="B6207" s="2" t="str">
        <f>HYPERLINK("http://ts.21cn.com/tousu/show/id/1337094","玖富万卡套路贷")</f>
        <v>玖富万卡套路贷</v>
      </c>
      <c r="C6207" s="2" t="s">
        <v>9</v>
      </c>
      <c r="D6207" s="2" t="s">
        <v>10</v>
      </c>
      <c r="E6207" s="2" t="str">
        <f>HYPERLINK("http://ts.21cn.com/tousu/show/id/1337094","http://ts.21cn.com/tousu/show/id/1337094")</f>
        <v>http://ts.21cn.com/tousu/show/id/1337094</v>
      </c>
      <c r="F6207" s="2" t="s">
        <v>11</v>
      </c>
      <c r="G6207" s="2" t="s">
        <v>31952</v>
      </c>
      <c r="H6207" s="2" t="s">
        <v>31953</v>
      </c>
    </row>
    <row r="6208" spans="1:8" ht="25.05" customHeight="1" x14ac:dyDescent="0.25">
      <c r="A6208" s="2" t="s">
        <v>8</v>
      </c>
      <c r="B6208" s="2" t="str">
        <f>HYPERLINK("http://ts.21cn.com/tousu/show/id/1337095","高利贷，提前还款利息减太少")</f>
        <v>高利贷，提前还款利息减太少</v>
      </c>
      <c r="C6208" s="2" t="s">
        <v>9</v>
      </c>
      <c r="D6208" s="2" t="s">
        <v>10</v>
      </c>
      <c r="E6208" s="2" t="str">
        <f>HYPERLINK("http://ts.21cn.com/tousu/show/id/1337095","http://ts.21cn.com/tousu/show/id/1337095")</f>
        <v>http://ts.21cn.com/tousu/show/id/1337095</v>
      </c>
      <c r="F6208" s="2" t="s">
        <v>11</v>
      </c>
      <c r="G6208" s="2" t="s">
        <v>31950</v>
      </c>
      <c r="H6208" s="2" t="s">
        <v>31951</v>
      </c>
    </row>
    <row r="6209" spans="1:8" ht="25.05" customHeight="1" x14ac:dyDescent="0.25">
      <c r="A6209" s="2" t="s">
        <v>8</v>
      </c>
      <c r="B6209" s="2" t="str">
        <f>HYPERLINK("http://ts.21cn.com/tousu/show/id/1337096","滴滴公司没良心糊乱扣我服务分")</f>
        <v>滴滴公司没良心糊乱扣我服务分</v>
      </c>
      <c r="C6209" s="2" t="s">
        <v>9</v>
      </c>
      <c r="D6209" s="2" t="s">
        <v>10</v>
      </c>
      <c r="E6209" s="2" t="str">
        <f>HYPERLINK("http://ts.21cn.com/tousu/show/id/1337096","http://ts.21cn.com/tousu/show/id/1337096")</f>
        <v>http://ts.21cn.com/tousu/show/id/1337096</v>
      </c>
      <c r="F6209" s="2" t="s">
        <v>11</v>
      </c>
      <c r="G6209" s="2" t="s">
        <v>31948</v>
      </c>
      <c r="H6209" s="2" t="s">
        <v>31949</v>
      </c>
    </row>
    <row r="6210" spans="1:8" ht="25.05" customHeight="1" x14ac:dyDescent="0.25">
      <c r="A6210" s="2" t="s">
        <v>8</v>
      </c>
      <c r="B6210" s="2" t="str">
        <f>HYPERLINK("http://ts.21cn.com/tousu/show/id/1337097","贷上钱虚假贷款合同，电话催收骚扰无关联系人")</f>
        <v>贷上钱虚假贷款合同，电话催收骚扰无关联系人</v>
      </c>
      <c r="C6210" s="2" t="s">
        <v>9</v>
      </c>
      <c r="D6210" s="2" t="s">
        <v>10</v>
      </c>
      <c r="E6210" s="2" t="str">
        <f>HYPERLINK("http://ts.21cn.com/tousu/show/id/1337097","http://ts.21cn.com/tousu/show/id/1337097")</f>
        <v>http://ts.21cn.com/tousu/show/id/1337097</v>
      </c>
      <c r="F6210" s="2" t="s">
        <v>11</v>
      </c>
      <c r="G6210" s="2" t="s">
        <v>31946</v>
      </c>
      <c r="H6210" s="2" t="s">
        <v>31947</v>
      </c>
    </row>
    <row r="6211" spans="1:8" ht="25.05" customHeight="1" x14ac:dyDescent="0.25">
      <c r="A6211" s="2" t="s">
        <v>8</v>
      </c>
      <c r="B6211" s="2" t="str">
        <f>HYPERLINK("http://ts.21cn.com/tousu/show/id/1337098","ofo共享单车迟迟不退押金")</f>
        <v>ofo共享单车迟迟不退押金</v>
      </c>
      <c r="C6211" s="2" t="s">
        <v>9</v>
      </c>
      <c r="D6211" s="2" t="s">
        <v>10</v>
      </c>
      <c r="E6211" s="2" t="str">
        <f>HYPERLINK("http://ts.21cn.com/tousu/show/id/1337098","http://ts.21cn.com/tousu/show/id/1337098")</f>
        <v>http://ts.21cn.com/tousu/show/id/1337098</v>
      </c>
      <c r="F6211" s="2" t="s">
        <v>11</v>
      </c>
      <c r="G6211" s="2" t="s">
        <v>31944</v>
      </c>
      <c r="H6211" s="2" t="s">
        <v>31945</v>
      </c>
    </row>
    <row r="6212" spans="1:8" ht="25.05" customHeight="1" x14ac:dyDescent="0.25">
      <c r="A6212" s="2" t="s">
        <v>8</v>
      </c>
      <c r="B6212" s="2" t="str">
        <f>HYPERLINK("http://ts.21cn.com/tousu/show/id/1337099","分期花花退还299会员费")</f>
        <v>分期花花退还299会员费</v>
      </c>
      <c r="C6212" s="2" t="s">
        <v>9</v>
      </c>
      <c r="D6212" s="2" t="s">
        <v>10</v>
      </c>
      <c r="E6212" s="2" t="str">
        <f>HYPERLINK("http://ts.21cn.com/tousu/show/id/1337099","http://ts.21cn.com/tousu/show/id/1337099")</f>
        <v>http://ts.21cn.com/tousu/show/id/1337099</v>
      </c>
      <c r="F6212" s="2" t="s">
        <v>11</v>
      </c>
      <c r="G6212" s="2" t="s">
        <v>31942</v>
      </c>
      <c r="H6212" s="2" t="s">
        <v>31943</v>
      </c>
    </row>
    <row r="6213" spans="1:8" ht="25.05" customHeight="1" x14ac:dyDescent="0.25">
      <c r="A6213" s="2" t="s">
        <v>8</v>
      </c>
      <c r="B6213" s="2" t="str">
        <f>HYPERLINK("http://ts.21cn.com/tousu/show/id/1337100","质量问题，推卸说人为")</f>
        <v>质量问题，推卸说人为</v>
      </c>
      <c r="C6213" s="2" t="s">
        <v>9</v>
      </c>
      <c r="D6213" s="2" t="s">
        <v>10</v>
      </c>
      <c r="E6213" s="2" t="str">
        <f>HYPERLINK("http://ts.21cn.com/tousu/show/id/1337100","http://ts.21cn.com/tousu/show/id/1337100")</f>
        <v>http://ts.21cn.com/tousu/show/id/1337100</v>
      </c>
      <c r="F6213" s="2" t="s">
        <v>11</v>
      </c>
      <c r="G6213" s="2" t="s">
        <v>31940</v>
      </c>
      <c r="H6213" s="2" t="s">
        <v>31941</v>
      </c>
    </row>
    <row r="6214" spans="1:8" ht="25.05" customHeight="1" x14ac:dyDescent="0.25">
      <c r="A6214" s="2" t="s">
        <v>8</v>
      </c>
      <c r="B6214" s="2" t="str">
        <f>HYPERLINK("http://ts.21cn.com/tousu/show/id/1337101","恶意扣费")</f>
        <v>恶意扣费</v>
      </c>
      <c r="C6214" s="2" t="s">
        <v>9</v>
      </c>
      <c r="D6214" s="2" t="s">
        <v>10</v>
      </c>
      <c r="E6214" s="2" t="str">
        <f>HYPERLINK("http://ts.21cn.com/tousu/show/id/1337101","http://ts.21cn.com/tousu/show/id/1337101")</f>
        <v>http://ts.21cn.com/tousu/show/id/1337101</v>
      </c>
      <c r="F6214" s="2" t="s">
        <v>11</v>
      </c>
      <c r="G6214" s="2" t="s">
        <v>31938</v>
      </c>
      <c r="H6214" s="2" t="s">
        <v>31939</v>
      </c>
    </row>
    <row r="6215" spans="1:8" ht="25.05" customHeight="1" x14ac:dyDescent="0.25">
      <c r="A6215" s="2" t="s">
        <v>8</v>
      </c>
      <c r="B6215" s="2" t="str">
        <f>HYPERLINK("http://ts.21cn.com/tousu/show/id/1337102","来分期了利息太高还不起")</f>
        <v>来分期了利息太高还不起</v>
      </c>
      <c r="C6215" s="2" t="s">
        <v>9</v>
      </c>
      <c r="D6215" s="2" t="s">
        <v>10</v>
      </c>
      <c r="E6215" s="2" t="str">
        <f>HYPERLINK("http://ts.21cn.com/tousu/show/id/1337102","http://ts.21cn.com/tousu/show/id/1337102")</f>
        <v>http://ts.21cn.com/tousu/show/id/1337102</v>
      </c>
      <c r="F6215" s="2" t="s">
        <v>11</v>
      </c>
      <c r="G6215" s="2" t="s">
        <v>31936</v>
      </c>
      <c r="H6215" s="2" t="s">
        <v>31937</v>
      </c>
    </row>
    <row r="6216" spans="1:8" ht="25.05" customHeight="1" x14ac:dyDescent="0.25">
      <c r="A6216" s="2" t="s">
        <v>8</v>
      </c>
      <c r="B6216" s="2" t="str">
        <f>HYPERLINK("http://ts.21cn.com/tousu/show/id/1337103","钱站APP借款砍头息严重，利息严重超过国家标准")</f>
        <v>钱站APP借款砍头息严重，利息严重超过国家标准</v>
      </c>
      <c r="C6216" s="2" t="s">
        <v>9</v>
      </c>
      <c r="D6216" s="2" t="s">
        <v>10</v>
      </c>
      <c r="E6216" s="2" t="str">
        <f>HYPERLINK("http://ts.21cn.com/tousu/show/id/1337103","http://ts.21cn.com/tousu/show/id/1337103")</f>
        <v>http://ts.21cn.com/tousu/show/id/1337103</v>
      </c>
      <c r="F6216" s="2" t="s">
        <v>11</v>
      </c>
      <c r="G6216" s="2" t="s">
        <v>31934</v>
      </c>
      <c r="H6216" s="2" t="s">
        <v>31935</v>
      </c>
    </row>
    <row r="6217" spans="1:8" ht="25.05" customHeight="1" x14ac:dyDescent="0.25">
      <c r="A6217" s="2" t="s">
        <v>8</v>
      </c>
      <c r="B6217" s="2" t="str">
        <f>HYPERLINK("http://ts.21cn.com/tousu/show/id/1337104","要求升学教育退款")</f>
        <v>要求升学教育退款</v>
      </c>
      <c r="C6217" s="2" t="s">
        <v>9</v>
      </c>
      <c r="D6217" s="2" t="s">
        <v>10</v>
      </c>
      <c r="E6217" s="2" t="str">
        <f>HYPERLINK("http://ts.21cn.com/tousu/show/id/1337104","http://ts.21cn.com/tousu/show/id/1337104")</f>
        <v>http://ts.21cn.com/tousu/show/id/1337104</v>
      </c>
      <c r="F6217" s="2" t="s">
        <v>11</v>
      </c>
      <c r="G6217" s="2" t="s">
        <v>31932</v>
      </c>
      <c r="H6217" s="2" t="s">
        <v>31933</v>
      </c>
    </row>
    <row r="6218" spans="1:8" ht="25.05" customHeight="1" x14ac:dyDescent="0.25">
      <c r="A6218" s="2" t="s">
        <v>8</v>
      </c>
      <c r="B6218" s="2" t="str">
        <f>HYPERLINK("http://ts.21cn.com/tousu/show/id/1337105","玖富小蓝卡高利贷串改合同")</f>
        <v>玖富小蓝卡高利贷串改合同</v>
      </c>
      <c r="C6218" s="2" t="s">
        <v>9</v>
      </c>
      <c r="D6218" s="2" t="s">
        <v>10</v>
      </c>
      <c r="E6218" s="2" t="str">
        <f>HYPERLINK("http://ts.21cn.com/tousu/show/id/1337105","http://ts.21cn.com/tousu/show/id/1337105")</f>
        <v>http://ts.21cn.com/tousu/show/id/1337105</v>
      </c>
      <c r="F6218" s="2" t="s">
        <v>11</v>
      </c>
      <c r="G6218" s="2" t="s">
        <v>31930</v>
      </c>
      <c r="H6218" s="2" t="s">
        <v>31931</v>
      </c>
    </row>
    <row r="6219" spans="1:8" ht="25.05" customHeight="1" x14ac:dyDescent="0.25">
      <c r="A6219" s="2" t="s">
        <v>8</v>
      </c>
      <c r="B6219" s="2" t="str">
        <f>HYPERLINK("http://ts.21cn.com/tousu/show/id/1337106","小花钱包")</f>
        <v>小花钱包</v>
      </c>
      <c r="C6219" s="2" t="s">
        <v>34</v>
      </c>
      <c r="D6219" s="2" t="s">
        <v>10</v>
      </c>
      <c r="E6219" s="2" t="str">
        <f>HYPERLINK("http://ts.21cn.com/tousu/show/id/1337106","http://ts.21cn.com/tousu/show/id/1337106")</f>
        <v>http://ts.21cn.com/tousu/show/id/1337106</v>
      </c>
      <c r="F6219" s="2" t="s">
        <v>11</v>
      </c>
      <c r="G6219" s="2" t="s">
        <v>31928</v>
      </c>
      <c r="H6219" s="2" t="s">
        <v>31929</v>
      </c>
    </row>
    <row r="6220" spans="1:8" ht="25.05" customHeight="1" x14ac:dyDescent="0.25">
      <c r="A6220" s="2" t="s">
        <v>8</v>
      </c>
      <c r="B6220" s="2" t="str">
        <f>HYPERLINK("http://ts.21cn.com/tousu/show/id/1337107","滴滴公司不派单")</f>
        <v>滴滴公司不派单</v>
      </c>
      <c r="C6220" s="2" t="s">
        <v>34</v>
      </c>
      <c r="D6220" s="2" t="s">
        <v>10</v>
      </c>
      <c r="E6220" s="2" t="str">
        <f>HYPERLINK("http://ts.21cn.com/tousu/show/id/1337107","http://ts.21cn.com/tousu/show/id/1337107")</f>
        <v>http://ts.21cn.com/tousu/show/id/1337107</v>
      </c>
      <c r="F6220" s="2" t="s">
        <v>11</v>
      </c>
      <c r="G6220" s="2" t="s">
        <v>31926</v>
      </c>
      <c r="H6220" s="2" t="s">
        <v>31927</v>
      </c>
    </row>
    <row r="6221" spans="1:8" ht="25.05" customHeight="1" x14ac:dyDescent="0.25">
      <c r="A6221" s="2" t="s">
        <v>8</v>
      </c>
      <c r="B6221" s="2" t="str">
        <f>HYPERLINK("http://ts.21cn.com/tousu/show/id/1337108","捷信是高利贷")</f>
        <v>捷信是高利贷</v>
      </c>
      <c r="C6221" s="2" t="s">
        <v>9</v>
      </c>
      <c r="D6221" s="2" t="s">
        <v>10</v>
      </c>
      <c r="E6221" s="2" t="str">
        <f>HYPERLINK("http://ts.21cn.com/tousu/show/id/1337108","http://ts.21cn.com/tousu/show/id/1337108")</f>
        <v>http://ts.21cn.com/tousu/show/id/1337108</v>
      </c>
      <c r="F6221" s="2" t="s">
        <v>11</v>
      </c>
      <c r="G6221" s="2" t="s">
        <v>31924</v>
      </c>
      <c r="H6221" s="2" t="s">
        <v>31925</v>
      </c>
    </row>
    <row r="6222" spans="1:8" ht="25.05" customHeight="1" x14ac:dyDescent="0.25">
      <c r="A6222" s="2" t="s">
        <v>8</v>
      </c>
      <c r="B6222" s="2" t="str">
        <f>HYPERLINK("http://ts.21cn.com/tousu/show/id/1337109","骚扰暴力催收")</f>
        <v>骚扰暴力催收</v>
      </c>
      <c r="C6222" s="2" t="s">
        <v>9</v>
      </c>
      <c r="D6222" s="2" t="s">
        <v>10</v>
      </c>
      <c r="E6222" s="2" t="str">
        <f>HYPERLINK("http://ts.21cn.com/tousu/show/id/1337109","http://ts.21cn.com/tousu/show/id/1337109")</f>
        <v>http://ts.21cn.com/tousu/show/id/1337109</v>
      </c>
      <c r="F6222" s="2" t="s">
        <v>11</v>
      </c>
      <c r="G6222" s="2" t="s">
        <v>31922</v>
      </c>
      <c r="H6222" s="2" t="s">
        <v>31923</v>
      </c>
    </row>
    <row r="6223" spans="1:8" ht="25.05" customHeight="1" x14ac:dyDescent="0.25">
      <c r="A6223" s="2" t="s">
        <v>8</v>
      </c>
      <c r="B6223" s="2" t="str">
        <f>HYPERLINK("http://ts.21cn.com/tousu/show/id/1337112","小米官方旗舰店退货很不及时")</f>
        <v>小米官方旗舰店退货很不及时</v>
      </c>
      <c r="C6223" s="2" t="s">
        <v>9</v>
      </c>
      <c r="D6223" s="2" t="s">
        <v>10</v>
      </c>
      <c r="E6223" s="2" t="str">
        <f>HYPERLINK("http://ts.21cn.com/tousu/show/id/1337112","http://ts.21cn.com/tousu/show/id/1337112")</f>
        <v>http://ts.21cn.com/tousu/show/id/1337112</v>
      </c>
      <c r="F6223" s="2" t="s">
        <v>11</v>
      </c>
      <c r="G6223" s="2" t="s">
        <v>31920</v>
      </c>
      <c r="H6223" s="2" t="s">
        <v>31921</v>
      </c>
    </row>
    <row r="6224" spans="1:8" ht="25.05" customHeight="1" x14ac:dyDescent="0.25">
      <c r="A6224" s="2" t="s">
        <v>8</v>
      </c>
      <c r="B6224" s="2" t="str">
        <f>HYPERLINK("http://ts.21cn.com/tousu/show/id/1337113","在平台交易游戏账号被找回")</f>
        <v>在平台交易游戏账号被找回</v>
      </c>
      <c r="C6224" s="2" t="s">
        <v>9</v>
      </c>
      <c r="D6224" s="2" t="s">
        <v>10</v>
      </c>
      <c r="E6224" s="2" t="str">
        <f>HYPERLINK("http://ts.21cn.com/tousu/show/id/1337113","http://ts.21cn.com/tousu/show/id/1337113")</f>
        <v>http://ts.21cn.com/tousu/show/id/1337113</v>
      </c>
      <c r="F6224" s="2" t="s">
        <v>11</v>
      </c>
      <c r="G6224" s="2" t="s">
        <v>31918</v>
      </c>
      <c r="H6224" s="2" t="s">
        <v>31919</v>
      </c>
    </row>
    <row r="6225" spans="1:8" ht="25.05" customHeight="1" x14ac:dyDescent="0.25">
      <c r="A6225" s="2" t="s">
        <v>8</v>
      </c>
      <c r="B6225" s="2" t="str">
        <f>HYPERLINK("http://ts.21cn.com/tousu/show/id/1337115","支付宝为714高炮提供还款渠道")</f>
        <v>支付宝为714高炮提供还款渠道</v>
      </c>
      <c r="C6225" s="2" t="s">
        <v>9</v>
      </c>
      <c r="D6225" s="2" t="s">
        <v>10</v>
      </c>
      <c r="E6225" s="2" t="str">
        <f>HYPERLINK("http://ts.21cn.com/tousu/show/id/1337115","http://ts.21cn.com/tousu/show/id/1337115")</f>
        <v>http://ts.21cn.com/tousu/show/id/1337115</v>
      </c>
      <c r="F6225" s="2" t="s">
        <v>11</v>
      </c>
      <c r="G6225" s="2" t="s">
        <v>31916</v>
      </c>
      <c r="H6225" s="2" t="s">
        <v>31917</v>
      </c>
    </row>
    <row r="6226" spans="1:8" ht="25.05" customHeight="1" x14ac:dyDescent="0.25">
      <c r="A6226" s="2" t="s">
        <v>8</v>
      </c>
      <c r="B6226" s="2" t="str">
        <f>HYPERLINK("http://ts.21cn.com/tousu/show/id/1337114","利息高，不经我同意就打电话到我的通话记录")</f>
        <v>利息高，不经我同意就打电话到我的通话记录</v>
      </c>
      <c r="C6226" s="2" t="s">
        <v>9</v>
      </c>
      <c r="D6226" s="2" t="s">
        <v>10</v>
      </c>
      <c r="E6226" s="2" t="str">
        <f>HYPERLINK("http://ts.21cn.com/tousu/show/id/1337114","http://ts.21cn.com/tousu/show/id/1337114")</f>
        <v>http://ts.21cn.com/tousu/show/id/1337114</v>
      </c>
      <c r="F6226" s="2" t="s">
        <v>11</v>
      </c>
      <c r="G6226" s="2" t="s">
        <v>31914</v>
      </c>
      <c r="H6226" s="2" t="s">
        <v>31915</v>
      </c>
    </row>
    <row r="6227" spans="1:8" ht="25.05" customHeight="1" x14ac:dyDescent="0.25">
      <c r="A6227" s="2" t="s">
        <v>8</v>
      </c>
      <c r="B6227" s="2" t="str">
        <f>HYPERLINK("http://ts.21cn.com/tousu/show/id/1337116","友信信贷在未逾期的时间内对借款人进行暴力催收")</f>
        <v>友信信贷在未逾期的时间内对借款人进行暴力催收</v>
      </c>
      <c r="C6227" s="2" t="s">
        <v>9</v>
      </c>
      <c r="D6227" s="2" t="s">
        <v>10</v>
      </c>
      <c r="E6227" s="2" t="str">
        <f>HYPERLINK("http://ts.21cn.com/tousu/show/id/1337116","http://ts.21cn.com/tousu/show/id/1337116")</f>
        <v>http://ts.21cn.com/tousu/show/id/1337116</v>
      </c>
      <c r="F6227" s="2" t="s">
        <v>11</v>
      </c>
      <c r="G6227" s="2" t="s">
        <v>31912</v>
      </c>
      <c r="H6227" s="2" t="s">
        <v>31913</v>
      </c>
    </row>
    <row r="6228" spans="1:8" ht="25.05" customHeight="1" x14ac:dyDescent="0.25">
      <c r="A6228" s="2" t="s">
        <v>8</v>
      </c>
      <c r="B6228" s="2" t="str">
        <f>HYPERLINK("http://ts.21cn.com/tousu/show/id/1337117","淘宝客服不处理问题，商家未履行承诺")</f>
        <v>淘宝客服不处理问题，商家未履行承诺</v>
      </c>
      <c r="C6228" s="2" t="s">
        <v>9</v>
      </c>
      <c r="D6228" s="2" t="s">
        <v>10</v>
      </c>
      <c r="E6228" s="2" t="str">
        <f>HYPERLINK("http://ts.21cn.com/tousu/show/id/1337117","http://ts.21cn.com/tousu/show/id/1337117")</f>
        <v>http://ts.21cn.com/tousu/show/id/1337117</v>
      </c>
      <c r="F6228" s="2" t="s">
        <v>11</v>
      </c>
      <c r="G6228" s="2" t="s">
        <v>31910</v>
      </c>
      <c r="H6228" s="2" t="s">
        <v>31911</v>
      </c>
    </row>
    <row r="6229" spans="1:8" ht="25.05" customHeight="1" x14ac:dyDescent="0.25">
      <c r="A6229" s="2" t="s">
        <v>8</v>
      </c>
      <c r="B6229" s="2" t="str">
        <f>HYPERLINK("http://ts.21cn.com/tousu/show/id/1337118","快闪卡贷利息超过国家标准，无法还款要求还款，逾期利息减免")</f>
        <v>快闪卡贷利息超过国家标准，无法还款要求还款，逾期利息减免</v>
      </c>
      <c r="C6229" s="2" t="s">
        <v>9</v>
      </c>
      <c r="D6229" s="2" t="s">
        <v>10</v>
      </c>
      <c r="E6229" s="2" t="str">
        <f>HYPERLINK("http://ts.21cn.com/tousu/show/id/1337118","http://ts.21cn.com/tousu/show/id/1337118")</f>
        <v>http://ts.21cn.com/tousu/show/id/1337118</v>
      </c>
      <c r="F6229" s="2" t="s">
        <v>11</v>
      </c>
      <c r="G6229" s="2" t="s">
        <v>31908</v>
      </c>
      <c r="H6229" s="2" t="s">
        <v>31909</v>
      </c>
    </row>
    <row r="6230" spans="1:8" ht="25.05" customHeight="1" x14ac:dyDescent="0.25">
      <c r="A6230" s="2" t="s">
        <v>8</v>
      </c>
      <c r="B6230" s="2" t="str">
        <f>HYPERLINK("http://ts.21cn.com/tousu/show/id/1337119","最后一期还款要求减免")</f>
        <v>最后一期还款要求减免</v>
      </c>
      <c r="C6230" s="2" t="s">
        <v>9</v>
      </c>
      <c r="D6230" s="2" t="s">
        <v>10</v>
      </c>
      <c r="E6230" s="2" t="str">
        <f>HYPERLINK("http://ts.21cn.com/tousu/show/id/1337119","http://ts.21cn.com/tousu/show/id/1337119")</f>
        <v>http://ts.21cn.com/tousu/show/id/1337119</v>
      </c>
      <c r="F6230" s="2" t="s">
        <v>11</v>
      </c>
      <c r="G6230" s="2" t="s">
        <v>31906</v>
      </c>
      <c r="H6230" s="2" t="s">
        <v>31907</v>
      </c>
    </row>
    <row r="6231" spans="1:8" ht="25.05" customHeight="1" x14ac:dyDescent="0.25">
      <c r="A6231" s="2" t="s">
        <v>8</v>
      </c>
      <c r="B6231" s="2" t="str">
        <f>HYPERLINK("http://ts.21cn.com/tousu/show/id/1337120","一直接听平台电话协商，可昨晚平台让本地催收电话联系我要上门，这种行为真的是威胁，我都已经在努力凑钱还款，怕影响个人征信")</f>
        <v>一直接听平台电话协商，可昨晚平台让本地催收电话联系我要上门，这种行为真的是威胁，我都已经在努力凑钱还款，怕影响个人征信</v>
      </c>
      <c r="C6231" s="2" t="s">
        <v>9</v>
      </c>
      <c r="D6231" s="2" t="s">
        <v>10</v>
      </c>
      <c r="E6231" s="2" t="str">
        <f>HYPERLINK("http://ts.21cn.com/tousu/show/id/1337120","http://ts.21cn.com/tousu/show/id/1337120")</f>
        <v>http://ts.21cn.com/tousu/show/id/1337120</v>
      </c>
      <c r="F6231" s="2" t="s">
        <v>11</v>
      </c>
      <c r="G6231" s="2" t="s">
        <v>31904</v>
      </c>
      <c r="H6231" s="2" t="s">
        <v>31905</v>
      </c>
    </row>
    <row r="6232" spans="1:8" ht="25.05" customHeight="1" x14ac:dyDescent="0.25">
      <c r="A6232" s="2" t="s">
        <v>8</v>
      </c>
      <c r="B6232" s="2" t="str">
        <f>HYPERLINK("http://ts.21cn.com/tousu/show/id/1337121","骚扰，诬陷")</f>
        <v>骚扰，诬陷</v>
      </c>
      <c r="C6232" s="2" t="s">
        <v>9</v>
      </c>
      <c r="D6232" s="2" t="s">
        <v>10</v>
      </c>
      <c r="E6232" s="2" t="str">
        <f>HYPERLINK("http://ts.21cn.com/tousu/show/id/1337121","http://ts.21cn.com/tousu/show/id/1337121")</f>
        <v>http://ts.21cn.com/tousu/show/id/1337121</v>
      </c>
      <c r="F6232" s="2" t="s">
        <v>11</v>
      </c>
      <c r="G6232" s="2" t="s">
        <v>31902</v>
      </c>
      <c r="H6232" s="2" t="s">
        <v>31903</v>
      </c>
    </row>
    <row r="6233" spans="1:8" ht="25.05" customHeight="1" x14ac:dyDescent="0.25">
      <c r="A6233" s="2" t="s">
        <v>8</v>
      </c>
      <c r="B6233" s="2" t="str">
        <f>HYPERLINK("http://ts.21cn.com/tousu/show/id/1337122","牛人有品非法高利贷")</f>
        <v>牛人有品非法高利贷</v>
      </c>
      <c r="C6233" s="2" t="s">
        <v>9</v>
      </c>
      <c r="D6233" s="2" t="s">
        <v>10</v>
      </c>
      <c r="E6233" s="2" t="str">
        <f>HYPERLINK("http://ts.21cn.com/tousu/show/id/1337122","http://ts.21cn.com/tousu/show/id/1337122")</f>
        <v>http://ts.21cn.com/tousu/show/id/1337122</v>
      </c>
      <c r="F6233" s="2" t="s">
        <v>11</v>
      </c>
      <c r="G6233" s="2" t="s">
        <v>31900</v>
      </c>
      <c r="H6233" s="2" t="s">
        <v>31901</v>
      </c>
    </row>
    <row r="6234" spans="1:8" ht="25.05" customHeight="1" x14ac:dyDescent="0.25">
      <c r="A6234" s="2" t="s">
        <v>8</v>
      </c>
      <c r="B6234" s="2" t="str">
        <f>HYPERLINK("http://ts.21cn.com/tousu/show/id/1337110","投诉中金支付有限公司为非法交易平台提供资金结算服务，要求赔偿损失")</f>
        <v>投诉中金支付有限公司为非法交易平台提供资金结算服务，要求赔偿损失</v>
      </c>
      <c r="C6234" s="2" t="s">
        <v>9</v>
      </c>
      <c r="D6234" s="2" t="s">
        <v>10</v>
      </c>
      <c r="E6234" s="2" t="str">
        <f>HYPERLINK("http://ts.21cn.com/tousu/show/id/1337110","http://ts.21cn.com/tousu/show/id/1337110")</f>
        <v>http://ts.21cn.com/tousu/show/id/1337110</v>
      </c>
      <c r="F6234" s="2" t="s">
        <v>11</v>
      </c>
      <c r="G6234" s="2" t="s">
        <v>31898</v>
      </c>
      <c r="H6234" s="2" t="s">
        <v>31899</v>
      </c>
    </row>
    <row r="6235" spans="1:8" ht="25.05" customHeight="1" x14ac:dyDescent="0.25">
      <c r="A6235" s="2" t="s">
        <v>8</v>
      </c>
      <c r="B6235" s="2" t="str">
        <f>HYPERLINK("http://ts.21cn.com/tousu/show/id/1337123","嫁接阴阳合同，伪造电子签名，套路贷，友信普惠（上海友众）")</f>
        <v>嫁接阴阳合同，伪造电子签名，套路贷，友信普惠（上海友众）</v>
      </c>
      <c r="C6235" s="2" t="s">
        <v>9</v>
      </c>
      <c r="D6235" s="2" t="s">
        <v>10</v>
      </c>
      <c r="E6235" s="2" t="str">
        <f>HYPERLINK("http://ts.21cn.com/tousu/show/id/1337123","http://ts.21cn.com/tousu/show/id/1337123")</f>
        <v>http://ts.21cn.com/tousu/show/id/1337123</v>
      </c>
      <c r="F6235" s="2" t="s">
        <v>11</v>
      </c>
      <c r="G6235" s="2" t="s">
        <v>31896</v>
      </c>
      <c r="H6235" s="2" t="s">
        <v>31897</v>
      </c>
    </row>
    <row r="6236" spans="1:8" ht="25.05" customHeight="1" x14ac:dyDescent="0.25">
      <c r="A6236" s="2" t="s">
        <v>8</v>
      </c>
      <c r="B6236" s="2" t="str">
        <f>HYPERLINK("http://ts.21cn.com/tousu/show/id/1336964","还车困难")</f>
        <v>还车困难</v>
      </c>
      <c r="C6236" s="2" t="s">
        <v>9</v>
      </c>
      <c r="D6236" s="2" t="s">
        <v>10</v>
      </c>
      <c r="E6236" s="2" t="str">
        <f>HYPERLINK("http://ts.21cn.com/tousu/show/id/1336964","http://ts.21cn.com/tousu/show/id/1336964")</f>
        <v>http://ts.21cn.com/tousu/show/id/1336964</v>
      </c>
      <c r="F6236" s="2" t="s">
        <v>11</v>
      </c>
      <c r="G6236" s="2" t="s">
        <v>31893</v>
      </c>
      <c r="H6236" s="2" t="s">
        <v>31894</v>
      </c>
    </row>
    <row r="6237" spans="1:8" ht="25.05" customHeight="1" x14ac:dyDescent="0.25">
      <c r="A6237" s="2" t="s">
        <v>8</v>
      </c>
      <c r="B6237" s="2" t="str">
        <f>HYPERLINK("http://ts.21cn.com/tousu/show/id/1337124","收费问题")</f>
        <v>收费问题</v>
      </c>
      <c r="C6237" s="2" t="s">
        <v>9</v>
      </c>
      <c r="D6237" s="2" t="s">
        <v>10</v>
      </c>
      <c r="E6237" s="2" t="str">
        <f>HYPERLINK("http://ts.21cn.com/tousu/show/id/1337124","http://ts.21cn.com/tousu/show/id/1337124")</f>
        <v>http://ts.21cn.com/tousu/show/id/1337124</v>
      </c>
      <c r="F6237" s="2" t="s">
        <v>11</v>
      </c>
      <c r="G6237" s="2" t="s">
        <v>31893</v>
      </c>
      <c r="H6237" s="2" t="s">
        <v>31895</v>
      </c>
    </row>
    <row r="6238" spans="1:8" ht="25.05" customHeight="1" x14ac:dyDescent="0.25">
      <c r="A6238" s="2" t="s">
        <v>8</v>
      </c>
      <c r="B6238" s="2" t="str">
        <f>HYPERLINK("http://ts.21cn.com/tousu/show/id/1337125","滴滴公司赔偿罚款问题")</f>
        <v>滴滴公司赔偿罚款问题</v>
      </c>
      <c r="C6238" s="2" t="s">
        <v>9</v>
      </c>
      <c r="D6238" s="2" t="s">
        <v>10</v>
      </c>
      <c r="E6238" s="2" t="str">
        <f>HYPERLINK("http://ts.21cn.com/tousu/show/id/1337125","http://ts.21cn.com/tousu/show/id/1337125")</f>
        <v>http://ts.21cn.com/tousu/show/id/1337125</v>
      </c>
      <c r="F6238" s="2" t="s">
        <v>11</v>
      </c>
      <c r="G6238" s="2" t="s">
        <v>31891</v>
      </c>
      <c r="H6238" s="2" t="s">
        <v>31892</v>
      </c>
    </row>
    <row r="6239" spans="1:8" ht="25.05" customHeight="1" x14ac:dyDescent="0.25">
      <c r="A6239" s="2" t="s">
        <v>8</v>
      </c>
      <c r="B6239" s="2" t="str">
        <f>HYPERLINK("http://ts.21cn.com/tousu/show/id/1337126","太平洋保险不理陪，各种理由推拖")</f>
        <v>太平洋保险不理陪，各种理由推拖</v>
      </c>
      <c r="C6239" s="2" t="s">
        <v>9</v>
      </c>
      <c r="D6239" s="2" t="s">
        <v>10</v>
      </c>
      <c r="E6239" s="2" t="str">
        <f>HYPERLINK("http://ts.21cn.com/tousu/show/id/1337126","http://ts.21cn.com/tousu/show/id/1337126")</f>
        <v>http://ts.21cn.com/tousu/show/id/1337126</v>
      </c>
      <c r="F6239" s="2" t="s">
        <v>11</v>
      </c>
      <c r="G6239" s="2" t="s">
        <v>31889</v>
      </c>
      <c r="H6239" s="2" t="s">
        <v>31890</v>
      </c>
    </row>
    <row r="6240" spans="1:8" ht="25.05" customHeight="1" x14ac:dyDescent="0.25">
      <c r="A6240" s="2" t="s">
        <v>8</v>
      </c>
      <c r="B6240" s="2" t="str">
        <f>HYPERLINK("http://ts.21cn.com/tousu/show/id/1337127","新橙优品变相收取砍头息")</f>
        <v>新橙优品变相收取砍头息</v>
      </c>
      <c r="C6240" s="2" t="s">
        <v>9</v>
      </c>
      <c r="D6240" s="2" t="s">
        <v>10</v>
      </c>
      <c r="E6240" s="2" t="str">
        <f>HYPERLINK("http://ts.21cn.com/tousu/show/id/1337127","http://ts.21cn.com/tousu/show/id/1337127")</f>
        <v>http://ts.21cn.com/tousu/show/id/1337127</v>
      </c>
      <c r="F6240" s="2" t="s">
        <v>11</v>
      </c>
      <c r="G6240" s="2" t="s">
        <v>31887</v>
      </c>
      <c r="H6240" s="2" t="s">
        <v>31888</v>
      </c>
    </row>
    <row r="6241" spans="1:8" ht="25.05" customHeight="1" x14ac:dyDescent="0.25">
      <c r="A6241" s="2" t="s">
        <v>8</v>
      </c>
      <c r="B6241" s="2" t="str">
        <f>HYPERLINK("http://ts.21cn.com/tousu/show/id/1337128","APP下线，导致逾期")</f>
        <v>APP下线，导致逾期</v>
      </c>
      <c r="C6241" s="2" t="s">
        <v>9</v>
      </c>
      <c r="D6241" s="2" t="s">
        <v>10</v>
      </c>
      <c r="E6241" s="2" t="str">
        <f>HYPERLINK("http://ts.21cn.com/tousu/show/id/1337128","http://ts.21cn.com/tousu/show/id/1337128")</f>
        <v>http://ts.21cn.com/tousu/show/id/1337128</v>
      </c>
      <c r="F6241" s="2" t="s">
        <v>11</v>
      </c>
      <c r="G6241" s="2" t="s">
        <v>31885</v>
      </c>
      <c r="H6241" s="2" t="s">
        <v>31886</v>
      </c>
    </row>
    <row r="6242" spans="1:8" ht="25.05" customHeight="1" x14ac:dyDescent="0.25">
      <c r="A6242" s="2" t="s">
        <v>8</v>
      </c>
      <c r="B6242" s="2" t="str">
        <f>HYPERLINK("http://ts.21cn.com/tousu/show/id/1337132","大麦游高额砍头利息！客服不予减免至合法利息！")</f>
        <v>大麦游高额砍头利息！客服不予减免至合法利息！</v>
      </c>
      <c r="C6242" s="2" t="s">
        <v>9</v>
      </c>
      <c r="D6242" s="2" t="s">
        <v>10</v>
      </c>
      <c r="E6242" s="2" t="str">
        <f>HYPERLINK("http://ts.21cn.com/tousu/show/id/1337132","http://ts.21cn.com/tousu/show/id/1337132")</f>
        <v>http://ts.21cn.com/tousu/show/id/1337132</v>
      </c>
      <c r="F6242" s="2" t="s">
        <v>11</v>
      </c>
      <c r="G6242" s="2" t="s">
        <v>31883</v>
      </c>
      <c r="H6242" s="2" t="s">
        <v>31884</v>
      </c>
    </row>
    <row r="6243" spans="1:8" ht="25.05" customHeight="1" x14ac:dyDescent="0.25">
      <c r="A6243" s="2" t="s">
        <v>8</v>
      </c>
      <c r="B6243" s="2" t="str">
        <f>HYPERLINK("http://ts.21cn.com/tousu/show/id/1337129","现金巴士协商还款销账")</f>
        <v>现金巴士协商还款销账</v>
      </c>
      <c r="C6243" s="2" t="s">
        <v>34</v>
      </c>
      <c r="D6243" s="2" t="s">
        <v>10</v>
      </c>
      <c r="E6243" s="2" t="str">
        <f>HYPERLINK("http://ts.21cn.com/tousu/show/id/1337129","http://ts.21cn.com/tousu/show/id/1337129")</f>
        <v>http://ts.21cn.com/tousu/show/id/1337129</v>
      </c>
      <c r="F6243" s="2" t="s">
        <v>11</v>
      </c>
      <c r="G6243" s="2" t="s">
        <v>31881</v>
      </c>
      <c r="H6243" s="2" t="s">
        <v>31882</v>
      </c>
    </row>
    <row r="6244" spans="1:8" ht="25.05" customHeight="1" x14ac:dyDescent="0.25">
      <c r="A6244" s="2" t="s">
        <v>8</v>
      </c>
      <c r="B6244" s="2" t="str">
        <f>HYPERLINK("http://ts.21cn.com/tousu/show/id/1337130","滴滴不派单")</f>
        <v>滴滴不派单</v>
      </c>
      <c r="C6244" s="2" t="s">
        <v>9</v>
      </c>
      <c r="D6244" s="2" t="s">
        <v>10</v>
      </c>
      <c r="E6244" s="2" t="str">
        <f>HYPERLINK("http://ts.21cn.com/tousu/show/id/1337130","http://ts.21cn.com/tousu/show/id/1337130")</f>
        <v>http://ts.21cn.com/tousu/show/id/1337130</v>
      </c>
      <c r="F6244" s="2" t="s">
        <v>11</v>
      </c>
      <c r="G6244" s="2" t="s">
        <v>31879</v>
      </c>
      <c r="H6244" s="2" t="s">
        <v>31880</v>
      </c>
    </row>
    <row r="6245" spans="1:8" ht="25.05" customHeight="1" x14ac:dyDescent="0.25">
      <c r="A6245" s="2" t="s">
        <v>8</v>
      </c>
      <c r="B6245" s="2" t="str">
        <f>HYPERLINK("http://ts.21cn.com/tousu/show/id/1337131","威胁")</f>
        <v>威胁</v>
      </c>
      <c r="C6245" s="2" t="s">
        <v>9</v>
      </c>
      <c r="D6245" s="2" t="s">
        <v>10</v>
      </c>
      <c r="E6245" s="2" t="str">
        <f>HYPERLINK("http://ts.21cn.com/tousu/show/id/1337131","http://ts.21cn.com/tousu/show/id/1337131")</f>
        <v>http://ts.21cn.com/tousu/show/id/1337131</v>
      </c>
      <c r="F6245" s="2" t="s">
        <v>11</v>
      </c>
      <c r="G6245" s="2" t="s">
        <v>31877</v>
      </c>
      <c r="H6245" s="2" t="s">
        <v>31878</v>
      </c>
    </row>
    <row r="6246" spans="1:8" ht="25.05" customHeight="1" x14ac:dyDescent="0.25">
      <c r="A6246" s="2" t="s">
        <v>8</v>
      </c>
      <c r="B6246" s="2" t="str">
        <f>HYPERLINK("http://ts.21cn.com/tousu/show/id/1336935","交易猫欺诈买家，被找回不理人！")</f>
        <v>交易猫欺诈买家，被找回不理人！</v>
      </c>
      <c r="C6246" s="2" t="s">
        <v>9</v>
      </c>
      <c r="D6246" s="2" t="s">
        <v>10</v>
      </c>
      <c r="E6246" s="2" t="str">
        <f>HYPERLINK("http://ts.21cn.com/tousu/show/id/1336935","http://ts.21cn.com/tousu/show/id/1336935")</f>
        <v>http://ts.21cn.com/tousu/show/id/1336935</v>
      </c>
      <c r="F6246" s="2" t="s">
        <v>11</v>
      </c>
      <c r="G6246" s="2" t="s">
        <v>31875</v>
      </c>
      <c r="H6246" s="2" t="s">
        <v>31876</v>
      </c>
    </row>
    <row r="6247" spans="1:8" ht="25.05" customHeight="1" x14ac:dyDescent="0.25">
      <c r="A6247" s="2" t="s">
        <v>8</v>
      </c>
      <c r="B6247" s="2" t="str">
        <f>HYPERLINK("http://ts.21cn.com/tousu/show/id/1337135","强制消费不予受理退款")</f>
        <v>强制消费不予受理退款</v>
      </c>
      <c r="C6247" s="2" t="s">
        <v>9</v>
      </c>
      <c r="D6247" s="2" t="s">
        <v>10</v>
      </c>
      <c r="E6247" s="2" t="str">
        <f>HYPERLINK("http://ts.21cn.com/tousu/show/id/1337135","http://ts.21cn.com/tousu/show/id/1337135")</f>
        <v>http://ts.21cn.com/tousu/show/id/1337135</v>
      </c>
      <c r="F6247" s="2" t="s">
        <v>11</v>
      </c>
      <c r="G6247" s="2" t="s">
        <v>31873</v>
      </c>
      <c r="H6247" s="2" t="s">
        <v>31874</v>
      </c>
    </row>
    <row r="6248" spans="1:8" ht="25.05" customHeight="1" x14ac:dyDescent="0.25">
      <c r="A6248" s="2" t="s">
        <v>8</v>
      </c>
      <c r="B6248" s="2" t="str">
        <f>HYPERLINK("http://ts.21cn.com/tousu/show/id/1337136","讯联智付无故从我银行卡扣了198元")</f>
        <v>讯联智付无故从我银行卡扣了198元</v>
      </c>
      <c r="C6248" s="2" t="s">
        <v>9</v>
      </c>
      <c r="D6248" s="2" t="s">
        <v>10</v>
      </c>
      <c r="E6248" s="2" t="str">
        <f>HYPERLINK("http://ts.21cn.com/tousu/show/id/1337136","http://ts.21cn.com/tousu/show/id/1337136")</f>
        <v>http://ts.21cn.com/tousu/show/id/1337136</v>
      </c>
      <c r="F6248" s="2" t="s">
        <v>11</v>
      </c>
      <c r="G6248" s="2" t="s">
        <v>31871</v>
      </c>
      <c r="H6248" s="2" t="s">
        <v>31872</v>
      </c>
    </row>
    <row r="6249" spans="1:8" ht="25.05" customHeight="1" x14ac:dyDescent="0.25">
      <c r="A6249" s="2" t="s">
        <v>8</v>
      </c>
      <c r="B6249" s="2" t="str">
        <f>HYPERLINK("http://ts.21cn.com/tousu/show/id/1337137","砍头息，电话骚扰，催收态度恶劣")</f>
        <v>砍头息，电话骚扰，催收态度恶劣</v>
      </c>
      <c r="C6249" s="2" t="s">
        <v>9</v>
      </c>
      <c r="D6249" s="2" t="s">
        <v>10</v>
      </c>
      <c r="E6249" s="2" t="str">
        <f>HYPERLINK("http://ts.21cn.com/tousu/show/id/1337137","http://ts.21cn.com/tousu/show/id/1337137")</f>
        <v>http://ts.21cn.com/tousu/show/id/1337137</v>
      </c>
      <c r="F6249" s="2" t="s">
        <v>11</v>
      </c>
      <c r="G6249" s="2" t="s">
        <v>31869</v>
      </c>
      <c r="H6249" s="2" t="s">
        <v>31870</v>
      </c>
    </row>
    <row r="6250" spans="1:8" ht="25.05" customHeight="1" x14ac:dyDescent="0.25">
      <c r="A6250" s="2" t="s">
        <v>8</v>
      </c>
      <c r="B6250" s="2" t="str">
        <f>HYPERLINK("http://ts.21cn.com/tousu/show/id/1337138","手机借钱APP还款失败客服电话也不接")</f>
        <v>手机借钱APP还款失败客服电话也不接</v>
      </c>
      <c r="C6250" s="2" t="s">
        <v>9</v>
      </c>
      <c r="D6250" s="2" t="s">
        <v>10</v>
      </c>
      <c r="E6250" s="2" t="str">
        <f>HYPERLINK("http://ts.21cn.com/tousu/show/id/1337138","http://ts.21cn.com/tousu/show/id/1337138")</f>
        <v>http://ts.21cn.com/tousu/show/id/1337138</v>
      </c>
      <c r="F6250" s="2" t="s">
        <v>11</v>
      </c>
      <c r="G6250" s="2" t="s">
        <v>31867</v>
      </c>
      <c r="H6250" s="2" t="s">
        <v>31868</v>
      </c>
    </row>
    <row r="6251" spans="1:8" ht="25.05" customHeight="1" x14ac:dyDescent="0.25">
      <c r="A6251" s="2" t="s">
        <v>8</v>
      </c>
      <c r="B6251" s="2" t="str">
        <f>HYPERLINK("http://ts.21cn.com/tousu/show/id/1337139","小蛙卡贷暴力催收，骚扰通讯录，侵犯个人隐私")</f>
        <v>小蛙卡贷暴力催收，骚扰通讯录，侵犯个人隐私</v>
      </c>
      <c r="C6251" s="2" t="s">
        <v>9</v>
      </c>
      <c r="D6251" s="2" t="s">
        <v>10</v>
      </c>
      <c r="E6251" s="2" t="str">
        <f>HYPERLINK("http://ts.21cn.com/tousu/show/id/1337139","http://ts.21cn.com/tousu/show/id/1337139")</f>
        <v>http://ts.21cn.com/tousu/show/id/1337139</v>
      </c>
      <c r="F6251" s="2" t="s">
        <v>11</v>
      </c>
      <c r="G6251" s="2" t="s">
        <v>31865</v>
      </c>
      <c r="H6251" s="2" t="s">
        <v>31866</v>
      </c>
    </row>
    <row r="6252" spans="1:8" ht="25.05" customHeight="1" x14ac:dyDescent="0.25">
      <c r="A6252" s="2" t="s">
        <v>8</v>
      </c>
      <c r="B6252" s="2" t="str">
        <f>HYPERLINK("http://ts.21cn.com/tousu/show/id/1337141","爱又米不愿意协商继续骚扰家人")</f>
        <v>爱又米不愿意协商继续骚扰家人</v>
      </c>
      <c r="C6252" s="2" t="s">
        <v>9</v>
      </c>
      <c r="D6252" s="2" t="s">
        <v>10</v>
      </c>
      <c r="E6252" s="2" t="str">
        <f>HYPERLINK("http://ts.21cn.com/tousu/show/id/1337141","http://ts.21cn.com/tousu/show/id/1337141")</f>
        <v>http://ts.21cn.com/tousu/show/id/1337141</v>
      </c>
      <c r="F6252" s="2" t="s">
        <v>11</v>
      </c>
      <c r="G6252" s="2" t="s">
        <v>31863</v>
      </c>
      <c r="H6252" s="2" t="s">
        <v>31864</v>
      </c>
    </row>
    <row r="6253" spans="1:8" ht="25.05" customHeight="1" x14ac:dyDescent="0.25">
      <c r="A6253" s="2" t="s">
        <v>8</v>
      </c>
      <c r="B6253" s="2" t="str">
        <f>HYPERLINK("http://ts.21cn.com/tousu/show/id/1337140","小黑鲨高额砍头息")</f>
        <v>小黑鲨高额砍头息</v>
      </c>
      <c r="C6253" s="2" t="s">
        <v>9</v>
      </c>
      <c r="D6253" s="2" t="s">
        <v>10</v>
      </c>
      <c r="E6253" s="2" t="str">
        <f>HYPERLINK("http://ts.21cn.com/tousu/show/id/1337140","http://ts.21cn.com/tousu/show/id/1337140")</f>
        <v>http://ts.21cn.com/tousu/show/id/1337140</v>
      </c>
      <c r="F6253" s="2" t="s">
        <v>11</v>
      </c>
      <c r="G6253" s="2" t="s">
        <v>31861</v>
      </c>
      <c r="H6253" s="2" t="s">
        <v>31862</v>
      </c>
    </row>
    <row r="6254" spans="1:8" ht="25.05" customHeight="1" x14ac:dyDescent="0.25">
      <c r="A6254" s="2" t="s">
        <v>8</v>
      </c>
      <c r="B6254" s="2" t="str">
        <f>HYPERLINK("http://ts.21cn.com/tousu/show/id/1332486","闪银高利贷")</f>
        <v>闪银高利贷</v>
      </c>
      <c r="C6254" s="2" t="s">
        <v>9</v>
      </c>
      <c r="D6254" s="2" t="s">
        <v>10</v>
      </c>
      <c r="E6254" s="2" t="str">
        <f>HYPERLINK("http://ts.21cn.com/tousu/show/id/1332486","http://ts.21cn.com/tousu/show/id/1332486")</f>
        <v>http://ts.21cn.com/tousu/show/id/1332486</v>
      </c>
      <c r="F6254" s="2" t="s">
        <v>11</v>
      </c>
      <c r="G6254" s="2" t="s">
        <v>31859</v>
      </c>
      <c r="H6254" s="2" t="s">
        <v>31860</v>
      </c>
    </row>
    <row r="6255" spans="1:8" ht="25.05" customHeight="1" x14ac:dyDescent="0.25">
      <c r="A6255" s="2" t="s">
        <v>8</v>
      </c>
      <c r="B6255" s="2" t="str">
        <f>HYPERLINK("http://ts.21cn.com/tousu/show/id/1337143","申请延期")</f>
        <v>申请延期</v>
      </c>
      <c r="C6255" s="2" t="s">
        <v>34</v>
      </c>
      <c r="D6255" s="2" t="s">
        <v>10</v>
      </c>
      <c r="E6255" s="2" t="str">
        <f>HYPERLINK("http://ts.21cn.com/tousu/show/id/1337143","http://ts.21cn.com/tousu/show/id/1337143")</f>
        <v>http://ts.21cn.com/tousu/show/id/1337143</v>
      </c>
      <c r="F6255" s="2" t="s">
        <v>11</v>
      </c>
      <c r="G6255" s="2" t="s">
        <v>31857</v>
      </c>
      <c r="H6255" s="2" t="s">
        <v>31858</v>
      </c>
    </row>
    <row r="6256" spans="1:8" ht="25.05" customHeight="1" x14ac:dyDescent="0.25">
      <c r="A6256" s="2" t="s">
        <v>8</v>
      </c>
      <c r="B6256" s="2" t="str">
        <f>HYPERLINK("http://ts.21cn.com/tousu/show/id/1337144","爆通讯暴击催收")</f>
        <v>爆通讯暴击催收</v>
      </c>
      <c r="C6256" s="2" t="s">
        <v>9</v>
      </c>
      <c r="D6256" s="2" t="s">
        <v>10</v>
      </c>
      <c r="E6256" s="2" t="str">
        <f>HYPERLINK("http://ts.21cn.com/tousu/show/id/1337144","http://ts.21cn.com/tousu/show/id/1337144")</f>
        <v>http://ts.21cn.com/tousu/show/id/1337144</v>
      </c>
      <c r="F6256" s="2" t="s">
        <v>11</v>
      </c>
      <c r="G6256" s="2" t="s">
        <v>31855</v>
      </c>
      <c r="H6256" s="2" t="s">
        <v>31856</v>
      </c>
    </row>
    <row r="6257" spans="1:8" ht="25.05" customHeight="1" x14ac:dyDescent="0.25">
      <c r="A6257" s="2" t="s">
        <v>8</v>
      </c>
      <c r="B6257" s="2" t="str">
        <f>HYPERLINK("http://ts.21cn.com/tousu/show/id/1337145","钱橙无忧随意扣费")</f>
        <v>钱橙无忧随意扣费</v>
      </c>
      <c r="C6257" s="2" t="s">
        <v>9</v>
      </c>
      <c r="D6257" s="2" t="s">
        <v>10</v>
      </c>
      <c r="E6257" s="2" t="str">
        <f>HYPERLINK("http://ts.21cn.com/tousu/show/id/1337145","http://ts.21cn.com/tousu/show/id/1337145")</f>
        <v>http://ts.21cn.com/tousu/show/id/1337145</v>
      </c>
      <c r="F6257" s="2" t="s">
        <v>11</v>
      </c>
      <c r="G6257" s="2" t="s">
        <v>31853</v>
      </c>
      <c r="H6257" s="2" t="s">
        <v>31854</v>
      </c>
    </row>
    <row r="6258" spans="1:8" ht="25.05" customHeight="1" x14ac:dyDescent="0.25">
      <c r="A6258" s="2" t="s">
        <v>8</v>
      </c>
      <c r="B6258" s="2" t="str">
        <f>HYPERLINK("http://ts.21cn.com/tousu/show/id/1337146","闪银申请延期")</f>
        <v>闪银申请延期</v>
      </c>
      <c r="C6258" s="2" t="s">
        <v>9</v>
      </c>
      <c r="D6258" s="2" t="s">
        <v>10</v>
      </c>
      <c r="E6258" s="2" t="str">
        <f>HYPERLINK("http://ts.21cn.com/tousu/show/id/1337146","http://ts.21cn.com/tousu/show/id/1337146")</f>
        <v>http://ts.21cn.com/tousu/show/id/1337146</v>
      </c>
      <c r="F6258" s="2" t="s">
        <v>11</v>
      </c>
      <c r="G6258" s="2" t="s">
        <v>31851</v>
      </c>
      <c r="H6258" s="2" t="s">
        <v>31852</v>
      </c>
    </row>
    <row r="6259" spans="1:8" ht="25.05" customHeight="1" x14ac:dyDescent="0.25">
      <c r="A6259" s="2" t="s">
        <v>8</v>
      </c>
      <c r="B6259" s="2" t="str">
        <f>HYPERLINK("http://ts.21cn.com/tousu/show/id/1337147","申请玖富万卡减免利息")</f>
        <v>申请玖富万卡减免利息</v>
      </c>
      <c r="C6259" s="2" t="s">
        <v>9</v>
      </c>
      <c r="D6259" s="2" t="s">
        <v>10</v>
      </c>
      <c r="E6259" s="2" t="str">
        <f>HYPERLINK("http://ts.21cn.com/tousu/show/id/1337147","http://ts.21cn.com/tousu/show/id/1337147")</f>
        <v>http://ts.21cn.com/tousu/show/id/1337147</v>
      </c>
      <c r="F6259" s="2" t="s">
        <v>11</v>
      </c>
      <c r="G6259" s="2" t="s">
        <v>31849</v>
      </c>
      <c r="H6259" s="2" t="s">
        <v>31850</v>
      </c>
    </row>
    <row r="6260" spans="1:8" ht="25.05" customHeight="1" x14ac:dyDescent="0.25">
      <c r="A6260" s="2" t="s">
        <v>8</v>
      </c>
      <c r="B6260" s="2" t="str">
        <f>HYPERLINK("http://ts.21cn.com/tousu/show/id/1337148","豹子贷无故扣钱不需要还要扣")</f>
        <v>豹子贷无故扣钱不需要还要扣</v>
      </c>
      <c r="C6260" s="2" t="s">
        <v>9</v>
      </c>
      <c r="D6260" s="2" t="s">
        <v>10</v>
      </c>
      <c r="E6260" s="2" t="str">
        <f>HYPERLINK("http://ts.21cn.com/tousu/show/id/1337148","http://ts.21cn.com/tousu/show/id/1337148")</f>
        <v>http://ts.21cn.com/tousu/show/id/1337148</v>
      </c>
      <c r="F6260" s="2" t="s">
        <v>11</v>
      </c>
      <c r="G6260" s="2" t="s">
        <v>31848</v>
      </c>
      <c r="H6260" s="2" t="s">
        <v>15916</v>
      </c>
    </row>
    <row r="6261" spans="1:8" ht="25.05" customHeight="1" x14ac:dyDescent="0.25">
      <c r="A6261" s="2" t="s">
        <v>8</v>
      </c>
      <c r="B6261" s="2" t="str">
        <f>HYPERLINK("http://ts.21cn.com/tousu/show/id/1337149","钱站高利贷阴阳合同")</f>
        <v>钱站高利贷阴阳合同</v>
      </c>
      <c r="C6261" s="2" t="s">
        <v>9</v>
      </c>
      <c r="D6261" s="2" t="s">
        <v>10</v>
      </c>
      <c r="E6261" s="2" t="str">
        <f>HYPERLINK("http://ts.21cn.com/tousu/show/id/1337149","http://ts.21cn.com/tousu/show/id/1337149")</f>
        <v>http://ts.21cn.com/tousu/show/id/1337149</v>
      </c>
      <c r="F6261" s="2" t="s">
        <v>11</v>
      </c>
      <c r="G6261" s="2" t="s">
        <v>31846</v>
      </c>
      <c r="H6261" s="2" t="s">
        <v>31847</v>
      </c>
    </row>
    <row r="6262" spans="1:8" ht="25.05" customHeight="1" x14ac:dyDescent="0.25">
      <c r="A6262" s="2" t="s">
        <v>8</v>
      </c>
      <c r="B6262" s="2" t="str">
        <f>HYPERLINK("http://ts.21cn.com/tousu/show/id/1337142","中国金融通乱扣费消费不明确")</f>
        <v>中国金融通乱扣费消费不明确</v>
      </c>
      <c r="C6262" s="2" t="s">
        <v>9</v>
      </c>
      <c r="D6262" s="2" t="s">
        <v>10</v>
      </c>
      <c r="E6262" s="2" t="str">
        <f>HYPERLINK("http://ts.21cn.com/tousu/show/id/1337142","http://ts.21cn.com/tousu/show/id/1337142")</f>
        <v>http://ts.21cn.com/tousu/show/id/1337142</v>
      </c>
      <c r="F6262" s="2" t="s">
        <v>11</v>
      </c>
      <c r="G6262" s="2" t="s">
        <v>31844</v>
      </c>
      <c r="H6262" s="2" t="s">
        <v>31845</v>
      </c>
    </row>
    <row r="6263" spans="1:8" ht="25.05" customHeight="1" x14ac:dyDescent="0.25">
      <c r="A6263" s="2" t="s">
        <v>8</v>
      </c>
      <c r="B6263" s="2" t="str">
        <f>HYPERLINK("http://ts.21cn.com/tousu/show/id/1337150","抖音短视频出现太多现金贷视频")</f>
        <v>抖音短视频出现太多现金贷视频</v>
      </c>
      <c r="C6263" s="2" t="s">
        <v>9</v>
      </c>
      <c r="D6263" s="2" t="s">
        <v>10</v>
      </c>
      <c r="E6263" s="2" t="str">
        <f>HYPERLINK("http://ts.21cn.com/tousu/show/id/1337150","http://ts.21cn.com/tousu/show/id/1337150")</f>
        <v>http://ts.21cn.com/tousu/show/id/1337150</v>
      </c>
      <c r="F6263" s="2" t="s">
        <v>11</v>
      </c>
      <c r="G6263" s="2" t="s">
        <v>31842</v>
      </c>
      <c r="H6263" s="2" t="s">
        <v>31843</v>
      </c>
    </row>
    <row r="6264" spans="1:8" ht="25.05" customHeight="1" x14ac:dyDescent="0.25">
      <c r="A6264" s="2" t="s">
        <v>8</v>
      </c>
      <c r="B6264" s="2" t="str">
        <f>HYPERLINK("http://ts.21cn.com/tousu/show/id/1337151","百度有钱花爆通讯录")</f>
        <v>百度有钱花爆通讯录</v>
      </c>
      <c r="C6264" s="2" t="s">
        <v>9</v>
      </c>
      <c r="D6264" s="2" t="s">
        <v>10</v>
      </c>
      <c r="E6264" s="2" t="str">
        <f>HYPERLINK("http://ts.21cn.com/tousu/show/id/1337151","http://ts.21cn.com/tousu/show/id/1337151")</f>
        <v>http://ts.21cn.com/tousu/show/id/1337151</v>
      </c>
      <c r="F6264" s="2" t="s">
        <v>11</v>
      </c>
      <c r="G6264" s="2" t="s">
        <v>31840</v>
      </c>
      <c r="H6264" s="2" t="s">
        <v>31841</v>
      </c>
    </row>
    <row r="6265" spans="1:8" ht="25.05" customHeight="1" x14ac:dyDescent="0.25">
      <c r="A6265" s="2" t="s">
        <v>8</v>
      </c>
      <c r="B6265" s="2" t="str">
        <f>HYPERLINK("http://ts.21cn.com/tousu/show/id/1337152","滴滴客服联系不上，电话打不通。")</f>
        <v>滴滴客服联系不上，电话打不通。</v>
      </c>
      <c r="C6265" s="2" t="s">
        <v>9</v>
      </c>
      <c r="D6265" s="2" t="s">
        <v>10</v>
      </c>
      <c r="E6265" s="2" t="str">
        <f>HYPERLINK("http://ts.21cn.com/tousu/show/id/1337152","http://ts.21cn.com/tousu/show/id/1337152")</f>
        <v>http://ts.21cn.com/tousu/show/id/1337152</v>
      </c>
      <c r="F6265" s="2" t="s">
        <v>11</v>
      </c>
      <c r="G6265" s="2" t="s">
        <v>31838</v>
      </c>
      <c r="H6265" s="2" t="s">
        <v>31839</v>
      </c>
    </row>
    <row r="6266" spans="1:8" ht="25.05" customHeight="1" x14ac:dyDescent="0.25">
      <c r="A6266" s="2" t="s">
        <v>8</v>
      </c>
      <c r="B6266" s="2" t="str">
        <f>HYPERLINK("http://ts.21cn.com/tousu/show/id/1337153","招联金融")</f>
        <v>招联金融</v>
      </c>
      <c r="C6266" s="2" t="s">
        <v>9</v>
      </c>
      <c r="D6266" s="2" t="s">
        <v>10</v>
      </c>
      <c r="E6266" s="2" t="str">
        <f>HYPERLINK("http://ts.21cn.com/tousu/show/id/1337153","http://ts.21cn.com/tousu/show/id/1337153")</f>
        <v>http://ts.21cn.com/tousu/show/id/1337153</v>
      </c>
      <c r="F6266" s="2" t="s">
        <v>11</v>
      </c>
      <c r="G6266" s="2" t="s">
        <v>31836</v>
      </c>
      <c r="H6266" s="2" t="s">
        <v>31837</v>
      </c>
    </row>
    <row r="6267" spans="1:8" ht="25.05" customHeight="1" x14ac:dyDescent="0.25">
      <c r="A6267" s="2" t="s">
        <v>8</v>
      </c>
      <c r="B6267" s="2" t="str">
        <f>HYPERLINK("http://ts.21cn.com/tousu/show/id/1337154","跨行异地转账")</f>
        <v>跨行异地转账</v>
      </c>
      <c r="C6267" s="2" t="s">
        <v>9</v>
      </c>
      <c r="D6267" s="2" t="s">
        <v>10</v>
      </c>
      <c r="E6267" s="2" t="str">
        <f>HYPERLINK("http://ts.21cn.com/tousu/show/id/1337154","http://ts.21cn.com/tousu/show/id/1337154")</f>
        <v>http://ts.21cn.com/tousu/show/id/1337154</v>
      </c>
      <c r="F6267" s="2" t="s">
        <v>11</v>
      </c>
      <c r="G6267" s="2" t="s">
        <v>31834</v>
      </c>
      <c r="H6267" s="2" t="s">
        <v>31835</v>
      </c>
    </row>
    <row r="6268" spans="1:8" ht="25.05" customHeight="1" x14ac:dyDescent="0.25">
      <c r="A6268" s="2" t="s">
        <v>8</v>
      </c>
      <c r="B6268" s="2" t="str">
        <f>HYPERLINK("http://ts.21cn.com/tousu/show/id/1337155","暴力催收")</f>
        <v>暴力催收</v>
      </c>
      <c r="C6268" s="2" t="s">
        <v>9</v>
      </c>
      <c r="D6268" s="2" t="s">
        <v>10</v>
      </c>
      <c r="E6268" s="2" t="str">
        <f>HYPERLINK("http://ts.21cn.com/tousu/show/id/1337155","http://ts.21cn.com/tousu/show/id/1337155")</f>
        <v>http://ts.21cn.com/tousu/show/id/1337155</v>
      </c>
      <c r="F6268" s="2" t="s">
        <v>11</v>
      </c>
      <c r="G6268" s="2" t="s">
        <v>31832</v>
      </c>
      <c r="H6268" s="2" t="s">
        <v>31833</v>
      </c>
    </row>
    <row r="6269" spans="1:8" ht="25.05" customHeight="1" x14ac:dyDescent="0.25">
      <c r="A6269" s="2" t="s">
        <v>8</v>
      </c>
      <c r="B6269" s="2" t="str">
        <f>HYPERLINK("http://ts.21cn.com/tousu/show/id/1337158","立借钱置宝高额砍头息")</f>
        <v>立借钱置宝高额砍头息</v>
      </c>
      <c r="C6269" s="2" t="s">
        <v>34</v>
      </c>
      <c r="D6269" s="2" t="s">
        <v>10</v>
      </c>
      <c r="E6269" s="2" t="str">
        <f>HYPERLINK("http://ts.21cn.com/tousu/show/id/1337158","http://ts.21cn.com/tousu/show/id/1337158")</f>
        <v>http://ts.21cn.com/tousu/show/id/1337158</v>
      </c>
      <c r="F6269" s="2" t="s">
        <v>11</v>
      </c>
      <c r="G6269" s="2" t="s">
        <v>31830</v>
      </c>
      <c r="H6269" s="2" t="s">
        <v>31831</v>
      </c>
    </row>
    <row r="6270" spans="1:8" ht="25.05" customHeight="1" x14ac:dyDescent="0.25">
      <c r="A6270" s="2" t="s">
        <v>8</v>
      </c>
      <c r="B6270" s="2" t="str">
        <f>HYPERLINK("http://ts.21cn.com/tousu/show/id/1337157","毛豆新车在线客服态度恶劣")</f>
        <v>毛豆新车在线客服态度恶劣</v>
      </c>
      <c r="C6270" s="2" t="s">
        <v>9</v>
      </c>
      <c r="D6270" s="2" t="s">
        <v>10</v>
      </c>
      <c r="E6270" s="2" t="str">
        <f>HYPERLINK("http://ts.21cn.com/tousu/show/id/1337157","http://ts.21cn.com/tousu/show/id/1337157")</f>
        <v>http://ts.21cn.com/tousu/show/id/1337157</v>
      </c>
      <c r="F6270" s="2" t="s">
        <v>11</v>
      </c>
      <c r="G6270" s="2" t="s">
        <v>31828</v>
      </c>
      <c r="H6270" s="2" t="s">
        <v>31829</v>
      </c>
    </row>
    <row r="6271" spans="1:8" ht="25.05" customHeight="1" x14ac:dyDescent="0.25">
      <c r="A6271" s="2" t="s">
        <v>8</v>
      </c>
      <c r="B6271" s="2" t="str">
        <f>HYPERLINK("http://ts.21cn.com/tousu/show/id/1337159","信用管家平台好运金高利贷")</f>
        <v>信用管家平台好运金高利贷</v>
      </c>
      <c r="C6271" s="2" t="s">
        <v>9</v>
      </c>
      <c r="D6271" s="2" t="s">
        <v>10</v>
      </c>
      <c r="E6271" s="2" t="str">
        <f>HYPERLINK("http://ts.21cn.com/tousu/show/id/1337159","http://ts.21cn.com/tousu/show/id/1337159")</f>
        <v>http://ts.21cn.com/tousu/show/id/1337159</v>
      </c>
      <c r="F6271" s="2" t="s">
        <v>11</v>
      </c>
      <c r="G6271" s="2" t="s">
        <v>31826</v>
      </c>
      <c r="H6271" s="2" t="s">
        <v>31827</v>
      </c>
    </row>
    <row r="6272" spans="1:8" ht="25.05" customHeight="1" x14ac:dyDescent="0.25">
      <c r="A6272" s="2" t="s">
        <v>8</v>
      </c>
      <c r="B6272" s="2" t="str">
        <f>HYPERLINK("http://ts.21cn.com/tousu/show/id/1337160","闪电借款变相高额砍头息，高利贷，电话骚扰")</f>
        <v>闪电借款变相高额砍头息，高利贷，电话骚扰</v>
      </c>
      <c r="C6272" s="2" t="s">
        <v>9</v>
      </c>
      <c r="D6272" s="2" t="s">
        <v>10</v>
      </c>
      <c r="E6272" s="2" t="str">
        <f>HYPERLINK("http://ts.21cn.com/tousu/show/id/1337160","http://ts.21cn.com/tousu/show/id/1337160")</f>
        <v>http://ts.21cn.com/tousu/show/id/1337160</v>
      </c>
      <c r="F6272" s="2" t="s">
        <v>11</v>
      </c>
      <c r="G6272" s="2" t="s">
        <v>31824</v>
      </c>
      <c r="H6272" s="2" t="s">
        <v>31825</v>
      </c>
    </row>
    <row r="6273" spans="1:8" ht="25.05" customHeight="1" x14ac:dyDescent="0.25">
      <c r="A6273" s="2" t="s">
        <v>8</v>
      </c>
      <c r="B6273" s="2" t="str">
        <f>HYPERLINK("http://ts.21cn.com/tousu/show/id/1337161","一步用车共享汽车不退押金")</f>
        <v>一步用车共享汽车不退押金</v>
      </c>
      <c r="C6273" s="2" t="s">
        <v>9</v>
      </c>
      <c r="D6273" s="2" t="s">
        <v>10</v>
      </c>
      <c r="E6273" s="2" t="str">
        <f>HYPERLINK("http://ts.21cn.com/tousu/show/id/1337161","http://ts.21cn.com/tousu/show/id/1337161")</f>
        <v>http://ts.21cn.com/tousu/show/id/1337161</v>
      </c>
      <c r="F6273" s="2" t="s">
        <v>11</v>
      </c>
      <c r="G6273" s="2" t="s">
        <v>31822</v>
      </c>
      <c r="H6273" s="2" t="s">
        <v>31823</v>
      </c>
    </row>
    <row r="6274" spans="1:8" ht="25.05" customHeight="1" x14ac:dyDescent="0.25">
      <c r="A6274" s="2" t="s">
        <v>8</v>
      </c>
      <c r="B6274" s="2" t="str">
        <f>HYPERLINK("http://ts.21cn.com/tousu/show/id/1337162","拼多多店铺三级限制钱不能提现")</f>
        <v>拼多多店铺三级限制钱不能提现</v>
      </c>
      <c r="C6274" s="2" t="s">
        <v>9</v>
      </c>
      <c r="D6274" s="2" t="s">
        <v>10</v>
      </c>
      <c r="E6274" s="2" t="str">
        <f>HYPERLINK("http://ts.21cn.com/tousu/show/id/1337162","http://ts.21cn.com/tousu/show/id/1337162")</f>
        <v>http://ts.21cn.com/tousu/show/id/1337162</v>
      </c>
      <c r="F6274" s="2" t="s">
        <v>11</v>
      </c>
      <c r="G6274" s="2" t="s">
        <v>31820</v>
      </c>
      <c r="H6274" s="2" t="s">
        <v>31821</v>
      </c>
    </row>
    <row r="6275" spans="1:8" ht="25.05" customHeight="1" x14ac:dyDescent="0.25">
      <c r="A6275" s="2" t="s">
        <v>8</v>
      </c>
      <c r="B6275" s="2" t="str">
        <f>HYPERLINK("http://ts.21cn.com/tousu/show/id/1337163","万达普惠恶意让我逾期")</f>
        <v>万达普惠恶意让我逾期</v>
      </c>
      <c r="C6275" s="2" t="s">
        <v>34</v>
      </c>
      <c r="D6275" s="2" t="s">
        <v>10</v>
      </c>
      <c r="E6275" s="2" t="str">
        <f>HYPERLINK("http://ts.21cn.com/tousu/show/id/1337163","http://ts.21cn.com/tousu/show/id/1337163")</f>
        <v>http://ts.21cn.com/tousu/show/id/1337163</v>
      </c>
      <c r="F6275" s="2" t="s">
        <v>11</v>
      </c>
      <c r="G6275" s="2" t="s">
        <v>31818</v>
      </c>
      <c r="H6275" s="2" t="s">
        <v>31819</v>
      </c>
    </row>
    <row r="6276" spans="1:8" ht="25.05" customHeight="1" x14ac:dyDescent="0.25">
      <c r="A6276" s="2" t="s">
        <v>8</v>
      </c>
      <c r="B6276" s="2" t="str">
        <f>HYPERLINK("http://ts.21cn.com/tousu/show/id/1337164","自由魔卡超级马力贷砍头怡")</f>
        <v>自由魔卡超级马力贷砍头怡</v>
      </c>
      <c r="C6276" s="2" t="s">
        <v>9</v>
      </c>
      <c r="D6276" s="2" t="s">
        <v>10</v>
      </c>
      <c r="E6276" s="2" t="str">
        <f>HYPERLINK("http://ts.21cn.com/tousu/show/id/1337164","http://ts.21cn.com/tousu/show/id/1337164")</f>
        <v>http://ts.21cn.com/tousu/show/id/1337164</v>
      </c>
      <c r="F6276" s="2" t="s">
        <v>11</v>
      </c>
      <c r="G6276" s="2" t="s">
        <v>31816</v>
      </c>
      <c r="H6276" s="2" t="s">
        <v>31817</v>
      </c>
    </row>
    <row r="6277" spans="1:8" ht="25.05" customHeight="1" x14ac:dyDescent="0.25">
      <c r="A6277" s="2" t="s">
        <v>8</v>
      </c>
      <c r="B6277" s="2" t="str">
        <f>HYPERLINK("http://ts.21cn.com/tousu/show/id/1337165","宜信催收肆意妄为")</f>
        <v>宜信催收肆意妄为</v>
      </c>
      <c r="C6277" s="2" t="s">
        <v>9</v>
      </c>
      <c r="D6277" s="2" t="s">
        <v>10</v>
      </c>
      <c r="E6277" s="2" t="str">
        <f>HYPERLINK("http://ts.21cn.com/tousu/show/id/1337165","http://ts.21cn.com/tousu/show/id/1337165")</f>
        <v>http://ts.21cn.com/tousu/show/id/1337165</v>
      </c>
      <c r="F6277" s="2" t="s">
        <v>11</v>
      </c>
      <c r="G6277" s="2" t="s">
        <v>31814</v>
      </c>
      <c r="H6277" s="2" t="s">
        <v>31815</v>
      </c>
    </row>
    <row r="6278" spans="1:8" ht="25.05" customHeight="1" x14ac:dyDescent="0.25">
      <c r="A6278" s="2" t="s">
        <v>8</v>
      </c>
      <c r="B6278" s="2" t="str">
        <f>HYPERLINK("http://ts.21cn.com/tousu/show/id/1337166","严重骚扰")</f>
        <v>严重骚扰</v>
      </c>
      <c r="C6278" s="2" t="s">
        <v>9</v>
      </c>
      <c r="D6278" s="2" t="s">
        <v>10</v>
      </c>
      <c r="E6278" s="2" t="str">
        <f>HYPERLINK("http://ts.21cn.com/tousu/show/id/1337166","http://ts.21cn.com/tousu/show/id/1337166")</f>
        <v>http://ts.21cn.com/tousu/show/id/1337166</v>
      </c>
      <c r="F6278" s="2" t="s">
        <v>11</v>
      </c>
      <c r="G6278" s="2" t="s">
        <v>31812</v>
      </c>
      <c r="H6278" s="2" t="s">
        <v>31813</v>
      </c>
    </row>
    <row r="6279" spans="1:8" ht="25.05" customHeight="1" x14ac:dyDescent="0.25">
      <c r="A6279" s="2" t="s">
        <v>8</v>
      </c>
      <c r="B6279" s="2" t="str">
        <f>HYPERLINK("http://ts.21cn.com/tousu/show/id/1337167","成都易行商旅信息技术有限公司在兴义机场虚假宣传推销VIP卡，要求商家退款")</f>
        <v>成都易行商旅信息技术有限公司在兴义机场虚假宣传推销VIP卡，要求商家退款</v>
      </c>
      <c r="C6279" s="2" t="s">
        <v>9</v>
      </c>
      <c r="D6279" s="2" t="s">
        <v>10</v>
      </c>
      <c r="E6279" s="2" t="str">
        <f>HYPERLINK("http://ts.21cn.com/tousu/show/id/1337167","http://ts.21cn.com/tousu/show/id/1337167")</f>
        <v>http://ts.21cn.com/tousu/show/id/1337167</v>
      </c>
      <c r="F6279" s="2" t="s">
        <v>11</v>
      </c>
      <c r="G6279" s="2" t="s">
        <v>31810</v>
      </c>
      <c r="H6279" s="2" t="s">
        <v>31811</v>
      </c>
    </row>
    <row r="6280" spans="1:8" ht="25.05" customHeight="1" x14ac:dyDescent="0.25">
      <c r="A6280" s="2" t="s">
        <v>8</v>
      </c>
      <c r="B6280" s="2" t="str">
        <f>HYPERLINK("http://ts.21cn.com/tousu/show/id/1337168","浦发银行给条活路")</f>
        <v>浦发银行给条活路</v>
      </c>
      <c r="C6280" s="2" t="s">
        <v>9</v>
      </c>
      <c r="D6280" s="2" t="s">
        <v>10</v>
      </c>
      <c r="E6280" s="2" t="str">
        <f>HYPERLINK("http://ts.21cn.com/tousu/show/id/1337168","http://ts.21cn.com/tousu/show/id/1337168")</f>
        <v>http://ts.21cn.com/tousu/show/id/1337168</v>
      </c>
      <c r="F6280" s="2" t="s">
        <v>11</v>
      </c>
      <c r="G6280" s="2" t="s">
        <v>31808</v>
      </c>
      <c r="H6280" s="2" t="s">
        <v>31809</v>
      </c>
    </row>
    <row r="6281" spans="1:8" ht="25.05" customHeight="1" x14ac:dyDescent="0.25">
      <c r="A6281" s="2" t="s">
        <v>8</v>
      </c>
      <c r="B6281" s="2" t="str">
        <f>HYPERLINK("http://ts.21cn.com/tousu/show/id/1337169","拍拍贷套路贷")</f>
        <v>拍拍贷套路贷</v>
      </c>
      <c r="C6281" s="2" t="s">
        <v>9</v>
      </c>
      <c r="D6281" s="2" t="s">
        <v>10</v>
      </c>
      <c r="E6281" s="2" t="str">
        <f>HYPERLINK("http://ts.21cn.com/tousu/show/id/1337169","http://ts.21cn.com/tousu/show/id/1337169")</f>
        <v>http://ts.21cn.com/tousu/show/id/1337169</v>
      </c>
      <c r="F6281" s="2" t="s">
        <v>11</v>
      </c>
      <c r="G6281" s="2" t="s">
        <v>31806</v>
      </c>
      <c r="H6281" s="2" t="s">
        <v>31807</v>
      </c>
    </row>
    <row r="6282" spans="1:8" ht="25.05" customHeight="1" x14ac:dyDescent="0.25">
      <c r="A6282" s="2" t="s">
        <v>8</v>
      </c>
      <c r="B6282" s="2" t="str">
        <f>HYPERLINK("http://ts.21cn.com/tousu/show/id/1337170","来分期人员骚扰，客服胡乱承诺")</f>
        <v>来分期人员骚扰，客服胡乱承诺</v>
      </c>
      <c r="C6282" s="2" t="s">
        <v>9</v>
      </c>
      <c r="D6282" s="2" t="s">
        <v>10</v>
      </c>
      <c r="E6282" s="2" t="str">
        <f>HYPERLINK("http://ts.21cn.com/tousu/show/id/1337170","http://ts.21cn.com/tousu/show/id/1337170")</f>
        <v>http://ts.21cn.com/tousu/show/id/1337170</v>
      </c>
      <c r="F6282" s="2" t="s">
        <v>11</v>
      </c>
      <c r="G6282" s="2" t="s">
        <v>31804</v>
      </c>
      <c r="H6282" s="2" t="s">
        <v>31805</v>
      </c>
    </row>
    <row r="6283" spans="1:8" ht="25.05" customHeight="1" x14ac:dyDescent="0.25">
      <c r="A6283" s="2" t="s">
        <v>8</v>
      </c>
      <c r="B6283" s="2" t="str">
        <f>HYPERLINK("http://ts.21cn.com/tousu/show/id/1337171","给我几天时间，国庆延迟到账")</f>
        <v>给我几天时间，国庆延迟到账</v>
      </c>
      <c r="C6283" s="2" t="s">
        <v>34</v>
      </c>
      <c r="D6283" s="2" t="s">
        <v>10</v>
      </c>
      <c r="E6283" s="2" t="str">
        <f>HYPERLINK("http://ts.21cn.com/tousu/show/id/1337171","http://ts.21cn.com/tousu/show/id/1337171")</f>
        <v>http://ts.21cn.com/tousu/show/id/1337171</v>
      </c>
      <c r="F6283" s="2" t="s">
        <v>11</v>
      </c>
      <c r="G6283" s="2" t="s">
        <v>31802</v>
      </c>
      <c r="H6283" s="2" t="s">
        <v>31803</v>
      </c>
    </row>
    <row r="6284" spans="1:8" ht="25.05" customHeight="1" x14ac:dyDescent="0.25">
      <c r="A6284" s="2" t="s">
        <v>8</v>
      </c>
      <c r="B6284" s="2" t="str">
        <f>HYPERLINK("http://ts.21cn.com/tousu/show/id/1337173","国美易卡威胁恐吓")</f>
        <v>国美易卡威胁恐吓</v>
      </c>
      <c r="C6284" s="2" t="s">
        <v>9</v>
      </c>
      <c r="D6284" s="2" t="s">
        <v>10</v>
      </c>
      <c r="E6284" s="2" t="str">
        <f>HYPERLINK("http://ts.21cn.com/tousu/show/id/1337173","http://ts.21cn.com/tousu/show/id/1337173")</f>
        <v>http://ts.21cn.com/tousu/show/id/1337173</v>
      </c>
      <c r="F6284" s="2" t="s">
        <v>11</v>
      </c>
      <c r="G6284" s="2" t="s">
        <v>31800</v>
      </c>
      <c r="H6284" s="2" t="s">
        <v>31801</v>
      </c>
    </row>
    <row r="6285" spans="1:8" ht="25.05" customHeight="1" x14ac:dyDescent="0.25">
      <c r="A6285" s="2" t="s">
        <v>8</v>
      </c>
      <c r="B6285" s="2" t="str">
        <f>HYPERLINK("http://ts.21cn.com/tousu/show/id/1337174","松紧贷高利贷")</f>
        <v>松紧贷高利贷</v>
      </c>
      <c r="C6285" s="2" t="s">
        <v>9</v>
      </c>
      <c r="D6285" s="2" t="s">
        <v>10</v>
      </c>
      <c r="E6285" s="2" t="str">
        <f>HYPERLINK("http://ts.21cn.com/tousu/show/id/1337174","http://ts.21cn.com/tousu/show/id/1337174")</f>
        <v>http://ts.21cn.com/tousu/show/id/1337174</v>
      </c>
      <c r="F6285" s="2" t="s">
        <v>11</v>
      </c>
      <c r="G6285" s="2" t="s">
        <v>31798</v>
      </c>
      <c r="H6285" s="2" t="s">
        <v>31799</v>
      </c>
    </row>
    <row r="6286" spans="1:8" ht="25.05" customHeight="1" x14ac:dyDescent="0.25">
      <c r="A6286" s="2" t="s">
        <v>8</v>
      </c>
      <c r="B6286" s="2" t="str">
        <f>HYPERLINK("http://ts.21cn.com/tousu/show/id/1337175","捷信消费金融有限公司频繁电话骚扰")</f>
        <v>捷信消费金融有限公司频繁电话骚扰</v>
      </c>
      <c r="C6286" s="2" t="s">
        <v>9</v>
      </c>
      <c r="D6286" s="2" t="s">
        <v>10</v>
      </c>
      <c r="E6286" s="2" t="str">
        <f>HYPERLINK("http://ts.21cn.com/tousu/show/id/1337175","http://ts.21cn.com/tousu/show/id/1337175")</f>
        <v>http://ts.21cn.com/tousu/show/id/1337175</v>
      </c>
      <c r="F6286" s="2" t="s">
        <v>11</v>
      </c>
      <c r="G6286" s="2" t="s">
        <v>31796</v>
      </c>
      <c r="H6286" s="2" t="s">
        <v>31797</v>
      </c>
    </row>
    <row r="6287" spans="1:8" ht="25.05" customHeight="1" x14ac:dyDescent="0.25">
      <c r="A6287" s="2" t="s">
        <v>8</v>
      </c>
      <c r="B6287" s="2" t="str">
        <f>HYPERLINK("http://ts.21cn.com/tousu/show/id/1337176","小赢卡贷暴力催收威胁")</f>
        <v>小赢卡贷暴力催收威胁</v>
      </c>
      <c r="C6287" s="2" t="s">
        <v>9</v>
      </c>
      <c r="D6287" s="2" t="s">
        <v>10</v>
      </c>
      <c r="E6287" s="2" t="str">
        <f>HYPERLINK("http://ts.21cn.com/tousu/show/id/1337176","http://ts.21cn.com/tousu/show/id/1337176")</f>
        <v>http://ts.21cn.com/tousu/show/id/1337176</v>
      </c>
      <c r="F6287" s="2" t="s">
        <v>11</v>
      </c>
      <c r="G6287" s="2" t="s">
        <v>31794</v>
      </c>
      <c r="H6287" s="2" t="s">
        <v>31795</v>
      </c>
    </row>
    <row r="6288" spans="1:8" ht="25.05" customHeight="1" x14ac:dyDescent="0.25">
      <c r="A6288" s="2" t="s">
        <v>8</v>
      </c>
      <c r="B6288" s="2" t="str">
        <f>HYPERLINK("http://ts.21cn.com/tousu/show/id/1337177","中止合同后拖欠房租、押金、赔偿金")</f>
        <v>中止合同后拖欠房租、押金、赔偿金</v>
      </c>
      <c r="C6288" s="2" t="s">
        <v>9</v>
      </c>
      <c r="D6288" s="2" t="s">
        <v>10</v>
      </c>
      <c r="E6288" s="2" t="str">
        <f>HYPERLINK("http://ts.21cn.com/tousu/show/id/1337177","http://ts.21cn.com/tousu/show/id/1337177")</f>
        <v>http://ts.21cn.com/tousu/show/id/1337177</v>
      </c>
      <c r="F6288" s="2" t="s">
        <v>11</v>
      </c>
      <c r="G6288" s="2" t="s">
        <v>31792</v>
      </c>
      <c r="H6288" s="2" t="s">
        <v>31793</v>
      </c>
    </row>
    <row r="6289" spans="1:8" ht="25.05" customHeight="1" x14ac:dyDescent="0.25">
      <c r="A6289" s="2" t="s">
        <v>8</v>
      </c>
      <c r="B6289" s="2" t="str">
        <f>HYPERLINK("http://ts.21cn.com/tousu/show/id/1337178","联动云没用却一直扣时长费")</f>
        <v>联动云没用却一直扣时长费</v>
      </c>
      <c r="C6289" s="2" t="s">
        <v>9</v>
      </c>
      <c r="D6289" s="2" t="s">
        <v>10</v>
      </c>
      <c r="E6289" s="2" t="str">
        <f>HYPERLINK("http://ts.21cn.com/tousu/show/id/1337178","http://ts.21cn.com/tousu/show/id/1337178")</f>
        <v>http://ts.21cn.com/tousu/show/id/1337178</v>
      </c>
      <c r="F6289" s="2" t="s">
        <v>11</v>
      </c>
      <c r="G6289" s="2" t="s">
        <v>31790</v>
      </c>
      <c r="H6289" s="2" t="s">
        <v>31791</v>
      </c>
    </row>
    <row r="6290" spans="1:8" ht="25.05" customHeight="1" x14ac:dyDescent="0.25">
      <c r="A6290" s="2" t="s">
        <v>8</v>
      </c>
      <c r="B6290" s="2" t="str">
        <f>HYPERLINK("http://ts.21cn.com/tousu/show/id/1337179","百事普惠")</f>
        <v>百事普惠</v>
      </c>
      <c r="C6290" s="2" t="s">
        <v>9</v>
      </c>
      <c r="D6290" s="2" t="s">
        <v>10</v>
      </c>
      <c r="E6290" s="2" t="str">
        <f>HYPERLINK("http://ts.21cn.com/tousu/show/id/1337179","http://ts.21cn.com/tousu/show/id/1337179")</f>
        <v>http://ts.21cn.com/tousu/show/id/1337179</v>
      </c>
      <c r="F6290" s="2" t="s">
        <v>11</v>
      </c>
      <c r="G6290" s="2" t="s">
        <v>31789</v>
      </c>
      <c r="H6290" s="2" t="s">
        <v>24748</v>
      </c>
    </row>
    <row r="6291" spans="1:8" ht="25.05" customHeight="1" x14ac:dyDescent="0.25">
      <c r="A6291" s="2" t="s">
        <v>8</v>
      </c>
      <c r="B6291" s="2" t="str">
        <f>HYPERLINK("http://ts.21cn.com/tousu/show/id/1337180","账号被恶意绑定未成年")</f>
        <v>账号被恶意绑定未成年</v>
      </c>
      <c r="C6291" s="2" t="s">
        <v>9</v>
      </c>
      <c r="D6291" s="2" t="s">
        <v>10</v>
      </c>
      <c r="E6291" s="2" t="str">
        <f>HYPERLINK("http://ts.21cn.com/tousu/show/id/1337180","http://ts.21cn.com/tousu/show/id/1337180")</f>
        <v>http://ts.21cn.com/tousu/show/id/1337180</v>
      </c>
      <c r="F6291" s="2" t="s">
        <v>11</v>
      </c>
      <c r="G6291" s="2" t="s">
        <v>31787</v>
      </c>
      <c r="H6291" s="2" t="s">
        <v>31788</v>
      </c>
    </row>
    <row r="6292" spans="1:8" ht="25.05" customHeight="1" x14ac:dyDescent="0.25">
      <c r="A6292" s="2" t="s">
        <v>8</v>
      </c>
      <c r="B6292" s="2" t="str">
        <f>HYPERLINK("http://ts.21cn.com/tousu/show/id/1337183","周周花花高额砍头息，高炮中的高炮")</f>
        <v>周周花花高额砍头息，高炮中的高炮</v>
      </c>
      <c r="C6292" s="2" t="s">
        <v>9</v>
      </c>
      <c r="D6292" s="2" t="s">
        <v>10</v>
      </c>
      <c r="E6292" s="2" t="str">
        <f>HYPERLINK("http://ts.21cn.com/tousu/show/id/1337183","http://ts.21cn.com/tousu/show/id/1337183")</f>
        <v>http://ts.21cn.com/tousu/show/id/1337183</v>
      </c>
      <c r="F6292" s="2" t="s">
        <v>11</v>
      </c>
      <c r="G6292" s="2" t="s">
        <v>31785</v>
      </c>
      <c r="H6292" s="2" t="s">
        <v>31786</v>
      </c>
    </row>
    <row r="6293" spans="1:8" ht="25.05" customHeight="1" x14ac:dyDescent="0.25">
      <c r="A6293" s="2" t="s">
        <v>8</v>
      </c>
      <c r="B6293" s="2" t="str">
        <f>HYPERLINK("http://ts.21cn.com/tousu/show/id/1337182","凌驾于规则之上随意扣分")</f>
        <v>凌驾于规则之上随意扣分</v>
      </c>
      <c r="C6293" s="2" t="s">
        <v>9</v>
      </c>
      <c r="D6293" s="2" t="s">
        <v>10</v>
      </c>
      <c r="E6293" s="2" t="str">
        <f>HYPERLINK("http://ts.21cn.com/tousu/show/id/1337182","http://ts.21cn.com/tousu/show/id/1337182")</f>
        <v>http://ts.21cn.com/tousu/show/id/1337182</v>
      </c>
      <c r="F6293" s="2" t="s">
        <v>11</v>
      </c>
      <c r="G6293" s="2" t="s">
        <v>31783</v>
      </c>
      <c r="H6293" s="2" t="s">
        <v>31784</v>
      </c>
    </row>
    <row r="6294" spans="1:8" ht="25.05" customHeight="1" x14ac:dyDescent="0.25">
      <c r="A6294" s="2" t="s">
        <v>8</v>
      </c>
      <c r="B6294" s="2" t="str">
        <f>HYPERLINK("http://ts.21cn.com/tousu/show/id/1337184","易安保险勾结贷款平台强行搭售高价保险")</f>
        <v>易安保险勾结贷款平台强行搭售高价保险</v>
      </c>
      <c r="C6294" s="2" t="s">
        <v>9</v>
      </c>
      <c r="D6294" s="2" t="s">
        <v>10</v>
      </c>
      <c r="E6294" s="2" t="str">
        <f>HYPERLINK("http://ts.21cn.com/tousu/show/id/1337184","http://ts.21cn.com/tousu/show/id/1337184")</f>
        <v>http://ts.21cn.com/tousu/show/id/1337184</v>
      </c>
      <c r="F6294" s="2" t="s">
        <v>11</v>
      </c>
      <c r="G6294" s="2" t="s">
        <v>31781</v>
      </c>
      <c r="H6294" s="2" t="s">
        <v>31782</v>
      </c>
    </row>
    <row r="6295" spans="1:8" ht="25.05" customHeight="1" x14ac:dyDescent="0.25">
      <c r="A6295" s="2" t="s">
        <v>8</v>
      </c>
      <c r="B6295" s="2" t="str">
        <f>HYPERLINK("http://ts.21cn.com/tousu/show/id/1337189","卡牛瑞贷强制收取会员权益费")</f>
        <v>卡牛瑞贷强制收取会员权益费</v>
      </c>
      <c r="C6295" s="2" t="s">
        <v>9</v>
      </c>
      <c r="D6295" s="2" t="s">
        <v>10</v>
      </c>
      <c r="E6295" s="2" t="str">
        <f>HYPERLINK("http://ts.21cn.com/tousu/show/id/1337189","http://ts.21cn.com/tousu/show/id/1337189")</f>
        <v>http://ts.21cn.com/tousu/show/id/1337189</v>
      </c>
      <c r="F6295" s="2" t="s">
        <v>11</v>
      </c>
      <c r="G6295" s="2" t="s">
        <v>31779</v>
      </c>
      <c r="H6295" s="2" t="s">
        <v>31780</v>
      </c>
    </row>
    <row r="6296" spans="1:8" ht="25.05" customHeight="1" x14ac:dyDescent="0.25">
      <c r="A6296" s="2" t="s">
        <v>8</v>
      </c>
      <c r="B6296" s="2" t="str">
        <f>HYPERLINK("http://ts.21cn.com/tousu/show/id/1337186","聚富钱包随意扣费")</f>
        <v>聚富钱包随意扣费</v>
      </c>
      <c r="C6296" s="2" t="s">
        <v>34</v>
      </c>
      <c r="D6296" s="2" t="s">
        <v>10</v>
      </c>
      <c r="E6296" s="2" t="str">
        <f>HYPERLINK("http://ts.21cn.com/tousu/show/id/1337186","http://ts.21cn.com/tousu/show/id/1337186")</f>
        <v>http://ts.21cn.com/tousu/show/id/1337186</v>
      </c>
      <c r="F6296" s="2" t="s">
        <v>11</v>
      </c>
      <c r="G6296" s="2" t="s">
        <v>31777</v>
      </c>
      <c r="H6296" s="2" t="s">
        <v>31778</v>
      </c>
    </row>
    <row r="6297" spans="1:8" ht="25.05" customHeight="1" x14ac:dyDescent="0.25">
      <c r="A6297" s="2" t="s">
        <v>8</v>
      </c>
      <c r="B6297" s="2" t="str">
        <f>HYPERLINK("http://ts.21cn.com/tousu/show/id/1337188","钱站高利贷阴阳合同")</f>
        <v>钱站高利贷阴阳合同</v>
      </c>
      <c r="C6297" s="2" t="s">
        <v>9</v>
      </c>
      <c r="D6297" s="2" t="s">
        <v>10</v>
      </c>
      <c r="E6297" s="2" t="str">
        <f>HYPERLINK("http://ts.21cn.com/tousu/show/id/1337188","http://ts.21cn.com/tousu/show/id/1337188")</f>
        <v>http://ts.21cn.com/tousu/show/id/1337188</v>
      </c>
      <c r="F6297" s="2" t="s">
        <v>11</v>
      </c>
      <c r="G6297" s="2" t="s">
        <v>31775</v>
      </c>
      <c r="H6297" s="2" t="s">
        <v>31776</v>
      </c>
    </row>
    <row r="6298" spans="1:8" ht="25.05" customHeight="1" x14ac:dyDescent="0.25">
      <c r="A6298" s="2" t="s">
        <v>8</v>
      </c>
      <c r="B6298" s="2" t="str">
        <f>HYPERLINK("http://ts.21cn.com/tousu/show/id/1337190","爱用商城分期手机，未发货前要求取消订单并未取消，手机收到后我已经退货，从九月二十号至今未退款，取消合同。")</f>
        <v>爱用商城分期手机，未发货前要求取消订单并未取消，手机收到后我已经退货，从九月二十号至今未退款，取消合同。</v>
      </c>
      <c r="C6298" s="2" t="s">
        <v>34</v>
      </c>
      <c r="D6298" s="2" t="s">
        <v>10</v>
      </c>
      <c r="E6298" s="2" t="str">
        <f>HYPERLINK("http://ts.21cn.com/tousu/show/id/1337190","http://ts.21cn.com/tousu/show/id/1337190")</f>
        <v>http://ts.21cn.com/tousu/show/id/1337190</v>
      </c>
      <c r="F6298" s="2" t="s">
        <v>11</v>
      </c>
      <c r="G6298" s="2" t="s">
        <v>31773</v>
      </c>
      <c r="H6298" s="2" t="s">
        <v>31774</v>
      </c>
    </row>
    <row r="6299" spans="1:8" ht="25.05" customHeight="1" x14ac:dyDescent="0.25">
      <c r="A6299" s="2" t="s">
        <v>8</v>
      </c>
      <c r="B6299" s="2" t="str">
        <f>HYPERLINK("http://ts.21cn.com/tousu/show/id/1337193","51人品贷恶意骚扰")</f>
        <v>51人品贷恶意骚扰</v>
      </c>
      <c r="C6299" s="2" t="s">
        <v>9</v>
      </c>
      <c r="D6299" s="2" t="s">
        <v>10</v>
      </c>
      <c r="E6299" s="2" t="str">
        <f>HYPERLINK("http://ts.21cn.com/tousu/show/id/1337193","http://ts.21cn.com/tousu/show/id/1337193")</f>
        <v>http://ts.21cn.com/tousu/show/id/1337193</v>
      </c>
      <c r="F6299" s="2" t="s">
        <v>11</v>
      </c>
      <c r="G6299" s="2" t="s">
        <v>31771</v>
      </c>
      <c r="H6299" s="2" t="s">
        <v>31772</v>
      </c>
    </row>
    <row r="6300" spans="1:8" ht="25.05" customHeight="1" x14ac:dyDescent="0.25">
      <c r="A6300" s="2" t="s">
        <v>8</v>
      </c>
      <c r="B6300" s="2" t="str">
        <f>HYPERLINK("http://ts.21cn.com/tousu/show/id/1337195","打电话威胁家人朋友，已经严重影响到生活了")</f>
        <v>打电话威胁家人朋友，已经严重影响到生活了</v>
      </c>
      <c r="C6300" s="2" t="s">
        <v>9</v>
      </c>
      <c r="D6300" s="2" t="s">
        <v>10</v>
      </c>
      <c r="E6300" s="2" t="str">
        <f>HYPERLINK("http://ts.21cn.com/tousu/show/id/1337195","http://ts.21cn.com/tousu/show/id/1337195")</f>
        <v>http://ts.21cn.com/tousu/show/id/1337195</v>
      </c>
      <c r="F6300" s="2" t="s">
        <v>11</v>
      </c>
      <c r="G6300" s="2" t="s">
        <v>31769</v>
      </c>
      <c r="H6300" s="2" t="s">
        <v>31770</v>
      </c>
    </row>
    <row r="6301" spans="1:8" ht="25.05" customHeight="1" x14ac:dyDescent="0.25">
      <c r="A6301" s="2" t="s">
        <v>8</v>
      </c>
      <c r="B6301" s="2" t="str">
        <f>HYPERLINK("http://ts.21cn.com/tousu/show/id/1337194","点融魔借砍头息")</f>
        <v>点融魔借砍头息</v>
      </c>
      <c r="C6301" s="2" t="s">
        <v>34</v>
      </c>
      <c r="D6301" s="2" t="s">
        <v>10</v>
      </c>
      <c r="E6301" s="2" t="str">
        <f>HYPERLINK("http://ts.21cn.com/tousu/show/id/1337194","http://ts.21cn.com/tousu/show/id/1337194")</f>
        <v>http://ts.21cn.com/tousu/show/id/1337194</v>
      </c>
      <c r="F6301" s="2" t="s">
        <v>11</v>
      </c>
      <c r="G6301" s="2" t="s">
        <v>31767</v>
      </c>
      <c r="H6301" s="2" t="s">
        <v>31768</v>
      </c>
    </row>
    <row r="6302" spans="1:8" ht="25.05" customHeight="1" x14ac:dyDescent="0.25">
      <c r="A6302" s="2" t="s">
        <v>8</v>
      </c>
      <c r="B6302" s="2" t="str">
        <f>HYPERLINK("http://ts.21cn.com/tousu/show/id/1337196","威胁恐吓催收不协商")</f>
        <v>威胁恐吓催收不协商</v>
      </c>
      <c r="C6302" s="2" t="s">
        <v>9</v>
      </c>
      <c r="D6302" s="2" t="s">
        <v>10</v>
      </c>
      <c r="E6302" s="2" t="str">
        <f>HYPERLINK("http://ts.21cn.com/tousu/show/id/1337196","http://ts.21cn.com/tousu/show/id/1337196")</f>
        <v>http://ts.21cn.com/tousu/show/id/1337196</v>
      </c>
      <c r="F6302" s="2" t="s">
        <v>11</v>
      </c>
      <c r="G6302" s="2" t="s">
        <v>31765</v>
      </c>
      <c r="H6302" s="2" t="s">
        <v>31766</v>
      </c>
    </row>
    <row r="6303" spans="1:8" ht="25.05" customHeight="1" x14ac:dyDescent="0.25">
      <c r="A6303" s="2" t="s">
        <v>8</v>
      </c>
      <c r="B6303" s="2" t="str">
        <f>HYPERLINK("http://ts.21cn.com/tousu/show/id/1337198","现金借款协商还款时间")</f>
        <v>现金借款协商还款时间</v>
      </c>
      <c r="C6303" s="2" t="s">
        <v>9</v>
      </c>
      <c r="D6303" s="2" t="s">
        <v>10</v>
      </c>
      <c r="E6303" s="2" t="str">
        <f>HYPERLINK("http://ts.21cn.com/tousu/show/id/1337198","http://ts.21cn.com/tousu/show/id/1337198")</f>
        <v>http://ts.21cn.com/tousu/show/id/1337198</v>
      </c>
      <c r="F6303" s="2" t="s">
        <v>11</v>
      </c>
      <c r="G6303" s="2" t="s">
        <v>31763</v>
      </c>
      <c r="H6303" s="2" t="s">
        <v>31764</v>
      </c>
    </row>
    <row r="6304" spans="1:8" ht="25.05" customHeight="1" x14ac:dyDescent="0.25">
      <c r="A6304" s="2" t="s">
        <v>8</v>
      </c>
      <c r="B6304" s="2" t="str">
        <f>HYPERLINK("http://ts.21cn.com/tousu/show/id/1337197","平安i贷高利息暴力催收")</f>
        <v>平安i贷高利息暴力催收</v>
      </c>
      <c r="C6304" s="2" t="s">
        <v>9</v>
      </c>
      <c r="D6304" s="2" t="s">
        <v>10</v>
      </c>
      <c r="E6304" s="2" t="str">
        <f>HYPERLINK("http://ts.21cn.com/tousu/show/id/1337197","http://ts.21cn.com/tousu/show/id/1337197")</f>
        <v>http://ts.21cn.com/tousu/show/id/1337197</v>
      </c>
      <c r="F6304" s="2" t="s">
        <v>11</v>
      </c>
      <c r="G6304" s="2" t="s">
        <v>31761</v>
      </c>
      <c r="H6304" s="2" t="s">
        <v>31762</v>
      </c>
    </row>
    <row r="6305" spans="1:8" ht="25.05" customHeight="1" x14ac:dyDescent="0.25">
      <c r="A6305" s="2" t="s">
        <v>8</v>
      </c>
      <c r="B6305" s="2" t="str">
        <f>HYPERLINK("http://ts.21cn.com/tousu/show/id/1337199","闪电借款恶意骚扰")</f>
        <v>闪电借款恶意骚扰</v>
      </c>
      <c r="C6305" s="2" t="s">
        <v>9</v>
      </c>
      <c r="D6305" s="2" t="s">
        <v>10</v>
      </c>
      <c r="E6305" s="2" t="str">
        <f>HYPERLINK("http://ts.21cn.com/tousu/show/id/1337199","http://ts.21cn.com/tousu/show/id/1337199")</f>
        <v>http://ts.21cn.com/tousu/show/id/1337199</v>
      </c>
      <c r="F6305" s="2" t="s">
        <v>11</v>
      </c>
      <c r="G6305" s="2" t="s">
        <v>31759</v>
      </c>
      <c r="H6305" s="2" t="s">
        <v>31760</v>
      </c>
    </row>
    <row r="6306" spans="1:8" ht="25.05" customHeight="1" x14ac:dyDescent="0.25">
      <c r="A6306" s="2" t="s">
        <v>8</v>
      </c>
      <c r="B6306" s="2" t="str">
        <f>HYPERLINK("http://ts.21cn.com/tousu/show/id/1337200","维信卡卡贷威胁爆通讯录并联系工作单位")</f>
        <v>维信卡卡贷威胁爆通讯录并联系工作单位</v>
      </c>
      <c r="C6306" s="2" t="s">
        <v>9</v>
      </c>
      <c r="D6306" s="2" t="s">
        <v>10</v>
      </c>
      <c r="E6306" s="2" t="str">
        <f>HYPERLINK("http://ts.21cn.com/tousu/show/id/1337200","http://ts.21cn.com/tousu/show/id/1337200")</f>
        <v>http://ts.21cn.com/tousu/show/id/1337200</v>
      </c>
      <c r="F6306" s="2" t="s">
        <v>11</v>
      </c>
      <c r="G6306" s="2" t="s">
        <v>31757</v>
      </c>
      <c r="H6306" s="2" t="s">
        <v>31758</v>
      </c>
    </row>
    <row r="6307" spans="1:8" ht="25.05" customHeight="1" x14ac:dyDescent="0.25">
      <c r="A6307" s="2" t="s">
        <v>8</v>
      </c>
      <c r="B6307" s="2" t="str">
        <f>HYPERLINK("http://ts.21cn.com/tousu/show/id/1337201","暴力催收，高利贷")</f>
        <v>暴力催收，高利贷</v>
      </c>
      <c r="C6307" s="2" t="s">
        <v>9</v>
      </c>
      <c r="D6307" s="2" t="s">
        <v>10</v>
      </c>
      <c r="E6307" s="2" t="str">
        <f>HYPERLINK("http://ts.21cn.com/tousu/show/id/1337201","http://ts.21cn.com/tousu/show/id/1337201")</f>
        <v>http://ts.21cn.com/tousu/show/id/1337201</v>
      </c>
      <c r="F6307" s="2" t="s">
        <v>11</v>
      </c>
      <c r="G6307" s="2" t="s">
        <v>31755</v>
      </c>
      <c r="H6307" s="2" t="s">
        <v>31756</v>
      </c>
    </row>
    <row r="6308" spans="1:8" ht="25.05" customHeight="1" x14ac:dyDescent="0.25">
      <c r="A6308" s="2" t="s">
        <v>8</v>
      </c>
      <c r="B6308" s="2" t="str">
        <f>HYPERLINK("http://ts.21cn.com/tousu/show/id/1337202","火影帮超级高利贷")</f>
        <v>火影帮超级高利贷</v>
      </c>
      <c r="C6308" s="2" t="s">
        <v>9</v>
      </c>
      <c r="D6308" s="2" t="s">
        <v>10</v>
      </c>
      <c r="E6308" s="2" t="str">
        <f>HYPERLINK("http://ts.21cn.com/tousu/show/id/1337202","http://ts.21cn.com/tousu/show/id/1337202")</f>
        <v>http://ts.21cn.com/tousu/show/id/1337202</v>
      </c>
      <c r="F6308" s="2" t="s">
        <v>11</v>
      </c>
      <c r="G6308" s="2" t="s">
        <v>31753</v>
      </c>
      <c r="H6308" s="2" t="s">
        <v>31754</v>
      </c>
    </row>
    <row r="6309" spans="1:8" ht="25.05" customHeight="1" x14ac:dyDescent="0.25">
      <c r="A6309" s="2" t="s">
        <v>8</v>
      </c>
      <c r="B6309" s="2" t="str">
        <f>HYPERLINK("http://ts.21cn.com/tousu/show/id/1337203","有人在拼多多盗刷我支付宝864元金额，反馈拼多多一直不处理！！")</f>
        <v>有人在拼多多盗刷我支付宝864元金额，反馈拼多多一直不处理！！</v>
      </c>
      <c r="C6309" s="2" t="s">
        <v>9</v>
      </c>
      <c r="D6309" s="2" t="s">
        <v>10</v>
      </c>
      <c r="E6309" s="2" t="str">
        <f>HYPERLINK("http://ts.21cn.com/tousu/show/id/1337203","http://ts.21cn.com/tousu/show/id/1337203")</f>
        <v>http://ts.21cn.com/tousu/show/id/1337203</v>
      </c>
      <c r="F6309" s="2" t="s">
        <v>11</v>
      </c>
      <c r="G6309" s="2" t="s">
        <v>31751</v>
      </c>
      <c r="H6309" s="2" t="s">
        <v>31752</v>
      </c>
    </row>
    <row r="6310" spans="1:8" ht="25.05" customHeight="1" x14ac:dyDescent="0.25">
      <c r="A6310" s="2" t="s">
        <v>8</v>
      </c>
      <c r="B6310" s="2" t="str">
        <f>HYPERLINK("http://ts.21cn.com/tousu/show/id/1337205","未经允许擅自扣款")</f>
        <v>未经允许擅自扣款</v>
      </c>
      <c r="C6310" s="2" t="s">
        <v>34</v>
      </c>
      <c r="D6310" s="2" t="s">
        <v>10</v>
      </c>
      <c r="E6310" s="2" t="str">
        <f>HYPERLINK("http://ts.21cn.com/tousu/show/id/1337205","http://ts.21cn.com/tousu/show/id/1337205")</f>
        <v>http://ts.21cn.com/tousu/show/id/1337205</v>
      </c>
      <c r="F6310" s="2" t="s">
        <v>11</v>
      </c>
      <c r="G6310" s="2" t="s">
        <v>31749</v>
      </c>
      <c r="H6310" s="2" t="s">
        <v>31750</v>
      </c>
    </row>
    <row r="6311" spans="1:8" ht="25.05" customHeight="1" x14ac:dyDescent="0.25">
      <c r="A6311" s="2" t="s">
        <v>8</v>
      </c>
      <c r="B6311" s="2" t="str">
        <f>HYPERLINK("http://ts.21cn.com/tousu/show/id/1337204","砍头息，套路贷，高利贷")</f>
        <v>砍头息，套路贷，高利贷</v>
      </c>
      <c r="C6311" s="2" t="s">
        <v>9</v>
      </c>
      <c r="D6311" s="2" t="s">
        <v>10</v>
      </c>
      <c r="E6311" s="2" t="str">
        <f>HYPERLINK("http://ts.21cn.com/tousu/show/id/1337204","http://ts.21cn.com/tousu/show/id/1337204")</f>
        <v>http://ts.21cn.com/tousu/show/id/1337204</v>
      </c>
      <c r="F6311" s="2" t="s">
        <v>11</v>
      </c>
      <c r="G6311" s="2" t="s">
        <v>31747</v>
      </c>
      <c r="H6311" s="2" t="s">
        <v>31748</v>
      </c>
    </row>
    <row r="6312" spans="1:8" ht="25.05" customHeight="1" x14ac:dyDescent="0.25">
      <c r="A6312" s="2" t="s">
        <v>8</v>
      </c>
      <c r="B6312" s="2" t="str">
        <f>HYPERLINK("http://ts.21cn.com/tousu/show/id/1337206","小赢卡贷高利贷并且在本人不知道的情况下强制购买保险")</f>
        <v>小赢卡贷高利贷并且在本人不知道的情况下强制购买保险</v>
      </c>
      <c r="C6312" s="2" t="s">
        <v>9</v>
      </c>
      <c r="D6312" s="2" t="s">
        <v>10</v>
      </c>
      <c r="E6312" s="2" t="str">
        <f>HYPERLINK("http://ts.21cn.com/tousu/show/id/1337206","http://ts.21cn.com/tousu/show/id/1337206")</f>
        <v>http://ts.21cn.com/tousu/show/id/1337206</v>
      </c>
      <c r="F6312" s="2" t="s">
        <v>11</v>
      </c>
      <c r="G6312" s="2" t="s">
        <v>31745</v>
      </c>
      <c r="H6312" s="2" t="s">
        <v>31746</v>
      </c>
    </row>
    <row r="6313" spans="1:8" ht="25.05" customHeight="1" x14ac:dyDescent="0.25">
      <c r="A6313" s="2" t="s">
        <v>8</v>
      </c>
      <c r="B6313" s="2" t="str">
        <f>HYPERLINK("http://ts.21cn.com/tousu/show/id/1337207","360借条催收黑社会一样")</f>
        <v>360借条催收黑社会一样</v>
      </c>
      <c r="C6313" s="2" t="s">
        <v>9</v>
      </c>
      <c r="D6313" s="2" t="s">
        <v>10</v>
      </c>
      <c r="E6313" s="2" t="str">
        <f>HYPERLINK("http://ts.21cn.com/tousu/show/id/1337207","http://ts.21cn.com/tousu/show/id/1337207")</f>
        <v>http://ts.21cn.com/tousu/show/id/1337207</v>
      </c>
      <c r="F6313" s="2" t="s">
        <v>11</v>
      </c>
      <c r="G6313" s="2" t="s">
        <v>31743</v>
      </c>
      <c r="H6313" s="2" t="s">
        <v>31744</v>
      </c>
    </row>
    <row r="6314" spans="1:8" ht="25.05" customHeight="1" x14ac:dyDescent="0.25">
      <c r="A6314" s="2" t="s">
        <v>8</v>
      </c>
      <c r="B6314" s="2" t="str">
        <f>HYPERLINK("http://ts.21cn.com/tousu/show/id/1337208","维信卡卡贷恶意逾期")</f>
        <v>维信卡卡贷恶意逾期</v>
      </c>
      <c r="C6314" s="2" t="s">
        <v>9</v>
      </c>
      <c r="D6314" s="2" t="s">
        <v>10</v>
      </c>
      <c r="E6314" s="2" t="str">
        <f>HYPERLINK("http://ts.21cn.com/tousu/show/id/1337208","http://ts.21cn.com/tousu/show/id/1337208")</f>
        <v>http://ts.21cn.com/tousu/show/id/1337208</v>
      </c>
      <c r="F6314" s="2" t="s">
        <v>11</v>
      </c>
      <c r="G6314" s="2" t="s">
        <v>31741</v>
      </c>
      <c r="H6314" s="2" t="s">
        <v>31742</v>
      </c>
    </row>
    <row r="6315" spans="1:8" ht="25.05" customHeight="1" x14ac:dyDescent="0.25">
      <c r="A6315" s="2" t="s">
        <v>8</v>
      </c>
      <c r="B6315" s="2" t="str">
        <f>HYPERLINK("http://ts.21cn.com/tousu/show/id/1337209","恐吓威胁辱骂电话")</f>
        <v>恐吓威胁辱骂电话</v>
      </c>
      <c r="C6315" s="2" t="s">
        <v>9</v>
      </c>
      <c r="D6315" s="2" t="s">
        <v>10</v>
      </c>
      <c r="E6315" s="2" t="str">
        <f>HYPERLINK("http://ts.21cn.com/tousu/show/id/1337209","http://ts.21cn.com/tousu/show/id/1337209")</f>
        <v>http://ts.21cn.com/tousu/show/id/1337209</v>
      </c>
      <c r="F6315" s="2" t="s">
        <v>11</v>
      </c>
      <c r="G6315" s="2" t="s">
        <v>31739</v>
      </c>
      <c r="H6315" s="2" t="s">
        <v>31740</v>
      </c>
    </row>
    <row r="6316" spans="1:8" ht="25.05" customHeight="1" x14ac:dyDescent="0.25">
      <c r="A6316" s="2" t="s">
        <v>8</v>
      </c>
      <c r="B6316" s="2" t="str">
        <f>HYPERLINK("http://ts.21cn.com/tousu/show/id/1337210","要求郑海清调整利息到百分之24之内，中国不需要高利贷，")</f>
        <v>要求郑海清调整利息到百分之24之内，中国不需要高利贷，</v>
      </c>
      <c r="C6316" s="2" t="s">
        <v>9</v>
      </c>
      <c r="D6316" s="2" t="s">
        <v>10</v>
      </c>
      <c r="E6316" s="2" t="str">
        <f>HYPERLINK("http://ts.21cn.com/tousu/show/id/1337210","http://ts.21cn.com/tousu/show/id/1337210")</f>
        <v>http://ts.21cn.com/tousu/show/id/1337210</v>
      </c>
      <c r="F6316" s="2" t="s">
        <v>11</v>
      </c>
      <c r="G6316" s="2" t="s">
        <v>31737</v>
      </c>
      <c r="H6316" s="2" t="s">
        <v>31738</v>
      </c>
    </row>
    <row r="6317" spans="1:8" ht="25.05" customHeight="1" x14ac:dyDescent="0.25">
      <c r="A6317" s="2" t="s">
        <v>8</v>
      </c>
      <c r="B6317" s="2" t="str">
        <f>HYPERLINK("http://ts.21cn.com/tousu/show/id/1337211","水莲金条还款失败")</f>
        <v>水莲金条还款失败</v>
      </c>
      <c r="C6317" s="2" t="s">
        <v>34</v>
      </c>
      <c r="D6317" s="2" t="s">
        <v>10</v>
      </c>
      <c r="E6317" s="2" t="str">
        <f>HYPERLINK("http://ts.21cn.com/tousu/show/id/1337211","http://ts.21cn.com/tousu/show/id/1337211")</f>
        <v>http://ts.21cn.com/tousu/show/id/1337211</v>
      </c>
      <c r="F6317" s="2" t="s">
        <v>11</v>
      </c>
      <c r="G6317" s="2" t="s">
        <v>31735</v>
      </c>
      <c r="H6317" s="2" t="s">
        <v>31736</v>
      </c>
    </row>
    <row r="6318" spans="1:8" ht="25.05" customHeight="1" x14ac:dyDescent="0.25">
      <c r="A6318" s="2" t="s">
        <v>8</v>
      </c>
      <c r="B6318" s="2" t="str">
        <f>HYPERLINK("http://ts.21cn.com/tousu/show/id/1337212","暴力催收")</f>
        <v>暴力催收</v>
      </c>
      <c r="C6318" s="2" t="s">
        <v>9</v>
      </c>
      <c r="D6318" s="2" t="s">
        <v>10</v>
      </c>
      <c r="E6318" s="2" t="str">
        <f>HYPERLINK("http://ts.21cn.com/tousu/show/id/1337212","http://ts.21cn.com/tousu/show/id/1337212")</f>
        <v>http://ts.21cn.com/tousu/show/id/1337212</v>
      </c>
      <c r="F6318" s="2" t="s">
        <v>11</v>
      </c>
      <c r="G6318" s="2" t="s">
        <v>31733</v>
      </c>
      <c r="H6318" s="2" t="s">
        <v>31734</v>
      </c>
    </row>
    <row r="6319" spans="1:8" ht="25.05" customHeight="1" x14ac:dyDescent="0.25">
      <c r="A6319" s="2" t="s">
        <v>8</v>
      </c>
      <c r="B6319" s="2" t="str">
        <f>HYPERLINK("http://ts.21cn.com/tousu/show/id/1337214","在未经我同意且毫无知情的情况下购买了保险")</f>
        <v>在未经我同意且毫无知情的情况下购买了保险</v>
      </c>
      <c r="C6319" s="2" t="s">
        <v>9</v>
      </c>
      <c r="D6319" s="2" t="s">
        <v>10</v>
      </c>
      <c r="E6319" s="2" t="str">
        <f>HYPERLINK("http://ts.21cn.com/tousu/show/id/1337214","http://ts.21cn.com/tousu/show/id/1337214")</f>
        <v>http://ts.21cn.com/tousu/show/id/1337214</v>
      </c>
      <c r="F6319" s="2" t="s">
        <v>11</v>
      </c>
      <c r="G6319" s="2" t="s">
        <v>31731</v>
      </c>
      <c r="H6319" s="2" t="s">
        <v>31732</v>
      </c>
    </row>
    <row r="6320" spans="1:8" ht="25.05" customHeight="1" x14ac:dyDescent="0.25">
      <c r="A6320" s="2" t="s">
        <v>8</v>
      </c>
      <c r="B6320" s="2" t="str">
        <f>HYPERLINK("http://ts.21cn.com/tousu/show/id/1337213","立刻出行平台不退押金，打客服电话永远无人接听，平台5-10工作日退还押金，现在都快20天了，都没有反应")</f>
        <v>立刻出行平台不退押金，打客服电话永远无人接听，平台5-10工作日退还押金，现在都快20天了，都没有反应</v>
      </c>
      <c r="C6320" s="2" t="s">
        <v>9</v>
      </c>
      <c r="D6320" s="2" t="s">
        <v>10</v>
      </c>
      <c r="E6320" s="2" t="str">
        <f>HYPERLINK("http://ts.21cn.com/tousu/show/id/1337213","http://ts.21cn.com/tousu/show/id/1337213")</f>
        <v>http://ts.21cn.com/tousu/show/id/1337213</v>
      </c>
      <c r="F6320" s="2" t="s">
        <v>11</v>
      </c>
      <c r="G6320" s="2" t="s">
        <v>31729</v>
      </c>
      <c r="H6320" s="2" t="s">
        <v>31730</v>
      </c>
    </row>
    <row r="6321" spans="1:8" ht="25.05" customHeight="1" x14ac:dyDescent="0.25">
      <c r="A6321" s="2" t="s">
        <v>8</v>
      </c>
      <c r="B6321" s="2" t="str">
        <f>HYPERLINK("http://ts.21cn.com/tousu/show/id/1337216","畅捷支付为高利贷提供放款渠道")</f>
        <v>畅捷支付为高利贷提供放款渠道</v>
      </c>
      <c r="C6321" s="2" t="s">
        <v>9</v>
      </c>
      <c r="D6321" s="2" t="s">
        <v>10</v>
      </c>
      <c r="E6321" s="2" t="str">
        <f>HYPERLINK("http://ts.21cn.com/tousu/show/id/1337216","http://ts.21cn.com/tousu/show/id/1337216")</f>
        <v>http://ts.21cn.com/tousu/show/id/1337216</v>
      </c>
      <c r="F6321" s="2" t="s">
        <v>11</v>
      </c>
      <c r="G6321" s="2" t="s">
        <v>31727</v>
      </c>
      <c r="H6321" s="2" t="s">
        <v>31728</v>
      </c>
    </row>
    <row r="6322" spans="1:8" ht="25.05" customHeight="1" x14ac:dyDescent="0.25">
      <c r="A6322" s="2" t="s">
        <v>8</v>
      </c>
      <c r="B6322" s="2" t="str">
        <f>HYPERLINK("http://ts.21cn.com/tousu/show/id/1337218","交通银行让第三方暴力催收")</f>
        <v>交通银行让第三方暴力催收</v>
      </c>
      <c r="C6322" s="2" t="s">
        <v>9</v>
      </c>
      <c r="D6322" s="2" t="s">
        <v>10</v>
      </c>
      <c r="E6322" s="2" t="str">
        <f>HYPERLINK("http://ts.21cn.com/tousu/show/id/1337218","http://ts.21cn.com/tousu/show/id/1337218")</f>
        <v>http://ts.21cn.com/tousu/show/id/1337218</v>
      </c>
      <c r="F6322" s="2" t="s">
        <v>11</v>
      </c>
      <c r="G6322" s="2" t="s">
        <v>31725</v>
      </c>
      <c r="H6322" s="2" t="s">
        <v>31726</v>
      </c>
    </row>
    <row r="6323" spans="1:8" ht="25.05" customHeight="1" x14ac:dyDescent="0.25">
      <c r="A6323" s="2" t="s">
        <v>8</v>
      </c>
      <c r="B6323" s="2" t="str">
        <f>HYPERLINK("http://ts.21cn.com/tousu/show/id/1337219","中信银行不协商上门催收")</f>
        <v>中信银行不协商上门催收</v>
      </c>
      <c r="C6323" s="2" t="s">
        <v>9</v>
      </c>
      <c r="D6323" s="2" t="s">
        <v>10</v>
      </c>
      <c r="E6323" s="2" t="str">
        <f>HYPERLINK("http://ts.21cn.com/tousu/show/id/1337219","http://ts.21cn.com/tousu/show/id/1337219")</f>
        <v>http://ts.21cn.com/tousu/show/id/1337219</v>
      </c>
      <c r="F6323" s="2" t="s">
        <v>11</v>
      </c>
      <c r="G6323" s="2" t="s">
        <v>31723</v>
      </c>
      <c r="H6323" s="2" t="s">
        <v>31724</v>
      </c>
    </row>
    <row r="6324" spans="1:8" ht="25.05" customHeight="1" x14ac:dyDescent="0.25">
      <c r="A6324" s="2" t="s">
        <v>8</v>
      </c>
      <c r="B6324" s="2" t="str">
        <f>HYPERLINK("http://ts.21cn.com/tousu/show/id/1337220","高额利息砍头息")</f>
        <v>高额利息砍头息</v>
      </c>
      <c r="C6324" s="2" t="s">
        <v>9</v>
      </c>
      <c r="D6324" s="2" t="s">
        <v>10</v>
      </c>
      <c r="E6324" s="2" t="str">
        <f>HYPERLINK("http://ts.21cn.com/tousu/show/id/1337220","http://ts.21cn.com/tousu/show/id/1337220")</f>
        <v>http://ts.21cn.com/tousu/show/id/1337220</v>
      </c>
      <c r="F6324" s="2" t="s">
        <v>11</v>
      </c>
      <c r="G6324" s="2" t="s">
        <v>31721</v>
      </c>
      <c r="H6324" s="2" t="s">
        <v>31722</v>
      </c>
    </row>
    <row r="6325" spans="1:8" ht="25.05" customHeight="1" x14ac:dyDescent="0.25">
      <c r="A6325" s="2" t="s">
        <v>8</v>
      </c>
      <c r="B6325" s="2" t="str">
        <f>HYPERLINK("http://ts.21cn.com/tousu/show/id/1337221","恐吓，威胁，骚扰，拨打通讯录")</f>
        <v>恐吓，威胁，骚扰，拨打通讯录</v>
      </c>
      <c r="C6325" s="2" t="s">
        <v>9</v>
      </c>
      <c r="D6325" s="2" t="s">
        <v>10</v>
      </c>
      <c r="E6325" s="2" t="str">
        <f>HYPERLINK("http://ts.21cn.com/tousu/show/id/1337221","http://ts.21cn.com/tousu/show/id/1337221")</f>
        <v>http://ts.21cn.com/tousu/show/id/1337221</v>
      </c>
      <c r="F6325" s="2" t="s">
        <v>11</v>
      </c>
      <c r="G6325" s="2" t="s">
        <v>31719</v>
      </c>
      <c r="H6325" s="2" t="s">
        <v>31720</v>
      </c>
    </row>
    <row r="6326" spans="1:8" ht="25.05" customHeight="1" x14ac:dyDescent="0.25">
      <c r="A6326" s="2" t="s">
        <v>8</v>
      </c>
      <c r="B6326" s="2" t="str">
        <f>HYPERLINK("http://ts.21cn.com/tousu/show/id/1337222","美利车")</f>
        <v>美利车</v>
      </c>
      <c r="C6326" s="2" t="s">
        <v>9</v>
      </c>
      <c r="D6326" s="2" t="s">
        <v>10</v>
      </c>
      <c r="E6326" s="2" t="str">
        <f>HYPERLINK("http://ts.21cn.com/tousu/show/id/1337222","http://ts.21cn.com/tousu/show/id/1337222")</f>
        <v>http://ts.21cn.com/tousu/show/id/1337222</v>
      </c>
      <c r="F6326" s="2" t="s">
        <v>11</v>
      </c>
      <c r="G6326" s="2" t="s">
        <v>31717</v>
      </c>
      <c r="H6326" s="2" t="s">
        <v>31718</v>
      </c>
    </row>
    <row r="6327" spans="1:8" ht="25.05" customHeight="1" x14ac:dyDescent="0.25">
      <c r="A6327" s="2" t="s">
        <v>8</v>
      </c>
      <c r="B6327" s="2" t="str">
        <f>HYPERLINK("http://ts.21cn.com/tousu/show/id/1337223","我来贷暴力催收")</f>
        <v>我来贷暴力催收</v>
      </c>
      <c r="C6327" s="2" t="s">
        <v>9</v>
      </c>
      <c r="D6327" s="2" t="s">
        <v>10</v>
      </c>
      <c r="E6327" s="2" t="str">
        <f>HYPERLINK("http://ts.21cn.com/tousu/show/id/1337223","http://ts.21cn.com/tousu/show/id/1337223")</f>
        <v>http://ts.21cn.com/tousu/show/id/1337223</v>
      </c>
      <c r="F6327" s="2" t="s">
        <v>11</v>
      </c>
      <c r="G6327" s="2" t="s">
        <v>31715</v>
      </c>
      <c r="H6327" s="2" t="s">
        <v>31716</v>
      </c>
    </row>
    <row r="6328" spans="1:8" ht="25.05" customHeight="1" x14ac:dyDescent="0.25">
      <c r="A6328" s="2" t="s">
        <v>8</v>
      </c>
      <c r="B6328" s="2" t="str">
        <f>HYPERLINK("http://ts.21cn.com/tousu/show/id/1337225","金鸡下蛋套路贷砍头息")</f>
        <v>金鸡下蛋套路贷砍头息</v>
      </c>
      <c r="C6328" s="2" t="s">
        <v>9</v>
      </c>
      <c r="D6328" s="2" t="s">
        <v>10</v>
      </c>
      <c r="E6328" s="2" t="str">
        <f>HYPERLINK("http://ts.21cn.com/tousu/show/id/1337225","http://ts.21cn.com/tousu/show/id/1337225")</f>
        <v>http://ts.21cn.com/tousu/show/id/1337225</v>
      </c>
      <c r="F6328" s="2" t="s">
        <v>11</v>
      </c>
      <c r="G6328" s="2" t="s">
        <v>31713</v>
      </c>
      <c r="H6328" s="2" t="s">
        <v>31714</v>
      </c>
    </row>
    <row r="6329" spans="1:8" ht="25.05" customHeight="1" x14ac:dyDescent="0.25">
      <c r="A6329" s="2" t="s">
        <v>8</v>
      </c>
      <c r="B6329" s="2" t="str">
        <f>HYPERLINK("http://ts.21cn.com/tousu/show/id/1337224","乱扣费")</f>
        <v>乱扣费</v>
      </c>
      <c r="C6329" s="2" t="s">
        <v>9</v>
      </c>
      <c r="D6329" s="2" t="s">
        <v>10</v>
      </c>
      <c r="E6329" s="2" t="str">
        <f>HYPERLINK("http://ts.21cn.com/tousu/show/id/1337224","http://ts.21cn.com/tousu/show/id/1337224")</f>
        <v>http://ts.21cn.com/tousu/show/id/1337224</v>
      </c>
      <c r="F6329" s="2" t="s">
        <v>11</v>
      </c>
      <c r="G6329" s="2" t="s">
        <v>31711</v>
      </c>
      <c r="H6329" s="2" t="s">
        <v>31712</v>
      </c>
    </row>
    <row r="6330" spans="1:8" ht="25.05" customHeight="1" x14ac:dyDescent="0.25">
      <c r="A6330" s="2" t="s">
        <v>8</v>
      </c>
      <c r="B6330" s="2" t="str">
        <f>HYPERLINK("http://ts.21cn.com/tousu/show/id/1337226","河北工程大学校园网问题")</f>
        <v>河北工程大学校园网问题</v>
      </c>
      <c r="C6330" s="2" t="s">
        <v>9</v>
      </c>
      <c r="D6330" s="2" t="s">
        <v>10</v>
      </c>
      <c r="E6330" s="2" t="str">
        <f>HYPERLINK("http://ts.21cn.com/tousu/show/id/1337226","http://ts.21cn.com/tousu/show/id/1337226")</f>
        <v>http://ts.21cn.com/tousu/show/id/1337226</v>
      </c>
      <c r="F6330" s="2" t="s">
        <v>11</v>
      </c>
      <c r="G6330" s="2" t="s">
        <v>31709</v>
      </c>
      <c r="H6330" s="2" t="s">
        <v>31710</v>
      </c>
    </row>
    <row r="6331" spans="1:8" ht="25.05" customHeight="1" x14ac:dyDescent="0.25">
      <c r="A6331" s="2" t="s">
        <v>8</v>
      </c>
      <c r="B6331" s="2" t="str">
        <f>HYPERLINK("http://ts.21cn.com/tousu/show/id/1337227","大量用户无法退还立刻出行499元押金")</f>
        <v>大量用户无法退还立刻出行499元押金</v>
      </c>
      <c r="C6331" s="2" t="s">
        <v>9</v>
      </c>
      <c r="D6331" s="2" t="s">
        <v>10</v>
      </c>
      <c r="E6331" s="2" t="str">
        <f>HYPERLINK("http://ts.21cn.com/tousu/show/id/1337227","http://ts.21cn.com/tousu/show/id/1337227")</f>
        <v>http://ts.21cn.com/tousu/show/id/1337227</v>
      </c>
      <c r="F6331" s="2" t="s">
        <v>11</v>
      </c>
      <c r="G6331" s="2" t="s">
        <v>31707</v>
      </c>
      <c r="H6331" s="2" t="s">
        <v>31708</v>
      </c>
    </row>
    <row r="6332" spans="1:8" ht="25.05" customHeight="1" x14ac:dyDescent="0.25">
      <c r="A6332" s="2" t="s">
        <v>8</v>
      </c>
      <c r="B6332" s="2" t="str">
        <f>HYPERLINK("http://ts.21cn.com/tousu/show/id/1337228","恶意扣费不退还")</f>
        <v>恶意扣费不退还</v>
      </c>
      <c r="C6332" s="2" t="s">
        <v>9</v>
      </c>
      <c r="D6332" s="2" t="s">
        <v>10</v>
      </c>
      <c r="E6332" s="2" t="str">
        <f>HYPERLINK("http://ts.21cn.com/tousu/show/id/1337228","http://ts.21cn.com/tousu/show/id/1337228")</f>
        <v>http://ts.21cn.com/tousu/show/id/1337228</v>
      </c>
      <c r="F6332" s="2" t="s">
        <v>11</v>
      </c>
      <c r="G6332" s="2" t="s">
        <v>31705</v>
      </c>
      <c r="H6332" s="2" t="s">
        <v>31706</v>
      </c>
    </row>
    <row r="6333" spans="1:8" ht="25.05" customHeight="1" x14ac:dyDescent="0.25">
      <c r="A6333" s="2" t="s">
        <v>8</v>
      </c>
      <c r="B6333" s="2" t="str">
        <f>HYPERLINK("http://ts.21cn.com/tousu/show/id/1337229","闪电借款协商还款")</f>
        <v>闪电借款协商还款</v>
      </c>
      <c r="C6333" s="2" t="s">
        <v>9</v>
      </c>
      <c r="D6333" s="2" t="s">
        <v>10</v>
      </c>
      <c r="E6333" s="2" t="str">
        <f>HYPERLINK("http://ts.21cn.com/tousu/show/id/1337229","http://ts.21cn.com/tousu/show/id/1337229")</f>
        <v>http://ts.21cn.com/tousu/show/id/1337229</v>
      </c>
      <c r="F6333" s="2" t="s">
        <v>11</v>
      </c>
      <c r="G6333" s="2" t="s">
        <v>31703</v>
      </c>
      <c r="H6333" s="2" t="s">
        <v>31704</v>
      </c>
    </row>
    <row r="6334" spans="1:8" ht="25.05" customHeight="1" x14ac:dyDescent="0.25">
      <c r="A6334" s="2" t="s">
        <v>8</v>
      </c>
      <c r="B6334" s="2" t="str">
        <f>HYPERLINK("http://ts.21cn.com/tousu/show/id/1337230","微品分期超级高利贷")</f>
        <v>微品分期超级高利贷</v>
      </c>
      <c r="C6334" s="2" t="s">
        <v>9</v>
      </c>
      <c r="D6334" s="2" t="s">
        <v>10</v>
      </c>
      <c r="E6334" s="2" t="str">
        <f>HYPERLINK("http://ts.21cn.com/tousu/show/id/1337230","http://ts.21cn.com/tousu/show/id/1337230")</f>
        <v>http://ts.21cn.com/tousu/show/id/1337230</v>
      </c>
      <c r="F6334" s="2" t="s">
        <v>11</v>
      </c>
      <c r="G6334" s="2" t="s">
        <v>31701</v>
      </c>
      <c r="H6334" s="2" t="s">
        <v>31702</v>
      </c>
    </row>
    <row r="6335" spans="1:8" ht="25.05" customHeight="1" x14ac:dyDescent="0.25">
      <c r="A6335" s="2" t="s">
        <v>8</v>
      </c>
      <c r="B6335" s="2" t="str">
        <f>HYPERLINK("http://ts.21cn.com/tousu/show/id/1337231","钱橙无忧n次扣款，客服不给退款")</f>
        <v>钱橙无忧n次扣款，客服不给退款</v>
      </c>
      <c r="C6335" s="2" t="s">
        <v>9</v>
      </c>
      <c r="D6335" s="2" t="s">
        <v>10</v>
      </c>
      <c r="E6335" s="2" t="str">
        <f>HYPERLINK("http://ts.21cn.com/tousu/show/id/1337231","http://ts.21cn.com/tousu/show/id/1337231")</f>
        <v>http://ts.21cn.com/tousu/show/id/1337231</v>
      </c>
      <c r="F6335" s="2" t="s">
        <v>11</v>
      </c>
      <c r="G6335" s="2" t="s">
        <v>31699</v>
      </c>
      <c r="H6335" s="2" t="s">
        <v>31700</v>
      </c>
    </row>
    <row r="6336" spans="1:8" ht="25.05" customHeight="1" x14ac:dyDescent="0.25">
      <c r="A6336" s="2" t="s">
        <v>8</v>
      </c>
      <c r="B6336" s="2" t="str">
        <f>HYPERLINK("http://ts.21cn.com/tousu/show/id/1337232","要求一次性还完被拒绝")</f>
        <v>要求一次性还完被拒绝</v>
      </c>
      <c r="C6336" s="2" t="s">
        <v>9</v>
      </c>
      <c r="D6336" s="2" t="s">
        <v>10</v>
      </c>
      <c r="E6336" s="2" t="str">
        <f>HYPERLINK("http://ts.21cn.com/tousu/show/id/1337232","http://ts.21cn.com/tousu/show/id/1337232")</f>
        <v>http://ts.21cn.com/tousu/show/id/1337232</v>
      </c>
      <c r="F6336" s="2" t="s">
        <v>11</v>
      </c>
      <c r="G6336" s="2" t="s">
        <v>31697</v>
      </c>
      <c r="H6336" s="2" t="s">
        <v>31698</v>
      </c>
    </row>
    <row r="6337" spans="1:8" ht="25.05" customHeight="1" x14ac:dyDescent="0.25">
      <c r="A6337" s="2" t="s">
        <v>8</v>
      </c>
      <c r="B6337" s="2" t="str">
        <f>HYPERLINK("http://ts.21cn.com/tousu/show/id/1337233","维信卡卡贷多次无法自动扣款导致逾期催收")</f>
        <v>维信卡卡贷多次无法自动扣款导致逾期催收</v>
      </c>
      <c r="C6337" s="2" t="s">
        <v>34</v>
      </c>
      <c r="D6337" s="2" t="s">
        <v>10</v>
      </c>
      <c r="E6337" s="2" t="str">
        <f>HYPERLINK("http://ts.21cn.com/tousu/show/id/1337233","http://ts.21cn.com/tousu/show/id/1337233")</f>
        <v>http://ts.21cn.com/tousu/show/id/1337233</v>
      </c>
      <c r="F6337" s="2" t="s">
        <v>11</v>
      </c>
      <c r="G6337" s="2" t="s">
        <v>31695</v>
      </c>
      <c r="H6337" s="2" t="s">
        <v>31696</v>
      </c>
    </row>
    <row r="6338" spans="1:8" ht="25.05" customHeight="1" x14ac:dyDescent="0.25">
      <c r="A6338" s="2" t="s">
        <v>8</v>
      </c>
      <c r="B6338" s="2" t="str">
        <f>HYPERLINK("http://ts.21cn.com/tousu/show/id/1337235","中国移动预存问题")</f>
        <v>中国移动预存问题</v>
      </c>
      <c r="C6338" s="2" t="s">
        <v>9</v>
      </c>
      <c r="D6338" s="2" t="s">
        <v>10</v>
      </c>
      <c r="E6338" s="2" t="str">
        <f>HYPERLINK("http://ts.21cn.com/tousu/show/id/1337235","http://ts.21cn.com/tousu/show/id/1337235")</f>
        <v>http://ts.21cn.com/tousu/show/id/1337235</v>
      </c>
      <c r="F6338" s="2" t="s">
        <v>11</v>
      </c>
      <c r="G6338" s="2" t="s">
        <v>31693</v>
      </c>
      <c r="H6338" s="2" t="s">
        <v>31694</v>
      </c>
    </row>
    <row r="6339" spans="1:8" ht="25.05" customHeight="1" x14ac:dyDescent="0.25">
      <c r="A6339" s="2" t="s">
        <v>8</v>
      </c>
      <c r="B6339" s="2" t="str">
        <f>HYPERLINK("http://ts.21cn.com/tousu/show/id/1337237","立刻给我把微信号恢复正常，解除打标，停止打标行为")</f>
        <v>立刻给我把微信号恢复正常，解除打标，停止打标行为</v>
      </c>
      <c r="C6339" s="2" t="s">
        <v>9</v>
      </c>
      <c r="D6339" s="2" t="s">
        <v>10</v>
      </c>
      <c r="E6339" s="2" t="str">
        <f>HYPERLINK("http://ts.21cn.com/tousu/show/id/1337237","http://ts.21cn.com/tousu/show/id/1337237")</f>
        <v>http://ts.21cn.com/tousu/show/id/1337237</v>
      </c>
      <c r="F6339" s="2" t="s">
        <v>11</v>
      </c>
      <c r="G6339" s="2" t="s">
        <v>31690</v>
      </c>
      <c r="H6339" s="2" t="s">
        <v>31691</v>
      </c>
    </row>
    <row r="6340" spans="1:8" ht="25.05" customHeight="1" x14ac:dyDescent="0.25">
      <c r="A6340" s="2" t="s">
        <v>8</v>
      </c>
      <c r="B6340" s="2" t="str">
        <f>HYPERLINK("http://ts.21cn.com/tousu/show/id/1337236","招联金融恶意催收群发短信骚扰我家人")</f>
        <v>招联金融恶意催收群发短信骚扰我家人</v>
      </c>
      <c r="C6340" s="2" t="s">
        <v>9</v>
      </c>
      <c r="D6340" s="2" t="s">
        <v>10</v>
      </c>
      <c r="E6340" s="2" t="str">
        <f>HYPERLINK("http://ts.21cn.com/tousu/show/id/1337236","http://ts.21cn.com/tousu/show/id/1337236")</f>
        <v>http://ts.21cn.com/tousu/show/id/1337236</v>
      </c>
      <c r="F6340" s="2" t="s">
        <v>11</v>
      </c>
      <c r="G6340" s="2" t="s">
        <v>31690</v>
      </c>
      <c r="H6340" s="2" t="s">
        <v>31692</v>
      </c>
    </row>
    <row r="6341" spans="1:8" ht="25.05" customHeight="1" x14ac:dyDescent="0.25">
      <c r="A6341" s="2" t="s">
        <v>8</v>
      </c>
      <c r="B6341" s="2" t="str">
        <f>HYPERLINK("http://ts.21cn.com/tousu/show/id/1337238","玖富万卡垃圾催收侮辱我和家人")</f>
        <v>玖富万卡垃圾催收侮辱我和家人</v>
      </c>
      <c r="C6341" s="2" t="s">
        <v>9</v>
      </c>
      <c r="D6341" s="2" t="s">
        <v>10</v>
      </c>
      <c r="E6341" s="2" t="str">
        <f>HYPERLINK("http://ts.21cn.com/tousu/show/id/1337238","http://ts.21cn.com/tousu/show/id/1337238")</f>
        <v>http://ts.21cn.com/tousu/show/id/1337238</v>
      </c>
      <c r="F6341" s="2" t="s">
        <v>11</v>
      </c>
      <c r="G6341" s="2" t="s">
        <v>31688</v>
      </c>
      <c r="H6341" s="2" t="s">
        <v>31689</v>
      </c>
    </row>
    <row r="6342" spans="1:8" ht="25.05" customHeight="1" x14ac:dyDescent="0.25">
      <c r="A6342" s="2" t="s">
        <v>8</v>
      </c>
      <c r="B6342" s="2" t="str">
        <f>HYPERLINK("http://ts.21cn.com/tousu/show/id/1337239","黑网贷")</f>
        <v>黑网贷</v>
      </c>
      <c r="C6342" s="2" t="s">
        <v>9</v>
      </c>
      <c r="D6342" s="2" t="s">
        <v>10</v>
      </c>
      <c r="E6342" s="2" t="str">
        <f>HYPERLINK("http://ts.21cn.com/tousu/show/id/1337239","http://ts.21cn.com/tousu/show/id/1337239")</f>
        <v>http://ts.21cn.com/tousu/show/id/1337239</v>
      </c>
      <c r="F6342" s="2" t="s">
        <v>11</v>
      </c>
      <c r="G6342" s="2" t="s">
        <v>31686</v>
      </c>
      <c r="H6342" s="2" t="s">
        <v>31687</v>
      </c>
    </row>
    <row r="6343" spans="1:8" ht="25.05" customHeight="1" x14ac:dyDescent="0.25">
      <c r="A6343" s="2" t="s">
        <v>8</v>
      </c>
      <c r="B6343" s="2" t="str">
        <f>HYPERLINK("http://ts.21cn.com/tousu/show/id/1337240","威胁，恐吓，高利贷")</f>
        <v>威胁，恐吓，高利贷</v>
      </c>
      <c r="C6343" s="2" t="s">
        <v>9</v>
      </c>
      <c r="D6343" s="2" t="s">
        <v>10</v>
      </c>
      <c r="E6343" s="2" t="str">
        <f>HYPERLINK("http://ts.21cn.com/tousu/show/id/1337240","http://ts.21cn.com/tousu/show/id/1337240")</f>
        <v>http://ts.21cn.com/tousu/show/id/1337240</v>
      </c>
      <c r="F6343" s="2" t="s">
        <v>11</v>
      </c>
      <c r="G6343" s="2" t="s">
        <v>31684</v>
      </c>
      <c r="H6343" s="2" t="s">
        <v>31685</v>
      </c>
    </row>
    <row r="6344" spans="1:8" ht="25.05" customHeight="1" x14ac:dyDescent="0.25">
      <c r="A6344" s="2" t="s">
        <v>8</v>
      </c>
      <c r="B6344" s="2" t="str">
        <f>HYPERLINK("http://ts.21cn.com/tousu/show/id/1337241","滴滴公司派单倾斜")</f>
        <v>滴滴公司派单倾斜</v>
      </c>
      <c r="C6344" s="2" t="s">
        <v>34</v>
      </c>
      <c r="D6344" s="2" t="s">
        <v>10</v>
      </c>
      <c r="E6344" s="2" t="str">
        <f>HYPERLINK("http://ts.21cn.com/tousu/show/id/1337241","http://ts.21cn.com/tousu/show/id/1337241")</f>
        <v>http://ts.21cn.com/tousu/show/id/1337241</v>
      </c>
      <c r="F6344" s="2" t="s">
        <v>11</v>
      </c>
      <c r="G6344" s="2" t="s">
        <v>31682</v>
      </c>
      <c r="H6344" s="2" t="s">
        <v>31683</v>
      </c>
    </row>
    <row r="6345" spans="1:8" ht="25.05" customHeight="1" x14ac:dyDescent="0.25">
      <c r="A6345" s="2" t="s">
        <v>8</v>
      </c>
      <c r="B6345" s="2" t="str">
        <f>HYPERLINK("http://ts.21cn.com/tousu/show/id/1337242","yy信用申请延期几天")</f>
        <v>yy信用申请延期几天</v>
      </c>
      <c r="C6345" s="2" t="s">
        <v>34</v>
      </c>
      <c r="D6345" s="2" t="s">
        <v>10</v>
      </c>
      <c r="E6345" s="2" t="str">
        <f>HYPERLINK("http://ts.21cn.com/tousu/show/id/1337242","http://ts.21cn.com/tousu/show/id/1337242")</f>
        <v>http://ts.21cn.com/tousu/show/id/1337242</v>
      </c>
      <c r="F6345" s="2" t="s">
        <v>11</v>
      </c>
      <c r="G6345" s="2" t="s">
        <v>31680</v>
      </c>
      <c r="H6345" s="2" t="s">
        <v>31681</v>
      </c>
    </row>
    <row r="6346" spans="1:8" ht="25.05" customHeight="1" x14ac:dyDescent="0.25">
      <c r="A6346" s="2" t="s">
        <v>8</v>
      </c>
      <c r="B6346" s="2" t="str">
        <f>HYPERLINK("http://ts.21cn.com/tousu/show/id/1337243","快易花暴力催收威胁恐吓催收人员跟天皇老子一样")</f>
        <v>快易花暴力催收威胁恐吓催收人员跟天皇老子一样</v>
      </c>
      <c r="C6346" s="2" t="s">
        <v>9</v>
      </c>
      <c r="D6346" s="2" t="s">
        <v>10</v>
      </c>
      <c r="E6346" s="2" t="str">
        <f>HYPERLINK("http://ts.21cn.com/tousu/show/id/1337243","http://ts.21cn.com/tousu/show/id/1337243")</f>
        <v>http://ts.21cn.com/tousu/show/id/1337243</v>
      </c>
      <c r="F6346" s="2" t="s">
        <v>11</v>
      </c>
      <c r="G6346" s="2" t="s">
        <v>31678</v>
      </c>
      <c r="H6346" s="2" t="s">
        <v>31679</v>
      </c>
    </row>
    <row r="6347" spans="1:8" ht="25.05" customHeight="1" x14ac:dyDescent="0.25">
      <c r="A6347" s="2" t="s">
        <v>8</v>
      </c>
      <c r="B6347" s="2" t="str">
        <f>HYPERLINK("http://ts.21cn.com/tousu/show/id/1337244","安逸花无理由账户锁定")</f>
        <v>安逸花无理由账户锁定</v>
      </c>
      <c r="C6347" s="2" t="s">
        <v>9</v>
      </c>
      <c r="D6347" s="2" t="s">
        <v>10</v>
      </c>
      <c r="E6347" s="2" t="str">
        <f>HYPERLINK("http://ts.21cn.com/tousu/show/id/1337244","http://ts.21cn.com/tousu/show/id/1337244")</f>
        <v>http://ts.21cn.com/tousu/show/id/1337244</v>
      </c>
      <c r="F6347" s="2" t="s">
        <v>11</v>
      </c>
      <c r="G6347" s="2" t="s">
        <v>31676</v>
      </c>
      <c r="H6347" s="2" t="s">
        <v>31677</v>
      </c>
    </row>
    <row r="6348" spans="1:8" ht="25.05" customHeight="1" x14ac:dyDescent="0.25">
      <c r="A6348" s="2" t="s">
        <v>8</v>
      </c>
      <c r="B6348" s="2" t="str">
        <f>HYPERLINK("http://ts.21cn.com/tousu/show/id/1337245","齐鲁交通ETC受理成功不发卡")</f>
        <v>齐鲁交通ETC受理成功不发卡</v>
      </c>
      <c r="C6348" s="2" t="s">
        <v>9</v>
      </c>
      <c r="D6348" s="2" t="s">
        <v>10</v>
      </c>
      <c r="E6348" s="2" t="str">
        <f>HYPERLINK("http://ts.21cn.com/tousu/show/id/1337245","http://ts.21cn.com/tousu/show/id/1337245")</f>
        <v>http://ts.21cn.com/tousu/show/id/1337245</v>
      </c>
      <c r="F6348" s="2" t="s">
        <v>11</v>
      </c>
      <c r="G6348" s="2" t="s">
        <v>31674</v>
      </c>
      <c r="H6348" s="2" t="s">
        <v>31675</v>
      </c>
    </row>
    <row r="6349" spans="1:8" ht="25.05" customHeight="1" x14ac:dyDescent="0.25">
      <c r="A6349" s="2" t="s">
        <v>8</v>
      </c>
      <c r="B6349" s="2" t="str">
        <f>HYPERLINK("http://ts.21cn.com/tousu/show/id/1337246","为非法网站提供支付通道")</f>
        <v>为非法网站提供支付通道</v>
      </c>
      <c r="C6349" s="2" t="s">
        <v>9</v>
      </c>
      <c r="D6349" s="2" t="s">
        <v>10</v>
      </c>
      <c r="E6349" s="2" t="str">
        <f>HYPERLINK("http://ts.21cn.com/tousu/show/id/1337246","http://ts.21cn.com/tousu/show/id/1337246")</f>
        <v>http://ts.21cn.com/tousu/show/id/1337246</v>
      </c>
      <c r="F6349" s="2" t="s">
        <v>11</v>
      </c>
      <c r="G6349" s="2" t="s">
        <v>31672</v>
      </c>
      <c r="H6349" s="2" t="s">
        <v>31673</v>
      </c>
    </row>
    <row r="6350" spans="1:8" ht="25.05" customHeight="1" x14ac:dyDescent="0.25">
      <c r="A6350" s="2" t="s">
        <v>8</v>
      </c>
      <c r="B6350" s="2" t="str">
        <f>HYPERLINK("http://ts.21cn.com/tousu/show/id/1337248","圆通快递丢失快件")</f>
        <v>圆通快递丢失快件</v>
      </c>
      <c r="C6350" s="2" t="s">
        <v>9</v>
      </c>
      <c r="D6350" s="2" t="s">
        <v>10</v>
      </c>
      <c r="E6350" s="2" t="str">
        <f>HYPERLINK("http://ts.21cn.com/tousu/show/id/1337248","http://ts.21cn.com/tousu/show/id/1337248")</f>
        <v>http://ts.21cn.com/tousu/show/id/1337248</v>
      </c>
      <c r="F6350" s="2" t="s">
        <v>11</v>
      </c>
      <c r="G6350" s="2" t="s">
        <v>31670</v>
      </c>
      <c r="H6350" s="2" t="s">
        <v>31671</v>
      </c>
    </row>
    <row r="6351" spans="1:8" ht="25.05" customHeight="1" x14ac:dyDescent="0.25">
      <c r="A6351" s="2" t="s">
        <v>8</v>
      </c>
      <c r="B6351" s="2" t="str">
        <f>HYPERLINK("http://ts.21cn.com/tousu/show/id/1337247","钱包易贷高利息暴力催收")</f>
        <v>钱包易贷高利息暴力催收</v>
      </c>
      <c r="C6351" s="2" t="s">
        <v>9</v>
      </c>
      <c r="D6351" s="2" t="s">
        <v>10</v>
      </c>
      <c r="E6351" s="2" t="str">
        <f>HYPERLINK("http://ts.21cn.com/tousu/show/id/1337247","http://ts.21cn.com/tousu/show/id/1337247")</f>
        <v>http://ts.21cn.com/tousu/show/id/1337247</v>
      </c>
      <c r="F6351" s="2" t="s">
        <v>11</v>
      </c>
      <c r="G6351" s="2" t="s">
        <v>31668</v>
      </c>
      <c r="H6351" s="2" t="s">
        <v>31669</v>
      </c>
    </row>
    <row r="6352" spans="1:8" ht="25.05" customHeight="1" x14ac:dyDescent="0.25">
      <c r="A6352" s="2" t="s">
        <v>8</v>
      </c>
      <c r="B6352" s="2" t="str">
        <f>HYPERLINK("http://ts.21cn.com/tousu/show/id/1337234","博世烘干机拒绝提供售后服务")</f>
        <v>博世烘干机拒绝提供售后服务</v>
      </c>
      <c r="C6352" s="2" t="s">
        <v>9</v>
      </c>
      <c r="D6352" s="2" t="s">
        <v>10</v>
      </c>
      <c r="E6352" s="2" t="str">
        <f>HYPERLINK("http://ts.21cn.com/tousu/show/id/1337234","http://ts.21cn.com/tousu/show/id/1337234")</f>
        <v>http://ts.21cn.com/tousu/show/id/1337234</v>
      </c>
      <c r="F6352" s="2" t="s">
        <v>11</v>
      </c>
      <c r="G6352" s="2" t="s">
        <v>31666</v>
      </c>
      <c r="H6352" s="2" t="s">
        <v>31667</v>
      </c>
    </row>
    <row r="6353" spans="1:8" ht="25.05" customHeight="1" x14ac:dyDescent="0.25">
      <c r="A6353" s="2" t="s">
        <v>8</v>
      </c>
      <c r="B6353" s="2" t="str">
        <f>HYPERLINK("http://ts.21cn.com/tousu/show/id/1337249","小当家还款不了，解决不了联系通讯录")</f>
        <v>小当家还款不了，解决不了联系通讯录</v>
      </c>
      <c r="C6353" s="2" t="s">
        <v>9</v>
      </c>
      <c r="D6353" s="2" t="s">
        <v>10</v>
      </c>
      <c r="E6353" s="2" t="str">
        <f>HYPERLINK("http://ts.21cn.com/tousu/show/id/1337249","http://ts.21cn.com/tousu/show/id/1337249")</f>
        <v>http://ts.21cn.com/tousu/show/id/1337249</v>
      </c>
      <c r="F6353" s="2" t="s">
        <v>11</v>
      </c>
      <c r="G6353" s="2" t="s">
        <v>31664</v>
      </c>
      <c r="H6353" s="2" t="s">
        <v>31665</v>
      </c>
    </row>
    <row r="6354" spans="1:8" ht="25.05" customHeight="1" x14ac:dyDescent="0.25">
      <c r="A6354" s="2" t="s">
        <v>8</v>
      </c>
      <c r="B6354" s="2" t="str">
        <f>HYPERLINK("http://ts.21cn.com/tousu/show/id/1337250","暴力催收，高利贷")</f>
        <v>暴力催收，高利贷</v>
      </c>
      <c r="C6354" s="2" t="s">
        <v>9</v>
      </c>
      <c r="D6354" s="2" t="s">
        <v>10</v>
      </c>
      <c r="E6354" s="2" t="str">
        <f>HYPERLINK("http://ts.21cn.com/tousu/show/id/1337250","http://ts.21cn.com/tousu/show/id/1337250")</f>
        <v>http://ts.21cn.com/tousu/show/id/1337250</v>
      </c>
      <c r="F6354" s="2" t="s">
        <v>11</v>
      </c>
      <c r="G6354" s="2" t="s">
        <v>31662</v>
      </c>
      <c r="H6354" s="2" t="s">
        <v>31663</v>
      </c>
    </row>
    <row r="6355" spans="1:8" ht="25.05" customHeight="1" x14ac:dyDescent="0.25">
      <c r="A6355" s="2" t="s">
        <v>8</v>
      </c>
      <c r="B6355" s="2" t="str">
        <f>HYPERLINK("http://ts.21cn.com/tousu/show/id/1337252","你我贷暴力催收")</f>
        <v>你我贷暴力催收</v>
      </c>
      <c r="C6355" s="2" t="s">
        <v>9</v>
      </c>
      <c r="D6355" s="2" t="s">
        <v>10</v>
      </c>
      <c r="E6355" s="2" t="str">
        <f>HYPERLINK("http://ts.21cn.com/tousu/show/id/1337252","http://ts.21cn.com/tousu/show/id/1337252")</f>
        <v>http://ts.21cn.com/tousu/show/id/1337252</v>
      </c>
      <c r="F6355" s="2" t="s">
        <v>11</v>
      </c>
      <c r="G6355" s="2" t="s">
        <v>31660</v>
      </c>
      <c r="H6355" s="2" t="s">
        <v>31661</v>
      </c>
    </row>
    <row r="6356" spans="1:8" ht="25.05" customHeight="1" x14ac:dyDescent="0.25">
      <c r="A6356" s="2" t="s">
        <v>8</v>
      </c>
      <c r="B6356" s="2" t="str">
        <f>HYPERLINK("http://ts.21cn.com/tousu/show/id/1337253","咸胁恐吓态度恶劣")</f>
        <v>咸胁恐吓态度恶劣</v>
      </c>
      <c r="C6356" s="2" t="s">
        <v>9</v>
      </c>
      <c r="D6356" s="2" t="s">
        <v>10</v>
      </c>
      <c r="E6356" s="2" t="str">
        <f>HYPERLINK("http://ts.21cn.com/tousu/show/id/1337253","http://ts.21cn.com/tousu/show/id/1337253")</f>
        <v>http://ts.21cn.com/tousu/show/id/1337253</v>
      </c>
      <c r="F6356" s="2" t="s">
        <v>11</v>
      </c>
      <c r="G6356" s="2" t="s">
        <v>31658</v>
      </c>
      <c r="H6356" s="2" t="s">
        <v>31659</v>
      </c>
    </row>
    <row r="6357" spans="1:8" ht="25.05" customHeight="1" x14ac:dyDescent="0.25">
      <c r="A6357" s="2" t="s">
        <v>8</v>
      </c>
      <c r="B6357" s="2" t="str">
        <f>HYPERLINK("http://ts.21cn.com/tousu/show/id/1337255","美利车、力蕴汽车套路贷")</f>
        <v>美利车、力蕴汽车套路贷</v>
      </c>
      <c r="C6357" s="2" t="s">
        <v>9</v>
      </c>
      <c r="D6357" s="2" t="s">
        <v>10</v>
      </c>
      <c r="E6357" s="2" t="str">
        <f>HYPERLINK("http://ts.21cn.com/tousu/show/id/1337255","http://ts.21cn.com/tousu/show/id/1337255")</f>
        <v>http://ts.21cn.com/tousu/show/id/1337255</v>
      </c>
      <c r="F6357" s="2" t="s">
        <v>11</v>
      </c>
      <c r="G6357" s="2" t="s">
        <v>31656</v>
      </c>
      <c r="H6357" s="2" t="s">
        <v>31657</v>
      </c>
    </row>
    <row r="6358" spans="1:8" ht="25.05" customHeight="1" x14ac:dyDescent="0.25">
      <c r="A6358" s="2" t="s">
        <v>8</v>
      </c>
      <c r="B6358" s="2" t="str">
        <f>HYPERLINK("http://ts.21cn.com/tousu/show/id/1337254","花转转，高利贷，不协商，客服服务态度蛮横。")</f>
        <v>花转转，高利贷，不协商，客服服务态度蛮横。</v>
      </c>
      <c r="C6358" s="2" t="s">
        <v>9</v>
      </c>
      <c r="D6358" s="2" t="s">
        <v>10</v>
      </c>
      <c r="E6358" s="2" t="str">
        <f>HYPERLINK("http://ts.21cn.com/tousu/show/id/1337254","http://ts.21cn.com/tousu/show/id/1337254")</f>
        <v>http://ts.21cn.com/tousu/show/id/1337254</v>
      </c>
      <c r="F6358" s="2" t="s">
        <v>11</v>
      </c>
      <c r="G6358" s="2" t="s">
        <v>31654</v>
      </c>
      <c r="H6358" s="2" t="s">
        <v>31655</v>
      </c>
    </row>
    <row r="6359" spans="1:8" ht="25.05" customHeight="1" x14ac:dyDescent="0.25">
      <c r="A6359" s="2" t="s">
        <v>8</v>
      </c>
      <c r="B6359" s="2" t="str">
        <f>HYPERLINK("http://ts.21cn.com/tousu/show/id/1337256","12306退单未退款")</f>
        <v>12306退单未退款</v>
      </c>
      <c r="C6359" s="2" t="s">
        <v>9</v>
      </c>
      <c r="D6359" s="2" t="s">
        <v>10</v>
      </c>
      <c r="E6359" s="2" t="str">
        <f>HYPERLINK("http://ts.21cn.com/tousu/show/id/1337256","http://ts.21cn.com/tousu/show/id/1337256")</f>
        <v>http://ts.21cn.com/tousu/show/id/1337256</v>
      </c>
      <c r="F6359" s="2" t="s">
        <v>11</v>
      </c>
      <c r="G6359" s="2" t="s">
        <v>31652</v>
      </c>
      <c r="H6359" s="2" t="s">
        <v>31653</v>
      </c>
    </row>
    <row r="6360" spans="1:8" ht="25.05" customHeight="1" x14ac:dyDescent="0.25">
      <c r="A6360" s="2" t="s">
        <v>8</v>
      </c>
      <c r="B6360" s="2" t="str">
        <f>HYPERLINK("http://ts.21cn.com/tousu/show/id/1337258","平安普惠收取服务费")</f>
        <v>平安普惠收取服务费</v>
      </c>
      <c r="C6360" s="2" t="s">
        <v>34</v>
      </c>
      <c r="D6360" s="2" t="s">
        <v>10</v>
      </c>
      <c r="E6360" s="2" t="str">
        <f>HYPERLINK("http://ts.21cn.com/tousu/show/id/1337258","http://ts.21cn.com/tousu/show/id/1337258")</f>
        <v>http://ts.21cn.com/tousu/show/id/1337258</v>
      </c>
      <c r="F6360" s="2" t="s">
        <v>11</v>
      </c>
      <c r="G6360" s="2" t="s">
        <v>31650</v>
      </c>
      <c r="H6360" s="2" t="s">
        <v>31651</v>
      </c>
    </row>
    <row r="6361" spans="1:8" ht="25.05" customHeight="1" x14ac:dyDescent="0.25">
      <c r="A6361" s="2" t="s">
        <v>8</v>
      </c>
      <c r="B6361" s="2" t="str">
        <f>HYPERLINK("http://ts.21cn.com/tousu/show/id/1337257","闪银给几天时间")</f>
        <v>闪银给几天时间</v>
      </c>
      <c r="C6361" s="2" t="s">
        <v>34</v>
      </c>
      <c r="D6361" s="2" t="s">
        <v>10</v>
      </c>
      <c r="E6361" s="2" t="str">
        <f>HYPERLINK("http://ts.21cn.com/tousu/show/id/1337257","http://ts.21cn.com/tousu/show/id/1337257")</f>
        <v>http://ts.21cn.com/tousu/show/id/1337257</v>
      </c>
      <c r="F6361" s="2" t="s">
        <v>11</v>
      </c>
      <c r="G6361" s="2" t="s">
        <v>31648</v>
      </c>
      <c r="H6361" s="2" t="s">
        <v>31649</v>
      </c>
    </row>
    <row r="6362" spans="1:8" ht="25.05" customHeight="1" x14ac:dyDescent="0.25">
      <c r="A6362" s="2" t="s">
        <v>8</v>
      </c>
      <c r="B6362" s="2" t="str">
        <f>HYPERLINK("http://ts.21cn.com/tousu/show/id/1337259","在太原武宿机场被工作人员诱导消费办理会员卡")</f>
        <v>在太原武宿机场被工作人员诱导消费办理会员卡</v>
      </c>
      <c r="C6362" s="2" t="s">
        <v>9</v>
      </c>
      <c r="D6362" s="2" t="s">
        <v>10</v>
      </c>
      <c r="E6362" s="2" t="str">
        <f>HYPERLINK("http://ts.21cn.com/tousu/show/id/1337259","http://ts.21cn.com/tousu/show/id/1337259")</f>
        <v>http://ts.21cn.com/tousu/show/id/1337259</v>
      </c>
      <c r="F6362" s="2" t="s">
        <v>11</v>
      </c>
      <c r="G6362" s="2" t="s">
        <v>31646</v>
      </c>
      <c r="H6362" s="2" t="s">
        <v>31647</v>
      </c>
    </row>
    <row r="6363" spans="1:8" ht="25.05" customHeight="1" x14ac:dyDescent="0.25">
      <c r="A6363" s="2" t="s">
        <v>8</v>
      </c>
      <c r="B6363" s="2" t="str">
        <f>HYPERLINK("http://ts.21cn.com/tousu/show/id/1337260","及贷恐吓我说要爆我通讯录")</f>
        <v>及贷恐吓我说要爆我通讯录</v>
      </c>
      <c r="C6363" s="2" t="s">
        <v>9</v>
      </c>
      <c r="D6363" s="2" t="s">
        <v>10</v>
      </c>
      <c r="E6363" s="2" t="str">
        <f>HYPERLINK("http://ts.21cn.com/tousu/show/id/1337260","http://ts.21cn.com/tousu/show/id/1337260")</f>
        <v>http://ts.21cn.com/tousu/show/id/1337260</v>
      </c>
      <c r="F6363" s="2" t="s">
        <v>11</v>
      </c>
      <c r="G6363" s="2" t="s">
        <v>31644</v>
      </c>
      <c r="H6363" s="2" t="s">
        <v>31645</v>
      </c>
    </row>
    <row r="6364" spans="1:8" ht="25.05" customHeight="1" x14ac:dyDescent="0.25">
      <c r="A6364" s="2" t="s">
        <v>8</v>
      </c>
      <c r="B6364" s="2" t="str">
        <f>HYPERLINK("http://ts.21cn.com/tousu/show/id/1337261","所谓兴业银行信用卡第三方暴力催收")</f>
        <v>所谓兴业银行信用卡第三方暴力催收</v>
      </c>
      <c r="C6364" s="2" t="s">
        <v>9</v>
      </c>
      <c r="D6364" s="2" t="s">
        <v>10</v>
      </c>
      <c r="E6364" s="2" t="str">
        <f>HYPERLINK("http://ts.21cn.com/tousu/show/id/1337261","http://ts.21cn.com/tousu/show/id/1337261")</f>
        <v>http://ts.21cn.com/tousu/show/id/1337261</v>
      </c>
      <c r="F6364" s="2" t="s">
        <v>11</v>
      </c>
      <c r="G6364" s="2" t="s">
        <v>31642</v>
      </c>
      <c r="H6364" s="2" t="s">
        <v>31643</v>
      </c>
    </row>
    <row r="6365" spans="1:8" ht="25.05" customHeight="1" x14ac:dyDescent="0.25">
      <c r="A6365" s="2" t="s">
        <v>8</v>
      </c>
      <c r="B6365" s="2" t="str">
        <f>HYPERLINK("http://ts.21cn.com/tousu/show/id/1337262","洋钱罐暴力催收")</f>
        <v>洋钱罐暴力催收</v>
      </c>
      <c r="C6365" s="2" t="s">
        <v>9</v>
      </c>
      <c r="D6365" s="2" t="s">
        <v>10</v>
      </c>
      <c r="E6365" s="2" t="str">
        <f>HYPERLINK("http://ts.21cn.com/tousu/show/id/1337262","http://ts.21cn.com/tousu/show/id/1337262")</f>
        <v>http://ts.21cn.com/tousu/show/id/1337262</v>
      </c>
      <c r="F6365" s="2" t="s">
        <v>11</v>
      </c>
      <c r="G6365" s="2" t="s">
        <v>31640</v>
      </c>
      <c r="H6365" s="2" t="s">
        <v>31641</v>
      </c>
    </row>
    <row r="6366" spans="1:8" ht="25.05" customHeight="1" x14ac:dyDescent="0.25">
      <c r="A6366" s="2" t="s">
        <v>8</v>
      </c>
      <c r="B6366" s="2" t="str">
        <f>HYPERLINK("http://ts.21cn.com/tousu/show/id/1337263","钱站随意拨打通讯录")</f>
        <v>钱站随意拨打通讯录</v>
      </c>
      <c r="C6366" s="2" t="s">
        <v>9</v>
      </c>
      <c r="D6366" s="2" t="s">
        <v>10</v>
      </c>
      <c r="E6366" s="2" t="str">
        <f>HYPERLINK("http://ts.21cn.com/tousu/show/id/1337263","http://ts.21cn.com/tousu/show/id/1337263")</f>
        <v>http://ts.21cn.com/tousu/show/id/1337263</v>
      </c>
      <c r="F6366" s="2" t="s">
        <v>11</v>
      </c>
      <c r="G6366" s="2" t="s">
        <v>31638</v>
      </c>
      <c r="H6366" s="2" t="s">
        <v>31639</v>
      </c>
    </row>
    <row r="6367" spans="1:8" ht="25.05" customHeight="1" x14ac:dyDescent="0.25">
      <c r="A6367" s="2" t="s">
        <v>8</v>
      </c>
      <c r="B6367" s="2" t="str">
        <f>HYPERLINK("http://ts.21cn.com/tousu/show/id/1337265","为非法网站提供支付通道")</f>
        <v>为非法网站提供支付通道</v>
      </c>
      <c r="C6367" s="2" t="s">
        <v>9</v>
      </c>
      <c r="D6367" s="2" t="s">
        <v>10</v>
      </c>
      <c r="E6367" s="2" t="str">
        <f>HYPERLINK("http://ts.21cn.com/tousu/show/id/1337265","http://ts.21cn.com/tousu/show/id/1337265")</f>
        <v>http://ts.21cn.com/tousu/show/id/1337265</v>
      </c>
      <c r="F6367" s="2" t="s">
        <v>11</v>
      </c>
      <c r="G6367" s="2" t="s">
        <v>31636</v>
      </c>
      <c r="H6367" s="2" t="s">
        <v>31637</v>
      </c>
    </row>
    <row r="6368" spans="1:8" ht="25.05" customHeight="1" x14ac:dyDescent="0.25">
      <c r="A6368" s="2" t="s">
        <v>8</v>
      </c>
      <c r="B6368" s="2" t="str">
        <f>HYPERLINK("http://ts.21cn.com/tousu/show/id/1337264","无缘无故扣了296元，没有经过同意！")</f>
        <v>无缘无故扣了296元，没有经过同意！</v>
      </c>
      <c r="C6368" s="2" t="s">
        <v>9</v>
      </c>
      <c r="D6368" s="2" t="s">
        <v>10</v>
      </c>
      <c r="E6368" s="2" t="str">
        <f>HYPERLINK("http://ts.21cn.com/tousu/show/id/1337264","http://ts.21cn.com/tousu/show/id/1337264")</f>
        <v>http://ts.21cn.com/tousu/show/id/1337264</v>
      </c>
      <c r="F6368" s="2" t="s">
        <v>11</v>
      </c>
      <c r="G6368" s="2" t="s">
        <v>31634</v>
      </c>
      <c r="H6368" s="2" t="s">
        <v>31635</v>
      </c>
    </row>
    <row r="6369" spans="1:8" ht="25.05" customHeight="1" x14ac:dyDescent="0.25">
      <c r="A6369" s="2" t="s">
        <v>8</v>
      </c>
      <c r="B6369" s="2" t="str">
        <f>HYPERLINK("http://ts.21cn.com/tousu/show/id/1337251","诱导消费")</f>
        <v>诱导消费</v>
      </c>
      <c r="C6369" s="2" t="s">
        <v>9</v>
      </c>
      <c r="D6369" s="2" t="s">
        <v>10</v>
      </c>
      <c r="E6369" s="2" t="str">
        <f>HYPERLINK("http://ts.21cn.com/tousu/show/id/1337251","http://ts.21cn.com/tousu/show/id/1337251")</f>
        <v>http://ts.21cn.com/tousu/show/id/1337251</v>
      </c>
      <c r="F6369" s="2" t="s">
        <v>11</v>
      </c>
      <c r="G6369" s="2" t="s">
        <v>31632</v>
      </c>
      <c r="H6369" s="2" t="s">
        <v>31633</v>
      </c>
    </row>
    <row r="6370" spans="1:8" ht="25.05" customHeight="1" x14ac:dyDescent="0.25">
      <c r="A6370" s="2" t="s">
        <v>8</v>
      </c>
      <c r="B6370" s="2" t="str">
        <f>HYPERLINK("http://ts.21cn.com/tousu/show/id/1337266","华为笔记本电脑质量太差")</f>
        <v>华为笔记本电脑质量太差</v>
      </c>
      <c r="C6370" s="2" t="s">
        <v>9</v>
      </c>
      <c r="D6370" s="2" t="s">
        <v>10</v>
      </c>
      <c r="E6370" s="2" t="str">
        <f>HYPERLINK("http://ts.21cn.com/tousu/show/id/1337266","http://ts.21cn.com/tousu/show/id/1337266")</f>
        <v>http://ts.21cn.com/tousu/show/id/1337266</v>
      </c>
      <c r="F6370" s="2" t="s">
        <v>11</v>
      </c>
      <c r="G6370" s="2" t="s">
        <v>31630</v>
      </c>
      <c r="H6370" s="2" t="s">
        <v>31631</v>
      </c>
    </row>
    <row r="6371" spans="1:8" ht="25.05" customHeight="1" x14ac:dyDescent="0.25">
      <c r="A6371" s="2" t="s">
        <v>8</v>
      </c>
      <c r="B6371" s="2" t="str">
        <f>HYPERLINK("http://ts.21cn.com/tousu/show/id/1337267","cf手游被盗被毁号客服不给予处理")</f>
        <v>cf手游被盗被毁号客服不给予处理</v>
      </c>
      <c r="C6371" s="2" t="s">
        <v>9</v>
      </c>
      <c r="D6371" s="2" t="s">
        <v>10</v>
      </c>
      <c r="E6371" s="2" t="str">
        <f>HYPERLINK("http://ts.21cn.com/tousu/show/id/1337267","http://ts.21cn.com/tousu/show/id/1337267")</f>
        <v>http://ts.21cn.com/tousu/show/id/1337267</v>
      </c>
      <c r="F6371" s="2" t="s">
        <v>11</v>
      </c>
      <c r="G6371" s="2" t="s">
        <v>31628</v>
      </c>
      <c r="H6371" s="2" t="s">
        <v>31629</v>
      </c>
    </row>
    <row r="6372" spans="1:8" ht="25.05" customHeight="1" x14ac:dyDescent="0.25">
      <c r="A6372" s="2" t="s">
        <v>8</v>
      </c>
      <c r="B6372" s="2" t="str">
        <f>HYPERLINK("http://ts.21cn.com/tousu/show/id/1337268","黑网贷，高利贷，骚扰电话")</f>
        <v>黑网贷，高利贷，骚扰电话</v>
      </c>
      <c r="C6372" s="2" t="s">
        <v>9</v>
      </c>
      <c r="D6372" s="2" t="s">
        <v>10</v>
      </c>
      <c r="E6372" s="2" t="str">
        <f>HYPERLINK("http://ts.21cn.com/tousu/show/id/1337268","http://ts.21cn.com/tousu/show/id/1337268")</f>
        <v>http://ts.21cn.com/tousu/show/id/1337268</v>
      </c>
      <c r="F6372" s="2" t="s">
        <v>11</v>
      </c>
      <c r="G6372" s="2" t="s">
        <v>31626</v>
      </c>
      <c r="H6372" s="2" t="s">
        <v>31627</v>
      </c>
    </row>
    <row r="6373" spans="1:8" ht="25.05" customHeight="1" x14ac:dyDescent="0.25">
      <c r="A6373" s="2" t="s">
        <v>8</v>
      </c>
      <c r="B6373" s="2" t="str">
        <f>HYPERLINK("http://ts.21cn.com/tousu/show/id/1337269","京东商城客户不专业导致开票延迟，不能正常挂电动车牌，致使消费者损失超1200元，京东仅给200元补偿")</f>
        <v>京东商城客户不专业导致开票延迟，不能正常挂电动车牌，致使消费者损失超1200元，京东仅给200元补偿</v>
      </c>
      <c r="C6373" s="2" t="s">
        <v>9</v>
      </c>
      <c r="D6373" s="2" t="s">
        <v>10</v>
      </c>
      <c r="E6373" s="2" t="str">
        <f>HYPERLINK("http://ts.21cn.com/tousu/show/id/1337269","http://ts.21cn.com/tousu/show/id/1337269")</f>
        <v>http://ts.21cn.com/tousu/show/id/1337269</v>
      </c>
      <c r="F6373" s="2" t="s">
        <v>11</v>
      </c>
      <c r="G6373" s="2" t="s">
        <v>31624</v>
      </c>
      <c r="H6373" s="2" t="s">
        <v>31625</v>
      </c>
    </row>
    <row r="6374" spans="1:8" ht="25.05" customHeight="1" x14ac:dyDescent="0.25">
      <c r="A6374" s="2" t="s">
        <v>8</v>
      </c>
      <c r="B6374" s="2" t="str">
        <f>HYPERLINK("http://ts.21cn.com/tousu/show/id/1337270","钱站高利贷阴阳合同")</f>
        <v>钱站高利贷阴阳合同</v>
      </c>
      <c r="C6374" s="2" t="s">
        <v>9</v>
      </c>
      <c r="D6374" s="2" t="s">
        <v>10</v>
      </c>
      <c r="E6374" s="2" t="str">
        <f>HYPERLINK("http://ts.21cn.com/tousu/show/id/1337270","http://ts.21cn.com/tousu/show/id/1337270")</f>
        <v>http://ts.21cn.com/tousu/show/id/1337270</v>
      </c>
      <c r="F6374" s="2" t="s">
        <v>11</v>
      </c>
      <c r="G6374" s="2" t="s">
        <v>31622</v>
      </c>
      <c r="H6374" s="2" t="s">
        <v>31623</v>
      </c>
    </row>
    <row r="6375" spans="1:8" ht="25.05" customHeight="1" x14ac:dyDescent="0.25">
      <c r="A6375" s="2" t="s">
        <v>8</v>
      </c>
      <c r="B6375" s="2" t="str">
        <f>HYPERLINK("http://ts.21cn.com/tousu/show/id/1337271","My钱包砍头息")</f>
        <v>My钱包砍头息</v>
      </c>
      <c r="C6375" s="2" t="s">
        <v>9</v>
      </c>
      <c r="D6375" s="2" t="s">
        <v>10</v>
      </c>
      <c r="E6375" s="2" t="str">
        <f>HYPERLINK("http://ts.21cn.com/tousu/show/id/1337271","http://ts.21cn.com/tousu/show/id/1337271")</f>
        <v>http://ts.21cn.com/tousu/show/id/1337271</v>
      </c>
      <c r="F6375" s="2" t="s">
        <v>11</v>
      </c>
      <c r="G6375" s="2" t="s">
        <v>31620</v>
      </c>
      <c r="H6375" s="2" t="s">
        <v>31621</v>
      </c>
    </row>
    <row r="6376" spans="1:8" ht="25.05" customHeight="1" x14ac:dyDescent="0.25">
      <c r="A6376" s="2" t="s">
        <v>8</v>
      </c>
      <c r="B6376" s="2" t="str">
        <f>HYPERLINK("http://ts.21cn.com/tousu/show/id/1337274","立借暴力催收费用不合理")</f>
        <v>立借暴力催收费用不合理</v>
      </c>
      <c r="C6376" s="2" t="s">
        <v>9</v>
      </c>
      <c r="D6376" s="2" t="s">
        <v>10</v>
      </c>
      <c r="E6376" s="2" t="str">
        <f>HYPERLINK("http://ts.21cn.com/tousu/show/id/1337274","http://ts.21cn.com/tousu/show/id/1337274")</f>
        <v>http://ts.21cn.com/tousu/show/id/1337274</v>
      </c>
      <c r="F6376" s="2" t="s">
        <v>11</v>
      </c>
      <c r="G6376" s="2" t="s">
        <v>31618</v>
      </c>
      <c r="H6376" s="2" t="s">
        <v>31619</v>
      </c>
    </row>
    <row r="6377" spans="1:8" ht="25.05" customHeight="1" x14ac:dyDescent="0.25">
      <c r="A6377" s="2" t="s">
        <v>8</v>
      </c>
      <c r="B6377" s="2" t="str">
        <f>HYPERLINK("http://ts.21cn.com/tousu/show/id/1337272","国庆因工资问题申请延期")</f>
        <v>国庆因工资问题申请延期</v>
      </c>
      <c r="C6377" s="2" t="s">
        <v>34</v>
      </c>
      <c r="D6377" s="2" t="s">
        <v>10</v>
      </c>
      <c r="E6377" s="2" t="str">
        <f>HYPERLINK("http://ts.21cn.com/tousu/show/id/1337272","http://ts.21cn.com/tousu/show/id/1337272")</f>
        <v>http://ts.21cn.com/tousu/show/id/1337272</v>
      </c>
      <c r="F6377" s="2" t="s">
        <v>11</v>
      </c>
      <c r="G6377" s="2" t="s">
        <v>31616</v>
      </c>
      <c r="H6377" s="2" t="s">
        <v>31617</v>
      </c>
    </row>
    <row r="6378" spans="1:8" ht="25.05" customHeight="1" x14ac:dyDescent="0.25">
      <c r="A6378" s="2" t="s">
        <v>8</v>
      </c>
      <c r="B6378" s="2" t="str">
        <f>HYPERLINK("http://ts.21cn.com/tousu/show/id/1337273","周转困难，希望能分期还款")</f>
        <v>周转困难，希望能分期还款</v>
      </c>
      <c r="C6378" s="2" t="s">
        <v>34</v>
      </c>
      <c r="D6378" s="2" t="s">
        <v>10</v>
      </c>
      <c r="E6378" s="2" t="str">
        <f>HYPERLINK("http://ts.21cn.com/tousu/show/id/1337273","http://ts.21cn.com/tousu/show/id/1337273")</f>
        <v>http://ts.21cn.com/tousu/show/id/1337273</v>
      </c>
      <c r="F6378" s="2" t="s">
        <v>11</v>
      </c>
      <c r="G6378" s="2" t="s">
        <v>31614</v>
      </c>
      <c r="H6378" s="2" t="s">
        <v>31615</v>
      </c>
    </row>
    <row r="6379" spans="1:8" ht="25.05" customHeight="1" x14ac:dyDescent="0.25">
      <c r="A6379" s="2" t="s">
        <v>8</v>
      </c>
      <c r="B6379" s="2" t="str">
        <f>HYPERLINK("http://ts.21cn.com/tousu/show/id/1337275","悦享钱包时光分期高利贷暴利催收")</f>
        <v>悦享钱包时光分期高利贷暴利催收</v>
      </c>
      <c r="C6379" s="2" t="s">
        <v>9</v>
      </c>
      <c r="D6379" s="2" t="s">
        <v>10</v>
      </c>
      <c r="E6379" s="2" t="str">
        <f>HYPERLINK("http://ts.21cn.com/tousu/show/id/1337275","http://ts.21cn.com/tousu/show/id/1337275")</f>
        <v>http://ts.21cn.com/tousu/show/id/1337275</v>
      </c>
      <c r="F6379" s="2" t="s">
        <v>11</v>
      </c>
      <c r="G6379" s="2" t="s">
        <v>31612</v>
      </c>
      <c r="H6379" s="2" t="s">
        <v>31613</v>
      </c>
    </row>
    <row r="6380" spans="1:8" ht="25.05" customHeight="1" x14ac:dyDescent="0.25">
      <c r="A6380" s="2" t="s">
        <v>8</v>
      </c>
      <c r="B6380" s="2" t="str">
        <f>HYPERLINK("http://ts.21cn.com/tousu/show/id/1337276","套路贷违规收取砍头息")</f>
        <v>套路贷违规收取砍头息</v>
      </c>
      <c r="C6380" s="2" t="s">
        <v>9</v>
      </c>
      <c r="D6380" s="2" t="s">
        <v>10</v>
      </c>
      <c r="E6380" s="2" t="str">
        <f>HYPERLINK("http://ts.21cn.com/tousu/show/id/1337276","http://ts.21cn.com/tousu/show/id/1337276")</f>
        <v>http://ts.21cn.com/tousu/show/id/1337276</v>
      </c>
      <c r="F6380" s="2" t="s">
        <v>11</v>
      </c>
      <c r="G6380" s="2" t="s">
        <v>31610</v>
      </c>
      <c r="H6380" s="2" t="s">
        <v>31611</v>
      </c>
    </row>
    <row r="6381" spans="1:8" ht="25.05" customHeight="1" x14ac:dyDescent="0.25">
      <c r="A6381" s="2" t="s">
        <v>8</v>
      </c>
      <c r="B6381" s="2" t="str">
        <f>HYPERLINK("http://ts.21cn.com/tousu/show/id/1337277","找靓机回收暴力质检翘坏屏幕诉求按照预估价回收或者赔偿苹果官方售后更换屏幕价格")</f>
        <v>找靓机回收暴力质检翘坏屏幕诉求按照预估价回收或者赔偿苹果官方售后更换屏幕价格</v>
      </c>
      <c r="C6381" s="2" t="s">
        <v>9</v>
      </c>
      <c r="D6381" s="2" t="s">
        <v>10</v>
      </c>
      <c r="E6381" s="2" t="str">
        <f>HYPERLINK("http://ts.21cn.com/tousu/show/id/1337277","http://ts.21cn.com/tousu/show/id/1337277")</f>
        <v>http://ts.21cn.com/tousu/show/id/1337277</v>
      </c>
      <c r="F6381" s="2" t="s">
        <v>11</v>
      </c>
      <c r="G6381" s="2" t="s">
        <v>31608</v>
      </c>
      <c r="H6381" s="2" t="s">
        <v>31609</v>
      </c>
    </row>
    <row r="6382" spans="1:8" ht="25.05" customHeight="1" x14ac:dyDescent="0.25">
      <c r="A6382" s="2" t="s">
        <v>8</v>
      </c>
      <c r="B6382" s="2" t="str">
        <f>HYPERLINK("http://ts.21cn.com/tousu/show/id/1337278","质量损害个人生命安全")</f>
        <v>质量损害个人生命安全</v>
      </c>
      <c r="C6382" s="2" t="s">
        <v>9</v>
      </c>
      <c r="D6382" s="2" t="s">
        <v>10</v>
      </c>
      <c r="E6382" s="2" t="str">
        <f>HYPERLINK("http://ts.21cn.com/tousu/show/id/1337278","http://ts.21cn.com/tousu/show/id/1337278")</f>
        <v>http://ts.21cn.com/tousu/show/id/1337278</v>
      </c>
      <c r="F6382" s="2" t="s">
        <v>11</v>
      </c>
      <c r="G6382" s="2" t="s">
        <v>31606</v>
      </c>
      <c r="H6382" s="2" t="s">
        <v>31607</v>
      </c>
    </row>
    <row r="6383" spans="1:8" ht="25.05" customHeight="1" x14ac:dyDescent="0.25">
      <c r="A6383" s="2" t="s">
        <v>8</v>
      </c>
      <c r="B6383" s="2" t="str">
        <f>HYPERLINK("http://ts.21cn.com/tousu/show/id/1337279","714高炮数来宝")</f>
        <v>714高炮数来宝</v>
      </c>
      <c r="C6383" s="2" t="s">
        <v>9</v>
      </c>
      <c r="D6383" s="2" t="s">
        <v>10</v>
      </c>
      <c r="E6383" s="2" t="str">
        <f>HYPERLINK("http://ts.21cn.com/tousu/show/id/1337279","http://ts.21cn.com/tousu/show/id/1337279")</f>
        <v>http://ts.21cn.com/tousu/show/id/1337279</v>
      </c>
      <c r="F6383" s="2" t="s">
        <v>11</v>
      </c>
      <c r="G6383" s="2" t="s">
        <v>31604</v>
      </c>
      <c r="H6383" s="2" t="s">
        <v>31605</v>
      </c>
    </row>
    <row r="6384" spans="1:8" ht="25.05" customHeight="1" x14ac:dyDescent="0.25">
      <c r="A6384" s="2" t="s">
        <v>8</v>
      </c>
      <c r="B6384" s="2" t="str">
        <f>HYPERLINK("http://ts.21cn.com/tousu/show/id/1337281","新网银行美利车金融套路贷高额利息暴力催收")</f>
        <v>新网银行美利车金融套路贷高额利息暴力催收</v>
      </c>
      <c r="C6384" s="2" t="s">
        <v>9</v>
      </c>
      <c r="D6384" s="2" t="s">
        <v>10</v>
      </c>
      <c r="E6384" s="2" t="str">
        <f>HYPERLINK("http://ts.21cn.com/tousu/show/id/1337281","http://ts.21cn.com/tousu/show/id/1337281")</f>
        <v>http://ts.21cn.com/tousu/show/id/1337281</v>
      </c>
      <c r="F6384" s="2" t="s">
        <v>11</v>
      </c>
      <c r="G6384" s="2" t="s">
        <v>31602</v>
      </c>
      <c r="H6384" s="2" t="s">
        <v>31603</v>
      </c>
    </row>
    <row r="6385" spans="1:8" ht="25.05" customHeight="1" x14ac:dyDescent="0.25">
      <c r="A6385" s="2" t="s">
        <v>8</v>
      </c>
      <c r="B6385" s="2" t="str">
        <f>HYPERLINK("http://ts.21cn.com/tousu/show/id/1337282","立借平台引流高利贷钱置宝砍头息，要求协商还款")</f>
        <v>立借平台引流高利贷钱置宝砍头息，要求协商还款</v>
      </c>
      <c r="C6385" s="2" t="s">
        <v>9</v>
      </c>
      <c r="D6385" s="2" t="s">
        <v>10</v>
      </c>
      <c r="E6385" s="2" t="str">
        <f>HYPERLINK("http://ts.21cn.com/tousu/show/id/1337282","http://ts.21cn.com/tousu/show/id/1337282")</f>
        <v>http://ts.21cn.com/tousu/show/id/1337282</v>
      </c>
      <c r="F6385" s="2" t="s">
        <v>11</v>
      </c>
      <c r="G6385" s="2" t="s">
        <v>31600</v>
      </c>
      <c r="H6385" s="2" t="s">
        <v>31601</v>
      </c>
    </row>
    <row r="6386" spans="1:8" ht="25.05" customHeight="1" x14ac:dyDescent="0.25">
      <c r="A6386" s="2" t="s">
        <v>8</v>
      </c>
      <c r="B6386" s="2" t="str">
        <f>HYPERLINK("http://ts.21cn.com/tousu/show/id/1337283","扣了手续费不代还")</f>
        <v>扣了手续费不代还</v>
      </c>
      <c r="C6386" s="2" t="s">
        <v>9</v>
      </c>
      <c r="D6386" s="2" t="s">
        <v>10</v>
      </c>
      <c r="E6386" s="2" t="str">
        <f>HYPERLINK("http://ts.21cn.com/tousu/show/id/1337283","http://ts.21cn.com/tousu/show/id/1337283")</f>
        <v>http://ts.21cn.com/tousu/show/id/1337283</v>
      </c>
      <c r="F6386" s="2" t="s">
        <v>11</v>
      </c>
      <c r="G6386" s="2" t="s">
        <v>31598</v>
      </c>
      <c r="H6386" s="2" t="s">
        <v>31599</v>
      </c>
    </row>
    <row r="6387" spans="1:8" ht="25.05" customHeight="1" x14ac:dyDescent="0.25">
      <c r="A6387" s="2" t="s">
        <v>8</v>
      </c>
      <c r="B6387" s="2" t="str">
        <f>HYPERLINK("http://ts.21cn.com/tousu/show/id/1337284","高利贷，套路贷，恶意催收")</f>
        <v>高利贷，套路贷，恶意催收</v>
      </c>
      <c r="C6387" s="2" t="s">
        <v>9</v>
      </c>
      <c r="D6387" s="2" t="s">
        <v>10</v>
      </c>
      <c r="E6387" s="2" t="str">
        <f>HYPERLINK("http://ts.21cn.com/tousu/show/id/1337284","http://ts.21cn.com/tousu/show/id/1337284")</f>
        <v>http://ts.21cn.com/tousu/show/id/1337284</v>
      </c>
      <c r="F6387" s="2" t="s">
        <v>11</v>
      </c>
      <c r="G6387" s="2" t="s">
        <v>31596</v>
      </c>
      <c r="H6387" s="2" t="s">
        <v>31597</v>
      </c>
    </row>
    <row r="6388" spans="1:8" ht="25.05" customHeight="1" x14ac:dyDescent="0.25">
      <c r="A6388" s="2" t="s">
        <v>8</v>
      </c>
      <c r="B6388" s="2" t="str">
        <f>HYPERLINK("http://ts.21cn.com/tousu/show/id/1337287","维信宝APP交了会员不能正常使用空卡代还")</f>
        <v>维信宝APP交了会员不能正常使用空卡代还</v>
      </c>
      <c r="C6388" s="2" t="s">
        <v>9</v>
      </c>
      <c r="D6388" s="2" t="s">
        <v>10</v>
      </c>
      <c r="E6388" s="2" t="str">
        <f>HYPERLINK("http://ts.21cn.com/tousu/show/id/1337287","http://ts.21cn.com/tousu/show/id/1337287")</f>
        <v>http://ts.21cn.com/tousu/show/id/1337287</v>
      </c>
      <c r="F6388" s="2" t="s">
        <v>11</v>
      </c>
      <c r="G6388" s="2" t="s">
        <v>31594</v>
      </c>
      <c r="H6388" s="2" t="s">
        <v>31595</v>
      </c>
    </row>
    <row r="6389" spans="1:8" ht="25.05" customHeight="1" x14ac:dyDescent="0.25">
      <c r="A6389" s="2" t="s">
        <v>8</v>
      </c>
      <c r="B6389" s="2" t="str">
        <f>HYPERLINK("http://ts.21cn.com/tousu/show/id/1337285","平安普惠爆通讯录")</f>
        <v>平安普惠爆通讯录</v>
      </c>
      <c r="C6389" s="2" t="s">
        <v>9</v>
      </c>
      <c r="D6389" s="2" t="s">
        <v>10</v>
      </c>
      <c r="E6389" s="2" t="str">
        <f>HYPERLINK("http://ts.21cn.com/tousu/show/id/1337285","http://ts.21cn.com/tousu/show/id/1337285")</f>
        <v>http://ts.21cn.com/tousu/show/id/1337285</v>
      </c>
      <c r="F6389" s="2" t="s">
        <v>11</v>
      </c>
      <c r="G6389" s="2" t="s">
        <v>31592</v>
      </c>
      <c r="H6389" s="2" t="s">
        <v>31593</v>
      </c>
    </row>
    <row r="6390" spans="1:8" ht="25.05" customHeight="1" x14ac:dyDescent="0.25">
      <c r="A6390" s="2" t="s">
        <v>8</v>
      </c>
      <c r="B6390" s="2" t="str">
        <f>HYPERLINK("http://ts.21cn.com/tousu/show/id/1337288","滴滴司机诱导绕路")</f>
        <v>滴滴司机诱导绕路</v>
      </c>
      <c r="C6390" s="2" t="s">
        <v>9</v>
      </c>
      <c r="D6390" s="2" t="s">
        <v>10</v>
      </c>
      <c r="E6390" s="2" t="str">
        <f>HYPERLINK("http://ts.21cn.com/tousu/show/id/1337288","http://ts.21cn.com/tousu/show/id/1337288")</f>
        <v>http://ts.21cn.com/tousu/show/id/1337288</v>
      </c>
      <c r="F6390" s="2" t="s">
        <v>11</v>
      </c>
      <c r="G6390" s="2" t="s">
        <v>31590</v>
      </c>
      <c r="H6390" s="2" t="s">
        <v>31591</v>
      </c>
    </row>
    <row r="6391" spans="1:8" ht="25.05" customHeight="1" x14ac:dyDescent="0.25">
      <c r="A6391" s="2" t="s">
        <v>8</v>
      </c>
      <c r="B6391" s="2" t="str">
        <f>HYPERLINK("http://ts.21cn.com/tousu/show/id/1337289","凡普金科旗下钱站app暴力催收")</f>
        <v>凡普金科旗下钱站app暴力催收</v>
      </c>
      <c r="C6391" s="2" t="s">
        <v>9</v>
      </c>
      <c r="D6391" s="2" t="s">
        <v>10</v>
      </c>
      <c r="E6391" s="2" t="str">
        <f>HYPERLINK("http://ts.21cn.com/tousu/show/id/1337289","http://ts.21cn.com/tousu/show/id/1337289")</f>
        <v>http://ts.21cn.com/tousu/show/id/1337289</v>
      </c>
      <c r="F6391" s="2" t="s">
        <v>11</v>
      </c>
      <c r="G6391" s="2" t="s">
        <v>31588</v>
      </c>
      <c r="H6391" s="2" t="s">
        <v>31589</v>
      </c>
    </row>
    <row r="6392" spans="1:8" ht="25.05" customHeight="1" x14ac:dyDescent="0.25">
      <c r="A6392" s="2" t="s">
        <v>8</v>
      </c>
      <c r="B6392" s="2" t="str">
        <f>HYPERLINK("http://ts.21cn.com/tousu/show/id/1337290","点点通无法还款，并且变相收取高额砍头息")</f>
        <v>点点通无法还款，并且变相收取高额砍头息</v>
      </c>
      <c r="C6392" s="2" t="s">
        <v>9</v>
      </c>
      <c r="D6392" s="2" t="s">
        <v>10</v>
      </c>
      <c r="E6392" s="2" t="str">
        <f>HYPERLINK("http://ts.21cn.com/tousu/show/id/1337290","http://ts.21cn.com/tousu/show/id/1337290")</f>
        <v>http://ts.21cn.com/tousu/show/id/1337290</v>
      </c>
      <c r="F6392" s="2" t="s">
        <v>11</v>
      </c>
      <c r="G6392" s="2" t="s">
        <v>31586</v>
      </c>
      <c r="H6392" s="2" t="s">
        <v>31587</v>
      </c>
    </row>
    <row r="6393" spans="1:8" ht="25.05" customHeight="1" x14ac:dyDescent="0.25">
      <c r="A6393" s="2" t="s">
        <v>8</v>
      </c>
      <c r="B6393" s="2" t="str">
        <f>HYPERLINK("http://ts.21cn.com/tousu/show/id/1337286","被借据商行诱导套路贷，在借据商行打欠条，2000到账1400时间5天。")</f>
        <v>被借据商行诱导套路贷，在借据商行打欠条，2000到账1400时间5天。</v>
      </c>
      <c r="C6393" s="2" t="s">
        <v>9</v>
      </c>
      <c r="D6393" s="2" t="s">
        <v>10</v>
      </c>
      <c r="E6393" s="2" t="str">
        <f>HYPERLINK("http://ts.21cn.com/tousu/show/id/1337286","http://ts.21cn.com/tousu/show/id/1337286")</f>
        <v>http://ts.21cn.com/tousu/show/id/1337286</v>
      </c>
      <c r="F6393" s="2" t="s">
        <v>11</v>
      </c>
      <c r="G6393" s="2" t="s">
        <v>31584</v>
      </c>
      <c r="H6393" s="2" t="s">
        <v>31585</v>
      </c>
    </row>
    <row r="6394" spans="1:8" ht="25.05" customHeight="1" x14ac:dyDescent="0.25">
      <c r="A6394" s="2" t="s">
        <v>8</v>
      </c>
      <c r="B6394" s="2" t="str">
        <f>HYPERLINK("http://ts.21cn.com/tousu/show/id/1337292","集体投诉英孚教育退款难")</f>
        <v>集体投诉英孚教育退款难</v>
      </c>
      <c r="C6394" s="2" t="s">
        <v>9</v>
      </c>
      <c r="D6394" s="2" t="s">
        <v>10</v>
      </c>
      <c r="E6394" s="2" t="str">
        <f>HYPERLINK("http://ts.21cn.com/tousu/show/id/1337292","http://ts.21cn.com/tousu/show/id/1337292")</f>
        <v>http://ts.21cn.com/tousu/show/id/1337292</v>
      </c>
      <c r="F6394" s="2" t="s">
        <v>11</v>
      </c>
      <c r="G6394" s="2" t="s">
        <v>31582</v>
      </c>
      <c r="H6394" s="2" t="s">
        <v>31583</v>
      </c>
    </row>
    <row r="6395" spans="1:8" ht="25.05" customHeight="1" x14ac:dyDescent="0.25">
      <c r="A6395" s="2" t="s">
        <v>8</v>
      </c>
      <c r="B6395" s="2" t="str">
        <f>HYPERLINK("http://ts.21cn.com/tousu/show/id/1337291","招商银行委托催收骚扰家人")</f>
        <v>招商银行委托催收骚扰家人</v>
      </c>
      <c r="C6395" s="2" t="s">
        <v>9</v>
      </c>
      <c r="D6395" s="2" t="s">
        <v>10</v>
      </c>
      <c r="E6395" s="2" t="str">
        <f>HYPERLINK("http://ts.21cn.com/tousu/show/id/1337291","http://ts.21cn.com/tousu/show/id/1337291")</f>
        <v>http://ts.21cn.com/tousu/show/id/1337291</v>
      </c>
      <c r="F6395" s="2" t="s">
        <v>11</v>
      </c>
      <c r="G6395" s="2" t="s">
        <v>31580</v>
      </c>
      <c r="H6395" s="2" t="s">
        <v>31581</v>
      </c>
    </row>
    <row r="6396" spans="1:8" ht="25.05" customHeight="1" x14ac:dyDescent="0.25">
      <c r="A6396" s="2" t="s">
        <v>8</v>
      </c>
      <c r="B6396" s="2" t="str">
        <f>HYPERLINK("http://ts.21cn.com/tousu/show/id/1337293","程咬金-火影帮714高炮砍头息")</f>
        <v>程咬金-火影帮714高炮砍头息</v>
      </c>
      <c r="C6396" s="2" t="s">
        <v>34</v>
      </c>
      <c r="D6396" s="2" t="s">
        <v>10</v>
      </c>
      <c r="E6396" s="2" t="str">
        <f>HYPERLINK("http://ts.21cn.com/tousu/show/id/1337293","http://ts.21cn.com/tousu/show/id/1337293")</f>
        <v>http://ts.21cn.com/tousu/show/id/1337293</v>
      </c>
      <c r="F6396" s="2" t="s">
        <v>11</v>
      </c>
      <c r="G6396" s="2" t="s">
        <v>31578</v>
      </c>
      <c r="H6396" s="2" t="s">
        <v>31579</v>
      </c>
    </row>
    <row r="6397" spans="1:8" ht="25.05" customHeight="1" x14ac:dyDescent="0.25">
      <c r="A6397" s="2" t="s">
        <v>8</v>
      </c>
      <c r="B6397" s="2" t="str">
        <f>HYPERLINK("http://ts.21cn.com/tousu/show/id/1337297","小当家暴力催收、威胁恐吓、请平台帮忙维权")</f>
        <v>小当家暴力催收、威胁恐吓、请平台帮忙维权</v>
      </c>
      <c r="C6397" s="2" t="s">
        <v>9</v>
      </c>
      <c r="D6397" s="2" t="s">
        <v>10</v>
      </c>
      <c r="E6397" s="2" t="str">
        <f>HYPERLINK("http://ts.21cn.com/tousu/show/id/1337297","http://ts.21cn.com/tousu/show/id/1337297")</f>
        <v>http://ts.21cn.com/tousu/show/id/1337297</v>
      </c>
      <c r="F6397" s="2" t="s">
        <v>11</v>
      </c>
      <c r="G6397" s="2" t="s">
        <v>31576</v>
      </c>
      <c r="H6397" s="2" t="s">
        <v>31577</v>
      </c>
    </row>
    <row r="6398" spans="1:8" ht="25.05" customHeight="1" x14ac:dyDescent="0.25">
      <c r="A6398" s="2" t="s">
        <v>8</v>
      </c>
      <c r="B6398" s="2" t="str">
        <f>HYPERLINK("http://ts.21cn.com/tousu/show/id/1337294","京东白条威胁要发律师函")</f>
        <v>京东白条威胁要发律师函</v>
      </c>
      <c r="C6398" s="2" t="s">
        <v>9</v>
      </c>
      <c r="D6398" s="2" t="s">
        <v>10</v>
      </c>
      <c r="E6398" s="2" t="str">
        <f>HYPERLINK("http://ts.21cn.com/tousu/show/id/1337294","http://ts.21cn.com/tousu/show/id/1337294")</f>
        <v>http://ts.21cn.com/tousu/show/id/1337294</v>
      </c>
      <c r="F6398" s="2" t="s">
        <v>11</v>
      </c>
      <c r="G6398" s="2" t="s">
        <v>31574</v>
      </c>
      <c r="H6398" s="2" t="s">
        <v>31575</v>
      </c>
    </row>
    <row r="6399" spans="1:8" ht="25.05" customHeight="1" x14ac:dyDescent="0.25">
      <c r="A6399" s="2" t="s">
        <v>8</v>
      </c>
      <c r="B6399" s="2" t="str">
        <f>HYPERLINK("http://ts.21cn.com/tousu/show/id/1337296","蟹老弟.催收恐吓")</f>
        <v>蟹老弟.催收恐吓</v>
      </c>
      <c r="C6399" s="2" t="s">
        <v>9</v>
      </c>
      <c r="D6399" s="2" t="s">
        <v>10</v>
      </c>
      <c r="E6399" s="2" t="str">
        <f>HYPERLINK("http://ts.21cn.com/tousu/show/id/1337296","http://ts.21cn.com/tousu/show/id/1337296")</f>
        <v>http://ts.21cn.com/tousu/show/id/1337296</v>
      </c>
      <c r="F6399" s="2" t="s">
        <v>11</v>
      </c>
      <c r="G6399" s="2" t="s">
        <v>31572</v>
      </c>
      <c r="H6399" s="2" t="s">
        <v>31573</v>
      </c>
    </row>
    <row r="6400" spans="1:8" ht="25.05" customHeight="1" x14ac:dyDescent="0.25">
      <c r="A6400" s="2" t="s">
        <v>8</v>
      </c>
      <c r="B6400" s="2" t="str">
        <f>HYPERLINK("http://ts.21cn.com/tousu/show/id/1337295","乱收手续费！我根本没按！把我扣了296")</f>
        <v>乱收手续费！我根本没按！把我扣了296</v>
      </c>
      <c r="C6400" s="2" t="s">
        <v>9</v>
      </c>
      <c r="D6400" s="2" t="s">
        <v>10</v>
      </c>
      <c r="E6400" s="2" t="str">
        <f>HYPERLINK("http://ts.21cn.com/tousu/show/id/1337295","http://ts.21cn.com/tousu/show/id/1337295")</f>
        <v>http://ts.21cn.com/tousu/show/id/1337295</v>
      </c>
      <c r="F6400" s="2" t="s">
        <v>11</v>
      </c>
      <c r="G6400" s="2" t="s">
        <v>31570</v>
      </c>
      <c r="H6400" s="2" t="s">
        <v>31571</v>
      </c>
    </row>
    <row r="6401" spans="1:8" ht="25.05" customHeight="1" x14ac:dyDescent="0.25">
      <c r="A6401" s="2" t="s">
        <v>8</v>
      </c>
      <c r="B6401" s="2" t="str">
        <f>HYPERLINK("http://ts.21cn.com/tousu/show/id/1337300","钱站高价服务费")</f>
        <v>钱站高价服务费</v>
      </c>
      <c r="C6401" s="2" t="s">
        <v>9</v>
      </c>
      <c r="D6401" s="2" t="s">
        <v>10</v>
      </c>
      <c r="E6401" s="2" t="str">
        <f>HYPERLINK("http://ts.21cn.com/tousu/show/id/1337300","http://ts.21cn.com/tousu/show/id/1337300")</f>
        <v>http://ts.21cn.com/tousu/show/id/1337300</v>
      </c>
      <c r="F6401" s="2" t="s">
        <v>11</v>
      </c>
      <c r="G6401" s="2" t="s">
        <v>31568</v>
      </c>
      <c r="H6401" s="2" t="s">
        <v>31569</v>
      </c>
    </row>
    <row r="6402" spans="1:8" ht="25.05" customHeight="1" x14ac:dyDescent="0.25">
      <c r="A6402" s="2" t="s">
        <v>8</v>
      </c>
      <c r="B6402" s="2" t="str">
        <f>HYPERLINK("http://ts.21cn.com/tousu/show/id/1337301","钱站高利贷阴阳合同")</f>
        <v>钱站高利贷阴阳合同</v>
      </c>
      <c r="C6402" s="2" t="s">
        <v>9</v>
      </c>
      <c r="D6402" s="2" t="s">
        <v>10</v>
      </c>
      <c r="E6402" s="2" t="str">
        <f>HYPERLINK("http://ts.21cn.com/tousu/show/id/1337301","http://ts.21cn.com/tousu/show/id/1337301")</f>
        <v>http://ts.21cn.com/tousu/show/id/1337301</v>
      </c>
      <c r="F6402" s="2" t="s">
        <v>11</v>
      </c>
      <c r="G6402" s="2" t="s">
        <v>31566</v>
      </c>
      <c r="H6402" s="2" t="s">
        <v>31567</v>
      </c>
    </row>
    <row r="6403" spans="1:8" ht="25.05" customHeight="1" x14ac:dyDescent="0.25">
      <c r="A6403" s="2" t="s">
        <v>8</v>
      </c>
      <c r="B6403" s="2" t="str">
        <f>HYPERLINK("http://ts.21cn.com/tousu/show/id/1337298","网贷有砍头息，暴力催收")</f>
        <v>网贷有砍头息，暴力催收</v>
      </c>
      <c r="C6403" s="2" t="s">
        <v>9</v>
      </c>
      <c r="D6403" s="2" t="s">
        <v>10</v>
      </c>
      <c r="E6403" s="2" t="str">
        <f>HYPERLINK("http://ts.21cn.com/tousu/show/id/1337298","http://ts.21cn.com/tousu/show/id/1337298")</f>
        <v>http://ts.21cn.com/tousu/show/id/1337298</v>
      </c>
      <c r="F6403" s="2" t="s">
        <v>11</v>
      </c>
      <c r="G6403" s="2" t="s">
        <v>31564</v>
      </c>
      <c r="H6403" s="2" t="s">
        <v>31565</v>
      </c>
    </row>
    <row r="6404" spans="1:8" ht="25.05" customHeight="1" x14ac:dyDescent="0.25">
      <c r="A6404" s="2" t="s">
        <v>8</v>
      </c>
      <c r="B6404" s="2" t="str">
        <f>HYPERLINK("http://ts.21cn.com/tousu/show/id/1337299","玖富万卡高利贷，阴阳合同")</f>
        <v>玖富万卡高利贷，阴阳合同</v>
      </c>
      <c r="C6404" s="2" t="s">
        <v>9</v>
      </c>
      <c r="D6404" s="2" t="s">
        <v>10</v>
      </c>
      <c r="E6404" s="2" t="str">
        <f>HYPERLINK("http://ts.21cn.com/tousu/show/id/1337299","http://ts.21cn.com/tousu/show/id/1337299")</f>
        <v>http://ts.21cn.com/tousu/show/id/1337299</v>
      </c>
      <c r="F6404" s="2" t="s">
        <v>11</v>
      </c>
      <c r="G6404" s="2" t="s">
        <v>31562</v>
      </c>
      <c r="H6404" s="2" t="s">
        <v>31563</v>
      </c>
    </row>
    <row r="6405" spans="1:8" ht="25.05" customHeight="1" x14ac:dyDescent="0.25">
      <c r="A6405" s="2" t="s">
        <v>8</v>
      </c>
      <c r="B6405" s="2" t="str">
        <f>HYPERLINK("http://ts.21cn.com/tousu/show/id/1337302","支付宝借呗委托三方催收威胁为由催款")</f>
        <v>支付宝借呗委托三方催收威胁为由催款</v>
      </c>
      <c r="C6405" s="2" t="s">
        <v>9</v>
      </c>
      <c r="D6405" s="2" t="s">
        <v>10</v>
      </c>
      <c r="E6405" s="2" t="str">
        <f>HYPERLINK("http://ts.21cn.com/tousu/show/id/1337302","http://ts.21cn.com/tousu/show/id/1337302")</f>
        <v>http://ts.21cn.com/tousu/show/id/1337302</v>
      </c>
      <c r="F6405" s="2" t="s">
        <v>11</v>
      </c>
      <c r="G6405" s="2" t="s">
        <v>31560</v>
      </c>
      <c r="H6405" s="2" t="s">
        <v>31561</v>
      </c>
    </row>
    <row r="6406" spans="1:8" ht="25.05" customHeight="1" x14ac:dyDescent="0.25">
      <c r="A6406" s="2" t="s">
        <v>8</v>
      </c>
      <c r="B6406" s="2" t="str">
        <f>HYPERLINK("http://ts.21cn.com/tousu/show/id/1337303","聚福钱包收前期")</f>
        <v>聚福钱包收前期</v>
      </c>
      <c r="C6406" s="2" t="s">
        <v>34</v>
      </c>
      <c r="D6406" s="2" t="s">
        <v>10</v>
      </c>
      <c r="E6406" s="2" t="str">
        <f>HYPERLINK("http://ts.21cn.com/tousu/show/id/1337303","http://ts.21cn.com/tousu/show/id/1337303")</f>
        <v>http://ts.21cn.com/tousu/show/id/1337303</v>
      </c>
      <c r="F6406" s="2" t="s">
        <v>11</v>
      </c>
      <c r="G6406" s="2" t="s">
        <v>31558</v>
      </c>
      <c r="H6406" s="2" t="s">
        <v>31559</v>
      </c>
    </row>
    <row r="6407" spans="1:8" ht="25.05" customHeight="1" x14ac:dyDescent="0.25">
      <c r="A6407" s="2" t="s">
        <v>8</v>
      </c>
      <c r="B6407" s="2" t="str">
        <f>HYPERLINK("http://ts.21cn.com/tousu/show/id/1337304","大量用户无法退还立刻出行499元押金")</f>
        <v>大量用户无法退还立刻出行499元押金</v>
      </c>
      <c r="C6407" s="2" t="s">
        <v>34</v>
      </c>
      <c r="D6407" s="2" t="s">
        <v>10</v>
      </c>
      <c r="E6407" s="2" t="str">
        <f>HYPERLINK("http://ts.21cn.com/tousu/show/id/1337304","http://ts.21cn.com/tousu/show/id/1337304")</f>
        <v>http://ts.21cn.com/tousu/show/id/1337304</v>
      </c>
      <c r="F6407" s="2" t="s">
        <v>11</v>
      </c>
      <c r="G6407" s="2" t="s">
        <v>31556</v>
      </c>
      <c r="H6407" s="2" t="s">
        <v>31557</v>
      </c>
    </row>
    <row r="6408" spans="1:8" ht="25.05" customHeight="1" x14ac:dyDescent="0.25">
      <c r="A6408" s="2" t="s">
        <v>8</v>
      </c>
      <c r="B6408" s="2" t="str">
        <f>HYPERLINK("http://ts.21cn.com/tousu/show/id/1337305","招联金融威胁我要恶意骚扰联系人")</f>
        <v>招联金融威胁我要恶意骚扰联系人</v>
      </c>
      <c r="C6408" s="2" t="s">
        <v>9</v>
      </c>
      <c r="D6408" s="2" t="s">
        <v>10</v>
      </c>
      <c r="E6408" s="2" t="str">
        <f>HYPERLINK("http://ts.21cn.com/tousu/show/id/1337305","http://ts.21cn.com/tousu/show/id/1337305")</f>
        <v>http://ts.21cn.com/tousu/show/id/1337305</v>
      </c>
      <c r="F6408" s="2" t="s">
        <v>11</v>
      </c>
      <c r="G6408" s="2" t="s">
        <v>31554</v>
      </c>
      <c r="H6408" s="2" t="s">
        <v>31555</v>
      </c>
    </row>
    <row r="6409" spans="1:8" ht="25.05" customHeight="1" x14ac:dyDescent="0.25">
      <c r="A6409" s="2" t="s">
        <v>8</v>
      </c>
      <c r="B6409" s="2" t="str">
        <f>HYPERLINK("http://ts.21cn.com/tousu/show/id/1337307","爆利催收")</f>
        <v>爆利催收</v>
      </c>
      <c r="C6409" s="2" t="s">
        <v>9</v>
      </c>
      <c r="D6409" s="2" t="s">
        <v>10</v>
      </c>
      <c r="E6409" s="2" t="str">
        <f>HYPERLINK("http://ts.21cn.com/tousu/show/id/1337307","http://ts.21cn.com/tousu/show/id/1337307")</f>
        <v>http://ts.21cn.com/tousu/show/id/1337307</v>
      </c>
      <c r="F6409" s="2" t="s">
        <v>11</v>
      </c>
      <c r="G6409" s="2" t="s">
        <v>31552</v>
      </c>
      <c r="H6409" s="2" t="s">
        <v>31553</v>
      </c>
    </row>
    <row r="6410" spans="1:8" ht="25.05" customHeight="1" x14ac:dyDescent="0.25">
      <c r="A6410" s="2" t="s">
        <v>8</v>
      </c>
      <c r="B6410" s="2" t="str">
        <f>HYPERLINK("http://ts.21cn.com/tousu/show/id/1337306","高利贷")</f>
        <v>高利贷</v>
      </c>
      <c r="C6410" s="2" t="s">
        <v>9</v>
      </c>
      <c r="D6410" s="2" t="s">
        <v>10</v>
      </c>
      <c r="E6410" s="2" t="str">
        <f>HYPERLINK("http://ts.21cn.com/tousu/show/id/1337306","http://ts.21cn.com/tousu/show/id/1337306")</f>
        <v>http://ts.21cn.com/tousu/show/id/1337306</v>
      </c>
      <c r="F6410" s="2" t="s">
        <v>11</v>
      </c>
      <c r="G6410" s="2" t="s">
        <v>31550</v>
      </c>
      <c r="H6410" s="2" t="s">
        <v>31551</v>
      </c>
    </row>
    <row r="6411" spans="1:8" ht="25.05" customHeight="1" x14ac:dyDescent="0.25">
      <c r="A6411" s="2" t="s">
        <v>8</v>
      </c>
      <c r="B6411" s="2" t="str">
        <f>HYPERLINK("http://ts.21cn.com/tousu/show/id/1337308","豹子贷恶意扣款")</f>
        <v>豹子贷恶意扣款</v>
      </c>
      <c r="C6411" s="2" t="s">
        <v>9</v>
      </c>
      <c r="D6411" s="2" t="s">
        <v>10</v>
      </c>
      <c r="E6411" s="2" t="str">
        <f>HYPERLINK("http://ts.21cn.com/tousu/show/id/1337308","http://ts.21cn.com/tousu/show/id/1337308")</f>
        <v>http://ts.21cn.com/tousu/show/id/1337308</v>
      </c>
      <c r="F6411" s="2" t="s">
        <v>11</v>
      </c>
      <c r="G6411" s="2" t="s">
        <v>31548</v>
      </c>
      <c r="H6411" s="2" t="s">
        <v>31549</v>
      </c>
    </row>
    <row r="6412" spans="1:8" ht="25.05" customHeight="1" x14ac:dyDescent="0.25">
      <c r="A6412" s="2" t="s">
        <v>8</v>
      </c>
      <c r="B6412" s="2" t="str">
        <f>HYPERLINK("http://ts.21cn.com/tousu/show/id/1337309","你我贷暴力催收，催收人员态度恶劣")</f>
        <v>你我贷暴力催收，催收人员态度恶劣</v>
      </c>
      <c r="C6412" s="2" t="s">
        <v>9</v>
      </c>
      <c r="D6412" s="2" t="s">
        <v>10</v>
      </c>
      <c r="E6412" s="2" t="str">
        <f>HYPERLINK("http://ts.21cn.com/tousu/show/id/1337309","http://ts.21cn.com/tousu/show/id/1337309")</f>
        <v>http://ts.21cn.com/tousu/show/id/1337309</v>
      </c>
      <c r="F6412" s="2" t="s">
        <v>11</v>
      </c>
      <c r="G6412" s="2" t="s">
        <v>31546</v>
      </c>
      <c r="H6412" s="2" t="s">
        <v>31547</v>
      </c>
    </row>
    <row r="6413" spans="1:8" ht="25.05" customHeight="1" x14ac:dyDescent="0.25">
      <c r="A6413" s="2" t="s">
        <v>8</v>
      </c>
      <c r="B6413" s="2" t="str">
        <f>HYPERLINK("http://ts.21cn.com/tousu/show/id/1337310","违法")</f>
        <v>违法</v>
      </c>
      <c r="C6413" s="2" t="s">
        <v>9</v>
      </c>
      <c r="D6413" s="2" t="s">
        <v>10</v>
      </c>
      <c r="E6413" s="2" t="str">
        <f>HYPERLINK("http://ts.21cn.com/tousu/show/id/1337310","http://ts.21cn.com/tousu/show/id/1337310")</f>
        <v>http://ts.21cn.com/tousu/show/id/1337310</v>
      </c>
      <c r="F6413" s="2" t="s">
        <v>11</v>
      </c>
      <c r="G6413" s="2" t="s">
        <v>31544</v>
      </c>
      <c r="H6413" s="2" t="s">
        <v>31545</v>
      </c>
    </row>
    <row r="6414" spans="1:8" ht="25.05" customHeight="1" x14ac:dyDescent="0.25">
      <c r="A6414" s="2" t="s">
        <v>8</v>
      </c>
      <c r="B6414" s="2" t="str">
        <f>HYPERLINK("http://ts.21cn.com/tousu/show/id/1337311","已归还本金，还多出1000多元。")</f>
        <v>已归还本金，还多出1000多元。</v>
      </c>
      <c r="C6414" s="2" t="s">
        <v>34</v>
      </c>
      <c r="D6414" s="2" t="s">
        <v>10</v>
      </c>
      <c r="E6414" s="2" t="str">
        <f>HYPERLINK("http://ts.21cn.com/tousu/show/id/1337311","http://ts.21cn.com/tousu/show/id/1337311")</f>
        <v>http://ts.21cn.com/tousu/show/id/1337311</v>
      </c>
      <c r="F6414" s="2" t="s">
        <v>11</v>
      </c>
      <c r="G6414" s="2" t="s">
        <v>31542</v>
      </c>
      <c r="H6414" s="2" t="s">
        <v>31543</v>
      </c>
    </row>
    <row r="6415" spans="1:8" ht="25.05" customHeight="1" x14ac:dyDescent="0.25">
      <c r="A6415" s="2" t="s">
        <v>8</v>
      </c>
      <c r="B6415" s="2" t="str">
        <f>HYPERLINK("http://ts.21cn.com/tousu/show/id/1337312","京东到家永辉超市驳回售后申请")</f>
        <v>京东到家永辉超市驳回售后申请</v>
      </c>
      <c r="C6415" s="2" t="s">
        <v>34</v>
      </c>
      <c r="D6415" s="2" t="s">
        <v>10</v>
      </c>
      <c r="E6415" s="2" t="str">
        <f>HYPERLINK("http://ts.21cn.com/tousu/show/id/1337312","http://ts.21cn.com/tousu/show/id/1337312")</f>
        <v>http://ts.21cn.com/tousu/show/id/1337312</v>
      </c>
      <c r="F6415" s="2" t="s">
        <v>11</v>
      </c>
      <c r="G6415" s="2" t="s">
        <v>31540</v>
      </c>
      <c r="H6415" s="2" t="s">
        <v>31541</v>
      </c>
    </row>
    <row r="6416" spans="1:8" ht="25.05" customHeight="1" x14ac:dyDescent="0.25">
      <c r="A6416" s="2" t="s">
        <v>8</v>
      </c>
      <c r="B6416" s="2" t="str">
        <f>HYPERLINK("http://ts.21cn.com/tousu/show/id/1337315","联动优势禁止我交易")</f>
        <v>联动优势禁止我交易</v>
      </c>
      <c r="C6416" s="2" t="s">
        <v>34</v>
      </c>
      <c r="D6416" s="2" t="s">
        <v>10</v>
      </c>
      <c r="E6416" s="2" t="str">
        <f>HYPERLINK("http://ts.21cn.com/tousu/show/id/1337315","http://ts.21cn.com/tousu/show/id/1337315")</f>
        <v>http://ts.21cn.com/tousu/show/id/1337315</v>
      </c>
      <c r="F6416" s="2" t="s">
        <v>11</v>
      </c>
      <c r="G6416" s="2" t="s">
        <v>31538</v>
      </c>
      <c r="H6416" s="2" t="s">
        <v>31539</v>
      </c>
    </row>
    <row r="6417" spans="1:8" ht="25.05" customHeight="1" x14ac:dyDescent="0.25">
      <c r="A6417" s="2" t="s">
        <v>8</v>
      </c>
      <c r="B6417" s="2" t="str">
        <f>HYPERLINK("http://ts.21cn.com/tousu/show/id/1337313","钱站高利贷阴阳合同")</f>
        <v>钱站高利贷阴阳合同</v>
      </c>
      <c r="C6417" s="2" t="s">
        <v>9</v>
      </c>
      <c r="D6417" s="2" t="s">
        <v>10</v>
      </c>
      <c r="E6417" s="2" t="str">
        <f>HYPERLINK("http://ts.21cn.com/tousu/show/id/1337313","http://ts.21cn.com/tousu/show/id/1337313")</f>
        <v>http://ts.21cn.com/tousu/show/id/1337313</v>
      </c>
      <c r="F6417" s="2" t="s">
        <v>11</v>
      </c>
      <c r="G6417" s="2" t="s">
        <v>31536</v>
      </c>
      <c r="H6417" s="2" t="s">
        <v>31537</v>
      </c>
    </row>
    <row r="6418" spans="1:8" ht="25.05" customHeight="1" x14ac:dyDescent="0.25">
      <c r="A6418" s="2" t="s">
        <v>8</v>
      </c>
      <c r="B6418" s="2" t="str">
        <f>HYPERLINK("http://ts.21cn.com/tousu/show/id/1337314","投诉马上金融无止境骚扰")</f>
        <v>投诉马上金融无止境骚扰</v>
      </c>
      <c r="C6418" s="2" t="s">
        <v>9</v>
      </c>
      <c r="D6418" s="2" t="s">
        <v>10</v>
      </c>
      <c r="E6418" s="2" t="str">
        <f>HYPERLINK("http://ts.21cn.com/tousu/show/id/1337314","http://ts.21cn.com/tousu/show/id/1337314")</f>
        <v>http://ts.21cn.com/tousu/show/id/1337314</v>
      </c>
      <c r="F6418" s="2" t="s">
        <v>11</v>
      </c>
      <c r="G6418" s="2" t="s">
        <v>31534</v>
      </c>
      <c r="H6418" s="2" t="s">
        <v>31535</v>
      </c>
    </row>
    <row r="6419" spans="1:8" ht="25.05" customHeight="1" x14ac:dyDescent="0.25">
      <c r="A6419" s="2" t="s">
        <v>8</v>
      </c>
      <c r="B6419" s="2" t="str">
        <f>HYPERLINK("http://ts.21cn.com/tousu/show/id/1337318","新橙优品高利贷，且无法正常还款")</f>
        <v>新橙优品高利贷，且无法正常还款</v>
      </c>
      <c r="C6419" s="2" t="s">
        <v>9</v>
      </c>
      <c r="D6419" s="2" t="s">
        <v>10</v>
      </c>
      <c r="E6419" s="2" t="str">
        <f>HYPERLINK("http://ts.21cn.com/tousu/show/id/1337318","http://ts.21cn.com/tousu/show/id/1337318")</f>
        <v>http://ts.21cn.com/tousu/show/id/1337318</v>
      </c>
      <c r="F6419" s="2" t="s">
        <v>11</v>
      </c>
      <c r="G6419" s="2" t="s">
        <v>31532</v>
      </c>
      <c r="H6419" s="2" t="s">
        <v>31533</v>
      </c>
    </row>
    <row r="6420" spans="1:8" ht="25.05" customHeight="1" x14ac:dyDescent="0.25">
      <c r="A6420" s="2" t="s">
        <v>8</v>
      </c>
      <c r="B6420" s="2" t="str">
        <f>HYPERLINK("http://ts.21cn.com/tousu/show/id/1337316","蟹老弟请联系我，关于还不了款")</f>
        <v>蟹老弟请联系我，关于还不了款</v>
      </c>
      <c r="C6420" s="2" t="s">
        <v>34</v>
      </c>
      <c r="D6420" s="2" t="s">
        <v>10</v>
      </c>
      <c r="E6420" s="2" t="str">
        <f>HYPERLINK("http://ts.21cn.com/tousu/show/id/1337316","http://ts.21cn.com/tousu/show/id/1337316")</f>
        <v>http://ts.21cn.com/tousu/show/id/1337316</v>
      </c>
      <c r="F6420" s="2" t="s">
        <v>11</v>
      </c>
      <c r="G6420" s="2" t="s">
        <v>31530</v>
      </c>
      <c r="H6420" s="2" t="s">
        <v>31531</v>
      </c>
    </row>
    <row r="6421" spans="1:8" ht="25.05" customHeight="1" x14ac:dyDescent="0.25">
      <c r="A6421" s="2" t="s">
        <v>8</v>
      </c>
      <c r="B6421" s="2" t="str">
        <f>HYPERLINK("http://ts.21cn.com/tousu/show/id/1337317","严重缺斤少两售后不管")</f>
        <v>严重缺斤少两售后不管</v>
      </c>
      <c r="C6421" s="2" t="s">
        <v>9</v>
      </c>
      <c r="D6421" s="2" t="s">
        <v>10</v>
      </c>
      <c r="E6421" s="2" t="str">
        <f>HYPERLINK("http://ts.21cn.com/tousu/show/id/1337317","http://ts.21cn.com/tousu/show/id/1337317")</f>
        <v>http://ts.21cn.com/tousu/show/id/1337317</v>
      </c>
      <c r="F6421" s="2" t="s">
        <v>11</v>
      </c>
      <c r="G6421" s="2" t="s">
        <v>31528</v>
      </c>
      <c r="H6421" s="2" t="s">
        <v>31529</v>
      </c>
    </row>
    <row r="6422" spans="1:8" ht="25.05" customHeight="1" x14ac:dyDescent="0.25">
      <c r="A6422" s="2" t="s">
        <v>8</v>
      </c>
      <c r="B6422" s="2" t="str">
        <f>HYPERLINK("http://ts.21cn.com/tousu/show/id/1337320","付临门旗下银钱包业务员在我不知情的情况下刷我信用卡充值银钱包会员")</f>
        <v>付临门旗下银钱包业务员在我不知情的情况下刷我信用卡充值银钱包会员</v>
      </c>
      <c r="C6422" s="2" t="s">
        <v>34</v>
      </c>
      <c r="D6422" s="2" t="s">
        <v>10</v>
      </c>
      <c r="E6422" s="2" t="str">
        <f>HYPERLINK("http://ts.21cn.com/tousu/show/id/1337320","http://ts.21cn.com/tousu/show/id/1337320")</f>
        <v>http://ts.21cn.com/tousu/show/id/1337320</v>
      </c>
      <c r="F6422" s="2" t="s">
        <v>11</v>
      </c>
      <c r="G6422" s="2" t="s">
        <v>31526</v>
      </c>
      <c r="H6422" s="2" t="s">
        <v>31527</v>
      </c>
    </row>
    <row r="6423" spans="1:8" ht="25.05" customHeight="1" x14ac:dyDescent="0.25">
      <c r="A6423" s="2" t="s">
        <v>8</v>
      </c>
      <c r="B6423" s="2" t="str">
        <f>HYPERLINK("http://ts.21cn.com/tousu/show/id/1337319","银行卡被莫名其妙的扣款")</f>
        <v>银行卡被莫名其妙的扣款</v>
      </c>
      <c r="C6423" s="2" t="s">
        <v>34</v>
      </c>
      <c r="D6423" s="2" t="s">
        <v>10</v>
      </c>
      <c r="E6423" s="2" t="str">
        <f>HYPERLINK("http://ts.21cn.com/tousu/show/id/1337319","http://ts.21cn.com/tousu/show/id/1337319")</f>
        <v>http://ts.21cn.com/tousu/show/id/1337319</v>
      </c>
      <c r="F6423" s="2" t="s">
        <v>11</v>
      </c>
      <c r="G6423" s="2" t="s">
        <v>31524</v>
      </c>
      <c r="H6423" s="2" t="s">
        <v>31525</v>
      </c>
    </row>
    <row r="6424" spans="1:8" ht="25.05" customHeight="1" x14ac:dyDescent="0.25">
      <c r="A6424" s="2" t="s">
        <v>8</v>
      </c>
      <c r="B6424" s="2" t="str">
        <f>HYPERLINK("http://ts.21cn.com/tousu/show/id/1337322","招联金融暴力催收爆个人通讯录")</f>
        <v>招联金融暴力催收爆个人通讯录</v>
      </c>
      <c r="C6424" s="2" t="s">
        <v>9</v>
      </c>
      <c r="D6424" s="2" t="s">
        <v>10</v>
      </c>
      <c r="E6424" s="2" t="str">
        <f>HYPERLINK("http://ts.21cn.com/tousu/show/id/1337322","http://ts.21cn.com/tousu/show/id/1337322")</f>
        <v>http://ts.21cn.com/tousu/show/id/1337322</v>
      </c>
      <c r="F6424" s="2" t="s">
        <v>11</v>
      </c>
      <c r="G6424" s="2" t="s">
        <v>31522</v>
      </c>
      <c r="H6424" s="2" t="s">
        <v>31523</v>
      </c>
    </row>
    <row r="6425" spans="1:8" ht="25.05" customHeight="1" x14ac:dyDescent="0.25">
      <c r="A6425" s="2" t="s">
        <v>8</v>
      </c>
      <c r="B6425" s="2" t="str">
        <f>HYPERLINK("http://ts.21cn.com/tousu/show/id/1337321","宝付支付为嗨钱网（大同果壳金融）提供支付通到道现要求退还砍头息高利贷")</f>
        <v>宝付支付为嗨钱网（大同果壳金融）提供支付通到道现要求退还砍头息高利贷</v>
      </c>
      <c r="C6425" s="2" t="s">
        <v>9</v>
      </c>
      <c r="D6425" s="2" t="s">
        <v>10</v>
      </c>
      <c r="E6425" s="2" t="str">
        <f>HYPERLINK("http://ts.21cn.com/tousu/show/id/1337321","http://ts.21cn.com/tousu/show/id/1337321")</f>
        <v>http://ts.21cn.com/tousu/show/id/1337321</v>
      </c>
      <c r="F6425" s="2" t="s">
        <v>11</v>
      </c>
      <c r="G6425" s="2" t="s">
        <v>31520</v>
      </c>
      <c r="H6425" s="2" t="s">
        <v>31521</v>
      </c>
    </row>
    <row r="6426" spans="1:8" ht="25.05" customHeight="1" x14ac:dyDescent="0.25">
      <c r="A6426" s="2" t="s">
        <v>8</v>
      </c>
      <c r="B6426" s="2" t="str">
        <f>HYPERLINK("http://ts.21cn.com/tousu/show/id/1337323","夏普VIP续费有问题")</f>
        <v>夏普VIP续费有问题</v>
      </c>
      <c r="C6426" s="2" t="s">
        <v>34</v>
      </c>
      <c r="D6426" s="2" t="s">
        <v>10</v>
      </c>
      <c r="E6426" s="2" t="str">
        <f>HYPERLINK("http://ts.21cn.com/tousu/show/id/1337323","http://ts.21cn.com/tousu/show/id/1337323")</f>
        <v>http://ts.21cn.com/tousu/show/id/1337323</v>
      </c>
      <c r="F6426" s="2" t="s">
        <v>11</v>
      </c>
      <c r="G6426" s="2" t="s">
        <v>31518</v>
      </c>
      <c r="H6426" s="2" t="s">
        <v>31519</v>
      </c>
    </row>
    <row r="6427" spans="1:8" ht="25.05" customHeight="1" x14ac:dyDescent="0.25">
      <c r="A6427" s="2" t="s">
        <v>8</v>
      </c>
      <c r="B6427" s="2" t="str">
        <f>HYPERLINK("http://ts.21cn.com/tousu/show/id/1337324","手机借钱无法还款，并且骚扰我通讯录好友！！")</f>
        <v>手机借钱无法还款，并且骚扰我通讯录好友！！</v>
      </c>
      <c r="C6427" s="2" t="s">
        <v>9</v>
      </c>
      <c r="D6427" s="2" t="s">
        <v>10</v>
      </c>
      <c r="E6427" s="2" t="str">
        <f>HYPERLINK("http://ts.21cn.com/tousu/show/id/1337324","http://ts.21cn.com/tousu/show/id/1337324")</f>
        <v>http://ts.21cn.com/tousu/show/id/1337324</v>
      </c>
      <c r="F6427" s="2" t="s">
        <v>11</v>
      </c>
      <c r="G6427" s="2" t="s">
        <v>31516</v>
      </c>
      <c r="H6427" s="2" t="s">
        <v>31517</v>
      </c>
    </row>
    <row r="6428" spans="1:8" ht="25.05" customHeight="1" x14ac:dyDescent="0.25">
      <c r="A6428" s="2" t="s">
        <v>8</v>
      </c>
      <c r="B6428" s="2" t="str">
        <f>HYPERLINK("http://ts.21cn.com/tousu/show/id/1337325","平安普惠贷款隐瞒隐藏并强制收取高额保险费管理费投诉事宜")</f>
        <v>平安普惠贷款隐瞒隐藏并强制收取高额保险费管理费投诉事宜</v>
      </c>
      <c r="C6428" s="2" t="s">
        <v>9</v>
      </c>
      <c r="D6428" s="2" t="s">
        <v>10</v>
      </c>
      <c r="E6428" s="2" t="str">
        <f>HYPERLINK("http://ts.21cn.com/tousu/show/id/1337325","http://ts.21cn.com/tousu/show/id/1337325")</f>
        <v>http://ts.21cn.com/tousu/show/id/1337325</v>
      </c>
      <c r="F6428" s="2" t="s">
        <v>11</v>
      </c>
      <c r="G6428" s="2" t="s">
        <v>31514</v>
      </c>
      <c r="H6428" s="2" t="s">
        <v>31515</v>
      </c>
    </row>
    <row r="6429" spans="1:8" ht="25.05" customHeight="1" x14ac:dyDescent="0.25">
      <c r="A6429" s="2" t="s">
        <v>8</v>
      </c>
      <c r="B6429" s="2" t="str">
        <f>HYPERLINK("http://ts.21cn.com/tousu/show/id/1337326","聚福钱包未经许可私自扣款")</f>
        <v>聚福钱包未经许可私自扣款</v>
      </c>
      <c r="C6429" s="2" t="s">
        <v>9</v>
      </c>
      <c r="D6429" s="2" t="s">
        <v>10</v>
      </c>
      <c r="E6429" s="2" t="str">
        <f>HYPERLINK("http://ts.21cn.com/tousu/show/id/1337326","http://ts.21cn.com/tousu/show/id/1337326")</f>
        <v>http://ts.21cn.com/tousu/show/id/1337326</v>
      </c>
      <c r="F6429" s="2" t="s">
        <v>11</v>
      </c>
      <c r="G6429" s="2" t="s">
        <v>31512</v>
      </c>
      <c r="H6429" s="2" t="s">
        <v>31513</v>
      </c>
    </row>
    <row r="6430" spans="1:8" ht="25.05" customHeight="1" x14ac:dyDescent="0.25">
      <c r="A6430" s="2" t="s">
        <v>8</v>
      </c>
      <c r="B6430" s="2" t="str">
        <f>HYPERLINK("http://ts.21cn.com/tousu/show/id/1337327","点心贷砍头息，要求按实际到账金额还款。")</f>
        <v>点心贷砍头息，要求按实际到账金额还款。</v>
      </c>
      <c r="C6430" s="2" t="s">
        <v>34</v>
      </c>
      <c r="D6430" s="2" t="s">
        <v>10</v>
      </c>
      <c r="E6430" s="2" t="str">
        <f>HYPERLINK("http://ts.21cn.com/tousu/show/id/1337327","http://ts.21cn.com/tousu/show/id/1337327")</f>
        <v>http://ts.21cn.com/tousu/show/id/1337327</v>
      </c>
      <c r="F6430" s="2" t="s">
        <v>11</v>
      </c>
      <c r="G6430" s="2" t="s">
        <v>31510</v>
      </c>
      <c r="H6430" s="2" t="s">
        <v>31511</v>
      </c>
    </row>
    <row r="6431" spans="1:8" ht="25.05" customHeight="1" x14ac:dyDescent="0.25">
      <c r="A6431" s="2" t="s">
        <v>8</v>
      </c>
      <c r="B6431" s="2" t="str">
        <f>HYPERLINK("http://ts.21cn.com/tousu/show/id/1337328","闪电借款逾期一天，目无法纪，威胁恐吓本人要打爆通讯录")</f>
        <v>闪电借款逾期一天，目无法纪，威胁恐吓本人要打爆通讯录</v>
      </c>
      <c r="C6431" s="2" t="s">
        <v>9</v>
      </c>
      <c r="D6431" s="2" t="s">
        <v>10</v>
      </c>
      <c r="E6431" s="2" t="str">
        <f>HYPERLINK("http://ts.21cn.com/tousu/show/id/1337328","http://ts.21cn.com/tousu/show/id/1337328")</f>
        <v>http://ts.21cn.com/tousu/show/id/1337328</v>
      </c>
      <c r="F6431" s="2" t="s">
        <v>11</v>
      </c>
      <c r="G6431" s="2" t="s">
        <v>31508</v>
      </c>
      <c r="H6431" s="2" t="s">
        <v>31509</v>
      </c>
    </row>
    <row r="6432" spans="1:8" ht="25.05" customHeight="1" x14ac:dyDescent="0.25">
      <c r="A6432" s="2" t="s">
        <v>8</v>
      </c>
      <c r="B6432" s="2" t="str">
        <f>HYPERLINK("http://ts.21cn.com/tousu/show/id/1337331","玖富万卡高利贷我已经没法还了")</f>
        <v>玖富万卡高利贷我已经没法还了</v>
      </c>
      <c r="C6432" s="2" t="s">
        <v>9</v>
      </c>
      <c r="D6432" s="2" t="s">
        <v>10</v>
      </c>
      <c r="E6432" s="2" t="str">
        <f>HYPERLINK("http://ts.21cn.com/tousu/show/id/1337331","http://ts.21cn.com/tousu/show/id/1337331")</f>
        <v>http://ts.21cn.com/tousu/show/id/1337331</v>
      </c>
      <c r="F6432" s="2" t="s">
        <v>11</v>
      </c>
      <c r="G6432" s="2" t="s">
        <v>31506</v>
      </c>
      <c r="H6432" s="2" t="s">
        <v>31507</v>
      </c>
    </row>
    <row r="6433" spans="1:8" ht="25.05" customHeight="1" x14ac:dyDescent="0.25">
      <c r="A6433" s="2" t="s">
        <v>8</v>
      </c>
      <c r="B6433" s="2" t="str">
        <f>HYPERLINK("http://ts.21cn.com/tousu/show/id/1337332","金鸡下蛋为高炮平台")</f>
        <v>金鸡下蛋为高炮平台</v>
      </c>
      <c r="C6433" s="2" t="s">
        <v>9</v>
      </c>
      <c r="D6433" s="2" t="s">
        <v>10</v>
      </c>
      <c r="E6433" s="2" t="str">
        <f>HYPERLINK("http://ts.21cn.com/tousu/show/id/1337332","http://ts.21cn.com/tousu/show/id/1337332")</f>
        <v>http://ts.21cn.com/tousu/show/id/1337332</v>
      </c>
      <c r="F6433" s="2" t="s">
        <v>11</v>
      </c>
      <c r="G6433" s="2" t="s">
        <v>31504</v>
      </c>
      <c r="H6433" s="2" t="s">
        <v>31505</v>
      </c>
    </row>
    <row r="6434" spans="1:8" ht="25.05" customHeight="1" x14ac:dyDescent="0.25">
      <c r="A6434" s="2" t="s">
        <v>8</v>
      </c>
      <c r="B6434" s="2" t="str">
        <f>HYPERLINK("http://ts.21cn.com/tousu/show/id/1337329","协商提前还款，一直得不到答复")</f>
        <v>协商提前还款，一直得不到答复</v>
      </c>
      <c r="C6434" s="2" t="s">
        <v>9</v>
      </c>
      <c r="D6434" s="2" t="s">
        <v>10</v>
      </c>
      <c r="E6434" s="2" t="str">
        <f>HYPERLINK("http://ts.21cn.com/tousu/show/id/1337329","http://ts.21cn.com/tousu/show/id/1337329")</f>
        <v>http://ts.21cn.com/tousu/show/id/1337329</v>
      </c>
      <c r="F6434" s="2" t="s">
        <v>11</v>
      </c>
      <c r="G6434" s="2" t="s">
        <v>31502</v>
      </c>
      <c r="H6434" s="2" t="s">
        <v>31503</v>
      </c>
    </row>
    <row r="6435" spans="1:8" ht="25.05" customHeight="1" x14ac:dyDescent="0.25">
      <c r="A6435" s="2" t="s">
        <v>8</v>
      </c>
      <c r="B6435" s="2" t="str">
        <f>HYPERLINK("http://ts.21cn.com/tousu/show/id/1337337","无故被扣款")</f>
        <v>无故被扣款</v>
      </c>
      <c r="C6435" s="2" t="s">
        <v>9</v>
      </c>
      <c r="D6435" s="2" t="s">
        <v>10</v>
      </c>
      <c r="E6435" s="2" t="str">
        <f>HYPERLINK("http://ts.21cn.com/tousu/show/id/1337337","http://ts.21cn.com/tousu/show/id/1337337")</f>
        <v>http://ts.21cn.com/tousu/show/id/1337337</v>
      </c>
      <c r="F6435" s="2" t="s">
        <v>11</v>
      </c>
      <c r="G6435" s="2" t="s">
        <v>31500</v>
      </c>
      <c r="H6435" s="2" t="s">
        <v>31501</v>
      </c>
    </row>
    <row r="6436" spans="1:8" ht="25.05" customHeight="1" x14ac:dyDescent="0.25">
      <c r="A6436" s="2" t="s">
        <v>8</v>
      </c>
      <c r="B6436" s="2" t="str">
        <f>HYPERLINK("http://ts.21cn.com/tousu/show/id/1337333","小当家借款网址打不开客服电话打不通无法还款要爆我通讯录")</f>
        <v>小当家借款网址打不开客服电话打不通无法还款要爆我通讯录</v>
      </c>
      <c r="C6436" s="2" t="s">
        <v>9</v>
      </c>
      <c r="D6436" s="2" t="s">
        <v>10</v>
      </c>
      <c r="E6436" s="2" t="str">
        <f>HYPERLINK("http://ts.21cn.com/tousu/show/id/1337333","http://ts.21cn.com/tousu/show/id/1337333")</f>
        <v>http://ts.21cn.com/tousu/show/id/1337333</v>
      </c>
      <c r="F6436" s="2" t="s">
        <v>11</v>
      </c>
      <c r="G6436" s="2" t="s">
        <v>31498</v>
      </c>
      <c r="H6436" s="2" t="s">
        <v>31499</v>
      </c>
    </row>
    <row r="6437" spans="1:8" ht="25.05" customHeight="1" x14ac:dyDescent="0.25">
      <c r="A6437" s="2" t="s">
        <v>8</v>
      </c>
      <c r="B6437" s="2" t="str">
        <f>HYPERLINK("http://ts.21cn.com/tousu/show/id/1337330","提前结清还要收取各项服务费")</f>
        <v>提前结清还要收取各项服务费</v>
      </c>
      <c r="C6437" s="2" t="s">
        <v>9</v>
      </c>
      <c r="D6437" s="2" t="s">
        <v>10</v>
      </c>
      <c r="E6437" s="2" t="str">
        <f>HYPERLINK("http://ts.21cn.com/tousu/show/id/1337330","http://ts.21cn.com/tousu/show/id/1337330")</f>
        <v>http://ts.21cn.com/tousu/show/id/1337330</v>
      </c>
      <c r="F6437" s="2" t="s">
        <v>11</v>
      </c>
      <c r="G6437" s="2" t="s">
        <v>31496</v>
      </c>
      <c r="H6437" s="2" t="s">
        <v>31497</v>
      </c>
    </row>
    <row r="6438" spans="1:8" ht="25.05" customHeight="1" x14ac:dyDescent="0.25">
      <c r="A6438" s="2" t="s">
        <v>8</v>
      </c>
      <c r="B6438" s="2" t="str">
        <f>HYPERLINK("http://ts.21cn.com/tousu/show/id/1337334","自由魔卡六便士高利贷砍头息")</f>
        <v>自由魔卡六便士高利贷砍头息</v>
      </c>
      <c r="C6438" s="2" t="s">
        <v>9</v>
      </c>
      <c r="D6438" s="2" t="s">
        <v>10</v>
      </c>
      <c r="E6438" s="2" t="str">
        <f>HYPERLINK("http://ts.21cn.com/tousu/show/id/1337334","http://ts.21cn.com/tousu/show/id/1337334")</f>
        <v>http://ts.21cn.com/tousu/show/id/1337334</v>
      </c>
      <c r="F6438" s="2" t="s">
        <v>11</v>
      </c>
      <c r="G6438" s="2" t="s">
        <v>31494</v>
      </c>
      <c r="H6438" s="2" t="s">
        <v>31495</v>
      </c>
    </row>
    <row r="6439" spans="1:8" ht="25.05" customHeight="1" x14ac:dyDescent="0.25">
      <c r="A6439" s="2" t="s">
        <v>8</v>
      </c>
      <c r="B6439" s="2" t="str">
        <f>HYPERLINK("http://ts.21cn.com/tousu/show/id/1337335","活力花协商")</f>
        <v>活力花协商</v>
      </c>
      <c r="C6439" s="2" t="s">
        <v>9</v>
      </c>
      <c r="D6439" s="2" t="s">
        <v>10</v>
      </c>
      <c r="E6439" s="2" t="str">
        <f>HYPERLINK("http://ts.21cn.com/tousu/show/id/1337335","http://ts.21cn.com/tousu/show/id/1337335")</f>
        <v>http://ts.21cn.com/tousu/show/id/1337335</v>
      </c>
      <c r="F6439" s="2" t="s">
        <v>11</v>
      </c>
      <c r="G6439" s="2" t="s">
        <v>31492</v>
      </c>
      <c r="H6439" s="2" t="s">
        <v>31493</v>
      </c>
    </row>
    <row r="6440" spans="1:8" ht="25.05" customHeight="1" x14ac:dyDescent="0.25">
      <c r="A6440" s="2" t="s">
        <v>8</v>
      </c>
      <c r="B6440" s="2" t="str">
        <f>HYPERLINK("http://ts.21cn.com/tousu/show/id/1337336","深圳安骅吉通别克4S店不退订金")</f>
        <v>深圳安骅吉通别克4S店不退订金</v>
      </c>
      <c r="C6440" s="2" t="s">
        <v>9</v>
      </c>
      <c r="D6440" s="2" t="s">
        <v>10</v>
      </c>
      <c r="E6440" s="2" t="str">
        <f>HYPERLINK("http://ts.21cn.com/tousu/show/id/1337336","http://ts.21cn.com/tousu/show/id/1337336")</f>
        <v>http://ts.21cn.com/tousu/show/id/1337336</v>
      </c>
      <c r="F6440" s="2" t="s">
        <v>11</v>
      </c>
      <c r="G6440" s="2" t="s">
        <v>31490</v>
      </c>
      <c r="H6440" s="2" t="s">
        <v>31491</v>
      </c>
    </row>
    <row r="6441" spans="1:8" ht="25.05" customHeight="1" x14ac:dyDescent="0.25">
      <c r="A6441" s="2" t="s">
        <v>8</v>
      </c>
      <c r="B6441" s="2" t="str">
        <f>HYPERLINK("http://ts.21cn.com/tousu/show/id/1337338","信用卡被盗刷")</f>
        <v>信用卡被盗刷</v>
      </c>
      <c r="C6441" s="2" t="s">
        <v>9</v>
      </c>
      <c r="D6441" s="2" t="s">
        <v>10</v>
      </c>
      <c r="E6441" s="2" t="str">
        <f>HYPERLINK("http://ts.21cn.com/tousu/show/id/1337338","http://ts.21cn.com/tousu/show/id/1337338")</f>
        <v>http://ts.21cn.com/tousu/show/id/1337338</v>
      </c>
      <c r="F6441" s="2" t="s">
        <v>11</v>
      </c>
      <c r="G6441" s="2" t="s">
        <v>31488</v>
      </c>
      <c r="H6441" s="2" t="s">
        <v>31489</v>
      </c>
    </row>
    <row r="6442" spans="1:8" ht="25.05" customHeight="1" x14ac:dyDescent="0.25">
      <c r="A6442" s="2" t="s">
        <v>8</v>
      </c>
      <c r="B6442" s="2" t="str">
        <f>HYPERLINK("http://ts.21cn.com/tousu/show/id/1337339","ofo")</f>
        <v>ofo</v>
      </c>
      <c r="C6442" s="2" t="s">
        <v>9</v>
      </c>
      <c r="D6442" s="2" t="s">
        <v>10</v>
      </c>
      <c r="E6442" s="2" t="str">
        <f>HYPERLINK("http://ts.21cn.com/tousu/show/id/1337339","http://ts.21cn.com/tousu/show/id/1337339")</f>
        <v>http://ts.21cn.com/tousu/show/id/1337339</v>
      </c>
      <c r="F6442" s="2" t="s">
        <v>11</v>
      </c>
      <c r="G6442" s="2" t="s">
        <v>31486</v>
      </c>
      <c r="H6442" s="2" t="s">
        <v>31487</v>
      </c>
    </row>
    <row r="6443" spans="1:8" ht="25.05" customHeight="1" x14ac:dyDescent="0.25">
      <c r="A6443" s="2" t="s">
        <v>8</v>
      </c>
      <c r="B6443" s="2" t="str">
        <f>HYPERLINK("http://ts.21cn.com/tousu/show/id/1337340","玖富万卡高利贷，害人，阴阳合同")</f>
        <v>玖富万卡高利贷，害人，阴阳合同</v>
      </c>
      <c r="C6443" s="2" t="s">
        <v>9</v>
      </c>
      <c r="D6443" s="2" t="s">
        <v>10</v>
      </c>
      <c r="E6443" s="2" t="str">
        <f>HYPERLINK("http://ts.21cn.com/tousu/show/id/1337340","http://ts.21cn.com/tousu/show/id/1337340")</f>
        <v>http://ts.21cn.com/tousu/show/id/1337340</v>
      </c>
      <c r="F6443" s="2" t="s">
        <v>11</v>
      </c>
      <c r="G6443" s="2" t="s">
        <v>31484</v>
      </c>
      <c r="H6443" s="2" t="s">
        <v>31485</v>
      </c>
    </row>
    <row r="6444" spans="1:8" ht="25.05" customHeight="1" x14ac:dyDescent="0.25">
      <c r="A6444" s="2" t="s">
        <v>8</v>
      </c>
      <c r="B6444" s="2" t="str">
        <f>HYPERLINK("http://ts.21cn.com/tousu/show/id/1337341","拍拍贷暴力催收电话轰炸亲戚朋友")</f>
        <v>拍拍贷暴力催收电话轰炸亲戚朋友</v>
      </c>
      <c r="C6444" s="2" t="s">
        <v>9</v>
      </c>
      <c r="D6444" s="2" t="s">
        <v>10</v>
      </c>
      <c r="E6444" s="2" t="str">
        <f>HYPERLINK("http://ts.21cn.com/tousu/show/id/1337341","http://ts.21cn.com/tousu/show/id/1337341")</f>
        <v>http://ts.21cn.com/tousu/show/id/1337341</v>
      </c>
      <c r="F6444" s="2" t="s">
        <v>11</v>
      </c>
      <c r="G6444" s="2" t="s">
        <v>31482</v>
      </c>
      <c r="H6444" s="2" t="s">
        <v>31483</v>
      </c>
    </row>
    <row r="6445" spans="1:8" ht="25.05" customHeight="1" x14ac:dyDescent="0.25">
      <c r="A6445" s="2" t="s">
        <v>8</v>
      </c>
      <c r="B6445" s="2" t="str">
        <f>HYPERLINK("http://ts.21cn.com/tousu/show/id/1337343","自由魔卡信用计划超级马力贷")</f>
        <v>自由魔卡信用计划超级马力贷</v>
      </c>
      <c r="C6445" s="2" t="s">
        <v>34</v>
      </c>
      <c r="D6445" s="2" t="s">
        <v>10</v>
      </c>
      <c r="E6445" s="2" t="str">
        <f>HYPERLINK("http://ts.21cn.com/tousu/show/id/1337343","http://ts.21cn.com/tousu/show/id/1337343")</f>
        <v>http://ts.21cn.com/tousu/show/id/1337343</v>
      </c>
      <c r="F6445" s="2" t="s">
        <v>11</v>
      </c>
      <c r="G6445" s="2" t="s">
        <v>31480</v>
      </c>
      <c r="H6445" s="2" t="s">
        <v>31481</v>
      </c>
    </row>
    <row r="6446" spans="1:8" ht="25.05" customHeight="1" x14ac:dyDescent="0.25">
      <c r="A6446" s="2" t="s">
        <v>8</v>
      </c>
      <c r="B6446" s="2" t="str">
        <f>HYPERLINK("http://ts.21cn.com/tousu/show/id/1337342","翼钱包开展违法高利贷业务")</f>
        <v>翼钱包开展违法高利贷业务</v>
      </c>
      <c r="C6446" s="2" t="s">
        <v>9</v>
      </c>
      <c r="D6446" s="2" t="s">
        <v>10</v>
      </c>
      <c r="E6446" s="2" t="str">
        <f>HYPERLINK("http://ts.21cn.com/tousu/show/id/1337342","http://ts.21cn.com/tousu/show/id/1337342")</f>
        <v>http://ts.21cn.com/tousu/show/id/1337342</v>
      </c>
      <c r="F6446" s="2" t="s">
        <v>11</v>
      </c>
      <c r="G6446" s="2" t="s">
        <v>31478</v>
      </c>
      <c r="H6446" s="2" t="s">
        <v>31479</v>
      </c>
    </row>
    <row r="6447" spans="1:8" ht="25.05" customHeight="1" x14ac:dyDescent="0.25">
      <c r="A6447" s="2" t="s">
        <v>8</v>
      </c>
      <c r="B6447" s="2" t="str">
        <f>HYPERLINK("http://ts.21cn.com/tousu/show/id/1337344","投诉")</f>
        <v>投诉</v>
      </c>
      <c r="C6447" s="2" t="s">
        <v>9</v>
      </c>
      <c r="D6447" s="2" t="s">
        <v>10</v>
      </c>
      <c r="E6447" s="2" t="str">
        <f>HYPERLINK("http://ts.21cn.com/tousu/show/id/1337344","http://ts.21cn.com/tousu/show/id/1337344")</f>
        <v>http://ts.21cn.com/tousu/show/id/1337344</v>
      </c>
      <c r="F6447" s="2" t="s">
        <v>11</v>
      </c>
      <c r="G6447" s="2" t="s">
        <v>31476</v>
      </c>
      <c r="H6447" s="2" t="s">
        <v>31477</v>
      </c>
    </row>
    <row r="6448" spans="1:8" ht="25.05" customHeight="1" x14ac:dyDescent="0.25">
      <c r="A6448" s="2" t="s">
        <v>8</v>
      </c>
      <c r="B6448" s="2" t="str">
        <f>HYPERLINK("http://ts.21cn.com/tousu/show/id/1337345","闪银百万钱包收取担保费")</f>
        <v>闪银百万钱包收取担保费</v>
      </c>
      <c r="C6448" s="2" t="s">
        <v>9</v>
      </c>
      <c r="D6448" s="2" t="s">
        <v>10</v>
      </c>
      <c r="E6448" s="2" t="str">
        <f>HYPERLINK("http://ts.21cn.com/tousu/show/id/1337345","http://ts.21cn.com/tousu/show/id/1337345")</f>
        <v>http://ts.21cn.com/tousu/show/id/1337345</v>
      </c>
      <c r="F6448" s="2" t="s">
        <v>11</v>
      </c>
      <c r="G6448" s="2" t="s">
        <v>31474</v>
      </c>
      <c r="H6448" s="2" t="s">
        <v>31475</v>
      </c>
    </row>
    <row r="6449" spans="1:8" ht="25.05" customHeight="1" x14ac:dyDescent="0.25">
      <c r="A6449" s="2" t="s">
        <v>8</v>
      </c>
      <c r="B6449" s="2" t="str">
        <f>HYPERLINK("http://ts.21cn.com/tousu/show/id/1337346","月光侠分期收取砍头息高利贷暴力催收")</f>
        <v>月光侠分期收取砍头息高利贷暴力催收</v>
      </c>
      <c r="C6449" s="2" t="s">
        <v>9</v>
      </c>
      <c r="D6449" s="2" t="s">
        <v>10</v>
      </c>
      <c r="E6449" s="2" t="str">
        <f>HYPERLINK("http://ts.21cn.com/tousu/show/id/1337346","http://ts.21cn.com/tousu/show/id/1337346")</f>
        <v>http://ts.21cn.com/tousu/show/id/1337346</v>
      </c>
      <c r="F6449" s="2" t="s">
        <v>11</v>
      </c>
      <c r="G6449" s="2" t="s">
        <v>31472</v>
      </c>
      <c r="H6449" s="2" t="s">
        <v>31473</v>
      </c>
    </row>
    <row r="6450" spans="1:8" ht="25.05" customHeight="1" x14ac:dyDescent="0.25">
      <c r="A6450" s="2" t="s">
        <v>8</v>
      </c>
      <c r="B6450" s="2" t="str">
        <f>HYPERLINK("http://ts.21cn.com/tousu/show/id/1337347","湛江开发区馨隆物业服务有限公司龙门分公司乱收费")</f>
        <v>湛江开发区馨隆物业服务有限公司龙门分公司乱收费</v>
      </c>
      <c r="C6450" s="2" t="s">
        <v>9</v>
      </c>
      <c r="D6450" s="2" t="s">
        <v>10</v>
      </c>
      <c r="E6450" s="2" t="str">
        <f>HYPERLINK("http://ts.21cn.com/tousu/show/id/1337347","http://ts.21cn.com/tousu/show/id/1337347")</f>
        <v>http://ts.21cn.com/tousu/show/id/1337347</v>
      </c>
      <c r="F6450" s="2" t="s">
        <v>11</v>
      </c>
      <c r="G6450" s="2" t="s">
        <v>31470</v>
      </c>
      <c r="H6450" s="2" t="s">
        <v>31471</v>
      </c>
    </row>
    <row r="6451" spans="1:8" ht="25.05" customHeight="1" x14ac:dyDescent="0.25">
      <c r="A6451" s="2" t="s">
        <v>8</v>
      </c>
      <c r="B6451" s="2" t="str">
        <f>HYPERLINK("http://ts.21cn.com/tousu/show/id/1337348","从未逾期，不能借款！")</f>
        <v>从未逾期，不能借款！</v>
      </c>
      <c r="C6451" s="2" t="s">
        <v>34</v>
      </c>
      <c r="D6451" s="2" t="s">
        <v>10</v>
      </c>
      <c r="E6451" s="2" t="str">
        <f>HYPERLINK("http://ts.21cn.com/tousu/show/id/1337348","http://ts.21cn.com/tousu/show/id/1337348")</f>
        <v>http://ts.21cn.com/tousu/show/id/1337348</v>
      </c>
      <c r="F6451" s="2" t="s">
        <v>11</v>
      </c>
      <c r="G6451" s="2" t="s">
        <v>31469</v>
      </c>
      <c r="H6451" s="2" t="s">
        <v>29367</v>
      </c>
    </row>
    <row r="6452" spans="1:8" ht="25.05" customHeight="1" x14ac:dyDescent="0.25">
      <c r="A6452" s="2" t="s">
        <v>8</v>
      </c>
      <c r="B6452" s="2" t="str">
        <f>HYPERLINK("http://ts.21cn.com/tousu/show/id/1337349","蟹老弟平台进不去，一直恶意说我有欠款")</f>
        <v>蟹老弟平台进不去，一直恶意说我有欠款</v>
      </c>
      <c r="C6452" s="2" t="s">
        <v>9</v>
      </c>
      <c r="D6452" s="2" t="s">
        <v>10</v>
      </c>
      <c r="E6452" s="2" t="str">
        <f>HYPERLINK("http://ts.21cn.com/tousu/show/id/1337349","http://ts.21cn.com/tousu/show/id/1337349")</f>
        <v>http://ts.21cn.com/tousu/show/id/1337349</v>
      </c>
      <c r="F6452" s="2" t="s">
        <v>11</v>
      </c>
      <c r="G6452" s="2" t="s">
        <v>31467</v>
      </c>
      <c r="H6452" s="2" t="s">
        <v>31468</v>
      </c>
    </row>
    <row r="6453" spans="1:8" ht="25.05" customHeight="1" x14ac:dyDescent="0.25">
      <c r="A6453" s="2" t="s">
        <v>8</v>
      </c>
      <c r="B6453" s="2" t="str">
        <f>HYPERLINK("http://ts.21cn.com/tousu/show/id/1337351","易秒分期砍头息，借款前没显示利息和还款实际期数")</f>
        <v>易秒分期砍头息，借款前没显示利息和还款实际期数</v>
      </c>
      <c r="C6453" s="2" t="s">
        <v>9</v>
      </c>
      <c r="D6453" s="2" t="s">
        <v>10</v>
      </c>
      <c r="E6453" s="2" t="str">
        <f>HYPERLINK("http://ts.21cn.com/tousu/show/id/1337351","http://ts.21cn.com/tousu/show/id/1337351")</f>
        <v>http://ts.21cn.com/tousu/show/id/1337351</v>
      </c>
      <c r="F6453" s="2" t="s">
        <v>11</v>
      </c>
      <c r="G6453" s="2" t="s">
        <v>31465</v>
      </c>
      <c r="H6453" s="2" t="s">
        <v>31466</v>
      </c>
    </row>
    <row r="6454" spans="1:8" ht="25.05" customHeight="1" x14ac:dyDescent="0.25">
      <c r="A6454" s="2" t="s">
        <v>8</v>
      </c>
      <c r="B6454" s="2" t="str">
        <f>HYPERLINK("http://ts.21cn.com/tousu/show/id/1337350","误发航班信息")</f>
        <v>误发航班信息</v>
      </c>
      <c r="C6454" s="2" t="s">
        <v>9</v>
      </c>
      <c r="D6454" s="2" t="s">
        <v>10</v>
      </c>
      <c r="E6454" s="2" t="str">
        <f>HYPERLINK("http://ts.21cn.com/tousu/show/id/1337350","http://ts.21cn.com/tousu/show/id/1337350")</f>
        <v>http://ts.21cn.com/tousu/show/id/1337350</v>
      </c>
      <c r="F6454" s="2" t="s">
        <v>11</v>
      </c>
      <c r="G6454" s="2" t="s">
        <v>31463</v>
      </c>
      <c r="H6454" s="2" t="s">
        <v>31464</v>
      </c>
    </row>
    <row r="6455" spans="1:8" ht="25.05" customHeight="1" x14ac:dyDescent="0.25">
      <c r="A6455" s="2" t="s">
        <v>8</v>
      </c>
      <c r="B6455" s="2" t="str">
        <f>HYPERLINK("http://ts.21cn.com/tousu/show/id/1335768","淘集集拖欠货款")</f>
        <v>淘集集拖欠货款</v>
      </c>
      <c r="C6455" s="2" t="s">
        <v>9</v>
      </c>
      <c r="D6455" s="2" t="s">
        <v>10</v>
      </c>
      <c r="E6455" s="2" t="str">
        <f>HYPERLINK("http://ts.21cn.com/tousu/show/id/1335768","http://ts.21cn.com/tousu/show/id/1335768")</f>
        <v>http://ts.21cn.com/tousu/show/id/1335768</v>
      </c>
      <c r="F6455" s="2" t="s">
        <v>11</v>
      </c>
      <c r="G6455" s="2" t="s">
        <v>31461</v>
      </c>
      <c r="H6455" s="2" t="s">
        <v>31462</v>
      </c>
    </row>
    <row r="6456" spans="1:8" ht="25.05" customHeight="1" x14ac:dyDescent="0.25">
      <c r="A6456" s="2" t="s">
        <v>8</v>
      </c>
      <c r="B6456" s="2" t="str">
        <f>HYPERLINK("http://ts.21cn.com/tousu/show/id/1337354","马上金融高利贷")</f>
        <v>马上金融高利贷</v>
      </c>
      <c r="C6456" s="2" t="s">
        <v>9</v>
      </c>
      <c r="D6456" s="2" t="s">
        <v>10</v>
      </c>
      <c r="E6456" s="2" t="str">
        <f>HYPERLINK("http://ts.21cn.com/tousu/show/id/1337354","http://ts.21cn.com/tousu/show/id/1337354")</f>
        <v>http://ts.21cn.com/tousu/show/id/1337354</v>
      </c>
      <c r="F6456" s="2" t="s">
        <v>11</v>
      </c>
      <c r="G6456" s="2" t="s">
        <v>31459</v>
      </c>
      <c r="H6456" s="2" t="s">
        <v>31460</v>
      </c>
    </row>
    <row r="6457" spans="1:8" ht="25.05" customHeight="1" x14ac:dyDescent="0.25">
      <c r="A6457" s="2" t="s">
        <v>8</v>
      </c>
      <c r="B6457" s="2" t="str">
        <f>HYPERLINK("http://ts.21cn.com/tousu/show/id/1337353","我来数科高利贷并辱骂本人")</f>
        <v>我来数科高利贷并辱骂本人</v>
      </c>
      <c r="C6457" s="2" t="s">
        <v>9</v>
      </c>
      <c r="D6457" s="2" t="s">
        <v>10</v>
      </c>
      <c r="E6457" s="2" t="str">
        <f>HYPERLINK("http://ts.21cn.com/tousu/show/id/1337353","http://ts.21cn.com/tousu/show/id/1337353")</f>
        <v>http://ts.21cn.com/tousu/show/id/1337353</v>
      </c>
      <c r="F6457" s="2" t="s">
        <v>11</v>
      </c>
      <c r="G6457" s="2" t="s">
        <v>31457</v>
      </c>
      <c r="H6457" s="2" t="s">
        <v>31458</v>
      </c>
    </row>
    <row r="6458" spans="1:8" ht="25.05" customHeight="1" x14ac:dyDescent="0.25">
      <c r="A6458" s="2" t="s">
        <v>8</v>
      </c>
      <c r="B6458" s="2" t="str">
        <f>HYPERLINK("http://ts.21cn.com/tousu/show/id/1337355","中信银行信用卡催收人员威胁")</f>
        <v>中信银行信用卡催收人员威胁</v>
      </c>
      <c r="C6458" s="2" t="s">
        <v>9</v>
      </c>
      <c r="D6458" s="2" t="s">
        <v>10</v>
      </c>
      <c r="E6458" s="2" t="str">
        <f>HYPERLINK("http://ts.21cn.com/tousu/show/id/1337355","http://ts.21cn.com/tousu/show/id/1337355")</f>
        <v>http://ts.21cn.com/tousu/show/id/1337355</v>
      </c>
      <c r="F6458" s="2" t="s">
        <v>11</v>
      </c>
      <c r="G6458" s="2" t="s">
        <v>31455</v>
      </c>
      <c r="H6458" s="2" t="s">
        <v>31456</v>
      </c>
    </row>
    <row r="6459" spans="1:8" ht="25.05" customHeight="1" x14ac:dyDescent="0.25">
      <c r="A6459" s="2" t="s">
        <v>8</v>
      </c>
      <c r="B6459" s="2" t="str">
        <f>HYPERLINK("http://ts.21cn.com/tousu/show/id/1337356","闪电借款要求买黑卡贷款但是没有下款购买黑卡的一千多也没有给我退")</f>
        <v>闪电借款要求买黑卡贷款但是没有下款购买黑卡的一千多也没有给我退</v>
      </c>
      <c r="C6459" s="2" t="s">
        <v>34</v>
      </c>
      <c r="D6459" s="2" t="s">
        <v>10</v>
      </c>
      <c r="E6459" s="2" t="str">
        <f>HYPERLINK("http://ts.21cn.com/tousu/show/id/1337356","http://ts.21cn.com/tousu/show/id/1337356")</f>
        <v>http://ts.21cn.com/tousu/show/id/1337356</v>
      </c>
      <c r="F6459" s="2" t="s">
        <v>11</v>
      </c>
      <c r="G6459" s="2" t="s">
        <v>31453</v>
      </c>
      <c r="H6459" s="2" t="s">
        <v>31454</v>
      </c>
    </row>
    <row r="6460" spans="1:8" ht="25.05" customHeight="1" x14ac:dyDescent="0.25">
      <c r="A6460" s="2" t="s">
        <v>8</v>
      </c>
      <c r="B6460" s="2" t="str">
        <f>HYPERLINK("http://ts.21cn.com/tousu/show/id/1337358","马上消费金融电话骚扰家人，威胁恐吓")</f>
        <v>马上消费金融电话骚扰家人，威胁恐吓</v>
      </c>
      <c r="C6460" s="2" t="s">
        <v>9</v>
      </c>
      <c r="D6460" s="2" t="s">
        <v>10</v>
      </c>
      <c r="E6460" s="2" t="str">
        <f>HYPERLINK("http://ts.21cn.com/tousu/show/id/1337358","http://ts.21cn.com/tousu/show/id/1337358")</f>
        <v>http://ts.21cn.com/tousu/show/id/1337358</v>
      </c>
      <c r="F6460" s="2" t="s">
        <v>11</v>
      </c>
      <c r="G6460" s="2" t="s">
        <v>31451</v>
      </c>
      <c r="H6460" s="2" t="s">
        <v>31452</v>
      </c>
    </row>
    <row r="6461" spans="1:8" ht="25.05" customHeight="1" x14ac:dyDescent="0.25">
      <c r="A6461" s="2" t="s">
        <v>8</v>
      </c>
      <c r="B6461" s="2" t="str">
        <f>HYPERLINK("http://ts.21cn.com/tousu/show/id/1337357","高利贷还威胁我爆通讯录")</f>
        <v>高利贷还威胁我爆通讯录</v>
      </c>
      <c r="C6461" s="2" t="s">
        <v>9</v>
      </c>
      <c r="D6461" s="2" t="s">
        <v>10</v>
      </c>
      <c r="E6461" s="2" t="str">
        <f>HYPERLINK("http://ts.21cn.com/tousu/show/id/1337357","http://ts.21cn.com/tousu/show/id/1337357")</f>
        <v>http://ts.21cn.com/tousu/show/id/1337357</v>
      </c>
      <c r="F6461" s="2" t="s">
        <v>11</v>
      </c>
      <c r="G6461" s="2" t="s">
        <v>31449</v>
      </c>
      <c r="H6461" s="2" t="s">
        <v>31450</v>
      </c>
    </row>
    <row r="6462" spans="1:8" ht="25.05" customHeight="1" x14ac:dyDescent="0.25">
      <c r="A6462" s="2" t="s">
        <v>8</v>
      </c>
      <c r="B6462" s="2" t="str">
        <f>HYPERLINK("http://ts.21cn.com/tousu/show/id/1337359","聚福钱包扣款299元。要求退款找各种理由拒绝")</f>
        <v>聚福钱包扣款299元。要求退款找各种理由拒绝</v>
      </c>
      <c r="C6462" s="2" t="s">
        <v>34</v>
      </c>
      <c r="D6462" s="2" t="s">
        <v>10</v>
      </c>
      <c r="E6462" s="2" t="str">
        <f>HYPERLINK("http://ts.21cn.com/tousu/show/id/1337359","http://ts.21cn.com/tousu/show/id/1337359")</f>
        <v>http://ts.21cn.com/tousu/show/id/1337359</v>
      </c>
      <c r="F6462" s="2" t="s">
        <v>11</v>
      </c>
      <c r="G6462" s="2" t="s">
        <v>31447</v>
      </c>
      <c r="H6462" s="2" t="s">
        <v>31448</v>
      </c>
    </row>
    <row r="6463" spans="1:8" ht="25.05" customHeight="1" x14ac:dyDescent="0.25">
      <c r="A6463" s="2" t="s">
        <v>8</v>
      </c>
      <c r="B6463" s="2" t="str">
        <f>HYPERLINK("http://ts.21cn.com/tousu/show/id/1337360","在未经租户同意的情况下变更电费结算方式")</f>
        <v>在未经租户同意的情况下变更电费结算方式</v>
      </c>
      <c r="C6463" s="2" t="s">
        <v>9</v>
      </c>
      <c r="D6463" s="2" t="s">
        <v>10</v>
      </c>
      <c r="E6463" s="2" t="str">
        <f>HYPERLINK("http://ts.21cn.com/tousu/show/id/1337360","http://ts.21cn.com/tousu/show/id/1337360")</f>
        <v>http://ts.21cn.com/tousu/show/id/1337360</v>
      </c>
      <c r="F6463" s="2" t="s">
        <v>11</v>
      </c>
      <c r="G6463" s="2" t="s">
        <v>31445</v>
      </c>
      <c r="H6463" s="2" t="s">
        <v>31446</v>
      </c>
    </row>
    <row r="6464" spans="1:8" ht="25.05" customHeight="1" x14ac:dyDescent="0.25">
      <c r="A6464" s="2" t="s">
        <v>8</v>
      </c>
      <c r="B6464" s="2" t="str">
        <f>HYPERLINK("http://ts.21cn.com/tousu/show/id/1337361","滴滴出行不给合规司机派单")</f>
        <v>滴滴出行不给合规司机派单</v>
      </c>
      <c r="C6464" s="2" t="s">
        <v>34</v>
      </c>
      <c r="D6464" s="2" t="s">
        <v>10</v>
      </c>
      <c r="E6464" s="2" t="str">
        <f>HYPERLINK("http://ts.21cn.com/tousu/show/id/1337361","http://ts.21cn.com/tousu/show/id/1337361")</f>
        <v>http://ts.21cn.com/tousu/show/id/1337361</v>
      </c>
      <c r="F6464" s="2" t="s">
        <v>11</v>
      </c>
      <c r="G6464" s="2" t="s">
        <v>31444</v>
      </c>
      <c r="H6464" s="2" t="s">
        <v>26015</v>
      </c>
    </row>
    <row r="6465" spans="1:8" ht="25.05" customHeight="1" x14ac:dyDescent="0.25">
      <c r="A6465" s="2" t="s">
        <v>8</v>
      </c>
      <c r="B6465" s="2" t="str">
        <f>HYPERLINK("http://ts.21cn.com/tousu/show/id/1337362","优亿金融的分期贷款已全部还清客服打电话还再要求还款")</f>
        <v>优亿金融的分期贷款已全部还清客服打电话还再要求还款</v>
      </c>
      <c r="C6465" s="2" t="s">
        <v>34</v>
      </c>
      <c r="D6465" s="2" t="s">
        <v>10</v>
      </c>
      <c r="E6465" s="2" t="str">
        <f>HYPERLINK("http://ts.21cn.com/tousu/show/id/1337362","http://ts.21cn.com/tousu/show/id/1337362")</f>
        <v>http://ts.21cn.com/tousu/show/id/1337362</v>
      </c>
      <c r="F6465" s="2" t="s">
        <v>11</v>
      </c>
      <c r="G6465" s="2" t="s">
        <v>31442</v>
      </c>
      <c r="H6465" s="2" t="s">
        <v>31443</v>
      </c>
    </row>
    <row r="6466" spans="1:8" ht="25.05" customHeight="1" x14ac:dyDescent="0.25">
      <c r="A6466" s="2" t="s">
        <v>8</v>
      </c>
      <c r="B6466" s="2" t="str">
        <f>HYPERLINK("http://ts.21cn.com/tousu/show/id/1337363","及贷找第三方催收公司威胁我要爆通讯录")</f>
        <v>及贷找第三方催收公司威胁我要爆通讯录</v>
      </c>
      <c r="C6466" s="2" t="s">
        <v>9</v>
      </c>
      <c r="D6466" s="2" t="s">
        <v>10</v>
      </c>
      <c r="E6466" s="2" t="str">
        <f>HYPERLINK("http://ts.21cn.com/tousu/show/id/1337363","http://ts.21cn.com/tousu/show/id/1337363")</f>
        <v>http://ts.21cn.com/tousu/show/id/1337363</v>
      </c>
      <c r="F6466" s="2" t="s">
        <v>11</v>
      </c>
      <c r="G6466" s="2" t="s">
        <v>31440</v>
      </c>
      <c r="H6466" s="2" t="s">
        <v>31441</v>
      </c>
    </row>
    <row r="6467" spans="1:8" ht="25.05" customHeight="1" x14ac:dyDescent="0.25">
      <c r="A6467" s="2" t="s">
        <v>8</v>
      </c>
      <c r="B6467" s="2" t="str">
        <f>HYPERLINK("http://ts.21cn.com/tousu/show/id/1337364","正常还款却锁定账户")</f>
        <v>正常还款却锁定账户</v>
      </c>
      <c r="C6467" s="2" t="s">
        <v>34</v>
      </c>
      <c r="D6467" s="2" t="s">
        <v>10</v>
      </c>
      <c r="E6467" s="2" t="str">
        <f>HYPERLINK("http://ts.21cn.com/tousu/show/id/1337364","http://ts.21cn.com/tousu/show/id/1337364")</f>
        <v>http://ts.21cn.com/tousu/show/id/1337364</v>
      </c>
      <c r="F6467" s="2" t="s">
        <v>11</v>
      </c>
      <c r="G6467" s="2" t="s">
        <v>31438</v>
      </c>
      <c r="H6467" s="2" t="s">
        <v>31439</v>
      </c>
    </row>
    <row r="6468" spans="1:8" ht="25.05" customHeight="1" x14ac:dyDescent="0.25">
      <c r="A6468" s="2" t="s">
        <v>8</v>
      </c>
      <c r="B6468" s="2" t="str">
        <f>HYPERLINK("http://ts.21cn.com/tousu/show/id/1337367","我来贷无法还款")</f>
        <v>我来贷无法还款</v>
      </c>
      <c r="C6468" s="2" t="s">
        <v>9</v>
      </c>
      <c r="D6468" s="2" t="s">
        <v>10</v>
      </c>
      <c r="E6468" s="2" t="str">
        <f>HYPERLINK("http://ts.21cn.com/tousu/show/id/1337367","http://ts.21cn.com/tousu/show/id/1337367")</f>
        <v>http://ts.21cn.com/tousu/show/id/1337367</v>
      </c>
      <c r="F6468" s="2" t="s">
        <v>11</v>
      </c>
      <c r="G6468" s="2" t="s">
        <v>31436</v>
      </c>
      <c r="H6468" s="2" t="s">
        <v>31437</v>
      </c>
    </row>
    <row r="6469" spans="1:8" ht="25.05" customHeight="1" x14ac:dyDescent="0.25">
      <c r="A6469" s="2" t="s">
        <v>8</v>
      </c>
      <c r="B6469" s="2" t="str">
        <f>HYPERLINK("http://ts.21cn.com/tousu/show/id/1337368","360借条暴力催收，为高利贷平台做导流")</f>
        <v>360借条暴力催收，为高利贷平台做导流</v>
      </c>
      <c r="C6469" s="2" t="s">
        <v>9</v>
      </c>
      <c r="D6469" s="2" t="s">
        <v>10</v>
      </c>
      <c r="E6469" s="2" t="str">
        <f>HYPERLINK("http://ts.21cn.com/tousu/show/id/1337368","http://ts.21cn.com/tousu/show/id/1337368")</f>
        <v>http://ts.21cn.com/tousu/show/id/1337368</v>
      </c>
      <c r="F6469" s="2" t="s">
        <v>11</v>
      </c>
      <c r="G6469" s="2" t="s">
        <v>31434</v>
      </c>
      <c r="H6469" s="2" t="s">
        <v>31435</v>
      </c>
    </row>
    <row r="6470" spans="1:8" ht="25.05" customHeight="1" x14ac:dyDescent="0.25">
      <c r="A6470" s="2" t="s">
        <v>8</v>
      </c>
      <c r="B6470" s="2" t="str">
        <f>HYPERLINK("http://ts.21cn.com/tousu/show/id/1337366","达飞云贷高利贷")</f>
        <v>达飞云贷高利贷</v>
      </c>
      <c r="C6470" s="2" t="s">
        <v>9</v>
      </c>
      <c r="D6470" s="2" t="s">
        <v>10</v>
      </c>
      <c r="E6470" s="2" t="str">
        <f>HYPERLINK("http://ts.21cn.com/tousu/show/id/1337366","http://ts.21cn.com/tousu/show/id/1337366")</f>
        <v>http://ts.21cn.com/tousu/show/id/1337366</v>
      </c>
      <c r="F6470" s="2" t="s">
        <v>11</v>
      </c>
      <c r="G6470" s="2" t="s">
        <v>31432</v>
      </c>
      <c r="H6470" s="2" t="s">
        <v>31433</v>
      </c>
    </row>
    <row r="6471" spans="1:8" ht="25.05" customHeight="1" x14ac:dyDescent="0.25">
      <c r="A6471" s="2" t="s">
        <v>8</v>
      </c>
      <c r="B6471" s="2" t="str">
        <f>HYPERLINK("http://ts.21cn.com/tousu/show/id/1337370","豹子贷平台无故从我卡里扣走钱")</f>
        <v>豹子贷平台无故从我卡里扣走钱</v>
      </c>
      <c r="C6471" s="2" t="s">
        <v>34</v>
      </c>
      <c r="D6471" s="2" t="s">
        <v>10</v>
      </c>
      <c r="E6471" s="2" t="str">
        <f>HYPERLINK("http://ts.21cn.com/tousu/show/id/1337370","http://ts.21cn.com/tousu/show/id/1337370")</f>
        <v>http://ts.21cn.com/tousu/show/id/1337370</v>
      </c>
      <c r="F6471" s="2" t="s">
        <v>11</v>
      </c>
      <c r="G6471" s="2" t="s">
        <v>31430</v>
      </c>
      <c r="H6471" s="2" t="s">
        <v>31431</v>
      </c>
    </row>
    <row r="6472" spans="1:8" ht="25.05" customHeight="1" x14ac:dyDescent="0.25">
      <c r="A6472" s="2" t="s">
        <v>8</v>
      </c>
      <c r="B6472" s="2" t="str">
        <f>HYPERLINK("http://ts.21cn.com/tousu/show/id/1337372","拍拍贷")</f>
        <v>拍拍贷</v>
      </c>
      <c r="C6472" s="2" t="s">
        <v>34</v>
      </c>
      <c r="D6472" s="2" t="s">
        <v>10</v>
      </c>
      <c r="E6472" s="2" t="str">
        <f>HYPERLINK("http://ts.21cn.com/tousu/show/id/1337372","http://ts.21cn.com/tousu/show/id/1337372")</f>
        <v>http://ts.21cn.com/tousu/show/id/1337372</v>
      </c>
      <c r="F6472" s="2" t="s">
        <v>11</v>
      </c>
      <c r="G6472" s="2" t="s">
        <v>31428</v>
      </c>
      <c r="H6472" s="2" t="s">
        <v>31429</v>
      </c>
    </row>
    <row r="6473" spans="1:8" ht="25.05" customHeight="1" x14ac:dyDescent="0.25">
      <c r="A6473" s="2" t="s">
        <v>8</v>
      </c>
      <c r="B6473" s="2" t="str">
        <f>HYPERLINK("http://ts.21cn.com/tousu/show/id/1337373","暴力扣费")</f>
        <v>暴力扣费</v>
      </c>
      <c r="C6473" s="2" t="s">
        <v>34</v>
      </c>
      <c r="D6473" s="2" t="s">
        <v>10</v>
      </c>
      <c r="E6473" s="2" t="str">
        <f>HYPERLINK("http://ts.21cn.com/tousu/show/id/1337373","http://ts.21cn.com/tousu/show/id/1337373")</f>
        <v>http://ts.21cn.com/tousu/show/id/1337373</v>
      </c>
      <c r="F6473" s="2" t="s">
        <v>11</v>
      </c>
      <c r="G6473" s="2" t="s">
        <v>31426</v>
      </c>
      <c r="H6473" s="2" t="s">
        <v>31427</v>
      </c>
    </row>
    <row r="6474" spans="1:8" ht="25.05" customHeight="1" x14ac:dyDescent="0.25">
      <c r="A6474" s="2" t="s">
        <v>8</v>
      </c>
      <c r="B6474" s="2" t="str">
        <f>HYPERLINK("http://ts.21cn.com/tousu/show/id/1337371","砍头息高利贷暴力催收")</f>
        <v>砍头息高利贷暴力催收</v>
      </c>
      <c r="C6474" s="2" t="s">
        <v>9</v>
      </c>
      <c r="D6474" s="2" t="s">
        <v>10</v>
      </c>
      <c r="E6474" s="2" t="str">
        <f>HYPERLINK("http://ts.21cn.com/tousu/show/id/1337371","http://ts.21cn.com/tousu/show/id/1337371")</f>
        <v>http://ts.21cn.com/tousu/show/id/1337371</v>
      </c>
      <c r="F6474" s="2" t="s">
        <v>11</v>
      </c>
      <c r="G6474" s="2" t="s">
        <v>31424</v>
      </c>
      <c r="H6474" s="2" t="s">
        <v>31425</v>
      </c>
    </row>
    <row r="6475" spans="1:8" ht="25.05" customHeight="1" x14ac:dyDescent="0.25">
      <c r="A6475" s="2" t="s">
        <v>8</v>
      </c>
      <c r="B6475" s="2" t="str">
        <f>HYPERLINK("http://ts.21cn.com/tousu/show/id/1337375","京东支付扣款前海新流保险费")</f>
        <v>京东支付扣款前海新流保险费</v>
      </c>
      <c r="C6475" s="2" t="s">
        <v>34</v>
      </c>
      <c r="D6475" s="2" t="s">
        <v>10</v>
      </c>
      <c r="E6475" s="2" t="str">
        <f>HYPERLINK("http://ts.21cn.com/tousu/show/id/1337375","http://ts.21cn.com/tousu/show/id/1337375")</f>
        <v>http://ts.21cn.com/tousu/show/id/1337375</v>
      </c>
      <c r="F6475" s="2" t="s">
        <v>11</v>
      </c>
      <c r="G6475" s="2" t="s">
        <v>31422</v>
      </c>
      <c r="H6475" s="2" t="s">
        <v>31423</v>
      </c>
    </row>
    <row r="6476" spans="1:8" ht="25.05" customHeight="1" x14ac:dyDescent="0.25">
      <c r="A6476" s="2" t="s">
        <v>8</v>
      </c>
      <c r="B6476" s="2" t="str">
        <f>HYPERLINK("http://ts.21cn.com/tousu/show/id/1337376","京东白条催收威胁上门")</f>
        <v>京东白条催收威胁上门</v>
      </c>
      <c r="C6476" s="2" t="s">
        <v>9</v>
      </c>
      <c r="D6476" s="2" t="s">
        <v>10</v>
      </c>
      <c r="E6476" s="2" t="str">
        <f>HYPERLINK("http://ts.21cn.com/tousu/show/id/1337376","http://ts.21cn.com/tousu/show/id/1337376")</f>
        <v>http://ts.21cn.com/tousu/show/id/1337376</v>
      </c>
      <c r="F6476" s="2" t="s">
        <v>11</v>
      </c>
      <c r="G6476" s="2" t="s">
        <v>31420</v>
      </c>
      <c r="H6476" s="2" t="s">
        <v>31421</v>
      </c>
    </row>
    <row r="6477" spans="1:8" ht="25.05" customHeight="1" x14ac:dyDescent="0.25">
      <c r="A6477" s="2" t="s">
        <v>8</v>
      </c>
      <c r="B6477" s="2" t="str">
        <f>HYPERLINK("http://ts.21cn.com/tousu/show/id/1337377","你我贷爆通讯录")</f>
        <v>你我贷爆通讯录</v>
      </c>
      <c r="C6477" s="2" t="s">
        <v>9</v>
      </c>
      <c r="D6477" s="2" t="s">
        <v>10</v>
      </c>
      <c r="E6477" s="2" t="str">
        <f>HYPERLINK("http://ts.21cn.com/tousu/show/id/1337377","http://ts.21cn.com/tousu/show/id/1337377")</f>
        <v>http://ts.21cn.com/tousu/show/id/1337377</v>
      </c>
      <c r="F6477" s="2" t="s">
        <v>11</v>
      </c>
      <c r="G6477" s="2" t="s">
        <v>31418</v>
      </c>
      <c r="H6477" s="2" t="s">
        <v>31419</v>
      </c>
    </row>
    <row r="6478" spans="1:8" ht="25.05" customHeight="1" x14ac:dyDescent="0.25">
      <c r="A6478" s="2" t="s">
        <v>8</v>
      </c>
      <c r="B6478" s="2" t="str">
        <f>HYPERLINK("http://ts.21cn.com/tousu/show/id/1337378","信用飞暴力收取砍头息")</f>
        <v>信用飞暴力收取砍头息</v>
      </c>
      <c r="C6478" s="2" t="s">
        <v>9</v>
      </c>
      <c r="D6478" s="2" t="s">
        <v>10</v>
      </c>
      <c r="E6478" s="2" t="str">
        <f>HYPERLINK("http://ts.21cn.com/tousu/show/id/1337378","http://ts.21cn.com/tousu/show/id/1337378")</f>
        <v>http://ts.21cn.com/tousu/show/id/1337378</v>
      </c>
      <c r="F6478" s="2" t="s">
        <v>11</v>
      </c>
      <c r="G6478" s="2" t="s">
        <v>31416</v>
      </c>
      <c r="H6478" s="2" t="s">
        <v>31417</v>
      </c>
    </row>
    <row r="6479" spans="1:8" ht="25.05" customHeight="1" x14ac:dyDescent="0.25">
      <c r="A6479" s="2" t="s">
        <v>8</v>
      </c>
      <c r="B6479" s="2" t="str">
        <f>HYPERLINK("http://ts.21cn.com/tousu/show/id/1337379","永辉超市迷你店服务差")</f>
        <v>永辉超市迷你店服务差</v>
      </c>
      <c r="C6479" s="2" t="s">
        <v>9</v>
      </c>
      <c r="D6479" s="2" t="s">
        <v>10</v>
      </c>
      <c r="E6479" s="2" t="str">
        <f>HYPERLINK("http://ts.21cn.com/tousu/show/id/1337379","http://ts.21cn.com/tousu/show/id/1337379")</f>
        <v>http://ts.21cn.com/tousu/show/id/1337379</v>
      </c>
      <c r="F6479" s="2" t="s">
        <v>11</v>
      </c>
      <c r="G6479" s="2" t="s">
        <v>31414</v>
      </c>
      <c r="H6479" s="2" t="s">
        <v>31415</v>
      </c>
    </row>
    <row r="6480" spans="1:8" ht="25.05" customHeight="1" x14ac:dyDescent="0.25">
      <c r="A6480" s="2" t="s">
        <v>8</v>
      </c>
      <c r="B6480" s="2" t="str">
        <f>HYPERLINK("http://ts.21cn.com/tousu/show/id/1337383","恶意骚扰家人朋友")</f>
        <v>恶意骚扰家人朋友</v>
      </c>
      <c r="C6480" s="2" t="s">
        <v>9</v>
      </c>
      <c r="D6480" s="2" t="s">
        <v>10</v>
      </c>
      <c r="E6480" s="2" t="str">
        <f>HYPERLINK("http://ts.21cn.com/tousu/show/id/1337383","http://ts.21cn.com/tousu/show/id/1337383")</f>
        <v>http://ts.21cn.com/tousu/show/id/1337383</v>
      </c>
      <c r="F6480" s="2" t="s">
        <v>11</v>
      </c>
      <c r="G6480" s="2" t="s">
        <v>31412</v>
      </c>
      <c r="H6480" s="2" t="s">
        <v>31413</v>
      </c>
    </row>
    <row r="6481" spans="1:8" ht="25.05" customHeight="1" x14ac:dyDescent="0.25">
      <c r="A6481" s="2" t="s">
        <v>8</v>
      </c>
      <c r="B6481" s="2" t="str">
        <f>HYPERLINK("http://ts.21cn.com/tousu/show/id/1337384","自由魔卡六便士暴击催收")</f>
        <v>自由魔卡六便士暴击催收</v>
      </c>
      <c r="C6481" s="2" t="s">
        <v>9</v>
      </c>
      <c r="D6481" s="2" t="s">
        <v>10</v>
      </c>
      <c r="E6481" s="2" t="str">
        <f>HYPERLINK("http://ts.21cn.com/tousu/show/id/1337384","http://ts.21cn.com/tousu/show/id/1337384")</f>
        <v>http://ts.21cn.com/tousu/show/id/1337384</v>
      </c>
      <c r="F6481" s="2" t="s">
        <v>11</v>
      </c>
      <c r="G6481" s="2" t="s">
        <v>31410</v>
      </c>
      <c r="H6481" s="2" t="s">
        <v>31411</v>
      </c>
    </row>
    <row r="6482" spans="1:8" ht="25.05" customHeight="1" x14ac:dyDescent="0.25">
      <c r="A6482" s="2" t="s">
        <v>8</v>
      </c>
      <c r="B6482" s="2" t="str">
        <f>HYPERLINK("http://ts.21cn.com/tousu/show/id/1337385","信用管家为高利贷轻周转打广告，借款收取高额利息，客服电话一直打不通")</f>
        <v>信用管家为高利贷轻周转打广告，借款收取高额利息，客服电话一直打不通</v>
      </c>
      <c r="C6482" s="2" t="s">
        <v>9</v>
      </c>
      <c r="D6482" s="2" t="s">
        <v>10</v>
      </c>
      <c r="E6482" s="2" t="str">
        <f>HYPERLINK("http://ts.21cn.com/tousu/show/id/1337385","http://ts.21cn.com/tousu/show/id/1337385")</f>
        <v>http://ts.21cn.com/tousu/show/id/1337385</v>
      </c>
      <c r="F6482" s="2" t="s">
        <v>11</v>
      </c>
      <c r="G6482" s="2" t="s">
        <v>31408</v>
      </c>
      <c r="H6482" s="2" t="s">
        <v>31409</v>
      </c>
    </row>
    <row r="6483" spans="1:8" ht="25.05" customHeight="1" x14ac:dyDescent="0.25">
      <c r="A6483" s="2" t="s">
        <v>8</v>
      </c>
      <c r="B6483" s="2" t="str">
        <f>HYPERLINK("http://ts.21cn.com/tousu/show/id/1337387","小赢易贷催收")</f>
        <v>小赢易贷催收</v>
      </c>
      <c r="C6483" s="2" t="s">
        <v>9</v>
      </c>
      <c r="D6483" s="2" t="s">
        <v>10</v>
      </c>
      <c r="E6483" s="2" t="str">
        <f>HYPERLINK("http://ts.21cn.com/tousu/show/id/1337387","http://ts.21cn.com/tousu/show/id/1337387")</f>
        <v>http://ts.21cn.com/tousu/show/id/1337387</v>
      </c>
      <c r="F6483" s="2" t="s">
        <v>11</v>
      </c>
      <c r="G6483" s="2" t="s">
        <v>31406</v>
      </c>
      <c r="H6483" s="2" t="s">
        <v>31407</v>
      </c>
    </row>
    <row r="6484" spans="1:8" ht="25.05" customHeight="1" x14ac:dyDescent="0.25">
      <c r="A6484" s="2" t="s">
        <v>8</v>
      </c>
      <c r="B6484" s="2" t="str">
        <f>HYPERLINK("http://ts.21cn.com/tousu/show/id/1337388","交易猫仲裁欺诈买家卖家双方")</f>
        <v>交易猫仲裁欺诈买家卖家双方</v>
      </c>
      <c r="C6484" s="2" t="s">
        <v>9</v>
      </c>
      <c r="D6484" s="2" t="s">
        <v>10</v>
      </c>
      <c r="E6484" s="2" t="str">
        <f>HYPERLINK("http://ts.21cn.com/tousu/show/id/1337388","http://ts.21cn.com/tousu/show/id/1337388")</f>
        <v>http://ts.21cn.com/tousu/show/id/1337388</v>
      </c>
      <c r="F6484" s="2" t="s">
        <v>11</v>
      </c>
      <c r="G6484" s="2" t="s">
        <v>31404</v>
      </c>
      <c r="H6484" s="2" t="s">
        <v>31405</v>
      </c>
    </row>
    <row r="6485" spans="1:8" ht="25.05" customHeight="1" x14ac:dyDescent="0.25">
      <c r="A6485" s="2" t="s">
        <v>8</v>
      </c>
      <c r="B6485" s="2" t="str">
        <f>HYPERLINK("http://ts.21cn.com/tousu/show/id/1337390","中腾信暴力催收")</f>
        <v>中腾信暴力催收</v>
      </c>
      <c r="C6485" s="2" t="s">
        <v>9</v>
      </c>
      <c r="D6485" s="2" t="s">
        <v>10</v>
      </c>
      <c r="E6485" s="2" t="str">
        <f>HYPERLINK("http://ts.21cn.com/tousu/show/id/1337390","http://ts.21cn.com/tousu/show/id/1337390")</f>
        <v>http://ts.21cn.com/tousu/show/id/1337390</v>
      </c>
      <c r="F6485" s="2" t="s">
        <v>11</v>
      </c>
      <c r="G6485" s="2" t="s">
        <v>31401</v>
      </c>
      <c r="H6485" s="2" t="s">
        <v>31402</v>
      </c>
    </row>
    <row r="6486" spans="1:8" ht="25.05" customHeight="1" x14ac:dyDescent="0.25">
      <c r="A6486" s="2" t="s">
        <v>8</v>
      </c>
      <c r="B6486" s="2" t="str">
        <f>HYPERLINK("http://ts.21cn.com/tousu/show/id/1337389","阴阳合同")</f>
        <v>阴阳合同</v>
      </c>
      <c r="C6486" s="2" t="s">
        <v>9</v>
      </c>
      <c r="D6486" s="2" t="s">
        <v>10</v>
      </c>
      <c r="E6486" s="2" t="str">
        <f>HYPERLINK("http://ts.21cn.com/tousu/show/id/1337389","http://ts.21cn.com/tousu/show/id/1337389")</f>
        <v>http://ts.21cn.com/tousu/show/id/1337389</v>
      </c>
      <c r="F6486" s="2" t="s">
        <v>11</v>
      </c>
      <c r="G6486" s="2" t="s">
        <v>31401</v>
      </c>
      <c r="H6486" s="2" t="s">
        <v>31403</v>
      </c>
    </row>
    <row r="6487" spans="1:8" ht="25.05" customHeight="1" x14ac:dyDescent="0.25">
      <c r="A6487" s="2" t="s">
        <v>8</v>
      </c>
      <c r="B6487" s="2" t="str">
        <f>HYPERLINK("http://ts.21cn.com/tousu/show/id/1337392","叉叉ipa精灵不退款,退款难")</f>
        <v>叉叉ipa精灵不退款,退款难</v>
      </c>
      <c r="C6487" s="2" t="s">
        <v>9</v>
      </c>
      <c r="D6487" s="2" t="s">
        <v>10</v>
      </c>
      <c r="E6487" s="2" t="str">
        <f>HYPERLINK("http://ts.21cn.com/tousu/show/id/1337392","http://ts.21cn.com/tousu/show/id/1337392")</f>
        <v>http://ts.21cn.com/tousu/show/id/1337392</v>
      </c>
      <c r="F6487" s="2" t="s">
        <v>11</v>
      </c>
      <c r="G6487" s="2" t="s">
        <v>31399</v>
      </c>
      <c r="H6487" s="2" t="s">
        <v>31400</v>
      </c>
    </row>
    <row r="6488" spans="1:8" ht="25.05" customHeight="1" x14ac:dyDescent="0.25">
      <c r="A6488" s="2" t="s">
        <v>8</v>
      </c>
      <c r="B6488" s="2" t="str">
        <f>HYPERLINK("http://ts.21cn.com/tousu/show/id/1337391","美团生活费暴力催收")</f>
        <v>美团生活费暴力催收</v>
      </c>
      <c r="C6488" s="2" t="s">
        <v>9</v>
      </c>
      <c r="D6488" s="2" t="s">
        <v>10</v>
      </c>
      <c r="E6488" s="2" t="str">
        <f>HYPERLINK("http://ts.21cn.com/tousu/show/id/1337391","http://ts.21cn.com/tousu/show/id/1337391")</f>
        <v>http://ts.21cn.com/tousu/show/id/1337391</v>
      </c>
      <c r="F6488" s="2" t="s">
        <v>11</v>
      </c>
      <c r="G6488" s="2" t="s">
        <v>31397</v>
      </c>
      <c r="H6488" s="2" t="s">
        <v>31398</v>
      </c>
    </row>
    <row r="6489" spans="1:8" ht="25.05" customHeight="1" x14ac:dyDescent="0.25">
      <c r="A6489" s="2" t="s">
        <v>8</v>
      </c>
      <c r="B6489" s="2" t="str">
        <f>HYPERLINK("http://ts.21cn.com/tousu/show/id/1337393","马上金融不接受协商")</f>
        <v>马上金融不接受协商</v>
      </c>
      <c r="C6489" s="2" t="s">
        <v>9</v>
      </c>
      <c r="D6489" s="2" t="s">
        <v>10</v>
      </c>
      <c r="E6489" s="2" t="str">
        <f>HYPERLINK("http://ts.21cn.com/tousu/show/id/1337393","http://ts.21cn.com/tousu/show/id/1337393")</f>
        <v>http://ts.21cn.com/tousu/show/id/1337393</v>
      </c>
      <c r="F6489" s="2" t="s">
        <v>11</v>
      </c>
      <c r="G6489" s="2" t="s">
        <v>31395</v>
      </c>
      <c r="H6489" s="2" t="s">
        <v>31396</v>
      </c>
    </row>
    <row r="6490" spans="1:8" ht="25.05" customHeight="1" x14ac:dyDescent="0.25">
      <c r="A6490" s="2" t="s">
        <v>8</v>
      </c>
      <c r="B6490" s="2" t="str">
        <f>HYPERLINK("http://ts.21cn.com/tousu/show/id/1337394","万达贷催费打到公司")</f>
        <v>万达贷催费打到公司</v>
      </c>
      <c r="C6490" s="2" t="s">
        <v>9</v>
      </c>
      <c r="D6490" s="2" t="s">
        <v>10</v>
      </c>
      <c r="E6490" s="2" t="str">
        <f>HYPERLINK("http://ts.21cn.com/tousu/show/id/1337394","http://ts.21cn.com/tousu/show/id/1337394")</f>
        <v>http://ts.21cn.com/tousu/show/id/1337394</v>
      </c>
      <c r="F6490" s="2" t="s">
        <v>11</v>
      </c>
      <c r="G6490" s="2" t="s">
        <v>31393</v>
      </c>
      <c r="H6490" s="2" t="s">
        <v>31394</v>
      </c>
    </row>
    <row r="6491" spans="1:8" ht="25.05" customHeight="1" x14ac:dyDescent="0.25">
      <c r="A6491" s="2" t="s">
        <v>8</v>
      </c>
      <c r="B6491" s="2" t="str">
        <f>HYPERLINK("http://ts.21cn.com/tousu/show/id/1337395","闪银逾期费非常高，催收电话恶劣，爆我通讯录")</f>
        <v>闪银逾期费非常高，催收电话恶劣，爆我通讯录</v>
      </c>
      <c r="C6491" s="2" t="s">
        <v>9</v>
      </c>
      <c r="D6491" s="2" t="s">
        <v>10</v>
      </c>
      <c r="E6491" s="2" t="str">
        <f>HYPERLINK("http://ts.21cn.com/tousu/show/id/1337395","http://ts.21cn.com/tousu/show/id/1337395")</f>
        <v>http://ts.21cn.com/tousu/show/id/1337395</v>
      </c>
      <c r="F6491" s="2" t="s">
        <v>11</v>
      </c>
      <c r="G6491" s="2" t="s">
        <v>31391</v>
      </c>
      <c r="H6491" s="2" t="s">
        <v>31392</v>
      </c>
    </row>
    <row r="6492" spans="1:8" ht="25.05" customHeight="1" x14ac:dyDescent="0.25">
      <c r="A6492" s="2" t="s">
        <v>8</v>
      </c>
      <c r="B6492" s="2" t="str">
        <f>HYPERLINK("http://ts.21cn.com/tousu/show/id/1337397","小赢卡贷利息超过国家法定利息")</f>
        <v>小赢卡贷利息超过国家法定利息</v>
      </c>
      <c r="C6492" s="2" t="s">
        <v>9</v>
      </c>
      <c r="D6492" s="2" t="s">
        <v>10</v>
      </c>
      <c r="E6492" s="2" t="str">
        <f>HYPERLINK("http://ts.21cn.com/tousu/show/id/1337397","http://ts.21cn.com/tousu/show/id/1337397")</f>
        <v>http://ts.21cn.com/tousu/show/id/1337397</v>
      </c>
      <c r="F6492" s="2" t="s">
        <v>11</v>
      </c>
      <c r="G6492" s="2" t="s">
        <v>31388</v>
      </c>
      <c r="H6492" s="2" t="s">
        <v>31389</v>
      </c>
    </row>
    <row r="6493" spans="1:8" ht="25.05" customHeight="1" x14ac:dyDescent="0.25">
      <c r="A6493" s="2" t="s">
        <v>8</v>
      </c>
      <c r="B6493" s="2" t="str">
        <f>HYPERLINK("http://ts.21cn.com/tousu/show/id/1337396","高利贷暴力催")</f>
        <v>高利贷暴力催</v>
      </c>
      <c r="C6493" s="2" t="s">
        <v>9</v>
      </c>
      <c r="D6493" s="2" t="s">
        <v>10</v>
      </c>
      <c r="E6493" s="2" t="str">
        <f>HYPERLINK("http://ts.21cn.com/tousu/show/id/1337396","http://ts.21cn.com/tousu/show/id/1337396")</f>
        <v>http://ts.21cn.com/tousu/show/id/1337396</v>
      </c>
      <c r="F6493" s="2" t="s">
        <v>11</v>
      </c>
      <c r="G6493" s="2" t="s">
        <v>31388</v>
      </c>
      <c r="H6493" s="2" t="s">
        <v>31390</v>
      </c>
    </row>
    <row r="6494" spans="1:8" ht="25.05" customHeight="1" x14ac:dyDescent="0.25">
      <c r="A6494" s="2" t="s">
        <v>8</v>
      </c>
      <c r="B6494" s="2" t="str">
        <f>HYPERLINK("http://ts.21cn.com/tousu/show/id/1337398","集体举报：百度有钱花协助北京东方清软国际招转培、培训贷")</f>
        <v>集体举报：百度有钱花协助北京东方清软国际招转培、培训贷</v>
      </c>
      <c r="C6494" s="2" t="s">
        <v>9</v>
      </c>
      <c r="D6494" s="2" t="s">
        <v>10</v>
      </c>
      <c r="E6494" s="2" t="str">
        <f>HYPERLINK("http://ts.21cn.com/tousu/show/id/1337398","http://ts.21cn.com/tousu/show/id/1337398")</f>
        <v>http://ts.21cn.com/tousu/show/id/1337398</v>
      </c>
      <c r="F6494" s="2" t="s">
        <v>11</v>
      </c>
      <c r="G6494" s="2" t="s">
        <v>31386</v>
      </c>
      <c r="H6494" s="2" t="s">
        <v>31387</v>
      </c>
    </row>
    <row r="6495" spans="1:8" ht="25.05" customHeight="1" x14ac:dyDescent="0.25">
      <c r="A6495" s="2" t="s">
        <v>8</v>
      </c>
      <c r="B6495" s="2" t="str">
        <f>HYPERLINK("http://ts.21cn.com/tousu/show/id/1337399","信用管家钱咖分期收取高额利息")</f>
        <v>信用管家钱咖分期收取高额利息</v>
      </c>
      <c r="C6495" s="2" t="s">
        <v>9</v>
      </c>
      <c r="D6495" s="2" t="s">
        <v>10</v>
      </c>
      <c r="E6495" s="2" t="str">
        <f>HYPERLINK("http://ts.21cn.com/tousu/show/id/1337399","http://ts.21cn.com/tousu/show/id/1337399")</f>
        <v>http://ts.21cn.com/tousu/show/id/1337399</v>
      </c>
      <c r="F6495" s="2" t="s">
        <v>11</v>
      </c>
      <c r="G6495" s="2" t="s">
        <v>31384</v>
      </c>
      <c r="H6495" s="2" t="s">
        <v>31385</v>
      </c>
    </row>
    <row r="6496" spans="1:8" ht="25.05" customHeight="1" x14ac:dyDescent="0.25">
      <c r="A6496" s="2" t="s">
        <v>8</v>
      </c>
      <c r="B6496" s="2" t="str">
        <f>HYPERLINK("http://ts.21cn.com/tousu/show/id/1337400","等待法院判决")</f>
        <v>等待法院判决</v>
      </c>
      <c r="C6496" s="2" t="s">
        <v>9</v>
      </c>
      <c r="D6496" s="2" t="s">
        <v>10</v>
      </c>
      <c r="E6496" s="2" t="str">
        <f>HYPERLINK("http://ts.21cn.com/tousu/show/id/1337400","http://ts.21cn.com/tousu/show/id/1337400")</f>
        <v>http://ts.21cn.com/tousu/show/id/1337400</v>
      </c>
      <c r="F6496" s="2" t="s">
        <v>11</v>
      </c>
      <c r="G6496" s="2" t="s">
        <v>31381</v>
      </c>
      <c r="H6496" s="2" t="s">
        <v>31382</v>
      </c>
    </row>
    <row r="6497" spans="1:8" ht="25.05" customHeight="1" x14ac:dyDescent="0.25">
      <c r="A6497" s="2" t="s">
        <v>8</v>
      </c>
      <c r="B6497" s="2" t="str">
        <f>HYPERLINK("http://ts.21cn.com/tousu/show/id/1337401","乱扣钱")</f>
        <v>乱扣钱</v>
      </c>
      <c r="C6497" s="2" t="s">
        <v>9</v>
      </c>
      <c r="D6497" s="2" t="s">
        <v>10</v>
      </c>
      <c r="E6497" s="2" t="str">
        <f>HYPERLINK("http://ts.21cn.com/tousu/show/id/1337401","http://ts.21cn.com/tousu/show/id/1337401")</f>
        <v>http://ts.21cn.com/tousu/show/id/1337401</v>
      </c>
      <c r="F6497" s="2" t="s">
        <v>11</v>
      </c>
      <c r="G6497" s="2" t="s">
        <v>31381</v>
      </c>
      <c r="H6497" s="2" t="s">
        <v>31383</v>
      </c>
    </row>
    <row r="6498" spans="1:8" ht="25.05" customHeight="1" x14ac:dyDescent="0.25">
      <c r="A6498" s="2" t="s">
        <v>8</v>
      </c>
      <c r="B6498" s="2" t="str">
        <f>HYPERLINK("http://ts.21cn.com/tousu/show/id/1337403","办理新的号码无法绑定微信")</f>
        <v>办理新的号码无法绑定微信</v>
      </c>
      <c r="C6498" s="2" t="s">
        <v>9</v>
      </c>
      <c r="D6498" s="2" t="s">
        <v>10</v>
      </c>
      <c r="E6498" s="2" t="str">
        <f>HYPERLINK("http://ts.21cn.com/tousu/show/id/1337403","http://ts.21cn.com/tousu/show/id/1337403")</f>
        <v>http://ts.21cn.com/tousu/show/id/1337403</v>
      </c>
      <c r="F6498" s="2" t="s">
        <v>11</v>
      </c>
      <c r="G6498" s="2" t="s">
        <v>31379</v>
      </c>
      <c r="H6498" s="2" t="s">
        <v>31380</v>
      </c>
    </row>
    <row r="6499" spans="1:8" ht="25.05" customHeight="1" x14ac:dyDescent="0.25">
      <c r="A6499" s="2" t="s">
        <v>8</v>
      </c>
      <c r="B6499" s="2" t="str">
        <f>HYPERLINK("http://ts.21cn.com/tousu/show/id/1337402","爆通讯，骚扰亲戚朋友")</f>
        <v>爆通讯，骚扰亲戚朋友</v>
      </c>
      <c r="C6499" s="2" t="s">
        <v>9</v>
      </c>
      <c r="D6499" s="2" t="s">
        <v>10</v>
      </c>
      <c r="E6499" s="2" t="str">
        <f>HYPERLINK("http://ts.21cn.com/tousu/show/id/1337402","http://ts.21cn.com/tousu/show/id/1337402")</f>
        <v>http://ts.21cn.com/tousu/show/id/1337402</v>
      </c>
      <c r="F6499" s="2" t="s">
        <v>11</v>
      </c>
      <c r="G6499" s="2" t="s">
        <v>31377</v>
      </c>
      <c r="H6499" s="2" t="s">
        <v>31378</v>
      </c>
    </row>
    <row r="6500" spans="1:8" ht="25.05" customHeight="1" x14ac:dyDescent="0.25">
      <c r="A6500" s="2" t="s">
        <v>8</v>
      </c>
      <c r="B6500" s="2" t="str">
        <f>HYPERLINK("http://ts.21cn.com/tousu/show/id/1337404","佰仟金融非法高利贷，收取高额服务费管理费，雇用非法讨债公司恶意催收，盗取本人隐私信息")</f>
        <v>佰仟金融非法高利贷，收取高额服务费管理费，雇用非法讨债公司恶意催收，盗取本人隐私信息</v>
      </c>
      <c r="C6500" s="2" t="s">
        <v>9</v>
      </c>
      <c r="D6500" s="2" t="s">
        <v>10</v>
      </c>
      <c r="E6500" s="2" t="str">
        <f>HYPERLINK("http://ts.21cn.com/tousu/show/id/1337404","http://ts.21cn.com/tousu/show/id/1337404")</f>
        <v>http://ts.21cn.com/tousu/show/id/1337404</v>
      </c>
      <c r="F6500" s="2" t="s">
        <v>11</v>
      </c>
      <c r="G6500" s="2" t="s">
        <v>31375</v>
      </c>
      <c r="H6500" s="2" t="s">
        <v>31376</v>
      </c>
    </row>
    <row r="6501" spans="1:8" ht="25.05" customHeight="1" x14ac:dyDescent="0.25">
      <c r="A6501" s="2" t="s">
        <v>8</v>
      </c>
      <c r="B6501" s="2" t="str">
        <f>HYPERLINK("http://ts.21cn.com/tousu/show/id/1337405","捷信电话骚扰")</f>
        <v>捷信电话骚扰</v>
      </c>
      <c r="C6501" s="2" t="s">
        <v>9</v>
      </c>
      <c r="D6501" s="2" t="s">
        <v>10</v>
      </c>
      <c r="E6501" s="2" t="str">
        <f>HYPERLINK("http://ts.21cn.com/tousu/show/id/1337405","http://ts.21cn.com/tousu/show/id/1337405")</f>
        <v>http://ts.21cn.com/tousu/show/id/1337405</v>
      </c>
      <c r="F6501" s="2" t="s">
        <v>11</v>
      </c>
      <c r="G6501" s="2" t="s">
        <v>31373</v>
      </c>
      <c r="H6501" s="2" t="s">
        <v>31374</v>
      </c>
    </row>
    <row r="6502" spans="1:8" ht="25.05" customHeight="1" x14ac:dyDescent="0.25">
      <c r="A6502" s="2" t="s">
        <v>8</v>
      </c>
      <c r="B6502" s="2" t="str">
        <f>HYPERLINK("http://ts.21cn.com/tousu/show/id/1337407","实际借5000，阴阳合同5725")</f>
        <v>实际借5000，阴阳合同5725</v>
      </c>
      <c r="C6502" s="2" t="s">
        <v>9</v>
      </c>
      <c r="D6502" s="2" t="s">
        <v>10</v>
      </c>
      <c r="E6502" s="2" t="str">
        <f>HYPERLINK("http://ts.21cn.com/tousu/show/id/1337407","http://ts.21cn.com/tousu/show/id/1337407")</f>
        <v>http://ts.21cn.com/tousu/show/id/1337407</v>
      </c>
      <c r="F6502" s="2" t="s">
        <v>11</v>
      </c>
      <c r="G6502" s="2" t="s">
        <v>31371</v>
      </c>
      <c r="H6502" s="2" t="s">
        <v>31372</v>
      </c>
    </row>
    <row r="6503" spans="1:8" ht="25.05" customHeight="1" x14ac:dyDescent="0.25">
      <c r="A6503" s="2" t="s">
        <v>8</v>
      </c>
      <c r="B6503" s="2" t="str">
        <f>HYPERLINK("http://ts.21cn.com/tousu/show/id/1337386","在快手有赞平台上面买货，买完货后第一时时间申请退款，商家把东西寄过来了还不给我退，找有赞客服客服不管")</f>
        <v>在快手有赞平台上面买货，买完货后第一时时间申请退款，商家把东西寄过来了还不给我退，找有赞客服客服不管</v>
      </c>
      <c r="C6503" s="2" t="s">
        <v>9</v>
      </c>
      <c r="D6503" s="2" t="s">
        <v>10</v>
      </c>
      <c r="E6503" s="2" t="str">
        <f>HYPERLINK("http://ts.21cn.com/tousu/show/id/1337386","http://ts.21cn.com/tousu/show/id/1337386")</f>
        <v>http://ts.21cn.com/tousu/show/id/1337386</v>
      </c>
      <c r="F6503" s="2" t="s">
        <v>11</v>
      </c>
      <c r="G6503" s="2" t="s">
        <v>31369</v>
      </c>
      <c r="H6503" s="2" t="s">
        <v>31370</v>
      </c>
    </row>
    <row r="6504" spans="1:8" ht="25.05" customHeight="1" x14ac:dyDescent="0.25">
      <c r="A6504" s="2" t="s">
        <v>8</v>
      </c>
      <c r="B6504" s="2" t="str">
        <f>HYPERLINK("http://ts.21cn.com/tousu/show/id/1337408","白条分期私自扣我银行卡里199元钱，说是会员费")</f>
        <v>白条分期私自扣我银行卡里199元钱，说是会员费</v>
      </c>
      <c r="C6504" s="2" t="s">
        <v>9</v>
      </c>
      <c r="D6504" s="2" t="s">
        <v>10</v>
      </c>
      <c r="E6504" s="2" t="str">
        <f>HYPERLINK("http://ts.21cn.com/tousu/show/id/1337408","http://ts.21cn.com/tousu/show/id/1337408")</f>
        <v>http://ts.21cn.com/tousu/show/id/1337408</v>
      </c>
      <c r="F6504" s="2" t="s">
        <v>11</v>
      </c>
      <c r="G6504" s="2" t="s">
        <v>31367</v>
      </c>
      <c r="H6504" s="2" t="s">
        <v>31368</v>
      </c>
    </row>
    <row r="6505" spans="1:8" ht="25.05" customHeight="1" x14ac:dyDescent="0.25">
      <c r="A6505" s="2" t="s">
        <v>8</v>
      </c>
      <c r="B6505" s="2" t="str">
        <f>HYPERLINK("http://ts.21cn.com/tousu/show/id/1337410","无锡五星家园物业费不知去向")</f>
        <v>无锡五星家园物业费不知去向</v>
      </c>
      <c r="C6505" s="2" t="s">
        <v>9</v>
      </c>
      <c r="D6505" s="2" t="s">
        <v>10</v>
      </c>
      <c r="E6505" s="2" t="str">
        <f>HYPERLINK("http://ts.21cn.com/tousu/show/id/1337410","http://ts.21cn.com/tousu/show/id/1337410")</f>
        <v>http://ts.21cn.com/tousu/show/id/1337410</v>
      </c>
      <c r="F6505" s="2" t="s">
        <v>11</v>
      </c>
      <c r="G6505" s="2" t="s">
        <v>31365</v>
      </c>
      <c r="H6505" s="2" t="s">
        <v>31366</v>
      </c>
    </row>
    <row r="6506" spans="1:8" ht="25.05" customHeight="1" x14ac:dyDescent="0.25">
      <c r="A6506" s="2" t="s">
        <v>8</v>
      </c>
      <c r="B6506" s="2" t="str">
        <f>HYPERLINK("http://ts.21cn.com/tousu/show/id/1337409","京东金融中的京东白条暴力催收")</f>
        <v>京东金融中的京东白条暴力催收</v>
      </c>
      <c r="C6506" s="2" t="s">
        <v>9</v>
      </c>
      <c r="D6506" s="2" t="s">
        <v>10</v>
      </c>
      <c r="E6506" s="2" t="str">
        <f>HYPERLINK("http://ts.21cn.com/tousu/show/id/1337409","http://ts.21cn.com/tousu/show/id/1337409")</f>
        <v>http://ts.21cn.com/tousu/show/id/1337409</v>
      </c>
      <c r="F6506" s="2" t="s">
        <v>11</v>
      </c>
      <c r="G6506" s="2" t="s">
        <v>31363</v>
      </c>
      <c r="H6506" s="2" t="s">
        <v>31364</v>
      </c>
    </row>
    <row r="6507" spans="1:8" ht="25.05" customHeight="1" x14ac:dyDescent="0.25">
      <c r="A6507" s="2" t="s">
        <v>8</v>
      </c>
      <c r="B6507" s="2" t="str">
        <f>HYPERLINK("http://ts.21cn.com/tousu/show/id/1337412","消费权益受到威胁")</f>
        <v>消费权益受到威胁</v>
      </c>
      <c r="C6507" s="2" t="s">
        <v>9</v>
      </c>
      <c r="D6507" s="2" t="s">
        <v>10</v>
      </c>
      <c r="E6507" s="2" t="str">
        <f>HYPERLINK("http://ts.21cn.com/tousu/show/id/1337412","http://ts.21cn.com/tousu/show/id/1337412")</f>
        <v>http://ts.21cn.com/tousu/show/id/1337412</v>
      </c>
      <c r="F6507" s="2" t="s">
        <v>11</v>
      </c>
      <c r="G6507" s="2" t="s">
        <v>31361</v>
      </c>
      <c r="H6507" s="2" t="s">
        <v>31362</v>
      </c>
    </row>
    <row r="6508" spans="1:8" ht="25.05" customHeight="1" x14ac:dyDescent="0.25">
      <c r="A6508" s="2" t="s">
        <v>8</v>
      </c>
      <c r="B6508" s="2" t="str">
        <f>HYPERLINK("http://ts.21cn.com/tousu/show/id/1337413","菜鸟有钱，高利贷，")</f>
        <v>菜鸟有钱，高利贷，</v>
      </c>
      <c r="C6508" s="2" t="s">
        <v>9</v>
      </c>
      <c r="D6508" s="2" t="s">
        <v>10</v>
      </c>
      <c r="E6508" s="2" t="str">
        <f>HYPERLINK("http://ts.21cn.com/tousu/show/id/1337413","http://ts.21cn.com/tousu/show/id/1337413")</f>
        <v>http://ts.21cn.com/tousu/show/id/1337413</v>
      </c>
      <c r="F6508" s="2" t="s">
        <v>11</v>
      </c>
      <c r="G6508" s="2" t="s">
        <v>31359</v>
      </c>
      <c r="H6508" s="2" t="s">
        <v>31360</v>
      </c>
    </row>
    <row r="6509" spans="1:8" ht="25.05" customHeight="1" x14ac:dyDescent="0.25">
      <c r="A6509" s="2" t="s">
        <v>8</v>
      </c>
      <c r="B6509" s="2" t="str">
        <f>HYPERLINK("http://ts.21cn.com/tousu/show/id/1337369","退款")</f>
        <v>退款</v>
      </c>
      <c r="C6509" s="2" t="s">
        <v>9</v>
      </c>
      <c r="D6509" s="2" t="s">
        <v>10</v>
      </c>
      <c r="E6509" s="2" t="str">
        <f>HYPERLINK("http://ts.21cn.com/tousu/show/id/1337369","http://ts.21cn.com/tousu/show/id/1337369")</f>
        <v>http://ts.21cn.com/tousu/show/id/1337369</v>
      </c>
      <c r="F6509" s="2" t="s">
        <v>11</v>
      </c>
      <c r="G6509" s="2" t="s">
        <v>31357</v>
      </c>
      <c r="H6509" s="2" t="s">
        <v>31358</v>
      </c>
    </row>
    <row r="6510" spans="1:8" ht="25.05" customHeight="1" x14ac:dyDescent="0.25">
      <c r="A6510" s="2" t="s">
        <v>8</v>
      </c>
      <c r="B6510" s="2" t="str">
        <f>HYPERLINK("http://ts.21cn.com/tousu/show/id/1337415","仲裁客服判定不准确造成损失")</f>
        <v>仲裁客服判定不准确造成损失</v>
      </c>
      <c r="C6510" s="2" t="s">
        <v>9</v>
      </c>
      <c r="D6510" s="2" t="s">
        <v>10</v>
      </c>
      <c r="E6510" s="2" t="str">
        <f>HYPERLINK("http://ts.21cn.com/tousu/show/id/1337415","http://ts.21cn.com/tousu/show/id/1337415")</f>
        <v>http://ts.21cn.com/tousu/show/id/1337415</v>
      </c>
      <c r="F6510" s="2" t="s">
        <v>11</v>
      </c>
      <c r="G6510" s="2" t="s">
        <v>31355</v>
      </c>
      <c r="H6510" s="2" t="s">
        <v>31356</v>
      </c>
    </row>
    <row r="6511" spans="1:8" ht="25.05" customHeight="1" x14ac:dyDescent="0.25">
      <c r="A6511" s="2" t="s">
        <v>8</v>
      </c>
      <c r="B6511" s="2" t="str">
        <f>HYPERLINK("http://ts.21cn.com/tousu/show/id/1337416","支付宝第三方催收暴力催收")</f>
        <v>支付宝第三方催收暴力催收</v>
      </c>
      <c r="C6511" s="2" t="s">
        <v>9</v>
      </c>
      <c r="D6511" s="2" t="s">
        <v>10</v>
      </c>
      <c r="E6511" s="2" t="str">
        <f>HYPERLINK("http://ts.21cn.com/tousu/show/id/1337416","http://ts.21cn.com/tousu/show/id/1337416")</f>
        <v>http://ts.21cn.com/tousu/show/id/1337416</v>
      </c>
      <c r="F6511" s="2" t="s">
        <v>11</v>
      </c>
      <c r="G6511" s="2" t="s">
        <v>31353</v>
      </c>
      <c r="H6511" s="2" t="s">
        <v>31354</v>
      </c>
    </row>
    <row r="6512" spans="1:8" ht="25.05" customHeight="1" x14ac:dyDescent="0.25">
      <c r="A6512" s="2" t="s">
        <v>8</v>
      </c>
      <c r="B6512" s="2" t="str">
        <f>HYPERLINK("http://ts.21cn.com/tousu/show/id/1337406","快闪卡贷一直不审核联系人工一直不处理拖时间")</f>
        <v>快闪卡贷一直不审核联系人工一直不处理拖时间</v>
      </c>
      <c r="C6512" s="2" t="s">
        <v>9</v>
      </c>
      <c r="D6512" s="2" t="s">
        <v>10</v>
      </c>
      <c r="E6512" s="2" t="str">
        <f>HYPERLINK("http://ts.21cn.com/tousu/show/id/1337406","http://ts.21cn.com/tousu/show/id/1337406")</f>
        <v>http://ts.21cn.com/tousu/show/id/1337406</v>
      </c>
      <c r="F6512" s="2" t="s">
        <v>11</v>
      </c>
      <c r="G6512" s="2" t="s">
        <v>31351</v>
      </c>
      <c r="H6512" s="2" t="s">
        <v>31352</v>
      </c>
    </row>
    <row r="6513" spans="1:8" ht="25.05" customHeight="1" x14ac:dyDescent="0.25">
      <c r="A6513" s="2" t="s">
        <v>8</v>
      </c>
      <c r="B6513" s="2" t="str">
        <f>HYPERLINK("http://ts.21cn.com/tousu/show/id/1337417","比心app订单未服务却自动确认完成")</f>
        <v>比心app订单未服务却自动确认完成</v>
      </c>
      <c r="C6513" s="2" t="s">
        <v>9</v>
      </c>
      <c r="D6513" s="2" t="s">
        <v>10</v>
      </c>
      <c r="E6513" s="2" t="str">
        <f>HYPERLINK("http://ts.21cn.com/tousu/show/id/1337417","http://ts.21cn.com/tousu/show/id/1337417")</f>
        <v>http://ts.21cn.com/tousu/show/id/1337417</v>
      </c>
      <c r="F6513" s="2" t="s">
        <v>11</v>
      </c>
      <c r="G6513" s="2" t="s">
        <v>31349</v>
      </c>
      <c r="H6513" s="2" t="s">
        <v>31350</v>
      </c>
    </row>
    <row r="6514" spans="1:8" ht="25.05" customHeight="1" x14ac:dyDescent="0.25">
      <c r="A6514" s="2" t="s">
        <v>8</v>
      </c>
      <c r="B6514" s="2" t="str">
        <f>HYPERLINK("http://ts.21cn.com/tousu/show/id/1337418","年利率达到60%")</f>
        <v>年利率达到60%</v>
      </c>
      <c r="C6514" s="2" t="s">
        <v>9</v>
      </c>
      <c r="D6514" s="2" t="s">
        <v>10</v>
      </c>
      <c r="E6514" s="2" t="str">
        <f>HYPERLINK("http://ts.21cn.com/tousu/show/id/1337418","http://ts.21cn.com/tousu/show/id/1337418")</f>
        <v>http://ts.21cn.com/tousu/show/id/1337418</v>
      </c>
      <c r="F6514" s="2" t="s">
        <v>11</v>
      </c>
      <c r="G6514" s="2" t="s">
        <v>31347</v>
      </c>
      <c r="H6514" s="2" t="s">
        <v>31348</v>
      </c>
    </row>
    <row r="6515" spans="1:8" ht="25.05" customHeight="1" x14ac:dyDescent="0.25">
      <c r="A6515" s="2" t="s">
        <v>8</v>
      </c>
      <c r="B6515" s="2" t="str">
        <f>HYPERLINK("http://ts.21cn.com/tousu/show/id/1337419","退店保证金")</f>
        <v>退店保证金</v>
      </c>
      <c r="C6515" s="2" t="s">
        <v>9</v>
      </c>
      <c r="D6515" s="2" t="s">
        <v>10</v>
      </c>
      <c r="E6515" s="2" t="str">
        <f>HYPERLINK("http://ts.21cn.com/tousu/show/id/1337419","http://ts.21cn.com/tousu/show/id/1337419")</f>
        <v>http://ts.21cn.com/tousu/show/id/1337419</v>
      </c>
      <c r="F6515" s="2" t="s">
        <v>11</v>
      </c>
      <c r="G6515" s="2" t="s">
        <v>31345</v>
      </c>
      <c r="H6515" s="2" t="s">
        <v>31346</v>
      </c>
    </row>
    <row r="6516" spans="1:8" ht="25.05" customHeight="1" x14ac:dyDescent="0.25">
      <c r="A6516" s="2" t="s">
        <v>8</v>
      </c>
      <c r="B6516" s="2" t="str">
        <f>HYPERLINK("http://ts.21cn.com/tousu/show/id/1337420","今天有一个人打电话给我，说是ppmoney把我与ppmoney的贷款转交了他们催收。我想问一下ppmoney有什么权利把")</f>
        <v>今天有一个人打电话给我，说是ppmoney把我与ppmoney的贷款转交了他们催收。我想问一下ppmoney有什么权利把</v>
      </c>
      <c r="C6516" s="2" t="s">
        <v>9</v>
      </c>
      <c r="D6516" s="2" t="s">
        <v>10</v>
      </c>
      <c r="E6516" s="2" t="str">
        <f>HYPERLINK("http://ts.21cn.com/tousu/show/id/1337420","http://ts.21cn.com/tousu/show/id/1337420")</f>
        <v>http://ts.21cn.com/tousu/show/id/1337420</v>
      </c>
      <c r="F6516" s="2" t="s">
        <v>11</v>
      </c>
      <c r="G6516" s="2" t="s">
        <v>31343</v>
      </c>
      <c r="H6516" s="2" t="s">
        <v>31344</v>
      </c>
    </row>
    <row r="6517" spans="1:8" ht="25.05" customHeight="1" x14ac:dyDescent="0.25">
      <c r="A6517" s="2" t="s">
        <v>8</v>
      </c>
      <c r="B6517" s="2" t="str">
        <f>HYPERLINK("http://ts.21cn.com/tousu/show/id/1337421","汇潮支付为714高利贷提供放款渠道")</f>
        <v>汇潮支付为714高利贷提供放款渠道</v>
      </c>
      <c r="C6517" s="2" t="s">
        <v>9</v>
      </c>
      <c r="D6517" s="2" t="s">
        <v>10</v>
      </c>
      <c r="E6517" s="2" t="str">
        <f>HYPERLINK("http://ts.21cn.com/tousu/show/id/1337421","http://ts.21cn.com/tousu/show/id/1337421")</f>
        <v>http://ts.21cn.com/tousu/show/id/1337421</v>
      </c>
      <c r="F6517" s="2" t="s">
        <v>11</v>
      </c>
      <c r="G6517" s="2" t="s">
        <v>31341</v>
      </c>
      <c r="H6517" s="2" t="s">
        <v>31342</v>
      </c>
    </row>
    <row r="6518" spans="1:8" ht="25.05" customHeight="1" x14ac:dyDescent="0.25">
      <c r="A6518" s="2" t="s">
        <v>8</v>
      </c>
      <c r="B6518" s="2" t="str">
        <f>HYPERLINK("http://ts.21cn.com/tousu/show/id/1337422","借贷逾期暴力催收")</f>
        <v>借贷逾期暴力催收</v>
      </c>
      <c r="C6518" s="2" t="s">
        <v>9</v>
      </c>
      <c r="D6518" s="2" t="s">
        <v>10</v>
      </c>
      <c r="E6518" s="2" t="str">
        <f>HYPERLINK("http://ts.21cn.com/tousu/show/id/1337422","http://ts.21cn.com/tousu/show/id/1337422")</f>
        <v>http://ts.21cn.com/tousu/show/id/1337422</v>
      </c>
      <c r="F6518" s="2" t="s">
        <v>11</v>
      </c>
      <c r="G6518" s="2" t="s">
        <v>31339</v>
      </c>
      <c r="H6518" s="2" t="s">
        <v>31340</v>
      </c>
    </row>
    <row r="6519" spans="1:8" ht="25.05" customHeight="1" x14ac:dyDescent="0.25">
      <c r="A6519" s="2" t="s">
        <v>8</v>
      </c>
      <c r="B6519" s="2" t="str">
        <f>HYPERLINK("http://ts.21cn.com/tousu/show/id/1337381","白条分期私自扣我银行卡里199元钱，说是会员费")</f>
        <v>白条分期私自扣我银行卡里199元钱，说是会员费</v>
      </c>
      <c r="C6519" s="2" t="s">
        <v>9</v>
      </c>
      <c r="D6519" s="2" t="s">
        <v>10</v>
      </c>
      <c r="E6519" s="2" t="str">
        <f>HYPERLINK("http://ts.21cn.com/tousu/show/id/1337381","http://ts.21cn.com/tousu/show/id/1337381")</f>
        <v>http://ts.21cn.com/tousu/show/id/1337381</v>
      </c>
      <c r="F6519" s="2" t="s">
        <v>11</v>
      </c>
      <c r="G6519" s="2" t="s">
        <v>31337</v>
      </c>
      <c r="H6519" s="2" t="s">
        <v>31338</v>
      </c>
    </row>
    <row r="6520" spans="1:8" ht="25.05" customHeight="1" x14ac:dyDescent="0.25">
      <c r="A6520" s="2" t="s">
        <v>8</v>
      </c>
      <c r="B6520" s="2" t="str">
        <f>HYPERLINK("http://ts.21cn.com/tousu/show/id/1337424","协商处理")</f>
        <v>协商处理</v>
      </c>
      <c r="C6520" s="2" t="s">
        <v>9</v>
      </c>
      <c r="D6520" s="2" t="s">
        <v>10</v>
      </c>
      <c r="E6520" s="2" t="str">
        <f>HYPERLINK("http://ts.21cn.com/tousu/show/id/1337424","http://ts.21cn.com/tousu/show/id/1337424")</f>
        <v>http://ts.21cn.com/tousu/show/id/1337424</v>
      </c>
      <c r="F6520" s="2" t="s">
        <v>11</v>
      </c>
      <c r="G6520" s="2" t="s">
        <v>31335</v>
      </c>
      <c r="H6520" s="2" t="s">
        <v>31336</v>
      </c>
    </row>
    <row r="6521" spans="1:8" ht="25.05" customHeight="1" x14ac:dyDescent="0.25">
      <c r="A6521" s="2" t="s">
        <v>8</v>
      </c>
      <c r="B6521" s="2" t="str">
        <f>HYPERLINK("http://ts.21cn.com/tousu/show/id/1337423","工商银行催收态度蛮横")</f>
        <v>工商银行催收态度蛮横</v>
      </c>
      <c r="C6521" s="2" t="s">
        <v>9</v>
      </c>
      <c r="D6521" s="2" t="s">
        <v>10</v>
      </c>
      <c r="E6521" s="2" t="str">
        <f>HYPERLINK("http://ts.21cn.com/tousu/show/id/1337423","http://ts.21cn.com/tousu/show/id/1337423")</f>
        <v>http://ts.21cn.com/tousu/show/id/1337423</v>
      </c>
      <c r="F6521" s="2" t="s">
        <v>11</v>
      </c>
      <c r="G6521" s="2" t="s">
        <v>31333</v>
      </c>
      <c r="H6521" s="2" t="s">
        <v>31334</v>
      </c>
    </row>
    <row r="6522" spans="1:8" ht="25.05" customHeight="1" x14ac:dyDescent="0.25">
      <c r="A6522" s="2" t="s">
        <v>8</v>
      </c>
      <c r="B6522" s="2" t="str">
        <f>HYPERLINK("http://ts.21cn.com/tousu/show/id/1337426","拍拍贷暴力催收无视监管")</f>
        <v>拍拍贷暴力催收无视监管</v>
      </c>
      <c r="C6522" s="2" t="s">
        <v>9</v>
      </c>
      <c r="D6522" s="2" t="s">
        <v>10</v>
      </c>
      <c r="E6522" s="2" t="str">
        <f>HYPERLINK("http://ts.21cn.com/tousu/show/id/1337426","http://ts.21cn.com/tousu/show/id/1337426")</f>
        <v>http://ts.21cn.com/tousu/show/id/1337426</v>
      </c>
      <c r="F6522" s="2" t="s">
        <v>11</v>
      </c>
      <c r="G6522" s="2" t="s">
        <v>31331</v>
      </c>
      <c r="H6522" s="2" t="s">
        <v>31332</v>
      </c>
    </row>
    <row r="6523" spans="1:8" ht="25.05" customHeight="1" x14ac:dyDescent="0.25">
      <c r="A6523" s="2" t="s">
        <v>8</v>
      </c>
      <c r="B6523" s="2" t="str">
        <f>HYPERLINK("http://ts.21cn.com/tousu/show/id/1337427","骚扰电话")</f>
        <v>骚扰电话</v>
      </c>
      <c r="C6523" s="2" t="s">
        <v>9</v>
      </c>
      <c r="D6523" s="2" t="s">
        <v>10</v>
      </c>
      <c r="E6523" s="2" t="str">
        <f>HYPERLINK("http://ts.21cn.com/tousu/show/id/1337427","http://ts.21cn.com/tousu/show/id/1337427")</f>
        <v>http://ts.21cn.com/tousu/show/id/1337427</v>
      </c>
      <c r="F6523" s="2" t="s">
        <v>11</v>
      </c>
      <c r="G6523" s="2" t="s">
        <v>31329</v>
      </c>
      <c r="H6523" s="2" t="s">
        <v>31330</v>
      </c>
    </row>
    <row r="6524" spans="1:8" ht="25.05" customHeight="1" x14ac:dyDescent="0.25">
      <c r="A6524" s="2" t="s">
        <v>8</v>
      </c>
      <c r="B6524" s="2" t="str">
        <f>HYPERLINK("http://ts.21cn.com/tousu/show/id/1337428","信用管家借钱里面聚宝来高利贷砍头息")</f>
        <v>信用管家借钱里面聚宝来高利贷砍头息</v>
      </c>
      <c r="C6524" s="2" t="s">
        <v>9</v>
      </c>
      <c r="D6524" s="2" t="s">
        <v>10</v>
      </c>
      <c r="E6524" s="2" t="str">
        <f>HYPERLINK("http://ts.21cn.com/tousu/show/id/1337428","http://ts.21cn.com/tousu/show/id/1337428")</f>
        <v>http://ts.21cn.com/tousu/show/id/1337428</v>
      </c>
      <c r="F6524" s="2" t="s">
        <v>11</v>
      </c>
      <c r="G6524" s="2" t="s">
        <v>31327</v>
      </c>
      <c r="H6524" s="2" t="s">
        <v>31328</v>
      </c>
    </row>
    <row r="6525" spans="1:8" ht="25.05" customHeight="1" x14ac:dyDescent="0.25">
      <c r="A6525" s="2" t="s">
        <v>8</v>
      </c>
      <c r="B6525" s="2" t="str">
        <f>HYPERLINK("http://ts.21cn.com/tousu/show/id/1337429","无缘无故扣了84元")</f>
        <v>无缘无故扣了84元</v>
      </c>
      <c r="C6525" s="2" t="s">
        <v>9</v>
      </c>
      <c r="D6525" s="2" t="s">
        <v>10</v>
      </c>
      <c r="E6525" s="2" t="str">
        <f>HYPERLINK("http://ts.21cn.com/tousu/show/id/1337429","http://ts.21cn.com/tousu/show/id/1337429")</f>
        <v>http://ts.21cn.com/tousu/show/id/1337429</v>
      </c>
      <c r="F6525" s="2" t="s">
        <v>11</v>
      </c>
      <c r="G6525" s="2" t="s">
        <v>31325</v>
      </c>
      <c r="H6525" s="2" t="s">
        <v>31326</v>
      </c>
    </row>
    <row r="6526" spans="1:8" ht="25.05" customHeight="1" x14ac:dyDescent="0.25">
      <c r="A6526" s="2" t="s">
        <v>8</v>
      </c>
      <c r="B6526" s="2" t="str">
        <f>HYPERLINK("http://ts.21cn.com/tousu/show/id/1337430","鼎盛催收")</f>
        <v>鼎盛催收</v>
      </c>
      <c r="C6526" s="2" t="s">
        <v>9</v>
      </c>
      <c r="D6526" s="2" t="s">
        <v>10</v>
      </c>
      <c r="E6526" s="2" t="str">
        <f>HYPERLINK("http://ts.21cn.com/tousu/show/id/1337430","http://ts.21cn.com/tousu/show/id/1337430")</f>
        <v>http://ts.21cn.com/tousu/show/id/1337430</v>
      </c>
      <c r="F6526" s="2" t="s">
        <v>11</v>
      </c>
      <c r="G6526" s="2" t="s">
        <v>31323</v>
      </c>
      <c r="H6526" s="2" t="s">
        <v>31324</v>
      </c>
    </row>
    <row r="6527" spans="1:8" ht="25.05" customHeight="1" x14ac:dyDescent="0.25">
      <c r="A6527" s="2" t="s">
        <v>8</v>
      </c>
      <c r="B6527" s="2" t="str">
        <f>HYPERLINK("http://ts.21cn.com/tousu/show/id/1337431","汽车票无法退票")</f>
        <v>汽车票无法退票</v>
      </c>
      <c r="C6527" s="2" t="s">
        <v>9</v>
      </c>
      <c r="D6527" s="2" t="s">
        <v>10</v>
      </c>
      <c r="E6527" s="2" t="str">
        <f>HYPERLINK("http://ts.21cn.com/tousu/show/id/1337431","http://ts.21cn.com/tousu/show/id/1337431")</f>
        <v>http://ts.21cn.com/tousu/show/id/1337431</v>
      </c>
      <c r="F6527" s="2" t="s">
        <v>11</v>
      </c>
      <c r="G6527" s="2" t="s">
        <v>31321</v>
      </c>
      <c r="H6527" s="2" t="s">
        <v>31322</v>
      </c>
    </row>
    <row r="6528" spans="1:8" ht="25.05" customHeight="1" x14ac:dyDescent="0.25">
      <c r="A6528" s="2" t="s">
        <v>8</v>
      </c>
      <c r="B6528" s="2" t="str">
        <f>HYPERLINK("http://ts.21cn.com/tousu/show/id/1337374","转转仲裁严重偏袒买家使得卖家利益受损")</f>
        <v>转转仲裁严重偏袒买家使得卖家利益受损</v>
      </c>
      <c r="C6528" s="2" t="s">
        <v>9</v>
      </c>
      <c r="D6528" s="2" t="s">
        <v>10</v>
      </c>
      <c r="E6528" s="2" t="str">
        <f>HYPERLINK("http://ts.21cn.com/tousu/show/id/1337374","http://ts.21cn.com/tousu/show/id/1337374")</f>
        <v>http://ts.21cn.com/tousu/show/id/1337374</v>
      </c>
      <c r="F6528" s="2" t="s">
        <v>11</v>
      </c>
      <c r="G6528" s="2" t="s">
        <v>31319</v>
      </c>
      <c r="H6528" s="2" t="s">
        <v>31320</v>
      </c>
    </row>
    <row r="6529" spans="1:8" ht="25.05" customHeight="1" x14ac:dyDescent="0.25">
      <c r="A6529" s="2" t="s">
        <v>8</v>
      </c>
      <c r="B6529" s="2" t="str">
        <f>HYPERLINK("http://ts.21cn.com/tousu/show/id/1337439","小赢轰炸式骚扰通讯录亲戚朋友")</f>
        <v>小赢轰炸式骚扰通讯录亲戚朋友</v>
      </c>
      <c r="C6529" s="2" t="s">
        <v>9</v>
      </c>
      <c r="D6529" s="2" t="s">
        <v>10</v>
      </c>
      <c r="E6529" s="2" t="str">
        <f>HYPERLINK("http://ts.21cn.com/tousu/show/id/1337439","http://ts.21cn.com/tousu/show/id/1337439")</f>
        <v>http://ts.21cn.com/tousu/show/id/1337439</v>
      </c>
      <c r="F6529" s="2" t="s">
        <v>11</v>
      </c>
      <c r="G6529" s="2" t="s">
        <v>31316</v>
      </c>
      <c r="H6529" s="2" t="s">
        <v>31317</v>
      </c>
    </row>
    <row r="6530" spans="1:8" ht="25.05" customHeight="1" x14ac:dyDescent="0.25">
      <c r="A6530" s="2" t="s">
        <v>8</v>
      </c>
      <c r="B6530" s="2" t="str">
        <f>HYPERLINK("http://ts.21cn.com/tousu/show/id/1337437","骚扰父母，威胁诱导父母还款")</f>
        <v>骚扰父母，威胁诱导父母还款</v>
      </c>
      <c r="C6530" s="2" t="s">
        <v>9</v>
      </c>
      <c r="D6530" s="2" t="s">
        <v>10</v>
      </c>
      <c r="E6530" s="2" t="str">
        <f>HYPERLINK("http://ts.21cn.com/tousu/show/id/1337437","http://ts.21cn.com/tousu/show/id/1337437")</f>
        <v>http://ts.21cn.com/tousu/show/id/1337437</v>
      </c>
      <c r="F6530" s="2" t="s">
        <v>11</v>
      </c>
      <c r="G6530" s="2" t="s">
        <v>31316</v>
      </c>
      <c r="H6530" s="2" t="s">
        <v>31318</v>
      </c>
    </row>
    <row r="6531" spans="1:8" ht="25.05" customHeight="1" x14ac:dyDescent="0.25">
      <c r="A6531" s="2" t="s">
        <v>8</v>
      </c>
      <c r="B6531" s="2" t="str">
        <f>HYPERLINK("http://ts.21cn.com/tousu/show/id/1337433","无法注销账号，")</f>
        <v>无法注销账号，</v>
      </c>
      <c r="C6531" s="2" t="s">
        <v>9</v>
      </c>
      <c r="D6531" s="2" t="s">
        <v>10</v>
      </c>
      <c r="E6531" s="2" t="str">
        <f>HYPERLINK("http://ts.21cn.com/tousu/show/id/1337433","http://ts.21cn.com/tousu/show/id/1337433")</f>
        <v>http://ts.21cn.com/tousu/show/id/1337433</v>
      </c>
      <c r="F6531" s="2" t="s">
        <v>11</v>
      </c>
      <c r="G6531" s="2" t="s">
        <v>31314</v>
      </c>
      <c r="H6531" s="2" t="s">
        <v>31315</v>
      </c>
    </row>
    <row r="6532" spans="1:8" ht="25.05" customHeight="1" x14ac:dyDescent="0.25">
      <c r="A6532" s="2" t="s">
        <v>8</v>
      </c>
      <c r="B6532" s="2" t="str">
        <f>HYPERLINK("http://ts.21cn.com/tousu/show/id/1337435","电话骚扰、辱骂通讯录、协商还款")</f>
        <v>电话骚扰、辱骂通讯录、协商还款</v>
      </c>
      <c r="C6532" s="2" t="s">
        <v>9</v>
      </c>
      <c r="D6532" s="2" t="s">
        <v>10</v>
      </c>
      <c r="E6532" s="2" t="str">
        <f>HYPERLINK("http://ts.21cn.com/tousu/show/id/1337435","http://ts.21cn.com/tousu/show/id/1337435")</f>
        <v>http://ts.21cn.com/tousu/show/id/1337435</v>
      </c>
      <c r="F6532" s="2" t="s">
        <v>11</v>
      </c>
      <c r="G6532" s="2" t="s">
        <v>31312</v>
      </c>
      <c r="H6532" s="2" t="s">
        <v>31313</v>
      </c>
    </row>
    <row r="6533" spans="1:8" ht="25.05" customHeight="1" x14ac:dyDescent="0.25">
      <c r="A6533" s="2" t="s">
        <v>8</v>
      </c>
      <c r="B6533" s="2" t="str">
        <f>HYPERLINK("http://ts.21cn.com/tousu/show/id/1337434","网贷")</f>
        <v>网贷</v>
      </c>
      <c r="C6533" s="2" t="s">
        <v>9</v>
      </c>
      <c r="D6533" s="2" t="s">
        <v>10</v>
      </c>
      <c r="E6533" s="2" t="str">
        <f>HYPERLINK("http://ts.21cn.com/tousu/show/id/1337434","http://ts.21cn.com/tousu/show/id/1337434")</f>
        <v>http://ts.21cn.com/tousu/show/id/1337434</v>
      </c>
      <c r="F6533" s="2" t="s">
        <v>11</v>
      </c>
      <c r="G6533" s="2" t="s">
        <v>31310</v>
      </c>
      <c r="H6533" s="2" t="s">
        <v>31311</v>
      </c>
    </row>
    <row r="6534" spans="1:8" ht="25.05" customHeight="1" x14ac:dyDescent="0.25">
      <c r="A6534" s="2" t="s">
        <v>8</v>
      </c>
      <c r="B6534" s="2" t="str">
        <f>HYPERLINK("http://ts.21cn.com/tousu/show/id/1337436","不当催收，在能联系本人的情况下，骚扰家人")</f>
        <v>不当催收，在能联系本人的情况下，骚扰家人</v>
      </c>
      <c r="C6534" s="2" t="s">
        <v>9</v>
      </c>
      <c r="D6534" s="2" t="s">
        <v>10</v>
      </c>
      <c r="E6534" s="2" t="str">
        <f>HYPERLINK("http://ts.21cn.com/tousu/show/id/1337436","http://ts.21cn.com/tousu/show/id/1337436")</f>
        <v>http://ts.21cn.com/tousu/show/id/1337436</v>
      </c>
      <c r="F6534" s="2" t="s">
        <v>11</v>
      </c>
      <c r="G6534" s="2" t="s">
        <v>31308</v>
      </c>
      <c r="H6534" s="2" t="s">
        <v>31309</v>
      </c>
    </row>
    <row r="6535" spans="1:8" ht="25.05" customHeight="1" x14ac:dyDescent="0.25">
      <c r="A6535" s="2" t="s">
        <v>8</v>
      </c>
      <c r="B6535" s="2" t="str">
        <f>HYPERLINK("http://ts.21cn.com/tousu/show/id/1337438","牛人有品高利贷，威胁人生安全")</f>
        <v>牛人有品高利贷，威胁人生安全</v>
      </c>
      <c r="C6535" s="2" t="s">
        <v>9</v>
      </c>
      <c r="D6535" s="2" t="s">
        <v>10</v>
      </c>
      <c r="E6535" s="2" t="str">
        <f>HYPERLINK("http://ts.21cn.com/tousu/show/id/1337438","http://ts.21cn.com/tousu/show/id/1337438")</f>
        <v>http://ts.21cn.com/tousu/show/id/1337438</v>
      </c>
      <c r="F6535" s="2" t="s">
        <v>11</v>
      </c>
      <c r="G6535" s="2" t="s">
        <v>31306</v>
      </c>
      <c r="H6535" s="2" t="s">
        <v>31307</v>
      </c>
    </row>
    <row r="6536" spans="1:8" ht="25.05" customHeight="1" x14ac:dyDescent="0.25">
      <c r="A6536" s="2" t="s">
        <v>8</v>
      </c>
      <c r="B6536" s="2" t="str">
        <f>HYPERLINK("http://ts.21cn.com/tousu/show/id/1337440","马上消费金融骚扰催收，协商还款")</f>
        <v>马上消费金融骚扰催收，协商还款</v>
      </c>
      <c r="C6536" s="2" t="s">
        <v>9</v>
      </c>
      <c r="D6536" s="2" t="s">
        <v>10</v>
      </c>
      <c r="E6536" s="2" t="str">
        <f>HYPERLINK("http://ts.21cn.com/tousu/show/id/1337440","http://ts.21cn.com/tousu/show/id/1337440")</f>
        <v>http://ts.21cn.com/tousu/show/id/1337440</v>
      </c>
      <c r="F6536" s="2" t="s">
        <v>11</v>
      </c>
      <c r="G6536" s="2" t="s">
        <v>31304</v>
      </c>
      <c r="H6536" s="2" t="s">
        <v>31305</v>
      </c>
    </row>
    <row r="6537" spans="1:8" ht="25.05" customHeight="1" x14ac:dyDescent="0.25">
      <c r="A6537" s="2" t="s">
        <v>8</v>
      </c>
      <c r="B6537" s="2" t="str">
        <f>HYPERLINK("http://ts.21cn.com/tousu/show/id/1337441","钱站月光侠分期非法收取高额砍头息，不符合国家相关规定！")</f>
        <v>钱站月光侠分期非法收取高额砍头息，不符合国家相关规定！</v>
      </c>
      <c r="C6537" s="2" t="s">
        <v>9</v>
      </c>
      <c r="D6537" s="2" t="s">
        <v>10</v>
      </c>
      <c r="E6537" s="2" t="str">
        <f>HYPERLINK("http://ts.21cn.com/tousu/show/id/1337441","http://ts.21cn.com/tousu/show/id/1337441")</f>
        <v>http://ts.21cn.com/tousu/show/id/1337441</v>
      </c>
      <c r="F6537" s="2" t="s">
        <v>11</v>
      </c>
      <c r="G6537" s="2" t="s">
        <v>31302</v>
      </c>
      <c r="H6537" s="2" t="s">
        <v>31303</v>
      </c>
    </row>
    <row r="6538" spans="1:8" ht="25.05" customHeight="1" x14ac:dyDescent="0.25">
      <c r="A6538" s="2" t="s">
        <v>8</v>
      </c>
      <c r="B6538" s="2" t="str">
        <f>HYPERLINK("http://ts.21cn.com/tousu/show/id/1337445","第三方支付平台为网络赌博提供支付")</f>
        <v>第三方支付平台为网络赌博提供支付</v>
      </c>
      <c r="C6538" s="2" t="s">
        <v>9</v>
      </c>
      <c r="D6538" s="2" t="s">
        <v>10</v>
      </c>
      <c r="E6538" s="2" t="str">
        <f>HYPERLINK("http://ts.21cn.com/tousu/show/id/1337445","http://ts.21cn.com/tousu/show/id/1337445")</f>
        <v>http://ts.21cn.com/tousu/show/id/1337445</v>
      </c>
      <c r="F6538" s="2" t="s">
        <v>11</v>
      </c>
      <c r="G6538" s="2" t="s">
        <v>31300</v>
      </c>
      <c r="H6538" s="2" t="s">
        <v>31301</v>
      </c>
    </row>
    <row r="6539" spans="1:8" ht="25.05" customHeight="1" x14ac:dyDescent="0.25">
      <c r="A6539" s="2" t="s">
        <v>8</v>
      </c>
      <c r="B6539" s="2" t="str">
        <f>HYPERLINK("http://ts.21cn.com/tousu/show/id/1337444","7天无理由不退货")</f>
        <v>7天无理由不退货</v>
      </c>
      <c r="C6539" s="2" t="s">
        <v>9</v>
      </c>
      <c r="D6539" s="2" t="s">
        <v>10</v>
      </c>
      <c r="E6539" s="2" t="str">
        <f>HYPERLINK("http://ts.21cn.com/tousu/show/id/1337444","http://ts.21cn.com/tousu/show/id/1337444")</f>
        <v>http://ts.21cn.com/tousu/show/id/1337444</v>
      </c>
      <c r="F6539" s="2" t="s">
        <v>11</v>
      </c>
      <c r="G6539" s="2" t="s">
        <v>31298</v>
      </c>
      <c r="H6539" s="2" t="s">
        <v>31299</v>
      </c>
    </row>
    <row r="6540" spans="1:8" ht="25.05" customHeight="1" x14ac:dyDescent="0.25">
      <c r="A6540" s="2" t="s">
        <v>8</v>
      </c>
      <c r="B6540" s="2" t="str">
        <f>HYPERLINK("http://ts.21cn.com/tousu/show/id/1337446","钱站，爱钱进暴力催收套路贷工作搞丢了")</f>
        <v>钱站，爱钱进暴力催收套路贷工作搞丢了</v>
      </c>
      <c r="C6540" s="2" t="s">
        <v>9</v>
      </c>
      <c r="D6540" s="2" t="s">
        <v>10</v>
      </c>
      <c r="E6540" s="2" t="str">
        <f>HYPERLINK("http://ts.21cn.com/tousu/show/id/1337446","http://ts.21cn.com/tousu/show/id/1337446")</f>
        <v>http://ts.21cn.com/tousu/show/id/1337446</v>
      </c>
      <c r="F6540" s="2" t="s">
        <v>11</v>
      </c>
      <c r="G6540" s="2" t="s">
        <v>31296</v>
      </c>
      <c r="H6540" s="2" t="s">
        <v>31297</v>
      </c>
    </row>
    <row r="6541" spans="1:8" ht="25.05" customHeight="1" x14ac:dyDescent="0.25">
      <c r="A6541" s="2" t="s">
        <v>8</v>
      </c>
      <c r="B6541" s="2" t="str">
        <f>HYPERLINK("http://ts.21cn.com/tousu/show/id/1337447","网贷利息过高")</f>
        <v>网贷利息过高</v>
      </c>
      <c r="C6541" s="2" t="s">
        <v>9</v>
      </c>
      <c r="D6541" s="2" t="s">
        <v>10</v>
      </c>
      <c r="E6541" s="2" t="str">
        <f>HYPERLINK("http://ts.21cn.com/tousu/show/id/1337447","http://ts.21cn.com/tousu/show/id/1337447")</f>
        <v>http://ts.21cn.com/tousu/show/id/1337447</v>
      </c>
      <c r="F6541" s="2" t="s">
        <v>11</v>
      </c>
      <c r="G6541" s="2" t="s">
        <v>31294</v>
      </c>
      <c r="H6541" s="2" t="s">
        <v>31295</v>
      </c>
    </row>
    <row r="6542" spans="1:8" ht="25.05" customHeight="1" x14ac:dyDescent="0.25">
      <c r="A6542" s="2" t="s">
        <v>8</v>
      </c>
      <c r="B6542" s="2" t="str">
        <f>HYPERLINK("http://ts.21cn.com/tousu/show/id/1337448","小花钱包恐吓威胁")</f>
        <v>小花钱包恐吓威胁</v>
      </c>
      <c r="C6542" s="2" t="s">
        <v>9</v>
      </c>
      <c r="D6542" s="2" t="s">
        <v>10</v>
      </c>
      <c r="E6542" s="2" t="str">
        <f>HYPERLINK("http://ts.21cn.com/tousu/show/id/1337448","http://ts.21cn.com/tousu/show/id/1337448")</f>
        <v>http://ts.21cn.com/tousu/show/id/1337448</v>
      </c>
      <c r="F6542" s="2" t="s">
        <v>11</v>
      </c>
      <c r="G6542" s="2" t="s">
        <v>31292</v>
      </c>
      <c r="H6542" s="2" t="s">
        <v>31293</v>
      </c>
    </row>
    <row r="6543" spans="1:8" ht="25.05" customHeight="1" x14ac:dyDescent="0.25">
      <c r="A6543" s="2" t="s">
        <v>8</v>
      </c>
      <c r="B6543" s="2" t="str">
        <f>HYPERLINK("http://ts.21cn.com/tousu/show/id/1337450","交易猫仲裁订单处理一直不答复")</f>
        <v>交易猫仲裁订单处理一直不答复</v>
      </c>
      <c r="C6543" s="2" t="s">
        <v>9</v>
      </c>
      <c r="D6543" s="2" t="s">
        <v>10</v>
      </c>
      <c r="E6543" s="2" t="str">
        <f>HYPERLINK("http://ts.21cn.com/tousu/show/id/1337450","http://ts.21cn.com/tousu/show/id/1337450")</f>
        <v>http://ts.21cn.com/tousu/show/id/1337450</v>
      </c>
      <c r="F6543" s="2" t="s">
        <v>11</v>
      </c>
      <c r="G6543" s="2" t="s">
        <v>31290</v>
      </c>
      <c r="H6543" s="2" t="s">
        <v>31291</v>
      </c>
    </row>
    <row r="6544" spans="1:8" ht="25.05" customHeight="1" x14ac:dyDescent="0.25">
      <c r="A6544" s="2" t="s">
        <v>8</v>
      </c>
      <c r="B6544" s="2" t="str">
        <f>HYPERLINK("http://ts.21cn.com/tousu/show/id/1337451","首汽约车乘客不付款平台不垫付给司机")</f>
        <v>首汽约车乘客不付款平台不垫付给司机</v>
      </c>
      <c r="C6544" s="2" t="s">
        <v>9</v>
      </c>
      <c r="D6544" s="2" t="s">
        <v>10</v>
      </c>
      <c r="E6544" s="2" t="str">
        <f>HYPERLINK("http://ts.21cn.com/tousu/show/id/1337451","http://ts.21cn.com/tousu/show/id/1337451")</f>
        <v>http://ts.21cn.com/tousu/show/id/1337451</v>
      </c>
      <c r="F6544" s="2" t="s">
        <v>11</v>
      </c>
      <c r="G6544" s="2" t="s">
        <v>31288</v>
      </c>
      <c r="H6544" s="2" t="s">
        <v>31289</v>
      </c>
    </row>
    <row r="6545" spans="1:8" ht="25.05" customHeight="1" x14ac:dyDescent="0.25">
      <c r="A6545" s="2" t="s">
        <v>8</v>
      </c>
      <c r="B6545" s="2" t="str">
        <f>HYPERLINK("http://ts.21cn.com/tousu/show/id/1337452","百度钱包（度小满金融）北京号码软暴力催收，爆通讯录")</f>
        <v>百度钱包（度小满金融）北京号码软暴力催收，爆通讯录</v>
      </c>
      <c r="C6545" s="2" t="s">
        <v>9</v>
      </c>
      <c r="D6545" s="2" t="s">
        <v>10</v>
      </c>
      <c r="E6545" s="2" t="str">
        <f>HYPERLINK("http://ts.21cn.com/tousu/show/id/1337452","http://ts.21cn.com/tousu/show/id/1337452")</f>
        <v>http://ts.21cn.com/tousu/show/id/1337452</v>
      </c>
      <c r="F6545" s="2" t="s">
        <v>11</v>
      </c>
      <c r="G6545" s="2" t="s">
        <v>31286</v>
      </c>
      <c r="H6545" s="2" t="s">
        <v>31287</v>
      </c>
    </row>
    <row r="6546" spans="1:8" ht="25.05" customHeight="1" x14ac:dyDescent="0.25">
      <c r="A6546" s="2" t="s">
        <v>8</v>
      </c>
      <c r="B6546" s="2" t="str">
        <f>HYPERLINK("http://ts.21cn.com/tousu/show/id/1337453","信用管家app里的诚薪贷")</f>
        <v>信用管家app里的诚薪贷</v>
      </c>
      <c r="C6546" s="2" t="s">
        <v>9</v>
      </c>
      <c r="D6546" s="2" t="s">
        <v>10</v>
      </c>
      <c r="E6546" s="2" t="str">
        <f>HYPERLINK("http://ts.21cn.com/tousu/show/id/1337453","http://ts.21cn.com/tousu/show/id/1337453")</f>
        <v>http://ts.21cn.com/tousu/show/id/1337453</v>
      </c>
      <c r="F6546" s="2" t="s">
        <v>11</v>
      </c>
      <c r="G6546" s="2" t="s">
        <v>31284</v>
      </c>
      <c r="H6546" s="2" t="s">
        <v>31285</v>
      </c>
    </row>
    <row r="6547" spans="1:8" ht="25.05" customHeight="1" x14ac:dyDescent="0.25">
      <c r="A6547" s="2" t="s">
        <v>8</v>
      </c>
      <c r="B6547" s="2" t="str">
        <f>HYPERLINK("http://ts.21cn.com/tousu/show/id/1337454","蜜瓜钱包砍头息")</f>
        <v>蜜瓜钱包砍头息</v>
      </c>
      <c r="C6547" s="2" t="s">
        <v>9</v>
      </c>
      <c r="D6547" s="2" t="s">
        <v>10</v>
      </c>
      <c r="E6547" s="2" t="str">
        <f>HYPERLINK("http://ts.21cn.com/tousu/show/id/1337454","http://ts.21cn.com/tousu/show/id/1337454")</f>
        <v>http://ts.21cn.com/tousu/show/id/1337454</v>
      </c>
      <c r="F6547" s="2" t="s">
        <v>11</v>
      </c>
      <c r="G6547" s="2" t="s">
        <v>31282</v>
      </c>
      <c r="H6547" s="2" t="s">
        <v>31283</v>
      </c>
    </row>
    <row r="6548" spans="1:8" ht="25.05" customHeight="1" x14ac:dyDescent="0.25">
      <c r="A6548" s="2" t="s">
        <v>8</v>
      </c>
      <c r="B6548" s="2" t="str">
        <f>HYPERLINK("http://ts.21cn.com/tousu/show/id/1337456","暴力催收,恐吓,骚扰")</f>
        <v>暴力催收,恐吓,骚扰</v>
      </c>
      <c r="C6548" s="2" t="s">
        <v>9</v>
      </c>
      <c r="D6548" s="2" t="s">
        <v>10</v>
      </c>
      <c r="E6548" s="2" t="str">
        <f>HYPERLINK("http://ts.21cn.com/tousu/show/id/1337456","http://ts.21cn.com/tousu/show/id/1337456")</f>
        <v>http://ts.21cn.com/tousu/show/id/1337456</v>
      </c>
      <c r="F6548" s="2" t="s">
        <v>11</v>
      </c>
      <c r="G6548" s="2" t="s">
        <v>31280</v>
      </c>
      <c r="H6548" s="2" t="s">
        <v>31281</v>
      </c>
    </row>
    <row r="6549" spans="1:8" ht="25.05" customHeight="1" x14ac:dyDescent="0.25">
      <c r="A6549" s="2" t="s">
        <v>8</v>
      </c>
      <c r="B6549" s="2" t="str">
        <f>HYPERLINK("http://ts.21cn.com/tousu/show/id/1337457","给你花月光侠白条，高利贷")</f>
        <v>给你花月光侠白条，高利贷</v>
      </c>
      <c r="C6549" s="2" t="s">
        <v>9</v>
      </c>
      <c r="D6549" s="2" t="s">
        <v>10</v>
      </c>
      <c r="E6549" s="2" t="str">
        <f>HYPERLINK("http://ts.21cn.com/tousu/show/id/1337457","http://ts.21cn.com/tousu/show/id/1337457")</f>
        <v>http://ts.21cn.com/tousu/show/id/1337457</v>
      </c>
      <c r="F6549" s="2" t="s">
        <v>11</v>
      </c>
      <c r="G6549" s="2" t="s">
        <v>31278</v>
      </c>
      <c r="H6549" s="2" t="s">
        <v>31279</v>
      </c>
    </row>
    <row r="6550" spans="1:8" ht="25.05" customHeight="1" x14ac:dyDescent="0.25">
      <c r="A6550" s="2" t="s">
        <v>8</v>
      </c>
      <c r="B6550" s="2" t="str">
        <f>HYPERLINK("http://ts.21cn.com/tousu/show/id/1337442","小带鱼贷款至人恶意俞期")</f>
        <v>小带鱼贷款至人恶意俞期</v>
      </c>
      <c r="C6550" s="2" t="s">
        <v>9</v>
      </c>
      <c r="D6550" s="2" t="s">
        <v>10</v>
      </c>
      <c r="E6550" s="2" t="str">
        <f>HYPERLINK("http://ts.21cn.com/tousu/show/id/1337442","http://ts.21cn.com/tousu/show/id/1337442")</f>
        <v>http://ts.21cn.com/tousu/show/id/1337442</v>
      </c>
      <c r="F6550" s="2" t="s">
        <v>11</v>
      </c>
      <c r="G6550" s="2" t="s">
        <v>31276</v>
      </c>
      <c r="H6550" s="2" t="s">
        <v>31277</v>
      </c>
    </row>
    <row r="6551" spans="1:8" ht="25.05" customHeight="1" x14ac:dyDescent="0.25">
      <c r="A6551" s="2" t="s">
        <v>8</v>
      </c>
      <c r="B6551" s="2" t="str">
        <f>HYPERLINK("http://ts.21cn.com/tousu/show/id/1337458","高利贷暴力催收")</f>
        <v>高利贷暴力催收</v>
      </c>
      <c r="C6551" s="2" t="s">
        <v>9</v>
      </c>
      <c r="D6551" s="2" t="s">
        <v>10</v>
      </c>
      <c r="E6551" s="2" t="str">
        <f>HYPERLINK("http://ts.21cn.com/tousu/show/id/1337458","http://ts.21cn.com/tousu/show/id/1337458")</f>
        <v>http://ts.21cn.com/tousu/show/id/1337458</v>
      </c>
      <c r="F6551" s="2" t="s">
        <v>11</v>
      </c>
      <c r="G6551" s="2" t="s">
        <v>31274</v>
      </c>
      <c r="H6551" s="2" t="s">
        <v>31275</v>
      </c>
    </row>
    <row r="6552" spans="1:8" ht="25.05" customHeight="1" x14ac:dyDescent="0.25">
      <c r="A6552" s="2" t="s">
        <v>8</v>
      </c>
      <c r="B6552" s="2" t="str">
        <f>HYPERLINK("http://ts.21cn.com/tousu/show/id/1337459","被恶意骚扰假催收")</f>
        <v>被恶意骚扰假催收</v>
      </c>
      <c r="C6552" s="2" t="s">
        <v>9</v>
      </c>
      <c r="D6552" s="2" t="s">
        <v>10</v>
      </c>
      <c r="E6552" s="2" t="str">
        <f>HYPERLINK("http://ts.21cn.com/tousu/show/id/1337459","http://ts.21cn.com/tousu/show/id/1337459")</f>
        <v>http://ts.21cn.com/tousu/show/id/1337459</v>
      </c>
      <c r="F6552" s="2" t="s">
        <v>11</v>
      </c>
      <c r="G6552" s="2" t="s">
        <v>31272</v>
      </c>
      <c r="H6552" s="2" t="s">
        <v>31273</v>
      </c>
    </row>
    <row r="6553" spans="1:8" ht="25.05" customHeight="1" x14ac:dyDescent="0.25">
      <c r="A6553" s="2" t="s">
        <v>8</v>
      </c>
      <c r="B6553" s="2" t="str">
        <f>HYPERLINK("http://ts.21cn.com/tousu/show/id/1337460","王者荣耀儿童误充值")</f>
        <v>王者荣耀儿童误充值</v>
      </c>
      <c r="C6553" s="2" t="s">
        <v>9</v>
      </c>
      <c r="D6553" s="2" t="s">
        <v>10</v>
      </c>
      <c r="E6553" s="2" t="str">
        <f>HYPERLINK("http://ts.21cn.com/tousu/show/id/1337460","http://ts.21cn.com/tousu/show/id/1337460")</f>
        <v>http://ts.21cn.com/tousu/show/id/1337460</v>
      </c>
      <c r="F6553" s="2" t="s">
        <v>11</v>
      </c>
      <c r="G6553" s="2" t="s">
        <v>31270</v>
      </c>
      <c r="H6553" s="2" t="s">
        <v>31271</v>
      </c>
    </row>
    <row r="6554" spans="1:8" ht="25.05" customHeight="1" x14ac:dyDescent="0.25">
      <c r="A6554" s="2" t="s">
        <v>8</v>
      </c>
      <c r="B6554" s="2" t="str">
        <f>HYPERLINK("http://ts.21cn.com/tousu/show/id/1337462","时光分期百分之60.85的年利率")</f>
        <v>时光分期百分之60.85的年利率</v>
      </c>
      <c r="C6554" s="2" t="s">
        <v>34</v>
      </c>
      <c r="D6554" s="2" t="s">
        <v>10</v>
      </c>
      <c r="E6554" s="2" t="str">
        <f>HYPERLINK("http://ts.21cn.com/tousu/show/id/1337462","http://ts.21cn.com/tousu/show/id/1337462")</f>
        <v>http://ts.21cn.com/tousu/show/id/1337462</v>
      </c>
      <c r="F6554" s="2" t="s">
        <v>11</v>
      </c>
      <c r="G6554" s="2" t="s">
        <v>31268</v>
      </c>
      <c r="H6554" s="2" t="s">
        <v>31269</v>
      </c>
    </row>
    <row r="6555" spans="1:8" ht="25.05" customHeight="1" x14ac:dyDescent="0.25">
      <c r="A6555" s="2" t="s">
        <v>8</v>
      </c>
      <c r="B6555" s="2" t="str">
        <f>HYPERLINK("http://ts.21cn.com/tousu/show/id/1337463","近两个多月反映的问题，滴滴出行公司无视问题严重性，坐视不管，无任何改变，聚投诉平台监管极其不严格，对本人造成严重的损失")</f>
        <v>近两个多月反映的问题，滴滴出行公司无视问题严重性，坐视不管，无任何改变，聚投诉平台监管极其不严格，对本人造成严重的损失</v>
      </c>
      <c r="C6555" s="2" t="s">
        <v>9</v>
      </c>
      <c r="D6555" s="2" t="s">
        <v>10</v>
      </c>
      <c r="E6555" s="2" t="str">
        <f>HYPERLINK("http://ts.21cn.com/tousu/show/id/1337463","http://ts.21cn.com/tousu/show/id/1337463")</f>
        <v>http://ts.21cn.com/tousu/show/id/1337463</v>
      </c>
      <c r="F6555" s="2" t="s">
        <v>11</v>
      </c>
      <c r="G6555" s="2" t="s">
        <v>31266</v>
      </c>
      <c r="H6555" s="2" t="s">
        <v>31267</v>
      </c>
    </row>
    <row r="6556" spans="1:8" ht="25.05" customHeight="1" x14ac:dyDescent="0.25">
      <c r="A6556" s="2" t="s">
        <v>8</v>
      </c>
      <c r="B6556" s="2" t="str">
        <f>HYPERLINK("http://ts.21cn.com/tousu/show/id/1337425","混淆版本")</f>
        <v>混淆版本</v>
      </c>
      <c r="C6556" s="2" t="s">
        <v>9</v>
      </c>
      <c r="D6556" s="2" t="s">
        <v>10</v>
      </c>
      <c r="E6556" s="2" t="str">
        <f>HYPERLINK("http://ts.21cn.com/tousu/show/id/1337425","http://ts.21cn.com/tousu/show/id/1337425")</f>
        <v>http://ts.21cn.com/tousu/show/id/1337425</v>
      </c>
      <c r="F6556" s="2" t="s">
        <v>11</v>
      </c>
      <c r="G6556" s="2" t="s">
        <v>31264</v>
      </c>
      <c r="H6556" s="2" t="s">
        <v>31265</v>
      </c>
    </row>
    <row r="6557" spans="1:8" ht="25.05" customHeight="1" x14ac:dyDescent="0.25">
      <c r="A6557" s="2" t="s">
        <v>8</v>
      </c>
      <c r="B6557" s="2" t="str">
        <f>HYPERLINK("http://ts.21cn.com/tousu/show/id/1337464","快手账号注销")</f>
        <v>快手账号注销</v>
      </c>
      <c r="C6557" s="2" t="s">
        <v>9</v>
      </c>
      <c r="D6557" s="2" t="s">
        <v>10</v>
      </c>
      <c r="E6557" s="2" t="str">
        <f>HYPERLINK("http://ts.21cn.com/tousu/show/id/1337464","http://ts.21cn.com/tousu/show/id/1337464")</f>
        <v>http://ts.21cn.com/tousu/show/id/1337464</v>
      </c>
      <c r="F6557" s="2" t="s">
        <v>11</v>
      </c>
      <c r="G6557" s="2" t="s">
        <v>31262</v>
      </c>
      <c r="H6557" s="2" t="s">
        <v>31263</v>
      </c>
    </row>
    <row r="6558" spans="1:8" ht="25.05" customHeight="1" x14ac:dyDescent="0.25">
      <c r="A6558" s="2" t="s">
        <v>8</v>
      </c>
      <c r="B6558" s="2" t="str">
        <f>HYPERLINK("http://ts.21cn.com/tousu/show/id/1337465","小象优品违规发放高利贷，收取巨额利息")</f>
        <v>小象优品违规发放高利贷，收取巨额利息</v>
      </c>
      <c r="C6558" s="2" t="s">
        <v>9</v>
      </c>
      <c r="D6558" s="2" t="s">
        <v>10</v>
      </c>
      <c r="E6558" s="2" t="str">
        <f>HYPERLINK("http://ts.21cn.com/tousu/show/id/1337465","http://ts.21cn.com/tousu/show/id/1337465")</f>
        <v>http://ts.21cn.com/tousu/show/id/1337465</v>
      </c>
      <c r="F6558" s="2" t="s">
        <v>11</v>
      </c>
      <c r="G6558" s="2" t="s">
        <v>31260</v>
      </c>
      <c r="H6558" s="2" t="s">
        <v>31261</v>
      </c>
    </row>
    <row r="6559" spans="1:8" ht="25.05" customHeight="1" x14ac:dyDescent="0.25">
      <c r="A6559" s="2" t="s">
        <v>8</v>
      </c>
      <c r="B6559" s="2" t="str">
        <f>HYPERLINK("http://ts.21cn.com/tousu/show/id/1337466","河北工程大学校园网垄断")</f>
        <v>河北工程大学校园网垄断</v>
      </c>
      <c r="C6559" s="2" t="s">
        <v>9</v>
      </c>
      <c r="D6559" s="2" t="s">
        <v>10</v>
      </c>
      <c r="E6559" s="2" t="str">
        <f>HYPERLINK("http://ts.21cn.com/tousu/show/id/1337466","http://ts.21cn.com/tousu/show/id/1337466")</f>
        <v>http://ts.21cn.com/tousu/show/id/1337466</v>
      </c>
      <c r="F6559" s="2" t="s">
        <v>11</v>
      </c>
      <c r="G6559" s="2" t="s">
        <v>31258</v>
      </c>
      <c r="H6559" s="2" t="s">
        <v>31259</v>
      </c>
    </row>
    <row r="6560" spans="1:8" ht="25.05" customHeight="1" x14ac:dyDescent="0.25">
      <c r="A6560" s="2" t="s">
        <v>8</v>
      </c>
      <c r="B6560" s="2" t="str">
        <f>HYPERLINK("http://ts.21cn.com/tousu/show/id/1337467","智行火车票app取消订单不退款")</f>
        <v>智行火车票app取消订单不退款</v>
      </c>
      <c r="C6560" s="2" t="s">
        <v>9</v>
      </c>
      <c r="D6560" s="2" t="s">
        <v>10</v>
      </c>
      <c r="E6560" s="2" t="str">
        <f>HYPERLINK("http://ts.21cn.com/tousu/show/id/1337467","http://ts.21cn.com/tousu/show/id/1337467")</f>
        <v>http://ts.21cn.com/tousu/show/id/1337467</v>
      </c>
      <c r="F6560" s="2" t="s">
        <v>11</v>
      </c>
      <c r="G6560" s="2" t="s">
        <v>31256</v>
      </c>
      <c r="H6560" s="2" t="s">
        <v>31257</v>
      </c>
    </row>
    <row r="6561" spans="1:8" ht="25.05" customHeight="1" x14ac:dyDescent="0.25">
      <c r="A6561" s="2" t="s">
        <v>8</v>
      </c>
      <c r="B6561" s="2" t="str">
        <f>HYPERLINK("http://ts.21cn.com/tousu/show/id/1337468","豹子贷恶意扣款了")</f>
        <v>豹子贷恶意扣款了</v>
      </c>
      <c r="C6561" s="2" t="s">
        <v>9</v>
      </c>
      <c r="D6561" s="2" t="s">
        <v>10</v>
      </c>
      <c r="E6561" s="2" t="str">
        <f>HYPERLINK("http://ts.21cn.com/tousu/show/id/1337468","http://ts.21cn.com/tousu/show/id/1337468")</f>
        <v>http://ts.21cn.com/tousu/show/id/1337468</v>
      </c>
      <c r="F6561" s="2" t="s">
        <v>11</v>
      </c>
      <c r="G6561" s="2" t="s">
        <v>31254</v>
      </c>
      <c r="H6561" s="2" t="s">
        <v>31255</v>
      </c>
    </row>
    <row r="6562" spans="1:8" ht="25.05" customHeight="1" x14ac:dyDescent="0.25">
      <c r="A6562" s="2" t="s">
        <v>8</v>
      </c>
      <c r="B6562" s="2" t="str">
        <f>HYPERLINK("http://ts.21cn.com/tousu/show/id/1337469","砍头息，高利贷")</f>
        <v>砍头息，高利贷</v>
      </c>
      <c r="C6562" s="2" t="s">
        <v>9</v>
      </c>
      <c r="D6562" s="2" t="s">
        <v>10</v>
      </c>
      <c r="E6562" s="2" t="str">
        <f>HYPERLINK("http://ts.21cn.com/tousu/show/id/1337469","http://ts.21cn.com/tousu/show/id/1337469")</f>
        <v>http://ts.21cn.com/tousu/show/id/1337469</v>
      </c>
      <c r="F6562" s="2" t="s">
        <v>11</v>
      </c>
      <c r="G6562" s="2" t="s">
        <v>31252</v>
      </c>
      <c r="H6562" s="2" t="s">
        <v>31253</v>
      </c>
    </row>
    <row r="6563" spans="1:8" ht="25.05" customHeight="1" x14ac:dyDescent="0.25">
      <c r="A6563" s="2" t="s">
        <v>8</v>
      </c>
      <c r="B6563" s="2" t="str">
        <f>HYPERLINK("http://ts.21cn.com/tousu/show/id/1337470","卡牛随手记贷款高额砍头")</f>
        <v>卡牛随手记贷款高额砍头</v>
      </c>
      <c r="C6563" s="2" t="s">
        <v>9</v>
      </c>
      <c r="D6563" s="2" t="s">
        <v>10</v>
      </c>
      <c r="E6563" s="2" t="str">
        <f>HYPERLINK("http://ts.21cn.com/tousu/show/id/1337470","http://ts.21cn.com/tousu/show/id/1337470")</f>
        <v>http://ts.21cn.com/tousu/show/id/1337470</v>
      </c>
      <c r="F6563" s="2" t="s">
        <v>11</v>
      </c>
      <c r="G6563" s="2" t="s">
        <v>31250</v>
      </c>
      <c r="H6563" s="2" t="s">
        <v>31251</v>
      </c>
    </row>
    <row r="6564" spans="1:8" ht="25.05" customHeight="1" x14ac:dyDescent="0.25">
      <c r="A6564" s="2" t="s">
        <v>8</v>
      </c>
      <c r="B6564" s="2" t="str">
        <f>HYPERLINK("http://ts.21cn.com/tousu/show/id/1337471","爆通讯录")</f>
        <v>爆通讯录</v>
      </c>
      <c r="C6564" s="2" t="s">
        <v>9</v>
      </c>
      <c r="D6564" s="2" t="s">
        <v>10</v>
      </c>
      <c r="E6564" s="2" t="str">
        <f>HYPERLINK("http://ts.21cn.com/tousu/show/id/1337471","http://ts.21cn.com/tousu/show/id/1337471")</f>
        <v>http://ts.21cn.com/tousu/show/id/1337471</v>
      </c>
      <c r="F6564" s="2" t="s">
        <v>11</v>
      </c>
      <c r="G6564" s="2" t="s">
        <v>31248</v>
      </c>
      <c r="H6564" s="2" t="s">
        <v>31249</v>
      </c>
    </row>
    <row r="6565" spans="1:8" ht="25.05" customHeight="1" x14ac:dyDescent="0.25">
      <c r="A6565" s="2" t="s">
        <v>8</v>
      </c>
      <c r="B6565" s="2" t="str">
        <f>HYPERLINK("http://ts.21cn.com/tousu/show/id/1337472","女神派单方更改条款")</f>
        <v>女神派单方更改条款</v>
      </c>
      <c r="C6565" s="2" t="s">
        <v>9</v>
      </c>
      <c r="D6565" s="2" t="s">
        <v>10</v>
      </c>
      <c r="E6565" s="2" t="str">
        <f>HYPERLINK("http://ts.21cn.com/tousu/show/id/1337472","http://ts.21cn.com/tousu/show/id/1337472")</f>
        <v>http://ts.21cn.com/tousu/show/id/1337472</v>
      </c>
      <c r="F6565" s="2" t="s">
        <v>11</v>
      </c>
      <c r="G6565" s="2" t="s">
        <v>31246</v>
      </c>
      <c r="H6565" s="2" t="s">
        <v>31247</v>
      </c>
    </row>
    <row r="6566" spans="1:8" ht="25.05" customHeight="1" x14ac:dyDescent="0.25">
      <c r="A6566" s="2" t="s">
        <v>8</v>
      </c>
      <c r="B6566" s="2" t="str">
        <f>HYPERLINK("http://ts.21cn.com/tousu/show/id/1337473","打电话什么事都没说就污言秽语骂人")</f>
        <v>打电话什么事都没说就污言秽语骂人</v>
      </c>
      <c r="C6566" s="2" t="s">
        <v>9</v>
      </c>
      <c r="D6566" s="2" t="s">
        <v>10</v>
      </c>
      <c r="E6566" s="2" t="str">
        <f>HYPERLINK("http://ts.21cn.com/tousu/show/id/1337473","http://ts.21cn.com/tousu/show/id/1337473")</f>
        <v>http://ts.21cn.com/tousu/show/id/1337473</v>
      </c>
      <c r="F6566" s="2" t="s">
        <v>11</v>
      </c>
      <c r="G6566" s="2" t="s">
        <v>31244</v>
      </c>
      <c r="H6566" s="2" t="s">
        <v>31245</v>
      </c>
    </row>
    <row r="6567" spans="1:8" ht="25.05" customHeight="1" x14ac:dyDescent="0.25">
      <c r="A6567" s="2" t="s">
        <v>8</v>
      </c>
      <c r="B6567" s="2" t="str">
        <f>HYPERLINK("http://ts.21cn.com/tousu/show/id/1337474","钱站催收骚扰")</f>
        <v>钱站催收骚扰</v>
      </c>
      <c r="C6567" s="2" t="s">
        <v>9</v>
      </c>
      <c r="D6567" s="2" t="s">
        <v>10</v>
      </c>
      <c r="E6567" s="2" t="str">
        <f>HYPERLINK("http://ts.21cn.com/tousu/show/id/1337474","http://ts.21cn.com/tousu/show/id/1337474")</f>
        <v>http://ts.21cn.com/tousu/show/id/1337474</v>
      </c>
      <c r="F6567" s="2" t="s">
        <v>11</v>
      </c>
      <c r="G6567" s="2" t="s">
        <v>31242</v>
      </c>
      <c r="H6567" s="2" t="s">
        <v>31243</v>
      </c>
    </row>
    <row r="6568" spans="1:8" ht="25.05" customHeight="1" x14ac:dyDescent="0.25">
      <c r="A6568" s="2" t="s">
        <v>8</v>
      </c>
      <c r="B6568" s="2" t="str">
        <f>HYPERLINK("http://ts.21cn.com/tousu/show/id/1337475","我的银行卡上的钱被恶意扣费")</f>
        <v>我的银行卡上的钱被恶意扣费</v>
      </c>
      <c r="C6568" s="2" t="s">
        <v>9</v>
      </c>
      <c r="D6568" s="2" t="s">
        <v>10</v>
      </c>
      <c r="E6568" s="2" t="str">
        <f>HYPERLINK("http://ts.21cn.com/tousu/show/id/1337475","http://ts.21cn.com/tousu/show/id/1337475")</f>
        <v>http://ts.21cn.com/tousu/show/id/1337475</v>
      </c>
      <c r="F6568" s="2" t="s">
        <v>11</v>
      </c>
      <c r="G6568" s="2" t="s">
        <v>31240</v>
      </c>
      <c r="H6568" s="2" t="s">
        <v>31241</v>
      </c>
    </row>
    <row r="6569" spans="1:8" ht="25.05" customHeight="1" x14ac:dyDescent="0.25">
      <c r="A6569" s="2" t="s">
        <v>8</v>
      </c>
      <c r="B6569" s="2" t="str">
        <f>HYPERLINK("http://ts.21cn.com/tousu/show/id/1337476","雇佣不明身份人士对家人进行骚扰恐吓")</f>
        <v>雇佣不明身份人士对家人进行骚扰恐吓</v>
      </c>
      <c r="C6569" s="2" t="s">
        <v>9</v>
      </c>
      <c r="D6569" s="2" t="s">
        <v>10</v>
      </c>
      <c r="E6569" s="2" t="str">
        <f>HYPERLINK("http://ts.21cn.com/tousu/show/id/1337476","http://ts.21cn.com/tousu/show/id/1337476")</f>
        <v>http://ts.21cn.com/tousu/show/id/1337476</v>
      </c>
      <c r="F6569" s="2" t="s">
        <v>11</v>
      </c>
      <c r="G6569" s="2" t="s">
        <v>31238</v>
      </c>
      <c r="H6569" s="2" t="s">
        <v>31239</v>
      </c>
    </row>
    <row r="6570" spans="1:8" ht="25.05" customHeight="1" x14ac:dyDescent="0.25">
      <c r="A6570" s="2" t="s">
        <v>8</v>
      </c>
      <c r="B6570" s="2" t="str">
        <f>HYPERLINK("http://ts.21cn.com/tousu/show/id/1337479","投诉快狗打车客服不接电话要求退还押金。")</f>
        <v>投诉快狗打车客服不接电话要求退还押金。</v>
      </c>
      <c r="C6570" s="2" t="s">
        <v>9</v>
      </c>
      <c r="D6570" s="2" t="s">
        <v>10</v>
      </c>
      <c r="E6570" s="2" t="str">
        <f>HYPERLINK("http://ts.21cn.com/tousu/show/id/1337479","http://ts.21cn.com/tousu/show/id/1337479")</f>
        <v>http://ts.21cn.com/tousu/show/id/1337479</v>
      </c>
      <c r="F6570" s="2" t="s">
        <v>11</v>
      </c>
      <c r="G6570" s="2" t="s">
        <v>31236</v>
      </c>
      <c r="H6570" s="2" t="s">
        <v>31237</v>
      </c>
    </row>
    <row r="6571" spans="1:8" ht="25.05" customHeight="1" x14ac:dyDescent="0.25">
      <c r="A6571" s="2" t="s">
        <v>8</v>
      </c>
      <c r="B6571" s="2" t="str">
        <f>HYPERLINK("http://ts.21cn.com/tousu/show/id/1337478","钱置宝高利贷客服无人联系")</f>
        <v>钱置宝高利贷客服无人联系</v>
      </c>
      <c r="C6571" s="2" t="s">
        <v>9</v>
      </c>
      <c r="D6571" s="2" t="s">
        <v>10</v>
      </c>
      <c r="E6571" s="2" t="str">
        <f>HYPERLINK("http://ts.21cn.com/tousu/show/id/1337478","http://ts.21cn.com/tousu/show/id/1337478")</f>
        <v>http://ts.21cn.com/tousu/show/id/1337478</v>
      </c>
      <c r="F6571" s="2" t="s">
        <v>11</v>
      </c>
      <c r="G6571" s="2" t="s">
        <v>31234</v>
      </c>
      <c r="H6571" s="2" t="s">
        <v>31235</v>
      </c>
    </row>
    <row r="6572" spans="1:8" ht="25.05" customHeight="1" x14ac:dyDescent="0.25">
      <c r="A6572" s="2" t="s">
        <v>8</v>
      </c>
      <c r="B6572" s="2" t="str">
        <f>HYPERLINK("http://ts.21cn.com/tousu/show/id/1337449","请解释下")</f>
        <v>请解释下</v>
      </c>
      <c r="C6572" s="2" t="s">
        <v>9</v>
      </c>
      <c r="D6572" s="2" t="s">
        <v>10</v>
      </c>
      <c r="E6572" s="2" t="str">
        <f>HYPERLINK("http://ts.21cn.com/tousu/show/id/1337449","http://ts.21cn.com/tousu/show/id/1337449")</f>
        <v>http://ts.21cn.com/tousu/show/id/1337449</v>
      </c>
      <c r="F6572" s="2" t="s">
        <v>11</v>
      </c>
      <c r="G6572" s="2" t="s">
        <v>31232</v>
      </c>
      <c r="H6572" s="2" t="s">
        <v>31233</v>
      </c>
    </row>
    <row r="6573" spans="1:8" ht="25.05" customHeight="1" x14ac:dyDescent="0.25">
      <c r="A6573" s="2" t="s">
        <v>8</v>
      </c>
      <c r="B6573" s="2" t="str">
        <f>HYPERLINK("http://ts.21cn.com/tousu/show/id/1337481","交通银行信用卡催收使用号码轰炸")</f>
        <v>交通银行信用卡催收使用号码轰炸</v>
      </c>
      <c r="C6573" s="2" t="s">
        <v>9</v>
      </c>
      <c r="D6573" s="2" t="s">
        <v>10</v>
      </c>
      <c r="E6573" s="2" t="str">
        <f>HYPERLINK("http://ts.21cn.com/tousu/show/id/1337481","http://ts.21cn.com/tousu/show/id/1337481")</f>
        <v>http://ts.21cn.com/tousu/show/id/1337481</v>
      </c>
      <c r="F6573" s="2" t="s">
        <v>11</v>
      </c>
      <c r="G6573" s="2" t="s">
        <v>31230</v>
      </c>
      <c r="H6573" s="2" t="s">
        <v>31231</v>
      </c>
    </row>
    <row r="6574" spans="1:8" ht="25.05" customHeight="1" x14ac:dyDescent="0.25">
      <c r="A6574" s="2" t="s">
        <v>8</v>
      </c>
      <c r="B6574" s="2" t="str">
        <f>HYPERLINK("http://ts.21cn.com/tousu/show/id/1337482","暴力催收")</f>
        <v>暴力催收</v>
      </c>
      <c r="C6574" s="2" t="s">
        <v>9</v>
      </c>
      <c r="D6574" s="2" t="s">
        <v>10</v>
      </c>
      <c r="E6574" s="2" t="str">
        <f>HYPERLINK("http://ts.21cn.com/tousu/show/id/1337482","http://ts.21cn.com/tousu/show/id/1337482")</f>
        <v>http://ts.21cn.com/tousu/show/id/1337482</v>
      </c>
      <c r="F6574" s="2" t="s">
        <v>11</v>
      </c>
      <c r="G6574" s="2" t="s">
        <v>31228</v>
      </c>
      <c r="H6574" s="2" t="s">
        <v>31229</v>
      </c>
    </row>
    <row r="6575" spans="1:8" ht="25.05" customHeight="1" x14ac:dyDescent="0.25">
      <c r="A6575" s="2" t="s">
        <v>8</v>
      </c>
      <c r="B6575" s="2" t="str">
        <f>HYPERLINK("http://ts.21cn.com/tousu/show/id/1337484","激活不了还不让退费")</f>
        <v>激活不了还不让退费</v>
      </c>
      <c r="C6575" s="2" t="s">
        <v>9</v>
      </c>
      <c r="D6575" s="2" t="s">
        <v>10</v>
      </c>
      <c r="E6575" s="2" t="str">
        <f>HYPERLINK("http://ts.21cn.com/tousu/show/id/1337484","http://ts.21cn.com/tousu/show/id/1337484")</f>
        <v>http://ts.21cn.com/tousu/show/id/1337484</v>
      </c>
      <c r="F6575" s="2" t="s">
        <v>11</v>
      </c>
      <c r="G6575" s="2" t="s">
        <v>31226</v>
      </c>
      <c r="H6575" s="2" t="s">
        <v>31227</v>
      </c>
    </row>
    <row r="6576" spans="1:8" ht="25.05" customHeight="1" x14ac:dyDescent="0.25">
      <c r="A6576" s="2" t="s">
        <v>8</v>
      </c>
      <c r="B6576" s="2" t="str">
        <f>HYPERLINK("http://ts.21cn.com/tousu/show/id/1337485","时光分期威胁我，变相收费")</f>
        <v>时光分期威胁我，变相收费</v>
      </c>
      <c r="C6576" s="2" t="s">
        <v>9</v>
      </c>
      <c r="D6576" s="2" t="s">
        <v>10</v>
      </c>
      <c r="E6576" s="2" t="str">
        <f>HYPERLINK("http://ts.21cn.com/tousu/show/id/1337485","http://ts.21cn.com/tousu/show/id/1337485")</f>
        <v>http://ts.21cn.com/tousu/show/id/1337485</v>
      </c>
      <c r="F6576" s="2" t="s">
        <v>11</v>
      </c>
      <c r="G6576" s="2" t="s">
        <v>31224</v>
      </c>
      <c r="H6576" s="2" t="s">
        <v>31225</v>
      </c>
    </row>
    <row r="6577" spans="1:8" ht="25.05" customHeight="1" x14ac:dyDescent="0.25">
      <c r="A6577" s="2" t="s">
        <v>8</v>
      </c>
      <c r="B6577" s="2" t="str">
        <f>HYPERLINK("http://ts.21cn.com/tousu/show/id/1337487","微信被恶意投诉，微信团队不予做出回应")</f>
        <v>微信被恶意投诉，微信团队不予做出回应</v>
      </c>
      <c r="C6577" s="2" t="s">
        <v>9</v>
      </c>
      <c r="D6577" s="2" t="s">
        <v>10</v>
      </c>
      <c r="E6577" s="2" t="str">
        <f>HYPERLINK("http://ts.21cn.com/tousu/show/id/1337487","http://ts.21cn.com/tousu/show/id/1337487")</f>
        <v>http://ts.21cn.com/tousu/show/id/1337487</v>
      </c>
      <c r="F6577" s="2" t="s">
        <v>11</v>
      </c>
      <c r="G6577" s="2" t="s">
        <v>31222</v>
      </c>
      <c r="H6577" s="2" t="s">
        <v>31223</v>
      </c>
    </row>
    <row r="6578" spans="1:8" ht="25.05" customHeight="1" x14ac:dyDescent="0.25">
      <c r="A6578" s="2" t="s">
        <v>8</v>
      </c>
      <c r="B6578" s="2" t="str">
        <f>HYPERLINK("http://ts.21cn.com/tousu/show/id/1337488","你我贷平台暴力催收威胁恐吓")</f>
        <v>你我贷平台暴力催收威胁恐吓</v>
      </c>
      <c r="C6578" s="2" t="s">
        <v>9</v>
      </c>
      <c r="D6578" s="2" t="s">
        <v>10</v>
      </c>
      <c r="E6578" s="2" t="str">
        <f>HYPERLINK("http://ts.21cn.com/tousu/show/id/1337488","http://ts.21cn.com/tousu/show/id/1337488")</f>
        <v>http://ts.21cn.com/tousu/show/id/1337488</v>
      </c>
      <c r="F6578" s="2" t="s">
        <v>11</v>
      </c>
      <c r="G6578" s="2" t="s">
        <v>31221</v>
      </c>
      <c r="H6578" s="2" t="s">
        <v>31136</v>
      </c>
    </row>
    <row r="6579" spans="1:8" ht="25.05" customHeight="1" x14ac:dyDescent="0.25">
      <c r="A6579" s="2" t="s">
        <v>8</v>
      </c>
      <c r="B6579" s="2" t="str">
        <f>HYPERLINK("http://ts.21cn.com/tousu/show/id/1337489","未经许可私自扣款")</f>
        <v>未经许可私自扣款</v>
      </c>
      <c r="C6579" s="2" t="s">
        <v>9</v>
      </c>
      <c r="D6579" s="2" t="s">
        <v>10</v>
      </c>
      <c r="E6579" s="2" t="str">
        <f>HYPERLINK("http://ts.21cn.com/tousu/show/id/1337489","http://ts.21cn.com/tousu/show/id/1337489")</f>
        <v>http://ts.21cn.com/tousu/show/id/1337489</v>
      </c>
      <c r="F6579" s="2" t="s">
        <v>11</v>
      </c>
      <c r="G6579" s="2" t="s">
        <v>31219</v>
      </c>
      <c r="H6579" s="2" t="s">
        <v>31220</v>
      </c>
    </row>
    <row r="6580" spans="1:8" ht="25.05" customHeight="1" x14ac:dyDescent="0.25">
      <c r="A6580" s="2" t="s">
        <v>8</v>
      </c>
      <c r="B6580" s="2" t="str">
        <f>HYPERLINK("http://ts.21cn.com/tousu/show/id/1337490","钱伴恶意暴力催收，用短信恐吓")</f>
        <v>钱伴恶意暴力催收，用短信恐吓</v>
      </c>
      <c r="C6580" s="2" t="s">
        <v>9</v>
      </c>
      <c r="D6580" s="2" t="s">
        <v>10</v>
      </c>
      <c r="E6580" s="2" t="str">
        <f>HYPERLINK("http://ts.21cn.com/tousu/show/id/1337490","http://ts.21cn.com/tousu/show/id/1337490")</f>
        <v>http://ts.21cn.com/tousu/show/id/1337490</v>
      </c>
      <c r="F6580" s="2" t="s">
        <v>11</v>
      </c>
      <c r="G6580" s="2" t="s">
        <v>31217</v>
      </c>
      <c r="H6580" s="2" t="s">
        <v>31218</v>
      </c>
    </row>
    <row r="6581" spans="1:8" ht="25.05" customHeight="1" x14ac:dyDescent="0.25">
      <c r="A6581" s="2" t="s">
        <v>8</v>
      </c>
      <c r="B6581" s="2" t="str">
        <f>HYPERLINK("http://ts.21cn.com/tousu/show/id/1337492","小浦优客未经同意扣款")</f>
        <v>小浦优客未经同意扣款</v>
      </c>
      <c r="C6581" s="2" t="s">
        <v>9</v>
      </c>
      <c r="D6581" s="2" t="s">
        <v>10</v>
      </c>
      <c r="E6581" s="2" t="str">
        <f>HYPERLINK("http://ts.21cn.com/tousu/show/id/1337492","http://ts.21cn.com/tousu/show/id/1337492")</f>
        <v>http://ts.21cn.com/tousu/show/id/1337492</v>
      </c>
      <c r="F6581" s="2" t="s">
        <v>11</v>
      </c>
      <c r="G6581" s="2" t="s">
        <v>31215</v>
      </c>
      <c r="H6581" s="2" t="s">
        <v>31216</v>
      </c>
    </row>
    <row r="6582" spans="1:8" ht="25.05" customHeight="1" x14ac:dyDescent="0.25">
      <c r="A6582" s="2" t="s">
        <v>8</v>
      </c>
      <c r="B6582" s="2" t="str">
        <f>HYPERLINK("http://ts.21cn.com/tousu/show/id/1337491","信用钱包系统无法主动还款、泄漏隐私、高利息、骚扰")</f>
        <v>信用钱包系统无法主动还款、泄漏隐私、高利息、骚扰</v>
      </c>
      <c r="C6582" s="2" t="s">
        <v>9</v>
      </c>
      <c r="D6582" s="2" t="s">
        <v>10</v>
      </c>
      <c r="E6582" s="2" t="str">
        <f>HYPERLINK("http://ts.21cn.com/tousu/show/id/1337491","http://ts.21cn.com/tousu/show/id/1337491")</f>
        <v>http://ts.21cn.com/tousu/show/id/1337491</v>
      </c>
      <c r="F6582" s="2" t="s">
        <v>11</v>
      </c>
      <c r="G6582" s="2" t="s">
        <v>31213</v>
      </c>
      <c r="H6582" s="2" t="s">
        <v>31214</v>
      </c>
    </row>
    <row r="6583" spans="1:8" ht="25.05" customHeight="1" x14ac:dyDescent="0.25">
      <c r="A6583" s="2" t="s">
        <v>8</v>
      </c>
      <c r="B6583" s="2" t="str">
        <f>HYPERLINK("http://ts.21cn.com/tousu/show/id/1337493","个人名誉被侵权")</f>
        <v>个人名誉被侵权</v>
      </c>
      <c r="C6583" s="2" t="s">
        <v>9</v>
      </c>
      <c r="D6583" s="2" t="s">
        <v>10</v>
      </c>
      <c r="E6583" s="2" t="str">
        <f>HYPERLINK("http://ts.21cn.com/tousu/show/id/1337493","http://ts.21cn.com/tousu/show/id/1337493")</f>
        <v>http://ts.21cn.com/tousu/show/id/1337493</v>
      </c>
      <c r="F6583" s="2" t="s">
        <v>11</v>
      </c>
      <c r="G6583" s="2" t="s">
        <v>31211</v>
      </c>
      <c r="H6583" s="2" t="s">
        <v>31212</v>
      </c>
    </row>
    <row r="6584" spans="1:8" ht="25.05" customHeight="1" x14ac:dyDescent="0.25">
      <c r="A6584" s="2" t="s">
        <v>8</v>
      </c>
      <c r="B6584" s="2" t="str">
        <f>HYPERLINK("http://ts.21cn.com/tousu/show/id/1337494","砍头息，捆绑，")</f>
        <v>砍头息，捆绑，</v>
      </c>
      <c r="C6584" s="2" t="s">
        <v>9</v>
      </c>
      <c r="D6584" s="2" t="s">
        <v>10</v>
      </c>
      <c r="E6584" s="2" t="str">
        <f>HYPERLINK("http://ts.21cn.com/tousu/show/id/1337494","http://ts.21cn.com/tousu/show/id/1337494")</f>
        <v>http://ts.21cn.com/tousu/show/id/1337494</v>
      </c>
      <c r="F6584" s="2" t="s">
        <v>11</v>
      </c>
      <c r="G6584" s="2" t="s">
        <v>31209</v>
      </c>
      <c r="H6584" s="2" t="s">
        <v>31210</v>
      </c>
    </row>
    <row r="6585" spans="1:8" ht="25.05" customHeight="1" x14ac:dyDescent="0.25">
      <c r="A6585" s="2" t="s">
        <v>8</v>
      </c>
      <c r="B6585" s="2" t="str">
        <f>HYPERLINK("http://ts.21cn.com/tousu/show/id/1337495","关于美约app乱扣费问题，免费试用后，自动续费会员一年298元")</f>
        <v>关于美约app乱扣费问题，免费试用后，自动续费会员一年298元</v>
      </c>
      <c r="C6585" s="2" t="s">
        <v>34</v>
      </c>
      <c r="D6585" s="2" t="s">
        <v>10</v>
      </c>
      <c r="E6585" s="2" t="str">
        <f>HYPERLINK("http://ts.21cn.com/tousu/show/id/1337495","http://ts.21cn.com/tousu/show/id/1337495")</f>
        <v>http://ts.21cn.com/tousu/show/id/1337495</v>
      </c>
      <c r="F6585" s="2" t="s">
        <v>11</v>
      </c>
      <c r="G6585" s="2" t="s">
        <v>31207</v>
      </c>
      <c r="H6585" s="2" t="s">
        <v>31208</v>
      </c>
    </row>
    <row r="6586" spans="1:8" ht="25.05" customHeight="1" x14ac:dyDescent="0.25">
      <c r="A6586" s="2" t="s">
        <v>8</v>
      </c>
      <c r="B6586" s="2" t="str">
        <f>HYPERLINK("http://ts.21cn.com/tousu/show/id/1337496","和平精英")</f>
        <v>和平精英</v>
      </c>
      <c r="C6586" s="2" t="s">
        <v>9</v>
      </c>
      <c r="D6586" s="2" t="s">
        <v>10</v>
      </c>
      <c r="E6586" s="2" t="str">
        <f>HYPERLINK("http://ts.21cn.com/tousu/show/id/1337496","http://ts.21cn.com/tousu/show/id/1337496")</f>
        <v>http://ts.21cn.com/tousu/show/id/1337496</v>
      </c>
      <c r="F6586" s="2" t="s">
        <v>11</v>
      </c>
      <c r="G6586" s="2" t="s">
        <v>31205</v>
      </c>
      <c r="H6586" s="2" t="s">
        <v>31206</v>
      </c>
    </row>
    <row r="6587" spans="1:8" ht="25.05" customHeight="1" x14ac:dyDescent="0.25">
      <c r="A6587" s="2" t="s">
        <v>8</v>
      </c>
      <c r="B6587" s="2" t="str">
        <f>HYPERLINK("http://ts.21cn.com/tousu/show/id/1337497","你我贷言而无信继续威胁恐吓")</f>
        <v>你我贷言而无信继续威胁恐吓</v>
      </c>
      <c r="C6587" s="2" t="s">
        <v>9</v>
      </c>
      <c r="D6587" s="2" t="s">
        <v>10</v>
      </c>
      <c r="E6587" s="2" t="str">
        <f>HYPERLINK("http://ts.21cn.com/tousu/show/id/1337497","http://ts.21cn.com/tousu/show/id/1337497")</f>
        <v>http://ts.21cn.com/tousu/show/id/1337497</v>
      </c>
      <c r="F6587" s="2" t="s">
        <v>11</v>
      </c>
      <c r="G6587" s="2" t="s">
        <v>31203</v>
      </c>
      <c r="H6587" s="2" t="s">
        <v>31204</v>
      </c>
    </row>
    <row r="6588" spans="1:8" ht="25.05" customHeight="1" x14ac:dyDescent="0.25">
      <c r="A6588" s="2" t="s">
        <v>8</v>
      </c>
      <c r="B6588" s="2" t="str">
        <f>HYPERLINK("http://ts.21cn.com/tousu/show/id/1337498","牛人有品高利贷砍头息恐吓威胁行为严重")</f>
        <v>牛人有品高利贷砍头息恐吓威胁行为严重</v>
      </c>
      <c r="C6588" s="2" t="s">
        <v>9</v>
      </c>
      <c r="D6588" s="2" t="s">
        <v>10</v>
      </c>
      <c r="E6588" s="2" t="str">
        <f>HYPERLINK("http://ts.21cn.com/tousu/show/id/1337498","http://ts.21cn.com/tousu/show/id/1337498")</f>
        <v>http://ts.21cn.com/tousu/show/id/1337498</v>
      </c>
      <c r="F6588" s="2" t="s">
        <v>11</v>
      </c>
      <c r="G6588" s="2" t="s">
        <v>31201</v>
      </c>
      <c r="H6588" s="2" t="s">
        <v>31202</v>
      </c>
    </row>
    <row r="6589" spans="1:8" ht="25.05" customHeight="1" x14ac:dyDescent="0.25">
      <c r="A6589" s="2" t="s">
        <v>8</v>
      </c>
      <c r="B6589" s="2" t="str">
        <f>HYPERLINK("http://ts.21cn.com/tousu/show/id/1337499","安逸花涉嫌欺诈")</f>
        <v>安逸花涉嫌欺诈</v>
      </c>
      <c r="C6589" s="2" t="s">
        <v>9</v>
      </c>
      <c r="D6589" s="2" t="s">
        <v>10</v>
      </c>
      <c r="E6589" s="2" t="str">
        <f>HYPERLINK("http://ts.21cn.com/tousu/show/id/1337499","http://ts.21cn.com/tousu/show/id/1337499")</f>
        <v>http://ts.21cn.com/tousu/show/id/1337499</v>
      </c>
      <c r="F6589" s="2" t="s">
        <v>11</v>
      </c>
      <c r="G6589" s="2" t="s">
        <v>31199</v>
      </c>
      <c r="H6589" s="2" t="s">
        <v>31200</v>
      </c>
    </row>
    <row r="6590" spans="1:8" ht="25.05" customHeight="1" x14ac:dyDescent="0.25">
      <c r="A6590" s="2" t="s">
        <v>8</v>
      </c>
      <c r="B6590" s="2" t="str">
        <f>HYPERLINK("http://ts.21cn.com/tousu/show/id/1337500","松紧贷以群发短信威胁催收")</f>
        <v>松紧贷以群发短信威胁催收</v>
      </c>
      <c r="C6590" s="2" t="s">
        <v>9</v>
      </c>
      <c r="D6590" s="2" t="s">
        <v>10</v>
      </c>
      <c r="E6590" s="2" t="str">
        <f>HYPERLINK("http://ts.21cn.com/tousu/show/id/1337500","http://ts.21cn.com/tousu/show/id/1337500")</f>
        <v>http://ts.21cn.com/tousu/show/id/1337500</v>
      </c>
      <c r="F6590" s="2" t="s">
        <v>11</v>
      </c>
      <c r="G6590" s="2" t="s">
        <v>31197</v>
      </c>
      <c r="H6590" s="2" t="s">
        <v>31198</v>
      </c>
    </row>
    <row r="6591" spans="1:8" ht="25.05" customHeight="1" x14ac:dyDescent="0.25">
      <c r="A6591" s="2" t="s">
        <v>8</v>
      </c>
      <c r="B6591" s="2" t="str">
        <f>HYPERLINK("http://ts.21cn.com/tousu/show/id/1337501","滴滴公司坑双证司机")</f>
        <v>滴滴公司坑双证司机</v>
      </c>
      <c r="C6591" s="2" t="s">
        <v>9</v>
      </c>
      <c r="D6591" s="2" t="s">
        <v>10</v>
      </c>
      <c r="E6591" s="2" t="str">
        <f>HYPERLINK("http://ts.21cn.com/tousu/show/id/1337501","http://ts.21cn.com/tousu/show/id/1337501")</f>
        <v>http://ts.21cn.com/tousu/show/id/1337501</v>
      </c>
      <c r="F6591" s="2" t="s">
        <v>11</v>
      </c>
      <c r="G6591" s="2" t="s">
        <v>31195</v>
      </c>
      <c r="H6591" s="2" t="s">
        <v>31196</v>
      </c>
    </row>
    <row r="6592" spans="1:8" ht="25.05" customHeight="1" x14ac:dyDescent="0.25">
      <c r="A6592" s="2" t="s">
        <v>8</v>
      </c>
      <c r="B6592" s="2" t="str">
        <f>HYPERLINK("http://ts.21cn.com/tousu/show/id/1337502","自由魔卡里的六便士高利贷砍头息")</f>
        <v>自由魔卡里的六便士高利贷砍头息</v>
      </c>
      <c r="C6592" s="2" t="s">
        <v>9</v>
      </c>
      <c r="D6592" s="2" t="s">
        <v>10</v>
      </c>
      <c r="E6592" s="2" t="str">
        <f>HYPERLINK("http://ts.21cn.com/tousu/show/id/1337502","http://ts.21cn.com/tousu/show/id/1337502")</f>
        <v>http://ts.21cn.com/tousu/show/id/1337502</v>
      </c>
      <c r="F6592" s="2" t="s">
        <v>11</v>
      </c>
      <c r="G6592" s="2" t="s">
        <v>31193</v>
      </c>
      <c r="H6592" s="2" t="s">
        <v>31194</v>
      </c>
    </row>
    <row r="6593" spans="1:8" ht="25.05" customHeight="1" x14ac:dyDescent="0.25">
      <c r="A6593" s="2" t="s">
        <v>8</v>
      </c>
      <c r="B6593" s="2" t="str">
        <f>HYPERLINK("http://ts.21cn.com/tousu/show/id/1337503","微粒贷默认分期")</f>
        <v>微粒贷默认分期</v>
      </c>
      <c r="C6593" s="2" t="s">
        <v>9</v>
      </c>
      <c r="D6593" s="2" t="s">
        <v>10</v>
      </c>
      <c r="E6593" s="2" t="str">
        <f>HYPERLINK("http://ts.21cn.com/tousu/show/id/1337503","http://ts.21cn.com/tousu/show/id/1337503")</f>
        <v>http://ts.21cn.com/tousu/show/id/1337503</v>
      </c>
      <c r="F6593" s="2" t="s">
        <v>11</v>
      </c>
      <c r="G6593" s="2" t="s">
        <v>31191</v>
      </c>
      <c r="H6593" s="2" t="s">
        <v>31192</v>
      </c>
    </row>
    <row r="6594" spans="1:8" ht="25.05" customHeight="1" x14ac:dyDescent="0.25">
      <c r="A6594" s="2" t="s">
        <v>8</v>
      </c>
      <c r="B6594" s="2" t="str">
        <f>HYPERLINK("http://ts.21cn.com/tousu/show/id/1337504","安全带暴力催收威胁打通讯录")</f>
        <v>安全带暴力催收威胁打通讯录</v>
      </c>
      <c r="C6594" s="2" t="s">
        <v>9</v>
      </c>
      <c r="D6594" s="2" t="s">
        <v>10</v>
      </c>
      <c r="E6594" s="2" t="str">
        <f>HYPERLINK("http://ts.21cn.com/tousu/show/id/1337504","http://ts.21cn.com/tousu/show/id/1337504")</f>
        <v>http://ts.21cn.com/tousu/show/id/1337504</v>
      </c>
      <c r="F6594" s="2" t="s">
        <v>11</v>
      </c>
      <c r="G6594" s="2" t="s">
        <v>31189</v>
      </c>
      <c r="H6594" s="2" t="s">
        <v>31190</v>
      </c>
    </row>
    <row r="6595" spans="1:8" ht="25.05" customHeight="1" x14ac:dyDescent="0.25">
      <c r="A6595" s="2" t="s">
        <v>8</v>
      </c>
      <c r="B6595" s="2" t="str">
        <f>HYPERLINK("http://ts.21cn.com/tousu/show/id/1337505","贷上钱以买游戏豆为由收取高额贷款通过费")</f>
        <v>贷上钱以买游戏豆为由收取高额贷款通过费</v>
      </c>
      <c r="C6595" s="2" t="s">
        <v>9</v>
      </c>
      <c r="D6595" s="2" t="s">
        <v>10</v>
      </c>
      <c r="E6595" s="2" t="str">
        <f>HYPERLINK("http://ts.21cn.com/tousu/show/id/1337505","http://ts.21cn.com/tousu/show/id/1337505")</f>
        <v>http://ts.21cn.com/tousu/show/id/1337505</v>
      </c>
      <c r="F6595" s="2" t="s">
        <v>11</v>
      </c>
      <c r="G6595" s="2" t="s">
        <v>31187</v>
      </c>
      <c r="H6595" s="2" t="s">
        <v>31188</v>
      </c>
    </row>
    <row r="6596" spans="1:8" ht="25.05" customHeight="1" x14ac:dyDescent="0.25">
      <c r="A6596" s="2" t="s">
        <v>8</v>
      </c>
      <c r="B6596" s="2" t="str">
        <f>HYPERLINK("http://ts.21cn.com/tousu/show/id/1337507","暴力催收")</f>
        <v>暴力催收</v>
      </c>
      <c r="C6596" s="2" t="s">
        <v>9</v>
      </c>
      <c r="D6596" s="2" t="s">
        <v>10</v>
      </c>
      <c r="E6596" s="2" t="str">
        <f>HYPERLINK("http://ts.21cn.com/tousu/show/id/1337507","http://ts.21cn.com/tousu/show/id/1337507")</f>
        <v>http://ts.21cn.com/tousu/show/id/1337507</v>
      </c>
      <c r="F6596" s="2" t="s">
        <v>11</v>
      </c>
      <c r="G6596" s="2" t="s">
        <v>31185</v>
      </c>
      <c r="H6596" s="2" t="s">
        <v>31186</v>
      </c>
    </row>
    <row r="6597" spans="1:8" ht="25.05" customHeight="1" x14ac:dyDescent="0.25">
      <c r="A6597" s="2" t="s">
        <v>8</v>
      </c>
      <c r="B6597" s="2" t="str">
        <f>HYPERLINK("http://ts.21cn.com/tousu/show/id/1337508","自称建行信用卡法务部的说要上门")</f>
        <v>自称建行信用卡法务部的说要上门</v>
      </c>
      <c r="C6597" s="2" t="s">
        <v>9</v>
      </c>
      <c r="D6597" s="2" t="s">
        <v>10</v>
      </c>
      <c r="E6597" s="2" t="str">
        <f>HYPERLINK("http://ts.21cn.com/tousu/show/id/1337508","http://ts.21cn.com/tousu/show/id/1337508")</f>
        <v>http://ts.21cn.com/tousu/show/id/1337508</v>
      </c>
      <c r="F6597" s="2" t="s">
        <v>11</v>
      </c>
      <c r="G6597" s="2" t="s">
        <v>31183</v>
      </c>
      <c r="H6597" s="2" t="s">
        <v>31184</v>
      </c>
    </row>
    <row r="6598" spans="1:8" ht="25.05" customHeight="1" x14ac:dyDescent="0.25">
      <c r="A6598" s="2" t="s">
        <v>8</v>
      </c>
      <c r="B6598" s="2" t="str">
        <f>HYPERLINK("http://ts.21cn.com/tousu/show/id/1337510","现金巴士逾期费用超高")</f>
        <v>现金巴士逾期费用超高</v>
      </c>
      <c r="C6598" s="2" t="s">
        <v>9</v>
      </c>
      <c r="D6598" s="2" t="s">
        <v>10</v>
      </c>
      <c r="E6598" s="2" t="str">
        <f>HYPERLINK("http://ts.21cn.com/tousu/show/id/1337510","http://ts.21cn.com/tousu/show/id/1337510")</f>
        <v>http://ts.21cn.com/tousu/show/id/1337510</v>
      </c>
      <c r="F6598" s="2" t="s">
        <v>11</v>
      </c>
      <c r="G6598" s="2" t="s">
        <v>31181</v>
      </c>
      <c r="H6598" s="2" t="s">
        <v>31182</v>
      </c>
    </row>
    <row r="6599" spans="1:8" ht="25.05" customHeight="1" x14ac:dyDescent="0.25">
      <c r="A6599" s="2" t="s">
        <v>8</v>
      </c>
      <c r="B6599" s="2" t="str">
        <f>HYPERLINK("http://ts.21cn.com/tousu/show/id/1337511","转转不公正对待，把我的钱退还给卖家")</f>
        <v>转转不公正对待，把我的钱退还给卖家</v>
      </c>
      <c r="C6599" s="2" t="s">
        <v>9</v>
      </c>
      <c r="D6599" s="2" t="s">
        <v>10</v>
      </c>
      <c r="E6599" s="2" t="str">
        <f>HYPERLINK("http://ts.21cn.com/tousu/show/id/1337511","http://ts.21cn.com/tousu/show/id/1337511")</f>
        <v>http://ts.21cn.com/tousu/show/id/1337511</v>
      </c>
      <c r="F6599" s="2" t="s">
        <v>11</v>
      </c>
      <c r="G6599" s="2" t="s">
        <v>31179</v>
      </c>
      <c r="H6599" s="2" t="s">
        <v>31180</v>
      </c>
    </row>
    <row r="6600" spans="1:8" ht="25.05" customHeight="1" x14ac:dyDescent="0.25">
      <c r="A6600" s="2" t="s">
        <v>8</v>
      </c>
      <c r="B6600" s="2" t="str">
        <f>HYPERLINK("http://ts.21cn.com/tousu/show/id/1337512","合利宝私自扣款")</f>
        <v>合利宝私自扣款</v>
      </c>
      <c r="C6600" s="2" t="s">
        <v>9</v>
      </c>
      <c r="D6600" s="2" t="s">
        <v>10</v>
      </c>
      <c r="E6600" s="2" t="str">
        <f>HYPERLINK("http://ts.21cn.com/tousu/show/id/1337512","http://ts.21cn.com/tousu/show/id/1337512")</f>
        <v>http://ts.21cn.com/tousu/show/id/1337512</v>
      </c>
      <c r="F6600" s="2" t="s">
        <v>11</v>
      </c>
      <c r="G6600" s="2" t="s">
        <v>31177</v>
      </c>
      <c r="H6600" s="2" t="s">
        <v>31178</v>
      </c>
    </row>
    <row r="6601" spans="1:8" ht="25.05" customHeight="1" x14ac:dyDescent="0.25">
      <c r="A6601" s="2" t="s">
        <v>8</v>
      </c>
      <c r="B6601" s="2" t="str">
        <f>HYPERLINK("http://ts.21cn.com/tousu/show/id/1337513","支付机构违规为现金巴士提供支付渠道")</f>
        <v>支付机构违规为现金巴士提供支付渠道</v>
      </c>
      <c r="C6601" s="2" t="s">
        <v>9</v>
      </c>
      <c r="D6601" s="2" t="s">
        <v>10</v>
      </c>
      <c r="E6601" s="2" t="str">
        <f>HYPERLINK("http://ts.21cn.com/tousu/show/id/1337513","http://ts.21cn.com/tousu/show/id/1337513")</f>
        <v>http://ts.21cn.com/tousu/show/id/1337513</v>
      </c>
      <c r="F6601" s="2" t="s">
        <v>11</v>
      </c>
      <c r="G6601" s="2" t="s">
        <v>31175</v>
      </c>
      <c r="H6601" s="2" t="s">
        <v>31176</v>
      </c>
    </row>
    <row r="6602" spans="1:8" ht="25.05" customHeight="1" x14ac:dyDescent="0.25">
      <c r="A6602" s="2" t="s">
        <v>8</v>
      </c>
      <c r="B6602" s="2" t="str">
        <f>HYPERLINK("http://ts.21cn.com/tousu/show/id/1337037","光大银行信用卡")</f>
        <v>光大银行信用卡</v>
      </c>
      <c r="C6602" s="2" t="s">
        <v>9</v>
      </c>
      <c r="D6602" s="2" t="s">
        <v>10</v>
      </c>
      <c r="E6602" s="2" t="str">
        <f>HYPERLINK("http://ts.21cn.com/tousu/show/id/1337037","http://ts.21cn.com/tousu/show/id/1337037")</f>
        <v>http://ts.21cn.com/tousu/show/id/1337037</v>
      </c>
      <c r="F6602" s="2" t="s">
        <v>11</v>
      </c>
      <c r="G6602" s="2" t="s">
        <v>31173</v>
      </c>
      <c r="H6602" s="2" t="s">
        <v>31174</v>
      </c>
    </row>
    <row r="6603" spans="1:8" ht="25.05" customHeight="1" x14ac:dyDescent="0.25">
      <c r="A6603" s="2" t="s">
        <v>8</v>
      </c>
      <c r="B6603" s="2" t="str">
        <f>HYPERLINK("http://ts.21cn.com/tousu/show/id/1337514","在交易猫卖号被买家恶意仲裁")</f>
        <v>在交易猫卖号被买家恶意仲裁</v>
      </c>
      <c r="C6603" s="2" t="s">
        <v>9</v>
      </c>
      <c r="D6603" s="2" t="s">
        <v>10</v>
      </c>
      <c r="E6603" s="2" t="str">
        <f>HYPERLINK("http://ts.21cn.com/tousu/show/id/1337514","http://ts.21cn.com/tousu/show/id/1337514")</f>
        <v>http://ts.21cn.com/tousu/show/id/1337514</v>
      </c>
      <c r="F6603" s="2" t="s">
        <v>11</v>
      </c>
      <c r="G6603" s="2" t="s">
        <v>31171</v>
      </c>
      <c r="H6603" s="2" t="s">
        <v>31172</v>
      </c>
    </row>
    <row r="6604" spans="1:8" ht="25.05" customHeight="1" x14ac:dyDescent="0.25">
      <c r="A6604" s="2" t="s">
        <v>8</v>
      </c>
      <c r="B6604" s="2" t="str">
        <f>HYPERLINK("http://ts.21cn.com/tousu/show/id/1337518","拼多多商家辱骂消费者，拼多多不处理商家")</f>
        <v>拼多多商家辱骂消费者，拼多多不处理商家</v>
      </c>
      <c r="C6604" s="2" t="s">
        <v>9</v>
      </c>
      <c r="D6604" s="2" t="s">
        <v>10</v>
      </c>
      <c r="E6604" s="2" t="str">
        <f>HYPERLINK("http://ts.21cn.com/tousu/show/id/1337518","http://ts.21cn.com/tousu/show/id/1337518")</f>
        <v>http://ts.21cn.com/tousu/show/id/1337518</v>
      </c>
      <c r="F6604" s="2" t="s">
        <v>11</v>
      </c>
      <c r="G6604" s="2" t="s">
        <v>31169</v>
      </c>
      <c r="H6604" s="2" t="s">
        <v>31170</v>
      </c>
    </row>
    <row r="6605" spans="1:8" ht="25.05" customHeight="1" x14ac:dyDescent="0.25">
      <c r="A6605" s="2" t="s">
        <v>8</v>
      </c>
      <c r="B6605" s="2" t="str">
        <f>HYPERLINK("http://ts.21cn.com/tousu/show/id/1337519","信用钱包黑社会暴力催收")</f>
        <v>信用钱包黑社会暴力催收</v>
      </c>
      <c r="C6605" s="2" t="s">
        <v>9</v>
      </c>
      <c r="D6605" s="2" t="s">
        <v>10</v>
      </c>
      <c r="E6605" s="2" t="str">
        <f>HYPERLINK("http://ts.21cn.com/tousu/show/id/1337519","http://ts.21cn.com/tousu/show/id/1337519")</f>
        <v>http://ts.21cn.com/tousu/show/id/1337519</v>
      </c>
      <c r="F6605" s="2" t="s">
        <v>11</v>
      </c>
      <c r="G6605" s="2" t="s">
        <v>31167</v>
      </c>
      <c r="H6605" s="2" t="s">
        <v>31168</v>
      </c>
    </row>
    <row r="6606" spans="1:8" ht="25.05" customHeight="1" x14ac:dyDescent="0.25">
      <c r="A6606" s="2" t="s">
        <v>8</v>
      </c>
      <c r="B6606" s="2" t="str">
        <f>HYPERLINK("http://ts.21cn.com/tousu/show/id/1337521","魔借暴力催收")</f>
        <v>魔借暴力催收</v>
      </c>
      <c r="C6606" s="2" t="s">
        <v>9</v>
      </c>
      <c r="D6606" s="2" t="s">
        <v>10</v>
      </c>
      <c r="E6606" s="2" t="str">
        <f>HYPERLINK("http://ts.21cn.com/tousu/show/id/1337521","http://ts.21cn.com/tousu/show/id/1337521")</f>
        <v>http://ts.21cn.com/tousu/show/id/1337521</v>
      </c>
      <c r="F6606" s="2" t="s">
        <v>11</v>
      </c>
      <c r="G6606" s="2" t="s">
        <v>31165</v>
      </c>
      <c r="H6606" s="2" t="s">
        <v>31166</v>
      </c>
    </row>
    <row r="6607" spans="1:8" ht="25.05" customHeight="1" x14ac:dyDescent="0.25">
      <c r="A6607" s="2" t="s">
        <v>8</v>
      </c>
      <c r="B6607" s="2" t="str">
        <f>HYPERLINK("http://ts.21cn.com/tousu/show/id/1337523","多宝分期四期分俩月还一共借了4000元俩月还4次共还6397元")</f>
        <v>多宝分期四期分俩月还一共借了4000元俩月还4次共还6397元</v>
      </c>
      <c r="C6607" s="2" t="s">
        <v>9</v>
      </c>
      <c r="D6607" s="2" t="s">
        <v>10</v>
      </c>
      <c r="E6607" s="2" t="str">
        <f>HYPERLINK("http://ts.21cn.com/tousu/show/id/1337523","http://ts.21cn.com/tousu/show/id/1337523")</f>
        <v>http://ts.21cn.com/tousu/show/id/1337523</v>
      </c>
      <c r="F6607" s="2" t="s">
        <v>11</v>
      </c>
      <c r="G6607" s="2" t="s">
        <v>31163</v>
      </c>
      <c r="H6607" s="2" t="s">
        <v>31164</v>
      </c>
    </row>
    <row r="6608" spans="1:8" ht="25.05" customHeight="1" x14ac:dyDescent="0.25">
      <c r="A6608" s="2" t="s">
        <v>8</v>
      </c>
      <c r="B6608" s="2" t="str">
        <f>HYPERLINK("http://ts.21cn.com/tousu/show/id/1337524","360借条")</f>
        <v>360借条</v>
      </c>
      <c r="C6608" s="2" t="s">
        <v>9</v>
      </c>
      <c r="D6608" s="2" t="s">
        <v>10</v>
      </c>
      <c r="E6608" s="2" t="str">
        <f>HYPERLINK("http://ts.21cn.com/tousu/show/id/1337524","http://ts.21cn.com/tousu/show/id/1337524")</f>
        <v>http://ts.21cn.com/tousu/show/id/1337524</v>
      </c>
      <c r="F6608" s="2" t="s">
        <v>11</v>
      </c>
      <c r="G6608" s="2" t="s">
        <v>31161</v>
      </c>
      <c r="H6608" s="2" t="s">
        <v>31162</v>
      </c>
    </row>
    <row r="6609" spans="1:8" ht="25.05" customHeight="1" x14ac:dyDescent="0.25">
      <c r="A6609" s="2" t="s">
        <v>8</v>
      </c>
      <c r="B6609" s="2" t="str">
        <f>HYPERLINK("http://ts.21cn.com/tousu/show/id/1337525","维信卡卡贷未经本人同意扣除卡上的钱，砍头息")</f>
        <v>维信卡卡贷未经本人同意扣除卡上的钱，砍头息</v>
      </c>
      <c r="C6609" s="2" t="s">
        <v>9</v>
      </c>
      <c r="D6609" s="2" t="s">
        <v>10</v>
      </c>
      <c r="E6609" s="2" t="str">
        <f>HYPERLINK("http://ts.21cn.com/tousu/show/id/1337525","http://ts.21cn.com/tousu/show/id/1337525")</f>
        <v>http://ts.21cn.com/tousu/show/id/1337525</v>
      </c>
      <c r="F6609" s="2" t="s">
        <v>11</v>
      </c>
      <c r="G6609" s="2" t="s">
        <v>31159</v>
      </c>
      <c r="H6609" s="2" t="s">
        <v>31160</v>
      </c>
    </row>
    <row r="6610" spans="1:8" ht="25.05" customHeight="1" x14ac:dyDescent="0.25">
      <c r="A6610" s="2" t="s">
        <v>8</v>
      </c>
      <c r="B6610" s="2" t="str">
        <f>HYPERLINK("http://ts.21cn.com/tousu/show/id/1337526","打电话威胁")</f>
        <v>打电话威胁</v>
      </c>
      <c r="C6610" s="2" t="s">
        <v>9</v>
      </c>
      <c r="D6610" s="2" t="s">
        <v>10</v>
      </c>
      <c r="E6610" s="2" t="str">
        <f>HYPERLINK("http://ts.21cn.com/tousu/show/id/1337526","http://ts.21cn.com/tousu/show/id/1337526")</f>
        <v>http://ts.21cn.com/tousu/show/id/1337526</v>
      </c>
      <c r="F6610" s="2" t="s">
        <v>11</v>
      </c>
      <c r="G6610" s="2" t="s">
        <v>31157</v>
      </c>
      <c r="H6610" s="2" t="s">
        <v>31158</v>
      </c>
    </row>
    <row r="6611" spans="1:8" ht="25.05" customHeight="1" x14ac:dyDescent="0.25">
      <c r="A6611" s="2" t="s">
        <v>8</v>
      </c>
      <c r="B6611" s="2" t="str">
        <f>HYPERLINK("http://ts.21cn.com/tousu/show/id/1337527","点点通砍头息催收")</f>
        <v>点点通砍头息催收</v>
      </c>
      <c r="C6611" s="2" t="s">
        <v>34</v>
      </c>
      <c r="D6611" s="2" t="s">
        <v>10</v>
      </c>
      <c r="E6611" s="2" t="str">
        <f>HYPERLINK("http://ts.21cn.com/tousu/show/id/1337527","http://ts.21cn.com/tousu/show/id/1337527")</f>
        <v>http://ts.21cn.com/tousu/show/id/1337527</v>
      </c>
      <c r="F6611" s="2" t="s">
        <v>11</v>
      </c>
      <c r="G6611" s="2" t="s">
        <v>31155</v>
      </c>
      <c r="H6611" s="2" t="s">
        <v>31156</v>
      </c>
    </row>
    <row r="6612" spans="1:8" ht="25.05" customHeight="1" x14ac:dyDescent="0.25">
      <c r="A6612" s="2" t="s">
        <v>8</v>
      </c>
      <c r="B6612" s="2" t="str">
        <f>HYPERLINK("http://ts.21cn.com/tousu/show/id/1337528","超级马力贷砍头息")</f>
        <v>超级马力贷砍头息</v>
      </c>
      <c r="C6612" s="2" t="s">
        <v>34</v>
      </c>
      <c r="D6612" s="2" t="s">
        <v>10</v>
      </c>
      <c r="E6612" s="2" t="str">
        <f>HYPERLINK("http://ts.21cn.com/tousu/show/id/1337528","http://ts.21cn.com/tousu/show/id/1337528")</f>
        <v>http://ts.21cn.com/tousu/show/id/1337528</v>
      </c>
      <c r="F6612" s="2" t="s">
        <v>11</v>
      </c>
      <c r="G6612" s="2" t="s">
        <v>31153</v>
      </c>
      <c r="H6612" s="2" t="s">
        <v>31154</v>
      </c>
    </row>
    <row r="6613" spans="1:8" ht="25.05" customHeight="1" x14ac:dyDescent="0.25">
      <c r="A6613" s="2" t="s">
        <v>8</v>
      </c>
      <c r="B6613" s="2" t="str">
        <f>HYPERLINK("http://ts.21cn.com/tousu/show/id/1337530","月光侠分期高利贷！借3000到手2100，还3150。还不协商还款！")</f>
        <v>月光侠分期高利贷！借3000到手2100，还3150。还不协商还款！</v>
      </c>
      <c r="C6613" s="2" t="s">
        <v>9</v>
      </c>
      <c r="D6613" s="2" t="s">
        <v>10</v>
      </c>
      <c r="E6613" s="2" t="str">
        <f>HYPERLINK("http://ts.21cn.com/tousu/show/id/1337530","http://ts.21cn.com/tousu/show/id/1337530")</f>
        <v>http://ts.21cn.com/tousu/show/id/1337530</v>
      </c>
      <c r="F6613" s="2" t="s">
        <v>11</v>
      </c>
      <c r="G6613" s="2" t="s">
        <v>31151</v>
      </c>
      <c r="H6613" s="2" t="s">
        <v>31152</v>
      </c>
    </row>
    <row r="6614" spans="1:8" ht="25.05" customHeight="1" x14ac:dyDescent="0.25">
      <c r="A6614" s="2" t="s">
        <v>8</v>
      </c>
      <c r="B6614" s="2" t="str">
        <f>HYPERLINK("http://ts.21cn.com/tousu/show/id/1337531","立刻出行APP拖延时间退押金")</f>
        <v>立刻出行APP拖延时间退押金</v>
      </c>
      <c r="C6614" s="2" t="s">
        <v>9</v>
      </c>
      <c r="D6614" s="2" t="s">
        <v>10</v>
      </c>
      <c r="E6614" s="2" t="str">
        <f>HYPERLINK("http://ts.21cn.com/tousu/show/id/1337531","http://ts.21cn.com/tousu/show/id/1337531")</f>
        <v>http://ts.21cn.com/tousu/show/id/1337531</v>
      </c>
      <c r="F6614" s="2" t="s">
        <v>11</v>
      </c>
      <c r="G6614" s="2" t="s">
        <v>31149</v>
      </c>
      <c r="H6614" s="2" t="s">
        <v>31150</v>
      </c>
    </row>
    <row r="6615" spans="1:8" ht="25.05" customHeight="1" x14ac:dyDescent="0.25">
      <c r="A6615" s="2" t="s">
        <v>8</v>
      </c>
      <c r="B6615" s="2" t="str">
        <f>HYPERLINK("http://ts.21cn.com/tousu/show/id/1337535","无缘无故扣取的299元费用。")</f>
        <v>无缘无故扣取的299元费用。</v>
      </c>
      <c r="C6615" s="2" t="s">
        <v>9</v>
      </c>
      <c r="D6615" s="2" t="s">
        <v>10</v>
      </c>
      <c r="E6615" s="2" t="str">
        <f>HYPERLINK("http://ts.21cn.com/tousu/show/id/1337535","http://ts.21cn.com/tousu/show/id/1337535")</f>
        <v>http://ts.21cn.com/tousu/show/id/1337535</v>
      </c>
      <c r="F6615" s="2" t="s">
        <v>11</v>
      </c>
      <c r="G6615" s="2" t="s">
        <v>31147</v>
      </c>
      <c r="H6615" s="2" t="s">
        <v>31148</v>
      </c>
    </row>
    <row r="6616" spans="1:8" ht="25.05" customHeight="1" x14ac:dyDescent="0.25">
      <c r="A6616" s="2" t="s">
        <v>8</v>
      </c>
      <c r="B6616" s="2" t="str">
        <f>HYPERLINK("http://ts.21cn.com/tousu/show/id/1337536","强烈请求聚投诉帮助解决套路贷")</f>
        <v>强烈请求聚投诉帮助解决套路贷</v>
      </c>
      <c r="C6616" s="2" t="s">
        <v>9</v>
      </c>
      <c r="D6616" s="2" t="s">
        <v>10</v>
      </c>
      <c r="E6616" s="2" t="str">
        <f>HYPERLINK("http://ts.21cn.com/tousu/show/id/1337536","http://ts.21cn.com/tousu/show/id/1337536")</f>
        <v>http://ts.21cn.com/tousu/show/id/1337536</v>
      </c>
      <c r="F6616" s="2" t="s">
        <v>11</v>
      </c>
      <c r="G6616" s="2" t="s">
        <v>31145</v>
      </c>
      <c r="H6616" s="2" t="s">
        <v>31146</v>
      </c>
    </row>
    <row r="6617" spans="1:8" ht="25.05" customHeight="1" x14ac:dyDescent="0.25">
      <c r="A6617" s="2" t="s">
        <v>8</v>
      </c>
      <c r="B6617" s="2" t="str">
        <f>HYPERLINK("http://ts.21cn.com/tousu/show/id/1337538","捷信员工以业务不足为由，请学生刷单，并私自办理购买物品业务分期，要求学生偿还债务")</f>
        <v>捷信员工以业务不足为由，请学生刷单，并私自办理购买物品业务分期，要求学生偿还债务</v>
      </c>
      <c r="C6617" s="2" t="s">
        <v>9</v>
      </c>
      <c r="D6617" s="2" t="s">
        <v>10</v>
      </c>
      <c r="E6617" s="2" t="str">
        <f>HYPERLINK("http://ts.21cn.com/tousu/show/id/1337538","http://ts.21cn.com/tousu/show/id/1337538")</f>
        <v>http://ts.21cn.com/tousu/show/id/1337538</v>
      </c>
      <c r="F6617" s="2" t="s">
        <v>11</v>
      </c>
      <c r="G6617" s="2" t="s">
        <v>31143</v>
      </c>
      <c r="H6617" s="2" t="s">
        <v>31144</v>
      </c>
    </row>
    <row r="6618" spans="1:8" ht="25.05" customHeight="1" x14ac:dyDescent="0.25">
      <c r="A6618" s="2" t="s">
        <v>8</v>
      </c>
      <c r="B6618" s="2" t="str">
        <f>HYPERLINK("http://ts.21cn.com/tousu/show/id/1337540","搜狗借钱催收没有王法")</f>
        <v>搜狗借钱催收没有王法</v>
      </c>
      <c r="C6618" s="2" t="s">
        <v>9</v>
      </c>
      <c r="D6618" s="2" t="s">
        <v>10</v>
      </c>
      <c r="E6618" s="2" t="str">
        <f>HYPERLINK("http://ts.21cn.com/tousu/show/id/1337540","http://ts.21cn.com/tousu/show/id/1337540")</f>
        <v>http://ts.21cn.com/tousu/show/id/1337540</v>
      </c>
      <c r="F6618" s="2" t="s">
        <v>11</v>
      </c>
      <c r="G6618" s="2" t="s">
        <v>31141</v>
      </c>
      <c r="H6618" s="2" t="s">
        <v>31142</v>
      </c>
    </row>
    <row r="6619" spans="1:8" ht="25.05" customHeight="1" x14ac:dyDescent="0.25">
      <c r="A6619" s="2" t="s">
        <v>8</v>
      </c>
      <c r="B6619" s="2" t="str">
        <f>HYPERLINK("http://ts.21cn.com/tousu/show/id/1337539","开口辱骂，态度极其恶虐")</f>
        <v>开口辱骂，态度极其恶虐</v>
      </c>
      <c r="C6619" s="2" t="s">
        <v>9</v>
      </c>
      <c r="D6619" s="2" t="s">
        <v>10</v>
      </c>
      <c r="E6619" s="2" t="str">
        <f>HYPERLINK("http://ts.21cn.com/tousu/show/id/1337539","http://ts.21cn.com/tousu/show/id/1337539")</f>
        <v>http://ts.21cn.com/tousu/show/id/1337539</v>
      </c>
      <c r="F6619" s="2" t="s">
        <v>11</v>
      </c>
      <c r="G6619" s="2" t="s">
        <v>31139</v>
      </c>
      <c r="H6619" s="2" t="s">
        <v>31140</v>
      </c>
    </row>
    <row r="6620" spans="1:8" ht="25.05" customHeight="1" x14ac:dyDescent="0.25">
      <c r="A6620" s="2" t="s">
        <v>8</v>
      </c>
      <c r="B6620" s="2" t="str">
        <f>HYPERLINK("http://ts.21cn.com/tousu/show/id/1337541","聚福钱包未经许可私自扣款")</f>
        <v>聚福钱包未经许可私自扣款</v>
      </c>
      <c r="C6620" s="2" t="s">
        <v>9</v>
      </c>
      <c r="D6620" s="2" t="s">
        <v>10</v>
      </c>
      <c r="E6620" s="2" t="str">
        <f>HYPERLINK("http://ts.21cn.com/tousu/show/id/1337541","http://ts.21cn.com/tousu/show/id/1337541")</f>
        <v>http://ts.21cn.com/tousu/show/id/1337541</v>
      </c>
      <c r="F6620" s="2" t="s">
        <v>11</v>
      </c>
      <c r="G6620" s="2" t="s">
        <v>31137</v>
      </c>
      <c r="H6620" s="2" t="s">
        <v>31138</v>
      </c>
    </row>
    <row r="6621" spans="1:8" ht="25.05" customHeight="1" x14ac:dyDescent="0.25">
      <c r="A6621" s="2" t="s">
        <v>8</v>
      </c>
      <c r="B6621" s="2" t="str">
        <f>HYPERLINK("http://ts.21cn.com/tousu/show/id/1337542","电话威胁催收")</f>
        <v>电话威胁催收</v>
      </c>
      <c r="C6621" s="2" t="s">
        <v>9</v>
      </c>
      <c r="D6621" s="2" t="s">
        <v>10</v>
      </c>
      <c r="E6621" s="2" t="str">
        <f>HYPERLINK("http://ts.21cn.com/tousu/show/id/1337542","http://ts.21cn.com/tousu/show/id/1337542")</f>
        <v>http://ts.21cn.com/tousu/show/id/1337542</v>
      </c>
      <c r="F6621" s="2" t="s">
        <v>11</v>
      </c>
      <c r="G6621" s="2" t="s">
        <v>31135</v>
      </c>
      <c r="H6621" s="2" t="s">
        <v>31136</v>
      </c>
    </row>
    <row r="6622" spans="1:8" ht="25.05" customHeight="1" x14ac:dyDescent="0.25">
      <c r="A6622" s="2" t="s">
        <v>8</v>
      </c>
      <c r="B6622" s="2" t="str">
        <f>HYPERLINK("http://ts.21cn.com/tousu/show/id/1337543","万惠及贷变相收取高额息费以及暴力催收")</f>
        <v>万惠及贷变相收取高额息费以及暴力催收</v>
      </c>
      <c r="C6622" s="2" t="s">
        <v>9</v>
      </c>
      <c r="D6622" s="2" t="s">
        <v>10</v>
      </c>
      <c r="E6622" s="2" t="str">
        <f>HYPERLINK("http://ts.21cn.com/tousu/show/id/1337543","http://ts.21cn.com/tousu/show/id/1337543")</f>
        <v>http://ts.21cn.com/tousu/show/id/1337543</v>
      </c>
      <c r="F6622" s="2" t="s">
        <v>11</v>
      </c>
      <c r="G6622" s="2" t="s">
        <v>31133</v>
      </c>
      <c r="H6622" s="2" t="s">
        <v>31134</v>
      </c>
    </row>
    <row r="6623" spans="1:8" ht="25.05" customHeight="1" x14ac:dyDescent="0.25">
      <c r="A6623" s="2" t="s">
        <v>8</v>
      </c>
      <c r="B6623" s="2" t="str">
        <f>HYPERLINK("http://ts.21cn.com/tousu/show/id/1337544","读秒钱包")</f>
        <v>读秒钱包</v>
      </c>
      <c r="C6623" s="2" t="s">
        <v>9</v>
      </c>
      <c r="D6623" s="2" t="s">
        <v>10</v>
      </c>
      <c r="E6623" s="2" t="str">
        <f>HYPERLINK("http://ts.21cn.com/tousu/show/id/1337544","http://ts.21cn.com/tousu/show/id/1337544")</f>
        <v>http://ts.21cn.com/tousu/show/id/1337544</v>
      </c>
      <c r="F6623" s="2" t="s">
        <v>11</v>
      </c>
      <c r="G6623" s="2" t="s">
        <v>31131</v>
      </c>
      <c r="H6623" s="2" t="s">
        <v>31132</v>
      </c>
    </row>
    <row r="6624" spans="1:8" ht="25.05" customHeight="1" x14ac:dyDescent="0.25">
      <c r="A6624" s="2" t="s">
        <v>8</v>
      </c>
      <c r="B6624" s="2" t="str">
        <f>HYPERLINK("http://ts.21cn.com/tousu/show/id/1337545","高利贷退还砍头息")</f>
        <v>高利贷退还砍头息</v>
      </c>
      <c r="C6624" s="2" t="s">
        <v>9</v>
      </c>
      <c r="D6624" s="2" t="s">
        <v>10</v>
      </c>
      <c r="E6624" s="2" t="str">
        <f>HYPERLINK("http://ts.21cn.com/tousu/show/id/1337545","http://ts.21cn.com/tousu/show/id/1337545")</f>
        <v>http://ts.21cn.com/tousu/show/id/1337545</v>
      </c>
      <c r="F6624" s="2" t="s">
        <v>11</v>
      </c>
      <c r="G6624" s="2" t="s">
        <v>31129</v>
      </c>
      <c r="H6624" s="2" t="s">
        <v>31130</v>
      </c>
    </row>
    <row r="6625" spans="1:8" ht="25.05" customHeight="1" x14ac:dyDescent="0.25">
      <c r="A6625" s="2" t="s">
        <v>8</v>
      </c>
      <c r="B6625" s="2" t="str">
        <f>HYPERLINK("http://ts.21cn.com/tousu/show/id/1337547","招联金融")</f>
        <v>招联金融</v>
      </c>
      <c r="C6625" s="2" t="s">
        <v>9</v>
      </c>
      <c r="D6625" s="2" t="s">
        <v>10</v>
      </c>
      <c r="E6625" s="2" t="str">
        <f>HYPERLINK("http://ts.21cn.com/tousu/show/id/1337547","http://ts.21cn.com/tousu/show/id/1337547")</f>
        <v>http://ts.21cn.com/tousu/show/id/1337547</v>
      </c>
      <c r="F6625" s="2" t="s">
        <v>11</v>
      </c>
      <c r="G6625" s="2" t="s">
        <v>31127</v>
      </c>
      <c r="H6625" s="2" t="s">
        <v>31128</v>
      </c>
    </row>
    <row r="6626" spans="1:8" ht="25.05" customHeight="1" x14ac:dyDescent="0.25">
      <c r="A6626" s="2" t="s">
        <v>8</v>
      </c>
      <c r="B6626" s="2" t="str">
        <f>HYPERLINK("http://ts.21cn.com/tousu/show/id/1337546","大菠萝714高利贷")</f>
        <v>大菠萝714高利贷</v>
      </c>
      <c r="C6626" s="2" t="s">
        <v>9</v>
      </c>
      <c r="D6626" s="2" t="s">
        <v>10</v>
      </c>
      <c r="E6626" s="2" t="str">
        <f>HYPERLINK("http://ts.21cn.com/tousu/show/id/1337546","http://ts.21cn.com/tousu/show/id/1337546")</f>
        <v>http://ts.21cn.com/tousu/show/id/1337546</v>
      </c>
      <c r="F6626" s="2" t="s">
        <v>11</v>
      </c>
      <c r="G6626" s="2" t="s">
        <v>31124</v>
      </c>
      <c r="H6626" s="2" t="s">
        <v>31125</v>
      </c>
    </row>
    <row r="6627" spans="1:8" ht="25.05" customHeight="1" x14ac:dyDescent="0.25">
      <c r="A6627" s="2" t="s">
        <v>8</v>
      </c>
      <c r="B6627" s="2" t="str">
        <f>HYPERLINK("http://ts.21cn.com/tousu/show/id/1337550","招联金融威胁打爆电话，投诉无果，回复极其嚣张无理")</f>
        <v>招联金融威胁打爆电话，投诉无果，回复极其嚣张无理</v>
      </c>
      <c r="C6627" s="2" t="s">
        <v>9</v>
      </c>
      <c r="D6627" s="2" t="s">
        <v>10</v>
      </c>
      <c r="E6627" s="2" t="str">
        <f>HYPERLINK("http://ts.21cn.com/tousu/show/id/1337550","http://ts.21cn.com/tousu/show/id/1337550")</f>
        <v>http://ts.21cn.com/tousu/show/id/1337550</v>
      </c>
      <c r="F6627" s="2" t="s">
        <v>11</v>
      </c>
      <c r="G6627" s="2" t="s">
        <v>31124</v>
      </c>
      <c r="H6627" s="2" t="s">
        <v>31126</v>
      </c>
    </row>
    <row r="6628" spans="1:8" ht="25.05" customHeight="1" x14ac:dyDescent="0.25">
      <c r="A6628" s="2" t="s">
        <v>8</v>
      </c>
      <c r="B6628" s="2" t="str">
        <f>HYPERLINK("http://ts.21cn.com/tousu/show/id/1337551","平安普惠i贷主动还款不算数")</f>
        <v>平安普惠i贷主动还款不算数</v>
      </c>
      <c r="C6628" s="2" t="s">
        <v>34</v>
      </c>
      <c r="D6628" s="2" t="s">
        <v>10</v>
      </c>
      <c r="E6628" s="2" t="str">
        <f>HYPERLINK("http://ts.21cn.com/tousu/show/id/1337551","http://ts.21cn.com/tousu/show/id/1337551")</f>
        <v>http://ts.21cn.com/tousu/show/id/1337551</v>
      </c>
      <c r="F6628" s="2" t="s">
        <v>11</v>
      </c>
      <c r="G6628" s="2" t="s">
        <v>31122</v>
      </c>
      <c r="H6628" s="2" t="s">
        <v>31123</v>
      </c>
    </row>
    <row r="6629" spans="1:8" ht="25.05" customHeight="1" x14ac:dyDescent="0.25">
      <c r="A6629" s="2" t="s">
        <v>8</v>
      </c>
      <c r="B6629" s="2" t="str">
        <f>HYPERLINK("http://ts.21cn.com/tousu/show/id/1337552","浙江绿森信息科技有限公司（绿森商城）拒不退款，涉嫌违反消费者条例，要求立即退款")</f>
        <v>浙江绿森信息科技有限公司（绿森商城）拒不退款，涉嫌违反消费者条例，要求立即退款</v>
      </c>
      <c r="C6629" s="2" t="s">
        <v>9</v>
      </c>
      <c r="D6629" s="2" t="s">
        <v>10</v>
      </c>
      <c r="E6629" s="2" t="str">
        <f>HYPERLINK("http://ts.21cn.com/tousu/show/id/1337552","http://ts.21cn.com/tousu/show/id/1337552")</f>
        <v>http://ts.21cn.com/tousu/show/id/1337552</v>
      </c>
      <c r="F6629" s="2" t="s">
        <v>11</v>
      </c>
      <c r="G6629" s="2" t="s">
        <v>31120</v>
      </c>
      <c r="H6629" s="2" t="s">
        <v>31121</v>
      </c>
    </row>
    <row r="6630" spans="1:8" ht="25.05" customHeight="1" x14ac:dyDescent="0.25">
      <c r="A6630" s="2" t="s">
        <v>8</v>
      </c>
      <c r="B6630" s="2" t="str">
        <f>HYPERLINK("http://ts.21cn.com/tousu/show/id/1337554","恐吓威胁")</f>
        <v>恐吓威胁</v>
      </c>
      <c r="C6630" s="2" t="s">
        <v>9</v>
      </c>
      <c r="D6630" s="2" t="s">
        <v>10</v>
      </c>
      <c r="E6630" s="2" t="str">
        <f>HYPERLINK("http://ts.21cn.com/tousu/show/id/1337554","http://ts.21cn.com/tousu/show/id/1337554")</f>
        <v>http://ts.21cn.com/tousu/show/id/1337554</v>
      </c>
      <c r="F6630" s="2" t="s">
        <v>11</v>
      </c>
      <c r="G6630" s="2" t="s">
        <v>31118</v>
      </c>
      <c r="H6630" s="2" t="s">
        <v>31119</v>
      </c>
    </row>
    <row r="6631" spans="1:8" ht="25.05" customHeight="1" x14ac:dyDescent="0.25">
      <c r="A6631" s="2" t="s">
        <v>8</v>
      </c>
      <c r="B6631" s="2" t="str">
        <f>HYPERLINK("http://ts.21cn.com/tousu/show/id/1337520","放纵发布人在其属下平台/APP/网页发布兼职招聘信息导致用户被拖欠工资")</f>
        <v>放纵发布人在其属下平台/APP/网页发布兼职招聘信息导致用户被拖欠工资</v>
      </c>
      <c r="C6631" s="2" t="s">
        <v>9</v>
      </c>
      <c r="D6631" s="2" t="s">
        <v>10</v>
      </c>
      <c r="E6631" s="2" t="str">
        <f>HYPERLINK("http://ts.21cn.com/tousu/show/id/1337520","http://ts.21cn.com/tousu/show/id/1337520")</f>
        <v>http://ts.21cn.com/tousu/show/id/1337520</v>
      </c>
      <c r="F6631" s="2" t="s">
        <v>11</v>
      </c>
      <c r="G6631" s="2" t="s">
        <v>31116</v>
      </c>
      <c r="H6631" s="2" t="s">
        <v>31117</v>
      </c>
    </row>
    <row r="6632" spans="1:8" ht="25.05" customHeight="1" x14ac:dyDescent="0.25">
      <c r="A6632" s="2" t="s">
        <v>8</v>
      </c>
      <c r="B6632" s="2" t="str">
        <f>HYPERLINK("http://ts.21cn.com/tousu/show/id/1337555","投诉时光分期恶意辱骂威胁")</f>
        <v>投诉时光分期恶意辱骂威胁</v>
      </c>
      <c r="C6632" s="2" t="s">
        <v>9</v>
      </c>
      <c r="D6632" s="2" t="s">
        <v>10</v>
      </c>
      <c r="E6632" s="2" t="str">
        <f>HYPERLINK("http://ts.21cn.com/tousu/show/id/1337555","http://ts.21cn.com/tousu/show/id/1337555")</f>
        <v>http://ts.21cn.com/tousu/show/id/1337555</v>
      </c>
      <c r="F6632" s="2" t="s">
        <v>11</v>
      </c>
      <c r="G6632" s="2" t="s">
        <v>31114</v>
      </c>
      <c r="H6632" s="2" t="s">
        <v>31115</v>
      </c>
    </row>
    <row r="6633" spans="1:8" ht="25.05" customHeight="1" x14ac:dyDescent="0.25">
      <c r="A6633" s="2" t="s">
        <v>8</v>
      </c>
      <c r="B6633" s="2" t="str">
        <f>HYPERLINK("http://ts.21cn.com/tousu/show/id/1337556","51人品贷涉嫌发放高利贷，暴力催收")</f>
        <v>51人品贷涉嫌发放高利贷，暴力催收</v>
      </c>
      <c r="C6633" s="2" t="s">
        <v>9</v>
      </c>
      <c r="D6633" s="2" t="s">
        <v>10</v>
      </c>
      <c r="E6633" s="2" t="str">
        <f>HYPERLINK("http://ts.21cn.com/tousu/show/id/1337556","http://ts.21cn.com/tousu/show/id/1337556")</f>
        <v>http://ts.21cn.com/tousu/show/id/1337556</v>
      </c>
      <c r="F6633" s="2" t="s">
        <v>11</v>
      </c>
      <c r="G6633" s="2" t="s">
        <v>31112</v>
      </c>
      <c r="H6633" s="2" t="s">
        <v>31113</v>
      </c>
    </row>
    <row r="6634" spans="1:8" ht="25.05" customHeight="1" x14ac:dyDescent="0.25">
      <c r="A6634" s="2" t="s">
        <v>8</v>
      </c>
      <c r="B6634" s="2" t="str">
        <f>HYPERLINK("http://ts.21cn.com/tousu/show/id/1337533","出行唯选办卡人员虚假误导宣传用户")</f>
        <v>出行唯选办卡人员虚假误导宣传用户</v>
      </c>
      <c r="C6634" s="2" t="s">
        <v>9</v>
      </c>
      <c r="D6634" s="2" t="s">
        <v>10</v>
      </c>
      <c r="E6634" s="2" t="str">
        <f>HYPERLINK("http://ts.21cn.com/tousu/show/id/1337533","http://ts.21cn.com/tousu/show/id/1337533")</f>
        <v>http://ts.21cn.com/tousu/show/id/1337533</v>
      </c>
      <c r="F6634" s="2" t="s">
        <v>11</v>
      </c>
      <c r="G6634" s="2" t="s">
        <v>31110</v>
      </c>
      <c r="H6634" s="2" t="s">
        <v>31111</v>
      </c>
    </row>
    <row r="6635" spans="1:8" ht="25.05" customHeight="1" x14ac:dyDescent="0.25">
      <c r="A6635" s="2" t="s">
        <v>8</v>
      </c>
      <c r="B6635" s="2" t="str">
        <f>HYPERLINK("http://ts.21cn.com/tousu/show/id/1337557","交易猫仲裁，交易猫不受理")</f>
        <v>交易猫仲裁，交易猫不受理</v>
      </c>
      <c r="C6635" s="2" t="s">
        <v>9</v>
      </c>
      <c r="D6635" s="2" t="s">
        <v>10</v>
      </c>
      <c r="E6635" s="2" t="str">
        <f>HYPERLINK("http://ts.21cn.com/tousu/show/id/1337557","http://ts.21cn.com/tousu/show/id/1337557")</f>
        <v>http://ts.21cn.com/tousu/show/id/1337557</v>
      </c>
      <c r="F6635" s="2" t="s">
        <v>11</v>
      </c>
      <c r="G6635" s="2" t="s">
        <v>31108</v>
      </c>
      <c r="H6635" s="2" t="s">
        <v>31109</v>
      </c>
    </row>
    <row r="6636" spans="1:8" ht="25.05" customHeight="1" x14ac:dyDescent="0.25">
      <c r="A6636" s="2" t="s">
        <v>8</v>
      </c>
      <c r="B6636" s="2" t="str">
        <f>HYPERLINK("http://ts.21cn.com/tousu/show/id/1337558","现控达人高利贷恶意制造逾期")</f>
        <v>现控达人高利贷恶意制造逾期</v>
      </c>
      <c r="C6636" s="2" t="s">
        <v>9</v>
      </c>
      <c r="D6636" s="2" t="s">
        <v>10</v>
      </c>
      <c r="E6636" s="2" t="str">
        <f>HYPERLINK("http://ts.21cn.com/tousu/show/id/1337558","http://ts.21cn.com/tousu/show/id/1337558")</f>
        <v>http://ts.21cn.com/tousu/show/id/1337558</v>
      </c>
      <c r="F6636" s="2" t="s">
        <v>11</v>
      </c>
      <c r="G6636" s="2" t="s">
        <v>31106</v>
      </c>
      <c r="H6636" s="2" t="s">
        <v>31107</v>
      </c>
    </row>
    <row r="6637" spans="1:8" ht="25.05" customHeight="1" x14ac:dyDescent="0.25">
      <c r="A6637" s="2" t="s">
        <v>8</v>
      </c>
      <c r="B6637" s="2" t="str">
        <f>HYPERLINK("http://ts.21cn.com/tousu/show/id/1337559","立借平台高炮非法催收")</f>
        <v>立借平台高炮非法催收</v>
      </c>
      <c r="C6637" s="2" t="s">
        <v>9</v>
      </c>
      <c r="D6637" s="2" t="s">
        <v>10</v>
      </c>
      <c r="E6637" s="2" t="str">
        <f>HYPERLINK("http://ts.21cn.com/tousu/show/id/1337559","http://ts.21cn.com/tousu/show/id/1337559")</f>
        <v>http://ts.21cn.com/tousu/show/id/1337559</v>
      </c>
      <c r="F6637" s="2" t="s">
        <v>11</v>
      </c>
      <c r="G6637" s="2" t="s">
        <v>31104</v>
      </c>
      <c r="H6637" s="2" t="s">
        <v>31105</v>
      </c>
    </row>
    <row r="6638" spans="1:8" ht="25.05" customHeight="1" x14ac:dyDescent="0.25">
      <c r="A6638" s="2" t="s">
        <v>8</v>
      </c>
      <c r="B6638" s="2" t="str">
        <f>HYPERLINK("http://ts.21cn.com/tousu/show/id/1337560","威胁恐吓辱骂")</f>
        <v>威胁恐吓辱骂</v>
      </c>
      <c r="C6638" s="2" t="s">
        <v>9</v>
      </c>
      <c r="D6638" s="2" t="s">
        <v>10</v>
      </c>
      <c r="E6638" s="2" t="str">
        <f>HYPERLINK("http://ts.21cn.com/tousu/show/id/1337560","http://ts.21cn.com/tousu/show/id/1337560")</f>
        <v>http://ts.21cn.com/tousu/show/id/1337560</v>
      </c>
      <c r="F6638" s="2" t="s">
        <v>11</v>
      </c>
      <c r="G6638" s="2" t="s">
        <v>31102</v>
      </c>
      <c r="H6638" s="2" t="s">
        <v>31103</v>
      </c>
    </row>
    <row r="6639" spans="1:8" ht="25.05" customHeight="1" x14ac:dyDescent="0.25">
      <c r="A6639" s="2" t="s">
        <v>8</v>
      </c>
      <c r="B6639" s="2" t="str">
        <f>HYPERLINK("http://ts.21cn.com/tousu/show/id/1337563","小孩子支付宝转账")</f>
        <v>小孩子支付宝转账</v>
      </c>
      <c r="C6639" s="2" t="s">
        <v>34</v>
      </c>
      <c r="D6639" s="2" t="s">
        <v>10</v>
      </c>
      <c r="E6639" s="2" t="str">
        <f>HYPERLINK("http://ts.21cn.com/tousu/show/id/1337563","http://ts.21cn.com/tousu/show/id/1337563")</f>
        <v>http://ts.21cn.com/tousu/show/id/1337563</v>
      </c>
      <c r="F6639" s="2" t="s">
        <v>11</v>
      </c>
      <c r="G6639" s="2" t="s">
        <v>31100</v>
      </c>
      <c r="H6639" s="2" t="s">
        <v>31101</v>
      </c>
    </row>
    <row r="6640" spans="1:8" ht="25.05" customHeight="1" x14ac:dyDescent="0.25">
      <c r="A6640" s="2" t="s">
        <v>8</v>
      </c>
      <c r="B6640" s="2" t="str">
        <f>HYPERLINK("http://ts.21cn.com/tousu/show/id/1337562","招联金融恐吓及暴力催收")</f>
        <v>招联金融恐吓及暴力催收</v>
      </c>
      <c r="C6640" s="2" t="s">
        <v>9</v>
      </c>
      <c r="D6640" s="2" t="s">
        <v>10</v>
      </c>
      <c r="E6640" s="2" t="str">
        <f>HYPERLINK("http://ts.21cn.com/tousu/show/id/1337562","http://ts.21cn.com/tousu/show/id/1337562")</f>
        <v>http://ts.21cn.com/tousu/show/id/1337562</v>
      </c>
      <c r="F6640" s="2" t="s">
        <v>11</v>
      </c>
      <c r="G6640" s="2" t="s">
        <v>31098</v>
      </c>
      <c r="H6640" s="2" t="s">
        <v>31099</v>
      </c>
    </row>
    <row r="6641" spans="1:8" ht="25.05" customHeight="1" x14ac:dyDescent="0.25">
      <c r="A6641" s="2" t="s">
        <v>8</v>
      </c>
      <c r="B6641" s="2" t="str">
        <f>HYPERLINK("http://ts.21cn.com/tousu/show/id/1337553","白条分期APP，恶意扣费249元！")</f>
        <v>白条分期APP，恶意扣费249元！</v>
      </c>
      <c r="C6641" s="2" t="s">
        <v>9</v>
      </c>
      <c r="D6641" s="2" t="s">
        <v>10</v>
      </c>
      <c r="E6641" s="2" t="str">
        <f>HYPERLINK("http://ts.21cn.com/tousu/show/id/1337553","http://ts.21cn.com/tousu/show/id/1337553")</f>
        <v>http://ts.21cn.com/tousu/show/id/1337553</v>
      </c>
      <c r="F6641" s="2" t="s">
        <v>11</v>
      </c>
      <c r="G6641" s="2" t="s">
        <v>31096</v>
      </c>
      <c r="H6641" s="2" t="s">
        <v>31097</v>
      </c>
    </row>
    <row r="6642" spans="1:8" ht="25.05" customHeight="1" x14ac:dyDescent="0.25">
      <c r="A6642" s="2" t="s">
        <v>8</v>
      </c>
      <c r="B6642" s="2" t="str">
        <f>HYPERLINK("http://ts.21cn.com/tousu/show/id/1337564","爆通讯录骚扰我家人朋友")</f>
        <v>爆通讯录骚扰我家人朋友</v>
      </c>
      <c r="C6642" s="2" t="s">
        <v>9</v>
      </c>
      <c r="D6642" s="2" t="s">
        <v>10</v>
      </c>
      <c r="E6642" s="2" t="str">
        <f>HYPERLINK("http://ts.21cn.com/tousu/show/id/1337564","http://ts.21cn.com/tousu/show/id/1337564")</f>
        <v>http://ts.21cn.com/tousu/show/id/1337564</v>
      </c>
      <c r="F6642" s="2" t="s">
        <v>11</v>
      </c>
      <c r="G6642" s="2" t="s">
        <v>31094</v>
      </c>
      <c r="H6642" s="2" t="s">
        <v>31095</v>
      </c>
    </row>
    <row r="6643" spans="1:8" ht="25.05" customHeight="1" x14ac:dyDescent="0.25">
      <c r="A6643" s="2" t="s">
        <v>8</v>
      </c>
      <c r="B6643" s="2" t="str">
        <f>HYPERLINK("http://ts.21cn.com/tousu/show/id/1337565","招联金融爆力催收。态度极其恶劣")</f>
        <v>招联金融爆力催收。态度极其恶劣</v>
      </c>
      <c r="C6643" s="2" t="s">
        <v>9</v>
      </c>
      <c r="D6643" s="2" t="s">
        <v>10</v>
      </c>
      <c r="E6643" s="2" t="str">
        <f>HYPERLINK("http://ts.21cn.com/tousu/show/id/1337565","http://ts.21cn.com/tousu/show/id/1337565")</f>
        <v>http://ts.21cn.com/tousu/show/id/1337565</v>
      </c>
      <c r="F6643" s="2" t="s">
        <v>11</v>
      </c>
      <c r="G6643" s="2" t="s">
        <v>31092</v>
      </c>
      <c r="H6643" s="2" t="s">
        <v>31093</v>
      </c>
    </row>
    <row r="6644" spans="1:8" ht="25.05" customHeight="1" x14ac:dyDescent="0.25">
      <c r="A6644" s="2" t="s">
        <v>8</v>
      </c>
      <c r="B6644" s="2" t="str">
        <f>HYPERLINK("http://ts.21cn.com/tousu/show/id/1337566","虾米在线高利贷，套路贷")</f>
        <v>虾米在线高利贷，套路贷</v>
      </c>
      <c r="C6644" s="2" t="s">
        <v>9</v>
      </c>
      <c r="D6644" s="2" t="s">
        <v>10</v>
      </c>
      <c r="E6644" s="2" t="str">
        <f>HYPERLINK("http://ts.21cn.com/tousu/show/id/1337566","http://ts.21cn.com/tousu/show/id/1337566")</f>
        <v>http://ts.21cn.com/tousu/show/id/1337566</v>
      </c>
      <c r="F6644" s="2" t="s">
        <v>11</v>
      </c>
      <c r="G6644" s="2" t="s">
        <v>31090</v>
      </c>
      <c r="H6644" s="2" t="s">
        <v>31091</v>
      </c>
    </row>
    <row r="6645" spans="1:8" ht="25.05" customHeight="1" x14ac:dyDescent="0.25">
      <c r="A6645" s="2" t="s">
        <v>8</v>
      </c>
      <c r="B6645" s="2" t="str">
        <f>HYPERLINK("http://ts.21cn.com/tousu/show/id/1337532","北京友缘在线网络科技股份有限公司未经同意擅自扣款")</f>
        <v>北京友缘在线网络科技股份有限公司未经同意擅自扣款</v>
      </c>
      <c r="C6645" s="2" t="s">
        <v>9</v>
      </c>
      <c r="D6645" s="2" t="s">
        <v>10</v>
      </c>
      <c r="E6645" s="2" t="str">
        <f>HYPERLINK("http://ts.21cn.com/tousu/show/id/1337532","http://ts.21cn.com/tousu/show/id/1337532")</f>
        <v>http://ts.21cn.com/tousu/show/id/1337532</v>
      </c>
      <c r="F6645" s="2" t="s">
        <v>11</v>
      </c>
      <c r="G6645" s="2" t="s">
        <v>31088</v>
      </c>
      <c r="H6645" s="2" t="s">
        <v>31089</v>
      </c>
    </row>
    <row r="6646" spans="1:8" ht="25.05" customHeight="1" x14ac:dyDescent="0.25">
      <c r="A6646" s="2" t="s">
        <v>8</v>
      </c>
      <c r="B6646" s="2" t="str">
        <f>HYPERLINK("http://ts.21cn.com/tousu/show/id/1337561","信用卡未激活被扣款7千多，还被分期")</f>
        <v>信用卡未激活被扣款7千多，还被分期</v>
      </c>
      <c r="C6646" s="2" t="s">
        <v>9</v>
      </c>
      <c r="D6646" s="2" t="s">
        <v>10</v>
      </c>
      <c r="E6646" s="2" t="str">
        <f>HYPERLINK("http://ts.21cn.com/tousu/show/id/1337561","http://ts.21cn.com/tousu/show/id/1337561")</f>
        <v>http://ts.21cn.com/tousu/show/id/1337561</v>
      </c>
      <c r="F6646" s="2" t="s">
        <v>11</v>
      </c>
      <c r="G6646" s="2" t="s">
        <v>31086</v>
      </c>
      <c r="H6646" s="2" t="s">
        <v>31087</v>
      </c>
    </row>
    <row r="6647" spans="1:8" ht="25.05" customHeight="1" x14ac:dyDescent="0.25">
      <c r="A6647" s="2" t="s">
        <v>8</v>
      </c>
      <c r="B6647" s="2" t="str">
        <f>HYPERLINK("http://ts.21cn.com/tousu/show/id/1337569","360金融虚假借款")</f>
        <v>360金融虚假借款</v>
      </c>
      <c r="C6647" s="2" t="s">
        <v>9</v>
      </c>
      <c r="D6647" s="2" t="s">
        <v>10</v>
      </c>
      <c r="E6647" s="2" t="str">
        <f>HYPERLINK("http://ts.21cn.com/tousu/show/id/1337569","http://ts.21cn.com/tousu/show/id/1337569")</f>
        <v>http://ts.21cn.com/tousu/show/id/1337569</v>
      </c>
      <c r="F6647" s="2" t="s">
        <v>11</v>
      </c>
      <c r="G6647" s="2" t="s">
        <v>31084</v>
      </c>
      <c r="H6647" s="2" t="s">
        <v>31085</v>
      </c>
    </row>
    <row r="6648" spans="1:8" ht="25.05" customHeight="1" x14ac:dyDescent="0.25">
      <c r="A6648" s="2" t="s">
        <v>8</v>
      </c>
      <c r="B6648" s="2" t="str">
        <f>HYPERLINK("http://ts.21cn.com/tousu/show/id/1337570","恐吓阴阳合同高利贷不知名收费")</f>
        <v>恐吓阴阳合同高利贷不知名收费</v>
      </c>
      <c r="C6648" s="2" t="s">
        <v>9</v>
      </c>
      <c r="D6648" s="2" t="s">
        <v>10</v>
      </c>
      <c r="E6648" s="2" t="str">
        <f>HYPERLINK("http://ts.21cn.com/tousu/show/id/1337570","http://ts.21cn.com/tousu/show/id/1337570")</f>
        <v>http://ts.21cn.com/tousu/show/id/1337570</v>
      </c>
      <c r="F6648" s="2" t="s">
        <v>11</v>
      </c>
      <c r="G6648" s="2" t="s">
        <v>31082</v>
      </c>
      <c r="H6648" s="2" t="s">
        <v>31083</v>
      </c>
    </row>
    <row r="6649" spans="1:8" ht="25.05" customHeight="1" x14ac:dyDescent="0.25">
      <c r="A6649" s="2" t="s">
        <v>8</v>
      </c>
      <c r="B6649" s="2" t="str">
        <f>HYPERLINK("http://ts.21cn.com/tousu/show/id/1337571","平安银行服务态度差")</f>
        <v>平安银行服务态度差</v>
      </c>
      <c r="C6649" s="2" t="s">
        <v>9</v>
      </c>
      <c r="D6649" s="2" t="s">
        <v>10</v>
      </c>
      <c r="E6649" s="2" t="str">
        <f>HYPERLINK("http://ts.21cn.com/tousu/show/id/1337571","http://ts.21cn.com/tousu/show/id/1337571")</f>
        <v>http://ts.21cn.com/tousu/show/id/1337571</v>
      </c>
      <c r="F6649" s="2" t="s">
        <v>11</v>
      </c>
      <c r="G6649" s="2" t="s">
        <v>31080</v>
      </c>
      <c r="H6649" s="2" t="s">
        <v>31081</v>
      </c>
    </row>
    <row r="6650" spans="1:8" ht="25.05" customHeight="1" x14ac:dyDescent="0.25">
      <c r="A6650" s="2" t="s">
        <v>8</v>
      </c>
      <c r="B6650" s="2" t="str">
        <f>HYPERLINK("http://ts.21cn.com/tousu/show/id/1337572","安逸花高利贷的王者")</f>
        <v>安逸花高利贷的王者</v>
      </c>
      <c r="C6650" s="2" t="s">
        <v>9</v>
      </c>
      <c r="D6650" s="2" t="s">
        <v>10</v>
      </c>
      <c r="E6650" s="2" t="str">
        <f>HYPERLINK("http://ts.21cn.com/tousu/show/id/1337572","http://ts.21cn.com/tousu/show/id/1337572")</f>
        <v>http://ts.21cn.com/tousu/show/id/1337572</v>
      </c>
      <c r="F6650" s="2" t="s">
        <v>11</v>
      </c>
      <c r="G6650" s="2" t="s">
        <v>31078</v>
      </c>
      <c r="H6650" s="2" t="s">
        <v>31079</v>
      </c>
    </row>
    <row r="6651" spans="1:8" ht="25.05" customHeight="1" x14ac:dyDescent="0.25">
      <c r="A6651" s="2" t="s">
        <v>8</v>
      </c>
      <c r="B6651" s="2" t="str">
        <f>HYPERLINK("http://ts.21cn.com/tousu/show/id/1337574","及贷砍头息，软暴力威胁催收")</f>
        <v>及贷砍头息，软暴力威胁催收</v>
      </c>
      <c r="C6651" s="2" t="s">
        <v>9</v>
      </c>
      <c r="D6651" s="2" t="s">
        <v>10</v>
      </c>
      <c r="E6651" s="2" t="str">
        <f>HYPERLINK("http://ts.21cn.com/tousu/show/id/1337574","http://ts.21cn.com/tousu/show/id/1337574")</f>
        <v>http://ts.21cn.com/tousu/show/id/1337574</v>
      </c>
      <c r="F6651" s="2" t="s">
        <v>11</v>
      </c>
      <c r="G6651" s="2" t="s">
        <v>31076</v>
      </c>
      <c r="H6651" s="2" t="s">
        <v>31077</v>
      </c>
    </row>
    <row r="6652" spans="1:8" ht="25.05" customHeight="1" x14ac:dyDescent="0.25">
      <c r="A6652" s="2" t="s">
        <v>8</v>
      </c>
      <c r="B6652" s="2" t="str">
        <f>HYPERLINK("http://ts.21cn.com/tousu/show/id/1337575","暴力催收恐吓")</f>
        <v>暴力催收恐吓</v>
      </c>
      <c r="C6652" s="2" t="s">
        <v>9</v>
      </c>
      <c r="D6652" s="2" t="s">
        <v>10</v>
      </c>
      <c r="E6652" s="2" t="str">
        <f>HYPERLINK("http://ts.21cn.com/tousu/show/id/1337575","http://ts.21cn.com/tousu/show/id/1337575")</f>
        <v>http://ts.21cn.com/tousu/show/id/1337575</v>
      </c>
      <c r="F6652" s="2" t="s">
        <v>11</v>
      </c>
      <c r="G6652" s="2" t="s">
        <v>31074</v>
      </c>
      <c r="H6652" s="2" t="s">
        <v>31075</v>
      </c>
    </row>
    <row r="6653" spans="1:8" ht="25.05" customHeight="1" x14ac:dyDescent="0.25">
      <c r="A6653" s="2" t="s">
        <v>8</v>
      </c>
      <c r="B6653" s="2" t="str">
        <f>HYPERLINK("http://ts.21cn.com/tousu/show/id/1337576","招联金融骚扰通讯录")</f>
        <v>招联金融骚扰通讯录</v>
      </c>
      <c r="C6653" s="2" t="s">
        <v>9</v>
      </c>
      <c r="D6653" s="2" t="s">
        <v>10</v>
      </c>
      <c r="E6653" s="2" t="str">
        <f>HYPERLINK("http://ts.21cn.com/tousu/show/id/1337576","http://ts.21cn.com/tousu/show/id/1337576")</f>
        <v>http://ts.21cn.com/tousu/show/id/1337576</v>
      </c>
      <c r="F6653" s="2" t="s">
        <v>11</v>
      </c>
      <c r="G6653" s="2" t="s">
        <v>31072</v>
      </c>
      <c r="H6653" s="2" t="s">
        <v>31073</v>
      </c>
    </row>
    <row r="6654" spans="1:8" ht="25.05" customHeight="1" x14ac:dyDescent="0.25">
      <c r="A6654" s="2" t="s">
        <v>8</v>
      </c>
      <c r="B6654" s="2" t="str">
        <f>HYPERLINK("http://ts.21cn.com/tousu/show/id/1337577","豹子贷恶意扣款")</f>
        <v>豹子贷恶意扣款</v>
      </c>
      <c r="C6654" s="2" t="s">
        <v>9</v>
      </c>
      <c r="D6654" s="2" t="s">
        <v>10</v>
      </c>
      <c r="E6654" s="2" t="str">
        <f>HYPERLINK("http://ts.21cn.com/tousu/show/id/1337577","http://ts.21cn.com/tousu/show/id/1337577")</f>
        <v>http://ts.21cn.com/tousu/show/id/1337577</v>
      </c>
      <c r="F6654" s="2" t="s">
        <v>11</v>
      </c>
      <c r="G6654" s="2" t="s">
        <v>31070</v>
      </c>
      <c r="H6654" s="2" t="s">
        <v>31071</v>
      </c>
    </row>
    <row r="6655" spans="1:8" ht="25.05" customHeight="1" x14ac:dyDescent="0.25">
      <c r="A6655" s="2" t="s">
        <v>8</v>
      </c>
      <c r="B6655" s="2" t="str">
        <f>HYPERLINK("http://ts.21cn.com/tousu/show/id/1337578","移动手机无法接受验证码以及银行短信通知")</f>
        <v>移动手机无法接受验证码以及银行短信通知</v>
      </c>
      <c r="C6655" s="2" t="s">
        <v>9</v>
      </c>
      <c r="D6655" s="2" t="s">
        <v>10</v>
      </c>
      <c r="E6655" s="2" t="str">
        <f>HYPERLINK("http://ts.21cn.com/tousu/show/id/1337578","http://ts.21cn.com/tousu/show/id/1337578")</f>
        <v>http://ts.21cn.com/tousu/show/id/1337578</v>
      </c>
      <c r="F6655" s="2" t="s">
        <v>11</v>
      </c>
      <c r="G6655" s="2" t="s">
        <v>31068</v>
      </c>
      <c r="H6655" s="2" t="s">
        <v>31069</v>
      </c>
    </row>
    <row r="6656" spans="1:8" ht="25.05" customHeight="1" x14ac:dyDescent="0.25">
      <c r="A6656" s="2" t="s">
        <v>8</v>
      </c>
      <c r="B6656" s="2" t="str">
        <f>HYPERLINK("http://ts.21cn.com/tousu/show/id/1337579","给你花逾期两天就爆通讯录")</f>
        <v>给你花逾期两天就爆通讯录</v>
      </c>
      <c r="C6656" s="2" t="s">
        <v>9</v>
      </c>
      <c r="D6656" s="2" t="s">
        <v>10</v>
      </c>
      <c r="E6656" s="2" t="str">
        <f>HYPERLINK("http://ts.21cn.com/tousu/show/id/1337579","http://ts.21cn.com/tousu/show/id/1337579")</f>
        <v>http://ts.21cn.com/tousu/show/id/1337579</v>
      </c>
      <c r="F6656" s="2" t="s">
        <v>11</v>
      </c>
      <c r="G6656" s="2" t="s">
        <v>31066</v>
      </c>
      <c r="H6656" s="2" t="s">
        <v>31067</v>
      </c>
    </row>
    <row r="6657" spans="1:8" ht="25.05" customHeight="1" x14ac:dyDescent="0.25">
      <c r="A6657" s="2" t="s">
        <v>8</v>
      </c>
      <c r="B6657" s="2" t="str">
        <f>HYPERLINK("http://ts.21cn.com/tousu/show/id/1337580","主动点还款竟然扣两次，本下期扣款也扣款了，也没减免下期的手续费，扣了手续费")</f>
        <v>主动点还款竟然扣两次，本下期扣款也扣款了，也没减免下期的手续费，扣了手续费</v>
      </c>
      <c r="C6657" s="2" t="s">
        <v>34</v>
      </c>
      <c r="D6657" s="2" t="s">
        <v>10</v>
      </c>
      <c r="E6657" s="2" t="str">
        <f>HYPERLINK("http://ts.21cn.com/tousu/show/id/1337580","http://ts.21cn.com/tousu/show/id/1337580")</f>
        <v>http://ts.21cn.com/tousu/show/id/1337580</v>
      </c>
      <c r="F6657" s="2" t="s">
        <v>11</v>
      </c>
      <c r="G6657" s="2" t="s">
        <v>31064</v>
      </c>
      <c r="H6657" s="2" t="s">
        <v>31065</v>
      </c>
    </row>
    <row r="6658" spans="1:8" ht="25.05" customHeight="1" x14ac:dyDescent="0.25">
      <c r="A6658" s="2" t="s">
        <v>8</v>
      </c>
      <c r="B6658" s="2" t="str">
        <f>HYPERLINK("http://ts.21cn.com/tousu/show/id/1337581","自由魔卡里的超级马力贷变相砍头息")</f>
        <v>自由魔卡里的超级马力贷变相砍头息</v>
      </c>
      <c r="C6658" s="2" t="s">
        <v>9</v>
      </c>
      <c r="D6658" s="2" t="s">
        <v>10</v>
      </c>
      <c r="E6658" s="2" t="str">
        <f>HYPERLINK("http://ts.21cn.com/tousu/show/id/1337581","http://ts.21cn.com/tousu/show/id/1337581")</f>
        <v>http://ts.21cn.com/tousu/show/id/1337581</v>
      </c>
      <c r="F6658" s="2" t="s">
        <v>11</v>
      </c>
      <c r="G6658" s="2" t="s">
        <v>31062</v>
      </c>
      <c r="H6658" s="2" t="s">
        <v>31063</v>
      </c>
    </row>
    <row r="6659" spans="1:8" ht="25.05" customHeight="1" x14ac:dyDescent="0.25">
      <c r="A6659" s="2" t="s">
        <v>8</v>
      </c>
      <c r="B6659" s="2" t="str">
        <f>HYPERLINK("http://ts.21cn.com/tousu/show/id/1337582","聚富分期自动扣评估费299")</f>
        <v>聚富分期自动扣评估费299</v>
      </c>
      <c r="C6659" s="2" t="s">
        <v>34</v>
      </c>
      <c r="D6659" s="2" t="s">
        <v>10</v>
      </c>
      <c r="E6659" s="2" t="str">
        <f>HYPERLINK("http://ts.21cn.com/tousu/show/id/1337582","http://ts.21cn.com/tousu/show/id/1337582")</f>
        <v>http://ts.21cn.com/tousu/show/id/1337582</v>
      </c>
      <c r="F6659" s="2" t="s">
        <v>11</v>
      </c>
      <c r="G6659" s="2" t="s">
        <v>31060</v>
      </c>
      <c r="H6659" s="2" t="s">
        <v>31061</v>
      </c>
    </row>
    <row r="6660" spans="1:8" ht="25.05" customHeight="1" x14ac:dyDescent="0.25">
      <c r="A6660" s="2" t="s">
        <v>8</v>
      </c>
      <c r="B6660" s="2" t="str">
        <f>HYPERLINK("http://ts.21cn.com/tousu/show/id/1337583","恶意扣款")</f>
        <v>恶意扣款</v>
      </c>
      <c r="C6660" s="2" t="s">
        <v>9</v>
      </c>
      <c r="D6660" s="2" t="s">
        <v>10</v>
      </c>
      <c r="E6660" s="2" t="str">
        <f>HYPERLINK("http://ts.21cn.com/tousu/show/id/1337583","http://ts.21cn.com/tousu/show/id/1337583")</f>
        <v>http://ts.21cn.com/tousu/show/id/1337583</v>
      </c>
      <c r="F6660" s="2" t="s">
        <v>11</v>
      </c>
      <c r="G6660" s="2" t="s">
        <v>31058</v>
      </c>
      <c r="H6660" s="2" t="s">
        <v>31059</v>
      </c>
    </row>
    <row r="6661" spans="1:8" ht="25.05" customHeight="1" x14ac:dyDescent="0.25">
      <c r="A6661" s="2" t="s">
        <v>8</v>
      </c>
      <c r="B6661" s="2" t="str">
        <f>HYPERLINK("http://ts.21cn.com/tousu/show/id/1337584","飞贷结清无法注销")</f>
        <v>飞贷结清无法注销</v>
      </c>
      <c r="C6661" s="2" t="s">
        <v>34</v>
      </c>
      <c r="D6661" s="2" t="s">
        <v>10</v>
      </c>
      <c r="E6661" s="2" t="str">
        <f>HYPERLINK("http://ts.21cn.com/tousu/show/id/1337584","http://ts.21cn.com/tousu/show/id/1337584")</f>
        <v>http://ts.21cn.com/tousu/show/id/1337584</v>
      </c>
      <c r="F6661" s="2" t="s">
        <v>11</v>
      </c>
      <c r="G6661" s="2" t="s">
        <v>31056</v>
      </c>
      <c r="H6661" s="2" t="s">
        <v>31057</v>
      </c>
    </row>
    <row r="6662" spans="1:8" ht="25.05" customHeight="1" x14ac:dyDescent="0.25">
      <c r="A6662" s="2" t="s">
        <v>8</v>
      </c>
      <c r="B6662" s="2" t="str">
        <f>HYPERLINK("http://ts.21cn.com/tousu/show/id/1337586","我没有借什么钱伴网贷，不知道是怎么扣的我款，我连这个软件都没有。")</f>
        <v>我没有借什么钱伴网贷，不知道是怎么扣的我款，我连这个软件都没有。</v>
      </c>
      <c r="C6662" s="2" t="s">
        <v>9</v>
      </c>
      <c r="D6662" s="2" t="s">
        <v>10</v>
      </c>
      <c r="E6662" s="2" t="str">
        <f>HYPERLINK("http://ts.21cn.com/tousu/show/id/1337586","http://ts.21cn.com/tousu/show/id/1337586")</f>
        <v>http://ts.21cn.com/tousu/show/id/1337586</v>
      </c>
      <c r="F6662" s="2" t="s">
        <v>11</v>
      </c>
      <c r="G6662" s="2" t="s">
        <v>31054</v>
      </c>
      <c r="H6662" s="2" t="s">
        <v>31055</v>
      </c>
    </row>
    <row r="6663" spans="1:8" ht="25.05" customHeight="1" x14ac:dyDescent="0.25">
      <c r="A6663" s="2" t="s">
        <v>8</v>
      </c>
      <c r="B6663" s="2" t="str">
        <f>HYPERLINK("http://ts.21cn.com/tousu/show/id/1337587","360借条要求收取工本费放款")</f>
        <v>360借条要求收取工本费放款</v>
      </c>
      <c r="C6663" s="2" t="s">
        <v>9</v>
      </c>
      <c r="D6663" s="2" t="s">
        <v>10</v>
      </c>
      <c r="E6663" s="2" t="str">
        <f>HYPERLINK("http://ts.21cn.com/tousu/show/id/1337587","http://ts.21cn.com/tousu/show/id/1337587")</f>
        <v>http://ts.21cn.com/tousu/show/id/1337587</v>
      </c>
      <c r="F6663" s="2" t="s">
        <v>11</v>
      </c>
      <c r="G6663" s="2" t="s">
        <v>31052</v>
      </c>
      <c r="H6663" s="2" t="s">
        <v>31053</v>
      </c>
    </row>
    <row r="6664" spans="1:8" ht="25.05" customHeight="1" x14ac:dyDescent="0.25">
      <c r="A6664" s="2" t="s">
        <v>8</v>
      </c>
      <c r="B6664" s="2" t="str">
        <f>HYPERLINK("http://ts.21cn.com/tousu/show/id/1337567","理财到期要求全额退回本金")</f>
        <v>理财到期要求全额退回本金</v>
      </c>
      <c r="C6664" s="2" t="s">
        <v>34</v>
      </c>
      <c r="D6664" s="2" t="s">
        <v>10</v>
      </c>
      <c r="E6664" s="2" t="str">
        <f>HYPERLINK("http://ts.21cn.com/tousu/show/id/1337567","http://ts.21cn.com/tousu/show/id/1337567")</f>
        <v>http://ts.21cn.com/tousu/show/id/1337567</v>
      </c>
      <c r="F6664" s="2" t="s">
        <v>11</v>
      </c>
      <c r="G6664" s="2" t="s">
        <v>31050</v>
      </c>
      <c r="H6664" s="2" t="s">
        <v>31051</v>
      </c>
    </row>
    <row r="6665" spans="1:8" ht="25.05" customHeight="1" x14ac:dyDescent="0.25">
      <c r="A6665" s="2" t="s">
        <v>8</v>
      </c>
      <c r="B6665" s="2" t="str">
        <f>HYPERLINK("http://ts.21cn.com/tousu/show/id/1337573","众航联盟办会员卡")</f>
        <v>众航联盟办会员卡</v>
      </c>
      <c r="C6665" s="2" t="s">
        <v>34</v>
      </c>
      <c r="D6665" s="2" t="s">
        <v>10</v>
      </c>
      <c r="E6665" s="2" t="str">
        <f>HYPERLINK("http://ts.21cn.com/tousu/show/id/1337573","http://ts.21cn.com/tousu/show/id/1337573")</f>
        <v>http://ts.21cn.com/tousu/show/id/1337573</v>
      </c>
      <c r="F6665" s="2" t="s">
        <v>11</v>
      </c>
      <c r="G6665" s="2" t="s">
        <v>31048</v>
      </c>
      <c r="H6665" s="2" t="s">
        <v>31049</v>
      </c>
    </row>
    <row r="6666" spans="1:8" ht="25.05" customHeight="1" x14ac:dyDescent="0.25">
      <c r="A6666" s="2" t="s">
        <v>8</v>
      </c>
      <c r="B6666" s="2" t="str">
        <f>HYPERLINK("http://ts.21cn.com/tousu/show/id/1337588","手续费，保险，")</f>
        <v>手续费，保险，</v>
      </c>
      <c r="C6666" s="2" t="s">
        <v>34</v>
      </c>
      <c r="D6666" s="2" t="s">
        <v>10</v>
      </c>
      <c r="E6666" s="2" t="str">
        <f>HYPERLINK("http://ts.21cn.com/tousu/show/id/1337588","http://ts.21cn.com/tousu/show/id/1337588")</f>
        <v>http://ts.21cn.com/tousu/show/id/1337588</v>
      </c>
      <c r="F6666" s="2" t="s">
        <v>11</v>
      </c>
      <c r="G6666" s="2" t="s">
        <v>31046</v>
      </c>
      <c r="H6666" s="2" t="s">
        <v>31047</v>
      </c>
    </row>
    <row r="6667" spans="1:8" ht="25.05" customHeight="1" x14ac:dyDescent="0.25">
      <c r="A6667" s="2" t="s">
        <v>8</v>
      </c>
      <c r="B6667" s="2" t="str">
        <f>HYPERLINK("http://ts.21cn.com/tousu/show/id/1337534","现金巴士砍头息预期费用高拒绝协商还款")</f>
        <v>现金巴士砍头息预期费用高拒绝协商还款</v>
      </c>
      <c r="C6667" s="2" t="s">
        <v>9</v>
      </c>
      <c r="D6667" s="2" t="s">
        <v>10</v>
      </c>
      <c r="E6667" s="2" t="str">
        <f>HYPERLINK("http://ts.21cn.com/tousu/show/id/1337534","http://ts.21cn.com/tousu/show/id/1337534")</f>
        <v>http://ts.21cn.com/tousu/show/id/1337534</v>
      </c>
      <c r="F6667" s="2" t="s">
        <v>11</v>
      </c>
      <c r="G6667" s="2" t="s">
        <v>31044</v>
      </c>
      <c r="H6667" s="2" t="s">
        <v>31045</v>
      </c>
    </row>
    <row r="6668" spans="1:8" ht="25.05" customHeight="1" x14ac:dyDescent="0.25">
      <c r="A6668" s="2" t="s">
        <v>8</v>
      </c>
      <c r="B6668" s="2" t="str">
        <f>HYPERLINK("http://ts.21cn.com/tousu/show/id/1337589","已下款的名义让开通会员，虚假宣传")</f>
        <v>已下款的名义让开通会员，虚假宣传</v>
      </c>
      <c r="C6668" s="2" t="s">
        <v>9</v>
      </c>
      <c r="D6668" s="2" t="s">
        <v>10</v>
      </c>
      <c r="E6668" s="2" t="str">
        <f>HYPERLINK("http://ts.21cn.com/tousu/show/id/1337589","http://ts.21cn.com/tousu/show/id/1337589")</f>
        <v>http://ts.21cn.com/tousu/show/id/1337589</v>
      </c>
      <c r="F6668" s="2" t="s">
        <v>11</v>
      </c>
      <c r="G6668" s="2" t="s">
        <v>31042</v>
      </c>
      <c r="H6668" s="2" t="s">
        <v>31043</v>
      </c>
    </row>
    <row r="6669" spans="1:8" ht="25.05" customHeight="1" x14ac:dyDescent="0.25">
      <c r="A6669" s="2" t="s">
        <v>8</v>
      </c>
      <c r="B6669" s="2" t="str">
        <f>HYPERLINK("http://ts.21cn.com/tousu/show/id/1337590","壹心分期高额砍头息")</f>
        <v>壹心分期高额砍头息</v>
      </c>
      <c r="C6669" s="2" t="s">
        <v>9</v>
      </c>
      <c r="D6669" s="2" t="s">
        <v>10</v>
      </c>
      <c r="E6669" s="2" t="str">
        <f>HYPERLINK("http://ts.21cn.com/tousu/show/id/1337590","http://ts.21cn.com/tousu/show/id/1337590")</f>
        <v>http://ts.21cn.com/tousu/show/id/1337590</v>
      </c>
      <c r="F6669" s="2" t="s">
        <v>11</v>
      </c>
      <c r="G6669" s="2" t="s">
        <v>31040</v>
      </c>
      <c r="H6669" s="2" t="s">
        <v>31041</v>
      </c>
    </row>
    <row r="6670" spans="1:8" ht="25.05" customHeight="1" x14ac:dyDescent="0.25">
      <c r="A6670" s="2" t="s">
        <v>8</v>
      </c>
      <c r="B6670" s="2" t="str">
        <f>HYPERLINK("http://ts.21cn.com/tousu/show/id/1337591","水莲金条恐吓")</f>
        <v>水莲金条恐吓</v>
      </c>
      <c r="C6670" s="2" t="s">
        <v>9</v>
      </c>
      <c r="D6670" s="2" t="s">
        <v>10</v>
      </c>
      <c r="E6670" s="2" t="str">
        <f>HYPERLINK("http://ts.21cn.com/tousu/show/id/1337591","http://ts.21cn.com/tousu/show/id/1337591")</f>
        <v>http://ts.21cn.com/tousu/show/id/1337591</v>
      </c>
      <c r="F6670" s="2" t="s">
        <v>11</v>
      </c>
      <c r="G6670" s="2" t="s">
        <v>31038</v>
      </c>
      <c r="H6670" s="2" t="s">
        <v>31039</v>
      </c>
    </row>
    <row r="6671" spans="1:8" ht="25.05" customHeight="1" x14ac:dyDescent="0.25">
      <c r="A6671" s="2" t="s">
        <v>8</v>
      </c>
      <c r="B6671" s="2" t="str">
        <f>HYPERLINK("http://ts.21cn.com/tousu/show/id/1337593","数来宝存在砍头息")</f>
        <v>数来宝存在砍头息</v>
      </c>
      <c r="C6671" s="2" t="s">
        <v>9</v>
      </c>
      <c r="D6671" s="2" t="s">
        <v>10</v>
      </c>
      <c r="E6671" s="2" t="str">
        <f>HYPERLINK("http://ts.21cn.com/tousu/show/id/1337593","http://ts.21cn.com/tousu/show/id/1337593")</f>
        <v>http://ts.21cn.com/tousu/show/id/1337593</v>
      </c>
      <c r="F6671" s="2" t="s">
        <v>11</v>
      </c>
      <c r="G6671" s="2" t="s">
        <v>31036</v>
      </c>
      <c r="H6671" s="2" t="s">
        <v>31037</v>
      </c>
    </row>
    <row r="6672" spans="1:8" ht="25.05" customHeight="1" x14ac:dyDescent="0.25">
      <c r="A6672" s="2" t="s">
        <v>8</v>
      </c>
      <c r="B6672" s="2" t="str">
        <f>HYPERLINK("http://ts.21cn.com/tousu/show/id/1337549","中信信用卡")</f>
        <v>中信信用卡</v>
      </c>
      <c r="C6672" s="2" t="s">
        <v>34</v>
      </c>
      <c r="D6672" s="2" t="s">
        <v>10</v>
      </c>
      <c r="E6672" s="2" t="str">
        <f>HYPERLINK("http://ts.21cn.com/tousu/show/id/1337549","http://ts.21cn.com/tousu/show/id/1337549")</f>
        <v>http://ts.21cn.com/tousu/show/id/1337549</v>
      </c>
      <c r="F6672" s="2" t="s">
        <v>11</v>
      </c>
      <c r="G6672" s="2" t="s">
        <v>31034</v>
      </c>
      <c r="H6672" s="2" t="s">
        <v>31035</v>
      </c>
    </row>
    <row r="6673" spans="1:8" ht="25.05" customHeight="1" x14ac:dyDescent="0.25">
      <c r="A6673" s="2" t="s">
        <v>8</v>
      </c>
      <c r="B6673" s="2" t="str">
        <f>HYPERLINK("http://ts.21cn.com/tousu/show/id/1337594","微信商家收款被微信冻结，申诉多次无果")</f>
        <v>微信商家收款被微信冻结，申诉多次无果</v>
      </c>
      <c r="C6673" s="2" t="s">
        <v>9</v>
      </c>
      <c r="D6673" s="2" t="s">
        <v>10</v>
      </c>
      <c r="E6673" s="2" t="str">
        <f>HYPERLINK("http://ts.21cn.com/tousu/show/id/1337594","http://ts.21cn.com/tousu/show/id/1337594")</f>
        <v>http://ts.21cn.com/tousu/show/id/1337594</v>
      </c>
      <c r="F6673" s="2" t="s">
        <v>11</v>
      </c>
      <c r="G6673" s="2" t="s">
        <v>31032</v>
      </c>
      <c r="H6673" s="2" t="s">
        <v>31033</v>
      </c>
    </row>
    <row r="6674" spans="1:8" ht="25.05" customHeight="1" x14ac:dyDescent="0.25">
      <c r="A6674" s="2" t="s">
        <v>8</v>
      </c>
      <c r="B6674" s="2" t="str">
        <f>HYPERLINK("http://ts.21cn.com/tousu/show/id/1337595","高利贷，高利息")</f>
        <v>高利贷，高利息</v>
      </c>
      <c r="C6674" s="2" t="s">
        <v>9</v>
      </c>
      <c r="D6674" s="2" t="s">
        <v>10</v>
      </c>
      <c r="E6674" s="2" t="str">
        <f>HYPERLINK("http://ts.21cn.com/tousu/show/id/1337595","http://ts.21cn.com/tousu/show/id/1337595")</f>
        <v>http://ts.21cn.com/tousu/show/id/1337595</v>
      </c>
      <c r="F6674" s="2" t="s">
        <v>11</v>
      </c>
      <c r="G6674" s="2" t="s">
        <v>31030</v>
      </c>
      <c r="H6674" s="2" t="s">
        <v>31031</v>
      </c>
    </row>
    <row r="6675" spans="1:8" ht="25.05" customHeight="1" x14ac:dyDescent="0.25">
      <c r="A6675" s="2" t="s">
        <v>8</v>
      </c>
      <c r="B6675" s="2" t="str">
        <f>HYPERLINK("http://ts.21cn.com/tousu/show/id/1337592","淘宝卖家虚假发货")</f>
        <v>淘宝卖家虚假发货</v>
      </c>
      <c r="C6675" s="2" t="s">
        <v>9</v>
      </c>
      <c r="D6675" s="2" t="s">
        <v>10</v>
      </c>
      <c r="E6675" s="2" t="str">
        <f>HYPERLINK("http://ts.21cn.com/tousu/show/id/1337592","http://ts.21cn.com/tousu/show/id/1337592")</f>
        <v>http://ts.21cn.com/tousu/show/id/1337592</v>
      </c>
      <c r="F6675" s="2" t="s">
        <v>11</v>
      </c>
      <c r="G6675" s="2" t="s">
        <v>31028</v>
      </c>
      <c r="H6675" s="2" t="s">
        <v>31029</v>
      </c>
    </row>
    <row r="6676" spans="1:8" ht="25.05" customHeight="1" x14ac:dyDescent="0.25">
      <c r="A6676" s="2" t="s">
        <v>8</v>
      </c>
      <c r="B6676" s="2" t="str">
        <f>HYPERLINK("http://ts.21cn.com/tousu/show/id/1337597","频道发信息，打电话")</f>
        <v>频道发信息，打电话</v>
      </c>
      <c r="C6676" s="2" t="s">
        <v>9</v>
      </c>
      <c r="D6676" s="2" t="s">
        <v>10</v>
      </c>
      <c r="E6676" s="2" t="str">
        <f>HYPERLINK("http://ts.21cn.com/tousu/show/id/1337597","http://ts.21cn.com/tousu/show/id/1337597")</f>
        <v>http://ts.21cn.com/tousu/show/id/1337597</v>
      </c>
      <c r="F6676" s="2" t="s">
        <v>11</v>
      </c>
      <c r="G6676" s="2" t="s">
        <v>31026</v>
      </c>
      <c r="H6676" s="2" t="s">
        <v>31027</v>
      </c>
    </row>
    <row r="6677" spans="1:8" ht="25.05" customHeight="1" x14ac:dyDescent="0.25">
      <c r="A6677" s="2" t="s">
        <v>8</v>
      </c>
      <c r="B6677" s="2" t="str">
        <f>HYPERLINK("http://ts.21cn.com/tousu/show/id/1337596","够花呗不能正常还款，故意逾期")</f>
        <v>够花呗不能正常还款，故意逾期</v>
      </c>
      <c r="C6677" s="2" t="s">
        <v>9</v>
      </c>
      <c r="D6677" s="2" t="s">
        <v>10</v>
      </c>
      <c r="E6677" s="2" t="str">
        <f>HYPERLINK("http://ts.21cn.com/tousu/show/id/1337596","http://ts.21cn.com/tousu/show/id/1337596")</f>
        <v>http://ts.21cn.com/tousu/show/id/1337596</v>
      </c>
      <c r="F6677" s="2" t="s">
        <v>11</v>
      </c>
      <c r="G6677" s="2" t="s">
        <v>31024</v>
      </c>
      <c r="H6677" s="2" t="s">
        <v>31025</v>
      </c>
    </row>
    <row r="6678" spans="1:8" ht="25.05" customHeight="1" x14ac:dyDescent="0.25">
      <c r="A6678" s="2" t="s">
        <v>8</v>
      </c>
      <c r="B6678" s="2" t="str">
        <f>HYPERLINK("http://ts.21cn.com/tousu/show/id/1337598","偷税漏税不给开具发票")</f>
        <v>偷税漏税不给开具发票</v>
      </c>
      <c r="C6678" s="2" t="s">
        <v>9</v>
      </c>
      <c r="D6678" s="2" t="s">
        <v>10</v>
      </c>
      <c r="E6678" s="2" t="str">
        <f>HYPERLINK("http://ts.21cn.com/tousu/show/id/1337598","http://ts.21cn.com/tousu/show/id/1337598")</f>
        <v>http://ts.21cn.com/tousu/show/id/1337598</v>
      </c>
      <c r="F6678" s="2" t="s">
        <v>11</v>
      </c>
      <c r="G6678" s="2" t="s">
        <v>31022</v>
      </c>
      <c r="H6678" s="2" t="s">
        <v>31023</v>
      </c>
    </row>
    <row r="6679" spans="1:8" ht="25.05" customHeight="1" x14ac:dyDescent="0.25">
      <c r="A6679" s="2" t="s">
        <v>8</v>
      </c>
      <c r="B6679" s="2" t="str">
        <f>HYPERLINK("http://ts.21cn.com/tousu/show/id/1337599","平安普惠贷款隐瞒隐藏并强制收取高额保险费管理费投诉事宜")</f>
        <v>平安普惠贷款隐瞒隐藏并强制收取高额保险费管理费投诉事宜</v>
      </c>
      <c r="C6679" s="2" t="s">
        <v>9</v>
      </c>
      <c r="D6679" s="2" t="s">
        <v>10</v>
      </c>
      <c r="E6679" s="2" t="str">
        <f>HYPERLINK("http://ts.21cn.com/tousu/show/id/1337599","http://ts.21cn.com/tousu/show/id/1337599")</f>
        <v>http://ts.21cn.com/tousu/show/id/1337599</v>
      </c>
      <c r="F6679" s="2" t="s">
        <v>11</v>
      </c>
      <c r="G6679" s="2" t="s">
        <v>31020</v>
      </c>
      <c r="H6679" s="2" t="s">
        <v>31021</v>
      </c>
    </row>
    <row r="6680" spans="1:8" ht="25.05" customHeight="1" x14ac:dyDescent="0.25">
      <c r="A6680" s="2" t="s">
        <v>8</v>
      </c>
      <c r="B6680" s="2" t="str">
        <f>HYPERLINK("http://ts.21cn.com/tousu/show/id/1337600","胖胖有米侵犯隐私")</f>
        <v>胖胖有米侵犯隐私</v>
      </c>
      <c r="C6680" s="2" t="s">
        <v>9</v>
      </c>
      <c r="D6680" s="2" t="s">
        <v>10</v>
      </c>
      <c r="E6680" s="2" t="str">
        <f>HYPERLINK("http://ts.21cn.com/tousu/show/id/1337600","http://ts.21cn.com/tousu/show/id/1337600")</f>
        <v>http://ts.21cn.com/tousu/show/id/1337600</v>
      </c>
      <c r="F6680" s="2" t="s">
        <v>11</v>
      </c>
      <c r="G6680" s="2" t="s">
        <v>31018</v>
      </c>
      <c r="H6680" s="2" t="s">
        <v>31019</v>
      </c>
    </row>
    <row r="6681" spans="1:8" ht="25.05" customHeight="1" x14ac:dyDescent="0.25">
      <c r="A6681" s="2" t="s">
        <v>8</v>
      </c>
      <c r="B6681" s="2" t="str">
        <f>HYPERLINK("http://ts.21cn.com/tousu/show/id/1337601","你我贷对公还款不销账")</f>
        <v>你我贷对公还款不销账</v>
      </c>
      <c r="C6681" s="2" t="s">
        <v>34</v>
      </c>
      <c r="D6681" s="2" t="s">
        <v>10</v>
      </c>
      <c r="E6681" s="2" t="str">
        <f>HYPERLINK("http://ts.21cn.com/tousu/show/id/1337601","http://ts.21cn.com/tousu/show/id/1337601")</f>
        <v>http://ts.21cn.com/tousu/show/id/1337601</v>
      </c>
      <c r="F6681" s="2" t="s">
        <v>11</v>
      </c>
      <c r="G6681" s="2" t="s">
        <v>31016</v>
      </c>
      <c r="H6681" s="2" t="s">
        <v>31017</v>
      </c>
    </row>
    <row r="6682" spans="1:8" ht="25.05" customHeight="1" x14ac:dyDescent="0.25">
      <c r="A6682" s="2" t="s">
        <v>8</v>
      </c>
      <c r="B6682" s="2" t="str">
        <f>HYPERLINK("http://ts.21cn.com/tousu/show/id/1337602","玖富万卡贷款无法还款，客服指引忽悠客户没有给予合理的解决方法，导致逾期，影响征信，要求给予满意答复")</f>
        <v>玖富万卡贷款无法还款，客服指引忽悠客户没有给予合理的解决方法，导致逾期，影响征信，要求给予满意答复</v>
      </c>
      <c r="C6682" s="2" t="s">
        <v>9</v>
      </c>
      <c r="D6682" s="2" t="s">
        <v>10</v>
      </c>
      <c r="E6682" s="2" t="str">
        <f>HYPERLINK("http://ts.21cn.com/tousu/show/id/1337602","http://ts.21cn.com/tousu/show/id/1337602")</f>
        <v>http://ts.21cn.com/tousu/show/id/1337602</v>
      </c>
      <c r="F6682" s="2" t="s">
        <v>11</v>
      </c>
      <c r="G6682" s="2" t="s">
        <v>31014</v>
      </c>
      <c r="H6682" s="2" t="s">
        <v>31015</v>
      </c>
    </row>
    <row r="6683" spans="1:8" ht="25.05" customHeight="1" x14ac:dyDescent="0.25">
      <c r="A6683" s="2" t="s">
        <v>8</v>
      </c>
      <c r="B6683" s="2" t="str">
        <f>HYPERLINK("http://ts.21cn.com/tousu/show/id/1337604","自由魔卡里的口袋有余变相砍头息")</f>
        <v>自由魔卡里的口袋有余变相砍头息</v>
      </c>
      <c r="C6683" s="2" t="s">
        <v>9</v>
      </c>
      <c r="D6683" s="2" t="s">
        <v>10</v>
      </c>
      <c r="E6683" s="2" t="str">
        <f>HYPERLINK("http://ts.21cn.com/tousu/show/id/1337604","http://ts.21cn.com/tousu/show/id/1337604")</f>
        <v>http://ts.21cn.com/tousu/show/id/1337604</v>
      </c>
      <c r="F6683" s="2" t="s">
        <v>11</v>
      </c>
      <c r="G6683" s="2" t="s">
        <v>31012</v>
      </c>
      <c r="H6683" s="2" t="s">
        <v>31013</v>
      </c>
    </row>
    <row r="6684" spans="1:8" ht="25.05" customHeight="1" x14ac:dyDescent="0.25">
      <c r="A6684" s="2" t="s">
        <v>8</v>
      </c>
      <c r="B6684" s="2" t="str">
        <f>HYPERLINK("http://ts.21cn.com/tousu/show/id/1337605","美团信用卡设置不合理导致还款逾期")</f>
        <v>美团信用卡设置不合理导致还款逾期</v>
      </c>
      <c r="C6684" s="2" t="s">
        <v>9</v>
      </c>
      <c r="D6684" s="2" t="s">
        <v>10</v>
      </c>
      <c r="E6684" s="2" t="str">
        <f>HYPERLINK("http://ts.21cn.com/tousu/show/id/1337605","http://ts.21cn.com/tousu/show/id/1337605")</f>
        <v>http://ts.21cn.com/tousu/show/id/1337605</v>
      </c>
      <c r="F6684" s="2" t="s">
        <v>11</v>
      </c>
      <c r="G6684" s="2" t="s">
        <v>31010</v>
      </c>
      <c r="H6684" s="2" t="s">
        <v>31011</v>
      </c>
    </row>
    <row r="6685" spans="1:8" ht="25.05" customHeight="1" x14ac:dyDescent="0.25">
      <c r="A6685" s="2" t="s">
        <v>8</v>
      </c>
      <c r="B6685" s="2" t="str">
        <f>HYPERLINK("http://ts.21cn.com/tousu/show/id/1337606","捷信利息高")</f>
        <v>捷信利息高</v>
      </c>
      <c r="C6685" s="2" t="s">
        <v>9</v>
      </c>
      <c r="D6685" s="2" t="s">
        <v>10</v>
      </c>
      <c r="E6685" s="2" t="str">
        <f>HYPERLINK("http://ts.21cn.com/tousu/show/id/1337606","http://ts.21cn.com/tousu/show/id/1337606")</f>
        <v>http://ts.21cn.com/tousu/show/id/1337606</v>
      </c>
      <c r="F6685" s="2" t="s">
        <v>11</v>
      </c>
      <c r="G6685" s="2" t="s">
        <v>31008</v>
      </c>
      <c r="H6685" s="2" t="s">
        <v>31009</v>
      </c>
    </row>
    <row r="6686" spans="1:8" ht="25.05" customHeight="1" x14ac:dyDescent="0.25">
      <c r="A6686" s="2" t="s">
        <v>8</v>
      </c>
      <c r="B6686" s="2" t="str">
        <f>HYPERLINK("http://ts.21cn.com/tousu/show/id/1337607","无法还款")</f>
        <v>无法还款</v>
      </c>
      <c r="C6686" s="2" t="s">
        <v>34</v>
      </c>
      <c r="D6686" s="2" t="s">
        <v>10</v>
      </c>
      <c r="E6686" s="2" t="str">
        <f>HYPERLINK("http://ts.21cn.com/tousu/show/id/1337607","http://ts.21cn.com/tousu/show/id/1337607")</f>
        <v>http://ts.21cn.com/tousu/show/id/1337607</v>
      </c>
      <c r="F6686" s="2" t="s">
        <v>11</v>
      </c>
      <c r="G6686" s="2" t="s">
        <v>31006</v>
      </c>
      <c r="H6686" s="2" t="s">
        <v>31007</v>
      </c>
    </row>
    <row r="6687" spans="1:8" ht="25.05" customHeight="1" x14ac:dyDescent="0.25">
      <c r="A6687" s="2" t="s">
        <v>8</v>
      </c>
      <c r="B6687" s="2" t="str">
        <f>HYPERLINK("http://ts.21cn.com/tousu/show/id/1337608","小浦优客未经同意扣款")</f>
        <v>小浦优客未经同意扣款</v>
      </c>
      <c r="C6687" s="2" t="s">
        <v>9</v>
      </c>
      <c r="D6687" s="2" t="s">
        <v>10</v>
      </c>
      <c r="E6687" s="2" t="str">
        <f>HYPERLINK("http://ts.21cn.com/tousu/show/id/1337608","http://ts.21cn.com/tousu/show/id/1337608")</f>
        <v>http://ts.21cn.com/tousu/show/id/1337608</v>
      </c>
      <c r="F6687" s="2" t="s">
        <v>11</v>
      </c>
      <c r="G6687" s="2" t="s">
        <v>31004</v>
      </c>
      <c r="H6687" s="2" t="s">
        <v>31005</v>
      </c>
    </row>
    <row r="6688" spans="1:8" ht="25.05" customHeight="1" x14ac:dyDescent="0.25">
      <c r="A6688" s="2" t="s">
        <v>8</v>
      </c>
      <c r="B6688" s="2" t="str">
        <f>HYPERLINK("http://ts.21cn.com/tousu/show/id/1337609","贷上钱以买游戏豆为由收取高额贷款通过费")</f>
        <v>贷上钱以买游戏豆为由收取高额贷款通过费</v>
      </c>
      <c r="C6688" s="2" t="s">
        <v>9</v>
      </c>
      <c r="D6688" s="2" t="s">
        <v>10</v>
      </c>
      <c r="E6688" s="2" t="str">
        <f>HYPERLINK("http://ts.21cn.com/tousu/show/id/1337609","http://ts.21cn.com/tousu/show/id/1337609")</f>
        <v>http://ts.21cn.com/tousu/show/id/1337609</v>
      </c>
      <c r="F6688" s="2" t="s">
        <v>11</v>
      </c>
      <c r="G6688" s="2" t="s">
        <v>31002</v>
      </c>
      <c r="H6688" s="2" t="s">
        <v>31003</v>
      </c>
    </row>
    <row r="6689" spans="1:8" ht="25.05" customHeight="1" x14ac:dyDescent="0.25">
      <c r="A6689" s="2" t="s">
        <v>8</v>
      </c>
      <c r="B6689" s="2" t="str">
        <f>HYPERLINK("http://ts.21cn.com/tousu/show/id/1337610","钱站高利息")</f>
        <v>钱站高利息</v>
      </c>
      <c r="C6689" s="2" t="s">
        <v>34</v>
      </c>
      <c r="D6689" s="2" t="s">
        <v>10</v>
      </c>
      <c r="E6689" s="2" t="str">
        <f>HYPERLINK("http://ts.21cn.com/tousu/show/id/1337610","http://ts.21cn.com/tousu/show/id/1337610")</f>
        <v>http://ts.21cn.com/tousu/show/id/1337610</v>
      </c>
      <c r="F6689" s="2" t="s">
        <v>11</v>
      </c>
      <c r="G6689" s="2" t="s">
        <v>31000</v>
      </c>
      <c r="H6689" s="2" t="s">
        <v>31001</v>
      </c>
    </row>
    <row r="6690" spans="1:8" ht="25.05" customHeight="1" x14ac:dyDescent="0.25">
      <c r="A6690" s="2" t="s">
        <v>8</v>
      </c>
      <c r="B6690" s="2" t="str">
        <f>HYPERLINK("http://ts.21cn.com/tousu/show/id/1337611","安逸花")</f>
        <v>安逸花</v>
      </c>
      <c r="C6690" s="2" t="s">
        <v>9</v>
      </c>
      <c r="D6690" s="2" t="s">
        <v>10</v>
      </c>
      <c r="E6690" s="2" t="str">
        <f>HYPERLINK("http://ts.21cn.com/tousu/show/id/1337611","http://ts.21cn.com/tousu/show/id/1337611")</f>
        <v>http://ts.21cn.com/tousu/show/id/1337611</v>
      </c>
      <c r="F6690" s="2" t="s">
        <v>11</v>
      </c>
      <c r="G6690" s="2" t="s">
        <v>30998</v>
      </c>
      <c r="H6690" s="2" t="s">
        <v>30999</v>
      </c>
    </row>
    <row r="6691" spans="1:8" ht="25.05" customHeight="1" x14ac:dyDescent="0.25">
      <c r="A6691" s="2" t="s">
        <v>8</v>
      </c>
      <c r="B6691" s="2" t="str">
        <f>HYPERLINK("http://ts.21cn.com/tousu/show/id/1337612","百度知道发布事实不符信息，没有内容审核")</f>
        <v>百度知道发布事实不符信息，没有内容审核</v>
      </c>
      <c r="C6691" s="2" t="s">
        <v>9</v>
      </c>
      <c r="D6691" s="2" t="s">
        <v>10</v>
      </c>
      <c r="E6691" s="2" t="str">
        <f>HYPERLINK("http://ts.21cn.com/tousu/show/id/1337612","http://ts.21cn.com/tousu/show/id/1337612")</f>
        <v>http://ts.21cn.com/tousu/show/id/1337612</v>
      </c>
      <c r="F6691" s="2" t="s">
        <v>11</v>
      </c>
      <c r="G6691" s="2" t="s">
        <v>30996</v>
      </c>
      <c r="H6691" s="2" t="s">
        <v>30997</v>
      </c>
    </row>
    <row r="6692" spans="1:8" ht="25.05" customHeight="1" x14ac:dyDescent="0.25">
      <c r="A6692" s="2" t="s">
        <v>8</v>
      </c>
      <c r="B6692" s="2" t="str">
        <f>HYPERLINK("http://ts.21cn.com/tousu/show/id/1337613","网络贷款")</f>
        <v>网络贷款</v>
      </c>
      <c r="C6692" s="2" t="s">
        <v>9</v>
      </c>
      <c r="D6692" s="2" t="s">
        <v>10</v>
      </c>
      <c r="E6692" s="2" t="str">
        <f>HYPERLINK("http://ts.21cn.com/tousu/show/id/1337613","http://ts.21cn.com/tousu/show/id/1337613")</f>
        <v>http://ts.21cn.com/tousu/show/id/1337613</v>
      </c>
      <c r="F6692" s="2" t="s">
        <v>11</v>
      </c>
      <c r="G6692" s="2" t="s">
        <v>30994</v>
      </c>
      <c r="H6692" s="2" t="s">
        <v>30995</v>
      </c>
    </row>
    <row r="6693" spans="1:8" ht="25.05" customHeight="1" x14ac:dyDescent="0.25">
      <c r="A6693" s="2" t="s">
        <v>8</v>
      </c>
      <c r="B6693" s="2" t="str">
        <f>HYPERLINK("http://ts.21cn.com/tousu/show/id/1337614","闪电借款拒绝协商")</f>
        <v>闪电借款拒绝协商</v>
      </c>
      <c r="C6693" s="2" t="s">
        <v>9</v>
      </c>
      <c r="D6693" s="2" t="s">
        <v>10</v>
      </c>
      <c r="E6693" s="2" t="str">
        <f>HYPERLINK("http://ts.21cn.com/tousu/show/id/1337614","http://ts.21cn.com/tousu/show/id/1337614")</f>
        <v>http://ts.21cn.com/tousu/show/id/1337614</v>
      </c>
      <c r="F6693" s="2" t="s">
        <v>11</v>
      </c>
      <c r="G6693" s="2" t="s">
        <v>30992</v>
      </c>
      <c r="H6693" s="2" t="s">
        <v>30993</v>
      </c>
    </row>
    <row r="6694" spans="1:8" ht="25.05" customHeight="1" x14ac:dyDescent="0.25">
      <c r="A6694" s="2" t="s">
        <v>8</v>
      </c>
      <c r="B6694" s="2" t="str">
        <f>HYPERLINK("http://ts.21cn.com/tousu/show/id/1337615","滴滴预付款不退款")</f>
        <v>滴滴预付款不退款</v>
      </c>
      <c r="C6694" s="2" t="s">
        <v>9</v>
      </c>
      <c r="D6694" s="2" t="s">
        <v>10</v>
      </c>
      <c r="E6694" s="2" t="str">
        <f>HYPERLINK("http://ts.21cn.com/tousu/show/id/1337615","http://ts.21cn.com/tousu/show/id/1337615")</f>
        <v>http://ts.21cn.com/tousu/show/id/1337615</v>
      </c>
      <c r="F6694" s="2" t="s">
        <v>11</v>
      </c>
      <c r="G6694" s="2" t="s">
        <v>30990</v>
      </c>
      <c r="H6694" s="2" t="s">
        <v>30991</v>
      </c>
    </row>
    <row r="6695" spans="1:8" ht="25.05" customHeight="1" x14ac:dyDescent="0.25">
      <c r="A6695" s="2" t="s">
        <v>8</v>
      </c>
      <c r="B6695" s="2" t="str">
        <f>HYPERLINK("http://ts.21cn.com/tousu/show/id/1337616","钱站爱钱进高利贷恐吓催收")</f>
        <v>钱站爱钱进高利贷恐吓催收</v>
      </c>
      <c r="C6695" s="2" t="s">
        <v>9</v>
      </c>
      <c r="D6695" s="2" t="s">
        <v>10</v>
      </c>
      <c r="E6695" s="2" t="str">
        <f>HYPERLINK("http://ts.21cn.com/tousu/show/id/1337616","http://ts.21cn.com/tousu/show/id/1337616")</f>
        <v>http://ts.21cn.com/tousu/show/id/1337616</v>
      </c>
      <c r="F6695" s="2" t="s">
        <v>11</v>
      </c>
      <c r="G6695" s="2" t="s">
        <v>30988</v>
      </c>
      <c r="H6695" s="2" t="s">
        <v>30989</v>
      </c>
    </row>
    <row r="6696" spans="1:8" ht="25.05" customHeight="1" x14ac:dyDescent="0.25">
      <c r="A6696" s="2" t="s">
        <v>8</v>
      </c>
      <c r="B6696" s="2" t="str">
        <f>HYPERLINK("http://ts.21cn.com/tousu/show/id/1337617","投诉支付宝享换机阴阳合同高利贷暴力催收")</f>
        <v>投诉支付宝享换机阴阳合同高利贷暴力催收</v>
      </c>
      <c r="C6696" s="2" t="s">
        <v>9</v>
      </c>
      <c r="D6696" s="2" t="s">
        <v>10</v>
      </c>
      <c r="E6696" s="2" t="str">
        <f>HYPERLINK("http://ts.21cn.com/tousu/show/id/1337617","http://ts.21cn.com/tousu/show/id/1337617")</f>
        <v>http://ts.21cn.com/tousu/show/id/1337617</v>
      </c>
      <c r="F6696" s="2" t="s">
        <v>11</v>
      </c>
      <c r="G6696" s="2" t="s">
        <v>30986</v>
      </c>
      <c r="H6696" s="2" t="s">
        <v>30987</v>
      </c>
    </row>
    <row r="6697" spans="1:8" ht="25.05" customHeight="1" x14ac:dyDescent="0.25">
      <c r="A6697" s="2" t="s">
        <v>8</v>
      </c>
      <c r="B6697" s="2" t="str">
        <f>HYPERLINK("http://ts.21cn.com/tousu/show/id/1337618","浦发银行信用卡恶意骚扰")</f>
        <v>浦发银行信用卡恶意骚扰</v>
      </c>
      <c r="C6697" s="2" t="s">
        <v>9</v>
      </c>
      <c r="D6697" s="2" t="s">
        <v>10</v>
      </c>
      <c r="E6697" s="2" t="str">
        <f>HYPERLINK("http://ts.21cn.com/tousu/show/id/1337618","http://ts.21cn.com/tousu/show/id/1337618")</f>
        <v>http://ts.21cn.com/tousu/show/id/1337618</v>
      </c>
      <c r="F6697" s="2" t="s">
        <v>11</v>
      </c>
      <c r="G6697" s="2" t="s">
        <v>30984</v>
      </c>
      <c r="H6697" s="2" t="s">
        <v>30985</v>
      </c>
    </row>
    <row r="6698" spans="1:8" ht="25.05" customHeight="1" x14ac:dyDescent="0.25">
      <c r="A6698" s="2" t="s">
        <v>8</v>
      </c>
      <c r="B6698" s="2" t="str">
        <f>HYPERLINK("http://ts.21cn.com/tousu/show/id/1337619","现金巴士砍头息，高利贷")</f>
        <v>现金巴士砍头息，高利贷</v>
      </c>
      <c r="C6698" s="2" t="s">
        <v>9</v>
      </c>
      <c r="D6698" s="2" t="s">
        <v>10</v>
      </c>
      <c r="E6698" s="2" t="str">
        <f>HYPERLINK("http://ts.21cn.com/tousu/show/id/1337619","http://ts.21cn.com/tousu/show/id/1337619")</f>
        <v>http://ts.21cn.com/tousu/show/id/1337619</v>
      </c>
      <c r="F6698" s="2" t="s">
        <v>11</v>
      </c>
      <c r="G6698" s="2" t="s">
        <v>30982</v>
      </c>
      <c r="H6698" s="2" t="s">
        <v>30983</v>
      </c>
    </row>
    <row r="6699" spans="1:8" ht="25.05" customHeight="1" x14ac:dyDescent="0.25">
      <c r="A6699" s="2" t="s">
        <v>8</v>
      </c>
      <c r="B6699" s="2" t="str">
        <f>HYPERLINK("http://ts.21cn.com/tousu/show/id/1337620","无缘无故卡封了")</f>
        <v>无缘无故卡封了</v>
      </c>
      <c r="C6699" s="2" t="s">
        <v>9</v>
      </c>
      <c r="D6699" s="2" t="s">
        <v>10</v>
      </c>
      <c r="E6699" s="2" t="str">
        <f>HYPERLINK("http://ts.21cn.com/tousu/show/id/1337620","http://ts.21cn.com/tousu/show/id/1337620")</f>
        <v>http://ts.21cn.com/tousu/show/id/1337620</v>
      </c>
      <c r="F6699" s="2" t="s">
        <v>11</v>
      </c>
      <c r="G6699" s="2" t="s">
        <v>30980</v>
      </c>
      <c r="H6699" s="2" t="s">
        <v>30981</v>
      </c>
    </row>
    <row r="6700" spans="1:8" ht="25.05" customHeight="1" x14ac:dyDescent="0.25">
      <c r="A6700" s="2" t="s">
        <v>8</v>
      </c>
      <c r="B6700" s="2" t="str">
        <f>HYPERLINK("http://ts.21cn.com/tousu/show/id/1337621","360借条贷款套路")</f>
        <v>360借条贷款套路</v>
      </c>
      <c r="C6700" s="2" t="s">
        <v>9</v>
      </c>
      <c r="D6700" s="2" t="s">
        <v>10</v>
      </c>
      <c r="E6700" s="2" t="str">
        <f>HYPERLINK("http://ts.21cn.com/tousu/show/id/1337621","http://ts.21cn.com/tousu/show/id/1337621")</f>
        <v>http://ts.21cn.com/tousu/show/id/1337621</v>
      </c>
      <c r="F6700" s="2" t="s">
        <v>11</v>
      </c>
      <c r="G6700" s="2" t="s">
        <v>30978</v>
      </c>
      <c r="H6700" s="2" t="s">
        <v>30979</v>
      </c>
    </row>
    <row r="6701" spans="1:8" ht="25.05" customHeight="1" x14ac:dyDescent="0.25">
      <c r="A6701" s="2" t="s">
        <v>8</v>
      </c>
      <c r="B6701" s="2" t="str">
        <f>HYPERLINK("http://ts.21cn.com/tousu/show/id/1337622","玖富万卡擅自改写合同，变相收取费用，高利贷")</f>
        <v>玖富万卡擅自改写合同，变相收取费用，高利贷</v>
      </c>
      <c r="C6701" s="2" t="s">
        <v>9</v>
      </c>
      <c r="D6701" s="2" t="s">
        <v>10</v>
      </c>
      <c r="E6701" s="2" t="str">
        <f>HYPERLINK("http://ts.21cn.com/tousu/show/id/1337622","http://ts.21cn.com/tousu/show/id/1337622")</f>
        <v>http://ts.21cn.com/tousu/show/id/1337622</v>
      </c>
      <c r="F6701" s="2" t="s">
        <v>11</v>
      </c>
      <c r="G6701" s="2" t="s">
        <v>30976</v>
      </c>
      <c r="H6701" s="2" t="s">
        <v>30977</v>
      </c>
    </row>
    <row r="6702" spans="1:8" ht="25.05" customHeight="1" x14ac:dyDescent="0.25">
      <c r="A6702" s="2" t="s">
        <v>8</v>
      </c>
      <c r="B6702" s="2" t="str">
        <f>HYPERLINK("http://ts.21cn.com/tousu/show/id/1337623","招商银行暴力催收侮辱恐吓")</f>
        <v>招商银行暴力催收侮辱恐吓</v>
      </c>
      <c r="C6702" s="2" t="s">
        <v>9</v>
      </c>
      <c r="D6702" s="2" t="s">
        <v>10</v>
      </c>
      <c r="E6702" s="2" t="str">
        <f>HYPERLINK("http://ts.21cn.com/tousu/show/id/1337623","http://ts.21cn.com/tousu/show/id/1337623")</f>
        <v>http://ts.21cn.com/tousu/show/id/1337623</v>
      </c>
      <c r="F6702" s="2" t="s">
        <v>11</v>
      </c>
      <c r="G6702" s="2" t="s">
        <v>30974</v>
      </c>
      <c r="H6702" s="2" t="s">
        <v>30975</v>
      </c>
    </row>
    <row r="6703" spans="1:8" ht="25.05" customHeight="1" x14ac:dyDescent="0.25">
      <c r="A6703" s="2" t="s">
        <v>8</v>
      </c>
      <c r="B6703" s="2" t="str">
        <f>HYPERLINK("http://ts.21cn.com/tousu/show/id/1337627","扣了我299")</f>
        <v>扣了我299</v>
      </c>
      <c r="C6703" s="2" t="s">
        <v>34</v>
      </c>
      <c r="D6703" s="2" t="s">
        <v>10</v>
      </c>
      <c r="E6703" s="2" t="str">
        <f>HYPERLINK("http://ts.21cn.com/tousu/show/id/1337627","http://ts.21cn.com/tousu/show/id/1337627")</f>
        <v>http://ts.21cn.com/tousu/show/id/1337627</v>
      </c>
      <c r="F6703" s="2" t="s">
        <v>11</v>
      </c>
      <c r="G6703" s="2" t="s">
        <v>30972</v>
      </c>
      <c r="H6703" s="2" t="s">
        <v>30973</v>
      </c>
    </row>
    <row r="6704" spans="1:8" ht="25.05" customHeight="1" x14ac:dyDescent="0.25">
      <c r="A6704" s="2" t="s">
        <v>8</v>
      </c>
      <c r="B6704" s="2" t="str">
        <f>HYPERLINK("http://ts.21cn.com/tousu/show/id/1337624","滴滴出行派单根本不派单")</f>
        <v>滴滴出行派单根本不派单</v>
      </c>
      <c r="C6704" s="2" t="s">
        <v>9</v>
      </c>
      <c r="D6704" s="2" t="s">
        <v>10</v>
      </c>
      <c r="E6704" s="2" t="str">
        <f>HYPERLINK("http://ts.21cn.com/tousu/show/id/1337624","http://ts.21cn.com/tousu/show/id/1337624")</f>
        <v>http://ts.21cn.com/tousu/show/id/1337624</v>
      </c>
      <c r="F6704" s="2" t="s">
        <v>11</v>
      </c>
      <c r="G6704" s="2" t="s">
        <v>30970</v>
      </c>
      <c r="H6704" s="2" t="s">
        <v>30971</v>
      </c>
    </row>
    <row r="6705" spans="1:8" ht="25.05" customHeight="1" x14ac:dyDescent="0.25">
      <c r="A6705" s="2" t="s">
        <v>8</v>
      </c>
      <c r="B6705" s="2" t="str">
        <f>HYPERLINK("http://ts.21cn.com/tousu/show/id/1337626","开店宝pos机老是显示外省虚假商户，不给退机退押金")</f>
        <v>开店宝pos机老是显示外省虚假商户，不给退机退押金</v>
      </c>
      <c r="C6705" s="2" t="s">
        <v>9</v>
      </c>
      <c r="D6705" s="2" t="s">
        <v>10</v>
      </c>
      <c r="E6705" s="2" t="str">
        <f>HYPERLINK("http://ts.21cn.com/tousu/show/id/1337626","http://ts.21cn.com/tousu/show/id/1337626")</f>
        <v>http://ts.21cn.com/tousu/show/id/1337626</v>
      </c>
      <c r="F6705" s="2" t="s">
        <v>11</v>
      </c>
      <c r="G6705" s="2" t="s">
        <v>30968</v>
      </c>
      <c r="H6705" s="2" t="s">
        <v>30969</v>
      </c>
    </row>
    <row r="6706" spans="1:8" ht="25.05" customHeight="1" x14ac:dyDescent="0.25">
      <c r="A6706" s="2" t="s">
        <v>8</v>
      </c>
      <c r="B6706" s="2" t="str">
        <f>HYPERLINK("http://ts.21cn.com/tousu/show/id/1337630","豹子贷恶意退款")</f>
        <v>豹子贷恶意退款</v>
      </c>
      <c r="C6706" s="2" t="s">
        <v>9</v>
      </c>
      <c r="D6706" s="2" t="s">
        <v>10</v>
      </c>
      <c r="E6706" s="2" t="str">
        <f>HYPERLINK("http://ts.21cn.com/tousu/show/id/1337630","http://ts.21cn.com/tousu/show/id/1337630")</f>
        <v>http://ts.21cn.com/tousu/show/id/1337630</v>
      </c>
      <c r="F6706" s="2" t="s">
        <v>11</v>
      </c>
      <c r="G6706" s="2" t="s">
        <v>30966</v>
      </c>
      <c r="H6706" s="2" t="s">
        <v>30967</v>
      </c>
    </row>
    <row r="6707" spans="1:8" ht="25.05" customHeight="1" x14ac:dyDescent="0.25">
      <c r="A6707" s="2" t="s">
        <v>8</v>
      </c>
      <c r="B6707" s="2" t="str">
        <f>HYPERLINK("http://ts.21cn.com/tousu/show/id/1337629","不知原因被扣款连续4笔")</f>
        <v>不知原因被扣款连续4笔</v>
      </c>
      <c r="C6707" s="2" t="s">
        <v>9</v>
      </c>
      <c r="D6707" s="2" t="s">
        <v>10</v>
      </c>
      <c r="E6707" s="2" t="str">
        <f>HYPERLINK("http://ts.21cn.com/tousu/show/id/1337629","http://ts.21cn.com/tousu/show/id/1337629")</f>
        <v>http://ts.21cn.com/tousu/show/id/1337629</v>
      </c>
      <c r="F6707" s="2" t="s">
        <v>11</v>
      </c>
      <c r="G6707" s="2" t="s">
        <v>30964</v>
      </c>
      <c r="H6707" s="2" t="s">
        <v>30965</v>
      </c>
    </row>
    <row r="6708" spans="1:8" ht="25.05" customHeight="1" x14ac:dyDescent="0.25">
      <c r="A6708" s="2" t="s">
        <v>8</v>
      </c>
      <c r="B6708" s="2" t="str">
        <f>HYPERLINK("http://ts.21cn.com/tousu/show/id/1337631","买家退货回来，圆通私自代签收我的包裹，我去取件时发现包裹已经破损，里面的物品已经损坏，当场拒收。淘宝以正常签收为由扣款。")</f>
        <v>买家退货回来，圆通私自代签收我的包裹，我去取件时发现包裹已经破损，里面的物品已经损坏，当场拒收。淘宝以正常签收为由扣款。</v>
      </c>
      <c r="C6708" s="2" t="s">
        <v>9</v>
      </c>
      <c r="D6708" s="2" t="s">
        <v>10</v>
      </c>
      <c r="E6708" s="2" t="str">
        <f>HYPERLINK("http://ts.21cn.com/tousu/show/id/1337631","http://ts.21cn.com/tousu/show/id/1337631")</f>
        <v>http://ts.21cn.com/tousu/show/id/1337631</v>
      </c>
      <c r="F6708" s="2" t="s">
        <v>11</v>
      </c>
      <c r="G6708" s="2" t="s">
        <v>30962</v>
      </c>
      <c r="H6708" s="2" t="s">
        <v>30963</v>
      </c>
    </row>
    <row r="6709" spans="1:8" ht="25.05" customHeight="1" x14ac:dyDescent="0.25">
      <c r="A6709" s="2" t="s">
        <v>8</v>
      </c>
      <c r="B6709" s="2" t="str">
        <f>HYPERLINK("http://ts.21cn.com/tousu/show/id/1337633","恶意扣费")</f>
        <v>恶意扣费</v>
      </c>
      <c r="C6709" s="2" t="s">
        <v>9</v>
      </c>
      <c r="D6709" s="2" t="s">
        <v>10</v>
      </c>
      <c r="E6709" s="2" t="str">
        <f>HYPERLINK("http://ts.21cn.com/tousu/show/id/1337633","http://ts.21cn.com/tousu/show/id/1337633")</f>
        <v>http://ts.21cn.com/tousu/show/id/1337633</v>
      </c>
      <c r="F6709" s="2" t="s">
        <v>11</v>
      </c>
      <c r="G6709" s="2" t="s">
        <v>30960</v>
      </c>
      <c r="H6709" s="2" t="s">
        <v>30961</v>
      </c>
    </row>
    <row r="6710" spans="1:8" ht="25.05" customHeight="1" x14ac:dyDescent="0.25">
      <c r="A6710" s="2" t="s">
        <v>8</v>
      </c>
      <c r="B6710" s="2" t="str">
        <f>HYPERLINK("http://ts.21cn.com/tousu/show/id/1337632","咨询费3000不允退还")</f>
        <v>咨询费3000不允退还</v>
      </c>
      <c r="C6710" s="2" t="s">
        <v>9</v>
      </c>
      <c r="D6710" s="2" t="s">
        <v>10</v>
      </c>
      <c r="E6710" s="2" t="str">
        <f>HYPERLINK("http://ts.21cn.com/tousu/show/id/1337632","http://ts.21cn.com/tousu/show/id/1337632")</f>
        <v>http://ts.21cn.com/tousu/show/id/1337632</v>
      </c>
      <c r="F6710" s="2" t="s">
        <v>11</v>
      </c>
      <c r="G6710" s="2" t="s">
        <v>30958</v>
      </c>
      <c r="H6710" s="2" t="s">
        <v>30959</v>
      </c>
    </row>
    <row r="6711" spans="1:8" ht="25.05" customHeight="1" x14ac:dyDescent="0.25">
      <c r="A6711" s="2" t="s">
        <v>8</v>
      </c>
      <c r="B6711" s="2" t="str">
        <f>HYPERLINK("http://ts.21cn.com/tousu/show/id/1337634","自由摩卡诺和信用计划高利贷砍头息")</f>
        <v>自由摩卡诺和信用计划高利贷砍头息</v>
      </c>
      <c r="C6711" s="2" t="s">
        <v>9</v>
      </c>
      <c r="D6711" s="2" t="s">
        <v>10</v>
      </c>
      <c r="E6711" s="2" t="str">
        <f>HYPERLINK("http://ts.21cn.com/tousu/show/id/1337634","http://ts.21cn.com/tousu/show/id/1337634")</f>
        <v>http://ts.21cn.com/tousu/show/id/1337634</v>
      </c>
      <c r="F6711" s="2" t="s">
        <v>11</v>
      </c>
      <c r="G6711" s="2" t="s">
        <v>30956</v>
      </c>
      <c r="H6711" s="2" t="s">
        <v>30957</v>
      </c>
    </row>
    <row r="6712" spans="1:8" ht="25.05" customHeight="1" x14ac:dyDescent="0.25">
      <c r="A6712" s="2" t="s">
        <v>8</v>
      </c>
      <c r="B6712" s="2" t="str">
        <f>HYPERLINK("http://ts.21cn.com/tousu/show/id/1337635","协商至尊10号还款")</f>
        <v>协商至尊10号还款</v>
      </c>
      <c r="C6712" s="2" t="s">
        <v>9</v>
      </c>
      <c r="D6712" s="2" t="s">
        <v>10</v>
      </c>
      <c r="E6712" s="2" t="str">
        <f>HYPERLINK("http://ts.21cn.com/tousu/show/id/1337635","http://ts.21cn.com/tousu/show/id/1337635")</f>
        <v>http://ts.21cn.com/tousu/show/id/1337635</v>
      </c>
      <c r="F6712" s="2" t="s">
        <v>11</v>
      </c>
      <c r="G6712" s="2" t="s">
        <v>30954</v>
      </c>
      <c r="H6712" s="2" t="s">
        <v>30955</v>
      </c>
    </row>
    <row r="6713" spans="1:8" ht="25.05" customHeight="1" x14ac:dyDescent="0.25">
      <c r="A6713" s="2" t="s">
        <v>8</v>
      </c>
      <c r="B6713" s="2" t="str">
        <f>HYPERLINK("http://ts.21cn.com/tousu/show/id/1337636","我的中国银行卡被对方账号27430148149999在不同时间划走共计9995元人民币")</f>
        <v>我的中国银行卡被对方账号27430148149999在不同时间划走共计9995元人民币</v>
      </c>
      <c r="C6713" s="2" t="s">
        <v>9</v>
      </c>
      <c r="D6713" s="2" t="s">
        <v>10</v>
      </c>
      <c r="E6713" s="2" t="str">
        <f>HYPERLINK("http://ts.21cn.com/tousu/show/id/1337636","http://ts.21cn.com/tousu/show/id/1337636")</f>
        <v>http://ts.21cn.com/tousu/show/id/1337636</v>
      </c>
      <c r="F6713" s="2" t="s">
        <v>11</v>
      </c>
      <c r="G6713" s="2" t="s">
        <v>30952</v>
      </c>
      <c r="H6713" s="2" t="s">
        <v>30953</v>
      </c>
    </row>
    <row r="6714" spans="1:8" ht="25.05" customHeight="1" x14ac:dyDescent="0.25">
      <c r="A6714" s="2" t="s">
        <v>8</v>
      </c>
      <c r="B6714" s="2" t="str">
        <f>HYPERLINK("http://ts.21cn.com/tousu/show/id/1337637","储蓄卡被无故扣款")</f>
        <v>储蓄卡被无故扣款</v>
      </c>
      <c r="C6714" s="2" t="s">
        <v>9</v>
      </c>
      <c r="D6714" s="2" t="s">
        <v>10</v>
      </c>
      <c r="E6714" s="2" t="str">
        <f>HYPERLINK("http://ts.21cn.com/tousu/show/id/1337637","http://ts.21cn.com/tousu/show/id/1337637")</f>
        <v>http://ts.21cn.com/tousu/show/id/1337637</v>
      </c>
      <c r="F6714" s="2" t="s">
        <v>11</v>
      </c>
      <c r="G6714" s="2" t="s">
        <v>30950</v>
      </c>
      <c r="H6714" s="2" t="s">
        <v>30951</v>
      </c>
    </row>
    <row r="6715" spans="1:8" ht="25.05" customHeight="1" x14ac:dyDescent="0.25">
      <c r="A6715" s="2" t="s">
        <v>8</v>
      </c>
      <c r="B6715" s="2" t="str">
        <f>HYPERLINK("http://ts.21cn.com/tousu/show/id/1337638","学生顶岗实习被不当人")</f>
        <v>学生顶岗实习被不当人</v>
      </c>
      <c r="C6715" s="2" t="s">
        <v>9</v>
      </c>
      <c r="D6715" s="2" t="s">
        <v>10</v>
      </c>
      <c r="E6715" s="2" t="str">
        <f>HYPERLINK("http://ts.21cn.com/tousu/show/id/1337638","http://ts.21cn.com/tousu/show/id/1337638")</f>
        <v>http://ts.21cn.com/tousu/show/id/1337638</v>
      </c>
      <c r="F6715" s="2" t="s">
        <v>11</v>
      </c>
      <c r="G6715" s="2" t="s">
        <v>30948</v>
      </c>
      <c r="H6715" s="2" t="s">
        <v>30949</v>
      </c>
    </row>
    <row r="6716" spans="1:8" ht="25.05" customHeight="1" x14ac:dyDescent="0.25">
      <c r="A6716" s="2" t="s">
        <v>8</v>
      </c>
      <c r="B6716" s="2" t="str">
        <f>HYPERLINK("http://ts.21cn.com/tousu/show/id/1337640","淘宝小二判决不公")</f>
        <v>淘宝小二判决不公</v>
      </c>
      <c r="C6716" s="2" t="s">
        <v>9</v>
      </c>
      <c r="D6716" s="2" t="s">
        <v>10</v>
      </c>
      <c r="E6716" s="2" t="str">
        <f>HYPERLINK("http://ts.21cn.com/tousu/show/id/1337640","http://ts.21cn.com/tousu/show/id/1337640")</f>
        <v>http://ts.21cn.com/tousu/show/id/1337640</v>
      </c>
      <c r="F6716" s="2" t="s">
        <v>11</v>
      </c>
      <c r="G6716" s="2" t="s">
        <v>30945</v>
      </c>
      <c r="H6716" s="2" t="s">
        <v>30946</v>
      </c>
    </row>
    <row r="6717" spans="1:8" ht="25.05" customHeight="1" x14ac:dyDescent="0.25">
      <c r="A6717" s="2" t="s">
        <v>8</v>
      </c>
      <c r="B6717" s="2" t="str">
        <f>HYPERLINK("http://ts.21cn.com/tousu/show/id/1337639","石榴快贷没借过说我借2000，5天利息700到账只有1100")</f>
        <v>石榴快贷没借过说我借2000，5天利息700到账只有1100</v>
      </c>
      <c r="C6717" s="2" t="s">
        <v>9</v>
      </c>
      <c r="D6717" s="2" t="s">
        <v>10</v>
      </c>
      <c r="E6717" s="2" t="str">
        <f>HYPERLINK("http://ts.21cn.com/tousu/show/id/1337639","http://ts.21cn.com/tousu/show/id/1337639")</f>
        <v>http://ts.21cn.com/tousu/show/id/1337639</v>
      </c>
      <c r="F6717" s="2" t="s">
        <v>11</v>
      </c>
      <c r="G6717" s="2" t="s">
        <v>30945</v>
      </c>
      <c r="H6717" s="2" t="s">
        <v>30947</v>
      </c>
    </row>
    <row r="6718" spans="1:8" ht="25.05" customHeight="1" x14ac:dyDescent="0.25">
      <c r="A6718" s="2" t="s">
        <v>8</v>
      </c>
      <c r="B6718" s="2" t="str">
        <f>HYPERLINK("http://ts.21cn.com/tousu/show/id/1337643","钱没到账怎么出账单要求还款")</f>
        <v>钱没到账怎么出账单要求还款</v>
      </c>
      <c r="C6718" s="2" t="s">
        <v>9</v>
      </c>
      <c r="D6718" s="2" t="s">
        <v>10</v>
      </c>
      <c r="E6718" s="2" t="str">
        <f>HYPERLINK("http://ts.21cn.com/tousu/show/id/1337643","http://ts.21cn.com/tousu/show/id/1337643")</f>
        <v>http://ts.21cn.com/tousu/show/id/1337643</v>
      </c>
      <c r="F6718" s="2" t="s">
        <v>11</v>
      </c>
      <c r="G6718" s="2" t="s">
        <v>30943</v>
      </c>
      <c r="H6718" s="2" t="s">
        <v>30944</v>
      </c>
    </row>
    <row r="6719" spans="1:8" ht="25.05" customHeight="1" x14ac:dyDescent="0.25">
      <c r="A6719" s="2" t="s">
        <v>8</v>
      </c>
      <c r="B6719" s="2" t="str">
        <f>HYPERLINK("http://ts.21cn.com/tousu/show/id/1337645","暴力催收，骚扰通讯录")</f>
        <v>暴力催收，骚扰通讯录</v>
      </c>
      <c r="C6719" s="2" t="s">
        <v>9</v>
      </c>
      <c r="D6719" s="2" t="s">
        <v>10</v>
      </c>
      <c r="E6719" s="2" t="str">
        <f>HYPERLINK("http://ts.21cn.com/tousu/show/id/1337645","http://ts.21cn.com/tousu/show/id/1337645")</f>
        <v>http://ts.21cn.com/tousu/show/id/1337645</v>
      </c>
      <c r="F6719" s="2" t="s">
        <v>11</v>
      </c>
      <c r="G6719" s="2" t="s">
        <v>30941</v>
      </c>
      <c r="H6719" s="2" t="s">
        <v>30942</v>
      </c>
    </row>
    <row r="6720" spans="1:8" ht="25.05" customHeight="1" x14ac:dyDescent="0.25">
      <c r="A6720" s="2" t="s">
        <v>8</v>
      </c>
      <c r="B6720" s="2" t="str">
        <f>HYPERLINK("http://ts.21cn.com/tousu/show/id/1337644","无法协商还款")</f>
        <v>无法协商还款</v>
      </c>
      <c r="C6720" s="2" t="s">
        <v>9</v>
      </c>
      <c r="D6720" s="2" t="s">
        <v>10</v>
      </c>
      <c r="E6720" s="2" t="str">
        <f>HYPERLINK("http://ts.21cn.com/tousu/show/id/1337644","http://ts.21cn.com/tousu/show/id/1337644")</f>
        <v>http://ts.21cn.com/tousu/show/id/1337644</v>
      </c>
      <c r="F6720" s="2" t="s">
        <v>11</v>
      </c>
      <c r="G6720" s="2" t="s">
        <v>30939</v>
      </c>
      <c r="H6720" s="2" t="s">
        <v>30940</v>
      </c>
    </row>
    <row r="6721" spans="1:8" ht="25.05" customHeight="1" x14ac:dyDescent="0.25">
      <c r="A6721" s="2" t="s">
        <v>8</v>
      </c>
      <c r="B6721" s="2" t="str">
        <f>HYPERLINK("http://ts.21cn.com/tousu/show/id/1337646","捷信公司故意骚扰")</f>
        <v>捷信公司故意骚扰</v>
      </c>
      <c r="C6721" s="2" t="s">
        <v>9</v>
      </c>
      <c r="D6721" s="2" t="s">
        <v>10</v>
      </c>
      <c r="E6721" s="2" t="str">
        <f>HYPERLINK("http://ts.21cn.com/tousu/show/id/1337646","http://ts.21cn.com/tousu/show/id/1337646")</f>
        <v>http://ts.21cn.com/tousu/show/id/1337646</v>
      </c>
      <c r="F6721" s="2" t="s">
        <v>11</v>
      </c>
      <c r="G6721" s="2" t="s">
        <v>30937</v>
      </c>
      <c r="H6721" s="2" t="s">
        <v>30938</v>
      </c>
    </row>
    <row r="6722" spans="1:8" ht="25.05" customHeight="1" x14ac:dyDescent="0.25">
      <c r="A6722" s="2" t="s">
        <v>8</v>
      </c>
      <c r="B6722" s="2" t="str">
        <f>HYPERLINK("http://ts.21cn.com/tousu/show/id/1337648","西部明珠会员卡虚假宣传诱导消费")</f>
        <v>西部明珠会员卡虚假宣传诱导消费</v>
      </c>
      <c r="C6722" s="2" t="s">
        <v>9</v>
      </c>
      <c r="D6722" s="2" t="s">
        <v>10</v>
      </c>
      <c r="E6722" s="2" t="str">
        <f>HYPERLINK("http://ts.21cn.com/tousu/show/id/1337648","http://ts.21cn.com/tousu/show/id/1337648")</f>
        <v>http://ts.21cn.com/tousu/show/id/1337648</v>
      </c>
      <c r="F6722" s="2" t="s">
        <v>11</v>
      </c>
      <c r="G6722" s="2" t="s">
        <v>30935</v>
      </c>
      <c r="H6722" s="2" t="s">
        <v>30936</v>
      </c>
    </row>
    <row r="6723" spans="1:8" ht="25.05" customHeight="1" x14ac:dyDescent="0.25">
      <c r="A6723" s="2" t="s">
        <v>8</v>
      </c>
      <c r="B6723" s="2" t="str">
        <f>HYPERLINK("http://ts.21cn.com/tousu/show/id/1337647","51人品贷暴力吹收")</f>
        <v>51人品贷暴力吹收</v>
      </c>
      <c r="C6723" s="2" t="s">
        <v>34</v>
      </c>
      <c r="D6723" s="2" t="s">
        <v>10</v>
      </c>
      <c r="E6723" s="2" t="str">
        <f>HYPERLINK("http://ts.21cn.com/tousu/show/id/1337647","http://ts.21cn.com/tousu/show/id/1337647")</f>
        <v>http://ts.21cn.com/tousu/show/id/1337647</v>
      </c>
      <c r="F6723" s="2" t="s">
        <v>11</v>
      </c>
      <c r="G6723" s="2" t="s">
        <v>30933</v>
      </c>
      <c r="H6723" s="2" t="s">
        <v>30934</v>
      </c>
    </row>
    <row r="6724" spans="1:8" ht="25.05" customHeight="1" x14ac:dyDescent="0.25">
      <c r="A6724" s="2" t="s">
        <v>8</v>
      </c>
      <c r="B6724" s="2" t="str">
        <f>HYPERLINK("http://ts.21cn.com/tousu/show/id/1337649","要求微博借钱减免剩下利息，一次性还清")</f>
        <v>要求微博借钱减免剩下利息，一次性还清</v>
      </c>
      <c r="C6724" s="2" t="s">
        <v>9</v>
      </c>
      <c r="D6724" s="2" t="s">
        <v>10</v>
      </c>
      <c r="E6724" s="2" t="str">
        <f>HYPERLINK("http://ts.21cn.com/tousu/show/id/1337649","http://ts.21cn.com/tousu/show/id/1337649")</f>
        <v>http://ts.21cn.com/tousu/show/id/1337649</v>
      </c>
      <c r="F6724" s="2" t="s">
        <v>11</v>
      </c>
      <c r="G6724" s="2" t="s">
        <v>30931</v>
      </c>
      <c r="H6724" s="2" t="s">
        <v>30932</v>
      </c>
    </row>
    <row r="6725" spans="1:8" ht="25.05" customHeight="1" x14ac:dyDescent="0.25">
      <c r="A6725" s="2" t="s">
        <v>8</v>
      </c>
      <c r="B6725" s="2" t="str">
        <f>HYPERLINK("http://ts.21cn.com/tousu/show/id/1337650","网贷平台爆个人隐私")</f>
        <v>网贷平台爆个人隐私</v>
      </c>
      <c r="C6725" s="2" t="s">
        <v>9</v>
      </c>
      <c r="D6725" s="2" t="s">
        <v>10</v>
      </c>
      <c r="E6725" s="2" t="str">
        <f>HYPERLINK("http://ts.21cn.com/tousu/show/id/1337650","http://ts.21cn.com/tousu/show/id/1337650")</f>
        <v>http://ts.21cn.com/tousu/show/id/1337650</v>
      </c>
      <c r="F6725" s="2" t="s">
        <v>11</v>
      </c>
      <c r="G6725" s="2" t="s">
        <v>30929</v>
      </c>
      <c r="H6725" s="2" t="s">
        <v>30930</v>
      </c>
    </row>
    <row r="6726" spans="1:8" ht="25.05" customHeight="1" x14ac:dyDescent="0.25">
      <c r="A6726" s="2" t="s">
        <v>8</v>
      </c>
      <c r="B6726" s="2" t="str">
        <f>HYPERLINK("http://ts.21cn.com/tousu/show/id/1337651","百万钱包贷款每个月收取高额担保费")</f>
        <v>百万钱包贷款每个月收取高额担保费</v>
      </c>
      <c r="C6726" s="2" t="s">
        <v>9</v>
      </c>
      <c r="D6726" s="2" t="s">
        <v>10</v>
      </c>
      <c r="E6726" s="2" t="str">
        <f>HYPERLINK("http://ts.21cn.com/tousu/show/id/1337651","http://ts.21cn.com/tousu/show/id/1337651")</f>
        <v>http://ts.21cn.com/tousu/show/id/1337651</v>
      </c>
      <c r="F6726" s="2" t="s">
        <v>11</v>
      </c>
      <c r="G6726" s="2" t="s">
        <v>30927</v>
      </c>
      <c r="H6726" s="2" t="s">
        <v>30928</v>
      </c>
    </row>
    <row r="6727" spans="1:8" ht="25.05" customHeight="1" x14ac:dyDescent="0.25">
      <c r="A6727" s="2" t="s">
        <v>8</v>
      </c>
      <c r="B6727" s="2" t="str">
        <f>HYPERLINK("http://ts.21cn.com/tousu/show/id/1337652","图乐贷催收要求协商处理，结果态度很差根本不给协商机会，暴力催收我还威胁我，")</f>
        <v>图乐贷催收要求协商处理，结果态度很差根本不给协商机会，暴力催收我还威胁我，</v>
      </c>
      <c r="C6727" s="2" t="s">
        <v>9</v>
      </c>
      <c r="D6727" s="2" t="s">
        <v>10</v>
      </c>
      <c r="E6727" s="2" t="str">
        <f>HYPERLINK("http://ts.21cn.com/tousu/show/id/1337652","http://ts.21cn.com/tousu/show/id/1337652")</f>
        <v>http://ts.21cn.com/tousu/show/id/1337652</v>
      </c>
      <c r="F6727" s="2" t="s">
        <v>11</v>
      </c>
      <c r="G6727" s="2" t="s">
        <v>30925</v>
      </c>
      <c r="H6727" s="2" t="s">
        <v>30926</v>
      </c>
    </row>
    <row r="6728" spans="1:8" ht="25.05" customHeight="1" x14ac:dyDescent="0.25">
      <c r="A6728" s="2" t="s">
        <v>8</v>
      </c>
      <c r="B6728" s="2" t="str">
        <f>HYPERLINK("http://ts.21cn.com/tousu/show/id/1337653","不守承诺")</f>
        <v>不守承诺</v>
      </c>
      <c r="C6728" s="2" t="s">
        <v>9</v>
      </c>
      <c r="D6728" s="2" t="s">
        <v>10</v>
      </c>
      <c r="E6728" s="2" t="str">
        <f>HYPERLINK("http://ts.21cn.com/tousu/show/id/1337653","http://ts.21cn.com/tousu/show/id/1337653")</f>
        <v>http://ts.21cn.com/tousu/show/id/1337653</v>
      </c>
      <c r="F6728" s="2" t="s">
        <v>11</v>
      </c>
      <c r="G6728" s="2" t="s">
        <v>30923</v>
      </c>
      <c r="H6728" s="2" t="s">
        <v>30924</v>
      </c>
    </row>
    <row r="6729" spans="1:8" ht="25.05" customHeight="1" x14ac:dyDescent="0.25">
      <c r="A6729" s="2" t="s">
        <v>8</v>
      </c>
      <c r="B6729" s="2" t="str">
        <f>HYPERLINK("http://ts.21cn.com/tousu/show/id/1337654","网贷平台爆通讯录")</f>
        <v>网贷平台爆通讯录</v>
      </c>
      <c r="C6729" s="2" t="s">
        <v>9</v>
      </c>
      <c r="D6729" s="2" t="s">
        <v>10</v>
      </c>
      <c r="E6729" s="2" t="str">
        <f>HYPERLINK("http://ts.21cn.com/tousu/show/id/1337654","http://ts.21cn.com/tousu/show/id/1337654")</f>
        <v>http://ts.21cn.com/tousu/show/id/1337654</v>
      </c>
      <c r="F6729" s="2" t="s">
        <v>11</v>
      </c>
      <c r="G6729" s="2" t="s">
        <v>30921</v>
      </c>
      <c r="H6729" s="2" t="s">
        <v>30922</v>
      </c>
    </row>
    <row r="6730" spans="1:8" ht="25.05" customHeight="1" x14ac:dyDescent="0.25">
      <c r="A6730" s="2" t="s">
        <v>8</v>
      </c>
      <c r="B6730" s="2" t="str">
        <f>HYPERLINK("http://ts.21cn.com/tousu/show/id/1337656","建设银行卡莫名其妙被中兴付扣钱")</f>
        <v>建设银行卡莫名其妙被中兴付扣钱</v>
      </c>
      <c r="C6730" s="2" t="s">
        <v>9</v>
      </c>
      <c r="D6730" s="2" t="s">
        <v>10</v>
      </c>
      <c r="E6730" s="2" t="str">
        <f>HYPERLINK("http://ts.21cn.com/tousu/show/id/1337656","http://ts.21cn.com/tousu/show/id/1337656")</f>
        <v>http://ts.21cn.com/tousu/show/id/1337656</v>
      </c>
      <c r="F6730" s="2" t="s">
        <v>11</v>
      </c>
      <c r="G6730" s="2" t="s">
        <v>30919</v>
      </c>
      <c r="H6730" s="2" t="s">
        <v>30920</v>
      </c>
    </row>
    <row r="6731" spans="1:8" ht="25.05" customHeight="1" x14ac:dyDescent="0.25">
      <c r="A6731" s="2" t="s">
        <v>8</v>
      </c>
      <c r="B6731" s="2" t="str">
        <f>HYPERLINK("http://ts.21cn.com/tousu/show/id/1337655","智行火车票")</f>
        <v>智行火车票</v>
      </c>
      <c r="C6731" s="2" t="s">
        <v>9</v>
      </c>
      <c r="D6731" s="2" t="s">
        <v>10</v>
      </c>
      <c r="E6731" s="2" t="str">
        <f>HYPERLINK("http://ts.21cn.com/tousu/show/id/1337655","http://ts.21cn.com/tousu/show/id/1337655")</f>
        <v>http://ts.21cn.com/tousu/show/id/1337655</v>
      </c>
      <c r="F6731" s="2" t="s">
        <v>11</v>
      </c>
      <c r="G6731" s="2" t="s">
        <v>30917</v>
      </c>
      <c r="H6731" s="2" t="s">
        <v>30918</v>
      </c>
    </row>
    <row r="6732" spans="1:8" ht="25.05" customHeight="1" x14ac:dyDescent="0.25">
      <c r="A6732" s="2" t="s">
        <v>8</v>
      </c>
      <c r="B6732" s="2" t="str">
        <f>HYPERLINK("http://ts.21cn.com/tousu/show/id/1337657","太假了")</f>
        <v>太假了</v>
      </c>
      <c r="C6732" s="2" t="s">
        <v>9</v>
      </c>
      <c r="D6732" s="2" t="s">
        <v>10</v>
      </c>
      <c r="E6732" s="2" t="str">
        <f>HYPERLINK("http://ts.21cn.com/tousu/show/id/1337657","http://ts.21cn.com/tousu/show/id/1337657")</f>
        <v>http://ts.21cn.com/tousu/show/id/1337657</v>
      </c>
      <c r="F6732" s="2" t="s">
        <v>11</v>
      </c>
      <c r="G6732" s="2" t="s">
        <v>30915</v>
      </c>
      <c r="H6732" s="2" t="s">
        <v>30916</v>
      </c>
    </row>
    <row r="6733" spans="1:8" ht="25.05" customHeight="1" x14ac:dyDescent="0.25">
      <c r="A6733" s="2" t="s">
        <v>8</v>
      </c>
      <c r="B6733" s="2" t="str">
        <f>HYPERLINK("http://ts.21cn.com/tousu/show/id/1337658","交通银行大过节不停打电话威胁我，说了尽快想办法还款，一会儿打一个，快逼死人了")</f>
        <v>交通银行大过节不停打电话威胁我，说了尽快想办法还款，一会儿打一个，快逼死人了</v>
      </c>
      <c r="C6733" s="2" t="s">
        <v>9</v>
      </c>
      <c r="D6733" s="2" t="s">
        <v>10</v>
      </c>
      <c r="E6733" s="2" t="str">
        <f>HYPERLINK("http://ts.21cn.com/tousu/show/id/1337658","http://ts.21cn.com/tousu/show/id/1337658")</f>
        <v>http://ts.21cn.com/tousu/show/id/1337658</v>
      </c>
      <c r="F6733" s="2" t="s">
        <v>11</v>
      </c>
      <c r="G6733" s="2" t="s">
        <v>30913</v>
      </c>
      <c r="H6733" s="2" t="s">
        <v>30914</v>
      </c>
    </row>
    <row r="6734" spans="1:8" ht="25.05" customHeight="1" x14ac:dyDescent="0.25">
      <c r="A6734" s="2" t="s">
        <v>8</v>
      </c>
      <c r="B6734" s="2" t="str">
        <f>HYPERLINK("http://ts.21cn.com/tousu/show/id/1337659","招联恶意催收")</f>
        <v>招联恶意催收</v>
      </c>
      <c r="C6734" s="2" t="s">
        <v>9</v>
      </c>
      <c r="D6734" s="2" t="s">
        <v>10</v>
      </c>
      <c r="E6734" s="2" t="str">
        <f>HYPERLINK("http://ts.21cn.com/tousu/show/id/1337659","http://ts.21cn.com/tousu/show/id/1337659")</f>
        <v>http://ts.21cn.com/tousu/show/id/1337659</v>
      </c>
      <c r="F6734" s="2" t="s">
        <v>11</v>
      </c>
      <c r="G6734" s="2" t="s">
        <v>30911</v>
      </c>
      <c r="H6734" s="2" t="s">
        <v>30912</v>
      </c>
    </row>
    <row r="6735" spans="1:8" ht="25.05" customHeight="1" x14ac:dyDescent="0.25">
      <c r="A6735" s="2" t="s">
        <v>8</v>
      </c>
      <c r="B6735" s="2" t="str">
        <f>HYPERLINK("http://ts.21cn.com/tousu/show/id/1335652","万博诱导我输了200万")</f>
        <v>万博诱导我输了200万</v>
      </c>
      <c r="C6735" s="2" t="s">
        <v>9</v>
      </c>
      <c r="D6735" s="2" t="s">
        <v>10</v>
      </c>
      <c r="E6735" s="2" t="str">
        <f>HYPERLINK("http://ts.21cn.com/tousu/show/id/1335652","http://ts.21cn.com/tousu/show/id/1335652")</f>
        <v>http://ts.21cn.com/tousu/show/id/1335652</v>
      </c>
      <c r="F6735" s="2" t="s">
        <v>11</v>
      </c>
      <c r="G6735" s="2" t="s">
        <v>30909</v>
      </c>
      <c r="H6735" s="2" t="s">
        <v>30910</v>
      </c>
    </row>
    <row r="6736" spans="1:8" ht="25.05" customHeight="1" x14ac:dyDescent="0.25">
      <c r="A6736" s="2" t="s">
        <v>8</v>
      </c>
      <c r="B6736" s="2" t="str">
        <f>HYPERLINK("http://ts.21cn.com/tousu/show/id/1337660","请平安银行停止侵权伤害")</f>
        <v>请平安银行停止侵权伤害</v>
      </c>
      <c r="C6736" s="2" t="s">
        <v>9</v>
      </c>
      <c r="D6736" s="2" t="s">
        <v>10</v>
      </c>
      <c r="E6736" s="2" t="str">
        <f>HYPERLINK("http://ts.21cn.com/tousu/show/id/1337660","http://ts.21cn.com/tousu/show/id/1337660")</f>
        <v>http://ts.21cn.com/tousu/show/id/1337660</v>
      </c>
      <c r="F6736" s="2" t="s">
        <v>11</v>
      </c>
      <c r="G6736" s="2" t="s">
        <v>30907</v>
      </c>
      <c r="H6736" s="2" t="s">
        <v>30908</v>
      </c>
    </row>
    <row r="6737" spans="1:8" ht="25.05" customHeight="1" x14ac:dyDescent="0.25">
      <c r="A6737" s="2" t="s">
        <v>8</v>
      </c>
      <c r="B6737" s="2" t="str">
        <f>HYPERLINK("http://ts.21cn.com/tousu/show/id/1337661","上海造艺网络技术有限公司")</f>
        <v>上海造艺网络技术有限公司</v>
      </c>
      <c r="C6737" s="2" t="s">
        <v>9</v>
      </c>
      <c r="D6737" s="2" t="s">
        <v>10</v>
      </c>
      <c r="E6737" s="2" t="str">
        <f>HYPERLINK("http://ts.21cn.com/tousu/show/id/1337661","http://ts.21cn.com/tousu/show/id/1337661")</f>
        <v>http://ts.21cn.com/tousu/show/id/1337661</v>
      </c>
      <c r="F6737" s="2" t="s">
        <v>11</v>
      </c>
      <c r="G6737" s="2" t="s">
        <v>30905</v>
      </c>
      <c r="H6737" s="2" t="s">
        <v>30906</v>
      </c>
    </row>
    <row r="6738" spans="1:8" ht="25.05" customHeight="1" x14ac:dyDescent="0.25">
      <c r="A6738" s="2" t="s">
        <v>8</v>
      </c>
      <c r="B6738" s="2" t="str">
        <f>HYPERLINK("http://ts.21cn.com/tousu/show/id/1337662","网贷平台套路贷")</f>
        <v>网贷平台套路贷</v>
      </c>
      <c r="C6738" s="2" t="s">
        <v>9</v>
      </c>
      <c r="D6738" s="2" t="s">
        <v>10</v>
      </c>
      <c r="E6738" s="2" t="str">
        <f>HYPERLINK("http://ts.21cn.com/tousu/show/id/1337662","http://ts.21cn.com/tousu/show/id/1337662")</f>
        <v>http://ts.21cn.com/tousu/show/id/1337662</v>
      </c>
      <c r="F6738" s="2" t="s">
        <v>11</v>
      </c>
      <c r="G6738" s="2" t="s">
        <v>30904</v>
      </c>
      <c r="H6738" s="2" t="s">
        <v>29586</v>
      </c>
    </row>
    <row r="6739" spans="1:8" ht="25.05" customHeight="1" x14ac:dyDescent="0.25">
      <c r="A6739" s="2" t="s">
        <v>8</v>
      </c>
      <c r="B6739" s="2" t="str">
        <f>HYPERLINK("http://ts.21cn.com/tousu/show/id/1337663","威胁骚扰恐吓")</f>
        <v>威胁骚扰恐吓</v>
      </c>
      <c r="C6739" s="2" t="s">
        <v>9</v>
      </c>
      <c r="D6739" s="2" t="s">
        <v>10</v>
      </c>
      <c r="E6739" s="2" t="str">
        <f>HYPERLINK("http://ts.21cn.com/tousu/show/id/1337663","http://ts.21cn.com/tousu/show/id/1337663")</f>
        <v>http://ts.21cn.com/tousu/show/id/1337663</v>
      </c>
      <c r="F6739" s="2" t="s">
        <v>11</v>
      </c>
      <c r="G6739" s="2" t="s">
        <v>30902</v>
      </c>
      <c r="H6739" s="2" t="s">
        <v>30903</v>
      </c>
    </row>
    <row r="6740" spans="1:8" ht="25.05" customHeight="1" x14ac:dyDescent="0.25">
      <c r="A6740" s="2" t="s">
        <v>8</v>
      </c>
      <c r="B6740" s="2" t="str">
        <f>HYPERLINK("http://ts.21cn.com/tousu/show/id/1337664","柯基贷半夜骚扰，让人无法正常生活")</f>
        <v>柯基贷半夜骚扰，让人无法正常生活</v>
      </c>
      <c r="C6740" s="2" t="s">
        <v>9</v>
      </c>
      <c r="D6740" s="2" t="s">
        <v>10</v>
      </c>
      <c r="E6740" s="2" t="str">
        <f>HYPERLINK("http://ts.21cn.com/tousu/show/id/1337664","http://ts.21cn.com/tousu/show/id/1337664")</f>
        <v>http://ts.21cn.com/tousu/show/id/1337664</v>
      </c>
      <c r="F6740" s="2" t="s">
        <v>11</v>
      </c>
      <c r="G6740" s="2" t="s">
        <v>30900</v>
      </c>
      <c r="H6740" s="2" t="s">
        <v>30901</v>
      </c>
    </row>
    <row r="6741" spans="1:8" ht="25.05" customHeight="1" x14ac:dyDescent="0.25">
      <c r="A6741" s="2" t="s">
        <v>8</v>
      </c>
      <c r="B6741" s="2" t="str">
        <f>HYPERLINK("http://ts.21cn.com/tousu/show/id/1337666","自由摩卡信用计划高利贷，app无法还款")</f>
        <v>自由摩卡信用计划高利贷，app无法还款</v>
      </c>
      <c r="C6741" s="2" t="s">
        <v>9</v>
      </c>
      <c r="D6741" s="2" t="s">
        <v>10</v>
      </c>
      <c r="E6741" s="2" t="str">
        <f>HYPERLINK("http://ts.21cn.com/tousu/show/id/1337666","http://ts.21cn.com/tousu/show/id/1337666")</f>
        <v>http://ts.21cn.com/tousu/show/id/1337666</v>
      </c>
      <c r="F6741" s="2" t="s">
        <v>11</v>
      </c>
      <c r="G6741" s="2" t="s">
        <v>30898</v>
      </c>
      <c r="H6741" s="2" t="s">
        <v>30899</v>
      </c>
    </row>
    <row r="6742" spans="1:8" ht="25.05" customHeight="1" x14ac:dyDescent="0.25">
      <c r="A6742" s="2" t="s">
        <v>8</v>
      </c>
      <c r="B6742" s="2" t="str">
        <f>HYPERLINK("http://ts.21cn.com/tousu/show/id/1337667","苹果手机id贷还了不给解锁")</f>
        <v>苹果手机id贷还了不给解锁</v>
      </c>
      <c r="C6742" s="2" t="s">
        <v>34</v>
      </c>
      <c r="D6742" s="2" t="s">
        <v>10</v>
      </c>
      <c r="E6742" s="2" t="str">
        <f>HYPERLINK("http://ts.21cn.com/tousu/show/id/1337667","http://ts.21cn.com/tousu/show/id/1337667")</f>
        <v>http://ts.21cn.com/tousu/show/id/1337667</v>
      </c>
      <c r="F6742" s="2" t="s">
        <v>11</v>
      </c>
      <c r="G6742" s="2" t="s">
        <v>30896</v>
      </c>
      <c r="H6742" s="2" t="s">
        <v>30897</v>
      </c>
    </row>
    <row r="6743" spans="1:8" ht="25.05" customHeight="1" x14ac:dyDescent="0.25">
      <c r="A6743" s="2" t="s">
        <v>8</v>
      </c>
      <c r="B6743" s="2" t="str">
        <f>HYPERLINK("http://ts.21cn.com/tousu/show/id/1337668","淄博博山宜信")</f>
        <v>淄博博山宜信</v>
      </c>
      <c r="C6743" s="2" t="s">
        <v>9</v>
      </c>
      <c r="D6743" s="2" t="s">
        <v>10</v>
      </c>
      <c r="E6743" s="2" t="str">
        <f>HYPERLINK("http://ts.21cn.com/tousu/show/id/1337668","http://ts.21cn.com/tousu/show/id/1337668")</f>
        <v>http://ts.21cn.com/tousu/show/id/1337668</v>
      </c>
      <c r="F6743" s="2" t="s">
        <v>11</v>
      </c>
      <c r="G6743" s="2" t="s">
        <v>30894</v>
      </c>
      <c r="H6743" s="2" t="s">
        <v>30895</v>
      </c>
    </row>
    <row r="6744" spans="1:8" ht="25.05" customHeight="1" x14ac:dyDescent="0.25">
      <c r="A6744" s="2" t="s">
        <v>8</v>
      </c>
      <c r="B6744" s="2" t="str">
        <f>HYPERLINK("http://ts.21cn.com/tousu/show/id/1337669","百事惠普恶意扣钱")</f>
        <v>百事惠普恶意扣钱</v>
      </c>
      <c r="C6744" s="2" t="s">
        <v>9</v>
      </c>
      <c r="D6744" s="2" t="s">
        <v>10</v>
      </c>
      <c r="E6744" s="2" t="str">
        <f>HYPERLINK("http://ts.21cn.com/tousu/show/id/1337669","http://ts.21cn.com/tousu/show/id/1337669")</f>
        <v>http://ts.21cn.com/tousu/show/id/1337669</v>
      </c>
      <c r="F6744" s="2" t="s">
        <v>11</v>
      </c>
      <c r="G6744" s="2" t="s">
        <v>30892</v>
      </c>
      <c r="H6744" s="2" t="s">
        <v>30893</v>
      </c>
    </row>
    <row r="6745" spans="1:8" ht="25.05" customHeight="1" x14ac:dyDescent="0.25">
      <c r="A6745" s="2" t="s">
        <v>8</v>
      </c>
      <c r="B6745" s="2" t="str">
        <f>HYPERLINK("http://ts.21cn.com/tousu/show/id/1337670","714网贷")</f>
        <v>714网贷</v>
      </c>
      <c r="C6745" s="2" t="s">
        <v>34</v>
      </c>
      <c r="D6745" s="2" t="s">
        <v>10</v>
      </c>
      <c r="E6745" s="2" t="str">
        <f>HYPERLINK("http://ts.21cn.com/tousu/show/id/1337670","http://ts.21cn.com/tousu/show/id/1337670")</f>
        <v>http://ts.21cn.com/tousu/show/id/1337670</v>
      </c>
      <c r="F6745" s="2" t="s">
        <v>11</v>
      </c>
      <c r="G6745" s="2" t="s">
        <v>30890</v>
      </c>
      <c r="H6745" s="2" t="s">
        <v>30891</v>
      </c>
    </row>
    <row r="6746" spans="1:8" ht="25.05" customHeight="1" x14ac:dyDescent="0.25">
      <c r="A6746" s="2" t="s">
        <v>8</v>
      </c>
      <c r="B6746" s="2" t="str">
        <f>HYPERLINK("http://ts.21cn.com/tousu/show/id/1337675","Gofun出行共享汽车虚报电量和里程数导致车辆被困高速")</f>
        <v>Gofun出行共享汽车虚报电量和里程数导致车辆被困高速</v>
      </c>
      <c r="C6746" s="2" t="s">
        <v>9</v>
      </c>
      <c r="D6746" s="2" t="s">
        <v>10</v>
      </c>
      <c r="E6746" s="2" t="str">
        <f>HYPERLINK("http://ts.21cn.com/tousu/show/id/1337675","http://ts.21cn.com/tousu/show/id/1337675")</f>
        <v>http://ts.21cn.com/tousu/show/id/1337675</v>
      </c>
      <c r="F6746" s="2" t="s">
        <v>11</v>
      </c>
      <c r="G6746" s="2" t="s">
        <v>30888</v>
      </c>
      <c r="H6746" s="2" t="s">
        <v>30889</v>
      </c>
    </row>
    <row r="6747" spans="1:8" ht="25.05" customHeight="1" x14ac:dyDescent="0.25">
      <c r="A6747" s="2" t="s">
        <v>8</v>
      </c>
      <c r="B6747" s="2" t="str">
        <f>HYPERLINK("http://ts.21cn.com/tousu/show/id/1337665","不退服务费，收取砍头息")</f>
        <v>不退服务费，收取砍头息</v>
      </c>
      <c r="C6747" s="2" t="s">
        <v>9</v>
      </c>
      <c r="D6747" s="2" t="s">
        <v>10</v>
      </c>
      <c r="E6747" s="2" t="str">
        <f>HYPERLINK("http://ts.21cn.com/tousu/show/id/1337665","http://ts.21cn.com/tousu/show/id/1337665")</f>
        <v>http://ts.21cn.com/tousu/show/id/1337665</v>
      </c>
      <c r="F6747" s="2" t="s">
        <v>11</v>
      </c>
      <c r="G6747" s="2" t="s">
        <v>30885</v>
      </c>
      <c r="H6747" s="2" t="s">
        <v>30886</v>
      </c>
    </row>
    <row r="6748" spans="1:8" ht="25.05" customHeight="1" x14ac:dyDescent="0.25">
      <c r="A6748" s="2" t="s">
        <v>8</v>
      </c>
      <c r="B6748" s="2" t="str">
        <f>HYPERLINK("http://ts.21cn.com/tousu/show/id/1337672","恶意扣款")</f>
        <v>恶意扣款</v>
      </c>
      <c r="C6748" s="2" t="s">
        <v>9</v>
      </c>
      <c r="D6748" s="2" t="s">
        <v>10</v>
      </c>
      <c r="E6748" s="2" t="str">
        <f>HYPERLINK("http://ts.21cn.com/tousu/show/id/1337672","http://ts.21cn.com/tousu/show/id/1337672")</f>
        <v>http://ts.21cn.com/tousu/show/id/1337672</v>
      </c>
      <c r="F6748" s="2" t="s">
        <v>11</v>
      </c>
      <c r="G6748" s="2" t="s">
        <v>30885</v>
      </c>
      <c r="H6748" s="2" t="s">
        <v>30887</v>
      </c>
    </row>
    <row r="6749" spans="1:8" ht="25.05" customHeight="1" x14ac:dyDescent="0.25">
      <c r="A6749" s="2" t="s">
        <v>8</v>
      </c>
      <c r="B6749" s="2" t="str">
        <f>HYPERLINK("http://ts.21cn.com/tousu/show/id/1337674","普惠快信利息超36％")</f>
        <v>普惠快信利息超36％</v>
      </c>
      <c r="C6749" s="2" t="s">
        <v>34</v>
      </c>
      <c r="D6749" s="2" t="s">
        <v>10</v>
      </c>
      <c r="E6749" s="2" t="str">
        <f>HYPERLINK("http://ts.21cn.com/tousu/show/id/1337674","http://ts.21cn.com/tousu/show/id/1337674")</f>
        <v>http://ts.21cn.com/tousu/show/id/1337674</v>
      </c>
      <c r="F6749" s="2" t="s">
        <v>11</v>
      </c>
      <c r="G6749" s="2" t="s">
        <v>30883</v>
      </c>
      <c r="H6749" s="2" t="s">
        <v>30884</v>
      </c>
    </row>
    <row r="6750" spans="1:8" ht="25.05" customHeight="1" x14ac:dyDescent="0.25">
      <c r="A6750" s="2" t="s">
        <v>8</v>
      </c>
      <c r="B6750" s="2" t="str">
        <f>HYPERLINK("http://ts.21cn.com/tousu/show/id/1337676","快手商家不退款。打电话问我要三十块钱运费才退款")</f>
        <v>快手商家不退款。打电话问我要三十块钱运费才退款</v>
      </c>
      <c r="C6750" s="2" t="s">
        <v>9</v>
      </c>
      <c r="D6750" s="2" t="s">
        <v>10</v>
      </c>
      <c r="E6750" s="2" t="str">
        <f>HYPERLINK("http://ts.21cn.com/tousu/show/id/1337676","http://ts.21cn.com/tousu/show/id/1337676")</f>
        <v>http://ts.21cn.com/tousu/show/id/1337676</v>
      </c>
      <c r="F6750" s="2" t="s">
        <v>11</v>
      </c>
      <c r="G6750" s="2" t="s">
        <v>30880</v>
      </c>
      <c r="H6750" s="2" t="s">
        <v>30881</v>
      </c>
    </row>
    <row r="6751" spans="1:8" ht="25.05" customHeight="1" x14ac:dyDescent="0.25">
      <c r="A6751" s="2" t="s">
        <v>8</v>
      </c>
      <c r="B6751" s="2" t="str">
        <f>HYPERLINK("http://ts.21cn.com/tousu/show/id/1337677","网贷平台爆个人隐私")</f>
        <v>网贷平台爆个人隐私</v>
      </c>
      <c r="C6751" s="2" t="s">
        <v>9</v>
      </c>
      <c r="D6751" s="2" t="s">
        <v>10</v>
      </c>
      <c r="E6751" s="2" t="str">
        <f>HYPERLINK("http://ts.21cn.com/tousu/show/id/1337677","http://ts.21cn.com/tousu/show/id/1337677")</f>
        <v>http://ts.21cn.com/tousu/show/id/1337677</v>
      </c>
      <c r="F6751" s="2" t="s">
        <v>11</v>
      </c>
      <c r="G6751" s="2" t="s">
        <v>30880</v>
      </c>
      <c r="H6751" s="2" t="s">
        <v>30882</v>
      </c>
    </row>
    <row r="6752" spans="1:8" ht="25.05" customHeight="1" x14ac:dyDescent="0.25">
      <c r="A6752" s="2" t="s">
        <v>8</v>
      </c>
      <c r="B6752" s="2" t="str">
        <f>HYPERLINK("http://ts.21cn.com/tousu/show/id/1337678","小赢卡贷发放超高利贷，变相收取砍头息")</f>
        <v>小赢卡贷发放超高利贷，变相收取砍头息</v>
      </c>
      <c r="C6752" s="2" t="s">
        <v>9</v>
      </c>
      <c r="D6752" s="2" t="s">
        <v>10</v>
      </c>
      <c r="E6752" s="2" t="str">
        <f>HYPERLINK("http://ts.21cn.com/tousu/show/id/1337678","http://ts.21cn.com/tousu/show/id/1337678")</f>
        <v>http://ts.21cn.com/tousu/show/id/1337678</v>
      </c>
      <c r="F6752" s="2" t="s">
        <v>11</v>
      </c>
      <c r="G6752" s="2" t="s">
        <v>30878</v>
      </c>
      <c r="H6752" s="2" t="s">
        <v>30879</v>
      </c>
    </row>
    <row r="6753" spans="1:8" ht="25.05" customHeight="1" x14ac:dyDescent="0.25">
      <c r="A6753" s="2" t="s">
        <v>8</v>
      </c>
      <c r="B6753" s="2" t="str">
        <f>HYPERLINK("http://ts.21cn.com/tousu/show/id/1337679","快鱼分期砍头息，逾期两天就打电话，4天就爆通讯录，一开始扣了利息，现在还款还要收利息")</f>
        <v>快鱼分期砍头息，逾期两天就打电话，4天就爆通讯录，一开始扣了利息，现在还款还要收利息</v>
      </c>
      <c r="C6753" s="2" t="s">
        <v>9</v>
      </c>
      <c r="D6753" s="2" t="s">
        <v>10</v>
      </c>
      <c r="E6753" s="2" t="str">
        <f>HYPERLINK("http://ts.21cn.com/tousu/show/id/1337679","http://ts.21cn.com/tousu/show/id/1337679")</f>
        <v>http://ts.21cn.com/tousu/show/id/1337679</v>
      </c>
      <c r="F6753" s="2" t="s">
        <v>11</v>
      </c>
      <c r="G6753" s="2" t="s">
        <v>30876</v>
      </c>
      <c r="H6753" s="2" t="s">
        <v>30877</v>
      </c>
    </row>
    <row r="6754" spans="1:8" ht="25.05" customHeight="1" x14ac:dyDescent="0.25">
      <c r="A6754" s="2" t="s">
        <v>8</v>
      </c>
      <c r="B6754" s="2" t="str">
        <f>HYPERLINK("http://ts.21cn.com/tousu/show/id/1337680","贷上钱以买游戏豆为由收取高额利息")</f>
        <v>贷上钱以买游戏豆为由收取高额利息</v>
      </c>
      <c r="C6754" s="2" t="s">
        <v>9</v>
      </c>
      <c r="D6754" s="2" t="s">
        <v>10</v>
      </c>
      <c r="E6754" s="2" t="str">
        <f>HYPERLINK("http://ts.21cn.com/tousu/show/id/1337680","http://ts.21cn.com/tousu/show/id/1337680")</f>
        <v>http://ts.21cn.com/tousu/show/id/1337680</v>
      </c>
      <c r="F6754" s="2" t="s">
        <v>11</v>
      </c>
      <c r="G6754" s="2" t="s">
        <v>30874</v>
      </c>
      <c r="H6754" s="2" t="s">
        <v>30875</v>
      </c>
    </row>
    <row r="6755" spans="1:8" ht="25.05" customHeight="1" x14ac:dyDescent="0.25">
      <c r="A6755" s="2" t="s">
        <v>8</v>
      </c>
      <c r="B6755" s="2" t="str">
        <f>HYPERLINK("http://ts.21cn.com/tousu/show/id/1337682","电话骚扰")</f>
        <v>电话骚扰</v>
      </c>
      <c r="C6755" s="2" t="s">
        <v>9</v>
      </c>
      <c r="D6755" s="2" t="s">
        <v>10</v>
      </c>
      <c r="E6755" s="2" t="str">
        <f>HYPERLINK("http://ts.21cn.com/tousu/show/id/1337682","http://ts.21cn.com/tousu/show/id/1337682")</f>
        <v>http://ts.21cn.com/tousu/show/id/1337682</v>
      </c>
      <c r="F6755" s="2" t="s">
        <v>11</v>
      </c>
      <c r="G6755" s="2" t="s">
        <v>30872</v>
      </c>
      <c r="H6755" s="2" t="s">
        <v>30873</v>
      </c>
    </row>
    <row r="6756" spans="1:8" ht="25.05" customHeight="1" x14ac:dyDescent="0.25">
      <c r="A6756" s="2" t="s">
        <v>8</v>
      </c>
      <c r="B6756" s="2" t="str">
        <f>HYPERLINK("http://ts.21cn.com/tousu/show/id/1337681","望有关部门下架这种平台")</f>
        <v>望有关部门下架这种平台</v>
      </c>
      <c r="C6756" s="2" t="s">
        <v>9</v>
      </c>
      <c r="D6756" s="2" t="s">
        <v>10</v>
      </c>
      <c r="E6756" s="2" t="str">
        <f>HYPERLINK("http://ts.21cn.com/tousu/show/id/1337681","http://ts.21cn.com/tousu/show/id/1337681")</f>
        <v>http://ts.21cn.com/tousu/show/id/1337681</v>
      </c>
      <c r="F6756" s="2" t="s">
        <v>11</v>
      </c>
      <c r="G6756" s="2" t="s">
        <v>30870</v>
      </c>
      <c r="H6756" s="2" t="s">
        <v>30871</v>
      </c>
    </row>
    <row r="6757" spans="1:8" ht="25.05" customHeight="1" x14ac:dyDescent="0.25">
      <c r="A6757" s="2" t="s">
        <v>8</v>
      </c>
      <c r="B6757" s="2" t="str">
        <f>HYPERLINK("http://ts.21cn.com/tousu/show/id/1337683","多宝分期无法还款")</f>
        <v>多宝分期无法还款</v>
      </c>
      <c r="C6757" s="2" t="s">
        <v>9</v>
      </c>
      <c r="D6757" s="2" t="s">
        <v>10</v>
      </c>
      <c r="E6757" s="2" t="str">
        <f>HYPERLINK("http://ts.21cn.com/tousu/show/id/1337683","http://ts.21cn.com/tousu/show/id/1337683")</f>
        <v>http://ts.21cn.com/tousu/show/id/1337683</v>
      </c>
      <c r="F6757" s="2" t="s">
        <v>11</v>
      </c>
      <c r="G6757" s="2" t="s">
        <v>30868</v>
      </c>
      <c r="H6757" s="2" t="s">
        <v>30869</v>
      </c>
    </row>
    <row r="6758" spans="1:8" ht="25.05" customHeight="1" x14ac:dyDescent="0.25">
      <c r="A6758" s="2" t="s">
        <v>8</v>
      </c>
      <c r="B6758" s="2" t="str">
        <f>HYPERLINK("http://ts.21cn.com/tousu/show/id/1337684","小花钱钱包暴力崔收")</f>
        <v>小花钱钱包暴力崔收</v>
      </c>
      <c r="C6758" s="2" t="s">
        <v>34</v>
      </c>
      <c r="D6758" s="2" t="s">
        <v>10</v>
      </c>
      <c r="E6758" s="2" t="str">
        <f>HYPERLINK("http://ts.21cn.com/tousu/show/id/1337684","http://ts.21cn.com/tousu/show/id/1337684")</f>
        <v>http://ts.21cn.com/tousu/show/id/1337684</v>
      </c>
      <c r="F6758" s="2" t="s">
        <v>11</v>
      </c>
      <c r="G6758" s="2" t="s">
        <v>30866</v>
      </c>
      <c r="H6758" s="2" t="s">
        <v>30867</v>
      </c>
    </row>
    <row r="6759" spans="1:8" ht="25.05" customHeight="1" x14ac:dyDescent="0.25">
      <c r="A6759" s="2" t="s">
        <v>8</v>
      </c>
      <c r="B6759" s="2" t="str">
        <f>HYPERLINK("http://ts.21cn.com/tousu/show/id/1337685","电话骚扰，短信骚扰")</f>
        <v>电话骚扰，短信骚扰</v>
      </c>
      <c r="C6759" s="2" t="s">
        <v>9</v>
      </c>
      <c r="D6759" s="2" t="s">
        <v>10</v>
      </c>
      <c r="E6759" s="2" t="str">
        <f>HYPERLINK("http://ts.21cn.com/tousu/show/id/1337685","http://ts.21cn.com/tousu/show/id/1337685")</f>
        <v>http://ts.21cn.com/tousu/show/id/1337685</v>
      </c>
      <c r="F6759" s="2" t="s">
        <v>11</v>
      </c>
      <c r="G6759" s="2" t="s">
        <v>30864</v>
      </c>
      <c r="H6759" s="2" t="s">
        <v>30865</v>
      </c>
    </row>
    <row r="6760" spans="1:8" ht="25.05" customHeight="1" x14ac:dyDescent="0.25">
      <c r="A6760" s="2" t="s">
        <v>8</v>
      </c>
      <c r="B6760" s="2" t="str">
        <f>HYPERLINK("http://ts.21cn.com/tousu/show/id/1337686","安逸花正常还款后无法使用提现和消费")</f>
        <v>安逸花正常还款后无法使用提现和消费</v>
      </c>
      <c r="C6760" s="2" t="s">
        <v>34</v>
      </c>
      <c r="D6760" s="2" t="s">
        <v>10</v>
      </c>
      <c r="E6760" s="2" t="str">
        <f>HYPERLINK("http://ts.21cn.com/tousu/show/id/1337686","http://ts.21cn.com/tousu/show/id/1337686")</f>
        <v>http://ts.21cn.com/tousu/show/id/1337686</v>
      </c>
      <c r="F6760" s="2" t="s">
        <v>11</v>
      </c>
      <c r="G6760" s="2" t="s">
        <v>30862</v>
      </c>
      <c r="H6760" s="2" t="s">
        <v>30863</v>
      </c>
    </row>
    <row r="6761" spans="1:8" ht="25.05" customHeight="1" x14ac:dyDescent="0.25">
      <c r="A6761" s="2" t="s">
        <v>8</v>
      </c>
      <c r="B6761" s="2" t="str">
        <f>HYPERLINK("http://ts.21cn.com/tousu/show/id/1337687","小浦优客未经同意扣款")</f>
        <v>小浦优客未经同意扣款</v>
      </c>
      <c r="C6761" s="2" t="s">
        <v>9</v>
      </c>
      <c r="D6761" s="2" t="s">
        <v>10</v>
      </c>
      <c r="E6761" s="2" t="str">
        <f>HYPERLINK("http://ts.21cn.com/tousu/show/id/1337687","http://ts.21cn.com/tousu/show/id/1337687")</f>
        <v>http://ts.21cn.com/tousu/show/id/1337687</v>
      </c>
      <c r="F6761" s="2" t="s">
        <v>11</v>
      </c>
      <c r="G6761" s="2" t="s">
        <v>30860</v>
      </c>
      <c r="H6761" s="2" t="s">
        <v>30861</v>
      </c>
    </row>
    <row r="6762" spans="1:8" ht="25.05" customHeight="1" x14ac:dyDescent="0.25">
      <c r="A6762" s="2" t="s">
        <v>8</v>
      </c>
      <c r="B6762" s="2" t="str">
        <f>HYPERLINK("http://ts.21cn.com/tousu/show/id/1337688","拼多多购买手机东西不发全，商家故意拖时间")</f>
        <v>拼多多购买手机东西不发全，商家故意拖时间</v>
      </c>
      <c r="C6762" s="2" t="s">
        <v>9</v>
      </c>
      <c r="D6762" s="2" t="s">
        <v>10</v>
      </c>
      <c r="E6762" s="2" t="str">
        <f>HYPERLINK("http://ts.21cn.com/tousu/show/id/1337688","http://ts.21cn.com/tousu/show/id/1337688")</f>
        <v>http://ts.21cn.com/tousu/show/id/1337688</v>
      </c>
      <c r="F6762" s="2" t="s">
        <v>11</v>
      </c>
      <c r="G6762" s="2" t="s">
        <v>30858</v>
      </c>
      <c r="H6762" s="2" t="s">
        <v>30859</v>
      </c>
    </row>
    <row r="6763" spans="1:8" ht="25.05" customHeight="1" x14ac:dyDescent="0.25">
      <c r="A6763" s="2" t="s">
        <v>8</v>
      </c>
      <c r="B6763" s="2" t="str">
        <f>HYPERLINK("http://ts.21cn.com/tousu/show/id/1337689","EnlightPixaloop在本人AppleID中未经过允许私自后台扣费，强制购买会员")</f>
        <v>EnlightPixaloop在本人AppleID中未经过允许私自后台扣费，强制购买会员</v>
      </c>
      <c r="C6763" s="2" t="s">
        <v>9</v>
      </c>
      <c r="D6763" s="2" t="s">
        <v>10</v>
      </c>
      <c r="E6763" s="2" t="str">
        <f>HYPERLINK("http://ts.21cn.com/tousu/show/id/1337689","http://ts.21cn.com/tousu/show/id/1337689")</f>
        <v>http://ts.21cn.com/tousu/show/id/1337689</v>
      </c>
      <c r="F6763" s="2" t="s">
        <v>11</v>
      </c>
      <c r="G6763" s="2" t="s">
        <v>30856</v>
      </c>
      <c r="H6763" s="2" t="s">
        <v>30857</v>
      </c>
    </row>
    <row r="6764" spans="1:8" ht="25.05" customHeight="1" x14ac:dyDescent="0.25">
      <c r="A6764" s="2" t="s">
        <v>8</v>
      </c>
      <c r="B6764" s="2" t="str">
        <f>HYPERLINK("http://ts.21cn.com/tousu/show/id/1337690","信用管家仙女花呗")</f>
        <v>信用管家仙女花呗</v>
      </c>
      <c r="C6764" s="2" t="s">
        <v>9</v>
      </c>
      <c r="D6764" s="2" t="s">
        <v>10</v>
      </c>
      <c r="E6764" s="2" t="str">
        <f>HYPERLINK("http://ts.21cn.com/tousu/show/id/1337690","http://ts.21cn.com/tousu/show/id/1337690")</f>
        <v>http://ts.21cn.com/tousu/show/id/1337690</v>
      </c>
      <c r="F6764" s="2" t="s">
        <v>11</v>
      </c>
      <c r="G6764" s="2" t="s">
        <v>30854</v>
      </c>
      <c r="H6764" s="2" t="s">
        <v>30855</v>
      </c>
    </row>
    <row r="6765" spans="1:8" ht="25.05" customHeight="1" x14ac:dyDescent="0.25">
      <c r="A6765" s="2" t="s">
        <v>8</v>
      </c>
      <c r="B6765" s="2" t="str">
        <f>HYPERLINK("http://ts.21cn.com/tousu/show/id/1337691","网上购买课程不退款")</f>
        <v>网上购买课程不退款</v>
      </c>
      <c r="C6765" s="2" t="s">
        <v>9</v>
      </c>
      <c r="D6765" s="2" t="s">
        <v>10</v>
      </c>
      <c r="E6765" s="2" t="str">
        <f>HYPERLINK("http://ts.21cn.com/tousu/show/id/1337691","http://ts.21cn.com/tousu/show/id/1337691")</f>
        <v>http://ts.21cn.com/tousu/show/id/1337691</v>
      </c>
      <c r="F6765" s="2" t="s">
        <v>11</v>
      </c>
      <c r="G6765" s="2" t="s">
        <v>30852</v>
      </c>
      <c r="H6765" s="2" t="s">
        <v>30853</v>
      </c>
    </row>
    <row r="6766" spans="1:8" ht="25.05" customHeight="1" x14ac:dyDescent="0.25">
      <c r="A6766" s="2" t="s">
        <v>8</v>
      </c>
      <c r="B6766" s="2" t="str">
        <f>HYPERLINK("http://ts.21cn.com/tousu/show/id/1337693","私人手机号被泰迪熊恶意标记成骚扰，严重影响工作和生活")</f>
        <v>私人手机号被泰迪熊恶意标记成骚扰，严重影响工作和生活</v>
      </c>
      <c r="C6766" s="2" t="s">
        <v>9</v>
      </c>
      <c r="D6766" s="2" t="s">
        <v>10</v>
      </c>
      <c r="E6766" s="2" t="str">
        <f>HYPERLINK("http://ts.21cn.com/tousu/show/id/1337693","http://ts.21cn.com/tousu/show/id/1337693")</f>
        <v>http://ts.21cn.com/tousu/show/id/1337693</v>
      </c>
      <c r="F6766" s="2" t="s">
        <v>11</v>
      </c>
      <c r="G6766" s="2" t="s">
        <v>30850</v>
      </c>
      <c r="H6766" s="2" t="s">
        <v>30851</v>
      </c>
    </row>
    <row r="6767" spans="1:8" ht="25.05" customHeight="1" x14ac:dyDescent="0.25">
      <c r="A6767" s="2" t="s">
        <v>8</v>
      </c>
      <c r="B6767" s="2" t="str">
        <f>HYPERLINK("http://ts.21cn.com/tousu/show/id/1337365","钱站套路贷，我这边没到账，那边就出账单了")</f>
        <v>钱站套路贷，我这边没到账，那边就出账单了</v>
      </c>
      <c r="C6767" s="2" t="s">
        <v>9</v>
      </c>
      <c r="D6767" s="2" t="s">
        <v>10</v>
      </c>
      <c r="E6767" s="2" t="str">
        <f>HYPERLINK("http://ts.21cn.com/tousu/show/id/1337365","http://ts.21cn.com/tousu/show/id/1337365")</f>
        <v>http://ts.21cn.com/tousu/show/id/1337365</v>
      </c>
      <c r="F6767" s="2" t="s">
        <v>11</v>
      </c>
      <c r="G6767" s="2" t="s">
        <v>30848</v>
      </c>
      <c r="H6767" s="2" t="s">
        <v>30849</v>
      </c>
    </row>
    <row r="6768" spans="1:8" ht="25.05" customHeight="1" x14ac:dyDescent="0.25">
      <c r="A6768" s="2" t="s">
        <v>8</v>
      </c>
      <c r="B6768" s="2" t="str">
        <f>HYPERLINK("http://ts.21cn.com/tousu/show/id/1337694","要求退费不答应")</f>
        <v>要求退费不答应</v>
      </c>
      <c r="C6768" s="2" t="s">
        <v>9</v>
      </c>
      <c r="D6768" s="2" t="s">
        <v>10</v>
      </c>
      <c r="E6768" s="2" t="str">
        <f>HYPERLINK("http://ts.21cn.com/tousu/show/id/1337694","http://ts.21cn.com/tousu/show/id/1337694")</f>
        <v>http://ts.21cn.com/tousu/show/id/1337694</v>
      </c>
      <c r="F6768" s="2" t="s">
        <v>11</v>
      </c>
      <c r="G6768" s="2" t="s">
        <v>30846</v>
      </c>
      <c r="H6768" s="2" t="s">
        <v>30847</v>
      </c>
    </row>
    <row r="6769" spans="1:8" ht="25.05" customHeight="1" x14ac:dyDescent="0.25">
      <c r="A6769" s="2" t="s">
        <v>8</v>
      </c>
      <c r="B6769" s="2" t="str">
        <f>HYPERLINK("http://ts.21cn.com/tousu/show/id/1337695","小花钱包暴力催收，威胁")</f>
        <v>小花钱包暴力催收，威胁</v>
      </c>
      <c r="C6769" s="2" t="s">
        <v>9</v>
      </c>
      <c r="D6769" s="2" t="s">
        <v>10</v>
      </c>
      <c r="E6769" s="2" t="str">
        <f>HYPERLINK("http://ts.21cn.com/tousu/show/id/1337695","http://ts.21cn.com/tousu/show/id/1337695")</f>
        <v>http://ts.21cn.com/tousu/show/id/1337695</v>
      </c>
      <c r="F6769" s="2" t="s">
        <v>11</v>
      </c>
      <c r="G6769" s="2" t="s">
        <v>30844</v>
      </c>
      <c r="H6769" s="2" t="s">
        <v>30845</v>
      </c>
    </row>
    <row r="6770" spans="1:8" ht="25.05" customHeight="1" x14ac:dyDescent="0.25">
      <c r="A6770" s="2" t="s">
        <v>8</v>
      </c>
      <c r="B6770" s="2" t="str">
        <f>HYPERLINK("http://ts.21cn.com/tousu/show/id/1337697","乱扣银行卡里的钱，电话号码也是假的")</f>
        <v>乱扣银行卡里的钱，电话号码也是假的</v>
      </c>
      <c r="C6770" s="2" t="s">
        <v>9</v>
      </c>
      <c r="D6770" s="2" t="s">
        <v>10</v>
      </c>
      <c r="E6770" s="2" t="str">
        <f>HYPERLINK("http://ts.21cn.com/tousu/show/id/1337697","http://ts.21cn.com/tousu/show/id/1337697")</f>
        <v>http://ts.21cn.com/tousu/show/id/1337697</v>
      </c>
      <c r="F6770" s="2" t="s">
        <v>11</v>
      </c>
      <c r="G6770" s="2" t="s">
        <v>30842</v>
      </c>
      <c r="H6770" s="2" t="s">
        <v>30843</v>
      </c>
    </row>
    <row r="6771" spans="1:8" ht="25.05" customHeight="1" x14ac:dyDescent="0.25">
      <c r="A6771" s="2" t="s">
        <v>8</v>
      </c>
      <c r="B6771" s="2" t="str">
        <f>HYPERLINK("http://ts.21cn.com/tousu/show/id/1337698","请求自由魔卡协商还款")</f>
        <v>请求自由魔卡协商还款</v>
      </c>
      <c r="C6771" s="2" t="s">
        <v>9</v>
      </c>
      <c r="D6771" s="2" t="s">
        <v>10</v>
      </c>
      <c r="E6771" s="2" t="str">
        <f>HYPERLINK("http://ts.21cn.com/tousu/show/id/1337698","http://ts.21cn.com/tousu/show/id/1337698")</f>
        <v>http://ts.21cn.com/tousu/show/id/1337698</v>
      </c>
      <c r="F6771" s="2" t="s">
        <v>11</v>
      </c>
      <c r="G6771" s="2" t="s">
        <v>30840</v>
      </c>
      <c r="H6771" s="2" t="s">
        <v>30841</v>
      </c>
    </row>
    <row r="6772" spans="1:8" ht="25.05" customHeight="1" x14ac:dyDescent="0.25">
      <c r="A6772" s="2" t="s">
        <v>8</v>
      </c>
      <c r="B6772" s="2" t="str">
        <f>HYPERLINK("http://ts.21cn.com/tousu/show/id/1337700","爆通讯录，骚扰朋友")</f>
        <v>爆通讯录，骚扰朋友</v>
      </c>
      <c r="C6772" s="2" t="s">
        <v>9</v>
      </c>
      <c r="D6772" s="2" t="s">
        <v>10</v>
      </c>
      <c r="E6772" s="2" t="str">
        <f>HYPERLINK("http://ts.21cn.com/tousu/show/id/1337700","http://ts.21cn.com/tousu/show/id/1337700")</f>
        <v>http://ts.21cn.com/tousu/show/id/1337700</v>
      </c>
      <c r="F6772" s="2" t="s">
        <v>11</v>
      </c>
      <c r="G6772" s="2" t="s">
        <v>30838</v>
      </c>
      <c r="H6772" s="2" t="s">
        <v>30839</v>
      </c>
    </row>
    <row r="6773" spans="1:8" ht="25.05" customHeight="1" x14ac:dyDescent="0.25">
      <c r="A6773" s="2" t="s">
        <v>8</v>
      </c>
      <c r="B6773" s="2" t="str">
        <f>HYPERLINK("http://ts.21cn.com/tousu/show/id/1337701","浙商银行信用卡催收威胁上门")</f>
        <v>浙商银行信用卡催收威胁上门</v>
      </c>
      <c r="C6773" s="2" t="s">
        <v>9</v>
      </c>
      <c r="D6773" s="2" t="s">
        <v>10</v>
      </c>
      <c r="E6773" s="2" t="str">
        <f>HYPERLINK("http://ts.21cn.com/tousu/show/id/1337701","http://ts.21cn.com/tousu/show/id/1337701")</f>
        <v>http://ts.21cn.com/tousu/show/id/1337701</v>
      </c>
      <c r="F6773" s="2" t="s">
        <v>11</v>
      </c>
      <c r="G6773" s="2" t="s">
        <v>30836</v>
      </c>
      <c r="H6773" s="2" t="s">
        <v>30837</v>
      </c>
    </row>
    <row r="6774" spans="1:8" ht="25.05" customHeight="1" x14ac:dyDescent="0.25">
      <c r="A6774" s="2" t="s">
        <v>8</v>
      </c>
      <c r="B6774" s="2" t="str">
        <f>HYPERLINK("http://ts.21cn.com/tousu/show/id/1337703","豆豆钱暴力催收、套路贷")</f>
        <v>豆豆钱暴力催收、套路贷</v>
      </c>
      <c r="C6774" s="2" t="s">
        <v>9</v>
      </c>
      <c r="D6774" s="2" t="s">
        <v>10</v>
      </c>
      <c r="E6774" s="2" t="str">
        <f>HYPERLINK("http://ts.21cn.com/tousu/show/id/1337703","http://ts.21cn.com/tousu/show/id/1337703")</f>
        <v>http://ts.21cn.com/tousu/show/id/1337703</v>
      </c>
      <c r="F6774" s="2" t="s">
        <v>11</v>
      </c>
      <c r="G6774" s="2" t="s">
        <v>30834</v>
      </c>
      <c r="H6774" s="2" t="s">
        <v>30835</v>
      </c>
    </row>
    <row r="6775" spans="1:8" ht="25.05" customHeight="1" x14ac:dyDescent="0.25">
      <c r="A6775" s="2" t="s">
        <v>8</v>
      </c>
      <c r="B6775" s="2" t="str">
        <f>HYPERLINK("http://ts.21cn.com/tousu/show/id/1337702","上海你我贷高利贷，暴力催收")</f>
        <v>上海你我贷高利贷，暴力催收</v>
      </c>
      <c r="C6775" s="2" t="s">
        <v>9</v>
      </c>
      <c r="D6775" s="2" t="s">
        <v>10</v>
      </c>
      <c r="E6775" s="2" t="str">
        <f>HYPERLINK("http://ts.21cn.com/tousu/show/id/1337702","http://ts.21cn.com/tousu/show/id/1337702")</f>
        <v>http://ts.21cn.com/tousu/show/id/1337702</v>
      </c>
      <c r="F6775" s="2" t="s">
        <v>11</v>
      </c>
      <c r="G6775" s="2" t="s">
        <v>30832</v>
      </c>
      <c r="H6775" s="2" t="s">
        <v>30833</v>
      </c>
    </row>
    <row r="6776" spans="1:8" ht="25.05" customHeight="1" x14ac:dyDescent="0.25">
      <c r="A6776" s="2" t="s">
        <v>8</v>
      </c>
      <c r="B6776" s="2" t="str">
        <f>HYPERLINK("http://ts.21cn.com/tousu/show/id/1337704","支付宝和高利贷合作给我造成负面")</f>
        <v>支付宝和高利贷合作给我造成负面</v>
      </c>
      <c r="C6776" s="2" t="s">
        <v>9</v>
      </c>
      <c r="D6776" s="2" t="s">
        <v>10</v>
      </c>
      <c r="E6776" s="2" t="str">
        <f>HYPERLINK("http://ts.21cn.com/tousu/show/id/1337704","http://ts.21cn.com/tousu/show/id/1337704")</f>
        <v>http://ts.21cn.com/tousu/show/id/1337704</v>
      </c>
      <c r="F6776" s="2" t="s">
        <v>11</v>
      </c>
      <c r="G6776" s="2" t="s">
        <v>30830</v>
      </c>
      <c r="H6776" s="2" t="s">
        <v>30831</v>
      </c>
    </row>
    <row r="6777" spans="1:8" ht="25.05" customHeight="1" x14ac:dyDescent="0.25">
      <c r="A6777" s="2" t="s">
        <v>8</v>
      </c>
      <c r="B6777" s="2" t="str">
        <f>HYPERLINK("http://ts.21cn.com/tousu/show/id/1337705","唯品花被停用")</f>
        <v>唯品花被停用</v>
      </c>
      <c r="C6777" s="2" t="s">
        <v>34</v>
      </c>
      <c r="D6777" s="2" t="s">
        <v>10</v>
      </c>
      <c r="E6777" s="2" t="str">
        <f>HYPERLINK("http://ts.21cn.com/tousu/show/id/1337705","http://ts.21cn.com/tousu/show/id/1337705")</f>
        <v>http://ts.21cn.com/tousu/show/id/1337705</v>
      </c>
      <c r="F6777" s="2" t="s">
        <v>11</v>
      </c>
      <c r="G6777" s="2" t="s">
        <v>30828</v>
      </c>
      <c r="H6777" s="2" t="s">
        <v>30829</v>
      </c>
    </row>
    <row r="6778" spans="1:8" ht="25.05" customHeight="1" x14ac:dyDescent="0.25">
      <c r="A6778" s="2" t="s">
        <v>8</v>
      </c>
      <c r="B6778" s="2" t="str">
        <f>HYPERLINK("http://ts.21cn.com/tousu/show/id/1337706","月光侠app打不开，不能正常还款")</f>
        <v>月光侠app打不开，不能正常还款</v>
      </c>
      <c r="C6778" s="2" t="s">
        <v>9</v>
      </c>
      <c r="D6778" s="2" t="s">
        <v>10</v>
      </c>
      <c r="E6778" s="2" t="str">
        <f>HYPERLINK("http://ts.21cn.com/tousu/show/id/1337706","http://ts.21cn.com/tousu/show/id/1337706")</f>
        <v>http://ts.21cn.com/tousu/show/id/1337706</v>
      </c>
      <c r="F6778" s="2" t="s">
        <v>11</v>
      </c>
      <c r="G6778" s="2" t="s">
        <v>30826</v>
      </c>
      <c r="H6778" s="2" t="s">
        <v>30827</v>
      </c>
    </row>
    <row r="6779" spans="1:8" ht="25.05" customHeight="1" x14ac:dyDescent="0.25">
      <c r="A6779" s="2" t="s">
        <v>8</v>
      </c>
      <c r="B6779" s="2" t="str">
        <f>HYPERLINK("http://ts.21cn.com/tousu/show/id/1337707","账户无法注销联系不到客服")</f>
        <v>账户无法注销联系不到客服</v>
      </c>
      <c r="C6779" s="2" t="s">
        <v>9</v>
      </c>
      <c r="D6779" s="2" t="s">
        <v>10</v>
      </c>
      <c r="E6779" s="2" t="str">
        <f>HYPERLINK("http://ts.21cn.com/tousu/show/id/1337707","http://ts.21cn.com/tousu/show/id/1337707")</f>
        <v>http://ts.21cn.com/tousu/show/id/1337707</v>
      </c>
      <c r="F6779" s="2" t="s">
        <v>11</v>
      </c>
      <c r="G6779" s="2" t="s">
        <v>30824</v>
      </c>
      <c r="H6779" s="2" t="s">
        <v>30825</v>
      </c>
    </row>
    <row r="6780" spans="1:8" ht="25.05" customHeight="1" x14ac:dyDescent="0.25">
      <c r="A6780" s="2" t="s">
        <v>8</v>
      </c>
      <c r="B6780" s="2" t="str">
        <f>HYPERLINK("http://ts.21cn.com/tousu/show/id/1337709","申通快递不负责任")</f>
        <v>申通快递不负责任</v>
      </c>
      <c r="C6780" s="2" t="s">
        <v>9</v>
      </c>
      <c r="D6780" s="2" t="s">
        <v>10</v>
      </c>
      <c r="E6780" s="2" t="str">
        <f>HYPERLINK("http://ts.21cn.com/tousu/show/id/1337709","http://ts.21cn.com/tousu/show/id/1337709")</f>
        <v>http://ts.21cn.com/tousu/show/id/1337709</v>
      </c>
      <c r="F6780" s="2" t="s">
        <v>11</v>
      </c>
      <c r="G6780" s="2" t="s">
        <v>30822</v>
      </c>
      <c r="H6780" s="2" t="s">
        <v>30823</v>
      </c>
    </row>
    <row r="6781" spans="1:8" ht="25.05" customHeight="1" x14ac:dyDescent="0.25">
      <c r="A6781" s="2" t="s">
        <v>8</v>
      </c>
      <c r="B6781" s="2" t="str">
        <f>HYPERLINK("http://ts.21cn.com/tousu/show/id/1337708","借款到期不扣款也自动还不了，导致逾期")</f>
        <v>借款到期不扣款也自动还不了，导致逾期</v>
      </c>
      <c r="C6781" s="2" t="s">
        <v>9</v>
      </c>
      <c r="D6781" s="2" t="s">
        <v>10</v>
      </c>
      <c r="E6781" s="2" t="str">
        <f>HYPERLINK("http://ts.21cn.com/tousu/show/id/1337708","http://ts.21cn.com/tousu/show/id/1337708")</f>
        <v>http://ts.21cn.com/tousu/show/id/1337708</v>
      </c>
      <c r="F6781" s="2" t="s">
        <v>11</v>
      </c>
      <c r="G6781" s="2" t="s">
        <v>30820</v>
      </c>
      <c r="H6781" s="2" t="s">
        <v>30821</v>
      </c>
    </row>
    <row r="6782" spans="1:8" ht="25.05" customHeight="1" x14ac:dyDescent="0.25">
      <c r="A6782" s="2" t="s">
        <v>8</v>
      </c>
      <c r="B6782" s="2" t="str">
        <f>HYPERLINK("http://ts.21cn.com/tousu/show/id/1337710","小花钱包催收，骚扰，违约")</f>
        <v>小花钱包催收，骚扰，违约</v>
      </c>
      <c r="C6782" s="2" t="s">
        <v>9</v>
      </c>
      <c r="D6782" s="2" t="s">
        <v>10</v>
      </c>
      <c r="E6782" s="2" t="str">
        <f>HYPERLINK("http://ts.21cn.com/tousu/show/id/1337710","http://ts.21cn.com/tousu/show/id/1337710")</f>
        <v>http://ts.21cn.com/tousu/show/id/1337710</v>
      </c>
      <c r="F6782" s="2" t="s">
        <v>11</v>
      </c>
      <c r="G6782" s="2" t="s">
        <v>30818</v>
      </c>
      <c r="H6782" s="2" t="s">
        <v>30819</v>
      </c>
    </row>
    <row r="6783" spans="1:8" ht="25.05" customHeight="1" x14ac:dyDescent="0.25">
      <c r="A6783" s="2" t="s">
        <v>8</v>
      </c>
      <c r="B6783" s="2" t="str">
        <f>HYPERLINK("http://ts.21cn.com/tousu/show/id/1337711","小浦优客app申请借款，按步骤填写资料，然后最后要求绑定银行卡，绑定完成就开始审批，过了一个小时说是扣除296元个人信用")</f>
        <v>小浦优客app申请借款，按步骤填写资料，然后最后要求绑定银行卡，绑定完成就开始审批，过了一个小时说是扣除296元个人信用</v>
      </c>
      <c r="C6783" s="2" t="s">
        <v>9</v>
      </c>
      <c r="D6783" s="2" t="s">
        <v>10</v>
      </c>
      <c r="E6783" s="2" t="str">
        <f>HYPERLINK("http://ts.21cn.com/tousu/show/id/1337711","http://ts.21cn.com/tousu/show/id/1337711")</f>
        <v>http://ts.21cn.com/tousu/show/id/1337711</v>
      </c>
      <c r="F6783" s="2" t="s">
        <v>11</v>
      </c>
      <c r="G6783" s="2" t="s">
        <v>30816</v>
      </c>
      <c r="H6783" s="2" t="s">
        <v>30817</v>
      </c>
    </row>
    <row r="6784" spans="1:8" ht="25.05" customHeight="1" x14ac:dyDescent="0.25">
      <c r="A6784" s="2" t="s">
        <v>8</v>
      </c>
      <c r="B6784" s="2" t="str">
        <f>HYPERLINK("http://ts.21cn.com/tousu/show/id/1337712","西部明珠虚假宣传")</f>
        <v>西部明珠虚假宣传</v>
      </c>
      <c r="C6784" s="2" t="s">
        <v>9</v>
      </c>
      <c r="D6784" s="2" t="s">
        <v>10</v>
      </c>
      <c r="E6784" s="2" t="str">
        <f>HYPERLINK("http://ts.21cn.com/tousu/show/id/1337712","http://ts.21cn.com/tousu/show/id/1337712")</f>
        <v>http://ts.21cn.com/tousu/show/id/1337712</v>
      </c>
      <c r="F6784" s="2" t="s">
        <v>11</v>
      </c>
      <c r="G6784" s="2" t="s">
        <v>30814</v>
      </c>
      <c r="H6784" s="2" t="s">
        <v>30815</v>
      </c>
    </row>
    <row r="6785" spans="1:8" ht="25.05" customHeight="1" x14ac:dyDescent="0.25">
      <c r="A6785" s="2" t="s">
        <v>8</v>
      </c>
      <c r="B6785" s="2" t="str">
        <f>HYPERLINK("http://ts.21cn.com/tousu/show/id/1337713","暴力催收骚扰家人朋友")</f>
        <v>暴力催收骚扰家人朋友</v>
      </c>
      <c r="C6785" s="2" t="s">
        <v>9</v>
      </c>
      <c r="D6785" s="2" t="s">
        <v>10</v>
      </c>
      <c r="E6785" s="2" t="str">
        <f>HYPERLINK("http://ts.21cn.com/tousu/show/id/1337713","http://ts.21cn.com/tousu/show/id/1337713")</f>
        <v>http://ts.21cn.com/tousu/show/id/1337713</v>
      </c>
      <c r="F6785" s="2" t="s">
        <v>11</v>
      </c>
      <c r="G6785" s="2" t="s">
        <v>30812</v>
      </c>
      <c r="H6785" s="2" t="s">
        <v>30813</v>
      </c>
    </row>
    <row r="6786" spans="1:8" ht="25.05" customHeight="1" x14ac:dyDescent="0.25">
      <c r="A6786" s="2" t="s">
        <v>8</v>
      </c>
      <c r="B6786" s="2" t="str">
        <f>HYPERLINK("http://ts.21cn.com/tousu/show/id/1337673","投诉黑心途牛旅游及专属顾问吕凤（工号00022529）误导消费者订行程，给消费者造成损失")</f>
        <v>投诉黑心途牛旅游及专属顾问吕凤（工号00022529）误导消费者订行程，给消费者造成损失</v>
      </c>
      <c r="C6786" s="2" t="s">
        <v>9</v>
      </c>
      <c r="D6786" s="2" t="s">
        <v>10</v>
      </c>
      <c r="E6786" s="2" t="str">
        <f>HYPERLINK("http://ts.21cn.com/tousu/show/id/1337673","http://ts.21cn.com/tousu/show/id/1337673")</f>
        <v>http://ts.21cn.com/tousu/show/id/1337673</v>
      </c>
      <c r="F6786" s="2" t="s">
        <v>11</v>
      </c>
      <c r="G6786" s="2" t="s">
        <v>30810</v>
      </c>
      <c r="H6786" s="2" t="s">
        <v>30811</v>
      </c>
    </row>
    <row r="6787" spans="1:8" ht="25.05" customHeight="1" x14ac:dyDescent="0.25">
      <c r="A6787" s="2" t="s">
        <v>8</v>
      </c>
      <c r="B6787" s="2" t="str">
        <f>HYPERLINK("http://ts.21cn.com/tousu/show/id/1337714","身份证信息被他人占用")</f>
        <v>身份证信息被他人占用</v>
      </c>
      <c r="C6787" s="2" t="s">
        <v>9</v>
      </c>
      <c r="D6787" s="2" t="s">
        <v>10</v>
      </c>
      <c r="E6787" s="2" t="str">
        <f>HYPERLINK("http://ts.21cn.com/tousu/show/id/1337714","http://ts.21cn.com/tousu/show/id/1337714")</f>
        <v>http://ts.21cn.com/tousu/show/id/1337714</v>
      </c>
      <c r="F6787" s="2" t="s">
        <v>11</v>
      </c>
      <c r="G6787" s="2" t="s">
        <v>30808</v>
      </c>
      <c r="H6787" s="2" t="s">
        <v>30809</v>
      </c>
    </row>
    <row r="6788" spans="1:8" ht="25.05" customHeight="1" x14ac:dyDescent="0.25">
      <c r="A6788" s="2" t="s">
        <v>8</v>
      </c>
      <c r="B6788" s="2" t="str">
        <f>HYPERLINK("http://ts.21cn.com/tousu/show/id/1337715","优信二手车套路贷")</f>
        <v>优信二手车套路贷</v>
      </c>
      <c r="C6788" s="2" t="s">
        <v>9</v>
      </c>
      <c r="D6788" s="2" t="s">
        <v>10</v>
      </c>
      <c r="E6788" s="2" t="str">
        <f>HYPERLINK("http://ts.21cn.com/tousu/show/id/1337715","http://ts.21cn.com/tousu/show/id/1337715")</f>
        <v>http://ts.21cn.com/tousu/show/id/1337715</v>
      </c>
      <c r="F6788" s="2" t="s">
        <v>11</v>
      </c>
      <c r="G6788" s="2" t="s">
        <v>30806</v>
      </c>
      <c r="H6788" s="2" t="s">
        <v>30807</v>
      </c>
    </row>
    <row r="6789" spans="1:8" ht="25.05" customHeight="1" x14ac:dyDescent="0.25">
      <c r="A6789" s="2" t="s">
        <v>8</v>
      </c>
      <c r="B6789" s="2" t="str">
        <f>HYPERLINK("http://ts.21cn.com/tousu/show/id/1337716","高利贷")</f>
        <v>高利贷</v>
      </c>
      <c r="C6789" s="2" t="s">
        <v>9</v>
      </c>
      <c r="D6789" s="2" t="s">
        <v>10</v>
      </c>
      <c r="E6789" s="2" t="str">
        <f>HYPERLINK("http://ts.21cn.com/tousu/show/id/1337716","http://ts.21cn.com/tousu/show/id/1337716")</f>
        <v>http://ts.21cn.com/tousu/show/id/1337716</v>
      </c>
      <c r="F6789" s="2" t="s">
        <v>11</v>
      </c>
      <c r="G6789" s="2" t="s">
        <v>30804</v>
      </c>
      <c r="H6789" s="2" t="s">
        <v>30805</v>
      </c>
    </row>
    <row r="6790" spans="1:8" ht="25.05" customHeight="1" x14ac:dyDescent="0.25">
      <c r="A6790" s="2" t="s">
        <v>8</v>
      </c>
      <c r="B6790" s="2" t="str">
        <f>HYPERLINK("http://ts.21cn.com/tousu/show/id/1337718","小花钱包暴力催收，群发短信，骚扰电话")</f>
        <v>小花钱包暴力催收，群发短信，骚扰电话</v>
      </c>
      <c r="C6790" s="2" t="s">
        <v>9</v>
      </c>
      <c r="D6790" s="2" t="s">
        <v>10</v>
      </c>
      <c r="E6790" s="2" t="str">
        <f>HYPERLINK("http://ts.21cn.com/tousu/show/id/1337718","http://ts.21cn.com/tousu/show/id/1337718")</f>
        <v>http://ts.21cn.com/tousu/show/id/1337718</v>
      </c>
      <c r="F6790" s="2" t="s">
        <v>11</v>
      </c>
      <c r="G6790" s="2" t="s">
        <v>30802</v>
      </c>
      <c r="H6790" s="2" t="s">
        <v>30803</v>
      </c>
    </row>
    <row r="6791" spans="1:8" ht="25.05" customHeight="1" x14ac:dyDescent="0.25">
      <c r="A6791" s="2" t="s">
        <v>8</v>
      </c>
      <c r="B6791" s="2" t="str">
        <f>HYPERLINK("http://ts.21cn.com/tousu/show/id/1337717","小浦优客未经同意扣款")</f>
        <v>小浦优客未经同意扣款</v>
      </c>
      <c r="C6791" s="2" t="s">
        <v>9</v>
      </c>
      <c r="D6791" s="2" t="s">
        <v>10</v>
      </c>
      <c r="E6791" s="2" t="str">
        <f>HYPERLINK("http://ts.21cn.com/tousu/show/id/1337717","http://ts.21cn.com/tousu/show/id/1337717")</f>
        <v>http://ts.21cn.com/tousu/show/id/1337717</v>
      </c>
      <c r="F6791" s="2" t="s">
        <v>11</v>
      </c>
      <c r="G6791" s="2" t="s">
        <v>30800</v>
      </c>
      <c r="H6791" s="2" t="s">
        <v>30801</v>
      </c>
    </row>
    <row r="6792" spans="1:8" ht="25.05" customHeight="1" x14ac:dyDescent="0.25">
      <c r="A6792" s="2" t="s">
        <v>8</v>
      </c>
      <c r="B6792" s="2" t="str">
        <f>HYPERLINK("http://ts.21cn.com/tousu/show/id/1337719","玖富小蓝卡阴阳合同")</f>
        <v>玖富小蓝卡阴阳合同</v>
      </c>
      <c r="C6792" s="2" t="s">
        <v>9</v>
      </c>
      <c r="D6792" s="2" t="s">
        <v>10</v>
      </c>
      <c r="E6792" s="2" t="str">
        <f>HYPERLINK("http://ts.21cn.com/tousu/show/id/1337719","http://ts.21cn.com/tousu/show/id/1337719")</f>
        <v>http://ts.21cn.com/tousu/show/id/1337719</v>
      </c>
      <c r="F6792" s="2" t="s">
        <v>11</v>
      </c>
      <c r="G6792" s="2" t="s">
        <v>30798</v>
      </c>
      <c r="H6792" s="2" t="s">
        <v>30799</v>
      </c>
    </row>
    <row r="6793" spans="1:8" ht="25.05" customHeight="1" x14ac:dyDescent="0.25">
      <c r="A6793" s="2" t="s">
        <v>8</v>
      </c>
      <c r="B6793" s="2" t="str">
        <f>HYPERLINK("http://ts.21cn.com/tousu/show/id/1337720","点点通暴力催收")</f>
        <v>点点通暴力催收</v>
      </c>
      <c r="C6793" s="2" t="s">
        <v>9</v>
      </c>
      <c r="D6793" s="2" t="s">
        <v>10</v>
      </c>
      <c r="E6793" s="2" t="str">
        <f>HYPERLINK("http://ts.21cn.com/tousu/show/id/1337720","http://ts.21cn.com/tousu/show/id/1337720")</f>
        <v>http://ts.21cn.com/tousu/show/id/1337720</v>
      </c>
      <c r="F6793" s="2" t="s">
        <v>11</v>
      </c>
      <c r="G6793" s="2" t="s">
        <v>30796</v>
      </c>
      <c r="H6793" s="2" t="s">
        <v>30797</v>
      </c>
    </row>
    <row r="6794" spans="1:8" ht="25.05" customHeight="1" x14ac:dyDescent="0.25">
      <c r="A6794" s="2" t="s">
        <v>8</v>
      </c>
      <c r="B6794" s="2" t="str">
        <f>HYPERLINK("http://ts.21cn.com/tousu/show/id/1337721","中信银行，暴力催收，泄露个人隐私，骚扰无关人员")</f>
        <v>中信银行，暴力催收，泄露个人隐私，骚扰无关人员</v>
      </c>
      <c r="C6794" s="2" t="s">
        <v>9</v>
      </c>
      <c r="D6794" s="2" t="s">
        <v>10</v>
      </c>
      <c r="E6794" s="2" t="str">
        <f>HYPERLINK("http://ts.21cn.com/tousu/show/id/1337721","http://ts.21cn.com/tousu/show/id/1337721")</f>
        <v>http://ts.21cn.com/tousu/show/id/1337721</v>
      </c>
      <c r="F6794" s="2" t="s">
        <v>11</v>
      </c>
      <c r="G6794" s="2" t="s">
        <v>30794</v>
      </c>
      <c r="H6794" s="2" t="s">
        <v>30795</v>
      </c>
    </row>
    <row r="6795" spans="1:8" ht="25.05" customHeight="1" x14ac:dyDescent="0.25">
      <c r="A6795" s="2" t="s">
        <v>8</v>
      </c>
      <c r="B6795" s="2" t="str">
        <f>HYPERLINK("http://ts.21cn.com/tousu/show/id/1337723","微粒贷威胁还款")</f>
        <v>微粒贷威胁还款</v>
      </c>
      <c r="C6795" s="2" t="s">
        <v>9</v>
      </c>
      <c r="D6795" s="2" t="s">
        <v>10</v>
      </c>
      <c r="E6795" s="2" t="str">
        <f>HYPERLINK("http://ts.21cn.com/tousu/show/id/1337723","http://ts.21cn.com/tousu/show/id/1337723")</f>
        <v>http://ts.21cn.com/tousu/show/id/1337723</v>
      </c>
      <c r="F6795" s="2" t="s">
        <v>11</v>
      </c>
      <c r="G6795" s="2" t="s">
        <v>30792</v>
      </c>
      <c r="H6795" s="2" t="s">
        <v>30793</v>
      </c>
    </row>
    <row r="6796" spans="1:8" ht="25.05" customHeight="1" x14ac:dyDescent="0.25">
      <c r="A6796" s="2" t="s">
        <v>8</v>
      </c>
      <c r="B6796" s="2" t="str">
        <f>HYPERLINK("http://ts.21cn.com/tousu/show/id/1337724","点点通还款网站进不去造成恶意逾期")</f>
        <v>点点通还款网站进不去造成恶意逾期</v>
      </c>
      <c r="C6796" s="2" t="s">
        <v>9</v>
      </c>
      <c r="D6796" s="2" t="s">
        <v>10</v>
      </c>
      <c r="E6796" s="2" t="str">
        <f>HYPERLINK("http://ts.21cn.com/tousu/show/id/1337724","http://ts.21cn.com/tousu/show/id/1337724")</f>
        <v>http://ts.21cn.com/tousu/show/id/1337724</v>
      </c>
      <c r="F6796" s="2" t="s">
        <v>11</v>
      </c>
      <c r="G6796" s="2" t="s">
        <v>30790</v>
      </c>
      <c r="H6796" s="2" t="s">
        <v>30791</v>
      </c>
    </row>
    <row r="6797" spans="1:8" ht="25.05" customHeight="1" x14ac:dyDescent="0.25">
      <c r="A6797" s="2" t="s">
        <v>8</v>
      </c>
      <c r="B6797" s="2" t="str">
        <f>HYPERLINK("http://ts.21cn.com/tousu/show/id/1337725","信用飞旗下信用星球app超利贷套路贷")</f>
        <v>信用飞旗下信用星球app超利贷套路贷</v>
      </c>
      <c r="C6797" s="2" t="s">
        <v>9</v>
      </c>
      <c r="D6797" s="2" t="s">
        <v>10</v>
      </c>
      <c r="E6797" s="2" t="str">
        <f>HYPERLINK("http://ts.21cn.com/tousu/show/id/1337725","http://ts.21cn.com/tousu/show/id/1337725")</f>
        <v>http://ts.21cn.com/tousu/show/id/1337725</v>
      </c>
      <c r="F6797" s="2" t="s">
        <v>11</v>
      </c>
      <c r="G6797" s="2" t="s">
        <v>30788</v>
      </c>
      <c r="H6797" s="2" t="s">
        <v>30789</v>
      </c>
    </row>
    <row r="6798" spans="1:8" ht="25.05" customHeight="1" x14ac:dyDescent="0.25">
      <c r="A6798" s="2" t="s">
        <v>8</v>
      </c>
      <c r="B6798" s="2" t="str">
        <f>HYPERLINK("http://ts.21cn.com/tousu/show/id/1337726","714高利贷断头息暴击催收")</f>
        <v>714高利贷断头息暴击催收</v>
      </c>
      <c r="C6798" s="2" t="s">
        <v>9</v>
      </c>
      <c r="D6798" s="2" t="s">
        <v>10</v>
      </c>
      <c r="E6798" s="2" t="str">
        <f>HYPERLINK("http://ts.21cn.com/tousu/show/id/1337726","http://ts.21cn.com/tousu/show/id/1337726")</f>
        <v>http://ts.21cn.com/tousu/show/id/1337726</v>
      </c>
      <c r="F6798" s="2" t="s">
        <v>11</v>
      </c>
      <c r="G6798" s="2" t="s">
        <v>30786</v>
      </c>
      <c r="H6798" s="2" t="s">
        <v>30787</v>
      </c>
    </row>
    <row r="6799" spans="1:8" ht="25.05" customHeight="1" x14ac:dyDescent="0.25">
      <c r="A6799" s="2" t="s">
        <v>8</v>
      </c>
      <c r="B6799" s="2" t="str">
        <f>HYPERLINK("http://ts.21cn.com/tousu/show/id/1335577","宜人财富信息作假")</f>
        <v>宜人财富信息作假</v>
      </c>
      <c r="C6799" s="2" t="s">
        <v>9</v>
      </c>
      <c r="D6799" s="2" t="s">
        <v>10</v>
      </c>
      <c r="E6799" s="2" t="str">
        <f>HYPERLINK("http://ts.21cn.com/tousu/show/id/1335577","http://ts.21cn.com/tousu/show/id/1335577")</f>
        <v>http://ts.21cn.com/tousu/show/id/1335577</v>
      </c>
      <c r="F6799" s="2" t="s">
        <v>11</v>
      </c>
      <c r="G6799" s="2" t="s">
        <v>30784</v>
      </c>
      <c r="H6799" s="2" t="s">
        <v>30785</v>
      </c>
    </row>
    <row r="6800" spans="1:8" ht="25.05" customHeight="1" x14ac:dyDescent="0.25">
      <c r="A6800" s="2" t="s">
        <v>8</v>
      </c>
      <c r="B6800" s="2" t="str">
        <f>HYPERLINK("http://ts.21cn.com/tousu/show/id/1337728","玖富万卡黑社会")</f>
        <v>玖富万卡黑社会</v>
      </c>
      <c r="C6800" s="2" t="s">
        <v>9</v>
      </c>
      <c r="D6800" s="2" t="s">
        <v>10</v>
      </c>
      <c r="E6800" s="2" t="str">
        <f>HYPERLINK("http://ts.21cn.com/tousu/show/id/1337728","http://ts.21cn.com/tousu/show/id/1337728")</f>
        <v>http://ts.21cn.com/tousu/show/id/1337728</v>
      </c>
      <c r="F6800" s="2" t="s">
        <v>11</v>
      </c>
      <c r="G6800" s="2" t="s">
        <v>30782</v>
      </c>
      <c r="H6800" s="2" t="s">
        <v>30783</v>
      </c>
    </row>
    <row r="6801" spans="1:8" ht="25.05" customHeight="1" x14ac:dyDescent="0.25">
      <c r="A6801" s="2" t="s">
        <v>8</v>
      </c>
      <c r="B6801" s="2" t="str">
        <f>HYPERLINK("http://ts.21cn.com/tousu/show/id/1337730","指上旅行高利贷砍头息暴力催收")</f>
        <v>指上旅行高利贷砍头息暴力催收</v>
      </c>
      <c r="C6801" s="2" t="s">
        <v>9</v>
      </c>
      <c r="D6801" s="2" t="s">
        <v>10</v>
      </c>
      <c r="E6801" s="2" t="str">
        <f>HYPERLINK("http://ts.21cn.com/tousu/show/id/1337730","http://ts.21cn.com/tousu/show/id/1337730")</f>
        <v>http://ts.21cn.com/tousu/show/id/1337730</v>
      </c>
      <c r="F6801" s="2" t="s">
        <v>11</v>
      </c>
      <c r="G6801" s="2" t="s">
        <v>30780</v>
      </c>
      <c r="H6801" s="2" t="s">
        <v>30781</v>
      </c>
    </row>
    <row r="6802" spans="1:8" ht="25.05" customHeight="1" x14ac:dyDescent="0.25">
      <c r="A6802" s="2" t="s">
        <v>8</v>
      </c>
      <c r="B6802" s="2" t="str">
        <f>HYPERLINK("http://ts.21cn.com/tousu/show/id/1337731","捷信分期乱收费")</f>
        <v>捷信分期乱收费</v>
      </c>
      <c r="C6802" s="2" t="s">
        <v>9</v>
      </c>
      <c r="D6802" s="2" t="s">
        <v>10</v>
      </c>
      <c r="E6802" s="2" t="str">
        <f>HYPERLINK("http://ts.21cn.com/tousu/show/id/1337731","http://ts.21cn.com/tousu/show/id/1337731")</f>
        <v>http://ts.21cn.com/tousu/show/id/1337731</v>
      </c>
      <c r="F6802" s="2" t="s">
        <v>11</v>
      </c>
      <c r="G6802" s="2" t="s">
        <v>30778</v>
      </c>
      <c r="H6802" s="2" t="s">
        <v>30779</v>
      </c>
    </row>
    <row r="6803" spans="1:8" ht="25.05" customHeight="1" x14ac:dyDescent="0.25">
      <c r="A6803" s="2" t="s">
        <v>8</v>
      </c>
      <c r="B6803" s="2" t="str">
        <f>HYPERLINK("http://ts.21cn.com/tousu/show/id/1337732","高利息变相收费")</f>
        <v>高利息变相收费</v>
      </c>
      <c r="C6803" s="2" t="s">
        <v>9</v>
      </c>
      <c r="D6803" s="2" t="s">
        <v>10</v>
      </c>
      <c r="E6803" s="2" t="str">
        <f>HYPERLINK("http://ts.21cn.com/tousu/show/id/1337732","http://ts.21cn.com/tousu/show/id/1337732")</f>
        <v>http://ts.21cn.com/tousu/show/id/1337732</v>
      </c>
      <c r="F6803" s="2" t="s">
        <v>11</v>
      </c>
      <c r="G6803" s="2" t="s">
        <v>30776</v>
      </c>
      <c r="H6803" s="2" t="s">
        <v>30777</v>
      </c>
    </row>
    <row r="6804" spans="1:8" ht="25.05" customHeight="1" x14ac:dyDescent="0.25">
      <c r="A6804" s="2" t="s">
        <v>8</v>
      </c>
      <c r="B6804" s="2" t="str">
        <f>HYPERLINK("http://ts.21cn.com/tousu/show/id/1337733","给你花网贷平台不提供注销入口")</f>
        <v>给你花网贷平台不提供注销入口</v>
      </c>
      <c r="C6804" s="2" t="s">
        <v>9</v>
      </c>
      <c r="D6804" s="2" t="s">
        <v>10</v>
      </c>
      <c r="E6804" s="2" t="str">
        <f>HYPERLINK("http://ts.21cn.com/tousu/show/id/1337733","http://ts.21cn.com/tousu/show/id/1337733")</f>
        <v>http://ts.21cn.com/tousu/show/id/1337733</v>
      </c>
      <c r="F6804" s="2" t="s">
        <v>11</v>
      </c>
      <c r="G6804" s="2" t="s">
        <v>30774</v>
      </c>
      <c r="H6804" s="2" t="s">
        <v>30775</v>
      </c>
    </row>
    <row r="6805" spans="1:8" ht="25.05" customHeight="1" x14ac:dyDescent="0.25">
      <c r="A6805" s="2" t="s">
        <v>8</v>
      </c>
      <c r="B6805" s="2" t="str">
        <f>HYPERLINK("http://ts.21cn.com/tousu/show/id/1337734","玖富高利贷")</f>
        <v>玖富高利贷</v>
      </c>
      <c r="C6805" s="2" t="s">
        <v>9</v>
      </c>
      <c r="D6805" s="2" t="s">
        <v>10</v>
      </c>
      <c r="E6805" s="2" t="str">
        <f>HYPERLINK("http://ts.21cn.com/tousu/show/id/1337734","http://ts.21cn.com/tousu/show/id/1337734")</f>
        <v>http://ts.21cn.com/tousu/show/id/1337734</v>
      </c>
      <c r="F6805" s="2" t="s">
        <v>11</v>
      </c>
      <c r="G6805" s="2" t="s">
        <v>30772</v>
      </c>
      <c r="H6805" s="2" t="s">
        <v>30773</v>
      </c>
    </row>
    <row r="6806" spans="1:8" ht="25.05" customHeight="1" x14ac:dyDescent="0.25">
      <c r="A6806" s="2" t="s">
        <v>8</v>
      </c>
      <c r="B6806" s="2" t="str">
        <f>HYPERLINK("http://ts.21cn.com/tousu/show/id/1337735","华夏信用卡催收引导套现")</f>
        <v>华夏信用卡催收引导套现</v>
      </c>
      <c r="C6806" s="2" t="s">
        <v>9</v>
      </c>
      <c r="D6806" s="2" t="s">
        <v>10</v>
      </c>
      <c r="E6806" s="2" t="str">
        <f>HYPERLINK("http://ts.21cn.com/tousu/show/id/1337735","http://ts.21cn.com/tousu/show/id/1337735")</f>
        <v>http://ts.21cn.com/tousu/show/id/1337735</v>
      </c>
      <c r="F6806" s="2" t="s">
        <v>11</v>
      </c>
      <c r="G6806" s="2" t="s">
        <v>30770</v>
      </c>
      <c r="H6806" s="2" t="s">
        <v>30771</v>
      </c>
    </row>
    <row r="6807" spans="1:8" ht="25.05" customHeight="1" x14ac:dyDescent="0.25">
      <c r="A6807" s="2" t="s">
        <v>8</v>
      </c>
      <c r="B6807" s="2" t="str">
        <f>HYPERLINK("http://ts.21cn.com/tousu/show/id/1337736","水莲金条高利贷违规收取砍头息，平台无法还款")</f>
        <v>水莲金条高利贷违规收取砍头息，平台无法还款</v>
      </c>
      <c r="C6807" s="2" t="s">
        <v>9</v>
      </c>
      <c r="D6807" s="2" t="s">
        <v>10</v>
      </c>
      <c r="E6807" s="2" t="str">
        <f>HYPERLINK("http://ts.21cn.com/tousu/show/id/1337736","http://ts.21cn.com/tousu/show/id/1337736")</f>
        <v>http://ts.21cn.com/tousu/show/id/1337736</v>
      </c>
      <c r="F6807" s="2" t="s">
        <v>11</v>
      </c>
      <c r="G6807" s="2" t="s">
        <v>30768</v>
      </c>
      <c r="H6807" s="2" t="s">
        <v>30769</v>
      </c>
    </row>
    <row r="6808" spans="1:8" ht="25.05" customHeight="1" x14ac:dyDescent="0.25">
      <c r="A6808" s="2" t="s">
        <v>8</v>
      </c>
      <c r="B6808" s="2" t="str">
        <f>HYPERLINK("http://ts.21cn.com/tousu/show/id/1337738","盗刷资金")</f>
        <v>盗刷资金</v>
      </c>
      <c r="C6808" s="2" t="s">
        <v>9</v>
      </c>
      <c r="D6808" s="2" t="s">
        <v>10</v>
      </c>
      <c r="E6808" s="2" t="str">
        <f>HYPERLINK("http://ts.21cn.com/tousu/show/id/1337738","http://ts.21cn.com/tousu/show/id/1337738")</f>
        <v>http://ts.21cn.com/tousu/show/id/1337738</v>
      </c>
      <c r="F6808" s="2" t="s">
        <v>11</v>
      </c>
      <c r="G6808" s="2" t="s">
        <v>30766</v>
      </c>
      <c r="H6808" s="2" t="s">
        <v>30767</v>
      </c>
    </row>
    <row r="6809" spans="1:8" ht="25.05" customHeight="1" x14ac:dyDescent="0.25">
      <c r="A6809" s="2" t="s">
        <v>8</v>
      </c>
      <c r="B6809" s="2" t="str">
        <f>HYPERLINK("http://ts.21cn.com/tousu/show/id/1337727","民航联盟消费不透明行为")</f>
        <v>民航联盟消费不透明行为</v>
      </c>
      <c r="C6809" s="2" t="s">
        <v>9</v>
      </c>
      <c r="D6809" s="2" t="s">
        <v>10</v>
      </c>
      <c r="E6809" s="2" t="str">
        <f>HYPERLINK("http://ts.21cn.com/tousu/show/id/1337727","http://ts.21cn.com/tousu/show/id/1337727")</f>
        <v>http://ts.21cn.com/tousu/show/id/1337727</v>
      </c>
      <c r="F6809" s="2" t="s">
        <v>11</v>
      </c>
      <c r="G6809" s="2" t="s">
        <v>30764</v>
      </c>
      <c r="H6809" s="2" t="s">
        <v>30765</v>
      </c>
    </row>
    <row r="6810" spans="1:8" ht="25.05" customHeight="1" x14ac:dyDescent="0.25">
      <c r="A6810" s="2" t="s">
        <v>8</v>
      </c>
      <c r="B6810" s="2" t="str">
        <f>HYPERLINK("http://ts.21cn.com/tousu/show/id/1337741","小当家/小带鱼恶意俞期")</f>
        <v>小当家/小带鱼恶意俞期</v>
      </c>
      <c r="C6810" s="2" t="s">
        <v>34</v>
      </c>
      <c r="D6810" s="2" t="s">
        <v>10</v>
      </c>
      <c r="E6810" s="2" t="str">
        <f>HYPERLINK("http://ts.21cn.com/tousu/show/id/1337741","http://ts.21cn.com/tousu/show/id/1337741")</f>
        <v>http://ts.21cn.com/tousu/show/id/1337741</v>
      </c>
      <c r="F6810" s="2" t="s">
        <v>11</v>
      </c>
      <c r="G6810" s="2" t="s">
        <v>30762</v>
      </c>
      <c r="H6810" s="2" t="s">
        <v>30763</v>
      </c>
    </row>
    <row r="6811" spans="1:8" ht="25.05" customHeight="1" x14ac:dyDescent="0.25">
      <c r="A6811" s="2" t="s">
        <v>8</v>
      </c>
      <c r="B6811" s="2" t="str">
        <f>HYPERLINK("http://ts.21cn.com/tousu/show/id/1337742","趣惠买协商提前还款")</f>
        <v>趣惠买协商提前还款</v>
      </c>
      <c r="C6811" s="2" t="s">
        <v>9</v>
      </c>
      <c r="D6811" s="2" t="s">
        <v>10</v>
      </c>
      <c r="E6811" s="2" t="str">
        <f>HYPERLINK("http://ts.21cn.com/tousu/show/id/1337742","http://ts.21cn.com/tousu/show/id/1337742")</f>
        <v>http://ts.21cn.com/tousu/show/id/1337742</v>
      </c>
      <c r="F6811" s="2" t="s">
        <v>11</v>
      </c>
      <c r="G6811" s="2" t="s">
        <v>30760</v>
      </c>
      <c r="H6811" s="2" t="s">
        <v>30761</v>
      </c>
    </row>
    <row r="6812" spans="1:8" ht="25.05" customHeight="1" x14ac:dyDescent="0.25">
      <c r="A6812" s="2" t="s">
        <v>8</v>
      </c>
      <c r="B6812" s="2" t="str">
        <f>HYPERLINK("http://ts.21cn.com/tousu/show/id/1337743","714高利贷")</f>
        <v>714高利贷</v>
      </c>
      <c r="C6812" s="2" t="s">
        <v>9</v>
      </c>
      <c r="D6812" s="2" t="s">
        <v>10</v>
      </c>
      <c r="E6812" s="2" t="str">
        <f>HYPERLINK("http://ts.21cn.com/tousu/show/id/1337743","http://ts.21cn.com/tousu/show/id/1337743")</f>
        <v>http://ts.21cn.com/tousu/show/id/1337743</v>
      </c>
      <c r="F6812" s="2" t="s">
        <v>11</v>
      </c>
      <c r="G6812" s="2" t="s">
        <v>30758</v>
      </c>
      <c r="H6812" s="2" t="s">
        <v>30759</v>
      </c>
    </row>
    <row r="6813" spans="1:8" ht="25.05" customHeight="1" x14ac:dyDescent="0.25">
      <c r="A6813" s="2" t="s">
        <v>8</v>
      </c>
      <c r="B6813" s="2" t="str">
        <f>HYPERLINK("http://ts.21cn.com/tousu/show/id/1337744","小孩偷手机充值游戏")</f>
        <v>小孩偷手机充值游戏</v>
      </c>
      <c r="C6813" s="2" t="s">
        <v>9</v>
      </c>
      <c r="D6813" s="2" t="s">
        <v>10</v>
      </c>
      <c r="E6813" s="2" t="str">
        <f>HYPERLINK("http://ts.21cn.com/tousu/show/id/1337744","http://ts.21cn.com/tousu/show/id/1337744")</f>
        <v>http://ts.21cn.com/tousu/show/id/1337744</v>
      </c>
      <c r="F6813" s="2" t="s">
        <v>11</v>
      </c>
      <c r="G6813" s="2" t="s">
        <v>30756</v>
      </c>
      <c r="H6813" s="2" t="s">
        <v>30757</v>
      </c>
    </row>
    <row r="6814" spans="1:8" ht="25.05" customHeight="1" x14ac:dyDescent="0.25">
      <c r="A6814" s="2" t="s">
        <v>8</v>
      </c>
      <c r="B6814" s="2" t="str">
        <f>HYPERLINK("http://ts.21cn.com/tousu/show/id/1337729","上海淇毓科技有限套路贷公司")</f>
        <v>上海淇毓科技有限套路贷公司</v>
      </c>
      <c r="C6814" s="2" t="s">
        <v>9</v>
      </c>
      <c r="D6814" s="2" t="s">
        <v>10</v>
      </c>
      <c r="E6814" s="2" t="str">
        <f>HYPERLINK("http://ts.21cn.com/tousu/show/id/1337729","http://ts.21cn.com/tousu/show/id/1337729")</f>
        <v>http://ts.21cn.com/tousu/show/id/1337729</v>
      </c>
      <c r="F6814" s="2" t="s">
        <v>11</v>
      </c>
      <c r="G6814" s="2" t="s">
        <v>30754</v>
      </c>
      <c r="H6814" s="2" t="s">
        <v>30755</v>
      </c>
    </row>
    <row r="6815" spans="1:8" ht="25.05" customHeight="1" x14ac:dyDescent="0.25">
      <c r="A6815" s="2" t="s">
        <v>8</v>
      </c>
      <c r="B6815" s="2" t="str">
        <f>HYPERLINK("http://ts.21cn.com/tousu/show/id/1337746","易宝支付为高利贷放款方")</f>
        <v>易宝支付为高利贷放款方</v>
      </c>
      <c r="C6815" s="2" t="s">
        <v>9</v>
      </c>
      <c r="D6815" s="2" t="s">
        <v>10</v>
      </c>
      <c r="E6815" s="2" t="str">
        <f>HYPERLINK("http://ts.21cn.com/tousu/show/id/1337746","http://ts.21cn.com/tousu/show/id/1337746")</f>
        <v>http://ts.21cn.com/tousu/show/id/1337746</v>
      </c>
      <c r="F6815" s="2" t="s">
        <v>11</v>
      </c>
      <c r="G6815" s="2" t="s">
        <v>30752</v>
      </c>
      <c r="H6815" s="2" t="s">
        <v>30753</v>
      </c>
    </row>
    <row r="6816" spans="1:8" ht="25.05" customHeight="1" x14ac:dyDescent="0.25">
      <c r="A6816" s="2" t="s">
        <v>8</v>
      </c>
      <c r="B6816" s="2" t="str">
        <f>HYPERLINK("http://ts.21cn.com/tousu/show/id/1337745","随意扣款胡乱收费")</f>
        <v>随意扣款胡乱收费</v>
      </c>
      <c r="C6816" s="2" t="s">
        <v>9</v>
      </c>
      <c r="D6816" s="2" t="s">
        <v>10</v>
      </c>
      <c r="E6816" s="2" t="str">
        <f>HYPERLINK("http://ts.21cn.com/tousu/show/id/1337745","http://ts.21cn.com/tousu/show/id/1337745")</f>
        <v>http://ts.21cn.com/tousu/show/id/1337745</v>
      </c>
      <c r="F6816" s="2" t="s">
        <v>11</v>
      </c>
      <c r="G6816" s="2" t="s">
        <v>30750</v>
      </c>
      <c r="H6816" s="2" t="s">
        <v>30751</v>
      </c>
    </row>
    <row r="6817" spans="1:8" ht="25.05" customHeight="1" x14ac:dyDescent="0.25">
      <c r="A6817" s="2" t="s">
        <v>8</v>
      </c>
      <c r="B6817" s="2" t="str">
        <f>HYPERLINK("http://ts.21cn.com/tousu/show/id/1337747","账上1200元，要求无条件解冻")</f>
        <v>账上1200元，要求无条件解冻</v>
      </c>
      <c r="C6817" s="2" t="s">
        <v>9</v>
      </c>
      <c r="D6817" s="2" t="s">
        <v>10</v>
      </c>
      <c r="E6817" s="2" t="str">
        <f>HYPERLINK("http://ts.21cn.com/tousu/show/id/1337747","http://ts.21cn.com/tousu/show/id/1337747")</f>
        <v>http://ts.21cn.com/tousu/show/id/1337747</v>
      </c>
      <c r="F6817" s="2" t="s">
        <v>11</v>
      </c>
      <c r="G6817" s="2" t="s">
        <v>30748</v>
      </c>
      <c r="H6817" s="2" t="s">
        <v>30749</v>
      </c>
    </row>
    <row r="6818" spans="1:8" ht="25.05" customHeight="1" x14ac:dyDescent="0.25">
      <c r="A6818" s="2" t="s">
        <v>8</v>
      </c>
      <c r="B6818" s="2" t="str">
        <f>HYPERLINK("http://ts.21cn.com/tousu/show/id/1337748","马上金融涉嫌欺诈")</f>
        <v>马上金融涉嫌欺诈</v>
      </c>
      <c r="C6818" s="2" t="s">
        <v>9</v>
      </c>
      <c r="D6818" s="2" t="s">
        <v>10</v>
      </c>
      <c r="E6818" s="2" t="str">
        <f>HYPERLINK("http://ts.21cn.com/tousu/show/id/1337748","http://ts.21cn.com/tousu/show/id/1337748")</f>
        <v>http://ts.21cn.com/tousu/show/id/1337748</v>
      </c>
      <c r="F6818" s="2" t="s">
        <v>11</v>
      </c>
      <c r="G6818" s="2" t="s">
        <v>30746</v>
      </c>
      <c r="H6818" s="2" t="s">
        <v>30747</v>
      </c>
    </row>
    <row r="6819" spans="1:8" ht="25.05" customHeight="1" x14ac:dyDescent="0.25">
      <c r="A6819" s="2" t="s">
        <v>8</v>
      </c>
      <c r="B6819" s="2" t="str">
        <f>HYPERLINK("http://ts.21cn.com/tousu/show/id/1337749","拖欠拒付主播佣金3万")</f>
        <v>拖欠拒付主播佣金3万</v>
      </c>
      <c r="C6819" s="2" t="s">
        <v>9</v>
      </c>
      <c r="D6819" s="2" t="s">
        <v>10</v>
      </c>
      <c r="E6819" s="2" t="str">
        <f>HYPERLINK("http://ts.21cn.com/tousu/show/id/1337749","http://ts.21cn.com/tousu/show/id/1337749")</f>
        <v>http://ts.21cn.com/tousu/show/id/1337749</v>
      </c>
      <c r="F6819" s="2" t="s">
        <v>11</v>
      </c>
      <c r="G6819" s="2" t="s">
        <v>30744</v>
      </c>
      <c r="H6819" s="2" t="s">
        <v>30745</v>
      </c>
    </row>
    <row r="6820" spans="1:8" ht="25.05" customHeight="1" x14ac:dyDescent="0.25">
      <c r="A6820" s="2" t="s">
        <v>8</v>
      </c>
      <c r="B6820" s="2" t="str">
        <f>HYPERLINK("http://ts.21cn.com/tousu/show/id/1335856","无法解决问题")</f>
        <v>无法解决问题</v>
      </c>
      <c r="C6820" s="2" t="s">
        <v>34</v>
      </c>
      <c r="D6820" s="2" t="s">
        <v>10</v>
      </c>
      <c r="E6820" s="2" t="str">
        <f>HYPERLINK("http://ts.21cn.com/tousu/show/id/1335856","http://ts.21cn.com/tousu/show/id/1335856")</f>
        <v>http://ts.21cn.com/tousu/show/id/1335856</v>
      </c>
      <c r="F6820" s="2" t="s">
        <v>11</v>
      </c>
      <c r="G6820" s="2" t="s">
        <v>30742</v>
      </c>
      <c r="H6820" s="2" t="s">
        <v>30743</v>
      </c>
    </row>
    <row r="6821" spans="1:8" ht="25.05" customHeight="1" x14ac:dyDescent="0.25">
      <c r="A6821" s="2" t="s">
        <v>8</v>
      </c>
      <c r="B6821" s="2" t="str">
        <f>HYPERLINK("http://ts.21cn.com/tousu/show/id/1337750","胖胖有米暴力骚扰")</f>
        <v>胖胖有米暴力骚扰</v>
      </c>
      <c r="C6821" s="2" t="s">
        <v>9</v>
      </c>
      <c r="D6821" s="2" t="s">
        <v>10</v>
      </c>
      <c r="E6821" s="2" t="str">
        <f>HYPERLINK("http://ts.21cn.com/tousu/show/id/1337750","http://ts.21cn.com/tousu/show/id/1337750")</f>
        <v>http://ts.21cn.com/tousu/show/id/1337750</v>
      </c>
      <c r="F6821" s="2" t="s">
        <v>11</v>
      </c>
      <c r="G6821" s="2" t="s">
        <v>30740</v>
      </c>
      <c r="H6821" s="2" t="s">
        <v>30741</v>
      </c>
    </row>
    <row r="6822" spans="1:8" ht="25.05" customHeight="1" x14ac:dyDescent="0.25">
      <c r="A6822" s="2" t="s">
        <v>8</v>
      </c>
      <c r="B6822" s="2" t="str">
        <f>HYPERLINK("http://ts.21cn.com/tousu/show/id/1337751","凡普信贷高利贷砍头息")</f>
        <v>凡普信贷高利贷砍头息</v>
      </c>
      <c r="C6822" s="2" t="s">
        <v>9</v>
      </c>
      <c r="D6822" s="2" t="s">
        <v>10</v>
      </c>
      <c r="E6822" s="2" t="str">
        <f>HYPERLINK("http://ts.21cn.com/tousu/show/id/1337751","http://ts.21cn.com/tousu/show/id/1337751")</f>
        <v>http://ts.21cn.com/tousu/show/id/1337751</v>
      </c>
      <c r="F6822" s="2" t="s">
        <v>11</v>
      </c>
      <c r="G6822" s="2" t="s">
        <v>30738</v>
      </c>
      <c r="H6822" s="2" t="s">
        <v>30739</v>
      </c>
    </row>
    <row r="6823" spans="1:8" ht="25.05" customHeight="1" x14ac:dyDescent="0.25">
      <c r="A6823" s="2" t="s">
        <v>8</v>
      </c>
      <c r="B6823" s="2" t="str">
        <f>HYPERLINK("http://ts.21cn.com/tousu/show/id/1337740","豹子贷无故扣钱不需要还要扣")</f>
        <v>豹子贷无故扣钱不需要还要扣</v>
      </c>
      <c r="C6823" s="2" t="s">
        <v>9</v>
      </c>
      <c r="D6823" s="2" t="s">
        <v>10</v>
      </c>
      <c r="E6823" s="2" t="str">
        <f>HYPERLINK("http://ts.21cn.com/tousu/show/id/1337740","http://ts.21cn.com/tousu/show/id/1337740")</f>
        <v>http://ts.21cn.com/tousu/show/id/1337740</v>
      </c>
      <c r="F6823" s="2" t="s">
        <v>11</v>
      </c>
      <c r="G6823" s="2" t="s">
        <v>30736</v>
      </c>
      <c r="H6823" s="2" t="s">
        <v>30737</v>
      </c>
    </row>
    <row r="6824" spans="1:8" ht="25.05" customHeight="1" x14ac:dyDescent="0.25">
      <c r="A6824" s="2" t="s">
        <v>8</v>
      </c>
      <c r="B6824" s="2" t="str">
        <f>HYPERLINK("http://ts.21cn.com/tousu/show/id/1337752","洋钱罐暴力催收，利息高。")</f>
        <v>洋钱罐暴力催收，利息高。</v>
      </c>
      <c r="C6824" s="2" t="s">
        <v>9</v>
      </c>
      <c r="D6824" s="2" t="s">
        <v>10</v>
      </c>
      <c r="E6824" s="2" t="str">
        <f>HYPERLINK("http://ts.21cn.com/tousu/show/id/1337752","http://ts.21cn.com/tousu/show/id/1337752")</f>
        <v>http://ts.21cn.com/tousu/show/id/1337752</v>
      </c>
      <c r="F6824" s="2" t="s">
        <v>11</v>
      </c>
      <c r="G6824" s="2" t="s">
        <v>30734</v>
      </c>
      <c r="H6824" s="2" t="s">
        <v>30735</v>
      </c>
    </row>
    <row r="6825" spans="1:8" ht="25.05" customHeight="1" x14ac:dyDescent="0.25">
      <c r="A6825" s="2" t="s">
        <v>8</v>
      </c>
      <c r="B6825" s="2" t="str">
        <f>HYPERLINK("http://ts.21cn.com/tousu/show/id/1337753","网商贷关闭我额度导致我周转困难")</f>
        <v>网商贷关闭我额度导致我周转困难</v>
      </c>
      <c r="C6825" s="2" t="s">
        <v>34</v>
      </c>
      <c r="D6825" s="2" t="s">
        <v>10</v>
      </c>
      <c r="E6825" s="2" t="str">
        <f>HYPERLINK("http://ts.21cn.com/tousu/show/id/1337753","http://ts.21cn.com/tousu/show/id/1337753")</f>
        <v>http://ts.21cn.com/tousu/show/id/1337753</v>
      </c>
      <c r="F6825" s="2" t="s">
        <v>11</v>
      </c>
      <c r="G6825" s="2" t="s">
        <v>30732</v>
      </c>
      <c r="H6825" s="2" t="s">
        <v>30733</v>
      </c>
    </row>
    <row r="6826" spans="1:8" ht="25.05" customHeight="1" x14ac:dyDescent="0.25">
      <c r="A6826" s="2" t="s">
        <v>8</v>
      </c>
      <c r="B6826" s="2" t="str">
        <f>HYPERLINK("http://ts.21cn.com/tousu/show/id/1337754","拼多多涉嫌虚假宣传")</f>
        <v>拼多多涉嫌虚假宣传</v>
      </c>
      <c r="C6826" s="2" t="s">
        <v>9</v>
      </c>
      <c r="D6826" s="2" t="s">
        <v>10</v>
      </c>
      <c r="E6826" s="2" t="str">
        <f>HYPERLINK("http://ts.21cn.com/tousu/show/id/1337754","http://ts.21cn.com/tousu/show/id/1337754")</f>
        <v>http://ts.21cn.com/tousu/show/id/1337754</v>
      </c>
      <c r="F6826" s="2" t="s">
        <v>11</v>
      </c>
      <c r="G6826" s="2" t="s">
        <v>30730</v>
      </c>
      <c r="H6826" s="2" t="s">
        <v>30731</v>
      </c>
    </row>
    <row r="6827" spans="1:8" ht="25.05" customHeight="1" x14ac:dyDescent="0.25">
      <c r="A6827" s="2" t="s">
        <v>8</v>
      </c>
      <c r="B6827" s="2" t="str">
        <f>HYPERLINK("http://ts.21cn.com/tousu/show/id/1337755","小浦优客未经同意扣款")</f>
        <v>小浦优客未经同意扣款</v>
      </c>
      <c r="C6827" s="2" t="s">
        <v>9</v>
      </c>
      <c r="D6827" s="2" t="s">
        <v>10</v>
      </c>
      <c r="E6827" s="2" t="str">
        <f>HYPERLINK("http://ts.21cn.com/tousu/show/id/1337755","http://ts.21cn.com/tousu/show/id/1337755")</f>
        <v>http://ts.21cn.com/tousu/show/id/1337755</v>
      </c>
      <c r="F6827" s="2" t="s">
        <v>11</v>
      </c>
      <c r="G6827" s="2" t="s">
        <v>30728</v>
      </c>
      <c r="H6827" s="2" t="s">
        <v>30729</v>
      </c>
    </row>
    <row r="6828" spans="1:8" ht="25.05" customHeight="1" x14ac:dyDescent="0.25">
      <c r="A6828" s="2" t="s">
        <v>8</v>
      </c>
      <c r="B6828" s="2" t="str">
        <f>HYPERLINK("http://ts.21cn.com/tousu/show/id/1337756","闪电快贷今天还款日催收电话就一直打，态度恶劣")</f>
        <v>闪电快贷今天还款日催收电话就一直打，态度恶劣</v>
      </c>
      <c r="C6828" s="2" t="s">
        <v>9</v>
      </c>
      <c r="D6828" s="2" t="s">
        <v>10</v>
      </c>
      <c r="E6828" s="2" t="str">
        <f>HYPERLINK("http://ts.21cn.com/tousu/show/id/1337756","http://ts.21cn.com/tousu/show/id/1337756")</f>
        <v>http://ts.21cn.com/tousu/show/id/1337756</v>
      </c>
      <c r="F6828" s="2" t="s">
        <v>11</v>
      </c>
      <c r="G6828" s="2" t="s">
        <v>30726</v>
      </c>
      <c r="H6828" s="2" t="s">
        <v>30727</v>
      </c>
    </row>
    <row r="6829" spans="1:8" ht="25.05" customHeight="1" x14ac:dyDescent="0.25">
      <c r="A6829" s="2" t="s">
        <v>8</v>
      </c>
      <c r="B6829" s="2" t="str">
        <f>HYPERLINK("http://ts.21cn.com/tousu/show/id/1337757","退服务费，一次还清")</f>
        <v>退服务费，一次还清</v>
      </c>
      <c r="C6829" s="2" t="s">
        <v>9</v>
      </c>
      <c r="D6829" s="2" t="s">
        <v>10</v>
      </c>
      <c r="E6829" s="2" t="str">
        <f>HYPERLINK("http://ts.21cn.com/tousu/show/id/1337757","http://ts.21cn.com/tousu/show/id/1337757")</f>
        <v>http://ts.21cn.com/tousu/show/id/1337757</v>
      </c>
      <c r="F6829" s="2" t="s">
        <v>11</v>
      </c>
      <c r="G6829" s="2" t="s">
        <v>30724</v>
      </c>
      <c r="H6829" s="2" t="s">
        <v>30725</v>
      </c>
    </row>
    <row r="6830" spans="1:8" ht="25.05" customHeight="1" x14ac:dyDescent="0.25">
      <c r="A6830" s="2" t="s">
        <v>8</v>
      </c>
      <c r="B6830" s="2" t="str">
        <f>HYPERLINK("http://ts.21cn.com/tousu/show/id/1337758","交通")</f>
        <v>交通</v>
      </c>
      <c r="C6830" s="2" t="s">
        <v>9</v>
      </c>
      <c r="D6830" s="2" t="s">
        <v>10</v>
      </c>
      <c r="E6830" s="2" t="str">
        <f>HYPERLINK("http://ts.21cn.com/tousu/show/id/1337758","http://ts.21cn.com/tousu/show/id/1337758")</f>
        <v>http://ts.21cn.com/tousu/show/id/1337758</v>
      </c>
      <c r="F6830" s="2" t="s">
        <v>11</v>
      </c>
      <c r="G6830" s="2" t="s">
        <v>30722</v>
      </c>
      <c r="H6830" s="2" t="s">
        <v>30723</v>
      </c>
    </row>
    <row r="6831" spans="1:8" ht="25.05" customHeight="1" x14ac:dyDescent="0.25">
      <c r="A6831" s="2" t="s">
        <v>8</v>
      </c>
      <c r="B6831" s="2" t="str">
        <f>HYPERLINK("http://ts.21cn.com/tousu/show/id/1337759","飞行钱包莫名其妙扣我198会员费")</f>
        <v>飞行钱包莫名其妙扣我198会员费</v>
      </c>
      <c r="C6831" s="2" t="s">
        <v>9</v>
      </c>
      <c r="D6831" s="2" t="s">
        <v>10</v>
      </c>
      <c r="E6831" s="2" t="str">
        <f>HYPERLINK("http://ts.21cn.com/tousu/show/id/1337759","http://ts.21cn.com/tousu/show/id/1337759")</f>
        <v>http://ts.21cn.com/tousu/show/id/1337759</v>
      </c>
      <c r="F6831" s="2" t="s">
        <v>11</v>
      </c>
      <c r="G6831" s="2" t="s">
        <v>30720</v>
      </c>
      <c r="H6831" s="2" t="s">
        <v>30721</v>
      </c>
    </row>
    <row r="6832" spans="1:8" ht="25.05" customHeight="1" x14ac:dyDescent="0.25">
      <c r="A6832" s="2" t="s">
        <v>8</v>
      </c>
      <c r="B6832" s="2" t="str">
        <f>HYPERLINK("http://ts.21cn.com/tousu/show/id/1337762","态度强硬，暴力催收")</f>
        <v>态度强硬，暴力催收</v>
      </c>
      <c r="C6832" s="2" t="s">
        <v>9</v>
      </c>
      <c r="D6832" s="2" t="s">
        <v>10</v>
      </c>
      <c r="E6832" s="2" t="str">
        <f>HYPERLINK("http://ts.21cn.com/tousu/show/id/1337762","http://ts.21cn.com/tousu/show/id/1337762")</f>
        <v>http://ts.21cn.com/tousu/show/id/1337762</v>
      </c>
      <c r="F6832" s="2" t="s">
        <v>11</v>
      </c>
      <c r="G6832" s="2" t="s">
        <v>30718</v>
      </c>
      <c r="H6832" s="2" t="s">
        <v>30719</v>
      </c>
    </row>
    <row r="6833" spans="1:8" ht="25.05" customHeight="1" x14ac:dyDescent="0.25">
      <c r="A6833" s="2" t="s">
        <v>8</v>
      </c>
      <c r="B6833" s="2" t="str">
        <f>HYPERLINK("http://ts.21cn.com/tousu/show/id/1337761","初九钱包天理不容")</f>
        <v>初九钱包天理不容</v>
      </c>
      <c r="C6833" s="2" t="s">
        <v>9</v>
      </c>
      <c r="D6833" s="2" t="s">
        <v>10</v>
      </c>
      <c r="E6833" s="2" t="str">
        <f>HYPERLINK("http://ts.21cn.com/tousu/show/id/1337761","http://ts.21cn.com/tousu/show/id/1337761")</f>
        <v>http://ts.21cn.com/tousu/show/id/1337761</v>
      </c>
      <c r="F6833" s="2" t="s">
        <v>11</v>
      </c>
      <c r="G6833" s="2" t="s">
        <v>30716</v>
      </c>
      <c r="H6833" s="2" t="s">
        <v>30717</v>
      </c>
    </row>
    <row r="6834" spans="1:8" ht="25.05" customHeight="1" x14ac:dyDescent="0.25">
      <c r="A6834" s="2" t="s">
        <v>8</v>
      </c>
      <c r="B6834" s="2" t="str">
        <f>HYPERLINK("http://ts.21cn.com/tousu/show/id/1337763","招联金融恶意骚扰威胁")</f>
        <v>招联金融恶意骚扰威胁</v>
      </c>
      <c r="C6834" s="2" t="s">
        <v>9</v>
      </c>
      <c r="D6834" s="2" t="s">
        <v>10</v>
      </c>
      <c r="E6834" s="2" t="str">
        <f>HYPERLINK("http://ts.21cn.com/tousu/show/id/1337763","http://ts.21cn.com/tousu/show/id/1337763")</f>
        <v>http://ts.21cn.com/tousu/show/id/1337763</v>
      </c>
      <c r="F6834" s="2" t="s">
        <v>11</v>
      </c>
      <c r="G6834" s="2" t="s">
        <v>30714</v>
      </c>
      <c r="H6834" s="2" t="s">
        <v>30715</v>
      </c>
    </row>
    <row r="6835" spans="1:8" ht="25.05" customHeight="1" x14ac:dyDescent="0.25">
      <c r="A6835" s="2" t="s">
        <v>8</v>
      </c>
      <c r="B6835" s="2" t="str">
        <f>HYPERLINK("http://ts.21cn.com/tousu/show/id/1337765","急用钱编造不存在借款")</f>
        <v>急用钱编造不存在借款</v>
      </c>
      <c r="C6835" s="2" t="s">
        <v>9</v>
      </c>
      <c r="D6835" s="2" t="s">
        <v>10</v>
      </c>
      <c r="E6835" s="2" t="str">
        <f>HYPERLINK("http://ts.21cn.com/tousu/show/id/1337765","http://ts.21cn.com/tousu/show/id/1337765")</f>
        <v>http://ts.21cn.com/tousu/show/id/1337765</v>
      </c>
      <c r="F6835" s="2" t="s">
        <v>11</v>
      </c>
      <c r="G6835" s="2" t="s">
        <v>30712</v>
      </c>
      <c r="H6835" s="2" t="s">
        <v>30713</v>
      </c>
    </row>
    <row r="6836" spans="1:8" ht="25.05" customHeight="1" x14ac:dyDescent="0.25">
      <c r="A6836" s="2" t="s">
        <v>8</v>
      </c>
      <c r="B6836" s="2" t="str">
        <f>HYPERLINK("http://ts.21cn.com/tousu/show/id/1337766","现金借款洋钱罐高利贷，客服态度差")</f>
        <v>现金借款洋钱罐高利贷，客服态度差</v>
      </c>
      <c r="C6836" s="2" t="s">
        <v>9</v>
      </c>
      <c r="D6836" s="2" t="s">
        <v>10</v>
      </c>
      <c r="E6836" s="2" t="str">
        <f>HYPERLINK("http://ts.21cn.com/tousu/show/id/1337766","http://ts.21cn.com/tousu/show/id/1337766")</f>
        <v>http://ts.21cn.com/tousu/show/id/1337766</v>
      </c>
      <c r="F6836" s="2" t="s">
        <v>11</v>
      </c>
      <c r="G6836" s="2" t="s">
        <v>30710</v>
      </c>
      <c r="H6836" s="2" t="s">
        <v>30711</v>
      </c>
    </row>
    <row r="6837" spans="1:8" ht="25.05" customHeight="1" x14ac:dyDescent="0.25">
      <c r="A6837" s="2" t="s">
        <v>8</v>
      </c>
      <c r="B6837" s="2" t="str">
        <f>HYPERLINK("http://ts.21cn.com/tousu/show/id/1337767","捷信高利贷")</f>
        <v>捷信高利贷</v>
      </c>
      <c r="C6837" s="2" t="s">
        <v>9</v>
      </c>
      <c r="D6837" s="2" t="s">
        <v>10</v>
      </c>
      <c r="E6837" s="2" t="str">
        <f>HYPERLINK("http://ts.21cn.com/tousu/show/id/1337767","http://ts.21cn.com/tousu/show/id/1337767")</f>
        <v>http://ts.21cn.com/tousu/show/id/1337767</v>
      </c>
      <c r="F6837" s="2" t="s">
        <v>11</v>
      </c>
      <c r="G6837" s="2" t="s">
        <v>30708</v>
      </c>
      <c r="H6837" s="2" t="s">
        <v>30709</v>
      </c>
    </row>
    <row r="6838" spans="1:8" ht="25.05" customHeight="1" x14ac:dyDescent="0.25">
      <c r="A6838" s="2" t="s">
        <v>8</v>
      </c>
      <c r="B6838" s="2" t="str">
        <f>HYPERLINK("http://ts.21cn.com/tousu/show/id/1337768","美团生活费暴力催收")</f>
        <v>美团生活费暴力催收</v>
      </c>
      <c r="C6838" s="2" t="s">
        <v>9</v>
      </c>
      <c r="D6838" s="2" t="s">
        <v>10</v>
      </c>
      <c r="E6838" s="2" t="str">
        <f>HYPERLINK("http://ts.21cn.com/tousu/show/id/1337768","http://ts.21cn.com/tousu/show/id/1337768")</f>
        <v>http://ts.21cn.com/tousu/show/id/1337768</v>
      </c>
      <c r="F6838" s="2" t="s">
        <v>11</v>
      </c>
      <c r="G6838" s="2" t="s">
        <v>30706</v>
      </c>
      <c r="H6838" s="2" t="s">
        <v>30707</v>
      </c>
    </row>
    <row r="6839" spans="1:8" ht="25.05" customHeight="1" x14ac:dyDescent="0.25">
      <c r="A6839" s="2" t="s">
        <v>8</v>
      </c>
      <c r="B6839" s="2" t="str">
        <f>HYPERLINK("http://ts.21cn.com/tousu/show/id/1337769","现金巴士恶意催收，砍头息。")</f>
        <v>现金巴士恶意催收，砍头息。</v>
      </c>
      <c r="C6839" s="2" t="s">
        <v>9</v>
      </c>
      <c r="D6839" s="2" t="s">
        <v>10</v>
      </c>
      <c r="E6839" s="2" t="str">
        <f>HYPERLINK("http://ts.21cn.com/tousu/show/id/1337769","http://ts.21cn.com/tousu/show/id/1337769")</f>
        <v>http://ts.21cn.com/tousu/show/id/1337769</v>
      </c>
      <c r="F6839" s="2" t="s">
        <v>11</v>
      </c>
      <c r="G6839" s="2" t="s">
        <v>30704</v>
      </c>
      <c r="H6839" s="2" t="s">
        <v>30705</v>
      </c>
    </row>
    <row r="6840" spans="1:8" ht="25.05" customHeight="1" x14ac:dyDescent="0.25">
      <c r="A6840" s="2" t="s">
        <v>8</v>
      </c>
      <c r="B6840" s="2" t="str">
        <f>HYPERLINK("http://ts.21cn.com/tousu/show/id/1337770","小浦优客在没经过本人同意的情况下从绑定的银行卡中扣了296元服务费")</f>
        <v>小浦优客在没经过本人同意的情况下从绑定的银行卡中扣了296元服务费</v>
      </c>
      <c r="C6840" s="2" t="s">
        <v>9</v>
      </c>
      <c r="D6840" s="2" t="s">
        <v>10</v>
      </c>
      <c r="E6840" s="2" t="str">
        <f>HYPERLINK("http://ts.21cn.com/tousu/show/id/1337770","http://ts.21cn.com/tousu/show/id/1337770")</f>
        <v>http://ts.21cn.com/tousu/show/id/1337770</v>
      </c>
      <c r="F6840" s="2" t="s">
        <v>11</v>
      </c>
      <c r="G6840" s="2" t="s">
        <v>30702</v>
      </c>
      <c r="H6840" s="2" t="s">
        <v>30703</v>
      </c>
    </row>
    <row r="6841" spans="1:8" ht="25.05" customHeight="1" x14ac:dyDescent="0.25">
      <c r="A6841" s="2" t="s">
        <v>8</v>
      </c>
      <c r="B6841" s="2" t="str">
        <f>HYPERLINK("http://ts.21cn.com/tousu/show/id/1337771","51人品贷黑心高利贷，暴利催收骚扰联系人")</f>
        <v>51人品贷黑心高利贷，暴利催收骚扰联系人</v>
      </c>
      <c r="C6841" s="2" t="s">
        <v>9</v>
      </c>
      <c r="D6841" s="2" t="s">
        <v>10</v>
      </c>
      <c r="E6841" s="2" t="str">
        <f>HYPERLINK("http://ts.21cn.com/tousu/show/id/1337771","http://ts.21cn.com/tousu/show/id/1337771")</f>
        <v>http://ts.21cn.com/tousu/show/id/1337771</v>
      </c>
      <c r="F6841" s="2" t="s">
        <v>11</v>
      </c>
      <c r="G6841" s="2" t="s">
        <v>30700</v>
      </c>
      <c r="H6841" s="2" t="s">
        <v>30701</v>
      </c>
    </row>
    <row r="6842" spans="1:8" ht="25.05" customHeight="1" x14ac:dyDescent="0.25">
      <c r="A6842" s="2" t="s">
        <v>8</v>
      </c>
      <c r="B6842" s="2" t="str">
        <f>HYPERLINK("http://ts.21cn.com/tousu/show/id/1337773","兴业银行")</f>
        <v>兴业银行</v>
      </c>
      <c r="C6842" s="2" t="s">
        <v>34</v>
      </c>
      <c r="D6842" s="2" t="s">
        <v>10</v>
      </c>
      <c r="E6842" s="2" t="str">
        <f>HYPERLINK("http://ts.21cn.com/tousu/show/id/1337773","http://ts.21cn.com/tousu/show/id/1337773")</f>
        <v>http://ts.21cn.com/tousu/show/id/1337773</v>
      </c>
      <c r="F6842" s="2" t="s">
        <v>11</v>
      </c>
      <c r="G6842" s="2" t="s">
        <v>30698</v>
      </c>
      <c r="H6842" s="2" t="s">
        <v>30699</v>
      </c>
    </row>
    <row r="6843" spans="1:8" ht="25.05" customHeight="1" x14ac:dyDescent="0.25">
      <c r="A6843" s="2" t="s">
        <v>8</v>
      </c>
      <c r="B6843" s="2" t="str">
        <f>HYPERLINK("http://ts.21cn.com/tousu/show/id/1337774","久富万卡高利贷，催收不停")</f>
        <v>久富万卡高利贷，催收不停</v>
      </c>
      <c r="C6843" s="2" t="s">
        <v>9</v>
      </c>
      <c r="D6843" s="2" t="s">
        <v>10</v>
      </c>
      <c r="E6843" s="2" t="str">
        <f>HYPERLINK("http://ts.21cn.com/tousu/show/id/1337774","http://ts.21cn.com/tousu/show/id/1337774")</f>
        <v>http://ts.21cn.com/tousu/show/id/1337774</v>
      </c>
      <c r="F6843" s="2" t="s">
        <v>11</v>
      </c>
      <c r="G6843" s="2" t="s">
        <v>30696</v>
      </c>
      <c r="H6843" s="2" t="s">
        <v>30697</v>
      </c>
    </row>
    <row r="6844" spans="1:8" ht="25.05" customHeight="1" x14ac:dyDescent="0.25">
      <c r="A6844" s="2" t="s">
        <v>8</v>
      </c>
      <c r="B6844" s="2" t="str">
        <f>HYPERLINK("http://ts.21cn.com/tousu/show/id/1337775","钱站还款一直催")</f>
        <v>钱站还款一直催</v>
      </c>
      <c r="C6844" s="2" t="s">
        <v>9</v>
      </c>
      <c r="D6844" s="2" t="s">
        <v>10</v>
      </c>
      <c r="E6844" s="2" t="str">
        <f>HYPERLINK("http://ts.21cn.com/tousu/show/id/1337775","http://ts.21cn.com/tousu/show/id/1337775")</f>
        <v>http://ts.21cn.com/tousu/show/id/1337775</v>
      </c>
      <c r="F6844" s="2" t="s">
        <v>11</v>
      </c>
      <c r="G6844" s="2" t="s">
        <v>30694</v>
      </c>
      <c r="H6844" s="2" t="s">
        <v>30695</v>
      </c>
    </row>
    <row r="6845" spans="1:8" ht="25.05" customHeight="1" x14ac:dyDescent="0.25">
      <c r="A6845" s="2" t="s">
        <v>8</v>
      </c>
      <c r="B6845" s="2" t="str">
        <f>HYPERLINK("http://ts.21cn.com/tousu/show/id/1337777","企业支付宝无故被限制收款功能")</f>
        <v>企业支付宝无故被限制收款功能</v>
      </c>
      <c r="C6845" s="2" t="s">
        <v>9</v>
      </c>
      <c r="D6845" s="2" t="s">
        <v>10</v>
      </c>
      <c r="E6845" s="2" t="str">
        <f>HYPERLINK("http://ts.21cn.com/tousu/show/id/1337777","http://ts.21cn.com/tousu/show/id/1337777")</f>
        <v>http://ts.21cn.com/tousu/show/id/1337777</v>
      </c>
      <c r="F6845" s="2" t="s">
        <v>11</v>
      </c>
      <c r="G6845" s="2" t="s">
        <v>30692</v>
      </c>
      <c r="H6845" s="2" t="s">
        <v>30693</v>
      </c>
    </row>
    <row r="6846" spans="1:8" ht="25.05" customHeight="1" x14ac:dyDescent="0.25">
      <c r="A6846" s="2" t="s">
        <v>8</v>
      </c>
      <c r="B6846" s="2" t="str">
        <f>HYPERLINK("http://ts.21cn.com/tousu/show/id/1337776","美团订酒店退款不符情况")</f>
        <v>美团订酒店退款不符情况</v>
      </c>
      <c r="C6846" s="2" t="s">
        <v>9</v>
      </c>
      <c r="D6846" s="2" t="s">
        <v>10</v>
      </c>
      <c r="E6846" s="2" t="str">
        <f>HYPERLINK("http://ts.21cn.com/tousu/show/id/1337776","http://ts.21cn.com/tousu/show/id/1337776")</f>
        <v>http://ts.21cn.com/tousu/show/id/1337776</v>
      </c>
      <c r="F6846" s="2" t="s">
        <v>11</v>
      </c>
      <c r="G6846" s="2" t="s">
        <v>30690</v>
      </c>
      <c r="H6846" s="2" t="s">
        <v>30691</v>
      </c>
    </row>
    <row r="6847" spans="1:8" ht="25.05" customHeight="1" x14ac:dyDescent="0.25">
      <c r="A6847" s="2" t="s">
        <v>8</v>
      </c>
      <c r="B6847" s="2" t="str">
        <f>HYPERLINK("http://ts.21cn.com/tousu/show/id/1337778","钱伴逾期一天，今天就叫我必须我还，不然就威胁我交给催收爆通讯录，没有协商的余地")</f>
        <v>钱伴逾期一天，今天就叫我必须我还，不然就威胁我交给催收爆通讯录，没有协商的余地</v>
      </c>
      <c r="C6847" s="2" t="s">
        <v>9</v>
      </c>
      <c r="D6847" s="2" t="s">
        <v>10</v>
      </c>
      <c r="E6847" s="2" t="str">
        <f>HYPERLINK("http://ts.21cn.com/tousu/show/id/1337778","http://ts.21cn.com/tousu/show/id/1337778")</f>
        <v>http://ts.21cn.com/tousu/show/id/1337778</v>
      </c>
      <c r="F6847" s="2" t="s">
        <v>11</v>
      </c>
      <c r="G6847" s="2" t="s">
        <v>30688</v>
      </c>
      <c r="H6847" s="2" t="s">
        <v>30689</v>
      </c>
    </row>
    <row r="6848" spans="1:8" ht="25.05" customHeight="1" x14ac:dyDescent="0.25">
      <c r="A6848" s="2" t="s">
        <v>8</v>
      </c>
      <c r="B6848" s="2" t="str">
        <f>HYPERLINK("http://ts.21cn.com/tousu/show/id/1337779","滴滴不排单")</f>
        <v>滴滴不排单</v>
      </c>
      <c r="C6848" s="2" t="s">
        <v>34</v>
      </c>
      <c r="D6848" s="2" t="s">
        <v>10</v>
      </c>
      <c r="E6848" s="2" t="str">
        <f>HYPERLINK("http://ts.21cn.com/tousu/show/id/1337779","http://ts.21cn.com/tousu/show/id/1337779")</f>
        <v>http://ts.21cn.com/tousu/show/id/1337779</v>
      </c>
      <c r="F6848" s="2" t="s">
        <v>11</v>
      </c>
      <c r="G6848" s="2" t="s">
        <v>30686</v>
      </c>
      <c r="H6848" s="2" t="s">
        <v>30687</v>
      </c>
    </row>
    <row r="6849" spans="1:8" ht="25.05" customHeight="1" x14ac:dyDescent="0.25">
      <c r="A6849" s="2" t="s">
        <v>8</v>
      </c>
      <c r="B6849" s="2" t="str">
        <f>HYPERLINK("http://ts.21cn.com/tousu/show/id/1337780","骚扰暴力")</f>
        <v>骚扰暴力</v>
      </c>
      <c r="C6849" s="2" t="s">
        <v>9</v>
      </c>
      <c r="D6849" s="2" t="s">
        <v>10</v>
      </c>
      <c r="E6849" s="2" t="str">
        <f>HYPERLINK("http://ts.21cn.com/tousu/show/id/1337780","http://ts.21cn.com/tousu/show/id/1337780")</f>
        <v>http://ts.21cn.com/tousu/show/id/1337780</v>
      </c>
      <c r="F6849" s="2" t="s">
        <v>11</v>
      </c>
      <c r="G6849" s="2" t="s">
        <v>30684</v>
      </c>
      <c r="H6849" s="2" t="s">
        <v>30685</v>
      </c>
    </row>
    <row r="6850" spans="1:8" ht="25.05" customHeight="1" x14ac:dyDescent="0.25">
      <c r="A6850" s="2" t="s">
        <v>8</v>
      </c>
      <c r="B6850" s="2" t="str">
        <f>HYPERLINK("http://ts.21cn.com/tousu/show/id/1337781","恶意盗刷银行卡，退款，删除个人资料")</f>
        <v>恶意盗刷银行卡，退款，删除个人资料</v>
      </c>
      <c r="C6850" s="2" t="s">
        <v>9</v>
      </c>
      <c r="D6850" s="2" t="s">
        <v>10</v>
      </c>
      <c r="E6850" s="2" t="str">
        <f>HYPERLINK("http://ts.21cn.com/tousu/show/id/1337781","http://ts.21cn.com/tousu/show/id/1337781")</f>
        <v>http://ts.21cn.com/tousu/show/id/1337781</v>
      </c>
      <c r="F6850" s="2" t="s">
        <v>11</v>
      </c>
      <c r="G6850" s="2" t="s">
        <v>30682</v>
      </c>
      <c r="H6850" s="2" t="s">
        <v>30683</v>
      </c>
    </row>
    <row r="6851" spans="1:8" ht="25.05" customHeight="1" x14ac:dyDescent="0.25">
      <c r="A6851" s="2" t="s">
        <v>8</v>
      </c>
      <c r="B6851" s="2" t="str">
        <f>HYPERLINK("http://ts.21cn.com/tousu/show/id/1337782","拍拍贷仗着自己是所谓的正规挂牌公司，不能协暴力催收，不经本人同意爆通讯录，威胁恐吓家人。无视监管，请求有关部门严查拍拍贷")</f>
        <v>拍拍贷仗着自己是所谓的正规挂牌公司，不能协暴力催收，不经本人同意爆通讯录，威胁恐吓家人。无视监管，请求有关部门严查拍拍贷</v>
      </c>
      <c r="C6851" s="2" t="s">
        <v>9</v>
      </c>
      <c r="D6851" s="2" t="s">
        <v>10</v>
      </c>
      <c r="E6851" s="2" t="str">
        <f>HYPERLINK("http://ts.21cn.com/tousu/show/id/1337782","http://ts.21cn.com/tousu/show/id/1337782")</f>
        <v>http://ts.21cn.com/tousu/show/id/1337782</v>
      </c>
      <c r="F6851" s="2" t="s">
        <v>11</v>
      </c>
      <c r="G6851" s="2" t="s">
        <v>30680</v>
      </c>
      <c r="H6851" s="2" t="s">
        <v>30681</v>
      </c>
    </row>
    <row r="6852" spans="1:8" ht="25.05" customHeight="1" x14ac:dyDescent="0.25">
      <c r="A6852" s="2" t="s">
        <v>8</v>
      </c>
      <c r="B6852" s="2" t="str">
        <f>HYPERLINK("http://ts.21cn.com/tousu/show/id/1337791","安逸花利息太高电话骚扰辱骂")</f>
        <v>安逸花利息太高电话骚扰辱骂</v>
      </c>
      <c r="C6852" s="2" t="s">
        <v>9</v>
      </c>
      <c r="D6852" s="2" t="s">
        <v>10</v>
      </c>
      <c r="E6852" s="2" t="str">
        <f>HYPERLINK("http://ts.21cn.com/tousu/show/id/1337791","http://ts.21cn.com/tousu/show/id/1337791")</f>
        <v>http://ts.21cn.com/tousu/show/id/1337791</v>
      </c>
      <c r="F6852" s="2" t="s">
        <v>11</v>
      </c>
      <c r="G6852" s="2" t="s">
        <v>30678</v>
      </c>
      <c r="H6852" s="2" t="s">
        <v>30679</v>
      </c>
    </row>
    <row r="6853" spans="1:8" ht="25.05" customHeight="1" x14ac:dyDescent="0.25">
      <c r="A6853" s="2" t="s">
        <v>8</v>
      </c>
      <c r="B6853" s="2" t="str">
        <f>HYPERLINK("http://ts.21cn.com/tousu/show/id/1337784","招联金融冒充公检法恐吓我")</f>
        <v>招联金融冒充公检法恐吓我</v>
      </c>
      <c r="C6853" s="2" t="s">
        <v>9</v>
      </c>
      <c r="D6853" s="2" t="s">
        <v>10</v>
      </c>
      <c r="E6853" s="2" t="str">
        <f>HYPERLINK("http://ts.21cn.com/tousu/show/id/1337784","http://ts.21cn.com/tousu/show/id/1337784")</f>
        <v>http://ts.21cn.com/tousu/show/id/1337784</v>
      </c>
      <c r="F6853" s="2" t="s">
        <v>11</v>
      </c>
      <c r="G6853" s="2" t="s">
        <v>30676</v>
      </c>
      <c r="H6853" s="2" t="s">
        <v>30677</v>
      </c>
    </row>
    <row r="6854" spans="1:8" ht="25.05" customHeight="1" x14ac:dyDescent="0.25">
      <c r="A6854" s="2" t="s">
        <v>8</v>
      </c>
      <c r="B6854" s="2" t="str">
        <f>HYPERLINK("http://ts.21cn.com/tousu/show/id/1337783","被威胁")</f>
        <v>被威胁</v>
      </c>
      <c r="C6854" s="2" t="s">
        <v>9</v>
      </c>
      <c r="D6854" s="2" t="s">
        <v>10</v>
      </c>
      <c r="E6854" s="2" t="str">
        <f>HYPERLINK("http://ts.21cn.com/tousu/show/id/1337783","http://ts.21cn.com/tousu/show/id/1337783")</f>
        <v>http://ts.21cn.com/tousu/show/id/1337783</v>
      </c>
      <c r="F6854" s="2" t="s">
        <v>11</v>
      </c>
      <c r="G6854" s="2" t="s">
        <v>30674</v>
      </c>
      <c r="H6854" s="2" t="s">
        <v>30675</v>
      </c>
    </row>
    <row r="6855" spans="1:8" ht="25.05" customHeight="1" x14ac:dyDescent="0.25">
      <c r="A6855" s="2" t="s">
        <v>8</v>
      </c>
      <c r="B6855" s="2" t="str">
        <f>HYPERLINK("http://ts.21cn.com/tousu/show/id/1337785","高利贷")</f>
        <v>高利贷</v>
      </c>
      <c r="C6855" s="2" t="s">
        <v>9</v>
      </c>
      <c r="D6855" s="2" t="s">
        <v>10</v>
      </c>
      <c r="E6855" s="2" t="str">
        <f>HYPERLINK("http://ts.21cn.com/tousu/show/id/1337785","http://ts.21cn.com/tousu/show/id/1337785")</f>
        <v>http://ts.21cn.com/tousu/show/id/1337785</v>
      </c>
      <c r="F6855" s="2" t="s">
        <v>11</v>
      </c>
      <c r="G6855" s="2" t="s">
        <v>30672</v>
      </c>
      <c r="H6855" s="2" t="s">
        <v>30673</v>
      </c>
    </row>
    <row r="6856" spans="1:8" ht="25.05" customHeight="1" x14ac:dyDescent="0.25">
      <c r="A6856" s="2" t="s">
        <v>8</v>
      </c>
      <c r="B6856" s="2" t="str">
        <f>HYPERLINK("http://ts.21cn.com/tousu/show/id/1337786","马上金融高利贷")</f>
        <v>马上金融高利贷</v>
      </c>
      <c r="C6856" s="2" t="s">
        <v>9</v>
      </c>
      <c r="D6856" s="2" t="s">
        <v>10</v>
      </c>
      <c r="E6856" s="2" t="str">
        <f>HYPERLINK("http://ts.21cn.com/tousu/show/id/1337786","http://ts.21cn.com/tousu/show/id/1337786")</f>
        <v>http://ts.21cn.com/tousu/show/id/1337786</v>
      </c>
      <c r="F6856" s="2" t="s">
        <v>11</v>
      </c>
      <c r="G6856" s="2" t="s">
        <v>30670</v>
      </c>
      <c r="H6856" s="2" t="s">
        <v>30671</v>
      </c>
    </row>
    <row r="6857" spans="1:8" ht="25.05" customHeight="1" x14ac:dyDescent="0.25">
      <c r="A6857" s="2" t="s">
        <v>8</v>
      </c>
      <c r="B6857" s="2" t="str">
        <f>HYPERLINK("http://ts.21cn.com/tousu/show/id/1337787","暴力催收威胁恐吓")</f>
        <v>暴力催收威胁恐吓</v>
      </c>
      <c r="C6857" s="2" t="s">
        <v>9</v>
      </c>
      <c r="D6857" s="2" t="s">
        <v>10</v>
      </c>
      <c r="E6857" s="2" t="str">
        <f>HYPERLINK("http://ts.21cn.com/tousu/show/id/1337787","http://ts.21cn.com/tousu/show/id/1337787")</f>
        <v>http://ts.21cn.com/tousu/show/id/1337787</v>
      </c>
      <c r="F6857" s="2" t="s">
        <v>11</v>
      </c>
      <c r="G6857" s="2" t="s">
        <v>30668</v>
      </c>
      <c r="H6857" s="2" t="s">
        <v>30669</v>
      </c>
    </row>
    <row r="6858" spans="1:8" ht="25.05" customHeight="1" x14ac:dyDescent="0.25">
      <c r="A6858" s="2" t="s">
        <v>8</v>
      </c>
      <c r="B6858" s="2" t="str">
        <f>HYPERLINK("http://ts.21cn.com/tousu/show/id/1337788","浦发")</f>
        <v>浦发</v>
      </c>
      <c r="C6858" s="2" t="s">
        <v>34</v>
      </c>
      <c r="D6858" s="2" t="s">
        <v>10</v>
      </c>
      <c r="E6858" s="2" t="str">
        <f>HYPERLINK("http://ts.21cn.com/tousu/show/id/1337788","http://ts.21cn.com/tousu/show/id/1337788")</f>
        <v>http://ts.21cn.com/tousu/show/id/1337788</v>
      </c>
      <c r="F6858" s="2" t="s">
        <v>11</v>
      </c>
      <c r="G6858" s="2" t="s">
        <v>30666</v>
      </c>
      <c r="H6858" s="2" t="s">
        <v>30667</v>
      </c>
    </row>
    <row r="6859" spans="1:8" ht="25.05" customHeight="1" x14ac:dyDescent="0.25">
      <c r="A6859" s="2" t="s">
        <v>8</v>
      </c>
      <c r="B6859" s="2" t="str">
        <f>HYPERLINK("http://ts.21cn.com/tousu/show/id/1337792","暴力催收，合同操作，盗取通讯录")</f>
        <v>暴力催收，合同操作，盗取通讯录</v>
      </c>
      <c r="C6859" s="2" t="s">
        <v>9</v>
      </c>
      <c r="D6859" s="2" t="s">
        <v>10</v>
      </c>
      <c r="E6859" s="2" t="str">
        <f>HYPERLINK("http://ts.21cn.com/tousu/show/id/1337792","http://ts.21cn.com/tousu/show/id/1337792")</f>
        <v>http://ts.21cn.com/tousu/show/id/1337792</v>
      </c>
      <c r="F6859" s="2" t="s">
        <v>11</v>
      </c>
      <c r="G6859" s="2" t="s">
        <v>30664</v>
      </c>
      <c r="H6859" s="2" t="s">
        <v>30665</v>
      </c>
    </row>
    <row r="6860" spans="1:8" ht="25.05" customHeight="1" x14ac:dyDescent="0.25">
      <c r="A6860" s="2" t="s">
        <v>8</v>
      </c>
      <c r="B6860" s="2" t="str">
        <f>HYPERLINK("http://ts.21cn.com/tousu/show/id/1337796","无关的平台恶意催收")</f>
        <v>无关的平台恶意催收</v>
      </c>
      <c r="C6860" s="2" t="s">
        <v>9</v>
      </c>
      <c r="D6860" s="2" t="s">
        <v>10</v>
      </c>
      <c r="E6860" s="2" t="str">
        <f>HYPERLINK("http://ts.21cn.com/tousu/show/id/1337796","http://ts.21cn.com/tousu/show/id/1337796")</f>
        <v>http://ts.21cn.com/tousu/show/id/1337796</v>
      </c>
      <c r="F6860" s="2" t="s">
        <v>11</v>
      </c>
      <c r="G6860" s="2" t="s">
        <v>30662</v>
      </c>
      <c r="H6860" s="2" t="s">
        <v>30663</v>
      </c>
    </row>
    <row r="6861" spans="1:8" ht="25.05" customHeight="1" x14ac:dyDescent="0.25">
      <c r="A6861" s="2" t="s">
        <v>8</v>
      </c>
      <c r="B6861" s="2" t="str">
        <f>HYPERLINK("http://ts.21cn.com/tousu/show/id/1337794","贷上钱拨打通讯录好友")</f>
        <v>贷上钱拨打通讯录好友</v>
      </c>
      <c r="C6861" s="2" t="s">
        <v>34</v>
      </c>
      <c r="D6861" s="2" t="s">
        <v>10</v>
      </c>
      <c r="E6861" s="2" t="str">
        <f>HYPERLINK("http://ts.21cn.com/tousu/show/id/1337794","http://ts.21cn.com/tousu/show/id/1337794")</f>
        <v>http://ts.21cn.com/tousu/show/id/1337794</v>
      </c>
      <c r="F6861" s="2" t="s">
        <v>11</v>
      </c>
      <c r="G6861" s="2" t="s">
        <v>30660</v>
      </c>
      <c r="H6861" s="2" t="s">
        <v>30661</v>
      </c>
    </row>
    <row r="6862" spans="1:8" ht="25.05" customHeight="1" x14ac:dyDescent="0.25">
      <c r="A6862" s="2" t="s">
        <v>8</v>
      </c>
      <c r="B6862" s="2" t="str">
        <f>HYPERLINK("http://ts.21cn.com/tousu/show/id/1337795","合同欺诈，私自扣款")</f>
        <v>合同欺诈，私自扣款</v>
      </c>
      <c r="C6862" s="2" t="s">
        <v>9</v>
      </c>
      <c r="D6862" s="2" t="s">
        <v>10</v>
      </c>
      <c r="E6862" s="2" t="str">
        <f>HYPERLINK("http://ts.21cn.com/tousu/show/id/1337795","http://ts.21cn.com/tousu/show/id/1337795")</f>
        <v>http://ts.21cn.com/tousu/show/id/1337795</v>
      </c>
      <c r="F6862" s="2" t="s">
        <v>11</v>
      </c>
      <c r="G6862" s="2" t="s">
        <v>30658</v>
      </c>
      <c r="H6862" s="2" t="s">
        <v>30659</v>
      </c>
    </row>
    <row r="6863" spans="1:8" ht="25.05" customHeight="1" x14ac:dyDescent="0.25">
      <c r="A6863" s="2" t="s">
        <v>8</v>
      </c>
      <c r="B6863" s="2" t="str">
        <f>HYPERLINK("http://ts.21cn.com/tousu/show/id/1337797","投诉携程客服服务一直没有解决问题")</f>
        <v>投诉携程客服服务一直没有解决问题</v>
      </c>
      <c r="C6863" s="2" t="s">
        <v>9</v>
      </c>
      <c r="D6863" s="2" t="s">
        <v>10</v>
      </c>
      <c r="E6863" s="2" t="str">
        <f>HYPERLINK("http://ts.21cn.com/tousu/show/id/1337797","http://ts.21cn.com/tousu/show/id/1337797")</f>
        <v>http://ts.21cn.com/tousu/show/id/1337797</v>
      </c>
      <c r="F6863" s="2" t="s">
        <v>11</v>
      </c>
      <c r="G6863" s="2" t="s">
        <v>30656</v>
      </c>
      <c r="H6863" s="2" t="s">
        <v>30657</v>
      </c>
    </row>
    <row r="6864" spans="1:8" ht="25.05" customHeight="1" x14ac:dyDescent="0.25">
      <c r="A6864" s="2" t="s">
        <v>8</v>
      </c>
      <c r="B6864" s="2" t="str">
        <f>HYPERLINK("http://ts.21cn.com/tousu/show/id/1337798","停止不当催收")</f>
        <v>停止不当催收</v>
      </c>
      <c r="C6864" s="2" t="s">
        <v>34</v>
      </c>
      <c r="D6864" s="2" t="s">
        <v>10</v>
      </c>
      <c r="E6864" s="2" t="str">
        <f>HYPERLINK("http://ts.21cn.com/tousu/show/id/1337798","http://ts.21cn.com/tousu/show/id/1337798")</f>
        <v>http://ts.21cn.com/tousu/show/id/1337798</v>
      </c>
      <c r="F6864" s="2" t="s">
        <v>11</v>
      </c>
      <c r="G6864" s="2" t="s">
        <v>30654</v>
      </c>
      <c r="H6864" s="2" t="s">
        <v>30655</v>
      </c>
    </row>
    <row r="6865" spans="1:8" ht="25.05" customHeight="1" x14ac:dyDescent="0.25">
      <c r="A6865" s="2" t="s">
        <v>8</v>
      </c>
      <c r="B6865" s="2" t="str">
        <f>HYPERLINK("http://ts.21cn.com/tousu/show/id/1337799","威胁，暴力催收")</f>
        <v>威胁，暴力催收</v>
      </c>
      <c r="C6865" s="2" t="s">
        <v>9</v>
      </c>
      <c r="D6865" s="2" t="s">
        <v>10</v>
      </c>
      <c r="E6865" s="2" t="str">
        <f>HYPERLINK("http://ts.21cn.com/tousu/show/id/1337799","http://ts.21cn.com/tousu/show/id/1337799")</f>
        <v>http://ts.21cn.com/tousu/show/id/1337799</v>
      </c>
      <c r="F6865" s="2" t="s">
        <v>11</v>
      </c>
      <c r="G6865" s="2" t="s">
        <v>30652</v>
      </c>
      <c r="H6865" s="2" t="s">
        <v>30653</v>
      </c>
    </row>
    <row r="6866" spans="1:8" ht="25.05" customHeight="1" x14ac:dyDescent="0.25">
      <c r="A6866" s="2" t="s">
        <v>8</v>
      </c>
      <c r="B6866" s="2" t="str">
        <f>HYPERLINK("http://ts.21cn.com/tousu/show/id/1337800","上海拍拍贷逾期费用高")</f>
        <v>上海拍拍贷逾期费用高</v>
      </c>
      <c r="C6866" s="2" t="s">
        <v>9</v>
      </c>
      <c r="D6866" s="2" t="s">
        <v>10</v>
      </c>
      <c r="E6866" s="2" t="str">
        <f>HYPERLINK("http://ts.21cn.com/tousu/show/id/1337800","http://ts.21cn.com/tousu/show/id/1337800")</f>
        <v>http://ts.21cn.com/tousu/show/id/1337800</v>
      </c>
      <c r="F6866" s="2" t="s">
        <v>11</v>
      </c>
      <c r="G6866" s="2" t="s">
        <v>30650</v>
      </c>
      <c r="H6866" s="2" t="s">
        <v>30651</v>
      </c>
    </row>
    <row r="6867" spans="1:8" ht="25.05" customHeight="1" x14ac:dyDescent="0.25">
      <c r="A6867" s="2" t="s">
        <v>8</v>
      </c>
      <c r="B6867" s="2" t="str">
        <f>HYPERLINK("http://ts.21cn.com/tousu/show/id/1337801","特约中归无故扣款")</f>
        <v>特约中归无故扣款</v>
      </c>
      <c r="C6867" s="2" t="s">
        <v>9</v>
      </c>
      <c r="D6867" s="2" t="s">
        <v>10</v>
      </c>
      <c r="E6867" s="2" t="str">
        <f>HYPERLINK("http://ts.21cn.com/tousu/show/id/1337801","http://ts.21cn.com/tousu/show/id/1337801")</f>
        <v>http://ts.21cn.com/tousu/show/id/1337801</v>
      </c>
      <c r="F6867" s="2" t="s">
        <v>11</v>
      </c>
      <c r="G6867" s="2" t="s">
        <v>30648</v>
      </c>
      <c r="H6867" s="2" t="s">
        <v>30649</v>
      </c>
    </row>
    <row r="6868" spans="1:8" ht="25.05" customHeight="1" x14ac:dyDescent="0.25">
      <c r="A6868" s="2" t="s">
        <v>8</v>
      </c>
      <c r="B6868" s="2" t="str">
        <f>HYPERLINK("http://ts.21cn.com/tousu/show/id/1337789","虚假误导消费者")</f>
        <v>虚假误导消费者</v>
      </c>
      <c r="C6868" s="2" t="s">
        <v>9</v>
      </c>
      <c r="D6868" s="2" t="s">
        <v>10</v>
      </c>
      <c r="E6868" s="2" t="str">
        <f>HYPERLINK("http://ts.21cn.com/tousu/show/id/1337789","http://ts.21cn.com/tousu/show/id/1337789")</f>
        <v>http://ts.21cn.com/tousu/show/id/1337789</v>
      </c>
      <c r="F6868" s="2" t="s">
        <v>11</v>
      </c>
      <c r="G6868" s="2" t="s">
        <v>30646</v>
      </c>
      <c r="H6868" s="2" t="s">
        <v>30647</v>
      </c>
    </row>
    <row r="6869" spans="1:8" ht="25.05" customHeight="1" x14ac:dyDescent="0.25">
      <c r="A6869" s="2" t="s">
        <v>8</v>
      </c>
      <c r="B6869" s="2" t="str">
        <f>HYPERLINK("http://ts.21cn.com/tousu/show/id/1337802","百度有钱花暴力催收")</f>
        <v>百度有钱花暴力催收</v>
      </c>
      <c r="C6869" s="2" t="s">
        <v>9</v>
      </c>
      <c r="D6869" s="2" t="s">
        <v>10</v>
      </c>
      <c r="E6869" s="2" t="str">
        <f>HYPERLINK("http://ts.21cn.com/tousu/show/id/1337802","http://ts.21cn.com/tousu/show/id/1337802")</f>
        <v>http://ts.21cn.com/tousu/show/id/1337802</v>
      </c>
      <c r="F6869" s="2" t="s">
        <v>11</v>
      </c>
      <c r="G6869" s="2" t="s">
        <v>30644</v>
      </c>
      <c r="H6869" s="2" t="s">
        <v>30645</v>
      </c>
    </row>
    <row r="6870" spans="1:8" ht="25.05" customHeight="1" x14ac:dyDescent="0.25">
      <c r="A6870" s="2" t="s">
        <v>8</v>
      </c>
      <c r="B6870" s="2" t="str">
        <f>HYPERLINK("http://ts.21cn.com/tousu/show/id/1337803","有用分期利息太高，借7000元还10000元，并且暴力催收，影响我和我家人朋友生活")</f>
        <v>有用分期利息太高，借7000元还10000元，并且暴力催收，影响我和我家人朋友生活</v>
      </c>
      <c r="C6870" s="2" t="s">
        <v>9</v>
      </c>
      <c r="D6870" s="2" t="s">
        <v>10</v>
      </c>
      <c r="E6870" s="2" t="str">
        <f>HYPERLINK("http://ts.21cn.com/tousu/show/id/1337803","http://ts.21cn.com/tousu/show/id/1337803")</f>
        <v>http://ts.21cn.com/tousu/show/id/1337803</v>
      </c>
      <c r="F6870" s="2" t="s">
        <v>11</v>
      </c>
      <c r="G6870" s="2" t="s">
        <v>30642</v>
      </c>
      <c r="H6870" s="2" t="s">
        <v>30643</v>
      </c>
    </row>
    <row r="6871" spans="1:8" ht="25.05" customHeight="1" x14ac:dyDescent="0.25">
      <c r="A6871" s="2" t="s">
        <v>8</v>
      </c>
      <c r="B6871" s="2" t="str">
        <f>HYPERLINK("http://ts.21cn.com/tousu/show/id/1337804","西部明珠会员卡虚假宣传诱导消费")</f>
        <v>西部明珠会员卡虚假宣传诱导消费</v>
      </c>
      <c r="C6871" s="2" t="s">
        <v>9</v>
      </c>
      <c r="D6871" s="2" t="s">
        <v>10</v>
      </c>
      <c r="E6871" s="2" t="str">
        <f>HYPERLINK("http://ts.21cn.com/tousu/show/id/1337804","http://ts.21cn.com/tousu/show/id/1337804")</f>
        <v>http://ts.21cn.com/tousu/show/id/1337804</v>
      </c>
      <c r="F6871" s="2" t="s">
        <v>11</v>
      </c>
      <c r="G6871" s="2" t="s">
        <v>30640</v>
      </c>
      <c r="H6871" s="2" t="s">
        <v>30641</v>
      </c>
    </row>
    <row r="6872" spans="1:8" ht="25.05" customHeight="1" x14ac:dyDescent="0.25">
      <c r="A6872" s="2" t="s">
        <v>8</v>
      </c>
      <c r="B6872" s="2" t="str">
        <f>HYPERLINK("http://ts.21cn.com/tousu/show/id/1337805","月光侠分期误导借贷高额砍头息拒不协商")</f>
        <v>月光侠分期误导借贷高额砍头息拒不协商</v>
      </c>
      <c r="C6872" s="2" t="s">
        <v>9</v>
      </c>
      <c r="D6872" s="2" t="s">
        <v>10</v>
      </c>
      <c r="E6872" s="2" t="str">
        <f>HYPERLINK("http://ts.21cn.com/tousu/show/id/1337805","http://ts.21cn.com/tousu/show/id/1337805")</f>
        <v>http://ts.21cn.com/tousu/show/id/1337805</v>
      </c>
      <c r="F6872" s="2" t="s">
        <v>11</v>
      </c>
      <c r="G6872" s="2" t="s">
        <v>30638</v>
      </c>
      <c r="H6872" s="2" t="s">
        <v>30639</v>
      </c>
    </row>
    <row r="6873" spans="1:8" ht="25.05" customHeight="1" x14ac:dyDescent="0.25">
      <c r="A6873" s="2" t="s">
        <v>8</v>
      </c>
      <c r="B6873" s="2" t="str">
        <f>HYPERLINK("http://ts.21cn.com/tousu/show/id/1337806","及贷涉及暴力催收跟p图")</f>
        <v>及贷涉及暴力催收跟p图</v>
      </c>
      <c r="C6873" s="2" t="s">
        <v>9</v>
      </c>
      <c r="D6873" s="2" t="s">
        <v>10</v>
      </c>
      <c r="E6873" s="2" t="str">
        <f>HYPERLINK("http://ts.21cn.com/tousu/show/id/1337806","http://ts.21cn.com/tousu/show/id/1337806")</f>
        <v>http://ts.21cn.com/tousu/show/id/1337806</v>
      </c>
      <c r="F6873" s="2" t="s">
        <v>11</v>
      </c>
      <c r="G6873" s="2" t="s">
        <v>30636</v>
      </c>
      <c r="H6873" s="2" t="s">
        <v>30637</v>
      </c>
    </row>
    <row r="6874" spans="1:8" ht="25.05" customHeight="1" x14ac:dyDescent="0.25">
      <c r="A6874" s="2" t="s">
        <v>8</v>
      </c>
      <c r="B6874" s="2" t="str">
        <f>HYPERLINK("http://ts.21cn.com/tousu/show/id/1337807","交通银行催收电话轰炸")</f>
        <v>交通银行催收电话轰炸</v>
      </c>
      <c r="C6874" s="2" t="s">
        <v>34</v>
      </c>
      <c r="D6874" s="2" t="s">
        <v>10</v>
      </c>
      <c r="E6874" s="2" t="str">
        <f>HYPERLINK("http://ts.21cn.com/tousu/show/id/1337807","http://ts.21cn.com/tousu/show/id/1337807")</f>
        <v>http://ts.21cn.com/tousu/show/id/1337807</v>
      </c>
      <c r="F6874" s="2" t="s">
        <v>11</v>
      </c>
      <c r="G6874" s="2" t="s">
        <v>30634</v>
      </c>
      <c r="H6874" s="2" t="s">
        <v>30635</v>
      </c>
    </row>
    <row r="6875" spans="1:8" ht="25.05" customHeight="1" x14ac:dyDescent="0.25">
      <c r="A6875" s="2" t="s">
        <v>8</v>
      </c>
      <c r="B6875" s="2" t="str">
        <f>HYPERLINK("http://ts.21cn.com/tousu/show/id/1337809","旺卡猫恶意扣款")</f>
        <v>旺卡猫恶意扣款</v>
      </c>
      <c r="C6875" s="2" t="s">
        <v>9</v>
      </c>
      <c r="D6875" s="2" t="s">
        <v>10</v>
      </c>
      <c r="E6875" s="2" t="str">
        <f>HYPERLINK("http://ts.21cn.com/tousu/show/id/1337809","http://ts.21cn.com/tousu/show/id/1337809")</f>
        <v>http://ts.21cn.com/tousu/show/id/1337809</v>
      </c>
      <c r="F6875" s="2" t="s">
        <v>11</v>
      </c>
      <c r="G6875" s="2" t="s">
        <v>30632</v>
      </c>
      <c r="H6875" s="2" t="s">
        <v>30633</v>
      </c>
    </row>
    <row r="6876" spans="1:8" ht="25.05" customHeight="1" x14ac:dyDescent="0.25">
      <c r="A6876" s="2" t="s">
        <v>8</v>
      </c>
      <c r="B6876" s="2" t="str">
        <f>HYPERLINK("http://ts.21cn.com/tousu/show/id/1337808","高利贷逼死人！！！")</f>
        <v>高利贷逼死人！！！</v>
      </c>
      <c r="C6876" s="2" t="s">
        <v>9</v>
      </c>
      <c r="D6876" s="2" t="s">
        <v>10</v>
      </c>
      <c r="E6876" s="2" t="str">
        <f>HYPERLINK("http://ts.21cn.com/tousu/show/id/1337808","http://ts.21cn.com/tousu/show/id/1337808")</f>
        <v>http://ts.21cn.com/tousu/show/id/1337808</v>
      </c>
      <c r="F6876" s="2" t="s">
        <v>11</v>
      </c>
      <c r="G6876" s="2" t="s">
        <v>30629</v>
      </c>
      <c r="H6876" s="2" t="s">
        <v>30630</v>
      </c>
    </row>
    <row r="6877" spans="1:8" ht="25.05" customHeight="1" x14ac:dyDescent="0.25">
      <c r="A6877" s="2" t="s">
        <v>8</v>
      </c>
      <c r="B6877" s="2" t="str">
        <f>HYPERLINK("http://ts.21cn.com/tousu/show/id/1337810","钱站巨额利息高达100%，遭受恐吓")</f>
        <v>钱站巨额利息高达100%，遭受恐吓</v>
      </c>
      <c r="C6877" s="2" t="s">
        <v>9</v>
      </c>
      <c r="D6877" s="2" t="s">
        <v>10</v>
      </c>
      <c r="E6877" s="2" t="str">
        <f>HYPERLINK("http://ts.21cn.com/tousu/show/id/1337810","http://ts.21cn.com/tousu/show/id/1337810")</f>
        <v>http://ts.21cn.com/tousu/show/id/1337810</v>
      </c>
      <c r="F6877" s="2" t="s">
        <v>11</v>
      </c>
      <c r="G6877" s="2" t="s">
        <v>30629</v>
      </c>
      <c r="H6877" s="2" t="s">
        <v>30631</v>
      </c>
    </row>
    <row r="6878" spans="1:8" ht="25.05" customHeight="1" x14ac:dyDescent="0.25">
      <c r="A6878" s="2" t="s">
        <v>8</v>
      </c>
      <c r="B6878" s="2" t="str">
        <f>HYPERLINK("http://ts.21cn.com/tousu/show/id/1337811","你我贷催收威胁，暴力催收。")</f>
        <v>你我贷催收威胁，暴力催收。</v>
      </c>
      <c r="C6878" s="2" t="s">
        <v>9</v>
      </c>
      <c r="D6878" s="2" t="s">
        <v>10</v>
      </c>
      <c r="E6878" s="2" t="str">
        <f>HYPERLINK("http://ts.21cn.com/tousu/show/id/1337811","http://ts.21cn.com/tousu/show/id/1337811")</f>
        <v>http://ts.21cn.com/tousu/show/id/1337811</v>
      </c>
      <c r="F6878" s="2" t="s">
        <v>11</v>
      </c>
      <c r="G6878" s="2" t="s">
        <v>30627</v>
      </c>
      <c r="H6878" s="2" t="s">
        <v>30628</v>
      </c>
    </row>
    <row r="6879" spans="1:8" ht="25.05" customHeight="1" x14ac:dyDescent="0.25">
      <c r="A6879" s="2" t="s">
        <v>8</v>
      </c>
      <c r="B6879" s="2" t="str">
        <f>HYPERLINK("http://ts.21cn.com/tousu/show/id/1337814","借款捆绑消费退还")</f>
        <v>借款捆绑消费退还</v>
      </c>
      <c r="C6879" s="2" t="s">
        <v>9</v>
      </c>
      <c r="D6879" s="2" t="s">
        <v>10</v>
      </c>
      <c r="E6879" s="2" t="str">
        <f>HYPERLINK("http://ts.21cn.com/tousu/show/id/1337814","http://ts.21cn.com/tousu/show/id/1337814")</f>
        <v>http://ts.21cn.com/tousu/show/id/1337814</v>
      </c>
      <c r="F6879" s="2" t="s">
        <v>11</v>
      </c>
      <c r="G6879" s="2" t="s">
        <v>30625</v>
      </c>
      <c r="H6879" s="2" t="s">
        <v>30626</v>
      </c>
    </row>
    <row r="6880" spans="1:8" ht="25.05" customHeight="1" x14ac:dyDescent="0.25">
      <c r="A6880" s="2" t="s">
        <v>8</v>
      </c>
      <c r="B6880" s="2" t="str">
        <f>HYPERLINK("http://ts.21cn.com/tousu/show/id/1337813","丢件赔偿")</f>
        <v>丢件赔偿</v>
      </c>
      <c r="C6880" s="2" t="s">
        <v>9</v>
      </c>
      <c r="D6880" s="2" t="s">
        <v>10</v>
      </c>
      <c r="E6880" s="2" t="str">
        <f>HYPERLINK("http://ts.21cn.com/tousu/show/id/1337813","http://ts.21cn.com/tousu/show/id/1337813")</f>
        <v>http://ts.21cn.com/tousu/show/id/1337813</v>
      </c>
      <c r="F6880" s="2" t="s">
        <v>11</v>
      </c>
      <c r="G6880" s="2" t="s">
        <v>30623</v>
      </c>
      <c r="H6880" s="2" t="s">
        <v>30624</v>
      </c>
    </row>
    <row r="6881" spans="1:8" ht="25.05" customHeight="1" x14ac:dyDescent="0.25">
      <c r="A6881" s="2" t="s">
        <v>8</v>
      </c>
      <c r="B6881" s="2" t="str">
        <f>HYPERLINK("http://ts.21cn.com/tousu/show/id/1337824","壹心分期")</f>
        <v>壹心分期</v>
      </c>
      <c r="C6881" s="2" t="s">
        <v>9</v>
      </c>
      <c r="D6881" s="2" t="s">
        <v>10</v>
      </c>
      <c r="E6881" s="2" t="str">
        <f>HYPERLINK("http://ts.21cn.com/tousu/show/id/1337824","http://ts.21cn.com/tousu/show/id/1337824")</f>
        <v>http://ts.21cn.com/tousu/show/id/1337824</v>
      </c>
      <c r="F6881" s="2" t="s">
        <v>11</v>
      </c>
      <c r="G6881" s="2" t="s">
        <v>30620</v>
      </c>
      <c r="H6881" s="2" t="s">
        <v>30621</v>
      </c>
    </row>
    <row r="6882" spans="1:8" ht="25.05" customHeight="1" x14ac:dyDescent="0.25">
      <c r="A6882" s="2" t="s">
        <v>8</v>
      </c>
      <c r="B6882" s="2" t="str">
        <f>HYPERLINK("http://ts.21cn.com/tousu/show/id/1337825","蛋壳公寓不合理收取违约金")</f>
        <v>蛋壳公寓不合理收取违约金</v>
      </c>
      <c r="C6882" s="2" t="s">
        <v>9</v>
      </c>
      <c r="D6882" s="2" t="s">
        <v>10</v>
      </c>
      <c r="E6882" s="2" t="str">
        <f>HYPERLINK("http://ts.21cn.com/tousu/show/id/1337825","http://ts.21cn.com/tousu/show/id/1337825")</f>
        <v>http://ts.21cn.com/tousu/show/id/1337825</v>
      </c>
      <c r="F6882" s="2" t="s">
        <v>11</v>
      </c>
      <c r="G6882" s="2" t="s">
        <v>30620</v>
      </c>
      <c r="H6882" s="2" t="s">
        <v>30622</v>
      </c>
    </row>
    <row r="6883" spans="1:8" ht="25.05" customHeight="1" x14ac:dyDescent="0.25">
      <c r="A6883" s="2" t="s">
        <v>8</v>
      </c>
      <c r="B6883" s="2" t="str">
        <f>HYPERLINK("http://ts.21cn.com/tousu/show/id/1337815","希望政府机关严惩高利贷套路贷，把钱还我")</f>
        <v>希望政府机关严惩高利贷套路贷，把钱还我</v>
      </c>
      <c r="C6883" s="2" t="s">
        <v>9</v>
      </c>
      <c r="D6883" s="2" t="s">
        <v>10</v>
      </c>
      <c r="E6883" s="2" t="str">
        <f>HYPERLINK("http://ts.21cn.com/tousu/show/id/1337815","http://ts.21cn.com/tousu/show/id/1337815")</f>
        <v>http://ts.21cn.com/tousu/show/id/1337815</v>
      </c>
      <c r="F6883" s="2" t="s">
        <v>11</v>
      </c>
      <c r="G6883" s="2" t="s">
        <v>30618</v>
      </c>
      <c r="H6883" s="2" t="s">
        <v>30619</v>
      </c>
    </row>
    <row r="6884" spans="1:8" ht="25.05" customHeight="1" x14ac:dyDescent="0.25">
      <c r="A6884" s="2" t="s">
        <v>8</v>
      </c>
      <c r="B6884" s="2" t="str">
        <f>HYPERLINK("http://ts.21cn.com/tousu/show/id/1337816","想有钱到期当打电话威胁p图爆通讯录这不是黑社吗")</f>
        <v>想有钱到期当打电话威胁p图爆通讯录这不是黑社吗</v>
      </c>
      <c r="C6884" s="2" t="s">
        <v>9</v>
      </c>
      <c r="D6884" s="2" t="s">
        <v>10</v>
      </c>
      <c r="E6884" s="2" t="str">
        <f>HYPERLINK("http://ts.21cn.com/tousu/show/id/1337816","http://ts.21cn.com/tousu/show/id/1337816")</f>
        <v>http://ts.21cn.com/tousu/show/id/1337816</v>
      </c>
      <c r="F6884" s="2" t="s">
        <v>11</v>
      </c>
      <c r="G6884" s="2" t="s">
        <v>30616</v>
      </c>
      <c r="H6884" s="2" t="s">
        <v>30617</v>
      </c>
    </row>
    <row r="6885" spans="1:8" ht="25.05" customHeight="1" x14ac:dyDescent="0.25">
      <c r="A6885" s="2" t="s">
        <v>8</v>
      </c>
      <c r="B6885" s="2" t="str">
        <f>HYPERLINK("http://ts.21cn.com/tousu/show/id/1337817","MAKA公司未经过同意私自扣款328元")</f>
        <v>MAKA公司未经过同意私自扣款328元</v>
      </c>
      <c r="C6885" s="2" t="s">
        <v>9</v>
      </c>
      <c r="D6885" s="2" t="s">
        <v>10</v>
      </c>
      <c r="E6885" s="2" t="str">
        <f>HYPERLINK("http://ts.21cn.com/tousu/show/id/1337817","http://ts.21cn.com/tousu/show/id/1337817")</f>
        <v>http://ts.21cn.com/tousu/show/id/1337817</v>
      </c>
      <c r="F6885" s="2" t="s">
        <v>11</v>
      </c>
      <c r="G6885" s="2" t="s">
        <v>30614</v>
      </c>
      <c r="H6885" s="2" t="s">
        <v>30615</v>
      </c>
    </row>
    <row r="6886" spans="1:8" ht="25.05" customHeight="1" x14ac:dyDescent="0.25">
      <c r="A6886" s="2" t="s">
        <v>8</v>
      </c>
      <c r="B6886" s="2" t="str">
        <f>HYPERLINK("http://ts.21cn.com/tousu/show/id/1337818","爆我通讯录")</f>
        <v>爆我通讯录</v>
      </c>
      <c r="C6886" s="2" t="s">
        <v>9</v>
      </c>
      <c r="D6886" s="2" t="s">
        <v>10</v>
      </c>
      <c r="E6886" s="2" t="str">
        <f>HYPERLINK("http://ts.21cn.com/tousu/show/id/1337818","http://ts.21cn.com/tousu/show/id/1337818")</f>
        <v>http://ts.21cn.com/tousu/show/id/1337818</v>
      </c>
      <c r="F6886" s="2" t="s">
        <v>11</v>
      </c>
      <c r="G6886" s="2" t="s">
        <v>30612</v>
      </c>
      <c r="H6886" s="2" t="s">
        <v>30613</v>
      </c>
    </row>
    <row r="6887" spans="1:8" ht="25.05" customHeight="1" x14ac:dyDescent="0.25">
      <c r="A6887" s="2" t="s">
        <v>8</v>
      </c>
      <c r="B6887" s="2" t="str">
        <f>HYPERLINK("http://ts.21cn.com/tousu/show/id/1337819","伪劣产品")</f>
        <v>伪劣产品</v>
      </c>
      <c r="C6887" s="2" t="s">
        <v>9</v>
      </c>
      <c r="D6887" s="2" t="s">
        <v>10</v>
      </c>
      <c r="E6887" s="2" t="str">
        <f>HYPERLINK("http://ts.21cn.com/tousu/show/id/1337819","http://ts.21cn.com/tousu/show/id/1337819")</f>
        <v>http://ts.21cn.com/tousu/show/id/1337819</v>
      </c>
      <c r="F6887" s="2" t="s">
        <v>11</v>
      </c>
      <c r="G6887" s="2" t="s">
        <v>30610</v>
      </c>
      <c r="H6887" s="2" t="s">
        <v>30611</v>
      </c>
    </row>
    <row r="6888" spans="1:8" ht="25.05" customHeight="1" x14ac:dyDescent="0.25">
      <c r="A6888" s="2" t="s">
        <v>8</v>
      </c>
      <c r="B6888" s="2" t="str">
        <f>HYPERLINK("http://ts.21cn.com/tousu/show/id/1337820","猫眼电影拉新活动不给提现")</f>
        <v>猫眼电影拉新活动不给提现</v>
      </c>
      <c r="C6888" s="2" t="s">
        <v>34</v>
      </c>
      <c r="D6888" s="2" t="s">
        <v>10</v>
      </c>
      <c r="E6888" s="2" t="str">
        <f>HYPERLINK("http://ts.21cn.com/tousu/show/id/1337820","http://ts.21cn.com/tousu/show/id/1337820")</f>
        <v>http://ts.21cn.com/tousu/show/id/1337820</v>
      </c>
      <c r="F6888" s="2" t="s">
        <v>11</v>
      </c>
      <c r="G6888" s="2" t="s">
        <v>30608</v>
      </c>
      <c r="H6888" s="2" t="s">
        <v>30609</v>
      </c>
    </row>
    <row r="6889" spans="1:8" ht="25.05" customHeight="1" x14ac:dyDescent="0.25">
      <c r="A6889" s="2" t="s">
        <v>8</v>
      </c>
      <c r="B6889" s="2" t="str">
        <f>HYPERLINK("http://ts.21cn.com/tousu/show/id/1337822","天猫超市88会员费未有使用，不与退还")</f>
        <v>天猫超市88会员费未有使用，不与退还</v>
      </c>
      <c r="C6889" s="2" t="s">
        <v>9</v>
      </c>
      <c r="D6889" s="2" t="s">
        <v>10</v>
      </c>
      <c r="E6889" s="2" t="str">
        <f>HYPERLINK("http://ts.21cn.com/tousu/show/id/1337822","http://ts.21cn.com/tousu/show/id/1337822")</f>
        <v>http://ts.21cn.com/tousu/show/id/1337822</v>
      </c>
      <c r="F6889" s="2" t="s">
        <v>11</v>
      </c>
      <c r="G6889" s="2" t="s">
        <v>30606</v>
      </c>
      <c r="H6889" s="2" t="s">
        <v>30607</v>
      </c>
    </row>
    <row r="6890" spans="1:8" ht="25.05" customHeight="1" x14ac:dyDescent="0.25">
      <c r="A6890" s="2" t="s">
        <v>8</v>
      </c>
      <c r="B6890" s="2" t="str">
        <f>HYPERLINK("http://ts.21cn.com/tousu/show/id/1337821","贷上钱以买游戏豆为由收取高额贷款通过费")</f>
        <v>贷上钱以买游戏豆为由收取高额贷款通过费</v>
      </c>
      <c r="C6890" s="2" t="s">
        <v>9</v>
      </c>
      <c r="D6890" s="2" t="s">
        <v>10</v>
      </c>
      <c r="E6890" s="2" t="str">
        <f>HYPERLINK("http://ts.21cn.com/tousu/show/id/1337821","http://ts.21cn.com/tousu/show/id/1337821")</f>
        <v>http://ts.21cn.com/tousu/show/id/1337821</v>
      </c>
      <c r="F6890" s="2" t="s">
        <v>11</v>
      </c>
      <c r="G6890" s="2" t="s">
        <v>30604</v>
      </c>
      <c r="H6890" s="2" t="s">
        <v>30605</v>
      </c>
    </row>
    <row r="6891" spans="1:8" ht="25.05" customHeight="1" x14ac:dyDescent="0.25">
      <c r="A6891" s="2" t="s">
        <v>8</v>
      </c>
      <c r="B6891" s="2" t="str">
        <f>HYPERLINK("http://ts.21cn.com/tousu/show/id/1337826","分期乐坑人")</f>
        <v>分期乐坑人</v>
      </c>
      <c r="C6891" s="2" t="s">
        <v>9</v>
      </c>
      <c r="D6891" s="2" t="s">
        <v>10</v>
      </c>
      <c r="E6891" s="2" t="str">
        <f>HYPERLINK("http://ts.21cn.com/tousu/show/id/1337826","http://ts.21cn.com/tousu/show/id/1337826")</f>
        <v>http://ts.21cn.com/tousu/show/id/1337826</v>
      </c>
      <c r="F6891" s="2" t="s">
        <v>11</v>
      </c>
      <c r="G6891" s="2" t="s">
        <v>30602</v>
      </c>
      <c r="H6891" s="2" t="s">
        <v>30603</v>
      </c>
    </row>
    <row r="6892" spans="1:8" ht="25.05" customHeight="1" x14ac:dyDescent="0.25">
      <c r="A6892" s="2" t="s">
        <v>8</v>
      </c>
      <c r="B6892" s="2" t="str">
        <f>HYPERLINK("http://ts.21cn.com/tousu/show/id/1337827","爆我通信录骚扰我家人朋友无法正常生活")</f>
        <v>爆我通信录骚扰我家人朋友无法正常生活</v>
      </c>
      <c r="C6892" s="2" t="s">
        <v>9</v>
      </c>
      <c r="D6892" s="2" t="s">
        <v>10</v>
      </c>
      <c r="E6892" s="2" t="str">
        <f>HYPERLINK("http://ts.21cn.com/tousu/show/id/1337827","http://ts.21cn.com/tousu/show/id/1337827")</f>
        <v>http://ts.21cn.com/tousu/show/id/1337827</v>
      </c>
      <c r="F6892" s="2" t="s">
        <v>11</v>
      </c>
      <c r="G6892" s="2" t="s">
        <v>30600</v>
      </c>
      <c r="H6892" s="2" t="s">
        <v>30601</v>
      </c>
    </row>
    <row r="6893" spans="1:8" ht="25.05" customHeight="1" x14ac:dyDescent="0.25">
      <c r="A6893" s="2" t="s">
        <v>8</v>
      </c>
      <c r="B6893" s="2" t="str">
        <f>HYPERLINK("http://ts.21cn.com/tousu/show/id/1337828","松紧贷高利贷")</f>
        <v>松紧贷高利贷</v>
      </c>
      <c r="C6893" s="2" t="s">
        <v>9</v>
      </c>
      <c r="D6893" s="2" t="s">
        <v>10</v>
      </c>
      <c r="E6893" s="2" t="str">
        <f>HYPERLINK("http://ts.21cn.com/tousu/show/id/1337828","http://ts.21cn.com/tousu/show/id/1337828")</f>
        <v>http://ts.21cn.com/tousu/show/id/1337828</v>
      </c>
      <c r="F6893" s="2" t="s">
        <v>11</v>
      </c>
      <c r="G6893" s="2" t="s">
        <v>30598</v>
      </c>
      <c r="H6893" s="2" t="s">
        <v>30599</v>
      </c>
    </row>
    <row r="6894" spans="1:8" ht="25.05" customHeight="1" x14ac:dyDescent="0.25">
      <c r="A6894" s="2" t="s">
        <v>8</v>
      </c>
      <c r="B6894" s="2" t="str">
        <f>HYPERLINK("http://ts.21cn.com/tousu/show/id/1337829","当面花不能使用")</f>
        <v>当面花不能使用</v>
      </c>
      <c r="C6894" s="2" t="s">
        <v>9</v>
      </c>
      <c r="D6894" s="2" t="s">
        <v>10</v>
      </c>
      <c r="E6894" s="2" t="str">
        <f>HYPERLINK("http://ts.21cn.com/tousu/show/id/1337829","http://ts.21cn.com/tousu/show/id/1337829")</f>
        <v>http://ts.21cn.com/tousu/show/id/1337829</v>
      </c>
      <c r="F6894" s="2" t="s">
        <v>11</v>
      </c>
      <c r="G6894" s="2" t="s">
        <v>30596</v>
      </c>
      <c r="H6894" s="2" t="s">
        <v>30597</v>
      </c>
    </row>
    <row r="6895" spans="1:8" ht="25.05" customHeight="1" x14ac:dyDescent="0.25">
      <c r="A6895" s="2" t="s">
        <v>8</v>
      </c>
      <c r="B6895" s="2" t="str">
        <f>HYPERLINK("http://ts.21cn.com/tousu/show/id/1337830","贷上钱骚扰")</f>
        <v>贷上钱骚扰</v>
      </c>
      <c r="C6895" s="2" t="s">
        <v>9</v>
      </c>
      <c r="D6895" s="2" t="s">
        <v>10</v>
      </c>
      <c r="E6895" s="2" t="str">
        <f>HYPERLINK("http://ts.21cn.com/tousu/show/id/1337830","http://ts.21cn.com/tousu/show/id/1337830")</f>
        <v>http://ts.21cn.com/tousu/show/id/1337830</v>
      </c>
      <c r="F6895" s="2" t="s">
        <v>11</v>
      </c>
      <c r="G6895" s="2" t="s">
        <v>30594</v>
      </c>
      <c r="H6895" s="2" t="s">
        <v>30595</v>
      </c>
    </row>
    <row r="6896" spans="1:8" ht="25.05" customHeight="1" x14ac:dyDescent="0.25">
      <c r="A6896" s="2" t="s">
        <v>8</v>
      </c>
      <c r="B6896" s="2" t="str">
        <f>HYPERLINK("http://ts.21cn.com/tousu/show/id/1337831","大量用户无法退还立刻出行499元押金")</f>
        <v>大量用户无法退还立刻出行499元押金</v>
      </c>
      <c r="C6896" s="2" t="s">
        <v>9</v>
      </c>
      <c r="D6896" s="2" t="s">
        <v>10</v>
      </c>
      <c r="E6896" s="2" t="str">
        <f>HYPERLINK("http://ts.21cn.com/tousu/show/id/1337831","http://ts.21cn.com/tousu/show/id/1337831")</f>
        <v>http://ts.21cn.com/tousu/show/id/1337831</v>
      </c>
      <c r="F6896" s="2" t="s">
        <v>11</v>
      </c>
      <c r="G6896" s="2" t="s">
        <v>30592</v>
      </c>
      <c r="H6896" s="2" t="s">
        <v>30593</v>
      </c>
    </row>
    <row r="6897" spans="1:8" ht="25.05" customHeight="1" x14ac:dyDescent="0.25">
      <c r="A6897" s="2" t="s">
        <v>8</v>
      </c>
      <c r="B6897" s="2" t="str">
        <f>HYPERLINK("http://ts.21cn.com/tousu/show/id/1337832","套路贷")</f>
        <v>套路贷</v>
      </c>
      <c r="C6897" s="2" t="s">
        <v>9</v>
      </c>
      <c r="D6897" s="2" t="s">
        <v>10</v>
      </c>
      <c r="E6897" s="2" t="str">
        <f>HYPERLINK("http://ts.21cn.com/tousu/show/id/1337832","http://ts.21cn.com/tousu/show/id/1337832")</f>
        <v>http://ts.21cn.com/tousu/show/id/1337832</v>
      </c>
      <c r="F6897" s="2" t="s">
        <v>11</v>
      </c>
      <c r="G6897" s="2" t="s">
        <v>30590</v>
      </c>
      <c r="H6897" s="2" t="s">
        <v>30591</v>
      </c>
    </row>
    <row r="6898" spans="1:8" ht="25.05" customHeight="1" x14ac:dyDescent="0.25">
      <c r="A6898" s="2" t="s">
        <v>8</v>
      </c>
      <c r="B6898" s="2" t="str">
        <f>HYPERLINK("http://ts.21cn.com/tousu/show/id/1337833","滴滴公司不派单给快车司机")</f>
        <v>滴滴公司不派单给快车司机</v>
      </c>
      <c r="C6898" s="2" t="s">
        <v>9</v>
      </c>
      <c r="D6898" s="2" t="s">
        <v>10</v>
      </c>
      <c r="E6898" s="2" t="str">
        <f>HYPERLINK("http://ts.21cn.com/tousu/show/id/1337833","http://ts.21cn.com/tousu/show/id/1337833")</f>
        <v>http://ts.21cn.com/tousu/show/id/1337833</v>
      </c>
      <c r="F6898" s="2" t="s">
        <v>11</v>
      </c>
      <c r="G6898" s="2" t="s">
        <v>30588</v>
      </c>
      <c r="H6898" s="2" t="s">
        <v>30589</v>
      </c>
    </row>
    <row r="6899" spans="1:8" ht="25.05" customHeight="1" x14ac:dyDescent="0.25">
      <c r="A6899" s="2" t="s">
        <v>8</v>
      </c>
      <c r="B6899" s="2" t="str">
        <f>HYPERLINK("http://ts.21cn.com/tousu/show/id/1337834","凡普金科旗下钱站app暴力催收")</f>
        <v>凡普金科旗下钱站app暴力催收</v>
      </c>
      <c r="C6899" s="2" t="s">
        <v>9</v>
      </c>
      <c r="D6899" s="2" t="s">
        <v>10</v>
      </c>
      <c r="E6899" s="2" t="str">
        <f>HYPERLINK("http://ts.21cn.com/tousu/show/id/1337834","http://ts.21cn.com/tousu/show/id/1337834")</f>
        <v>http://ts.21cn.com/tousu/show/id/1337834</v>
      </c>
      <c r="F6899" s="2" t="s">
        <v>11</v>
      </c>
      <c r="G6899" s="2" t="s">
        <v>30586</v>
      </c>
      <c r="H6899" s="2" t="s">
        <v>30587</v>
      </c>
    </row>
    <row r="6900" spans="1:8" ht="25.05" customHeight="1" x14ac:dyDescent="0.25">
      <c r="A6900" s="2" t="s">
        <v>8</v>
      </c>
      <c r="B6900" s="2" t="str">
        <f>HYPERLINK("http://ts.21cn.com/tousu/show/id/1337835","小赢卡贷高利息的强制保险要求其退还保费跟多余利息")</f>
        <v>小赢卡贷高利息的强制保险要求其退还保费跟多余利息</v>
      </c>
      <c r="C6900" s="2" t="s">
        <v>9</v>
      </c>
      <c r="D6900" s="2" t="s">
        <v>10</v>
      </c>
      <c r="E6900" s="2" t="str">
        <f>HYPERLINK("http://ts.21cn.com/tousu/show/id/1337835","http://ts.21cn.com/tousu/show/id/1337835")</f>
        <v>http://ts.21cn.com/tousu/show/id/1337835</v>
      </c>
      <c r="F6900" s="2" t="s">
        <v>11</v>
      </c>
      <c r="G6900" s="2" t="s">
        <v>30584</v>
      </c>
      <c r="H6900" s="2" t="s">
        <v>30585</v>
      </c>
    </row>
    <row r="6901" spans="1:8" ht="25.05" customHeight="1" x14ac:dyDescent="0.25">
      <c r="A6901" s="2" t="s">
        <v>8</v>
      </c>
      <c r="B6901" s="2" t="str">
        <f>HYPERLINK("http://ts.21cn.com/tousu/show/id/1337836","高利贷砍头息")</f>
        <v>高利贷砍头息</v>
      </c>
      <c r="C6901" s="2" t="s">
        <v>9</v>
      </c>
      <c r="D6901" s="2" t="s">
        <v>10</v>
      </c>
      <c r="E6901" s="2" t="str">
        <f>HYPERLINK("http://ts.21cn.com/tousu/show/id/1337836","http://ts.21cn.com/tousu/show/id/1337836")</f>
        <v>http://ts.21cn.com/tousu/show/id/1337836</v>
      </c>
      <c r="F6901" s="2" t="s">
        <v>11</v>
      </c>
      <c r="G6901" s="2" t="s">
        <v>30582</v>
      </c>
      <c r="H6901" s="2" t="s">
        <v>30583</v>
      </c>
    </row>
    <row r="6902" spans="1:8" ht="25.05" customHeight="1" x14ac:dyDescent="0.25">
      <c r="A6902" s="2" t="s">
        <v>8</v>
      </c>
      <c r="B6902" s="2" t="str">
        <f>HYPERLINK("http://ts.21cn.com/tousu/show/id/1337838","捷信公司，恶意催收！高利贷，利息高于国家不知道多少倍")</f>
        <v>捷信公司，恶意催收！高利贷，利息高于国家不知道多少倍</v>
      </c>
      <c r="C6902" s="2" t="s">
        <v>9</v>
      </c>
      <c r="D6902" s="2" t="s">
        <v>10</v>
      </c>
      <c r="E6902" s="2" t="str">
        <f>HYPERLINK("http://ts.21cn.com/tousu/show/id/1337838","http://ts.21cn.com/tousu/show/id/1337838")</f>
        <v>http://ts.21cn.com/tousu/show/id/1337838</v>
      </c>
      <c r="F6902" s="2" t="s">
        <v>11</v>
      </c>
      <c r="G6902" s="2" t="s">
        <v>30580</v>
      </c>
      <c r="H6902" s="2" t="s">
        <v>30581</v>
      </c>
    </row>
    <row r="6903" spans="1:8" ht="25.05" customHeight="1" x14ac:dyDescent="0.25">
      <c r="A6903" s="2" t="s">
        <v>8</v>
      </c>
      <c r="B6903" s="2" t="str">
        <f>HYPERLINK("http://ts.21cn.com/tousu/show/id/1337839","唯品会刚买的包包就降价20元")</f>
        <v>唯品会刚买的包包就降价20元</v>
      </c>
      <c r="C6903" s="2" t="s">
        <v>9</v>
      </c>
      <c r="D6903" s="2" t="s">
        <v>10</v>
      </c>
      <c r="E6903" s="2" t="str">
        <f>HYPERLINK("http://ts.21cn.com/tousu/show/id/1337839","http://ts.21cn.com/tousu/show/id/1337839")</f>
        <v>http://ts.21cn.com/tousu/show/id/1337839</v>
      </c>
      <c r="F6903" s="2" t="s">
        <v>11</v>
      </c>
      <c r="G6903" s="2" t="s">
        <v>30578</v>
      </c>
      <c r="H6903" s="2" t="s">
        <v>30579</v>
      </c>
    </row>
    <row r="6904" spans="1:8" ht="25.05" customHeight="1" x14ac:dyDescent="0.25">
      <c r="A6904" s="2" t="s">
        <v>8</v>
      </c>
      <c r="B6904" s="2" t="str">
        <f>HYPERLINK("http://ts.21cn.com/tousu/show/id/1337841","达飞云贷吸血鬼")</f>
        <v>达飞云贷吸血鬼</v>
      </c>
      <c r="C6904" s="2" t="s">
        <v>9</v>
      </c>
      <c r="D6904" s="2" t="s">
        <v>10</v>
      </c>
      <c r="E6904" s="2" t="str">
        <f>HYPERLINK("http://ts.21cn.com/tousu/show/id/1337841","http://ts.21cn.com/tousu/show/id/1337841")</f>
        <v>http://ts.21cn.com/tousu/show/id/1337841</v>
      </c>
      <c r="F6904" s="2" t="s">
        <v>11</v>
      </c>
      <c r="G6904" s="2" t="s">
        <v>30576</v>
      </c>
      <c r="H6904" s="2" t="s">
        <v>30577</v>
      </c>
    </row>
    <row r="6905" spans="1:8" ht="25.05" customHeight="1" x14ac:dyDescent="0.25">
      <c r="A6905" s="2" t="s">
        <v>8</v>
      </c>
      <c r="B6905" s="2" t="str">
        <f>HYPERLINK("http://ts.21cn.com/tousu/show/id/1337843","苏宁银行给虾米在线黑网贷提供资金接入口")</f>
        <v>苏宁银行给虾米在线黑网贷提供资金接入口</v>
      </c>
      <c r="C6905" s="2" t="s">
        <v>9</v>
      </c>
      <c r="D6905" s="2" t="s">
        <v>10</v>
      </c>
      <c r="E6905" s="2" t="str">
        <f>HYPERLINK("http://ts.21cn.com/tousu/show/id/1337843","http://ts.21cn.com/tousu/show/id/1337843")</f>
        <v>http://ts.21cn.com/tousu/show/id/1337843</v>
      </c>
      <c r="F6905" s="2" t="s">
        <v>11</v>
      </c>
      <c r="G6905" s="2" t="s">
        <v>30574</v>
      </c>
      <c r="H6905" s="2" t="s">
        <v>30575</v>
      </c>
    </row>
    <row r="6906" spans="1:8" ht="25.05" customHeight="1" x14ac:dyDescent="0.25">
      <c r="A6906" s="2" t="s">
        <v>8</v>
      </c>
      <c r="B6906" s="2" t="str">
        <f>HYPERLINK("http://ts.21cn.com/tousu/show/id/1337842","捷信")</f>
        <v>捷信</v>
      </c>
      <c r="C6906" s="2" t="s">
        <v>9</v>
      </c>
      <c r="D6906" s="2" t="s">
        <v>10</v>
      </c>
      <c r="E6906" s="2" t="str">
        <f>HYPERLINK("http://ts.21cn.com/tousu/show/id/1337842","http://ts.21cn.com/tousu/show/id/1337842")</f>
        <v>http://ts.21cn.com/tousu/show/id/1337842</v>
      </c>
      <c r="F6906" s="2" t="s">
        <v>11</v>
      </c>
      <c r="G6906" s="2" t="s">
        <v>30572</v>
      </c>
      <c r="H6906" s="2" t="s">
        <v>30573</v>
      </c>
    </row>
    <row r="6907" spans="1:8" ht="25.05" customHeight="1" x14ac:dyDescent="0.25">
      <c r="A6907" s="2" t="s">
        <v>8</v>
      </c>
      <c r="B6907" s="2" t="str">
        <f>HYPERLINK("http://ts.21cn.com/tousu/show/id/1337844","佰仟公司借款一万五还款三万")</f>
        <v>佰仟公司借款一万五还款三万</v>
      </c>
      <c r="C6907" s="2" t="s">
        <v>34</v>
      </c>
      <c r="D6907" s="2" t="s">
        <v>10</v>
      </c>
      <c r="E6907" s="2" t="str">
        <f>HYPERLINK("http://ts.21cn.com/tousu/show/id/1337844","http://ts.21cn.com/tousu/show/id/1337844")</f>
        <v>http://ts.21cn.com/tousu/show/id/1337844</v>
      </c>
      <c r="F6907" s="2" t="s">
        <v>11</v>
      </c>
      <c r="G6907" s="2" t="s">
        <v>30570</v>
      </c>
      <c r="H6907" s="2" t="s">
        <v>30571</v>
      </c>
    </row>
    <row r="6908" spans="1:8" ht="25.05" customHeight="1" x14ac:dyDescent="0.25">
      <c r="A6908" s="2" t="s">
        <v>8</v>
      </c>
      <c r="B6908" s="2" t="str">
        <f>HYPERLINK("http://ts.21cn.com/tousu/show/id/1337845","平安普惠暴力催熟威胁恐吓")</f>
        <v>平安普惠暴力催熟威胁恐吓</v>
      </c>
      <c r="C6908" s="2" t="s">
        <v>9</v>
      </c>
      <c r="D6908" s="2" t="s">
        <v>10</v>
      </c>
      <c r="E6908" s="2" t="str">
        <f>HYPERLINK("http://ts.21cn.com/tousu/show/id/1337845","http://ts.21cn.com/tousu/show/id/1337845")</f>
        <v>http://ts.21cn.com/tousu/show/id/1337845</v>
      </c>
      <c r="F6908" s="2" t="s">
        <v>11</v>
      </c>
      <c r="G6908" s="2" t="s">
        <v>30568</v>
      </c>
      <c r="H6908" s="2" t="s">
        <v>30569</v>
      </c>
    </row>
    <row r="6909" spans="1:8" ht="25.05" customHeight="1" x14ac:dyDescent="0.25">
      <c r="A6909" s="2" t="s">
        <v>8</v>
      </c>
      <c r="B6909" s="2" t="str">
        <f>HYPERLINK("http://ts.21cn.com/tousu/show/id/1337846","高利贷害死人！！！")</f>
        <v>高利贷害死人！！！</v>
      </c>
      <c r="C6909" s="2" t="s">
        <v>9</v>
      </c>
      <c r="D6909" s="2" t="s">
        <v>10</v>
      </c>
      <c r="E6909" s="2" t="str">
        <f>HYPERLINK("http://ts.21cn.com/tousu/show/id/1337846","http://ts.21cn.com/tousu/show/id/1337846")</f>
        <v>http://ts.21cn.com/tousu/show/id/1337846</v>
      </c>
      <c r="F6909" s="2" t="s">
        <v>11</v>
      </c>
      <c r="G6909" s="2" t="s">
        <v>30566</v>
      </c>
      <c r="H6909" s="2" t="s">
        <v>30567</v>
      </c>
    </row>
    <row r="6910" spans="1:8" ht="25.05" customHeight="1" x14ac:dyDescent="0.25">
      <c r="A6910" s="2" t="s">
        <v>8</v>
      </c>
      <c r="B6910" s="2" t="str">
        <f>HYPERLINK("http://ts.21cn.com/tousu/show/id/1337847","拍拍贷利息太高")</f>
        <v>拍拍贷利息太高</v>
      </c>
      <c r="C6910" s="2" t="s">
        <v>9</v>
      </c>
      <c r="D6910" s="2" t="s">
        <v>10</v>
      </c>
      <c r="E6910" s="2" t="str">
        <f>HYPERLINK("http://ts.21cn.com/tousu/show/id/1337847","http://ts.21cn.com/tousu/show/id/1337847")</f>
        <v>http://ts.21cn.com/tousu/show/id/1337847</v>
      </c>
      <c r="F6910" s="2" t="s">
        <v>11</v>
      </c>
      <c r="G6910" s="2" t="s">
        <v>30564</v>
      </c>
      <c r="H6910" s="2" t="s">
        <v>30565</v>
      </c>
    </row>
    <row r="6911" spans="1:8" ht="25.05" customHeight="1" x14ac:dyDescent="0.25">
      <c r="A6911" s="2" t="s">
        <v>8</v>
      </c>
      <c r="B6911" s="2" t="str">
        <f>HYPERLINK("http://ts.21cn.com/tousu/show/id/1337848","51人品贷高额利息暴力催收")</f>
        <v>51人品贷高额利息暴力催收</v>
      </c>
      <c r="C6911" s="2" t="s">
        <v>9</v>
      </c>
      <c r="D6911" s="2" t="s">
        <v>10</v>
      </c>
      <c r="E6911" s="2" t="str">
        <f>HYPERLINK("http://ts.21cn.com/tousu/show/id/1337848","http://ts.21cn.com/tousu/show/id/1337848")</f>
        <v>http://ts.21cn.com/tousu/show/id/1337848</v>
      </c>
      <c r="F6911" s="2" t="s">
        <v>11</v>
      </c>
      <c r="G6911" s="2" t="s">
        <v>30562</v>
      </c>
      <c r="H6911" s="2" t="s">
        <v>30563</v>
      </c>
    </row>
    <row r="6912" spans="1:8" ht="25.05" customHeight="1" x14ac:dyDescent="0.25">
      <c r="A6912" s="2" t="s">
        <v>8</v>
      </c>
      <c r="B6912" s="2" t="str">
        <f>HYPERLINK("http://ts.21cn.com/tousu/show/id/1337850","民航通黑卡虚假宣传、存在欺诈行为")</f>
        <v>民航通黑卡虚假宣传、存在欺诈行为</v>
      </c>
      <c r="C6912" s="2" t="s">
        <v>9</v>
      </c>
      <c r="D6912" s="2" t="s">
        <v>10</v>
      </c>
      <c r="E6912" s="2" t="str">
        <f>HYPERLINK("http://ts.21cn.com/tousu/show/id/1337850","http://ts.21cn.com/tousu/show/id/1337850")</f>
        <v>http://ts.21cn.com/tousu/show/id/1337850</v>
      </c>
      <c r="F6912" s="2" t="s">
        <v>11</v>
      </c>
      <c r="G6912" s="2" t="s">
        <v>30560</v>
      </c>
      <c r="H6912" s="2" t="s">
        <v>30561</v>
      </c>
    </row>
    <row r="6913" spans="1:8" ht="25.05" customHeight="1" x14ac:dyDescent="0.25">
      <c r="A6913" s="2" t="s">
        <v>8</v>
      </c>
      <c r="B6913" s="2" t="str">
        <f>HYPERLINK("http://ts.21cn.com/tousu/show/id/1337849","不与我联系，就爆我通讯录")</f>
        <v>不与我联系，就爆我通讯录</v>
      </c>
      <c r="C6913" s="2" t="s">
        <v>9</v>
      </c>
      <c r="D6913" s="2" t="s">
        <v>10</v>
      </c>
      <c r="E6913" s="2" t="str">
        <f>HYPERLINK("http://ts.21cn.com/tousu/show/id/1337849","http://ts.21cn.com/tousu/show/id/1337849")</f>
        <v>http://ts.21cn.com/tousu/show/id/1337849</v>
      </c>
      <c r="F6913" s="2" t="s">
        <v>11</v>
      </c>
      <c r="G6913" s="2" t="s">
        <v>30558</v>
      </c>
      <c r="H6913" s="2" t="s">
        <v>30559</v>
      </c>
    </row>
    <row r="6914" spans="1:8" ht="25.05" customHeight="1" x14ac:dyDescent="0.25">
      <c r="A6914" s="2" t="s">
        <v>8</v>
      </c>
      <c r="B6914" s="2" t="str">
        <f>HYPERLINK("http://ts.21cn.com/tousu/show/id/1337851","你我贷暴力催收")</f>
        <v>你我贷暴力催收</v>
      </c>
      <c r="C6914" s="2" t="s">
        <v>9</v>
      </c>
      <c r="D6914" s="2" t="s">
        <v>10</v>
      </c>
      <c r="E6914" s="2" t="str">
        <f>HYPERLINK("http://ts.21cn.com/tousu/show/id/1337851","http://ts.21cn.com/tousu/show/id/1337851")</f>
        <v>http://ts.21cn.com/tousu/show/id/1337851</v>
      </c>
      <c r="F6914" s="2" t="s">
        <v>11</v>
      </c>
      <c r="G6914" s="2" t="s">
        <v>30556</v>
      </c>
      <c r="H6914" s="2" t="s">
        <v>30557</v>
      </c>
    </row>
    <row r="6915" spans="1:8" ht="25.05" customHeight="1" x14ac:dyDescent="0.25">
      <c r="A6915" s="2" t="s">
        <v>8</v>
      </c>
      <c r="B6915" s="2" t="str">
        <f>HYPERLINK("http://ts.21cn.com/tousu/show/id/1337853","豹子贷无故扣钱不需要还要扣")</f>
        <v>豹子贷无故扣钱不需要还要扣</v>
      </c>
      <c r="C6915" s="2" t="s">
        <v>9</v>
      </c>
      <c r="D6915" s="2" t="s">
        <v>10</v>
      </c>
      <c r="E6915" s="2" t="str">
        <f>HYPERLINK("http://ts.21cn.com/tousu/show/id/1337853","http://ts.21cn.com/tousu/show/id/1337853")</f>
        <v>http://ts.21cn.com/tousu/show/id/1337853</v>
      </c>
      <c r="F6915" s="2" t="s">
        <v>11</v>
      </c>
      <c r="G6915" s="2" t="s">
        <v>30554</v>
      </c>
      <c r="H6915" s="2" t="s">
        <v>30555</v>
      </c>
    </row>
    <row r="6916" spans="1:8" ht="25.05" customHeight="1" x14ac:dyDescent="0.25">
      <c r="A6916" s="2" t="s">
        <v>8</v>
      </c>
      <c r="B6916" s="2" t="str">
        <f>HYPERLINK("http://ts.21cn.com/tousu/show/id/1337852","网易藏宝阁霸王条款")</f>
        <v>网易藏宝阁霸王条款</v>
      </c>
      <c r="C6916" s="2" t="s">
        <v>9</v>
      </c>
      <c r="D6916" s="2" t="s">
        <v>10</v>
      </c>
      <c r="E6916" s="2" t="str">
        <f>HYPERLINK("http://ts.21cn.com/tousu/show/id/1337852","http://ts.21cn.com/tousu/show/id/1337852")</f>
        <v>http://ts.21cn.com/tousu/show/id/1337852</v>
      </c>
      <c r="F6916" s="2" t="s">
        <v>11</v>
      </c>
      <c r="G6916" s="2" t="s">
        <v>30552</v>
      </c>
      <c r="H6916" s="2" t="s">
        <v>30553</v>
      </c>
    </row>
    <row r="6917" spans="1:8" ht="25.05" customHeight="1" x14ac:dyDescent="0.25">
      <c r="A6917" s="2" t="s">
        <v>8</v>
      </c>
      <c r="B6917" s="2" t="str">
        <f>HYPERLINK("http://ts.21cn.com/tousu/show/id/1337854","豹子贷无故扣钱不需要还要扣")</f>
        <v>豹子贷无故扣钱不需要还要扣</v>
      </c>
      <c r="C6917" s="2" t="s">
        <v>9</v>
      </c>
      <c r="D6917" s="2" t="s">
        <v>10</v>
      </c>
      <c r="E6917" s="2" t="str">
        <f>HYPERLINK("http://ts.21cn.com/tousu/show/id/1337854","http://ts.21cn.com/tousu/show/id/1337854")</f>
        <v>http://ts.21cn.com/tousu/show/id/1337854</v>
      </c>
      <c r="F6917" s="2" t="s">
        <v>11</v>
      </c>
      <c r="G6917" s="2" t="s">
        <v>30550</v>
      </c>
      <c r="H6917" s="2" t="s">
        <v>30551</v>
      </c>
    </row>
    <row r="6918" spans="1:8" ht="25.05" customHeight="1" x14ac:dyDescent="0.25">
      <c r="A6918" s="2" t="s">
        <v>8</v>
      </c>
      <c r="B6918" s="2" t="str">
        <f>HYPERLINK("http://ts.21cn.com/tousu/show/id/1337856","暴力催收影响当事人出看守所")</f>
        <v>暴力催收影响当事人出看守所</v>
      </c>
      <c r="C6918" s="2" t="s">
        <v>9</v>
      </c>
      <c r="D6918" s="2" t="s">
        <v>10</v>
      </c>
      <c r="E6918" s="2" t="str">
        <f>HYPERLINK("http://ts.21cn.com/tousu/show/id/1337856","http://ts.21cn.com/tousu/show/id/1337856")</f>
        <v>http://ts.21cn.com/tousu/show/id/1337856</v>
      </c>
      <c r="F6918" s="2" t="s">
        <v>11</v>
      </c>
      <c r="G6918" s="2" t="s">
        <v>30547</v>
      </c>
      <c r="H6918" s="2" t="s">
        <v>30548</v>
      </c>
    </row>
    <row r="6919" spans="1:8" ht="25.05" customHeight="1" x14ac:dyDescent="0.25">
      <c r="A6919" s="2" t="s">
        <v>8</v>
      </c>
      <c r="B6919" s="2" t="str">
        <f>HYPERLINK("http://ts.21cn.com/tousu/show/id/1337855","暴力催收威胁恐吓泄露个人信息")</f>
        <v>暴力催收威胁恐吓泄露个人信息</v>
      </c>
      <c r="C6919" s="2" t="s">
        <v>9</v>
      </c>
      <c r="D6919" s="2" t="s">
        <v>10</v>
      </c>
      <c r="E6919" s="2" t="str">
        <f>HYPERLINK("http://ts.21cn.com/tousu/show/id/1337855","http://ts.21cn.com/tousu/show/id/1337855")</f>
        <v>http://ts.21cn.com/tousu/show/id/1337855</v>
      </c>
      <c r="F6919" s="2" t="s">
        <v>11</v>
      </c>
      <c r="G6919" s="2" t="s">
        <v>30547</v>
      </c>
      <c r="H6919" s="2" t="s">
        <v>30549</v>
      </c>
    </row>
    <row r="6920" spans="1:8" ht="25.05" customHeight="1" x14ac:dyDescent="0.25">
      <c r="A6920" s="2" t="s">
        <v>8</v>
      </c>
      <c r="B6920" s="2" t="str">
        <f>HYPERLINK("http://ts.21cn.com/tousu/show/id/1337857","滴滴出行优先派给优享司机")</f>
        <v>滴滴出行优先派给优享司机</v>
      </c>
      <c r="C6920" s="2" t="s">
        <v>9</v>
      </c>
      <c r="D6920" s="2" t="s">
        <v>10</v>
      </c>
      <c r="E6920" s="2" t="str">
        <f>HYPERLINK("http://ts.21cn.com/tousu/show/id/1337857","http://ts.21cn.com/tousu/show/id/1337857")</f>
        <v>http://ts.21cn.com/tousu/show/id/1337857</v>
      </c>
      <c r="F6920" s="2" t="s">
        <v>11</v>
      </c>
      <c r="G6920" s="2" t="s">
        <v>30545</v>
      </c>
      <c r="H6920" s="2" t="s">
        <v>30546</v>
      </c>
    </row>
    <row r="6921" spans="1:8" ht="25.05" customHeight="1" x14ac:dyDescent="0.25">
      <c r="A6921" s="2" t="s">
        <v>8</v>
      </c>
      <c r="B6921" s="2" t="str">
        <f>HYPERLINK("http://ts.21cn.com/tousu/show/id/1337858","宜信超高利息及罚息丧心病狂催收致使我全家无生活希望")</f>
        <v>宜信超高利息及罚息丧心病狂催收致使我全家无生活希望</v>
      </c>
      <c r="C6921" s="2" t="s">
        <v>9</v>
      </c>
      <c r="D6921" s="2" t="s">
        <v>10</v>
      </c>
      <c r="E6921" s="2" t="str">
        <f>HYPERLINK("http://ts.21cn.com/tousu/show/id/1337858","http://ts.21cn.com/tousu/show/id/1337858")</f>
        <v>http://ts.21cn.com/tousu/show/id/1337858</v>
      </c>
      <c r="F6921" s="2" t="s">
        <v>11</v>
      </c>
      <c r="G6921" s="2" t="s">
        <v>30543</v>
      </c>
      <c r="H6921" s="2" t="s">
        <v>30544</v>
      </c>
    </row>
    <row r="6922" spans="1:8" ht="25.05" customHeight="1" x14ac:dyDescent="0.25">
      <c r="A6922" s="2" t="s">
        <v>8</v>
      </c>
      <c r="B6922" s="2" t="str">
        <f>HYPERLINK("http://ts.21cn.com/tousu/show/id/1337860","恶意催收")</f>
        <v>恶意催收</v>
      </c>
      <c r="C6922" s="2" t="s">
        <v>9</v>
      </c>
      <c r="D6922" s="2" t="s">
        <v>10</v>
      </c>
      <c r="E6922" s="2" t="str">
        <f>HYPERLINK("http://ts.21cn.com/tousu/show/id/1337860","http://ts.21cn.com/tousu/show/id/1337860")</f>
        <v>http://ts.21cn.com/tousu/show/id/1337860</v>
      </c>
      <c r="F6922" s="2" t="s">
        <v>11</v>
      </c>
      <c r="G6922" s="2" t="s">
        <v>30540</v>
      </c>
      <c r="H6922" s="2" t="s">
        <v>30541</v>
      </c>
    </row>
    <row r="6923" spans="1:8" ht="25.05" customHeight="1" x14ac:dyDescent="0.25">
      <c r="A6923" s="2" t="s">
        <v>8</v>
      </c>
      <c r="B6923" s="2" t="str">
        <f>HYPERLINK("http://ts.21cn.com/tousu/show/id/1337859","短信轰炸")</f>
        <v>短信轰炸</v>
      </c>
      <c r="C6923" s="2" t="s">
        <v>9</v>
      </c>
      <c r="D6923" s="2" t="s">
        <v>10</v>
      </c>
      <c r="E6923" s="2" t="str">
        <f>HYPERLINK("http://ts.21cn.com/tousu/show/id/1337859","http://ts.21cn.com/tousu/show/id/1337859")</f>
        <v>http://ts.21cn.com/tousu/show/id/1337859</v>
      </c>
      <c r="F6923" s="2" t="s">
        <v>11</v>
      </c>
      <c r="G6923" s="2" t="s">
        <v>30540</v>
      </c>
      <c r="H6923" s="2" t="s">
        <v>30542</v>
      </c>
    </row>
    <row r="6924" spans="1:8" ht="25.05" customHeight="1" x14ac:dyDescent="0.25">
      <c r="A6924" s="2" t="s">
        <v>8</v>
      </c>
      <c r="B6924" s="2" t="str">
        <f>HYPERLINK("http://ts.21cn.com/tousu/show/id/1337861","京东刷单不退款")</f>
        <v>京东刷单不退款</v>
      </c>
      <c r="C6924" s="2" t="s">
        <v>9</v>
      </c>
      <c r="D6924" s="2" t="s">
        <v>10</v>
      </c>
      <c r="E6924" s="2" t="str">
        <f>HYPERLINK("http://ts.21cn.com/tousu/show/id/1337861","http://ts.21cn.com/tousu/show/id/1337861")</f>
        <v>http://ts.21cn.com/tousu/show/id/1337861</v>
      </c>
      <c r="F6924" s="2" t="s">
        <v>11</v>
      </c>
      <c r="G6924" s="2" t="s">
        <v>30538</v>
      </c>
      <c r="H6924" s="2" t="s">
        <v>30539</v>
      </c>
    </row>
    <row r="6925" spans="1:8" ht="25.05" customHeight="1" x14ac:dyDescent="0.25">
      <c r="A6925" s="2" t="s">
        <v>8</v>
      </c>
      <c r="B6925" s="2" t="str">
        <f>HYPERLINK("http://ts.21cn.com/tousu/show/id/1337862","榕树贷款下的趣花钱无法还款")</f>
        <v>榕树贷款下的趣花钱无法还款</v>
      </c>
      <c r="C6925" s="2" t="s">
        <v>9</v>
      </c>
      <c r="D6925" s="2" t="s">
        <v>10</v>
      </c>
      <c r="E6925" s="2" t="str">
        <f>HYPERLINK("http://ts.21cn.com/tousu/show/id/1337862","http://ts.21cn.com/tousu/show/id/1337862")</f>
        <v>http://ts.21cn.com/tousu/show/id/1337862</v>
      </c>
      <c r="F6925" s="2" t="s">
        <v>11</v>
      </c>
      <c r="G6925" s="2" t="s">
        <v>30536</v>
      </c>
      <c r="H6925" s="2" t="s">
        <v>30537</v>
      </c>
    </row>
    <row r="6926" spans="1:8" ht="25.05" customHeight="1" x14ac:dyDescent="0.25">
      <c r="A6926" s="2" t="s">
        <v>8</v>
      </c>
      <c r="B6926" s="2" t="str">
        <f>HYPERLINK("http://ts.21cn.com/tousu/show/id/1337863","众安保险和小赢卡贷")</f>
        <v>众安保险和小赢卡贷</v>
      </c>
      <c r="C6926" s="2" t="s">
        <v>9</v>
      </c>
      <c r="D6926" s="2" t="s">
        <v>10</v>
      </c>
      <c r="E6926" s="2" t="str">
        <f>HYPERLINK("http://ts.21cn.com/tousu/show/id/1337863","http://ts.21cn.com/tousu/show/id/1337863")</f>
        <v>http://ts.21cn.com/tousu/show/id/1337863</v>
      </c>
      <c r="F6926" s="2" t="s">
        <v>11</v>
      </c>
      <c r="G6926" s="2" t="s">
        <v>30534</v>
      </c>
      <c r="H6926" s="2" t="s">
        <v>30535</v>
      </c>
    </row>
    <row r="6927" spans="1:8" ht="25.05" customHeight="1" x14ac:dyDescent="0.25">
      <c r="A6927" s="2" t="s">
        <v>8</v>
      </c>
      <c r="B6927" s="2" t="str">
        <f>HYPERLINK("http://ts.21cn.com/tousu/show/id/1337864","宜兴快车司机接不到单")</f>
        <v>宜兴快车司机接不到单</v>
      </c>
      <c r="C6927" s="2" t="s">
        <v>34</v>
      </c>
      <c r="D6927" s="2" t="s">
        <v>10</v>
      </c>
      <c r="E6927" s="2" t="str">
        <f>HYPERLINK("http://ts.21cn.com/tousu/show/id/1337864","http://ts.21cn.com/tousu/show/id/1337864")</f>
        <v>http://ts.21cn.com/tousu/show/id/1337864</v>
      </c>
      <c r="F6927" s="2" t="s">
        <v>11</v>
      </c>
      <c r="G6927" s="2" t="s">
        <v>30532</v>
      </c>
      <c r="H6927" s="2" t="s">
        <v>30533</v>
      </c>
    </row>
    <row r="6928" spans="1:8" ht="25.05" customHeight="1" x14ac:dyDescent="0.25">
      <c r="A6928" s="2" t="s">
        <v>8</v>
      </c>
      <c r="B6928" s="2" t="str">
        <f>HYPERLINK("http://ts.21cn.com/tousu/show/id/1337865","淘宝买一红米手机，商家拒绝退款，找理由拒收。退货二次，第一次让我解ID，第二次寄给商家直接拒收。强买强卖")</f>
        <v>淘宝买一红米手机，商家拒绝退款，找理由拒收。退货二次，第一次让我解ID，第二次寄给商家直接拒收。强买强卖</v>
      </c>
      <c r="C6928" s="2" t="s">
        <v>9</v>
      </c>
      <c r="D6928" s="2" t="s">
        <v>10</v>
      </c>
      <c r="E6928" s="2" t="str">
        <f>HYPERLINK("http://ts.21cn.com/tousu/show/id/1337865","http://ts.21cn.com/tousu/show/id/1337865")</f>
        <v>http://ts.21cn.com/tousu/show/id/1337865</v>
      </c>
      <c r="F6928" s="2" t="s">
        <v>11</v>
      </c>
      <c r="G6928" s="2" t="s">
        <v>30530</v>
      </c>
      <c r="H6928" s="2" t="s">
        <v>30531</v>
      </c>
    </row>
    <row r="6929" spans="1:8" ht="25.05" customHeight="1" x14ac:dyDescent="0.25">
      <c r="A6929" s="2" t="s">
        <v>8</v>
      </c>
      <c r="B6929" s="2" t="str">
        <f>HYPERLINK("http://ts.21cn.com/tousu/show/id/1337866","多宝分期高利贷威胁恐吓")</f>
        <v>多宝分期高利贷威胁恐吓</v>
      </c>
      <c r="C6929" s="2" t="s">
        <v>9</v>
      </c>
      <c r="D6929" s="2" t="s">
        <v>10</v>
      </c>
      <c r="E6929" s="2" t="str">
        <f>HYPERLINK("http://ts.21cn.com/tousu/show/id/1337866","http://ts.21cn.com/tousu/show/id/1337866")</f>
        <v>http://ts.21cn.com/tousu/show/id/1337866</v>
      </c>
      <c r="F6929" s="2" t="s">
        <v>11</v>
      </c>
      <c r="G6929" s="2" t="s">
        <v>30528</v>
      </c>
      <c r="H6929" s="2" t="s">
        <v>30529</v>
      </c>
    </row>
    <row r="6930" spans="1:8" ht="25.05" customHeight="1" x14ac:dyDescent="0.25">
      <c r="A6930" s="2" t="s">
        <v>8</v>
      </c>
      <c r="B6930" s="2" t="str">
        <f>HYPERLINK("http://ts.21cn.com/tousu/show/id/1337867","买单侠暴力催收威胁恐吓")</f>
        <v>买单侠暴力催收威胁恐吓</v>
      </c>
      <c r="C6930" s="2" t="s">
        <v>9</v>
      </c>
      <c r="D6930" s="2" t="s">
        <v>10</v>
      </c>
      <c r="E6930" s="2" t="str">
        <f>HYPERLINK("http://ts.21cn.com/tousu/show/id/1337867","http://ts.21cn.com/tousu/show/id/1337867")</f>
        <v>http://ts.21cn.com/tousu/show/id/1337867</v>
      </c>
      <c r="F6930" s="2" t="s">
        <v>11</v>
      </c>
      <c r="G6930" s="2" t="s">
        <v>30526</v>
      </c>
      <c r="H6930" s="2" t="s">
        <v>30527</v>
      </c>
    </row>
    <row r="6931" spans="1:8" ht="25.05" customHeight="1" x14ac:dyDescent="0.25">
      <c r="A6931" s="2" t="s">
        <v>8</v>
      </c>
      <c r="B6931" s="2" t="str">
        <f>HYPERLINK("http://ts.21cn.com/tousu/show/id/1337868","普惠快信暴力催收")</f>
        <v>普惠快信暴力催收</v>
      </c>
      <c r="C6931" s="2" t="s">
        <v>9</v>
      </c>
      <c r="D6931" s="2" t="s">
        <v>10</v>
      </c>
      <c r="E6931" s="2" t="str">
        <f>HYPERLINK("http://ts.21cn.com/tousu/show/id/1337868","http://ts.21cn.com/tousu/show/id/1337868")</f>
        <v>http://ts.21cn.com/tousu/show/id/1337868</v>
      </c>
      <c r="F6931" s="2" t="s">
        <v>11</v>
      </c>
      <c r="G6931" s="2" t="s">
        <v>30524</v>
      </c>
      <c r="H6931" s="2" t="s">
        <v>30525</v>
      </c>
    </row>
    <row r="6932" spans="1:8" ht="25.05" customHeight="1" x14ac:dyDescent="0.25">
      <c r="A6932" s="2" t="s">
        <v>8</v>
      </c>
      <c r="B6932" s="2" t="str">
        <f>HYPERLINK("http://ts.21cn.com/tousu/show/id/1337870","骚扰，威胁还款")</f>
        <v>骚扰，威胁还款</v>
      </c>
      <c r="C6932" s="2" t="s">
        <v>9</v>
      </c>
      <c r="D6932" s="2" t="s">
        <v>10</v>
      </c>
      <c r="E6932" s="2" t="str">
        <f>HYPERLINK("http://ts.21cn.com/tousu/show/id/1337870","http://ts.21cn.com/tousu/show/id/1337870")</f>
        <v>http://ts.21cn.com/tousu/show/id/1337870</v>
      </c>
      <c r="F6932" s="2" t="s">
        <v>11</v>
      </c>
      <c r="G6932" s="2" t="s">
        <v>30521</v>
      </c>
      <c r="H6932" s="2" t="s">
        <v>30522</v>
      </c>
    </row>
    <row r="6933" spans="1:8" ht="25.05" customHeight="1" x14ac:dyDescent="0.25">
      <c r="A6933" s="2" t="s">
        <v>8</v>
      </c>
      <c r="B6933" s="2" t="str">
        <f>HYPERLINK("http://ts.21cn.com/tousu/show/id/1337869","淘宝账户限制登录")</f>
        <v>淘宝账户限制登录</v>
      </c>
      <c r="C6933" s="2" t="s">
        <v>34</v>
      </c>
      <c r="D6933" s="2" t="s">
        <v>10</v>
      </c>
      <c r="E6933" s="2" t="str">
        <f>HYPERLINK("http://ts.21cn.com/tousu/show/id/1337869","http://ts.21cn.com/tousu/show/id/1337869")</f>
        <v>http://ts.21cn.com/tousu/show/id/1337869</v>
      </c>
      <c r="F6933" s="2" t="s">
        <v>11</v>
      </c>
      <c r="G6933" s="2" t="s">
        <v>30521</v>
      </c>
      <c r="H6933" s="2" t="s">
        <v>30523</v>
      </c>
    </row>
    <row r="6934" spans="1:8" ht="25.05" customHeight="1" x14ac:dyDescent="0.25">
      <c r="A6934" s="2" t="s">
        <v>8</v>
      </c>
      <c r="B6934" s="2" t="str">
        <f>HYPERLINK("http://ts.21cn.com/tousu/show/id/1337871","易宝支付集体投诉")</f>
        <v>易宝支付集体投诉</v>
      </c>
      <c r="C6934" s="2" t="s">
        <v>9</v>
      </c>
      <c r="D6934" s="2" t="s">
        <v>10</v>
      </c>
      <c r="E6934" s="2" t="str">
        <f>HYPERLINK("http://ts.21cn.com/tousu/show/id/1337871","http://ts.21cn.com/tousu/show/id/1337871")</f>
        <v>http://ts.21cn.com/tousu/show/id/1337871</v>
      </c>
      <c r="F6934" s="2" t="s">
        <v>11</v>
      </c>
      <c r="G6934" s="2" t="s">
        <v>30519</v>
      </c>
      <c r="H6934" s="2" t="s">
        <v>30520</v>
      </c>
    </row>
    <row r="6935" spans="1:8" ht="25.05" customHeight="1" x14ac:dyDescent="0.25">
      <c r="A6935" s="2" t="s">
        <v>8</v>
      </c>
      <c r="B6935" s="2" t="str">
        <f>HYPERLINK("http://ts.21cn.com/tousu/show/id/1337872","投诉，宏萨上海信息科技有限公司，小浦优客，乱扣费")</f>
        <v>投诉，宏萨上海信息科技有限公司，小浦优客，乱扣费</v>
      </c>
      <c r="C6935" s="2" t="s">
        <v>9</v>
      </c>
      <c r="D6935" s="2" t="s">
        <v>10</v>
      </c>
      <c r="E6935" s="2" t="str">
        <f>HYPERLINK("http://ts.21cn.com/tousu/show/id/1337872","http://ts.21cn.com/tousu/show/id/1337872")</f>
        <v>http://ts.21cn.com/tousu/show/id/1337872</v>
      </c>
      <c r="F6935" s="2" t="s">
        <v>11</v>
      </c>
      <c r="G6935" s="2" t="s">
        <v>30517</v>
      </c>
      <c r="H6935" s="2" t="s">
        <v>30518</v>
      </c>
    </row>
    <row r="6936" spans="1:8" ht="25.05" customHeight="1" x14ac:dyDescent="0.25">
      <c r="A6936" s="2" t="s">
        <v>8</v>
      </c>
      <c r="B6936" s="2" t="str">
        <f>HYPERLINK("http://ts.21cn.com/tousu/show/id/1337874","街电充电宝挂失找回不给退款")</f>
        <v>街电充电宝挂失找回不给退款</v>
      </c>
      <c r="C6936" s="2" t="s">
        <v>9</v>
      </c>
      <c r="D6936" s="2" t="s">
        <v>10</v>
      </c>
      <c r="E6936" s="2" t="str">
        <f>HYPERLINK("http://ts.21cn.com/tousu/show/id/1337874","http://ts.21cn.com/tousu/show/id/1337874")</f>
        <v>http://ts.21cn.com/tousu/show/id/1337874</v>
      </c>
      <c r="F6936" s="2" t="s">
        <v>11</v>
      </c>
      <c r="G6936" s="2" t="s">
        <v>30515</v>
      </c>
      <c r="H6936" s="2" t="s">
        <v>30516</v>
      </c>
    </row>
    <row r="6937" spans="1:8" ht="25.05" customHeight="1" x14ac:dyDescent="0.25">
      <c r="A6937" s="2" t="s">
        <v>8</v>
      </c>
      <c r="B6937" s="2" t="str">
        <f>HYPERLINK("http://ts.21cn.com/tousu/show/id/1337873","白条分期收取249元会员费，不给退")</f>
        <v>白条分期收取249元会员费，不给退</v>
      </c>
      <c r="C6937" s="2" t="s">
        <v>9</v>
      </c>
      <c r="D6937" s="2" t="s">
        <v>10</v>
      </c>
      <c r="E6937" s="2" t="str">
        <f>HYPERLINK("http://ts.21cn.com/tousu/show/id/1337873","http://ts.21cn.com/tousu/show/id/1337873")</f>
        <v>http://ts.21cn.com/tousu/show/id/1337873</v>
      </c>
      <c r="F6937" s="2" t="s">
        <v>11</v>
      </c>
      <c r="G6937" s="2" t="s">
        <v>30513</v>
      </c>
      <c r="H6937" s="2" t="s">
        <v>30514</v>
      </c>
    </row>
    <row r="6938" spans="1:8" ht="25.05" customHeight="1" x14ac:dyDescent="0.25">
      <c r="A6938" s="2" t="s">
        <v>8</v>
      </c>
      <c r="B6938" s="2" t="str">
        <f>HYPERLINK("http://ts.21cn.com/tousu/show/id/1337876","支付宝外催")</f>
        <v>支付宝外催</v>
      </c>
      <c r="C6938" s="2" t="s">
        <v>34</v>
      </c>
      <c r="D6938" s="2" t="s">
        <v>10</v>
      </c>
      <c r="E6938" s="2" t="str">
        <f>HYPERLINK("http://ts.21cn.com/tousu/show/id/1337876","http://ts.21cn.com/tousu/show/id/1337876")</f>
        <v>http://ts.21cn.com/tousu/show/id/1337876</v>
      </c>
      <c r="F6938" s="2" t="s">
        <v>11</v>
      </c>
      <c r="G6938" s="2" t="s">
        <v>30511</v>
      </c>
      <c r="H6938" s="2" t="s">
        <v>30512</v>
      </c>
    </row>
    <row r="6939" spans="1:8" ht="25.05" customHeight="1" x14ac:dyDescent="0.25">
      <c r="A6939" s="2" t="s">
        <v>8</v>
      </c>
      <c r="B6939" s="2" t="str">
        <f>HYPERLINK("http://ts.21cn.com/tousu/show/id/1337877","钱站高利贷阴阳合同")</f>
        <v>钱站高利贷阴阳合同</v>
      </c>
      <c r="C6939" s="2" t="s">
        <v>9</v>
      </c>
      <c r="D6939" s="2" t="s">
        <v>10</v>
      </c>
      <c r="E6939" s="2" t="str">
        <f>HYPERLINK("http://ts.21cn.com/tousu/show/id/1337877","http://ts.21cn.com/tousu/show/id/1337877")</f>
        <v>http://ts.21cn.com/tousu/show/id/1337877</v>
      </c>
      <c r="F6939" s="2" t="s">
        <v>11</v>
      </c>
      <c r="G6939" s="2" t="s">
        <v>30509</v>
      </c>
      <c r="H6939" s="2" t="s">
        <v>30510</v>
      </c>
    </row>
    <row r="6940" spans="1:8" ht="25.05" customHeight="1" x14ac:dyDescent="0.25">
      <c r="A6940" s="2" t="s">
        <v>8</v>
      </c>
      <c r="B6940" s="2" t="str">
        <f>HYPERLINK("http://ts.21cn.com/tousu/show/id/1337878","立借钱置宝套路贷，要求销账")</f>
        <v>立借钱置宝套路贷，要求销账</v>
      </c>
      <c r="C6940" s="2" t="s">
        <v>9</v>
      </c>
      <c r="D6940" s="2" t="s">
        <v>10</v>
      </c>
      <c r="E6940" s="2" t="str">
        <f>HYPERLINK("http://ts.21cn.com/tousu/show/id/1337878","http://ts.21cn.com/tousu/show/id/1337878")</f>
        <v>http://ts.21cn.com/tousu/show/id/1337878</v>
      </c>
      <c r="F6940" s="2" t="s">
        <v>11</v>
      </c>
      <c r="G6940" s="2" t="s">
        <v>30507</v>
      </c>
      <c r="H6940" s="2" t="s">
        <v>30508</v>
      </c>
    </row>
    <row r="6941" spans="1:8" ht="25.05" customHeight="1" x14ac:dyDescent="0.25">
      <c r="A6941" s="2" t="s">
        <v>8</v>
      </c>
      <c r="B6941" s="2" t="str">
        <f>HYPERLINK("http://ts.21cn.com/tousu/show/id/1337837","钱站")</f>
        <v>钱站</v>
      </c>
      <c r="C6941" s="2" t="s">
        <v>9</v>
      </c>
      <c r="D6941" s="2" t="s">
        <v>10</v>
      </c>
      <c r="E6941" s="2" t="str">
        <f>HYPERLINK("http://ts.21cn.com/tousu/show/id/1337837","http://ts.21cn.com/tousu/show/id/1337837")</f>
        <v>http://ts.21cn.com/tousu/show/id/1337837</v>
      </c>
      <c r="F6941" s="2" t="s">
        <v>11</v>
      </c>
      <c r="G6941" s="2" t="s">
        <v>30505</v>
      </c>
      <c r="H6941" s="2" t="s">
        <v>30506</v>
      </c>
    </row>
    <row r="6942" spans="1:8" ht="25.05" customHeight="1" x14ac:dyDescent="0.25">
      <c r="A6942" s="2" t="s">
        <v>8</v>
      </c>
      <c r="B6942" s="2" t="str">
        <f>HYPERLINK("http://ts.21cn.com/tousu/show/id/1337879","还了一期又一期")</f>
        <v>还了一期又一期</v>
      </c>
      <c r="C6942" s="2" t="s">
        <v>9</v>
      </c>
      <c r="D6942" s="2" t="s">
        <v>10</v>
      </c>
      <c r="E6942" s="2" t="str">
        <f>HYPERLINK("http://ts.21cn.com/tousu/show/id/1337879","http://ts.21cn.com/tousu/show/id/1337879")</f>
        <v>http://ts.21cn.com/tousu/show/id/1337879</v>
      </c>
      <c r="F6942" s="2" t="s">
        <v>11</v>
      </c>
      <c r="G6942" s="2" t="s">
        <v>30503</v>
      </c>
      <c r="H6942" s="2" t="s">
        <v>30504</v>
      </c>
    </row>
    <row r="6943" spans="1:8" ht="25.05" customHeight="1" x14ac:dyDescent="0.25">
      <c r="A6943" s="2" t="s">
        <v>8</v>
      </c>
      <c r="B6943" s="2" t="str">
        <f>HYPERLINK("http://ts.21cn.com/tousu/show/id/1337881","能不能帮忙处理一下，")</f>
        <v>能不能帮忙处理一下，</v>
      </c>
      <c r="C6943" s="2" t="s">
        <v>34</v>
      </c>
      <c r="D6943" s="2" t="s">
        <v>10</v>
      </c>
      <c r="E6943" s="2" t="str">
        <f>HYPERLINK("http://ts.21cn.com/tousu/show/id/1337881","http://ts.21cn.com/tousu/show/id/1337881")</f>
        <v>http://ts.21cn.com/tousu/show/id/1337881</v>
      </c>
      <c r="F6943" s="2" t="s">
        <v>11</v>
      </c>
      <c r="G6943" s="2" t="s">
        <v>30501</v>
      </c>
      <c r="H6943" s="2" t="s">
        <v>30502</v>
      </c>
    </row>
    <row r="6944" spans="1:8" ht="25.05" customHeight="1" x14ac:dyDescent="0.25">
      <c r="A6944" s="2" t="s">
        <v>8</v>
      </c>
      <c r="B6944" s="2" t="str">
        <f>HYPERLINK("http://ts.21cn.com/tousu/show/id/1337880","迅捷视频转换器充完会员转换不了")</f>
        <v>迅捷视频转换器充完会员转换不了</v>
      </c>
      <c r="C6944" s="2" t="s">
        <v>34</v>
      </c>
      <c r="D6944" s="2" t="s">
        <v>10</v>
      </c>
      <c r="E6944" s="2" t="str">
        <f>HYPERLINK("http://ts.21cn.com/tousu/show/id/1337880","http://ts.21cn.com/tousu/show/id/1337880")</f>
        <v>http://ts.21cn.com/tousu/show/id/1337880</v>
      </c>
      <c r="F6944" s="2" t="s">
        <v>11</v>
      </c>
      <c r="G6944" s="2" t="s">
        <v>30499</v>
      </c>
      <c r="H6944" s="2" t="s">
        <v>30500</v>
      </c>
    </row>
    <row r="6945" spans="1:8" ht="25.05" customHeight="1" x14ac:dyDescent="0.25">
      <c r="A6945" s="2" t="s">
        <v>8</v>
      </c>
      <c r="B6945" s="2" t="str">
        <f>HYPERLINK("http://ts.21cn.com/tousu/show/id/1337883","小象优品公司未经授权允许且在本人毫不知情的情况下侵犯公民隐私，擅自读取通讯录，并对通讯录人员进行骚扰")</f>
        <v>小象优品公司未经授权允许且在本人毫不知情的情况下侵犯公民隐私，擅自读取通讯录，并对通讯录人员进行骚扰</v>
      </c>
      <c r="C6945" s="2" t="s">
        <v>9</v>
      </c>
      <c r="D6945" s="2" t="s">
        <v>10</v>
      </c>
      <c r="E6945" s="2" t="str">
        <f>HYPERLINK("http://ts.21cn.com/tousu/show/id/1337883","http://ts.21cn.com/tousu/show/id/1337883")</f>
        <v>http://ts.21cn.com/tousu/show/id/1337883</v>
      </c>
      <c r="F6945" s="2" t="s">
        <v>11</v>
      </c>
      <c r="G6945" s="2" t="s">
        <v>30497</v>
      </c>
      <c r="H6945" s="2" t="s">
        <v>30498</v>
      </c>
    </row>
    <row r="6946" spans="1:8" ht="25.05" customHeight="1" x14ac:dyDescent="0.25">
      <c r="A6946" s="2" t="s">
        <v>8</v>
      </c>
      <c r="B6946" s="2" t="str">
        <f>HYPERLINK("http://ts.21cn.com/tousu/show/id/1337884","马上消费金融，暴力催收，群发短信，恐吓催收")</f>
        <v>马上消费金融，暴力催收，群发短信，恐吓催收</v>
      </c>
      <c r="C6946" s="2" t="s">
        <v>9</v>
      </c>
      <c r="D6946" s="2" t="s">
        <v>10</v>
      </c>
      <c r="E6946" s="2" t="str">
        <f>HYPERLINK("http://ts.21cn.com/tousu/show/id/1337884","http://ts.21cn.com/tousu/show/id/1337884")</f>
        <v>http://ts.21cn.com/tousu/show/id/1337884</v>
      </c>
      <c r="F6946" s="2" t="s">
        <v>11</v>
      </c>
      <c r="G6946" s="2" t="s">
        <v>30495</v>
      </c>
      <c r="H6946" s="2" t="s">
        <v>30496</v>
      </c>
    </row>
    <row r="6947" spans="1:8" ht="25.05" customHeight="1" x14ac:dyDescent="0.25">
      <c r="A6947" s="2" t="s">
        <v>8</v>
      </c>
      <c r="B6947" s="2" t="str">
        <f>HYPERLINK("http://ts.21cn.com/tousu/show/id/1337885","你我贷威胁催收")</f>
        <v>你我贷威胁催收</v>
      </c>
      <c r="C6947" s="2" t="s">
        <v>9</v>
      </c>
      <c r="D6947" s="2" t="s">
        <v>10</v>
      </c>
      <c r="E6947" s="2" t="str">
        <f>HYPERLINK("http://ts.21cn.com/tousu/show/id/1337885","http://ts.21cn.com/tousu/show/id/1337885")</f>
        <v>http://ts.21cn.com/tousu/show/id/1337885</v>
      </c>
      <c r="F6947" s="2" t="s">
        <v>11</v>
      </c>
      <c r="G6947" s="2" t="s">
        <v>30493</v>
      </c>
      <c r="H6947" s="2" t="s">
        <v>30494</v>
      </c>
    </row>
    <row r="6948" spans="1:8" ht="25.05" customHeight="1" x14ac:dyDescent="0.25">
      <c r="A6948" s="2" t="s">
        <v>8</v>
      </c>
      <c r="B6948" s="2" t="str">
        <f>HYPERLINK("http://ts.21cn.com/tousu/show/id/1337886","强制收的担保费太高")</f>
        <v>强制收的担保费太高</v>
      </c>
      <c r="C6948" s="2" t="s">
        <v>9</v>
      </c>
      <c r="D6948" s="2" t="s">
        <v>10</v>
      </c>
      <c r="E6948" s="2" t="str">
        <f>HYPERLINK("http://ts.21cn.com/tousu/show/id/1337886","http://ts.21cn.com/tousu/show/id/1337886")</f>
        <v>http://ts.21cn.com/tousu/show/id/1337886</v>
      </c>
      <c r="F6948" s="2" t="s">
        <v>11</v>
      </c>
      <c r="G6948" s="2" t="s">
        <v>30491</v>
      </c>
      <c r="H6948" s="2" t="s">
        <v>30492</v>
      </c>
    </row>
    <row r="6949" spans="1:8" ht="25.05" customHeight="1" x14ac:dyDescent="0.25">
      <c r="A6949" s="2" t="s">
        <v>8</v>
      </c>
      <c r="B6949" s="2" t="str">
        <f>HYPERLINK("http://ts.21cn.com/tousu/show/id/1337887","注销账户停止使用本人所有个人资料以及征信授权。")</f>
        <v>注销账户停止使用本人所有个人资料以及征信授权。</v>
      </c>
      <c r="C6949" s="2" t="s">
        <v>9</v>
      </c>
      <c r="D6949" s="2" t="s">
        <v>10</v>
      </c>
      <c r="E6949" s="2" t="str">
        <f>HYPERLINK("http://ts.21cn.com/tousu/show/id/1337887","http://ts.21cn.com/tousu/show/id/1337887")</f>
        <v>http://ts.21cn.com/tousu/show/id/1337887</v>
      </c>
      <c r="F6949" s="2" t="s">
        <v>11</v>
      </c>
      <c r="G6949" s="2" t="s">
        <v>30489</v>
      </c>
      <c r="H6949" s="2" t="s">
        <v>30490</v>
      </c>
    </row>
    <row r="6950" spans="1:8" ht="25.05" customHeight="1" x14ac:dyDescent="0.25">
      <c r="A6950" s="2" t="s">
        <v>8</v>
      </c>
      <c r="B6950" s="2" t="str">
        <f>HYPERLINK("http://ts.21cn.com/tousu/show/id/1337888","51人品贷黑心高利贷，暴利催收骚扰联系人")</f>
        <v>51人品贷黑心高利贷，暴利催收骚扰联系人</v>
      </c>
      <c r="C6950" s="2" t="s">
        <v>9</v>
      </c>
      <c r="D6950" s="2" t="s">
        <v>10</v>
      </c>
      <c r="E6950" s="2" t="str">
        <f>HYPERLINK("http://ts.21cn.com/tousu/show/id/1337888","http://ts.21cn.com/tousu/show/id/1337888")</f>
        <v>http://ts.21cn.com/tousu/show/id/1337888</v>
      </c>
      <c r="F6950" s="2" t="s">
        <v>11</v>
      </c>
      <c r="G6950" s="2" t="s">
        <v>30487</v>
      </c>
      <c r="H6950" s="2" t="s">
        <v>30488</v>
      </c>
    </row>
    <row r="6951" spans="1:8" ht="25.05" customHeight="1" x14ac:dyDescent="0.25">
      <c r="A6951" s="2" t="s">
        <v>8</v>
      </c>
      <c r="B6951" s="2" t="str">
        <f>HYPERLINK("http://ts.21cn.com/tousu/show/id/1337889","闪电借款恶意性骚扰")</f>
        <v>闪电借款恶意性骚扰</v>
      </c>
      <c r="C6951" s="2" t="s">
        <v>9</v>
      </c>
      <c r="D6951" s="2" t="s">
        <v>10</v>
      </c>
      <c r="E6951" s="2" t="str">
        <f>HYPERLINK("http://ts.21cn.com/tousu/show/id/1337889","http://ts.21cn.com/tousu/show/id/1337889")</f>
        <v>http://ts.21cn.com/tousu/show/id/1337889</v>
      </c>
      <c r="F6951" s="2" t="s">
        <v>11</v>
      </c>
      <c r="G6951" s="2" t="s">
        <v>30485</v>
      </c>
      <c r="H6951" s="2" t="s">
        <v>30486</v>
      </c>
    </row>
    <row r="6952" spans="1:8" ht="25.05" customHeight="1" x14ac:dyDescent="0.25">
      <c r="A6952" s="2" t="s">
        <v>8</v>
      </c>
      <c r="B6952" s="2" t="str">
        <f>HYPERLINK("http://ts.21cn.com/tousu/show/id/1337893","贷上钱以买游戏豆为由收取高额贷款通过费")</f>
        <v>贷上钱以买游戏豆为由收取高额贷款通过费</v>
      </c>
      <c r="C6952" s="2" t="s">
        <v>9</v>
      </c>
      <c r="D6952" s="2" t="s">
        <v>10</v>
      </c>
      <c r="E6952" s="2" t="str">
        <f>HYPERLINK("http://ts.21cn.com/tousu/show/id/1337893","http://ts.21cn.com/tousu/show/id/1337893")</f>
        <v>http://ts.21cn.com/tousu/show/id/1337893</v>
      </c>
      <c r="F6952" s="2" t="s">
        <v>11</v>
      </c>
      <c r="G6952" s="2" t="s">
        <v>30483</v>
      </c>
      <c r="H6952" s="2" t="s">
        <v>30484</v>
      </c>
    </row>
    <row r="6953" spans="1:8" ht="25.05" customHeight="1" x14ac:dyDescent="0.25">
      <c r="A6953" s="2" t="s">
        <v>8</v>
      </c>
      <c r="B6953" s="2" t="str">
        <f>HYPERLINK("http://ts.21cn.com/tousu/show/id/1337882","泄漏隐私导致损失钱")</f>
        <v>泄漏隐私导致损失钱</v>
      </c>
      <c r="C6953" s="2" t="s">
        <v>9</v>
      </c>
      <c r="D6953" s="2" t="s">
        <v>10</v>
      </c>
      <c r="E6953" s="2" t="str">
        <f>HYPERLINK("http://ts.21cn.com/tousu/show/id/1337882","http://ts.21cn.com/tousu/show/id/1337882")</f>
        <v>http://ts.21cn.com/tousu/show/id/1337882</v>
      </c>
      <c r="F6953" s="2" t="s">
        <v>11</v>
      </c>
      <c r="G6953" s="2" t="s">
        <v>30481</v>
      </c>
      <c r="H6953" s="2" t="s">
        <v>30482</v>
      </c>
    </row>
    <row r="6954" spans="1:8" ht="25.05" customHeight="1" x14ac:dyDescent="0.25">
      <c r="A6954" s="2" t="s">
        <v>8</v>
      </c>
      <c r="B6954" s="2" t="str">
        <f>HYPERLINK("http://ts.21cn.com/tousu/show/id/1337894","京东拍拍夺宝岛规则不完善，纠纷专员不合理处理。")</f>
        <v>京东拍拍夺宝岛规则不完善，纠纷专员不合理处理。</v>
      </c>
      <c r="C6954" s="2" t="s">
        <v>9</v>
      </c>
      <c r="D6954" s="2" t="s">
        <v>10</v>
      </c>
      <c r="E6954" s="2" t="str">
        <f>HYPERLINK("http://ts.21cn.com/tousu/show/id/1337894","http://ts.21cn.com/tousu/show/id/1337894")</f>
        <v>http://ts.21cn.com/tousu/show/id/1337894</v>
      </c>
      <c r="F6954" s="2" t="s">
        <v>11</v>
      </c>
      <c r="G6954" s="2" t="s">
        <v>30479</v>
      </c>
      <c r="H6954" s="2" t="s">
        <v>30480</v>
      </c>
    </row>
    <row r="6955" spans="1:8" ht="25.05" customHeight="1" x14ac:dyDescent="0.25">
      <c r="A6955" s="2" t="s">
        <v>8</v>
      </c>
      <c r="B6955" s="2" t="str">
        <f>HYPERLINK("http://ts.21cn.com/tousu/show/id/1337895","钱站高利贷阴阳合同")</f>
        <v>钱站高利贷阴阳合同</v>
      </c>
      <c r="C6955" s="2" t="s">
        <v>9</v>
      </c>
      <c r="D6955" s="2" t="s">
        <v>10</v>
      </c>
      <c r="E6955" s="2" t="str">
        <f>HYPERLINK("http://ts.21cn.com/tousu/show/id/1337895","http://ts.21cn.com/tousu/show/id/1337895")</f>
        <v>http://ts.21cn.com/tousu/show/id/1337895</v>
      </c>
      <c r="F6955" s="2" t="s">
        <v>11</v>
      </c>
      <c r="G6955" s="2" t="s">
        <v>30477</v>
      </c>
      <c r="H6955" s="2" t="s">
        <v>30478</v>
      </c>
    </row>
    <row r="6956" spans="1:8" ht="25.05" customHeight="1" x14ac:dyDescent="0.25">
      <c r="A6956" s="2" t="s">
        <v>8</v>
      </c>
      <c r="B6956" s="2" t="str">
        <f>HYPERLINK("http://ts.21cn.com/tousu/show/id/1337892","花呗恶意恐吓")</f>
        <v>花呗恶意恐吓</v>
      </c>
      <c r="C6956" s="2" t="s">
        <v>9</v>
      </c>
      <c r="D6956" s="2" t="s">
        <v>10</v>
      </c>
      <c r="E6956" s="2" t="str">
        <f>HYPERLINK("http://ts.21cn.com/tousu/show/id/1337892","http://ts.21cn.com/tousu/show/id/1337892")</f>
        <v>http://ts.21cn.com/tousu/show/id/1337892</v>
      </c>
      <c r="F6956" s="2" t="s">
        <v>11</v>
      </c>
      <c r="G6956" s="2" t="s">
        <v>30475</v>
      </c>
      <c r="H6956" s="2" t="s">
        <v>30476</v>
      </c>
    </row>
    <row r="6957" spans="1:8" ht="25.05" customHeight="1" x14ac:dyDescent="0.25">
      <c r="A6957" s="2" t="s">
        <v>8</v>
      </c>
      <c r="B6957" s="2" t="str">
        <f>HYPERLINK("http://ts.21cn.com/tousu/show/id/1337897","现控达人微豆荚故意造成逾期")</f>
        <v>现控达人微豆荚故意造成逾期</v>
      </c>
      <c r="C6957" s="2" t="s">
        <v>9</v>
      </c>
      <c r="D6957" s="2" t="s">
        <v>10</v>
      </c>
      <c r="E6957" s="2" t="str">
        <f>HYPERLINK("http://ts.21cn.com/tousu/show/id/1337897","http://ts.21cn.com/tousu/show/id/1337897")</f>
        <v>http://ts.21cn.com/tousu/show/id/1337897</v>
      </c>
      <c r="F6957" s="2" t="s">
        <v>11</v>
      </c>
      <c r="G6957" s="2" t="s">
        <v>30473</v>
      </c>
      <c r="H6957" s="2" t="s">
        <v>30474</v>
      </c>
    </row>
    <row r="6958" spans="1:8" ht="25.05" customHeight="1" x14ac:dyDescent="0.25">
      <c r="A6958" s="2" t="s">
        <v>8</v>
      </c>
      <c r="B6958" s="2" t="str">
        <f>HYPERLINK("http://ts.21cn.com/tousu/show/id/1337898","易鑫车贷高利贷，合同虚假")</f>
        <v>易鑫车贷高利贷，合同虚假</v>
      </c>
      <c r="C6958" s="2" t="s">
        <v>9</v>
      </c>
      <c r="D6958" s="2" t="s">
        <v>10</v>
      </c>
      <c r="E6958" s="2" t="str">
        <f>HYPERLINK("http://ts.21cn.com/tousu/show/id/1337898","http://ts.21cn.com/tousu/show/id/1337898")</f>
        <v>http://ts.21cn.com/tousu/show/id/1337898</v>
      </c>
      <c r="F6958" s="2" t="s">
        <v>11</v>
      </c>
      <c r="G6958" s="2" t="s">
        <v>30471</v>
      </c>
      <c r="H6958" s="2" t="s">
        <v>30472</v>
      </c>
    </row>
    <row r="6959" spans="1:8" ht="25.05" customHeight="1" x14ac:dyDescent="0.25">
      <c r="A6959" s="2" t="s">
        <v>8</v>
      </c>
      <c r="B6959" s="2" t="str">
        <f>HYPERLINK("http://ts.21cn.com/tousu/show/id/1337899","拍拍贷协商还款")</f>
        <v>拍拍贷协商还款</v>
      </c>
      <c r="C6959" s="2" t="s">
        <v>9</v>
      </c>
      <c r="D6959" s="2" t="s">
        <v>10</v>
      </c>
      <c r="E6959" s="2" t="str">
        <f>HYPERLINK("http://ts.21cn.com/tousu/show/id/1337899","http://ts.21cn.com/tousu/show/id/1337899")</f>
        <v>http://ts.21cn.com/tousu/show/id/1337899</v>
      </c>
      <c r="F6959" s="2" t="s">
        <v>11</v>
      </c>
      <c r="G6959" s="2" t="s">
        <v>30469</v>
      </c>
      <c r="H6959" s="2" t="s">
        <v>30470</v>
      </c>
    </row>
    <row r="6960" spans="1:8" ht="25.05" customHeight="1" x14ac:dyDescent="0.25">
      <c r="A6960" s="2" t="s">
        <v>8</v>
      </c>
      <c r="B6960" s="2" t="str">
        <f>HYPERLINK("http://ts.21cn.com/tousu/show/id/1337901","要求退货退款")</f>
        <v>要求退货退款</v>
      </c>
      <c r="C6960" s="2" t="s">
        <v>9</v>
      </c>
      <c r="D6960" s="2" t="s">
        <v>10</v>
      </c>
      <c r="E6960" s="2" t="str">
        <f>HYPERLINK("http://ts.21cn.com/tousu/show/id/1337901","http://ts.21cn.com/tousu/show/id/1337901")</f>
        <v>http://ts.21cn.com/tousu/show/id/1337901</v>
      </c>
      <c r="F6960" s="2" t="s">
        <v>11</v>
      </c>
      <c r="G6960" s="2" t="s">
        <v>30467</v>
      </c>
      <c r="H6960" s="2" t="s">
        <v>30468</v>
      </c>
    </row>
    <row r="6961" spans="1:8" ht="25.05" customHeight="1" x14ac:dyDescent="0.25">
      <c r="A6961" s="2" t="s">
        <v>8</v>
      </c>
      <c r="B6961" s="2" t="str">
        <f>HYPERLINK("http://ts.21cn.com/tousu/show/id/1337903","应急贷套路贷砍头息")</f>
        <v>应急贷套路贷砍头息</v>
      </c>
      <c r="C6961" s="2" t="s">
        <v>9</v>
      </c>
      <c r="D6961" s="2" t="s">
        <v>10</v>
      </c>
      <c r="E6961" s="2" t="str">
        <f>HYPERLINK("http://ts.21cn.com/tousu/show/id/1337903","http://ts.21cn.com/tousu/show/id/1337903")</f>
        <v>http://ts.21cn.com/tousu/show/id/1337903</v>
      </c>
      <c r="F6961" s="2" t="s">
        <v>11</v>
      </c>
      <c r="G6961" s="2" t="s">
        <v>30465</v>
      </c>
      <c r="H6961" s="2" t="s">
        <v>30466</v>
      </c>
    </row>
    <row r="6962" spans="1:8" ht="25.05" customHeight="1" x14ac:dyDescent="0.25">
      <c r="A6962" s="2" t="s">
        <v>8</v>
      </c>
      <c r="B6962" s="2" t="str">
        <f>HYPERLINK("http://ts.21cn.com/tousu/show/id/1337904","暴力催收,高利贷,侮辱,骚扰,盗取用户信息")</f>
        <v>暴力催收,高利贷,侮辱,骚扰,盗取用户信息</v>
      </c>
      <c r="C6962" s="2" t="s">
        <v>9</v>
      </c>
      <c r="D6962" s="2" t="s">
        <v>10</v>
      </c>
      <c r="E6962" s="2" t="str">
        <f>HYPERLINK("http://ts.21cn.com/tousu/show/id/1337904","http://ts.21cn.com/tousu/show/id/1337904")</f>
        <v>http://ts.21cn.com/tousu/show/id/1337904</v>
      </c>
      <c r="F6962" s="2" t="s">
        <v>11</v>
      </c>
      <c r="G6962" s="2" t="s">
        <v>30463</v>
      </c>
      <c r="H6962" s="2" t="s">
        <v>30464</v>
      </c>
    </row>
    <row r="6963" spans="1:8" ht="25.05" customHeight="1" x14ac:dyDescent="0.25">
      <c r="A6963" s="2" t="s">
        <v>8</v>
      </c>
      <c r="B6963" s="2" t="str">
        <f>HYPERLINK("http://ts.21cn.com/tousu/show/id/1337875","在淘宝闲鱼购买了京东卡密无法充值")</f>
        <v>在淘宝闲鱼购买了京东卡密无法充值</v>
      </c>
      <c r="C6963" s="2" t="s">
        <v>9</v>
      </c>
      <c r="D6963" s="2" t="s">
        <v>10</v>
      </c>
      <c r="E6963" s="2" t="str">
        <f>HYPERLINK("http://ts.21cn.com/tousu/show/id/1337875","http://ts.21cn.com/tousu/show/id/1337875")</f>
        <v>http://ts.21cn.com/tousu/show/id/1337875</v>
      </c>
      <c r="F6963" s="2" t="s">
        <v>11</v>
      </c>
      <c r="G6963" s="2" t="s">
        <v>30461</v>
      </c>
      <c r="H6963" s="2" t="s">
        <v>30462</v>
      </c>
    </row>
    <row r="6964" spans="1:8" ht="25.05" customHeight="1" x14ac:dyDescent="0.25">
      <c r="A6964" s="2" t="s">
        <v>8</v>
      </c>
      <c r="B6964" s="2" t="str">
        <f>HYPERLINK("http://ts.21cn.com/tousu/show/id/1337906","女神派单方更改条款")</f>
        <v>女神派单方更改条款</v>
      </c>
      <c r="C6964" s="2" t="s">
        <v>9</v>
      </c>
      <c r="D6964" s="2" t="s">
        <v>10</v>
      </c>
      <c r="E6964" s="2" t="str">
        <f>HYPERLINK("http://ts.21cn.com/tousu/show/id/1337906","http://ts.21cn.com/tousu/show/id/1337906")</f>
        <v>http://ts.21cn.com/tousu/show/id/1337906</v>
      </c>
      <c r="F6964" s="2" t="s">
        <v>11</v>
      </c>
      <c r="G6964" s="2" t="s">
        <v>30459</v>
      </c>
      <c r="H6964" s="2" t="s">
        <v>30460</v>
      </c>
    </row>
    <row r="6965" spans="1:8" ht="25.05" customHeight="1" x14ac:dyDescent="0.25">
      <c r="A6965" s="2" t="s">
        <v>8</v>
      </c>
      <c r="B6965" s="2" t="str">
        <f>HYPERLINK("http://ts.21cn.com/tousu/show/id/1337907","小黑鲨利息太高了。都是巨高利息")</f>
        <v>小黑鲨利息太高了。都是巨高利息</v>
      </c>
      <c r="C6965" s="2" t="s">
        <v>9</v>
      </c>
      <c r="D6965" s="2" t="s">
        <v>10</v>
      </c>
      <c r="E6965" s="2" t="str">
        <f>HYPERLINK("http://ts.21cn.com/tousu/show/id/1337907","http://ts.21cn.com/tousu/show/id/1337907")</f>
        <v>http://ts.21cn.com/tousu/show/id/1337907</v>
      </c>
      <c r="F6965" s="2" t="s">
        <v>11</v>
      </c>
      <c r="G6965" s="2" t="s">
        <v>30457</v>
      </c>
      <c r="H6965" s="2" t="s">
        <v>30458</v>
      </c>
    </row>
    <row r="6966" spans="1:8" ht="25.05" customHeight="1" x14ac:dyDescent="0.25">
      <c r="A6966" s="2" t="s">
        <v>8</v>
      </c>
      <c r="B6966" s="2" t="str">
        <f>HYPERLINK("http://ts.21cn.com/tousu/show/id/1337908","钱包易贷无法提供合同，砍头息")</f>
        <v>钱包易贷无法提供合同，砍头息</v>
      </c>
      <c r="C6966" s="2" t="s">
        <v>9</v>
      </c>
      <c r="D6966" s="2" t="s">
        <v>10</v>
      </c>
      <c r="E6966" s="2" t="str">
        <f>HYPERLINK("http://ts.21cn.com/tousu/show/id/1337908","http://ts.21cn.com/tousu/show/id/1337908")</f>
        <v>http://ts.21cn.com/tousu/show/id/1337908</v>
      </c>
      <c r="F6966" s="2" t="s">
        <v>11</v>
      </c>
      <c r="G6966" s="2" t="s">
        <v>30455</v>
      </c>
      <c r="H6966" s="2" t="s">
        <v>30456</v>
      </c>
    </row>
    <row r="6967" spans="1:8" ht="25.05" customHeight="1" x14ac:dyDescent="0.25">
      <c r="A6967" s="2" t="s">
        <v>8</v>
      </c>
      <c r="B6967" s="2" t="str">
        <f>HYPERLINK("http://ts.21cn.com/tousu/show/id/1337910","我要投诉微店乱扣费")</f>
        <v>我要投诉微店乱扣费</v>
      </c>
      <c r="C6967" s="2" t="s">
        <v>9</v>
      </c>
      <c r="D6967" s="2" t="s">
        <v>10</v>
      </c>
      <c r="E6967" s="2" t="str">
        <f>HYPERLINK("http://ts.21cn.com/tousu/show/id/1337910","http://ts.21cn.com/tousu/show/id/1337910")</f>
        <v>http://ts.21cn.com/tousu/show/id/1337910</v>
      </c>
      <c r="F6967" s="2" t="s">
        <v>11</v>
      </c>
      <c r="G6967" s="2" t="s">
        <v>30453</v>
      </c>
      <c r="H6967" s="2" t="s">
        <v>30454</v>
      </c>
    </row>
    <row r="6968" spans="1:8" ht="25.05" customHeight="1" x14ac:dyDescent="0.25">
      <c r="A6968" s="2" t="s">
        <v>8</v>
      </c>
      <c r="B6968" s="2" t="str">
        <f>HYPERLINK("http://ts.21cn.com/tousu/show/id/1337912","爆力催收，爆通讯录")</f>
        <v>爆力催收，爆通讯录</v>
      </c>
      <c r="C6968" s="2" t="s">
        <v>9</v>
      </c>
      <c r="D6968" s="2" t="s">
        <v>10</v>
      </c>
      <c r="E6968" s="2" t="str">
        <f>HYPERLINK("http://ts.21cn.com/tousu/show/id/1337912","http://ts.21cn.com/tousu/show/id/1337912")</f>
        <v>http://ts.21cn.com/tousu/show/id/1337912</v>
      </c>
      <c r="F6968" s="2" t="s">
        <v>11</v>
      </c>
      <c r="G6968" s="2" t="s">
        <v>30451</v>
      </c>
      <c r="H6968" s="2" t="s">
        <v>30452</v>
      </c>
    </row>
    <row r="6969" spans="1:8" ht="25.05" customHeight="1" x14ac:dyDescent="0.25">
      <c r="A6969" s="2" t="s">
        <v>8</v>
      </c>
      <c r="B6969" s="2" t="str">
        <f>HYPERLINK("http://ts.21cn.com/tousu/show/id/1337913","小浦优客未经同意扣款")</f>
        <v>小浦优客未经同意扣款</v>
      </c>
      <c r="C6969" s="2" t="s">
        <v>9</v>
      </c>
      <c r="D6969" s="2" t="s">
        <v>10</v>
      </c>
      <c r="E6969" s="2" t="str">
        <f>HYPERLINK("http://ts.21cn.com/tousu/show/id/1337913","http://ts.21cn.com/tousu/show/id/1337913")</f>
        <v>http://ts.21cn.com/tousu/show/id/1337913</v>
      </c>
      <c r="F6969" s="2" t="s">
        <v>11</v>
      </c>
      <c r="G6969" s="2" t="s">
        <v>30449</v>
      </c>
      <c r="H6969" s="2" t="s">
        <v>30450</v>
      </c>
    </row>
    <row r="6970" spans="1:8" ht="25.05" customHeight="1" x14ac:dyDescent="0.25">
      <c r="A6970" s="2" t="s">
        <v>8</v>
      </c>
      <c r="B6970" s="2" t="str">
        <f>HYPERLINK("http://ts.21cn.com/tousu/show/id/1337915","易起来")</f>
        <v>易起来</v>
      </c>
      <c r="C6970" s="2" t="s">
        <v>9</v>
      </c>
      <c r="D6970" s="2" t="s">
        <v>10</v>
      </c>
      <c r="E6970" s="2" t="str">
        <f>HYPERLINK("http://ts.21cn.com/tousu/show/id/1337915","http://ts.21cn.com/tousu/show/id/1337915")</f>
        <v>http://ts.21cn.com/tousu/show/id/1337915</v>
      </c>
      <c r="F6970" s="2" t="s">
        <v>11</v>
      </c>
      <c r="G6970" s="2" t="s">
        <v>30447</v>
      </c>
      <c r="H6970" s="2" t="s">
        <v>30448</v>
      </c>
    </row>
    <row r="6971" spans="1:8" ht="25.05" customHeight="1" x14ac:dyDescent="0.25">
      <c r="A6971" s="2" t="s">
        <v>8</v>
      </c>
      <c r="B6971" s="2" t="str">
        <f>HYPERLINK("http://ts.21cn.com/tousu/show/id/1337916","滴滴打车师傅到达目的地之后拒绝载人")</f>
        <v>滴滴打车师傅到达目的地之后拒绝载人</v>
      </c>
      <c r="C6971" s="2" t="s">
        <v>9</v>
      </c>
      <c r="D6971" s="2" t="s">
        <v>10</v>
      </c>
      <c r="E6971" s="2" t="str">
        <f>HYPERLINK("http://ts.21cn.com/tousu/show/id/1337916","http://ts.21cn.com/tousu/show/id/1337916")</f>
        <v>http://ts.21cn.com/tousu/show/id/1337916</v>
      </c>
      <c r="F6971" s="2" t="s">
        <v>11</v>
      </c>
      <c r="G6971" s="2" t="s">
        <v>30445</v>
      </c>
      <c r="H6971" s="2" t="s">
        <v>30446</v>
      </c>
    </row>
    <row r="6972" spans="1:8" ht="25.05" customHeight="1" x14ac:dyDescent="0.25">
      <c r="A6972" s="2" t="s">
        <v>8</v>
      </c>
      <c r="B6972" s="2" t="str">
        <f>HYPERLINK("http://ts.21cn.com/tousu/show/id/1337917","网贷利息太高")</f>
        <v>网贷利息太高</v>
      </c>
      <c r="C6972" s="2" t="s">
        <v>9</v>
      </c>
      <c r="D6972" s="2" t="s">
        <v>10</v>
      </c>
      <c r="E6972" s="2" t="str">
        <f>HYPERLINK("http://ts.21cn.com/tousu/show/id/1337917","http://ts.21cn.com/tousu/show/id/1337917")</f>
        <v>http://ts.21cn.com/tousu/show/id/1337917</v>
      </c>
      <c r="F6972" s="2" t="s">
        <v>11</v>
      </c>
      <c r="G6972" s="2" t="s">
        <v>30443</v>
      </c>
      <c r="H6972" s="2" t="s">
        <v>30444</v>
      </c>
    </row>
    <row r="6973" spans="1:8" ht="25.05" customHeight="1" x14ac:dyDescent="0.25">
      <c r="A6973" s="2" t="s">
        <v>8</v>
      </c>
      <c r="B6973" s="2" t="str">
        <f>HYPERLINK("http://ts.21cn.com/tousu/show/id/1337919","掌众金服闪电借款暴力催收高额砍头息套路贷")</f>
        <v>掌众金服闪电借款暴力催收高额砍头息套路贷</v>
      </c>
      <c r="C6973" s="2" t="s">
        <v>9</v>
      </c>
      <c r="D6973" s="2" t="s">
        <v>10</v>
      </c>
      <c r="E6973" s="2" t="str">
        <f>HYPERLINK("http://ts.21cn.com/tousu/show/id/1337919","http://ts.21cn.com/tousu/show/id/1337919")</f>
        <v>http://ts.21cn.com/tousu/show/id/1337919</v>
      </c>
      <c r="F6973" s="2" t="s">
        <v>11</v>
      </c>
      <c r="G6973" s="2" t="s">
        <v>30441</v>
      </c>
      <c r="H6973" s="2" t="s">
        <v>30442</v>
      </c>
    </row>
    <row r="6974" spans="1:8" ht="25.05" customHeight="1" x14ac:dyDescent="0.25">
      <c r="A6974" s="2" t="s">
        <v>8</v>
      </c>
      <c r="B6974" s="2" t="str">
        <f>HYPERLINK("http://ts.21cn.com/tousu/show/id/1337920","中兴付恶意盗刷")</f>
        <v>中兴付恶意盗刷</v>
      </c>
      <c r="C6974" s="2" t="s">
        <v>9</v>
      </c>
      <c r="D6974" s="2" t="s">
        <v>10</v>
      </c>
      <c r="E6974" s="2" t="str">
        <f>HYPERLINK("http://ts.21cn.com/tousu/show/id/1337920","http://ts.21cn.com/tousu/show/id/1337920")</f>
        <v>http://ts.21cn.com/tousu/show/id/1337920</v>
      </c>
      <c r="F6974" s="2" t="s">
        <v>11</v>
      </c>
      <c r="G6974" s="2" t="s">
        <v>30439</v>
      </c>
      <c r="H6974" s="2" t="s">
        <v>30440</v>
      </c>
    </row>
    <row r="6975" spans="1:8" ht="25.05" customHeight="1" x14ac:dyDescent="0.25">
      <c r="A6975" s="2" t="s">
        <v>8</v>
      </c>
      <c r="B6975" s="2" t="str">
        <f>HYPERLINK("http://ts.21cn.com/tousu/show/id/1337921","滴滴快车接不到单")</f>
        <v>滴滴快车接不到单</v>
      </c>
      <c r="C6975" s="2" t="s">
        <v>34</v>
      </c>
      <c r="D6975" s="2" t="s">
        <v>10</v>
      </c>
      <c r="E6975" s="2" t="str">
        <f>HYPERLINK("http://ts.21cn.com/tousu/show/id/1337921","http://ts.21cn.com/tousu/show/id/1337921")</f>
        <v>http://ts.21cn.com/tousu/show/id/1337921</v>
      </c>
      <c r="F6975" s="2" t="s">
        <v>11</v>
      </c>
      <c r="G6975" s="2" t="s">
        <v>30437</v>
      </c>
      <c r="H6975" s="2" t="s">
        <v>30438</v>
      </c>
    </row>
    <row r="6976" spans="1:8" ht="25.05" customHeight="1" x14ac:dyDescent="0.25">
      <c r="A6976" s="2" t="s">
        <v>8</v>
      </c>
      <c r="B6976" s="2" t="str">
        <f>HYPERLINK("http://ts.21cn.com/tousu/show/id/1337922","小花钱包乱收费高收费，借款金额与到账金额不符，阴阳合同")</f>
        <v>小花钱包乱收费高收费，借款金额与到账金额不符，阴阳合同</v>
      </c>
      <c r="C6976" s="2" t="s">
        <v>9</v>
      </c>
      <c r="D6976" s="2" t="s">
        <v>10</v>
      </c>
      <c r="E6976" s="2" t="str">
        <f>HYPERLINK("http://ts.21cn.com/tousu/show/id/1337922","http://ts.21cn.com/tousu/show/id/1337922")</f>
        <v>http://ts.21cn.com/tousu/show/id/1337922</v>
      </c>
      <c r="F6976" s="2" t="s">
        <v>11</v>
      </c>
      <c r="G6976" s="2" t="s">
        <v>30435</v>
      </c>
      <c r="H6976" s="2" t="s">
        <v>30436</v>
      </c>
    </row>
    <row r="6977" spans="1:8" ht="25.05" customHeight="1" x14ac:dyDescent="0.25">
      <c r="A6977" s="2" t="s">
        <v>8</v>
      </c>
      <c r="B6977" s="2" t="str">
        <f>HYPERLINK("http://ts.21cn.com/tousu/show/id/1337923","闪银违规收取利息")</f>
        <v>闪银违规收取利息</v>
      </c>
      <c r="C6977" s="2" t="s">
        <v>9</v>
      </c>
      <c r="D6977" s="2" t="s">
        <v>10</v>
      </c>
      <c r="E6977" s="2" t="str">
        <f>HYPERLINK("http://ts.21cn.com/tousu/show/id/1337923","http://ts.21cn.com/tousu/show/id/1337923")</f>
        <v>http://ts.21cn.com/tousu/show/id/1337923</v>
      </c>
      <c r="F6977" s="2" t="s">
        <v>11</v>
      </c>
      <c r="G6977" s="2" t="s">
        <v>30434</v>
      </c>
      <c r="H6977" s="2" t="s">
        <v>29543</v>
      </c>
    </row>
    <row r="6978" spans="1:8" ht="25.05" customHeight="1" x14ac:dyDescent="0.25">
      <c r="A6978" s="2" t="s">
        <v>8</v>
      </c>
      <c r="B6978" s="2" t="str">
        <f>HYPERLINK("http://ts.21cn.com/tousu/show/id/1337924","马上金融暴力催收，电话骚扰，")</f>
        <v>马上金融暴力催收，电话骚扰，</v>
      </c>
      <c r="C6978" s="2" t="s">
        <v>9</v>
      </c>
      <c r="D6978" s="2" t="s">
        <v>10</v>
      </c>
      <c r="E6978" s="2" t="str">
        <f>HYPERLINK("http://ts.21cn.com/tousu/show/id/1337924","http://ts.21cn.com/tousu/show/id/1337924")</f>
        <v>http://ts.21cn.com/tousu/show/id/1337924</v>
      </c>
      <c r="F6978" s="2" t="s">
        <v>11</v>
      </c>
      <c r="G6978" s="2" t="s">
        <v>30432</v>
      </c>
      <c r="H6978" s="2" t="s">
        <v>30433</v>
      </c>
    </row>
    <row r="6979" spans="1:8" ht="25.05" customHeight="1" x14ac:dyDescent="0.25">
      <c r="A6979" s="2" t="s">
        <v>8</v>
      </c>
      <c r="B6979" s="2" t="str">
        <f>HYPERLINK("http://ts.21cn.com/tousu/show/id/1337925","钱站阴阳合同高利贷套路贷")</f>
        <v>钱站阴阳合同高利贷套路贷</v>
      </c>
      <c r="C6979" s="2" t="s">
        <v>9</v>
      </c>
      <c r="D6979" s="2" t="s">
        <v>10</v>
      </c>
      <c r="E6979" s="2" t="str">
        <f>HYPERLINK("http://ts.21cn.com/tousu/show/id/1337925","http://ts.21cn.com/tousu/show/id/1337925")</f>
        <v>http://ts.21cn.com/tousu/show/id/1337925</v>
      </c>
      <c r="F6979" s="2" t="s">
        <v>11</v>
      </c>
      <c r="G6979" s="2" t="s">
        <v>30430</v>
      </c>
      <c r="H6979" s="2" t="s">
        <v>30431</v>
      </c>
    </row>
    <row r="6980" spans="1:8" ht="25.05" customHeight="1" x14ac:dyDescent="0.25">
      <c r="A6980" s="2" t="s">
        <v>8</v>
      </c>
      <c r="B6980" s="2" t="str">
        <f>HYPERLINK("http://ts.21cn.com/tousu/show/id/1337926","夸大宣传各种套路吸引创业者支付9800元/12800元加入会员，创业项目条件限制多，加入后无售后服务等，存在欺诈")</f>
        <v>夸大宣传各种套路吸引创业者支付9800元/12800元加入会员，创业项目条件限制多，加入后无售后服务等，存在欺诈</v>
      </c>
      <c r="C6980" s="2" t="s">
        <v>9</v>
      </c>
      <c r="D6980" s="2" t="s">
        <v>10</v>
      </c>
      <c r="E6980" s="2" t="str">
        <f>HYPERLINK("http://ts.21cn.com/tousu/show/id/1337926","http://ts.21cn.com/tousu/show/id/1337926")</f>
        <v>http://ts.21cn.com/tousu/show/id/1337926</v>
      </c>
      <c r="F6980" s="2" t="s">
        <v>11</v>
      </c>
      <c r="G6980" s="2" t="s">
        <v>30428</v>
      </c>
      <c r="H6980" s="2" t="s">
        <v>30429</v>
      </c>
    </row>
    <row r="6981" spans="1:8" ht="25.05" customHeight="1" x14ac:dyDescent="0.25">
      <c r="A6981" s="2" t="s">
        <v>8</v>
      </c>
      <c r="B6981" s="2" t="str">
        <f>HYPERLINK("http://ts.21cn.com/tousu/show/id/1337927","滴滴出行扣留司机车费不给")</f>
        <v>滴滴出行扣留司机车费不给</v>
      </c>
      <c r="C6981" s="2" t="s">
        <v>9</v>
      </c>
      <c r="D6981" s="2" t="s">
        <v>10</v>
      </c>
      <c r="E6981" s="2" t="str">
        <f>HYPERLINK("http://ts.21cn.com/tousu/show/id/1337927","http://ts.21cn.com/tousu/show/id/1337927")</f>
        <v>http://ts.21cn.com/tousu/show/id/1337927</v>
      </c>
      <c r="F6981" s="2" t="s">
        <v>11</v>
      </c>
      <c r="G6981" s="2" t="s">
        <v>30426</v>
      </c>
      <c r="H6981" s="2" t="s">
        <v>30427</v>
      </c>
    </row>
    <row r="6982" spans="1:8" ht="25.05" customHeight="1" x14ac:dyDescent="0.25">
      <c r="A6982" s="2" t="s">
        <v>8</v>
      </c>
      <c r="B6982" s="2" t="str">
        <f>HYPERLINK("http://ts.21cn.com/tousu/show/id/1337928","投诉网贷平台")</f>
        <v>投诉网贷平台</v>
      </c>
      <c r="C6982" s="2" t="s">
        <v>9</v>
      </c>
      <c r="D6982" s="2" t="s">
        <v>10</v>
      </c>
      <c r="E6982" s="2" t="str">
        <f>HYPERLINK("http://ts.21cn.com/tousu/show/id/1337928","http://ts.21cn.com/tousu/show/id/1337928")</f>
        <v>http://ts.21cn.com/tousu/show/id/1337928</v>
      </c>
      <c r="F6982" s="2" t="s">
        <v>11</v>
      </c>
      <c r="G6982" s="2" t="s">
        <v>30424</v>
      </c>
      <c r="H6982" s="2" t="s">
        <v>30425</v>
      </c>
    </row>
    <row r="6983" spans="1:8" ht="25.05" customHeight="1" x14ac:dyDescent="0.25">
      <c r="A6983" s="2" t="s">
        <v>8</v>
      </c>
      <c r="B6983" s="2" t="str">
        <f>HYPERLINK("http://ts.21cn.com/tousu/show/id/1337929","京东购物未经协商扣款")</f>
        <v>京东购物未经协商扣款</v>
      </c>
      <c r="C6983" s="2" t="s">
        <v>9</v>
      </c>
      <c r="D6983" s="2" t="s">
        <v>10</v>
      </c>
      <c r="E6983" s="2" t="str">
        <f>HYPERLINK("http://ts.21cn.com/tousu/show/id/1337929","http://ts.21cn.com/tousu/show/id/1337929")</f>
        <v>http://ts.21cn.com/tousu/show/id/1337929</v>
      </c>
      <c r="F6983" s="2" t="s">
        <v>11</v>
      </c>
      <c r="G6983" s="2" t="s">
        <v>30422</v>
      </c>
      <c r="H6983" s="2" t="s">
        <v>30423</v>
      </c>
    </row>
    <row r="6984" spans="1:8" ht="25.05" customHeight="1" x14ac:dyDescent="0.25">
      <c r="A6984" s="2" t="s">
        <v>8</v>
      </c>
      <c r="B6984" s="2" t="str">
        <f>HYPERLINK("http://ts.21cn.com/tousu/show/id/1337930","你我贷")</f>
        <v>你我贷</v>
      </c>
      <c r="C6984" s="2" t="s">
        <v>9</v>
      </c>
      <c r="D6984" s="2" t="s">
        <v>10</v>
      </c>
      <c r="E6984" s="2" t="str">
        <f>HYPERLINK("http://ts.21cn.com/tousu/show/id/1337930","http://ts.21cn.com/tousu/show/id/1337930")</f>
        <v>http://ts.21cn.com/tousu/show/id/1337930</v>
      </c>
      <c r="F6984" s="2" t="s">
        <v>11</v>
      </c>
      <c r="G6984" s="2" t="s">
        <v>30420</v>
      </c>
      <c r="H6984" s="2" t="s">
        <v>30421</v>
      </c>
    </row>
    <row r="6985" spans="1:8" ht="25.05" customHeight="1" x14ac:dyDescent="0.25">
      <c r="A6985" s="2" t="s">
        <v>8</v>
      </c>
      <c r="B6985" s="2" t="str">
        <f>HYPERLINK("http://ts.21cn.com/tousu/show/id/1337931","青岛万腾达欺诈骚扰催收")</f>
        <v>青岛万腾达欺诈骚扰催收</v>
      </c>
      <c r="C6985" s="2" t="s">
        <v>9</v>
      </c>
      <c r="D6985" s="2" t="s">
        <v>10</v>
      </c>
      <c r="E6985" s="2" t="str">
        <f>HYPERLINK("http://ts.21cn.com/tousu/show/id/1337931","http://ts.21cn.com/tousu/show/id/1337931")</f>
        <v>http://ts.21cn.com/tousu/show/id/1337931</v>
      </c>
      <c r="F6985" s="2" t="s">
        <v>11</v>
      </c>
      <c r="G6985" s="2" t="s">
        <v>30418</v>
      </c>
      <c r="H6985" s="2" t="s">
        <v>30419</v>
      </c>
    </row>
    <row r="6986" spans="1:8" ht="25.05" customHeight="1" x14ac:dyDescent="0.25">
      <c r="A6986" s="2" t="s">
        <v>8</v>
      </c>
      <c r="B6986" s="2" t="str">
        <f>HYPERLINK("http://ts.21cn.com/tousu/show/id/1337932","北京友缘自动扣款是我损失99元，想要追回钱财")</f>
        <v>北京友缘自动扣款是我损失99元，想要追回钱财</v>
      </c>
      <c r="C6986" s="2" t="s">
        <v>34</v>
      </c>
      <c r="D6986" s="2" t="s">
        <v>10</v>
      </c>
      <c r="E6986" s="2" t="str">
        <f>HYPERLINK("http://ts.21cn.com/tousu/show/id/1337932","http://ts.21cn.com/tousu/show/id/1337932")</f>
        <v>http://ts.21cn.com/tousu/show/id/1337932</v>
      </c>
      <c r="F6986" s="2" t="s">
        <v>11</v>
      </c>
      <c r="G6986" s="2" t="s">
        <v>30416</v>
      </c>
      <c r="H6986" s="2" t="s">
        <v>30417</v>
      </c>
    </row>
    <row r="6987" spans="1:8" ht="25.05" customHeight="1" x14ac:dyDescent="0.25">
      <c r="A6987" s="2" t="s">
        <v>8</v>
      </c>
      <c r="B6987" s="2" t="str">
        <f>HYPERLINK("http://ts.21cn.com/tousu/show/id/1337933","高利贷")</f>
        <v>高利贷</v>
      </c>
      <c r="C6987" s="2" t="s">
        <v>9</v>
      </c>
      <c r="D6987" s="2" t="s">
        <v>10</v>
      </c>
      <c r="E6987" s="2" t="str">
        <f>HYPERLINK("http://ts.21cn.com/tousu/show/id/1337933","http://ts.21cn.com/tousu/show/id/1337933")</f>
        <v>http://ts.21cn.com/tousu/show/id/1337933</v>
      </c>
      <c r="F6987" s="2" t="s">
        <v>11</v>
      </c>
      <c r="G6987" s="2" t="s">
        <v>30414</v>
      </c>
      <c r="H6987" s="2" t="s">
        <v>30415</v>
      </c>
    </row>
    <row r="6988" spans="1:8" ht="25.05" customHeight="1" x14ac:dyDescent="0.25">
      <c r="A6988" s="2" t="s">
        <v>8</v>
      </c>
      <c r="B6988" s="2" t="str">
        <f>HYPERLINK("http://ts.21cn.com/tousu/show/id/1337905","滴滴公司对不起对公司机")</f>
        <v>滴滴公司对不起对公司机</v>
      </c>
      <c r="C6988" s="2" t="s">
        <v>9</v>
      </c>
      <c r="D6988" s="2" t="s">
        <v>10</v>
      </c>
      <c r="E6988" s="2" t="str">
        <f>HYPERLINK("http://ts.21cn.com/tousu/show/id/1337905","http://ts.21cn.com/tousu/show/id/1337905")</f>
        <v>http://ts.21cn.com/tousu/show/id/1337905</v>
      </c>
      <c r="F6988" s="2" t="s">
        <v>11</v>
      </c>
      <c r="G6988" s="2" t="s">
        <v>30412</v>
      </c>
      <c r="H6988" s="2" t="s">
        <v>30413</v>
      </c>
    </row>
    <row r="6989" spans="1:8" ht="25.05" customHeight="1" x14ac:dyDescent="0.25">
      <c r="A6989" s="2" t="s">
        <v>8</v>
      </c>
      <c r="B6989" s="2" t="str">
        <f>HYPERLINK("http://ts.21cn.com/tousu/show/id/1337934","苏宁催收态度恶劣")</f>
        <v>苏宁催收态度恶劣</v>
      </c>
      <c r="C6989" s="2" t="s">
        <v>9</v>
      </c>
      <c r="D6989" s="2" t="s">
        <v>10</v>
      </c>
      <c r="E6989" s="2" t="str">
        <f>HYPERLINK("http://ts.21cn.com/tousu/show/id/1337934","http://ts.21cn.com/tousu/show/id/1337934")</f>
        <v>http://ts.21cn.com/tousu/show/id/1337934</v>
      </c>
      <c r="F6989" s="2" t="s">
        <v>11</v>
      </c>
      <c r="G6989" s="2" t="s">
        <v>30410</v>
      </c>
      <c r="H6989" s="2" t="s">
        <v>30411</v>
      </c>
    </row>
    <row r="6990" spans="1:8" ht="25.05" customHeight="1" x14ac:dyDescent="0.25">
      <c r="A6990" s="2" t="s">
        <v>8</v>
      </c>
      <c r="B6990" s="2" t="str">
        <f>HYPERLINK("http://ts.21cn.com/tousu/show/id/1337936","建设银行信用卡委托外包催收骚扰家人")</f>
        <v>建设银行信用卡委托外包催收骚扰家人</v>
      </c>
      <c r="C6990" s="2" t="s">
        <v>9</v>
      </c>
      <c r="D6990" s="2" t="s">
        <v>10</v>
      </c>
      <c r="E6990" s="2" t="str">
        <f>HYPERLINK("http://ts.21cn.com/tousu/show/id/1337936","http://ts.21cn.com/tousu/show/id/1337936")</f>
        <v>http://ts.21cn.com/tousu/show/id/1337936</v>
      </c>
      <c r="F6990" s="2" t="s">
        <v>11</v>
      </c>
      <c r="G6990" s="2" t="s">
        <v>30408</v>
      </c>
      <c r="H6990" s="2" t="s">
        <v>30409</v>
      </c>
    </row>
    <row r="6991" spans="1:8" ht="25.05" customHeight="1" x14ac:dyDescent="0.25">
      <c r="A6991" s="2" t="s">
        <v>8</v>
      </c>
      <c r="B6991" s="2" t="str">
        <f>HYPERLINK("http://ts.21cn.com/tousu/show/id/1337937","投诉闪银科技高利贷借款")</f>
        <v>投诉闪银科技高利贷借款</v>
      </c>
      <c r="C6991" s="2" t="s">
        <v>9</v>
      </c>
      <c r="D6991" s="2" t="s">
        <v>10</v>
      </c>
      <c r="E6991" s="2" t="str">
        <f>HYPERLINK("http://ts.21cn.com/tousu/show/id/1337937","http://ts.21cn.com/tousu/show/id/1337937")</f>
        <v>http://ts.21cn.com/tousu/show/id/1337937</v>
      </c>
      <c r="F6991" s="2" t="s">
        <v>11</v>
      </c>
      <c r="G6991" s="2" t="s">
        <v>30406</v>
      </c>
      <c r="H6991" s="2" t="s">
        <v>30407</v>
      </c>
    </row>
    <row r="6992" spans="1:8" ht="25.05" customHeight="1" x14ac:dyDescent="0.25">
      <c r="A6992" s="2" t="s">
        <v>8</v>
      </c>
      <c r="B6992" s="2" t="str">
        <f>HYPERLINK("http://ts.21cn.com/tousu/show/id/1337902","乐客独角兽诱导，隐瞒重要信息，乐客独角兽")</f>
        <v>乐客独角兽诱导，隐瞒重要信息，乐客独角兽</v>
      </c>
      <c r="C6992" s="2" t="s">
        <v>34</v>
      </c>
      <c r="D6992" s="2" t="s">
        <v>10</v>
      </c>
      <c r="E6992" s="2" t="str">
        <f>HYPERLINK("http://ts.21cn.com/tousu/show/id/1337902","http://ts.21cn.com/tousu/show/id/1337902")</f>
        <v>http://ts.21cn.com/tousu/show/id/1337902</v>
      </c>
      <c r="F6992" s="2" t="s">
        <v>11</v>
      </c>
      <c r="G6992" s="2" t="s">
        <v>30404</v>
      </c>
      <c r="H6992" s="2" t="s">
        <v>30405</v>
      </c>
    </row>
    <row r="6993" spans="1:8" ht="25.05" customHeight="1" x14ac:dyDescent="0.25">
      <c r="A6993" s="2" t="s">
        <v>8</v>
      </c>
      <c r="B6993" s="2" t="str">
        <f>HYPERLINK("http://ts.21cn.com/tousu/show/id/1337939","暴力催收，骚扰通讯录")</f>
        <v>暴力催收，骚扰通讯录</v>
      </c>
      <c r="C6993" s="2" t="s">
        <v>9</v>
      </c>
      <c r="D6993" s="2" t="s">
        <v>10</v>
      </c>
      <c r="E6993" s="2" t="str">
        <f>HYPERLINK("http://ts.21cn.com/tousu/show/id/1337939","http://ts.21cn.com/tousu/show/id/1337939")</f>
        <v>http://ts.21cn.com/tousu/show/id/1337939</v>
      </c>
      <c r="F6993" s="2" t="s">
        <v>11</v>
      </c>
      <c r="G6993" s="2" t="s">
        <v>30401</v>
      </c>
      <c r="H6993" s="2" t="s">
        <v>30402</v>
      </c>
    </row>
    <row r="6994" spans="1:8" ht="25.05" customHeight="1" x14ac:dyDescent="0.25">
      <c r="A6994" s="2" t="s">
        <v>8</v>
      </c>
      <c r="B6994" s="2" t="str">
        <f>HYPERLINK("http://ts.21cn.com/tousu/show/id/1337938","贷上钱堪比黑社会，宝易支付助纣为虐")</f>
        <v>贷上钱堪比黑社会，宝易支付助纣为虐</v>
      </c>
      <c r="C6994" s="2" t="s">
        <v>9</v>
      </c>
      <c r="D6994" s="2" t="s">
        <v>10</v>
      </c>
      <c r="E6994" s="2" t="str">
        <f>HYPERLINK("http://ts.21cn.com/tousu/show/id/1337938","http://ts.21cn.com/tousu/show/id/1337938")</f>
        <v>http://ts.21cn.com/tousu/show/id/1337938</v>
      </c>
      <c r="F6994" s="2" t="s">
        <v>11</v>
      </c>
      <c r="G6994" s="2" t="s">
        <v>30401</v>
      </c>
      <c r="H6994" s="2" t="s">
        <v>30403</v>
      </c>
    </row>
    <row r="6995" spans="1:8" ht="25.05" customHeight="1" x14ac:dyDescent="0.25">
      <c r="A6995" s="2" t="s">
        <v>8</v>
      </c>
      <c r="B6995" s="2" t="str">
        <f>HYPERLINK("http://ts.21cn.com/tousu/show/id/1337940","美团金融电话骚扰")</f>
        <v>美团金融电话骚扰</v>
      </c>
      <c r="C6995" s="2" t="s">
        <v>9</v>
      </c>
      <c r="D6995" s="2" t="s">
        <v>10</v>
      </c>
      <c r="E6995" s="2" t="str">
        <f>HYPERLINK("http://ts.21cn.com/tousu/show/id/1337940","http://ts.21cn.com/tousu/show/id/1337940")</f>
        <v>http://ts.21cn.com/tousu/show/id/1337940</v>
      </c>
      <c r="F6995" s="2" t="s">
        <v>11</v>
      </c>
      <c r="G6995" s="2" t="s">
        <v>30399</v>
      </c>
      <c r="H6995" s="2" t="s">
        <v>30400</v>
      </c>
    </row>
    <row r="6996" spans="1:8" ht="25.05" customHeight="1" x14ac:dyDescent="0.25">
      <c r="A6996" s="2" t="s">
        <v>8</v>
      </c>
      <c r="B6996" s="2" t="str">
        <f>HYPERLINK("http://ts.21cn.com/tousu/show/id/1337941","360借条借款时被客服要求收取莫名其妙的费用")</f>
        <v>360借条借款时被客服要求收取莫名其妙的费用</v>
      </c>
      <c r="C6996" s="2" t="s">
        <v>9</v>
      </c>
      <c r="D6996" s="2" t="s">
        <v>10</v>
      </c>
      <c r="E6996" s="2" t="str">
        <f>HYPERLINK("http://ts.21cn.com/tousu/show/id/1337941","http://ts.21cn.com/tousu/show/id/1337941")</f>
        <v>http://ts.21cn.com/tousu/show/id/1337941</v>
      </c>
      <c r="F6996" s="2" t="s">
        <v>11</v>
      </c>
      <c r="G6996" s="2" t="s">
        <v>30397</v>
      </c>
      <c r="H6996" s="2" t="s">
        <v>30398</v>
      </c>
    </row>
    <row r="6997" spans="1:8" ht="25.05" customHeight="1" x14ac:dyDescent="0.25">
      <c r="A6997" s="2" t="s">
        <v>8</v>
      </c>
      <c r="B6997" s="2" t="str">
        <f>HYPERLINK("http://ts.21cn.com/tousu/show/id/1337942","信用卡逾期")</f>
        <v>信用卡逾期</v>
      </c>
      <c r="C6997" s="2" t="s">
        <v>9</v>
      </c>
      <c r="D6997" s="2" t="s">
        <v>10</v>
      </c>
      <c r="E6997" s="2" t="str">
        <f>HYPERLINK("http://ts.21cn.com/tousu/show/id/1337942","http://ts.21cn.com/tousu/show/id/1337942")</f>
        <v>http://ts.21cn.com/tousu/show/id/1337942</v>
      </c>
      <c r="F6997" s="2" t="s">
        <v>11</v>
      </c>
      <c r="G6997" s="2" t="s">
        <v>30395</v>
      </c>
      <c r="H6997" s="2" t="s">
        <v>30396</v>
      </c>
    </row>
    <row r="6998" spans="1:8" ht="25.05" customHeight="1" x14ac:dyDescent="0.25">
      <c r="A6998" s="2" t="s">
        <v>8</v>
      </c>
      <c r="B6998" s="2" t="str">
        <f>HYPERLINK("http://ts.21cn.com/tousu/show/id/1337943","畅捷支付为高利贷放款")</f>
        <v>畅捷支付为高利贷放款</v>
      </c>
      <c r="C6998" s="2" t="s">
        <v>9</v>
      </c>
      <c r="D6998" s="2" t="s">
        <v>10</v>
      </c>
      <c r="E6998" s="2" t="str">
        <f>HYPERLINK("http://ts.21cn.com/tousu/show/id/1337943","http://ts.21cn.com/tousu/show/id/1337943")</f>
        <v>http://ts.21cn.com/tousu/show/id/1337943</v>
      </c>
      <c r="F6998" s="2" t="s">
        <v>11</v>
      </c>
      <c r="G6998" s="2" t="s">
        <v>30393</v>
      </c>
      <c r="H6998" s="2" t="s">
        <v>30394</v>
      </c>
    </row>
    <row r="6999" spans="1:8" ht="25.05" customHeight="1" x14ac:dyDescent="0.25">
      <c r="A6999" s="2" t="s">
        <v>8</v>
      </c>
      <c r="B6999" s="2" t="str">
        <f>HYPERLINK("http://ts.21cn.com/tousu/show/id/1337944","造艺科技扣")</f>
        <v>造艺科技扣</v>
      </c>
      <c r="C6999" s="2" t="s">
        <v>34</v>
      </c>
      <c r="D6999" s="2" t="s">
        <v>10</v>
      </c>
      <c r="E6999" s="2" t="str">
        <f>HYPERLINK("http://ts.21cn.com/tousu/show/id/1337944","http://ts.21cn.com/tousu/show/id/1337944")</f>
        <v>http://ts.21cn.com/tousu/show/id/1337944</v>
      </c>
      <c r="F6999" s="2" t="s">
        <v>11</v>
      </c>
      <c r="G6999" s="2" t="s">
        <v>30391</v>
      </c>
      <c r="H6999" s="2" t="s">
        <v>30392</v>
      </c>
    </row>
    <row r="7000" spans="1:8" ht="25.05" customHeight="1" x14ac:dyDescent="0.25">
      <c r="A7000" s="2" t="s">
        <v>8</v>
      </c>
      <c r="B7000" s="2" t="str">
        <f>HYPERLINK("http://ts.21cn.com/tousu/show/id/1337946","钱橙无忧恶意扣我银行卡的钱本人不知情")</f>
        <v>钱橙无忧恶意扣我银行卡的钱本人不知情</v>
      </c>
      <c r="C7000" s="2" t="s">
        <v>9</v>
      </c>
      <c r="D7000" s="2" t="s">
        <v>10</v>
      </c>
      <c r="E7000" s="2" t="str">
        <f>HYPERLINK("http://ts.21cn.com/tousu/show/id/1337946","http://ts.21cn.com/tousu/show/id/1337946")</f>
        <v>http://ts.21cn.com/tousu/show/id/1337946</v>
      </c>
      <c r="F7000" s="2" t="s">
        <v>11</v>
      </c>
      <c r="G7000" s="2" t="s">
        <v>30389</v>
      </c>
      <c r="H7000" s="2" t="s">
        <v>30390</v>
      </c>
    </row>
    <row r="7001" spans="1:8" ht="25.05" customHeight="1" x14ac:dyDescent="0.25">
      <c r="A7001" s="2" t="s">
        <v>8</v>
      </c>
      <c r="B7001" s="2" t="str">
        <f>HYPERLINK("http://ts.21cn.com/tousu/show/id/1337947","投诉快易熊还完款不结账")</f>
        <v>投诉快易熊还完款不结账</v>
      </c>
      <c r="C7001" s="2" t="s">
        <v>9</v>
      </c>
      <c r="D7001" s="2" t="s">
        <v>10</v>
      </c>
      <c r="E7001" s="2" t="str">
        <f>HYPERLINK("http://ts.21cn.com/tousu/show/id/1337947","http://ts.21cn.com/tousu/show/id/1337947")</f>
        <v>http://ts.21cn.com/tousu/show/id/1337947</v>
      </c>
      <c r="F7001" s="2" t="s">
        <v>11</v>
      </c>
      <c r="G7001" s="2" t="s">
        <v>30387</v>
      </c>
      <c r="H7001" s="2" t="s">
        <v>30388</v>
      </c>
    </row>
    <row r="7002" spans="1:8" ht="25.05" customHeight="1" x14ac:dyDescent="0.25">
      <c r="A7002" s="2" t="s">
        <v>8</v>
      </c>
      <c r="B7002" s="2" t="str">
        <f>HYPERLINK("http://ts.21cn.com/tousu/show/id/1337935","暴力催收威胁恐吓")</f>
        <v>暴力催收威胁恐吓</v>
      </c>
      <c r="C7002" s="2" t="s">
        <v>9</v>
      </c>
      <c r="D7002" s="2" t="s">
        <v>10</v>
      </c>
      <c r="E7002" s="2" t="str">
        <f>HYPERLINK("http://ts.21cn.com/tousu/show/id/1337935","http://ts.21cn.com/tousu/show/id/1337935")</f>
        <v>http://ts.21cn.com/tousu/show/id/1337935</v>
      </c>
      <c r="F7002" s="2" t="s">
        <v>11</v>
      </c>
      <c r="G7002" s="2" t="s">
        <v>30385</v>
      </c>
      <c r="H7002" s="2" t="s">
        <v>30386</v>
      </c>
    </row>
    <row r="7003" spans="1:8" ht="25.05" customHeight="1" x14ac:dyDescent="0.25">
      <c r="A7003" s="2" t="s">
        <v>8</v>
      </c>
      <c r="B7003" s="2" t="str">
        <f>HYPERLINK("http://ts.21cn.com/tousu/show/id/1337948","光大银行业务员")</f>
        <v>光大银行业务员</v>
      </c>
      <c r="C7003" s="2" t="s">
        <v>9</v>
      </c>
      <c r="D7003" s="2" t="s">
        <v>10</v>
      </c>
      <c r="E7003" s="2" t="str">
        <f>HYPERLINK("http://ts.21cn.com/tousu/show/id/1337948","http://ts.21cn.com/tousu/show/id/1337948")</f>
        <v>http://ts.21cn.com/tousu/show/id/1337948</v>
      </c>
      <c r="F7003" s="2" t="s">
        <v>11</v>
      </c>
      <c r="G7003" s="2" t="s">
        <v>30383</v>
      </c>
      <c r="H7003" s="2" t="s">
        <v>30384</v>
      </c>
    </row>
    <row r="7004" spans="1:8" ht="25.05" customHeight="1" x14ac:dyDescent="0.25">
      <c r="A7004" s="2" t="s">
        <v>8</v>
      </c>
      <c r="B7004" s="2" t="str">
        <f>HYPERLINK("http://ts.21cn.com/tousu/show/id/1337950","电脑连连出现问题")</f>
        <v>电脑连连出现问题</v>
      </c>
      <c r="C7004" s="2" t="s">
        <v>34</v>
      </c>
      <c r="D7004" s="2" t="s">
        <v>10</v>
      </c>
      <c r="E7004" s="2" t="str">
        <f>HYPERLINK("http://ts.21cn.com/tousu/show/id/1337950","http://ts.21cn.com/tousu/show/id/1337950")</f>
        <v>http://ts.21cn.com/tousu/show/id/1337950</v>
      </c>
      <c r="F7004" s="2" t="s">
        <v>11</v>
      </c>
      <c r="G7004" s="2" t="s">
        <v>30381</v>
      </c>
      <c r="H7004" s="2" t="s">
        <v>30382</v>
      </c>
    </row>
    <row r="7005" spans="1:8" ht="25.05" customHeight="1" x14ac:dyDescent="0.25">
      <c r="A7005" s="2" t="s">
        <v>8</v>
      </c>
      <c r="B7005" s="2" t="str">
        <f>HYPERLINK("http://ts.21cn.com/tousu/show/id/1337949","你我贷24结清")</f>
        <v>你我贷24结清</v>
      </c>
      <c r="C7005" s="2" t="s">
        <v>9</v>
      </c>
      <c r="D7005" s="2" t="s">
        <v>10</v>
      </c>
      <c r="E7005" s="2" t="str">
        <f>HYPERLINK("http://ts.21cn.com/tousu/show/id/1337949","http://ts.21cn.com/tousu/show/id/1337949")</f>
        <v>http://ts.21cn.com/tousu/show/id/1337949</v>
      </c>
      <c r="F7005" s="2" t="s">
        <v>11</v>
      </c>
      <c r="G7005" s="2" t="s">
        <v>30379</v>
      </c>
      <c r="H7005" s="2" t="s">
        <v>30380</v>
      </c>
    </row>
    <row r="7006" spans="1:8" ht="25.05" customHeight="1" x14ac:dyDescent="0.25">
      <c r="A7006" s="2" t="s">
        <v>8</v>
      </c>
      <c r="B7006" s="2" t="str">
        <f>HYPERLINK("http://ts.21cn.com/tousu/show/id/1337951","微信话费充错了退不了")</f>
        <v>微信话费充错了退不了</v>
      </c>
      <c r="C7006" s="2" t="s">
        <v>9</v>
      </c>
      <c r="D7006" s="2" t="s">
        <v>10</v>
      </c>
      <c r="E7006" s="2" t="str">
        <f>HYPERLINK("http://ts.21cn.com/tousu/show/id/1337951","http://ts.21cn.com/tousu/show/id/1337951")</f>
        <v>http://ts.21cn.com/tousu/show/id/1337951</v>
      </c>
      <c r="F7006" s="2" t="s">
        <v>11</v>
      </c>
      <c r="G7006" s="2" t="s">
        <v>30377</v>
      </c>
      <c r="H7006" s="2" t="s">
        <v>30378</v>
      </c>
    </row>
    <row r="7007" spans="1:8" ht="25.05" customHeight="1" x14ac:dyDescent="0.25">
      <c r="A7007" s="2" t="s">
        <v>8</v>
      </c>
      <c r="B7007" s="2" t="str">
        <f>HYPERLINK("http://ts.21cn.com/tousu/show/id/1337952","人人花乱扣费")</f>
        <v>人人花乱扣费</v>
      </c>
      <c r="C7007" s="2" t="s">
        <v>9</v>
      </c>
      <c r="D7007" s="2" t="s">
        <v>10</v>
      </c>
      <c r="E7007" s="2" t="str">
        <f>HYPERLINK("http://ts.21cn.com/tousu/show/id/1337952","http://ts.21cn.com/tousu/show/id/1337952")</f>
        <v>http://ts.21cn.com/tousu/show/id/1337952</v>
      </c>
      <c r="F7007" s="2" t="s">
        <v>11</v>
      </c>
      <c r="G7007" s="2" t="s">
        <v>30375</v>
      </c>
      <c r="H7007" s="2" t="s">
        <v>30376</v>
      </c>
    </row>
    <row r="7008" spans="1:8" ht="25.05" customHeight="1" x14ac:dyDescent="0.25">
      <c r="A7008" s="2" t="s">
        <v>8</v>
      </c>
      <c r="B7008" s="2" t="str">
        <f>HYPERLINK("http://ts.21cn.com/tousu/show/id/1337953","投诉百联优力广东信汇两家支付公司违规违法给博彩平台提供充值通道")</f>
        <v>投诉百联优力广东信汇两家支付公司违规违法给博彩平台提供充值通道</v>
      </c>
      <c r="C7008" s="2" t="s">
        <v>9</v>
      </c>
      <c r="D7008" s="2" t="s">
        <v>10</v>
      </c>
      <c r="E7008" s="2" t="str">
        <f>HYPERLINK("http://ts.21cn.com/tousu/show/id/1337953","http://ts.21cn.com/tousu/show/id/1337953")</f>
        <v>http://ts.21cn.com/tousu/show/id/1337953</v>
      </c>
      <c r="F7008" s="2" t="s">
        <v>11</v>
      </c>
      <c r="G7008" s="2" t="s">
        <v>30373</v>
      </c>
      <c r="H7008" s="2" t="s">
        <v>30374</v>
      </c>
    </row>
    <row r="7009" spans="1:8" ht="25.05" customHeight="1" x14ac:dyDescent="0.25">
      <c r="A7009" s="2" t="s">
        <v>8</v>
      </c>
      <c r="B7009" s="2" t="str">
        <f>HYPERLINK("http://ts.21cn.com/tousu/show/id/1337955","自由魔卡，诺和信用计划套路贷，高利贷")</f>
        <v>自由魔卡，诺和信用计划套路贷，高利贷</v>
      </c>
      <c r="C7009" s="2" t="s">
        <v>9</v>
      </c>
      <c r="D7009" s="2" t="s">
        <v>10</v>
      </c>
      <c r="E7009" s="2" t="str">
        <f>HYPERLINK("http://ts.21cn.com/tousu/show/id/1337955","http://ts.21cn.com/tousu/show/id/1337955")</f>
        <v>http://ts.21cn.com/tousu/show/id/1337955</v>
      </c>
      <c r="F7009" s="2" t="s">
        <v>11</v>
      </c>
      <c r="G7009" s="2" t="s">
        <v>30371</v>
      </c>
      <c r="H7009" s="2" t="s">
        <v>30372</v>
      </c>
    </row>
    <row r="7010" spans="1:8" ht="25.05" customHeight="1" x14ac:dyDescent="0.25">
      <c r="A7010" s="2" t="s">
        <v>8</v>
      </c>
      <c r="B7010" s="2" t="str">
        <f>HYPERLINK("http://ts.21cn.com/tousu/show/id/1337956","拍拍贷手续费")</f>
        <v>拍拍贷手续费</v>
      </c>
      <c r="C7010" s="2" t="s">
        <v>34</v>
      </c>
      <c r="D7010" s="2" t="s">
        <v>10</v>
      </c>
      <c r="E7010" s="2" t="str">
        <f>HYPERLINK("http://ts.21cn.com/tousu/show/id/1337956","http://ts.21cn.com/tousu/show/id/1337956")</f>
        <v>http://ts.21cn.com/tousu/show/id/1337956</v>
      </c>
      <c r="F7010" s="2" t="s">
        <v>11</v>
      </c>
      <c r="G7010" s="2" t="s">
        <v>30369</v>
      </c>
      <c r="H7010" s="2" t="s">
        <v>30370</v>
      </c>
    </row>
    <row r="7011" spans="1:8" ht="25.05" customHeight="1" x14ac:dyDescent="0.25">
      <c r="A7011" s="2" t="s">
        <v>8</v>
      </c>
      <c r="B7011" s="2" t="str">
        <f>HYPERLINK("http://ts.21cn.com/tousu/show/id/1337957","你我贷暴力催收")</f>
        <v>你我贷暴力催收</v>
      </c>
      <c r="C7011" s="2" t="s">
        <v>9</v>
      </c>
      <c r="D7011" s="2" t="s">
        <v>10</v>
      </c>
      <c r="E7011" s="2" t="str">
        <f>HYPERLINK("http://ts.21cn.com/tousu/show/id/1337957","http://ts.21cn.com/tousu/show/id/1337957")</f>
        <v>http://ts.21cn.com/tousu/show/id/1337957</v>
      </c>
      <c r="F7011" s="2" t="s">
        <v>11</v>
      </c>
      <c r="G7011" s="2" t="s">
        <v>30367</v>
      </c>
      <c r="H7011" s="2" t="s">
        <v>30368</v>
      </c>
    </row>
    <row r="7012" spans="1:8" ht="25.05" customHeight="1" x14ac:dyDescent="0.25">
      <c r="A7012" s="2" t="s">
        <v>8</v>
      </c>
      <c r="B7012" s="2" t="str">
        <f>HYPERLINK("http://ts.21cn.com/tousu/show/id/1320158","聚福钱包扣银行卡费用不退款")</f>
        <v>聚福钱包扣银行卡费用不退款</v>
      </c>
      <c r="C7012" s="2" t="s">
        <v>9</v>
      </c>
      <c r="D7012" s="2" t="s">
        <v>10</v>
      </c>
      <c r="E7012" s="2" t="str">
        <f>HYPERLINK("http://ts.21cn.com/tousu/show/id/1320158","http://ts.21cn.com/tousu/show/id/1320158")</f>
        <v>http://ts.21cn.com/tousu/show/id/1320158</v>
      </c>
      <c r="F7012" s="2" t="s">
        <v>11</v>
      </c>
      <c r="G7012" s="2" t="s">
        <v>30365</v>
      </c>
      <c r="H7012" s="2" t="s">
        <v>30366</v>
      </c>
    </row>
    <row r="7013" spans="1:8" ht="25.05" customHeight="1" x14ac:dyDescent="0.25">
      <c r="A7013" s="2" t="s">
        <v>8</v>
      </c>
      <c r="B7013" s="2" t="str">
        <f>HYPERLINK("http://ts.21cn.com/tousu/show/id/1337958","高利货砍头息")</f>
        <v>高利货砍头息</v>
      </c>
      <c r="C7013" s="2" t="s">
        <v>9</v>
      </c>
      <c r="D7013" s="2" t="s">
        <v>10</v>
      </c>
      <c r="E7013" s="2" t="str">
        <f>HYPERLINK("http://ts.21cn.com/tousu/show/id/1337958","http://ts.21cn.com/tousu/show/id/1337958")</f>
        <v>http://ts.21cn.com/tousu/show/id/1337958</v>
      </c>
      <c r="F7013" s="2" t="s">
        <v>11</v>
      </c>
      <c r="G7013" s="2" t="s">
        <v>30363</v>
      </c>
      <c r="H7013" s="2" t="s">
        <v>30364</v>
      </c>
    </row>
    <row r="7014" spans="1:8" ht="25.05" customHeight="1" x14ac:dyDescent="0.25">
      <c r="A7014" s="2" t="s">
        <v>8</v>
      </c>
      <c r="B7014" s="2" t="str">
        <f>HYPERLINK("http://ts.21cn.com/tousu/show/id/1337959","微粒贷第三方不停打电话说话很难听")</f>
        <v>微粒贷第三方不停打电话说话很难听</v>
      </c>
      <c r="C7014" s="2" t="s">
        <v>9</v>
      </c>
      <c r="D7014" s="2" t="s">
        <v>10</v>
      </c>
      <c r="E7014" s="2" t="str">
        <f>HYPERLINK("http://ts.21cn.com/tousu/show/id/1337959","http://ts.21cn.com/tousu/show/id/1337959")</f>
        <v>http://ts.21cn.com/tousu/show/id/1337959</v>
      </c>
      <c r="F7014" s="2" t="s">
        <v>11</v>
      </c>
      <c r="G7014" s="2" t="s">
        <v>30361</v>
      </c>
      <c r="H7014" s="2" t="s">
        <v>30362</v>
      </c>
    </row>
    <row r="7015" spans="1:8" ht="25.05" customHeight="1" x14ac:dyDescent="0.25">
      <c r="A7015" s="2" t="s">
        <v>8</v>
      </c>
      <c r="B7015" s="2" t="str">
        <f>HYPERLINK("http://ts.21cn.com/tousu/show/id/1337960","发p图")</f>
        <v>发p图</v>
      </c>
      <c r="C7015" s="2" t="s">
        <v>9</v>
      </c>
      <c r="D7015" s="2" t="s">
        <v>10</v>
      </c>
      <c r="E7015" s="2" t="str">
        <f>HYPERLINK("http://ts.21cn.com/tousu/show/id/1337960","http://ts.21cn.com/tousu/show/id/1337960")</f>
        <v>http://ts.21cn.com/tousu/show/id/1337960</v>
      </c>
      <c r="F7015" s="2" t="s">
        <v>11</v>
      </c>
      <c r="G7015" s="2" t="s">
        <v>30359</v>
      </c>
      <c r="H7015" s="2" t="s">
        <v>30360</v>
      </c>
    </row>
    <row r="7016" spans="1:8" ht="25.05" customHeight="1" x14ac:dyDescent="0.25">
      <c r="A7016" s="2" t="s">
        <v>8</v>
      </c>
      <c r="B7016" s="2" t="str">
        <f>HYPERLINK("http://ts.21cn.com/tousu/show/id/1337961","买买乐购侵犯隐私，骚扰通讯录")</f>
        <v>买买乐购侵犯隐私，骚扰通讯录</v>
      </c>
      <c r="C7016" s="2" t="s">
        <v>34</v>
      </c>
      <c r="D7016" s="2" t="s">
        <v>10</v>
      </c>
      <c r="E7016" s="2" t="str">
        <f>HYPERLINK("http://ts.21cn.com/tousu/show/id/1337961","http://ts.21cn.com/tousu/show/id/1337961")</f>
        <v>http://ts.21cn.com/tousu/show/id/1337961</v>
      </c>
      <c r="F7016" s="2" t="s">
        <v>11</v>
      </c>
      <c r="G7016" s="2" t="s">
        <v>30357</v>
      </c>
      <c r="H7016" s="2" t="s">
        <v>30358</v>
      </c>
    </row>
    <row r="7017" spans="1:8" ht="25.05" customHeight="1" x14ac:dyDescent="0.25">
      <c r="A7017" s="2" t="s">
        <v>8</v>
      </c>
      <c r="B7017" s="2" t="str">
        <f>HYPERLINK("http://ts.21cn.com/tousu/show/id/1337962","扣款150")</f>
        <v>扣款150</v>
      </c>
      <c r="C7017" s="2" t="s">
        <v>34</v>
      </c>
      <c r="D7017" s="2" t="s">
        <v>10</v>
      </c>
      <c r="E7017" s="2" t="str">
        <f>HYPERLINK("http://ts.21cn.com/tousu/show/id/1337962","http://ts.21cn.com/tousu/show/id/1337962")</f>
        <v>http://ts.21cn.com/tousu/show/id/1337962</v>
      </c>
      <c r="F7017" s="2" t="s">
        <v>11</v>
      </c>
      <c r="G7017" s="2" t="s">
        <v>30355</v>
      </c>
      <c r="H7017" s="2" t="s">
        <v>30356</v>
      </c>
    </row>
    <row r="7018" spans="1:8" ht="25.05" customHeight="1" x14ac:dyDescent="0.25">
      <c r="A7018" s="2" t="s">
        <v>8</v>
      </c>
      <c r="B7018" s="2" t="str">
        <f>HYPERLINK("http://ts.21cn.com/tousu/show/id/1337963","停止骚扰处理登录问题")</f>
        <v>停止骚扰处理登录问题</v>
      </c>
      <c r="C7018" s="2" t="s">
        <v>9</v>
      </c>
      <c r="D7018" s="2" t="s">
        <v>10</v>
      </c>
      <c r="E7018" s="2" t="str">
        <f>HYPERLINK("http://ts.21cn.com/tousu/show/id/1337963","http://ts.21cn.com/tousu/show/id/1337963")</f>
        <v>http://ts.21cn.com/tousu/show/id/1337963</v>
      </c>
      <c r="F7018" s="2" t="s">
        <v>11</v>
      </c>
      <c r="G7018" s="2" t="s">
        <v>30353</v>
      </c>
      <c r="H7018" s="2" t="s">
        <v>30354</v>
      </c>
    </row>
    <row r="7019" spans="1:8" ht="25.05" customHeight="1" x14ac:dyDescent="0.25">
      <c r="A7019" s="2" t="s">
        <v>8</v>
      </c>
      <c r="B7019" s="2" t="str">
        <f>HYPERLINK("http://ts.21cn.com/tousu/show/id/1337964","投诉拍拍贷")</f>
        <v>投诉拍拍贷</v>
      </c>
      <c r="C7019" s="2" t="s">
        <v>9</v>
      </c>
      <c r="D7019" s="2" t="s">
        <v>10</v>
      </c>
      <c r="E7019" s="2" t="str">
        <f>HYPERLINK("http://ts.21cn.com/tousu/show/id/1337964","http://ts.21cn.com/tousu/show/id/1337964")</f>
        <v>http://ts.21cn.com/tousu/show/id/1337964</v>
      </c>
      <c r="F7019" s="2" t="s">
        <v>11</v>
      </c>
      <c r="G7019" s="2" t="s">
        <v>30351</v>
      </c>
      <c r="H7019" s="2" t="s">
        <v>30352</v>
      </c>
    </row>
    <row r="7020" spans="1:8" ht="25.05" customHeight="1" x14ac:dyDescent="0.25">
      <c r="A7020" s="2" t="s">
        <v>8</v>
      </c>
      <c r="B7020" s="2" t="str">
        <f>HYPERLINK("http://ts.21cn.com/tousu/show/id/1337900","大黄蜂催收发短信威胁恐吓侮辱本人，要求道歉，赔偿，解释从何处获取本人资料并彻底删除资料，愿接受全网媒体采访曝光该平台恶习")</f>
        <v>大黄蜂催收发短信威胁恐吓侮辱本人，要求道歉，赔偿，解释从何处获取本人资料并彻底删除资料，愿接受全网媒体采访曝光该平台恶习</v>
      </c>
      <c r="C7020" s="2" t="s">
        <v>9</v>
      </c>
      <c r="D7020" s="2" t="s">
        <v>10</v>
      </c>
      <c r="E7020" s="2" t="str">
        <f>HYPERLINK("http://ts.21cn.com/tousu/show/id/1337900","http://ts.21cn.com/tousu/show/id/1337900")</f>
        <v>http://ts.21cn.com/tousu/show/id/1337900</v>
      </c>
      <c r="F7020" s="2" t="s">
        <v>11</v>
      </c>
      <c r="G7020" s="2" t="s">
        <v>30349</v>
      </c>
      <c r="H7020" s="2" t="s">
        <v>30350</v>
      </c>
    </row>
    <row r="7021" spans="1:8" ht="25.05" customHeight="1" x14ac:dyDescent="0.25">
      <c r="A7021" s="2" t="s">
        <v>8</v>
      </c>
      <c r="B7021" s="2" t="str">
        <f>HYPERLINK("http://ts.21cn.com/tousu/show/id/1337965","网络高利贷")</f>
        <v>网络高利贷</v>
      </c>
      <c r="C7021" s="2" t="s">
        <v>9</v>
      </c>
      <c r="D7021" s="2" t="s">
        <v>10</v>
      </c>
      <c r="E7021" s="2" t="str">
        <f>HYPERLINK("http://ts.21cn.com/tousu/show/id/1337965","http://ts.21cn.com/tousu/show/id/1337965")</f>
        <v>http://ts.21cn.com/tousu/show/id/1337965</v>
      </c>
      <c r="F7021" s="2" t="s">
        <v>11</v>
      </c>
      <c r="G7021" s="2" t="s">
        <v>30347</v>
      </c>
      <c r="H7021" s="2" t="s">
        <v>30348</v>
      </c>
    </row>
    <row r="7022" spans="1:8" ht="25.05" customHeight="1" x14ac:dyDescent="0.25">
      <c r="A7022" s="2" t="s">
        <v>8</v>
      </c>
      <c r="B7022" s="2" t="str">
        <f>HYPERLINK("http://ts.21cn.com/tousu/show/id/1337966","及贷放款暗扣保险费")</f>
        <v>及贷放款暗扣保险费</v>
      </c>
      <c r="C7022" s="2" t="s">
        <v>9</v>
      </c>
      <c r="D7022" s="2" t="s">
        <v>10</v>
      </c>
      <c r="E7022" s="2" t="str">
        <f>HYPERLINK("http://ts.21cn.com/tousu/show/id/1337966","http://ts.21cn.com/tousu/show/id/1337966")</f>
        <v>http://ts.21cn.com/tousu/show/id/1337966</v>
      </c>
      <c r="F7022" s="2" t="s">
        <v>11</v>
      </c>
      <c r="G7022" s="2" t="s">
        <v>30345</v>
      </c>
      <c r="H7022" s="2" t="s">
        <v>30346</v>
      </c>
    </row>
    <row r="7023" spans="1:8" ht="25.05" customHeight="1" x14ac:dyDescent="0.25">
      <c r="A7023" s="2" t="s">
        <v>8</v>
      </c>
      <c r="B7023" s="2" t="str">
        <f>HYPERLINK("http://ts.21cn.com/tousu/show/id/1337967","想有钱佑佑分期速赢分期金宝盆到期当天催收爆通讯录P图")</f>
        <v>想有钱佑佑分期速赢分期金宝盆到期当天催收爆通讯录P图</v>
      </c>
      <c r="C7023" s="2" t="s">
        <v>9</v>
      </c>
      <c r="D7023" s="2" t="s">
        <v>10</v>
      </c>
      <c r="E7023" s="2" t="str">
        <f>HYPERLINK("http://ts.21cn.com/tousu/show/id/1337967","http://ts.21cn.com/tousu/show/id/1337967")</f>
        <v>http://ts.21cn.com/tousu/show/id/1337967</v>
      </c>
      <c r="F7023" s="2" t="s">
        <v>11</v>
      </c>
      <c r="G7023" s="2" t="s">
        <v>30343</v>
      </c>
      <c r="H7023" s="2" t="s">
        <v>30344</v>
      </c>
    </row>
    <row r="7024" spans="1:8" ht="25.05" customHeight="1" x14ac:dyDescent="0.25">
      <c r="A7024" s="2" t="s">
        <v>8</v>
      </c>
      <c r="B7024" s="2" t="str">
        <f>HYPERLINK("http://ts.21cn.com/tousu/show/id/1337968","在微信抽奖活动平台买的产品，卖家虚假发货，并且联系不上，没法退款")</f>
        <v>在微信抽奖活动平台买的产品，卖家虚假发货，并且联系不上，没法退款</v>
      </c>
      <c r="C7024" s="2" t="s">
        <v>9</v>
      </c>
      <c r="D7024" s="2" t="s">
        <v>10</v>
      </c>
      <c r="E7024" s="2" t="str">
        <f>HYPERLINK("http://ts.21cn.com/tousu/show/id/1337968","http://ts.21cn.com/tousu/show/id/1337968")</f>
        <v>http://ts.21cn.com/tousu/show/id/1337968</v>
      </c>
      <c r="F7024" s="2" t="s">
        <v>11</v>
      </c>
      <c r="G7024" s="2" t="s">
        <v>30341</v>
      </c>
      <c r="H7024" s="2" t="s">
        <v>30342</v>
      </c>
    </row>
    <row r="7025" spans="1:8" ht="25.05" customHeight="1" x14ac:dyDescent="0.25">
      <c r="A7025" s="2" t="s">
        <v>8</v>
      </c>
      <c r="B7025" s="2" t="str">
        <f>HYPERLINK("http://ts.21cn.com/tousu/show/id/1337969","万达普惠暴力催收，一天20、30个电话。电话都要打爆。严重影响工作和生活。")</f>
        <v>万达普惠暴力催收，一天20、30个电话。电话都要打爆。严重影响工作和生活。</v>
      </c>
      <c r="C7025" s="2" t="s">
        <v>9</v>
      </c>
      <c r="D7025" s="2" t="s">
        <v>10</v>
      </c>
      <c r="E7025" s="2" t="str">
        <f>HYPERLINK("http://ts.21cn.com/tousu/show/id/1337969","http://ts.21cn.com/tousu/show/id/1337969")</f>
        <v>http://ts.21cn.com/tousu/show/id/1337969</v>
      </c>
      <c r="F7025" s="2" t="s">
        <v>11</v>
      </c>
      <c r="G7025" s="2" t="s">
        <v>30339</v>
      </c>
      <c r="H7025" s="2" t="s">
        <v>30340</v>
      </c>
    </row>
    <row r="7026" spans="1:8" ht="25.05" customHeight="1" x14ac:dyDescent="0.25">
      <c r="A7026" s="2" t="s">
        <v>8</v>
      </c>
      <c r="B7026" s="2" t="str">
        <f>HYPERLINK("http://ts.21cn.com/tousu/show/id/1337970","金鸡下蛋，威力贷，随你分期网贷平台黑网贷砍头息高利贷")</f>
        <v>金鸡下蛋，威力贷，随你分期网贷平台黑网贷砍头息高利贷</v>
      </c>
      <c r="C7026" s="2" t="s">
        <v>9</v>
      </c>
      <c r="D7026" s="2" t="s">
        <v>10</v>
      </c>
      <c r="E7026" s="2" t="str">
        <f>HYPERLINK("http://ts.21cn.com/tousu/show/id/1337970","http://ts.21cn.com/tousu/show/id/1337970")</f>
        <v>http://ts.21cn.com/tousu/show/id/1337970</v>
      </c>
      <c r="F7026" s="2" t="s">
        <v>11</v>
      </c>
      <c r="G7026" s="2" t="s">
        <v>30337</v>
      </c>
      <c r="H7026" s="2" t="s">
        <v>30338</v>
      </c>
    </row>
    <row r="7027" spans="1:8" ht="25.05" customHeight="1" x14ac:dyDescent="0.25">
      <c r="A7027" s="2" t="s">
        <v>8</v>
      </c>
      <c r="B7027" s="2" t="str">
        <f>HYPERLINK("http://ts.21cn.com/tousu/show/id/1337971","小米客服协商还款")</f>
        <v>小米客服协商还款</v>
      </c>
      <c r="C7027" s="2" t="s">
        <v>34</v>
      </c>
      <c r="D7027" s="2" t="s">
        <v>10</v>
      </c>
      <c r="E7027" s="2" t="str">
        <f>HYPERLINK("http://ts.21cn.com/tousu/show/id/1337971","http://ts.21cn.com/tousu/show/id/1337971")</f>
        <v>http://ts.21cn.com/tousu/show/id/1337971</v>
      </c>
      <c r="F7027" s="2" t="s">
        <v>11</v>
      </c>
      <c r="G7027" s="2" t="s">
        <v>30335</v>
      </c>
      <c r="H7027" s="2" t="s">
        <v>30336</v>
      </c>
    </row>
    <row r="7028" spans="1:8" ht="25.05" customHeight="1" x14ac:dyDescent="0.25">
      <c r="A7028" s="2" t="s">
        <v>8</v>
      </c>
      <c r="B7028" s="2" t="str">
        <f>HYPERLINK("http://ts.21cn.com/tousu/show/id/1337972","巳还款还骚扰")</f>
        <v>巳还款还骚扰</v>
      </c>
      <c r="C7028" s="2" t="s">
        <v>9</v>
      </c>
      <c r="D7028" s="2" t="s">
        <v>10</v>
      </c>
      <c r="E7028" s="2" t="str">
        <f>HYPERLINK("http://ts.21cn.com/tousu/show/id/1337972","http://ts.21cn.com/tousu/show/id/1337972")</f>
        <v>http://ts.21cn.com/tousu/show/id/1337972</v>
      </c>
      <c r="F7028" s="2" t="s">
        <v>11</v>
      </c>
      <c r="G7028" s="2" t="s">
        <v>30333</v>
      </c>
      <c r="H7028" s="2" t="s">
        <v>30334</v>
      </c>
    </row>
    <row r="7029" spans="1:8" ht="25.05" customHeight="1" x14ac:dyDescent="0.25">
      <c r="A7029" s="2" t="s">
        <v>8</v>
      </c>
      <c r="B7029" s="2" t="str">
        <f>HYPERLINK("http://ts.21cn.com/tousu/show/id/1337973","提前未经告知扣除费用")</f>
        <v>提前未经告知扣除费用</v>
      </c>
      <c r="C7029" s="2" t="s">
        <v>9</v>
      </c>
      <c r="D7029" s="2" t="s">
        <v>10</v>
      </c>
      <c r="E7029" s="2" t="str">
        <f>HYPERLINK("http://ts.21cn.com/tousu/show/id/1337973","http://ts.21cn.com/tousu/show/id/1337973")</f>
        <v>http://ts.21cn.com/tousu/show/id/1337973</v>
      </c>
      <c r="F7029" s="2" t="s">
        <v>11</v>
      </c>
      <c r="G7029" s="2" t="s">
        <v>30332</v>
      </c>
      <c r="H7029" s="2" t="s">
        <v>11904</v>
      </c>
    </row>
    <row r="7030" spans="1:8" ht="25.05" customHeight="1" x14ac:dyDescent="0.25">
      <c r="A7030" s="2" t="s">
        <v>8</v>
      </c>
      <c r="B7030" s="2" t="str">
        <f>HYPERLINK("http://ts.21cn.com/tousu/show/id/1337974","在美团订房之后取消不了订单，不能退款")</f>
        <v>在美团订房之后取消不了订单，不能退款</v>
      </c>
      <c r="C7030" s="2" t="s">
        <v>9</v>
      </c>
      <c r="D7030" s="2" t="s">
        <v>10</v>
      </c>
      <c r="E7030" s="2" t="str">
        <f>HYPERLINK("http://ts.21cn.com/tousu/show/id/1337974","http://ts.21cn.com/tousu/show/id/1337974")</f>
        <v>http://ts.21cn.com/tousu/show/id/1337974</v>
      </c>
      <c r="F7030" s="2" t="s">
        <v>11</v>
      </c>
      <c r="G7030" s="2" t="s">
        <v>30330</v>
      </c>
      <c r="H7030" s="2" t="s">
        <v>30331</v>
      </c>
    </row>
    <row r="7031" spans="1:8" ht="25.05" customHeight="1" x14ac:dyDescent="0.25">
      <c r="A7031" s="2" t="s">
        <v>8</v>
      </c>
      <c r="B7031" s="2" t="str">
        <f>HYPERLINK("http://ts.21cn.com/tousu/show/id/1337975","钱站变相收取高额利息")</f>
        <v>钱站变相收取高额利息</v>
      </c>
      <c r="C7031" s="2" t="s">
        <v>9</v>
      </c>
      <c r="D7031" s="2" t="s">
        <v>10</v>
      </c>
      <c r="E7031" s="2" t="str">
        <f>HYPERLINK("http://ts.21cn.com/tousu/show/id/1337975","http://ts.21cn.com/tousu/show/id/1337975")</f>
        <v>http://ts.21cn.com/tousu/show/id/1337975</v>
      </c>
      <c r="F7031" s="2" t="s">
        <v>11</v>
      </c>
      <c r="G7031" s="2" t="s">
        <v>30328</v>
      </c>
      <c r="H7031" s="2" t="s">
        <v>30329</v>
      </c>
    </row>
    <row r="7032" spans="1:8" ht="25.05" customHeight="1" x14ac:dyDescent="0.25">
      <c r="A7032" s="2" t="s">
        <v>8</v>
      </c>
      <c r="B7032" s="2" t="str">
        <f>HYPERLINK("http://ts.21cn.com/tousu/show/id/1337977","自由魔卡六便士高利贷，暴力催收，三水深业和大有茗器为高利贷提供支付渠道")</f>
        <v>自由魔卡六便士高利贷，暴力催收，三水深业和大有茗器为高利贷提供支付渠道</v>
      </c>
      <c r="C7032" s="2" t="s">
        <v>9</v>
      </c>
      <c r="D7032" s="2" t="s">
        <v>10</v>
      </c>
      <c r="E7032" s="2" t="str">
        <f>HYPERLINK("http://ts.21cn.com/tousu/show/id/1337977","http://ts.21cn.com/tousu/show/id/1337977")</f>
        <v>http://ts.21cn.com/tousu/show/id/1337977</v>
      </c>
      <c r="F7032" s="2" t="s">
        <v>11</v>
      </c>
      <c r="G7032" s="2" t="s">
        <v>30326</v>
      </c>
      <c r="H7032" s="2" t="s">
        <v>30327</v>
      </c>
    </row>
    <row r="7033" spans="1:8" ht="25.05" customHeight="1" x14ac:dyDescent="0.25">
      <c r="A7033" s="2" t="s">
        <v>8</v>
      </c>
      <c r="B7033" s="2" t="str">
        <f>HYPERLINK("http://ts.21cn.com/tousu/show/id/1337980","暴力催收高利贷")</f>
        <v>暴力催收高利贷</v>
      </c>
      <c r="C7033" s="2" t="s">
        <v>9</v>
      </c>
      <c r="D7033" s="2" t="s">
        <v>10</v>
      </c>
      <c r="E7033" s="2" t="str">
        <f>HYPERLINK("http://ts.21cn.com/tousu/show/id/1337980","http://ts.21cn.com/tousu/show/id/1337980")</f>
        <v>http://ts.21cn.com/tousu/show/id/1337980</v>
      </c>
      <c r="F7033" s="2" t="s">
        <v>11</v>
      </c>
      <c r="G7033" s="2" t="s">
        <v>30324</v>
      </c>
      <c r="H7033" s="2" t="s">
        <v>30325</v>
      </c>
    </row>
    <row r="7034" spans="1:8" ht="25.05" customHeight="1" x14ac:dyDescent="0.25">
      <c r="A7034" s="2" t="s">
        <v>8</v>
      </c>
      <c r="B7034" s="2" t="str">
        <f>HYPERLINK("http://ts.21cn.com/tousu/show/id/1337981","自由摩卡，超级马力贷，高利贷i")</f>
        <v>自由摩卡，超级马力贷，高利贷i</v>
      </c>
      <c r="C7034" s="2" t="s">
        <v>9</v>
      </c>
      <c r="D7034" s="2" t="s">
        <v>10</v>
      </c>
      <c r="E7034" s="2" t="str">
        <f>HYPERLINK("http://ts.21cn.com/tousu/show/id/1337981","http://ts.21cn.com/tousu/show/id/1337981")</f>
        <v>http://ts.21cn.com/tousu/show/id/1337981</v>
      </c>
      <c r="F7034" s="2" t="s">
        <v>11</v>
      </c>
      <c r="G7034" s="2" t="s">
        <v>30322</v>
      </c>
      <c r="H7034" s="2" t="s">
        <v>30323</v>
      </c>
    </row>
    <row r="7035" spans="1:8" ht="25.05" customHeight="1" x14ac:dyDescent="0.25">
      <c r="A7035" s="2" t="s">
        <v>8</v>
      </c>
      <c r="B7035" s="2" t="str">
        <f>HYPERLINK("http://ts.21cn.com/tousu/show/id/1337982","壹心分期非法高利贷")</f>
        <v>壹心分期非法高利贷</v>
      </c>
      <c r="C7035" s="2" t="s">
        <v>9</v>
      </c>
      <c r="D7035" s="2" t="s">
        <v>10</v>
      </c>
      <c r="E7035" s="2" t="str">
        <f>HYPERLINK("http://ts.21cn.com/tousu/show/id/1337982","http://ts.21cn.com/tousu/show/id/1337982")</f>
        <v>http://ts.21cn.com/tousu/show/id/1337982</v>
      </c>
      <c r="F7035" s="2" t="s">
        <v>11</v>
      </c>
      <c r="G7035" s="2" t="s">
        <v>30320</v>
      </c>
      <c r="H7035" s="2" t="s">
        <v>30321</v>
      </c>
    </row>
    <row r="7036" spans="1:8" ht="25.05" customHeight="1" x14ac:dyDescent="0.25">
      <c r="A7036" s="2" t="s">
        <v>8</v>
      </c>
      <c r="B7036" s="2" t="str">
        <f>HYPERLINK("http://ts.21cn.com/tousu/show/id/1337984","恶意收款")</f>
        <v>恶意收款</v>
      </c>
      <c r="C7036" s="2" t="s">
        <v>9</v>
      </c>
      <c r="D7036" s="2" t="s">
        <v>10</v>
      </c>
      <c r="E7036" s="2" t="str">
        <f>HYPERLINK("http://ts.21cn.com/tousu/show/id/1337984","http://ts.21cn.com/tousu/show/id/1337984")</f>
        <v>http://ts.21cn.com/tousu/show/id/1337984</v>
      </c>
      <c r="F7036" s="2" t="s">
        <v>11</v>
      </c>
      <c r="G7036" s="2" t="s">
        <v>30318</v>
      </c>
      <c r="H7036" s="2" t="s">
        <v>30319</v>
      </c>
    </row>
    <row r="7037" spans="1:8" ht="25.05" customHeight="1" x14ac:dyDescent="0.25">
      <c r="A7037" s="2" t="s">
        <v>8</v>
      </c>
      <c r="B7037" s="2" t="str">
        <f>HYPERLINK("http://ts.21cn.com/tousu/show/id/1337983","希望上海瀚银信息撤回钱")</f>
        <v>希望上海瀚银信息撤回钱</v>
      </c>
      <c r="C7037" s="2" t="s">
        <v>9</v>
      </c>
      <c r="D7037" s="2" t="s">
        <v>10</v>
      </c>
      <c r="E7037" s="2" t="str">
        <f>HYPERLINK("http://ts.21cn.com/tousu/show/id/1337983","http://ts.21cn.com/tousu/show/id/1337983")</f>
        <v>http://ts.21cn.com/tousu/show/id/1337983</v>
      </c>
      <c r="F7037" s="2" t="s">
        <v>11</v>
      </c>
      <c r="G7037" s="2" t="s">
        <v>30316</v>
      </c>
      <c r="H7037" s="2" t="s">
        <v>30317</v>
      </c>
    </row>
    <row r="7038" spans="1:8" ht="25.05" customHeight="1" x14ac:dyDescent="0.25">
      <c r="A7038" s="2" t="s">
        <v>8</v>
      </c>
      <c r="B7038" s="2" t="str">
        <f>HYPERLINK("http://ts.21cn.com/tousu/show/id/1337985","闪银变相利息")</f>
        <v>闪银变相利息</v>
      </c>
      <c r="C7038" s="2" t="s">
        <v>9</v>
      </c>
      <c r="D7038" s="2" t="s">
        <v>10</v>
      </c>
      <c r="E7038" s="2" t="str">
        <f>HYPERLINK("http://ts.21cn.com/tousu/show/id/1337985","http://ts.21cn.com/tousu/show/id/1337985")</f>
        <v>http://ts.21cn.com/tousu/show/id/1337985</v>
      </c>
      <c r="F7038" s="2" t="s">
        <v>11</v>
      </c>
      <c r="G7038" s="2" t="s">
        <v>30314</v>
      </c>
      <c r="H7038" s="2" t="s">
        <v>30315</v>
      </c>
    </row>
    <row r="7039" spans="1:8" ht="25.05" customHeight="1" x14ac:dyDescent="0.25">
      <c r="A7039" s="2" t="s">
        <v>8</v>
      </c>
      <c r="B7039" s="2" t="str">
        <f>HYPERLINK("http://ts.21cn.com/tousu/show/id/1337986","闲鱼买到假货")</f>
        <v>闲鱼买到假货</v>
      </c>
      <c r="C7039" s="2" t="s">
        <v>9</v>
      </c>
      <c r="D7039" s="2" t="s">
        <v>10</v>
      </c>
      <c r="E7039" s="2" t="str">
        <f>HYPERLINK("http://ts.21cn.com/tousu/show/id/1337986","http://ts.21cn.com/tousu/show/id/1337986")</f>
        <v>http://ts.21cn.com/tousu/show/id/1337986</v>
      </c>
      <c r="F7039" s="2" t="s">
        <v>11</v>
      </c>
      <c r="G7039" s="2" t="s">
        <v>30312</v>
      </c>
      <c r="H7039" s="2" t="s">
        <v>30313</v>
      </c>
    </row>
    <row r="7040" spans="1:8" ht="25.05" customHeight="1" x14ac:dyDescent="0.25">
      <c r="A7040" s="2" t="s">
        <v>8</v>
      </c>
      <c r="B7040" s="2" t="str">
        <f>HYPERLINK("http://ts.21cn.com/tousu/show/id/1337987","浦优客乱扣款")</f>
        <v>浦优客乱扣款</v>
      </c>
      <c r="C7040" s="2" t="s">
        <v>9</v>
      </c>
      <c r="D7040" s="2" t="s">
        <v>10</v>
      </c>
      <c r="E7040" s="2" t="str">
        <f>HYPERLINK("http://ts.21cn.com/tousu/show/id/1337987","http://ts.21cn.com/tousu/show/id/1337987")</f>
        <v>http://ts.21cn.com/tousu/show/id/1337987</v>
      </c>
      <c r="F7040" s="2" t="s">
        <v>11</v>
      </c>
      <c r="G7040" s="2" t="s">
        <v>30310</v>
      </c>
      <c r="H7040" s="2" t="s">
        <v>30311</v>
      </c>
    </row>
    <row r="7041" spans="1:8" ht="25.05" customHeight="1" x14ac:dyDescent="0.25">
      <c r="A7041" s="2" t="s">
        <v>8</v>
      </c>
      <c r="B7041" s="2" t="str">
        <f>HYPERLINK("http://ts.21cn.com/tousu/show/id/1337988","盗刷私自扣款要求退款")</f>
        <v>盗刷私自扣款要求退款</v>
      </c>
      <c r="C7041" s="2" t="s">
        <v>9</v>
      </c>
      <c r="D7041" s="2" t="s">
        <v>10</v>
      </c>
      <c r="E7041" s="2" t="str">
        <f>HYPERLINK("http://ts.21cn.com/tousu/show/id/1337988","http://ts.21cn.com/tousu/show/id/1337988")</f>
        <v>http://ts.21cn.com/tousu/show/id/1337988</v>
      </c>
      <c r="F7041" s="2" t="s">
        <v>11</v>
      </c>
      <c r="G7041" s="2" t="s">
        <v>30308</v>
      </c>
      <c r="H7041" s="2" t="s">
        <v>30309</v>
      </c>
    </row>
    <row r="7042" spans="1:8" ht="25.05" customHeight="1" x14ac:dyDescent="0.25">
      <c r="A7042" s="2" t="s">
        <v>8</v>
      </c>
      <c r="B7042" s="2" t="str">
        <f>HYPERLINK("http://ts.21cn.com/tousu/show/id/1337989","飞鸟分期高利贷，电话骚扰")</f>
        <v>飞鸟分期高利贷，电话骚扰</v>
      </c>
      <c r="C7042" s="2" t="s">
        <v>9</v>
      </c>
      <c r="D7042" s="2" t="s">
        <v>10</v>
      </c>
      <c r="E7042" s="2" t="str">
        <f>HYPERLINK("http://ts.21cn.com/tousu/show/id/1337989","http://ts.21cn.com/tousu/show/id/1337989")</f>
        <v>http://ts.21cn.com/tousu/show/id/1337989</v>
      </c>
      <c r="F7042" s="2" t="s">
        <v>11</v>
      </c>
      <c r="G7042" s="2" t="s">
        <v>30306</v>
      </c>
      <c r="H7042" s="2" t="s">
        <v>30307</v>
      </c>
    </row>
    <row r="7043" spans="1:8" ht="25.05" customHeight="1" x14ac:dyDescent="0.25">
      <c r="A7043" s="2" t="s">
        <v>8</v>
      </c>
      <c r="B7043" s="2" t="str">
        <f>HYPERLINK("http://ts.21cn.com/tousu/show/id/1337990","高利贷砍头息")</f>
        <v>高利贷砍头息</v>
      </c>
      <c r="C7043" s="2" t="s">
        <v>9</v>
      </c>
      <c r="D7043" s="2" t="s">
        <v>10</v>
      </c>
      <c r="E7043" s="2" t="str">
        <f>HYPERLINK("http://ts.21cn.com/tousu/show/id/1337990","http://ts.21cn.com/tousu/show/id/1337990")</f>
        <v>http://ts.21cn.com/tousu/show/id/1337990</v>
      </c>
      <c r="F7043" s="2" t="s">
        <v>11</v>
      </c>
      <c r="G7043" s="2" t="s">
        <v>30304</v>
      </c>
      <c r="H7043" s="2" t="s">
        <v>30305</v>
      </c>
    </row>
    <row r="7044" spans="1:8" ht="25.05" customHeight="1" x14ac:dyDescent="0.25">
      <c r="A7044" s="2" t="s">
        <v>8</v>
      </c>
      <c r="B7044" s="2" t="str">
        <f>HYPERLINK("http://ts.21cn.com/tousu/show/id/1337991","豆豆钱贷款陷阱砍头利息欺诈我880元")</f>
        <v>豆豆钱贷款陷阱砍头利息欺诈我880元</v>
      </c>
      <c r="C7044" s="2" t="s">
        <v>9</v>
      </c>
      <c r="D7044" s="2" t="s">
        <v>10</v>
      </c>
      <c r="E7044" s="2" t="str">
        <f>HYPERLINK("http://ts.21cn.com/tousu/show/id/1337991","http://ts.21cn.com/tousu/show/id/1337991")</f>
        <v>http://ts.21cn.com/tousu/show/id/1337991</v>
      </c>
      <c r="F7044" s="2" t="s">
        <v>11</v>
      </c>
      <c r="G7044" s="2" t="s">
        <v>30302</v>
      </c>
      <c r="H7044" s="2" t="s">
        <v>30303</v>
      </c>
    </row>
    <row r="7045" spans="1:8" ht="25.05" customHeight="1" x14ac:dyDescent="0.25">
      <c r="A7045" s="2" t="s">
        <v>8</v>
      </c>
      <c r="B7045" s="2" t="str">
        <f>HYPERLINK("http://ts.21cn.com/tousu/show/id/1335843","浦发万用金")</f>
        <v>浦发万用金</v>
      </c>
      <c r="C7045" s="2" t="s">
        <v>9</v>
      </c>
      <c r="D7045" s="2" t="s">
        <v>10</v>
      </c>
      <c r="E7045" s="2" t="str">
        <f>HYPERLINK("http://ts.21cn.com/tousu/show/id/1335843","http://ts.21cn.com/tousu/show/id/1335843")</f>
        <v>http://ts.21cn.com/tousu/show/id/1335843</v>
      </c>
      <c r="F7045" s="2" t="s">
        <v>11</v>
      </c>
      <c r="G7045" s="2" t="s">
        <v>30300</v>
      </c>
      <c r="H7045" s="2" t="s">
        <v>30301</v>
      </c>
    </row>
    <row r="7046" spans="1:8" ht="25.05" customHeight="1" x14ac:dyDescent="0.25">
      <c r="A7046" s="2" t="s">
        <v>8</v>
      </c>
      <c r="B7046" s="2" t="str">
        <f>HYPERLINK("http://ts.21cn.com/tousu/show/id/1337992","钱站高利贷阴阳合同")</f>
        <v>钱站高利贷阴阳合同</v>
      </c>
      <c r="C7046" s="2" t="s">
        <v>9</v>
      </c>
      <c r="D7046" s="2" t="s">
        <v>10</v>
      </c>
      <c r="E7046" s="2" t="str">
        <f>HYPERLINK("http://ts.21cn.com/tousu/show/id/1337992","http://ts.21cn.com/tousu/show/id/1337992")</f>
        <v>http://ts.21cn.com/tousu/show/id/1337992</v>
      </c>
      <c r="F7046" s="2" t="s">
        <v>11</v>
      </c>
      <c r="G7046" s="2" t="s">
        <v>30298</v>
      </c>
      <c r="H7046" s="2" t="s">
        <v>30299</v>
      </c>
    </row>
    <row r="7047" spans="1:8" ht="25.05" customHeight="1" x14ac:dyDescent="0.25">
      <c r="A7047" s="2" t="s">
        <v>8</v>
      </c>
      <c r="B7047" s="2" t="str">
        <f>HYPERLINK("http://ts.21cn.com/tousu/show/id/1337918","喜鹊快贷涉嫌虚拟合同")</f>
        <v>喜鹊快贷涉嫌虚拟合同</v>
      </c>
      <c r="C7047" s="2" t="s">
        <v>9</v>
      </c>
      <c r="D7047" s="2" t="s">
        <v>10</v>
      </c>
      <c r="E7047" s="2" t="str">
        <f>HYPERLINK("http://ts.21cn.com/tousu/show/id/1337918","http://ts.21cn.com/tousu/show/id/1337918")</f>
        <v>http://ts.21cn.com/tousu/show/id/1337918</v>
      </c>
      <c r="F7047" s="2" t="s">
        <v>11</v>
      </c>
      <c r="G7047" s="2" t="s">
        <v>30296</v>
      </c>
      <c r="H7047" s="2" t="s">
        <v>30297</v>
      </c>
    </row>
    <row r="7048" spans="1:8" ht="25.05" customHeight="1" x14ac:dyDescent="0.25">
      <c r="A7048" s="2" t="s">
        <v>8</v>
      </c>
      <c r="B7048" s="2" t="str">
        <f>HYPERLINK("http://ts.21cn.com/tousu/show/id/1337994","魔借黑网贷借8558到账6000，最后还一万")</f>
        <v>魔借黑网贷借8558到账6000，最后还一万</v>
      </c>
      <c r="C7048" s="2" t="s">
        <v>34</v>
      </c>
      <c r="D7048" s="2" t="s">
        <v>10</v>
      </c>
      <c r="E7048" s="2" t="str">
        <f>HYPERLINK("http://ts.21cn.com/tousu/show/id/1337994","http://ts.21cn.com/tousu/show/id/1337994")</f>
        <v>http://ts.21cn.com/tousu/show/id/1337994</v>
      </c>
      <c r="F7048" s="2" t="s">
        <v>11</v>
      </c>
      <c r="G7048" s="2" t="s">
        <v>30294</v>
      </c>
      <c r="H7048" s="2" t="s">
        <v>30295</v>
      </c>
    </row>
    <row r="7049" spans="1:8" ht="25.05" customHeight="1" x14ac:dyDescent="0.25">
      <c r="A7049" s="2" t="s">
        <v>8</v>
      </c>
      <c r="B7049" s="2" t="str">
        <f>HYPERLINK("http://ts.21cn.com/tousu/show/id/1337993","贷上钱暴力催收，骚扰通讯录")</f>
        <v>贷上钱暴力催收，骚扰通讯录</v>
      </c>
      <c r="C7049" s="2" t="s">
        <v>9</v>
      </c>
      <c r="D7049" s="2" t="s">
        <v>10</v>
      </c>
      <c r="E7049" s="2" t="str">
        <f>HYPERLINK("http://ts.21cn.com/tousu/show/id/1337993","http://ts.21cn.com/tousu/show/id/1337993")</f>
        <v>http://ts.21cn.com/tousu/show/id/1337993</v>
      </c>
      <c r="F7049" s="2" t="s">
        <v>11</v>
      </c>
      <c r="G7049" s="2" t="s">
        <v>30292</v>
      </c>
      <c r="H7049" s="2" t="s">
        <v>30293</v>
      </c>
    </row>
    <row r="7050" spans="1:8" ht="25.05" customHeight="1" x14ac:dyDescent="0.25">
      <c r="A7050" s="2" t="s">
        <v>8</v>
      </c>
      <c r="B7050" s="2" t="str">
        <f>HYPERLINK("http://ts.21cn.com/tousu/show/id/1337996","退还高利贷购买旅行劵费用。")</f>
        <v>退还高利贷购买旅行劵费用。</v>
      </c>
      <c r="C7050" s="2" t="s">
        <v>9</v>
      </c>
      <c r="D7050" s="2" t="s">
        <v>10</v>
      </c>
      <c r="E7050" s="2" t="str">
        <f>HYPERLINK("http://ts.21cn.com/tousu/show/id/1337996","http://ts.21cn.com/tousu/show/id/1337996")</f>
        <v>http://ts.21cn.com/tousu/show/id/1337996</v>
      </c>
      <c r="F7050" s="2" t="s">
        <v>11</v>
      </c>
      <c r="G7050" s="2" t="s">
        <v>30290</v>
      </c>
      <c r="H7050" s="2" t="s">
        <v>30291</v>
      </c>
    </row>
    <row r="7051" spans="1:8" ht="25.05" customHeight="1" x14ac:dyDescent="0.25">
      <c r="A7051" s="2" t="s">
        <v>8</v>
      </c>
      <c r="B7051" s="2" t="str">
        <f>HYPERLINK("http://ts.21cn.com/tousu/show/id/1337997","放宽还款时间")</f>
        <v>放宽还款时间</v>
      </c>
      <c r="C7051" s="2" t="s">
        <v>34</v>
      </c>
      <c r="D7051" s="2" t="s">
        <v>10</v>
      </c>
      <c r="E7051" s="2" t="str">
        <f>HYPERLINK("http://ts.21cn.com/tousu/show/id/1337997","http://ts.21cn.com/tousu/show/id/1337997")</f>
        <v>http://ts.21cn.com/tousu/show/id/1337997</v>
      </c>
      <c r="F7051" s="2" t="s">
        <v>11</v>
      </c>
      <c r="G7051" s="2" t="s">
        <v>30288</v>
      </c>
      <c r="H7051" s="2" t="s">
        <v>30289</v>
      </c>
    </row>
    <row r="7052" spans="1:8" ht="25.05" customHeight="1" x14ac:dyDescent="0.25">
      <c r="A7052" s="2" t="s">
        <v>8</v>
      </c>
      <c r="B7052" s="2" t="str">
        <f>HYPERLINK("http://ts.21cn.com/tousu/show/id/1337998","鼎信商务催收人员恶毒语言辱骂本人以及各种电话骚扰上门威胁")</f>
        <v>鼎信商务催收人员恶毒语言辱骂本人以及各种电话骚扰上门威胁</v>
      </c>
      <c r="C7052" s="2" t="s">
        <v>9</v>
      </c>
      <c r="D7052" s="2" t="s">
        <v>10</v>
      </c>
      <c r="E7052" s="2" t="str">
        <f>HYPERLINK("http://ts.21cn.com/tousu/show/id/1337998","http://ts.21cn.com/tousu/show/id/1337998")</f>
        <v>http://ts.21cn.com/tousu/show/id/1337998</v>
      </c>
      <c r="F7052" s="2" t="s">
        <v>11</v>
      </c>
      <c r="G7052" s="2" t="s">
        <v>30286</v>
      </c>
      <c r="H7052" s="2" t="s">
        <v>30287</v>
      </c>
    </row>
    <row r="7053" spans="1:8" ht="25.05" customHeight="1" x14ac:dyDescent="0.25">
      <c r="A7053" s="2" t="s">
        <v>8</v>
      </c>
      <c r="B7053" s="2" t="str">
        <f>HYPERLINK("http://ts.21cn.com/tousu/show/id/1338000","点点通还款网站进不去造成恶意逾期")</f>
        <v>点点通还款网站进不去造成恶意逾期</v>
      </c>
      <c r="C7053" s="2" t="s">
        <v>9</v>
      </c>
      <c r="D7053" s="2" t="s">
        <v>10</v>
      </c>
      <c r="E7053" s="2" t="str">
        <f>HYPERLINK("http://ts.21cn.com/tousu/show/id/1338000","http://ts.21cn.com/tousu/show/id/1338000")</f>
        <v>http://ts.21cn.com/tousu/show/id/1338000</v>
      </c>
      <c r="F7053" s="2" t="s">
        <v>11</v>
      </c>
      <c r="G7053" s="2" t="s">
        <v>30284</v>
      </c>
      <c r="H7053" s="2" t="s">
        <v>30285</v>
      </c>
    </row>
    <row r="7054" spans="1:8" ht="25.05" customHeight="1" x14ac:dyDescent="0.25">
      <c r="A7054" s="2" t="s">
        <v>8</v>
      </c>
      <c r="B7054" s="2" t="str">
        <f>HYPERLINK("http://ts.21cn.com/tousu/show/id/1338002","如期借款扣了我砍头息")</f>
        <v>如期借款扣了我砍头息</v>
      </c>
      <c r="C7054" s="2" t="s">
        <v>34</v>
      </c>
      <c r="D7054" s="2" t="s">
        <v>10</v>
      </c>
      <c r="E7054" s="2" t="str">
        <f>HYPERLINK("http://ts.21cn.com/tousu/show/id/1338002","http://ts.21cn.com/tousu/show/id/1338002")</f>
        <v>http://ts.21cn.com/tousu/show/id/1338002</v>
      </c>
      <c r="F7054" s="2" t="s">
        <v>11</v>
      </c>
      <c r="G7054" s="2" t="s">
        <v>30282</v>
      </c>
      <c r="H7054" s="2" t="s">
        <v>30283</v>
      </c>
    </row>
    <row r="7055" spans="1:8" ht="25.05" customHeight="1" x14ac:dyDescent="0.25">
      <c r="A7055" s="2" t="s">
        <v>8</v>
      </c>
      <c r="B7055" s="2" t="str">
        <f>HYPERLINK("http://ts.21cn.com/tousu/show/id/1338003","暴力催收态度恶劣")</f>
        <v>暴力催收态度恶劣</v>
      </c>
      <c r="C7055" s="2" t="s">
        <v>9</v>
      </c>
      <c r="D7055" s="2" t="s">
        <v>10</v>
      </c>
      <c r="E7055" s="2" t="str">
        <f>HYPERLINK("http://ts.21cn.com/tousu/show/id/1338003","http://ts.21cn.com/tousu/show/id/1338003")</f>
        <v>http://ts.21cn.com/tousu/show/id/1338003</v>
      </c>
      <c r="F7055" s="2" t="s">
        <v>11</v>
      </c>
      <c r="G7055" s="2" t="s">
        <v>30280</v>
      </c>
      <c r="H7055" s="2" t="s">
        <v>30281</v>
      </c>
    </row>
    <row r="7056" spans="1:8" ht="25.05" customHeight="1" x14ac:dyDescent="0.25">
      <c r="A7056" s="2" t="s">
        <v>8</v>
      </c>
      <c r="B7056" s="2" t="str">
        <f>HYPERLINK("http://ts.21cn.com/tousu/show/id/1338004","未经告知扣除银行卡费用")</f>
        <v>未经告知扣除银行卡费用</v>
      </c>
      <c r="C7056" s="2" t="s">
        <v>9</v>
      </c>
      <c r="D7056" s="2" t="s">
        <v>10</v>
      </c>
      <c r="E7056" s="2" t="str">
        <f>HYPERLINK("http://ts.21cn.com/tousu/show/id/1338004","http://ts.21cn.com/tousu/show/id/1338004")</f>
        <v>http://ts.21cn.com/tousu/show/id/1338004</v>
      </c>
      <c r="F7056" s="2" t="s">
        <v>11</v>
      </c>
      <c r="G7056" s="2" t="s">
        <v>30278</v>
      </c>
      <c r="H7056" s="2" t="s">
        <v>30279</v>
      </c>
    </row>
    <row r="7057" spans="1:8" ht="25.05" customHeight="1" x14ac:dyDescent="0.25">
      <c r="A7057" s="2" t="s">
        <v>8</v>
      </c>
      <c r="B7057" s="2" t="str">
        <f>HYPERLINK("http://ts.21cn.com/tousu/show/id/1338007","豹子贷无故扣钱")</f>
        <v>豹子贷无故扣钱</v>
      </c>
      <c r="C7057" s="2" t="s">
        <v>34</v>
      </c>
      <c r="D7057" s="2" t="s">
        <v>10</v>
      </c>
      <c r="E7057" s="2" t="str">
        <f>HYPERLINK("http://ts.21cn.com/tousu/show/id/1338007","http://ts.21cn.com/tousu/show/id/1338007")</f>
        <v>http://ts.21cn.com/tousu/show/id/1338007</v>
      </c>
      <c r="F7057" s="2" t="s">
        <v>11</v>
      </c>
      <c r="G7057" s="2" t="s">
        <v>30276</v>
      </c>
      <c r="H7057" s="2" t="s">
        <v>30277</v>
      </c>
    </row>
    <row r="7058" spans="1:8" ht="25.05" customHeight="1" x14ac:dyDescent="0.25">
      <c r="A7058" s="2" t="s">
        <v>8</v>
      </c>
      <c r="B7058" s="2" t="str">
        <f>HYPERLINK("http://ts.21cn.com/tousu/show/id/1337999","立刻马上退款，取消招联贷款分期！")</f>
        <v>立刻马上退款，取消招联贷款分期！</v>
      </c>
      <c r="C7058" s="2" t="s">
        <v>9</v>
      </c>
      <c r="D7058" s="2" t="s">
        <v>10</v>
      </c>
      <c r="E7058" s="2" t="str">
        <f>HYPERLINK("http://ts.21cn.com/tousu/show/id/1337999","http://ts.21cn.com/tousu/show/id/1337999")</f>
        <v>http://ts.21cn.com/tousu/show/id/1337999</v>
      </c>
      <c r="F7058" s="2" t="s">
        <v>11</v>
      </c>
      <c r="G7058" s="2" t="s">
        <v>30274</v>
      </c>
      <c r="H7058" s="2" t="s">
        <v>30275</v>
      </c>
    </row>
    <row r="7059" spans="1:8" ht="25.05" customHeight="1" x14ac:dyDescent="0.25">
      <c r="A7059" s="2" t="s">
        <v>8</v>
      </c>
      <c r="B7059" s="2" t="str">
        <f>HYPERLINK("http://ts.21cn.com/tousu/show/id/1338005","714高炮，支付宝为高炮提供还款渠道")</f>
        <v>714高炮，支付宝为高炮提供还款渠道</v>
      </c>
      <c r="C7059" s="2" t="s">
        <v>9</v>
      </c>
      <c r="D7059" s="2" t="s">
        <v>10</v>
      </c>
      <c r="E7059" s="2" t="str">
        <f>HYPERLINK("http://ts.21cn.com/tousu/show/id/1338005","http://ts.21cn.com/tousu/show/id/1338005")</f>
        <v>http://ts.21cn.com/tousu/show/id/1338005</v>
      </c>
      <c r="F7059" s="2" t="s">
        <v>11</v>
      </c>
      <c r="G7059" s="2" t="s">
        <v>30272</v>
      </c>
      <c r="H7059" s="2" t="s">
        <v>30273</v>
      </c>
    </row>
    <row r="7060" spans="1:8" ht="25.05" customHeight="1" x14ac:dyDescent="0.25">
      <c r="A7060" s="2" t="s">
        <v>8</v>
      </c>
      <c r="B7060" s="2" t="str">
        <f>HYPERLINK("http://ts.21cn.com/tousu/show/id/1338009","立借平台月月借高利贷威胁恐吓")</f>
        <v>立借平台月月借高利贷威胁恐吓</v>
      </c>
      <c r="C7060" s="2" t="s">
        <v>9</v>
      </c>
      <c r="D7060" s="2" t="s">
        <v>10</v>
      </c>
      <c r="E7060" s="2" t="str">
        <f>HYPERLINK("http://ts.21cn.com/tousu/show/id/1338009","http://ts.21cn.com/tousu/show/id/1338009")</f>
        <v>http://ts.21cn.com/tousu/show/id/1338009</v>
      </c>
      <c r="F7060" s="2" t="s">
        <v>11</v>
      </c>
      <c r="G7060" s="2" t="s">
        <v>30270</v>
      </c>
      <c r="H7060" s="2" t="s">
        <v>30271</v>
      </c>
    </row>
    <row r="7061" spans="1:8" ht="25.05" customHeight="1" x14ac:dyDescent="0.25">
      <c r="A7061" s="2" t="s">
        <v>8</v>
      </c>
      <c r="B7061" s="2" t="str">
        <f>HYPERLINK("http://ts.21cn.com/tousu/show/id/1338011","豆豆钱借款强制购买永安财险贷款保险")</f>
        <v>豆豆钱借款强制购买永安财险贷款保险</v>
      </c>
      <c r="C7061" s="2" t="s">
        <v>9</v>
      </c>
      <c r="D7061" s="2" t="s">
        <v>10</v>
      </c>
      <c r="E7061" s="2" t="str">
        <f>HYPERLINK("http://ts.21cn.com/tousu/show/id/1338011","http://ts.21cn.com/tousu/show/id/1338011")</f>
        <v>http://ts.21cn.com/tousu/show/id/1338011</v>
      </c>
      <c r="F7061" s="2" t="s">
        <v>11</v>
      </c>
      <c r="G7061" s="2" t="s">
        <v>30268</v>
      </c>
      <c r="H7061" s="2" t="s">
        <v>30269</v>
      </c>
    </row>
    <row r="7062" spans="1:8" ht="25.05" customHeight="1" x14ac:dyDescent="0.25">
      <c r="A7062" s="2" t="s">
        <v>8</v>
      </c>
      <c r="B7062" s="2" t="str">
        <f>HYPERLINK("http://ts.21cn.com/tousu/show/id/1338012","兴业银行白金信用卡年费")</f>
        <v>兴业银行白金信用卡年费</v>
      </c>
      <c r="C7062" s="2" t="s">
        <v>9</v>
      </c>
      <c r="D7062" s="2" t="s">
        <v>10</v>
      </c>
      <c r="E7062" s="2" t="str">
        <f>HYPERLINK("http://ts.21cn.com/tousu/show/id/1338012","http://ts.21cn.com/tousu/show/id/1338012")</f>
        <v>http://ts.21cn.com/tousu/show/id/1338012</v>
      </c>
      <c r="F7062" s="2" t="s">
        <v>11</v>
      </c>
      <c r="G7062" s="2" t="s">
        <v>30266</v>
      </c>
      <c r="H7062" s="2" t="s">
        <v>30267</v>
      </c>
    </row>
    <row r="7063" spans="1:8" ht="25.05" customHeight="1" x14ac:dyDescent="0.25">
      <c r="A7063" s="2" t="s">
        <v>8</v>
      </c>
      <c r="B7063" s="2" t="str">
        <f>HYPERLINK("http://ts.21cn.com/tousu/show/id/1338013","旺卡猫恶意扣款")</f>
        <v>旺卡猫恶意扣款</v>
      </c>
      <c r="C7063" s="2" t="s">
        <v>9</v>
      </c>
      <c r="D7063" s="2" t="s">
        <v>10</v>
      </c>
      <c r="E7063" s="2" t="str">
        <f>HYPERLINK("http://ts.21cn.com/tousu/show/id/1338013","http://ts.21cn.com/tousu/show/id/1338013")</f>
        <v>http://ts.21cn.com/tousu/show/id/1338013</v>
      </c>
      <c r="F7063" s="2" t="s">
        <v>11</v>
      </c>
      <c r="G7063" s="2" t="s">
        <v>30264</v>
      </c>
      <c r="H7063" s="2" t="s">
        <v>30265</v>
      </c>
    </row>
    <row r="7064" spans="1:8" ht="25.05" customHeight="1" x14ac:dyDescent="0.25">
      <c r="A7064" s="2" t="s">
        <v>8</v>
      </c>
      <c r="B7064" s="2" t="str">
        <f>HYPERLINK("http://ts.21cn.com/tousu/show/id/1337976","个人信息被泄露")</f>
        <v>个人信息被泄露</v>
      </c>
      <c r="C7064" s="2" t="s">
        <v>9</v>
      </c>
      <c r="D7064" s="2" t="s">
        <v>10</v>
      </c>
      <c r="E7064" s="2" t="str">
        <f>HYPERLINK("http://ts.21cn.com/tousu/show/id/1337976","http://ts.21cn.com/tousu/show/id/1337976")</f>
        <v>http://ts.21cn.com/tousu/show/id/1337976</v>
      </c>
      <c r="F7064" s="2" t="s">
        <v>11</v>
      </c>
      <c r="G7064" s="2" t="s">
        <v>30262</v>
      </c>
      <c r="H7064" s="2" t="s">
        <v>30263</v>
      </c>
    </row>
    <row r="7065" spans="1:8" ht="25.05" customHeight="1" x14ac:dyDescent="0.25">
      <c r="A7065" s="2" t="s">
        <v>8</v>
      </c>
      <c r="B7065" s="2" t="str">
        <f>HYPERLINK("http://ts.21cn.com/tousu/show/id/1338015","要求特约中归还款退款")</f>
        <v>要求特约中归还款退款</v>
      </c>
      <c r="C7065" s="2" t="s">
        <v>9</v>
      </c>
      <c r="D7065" s="2" t="s">
        <v>10</v>
      </c>
      <c r="E7065" s="2" t="str">
        <f>HYPERLINK("http://ts.21cn.com/tousu/show/id/1338015","http://ts.21cn.com/tousu/show/id/1338015")</f>
        <v>http://ts.21cn.com/tousu/show/id/1338015</v>
      </c>
      <c r="F7065" s="2" t="s">
        <v>11</v>
      </c>
      <c r="G7065" s="2" t="s">
        <v>30260</v>
      </c>
      <c r="H7065" s="2" t="s">
        <v>30261</v>
      </c>
    </row>
    <row r="7066" spans="1:8" ht="25.05" customHeight="1" x14ac:dyDescent="0.25">
      <c r="A7066" s="2" t="s">
        <v>8</v>
      </c>
      <c r="B7066" s="2" t="str">
        <f>HYPERLINK("http://ts.21cn.com/tousu/show/id/1338014","百度钱包工作人员收钱不抵客户欠款")</f>
        <v>百度钱包工作人员收钱不抵客户欠款</v>
      </c>
      <c r="C7066" s="2" t="s">
        <v>9</v>
      </c>
      <c r="D7066" s="2" t="s">
        <v>10</v>
      </c>
      <c r="E7066" s="2" t="str">
        <f>HYPERLINK("http://ts.21cn.com/tousu/show/id/1338014","http://ts.21cn.com/tousu/show/id/1338014")</f>
        <v>http://ts.21cn.com/tousu/show/id/1338014</v>
      </c>
      <c r="F7066" s="2" t="s">
        <v>11</v>
      </c>
      <c r="G7066" s="2" t="s">
        <v>30258</v>
      </c>
      <c r="H7066" s="2" t="s">
        <v>30259</v>
      </c>
    </row>
    <row r="7067" spans="1:8" ht="25.05" customHeight="1" x14ac:dyDescent="0.25">
      <c r="A7067" s="2" t="s">
        <v>8</v>
      </c>
      <c r="B7067" s="2" t="str">
        <f>HYPERLINK("http://ts.21cn.com/tousu/show/id/1338016","京东金条漏发还款提醒，造成未能及时还款，联系客服说无法处理。")</f>
        <v>京东金条漏发还款提醒，造成未能及时还款，联系客服说无法处理。</v>
      </c>
      <c r="C7067" s="2" t="s">
        <v>9</v>
      </c>
      <c r="D7067" s="2" t="s">
        <v>10</v>
      </c>
      <c r="E7067" s="2" t="str">
        <f>HYPERLINK("http://ts.21cn.com/tousu/show/id/1338016","http://ts.21cn.com/tousu/show/id/1338016")</f>
        <v>http://ts.21cn.com/tousu/show/id/1338016</v>
      </c>
      <c r="F7067" s="2" t="s">
        <v>11</v>
      </c>
      <c r="G7067" s="2" t="s">
        <v>30256</v>
      </c>
      <c r="H7067" s="2" t="s">
        <v>30257</v>
      </c>
    </row>
    <row r="7068" spans="1:8" ht="25.05" customHeight="1" x14ac:dyDescent="0.25">
      <c r="A7068" s="2" t="s">
        <v>8</v>
      </c>
      <c r="B7068" s="2" t="str">
        <f>HYPERLINK("http://ts.21cn.com/tousu/show/id/1338017","高利贷、砍头息、暴力搔扰")</f>
        <v>高利贷、砍头息、暴力搔扰</v>
      </c>
      <c r="C7068" s="2" t="s">
        <v>9</v>
      </c>
      <c r="D7068" s="2" t="s">
        <v>10</v>
      </c>
      <c r="E7068" s="2" t="str">
        <f>HYPERLINK("http://ts.21cn.com/tousu/show/id/1338017","http://ts.21cn.com/tousu/show/id/1338017")</f>
        <v>http://ts.21cn.com/tousu/show/id/1338017</v>
      </c>
      <c r="F7068" s="2" t="s">
        <v>11</v>
      </c>
      <c r="G7068" s="2" t="s">
        <v>30254</v>
      </c>
      <c r="H7068" s="2" t="s">
        <v>30255</v>
      </c>
    </row>
    <row r="7069" spans="1:8" ht="25.05" customHeight="1" x14ac:dyDescent="0.25">
      <c r="A7069" s="2" t="s">
        <v>8</v>
      </c>
      <c r="B7069" s="2" t="str">
        <f>HYPERLINK("http://ts.21cn.com/tousu/show/id/1338018","信而富高利贷宝付支付助纣为虐")</f>
        <v>信而富高利贷宝付支付助纣为虐</v>
      </c>
      <c r="C7069" s="2" t="s">
        <v>9</v>
      </c>
      <c r="D7069" s="2" t="s">
        <v>10</v>
      </c>
      <c r="E7069" s="2" t="str">
        <f>HYPERLINK("http://ts.21cn.com/tousu/show/id/1338018","http://ts.21cn.com/tousu/show/id/1338018")</f>
        <v>http://ts.21cn.com/tousu/show/id/1338018</v>
      </c>
      <c r="F7069" s="2" t="s">
        <v>11</v>
      </c>
      <c r="G7069" s="2" t="s">
        <v>30252</v>
      </c>
      <c r="H7069" s="2" t="s">
        <v>30253</v>
      </c>
    </row>
    <row r="7070" spans="1:8" ht="25.05" customHeight="1" x14ac:dyDescent="0.25">
      <c r="A7070" s="2" t="s">
        <v>8</v>
      </c>
      <c r="B7070" s="2" t="str">
        <f>HYPERLINK("http://ts.21cn.com/tousu/show/id/1338019","小浦优客恶意扣款")</f>
        <v>小浦优客恶意扣款</v>
      </c>
      <c r="C7070" s="2" t="s">
        <v>9</v>
      </c>
      <c r="D7070" s="2" t="s">
        <v>10</v>
      </c>
      <c r="E7070" s="2" t="str">
        <f>HYPERLINK("http://ts.21cn.com/tousu/show/id/1338019","http://ts.21cn.com/tousu/show/id/1338019")</f>
        <v>http://ts.21cn.com/tousu/show/id/1338019</v>
      </c>
      <c r="F7070" s="2" t="s">
        <v>11</v>
      </c>
      <c r="G7070" s="2" t="s">
        <v>30250</v>
      </c>
      <c r="H7070" s="2" t="s">
        <v>30251</v>
      </c>
    </row>
    <row r="7071" spans="1:8" ht="25.05" customHeight="1" x14ac:dyDescent="0.25">
      <c r="A7071" s="2" t="s">
        <v>8</v>
      </c>
      <c r="B7071" s="2" t="str">
        <f>HYPERLINK("http://ts.21cn.com/tousu/show/id/1338021","暴力催收联系家人，威胁恐吓")</f>
        <v>暴力催收联系家人，威胁恐吓</v>
      </c>
      <c r="C7071" s="2" t="s">
        <v>9</v>
      </c>
      <c r="D7071" s="2" t="s">
        <v>10</v>
      </c>
      <c r="E7071" s="2" t="str">
        <f>HYPERLINK("http://ts.21cn.com/tousu/show/id/1338021","http://ts.21cn.com/tousu/show/id/1338021")</f>
        <v>http://ts.21cn.com/tousu/show/id/1338021</v>
      </c>
      <c r="F7071" s="2" t="s">
        <v>11</v>
      </c>
      <c r="G7071" s="2" t="s">
        <v>30247</v>
      </c>
      <c r="H7071" s="2" t="s">
        <v>30248</v>
      </c>
    </row>
    <row r="7072" spans="1:8" ht="25.05" customHeight="1" x14ac:dyDescent="0.25">
      <c r="A7072" s="2" t="s">
        <v>8</v>
      </c>
      <c r="B7072" s="2" t="str">
        <f>HYPERLINK("http://ts.21cn.com/tousu/show/id/1338020","信而富砍头息高利贷暴力催收非法联系亲戚朋友")</f>
        <v>信而富砍头息高利贷暴力催收非法联系亲戚朋友</v>
      </c>
      <c r="C7072" s="2" t="s">
        <v>9</v>
      </c>
      <c r="D7072" s="2" t="s">
        <v>10</v>
      </c>
      <c r="E7072" s="2" t="str">
        <f>HYPERLINK("http://ts.21cn.com/tousu/show/id/1338020","http://ts.21cn.com/tousu/show/id/1338020")</f>
        <v>http://ts.21cn.com/tousu/show/id/1338020</v>
      </c>
      <c r="F7072" s="2" t="s">
        <v>11</v>
      </c>
      <c r="G7072" s="2" t="s">
        <v>30247</v>
      </c>
      <c r="H7072" s="2" t="s">
        <v>30249</v>
      </c>
    </row>
    <row r="7073" spans="1:8" ht="25.05" customHeight="1" x14ac:dyDescent="0.25">
      <c r="A7073" s="2" t="s">
        <v>8</v>
      </c>
      <c r="B7073" s="2" t="str">
        <f>HYPERLINK("http://ts.21cn.com/tousu/show/id/1338025","无缘无故扣取银行卡里的钱")</f>
        <v>无缘无故扣取银行卡里的钱</v>
      </c>
      <c r="C7073" s="2" t="s">
        <v>9</v>
      </c>
      <c r="D7073" s="2" t="s">
        <v>10</v>
      </c>
      <c r="E7073" s="2" t="str">
        <f>HYPERLINK("http://ts.21cn.com/tousu/show/id/1338025","http://ts.21cn.com/tousu/show/id/1338025")</f>
        <v>http://ts.21cn.com/tousu/show/id/1338025</v>
      </c>
      <c r="F7073" s="2" t="s">
        <v>11</v>
      </c>
      <c r="G7073" s="2" t="s">
        <v>30244</v>
      </c>
      <c r="H7073" s="2" t="s">
        <v>30245</v>
      </c>
    </row>
    <row r="7074" spans="1:8" ht="25.05" customHeight="1" x14ac:dyDescent="0.25">
      <c r="A7074" s="2" t="s">
        <v>8</v>
      </c>
      <c r="B7074" s="2" t="str">
        <f>HYPERLINK("http://ts.21cn.com/tousu/show/id/1338026","骚扰通讯录，坏个人名声")</f>
        <v>骚扰通讯录，坏个人名声</v>
      </c>
      <c r="C7074" s="2" t="s">
        <v>9</v>
      </c>
      <c r="D7074" s="2" t="s">
        <v>10</v>
      </c>
      <c r="E7074" s="2" t="str">
        <f>HYPERLINK("http://ts.21cn.com/tousu/show/id/1338026","http://ts.21cn.com/tousu/show/id/1338026")</f>
        <v>http://ts.21cn.com/tousu/show/id/1338026</v>
      </c>
      <c r="F7074" s="2" t="s">
        <v>11</v>
      </c>
      <c r="G7074" s="2" t="s">
        <v>30244</v>
      </c>
      <c r="H7074" s="2" t="s">
        <v>30246</v>
      </c>
    </row>
    <row r="7075" spans="1:8" ht="25.05" customHeight="1" x14ac:dyDescent="0.25">
      <c r="A7075" s="2" t="s">
        <v>8</v>
      </c>
      <c r="B7075" s="2" t="str">
        <f>HYPERLINK("http://ts.21cn.com/tousu/show/id/1338023","高利贷")</f>
        <v>高利贷</v>
      </c>
      <c r="C7075" s="2" t="s">
        <v>9</v>
      </c>
      <c r="D7075" s="2" t="s">
        <v>10</v>
      </c>
      <c r="E7075" s="2" t="str">
        <f>HYPERLINK("http://ts.21cn.com/tousu/show/id/1338023","http://ts.21cn.com/tousu/show/id/1338023")</f>
        <v>http://ts.21cn.com/tousu/show/id/1338023</v>
      </c>
      <c r="F7075" s="2" t="s">
        <v>11</v>
      </c>
      <c r="G7075" s="2" t="s">
        <v>30242</v>
      </c>
      <c r="H7075" s="2" t="s">
        <v>30243</v>
      </c>
    </row>
    <row r="7076" spans="1:8" ht="25.05" customHeight="1" x14ac:dyDescent="0.25">
      <c r="A7076" s="2" t="s">
        <v>8</v>
      </c>
      <c r="B7076" s="2" t="str">
        <f>HYPERLINK("http://ts.21cn.com/tousu/show/id/1338024","价格起欺哄，不实销售")</f>
        <v>价格起欺哄，不实销售</v>
      </c>
      <c r="C7076" s="2" t="s">
        <v>9</v>
      </c>
      <c r="D7076" s="2" t="s">
        <v>10</v>
      </c>
      <c r="E7076" s="2" t="str">
        <f>HYPERLINK("http://ts.21cn.com/tousu/show/id/1338024","http://ts.21cn.com/tousu/show/id/1338024")</f>
        <v>http://ts.21cn.com/tousu/show/id/1338024</v>
      </c>
      <c r="F7076" s="2" t="s">
        <v>11</v>
      </c>
      <c r="G7076" s="2" t="s">
        <v>30240</v>
      </c>
      <c r="H7076" s="2" t="s">
        <v>30241</v>
      </c>
    </row>
    <row r="7077" spans="1:8" ht="25.05" customHeight="1" x14ac:dyDescent="0.25">
      <c r="A7077" s="2" t="s">
        <v>8</v>
      </c>
      <c r="B7077" s="2" t="str">
        <f>HYPERLINK("http://ts.21cn.com/tousu/show/id/1338029","ofo押金不退")</f>
        <v>ofo押金不退</v>
      </c>
      <c r="C7077" s="2" t="s">
        <v>9</v>
      </c>
      <c r="D7077" s="2" t="s">
        <v>10</v>
      </c>
      <c r="E7077" s="2" t="str">
        <f>HYPERLINK("http://ts.21cn.com/tousu/show/id/1338029","http://ts.21cn.com/tousu/show/id/1338029")</f>
        <v>http://ts.21cn.com/tousu/show/id/1338029</v>
      </c>
      <c r="F7077" s="2" t="s">
        <v>11</v>
      </c>
      <c r="G7077" s="2" t="s">
        <v>30238</v>
      </c>
      <c r="H7077" s="2" t="s">
        <v>30239</v>
      </c>
    </row>
    <row r="7078" spans="1:8" ht="25.05" customHeight="1" x14ac:dyDescent="0.25">
      <c r="A7078" s="2" t="s">
        <v>8</v>
      </c>
      <c r="B7078" s="2" t="str">
        <f>HYPERLINK("http://ts.21cn.com/tousu/show/id/1338028","高利贷砍头利")</f>
        <v>高利贷砍头利</v>
      </c>
      <c r="C7078" s="2" t="s">
        <v>9</v>
      </c>
      <c r="D7078" s="2" t="s">
        <v>10</v>
      </c>
      <c r="E7078" s="2" t="str">
        <f>HYPERLINK("http://ts.21cn.com/tousu/show/id/1338028","http://ts.21cn.com/tousu/show/id/1338028")</f>
        <v>http://ts.21cn.com/tousu/show/id/1338028</v>
      </c>
      <c r="F7078" s="2" t="s">
        <v>11</v>
      </c>
      <c r="G7078" s="2" t="s">
        <v>30236</v>
      </c>
      <c r="H7078" s="2" t="s">
        <v>30237</v>
      </c>
    </row>
    <row r="7079" spans="1:8" ht="25.05" customHeight="1" x14ac:dyDescent="0.25">
      <c r="A7079" s="2" t="s">
        <v>8</v>
      </c>
      <c r="B7079" s="2" t="str">
        <f>HYPERLINK("http://ts.21cn.com/tousu/show/id/1338030","微贷网违规扣费")</f>
        <v>微贷网违规扣费</v>
      </c>
      <c r="C7079" s="2" t="s">
        <v>9</v>
      </c>
      <c r="D7079" s="2" t="s">
        <v>10</v>
      </c>
      <c r="E7079" s="2" t="str">
        <f>HYPERLINK("http://ts.21cn.com/tousu/show/id/1338030","http://ts.21cn.com/tousu/show/id/1338030")</f>
        <v>http://ts.21cn.com/tousu/show/id/1338030</v>
      </c>
      <c r="F7079" s="2" t="s">
        <v>11</v>
      </c>
      <c r="G7079" s="2" t="s">
        <v>30234</v>
      </c>
      <c r="H7079" s="2" t="s">
        <v>30235</v>
      </c>
    </row>
    <row r="7080" spans="1:8" ht="25.05" customHeight="1" x14ac:dyDescent="0.25">
      <c r="A7080" s="2" t="s">
        <v>8</v>
      </c>
      <c r="B7080" s="2" t="str">
        <f>HYPERLINK("http://ts.21cn.com/tousu/show/id/1338031","变相砍头息高利贷")</f>
        <v>变相砍头息高利贷</v>
      </c>
      <c r="C7080" s="2" t="s">
        <v>9</v>
      </c>
      <c r="D7080" s="2" t="s">
        <v>10</v>
      </c>
      <c r="E7080" s="2" t="str">
        <f>HYPERLINK("http://ts.21cn.com/tousu/show/id/1338031","http://ts.21cn.com/tousu/show/id/1338031")</f>
        <v>http://ts.21cn.com/tousu/show/id/1338031</v>
      </c>
      <c r="F7080" s="2" t="s">
        <v>11</v>
      </c>
      <c r="G7080" s="2" t="s">
        <v>30232</v>
      </c>
      <c r="H7080" s="2" t="s">
        <v>30233</v>
      </c>
    </row>
    <row r="7081" spans="1:8" ht="25.05" customHeight="1" x14ac:dyDescent="0.25">
      <c r="A7081" s="2" t="s">
        <v>8</v>
      </c>
      <c r="B7081" s="2" t="str">
        <f>HYPERLINK("http://ts.21cn.com/tousu/show/id/1338032","中国银行ATm机存款钱被吞")</f>
        <v>中国银行ATm机存款钱被吞</v>
      </c>
      <c r="C7081" s="2" t="s">
        <v>9</v>
      </c>
      <c r="D7081" s="2" t="s">
        <v>10</v>
      </c>
      <c r="E7081" s="2" t="str">
        <f>HYPERLINK("http://ts.21cn.com/tousu/show/id/1338032","http://ts.21cn.com/tousu/show/id/1338032")</f>
        <v>http://ts.21cn.com/tousu/show/id/1338032</v>
      </c>
      <c r="F7081" s="2" t="s">
        <v>11</v>
      </c>
      <c r="G7081" s="2" t="s">
        <v>30230</v>
      </c>
      <c r="H7081" s="2" t="s">
        <v>30231</v>
      </c>
    </row>
    <row r="7082" spans="1:8" ht="25.05" customHeight="1" x14ac:dyDescent="0.25">
      <c r="A7082" s="2" t="s">
        <v>8</v>
      </c>
      <c r="B7082" s="2" t="str">
        <f>HYPERLINK("http://ts.21cn.com/tousu/show/id/1338033","玖富高利贷借3200元还8466元")</f>
        <v>玖富高利贷借3200元还8466元</v>
      </c>
      <c r="C7082" s="2" t="s">
        <v>9</v>
      </c>
      <c r="D7082" s="2" t="s">
        <v>10</v>
      </c>
      <c r="E7082" s="2" t="str">
        <f>HYPERLINK("http://ts.21cn.com/tousu/show/id/1338033","http://ts.21cn.com/tousu/show/id/1338033")</f>
        <v>http://ts.21cn.com/tousu/show/id/1338033</v>
      </c>
      <c r="F7082" s="2" t="s">
        <v>11</v>
      </c>
      <c r="G7082" s="2" t="s">
        <v>30228</v>
      </c>
      <c r="H7082" s="2" t="s">
        <v>30229</v>
      </c>
    </row>
    <row r="7083" spans="1:8" ht="25.05" customHeight="1" x14ac:dyDescent="0.25">
      <c r="A7083" s="2" t="s">
        <v>8</v>
      </c>
      <c r="B7083" s="2" t="str">
        <f>HYPERLINK("http://ts.21cn.com/tousu/show/id/1338034","360借条在本人不知情的情况下放款")</f>
        <v>360借条在本人不知情的情况下放款</v>
      </c>
      <c r="C7083" s="2" t="s">
        <v>9</v>
      </c>
      <c r="D7083" s="2" t="s">
        <v>10</v>
      </c>
      <c r="E7083" s="2" t="str">
        <f>HYPERLINK("http://ts.21cn.com/tousu/show/id/1338034","http://ts.21cn.com/tousu/show/id/1338034")</f>
        <v>http://ts.21cn.com/tousu/show/id/1338034</v>
      </c>
      <c r="F7083" s="2" t="s">
        <v>11</v>
      </c>
      <c r="G7083" s="2" t="s">
        <v>30226</v>
      </c>
      <c r="H7083" s="2" t="s">
        <v>30227</v>
      </c>
    </row>
    <row r="7084" spans="1:8" ht="25.05" customHeight="1" x14ac:dyDescent="0.25">
      <c r="A7084" s="2" t="s">
        <v>8</v>
      </c>
      <c r="B7084" s="2" t="str">
        <f>HYPERLINK("http://ts.21cn.com/tousu/show/id/1338036","苹果质量问题不保修")</f>
        <v>苹果质量问题不保修</v>
      </c>
      <c r="C7084" s="2" t="s">
        <v>9</v>
      </c>
      <c r="D7084" s="2" t="s">
        <v>10</v>
      </c>
      <c r="E7084" s="2" t="str">
        <f>HYPERLINK("http://ts.21cn.com/tousu/show/id/1338036","http://ts.21cn.com/tousu/show/id/1338036")</f>
        <v>http://ts.21cn.com/tousu/show/id/1338036</v>
      </c>
      <c r="F7084" s="2" t="s">
        <v>11</v>
      </c>
      <c r="G7084" s="2" t="s">
        <v>30224</v>
      </c>
      <c r="H7084" s="2" t="s">
        <v>30225</v>
      </c>
    </row>
    <row r="7085" spans="1:8" ht="25.05" customHeight="1" x14ac:dyDescent="0.25">
      <c r="A7085" s="2" t="s">
        <v>8</v>
      </c>
      <c r="B7085" s="2" t="str">
        <f>HYPERLINK("http://ts.21cn.com/tousu/show/id/1338035","拍拍贷")</f>
        <v>拍拍贷</v>
      </c>
      <c r="C7085" s="2" t="s">
        <v>9</v>
      </c>
      <c r="D7085" s="2" t="s">
        <v>10</v>
      </c>
      <c r="E7085" s="2" t="str">
        <f>HYPERLINK("http://ts.21cn.com/tousu/show/id/1338035","http://ts.21cn.com/tousu/show/id/1338035")</f>
        <v>http://ts.21cn.com/tousu/show/id/1338035</v>
      </c>
      <c r="F7085" s="2" t="s">
        <v>11</v>
      </c>
      <c r="G7085" s="2" t="s">
        <v>30222</v>
      </c>
      <c r="H7085" s="2" t="s">
        <v>30223</v>
      </c>
    </row>
    <row r="7086" spans="1:8" ht="25.05" customHeight="1" x14ac:dyDescent="0.25">
      <c r="A7086" s="2" t="s">
        <v>8</v>
      </c>
      <c r="B7086" s="2" t="str">
        <f>HYPERLINK("http://ts.21cn.com/tousu/show/id/1338022","本人人格担保以下话属实:我到拼多多买的虚拟物品是假的")</f>
        <v>本人人格担保以下话属实:我到拼多多买的虚拟物品是假的</v>
      </c>
      <c r="C7086" s="2" t="s">
        <v>9</v>
      </c>
      <c r="D7086" s="2" t="s">
        <v>10</v>
      </c>
      <c r="E7086" s="2" t="str">
        <f>HYPERLINK("http://ts.21cn.com/tousu/show/id/1338022","http://ts.21cn.com/tousu/show/id/1338022")</f>
        <v>http://ts.21cn.com/tousu/show/id/1338022</v>
      </c>
      <c r="F7086" s="2" t="s">
        <v>11</v>
      </c>
      <c r="G7086" s="2" t="s">
        <v>30220</v>
      </c>
      <c r="H7086" s="2" t="s">
        <v>30221</v>
      </c>
    </row>
    <row r="7087" spans="1:8" ht="25.05" customHeight="1" x14ac:dyDescent="0.25">
      <c r="A7087" s="2" t="s">
        <v>8</v>
      </c>
      <c r="B7087" s="2" t="str">
        <f>HYPERLINK("http://ts.21cn.com/tousu/show/id/1338037","通联恶意扣款")</f>
        <v>通联恶意扣款</v>
      </c>
      <c r="C7087" s="2" t="s">
        <v>9</v>
      </c>
      <c r="D7087" s="2" t="s">
        <v>10</v>
      </c>
      <c r="E7087" s="2" t="str">
        <f>HYPERLINK("http://ts.21cn.com/tousu/show/id/1338037","http://ts.21cn.com/tousu/show/id/1338037")</f>
        <v>http://ts.21cn.com/tousu/show/id/1338037</v>
      </c>
      <c r="F7087" s="2" t="s">
        <v>11</v>
      </c>
      <c r="G7087" s="2" t="s">
        <v>30218</v>
      </c>
      <c r="H7087" s="2" t="s">
        <v>30219</v>
      </c>
    </row>
    <row r="7088" spans="1:8" ht="25.05" customHeight="1" x14ac:dyDescent="0.25">
      <c r="A7088" s="2" t="s">
        <v>8</v>
      </c>
      <c r="B7088" s="2" t="str">
        <f>HYPERLINK("http://ts.21cn.com/tousu/show/id/1338038","严重骚扰我的生活")</f>
        <v>严重骚扰我的生活</v>
      </c>
      <c r="C7088" s="2" t="s">
        <v>9</v>
      </c>
      <c r="D7088" s="2" t="s">
        <v>10</v>
      </c>
      <c r="E7088" s="2" t="str">
        <f>HYPERLINK("http://ts.21cn.com/tousu/show/id/1338038","http://ts.21cn.com/tousu/show/id/1338038")</f>
        <v>http://ts.21cn.com/tousu/show/id/1338038</v>
      </c>
      <c r="F7088" s="2" t="s">
        <v>11</v>
      </c>
      <c r="G7088" s="2" t="s">
        <v>30216</v>
      </c>
      <c r="H7088" s="2" t="s">
        <v>30217</v>
      </c>
    </row>
    <row r="7089" spans="1:8" ht="25.05" customHeight="1" x14ac:dyDescent="0.25">
      <c r="A7089" s="2" t="s">
        <v>8</v>
      </c>
      <c r="B7089" s="2" t="str">
        <f>HYPERLINK("http://ts.21cn.com/tousu/show/id/1338039","平台不给借款人借款合同及高额利息")</f>
        <v>平台不给借款人借款合同及高额利息</v>
      </c>
      <c r="C7089" s="2" t="s">
        <v>9</v>
      </c>
      <c r="D7089" s="2" t="s">
        <v>10</v>
      </c>
      <c r="E7089" s="2" t="str">
        <f>HYPERLINK("http://ts.21cn.com/tousu/show/id/1338039","http://ts.21cn.com/tousu/show/id/1338039")</f>
        <v>http://ts.21cn.com/tousu/show/id/1338039</v>
      </c>
      <c r="F7089" s="2" t="s">
        <v>11</v>
      </c>
      <c r="G7089" s="2" t="s">
        <v>30214</v>
      </c>
      <c r="H7089" s="2" t="s">
        <v>30215</v>
      </c>
    </row>
    <row r="7090" spans="1:8" ht="25.05" customHeight="1" x14ac:dyDescent="0.25">
      <c r="A7090" s="2" t="s">
        <v>8</v>
      </c>
      <c r="B7090" s="2" t="str">
        <f>HYPERLINK("http://ts.21cn.com/tousu/show/id/1338040","百度有钱花爆通讯录")</f>
        <v>百度有钱花爆通讯录</v>
      </c>
      <c r="C7090" s="2" t="s">
        <v>9</v>
      </c>
      <c r="D7090" s="2" t="s">
        <v>10</v>
      </c>
      <c r="E7090" s="2" t="str">
        <f>HYPERLINK("http://ts.21cn.com/tousu/show/id/1338040","http://ts.21cn.com/tousu/show/id/1338040")</f>
        <v>http://ts.21cn.com/tousu/show/id/1338040</v>
      </c>
      <c r="F7090" s="2" t="s">
        <v>11</v>
      </c>
      <c r="G7090" s="2" t="s">
        <v>30212</v>
      </c>
      <c r="H7090" s="2" t="s">
        <v>30213</v>
      </c>
    </row>
    <row r="7091" spans="1:8" ht="25.05" customHeight="1" x14ac:dyDescent="0.25">
      <c r="A7091" s="2" t="s">
        <v>8</v>
      </c>
      <c r="B7091" s="2" t="str">
        <f>HYPERLINK("http://ts.21cn.com/tousu/show/id/1338041","微粒贷上门骚扰")</f>
        <v>微粒贷上门骚扰</v>
      </c>
      <c r="C7091" s="2" t="s">
        <v>9</v>
      </c>
      <c r="D7091" s="2" t="s">
        <v>10</v>
      </c>
      <c r="E7091" s="2" t="str">
        <f>HYPERLINK("http://ts.21cn.com/tousu/show/id/1338041","http://ts.21cn.com/tousu/show/id/1338041")</f>
        <v>http://ts.21cn.com/tousu/show/id/1338041</v>
      </c>
      <c r="F7091" s="2" t="s">
        <v>11</v>
      </c>
      <c r="G7091" s="2" t="s">
        <v>30210</v>
      </c>
      <c r="H7091" s="2" t="s">
        <v>30211</v>
      </c>
    </row>
    <row r="7092" spans="1:8" ht="25.05" customHeight="1" x14ac:dyDescent="0.25">
      <c r="A7092" s="2" t="s">
        <v>8</v>
      </c>
      <c r="B7092" s="2" t="str">
        <f>HYPERLINK("http://ts.21cn.com/tousu/show/id/1338042","东亚银行第三方催收骚扰恐吓")</f>
        <v>东亚银行第三方催收骚扰恐吓</v>
      </c>
      <c r="C7092" s="2" t="s">
        <v>9</v>
      </c>
      <c r="D7092" s="2" t="s">
        <v>10</v>
      </c>
      <c r="E7092" s="2" t="str">
        <f>HYPERLINK("http://ts.21cn.com/tousu/show/id/1338042","http://ts.21cn.com/tousu/show/id/1338042")</f>
        <v>http://ts.21cn.com/tousu/show/id/1338042</v>
      </c>
      <c r="F7092" s="2" t="s">
        <v>11</v>
      </c>
      <c r="G7092" s="2" t="s">
        <v>30208</v>
      </c>
      <c r="H7092" s="2" t="s">
        <v>30209</v>
      </c>
    </row>
    <row r="7093" spans="1:8" ht="25.05" customHeight="1" x14ac:dyDescent="0.25">
      <c r="A7093" s="2" t="s">
        <v>8</v>
      </c>
      <c r="B7093" s="2" t="str">
        <f>HYPERLINK("http://ts.21cn.com/tousu/show/id/1338043","来电共享充电宝乱扣钱")</f>
        <v>来电共享充电宝乱扣钱</v>
      </c>
      <c r="C7093" s="2" t="s">
        <v>9</v>
      </c>
      <c r="D7093" s="2" t="s">
        <v>10</v>
      </c>
      <c r="E7093" s="2" t="str">
        <f>HYPERLINK("http://ts.21cn.com/tousu/show/id/1338043","http://ts.21cn.com/tousu/show/id/1338043")</f>
        <v>http://ts.21cn.com/tousu/show/id/1338043</v>
      </c>
      <c r="F7093" s="2" t="s">
        <v>11</v>
      </c>
      <c r="G7093" s="2" t="s">
        <v>30206</v>
      </c>
      <c r="H7093" s="2" t="s">
        <v>30207</v>
      </c>
    </row>
    <row r="7094" spans="1:8" ht="25.05" customHeight="1" x14ac:dyDescent="0.25">
      <c r="A7094" s="2" t="s">
        <v>8</v>
      </c>
      <c r="B7094" s="2" t="str">
        <f>HYPERLINK("http://ts.21cn.com/tousu/show/id/1338044","玖富万卡砍头息")</f>
        <v>玖富万卡砍头息</v>
      </c>
      <c r="C7094" s="2" t="s">
        <v>9</v>
      </c>
      <c r="D7094" s="2" t="s">
        <v>10</v>
      </c>
      <c r="E7094" s="2" t="str">
        <f>HYPERLINK("http://ts.21cn.com/tousu/show/id/1338044","http://ts.21cn.com/tousu/show/id/1338044")</f>
        <v>http://ts.21cn.com/tousu/show/id/1338044</v>
      </c>
      <c r="F7094" s="2" t="s">
        <v>11</v>
      </c>
      <c r="G7094" s="2" t="s">
        <v>30204</v>
      </c>
      <c r="H7094" s="2" t="s">
        <v>30205</v>
      </c>
    </row>
    <row r="7095" spans="1:8" ht="25.05" customHeight="1" x14ac:dyDescent="0.25">
      <c r="A7095" s="2" t="s">
        <v>8</v>
      </c>
      <c r="B7095" s="2" t="str">
        <f>HYPERLINK("http://ts.21cn.com/tousu/show/id/1338045","因经济状况遇期遭催收人员恶意群发侮辱短信，爆我通讯录。")</f>
        <v>因经济状况遇期遭催收人员恶意群发侮辱短信，爆我通讯录。</v>
      </c>
      <c r="C7095" s="2" t="s">
        <v>9</v>
      </c>
      <c r="D7095" s="2" t="s">
        <v>10</v>
      </c>
      <c r="E7095" s="2" t="str">
        <f>HYPERLINK("http://ts.21cn.com/tousu/show/id/1338045","http://ts.21cn.com/tousu/show/id/1338045")</f>
        <v>http://ts.21cn.com/tousu/show/id/1338045</v>
      </c>
      <c r="F7095" s="2" t="s">
        <v>11</v>
      </c>
      <c r="G7095" s="2" t="s">
        <v>30202</v>
      </c>
      <c r="H7095" s="2" t="s">
        <v>30203</v>
      </c>
    </row>
    <row r="7096" spans="1:8" ht="25.05" customHeight="1" x14ac:dyDescent="0.25">
      <c r="A7096" s="2" t="s">
        <v>8</v>
      </c>
      <c r="B7096" s="2" t="str">
        <f>HYPERLINK("http://ts.21cn.com/tousu/show/id/1338047","小熊帮帮霸王条款无人做任务")</f>
        <v>小熊帮帮霸王条款无人做任务</v>
      </c>
      <c r="C7096" s="2" t="s">
        <v>9</v>
      </c>
      <c r="D7096" s="2" t="s">
        <v>10</v>
      </c>
      <c r="E7096" s="2" t="str">
        <f>HYPERLINK("http://ts.21cn.com/tousu/show/id/1338047","http://ts.21cn.com/tousu/show/id/1338047")</f>
        <v>http://ts.21cn.com/tousu/show/id/1338047</v>
      </c>
      <c r="F7096" s="2" t="s">
        <v>11</v>
      </c>
      <c r="G7096" s="2" t="s">
        <v>30200</v>
      </c>
      <c r="H7096" s="2" t="s">
        <v>30201</v>
      </c>
    </row>
    <row r="7097" spans="1:8" ht="25.05" customHeight="1" x14ac:dyDescent="0.25">
      <c r="A7097" s="2" t="s">
        <v>8</v>
      </c>
      <c r="B7097" s="2" t="str">
        <f>HYPERLINK("http://ts.21cn.com/tousu/show/id/1338048","小花钱包威胁恐吓")</f>
        <v>小花钱包威胁恐吓</v>
      </c>
      <c r="C7097" s="2" t="s">
        <v>9</v>
      </c>
      <c r="D7097" s="2" t="s">
        <v>10</v>
      </c>
      <c r="E7097" s="2" t="str">
        <f>HYPERLINK("http://ts.21cn.com/tousu/show/id/1338048","http://ts.21cn.com/tousu/show/id/1338048")</f>
        <v>http://ts.21cn.com/tousu/show/id/1338048</v>
      </c>
      <c r="F7097" s="2" t="s">
        <v>11</v>
      </c>
      <c r="G7097" s="2" t="s">
        <v>30198</v>
      </c>
      <c r="H7097" s="2" t="s">
        <v>30199</v>
      </c>
    </row>
    <row r="7098" spans="1:8" ht="25.05" customHeight="1" x14ac:dyDescent="0.25">
      <c r="A7098" s="2" t="s">
        <v>8</v>
      </c>
      <c r="B7098" s="2" t="str">
        <f>HYPERLINK("http://ts.21cn.com/tousu/show/id/1338049","提前还款，要求水莲金条协商还款金额")</f>
        <v>提前还款，要求水莲金条协商还款金额</v>
      </c>
      <c r="C7098" s="2" t="s">
        <v>34</v>
      </c>
      <c r="D7098" s="2" t="s">
        <v>10</v>
      </c>
      <c r="E7098" s="2" t="str">
        <f>HYPERLINK("http://ts.21cn.com/tousu/show/id/1338049","http://ts.21cn.com/tousu/show/id/1338049")</f>
        <v>http://ts.21cn.com/tousu/show/id/1338049</v>
      </c>
      <c r="F7098" s="2" t="s">
        <v>11</v>
      </c>
      <c r="G7098" s="2" t="s">
        <v>30196</v>
      </c>
      <c r="H7098" s="2" t="s">
        <v>30197</v>
      </c>
    </row>
    <row r="7099" spans="1:8" ht="25.05" customHeight="1" x14ac:dyDescent="0.25">
      <c r="A7099" s="2" t="s">
        <v>8</v>
      </c>
      <c r="B7099" s="2" t="str">
        <f>HYPERLINK("http://ts.21cn.com/tousu/show/id/1338050","小浦优客app未经通过私自扣款")</f>
        <v>小浦优客app未经通过私自扣款</v>
      </c>
      <c r="C7099" s="2" t="s">
        <v>9</v>
      </c>
      <c r="D7099" s="2" t="s">
        <v>10</v>
      </c>
      <c r="E7099" s="2" t="str">
        <f>HYPERLINK("http://ts.21cn.com/tousu/show/id/1338050","http://ts.21cn.com/tousu/show/id/1338050")</f>
        <v>http://ts.21cn.com/tousu/show/id/1338050</v>
      </c>
      <c r="F7099" s="2" t="s">
        <v>11</v>
      </c>
      <c r="G7099" s="2" t="s">
        <v>30194</v>
      </c>
      <c r="H7099" s="2" t="s">
        <v>30195</v>
      </c>
    </row>
    <row r="7100" spans="1:8" ht="25.05" customHeight="1" x14ac:dyDescent="0.25">
      <c r="A7100" s="2" t="s">
        <v>8</v>
      </c>
      <c r="B7100" s="2" t="str">
        <f>HYPERLINK("http://ts.21cn.com/tousu/show/id/1338052","拍拍贷")</f>
        <v>拍拍贷</v>
      </c>
      <c r="C7100" s="2" t="s">
        <v>9</v>
      </c>
      <c r="D7100" s="2" t="s">
        <v>10</v>
      </c>
      <c r="E7100" s="2" t="str">
        <f>HYPERLINK("http://ts.21cn.com/tousu/show/id/1338052","http://ts.21cn.com/tousu/show/id/1338052")</f>
        <v>http://ts.21cn.com/tousu/show/id/1338052</v>
      </c>
      <c r="F7100" s="2" t="s">
        <v>11</v>
      </c>
      <c r="G7100" s="2" t="s">
        <v>30192</v>
      </c>
      <c r="H7100" s="2" t="s">
        <v>30193</v>
      </c>
    </row>
    <row r="7101" spans="1:8" ht="25.05" customHeight="1" x14ac:dyDescent="0.25">
      <c r="A7101" s="2" t="s">
        <v>8</v>
      </c>
      <c r="B7101" s="2" t="str">
        <f>HYPERLINK("http://ts.21cn.com/tousu/show/id/1338051","创客工具箱")</f>
        <v>创客工具箱</v>
      </c>
      <c r="C7101" s="2" t="s">
        <v>9</v>
      </c>
      <c r="D7101" s="2" t="s">
        <v>10</v>
      </c>
      <c r="E7101" s="2" t="str">
        <f>HYPERLINK("http://ts.21cn.com/tousu/show/id/1338051","http://ts.21cn.com/tousu/show/id/1338051")</f>
        <v>http://ts.21cn.com/tousu/show/id/1338051</v>
      </c>
      <c r="F7101" s="2" t="s">
        <v>11</v>
      </c>
      <c r="G7101" s="2" t="s">
        <v>30190</v>
      </c>
      <c r="H7101" s="2" t="s">
        <v>30191</v>
      </c>
    </row>
    <row r="7102" spans="1:8" ht="25.05" customHeight="1" x14ac:dyDescent="0.25">
      <c r="A7102" s="2" t="s">
        <v>8</v>
      </c>
      <c r="B7102" s="2" t="str">
        <f>HYPERLINK("http://ts.21cn.com/tousu/show/id/1338053","贷上钱以买游戏豆为由收取高额贷款通过费")</f>
        <v>贷上钱以买游戏豆为由收取高额贷款通过费</v>
      </c>
      <c r="C7102" s="2" t="s">
        <v>9</v>
      </c>
      <c r="D7102" s="2" t="s">
        <v>10</v>
      </c>
      <c r="E7102" s="2" t="str">
        <f>HYPERLINK("http://ts.21cn.com/tousu/show/id/1338053","http://ts.21cn.com/tousu/show/id/1338053")</f>
        <v>http://ts.21cn.com/tousu/show/id/1338053</v>
      </c>
      <c r="F7102" s="2" t="s">
        <v>11</v>
      </c>
      <c r="G7102" s="2" t="s">
        <v>30188</v>
      </c>
      <c r="H7102" s="2" t="s">
        <v>30189</v>
      </c>
    </row>
    <row r="7103" spans="1:8" ht="25.05" customHeight="1" x14ac:dyDescent="0.25">
      <c r="A7103" s="2" t="s">
        <v>8</v>
      </c>
      <c r="B7103" s="2" t="str">
        <f>HYPERLINK("http://ts.21cn.com/tousu/show/id/1338010","利用交别人创业为由收取会费不予退款")</f>
        <v>利用交别人创业为由收取会费不予退款</v>
      </c>
      <c r="C7103" s="2" t="s">
        <v>9</v>
      </c>
      <c r="D7103" s="2" t="s">
        <v>10</v>
      </c>
      <c r="E7103" s="2" t="str">
        <f>HYPERLINK("http://ts.21cn.com/tousu/show/id/1338010","http://ts.21cn.com/tousu/show/id/1338010")</f>
        <v>http://ts.21cn.com/tousu/show/id/1338010</v>
      </c>
      <c r="F7103" s="2" t="s">
        <v>11</v>
      </c>
      <c r="G7103" s="2" t="s">
        <v>30186</v>
      </c>
      <c r="H7103" s="2" t="s">
        <v>30187</v>
      </c>
    </row>
    <row r="7104" spans="1:8" ht="25.05" customHeight="1" x14ac:dyDescent="0.25">
      <c r="A7104" s="2" t="s">
        <v>8</v>
      </c>
      <c r="B7104" s="2" t="str">
        <f>HYPERLINK("http://ts.21cn.com/tousu/show/id/1338054","信而富催收在能联系到本人的情况下爆通讯录")</f>
        <v>信而富催收在能联系到本人的情况下爆通讯录</v>
      </c>
      <c r="C7104" s="2" t="s">
        <v>9</v>
      </c>
      <c r="D7104" s="2" t="s">
        <v>10</v>
      </c>
      <c r="E7104" s="2" t="str">
        <f>HYPERLINK("http://ts.21cn.com/tousu/show/id/1338054","http://ts.21cn.com/tousu/show/id/1338054")</f>
        <v>http://ts.21cn.com/tousu/show/id/1338054</v>
      </c>
      <c r="F7104" s="2" t="s">
        <v>11</v>
      </c>
      <c r="G7104" s="2" t="s">
        <v>30184</v>
      </c>
      <c r="H7104" s="2" t="s">
        <v>30185</v>
      </c>
    </row>
    <row r="7105" spans="1:8" ht="25.05" customHeight="1" x14ac:dyDescent="0.25">
      <c r="A7105" s="2" t="s">
        <v>8</v>
      </c>
      <c r="B7105" s="2" t="str">
        <f>HYPERLINK("http://ts.21cn.com/tousu/show/id/1338055","安全带严重高利贷")</f>
        <v>安全带严重高利贷</v>
      </c>
      <c r="C7105" s="2" t="s">
        <v>9</v>
      </c>
      <c r="D7105" s="2" t="s">
        <v>10</v>
      </c>
      <c r="E7105" s="2" t="str">
        <f>HYPERLINK("http://ts.21cn.com/tousu/show/id/1338055","http://ts.21cn.com/tousu/show/id/1338055")</f>
        <v>http://ts.21cn.com/tousu/show/id/1338055</v>
      </c>
      <c r="F7105" s="2" t="s">
        <v>11</v>
      </c>
      <c r="G7105" s="2" t="s">
        <v>30182</v>
      </c>
      <c r="H7105" s="2" t="s">
        <v>30183</v>
      </c>
    </row>
    <row r="7106" spans="1:8" ht="25.05" customHeight="1" x14ac:dyDescent="0.25">
      <c r="A7106" s="2" t="s">
        <v>8</v>
      </c>
      <c r="B7106" s="2" t="str">
        <f>HYPERLINK("http://ts.21cn.com/tousu/show/id/1338058","苹果产品质量问题不保修")</f>
        <v>苹果产品质量问题不保修</v>
      </c>
      <c r="C7106" s="2" t="s">
        <v>9</v>
      </c>
      <c r="D7106" s="2" t="s">
        <v>10</v>
      </c>
      <c r="E7106" s="2" t="str">
        <f>HYPERLINK("http://ts.21cn.com/tousu/show/id/1338058","http://ts.21cn.com/tousu/show/id/1338058")</f>
        <v>http://ts.21cn.com/tousu/show/id/1338058</v>
      </c>
      <c r="F7106" s="2" t="s">
        <v>11</v>
      </c>
      <c r="G7106" s="2" t="s">
        <v>30180</v>
      </c>
      <c r="H7106" s="2" t="s">
        <v>30181</v>
      </c>
    </row>
    <row r="7107" spans="1:8" ht="25.05" customHeight="1" x14ac:dyDescent="0.25">
      <c r="A7107" s="2" t="s">
        <v>8</v>
      </c>
      <c r="B7107" s="2" t="str">
        <f>HYPERLINK("http://ts.21cn.com/tousu/show/id/1338059","你无情别怪我无意。")</f>
        <v>你无情别怪我无意。</v>
      </c>
      <c r="C7107" s="2" t="s">
        <v>9</v>
      </c>
      <c r="D7107" s="2" t="s">
        <v>10</v>
      </c>
      <c r="E7107" s="2" t="str">
        <f>HYPERLINK("http://ts.21cn.com/tousu/show/id/1338059","http://ts.21cn.com/tousu/show/id/1338059")</f>
        <v>http://ts.21cn.com/tousu/show/id/1338059</v>
      </c>
      <c r="F7107" s="2" t="s">
        <v>11</v>
      </c>
      <c r="G7107" s="2" t="s">
        <v>30178</v>
      </c>
      <c r="H7107" s="2" t="s">
        <v>30179</v>
      </c>
    </row>
    <row r="7108" spans="1:8" ht="25.05" customHeight="1" x14ac:dyDescent="0.25">
      <c r="A7108" s="2" t="s">
        <v>8</v>
      </c>
      <c r="B7108" s="2" t="str">
        <f>HYPERLINK("http://ts.21cn.com/tousu/show/id/1338060","拍拍贷高息暴力催收")</f>
        <v>拍拍贷高息暴力催收</v>
      </c>
      <c r="C7108" s="2" t="s">
        <v>9</v>
      </c>
      <c r="D7108" s="2" t="s">
        <v>10</v>
      </c>
      <c r="E7108" s="2" t="str">
        <f>HYPERLINK("http://ts.21cn.com/tousu/show/id/1338060","http://ts.21cn.com/tousu/show/id/1338060")</f>
        <v>http://ts.21cn.com/tousu/show/id/1338060</v>
      </c>
      <c r="F7108" s="2" t="s">
        <v>11</v>
      </c>
      <c r="G7108" s="2" t="s">
        <v>30176</v>
      </c>
      <c r="H7108" s="2" t="s">
        <v>30177</v>
      </c>
    </row>
    <row r="7109" spans="1:8" ht="25.05" customHeight="1" x14ac:dyDescent="0.25">
      <c r="A7109" s="2" t="s">
        <v>8</v>
      </c>
      <c r="B7109" s="2" t="str">
        <f>HYPERLINK("http://ts.21cn.com/tousu/show/id/1338061","小花钱包恶意骚扰")</f>
        <v>小花钱包恶意骚扰</v>
      </c>
      <c r="C7109" s="2" t="s">
        <v>9</v>
      </c>
      <c r="D7109" s="2" t="s">
        <v>10</v>
      </c>
      <c r="E7109" s="2" t="str">
        <f>HYPERLINK("http://ts.21cn.com/tousu/show/id/1338061","http://ts.21cn.com/tousu/show/id/1338061")</f>
        <v>http://ts.21cn.com/tousu/show/id/1338061</v>
      </c>
      <c r="F7109" s="2" t="s">
        <v>11</v>
      </c>
      <c r="G7109" s="2" t="s">
        <v>30174</v>
      </c>
      <c r="H7109" s="2" t="s">
        <v>30175</v>
      </c>
    </row>
    <row r="7110" spans="1:8" ht="25.05" customHeight="1" x14ac:dyDescent="0.25">
      <c r="A7110" s="2" t="s">
        <v>8</v>
      </c>
      <c r="B7110" s="2" t="str">
        <f>HYPERLINK("http://ts.21cn.com/tousu/show/id/1338063","钱站砍头息")</f>
        <v>钱站砍头息</v>
      </c>
      <c r="C7110" s="2" t="s">
        <v>34</v>
      </c>
      <c r="D7110" s="2" t="s">
        <v>10</v>
      </c>
      <c r="E7110" s="2" t="str">
        <f>HYPERLINK("http://ts.21cn.com/tousu/show/id/1338063","http://ts.21cn.com/tousu/show/id/1338063")</f>
        <v>http://ts.21cn.com/tousu/show/id/1338063</v>
      </c>
      <c r="F7110" s="2" t="s">
        <v>11</v>
      </c>
      <c r="G7110" s="2" t="s">
        <v>30172</v>
      </c>
      <c r="H7110" s="2" t="s">
        <v>30173</v>
      </c>
    </row>
    <row r="7111" spans="1:8" ht="25.05" customHeight="1" x14ac:dyDescent="0.25">
      <c r="A7111" s="2" t="s">
        <v>8</v>
      </c>
      <c r="B7111" s="2" t="str">
        <f>HYPERLINK("http://ts.21cn.com/tousu/show/id/1338062","江苏联通99元冰淇淋套餐活动套路老用户")</f>
        <v>江苏联通99元冰淇淋套餐活动套路老用户</v>
      </c>
      <c r="C7111" s="2" t="s">
        <v>9</v>
      </c>
      <c r="D7111" s="2" t="s">
        <v>10</v>
      </c>
      <c r="E7111" s="2" t="str">
        <f>HYPERLINK("http://ts.21cn.com/tousu/show/id/1338062","http://ts.21cn.com/tousu/show/id/1338062")</f>
        <v>http://ts.21cn.com/tousu/show/id/1338062</v>
      </c>
      <c r="F7111" s="2" t="s">
        <v>11</v>
      </c>
      <c r="G7111" s="2" t="s">
        <v>30170</v>
      </c>
      <c r="H7111" s="2" t="s">
        <v>30171</v>
      </c>
    </row>
    <row r="7112" spans="1:8" ht="25.05" customHeight="1" x14ac:dyDescent="0.25">
      <c r="A7112" s="2" t="s">
        <v>8</v>
      </c>
      <c r="B7112" s="2" t="str">
        <f>HYPERLINK("http://ts.21cn.com/tousu/show/id/1338064","借款平台借款直接扣除800，逾期一天罚息要25一天，接受不了")</f>
        <v>借款平台借款直接扣除800，逾期一天罚息要25一天，接受不了</v>
      </c>
      <c r="C7112" s="2" t="s">
        <v>9</v>
      </c>
      <c r="D7112" s="2" t="s">
        <v>10</v>
      </c>
      <c r="E7112" s="2" t="str">
        <f>HYPERLINK("http://ts.21cn.com/tousu/show/id/1338064","http://ts.21cn.com/tousu/show/id/1338064")</f>
        <v>http://ts.21cn.com/tousu/show/id/1338064</v>
      </c>
      <c r="F7112" s="2" t="s">
        <v>11</v>
      </c>
      <c r="G7112" s="2" t="s">
        <v>30168</v>
      </c>
      <c r="H7112" s="2" t="s">
        <v>30169</v>
      </c>
    </row>
    <row r="7113" spans="1:8" ht="25.05" customHeight="1" x14ac:dyDescent="0.25">
      <c r="A7113" s="2" t="s">
        <v>8</v>
      </c>
      <c r="B7113" s="2" t="str">
        <f>HYPERLINK("http://ts.21cn.com/tousu/show/id/1338066","龙行商务卡诱导消费者办卡")</f>
        <v>龙行商务卡诱导消费者办卡</v>
      </c>
      <c r="C7113" s="2" t="s">
        <v>9</v>
      </c>
      <c r="D7113" s="2" t="s">
        <v>10</v>
      </c>
      <c r="E7113" s="2" t="str">
        <f>HYPERLINK("http://ts.21cn.com/tousu/show/id/1338066","http://ts.21cn.com/tousu/show/id/1338066")</f>
        <v>http://ts.21cn.com/tousu/show/id/1338066</v>
      </c>
      <c r="F7113" s="2" t="s">
        <v>11</v>
      </c>
      <c r="G7113" s="2" t="s">
        <v>30166</v>
      </c>
      <c r="H7113" s="2" t="s">
        <v>30167</v>
      </c>
    </row>
    <row r="7114" spans="1:8" ht="25.05" customHeight="1" x14ac:dyDescent="0.25">
      <c r="A7114" s="2" t="s">
        <v>8</v>
      </c>
      <c r="B7114" s="2" t="str">
        <f>HYPERLINK("http://ts.21cn.com/tousu/show/id/1338067","招联金融软暴力催收")</f>
        <v>招联金融软暴力催收</v>
      </c>
      <c r="C7114" s="2" t="s">
        <v>9</v>
      </c>
      <c r="D7114" s="2" t="s">
        <v>10</v>
      </c>
      <c r="E7114" s="2" t="str">
        <f>HYPERLINK("http://ts.21cn.com/tousu/show/id/1338067","http://ts.21cn.com/tousu/show/id/1338067")</f>
        <v>http://ts.21cn.com/tousu/show/id/1338067</v>
      </c>
      <c r="F7114" s="2" t="s">
        <v>11</v>
      </c>
      <c r="G7114" s="2" t="s">
        <v>30164</v>
      </c>
      <c r="H7114" s="2" t="s">
        <v>30165</v>
      </c>
    </row>
    <row r="7115" spans="1:8" ht="25.05" customHeight="1" x14ac:dyDescent="0.25">
      <c r="A7115" s="2" t="s">
        <v>8</v>
      </c>
      <c r="B7115" s="2" t="str">
        <f>HYPERLINK("http://ts.21cn.com/tousu/show/id/1338069","高利贷。砍头息")</f>
        <v>高利贷。砍头息</v>
      </c>
      <c r="C7115" s="2" t="s">
        <v>9</v>
      </c>
      <c r="D7115" s="2" t="s">
        <v>10</v>
      </c>
      <c r="E7115" s="2" t="str">
        <f>HYPERLINK("http://ts.21cn.com/tousu/show/id/1338069","http://ts.21cn.com/tousu/show/id/1338069")</f>
        <v>http://ts.21cn.com/tousu/show/id/1338069</v>
      </c>
      <c r="F7115" s="2" t="s">
        <v>11</v>
      </c>
      <c r="G7115" s="2" t="s">
        <v>30162</v>
      </c>
      <c r="H7115" s="2" t="s">
        <v>30163</v>
      </c>
    </row>
    <row r="7116" spans="1:8" ht="25.05" customHeight="1" x14ac:dyDescent="0.25">
      <c r="A7116" s="2" t="s">
        <v>8</v>
      </c>
      <c r="B7116" s="2" t="str">
        <f>HYPERLINK("http://ts.21cn.com/tousu/show/id/1338070","你我贷，客服人员威胁恐吓本人")</f>
        <v>你我贷，客服人员威胁恐吓本人</v>
      </c>
      <c r="C7116" s="2" t="s">
        <v>9</v>
      </c>
      <c r="D7116" s="2" t="s">
        <v>10</v>
      </c>
      <c r="E7116" s="2" t="str">
        <f>HYPERLINK("http://ts.21cn.com/tousu/show/id/1338070","http://ts.21cn.com/tousu/show/id/1338070")</f>
        <v>http://ts.21cn.com/tousu/show/id/1338070</v>
      </c>
      <c r="F7116" s="2" t="s">
        <v>11</v>
      </c>
      <c r="G7116" s="2" t="s">
        <v>30160</v>
      </c>
      <c r="H7116" s="2" t="s">
        <v>30161</v>
      </c>
    </row>
    <row r="7117" spans="1:8" ht="25.05" customHeight="1" x14ac:dyDescent="0.25">
      <c r="A7117" s="2" t="s">
        <v>8</v>
      </c>
      <c r="B7117" s="2" t="str">
        <f>HYPERLINK("http://ts.21cn.com/tousu/show/id/1338072","滴滴账号变更对公车辆无法解决")</f>
        <v>滴滴账号变更对公车辆无法解决</v>
      </c>
      <c r="C7117" s="2" t="s">
        <v>9</v>
      </c>
      <c r="D7117" s="2" t="s">
        <v>10</v>
      </c>
      <c r="E7117" s="2" t="str">
        <f>HYPERLINK("http://ts.21cn.com/tousu/show/id/1338072","http://ts.21cn.com/tousu/show/id/1338072")</f>
        <v>http://ts.21cn.com/tousu/show/id/1338072</v>
      </c>
      <c r="F7117" s="2" t="s">
        <v>11</v>
      </c>
      <c r="G7117" s="2" t="s">
        <v>30158</v>
      </c>
      <c r="H7117" s="2" t="s">
        <v>30159</v>
      </c>
    </row>
    <row r="7118" spans="1:8" ht="25.05" customHeight="1" x14ac:dyDescent="0.25">
      <c r="A7118" s="2" t="s">
        <v>8</v>
      </c>
      <c r="B7118" s="2" t="str">
        <f>HYPERLINK("http://ts.21cn.com/tousu/show/id/1338073","招联金融")</f>
        <v>招联金融</v>
      </c>
      <c r="C7118" s="2" t="s">
        <v>9</v>
      </c>
      <c r="D7118" s="2" t="s">
        <v>10</v>
      </c>
      <c r="E7118" s="2" t="str">
        <f>HYPERLINK("http://ts.21cn.com/tousu/show/id/1338073","http://ts.21cn.com/tousu/show/id/1338073")</f>
        <v>http://ts.21cn.com/tousu/show/id/1338073</v>
      </c>
      <c r="F7118" s="2" t="s">
        <v>11</v>
      </c>
      <c r="G7118" s="2" t="s">
        <v>30156</v>
      </c>
      <c r="H7118" s="2" t="s">
        <v>30157</v>
      </c>
    </row>
    <row r="7119" spans="1:8" ht="25.05" customHeight="1" x14ac:dyDescent="0.25">
      <c r="A7119" s="2" t="s">
        <v>8</v>
      </c>
      <c r="B7119" s="2" t="str">
        <f>HYPERLINK("http://ts.21cn.com/tousu/show/id/1338074","京东白条恶意催收")</f>
        <v>京东白条恶意催收</v>
      </c>
      <c r="C7119" s="2" t="s">
        <v>9</v>
      </c>
      <c r="D7119" s="2" t="s">
        <v>10</v>
      </c>
      <c r="E7119" s="2" t="str">
        <f>HYPERLINK("http://ts.21cn.com/tousu/show/id/1338074","http://ts.21cn.com/tousu/show/id/1338074")</f>
        <v>http://ts.21cn.com/tousu/show/id/1338074</v>
      </c>
      <c r="F7119" s="2" t="s">
        <v>11</v>
      </c>
      <c r="G7119" s="2" t="s">
        <v>30154</v>
      </c>
      <c r="H7119" s="2" t="s">
        <v>30155</v>
      </c>
    </row>
    <row r="7120" spans="1:8" ht="25.05" customHeight="1" x14ac:dyDescent="0.25">
      <c r="A7120" s="2" t="s">
        <v>8</v>
      </c>
      <c r="B7120" s="2" t="str">
        <f>HYPERLINK("http://ts.21cn.com/tousu/show/id/1338075","微众银行催收电话短信骚扰，严重影响朋友家人的正常生活")</f>
        <v>微众银行催收电话短信骚扰，严重影响朋友家人的正常生活</v>
      </c>
      <c r="C7120" s="2" t="s">
        <v>9</v>
      </c>
      <c r="D7120" s="2" t="s">
        <v>10</v>
      </c>
      <c r="E7120" s="2" t="str">
        <f>HYPERLINK("http://ts.21cn.com/tousu/show/id/1338075","http://ts.21cn.com/tousu/show/id/1338075")</f>
        <v>http://ts.21cn.com/tousu/show/id/1338075</v>
      </c>
      <c r="F7120" s="2" t="s">
        <v>11</v>
      </c>
      <c r="G7120" s="2" t="s">
        <v>30152</v>
      </c>
      <c r="H7120" s="2" t="s">
        <v>30153</v>
      </c>
    </row>
    <row r="7121" spans="1:8" ht="25.05" customHeight="1" x14ac:dyDescent="0.25">
      <c r="A7121" s="2" t="s">
        <v>8</v>
      </c>
      <c r="B7121" s="2" t="str">
        <f>HYPERLINK("http://ts.21cn.com/tousu/show/id/1338076","在拼多多代付被骗7100元联系拼多多客服一直没有处理退款")</f>
        <v>在拼多多代付被骗7100元联系拼多多客服一直没有处理退款</v>
      </c>
      <c r="C7121" s="2" t="s">
        <v>9</v>
      </c>
      <c r="D7121" s="2" t="s">
        <v>10</v>
      </c>
      <c r="E7121" s="2" t="str">
        <f>HYPERLINK("http://ts.21cn.com/tousu/show/id/1338076","http://ts.21cn.com/tousu/show/id/1338076")</f>
        <v>http://ts.21cn.com/tousu/show/id/1338076</v>
      </c>
      <c r="F7121" s="2" t="s">
        <v>11</v>
      </c>
      <c r="G7121" s="2" t="s">
        <v>30150</v>
      </c>
      <c r="H7121" s="2" t="s">
        <v>30151</v>
      </c>
    </row>
    <row r="7122" spans="1:8" ht="25.05" customHeight="1" x14ac:dyDescent="0.25">
      <c r="A7122" s="2" t="s">
        <v>8</v>
      </c>
      <c r="B7122" s="2" t="str">
        <f>HYPERLINK("http://ts.21cn.com/tousu/show/id/1338077","催收人员暴力催收，威胁24小时不结清所以欠款，发通告函到户口所在地")</f>
        <v>催收人员暴力催收，威胁24小时不结清所以欠款，发通告函到户口所在地</v>
      </c>
      <c r="C7122" s="2" t="s">
        <v>9</v>
      </c>
      <c r="D7122" s="2" t="s">
        <v>10</v>
      </c>
      <c r="E7122" s="2" t="str">
        <f>HYPERLINK("http://ts.21cn.com/tousu/show/id/1338077","http://ts.21cn.com/tousu/show/id/1338077")</f>
        <v>http://ts.21cn.com/tousu/show/id/1338077</v>
      </c>
      <c r="F7122" s="2" t="s">
        <v>11</v>
      </c>
      <c r="G7122" s="2" t="s">
        <v>30148</v>
      </c>
      <c r="H7122" s="2" t="s">
        <v>30149</v>
      </c>
    </row>
    <row r="7123" spans="1:8" ht="25.05" customHeight="1" x14ac:dyDescent="0.25">
      <c r="A7123" s="2" t="s">
        <v>8</v>
      </c>
      <c r="B7123" s="2" t="str">
        <f>HYPERLINK("http://ts.21cn.com/tousu/show/id/1338079","手机借钱协同多宝分期放高利贷，还款日当天就打骚扰电话，还款周期短")</f>
        <v>手机借钱协同多宝分期放高利贷，还款日当天就打骚扰电话，还款周期短</v>
      </c>
      <c r="C7123" s="2" t="s">
        <v>9</v>
      </c>
      <c r="D7123" s="2" t="s">
        <v>10</v>
      </c>
      <c r="E7123" s="2" t="str">
        <f>HYPERLINK("http://ts.21cn.com/tousu/show/id/1338079","http://ts.21cn.com/tousu/show/id/1338079")</f>
        <v>http://ts.21cn.com/tousu/show/id/1338079</v>
      </c>
      <c r="F7123" s="2" t="s">
        <v>11</v>
      </c>
      <c r="G7123" s="2" t="s">
        <v>30146</v>
      </c>
      <c r="H7123" s="2" t="s">
        <v>30147</v>
      </c>
    </row>
    <row r="7124" spans="1:8" ht="25.05" customHeight="1" x14ac:dyDescent="0.25">
      <c r="A7124" s="2" t="s">
        <v>8</v>
      </c>
      <c r="B7124" s="2" t="str">
        <f>HYPERLINK("http://ts.21cn.com/tousu/show/id/1338080","暴力催收威胁恐吓")</f>
        <v>暴力催收威胁恐吓</v>
      </c>
      <c r="C7124" s="2" t="s">
        <v>9</v>
      </c>
      <c r="D7124" s="2" t="s">
        <v>10</v>
      </c>
      <c r="E7124" s="2" t="str">
        <f>HYPERLINK("http://ts.21cn.com/tousu/show/id/1338080","http://ts.21cn.com/tousu/show/id/1338080")</f>
        <v>http://ts.21cn.com/tousu/show/id/1338080</v>
      </c>
      <c r="F7124" s="2" t="s">
        <v>11</v>
      </c>
      <c r="G7124" s="2" t="s">
        <v>30144</v>
      </c>
      <c r="H7124" s="2" t="s">
        <v>30145</v>
      </c>
    </row>
    <row r="7125" spans="1:8" ht="25.05" customHeight="1" x14ac:dyDescent="0.25">
      <c r="A7125" s="2" t="s">
        <v>8</v>
      </c>
      <c r="B7125" s="2" t="str">
        <f>HYPERLINK("http://ts.21cn.com/tousu/show/id/1338081","壹心分期砍头息")</f>
        <v>壹心分期砍头息</v>
      </c>
      <c r="C7125" s="2" t="s">
        <v>9</v>
      </c>
      <c r="D7125" s="2" t="s">
        <v>10</v>
      </c>
      <c r="E7125" s="2" t="str">
        <f>HYPERLINK("http://ts.21cn.com/tousu/show/id/1338081","http://ts.21cn.com/tousu/show/id/1338081")</f>
        <v>http://ts.21cn.com/tousu/show/id/1338081</v>
      </c>
      <c r="F7125" s="2" t="s">
        <v>11</v>
      </c>
      <c r="G7125" s="2" t="s">
        <v>30142</v>
      </c>
      <c r="H7125" s="2" t="s">
        <v>30143</v>
      </c>
    </row>
    <row r="7126" spans="1:8" ht="25.05" customHeight="1" x14ac:dyDescent="0.25">
      <c r="A7126" s="2" t="s">
        <v>8</v>
      </c>
      <c r="B7126" s="2" t="str">
        <f>HYPERLINK("http://ts.21cn.com/tousu/show/id/1338082","京东金条第三方催收不予协商，威胁一次性还款，否则拨打通讯录")</f>
        <v>京东金条第三方催收不予协商，威胁一次性还款，否则拨打通讯录</v>
      </c>
      <c r="C7126" s="2" t="s">
        <v>9</v>
      </c>
      <c r="D7126" s="2" t="s">
        <v>10</v>
      </c>
      <c r="E7126" s="2" t="str">
        <f>HYPERLINK("http://ts.21cn.com/tousu/show/id/1338082","http://ts.21cn.com/tousu/show/id/1338082")</f>
        <v>http://ts.21cn.com/tousu/show/id/1338082</v>
      </c>
      <c r="F7126" s="2" t="s">
        <v>11</v>
      </c>
      <c r="G7126" s="2" t="s">
        <v>30140</v>
      </c>
      <c r="H7126" s="2" t="s">
        <v>30141</v>
      </c>
    </row>
    <row r="7127" spans="1:8" ht="25.05" customHeight="1" x14ac:dyDescent="0.25">
      <c r="A7127" s="2" t="s">
        <v>8</v>
      </c>
      <c r="B7127" s="2" t="str">
        <f>HYPERLINK("http://ts.21cn.com/tousu/show/id/1338083","提前还清不减免利息")</f>
        <v>提前还清不减免利息</v>
      </c>
      <c r="C7127" s="2" t="s">
        <v>34</v>
      </c>
      <c r="D7127" s="2" t="s">
        <v>10</v>
      </c>
      <c r="E7127" s="2" t="str">
        <f>HYPERLINK("http://ts.21cn.com/tousu/show/id/1338083","http://ts.21cn.com/tousu/show/id/1338083")</f>
        <v>http://ts.21cn.com/tousu/show/id/1338083</v>
      </c>
      <c r="F7127" s="2" t="s">
        <v>11</v>
      </c>
      <c r="G7127" s="2" t="s">
        <v>30138</v>
      </c>
      <c r="H7127" s="2" t="s">
        <v>30139</v>
      </c>
    </row>
    <row r="7128" spans="1:8" ht="25.05" customHeight="1" x14ac:dyDescent="0.25">
      <c r="A7128" s="2" t="s">
        <v>8</v>
      </c>
      <c r="B7128" s="2" t="str">
        <f>HYPERLINK("http://ts.21cn.com/tousu/show/id/1338084","爆通讯录好友，恐吓影响正常生活")</f>
        <v>爆通讯录好友，恐吓影响正常生活</v>
      </c>
      <c r="C7128" s="2" t="s">
        <v>9</v>
      </c>
      <c r="D7128" s="2" t="s">
        <v>10</v>
      </c>
      <c r="E7128" s="2" t="str">
        <f>HYPERLINK("http://ts.21cn.com/tousu/show/id/1338084","http://ts.21cn.com/tousu/show/id/1338084")</f>
        <v>http://ts.21cn.com/tousu/show/id/1338084</v>
      </c>
      <c r="F7128" s="2" t="s">
        <v>11</v>
      </c>
      <c r="G7128" s="2" t="s">
        <v>30136</v>
      </c>
      <c r="H7128" s="2" t="s">
        <v>30137</v>
      </c>
    </row>
    <row r="7129" spans="1:8" ht="25.05" customHeight="1" x14ac:dyDescent="0.25">
      <c r="A7129" s="2" t="s">
        <v>8</v>
      </c>
      <c r="B7129" s="2" t="str">
        <f>HYPERLINK("http://ts.21cn.com/tousu/show/id/1338086","投诉中信银行信用卡中心外包公司恐吓威胁")</f>
        <v>投诉中信银行信用卡中心外包公司恐吓威胁</v>
      </c>
      <c r="C7129" s="2" t="s">
        <v>9</v>
      </c>
      <c r="D7129" s="2" t="s">
        <v>10</v>
      </c>
      <c r="E7129" s="2" t="str">
        <f>HYPERLINK("http://ts.21cn.com/tousu/show/id/1338086","http://ts.21cn.com/tousu/show/id/1338086")</f>
        <v>http://ts.21cn.com/tousu/show/id/1338086</v>
      </c>
      <c r="F7129" s="2" t="s">
        <v>11</v>
      </c>
      <c r="G7129" s="2" t="s">
        <v>30134</v>
      </c>
      <c r="H7129" s="2" t="s">
        <v>30135</v>
      </c>
    </row>
    <row r="7130" spans="1:8" ht="25.05" customHeight="1" x14ac:dyDescent="0.25">
      <c r="A7130" s="2" t="s">
        <v>8</v>
      </c>
      <c r="B7130" s="2" t="str">
        <f>HYPERLINK("http://ts.21cn.com/tousu/show/id/1338085","中信银行拒绝停息挂账申请，违反国家相关规定。")</f>
        <v>中信银行拒绝停息挂账申请，违反国家相关规定。</v>
      </c>
      <c r="C7130" s="2" t="s">
        <v>9</v>
      </c>
      <c r="D7130" s="2" t="s">
        <v>10</v>
      </c>
      <c r="E7130" s="2" t="str">
        <f>HYPERLINK("http://ts.21cn.com/tousu/show/id/1338085","http://ts.21cn.com/tousu/show/id/1338085")</f>
        <v>http://ts.21cn.com/tousu/show/id/1338085</v>
      </c>
      <c r="F7130" s="2" t="s">
        <v>11</v>
      </c>
      <c r="G7130" s="2" t="s">
        <v>30132</v>
      </c>
      <c r="H7130" s="2" t="s">
        <v>30133</v>
      </c>
    </row>
    <row r="7131" spans="1:8" ht="25.05" customHeight="1" x14ac:dyDescent="0.25">
      <c r="A7131" s="2" t="s">
        <v>8</v>
      </c>
      <c r="B7131" s="2" t="str">
        <f>HYPERLINK("http://ts.21cn.com/tousu/show/id/1338087","华夏银行虚假宣传")</f>
        <v>华夏银行虚假宣传</v>
      </c>
      <c r="C7131" s="2" t="s">
        <v>9</v>
      </c>
      <c r="D7131" s="2" t="s">
        <v>10</v>
      </c>
      <c r="E7131" s="2" t="str">
        <f>HYPERLINK("http://ts.21cn.com/tousu/show/id/1338087","http://ts.21cn.com/tousu/show/id/1338087")</f>
        <v>http://ts.21cn.com/tousu/show/id/1338087</v>
      </c>
      <c r="F7131" s="2" t="s">
        <v>11</v>
      </c>
      <c r="G7131" s="2" t="s">
        <v>30130</v>
      </c>
      <c r="H7131" s="2" t="s">
        <v>30131</v>
      </c>
    </row>
    <row r="7132" spans="1:8" ht="25.05" customHeight="1" x14ac:dyDescent="0.25">
      <c r="A7132" s="2" t="s">
        <v>8</v>
      </c>
      <c r="B7132" s="2" t="str">
        <f>HYPERLINK("http://ts.21cn.com/tousu/show/id/1338089","贷上钱高利贷")</f>
        <v>贷上钱高利贷</v>
      </c>
      <c r="C7132" s="2" t="s">
        <v>9</v>
      </c>
      <c r="D7132" s="2" t="s">
        <v>10</v>
      </c>
      <c r="E7132" s="2" t="str">
        <f>HYPERLINK("http://ts.21cn.com/tousu/show/id/1338089","http://ts.21cn.com/tousu/show/id/1338089")</f>
        <v>http://ts.21cn.com/tousu/show/id/1338089</v>
      </c>
      <c r="F7132" s="2" t="s">
        <v>11</v>
      </c>
      <c r="G7132" s="2" t="s">
        <v>30128</v>
      </c>
      <c r="H7132" s="2" t="s">
        <v>30129</v>
      </c>
    </row>
    <row r="7133" spans="1:8" ht="25.05" customHeight="1" x14ac:dyDescent="0.25">
      <c r="A7133" s="2" t="s">
        <v>8</v>
      </c>
      <c r="B7133" s="2" t="str">
        <f>HYPERLINK("http://ts.21cn.com/tousu/show/id/1338090","高利贷。加砍头息")</f>
        <v>高利贷。加砍头息</v>
      </c>
      <c r="C7133" s="2" t="s">
        <v>9</v>
      </c>
      <c r="D7133" s="2" t="s">
        <v>10</v>
      </c>
      <c r="E7133" s="2" t="str">
        <f>HYPERLINK("http://ts.21cn.com/tousu/show/id/1338090","http://ts.21cn.com/tousu/show/id/1338090")</f>
        <v>http://ts.21cn.com/tousu/show/id/1338090</v>
      </c>
      <c r="F7133" s="2" t="s">
        <v>11</v>
      </c>
      <c r="G7133" s="2" t="s">
        <v>30126</v>
      </c>
      <c r="H7133" s="2" t="s">
        <v>30127</v>
      </c>
    </row>
    <row r="7134" spans="1:8" ht="25.05" customHeight="1" x14ac:dyDescent="0.25">
      <c r="A7134" s="2" t="s">
        <v>8</v>
      </c>
      <c r="B7134" s="2" t="str">
        <f>HYPERLINK("http://ts.21cn.com/tousu/show/id/1338092","吉顺通易起来小当家真多银砍头息高利贷")</f>
        <v>吉顺通易起来小当家真多银砍头息高利贷</v>
      </c>
      <c r="C7134" s="2" t="s">
        <v>9</v>
      </c>
      <c r="D7134" s="2" t="s">
        <v>10</v>
      </c>
      <c r="E7134" s="2" t="str">
        <f>HYPERLINK("http://ts.21cn.com/tousu/show/id/1338092","http://ts.21cn.com/tousu/show/id/1338092")</f>
        <v>http://ts.21cn.com/tousu/show/id/1338092</v>
      </c>
      <c r="F7134" s="2" t="s">
        <v>11</v>
      </c>
      <c r="G7134" s="2" t="s">
        <v>30124</v>
      </c>
      <c r="H7134" s="2" t="s">
        <v>30125</v>
      </c>
    </row>
    <row r="7135" spans="1:8" ht="25.05" customHeight="1" x14ac:dyDescent="0.25">
      <c r="A7135" s="2" t="s">
        <v>8</v>
      </c>
      <c r="B7135" s="2" t="str">
        <f>HYPERLINK("http://ts.21cn.com/tousu/show/id/1338093","高利贷砍头息")</f>
        <v>高利贷砍头息</v>
      </c>
      <c r="C7135" s="2" t="s">
        <v>9</v>
      </c>
      <c r="D7135" s="2" t="s">
        <v>10</v>
      </c>
      <c r="E7135" s="2" t="str">
        <f>HYPERLINK("http://ts.21cn.com/tousu/show/id/1338093","http://ts.21cn.com/tousu/show/id/1338093")</f>
        <v>http://ts.21cn.com/tousu/show/id/1338093</v>
      </c>
      <c r="F7135" s="2" t="s">
        <v>11</v>
      </c>
      <c r="G7135" s="2" t="s">
        <v>30123</v>
      </c>
      <c r="H7135" s="2" t="s">
        <v>21994</v>
      </c>
    </row>
    <row r="7136" spans="1:8" ht="25.05" customHeight="1" x14ac:dyDescent="0.25">
      <c r="A7136" s="2" t="s">
        <v>8</v>
      </c>
      <c r="B7136" s="2" t="str">
        <f>HYPERLINK("http://ts.21cn.com/tousu/show/id/1338094","新浪无故封停微博账号")</f>
        <v>新浪无故封停微博账号</v>
      </c>
      <c r="C7136" s="2" t="s">
        <v>9</v>
      </c>
      <c r="D7136" s="2" t="s">
        <v>10</v>
      </c>
      <c r="E7136" s="2" t="str">
        <f>HYPERLINK("http://ts.21cn.com/tousu/show/id/1338094","http://ts.21cn.com/tousu/show/id/1338094")</f>
        <v>http://ts.21cn.com/tousu/show/id/1338094</v>
      </c>
      <c r="F7136" s="2" t="s">
        <v>11</v>
      </c>
      <c r="G7136" s="2" t="s">
        <v>30121</v>
      </c>
      <c r="H7136" s="2" t="s">
        <v>30122</v>
      </c>
    </row>
    <row r="7137" spans="1:8" ht="25.05" customHeight="1" x14ac:dyDescent="0.25">
      <c r="A7137" s="2" t="s">
        <v>8</v>
      </c>
      <c r="B7137" s="2" t="str">
        <f>HYPERLINK("http://ts.21cn.com/tousu/show/id/1338095","360暴力催收")</f>
        <v>360暴力催收</v>
      </c>
      <c r="C7137" s="2" t="s">
        <v>9</v>
      </c>
      <c r="D7137" s="2" t="s">
        <v>10</v>
      </c>
      <c r="E7137" s="2" t="str">
        <f>HYPERLINK("http://ts.21cn.com/tousu/show/id/1338095","http://ts.21cn.com/tousu/show/id/1338095")</f>
        <v>http://ts.21cn.com/tousu/show/id/1338095</v>
      </c>
      <c r="F7137" s="2" t="s">
        <v>11</v>
      </c>
      <c r="G7137" s="2" t="s">
        <v>30119</v>
      </c>
      <c r="H7137" s="2" t="s">
        <v>30120</v>
      </c>
    </row>
    <row r="7138" spans="1:8" ht="25.05" customHeight="1" x14ac:dyDescent="0.25">
      <c r="A7138" s="2" t="s">
        <v>8</v>
      </c>
      <c r="B7138" s="2" t="str">
        <f>HYPERLINK("http://ts.21cn.com/tousu/show/id/1338096","拍拍贷合同上的利率于还款利率不符，催收威胁恐吓")</f>
        <v>拍拍贷合同上的利率于还款利率不符，催收威胁恐吓</v>
      </c>
      <c r="C7138" s="2" t="s">
        <v>9</v>
      </c>
      <c r="D7138" s="2" t="s">
        <v>10</v>
      </c>
      <c r="E7138" s="2" t="str">
        <f>HYPERLINK("http://ts.21cn.com/tousu/show/id/1338096","http://ts.21cn.com/tousu/show/id/1338096")</f>
        <v>http://ts.21cn.com/tousu/show/id/1338096</v>
      </c>
      <c r="F7138" s="2" t="s">
        <v>11</v>
      </c>
      <c r="G7138" s="2" t="s">
        <v>30117</v>
      </c>
      <c r="H7138" s="2" t="s">
        <v>30118</v>
      </c>
    </row>
    <row r="7139" spans="1:8" ht="25.05" customHeight="1" x14ac:dyDescent="0.25">
      <c r="A7139" s="2" t="s">
        <v>8</v>
      </c>
      <c r="B7139" s="2" t="str">
        <f>HYPERLINK("http://ts.21cn.com/tousu/show/id/1338097","砍头息")</f>
        <v>砍头息</v>
      </c>
      <c r="C7139" s="2" t="s">
        <v>9</v>
      </c>
      <c r="D7139" s="2" t="s">
        <v>10</v>
      </c>
      <c r="E7139" s="2" t="str">
        <f>HYPERLINK("http://ts.21cn.com/tousu/show/id/1338097","http://ts.21cn.com/tousu/show/id/1338097")</f>
        <v>http://ts.21cn.com/tousu/show/id/1338097</v>
      </c>
      <c r="F7139" s="2" t="s">
        <v>11</v>
      </c>
      <c r="G7139" s="2" t="s">
        <v>30115</v>
      </c>
      <c r="H7139" s="2" t="s">
        <v>30116</v>
      </c>
    </row>
    <row r="7140" spans="1:8" ht="25.05" customHeight="1" x14ac:dyDescent="0.25">
      <c r="A7140" s="2" t="s">
        <v>8</v>
      </c>
      <c r="B7140" s="2" t="str">
        <f>HYPERLINK("http://ts.21cn.com/tousu/show/id/1338098","我的苹果账号遭到异地盗刷")</f>
        <v>我的苹果账号遭到异地盗刷</v>
      </c>
      <c r="C7140" s="2" t="s">
        <v>9</v>
      </c>
      <c r="D7140" s="2" t="s">
        <v>10</v>
      </c>
      <c r="E7140" s="2" t="str">
        <f>HYPERLINK("http://ts.21cn.com/tousu/show/id/1338098","http://ts.21cn.com/tousu/show/id/1338098")</f>
        <v>http://ts.21cn.com/tousu/show/id/1338098</v>
      </c>
      <c r="F7140" s="2" t="s">
        <v>11</v>
      </c>
      <c r="G7140" s="2" t="s">
        <v>30113</v>
      </c>
      <c r="H7140" s="2" t="s">
        <v>30114</v>
      </c>
    </row>
    <row r="7141" spans="1:8" ht="25.05" customHeight="1" x14ac:dyDescent="0.25">
      <c r="A7141" s="2" t="s">
        <v>8</v>
      </c>
      <c r="B7141" s="2" t="str">
        <f>HYPERLINK("http://ts.21cn.com/tousu/show/id/1338100","招联金融无视法律，威胁恐吓侵犯隐私")</f>
        <v>招联金融无视法律，威胁恐吓侵犯隐私</v>
      </c>
      <c r="C7141" s="2" t="s">
        <v>9</v>
      </c>
      <c r="D7141" s="2" t="s">
        <v>10</v>
      </c>
      <c r="E7141" s="2" t="str">
        <f>HYPERLINK("http://ts.21cn.com/tousu/show/id/1338100","http://ts.21cn.com/tousu/show/id/1338100")</f>
        <v>http://ts.21cn.com/tousu/show/id/1338100</v>
      </c>
      <c r="F7141" s="2" t="s">
        <v>11</v>
      </c>
      <c r="G7141" s="2" t="s">
        <v>30111</v>
      </c>
      <c r="H7141" s="2" t="s">
        <v>30112</v>
      </c>
    </row>
    <row r="7142" spans="1:8" ht="25.05" customHeight="1" x14ac:dyDescent="0.25">
      <c r="A7142" s="2" t="s">
        <v>8</v>
      </c>
      <c r="B7142" s="2" t="str">
        <f>HYPERLINK("http://ts.21cn.com/tousu/show/id/1338099","滴滴出行平台不给宜兴快车司机派单")</f>
        <v>滴滴出行平台不给宜兴快车司机派单</v>
      </c>
      <c r="C7142" s="2" t="s">
        <v>34</v>
      </c>
      <c r="D7142" s="2" t="s">
        <v>10</v>
      </c>
      <c r="E7142" s="2" t="str">
        <f>HYPERLINK("http://ts.21cn.com/tousu/show/id/1338099","http://ts.21cn.com/tousu/show/id/1338099")</f>
        <v>http://ts.21cn.com/tousu/show/id/1338099</v>
      </c>
      <c r="F7142" s="2" t="s">
        <v>11</v>
      </c>
      <c r="G7142" s="2" t="s">
        <v>30109</v>
      </c>
      <c r="H7142" s="2" t="s">
        <v>30110</v>
      </c>
    </row>
    <row r="7143" spans="1:8" ht="25.05" customHeight="1" x14ac:dyDescent="0.25">
      <c r="A7143" s="2" t="s">
        <v>8</v>
      </c>
      <c r="B7143" s="2" t="str">
        <f>HYPERLINK("http://ts.21cn.com/tousu/show/id/1338056","通过口袋钱包贷款，结果擅自修改我的银行卡账号，导致我借的钱没有打到账号里，我交的服务费也没有及时返还给我")</f>
        <v>通过口袋钱包贷款，结果擅自修改我的银行卡账号，导致我借的钱没有打到账号里，我交的服务费也没有及时返还给我</v>
      </c>
      <c r="C7143" s="2" t="s">
        <v>9</v>
      </c>
      <c r="D7143" s="2" t="s">
        <v>10</v>
      </c>
      <c r="E7143" s="2" t="str">
        <f>HYPERLINK("http://ts.21cn.com/tousu/show/id/1338056","http://ts.21cn.com/tousu/show/id/1338056")</f>
        <v>http://ts.21cn.com/tousu/show/id/1338056</v>
      </c>
      <c r="F7143" s="2" t="s">
        <v>11</v>
      </c>
      <c r="G7143" s="2" t="s">
        <v>30107</v>
      </c>
      <c r="H7143" s="2" t="s">
        <v>30108</v>
      </c>
    </row>
    <row r="7144" spans="1:8" ht="25.05" customHeight="1" x14ac:dyDescent="0.25">
      <c r="A7144" s="2" t="s">
        <v>8</v>
      </c>
      <c r="B7144" s="2" t="str">
        <f>HYPERLINK("http://ts.21cn.com/tousu/show/id/1338101","即分期用短信验证码轰炸我")</f>
        <v>即分期用短信验证码轰炸我</v>
      </c>
      <c r="C7144" s="2" t="s">
        <v>9</v>
      </c>
      <c r="D7144" s="2" t="s">
        <v>10</v>
      </c>
      <c r="E7144" s="2" t="str">
        <f>HYPERLINK("http://ts.21cn.com/tousu/show/id/1338101","http://ts.21cn.com/tousu/show/id/1338101")</f>
        <v>http://ts.21cn.com/tousu/show/id/1338101</v>
      </c>
      <c r="F7144" s="2" t="s">
        <v>11</v>
      </c>
      <c r="G7144" s="2" t="s">
        <v>30105</v>
      </c>
      <c r="H7144" s="2" t="s">
        <v>30106</v>
      </c>
    </row>
    <row r="7145" spans="1:8" ht="25.05" customHeight="1" x14ac:dyDescent="0.25">
      <c r="A7145" s="2" t="s">
        <v>8</v>
      </c>
      <c r="B7145" s="2" t="str">
        <f>HYPERLINK("http://ts.21cn.com/tousu/show/id/1338102","投诉高利息网贷")</f>
        <v>投诉高利息网贷</v>
      </c>
      <c r="C7145" s="2" t="s">
        <v>9</v>
      </c>
      <c r="D7145" s="2" t="s">
        <v>10</v>
      </c>
      <c r="E7145" s="2" t="str">
        <f>HYPERLINK("http://ts.21cn.com/tousu/show/id/1338102","http://ts.21cn.com/tousu/show/id/1338102")</f>
        <v>http://ts.21cn.com/tousu/show/id/1338102</v>
      </c>
      <c r="F7145" s="2" t="s">
        <v>11</v>
      </c>
      <c r="G7145" s="2" t="s">
        <v>30103</v>
      </c>
      <c r="H7145" s="2" t="s">
        <v>30104</v>
      </c>
    </row>
    <row r="7146" spans="1:8" ht="25.05" customHeight="1" x14ac:dyDescent="0.25">
      <c r="A7146" s="2" t="s">
        <v>8</v>
      </c>
      <c r="B7146" s="2" t="str">
        <f>HYPERLINK("http://ts.21cn.com/tousu/show/id/1338103","714高炮")</f>
        <v>714高炮</v>
      </c>
      <c r="C7146" s="2" t="s">
        <v>34</v>
      </c>
      <c r="D7146" s="2" t="s">
        <v>10</v>
      </c>
      <c r="E7146" s="2" t="str">
        <f>HYPERLINK("http://ts.21cn.com/tousu/show/id/1338103","http://ts.21cn.com/tousu/show/id/1338103")</f>
        <v>http://ts.21cn.com/tousu/show/id/1338103</v>
      </c>
      <c r="F7146" s="2" t="s">
        <v>11</v>
      </c>
      <c r="G7146" s="2" t="s">
        <v>30101</v>
      </c>
      <c r="H7146" s="2" t="s">
        <v>30102</v>
      </c>
    </row>
    <row r="7147" spans="1:8" ht="25.05" customHeight="1" x14ac:dyDescent="0.25">
      <c r="A7147" s="2" t="s">
        <v>8</v>
      </c>
      <c r="B7147" s="2" t="str">
        <f>HYPERLINK("http://ts.21cn.com/tousu/show/id/1338104","暴力崔收威胁")</f>
        <v>暴力崔收威胁</v>
      </c>
      <c r="C7147" s="2" t="s">
        <v>9</v>
      </c>
      <c r="D7147" s="2" t="s">
        <v>10</v>
      </c>
      <c r="E7147" s="2" t="str">
        <f>HYPERLINK("http://ts.21cn.com/tousu/show/id/1338104","http://ts.21cn.com/tousu/show/id/1338104")</f>
        <v>http://ts.21cn.com/tousu/show/id/1338104</v>
      </c>
      <c r="F7147" s="2" t="s">
        <v>11</v>
      </c>
      <c r="G7147" s="2" t="s">
        <v>30099</v>
      </c>
      <c r="H7147" s="2" t="s">
        <v>30100</v>
      </c>
    </row>
    <row r="7148" spans="1:8" ht="25.05" customHeight="1" x14ac:dyDescent="0.25">
      <c r="A7148" s="2" t="s">
        <v>8</v>
      </c>
      <c r="B7148" s="2" t="str">
        <f>HYPERLINK("http://ts.21cn.com/tousu/show/id/1258077","中信银行给条活路")</f>
        <v>中信银行给条活路</v>
      </c>
      <c r="C7148" s="2" t="s">
        <v>9</v>
      </c>
      <c r="D7148" s="2" t="s">
        <v>10</v>
      </c>
      <c r="E7148" s="2" t="str">
        <f>HYPERLINK("http://ts.21cn.com/tousu/show/id/1258077","http://ts.21cn.com/tousu/show/id/1258077")</f>
        <v>http://ts.21cn.com/tousu/show/id/1258077</v>
      </c>
      <c r="F7148" s="2" t="s">
        <v>11</v>
      </c>
      <c r="G7148" s="2" t="s">
        <v>30097</v>
      </c>
      <c r="H7148" s="2" t="s">
        <v>30098</v>
      </c>
    </row>
    <row r="7149" spans="1:8" ht="25.05" customHeight="1" x14ac:dyDescent="0.25">
      <c r="A7149" s="2" t="s">
        <v>8</v>
      </c>
      <c r="B7149" s="2" t="str">
        <f>HYPERLINK("http://ts.21cn.com/tousu/show/id/1338105","万惠及贷变相收取高额息费以及暴力催收")</f>
        <v>万惠及贷变相收取高额息费以及暴力催收</v>
      </c>
      <c r="C7149" s="2" t="s">
        <v>9</v>
      </c>
      <c r="D7149" s="2" t="s">
        <v>10</v>
      </c>
      <c r="E7149" s="2" t="str">
        <f>HYPERLINK("http://ts.21cn.com/tousu/show/id/1338105","http://ts.21cn.com/tousu/show/id/1338105")</f>
        <v>http://ts.21cn.com/tousu/show/id/1338105</v>
      </c>
      <c r="F7149" s="2" t="s">
        <v>11</v>
      </c>
      <c r="G7149" s="2" t="s">
        <v>30095</v>
      </c>
      <c r="H7149" s="2" t="s">
        <v>30096</v>
      </c>
    </row>
    <row r="7150" spans="1:8" ht="25.05" customHeight="1" x14ac:dyDescent="0.25">
      <c r="A7150" s="2" t="s">
        <v>8</v>
      </c>
      <c r="B7150" s="2" t="str">
        <f>HYPERLINK("http://ts.21cn.com/tousu/show/id/1338106","在本人没失联的情况下反复骚扰公司座机影响公司正常营业")</f>
        <v>在本人没失联的情况下反复骚扰公司座机影响公司正常营业</v>
      </c>
      <c r="C7150" s="2" t="s">
        <v>9</v>
      </c>
      <c r="D7150" s="2" t="s">
        <v>10</v>
      </c>
      <c r="E7150" s="2" t="str">
        <f>HYPERLINK("http://ts.21cn.com/tousu/show/id/1338106","http://ts.21cn.com/tousu/show/id/1338106")</f>
        <v>http://ts.21cn.com/tousu/show/id/1338106</v>
      </c>
      <c r="F7150" s="2" t="s">
        <v>11</v>
      </c>
      <c r="G7150" s="2" t="s">
        <v>30093</v>
      </c>
      <c r="H7150" s="2" t="s">
        <v>30094</v>
      </c>
    </row>
    <row r="7151" spans="1:8" ht="25.05" customHeight="1" x14ac:dyDescent="0.25">
      <c r="A7151" s="2" t="s">
        <v>8</v>
      </c>
      <c r="B7151" s="2" t="str">
        <f>HYPERLINK("http://ts.21cn.com/tousu/show/id/1338107","支付宝花呗无故不能使用")</f>
        <v>支付宝花呗无故不能使用</v>
      </c>
      <c r="C7151" s="2" t="s">
        <v>9</v>
      </c>
      <c r="D7151" s="2" t="s">
        <v>10</v>
      </c>
      <c r="E7151" s="2" t="str">
        <f>HYPERLINK("http://ts.21cn.com/tousu/show/id/1338107","http://ts.21cn.com/tousu/show/id/1338107")</f>
        <v>http://ts.21cn.com/tousu/show/id/1338107</v>
      </c>
      <c r="F7151" s="2" t="s">
        <v>11</v>
      </c>
      <c r="G7151" s="2" t="s">
        <v>30091</v>
      </c>
      <c r="H7151" s="2" t="s">
        <v>30092</v>
      </c>
    </row>
    <row r="7152" spans="1:8" ht="25.05" customHeight="1" x14ac:dyDescent="0.25">
      <c r="A7152" s="2" t="s">
        <v>8</v>
      </c>
      <c r="B7152" s="2" t="str">
        <f>HYPERLINK("http://ts.21cn.com/tousu/show/id/1338108","捷信员工以业务不足为由，请学生刷单，并私自办理购买物品业务分期，要求学生偿还")</f>
        <v>捷信员工以业务不足为由，请学生刷单，并私自办理购买物品业务分期，要求学生偿还</v>
      </c>
      <c r="C7152" s="2" t="s">
        <v>9</v>
      </c>
      <c r="D7152" s="2" t="s">
        <v>10</v>
      </c>
      <c r="E7152" s="2" t="str">
        <f>HYPERLINK("http://ts.21cn.com/tousu/show/id/1338108","http://ts.21cn.com/tousu/show/id/1338108")</f>
        <v>http://ts.21cn.com/tousu/show/id/1338108</v>
      </c>
      <c r="F7152" s="2" t="s">
        <v>11</v>
      </c>
      <c r="G7152" s="2" t="s">
        <v>30089</v>
      </c>
      <c r="H7152" s="2" t="s">
        <v>30090</v>
      </c>
    </row>
    <row r="7153" spans="1:8" ht="25.05" customHeight="1" x14ac:dyDescent="0.25">
      <c r="A7153" s="2" t="s">
        <v>8</v>
      </c>
      <c r="B7153" s="2" t="str">
        <f>HYPERLINK("http://ts.21cn.com/tousu/show/id/1338109","捷信金融收取巨额贷款管理费，高利息")</f>
        <v>捷信金融收取巨额贷款管理费，高利息</v>
      </c>
      <c r="C7153" s="2" t="s">
        <v>9</v>
      </c>
      <c r="D7153" s="2" t="s">
        <v>10</v>
      </c>
      <c r="E7153" s="2" t="str">
        <f>HYPERLINK("http://ts.21cn.com/tousu/show/id/1338109","http://ts.21cn.com/tousu/show/id/1338109")</f>
        <v>http://ts.21cn.com/tousu/show/id/1338109</v>
      </c>
      <c r="F7153" s="2" t="s">
        <v>11</v>
      </c>
      <c r="G7153" s="2" t="s">
        <v>30087</v>
      </c>
      <c r="H7153" s="2" t="s">
        <v>30088</v>
      </c>
    </row>
    <row r="7154" spans="1:8" ht="25.05" customHeight="1" x14ac:dyDescent="0.25">
      <c r="A7154" s="2" t="s">
        <v>8</v>
      </c>
      <c r="B7154" s="2" t="str">
        <f>HYPERLINK("http://ts.21cn.com/tousu/show/id/1338110","侮辱骚扰通讯录人")</f>
        <v>侮辱骚扰通讯录人</v>
      </c>
      <c r="C7154" s="2" t="s">
        <v>9</v>
      </c>
      <c r="D7154" s="2" t="s">
        <v>10</v>
      </c>
      <c r="E7154" s="2" t="str">
        <f>HYPERLINK("http://ts.21cn.com/tousu/show/id/1338110","http://ts.21cn.com/tousu/show/id/1338110")</f>
        <v>http://ts.21cn.com/tousu/show/id/1338110</v>
      </c>
      <c r="F7154" s="2" t="s">
        <v>11</v>
      </c>
      <c r="G7154" s="2" t="s">
        <v>30085</v>
      </c>
      <c r="H7154" s="2" t="s">
        <v>30086</v>
      </c>
    </row>
    <row r="7155" spans="1:8" ht="25.05" customHeight="1" x14ac:dyDescent="0.25">
      <c r="A7155" s="2" t="s">
        <v>8</v>
      </c>
      <c r="B7155" s="2" t="str">
        <f>HYPERLINK("http://ts.21cn.com/tousu/show/id/1338113","淘钱钱高利贷平台，汇潮支付为高利贷提供支付渠道")</f>
        <v>淘钱钱高利贷平台，汇潮支付为高利贷提供支付渠道</v>
      </c>
      <c r="C7155" s="2" t="s">
        <v>9</v>
      </c>
      <c r="D7155" s="2" t="s">
        <v>10</v>
      </c>
      <c r="E7155" s="2" t="str">
        <f>HYPERLINK("http://ts.21cn.com/tousu/show/id/1338113","http://ts.21cn.com/tousu/show/id/1338113")</f>
        <v>http://ts.21cn.com/tousu/show/id/1338113</v>
      </c>
      <c r="F7155" s="2" t="s">
        <v>11</v>
      </c>
      <c r="G7155" s="2" t="s">
        <v>30083</v>
      </c>
      <c r="H7155" s="2" t="s">
        <v>30084</v>
      </c>
    </row>
    <row r="7156" spans="1:8" ht="25.05" customHeight="1" x14ac:dyDescent="0.25">
      <c r="A7156" s="2" t="s">
        <v>8</v>
      </c>
      <c r="B7156" s="2" t="str">
        <f>HYPERLINK("http://ts.21cn.com/tousu/show/id/1338112","蟹老弟联系不上客服，高利贷")</f>
        <v>蟹老弟联系不上客服，高利贷</v>
      </c>
      <c r="C7156" s="2" t="s">
        <v>9</v>
      </c>
      <c r="D7156" s="2" t="s">
        <v>10</v>
      </c>
      <c r="E7156" s="2" t="str">
        <f>HYPERLINK("http://ts.21cn.com/tousu/show/id/1338112","http://ts.21cn.com/tousu/show/id/1338112")</f>
        <v>http://ts.21cn.com/tousu/show/id/1338112</v>
      </c>
      <c r="F7156" s="2" t="s">
        <v>11</v>
      </c>
      <c r="G7156" s="2" t="s">
        <v>30081</v>
      </c>
      <c r="H7156" s="2" t="s">
        <v>30082</v>
      </c>
    </row>
    <row r="7157" spans="1:8" ht="25.05" customHeight="1" x14ac:dyDescent="0.25">
      <c r="A7157" s="2" t="s">
        <v>8</v>
      </c>
      <c r="B7157" s="2" t="str">
        <f>HYPERLINK("http://ts.21cn.com/tousu/show/id/1338117","拍拍贷恶意催收他人，电话骚扰我，多次无视我的要求对我进行电话轰炸，严重影响我的生活！")</f>
        <v>拍拍贷恶意催收他人，电话骚扰我，多次无视我的要求对我进行电话轰炸，严重影响我的生活！</v>
      </c>
      <c r="C7157" s="2" t="s">
        <v>9</v>
      </c>
      <c r="D7157" s="2" t="s">
        <v>10</v>
      </c>
      <c r="E7157" s="2" t="str">
        <f>HYPERLINK("http://ts.21cn.com/tousu/show/id/1338117","http://ts.21cn.com/tousu/show/id/1338117")</f>
        <v>http://ts.21cn.com/tousu/show/id/1338117</v>
      </c>
      <c r="F7157" s="2" t="s">
        <v>11</v>
      </c>
      <c r="G7157" s="2" t="s">
        <v>30079</v>
      </c>
      <c r="H7157" s="2" t="s">
        <v>30080</v>
      </c>
    </row>
    <row r="7158" spans="1:8" ht="25.05" customHeight="1" x14ac:dyDescent="0.25">
      <c r="A7158" s="2" t="s">
        <v>8</v>
      </c>
      <c r="B7158" s="2" t="str">
        <f>HYPERLINK("http://ts.21cn.com/tousu/show/id/1338114","钱站恶意收取高额砍头息")</f>
        <v>钱站恶意收取高额砍头息</v>
      </c>
      <c r="C7158" s="2" t="s">
        <v>9</v>
      </c>
      <c r="D7158" s="2" t="s">
        <v>10</v>
      </c>
      <c r="E7158" s="2" t="str">
        <f>HYPERLINK("http://ts.21cn.com/tousu/show/id/1338114","http://ts.21cn.com/tousu/show/id/1338114")</f>
        <v>http://ts.21cn.com/tousu/show/id/1338114</v>
      </c>
      <c r="F7158" s="2" t="s">
        <v>11</v>
      </c>
      <c r="G7158" s="2" t="s">
        <v>30077</v>
      </c>
      <c r="H7158" s="2" t="s">
        <v>30078</v>
      </c>
    </row>
    <row r="7159" spans="1:8" ht="25.05" customHeight="1" x14ac:dyDescent="0.25">
      <c r="A7159" s="2" t="s">
        <v>8</v>
      </c>
      <c r="B7159" s="2" t="str">
        <f>HYPERLINK("http://ts.21cn.com/tousu/show/id/1338115","催款公司还款还继续要挟")</f>
        <v>催款公司还款还继续要挟</v>
      </c>
      <c r="C7159" s="2" t="s">
        <v>9</v>
      </c>
      <c r="D7159" s="2" t="s">
        <v>10</v>
      </c>
      <c r="E7159" s="2" t="str">
        <f>HYPERLINK("http://ts.21cn.com/tousu/show/id/1338115","http://ts.21cn.com/tousu/show/id/1338115")</f>
        <v>http://ts.21cn.com/tousu/show/id/1338115</v>
      </c>
      <c r="F7159" s="2" t="s">
        <v>11</v>
      </c>
      <c r="G7159" s="2" t="s">
        <v>30075</v>
      </c>
      <c r="H7159" s="2" t="s">
        <v>30076</v>
      </c>
    </row>
    <row r="7160" spans="1:8" ht="25.05" customHeight="1" x14ac:dyDescent="0.25">
      <c r="A7160" s="2" t="s">
        <v>8</v>
      </c>
      <c r="B7160" s="2" t="str">
        <f>HYPERLINK("http://ts.21cn.com/tousu/show/id/1338118","出行唯选免费办理")</f>
        <v>出行唯选免费办理</v>
      </c>
      <c r="C7160" s="2" t="s">
        <v>34</v>
      </c>
      <c r="D7160" s="2" t="s">
        <v>10</v>
      </c>
      <c r="E7160" s="2" t="str">
        <f>HYPERLINK("http://ts.21cn.com/tousu/show/id/1338118","http://ts.21cn.com/tousu/show/id/1338118")</f>
        <v>http://ts.21cn.com/tousu/show/id/1338118</v>
      </c>
      <c r="F7160" s="2" t="s">
        <v>11</v>
      </c>
      <c r="G7160" s="2" t="s">
        <v>30073</v>
      </c>
      <c r="H7160" s="2" t="s">
        <v>30074</v>
      </c>
    </row>
    <row r="7161" spans="1:8" ht="25.05" customHeight="1" x14ac:dyDescent="0.25">
      <c r="A7161" s="2" t="s">
        <v>8</v>
      </c>
      <c r="B7161" s="2" t="str">
        <f>HYPERLINK("http://ts.21cn.com/tousu/show/id/1338119","美团外卖客服也不管商家骂人")</f>
        <v>美团外卖客服也不管商家骂人</v>
      </c>
      <c r="C7161" s="2" t="s">
        <v>9</v>
      </c>
      <c r="D7161" s="2" t="s">
        <v>10</v>
      </c>
      <c r="E7161" s="2" t="str">
        <f>HYPERLINK("http://ts.21cn.com/tousu/show/id/1338119","http://ts.21cn.com/tousu/show/id/1338119")</f>
        <v>http://ts.21cn.com/tousu/show/id/1338119</v>
      </c>
      <c r="F7161" s="2" t="s">
        <v>11</v>
      </c>
      <c r="G7161" s="2" t="s">
        <v>30071</v>
      </c>
      <c r="H7161" s="2" t="s">
        <v>30072</v>
      </c>
    </row>
    <row r="7162" spans="1:8" ht="25.05" customHeight="1" x14ac:dyDescent="0.25">
      <c r="A7162" s="2" t="s">
        <v>8</v>
      </c>
      <c r="B7162" s="2" t="str">
        <f>HYPERLINK("http://ts.21cn.com/tousu/show/id/1338120","美团金融")</f>
        <v>美团金融</v>
      </c>
      <c r="C7162" s="2" t="s">
        <v>9</v>
      </c>
      <c r="D7162" s="2" t="s">
        <v>10</v>
      </c>
      <c r="E7162" s="2" t="str">
        <f>HYPERLINK("http://ts.21cn.com/tousu/show/id/1338120","http://ts.21cn.com/tousu/show/id/1338120")</f>
        <v>http://ts.21cn.com/tousu/show/id/1338120</v>
      </c>
      <c r="F7162" s="2" t="s">
        <v>11</v>
      </c>
      <c r="G7162" s="2" t="s">
        <v>30069</v>
      </c>
      <c r="H7162" s="2" t="s">
        <v>30070</v>
      </c>
    </row>
    <row r="7163" spans="1:8" ht="25.05" customHeight="1" x14ac:dyDescent="0.25">
      <c r="A7163" s="2" t="s">
        <v>8</v>
      </c>
      <c r="B7163" s="2" t="str">
        <f>HYPERLINK("http://ts.21cn.com/tousu/show/id/1338121","钱站暴力催收")</f>
        <v>钱站暴力催收</v>
      </c>
      <c r="C7163" s="2" t="s">
        <v>9</v>
      </c>
      <c r="D7163" s="2" t="s">
        <v>10</v>
      </c>
      <c r="E7163" s="2" t="str">
        <f>HYPERLINK("http://ts.21cn.com/tousu/show/id/1338121","http://ts.21cn.com/tousu/show/id/1338121")</f>
        <v>http://ts.21cn.com/tousu/show/id/1338121</v>
      </c>
      <c r="F7163" s="2" t="s">
        <v>11</v>
      </c>
      <c r="G7163" s="2" t="s">
        <v>30067</v>
      </c>
      <c r="H7163" s="2" t="s">
        <v>30068</v>
      </c>
    </row>
    <row r="7164" spans="1:8" ht="25.05" customHeight="1" x14ac:dyDescent="0.25">
      <c r="A7164" s="2" t="s">
        <v>8</v>
      </c>
      <c r="B7164" s="2" t="str">
        <f>HYPERLINK("http://ts.21cn.com/tousu/show/id/1338124","银行盗刷")</f>
        <v>银行盗刷</v>
      </c>
      <c r="C7164" s="2" t="s">
        <v>9</v>
      </c>
      <c r="D7164" s="2" t="s">
        <v>10</v>
      </c>
      <c r="E7164" s="2" t="str">
        <f>HYPERLINK("http://ts.21cn.com/tousu/show/id/1338124","http://ts.21cn.com/tousu/show/id/1338124")</f>
        <v>http://ts.21cn.com/tousu/show/id/1338124</v>
      </c>
      <c r="F7164" s="2" t="s">
        <v>11</v>
      </c>
      <c r="G7164" s="2" t="s">
        <v>30065</v>
      </c>
      <c r="H7164" s="2" t="s">
        <v>30066</v>
      </c>
    </row>
    <row r="7165" spans="1:8" ht="25.05" customHeight="1" x14ac:dyDescent="0.25">
      <c r="A7165" s="2" t="s">
        <v>8</v>
      </c>
      <c r="B7165" s="2" t="str">
        <f>HYPERLINK("http://ts.21cn.com/tousu/show/id/1338122","现控达人-微豆夹高利贷")</f>
        <v>现控达人-微豆夹高利贷</v>
      </c>
      <c r="C7165" s="2" t="s">
        <v>9</v>
      </c>
      <c r="D7165" s="2" t="s">
        <v>10</v>
      </c>
      <c r="E7165" s="2" t="str">
        <f>HYPERLINK("http://ts.21cn.com/tousu/show/id/1338122","http://ts.21cn.com/tousu/show/id/1338122")</f>
        <v>http://ts.21cn.com/tousu/show/id/1338122</v>
      </c>
      <c r="F7165" s="2" t="s">
        <v>11</v>
      </c>
      <c r="G7165" s="2" t="s">
        <v>30063</v>
      </c>
      <c r="H7165" s="2" t="s">
        <v>30064</v>
      </c>
    </row>
    <row r="7166" spans="1:8" ht="25.05" customHeight="1" x14ac:dyDescent="0.25">
      <c r="A7166" s="2" t="s">
        <v>8</v>
      </c>
      <c r="B7166" s="2" t="str">
        <f>HYPERLINK("http://ts.21cn.com/tousu/show/id/1338123","滴滴出行不派单给快车司机")</f>
        <v>滴滴出行不派单给快车司机</v>
      </c>
      <c r="C7166" s="2" t="s">
        <v>9</v>
      </c>
      <c r="D7166" s="2" t="s">
        <v>10</v>
      </c>
      <c r="E7166" s="2" t="str">
        <f>HYPERLINK("http://ts.21cn.com/tousu/show/id/1338123","http://ts.21cn.com/tousu/show/id/1338123")</f>
        <v>http://ts.21cn.com/tousu/show/id/1338123</v>
      </c>
      <c r="F7166" s="2" t="s">
        <v>11</v>
      </c>
      <c r="G7166" s="2" t="s">
        <v>30061</v>
      </c>
      <c r="H7166" s="2" t="s">
        <v>30062</v>
      </c>
    </row>
    <row r="7167" spans="1:8" ht="25.05" customHeight="1" x14ac:dyDescent="0.25">
      <c r="A7167" s="2" t="s">
        <v>8</v>
      </c>
      <c r="B7167" s="2" t="str">
        <f>HYPERLINK("http://ts.21cn.com/tousu/show/id/1338125","小花钱包暴力催收")</f>
        <v>小花钱包暴力催收</v>
      </c>
      <c r="C7167" s="2" t="s">
        <v>9</v>
      </c>
      <c r="D7167" s="2" t="s">
        <v>10</v>
      </c>
      <c r="E7167" s="2" t="str">
        <f>HYPERLINK("http://ts.21cn.com/tousu/show/id/1338125","http://ts.21cn.com/tousu/show/id/1338125")</f>
        <v>http://ts.21cn.com/tousu/show/id/1338125</v>
      </c>
      <c r="F7167" s="2" t="s">
        <v>11</v>
      </c>
      <c r="G7167" s="2" t="s">
        <v>30059</v>
      </c>
      <c r="H7167" s="2" t="s">
        <v>30060</v>
      </c>
    </row>
    <row r="7168" spans="1:8" ht="25.05" customHeight="1" x14ac:dyDescent="0.25">
      <c r="A7168" s="2" t="s">
        <v>8</v>
      </c>
      <c r="B7168" s="2" t="str">
        <f>HYPERLINK("http://ts.21cn.com/tousu/show/id/1338126","贷款未逾期发来催收短信")</f>
        <v>贷款未逾期发来催收短信</v>
      </c>
      <c r="C7168" s="2" t="s">
        <v>34</v>
      </c>
      <c r="D7168" s="2" t="s">
        <v>10</v>
      </c>
      <c r="E7168" s="2" t="str">
        <f>HYPERLINK("http://ts.21cn.com/tousu/show/id/1338126","http://ts.21cn.com/tousu/show/id/1338126")</f>
        <v>http://ts.21cn.com/tousu/show/id/1338126</v>
      </c>
      <c r="F7168" s="2" t="s">
        <v>11</v>
      </c>
      <c r="G7168" s="2" t="s">
        <v>30057</v>
      </c>
      <c r="H7168" s="2" t="s">
        <v>30058</v>
      </c>
    </row>
    <row r="7169" spans="1:8" ht="25.05" customHeight="1" x14ac:dyDescent="0.25">
      <c r="A7169" s="2" t="s">
        <v>8</v>
      </c>
      <c r="B7169" s="2" t="str">
        <f>HYPERLINK("http://ts.21cn.com/tousu/show/id/1338128","及贷暴力催收之后又屡次骚扰我通讯录")</f>
        <v>及贷暴力催收之后又屡次骚扰我通讯录</v>
      </c>
      <c r="C7169" s="2" t="s">
        <v>9</v>
      </c>
      <c r="D7169" s="2" t="s">
        <v>10</v>
      </c>
      <c r="E7169" s="2" t="str">
        <f>HYPERLINK("http://ts.21cn.com/tousu/show/id/1338128","http://ts.21cn.com/tousu/show/id/1338128")</f>
        <v>http://ts.21cn.com/tousu/show/id/1338128</v>
      </c>
      <c r="F7169" s="2" t="s">
        <v>11</v>
      </c>
      <c r="G7169" s="2" t="s">
        <v>30055</v>
      </c>
      <c r="H7169" s="2" t="s">
        <v>30056</v>
      </c>
    </row>
    <row r="7170" spans="1:8" ht="25.05" customHeight="1" x14ac:dyDescent="0.25">
      <c r="A7170" s="2" t="s">
        <v>8</v>
      </c>
      <c r="B7170" s="2" t="str">
        <f>HYPERLINK("http://ts.21cn.com/tousu/show/id/1338129","造艺科技豹子贷无故扣钱")</f>
        <v>造艺科技豹子贷无故扣钱</v>
      </c>
      <c r="C7170" s="2" t="s">
        <v>9</v>
      </c>
      <c r="D7170" s="2" t="s">
        <v>10</v>
      </c>
      <c r="E7170" s="2" t="str">
        <f>HYPERLINK("http://ts.21cn.com/tousu/show/id/1338129","http://ts.21cn.com/tousu/show/id/1338129")</f>
        <v>http://ts.21cn.com/tousu/show/id/1338129</v>
      </c>
      <c r="F7170" s="2" t="s">
        <v>11</v>
      </c>
      <c r="G7170" s="2" t="s">
        <v>30053</v>
      </c>
      <c r="H7170" s="2" t="s">
        <v>30054</v>
      </c>
    </row>
    <row r="7171" spans="1:8" ht="25.05" customHeight="1" x14ac:dyDescent="0.25">
      <c r="A7171" s="2" t="s">
        <v>8</v>
      </c>
      <c r="B7171" s="2" t="str">
        <f>HYPERLINK("http://ts.21cn.com/tousu/show/id/1338130","退款")</f>
        <v>退款</v>
      </c>
      <c r="C7171" s="2" t="s">
        <v>9</v>
      </c>
      <c r="D7171" s="2" t="s">
        <v>10</v>
      </c>
      <c r="E7171" s="2" t="str">
        <f>HYPERLINK("http://ts.21cn.com/tousu/show/id/1338130","http://ts.21cn.com/tousu/show/id/1338130")</f>
        <v>http://ts.21cn.com/tousu/show/id/1338130</v>
      </c>
      <c r="F7171" s="2" t="s">
        <v>11</v>
      </c>
      <c r="G7171" s="2" t="s">
        <v>30051</v>
      </c>
      <c r="H7171" s="2" t="s">
        <v>30052</v>
      </c>
    </row>
    <row r="7172" spans="1:8" ht="25.05" customHeight="1" x14ac:dyDescent="0.25">
      <c r="A7172" s="2" t="s">
        <v>8</v>
      </c>
      <c r="B7172" s="2" t="str">
        <f>HYPERLINK("http://ts.21cn.com/tousu/show/id/1338131","暴力催收爆通讯录威胁")</f>
        <v>暴力催收爆通讯录威胁</v>
      </c>
      <c r="C7172" s="2" t="s">
        <v>9</v>
      </c>
      <c r="D7172" s="2" t="s">
        <v>10</v>
      </c>
      <c r="E7172" s="2" t="str">
        <f>HYPERLINK("http://ts.21cn.com/tousu/show/id/1338131","http://ts.21cn.com/tousu/show/id/1338131")</f>
        <v>http://ts.21cn.com/tousu/show/id/1338131</v>
      </c>
      <c r="F7172" s="2" t="s">
        <v>11</v>
      </c>
      <c r="G7172" s="2" t="s">
        <v>30049</v>
      </c>
      <c r="H7172" s="2" t="s">
        <v>30050</v>
      </c>
    </row>
    <row r="7173" spans="1:8" ht="25.05" customHeight="1" x14ac:dyDescent="0.25">
      <c r="A7173" s="2" t="s">
        <v>8</v>
      </c>
      <c r="B7173" s="2" t="str">
        <f>HYPERLINK("http://ts.21cn.com/tousu/show/id/1338132","我新注册的号码，这个捷信消费金融有限公司一直打这个电话")</f>
        <v>我新注册的号码，这个捷信消费金融有限公司一直打这个电话</v>
      </c>
      <c r="C7173" s="2" t="s">
        <v>9</v>
      </c>
      <c r="D7173" s="2" t="s">
        <v>10</v>
      </c>
      <c r="E7173" s="2" t="str">
        <f>HYPERLINK("http://ts.21cn.com/tousu/show/id/1338132","http://ts.21cn.com/tousu/show/id/1338132")</f>
        <v>http://ts.21cn.com/tousu/show/id/1338132</v>
      </c>
      <c r="F7173" s="2" t="s">
        <v>11</v>
      </c>
      <c r="G7173" s="2" t="s">
        <v>30047</v>
      </c>
      <c r="H7173" s="2" t="s">
        <v>30048</v>
      </c>
    </row>
    <row r="7174" spans="1:8" ht="25.05" customHeight="1" x14ac:dyDescent="0.25">
      <c r="A7174" s="2" t="s">
        <v>8</v>
      </c>
      <c r="B7174" s="2" t="str">
        <f>HYPERLINK("http://ts.21cn.com/tousu/show/id/1338133","钱站APP借款砍头息严重，变相合同，利息严重超过国家标准")</f>
        <v>钱站APP借款砍头息严重，变相合同，利息严重超过国家标准</v>
      </c>
      <c r="C7174" s="2" t="s">
        <v>9</v>
      </c>
      <c r="D7174" s="2" t="s">
        <v>10</v>
      </c>
      <c r="E7174" s="2" t="str">
        <f>HYPERLINK("http://ts.21cn.com/tousu/show/id/1338133","http://ts.21cn.com/tousu/show/id/1338133")</f>
        <v>http://ts.21cn.com/tousu/show/id/1338133</v>
      </c>
      <c r="F7174" s="2" t="s">
        <v>11</v>
      </c>
      <c r="G7174" s="2" t="s">
        <v>30045</v>
      </c>
      <c r="H7174" s="2" t="s">
        <v>30046</v>
      </c>
    </row>
    <row r="7175" spans="1:8" ht="25.05" customHeight="1" x14ac:dyDescent="0.25">
      <c r="A7175" s="2" t="s">
        <v>8</v>
      </c>
      <c r="B7175" s="2" t="str">
        <f>HYPERLINK("http://ts.21cn.com/tousu/show/id/1338134","聚福钱包未经许可私自扣款")</f>
        <v>聚福钱包未经许可私自扣款</v>
      </c>
      <c r="C7175" s="2" t="s">
        <v>9</v>
      </c>
      <c r="D7175" s="2" t="s">
        <v>10</v>
      </c>
      <c r="E7175" s="2" t="str">
        <f>HYPERLINK("http://ts.21cn.com/tousu/show/id/1338134","http://ts.21cn.com/tousu/show/id/1338134")</f>
        <v>http://ts.21cn.com/tousu/show/id/1338134</v>
      </c>
      <c r="F7175" s="2" t="s">
        <v>11</v>
      </c>
      <c r="G7175" s="2" t="s">
        <v>30043</v>
      </c>
      <c r="H7175" s="2" t="s">
        <v>30044</v>
      </c>
    </row>
    <row r="7176" spans="1:8" ht="25.05" customHeight="1" x14ac:dyDescent="0.25">
      <c r="A7176" s="2" t="s">
        <v>8</v>
      </c>
      <c r="B7176" s="2" t="str">
        <f>HYPERLINK("http://ts.21cn.com/tousu/show/id/1338135","交易猫卖号不给钱")</f>
        <v>交易猫卖号不给钱</v>
      </c>
      <c r="C7176" s="2" t="s">
        <v>9</v>
      </c>
      <c r="D7176" s="2" t="s">
        <v>10</v>
      </c>
      <c r="E7176" s="2" t="str">
        <f>HYPERLINK("http://ts.21cn.com/tousu/show/id/1338135","http://ts.21cn.com/tousu/show/id/1338135")</f>
        <v>http://ts.21cn.com/tousu/show/id/1338135</v>
      </c>
      <c r="F7176" s="2" t="s">
        <v>11</v>
      </c>
      <c r="G7176" s="2" t="s">
        <v>30041</v>
      </c>
      <c r="H7176" s="2" t="s">
        <v>30042</v>
      </c>
    </row>
    <row r="7177" spans="1:8" ht="25.05" customHeight="1" x14ac:dyDescent="0.25">
      <c r="A7177" s="2" t="s">
        <v>8</v>
      </c>
      <c r="B7177" s="2" t="str">
        <f>HYPERLINK("http://ts.21cn.com/tousu/show/id/1338136","豹子贷恶意扣款")</f>
        <v>豹子贷恶意扣款</v>
      </c>
      <c r="C7177" s="2" t="s">
        <v>9</v>
      </c>
      <c r="D7177" s="2" t="s">
        <v>10</v>
      </c>
      <c r="E7177" s="2" t="str">
        <f>HYPERLINK("http://ts.21cn.com/tousu/show/id/1338136","http://ts.21cn.com/tousu/show/id/1338136")</f>
        <v>http://ts.21cn.com/tousu/show/id/1338136</v>
      </c>
      <c r="F7177" s="2" t="s">
        <v>11</v>
      </c>
      <c r="G7177" s="2" t="s">
        <v>30039</v>
      </c>
      <c r="H7177" s="2" t="s">
        <v>30040</v>
      </c>
    </row>
    <row r="7178" spans="1:8" ht="25.05" customHeight="1" x14ac:dyDescent="0.25">
      <c r="A7178" s="2" t="s">
        <v>8</v>
      </c>
      <c r="B7178" s="2" t="str">
        <f>HYPERLINK("http://ts.21cn.com/tousu/show/id/1338138","网贷强制消费")</f>
        <v>网贷强制消费</v>
      </c>
      <c r="C7178" s="2" t="s">
        <v>9</v>
      </c>
      <c r="D7178" s="2" t="s">
        <v>10</v>
      </c>
      <c r="E7178" s="2" t="str">
        <f>HYPERLINK("http://ts.21cn.com/tousu/show/id/1338138","http://ts.21cn.com/tousu/show/id/1338138")</f>
        <v>http://ts.21cn.com/tousu/show/id/1338138</v>
      </c>
      <c r="F7178" s="2" t="s">
        <v>11</v>
      </c>
      <c r="G7178" s="2" t="s">
        <v>30037</v>
      </c>
      <c r="H7178" s="2" t="s">
        <v>30038</v>
      </c>
    </row>
    <row r="7179" spans="1:8" ht="25.05" customHeight="1" x14ac:dyDescent="0.25">
      <c r="A7179" s="2" t="s">
        <v>8</v>
      </c>
      <c r="B7179" s="2" t="str">
        <f>HYPERLINK("http://ts.21cn.com/tousu/show/id/1338139","恶心的滴滴平台对得起对公司机吗？")</f>
        <v>恶心的滴滴平台对得起对公司机吗？</v>
      </c>
      <c r="C7179" s="2" t="s">
        <v>9</v>
      </c>
      <c r="D7179" s="2" t="s">
        <v>10</v>
      </c>
      <c r="E7179" s="2" t="str">
        <f>HYPERLINK("http://ts.21cn.com/tousu/show/id/1338139","http://ts.21cn.com/tousu/show/id/1338139")</f>
        <v>http://ts.21cn.com/tousu/show/id/1338139</v>
      </c>
      <c r="F7179" s="2" t="s">
        <v>11</v>
      </c>
      <c r="G7179" s="2" t="s">
        <v>30035</v>
      </c>
      <c r="H7179" s="2" t="s">
        <v>30036</v>
      </c>
    </row>
    <row r="7180" spans="1:8" ht="25.05" customHeight="1" x14ac:dyDescent="0.25">
      <c r="A7180" s="2" t="s">
        <v>8</v>
      </c>
      <c r="B7180" s="2" t="str">
        <f>HYPERLINK("http://ts.21cn.com/tousu/show/id/1338140","恒富创融旗下钱橙无忧，无故扣我两笔每笔84元")</f>
        <v>恒富创融旗下钱橙无忧，无故扣我两笔每笔84元</v>
      </c>
      <c r="C7180" s="2" t="s">
        <v>9</v>
      </c>
      <c r="D7180" s="2" t="s">
        <v>10</v>
      </c>
      <c r="E7180" s="2" t="str">
        <f>HYPERLINK("http://ts.21cn.com/tousu/show/id/1338140","http://ts.21cn.com/tousu/show/id/1338140")</f>
        <v>http://ts.21cn.com/tousu/show/id/1338140</v>
      </c>
      <c r="F7180" s="2" t="s">
        <v>11</v>
      </c>
      <c r="G7180" s="2" t="s">
        <v>30033</v>
      </c>
      <c r="H7180" s="2" t="s">
        <v>30034</v>
      </c>
    </row>
    <row r="7181" spans="1:8" ht="25.05" customHeight="1" x14ac:dyDescent="0.25">
      <c r="A7181" s="2" t="s">
        <v>8</v>
      </c>
      <c r="B7181" s="2" t="str">
        <f>HYPERLINK("http://ts.21cn.com/tousu/show/id/1338141","招联暴力催收")</f>
        <v>招联暴力催收</v>
      </c>
      <c r="C7181" s="2" t="s">
        <v>9</v>
      </c>
      <c r="D7181" s="2" t="s">
        <v>10</v>
      </c>
      <c r="E7181" s="2" t="str">
        <f>HYPERLINK("http://ts.21cn.com/tousu/show/id/1338141","http://ts.21cn.com/tousu/show/id/1338141")</f>
        <v>http://ts.21cn.com/tousu/show/id/1338141</v>
      </c>
      <c r="F7181" s="2" t="s">
        <v>11</v>
      </c>
      <c r="G7181" s="2" t="s">
        <v>30031</v>
      </c>
      <c r="H7181" s="2" t="s">
        <v>30032</v>
      </c>
    </row>
    <row r="7182" spans="1:8" ht="25.05" customHeight="1" x14ac:dyDescent="0.25">
      <c r="A7182" s="2" t="s">
        <v>8</v>
      </c>
      <c r="B7182" s="2" t="str">
        <f>HYPERLINK("http://ts.21cn.com/tousu/show/id/1338143","高利贷，在借之前不说是五天600的砍头息，借款一千四，在下款以后就变成了还款2000")</f>
        <v>高利贷，在借之前不说是五天600的砍头息，借款一千四，在下款以后就变成了还款2000</v>
      </c>
      <c r="C7182" s="2" t="s">
        <v>9</v>
      </c>
      <c r="D7182" s="2" t="s">
        <v>10</v>
      </c>
      <c r="E7182" s="2" t="str">
        <f>HYPERLINK("http://ts.21cn.com/tousu/show/id/1338143","http://ts.21cn.com/tousu/show/id/1338143")</f>
        <v>http://ts.21cn.com/tousu/show/id/1338143</v>
      </c>
      <c r="F7182" s="2" t="s">
        <v>11</v>
      </c>
      <c r="G7182" s="2" t="s">
        <v>30029</v>
      </c>
      <c r="H7182" s="2" t="s">
        <v>30030</v>
      </c>
    </row>
    <row r="7183" spans="1:8" ht="25.05" customHeight="1" x14ac:dyDescent="0.25">
      <c r="A7183" s="2" t="s">
        <v>8</v>
      </c>
      <c r="B7183" s="2" t="str">
        <f>HYPERLINK("http://ts.21cn.com/tousu/show/id/1338144","暴力催收威胁恐吓")</f>
        <v>暴力催收威胁恐吓</v>
      </c>
      <c r="C7183" s="2" t="s">
        <v>9</v>
      </c>
      <c r="D7183" s="2" t="s">
        <v>10</v>
      </c>
      <c r="E7183" s="2" t="str">
        <f>HYPERLINK("http://ts.21cn.com/tousu/show/id/1338144","http://ts.21cn.com/tousu/show/id/1338144")</f>
        <v>http://ts.21cn.com/tousu/show/id/1338144</v>
      </c>
      <c r="F7183" s="2" t="s">
        <v>11</v>
      </c>
      <c r="G7183" s="2" t="s">
        <v>30027</v>
      </c>
      <c r="H7183" s="2" t="s">
        <v>30028</v>
      </c>
    </row>
    <row r="7184" spans="1:8" ht="25.05" customHeight="1" x14ac:dyDescent="0.25">
      <c r="A7184" s="2" t="s">
        <v>8</v>
      </c>
      <c r="B7184" s="2" t="str">
        <f>HYPERLINK("http://ts.21cn.com/tousu/show/id/1338137","去哪儿误导消费者")</f>
        <v>去哪儿误导消费者</v>
      </c>
      <c r="C7184" s="2" t="s">
        <v>9</v>
      </c>
      <c r="D7184" s="2" t="s">
        <v>10</v>
      </c>
      <c r="E7184" s="2" t="str">
        <f>HYPERLINK("http://ts.21cn.com/tousu/show/id/1338137","http://ts.21cn.com/tousu/show/id/1338137")</f>
        <v>http://ts.21cn.com/tousu/show/id/1338137</v>
      </c>
      <c r="F7184" s="2" t="s">
        <v>11</v>
      </c>
      <c r="G7184" s="2" t="s">
        <v>30025</v>
      </c>
      <c r="H7184" s="2" t="s">
        <v>30026</v>
      </c>
    </row>
    <row r="7185" spans="1:8" ht="25.05" customHeight="1" x14ac:dyDescent="0.25">
      <c r="A7185" s="2" t="s">
        <v>8</v>
      </c>
      <c r="B7185" s="2" t="str">
        <f>HYPERLINK("http://ts.21cn.com/tousu/show/id/1338145","小花恶意催收，威胁恐吓，骚扰")</f>
        <v>小花恶意催收，威胁恐吓，骚扰</v>
      </c>
      <c r="C7185" s="2" t="s">
        <v>9</v>
      </c>
      <c r="D7185" s="2" t="s">
        <v>10</v>
      </c>
      <c r="E7185" s="2" t="str">
        <f>HYPERLINK("http://ts.21cn.com/tousu/show/id/1338145","http://ts.21cn.com/tousu/show/id/1338145")</f>
        <v>http://ts.21cn.com/tousu/show/id/1338145</v>
      </c>
      <c r="F7185" s="2" t="s">
        <v>11</v>
      </c>
      <c r="G7185" s="2" t="s">
        <v>30023</v>
      </c>
      <c r="H7185" s="2" t="s">
        <v>30024</v>
      </c>
    </row>
    <row r="7186" spans="1:8" ht="25.05" customHeight="1" x14ac:dyDescent="0.25">
      <c r="A7186" s="2" t="s">
        <v>8</v>
      </c>
      <c r="B7186" s="2" t="str">
        <f>HYPERLINK("http://ts.21cn.com/tousu/show/id/1338146","合同本金与实际到账金额严重不符，要求调整app还款")</f>
        <v>合同本金与实际到账金额严重不符，要求调整app还款</v>
      </c>
      <c r="C7186" s="2" t="s">
        <v>9</v>
      </c>
      <c r="D7186" s="2" t="s">
        <v>10</v>
      </c>
      <c r="E7186" s="2" t="str">
        <f>HYPERLINK("http://ts.21cn.com/tousu/show/id/1338146","http://ts.21cn.com/tousu/show/id/1338146")</f>
        <v>http://ts.21cn.com/tousu/show/id/1338146</v>
      </c>
      <c r="F7186" s="2" t="s">
        <v>11</v>
      </c>
      <c r="G7186" s="2" t="s">
        <v>30021</v>
      </c>
      <c r="H7186" s="2" t="s">
        <v>30022</v>
      </c>
    </row>
    <row r="7187" spans="1:8" ht="25.05" customHeight="1" x14ac:dyDescent="0.25">
      <c r="A7187" s="2" t="s">
        <v>8</v>
      </c>
      <c r="B7187" s="2" t="str">
        <f>HYPERLINK("http://ts.21cn.com/tousu/show/id/1338147","温州银行信用卡暴利催收")</f>
        <v>温州银行信用卡暴利催收</v>
      </c>
      <c r="C7187" s="2" t="s">
        <v>9</v>
      </c>
      <c r="D7187" s="2" t="s">
        <v>10</v>
      </c>
      <c r="E7187" s="2" t="str">
        <f>HYPERLINK("http://ts.21cn.com/tousu/show/id/1338147","http://ts.21cn.com/tousu/show/id/1338147")</f>
        <v>http://ts.21cn.com/tousu/show/id/1338147</v>
      </c>
      <c r="F7187" s="2" t="s">
        <v>11</v>
      </c>
      <c r="G7187" s="2" t="s">
        <v>30019</v>
      </c>
      <c r="H7187" s="2" t="s">
        <v>30020</v>
      </c>
    </row>
    <row r="7188" spans="1:8" ht="25.05" customHeight="1" x14ac:dyDescent="0.25">
      <c r="A7188" s="2" t="s">
        <v>8</v>
      </c>
      <c r="B7188" s="2" t="str">
        <f>HYPERLINK("http://ts.21cn.com/tousu/show/id/1338148","申请延期还款")</f>
        <v>申请延期还款</v>
      </c>
      <c r="C7188" s="2" t="s">
        <v>34</v>
      </c>
      <c r="D7188" s="2" t="s">
        <v>10</v>
      </c>
      <c r="E7188" s="2" t="str">
        <f>HYPERLINK("http://ts.21cn.com/tousu/show/id/1338148","http://ts.21cn.com/tousu/show/id/1338148")</f>
        <v>http://ts.21cn.com/tousu/show/id/1338148</v>
      </c>
      <c r="F7188" s="2" t="s">
        <v>11</v>
      </c>
      <c r="G7188" s="2" t="s">
        <v>30017</v>
      </c>
      <c r="H7188" s="2" t="s">
        <v>30018</v>
      </c>
    </row>
    <row r="7189" spans="1:8" ht="25.05" customHeight="1" x14ac:dyDescent="0.25">
      <c r="A7189" s="2" t="s">
        <v>8</v>
      </c>
      <c r="B7189" s="2" t="str">
        <f>HYPERLINK("http://ts.21cn.com/tousu/show/id/1338150","高利贷")</f>
        <v>高利贷</v>
      </c>
      <c r="C7189" s="2" t="s">
        <v>9</v>
      </c>
      <c r="D7189" s="2" t="s">
        <v>10</v>
      </c>
      <c r="E7189" s="2" t="str">
        <f>HYPERLINK("http://ts.21cn.com/tousu/show/id/1338150","http://ts.21cn.com/tousu/show/id/1338150")</f>
        <v>http://ts.21cn.com/tousu/show/id/1338150</v>
      </c>
      <c r="F7189" s="2" t="s">
        <v>11</v>
      </c>
      <c r="G7189" s="2" t="s">
        <v>30015</v>
      </c>
      <c r="H7189" s="2" t="s">
        <v>30016</v>
      </c>
    </row>
    <row r="7190" spans="1:8" ht="25.05" customHeight="1" x14ac:dyDescent="0.25">
      <c r="A7190" s="2" t="s">
        <v>8</v>
      </c>
      <c r="B7190" s="2" t="str">
        <f>HYPERLINK("http://ts.21cn.com/tousu/show/id/1338151","拍拍贷恐吓")</f>
        <v>拍拍贷恐吓</v>
      </c>
      <c r="C7190" s="2" t="s">
        <v>9</v>
      </c>
      <c r="D7190" s="2" t="s">
        <v>10</v>
      </c>
      <c r="E7190" s="2" t="str">
        <f>HYPERLINK("http://ts.21cn.com/tousu/show/id/1338151","http://ts.21cn.com/tousu/show/id/1338151")</f>
        <v>http://ts.21cn.com/tousu/show/id/1338151</v>
      </c>
      <c r="F7190" s="2" t="s">
        <v>11</v>
      </c>
      <c r="G7190" s="2" t="s">
        <v>30013</v>
      </c>
      <c r="H7190" s="2" t="s">
        <v>30014</v>
      </c>
    </row>
    <row r="7191" spans="1:8" ht="25.05" customHeight="1" x14ac:dyDescent="0.25">
      <c r="A7191" s="2" t="s">
        <v>8</v>
      </c>
      <c r="B7191" s="2" t="str">
        <f>HYPERLINK("http://ts.21cn.com/tousu/show/id/1338153","招商银行信用卡恶劣催收")</f>
        <v>招商银行信用卡恶劣催收</v>
      </c>
      <c r="C7191" s="2" t="s">
        <v>9</v>
      </c>
      <c r="D7191" s="2" t="s">
        <v>10</v>
      </c>
      <c r="E7191" s="2" t="str">
        <f>HYPERLINK("http://ts.21cn.com/tousu/show/id/1338153","http://ts.21cn.com/tousu/show/id/1338153")</f>
        <v>http://ts.21cn.com/tousu/show/id/1338153</v>
      </c>
      <c r="F7191" s="2" t="s">
        <v>11</v>
      </c>
      <c r="G7191" s="2" t="s">
        <v>30011</v>
      </c>
      <c r="H7191" s="2" t="s">
        <v>30012</v>
      </c>
    </row>
    <row r="7192" spans="1:8" ht="25.05" customHeight="1" x14ac:dyDescent="0.25">
      <c r="A7192" s="2" t="s">
        <v>8</v>
      </c>
      <c r="B7192" s="2" t="str">
        <f>HYPERLINK("http://ts.21cn.com/tousu/show/id/1278662","在苏宁易购买东西没收到货也不退款")</f>
        <v>在苏宁易购买东西没收到货也不退款</v>
      </c>
      <c r="C7192" s="2" t="s">
        <v>9</v>
      </c>
      <c r="D7192" s="2" t="s">
        <v>10</v>
      </c>
      <c r="E7192" s="2" t="str">
        <f>HYPERLINK("http://ts.21cn.com/tousu/show/id/1278662","http://ts.21cn.com/tousu/show/id/1278662")</f>
        <v>http://ts.21cn.com/tousu/show/id/1278662</v>
      </c>
      <c r="F7192" s="2" t="s">
        <v>11</v>
      </c>
      <c r="G7192" s="2" t="s">
        <v>30009</v>
      </c>
      <c r="H7192" s="2" t="s">
        <v>30010</v>
      </c>
    </row>
    <row r="7193" spans="1:8" ht="25.05" customHeight="1" x14ac:dyDescent="0.25">
      <c r="A7193" s="2" t="s">
        <v>8</v>
      </c>
      <c r="B7193" s="2" t="str">
        <f>HYPERLINK("http://ts.21cn.com/tousu/show/id/1338154","退款，道歉")</f>
        <v>退款，道歉</v>
      </c>
      <c r="C7193" s="2" t="s">
        <v>9</v>
      </c>
      <c r="D7193" s="2" t="s">
        <v>10</v>
      </c>
      <c r="E7193" s="2" t="str">
        <f>HYPERLINK("http://ts.21cn.com/tousu/show/id/1338154","http://ts.21cn.com/tousu/show/id/1338154")</f>
        <v>http://ts.21cn.com/tousu/show/id/1338154</v>
      </c>
      <c r="F7193" s="2" t="s">
        <v>11</v>
      </c>
      <c r="G7193" s="2" t="s">
        <v>30007</v>
      </c>
      <c r="H7193" s="2" t="s">
        <v>30008</v>
      </c>
    </row>
    <row r="7194" spans="1:8" ht="25.05" customHeight="1" x14ac:dyDescent="0.25">
      <c r="A7194" s="2" t="s">
        <v>8</v>
      </c>
      <c r="B7194" s="2" t="str">
        <f>HYPERLINK("http://ts.21cn.com/tousu/show/id/1338155","我来贷高利贷，阴阳合同，不处理")</f>
        <v>我来贷高利贷，阴阳合同，不处理</v>
      </c>
      <c r="C7194" s="2" t="s">
        <v>9</v>
      </c>
      <c r="D7194" s="2" t="s">
        <v>10</v>
      </c>
      <c r="E7194" s="2" t="str">
        <f>HYPERLINK("http://ts.21cn.com/tousu/show/id/1338155","http://ts.21cn.com/tousu/show/id/1338155")</f>
        <v>http://ts.21cn.com/tousu/show/id/1338155</v>
      </c>
      <c r="F7194" s="2" t="s">
        <v>11</v>
      </c>
      <c r="G7194" s="2" t="s">
        <v>30005</v>
      </c>
      <c r="H7194" s="2" t="s">
        <v>30006</v>
      </c>
    </row>
    <row r="7195" spans="1:8" ht="25.05" customHeight="1" x14ac:dyDescent="0.25">
      <c r="A7195" s="2" t="s">
        <v>8</v>
      </c>
      <c r="B7195" s="2" t="str">
        <f>HYPERLINK("http://ts.21cn.com/tousu/show/id/1338142","合肥旺满润科技有限公司！一个月服务就开两天")</f>
        <v>合肥旺满润科技有限公司！一个月服务就开两天</v>
      </c>
      <c r="C7195" s="2" t="s">
        <v>9</v>
      </c>
      <c r="D7195" s="2" t="s">
        <v>10</v>
      </c>
      <c r="E7195" s="2" t="str">
        <f>HYPERLINK("http://ts.21cn.com/tousu/show/id/1338142","http://ts.21cn.com/tousu/show/id/1338142")</f>
        <v>http://ts.21cn.com/tousu/show/id/1338142</v>
      </c>
      <c r="F7195" s="2" t="s">
        <v>11</v>
      </c>
      <c r="G7195" s="2" t="s">
        <v>30003</v>
      </c>
      <c r="H7195" s="2" t="s">
        <v>30004</v>
      </c>
    </row>
    <row r="7196" spans="1:8" ht="25.05" customHeight="1" x14ac:dyDescent="0.25">
      <c r="A7196" s="2" t="s">
        <v>8</v>
      </c>
      <c r="B7196" s="2" t="str">
        <f>HYPERLINK("http://ts.21cn.com/tousu/show/id/1338157","豹子贷不经同意直接扣了我200评估费")</f>
        <v>豹子贷不经同意直接扣了我200评估费</v>
      </c>
      <c r="C7196" s="2" t="s">
        <v>9</v>
      </c>
      <c r="D7196" s="2" t="s">
        <v>10</v>
      </c>
      <c r="E7196" s="2" t="str">
        <f>HYPERLINK("http://ts.21cn.com/tousu/show/id/1338157","http://ts.21cn.com/tousu/show/id/1338157")</f>
        <v>http://ts.21cn.com/tousu/show/id/1338157</v>
      </c>
      <c r="F7196" s="2" t="s">
        <v>11</v>
      </c>
      <c r="G7196" s="2" t="s">
        <v>30001</v>
      </c>
      <c r="H7196" s="2" t="s">
        <v>30002</v>
      </c>
    </row>
    <row r="7197" spans="1:8" ht="25.05" customHeight="1" x14ac:dyDescent="0.25">
      <c r="A7197" s="2" t="s">
        <v>8</v>
      </c>
      <c r="B7197" s="2" t="str">
        <f>HYPERLINK("http://ts.21cn.com/tousu/show/id/1338158","自由摩卡信用计划高利贷砍头期")</f>
        <v>自由摩卡信用计划高利贷砍头期</v>
      </c>
      <c r="C7197" s="2" t="s">
        <v>9</v>
      </c>
      <c r="D7197" s="2" t="s">
        <v>10</v>
      </c>
      <c r="E7197" s="2" t="str">
        <f>HYPERLINK("http://ts.21cn.com/tousu/show/id/1338158","http://ts.21cn.com/tousu/show/id/1338158")</f>
        <v>http://ts.21cn.com/tousu/show/id/1338158</v>
      </c>
      <c r="F7197" s="2" t="s">
        <v>11</v>
      </c>
      <c r="G7197" s="2" t="s">
        <v>29999</v>
      </c>
      <c r="H7197" s="2" t="s">
        <v>30000</v>
      </c>
    </row>
    <row r="7198" spans="1:8" ht="25.05" customHeight="1" x14ac:dyDescent="0.25">
      <c r="A7198" s="2" t="s">
        <v>8</v>
      </c>
      <c r="B7198" s="2" t="str">
        <f>HYPERLINK("http://ts.21cn.com/tousu/show/id/1338159","月光侠阴阳合同，高利息")</f>
        <v>月光侠阴阳合同，高利息</v>
      </c>
      <c r="C7198" s="2" t="s">
        <v>9</v>
      </c>
      <c r="D7198" s="2" t="s">
        <v>10</v>
      </c>
      <c r="E7198" s="2" t="str">
        <f>HYPERLINK("http://ts.21cn.com/tousu/show/id/1338159","http://ts.21cn.com/tousu/show/id/1338159")</f>
        <v>http://ts.21cn.com/tousu/show/id/1338159</v>
      </c>
      <c r="F7198" s="2" t="s">
        <v>11</v>
      </c>
      <c r="G7198" s="2" t="s">
        <v>29997</v>
      </c>
      <c r="H7198" s="2" t="s">
        <v>29998</v>
      </c>
    </row>
    <row r="7199" spans="1:8" ht="25.05" customHeight="1" x14ac:dyDescent="0.25">
      <c r="A7199" s="2" t="s">
        <v>8</v>
      </c>
      <c r="B7199" s="2" t="str">
        <f>HYPERLINK("http://ts.21cn.com/tousu/show/id/1338161","京东物流连续送错，耽误我时间，信誉何在")</f>
        <v>京东物流连续送错，耽误我时间，信誉何在</v>
      </c>
      <c r="C7199" s="2" t="s">
        <v>9</v>
      </c>
      <c r="D7199" s="2" t="s">
        <v>10</v>
      </c>
      <c r="E7199" s="2" t="str">
        <f>HYPERLINK("http://ts.21cn.com/tousu/show/id/1338161","http://ts.21cn.com/tousu/show/id/1338161")</f>
        <v>http://ts.21cn.com/tousu/show/id/1338161</v>
      </c>
      <c r="F7199" s="2" t="s">
        <v>11</v>
      </c>
      <c r="G7199" s="2" t="s">
        <v>29995</v>
      </c>
      <c r="H7199" s="2" t="s">
        <v>29996</v>
      </c>
    </row>
    <row r="7200" spans="1:8" ht="25.05" customHeight="1" x14ac:dyDescent="0.25">
      <c r="A7200" s="2" t="s">
        <v>8</v>
      </c>
      <c r="B7200" s="2" t="str">
        <f>HYPERLINK("http://ts.21cn.com/tousu/show/id/1338166","押金不予退还。客服状态日常敷衍")</f>
        <v>押金不予退还。客服状态日常敷衍</v>
      </c>
      <c r="C7200" s="2" t="s">
        <v>9</v>
      </c>
      <c r="D7200" s="2" t="s">
        <v>10</v>
      </c>
      <c r="E7200" s="2" t="str">
        <f>HYPERLINK("http://ts.21cn.com/tousu/show/id/1338166","http://ts.21cn.com/tousu/show/id/1338166")</f>
        <v>http://ts.21cn.com/tousu/show/id/1338166</v>
      </c>
      <c r="F7200" s="2" t="s">
        <v>11</v>
      </c>
      <c r="G7200" s="2" t="s">
        <v>29993</v>
      </c>
      <c r="H7200" s="2" t="s">
        <v>29994</v>
      </c>
    </row>
    <row r="7201" spans="1:8" ht="25.05" customHeight="1" x14ac:dyDescent="0.25">
      <c r="A7201" s="2" t="s">
        <v>8</v>
      </c>
      <c r="B7201" s="2" t="str">
        <f>HYPERLINK("http://ts.21cn.com/tousu/show/id/1338160","投诉支付宝旗下的飞猪不让改签，也不通知铁道部什么时候系统升级完")</f>
        <v>投诉支付宝旗下的飞猪不让改签，也不通知铁道部什么时候系统升级完</v>
      </c>
      <c r="C7201" s="2" t="s">
        <v>9</v>
      </c>
      <c r="D7201" s="2" t="s">
        <v>10</v>
      </c>
      <c r="E7201" s="2" t="str">
        <f>HYPERLINK("http://ts.21cn.com/tousu/show/id/1338160","http://ts.21cn.com/tousu/show/id/1338160")</f>
        <v>http://ts.21cn.com/tousu/show/id/1338160</v>
      </c>
      <c r="F7201" s="2" t="s">
        <v>11</v>
      </c>
      <c r="G7201" s="2" t="s">
        <v>29991</v>
      </c>
      <c r="H7201" s="2" t="s">
        <v>29992</v>
      </c>
    </row>
    <row r="7202" spans="1:8" ht="25.05" customHeight="1" x14ac:dyDescent="0.25">
      <c r="A7202" s="2" t="s">
        <v>8</v>
      </c>
      <c r="B7202" s="2" t="str">
        <f>HYPERLINK("http://ts.21cn.com/tousu/show/id/1338163","金伯利钻石")</f>
        <v>金伯利钻石</v>
      </c>
      <c r="C7202" s="2" t="s">
        <v>9</v>
      </c>
      <c r="D7202" s="2" t="s">
        <v>10</v>
      </c>
      <c r="E7202" s="2" t="str">
        <f>HYPERLINK("http://ts.21cn.com/tousu/show/id/1338163","http://ts.21cn.com/tousu/show/id/1338163")</f>
        <v>http://ts.21cn.com/tousu/show/id/1338163</v>
      </c>
      <c r="F7202" s="2" t="s">
        <v>11</v>
      </c>
      <c r="G7202" s="2" t="s">
        <v>29989</v>
      </c>
      <c r="H7202" s="2" t="s">
        <v>29990</v>
      </c>
    </row>
    <row r="7203" spans="1:8" ht="25.05" customHeight="1" x14ac:dyDescent="0.25">
      <c r="A7203" s="2" t="s">
        <v>8</v>
      </c>
      <c r="B7203" s="2" t="str">
        <f>HYPERLINK("http://ts.21cn.com/tousu/show/id/1338162","小米金融贷款骂人")</f>
        <v>小米金融贷款骂人</v>
      </c>
      <c r="C7203" s="2" t="s">
        <v>9</v>
      </c>
      <c r="D7203" s="2" t="s">
        <v>10</v>
      </c>
      <c r="E7203" s="2" t="str">
        <f>HYPERLINK("http://ts.21cn.com/tousu/show/id/1338162","http://ts.21cn.com/tousu/show/id/1338162")</f>
        <v>http://ts.21cn.com/tousu/show/id/1338162</v>
      </c>
      <c r="F7203" s="2" t="s">
        <v>11</v>
      </c>
      <c r="G7203" s="2" t="s">
        <v>29987</v>
      </c>
      <c r="H7203" s="2" t="s">
        <v>29988</v>
      </c>
    </row>
    <row r="7204" spans="1:8" ht="25.05" customHeight="1" x14ac:dyDescent="0.25">
      <c r="A7204" s="2" t="s">
        <v>8</v>
      </c>
      <c r="B7204" s="2" t="str">
        <f>HYPERLINK("http://ts.21cn.com/tousu/show/id/1338164","小浦优客未经本人同意乱扣款")</f>
        <v>小浦优客未经本人同意乱扣款</v>
      </c>
      <c r="C7204" s="2" t="s">
        <v>9</v>
      </c>
      <c r="D7204" s="2" t="s">
        <v>10</v>
      </c>
      <c r="E7204" s="2" t="str">
        <f>HYPERLINK("http://ts.21cn.com/tousu/show/id/1338164","http://ts.21cn.com/tousu/show/id/1338164")</f>
        <v>http://ts.21cn.com/tousu/show/id/1338164</v>
      </c>
      <c r="F7204" s="2" t="s">
        <v>11</v>
      </c>
      <c r="G7204" s="2" t="s">
        <v>29985</v>
      </c>
      <c r="H7204" s="2" t="s">
        <v>29986</v>
      </c>
    </row>
    <row r="7205" spans="1:8" ht="25.05" customHeight="1" x14ac:dyDescent="0.25">
      <c r="A7205" s="2" t="s">
        <v>8</v>
      </c>
      <c r="B7205" s="2" t="str">
        <f>HYPERLINK("http://ts.21cn.com/tousu/show/id/1338167","莫名扣款750元")</f>
        <v>莫名扣款750元</v>
      </c>
      <c r="C7205" s="2" t="s">
        <v>34</v>
      </c>
      <c r="D7205" s="2" t="s">
        <v>10</v>
      </c>
      <c r="E7205" s="2" t="str">
        <f>HYPERLINK("http://ts.21cn.com/tousu/show/id/1338167","http://ts.21cn.com/tousu/show/id/1338167")</f>
        <v>http://ts.21cn.com/tousu/show/id/1338167</v>
      </c>
      <c r="F7205" s="2" t="s">
        <v>11</v>
      </c>
      <c r="G7205" s="2" t="s">
        <v>29983</v>
      </c>
      <c r="H7205" s="2" t="s">
        <v>29984</v>
      </c>
    </row>
    <row r="7206" spans="1:8" ht="25.05" customHeight="1" x14ac:dyDescent="0.25">
      <c r="A7206" s="2" t="s">
        <v>8</v>
      </c>
      <c r="B7206" s="2" t="str">
        <f>HYPERLINK("http://ts.21cn.com/tousu/show/id/1338165","短信轰炸爆通讯录利息高")</f>
        <v>短信轰炸爆通讯录利息高</v>
      </c>
      <c r="C7206" s="2" t="s">
        <v>9</v>
      </c>
      <c r="D7206" s="2" t="s">
        <v>10</v>
      </c>
      <c r="E7206" s="2" t="str">
        <f>HYPERLINK("http://ts.21cn.com/tousu/show/id/1338165","http://ts.21cn.com/tousu/show/id/1338165")</f>
        <v>http://ts.21cn.com/tousu/show/id/1338165</v>
      </c>
      <c r="F7206" s="2" t="s">
        <v>11</v>
      </c>
      <c r="G7206" s="2" t="s">
        <v>29981</v>
      </c>
      <c r="H7206" s="2" t="s">
        <v>29982</v>
      </c>
    </row>
    <row r="7207" spans="1:8" ht="25.05" customHeight="1" x14ac:dyDescent="0.25">
      <c r="A7207" s="2" t="s">
        <v>8</v>
      </c>
      <c r="B7207" s="2" t="str">
        <f>HYPERLINK("http://ts.21cn.com/tousu/show/id/1338168","来分期不协商，态度恶劣")</f>
        <v>来分期不协商，态度恶劣</v>
      </c>
      <c r="C7207" s="2" t="s">
        <v>9</v>
      </c>
      <c r="D7207" s="2" t="s">
        <v>10</v>
      </c>
      <c r="E7207" s="2" t="str">
        <f>HYPERLINK("http://ts.21cn.com/tousu/show/id/1338168","http://ts.21cn.com/tousu/show/id/1338168")</f>
        <v>http://ts.21cn.com/tousu/show/id/1338168</v>
      </c>
      <c r="F7207" s="2" t="s">
        <v>11</v>
      </c>
      <c r="G7207" s="2" t="s">
        <v>29979</v>
      </c>
      <c r="H7207" s="2" t="s">
        <v>29980</v>
      </c>
    </row>
    <row r="7208" spans="1:8" ht="25.05" customHeight="1" x14ac:dyDescent="0.25">
      <c r="A7208" s="2" t="s">
        <v>8</v>
      </c>
      <c r="B7208" s="2" t="str">
        <f>HYPERLINK("http://ts.21cn.com/tousu/show/id/1338169","招商银行暴利催收")</f>
        <v>招商银行暴利催收</v>
      </c>
      <c r="C7208" s="2" t="s">
        <v>9</v>
      </c>
      <c r="D7208" s="2" t="s">
        <v>10</v>
      </c>
      <c r="E7208" s="2" t="str">
        <f>HYPERLINK("http://ts.21cn.com/tousu/show/id/1338169","http://ts.21cn.com/tousu/show/id/1338169")</f>
        <v>http://ts.21cn.com/tousu/show/id/1338169</v>
      </c>
      <c r="F7208" s="2" t="s">
        <v>11</v>
      </c>
      <c r="G7208" s="2" t="s">
        <v>29977</v>
      </c>
      <c r="H7208" s="2" t="s">
        <v>29978</v>
      </c>
    </row>
    <row r="7209" spans="1:8" ht="25.05" customHeight="1" x14ac:dyDescent="0.25">
      <c r="A7209" s="2" t="s">
        <v>8</v>
      </c>
      <c r="B7209" s="2" t="str">
        <f>HYPERLINK("http://ts.21cn.com/tousu/show/id/1338170","玖富万卡承诺提前结清后反口不承认！高利贷！")</f>
        <v>玖富万卡承诺提前结清后反口不承认！高利贷！</v>
      </c>
      <c r="C7209" s="2" t="s">
        <v>9</v>
      </c>
      <c r="D7209" s="2" t="s">
        <v>10</v>
      </c>
      <c r="E7209" s="2" t="str">
        <f>HYPERLINK("http://ts.21cn.com/tousu/show/id/1338170","http://ts.21cn.com/tousu/show/id/1338170")</f>
        <v>http://ts.21cn.com/tousu/show/id/1338170</v>
      </c>
      <c r="F7209" s="2" t="s">
        <v>11</v>
      </c>
      <c r="G7209" s="2" t="s">
        <v>29975</v>
      </c>
      <c r="H7209" s="2" t="s">
        <v>29976</v>
      </c>
    </row>
    <row r="7210" spans="1:8" ht="25.05" customHeight="1" x14ac:dyDescent="0.25">
      <c r="A7210" s="2" t="s">
        <v>8</v>
      </c>
      <c r="B7210" s="2" t="str">
        <f>HYPERLINK("http://ts.21cn.com/tousu/show/id/1338172","高利贷套路贷")</f>
        <v>高利贷套路贷</v>
      </c>
      <c r="C7210" s="2" t="s">
        <v>9</v>
      </c>
      <c r="D7210" s="2" t="s">
        <v>10</v>
      </c>
      <c r="E7210" s="2" t="str">
        <f>HYPERLINK("http://ts.21cn.com/tousu/show/id/1338172","http://ts.21cn.com/tousu/show/id/1338172")</f>
        <v>http://ts.21cn.com/tousu/show/id/1338172</v>
      </c>
      <c r="F7210" s="2" t="s">
        <v>11</v>
      </c>
      <c r="G7210" s="2" t="s">
        <v>29973</v>
      </c>
      <c r="H7210" s="2" t="s">
        <v>29974</v>
      </c>
    </row>
    <row r="7211" spans="1:8" ht="25.05" customHeight="1" x14ac:dyDescent="0.25">
      <c r="A7211" s="2" t="s">
        <v>8</v>
      </c>
      <c r="B7211" s="2" t="str">
        <f>HYPERLINK("http://ts.21cn.com/tousu/show/id/1338171","玖富万卡擅自改写合同，变相收取费用，高利贷")</f>
        <v>玖富万卡擅自改写合同，变相收取费用，高利贷</v>
      </c>
      <c r="C7211" s="2" t="s">
        <v>9</v>
      </c>
      <c r="D7211" s="2" t="s">
        <v>10</v>
      </c>
      <c r="E7211" s="2" t="str">
        <f>HYPERLINK("http://ts.21cn.com/tousu/show/id/1338171","http://ts.21cn.com/tousu/show/id/1338171")</f>
        <v>http://ts.21cn.com/tousu/show/id/1338171</v>
      </c>
      <c r="F7211" s="2" t="s">
        <v>11</v>
      </c>
      <c r="G7211" s="2" t="s">
        <v>29971</v>
      </c>
      <c r="H7211" s="2" t="s">
        <v>29972</v>
      </c>
    </row>
    <row r="7212" spans="1:8" ht="25.05" customHeight="1" x14ac:dyDescent="0.25">
      <c r="A7212" s="2" t="s">
        <v>8</v>
      </c>
      <c r="B7212" s="2" t="str">
        <f>HYPERLINK("http://ts.21cn.com/tousu/show/id/1338176","暴力催收，利息高，现在已经无力偿还，希望协商解决")</f>
        <v>暴力催收，利息高，现在已经无力偿还，希望协商解决</v>
      </c>
      <c r="C7212" s="2" t="s">
        <v>9</v>
      </c>
      <c r="D7212" s="2" t="s">
        <v>10</v>
      </c>
      <c r="E7212" s="2" t="str">
        <f>HYPERLINK("http://ts.21cn.com/tousu/show/id/1338176","http://ts.21cn.com/tousu/show/id/1338176")</f>
        <v>http://ts.21cn.com/tousu/show/id/1338176</v>
      </c>
      <c r="F7212" s="2" t="s">
        <v>11</v>
      </c>
      <c r="G7212" s="2" t="s">
        <v>29969</v>
      </c>
      <c r="H7212" s="2" t="s">
        <v>29970</v>
      </c>
    </row>
    <row r="7213" spans="1:8" ht="25.05" customHeight="1" x14ac:dyDescent="0.25">
      <c r="A7213" s="2" t="s">
        <v>8</v>
      </c>
      <c r="B7213" s="2" t="str">
        <f>HYPERLINK("http://ts.21cn.com/tousu/show/id/1338177","唯品会延误发货，霸王条款第8天不退换货")</f>
        <v>唯品会延误发货，霸王条款第8天不退换货</v>
      </c>
      <c r="C7213" s="2" t="s">
        <v>9</v>
      </c>
      <c r="D7213" s="2" t="s">
        <v>10</v>
      </c>
      <c r="E7213" s="2" t="str">
        <f>HYPERLINK("http://ts.21cn.com/tousu/show/id/1338177","http://ts.21cn.com/tousu/show/id/1338177")</f>
        <v>http://ts.21cn.com/tousu/show/id/1338177</v>
      </c>
      <c r="F7213" s="2" t="s">
        <v>11</v>
      </c>
      <c r="G7213" s="2" t="s">
        <v>29967</v>
      </c>
      <c r="H7213" s="2" t="s">
        <v>29968</v>
      </c>
    </row>
    <row r="7214" spans="1:8" ht="25.05" customHeight="1" x14ac:dyDescent="0.25">
      <c r="A7214" s="2" t="s">
        <v>8</v>
      </c>
      <c r="B7214" s="2" t="str">
        <f>HYPERLINK("http://ts.21cn.com/tousu/show/id/1338178","汽车4S店")</f>
        <v>汽车4S店</v>
      </c>
      <c r="C7214" s="2" t="s">
        <v>9</v>
      </c>
      <c r="D7214" s="2" t="s">
        <v>10</v>
      </c>
      <c r="E7214" s="2" t="str">
        <f>HYPERLINK("http://ts.21cn.com/tousu/show/id/1338178","http://ts.21cn.com/tousu/show/id/1338178")</f>
        <v>http://ts.21cn.com/tousu/show/id/1338178</v>
      </c>
      <c r="F7214" s="2" t="s">
        <v>11</v>
      </c>
      <c r="G7214" s="2" t="s">
        <v>29965</v>
      </c>
      <c r="H7214" s="2" t="s">
        <v>29966</v>
      </c>
    </row>
    <row r="7215" spans="1:8" ht="25.05" customHeight="1" x14ac:dyDescent="0.25">
      <c r="A7215" s="2" t="s">
        <v>8</v>
      </c>
      <c r="B7215" s="2" t="str">
        <f>HYPERLINK("http://ts.21cn.com/tousu/show/id/1338179","高利贷砍头息")</f>
        <v>高利贷砍头息</v>
      </c>
      <c r="C7215" s="2" t="s">
        <v>9</v>
      </c>
      <c r="D7215" s="2" t="s">
        <v>10</v>
      </c>
      <c r="E7215" s="2" t="str">
        <f>HYPERLINK("http://ts.21cn.com/tousu/show/id/1338179","http://ts.21cn.com/tousu/show/id/1338179")</f>
        <v>http://ts.21cn.com/tousu/show/id/1338179</v>
      </c>
      <c r="F7215" s="2" t="s">
        <v>11</v>
      </c>
      <c r="G7215" s="2" t="s">
        <v>29963</v>
      </c>
      <c r="H7215" s="2" t="s">
        <v>29964</v>
      </c>
    </row>
    <row r="7216" spans="1:8" ht="25.05" customHeight="1" x14ac:dyDescent="0.25">
      <c r="A7216" s="2" t="s">
        <v>8</v>
      </c>
      <c r="B7216" s="2" t="str">
        <f>HYPERLINK("http://ts.21cn.com/tousu/show/id/1338180","趣店暴力催收恐吓")</f>
        <v>趣店暴力催收恐吓</v>
      </c>
      <c r="C7216" s="2" t="s">
        <v>9</v>
      </c>
      <c r="D7216" s="2" t="s">
        <v>10</v>
      </c>
      <c r="E7216" s="2" t="str">
        <f>HYPERLINK("http://ts.21cn.com/tousu/show/id/1338180","http://ts.21cn.com/tousu/show/id/1338180")</f>
        <v>http://ts.21cn.com/tousu/show/id/1338180</v>
      </c>
      <c r="F7216" s="2" t="s">
        <v>11</v>
      </c>
      <c r="G7216" s="2" t="s">
        <v>29961</v>
      </c>
      <c r="H7216" s="2" t="s">
        <v>29962</v>
      </c>
    </row>
    <row r="7217" spans="1:8" ht="25.05" customHeight="1" x14ac:dyDescent="0.25">
      <c r="A7217" s="2" t="s">
        <v>8</v>
      </c>
      <c r="B7217" s="2" t="str">
        <f>HYPERLINK("http://ts.21cn.com/tousu/show/id/1338183","中国移动商城不发货")</f>
        <v>中国移动商城不发货</v>
      </c>
      <c r="C7217" s="2" t="s">
        <v>9</v>
      </c>
      <c r="D7217" s="2" t="s">
        <v>10</v>
      </c>
      <c r="E7217" s="2" t="str">
        <f>HYPERLINK("http://ts.21cn.com/tousu/show/id/1338183","http://ts.21cn.com/tousu/show/id/1338183")</f>
        <v>http://ts.21cn.com/tousu/show/id/1338183</v>
      </c>
      <c r="F7217" s="2" t="s">
        <v>11</v>
      </c>
      <c r="G7217" s="2" t="s">
        <v>29959</v>
      </c>
      <c r="H7217" s="2" t="s">
        <v>29960</v>
      </c>
    </row>
    <row r="7218" spans="1:8" ht="25.05" customHeight="1" x14ac:dyDescent="0.25">
      <c r="A7218" s="2" t="s">
        <v>8</v>
      </c>
      <c r="B7218" s="2" t="str">
        <f>HYPERLINK("http://ts.21cn.com/tousu/show/id/1338182","投诉东方航空公司和途牛旅游公司因天气原因取消去程机票而不给全额退还返程机票的事件")</f>
        <v>投诉东方航空公司和途牛旅游公司因天气原因取消去程机票而不给全额退还返程机票的事件</v>
      </c>
      <c r="C7218" s="2" t="s">
        <v>9</v>
      </c>
      <c r="D7218" s="2" t="s">
        <v>10</v>
      </c>
      <c r="E7218" s="2" t="str">
        <f>HYPERLINK("http://ts.21cn.com/tousu/show/id/1338182","http://ts.21cn.com/tousu/show/id/1338182")</f>
        <v>http://ts.21cn.com/tousu/show/id/1338182</v>
      </c>
      <c r="F7218" s="2" t="s">
        <v>11</v>
      </c>
      <c r="G7218" s="2" t="s">
        <v>29957</v>
      </c>
      <c r="H7218" s="2" t="s">
        <v>29958</v>
      </c>
    </row>
    <row r="7219" spans="1:8" ht="25.05" customHeight="1" x14ac:dyDescent="0.25">
      <c r="A7219" s="2" t="s">
        <v>8</v>
      </c>
      <c r="B7219" s="2" t="str">
        <f>HYPERLINK("http://ts.21cn.com/tousu/show/id/1338184","滴滴司机言语过激")</f>
        <v>滴滴司机言语过激</v>
      </c>
      <c r="C7219" s="2" t="s">
        <v>9</v>
      </c>
      <c r="D7219" s="2" t="s">
        <v>10</v>
      </c>
      <c r="E7219" s="2" t="str">
        <f>HYPERLINK("http://ts.21cn.com/tousu/show/id/1338184","http://ts.21cn.com/tousu/show/id/1338184")</f>
        <v>http://ts.21cn.com/tousu/show/id/1338184</v>
      </c>
      <c r="F7219" s="2" t="s">
        <v>11</v>
      </c>
      <c r="G7219" s="2" t="s">
        <v>29955</v>
      </c>
      <c r="H7219" s="2" t="s">
        <v>29956</v>
      </c>
    </row>
    <row r="7220" spans="1:8" ht="25.05" customHeight="1" x14ac:dyDescent="0.25">
      <c r="A7220" s="2" t="s">
        <v>8</v>
      </c>
      <c r="B7220" s="2" t="str">
        <f>HYPERLINK("http://ts.21cn.com/tousu/show/id/1338185","系统乱收逾期费用导致后期无法正常还款")</f>
        <v>系统乱收逾期费用导致后期无法正常还款</v>
      </c>
      <c r="C7220" s="2" t="s">
        <v>9</v>
      </c>
      <c r="D7220" s="2" t="s">
        <v>10</v>
      </c>
      <c r="E7220" s="2" t="str">
        <f>HYPERLINK("http://ts.21cn.com/tousu/show/id/1338185","http://ts.21cn.com/tousu/show/id/1338185")</f>
        <v>http://ts.21cn.com/tousu/show/id/1338185</v>
      </c>
      <c r="F7220" s="2" t="s">
        <v>11</v>
      </c>
      <c r="G7220" s="2" t="s">
        <v>29952</v>
      </c>
      <c r="H7220" s="2" t="s">
        <v>29953</v>
      </c>
    </row>
    <row r="7221" spans="1:8" ht="25.05" customHeight="1" x14ac:dyDescent="0.25">
      <c r="A7221" s="2" t="s">
        <v>8</v>
      </c>
      <c r="B7221" s="2" t="str">
        <f>HYPERLINK("http://ts.21cn.com/tousu/show/id/1338187","立即贷违反国家法律宝付支付同流合污")</f>
        <v>立即贷违反国家法律宝付支付同流合污</v>
      </c>
      <c r="C7221" s="2" t="s">
        <v>9</v>
      </c>
      <c r="D7221" s="2" t="s">
        <v>10</v>
      </c>
      <c r="E7221" s="2" t="str">
        <f>HYPERLINK("http://ts.21cn.com/tousu/show/id/1338187","http://ts.21cn.com/tousu/show/id/1338187")</f>
        <v>http://ts.21cn.com/tousu/show/id/1338187</v>
      </c>
      <c r="F7221" s="2" t="s">
        <v>11</v>
      </c>
      <c r="G7221" s="2" t="s">
        <v>29952</v>
      </c>
      <c r="H7221" s="2" t="s">
        <v>29954</v>
      </c>
    </row>
    <row r="7222" spans="1:8" ht="25.05" customHeight="1" x14ac:dyDescent="0.25">
      <c r="A7222" s="2" t="s">
        <v>8</v>
      </c>
      <c r="B7222" s="2" t="str">
        <f>HYPERLINK("http://ts.21cn.com/tousu/show/id/1338186","购买了数字货币不让提现！注册和充值购买挖矿机时并没有说明一个身份证只能绑定一个账号，钱只能进不能提出来！")</f>
        <v>购买了数字货币不让提现！注册和充值购买挖矿机时并没有说明一个身份证只能绑定一个账号，钱只能进不能提出来！</v>
      </c>
      <c r="C7222" s="2" t="s">
        <v>9</v>
      </c>
      <c r="D7222" s="2" t="s">
        <v>10</v>
      </c>
      <c r="E7222" s="2" t="str">
        <f>HYPERLINK("http://ts.21cn.com/tousu/show/id/1338186","http://ts.21cn.com/tousu/show/id/1338186")</f>
        <v>http://ts.21cn.com/tousu/show/id/1338186</v>
      </c>
      <c r="F7222" s="2" t="s">
        <v>11</v>
      </c>
      <c r="G7222" s="2" t="s">
        <v>29950</v>
      </c>
      <c r="H7222" s="2" t="s">
        <v>29951</v>
      </c>
    </row>
    <row r="7223" spans="1:8" ht="25.05" customHeight="1" x14ac:dyDescent="0.25">
      <c r="A7223" s="2" t="s">
        <v>8</v>
      </c>
      <c r="B7223" s="2" t="str">
        <f>HYPERLINK("http://ts.21cn.com/tousu/show/id/1338189","被无故扣款要求退还")</f>
        <v>被无故扣款要求退还</v>
      </c>
      <c r="C7223" s="2" t="s">
        <v>9</v>
      </c>
      <c r="D7223" s="2" t="s">
        <v>10</v>
      </c>
      <c r="E7223" s="2" t="str">
        <f>HYPERLINK("http://ts.21cn.com/tousu/show/id/1338189","http://ts.21cn.com/tousu/show/id/1338189")</f>
        <v>http://ts.21cn.com/tousu/show/id/1338189</v>
      </c>
      <c r="F7223" s="2" t="s">
        <v>11</v>
      </c>
      <c r="G7223" s="2" t="s">
        <v>29948</v>
      </c>
      <c r="H7223" s="2" t="s">
        <v>29949</v>
      </c>
    </row>
    <row r="7224" spans="1:8" ht="25.05" customHeight="1" x14ac:dyDescent="0.25">
      <c r="A7224" s="2" t="s">
        <v>8</v>
      </c>
      <c r="B7224" s="2" t="str">
        <f>HYPERLINK("http://ts.21cn.com/tousu/show/id/1338188","玖富万卡")</f>
        <v>玖富万卡</v>
      </c>
      <c r="C7224" s="2" t="s">
        <v>9</v>
      </c>
      <c r="D7224" s="2" t="s">
        <v>10</v>
      </c>
      <c r="E7224" s="2" t="str">
        <f>HYPERLINK("http://ts.21cn.com/tousu/show/id/1338188","http://ts.21cn.com/tousu/show/id/1338188")</f>
        <v>http://ts.21cn.com/tousu/show/id/1338188</v>
      </c>
      <c r="F7224" s="2" t="s">
        <v>11</v>
      </c>
      <c r="G7224" s="2" t="s">
        <v>29946</v>
      </c>
      <c r="H7224" s="2" t="s">
        <v>29947</v>
      </c>
    </row>
    <row r="7225" spans="1:8" ht="25.05" customHeight="1" x14ac:dyDescent="0.25">
      <c r="A7225" s="2" t="s">
        <v>8</v>
      </c>
      <c r="B7225" s="2" t="str">
        <f>HYPERLINK("http://ts.21cn.com/tousu/show/id/1338193","华夏银行恶意让客户逾期")</f>
        <v>华夏银行恶意让客户逾期</v>
      </c>
      <c r="C7225" s="2" t="s">
        <v>9</v>
      </c>
      <c r="D7225" s="2" t="s">
        <v>10</v>
      </c>
      <c r="E7225" s="2" t="str">
        <f>HYPERLINK("http://ts.21cn.com/tousu/show/id/1338193","http://ts.21cn.com/tousu/show/id/1338193")</f>
        <v>http://ts.21cn.com/tousu/show/id/1338193</v>
      </c>
      <c r="F7225" s="2" t="s">
        <v>11</v>
      </c>
      <c r="G7225" s="2" t="s">
        <v>29944</v>
      </c>
      <c r="H7225" s="2" t="s">
        <v>29945</v>
      </c>
    </row>
    <row r="7226" spans="1:8" ht="25.05" customHeight="1" x14ac:dyDescent="0.25">
      <c r="A7226" s="2" t="s">
        <v>8</v>
      </c>
      <c r="B7226" s="2" t="str">
        <f>HYPERLINK("http://ts.21cn.com/tousu/show/id/1338190","招商银行催收违法")</f>
        <v>招商银行催收违法</v>
      </c>
      <c r="C7226" s="2" t="s">
        <v>9</v>
      </c>
      <c r="D7226" s="2" t="s">
        <v>10</v>
      </c>
      <c r="E7226" s="2" t="str">
        <f>HYPERLINK("http://ts.21cn.com/tousu/show/id/1338190","http://ts.21cn.com/tousu/show/id/1338190")</f>
        <v>http://ts.21cn.com/tousu/show/id/1338190</v>
      </c>
      <c r="F7226" s="2" t="s">
        <v>11</v>
      </c>
      <c r="G7226" s="2" t="s">
        <v>29942</v>
      </c>
      <c r="H7226" s="2" t="s">
        <v>29943</v>
      </c>
    </row>
    <row r="7227" spans="1:8" ht="25.05" customHeight="1" x14ac:dyDescent="0.25">
      <c r="A7227" s="2" t="s">
        <v>8</v>
      </c>
      <c r="B7227" s="2" t="str">
        <f>HYPERLINK("http://ts.21cn.com/tousu/show/id/1338191","严惩高利贷")</f>
        <v>严惩高利贷</v>
      </c>
      <c r="C7227" s="2" t="s">
        <v>9</v>
      </c>
      <c r="D7227" s="2" t="s">
        <v>10</v>
      </c>
      <c r="E7227" s="2" t="str">
        <f>HYPERLINK("http://ts.21cn.com/tousu/show/id/1338191","http://ts.21cn.com/tousu/show/id/1338191")</f>
        <v>http://ts.21cn.com/tousu/show/id/1338191</v>
      </c>
      <c r="F7227" s="2" t="s">
        <v>11</v>
      </c>
      <c r="G7227" s="2" t="s">
        <v>29940</v>
      </c>
      <c r="H7227" s="2" t="s">
        <v>29941</v>
      </c>
    </row>
    <row r="7228" spans="1:8" ht="25.05" customHeight="1" x14ac:dyDescent="0.25">
      <c r="A7228" s="2" t="s">
        <v>8</v>
      </c>
      <c r="B7228" s="2" t="str">
        <f>HYPERLINK("http://ts.21cn.com/tousu/show/id/1338192","恒昌公司旗下恒易贷合同金额远高于实际借款金额")</f>
        <v>恒昌公司旗下恒易贷合同金额远高于实际借款金额</v>
      </c>
      <c r="C7228" s="2" t="s">
        <v>9</v>
      </c>
      <c r="D7228" s="2" t="s">
        <v>10</v>
      </c>
      <c r="E7228" s="2" t="str">
        <f>HYPERLINK("http://ts.21cn.com/tousu/show/id/1338192","http://ts.21cn.com/tousu/show/id/1338192")</f>
        <v>http://ts.21cn.com/tousu/show/id/1338192</v>
      </c>
      <c r="F7228" s="2" t="s">
        <v>11</v>
      </c>
      <c r="G7228" s="2" t="s">
        <v>29938</v>
      </c>
      <c r="H7228" s="2" t="s">
        <v>29939</v>
      </c>
    </row>
    <row r="7229" spans="1:8" ht="25.05" customHeight="1" x14ac:dyDescent="0.25">
      <c r="A7229" s="2" t="s">
        <v>8</v>
      </c>
      <c r="B7229" s="2" t="str">
        <f>HYPERLINK("http://ts.21cn.com/tousu/show/id/1338194","暴力催收")</f>
        <v>暴力催收</v>
      </c>
      <c r="C7229" s="2" t="s">
        <v>9</v>
      </c>
      <c r="D7229" s="2" t="s">
        <v>10</v>
      </c>
      <c r="E7229" s="2" t="str">
        <f>HYPERLINK("http://ts.21cn.com/tousu/show/id/1338194","http://ts.21cn.com/tousu/show/id/1338194")</f>
        <v>http://ts.21cn.com/tousu/show/id/1338194</v>
      </c>
      <c r="F7229" s="2" t="s">
        <v>11</v>
      </c>
      <c r="G7229" s="2" t="s">
        <v>29936</v>
      </c>
      <c r="H7229" s="2" t="s">
        <v>29937</v>
      </c>
    </row>
    <row r="7230" spans="1:8" ht="25.05" customHeight="1" x14ac:dyDescent="0.25">
      <c r="A7230" s="2" t="s">
        <v>8</v>
      </c>
      <c r="B7230" s="2" t="str">
        <f>HYPERLINK("http://ts.21cn.com/tousu/show/id/1338174","360金融诱导我借贷，与销售人员说的不同")</f>
        <v>360金融诱导我借贷，与销售人员说的不同</v>
      </c>
      <c r="C7230" s="2" t="s">
        <v>9</v>
      </c>
      <c r="D7230" s="2" t="s">
        <v>10</v>
      </c>
      <c r="E7230" s="2" t="str">
        <f>HYPERLINK("http://ts.21cn.com/tousu/show/id/1338174","http://ts.21cn.com/tousu/show/id/1338174")</f>
        <v>http://ts.21cn.com/tousu/show/id/1338174</v>
      </c>
      <c r="F7230" s="2" t="s">
        <v>11</v>
      </c>
      <c r="G7230" s="2" t="s">
        <v>29934</v>
      </c>
      <c r="H7230" s="2" t="s">
        <v>29935</v>
      </c>
    </row>
    <row r="7231" spans="1:8" ht="25.05" customHeight="1" x14ac:dyDescent="0.25">
      <c r="A7231" s="2" t="s">
        <v>8</v>
      </c>
      <c r="B7231" s="2" t="str">
        <f>HYPERLINK("http://ts.21cn.com/tousu/show/id/1338196","砍头息")</f>
        <v>砍头息</v>
      </c>
      <c r="C7231" s="2" t="s">
        <v>34</v>
      </c>
      <c r="D7231" s="2" t="s">
        <v>10</v>
      </c>
      <c r="E7231" s="2" t="str">
        <f>HYPERLINK("http://ts.21cn.com/tousu/show/id/1338196","http://ts.21cn.com/tousu/show/id/1338196")</f>
        <v>http://ts.21cn.com/tousu/show/id/1338196</v>
      </c>
      <c r="F7231" s="2" t="s">
        <v>11</v>
      </c>
      <c r="G7231" s="2" t="s">
        <v>29931</v>
      </c>
      <c r="H7231" s="2" t="s">
        <v>29932</v>
      </c>
    </row>
    <row r="7232" spans="1:8" ht="25.05" customHeight="1" x14ac:dyDescent="0.25">
      <c r="A7232" s="2" t="s">
        <v>8</v>
      </c>
      <c r="B7232" s="2" t="str">
        <f>HYPERLINK("http://ts.21cn.com/tousu/show/id/1338195","欠款第一天在当事人同意还款情况下骚扰我爸妈和朋友")</f>
        <v>欠款第一天在当事人同意还款情况下骚扰我爸妈和朋友</v>
      </c>
      <c r="C7232" s="2" t="s">
        <v>9</v>
      </c>
      <c r="D7232" s="2" t="s">
        <v>10</v>
      </c>
      <c r="E7232" s="2" t="str">
        <f>HYPERLINK("http://ts.21cn.com/tousu/show/id/1338195","http://ts.21cn.com/tousu/show/id/1338195")</f>
        <v>http://ts.21cn.com/tousu/show/id/1338195</v>
      </c>
      <c r="F7232" s="2" t="s">
        <v>11</v>
      </c>
      <c r="G7232" s="2" t="s">
        <v>29931</v>
      </c>
      <c r="H7232" s="2" t="s">
        <v>29933</v>
      </c>
    </row>
    <row r="7233" spans="1:8" ht="25.05" customHeight="1" x14ac:dyDescent="0.25">
      <c r="A7233" s="2" t="s">
        <v>8</v>
      </c>
      <c r="B7233" s="2" t="str">
        <f>HYPERLINK("http://ts.21cn.com/tousu/show/id/1338200","催收，恐吓，高利贷")</f>
        <v>催收，恐吓，高利贷</v>
      </c>
      <c r="C7233" s="2" t="s">
        <v>9</v>
      </c>
      <c r="D7233" s="2" t="s">
        <v>10</v>
      </c>
      <c r="E7233" s="2" t="str">
        <f>HYPERLINK("http://ts.21cn.com/tousu/show/id/1338200","http://ts.21cn.com/tousu/show/id/1338200")</f>
        <v>http://ts.21cn.com/tousu/show/id/1338200</v>
      </c>
      <c r="F7233" s="2" t="s">
        <v>11</v>
      </c>
      <c r="G7233" s="2" t="s">
        <v>29929</v>
      </c>
      <c r="H7233" s="2" t="s">
        <v>29930</v>
      </c>
    </row>
    <row r="7234" spans="1:8" ht="25.05" customHeight="1" x14ac:dyDescent="0.25">
      <c r="A7234" s="2" t="s">
        <v>8</v>
      </c>
      <c r="B7234" s="2" t="str">
        <f>HYPERLINK("http://ts.21cn.com/tousu/show/id/1338149","通联沪快联合聚福钱包扣取银行卡金额")</f>
        <v>通联沪快联合聚福钱包扣取银行卡金额</v>
      </c>
      <c r="C7234" s="2" t="s">
        <v>9</v>
      </c>
      <c r="D7234" s="2" t="s">
        <v>10</v>
      </c>
      <c r="E7234" s="2" t="str">
        <f>HYPERLINK("http://ts.21cn.com/tousu/show/id/1338149","http://ts.21cn.com/tousu/show/id/1338149")</f>
        <v>http://ts.21cn.com/tousu/show/id/1338149</v>
      </c>
      <c r="F7234" s="2" t="s">
        <v>11</v>
      </c>
      <c r="G7234" s="2" t="s">
        <v>29927</v>
      </c>
      <c r="H7234" s="2" t="s">
        <v>29928</v>
      </c>
    </row>
    <row r="7235" spans="1:8" ht="25.05" customHeight="1" x14ac:dyDescent="0.25">
      <c r="A7235" s="2" t="s">
        <v>8</v>
      </c>
      <c r="B7235" s="2" t="str">
        <f>HYPERLINK("http://ts.21cn.com/tousu/show/id/1338199","及贷催收辱骂我")</f>
        <v>及贷催收辱骂我</v>
      </c>
      <c r="C7235" s="2" t="s">
        <v>9</v>
      </c>
      <c r="D7235" s="2" t="s">
        <v>10</v>
      </c>
      <c r="E7235" s="2" t="str">
        <f>HYPERLINK("http://ts.21cn.com/tousu/show/id/1338199","http://ts.21cn.com/tousu/show/id/1338199")</f>
        <v>http://ts.21cn.com/tousu/show/id/1338199</v>
      </c>
      <c r="F7235" s="2" t="s">
        <v>11</v>
      </c>
      <c r="G7235" s="2" t="s">
        <v>29925</v>
      </c>
      <c r="H7235" s="2" t="s">
        <v>29926</v>
      </c>
    </row>
    <row r="7236" spans="1:8" ht="25.05" customHeight="1" x14ac:dyDescent="0.25">
      <c r="A7236" s="2" t="s">
        <v>8</v>
      </c>
      <c r="B7236" s="2" t="str">
        <f>HYPERLINK("http://ts.21cn.com/tousu/show/id/1338201","腾讯业务充值充值错业务，腾讯公司拒绝纠正")</f>
        <v>腾讯业务充值充值错业务，腾讯公司拒绝纠正</v>
      </c>
      <c r="C7236" s="2" t="s">
        <v>9</v>
      </c>
      <c r="D7236" s="2" t="s">
        <v>10</v>
      </c>
      <c r="E7236" s="2" t="str">
        <f>HYPERLINK("http://ts.21cn.com/tousu/show/id/1338201","http://ts.21cn.com/tousu/show/id/1338201")</f>
        <v>http://ts.21cn.com/tousu/show/id/1338201</v>
      </c>
      <c r="F7236" s="2" t="s">
        <v>11</v>
      </c>
      <c r="G7236" s="2" t="s">
        <v>29923</v>
      </c>
      <c r="H7236" s="2" t="s">
        <v>29924</v>
      </c>
    </row>
    <row r="7237" spans="1:8" ht="25.05" customHeight="1" x14ac:dyDescent="0.25">
      <c r="A7237" s="2" t="s">
        <v>8</v>
      </c>
      <c r="B7237" s="2" t="str">
        <f>HYPERLINK("http://ts.21cn.com/tousu/show/id/1338202","打完欠条后不给钱要求给300消条费")</f>
        <v>打完欠条后不给钱要求给300消条费</v>
      </c>
      <c r="C7237" s="2" t="s">
        <v>9</v>
      </c>
      <c r="D7237" s="2" t="s">
        <v>10</v>
      </c>
      <c r="E7237" s="2" t="str">
        <f>HYPERLINK("http://ts.21cn.com/tousu/show/id/1338202","http://ts.21cn.com/tousu/show/id/1338202")</f>
        <v>http://ts.21cn.com/tousu/show/id/1338202</v>
      </c>
      <c r="F7237" s="2" t="s">
        <v>11</v>
      </c>
      <c r="G7237" s="2" t="s">
        <v>29921</v>
      </c>
      <c r="H7237" s="2" t="s">
        <v>29922</v>
      </c>
    </row>
    <row r="7238" spans="1:8" ht="25.05" customHeight="1" x14ac:dyDescent="0.25">
      <c r="A7238" s="2" t="s">
        <v>8</v>
      </c>
      <c r="B7238" s="2" t="str">
        <f>HYPERLINK("http://ts.21cn.com/tousu/show/id/1338203","滴滴出行，你们的做法真的难以让人接受！")</f>
        <v>滴滴出行，你们的做法真的难以让人接受！</v>
      </c>
      <c r="C7238" s="2" t="s">
        <v>34</v>
      </c>
      <c r="D7238" s="2" t="s">
        <v>10</v>
      </c>
      <c r="E7238" s="2" t="str">
        <f>HYPERLINK("http://ts.21cn.com/tousu/show/id/1338203","http://ts.21cn.com/tousu/show/id/1338203")</f>
        <v>http://ts.21cn.com/tousu/show/id/1338203</v>
      </c>
      <c r="F7238" s="2" t="s">
        <v>11</v>
      </c>
      <c r="G7238" s="2" t="s">
        <v>29919</v>
      </c>
      <c r="H7238" s="2" t="s">
        <v>29920</v>
      </c>
    </row>
    <row r="7239" spans="1:8" ht="25.05" customHeight="1" x14ac:dyDescent="0.25">
      <c r="A7239" s="2" t="s">
        <v>8</v>
      </c>
      <c r="B7239" s="2" t="str">
        <f>HYPERLINK("http://ts.21cn.com/tousu/show/id/1338204","利息高，暴力催收，骚扰电话")</f>
        <v>利息高，暴力催收，骚扰电话</v>
      </c>
      <c r="C7239" s="2" t="s">
        <v>9</v>
      </c>
      <c r="D7239" s="2" t="s">
        <v>10</v>
      </c>
      <c r="E7239" s="2" t="str">
        <f>HYPERLINK("http://ts.21cn.com/tousu/show/id/1338204","http://ts.21cn.com/tousu/show/id/1338204")</f>
        <v>http://ts.21cn.com/tousu/show/id/1338204</v>
      </c>
      <c r="F7239" s="2" t="s">
        <v>11</v>
      </c>
      <c r="G7239" s="2" t="s">
        <v>29917</v>
      </c>
      <c r="H7239" s="2" t="s">
        <v>29918</v>
      </c>
    </row>
    <row r="7240" spans="1:8" ht="25.05" customHeight="1" x14ac:dyDescent="0.25">
      <c r="A7240" s="2" t="s">
        <v>8</v>
      </c>
      <c r="B7240" s="2" t="str">
        <f>HYPERLINK("http://ts.21cn.com/tousu/show/id/1338205","钱站app无法登陆人工客服不通导致逾期")</f>
        <v>钱站app无法登陆人工客服不通导致逾期</v>
      </c>
      <c r="C7240" s="2" t="s">
        <v>9</v>
      </c>
      <c r="D7240" s="2" t="s">
        <v>10</v>
      </c>
      <c r="E7240" s="2" t="str">
        <f>HYPERLINK("http://ts.21cn.com/tousu/show/id/1338205","http://ts.21cn.com/tousu/show/id/1338205")</f>
        <v>http://ts.21cn.com/tousu/show/id/1338205</v>
      </c>
      <c r="F7240" s="2" t="s">
        <v>11</v>
      </c>
      <c r="G7240" s="2" t="s">
        <v>29915</v>
      </c>
      <c r="H7240" s="2" t="s">
        <v>29916</v>
      </c>
    </row>
    <row r="7241" spans="1:8" ht="25.05" customHeight="1" x14ac:dyDescent="0.25">
      <c r="A7241" s="2" t="s">
        <v>8</v>
      </c>
      <c r="B7241" s="2" t="str">
        <f>HYPERLINK("http://ts.21cn.com/tousu/show/id/1338207","升学教育机构不退款")</f>
        <v>升学教育机构不退款</v>
      </c>
      <c r="C7241" s="2" t="s">
        <v>9</v>
      </c>
      <c r="D7241" s="2" t="s">
        <v>10</v>
      </c>
      <c r="E7241" s="2" t="str">
        <f>HYPERLINK("http://ts.21cn.com/tousu/show/id/1338207","http://ts.21cn.com/tousu/show/id/1338207")</f>
        <v>http://ts.21cn.com/tousu/show/id/1338207</v>
      </c>
      <c r="F7241" s="2" t="s">
        <v>11</v>
      </c>
      <c r="G7241" s="2" t="s">
        <v>29913</v>
      </c>
      <c r="H7241" s="2" t="s">
        <v>29914</v>
      </c>
    </row>
    <row r="7242" spans="1:8" ht="25.05" customHeight="1" x14ac:dyDescent="0.25">
      <c r="A7242" s="2" t="s">
        <v>8</v>
      </c>
      <c r="B7242" s="2" t="str">
        <f>HYPERLINK("http://ts.21cn.com/tousu/show/id/1338208","浦发不停骚扰")</f>
        <v>浦发不停骚扰</v>
      </c>
      <c r="C7242" s="2" t="s">
        <v>9</v>
      </c>
      <c r="D7242" s="2" t="s">
        <v>10</v>
      </c>
      <c r="E7242" s="2" t="str">
        <f>HYPERLINK("http://ts.21cn.com/tousu/show/id/1338208","http://ts.21cn.com/tousu/show/id/1338208")</f>
        <v>http://ts.21cn.com/tousu/show/id/1338208</v>
      </c>
      <c r="F7242" s="2" t="s">
        <v>11</v>
      </c>
      <c r="G7242" s="2" t="s">
        <v>29911</v>
      </c>
      <c r="H7242" s="2" t="s">
        <v>29912</v>
      </c>
    </row>
    <row r="7243" spans="1:8" ht="25.05" customHeight="1" x14ac:dyDescent="0.25">
      <c r="A7243" s="2" t="s">
        <v>8</v>
      </c>
      <c r="B7243" s="2" t="str">
        <f>HYPERLINK("http://ts.21cn.com/tousu/show/id/1338008","收取了工本费又要求购买四千的保险")</f>
        <v>收取了工本费又要求购买四千的保险</v>
      </c>
      <c r="C7243" s="2" t="s">
        <v>34</v>
      </c>
      <c r="D7243" s="2" t="s">
        <v>10</v>
      </c>
      <c r="E7243" s="2" t="str">
        <f>HYPERLINK("http://ts.21cn.com/tousu/show/id/1338008","http://ts.21cn.com/tousu/show/id/1338008")</f>
        <v>http://ts.21cn.com/tousu/show/id/1338008</v>
      </c>
      <c r="F7243" s="2" t="s">
        <v>11</v>
      </c>
      <c r="G7243" s="2" t="s">
        <v>29909</v>
      </c>
      <c r="H7243" s="2" t="s">
        <v>29910</v>
      </c>
    </row>
    <row r="7244" spans="1:8" ht="25.05" customHeight="1" x14ac:dyDescent="0.25">
      <c r="A7244" s="2" t="s">
        <v>8</v>
      </c>
      <c r="B7244" s="2" t="str">
        <f>HYPERLINK("http://ts.21cn.com/tousu/show/id/1338209","暴力催收，利息高，现在已经无力偿还，希望协商解决")</f>
        <v>暴力催收，利息高，现在已经无力偿还，希望协商解决</v>
      </c>
      <c r="C7244" s="2" t="s">
        <v>9</v>
      </c>
      <c r="D7244" s="2" t="s">
        <v>10</v>
      </c>
      <c r="E7244" s="2" t="str">
        <f>HYPERLINK("http://ts.21cn.com/tousu/show/id/1338209","http://ts.21cn.com/tousu/show/id/1338209")</f>
        <v>http://ts.21cn.com/tousu/show/id/1338209</v>
      </c>
      <c r="F7244" s="2" t="s">
        <v>11</v>
      </c>
      <c r="G7244" s="2" t="s">
        <v>29907</v>
      </c>
      <c r="H7244" s="2" t="s">
        <v>29908</v>
      </c>
    </row>
    <row r="7245" spans="1:8" ht="25.05" customHeight="1" x14ac:dyDescent="0.25">
      <c r="A7245" s="2" t="s">
        <v>8</v>
      </c>
      <c r="B7245" s="2" t="str">
        <f>HYPERLINK("http://ts.21cn.com/tousu/show/id/1338078","钱站高利贷，暴力催收骚扰，审核不严格，扰乱金融市场秩序协商客服说话颠三倒四")</f>
        <v>钱站高利贷，暴力催收骚扰，审核不严格，扰乱金融市场秩序协商客服说话颠三倒四</v>
      </c>
      <c r="C7245" s="2" t="s">
        <v>9</v>
      </c>
      <c r="D7245" s="2" t="s">
        <v>10</v>
      </c>
      <c r="E7245" s="2" t="str">
        <f>HYPERLINK("http://ts.21cn.com/tousu/show/id/1338078","http://ts.21cn.com/tousu/show/id/1338078")</f>
        <v>http://ts.21cn.com/tousu/show/id/1338078</v>
      </c>
      <c r="F7245" s="2" t="s">
        <v>11</v>
      </c>
      <c r="G7245" s="2" t="s">
        <v>29905</v>
      </c>
      <c r="H7245" s="2" t="s">
        <v>29906</v>
      </c>
    </row>
    <row r="7246" spans="1:8" ht="25.05" customHeight="1" x14ac:dyDescent="0.25">
      <c r="A7246" s="2" t="s">
        <v>8</v>
      </c>
      <c r="B7246" s="2" t="str">
        <f>HYPERLINK("http://ts.21cn.com/tousu/show/id/1338211","元宝宝高利贷砍头息，拒不协商")</f>
        <v>元宝宝高利贷砍头息，拒不协商</v>
      </c>
      <c r="C7246" s="2" t="s">
        <v>9</v>
      </c>
      <c r="D7246" s="2" t="s">
        <v>10</v>
      </c>
      <c r="E7246" s="2" t="str">
        <f>HYPERLINK("http://ts.21cn.com/tousu/show/id/1338211","http://ts.21cn.com/tousu/show/id/1338211")</f>
        <v>http://ts.21cn.com/tousu/show/id/1338211</v>
      </c>
      <c r="F7246" s="2" t="s">
        <v>11</v>
      </c>
      <c r="G7246" s="2" t="s">
        <v>29903</v>
      </c>
      <c r="H7246" s="2" t="s">
        <v>29904</v>
      </c>
    </row>
    <row r="7247" spans="1:8" ht="25.05" customHeight="1" x14ac:dyDescent="0.25">
      <c r="A7247" s="2" t="s">
        <v>8</v>
      </c>
      <c r="B7247" s="2" t="str">
        <f>HYPERLINK("http://ts.21cn.com/tousu/show/id/1338210","停止骚扰协商处理")</f>
        <v>停止骚扰协商处理</v>
      </c>
      <c r="C7247" s="2" t="s">
        <v>9</v>
      </c>
      <c r="D7247" s="2" t="s">
        <v>10</v>
      </c>
      <c r="E7247" s="2" t="str">
        <f>HYPERLINK("http://ts.21cn.com/tousu/show/id/1338210","http://ts.21cn.com/tousu/show/id/1338210")</f>
        <v>http://ts.21cn.com/tousu/show/id/1338210</v>
      </c>
      <c r="F7247" s="2" t="s">
        <v>11</v>
      </c>
      <c r="G7247" s="2" t="s">
        <v>29901</v>
      </c>
      <c r="H7247" s="2" t="s">
        <v>29902</v>
      </c>
    </row>
    <row r="7248" spans="1:8" ht="25.05" customHeight="1" x14ac:dyDescent="0.25">
      <c r="A7248" s="2" t="s">
        <v>8</v>
      </c>
      <c r="B7248" s="2" t="str">
        <f>HYPERLINK("http://ts.21cn.com/tousu/show/id/1338213","一个电话没接到就骚扰我家人和亲友，")</f>
        <v>一个电话没接到就骚扰我家人和亲友，</v>
      </c>
      <c r="C7248" s="2" t="s">
        <v>9</v>
      </c>
      <c r="D7248" s="2" t="s">
        <v>10</v>
      </c>
      <c r="E7248" s="2" t="str">
        <f>HYPERLINK("http://ts.21cn.com/tousu/show/id/1338213","http://ts.21cn.com/tousu/show/id/1338213")</f>
        <v>http://ts.21cn.com/tousu/show/id/1338213</v>
      </c>
      <c r="F7248" s="2" t="s">
        <v>11</v>
      </c>
      <c r="G7248" s="2" t="s">
        <v>29899</v>
      </c>
      <c r="H7248" s="2" t="s">
        <v>29900</v>
      </c>
    </row>
    <row r="7249" spans="1:8" ht="25.05" customHeight="1" x14ac:dyDescent="0.25">
      <c r="A7249" s="2" t="s">
        <v>8</v>
      </c>
      <c r="B7249" s="2" t="str">
        <f>HYPERLINK("http://ts.21cn.com/tousu/show/id/1338212","喜鹊快贷，未逾期暴力催收，威胁，恐吓。")</f>
        <v>喜鹊快贷，未逾期暴力催收，威胁，恐吓。</v>
      </c>
      <c r="C7249" s="2" t="s">
        <v>9</v>
      </c>
      <c r="D7249" s="2" t="s">
        <v>10</v>
      </c>
      <c r="E7249" s="2" t="str">
        <f>HYPERLINK("http://ts.21cn.com/tousu/show/id/1338212","http://ts.21cn.com/tousu/show/id/1338212")</f>
        <v>http://ts.21cn.com/tousu/show/id/1338212</v>
      </c>
      <c r="F7249" s="2" t="s">
        <v>11</v>
      </c>
      <c r="G7249" s="2" t="s">
        <v>29897</v>
      </c>
      <c r="H7249" s="2" t="s">
        <v>29898</v>
      </c>
    </row>
    <row r="7250" spans="1:8" ht="25.05" customHeight="1" x14ac:dyDescent="0.25">
      <c r="A7250" s="2" t="s">
        <v>8</v>
      </c>
      <c r="B7250" s="2" t="str">
        <f>HYPERLINK("http://ts.21cn.com/tousu/show/id/1338214","账户被恶意扣款")</f>
        <v>账户被恶意扣款</v>
      </c>
      <c r="C7250" s="2" t="s">
        <v>9</v>
      </c>
      <c r="D7250" s="2" t="s">
        <v>10</v>
      </c>
      <c r="E7250" s="2" t="str">
        <f>HYPERLINK("http://ts.21cn.com/tousu/show/id/1338214","http://ts.21cn.com/tousu/show/id/1338214")</f>
        <v>http://ts.21cn.com/tousu/show/id/1338214</v>
      </c>
      <c r="F7250" s="2" t="s">
        <v>11</v>
      </c>
      <c r="G7250" s="2" t="s">
        <v>29895</v>
      </c>
      <c r="H7250" s="2" t="s">
        <v>29896</v>
      </c>
    </row>
    <row r="7251" spans="1:8" ht="25.05" customHeight="1" x14ac:dyDescent="0.25">
      <c r="A7251" s="2" t="s">
        <v>8</v>
      </c>
      <c r="B7251" s="2" t="str">
        <f>HYPERLINK("http://ts.21cn.com/tousu/show/id/1338215","农行卡无故被小富商城扣费1000元")</f>
        <v>农行卡无故被小富商城扣费1000元</v>
      </c>
      <c r="C7251" s="2" t="s">
        <v>9</v>
      </c>
      <c r="D7251" s="2" t="s">
        <v>10</v>
      </c>
      <c r="E7251" s="2" t="str">
        <f>HYPERLINK("http://ts.21cn.com/tousu/show/id/1338215","http://ts.21cn.com/tousu/show/id/1338215")</f>
        <v>http://ts.21cn.com/tousu/show/id/1338215</v>
      </c>
      <c r="F7251" s="2" t="s">
        <v>11</v>
      </c>
      <c r="G7251" s="2" t="s">
        <v>29893</v>
      </c>
      <c r="H7251" s="2" t="s">
        <v>29894</v>
      </c>
    </row>
    <row r="7252" spans="1:8" ht="25.05" customHeight="1" x14ac:dyDescent="0.25">
      <c r="A7252" s="2" t="s">
        <v>8</v>
      </c>
      <c r="B7252" s="2" t="str">
        <f>HYPERLINK("http://ts.21cn.com/tousu/show/id/1338216","小浦优客未经同意扣款")</f>
        <v>小浦优客未经同意扣款</v>
      </c>
      <c r="C7252" s="2" t="s">
        <v>9</v>
      </c>
      <c r="D7252" s="2" t="s">
        <v>10</v>
      </c>
      <c r="E7252" s="2" t="str">
        <f>HYPERLINK("http://ts.21cn.com/tousu/show/id/1338216","http://ts.21cn.com/tousu/show/id/1338216")</f>
        <v>http://ts.21cn.com/tousu/show/id/1338216</v>
      </c>
      <c r="F7252" s="2" t="s">
        <v>11</v>
      </c>
      <c r="G7252" s="2" t="s">
        <v>29892</v>
      </c>
      <c r="H7252" s="2" t="s">
        <v>21832</v>
      </c>
    </row>
    <row r="7253" spans="1:8" ht="25.05" customHeight="1" x14ac:dyDescent="0.25">
      <c r="A7253" s="2" t="s">
        <v>8</v>
      </c>
      <c r="B7253" s="2" t="str">
        <f>HYPERLINK("http://ts.21cn.com/tousu/show/id/1338218","暴力催收打爆通讯录协商没有用")</f>
        <v>暴力催收打爆通讯录协商没有用</v>
      </c>
      <c r="C7253" s="2" t="s">
        <v>9</v>
      </c>
      <c r="D7253" s="2" t="s">
        <v>10</v>
      </c>
      <c r="E7253" s="2" t="str">
        <f>HYPERLINK("http://ts.21cn.com/tousu/show/id/1338218","http://ts.21cn.com/tousu/show/id/1338218")</f>
        <v>http://ts.21cn.com/tousu/show/id/1338218</v>
      </c>
      <c r="F7253" s="2" t="s">
        <v>11</v>
      </c>
      <c r="G7253" s="2" t="s">
        <v>29890</v>
      </c>
      <c r="H7253" s="2" t="s">
        <v>29891</v>
      </c>
    </row>
    <row r="7254" spans="1:8" ht="25.05" customHeight="1" x14ac:dyDescent="0.25">
      <c r="A7254" s="2" t="s">
        <v>8</v>
      </c>
      <c r="B7254" s="2" t="str">
        <f>HYPERLINK("http://ts.21cn.com/tousu/show/id/1338219","停止骚扰")</f>
        <v>停止骚扰</v>
      </c>
      <c r="C7254" s="2" t="s">
        <v>9</v>
      </c>
      <c r="D7254" s="2" t="s">
        <v>10</v>
      </c>
      <c r="E7254" s="2" t="str">
        <f>HYPERLINK("http://ts.21cn.com/tousu/show/id/1338219","http://ts.21cn.com/tousu/show/id/1338219")</f>
        <v>http://ts.21cn.com/tousu/show/id/1338219</v>
      </c>
      <c r="F7254" s="2" t="s">
        <v>11</v>
      </c>
      <c r="G7254" s="2" t="s">
        <v>29888</v>
      </c>
      <c r="H7254" s="2" t="s">
        <v>29889</v>
      </c>
    </row>
    <row r="7255" spans="1:8" ht="25.05" customHeight="1" x14ac:dyDescent="0.25">
      <c r="A7255" s="2" t="s">
        <v>8</v>
      </c>
      <c r="B7255" s="2" t="str">
        <f>HYPERLINK("http://ts.21cn.com/tousu/show/id/1338220","仍在协商，威胁联系通讯录")</f>
        <v>仍在协商，威胁联系通讯录</v>
      </c>
      <c r="C7255" s="2" t="s">
        <v>9</v>
      </c>
      <c r="D7255" s="2" t="s">
        <v>10</v>
      </c>
      <c r="E7255" s="2" t="str">
        <f>HYPERLINK("http://ts.21cn.com/tousu/show/id/1338220","http://ts.21cn.com/tousu/show/id/1338220")</f>
        <v>http://ts.21cn.com/tousu/show/id/1338220</v>
      </c>
      <c r="F7255" s="2" t="s">
        <v>11</v>
      </c>
      <c r="G7255" s="2" t="s">
        <v>29886</v>
      </c>
      <c r="H7255" s="2" t="s">
        <v>29887</v>
      </c>
    </row>
    <row r="7256" spans="1:8" ht="25.05" customHeight="1" x14ac:dyDescent="0.25">
      <c r="A7256" s="2" t="s">
        <v>8</v>
      </c>
      <c r="B7256" s="2" t="str">
        <f>HYPERLINK("http://ts.21cn.com/tousu/show/id/1338206","骚扰、恐吓")</f>
        <v>骚扰、恐吓</v>
      </c>
      <c r="C7256" s="2" t="s">
        <v>9</v>
      </c>
      <c r="D7256" s="2" t="s">
        <v>10</v>
      </c>
      <c r="E7256" s="2" t="str">
        <f>HYPERLINK("http://ts.21cn.com/tousu/show/id/1338206","http://ts.21cn.com/tousu/show/id/1338206")</f>
        <v>http://ts.21cn.com/tousu/show/id/1338206</v>
      </c>
      <c r="F7256" s="2" t="s">
        <v>11</v>
      </c>
      <c r="G7256" s="2" t="s">
        <v>29884</v>
      </c>
      <c r="H7256" s="2" t="s">
        <v>29885</v>
      </c>
    </row>
    <row r="7257" spans="1:8" ht="25.05" customHeight="1" x14ac:dyDescent="0.25">
      <c r="A7257" s="2" t="s">
        <v>8</v>
      </c>
      <c r="B7257" s="2" t="str">
        <f>HYPERLINK("http://ts.21cn.com/tousu/show/id/1338221","我来贷高利贷恶意骚扰")</f>
        <v>我来贷高利贷恶意骚扰</v>
      </c>
      <c r="C7257" s="2" t="s">
        <v>9</v>
      </c>
      <c r="D7257" s="2" t="s">
        <v>10</v>
      </c>
      <c r="E7257" s="2" t="str">
        <f>HYPERLINK("http://ts.21cn.com/tousu/show/id/1338221","http://ts.21cn.com/tousu/show/id/1338221")</f>
        <v>http://ts.21cn.com/tousu/show/id/1338221</v>
      </c>
      <c r="F7257" s="2" t="s">
        <v>11</v>
      </c>
      <c r="G7257" s="2" t="s">
        <v>29882</v>
      </c>
      <c r="H7257" s="2" t="s">
        <v>29883</v>
      </c>
    </row>
    <row r="7258" spans="1:8" ht="25.05" customHeight="1" x14ac:dyDescent="0.25">
      <c r="A7258" s="2" t="s">
        <v>8</v>
      </c>
      <c r="B7258" s="2" t="str">
        <f>HYPERLINK("http://ts.21cn.com/tousu/show/id/1338223","要求杭州乐客网络科技有限公司退款")</f>
        <v>要求杭州乐客网络科技有限公司退款</v>
      </c>
      <c r="C7258" s="2" t="s">
        <v>9</v>
      </c>
      <c r="D7258" s="2" t="s">
        <v>10</v>
      </c>
      <c r="E7258" s="2" t="str">
        <f>HYPERLINK("http://ts.21cn.com/tousu/show/id/1338223","http://ts.21cn.com/tousu/show/id/1338223")</f>
        <v>http://ts.21cn.com/tousu/show/id/1338223</v>
      </c>
      <c r="F7258" s="2" t="s">
        <v>11</v>
      </c>
      <c r="G7258" s="2" t="s">
        <v>29880</v>
      </c>
      <c r="H7258" s="2" t="s">
        <v>29881</v>
      </c>
    </row>
    <row r="7259" spans="1:8" ht="25.05" customHeight="1" x14ac:dyDescent="0.25">
      <c r="A7259" s="2" t="s">
        <v>8</v>
      </c>
      <c r="B7259" s="2" t="str">
        <f>HYPERLINK("http://ts.21cn.com/tousu/show/id/1338222","套路贷")</f>
        <v>套路贷</v>
      </c>
      <c r="C7259" s="2" t="s">
        <v>9</v>
      </c>
      <c r="D7259" s="2" t="s">
        <v>10</v>
      </c>
      <c r="E7259" s="2" t="str">
        <f>HYPERLINK("http://ts.21cn.com/tousu/show/id/1338222","http://ts.21cn.com/tousu/show/id/1338222")</f>
        <v>http://ts.21cn.com/tousu/show/id/1338222</v>
      </c>
      <c r="F7259" s="2" t="s">
        <v>11</v>
      </c>
      <c r="G7259" s="2" t="s">
        <v>29878</v>
      </c>
      <c r="H7259" s="2" t="s">
        <v>29879</v>
      </c>
    </row>
    <row r="7260" spans="1:8" ht="25.05" customHeight="1" x14ac:dyDescent="0.25">
      <c r="A7260" s="2" t="s">
        <v>8</v>
      </c>
      <c r="B7260" s="2" t="str">
        <f>HYPERLINK("http://ts.21cn.com/tousu/show/id/1338225","你我贷暴力催收，服务费不算利息，变相规避高额利息，实际就是高利贷，砍头息")</f>
        <v>你我贷暴力催收，服务费不算利息，变相规避高额利息，实际就是高利贷，砍头息</v>
      </c>
      <c r="C7260" s="2" t="s">
        <v>9</v>
      </c>
      <c r="D7260" s="2" t="s">
        <v>10</v>
      </c>
      <c r="E7260" s="2" t="str">
        <f>HYPERLINK("http://ts.21cn.com/tousu/show/id/1338225","http://ts.21cn.com/tousu/show/id/1338225")</f>
        <v>http://ts.21cn.com/tousu/show/id/1338225</v>
      </c>
      <c r="F7260" s="2" t="s">
        <v>11</v>
      </c>
      <c r="G7260" s="2" t="s">
        <v>29876</v>
      </c>
      <c r="H7260" s="2" t="s">
        <v>29877</v>
      </c>
    </row>
    <row r="7261" spans="1:8" ht="25.05" customHeight="1" x14ac:dyDescent="0.25">
      <c r="A7261" s="2" t="s">
        <v>8</v>
      </c>
      <c r="B7261" s="2" t="str">
        <f>HYPERLINK("http://ts.21cn.com/tousu/show/id/1338226","智行app售违规大巴车票")</f>
        <v>智行app售违规大巴车票</v>
      </c>
      <c r="C7261" s="2" t="s">
        <v>9</v>
      </c>
      <c r="D7261" s="2" t="s">
        <v>10</v>
      </c>
      <c r="E7261" s="2" t="str">
        <f>HYPERLINK("http://ts.21cn.com/tousu/show/id/1338226","http://ts.21cn.com/tousu/show/id/1338226")</f>
        <v>http://ts.21cn.com/tousu/show/id/1338226</v>
      </c>
      <c r="F7261" s="2" t="s">
        <v>11</v>
      </c>
      <c r="G7261" s="2" t="s">
        <v>29874</v>
      </c>
      <c r="H7261" s="2" t="s">
        <v>29875</v>
      </c>
    </row>
    <row r="7262" spans="1:8" ht="25.05" customHeight="1" x14ac:dyDescent="0.25">
      <c r="A7262" s="2" t="s">
        <v>8</v>
      </c>
      <c r="B7262" s="2" t="str">
        <f>HYPERLINK("http://ts.21cn.com/tousu/show/id/1338224","诱导办卡")</f>
        <v>诱导办卡</v>
      </c>
      <c r="C7262" s="2" t="s">
        <v>9</v>
      </c>
      <c r="D7262" s="2" t="s">
        <v>10</v>
      </c>
      <c r="E7262" s="2" t="str">
        <f>HYPERLINK("http://ts.21cn.com/tousu/show/id/1338224","http://ts.21cn.com/tousu/show/id/1338224")</f>
        <v>http://ts.21cn.com/tousu/show/id/1338224</v>
      </c>
      <c r="F7262" s="2" t="s">
        <v>11</v>
      </c>
      <c r="G7262" s="2" t="s">
        <v>29872</v>
      </c>
      <c r="H7262" s="2" t="s">
        <v>29873</v>
      </c>
    </row>
    <row r="7263" spans="1:8" ht="25.05" customHeight="1" x14ac:dyDescent="0.25">
      <c r="A7263" s="2" t="s">
        <v>8</v>
      </c>
      <c r="B7263" s="2" t="str">
        <f>HYPERLINK("http://ts.21cn.com/tousu/show/id/1338228","要求捷信按照国家标准利率收利息")</f>
        <v>要求捷信按照国家标准利率收利息</v>
      </c>
      <c r="C7263" s="2" t="s">
        <v>34</v>
      </c>
      <c r="D7263" s="2" t="s">
        <v>10</v>
      </c>
      <c r="E7263" s="2" t="str">
        <f>HYPERLINK("http://ts.21cn.com/tousu/show/id/1338228","http://ts.21cn.com/tousu/show/id/1338228")</f>
        <v>http://ts.21cn.com/tousu/show/id/1338228</v>
      </c>
      <c r="F7263" s="2" t="s">
        <v>11</v>
      </c>
      <c r="G7263" s="2" t="s">
        <v>29870</v>
      </c>
      <c r="H7263" s="2" t="s">
        <v>29871</v>
      </c>
    </row>
    <row r="7264" spans="1:8" ht="25.05" customHeight="1" x14ac:dyDescent="0.25">
      <c r="A7264" s="2" t="s">
        <v>8</v>
      </c>
      <c r="B7264" s="2" t="str">
        <f>HYPERLINK("http://ts.21cn.com/tousu/show/id/1338229","特约小通商城恶意扣款")</f>
        <v>特约小通商城恶意扣款</v>
      </c>
      <c r="C7264" s="2" t="s">
        <v>9</v>
      </c>
      <c r="D7264" s="2" t="s">
        <v>10</v>
      </c>
      <c r="E7264" s="2" t="str">
        <f>HYPERLINK("http://ts.21cn.com/tousu/show/id/1338229","http://ts.21cn.com/tousu/show/id/1338229")</f>
        <v>http://ts.21cn.com/tousu/show/id/1338229</v>
      </c>
      <c r="F7264" s="2" t="s">
        <v>11</v>
      </c>
      <c r="G7264" s="2" t="s">
        <v>29868</v>
      </c>
      <c r="H7264" s="2" t="s">
        <v>29869</v>
      </c>
    </row>
    <row r="7265" spans="1:8" ht="25.05" customHeight="1" x14ac:dyDescent="0.25">
      <c r="A7265" s="2" t="s">
        <v>8</v>
      </c>
      <c r="B7265" s="2" t="str">
        <f>HYPERLINK("http://ts.21cn.com/tousu/show/id/1338230","拍拍贷暴力催收")</f>
        <v>拍拍贷暴力催收</v>
      </c>
      <c r="C7265" s="2" t="s">
        <v>9</v>
      </c>
      <c r="D7265" s="2" t="s">
        <v>10</v>
      </c>
      <c r="E7265" s="2" t="str">
        <f>HYPERLINK("http://ts.21cn.com/tousu/show/id/1338230","http://ts.21cn.com/tousu/show/id/1338230")</f>
        <v>http://ts.21cn.com/tousu/show/id/1338230</v>
      </c>
      <c r="F7265" s="2" t="s">
        <v>11</v>
      </c>
      <c r="G7265" s="2" t="s">
        <v>29866</v>
      </c>
      <c r="H7265" s="2" t="s">
        <v>29867</v>
      </c>
    </row>
    <row r="7266" spans="1:8" ht="25.05" customHeight="1" x14ac:dyDescent="0.25">
      <c r="A7266" s="2" t="s">
        <v>8</v>
      </c>
      <c r="B7266" s="2" t="str">
        <f>HYPERLINK("http://ts.21cn.com/tousu/show/id/1338231","1500买的鞋一共穿了不到12个小时开胶")</f>
        <v>1500买的鞋一共穿了不到12个小时开胶</v>
      </c>
      <c r="C7266" s="2" t="s">
        <v>9</v>
      </c>
      <c r="D7266" s="2" t="s">
        <v>10</v>
      </c>
      <c r="E7266" s="2" t="str">
        <f>HYPERLINK("http://ts.21cn.com/tousu/show/id/1338231","http://ts.21cn.com/tousu/show/id/1338231")</f>
        <v>http://ts.21cn.com/tousu/show/id/1338231</v>
      </c>
      <c r="F7266" s="2" t="s">
        <v>11</v>
      </c>
      <c r="G7266" s="2" t="s">
        <v>29864</v>
      </c>
      <c r="H7266" s="2" t="s">
        <v>29865</v>
      </c>
    </row>
    <row r="7267" spans="1:8" ht="25.05" customHeight="1" x14ac:dyDescent="0.25">
      <c r="A7267" s="2" t="s">
        <v>8</v>
      </c>
      <c r="B7267" s="2" t="str">
        <f>HYPERLINK("http://ts.21cn.com/tousu/show/id/1338232","砍头息，严重骚扰")</f>
        <v>砍头息，严重骚扰</v>
      </c>
      <c r="C7267" s="2" t="s">
        <v>9</v>
      </c>
      <c r="D7267" s="2" t="s">
        <v>10</v>
      </c>
      <c r="E7267" s="2" t="str">
        <f>HYPERLINK("http://ts.21cn.com/tousu/show/id/1338232","http://ts.21cn.com/tousu/show/id/1338232")</f>
        <v>http://ts.21cn.com/tousu/show/id/1338232</v>
      </c>
      <c r="F7267" s="2" t="s">
        <v>11</v>
      </c>
      <c r="G7267" s="2" t="s">
        <v>29862</v>
      </c>
      <c r="H7267" s="2" t="s">
        <v>29863</v>
      </c>
    </row>
    <row r="7268" spans="1:8" ht="25.05" customHeight="1" x14ac:dyDescent="0.25">
      <c r="A7268" s="2" t="s">
        <v>8</v>
      </c>
      <c r="B7268" s="2" t="str">
        <f>HYPERLINK("http://ts.21cn.com/tousu/show/id/1338234","小浦优客未经同意扣款")</f>
        <v>小浦优客未经同意扣款</v>
      </c>
      <c r="C7268" s="2" t="s">
        <v>9</v>
      </c>
      <c r="D7268" s="2" t="s">
        <v>10</v>
      </c>
      <c r="E7268" s="2" t="str">
        <f>HYPERLINK("http://ts.21cn.com/tousu/show/id/1338234","http://ts.21cn.com/tousu/show/id/1338234")</f>
        <v>http://ts.21cn.com/tousu/show/id/1338234</v>
      </c>
      <c r="F7268" s="2" t="s">
        <v>11</v>
      </c>
      <c r="G7268" s="2" t="s">
        <v>29860</v>
      </c>
      <c r="H7268" s="2" t="s">
        <v>29861</v>
      </c>
    </row>
    <row r="7269" spans="1:8" ht="25.05" customHeight="1" x14ac:dyDescent="0.25">
      <c r="A7269" s="2" t="s">
        <v>8</v>
      </c>
      <c r="B7269" s="2" t="str">
        <f>HYPERLINK("http://ts.21cn.com/tousu/show/id/1338235","利息过高，协商未果")</f>
        <v>利息过高，协商未果</v>
      </c>
      <c r="C7269" s="2" t="s">
        <v>9</v>
      </c>
      <c r="D7269" s="2" t="s">
        <v>10</v>
      </c>
      <c r="E7269" s="2" t="str">
        <f>HYPERLINK("http://ts.21cn.com/tousu/show/id/1338235","http://ts.21cn.com/tousu/show/id/1338235")</f>
        <v>http://ts.21cn.com/tousu/show/id/1338235</v>
      </c>
      <c r="F7269" s="2" t="s">
        <v>11</v>
      </c>
      <c r="G7269" s="2" t="s">
        <v>29858</v>
      </c>
      <c r="H7269" s="2" t="s">
        <v>29859</v>
      </c>
    </row>
    <row r="7270" spans="1:8" ht="25.05" customHeight="1" x14ac:dyDescent="0.25">
      <c r="A7270" s="2" t="s">
        <v>8</v>
      </c>
      <c r="B7270" s="2" t="str">
        <f>HYPERLINK("http://ts.21cn.com/tousu/show/id/1338236","2018年11月14日退押金截止今天仍未退回")</f>
        <v>2018年11月14日退押金截止今天仍未退回</v>
      </c>
      <c r="C7270" s="2" t="s">
        <v>9</v>
      </c>
      <c r="D7270" s="2" t="s">
        <v>10</v>
      </c>
      <c r="E7270" s="2" t="str">
        <f>HYPERLINK("http://ts.21cn.com/tousu/show/id/1338236","http://ts.21cn.com/tousu/show/id/1338236")</f>
        <v>http://ts.21cn.com/tousu/show/id/1338236</v>
      </c>
      <c r="F7270" s="2" t="s">
        <v>11</v>
      </c>
      <c r="G7270" s="2" t="s">
        <v>29856</v>
      </c>
      <c r="H7270" s="2" t="s">
        <v>29857</v>
      </c>
    </row>
    <row r="7271" spans="1:8" ht="25.05" customHeight="1" x14ac:dyDescent="0.25">
      <c r="A7271" s="2" t="s">
        <v>8</v>
      </c>
      <c r="B7271" s="2" t="str">
        <f>HYPERLINK("http://ts.21cn.com/tousu/show/id/1338237","一本万利六天高伞")</f>
        <v>一本万利六天高伞</v>
      </c>
      <c r="C7271" s="2" t="s">
        <v>9</v>
      </c>
      <c r="D7271" s="2" t="s">
        <v>10</v>
      </c>
      <c r="E7271" s="2" t="str">
        <f>HYPERLINK("http://ts.21cn.com/tousu/show/id/1338237","http://ts.21cn.com/tousu/show/id/1338237")</f>
        <v>http://ts.21cn.com/tousu/show/id/1338237</v>
      </c>
      <c r="F7271" s="2" t="s">
        <v>11</v>
      </c>
      <c r="G7271" s="2" t="s">
        <v>29854</v>
      </c>
      <c r="H7271" s="2" t="s">
        <v>29855</v>
      </c>
    </row>
    <row r="7272" spans="1:8" ht="25.05" customHeight="1" x14ac:dyDescent="0.25">
      <c r="A7272" s="2" t="s">
        <v>8</v>
      </c>
      <c r="B7272" s="2" t="str">
        <f>HYPERLINK("http://ts.21cn.com/tousu/show/id/1338238","及贷放款时直接扣除所谓的保费，存在欺诈消费行为")</f>
        <v>及贷放款时直接扣除所谓的保费，存在欺诈消费行为</v>
      </c>
      <c r="C7272" s="2" t="s">
        <v>9</v>
      </c>
      <c r="D7272" s="2" t="s">
        <v>10</v>
      </c>
      <c r="E7272" s="2" t="str">
        <f>HYPERLINK("http://ts.21cn.com/tousu/show/id/1338238","http://ts.21cn.com/tousu/show/id/1338238")</f>
        <v>http://ts.21cn.com/tousu/show/id/1338238</v>
      </c>
      <c r="F7272" s="2" t="s">
        <v>11</v>
      </c>
      <c r="G7272" s="2" t="s">
        <v>29852</v>
      </c>
      <c r="H7272" s="2" t="s">
        <v>29853</v>
      </c>
    </row>
    <row r="7273" spans="1:8" ht="25.05" customHeight="1" x14ac:dyDescent="0.25">
      <c r="A7273" s="2" t="s">
        <v>8</v>
      </c>
      <c r="B7273" s="2" t="str">
        <f>HYPERLINK("http://ts.21cn.com/tousu/show/id/1338239","在不知情情况下扣除会员费")</f>
        <v>在不知情情况下扣除会员费</v>
      </c>
      <c r="C7273" s="2" t="s">
        <v>9</v>
      </c>
      <c r="D7273" s="2" t="s">
        <v>10</v>
      </c>
      <c r="E7273" s="2" t="str">
        <f>HYPERLINK("http://ts.21cn.com/tousu/show/id/1338239","http://ts.21cn.com/tousu/show/id/1338239")</f>
        <v>http://ts.21cn.com/tousu/show/id/1338239</v>
      </c>
      <c r="F7273" s="2" t="s">
        <v>11</v>
      </c>
      <c r="G7273" s="2" t="s">
        <v>29850</v>
      </c>
      <c r="H7273" s="2" t="s">
        <v>29851</v>
      </c>
    </row>
    <row r="7274" spans="1:8" ht="25.05" customHeight="1" x14ac:dyDescent="0.25">
      <c r="A7274" s="2" t="s">
        <v>8</v>
      </c>
      <c r="B7274" s="2" t="str">
        <f>HYPERLINK("http://ts.21cn.com/tousu/show/id/912903","捷信公司骚扰催收")</f>
        <v>捷信公司骚扰催收</v>
      </c>
      <c r="C7274" s="2" t="s">
        <v>9</v>
      </c>
      <c r="D7274" s="2" t="s">
        <v>10</v>
      </c>
      <c r="E7274" s="2" t="str">
        <f>HYPERLINK("http://ts.21cn.com/tousu/show/id/912903","http://ts.21cn.com/tousu/show/id/912903")</f>
        <v>http://ts.21cn.com/tousu/show/id/912903</v>
      </c>
      <c r="F7274" s="2" t="s">
        <v>11</v>
      </c>
      <c r="G7274" s="2" t="s">
        <v>29848</v>
      </c>
      <c r="H7274" s="2" t="s">
        <v>29849</v>
      </c>
    </row>
    <row r="7275" spans="1:8" ht="25.05" customHeight="1" x14ac:dyDescent="0.25">
      <c r="A7275" s="2" t="s">
        <v>8</v>
      </c>
      <c r="B7275" s="2" t="str">
        <f>HYPERLINK("http://ts.21cn.com/tousu/show/id/1338240","苹果笔记本电脑后面一个螺丝松动，就不维修了")</f>
        <v>苹果笔记本电脑后面一个螺丝松动，就不维修了</v>
      </c>
      <c r="C7275" s="2" t="s">
        <v>34</v>
      </c>
      <c r="D7275" s="2" t="s">
        <v>10</v>
      </c>
      <c r="E7275" s="2" t="str">
        <f>HYPERLINK("http://ts.21cn.com/tousu/show/id/1338240","http://ts.21cn.com/tousu/show/id/1338240")</f>
        <v>http://ts.21cn.com/tousu/show/id/1338240</v>
      </c>
      <c r="F7275" s="2" t="s">
        <v>11</v>
      </c>
      <c r="G7275" s="2" t="s">
        <v>29846</v>
      </c>
      <c r="H7275" s="2" t="s">
        <v>29847</v>
      </c>
    </row>
    <row r="7276" spans="1:8" ht="25.05" customHeight="1" x14ac:dyDescent="0.25">
      <c r="A7276" s="2" t="s">
        <v>8</v>
      </c>
      <c r="B7276" s="2" t="str">
        <f>HYPERLINK("http://ts.21cn.com/tousu/show/id/1338243","捷信金融")</f>
        <v>捷信金融</v>
      </c>
      <c r="C7276" s="2" t="s">
        <v>9</v>
      </c>
      <c r="D7276" s="2" t="s">
        <v>10</v>
      </c>
      <c r="E7276" s="2" t="str">
        <f>HYPERLINK("http://ts.21cn.com/tousu/show/id/1338243","http://ts.21cn.com/tousu/show/id/1338243")</f>
        <v>http://ts.21cn.com/tousu/show/id/1338243</v>
      </c>
      <c r="F7276" s="2" t="s">
        <v>11</v>
      </c>
      <c r="G7276" s="2" t="s">
        <v>29844</v>
      </c>
      <c r="H7276" s="2" t="s">
        <v>29845</v>
      </c>
    </row>
    <row r="7277" spans="1:8" ht="25.05" customHeight="1" x14ac:dyDescent="0.25">
      <c r="A7277" s="2" t="s">
        <v>8</v>
      </c>
      <c r="B7277" s="2" t="str">
        <f>HYPERLINK("http://ts.21cn.com/tousu/show/id/1338242","甩手网客服退款傲慢/退款发票问题不处理")</f>
        <v>甩手网客服退款傲慢/退款发票问题不处理</v>
      </c>
      <c r="C7277" s="2" t="s">
        <v>9</v>
      </c>
      <c r="D7277" s="2" t="s">
        <v>10</v>
      </c>
      <c r="E7277" s="2" t="str">
        <f>HYPERLINK("http://ts.21cn.com/tousu/show/id/1338242","http://ts.21cn.com/tousu/show/id/1338242")</f>
        <v>http://ts.21cn.com/tousu/show/id/1338242</v>
      </c>
      <c r="F7277" s="2" t="s">
        <v>11</v>
      </c>
      <c r="G7277" s="2" t="s">
        <v>29842</v>
      </c>
      <c r="H7277" s="2" t="s">
        <v>29843</v>
      </c>
    </row>
    <row r="7278" spans="1:8" ht="25.05" customHeight="1" x14ac:dyDescent="0.25">
      <c r="A7278" s="2" t="s">
        <v>8</v>
      </c>
      <c r="B7278" s="2" t="str">
        <f>HYPERLINK("http://ts.21cn.com/tousu/show/id/1338244","由于本人在我来贷平台上贷款，如今逾期5天，该平台爆通讯录对我身边的人造成骚扰")</f>
        <v>由于本人在我来贷平台上贷款，如今逾期5天，该平台爆通讯录对我身边的人造成骚扰</v>
      </c>
      <c r="C7278" s="2" t="s">
        <v>9</v>
      </c>
      <c r="D7278" s="2" t="s">
        <v>10</v>
      </c>
      <c r="E7278" s="2" t="str">
        <f>HYPERLINK("http://ts.21cn.com/tousu/show/id/1338244","http://ts.21cn.com/tousu/show/id/1338244")</f>
        <v>http://ts.21cn.com/tousu/show/id/1338244</v>
      </c>
      <c r="F7278" s="2" t="s">
        <v>11</v>
      </c>
      <c r="G7278" s="2" t="s">
        <v>29840</v>
      </c>
      <c r="H7278" s="2" t="s">
        <v>29841</v>
      </c>
    </row>
    <row r="7279" spans="1:8" ht="25.05" customHeight="1" x14ac:dyDescent="0.25">
      <c r="A7279" s="2" t="s">
        <v>8</v>
      </c>
      <c r="B7279" s="2" t="str">
        <f>HYPERLINK("http://ts.21cn.com/tousu/show/id/1338245","招联金融暴力催收")</f>
        <v>招联金融暴力催收</v>
      </c>
      <c r="C7279" s="2" t="s">
        <v>9</v>
      </c>
      <c r="D7279" s="2" t="s">
        <v>10</v>
      </c>
      <c r="E7279" s="2" t="str">
        <f>HYPERLINK("http://ts.21cn.com/tousu/show/id/1338245","http://ts.21cn.com/tousu/show/id/1338245")</f>
        <v>http://ts.21cn.com/tousu/show/id/1338245</v>
      </c>
      <c r="F7279" s="2" t="s">
        <v>11</v>
      </c>
      <c r="G7279" s="2" t="s">
        <v>29838</v>
      </c>
      <c r="H7279" s="2" t="s">
        <v>29839</v>
      </c>
    </row>
    <row r="7280" spans="1:8" ht="25.05" customHeight="1" x14ac:dyDescent="0.25">
      <c r="A7280" s="2" t="s">
        <v>8</v>
      </c>
      <c r="B7280" s="2" t="str">
        <f>HYPERLINK("http://ts.21cn.com/tousu/show/id/1338246","贷上钱")</f>
        <v>贷上钱</v>
      </c>
      <c r="C7280" s="2" t="s">
        <v>9</v>
      </c>
      <c r="D7280" s="2" t="s">
        <v>10</v>
      </c>
      <c r="E7280" s="2" t="str">
        <f>HYPERLINK("http://ts.21cn.com/tousu/show/id/1338246","http://ts.21cn.com/tousu/show/id/1338246")</f>
        <v>http://ts.21cn.com/tousu/show/id/1338246</v>
      </c>
      <c r="F7280" s="2" t="s">
        <v>11</v>
      </c>
      <c r="G7280" s="2" t="s">
        <v>29836</v>
      </c>
      <c r="H7280" s="2" t="s">
        <v>29837</v>
      </c>
    </row>
    <row r="7281" spans="1:8" ht="25.05" customHeight="1" x14ac:dyDescent="0.25">
      <c r="A7281" s="2" t="s">
        <v>8</v>
      </c>
      <c r="B7281" s="2" t="str">
        <f>HYPERLINK("http://ts.21cn.com/tousu/show/id/1338247","阴阳合同，高利贷砍头息。")</f>
        <v>阴阳合同，高利贷砍头息。</v>
      </c>
      <c r="C7281" s="2" t="s">
        <v>9</v>
      </c>
      <c r="D7281" s="2" t="s">
        <v>10</v>
      </c>
      <c r="E7281" s="2" t="str">
        <f>HYPERLINK("http://ts.21cn.com/tousu/show/id/1338247","http://ts.21cn.com/tousu/show/id/1338247")</f>
        <v>http://ts.21cn.com/tousu/show/id/1338247</v>
      </c>
      <c r="F7281" s="2" t="s">
        <v>11</v>
      </c>
      <c r="G7281" s="2" t="s">
        <v>29834</v>
      </c>
      <c r="H7281" s="2" t="s">
        <v>29835</v>
      </c>
    </row>
    <row r="7282" spans="1:8" ht="25.05" customHeight="1" x14ac:dyDescent="0.25">
      <c r="A7282" s="2" t="s">
        <v>8</v>
      </c>
      <c r="B7282" s="2" t="str">
        <f>HYPERLINK("http://ts.21cn.com/tousu/show/id/1338250","玖富超能小蓝卡恶意逾期")</f>
        <v>玖富超能小蓝卡恶意逾期</v>
      </c>
      <c r="C7282" s="2" t="s">
        <v>34</v>
      </c>
      <c r="D7282" s="2" t="s">
        <v>10</v>
      </c>
      <c r="E7282" s="2" t="str">
        <f>HYPERLINK("http://ts.21cn.com/tousu/show/id/1338250","http://ts.21cn.com/tousu/show/id/1338250")</f>
        <v>http://ts.21cn.com/tousu/show/id/1338250</v>
      </c>
      <c r="F7282" s="2" t="s">
        <v>11</v>
      </c>
      <c r="G7282" s="2" t="s">
        <v>29832</v>
      </c>
      <c r="H7282" s="2" t="s">
        <v>29833</v>
      </c>
    </row>
    <row r="7283" spans="1:8" ht="25.05" customHeight="1" x14ac:dyDescent="0.25">
      <c r="A7283" s="2" t="s">
        <v>8</v>
      </c>
      <c r="B7283" s="2" t="str">
        <f>HYPERLINK("http://ts.21cn.com/tousu/show/id/1338248","福州联通手机号骚扰骂人")</f>
        <v>福州联通手机号骚扰骂人</v>
      </c>
      <c r="C7283" s="2" t="s">
        <v>9</v>
      </c>
      <c r="D7283" s="2" t="s">
        <v>10</v>
      </c>
      <c r="E7283" s="2" t="str">
        <f>HYPERLINK("http://ts.21cn.com/tousu/show/id/1338248","http://ts.21cn.com/tousu/show/id/1338248")</f>
        <v>http://ts.21cn.com/tousu/show/id/1338248</v>
      </c>
      <c r="F7283" s="2" t="s">
        <v>11</v>
      </c>
      <c r="G7283" s="2" t="s">
        <v>29830</v>
      </c>
      <c r="H7283" s="2" t="s">
        <v>29831</v>
      </c>
    </row>
    <row r="7284" spans="1:8" ht="25.05" customHeight="1" x14ac:dyDescent="0.25">
      <c r="A7284" s="2" t="s">
        <v>8</v>
      </c>
      <c r="B7284" s="2" t="str">
        <f>HYPERLINK("http://ts.21cn.com/tousu/show/id/1338251","贷上钱以买游戏豆为由收取高额贷款通过费")</f>
        <v>贷上钱以买游戏豆为由收取高额贷款通过费</v>
      </c>
      <c r="C7284" s="2" t="s">
        <v>9</v>
      </c>
      <c r="D7284" s="2" t="s">
        <v>10</v>
      </c>
      <c r="E7284" s="2" t="str">
        <f>HYPERLINK("http://ts.21cn.com/tousu/show/id/1338251","http://ts.21cn.com/tousu/show/id/1338251")</f>
        <v>http://ts.21cn.com/tousu/show/id/1338251</v>
      </c>
      <c r="F7284" s="2" t="s">
        <v>11</v>
      </c>
      <c r="G7284" s="2" t="s">
        <v>29829</v>
      </c>
      <c r="H7284" s="2" t="s">
        <v>29775</v>
      </c>
    </row>
    <row r="7285" spans="1:8" ht="25.05" customHeight="1" x14ac:dyDescent="0.25">
      <c r="A7285" s="2" t="s">
        <v>8</v>
      </c>
      <c r="B7285" s="2" t="str">
        <f>HYPERLINK("http://ts.21cn.com/tousu/show/id/1338241","和信快上车套路太深")</f>
        <v>和信快上车套路太深</v>
      </c>
      <c r="C7285" s="2" t="s">
        <v>9</v>
      </c>
      <c r="D7285" s="2" t="s">
        <v>10</v>
      </c>
      <c r="E7285" s="2" t="str">
        <f>HYPERLINK("http://ts.21cn.com/tousu/show/id/1338241","http://ts.21cn.com/tousu/show/id/1338241")</f>
        <v>http://ts.21cn.com/tousu/show/id/1338241</v>
      </c>
      <c r="F7285" s="2" t="s">
        <v>11</v>
      </c>
      <c r="G7285" s="2" t="s">
        <v>29827</v>
      </c>
      <c r="H7285" s="2" t="s">
        <v>29828</v>
      </c>
    </row>
    <row r="7286" spans="1:8" ht="25.05" customHeight="1" x14ac:dyDescent="0.25">
      <c r="A7286" s="2" t="s">
        <v>8</v>
      </c>
      <c r="B7286" s="2" t="str">
        <f>HYPERLINK("http://ts.21cn.com/tousu/show/id/1338252","手机借钱多宝分期高利贷，App还款不上，没逾期催收，要求归还本金和国家合法利息，从此销户。不与纠缠")</f>
        <v>手机借钱多宝分期高利贷，App还款不上，没逾期催收，要求归还本金和国家合法利息，从此销户。不与纠缠</v>
      </c>
      <c r="C7286" s="2" t="s">
        <v>9</v>
      </c>
      <c r="D7286" s="2" t="s">
        <v>10</v>
      </c>
      <c r="E7286" s="2" t="str">
        <f>HYPERLINK("http://ts.21cn.com/tousu/show/id/1338252","http://ts.21cn.com/tousu/show/id/1338252")</f>
        <v>http://ts.21cn.com/tousu/show/id/1338252</v>
      </c>
      <c r="F7286" s="2" t="s">
        <v>11</v>
      </c>
      <c r="G7286" s="2" t="s">
        <v>29825</v>
      </c>
      <c r="H7286" s="2" t="s">
        <v>29826</v>
      </c>
    </row>
    <row r="7287" spans="1:8" ht="25.05" customHeight="1" x14ac:dyDescent="0.25">
      <c r="A7287" s="2" t="s">
        <v>8</v>
      </c>
      <c r="B7287" s="2" t="str">
        <f>HYPERLINK("http://ts.21cn.com/tousu/show/id/1338253","淘宝小二偏袒掉包买家，退回来的衣服不是我家的也给买家退款")</f>
        <v>淘宝小二偏袒掉包买家，退回来的衣服不是我家的也给买家退款</v>
      </c>
      <c r="C7287" s="2" t="s">
        <v>9</v>
      </c>
      <c r="D7287" s="2" t="s">
        <v>10</v>
      </c>
      <c r="E7287" s="2" t="str">
        <f>HYPERLINK("http://ts.21cn.com/tousu/show/id/1338253","http://ts.21cn.com/tousu/show/id/1338253")</f>
        <v>http://ts.21cn.com/tousu/show/id/1338253</v>
      </c>
      <c r="F7287" s="2" t="s">
        <v>11</v>
      </c>
      <c r="G7287" s="2" t="s">
        <v>29823</v>
      </c>
      <c r="H7287" s="2" t="s">
        <v>29824</v>
      </c>
    </row>
    <row r="7288" spans="1:8" ht="25.05" customHeight="1" x14ac:dyDescent="0.25">
      <c r="A7288" s="2" t="s">
        <v>8</v>
      </c>
      <c r="B7288" s="2" t="str">
        <f>HYPERLINK("http://ts.21cn.com/tousu/show/id/1338255","招商银行恐吓威胁骚扰家人")</f>
        <v>招商银行恐吓威胁骚扰家人</v>
      </c>
      <c r="C7288" s="2" t="s">
        <v>9</v>
      </c>
      <c r="D7288" s="2" t="s">
        <v>10</v>
      </c>
      <c r="E7288" s="2" t="str">
        <f>HYPERLINK("http://ts.21cn.com/tousu/show/id/1338255","http://ts.21cn.com/tousu/show/id/1338255")</f>
        <v>http://ts.21cn.com/tousu/show/id/1338255</v>
      </c>
      <c r="F7288" s="2" t="s">
        <v>11</v>
      </c>
      <c r="G7288" s="2" t="s">
        <v>29821</v>
      </c>
      <c r="H7288" s="2" t="s">
        <v>29822</v>
      </c>
    </row>
    <row r="7289" spans="1:8" ht="25.05" customHeight="1" x14ac:dyDescent="0.25">
      <c r="A7289" s="2" t="s">
        <v>8</v>
      </c>
      <c r="B7289" s="2" t="str">
        <f>HYPERLINK("http://ts.21cn.com/tousu/show/id/1338259","贷上钱以买游戏豆为由收取高额贷款通过费")</f>
        <v>贷上钱以买游戏豆为由收取高额贷款通过费</v>
      </c>
      <c r="C7289" s="2" t="s">
        <v>9</v>
      </c>
      <c r="D7289" s="2" t="s">
        <v>10</v>
      </c>
      <c r="E7289" s="2" t="str">
        <f>HYPERLINK("http://ts.21cn.com/tousu/show/id/1338259","http://ts.21cn.com/tousu/show/id/1338259")</f>
        <v>http://ts.21cn.com/tousu/show/id/1338259</v>
      </c>
      <c r="F7289" s="2" t="s">
        <v>11</v>
      </c>
      <c r="G7289" s="2" t="s">
        <v>29819</v>
      </c>
      <c r="H7289" s="2" t="s">
        <v>29820</v>
      </c>
    </row>
    <row r="7290" spans="1:8" ht="25.05" customHeight="1" x14ac:dyDescent="0.25">
      <c r="A7290" s="2" t="s">
        <v>8</v>
      </c>
      <c r="B7290" s="2" t="str">
        <f>HYPERLINK("http://ts.21cn.com/tousu/show/id/1338256","多次爆通讯录，已不欠款，还威胁本人")</f>
        <v>多次爆通讯录，已不欠款，还威胁本人</v>
      </c>
      <c r="C7290" s="2" t="s">
        <v>9</v>
      </c>
      <c r="D7290" s="2" t="s">
        <v>10</v>
      </c>
      <c r="E7290" s="2" t="str">
        <f>HYPERLINK("http://ts.21cn.com/tousu/show/id/1338256","http://ts.21cn.com/tousu/show/id/1338256")</f>
        <v>http://ts.21cn.com/tousu/show/id/1338256</v>
      </c>
      <c r="F7290" s="2" t="s">
        <v>11</v>
      </c>
      <c r="G7290" s="2" t="s">
        <v>29817</v>
      </c>
      <c r="H7290" s="2" t="s">
        <v>29818</v>
      </c>
    </row>
    <row r="7291" spans="1:8" ht="25.05" customHeight="1" x14ac:dyDescent="0.25">
      <c r="A7291" s="2" t="s">
        <v>8</v>
      </c>
      <c r="B7291" s="2" t="str">
        <f>HYPERLINK("http://ts.21cn.com/tousu/show/id/1338257","艺龙返现过期不退")</f>
        <v>艺龙返现过期不退</v>
      </c>
      <c r="C7291" s="2" t="s">
        <v>9</v>
      </c>
      <c r="D7291" s="2" t="s">
        <v>10</v>
      </c>
      <c r="E7291" s="2" t="str">
        <f>HYPERLINK("http://ts.21cn.com/tousu/show/id/1338257","http://ts.21cn.com/tousu/show/id/1338257")</f>
        <v>http://ts.21cn.com/tousu/show/id/1338257</v>
      </c>
      <c r="F7291" s="2" t="s">
        <v>11</v>
      </c>
      <c r="G7291" s="2" t="s">
        <v>29815</v>
      </c>
      <c r="H7291" s="2" t="s">
        <v>29816</v>
      </c>
    </row>
    <row r="7292" spans="1:8" ht="25.05" customHeight="1" x14ac:dyDescent="0.25">
      <c r="A7292" s="2" t="s">
        <v>8</v>
      </c>
      <c r="B7292" s="2" t="str">
        <f>HYPERLINK("http://ts.21cn.com/tousu/show/id/1338258","联通可以查看信息")</f>
        <v>联通可以查看信息</v>
      </c>
      <c r="C7292" s="2" t="s">
        <v>34</v>
      </c>
      <c r="D7292" s="2" t="s">
        <v>10</v>
      </c>
      <c r="E7292" s="2" t="str">
        <f>HYPERLINK("http://ts.21cn.com/tousu/show/id/1338258","http://ts.21cn.com/tousu/show/id/1338258")</f>
        <v>http://ts.21cn.com/tousu/show/id/1338258</v>
      </c>
      <c r="F7292" s="2" t="s">
        <v>11</v>
      </c>
      <c r="G7292" s="2" t="s">
        <v>29813</v>
      </c>
      <c r="H7292" s="2" t="s">
        <v>29814</v>
      </c>
    </row>
    <row r="7293" spans="1:8" ht="25.05" customHeight="1" x14ac:dyDescent="0.25">
      <c r="A7293" s="2" t="s">
        <v>8</v>
      </c>
      <c r="B7293" s="2" t="str">
        <f>HYPERLINK("http://ts.21cn.com/tousu/show/id/1338227","绿瘦健康咨询有限公司诱导消费行为")</f>
        <v>绿瘦健康咨询有限公司诱导消费行为</v>
      </c>
      <c r="C7293" s="2" t="s">
        <v>9</v>
      </c>
      <c r="D7293" s="2" t="s">
        <v>10</v>
      </c>
      <c r="E7293" s="2" t="str">
        <f>HYPERLINK("http://ts.21cn.com/tousu/show/id/1338227","http://ts.21cn.com/tousu/show/id/1338227")</f>
        <v>http://ts.21cn.com/tousu/show/id/1338227</v>
      </c>
      <c r="F7293" s="2" t="s">
        <v>11</v>
      </c>
      <c r="G7293" s="2" t="s">
        <v>29811</v>
      </c>
      <c r="H7293" s="2" t="s">
        <v>29812</v>
      </c>
    </row>
    <row r="7294" spans="1:8" ht="25.05" customHeight="1" x14ac:dyDescent="0.25">
      <c r="A7294" s="2" t="s">
        <v>8</v>
      </c>
      <c r="B7294" s="2" t="str">
        <f>HYPERLINK("http://ts.21cn.com/tousu/show/id/1338260","交通银行暴力催收，催收人员语言恶劣，还要爆通讯录")</f>
        <v>交通银行暴力催收，催收人员语言恶劣，还要爆通讯录</v>
      </c>
      <c r="C7294" s="2" t="s">
        <v>9</v>
      </c>
      <c r="D7294" s="2" t="s">
        <v>10</v>
      </c>
      <c r="E7294" s="2" t="str">
        <f>HYPERLINK("http://ts.21cn.com/tousu/show/id/1338260","http://ts.21cn.com/tousu/show/id/1338260")</f>
        <v>http://ts.21cn.com/tousu/show/id/1338260</v>
      </c>
      <c r="F7294" s="2" t="s">
        <v>11</v>
      </c>
      <c r="G7294" s="2" t="s">
        <v>29809</v>
      </c>
      <c r="H7294" s="2" t="s">
        <v>29810</v>
      </c>
    </row>
    <row r="7295" spans="1:8" ht="25.05" customHeight="1" x14ac:dyDescent="0.25">
      <c r="A7295" s="2" t="s">
        <v>8</v>
      </c>
      <c r="B7295" s="2" t="str">
        <f>HYPERLINK("http://ts.21cn.com/tousu/show/id/1338261","严重影响个人生活")</f>
        <v>严重影响个人生活</v>
      </c>
      <c r="C7295" s="2" t="s">
        <v>9</v>
      </c>
      <c r="D7295" s="2" t="s">
        <v>10</v>
      </c>
      <c r="E7295" s="2" t="str">
        <f>HYPERLINK("http://ts.21cn.com/tousu/show/id/1338261","http://ts.21cn.com/tousu/show/id/1338261")</f>
        <v>http://ts.21cn.com/tousu/show/id/1338261</v>
      </c>
      <c r="F7295" s="2" t="s">
        <v>11</v>
      </c>
      <c r="G7295" s="2" t="s">
        <v>29807</v>
      </c>
      <c r="H7295" s="2" t="s">
        <v>29808</v>
      </c>
    </row>
    <row r="7296" spans="1:8" ht="25.05" customHeight="1" x14ac:dyDescent="0.25">
      <c r="A7296" s="2" t="s">
        <v>8</v>
      </c>
      <c r="B7296" s="2" t="str">
        <f>HYPERLINK("http://ts.21cn.com/tousu/show/id/1338262","拍拍贷威胁爆通讯录")</f>
        <v>拍拍贷威胁爆通讯录</v>
      </c>
      <c r="C7296" s="2" t="s">
        <v>9</v>
      </c>
      <c r="D7296" s="2" t="s">
        <v>10</v>
      </c>
      <c r="E7296" s="2" t="str">
        <f>HYPERLINK("http://ts.21cn.com/tousu/show/id/1338262","http://ts.21cn.com/tousu/show/id/1338262")</f>
        <v>http://ts.21cn.com/tousu/show/id/1338262</v>
      </c>
      <c r="F7296" s="2" t="s">
        <v>11</v>
      </c>
      <c r="G7296" s="2" t="s">
        <v>29805</v>
      </c>
      <c r="H7296" s="2" t="s">
        <v>29806</v>
      </c>
    </row>
    <row r="7297" spans="1:8" ht="25.05" customHeight="1" x14ac:dyDescent="0.25">
      <c r="A7297" s="2" t="s">
        <v>8</v>
      </c>
      <c r="B7297" s="2" t="str">
        <f>HYPERLINK("http://ts.21cn.com/tousu/show/id/1338263","我来贷高利贷恶意骚扰")</f>
        <v>我来贷高利贷恶意骚扰</v>
      </c>
      <c r="C7297" s="2" t="s">
        <v>9</v>
      </c>
      <c r="D7297" s="2" t="s">
        <v>10</v>
      </c>
      <c r="E7297" s="2" t="str">
        <f>HYPERLINK("http://ts.21cn.com/tousu/show/id/1338263","http://ts.21cn.com/tousu/show/id/1338263")</f>
        <v>http://ts.21cn.com/tousu/show/id/1338263</v>
      </c>
      <c r="F7297" s="2" t="s">
        <v>11</v>
      </c>
      <c r="G7297" s="2" t="s">
        <v>29803</v>
      </c>
      <c r="H7297" s="2" t="s">
        <v>29804</v>
      </c>
    </row>
    <row r="7298" spans="1:8" ht="25.05" customHeight="1" x14ac:dyDescent="0.25">
      <c r="A7298" s="2" t="s">
        <v>8</v>
      </c>
      <c r="B7298" s="2" t="str">
        <f>HYPERLINK("http://ts.21cn.com/tousu/show/id/1338264","暴力催收、高利息、泄露个人隐私通信")</f>
        <v>暴力催收、高利息、泄露个人隐私通信</v>
      </c>
      <c r="C7298" s="2" t="s">
        <v>9</v>
      </c>
      <c r="D7298" s="2" t="s">
        <v>10</v>
      </c>
      <c r="E7298" s="2" t="str">
        <f>HYPERLINK("http://ts.21cn.com/tousu/show/id/1338264","http://ts.21cn.com/tousu/show/id/1338264")</f>
        <v>http://ts.21cn.com/tousu/show/id/1338264</v>
      </c>
      <c r="F7298" s="2" t="s">
        <v>11</v>
      </c>
      <c r="G7298" s="2" t="s">
        <v>29801</v>
      </c>
      <c r="H7298" s="2" t="s">
        <v>29802</v>
      </c>
    </row>
    <row r="7299" spans="1:8" ht="25.05" customHeight="1" x14ac:dyDescent="0.25">
      <c r="A7299" s="2" t="s">
        <v>8</v>
      </c>
      <c r="B7299" s="2" t="str">
        <f>HYPERLINK("http://ts.21cn.com/tousu/show/id/1338265","中信银行信用卡收我2000块钱制卡费")</f>
        <v>中信银行信用卡收我2000块钱制卡费</v>
      </c>
      <c r="C7299" s="2" t="s">
        <v>34</v>
      </c>
      <c r="D7299" s="2" t="s">
        <v>10</v>
      </c>
      <c r="E7299" s="2" t="str">
        <f>HYPERLINK("http://ts.21cn.com/tousu/show/id/1338265","http://ts.21cn.com/tousu/show/id/1338265")</f>
        <v>http://ts.21cn.com/tousu/show/id/1338265</v>
      </c>
      <c r="F7299" s="2" t="s">
        <v>11</v>
      </c>
      <c r="G7299" s="2" t="s">
        <v>29799</v>
      </c>
      <c r="H7299" s="2" t="s">
        <v>29800</v>
      </c>
    </row>
    <row r="7300" spans="1:8" ht="25.05" customHeight="1" x14ac:dyDescent="0.25">
      <c r="A7300" s="2" t="s">
        <v>8</v>
      </c>
      <c r="B7300" s="2" t="str">
        <f>HYPERLINK("http://ts.21cn.com/tousu/show/id/1338181","拖欠农民工资17万政府媒体投诉2年无果")</f>
        <v>拖欠农民工资17万政府媒体投诉2年无果</v>
      </c>
      <c r="C7300" s="2" t="s">
        <v>9</v>
      </c>
      <c r="D7300" s="2" t="s">
        <v>10</v>
      </c>
      <c r="E7300" s="2" t="str">
        <f>HYPERLINK("http://ts.21cn.com/tousu/show/id/1338181","http://ts.21cn.com/tousu/show/id/1338181")</f>
        <v>http://ts.21cn.com/tousu/show/id/1338181</v>
      </c>
      <c r="F7300" s="2" t="s">
        <v>11</v>
      </c>
      <c r="G7300" s="2" t="s">
        <v>29797</v>
      </c>
      <c r="H7300" s="2" t="s">
        <v>29798</v>
      </c>
    </row>
    <row r="7301" spans="1:8" ht="25.05" customHeight="1" x14ac:dyDescent="0.25">
      <c r="A7301" s="2" t="s">
        <v>8</v>
      </c>
      <c r="B7301" s="2" t="str">
        <f>HYPERLINK("http://ts.21cn.com/tousu/show/id/1338266","上海你我贷，高利贷，暴力催收")</f>
        <v>上海你我贷，高利贷，暴力催收</v>
      </c>
      <c r="C7301" s="2" t="s">
        <v>9</v>
      </c>
      <c r="D7301" s="2" t="s">
        <v>10</v>
      </c>
      <c r="E7301" s="2" t="str">
        <f>HYPERLINK("http://ts.21cn.com/tousu/show/id/1338266","http://ts.21cn.com/tousu/show/id/1338266")</f>
        <v>http://ts.21cn.com/tousu/show/id/1338266</v>
      </c>
      <c r="F7301" s="2" t="s">
        <v>11</v>
      </c>
      <c r="G7301" s="2" t="s">
        <v>29795</v>
      </c>
      <c r="H7301" s="2" t="s">
        <v>29796</v>
      </c>
    </row>
    <row r="7302" spans="1:8" ht="25.05" customHeight="1" x14ac:dyDescent="0.25">
      <c r="A7302" s="2" t="s">
        <v>8</v>
      </c>
      <c r="B7302" s="2" t="str">
        <f>HYPERLINK("http://ts.21cn.com/tousu/show/id/1338267","要求杭州乐客网络科技有限公司退还会员费9800元人民币")</f>
        <v>要求杭州乐客网络科技有限公司退还会员费9800元人民币</v>
      </c>
      <c r="C7302" s="2" t="s">
        <v>9</v>
      </c>
      <c r="D7302" s="2" t="s">
        <v>10</v>
      </c>
      <c r="E7302" s="2" t="str">
        <f>HYPERLINK("http://ts.21cn.com/tousu/show/id/1338267","http://ts.21cn.com/tousu/show/id/1338267")</f>
        <v>http://ts.21cn.com/tousu/show/id/1338267</v>
      </c>
      <c r="F7302" s="2" t="s">
        <v>11</v>
      </c>
      <c r="G7302" s="2" t="s">
        <v>29793</v>
      </c>
      <c r="H7302" s="2" t="s">
        <v>29794</v>
      </c>
    </row>
    <row r="7303" spans="1:8" ht="25.05" customHeight="1" x14ac:dyDescent="0.25">
      <c r="A7303" s="2" t="s">
        <v>8</v>
      </c>
      <c r="B7303" s="2" t="str">
        <f>HYPERLINK("http://ts.21cn.com/tousu/show/id/1338268","我点了QQ看点上一个约会吧，显示为处处，不慎点了付费服务，显示免密支付成功，被扣69元和99元，请退回款项，并立即退订。")</f>
        <v>我点了QQ看点上一个约会吧，显示为处处，不慎点了付费服务，显示免密支付成功，被扣69元和99元，请退回款项，并立即退订。</v>
      </c>
      <c r="C7303" s="2" t="s">
        <v>34</v>
      </c>
      <c r="D7303" s="2" t="s">
        <v>10</v>
      </c>
      <c r="E7303" s="2" t="str">
        <f>HYPERLINK("http://ts.21cn.com/tousu/show/id/1338268","http://ts.21cn.com/tousu/show/id/1338268")</f>
        <v>http://ts.21cn.com/tousu/show/id/1338268</v>
      </c>
      <c r="F7303" s="2" t="s">
        <v>11</v>
      </c>
      <c r="G7303" s="2" t="s">
        <v>29791</v>
      </c>
      <c r="H7303" s="2" t="s">
        <v>29792</v>
      </c>
    </row>
    <row r="7304" spans="1:8" ht="25.05" customHeight="1" x14ac:dyDescent="0.25">
      <c r="A7304" s="2" t="s">
        <v>8</v>
      </c>
      <c r="B7304" s="2" t="str">
        <f>HYPERLINK("http://ts.21cn.com/tousu/show/id/1338269","玖富万卡变相高利贷，砍头息，套路贷，阴阳合同。")</f>
        <v>玖富万卡变相高利贷，砍头息，套路贷，阴阳合同。</v>
      </c>
      <c r="C7304" s="2" t="s">
        <v>9</v>
      </c>
      <c r="D7304" s="2" t="s">
        <v>10</v>
      </c>
      <c r="E7304" s="2" t="str">
        <f>HYPERLINK("http://ts.21cn.com/tousu/show/id/1338269","http://ts.21cn.com/tousu/show/id/1338269")</f>
        <v>http://ts.21cn.com/tousu/show/id/1338269</v>
      </c>
      <c r="F7304" s="2" t="s">
        <v>11</v>
      </c>
      <c r="G7304" s="2" t="s">
        <v>29789</v>
      </c>
      <c r="H7304" s="2" t="s">
        <v>29790</v>
      </c>
    </row>
    <row r="7305" spans="1:8" ht="25.05" customHeight="1" x14ac:dyDescent="0.25">
      <c r="A7305" s="2" t="s">
        <v>8</v>
      </c>
      <c r="B7305" s="2" t="str">
        <f>HYPERLINK("http://ts.21cn.com/tousu/show/id/1338271","时光分期暴力催收")</f>
        <v>时光分期暴力催收</v>
      </c>
      <c r="C7305" s="2" t="s">
        <v>9</v>
      </c>
      <c r="D7305" s="2" t="s">
        <v>10</v>
      </c>
      <c r="E7305" s="2" t="str">
        <f>HYPERLINK("http://ts.21cn.com/tousu/show/id/1338271","http://ts.21cn.com/tousu/show/id/1338271")</f>
        <v>http://ts.21cn.com/tousu/show/id/1338271</v>
      </c>
      <c r="F7305" s="2" t="s">
        <v>11</v>
      </c>
      <c r="G7305" s="2" t="s">
        <v>29787</v>
      </c>
      <c r="H7305" s="2" t="s">
        <v>29788</v>
      </c>
    </row>
    <row r="7306" spans="1:8" ht="25.05" customHeight="1" x14ac:dyDescent="0.25">
      <c r="A7306" s="2" t="s">
        <v>8</v>
      </c>
      <c r="B7306" s="2" t="str">
        <f>HYPERLINK("http://ts.21cn.com/tousu/show/id/1338273","钱站高利贷阴阳合同")</f>
        <v>钱站高利贷阴阳合同</v>
      </c>
      <c r="C7306" s="2" t="s">
        <v>9</v>
      </c>
      <c r="D7306" s="2" t="s">
        <v>10</v>
      </c>
      <c r="E7306" s="2" t="str">
        <f>HYPERLINK("http://ts.21cn.com/tousu/show/id/1338273","http://ts.21cn.com/tousu/show/id/1338273")</f>
        <v>http://ts.21cn.com/tousu/show/id/1338273</v>
      </c>
      <c r="F7306" s="2" t="s">
        <v>11</v>
      </c>
      <c r="G7306" s="2" t="s">
        <v>29785</v>
      </c>
      <c r="H7306" s="2" t="s">
        <v>29786</v>
      </c>
    </row>
    <row r="7307" spans="1:8" ht="25.05" customHeight="1" x14ac:dyDescent="0.25">
      <c r="A7307" s="2" t="s">
        <v>8</v>
      </c>
      <c r="B7307" s="2" t="str">
        <f>HYPERLINK("http://ts.21cn.com/tousu/show/id/1338272","快递损坏一直不给我处理")</f>
        <v>快递损坏一直不给我处理</v>
      </c>
      <c r="C7307" s="2" t="s">
        <v>9</v>
      </c>
      <c r="D7307" s="2" t="s">
        <v>10</v>
      </c>
      <c r="E7307" s="2" t="str">
        <f>HYPERLINK("http://ts.21cn.com/tousu/show/id/1338272","http://ts.21cn.com/tousu/show/id/1338272")</f>
        <v>http://ts.21cn.com/tousu/show/id/1338272</v>
      </c>
      <c r="F7307" s="2" t="s">
        <v>11</v>
      </c>
      <c r="G7307" s="2" t="s">
        <v>29783</v>
      </c>
      <c r="H7307" s="2" t="s">
        <v>29784</v>
      </c>
    </row>
    <row r="7308" spans="1:8" ht="25.05" customHeight="1" x14ac:dyDescent="0.25">
      <c r="A7308" s="2" t="s">
        <v>8</v>
      </c>
      <c r="B7308" s="2" t="str">
        <f>HYPERLINK("http://ts.21cn.com/tousu/show/id/1338274","手机电池配件烧毁手机，烫伤")</f>
        <v>手机电池配件烧毁手机，烫伤</v>
      </c>
      <c r="C7308" s="2" t="s">
        <v>9</v>
      </c>
      <c r="D7308" s="2" t="s">
        <v>10</v>
      </c>
      <c r="E7308" s="2" t="str">
        <f>HYPERLINK("http://ts.21cn.com/tousu/show/id/1338274","http://ts.21cn.com/tousu/show/id/1338274")</f>
        <v>http://ts.21cn.com/tousu/show/id/1338274</v>
      </c>
      <c r="F7308" s="2" t="s">
        <v>11</v>
      </c>
      <c r="G7308" s="2" t="s">
        <v>29781</v>
      </c>
      <c r="H7308" s="2" t="s">
        <v>29782</v>
      </c>
    </row>
    <row r="7309" spans="1:8" ht="25.05" customHeight="1" x14ac:dyDescent="0.25">
      <c r="A7309" s="2" t="s">
        <v>8</v>
      </c>
      <c r="B7309" s="2" t="str">
        <f>HYPERLINK("http://ts.21cn.com/tousu/show/id/1338275","恶意催收，短信轰炸辱骂，")</f>
        <v>恶意催收，短信轰炸辱骂，</v>
      </c>
      <c r="C7309" s="2" t="s">
        <v>9</v>
      </c>
      <c r="D7309" s="2" t="s">
        <v>10</v>
      </c>
      <c r="E7309" s="2" t="str">
        <f>HYPERLINK("http://ts.21cn.com/tousu/show/id/1338275","http://ts.21cn.com/tousu/show/id/1338275")</f>
        <v>http://ts.21cn.com/tousu/show/id/1338275</v>
      </c>
      <c r="F7309" s="2" t="s">
        <v>11</v>
      </c>
      <c r="G7309" s="2" t="s">
        <v>29779</v>
      </c>
      <c r="H7309" s="2" t="s">
        <v>29780</v>
      </c>
    </row>
    <row r="7310" spans="1:8" ht="25.05" customHeight="1" x14ac:dyDescent="0.25">
      <c r="A7310" s="2" t="s">
        <v>8</v>
      </c>
      <c r="B7310" s="2" t="str">
        <f>HYPERLINK("http://ts.21cn.com/tousu/show/id/1338277","微粒贷骚扰")</f>
        <v>微粒贷骚扰</v>
      </c>
      <c r="C7310" s="2" t="s">
        <v>9</v>
      </c>
      <c r="D7310" s="2" t="s">
        <v>10</v>
      </c>
      <c r="E7310" s="2" t="str">
        <f>HYPERLINK("http://ts.21cn.com/tousu/show/id/1338277","http://ts.21cn.com/tousu/show/id/1338277")</f>
        <v>http://ts.21cn.com/tousu/show/id/1338277</v>
      </c>
      <c r="F7310" s="2" t="s">
        <v>11</v>
      </c>
      <c r="G7310" s="2" t="s">
        <v>29777</v>
      </c>
      <c r="H7310" s="2" t="s">
        <v>29778</v>
      </c>
    </row>
    <row r="7311" spans="1:8" ht="25.05" customHeight="1" x14ac:dyDescent="0.25">
      <c r="A7311" s="2" t="s">
        <v>8</v>
      </c>
      <c r="B7311" s="2" t="str">
        <f>HYPERLINK("http://ts.21cn.com/tousu/show/id/1338278","收取前期费用")</f>
        <v>收取前期费用</v>
      </c>
      <c r="C7311" s="2" t="s">
        <v>9</v>
      </c>
      <c r="D7311" s="2" t="s">
        <v>10</v>
      </c>
      <c r="E7311" s="2" t="str">
        <f>HYPERLINK("http://ts.21cn.com/tousu/show/id/1338278","http://ts.21cn.com/tousu/show/id/1338278")</f>
        <v>http://ts.21cn.com/tousu/show/id/1338278</v>
      </c>
      <c r="F7311" s="2" t="s">
        <v>11</v>
      </c>
      <c r="G7311" s="2" t="s">
        <v>29776</v>
      </c>
      <c r="H7311" s="2" t="s">
        <v>29584</v>
      </c>
    </row>
    <row r="7312" spans="1:8" ht="25.05" customHeight="1" x14ac:dyDescent="0.25">
      <c r="A7312" s="2" t="s">
        <v>8</v>
      </c>
      <c r="B7312" s="2" t="str">
        <f>HYPERLINK("http://ts.21cn.com/tousu/show/id/1338279","贷上钱高利贷催收恶意对本人名誉进行侵害")</f>
        <v>贷上钱高利贷催收恶意对本人名誉进行侵害</v>
      </c>
      <c r="C7312" s="2" t="s">
        <v>9</v>
      </c>
      <c r="D7312" s="2" t="s">
        <v>10</v>
      </c>
      <c r="E7312" s="2" t="str">
        <f>HYPERLINK("http://ts.21cn.com/tousu/show/id/1338279","http://ts.21cn.com/tousu/show/id/1338279")</f>
        <v>http://ts.21cn.com/tousu/show/id/1338279</v>
      </c>
      <c r="F7312" s="2" t="s">
        <v>11</v>
      </c>
      <c r="G7312" s="2" t="s">
        <v>29774</v>
      </c>
      <c r="H7312" s="2" t="s">
        <v>29775</v>
      </c>
    </row>
    <row r="7313" spans="1:8" ht="25.05" customHeight="1" x14ac:dyDescent="0.25">
      <c r="A7313" s="2" t="s">
        <v>8</v>
      </c>
      <c r="B7313" s="2" t="str">
        <f>HYPERLINK("http://ts.21cn.com/tousu/show/id/1338280","捷信金融")</f>
        <v>捷信金融</v>
      </c>
      <c r="C7313" s="2" t="s">
        <v>9</v>
      </c>
      <c r="D7313" s="2" t="s">
        <v>10</v>
      </c>
      <c r="E7313" s="2" t="str">
        <f>HYPERLINK("http://ts.21cn.com/tousu/show/id/1338280","http://ts.21cn.com/tousu/show/id/1338280")</f>
        <v>http://ts.21cn.com/tousu/show/id/1338280</v>
      </c>
      <c r="F7313" s="2" t="s">
        <v>11</v>
      </c>
      <c r="G7313" s="2" t="s">
        <v>29772</v>
      </c>
      <c r="H7313" s="2" t="s">
        <v>29773</v>
      </c>
    </row>
    <row r="7314" spans="1:8" ht="25.05" customHeight="1" x14ac:dyDescent="0.25">
      <c r="A7314" s="2" t="s">
        <v>8</v>
      </c>
      <c r="B7314" s="2" t="str">
        <f>HYPERLINK("http://ts.21cn.com/tousu/show/id/1338283","及贷放款时直接扣除所谓的保费，存在欺诈消费行为")</f>
        <v>及贷放款时直接扣除所谓的保费，存在欺诈消费行为</v>
      </c>
      <c r="C7314" s="2" t="s">
        <v>9</v>
      </c>
      <c r="D7314" s="2" t="s">
        <v>10</v>
      </c>
      <c r="E7314" s="2" t="str">
        <f>HYPERLINK("http://ts.21cn.com/tousu/show/id/1338283","http://ts.21cn.com/tousu/show/id/1338283")</f>
        <v>http://ts.21cn.com/tousu/show/id/1338283</v>
      </c>
      <c r="F7314" s="2" t="s">
        <v>11</v>
      </c>
      <c r="G7314" s="2" t="s">
        <v>29770</v>
      </c>
      <c r="H7314" s="2" t="s">
        <v>29771</v>
      </c>
    </row>
    <row r="7315" spans="1:8" ht="25.05" customHeight="1" x14ac:dyDescent="0.25">
      <c r="A7315" s="2" t="s">
        <v>8</v>
      </c>
      <c r="B7315" s="2" t="str">
        <f>HYPERLINK("http://ts.21cn.com/tousu/show/id/1338281","360借条无素质，骚扰")</f>
        <v>360借条无素质，骚扰</v>
      </c>
      <c r="C7315" s="2" t="s">
        <v>9</v>
      </c>
      <c r="D7315" s="2" t="s">
        <v>10</v>
      </c>
      <c r="E7315" s="2" t="str">
        <f>HYPERLINK("http://ts.21cn.com/tousu/show/id/1338281","http://ts.21cn.com/tousu/show/id/1338281")</f>
        <v>http://ts.21cn.com/tousu/show/id/1338281</v>
      </c>
      <c r="F7315" s="2" t="s">
        <v>11</v>
      </c>
      <c r="G7315" s="2" t="s">
        <v>29768</v>
      </c>
      <c r="H7315" s="2" t="s">
        <v>29769</v>
      </c>
    </row>
    <row r="7316" spans="1:8" ht="25.05" customHeight="1" x14ac:dyDescent="0.25">
      <c r="A7316" s="2" t="s">
        <v>8</v>
      </c>
      <c r="B7316" s="2" t="str">
        <f>HYPERLINK("http://ts.21cn.com/tousu/show/id/1338284","你我贷拒不接受协商还款，威胁不还就骚扰家人")</f>
        <v>你我贷拒不接受协商还款，威胁不还就骚扰家人</v>
      </c>
      <c r="C7316" s="2" t="s">
        <v>9</v>
      </c>
      <c r="D7316" s="2" t="s">
        <v>10</v>
      </c>
      <c r="E7316" s="2" t="str">
        <f>HYPERLINK("http://ts.21cn.com/tousu/show/id/1338284","http://ts.21cn.com/tousu/show/id/1338284")</f>
        <v>http://ts.21cn.com/tousu/show/id/1338284</v>
      </c>
      <c r="F7316" s="2" t="s">
        <v>11</v>
      </c>
      <c r="G7316" s="2" t="s">
        <v>29766</v>
      </c>
      <c r="H7316" s="2" t="s">
        <v>29767</v>
      </c>
    </row>
    <row r="7317" spans="1:8" ht="25.05" customHeight="1" x14ac:dyDescent="0.25">
      <c r="A7317" s="2" t="s">
        <v>8</v>
      </c>
      <c r="B7317" s="2" t="str">
        <f>HYPERLINK("http://ts.21cn.com/tousu/show/id/1338285","京东金融工作人员恐吓")</f>
        <v>京东金融工作人员恐吓</v>
      </c>
      <c r="C7317" s="2" t="s">
        <v>9</v>
      </c>
      <c r="D7317" s="2" t="s">
        <v>10</v>
      </c>
      <c r="E7317" s="2" t="str">
        <f>HYPERLINK("http://ts.21cn.com/tousu/show/id/1338285","http://ts.21cn.com/tousu/show/id/1338285")</f>
        <v>http://ts.21cn.com/tousu/show/id/1338285</v>
      </c>
      <c r="F7317" s="2" t="s">
        <v>11</v>
      </c>
      <c r="G7317" s="2" t="s">
        <v>29764</v>
      </c>
      <c r="H7317" s="2" t="s">
        <v>29765</v>
      </c>
    </row>
    <row r="7318" spans="1:8" ht="25.05" customHeight="1" x14ac:dyDescent="0.25">
      <c r="A7318" s="2" t="s">
        <v>8</v>
      </c>
      <c r="B7318" s="2" t="str">
        <f>HYPERLINK("http://ts.21cn.com/tousu/show/id/1338290","捷信高利贷")</f>
        <v>捷信高利贷</v>
      </c>
      <c r="C7318" s="2" t="s">
        <v>9</v>
      </c>
      <c r="D7318" s="2" t="s">
        <v>10</v>
      </c>
      <c r="E7318" s="2" t="str">
        <f>HYPERLINK("http://ts.21cn.com/tousu/show/id/1338290","http://ts.21cn.com/tousu/show/id/1338290")</f>
        <v>http://ts.21cn.com/tousu/show/id/1338290</v>
      </c>
      <c r="F7318" s="2" t="s">
        <v>11</v>
      </c>
      <c r="G7318" s="2" t="s">
        <v>29762</v>
      </c>
      <c r="H7318" s="2" t="s">
        <v>29763</v>
      </c>
    </row>
    <row r="7319" spans="1:8" ht="25.05" customHeight="1" x14ac:dyDescent="0.25">
      <c r="A7319" s="2" t="s">
        <v>8</v>
      </c>
      <c r="B7319" s="2" t="str">
        <f>HYPERLINK("http://ts.21cn.com/tousu/show/id/1338292","骚扰")</f>
        <v>骚扰</v>
      </c>
      <c r="C7319" s="2" t="s">
        <v>9</v>
      </c>
      <c r="D7319" s="2" t="s">
        <v>10</v>
      </c>
      <c r="E7319" s="2" t="str">
        <f>HYPERLINK("http://ts.21cn.com/tousu/show/id/1338292","http://ts.21cn.com/tousu/show/id/1338292")</f>
        <v>http://ts.21cn.com/tousu/show/id/1338292</v>
      </c>
      <c r="F7319" s="2" t="s">
        <v>11</v>
      </c>
      <c r="G7319" s="2" t="s">
        <v>29760</v>
      </c>
      <c r="H7319" s="2" t="s">
        <v>29761</v>
      </c>
    </row>
    <row r="7320" spans="1:8" ht="25.05" customHeight="1" x14ac:dyDescent="0.25">
      <c r="A7320" s="2" t="s">
        <v>8</v>
      </c>
      <c r="B7320" s="2" t="str">
        <f>HYPERLINK("http://ts.21cn.com/tousu/show/id/1338294","玖富高利贷，扣款失败恶意造成客户逾期")</f>
        <v>玖富高利贷，扣款失败恶意造成客户逾期</v>
      </c>
      <c r="C7320" s="2" t="s">
        <v>9</v>
      </c>
      <c r="D7320" s="2" t="s">
        <v>10</v>
      </c>
      <c r="E7320" s="2" t="str">
        <f>HYPERLINK("http://ts.21cn.com/tousu/show/id/1338294","http://ts.21cn.com/tousu/show/id/1338294")</f>
        <v>http://ts.21cn.com/tousu/show/id/1338294</v>
      </c>
      <c r="F7320" s="2" t="s">
        <v>11</v>
      </c>
      <c r="G7320" s="2" t="s">
        <v>29758</v>
      </c>
      <c r="H7320" s="2" t="s">
        <v>29759</v>
      </c>
    </row>
    <row r="7321" spans="1:8" ht="25.05" customHeight="1" x14ac:dyDescent="0.25">
      <c r="A7321" s="2" t="s">
        <v>8</v>
      </c>
      <c r="B7321" s="2" t="str">
        <f>HYPERLINK("http://ts.21cn.com/tousu/show/id/1338293","捷信员工以业务不足为由，请学生刷单，并私自办理购买商品业务分期，要求学生偿还")</f>
        <v>捷信员工以业务不足为由，请学生刷单，并私自办理购买商品业务分期，要求学生偿还</v>
      </c>
      <c r="C7321" s="2" t="s">
        <v>9</v>
      </c>
      <c r="D7321" s="2" t="s">
        <v>10</v>
      </c>
      <c r="E7321" s="2" t="str">
        <f>HYPERLINK("http://ts.21cn.com/tousu/show/id/1338293","http://ts.21cn.com/tousu/show/id/1338293")</f>
        <v>http://ts.21cn.com/tousu/show/id/1338293</v>
      </c>
      <c r="F7321" s="2" t="s">
        <v>11</v>
      </c>
      <c r="G7321" s="2" t="s">
        <v>29756</v>
      </c>
      <c r="H7321" s="2" t="s">
        <v>29757</v>
      </c>
    </row>
    <row r="7322" spans="1:8" ht="25.05" customHeight="1" x14ac:dyDescent="0.25">
      <c r="A7322" s="2" t="s">
        <v>8</v>
      </c>
      <c r="B7322" s="2" t="str">
        <f>HYPERLINK("http://ts.21cn.com/tousu/show/id/1338296","51信用管家爆通讯录")</f>
        <v>51信用管家爆通讯录</v>
      </c>
      <c r="C7322" s="2" t="s">
        <v>9</v>
      </c>
      <c r="D7322" s="2" t="s">
        <v>10</v>
      </c>
      <c r="E7322" s="2" t="str">
        <f>HYPERLINK("http://ts.21cn.com/tousu/show/id/1338296","http://ts.21cn.com/tousu/show/id/1338296")</f>
        <v>http://ts.21cn.com/tousu/show/id/1338296</v>
      </c>
      <c r="F7322" s="2" t="s">
        <v>11</v>
      </c>
      <c r="G7322" s="2" t="s">
        <v>29754</v>
      </c>
      <c r="H7322" s="2" t="s">
        <v>29755</v>
      </c>
    </row>
    <row r="7323" spans="1:8" ht="25.05" customHeight="1" x14ac:dyDescent="0.25">
      <c r="A7323" s="2" t="s">
        <v>8</v>
      </c>
      <c r="B7323" s="2" t="str">
        <f>HYPERLINK("http://ts.21cn.com/tousu/show/id/1338295","恶意扣费")</f>
        <v>恶意扣费</v>
      </c>
      <c r="C7323" s="2" t="s">
        <v>9</v>
      </c>
      <c r="D7323" s="2" t="s">
        <v>10</v>
      </c>
      <c r="E7323" s="2" t="str">
        <f>HYPERLINK("http://ts.21cn.com/tousu/show/id/1338295","http://ts.21cn.com/tousu/show/id/1338295")</f>
        <v>http://ts.21cn.com/tousu/show/id/1338295</v>
      </c>
      <c r="F7323" s="2" t="s">
        <v>11</v>
      </c>
      <c r="G7323" s="2" t="s">
        <v>29752</v>
      </c>
      <c r="H7323" s="2" t="s">
        <v>29753</v>
      </c>
    </row>
    <row r="7324" spans="1:8" ht="25.05" customHeight="1" x14ac:dyDescent="0.25">
      <c r="A7324" s="2" t="s">
        <v>8</v>
      </c>
      <c r="B7324" s="2" t="str">
        <f>HYPERLINK("http://ts.21cn.com/tousu/show/id/1338297","自由魔卡六便士存在砍头息")</f>
        <v>自由魔卡六便士存在砍头息</v>
      </c>
      <c r="C7324" s="2" t="s">
        <v>34</v>
      </c>
      <c r="D7324" s="2" t="s">
        <v>10</v>
      </c>
      <c r="E7324" s="2" t="str">
        <f>HYPERLINK("http://ts.21cn.com/tousu/show/id/1338297","http://ts.21cn.com/tousu/show/id/1338297")</f>
        <v>http://ts.21cn.com/tousu/show/id/1338297</v>
      </c>
      <c r="F7324" s="2" t="s">
        <v>11</v>
      </c>
      <c r="G7324" s="2" t="s">
        <v>29750</v>
      </c>
      <c r="H7324" s="2" t="s">
        <v>29751</v>
      </c>
    </row>
    <row r="7325" spans="1:8" ht="25.05" customHeight="1" x14ac:dyDescent="0.25">
      <c r="A7325" s="2" t="s">
        <v>8</v>
      </c>
      <c r="B7325" s="2" t="str">
        <f>HYPERLINK("http://ts.21cn.com/tousu/show/id/1338288","广州银联网络支付有限公司跟辱骂领导人的非法高利贷公司合作")</f>
        <v>广州银联网络支付有限公司跟辱骂领导人的非法高利贷公司合作</v>
      </c>
      <c r="C7325" s="2" t="s">
        <v>9</v>
      </c>
      <c r="D7325" s="2" t="s">
        <v>10</v>
      </c>
      <c r="E7325" s="2" t="str">
        <f>HYPERLINK("http://ts.21cn.com/tousu/show/id/1338288","http://ts.21cn.com/tousu/show/id/1338288")</f>
        <v>http://ts.21cn.com/tousu/show/id/1338288</v>
      </c>
      <c r="F7325" s="2" t="s">
        <v>11</v>
      </c>
      <c r="G7325" s="2" t="s">
        <v>29748</v>
      </c>
      <c r="H7325" s="2" t="s">
        <v>29749</v>
      </c>
    </row>
    <row r="7326" spans="1:8" ht="25.05" customHeight="1" x14ac:dyDescent="0.25">
      <c r="A7326" s="2" t="s">
        <v>8</v>
      </c>
      <c r="B7326" s="2" t="str">
        <f>HYPERLINK("http://ts.21cn.com/tousu/show/id/1338298","购分期恶意扣钱")</f>
        <v>购分期恶意扣钱</v>
      </c>
      <c r="C7326" s="2" t="s">
        <v>34</v>
      </c>
      <c r="D7326" s="2" t="s">
        <v>10</v>
      </c>
      <c r="E7326" s="2" t="str">
        <f>HYPERLINK("http://ts.21cn.com/tousu/show/id/1338298","http://ts.21cn.com/tousu/show/id/1338298")</f>
        <v>http://ts.21cn.com/tousu/show/id/1338298</v>
      </c>
      <c r="F7326" s="2" t="s">
        <v>11</v>
      </c>
      <c r="G7326" s="2" t="s">
        <v>29746</v>
      </c>
      <c r="H7326" s="2" t="s">
        <v>29747</v>
      </c>
    </row>
    <row r="7327" spans="1:8" ht="25.05" customHeight="1" x14ac:dyDescent="0.25">
      <c r="A7327" s="2" t="s">
        <v>8</v>
      </c>
      <c r="B7327" s="2" t="str">
        <f>HYPERLINK("http://ts.21cn.com/tousu/show/id/1338299","高利贷暴力催收不协商")</f>
        <v>高利贷暴力催收不协商</v>
      </c>
      <c r="C7327" s="2" t="s">
        <v>9</v>
      </c>
      <c r="D7327" s="2" t="s">
        <v>10</v>
      </c>
      <c r="E7327" s="2" t="str">
        <f>HYPERLINK("http://ts.21cn.com/tousu/show/id/1338299","http://ts.21cn.com/tousu/show/id/1338299")</f>
        <v>http://ts.21cn.com/tousu/show/id/1338299</v>
      </c>
      <c r="F7327" s="2" t="s">
        <v>11</v>
      </c>
      <c r="G7327" s="2" t="s">
        <v>29744</v>
      </c>
      <c r="H7327" s="2" t="s">
        <v>29745</v>
      </c>
    </row>
    <row r="7328" spans="1:8" ht="25.05" customHeight="1" x14ac:dyDescent="0.25">
      <c r="A7328" s="2" t="s">
        <v>8</v>
      </c>
      <c r="B7328" s="2" t="str">
        <f>HYPERLINK("http://ts.21cn.com/tousu/show/id/1338300","714网贷平台恶意催收")</f>
        <v>714网贷平台恶意催收</v>
      </c>
      <c r="C7328" s="2" t="s">
        <v>9</v>
      </c>
      <c r="D7328" s="2" t="s">
        <v>10</v>
      </c>
      <c r="E7328" s="2" t="str">
        <f>HYPERLINK("http://ts.21cn.com/tousu/show/id/1338300","http://ts.21cn.com/tousu/show/id/1338300")</f>
        <v>http://ts.21cn.com/tousu/show/id/1338300</v>
      </c>
      <c r="F7328" s="2" t="s">
        <v>11</v>
      </c>
      <c r="G7328" s="2" t="s">
        <v>29742</v>
      </c>
      <c r="H7328" s="2" t="s">
        <v>29743</v>
      </c>
    </row>
    <row r="7329" spans="1:8" ht="25.05" customHeight="1" x14ac:dyDescent="0.25">
      <c r="A7329" s="2" t="s">
        <v>8</v>
      </c>
      <c r="B7329" s="2" t="str">
        <f>HYPERLINK("http://ts.21cn.com/tousu/show/id/1338303","51人品贷黑心高利贷，暴利催收骚扰联系人")</f>
        <v>51人品贷黑心高利贷，暴利催收骚扰联系人</v>
      </c>
      <c r="C7329" s="2" t="s">
        <v>9</v>
      </c>
      <c r="D7329" s="2" t="s">
        <v>10</v>
      </c>
      <c r="E7329" s="2" t="str">
        <f>HYPERLINK("http://ts.21cn.com/tousu/show/id/1338303","http://ts.21cn.com/tousu/show/id/1338303")</f>
        <v>http://ts.21cn.com/tousu/show/id/1338303</v>
      </c>
      <c r="F7329" s="2" t="s">
        <v>11</v>
      </c>
      <c r="G7329" s="2" t="s">
        <v>29740</v>
      </c>
      <c r="H7329" s="2" t="s">
        <v>29741</v>
      </c>
    </row>
    <row r="7330" spans="1:8" ht="25.05" customHeight="1" x14ac:dyDescent="0.25">
      <c r="A7330" s="2" t="s">
        <v>8</v>
      </c>
      <c r="B7330" s="2" t="str">
        <f>HYPERLINK("http://ts.21cn.com/tousu/show/id/1338305","小花钱包骚扰")</f>
        <v>小花钱包骚扰</v>
      </c>
      <c r="C7330" s="2" t="s">
        <v>9</v>
      </c>
      <c r="D7330" s="2" t="s">
        <v>10</v>
      </c>
      <c r="E7330" s="2" t="str">
        <f>HYPERLINK("http://ts.21cn.com/tousu/show/id/1338305","http://ts.21cn.com/tousu/show/id/1338305")</f>
        <v>http://ts.21cn.com/tousu/show/id/1338305</v>
      </c>
      <c r="F7330" s="2" t="s">
        <v>11</v>
      </c>
      <c r="G7330" s="2" t="s">
        <v>29738</v>
      </c>
      <c r="H7330" s="2" t="s">
        <v>29739</v>
      </c>
    </row>
    <row r="7331" spans="1:8" ht="25.05" customHeight="1" x14ac:dyDescent="0.25">
      <c r="A7331" s="2" t="s">
        <v>8</v>
      </c>
      <c r="B7331" s="2" t="str">
        <f>HYPERLINK("http://ts.21cn.com/tousu/show/id/1338306","不给处理退款")</f>
        <v>不给处理退款</v>
      </c>
      <c r="C7331" s="2" t="s">
        <v>9</v>
      </c>
      <c r="D7331" s="2" t="s">
        <v>10</v>
      </c>
      <c r="E7331" s="2" t="str">
        <f>HYPERLINK("http://ts.21cn.com/tousu/show/id/1338306","http://ts.21cn.com/tousu/show/id/1338306")</f>
        <v>http://ts.21cn.com/tousu/show/id/1338306</v>
      </c>
      <c r="F7331" s="2" t="s">
        <v>11</v>
      </c>
      <c r="G7331" s="2" t="s">
        <v>29736</v>
      </c>
      <c r="H7331" s="2" t="s">
        <v>29737</v>
      </c>
    </row>
    <row r="7332" spans="1:8" ht="25.05" customHeight="1" x14ac:dyDescent="0.25">
      <c r="A7332" s="2" t="s">
        <v>8</v>
      </c>
      <c r="B7332" s="2" t="str">
        <f>HYPERLINK("http://ts.21cn.com/tousu/show/id/1338307","招联金融暴力催收")</f>
        <v>招联金融暴力催收</v>
      </c>
      <c r="C7332" s="2" t="s">
        <v>9</v>
      </c>
      <c r="D7332" s="2" t="s">
        <v>10</v>
      </c>
      <c r="E7332" s="2" t="str">
        <f>HYPERLINK("http://ts.21cn.com/tousu/show/id/1338307","http://ts.21cn.com/tousu/show/id/1338307")</f>
        <v>http://ts.21cn.com/tousu/show/id/1338307</v>
      </c>
      <c r="F7332" s="2" t="s">
        <v>11</v>
      </c>
      <c r="G7332" s="2" t="s">
        <v>29734</v>
      </c>
      <c r="H7332" s="2" t="s">
        <v>29735</v>
      </c>
    </row>
    <row r="7333" spans="1:8" ht="25.05" customHeight="1" x14ac:dyDescent="0.25">
      <c r="A7333" s="2" t="s">
        <v>8</v>
      </c>
      <c r="B7333" s="2" t="str">
        <f>HYPERLINK("http://ts.21cn.com/tousu/show/id/1338309","黑网贷")</f>
        <v>黑网贷</v>
      </c>
      <c r="C7333" s="2" t="s">
        <v>34</v>
      </c>
      <c r="D7333" s="2" t="s">
        <v>10</v>
      </c>
      <c r="E7333" s="2" t="str">
        <f>HYPERLINK("http://ts.21cn.com/tousu/show/id/1338309","http://ts.21cn.com/tousu/show/id/1338309")</f>
        <v>http://ts.21cn.com/tousu/show/id/1338309</v>
      </c>
      <c r="F7333" s="2" t="s">
        <v>11</v>
      </c>
      <c r="G7333" s="2" t="s">
        <v>29732</v>
      </c>
      <c r="H7333" s="2" t="s">
        <v>29733</v>
      </c>
    </row>
    <row r="7334" spans="1:8" ht="25.05" customHeight="1" x14ac:dyDescent="0.25">
      <c r="A7334" s="2" t="s">
        <v>8</v>
      </c>
      <c r="B7334" s="2" t="str">
        <f>HYPERLINK("http://ts.21cn.com/tousu/show/id/1338310","拼多多拼多多发货规则霸王条款，恶意克扣商家费用，无虚假发货被判虚假发货")</f>
        <v>拼多多拼多多发货规则霸王条款，恶意克扣商家费用，无虚假发货被判虚假发货</v>
      </c>
      <c r="C7334" s="2" t="s">
        <v>9</v>
      </c>
      <c r="D7334" s="2" t="s">
        <v>10</v>
      </c>
      <c r="E7334" s="2" t="str">
        <f>HYPERLINK("http://ts.21cn.com/tousu/show/id/1338310","http://ts.21cn.com/tousu/show/id/1338310")</f>
        <v>http://ts.21cn.com/tousu/show/id/1338310</v>
      </c>
      <c r="F7334" s="2" t="s">
        <v>11</v>
      </c>
      <c r="G7334" s="2" t="s">
        <v>29730</v>
      </c>
      <c r="H7334" s="2" t="s">
        <v>29731</v>
      </c>
    </row>
    <row r="7335" spans="1:8" ht="25.05" customHeight="1" x14ac:dyDescent="0.25">
      <c r="A7335" s="2" t="s">
        <v>8</v>
      </c>
      <c r="B7335" s="2" t="str">
        <f>HYPERLINK("http://ts.21cn.com/tousu/show/id/1338282","360借条暴力催收，语言讽刺威胁我")</f>
        <v>360借条暴力催收，语言讽刺威胁我</v>
      </c>
      <c r="C7335" s="2" t="s">
        <v>9</v>
      </c>
      <c r="D7335" s="2" t="s">
        <v>10</v>
      </c>
      <c r="E7335" s="2" t="str">
        <f>HYPERLINK("http://ts.21cn.com/tousu/show/id/1338282","http://ts.21cn.com/tousu/show/id/1338282")</f>
        <v>http://ts.21cn.com/tousu/show/id/1338282</v>
      </c>
      <c r="F7335" s="2" t="s">
        <v>11</v>
      </c>
      <c r="G7335" s="2" t="s">
        <v>29728</v>
      </c>
      <c r="H7335" s="2" t="s">
        <v>29729</v>
      </c>
    </row>
    <row r="7336" spans="1:8" ht="25.05" customHeight="1" x14ac:dyDescent="0.25">
      <c r="A7336" s="2" t="s">
        <v>8</v>
      </c>
      <c r="B7336" s="2" t="str">
        <f>HYPERLINK("http://ts.21cn.com/tousu/show/id/1338312","乱收费")</f>
        <v>乱收费</v>
      </c>
      <c r="C7336" s="2" t="s">
        <v>9</v>
      </c>
      <c r="D7336" s="2" t="s">
        <v>10</v>
      </c>
      <c r="E7336" s="2" t="str">
        <f>HYPERLINK("http://ts.21cn.com/tousu/show/id/1338312","http://ts.21cn.com/tousu/show/id/1338312")</f>
        <v>http://ts.21cn.com/tousu/show/id/1338312</v>
      </c>
      <c r="F7336" s="2" t="s">
        <v>11</v>
      </c>
      <c r="G7336" s="2" t="s">
        <v>29725</v>
      </c>
      <c r="H7336" s="2" t="s">
        <v>29726</v>
      </c>
    </row>
    <row r="7337" spans="1:8" ht="25.05" customHeight="1" x14ac:dyDescent="0.25">
      <c r="A7337" s="2" t="s">
        <v>8</v>
      </c>
      <c r="B7337" s="2" t="str">
        <f>HYPERLINK("http://ts.21cn.com/tousu/show/id/1338311","拼多多平台销售假小米背包，假一赔十不承认")</f>
        <v>拼多多平台销售假小米背包，假一赔十不承认</v>
      </c>
      <c r="C7337" s="2" t="s">
        <v>9</v>
      </c>
      <c r="D7337" s="2" t="s">
        <v>10</v>
      </c>
      <c r="E7337" s="2" t="str">
        <f>HYPERLINK("http://ts.21cn.com/tousu/show/id/1338311","http://ts.21cn.com/tousu/show/id/1338311")</f>
        <v>http://ts.21cn.com/tousu/show/id/1338311</v>
      </c>
      <c r="F7337" s="2" t="s">
        <v>11</v>
      </c>
      <c r="G7337" s="2" t="s">
        <v>29725</v>
      </c>
      <c r="H7337" s="2" t="s">
        <v>29727</v>
      </c>
    </row>
    <row r="7338" spans="1:8" ht="25.05" customHeight="1" x14ac:dyDescent="0.25">
      <c r="A7338" s="2" t="s">
        <v>8</v>
      </c>
      <c r="B7338" s="2" t="str">
        <f>HYPERLINK("http://ts.21cn.com/tousu/show/id/1338314","骚扰恐吓威胁")</f>
        <v>骚扰恐吓威胁</v>
      </c>
      <c r="C7338" s="2" t="s">
        <v>9</v>
      </c>
      <c r="D7338" s="2" t="s">
        <v>10</v>
      </c>
      <c r="E7338" s="2" t="str">
        <f>HYPERLINK("http://ts.21cn.com/tousu/show/id/1338314","http://ts.21cn.com/tousu/show/id/1338314")</f>
        <v>http://ts.21cn.com/tousu/show/id/1338314</v>
      </c>
      <c r="F7338" s="2" t="s">
        <v>11</v>
      </c>
      <c r="G7338" s="2" t="s">
        <v>29723</v>
      </c>
      <c r="H7338" s="2" t="s">
        <v>29724</v>
      </c>
    </row>
    <row r="7339" spans="1:8" ht="25.05" customHeight="1" x14ac:dyDescent="0.25">
      <c r="A7339" s="2" t="s">
        <v>8</v>
      </c>
      <c r="B7339" s="2" t="str">
        <f>HYPERLINK("http://ts.21cn.com/tousu/show/id/1338315","米米罐高额利息催收")</f>
        <v>米米罐高额利息催收</v>
      </c>
      <c r="C7339" s="2" t="s">
        <v>9</v>
      </c>
      <c r="D7339" s="2" t="s">
        <v>10</v>
      </c>
      <c r="E7339" s="2" t="str">
        <f>HYPERLINK("http://ts.21cn.com/tousu/show/id/1338315","http://ts.21cn.com/tousu/show/id/1338315")</f>
        <v>http://ts.21cn.com/tousu/show/id/1338315</v>
      </c>
      <c r="F7339" s="2" t="s">
        <v>11</v>
      </c>
      <c r="G7339" s="2" t="s">
        <v>29721</v>
      </c>
      <c r="H7339" s="2" t="s">
        <v>29722</v>
      </c>
    </row>
    <row r="7340" spans="1:8" ht="25.05" customHeight="1" x14ac:dyDescent="0.25">
      <c r="A7340" s="2" t="s">
        <v>8</v>
      </c>
      <c r="B7340" s="2" t="str">
        <f>HYPERLINK("http://ts.21cn.com/tousu/show/id/1338173","头条号账号无故被处罚")</f>
        <v>头条号账号无故被处罚</v>
      </c>
      <c r="C7340" s="2" t="s">
        <v>9</v>
      </c>
      <c r="D7340" s="2" t="s">
        <v>10</v>
      </c>
      <c r="E7340" s="2" t="str">
        <f>HYPERLINK("http://ts.21cn.com/tousu/show/id/1338173","http://ts.21cn.com/tousu/show/id/1338173")</f>
        <v>http://ts.21cn.com/tousu/show/id/1338173</v>
      </c>
      <c r="F7340" s="2" t="s">
        <v>11</v>
      </c>
      <c r="G7340" s="2" t="s">
        <v>29719</v>
      </c>
      <c r="H7340" s="2" t="s">
        <v>29720</v>
      </c>
    </row>
    <row r="7341" spans="1:8" ht="25.05" customHeight="1" x14ac:dyDescent="0.25">
      <c r="A7341" s="2" t="s">
        <v>8</v>
      </c>
      <c r="B7341" s="2" t="str">
        <f>HYPERLINK("http://ts.21cn.com/tousu/show/id/1338316","钱站高利贷，诉求是必须下架，赔偿")</f>
        <v>钱站高利贷，诉求是必须下架，赔偿</v>
      </c>
      <c r="C7341" s="2" t="s">
        <v>9</v>
      </c>
      <c r="D7341" s="2" t="s">
        <v>10</v>
      </c>
      <c r="E7341" s="2" t="str">
        <f>HYPERLINK("http://ts.21cn.com/tousu/show/id/1338316","http://ts.21cn.com/tousu/show/id/1338316")</f>
        <v>http://ts.21cn.com/tousu/show/id/1338316</v>
      </c>
      <c r="F7341" s="2" t="s">
        <v>11</v>
      </c>
      <c r="G7341" s="2" t="s">
        <v>29717</v>
      </c>
      <c r="H7341" s="2" t="s">
        <v>29718</v>
      </c>
    </row>
    <row r="7342" spans="1:8" ht="25.05" customHeight="1" x14ac:dyDescent="0.25">
      <c r="A7342" s="2" t="s">
        <v>8</v>
      </c>
      <c r="B7342" s="2" t="str">
        <f>HYPERLINK("http://ts.21cn.com/tousu/show/id/1338317","及贷放款时直接扣除所谓的保费，存在欺诈消费行为")</f>
        <v>及贷放款时直接扣除所谓的保费，存在欺诈消费行为</v>
      </c>
      <c r="C7342" s="2" t="s">
        <v>9</v>
      </c>
      <c r="D7342" s="2" t="s">
        <v>10</v>
      </c>
      <c r="E7342" s="2" t="str">
        <f>HYPERLINK("http://ts.21cn.com/tousu/show/id/1338317","http://ts.21cn.com/tousu/show/id/1338317")</f>
        <v>http://ts.21cn.com/tousu/show/id/1338317</v>
      </c>
      <c r="F7342" s="2" t="s">
        <v>11</v>
      </c>
      <c r="G7342" s="2" t="s">
        <v>29715</v>
      </c>
      <c r="H7342" s="2" t="s">
        <v>29716</v>
      </c>
    </row>
    <row r="7343" spans="1:8" ht="25.05" customHeight="1" x14ac:dyDescent="0.25">
      <c r="A7343" s="2" t="s">
        <v>8</v>
      </c>
      <c r="B7343" s="2" t="str">
        <f>HYPERLINK("http://ts.21cn.com/tousu/show/id/1338318","玖富高利贷恶意骚扰")</f>
        <v>玖富高利贷恶意骚扰</v>
      </c>
      <c r="C7343" s="2" t="s">
        <v>9</v>
      </c>
      <c r="D7343" s="2" t="s">
        <v>10</v>
      </c>
      <c r="E7343" s="2" t="str">
        <f>HYPERLINK("http://ts.21cn.com/tousu/show/id/1338318","http://ts.21cn.com/tousu/show/id/1338318")</f>
        <v>http://ts.21cn.com/tousu/show/id/1338318</v>
      </c>
      <c r="F7343" s="2" t="s">
        <v>11</v>
      </c>
      <c r="G7343" s="2" t="s">
        <v>29713</v>
      </c>
      <c r="H7343" s="2" t="s">
        <v>29714</v>
      </c>
    </row>
    <row r="7344" spans="1:8" ht="25.05" customHeight="1" x14ac:dyDescent="0.25">
      <c r="A7344" s="2" t="s">
        <v>8</v>
      </c>
      <c r="B7344" s="2" t="str">
        <f>HYPERLINK("http://ts.21cn.com/tousu/show/id/1338319","小花钱包，暴力催款。")</f>
        <v>小花钱包，暴力催款。</v>
      </c>
      <c r="C7344" s="2" t="s">
        <v>9</v>
      </c>
      <c r="D7344" s="2" t="s">
        <v>10</v>
      </c>
      <c r="E7344" s="2" t="str">
        <f>HYPERLINK("http://ts.21cn.com/tousu/show/id/1338319","http://ts.21cn.com/tousu/show/id/1338319")</f>
        <v>http://ts.21cn.com/tousu/show/id/1338319</v>
      </c>
      <c r="F7344" s="2" t="s">
        <v>11</v>
      </c>
      <c r="G7344" s="2" t="s">
        <v>29711</v>
      </c>
      <c r="H7344" s="2" t="s">
        <v>29712</v>
      </c>
    </row>
    <row r="7345" spans="1:8" ht="25.05" customHeight="1" x14ac:dyDescent="0.25">
      <c r="A7345" s="2" t="s">
        <v>8</v>
      </c>
      <c r="B7345" s="2" t="str">
        <f>HYPERLINK("http://ts.21cn.com/tousu/show/id/1338320","美团生活费爆联系人")</f>
        <v>美团生活费爆联系人</v>
      </c>
      <c r="C7345" s="2" t="s">
        <v>9</v>
      </c>
      <c r="D7345" s="2" t="s">
        <v>10</v>
      </c>
      <c r="E7345" s="2" t="str">
        <f>HYPERLINK("http://ts.21cn.com/tousu/show/id/1338320","http://ts.21cn.com/tousu/show/id/1338320")</f>
        <v>http://ts.21cn.com/tousu/show/id/1338320</v>
      </c>
      <c r="F7345" s="2" t="s">
        <v>11</v>
      </c>
      <c r="G7345" s="2" t="s">
        <v>29709</v>
      </c>
      <c r="H7345" s="2" t="s">
        <v>29710</v>
      </c>
    </row>
    <row r="7346" spans="1:8" ht="25.05" customHeight="1" x14ac:dyDescent="0.25">
      <c r="A7346" s="2" t="s">
        <v>8</v>
      </c>
      <c r="B7346" s="2" t="str">
        <f>HYPERLINK("http://ts.21cn.com/tousu/show/id/1337671","嘀嗒出行随意封停车主账号不给注销")</f>
        <v>嘀嗒出行随意封停车主账号不给注销</v>
      </c>
      <c r="C7346" s="2" t="s">
        <v>9</v>
      </c>
      <c r="D7346" s="2" t="s">
        <v>10</v>
      </c>
      <c r="E7346" s="2" t="str">
        <f>HYPERLINK("http://ts.21cn.com/tousu/show/id/1337671","http://ts.21cn.com/tousu/show/id/1337671")</f>
        <v>http://ts.21cn.com/tousu/show/id/1337671</v>
      </c>
      <c r="F7346" s="2" t="s">
        <v>11</v>
      </c>
      <c r="G7346" s="2" t="s">
        <v>29707</v>
      </c>
      <c r="H7346" s="2" t="s">
        <v>29708</v>
      </c>
    </row>
    <row r="7347" spans="1:8" ht="25.05" customHeight="1" x14ac:dyDescent="0.25">
      <c r="A7347" s="2" t="s">
        <v>8</v>
      </c>
      <c r="B7347" s="2" t="str">
        <f>HYPERLINK("http://ts.21cn.com/tousu/show/id/1338322","你我贷高额利息承受不起")</f>
        <v>你我贷高额利息承受不起</v>
      </c>
      <c r="C7347" s="2" t="s">
        <v>9</v>
      </c>
      <c r="D7347" s="2" t="s">
        <v>10</v>
      </c>
      <c r="E7347" s="2" t="str">
        <f>HYPERLINK("http://ts.21cn.com/tousu/show/id/1338322","http://ts.21cn.com/tousu/show/id/1338322")</f>
        <v>http://ts.21cn.com/tousu/show/id/1338322</v>
      </c>
      <c r="F7347" s="2" t="s">
        <v>11</v>
      </c>
      <c r="G7347" s="2" t="s">
        <v>29704</v>
      </c>
      <c r="H7347" s="2" t="s">
        <v>29705</v>
      </c>
    </row>
    <row r="7348" spans="1:8" ht="25.05" customHeight="1" x14ac:dyDescent="0.25">
      <c r="A7348" s="2" t="s">
        <v>8</v>
      </c>
      <c r="B7348" s="2" t="str">
        <f>HYPERLINK("http://ts.21cn.com/tousu/show/id/1338321","高利贷必严惩")</f>
        <v>高利贷必严惩</v>
      </c>
      <c r="C7348" s="2" t="s">
        <v>9</v>
      </c>
      <c r="D7348" s="2" t="s">
        <v>10</v>
      </c>
      <c r="E7348" s="2" t="str">
        <f>HYPERLINK("http://ts.21cn.com/tousu/show/id/1338321","http://ts.21cn.com/tousu/show/id/1338321")</f>
        <v>http://ts.21cn.com/tousu/show/id/1338321</v>
      </c>
      <c r="F7348" s="2" t="s">
        <v>11</v>
      </c>
      <c r="G7348" s="2" t="s">
        <v>29704</v>
      </c>
      <c r="H7348" s="2" t="s">
        <v>29706</v>
      </c>
    </row>
    <row r="7349" spans="1:8" ht="25.05" customHeight="1" x14ac:dyDescent="0.25">
      <c r="A7349" s="2" t="s">
        <v>8</v>
      </c>
      <c r="B7349" s="2" t="str">
        <f>HYPERLINK("http://ts.21cn.com/tousu/show/id/1338323","小赢卡贷催收人员态度恶略")</f>
        <v>小赢卡贷催收人员态度恶略</v>
      </c>
      <c r="C7349" s="2" t="s">
        <v>9</v>
      </c>
      <c r="D7349" s="2" t="s">
        <v>10</v>
      </c>
      <c r="E7349" s="2" t="str">
        <f>HYPERLINK("http://ts.21cn.com/tousu/show/id/1338323","http://ts.21cn.com/tousu/show/id/1338323")</f>
        <v>http://ts.21cn.com/tousu/show/id/1338323</v>
      </c>
      <c r="F7349" s="2" t="s">
        <v>11</v>
      </c>
      <c r="G7349" s="2" t="s">
        <v>29702</v>
      </c>
      <c r="H7349" s="2" t="s">
        <v>29703</v>
      </c>
    </row>
    <row r="7350" spans="1:8" ht="25.05" customHeight="1" x14ac:dyDescent="0.25">
      <c r="A7350" s="2" t="s">
        <v>8</v>
      </c>
      <c r="B7350" s="2" t="str">
        <f>HYPERLINK("http://ts.21cn.com/tousu/show/id/1338324","活力花高利贷高罚金")</f>
        <v>活力花高利贷高罚金</v>
      </c>
      <c r="C7350" s="2" t="s">
        <v>9</v>
      </c>
      <c r="D7350" s="2" t="s">
        <v>10</v>
      </c>
      <c r="E7350" s="2" t="str">
        <f>HYPERLINK("http://ts.21cn.com/tousu/show/id/1338324","http://ts.21cn.com/tousu/show/id/1338324")</f>
        <v>http://ts.21cn.com/tousu/show/id/1338324</v>
      </c>
      <c r="F7350" s="2" t="s">
        <v>11</v>
      </c>
      <c r="G7350" s="2" t="s">
        <v>29700</v>
      </c>
      <c r="H7350" s="2" t="s">
        <v>29701</v>
      </c>
    </row>
    <row r="7351" spans="1:8" ht="25.05" customHeight="1" x14ac:dyDescent="0.25">
      <c r="A7351" s="2" t="s">
        <v>8</v>
      </c>
      <c r="B7351" s="2" t="str">
        <f>HYPERLINK("http://ts.21cn.com/tousu/show/id/1338325","钱站714高炮，砍头息，合同5100到账3000")</f>
        <v>钱站714高炮，砍头息，合同5100到账3000</v>
      </c>
      <c r="C7351" s="2" t="s">
        <v>9</v>
      </c>
      <c r="D7351" s="2" t="s">
        <v>10</v>
      </c>
      <c r="E7351" s="2" t="str">
        <f>HYPERLINK("http://ts.21cn.com/tousu/show/id/1338325","http://ts.21cn.com/tousu/show/id/1338325")</f>
        <v>http://ts.21cn.com/tousu/show/id/1338325</v>
      </c>
      <c r="F7351" s="2" t="s">
        <v>11</v>
      </c>
      <c r="G7351" s="2" t="s">
        <v>29698</v>
      </c>
      <c r="H7351" s="2" t="s">
        <v>29699</v>
      </c>
    </row>
    <row r="7352" spans="1:8" ht="25.05" customHeight="1" x14ac:dyDescent="0.25">
      <c r="A7352" s="2" t="s">
        <v>8</v>
      </c>
      <c r="B7352" s="2" t="str">
        <f>HYPERLINK("http://ts.21cn.com/tousu/show/id/1338326","非一般的高利贷")</f>
        <v>非一般的高利贷</v>
      </c>
      <c r="C7352" s="2" t="s">
        <v>9</v>
      </c>
      <c r="D7352" s="2" t="s">
        <v>10</v>
      </c>
      <c r="E7352" s="2" t="str">
        <f>HYPERLINK("http://ts.21cn.com/tousu/show/id/1338326","http://ts.21cn.com/tousu/show/id/1338326")</f>
        <v>http://ts.21cn.com/tousu/show/id/1338326</v>
      </c>
      <c r="F7352" s="2" t="s">
        <v>11</v>
      </c>
      <c r="G7352" s="2" t="s">
        <v>29696</v>
      </c>
      <c r="H7352" s="2" t="s">
        <v>29697</v>
      </c>
    </row>
    <row r="7353" spans="1:8" ht="25.05" customHeight="1" x14ac:dyDescent="0.25">
      <c r="A7353" s="2" t="s">
        <v>8</v>
      </c>
      <c r="B7353" s="2" t="str">
        <f>HYPERLINK("http://ts.21cn.com/tousu/show/id/1338327","豹子贷无故扣钱不需要还要扣")</f>
        <v>豹子贷无故扣钱不需要还要扣</v>
      </c>
      <c r="C7353" s="2" t="s">
        <v>9</v>
      </c>
      <c r="D7353" s="2" t="s">
        <v>10</v>
      </c>
      <c r="E7353" s="2" t="str">
        <f>HYPERLINK("http://ts.21cn.com/tousu/show/id/1338327","http://ts.21cn.com/tousu/show/id/1338327")</f>
        <v>http://ts.21cn.com/tousu/show/id/1338327</v>
      </c>
      <c r="F7353" s="2" t="s">
        <v>11</v>
      </c>
      <c r="G7353" s="2" t="s">
        <v>29694</v>
      </c>
      <c r="H7353" s="2" t="s">
        <v>29695</v>
      </c>
    </row>
    <row r="7354" spans="1:8" ht="25.05" customHeight="1" x14ac:dyDescent="0.25">
      <c r="A7354" s="2" t="s">
        <v>8</v>
      </c>
      <c r="B7354" s="2" t="str">
        <f>HYPERLINK("http://ts.21cn.com/tousu/show/id/1338328","用钱宝套路老客户")</f>
        <v>用钱宝套路老客户</v>
      </c>
      <c r="C7354" s="2" t="s">
        <v>9</v>
      </c>
      <c r="D7354" s="2" t="s">
        <v>10</v>
      </c>
      <c r="E7354" s="2" t="str">
        <f>HYPERLINK("http://ts.21cn.com/tousu/show/id/1338328","http://ts.21cn.com/tousu/show/id/1338328")</f>
        <v>http://ts.21cn.com/tousu/show/id/1338328</v>
      </c>
      <c r="F7354" s="2" t="s">
        <v>11</v>
      </c>
      <c r="G7354" s="2" t="s">
        <v>29692</v>
      </c>
      <c r="H7354" s="2" t="s">
        <v>29693</v>
      </c>
    </row>
    <row r="7355" spans="1:8" ht="25.05" customHeight="1" x14ac:dyDescent="0.25">
      <c r="A7355" s="2" t="s">
        <v>8</v>
      </c>
      <c r="B7355" s="2" t="str">
        <f>HYPERLINK("http://ts.21cn.com/tousu/show/id/1338329","恶劣催收")</f>
        <v>恶劣催收</v>
      </c>
      <c r="C7355" s="2" t="s">
        <v>9</v>
      </c>
      <c r="D7355" s="2" t="s">
        <v>10</v>
      </c>
      <c r="E7355" s="2" t="str">
        <f>HYPERLINK("http://ts.21cn.com/tousu/show/id/1338329","http://ts.21cn.com/tousu/show/id/1338329")</f>
        <v>http://ts.21cn.com/tousu/show/id/1338329</v>
      </c>
      <c r="F7355" s="2" t="s">
        <v>11</v>
      </c>
      <c r="G7355" s="2" t="s">
        <v>29690</v>
      </c>
      <c r="H7355" s="2" t="s">
        <v>29691</v>
      </c>
    </row>
    <row r="7356" spans="1:8" ht="25.05" customHeight="1" x14ac:dyDescent="0.25">
      <c r="A7356" s="2" t="s">
        <v>8</v>
      </c>
      <c r="B7356" s="2" t="str">
        <f>HYPERLINK("http://ts.21cn.com/tousu/show/id/1338331","苏宁易购不给退货")</f>
        <v>苏宁易购不给退货</v>
      </c>
      <c r="C7356" s="2" t="s">
        <v>9</v>
      </c>
      <c r="D7356" s="2" t="s">
        <v>10</v>
      </c>
      <c r="E7356" s="2" t="str">
        <f>HYPERLINK("http://ts.21cn.com/tousu/show/id/1338331","http://ts.21cn.com/tousu/show/id/1338331")</f>
        <v>http://ts.21cn.com/tousu/show/id/1338331</v>
      </c>
      <c r="F7356" s="2" t="s">
        <v>11</v>
      </c>
      <c r="G7356" s="2" t="s">
        <v>29688</v>
      </c>
      <c r="H7356" s="2" t="s">
        <v>29689</v>
      </c>
    </row>
    <row r="7357" spans="1:8" ht="25.05" customHeight="1" x14ac:dyDescent="0.25">
      <c r="A7357" s="2" t="s">
        <v>8</v>
      </c>
      <c r="B7357" s="2" t="str">
        <f>HYPERLINK("http://ts.21cn.com/tousu/show/id/1338249","前海锐步商业保理（深圳）有限公司新一贷贷款强制开通会员提现")</f>
        <v>前海锐步商业保理（深圳）有限公司新一贷贷款强制开通会员提现</v>
      </c>
      <c r="C7357" s="2" t="s">
        <v>9</v>
      </c>
      <c r="D7357" s="2" t="s">
        <v>10</v>
      </c>
      <c r="E7357" s="2" t="str">
        <f>HYPERLINK("http://ts.21cn.com/tousu/show/id/1338249","http://ts.21cn.com/tousu/show/id/1338249")</f>
        <v>http://ts.21cn.com/tousu/show/id/1338249</v>
      </c>
      <c r="F7357" s="2" t="s">
        <v>11</v>
      </c>
      <c r="G7357" s="2" t="s">
        <v>29686</v>
      </c>
      <c r="H7357" s="2" t="s">
        <v>29687</v>
      </c>
    </row>
    <row r="7358" spans="1:8" ht="25.05" customHeight="1" x14ac:dyDescent="0.25">
      <c r="A7358" s="2" t="s">
        <v>8</v>
      </c>
      <c r="B7358" s="2" t="str">
        <f>HYPERLINK("http://ts.21cn.com/tousu/show/id/1338332","转转集体投诉专题")</f>
        <v>转转集体投诉专题</v>
      </c>
      <c r="C7358" s="2" t="s">
        <v>9</v>
      </c>
      <c r="D7358" s="2" t="s">
        <v>10</v>
      </c>
      <c r="E7358" s="2" t="str">
        <f>HYPERLINK("http://ts.21cn.com/tousu/show/id/1338332","http://ts.21cn.com/tousu/show/id/1338332")</f>
        <v>http://ts.21cn.com/tousu/show/id/1338332</v>
      </c>
      <c r="F7358" s="2" t="s">
        <v>11</v>
      </c>
      <c r="G7358" s="2" t="s">
        <v>29684</v>
      </c>
      <c r="H7358" s="2" t="s">
        <v>29685</v>
      </c>
    </row>
    <row r="7359" spans="1:8" ht="25.05" customHeight="1" x14ac:dyDescent="0.25">
      <c r="A7359" s="2" t="s">
        <v>8</v>
      </c>
      <c r="B7359" s="2" t="str">
        <f>HYPERLINK("http://ts.21cn.com/tousu/show/id/1338333","玖富高利贷")</f>
        <v>玖富高利贷</v>
      </c>
      <c r="C7359" s="2" t="s">
        <v>9</v>
      </c>
      <c r="D7359" s="2" t="s">
        <v>10</v>
      </c>
      <c r="E7359" s="2" t="str">
        <f>HYPERLINK("http://ts.21cn.com/tousu/show/id/1338333","http://ts.21cn.com/tousu/show/id/1338333")</f>
        <v>http://ts.21cn.com/tousu/show/id/1338333</v>
      </c>
      <c r="F7359" s="2" t="s">
        <v>11</v>
      </c>
      <c r="G7359" s="2" t="s">
        <v>29682</v>
      </c>
      <c r="H7359" s="2" t="s">
        <v>29683</v>
      </c>
    </row>
    <row r="7360" spans="1:8" ht="25.05" customHeight="1" x14ac:dyDescent="0.25">
      <c r="A7360" s="2" t="s">
        <v>8</v>
      </c>
      <c r="B7360" s="2" t="str">
        <f>HYPERLINK("http://ts.21cn.com/tousu/show/id/1338334","在大连市中山区渤海明珠酒店办婚礼还收停车费")</f>
        <v>在大连市中山区渤海明珠酒店办婚礼还收停车费</v>
      </c>
      <c r="C7360" s="2" t="s">
        <v>9</v>
      </c>
      <c r="D7360" s="2" t="s">
        <v>10</v>
      </c>
      <c r="E7360" s="2" t="str">
        <f>HYPERLINK("http://ts.21cn.com/tousu/show/id/1338334","http://ts.21cn.com/tousu/show/id/1338334")</f>
        <v>http://ts.21cn.com/tousu/show/id/1338334</v>
      </c>
      <c r="F7360" s="2" t="s">
        <v>11</v>
      </c>
      <c r="G7360" s="2" t="s">
        <v>29680</v>
      </c>
      <c r="H7360" s="2" t="s">
        <v>29681</v>
      </c>
    </row>
    <row r="7361" spans="1:8" ht="25.05" customHeight="1" x14ac:dyDescent="0.25">
      <c r="A7361" s="2" t="s">
        <v>8</v>
      </c>
      <c r="B7361" s="2" t="str">
        <f>HYPERLINK("http://ts.21cn.com/tousu/show/id/1338335","淘钱钱高利贷平台，汇潮支付为高利贷提供支付渠道")</f>
        <v>淘钱钱高利贷平台，汇潮支付为高利贷提供支付渠道</v>
      </c>
      <c r="C7361" s="2" t="s">
        <v>9</v>
      </c>
      <c r="D7361" s="2" t="s">
        <v>10</v>
      </c>
      <c r="E7361" s="2" t="str">
        <f>HYPERLINK("http://ts.21cn.com/tousu/show/id/1338335","http://ts.21cn.com/tousu/show/id/1338335")</f>
        <v>http://ts.21cn.com/tousu/show/id/1338335</v>
      </c>
      <c r="F7361" s="2" t="s">
        <v>11</v>
      </c>
      <c r="G7361" s="2" t="s">
        <v>29678</v>
      </c>
      <c r="H7361" s="2" t="s">
        <v>29679</v>
      </c>
    </row>
    <row r="7362" spans="1:8" ht="25.05" customHeight="1" x14ac:dyDescent="0.25">
      <c r="A7362" s="2" t="s">
        <v>8</v>
      </c>
      <c r="B7362" s="2" t="str">
        <f>HYPERLINK("http://ts.21cn.com/tousu/show/id/1338302","高利贷，砍头息")</f>
        <v>高利贷，砍头息</v>
      </c>
      <c r="C7362" s="2" t="s">
        <v>9</v>
      </c>
      <c r="D7362" s="2" t="s">
        <v>10</v>
      </c>
      <c r="E7362" s="2" t="str">
        <f>HYPERLINK("http://ts.21cn.com/tousu/show/id/1338302","http://ts.21cn.com/tousu/show/id/1338302")</f>
        <v>http://ts.21cn.com/tousu/show/id/1338302</v>
      </c>
      <c r="F7362" s="2" t="s">
        <v>11</v>
      </c>
      <c r="G7362" s="2" t="s">
        <v>29676</v>
      </c>
      <c r="H7362" s="2" t="s">
        <v>29677</v>
      </c>
    </row>
    <row r="7363" spans="1:8" ht="25.05" customHeight="1" x14ac:dyDescent="0.25">
      <c r="A7363" s="2" t="s">
        <v>8</v>
      </c>
      <c r="B7363" s="2" t="str">
        <f>HYPERLINK("http://ts.21cn.com/tousu/show/id/1338336","中国银联无故代扣")</f>
        <v>中国银联无故代扣</v>
      </c>
      <c r="C7363" s="2" t="s">
        <v>9</v>
      </c>
      <c r="D7363" s="2" t="s">
        <v>10</v>
      </c>
      <c r="E7363" s="2" t="str">
        <f>HYPERLINK("http://ts.21cn.com/tousu/show/id/1338336","http://ts.21cn.com/tousu/show/id/1338336")</f>
        <v>http://ts.21cn.com/tousu/show/id/1338336</v>
      </c>
      <c r="F7363" s="2" t="s">
        <v>11</v>
      </c>
      <c r="G7363" s="2" t="s">
        <v>29674</v>
      </c>
      <c r="H7363" s="2" t="s">
        <v>29675</v>
      </c>
    </row>
    <row r="7364" spans="1:8" ht="25.05" customHeight="1" x14ac:dyDescent="0.25">
      <c r="A7364" s="2" t="s">
        <v>8</v>
      </c>
      <c r="B7364" s="2" t="str">
        <f>HYPERLINK("http://ts.21cn.com/tousu/show/id/1338337","来分期恶意骚扰")</f>
        <v>来分期恶意骚扰</v>
      </c>
      <c r="C7364" s="2" t="s">
        <v>9</v>
      </c>
      <c r="D7364" s="2" t="s">
        <v>10</v>
      </c>
      <c r="E7364" s="2" t="str">
        <f>HYPERLINK("http://ts.21cn.com/tousu/show/id/1338337","http://ts.21cn.com/tousu/show/id/1338337")</f>
        <v>http://ts.21cn.com/tousu/show/id/1338337</v>
      </c>
      <c r="F7364" s="2" t="s">
        <v>11</v>
      </c>
      <c r="G7364" s="2" t="s">
        <v>29672</v>
      </c>
      <c r="H7364" s="2" t="s">
        <v>29673</v>
      </c>
    </row>
    <row r="7365" spans="1:8" ht="25.05" customHeight="1" x14ac:dyDescent="0.25">
      <c r="A7365" s="2" t="s">
        <v>8</v>
      </c>
      <c r="B7365" s="2" t="str">
        <f>HYPERLINK("http://ts.21cn.com/tousu/show/id/1338338","高额逾期费")</f>
        <v>高额逾期费</v>
      </c>
      <c r="C7365" s="2" t="s">
        <v>34</v>
      </c>
      <c r="D7365" s="2" t="s">
        <v>10</v>
      </c>
      <c r="E7365" s="2" t="str">
        <f>HYPERLINK("http://ts.21cn.com/tousu/show/id/1338338","http://ts.21cn.com/tousu/show/id/1338338")</f>
        <v>http://ts.21cn.com/tousu/show/id/1338338</v>
      </c>
      <c r="F7365" s="2" t="s">
        <v>11</v>
      </c>
      <c r="G7365" s="2" t="s">
        <v>29670</v>
      </c>
      <c r="H7365" s="2" t="s">
        <v>29671</v>
      </c>
    </row>
    <row r="7366" spans="1:8" ht="25.05" customHeight="1" x14ac:dyDescent="0.25">
      <c r="A7366" s="2" t="s">
        <v>8</v>
      </c>
      <c r="B7366" s="2" t="str">
        <f>HYPERLINK("http://ts.21cn.com/tousu/show/id/1338339","唯品会退换货")</f>
        <v>唯品会退换货</v>
      </c>
      <c r="C7366" s="2" t="s">
        <v>9</v>
      </c>
      <c r="D7366" s="2" t="s">
        <v>10</v>
      </c>
      <c r="E7366" s="2" t="str">
        <f>HYPERLINK("http://ts.21cn.com/tousu/show/id/1338339","http://ts.21cn.com/tousu/show/id/1338339")</f>
        <v>http://ts.21cn.com/tousu/show/id/1338339</v>
      </c>
      <c r="F7366" s="2" t="s">
        <v>11</v>
      </c>
      <c r="G7366" s="2" t="s">
        <v>29668</v>
      </c>
      <c r="H7366" s="2" t="s">
        <v>29669</v>
      </c>
    </row>
    <row r="7367" spans="1:8" ht="25.05" customHeight="1" x14ac:dyDescent="0.25">
      <c r="A7367" s="2" t="s">
        <v>8</v>
      </c>
      <c r="B7367" s="2" t="str">
        <f>HYPERLINK("http://ts.21cn.com/tousu/show/id/1338340","钱站高利贷暴力催收，随便爆通讯录进行催收")</f>
        <v>钱站高利贷暴力催收，随便爆通讯录进行催收</v>
      </c>
      <c r="C7367" s="2" t="s">
        <v>9</v>
      </c>
      <c r="D7367" s="2" t="s">
        <v>10</v>
      </c>
      <c r="E7367" s="2" t="str">
        <f>HYPERLINK("http://ts.21cn.com/tousu/show/id/1338340","http://ts.21cn.com/tousu/show/id/1338340")</f>
        <v>http://ts.21cn.com/tousu/show/id/1338340</v>
      </c>
      <c r="F7367" s="2" t="s">
        <v>11</v>
      </c>
      <c r="G7367" s="2" t="s">
        <v>29666</v>
      </c>
      <c r="H7367" s="2" t="s">
        <v>29667</v>
      </c>
    </row>
    <row r="7368" spans="1:8" ht="25.05" customHeight="1" x14ac:dyDescent="0.25">
      <c r="A7368" s="2" t="s">
        <v>8</v>
      </c>
      <c r="B7368" s="2" t="str">
        <f>HYPERLINK("http://ts.21cn.com/tousu/show/id/1338341","暴力催收")</f>
        <v>暴力催收</v>
      </c>
      <c r="C7368" s="2" t="s">
        <v>9</v>
      </c>
      <c r="D7368" s="2" t="s">
        <v>10</v>
      </c>
      <c r="E7368" s="2" t="str">
        <f>HYPERLINK("http://ts.21cn.com/tousu/show/id/1338341","http://ts.21cn.com/tousu/show/id/1338341")</f>
        <v>http://ts.21cn.com/tousu/show/id/1338341</v>
      </c>
      <c r="F7368" s="2" t="s">
        <v>11</v>
      </c>
      <c r="G7368" s="2" t="s">
        <v>29664</v>
      </c>
      <c r="H7368" s="2" t="s">
        <v>29665</v>
      </c>
    </row>
    <row r="7369" spans="1:8" ht="25.05" customHeight="1" x14ac:dyDescent="0.25">
      <c r="A7369" s="2" t="s">
        <v>8</v>
      </c>
      <c r="B7369" s="2" t="str">
        <f>HYPERLINK("http://ts.21cn.com/tousu/show/id/1338342","好分期威胁骚扰")</f>
        <v>好分期威胁骚扰</v>
      </c>
      <c r="C7369" s="2" t="s">
        <v>9</v>
      </c>
      <c r="D7369" s="2" t="s">
        <v>10</v>
      </c>
      <c r="E7369" s="2" t="str">
        <f>HYPERLINK("http://ts.21cn.com/tousu/show/id/1338342","http://ts.21cn.com/tousu/show/id/1338342")</f>
        <v>http://ts.21cn.com/tousu/show/id/1338342</v>
      </c>
      <c r="F7369" s="2" t="s">
        <v>11</v>
      </c>
      <c r="G7369" s="2" t="s">
        <v>29662</v>
      </c>
      <c r="H7369" s="2" t="s">
        <v>29663</v>
      </c>
    </row>
    <row r="7370" spans="1:8" ht="25.05" customHeight="1" x14ac:dyDescent="0.25">
      <c r="A7370" s="2" t="s">
        <v>8</v>
      </c>
      <c r="B7370" s="2" t="str">
        <f>HYPERLINK("http://ts.21cn.com/tousu/show/id/1338343","北京有缘在线网络科技有限公司恶意扣钱")</f>
        <v>北京有缘在线网络科技有限公司恶意扣钱</v>
      </c>
      <c r="C7370" s="2" t="s">
        <v>9</v>
      </c>
      <c r="D7370" s="2" t="s">
        <v>10</v>
      </c>
      <c r="E7370" s="2" t="str">
        <f>HYPERLINK("http://ts.21cn.com/tousu/show/id/1338343","http://ts.21cn.com/tousu/show/id/1338343")</f>
        <v>http://ts.21cn.com/tousu/show/id/1338343</v>
      </c>
      <c r="F7370" s="2" t="s">
        <v>11</v>
      </c>
      <c r="G7370" s="2" t="s">
        <v>29660</v>
      </c>
      <c r="H7370" s="2" t="s">
        <v>29661</v>
      </c>
    </row>
    <row r="7371" spans="1:8" ht="25.05" customHeight="1" x14ac:dyDescent="0.25">
      <c r="A7371" s="2" t="s">
        <v>8</v>
      </c>
      <c r="B7371" s="2" t="str">
        <f>HYPERLINK("http://ts.21cn.com/tousu/show/id/1338345","钱站客服恶言催收")</f>
        <v>钱站客服恶言催收</v>
      </c>
      <c r="C7371" s="2" t="s">
        <v>9</v>
      </c>
      <c r="D7371" s="2" t="s">
        <v>10</v>
      </c>
      <c r="E7371" s="2" t="str">
        <f>HYPERLINK("http://ts.21cn.com/tousu/show/id/1338345","http://ts.21cn.com/tousu/show/id/1338345")</f>
        <v>http://ts.21cn.com/tousu/show/id/1338345</v>
      </c>
      <c r="F7371" s="2" t="s">
        <v>11</v>
      </c>
      <c r="G7371" s="2" t="s">
        <v>29658</v>
      </c>
      <c r="H7371" s="2" t="s">
        <v>29659</v>
      </c>
    </row>
    <row r="7372" spans="1:8" ht="25.05" customHeight="1" x14ac:dyDescent="0.25">
      <c r="A7372" s="2" t="s">
        <v>8</v>
      </c>
      <c r="B7372" s="2" t="str">
        <f>HYPERLINK("http://ts.21cn.com/tousu/show/id/1338344","网贷利率太高非法威胁恐吓")</f>
        <v>网贷利率太高非法威胁恐吓</v>
      </c>
      <c r="C7372" s="2" t="s">
        <v>9</v>
      </c>
      <c r="D7372" s="2" t="s">
        <v>10</v>
      </c>
      <c r="E7372" s="2" t="str">
        <f>HYPERLINK("http://ts.21cn.com/tousu/show/id/1338344","http://ts.21cn.com/tousu/show/id/1338344")</f>
        <v>http://ts.21cn.com/tousu/show/id/1338344</v>
      </c>
      <c r="F7372" s="2" t="s">
        <v>11</v>
      </c>
      <c r="G7372" s="2" t="s">
        <v>29656</v>
      </c>
      <c r="H7372" s="2" t="s">
        <v>29657</v>
      </c>
    </row>
    <row r="7373" spans="1:8" ht="25.05" customHeight="1" x14ac:dyDescent="0.25">
      <c r="A7373" s="2" t="s">
        <v>8</v>
      </c>
      <c r="B7373" s="2" t="str">
        <f>HYPERLINK("http://ts.21cn.com/tousu/show/id/1338346","360借条催收威胁恐吓骚扰没办法正常工作")</f>
        <v>360借条催收威胁恐吓骚扰没办法正常工作</v>
      </c>
      <c r="C7373" s="2" t="s">
        <v>9</v>
      </c>
      <c r="D7373" s="2" t="s">
        <v>10</v>
      </c>
      <c r="E7373" s="2" t="str">
        <f>HYPERLINK("http://ts.21cn.com/tousu/show/id/1338346","http://ts.21cn.com/tousu/show/id/1338346")</f>
        <v>http://ts.21cn.com/tousu/show/id/1338346</v>
      </c>
      <c r="F7373" s="2" t="s">
        <v>11</v>
      </c>
      <c r="G7373" s="2" t="s">
        <v>29654</v>
      </c>
      <c r="H7373" s="2" t="s">
        <v>29655</v>
      </c>
    </row>
    <row r="7374" spans="1:8" ht="25.05" customHeight="1" x14ac:dyDescent="0.25">
      <c r="A7374" s="2" t="s">
        <v>8</v>
      </c>
      <c r="B7374" s="2" t="str">
        <f>HYPERLINK("http://ts.21cn.com/tousu/show/id/1338304","豹子贷恶意扣款，阴阳合同，诱导消费")</f>
        <v>豹子贷恶意扣款，阴阳合同，诱导消费</v>
      </c>
      <c r="C7374" s="2" t="s">
        <v>9</v>
      </c>
      <c r="D7374" s="2" t="s">
        <v>10</v>
      </c>
      <c r="E7374" s="2" t="str">
        <f>HYPERLINK("http://ts.21cn.com/tousu/show/id/1338304","http://ts.21cn.com/tousu/show/id/1338304")</f>
        <v>http://ts.21cn.com/tousu/show/id/1338304</v>
      </c>
      <c r="F7374" s="2" t="s">
        <v>11</v>
      </c>
      <c r="G7374" s="2" t="s">
        <v>29652</v>
      </c>
      <c r="H7374" s="2" t="s">
        <v>29653</v>
      </c>
    </row>
    <row r="7375" spans="1:8" ht="25.05" customHeight="1" x14ac:dyDescent="0.25">
      <c r="A7375" s="2" t="s">
        <v>8</v>
      </c>
      <c r="B7375" s="2" t="str">
        <f>HYPERLINK("http://ts.21cn.com/tousu/show/id/1338347","高利贷，暴力催收，短信威胁，骚扰通讯录联系人")</f>
        <v>高利贷，暴力催收，短信威胁，骚扰通讯录联系人</v>
      </c>
      <c r="C7375" s="2" t="s">
        <v>9</v>
      </c>
      <c r="D7375" s="2" t="s">
        <v>10</v>
      </c>
      <c r="E7375" s="2" t="str">
        <f>HYPERLINK("http://ts.21cn.com/tousu/show/id/1338347","http://ts.21cn.com/tousu/show/id/1338347")</f>
        <v>http://ts.21cn.com/tousu/show/id/1338347</v>
      </c>
      <c r="F7375" s="2" t="s">
        <v>11</v>
      </c>
      <c r="G7375" s="2" t="s">
        <v>29650</v>
      </c>
      <c r="H7375" s="2" t="s">
        <v>29651</v>
      </c>
    </row>
    <row r="7376" spans="1:8" ht="25.05" customHeight="1" x14ac:dyDescent="0.25">
      <c r="A7376" s="2" t="s">
        <v>8</v>
      </c>
      <c r="B7376" s="2" t="str">
        <f>HYPERLINK("http://ts.21cn.com/tousu/show/id/1338197","拼多多商家为网赌账户代充值")</f>
        <v>拼多多商家为网赌账户代充值</v>
      </c>
      <c r="C7376" s="2" t="s">
        <v>9</v>
      </c>
      <c r="D7376" s="2" t="s">
        <v>10</v>
      </c>
      <c r="E7376" s="2" t="str">
        <f>HYPERLINK("http://ts.21cn.com/tousu/show/id/1338197","http://ts.21cn.com/tousu/show/id/1338197")</f>
        <v>http://ts.21cn.com/tousu/show/id/1338197</v>
      </c>
      <c r="F7376" s="2" t="s">
        <v>11</v>
      </c>
      <c r="G7376" s="2" t="s">
        <v>29648</v>
      </c>
      <c r="H7376" s="2" t="s">
        <v>29649</v>
      </c>
    </row>
    <row r="7377" spans="1:8" ht="25.05" customHeight="1" x14ac:dyDescent="0.25">
      <c r="A7377" s="2" t="s">
        <v>8</v>
      </c>
      <c r="B7377" s="2" t="str">
        <f>HYPERLINK("http://ts.21cn.com/tousu/show/id/1338330","玖富万卡收取保费")</f>
        <v>玖富万卡收取保费</v>
      </c>
      <c r="C7377" s="2" t="s">
        <v>9</v>
      </c>
      <c r="D7377" s="2" t="s">
        <v>10</v>
      </c>
      <c r="E7377" s="2" t="str">
        <f>HYPERLINK("http://ts.21cn.com/tousu/show/id/1338330","http://ts.21cn.com/tousu/show/id/1338330")</f>
        <v>http://ts.21cn.com/tousu/show/id/1338330</v>
      </c>
      <c r="F7377" s="2" t="s">
        <v>11</v>
      </c>
      <c r="G7377" s="2" t="s">
        <v>29646</v>
      </c>
      <c r="H7377" s="2" t="s">
        <v>29647</v>
      </c>
    </row>
    <row r="7378" spans="1:8" ht="25.05" customHeight="1" x14ac:dyDescent="0.25">
      <c r="A7378" s="2" t="s">
        <v>8</v>
      </c>
      <c r="B7378" s="2" t="str">
        <f>HYPERLINK("http://ts.21cn.com/tousu/show/id/1338349","交易猫下完订单没客服管")</f>
        <v>交易猫下完订单没客服管</v>
      </c>
      <c r="C7378" s="2" t="s">
        <v>9</v>
      </c>
      <c r="D7378" s="2" t="s">
        <v>10</v>
      </c>
      <c r="E7378" s="2" t="str">
        <f>HYPERLINK("http://ts.21cn.com/tousu/show/id/1338349","http://ts.21cn.com/tousu/show/id/1338349")</f>
        <v>http://ts.21cn.com/tousu/show/id/1338349</v>
      </c>
      <c r="F7378" s="2" t="s">
        <v>11</v>
      </c>
      <c r="G7378" s="2" t="s">
        <v>29644</v>
      </c>
      <c r="H7378" s="2" t="s">
        <v>29645</v>
      </c>
    </row>
    <row r="7379" spans="1:8" ht="25.05" customHeight="1" x14ac:dyDescent="0.25">
      <c r="A7379" s="2" t="s">
        <v>8</v>
      </c>
      <c r="B7379" s="2" t="str">
        <f>HYPERLINK("http://ts.21cn.com/tousu/show/id/1338348","平安银行信用卡假期催收")</f>
        <v>平安银行信用卡假期催收</v>
      </c>
      <c r="C7379" s="2" t="s">
        <v>9</v>
      </c>
      <c r="D7379" s="2" t="s">
        <v>10</v>
      </c>
      <c r="E7379" s="2" t="str">
        <f>HYPERLINK("http://ts.21cn.com/tousu/show/id/1338348","http://ts.21cn.com/tousu/show/id/1338348")</f>
        <v>http://ts.21cn.com/tousu/show/id/1338348</v>
      </c>
      <c r="F7379" s="2" t="s">
        <v>11</v>
      </c>
      <c r="G7379" s="2" t="s">
        <v>29642</v>
      </c>
      <c r="H7379" s="2" t="s">
        <v>29643</v>
      </c>
    </row>
    <row r="7380" spans="1:8" ht="25.05" customHeight="1" x14ac:dyDescent="0.25">
      <c r="A7380" s="2" t="s">
        <v>8</v>
      </c>
      <c r="B7380" s="2" t="str">
        <f>HYPERLINK("http://ts.21cn.com/tousu/show/id/1338350","玖富万卡利息高、服务费高、阴阳合同")</f>
        <v>玖富万卡利息高、服务费高、阴阳合同</v>
      </c>
      <c r="C7380" s="2" t="s">
        <v>9</v>
      </c>
      <c r="D7380" s="2" t="s">
        <v>10</v>
      </c>
      <c r="E7380" s="2" t="str">
        <f>HYPERLINK("http://ts.21cn.com/tousu/show/id/1338350","http://ts.21cn.com/tousu/show/id/1338350")</f>
        <v>http://ts.21cn.com/tousu/show/id/1338350</v>
      </c>
      <c r="F7380" s="2" t="s">
        <v>11</v>
      </c>
      <c r="G7380" s="2" t="s">
        <v>29640</v>
      </c>
      <c r="H7380" s="2" t="s">
        <v>29641</v>
      </c>
    </row>
    <row r="7381" spans="1:8" ht="25.05" customHeight="1" x14ac:dyDescent="0.25">
      <c r="A7381" s="2" t="s">
        <v>8</v>
      </c>
      <c r="B7381" s="2" t="str">
        <f>HYPERLINK("http://ts.21cn.com/tousu/show/id/1338352","平安银行天天骚扰家人以及个人，严重打扰到我工作生活")</f>
        <v>平安银行天天骚扰家人以及个人，严重打扰到我工作生活</v>
      </c>
      <c r="C7381" s="2" t="s">
        <v>9</v>
      </c>
      <c r="D7381" s="2" t="s">
        <v>10</v>
      </c>
      <c r="E7381" s="2" t="str">
        <f>HYPERLINK("http://ts.21cn.com/tousu/show/id/1338352","http://ts.21cn.com/tousu/show/id/1338352")</f>
        <v>http://ts.21cn.com/tousu/show/id/1338352</v>
      </c>
      <c r="F7381" s="2" t="s">
        <v>11</v>
      </c>
      <c r="G7381" s="2" t="s">
        <v>29638</v>
      </c>
      <c r="H7381" s="2" t="s">
        <v>29639</v>
      </c>
    </row>
    <row r="7382" spans="1:8" ht="25.05" customHeight="1" x14ac:dyDescent="0.25">
      <c r="A7382" s="2" t="s">
        <v>8</v>
      </c>
      <c r="B7382" s="2" t="str">
        <f>HYPERLINK("http://ts.21cn.com/tousu/show/id/1338353","圆通快递三天没有物流信息")</f>
        <v>圆通快递三天没有物流信息</v>
      </c>
      <c r="C7382" s="2" t="s">
        <v>34</v>
      </c>
      <c r="D7382" s="2" t="s">
        <v>10</v>
      </c>
      <c r="E7382" s="2" t="str">
        <f>HYPERLINK("http://ts.21cn.com/tousu/show/id/1338353","http://ts.21cn.com/tousu/show/id/1338353")</f>
        <v>http://ts.21cn.com/tousu/show/id/1338353</v>
      </c>
      <c r="F7382" s="2" t="s">
        <v>11</v>
      </c>
      <c r="G7382" s="2" t="s">
        <v>29636</v>
      </c>
      <c r="H7382" s="2" t="s">
        <v>29637</v>
      </c>
    </row>
    <row r="7383" spans="1:8" ht="25.05" customHeight="1" x14ac:dyDescent="0.25">
      <c r="A7383" s="2" t="s">
        <v>8</v>
      </c>
      <c r="B7383" s="2" t="str">
        <f>HYPERLINK("http://ts.21cn.com/tousu/show/id/1338354","高利贷")</f>
        <v>高利贷</v>
      </c>
      <c r="C7383" s="2" t="s">
        <v>9</v>
      </c>
      <c r="D7383" s="2" t="s">
        <v>10</v>
      </c>
      <c r="E7383" s="2" t="str">
        <f>HYPERLINK("http://ts.21cn.com/tousu/show/id/1338354","http://ts.21cn.com/tousu/show/id/1338354")</f>
        <v>http://ts.21cn.com/tousu/show/id/1338354</v>
      </c>
      <c r="F7383" s="2" t="s">
        <v>11</v>
      </c>
      <c r="G7383" s="2" t="s">
        <v>29634</v>
      </c>
      <c r="H7383" s="2" t="s">
        <v>29635</v>
      </c>
    </row>
    <row r="7384" spans="1:8" ht="25.05" customHeight="1" x14ac:dyDescent="0.25">
      <c r="A7384" s="2" t="s">
        <v>8</v>
      </c>
      <c r="B7384" s="2" t="str">
        <f>HYPERLINK("http://ts.21cn.com/tousu/show/id/1338355","交通银行信用卡")</f>
        <v>交通银行信用卡</v>
      </c>
      <c r="C7384" s="2" t="s">
        <v>9</v>
      </c>
      <c r="D7384" s="2" t="s">
        <v>10</v>
      </c>
      <c r="E7384" s="2" t="str">
        <f>HYPERLINK("http://ts.21cn.com/tousu/show/id/1338355","http://ts.21cn.com/tousu/show/id/1338355")</f>
        <v>http://ts.21cn.com/tousu/show/id/1338355</v>
      </c>
      <c r="F7384" s="2" t="s">
        <v>11</v>
      </c>
      <c r="G7384" s="2" t="s">
        <v>29632</v>
      </c>
      <c r="H7384" s="2" t="s">
        <v>29633</v>
      </c>
    </row>
    <row r="7385" spans="1:8" ht="25.05" customHeight="1" x14ac:dyDescent="0.25">
      <c r="A7385" s="2" t="s">
        <v>8</v>
      </c>
      <c r="B7385" s="2" t="str">
        <f>HYPERLINK("http://ts.21cn.com/tousu/show/id/1338356","京东白条坑人")</f>
        <v>京东白条坑人</v>
      </c>
      <c r="C7385" s="2" t="s">
        <v>9</v>
      </c>
      <c r="D7385" s="2" t="s">
        <v>10</v>
      </c>
      <c r="E7385" s="2" t="str">
        <f>HYPERLINK("http://ts.21cn.com/tousu/show/id/1338356","http://ts.21cn.com/tousu/show/id/1338356")</f>
        <v>http://ts.21cn.com/tousu/show/id/1338356</v>
      </c>
      <c r="F7385" s="2" t="s">
        <v>11</v>
      </c>
      <c r="G7385" s="2" t="s">
        <v>29630</v>
      </c>
      <c r="H7385" s="2" t="s">
        <v>29631</v>
      </c>
    </row>
    <row r="7386" spans="1:8" ht="25.05" customHeight="1" x14ac:dyDescent="0.25">
      <c r="A7386" s="2" t="s">
        <v>8</v>
      </c>
      <c r="B7386" s="2" t="str">
        <f>HYPERLINK("http://ts.21cn.com/tousu/show/id/1338357","豹子贷恶意扣款虚假宣传")</f>
        <v>豹子贷恶意扣款虚假宣传</v>
      </c>
      <c r="C7386" s="2" t="s">
        <v>9</v>
      </c>
      <c r="D7386" s="2" t="s">
        <v>10</v>
      </c>
      <c r="E7386" s="2" t="str">
        <f>HYPERLINK("http://ts.21cn.com/tousu/show/id/1338357","http://ts.21cn.com/tousu/show/id/1338357")</f>
        <v>http://ts.21cn.com/tousu/show/id/1338357</v>
      </c>
      <c r="F7386" s="2" t="s">
        <v>11</v>
      </c>
      <c r="G7386" s="2" t="s">
        <v>29628</v>
      </c>
      <c r="H7386" s="2" t="s">
        <v>29629</v>
      </c>
    </row>
    <row r="7387" spans="1:8" ht="25.05" customHeight="1" x14ac:dyDescent="0.25">
      <c r="A7387" s="2" t="s">
        <v>8</v>
      </c>
      <c r="B7387" s="2" t="str">
        <f>HYPERLINK("http://ts.21cn.com/tousu/show/id/1338358","车置宝退我保证金")</f>
        <v>车置宝退我保证金</v>
      </c>
      <c r="C7387" s="2" t="s">
        <v>34</v>
      </c>
      <c r="D7387" s="2" t="s">
        <v>10</v>
      </c>
      <c r="E7387" s="2" t="str">
        <f>HYPERLINK("http://ts.21cn.com/tousu/show/id/1338358","http://ts.21cn.com/tousu/show/id/1338358")</f>
        <v>http://ts.21cn.com/tousu/show/id/1338358</v>
      </c>
      <c r="F7387" s="2" t="s">
        <v>11</v>
      </c>
      <c r="G7387" s="2" t="s">
        <v>29626</v>
      </c>
      <c r="H7387" s="2" t="s">
        <v>29627</v>
      </c>
    </row>
    <row r="7388" spans="1:8" ht="25.05" customHeight="1" x14ac:dyDescent="0.25">
      <c r="A7388" s="2" t="s">
        <v>8</v>
      </c>
      <c r="B7388" s="2" t="str">
        <f>HYPERLINK("http://ts.21cn.com/tousu/show/id/1338361","既有分期暴力催收")</f>
        <v>既有分期暴力催收</v>
      </c>
      <c r="C7388" s="2" t="s">
        <v>9</v>
      </c>
      <c r="D7388" s="2" t="s">
        <v>10</v>
      </c>
      <c r="E7388" s="2" t="str">
        <f>HYPERLINK("http://ts.21cn.com/tousu/show/id/1338361","http://ts.21cn.com/tousu/show/id/1338361")</f>
        <v>http://ts.21cn.com/tousu/show/id/1338361</v>
      </c>
      <c r="F7388" s="2" t="s">
        <v>11</v>
      </c>
      <c r="G7388" s="2" t="s">
        <v>29624</v>
      </c>
      <c r="H7388" s="2" t="s">
        <v>29625</v>
      </c>
    </row>
    <row r="7389" spans="1:8" ht="25.05" customHeight="1" x14ac:dyDescent="0.25">
      <c r="A7389" s="2" t="s">
        <v>8</v>
      </c>
      <c r="B7389" s="2" t="str">
        <f>HYPERLINK("http://ts.21cn.com/tousu/show/id/1338359","你我贷收取不符合国家规定的费用")</f>
        <v>你我贷收取不符合国家规定的费用</v>
      </c>
      <c r="C7389" s="2" t="s">
        <v>9</v>
      </c>
      <c r="D7389" s="2" t="s">
        <v>10</v>
      </c>
      <c r="E7389" s="2" t="str">
        <f>HYPERLINK("http://ts.21cn.com/tousu/show/id/1338359","http://ts.21cn.com/tousu/show/id/1338359")</f>
        <v>http://ts.21cn.com/tousu/show/id/1338359</v>
      </c>
      <c r="F7389" s="2" t="s">
        <v>11</v>
      </c>
      <c r="G7389" s="2" t="s">
        <v>29621</v>
      </c>
      <c r="H7389" s="2" t="s">
        <v>29622</v>
      </c>
    </row>
    <row r="7390" spans="1:8" ht="25.05" customHeight="1" x14ac:dyDescent="0.25">
      <c r="A7390" s="2" t="s">
        <v>8</v>
      </c>
      <c r="B7390" s="2" t="str">
        <f>HYPERLINK("http://ts.21cn.com/tousu/show/id/1338360","来分期，恶意骚扰联系人")</f>
        <v>来分期，恶意骚扰联系人</v>
      </c>
      <c r="C7390" s="2" t="s">
        <v>9</v>
      </c>
      <c r="D7390" s="2" t="s">
        <v>10</v>
      </c>
      <c r="E7390" s="2" t="str">
        <f>HYPERLINK("http://ts.21cn.com/tousu/show/id/1338360","http://ts.21cn.com/tousu/show/id/1338360")</f>
        <v>http://ts.21cn.com/tousu/show/id/1338360</v>
      </c>
      <c r="F7390" s="2" t="s">
        <v>11</v>
      </c>
      <c r="G7390" s="2" t="s">
        <v>29621</v>
      </c>
      <c r="H7390" s="2" t="s">
        <v>29623</v>
      </c>
    </row>
    <row r="7391" spans="1:8" ht="25.05" customHeight="1" x14ac:dyDescent="0.25">
      <c r="A7391" s="2" t="s">
        <v>8</v>
      </c>
      <c r="B7391" s="2" t="str">
        <f>HYPERLINK("http://ts.21cn.com/tousu/show/id/1338363","投诉京东金条恶意暴力催收")</f>
        <v>投诉京东金条恶意暴力催收</v>
      </c>
      <c r="C7391" s="2" t="s">
        <v>9</v>
      </c>
      <c r="D7391" s="2" t="s">
        <v>10</v>
      </c>
      <c r="E7391" s="2" t="str">
        <f>HYPERLINK("http://ts.21cn.com/tousu/show/id/1338363","http://ts.21cn.com/tousu/show/id/1338363")</f>
        <v>http://ts.21cn.com/tousu/show/id/1338363</v>
      </c>
      <c r="F7391" s="2" t="s">
        <v>11</v>
      </c>
      <c r="G7391" s="2" t="s">
        <v>29619</v>
      </c>
      <c r="H7391" s="2" t="s">
        <v>29620</v>
      </c>
    </row>
    <row r="7392" spans="1:8" ht="25.05" customHeight="1" x14ac:dyDescent="0.25">
      <c r="A7392" s="2" t="s">
        <v>8</v>
      </c>
      <c r="B7392" s="2" t="str">
        <f>HYPERLINK("http://ts.21cn.com/tousu/show/id/1338313","京东拍拍遇到买家")</f>
        <v>京东拍拍遇到买家</v>
      </c>
      <c r="C7392" s="2" t="s">
        <v>9</v>
      </c>
      <c r="D7392" s="2" t="s">
        <v>10</v>
      </c>
      <c r="E7392" s="2" t="str">
        <f>HYPERLINK("http://ts.21cn.com/tousu/show/id/1338313","http://ts.21cn.com/tousu/show/id/1338313")</f>
        <v>http://ts.21cn.com/tousu/show/id/1338313</v>
      </c>
      <c r="F7392" s="2" t="s">
        <v>11</v>
      </c>
      <c r="G7392" s="2" t="s">
        <v>29617</v>
      </c>
      <c r="H7392" s="2" t="s">
        <v>29618</v>
      </c>
    </row>
    <row r="7393" spans="1:8" ht="25.05" customHeight="1" x14ac:dyDescent="0.25">
      <c r="A7393" s="2" t="s">
        <v>8</v>
      </c>
      <c r="B7393" s="2" t="str">
        <f>HYPERLINK("http://ts.21cn.com/tousu/show/id/1338364","714高利贷")</f>
        <v>714高利贷</v>
      </c>
      <c r="C7393" s="2" t="s">
        <v>9</v>
      </c>
      <c r="D7393" s="2" t="s">
        <v>10</v>
      </c>
      <c r="E7393" s="2" t="str">
        <f>HYPERLINK("http://ts.21cn.com/tousu/show/id/1338364","http://ts.21cn.com/tousu/show/id/1338364")</f>
        <v>http://ts.21cn.com/tousu/show/id/1338364</v>
      </c>
      <c r="F7393" s="2" t="s">
        <v>11</v>
      </c>
      <c r="G7393" s="2" t="s">
        <v>29615</v>
      </c>
      <c r="H7393" s="2" t="s">
        <v>29616</v>
      </c>
    </row>
    <row r="7394" spans="1:8" ht="25.05" customHeight="1" x14ac:dyDescent="0.25">
      <c r="A7394" s="2" t="s">
        <v>8</v>
      </c>
      <c r="B7394" s="2" t="str">
        <f>HYPERLINK("http://ts.21cn.com/tousu/show/id/1338301","YY信用恶意骚扰我亲友")</f>
        <v>YY信用恶意骚扰我亲友</v>
      </c>
      <c r="C7394" s="2" t="s">
        <v>9</v>
      </c>
      <c r="D7394" s="2" t="s">
        <v>10</v>
      </c>
      <c r="E7394" s="2" t="str">
        <f>HYPERLINK("http://ts.21cn.com/tousu/show/id/1338301","http://ts.21cn.com/tousu/show/id/1338301")</f>
        <v>http://ts.21cn.com/tousu/show/id/1338301</v>
      </c>
      <c r="F7394" s="2" t="s">
        <v>11</v>
      </c>
      <c r="G7394" s="2" t="s">
        <v>29613</v>
      </c>
      <c r="H7394" s="2" t="s">
        <v>29614</v>
      </c>
    </row>
    <row r="7395" spans="1:8" ht="25.05" customHeight="1" x14ac:dyDescent="0.25">
      <c r="A7395" s="2" t="s">
        <v>8</v>
      </c>
      <c r="B7395" s="2" t="str">
        <f>HYPERLINK("http://ts.21cn.com/tousu/show/id/1338365","滴滴公司不给我派单，在热区几十个订单也不给我派一个单")</f>
        <v>滴滴公司不给我派单，在热区几十个订单也不给我派一个单</v>
      </c>
      <c r="C7395" s="2" t="s">
        <v>9</v>
      </c>
      <c r="D7395" s="2" t="s">
        <v>10</v>
      </c>
      <c r="E7395" s="2" t="str">
        <f>HYPERLINK("http://ts.21cn.com/tousu/show/id/1338365","http://ts.21cn.com/tousu/show/id/1338365")</f>
        <v>http://ts.21cn.com/tousu/show/id/1338365</v>
      </c>
      <c r="F7395" s="2" t="s">
        <v>11</v>
      </c>
      <c r="G7395" s="2" t="s">
        <v>29611</v>
      </c>
      <c r="H7395" s="2" t="s">
        <v>29612</v>
      </c>
    </row>
    <row r="7396" spans="1:8" ht="25.05" customHeight="1" x14ac:dyDescent="0.25">
      <c r="A7396" s="2" t="s">
        <v>8</v>
      </c>
      <c r="B7396" s="2" t="str">
        <f>HYPERLINK("http://ts.21cn.com/tousu/show/id/1338366","拼多多商户平台帮助赌博网站非法收款")</f>
        <v>拼多多商户平台帮助赌博网站非法收款</v>
      </c>
      <c r="C7396" s="2" t="s">
        <v>9</v>
      </c>
      <c r="D7396" s="2" t="s">
        <v>10</v>
      </c>
      <c r="E7396" s="2" t="str">
        <f>HYPERLINK("http://ts.21cn.com/tousu/show/id/1338366","http://ts.21cn.com/tousu/show/id/1338366")</f>
        <v>http://ts.21cn.com/tousu/show/id/1338366</v>
      </c>
      <c r="F7396" s="2" t="s">
        <v>11</v>
      </c>
      <c r="G7396" s="2" t="s">
        <v>29609</v>
      </c>
      <c r="H7396" s="2" t="s">
        <v>29610</v>
      </c>
    </row>
    <row r="7397" spans="1:8" ht="25.05" customHeight="1" x14ac:dyDescent="0.25">
      <c r="A7397" s="2" t="s">
        <v>8</v>
      </c>
      <c r="B7397" s="2" t="str">
        <f>HYPERLINK("http://ts.21cn.com/tousu/show/id/1338367","360借条提前还款需收高额利息")</f>
        <v>360借条提前还款需收高额利息</v>
      </c>
      <c r="C7397" s="2" t="s">
        <v>9</v>
      </c>
      <c r="D7397" s="2" t="s">
        <v>10</v>
      </c>
      <c r="E7397" s="2" t="str">
        <f>HYPERLINK("http://ts.21cn.com/tousu/show/id/1338367","http://ts.21cn.com/tousu/show/id/1338367")</f>
        <v>http://ts.21cn.com/tousu/show/id/1338367</v>
      </c>
      <c r="F7397" s="2" t="s">
        <v>11</v>
      </c>
      <c r="G7397" s="2" t="s">
        <v>29607</v>
      </c>
      <c r="H7397" s="2" t="s">
        <v>29608</v>
      </c>
    </row>
    <row r="7398" spans="1:8" ht="25.05" customHeight="1" x14ac:dyDescent="0.25">
      <c r="A7398" s="2" t="s">
        <v>8</v>
      </c>
      <c r="B7398" s="2" t="str">
        <f>HYPERLINK("http://ts.21cn.com/tousu/show/id/1338369","违法催收")</f>
        <v>违法催收</v>
      </c>
      <c r="C7398" s="2" t="s">
        <v>9</v>
      </c>
      <c r="D7398" s="2" t="s">
        <v>10</v>
      </c>
      <c r="E7398" s="2" t="str">
        <f>HYPERLINK("http://ts.21cn.com/tousu/show/id/1338369","http://ts.21cn.com/tousu/show/id/1338369")</f>
        <v>http://ts.21cn.com/tousu/show/id/1338369</v>
      </c>
      <c r="F7398" s="2" t="s">
        <v>11</v>
      </c>
      <c r="G7398" s="2" t="s">
        <v>29605</v>
      </c>
      <c r="H7398" s="2" t="s">
        <v>29606</v>
      </c>
    </row>
    <row r="7399" spans="1:8" ht="25.05" customHeight="1" x14ac:dyDescent="0.25">
      <c r="A7399" s="2" t="s">
        <v>8</v>
      </c>
      <c r="B7399" s="2" t="str">
        <f>HYPERLINK("http://ts.21cn.com/tousu/show/id/1338370","郑州悦如公寓一直不退押金")</f>
        <v>郑州悦如公寓一直不退押金</v>
      </c>
      <c r="C7399" s="2" t="s">
        <v>9</v>
      </c>
      <c r="D7399" s="2" t="s">
        <v>10</v>
      </c>
      <c r="E7399" s="2" t="str">
        <f>HYPERLINK("http://ts.21cn.com/tousu/show/id/1338370","http://ts.21cn.com/tousu/show/id/1338370")</f>
        <v>http://ts.21cn.com/tousu/show/id/1338370</v>
      </c>
      <c r="F7399" s="2" t="s">
        <v>11</v>
      </c>
      <c r="G7399" s="2" t="s">
        <v>29603</v>
      </c>
      <c r="H7399" s="2" t="s">
        <v>29604</v>
      </c>
    </row>
    <row r="7400" spans="1:8" ht="25.05" customHeight="1" x14ac:dyDescent="0.25">
      <c r="A7400" s="2" t="s">
        <v>8</v>
      </c>
      <c r="B7400" s="2" t="str">
        <f>HYPERLINK("http://ts.21cn.com/tousu/show/id/1338371","堪比黑社会，宝易支付助纣为虐")</f>
        <v>堪比黑社会，宝易支付助纣为虐</v>
      </c>
      <c r="C7400" s="2" t="s">
        <v>9</v>
      </c>
      <c r="D7400" s="2" t="s">
        <v>10</v>
      </c>
      <c r="E7400" s="2" t="str">
        <f>HYPERLINK("http://ts.21cn.com/tousu/show/id/1338371","http://ts.21cn.com/tousu/show/id/1338371")</f>
        <v>http://ts.21cn.com/tousu/show/id/1338371</v>
      </c>
      <c r="F7400" s="2" t="s">
        <v>11</v>
      </c>
      <c r="G7400" s="2" t="s">
        <v>29601</v>
      </c>
      <c r="H7400" s="2" t="s">
        <v>29602</v>
      </c>
    </row>
    <row r="7401" spans="1:8" ht="25.05" customHeight="1" x14ac:dyDescent="0.25">
      <c r="A7401" s="2" t="s">
        <v>8</v>
      </c>
      <c r="B7401" s="2" t="str">
        <f>HYPERLINK("http://ts.21cn.com/tousu/show/id/1338372","立借平台利息过高，协商未果")</f>
        <v>立借平台利息过高，协商未果</v>
      </c>
      <c r="C7401" s="2" t="s">
        <v>9</v>
      </c>
      <c r="D7401" s="2" t="s">
        <v>10</v>
      </c>
      <c r="E7401" s="2" t="str">
        <f>HYPERLINK("http://ts.21cn.com/tousu/show/id/1338372","http://ts.21cn.com/tousu/show/id/1338372")</f>
        <v>http://ts.21cn.com/tousu/show/id/1338372</v>
      </c>
      <c r="F7401" s="2" t="s">
        <v>11</v>
      </c>
      <c r="G7401" s="2" t="s">
        <v>29599</v>
      </c>
      <c r="H7401" s="2" t="s">
        <v>29600</v>
      </c>
    </row>
    <row r="7402" spans="1:8" ht="25.05" customHeight="1" x14ac:dyDescent="0.25">
      <c r="A7402" s="2" t="s">
        <v>8</v>
      </c>
      <c r="B7402" s="2" t="str">
        <f>HYPERLINK("http://ts.21cn.com/tousu/show/id/1338373","腾安基金自动扣费")</f>
        <v>腾安基金自动扣费</v>
      </c>
      <c r="C7402" s="2" t="s">
        <v>9</v>
      </c>
      <c r="D7402" s="2" t="s">
        <v>10</v>
      </c>
      <c r="E7402" s="2" t="str">
        <f>HYPERLINK("http://ts.21cn.com/tousu/show/id/1338373","http://ts.21cn.com/tousu/show/id/1338373")</f>
        <v>http://ts.21cn.com/tousu/show/id/1338373</v>
      </c>
      <c r="F7402" s="2" t="s">
        <v>11</v>
      </c>
      <c r="G7402" s="2" t="s">
        <v>29597</v>
      </c>
      <c r="H7402" s="2" t="s">
        <v>29598</v>
      </c>
    </row>
    <row r="7403" spans="1:8" ht="25.05" customHeight="1" x14ac:dyDescent="0.25">
      <c r="A7403" s="2" t="s">
        <v>8</v>
      </c>
      <c r="B7403" s="2" t="str">
        <f>HYPERLINK("http://ts.21cn.com/tousu/show/id/1338374","高利贷（轻周转）借款收取高额利息")</f>
        <v>高利贷（轻周转）借款收取高额利息</v>
      </c>
      <c r="C7403" s="2" t="s">
        <v>9</v>
      </c>
      <c r="D7403" s="2" t="s">
        <v>10</v>
      </c>
      <c r="E7403" s="2" t="str">
        <f>HYPERLINK("http://ts.21cn.com/tousu/show/id/1338374","http://ts.21cn.com/tousu/show/id/1338374")</f>
        <v>http://ts.21cn.com/tousu/show/id/1338374</v>
      </c>
      <c r="F7403" s="2" t="s">
        <v>11</v>
      </c>
      <c r="G7403" s="2" t="s">
        <v>29595</v>
      </c>
      <c r="H7403" s="2" t="s">
        <v>29596</v>
      </c>
    </row>
    <row r="7404" spans="1:8" ht="25.05" customHeight="1" x14ac:dyDescent="0.25">
      <c r="A7404" s="2" t="s">
        <v>8</v>
      </c>
      <c r="B7404" s="2" t="str">
        <f>HYPERLINK("http://ts.21cn.com/tousu/show/id/1338375","H5龙城战歌")</f>
        <v>H5龙城战歌</v>
      </c>
      <c r="C7404" s="2" t="s">
        <v>34</v>
      </c>
      <c r="D7404" s="2" t="s">
        <v>10</v>
      </c>
      <c r="E7404" s="2" t="str">
        <f>HYPERLINK("http://ts.21cn.com/tousu/show/id/1338375","http://ts.21cn.com/tousu/show/id/1338375")</f>
        <v>http://ts.21cn.com/tousu/show/id/1338375</v>
      </c>
      <c r="F7404" s="2" t="s">
        <v>11</v>
      </c>
      <c r="G7404" s="2" t="s">
        <v>29593</v>
      </c>
      <c r="H7404" s="2" t="s">
        <v>29594</v>
      </c>
    </row>
    <row r="7405" spans="1:8" ht="25.05" customHeight="1" x14ac:dyDescent="0.25">
      <c r="A7405" s="2" t="s">
        <v>8</v>
      </c>
      <c r="B7405" s="2" t="str">
        <f>HYPERLINK("http://ts.21cn.com/tousu/show/id/1338376","还呗死性不改已经注销帐号还来骚扰电话让借款")</f>
        <v>还呗死性不改已经注销帐号还来骚扰电话让借款</v>
      </c>
      <c r="C7405" s="2" t="s">
        <v>9</v>
      </c>
      <c r="D7405" s="2" t="s">
        <v>10</v>
      </c>
      <c r="E7405" s="2" t="str">
        <f>HYPERLINK("http://ts.21cn.com/tousu/show/id/1338376","http://ts.21cn.com/tousu/show/id/1338376")</f>
        <v>http://ts.21cn.com/tousu/show/id/1338376</v>
      </c>
      <c r="F7405" s="2" t="s">
        <v>11</v>
      </c>
      <c r="G7405" s="2" t="s">
        <v>29591</v>
      </c>
      <c r="H7405" s="2" t="s">
        <v>29592</v>
      </c>
    </row>
    <row r="7406" spans="1:8" ht="25.05" customHeight="1" x14ac:dyDescent="0.25">
      <c r="A7406" s="2" t="s">
        <v>8</v>
      </c>
      <c r="B7406" s="2" t="str">
        <f>HYPERLINK("http://ts.21cn.com/tousu/show/id/1338377","信用管家短信轰炸，太恶劣了")</f>
        <v>信用管家短信轰炸，太恶劣了</v>
      </c>
      <c r="C7406" s="2" t="s">
        <v>9</v>
      </c>
      <c r="D7406" s="2" t="s">
        <v>10</v>
      </c>
      <c r="E7406" s="2" t="str">
        <f>HYPERLINK("http://ts.21cn.com/tousu/show/id/1338377","http://ts.21cn.com/tousu/show/id/1338377")</f>
        <v>http://ts.21cn.com/tousu/show/id/1338377</v>
      </c>
      <c r="F7406" s="2" t="s">
        <v>11</v>
      </c>
      <c r="G7406" s="2" t="s">
        <v>29589</v>
      </c>
      <c r="H7406" s="2" t="s">
        <v>29590</v>
      </c>
    </row>
    <row r="7407" spans="1:8" ht="25.05" customHeight="1" x14ac:dyDescent="0.25">
      <c r="A7407" s="2" t="s">
        <v>8</v>
      </c>
      <c r="B7407" s="2" t="str">
        <f>HYPERLINK("http://ts.21cn.com/tousu/show/id/1338378","购分期恶意扣费")</f>
        <v>购分期恶意扣费</v>
      </c>
      <c r="C7407" s="2" t="s">
        <v>9</v>
      </c>
      <c r="D7407" s="2" t="s">
        <v>10</v>
      </c>
      <c r="E7407" s="2" t="str">
        <f>HYPERLINK("http://ts.21cn.com/tousu/show/id/1338378","http://ts.21cn.com/tousu/show/id/1338378")</f>
        <v>http://ts.21cn.com/tousu/show/id/1338378</v>
      </c>
      <c r="F7407" s="2" t="s">
        <v>11</v>
      </c>
      <c r="G7407" s="2" t="s">
        <v>29587</v>
      </c>
      <c r="H7407" s="2" t="s">
        <v>29588</v>
      </c>
    </row>
    <row r="7408" spans="1:8" ht="25.05" customHeight="1" x14ac:dyDescent="0.25">
      <c r="A7408" s="2" t="s">
        <v>8</v>
      </c>
      <c r="B7408" s="2" t="str">
        <f>HYPERLINK("http://ts.21cn.com/tousu/show/id/1338379","你我贷平台套路贷")</f>
        <v>你我贷平台套路贷</v>
      </c>
      <c r="C7408" s="2" t="s">
        <v>9</v>
      </c>
      <c r="D7408" s="2" t="s">
        <v>10</v>
      </c>
      <c r="E7408" s="2" t="str">
        <f>HYPERLINK("http://ts.21cn.com/tousu/show/id/1338379","http://ts.21cn.com/tousu/show/id/1338379")</f>
        <v>http://ts.21cn.com/tousu/show/id/1338379</v>
      </c>
      <c r="F7408" s="2" t="s">
        <v>11</v>
      </c>
      <c r="G7408" s="2" t="s">
        <v>29585</v>
      </c>
      <c r="H7408" s="2" t="s">
        <v>29586</v>
      </c>
    </row>
    <row r="7409" spans="1:8" ht="25.05" customHeight="1" x14ac:dyDescent="0.25">
      <c r="A7409" s="2" t="s">
        <v>8</v>
      </c>
      <c r="B7409" s="2" t="str">
        <f>HYPERLINK("http://ts.21cn.com/tousu/show/id/1338381","闪银平台收取前期费用，真的是坑")</f>
        <v>闪银平台收取前期费用，真的是坑</v>
      </c>
      <c r="C7409" s="2" t="s">
        <v>9</v>
      </c>
      <c r="D7409" s="2" t="s">
        <v>10</v>
      </c>
      <c r="E7409" s="2" t="str">
        <f>HYPERLINK("http://ts.21cn.com/tousu/show/id/1338381","http://ts.21cn.com/tousu/show/id/1338381")</f>
        <v>http://ts.21cn.com/tousu/show/id/1338381</v>
      </c>
      <c r="F7409" s="2" t="s">
        <v>11</v>
      </c>
      <c r="G7409" s="2" t="s">
        <v>29583</v>
      </c>
      <c r="H7409" s="2" t="s">
        <v>29584</v>
      </c>
    </row>
    <row r="7410" spans="1:8" ht="25.05" customHeight="1" x14ac:dyDescent="0.25">
      <c r="A7410" s="2" t="s">
        <v>8</v>
      </c>
      <c r="B7410" s="2" t="str">
        <f>HYPERLINK("http://ts.21cn.com/tousu/show/id/1338382","快递二次收费")</f>
        <v>快递二次收费</v>
      </c>
      <c r="C7410" s="2" t="s">
        <v>9</v>
      </c>
      <c r="D7410" s="2" t="s">
        <v>10</v>
      </c>
      <c r="E7410" s="2" t="str">
        <f>HYPERLINK("http://ts.21cn.com/tousu/show/id/1338382","http://ts.21cn.com/tousu/show/id/1338382")</f>
        <v>http://ts.21cn.com/tousu/show/id/1338382</v>
      </c>
      <c r="F7410" s="2" t="s">
        <v>11</v>
      </c>
      <c r="G7410" s="2" t="s">
        <v>29581</v>
      </c>
      <c r="H7410" s="2" t="s">
        <v>29582</v>
      </c>
    </row>
    <row r="7411" spans="1:8" ht="25.05" customHeight="1" x14ac:dyDescent="0.25">
      <c r="A7411" s="2" t="s">
        <v>8</v>
      </c>
      <c r="B7411" s="2" t="str">
        <f>HYPERLINK("http://ts.21cn.com/tousu/show/id/1338385","即刻暴力催收")</f>
        <v>即刻暴力催收</v>
      </c>
      <c r="C7411" s="2" t="s">
        <v>9</v>
      </c>
      <c r="D7411" s="2" t="s">
        <v>10</v>
      </c>
      <c r="E7411" s="2" t="str">
        <f>HYPERLINK("http://ts.21cn.com/tousu/show/id/1338385","http://ts.21cn.com/tousu/show/id/1338385")</f>
        <v>http://ts.21cn.com/tousu/show/id/1338385</v>
      </c>
      <c r="F7411" s="2" t="s">
        <v>11</v>
      </c>
      <c r="G7411" s="2" t="s">
        <v>29579</v>
      </c>
      <c r="H7411" s="2" t="s">
        <v>29580</v>
      </c>
    </row>
    <row r="7412" spans="1:8" ht="25.05" customHeight="1" x14ac:dyDescent="0.25">
      <c r="A7412" s="2" t="s">
        <v>8</v>
      </c>
      <c r="B7412" s="2" t="str">
        <f>HYPERLINK("http://ts.21cn.com/tousu/show/id/1338384","及贷催收，随意爆通讯录")</f>
        <v>及贷催收，随意爆通讯录</v>
      </c>
      <c r="C7412" s="2" t="s">
        <v>9</v>
      </c>
      <c r="D7412" s="2" t="s">
        <v>10</v>
      </c>
      <c r="E7412" s="2" t="str">
        <f>HYPERLINK("http://ts.21cn.com/tousu/show/id/1338384","http://ts.21cn.com/tousu/show/id/1338384")</f>
        <v>http://ts.21cn.com/tousu/show/id/1338384</v>
      </c>
      <c r="F7412" s="2" t="s">
        <v>11</v>
      </c>
      <c r="G7412" s="2" t="s">
        <v>29577</v>
      </c>
      <c r="H7412" s="2" t="s">
        <v>29578</v>
      </c>
    </row>
    <row r="7413" spans="1:8" ht="25.05" customHeight="1" x14ac:dyDescent="0.25">
      <c r="A7413" s="2" t="s">
        <v>8</v>
      </c>
      <c r="B7413" s="2" t="str">
        <f>HYPERLINK("http://ts.21cn.com/tousu/show/id/1338386","收了钱不办事")</f>
        <v>收了钱不办事</v>
      </c>
      <c r="C7413" s="2" t="s">
        <v>9</v>
      </c>
      <c r="D7413" s="2" t="s">
        <v>10</v>
      </c>
      <c r="E7413" s="2" t="str">
        <f>HYPERLINK("http://ts.21cn.com/tousu/show/id/1338386","http://ts.21cn.com/tousu/show/id/1338386")</f>
        <v>http://ts.21cn.com/tousu/show/id/1338386</v>
      </c>
      <c r="F7413" s="2" t="s">
        <v>11</v>
      </c>
      <c r="G7413" s="2" t="s">
        <v>29575</v>
      </c>
      <c r="H7413" s="2" t="s">
        <v>29576</v>
      </c>
    </row>
    <row r="7414" spans="1:8" ht="25.05" customHeight="1" x14ac:dyDescent="0.25">
      <c r="A7414" s="2" t="s">
        <v>8</v>
      </c>
      <c r="B7414" s="2" t="str">
        <f>HYPERLINK("http://ts.21cn.com/tousu/show/id/1338387","联通信号差，长达半年仍未得到任何回复")</f>
        <v>联通信号差，长达半年仍未得到任何回复</v>
      </c>
      <c r="C7414" s="2" t="s">
        <v>9</v>
      </c>
      <c r="D7414" s="2" t="s">
        <v>10</v>
      </c>
      <c r="E7414" s="2" t="str">
        <f>HYPERLINK("http://ts.21cn.com/tousu/show/id/1338387","http://ts.21cn.com/tousu/show/id/1338387")</f>
        <v>http://ts.21cn.com/tousu/show/id/1338387</v>
      </c>
      <c r="F7414" s="2" t="s">
        <v>11</v>
      </c>
      <c r="G7414" s="2" t="s">
        <v>29573</v>
      </c>
      <c r="H7414" s="2" t="s">
        <v>29574</v>
      </c>
    </row>
    <row r="7415" spans="1:8" ht="25.05" customHeight="1" x14ac:dyDescent="0.25">
      <c r="A7415" s="2" t="s">
        <v>8</v>
      </c>
      <c r="B7415" s="2" t="str">
        <f>HYPERLINK("http://ts.21cn.com/tousu/show/id/1338389","高铁管家隐形收费")</f>
        <v>高铁管家隐形收费</v>
      </c>
      <c r="C7415" s="2" t="s">
        <v>9</v>
      </c>
      <c r="D7415" s="2" t="s">
        <v>10</v>
      </c>
      <c r="E7415" s="2" t="str">
        <f>HYPERLINK("http://ts.21cn.com/tousu/show/id/1338389","http://ts.21cn.com/tousu/show/id/1338389")</f>
        <v>http://ts.21cn.com/tousu/show/id/1338389</v>
      </c>
      <c r="F7415" s="2" t="s">
        <v>11</v>
      </c>
      <c r="G7415" s="2" t="s">
        <v>29571</v>
      </c>
      <c r="H7415" s="2" t="s">
        <v>29572</v>
      </c>
    </row>
    <row r="7416" spans="1:8" ht="25.05" customHeight="1" x14ac:dyDescent="0.25">
      <c r="A7416" s="2" t="s">
        <v>8</v>
      </c>
      <c r="B7416" s="2" t="str">
        <f>HYPERLINK("http://ts.21cn.com/tousu/show/id/1338390","退款解释")</f>
        <v>退款解释</v>
      </c>
      <c r="C7416" s="2" t="s">
        <v>9</v>
      </c>
      <c r="D7416" s="2" t="s">
        <v>10</v>
      </c>
      <c r="E7416" s="2" t="str">
        <f>HYPERLINK("http://ts.21cn.com/tousu/show/id/1338390","http://ts.21cn.com/tousu/show/id/1338390")</f>
        <v>http://ts.21cn.com/tousu/show/id/1338390</v>
      </c>
      <c r="F7416" s="2" t="s">
        <v>11</v>
      </c>
      <c r="G7416" s="2" t="s">
        <v>29569</v>
      </c>
      <c r="H7416" s="2" t="s">
        <v>29570</v>
      </c>
    </row>
    <row r="7417" spans="1:8" ht="25.05" customHeight="1" x14ac:dyDescent="0.25">
      <c r="A7417" s="2" t="s">
        <v>8</v>
      </c>
      <c r="B7417" s="2" t="str">
        <f>HYPERLINK("http://ts.21cn.com/tousu/show/id/1338396","移动乱扣流量")</f>
        <v>移动乱扣流量</v>
      </c>
      <c r="C7417" s="2" t="s">
        <v>9</v>
      </c>
      <c r="D7417" s="2" t="s">
        <v>10</v>
      </c>
      <c r="E7417" s="2" t="str">
        <f>HYPERLINK("http://ts.21cn.com/tousu/show/id/1338396","http://ts.21cn.com/tousu/show/id/1338396")</f>
        <v>http://ts.21cn.com/tousu/show/id/1338396</v>
      </c>
      <c r="F7417" s="2" t="s">
        <v>11</v>
      </c>
      <c r="G7417" s="2" t="s">
        <v>29567</v>
      </c>
      <c r="H7417" s="2" t="s">
        <v>29568</v>
      </c>
    </row>
    <row r="7418" spans="1:8" ht="25.05" customHeight="1" x14ac:dyDescent="0.25">
      <c r="A7418" s="2" t="s">
        <v>8</v>
      </c>
      <c r="B7418" s="2" t="str">
        <f>HYPERLINK("http://ts.21cn.com/tousu/show/id/1338392","天下信用联合714")</f>
        <v>天下信用联合714</v>
      </c>
      <c r="C7418" s="2" t="s">
        <v>9</v>
      </c>
      <c r="D7418" s="2" t="s">
        <v>10</v>
      </c>
      <c r="E7418" s="2" t="str">
        <f>HYPERLINK("http://ts.21cn.com/tousu/show/id/1338392","http://ts.21cn.com/tousu/show/id/1338392")</f>
        <v>http://ts.21cn.com/tousu/show/id/1338392</v>
      </c>
      <c r="F7418" s="2" t="s">
        <v>11</v>
      </c>
      <c r="G7418" s="2" t="s">
        <v>29565</v>
      </c>
      <c r="H7418" s="2" t="s">
        <v>29566</v>
      </c>
    </row>
    <row r="7419" spans="1:8" ht="25.05" customHeight="1" x14ac:dyDescent="0.25">
      <c r="A7419" s="2" t="s">
        <v>8</v>
      </c>
      <c r="B7419" s="2" t="str">
        <f>HYPERLINK("http://ts.21cn.com/tousu/show/id/1338393","在苏宁易购买手机快递员未按要求验货就签收后发现屏幕裂痕卖家拒绝退换货")</f>
        <v>在苏宁易购买手机快递员未按要求验货就签收后发现屏幕裂痕卖家拒绝退换货</v>
      </c>
      <c r="C7419" s="2" t="s">
        <v>9</v>
      </c>
      <c r="D7419" s="2" t="s">
        <v>10</v>
      </c>
      <c r="E7419" s="2" t="str">
        <f>HYPERLINK("http://ts.21cn.com/tousu/show/id/1338393","http://ts.21cn.com/tousu/show/id/1338393")</f>
        <v>http://ts.21cn.com/tousu/show/id/1338393</v>
      </c>
      <c r="F7419" s="2" t="s">
        <v>11</v>
      </c>
      <c r="G7419" s="2" t="s">
        <v>29563</v>
      </c>
      <c r="H7419" s="2" t="s">
        <v>29564</v>
      </c>
    </row>
    <row r="7420" spans="1:8" ht="25.05" customHeight="1" x14ac:dyDescent="0.25">
      <c r="A7420" s="2" t="s">
        <v>8</v>
      </c>
      <c r="B7420" s="2" t="str">
        <f>HYPERLINK("http://ts.21cn.com/tousu/show/id/1338395","立借平台月月借高利贷威胁恐吓，行为恶劣")</f>
        <v>立借平台月月借高利贷威胁恐吓，行为恶劣</v>
      </c>
      <c r="C7420" s="2" t="s">
        <v>9</v>
      </c>
      <c r="D7420" s="2" t="s">
        <v>10</v>
      </c>
      <c r="E7420" s="2" t="str">
        <f>HYPERLINK("http://ts.21cn.com/tousu/show/id/1338395","http://ts.21cn.com/tousu/show/id/1338395")</f>
        <v>http://ts.21cn.com/tousu/show/id/1338395</v>
      </c>
      <c r="F7420" s="2" t="s">
        <v>11</v>
      </c>
      <c r="G7420" s="2" t="s">
        <v>29561</v>
      </c>
      <c r="H7420" s="2" t="s">
        <v>29562</v>
      </c>
    </row>
    <row r="7421" spans="1:8" ht="25.05" customHeight="1" x14ac:dyDescent="0.25">
      <c r="A7421" s="2" t="s">
        <v>8</v>
      </c>
      <c r="B7421" s="2" t="str">
        <f>HYPERLINK("http://ts.21cn.com/tousu/show/id/1338394","不经允许联系通讯录联系人")</f>
        <v>不经允许联系通讯录联系人</v>
      </c>
      <c r="C7421" s="2" t="s">
        <v>9</v>
      </c>
      <c r="D7421" s="2" t="s">
        <v>10</v>
      </c>
      <c r="E7421" s="2" t="str">
        <f>HYPERLINK("http://ts.21cn.com/tousu/show/id/1338394","http://ts.21cn.com/tousu/show/id/1338394")</f>
        <v>http://ts.21cn.com/tousu/show/id/1338394</v>
      </c>
      <c r="F7421" s="2" t="s">
        <v>11</v>
      </c>
      <c r="G7421" s="2" t="s">
        <v>29559</v>
      </c>
      <c r="H7421" s="2" t="s">
        <v>29560</v>
      </c>
    </row>
    <row r="7422" spans="1:8" ht="25.05" customHeight="1" x14ac:dyDescent="0.25">
      <c r="A7422" s="2" t="s">
        <v>8</v>
      </c>
      <c r="B7422" s="2" t="str">
        <f>HYPERLINK("http://ts.21cn.com/tousu/show/id/1338397","维信金科主动还款后多扣手续费")</f>
        <v>维信金科主动还款后多扣手续费</v>
      </c>
      <c r="C7422" s="2" t="s">
        <v>34</v>
      </c>
      <c r="D7422" s="2" t="s">
        <v>10</v>
      </c>
      <c r="E7422" s="2" t="str">
        <f>HYPERLINK("http://ts.21cn.com/tousu/show/id/1338397","http://ts.21cn.com/tousu/show/id/1338397")</f>
        <v>http://ts.21cn.com/tousu/show/id/1338397</v>
      </c>
      <c r="F7422" s="2" t="s">
        <v>11</v>
      </c>
      <c r="G7422" s="2" t="s">
        <v>29558</v>
      </c>
      <c r="H7422" s="2" t="s">
        <v>29500</v>
      </c>
    </row>
    <row r="7423" spans="1:8" ht="25.05" customHeight="1" x14ac:dyDescent="0.25">
      <c r="A7423" s="2" t="s">
        <v>8</v>
      </c>
      <c r="B7423" s="2" t="str">
        <f>HYPERLINK("http://ts.21cn.com/tousu/show/id/1338398","招联金融爆通讯录")</f>
        <v>招联金融爆通讯录</v>
      </c>
      <c r="C7423" s="2" t="s">
        <v>9</v>
      </c>
      <c r="D7423" s="2" t="s">
        <v>10</v>
      </c>
      <c r="E7423" s="2" t="str">
        <f>HYPERLINK("http://ts.21cn.com/tousu/show/id/1338398","http://ts.21cn.com/tousu/show/id/1338398")</f>
        <v>http://ts.21cn.com/tousu/show/id/1338398</v>
      </c>
      <c r="F7423" s="2" t="s">
        <v>11</v>
      </c>
      <c r="G7423" s="2" t="s">
        <v>29556</v>
      </c>
      <c r="H7423" s="2" t="s">
        <v>29557</v>
      </c>
    </row>
    <row r="7424" spans="1:8" ht="25.05" customHeight="1" x14ac:dyDescent="0.25">
      <c r="A7424" s="2" t="s">
        <v>8</v>
      </c>
      <c r="B7424" s="2" t="str">
        <f>HYPERLINK("http://ts.21cn.com/tousu/show/id/1338399","爆通讯录")</f>
        <v>爆通讯录</v>
      </c>
      <c r="C7424" s="2" t="s">
        <v>9</v>
      </c>
      <c r="D7424" s="2" t="s">
        <v>10</v>
      </c>
      <c r="E7424" s="2" t="str">
        <f>HYPERLINK("http://ts.21cn.com/tousu/show/id/1338399","http://ts.21cn.com/tousu/show/id/1338399")</f>
        <v>http://ts.21cn.com/tousu/show/id/1338399</v>
      </c>
      <c r="F7424" s="2" t="s">
        <v>11</v>
      </c>
      <c r="G7424" s="2" t="s">
        <v>29554</v>
      </c>
      <c r="H7424" s="2" t="s">
        <v>29555</v>
      </c>
    </row>
    <row r="7425" spans="1:8" ht="25.05" customHeight="1" x14ac:dyDescent="0.25">
      <c r="A7425" s="2" t="s">
        <v>8</v>
      </c>
      <c r="B7425" s="2" t="str">
        <f>HYPERLINK("http://ts.21cn.com/tousu/show/id/1338400","豆豆钱砍头息")</f>
        <v>豆豆钱砍头息</v>
      </c>
      <c r="C7425" s="2" t="s">
        <v>34</v>
      </c>
      <c r="D7425" s="2" t="s">
        <v>10</v>
      </c>
      <c r="E7425" s="2" t="str">
        <f>HYPERLINK("http://ts.21cn.com/tousu/show/id/1338400","http://ts.21cn.com/tousu/show/id/1338400")</f>
        <v>http://ts.21cn.com/tousu/show/id/1338400</v>
      </c>
      <c r="F7425" s="2" t="s">
        <v>11</v>
      </c>
      <c r="G7425" s="2" t="s">
        <v>29552</v>
      </c>
      <c r="H7425" s="2" t="s">
        <v>29553</v>
      </c>
    </row>
    <row r="7426" spans="1:8" ht="25.05" customHeight="1" x14ac:dyDescent="0.25">
      <c r="A7426" s="2" t="s">
        <v>8</v>
      </c>
      <c r="B7426" s="2" t="str">
        <f>HYPERLINK("http://ts.21cn.com/tousu/show/id/1338401","砍头息，套路贷")</f>
        <v>砍头息，套路贷</v>
      </c>
      <c r="C7426" s="2" t="s">
        <v>9</v>
      </c>
      <c r="D7426" s="2" t="s">
        <v>10</v>
      </c>
      <c r="E7426" s="2" t="str">
        <f>HYPERLINK("http://ts.21cn.com/tousu/show/id/1338401","http://ts.21cn.com/tousu/show/id/1338401")</f>
        <v>http://ts.21cn.com/tousu/show/id/1338401</v>
      </c>
      <c r="F7426" s="2" t="s">
        <v>11</v>
      </c>
      <c r="G7426" s="2" t="s">
        <v>29550</v>
      </c>
      <c r="H7426" s="2" t="s">
        <v>29551</v>
      </c>
    </row>
    <row r="7427" spans="1:8" ht="25.05" customHeight="1" x14ac:dyDescent="0.25">
      <c r="A7427" s="2" t="s">
        <v>8</v>
      </c>
      <c r="B7427" s="2" t="str">
        <f>HYPERLINK("http://ts.21cn.com/tousu/show/id/1338388","畅捷支付ps机忽悠消费者")</f>
        <v>畅捷支付ps机忽悠消费者</v>
      </c>
      <c r="C7427" s="2" t="s">
        <v>9</v>
      </c>
      <c r="D7427" s="2" t="s">
        <v>10</v>
      </c>
      <c r="E7427" s="2" t="str">
        <f>HYPERLINK("http://ts.21cn.com/tousu/show/id/1338388","http://ts.21cn.com/tousu/show/id/1338388")</f>
        <v>http://ts.21cn.com/tousu/show/id/1338388</v>
      </c>
      <c r="F7427" s="2" t="s">
        <v>11</v>
      </c>
      <c r="G7427" s="2" t="s">
        <v>29548</v>
      </c>
      <c r="H7427" s="2" t="s">
        <v>29549</v>
      </c>
    </row>
    <row r="7428" spans="1:8" ht="25.05" customHeight="1" x14ac:dyDescent="0.25">
      <c r="A7428" s="2" t="s">
        <v>8</v>
      </c>
      <c r="B7428" s="2" t="str">
        <f>HYPERLINK("http://ts.21cn.com/tousu/show/id/1338402","信用管家里的APP诚薪贷太坑")</f>
        <v>信用管家里的APP诚薪贷太坑</v>
      </c>
      <c r="C7428" s="2" t="s">
        <v>9</v>
      </c>
      <c r="D7428" s="2" t="s">
        <v>10</v>
      </c>
      <c r="E7428" s="2" t="str">
        <f>HYPERLINK("http://ts.21cn.com/tousu/show/id/1338402","http://ts.21cn.com/tousu/show/id/1338402")</f>
        <v>http://ts.21cn.com/tousu/show/id/1338402</v>
      </c>
      <c r="F7428" s="2" t="s">
        <v>11</v>
      </c>
      <c r="G7428" s="2" t="s">
        <v>29546</v>
      </c>
      <c r="H7428" s="2" t="s">
        <v>29547</v>
      </c>
    </row>
    <row r="7429" spans="1:8" ht="25.05" customHeight="1" x14ac:dyDescent="0.25">
      <c r="A7429" s="2" t="s">
        <v>8</v>
      </c>
      <c r="B7429" s="2" t="str">
        <f>HYPERLINK("http://ts.21cn.com/tousu/show/id/1338391","急需贷伪造假信息")</f>
        <v>急需贷伪造假信息</v>
      </c>
      <c r="C7429" s="2" t="s">
        <v>9</v>
      </c>
      <c r="D7429" s="2" t="s">
        <v>10</v>
      </c>
      <c r="E7429" s="2" t="str">
        <f>HYPERLINK("http://ts.21cn.com/tousu/show/id/1338391","http://ts.21cn.com/tousu/show/id/1338391")</f>
        <v>http://ts.21cn.com/tousu/show/id/1338391</v>
      </c>
      <c r="F7429" s="2" t="s">
        <v>11</v>
      </c>
      <c r="G7429" s="2" t="s">
        <v>29544</v>
      </c>
      <c r="H7429" s="2" t="s">
        <v>29545</v>
      </c>
    </row>
    <row r="7430" spans="1:8" ht="25.05" customHeight="1" x14ac:dyDescent="0.25">
      <c r="A7430" s="2" t="s">
        <v>8</v>
      </c>
      <c r="B7430" s="2" t="str">
        <f>HYPERLINK("http://ts.21cn.com/tousu/show/id/1338403","闪银平台违规收取利息，")</f>
        <v>闪银平台违规收取利息，</v>
      </c>
      <c r="C7430" s="2" t="s">
        <v>9</v>
      </c>
      <c r="D7430" s="2" t="s">
        <v>10</v>
      </c>
      <c r="E7430" s="2" t="str">
        <f>HYPERLINK("http://ts.21cn.com/tousu/show/id/1338403","http://ts.21cn.com/tousu/show/id/1338403")</f>
        <v>http://ts.21cn.com/tousu/show/id/1338403</v>
      </c>
      <c r="F7430" s="2" t="s">
        <v>11</v>
      </c>
      <c r="G7430" s="2" t="s">
        <v>29542</v>
      </c>
      <c r="H7430" s="2" t="s">
        <v>29543</v>
      </c>
    </row>
    <row r="7431" spans="1:8" ht="25.05" customHeight="1" x14ac:dyDescent="0.25">
      <c r="A7431" s="2" t="s">
        <v>8</v>
      </c>
      <c r="B7431" s="2" t="str">
        <f>HYPERLINK("http://ts.21cn.com/tousu/show/id/1338404","砍头息，电话骚扰，催收态度恶劣")</f>
        <v>砍头息，电话骚扰，催收态度恶劣</v>
      </c>
      <c r="C7431" s="2" t="s">
        <v>9</v>
      </c>
      <c r="D7431" s="2" t="s">
        <v>10</v>
      </c>
      <c r="E7431" s="2" t="str">
        <f>HYPERLINK("http://ts.21cn.com/tousu/show/id/1338404","http://ts.21cn.com/tousu/show/id/1338404")</f>
        <v>http://ts.21cn.com/tousu/show/id/1338404</v>
      </c>
      <c r="F7431" s="2" t="s">
        <v>11</v>
      </c>
      <c r="G7431" s="2" t="s">
        <v>29541</v>
      </c>
      <c r="H7431" s="2" t="s">
        <v>29512</v>
      </c>
    </row>
    <row r="7432" spans="1:8" ht="25.05" customHeight="1" x14ac:dyDescent="0.25">
      <c r="A7432" s="2" t="s">
        <v>8</v>
      </c>
      <c r="B7432" s="2" t="str">
        <f>HYPERLINK("http://ts.21cn.com/tousu/show/id/1338405","拍拍贷恶意爆个人通讯录")</f>
        <v>拍拍贷恶意爆个人通讯录</v>
      </c>
      <c r="C7432" s="2" t="s">
        <v>9</v>
      </c>
      <c r="D7432" s="2" t="s">
        <v>10</v>
      </c>
      <c r="E7432" s="2" t="str">
        <f>HYPERLINK("http://ts.21cn.com/tousu/show/id/1338405","http://ts.21cn.com/tousu/show/id/1338405")</f>
        <v>http://ts.21cn.com/tousu/show/id/1338405</v>
      </c>
      <c r="F7432" s="2" t="s">
        <v>11</v>
      </c>
      <c r="G7432" s="2" t="s">
        <v>29539</v>
      </c>
      <c r="H7432" s="2" t="s">
        <v>29540</v>
      </c>
    </row>
    <row r="7433" spans="1:8" ht="25.05" customHeight="1" x14ac:dyDescent="0.25">
      <c r="A7433" s="2" t="s">
        <v>8</v>
      </c>
      <c r="B7433" s="2" t="str">
        <f>HYPERLINK("http://ts.21cn.com/tousu/show/id/1338406","齐鲁ETC不给发货，还不能注销")</f>
        <v>齐鲁ETC不给发货，还不能注销</v>
      </c>
      <c r="C7433" s="2" t="s">
        <v>9</v>
      </c>
      <c r="D7433" s="2" t="s">
        <v>10</v>
      </c>
      <c r="E7433" s="2" t="str">
        <f>HYPERLINK("http://ts.21cn.com/tousu/show/id/1338406","http://ts.21cn.com/tousu/show/id/1338406")</f>
        <v>http://ts.21cn.com/tousu/show/id/1338406</v>
      </c>
      <c r="F7433" s="2" t="s">
        <v>11</v>
      </c>
      <c r="G7433" s="2" t="s">
        <v>29537</v>
      </c>
      <c r="H7433" s="2" t="s">
        <v>29538</v>
      </c>
    </row>
    <row r="7434" spans="1:8" ht="25.05" customHeight="1" x14ac:dyDescent="0.25">
      <c r="A7434" s="2" t="s">
        <v>8</v>
      </c>
      <c r="B7434" s="2" t="str">
        <f>HYPERLINK("http://ts.21cn.com/tousu/show/id/1338407","平安信用卡爆力摧收")</f>
        <v>平安信用卡爆力摧收</v>
      </c>
      <c r="C7434" s="2" t="s">
        <v>9</v>
      </c>
      <c r="D7434" s="2" t="s">
        <v>10</v>
      </c>
      <c r="E7434" s="2" t="str">
        <f>HYPERLINK("http://ts.21cn.com/tousu/show/id/1338407","http://ts.21cn.com/tousu/show/id/1338407")</f>
        <v>http://ts.21cn.com/tousu/show/id/1338407</v>
      </c>
      <c r="F7434" s="2" t="s">
        <v>11</v>
      </c>
      <c r="G7434" s="2" t="s">
        <v>29535</v>
      </c>
      <c r="H7434" s="2" t="s">
        <v>29536</v>
      </c>
    </row>
    <row r="7435" spans="1:8" ht="25.05" customHeight="1" x14ac:dyDescent="0.25">
      <c r="A7435" s="2" t="s">
        <v>8</v>
      </c>
      <c r="B7435" s="2" t="str">
        <f>HYPERLINK("http://ts.21cn.com/tousu/show/id/1338408","滴滴快车司机接不到单")</f>
        <v>滴滴快车司机接不到单</v>
      </c>
      <c r="C7435" s="2" t="s">
        <v>34</v>
      </c>
      <c r="D7435" s="2" t="s">
        <v>10</v>
      </c>
      <c r="E7435" s="2" t="str">
        <f>HYPERLINK("http://ts.21cn.com/tousu/show/id/1338408","http://ts.21cn.com/tousu/show/id/1338408")</f>
        <v>http://ts.21cn.com/tousu/show/id/1338408</v>
      </c>
      <c r="F7435" s="2" t="s">
        <v>11</v>
      </c>
      <c r="G7435" s="2" t="s">
        <v>29533</v>
      </c>
      <c r="H7435" s="2" t="s">
        <v>29534</v>
      </c>
    </row>
    <row r="7436" spans="1:8" ht="25.05" customHeight="1" x14ac:dyDescent="0.25">
      <c r="A7436" s="2" t="s">
        <v>8</v>
      </c>
      <c r="B7436" s="2" t="str">
        <f>HYPERLINK("http://ts.21cn.com/tousu/show/id/1338409","信而富收取高额费用")</f>
        <v>信而富收取高额费用</v>
      </c>
      <c r="C7436" s="2" t="s">
        <v>9</v>
      </c>
      <c r="D7436" s="2" t="s">
        <v>10</v>
      </c>
      <c r="E7436" s="2" t="str">
        <f>HYPERLINK("http://ts.21cn.com/tousu/show/id/1338409","http://ts.21cn.com/tousu/show/id/1338409")</f>
        <v>http://ts.21cn.com/tousu/show/id/1338409</v>
      </c>
      <c r="F7436" s="2" t="s">
        <v>11</v>
      </c>
      <c r="G7436" s="2" t="s">
        <v>29531</v>
      </c>
      <c r="H7436" s="2" t="s">
        <v>29532</v>
      </c>
    </row>
    <row r="7437" spans="1:8" ht="25.05" customHeight="1" x14ac:dyDescent="0.25">
      <c r="A7437" s="2" t="s">
        <v>8</v>
      </c>
      <c r="B7437" s="2" t="str">
        <f>HYPERLINK("http://ts.21cn.com/tousu/show/id/1338410","拼多多恶意冻结资金")</f>
        <v>拼多多恶意冻结资金</v>
      </c>
      <c r="C7437" s="2" t="s">
        <v>9</v>
      </c>
      <c r="D7437" s="2" t="s">
        <v>10</v>
      </c>
      <c r="E7437" s="2" t="str">
        <f>HYPERLINK("http://ts.21cn.com/tousu/show/id/1338410","http://ts.21cn.com/tousu/show/id/1338410")</f>
        <v>http://ts.21cn.com/tousu/show/id/1338410</v>
      </c>
      <c r="F7437" s="2" t="s">
        <v>11</v>
      </c>
      <c r="G7437" s="2" t="s">
        <v>29529</v>
      </c>
      <c r="H7437" s="2" t="s">
        <v>29530</v>
      </c>
    </row>
    <row r="7438" spans="1:8" ht="25.05" customHeight="1" x14ac:dyDescent="0.25">
      <c r="A7438" s="2" t="s">
        <v>8</v>
      </c>
      <c r="B7438" s="2" t="str">
        <f>HYPERLINK("http://ts.21cn.com/tousu/show/id/1338411","建设银行第三方恶意骚扰")</f>
        <v>建设银行第三方恶意骚扰</v>
      </c>
      <c r="C7438" s="2" t="s">
        <v>9</v>
      </c>
      <c r="D7438" s="2" t="s">
        <v>10</v>
      </c>
      <c r="E7438" s="2" t="str">
        <f>HYPERLINK("http://ts.21cn.com/tousu/show/id/1338411","http://ts.21cn.com/tousu/show/id/1338411")</f>
        <v>http://ts.21cn.com/tousu/show/id/1338411</v>
      </c>
      <c r="F7438" s="2" t="s">
        <v>11</v>
      </c>
      <c r="G7438" s="2" t="s">
        <v>29527</v>
      </c>
      <c r="H7438" s="2" t="s">
        <v>29528</v>
      </c>
    </row>
    <row r="7439" spans="1:8" ht="25.05" customHeight="1" x14ac:dyDescent="0.25">
      <c r="A7439" s="2" t="s">
        <v>8</v>
      </c>
      <c r="B7439" s="2" t="str">
        <f>HYPERLINK("http://ts.21cn.com/tousu/show/id/1338412","牛人有品高额砍头利息")</f>
        <v>牛人有品高额砍头利息</v>
      </c>
      <c r="C7439" s="2" t="s">
        <v>34</v>
      </c>
      <c r="D7439" s="2" t="s">
        <v>10</v>
      </c>
      <c r="E7439" s="2" t="str">
        <f>HYPERLINK("http://ts.21cn.com/tousu/show/id/1338412","http://ts.21cn.com/tousu/show/id/1338412")</f>
        <v>http://ts.21cn.com/tousu/show/id/1338412</v>
      </c>
      <c r="F7439" s="2" t="s">
        <v>11</v>
      </c>
      <c r="G7439" s="2" t="s">
        <v>29525</v>
      </c>
      <c r="H7439" s="2" t="s">
        <v>29526</v>
      </c>
    </row>
    <row r="7440" spans="1:8" ht="25.05" customHeight="1" x14ac:dyDescent="0.25">
      <c r="A7440" s="2" t="s">
        <v>8</v>
      </c>
      <c r="B7440" s="2" t="str">
        <f>HYPERLINK("http://ts.21cn.com/tousu/show/id/1338413","洋钱灌逾期一天打通讯录")</f>
        <v>洋钱灌逾期一天打通讯录</v>
      </c>
      <c r="C7440" s="2" t="s">
        <v>9</v>
      </c>
      <c r="D7440" s="2" t="s">
        <v>10</v>
      </c>
      <c r="E7440" s="2" t="str">
        <f>HYPERLINK("http://ts.21cn.com/tousu/show/id/1338413","http://ts.21cn.com/tousu/show/id/1338413")</f>
        <v>http://ts.21cn.com/tousu/show/id/1338413</v>
      </c>
      <c r="F7440" s="2" t="s">
        <v>11</v>
      </c>
      <c r="G7440" s="2" t="s">
        <v>29523</v>
      </c>
      <c r="H7440" s="2" t="s">
        <v>29524</v>
      </c>
    </row>
    <row r="7441" spans="1:8" ht="25.05" customHeight="1" x14ac:dyDescent="0.25">
      <c r="A7441" s="2" t="s">
        <v>8</v>
      </c>
      <c r="B7441" s="2" t="str">
        <f>HYPERLINK("http://ts.21cn.com/tousu/show/id/1338414","拇指app私自扣款")</f>
        <v>拇指app私自扣款</v>
      </c>
      <c r="C7441" s="2" t="s">
        <v>9</v>
      </c>
      <c r="D7441" s="2" t="s">
        <v>10</v>
      </c>
      <c r="E7441" s="2" t="str">
        <f>HYPERLINK("http://ts.21cn.com/tousu/show/id/1338414","http://ts.21cn.com/tousu/show/id/1338414")</f>
        <v>http://ts.21cn.com/tousu/show/id/1338414</v>
      </c>
      <c r="F7441" s="2" t="s">
        <v>11</v>
      </c>
      <c r="G7441" s="2" t="s">
        <v>29521</v>
      </c>
      <c r="H7441" s="2" t="s">
        <v>29522</v>
      </c>
    </row>
    <row r="7442" spans="1:8" ht="25.05" customHeight="1" x14ac:dyDescent="0.25">
      <c r="A7442" s="2" t="s">
        <v>8</v>
      </c>
      <c r="B7442" s="2" t="str">
        <f>HYPERLINK("http://ts.21cn.com/tousu/show/id/1338415","未经允许私自扣款")</f>
        <v>未经允许私自扣款</v>
      </c>
      <c r="C7442" s="2" t="s">
        <v>9</v>
      </c>
      <c r="D7442" s="2" t="s">
        <v>10</v>
      </c>
      <c r="E7442" s="2" t="str">
        <f>HYPERLINK("http://ts.21cn.com/tousu/show/id/1338415","http://ts.21cn.com/tousu/show/id/1338415")</f>
        <v>http://ts.21cn.com/tousu/show/id/1338415</v>
      </c>
      <c r="F7442" s="2" t="s">
        <v>11</v>
      </c>
      <c r="G7442" s="2" t="s">
        <v>29519</v>
      </c>
      <c r="H7442" s="2" t="s">
        <v>29520</v>
      </c>
    </row>
    <row r="7443" spans="1:8" ht="25.05" customHeight="1" x14ac:dyDescent="0.25">
      <c r="A7443" s="2" t="s">
        <v>8</v>
      </c>
      <c r="B7443" s="2" t="str">
        <f>HYPERLINK("http://ts.21cn.com/tousu/show/id/1338416","虚假宣传 不予退款 套路消费者 典型的割韭菜行为")</f>
        <v>虚假宣传 不予退款 套路消费者 典型的割韭菜行为</v>
      </c>
      <c r="C7443" s="2" t="s">
        <v>9</v>
      </c>
      <c r="D7443" s="2" t="s">
        <v>10</v>
      </c>
      <c r="E7443" s="2" t="str">
        <f>HYPERLINK("http://ts.21cn.com/tousu/show/id/1338416","http://ts.21cn.com/tousu/show/id/1338416")</f>
        <v>http://ts.21cn.com/tousu/show/id/1338416</v>
      </c>
      <c r="F7443" s="2" t="s">
        <v>11</v>
      </c>
      <c r="G7443" s="2" t="s">
        <v>29517</v>
      </c>
      <c r="H7443" s="2" t="s">
        <v>29518</v>
      </c>
    </row>
    <row r="7444" spans="1:8" ht="25.05" customHeight="1" x14ac:dyDescent="0.25">
      <c r="A7444" s="2" t="s">
        <v>8</v>
      </c>
      <c r="B7444" s="2" t="str">
        <f>HYPERLINK("http://ts.21cn.com/tousu/show/id/1338417","购买了腾讯会员X美团联合会员，附加的美团会员不到账")</f>
        <v>购买了腾讯会员X美团联合会员，附加的美团会员不到账</v>
      </c>
      <c r="C7444" s="2" t="s">
        <v>34</v>
      </c>
      <c r="D7444" s="2" t="s">
        <v>10</v>
      </c>
      <c r="E7444" s="2" t="str">
        <f>HYPERLINK("http://ts.21cn.com/tousu/show/id/1338417","http://ts.21cn.com/tousu/show/id/1338417")</f>
        <v>http://ts.21cn.com/tousu/show/id/1338417</v>
      </c>
      <c r="F7444" s="2" t="s">
        <v>11</v>
      </c>
      <c r="G7444" s="2" t="s">
        <v>29515</v>
      </c>
      <c r="H7444" s="2" t="s">
        <v>29516</v>
      </c>
    </row>
    <row r="7445" spans="1:8" ht="25.05" customHeight="1" x14ac:dyDescent="0.25">
      <c r="A7445" s="2" t="s">
        <v>8</v>
      </c>
      <c r="B7445" s="2" t="str">
        <f>HYPERLINK("http://ts.21cn.com/tousu/show/id/1338421","你我贷收取不符合国家规定的费用")</f>
        <v>你我贷收取不符合国家规定的费用</v>
      </c>
      <c r="C7445" s="2" t="s">
        <v>9</v>
      </c>
      <c r="D7445" s="2" t="s">
        <v>10</v>
      </c>
      <c r="E7445" s="2" t="str">
        <f>HYPERLINK("http://ts.21cn.com/tousu/show/id/1338421","http://ts.21cn.com/tousu/show/id/1338421")</f>
        <v>http://ts.21cn.com/tousu/show/id/1338421</v>
      </c>
      <c r="F7445" s="2" t="s">
        <v>11</v>
      </c>
      <c r="G7445" s="2" t="s">
        <v>29513</v>
      </c>
      <c r="H7445" s="2" t="s">
        <v>29514</v>
      </c>
    </row>
    <row r="7446" spans="1:8" ht="25.05" customHeight="1" x14ac:dyDescent="0.25">
      <c r="A7446" s="2" t="s">
        <v>8</v>
      </c>
      <c r="B7446" s="2" t="str">
        <f>HYPERLINK("http://ts.21cn.com/tousu/show/id/1338420","砍头息，电话骚扰，催收态度恶劣")</f>
        <v>砍头息，电话骚扰，催收态度恶劣</v>
      </c>
      <c r="C7446" s="2" t="s">
        <v>9</v>
      </c>
      <c r="D7446" s="2" t="s">
        <v>10</v>
      </c>
      <c r="E7446" s="2" t="str">
        <f>HYPERLINK("http://ts.21cn.com/tousu/show/id/1338420","http://ts.21cn.com/tousu/show/id/1338420")</f>
        <v>http://ts.21cn.com/tousu/show/id/1338420</v>
      </c>
      <c r="F7446" s="2" t="s">
        <v>11</v>
      </c>
      <c r="G7446" s="2" t="s">
        <v>29511</v>
      </c>
      <c r="H7446" s="2" t="s">
        <v>29512</v>
      </c>
    </row>
    <row r="7447" spans="1:8" ht="25.05" customHeight="1" x14ac:dyDescent="0.25">
      <c r="A7447" s="2" t="s">
        <v>8</v>
      </c>
      <c r="B7447" s="2" t="str">
        <f>HYPERLINK("http://ts.21cn.com/tousu/show/id/1338422","高利贷")</f>
        <v>高利贷</v>
      </c>
      <c r="C7447" s="2" t="s">
        <v>9</v>
      </c>
      <c r="D7447" s="2" t="s">
        <v>10</v>
      </c>
      <c r="E7447" s="2" t="str">
        <f>HYPERLINK("http://ts.21cn.com/tousu/show/id/1338422","http://ts.21cn.com/tousu/show/id/1338422")</f>
        <v>http://ts.21cn.com/tousu/show/id/1338422</v>
      </c>
      <c r="F7447" s="2" t="s">
        <v>11</v>
      </c>
      <c r="G7447" s="2" t="s">
        <v>29509</v>
      </c>
      <c r="H7447" s="2" t="s">
        <v>29510</v>
      </c>
    </row>
    <row r="7448" spans="1:8" ht="25.05" customHeight="1" x14ac:dyDescent="0.25">
      <c r="A7448" s="2" t="s">
        <v>8</v>
      </c>
      <c r="B7448" s="2" t="str">
        <f>HYPERLINK("http://ts.21cn.com/tousu/show/id/1338423","无缘无故扣取银行卡里的钱")</f>
        <v>无缘无故扣取银行卡里的钱</v>
      </c>
      <c r="C7448" s="2" t="s">
        <v>9</v>
      </c>
      <c r="D7448" s="2" t="s">
        <v>10</v>
      </c>
      <c r="E7448" s="2" t="str">
        <f>HYPERLINK("http://ts.21cn.com/tousu/show/id/1338423","http://ts.21cn.com/tousu/show/id/1338423")</f>
        <v>http://ts.21cn.com/tousu/show/id/1338423</v>
      </c>
      <c r="F7448" s="2" t="s">
        <v>11</v>
      </c>
      <c r="G7448" s="2" t="s">
        <v>29507</v>
      </c>
      <c r="H7448" s="2" t="s">
        <v>29508</v>
      </c>
    </row>
    <row r="7449" spans="1:8" ht="25.05" customHeight="1" x14ac:dyDescent="0.25">
      <c r="A7449" s="2" t="s">
        <v>8</v>
      </c>
      <c r="B7449" s="2" t="str">
        <f>HYPERLINK("http://ts.21cn.com/tousu/show/id/1338424","周周花花高利贷巨额砍头息")</f>
        <v>周周花花高利贷巨额砍头息</v>
      </c>
      <c r="C7449" s="2" t="s">
        <v>9</v>
      </c>
      <c r="D7449" s="2" t="s">
        <v>10</v>
      </c>
      <c r="E7449" s="2" t="str">
        <f>HYPERLINK("http://ts.21cn.com/tousu/show/id/1338424","http://ts.21cn.com/tousu/show/id/1338424")</f>
        <v>http://ts.21cn.com/tousu/show/id/1338424</v>
      </c>
      <c r="F7449" s="2" t="s">
        <v>11</v>
      </c>
      <c r="G7449" s="2" t="s">
        <v>29505</v>
      </c>
      <c r="H7449" s="2" t="s">
        <v>29506</v>
      </c>
    </row>
    <row r="7450" spans="1:8" ht="25.05" customHeight="1" x14ac:dyDescent="0.25">
      <c r="A7450" s="2" t="s">
        <v>8</v>
      </c>
      <c r="B7450" s="2" t="str">
        <f>HYPERLINK("http://ts.21cn.com/tousu/show/id/1338425","优钱花诱导开会员")</f>
        <v>优钱花诱导开会员</v>
      </c>
      <c r="C7450" s="2" t="s">
        <v>9</v>
      </c>
      <c r="D7450" s="2" t="s">
        <v>10</v>
      </c>
      <c r="E7450" s="2" t="str">
        <f>HYPERLINK("http://ts.21cn.com/tousu/show/id/1338425","http://ts.21cn.com/tousu/show/id/1338425")</f>
        <v>http://ts.21cn.com/tousu/show/id/1338425</v>
      </c>
      <c r="F7450" s="2" t="s">
        <v>11</v>
      </c>
      <c r="G7450" s="2" t="s">
        <v>29503</v>
      </c>
      <c r="H7450" s="2" t="s">
        <v>29504</v>
      </c>
    </row>
    <row r="7451" spans="1:8" ht="25.05" customHeight="1" x14ac:dyDescent="0.25">
      <c r="A7451" s="2" t="s">
        <v>8</v>
      </c>
      <c r="B7451" s="2" t="str">
        <f>HYPERLINK("http://ts.21cn.com/tousu/show/id/1338426","严重影响个人生活")</f>
        <v>严重影响个人生活</v>
      </c>
      <c r="C7451" s="2" t="s">
        <v>9</v>
      </c>
      <c r="D7451" s="2" t="s">
        <v>10</v>
      </c>
      <c r="E7451" s="2" t="str">
        <f>HYPERLINK("http://ts.21cn.com/tousu/show/id/1338426","http://ts.21cn.com/tousu/show/id/1338426")</f>
        <v>http://ts.21cn.com/tousu/show/id/1338426</v>
      </c>
      <c r="F7451" s="2" t="s">
        <v>11</v>
      </c>
      <c r="G7451" s="2" t="s">
        <v>29501</v>
      </c>
      <c r="H7451" s="2" t="s">
        <v>29502</v>
      </c>
    </row>
    <row r="7452" spans="1:8" ht="25.05" customHeight="1" x14ac:dyDescent="0.25">
      <c r="A7452" s="2" t="s">
        <v>8</v>
      </c>
      <c r="B7452" s="2" t="str">
        <f>HYPERLINK("http://ts.21cn.com/tousu/show/id/1338427","维信金科平台主动还款后多扣手续费")</f>
        <v>维信金科平台主动还款后多扣手续费</v>
      </c>
      <c r="C7452" s="2" t="s">
        <v>9</v>
      </c>
      <c r="D7452" s="2" t="s">
        <v>10</v>
      </c>
      <c r="E7452" s="2" t="str">
        <f>HYPERLINK("http://ts.21cn.com/tousu/show/id/1338427","http://ts.21cn.com/tousu/show/id/1338427")</f>
        <v>http://ts.21cn.com/tousu/show/id/1338427</v>
      </c>
      <c r="F7452" s="2" t="s">
        <v>11</v>
      </c>
      <c r="G7452" s="2" t="s">
        <v>29499</v>
      </c>
      <c r="H7452" s="2" t="s">
        <v>29500</v>
      </c>
    </row>
    <row r="7453" spans="1:8" ht="25.05" customHeight="1" x14ac:dyDescent="0.25">
      <c r="A7453" s="2" t="s">
        <v>8</v>
      </c>
      <c r="B7453" s="2" t="str">
        <f>HYPERLINK("http://ts.21cn.com/tousu/show/id/1338428","跟捷信协商，不肯每天打电话")</f>
        <v>跟捷信协商，不肯每天打电话</v>
      </c>
      <c r="C7453" s="2" t="s">
        <v>9</v>
      </c>
      <c r="D7453" s="2" t="s">
        <v>10</v>
      </c>
      <c r="E7453" s="2" t="str">
        <f>HYPERLINK("http://ts.21cn.com/tousu/show/id/1338428","http://ts.21cn.com/tousu/show/id/1338428")</f>
        <v>http://ts.21cn.com/tousu/show/id/1338428</v>
      </c>
      <c r="F7453" s="2" t="s">
        <v>11</v>
      </c>
      <c r="G7453" s="2" t="s">
        <v>29497</v>
      </c>
      <c r="H7453" s="2" t="s">
        <v>29498</v>
      </c>
    </row>
    <row r="7454" spans="1:8" ht="25.05" customHeight="1" x14ac:dyDescent="0.25">
      <c r="A7454" s="2" t="s">
        <v>8</v>
      </c>
      <c r="B7454" s="2" t="str">
        <f>HYPERLINK("http://ts.21cn.com/tousu/show/id/1338429","牛人有品，高利贷")</f>
        <v>牛人有品，高利贷</v>
      </c>
      <c r="C7454" s="2" t="s">
        <v>9</v>
      </c>
      <c r="D7454" s="2" t="s">
        <v>10</v>
      </c>
      <c r="E7454" s="2" t="str">
        <f>HYPERLINK("http://ts.21cn.com/tousu/show/id/1338429","http://ts.21cn.com/tousu/show/id/1338429")</f>
        <v>http://ts.21cn.com/tousu/show/id/1338429</v>
      </c>
      <c r="F7454" s="2" t="s">
        <v>11</v>
      </c>
      <c r="G7454" s="2" t="s">
        <v>29495</v>
      </c>
      <c r="H7454" s="2" t="s">
        <v>29496</v>
      </c>
    </row>
    <row r="7455" spans="1:8" ht="25.05" customHeight="1" x14ac:dyDescent="0.25">
      <c r="A7455" s="2" t="s">
        <v>8</v>
      </c>
      <c r="B7455" s="2" t="str">
        <f>HYPERLINK("http://ts.21cn.com/tousu/show/id/1338430","打我通讯录")</f>
        <v>打我通讯录</v>
      </c>
      <c r="C7455" s="2" t="s">
        <v>34</v>
      </c>
      <c r="D7455" s="2" t="s">
        <v>10</v>
      </c>
      <c r="E7455" s="2" t="str">
        <f>HYPERLINK("http://ts.21cn.com/tousu/show/id/1338430","http://ts.21cn.com/tousu/show/id/1338430")</f>
        <v>http://ts.21cn.com/tousu/show/id/1338430</v>
      </c>
      <c r="F7455" s="2" t="s">
        <v>11</v>
      </c>
      <c r="G7455" s="2" t="s">
        <v>29494</v>
      </c>
      <c r="H7455" s="2" t="s">
        <v>21837</v>
      </c>
    </row>
    <row r="7456" spans="1:8" ht="25.05" customHeight="1" x14ac:dyDescent="0.25">
      <c r="A7456" s="2" t="s">
        <v>8</v>
      </c>
      <c r="B7456" s="2" t="str">
        <f>HYPERLINK("http://ts.21cn.com/tousu/show/id/1338431","你我贷P图发家人，盗取个人信息，恐吓，威胁，骂人")</f>
        <v>你我贷P图发家人，盗取个人信息，恐吓，威胁，骂人</v>
      </c>
      <c r="C7456" s="2" t="s">
        <v>9</v>
      </c>
      <c r="D7456" s="2" t="s">
        <v>10</v>
      </c>
      <c r="E7456" s="2" t="str">
        <f>HYPERLINK("http://ts.21cn.com/tousu/show/id/1338431","http://ts.21cn.com/tousu/show/id/1338431")</f>
        <v>http://ts.21cn.com/tousu/show/id/1338431</v>
      </c>
      <c r="F7456" s="2" t="s">
        <v>11</v>
      </c>
      <c r="G7456" s="2" t="s">
        <v>29492</v>
      </c>
      <c r="H7456" s="2" t="s">
        <v>29493</v>
      </c>
    </row>
    <row r="7457" spans="1:8" ht="25.05" customHeight="1" x14ac:dyDescent="0.25">
      <c r="A7457" s="2" t="s">
        <v>8</v>
      </c>
      <c r="B7457" s="2" t="str">
        <f>HYPERLINK("http://ts.21cn.com/tousu/show/id/1338432","白博士祛痘不想做了拒不退款")</f>
        <v>白博士祛痘不想做了拒不退款</v>
      </c>
      <c r="C7457" s="2" t="s">
        <v>9</v>
      </c>
      <c r="D7457" s="2" t="s">
        <v>10</v>
      </c>
      <c r="E7457" s="2" t="str">
        <f>HYPERLINK("http://ts.21cn.com/tousu/show/id/1338432","http://ts.21cn.com/tousu/show/id/1338432")</f>
        <v>http://ts.21cn.com/tousu/show/id/1338432</v>
      </c>
      <c r="F7457" s="2" t="s">
        <v>11</v>
      </c>
      <c r="G7457" s="2" t="s">
        <v>29490</v>
      </c>
      <c r="H7457" s="2" t="s">
        <v>29491</v>
      </c>
    </row>
    <row r="7458" spans="1:8" ht="25.05" customHeight="1" x14ac:dyDescent="0.25">
      <c r="A7458" s="2" t="s">
        <v>8</v>
      </c>
      <c r="B7458" s="2" t="str">
        <f>HYPERLINK("http://ts.21cn.com/tousu/show/id/1338433","恶意下款然后利息高出想象")</f>
        <v>恶意下款然后利息高出想象</v>
      </c>
      <c r="C7458" s="2" t="s">
        <v>9</v>
      </c>
      <c r="D7458" s="2" t="s">
        <v>10</v>
      </c>
      <c r="E7458" s="2" t="str">
        <f>HYPERLINK("http://ts.21cn.com/tousu/show/id/1338433","http://ts.21cn.com/tousu/show/id/1338433")</f>
        <v>http://ts.21cn.com/tousu/show/id/1338433</v>
      </c>
      <c r="F7458" s="2" t="s">
        <v>11</v>
      </c>
      <c r="G7458" s="2" t="s">
        <v>29488</v>
      </c>
      <c r="H7458" s="2" t="s">
        <v>29489</v>
      </c>
    </row>
    <row r="7459" spans="1:8" ht="25.05" customHeight="1" x14ac:dyDescent="0.25">
      <c r="A7459" s="2" t="s">
        <v>8</v>
      </c>
      <c r="B7459" s="2" t="str">
        <f>HYPERLINK("http://ts.21cn.com/tousu/show/id/1338436","你我贷不接受协商还款，说不还钱就骚扰家人")</f>
        <v>你我贷不接受协商还款，说不还钱就骚扰家人</v>
      </c>
      <c r="C7459" s="2" t="s">
        <v>9</v>
      </c>
      <c r="D7459" s="2" t="s">
        <v>10</v>
      </c>
      <c r="E7459" s="2" t="str">
        <f>HYPERLINK("http://ts.21cn.com/tousu/show/id/1338436","http://ts.21cn.com/tousu/show/id/1338436")</f>
        <v>http://ts.21cn.com/tousu/show/id/1338436</v>
      </c>
      <c r="F7459" s="2" t="s">
        <v>11</v>
      </c>
      <c r="G7459" s="2" t="s">
        <v>29486</v>
      </c>
      <c r="H7459" s="2" t="s">
        <v>29487</v>
      </c>
    </row>
    <row r="7460" spans="1:8" ht="25.05" customHeight="1" x14ac:dyDescent="0.25">
      <c r="A7460" s="2" t="s">
        <v>8</v>
      </c>
      <c r="B7460" s="2" t="str">
        <f>HYPERLINK("http://ts.21cn.com/tousu/show/id/1338435","高利贷暴力催收，随便爆通讯录进行催收")</f>
        <v>高利贷暴力催收，随便爆通讯录进行催收</v>
      </c>
      <c r="C7460" s="2" t="s">
        <v>9</v>
      </c>
      <c r="D7460" s="2" t="s">
        <v>10</v>
      </c>
      <c r="E7460" s="2" t="str">
        <f>HYPERLINK("http://ts.21cn.com/tousu/show/id/1338435","http://ts.21cn.com/tousu/show/id/1338435")</f>
        <v>http://ts.21cn.com/tousu/show/id/1338435</v>
      </c>
      <c r="F7460" s="2" t="s">
        <v>11</v>
      </c>
      <c r="G7460" s="2" t="s">
        <v>29484</v>
      </c>
      <c r="H7460" s="2" t="s">
        <v>29485</v>
      </c>
    </row>
    <row r="7461" spans="1:8" ht="25.05" customHeight="1" x14ac:dyDescent="0.25">
      <c r="A7461" s="2" t="s">
        <v>8</v>
      </c>
      <c r="B7461" s="2" t="str">
        <f>HYPERLINK("http://ts.21cn.com/tousu/show/id/1338437","骚扰无关人员！乱打电话骚扰！影响恶劣！态度蛮狠")</f>
        <v>骚扰无关人员！乱打电话骚扰！影响恶劣！态度蛮狠</v>
      </c>
      <c r="C7461" s="2" t="s">
        <v>9</v>
      </c>
      <c r="D7461" s="2" t="s">
        <v>10</v>
      </c>
      <c r="E7461" s="2" t="str">
        <f>HYPERLINK("http://ts.21cn.com/tousu/show/id/1338437","http://ts.21cn.com/tousu/show/id/1338437")</f>
        <v>http://ts.21cn.com/tousu/show/id/1338437</v>
      </c>
      <c r="F7461" s="2" t="s">
        <v>11</v>
      </c>
      <c r="G7461" s="2" t="s">
        <v>29483</v>
      </c>
      <c r="H7461" s="2" t="s">
        <v>25392</v>
      </c>
    </row>
    <row r="7462" spans="1:8" ht="25.05" customHeight="1" x14ac:dyDescent="0.25">
      <c r="A7462" s="2" t="s">
        <v>8</v>
      </c>
      <c r="B7462" s="2" t="str">
        <f>HYPERLINK("http://ts.21cn.com/tousu/show/id/1338438","淘宝网商家玩套路不发货，商家不回复信息")</f>
        <v>淘宝网商家玩套路不发货，商家不回复信息</v>
      </c>
      <c r="C7462" s="2" t="s">
        <v>9</v>
      </c>
      <c r="D7462" s="2" t="s">
        <v>10</v>
      </c>
      <c r="E7462" s="2" t="str">
        <f>HYPERLINK("http://ts.21cn.com/tousu/show/id/1338438","http://ts.21cn.com/tousu/show/id/1338438")</f>
        <v>http://ts.21cn.com/tousu/show/id/1338438</v>
      </c>
      <c r="F7462" s="2" t="s">
        <v>11</v>
      </c>
      <c r="G7462" s="2" t="s">
        <v>29481</v>
      </c>
      <c r="H7462" s="2" t="s">
        <v>29482</v>
      </c>
    </row>
    <row r="7463" spans="1:8" ht="25.05" customHeight="1" x14ac:dyDescent="0.25">
      <c r="A7463" s="2" t="s">
        <v>8</v>
      </c>
      <c r="B7463" s="2" t="str">
        <f>HYPERLINK("http://ts.21cn.com/tousu/show/id/1338439","找收账公司暴力催收")</f>
        <v>找收账公司暴力催收</v>
      </c>
      <c r="C7463" s="2" t="s">
        <v>9</v>
      </c>
      <c r="D7463" s="2" t="s">
        <v>10</v>
      </c>
      <c r="E7463" s="2" t="str">
        <f>HYPERLINK("http://ts.21cn.com/tousu/show/id/1338439","http://ts.21cn.com/tousu/show/id/1338439")</f>
        <v>http://ts.21cn.com/tousu/show/id/1338439</v>
      </c>
      <c r="F7463" s="2" t="s">
        <v>11</v>
      </c>
      <c r="G7463" s="2" t="s">
        <v>29479</v>
      </c>
      <c r="H7463" s="2" t="s">
        <v>29480</v>
      </c>
    </row>
    <row r="7464" spans="1:8" ht="25.05" customHeight="1" x14ac:dyDescent="0.25">
      <c r="A7464" s="2" t="s">
        <v>8</v>
      </c>
      <c r="B7464" s="2" t="str">
        <f>HYPERLINK("http://ts.21cn.com/tousu/show/id/1338440","恐吓和骚扰家人")</f>
        <v>恐吓和骚扰家人</v>
      </c>
      <c r="C7464" s="2" t="s">
        <v>9</v>
      </c>
      <c r="D7464" s="2" t="s">
        <v>10</v>
      </c>
      <c r="E7464" s="2" t="str">
        <f>HYPERLINK("http://ts.21cn.com/tousu/show/id/1338440","http://ts.21cn.com/tousu/show/id/1338440")</f>
        <v>http://ts.21cn.com/tousu/show/id/1338440</v>
      </c>
      <c r="F7464" s="2" t="s">
        <v>11</v>
      </c>
      <c r="G7464" s="2" t="s">
        <v>29478</v>
      </c>
      <c r="H7464" s="2" t="s">
        <v>22054</v>
      </c>
    </row>
    <row r="7465" spans="1:8" ht="25.05" customHeight="1" x14ac:dyDescent="0.25">
      <c r="A7465" s="2" t="s">
        <v>8</v>
      </c>
      <c r="B7465" s="2" t="str">
        <f>HYPERLINK("http://ts.21cn.com/tousu/show/id/1338442","松紧贷乱收费")</f>
        <v>松紧贷乱收费</v>
      </c>
      <c r="C7465" s="2" t="s">
        <v>9</v>
      </c>
      <c r="D7465" s="2" t="s">
        <v>10</v>
      </c>
      <c r="E7465" s="2" t="str">
        <f>HYPERLINK("http://ts.21cn.com/tousu/show/id/1338442","http://ts.21cn.com/tousu/show/id/1338442")</f>
        <v>http://ts.21cn.com/tousu/show/id/1338442</v>
      </c>
      <c r="F7465" s="2" t="s">
        <v>11</v>
      </c>
      <c r="G7465" s="2" t="s">
        <v>29476</v>
      </c>
      <c r="H7465" s="2" t="s">
        <v>29477</v>
      </c>
    </row>
    <row r="7466" spans="1:8" ht="25.05" customHeight="1" x14ac:dyDescent="0.25">
      <c r="A7466" s="2" t="s">
        <v>8</v>
      </c>
      <c r="B7466" s="2" t="str">
        <f>HYPERLINK("http://ts.21cn.com/tousu/show/id/1338441","大量用户无法退还立刻出行499元押金")</f>
        <v>大量用户无法退还立刻出行499元押金</v>
      </c>
      <c r="C7466" s="2" t="s">
        <v>34</v>
      </c>
      <c r="D7466" s="2" t="s">
        <v>10</v>
      </c>
      <c r="E7466" s="2" t="str">
        <f>HYPERLINK("http://ts.21cn.com/tousu/show/id/1338441","http://ts.21cn.com/tousu/show/id/1338441")</f>
        <v>http://ts.21cn.com/tousu/show/id/1338441</v>
      </c>
      <c r="F7466" s="2" t="s">
        <v>11</v>
      </c>
      <c r="G7466" s="2" t="s">
        <v>29474</v>
      </c>
      <c r="H7466" s="2" t="s">
        <v>29475</v>
      </c>
    </row>
    <row r="7467" spans="1:8" ht="25.05" customHeight="1" x14ac:dyDescent="0.25">
      <c r="A7467" s="2" t="s">
        <v>8</v>
      </c>
      <c r="B7467" s="2" t="str">
        <f>HYPERLINK("http://ts.21cn.com/tousu/show/id/1338443","淘手游账号被冻结，资金提不出")</f>
        <v>淘手游账号被冻结，资金提不出</v>
      </c>
      <c r="C7467" s="2" t="s">
        <v>9</v>
      </c>
      <c r="D7467" s="2" t="s">
        <v>10</v>
      </c>
      <c r="E7467" s="2" t="str">
        <f>HYPERLINK("http://ts.21cn.com/tousu/show/id/1338443","http://ts.21cn.com/tousu/show/id/1338443")</f>
        <v>http://ts.21cn.com/tousu/show/id/1338443</v>
      </c>
      <c r="F7467" s="2" t="s">
        <v>11</v>
      </c>
      <c r="G7467" s="2" t="s">
        <v>29472</v>
      </c>
      <c r="H7467" s="2" t="s">
        <v>29473</v>
      </c>
    </row>
    <row r="7468" spans="1:8" ht="25.05" customHeight="1" x14ac:dyDescent="0.25">
      <c r="A7468" s="2" t="s">
        <v>8</v>
      </c>
      <c r="B7468" s="2" t="str">
        <f>HYPERLINK("http://ts.21cn.com/tousu/show/id/1338444","要求尚德机构退款")</f>
        <v>要求尚德机构退款</v>
      </c>
      <c r="C7468" s="2" t="s">
        <v>34</v>
      </c>
      <c r="D7468" s="2" t="s">
        <v>10</v>
      </c>
      <c r="E7468" s="2" t="str">
        <f>HYPERLINK("http://ts.21cn.com/tousu/show/id/1338444","http://ts.21cn.com/tousu/show/id/1338444")</f>
        <v>http://ts.21cn.com/tousu/show/id/1338444</v>
      </c>
      <c r="F7468" s="2" t="s">
        <v>11</v>
      </c>
      <c r="G7468" s="2" t="s">
        <v>29470</v>
      </c>
      <c r="H7468" s="2" t="s">
        <v>29471</v>
      </c>
    </row>
    <row r="7469" spans="1:8" ht="25.05" customHeight="1" x14ac:dyDescent="0.25">
      <c r="A7469" s="2" t="s">
        <v>8</v>
      </c>
      <c r="B7469" s="2" t="str">
        <f>HYPERLINK("http://ts.21cn.com/tousu/show/id/1338445","APP注销没有反映")</f>
        <v>APP注销没有反映</v>
      </c>
      <c r="C7469" s="2" t="s">
        <v>9</v>
      </c>
      <c r="D7469" s="2" t="s">
        <v>10</v>
      </c>
      <c r="E7469" s="2" t="str">
        <f>HYPERLINK("http://ts.21cn.com/tousu/show/id/1338445","http://ts.21cn.com/tousu/show/id/1338445")</f>
        <v>http://ts.21cn.com/tousu/show/id/1338445</v>
      </c>
      <c r="F7469" s="2" t="s">
        <v>11</v>
      </c>
      <c r="G7469" s="2" t="s">
        <v>29469</v>
      </c>
      <c r="H7469" s="2" t="s">
        <v>25141</v>
      </c>
    </row>
    <row r="7470" spans="1:8" ht="25.05" customHeight="1" x14ac:dyDescent="0.25">
      <c r="A7470" s="2" t="s">
        <v>8</v>
      </c>
      <c r="B7470" s="2" t="str">
        <f>HYPERLINK("http://ts.21cn.com/tousu/show/id/1338447","立借通过支付宝为714高炮提供还款渠道")</f>
        <v>立借通过支付宝为714高炮提供还款渠道</v>
      </c>
      <c r="C7470" s="2" t="s">
        <v>34</v>
      </c>
      <c r="D7470" s="2" t="s">
        <v>10</v>
      </c>
      <c r="E7470" s="2" t="str">
        <f>HYPERLINK("http://ts.21cn.com/tousu/show/id/1338447","http://ts.21cn.com/tousu/show/id/1338447")</f>
        <v>http://ts.21cn.com/tousu/show/id/1338447</v>
      </c>
      <c r="F7470" s="2" t="s">
        <v>11</v>
      </c>
      <c r="G7470" s="2" t="s">
        <v>29467</v>
      </c>
      <c r="H7470" s="2" t="s">
        <v>29468</v>
      </c>
    </row>
    <row r="7471" spans="1:8" ht="25.05" customHeight="1" x14ac:dyDescent="0.25">
      <c r="A7471" s="2" t="s">
        <v>8</v>
      </c>
      <c r="B7471" s="2" t="str">
        <f>HYPERLINK("http://ts.21cn.com/tousu/show/id/1338448","你我贷P图发给家人，威胁，恐吓，骂人，态度恶劣")</f>
        <v>你我贷P图发给家人，威胁，恐吓，骂人，态度恶劣</v>
      </c>
      <c r="C7471" s="2" t="s">
        <v>9</v>
      </c>
      <c r="D7471" s="2" t="s">
        <v>10</v>
      </c>
      <c r="E7471" s="2" t="str">
        <f>HYPERLINK("http://ts.21cn.com/tousu/show/id/1338448","http://ts.21cn.com/tousu/show/id/1338448")</f>
        <v>http://ts.21cn.com/tousu/show/id/1338448</v>
      </c>
      <c r="F7471" s="2" t="s">
        <v>11</v>
      </c>
      <c r="G7471" s="2" t="s">
        <v>29465</v>
      </c>
      <c r="H7471" s="2" t="s">
        <v>29466</v>
      </c>
    </row>
    <row r="7472" spans="1:8" ht="25.05" customHeight="1" x14ac:dyDescent="0.25">
      <c r="A7472" s="2" t="s">
        <v>8</v>
      </c>
      <c r="B7472" s="2" t="str">
        <f>HYPERLINK("http://ts.21cn.com/tousu/show/id/1338450","利息本金不分清楚忽悠客户")</f>
        <v>利息本金不分清楚忽悠客户</v>
      </c>
      <c r="C7472" s="2" t="s">
        <v>9</v>
      </c>
      <c r="D7472" s="2" t="s">
        <v>10</v>
      </c>
      <c r="E7472" s="2" t="str">
        <f>HYPERLINK("http://ts.21cn.com/tousu/show/id/1338450","http://ts.21cn.com/tousu/show/id/1338450")</f>
        <v>http://ts.21cn.com/tousu/show/id/1338450</v>
      </c>
      <c r="F7472" s="2" t="s">
        <v>11</v>
      </c>
      <c r="G7472" s="2" t="s">
        <v>29463</v>
      </c>
      <c r="H7472" s="2" t="s">
        <v>29464</v>
      </c>
    </row>
    <row r="7473" spans="1:8" ht="25.05" customHeight="1" x14ac:dyDescent="0.25">
      <c r="A7473" s="2" t="s">
        <v>8</v>
      </c>
      <c r="B7473" s="2" t="str">
        <f>HYPERLINK("http://ts.21cn.com/tousu/show/id/1338452","高利息太高了")</f>
        <v>高利息太高了</v>
      </c>
      <c r="C7473" s="2" t="s">
        <v>9</v>
      </c>
      <c r="D7473" s="2" t="s">
        <v>10</v>
      </c>
      <c r="E7473" s="2" t="str">
        <f>HYPERLINK("http://ts.21cn.com/tousu/show/id/1338452","http://ts.21cn.com/tousu/show/id/1338452")</f>
        <v>http://ts.21cn.com/tousu/show/id/1338452</v>
      </c>
      <c r="F7473" s="2" t="s">
        <v>11</v>
      </c>
      <c r="G7473" s="2" t="s">
        <v>29462</v>
      </c>
      <c r="H7473" s="2" t="s">
        <v>25319</v>
      </c>
    </row>
    <row r="7474" spans="1:8" ht="25.05" customHeight="1" x14ac:dyDescent="0.25">
      <c r="A7474" s="2" t="s">
        <v>8</v>
      </c>
      <c r="B7474" s="2" t="str">
        <f>HYPERLINK("http://ts.21cn.com/tousu/show/id/1338453","及贷")</f>
        <v>及贷</v>
      </c>
      <c r="C7474" s="2" t="s">
        <v>9</v>
      </c>
      <c r="D7474" s="2" t="s">
        <v>10</v>
      </c>
      <c r="E7474" s="2" t="str">
        <f>HYPERLINK("http://ts.21cn.com/tousu/show/id/1338453","http://ts.21cn.com/tousu/show/id/1338453")</f>
        <v>http://ts.21cn.com/tousu/show/id/1338453</v>
      </c>
      <c r="F7474" s="2" t="s">
        <v>11</v>
      </c>
      <c r="G7474" s="2" t="s">
        <v>29460</v>
      </c>
      <c r="H7474" s="2" t="s">
        <v>29461</v>
      </c>
    </row>
    <row r="7475" spans="1:8" ht="25.05" customHeight="1" x14ac:dyDescent="0.25">
      <c r="A7475" s="2" t="s">
        <v>8</v>
      </c>
      <c r="B7475" s="2" t="str">
        <f>HYPERLINK("http://ts.21cn.com/tousu/show/id/1338454","小富商城无缘无故扣掉我卡里的钱")</f>
        <v>小富商城无缘无故扣掉我卡里的钱</v>
      </c>
      <c r="C7475" s="2" t="s">
        <v>9</v>
      </c>
      <c r="D7475" s="2" t="s">
        <v>10</v>
      </c>
      <c r="E7475" s="2" t="str">
        <f>HYPERLINK("http://ts.21cn.com/tousu/show/id/1338454","http://ts.21cn.com/tousu/show/id/1338454")</f>
        <v>http://ts.21cn.com/tousu/show/id/1338454</v>
      </c>
      <c r="F7475" s="2" t="s">
        <v>11</v>
      </c>
      <c r="G7475" s="2" t="s">
        <v>29458</v>
      </c>
      <c r="H7475" s="2" t="s">
        <v>29459</v>
      </c>
    </row>
    <row r="7476" spans="1:8" ht="25.05" customHeight="1" x14ac:dyDescent="0.25">
      <c r="A7476" s="2" t="s">
        <v>8</v>
      </c>
      <c r="B7476" s="2" t="str">
        <f>HYPERLINK("http://ts.21cn.com/tousu/show/id/1338455","高利贷")</f>
        <v>高利贷</v>
      </c>
      <c r="C7476" s="2" t="s">
        <v>9</v>
      </c>
      <c r="D7476" s="2" t="s">
        <v>10</v>
      </c>
      <c r="E7476" s="2" t="str">
        <f>HYPERLINK("http://ts.21cn.com/tousu/show/id/1338455","http://ts.21cn.com/tousu/show/id/1338455")</f>
        <v>http://ts.21cn.com/tousu/show/id/1338455</v>
      </c>
      <c r="F7476" s="2" t="s">
        <v>11</v>
      </c>
      <c r="G7476" s="2" t="s">
        <v>29456</v>
      </c>
      <c r="H7476" s="2" t="s">
        <v>29457</v>
      </c>
    </row>
    <row r="7477" spans="1:8" ht="25.05" customHeight="1" x14ac:dyDescent="0.25">
      <c r="A7477" s="2" t="s">
        <v>8</v>
      </c>
      <c r="B7477" s="2" t="str">
        <f>HYPERLINK("http://ts.21cn.com/tousu/show/id/1338456","小象优品骚扰通讯录联系人")</f>
        <v>小象优品骚扰通讯录联系人</v>
      </c>
      <c r="C7477" s="2" t="s">
        <v>9</v>
      </c>
      <c r="D7477" s="2" t="s">
        <v>10</v>
      </c>
      <c r="E7477" s="2" t="str">
        <f>HYPERLINK("http://ts.21cn.com/tousu/show/id/1338456","http://ts.21cn.com/tousu/show/id/1338456")</f>
        <v>http://ts.21cn.com/tousu/show/id/1338456</v>
      </c>
      <c r="F7477" s="2" t="s">
        <v>11</v>
      </c>
      <c r="G7477" s="2" t="s">
        <v>29454</v>
      </c>
      <c r="H7477" s="2" t="s">
        <v>29455</v>
      </c>
    </row>
    <row r="7478" spans="1:8" ht="25.05" customHeight="1" x14ac:dyDescent="0.25">
      <c r="A7478" s="2" t="s">
        <v>8</v>
      </c>
      <c r="B7478" s="2" t="str">
        <f>HYPERLINK("http://ts.21cn.com/tousu/show/id/1338457","贷上钱以无法联系到本人，暴力催收，频繁拨打骚扰通讯录好友，已经一星期了，到底有人管没")</f>
        <v>贷上钱以无法联系到本人，暴力催收，频繁拨打骚扰通讯录好友，已经一星期了，到底有人管没</v>
      </c>
      <c r="C7478" s="2" t="s">
        <v>9</v>
      </c>
      <c r="D7478" s="2" t="s">
        <v>10</v>
      </c>
      <c r="E7478" s="2" t="str">
        <f>HYPERLINK("http://ts.21cn.com/tousu/show/id/1338457","http://ts.21cn.com/tousu/show/id/1338457")</f>
        <v>http://ts.21cn.com/tousu/show/id/1338457</v>
      </c>
      <c r="F7478" s="2" t="s">
        <v>11</v>
      </c>
      <c r="G7478" s="2" t="s">
        <v>29452</v>
      </c>
      <c r="H7478" s="2" t="s">
        <v>29453</v>
      </c>
    </row>
    <row r="7479" spans="1:8" ht="25.05" customHeight="1" x14ac:dyDescent="0.25">
      <c r="A7479" s="2" t="s">
        <v>8</v>
      </c>
      <c r="B7479" s="2" t="str">
        <f>HYPERLINK("http://ts.21cn.com/tousu/show/id/1338458","拍拍贷暴力催收影响到我的家人")</f>
        <v>拍拍贷暴力催收影响到我的家人</v>
      </c>
      <c r="C7479" s="2" t="s">
        <v>9</v>
      </c>
      <c r="D7479" s="2" t="s">
        <v>10</v>
      </c>
      <c r="E7479" s="2" t="str">
        <f>HYPERLINK("http://ts.21cn.com/tousu/show/id/1338458","http://ts.21cn.com/tousu/show/id/1338458")</f>
        <v>http://ts.21cn.com/tousu/show/id/1338458</v>
      </c>
      <c r="F7479" s="2" t="s">
        <v>11</v>
      </c>
      <c r="G7479" s="2" t="s">
        <v>29450</v>
      </c>
      <c r="H7479" s="2" t="s">
        <v>29451</v>
      </c>
    </row>
    <row r="7480" spans="1:8" ht="25.05" customHeight="1" x14ac:dyDescent="0.25">
      <c r="A7480" s="2" t="s">
        <v>8</v>
      </c>
      <c r="B7480" s="2" t="str">
        <f>HYPERLINK("http://ts.21cn.com/tousu/show/id/1338459","泄露个人隐私网购买的私人物品快递袋子被人为损坏")</f>
        <v>泄露个人隐私网购买的私人物品快递袋子被人为损坏</v>
      </c>
      <c r="C7480" s="2" t="s">
        <v>9</v>
      </c>
      <c r="D7480" s="2" t="s">
        <v>10</v>
      </c>
      <c r="E7480" s="2" t="str">
        <f>HYPERLINK("http://ts.21cn.com/tousu/show/id/1338459","http://ts.21cn.com/tousu/show/id/1338459")</f>
        <v>http://ts.21cn.com/tousu/show/id/1338459</v>
      </c>
      <c r="F7480" s="2" t="s">
        <v>11</v>
      </c>
      <c r="G7480" s="2" t="s">
        <v>29448</v>
      </c>
      <c r="H7480" s="2" t="s">
        <v>29449</v>
      </c>
    </row>
    <row r="7481" spans="1:8" ht="25.05" customHeight="1" x14ac:dyDescent="0.25">
      <c r="A7481" s="2" t="s">
        <v>8</v>
      </c>
      <c r="B7481" s="2" t="str">
        <f>HYPERLINK("http://ts.21cn.com/tousu/show/id/1338460","广发银行分期问题")</f>
        <v>广发银行分期问题</v>
      </c>
      <c r="C7481" s="2" t="s">
        <v>9</v>
      </c>
      <c r="D7481" s="2" t="s">
        <v>10</v>
      </c>
      <c r="E7481" s="2" t="str">
        <f>HYPERLINK("http://ts.21cn.com/tousu/show/id/1338460","http://ts.21cn.com/tousu/show/id/1338460")</f>
        <v>http://ts.21cn.com/tousu/show/id/1338460</v>
      </c>
      <c r="F7481" s="2" t="s">
        <v>11</v>
      </c>
      <c r="G7481" s="2" t="s">
        <v>29446</v>
      </c>
      <c r="H7481" s="2" t="s">
        <v>29447</v>
      </c>
    </row>
    <row r="7482" spans="1:8" ht="25.05" customHeight="1" x14ac:dyDescent="0.25">
      <c r="A7482" s="2" t="s">
        <v>8</v>
      </c>
      <c r="B7482" s="2" t="str">
        <f>HYPERLINK("http://ts.21cn.com/tousu/show/id/1338461","天猫超市发错货拒不承认不给换货")</f>
        <v>天猫超市发错货拒不承认不给换货</v>
      </c>
      <c r="C7482" s="2" t="s">
        <v>9</v>
      </c>
      <c r="D7482" s="2" t="s">
        <v>10</v>
      </c>
      <c r="E7482" s="2" t="str">
        <f>HYPERLINK("http://ts.21cn.com/tousu/show/id/1338461","http://ts.21cn.com/tousu/show/id/1338461")</f>
        <v>http://ts.21cn.com/tousu/show/id/1338461</v>
      </c>
      <c r="F7482" s="2" t="s">
        <v>11</v>
      </c>
      <c r="G7482" s="2" t="s">
        <v>29444</v>
      </c>
      <c r="H7482" s="2" t="s">
        <v>29445</v>
      </c>
    </row>
    <row r="7483" spans="1:8" ht="25.05" customHeight="1" x14ac:dyDescent="0.25">
      <c r="A7483" s="2" t="s">
        <v>8</v>
      </c>
      <c r="B7483" s="2" t="str">
        <f>HYPERLINK("http://ts.21cn.com/tousu/show/id/1338462","被上海造艺网络科技有限公司恶意扣款")</f>
        <v>被上海造艺网络科技有限公司恶意扣款</v>
      </c>
      <c r="C7483" s="2" t="s">
        <v>9</v>
      </c>
      <c r="D7483" s="2" t="s">
        <v>10</v>
      </c>
      <c r="E7483" s="2" t="str">
        <f>HYPERLINK("http://ts.21cn.com/tousu/show/id/1338462","http://ts.21cn.com/tousu/show/id/1338462")</f>
        <v>http://ts.21cn.com/tousu/show/id/1338462</v>
      </c>
      <c r="F7483" s="2" t="s">
        <v>11</v>
      </c>
      <c r="G7483" s="2" t="s">
        <v>29442</v>
      </c>
      <c r="H7483" s="2" t="s">
        <v>29443</v>
      </c>
    </row>
    <row r="7484" spans="1:8" ht="25.05" customHeight="1" x14ac:dyDescent="0.25">
      <c r="A7484" s="2" t="s">
        <v>8</v>
      </c>
      <c r="B7484" s="2" t="str">
        <f>HYPERLINK("http://ts.21cn.com/tousu/show/id/1338463","拼多多现金助力活动")</f>
        <v>拼多多现金助力活动</v>
      </c>
      <c r="C7484" s="2" t="s">
        <v>9</v>
      </c>
      <c r="D7484" s="2" t="s">
        <v>10</v>
      </c>
      <c r="E7484" s="2" t="str">
        <f>HYPERLINK("http://ts.21cn.com/tousu/show/id/1338463","http://ts.21cn.com/tousu/show/id/1338463")</f>
        <v>http://ts.21cn.com/tousu/show/id/1338463</v>
      </c>
      <c r="F7484" s="2" t="s">
        <v>11</v>
      </c>
      <c r="G7484" s="2" t="s">
        <v>29440</v>
      </c>
      <c r="H7484" s="2" t="s">
        <v>29441</v>
      </c>
    </row>
    <row r="7485" spans="1:8" ht="25.05" customHeight="1" x14ac:dyDescent="0.25">
      <c r="A7485" s="2" t="s">
        <v>8</v>
      </c>
      <c r="B7485" s="2" t="str">
        <f>HYPERLINK("http://ts.21cn.com/tousu/show/id/1338464","高利贷，暴力催收，恶意骚扰轰炸通讯录")</f>
        <v>高利贷，暴力催收，恶意骚扰轰炸通讯录</v>
      </c>
      <c r="C7485" s="2" t="s">
        <v>9</v>
      </c>
      <c r="D7485" s="2" t="s">
        <v>10</v>
      </c>
      <c r="E7485" s="2" t="str">
        <f>HYPERLINK("http://ts.21cn.com/tousu/show/id/1338464","http://ts.21cn.com/tousu/show/id/1338464")</f>
        <v>http://ts.21cn.com/tousu/show/id/1338464</v>
      </c>
      <c r="F7485" s="2" t="s">
        <v>11</v>
      </c>
      <c r="G7485" s="2" t="s">
        <v>29438</v>
      </c>
      <c r="H7485" s="2" t="s">
        <v>29439</v>
      </c>
    </row>
    <row r="7486" spans="1:8" ht="25.05" customHeight="1" x14ac:dyDescent="0.25">
      <c r="A7486" s="2" t="s">
        <v>8</v>
      </c>
      <c r="B7486" s="2" t="str">
        <f>HYPERLINK("http://ts.21cn.com/tousu/show/id/1338465","贷上钱强制收取砍头息，暴力催收，骚扰家人朋友")</f>
        <v>贷上钱强制收取砍头息，暴力催收，骚扰家人朋友</v>
      </c>
      <c r="C7486" s="2" t="s">
        <v>9</v>
      </c>
      <c r="D7486" s="2" t="s">
        <v>10</v>
      </c>
      <c r="E7486" s="2" t="str">
        <f>HYPERLINK("http://ts.21cn.com/tousu/show/id/1338465","http://ts.21cn.com/tousu/show/id/1338465")</f>
        <v>http://ts.21cn.com/tousu/show/id/1338465</v>
      </c>
      <c r="F7486" s="2" t="s">
        <v>11</v>
      </c>
      <c r="G7486" s="2" t="s">
        <v>29436</v>
      </c>
      <c r="H7486" s="2" t="s">
        <v>29437</v>
      </c>
    </row>
    <row r="7487" spans="1:8" ht="25.05" customHeight="1" x14ac:dyDescent="0.25">
      <c r="A7487" s="2" t="s">
        <v>8</v>
      </c>
      <c r="B7487" s="2" t="str">
        <f>HYPERLINK("http://ts.21cn.com/tousu/show/id/1338467","滴滴车主客户端接不到单子")</f>
        <v>滴滴车主客户端接不到单子</v>
      </c>
      <c r="C7487" s="2" t="s">
        <v>9</v>
      </c>
      <c r="D7487" s="2" t="s">
        <v>10</v>
      </c>
      <c r="E7487" s="2" t="str">
        <f>HYPERLINK("http://ts.21cn.com/tousu/show/id/1338467","http://ts.21cn.com/tousu/show/id/1338467")</f>
        <v>http://ts.21cn.com/tousu/show/id/1338467</v>
      </c>
      <c r="F7487" s="2" t="s">
        <v>11</v>
      </c>
      <c r="G7487" s="2" t="s">
        <v>29434</v>
      </c>
      <c r="H7487" s="2" t="s">
        <v>29435</v>
      </c>
    </row>
    <row r="7488" spans="1:8" ht="25.05" customHeight="1" x14ac:dyDescent="0.25">
      <c r="A7488" s="2" t="s">
        <v>8</v>
      </c>
      <c r="B7488" s="2" t="str">
        <f>HYPERLINK("http://ts.21cn.com/tousu/show/id/1338469","你我贷暴力催收，服务费不算利息，变相规避高额利息，实际就是高利贷，砍头息")</f>
        <v>你我贷暴力催收，服务费不算利息，变相规避高额利息，实际就是高利贷，砍头息</v>
      </c>
      <c r="C7488" s="2" t="s">
        <v>9</v>
      </c>
      <c r="D7488" s="2" t="s">
        <v>10</v>
      </c>
      <c r="E7488" s="2" t="str">
        <f>HYPERLINK("http://ts.21cn.com/tousu/show/id/1338469","http://ts.21cn.com/tousu/show/id/1338469")</f>
        <v>http://ts.21cn.com/tousu/show/id/1338469</v>
      </c>
      <c r="F7488" s="2" t="s">
        <v>11</v>
      </c>
      <c r="G7488" s="2" t="s">
        <v>29432</v>
      </c>
      <c r="H7488" s="2" t="s">
        <v>29433</v>
      </c>
    </row>
    <row r="7489" spans="1:8" ht="25.05" customHeight="1" x14ac:dyDescent="0.25">
      <c r="A7489" s="2" t="s">
        <v>8</v>
      </c>
      <c r="B7489" s="2" t="str">
        <f>HYPERLINK("http://ts.21cn.com/tousu/show/id/1338470","立借高利贷阴阳合同")</f>
        <v>立借高利贷阴阳合同</v>
      </c>
      <c r="C7489" s="2" t="s">
        <v>9</v>
      </c>
      <c r="D7489" s="2" t="s">
        <v>10</v>
      </c>
      <c r="E7489" s="2" t="str">
        <f>HYPERLINK("http://ts.21cn.com/tousu/show/id/1338470","http://ts.21cn.com/tousu/show/id/1338470")</f>
        <v>http://ts.21cn.com/tousu/show/id/1338470</v>
      </c>
      <c r="F7489" s="2" t="s">
        <v>11</v>
      </c>
      <c r="G7489" s="2" t="s">
        <v>29429</v>
      </c>
      <c r="H7489" s="2" t="s">
        <v>29430</v>
      </c>
    </row>
    <row r="7490" spans="1:8" ht="25.05" customHeight="1" x14ac:dyDescent="0.25">
      <c r="A7490" s="2" t="s">
        <v>8</v>
      </c>
      <c r="B7490" s="2" t="str">
        <f>HYPERLINK("http://ts.21cn.com/tousu/show/id/1338471","一天到晚打无数个电话")</f>
        <v>一天到晚打无数个电话</v>
      </c>
      <c r="C7490" s="2" t="s">
        <v>34</v>
      </c>
      <c r="D7490" s="2" t="s">
        <v>10</v>
      </c>
      <c r="E7490" s="2" t="str">
        <f>HYPERLINK("http://ts.21cn.com/tousu/show/id/1338471","http://ts.21cn.com/tousu/show/id/1338471")</f>
        <v>http://ts.21cn.com/tousu/show/id/1338471</v>
      </c>
      <c r="F7490" s="2" t="s">
        <v>11</v>
      </c>
      <c r="G7490" s="2" t="s">
        <v>29429</v>
      </c>
      <c r="H7490" s="2" t="s">
        <v>29431</v>
      </c>
    </row>
    <row r="7491" spans="1:8" ht="25.05" customHeight="1" x14ac:dyDescent="0.25">
      <c r="A7491" s="2" t="s">
        <v>8</v>
      </c>
      <c r="B7491" s="2" t="str">
        <f>HYPERLINK("http://ts.21cn.com/tousu/show/id/1338472","协商还款事宜")</f>
        <v>协商还款事宜</v>
      </c>
      <c r="C7491" s="2" t="s">
        <v>34</v>
      </c>
      <c r="D7491" s="2" t="s">
        <v>10</v>
      </c>
      <c r="E7491" s="2" t="str">
        <f>HYPERLINK("http://ts.21cn.com/tousu/show/id/1338472","http://ts.21cn.com/tousu/show/id/1338472")</f>
        <v>http://ts.21cn.com/tousu/show/id/1338472</v>
      </c>
      <c r="F7491" s="2" t="s">
        <v>11</v>
      </c>
      <c r="G7491" s="2" t="s">
        <v>29427</v>
      </c>
      <c r="H7491" s="2" t="s">
        <v>29428</v>
      </c>
    </row>
    <row r="7492" spans="1:8" ht="25.05" customHeight="1" x14ac:dyDescent="0.25">
      <c r="A7492" s="2" t="s">
        <v>8</v>
      </c>
      <c r="B7492" s="2" t="str">
        <f>HYPERLINK("http://ts.21cn.com/tousu/show/id/1338474","希望拿回我的259元")</f>
        <v>希望拿回我的259元</v>
      </c>
      <c r="C7492" s="2" t="s">
        <v>34</v>
      </c>
      <c r="D7492" s="2" t="s">
        <v>10</v>
      </c>
      <c r="E7492" s="2" t="str">
        <f>HYPERLINK("http://ts.21cn.com/tousu/show/id/1338474","http://ts.21cn.com/tousu/show/id/1338474")</f>
        <v>http://ts.21cn.com/tousu/show/id/1338474</v>
      </c>
      <c r="F7492" s="2" t="s">
        <v>11</v>
      </c>
      <c r="G7492" s="2" t="s">
        <v>29425</v>
      </c>
      <c r="H7492" s="2" t="s">
        <v>29426</v>
      </c>
    </row>
    <row r="7493" spans="1:8" ht="25.05" customHeight="1" x14ac:dyDescent="0.25">
      <c r="A7493" s="2" t="s">
        <v>8</v>
      </c>
      <c r="B7493" s="2" t="str">
        <f>HYPERLINK("http://ts.21cn.com/tousu/show/id/1338475","暴力催收，短信威胁，高利贷，骚扰通讯录里联系人，")</f>
        <v>暴力催收，短信威胁，高利贷，骚扰通讯录里联系人，</v>
      </c>
      <c r="C7493" s="2" t="s">
        <v>9</v>
      </c>
      <c r="D7493" s="2" t="s">
        <v>10</v>
      </c>
      <c r="E7493" s="2" t="str">
        <f>HYPERLINK("http://ts.21cn.com/tousu/show/id/1338475","http://ts.21cn.com/tousu/show/id/1338475")</f>
        <v>http://ts.21cn.com/tousu/show/id/1338475</v>
      </c>
      <c r="F7493" s="2" t="s">
        <v>11</v>
      </c>
      <c r="G7493" s="2" t="s">
        <v>29423</v>
      </c>
      <c r="H7493" s="2" t="s">
        <v>29424</v>
      </c>
    </row>
    <row r="7494" spans="1:8" ht="25.05" customHeight="1" x14ac:dyDescent="0.25">
      <c r="A7494" s="2" t="s">
        <v>8</v>
      </c>
      <c r="B7494" s="2" t="str">
        <f>HYPERLINK("http://ts.21cn.com/tousu/show/id/1338476","借款账单带有未知的保险费用")</f>
        <v>借款账单带有未知的保险费用</v>
      </c>
      <c r="C7494" s="2" t="s">
        <v>34</v>
      </c>
      <c r="D7494" s="2" t="s">
        <v>10</v>
      </c>
      <c r="E7494" s="2" t="str">
        <f>HYPERLINK("http://ts.21cn.com/tousu/show/id/1338476","http://ts.21cn.com/tousu/show/id/1338476")</f>
        <v>http://ts.21cn.com/tousu/show/id/1338476</v>
      </c>
      <c r="F7494" s="2" t="s">
        <v>11</v>
      </c>
      <c r="G7494" s="2" t="s">
        <v>29421</v>
      </c>
      <c r="H7494" s="2" t="s">
        <v>29422</v>
      </c>
    </row>
    <row r="7495" spans="1:8" ht="25.05" customHeight="1" x14ac:dyDescent="0.25">
      <c r="A7495" s="2" t="s">
        <v>8</v>
      </c>
      <c r="B7495" s="2" t="str">
        <f>HYPERLINK("http://ts.21cn.com/tousu/show/id/1338477","骚扰联系人")</f>
        <v>骚扰联系人</v>
      </c>
      <c r="C7495" s="2" t="s">
        <v>9</v>
      </c>
      <c r="D7495" s="2" t="s">
        <v>10</v>
      </c>
      <c r="E7495" s="2" t="str">
        <f>HYPERLINK("http://ts.21cn.com/tousu/show/id/1338477","http://ts.21cn.com/tousu/show/id/1338477")</f>
        <v>http://ts.21cn.com/tousu/show/id/1338477</v>
      </c>
      <c r="F7495" s="2" t="s">
        <v>11</v>
      </c>
      <c r="G7495" s="2" t="s">
        <v>29419</v>
      </c>
      <c r="H7495" s="2" t="s">
        <v>29420</v>
      </c>
    </row>
    <row r="7496" spans="1:8" ht="25.05" customHeight="1" x14ac:dyDescent="0.25">
      <c r="A7496" s="2" t="s">
        <v>8</v>
      </c>
      <c r="B7496" s="2" t="str">
        <f>HYPERLINK("http://ts.21cn.com/tousu/show/id/1338478","超职教育虚假宣传拒不退款")</f>
        <v>超职教育虚假宣传拒不退款</v>
      </c>
      <c r="C7496" s="2" t="s">
        <v>9</v>
      </c>
      <c r="D7496" s="2" t="s">
        <v>10</v>
      </c>
      <c r="E7496" s="2" t="str">
        <f>HYPERLINK("http://ts.21cn.com/tousu/show/id/1338478","http://ts.21cn.com/tousu/show/id/1338478")</f>
        <v>http://ts.21cn.com/tousu/show/id/1338478</v>
      </c>
      <c r="F7496" s="2" t="s">
        <v>11</v>
      </c>
      <c r="G7496" s="2" t="s">
        <v>29417</v>
      </c>
      <c r="H7496" s="2" t="s">
        <v>29418</v>
      </c>
    </row>
    <row r="7497" spans="1:8" ht="25.05" customHeight="1" x14ac:dyDescent="0.25">
      <c r="A7497" s="2" t="s">
        <v>8</v>
      </c>
      <c r="B7497" s="2" t="str">
        <f>HYPERLINK("http://ts.21cn.com/tousu/show/id/1338480","除紧急联系人之外我朋友家人也收到了催收的电话，损毁个人名誉，以及威胁恐吓")</f>
        <v>除紧急联系人之外我朋友家人也收到了催收的电话，损毁个人名誉，以及威胁恐吓</v>
      </c>
      <c r="C7497" s="2" t="s">
        <v>9</v>
      </c>
      <c r="D7497" s="2" t="s">
        <v>10</v>
      </c>
      <c r="E7497" s="2" t="str">
        <f>HYPERLINK("http://ts.21cn.com/tousu/show/id/1338480","http://ts.21cn.com/tousu/show/id/1338480")</f>
        <v>http://ts.21cn.com/tousu/show/id/1338480</v>
      </c>
      <c r="F7497" s="2" t="s">
        <v>11</v>
      </c>
      <c r="G7497" s="2" t="s">
        <v>29415</v>
      </c>
      <c r="H7497" s="2" t="s">
        <v>22050</v>
      </c>
    </row>
    <row r="7498" spans="1:8" ht="25.05" customHeight="1" x14ac:dyDescent="0.25">
      <c r="A7498" s="2" t="s">
        <v>8</v>
      </c>
      <c r="B7498" s="2" t="str">
        <f>HYPERLINK("http://ts.21cn.com/tousu/show/id/1338479","要求中信撤除律师函")</f>
        <v>要求中信撤除律师函</v>
      </c>
      <c r="C7498" s="2" t="s">
        <v>34</v>
      </c>
      <c r="D7498" s="2" t="s">
        <v>10</v>
      </c>
      <c r="E7498" s="2" t="str">
        <f>HYPERLINK("http://ts.21cn.com/tousu/show/id/1338479","http://ts.21cn.com/tousu/show/id/1338479")</f>
        <v>http://ts.21cn.com/tousu/show/id/1338479</v>
      </c>
      <c r="F7498" s="2" t="s">
        <v>11</v>
      </c>
      <c r="G7498" s="2" t="s">
        <v>29415</v>
      </c>
      <c r="H7498" s="2" t="s">
        <v>29416</v>
      </c>
    </row>
    <row r="7499" spans="1:8" ht="25.05" customHeight="1" x14ac:dyDescent="0.25">
      <c r="A7499" s="2" t="s">
        <v>8</v>
      </c>
      <c r="B7499" s="2" t="str">
        <f>HYPERLINK("http://ts.21cn.com/tousu/show/id/1338481","无故扣款拒绝退款")</f>
        <v>无故扣款拒绝退款</v>
      </c>
      <c r="C7499" s="2" t="s">
        <v>9</v>
      </c>
      <c r="D7499" s="2" t="s">
        <v>10</v>
      </c>
      <c r="E7499" s="2" t="str">
        <f>HYPERLINK("http://ts.21cn.com/tousu/show/id/1338481","http://ts.21cn.com/tousu/show/id/1338481")</f>
        <v>http://ts.21cn.com/tousu/show/id/1338481</v>
      </c>
      <c r="F7499" s="2" t="s">
        <v>11</v>
      </c>
      <c r="G7499" s="2" t="s">
        <v>29413</v>
      </c>
      <c r="H7499" s="2" t="s">
        <v>29414</v>
      </c>
    </row>
    <row r="7500" spans="1:8" ht="25.05" customHeight="1" x14ac:dyDescent="0.25">
      <c r="A7500" s="2" t="s">
        <v>8</v>
      </c>
      <c r="B7500" s="2" t="str">
        <f>HYPERLINK("http://ts.21cn.com/tousu/show/id/1338482","砍头息，非法高利贷")</f>
        <v>砍头息，非法高利贷</v>
      </c>
      <c r="C7500" s="2" t="s">
        <v>9</v>
      </c>
      <c r="D7500" s="2" t="s">
        <v>10</v>
      </c>
      <c r="E7500" s="2" t="str">
        <f>HYPERLINK("http://ts.21cn.com/tousu/show/id/1338482","http://ts.21cn.com/tousu/show/id/1338482")</f>
        <v>http://ts.21cn.com/tousu/show/id/1338482</v>
      </c>
      <c r="F7500" s="2" t="s">
        <v>11</v>
      </c>
      <c r="G7500" s="2" t="s">
        <v>29411</v>
      </c>
      <c r="H7500" s="2" t="s">
        <v>29412</v>
      </c>
    </row>
    <row r="7501" spans="1:8" ht="25.05" customHeight="1" x14ac:dyDescent="0.25">
      <c r="A7501" s="2" t="s">
        <v>8</v>
      </c>
      <c r="B7501" s="2" t="str">
        <f>HYPERLINK("http://ts.21cn.com/tousu/show/id/1338484","投诉暴力收款")</f>
        <v>投诉暴力收款</v>
      </c>
      <c r="C7501" s="2" t="s">
        <v>9</v>
      </c>
      <c r="D7501" s="2" t="s">
        <v>10</v>
      </c>
      <c r="E7501" s="2" t="str">
        <f>HYPERLINK("http://ts.21cn.com/tousu/show/id/1338484","http://ts.21cn.com/tousu/show/id/1338484")</f>
        <v>http://ts.21cn.com/tousu/show/id/1338484</v>
      </c>
      <c r="F7501" s="2" t="s">
        <v>11</v>
      </c>
      <c r="G7501" s="2" t="s">
        <v>29409</v>
      </c>
      <c r="H7501" s="2" t="s">
        <v>29410</v>
      </c>
    </row>
    <row r="7502" spans="1:8" ht="25.05" customHeight="1" x14ac:dyDescent="0.25">
      <c r="A7502" s="2" t="s">
        <v>8</v>
      </c>
      <c r="B7502" s="2" t="str">
        <f>HYPERLINK("http://ts.21cn.com/tousu/show/id/1338483","分期鸭高利贷")</f>
        <v>分期鸭高利贷</v>
      </c>
      <c r="C7502" s="2" t="s">
        <v>9</v>
      </c>
      <c r="D7502" s="2" t="s">
        <v>10</v>
      </c>
      <c r="E7502" s="2" t="str">
        <f>HYPERLINK("http://ts.21cn.com/tousu/show/id/1338483","http://ts.21cn.com/tousu/show/id/1338483")</f>
        <v>http://ts.21cn.com/tousu/show/id/1338483</v>
      </c>
      <c r="F7502" s="2" t="s">
        <v>11</v>
      </c>
      <c r="G7502" s="2" t="s">
        <v>29407</v>
      </c>
      <c r="H7502" s="2" t="s">
        <v>29408</v>
      </c>
    </row>
    <row r="7503" spans="1:8" ht="25.05" customHeight="1" x14ac:dyDescent="0.25">
      <c r="A7503" s="2" t="s">
        <v>8</v>
      </c>
      <c r="B7503" s="2" t="str">
        <f>HYPERLINK("http://ts.21cn.com/tousu/show/id/1338485","你我贷对公还款不销帐，钱被吞了。？")</f>
        <v>你我贷对公还款不销帐，钱被吞了。？</v>
      </c>
      <c r="C7503" s="2" t="s">
        <v>34</v>
      </c>
      <c r="D7503" s="2" t="s">
        <v>10</v>
      </c>
      <c r="E7503" s="2" t="str">
        <f>HYPERLINK("http://ts.21cn.com/tousu/show/id/1338485","http://ts.21cn.com/tousu/show/id/1338485")</f>
        <v>http://ts.21cn.com/tousu/show/id/1338485</v>
      </c>
      <c r="F7503" s="2" t="s">
        <v>11</v>
      </c>
      <c r="G7503" s="2" t="s">
        <v>29405</v>
      </c>
      <c r="H7503" s="2" t="s">
        <v>29406</v>
      </c>
    </row>
    <row r="7504" spans="1:8" ht="25.05" customHeight="1" x14ac:dyDescent="0.25">
      <c r="A7504" s="2" t="s">
        <v>8</v>
      </c>
      <c r="B7504" s="2" t="str">
        <f>HYPERLINK("http://ts.21cn.com/tousu/show/id/1338487","暴力催收，利息高，现在已经无力偿还，希望协商解决")</f>
        <v>暴力催收，利息高，现在已经无力偿还，希望协商解决</v>
      </c>
      <c r="C7504" s="2" t="s">
        <v>9</v>
      </c>
      <c r="D7504" s="2" t="s">
        <v>10</v>
      </c>
      <c r="E7504" s="2" t="str">
        <f>HYPERLINK("http://ts.21cn.com/tousu/show/id/1338487","http://ts.21cn.com/tousu/show/id/1338487")</f>
        <v>http://ts.21cn.com/tousu/show/id/1338487</v>
      </c>
      <c r="F7504" s="2" t="s">
        <v>11</v>
      </c>
      <c r="G7504" s="2" t="s">
        <v>29403</v>
      </c>
      <c r="H7504" s="2" t="s">
        <v>29404</v>
      </c>
    </row>
    <row r="7505" spans="1:8" ht="25.05" customHeight="1" x14ac:dyDescent="0.25">
      <c r="A7505" s="2" t="s">
        <v>8</v>
      </c>
      <c r="B7505" s="2" t="str">
        <f>HYPERLINK("http://ts.21cn.com/tousu/show/id/1338486","在毒app购买的商品出现明显的质量问题，毒app不退，不换，连最基本的维修都不行，只愿意补偿50元的现金劵")</f>
        <v>在毒app购买的商品出现明显的质量问题，毒app不退，不换，连最基本的维修都不行，只愿意补偿50元的现金劵</v>
      </c>
      <c r="C7505" s="2" t="s">
        <v>34</v>
      </c>
      <c r="D7505" s="2" t="s">
        <v>10</v>
      </c>
      <c r="E7505" s="2" t="str">
        <f>HYPERLINK("http://ts.21cn.com/tousu/show/id/1338486","http://ts.21cn.com/tousu/show/id/1338486")</f>
        <v>http://ts.21cn.com/tousu/show/id/1338486</v>
      </c>
      <c r="F7505" s="2" t="s">
        <v>11</v>
      </c>
      <c r="G7505" s="2" t="s">
        <v>29401</v>
      </c>
      <c r="H7505" s="2" t="s">
        <v>29402</v>
      </c>
    </row>
    <row r="7506" spans="1:8" ht="25.05" customHeight="1" x14ac:dyDescent="0.25">
      <c r="A7506" s="2" t="s">
        <v>8</v>
      </c>
      <c r="B7506" s="2" t="str">
        <f>HYPERLINK("http://ts.21cn.com/tousu/show/id/1338473","捷信")</f>
        <v>捷信</v>
      </c>
      <c r="C7506" s="2" t="s">
        <v>9</v>
      </c>
      <c r="D7506" s="2" t="s">
        <v>10</v>
      </c>
      <c r="E7506" s="2" t="str">
        <f>HYPERLINK("http://ts.21cn.com/tousu/show/id/1338473","http://ts.21cn.com/tousu/show/id/1338473")</f>
        <v>http://ts.21cn.com/tousu/show/id/1338473</v>
      </c>
      <c r="F7506" s="2" t="s">
        <v>11</v>
      </c>
      <c r="G7506" s="2" t="s">
        <v>29399</v>
      </c>
      <c r="H7506" s="2" t="s">
        <v>29400</v>
      </c>
    </row>
    <row r="7507" spans="1:8" ht="25.05" customHeight="1" x14ac:dyDescent="0.25">
      <c r="A7507" s="2" t="s">
        <v>8</v>
      </c>
      <c r="B7507" s="2" t="str">
        <f>HYPERLINK("http://ts.21cn.com/tousu/show/id/1338488","捷信高利贷乱加费用")</f>
        <v>捷信高利贷乱加费用</v>
      </c>
      <c r="C7507" s="2" t="s">
        <v>9</v>
      </c>
      <c r="D7507" s="2" t="s">
        <v>10</v>
      </c>
      <c r="E7507" s="2" t="str">
        <f>HYPERLINK("http://ts.21cn.com/tousu/show/id/1338488","http://ts.21cn.com/tousu/show/id/1338488")</f>
        <v>http://ts.21cn.com/tousu/show/id/1338488</v>
      </c>
      <c r="F7507" s="2" t="s">
        <v>11</v>
      </c>
      <c r="G7507" s="2" t="s">
        <v>29397</v>
      </c>
      <c r="H7507" s="2" t="s">
        <v>29398</v>
      </c>
    </row>
    <row r="7508" spans="1:8" ht="25.05" customHeight="1" x14ac:dyDescent="0.25">
      <c r="A7508" s="2" t="s">
        <v>8</v>
      </c>
      <c r="B7508" s="2" t="str">
        <f>HYPERLINK("http://ts.21cn.com/tousu/show/id/1338489","拍拍贷协商还款")</f>
        <v>拍拍贷协商还款</v>
      </c>
      <c r="C7508" s="2" t="s">
        <v>9</v>
      </c>
      <c r="D7508" s="2" t="s">
        <v>10</v>
      </c>
      <c r="E7508" s="2" t="str">
        <f>HYPERLINK("http://ts.21cn.com/tousu/show/id/1338489","http://ts.21cn.com/tousu/show/id/1338489")</f>
        <v>http://ts.21cn.com/tousu/show/id/1338489</v>
      </c>
      <c r="F7508" s="2" t="s">
        <v>11</v>
      </c>
      <c r="G7508" s="2" t="s">
        <v>29395</v>
      </c>
      <c r="H7508" s="2" t="s">
        <v>29396</v>
      </c>
    </row>
    <row r="7509" spans="1:8" ht="25.05" customHeight="1" x14ac:dyDescent="0.25">
      <c r="A7509" s="2" t="s">
        <v>8</v>
      </c>
      <c r="B7509" s="2" t="str">
        <f>HYPERLINK("http://ts.21cn.com/tousu/show/id/1338491","Wecash闪银高利贷")</f>
        <v>Wecash闪银高利贷</v>
      </c>
      <c r="C7509" s="2" t="s">
        <v>9</v>
      </c>
      <c r="D7509" s="2" t="s">
        <v>10</v>
      </c>
      <c r="E7509" s="2" t="str">
        <f>HYPERLINK("http://ts.21cn.com/tousu/show/id/1338491","http://ts.21cn.com/tousu/show/id/1338491")</f>
        <v>http://ts.21cn.com/tousu/show/id/1338491</v>
      </c>
      <c r="F7509" s="2" t="s">
        <v>11</v>
      </c>
      <c r="G7509" s="2" t="s">
        <v>29393</v>
      </c>
      <c r="H7509" s="2" t="s">
        <v>29394</v>
      </c>
    </row>
    <row r="7510" spans="1:8" ht="25.05" customHeight="1" x14ac:dyDescent="0.25">
      <c r="A7510" s="2" t="s">
        <v>8</v>
      </c>
      <c r="B7510" s="2" t="str">
        <f>HYPERLINK("http://ts.21cn.com/tousu/show/id/1338492","故意不让还款导致逾期收高额逾期费")</f>
        <v>故意不让还款导致逾期收高额逾期费</v>
      </c>
      <c r="C7510" s="2" t="s">
        <v>9</v>
      </c>
      <c r="D7510" s="2" t="s">
        <v>10</v>
      </c>
      <c r="E7510" s="2" t="str">
        <f>HYPERLINK("http://ts.21cn.com/tousu/show/id/1338492","http://ts.21cn.com/tousu/show/id/1338492")</f>
        <v>http://ts.21cn.com/tousu/show/id/1338492</v>
      </c>
      <c r="F7510" s="2" t="s">
        <v>11</v>
      </c>
      <c r="G7510" s="2" t="s">
        <v>29391</v>
      </c>
      <c r="H7510" s="2" t="s">
        <v>29392</v>
      </c>
    </row>
    <row r="7511" spans="1:8" ht="25.05" customHeight="1" x14ac:dyDescent="0.25">
      <c r="A7511" s="2" t="s">
        <v>8</v>
      </c>
      <c r="B7511" s="2" t="str">
        <f>HYPERLINK("http://ts.21cn.com/tousu/show/id/1338493","微信支付为博彩网站清算资金")</f>
        <v>微信支付为博彩网站清算资金</v>
      </c>
      <c r="C7511" s="2" t="s">
        <v>9</v>
      </c>
      <c r="D7511" s="2" t="s">
        <v>10</v>
      </c>
      <c r="E7511" s="2" t="str">
        <f>HYPERLINK("http://ts.21cn.com/tousu/show/id/1338493","http://ts.21cn.com/tousu/show/id/1338493")</f>
        <v>http://ts.21cn.com/tousu/show/id/1338493</v>
      </c>
      <c r="F7511" s="2" t="s">
        <v>11</v>
      </c>
      <c r="G7511" s="2" t="s">
        <v>29389</v>
      </c>
      <c r="H7511" s="2" t="s">
        <v>29390</v>
      </c>
    </row>
    <row r="7512" spans="1:8" ht="25.05" customHeight="1" x14ac:dyDescent="0.25">
      <c r="A7512" s="2" t="s">
        <v>8</v>
      </c>
      <c r="B7512" s="2" t="str">
        <f>HYPERLINK("http://ts.21cn.com/tousu/show/id/1338495","今天才是还款日打了那么多电话催，上班没办法接电话")</f>
        <v>今天才是还款日打了那么多电话催，上班没办法接电话</v>
      </c>
      <c r="C7512" s="2" t="s">
        <v>34</v>
      </c>
      <c r="D7512" s="2" t="s">
        <v>10</v>
      </c>
      <c r="E7512" s="2" t="str">
        <f>HYPERLINK("http://ts.21cn.com/tousu/show/id/1338495","http://ts.21cn.com/tousu/show/id/1338495")</f>
        <v>http://ts.21cn.com/tousu/show/id/1338495</v>
      </c>
      <c r="F7512" s="2" t="s">
        <v>11</v>
      </c>
      <c r="G7512" s="2" t="s">
        <v>29387</v>
      </c>
      <c r="H7512" s="2" t="s">
        <v>29388</v>
      </c>
    </row>
    <row r="7513" spans="1:8" ht="25.05" customHeight="1" x14ac:dyDescent="0.25">
      <c r="A7513" s="2" t="s">
        <v>8</v>
      </c>
      <c r="B7513" s="2" t="str">
        <f>HYPERLINK("http://ts.21cn.com/tousu/show/id/1338496","51人品贷黑心高利贷，暴利催收骚扰联系人")</f>
        <v>51人品贷黑心高利贷，暴利催收骚扰联系人</v>
      </c>
      <c r="C7513" s="2" t="s">
        <v>9</v>
      </c>
      <c r="D7513" s="2" t="s">
        <v>10</v>
      </c>
      <c r="E7513" s="2" t="str">
        <f>HYPERLINK("http://ts.21cn.com/tousu/show/id/1338496","http://ts.21cn.com/tousu/show/id/1338496")</f>
        <v>http://ts.21cn.com/tousu/show/id/1338496</v>
      </c>
      <c r="F7513" s="2" t="s">
        <v>11</v>
      </c>
      <c r="G7513" s="2" t="s">
        <v>29385</v>
      </c>
      <c r="H7513" s="2" t="s">
        <v>29386</v>
      </c>
    </row>
    <row r="7514" spans="1:8" ht="25.05" customHeight="1" x14ac:dyDescent="0.25">
      <c r="A7514" s="2" t="s">
        <v>8</v>
      </c>
      <c r="B7514" s="2" t="str">
        <f>HYPERLINK("http://ts.21cn.com/tousu/show/id/1338497","阳光出行无故扣款客服处理")</f>
        <v>阳光出行无故扣款客服处理</v>
      </c>
      <c r="C7514" s="2" t="s">
        <v>9</v>
      </c>
      <c r="D7514" s="2" t="s">
        <v>10</v>
      </c>
      <c r="E7514" s="2" t="str">
        <f>HYPERLINK("http://ts.21cn.com/tousu/show/id/1338497","http://ts.21cn.com/tousu/show/id/1338497")</f>
        <v>http://ts.21cn.com/tousu/show/id/1338497</v>
      </c>
      <c r="F7514" s="2" t="s">
        <v>11</v>
      </c>
      <c r="G7514" s="2" t="s">
        <v>29383</v>
      </c>
      <c r="H7514" s="2" t="s">
        <v>29384</v>
      </c>
    </row>
    <row r="7515" spans="1:8" ht="25.05" customHeight="1" x14ac:dyDescent="0.25">
      <c r="A7515" s="2" t="s">
        <v>8</v>
      </c>
      <c r="B7515" s="2" t="str">
        <f>HYPERLINK("http://ts.21cn.com/tousu/show/id/1338498","能联系我还爆我通讯录")</f>
        <v>能联系我还爆我通讯录</v>
      </c>
      <c r="C7515" s="2" t="s">
        <v>9</v>
      </c>
      <c r="D7515" s="2" t="s">
        <v>10</v>
      </c>
      <c r="E7515" s="2" t="str">
        <f>HYPERLINK("http://ts.21cn.com/tousu/show/id/1338498","http://ts.21cn.com/tousu/show/id/1338498")</f>
        <v>http://ts.21cn.com/tousu/show/id/1338498</v>
      </c>
      <c r="F7515" s="2" t="s">
        <v>11</v>
      </c>
      <c r="G7515" s="2" t="s">
        <v>29381</v>
      </c>
      <c r="H7515" s="2" t="s">
        <v>29382</v>
      </c>
    </row>
    <row r="7516" spans="1:8" ht="25.05" customHeight="1" x14ac:dyDescent="0.25">
      <c r="A7516" s="2" t="s">
        <v>8</v>
      </c>
      <c r="B7516" s="2" t="str">
        <f>HYPERLINK("http://ts.21cn.com/tousu/show/id/1338501","上海东方尚学退款问题")</f>
        <v>上海东方尚学退款问题</v>
      </c>
      <c r="C7516" s="2" t="s">
        <v>9</v>
      </c>
      <c r="D7516" s="2" t="s">
        <v>10</v>
      </c>
      <c r="E7516" s="2" t="str">
        <f>HYPERLINK("http://ts.21cn.com/tousu/show/id/1338501","http://ts.21cn.com/tousu/show/id/1338501")</f>
        <v>http://ts.21cn.com/tousu/show/id/1338501</v>
      </c>
      <c r="F7516" s="2" t="s">
        <v>11</v>
      </c>
      <c r="G7516" s="2" t="s">
        <v>29379</v>
      </c>
      <c r="H7516" s="2" t="s">
        <v>29380</v>
      </c>
    </row>
    <row r="7517" spans="1:8" ht="25.05" customHeight="1" x14ac:dyDescent="0.25">
      <c r="A7517" s="2" t="s">
        <v>8</v>
      </c>
      <c r="B7517" s="2" t="str">
        <f>HYPERLINK("http://ts.21cn.com/tousu/show/id/1338500","网易相册在未通知到位用户情况下关闭服务器丨网易回应：可导出相册图片")</f>
        <v>网易相册在未通知到位用户情况下关闭服务器丨网易回应：可导出相册图片</v>
      </c>
      <c r="C7517" s="2" t="s">
        <v>34</v>
      </c>
      <c r="D7517" s="2" t="s">
        <v>10</v>
      </c>
      <c r="E7517" s="2" t="str">
        <f>HYPERLINK("http://ts.21cn.com/tousu/show/id/1338500","http://ts.21cn.com/tousu/show/id/1338500")</f>
        <v>http://ts.21cn.com/tousu/show/id/1338500</v>
      </c>
      <c r="F7517" s="2" t="s">
        <v>11</v>
      </c>
      <c r="G7517" s="2" t="s">
        <v>29377</v>
      </c>
      <c r="H7517" s="2" t="s">
        <v>29378</v>
      </c>
    </row>
    <row r="7518" spans="1:8" ht="25.05" customHeight="1" x14ac:dyDescent="0.25">
      <c r="A7518" s="2" t="s">
        <v>8</v>
      </c>
      <c r="B7518" s="2" t="str">
        <f>HYPERLINK("http://ts.21cn.com/tousu/show/id/1338502","月月有钱说还了也白还")</f>
        <v>月月有钱说还了也白还</v>
      </c>
      <c r="C7518" s="2" t="s">
        <v>34</v>
      </c>
      <c r="D7518" s="2" t="s">
        <v>10</v>
      </c>
      <c r="E7518" s="2" t="str">
        <f>HYPERLINK("http://ts.21cn.com/tousu/show/id/1338502","http://ts.21cn.com/tousu/show/id/1338502")</f>
        <v>http://ts.21cn.com/tousu/show/id/1338502</v>
      </c>
      <c r="F7518" s="2" t="s">
        <v>11</v>
      </c>
      <c r="G7518" s="2" t="s">
        <v>29375</v>
      </c>
      <c r="H7518" s="2" t="s">
        <v>29376</v>
      </c>
    </row>
    <row r="7519" spans="1:8" ht="25.05" customHeight="1" x14ac:dyDescent="0.25">
      <c r="A7519" s="2" t="s">
        <v>8</v>
      </c>
      <c r="B7519" s="2" t="str">
        <f>HYPERLINK("http://ts.21cn.com/tousu/show/id/1338503","首汽约车退款没到账，钱不知去向")</f>
        <v>首汽约车退款没到账，钱不知去向</v>
      </c>
      <c r="C7519" s="2" t="s">
        <v>9</v>
      </c>
      <c r="D7519" s="2" t="s">
        <v>10</v>
      </c>
      <c r="E7519" s="2" t="str">
        <f>HYPERLINK("http://ts.21cn.com/tousu/show/id/1338503","http://ts.21cn.com/tousu/show/id/1338503")</f>
        <v>http://ts.21cn.com/tousu/show/id/1338503</v>
      </c>
      <c r="F7519" s="2" t="s">
        <v>11</v>
      </c>
      <c r="G7519" s="2" t="s">
        <v>29373</v>
      </c>
      <c r="H7519" s="2" t="s">
        <v>29374</v>
      </c>
    </row>
    <row r="7520" spans="1:8" ht="25.05" customHeight="1" x14ac:dyDescent="0.25">
      <c r="A7520" s="2" t="s">
        <v>8</v>
      </c>
      <c r="B7520" s="2" t="str">
        <f>HYPERLINK("http://ts.21cn.com/tousu/show/id/1338504","高利贷套路贷")</f>
        <v>高利贷套路贷</v>
      </c>
      <c r="C7520" s="2" t="s">
        <v>9</v>
      </c>
      <c r="D7520" s="2" t="s">
        <v>10</v>
      </c>
      <c r="E7520" s="2" t="str">
        <f>HYPERLINK("http://ts.21cn.com/tousu/show/id/1338504","http://ts.21cn.com/tousu/show/id/1338504")</f>
        <v>http://ts.21cn.com/tousu/show/id/1338504</v>
      </c>
      <c r="F7520" s="2" t="s">
        <v>11</v>
      </c>
      <c r="G7520" s="2" t="s">
        <v>29371</v>
      </c>
      <c r="H7520" s="2" t="s">
        <v>29372</v>
      </c>
    </row>
    <row r="7521" spans="1:8" ht="25.05" customHeight="1" x14ac:dyDescent="0.25">
      <c r="A7521" s="2" t="s">
        <v>8</v>
      </c>
      <c r="B7521" s="2" t="str">
        <f>HYPERLINK("http://ts.21cn.com/tousu/show/id/1338505","上门暴力收款")</f>
        <v>上门暴力收款</v>
      </c>
      <c r="C7521" s="2" t="s">
        <v>9</v>
      </c>
      <c r="D7521" s="2" t="s">
        <v>10</v>
      </c>
      <c r="E7521" s="2" t="str">
        <f>HYPERLINK("http://ts.21cn.com/tousu/show/id/1338505","http://ts.21cn.com/tousu/show/id/1338505")</f>
        <v>http://ts.21cn.com/tousu/show/id/1338505</v>
      </c>
      <c r="F7521" s="2" t="s">
        <v>11</v>
      </c>
      <c r="G7521" s="2" t="s">
        <v>29370</v>
      </c>
      <c r="H7521" s="2" t="s">
        <v>21884</v>
      </c>
    </row>
    <row r="7522" spans="1:8" ht="25.05" customHeight="1" x14ac:dyDescent="0.25">
      <c r="A7522" s="2" t="s">
        <v>8</v>
      </c>
      <c r="B7522" s="2" t="str">
        <f>HYPERLINK("http://ts.21cn.com/tousu/show/id/1338506","高额砍头贷款")</f>
        <v>高额砍头贷款</v>
      </c>
      <c r="C7522" s="2" t="s">
        <v>34</v>
      </c>
      <c r="D7522" s="2" t="s">
        <v>10</v>
      </c>
      <c r="E7522" s="2" t="str">
        <f>HYPERLINK("http://ts.21cn.com/tousu/show/id/1338506","http://ts.21cn.com/tousu/show/id/1338506")</f>
        <v>http://ts.21cn.com/tousu/show/id/1338506</v>
      </c>
      <c r="F7522" s="2" t="s">
        <v>11</v>
      </c>
      <c r="G7522" s="2" t="s">
        <v>29368</v>
      </c>
      <c r="H7522" s="2" t="s">
        <v>29369</v>
      </c>
    </row>
    <row r="7523" spans="1:8" ht="25.05" customHeight="1" x14ac:dyDescent="0.25">
      <c r="A7523" s="2" t="s">
        <v>8</v>
      </c>
      <c r="B7523" s="2" t="str">
        <f>HYPERLINK("http://ts.21cn.com/tousu/show/id/1338508","从未逾期，结果不能借款了，这是什么现象？")</f>
        <v>从未逾期，结果不能借款了，这是什么现象？</v>
      </c>
      <c r="C7523" s="2" t="s">
        <v>34</v>
      </c>
      <c r="D7523" s="2" t="s">
        <v>10</v>
      </c>
      <c r="E7523" s="2" t="str">
        <f>HYPERLINK("http://ts.21cn.com/tousu/show/id/1338508","http://ts.21cn.com/tousu/show/id/1338508")</f>
        <v>http://ts.21cn.com/tousu/show/id/1338508</v>
      </c>
      <c r="F7523" s="2" t="s">
        <v>11</v>
      </c>
      <c r="G7523" s="2" t="s">
        <v>29366</v>
      </c>
      <c r="H7523" s="2" t="s">
        <v>29367</v>
      </c>
    </row>
    <row r="7524" spans="1:8" ht="25.05" customHeight="1" x14ac:dyDescent="0.25">
      <c r="A7524" s="2" t="s">
        <v>8</v>
      </c>
      <c r="B7524" s="2" t="str">
        <f>HYPERLINK("http://ts.21cn.com/tousu/show/id/1338509","莫名其妙的被扣款了296元，都不知道是什么情况，要求退款")</f>
        <v>莫名其妙的被扣款了296元，都不知道是什么情况，要求退款</v>
      </c>
      <c r="C7524" s="2" t="s">
        <v>9</v>
      </c>
      <c r="D7524" s="2" t="s">
        <v>10</v>
      </c>
      <c r="E7524" s="2" t="str">
        <f>HYPERLINK("http://ts.21cn.com/tousu/show/id/1338509","http://ts.21cn.com/tousu/show/id/1338509")</f>
        <v>http://ts.21cn.com/tousu/show/id/1338509</v>
      </c>
      <c r="F7524" s="2" t="s">
        <v>11</v>
      </c>
      <c r="G7524" s="2" t="s">
        <v>29364</v>
      </c>
      <c r="H7524" s="2" t="s">
        <v>29365</v>
      </c>
    </row>
    <row r="7525" spans="1:8" ht="25.05" customHeight="1" x14ac:dyDescent="0.25">
      <c r="A7525" s="2" t="s">
        <v>8</v>
      </c>
      <c r="B7525" s="2" t="str">
        <f>HYPERLINK("http://ts.21cn.com/tousu/show/id/1338507","神马借砍头息收取高额利率")</f>
        <v>神马借砍头息收取高额利率</v>
      </c>
      <c r="C7525" s="2" t="s">
        <v>9</v>
      </c>
      <c r="D7525" s="2" t="s">
        <v>10</v>
      </c>
      <c r="E7525" s="2" t="str">
        <f>HYPERLINK("http://ts.21cn.com/tousu/show/id/1338507","http://ts.21cn.com/tousu/show/id/1338507")</f>
        <v>http://ts.21cn.com/tousu/show/id/1338507</v>
      </c>
      <c r="F7525" s="2" t="s">
        <v>11</v>
      </c>
      <c r="G7525" s="2" t="s">
        <v>29362</v>
      </c>
      <c r="H7525" s="2" t="s">
        <v>29363</v>
      </c>
    </row>
    <row r="7526" spans="1:8" ht="25.05" customHeight="1" x14ac:dyDescent="0.25">
      <c r="A7526" s="2" t="s">
        <v>8</v>
      </c>
      <c r="B7526" s="2" t="str">
        <f>HYPERLINK("http://ts.21cn.com/tousu/show/id/1338510","拍拍贷逾期就打联系人电话态度极其嚣张恶劣")</f>
        <v>拍拍贷逾期就打联系人电话态度极其嚣张恶劣</v>
      </c>
      <c r="C7526" s="2" t="s">
        <v>9</v>
      </c>
      <c r="D7526" s="2" t="s">
        <v>10</v>
      </c>
      <c r="E7526" s="2" t="str">
        <f>HYPERLINK("http://ts.21cn.com/tousu/show/id/1338510","http://ts.21cn.com/tousu/show/id/1338510")</f>
        <v>http://ts.21cn.com/tousu/show/id/1338510</v>
      </c>
      <c r="F7526" s="2" t="s">
        <v>11</v>
      </c>
      <c r="G7526" s="2" t="s">
        <v>29360</v>
      </c>
      <c r="H7526" s="2" t="s">
        <v>29361</v>
      </c>
    </row>
    <row r="7527" spans="1:8" ht="25.05" customHeight="1" x14ac:dyDescent="0.25">
      <c r="A7527" s="2" t="s">
        <v>8</v>
      </c>
      <c r="B7527" s="2" t="str">
        <f>HYPERLINK("http://ts.21cn.com/tousu/show/id/1338511","拒绝退款")</f>
        <v>拒绝退款</v>
      </c>
      <c r="C7527" s="2" t="s">
        <v>9</v>
      </c>
      <c r="D7527" s="2" t="s">
        <v>10</v>
      </c>
      <c r="E7527" s="2" t="str">
        <f>HYPERLINK("http://ts.21cn.com/tousu/show/id/1338511","http://ts.21cn.com/tousu/show/id/1338511")</f>
        <v>http://ts.21cn.com/tousu/show/id/1338511</v>
      </c>
      <c r="F7527" s="2" t="s">
        <v>11</v>
      </c>
      <c r="G7527" s="2" t="s">
        <v>29358</v>
      </c>
      <c r="H7527" s="2" t="s">
        <v>29359</v>
      </c>
    </row>
    <row r="7528" spans="1:8" ht="25.05" customHeight="1" x14ac:dyDescent="0.25">
      <c r="A7528" s="2" t="s">
        <v>8</v>
      </c>
      <c r="B7528" s="2" t="str">
        <f>HYPERLINK("http://ts.21cn.com/tousu/show/id/1338513","冒充国家执法机关")</f>
        <v>冒充国家执法机关</v>
      </c>
      <c r="C7528" s="2" t="s">
        <v>9</v>
      </c>
      <c r="D7528" s="2" t="s">
        <v>10</v>
      </c>
      <c r="E7528" s="2" t="str">
        <f>HYPERLINK("http://ts.21cn.com/tousu/show/id/1338513","http://ts.21cn.com/tousu/show/id/1338513")</f>
        <v>http://ts.21cn.com/tousu/show/id/1338513</v>
      </c>
      <c r="F7528" s="2" t="s">
        <v>11</v>
      </c>
      <c r="G7528" s="2" t="s">
        <v>29357</v>
      </c>
      <c r="H7528" s="2" t="s">
        <v>21896</v>
      </c>
    </row>
    <row r="7529" spans="1:8" ht="25.05" customHeight="1" x14ac:dyDescent="0.25">
      <c r="A7529" s="2" t="s">
        <v>8</v>
      </c>
      <c r="B7529" s="2" t="str">
        <f>HYPERLINK("http://ts.21cn.com/tousu/show/id/1338514","无视法律，威胁恐吓侵犯隐私")</f>
        <v>无视法律，威胁恐吓侵犯隐私</v>
      </c>
      <c r="C7529" s="2" t="s">
        <v>9</v>
      </c>
      <c r="D7529" s="2" t="s">
        <v>10</v>
      </c>
      <c r="E7529" s="2" t="str">
        <f>HYPERLINK("http://ts.21cn.com/tousu/show/id/1338514","http://ts.21cn.com/tousu/show/id/1338514")</f>
        <v>http://ts.21cn.com/tousu/show/id/1338514</v>
      </c>
      <c r="F7529" s="2" t="s">
        <v>11</v>
      </c>
      <c r="G7529" s="2" t="s">
        <v>29355</v>
      </c>
      <c r="H7529" s="2" t="s">
        <v>29356</v>
      </c>
    </row>
    <row r="7530" spans="1:8" ht="25.05" customHeight="1" x14ac:dyDescent="0.25">
      <c r="A7530" s="2" t="s">
        <v>8</v>
      </c>
      <c r="B7530" s="2" t="str">
        <f>HYPERLINK("http://ts.21cn.com/tousu/show/id/1338515","蛋壳公寓太坑了，被坑6000多元")</f>
        <v>蛋壳公寓太坑了，被坑6000多元</v>
      </c>
      <c r="C7530" s="2" t="s">
        <v>9</v>
      </c>
      <c r="D7530" s="2" t="s">
        <v>10</v>
      </c>
      <c r="E7530" s="2" t="str">
        <f>HYPERLINK("http://ts.21cn.com/tousu/show/id/1338515","http://ts.21cn.com/tousu/show/id/1338515")</f>
        <v>http://ts.21cn.com/tousu/show/id/1338515</v>
      </c>
      <c r="F7530" s="2" t="s">
        <v>11</v>
      </c>
      <c r="G7530" s="2" t="s">
        <v>29353</v>
      </c>
      <c r="H7530" s="2" t="s">
        <v>29354</v>
      </c>
    </row>
    <row r="7531" spans="1:8" ht="25.05" customHeight="1" x14ac:dyDescent="0.25">
      <c r="A7531" s="2" t="s">
        <v>8</v>
      </c>
      <c r="B7531" s="2" t="str">
        <f>HYPERLINK("http://ts.21cn.com/tousu/show/id/1338518","何炅身为老师/主持人/电视协会副主任虚假广告")</f>
        <v>何炅身为老师/主持人/电视协会副主任虚假广告</v>
      </c>
      <c r="C7531" s="2" t="s">
        <v>9</v>
      </c>
      <c r="D7531" s="2" t="s">
        <v>10</v>
      </c>
      <c r="E7531" s="2" t="str">
        <f>HYPERLINK("http://ts.21cn.com/tousu/show/id/1338518","http://ts.21cn.com/tousu/show/id/1338518")</f>
        <v>http://ts.21cn.com/tousu/show/id/1338518</v>
      </c>
      <c r="F7531" s="2" t="s">
        <v>11</v>
      </c>
      <c r="G7531" s="2" t="s">
        <v>29351</v>
      </c>
      <c r="H7531" s="2" t="s">
        <v>29352</v>
      </c>
    </row>
    <row r="7532" spans="1:8" ht="25.05" customHeight="1" x14ac:dyDescent="0.25">
      <c r="A7532" s="2" t="s">
        <v>8</v>
      </c>
      <c r="B7532" s="2" t="str">
        <f>HYPERLINK("http://ts.21cn.com/tousu/show/id/1338517","利息太高")</f>
        <v>利息太高</v>
      </c>
      <c r="C7532" s="2" t="s">
        <v>9</v>
      </c>
      <c r="D7532" s="2" t="s">
        <v>10</v>
      </c>
      <c r="E7532" s="2" t="str">
        <f>HYPERLINK("http://ts.21cn.com/tousu/show/id/1338517","http://ts.21cn.com/tousu/show/id/1338517")</f>
        <v>http://ts.21cn.com/tousu/show/id/1338517</v>
      </c>
      <c r="F7532" s="2" t="s">
        <v>11</v>
      </c>
      <c r="G7532" s="2" t="s">
        <v>29349</v>
      </c>
      <c r="H7532" s="2" t="s">
        <v>29350</v>
      </c>
    </row>
    <row r="7533" spans="1:8" ht="25.05" customHeight="1" x14ac:dyDescent="0.25">
      <c r="A7533" s="2" t="s">
        <v>8</v>
      </c>
      <c r="B7533" s="2" t="str">
        <f>HYPERLINK("http://ts.21cn.com/tousu/show/id/1338519","小浦优客未经同意扣款")</f>
        <v>小浦优客未经同意扣款</v>
      </c>
      <c r="C7533" s="2" t="s">
        <v>34</v>
      </c>
      <c r="D7533" s="2" t="s">
        <v>10</v>
      </c>
      <c r="E7533" s="2" t="str">
        <f>HYPERLINK("http://ts.21cn.com/tousu/show/id/1338519","http://ts.21cn.com/tousu/show/id/1338519")</f>
        <v>http://ts.21cn.com/tousu/show/id/1338519</v>
      </c>
      <c r="F7533" s="2" t="s">
        <v>11</v>
      </c>
      <c r="G7533" s="2" t="s">
        <v>29347</v>
      </c>
      <c r="H7533" s="2" t="s">
        <v>29348</v>
      </c>
    </row>
    <row r="7534" spans="1:8" ht="25.05" customHeight="1" x14ac:dyDescent="0.25">
      <c r="A7534" s="2" t="s">
        <v>8</v>
      </c>
      <c r="B7534" s="2" t="str">
        <f>HYPERLINK("http://ts.21cn.com/tousu/show/id/1338520","滴滴不垫付车费")</f>
        <v>滴滴不垫付车费</v>
      </c>
      <c r="C7534" s="2" t="s">
        <v>9</v>
      </c>
      <c r="D7534" s="2" t="s">
        <v>10</v>
      </c>
      <c r="E7534" s="2" t="str">
        <f>HYPERLINK("http://ts.21cn.com/tousu/show/id/1338520","http://ts.21cn.com/tousu/show/id/1338520")</f>
        <v>http://ts.21cn.com/tousu/show/id/1338520</v>
      </c>
      <c r="F7534" s="2" t="s">
        <v>11</v>
      </c>
      <c r="G7534" s="2" t="s">
        <v>29345</v>
      </c>
      <c r="H7534" s="2" t="s">
        <v>29346</v>
      </c>
    </row>
    <row r="7535" spans="1:8" ht="25.05" customHeight="1" x14ac:dyDescent="0.25">
      <c r="A7535" s="2" t="s">
        <v>8</v>
      </c>
      <c r="B7535" s="2" t="str">
        <f>HYPERLINK("http://ts.21cn.com/tousu/show/id/1338521","分期误导借贷高额砍头息拒不协商")</f>
        <v>分期误导借贷高额砍头息拒不协商</v>
      </c>
      <c r="C7535" s="2" t="s">
        <v>9</v>
      </c>
      <c r="D7535" s="2" t="s">
        <v>10</v>
      </c>
      <c r="E7535" s="2" t="str">
        <f>HYPERLINK("http://ts.21cn.com/tousu/show/id/1338521","http://ts.21cn.com/tousu/show/id/1338521")</f>
        <v>http://ts.21cn.com/tousu/show/id/1338521</v>
      </c>
      <c r="F7535" s="2" t="s">
        <v>11</v>
      </c>
      <c r="G7535" s="2" t="s">
        <v>29343</v>
      </c>
      <c r="H7535" s="2" t="s">
        <v>29344</v>
      </c>
    </row>
    <row r="7536" spans="1:8" ht="25.05" customHeight="1" x14ac:dyDescent="0.25">
      <c r="A7536" s="2" t="s">
        <v>8</v>
      </c>
      <c r="B7536" s="2" t="str">
        <f>HYPERLINK("http://ts.21cn.com/tousu/show/id/1338523","暴力催收骚扰联系人")</f>
        <v>暴力催收骚扰联系人</v>
      </c>
      <c r="C7536" s="2" t="s">
        <v>9</v>
      </c>
      <c r="D7536" s="2" t="s">
        <v>10</v>
      </c>
      <c r="E7536" s="2" t="str">
        <f>HYPERLINK("http://ts.21cn.com/tousu/show/id/1338523","http://ts.21cn.com/tousu/show/id/1338523")</f>
        <v>http://ts.21cn.com/tousu/show/id/1338523</v>
      </c>
      <c r="F7536" s="2" t="s">
        <v>11</v>
      </c>
      <c r="G7536" s="2" t="s">
        <v>29341</v>
      </c>
      <c r="H7536" s="2" t="s">
        <v>29342</v>
      </c>
    </row>
    <row r="7537" spans="1:8" ht="25.05" customHeight="1" x14ac:dyDescent="0.25">
      <c r="A7537" s="2" t="s">
        <v>8</v>
      </c>
      <c r="B7537" s="2" t="str">
        <f>HYPERLINK("http://ts.21cn.com/tousu/show/id/1338524","砍头息高利贷")</f>
        <v>砍头息高利贷</v>
      </c>
      <c r="C7537" s="2" t="s">
        <v>9</v>
      </c>
      <c r="D7537" s="2" t="s">
        <v>10</v>
      </c>
      <c r="E7537" s="2" t="str">
        <f>HYPERLINK("http://ts.21cn.com/tousu/show/id/1338524","http://ts.21cn.com/tousu/show/id/1338524")</f>
        <v>http://ts.21cn.com/tousu/show/id/1338524</v>
      </c>
      <c r="F7537" s="2" t="s">
        <v>11</v>
      </c>
      <c r="G7537" s="2" t="s">
        <v>29339</v>
      </c>
      <c r="H7537" s="2" t="s">
        <v>29340</v>
      </c>
    </row>
    <row r="7538" spans="1:8" ht="25.05" customHeight="1" x14ac:dyDescent="0.25">
      <c r="A7538" s="2" t="s">
        <v>8</v>
      </c>
      <c r="B7538" s="2" t="str">
        <f>HYPERLINK("http://ts.21cn.com/tousu/show/id/1338525","闪电借款变相砍头息，暴力催收，威胁骚扰家人朋友")</f>
        <v>闪电借款变相砍头息，暴力催收，威胁骚扰家人朋友</v>
      </c>
      <c r="C7538" s="2" t="s">
        <v>9</v>
      </c>
      <c r="D7538" s="2" t="s">
        <v>10</v>
      </c>
      <c r="E7538" s="2" t="str">
        <f>HYPERLINK("http://ts.21cn.com/tousu/show/id/1338525","http://ts.21cn.com/tousu/show/id/1338525")</f>
        <v>http://ts.21cn.com/tousu/show/id/1338525</v>
      </c>
      <c r="F7538" s="2" t="s">
        <v>11</v>
      </c>
      <c r="G7538" s="2" t="s">
        <v>29337</v>
      </c>
      <c r="H7538" s="2" t="s">
        <v>29338</v>
      </c>
    </row>
    <row r="7539" spans="1:8" ht="25.05" customHeight="1" x14ac:dyDescent="0.25">
      <c r="A7539" s="2" t="s">
        <v>8</v>
      </c>
      <c r="B7539" s="2" t="str">
        <f>HYPERLINK("http://ts.21cn.com/tousu/show/id/1338531","恶意扣款")</f>
        <v>恶意扣款</v>
      </c>
      <c r="C7539" s="2" t="s">
        <v>9</v>
      </c>
      <c r="D7539" s="2" t="s">
        <v>10</v>
      </c>
      <c r="E7539" s="2" t="str">
        <f>HYPERLINK("http://ts.21cn.com/tousu/show/id/1338531","http://ts.21cn.com/tousu/show/id/1338531")</f>
        <v>http://ts.21cn.com/tousu/show/id/1338531</v>
      </c>
      <c r="F7539" s="2" t="s">
        <v>11</v>
      </c>
      <c r="G7539" s="2" t="s">
        <v>29331</v>
      </c>
      <c r="H7539" s="2" t="s">
        <v>29332</v>
      </c>
    </row>
    <row r="7540" spans="1:8" ht="25.05" customHeight="1" x14ac:dyDescent="0.25">
      <c r="A7540" s="2" t="s">
        <v>8</v>
      </c>
      <c r="B7540" s="2" t="str">
        <f>HYPERLINK("http://ts.21cn.com/tousu/show/id/1338532","小赢轰炸式骚扰通讯录亲戚朋友")</f>
        <v>小赢轰炸式骚扰通讯录亲戚朋友</v>
      </c>
      <c r="C7540" s="2" t="s">
        <v>9</v>
      </c>
      <c r="D7540" s="2" t="s">
        <v>10</v>
      </c>
      <c r="E7540" s="2" t="str">
        <f>HYPERLINK("http://ts.21cn.com/tousu/show/id/1338532","http://ts.21cn.com/tousu/show/id/1338532")</f>
        <v>http://ts.21cn.com/tousu/show/id/1338532</v>
      </c>
      <c r="F7540" s="2" t="s">
        <v>11</v>
      </c>
      <c r="G7540" s="2" t="s">
        <v>29331</v>
      </c>
      <c r="H7540" s="2" t="s">
        <v>29333</v>
      </c>
    </row>
    <row r="7541" spans="1:8" ht="25.05" customHeight="1" x14ac:dyDescent="0.25">
      <c r="A7541" s="2" t="s">
        <v>8</v>
      </c>
      <c r="B7541" s="2" t="str">
        <f>HYPERLINK("http://ts.21cn.com/tousu/show/id/1338530","用“呼死你”等软件轰炸")</f>
        <v>用“呼死你”等软件轰炸</v>
      </c>
      <c r="C7541" s="2" t="s">
        <v>9</v>
      </c>
      <c r="D7541" s="2" t="s">
        <v>10</v>
      </c>
      <c r="E7541" s="2" t="str">
        <f>HYPERLINK("http://ts.21cn.com/tousu/show/id/1338530","http://ts.21cn.com/tousu/show/id/1338530")</f>
        <v>http://ts.21cn.com/tousu/show/id/1338530</v>
      </c>
      <c r="F7541" s="2" t="s">
        <v>11</v>
      </c>
      <c r="G7541" s="2" t="s">
        <v>29331</v>
      </c>
      <c r="H7541" s="2" t="s">
        <v>29334</v>
      </c>
    </row>
    <row r="7542" spans="1:8" ht="25.05" customHeight="1" x14ac:dyDescent="0.25">
      <c r="A7542" s="2" t="s">
        <v>8</v>
      </c>
      <c r="B7542" s="2" t="str">
        <f>HYPERLINK("http://ts.21cn.com/tousu/show/id/1338512","小浦优客恶意扣款，要求退款！")</f>
        <v>小浦优客恶意扣款，要求退款！</v>
      </c>
      <c r="C7542" s="2" t="s">
        <v>9</v>
      </c>
      <c r="D7542" s="2" t="s">
        <v>10</v>
      </c>
      <c r="E7542" s="2" t="str">
        <f>HYPERLINK("http://ts.21cn.com/tousu/show/id/1338512","http://ts.21cn.com/tousu/show/id/1338512")</f>
        <v>http://ts.21cn.com/tousu/show/id/1338512</v>
      </c>
      <c r="F7542" s="2" t="s">
        <v>11</v>
      </c>
      <c r="G7542" s="2" t="s">
        <v>29331</v>
      </c>
      <c r="H7542" s="2" t="s">
        <v>29335</v>
      </c>
    </row>
    <row r="7543" spans="1:8" ht="25.05" customHeight="1" x14ac:dyDescent="0.25">
      <c r="A7543" s="2" t="s">
        <v>8</v>
      </c>
      <c r="B7543" s="2" t="str">
        <f>HYPERLINK("http://ts.21cn.com/tousu/show/id/1338528","望与你我贷调整利率协商结清注销账户，这样让人省心")</f>
        <v>望与你我贷调整利率协商结清注销账户，这样让人省心</v>
      </c>
      <c r="C7543" s="2" t="s">
        <v>9</v>
      </c>
      <c r="D7543" s="2" t="s">
        <v>10</v>
      </c>
      <c r="E7543" s="2" t="str">
        <f>HYPERLINK("http://ts.21cn.com/tousu/show/id/1338528","http://ts.21cn.com/tousu/show/id/1338528")</f>
        <v>http://ts.21cn.com/tousu/show/id/1338528</v>
      </c>
      <c r="F7543" s="2" t="s">
        <v>11</v>
      </c>
      <c r="G7543" s="2" t="s">
        <v>29331</v>
      </c>
      <c r="H7543" s="2" t="s">
        <v>29336</v>
      </c>
    </row>
    <row r="7544" spans="1:8" ht="25.05" customHeight="1" x14ac:dyDescent="0.25">
      <c r="A7544" s="2" t="s">
        <v>8</v>
      </c>
      <c r="B7544" s="2" t="str">
        <f>HYPERLINK("http://ts.21cn.com/tousu/show/id/1338526","月光侠不放款还不能取消借款")</f>
        <v>月光侠不放款还不能取消借款</v>
      </c>
      <c r="C7544" s="2" t="s">
        <v>9</v>
      </c>
      <c r="D7544" s="2" t="s">
        <v>10</v>
      </c>
      <c r="E7544" s="2" t="str">
        <f>HYPERLINK("http://ts.21cn.com/tousu/show/id/1338526","http://ts.21cn.com/tousu/show/id/1338526")</f>
        <v>http://ts.21cn.com/tousu/show/id/1338526</v>
      </c>
      <c r="F7544" s="2" t="s">
        <v>11</v>
      </c>
      <c r="G7544" s="2" t="s">
        <v>29329</v>
      </c>
      <c r="H7544" s="2" t="s">
        <v>29330</v>
      </c>
    </row>
    <row r="7545" spans="1:8" ht="25.05" customHeight="1" x14ac:dyDescent="0.25">
      <c r="A7545" s="2" t="s">
        <v>8</v>
      </c>
      <c r="B7545" s="2" t="str">
        <f>HYPERLINK("http://ts.21cn.com/tousu/show/id/1338527","突然无法使用")</f>
        <v>突然无法使用</v>
      </c>
      <c r="C7545" s="2" t="s">
        <v>9</v>
      </c>
      <c r="D7545" s="2" t="s">
        <v>10</v>
      </c>
      <c r="E7545" s="2" t="str">
        <f>HYPERLINK("http://ts.21cn.com/tousu/show/id/1338527","http://ts.21cn.com/tousu/show/id/1338527")</f>
        <v>http://ts.21cn.com/tousu/show/id/1338527</v>
      </c>
      <c r="F7545" s="2" t="s">
        <v>11</v>
      </c>
      <c r="G7545" s="2" t="s">
        <v>29327</v>
      </c>
      <c r="H7545" s="2" t="s">
        <v>29328</v>
      </c>
    </row>
    <row r="7546" spans="1:8" ht="25.05" customHeight="1" x14ac:dyDescent="0.25">
      <c r="A7546" s="2" t="s">
        <v>8</v>
      </c>
      <c r="B7546" s="2" t="str">
        <f>HYPERLINK("http://ts.21cn.com/tousu/show/id/1338533","钱站高利贷，套路贷，砍头息")</f>
        <v>钱站高利贷，套路贷，砍头息</v>
      </c>
      <c r="C7546" s="2" t="s">
        <v>9</v>
      </c>
      <c r="D7546" s="2" t="s">
        <v>10</v>
      </c>
      <c r="E7546" s="2" t="str">
        <f>HYPERLINK("http://ts.21cn.com/tousu/show/id/1338533","http://ts.21cn.com/tousu/show/id/1338533")</f>
        <v>http://ts.21cn.com/tousu/show/id/1338533</v>
      </c>
      <c r="F7546" s="2" t="s">
        <v>11</v>
      </c>
      <c r="G7546" s="2" t="s">
        <v>29325</v>
      </c>
      <c r="H7546" s="2" t="s">
        <v>29326</v>
      </c>
    </row>
    <row r="7547" spans="1:8" ht="25.05" customHeight="1" x14ac:dyDescent="0.25">
      <c r="A7547" s="2" t="s">
        <v>8</v>
      </c>
      <c r="B7547" s="2" t="str">
        <f>HYPERLINK("http://ts.21cn.com/tousu/show/id/1338535","高利贷威胁")</f>
        <v>高利贷威胁</v>
      </c>
      <c r="C7547" s="2" t="s">
        <v>9</v>
      </c>
      <c r="D7547" s="2" t="s">
        <v>10</v>
      </c>
      <c r="E7547" s="2" t="str">
        <f>HYPERLINK("http://ts.21cn.com/tousu/show/id/1338535","http://ts.21cn.com/tousu/show/id/1338535")</f>
        <v>http://ts.21cn.com/tousu/show/id/1338535</v>
      </c>
      <c r="F7547" s="2" t="s">
        <v>11</v>
      </c>
      <c r="G7547" s="2" t="s">
        <v>29324</v>
      </c>
      <c r="H7547" s="2" t="s">
        <v>21906</v>
      </c>
    </row>
    <row r="7548" spans="1:8" ht="25.05" customHeight="1" x14ac:dyDescent="0.25">
      <c r="A7548" s="2" t="s">
        <v>8</v>
      </c>
      <c r="B7548" s="2" t="str">
        <f>HYPERLINK("http://ts.21cn.com/tousu/show/id/1338534","分期乱扣费")</f>
        <v>分期乱扣费</v>
      </c>
      <c r="C7548" s="2" t="s">
        <v>9</v>
      </c>
      <c r="D7548" s="2" t="s">
        <v>10</v>
      </c>
      <c r="E7548" s="2" t="str">
        <f>HYPERLINK("http://ts.21cn.com/tousu/show/id/1338534","http://ts.21cn.com/tousu/show/id/1338534")</f>
        <v>http://ts.21cn.com/tousu/show/id/1338534</v>
      </c>
      <c r="F7548" s="2" t="s">
        <v>11</v>
      </c>
      <c r="G7548" s="2" t="s">
        <v>29322</v>
      </c>
      <c r="H7548" s="2" t="s">
        <v>29323</v>
      </c>
    </row>
    <row r="7549" spans="1:8" ht="25.05" customHeight="1" x14ac:dyDescent="0.25">
      <c r="A7549" s="2" t="s">
        <v>8</v>
      </c>
      <c r="B7549" s="2" t="str">
        <f>HYPERLINK("http://ts.21cn.com/tousu/show/id/1338536","名校贷咨询费不退还")</f>
        <v>名校贷咨询费不退还</v>
      </c>
      <c r="C7549" s="2" t="s">
        <v>9</v>
      </c>
      <c r="D7549" s="2" t="s">
        <v>10</v>
      </c>
      <c r="E7549" s="2" t="str">
        <f>HYPERLINK("http://ts.21cn.com/tousu/show/id/1338536","http://ts.21cn.com/tousu/show/id/1338536")</f>
        <v>http://ts.21cn.com/tousu/show/id/1338536</v>
      </c>
      <c r="F7549" s="2" t="s">
        <v>11</v>
      </c>
      <c r="G7549" s="2" t="s">
        <v>29320</v>
      </c>
      <c r="H7549" s="2" t="s">
        <v>29321</v>
      </c>
    </row>
    <row r="7550" spans="1:8" ht="25.05" customHeight="1" x14ac:dyDescent="0.25">
      <c r="A7550" s="2" t="s">
        <v>8</v>
      </c>
      <c r="B7550" s="2" t="str">
        <f>HYPERLINK("http://ts.21cn.com/tousu/show/id/1338537","信用管家平台本金利息分不清楚，忽悠客户，这样的平台谁敢贷")</f>
        <v>信用管家平台本金利息分不清楚，忽悠客户，这样的平台谁敢贷</v>
      </c>
      <c r="C7550" s="2" t="s">
        <v>9</v>
      </c>
      <c r="D7550" s="2" t="s">
        <v>10</v>
      </c>
      <c r="E7550" s="2" t="str">
        <f>HYPERLINK("http://ts.21cn.com/tousu/show/id/1338537","http://ts.21cn.com/tousu/show/id/1338537")</f>
        <v>http://ts.21cn.com/tousu/show/id/1338537</v>
      </c>
      <c r="F7550" s="2" t="s">
        <v>11</v>
      </c>
      <c r="G7550" s="2" t="s">
        <v>29318</v>
      </c>
      <c r="H7550" s="2" t="s">
        <v>29319</v>
      </c>
    </row>
    <row r="7551" spans="1:8" ht="25.05" customHeight="1" x14ac:dyDescent="0.25">
      <c r="A7551" s="2" t="s">
        <v>8</v>
      </c>
      <c r="B7551" s="2" t="str">
        <f>HYPERLINK("http://ts.21cn.com/tousu/show/id/1338538","12306不退单")</f>
        <v>12306不退单</v>
      </c>
      <c r="C7551" s="2" t="s">
        <v>9</v>
      </c>
      <c r="D7551" s="2" t="s">
        <v>10</v>
      </c>
      <c r="E7551" s="2" t="str">
        <f>HYPERLINK("http://ts.21cn.com/tousu/show/id/1338538","http://ts.21cn.com/tousu/show/id/1338538")</f>
        <v>http://ts.21cn.com/tousu/show/id/1338538</v>
      </c>
      <c r="F7551" s="2" t="s">
        <v>11</v>
      </c>
      <c r="G7551" s="2" t="s">
        <v>29316</v>
      </c>
      <c r="H7551" s="2" t="s">
        <v>29317</v>
      </c>
    </row>
    <row r="7552" spans="1:8" ht="25.05" customHeight="1" x14ac:dyDescent="0.25">
      <c r="A7552" s="2" t="s">
        <v>8</v>
      </c>
      <c r="B7552" s="2" t="str">
        <f>HYPERLINK("http://ts.21cn.com/tousu/show/id/1338539","拼多多卖家和平台不予解决问题推三阻四")</f>
        <v>拼多多卖家和平台不予解决问题推三阻四</v>
      </c>
      <c r="C7552" s="2" t="s">
        <v>9</v>
      </c>
      <c r="D7552" s="2" t="s">
        <v>10</v>
      </c>
      <c r="E7552" s="2" t="str">
        <f>HYPERLINK("http://ts.21cn.com/tousu/show/id/1338539","http://ts.21cn.com/tousu/show/id/1338539")</f>
        <v>http://ts.21cn.com/tousu/show/id/1338539</v>
      </c>
      <c r="F7552" s="2" t="s">
        <v>11</v>
      </c>
      <c r="G7552" s="2" t="s">
        <v>29314</v>
      </c>
      <c r="H7552" s="2" t="s">
        <v>29315</v>
      </c>
    </row>
    <row r="7553" spans="1:8" ht="25.05" customHeight="1" x14ac:dyDescent="0.25">
      <c r="A7553" s="2" t="s">
        <v>8</v>
      </c>
      <c r="B7553" s="2" t="str">
        <f>HYPERLINK("http://ts.21cn.com/tousu/show/id/1338541","乱扣款")</f>
        <v>乱扣款</v>
      </c>
      <c r="C7553" s="2" t="s">
        <v>9</v>
      </c>
      <c r="D7553" s="2" t="s">
        <v>10</v>
      </c>
      <c r="E7553" s="2" t="str">
        <f>HYPERLINK("http://ts.21cn.com/tousu/show/id/1338541","http://ts.21cn.com/tousu/show/id/1338541")</f>
        <v>http://ts.21cn.com/tousu/show/id/1338541</v>
      </c>
      <c r="F7553" s="2" t="s">
        <v>11</v>
      </c>
      <c r="G7553" s="2" t="s">
        <v>29312</v>
      </c>
      <c r="H7553" s="2" t="s">
        <v>29313</v>
      </c>
    </row>
    <row r="7554" spans="1:8" ht="25.05" customHeight="1" x14ac:dyDescent="0.25">
      <c r="A7554" s="2" t="s">
        <v>8</v>
      </c>
      <c r="B7554" s="2" t="str">
        <f>HYPERLINK("http://ts.21cn.com/tousu/show/id/1338542","黑网贷")</f>
        <v>黑网贷</v>
      </c>
      <c r="C7554" s="2" t="s">
        <v>9</v>
      </c>
      <c r="D7554" s="2" t="s">
        <v>10</v>
      </c>
      <c r="E7554" s="2" t="str">
        <f>HYPERLINK("http://ts.21cn.com/tousu/show/id/1338542","http://ts.21cn.com/tousu/show/id/1338542")</f>
        <v>http://ts.21cn.com/tousu/show/id/1338542</v>
      </c>
      <c r="F7554" s="2" t="s">
        <v>11</v>
      </c>
      <c r="G7554" s="2" t="s">
        <v>29310</v>
      </c>
      <c r="H7554" s="2" t="s">
        <v>29311</v>
      </c>
    </row>
    <row r="7555" spans="1:8" ht="25.05" customHeight="1" x14ac:dyDescent="0.25">
      <c r="A7555" s="2" t="s">
        <v>8</v>
      </c>
      <c r="B7555" s="2" t="str">
        <f>HYPERLINK("http://ts.21cn.com/tousu/show/id/1338545","小花钱包")</f>
        <v>小花钱包</v>
      </c>
      <c r="C7555" s="2" t="s">
        <v>9</v>
      </c>
      <c r="D7555" s="2" t="s">
        <v>10</v>
      </c>
      <c r="E7555" s="2" t="str">
        <f>HYPERLINK("http://ts.21cn.com/tousu/show/id/1338545","http://ts.21cn.com/tousu/show/id/1338545")</f>
        <v>http://ts.21cn.com/tousu/show/id/1338545</v>
      </c>
      <c r="F7555" s="2" t="s">
        <v>11</v>
      </c>
      <c r="G7555" s="2" t="s">
        <v>29308</v>
      </c>
      <c r="H7555" s="2" t="s">
        <v>29309</v>
      </c>
    </row>
    <row r="7556" spans="1:8" ht="25.05" customHeight="1" x14ac:dyDescent="0.25">
      <c r="A7556" s="2" t="s">
        <v>8</v>
      </c>
      <c r="B7556" s="2" t="str">
        <f>HYPERLINK("http://ts.21cn.com/tousu/show/id/1338543","套路贷，高利贷")</f>
        <v>套路贷，高利贷</v>
      </c>
      <c r="C7556" s="2" t="s">
        <v>9</v>
      </c>
      <c r="D7556" s="2" t="s">
        <v>10</v>
      </c>
      <c r="E7556" s="2" t="str">
        <f>HYPERLINK("http://ts.21cn.com/tousu/show/id/1338543","http://ts.21cn.com/tousu/show/id/1338543")</f>
        <v>http://ts.21cn.com/tousu/show/id/1338543</v>
      </c>
      <c r="F7556" s="2" t="s">
        <v>11</v>
      </c>
      <c r="G7556" s="2" t="s">
        <v>29306</v>
      </c>
      <c r="H7556" s="2" t="s">
        <v>29307</v>
      </c>
    </row>
    <row r="7557" spans="1:8" ht="25.05" customHeight="1" x14ac:dyDescent="0.25">
      <c r="A7557" s="2" t="s">
        <v>8</v>
      </c>
      <c r="B7557" s="2" t="str">
        <f>HYPERLINK("http://ts.21cn.com/tousu/show/id/1338548","欠了网贷的钱没有还，还骂人")</f>
        <v>欠了网贷的钱没有还，还骂人</v>
      </c>
      <c r="C7557" s="2" t="s">
        <v>9</v>
      </c>
      <c r="D7557" s="2" t="s">
        <v>10</v>
      </c>
      <c r="E7557" s="2" t="str">
        <f>HYPERLINK("http://ts.21cn.com/tousu/show/id/1338548","http://ts.21cn.com/tousu/show/id/1338548")</f>
        <v>http://ts.21cn.com/tousu/show/id/1338548</v>
      </c>
      <c r="F7557" s="2" t="s">
        <v>11</v>
      </c>
      <c r="G7557" s="2" t="s">
        <v>29304</v>
      </c>
      <c r="H7557" s="2" t="s">
        <v>29305</v>
      </c>
    </row>
    <row r="7558" spans="1:8" ht="25.05" customHeight="1" x14ac:dyDescent="0.25">
      <c r="A7558" s="2" t="s">
        <v>8</v>
      </c>
      <c r="B7558" s="2" t="str">
        <f>HYPERLINK("http://ts.21cn.com/tousu/show/id/1338547","钱站高利贷阴阳合同")</f>
        <v>钱站高利贷阴阳合同</v>
      </c>
      <c r="C7558" s="2" t="s">
        <v>9</v>
      </c>
      <c r="D7558" s="2" t="s">
        <v>10</v>
      </c>
      <c r="E7558" s="2" t="str">
        <f>HYPERLINK("http://ts.21cn.com/tousu/show/id/1338547","http://ts.21cn.com/tousu/show/id/1338547")</f>
        <v>http://ts.21cn.com/tousu/show/id/1338547</v>
      </c>
      <c r="F7558" s="2" t="s">
        <v>11</v>
      </c>
      <c r="G7558" s="2" t="s">
        <v>29302</v>
      </c>
      <c r="H7558" s="2" t="s">
        <v>29303</v>
      </c>
    </row>
    <row r="7559" spans="1:8" ht="25.05" customHeight="1" x14ac:dyDescent="0.25">
      <c r="A7559" s="2" t="s">
        <v>8</v>
      </c>
      <c r="B7559" s="2" t="str">
        <f>HYPERLINK("http://ts.21cn.com/tousu/show/id/1338549","通了沪快乱扣费")</f>
        <v>通了沪快乱扣费</v>
      </c>
      <c r="C7559" s="2" t="s">
        <v>9</v>
      </c>
      <c r="D7559" s="2" t="s">
        <v>10</v>
      </c>
      <c r="E7559" s="2" t="str">
        <f>HYPERLINK("http://ts.21cn.com/tousu/show/id/1338549","http://ts.21cn.com/tousu/show/id/1338549")</f>
        <v>http://ts.21cn.com/tousu/show/id/1338549</v>
      </c>
      <c r="F7559" s="2" t="s">
        <v>11</v>
      </c>
      <c r="G7559" s="2" t="s">
        <v>29300</v>
      </c>
      <c r="H7559" s="2" t="s">
        <v>29301</v>
      </c>
    </row>
    <row r="7560" spans="1:8" ht="25.05" customHeight="1" x14ac:dyDescent="0.25">
      <c r="A7560" s="2" t="s">
        <v>8</v>
      </c>
      <c r="B7560" s="2" t="str">
        <f>HYPERLINK("http://ts.21cn.com/tousu/show/id/1338551","恶意恐吓暴力催收!")</f>
        <v>恶意恐吓暴力催收!</v>
      </c>
      <c r="C7560" s="2" t="s">
        <v>9</v>
      </c>
      <c r="D7560" s="2" t="s">
        <v>10</v>
      </c>
      <c r="E7560" s="2" t="str">
        <f>HYPERLINK("http://ts.21cn.com/tousu/show/id/1338551","http://ts.21cn.com/tousu/show/id/1338551")</f>
        <v>http://ts.21cn.com/tousu/show/id/1338551</v>
      </c>
      <c r="F7560" s="2" t="s">
        <v>11</v>
      </c>
      <c r="G7560" s="2" t="s">
        <v>29298</v>
      </c>
      <c r="H7560" s="2" t="s">
        <v>29299</v>
      </c>
    </row>
    <row r="7561" spans="1:8" ht="25.05" customHeight="1" x14ac:dyDescent="0.25">
      <c r="A7561" s="2" t="s">
        <v>8</v>
      </c>
      <c r="B7561" s="2" t="str">
        <f>HYPERLINK("http://ts.21cn.com/tousu/show/id/1338552","现金巴士砍头息")</f>
        <v>现金巴士砍头息</v>
      </c>
      <c r="C7561" s="2" t="s">
        <v>9</v>
      </c>
      <c r="D7561" s="2" t="s">
        <v>10</v>
      </c>
      <c r="E7561" s="2" t="str">
        <f>HYPERLINK("http://ts.21cn.com/tousu/show/id/1338552","http://ts.21cn.com/tousu/show/id/1338552")</f>
        <v>http://ts.21cn.com/tousu/show/id/1338552</v>
      </c>
      <c r="F7561" s="2" t="s">
        <v>11</v>
      </c>
      <c r="G7561" s="2" t="s">
        <v>29296</v>
      </c>
      <c r="H7561" s="2" t="s">
        <v>29297</v>
      </c>
    </row>
    <row r="7562" spans="1:8" ht="25.05" customHeight="1" x14ac:dyDescent="0.25">
      <c r="A7562" s="2" t="s">
        <v>8</v>
      </c>
      <c r="B7562" s="2" t="str">
        <f>HYPERLINK("http://ts.21cn.com/tousu/show/id/1338550","马上金额催收骚扰家人朋友")</f>
        <v>马上金额催收骚扰家人朋友</v>
      </c>
      <c r="C7562" s="2" t="s">
        <v>9</v>
      </c>
      <c r="D7562" s="2" t="s">
        <v>10</v>
      </c>
      <c r="E7562" s="2" t="str">
        <f>HYPERLINK("http://ts.21cn.com/tousu/show/id/1338550","http://ts.21cn.com/tousu/show/id/1338550")</f>
        <v>http://ts.21cn.com/tousu/show/id/1338550</v>
      </c>
      <c r="F7562" s="2" t="s">
        <v>11</v>
      </c>
      <c r="G7562" s="2" t="s">
        <v>29294</v>
      </c>
      <c r="H7562" s="2" t="s">
        <v>29295</v>
      </c>
    </row>
    <row r="7563" spans="1:8" ht="25.05" customHeight="1" x14ac:dyDescent="0.25">
      <c r="A7563" s="2" t="s">
        <v>8</v>
      </c>
      <c r="B7563" s="2" t="str">
        <f>HYPERLINK("http://ts.21cn.com/tousu/show/id/1338544","招联金融侵犯个人隐私，骚扰联系人")</f>
        <v>招联金融侵犯个人隐私，骚扰联系人</v>
      </c>
      <c r="C7563" s="2" t="s">
        <v>9</v>
      </c>
      <c r="D7563" s="2" t="s">
        <v>10</v>
      </c>
      <c r="E7563" s="2" t="str">
        <f>HYPERLINK("http://ts.21cn.com/tousu/show/id/1338544","http://ts.21cn.com/tousu/show/id/1338544")</f>
        <v>http://ts.21cn.com/tousu/show/id/1338544</v>
      </c>
      <c r="F7563" s="2" t="s">
        <v>11</v>
      </c>
      <c r="G7563" s="2" t="s">
        <v>29292</v>
      </c>
      <c r="H7563" s="2" t="s">
        <v>29293</v>
      </c>
    </row>
    <row r="7564" spans="1:8" ht="25.05" customHeight="1" x14ac:dyDescent="0.25">
      <c r="A7564" s="2" t="s">
        <v>8</v>
      </c>
      <c r="B7564" s="2" t="str">
        <f>HYPERLINK("http://ts.21cn.com/tousu/show/id/1338555","小羽分期高利贷还不了款处理不了锁手机")</f>
        <v>小羽分期高利贷还不了款处理不了锁手机</v>
      </c>
      <c r="C7564" s="2" t="s">
        <v>9</v>
      </c>
      <c r="D7564" s="2" t="s">
        <v>10</v>
      </c>
      <c r="E7564" s="2" t="str">
        <f>HYPERLINK("http://ts.21cn.com/tousu/show/id/1338555","http://ts.21cn.com/tousu/show/id/1338555")</f>
        <v>http://ts.21cn.com/tousu/show/id/1338555</v>
      </c>
      <c r="F7564" s="2" t="s">
        <v>11</v>
      </c>
      <c r="G7564" s="2" t="s">
        <v>29290</v>
      </c>
      <c r="H7564" s="2" t="s">
        <v>29291</v>
      </c>
    </row>
    <row r="7565" spans="1:8" ht="25.05" customHeight="1" x14ac:dyDescent="0.25">
      <c r="A7565" s="2" t="s">
        <v>8</v>
      </c>
      <c r="B7565" s="2" t="str">
        <f>HYPERLINK("http://ts.21cn.com/tousu/show/id/1338557","倢信金融利息过高倢一万四、要还两万五百多")</f>
        <v>倢信金融利息过高倢一万四、要还两万五百多</v>
      </c>
      <c r="C7565" s="2" t="s">
        <v>9</v>
      </c>
      <c r="D7565" s="2" t="s">
        <v>10</v>
      </c>
      <c r="E7565" s="2" t="str">
        <f>HYPERLINK("http://ts.21cn.com/tousu/show/id/1338557","http://ts.21cn.com/tousu/show/id/1338557")</f>
        <v>http://ts.21cn.com/tousu/show/id/1338557</v>
      </c>
      <c r="F7565" s="2" t="s">
        <v>11</v>
      </c>
      <c r="G7565" s="2" t="s">
        <v>29288</v>
      </c>
      <c r="H7565" s="2" t="s">
        <v>29289</v>
      </c>
    </row>
    <row r="7566" spans="1:8" ht="25.05" customHeight="1" x14ac:dyDescent="0.25">
      <c r="A7566" s="2" t="s">
        <v>8</v>
      </c>
      <c r="B7566" s="2" t="str">
        <f>HYPERLINK("http://ts.21cn.com/tousu/show/id/1338558","自由摩卡信用计划猖狂套路贷高利贷")</f>
        <v>自由摩卡信用计划猖狂套路贷高利贷</v>
      </c>
      <c r="C7566" s="2" t="s">
        <v>9</v>
      </c>
      <c r="D7566" s="2" t="s">
        <v>10</v>
      </c>
      <c r="E7566" s="2" t="str">
        <f>HYPERLINK("http://ts.21cn.com/tousu/show/id/1338558","http://ts.21cn.com/tousu/show/id/1338558")</f>
        <v>http://ts.21cn.com/tousu/show/id/1338558</v>
      </c>
      <c r="F7566" s="2" t="s">
        <v>11</v>
      </c>
      <c r="G7566" s="2" t="s">
        <v>29286</v>
      </c>
      <c r="H7566" s="2" t="s">
        <v>29287</v>
      </c>
    </row>
    <row r="7567" spans="1:8" ht="25.05" customHeight="1" x14ac:dyDescent="0.25">
      <c r="A7567" s="2" t="s">
        <v>8</v>
      </c>
      <c r="B7567" s="2" t="str">
        <f>HYPERLINK("http://ts.21cn.com/tousu/show/id/1338559","师大教育退款不理人考试考不了")</f>
        <v>师大教育退款不理人考试考不了</v>
      </c>
      <c r="C7567" s="2" t="s">
        <v>9</v>
      </c>
      <c r="D7567" s="2" t="s">
        <v>10</v>
      </c>
      <c r="E7567" s="2" t="str">
        <f>HYPERLINK("http://ts.21cn.com/tousu/show/id/1338559","http://ts.21cn.com/tousu/show/id/1338559")</f>
        <v>http://ts.21cn.com/tousu/show/id/1338559</v>
      </c>
      <c r="F7567" s="2" t="s">
        <v>11</v>
      </c>
      <c r="G7567" s="2" t="s">
        <v>29284</v>
      </c>
      <c r="H7567" s="2" t="s">
        <v>29285</v>
      </c>
    </row>
    <row r="7568" spans="1:8" ht="25.05" customHeight="1" x14ac:dyDescent="0.25">
      <c r="A7568" s="2" t="s">
        <v>8</v>
      </c>
      <c r="B7568" s="2" t="str">
        <f>HYPERLINK("http://ts.21cn.com/tousu/show/id/1338516","捷信变相收取高额利息")</f>
        <v>捷信变相收取高额利息</v>
      </c>
      <c r="C7568" s="2" t="s">
        <v>9</v>
      </c>
      <c r="D7568" s="2" t="s">
        <v>10</v>
      </c>
      <c r="E7568" s="2" t="str">
        <f>HYPERLINK("http://ts.21cn.com/tousu/show/id/1338516","http://ts.21cn.com/tousu/show/id/1338516")</f>
        <v>http://ts.21cn.com/tousu/show/id/1338516</v>
      </c>
      <c r="F7568" s="2" t="s">
        <v>11</v>
      </c>
      <c r="G7568" s="2" t="s">
        <v>29282</v>
      </c>
      <c r="H7568" s="2" t="s">
        <v>29283</v>
      </c>
    </row>
    <row r="7569" spans="1:8" ht="25.05" customHeight="1" x14ac:dyDescent="0.25">
      <c r="A7569" s="2" t="s">
        <v>8</v>
      </c>
      <c r="B7569" s="2" t="str">
        <f>HYPERLINK("http://ts.21cn.com/tousu/show/id/1338561","投诉创客工具箱，我的微信莫名其妙地被创客工具箱给打标了")</f>
        <v>投诉创客工具箱，我的微信莫名其妙地被创客工具箱给打标了</v>
      </c>
      <c r="C7569" s="2" t="s">
        <v>9</v>
      </c>
      <c r="D7569" s="2" t="s">
        <v>10</v>
      </c>
      <c r="E7569" s="2" t="str">
        <f>HYPERLINK("http://ts.21cn.com/tousu/show/id/1338561","http://ts.21cn.com/tousu/show/id/1338561")</f>
        <v>http://ts.21cn.com/tousu/show/id/1338561</v>
      </c>
      <c r="F7569" s="2" t="s">
        <v>11</v>
      </c>
      <c r="G7569" s="2" t="s">
        <v>29280</v>
      </c>
      <c r="H7569" s="2" t="s">
        <v>29281</v>
      </c>
    </row>
    <row r="7570" spans="1:8" ht="25.05" customHeight="1" x14ac:dyDescent="0.25">
      <c r="A7570" s="2" t="s">
        <v>8</v>
      </c>
      <c r="B7570" s="2" t="str">
        <f>HYPERLINK("http://ts.21cn.com/tousu/show/id/1338562","苏宁易购老顾客答谢会上推销不符合市场价的净水器")</f>
        <v>苏宁易购老顾客答谢会上推销不符合市场价的净水器</v>
      </c>
      <c r="C7570" s="2" t="s">
        <v>9</v>
      </c>
      <c r="D7570" s="2" t="s">
        <v>10</v>
      </c>
      <c r="E7570" s="2" t="str">
        <f>HYPERLINK("http://ts.21cn.com/tousu/show/id/1338562","http://ts.21cn.com/tousu/show/id/1338562")</f>
        <v>http://ts.21cn.com/tousu/show/id/1338562</v>
      </c>
      <c r="F7570" s="2" t="s">
        <v>11</v>
      </c>
      <c r="G7570" s="2" t="s">
        <v>29278</v>
      </c>
      <c r="H7570" s="2" t="s">
        <v>29279</v>
      </c>
    </row>
    <row r="7571" spans="1:8" ht="25.05" customHeight="1" x14ac:dyDescent="0.25">
      <c r="A7571" s="2" t="s">
        <v>8</v>
      </c>
      <c r="B7571" s="2" t="str">
        <f>HYPERLINK("http://ts.21cn.com/tousu/show/id/1338563","协商解决问题既然是强迫性的")</f>
        <v>协商解决问题既然是强迫性的</v>
      </c>
      <c r="C7571" s="2" t="s">
        <v>9</v>
      </c>
      <c r="D7571" s="2" t="s">
        <v>10</v>
      </c>
      <c r="E7571" s="2" t="str">
        <f>HYPERLINK("http://ts.21cn.com/tousu/show/id/1338563","http://ts.21cn.com/tousu/show/id/1338563")</f>
        <v>http://ts.21cn.com/tousu/show/id/1338563</v>
      </c>
      <c r="F7571" s="2" t="s">
        <v>11</v>
      </c>
      <c r="G7571" s="2" t="s">
        <v>29276</v>
      </c>
      <c r="H7571" s="2" t="s">
        <v>29277</v>
      </c>
    </row>
    <row r="7572" spans="1:8" ht="25.05" customHeight="1" x14ac:dyDescent="0.25">
      <c r="A7572" s="2" t="s">
        <v>8</v>
      </c>
      <c r="B7572" s="2" t="str">
        <f>HYPERLINK("http://ts.21cn.com/tousu/show/id/1338565","套路贷")</f>
        <v>套路贷</v>
      </c>
      <c r="C7572" s="2" t="s">
        <v>9</v>
      </c>
      <c r="D7572" s="2" t="s">
        <v>10</v>
      </c>
      <c r="E7572" s="2" t="str">
        <f>HYPERLINK("http://ts.21cn.com/tousu/show/id/1338565","http://ts.21cn.com/tousu/show/id/1338565")</f>
        <v>http://ts.21cn.com/tousu/show/id/1338565</v>
      </c>
      <c r="F7572" s="2" t="s">
        <v>11</v>
      </c>
      <c r="G7572" s="2" t="s">
        <v>29274</v>
      </c>
      <c r="H7572" s="2" t="s">
        <v>29275</v>
      </c>
    </row>
    <row r="7573" spans="1:8" ht="25.05" customHeight="1" x14ac:dyDescent="0.25">
      <c r="A7573" s="2" t="s">
        <v>8</v>
      </c>
      <c r="B7573" s="2" t="str">
        <f>HYPERLINK("http://ts.21cn.com/tousu/show/id/1338564","贷上钱非法放贷阴阳合同、变相买卖游戏豆")</f>
        <v>贷上钱非法放贷阴阳合同、变相买卖游戏豆</v>
      </c>
      <c r="C7573" s="2" t="s">
        <v>9</v>
      </c>
      <c r="D7573" s="2" t="s">
        <v>10</v>
      </c>
      <c r="E7573" s="2" t="str">
        <f>HYPERLINK("http://ts.21cn.com/tousu/show/id/1338564","http://ts.21cn.com/tousu/show/id/1338564")</f>
        <v>http://ts.21cn.com/tousu/show/id/1338564</v>
      </c>
      <c r="F7573" s="2" t="s">
        <v>11</v>
      </c>
      <c r="G7573" s="2" t="s">
        <v>29272</v>
      </c>
      <c r="H7573" s="2" t="s">
        <v>29273</v>
      </c>
    </row>
    <row r="7574" spans="1:8" ht="25.05" customHeight="1" x14ac:dyDescent="0.25">
      <c r="A7574" s="2" t="s">
        <v>8</v>
      </c>
      <c r="B7574" s="2" t="str">
        <f>HYPERLINK("http://ts.21cn.com/tousu/show/id/1338566","暴露我的个人资料")</f>
        <v>暴露我的个人资料</v>
      </c>
      <c r="C7574" s="2" t="s">
        <v>9</v>
      </c>
      <c r="D7574" s="2" t="s">
        <v>10</v>
      </c>
      <c r="E7574" s="2" t="str">
        <f>HYPERLINK("http://ts.21cn.com/tousu/show/id/1338566","http://ts.21cn.com/tousu/show/id/1338566")</f>
        <v>http://ts.21cn.com/tousu/show/id/1338566</v>
      </c>
      <c r="F7574" s="2" t="s">
        <v>11</v>
      </c>
      <c r="G7574" s="2" t="s">
        <v>29271</v>
      </c>
      <c r="H7574" s="2" t="s">
        <v>25718</v>
      </c>
    </row>
    <row r="7575" spans="1:8" ht="25.05" customHeight="1" x14ac:dyDescent="0.25">
      <c r="A7575" s="2" t="s">
        <v>8</v>
      </c>
      <c r="B7575" s="2" t="str">
        <f>HYPERLINK("http://ts.21cn.com/tousu/show/id/1338567","你我贷充值成功后余额为0.导致还款失败，这是谁的原因？")</f>
        <v>你我贷充值成功后余额为0.导致还款失败，这是谁的原因？</v>
      </c>
      <c r="C7575" s="2" t="s">
        <v>34</v>
      </c>
      <c r="D7575" s="2" t="s">
        <v>10</v>
      </c>
      <c r="E7575" s="2" t="str">
        <f>HYPERLINK("http://ts.21cn.com/tousu/show/id/1338567","http://ts.21cn.com/tousu/show/id/1338567")</f>
        <v>http://ts.21cn.com/tousu/show/id/1338567</v>
      </c>
      <c r="F7575" s="2" t="s">
        <v>11</v>
      </c>
      <c r="G7575" s="2" t="s">
        <v>29269</v>
      </c>
      <c r="H7575" s="2" t="s">
        <v>29270</v>
      </c>
    </row>
    <row r="7576" spans="1:8" ht="25.05" customHeight="1" x14ac:dyDescent="0.25">
      <c r="A7576" s="2" t="s">
        <v>8</v>
      </c>
      <c r="B7576" s="2" t="str">
        <f>HYPERLINK("http://ts.21cn.com/tousu/show/id/1338568","莫名其妙扣钱296元要求退款")</f>
        <v>莫名其妙扣钱296元要求退款</v>
      </c>
      <c r="C7576" s="2" t="s">
        <v>9</v>
      </c>
      <c r="D7576" s="2" t="s">
        <v>10</v>
      </c>
      <c r="E7576" s="2" t="str">
        <f>HYPERLINK("http://ts.21cn.com/tousu/show/id/1338568","http://ts.21cn.com/tousu/show/id/1338568")</f>
        <v>http://ts.21cn.com/tousu/show/id/1338568</v>
      </c>
      <c r="F7576" s="2" t="s">
        <v>11</v>
      </c>
      <c r="G7576" s="2" t="s">
        <v>29267</v>
      </c>
      <c r="H7576" s="2" t="s">
        <v>29268</v>
      </c>
    </row>
    <row r="7577" spans="1:8" ht="25.05" customHeight="1" x14ac:dyDescent="0.25">
      <c r="A7577" s="2" t="s">
        <v>8</v>
      </c>
      <c r="B7577" s="2" t="str">
        <f>HYPERLINK("http://ts.21cn.com/tousu/show/id/1338569","你我贷暴力催收，合同金额与APP不一致")</f>
        <v>你我贷暴力催收，合同金额与APP不一致</v>
      </c>
      <c r="C7577" s="2" t="s">
        <v>9</v>
      </c>
      <c r="D7577" s="2" t="s">
        <v>10</v>
      </c>
      <c r="E7577" s="2" t="str">
        <f>HYPERLINK("http://ts.21cn.com/tousu/show/id/1338569","http://ts.21cn.com/tousu/show/id/1338569")</f>
        <v>http://ts.21cn.com/tousu/show/id/1338569</v>
      </c>
      <c r="F7577" s="2" t="s">
        <v>11</v>
      </c>
      <c r="G7577" s="2" t="s">
        <v>29265</v>
      </c>
      <c r="H7577" s="2" t="s">
        <v>29266</v>
      </c>
    </row>
    <row r="7578" spans="1:8" ht="25.05" customHeight="1" x14ac:dyDescent="0.25">
      <c r="A7578" s="2" t="s">
        <v>8</v>
      </c>
      <c r="B7578" s="2" t="str">
        <f>HYPERLINK("http://ts.21cn.com/tousu/show/id/1338556","豹子贷误导扣款没有提供该服务")</f>
        <v>豹子贷误导扣款没有提供该服务</v>
      </c>
      <c r="C7578" s="2" t="s">
        <v>9</v>
      </c>
      <c r="D7578" s="2" t="s">
        <v>10</v>
      </c>
      <c r="E7578" s="2" t="str">
        <f>HYPERLINK("http://ts.21cn.com/tousu/show/id/1338556","http://ts.21cn.com/tousu/show/id/1338556")</f>
        <v>http://ts.21cn.com/tousu/show/id/1338556</v>
      </c>
      <c r="F7578" s="2" t="s">
        <v>11</v>
      </c>
      <c r="G7578" s="2" t="s">
        <v>29263</v>
      </c>
      <c r="H7578" s="2" t="s">
        <v>29264</v>
      </c>
    </row>
    <row r="7579" spans="1:8" ht="25.05" customHeight="1" x14ac:dyDescent="0.25">
      <c r="A7579" s="2" t="s">
        <v>8</v>
      </c>
      <c r="B7579" s="2" t="str">
        <f>HYPERLINK("http://ts.21cn.com/tousu/show/id/1338570","还完本金和利息还恶意催收")</f>
        <v>还完本金和利息还恶意催收</v>
      </c>
      <c r="C7579" s="2" t="s">
        <v>9</v>
      </c>
      <c r="D7579" s="2" t="s">
        <v>10</v>
      </c>
      <c r="E7579" s="2" t="str">
        <f>HYPERLINK("http://ts.21cn.com/tousu/show/id/1338570","http://ts.21cn.com/tousu/show/id/1338570")</f>
        <v>http://ts.21cn.com/tousu/show/id/1338570</v>
      </c>
      <c r="F7579" s="2" t="s">
        <v>11</v>
      </c>
      <c r="G7579" s="2" t="s">
        <v>29261</v>
      </c>
      <c r="H7579" s="2" t="s">
        <v>29262</v>
      </c>
    </row>
    <row r="7580" spans="1:8" ht="25.05" customHeight="1" x14ac:dyDescent="0.25">
      <c r="A7580" s="2" t="s">
        <v>8</v>
      </c>
      <c r="B7580" s="2" t="str">
        <f>HYPERLINK("http://ts.21cn.com/tousu/show/id/1338571","贵州镇远古镇怕天亮考吧宰客")</f>
        <v>贵州镇远古镇怕天亮考吧宰客</v>
      </c>
      <c r="C7580" s="2" t="s">
        <v>9</v>
      </c>
      <c r="D7580" s="2" t="s">
        <v>10</v>
      </c>
      <c r="E7580" s="2" t="str">
        <f>HYPERLINK("http://ts.21cn.com/tousu/show/id/1338571","http://ts.21cn.com/tousu/show/id/1338571")</f>
        <v>http://ts.21cn.com/tousu/show/id/1338571</v>
      </c>
      <c r="F7580" s="2" t="s">
        <v>11</v>
      </c>
      <c r="G7580" s="2" t="s">
        <v>29259</v>
      </c>
      <c r="H7580" s="2" t="s">
        <v>29260</v>
      </c>
    </row>
    <row r="7581" spans="1:8" ht="25.05" customHeight="1" x14ac:dyDescent="0.25">
      <c r="A7581" s="2" t="s">
        <v>8</v>
      </c>
      <c r="B7581" s="2" t="str">
        <f>HYPERLINK("http://ts.21cn.com/tousu/show/id/1338573","拼多多商户平台帮助赌博网站非法收款已")</f>
        <v>拼多多商户平台帮助赌博网站非法收款已</v>
      </c>
      <c r="C7581" s="2" t="s">
        <v>9</v>
      </c>
      <c r="D7581" s="2" t="s">
        <v>10</v>
      </c>
      <c r="E7581" s="2" t="str">
        <f>HYPERLINK("http://ts.21cn.com/tousu/show/id/1338573","http://ts.21cn.com/tousu/show/id/1338573")</f>
        <v>http://ts.21cn.com/tousu/show/id/1338573</v>
      </c>
      <c r="F7581" s="2" t="s">
        <v>11</v>
      </c>
      <c r="G7581" s="2" t="s">
        <v>29257</v>
      </c>
      <c r="H7581" s="2" t="s">
        <v>29258</v>
      </c>
    </row>
    <row r="7582" spans="1:8" ht="25.05" customHeight="1" x14ac:dyDescent="0.25">
      <c r="A7582" s="2" t="s">
        <v>8</v>
      </c>
      <c r="B7582" s="2" t="str">
        <f>HYPERLINK("http://ts.21cn.com/tousu/show/id/1338572","神马借高利贷，信用管家，畅捷支付，潮州市盛林信息科技，支付宝为神马借提供服务")</f>
        <v>神马借高利贷，信用管家，畅捷支付，潮州市盛林信息科技，支付宝为神马借提供服务</v>
      </c>
      <c r="C7582" s="2" t="s">
        <v>9</v>
      </c>
      <c r="D7582" s="2" t="s">
        <v>10</v>
      </c>
      <c r="E7582" s="2" t="str">
        <f>HYPERLINK("http://ts.21cn.com/tousu/show/id/1338572","http://ts.21cn.com/tousu/show/id/1338572")</f>
        <v>http://ts.21cn.com/tousu/show/id/1338572</v>
      </c>
      <c r="F7582" s="2" t="s">
        <v>11</v>
      </c>
      <c r="G7582" s="2" t="s">
        <v>29255</v>
      </c>
      <c r="H7582" s="2" t="s">
        <v>29256</v>
      </c>
    </row>
    <row r="7583" spans="1:8" ht="25.05" customHeight="1" x14ac:dyDescent="0.25">
      <c r="A7583" s="2" t="s">
        <v>8</v>
      </c>
      <c r="B7583" s="2" t="str">
        <f>HYPERLINK("http://ts.21cn.com/tousu/show/id/1338574","发短信轰炸我和我的家人")</f>
        <v>发短信轰炸我和我的家人</v>
      </c>
      <c r="C7583" s="2" t="s">
        <v>34</v>
      </c>
      <c r="D7583" s="2" t="s">
        <v>10</v>
      </c>
      <c r="E7583" s="2" t="str">
        <f>HYPERLINK("http://ts.21cn.com/tousu/show/id/1338574","http://ts.21cn.com/tousu/show/id/1338574")</f>
        <v>http://ts.21cn.com/tousu/show/id/1338574</v>
      </c>
      <c r="F7583" s="2" t="s">
        <v>11</v>
      </c>
      <c r="G7583" s="2" t="s">
        <v>29253</v>
      </c>
      <c r="H7583" s="2" t="s">
        <v>29254</v>
      </c>
    </row>
    <row r="7584" spans="1:8" ht="25.05" customHeight="1" x14ac:dyDescent="0.25">
      <c r="A7584" s="2" t="s">
        <v>8</v>
      </c>
      <c r="B7584" s="2" t="str">
        <f>HYPERLINK("http://ts.21cn.com/tousu/show/id/1338575","你我贷高利贷乱收服务费和管理费暴力催收")</f>
        <v>你我贷高利贷乱收服务费和管理费暴力催收</v>
      </c>
      <c r="C7584" s="2" t="s">
        <v>9</v>
      </c>
      <c r="D7584" s="2" t="s">
        <v>10</v>
      </c>
      <c r="E7584" s="2" t="str">
        <f>HYPERLINK("http://ts.21cn.com/tousu/show/id/1338575","http://ts.21cn.com/tousu/show/id/1338575")</f>
        <v>http://ts.21cn.com/tousu/show/id/1338575</v>
      </c>
      <c r="F7584" s="2" t="s">
        <v>11</v>
      </c>
      <c r="G7584" s="2" t="s">
        <v>29251</v>
      </c>
      <c r="H7584" s="2" t="s">
        <v>29252</v>
      </c>
    </row>
    <row r="7585" spans="1:8" ht="25.05" customHeight="1" x14ac:dyDescent="0.25">
      <c r="A7585" s="2" t="s">
        <v>8</v>
      </c>
      <c r="B7585" s="2" t="str">
        <f>HYPERLINK("http://ts.21cn.com/tousu/show/id/1338577","夸大宣传拉人头方式收取会员费")</f>
        <v>夸大宣传拉人头方式收取会员费</v>
      </c>
      <c r="C7585" s="2" t="s">
        <v>9</v>
      </c>
      <c r="D7585" s="2" t="s">
        <v>10</v>
      </c>
      <c r="E7585" s="2" t="str">
        <f>HYPERLINK("http://ts.21cn.com/tousu/show/id/1338577","http://ts.21cn.com/tousu/show/id/1338577")</f>
        <v>http://ts.21cn.com/tousu/show/id/1338577</v>
      </c>
      <c r="F7585" s="2" t="s">
        <v>11</v>
      </c>
      <c r="G7585" s="2" t="s">
        <v>29249</v>
      </c>
      <c r="H7585" s="2" t="s">
        <v>29250</v>
      </c>
    </row>
    <row r="7586" spans="1:8" ht="25.05" customHeight="1" x14ac:dyDescent="0.25">
      <c r="A7586" s="2" t="s">
        <v>8</v>
      </c>
      <c r="B7586" s="2" t="str">
        <f>HYPERLINK("http://ts.21cn.com/tousu/show/id/1338578","火影帮，高利贷")</f>
        <v>火影帮，高利贷</v>
      </c>
      <c r="C7586" s="2" t="s">
        <v>9</v>
      </c>
      <c r="D7586" s="2" t="s">
        <v>10</v>
      </c>
      <c r="E7586" s="2" t="str">
        <f>HYPERLINK("http://ts.21cn.com/tousu/show/id/1338578","http://ts.21cn.com/tousu/show/id/1338578")</f>
        <v>http://ts.21cn.com/tousu/show/id/1338578</v>
      </c>
      <c r="F7586" s="2" t="s">
        <v>11</v>
      </c>
      <c r="G7586" s="2" t="s">
        <v>29247</v>
      </c>
      <c r="H7586" s="2" t="s">
        <v>29248</v>
      </c>
    </row>
    <row r="7587" spans="1:8" ht="25.05" customHeight="1" x14ac:dyDescent="0.25">
      <c r="A7587" s="2" t="s">
        <v>8</v>
      </c>
      <c r="B7587" s="2" t="str">
        <f>HYPERLINK("http://ts.21cn.com/tousu/show/id/1338579","支付宝莫名其妙暂停我收款功能")</f>
        <v>支付宝莫名其妙暂停我收款功能</v>
      </c>
      <c r="C7587" s="2" t="s">
        <v>9</v>
      </c>
      <c r="D7587" s="2" t="s">
        <v>10</v>
      </c>
      <c r="E7587" s="2" t="str">
        <f>HYPERLINK("http://ts.21cn.com/tousu/show/id/1338579","http://ts.21cn.com/tousu/show/id/1338579")</f>
        <v>http://ts.21cn.com/tousu/show/id/1338579</v>
      </c>
      <c r="F7587" s="2" t="s">
        <v>11</v>
      </c>
      <c r="G7587" s="2" t="s">
        <v>29245</v>
      </c>
      <c r="H7587" s="2" t="s">
        <v>29246</v>
      </c>
    </row>
    <row r="7588" spans="1:8" ht="25.05" customHeight="1" x14ac:dyDescent="0.25">
      <c r="A7588" s="2" t="s">
        <v>8</v>
      </c>
      <c r="B7588" s="2" t="str">
        <f>HYPERLINK("http://ts.21cn.com/tousu/show/id/1338580","小赢卡贷和众安保险捆绑消费")</f>
        <v>小赢卡贷和众安保险捆绑消费</v>
      </c>
      <c r="C7588" s="2" t="s">
        <v>9</v>
      </c>
      <c r="D7588" s="2" t="s">
        <v>10</v>
      </c>
      <c r="E7588" s="2" t="str">
        <f>HYPERLINK("http://ts.21cn.com/tousu/show/id/1338580","http://ts.21cn.com/tousu/show/id/1338580")</f>
        <v>http://ts.21cn.com/tousu/show/id/1338580</v>
      </c>
      <c r="F7588" s="2" t="s">
        <v>11</v>
      </c>
      <c r="G7588" s="2" t="s">
        <v>29243</v>
      </c>
      <c r="H7588" s="2" t="s">
        <v>29244</v>
      </c>
    </row>
    <row r="7589" spans="1:8" ht="25.05" customHeight="1" x14ac:dyDescent="0.25">
      <c r="A7589" s="2" t="s">
        <v>8</v>
      </c>
      <c r="B7589" s="2" t="str">
        <f>HYPERLINK("http://ts.21cn.com/tousu/show/id/1338581","达飞云贷垃圾高利贷")</f>
        <v>达飞云贷垃圾高利贷</v>
      </c>
      <c r="C7589" s="2" t="s">
        <v>9</v>
      </c>
      <c r="D7589" s="2" t="s">
        <v>10</v>
      </c>
      <c r="E7589" s="2" t="str">
        <f>HYPERLINK("http://ts.21cn.com/tousu/show/id/1338581","http://ts.21cn.com/tousu/show/id/1338581")</f>
        <v>http://ts.21cn.com/tousu/show/id/1338581</v>
      </c>
      <c r="F7589" s="2" t="s">
        <v>11</v>
      </c>
      <c r="G7589" s="2" t="s">
        <v>29241</v>
      </c>
      <c r="H7589" s="2" t="s">
        <v>29242</v>
      </c>
    </row>
    <row r="7590" spans="1:8" ht="25.05" customHeight="1" x14ac:dyDescent="0.25">
      <c r="A7590" s="2" t="s">
        <v>8</v>
      </c>
      <c r="B7590" s="2" t="str">
        <f>HYPERLINK("http://ts.21cn.com/tousu/show/id/1338583","手机借钱多宝分期高利贷")</f>
        <v>手机借钱多宝分期高利贷</v>
      </c>
      <c r="C7590" s="2" t="s">
        <v>9</v>
      </c>
      <c r="D7590" s="2" t="s">
        <v>10</v>
      </c>
      <c r="E7590" s="2" t="str">
        <f>HYPERLINK("http://ts.21cn.com/tousu/show/id/1338583","http://ts.21cn.com/tousu/show/id/1338583")</f>
        <v>http://ts.21cn.com/tousu/show/id/1338583</v>
      </c>
      <c r="F7590" s="2" t="s">
        <v>11</v>
      </c>
      <c r="G7590" s="2" t="s">
        <v>29239</v>
      </c>
      <c r="H7590" s="2" t="s">
        <v>29240</v>
      </c>
    </row>
    <row r="7591" spans="1:8" ht="25.05" customHeight="1" x14ac:dyDescent="0.25">
      <c r="A7591" s="2" t="s">
        <v>8</v>
      </c>
      <c r="B7591" s="2" t="str">
        <f>HYPERLINK("http://ts.21cn.com/tousu/show/id/1338582","态度很不好光大银行")</f>
        <v>态度很不好光大银行</v>
      </c>
      <c r="C7591" s="2" t="s">
        <v>9</v>
      </c>
      <c r="D7591" s="2" t="s">
        <v>10</v>
      </c>
      <c r="E7591" s="2" t="str">
        <f>HYPERLINK("http://ts.21cn.com/tousu/show/id/1338582","http://ts.21cn.com/tousu/show/id/1338582")</f>
        <v>http://ts.21cn.com/tousu/show/id/1338582</v>
      </c>
      <c r="F7591" s="2" t="s">
        <v>11</v>
      </c>
      <c r="G7591" s="2" t="s">
        <v>29237</v>
      </c>
      <c r="H7591" s="2" t="s">
        <v>29238</v>
      </c>
    </row>
    <row r="7592" spans="1:8" ht="25.05" customHeight="1" x14ac:dyDescent="0.25">
      <c r="A7592" s="2" t="s">
        <v>8</v>
      </c>
      <c r="B7592" s="2" t="str">
        <f>HYPERLINK("http://ts.21cn.com/tousu/show/id/1338584","特约小通商城无故扣费")</f>
        <v>特约小通商城无故扣费</v>
      </c>
      <c r="C7592" s="2" t="s">
        <v>9</v>
      </c>
      <c r="D7592" s="2" t="s">
        <v>10</v>
      </c>
      <c r="E7592" s="2" t="str">
        <f>HYPERLINK("http://ts.21cn.com/tousu/show/id/1338584","http://ts.21cn.com/tousu/show/id/1338584")</f>
        <v>http://ts.21cn.com/tousu/show/id/1338584</v>
      </c>
      <c r="F7592" s="2" t="s">
        <v>11</v>
      </c>
      <c r="G7592" s="2" t="s">
        <v>29235</v>
      </c>
      <c r="H7592" s="2" t="s">
        <v>29236</v>
      </c>
    </row>
    <row r="7593" spans="1:8" ht="25.05" customHeight="1" x14ac:dyDescent="0.25">
      <c r="A7593" s="2" t="s">
        <v>8</v>
      </c>
      <c r="B7593" s="2" t="str">
        <f>HYPERLINK("http://ts.21cn.com/tousu/show/id/1338586","钱站高利贷阴阳合同")</f>
        <v>钱站高利贷阴阳合同</v>
      </c>
      <c r="C7593" s="2" t="s">
        <v>9</v>
      </c>
      <c r="D7593" s="2" t="s">
        <v>10</v>
      </c>
      <c r="E7593" s="2" t="str">
        <f>HYPERLINK("http://ts.21cn.com/tousu/show/id/1338586","http://ts.21cn.com/tousu/show/id/1338586")</f>
        <v>http://ts.21cn.com/tousu/show/id/1338586</v>
      </c>
      <c r="F7593" s="2" t="s">
        <v>11</v>
      </c>
      <c r="G7593" s="2" t="s">
        <v>29233</v>
      </c>
      <c r="H7593" s="2" t="s">
        <v>29234</v>
      </c>
    </row>
    <row r="7594" spans="1:8" ht="25.05" customHeight="1" x14ac:dyDescent="0.25">
      <c r="A7594" s="2" t="s">
        <v>8</v>
      </c>
      <c r="B7594" s="2" t="str">
        <f>HYPERLINK("http://ts.21cn.com/tousu/show/id/1338585","爆通讯录，失去工作，")</f>
        <v>爆通讯录，失去工作，</v>
      </c>
      <c r="C7594" s="2" t="s">
        <v>9</v>
      </c>
      <c r="D7594" s="2" t="s">
        <v>10</v>
      </c>
      <c r="E7594" s="2" t="str">
        <f>HYPERLINK("http://ts.21cn.com/tousu/show/id/1338585","http://ts.21cn.com/tousu/show/id/1338585")</f>
        <v>http://ts.21cn.com/tousu/show/id/1338585</v>
      </c>
      <c r="F7594" s="2" t="s">
        <v>11</v>
      </c>
      <c r="G7594" s="2" t="s">
        <v>29231</v>
      </c>
      <c r="H7594" s="2" t="s">
        <v>29232</v>
      </c>
    </row>
    <row r="7595" spans="1:8" ht="25.05" customHeight="1" x14ac:dyDescent="0.25">
      <c r="A7595" s="2" t="s">
        <v>8</v>
      </c>
      <c r="B7595" s="2" t="str">
        <f>HYPERLINK("http://ts.21cn.com/tousu/show/id/1338589","7/14高炮")</f>
        <v>7/14高炮</v>
      </c>
      <c r="C7595" s="2" t="s">
        <v>9</v>
      </c>
      <c r="D7595" s="2" t="s">
        <v>10</v>
      </c>
      <c r="E7595" s="2" t="str">
        <f>HYPERLINK("http://ts.21cn.com/tousu/show/id/1338589","http://ts.21cn.com/tousu/show/id/1338589")</f>
        <v>http://ts.21cn.com/tousu/show/id/1338589</v>
      </c>
      <c r="F7595" s="2" t="s">
        <v>11</v>
      </c>
      <c r="G7595" s="2" t="s">
        <v>29229</v>
      </c>
      <c r="H7595" s="2" t="s">
        <v>29230</v>
      </c>
    </row>
    <row r="7596" spans="1:8" ht="25.05" customHeight="1" x14ac:dyDescent="0.25">
      <c r="A7596" s="2" t="s">
        <v>8</v>
      </c>
      <c r="B7596" s="2" t="str">
        <f>HYPERLINK("http://ts.21cn.com/tousu/show/id/1338588","强制扣钱")</f>
        <v>强制扣钱</v>
      </c>
      <c r="C7596" s="2" t="s">
        <v>9</v>
      </c>
      <c r="D7596" s="2" t="s">
        <v>10</v>
      </c>
      <c r="E7596" s="2" t="str">
        <f>HYPERLINK("http://ts.21cn.com/tousu/show/id/1338588","http://ts.21cn.com/tousu/show/id/1338588")</f>
        <v>http://ts.21cn.com/tousu/show/id/1338588</v>
      </c>
      <c r="F7596" s="2" t="s">
        <v>11</v>
      </c>
      <c r="G7596" s="2" t="s">
        <v>29227</v>
      </c>
      <c r="H7596" s="2" t="s">
        <v>29228</v>
      </c>
    </row>
    <row r="7597" spans="1:8" ht="25.05" customHeight="1" x14ac:dyDescent="0.25">
      <c r="A7597" s="2" t="s">
        <v>8</v>
      </c>
      <c r="B7597" s="2" t="str">
        <f>HYPERLINK("http://ts.21cn.com/tousu/show/id/1338590","客服态度不好，遇问题不处理")</f>
        <v>客服态度不好，遇问题不处理</v>
      </c>
      <c r="C7597" s="2" t="s">
        <v>9</v>
      </c>
      <c r="D7597" s="2" t="s">
        <v>10</v>
      </c>
      <c r="E7597" s="2" t="str">
        <f>HYPERLINK("http://ts.21cn.com/tousu/show/id/1338590","http://ts.21cn.com/tousu/show/id/1338590")</f>
        <v>http://ts.21cn.com/tousu/show/id/1338590</v>
      </c>
      <c r="F7597" s="2" t="s">
        <v>11</v>
      </c>
      <c r="G7597" s="2" t="s">
        <v>29225</v>
      </c>
      <c r="H7597" s="2" t="s">
        <v>29226</v>
      </c>
    </row>
    <row r="7598" spans="1:8" ht="25.05" customHeight="1" x14ac:dyDescent="0.25">
      <c r="A7598" s="2" t="s">
        <v>8</v>
      </c>
      <c r="B7598" s="2" t="str">
        <f>HYPERLINK("http://ts.21cn.com/tousu/show/id/1338591","交易猫私自确认收货")</f>
        <v>交易猫私自确认收货</v>
      </c>
      <c r="C7598" s="2" t="s">
        <v>34</v>
      </c>
      <c r="D7598" s="2" t="s">
        <v>10</v>
      </c>
      <c r="E7598" s="2" t="str">
        <f>HYPERLINK("http://ts.21cn.com/tousu/show/id/1338591","http://ts.21cn.com/tousu/show/id/1338591")</f>
        <v>http://ts.21cn.com/tousu/show/id/1338591</v>
      </c>
      <c r="F7598" s="2" t="s">
        <v>11</v>
      </c>
      <c r="G7598" s="2" t="s">
        <v>29223</v>
      </c>
      <c r="H7598" s="2" t="s">
        <v>29224</v>
      </c>
    </row>
    <row r="7599" spans="1:8" ht="25.05" customHeight="1" x14ac:dyDescent="0.25">
      <c r="A7599" s="2" t="s">
        <v>8</v>
      </c>
      <c r="B7599" s="2" t="str">
        <f>HYPERLINK("http://ts.21cn.com/tousu/show/id/1338592","骚扰电话，高额利息")</f>
        <v>骚扰电话，高额利息</v>
      </c>
      <c r="C7599" s="2" t="s">
        <v>9</v>
      </c>
      <c r="D7599" s="2" t="s">
        <v>10</v>
      </c>
      <c r="E7599" s="2" t="str">
        <f>HYPERLINK("http://ts.21cn.com/tousu/show/id/1338592","http://ts.21cn.com/tousu/show/id/1338592")</f>
        <v>http://ts.21cn.com/tousu/show/id/1338592</v>
      </c>
      <c r="F7599" s="2" t="s">
        <v>11</v>
      </c>
      <c r="G7599" s="2" t="s">
        <v>29221</v>
      </c>
      <c r="H7599" s="2" t="s">
        <v>29222</v>
      </c>
    </row>
    <row r="7600" spans="1:8" ht="25.05" customHeight="1" x14ac:dyDescent="0.25">
      <c r="A7600" s="2" t="s">
        <v>8</v>
      </c>
      <c r="B7600" s="2" t="str">
        <f>HYPERLINK("http://ts.21cn.com/tousu/show/id/1338593","714高炮高利贷")</f>
        <v>714高炮高利贷</v>
      </c>
      <c r="C7600" s="2" t="s">
        <v>9</v>
      </c>
      <c r="D7600" s="2" t="s">
        <v>10</v>
      </c>
      <c r="E7600" s="2" t="str">
        <f>HYPERLINK("http://ts.21cn.com/tousu/show/id/1338593","http://ts.21cn.com/tousu/show/id/1338593")</f>
        <v>http://ts.21cn.com/tousu/show/id/1338593</v>
      </c>
      <c r="F7600" s="2" t="s">
        <v>11</v>
      </c>
      <c r="G7600" s="2" t="s">
        <v>29219</v>
      </c>
      <c r="H7600" s="2" t="s">
        <v>29220</v>
      </c>
    </row>
    <row r="7601" spans="1:8" ht="25.05" customHeight="1" x14ac:dyDescent="0.25">
      <c r="A7601" s="2" t="s">
        <v>8</v>
      </c>
      <c r="B7601" s="2" t="str">
        <f>HYPERLINK("http://ts.21cn.com/tousu/show/id/1338595","一天逾期费50多")</f>
        <v>一天逾期费50多</v>
      </c>
      <c r="C7601" s="2" t="s">
        <v>34</v>
      </c>
      <c r="D7601" s="2" t="s">
        <v>10</v>
      </c>
      <c r="E7601" s="2" t="str">
        <f>HYPERLINK("http://ts.21cn.com/tousu/show/id/1338595","http://ts.21cn.com/tousu/show/id/1338595")</f>
        <v>http://ts.21cn.com/tousu/show/id/1338595</v>
      </c>
      <c r="F7601" s="2" t="s">
        <v>11</v>
      </c>
      <c r="G7601" s="2" t="s">
        <v>29218</v>
      </c>
      <c r="H7601" s="2" t="s">
        <v>25741</v>
      </c>
    </row>
    <row r="7602" spans="1:8" ht="25.05" customHeight="1" x14ac:dyDescent="0.25">
      <c r="A7602" s="2" t="s">
        <v>8</v>
      </c>
      <c r="B7602" s="2" t="str">
        <f>HYPERLINK("http://ts.21cn.com/tousu/show/id/1338594","钱站阴阳合同高利贷")</f>
        <v>钱站阴阳合同高利贷</v>
      </c>
      <c r="C7602" s="2" t="s">
        <v>9</v>
      </c>
      <c r="D7602" s="2" t="s">
        <v>10</v>
      </c>
      <c r="E7602" s="2" t="str">
        <f>HYPERLINK("http://ts.21cn.com/tousu/show/id/1338594","http://ts.21cn.com/tousu/show/id/1338594")</f>
        <v>http://ts.21cn.com/tousu/show/id/1338594</v>
      </c>
      <c r="F7602" s="2" t="s">
        <v>11</v>
      </c>
      <c r="G7602" s="2" t="s">
        <v>29216</v>
      </c>
      <c r="H7602" s="2" t="s">
        <v>29217</v>
      </c>
    </row>
    <row r="7603" spans="1:8" ht="25.05" customHeight="1" x14ac:dyDescent="0.25">
      <c r="A7603" s="2" t="s">
        <v>8</v>
      </c>
      <c r="B7603" s="2" t="str">
        <f>HYPERLINK("http://ts.21cn.com/tousu/show/id/1338576","乱扣费")</f>
        <v>乱扣费</v>
      </c>
      <c r="C7603" s="2" t="s">
        <v>9</v>
      </c>
      <c r="D7603" s="2" t="s">
        <v>10</v>
      </c>
      <c r="E7603" s="2" t="str">
        <f>HYPERLINK("http://ts.21cn.com/tousu/show/id/1338576","http://ts.21cn.com/tousu/show/id/1338576")</f>
        <v>http://ts.21cn.com/tousu/show/id/1338576</v>
      </c>
      <c r="F7603" s="2" t="s">
        <v>11</v>
      </c>
      <c r="G7603" s="2" t="s">
        <v>29214</v>
      </c>
      <c r="H7603" s="2" t="s">
        <v>29215</v>
      </c>
    </row>
    <row r="7604" spans="1:8" ht="25.05" customHeight="1" x14ac:dyDescent="0.25">
      <c r="A7604" s="2" t="s">
        <v>8</v>
      </c>
      <c r="B7604" s="2" t="str">
        <f>HYPERLINK("http://ts.21cn.com/tousu/show/id/1338596","民生银行信用卡")</f>
        <v>民生银行信用卡</v>
      </c>
      <c r="C7604" s="2" t="s">
        <v>34</v>
      </c>
      <c r="D7604" s="2" t="s">
        <v>10</v>
      </c>
      <c r="E7604" s="2" t="str">
        <f>HYPERLINK("http://ts.21cn.com/tousu/show/id/1338596","http://ts.21cn.com/tousu/show/id/1338596")</f>
        <v>http://ts.21cn.com/tousu/show/id/1338596</v>
      </c>
      <c r="F7604" s="2" t="s">
        <v>11</v>
      </c>
      <c r="G7604" s="2" t="s">
        <v>29212</v>
      </c>
      <c r="H7604" s="2" t="s">
        <v>29213</v>
      </c>
    </row>
    <row r="7605" spans="1:8" ht="25.05" customHeight="1" x14ac:dyDescent="0.25">
      <c r="A7605" s="2" t="s">
        <v>8</v>
      </c>
      <c r="B7605" s="2" t="str">
        <f>HYPERLINK("http://ts.21cn.com/tousu/show/id/1338597","你我贷放贷给在校大学生，还不起就威逼")</f>
        <v>你我贷放贷给在校大学生，还不起就威逼</v>
      </c>
      <c r="C7605" s="2" t="s">
        <v>9</v>
      </c>
      <c r="D7605" s="2" t="s">
        <v>10</v>
      </c>
      <c r="E7605" s="2" t="str">
        <f>HYPERLINK("http://ts.21cn.com/tousu/show/id/1338597","http://ts.21cn.com/tousu/show/id/1338597")</f>
        <v>http://ts.21cn.com/tousu/show/id/1338597</v>
      </c>
      <c r="F7605" s="2" t="s">
        <v>11</v>
      </c>
      <c r="G7605" s="2" t="s">
        <v>29210</v>
      </c>
      <c r="H7605" s="2" t="s">
        <v>29211</v>
      </c>
    </row>
    <row r="7606" spans="1:8" ht="25.05" customHeight="1" x14ac:dyDescent="0.25">
      <c r="A7606" s="2" t="s">
        <v>8</v>
      </c>
      <c r="B7606" s="2" t="str">
        <f>HYPERLINK("http://ts.21cn.com/tousu/show/id/1338599","贷上钱爆通讯录")</f>
        <v>贷上钱爆通讯录</v>
      </c>
      <c r="C7606" s="2" t="s">
        <v>9</v>
      </c>
      <c r="D7606" s="2" t="s">
        <v>10</v>
      </c>
      <c r="E7606" s="2" t="str">
        <f>HYPERLINK("http://ts.21cn.com/tousu/show/id/1338599","http://ts.21cn.com/tousu/show/id/1338599")</f>
        <v>http://ts.21cn.com/tousu/show/id/1338599</v>
      </c>
      <c r="F7606" s="2" t="s">
        <v>11</v>
      </c>
      <c r="G7606" s="2" t="s">
        <v>29208</v>
      </c>
      <c r="H7606" s="2" t="s">
        <v>29209</v>
      </c>
    </row>
    <row r="7607" spans="1:8" ht="25.05" customHeight="1" x14ac:dyDescent="0.25">
      <c r="A7607" s="2" t="s">
        <v>8</v>
      </c>
      <c r="B7607" s="2" t="str">
        <f>HYPERLINK("http://ts.21cn.com/tousu/show/id/1338600","小浦优客未经同意扣款")</f>
        <v>小浦优客未经同意扣款</v>
      </c>
      <c r="C7607" s="2" t="s">
        <v>34</v>
      </c>
      <c r="D7607" s="2" t="s">
        <v>10</v>
      </c>
      <c r="E7607" s="2" t="str">
        <f>HYPERLINK("http://ts.21cn.com/tousu/show/id/1338600","http://ts.21cn.com/tousu/show/id/1338600")</f>
        <v>http://ts.21cn.com/tousu/show/id/1338600</v>
      </c>
      <c r="F7607" s="2" t="s">
        <v>11</v>
      </c>
      <c r="G7607" s="2" t="s">
        <v>29206</v>
      </c>
      <c r="H7607" s="2" t="s">
        <v>29207</v>
      </c>
    </row>
    <row r="7608" spans="1:8" ht="25.05" customHeight="1" x14ac:dyDescent="0.25">
      <c r="A7608" s="2" t="s">
        <v>8</v>
      </c>
      <c r="B7608" s="2" t="str">
        <f>HYPERLINK("http://ts.21cn.com/tousu/show/id/1338602","无理由的拖我不补办业务")</f>
        <v>无理由的拖我不补办业务</v>
      </c>
      <c r="C7608" s="2" t="s">
        <v>9</v>
      </c>
      <c r="D7608" s="2" t="s">
        <v>10</v>
      </c>
      <c r="E7608" s="2" t="str">
        <f>HYPERLINK("http://ts.21cn.com/tousu/show/id/1338602","http://ts.21cn.com/tousu/show/id/1338602")</f>
        <v>http://ts.21cn.com/tousu/show/id/1338602</v>
      </c>
      <c r="F7608" s="2" t="s">
        <v>11</v>
      </c>
      <c r="G7608" s="2" t="s">
        <v>29204</v>
      </c>
      <c r="H7608" s="2" t="s">
        <v>29205</v>
      </c>
    </row>
    <row r="7609" spans="1:8" ht="25.05" customHeight="1" x14ac:dyDescent="0.25">
      <c r="A7609" s="2" t="s">
        <v>8</v>
      </c>
      <c r="B7609" s="2" t="str">
        <f>HYPERLINK("http://ts.21cn.com/tousu/show/id/1338603","云南国际信托信而富砍头息并且正常还款不让借款")</f>
        <v>云南国际信托信而富砍头息并且正常还款不让借款</v>
      </c>
      <c r="C7609" s="2" t="s">
        <v>9</v>
      </c>
      <c r="D7609" s="2" t="s">
        <v>10</v>
      </c>
      <c r="E7609" s="2" t="str">
        <f>HYPERLINK("http://ts.21cn.com/tousu/show/id/1338603","http://ts.21cn.com/tousu/show/id/1338603")</f>
        <v>http://ts.21cn.com/tousu/show/id/1338603</v>
      </c>
      <c r="F7609" s="2" t="s">
        <v>11</v>
      </c>
      <c r="G7609" s="2" t="s">
        <v>29203</v>
      </c>
      <c r="H7609" s="2" t="s">
        <v>26204</v>
      </c>
    </row>
    <row r="7610" spans="1:8" ht="25.05" customHeight="1" x14ac:dyDescent="0.25">
      <c r="A7610" s="2" t="s">
        <v>8</v>
      </c>
      <c r="B7610" s="2" t="str">
        <f>HYPERLINK("http://ts.21cn.com/tousu/show/id/1338604","贵州镇远古镇怕天亮烤吧宰客")</f>
        <v>贵州镇远古镇怕天亮烤吧宰客</v>
      </c>
      <c r="C7610" s="2" t="s">
        <v>9</v>
      </c>
      <c r="D7610" s="2" t="s">
        <v>10</v>
      </c>
      <c r="E7610" s="2" t="str">
        <f>HYPERLINK("http://ts.21cn.com/tousu/show/id/1338604","http://ts.21cn.com/tousu/show/id/1338604")</f>
        <v>http://ts.21cn.com/tousu/show/id/1338604</v>
      </c>
      <c r="F7610" s="2" t="s">
        <v>11</v>
      </c>
      <c r="G7610" s="2" t="s">
        <v>29201</v>
      </c>
      <c r="H7610" s="2" t="s">
        <v>29202</v>
      </c>
    </row>
    <row r="7611" spans="1:8" ht="25.05" customHeight="1" x14ac:dyDescent="0.25">
      <c r="A7611" s="2" t="s">
        <v>8</v>
      </c>
      <c r="B7611" s="2" t="str">
        <f>HYPERLINK("http://ts.21cn.com/tousu/show/id/1338605","快钱乱扣钱")</f>
        <v>快钱乱扣钱</v>
      </c>
      <c r="C7611" s="2" t="s">
        <v>9</v>
      </c>
      <c r="D7611" s="2" t="s">
        <v>10</v>
      </c>
      <c r="E7611" s="2" t="str">
        <f>HYPERLINK("http://ts.21cn.com/tousu/show/id/1338605","http://ts.21cn.com/tousu/show/id/1338605")</f>
        <v>http://ts.21cn.com/tousu/show/id/1338605</v>
      </c>
      <c r="F7611" s="2" t="s">
        <v>11</v>
      </c>
      <c r="G7611" s="2" t="s">
        <v>29199</v>
      </c>
      <c r="H7611" s="2" t="s">
        <v>29200</v>
      </c>
    </row>
    <row r="7612" spans="1:8" ht="25.05" customHeight="1" x14ac:dyDescent="0.25">
      <c r="A7612" s="2" t="s">
        <v>8</v>
      </c>
      <c r="B7612" s="2" t="str">
        <f>HYPERLINK("http://ts.21cn.com/tousu/show/id/1338606","拜望农业银行望请帮助与我")</f>
        <v>拜望农业银行望请帮助与我</v>
      </c>
      <c r="C7612" s="2" t="s">
        <v>9</v>
      </c>
      <c r="D7612" s="2" t="s">
        <v>10</v>
      </c>
      <c r="E7612" s="2" t="str">
        <f>HYPERLINK("http://ts.21cn.com/tousu/show/id/1338606","http://ts.21cn.com/tousu/show/id/1338606")</f>
        <v>http://ts.21cn.com/tousu/show/id/1338606</v>
      </c>
      <c r="F7612" s="2" t="s">
        <v>11</v>
      </c>
      <c r="G7612" s="2" t="s">
        <v>29197</v>
      </c>
      <c r="H7612" s="2" t="s">
        <v>29198</v>
      </c>
    </row>
    <row r="7613" spans="1:8" ht="25.05" customHeight="1" x14ac:dyDescent="0.25">
      <c r="A7613" s="2" t="s">
        <v>8</v>
      </c>
      <c r="B7613" s="2" t="str">
        <f>HYPERLINK("http://ts.21cn.com/tousu/show/id/1338607","小浦优客涉嫌盗取客户银行卡信息非法扣费")</f>
        <v>小浦优客涉嫌盗取客户银行卡信息非法扣费</v>
      </c>
      <c r="C7613" s="2" t="s">
        <v>9</v>
      </c>
      <c r="D7613" s="2" t="s">
        <v>10</v>
      </c>
      <c r="E7613" s="2" t="str">
        <f>HYPERLINK("http://ts.21cn.com/tousu/show/id/1338607","http://ts.21cn.com/tousu/show/id/1338607")</f>
        <v>http://ts.21cn.com/tousu/show/id/1338607</v>
      </c>
      <c r="F7613" s="2" t="s">
        <v>11</v>
      </c>
      <c r="G7613" s="2" t="s">
        <v>29195</v>
      </c>
      <c r="H7613" s="2" t="s">
        <v>29196</v>
      </c>
    </row>
    <row r="7614" spans="1:8" ht="25.05" customHeight="1" x14ac:dyDescent="0.25">
      <c r="A7614" s="2" t="s">
        <v>8</v>
      </c>
      <c r="B7614" s="2" t="str">
        <f>HYPERLINK("http://ts.21cn.com/tousu/show/id/1338608","贷上钱以买游戏豆为由收取高额贷款通过费")</f>
        <v>贷上钱以买游戏豆为由收取高额贷款通过费</v>
      </c>
      <c r="C7614" s="2" t="s">
        <v>9</v>
      </c>
      <c r="D7614" s="2" t="s">
        <v>10</v>
      </c>
      <c r="E7614" s="2" t="str">
        <f>HYPERLINK("http://ts.21cn.com/tousu/show/id/1338608","http://ts.21cn.com/tousu/show/id/1338608")</f>
        <v>http://ts.21cn.com/tousu/show/id/1338608</v>
      </c>
      <c r="F7614" s="2" t="s">
        <v>11</v>
      </c>
      <c r="G7614" s="2" t="s">
        <v>29193</v>
      </c>
      <c r="H7614" s="2" t="s">
        <v>29194</v>
      </c>
    </row>
    <row r="7615" spans="1:8" ht="25.05" customHeight="1" x14ac:dyDescent="0.25">
      <c r="A7615" s="2" t="s">
        <v>8</v>
      </c>
      <c r="B7615" s="2" t="str">
        <f>HYPERLINK("http://ts.21cn.com/tousu/show/id/1338609","中国移动通信有限公司和中国联通通信有限公司为第三方公司提供支付渠道，谋取它人钱财")</f>
        <v>中国移动通信有限公司和中国联通通信有限公司为第三方公司提供支付渠道，谋取它人钱财</v>
      </c>
      <c r="C7615" s="2" t="s">
        <v>9</v>
      </c>
      <c r="D7615" s="2" t="s">
        <v>10</v>
      </c>
      <c r="E7615" s="2" t="str">
        <f>HYPERLINK("http://ts.21cn.com/tousu/show/id/1338609","http://ts.21cn.com/tousu/show/id/1338609")</f>
        <v>http://ts.21cn.com/tousu/show/id/1338609</v>
      </c>
      <c r="F7615" s="2" t="s">
        <v>11</v>
      </c>
      <c r="G7615" s="2" t="s">
        <v>29191</v>
      </c>
      <c r="H7615" s="2" t="s">
        <v>29192</v>
      </c>
    </row>
    <row r="7616" spans="1:8" ht="25.05" customHeight="1" x14ac:dyDescent="0.25">
      <c r="A7616" s="2" t="s">
        <v>8</v>
      </c>
      <c r="B7616" s="2" t="str">
        <f>HYPERLINK("http://ts.21cn.com/tousu/show/id/1338611","从我卡里扣了999")</f>
        <v>从我卡里扣了999</v>
      </c>
      <c r="C7616" s="2" t="s">
        <v>34</v>
      </c>
      <c r="D7616" s="2" t="s">
        <v>10</v>
      </c>
      <c r="E7616" s="2" t="str">
        <f>HYPERLINK("http://ts.21cn.com/tousu/show/id/1338611","http://ts.21cn.com/tousu/show/id/1338611")</f>
        <v>http://ts.21cn.com/tousu/show/id/1338611</v>
      </c>
      <c r="F7616" s="2" t="s">
        <v>11</v>
      </c>
      <c r="G7616" s="2" t="s">
        <v>29189</v>
      </c>
      <c r="H7616" s="2" t="s">
        <v>29190</v>
      </c>
    </row>
    <row r="7617" spans="1:8" ht="25.05" customHeight="1" x14ac:dyDescent="0.25">
      <c r="A7617" s="2" t="s">
        <v>8</v>
      </c>
      <c r="B7617" s="2" t="str">
        <f>HYPERLINK("http://ts.21cn.com/tousu/show/id/1338612","网贷暴力催收")</f>
        <v>网贷暴力催收</v>
      </c>
      <c r="C7617" s="2" t="s">
        <v>9</v>
      </c>
      <c r="D7617" s="2" t="s">
        <v>10</v>
      </c>
      <c r="E7617" s="2" t="str">
        <f>HYPERLINK("http://ts.21cn.com/tousu/show/id/1338612","http://ts.21cn.com/tousu/show/id/1338612")</f>
        <v>http://ts.21cn.com/tousu/show/id/1338612</v>
      </c>
      <c r="F7617" s="2" t="s">
        <v>11</v>
      </c>
      <c r="G7617" s="2" t="s">
        <v>29187</v>
      </c>
      <c r="H7617" s="2" t="s">
        <v>29188</v>
      </c>
    </row>
    <row r="7618" spans="1:8" ht="25.05" customHeight="1" x14ac:dyDescent="0.25">
      <c r="A7618" s="2" t="s">
        <v>8</v>
      </c>
      <c r="B7618" s="2" t="str">
        <f>HYPERLINK("http://ts.21cn.com/tousu/show/id/1338613","要求大众点评下架我们店铺，不予以处理")</f>
        <v>要求大众点评下架我们店铺，不予以处理</v>
      </c>
      <c r="C7618" s="2" t="s">
        <v>9</v>
      </c>
      <c r="D7618" s="2" t="s">
        <v>10</v>
      </c>
      <c r="E7618" s="2" t="str">
        <f>HYPERLINK("http://ts.21cn.com/tousu/show/id/1338613","http://ts.21cn.com/tousu/show/id/1338613")</f>
        <v>http://ts.21cn.com/tousu/show/id/1338613</v>
      </c>
      <c r="F7618" s="2" t="s">
        <v>11</v>
      </c>
      <c r="G7618" s="2" t="s">
        <v>29185</v>
      </c>
      <c r="H7618" s="2" t="s">
        <v>29186</v>
      </c>
    </row>
    <row r="7619" spans="1:8" ht="25.05" customHeight="1" x14ac:dyDescent="0.25">
      <c r="A7619" s="2" t="s">
        <v>8</v>
      </c>
      <c r="B7619" s="2" t="str">
        <f>HYPERLINK("http://ts.21cn.com/tousu/show/id/1338614","714高炮高利贷")</f>
        <v>714高炮高利贷</v>
      </c>
      <c r="C7619" s="2" t="s">
        <v>9</v>
      </c>
      <c r="D7619" s="2" t="s">
        <v>10</v>
      </c>
      <c r="E7619" s="2" t="str">
        <f>HYPERLINK("http://ts.21cn.com/tousu/show/id/1338614","http://ts.21cn.com/tousu/show/id/1338614")</f>
        <v>http://ts.21cn.com/tousu/show/id/1338614</v>
      </c>
      <c r="F7619" s="2" t="s">
        <v>11</v>
      </c>
      <c r="G7619" s="2" t="s">
        <v>29183</v>
      </c>
      <c r="H7619" s="2" t="s">
        <v>29184</v>
      </c>
    </row>
    <row r="7620" spans="1:8" ht="25.05" customHeight="1" x14ac:dyDescent="0.25">
      <c r="A7620" s="2" t="s">
        <v>8</v>
      </c>
      <c r="B7620" s="2" t="str">
        <f>HYPERLINK("http://ts.21cn.com/tousu/show/id/1338615","云闪付，浙江航天科技电子产业有限公司，为非法网站提供支付通道")</f>
        <v>云闪付，浙江航天科技电子产业有限公司，为非法网站提供支付通道</v>
      </c>
      <c r="C7620" s="2" t="s">
        <v>9</v>
      </c>
      <c r="D7620" s="2" t="s">
        <v>10</v>
      </c>
      <c r="E7620" s="2" t="str">
        <f>HYPERLINK("http://ts.21cn.com/tousu/show/id/1338615","http://ts.21cn.com/tousu/show/id/1338615")</f>
        <v>http://ts.21cn.com/tousu/show/id/1338615</v>
      </c>
      <c r="F7620" s="2" t="s">
        <v>11</v>
      </c>
      <c r="G7620" s="2" t="s">
        <v>29181</v>
      </c>
      <c r="H7620" s="2" t="s">
        <v>29182</v>
      </c>
    </row>
    <row r="7621" spans="1:8" ht="25.05" customHeight="1" x14ac:dyDescent="0.25">
      <c r="A7621" s="2" t="s">
        <v>8</v>
      </c>
      <c r="B7621" s="2" t="str">
        <f>HYPERLINK("http://ts.21cn.com/tousu/show/id/1338616","叉叉ipa精灵不退款,退款难")</f>
        <v>叉叉ipa精灵不退款,退款难</v>
      </c>
      <c r="C7621" s="2" t="s">
        <v>9</v>
      </c>
      <c r="D7621" s="2" t="s">
        <v>10</v>
      </c>
      <c r="E7621" s="2" t="str">
        <f>HYPERLINK("http://ts.21cn.com/tousu/show/id/1338616","http://ts.21cn.com/tousu/show/id/1338616")</f>
        <v>http://ts.21cn.com/tousu/show/id/1338616</v>
      </c>
      <c r="F7621" s="2" t="s">
        <v>11</v>
      </c>
      <c r="G7621" s="2" t="s">
        <v>29179</v>
      </c>
      <c r="H7621" s="2" t="s">
        <v>29180</v>
      </c>
    </row>
    <row r="7622" spans="1:8" ht="25.05" customHeight="1" x14ac:dyDescent="0.25">
      <c r="A7622" s="2" t="s">
        <v>8</v>
      </c>
      <c r="B7622" s="2" t="str">
        <f>HYPERLINK("http://ts.21cn.com/tousu/show/id/1338617","分期乐不肯协商强制打联系人")</f>
        <v>分期乐不肯协商强制打联系人</v>
      </c>
      <c r="C7622" s="2" t="s">
        <v>9</v>
      </c>
      <c r="D7622" s="2" t="s">
        <v>10</v>
      </c>
      <c r="E7622" s="2" t="str">
        <f>HYPERLINK("http://ts.21cn.com/tousu/show/id/1338617","http://ts.21cn.com/tousu/show/id/1338617")</f>
        <v>http://ts.21cn.com/tousu/show/id/1338617</v>
      </c>
      <c r="F7622" s="2" t="s">
        <v>11</v>
      </c>
      <c r="G7622" s="2" t="s">
        <v>29177</v>
      </c>
      <c r="H7622" s="2" t="s">
        <v>29178</v>
      </c>
    </row>
    <row r="7623" spans="1:8" ht="25.05" customHeight="1" x14ac:dyDescent="0.25">
      <c r="A7623" s="2" t="s">
        <v>8</v>
      </c>
      <c r="B7623" s="2" t="str">
        <f>HYPERLINK("http://ts.21cn.com/tousu/show/id/1338619","（逼死人的钱站催收）")</f>
        <v>（逼死人的钱站催收）</v>
      </c>
      <c r="C7623" s="2" t="s">
        <v>9</v>
      </c>
      <c r="D7623" s="2" t="s">
        <v>10</v>
      </c>
      <c r="E7623" s="2" t="str">
        <f>HYPERLINK("http://ts.21cn.com/tousu/show/id/1338619","http://ts.21cn.com/tousu/show/id/1338619")</f>
        <v>http://ts.21cn.com/tousu/show/id/1338619</v>
      </c>
      <c r="F7623" s="2" t="s">
        <v>11</v>
      </c>
      <c r="G7623" s="2" t="s">
        <v>29175</v>
      </c>
      <c r="H7623" s="2" t="s">
        <v>29176</v>
      </c>
    </row>
    <row r="7624" spans="1:8" ht="25.05" customHeight="1" x14ac:dyDescent="0.25">
      <c r="A7624" s="2" t="s">
        <v>8</v>
      </c>
      <c r="B7624" s="2" t="str">
        <f>HYPERLINK("http://ts.21cn.com/tousu/show/id/1338618","易小借乱扣款")</f>
        <v>易小借乱扣款</v>
      </c>
      <c r="C7624" s="2" t="s">
        <v>9</v>
      </c>
      <c r="D7624" s="2" t="s">
        <v>10</v>
      </c>
      <c r="E7624" s="2" t="str">
        <f>HYPERLINK("http://ts.21cn.com/tousu/show/id/1338618","http://ts.21cn.com/tousu/show/id/1338618")</f>
        <v>http://ts.21cn.com/tousu/show/id/1338618</v>
      </c>
      <c r="F7624" s="2" t="s">
        <v>11</v>
      </c>
      <c r="G7624" s="2" t="s">
        <v>29173</v>
      </c>
      <c r="H7624" s="2" t="s">
        <v>29174</v>
      </c>
    </row>
    <row r="7625" spans="1:8" ht="25.05" customHeight="1" x14ac:dyDescent="0.25">
      <c r="A7625" s="2" t="s">
        <v>8</v>
      </c>
      <c r="B7625" s="2" t="str">
        <f>HYPERLINK("http://ts.21cn.com/tousu/show/id/1338622","你我贷平台打电话除紧急联系人之外我朋友家人也收到了催收的电话，损毁个人名誉，以及威胁恐吓")</f>
        <v>你我贷平台打电话除紧急联系人之外我朋友家人也收到了催收的电话，损毁个人名誉，以及威胁恐吓</v>
      </c>
      <c r="C7625" s="2" t="s">
        <v>9</v>
      </c>
      <c r="D7625" s="2" t="s">
        <v>10</v>
      </c>
      <c r="E7625" s="2" t="str">
        <f>HYPERLINK("http://ts.21cn.com/tousu/show/id/1338622","http://ts.21cn.com/tousu/show/id/1338622")</f>
        <v>http://ts.21cn.com/tousu/show/id/1338622</v>
      </c>
      <c r="F7625" s="2" t="s">
        <v>11</v>
      </c>
      <c r="G7625" s="2" t="s">
        <v>29171</v>
      </c>
      <c r="H7625" s="2" t="s">
        <v>29172</v>
      </c>
    </row>
    <row r="7626" spans="1:8" ht="25.05" customHeight="1" x14ac:dyDescent="0.25">
      <c r="A7626" s="2" t="s">
        <v>8</v>
      </c>
      <c r="B7626" s="2" t="str">
        <f>HYPERLINK("http://ts.21cn.com/tousu/show/id/1338620","金柯贷催收严重骚扰亲朋好友")</f>
        <v>金柯贷催收严重骚扰亲朋好友</v>
      </c>
      <c r="C7626" s="2" t="s">
        <v>9</v>
      </c>
      <c r="D7626" s="2" t="s">
        <v>10</v>
      </c>
      <c r="E7626" s="2" t="str">
        <f>HYPERLINK("http://ts.21cn.com/tousu/show/id/1338620","http://ts.21cn.com/tousu/show/id/1338620")</f>
        <v>http://ts.21cn.com/tousu/show/id/1338620</v>
      </c>
      <c r="F7626" s="2" t="s">
        <v>11</v>
      </c>
      <c r="G7626" s="2" t="s">
        <v>29169</v>
      </c>
      <c r="H7626" s="2" t="s">
        <v>29170</v>
      </c>
    </row>
    <row r="7627" spans="1:8" ht="25.05" customHeight="1" x14ac:dyDescent="0.25">
      <c r="A7627" s="2" t="s">
        <v>8</v>
      </c>
      <c r="B7627" s="2" t="str">
        <f>HYPERLINK("http://ts.21cn.com/tousu/show/id/1338621","招联金融各种暴力威胁家人")</f>
        <v>招联金融各种暴力威胁家人</v>
      </c>
      <c r="C7627" s="2" t="s">
        <v>9</v>
      </c>
      <c r="D7627" s="2" t="s">
        <v>10</v>
      </c>
      <c r="E7627" s="2" t="str">
        <f>HYPERLINK("http://ts.21cn.com/tousu/show/id/1338621","http://ts.21cn.com/tousu/show/id/1338621")</f>
        <v>http://ts.21cn.com/tousu/show/id/1338621</v>
      </c>
      <c r="F7627" s="2" t="s">
        <v>11</v>
      </c>
      <c r="G7627" s="2" t="s">
        <v>29167</v>
      </c>
      <c r="H7627" s="2" t="s">
        <v>29168</v>
      </c>
    </row>
    <row r="7628" spans="1:8" ht="25.05" customHeight="1" x14ac:dyDescent="0.25">
      <c r="A7628" s="2" t="s">
        <v>8</v>
      </c>
      <c r="B7628" s="2" t="str">
        <f>HYPERLINK("http://ts.21cn.com/tousu/show/id/1338623","邻居都看不下去要他们走。差点打起来")</f>
        <v>邻居都看不下去要他们走。差点打起来</v>
      </c>
      <c r="C7628" s="2" t="s">
        <v>34</v>
      </c>
      <c r="D7628" s="2" t="s">
        <v>10</v>
      </c>
      <c r="E7628" s="2" t="str">
        <f>HYPERLINK("http://ts.21cn.com/tousu/show/id/1338623","http://ts.21cn.com/tousu/show/id/1338623")</f>
        <v>http://ts.21cn.com/tousu/show/id/1338623</v>
      </c>
      <c r="F7628" s="2" t="s">
        <v>11</v>
      </c>
      <c r="G7628" s="2" t="s">
        <v>29165</v>
      </c>
      <c r="H7628" s="2" t="s">
        <v>29166</v>
      </c>
    </row>
    <row r="7629" spans="1:8" ht="25.05" customHeight="1" x14ac:dyDescent="0.25">
      <c r="A7629" s="2" t="s">
        <v>8</v>
      </c>
      <c r="B7629" s="2" t="str">
        <f>HYPERLINK("http://ts.21cn.com/tousu/show/id/1338624","广东腾大科技有限公司通过绑定快捷通未经允许直接扣款")</f>
        <v>广东腾大科技有限公司通过绑定快捷通未经允许直接扣款</v>
      </c>
      <c r="C7629" s="2" t="s">
        <v>9</v>
      </c>
      <c r="D7629" s="2" t="s">
        <v>10</v>
      </c>
      <c r="E7629" s="2" t="str">
        <f>HYPERLINK("http://ts.21cn.com/tousu/show/id/1338624","http://ts.21cn.com/tousu/show/id/1338624")</f>
        <v>http://ts.21cn.com/tousu/show/id/1338624</v>
      </c>
      <c r="F7629" s="2" t="s">
        <v>11</v>
      </c>
      <c r="G7629" s="2" t="s">
        <v>29163</v>
      </c>
      <c r="H7629" s="2" t="s">
        <v>29164</v>
      </c>
    </row>
    <row r="7630" spans="1:8" ht="25.05" customHeight="1" x14ac:dyDescent="0.25">
      <c r="A7630" s="2" t="s">
        <v>8</v>
      </c>
      <c r="B7630" s="2" t="str">
        <f>HYPERLINK("http://ts.21cn.com/tousu/show/id/1338625","小赢卡贷高利贷")</f>
        <v>小赢卡贷高利贷</v>
      </c>
      <c r="C7630" s="2" t="s">
        <v>9</v>
      </c>
      <c r="D7630" s="2" t="s">
        <v>10</v>
      </c>
      <c r="E7630" s="2" t="str">
        <f>HYPERLINK("http://ts.21cn.com/tousu/show/id/1338625","http://ts.21cn.com/tousu/show/id/1338625")</f>
        <v>http://ts.21cn.com/tousu/show/id/1338625</v>
      </c>
      <c r="F7630" s="2" t="s">
        <v>11</v>
      </c>
      <c r="G7630" s="2" t="s">
        <v>29161</v>
      </c>
      <c r="H7630" s="2" t="s">
        <v>29162</v>
      </c>
    </row>
    <row r="7631" spans="1:8" ht="25.05" customHeight="1" x14ac:dyDescent="0.25">
      <c r="A7631" s="2" t="s">
        <v>8</v>
      </c>
      <c r="B7631" s="2" t="str">
        <f>HYPERLINK("http://ts.21cn.com/tousu/show/id/1338626","网购汽车票无法网上退票")</f>
        <v>网购汽车票无法网上退票</v>
      </c>
      <c r="C7631" s="2" t="s">
        <v>34</v>
      </c>
      <c r="D7631" s="2" t="s">
        <v>10</v>
      </c>
      <c r="E7631" s="2" t="str">
        <f>HYPERLINK("http://ts.21cn.com/tousu/show/id/1338626","http://ts.21cn.com/tousu/show/id/1338626")</f>
        <v>http://ts.21cn.com/tousu/show/id/1338626</v>
      </c>
      <c r="F7631" s="2" t="s">
        <v>11</v>
      </c>
      <c r="G7631" s="2" t="s">
        <v>29159</v>
      </c>
      <c r="H7631" s="2" t="s">
        <v>29160</v>
      </c>
    </row>
    <row r="7632" spans="1:8" ht="25.05" customHeight="1" x14ac:dyDescent="0.25">
      <c r="A7632" s="2" t="s">
        <v>8</v>
      </c>
      <c r="B7632" s="2" t="str">
        <f>HYPERLINK("http://ts.21cn.com/tousu/show/id/1338627","涉嫌套路贷砍头息高利贷")</f>
        <v>涉嫌套路贷砍头息高利贷</v>
      </c>
      <c r="C7632" s="2" t="s">
        <v>9</v>
      </c>
      <c r="D7632" s="2" t="s">
        <v>10</v>
      </c>
      <c r="E7632" s="2" t="str">
        <f>HYPERLINK("http://ts.21cn.com/tousu/show/id/1338627","http://ts.21cn.com/tousu/show/id/1338627")</f>
        <v>http://ts.21cn.com/tousu/show/id/1338627</v>
      </c>
      <c r="F7632" s="2" t="s">
        <v>11</v>
      </c>
      <c r="G7632" s="2" t="s">
        <v>29157</v>
      </c>
      <c r="H7632" s="2" t="s">
        <v>29158</v>
      </c>
    </row>
    <row r="7633" spans="1:8" ht="25.05" customHeight="1" x14ac:dyDescent="0.25">
      <c r="A7633" s="2" t="s">
        <v>8</v>
      </c>
      <c r="B7633" s="2" t="str">
        <f>HYPERLINK("http://ts.21cn.com/tousu/show/id/1338629","信用管家分期套路")</f>
        <v>信用管家分期套路</v>
      </c>
      <c r="C7633" s="2" t="s">
        <v>9</v>
      </c>
      <c r="D7633" s="2" t="s">
        <v>10</v>
      </c>
      <c r="E7633" s="2" t="str">
        <f>HYPERLINK("http://ts.21cn.com/tousu/show/id/1338629","http://ts.21cn.com/tousu/show/id/1338629")</f>
        <v>http://ts.21cn.com/tousu/show/id/1338629</v>
      </c>
      <c r="F7633" s="2" t="s">
        <v>11</v>
      </c>
      <c r="G7633" s="2" t="s">
        <v>29154</v>
      </c>
      <c r="H7633" s="2" t="s">
        <v>29155</v>
      </c>
    </row>
    <row r="7634" spans="1:8" ht="25.05" customHeight="1" x14ac:dyDescent="0.25">
      <c r="A7634" s="2" t="s">
        <v>8</v>
      </c>
      <c r="B7634" s="2" t="str">
        <f>HYPERLINK("http://ts.21cn.com/tousu/show/id/1338630","大量用户无法退还立刻出行499元押金")</f>
        <v>大量用户无法退还立刻出行499元押金</v>
      </c>
      <c r="C7634" s="2" t="s">
        <v>9</v>
      </c>
      <c r="D7634" s="2" t="s">
        <v>10</v>
      </c>
      <c r="E7634" s="2" t="str">
        <f>HYPERLINK("http://ts.21cn.com/tousu/show/id/1338630","http://ts.21cn.com/tousu/show/id/1338630")</f>
        <v>http://ts.21cn.com/tousu/show/id/1338630</v>
      </c>
      <c r="F7634" s="2" t="s">
        <v>11</v>
      </c>
      <c r="G7634" s="2" t="s">
        <v>29154</v>
      </c>
      <c r="H7634" s="2" t="s">
        <v>29156</v>
      </c>
    </row>
    <row r="7635" spans="1:8" ht="25.05" customHeight="1" x14ac:dyDescent="0.25">
      <c r="A7635" s="2" t="s">
        <v>8</v>
      </c>
      <c r="B7635" s="2" t="str">
        <f>HYPERLINK("http://ts.21cn.com/tousu/show/id/1338633","好分期高利贷，阴阳合同，电话暴力催收，甚至威胁恐吓")</f>
        <v>好分期高利贷，阴阳合同，电话暴力催收，甚至威胁恐吓</v>
      </c>
      <c r="C7635" s="2" t="s">
        <v>9</v>
      </c>
      <c r="D7635" s="2" t="s">
        <v>10</v>
      </c>
      <c r="E7635" s="2" t="str">
        <f>HYPERLINK("http://ts.21cn.com/tousu/show/id/1338633","http://ts.21cn.com/tousu/show/id/1338633")</f>
        <v>http://ts.21cn.com/tousu/show/id/1338633</v>
      </c>
      <c r="F7635" s="2" t="s">
        <v>11</v>
      </c>
      <c r="G7635" s="2" t="s">
        <v>29152</v>
      </c>
      <c r="H7635" s="2" t="s">
        <v>29153</v>
      </c>
    </row>
    <row r="7636" spans="1:8" ht="25.05" customHeight="1" x14ac:dyDescent="0.25">
      <c r="A7636" s="2" t="s">
        <v>8</v>
      </c>
      <c r="B7636" s="2" t="str">
        <f>HYPERLINK("http://ts.21cn.com/tousu/show/id/1338635","拍拍贷违法恐吓")</f>
        <v>拍拍贷违法恐吓</v>
      </c>
      <c r="C7636" s="2" t="s">
        <v>9</v>
      </c>
      <c r="D7636" s="2" t="s">
        <v>10</v>
      </c>
      <c r="E7636" s="2" t="str">
        <f>HYPERLINK("http://ts.21cn.com/tousu/show/id/1338635","http://ts.21cn.com/tousu/show/id/1338635")</f>
        <v>http://ts.21cn.com/tousu/show/id/1338635</v>
      </c>
      <c r="F7636" s="2" t="s">
        <v>11</v>
      </c>
      <c r="G7636" s="2" t="s">
        <v>29150</v>
      </c>
      <c r="H7636" s="2" t="s">
        <v>29151</v>
      </c>
    </row>
    <row r="7637" spans="1:8" ht="25.05" customHeight="1" x14ac:dyDescent="0.25">
      <c r="A7637" s="2" t="s">
        <v>8</v>
      </c>
      <c r="B7637" s="2" t="str">
        <f>HYPERLINK("http://ts.21cn.com/tousu/show/id/1338634","利息加服务费过高，无力偿还，再还下去就是坑人，申请协商还款调低年利率到24%以下")</f>
        <v>利息加服务费过高，无力偿还，再还下去就是坑人，申请协商还款调低年利率到24%以下</v>
      </c>
      <c r="C7637" s="2" t="s">
        <v>9</v>
      </c>
      <c r="D7637" s="2" t="s">
        <v>10</v>
      </c>
      <c r="E7637" s="2" t="str">
        <f>HYPERLINK("http://ts.21cn.com/tousu/show/id/1338634","http://ts.21cn.com/tousu/show/id/1338634")</f>
        <v>http://ts.21cn.com/tousu/show/id/1338634</v>
      </c>
      <c r="F7637" s="2" t="s">
        <v>11</v>
      </c>
      <c r="G7637" s="2" t="s">
        <v>29148</v>
      </c>
      <c r="H7637" s="2" t="s">
        <v>29149</v>
      </c>
    </row>
    <row r="7638" spans="1:8" ht="25.05" customHeight="1" x14ac:dyDescent="0.25">
      <c r="A7638" s="2" t="s">
        <v>8</v>
      </c>
      <c r="B7638" s="2" t="str">
        <f>HYPERLINK("http://ts.21cn.com/tousu/show/id/1338636","智行火车票欺诈消费者")</f>
        <v>智行火车票欺诈消费者</v>
      </c>
      <c r="C7638" s="2" t="s">
        <v>9</v>
      </c>
      <c r="D7638" s="2" t="s">
        <v>10</v>
      </c>
      <c r="E7638" s="2" t="str">
        <f>HYPERLINK("http://ts.21cn.com/tousu/show/id/1338636","http://ts.21cn.com/tousu/show/id/1338636")</f>
        <v>http://ts.21cn.com/tousu/show/id/1338636</v>
      </c>
      <c r="F7638" s="2" t="s">
        <v>11</v>
      </c>
      <c r="G7638" s="2" t="s">
        <v>29146</v>
      </c>
      <c r="H7638" s="2" t="s">
        <v>29147</v>
      </c>
    </row>
    <row r="7639" spans="1:8" ht="25.05" customHeight="1" x14ac:dyDescent="0.25">
      <c r="A7639" s="2" t="s">
        <v>8</v>
      </c>
      <c r="B7639" s="2" t="str">
        <f>HYPERLINK("http://ts.21cn.com/tousu/show/id/1338638","每月多了几百的费用。协商不了也减不下来")</f>
        <v>每月多了几百的费用。协商不了也减不下来</v>
      </c>
      <c r="C7639" s="2" t="s">
        <v>34</v>
      </c>
      <c r="D7639" s="2" t="s">
        <v>10</v>
      </c>
      <c r="E7639" s="2" t="str">
        <f>HYPERLINK("http://ts.21cn.com/tousu/show/id/1338638","http://ts.21cn.com/tousu/show/id/1338638")</f>
        <v>http://ts.21cn.com/tousu/show/id/1338638</v>
      </c>
      <c r="F7639" s="2" t="s">
        <v>11</v>
      </c>
      <c r="G7639" s="2" t="s">
        <v>29144</v>
      </c>
      <c r="H7639" s="2" t="s">
        <v>29145</v>
      </c>
    </row>
    <row r="7640" spans="1:8" ht="25.05" customHeight="1" x14ac:dyDescent="0.25">
      <c r="A7640" s="2" t="s">
        <v>8</v>
      </c>
      <c r="B7640" s="2" t="str">
        <f>HYPERLINK("http://ts.21cn.com/tousu/show/id/1338637","你我贷恶意骚扰联系人扬言发图片发录音，态度及其嚣张，顶风作案")</f>
        <v>你我贷恶意骚扰联系人扬言发图片发录音，态度及其嚣张，顶风作案</v>
      </c>
      <c r="C7640" s="2" t="s">
        <v>9</v>
      </c>
      <c r="D7640" s="2" t="s">
        <v>10</v>
      </c>
      <c r="E7640" s="2" t="str">
        <f>HYPERLINK("http://ts.21cn.com/tousu/show/id/1338637","http://ts.21cn.com/tousu/show/id/1338637")</f>
        <v>http://ts.21cn.com/tousu/show/id/1338637</v>
      </c>
      <c r="F7640" s="2" t="s">
        <v>11</v>
      </c>
      <c r="G7640" s="2" t="s">
        <v>29142</v>
      </c>
      <c r="H7640" s="2" t="s">
        <v>29143</v>
      </c>
    </row>
    <row r="7641" spans="1:8" ht="25.05" customHeight="1" x14ac:dyDescent="0.25">
      <c r="A7641" s="2" t="s">
        <v>8</v>
      </c>
      <c r="B7641" s="2" t="str">
        <f>HYPERLINK("http://ts.21cn.com/tousu/show/id/1338640","协商还款并停止催收")</f>
        <v>协商还款并停止催收</v>
      </c>
      <c r="C7641" s="2" t="s">
        <v>9</v>
      </c>
      <c r="D7641" s="2" t="s">
        <v>10</v>
      </c>
      <c r="E7641" s="2" t="str">
        <f>HYPERLINK("http://ts.21cn.com/tousu/show/id/1338640","http://ts.21cn.com/tousu/show/id/1338640")</f>
        <v>http://ts.21cn.com/tousu/show/id/1338640</v>
      </c>
      <c r="F7641" s="2" t="s">
        <v>11</v>
      </c>
      <c r="G7641" s="2" t="s">
        <v>29140</v>
      </c>
      <c r="H7641" s="2" t="s">
        <v>29141</v>
      </c>
    </row>
    <row r="7642" spans="1:8" ht="25.05" customHeight="1" x14ac:dyDescent="0.25">
      <c r="A7642" s="2" t="s">
        <v>8</v>
      </c>
      <c r="B7642" s="2" t="str">
        <f>HYPERLINK("http://ts.21cn.com/tousu/show/id/1338641","雇佣不明身份人士对家人进行骚扰恐吓")</f>
        <v>雇佣不明身份人士对家人进行骚扰恐吓</v>
      </c>
      <c r="C7642" s="2" t="s">
        <v>9</v>
      </c>
      <c r="D7642" s="2" t="s">
        <v>10</v>
      </c>
      <c r="E7642" s="2" t="str">
        <f>HYPERLINK("http://ts.21cn.com/tousu/show/id/1338641","http://ts.21cn.com/tousu/show/id/1338641")</f>
        <v>http://ts.21cn.com/tousu/show/id/1338641</v>
      </c>
      <c r="F7642" s="2" t="s">
        <v>11</v>
      </c>
      <c r="G7642" s="2" t="s">
        <v>29138</v>
      </c>
      <c r="H7642" s="2" t="s">
        <v>29139</v>
      </c>
    </row>
    <row r="7643" spans="1:8" ht="25.05" customHeight="1" x14ac:dyDescent="0.25">
      <c r="A7643" s="2" t="s">
        <v>8</v>
      </c>
      <c r="B7643" s="2" t="str">
        <f>HYPERLINK("http://ts.21cn.com/tousu/show/id/1338642","维信金融")</f>
        <v>维信金融</v>
      </c>
      <c r="C7643" s="2" t="s">
        <v>9</v>
      </c>
      <c r="D7643" s="2" t="s">
        <v>10</v>
      </c>
      <c r="E7643" s="2" t="str">
        <f>HYPERLINK("http://ts.21cn.com/tousu/show/id/1338642","http://ts.21cn.com/tousu/show/id/1338642")</f>
        <v>http://ts.21cn.com/tousu/show/id/1338642</v>
      </c>
      <c r="F7643" s="2" t="s">
        <v>11</v>
      </c>
      <c r="G7643" s="2" t="s">
        <v>29136</v>
      </c>
      <c r="H7643" s="2" t="s">
        <v>29137</v>
      </c>
    </row>
    <row r="7644" spans="1:8" ht="25.05" customHeight="1" x14ac:dyDescent="0.25">
      <c r="A7644" s="2" t="s">
        <v>8</v>
      </c>
      <c r="B7644" s="2" t="str">
        <f>HYPERLINK("http://ts.21cn.com/tousu/show/id/1338643","信用管家群发短信，恐吓通讯录")</f>
        <v>信用管家群发短信，恐吓通讯录</v>
      </c>
      <c r="C7644" s="2" t="s">
        <v>9</v>
      </c>
      <c r="D7644" s="2" t="s">
        <v>10</v>
      </c>
      <c r="E7644" s="2" t="str">
        <f>HYPERLINK("http://ts.21cn.com/tousu/show/id/1338643","http://ts.21cn.com/tousu/show/id/1338643")</f>
        <v>http://ts.21cn.com/tousu/show/id/1338643</v>
      </c>
      <c r="F7644" s="2" t="s">
        <v>11</v>
      </c>
      <c r="G7644" s="2" t="s">
        <v>29134</v>
      </c>
      <c r="H7644" s="2" t="s">
        <v>29135</v>
      </c>
    </row>
    <row r="7645" spans="1:8" ht="25.05" customHeight="1" x14ac:dyDescent="0.25">
      <c r="A7645" s="2" t="s">
        <v>8</v>
      </c>
      <c r="B7645" s="2" t="str">
        <f>HYPERLINK("http://ts.21cn.com/tousu/show/id/1338644","差1000多还款3个月。")</f>
        <v>差1000多还款3个月。</v>
      </c>
      <c r="C7645" s="2" t="s">
        <v>34</v>
      </c>
      <c r="D7645" s="2" t="s">
        <v>10</v>
      </c>
      <c r="E7645" s="2" t="str">
        <f>HYPERLINK("http://ts.21cn.com/tousu/show/id/1338644","http://ts.21cn.com/tousu/show/id/1338644")</f>
        <v>http://ts.21cn.com/tousu/show/id/1338644</v>
      </c>
      <c r="F7645" s="2" t="s">
        <v>11</v>
      </c>
      <c r="G7645" s="2" t="s">
        <v>29133</v>
      </c>
      <c r="H7645" s="2" t="s">
        <v>25961</v>
      </c>
    </row>
    <row r="7646" spans="1:8" ht="25.05" customHeight="1" x14ac:dyDescent="0.25">
      <c r="A7646" s="2" t="s">
        <v>8</v>
      </c>
      <c r="B7646" s="2" t="str">
        <f>HYPERLINK("http://ts.21cn.com/tousu/show/id/1338645","第三次投诉点佰趣目前为止还是没有退押金款")</f>
        <v>第三次投诉点佰趣目前为止还是没有退押金款</v>
      </c>
      <c r="C7646" s="2" t="s">
        <v>9</v>
      </c>
      <c r="D7646" s="2" t="s">
        <v>10</v>
      </c>
      <c r="E7646" s="2" t="str">
        <f>HYPERLINK("http://ts.21cn.com/tousu/show/id/1338645","http://ts.21cn.com/tousu/show/id/1338645")</f>
        <v>http://ts.21cn.com/tousu/show/id/1338645</v>
      </c>
      <c r="F7646" s="2" t="s">
        <v>11</v>
      </c>
      <c r="G7646" s="2" t="s">
        <v>29131</v>
      </c>
      <c r="H7646" s="2" t="s">
        <v>29132</v>
      </c>
    </row>
    <row r="7647" spans="1:8" ht="25.05" customHeight="1" x14ac:dyDescent="0.25">
      <c r="A7647" s="2" t="s">
        <v>8</v>
      </c>
      <c r="B7647" s="2" t="str">
        <f>HYPERLINK("http://ts.21cn.com/tousu/show/id/1338646","平安普惠电话骚扰")</f>
        <v>平安普惠电话骚扰</v>
      </c>
      <c r="C7647" s="2" t="s">
        <v>9</v>
      </c>
      <c r="D7647" s="2" t="s">
        <v>10</v>
      </c>
      <c r="E7647" s="2" t="str">
        <f>HYPERLINK("http://ts.21cn.com/tousu/show/id/1338646","http://ts.21cn.com/tousu/show/id/1338646")</f>
        <v>http://ts.21cn.com/tousu/show/id/1338646</v>
      </c>
      <c r="F7647" s="2" t="s">
        <v>11</v>
      </c>
      <c r="G7647" s="2" t="s">
        <v>29129</v>
      </c>
      <c r="H7647" s="2" t="s">
        <v>29130</v>
      </c>
    </row>
    <row r="7648" spans="1:8" ht="25.05" customHeight="1" x14ac:dyDescent="0.25">
      <c r="A7648" s="2" t="s">
        <v>8</v>
      </c>
      <c r="B7648" s="2" t="str">
        <f>HYPERLINK("http://ts.21cn.com/tousu/show/id/1338647","信任分期高利贷暴力催收")</f>
        <v>信任分期高利贷暴力催收</v>
      </c>
      <c r="C7648" s="2" t="s">
        <v>9</v>
      </c>
      <c r="D7648" s="2" t="s">
        <v>10</v>
      </c>
      <c r="E7648" s="2" t="str">
        <f>HYPERLINK("http://ts.21cn.com/tousu/show/id/1338647","http://ts.21cn.com/tousu/show/id/1338647")</f>
        <v>http://ts.21cn.com/tousu/show/id/1338647</v>
      </c>
      <c r="F7648" s="2" t="s">
        <v>11</v>
      </c>
      <c r="G7648" s="2" t="s">
        <v>29127</v>
      </c>
      <c r="H7648" s="2" t="s">
        <v>29128</v>
      </c>
    </row>
    <row r="7649" spans="1:8" ht="25.05" customHeight="1" x14ac:dyDescent="0.25">
      <c r="A7649" s="2" t="s">
        <v>8</v>
      </c>
      <c r="B7649" s="2" t="str">
        <f>HYPERLINK("http://ts.21cn.com/tousu/show/id/1338648","申请解冻")</f>
        <v>申请解冻</v>
      </c>
      <c r="C7649" s="2" t="s">
        <v>9</v>
      </c>
      <c r="D7649" s="2" t="s">
        <v>10</v>
      </c>
      <c r="E7649" s="2" t="str">
        <f>HYPERLINK("http://ts.21cn.com/tousu/show/id/1338648","http://ts.21cn.com/tousu/show/id/1338648")</f>
        <v>http://ts.21cn.com/tousu/show/id/1338648</v>
      </c>
      <c r="F7649" s="2" t="s">
        <v>11</v>
      </c>
      <c r="G7649" s="2" t="s">
        <v>29125</v>
      </c>
      <c r="H7649" s="2" t="s">
        <v>29126</v>
      </c>
    </row>
    <row r="7650" spans="1:8" ht="25.05" customHeight="1" x14ac:dyDescent="0.25">
      <c r="A7650" s="2" t="s">
        <v>8</v>
      </c>
      <c r="B7650" s="2" t="str">
        <f>HYPERLINK("http://ts.21cn.com/tousu/show/id/1338650","浙江航天电子信息产业有限公司，云闪付，为非法网站提供支付通道")</f>
        <v>浙江航天电子信息产业有限公司，云闪付，为非法网站提供支付通道</v>
      </c>
      <c r="C7650" s="2" t="s">
        <v>9</v>
      </c>
      <c r="D7650" s="2" t="s">
        <v>10</v>
      </c>
      <c r="E7650" s="2" t="str">
        <f>HYPERLINK("http://ts.21cn.com/tousu/show/id/1338650","http://ts.21cn.com/tousu/show/id/1338650")</f>
        <v>http://ts.21cn.com/tousu/show/id/1338650</v>
      </c>
      <c r="F7650" s="2" t="s">
        <v>11</v>
      </c>
      <c r="G7650" s="2" t="s">
        <v>29123</v>
      </c>
      <c r="H7650" s="2" t="s">
        <v>29124</v>
      </c>
    </row>
    <row r="7651" spans="1:8" ht="25.05" customHeight="1" x14ac:dyDescent="0.25">
      <c r="A7651" s="2" t="s">
        <v>8</v>
      </c>
      <c r="B7651" s="2" t="str">
        <f>HYPERLINK("http://ts.21cn.com/tousu/show/id/1338654","月光侠分期高利贷套路贷")</f>
        <v>月光侠分期高利贷套路贷</v>
      </c>
      <c r="C7651" s="2" t="s">
        <v>9</v>
      </c>
      <c r="D7651" s="2" t="s">
        <v>10</v>
      </c>
      <c r="E7651" s="2" t="str">
        <f>HYPERLINK("http://ts.21cn.com/tousu/show/id/1338654","http://ts.21cn.com/tousu/show/id/1338654")</f>
        <v>http://ts.21cn.com/tousu/show/id/1338654</v>
      </c>
      <c r="F7651" s="2" t="s">
        <v>11</v>
      </c>
      <c r="G7651" s="2" t="s">
        <v>29121</v>
      </c>
      <c r="H7651" s="2" t="s">
        <v>29122</v>
      </c>
    </row>
    <row r="7652" spans="1:8" ht="25.05" customHeight="1" x14ac:dyDescent="0.25">
      <c r="A7652" s="2" t="s">
        <v>8</v>
      </c>
      <c r="B7652" s="2" t="str">
        <f>HYPERLINK("http://ts.21cn.com/tousu/show/id/1338652","随手记福贷砍头息")</f>
        <v>随手记福贷砍头息</v>
      </c>
      <c r="C7652" s="2" t="s">
        <v>9</v>
      </c>
      <c r="D7652" s="2" t="s">
        <v>10</v>
      </c>
      <c r="E7652" s="2" t="str">
        <f>HYPERLINK("http://ts.21cn.com/tousu/show/id/1338652","http://ts.21cn.com/tousu/show/id/1338652")</f>
        <v>http://ts.21cn.com/tousu/show/id/1338652</v>
      </c>
      <c r="F7652" s="2" t="s">
        <v>11</v>
      </c>
      <c r="G7652" s="2" t="s">
        <v>29119</v>
      </c>
      <c r="H7652" s="2" t="s">
        <v>29120</v>
      </c>
    </row>
    <row r="7653" spans="1:8" ht="25.05" customHeight="1" x14ac:dyDescent="0.25">
      <c r="A7653" s="2" t="s">
        <v>8</v>
      </c>
      <c r="B7653" s="2" t="str">
        <f>HYPERLINK("http://ts.21cn.com/tousu/show/id/1338653","套路贷信而富")</f>
        <v>套路贷信而富</v>
      </c>
      <c r="C7653" s="2" t="s">
        <v>9</v>
      </c>
      <c r="D7653" s="2" t="s">
        <v>10</v>
      </c>
      <c r="E7653" s="2" t="str">
        <f>HYPERLINK("http://ts.21cn.com/tousu/show/id/1338653","http://ts.21cn.com/tousu/show/id/1338653")</f>
        <v>http://ts.21cn.com/tousu/show/id/1338653</v>
      </c>
      <c r="F7653" s="2" t="s">
        <v>11</v>
      </c>
      <c r="G7653" s="2" t="s">
        <v>29117</v>
      </c>
      <c r="H7653" s="2" t="s">
        <v>29118</v>
      </c>
    </row>
    <row r="7654" spans="1:8" ht="25.05" customHeight="1" x14ac:dyDescent="0.25">
      <c r="A7654" s="2" t="s">
        <v>8</v>
      </c>
      <c r="B7654" s="2" t="str">
        <f>HYPERLINK("http://ts.21cn.com/tousu/show/id/1338655","网贷平台乱扣款，追回扣款")</f>
        <v>网贷平台乱扣款，追回扣款</v>
      </c>
      <c r="C7654" s="2" t="s">
        <v>9</v>
      </c>
      <c r="D7654" s="2" t="s">
        <v>10</v>
      </c>
      <c r="E7654" s="2" t="str">
        <f>HYPERLINK("http://ts.21cn.com/tousu/show/id/1338655","http://ts.21cn.com/tousu/show/id/1338655")</f>
        <v>http://ts.21cn.com/tousu/show/id/1338655</v>
      </c>
      <c r="F7654" s="2" t="s">
        <v>11</v>
      </c>
      <c r="G7654" s="2" t="s">
        <v>29115</v>
      </c>
      <c r="H7654" s="2" t="s">
        <v>29116</v>
      </c>
    </row>
    <row r="7655" spans="1:8" ht="25.05" customHeight="1" x14ac:dyDescent="0.25">
      <c r="A7655" s="2" t="s">
        <v>8</v>
      </c>
      <c r="B7655" s="2" t="str">
        <f>HYPERLINK("http://ts.21cn.com/tousu/show/id/1338656","嘉盈顺（豹子贷、百货聚惠）不知道哪个名字是真的，擅自扣取费用不给我退款")</f>
        <v>嘉盈顺（豹子贷、百货聚惠）不知道哪个名字是真的，擅自扣取费用不给我退款</v>
      </c>
      <c r="C7655" s="2" t="s">
        <v>9</v>
      </c>
      <c r="D7655" s="2" t="s">
        <v>10</v>
      </c>
      <c r="E7655" s="2" t="str">
        <f>HYPERLINK("http://ts.21cn.com/tousu/show/id/1338656","http://ts.21cn.com/tousu/show/id/1338656")</f>
        <v>http://ts.21cn.com/tousu/show/id/1338656</v>
      </c>
      <c r="F7655" s="2" t="s">
        <v>11</v>
      </c>
      <c r="G7655" s="2" t="s">
        <v>29113</v>
      </c>
      <c r="H7655" s="2" t="s">
        <v>29114</v>
      </c>
    </row>
    <row r="7656" spans="1:8" ht="25.05" customHeight="1" x14ac:dyDescent="0.25">
      <c r="A7656" s="2" t="s">
        <v>8</v>
      </c>
      <c r="B7656" s="2" t="str">
        <f>HYPERLINK("http://ts.21cn.com/tousu/show/id/1338658","多个平台向大学生放贷")</f>
        <v>多个平台向大学生放贷</v>
      </c>
      <c r="C7656" s="2" t="s">
        <v>9</v>
      </c>
      <c r="D7656" s="2" t="s">
        <v>10</v>
      </c>
      <c r="E7656" s="2" t="str">
        <f>HYPERLINK("http://ts.21cn.com/tousu/show/id/1338658","http://ts.21cn.com/tousu/show/id/1338658")</f>
        <v>http://ts.21cn.com/tousu/show/id/1338658</v>
      </c>
      <c r="F7656" s="2" t="s">
        <v>11</v>
      </c>
      <c r="G7656" s="2" t="s">
        <v>29111</v>
      </c>
      <c r="H7656" s="2" t="s">
        <v>29112</v>
      </c>
    </row>
    <row r="7657" spans="1:8" ht="25.05" customHeight="1" x14ac:dyDescent="0.25">
      <c r="A7657" s="2" t="s">
        <v>8</v>
      </c>
      <c r="B7657" s="2" t="str">
        <f>HYPERLINK("http://ts.21cn.com/tousu/show/id/1338657","多宝分期，恐吓，没逾期，还款当天说晚一点处理。老是骚扰，强烈投诉")</f>
        <v>多宝分期，恐吓，没逾期，还款当天说晚一点处理。老是骚扰，强烈投诉</v>
      </c>
      <c r="C7657" s="2" t="s">
        <v>9</v>
      </c>
      <c r="D7657" s="2" t="s">
        <v>10</v>
      </c>
      <c r="E7657" s="2" t="str">
        <f>HYPERLINK("http://ts.21cn.com/tousu/show/id/1338657","http://ts.21cn.com/tousu/show/id/1338657")</f>
        <v>http://ts.21cn.com/tousu/show/id/1338657</v>
      </c>
      <c r="F7657" s="2" t="s">
        <v>11</v>
      </c>
      <c r="G7657" s="2" t="s">
        <v>29109</v>
      </c>
      <c r="H7657" s="2" t="s">
        <v>29110</v>
      </c>
    </row>
    <row r="7658" spans="1:8" ht="25.05" customHeight="1" x14ac:dyDescent="0.25">
      <c r="A7658" s="2" t="s">
        <v>8</v>
      </c>
      <c r="B7658" s="2" t="str">
        <f>HYPERLINK("http://ts.21cn.com/tousu/show/id/1338659","旅游景区的恶势力")</f>
        <v>旅游景区的恶势力</v>
      </c>
      <c r="C7658" s="2" t="s">
        <v>9</v>
      </c>
      <c r="D7658" s="2" t="s">
        <v>10</v>
      </c>
      <c r="E7658" s="2" t="str">
        <f>HYPERLINK("http://ts.21cn.com/tousu/show/id/1338659","http://ts.21cn.com/tousu/show/id/1338659")</f>
        <v>http://ts.21cn.com/tousu/show/id/1338659</v>
      </c>
      <c r="F7658" s="2" t="s">
        <v>11</v>
      </c>
      <c r="G7658" s="2" t="s">
        <v>29107</v>
      </c>
      <c r="H7658" s="2" t="s">
        <v>29108</v>
      </c>
    </row>
    <row r="7659" spans="1:8" ht="25.05" customHeight="1" x14ac:dyDescent="0.25">
      <c r="A7659" s="2" t="s">
        <v>8</v>
      </c>
      <c r="B7659" s="2" t="str">
        <f>HYPERLINK("http://ts.21cn.com/tousu/show/id/1338660","拍拍贷催收态度不友好，望端正态度")</f>
        <v>拍拍贷催收态度不友好，望端正态度</v>
      </c>
      <c r="C7659" s="2" t="s">
        <v>9</v>
      </c>
      <c r="D7659" s="2" t="s">
        <v>10</v>
      </c>
      <c r="E7659" s="2" t="str">
        <f>HYPERLINK("http://ts.21cn.com/tousu/show/id/1338660","http://ts.21cn.com/tousu/show/id/1338660")</f>
        <v>http://ts.21cn.com/tousu/show/id/1338660</v>
      </c>
      <c r="F7659" s="2" t="s">
        <v>11</v>
      </c>
      <c r="G7659" s="2" t="s">
        <v>29105</v>
      </c>
      <c r="H7659" s="2" t="s">
        <v>29106</v>
      </c>
    </row>
    <row r="7660" spans="1:8" ht="25.05" customHeight="1" x14ac:dyDescent="0.25">
      <c r="A7660" s="2" t="s">
        <v>8</v>
      </c>
      <c r="B7660" s="2" t="str">
        <f>HYPERLINK("http://ts.21cn.com/tousu/show/id/1338663","安徽飞熊游戏有限公司，游戏托诱导充值，不给退款")</f>
        <v>安徽飞熊游戏有限公司，游戏托诱导充值，不给退款</v>
      </c>
      <c r="C7660" s="2" t="s">
        <v>9</v>
      </c>
      <c r="D7660" s="2" t="s">
        <v>10</v>
      </c>
      <c r="E7660" s="2" t="str">
        <f>HYPERLINK("http://ts.21cn.com/tousu/show/id/1338663","http://ts.21cn.com/tousu/show/id/1338663")</f>
        <v>http://ts.21cn.com/tousu/show/id/1338663</v>
      </c>
      <c r="F7660" s="2" t="s">
        <v>11</v>
      </c>
      <c r="G7660" s="2" t="s">
        <v>29103</v>
      </c>
      <c r="H7660" s="2" t="s">
        <v>29104</v>
      </c>
    </row>
    <row r="7661" spans="1:8" ht="25.05" customHeight="1" x14ac:dyDescent="0.25">
      <c r="A7661" s="2" t="s">
        <v>8</v>
      </c>
      <c r="B7661" s="2" t="str">
        <f>HYPERLINK("http://ts.21cn.com/tousu/show/id/1338662","未通知直接冻结我银行卡")</f>
        <v>未通知直接冻结我银行卡</v>
      </c>
      <c r="C7661" s="2" t="s">
        <v>9</v>
      </c>
      <c r="D7661" s="2" t="s">
        <v>10</v>
      </c>
      <c r="E7661" s="2" t="str">
        <f>HYPERLINK("http://ts.21cn.com/tousu/show/id/1338662","http://ts.21cn.com/tousu/show/id/1338662")</f>
        <v>http://ts.21cn.com/tousu/show/id/1338662</v>
      </c>
      <c r="F7661" s="2" t="s">
        <v>11</v>
      </c>
      <c r="G7661" s="2" t="s">
        <v>29101</v>
      </c>
      <c r="H7661" s="2" t="s">
        <v>29102</v>
      </c>
    </row>
    <row r="7662" spans="1:8" ht="25.05" customHeight="1" x14ac:dyDescent="0.25">
      <c r="A7662" s="2" t="s">
        <v>8</v>
      </c>
      <c r="B7662" s="2" t="str">
        <f>HYPERLINK("http://ts.21cn.com/tousu/show/id/1338664","特约小通商城无故扣掉500元")</f>
        <v>特约小通商城无故扣掉500元</v>
      </c>
      <c r="C7662" s="2" t="s">
        <v>34</v>
      </c>
      <c r="D7662" s="2" t="s">
        <v>10</v>
      </c>
      <c r="E7662" s="2" t="str">
        <f>HYPERLINK("http://ts.21cn.com/tousu/show/id/1338664","http://ts.21cn.com/tousu/show/id/1338664")</f>
        <v>http://ts.21cn.com/tousu/show/id/1338664</v>
      </c>
      <c r="F7662" s="2" t="s">
        <v>11</v>
      </c>
      <c r="G7662" s="2" t="s">
        <v>29099</v>
      </c>
      <c r="H7662" s="2" t="s">
        <v>29100</v>
      </c>
    </row>
    <row r="7663" spans="1:8" ht="25.05" customHeight="1" x14ac:dyDescent="0.25">
      <c r="A7663" s="2" t="s">
        <v>8</v>
      </c>
      <c r="B7663" s="2" t="str">
        <f>HYPERLINK("http://ts.21cn.com/tousu/show/id/1338666","拍拍贷高利贷骚扰接我的家人朋友")</f>
        <v>拍拍贷高利贷骚扰接我的家人朋友</v>
      </c>
      <c r="C7663" s="2" t="s">
        <v>9</v>
      </c>
      <c r="D7663" s="2" t="s">
        <v>10</v>
      </c>
      <c r="E7663" s="2" t="str">
        <f>HYPERLINK("http://ts.21cn.com/tousu/show/id/1338666","http://ts.21cn.com/tousu/show/id/1338666")</f>
        <v>http://ts.21cn.com/tousu/show/id/1338666</v>
      </c>
      <c r="F7663" s="2" t="s">
        <v>11</v>
      </c>
      <c r="G7663" s="2" t="s">
        <v>29097</v>
      </c>
      <c r="H7663" s="2" t="s">
        <v>29098</v>
      </c>
    </row>
    <row r="7664" spans="1:8" ht="25.05" customHeight="1" x14ac:dyDescent="0.25">
      <c r="A7664" s="2" t="s">
        <v>8</v>
      </c>
      <c r="B7664" s="2" t="str">
        <f>HYPERLINK("http://ts.21cn.com/tousu/show/id/1338665","714高利贷金胜分期高额利息")</f>
        <v>714高利贷金胜分期高额利息</v>
      </c>
      <c r="C7664" s="2" t="s">
        <v>9</v>
      </c>
      <c r="D7664" s="2" t="s">
        <v>10</v>
      </c>
      <c r="E7664" s="2" t="str">
        <f>HYPERLINK("http://ts.21cn.com/tousu/show/id/1338665","http://ts.21cn.com/tousu/show/id/1338665")</f>
        <v>http://ts.21cn.com/tousu/show/id/1338665</v>
      </c>
      <c r="F7664" s="2" t="s">
        <v>11</v>
      </c>
      <c r="G7664" s="2" t="s">
        <v>29095</v>
      </c>
      <c r="H7664" s="2" t="s">
        <v>29096</v>
      </c>
    </row>
    <row r="7665" spans="1:8" ht="25.05" customHeight="1" x14ac:dyDescent="0.25">
      <c r="A7665" s="2" t="s">
        <v>8</v>
      </c>
      <c r="B7665" s="2" t="str">
        <f>HYPERLINK("http://ts.21cn.com/tousu/show/id/1338667","黑心商家")</f>
        <v>黑心商家</v>
      </c>
      <c r="C7665" s="2" t="s">
        <v>9</v>
      </c>
      <c r="D7665" s="2" t="s">
        <v>10</v>
      </c>
      <c r="E7665" s="2" t="str">
        <f>HYPERLINK("http://ts.21cn.com/tousu/show/id/1338667","http://ts.21cn.com/tousu/show/id/1338667")</f>
        <v>http://ts.21cn.com/tousu/show/id/1338667</v>
      </c>
      <c r="F7665" s="2" t="s">
        <v>11</v>
      </c>
      <c r="G7665" s="2" t="s">
        <v>29093</v>
      </c>
      <c r="H7665" s="2" t="s">
        <v>29094</v>
      </c>
    </row>
    <row r="7666" spans="1:8" ht="25.05" customHeight="1" x14ac:dyDescent="0.25">
      <c r="A7666" s="2" t="s">
        <v>8</v>
      </c>
      <c r="B7666" s="2" t="str">
        <f>HYPERLINK("http://ts.21cn.com/tousu/show/id/1338668","造艺科技扣款")</f>
        <v>造艺科技扣款</v>
      </c>
      <c r="C7666" s="2" t="s">
        <v>34</v>
      </c>
      <c r="D7666" s="2" t="s">
        <v>10</v>
      </c>
      <c r="E7666" s="2" t="str">
        <f>HYPERLINK("http://ts.21cn.com/tousu/show/id/1338668","http://ts.21cn.com/tousu/show/id/1338668")</f>
        <v>http://ts.21cn.com/tousu/show/id/1338668</v>
      </c>
      <c r="F7666" s="2" t="s">
        <v>11</v>
      </c>
      <c r="G7666" s="2" t="s">
        <v>29091</v>
      </c>
      <c r="H7666" s="2" t="s">
        <v>29092</v>
      </c>
    </row>
    <row r="7667" spans="1:8" ht="25.05" customHeight="1" x14ac:dyDescent="0.25">
      <c r="A7667" s="2" t="s">
        <v>8</v>
      </c>
      <c r="B7667" s="2" t="str">
        <f>HYPERLINK("http://ts.21cn.com/tousu/show/id/1338669","钱站高利贷阴阳合同")</f>
        <v>钱站高利贷阴阳合同</v>
      </c>
      <c r="C7667" s="2" t="s">
        <v>9</v>
      </c>
      <c r="D7667" s="2" t="s">
        <v>10</v>
      </c>
      <c r="E7667" s="2" t="str">
        <f>HYPERLINK("http://ts.21cn.com/tousu/show/id/1338669","http://ts.21cn.com/tousu/show/id/1338669")</f>
        <v>http://ts.21cn.com/tousu/show/id/1338669</v>
      </c>
      <c r="F7667" s="2" t="s">
        <v>11</v>
      </c>
      <c r="G7667" s="2" t="s">
        <v>29089</v>
      </c>
      <c r="H7667" s="2" t="s">
        <v>29090</v>
      </c>
    </row>
    <row r="7668" spans="1:8" ht="25.05" customHeight="1" x14ac:dyDescent="0.25">
      <c r="A7668" s="2" t="s">
        <v>8</v>
      </c>
      <c r="B7668" s="2" t="str">
        <f>HYPERLINK("http://ts.21cn.com/tousu/show/id/1338670","树林分期高利贷，砍头息")</f>
        <v>树林分期高利贷，砍头息</v>
      </c>
      <c r="C7668" s="2" t="s">
        <v>9</v>
      </c>
      <c r="D7668" s="2" t="s">
        <v>10</v>
      </c>
      <c r="E7668" s="2" t="str">
        <f>HYPERLINK("http://ts.21cn.com/tousu/show/id/1338670","http://ts.21cn.com/tousu/show/id/1338670")</f>
        <v>http://ts.21cn.com/tousu/show/id/1338670</v>
      </c>
      <c r="F7668" s="2" t="s">
        <v>11</v>
      </c>
      <c r="G7668" s="2" t="s">
        <v>29087</v>
      </c>
      <c r="H7668" s="2" t="s">
        <v>29088</v>
      </c>
    </row>
    <row r="7669" spans="1:8" ht="25.05" customHeight="1" x14ac:dyDescent="0.25">
      <c r="A7669" s="2" t="s">
        <v>8</v>
      </c>
      <c r="B7669" s="2" t="str">
        <f>HYPERLINK("http://ts.21cn.com/tousu/show/id/1338671","催收，直接问家里父母有银行卡")</f>
        <v>催收，直接问家里父母有银行卡</v>
      </c>
      <c r="C7669" s="2" t="s">
        <v>9</v>
      </c>
      <c r="D7669" s="2" t="s">
        <v>10</v>
      </c>
      <c r="E7669" s="2" t="str">
        <f>HYPERLINK("http://ts.21cn.com/tousu/show/id/1338671","http://ts.21cn.com/tousu/show/id/1338671")</f>
        <v>http://ts.21cn.com/tousu/show/id/1338671</v>
      </c>
      <c r="F7669" s="2" t="s">
        <v>11</v>
      </c>
      <c r="G7669" s="2" t="s">
        <v>29085</v>
      </c>
      <c r="H7669" s="2" t="s">
        <v>29086</v>
      </c>
    </row>
    <row r="7670" spans="1:8" ht="25.05" customHeight="1" x14ac:dyDescent="0.25">
      <c r="A7670" s="2" t="s">
        <v>8</v>
      </c>
      <c r="B7670" s="2" t="str">
        <f>HYPERLINK("http://ts.21cn.com/tousu/show/id/1338672","vipjr不给退款霸王条款")</f>
        <v>vipjr不给退款霸王条款</v>
      </c>
      <c r="C7670" s="2" t="s">
        <v>9</v>
      </c>
      <c r="D7670" s="2" t="s">
        <v>10</v>
      </c>
      <c r="E7670" s="2" t="str">
        <f>HYPERLINK("http://ts.21cn.com/tousu/show/id/1338672","http://ts.21cn.com/tousu/show/id/1338672")</f>
        <v>http://ts.21cn.com/tousu/show/id/1338672</v>
      </c>
      <c r="F7670" s="2" t="s">
        <v>11</v>
      </c>
      <c r="G7670" s="2" t="s">
        <v>29083</v>
      </c>
      <c r="H7670" s="2" t="s">
        <v>29084</v>
      </c>
    </row>
    <row r="7671" spans="1:8" ht="25.05" customHeight="1" x14ac:dyDescent="0.25">
      <c r="A7671" s="2" t="s">
        <v>8</v>
      </c>
      <c r="B7671" s="2" t="str">
        <f>HYPERLINK("http://ts.21cn.com/tousu/show/id/1338673","闪银奇异高利贷砍头息，恶意扣款不出具扣费凭证")</f>
        <v>闪银奇异高利贷砍头息，恶意扣款不出具扣费凭证</v>
      </c>
      <c r="C7671" s="2" t="s">
        <v>9</v>
      </c>
      <c r="D7671" s="2" t="s">
        <v>10</v>
      </c>
      <c r="E7671" s="2" t="str">
        <f>HYPERLINK("http://ts.21cn.com/tousu/show/id/1338673","http://ts.21cn.com/tousu/show/id/1338673")</f>
        <v>http://ts.21cn.com/tousu/show/id/1338673</v>
      </c>
      <c r="F7671" s="2" t="s">
        <v>11</v>
      </c>
      <c r="G7671" s="2" t="s">
        <v>29081</v>
      </c>
      <c r="H7671" s="2" t="s">
        <v>29082</v>
      </c>
    </row>
    <row r="7672" spans="1:8" ht="25.05" customHeight="1" x14ac:dyDescent="0.25">
      <c r="A7672" s="2" t="s">
        <v>8</v>
      </c>
      <c r="B7672" s="2" t="str">
        <f>HYPERLINK("http://ts.21cn.com/tousu/show/id/1338674","闪电借款年利率高达150%以上")</f>
        <v>闪电借款年利率高达150%以上</v>
      </c>
      <c r="C7672" s="2" t="s">
        <v>9</v>
      </c>
      <c r="D7672" s="2" t="s">
        <v>10</v>
      </c>
      <c r="E7672" s="2" t="str">
        <f>HYPERLINK("http://ts.21cn.com/tousu/show/id/1338674","http://ts.21cn.com/tousu/show/id/1338674")</f>
        <v>http://ts.21cn.com/tousu/show/id/1338674</v>
      </c>
      <c r="F7672" s="2" t="s">
        <v>11</v>
      </c>
      <c r="G7672" s="2" t="s">
        <v>29079</v>
      </c>
      <c r="H7672" s="2" t="s">
        <v>29080</v>
      </c>
    </row>
    <row r="7673" spans="1:8" ht="25.05" customHeight="1" x14ac:dyDescent="0.25">
      <c r="A7673" s="2" t="s">
        <v>8</v>
      </c>
      <c r="B7673" s="2" t="str">
        <f>HYPERLINK("http://ts.21cn.com/tousu/show/id/1338675","光大银行20点半还给我爸打电话")</f>
        <v>光大银行20点半还给我爸打电话</v>
      </c>
      <c r="C7673" s="2" t="s">
        <v>34</v>
      </c>
      <c r="D7673" s="2" t="s">
        <v>10</v>
      </c>
      <c r="E7673" s="2" t="str">
        <f>HYPERLINK("http://ts.21cn.com/tousu/show/id/1338675","http://ts.21cn.com/tousu/show/id/1338675")</f>
        <v>http://ts.21cn.com/tousu/show/id/1338675</v>
      </c>
      <c r="F7673" s="2" t="s">
        <v>11</v>
      </c>
      <c r="G7673" s="2" t="s">
        <v>29077</v>
      </c>
      <c r="H7673" s="2" t="s">
        <v>29078</v>
      </c>
    </row>
    <row r="7674" spans="1:8" ht="25.05" customHeight="1" x14ac:dyDescent="0.25">
      <c r="A7674" s="2" t="s">
        <v>8</v>
      </c>
      <c r="B7674" s="2" t="str">
        <f>HYPERLINK("http://ts.21cn.com/tousu/show/id/1338676","威胁口气，暴力催收")</f>
        <v>威胁口气，暴力催收</v>
      </c>
      <c r="C7674" s="2" t="s">
        <v>9</v>
      </c>
      <c r="D7674" s="2" t="s">
        <v>10</v>
      </c>
      <c r="E7674" s="2" t="str">
        <f>HYPERLINK("http://ts.21cn.com/tousu/show/id/1338676","http://ts.21cn.com/tousu/show/id/1338676")</f>
        <v>http://ts.21cn.com/tousu/show/id/1338676</v>
      </c>
      <c r="F7674" s="2" t="s">
        <v>11</v>
      </c>
      <c r="G7674" s="2" t="s">
        <v>29075</v>
      </c>
      <c r="H7674" s="2" t="s">
        <v>29076</v>
      </c>
    </row>
    <row r="7675" spans="1:8" ht="25.05" customHeight="1" x14ac:dyDescent="0.25">
      <c r="A7675" s="2" t="s">
        <v>8</v>
      </c>
      <c r="B7675" s="2" t="str">
        <f>HYPERLINK("http://ts.21cn.com/tousu/show/id/1338677","网上购汽车票无法网上退票")</f>
        <v>网上购汽车票无法网上退票</v>
      </c>
      <c r="C7675" s="2" t="s">
        <v>9</v>
      </c>
      <c r="D7675" s="2" t="s">
        <v>10</v>
      </c>
      <c r="E7675" s="2" t="str">
        <f>HYPERLINK("http://ts.21cn.com/tousu/show/id/1338677","http://ts.21cn.com/tousu/show/id/1338677")</f>
        <v>http://ts.21cn.com/tousu/show/id/1338677</v>
      </c>
      <c r="F7675" s="2" t="s">
        <v>11</v>
      </c>
      <c r="G7675" s="2" t="s">
        <v>29073</v>
      </c>
      <c r="H7675" s="2" t="s">
        <v>29074</v>
      </c>
    </row>
    <row r="7676" spans="1:8" ht="25.05" customHeight="1" x14ac:dyDescent="0.25">
      <c r="A7676" s="2" t="s">
        <v>8</v>
      </c>
      <c r="B7676" s="2" t="str">
        <f>HYPERLINK("http://ts.21cn.com/tousu/show/id/1338678","平安银行冒充公检法骚扰第三方")</f>
        <v>平安银行冒充公检法骚扰第三方</v>
      </c>
      <c r="C7676" s="2" t="s">
        <v>9</v>
      </c>
      <c r="D7676" s="2" t="s">
        <v>10</v>
      </c>
      <c r="E7676" s="2" t="str">
        <f>HYPERLINK("http://ts.21cn.com/tousu/show/id/1338678","http://ts.21cn.com/tousu/show/id/1338678")</f>
        <v>http://ts.21cn.com/tousu/show/id/1338678</v>
      </c>
      <c r="F7676" s="2" t="s">
        <v>11</v>
      </c>
      <c r="G7676" s="2" t="s">
        <v>29071</v>
      </c>
      <c r="H7676" s="2" t="s">
        <v>29072</v>
      </c>
    </row>
    <row r="7677" spans="1:8" ht="25.05" customHeight="1" x14ac:dyDescent="0.25">
      <c r="A7677" s="2" t="s">
        <v>8</v>
      </c>
      <c r="B7677" s="2" t="str">
        <f>HYPERLINK("http://ts.21cn.com/tousu/show/id/1338661","存在砍头息")</f>
        <v>存在砍头息</v>
      </c>
      <c r="C7677" s="2" t="s">
        <v>9</v>
      </c>
      <c r="D7677" s="2" t="s">
        <v>10</v>
      </c>
      <c r="E7677" s="2" t="str">
        <f>HYPERLINK("http://ts.21cn.com/tousu/show/id/1338661","http://ts.21cn.com/tousu/show/id/1338661")</f>
        <v>http://ts.21cn.com/tousu/show/id/1338661</v>
      </c>
      <c r="F7677" s="2" t="s">
        <v>11</v>
      </c>
      <c r="G7677" s="2" t="s">
        <v>29069</v>
      </c>
      <c r="H7677" s="2" t="s">
        <v>29070</v>
      </c>
    </row>
    <row r="7678" spans="1:8" ht="25.05" customHeight="1" x14ac:dyDescent="0.25">
      <c r="A7678" s="2" t="s">
        <v>8</v>
      </c>
      <c r="B7678" s="2" t="str">
        <f>HYPERLINK("http://ts.21cn.com/tousu/show/id/1338679","聚富分期恶意扣款")</f>
        <v>聚富分期恶意扣款</v>
      </c>
      <c r="C7678" s="2" t="s">
        <v>9</v>
      </c>
      <c r="D7678" s="2" t="s">
        <v>10</v>
      </c>
      <c r="E7678" s="2" t="str">
        <f>HYPERLINK("http://ts.21cn.com/tousu/show/id/1338679","http://ts.21cn.com/tousu/show/id/1338679")</f>
        <v>http://ts.21cn.com/tousu/show/id/1338679</v>
      </c>
      <c r="F7678" s="2" t="s">
        <v>11</v>
      </c>
      <c r="G7678" s="2" t="s">
        <v>29067</v>
      </c>
      <c r="H7678" s="2" t="s">
        <v>29068</v>
      </c>
    </row>
    <row r="7679" spans="1:8" ht="25.05" customHeight="1" x14ac:dyDescent="0.25">
      <c r="A7679" s="2" t="s">
        <v>8</v>
      </c>
      <c r="B7679" s="2" t="str">
        <f>HYPERLINK("http://ts.21cn.com/tousu/show/id/1338680","高利贷714暴力催收爆通讯录")</f>
        <v>高利贷714暴力催收爆通讯录</v>
      </c>
      <c r="C7679" s="2" t="s">
        <v>9</v>
      </c>
      <c r="D7679" s="2" t="s">
        <v>10</v>
      </c>
      <c r="E7679" s="2" t="str">
        <f>HYPERLINK("http://ts.21cn.com/tousu/show/id/1338680","http://ts.21cn.com/tousu/show/id/1338680")</f>
        <v>http://ts.21cn.com/tousu/show/id/1338680</v>
      </c>
      <c r="F7679" s="2" t="s">
        <v>11</v>
      </c>
      <c r="G7679" s="2" t="s">
        <v>29065</v>
      </c>
      <c r="H7679" s="2" t="s">
        <v>29066</v>
      </c>
    </row>
    <row r="7680" spans="1:8" ht="25.05" customHeight="1" x14ac:dyDescent="0.25">
      <c r="A7680" s="2" t="s">
        <v>8</v>
      </c>
      <c r="B7680" s="2" t="str">
        <f>HYPERLINK("http://ts.21cn.com/tousu/show/id/1338681","互联网金融平台强行扣押本息不予归还")</f>
        <v>互联网金融平台强行扣押本息不予归还</v>
      </c>
      <c r="C7680" s="2" t="s">
        <v>9</v>
      </c>
      <c r="D7680" s="2" t="s">
        <v>10</v>
      </c>
      <c r="E7680" s="2" t="str">
        <f>HYPERLINK("http://ts.21cn.com/tousu/show/id/1338681","http://ts.21cn.com/tousu/show/id/1338681")</f>
        <v>http://ts.21cn.com/tousu/show/id/1338681</v>
      </c>
      <c r="F7680" s="2" t="s">
        <v>11</v>
      </c>
      <c r="G7680" s="2" t="s">
        <v>29063</v>
      </c>
      <c r="H7680" s="2" t="s">
        <v>29064</v>
      </c>
    </row>
    <row r="7681" spans="1:8" ht="25.05" customHeight="1" x14ac:dyDescent="0.25">
      <c r="A7681" s="2" t="s">
        <v>8</v>
      </c>
      <c r="B7681" s="2" t="str">
        <f>HYPERLINK("http://ts.21cn.com/tousu/show/id/1338683","杭州乐客独角兽夸大宣传项目诱导交付高额会员费9800要求退款")</f>
        <v>杭州乐客独角兽夸大宣传项目诱导交付高额会员费9800要求退款</v>
      </c>
      <c r="C7681" s="2" t="s">
        <v>9</v>
      </c>
      <c r="D7681" s="2" t="s">
        <v>10</v>
      </c>
      <c r="E7681" s="2" t="str">
        <f>HYPERLINK("http://ts.21cn.com/tousu/show/id/1338683","http://ts.21cn.com/tousu/show/id/1338683")</f>
        <v>http://ts.21cn.com/tousu/show/id/1338683</v>
      </c>
      <c r="F7681" s="2" t="s">
        <v>11</v>
      </c>
      <c r="G7681" s="2" t="s">
        <v>29061</v>
      </c>
      <c r="H7681" s="2" t="s">
        <v>29062</v>
      </c>
    </row>
    <row r="7682" spans="1:8" ht="25.05" customHeight="1" x14ac:dyDescent="0.25">
      <c r="A7682" s="2" t="s">
        <v>8</v>
      </c>
      <c r="B7682" s="2" t="str">
        <f>HYPERLINK("http://ts.21cn.com/tousu/show/id/1338682","小蛙卡贷违反国家规定")</f>
        <v>小蛙卡贷违反国家规定</v>
      </c>
      <c r="C7682" s="2" t="s">
        <v>9</v>
      </c>
      <c r="D7682" s="2" t="s">
        <v>10</v>
      </c>
      <c r="E7682" s="2" t="str">
        <f>HYPERLINK("http://ts.21cn.com/tousu/show/id/1338682","http://ts.21cn.com/tousu/show/id/1338682")</f>
        <v>http://ts.21cn.com/tousu/show/id/1338682</v>
      </c>
      <c r="F7682" s="2" t="s">
        <v>11</v>
      </c>
      <c r="G7682" s="2" t="s">
        <v>29060</v>
      </c>
      <c r="H7682" s="2" t="s">
        <v>9960</v>
      </c>
    </row>
    <row r="7683" spans="1:8" ht="25.05" customHeight="1" x14ac:dyDescent="0.25">
      <c r="A7683" s="2" t="s">
        <v>8</v>
      </c>
      <c r="B7683" s="2" t="str">
        <f>HYPERLINK("http://ts.21cn.com/tousu/show/id/1338684","广州安舍玩具店违规提供天佑国际博彩平台提供支付通道")</f>
        <v>广州安舍玩具店违规提供天佑国际博彩平台提供支付通道</v>
      </c>
      <c r="C7683" s="2" t="s">
        <v>9</v>
      </c>
      <c r="D7683" s="2" t="s">
        <v>10</v>
      </c>
      <c r="E7683" s="2" t="str">
        <f>HYPERLINK("http://ts.21cn.com/tousu/show/id/1338684","http://ts.21cn.com/tousu/show/id/1338684")</f>
        <v>http://ts.21cn.com/tousu/show/id/1338684</v>
      </c>
      <c r="F7683" s="2" t="s">
        <v>11</v>
      </c>
      <c r="G7683" s="2" t="s">
        <v>29058</v>
      </c>
      <c r="H7683" s="2" t="s">
        <v>29059</v>
      </c>
    </row>
    <row r="7684" spans="1:8" ht="25.05" customHeight="1" x14ac:dyDescent="0.25">
      <c r="A7684" s="2" t="s">
        <v>8</v>
      </c>
      <c r="B7684" s="2" t="str">
        <f>HYPERLINK("http://ts.21cn.com/tousu/show/id/1338686","逾期威胁骚扰")</f>
        <v>逾期威胁骚扰</v>
      </c>
      <c r="C7684" s="2" t="s">
        <v>9</v>
      </c>
      <c r="D7684" s="2" t="s">
        <v>10</v>
      </c>
      <c r="E7684" s="2" t="str">
        <f>HYPERLINK("http://ts.21cn.com/tousu/show/id/1338686","http://ts.21cn.com/tousu/show/id/1338686")</f>
        <v>http://ts.21cn.com/tousu/show/id/1338686</v>
      </c>
      <c r="F7684" s="2" t="s">
        <v>11</v>
      </c>
      <c r="G7684" s="2" t="s">
        <v>29056</v>
      </c>
      <c r="H7684" s="2" t="s">
        <v>29057</v>
      </c>
    </row>
    <row r="7685" spans="1:8" ht="25.05" customHeight="1" x14ac:dyDescent="0.25">
      <c r="A7685" s="2" t="s">
        <v>8</v>
      </c>
      <c r="B7685" s="2" t="str">
        <f>HYPERLINK("http://ts.21cn.com/tousu/show/id/1338687","蚂蚁金服暴力催收")</f>
        <v>蚂蚁金服暴力催收</v>
      </c>
      <c r="C7685" s="2" t="s">
        <v>9</v>
      </c>
      <c r="D7685" s="2" t="s">
        <v>10</v>
      </c>
      <c r="E7685" s="2" t="str">
        <f>HYPERLINK("http://ts.21cn.com/tousu/show/id/1338687","http://ts.21cn.com/tousu/show/id/1338687")</f>
        <v>http://ts.21cn.com/tousu/show/id/1338687</v>
      </c>
      <c r="F7685" s="2" t="s">
        <v>11</v>
      </c>
      <c r="G7685" s="2" t="s">
        <v>29054</v>
      </c>
      <c r="H7685" s="2" t="s">
        <v>29055</v>
      </c>
    </row>
    <row r="7686" spans="1:8" ht="25.05" customHeight="1" x14ac:dyDescent="0.25">
      <c r="A7686" s="2" t="s">
        <v>8</v>
      </c>
      <c r="B7686" s="2" t="str">
        <f>HYPERLINK("http://ts.21cn.com/tousu/show/id/1338688","714高利贷爆通讯录惊吓")</f>
        <v>714高利贷爆通讯录惊吓</v>
      </c>
      <c r="C7686" s="2" t="s">
        <v>9</v>
      </c>
      <c r="D7686" s="2" t="s">
        <v>10</v>
      </c>
      <c r="E7686" s="2" t="str">
        <f>HYPERLINK("http://ts.21cn.com/tousu/show/id/1338688","http://ts.21cn.com/tousu/show/id/1338688")</f>
        <v>http://ts.21cn.com/tousu/show/id/1338688</v>
      </c>
      <c r="F7686" s="2" t="s">
        <v>11</v>
      </c>
      <c r="G7686" s="2" t="s">
        <v>29052</v>
      </c>
      <c r="H7686" s="2" t="s">
        <v>29053</v>
      </c>
    </row>
    <row r="7687" spans="1:8" ht="25.05" customHeight="1" x14ac:dyDescent="0.25">
      <c r="A7687" s="2" t="s">
        <v>8</v>
      </c>
      <c r="B7687" s="2" t="str">
        <f>HYPERLINK("http://ts.21cn.com/tousu/show/id/1338689","私自乱扣费")</f>
        <v>私自乱扣费</v>
      </c>
      <c r="C7687" s="2" t="s">
        <v>9</v>
      </c>
      <c r="D7687" s="2" t="s">
        <v>10</v>
      </c>
      <c r="E7687" s="2" t="str">
        <f>HYPERLINK("http://ts.21cn.com/tousu/show/id/1338689","http://ts.21cn.com/tousu/show/id/1338689")</f>
        <v>http://ts.21cn.com/tousu/show/id/1338689</v>
      </c>
      <c r="F7687" s="2" t="s">
        <v>11</v>
      </c>
      <c r="G7687" s="2" t="s">
        <v>29050</v>
      </c>
      <c r="H7687" s="2" t="s">
        <v>29051</v>
      </c>
    </row>
    <row r="7688" spans="1:8" ht="25.05" customHeight="1" x14ac:dyDescent="0.25">
      <c r="A7688" s="2" t="s">
        <v>8</v>
      </c>
      <c r="B7688" s="2" t="str">
        <f>HYPERLINK("http://ts.21cn.com/tousu/show/id/1338690","中国移动要求用户更改套餐未果，私自掐断用户通化")</f>
        <v>中国移动要求用户更改套餐未果，私自掐断用户通化</v>
      </c>
      <c r="C7688" s="2" t="s">
        <v>9</v>
      </c>
      <c r="D7688" s="2" t="s">
        <v>10</v>
      </c>
      <c r="E7688" s="2" t="str">
        <f>HYPERLINK("http://ts.21cn.com/tousu/show/id/1338690","http://ts.21cn.com/tousu/show/id/1338690")</f>
        <v>http://ts.21cn.com/tousu/show/id/1338690</v>
      </c>
      <c r="F7688" s="2" t="s">
        <v>11</v>
      </c>
      <c r="G7688" s="2" t="s">
        <v>29048</v>
      </c>
      <c r="H7688" s="2" t="s">
        <v>29049</v>
      </c>
    </row>
    <row r="7689" spans="1:8" ht="25.05" customHeight="1" x14ac:dyDescent="0.25">
      <c r="A7689" s="2" t="s">
        <v>8</v>
      </c>
      <c r="B7689" s="2" t="str">
        <f>HYPERLINK("http://ts.21cn.com/tousu/show/id/1338691","小花钱包恶意催收，骚扰通讯录联络人")</f>
        <v>小花钱包恶意催收，骚扰通讯录联络人</v>
      </c>
      <c r="C7689" s="2" t="s">
        <v>9</v>
      </c>
      <c r="D7689" s="2" t="s">
        <v>10</v>
      </c>
      <c r="E7689" s="2" t="str">
        <f>HYPERLINK("http://ts.21cn.com/tousu/show/id/1338691","http://ts.21cn.com/tousu/show/id/1338691")</f>
        <v>http://ts.21cn.com/tousu/show/id/1338691</v>
      </c>
      <c r="F7689" s="2" t="s">
        <v>11</v>
      </c>
      <c r="G7689" s="2" t="s">
        <v>29046</v>
      </c>
      <c r="H7689" s="2" t="s">
        <v>29047</v>
      </c>
    </row>
    <row r="7690" spans="1:8" ht="25.05" customHeight="1" x14ac:dyDescent="0.25">
      <c r="A7690" s="2" t="s">
        <v>8</v>
      </c>
      <c r="B7690" s="2" t="str">
        <f>HYPERLINK("http://ts.21cn.com/tousu/show/id/1338692","交通银行信用卡中心爆打电话")</f>
        <v>交通银行信用卡中心爆打电话</v>
      </c>
      <c r="C7690" s="2" t="s">
        <v>9</v>
      </c>
      <c r="D7690" s="2" t="s">
        <v>10</v>
      </c>
      <c r="E7690" s="2" t="str">
        <f>HYPERLINK("http://ts.21cn.com/tousu/show/id/1338692","http://ts.21cn.com/tousu/show/id/1338692")</f>
        <v>http://ts.21cn.com/tousu/show/id/1338692</v>
      </c>
      <c r="F7690" s="2" t="s">
        <v>11</v>
      </c>
      <c r="G7690" s="2" t="s">
        <v>29044</v>
      </c>
      <c r="H7690" s="2" t="s">
        <v>29045</v>
      </c>
    </row>
    <row r="7691" spans="1:8" ht="25.05" customHeight="1" x14ac:dyDescent="0.25">
      <c r="A7691" s="2" t="s">
        <v>8</v>
      </c>
      <c r="B7691" s="2" t="str">
        <f>HYPERLINK("http://ts.21cn.com/tousu/show/id/1338693","钱站高利贷阴阳合同")</f>
        <v>钱站高利贷阴阳合同</v>
      </c>
      <c r="C7691" s="2" t="s">
        <v>9</v>
      </c>
      <c r="D7691" s="2" t="s">
        <v>10</v>
      </c>
      <c r="E7691" s="2" t="str">
        <f>HYPERLINK("http://ts.21cn.com/tousu/show/id/1338693","http://ts.21cn.com/tousu/show/id/1338693")</f>
        <v>http://ts.21cn.com/tousu/show/id/1338693</v>
      </c>
      <c r="F7691" s="2" t="s">
        <v>11</v>
      </c>
      <c r="G7691" s="2" t="s">
        <v>29042</v>
      </c>
      <c r="H7691" s="2" t="s">
        <v>29043</v>
      </c>
    </row>
    <row r="7692" spans="1:8" ht="25.05" customHeight="1" x14ac:dyDescent="0.25">
      <c r="A7692" s="2" t="s">
        <v>8</v>
      </c>
      <c r="B7692" s="2" t="str">
        <f>HYPERLINK("http://ts.21cn.com/tousu/show/id/1338694","青春宝高利贷，砍头息")</f>
        <v>青春宝高利贷，砍头息</v>
      </c>
      <c r="C7692" s="2" t="s">
        <v>9</v>
      </c>
      <c r="D7692" s="2" t="s">
        <v>10</v>
      </c>
      <c r="E7692" s="2" t="str">
        <f>HYPERLINK("http://ts.21cn.com/tousu/show/id/1338694","http://ts.21cn.com/tousu/show/id/1338694")</f>
        <v>http://ts.21cn.com/tousu/show/id/1338694</v>
      </c>
      <c r="F7692" s="2" t="s">
        <v>11</v>
      </c>
      <c r="G7692" s="2" t="s">
        <v>29040</v>
      </c>
      <c r="H7692" s="2" t="s">
        <v>29041</v>
      </c>
    </row>
    <row r="7693" spans="1:8" ht="25.05" customHeight="1" x14ac:dyDescent="0.25">
      <c r="A7693" s="2" t="s">
        <v>8</v>
      </c>
      <c r="B7693" s="2" t="str">
        <f>HYPERLINK("http://ts.21cn.com/tousu/show/id/1338695","砍头息，高利贷")</f>
        <v>砍头息，高利贷</v>
      </c>
      <c r="C7693" s="2" t="s">
        <v>9</v>
      </c>
      <c r="D7693" s="2" t="s">
        <v>10</v>
      </c>
      <c r="E7693" s="2" t="str">
        <f>HYPERLINK("http://ts.21cn.com/tousu/show/id/1338695","http://ts.21cn.com/tousu/show/id/1338695")</f>
        <v>http://ts.21cn.com/tousu/show/id/1338695</v>
      </c>
      <c r="F7693" s="2" t="s">
        <v>11</v>
      </c>
      <c r="G7693" s="2" t="s">
        <v>29038</v>
      </c>
      <c r="H7693" s="2" t="s">
        <v>29039</v>
      </c>
    </row>
    <row r="7694" spans="1:8" ht="25.05" customHeight="1" x14ac:dyDescent="0.25">
      <c r="A7694" s="2" t="s">
        <v>8</v>
      </c>
      <c r="B7694" s="2" t="str">
        <f>HYPERLINK("http://ts.21cn.com/tousu/show/id/1338696","捷信金融上门催收骚扰")</f>
        <v>捷信金融上门催收骚扰</v>
      </c>
      <c r="C7694" s="2" t="s">
        <v>9</v>
      </c>
      <c r="D7694" s="2" t="s">
        <v>10</v>
      </c>
      <c r="E7694" s="2" t="str">
        <f>HYPERLINK("http://ts.21cn.com/tousu/show/id/1338696","http://ts.21cn.com/tousu/show/id/1338696")</f>
        <v>http://ts.21cn.com/tousu/show/id/1338696</v>
      </c>
      <c r="F7694" s="2" t="s">
        <v>11</v>
      </c>
      <c r="G7694" s="2" t="s">
        <v>29036</v>
      </c>
      <c r="H7694" s="2" t="s">
        <v>29037</v>
      </c>
    </row>
    <row r="7695" spans="1:8" ht="25.05" customHeight="1" x14ac:dyDescent="0.25">
      <c r="A7695" s="2" t="s">
        <v>8</v>
      </c>
      <c r="B7695" s="2" t="str">
        <f>HYPERLINK("http://ts.21cn.com/tousu/show/id/1338697","停止催收")</f>
        <v>停止催收</v>
      </c>
      <c r="C7695" s="2" t="s">
        <v>34</v>
      </c>
      <c r="D7695" s="2" t="s">
        <v>10</v>
      </c>
      <c r="E7695" s="2" t="str">
        <f>HYPERLINK("http://ts.21cn.com/tousu/show/id/1338697","http://ts.21cn.com/tousu/show/id/1338697")</f>
        <v>http://ts.21cn.com/tousu/show/id/1338697</v>
      </c>
      <c r="F7695" s="2" t="s">
        <v>11</v>
      </c>
      <c r="G7695" s="2" t="s">
        <v>29034</v>
      </c>
      <c r="H7695" s="2" t="s">
        <v>29035</v>
      </c>
    </row>
    <row r="7696" spans="1:8" ht="25.05" customHeight="1" x14ac:dyDescent="0.25">
      <c r="A7696" s="2" t="s">
        <v>8</v>
      </c>
      <c r="B7696" s="2" t="str">
        <f>HYPERLINK("http://ts.21cn.com/tousu/show/id/1338698","无信用问题与逾期，被微品花永久停用")</f>
        <v>无信用问题与逾期，被微品花永久停用</v>
      </c>
      <c r="C7696" s="2" t="s">
        <v>9</v>
      </c>
      <c r="D7696" s="2" t="s">
        <v>10</v>
      </c>
      <c r="E7696" s="2" t="str">
        <f>HYPERLINK("http://ts.21cn.com/tousu/show/id/1338698","http://ts.21cn.com/tousu/show/id/1338698")</f>
        <v>http://ts.21cn.com/tousu/show/id/1338698</v>
      </c>
      <c r="F7696" s="2" t="s">
        <v>11</v>
      </c>
      <c r="G7696" s="2" t="s">
        <v>29032</v>
      </c>
      <c r="H7696" s="2" t="s">
        <v>29033</v>
      </c>
    </row>
    <row r="7697" spans="1:8" ht="25.05" customHeight="1" x14ac:dyDescent="0.25">
      <c r="A7697" s="2" t="s">
        <v>8</v>
      </c>
      <c r="B7697" s="2" t="str">
        <f>HYPERLINK("http://ts.21cn.com/tousu/show/id/1338699","淘集集平台欠货款久久不换")</f>
        <v>淘集集平台欠货款久久不换</v>
      </c>
      <c r="C7697" s="2" t="s">
        <v>9</v>
      </c>
      <c r="D7697" s="2" t="s">
        <v>10</v>
      </c>
      <c r="E7697" s="2" t="str">
        <f>HYPERLINK("http://ts.21cn.com/tousu/show/id/1338699","http://ts.21cn.com/tousu/show/id/1338699")</f>
        <v>http://ts.21cn.com/tousu/show/id/1338699</v>
      </c>
      <c r="F7697" s="2" t="s">
        <v>11</v>
      </c>
      <c r="G7697" s="2" t="s">
        <v>29030</v>
      </c>
      <c r="H7697" s="2" t="s">
        <v>29031</v>
      </c>
    </row>
    <row r="7698" spans="1:8" ht="25.05" customHeight="1" x14ac:dyDescent="0.25">
      <c r="A7698" s="2" t="s">
        <v>8</v>
      </c>
      <c r="B7698" s="2" t="str">
        <f>HYPERLINK("http://ts.21cn.com/tousu/show/id/1338700","诱导客服消费")</f>
        <v>诱导客服消费</v>
      </c>
      <c r="C7698" s="2" t="s">
        <v>9</v>
      </c>
      <c r="D7698" s="2" t="s">
        <v>10</v>
      </c>
      <c r="E7698" s="2" t="str">
        <f>HYPERLINK("http://ts.21cn.com/tousu/show/id/1338700","http://ts.21cn.com/tousu/show/id/1338700")</f>
        <v>http://ts.21cn.com/tousu/show/id/1338700</v>
      </c>
      <c r="F7698" s="2" t="s">
        <v>11</v>
      </c>
      <c r="G7698" s="2" t="s">
        <v>29028</v>
      </c>
      <c r="H7698" s="2" t="s">
        <v>29029</v>
      </c>
    </row>
    <row r="7699" spans="1:8" ht="25.05" customHeight="1" x14ac:dyDescent="0.25">
      <c r="A7699" s="2" t="s">
        <v>8</v>
      </c>
      <c r="B7699" s="2" t="str">
        <f>HYPERLINK("http://ts.21cn.com/tousu/show/id/1338702","为网络赌博平台提供付款")</f>
        <v>为网络赌博平台提供付款</v>
      </c>
      <c r="C7699" s="2" t="s">
        <v>9</v>
      </c>
      <c r="D7699" s="2" t="s">
        <v>10</v>
      </c>
      <c r="E7699" s="2" t="str">
        <f>HYPERLINK("http://ts.21cn.com/tousu/show/id/1338702","http://ts.21cn.com/tousu/show/id/1338702")</f>
        <v>http://ts.21cn.com/tousu/show/id/1338702</v>
      </c>
      <c r="F7699" s="2" t="s">
        <v>11</v>
      </c>
      <c r="G7699" s="2" t="s">
        <v>29026</v>
      </c>
      <c r="H7699" s="2" t="s">
        <v>29027</v>
      </c>
    </row>
    <row r="7700" spans="1:8" ht="25.05" customHeight="1" x14ac:dyDescent="0.25">
      <c r="A7700" s="2" t="s">
        <v>8</v>
      </c>
      <c r="B7700" s="2" t="str">
        <f>HYPERLINK("http://ts.21cn.com/tousu/show/id/1338685","睿旺蜀网络科技有限公司在用户不知道的情况下恶意扣款198元，情节十分恶劣，请求全额退款，道歉。")</f>
        <v>睿旺蜀网络科技有限公司在用户不知道的情况下恶意扣款198元，情节十分恶劣，请求全额退款，道歉。</v>
      </c>
      <c r="C7700" s="2" t="s">
        <v>34</v>
      </c>
      <c r="D7700" s="2" t="s">
        <v>10</v>
      </c>
      <c r="E7700" s="2" t="str">
        <f>HYPERLINK("http://ts.21cn.com/tousu/show/id/1338685","http://ts.21cn.com/tousu/show/id/1338685")</f>
        <v>http://ts.21cn.com/tousu/show/id/1338685</v>
      </c>
      <c r="F7700" s="2" t="s">
        <v>11</v>
      </c>
      <c r="G7700" s="2" t="s">
        <v>29024</v>
      </c>
      <c r="H7700" s="2" t="s">
        <v>29025</v>
      </c>
    </row>
    <row r="7701" spans="1:8" ht="25.05" customHeight="1" x14ac:dyDescent="0.25">
      <c r="A7701" s="2" t="s">
        <v>8</v>
      </c>
      <c r="B7701" s="2" t="str">
        <f>HYPERLINK("http://ts.21cn.com/tousu/show/id/1338701","钱站PB短期借贷项目，高利贷，阴阳合同。")</f>
        <v>钱站PB短期借贷项目，高利贷，阴阳合同。</v>
      </c>
      <c r="C7701" s="2" t="s">
        <v>9</v>
      </c>
      <c r="D7701" s="2" t="s">
        <v>10</v>
      </c>
      <c r="E7701" s="2" t="str">
        <f>HYPERLINK("http://ts.21cn.com/tousu/show/id/1338701","http://ts.21cn.com/tousu/show/id/1338701")</f>
        <v>http://ts.21cn.com/tousu/show/id/1338701</v>
      </c>
      <c r="F7701" s="2" t="s">
        <v>11</v>
      </c>
      <c r="G7701" s="2" t="s">
        <v>29022</v>
      </c>
      <c r="H7701" s="2" t="s">
        <v>29023</v>
      </c>
    </row>
    <row r="7702" spans="1:8" ht="25.05" customHeight="1" x14ac:dyDescent="0.25">
      <c r="A7702" s="2" t="s">
        <v>8</v>
      </c>
      <c r="B7702" s="2" t="str">
        <f>HYPERLINK("http://ts.21cn.com/tousu/show/id/1338703","无任何信用问题与逾期，被唯品花无故停用")</f>
        <v>无任何信用问题与逾期，被唯品花无故停用</v>
      </c>
      <c r="C7702" s="2" t="s">
        <v>9</v>
      </c>
      <c r="D7702" s="2" t="s">
        <v>10</v>
      </c>
      <c r="E7702" s="2" t="str">
        <f>HYPERLINK("http://ts.21cn.com/tousu/show/id/1338703","http://ts.21cn.com/tousu/show/id/1338703")</f>
        <v>http://ts.21cn.com/tousu/show/id/1338703</v>
      </c>
      <c r="F7702" s="2" t="s">
        <v>11</v>
      </c>
      <c r="G7702" s="2" t="s">
        <v>29020</v>
      </c>
      <c r="H7702" s="2" t="s">
        <v>29021</v>
      </c>
    </row>
    <row r="7703" spans="1:8" ht="25.05" customHeight="1" x14ac:dyDescent="0.25">
      <c r="A7703" s="2" t="s">
        <v>8</v>
      </c>
      <c r="B7703" s="2" t="str">
        <f>HYPERLINK("http://ts.21cn.com/tousu/show/id/1338705","为网络赌博平台提供充值窗口")</f>
        <v>为网络赌博平台提供充值窗口</v>
      </c>
      <c r="C7703" s="2" t="s">
        <v>9</v>
      </c>
      <c r="D7703" s="2" t="s">
        <v>10</v>
      </c>
      <c r="E7703" s="2" t="str">
        <f>HYPERLINK("http://ts.21cn.com/tousu/show/id/1338705","http://ts.21cn.com/tousu/show/id/1338705")</f>
        <v>http://ts.21cn.com/tousu/show/id/1338705</v>
      </c>
      <c r="F7703" s="2" t="s">
        <v>11</v>
      </c>
      <c r="G7703" s="2" t="s">
        <v>29018</v>
      </c>
      <c r="H7703" s="2" t="s">
        <v>29019</v>
      </c>
    </row>
    <row r="7704" spans="1:8" ht="25.05" customHeight="1" x14ac:dyDescent="0.25">
      <c r="A7704" s="2" t="s">
        <v>8</v>
      </c>
      <c r="B7704" s="2" t="str">
        <f>HYPERLINK("http://ts.21cn.com/tousu/show/id/1338706","拍拍贷高额逾期费，违背协商还款时间暴力催收")</f>
        <v>拍拍贷高额逾期费，违背协商还款时间暴力催收</v>
      </c>
      <c r="C7704" s="2" t="s">
        <v>9</v>
      </c>
      <c r="D7704" s="2" t="s">
        <v>10</v>
      </c>
      <c r="E7704" s="2" t="str">
        <f>HYPERLINK("http://ts.21cn.com/tousu/show/id/1338706","http://ts.21cn.com/tousu/show/id/1338706")</f>
        <v>http://ts.21cn.com/tousu/show/id/1338706</v>
      </c>
      <c r="F7704" s="2" t="s">
        <v>11</v>
      </c>
      <c r="G7704" s="2" t="s">
        <v>29016</v>
      </c>
      <c r="H7704" s="2" t="s">
        <v>29017</v>
      </c>
    </row>
    <row r="7705" spans="1:8" ht="25.05" customHeight="1" x14ac:dyDescent="0.25">
      <c r="A7705" s="2" t="s">
        <v>8</v>
      </c>
      <c r="B7705" s="2" t="str">
        <f>HYPERLINK("http://ts.21cn.com/tousu/show/id/1338707","饿了吗外卖超时一个小时不给处理结果")</f>
        <v>饿了吗外卖超时一个小时不给处理结果</v>
      </c>
      <c r="C7705" s="2" t="s">
        <v>9</v>
      </c>
      <c r="D7705" s="2" t="s">
        <v>10</v>
      </c>
      <c r="E7705" s="2" t="str">
        <f>HYPERLINK("http://ts.21cn.com/tousu/show/id/1338707","http://ts.21cn.com/tousu/show/id/1338707")</f>
        <v>http://ts.21cn.com/tousu/show/id/1338707</v>
      </c>
      <c r="F7705" s="2" t="s">
        <v>11</v>
      </c>
      <c r="G7705" s="2" t="s">
        <v>29014</v>
      </c>
      <c r="H7705" s="2" t="s">
        <v>29015</v>
      </c>
    </row>
    <row r="7706" spans="1:8" ht="25.05" customHeight="1" x14ac:dyDescent="0.25">
      <c r="A7706" s="2" t="s">
        <v>8</v>
      </c>
      <c r="B7706" s="2" t="str">
        <f>HYPERLINK("http://ts.21cn.com/tousu/show/id/1338708","51人品贷变相砍头息，利息超36%，拒不协商，骚扰联系人")</f>
        <v>51人品贷变相砍头息，利息超36%，拒不协商，骚扰联系人</v>
      </c>
      <c r="C7706" s="2" t="s">
        <v>9</v>
      </c>
      <c r="D7706" s="2" t="s">
        <v>10</v>
      </c>
      <c r="E7706" s="2" t="str">
        <f>HYPERLINK("http://ts.21cn.com/tousu/show/id/1338708","http://ts.21cn.com/tousu/show/id/1338708")</f>
        <v>http://ts.21cn.com/tousu/show/id/1338708</v>
      </c>
      <c r="F7706" s="2" t="s">
        <v>11</v>
      </c>
      <c r="G7706" s="2" t="s">
        <v>29012</v>
      </c>
      <c r="H7706" s="2" t="s">
        <v>29013</v>
      </c>
    </row>
    <row r="7707" spans="1:8" ht="25.05" customHeight="1" x14ac:dyDescent="0.25">
      <c r="A7707" s="2" t="s">
        <v>8</v>
      </c>
      <c r="B7707" s="2" t="str">
        <f>HYPERLINK("http://ts.21cn.com/tousu/show/id/1338709","嗨包多次催已还网贷")</f>
        <v>嗨包多次催已还网贷</v>
      </c>
      <c r="C7707" s="2" t="s">
        <v>34</v>
      </c>
      <c r="D7707" s="2" t="s">
        <v>10</v>
      </c>
      <c r="E7707" s="2" t="str">
        <f>HYPERLINK("http://ts.21cn.com/tousu/show/id/1338709","http://ts.21cn.com/tousu/show/id/1338709")</f>
        <v>http://ts.21cn.com/tousu/show/id/1338709</v>
      </c>
      <c r="F7707" s="2" t="s">
        <v>11</v>
      </c>
      <c r="G7707" s="2" t="s">
        <v>29010</v>
      </c>
      <c r="H7707" s="2" t="s">
        <v>29011</v>
      </c>
    </row>
    <row r="7708" spans="1:8" ht="25.05" customHeight="1" x14ac:dyDescent="0.25">
      <c r="A7708" s="2" t="s">
        <v>8</v>
      </c>
      <c r="B7708" s="2" t="str">
        <f>HYPERLINK("http://ts.21cn.com/tousu/show/id/1338710","充值ETC钱包 发现自己是记账卡 也用不了充值的钱无法退款")</f>
        <v>充值ETC钱包 发现自己是记账卡 也用不了充值的钱无法退款</v>
      </c>
      <c r="C7708" s="2" t="s">
        <v>34</v>
      </c>
      <c r="D7708" s="2" t="s">
        <v>10</v>
      </c>
      <c r="E7708" s="2" t="str">
        <f>HYPERLINK("http://ts.21cn.com/tousu/show/id/1338710","http://ts.21cn.com/tousu/show/id/1338710")</f>
        <v>http://ts.21cn.com/tousu/show/id/1338710</v>
      </c>
      <c r="F7708" s="2" t="s">
        <v>11</v>
      </c>
      <c r="G7708" s="2" t="s">
        <v>29008</v>
      </c>
      <c r="H7708" s="2" t="s">
        <v>29009</v>
      </c>
    </row>
    <row r="7709" spans="1:8" ht="25.05" customHeight="1" x14ac:dyDescent="0.25">
      <c r="A7709" s="2" t="s">
        <v>8</v>
      </c>
      <c r="B7709" s="2" t="str">
        <f>HYPERLINK("http://ts.21cn.com/tousu/show/id/1338711","云闪付提供给网络博彩充值入口")</f>
        <v>云闪付提供给网络博彩充值入口</v>
      </c>
      <c r="C7709" s="2" t="s">
        <v>34</v>
      </c>
      <c r="D7709" s="2" t="s">
        <v>10</v>
      </c>
      <c r="E7709" s="2" t="str">
        <f>HYPERLINK("http://ts.21cn.com/tousu/show/id/1338711","http://ts.21cn.com/tousu/show/id/1338711")</f>
        <v>http://ts.21cn.com/tousu/show/id/1338711</v>
      </c>
      <c r="F7709" s="2" t="s">
        <v>11</v>
      </c>
      <c r="G7709" s="2" t="s">
        <v>29006</v>
      </c>
      <c r="H7709" s="2" t="s">
        <v>29007</v>
      </c>
    </row>
    <row r="7710" spans="1:8" ht="25.05" customHeight="1" x14ac:dyDescent="0.25">
      <c r="A7710" s="2" t="s">
        <v>8</v>
      </c>
      <c r="B7710" s="2" t="str">
        <f>HYPERLINK("http://ts.21cn.com/tousu/show/id/1338712","浦发银行外包骚扰辱骂")</f>
        <v>浦发银行外包骚扰辱骂</v>
      </c>
      <c r="C7710" s="2" t="s">
        <v>9</v>
      </c>
      <c r="D7710" s="2" t="s">
        <v>10</v>
      </c>
      <c r="E7710" s="2" t="str">
        <f>HYPERLINK("http://ts.21cn.com/tousu/show/id/1338712","http://ts.21cn.com/tousu/show/id/1338712")</f>
        <v>http://ts.21cn.com/tousu/show/id/1338712</v>
      </c>
      <c r="F7710" s="2" t="s">
        <v>11</v>
      </c>
      <c r="G7710" s="2" t="s">
        <v>29004</v>
      </c>
      <c r="H7710" s="2" t="s">
        <v>29005</v>
      </c>
    </row>
    <row r="7711" spans="1:8" ht="25.05" customHeight="1" x14ac:dyDescent="0.25">
      <c r="A7711" s="2" t="s">
        <v>8</v>
      </c>
      <c r="B7711" s="2" t="str">
        <f>HYPERLINK("http://ts.21cn.com/tousu/show/id/1338714","为网络赌博平台提供充值窗口")</f>
        <v>为网络赌博平台提供充值窗口</v>
      </c>
      <c r="C7711" s="2" t="s">
        <v>9</v>
      </c>
      <c r="D7711" s="2" t="s">
        <v>10</v>
      </c>
      <c r="E7711" s="2" t="str">
        <f>HYPERLINK("http://ts.21cn.com/tousu/show/id/1338714","http://ts.21cn.com/tousu/show/id/1338714")</f>
        <v>http://ts.21cn.com/tousu/show/id/1338714</v>
      </c>
      <c r="F7711" s="2" t="s">
        <v>11</v>
      </c>
      <c r="G7711" s="2" t="s">
        <v>29002</v>
      </c>
      <c r="H7711" s="2" t="s">
        <v>29003</v>
      </c>
    </row>
    <row r="7712" spans="1:8" ht="25.05" customHeight="1" x14ac:dyDescent="0.25">
      <c r="A7712" s="2" t="s">
        <v>8</v>
      </c>
      <c r="B7712" s="2" t="str">
        <f>HYPERLINK("http://ts.21cn.com/tousu/show/id/1338715","暴力催收，侵犯个人隐私")</f>
        <v>暴力催收，侵犯个人隐私</v>
      </c>
      <c r="C7712" s="2" t="s">
        <v>9</v>
      </c>
      <c r="D7712" s="2" t="s">
        <v>10</v>
      </c>
      <c r="E7712" s="2" t="str">
        <f>HYPERLINK("http://ts.21cn.com/tousu/show/id/1338715","http://ts.21cn.com/tousu/show/id/1338715")</f>
        <v>http://ts.21cn.com/tousu/show/id/1338715</v>
      </c>
      <c r="F7712" s="2" t="s">
        <v>11</v>
      </c>
      <c r="G7712" s="2" t="s">
        <v>29000</v>
      </c>
      <c r="H7712" s="2" t="s">
        <v>29001</v>
      </c>
    </row>
    <row r="7713" spans="1:8" ht="25.05" customHeight="1" x14ac:dyDescent="0.25">
      <c r="A7713" s="2" t="s">
        <v>8</v>
      </c>
      <c r="B7713" s="2" t="str">
        <f>HYPERLINK("http://ts.21cn.com/tousu/show/id/1338717","希望淘宝撤销或者开申请入口")</f>
        <v>希望淘宝撤销或者开申请入口</v>
      </c>
      <c r="C7713" s="2" t="s">
        <v>34</v>
      </c>
      <c r="D7713" s="2" t="s">
        <v>10</v>
      </c>
      <c r="E7713" s="2" t="str">
        <f>HYPERLINK("http://ts.21cn.com/tousu/show/id/1338717","http://ts.21cn.com/tousu/show/id/1338717")</f>
        <v>http://ts.21cn.com/tousu/show/id/1338717</v>
      </c>
      <c r="F7713" s="2" t="s">
        <v>11</v>
      </c>
      <c r="G7713" s="2" t="s">
        <v>28997</v>
      </c>
      <c r="H7713" s="2" t="s">
        <v>28998</v>
      </c>
    </row>
    <row r="7714" spans="1:8" ht="25.05" customHeight="1" x14ac:dyDescent="0.25">
      <c r="A7714" s="2" t="s">
        <v>8</v>
      </c>
      <c r="B7714" s="2" t="str">
        <f>HYPERLINK("http://ts.21cn.com/tousu/show/id/1338716","平安普惠不到还款日期提前电话骚扰")</f>
        <v>平安普惠不到还款日期提前电话骚扰</v>
      </c>
      <c r="C7714" s="2" t="s">
        <v>9</v>
      </c>
      <c r="D7714" s="2" t="s">
        <v>10</v>
      </c>
      <c r="E7714" s="2" t="str">
        <f>HYPERLINK("http://ts.21cn.com/tousu/show/id/1338716","http://ts.21cn.com/tousu/show/id/1338716")</f>
        <v>http://ts.21cn.com/tousu/show/id/1338716</v>
      </c>
      <c r="F7714" s="2" t="s">
        <v>11</v>
      </c>
      <c r="G7714" s="2" t="s">
        <v>28997</v>
      </c>
      <c r="H7714" s="2" t="s">
        <v>28999</v>
      </c>
    </row>
    <row r="7715" spans="1:8" ht="25.05" customHeight="1" x14ac:dyDescent="0.25">
      <c r="A7715" s="2" t="s">
        <v>8</v>
      </c>
      <c r="B7715" s="2" t="str">
        <f>HYPERLINK("http://ts.21cn.com/tousu/show/id/1338718","捷信高利贷")</f>
        <v>捷信高利贷</v>
      </c>
      <c r="C7715" s="2" t="s">
        <v>9</v>
      </c>
      <c r="D7715" s="2" t="s">
        <v>10</v>
      </c>
      <c r="E7715" s="2" t="str">
        <f>HYPERLINK("http://ts.21cn.com/tousu/show/id/1338718","http://ts.21cn.com/tousu/show/id/1338718")</f>
        <v>http://ts.21cn.com/tousu/show/id/1338718</v>
      </c>
      <c r="F7715" s="2" t="s">
        <v>11</v>
      </c>
      <c r="G7715" s="2" t="s">
        <v>28995</v>
      </c>
      <c r="H7715" s="2" t="s">
        <v>28996</v>
      </c>
    </row>
    <row r="7716" spans="1:8" ht="25.05" customHeight="1" x14ac:dyDescent="0.25">
      <c r="A7716" s="2" t="s">
        <v>8</v>
      </c>
      <c r="B7716" s="2" t="str">
        <f>HYPERLINK("http://ts.21cn.com/tousu/show/id/1338721","发送虚假信息")</f>
        <v>发送虚假信息</v>
      </c>
      <c r="C7716" s="2" t="s">
        <v>9</v>
      </c>
      <c r="D7716" s="2" t="s">
        <v>10</v>
      </c>
      <c r="E7716" s="2" t="str">
        <f>HYPERLINK("http://ts.21cn.com/tousu/show/id/1338721","http://ts.21cn.com/tousu/show/id/1338721")</f>
        <v>http://ts.21cn.com/tousu/show/id/1338721</v>
      </c>
      <c r="F7716" s="2" t="s">
        <v>11</v>
      </c>
      <c r="G7716" s="2" t="s">
        <v>28993</v>
      </c>
      <c r="H7716" s="2" t="s">
        <v>28994</v>
      </c>
    </row>
    <row r="7717" spans="1:8" ht="25.05" customHeight="1" x14ac:dyDescent="0.25">
      <c r="A7717" s="2" t="s">
        <v>8</v>
      </c>
      <c r="B7717" s="2" t="str">
        <f>HYPERLINK("http://ts.21cn.com/tousu/show/id/1338720","德清边际信息科技有限公司")</f>
        <v>德清边际信息科技有限公司</v>
      </c>
      <c r="C7717" s="2" t="s">
        <v>9</v>
      </c>
      <c r="D7717" s="2" t="s">
        <v>10</v>
      </c>
      <c r="E7717" s="2" t="str">
        <f>HYPERLINK("http://ts.21cn.com/tousu/show/id/1338720","http://ts.21cn.com/tousu/show/id/1338720")</f>
        <v>http://ts.21cn.com/tousu/show/id/1338720</v>
      </c>
      <c r="F7717" s="2" t="s">
        <v>11</v>
      </c>
      <c r="G7717" s="2" t="s">
        <v>28991</v>
      </c>
      <c r="H7717" s="2" t="s">
        <v>28992</v>
      </c>
    </row>
    <row r="7718" spans="1:8" ht="25.05" customHeight="1" x14ac:dyDescent="0.25">
      <c r="A7718" s="2" t="s">
        <v>8</v>
      </c>
      <c r="B7718" s="2" t="str">
        <f>HYPERLINK("http://ts.21cn.com/tousu/show/id/1338725","为高利贷提供借款平台")</f>
        <v>为高利贷提供借款平台</v>
      </c>
      <c r="C7718" s="2" t="s">
        <v>9</v>
      </c>
      <c r="D7718" s="2" t="s">
        <v>10</v>
      </c>
      <c r="E7718" s="2" t="str">
        <f>HYPERLINK("http://ts.21cn.com/tousu/show/id/1338725","http://ts.21cn.com/tousu/show/id/1338725")</f>
        <v>http://ts.21cn.com/tousu/show/id/1338725</v>
      </c>
      <c r="F7718" s="2" t="s">
        <v>11</v>
      </c>
      <c r="G7718" s="2" t="s">
        <v>28989</v>
      </c>
      <c r="H7718" s="2" t="s">
        <v>28990</v>
      </c>
    </row>
    <row r="7719" spans="1:8" ht="25.05" customHeight="1" x14ac:dyDescent="0.25">
      <c r="A7719" s="2" t="s">
        <v>8</v>
      </c>
      <c r="B7719" s="2" t="str">
        <f>HYPERLINK("http://ts.21cn.com/tousu/show/id/1338724","玖富万卡提前结清本金加利息后多出另外一比账单")</f>
        <v>玖富万卡提前结清本金加利息后多出另外一比账单</v>
      </c>
      <c r="C7719" s="2" t="s">
        <v>34</v>
      </c>
      <c r="D7719" s="2" t="s">
        <v>10</v>
      </c>
      <c r="E7719" s="2" t="str">
        <f>HYPERLINK("http://ts.21cn.com/tousu/show/id/1338724","http://ts.21cn.com/tousu/show/id/1338724")</f>
        <v>http://ts.21cn.com/tousu/show/id/1338724</v>
      </c>
      <c r="F7719" s="2" t="s">
        <v>11</v>
      </c>
      <c r="G7719" s="2" t="s">
        <v>28987</v>
      </c>
      <c r="H7719" s="2" t="s">
        <v>28988</v>
      </c>
    </row>
    <row r="7720" spans="1:8" ht="25.05" customHeight="1" x14ac:dyDescent="0.25">
      <c r="A7720" s="2" t="s">
        <v>8</v>
      </c>
      <c r="B7720" s="2" t="str">
        <f>HYPERLINK("http://ts.21cn.com/tousu/show/id/1338726","不公平的对待")</f>
        <v>不公平的对待</v>
      </c>
      <c r="C7720" s="2" t="s">
        <v>9</v>
      </c>
      <c r="D7720" s="2" t="s">
        <v>10</v>
      </c>
      <c r="E7720" s="2" t="str">
        <f>HYPERLINK("http://ts.21cn.com/tousu/show/id/1338726","http://ts.21cn.com/tousu/show/id/1338726")</f>
        <v>http://ts.21cn.com/tousu/show/id/1338726</v>
      </c>
      <c r="F7720" s="2" t="s">
        <v>11</v>
      </c>
      <c r="G7720" s="2" t="s">
        <v>28985</v>
      </c>
      <c r="H7720" s="2" t="s">
        <v>28986</v>
      </c>
    </row>
    <row r="7721" spans="1:8" ht="25.05" customHeight="1" x14ac:dyDescent="0.25">
      <c r="A7721" s="2" t="s">
        <v>8</v>
      </c>
      <c r="B7721" s="2" t="str">
        <f>HYPERLINK("http://ts.21cn.com/tousu/show/id/1338727","淘宝C店买到二手苹果电脑，淘宝官方客服要求苹果出具根本不存在的证明才肯退货")</f>
        <v>淘宝C店买到二手苹果电脑，淘宝官方客服要求苹果出具根本不存在的证明才肯退货</v>
      </c>
      <c r="C7721" s="2" t="s">
        <v>9</v>
      </c>
      <c r="D7721" s="2" t="s">
        <v>10</v>
      </c>
      <c r="E7721" s="2" t="str">
        <f>HYPERLINK("http://ts.21cn.com/tousu/show/id/1338727","http://ts.21cn.com/tousu/show/id/1338727")</f>
        <v>http://ts.21cn.com/tousu/show/id/1338727</v>
      </c>
      <c r="F7721" s="2" t="s">
        <v>11</v>
      </c>
      <c r="G7721" s="2" t="s">
        <v>28983</v>
      </c>
      <c r="H7721" s="2" t="s">
        <v>28984</v>
      </c>
    </row>
    <row r="7722" spans="1:8" ht="25.05" customHeight="1" x14ac:dyDescent="0.25">
      <c r="A7722" s="2" t="s">
        <v>8</v>
      </c>
      <c r="B7722" s="2" t="str">
        <f>HYPERLINK("http://ts.21cn.com/tousu/show/id/1338728","要求开通会员，才能授权提现金额，不开通会员无法提现，没有使用申请的金额却要每个月都还款！客服一直存在欺诈行为！")</f>
        <v>要求开通会员，才能授权提现金额，不开通会员无法提现，没有使用申请的金额却要每个月都还款！客服一直存在欺诈行为！</v>
      </c>
      <c r="C7722" s="2" t="s">
        <v>9</v>
      </c>
      <c r="D7722" s="2" t="s">
        <v>10</v>
      </c>
      <c r="E7722" s="2" t="str">
        <f>HYPERLINK("http://ts.21cn.com/tousu/show/id/1338728","http://ts.21cn.com/tousu/show/id/1338728")</f>
        <v>http://ts.21cn.com/tousu/show/id/1338728</v>
      </c>
      <c r="F7722" s="2" t="s">
        <v>11</v>
      </c>
      <c r="G7722" s="2" t="s">
        <v>28981</v>
      </c>
      <c r="H7722" s="2" t="s">
        <v>28982</v>
      </c>
    </row>
    <row r="7723" spans="1:8" ht="25.05" customHeight="1" x14ac:dyDescent="0.25">
      <c r="A7723" s="2" t="s">
        <v>8</v>
      </c>
      <c r="B7723" s="2" t="str">
        <f>HYPERLINK("http://ts.21cn.com/tousu/show/id/1338723","要求退款")</f>
        <v>要求退款</v>
      </c>
      <c r="C7723" s="2" t="s">
        <v>9</v>
      </c>
      <c r="D7723" s="2" t="s">
        <v>10</v>
      </c>
      <c r="E7723" s="2" t="str">
        <f>HYPERLINK("http://ts.21cn.com/tousu/show/id/1338723","http://ts.21cn.com/tousu/show/id/1338723")</f>
        <v>http://ts.21cn.com/tousu/show/id/1338723</v>
      </c>
      <c r="F7723" s="2" t="s">
        <v>11</v>
      </c>
      <c r="G7723" s="2" t="s">
        <v>28979</v>
      </c>
      <c r="H7723" s="2" t="s">
        <v>28980</v>
      </c>
    </row>
    <row r="7724" spans="1:8" ht="25.05" customHeight="1" x14ac:dyDescent="0.25">
      <c r="A7724" s="2" t="s">
        <v>8</v>
      </c>
      <c r="B7724" s="2" t="str">
        <f>HYPERLINK("http://ts.21cn.com/tousu/show/id/1338729","智行app未抢到票就扣款")</f>
        <v>智行app未抢到票就扣款</v>
      </c>
      <c r="C7724" s="2" t="s">
        <v>34</v>
      </c>
      <c r="D7724" s="2" t="s">
        <v>10</v>
      </c>
      <c r="E7724" s="2" t="str">
        <f>HYPERLINK("http://ts.21cn.com/tousu/show/id/1338729","http://ts.21cn.com/tousu/show/id/1338729")</f>
        <v>http://ts.21cn.com/tousu/show/id/1338729</v>
      </c>
      <c r="F7724" s="2" t="s">
        <v>11</v>
      </c>
      <c r="G7724" s="2" t="s">
        <v>28977</v>
      </c>
      <c r="H7724" s="2" t="s">
        <v>28978</v>
      </c>
    </row>
    <row r="7725" spans="1:8" ht="25.05" customHeight="1" x14ac:dyDescent="0.25">
      <c r="A7725" s="2" t="s">
        <v>8</v>
      </c>
      <c r="B7725" s="2" t="str">
        <f>HYPERLINK("http://ts.21cn.com/tousu/show/id/1338730","欺诈变相砍头息")</f>
        <v>欺诈变相砍头息</v>
      </c>
      <c r="C7725" s="2" t="s">
        <v>9</v>
      </c>
      <c r="D7725" s="2" t="s">
        <v>10</v>
      </c>
      <c r="E7725" s="2" t="str">
        <f>HYPERLINK("http://ts.21cn.com/tousu/show/id/1338730","http://ts.21cn.com/tousu/show/id/1338730")</f>
        <v>http://ts.21cn.com/tousu/show/id/1338730</v>
      </c>
      <c r="F7725" s="2" t="s">
        <v>11</v>
      </c>
      <c r="G7725" s="2" t="s">
        <v>28975</v>
      </c>
      <c r="H7725" s="2" t="s">
        <v>28976</v>
      </c>
    </row>
    <row r="7726" spans="1:8" ht="25.05" customHeight="1" x14ac:dyDescent="0.25">
      <c r="A7726" s="2" t="s">
        <v>8</v>
      </c>
      <c r="B7726" s="2" t="str">
        <f>HYPERLINK("http://ts.21cn.com/tousu/show/id/1338731","OPPO官方合作游戏公司恶意扣费")</f>
        <v>OPPO官方合作游戏公司恶意扣费</v>
      </c>
      <c r="C7726" s="2" t="s">
        <v>9</v>
      </c>
      <c r="D7726" s="2" t="s">
        <v>10</v>
      </c>
      <c r="E7726" s="2" t="str">
        <f>HYPERLINK("http://ts.21cn.com/tousu/show/id/1338731","http://ts.21cn.com/tousu/show/id/1338731")</f>
        <v>http://ts.21cn.com/tousu/show/id/1338731</v>
      </c>
      <c r="F7726" s="2" t="s">
        <v>11</v>
      </c>
      <c r="G7726" s="2" t="s">
        <v>28973</v>
      </c>
      <c r="H7726" s="2" t="s">
        <v>28974</v>
      </c>
    </row>
    <row r="7727" spans="1:8" ht="25.05" customHeight="1" x14ac:dyDescent="0.25">
      <c r="A7727" s="2" t="s">
        <v>8</v>
      </c>
      <c r="B7727" s="2" t="str">
        <f>HYPERLINK("http://ts.21cn.com/tousu/show/id/1338732","投诉百事普惠，造艺网络技术有限公司乱扣费")</f>
        <v>投诉百事普惠，造艺网络技术有限公司乱扣费</v>
      </c>
      <c r="C7727" s="2" t="s">
        <v>9</v>
      </c>
      <c r="D7727" s="2" t="s">
        <v>10</v>
      </c>
      <c r="E7727" s="2" t="str">
        <f>HYPERLINK("http://ts.21cn.com/tousu/show/id/1338732","http://ts.21cn.com/tousu/show/id/1338732")</f>
        <v>http://ts.21cn.com/tousu/show/id/1338732</v>
      </c>
      <c r="F7727" s="2" t="s">
        <v>11</v>
      </c>
      <c r="G7727" s="2" t="s">
        <v>28971</v>
      </c>
      <c r="H7727" s="2" t="s">
        <v>28972</v>
      </c>
    </row>
    <row r="7728" spans="1:8" ht="25.05" customHeight="1" x14ac:dyDescent="0.25">
      <c r="A7728" s="2" t="s">
        <v>8</v>
      </c>
      <c r="B7728" s="2" t="str">
        <f>HYPERLINK("http://ts.21cn.com/tousu/show/id/1338734","向第三方发送信息透露金额")</f>
        <v>向第三方发送信息透露金额</v>
      </c>
      <c r="C7728" s="2" t="s">
        <v>9</v>
      </c>
      <c r="D7728" s="2" t="s">
        <v>10</v>
      </c>
      <c r="E7728" s="2" t="str">
        <f>HYPERLINK("http://ts.21cn.com/tousu/show/id/1338734","http://ts.21cn.com/tousu/show/id/1338734")</f>
        <v>http://ts.21cn.com/tousu/show/id/1338734</v>
      </c>
      <c r="F7728" s="2" t="s">
        <v>11</v>
      </c>
      <c r="G7728" s="2" t="s">
        <v>28969</v>
      </c>
      <c r="H7728" s="2" t="s">
        <v>28970</v>
      </c>
    </row>
    <row r="7729" spans="1:8" ht="25.05" customHeight="1" x14ac:dyDescent="0.25">
      <c r="A7729" s="2" t="s">
        <v>8</v>
      </c>
      <c r="B7729" s="2" t="str">
        <f>HYPERLINK("http://ts.21cn.com/tousu/show/id/1338735","找靓机平台检测报告虚假导致目前手机出现信号不好的问题")</f>
        <v>找靓机平台检测报告虚假导致目前手机出现信号不好的问题</v>
      </c>
      <c r="C7729" s="2" t="s">
        <v>9</v>
      </c>
      <c r="D7729" s="2" t="s">
        <v>10</v>
      </c>
      <c r="E7729" s="2" t="str">
        <f>HYPERLINK("http://ts.21cn.com/tousu/show/id/1338735","http://ts.21cn.com/tousu/show/id/1338735")</f>
        <v>http://ts.21cn.com/tousu/show/id/1338735</v>
      </c>
      <c r="F7729" s="2" t="s">
        <v>11</v>
      </c>
      <c r="G7729" s="2" t="s">
        <v>28967</v>
      </c>
      <c r="H7729" s="2" t="s">
        <v>28968</v>
      </c>
    </row>
    <row r="7730" spans="1:8" ht="25.05" customHeight="1" x14ac:dyDescent="0.25">
      <c r="A7730" s="2" t="s">
        <v>8</v>
      </c>
      <c r="B7730" s="2" t="str">
        <f>HYPERLINK("http://ts.21cn.com/tousu/show/id/1338736","违法催收")</f>
        <v>违法催收</v>
      </c>
      <c r="C7730" s="2" t="s">
        <v>9</v>
      </c>
      <c r="D7730" s="2" t="s">
        <v>10</v>
      </c>
      <c r="E7730" s="2" t="str">
        <f>HYPERLINK("http://ts.21cn.com/tousu/show/id/1338736","http://ts.21cn.com/tousu/show/id/1338736")</f>
        <v>http://ts.21cn.com/tousu/show/id/1338736</v>
      </c>
      <c r="F7730" s="2" t="s">
        <v>11</v>
      </c>
      <c r="G7730" s="2" t="s">
        <v>28965</v>
      </c>
      <c r="H7730" s="2" t="s">
        <v>28966</v>
      </c>
    </row>
    <row r="7731" spans="1:8" ht="25.05" customHeight="1" x14ac:dyDescent="0.25">
      <c r="A7731" s="2" t="s">
        <v>8</v>
      </c>
      <c r="B7731" s="2" t="str">
        <f>HYPERLINK("http://ts.21cn.com/tousu/show/id/1338737","钱橙无忧随意扣费")</f>
        <v>钱橙无忧随意扣费</v>
      </c>
      <c r="C7731" s="2" t="s">
        <v>9</v>
      </c>
      <c r="D7731" s="2" t="s">
        <v>10</v>
      </c>
      <c r="E7731" s="2" t="str">
        <f>HYPERLINK("http://ts.21cn.com/tousu/show/id/1338737","http://ts.21cn.com/tousu/show/id/1338737")</f>
        <v>http://ts.21cn.com/tousu/show/id/1338737</v>
      </c>
      <c r="F7731" s="2" t="s">
        <v>11</v>
      </c>
      <c r="G7731" s="2" t="s">
        <v>28963</v>
      </c>
      <c r="H7731" s="2" t="s">
        <v>28964</v>
      </c>
    </row>
    <row r="7732" spans="1:8" ht="25.05" customHeight="1" x14ac:dyDescent="0.25">
      <c r="A7732" s="2" t="s">
        <v>8</v>
      </c>
      <c r="B7732" s="2" t="str">
        <f>HYPERLINK("http://ts.21cn.com/tousu/show/id/1338738","珍爱网诱导消费，签霸王条例，虚假误导宣传")</f>
        <v>珍爱网诱导消费，签霸王条例，虚假误导宣传</v>
      </c>
      <c r="C7732" s="2" t="s">
        <v>9</v>
      </c>
      <c r="D7732" s="2" t="s">
        <v>10</v>
      </c>
      <c r="E7732" s="2" t="str">
        <f>HYPERLINK("http://ts.21cn.com/tousu/show/id/1338738","http://ts.21cn.com/tousu/show/id/1338738")</f>
        <v>http://ts.21cn.com/tousu/show/id/1338738</v>
      </c>
      <c r="F7732" s="2" t="s">
        <v>11</v>
      </c>
      <c r="G7732" s="2" t="s">
        <v>28961</v>
      </c>
      <c r="H7732" s="2" t="s">
        <v>28962</v>
      </c>
    </row>
    <row r="7733" spans="1:8" ht="25.05" customHeight="1" x14ac:dyDescent="0.25">
      <c r="A7733" s="2" t="s">
        <v>8</v>
      </c>
      <c r="B7733" s="2" t="str">
        <f>HYPERLINK("http://ts.21cn.com/tousu/show/id/1338739","小米货款催收")</f>
        <v>小米货款催收</v>
      </c>
      <c r="C7733" s="2" t="s">
        <v>9</v>
      </c>
      <c r="D7733" s="2" t="s">
        <v>10</v>
      </c>
      <c r="E7733" s="2" t="str">
        <f>HYPERLINK("http://ts.21cn.com/tousu/show/id/1338739","http://ts.21cn.com/tousu/show/id/1338739")</f>
        <v>http://ts.21cn.com/tousu/show/id/1338739</v>
      </c>
      <c r="F7733" s="2" t="s">
        <v>11</v>
      </c>
      <c r="G7733" s="2" t="s">
        <v>28959</v>
      </c>
      <c r="H7733" s="2" t="s">
        <v>28960</v>
      </c>
    </row>
    <row r="7734" spans="1:8" ht="25.05" customHeight="1" x14ac:dyDescent="0.25">
      <c r="A7734" s="2" t="s">
        <v>8</v>
      </c>
      <c r="B7734" s="2" t="str">
        <f>HYPERLINK("http://ts.21cn.com/tousu/show/id/1338740","可是购买黑卡后、拒绝放款")</f>
        <v>可是购买黑卡后、拒绝放款</v>
      </c>
      <c r="C7734" s="2" t="s">
        <v>34</v>
      </c>
      <c r="D7734" s="2" t="s">
        <v>10</v>
      </c>
      <c r="E7734" s="2" t="str">
        <f>HYPERLINK("http://ts.21cn.com/tousu/show/id/1338740","http://ts.21cn.com/tousu/show/id/1338740")</f>
        <v>http://ts.21cn.com/tousu/show/id/1338740</v>
      </c>
      <c r="F7734" s="2" t="s">
        <v>11</v>
      </c>
      <c r="G7734" s="2" t="s">
        <v>28957</v>
      </c>
      <c r="H7734" s="2" t="s">
        <v>28958</v>
      </c>
    </row>
    <row r="7735" spans="1:8" ht="25.05" customHeight="1" x14ac:dyDescent="0.25">
      <c r="A7735" s="2" t="s">
        <v>8</v>
      </c>
      <c r="B7735" s="2" t="str">
        <f>HYPERLINK("http://ts.21cn.com/tousu/show/id/1338741","714砍头息")</f>
        <v>714砍头息</v>
      </c>
      <c r="C7735" s="2" t="s">
        <v>34</v>
      </c>
      <c r="D7735" s="2" t="s">
        <v>10</v>
      </c>
      <c r="E7735" s="2" t="str">
        <f>HYPERLINK("http://ts.21cn.com/tousu/show/id/1338741","http://ts.21cn.com/tousu/show/id/1338741")</f>
        <v>http://ts.21cn.com/tousu/show/id/1338741</v>
      </c>
      <c r="F7735" s="2" t="s">
        <v>11</v>
      </c>
      <c r="G7735" s="2" t="s">
        <v>28955</v>
      </c>
      <c r="H7735" s="2" t="s">
        <v>28956</v>
      </c>
    </row>
    <row r="7736" spans="1:8" ht="25.05" customHeight="1" x14ac:dyDescent="0.25">
      <c r="A7736" s="2" t="s">
        <v>8</v>
      </c>
      <c r="B7736" s="2" t="str">
        <f>HYPERLINK("http://ts.21cn.com/tousu/show/id/1338742","强制消费")</f>
        <v>强制消费</v>
      </c>
      <c r="C7736" s="2" t="s">
        <v>9</v>
      </c>
      <c r="D7736" s="2" t="s">
        <v>10</v>
      </c>
      <c r="E7736" s="2" t="str">
        <f>HYPERLINK("http://ts.21cn.com/tousu/show/id/1338742","http://ts.21cn.com/tousu/show/id/1338742")</f>
        <v>http://ts.21cn.com/tousu/show/id/1338742</v>
      </c>
      <c r="F7736" s="2" t="s">
        <v>11</v>
      </c>
      <c r="G7736" s="2" t="s">
        <v>28953</v>
      </c>
      <c r="H7736" s="2" t="s">
        <v>28954</v>
      </c>
    </row>
    <row r="7737" spans="1:8" ht="25.05" customHeight="1" x14ac:dyDescent="0.25">
      <c r="A7737" s="2" t="s">
        <v>8</v>
      </c>
      <c r="B7737" s="2" t="str">
        <f>HYPERLINK("http://ts.21cn.com/tousu/show/id/1338743","申请中就自动扣费")</f>
        <v>申请中就自动扣费</v>
      </c>
      <c r="C7737" s="2" t="s">
        <v>9</v>
      </c>
      <c r="D7737" s="2" t="s">
        <v>10</v>
      </c>
      <c r="E7737" s="2" t="str">
        <f>HYPERLINK("http://ts.21cn.com/tousu/show/id/1338743","http://ts.21cn.com/tousu/show/id/1338743")</f>
        <v>http://ts.21cn.com/tousu/show/id/1338743</v>
      </c>
      <c r="F7737" s="2" t="s">
        <v>11</v>
      </c>
      <c r="G7737" s="2" t="s">
        <v>28951</v>
      </c>
      <c r="H7737" s="2" t="s">
        <v>28952</v>
      </c>
    </row>
    <row r="7738" spans="1:8" ht="25.05" customHeight="1" x14ac:dyDescent="0.25">
      <c r="A7738" s="2" t="s">
        <v>8</v>
      </c>
      <c r="B7738" s="2" t="str">
        <f>HYPERLINK("http://ts.21cn.com/tousu/show/id/1338744","滴滴出行办理人证豁免欺欺诈")</f>
        <v>滴滴出行办理人证豁免欺欺诈</v>
      </c>
      <c r="C7738" s="2" t="s">
        <v>34</v>
      </c>
      <c r="D7738" s="2" t="s">
        <v>10</v>
      </c>
      <c r="E7738" s="2" t="str">
        <f>HYPERLINK("http://ts.21cn.com/tousu/show/id/1338744","http://ts.21cn.com/tousu/show/id/1338744")</f>
        <v>http://ts.21cn.com/tousu/show/id/1338744</v>
      </c>
      <c r="F7738" s="2" t="s">
        <v>11</v>
      </c>
      <c r="G7738" s="2" t="s">
        <v>28949</v>
      </c>
      <c r="H7738" s="2" t="s">
        <v>28950</v>
      </c>
    </row>
    <row r="7739" spans="1:8" ht="25.05" customHeight="1" x14ac:dyDescent="0.25">
      <c r="A7739" s="2" t="s">
        <v>8</v>
      </c>
      <c r="B7739" s="2" t="str">
        <f>HYPERLINK("http://ts.21cn.com/tousu/show/id/1338745","达飞")</f>
        <v>达飞</v>
      </c>
      <c r="C7739" s="2" t="s">
        <v>34</v>
      </c>
      <c r="D7739" s="2" t="s">
        <v>10</v>
      </c>
      <c r="E7739" s="2" t="str">
        <f>HYPERLINK("http://ts.21cn.com/tousu/show/id/1338745","http://ts.21cn.com/tousu/show/id/1338745")</f>
        <v>http://ts.21cn.com/tousu/show/id/1338745</v>
      </c>
      <c r="F7739" s="2" t="s">
        <v>11</v>
      </c>
      <c r="G7739" s="2" t="s">
        <v>28947</v>
      </c>
      <c r="H7739" s="2" t="s">
        <v>28948</v>
      </c>
    </row>
    <row r="7740" spans="1:8" ht="25.05" customHeight="1" x14ac:dyDescent="0.25">
      <c r="A7740" s="2" t="s">
        <v>8</v>
      </c>
      <c r="B7740" s="2" t="str">
        <f>HYPERLINK("http://ts.21cn.com/tousu/show/id/1338746","迅捷视频转换器转换失败")</f>
        <v>迅捷视频转换器转换失败</v>
      </c>
      <c r="C7740" s="2" t="s">
        <v>34</v>
      </c>
      <c r="D7740" s="2" t="s">
        <v>10</v>
      </c>
      <c r="E7740" s="2" t="str">
        <f>HYPERLINK("http://ts.21cn.com/tousu/show/id/1338746","http://ts.21cn.com/tousu/show/id/1338746")</f>
        <v>http://ts.21cn.com/tousu/show/id/1338746</v>
      </c>
      <c r="F7740" s="2" t="s">
        <v>11</v>
      </c>
      <c r="G7740" s="2" t="s">
        <v>28945</v>
      </c>
      <c r="H7740" s="2" t="s">
        <v>28946</v>
      </c>
    </row>
    <row r="7741" spans="1:8" ht="25.05" customHeight="1" x14ac:dyDescent="0.25">
      <c r="A7741" s="2" t="s">
        <v>8</v>
      </c>
      <c r="B7741" s="2" t="str">
        <f>HYPERLINK("http://ts.21cn.com/tousu/show/id/1338747","被恶意软件恶意扣费刚注册时显示零元领三天vip，然后点击后诱导开启免密支付，开启后再次点击零元领三天vip时自动扣款")</f>
        <v>被恶意软件恶意扣费刚注册时显示零元领三天vip，然后点击后诱导开启免密支付，开启后再次点击零元领三天vip时自动扣款</v>
      </c>
      <c r="C7741" s="2" t="s">
        <v>9</v>
      </c>
      <c r="D7741" s="2" t="s">
        <v>10</v>
      </c>
      <c r="E7741" s="2" t="str">
        <f>HYPERLINK("http://ts.21cn.com/tousu/show/id/1338747","http://ts.21cn.com/tousu/show/id/1338747")</f>
        <v>http://ts.21cn.com/tousu/show/id/1338747</v>
      </c>
      <c r="F7741" s="2" t="s">
        <v>11</v>
      </c>
      <c r="G7741" s="2" t="s">
        <v>28943</v>
      </c>
      <c r="H7741" s="2" t="s">
        <v>28944</v>
      </c>
    </row>
    <row r="7742" spans="1:8" ht="25.05" customHeight="1" x14ac:dyDescent="0.25">
      <c r="A7742" s="2" t="s">
        <v>8</v>
      </c>
      <c r="B7742" s="2" t="str">
        <f>HYPERLINK("http://ts.21cn.com/tousu/show/id/1338748","超利贷")</f>
        <v>超利贷</v>
      </c>
      <c r="C7742" s="2" t="s">
        <v>9</v>
      </c>
      <c r="D7742" s="2" t="s">
        <v>10</v>
      </c>
      <c r="E7742" s="2" t="str">
        <f>HYPERLINK("http://ts.21cn.com/tousu/show/id/1338748","http://ts.21cn.com/tousu/show/id/1338748")</f>
        <v>http://ts.21cn.com/tousu/show/id/1338748</v>
      </c>
      <c r="F7742" s="2" t="s">
        <v>11</v>
      </c>
      <c r="G7742" s="2" t="s">
        <v>28941</v>
      </c>
      <c r="H7742" s="2" t="s">
        <v>28942</v>
      </c>
    </row>
    <row r="7743" spans="1:8" ht="25.05" customHeight="1" x14ac:dyDescent="0.25">
      <c r="A7743" s="2" t="s">
        <v>8</v>
      </c>
      <c r="B7743" s="2" t="str">
        <f>HYPERLINK("http://ts.21cn.com/tousu/show/id/1338749","钱站私自更改合同")</f>
        <v>钱站私自更改合同</v>
      </c>
      <c r="C7743" s="2" t="s">
        <v>9</v>
      </c>
      <c r="D7743" s="2" t="s">
        <v>10</v>
      </c>
      <c r="E7743" s="2" t="str">
        <f>HYPERLINK("http://ts.21cn.com/tousu/show/id/1338749","http://ts.21cn.com/tousu/show/id/1338749")</f>
        <v>http://ts.21cn.com/tousu/show/id/1338749</v>
      </c>
      <c r="F7743" s="2" t="s">
        <v>11</v>
      </c>
      <c r="G7743" s="2" t="s">
        <v>28939</v>
      </c>
      <c r="H7743" s="2" t="s">
        <v>28940</v>
      </c>
    </row>
    <row r="7744" spans="1:8" ht="25.05" customHeight="1" x14ac:dyDescent="0.25">
      <c r="A7744" s="2" t="s">
        <v>8</v>
      </c>
      <c r="B7744" s="2" t="str">
        <f>HYPERLINK("http://ts.21cn.com/tousu/show/id/1338750","牛人又品超高砍头息")</f>
        <v>牛人又品超高砍头息</v>
      </c>
      <c r="C7744" s="2" t="s">
        <v>9</v>
      </c>
      <c r="D7744" s="2" t="s">
        <v>10</v>
      </c>
      <c r="E7744" s="2" t="str">
        <f>HYPERLINK("http://ts.21cn.com/tousu/show/id/1338750","http://ts.21cn.com/tousu/show/id/1338750")</f>
        <v>http://ts.21cn.com/tousu/show/id/1338750</v>
      </c>
      <c r="F7744" s="2" t="s">
        <v>11</v>
      </c>
      <c r="G7744" s="2" t="s">
        <v>28937</v>
      </c>
      <c r="H7744" s="2" t="s">
        <v>28938</v>
      </c>
    </row>
    <row r="7745" spans="1:8" ht="25.05" customHeight="1" x14ac:dyDescent="0.25">
      <c r="A7745" s="2" t="s">
        <v>8</v>
      </c>
      <c r="B7745" s="2" t="str">
        <f>HYPERLINK("http://ts.21cn.com/tousu/show/id/1338751","隐瞒借款人、不诚信黑网贷")</f>
        <v>隐瞒借款人、不诚信黑网贷</v>
      </c>
      <c r="C7745" s="2" t="s">
        <v>9</v>
      </c>
      <c r="D7745" s="2" t="s">
        <v>10</v>
      </c>
      <c r="E7745" s="2" t="str">
        <f>HYPERLINK("http://ts.21cn.com/tousu/show/id/1338751","http://ts.21cn.com/tousu/show/id/1338751")</f>
        <v>http://ts.21cn.com/tousu/show/id/1338751</v>
      </c>
      <c r="F7745" s="2" t="s">
        <v>11</v>
      </c>
      <c r="G7745" s="2" t="s">
        <v>28935</v>
      </c>
      <c r="H7745" s="2" t="s">
        <v>28936</v>
      </c>
    </row>
    <row r="7746" spans="1:8" ht="25.05" customHeight="1" x14ac:dyDescent="0.25">
      <c r="A7746" s="2" t="s">
        <v>8</v>
      </c>
      <c r="B7746" s="2" t="str">
        <f>HYPERLINK("http://ts.21cn.com/tousu/show/id/1338752","套路贷")</f>
        <v>套路贷</v>
      </c>
      <c r="C7746" s="2" t="s">
        <v>9</v>
      </c>
      <c r="D7746" s="2" t="s">
        <v>10</v>
      </c>
      <c r="E7746" s="2" t="str">
        <f>HYPERLINK("http://ts.21cn.com/tousu/show/id/1338752","http://ts.21cn.com/tousu/show/id/1338752")</f>
        <v>http://ts.21cn.com/tousu/show/id/1338752</v>
      </c>
      <c r="F7746" s="2" t="s">
        <v>11</v>
      </c>
      <c r="G7746" s="2" t="s">
        <v>28934</v>
      </c>
      <c r="H7746" s="2" t="s">
        <v>26025</v>
      </c>
    </row>
    <row r="7747" spans="1:8" ht="25.05" customHeight="1" x14ac:dyDescent="0.25">
      <c r="A7747" s="2" t="s">
        <v>8</v>
      </c>
      <c r="B7747" s="2" t="str">
        <f>HYPERLINK("http://ts.21cn.com/tousu/show/id/1338753","中邮消费金融-邮你贷年利率32.04")</f>
        <v>中邮消费金融-邮你贷年利率32.04</v>
      </c>
      <c r="C7747" s="2" t="s">
        <v>9</v>
      </c>
      <c r="D7747" s="2" t="s">
        <v>10</v>
      </c>
      <c r="E7747" s="2" t="str">
        <f>HYPERLINK("http://ts.21cn.com/tousu/show/id/1338753","http://ts.21cn.com/tousu/show/id/1338753")</f>
        <v>http://ts.21cn.com/tousu/show/id/1338753</v>
      </c>
      <c r="F7747" s="2" t="s">
        <v>11</v>
      </c>
      <c r="G7747" s="2" t="s">
        <v>28932</v>
      </c>
      <c r="H7747" s="2" t="s">
        <v>28933</v>
      </c>
    </row>
    <row r="7748" spans="1:8" ht="25.05" customHeight="1" x14ac:dyDescent="0.25">
      <c r="A7748" s="2" t="s">
        <v>8</v>
      </c>
      <c r="B7748" s="2" t="str">
        <f>HYPERLINK("http://ts.21cn.com/tousu/show/id/1338754","你我贷平台超过年利率的标准收费，这样高额的谁承受的起")</f>
        <v>你我贷平台超过年利率的标准收费，这样高额的谁承受的起</v>
      </c>
      <c r="C7748" s="2" t="s">
        <v>9</v>
      </c>
      <c r="D7748" s="2" t="s">
        <v>10</v>
      </c>
      <c r="E7748" s="2" t="str">
        <f>HYPERLINK("http://ts.21cn.com/tousu/show/id/1338754","http://ts.21cn.com/tousu/show/id/1338754")</f>
        <v>http://ts.21cn.com/tousu/show/id/1338754</v>
      </c>
      <c r="F7748" s="2" t="s">
        <v>11</v>
      </c>
      <c r="G7748" s="2" t="s">
        <v>28930</v>
      </c>
      <c r="H7748" s="2" t="s">
        <v>28931</v>
      </c>
    </row>
    <row r="7749" spans="1:8" ht="25.05" customHeight="1" x14ac:dyDescent="0.25">
      <c r="A7749" s="2" t="s">
        <v>8</v>
      </c>
      <c r="B7749" s="2" t="str">
        <f>HYPERLINK("http://ts.21cn.com/tousu/show/id/1338755","招联金融")</f>
        <v>招联金融</v>
      </c>
      <c r="C7749" s="2" t="s">
        <v>9</v>
      </c>
      <c r="D7749" s="2" t="s">
        <v>10</v>
      </c>
      <c r="E7749" s="2" t="str">
        <f>HYPERLINK("http://ts.21cn.com/tousu/show/id/1338755","http://ts.21cn.com/tousu/show/id/1338755")</f>
        <v>http://ts.21cn.com/tousu/show/id/1338755</v>
      </c>
      <c r="F7749" s="2" t="s">
        <v>11</v>
      </c>
      <c r="G7749" s="2" t="s">
        <v>28928</v>
      </c>
      <c r="H7749" s="2" t="s">
        <v>28929</v>
      </c>
    </row>
    <row r="7750" spans="1:8" ht="25.05" customHeight="1" x14ac:dyDescent="0.25">
      <c r="A7750" s="2" t="s">
        <v>8</v>
      </c>
      <c r="B7750" s="2" t="str">
        <f>HYPERLINK("http://ts.21cn.com/tousu/show/id/1338756","投诉阴阳合同")</f>
        <v>投诉阴阳合同</v>
      </c>
      <c r="C7750" s="2" t="s">
        <v>9</v>
      </c>
      <c r="D7750" s="2" t="s">
        <v>10</v>
      </c>
      <c r="E7750" s="2" t="str">
        <f>HYPERLINK("http://ts.21cn.com/tousu/show/id/1338756","http://ts.21cn.com/tousu/show/id/1338756")</f>
        <v>http://ts.21cn.com/tousu/show/id/1338756</v>
      </c>
      <c r="F7750" s="2" t="s">
        <v>11</v>
      </c>
      <c r="G7750" s="2" t="s">
        <v>28927</v>
      </c>
      <c r="H7750" s="2" t="s">
        <v>26031</v>
      </c>
    </row>
    <row r="7751" spans="1:8" ht="25.05" customHeight="1" x14ac:dyDescent="0.25">
      <c r="A7751" s="2" t="s">
        <v>8</v>
      </c>
      <c r="B7751" s="2" t="str">
        <f>HYPERLINK("http://ts.21cn.com/tousu/show/id/1338757","退回商家货款严查违规人员，不经核实随意退款")</f>
        <v>退回商家货款严查违规人员，不经核实随意退款</v>
      </c>
      <c r="C7751" s="2" t="s">
        <v>9</v>
      </c>
      <c r="D7751" s="2" t="s">
        <v>10</v>
      </c>
      <c r="E7751" s="2" t="str">
        <f>HYPERLINK("http://ts.21cn.com/tousu/show/id/1338757","http://ts.21cn.com/tousu/show/id/1338757")</f>
        <v>http://ts.21cn.com/tousu/show/id/1338757</v>
      </c>
      <c r="F7751" s="2" t="s">
        <v>11</v>
      </c>
      <c r="G7751" s="2" t="s">
        <v>28925</v>
      </c>
      <c r="H7751" s="2" t="s">
        <v>28926</v>
      </c>
    </row>
    <row r="7752" spans="1:8" ht="25.05" customHeight="1" x14ac:dyDescent="0.25">
      <c r="A7752" s="2" t="s">
        <v>8</v>
      </c>
      <c r="B7752" s="2" t="str">
        <f>HYPERLINK("http://ts.21cn.com/tousu/show/id/1338759","百事普惠恶意扣款")</f>
        <v>百事普惠恶意扣款</v>
      </c>
      <c r="C7752" s="2" t="s">
        <v>9</v>
      </c>
      <c r="D7752" s="2" t="s">
        <v>10</v>
      </c>
      <c r="E7752" s="2" t="str">
        <f>HYPERLINK("http://ts.21cn.com/tousu/show/id/1338759","http://ts.21cn.com/tousu/show/id/1338759")</f>
        <v>http://ts.21cn.com/tousu/show/id/1338759</v>
      </c>
      <c r="F7752" s="2" t="s">
        <v>11</v>
      </c>
      <c r="G7752" s="2" t="s">
        <v>28923</v>
      </c>
      <c r="H7752" s="2" t="s">
        <v>28924</v>
      </c>
    </row>
    <row r="7753" spans="1:8" ht="25.05" customHeight="1" x14ac:dyDescent="0.25">
      <c r="A7753" s="2" t="s">
        <v>8</v>
      </c>
      <c r="B7753" s="2" t="str">
        <f>HYPERLINK("http://ts.21cn.com/tousu/show/id/1338760","要求退款")</f>
        <v>要求退款</v>
      </c>
      <c r="C7753" s="2" t="s">
        <v>9</v>
      </c>
      <c r="D7753" s="2" t="s">
        <v>10</v>
      </c>
      <c r="E7753" s="2" t="str">
        <f>HYPERLINK("http://ts.21cn.com/tousu/show/id/1338760","http://ts.21cn.com/tousu/show/id/1338760")</f>
        <v>http://ts.21cn.com/tousu/show/id/1338760</v>
      </c>
      <c r="F7753" s="2" t="s">
        <v>11</v>
      </c>
      <c r="G7753" s="2" t="s">
        <v>28921</v>
      </c>
      <c r="H7753" s="2" t="s">
        <v>28922</v>
      </c>
    </row>
    <row r="7754" spans="1:8" ht="25.05" customHeight="1" x14ac:dyDescent="0.25">
      <c r="A7754" s="2" t="s">
        <v>8</v>
      </c>
      <c r="B7754" s="2" t="str">
        <f>HYPERLINK("http://ts.21cn.com/tousu/show/id/1338758","2019年4月在美乐乐APP购买家具，至今不发货，不退款，客服无回应")</f>
        <v>2019年4月在美乐乐APP购买家具，至今不发货，不退款，客服无回应</v>
      </c>
      <c r="C7754" s="2" t="s">
        <v>9</v>
      </c>
      <c r="D7754" s="2" t="s">
        <v>10</v>
      </c>
      <c r="E7754" s="2" t="str">
        <f>HYPERLINK("http://ts.21cn.com/tousu/show/id/1338758","http://ts.21cn.com/tousu/show/id/1338758")</f>
        <v>http://ts.21cn.com/tousu/show/id/1338758</v>
      </c>
      <c r="F7754" s="2" t="s">
        <v>11</v>
      </c>
      <c r="G7754" s="2" t="s">
        <v>28919</v>
      </c>
      <c r="H7754" s="2" t="s">
        <v>28920</v>
      </c>
    </row>
    <row r="7755" spans="1:8" ht="25.05" customHeight="1" x14ac:dyDescent="0.25">
      <c r="A7755" s="2" t="s">
        <v>8</v>
      </c>
      <c r="B7755" s="2" t="str">
        <f>HYPERLINK("http://ts.21cn.com/tousu/show/id/1338762","信用管家不放款还不能取消借款")</f>
        <v>信用管家不放款还不能取消借款</v>
      </c>
      <c r="C7755" s="2" t="s">
        <v>9</v>
      </c>
      <c r="D7755" s="2" t="s">
        <v>10</v>
      </c>
      <c r="E7755" s="2" t="str">
        <f>HYPERLINK("http://ts.21cn.com/tousu/show/id/1338762","http://ts.21cn.com/tousu/show/id/1338762")</f>
        <v>http://ts.21cn.com/tousu/show/id/1338762</v>
      </c>
      <c r="F7755" s="2" t="s">
        <v>11</v>
      </c>
      <c r="G7755" s="2" t="s">
        <v>28917</v>
      </c>
      <c r="H7755" s="2" t="s">
        <v>28918</v>
      </c>
    </row>
    <row r="7756" spans="1:8" ht="25.05" customHeight="1" x14ac:dyDescent="0.25">
      <c r="A7756" s="2" t="s">
        <v>8</v>
      </c>
      <c r="B7756" s="2" t="str">
        <f>HYPERLINK("http://ts.21cn.com/tousu/show/id/1338763","属于高利贷，还暴力催收！")</f>
        <v>属于高利贷，还暴力催收！</v>
      </c>
      <c r="C7756" s="2" t="s">
        <v>9</v>
      </c>
      <c r="D7756" s="2" t="s">
        <v>10</v>
      </c>
      <c r="E7756" s="2" t="str">
        <f>HYPERLINK("http://ts.21cn.com/tousu/show/id/1338763","http://ts.21cn.com/tousu/show/id/1338763")</f>
        <v>http://ts.21cn.com/tousu/show/id/1338763</v>
      </c>
      <c r="F7756" s="2" t="s">
        <v>11</v>
      </c>
      <c r="G7756" s="2" t="s">
        <v>28915</v>
      </c>
      <c r="H7756" s="2" t="s">
        <v>28916</v>
      </c>
    </row>
    <row r="7757" spans="1:8" ht="25.05" customHeight="1" x14ac:dyDescent="0.25">
      <c r="A7757" s="2" t="s">
        <v>8</v>
      </c>
      <c r="B7757" s="2" t="str">
        <f>HYPERLINK("http://ts.21cn.com/tousu/show/id/1338764","你我贷平台变相收取快速信审费，不知道是什么费用")</f>
        <v>你我贷平台变相收取快速信审费，不知道是什么费用</v>
      </c>
      <c r="C7757" s="2" t="s">
        <v>9</v>
      </c>
      <c r="D7757" s="2" t="s">
        <v>10</v>
      </c>
      <c r="E7757" s="2" t="str">
        <f>HYPERLINK("http://ts.21cn.com/tousu/show/id/1338764","http://ts.21cn.com/tousu/show/id/1338764")</f>
        <v>http://ts.21cn.com/tousu/show/id/1338764</v>
      </c>
      <c r="F7757" s="2" t="s">
        <v>11</v>
      </c>
      <c r="G7757" s="2" t="s">
        <v>28913</v>
      </c>
      <c r="H7757" s="2" t="s">
        <v>28914</v>
      </c>
    </row>
    <row r="7758" spans="1:8" ht="25.05" customHeight="1" x14ac:dyDescent="0.25">
      <c r="A7758" s="2" t="s">
        <v>8</v>
      </c>
      <c r="B7758" s="2" t="str">
        <f>HYPERLINK("http://ts.21cn.com/tousu/show/id/1338765","常州市中健银座霸王条款")</f>
        <v>常州市中健银座霸王条款</v>
      </c>
      <c r="C7758" s="2" t="s">
        <v>9</v>
      </c>
      <c r="D7758" s="2" t="s">
        <v>10</v>
      </c>
      <c r="E7758" s="2" t="str">
        <f>HYPERLINK("http://ts.21cn.com/tousu/show/id/1338765","http://ts.21cn.com/tousu/show/id/1338765")</f>
        <v>http://ts.21cn.com/tousu/show/id/1338765</v>
      </c>
      <c r="F7758" s="2" t="s">
        <v>11</v>
      </c>
      <c r="G7758" s="2" t="s">
        <v>28911</v>
      </c>
      <c r="H7758" s="2" t="s">
        <v>28912</v>
      </c>
    </row>
    <row r="7759" spans="1:8" ht="25.05" customHeight="1" x14ac:dyDescent="0.25">
      <c r="A7759" s="2" t="s">
        <v>8</v>
      </c>
      <c r="B7759" s="2" t="str">
        <f>HYPERLINK("http://ts.21cn.com/tousu/show/id/1338766","银小借恶意扣款")</f>
        <v>银小借恶意扣款</v>
      </c>
      <c r="C7759" s="2" t="s">
        <v>9</v>
      </c>
      <c r="D7759" s="2" t="s">
        <v>10</v>
      </c>
      <c r="E7759" s="2" t="str">
        <f>HYPERLINK("http://ts.21cn.com/tousu/show/id/1338766","http://ts.21cn.com/tousu/show/id/1338766")</f>
        <v>http://ts.21cn.com/tousu/show/id/1338766</v>
      </c>
      <c r="F7759" s="2" t="s">
        <v>11</v>
      </c>
      <c r="G7759" s="2" t="s">
        <v>28909</v>
      </c>
      <c r="H7759" s="2" t="s">
        <v>28910</v>
      </c>
    </row>
    <row r="7760" spans="1:8" ht="25.05" customHeight="1" x14ac:dyDescent="0.25">
      <c r="A7760" s="2" t="s">
        <v>8</v>
      </c>
      <c r="B7760" s="2" t="str">
        <f>HYPERLINK("http://ts.21cn.com/tousu/show/id/1338767","爱上街砍头息")</f>
        <v>爱上街砍头息</v>
      </c>
      <c r="C7760" s="2" t="s">
        <v>9</v>
      </c>
      <c r="D7760" s="2" t="s">
        <v>10</v>
      </c>
      <c r="E7760" s="2" t="str">
        <f>HYPERLINK("http://ts.21cn.com/tousu/show/id/1338767","http://ts.21cn.com/tousu/show/id/1338767")</f>
        <v>http://ts.21cn.com/tousu/show/id/1338767</v>
      </c>
      <c r="F7760" s="2" t="s">
        <v>11</v>
      </c>
      <c r="G7760" s="2" t="s">
        <v>28907</v>
      </c>
      <c r="H7760" s="2" t="s">
        <v>28908</v>
      </c>
    </row>
    <row r="7761" spans="1:8" ht="25.05" customHeight="1" x14ac:dyDescent="0.25">
      <c r="A7761" s="2" t="s">
        <v>8</v>
      </c>
      <c r="B7761" s="2" t="str">
        <f>HYPERLINK("http://ts.21cn.com/tousu/show/id/1338768","优信优卡不能充值，合作方寺库、北京银联商务受牵连，回应协助积极处理")</f>
        <v>优信优卡不能充值，合作方寺库、北京银联商务受牵连，回应协助积极处理</v>
      </c>
      <c r="C7761" s="2" t="s">
        <v>9</v>
      </c>
      <c r="D7761" s="2" t="s">
        <v>10</v>
      </c>
      <c r="E7761" s="2" t="str">
        <f>HYPERLINK("http://ts.21cn.com/tousu/show/id/1338768","http://ts.21cn.com/tousu/show/id/1338768")</f>
        <v>http://ts.21cn.com/tousu/show/id/1338768</v>
      </c>
      <c r="F7761" s="2" t="s">
        <v>11</v>
      </c>
      <c r="G7761" s="2" t="s">
        <v>28905</v>
      </c>
      <c r="H7761" s="2" t="s">
        <v>28906</v>
      </c>
    </row>
    <row r="7762" spans="1:8" ht="25.05" customHeight="1" x14ac:dyDescent="0.25">
      <c r="A7762" s="2" t="s">
        <v>8</v>
      </c>
      <c r="B7762" s="2" t="str">
        <f>HYPERLINK("http://ts.21cn.com/tousu/show/id/1338769","欺诈")</f>
        <v>欺诈</v>
      </c>
      <c r="C7762" s="2" t="s">
        <v>9</v>
      </c>
      <c r="D7762" s="2" t="s">
        <v>10</v>
      </c>
      <c r="E7762" s="2" t="str">
        <f>HYPERLINK("http://ts.21cn.com/tousu/show/id/1338769","http://ts.21cn.com/tousu/show/id/1338769")</f>
        <v>http://ts.21cn.com/tousu/show/id/1338769</v>
      </c>
      <c r="F7762" s="2" t="s">
        <v>11</v>
      </c>
      <c r="G7762" s="2" t="s">
        <v>28903</v>
      </c>
      <c r="H7762" s="2" t="s">
        <v>28904</v>
      </c>
    </row>
    <row r="7763" spans="1:8" ht="25.05" customHeight="1" x14ac:dyDescent="0.25">
      <c r="A7763" s="2" t="s">
        <v>8</v>
      </c>
      <c r="B7763" s="2" t="str">
        <f>HYPERLINK("http://ts.21cn.com/tousu/show/id/1338770","立即借网贷平台超高利息费用太可怕")</f>
        <v>立即借网贷平台超高利息费用太可怕</v>
      </c>
      <c r="C7763" s="2" t="s">
        <v>9</v>
      </c>
      <c r="D7763" s="2" t="s">
        <v>10</v>
      </c>
      <c r="E7763" s="2" t="str">
        <f>HYPERLINK("http://ts.21cn.com/tousu/show/id/1338770","http://ts.21cn.com/tousu/show/id/1338770")</f>
        <v>http://ts.21cn.com/tousu/show/id/1338770</v>
      </c>
      <c r="F7763" s="2" t="s">
        <v>11</v>
      </c>
      <c r="G7763" s="2" t="s">
        <v>28901</v>
      </c>
      <c r="H7763" s="2" t="s">
        <v>28902</v>
      </c>
    </row>
    <row r="7764" spans="1:8" ht="25.05" customHeight="1" x14ac:dyDescent="0.25">
      <c r="A7764" s="2" t="s">
        <v>8</v>
      </c>
      <c r="B7764" s="2" t="str">
        <f>HYPERLINK("http://ts.21cn.com/tousu/show/id/1338771","协商解决方案不和")</f>
        <v>协商解决方案不和</v>
      </c>
      <c r="C7764" s="2" t="s">
        <v>34</v>
      </c>
      <c r="D7764" s="2" t="s">
        <v>10</v>
      </c>
      <c r="E7764" s="2" t="str">
        <f>HYPERLINK("http://ts.21cn.com/tousu/show/id/1338771","http://ts.21cn.com/tousu/show/id/1338771")</f>
        <v>http://ts.21cn.com/tousu/show/id/1338771</v>
      </c>
      <c r="F7764" s="2" t="s">
        <v>11</v>
      </c>
      <c r="G7764" s="2" t="s">
        <v>28899</v>
      </c>
      <c r="H7764" s="2" t="s">
        <v>28900</v>
      </c>
    </row>
    <row r="7765" spans="1:8" ht="25.05" customHeight="1" x14ac:dyDescent="0.25">
      <c r="A7765" s="2" t="s">
        <v>8</v>
      </c>
      <c r="B7765" s="2" t="str">
        <f>HYPERLINK("http://ts.21cn.com/tousu/show/id/1338772","态度极其嚣张跋扈")</f>
        <v>态度极其嚣张跋扈</v>
      </c>
      <c r="C7765" s="2" t="s">
        <v>9</v>
      </c>
      <c r="D7765" s="2" t="s">
        <v>10</v>
      </c>
      <c r="E7765" s="2" t="str">
        <f>HYPERLINK("http://ts.21cn.com/tousu/show/id/1338772","http://ts.21cn.com/tousu/show/id/1338772")</f>
        <v>http://ts.21cn.com/tousu/show/id/1338772</v>
      </c>
      <c r="F7765" s="2" t="s">
        <v>11</v>
      </c>
      <c r="G7765" s="2" t="s">
        <v>28897</v>
      </c>
      <c r="H7765" s="2" t="s">
        <v>28898</v>
      </c>
    </row>
    <row r="7766" spans="1:8" ht="25.05" customHeight="1" x14ac:dyDescent="0.25">
      <c r="A7766" s="2" t="s">
        <v>8</v>
      </c>
      <c r="B7766" s="2" t="str">
        <f>HYPERLINK("http://ts.21cn.com/tousu/show/id/1338773","爱钱进钱站高利贷借3000.要还4580超高砍头期")</f>
        <v>爱钱进钱站高利贷借3000.要还4580超高砍头期</v>
      </c>
      <c r="C7766" s="2" t="s">
        <v>9</v>
      </c>
      <c r="D7766" s="2" t="s">
        <v>10</v>
      </c>
      <c r="E7766" s="2" t="str">
        <f>HYPERLINK("http://ts.21cn.com/tousu/show/id/1338773","http://ts.21cn.com/tousu/show/id/1338773")</f>
        <v>http://ts.21cn.com/tousu/show/id/1338773</v>
      </c>
      <c r="F7766" s="2" t="s">
        <v>11</v>
      </c>
      <c r="G7766" s="2" t="s">
        <v>28895</v>
      </c>
      <c r="H7766" s="2" t="s">
        <v>28896</v>
      </c>
    </row>
    <row r="7767" spans="1:8" ht="25.05" customHeight="1" x14ac:dyDescent="0.25">
      <c r="A7767" s="2" t="s">
        <v>8</v>
      </c>
      <c r="B7767" s="2" t="str">
        <f>HYPERLINK("http://ts.21cn.com/tousu/show/id/1338775","四川移动坑用户")</f>
        <v>四川移动坑用户</v>
      </c>
      <c r="C7767" s="2" t="s">
        <v>9</v>
      </c>
      <c r="D7767" s="2" t="s">
        <v>10</v>
      </c>
      <c r="E7767" s="2" t="str">
        <f>HYPERLINK("http://ts.21cn.com/tousu/show/id/1338775","http://ts.21cn.com/tousu/show/id/1338775")</f>
        <v>http://ts.21cn.com/tousu/show/id/1338775</v>
      </c>
      <c r="F7767" s="2" t="s">
        <v>11</v>
      </c>
      <c r="G7767" s="2" t="s">
        <v>28893</v>
      </c>
      <c r="H7767" s="2" t="s">
        <v>28894</v>
      </c>
    </row>
    <row r="7768" spans="1:8" ht="25.05" customHeight="1" x14ac:dyDescent="0.25">
      <c r="A7768" s="2" t="s">
        <v>8</v>
      </c>
      <c r="B7768" s="2" t="str">
        <f>HYPERLINK("http://ts.21cn.com/tousu/show/id/1338774","想要回我的钱")</f>
        <v>想要回我的钱</v>
      </c>
      <c r="C7768" s="2" t="s">
        <v>9</v>
      </c>
      <c r="D7768" s="2" t="s">
        <v>10</v>
      </c>
      <c r="E7768" s="2" t="str">
        <f>HYPERLINK("http://ts.21cn.com/tousu/show/id/1338774","http://ts.21cn.com/tousu/show/id/1338774")</f>
        <v>http://ts.21cn.com/tousu/show/id/1338774</v>
      </c>
      <c r="F7768" s="2" t="s">
        <v>11</v>
      </c>
      <c r="G7768" s="2" t="s">
        <v>28891</v>
      </c>
      <c r="H7768" s="2" t="s">
        <v>28892</v>
      </c>
    </row>
    <row r="7769" spans="1:8" ht="25.05" customHeight="1" x14ac:dyDescent="0.25">
      <c r="A7769" s="2" t="s">
        <v>8</v>
      </c>
      <c r="B7769" s="2" t="str">
        <f>HYPERLINK("http://ts.21cn.com/tousu/show/id/1338776","投诉平安普惠套路贷和不合理的强制收费")</f>
        <v>投诉平安普惠套路贷和不合理的强制收费</v>
      </c>
      <c r="C7769" s="2" t="s">
        <v>9</v>
      </c>
      <c r="D7769" s="2" t="s">
        <v>10</v>
      </c>
      <c r="E7769" s="2" t="str">
        <f>HYPERLINK("http://ts.21cn.com/tousu/show/id/1338776","http://ts.21cn.com/tousu/show/id/1338776")</f>
        <v>http://ts.21cn.com/tousu/show/id/1338776</v>
      </c>
      <c r="F7769" s="2" t="s">
        <v>11</v>
      </c>
      <c r="G7769" s="2" t="s">
        <v>28889</v>
      </c>
      <c r="H7769" s="2" t="s">
        <v>28890</v>
      </c>
    </row>
    <row r="7770" spans="1:8" ht="25.05" customHeight="1" x14ac:dyDescent="0.25">
      <c r="A7770" s="2" t="s">
        <v>8</v>
      </c>
      <c r="B7770" s="2" t="str">
        <f>HYPERLINK("http://ts.21cn.com/tousu/show/id/1338761","引导用户办理会员卡")</f>
        <v>引导用户办理会员卡</v>
      </c>
      <c r="C7770" s="2" t="s">
        <v>9</v>
      </c>
      <c r="D7770" s="2" t="s">
        <v>10</v>
      </c>
      <c r="E7770" s="2" t="str">
        <f>HYPERLINK("http://ts.21cn.com/tousu/show/id/1338761","http://ts.21cn.com/tousu/show/id/1338761")</f>
        <v>http://ts.21cn.com/tousu/show/id/1338761</v>
      </c>
      <c r="F7770" s="2" t="s">
        <v>11</v>
      </c>
      <c r="G7770" s="2" t="s">
        <v>28887</v>
      </c>
      <c r="H7770" s="2" t="s">
        <v>28888</v>
      </c>
    </row>
    <row r="7771" spans="1:8" ht="25.05" customHeight="1" x14ac:dyDescent="0.25">
      <c r="A7771" s="2" t="s">
        <v>8</v>
      </c>
      <c r="B7771" s="2" t="str">
        <f>HYPERLINK("http://ts.21cn.com/tousu/show/id/1338780","小浦优客app未经提示私自扣款")</f>
        <v>小浦优客app未经提示私自扣款</v>
      </c>
      <c r="C7771" s="2" t="s">
        <v>9</v>
      </c>
      <c r="D7771" s="2" t="s">
        <v>10</v>
      </c>
      <c r="E7771" s="2" t="str">
        <f>HYPERLINK("http://ts.21cn.com/tousu/show/id/1338780","http://ts.21cn.com/tousu/show/id/1338780")</f>
        <v>http://ts.21cn.com/tousu/show/id/1338780</v>
      </c>
      <c r="F7771" s="2" t="s">
        <v>11</v>
      </c>
      <c r="G7771" s="2" t="s">
        <v>28885</v>
      </c>
      <c r="H7771" s="2" t="s">
        <v>28886</v>
      </c>
    </row>
    <row r="7772" spans="1:8" ht="25.05" customHeight="1" x14ac:dyDescent="0.25">
      <c r="A7772" s="2" t="s">
        <v>8</v>
      </c>
      <c r="B7772" s="2" t="str">
        <f>HYPERLINK("http://ts.21cn.com/tousu/show/id/1338783","高利息，砍头息")</f>
        <v>高利息，砍头息</v>
      </c>
      <c r="C7772" s="2" t="s">
        <v>9</v>
      </c>
      <c r="D7772" s="2" t="s">
        <v>10</v>
      </c>
      <c r="E7772" s="2" t="str">
        <f>HYPERLINK("http://ts.21cn.com/tousu/show/id/1338783","http://ts.21cn.com/tousu/show/id/1338783")</f>
        <v>http://ts.21cn.com/tousu/show/id/1338783</v>
      </c>
      <c r="F7772" s="2" t="s">
        <v>11</v>
      </c>
      <c r="G7772" s="2" t="s">
        <v>28883</v>
      </c>
      <c r="H7772" s="2" t="s">
        <v>28884</v>
      </c>
    </row>
    <row r="7773" spans="1:8" ht="25.05" customHeight="1" x14ac:dyDescent="0.25">
      <c r="A7773" s="2" t="s">
        <v>8</v>
      </c>
      <c r="B7773" s="2" t="str">
        <f>HYPERLINK("http://ts.21cn.com/tousu/show/id/1338781","分期鸭高利贷套路贷")</f>
        <v>分期鸭高利贷套路贷</v>
      </c>
      <c r="C7773" s="2" t="s">
        <v>9</v>
      </c>
      <c r="D7773" s="2" t="s">
        <v>10</v>
      </c>
      <c r="E7773" s="2" t="str">
        <f>HYPERLINK("http://ts.21cn.com/tousu/show/id/1338781","http://ts.21cn.com/tousu/show/id/1338781")</f>
        <v>http://ts.21cn.com/tousu/show/id/1338781</v>
      </c>
      <c r="F7773" s="2" t="s">
        <v>11</v>
      </c>
      <c r="G7773" s="2" t="s">
        <v>28881</v>
      </c>
      <c r="H7773" s="2" t="s">
        <v>28882</v>
      </c>
    </row>
    <row r="7774" spans="1:8" ht="25.05" customHeight="1" x14ac:dyDescent="0.25">
      <c r="A7774" s="2" t="s">
        <v>8</v>
      </c>
      <c r="B7774" s="2" t="str">
        <f>HYPERLINK("http://ts.21cn.com/tousu/show/id/1338784","利息太高，宰头息")</f>
        <v>利息太高，宰头息</v>
      </c>
      <c r="C7774" s="2" t="s">
        <v>9</v>
      </c>
      <c r="D7774" s="2" t="s">
        <v>10</v>
      </c>
      <c r="E7774" s="2" t="str">
        <f>HYPERLINK("http://ts.21cn.com/tousu/show/id/1338784","http://ts.21cn.com/tousu/show/id/1338784")</f>
        <v>http://ts.21cn.com/tousu/show/id/1338784</v>
      </c>
      <c r="F7774" s="2" t="s">
        <v>11</v>
      </c>
      <c r="G7774" s="2" t="s">
        <v>28879</v>
      </c>
      <c r="H7774" s="2" t="s">
        <v>28880</v>
      </c>
    </row>
    <row r="7775" spans="1:8" ht="25.05" customHeight="1" x14ac:dyDescent="0.25">
      <c r="A7775" s="2" t="s">
        <v>8</v>
      </c>
      <c r="B7775" s="2" t="str">
        <f>HYPERLINK("http://ts.21cn.com/tousu/show/id/1338785","前段时间买的鞋子降了19元")</f>
        <v>前段时间买的鞋子降了19元</v>
      </c>
      <c r="C7775" s="2" t="s">
        <v>34</v>
      </c>
      <c r="D7775" s="2" t="s">
        <v>10</v>
      </c>
      <c r="E7775" s="2" t="str">
        <f>HYPERLINK("http://ts.21cn.com/tousu/show/id/1338785","http://ts.21cn.com/tousu/show/id/1338785")</f>
        <v>http://ts.21cn.com/tousu/show/id/1338785</v>
      </c>
      <c r="F7775" s="2" t="s">
        <v>11</v>
      </c>
      <c r="G7775" s="2" t="s">
        <v>28877</v>
      </c>
      <c r="H7775" s="2" t="s">
        <v>28878</v>
      </c>
    </row>
    <row r="7776" spans="1:8" ht="25.05" customHeight="1" x14ac:dyDescent="0.25">
      <c r="A7776" s="2" t="s">
        <v>8</v>
      </c>
      <c r="B7776" s="2" t="str">
        <f>HYPERLINK("http://ts.21cn.com/tousu/show/id/1338786","宜人万花道歉")</f>
        <v>宜人万花道歉</v>
      </c>
      <c r="C7776" s="2" t="s">
        <v>9</v>
      </c>
      <c r="D7776" s="2" t="s">
        <v>10</v>
      </c>
      <c r="E7776" s="2" t="str">
        <f>HYPERLINK("http://ts.21cn.com/tousu/show/id/1338786","http://ts.21cn.com/tousu/show/id/1338786")</f>
        <v>http://ts.21cn.com/tousu/show/id/1338786</v>
      </c>
      <c r="F7776" s="2" t="s">
        <v>11</v>
      </c>
      <c r="G7776" s="2" t="s">
        <v>28875</v>
      </c>
      <c r="H7776" s="2" t="s">
        <v>28876</v>
      </c>
    </row>
    <row r="7777" spans="1:8" ht="25.05" customHeight="1" x14ac:dyDescent="0.25">
      <c r="A7777" s="2" t="s">
        <v>8</v>
      </c>
      <c r="B7777" s="2" t="str">
        <f>HYPERLINK("http://ts.21cn.com/tousu/show/id/1338782","贷上钱快马分期指上旅行")</f>
        <v>贷上钱快马分期指上旅行</v>
      </c>
      <c r="C7777" s="2" t="s">
        <v>9</v>
      </c>
      <c r="D7777" s="2" t="s">
        <v>10</v>
      </c>
      <c r="E7777" s="2" t="str">
        <f>HYPERLINK("http://ts.21cn.com/tousu/show/id/1338782","http://ts.21cn.com/tousu/show/id/1338782")</f>
        <v>http://ts.21cn.com/tousu/show/id/1338782</v>
      </c>
      <c r="F7777" s="2" t="s">
        <v>11</v>
      </c>
      <c r="G7777" s="2" t="s">
        <v>28873</v>
      </c>
      <c r="H7777" s="2" t="s">
        <v>28874</v>
      </c>
    </row>
    <row r="7778" spans="1:8" ht="25.05" customHeight="1" x14ac:dyDescent="0.25">
      <c r="A7778" s="2" t="s">
        <v>8</v>
      </c>
      <c r="B7778" s="2" t="str">
        <f>HYPERLINK("http://ts.21cn.com/tousu/show/id/1338788","滴滴出行不派单给快车")</f>
        <v>滴滴出行不派单给快车</v>
      </c>
      <c r="C7778" s="2" t="s">
        <v>9</v>
      </c>
      <c r="D7778" s="2" t="s">
        <v>10</v>
      </c>
      <c r="E7778" s="2" t="str">
        <f>HYPERLINK("http://ts.21cn.com/tousu/show/id/1338788","http://ts.21cn.com/tousu/show/id/1338788")</f>
        <v>http://ts.21cn.com/tousu/show/id/1338788</v>
      </c>
      <c r="F7778" s="2" t="s">
        <v>11</v>
      </c>
      <c r="G7778" s="2" t="s">
        <v>28871</v>
      </c>
      <c r="H7778" s="2" t="s">
        <v>28872</v>
      </c>
    </row>
    <row r="7779" spans="1:8" ht="25.05" customHeight="1" x14ac:dyDescent="0.25">
      <c r="A7779" s="2" t="s">
        <v>8</v>
      </c>
      <c r="B7779" s="2" t="str">
        <f>HYPERLINK("http://ts.21cn.com/tousu/show/id/1338787","拍拍贷暴力催收，有电话录音为证")</f>
        <v>拍拍贷暴力催收，有电话录音为证</v>
      </c>
      <c r="C7779" s="2" t="s">
        <v>9</v>
      </c>
      <c r="D7779" s="2" t="s">
        <v>10</v>
      </c>
      <c r="E7779" s="2" t="str">
        <f>HYPERLINK("http://ts.21cn.com/tousu/show/id/1338787","http://ts.21cn.com/tousu/show/id/1338787")</f>
        <v>http://ts.21cn.com/tousu/show/id/1338787</v>
      </c>
      <c r="F7779" s="2" t="s">
        <v>11</v>
      </c>
      <c r="G7779" s="2" t="s">
        <v>28869</v>
      </c>
      <c r="H7779" s="2" t="s">
        <v>28870</v>
      </c>
    </row>
    <row r="7780" spans="1:8" ht="25.05" customHeight="1" x14ac:dyDescent="0.25">
      <c r="A7780" s="2" t="s">
        <v>8</v>
      </c>
      <c r="B7780" s="2" t="str">
        <f>HYPERLINK("http://ts.21cn.com/tousu/show/id/1338789","蓝月至尊王者351区")</f>
        <v>蓝月至尊王者351区</v>
      </c>
      <c r="C7780" s="2" t="s">
        <v>34</v>
      </c>
      <c r="D7780" s="2" t="s">
        <v>10</v>
      </c>
      <c r="E7780" s="2" t="str">
        <f>HYPERLINK("http://ts.21cn.com/tousu/show/id/1338789","http://ts.21cn.com/tousu/show/id/1338789")</f>
        <v>http://ts.21cn.com/tousu/show/id/1338789</v>
      </c>
      <c r="F7780" s="2" t="s">
        <v>11</v>
      </c>
      <c r="G7780" s="2" t="s">
        <v>28867</v>
      </c>
      <c r="H7780" s="2" t="s">
        <v>28868</v>
      </c>
    </row>
    <row r="7781" spans="1:8" ht="25.05" customHeight="1" x14ac:dyDescent="0.25">
      <c r="A7781" s="2" t="s">
        <v>8</v>
      </c>
      <c r="B7781" s="2" t="str">
        <f>HYPERLINK("http://ts.21cn.com/tousu/show/id/1338790","唯品会快递未经允许私自拒收客户商品")</f>
        <v>唯品会快递未经允许私自拒收客户商品</v>
      </c>
      <c r="C7781" s="2" t="s">
        <v>9</v>
      </c>
      <c r="D7781" s="2" t="s">
        <v>10</v>
      </c>
      <c r="E7781" s="2" t="str">
        <f>HYPERLINK("http://ts.21cn.com/tousu/show/id/1338790","http://ts.21cn.com/tousu/show/id/1338790")</f>
        <v>http://ts.21cn.com/tousu/show/id/1338790</v>
      </c>
      <c r="F7781" s="2" t="s">
        <v>11</v>
      </c>
      <c r="G7781" s="2" t="s">
        <v>28865</v>
      </c>
      <c r="H7781" s="2" t="s">
        <v>28866</v>
      </c>
    </row>
    <row r="7782" spans="1:8" ht="25.05" customHeight="1" x14ac:dyDescent="0.25">
      <c r="A7782" s="2" t="s">
        <v>8</v>
      </c>
      <c r="B7782" s="2" t="str">
        <f>HYPERLINK("http://ts.21cn.com/tousu/show/id/1338791","唯品会买的羊绒裤穿一次变形")</f>
        <v>唯品会买的羊绒裤穿一次变形</v>
      </c>
      <c r="C7782" s="2" t="s">
        <v>34</v>
      </c>
      <c r="D7782" s="2" t="s">
        <v>10</v>
      </c>
      <c r="E7782" s="2" t="str">
        <f>HYPERLINK("http://ts.21cn.com/tousu/show/id/1338791","http://ts.21cn.com/tousu/show/id/1338791")</f>
        <v>http://ts.21cn.com/tousu/show/id/1338791</v>
      </c>
      <c r="F7782" s="2" t="s">
        <v>11</v>
      </c>
      <c r="G7782" s="2" t="s">
        <v>28863</v>
      </c>
      <c r="H7782" s="2" t="s">
        <v>28864</v>
      </c>
    </row>
    <row r="7783" spans="1:8" ht="25.05" customHeight="1" x14ac:dyDescent="0.25">
      <c r="A7783" s="2" t="s">
        <v>8</v>
      </c>
      <c r="B7783" s="2" t="str">
        <f>HYPERLINK("http://ts.21cn.com/tousu/show/id/1338793","买了一双假鞋，货到付款，客服不让退只让换，寄过去说等干送他一双鞋")</f>
        <v>买了一双假鞋，货到付款，客服不让退只让换，寄过去说等干送他一双鞋</v>
      </c>
      <c r="C7783" s="2" t="s">
        <v>34</v>
      </c>
      <c r="D7783" s="2" t="s">
        <v>10</v>
      </c>
      <c r="E7783" s="2" t="str">
        <f>HYPERLINK("http://ts.21cn.com/tousu/show/id/1338793","http://ts.21cn.com/tousu/show/id/1338793")</f>
        <v>http://ts.21cn.com/tousu/show/id/1338793</v>
      </c>
      <c r="F7783" s="2" t="s">
        <v>11</v>
      </c>
      <c r="G7783" s="2" t="s">
        <v>28861</v>
      </c>
      <c r="H7783" s="2" t="s">
        <v>28862</v>
      </c>
    </row>
    <row r="7784" spans="1:8" ht="25.05" customHeight="1" x14ac:dyDescent="0.25">
      <c r="A7784" s="2" t="s">
        <v>8</v>
      </c>
      <c r="B7784" s="2" t="str">
        <f>HYPERLINK("http://ts.21cn.com/tousu/show/id/1338794","投诉新橙优品和天津金城银行正常还款上报人行逾期记录")</f>
        <v>投诉新橙优品和天津金城银行正常还款上报人行逾期记录</v>
      </c>
      <c r="C7784" s="2" t="s">
        <v>9</v>
      </c>
      <c r="D7784" s="2" t="s">
        <v>10</v>
      </c>
      <c r="E7784" s="2" t="str">
        <f>HYPERLINK("http://ts.21cn.com/tousu/show/id/1338794","http://ts.21cn.com/tousu/show/id/1338794")</f>
        <v>http://ts.21cn.com/tousu/show/id/1338794</v>
      </c>
      <c r="F7784" s="2" t="s">
        <v>11</v>
      </c>
      <c r="G7784" s="2" t="s">
        <v>28859</v>
      </c>
      <c r="H7784" s="2" t="s">
        <v>28860</v>
      </c>
    </row>
    <row r="7785" spans="1:8" ht="25.05" customHeight="1" x14ac:dyDescent="0.25">
      <c r="A7785" s="2" t="s">
        <v>8</v>
      </c>
      <c r="B7785" s="2" t="str">
        <f>HYPERLINK("http://ts.21cn.com/tousu/show/id/1338796","被莫名从支付宝先后扣款69和99元人民币")</f>
        <v>被莫名从支付宝先后扣款69和99元人民币</v>
      </c>
      <c r="C7785" s="2" t="s">
        <v>9</v>
      </c>
      <c r="D7785" s="2" t="s">
        <v>10</v>
      </c>
      <c r="E7785" s="2" t="str">
        <f>HYPERLINK("http://ts.21cn.com/tousu/show/id/1338796","http://ts.21cn.com/tousu/show/id/1338796")</f>
        <v>http://ts.21cn.com/tousu/show/id/1338796</v>
      </c>
      <c r="F7785" s="2" t="s">
        <v>11</v>
      </c>
      <c r="G7785" s="2" t="s">
        <v>28857</v>
      </c>
      <c r="H7785" s="2" t="s">
        <v>28858</v>
      </c>
    </row>
    <row r="7786" spans="1:8" ht="25.05" customHeight="1" x14ac:dyDescent="0.25">
      <c r="A7786" s="2" t="s">
        <v>8</v>
      </c>
      <c r="B7786" s="2" t="str">
        <f>HYPERLINK("http://ts.21cn.com/tousu/show/id/1338797","你我贷")</f>
        <v>你我贷</v>
      </c>
      <c r="C7786" s="2" t="s">
        <v>9</v>
      </c>
      <c r="D7786" s="2" t="s">
        <v>10</v>
      </c>
      <c r="E7786" s="2" t="str">
        <f>HYPERLINK("http://ts.21cn.com/tousu/show/id/1338797","http://ts.21cn.com/tousu/show/id/1338797")</f>
        <v>http://ts.21cn.com/tousu/show/id/1338797</v>
      </c>
      <c r="F7786" s="2" t="s">
        <v>11</v>
      </c>
      <c r="G7786" s="2" t="s">
        <v>28855</v>
      </c>
      <c r="H7786" s="2" t="s">
        <v>28856</v>
      </c>
    </row>
    <row r="7787" spans="1:8" ht="25.05" customHeight="1" x14ac:dyDescent="0.25">
      <c r="A7787" s="2" t="s">
        <v>8</v>
      </c>
      <c r="B7787" s="2" t="str">
        <f>HYPERLINK("http://ts.21cn.com/tousu/show/id/1338798","百事普惠恶意扣款100元")</f>
        <v>百事普惠恶意扣款100元</v>
      </c>
      <c r="C7787" s="2" t="s">
        <v>9</v>
      </c>
      <c r="D7787" s="2" t="s">
        <v>10</v>
      </c>
      <c r="E7787" s="2" t="str">
        <f>HYPERLINK("http://ts.21cn.com/tousu/show/id/1338798","http://ts.21cn.com/tousu/show/id/1338798")</f>
        <v>http://ts.21cn.com/tousu/show/id/1338798</v>
      </c>
      <c r="F7787" s="2" t="s">
        <v>11</v>
      </c>
      <c r="G7787" s="2" t="s">
        <v>28853</v>
      </c>
      <c r="H7787" s="2" t="s">
        <v>28854</v>
      </c>
    </row>
    <row r="7788" spans="1:8" ht="25.05" customHeight="1" x14ac:dyDescent="0.25">
      <c r="A7788" s="2" t="s">
        <v>8</v>
      </c>
      <c r="B7788" s="2" t="str">
        <f>HYPERLINK("http://ts.21cn.com/tousu/show/id/1338800","你我贷恶意套取高额费用，涉嫌放纵第三方催收，情节严重")</f>
        <v>你我贷恶意套取高额费用，涉嫌放纵第三方催收，情节严重</v>
      </c>
      <c r="C7788" s="2" t="s">
        <v>9</v>
      </c>
      <c r="D7788" s="2" t="s">
        <v>10</v>
      </c>
      <c r="E7788" s="2" t="str">
        <f>HYPERLINK("http://ts.21cn.com/tousu/show/id/1338800","http://ts.21cn.com/tousu/show/id/1338800")</f>
        <v>http://ts.21cn.com/tousu/show/id/1338800</v>
      </c>
      <c r="F7788" s="2" t="s">
        <v>11</v>
      </c>
      <c r="G7788" s="2" t="s">
        <v>28851</v>
      </c>
      <c r="H7788" s="2" t="s">
        <v>28852</v>
      </c>
    </row>
    <row r="7789" spans="1:8" ht="25.05" customHeight="1" x14ac:dyDescent="0.25">
      <c r="A7789" s="2" t="s">
        <v>8</v>
      </c>
      <c r="B7789" s="2" t="str">
        <f>HYPERLINK("http://ts.21cn.com/tousu/show/id/1338799","联系几次客服处理问题总是拖")</f>
        <v>联系几次客服处理问题总是拖</v>
      </c>
      <c r="C7789" s="2" t="s">
        <v>9</v>
      </c>
      <c r="D7789" s="2" t="s">
        <v>10</v>
      </c>
      <c r="E7789" s="2" t="str">
        <f>HYPERLINK("http://ts.21cn.com/tousu/show/id/1338799","http://ts.21cn.com/tousu/show/id/1338799")</f>
        <v>http://ts.21cn.com/tousu/show/id/1338799</v>
      </c>
      <c r="F7789" s="2" t="s">
        <v>11</v>
      </c>
      <c r="G7789" s="2" t="s">
        <v>28849</v>
      </c>
      <c r="H7789" s="2" t="s">
        <v>28850</v>
      </c>
    </row>
    <row r="7790" spans="1:8" ht="25.05" customHeight="1" x14ac:dyDescent="0.25">
      <c r="A7790" s="2" t="s">
        <v>8</v>
      </c>
      <c r="B7790" s="2" t="str">
        <f>HYPERLINK("http://ts.21cn.com/tousu/show/id/1338801","维信金科变相收取非法砍头息")</f>
        <v>维信金科变相收取非法砍头息</v>
      </c>
      <c r="C7790" s="2" t="s">
        <v>9</v>
      </c>
      <c r="D7790" s="2" t="s">
        <v>10</v>
      </c>
      <c r="E7790" s="2" t="str">
        <f>HYPERLINK("http://ts.21cn.com/tousu/show/id/1338801","http://ts.21cn.com/tousu/show/id/1338801")</f>
        <v>http://ts.21cn.com/tousu/show/id/1338801</v>
      </c>
      <c r="F7790" s="2" t="s">
        <v>11</v>
      </c>
      <c r="G7790" s="2" t="s">
        <v>28847</v>
      </c>
      <c r="H7790" s="2" t="s">
        <v>28848</v>
      </c>
    </row>
    <row r="7791" spans="1:8" ht="25.05" customHeight="1" x14ac:dyDescent="0.25">
      <c r="A7791" s="2" t="s">
        <v>8</v>
      </c>
      <c r="B7791" s="2" t="str">
        <f>HYPERLINK("http://ts.21cn.com/tousu/show/id/1338802","逾期费用过高，要求减免")</f>
        <v>逾期费用过高，要求减免</v>
      </c>
      <c r="C7791" s="2" t="s">
        <v>34</v>
      </c>
      <c r="D7791" s="2" t="s">
        <v>10</v>
      </c>
      <c r="E7791" s="2" t="str">
        <f>HYPERLINK("http://ts.21cn.com/tousu/show/id/1338802","http://ts.21cn.com/tousu/show/id/1338802")</f>
        <v>http://ts.21cn.com/tousu/show/id/1338802</v>
      </c>
      <c r="F7791" s="2" t="s">
        <v>11</v>
      </c>
      <c r="G7791" s="2" t="s">
        <v>28845</v>
      </c>
      <c r="H7791" s="2" t="s">
        <v>28846</v>
      </c>
    </row>
    <row r="7792" spans="1:8" ht="25.05" customHeight="1" x14ac:dyDescent="0.25">
      <c r="A7792" s="2" t="s">
        <v>8</v>
      </c>
      <c r="B7792" s="2" t="str">
        <f>HYPERLINK("http://ts.21cn.com/tousu/show/id/1338803","高利贷，借款还需要买保险")</f>
        <v>高利贷，借款还需要买保险</v>
      </c>
      <c r="C7792" s="2" t="s">
        <v>9</v>
      </c>
      <c r="D7792" s="2" t="s">
        <v>10</v>
      </c>
      <c r="E7792" s="2" t="str">
        <f>HYPERLINK("http://ts.21cn.com/tousu/show/id/1338803","http://ts.21cn.com/tousu/show/id/1338803")</f>
        <v>http://ts.21cn.com/tousu/show/id/1338803</v>
      </c>
      <c r="F7792" s="2" t="s">
        <v>11</v>
      </c>
      <c r="G7792" s="2" t="s">
        <v>28843</v>
      </c>
      <c r="H7792" s="2" t="s">
        <v>28844</v>
      </c>
    </row>
    <row r="7793" spans="1:8" ht="25.05" customHeight="1" x14ac:dyDescent="0.25">
      <c r="A7793" s="2" t="s">
        <v>8</v>
      </c>
      <c r="B7793" s="2" t="str">
        <f>HYPERLINK("http://ts.21cn.com/tousu/show/id/1338804","催收不断骚扰和联系人")</f>
        <v>催收不断骚扰和联系人</v>
      </c>
      <c r="C7793" s="2" t="s">
        <v>9</v>
      </c>
      <c r="D7793" s="2" t="s">
        <v>10</v>
      </c>
      <c r="E7793" s="2" t="str">
        <f>HYPERLINK("http://ts.21cn.com/tousu/show/id/1338804","http://ts.21cn.com/tousu/show/id/1338804")</f>
        <v>http://ts.21cn.com/tousu/show/id/1338804</v>
      </c>
      <c r="F7793" s="2" t="s">
        <v>11</v>
      </c>
      <c r="G7793" s="2" t="s">
        <v>28841</v>
      </c>
      <c r="H7793" s="2" t="s">
        <v>28842</v>
      </c>
    </row>
    <row r="7794" spans="1:8" ht="25.05" customHeight="1" x14ac:dyDescent="0.25">
      <c r="A7794" s="2" t="s">
        <v>8</v>
      </c>
      <c r="B7794" s="2" t="str">
        <f>HYPERLINK("http://ts.21cn.com/tousu/show/id/1338805","用钱宝无法还款，无法查看自己的借款信息，也不自动扣款。")</f>
        <v>用钱宝无法还款，无法查看自己的借款信息，也不自动扣款。</v>
      </c>
      <c r="C7794" s="2" t="s">
        <v>34</v>
      </c>
      <c r="D7794" s="2" t="s">
        <v>10</v>
      </c>
      <c r="E7794" s="2" t="str">
        <f>HYPERLINK("http://ts.21cn.com/tousu/show/id/1338805","http://ts.21cn.com/tousu/show/id/1338805")</f>
        <v>http://ts.21cn.com/tousu/show/id/1338805</v>
      </c>
      <c r="F7794" s="2" t="s">
        <v>11</v>
      </c>
      <c r="G7794" s="2" t="s">
        <v>28839</v>
      </c>
      <c r="H7794" s="2" t="s">
        <v>28840</v>
      </c>
    </row>
    <row r="7795" spans="1:8" ht="25.05" customHeight="1" x14ac:dyDescent="0.25">
      <c r="A7795" s="2" t="s">
        <v>8</v>
      </c>
      <c r="B7795" s="2" t="str">
        <f>HYPERLINK("http://ts.21cn.com/tousu/show/id/1338807","投诉客服")</f>
        <v>投诉客服</v>
      </c>
      <c r="C7795" s="2" t="s">
        <v>9</v>
      </c>
      <c r="D7795" s="2" t="s">
        <v>10</v>
      </c>
      <c r="E7795" s="2" t="str">
        <f>HYPERLINK("http://ts.21cn.com/tousu/show/id/1338807","http://ts.21cn.com/tousu/show/id/1338807")</f>
        <v>http://ts.21cn.com/tousu/show/id/1338807</v>
      </c>
      <c r="F7795" s="2" t="s">
        <v>11</v>
      </c>
      <c r="G7795" s="2" t="s">
        <v>28837</v>
      </c>
      <c r="H7795" s="2" t="s">
        <v>28838</v>
      </c>
    </row>
    <row r="7796" spans="1:8" ht="25.05" customHeight="1" x14ac:dyDescent="0.25">
      <c r="A7796" s="2" t="s">
        <v>8</v>
      </c>
      <c r="B7796" s="2" t="str">
        <f>HYPERLINK("http://ts.21cn.com/tousu/show/id/1338806","以买游戏豆为由收取高额贷款通过费")</f>
        <v>以买游戏豆为由收取高额贷款通过费</v>
      </c>
      <c r="C7796" s="2" t="s">
        <v>9</v>
      </c>
      <c r="D7796" s="2" t="s">
        <v>10</v>
      </c>
      <c r="E7796" s="2" t="str">
        <f>HYPERLINK("http://ts.21cn.com/tousu/show/id/1338806","http://ts.21cn.com/tousu/show/id/1338806")</f>
        <v>http://ts.21cn.com/tousu/show/id/1338806</v>
      </c>
      <c r="F7796" s="2" t="s">
        <v>11</v>
      </c>
      <c r="G7796" s="2" t="s">
        <v>28835</v>
      </c>
      <c r="H7796" s="2" t="s">
        <v>28836</v>
      </c>
    </row>
    <row r="7797" spans="1:8" ht="25.05" customHeight="1" x14ac:dyDescent="0.25">
      <c r="A7797" s="2" t="s">
        <v>8</v>
      </c>
      <c r="B7797" s="2" t="str">
        <f>HYPERLINK("http://ts.21cn.com/tousu/show/id/1338808","你我贷答应延期还款，又暴力催收，不履行承诺")</f>
        <v>你我贷答应延期还款，又暴力催收，不履行承诺</v>
      </c>
      <c r="C7797" s="2" t="s">
        <v>9</v>
      </c>
      <c r="D7797" s="2" t="s">
        <v>10</v>
      </c>
      <c r="E7797" s="2" t="str">
        <f>HYPERLINK("http://ts.21cn.com/tousu/show/id/1338808","http://ts.21cn.com/tousu/show/id/1338808")</f>
        <v>http://ts.21cn.com/tousu/show/id/1338808</v>
      </c>
      <c r="F7797" s="2" t="s">
        <v>11</v>
      </c>
      <c r="G7797" s="2" t="s">
        <v>28833</v>
      </c>
      <c r="H7797" s="2" t="s">
        <v>28834</v>
      </c>
    </row>
    <row r="7798" spans="1:8" ht="25.05" customHeight="1" x14ac:dyDescent="0.25">
      <c r="A7798" s="2" t="s">
        <v>8</v>
      </c>
      <c r="B7798" s="2" t="str">
        <f>HYPERLINK("http://ts.21cn.com/tousu/show/id/1338809","10086优惠套餐霸王条款")</f>
        <v>10086优惠套餐霸王条款</v>
      </c>
      <c r="C7798" s="2" t="s">
        <v>9</v>
      </c>
      <c r="D7798" s="2" t="s">
        <v>10</v>
      </c>
      <c r="E7798" s="2" t="str">
        <f>HYPERLINK("http://ts.21cn.com/tousu/show/id/1338809","http://ts.21cn.com/tousu/show/id/1338809")</f>
        <v>http://ts.21cn.com/tousu/show/id/1338809</v>
      </c>
      <c r="F7798" s="2" t="s">
        <v>11</v>
      </c>
      <c r="G7798" s="2" t="s">
        <v>28831</v>
      </c>
      <c r="H7798" s="2" t="s">
        <v>28832</v>
      </c>
    </row>
    <row r="7799" spans="1:8" ht="25.05" customHeight="1" x14ac:dyDescent="0.25">
      <c r="A7799" s="2" t="s">
        <v>8</v>
      </c>
      <c r="B7799" s="2" t="str">
        <f>HYPERLINK("http://ts.21cn.com/tousu/show/id/1338810","恶意催收，高额息")</f>
        <v>恶意催收，高额息</v>
      </c>
      <c r="C7799" s="2" t="s">
        <v>9</v>
      </c>
      <c r="D7799" s="2" t="s">
        <v>10</v>
      </c>
      <c r="E7799" s="2" t="str">
        <f>HYPERLINK("http://ts.21cn.com/tousu/show/id/1338810","http://ts.21cn.com/tousu/show/id/1338810")</f>
        <v>http://ts.21cn.com/tousu/show/id/1338810</v>
      </c>
      <c r="F7799" s="2" t="s">
        <v>11</v>
      </c>
      <c r="G7799" s="2" t="s">
        <v>28829</v>
      </c>
      <c r="H7799" s="2" t="s">
        <v>28830</v>
      </c>
    </row>
    <row r="7800" spans="1:8" ht="25.05" customHeight="1" x14ac:dyDescent="0.25">
      <c r="A7800" s="2" t="s">
        <v>8</v>
      </c>
      <c r="B7800" s="2" t="str">
        <f>HYPERLINK("http://ts.21cn.com/tousu/show/id/1338811","巴乐兔带看人员")</f>
        <v>巴乐兔带看人员</v>
      </c>
      <c r="C7800" s="2" t="s">
        <v>9</v>
      </c>
      <c r="D7800" s="2" t="s">
        <v>10</v>
      </c>
      <c r="E7800" s="2" t="str">
        <f>HYPERLINK("http://ts.21cn.com/tousu/show/id/1338811","http://ts.21cn.com/tousu/show/id/1338811")</f>
        <v>http://ts.21cn.com/tousu/show/id/1338811</v>
      </c>
      <c r="F7800" s="2" t="s">
        <v>11</v>
      </c>
      <c r="G7800" s="2" t="s">
        <v>28827</v>
      </c>
      <c r="H7800" s="2" t="s">
        <v>28828</v>
      </c>
    </row>
    <row r="7801" spans="1:8" ht="25.05" customHeight="1" x14ac:dyDescent="0.25">
      <c r="A7801" s="2" t="s">
        <v>8</v>
      </c>
      <c r="B7801" s="2" t="str">
        <f>HYPERLINK("http://ts.21cn.com/tousu/show/id/1338812","钱站套路贷")</f>
        <v>钱站套路贷</v>
      </c>
      <c r="C7801" s="2" t="s">
        <v>9</v>
      </c>
      <c r="D7801" s="2" t="s">
        <v>10</v>
      </c>
      <c r="E7801" s="2" t="str">
        <f>HYPERLINK("http://ts.21cn.com/tousu/show/id/1338812","http://ts.21cn.com/tousu/show/id/1338812")</f>
        <v>http://ts.21cn.com/tousu/show/id/1338812</v>
      </c>
      <c r="F7801" s="2" t="s">
        <v>11</v>
      </c>
      <c r="G7801" s="2" t="s">
        <v>28825</v>
      </c>
      <c r="H7801" s="2" t="s">
        <v>28826</v>
      </c>
    </row>
    <row r="7802" spans="1:8" ht="25.05" customHeight="1" x14ac:dyDescent="0.25">
      <c r="A7802" s="2" t="s">
        <v>8</v>
      </c>
      <c r="B7802" s="2" t="str">
        <f>HYPERLINK("http://ts.21cn.com/tousu/show/id/1338813","投诉Gogo游戏Steam助手")</f>
        <v>投诉Gogo游戏Steam助手</v>
      </c>
      <c r="C7802" s="2" t="s">
        <v>9</v>
      </c>
      <c r="D7802" s="2" t="s">
        <v>10</v>
      </c>
      <c r="E7802" s="2" t="str">
        <f>HYPERLINK("http://ts.21cn.com/tousu/show/id/1338813","http://ts.21cn.com/tousu/show/id/1338813")</f>
        <v>http://ts.21cn.com/tousu/show/id/1338813</v>
      </c>
      <c r="F7802" s="2" t="s">
        <v>11</v>
      </c>
      <c r="G7802" s="2" t="s">
        <v>28823</v>
      </c>
      <c r="H7802" s="2" t="s">
        <v>28824</v>
      </c>
    </row>
    <row r="7803" spans="1:8" ht="25.05" customHeight="1" x14ac:dyDescent="0.25">
      <c r="A7803" s="2" t="s">
        <v>8</v>
      </c>
      <c r="B7803" s="2" t="str">
        <f>HYPERLINK("http://ts.21cn.com/tousu/show/id/1338814","苹果APP程序Simplypiano自动签约并强制扣费")</f>
        <v>苹果APP程序Simplypiano自动签约并强制扣费</v>
      </c>
      <c r="C7803" s="2" t="s">
        <v>9</v>
      </c>
      <c r="D7803" s="2" t="s">
        <v>10</v>
      </c>
      <c r="E7803" s="2" t="str">
        <f>HYPERLINK("http://ts.21cn.com/tousu/show/id/1338814","http://ts.21cn.com/tousu/show/id/1338814")</f>
        <v>http://ts.21cn.com/tousu/show/id/1338814</v>
      </c>
      <c r="F7803" s="2" t="s">
        <v>11</v>
      </c>
      <c r="G7803" s="2" t="s">
        <v>28821</v>
      </c>
      <c r="H7803" s="2" t="s">
        <v>28822</v>
      </c>
    </row>
    <row r="7804" spans="1:8" ht="25.05" customHeight="1" x14ac:dyDescent="0.25">
      <c r="A7804" s="2" t="s">
        <v>8</v>
      </c>
      <c r="B7804" s="2" t="str">
        <f>HYPERLINK("http://ts.21cn.com/tousu/show/id/1338815","中腾信没到期威胁催收")</f>
        <v>中腾信没到期威胁催收</v>
      </c>
      <c r="C7804" s="2" t="s">
        <v>9</v>
      </c>
      <c r="D7804" s="2" t="s">
        <v>10</v>
      </c>
      <c r="E7804" s="2" t="str">
        <f>HYPERLINK("http://ts.21cn.com/tousu/show/id/1338815","http://ts.21cn.com/tousu/show/id/1338815")</f>
        <v>http://ts.21cn.com/tousu/show/id/1338815</v>
      </c>
      <c r="F7804" s="2" t="s">
        <v>11</v>
      </c>
      <c r="G7804" s="2" t="s">
        <v>28819</v>
      </c>
      <c r="H7804" s="2" t="s">
        <v>28820</v>
      </c>
    </row>
    <row r="7805" spans="1:8" ht="25.05" customHeight="1" x14ac:dyDescent="0.25">
      <c r="A7805" s="2" t="s">
        <v>8</v>
      </c>
      <c r="B7805" s="2" t="str">
        <f>HYPERLINK("http://ts.21cn.com/tousu/show/id/1338816","恶意扣款不出具扣费凭证")</f>
        <v>恶意扣款不出具扣费凭证</v>
      </c>
      <c r="C7805" s="2" t="s">
        <v>9</v>
      </c>
      <c r="D7805" s="2" t="s">
        <v>10</v>
      </c>
      <c r="E7805" s="2" t="str">
        <f>HYPERLINK("http://ts.21cn.com/tousu/show/id/1338816","http://ts.21cn.com/tousu/show/id/1338816")</f>
        <v>http://ts.21cn.com/tousu/show/id/1338816</v>
      </c>
      <c r="F7805" s="2" t="s">
        <v>11</v>
      </c>
      <c r="G7805" s="2" t="s">
        <v>28817</v>
      </c>
      <c r="H7805" s="2" t="s">
        <v>28818</v>
      </c>
    </row>
    <row r="7806" spans="1:8" ht="25.05" customHeight="1" x14ac:dyDescent="0.25">
      <c r="A7806" s="2" t="s">
        <v>8</v>
      </c>
      <c r="B7806" s="2" t="str">
        <f>HYPERLINK("http://ts.21cn.com/tousu/show/id/1338817","乱收费标准何在")</f>
        <v>乱收费标准何在</v>
      </c>
      <c r="C7806" s="2" t="s">
        <v>9</v>
      </c>
      <c r="D7806" s="2" t="s">
        <v>10</v>
      </c>
      <c r="E7806" s="2" t="str">
        <f>HYPERLINK("http://ts.21cn.com/tousu/show/id/1338817","http://ts.21cn.com/tousu/show/id/1338817")</f>
        <v>http://ts.21cn.com/tousu/show/id/1338817</v>
      </c>
      <c r="F7806" s="2" t="s">
        <v>11</v>
      </c>
      <c r="G7806" s="2" t="s">
        <v>28815</v>
      </c>
      <c r="H7806" s="2" t="s">
        <v>28816</v>
      </c>
    </row>
    <row r="7807" spans="1:8" ht="25.05" customHeight="1" x14ac:dyDescent="0.25">
      <c r="A7807" s="2" t="s">
        <v>8</v>
      </c>
      <c r="B7807" s="2" t="str">
        <f>HYPERLINK("http://ts.21cn.com/tousu/show/id/1338818","你我贷冒充法院，报虚假犯罪条款吓唬人")</f>
        <v>你我贷冒充法院，报虚假犯罪条款吓唬人</v>
      </c>
      <c r="C7807" s="2" t="s">
        <v>9</v>
      </c>
      <c r="D7807" s="2" t="s">
        <v>10</v>
      </c>
      <c r="E7807" s="2" t="str">
        <f>HYPERLINK("http://ts.21cn.com/tousu/show/id/1338818","http://ts.21cn.com/tousu/show/id/1338818")</f>
        <v>http://ts.21cn.com/tousu/show/id/1338818</v>
      </c>
      <c r="F7807" s="2" t="s">
        <v>11</v>
      </c>
      <c r="G7807" s="2" t="s">
        <v>28813</v>
      </c>
      <c r="H7807" s="2" t="s">
        <v>28814</v>
      </c>
    </row>
    <row r="7808" spans="1:8" ht="25.05" customHeight="1" x14ac:dyDescent="0.25">
      <c r="A7808" s="2" t="s">
        <v>8</v>
      </c>
      <c r="B7808" s="2" t="str">
        <f>HYPERLINK("http://ts.21cn.com/tousu/show/id/1338819","贷上钱暴力催收，恐吓，骚扰通讯录")</f>
        <v>贷上钱暴力催收，恐吓，骚扰通讯录</v>
      </c>
      <c r="C7808" s="2" t="s">
        <v>9</v>
      </c>
      <c r="D7808" s="2" t="s">
        <v>10</v>
      </c>
      <c r="E7808" s="2" t="str">
        <f>HYPERLINK("http://ts.21cn.com/tousu/show/id/1338819","http://ts.21cn.com/tousu/show/id/1338819")</f>
        <v>http://ts.21cn.com/tousu/show/id/1338819</v>
      </c>
      <c r="F7808" s="2" t="s">
        <v>11</v>
      </c>
      <c r="G7808" s="2" t="s">
        <v>28811</v>
      </c>
      <c r="H7808" s="2" t="s">
        <v>28812</v>
      </c>
    </row>
    <row r="7809" spans="1:8" ht="25.05" customHeight="1" x14ac:dyDescent="0.25">
      <c r="A7809" s="2" t="s">
        <v>8</v>
      </c>
      <c r="B7809" s="2" t="str">
        <f>HYPERLINK("http://ts.21cn.com/tousu/show/id/1338820","涉嫌盗取客户银行卡信息非法扣费")</f>
        <v>涉嫌盗取客户银行卡信息非法扣费</v>
      </c>
      <c r="C7809" s="2" t="s">
        <v>9</v>
      </c>
      <c r="D7809" s="2" t="s">
        <v>10</v>
      </c>
      <c r="E7809" s="2" t="str">
        <f>HYPERLINK("http://ts.21cn.com/tousu/show/id/1338820","http://ts.21cn.com/tousu/show/id/1338820")</f>
        <v>http://ts.21cn.com/tousu/show/id/1338820</v>
      </c>
      <c r="F7809" s="2" t="s">
        <v>11</v>
      </c>
      <c r="G7809" s="2" t="s">
        <v>28809</v>
      </c>
      <c r="H7809" s="2" t="s">
        <v>28810</v>
      </c>
    </row>
    <row r="7810" spans="1:8" ht="25.05" customHeight="1" x14ac:dyDescent="0.25">
      <c r="A7810" s="2" t="s">
        <v>8</v>
      </c>
      <c r="B7810" s="2" t="str">
        <f>HYPERLINK("http://ts.21cn.com/tousu/show/id/1338821","贷上钱购买金豆，变相收取额外利息")</f>
        <v>贷上钱购买金豆，变相收取额外利息</v>
      </c>
      <c r="C7810" s="2" t="s">
        <v>9</v>
      </c>
      <c r="D7810" s="2" t="s">
        <v>10</v>
      </c>
      <c r="E7810" s="2" t="str">
        <f>HYPERLINK("http://ts.21cn.com/tousu/show/id/1338821","http://ts.21cn.com/tousu/show/id/1338821")</f>
        <v>http://ts.21cn.com/tousu/show/id/1338821</v>
      </c>
      <c r="F7810" s="2" t="s">
        <v>11</v>
      </c>
      <c r="G7810" s="2" t="s">
        <v>28807</v>
      </c>
      <c r="H7810" s="2" t="s">
        <v>28808</v>
      </c>
    </row>
    <row r="7811" spans="1:8" ht="25.05" customHeight="1" x14ac:dyDescent="0.25">
      <c r="A7811" s="2" t="s">
        <v>8</v>
      </c>
      <c r="B7811" s="2" t="str">
        <f>HYPERLINK("http://ts.21cn.com/tousu/show/id/1338822","安全带高利贷")</f>
        <v>安全带高利贷</v>
      </c>
      <c r="C7811" s="2" t="s">
        <v>9</v>
      </c>
      <c r="D7811" s="2" t="s">
        <v>10</v>
      </c>
      <c r="E7811" s="2" t="str">
        <f>HYPERLINK("http://ts.21cn.com/tousu/show/id/1338822","http://ts.21cn.com/tousu/show/id/1338822")</f>
        <v>http://ts.21cn.com/tousu/show/id/1338822</v>
      </c>
      <c r="F7811" s="2" t="s">
        <v>11</v>
      </c>
      <c r="G7811" s="2" t="s">
        <v>28805</v>
      </c>
      <c r="H7811" s="2" t="s">
        <v>28806</v>
      </c>
    </row>
    <row r="7812" spans="1:8" ht="25.05" customHeight="1" x14ac:dyDescent="0.25">
      <c r="A7812" s="2" t="s">
        <v>8</v>
      </c>
      <c r="B7812" s="2" t="str">
        <f>HYPERLINK("http://ts.21cn.com/tousu/show/id/1338823","贷上钱")</f>
        <v>贷上钱</v>
      </c>
      <c r="C7812" s="2" t="s">
        <v>9</v>
      </c>
      <c r="D7812" s="2" t="s">
        <v>10</v>
      </c>
      <c r="E7812" s="2" t="str">
        <f>HYPERLINK("http://ts.21cn.com/tousu/show/id/1338823","http://ts.21cn.com/tousu/show/id/1338823")</f>
        <v>http://ts.21cn.com/tousu/show/id/1338823</v>
      </c>
      <c r="F7812" s="2" t="s">
        <v>11</v>
      </c>
      <c r="G7812" s="2" t="s">
        <v>28803</v>
      </c>
      <c r="H7812" s="2" t="s">
        <v>28804</v>
      </c>
    </row>
    <row r="7813" spans="1:8" ht="25.05" customHeight="1" x14ac:dyDescent="0.25">
      <c r="A7813" s="2" t="s">
        <v>8</v>
      </c>
      <c r="B7813" s="2" t="str">
        <f>HYPERLINK("http://ts.21cn.com/tousu/show/id/1338824","现金借款协商还款时间")</f>
        <v>现金借款协商还款时间</v>
      </c>
      <c r="C7813" s="2" t="s">
        <v>9</v>
      </c>
      <c r="D7813" s="2" t="s">
        <v>10</v>
      </c>
      <c r="E7813" s="2" t="str">
        <f>HYPERLINK("http://ts.21cn.com/tousu/show/id/1338824","http://ts.21cn.com/tousu/show/id/1338824")</f>
        <v>http://ts.21cn.com/tousu/show/id/1338824</v>
      </c>
      <c r="F7813" s="2" t="s">
        <v>11</v>
      </c>
      <c r="G7813" s="2" t="s">
        <v>28801</v>
      </c>
      <c r="H7813" s="2" t="s">
        <v>28802</v>
      </c>
    </row>
    <row r="7814" spans="1:8" ht="25.05" customHeight="1" x14ac:dyDescent="0.25">
      <c r="A7814" s="2" t="s">
        <v>8</v>
      </c>
      <c r="B7814" s="2" t="str">
        <f>HYPERLINK("http://ts.21cn.com/tousu/show/id/1338825","主动还款竟然扣两次，本来下期扣款的也扣款了，也没减免下期的手续费，扣了手续费")</f>
        <v>主动还款竟然扣两次，本来下期扣款的也扣款了，也没减免下期的手续费，扣了手续费</v>
      </c>
      <c r="C7814" s="2" t="s">
        <v>34</v>
      </c>
      <c r="D7814" s="2" t="s">
        <v>10</v>
      </c>
      <c r="E7814" s="2" t="str">
        <f>HYPERLINK("http://ts.21cn.com/tousu/show/id/1338825","http://ts.21cn.com/tousu/show/id/1338825")</f>
        <v>http://ts.21cn.com/tousu/show/id/1338825</v>
      </c>
      <c r="F7814" s="2" t="s">
        <v>11</v>
      </c>
      <c r="G7814" s="2" t="s">
        <v>28799</v>
      </c>
      <c r="H7814" s="2" t="s">
        <v>28800</v>
      </c>
    </row>
    <row r="7815" spans="1:8" ht="25.05" customHeight="1" x14ac:dyDescent="0.25">
      <c r="A7815" s="2" t="s">
        <v>8</v>
      </c>
      <c r="B7815" s="2" t="str">
        <f>HYPERLINK("http://ts.21cn.com/tousu/show/id/1338826","银盛支付公司Pos收款未到账强制挪用我们商户的钱，不同意无息分期，要求全款")</f>
        <v>银盛支付公司Pos收款未到账强制挪用我们商户的钱，不同意无息分期，要求全款</v>
      </c>
      <c r="C7815" s="2" t="s">
        <v>9</v>
      </c>
      <c r="D7815" s="2" t="s">
        <v>10</v>
      </c>
      <c r="E7815" s="2" t="str">
        <f>HYPERLINK("http://ts.21cn.com/tousu/show/id/1338826","http://ts.21cn.com/tousu/show/id/1338826")</f>
        <v>http://ts.21cn.com/tousu/show/id/1338826</v>
      </c>
      <c r="F7815" s="2" t="s">
        <v>11</v>
      </c>
      <c r="G7815" s="2" t="s">
        <v>28797</v>
      </c>
      <c r="H7815" s="2" t="s">
        <v>28798</v>
      </c>
    </row>
    <row r="7816" spans="1:8" ht="25.05" customHeight="1" x14ac:dyDescent="0.25">
      <c r="A7816" s="2" t="s">
        <v>8</v>
      </c>
      <c r="B7816" s="2" t="str">
        <f>HYPERLINK("http://ts.21cn.com/tousu/show/id/1338827","佰仟融资租赁违规收取高额催收费")</f>
        <v>佰仟融资租赁违规收取高额催收费</v>
      </c>
      <c r="C7816" s="2" t="s">
        <v>9</v>
      </c>
      <c r="D7816" s="2" t="s">
        <v>10</v>
      </c>
      <c r="E7816" s="2" t="str">
        <f>HYPERLINK("http://ts.21cn.com/tousu/show/id/1338827","http://ts.21cn.com/tousu/show/id/1338827")</f>
        <v>http://ts.21cn.com/tousu/show/id/1338827</v>
      </c>
      <c r="F7816" s="2" t="s">
        <v>11</v>
      </c>
      <c r="G7816" s="2" t="s">
        <v>28795</v>
      </c>
      <c r="H7816" s="2" t="s">
        <v>28796</v>
      </c>
    </row>
    <row r="7817" spans="1:8" ht="25.05" customHeight="1" x14ac:dyDescent="0.25">
      <c r="A7817" s="2" t="s">
        <v>8</v>
      </c>
      <c r="B7817" s="2" t="str">
        <f>HYPERLINK("http://ts.21cn.com/tousu/show/id/1338828","我来贷逾期暴力征收")</f>
        <v>我来贷逾期暴力征收</v>
      </c>
      <c r="C7817" s="2" t="s">
        <v>9</v>
      </c>
      <c r="D7817" s="2" t="s">
        <v>10</v>
      </c>
      <c r="E7817" s="2" t="str">
        <f>HYPERLINK("http://ts.21cn.com/tousu/show/id/1338828","http://ts.21cn.com/tousu/show/id/1338828")</f>
        <v>http://ts.21cn.com/tousu/show/id/1338828</v>
      </c>
      <c r="F7817" s="2" t="s">
        <v>11</v>
      </c>
      <c r="G7817" s="2" t="s">
        <v>28793</v>
      </c>
      <c r="H7817" s="2" t="s">
        <v>28794</v>
      </c>
    </row>
    <row r="7818" spans="1:8" ht="25.05" customHeight="1" x14ac:dyDescent="0.25">
      <c r="A7818" s="2" t="s">
        <v>8</v>
      </c>
      <c r="B7818" s="2" t="str">
        <f>HYPERLINK("http://ts.21cn.com/tousu/show/id/1338829","中国工商银行田林县支行多次上门违规催收骚扰")</f>
        <v>中国工商银行田林县支行多次上门违规催收骚扰</v>
      </c>
      <c r="C7818" s="2" t="s">
        <v>9</v>
      </c>
      <c r="D7818" s="2" t="s">
        <v>10</v>
      </c>
      <c r="E7818" s="2" t="str">
        <f>HYPERLINK("http://ts.21cn.com/tousu/show/id/1338829","http://ts.21cn.com/tousu/show/id/1338829")</f>
        <v>http://ts.21cn.com/tousu/show/id/1338829</v>
      </c>
      <c r="F7818" s="2" t="s">
        <v>11</v>
      </c>
      <c r="G7818" s="2" t="s">
        <v>28791</v>
      </c>
      <c r="H7818" s="2" t="s">
        <v>28792</v>
      </c>
    </row>
    <row r="7819" spans="1:8" ht="25.05" customHeight="1" x14ac:dyDescent="0.25">
      <c r="A7819" s="2" t="s">
        <v>8</v>
      </c>
      <c r="B7819" s="2" t="str">
        <f>HYPERLINK("http://ts.21cn.com/tousu/show/id/1338832","无理由暴力闹")</f>
        <v>无理由暴力闹</v>
      </c>
      <c r="C7819" s="2" t="s">
        <v>9</v>
      </c>
      <c r="D7819" s="2" t="s">
        <v>10</v>
      </c>
      <c r="E7819" s="2" t="str">
        <f>HYPERLINK("http://ts.21cn.com/tousu/show/id/1338832","http://ts.21cn.com/tousu/show/id/1338832")</f>
        <v>http://ts.21cn.com/tousu/show/id/1338832</v>
      </c>
      <c r="F7819" s="2" t="s">
        <v>11</v>
      </c>
      <c r="G7819" s="2" t="s">
        <v>28789</v>
      </c>
      <c r="H7819" s="2" t="s">
        <v>28790</v>
      </c>
    </row>
    <row r="7820" spans="1:8" ht="25.05" customHeight="1" x14ac:dyDescent="0.25">
      <c r="A7820" s="2" t="s">
        <v>8</v>
      </c>
      <c r="B7820" s="2" t="str">
        <f>HYPERLINK("http://ts.21cn.com/tousu/show/id/1338831","小黑鱼点心贷砍头息捆绑保费")</f>
        <v>小黑鱼点心贷砍头息捆绑保费</v>
      </c>
      <c r="C7820" s="2" t="s">
        <v>9</v>
      </c>
      <c r="D7820" s="2" t="s">
        <v>10</v>
      </c>
      <c r="E7820" s="2" t="str">
        <f>HYPERLINK("http://ts.21cn.com/tousu/show/id/1338831","http://ts.21cn.com/tousu/show/id/1338831")</f>
        <v>http://ts.21cn.com/tousu/show/id/1338831</v>
      </c>
      <c r="F7820" s="2" t="s">
        <v>11</v>
      </c>
      <c r="G7820" s="2" t="s">
        <v>28787</v>
      </c>
      <c r="H7820" s="2" t="s">
        <v>28788</v>
      </c>
    </row>
    <row r="7821" spans="1:8" ht="25.05" customHeight="1" x14ac:dyDescent="0.25">
      <c r="A7821" s="2" t="s">
        <v>8</v>
      </c>
      <c r="B7821" s="2" t="str">
        <f>HYPERLINK("http://ts.21cn.com/tousu/show/id/1338833","App还款不上，没逾期就开始催收。")</f>
        <v>App还款不上，没逾期就开始催收。</v>
      </c>
      <c r="C7821" s="2" t="s">
        <v>9</v>
      </c>
      <c r="D7821" s="2" t="s">
        <v>10</v>
      </c>
      <c r="E7821" s="2" t="str">
        <f>HYPERLINK("http://ts.21cn.com/tousu/show/id/1338833","http://ts.21cn.com/tousu/show/id/1338833")</f>
        <v>http://ts.21cn.com/tousu/show/id/1338833</v>
      </c>
      <c r="F7821" s="2" t="s">
        <v>11</v>
      </c>
      <c r="G7821" s="2" t="s">
        <v>28785</v>
      </c>
      <c r="H7821" s="2" t="s">
        <v>28786</v>
      </c>
    </row>
    <row r="7822" spans="1:8" ht="25.05" customHeight="1" x14ac:dyDescent="0.25">
      <c r="A7822" s="2" t="s">
        <v>8</v>
      </c>
      <c r="B7822" s="2" t="str">
        <f>HYPERLINK("http://ts.21cn.com/tousu/show/id/1338834","app贷款强制购买一个小秘书的产品，400元不勾选无法提交贷款申请，app客服点不开联系不到")</f>
        <v>app贷款强制购买一个小秘书的产品，400元不勾选无法提交贷款申请，app客服点不开联系不到</v>
      </c>
      <c r="C7822" s="2" t="s">
        <v>9</v>
      </c>
      <c r="D7822" s="2" t="s">
        <v>10</v>
      </c>
      <c r="E7822" s="2" t="str">
        <f>HYPERLINK("http://ts.21cn.com/tousu/show/id/1338834","http://ts.21cn.com/tousu/show/id/1338834")</f>
        <v>http://ts.21cn.com/tousu/show/id/1338834</v>
      </c>
      <c r="F7822" s="2" t="s">
        <v>11</v>
      </c>
      <c r="G7822" s="2" t="s">
        <v>28783</v>
      </c>
      <c r="H7822" s="2" t="s">
        <v>28784</v>
      </c>
    </row>
    <row r="7823" spans="1:8" ht="25.05" customHeight="1" x14ac:dyDescent="0.25">
      <c r="A7823" s="2" t="s">
        <v>8</v>
      </c>
      <c r="B7823" s="2" t="str">
        <f>HYPERLINK("http://ts.21cn.com/tousu/show/id/1338830","小黑鱼点心贷非法砍头息，")</f>
        <v>小黑鱼点心贷非法砍头息，</v>
      </c>
      <c r="C7823" s="2" t="s">
        <v>9</v>
      </c>
      <c r="D7823" s="2" t="s">
        <v>10</v>
      </c>
      <c r="E7823" s="2" t="str">
        <f>HYPERLINK("http://ts.21cn.com/tousu/show/id/1338830","http://ts.21cn.com/tousu/show/id/1338830")</f>
        <v>http://ts.21cn.com/tousu/show/id/1338830</v>
      </c>
      <c r="F7823" s="2" t="s">
        <v>11</v>
      </c>
      <c r="G7823" s="2" t="s">
        <v>28781</v>
      </c>
      <c r="H7823" s="2" t="s">
        <v>28782</v>
      </c>
    </row>
    <row r="7824" spans="1:8" ht="25.05" customHeight="1" x14ac:dyDescent="0.25">
      <c r="A7824" s="2" t="s">
        <v>8</v>
      </c>
      <c r="B7824" s="2" t="str">
        <f>HYPERLINK("http://ts.21cn.com/tousu/show/id/1338836","你我贷暴力催收发信息威胁")</f>
        <v>你我贷暴力催收发信息威胁</v>
      </c>
      <c r="C7824" s="2" t="s">
        <v>9</v>
      </c>
      <c r="D7824" s="2" t="s">
        <v>10</v>
      </c>
      <c r="E7824" s="2" t="str">
        <f>HYPERLINK("http://ts.21cn.com/tousu/show/id/1338836","http://ts.21cn.com/tousu/show/id/1338836")</f>
        <v>http://ts.21cn.com/tousu/show/id/1338836</v>
      </c>
      <c r="F7824" s="2" t="s">
        <v>11</v>
      </c>
      <c r="G7824" s="2" t="s">
        <v>28779</v>
      </c>
      <c r="H7824" s="2" t="s">
        <v>28780</v>
      </c>
    </row>
    <row r="7825" spans="1:8" ht="25.05" customHeight="1" x14ac:dyDescent="0.25">
      <c r="A7825" s="2" t="s">
        <v>8</v>
      </c>
      <c r="B7825" s="2" t="str">
        <f>HYPERLINK("http://ts.21cn.com/tousu/show/id/1338837","你我贷平台未经过同意，无缘无故扣卡的钱，")</f>
        <v>你我贷平台未经过同意，无缘无故扣卡的钱，</v>
      </c>
      <c r="C7825" s="2" t="s">
        <v>9</v>
      </c>
      <c r="D7825" s="2" t="s">
        <v>10</v>
      </c>
      <c r="E7825" s="2" t="str">
        <f>HYPERLINK("http://ts.21cn.com/tousu/show/id/1338837","http://ts.21cn.com/tousu/show/id/1338837")</f>
        <v>http://ts.21cn.com/tousu/show/id/1338837</v>
      </c>
      <c r="F7825" s="2" t="s">
        <v>11</v>
      </c>
      <c r="G7825" s="2" t="s">
        <v>28777</v>
      </c>
      <c r="H7825" s="2" t="s">
        <v>28778</v>
      </c>
    </row>
    <row r="7826" spans="1:8" ht="25.05" customHeight="1" x14ac:dyDescent="0.25">
      <c r="A7826" s="2" t="s">
        <v>8</v>
      </c>
      <c r="B7826" s="2" t="str">
        <f>HYPERLINK("http://ts.21cn.com/tousu/show/id/1338838","购分期胡乱扣钱")</f>
        <v>购分期胡乱扣钱</v>
      </c>
      <c r="C7826" s="2" t="s">
        <v>9</v>
      </c>
      <c r="D7826" s="2" t="s">
        <v>10</v>
      </c>
      <c r="E7826" s="2" t="str">
        <f>HYPERLINK("http://ts.21cn.com/tousu/show/id/1338838","http://ts.21cn.com/tousu/show/id/1338838")</f>
        <v>http://ts.21cn.com/tousu/show/id/1338838</v>
      </c>
      <c r="F7826" s="2" t="s">
        <v>11</v>
      </c>
      <c r="G7826" s="2" t="s">
        <v>28775</v>
      </c>
      <c r="H7826" s="2" t="s">
        <v>28776</v>
      </c>
    </row>
    <row r="7827" spans="1:8" ht="25.05" customHeight="1" x14ac:dyDescent="0.25">
      <c r="A7827" s="2" t="s">
        <v>8</v>
      </c>
      <c r="B7827" s="2" t="str">
        <f>HYPERLINK("http://ts.21cn.com/tousu/show/id/1338839","无故扣费")</f>
        <v>无故扣费</v>
      </c>
      <c r="C7827" s="2" t="s">
        <v>9</v>
      </c>
      <c r="D7827" s="2" t="s">
        <v>10</v>
      </c>
      <c r="E7827" s="2" t="str">
        <f>HYPERLINK("http://ts.21cn.com/tousu/show/id/1338839","http://ts.21cn.com/tousu/show/id/1338839")</f>
        <v>http://ts.21cn.com/tousu/show/id/1338839</v>
      </c>
      <c r="F7827" s="2" t="s">
        <v>11</v>
      </c>
      <c r="G7827" s="2" t="s">
        <v>28773</v>
      </c>
      <c r="H7827" s="2" t="s">
        <v>28774</v>
      </c>
    </row>
    <row r="7828" spans="1:8" ht="25.05" customHeight="1" x14ac:dyDescent="0.25">
      <c r="A7828" s="2" t="s">
        <v>8</v>
      </c>
      <c r="B7828" s="2" t="str">
        <f>HYPERLINK("http://ts.21cn.com/tousu/show/id/1338840","乐客虚假宣传过度夸大其公司业务")</f>
        <v>乐客虚假宣传过度夸大其公司业务</v>
      </c>
      <c r="C7828" s="2" t="s">
        <v>9</v>
      </c>
      <c r="D7828" s="2" t="s">
        <v>10</v>
      </c>
      <c r="E7828" s="2" t="str">
        <f>HYPERLINK("http://ts.21cn.com/tousu/show/id/1338840","http://ts.21cn.com/tousu/show/id/1338840")</f>
        <v>http://ts.21cn.com/tousu/show/id/1338840</v>
      </c>
      <c r="F7828" s="2" t="s">
        <v>11</v>
      </c>
      <c r="G7828" s="2" t="s">
        <v>28771</v>
      </c>
      <c r="H7828" s="2" t="s">
        <v>28772</v>
      </c>
    </row>
    <row r="7829" spans="1:8" ht="25.05" customHeight="1" x14ac:dyDescent="0.25">
      <c r="A7829" s="2" t="s">
        <v>8</v>
      </c>
      <c r="B7829" s="2" t="str">
        <f>HYPERLINK("http://ts.21cn.com/tousu/show/id/1338841","投诉云南移动恶意扣费")</f>
        <v>投诉云南移动恶意扣费</v>
      </c>
      <c r="C7829" s="2" t="s">
        <v>9</v>
      </c>
      <c r="D7829" s="2" t="s">
        <v>10</v>
      </c>
      <c r="E7829" s="2" t="str">
        <f>HYPERLINK("http://ts.21cn.com/tousu/show/id/1338841","http://ts.21cn.com/tousu/show/id/1338841")</f>
        <v>http://ts.21cn.com/tousu/show/id/1338841</v>
      </c>
      <c r="F7829" s="2" t="s">
        <v>11</v>
      </c>
      <c r="G7829" s="2" t="s">
        <v>28769</v>
      </c>
      <c r="H7829" s="2" t="s">
        <v>28770</v>
      </c>
    </row>
    <row r="7830" spans="1:8" ht="25.05" customHeight="1" x14ac:dyDescent="0.25">
      <c r="A7830" s="2" t="s">
        <v>8</v>
      </c>
      <c r="B7830" s="2" t="str">
        <f>HYPERLINK("http://ts.21cn.com/tousu/show/id/1338843","捷信违规扣钱")</f>
        <v>捷信违规扣钱</v>
      </c>
      <c r="C7830" s="2" t="s">
        <v>9</v>
      </c>
      <c r="D7830" s="2" t="s">
        <v>10</v>
      </c>
      <c r="E7830" s="2" t="str">
        <f>HYPERLINK("http://ts.21cn.com/tousu/show/id/1338843","http://ts.21cn.com/tousu/show/id/1338843")</f>
        <v>http://ts.21cn.com/tousu/show/id/1338843</v>
      </c>
      <c r="F7830" s="2" t="s">
        <v>11</v>
      </c>
      <c r="G7830" s="2" t="s">
        <v>28767</v>
      </c>
      <c r="H7830" s="2" t="s">
        <v>28768</v>
      </c>
    </row>
    <row r="7831" spans="1:8" ht="25.05" customHeight="1" x14ac:dyDescent="0.25">
      <c r="A7831" s="2" t="s">
        <v>8</v>
      </c>
      <c r="B7831" s="2" t="str">
        <f>HYPERLINK("http://ts.21cn.com/tousu/show/id/1338844","支付宝下单苏宁商品，找不到订单")</f>
        <v>支付宝下单苏宁商品，找不到订单</v>
      </c>
      <c r="C7831" s="2" t="s">
        <v>34</v>
      </c>
      <c r="D7831" s="2" t="s">
        <v>10</v>
      </c>
      <c r="E7831" s="2" t="str">
        <f>HYPERLINK("http://ts.21cn.com/tousu/show/id/1338844","http://ts.21cn.com/tousu/show/id/1338844")</f>
        <v>http://ts.21cn.com/tousu/show/id/1338844</v>
      </c>
      <c r="F7831" s="2" t="s">
        <v>11</v>
      </c>
      <c r="G7831" s="2" t="s">
        <v>28765</v>
      </c>
      <c r="H7831" s="2" t="s">
        <v>28766</v>
      </c>
    </row>
    <row r="7832" spans="1:8" ht="25.05" customHeight="1" x14ac:dyDescent="0.25">
      <c r="A7832" s="2" t="s">
        <v>8</v>
      </c>
      <c r="B7832" s="2" t="str">
        <f>HYPERLINK("http://ts.21cn.com/tousu/show/id/1338845","涉嫌违规欺诈申请退款")</f>
        <v>涉嫌违规欺诈申请退款</v>
      </c>
      <c r="C7832" s="2" t="s">
        <v>9</v>
      </c>
      <c r="D7832" s="2" t="s">
        <v>10</v>
      </c>
      <c r="E7832" s="2" t="str">
        <f>HYPERLINK("http://ts.21cn.com/tousu/show/id/1338845","http://ts.21cn.com/tousu/show/id/1338845")</f>
        <v>http://ts.21cn.com/tousu/show/id/1338845</v>
      </c>
      <c r="F7832" s="2" t="s">
        <v>11</v>
      </c>
      <c r="G7832" s="2" t="s">
        <v>28763</v>
      </c>
      <c r="H7832" s="2" t="s">
        <v>28764</v>
      </c>
    </row>
    <row r="7833" spans="1:8" ht="25.05" customHeight="1" x14ac:dyDescent="0.25">
      <c r="A7833" s="2" t="s">
        <v>8</v>
      </c>
      <c r="B7833" s="2" t="str">
        <f>HYPERLINK("http://ts.21cn.com/tousu/show/id/1338846","淘宝旺旺无故被创客照妖镜降权")</f>
        <v>淘宝旺旺无故被创客照妖镜降权</v>
      </c>
      <c r="C7833" s="2" t="s">
        <v>34</v>
      </c>
      <c r="D7833" s="2" t="s">
        <v>10</v>
      </c>
      <c r="E7833" s="2" t="str">
        <f>HYPERLINK("http://ts.21cn.com/tousu/show/id/1338846","http://ts.21cn.com/tousu/show/id/1338846")</f>
        <v>http://ts.21cn.com/tousu/show/id/1338846</v>
      </c>
      <c r="F7833" s="2" t="s">
        <v>11</v>
      </c>
      <c r="G7833" s="2" t="s">
        <v>28761</v>
      </c>
      <c r="H7833" s="2" t="s">
        <v>28762</v>
      </c>
    </row>
    <row r="7834" spans="1:8" ht="25.05" customHeight="1" x14ac:dyDescent="0.25">
      <c r="A7834" s="2" t="s">
        <v>8</v>
      </c>
      <c r="B7834" s="2" t="str">
        <f>HYPERLINK("http://ts.21cn.com/tousu/show/id/1338847","滴滴公司持续为无证滴滴车（黑滴滴）派单！严重影响了我们双证合规专职滴滴司机的正常收入")</f>
        <v>滴滴公司持续为无证滴滴车（黑滴滴）派单！严重影响了我们双证合规专职滴滴司机的正常收入</v>
      </c>
      <c r="C7834" s="2" t="s">
        <v>9</v>
      </c>
      <c r="D7834" s="2" t="s">
        <v>10</v>
      </c>
      <c r="E7834" s="2" t="str">
        <f>HYPERLINK("http://ts.21cn.com/tousu/show/id/1338847","http://ts.21cn.com/tousu/show/id/1338847")</f>
        <v>http://ts.21cn.com/tousu/show/id/1338847</v>
      </c>
      <c r="F7834" s="2" t="s">
        <v>11</v>
      </c>
      <c r="G7834" s="2" t="s">
        <v>28759</v>
      </c>
      <c r="H7834" s="2" t="s">
        <v>28760</v>
      </c>
    </row>
    <row r="7835" spans="1:8" ht="25.05" customHeight="1" x14ac:dyDescent="0.25">
      <c r="A7835" s="2" t="s">
        <v>8</v>
      </c>
      <c r="B7835" s="2" t="str">
        <f>HYPERLINK("http://ts.21cn.com/tousu/show/id/1338848","要求全额退款")</f>
        <v>要求全额退款</v>
      </c>
      <c r="C7835" s="2" t="s">
        <v>34</v>
      </c>
      <c r="D7835" s="2" t="s">
        <v>10</v>
      </c>
      <c r="E7835" s="2" t="str">
        <f>HYPERLINK("http://ts.21cn.com/tousu/show/id/1338848","http://ts.21cn.com/tousu/show/id/1338848")</f>
        <v>http://ts.21cn.com/tousu/show/id/1338848</v>
      </c>
      <c r="F7835" s="2" t="s">
        <v>11</v>
      </c>
      <c r="G7835" s="2" t="s">
        <v>28757</v>
      </c>
      <c r="H7835" s="2" t="s">
        <v>28758</v>
      </c>
    </row>
    <row r="7836" spans="1:8" ht="25.05" customHeight="1" x14ac:dyDescent="0.25">
      <c r="A7836" s="2" t="s">
        <v>8</v>
      </c>
      <c r="B7836" s="2" t="str">
        <f>HYPERLINK("http://ts.21cn.com/tousu/show/id/1338849","拼多多退店成功3个月保证金一直不处理")</f>
        <v>拼多多退店成功3个月保证金一直不处理</v>
      </c>
      <c r="C7836" s="2" t="s">
        <v>9</v>
      </c>
      <c r="D7836" s="2" t="s">
        <v>10</v>
      </c>
      <c r="E7836" s="2" t="str">
        <f>HYPERLINK("http://ts.21cn.com/tousu/show/id/1338849","http://ts.21cn.com/tousu/show/id/1338849")</f>
        <v>http://ts.21cn.com/tousu/show/id/1338849</v>
      </c>
      <c r="F7836" s="2" t="s">
        <v>11</v>
      </c>
      <c r="G7836" s="2" t="s">
        <v>28755</v>
      </c>
      <c r="H7836" s="2" t="s">
        <v>28756</v>
      </c>
    </row>
    <row r="7837" spans="1:8" ht="25.05" customHeight="1" x14ac:dyDescent="0.25">
      <c r="A7837" s="2" t="s">
        <v>8</v>
      </c>
      <c r="B7837" s="2" t="str">
        <f>HYPERLINK("http://ts.21cn.com/tousu/show/id/1338851","V出行-行之缘（定襄商务服务有限公司在五台山机场虚假宣传")</f>
        <v>V出行-行之缘（定襄商务服务有限公司在五台山机场虚假宣传</v>
      </c>
      <c r="C7837" s="2" t="s">
        <v>9</v>
      </c>
      <c r="D7837" s="2" t="s">
        <v>10</v>
      </c>
      <c r="E7837" s="2" t="str">
        <f>HYPERLINK("http://ts.21cn.com/tousu/show/id/1338851","http://ts.21cn.com/tousu/show/id/1338851")</f>
        <v>http://ts.21cn.com/tousu/show/id/1338851</v>
      </c>
      <c r="F7837" s="2" t="s">
        <v>11</v>
      </c>
      <c r="G7837" s="2" t="s">
        <v>28753</v>
      </c>
      <c r="H7837" s="2" t="s">
        <v>28754</v>
      </c>
    </row>
    <row r="7838" spans="1:8" ht="25.05" customHeight="1" x14ac:dyDescent="0.25">
      <c r="A7838" s="2" t="s">
        <v>8</v>
      </c>
      <c r="B7838" s="2" t="str">
        <f>HYPERLINK("http://ts.21cn.com/tousu/show/id/1338850","机场办卡被忽悠")</f>
        <v>机场办卡被忽悠</v>
      </c>
      <c r="C7838" s="2" t="s">
        <v>9</v>
      </c>
      <c r="D7838" s="2" t="s">
        <v>10</v>
      </c>
      <c r="E7838" s="2" t="str">
        <f>HYPERLINK("http://ts.21cn.com/tousu/show/id/1338850","http://ts.21cn.com/tousu/show/id/1338850")</f>
        <v>http://ts.21cn.com/tousu/show/id/1338850</v>
      </c>
      <c r="F7838" s="2" t="s">
        <v>11</v>
      </c>
      <c r="G7838" s="2" t="s">
        <v>28751</v>
      </c>
      <c r="H7838" s="2" t="s">
        <v>28752</v>
      </c>
    </row>
    <row r="7839" spans="1:8" ht="25.05" customHeight="1" x14ac:dyDescent="0.25">
      <c r="A7839" s="2" t="s">
        <v>8</v>
      </c>
      <c r="B7839" s="2" t="str">
        <f>HYPERLINK("http://ts.21cn.com/tousu/show/id/1338835","714贷款砍头息催收态度实不好")</f>
        <v>714贷款砍头息催收态度实不好</v>
      </c>
      <c r="C7839" s="2" t="s">
        <v>9</v>
      </c>
      <c r="D7839" s="2" t="s">
        <v>10</v>
      </c>
      <c r="E7839" s="2" t="str">
        <f>HYPERLINK("http://ts.21cn.com/tousu/show/id/1338835","http://ts.21cn.com/tousu/show/id/1338835")</f>
        <v>http://ts.21cn.com/tousu/show/id/1338835</v>
      </c>
      <c r="F7839" s="2" t="s">
        <v>11</v>
      </c>
      <c r="G7839" s="2" t="s">
        <v>28749</v>
      </c>
      <c r="H7839" s="2" t="s">
        <v>28750</v>
      </c>
    </row>
    <row r="7840" spans="1:8" ht="25.05" customHeight="1" x14ac:dyDescent="0.25">
      <c r="A7840" s="2" t="s">
        <v>8</v>
      </c>
      <c r="B7840" s="2" t="str">
        <f>HYPERLINK("http://ts.21cn.com/tousu/show/id/1338852","关于编号：CN1278849的案件是不是不处理了？")</f>
        <v>关于编号：CN1278849的案件是不是不处理了？</v>
      </c>
      <c r="C7840" s="2" t="s">
        <v>9</v>
      </c>
      <c r="D7840" s="2" t="s">
        <v>10</v>
      </c>
      <c r="E7840" s="2" t="str">
        <f>HYPERLINK("http://ts.21cn.com/tousu/show/id/1338852","http://ts.21cn.com/tousu/show/id/1338852")</f>
        <v>http://ts.21cn.com/tousu/show/id/1338852</v>
      </c>
      <c r="F7840" s="2" t="s">
        <v>11</v>
      </c>
      <c r="G7840" s="2" t="s">
        <v>28747</v>
      </c>
      <c r="H7840" s="2" t="s">
        <v>28748</v>
      </c>
    </row>
    <row r="7841" spans="1:8" ht="25.05" customHeight="1" x14ac:dyDescent="0.25">
      <c r="A7841" s="2" t="s">
        <v>8</v>
      </c>
      <c r="B7841" s="2" t="str">
        <f>HYPERLINK("http://ts.21cn.com/tousu/show/id/1338853","易行商旅虚假宣传，诱导误消费")</f>
        <v>易行商旅虚假宣传，诱导误消费</v>
      </c>
      <c r="C7841" s="2" t="s">
        <v>9</v>
      </c>
      <c r="D7841" s="2" t="s">
        <v>10</v>
      </c>
      <c r="E7841" s="2" t="str">
        <f>HYPERLINK("http://ts.21cn.com/tousu/show/id/1338853","http://ts.21cn.com/tousu/show/id/1338853")</f>
        <v>http://ts.21cn.com/tousu/show/id/1338853</v>
      </c>
      <c r="F7841" s="2" t="s">
        <v>11</v>
      </c>
      <c r="G7841" s="2" t="s">
        <v>28745</v>
      </c>
      <c r="H7841" s="2" t="s">
        <v>28746</v>
      </c>
    </row>
    <row r="7842" spans="1:8" ht="25.05" customHeight="1" x14ac:dyDescent="0.25">
      <c r="A7842" s="2" t="s">
        <v>8</v>
      </c>
      <c r="B7842" s="2" t="str">
        <f>HYPERLINK("http://ts.21cn.com/tousu/show/id/1338842","好易贷714高炮平台收取超标利息，协商过程反口不销账！")</f>
        <v>好易贷714高炮平台收取超标利息，协商过程反口不销账！</v>
      </c>
      <c r="C7842" s="2" t="s">
        <v>9</v>
      </c>
      <c r="D7842" s="2" t="s">
        <v>10</v>
      </c>
      <c r="E7842" s="2" t="str">
        <f>HYPERLINK("http://ts.21cn.com/tousu/show/id/1338842","http://ts.21cn.com/tousu/show/id/1338842")</f>
        <v>http://ts.21cn.com/tousu/show/id/1338842</v>
      </c>
      <c r="F7842" s="2" t="s">
        <v>11</v>
      </c>
      <c r="G7842" s="2" t="s">
        <v>28743</v>
      </c>
      <c r="H7842" s="2" t="s">
        <v>28744</v>
      </c>
    </row>
    <row r="7843" spans="1:8" ht="25.05" customHeight="1" x14ac:dyDescent="0.25">
      <c r="A7843" s="2" t="s">
        <v>8</v>
      </c>
      <c r="B7843" s="2" t="str">
        <f>HYPERLINK("http://ts.21cn.com/tousu/show/id/1338854","拇指下款恶意扣款")</f>
        <v>拇指下款恶意扣款</v>
      </c>
      <c r="C7843" s="2" t="s">
        <v>9</v>
      </c>
      <c r="D7843" s="2" t="s">
        <v>10</v>
      </c>
      <c r="E7843" s="2" t="str">
        <f>HYPERLINK("http://ts.21cn.com/tousu/show/id/1338854","http://ts.21cn.com/tousu/show/id/1338854")</f>
        <v>http://ts.21cn.com/tousu/show/id/1338854</v>
      </c>
      <c r="F7843" s="2" t="s">
        <v>11</v>
      </c>
      <c r="G7843" s="2" t="s">
        <v>28741</v>
      </c>
      <c r="H7843" s="2" t="s">
        <v>28742</v>
      </c>
    </row>
    <row r="7844" spans="1:8" ht="25.05" customHeight="1" x14ac:dyDescent="0.25">
      <c r="A7844" s="2" t="s">
        <v>8</v>
      </c>
      <c r="B7844" s="2" t="str">
        <f>HYPERLINK("http://ts.21cn.com/tousu/show/id/1338855","省呗一天多次催收，暴露通讯录")</f>
        <v>省呗一天多次催收，暴露通讯录</v>
      </c>
      <c r="C7844" s="2" t="s">
        <v>9</v>
      </c>
      <c r="D7844" s="2" t="s">
        <v>10</v>
      </c>
      <c r="E7844" s="2" t="str">
        <f>HYPERLINK("http://ts.21cn.com/tousu/show/id/1338855","http://ts.21cn.com/tousu/show/id/1338855")</f>
        <v>http://ts.21cn.com/tousu/show/id/1338855</v>
      </c>
      <c r="F7844" s="2" t="s">
        <v>11</v>
      </c>
      <c r="G7844" s="2" t="s">
        <v>28739</v>
      </c>
      <c r="H7844" s="2" t="s">
        <v>28740</v>
      </c>
    </row>
    <row r="7845" spans="1:8" ht="25.05" customHeight="1" x14ac:dyDescent="0.25">
      <c r="A7845" s="2" t="s">
        <v>8</v>
      </c>
      <c r="B7845" s="2" t="str">
        <f>HYPERLINK("http://ts.21cn.com/tousu/show/id/1338856","不经过同意下款，高利息，高利贷")</f>
        <v>不经过同意下款，高利息，高利贷</v>
      </c>
      <c r="C7845" s="2" t="s">
        <v>9</v>
      </c>
      <c r="D7845" s="2" t="s">
        <v>10</v>
      </c>
      <c r="E7845" s="2" t="str">
        <f>HYPERLINK("http://ts.21cn.com/tousu/show/id/1338856","http://ts.21cn.com/tousu/show/id/1338856")</f>
        <v>http://ts.21cn.com/tousu/show/id/1338856</v>
      </c>
      <c r="F7845" s="2" t="s">
        <v>11</v>
      </c>
      <c r="G7845" s="2" t="s">
        <v>28737</v>
      </c>
      <c r="H7845" s="2" t="s">
        <v>28738</v>
      </c>
    </row>
    <row r="7846" spans="1:8" ht="25.05" customHeight="1" x14ac:dyDescent="0.25">
      <c r="A7846" s="2" t="s">
        <v>8</v>
      </c>
      <c r="B7846" s="2" t="str">
        <f>HYPERLINK("http://ts.21cn.com/tousu/show/id/1338858","催收爆通讯录")</f>
        <v>催收爆通讯录</v>
      </c>
      <c r="C7846" s="2" t="s">
        <v>9</v>
      </c>
      <c r="D7846" s="2" t="s">
        <v>10</v>
      </c>
      <c r="E7846" s="2" t="str">
        <f>HYPERLINK("http://ts.21cn.com/tousu/show/id/1338858","http://ts.21cn.com/tousu/show/id/1338858")</f>
        <v>http://ts.21cn.com/tousu/show/id/1338858</v>
      </c>
      <c r="F7846" s="2" t="s">
        <v>11</v>
      </c>
      <c r="G7846" s="2" t="s">
        <v>28735</v>
      </c>
      <c r="H7846" s="2" t="s">
        <v>28736</v>
      </c>
    </row>
    <row r="7847" spans="1:8" ht="25.05" customHeight="1" x14ac:dyDescent="0.25">
      <c r="A7847" s="2" t="s">
        <v>8</v>
      </c>
      <c r="B7847" s="2" t="str">
        <f>HYPERLINK("http://ts.21cn.com/tousu/show/id/1338857","嘀嗒出行出租车因行程远，不打表且拒载")</f>
        <v>嘀嗒出行出租车因行程远，不打表且拒载</v>
      </c>
      <c r="C7847" s="2" t="s">
        <v>9</v>
      </c>
      <c r="D7847" s="2" t="s">
        <v>10</v>
      </c>
      <c r="E7847" s="2" t="str">
        <f>HYPERLINK("http://ts.21cn.com/tousu/show/id/1338857","http://ts.21cn.com/tousu/show/id/1338857")</f>
        <v>http://ts.21cn.com/tousu/show/id/1338857</v>
      </c>
      <c r="F7847" s="2" t="s">
        <v>11</v>
      </c>
      <c r="G7847" s="2" t="s">
        <v>28733</v>
      </c>
      <c r="H7847" s="2" t="s">
        <v>28734</v>
      </c>
    </row>
    <row r="7848" spans="1:8" ht="25.05" customHeight="1" x14ac:dyDescent="0.25">
      <c r="A7848" s="2" t="s">
        <v>8</v>
      </c>
      <c r="B7848" s="2" t="str">
        <f>HYPERLINK("http://ts.21cn.com/tousu/show/id/1338861","推广")</f>
        <v>推广</v>
      </c>
      <c r="C7848" s="2" t="s">
        <v>9</v>
      </c>
      <c r="D7848" s="2" t="s">
        <v>10</v>
      </c>
      <c r="E7848" s="2" t="str">
        <f>HYPERLINK("http://ts.21cn.com/tousu/show/id/1338861","http://ts.21cn.com/tousu/show/id/1338861")</f>
        <v>http://ts.21cn.com/tousu/show/id/1338861</v>
      </c>
      <c r="F7848" s="2" t="s">
        <v>11</v>
      </c>
      <c r="G7848" s="2" t="s">
        <v>28731</v>
      </c>
      <c r="H7848" s="2" t="s">
        <v>28732</v>
      </c>
    </row>
    <row r="7849" spans="1:8" ht="25.05" customHeight="1" x14ac:dyDescent="0.25">
      <c r="A7849" s="2" t="s">
        <v>8</v>
      </c>
      <c r="B7849" s="2" t="str">
        <f>HYPERLINK("http://ts.21cn.com/tousu/show/id/1338862","订单显示已放款，但是银行卡未收到款")</f>
        <v>订单显示已放款，但是银行卡未收到款</v>
      </c>
      <c r="C7849" s="2" t="s">
        <v>34</v>
      </c>
      <c r="D7849" s="2" t="s">
        <v>10</v>
      </c>
      <c r="E7849" s="2" t="str">
        <f>HYPERLINK("http://ts.21cn.com/tousu/show/id/1338862","http://ts.21cn.com/tousu/show/id/1338862")</f>
        <v>http://ts.21cn.com/tousu/show/id/1338862</v>
      </c>
      <c r="F7849" s="2" t="s">
        <v>11</v>
      </c>
      <c r="G7849" s="2" t="s">
        <v>28729</v>
      </c>
      <c r="H7849" s="2" t="s">
        <v>28730</v>
      </c>
    </row>
    <row r="7850" spans="1:8" ht="25.05" customHeight="1" x14ac:dyDescent="0.25">
      <c r="A7850" s="2" t="s">
        <v>8</v>
      </c>
      <c r="B7850" s="2" t="str">
        <f>HYPERLINK("http://ts.21cn.com/tousu/show/id/1338864","闪电借款超国家规定收费，暴力催收")</f>
        <v>闪电借款超国家规定收费，暴力催收</v>
      </c>
      <c r="C7850" s="2" t="s">
        <v>9</v>
      </c>
      <c r="D7850" s="2" t="s">
        <v>10</v>
      </c>
      <c r="E7850" s="2" t="str">
        <f>HYPERLINK("http://ts.21cn.com/tousu/show/id/1338864","http://ts.21cn.com/tousu/show/id/1338864")</f>
        <v>http://ts.21cn.com/tousu/show/id/1338864</v>
      </c>
      <c r="F7850" s="2" t="s">
        <v>11</v>
      </c>
      <c r="G7850" s="2" t="s">
        <v>28727</v>
      </c>
      <c r="H7850" s="2" t="s">
        <v>28728</v>
      </c>
    </row>
    <row r="7851" spans="1:8" ht="25.05" customHeight="1" x14ac:dyDescent="0.25">
      <c r="A7851" s="2" t="s">
        <v>8</v>
      </c>
      <c r="B7851" s="2" t="str">
        <f>HYPERLINK("http://ts.21cn.com/tousu/show/id/1338865","恶意扣款299要求退还")</f>
        <v>恶意扣款299要求退还</v>
      </c>
      <c r="C7851" s="2" t="s">
        <v>9</v>
      </c>
      <c r="D7851" s="2" t="s">
        <v>10</v>
      </c>
      <c r="E7851" s="2" t="str">
        <f>HYPERLINK("http://ts.21cn.com/tousu/show/id/1338865","http://ts.21cn.com/tousu/show/id/1338865")</f>
        <v>http://ts.21cn.com/tousu/show/id/1338865</v>
      </c>
      <c r="F7851" s="2" t="s">
        <v>11</v>
      </c>
      <c r="G7851" s="2" t="s">
        <v>28725</v>
      </c>
      <c r="H7851" s="2" t="s">
        <v>28726</v>
      </c>
    </row>
    <row r="7852" spans="1:8" ht="25.05" customHeight="1" x14ac:dyDescent="0.25">
      <c r="A7852" s="2" t="s">
        <v>8</v>
      </c>
      <c r="B7852" s="2" t="str">
        <f>HYPERLINK("http://ts.21cn.com/tousu/show/id/1338866","玖富万卡变相收取客户服务费，高于国家规定范围")</f>
        <v>玖富万卡变相收取客户服务费，高于国家规定范围</v>
      </c>
      <c r="C7852" s="2" t="s">
        <v>9</v>
      </c>
      <c r="D7852" s="2" t="s">
        <v>10</v>
      </c>
      <c r="E7852" s="2" t="str">
        <f>HYPERLINK("http://ts.21cn.com/tousu/show/id/1338866","http://ts.21cn.com/tousu/show/id/1338866")</f>
        <v>http://ts.21cn.com/tousu/show/id/1338866</v>
      </c>
      <c r="F7852" s="2" t="s">
        <v>11</v>
      </c>
      <c r="G7852" s="2" t="s">
        <v>28723</v>
      </c>
      <c r="H7852" s="2" t="s">
        <v>28724</v>
      </c>
    </row>
    <row r="7853" spans="1:8" ht="25.05" customHeight="1" x14ac:dyDescent="0.25">
      <c r="A7853" s="2" t="s">
        <v>8</v>
      </c>
      <c r="B7853" s="2" t="str">
        <f>HYPERLINK("http://ts.21cn.com/tousu/show/id/1338870","云闪付为违规赌博网站提供支付渠道")</f>
        <v>云闪付为违规赌博网站提供支付渠道</v>
      </c>
      <c r="C7853" s="2" t="s">
        <v>9</v>
      </c>
      <c r="D7853" s="2" t="s">
        <v>10</v>
      </c>
      <c r="E7853" s="2" t="str">
        <f>HYPERLINK("http://ts.21cn.com/tousu/show/id/1338870","http://ts.21cn.com/tousu/show/id/1338870")</f>
        <v>http://ts.21cn.com/tousu/show/id/1338870</v>
      </c>
      <c r="F7853" s="2" t="s">
        <v>11</v>
      </c>
      <c r="G7853" s="2" t="s">
        <v>28721</v>
      </c>
      <c r="H7853" s="2" t="s">
        <v>28722</v>
      </c>
    </row>
    <row r="7854" spans="1:8" ht="25.05" customHeight="1" x14ac:dyDescent="0.25">
      <c r="A7854" s="2" t="s">
        <v>8</v>
      </c>
      <c r="B7854" s="2" t="str">
        <f>HYPERLINK("http://ts.21cn.com/tousu/show/id/1338869","砍头息高利贷非法催收")</f>
        <v>砍头息高利贷非法催收</v>
      </c>
      <c r="C7854" s="2" t="s">
        <v>9</v>
      </c>
      <c r="D7854" s="2" t="s">
        <v>10</v>
      </c>
      <c r="E7854" s="2" t="str">
        <f>HYPERLINK("http://ts.21cn.com/tousu/show/id/1338869","http://ts.21cn.com/tousu/show/id/1338869")</f>
        <v>http://ts.21cn.com/tousu/show/id/1338869</v>
      </c>
      <c r="F7854" s="2" t="s">
        <v>11</v>
      </c>
      <c r="G7854" s="2" t="s">
        <v>28719</v>
      </c>
      <c r="H7854" s="2" t="s">
        <v>28720</v>
      </c>
    </row>
    <row r="7855" spans="1:8" ht="25.05" customHeight="1" x14ac:dyDescent="0.25">
      <c r="A7855" s="2" t="s">
        <v>8</v>
      </c>
      <c r="B7855" s="2" t="str">
        <f>HYPERLINK("http://ts.21cn.com/tousu/show/id/1338871","中国移动网络一直断断续续，信号一直两格！")</f>
        <v>中国移动网络一直断断续续，信号一直两格！</v>
      </c>
      <c r="C7855" s="2" t="s">
        <v>34</v>
      </c>
      <c r="D7855" s="2" t="s">
        <v>10</v>
      </c>
      <c r="E7855" s="2" t="str">
        <f>HYPERLINK("http://ts.21cn.com/tousu/show/id/1338871","http://ts.21cn.com/tousu/show/id/1338871")</f>
        <v>http://ts.21cn.com/tousu/show/id/1338871</v>
      </c>
      <c r="F7855" s="2" t="s">
        <v>11</v>
      </c>
      <c r="G7855" s="2" t="s">
        <v>28717</v>
      </c>
      <c r="H7855" s="2" t="s">
        <v>28718</v>
      </c>
    </row>
    <row r="7856" spans="1:8" ht="25.05" customHeight="1" x14ac:dyDescent="0.25">
      <c r="A7856" s="2" t="s">
        <v>8</v>
      </c>
      <c r="B7856" s="2" t="str">
        <f>HYPERLINK("http://ts.21cn.com/tousu/show/id/1338872","私自扣款296元")</f>
        <v>私自扣款296元</v>
      </c>
      <c r="C7856" s="2" t="s">
        <v>9</v>
      </c>
      <c r="D7856" s="2" t="s">
        <v>10</v>
      </c>
      <c r="E7856" s="2" t="str">
        <f>HYPERLINK("http://ts.21cn.com/tousu/show/id/1338872","http://ts.21cn.com/tousu/show/id/1338872")</f>
        <v>http://ts.21cn.com/tousu/show/id/1338872</v>
      </c>
      <c r="F7856" s="2" t="s">
        <v>11</v>
      </c>
      <c r="G7856" s="2" t="s">
        <v>28715</v>
      </c>
      <c r="H7856" s="2" t="s">
        <v>28716</v>
      </c>
    </row>
    <row r="7857" spans="1:8" ht="25.05" customHeight="1" x14ac:dyDescent="0.25">
      <c r="A7857" s="2" t="s">
        <v>8</v>
      </c>
      <c r="B7857" s="2" t="str">
        <f>HYPERLINK("http://ts.21cn.com/tousu/show/id/1338868","虚假宣传导致损失")</f>
        <v>虚假宣传导致损失</v>
      </c>
      <c r="C7857" s="2" t="s">
        <v>9</v>
      </c>
      <c r="D7857" s="2" t="s">
        <v>10</v>
      </c>
      <c r="E7857" s="2" t="str">
        <f>HYPERLINK("http://ts.21cn.com/tousu/show/id/1338868","http://ts.21cn.com/tousu/show/id/1338868")</f>
        <v>http://ts.21cn.com/tousu/show/id/1338868</v>
      </c>
      <c r="F7857" s="2" t="s">
        <v>11</v>
      </c>
      <c r="G7857" s="2" t="s">
        <v>28713</v>
      </c>
      <c r="H7857" s="2" t="s">
        <v>28714</v>
      </c>
    </row>
    <row r="7858" spans="1:8" ht="25.05" customHeight="1" x14ac:dyDescent="0.25">
      <c r="A7858" s="2" t="s">
        <v>8</v>
      </c>
      <c r="B7858" s="2" t="str">
        <f>HYPERLINK("http://ts.21cn.com/tousu/show/id/1338875","为网络博彩提供结算")</f>
        <v>为网络博彩提供结算</v>
      </c>
      <c r="C7858" s="2" t="s">
        <v>9</v>
      </c>
      <c r="D7858" s="2" t="s">
        <v>10</v>
      </c>
      <c r="E7858" s="2" t="str">
        <f>HYPERLINK("http://ts.21cn.com/tousu/show/id/1338875","http://ts.21cn.com/tousu/show/id/1338875")</f>
        <v>http://ts.21cn.com/tousu/show/id/1338875</v>
      </c>
      <c r="F7858" s="2" t="s">
        <v>11</v>
      </c>
      <c r="G7858" s="2" t="s">
        <v>28711</v>
      </c>
      <c r="H7858" s="2" t="s">
        <v>28712</v>
      </c>
    </row>
    <row r="7859" spans="1:8" ht="25.05" customHeight="1" x14ac:dyDescent="0.25">
      <c r="A7859" s="2" t="s">
        <v>8</v>
      </c>
      <c r="B7859" s="2" t="str">
        <f>HYPERLINK("http://ts.21cn.com/tousu/show/id/1338876","玖富高昂的分期费用")</f>
        <v>玖富高昂的分期费用</v>
      </c>
      <c r="C7859" s="2" t="s">
        <v>34</v>
      </c>
      <c r="D7859" s="2" t="s">
        <v>10</v>
      </c>
      <c r="E7859" s="2" t="str">
        <f>HYPERLINK("http://ts.21cn.com/tousu/show/id/1338876","http://ts.21cn.com/tousu/show/id/1338876")</f>
        <v>http://ts.21cn.com/tousu/show/id/1338876</v>
      </c>
      <c r="F7859" s="2" t="s">
        <v>11</v>
      </c>
      <c r="G7859" s="2" t="s">
        <v>28709</v>
      </c>
      <c r="H7859" s="2" t="s">
        <v>28710</v>
      </c>
    </row>
    <row r="7860" spans="1:8" ht="25.05" customHeight="1" x14ac:dyDescent="0.25">
      <c r="A7860" s="2" t="s">
        <v>8</v>
      </c>
      <c r="B7860" s="2" t="str">
        <f>HYPERLINK("http://ts.21cn.com/tousu/show/id/1338877","我来贷恶意催收，高利贷利率")</f>
        <v>我来贷恶意催收，高利贷利率</v>
      </c>
      <c r="C7860" s="2" t="s">
        <v>9</v>
      </c>
      <c r="D7860" s="2" t="s">
        <v>10</v>
      </c>
      <c r="E7860" s="2" t="str">
        <f>HYPERLINK("http://ts.21cn.com/tousu/show/id/1338877","http://ts.21cn.com/tousu/show/id/1338877")</f>
        <v>http://ts.21cn.com/tousu/show/id/1338877</v>
      </c>
      <c r="F7860" s="2" t="s">
        <v>11</v>
      </c>
      <c r="G7860" s="2" t="s">
        <v>28707</v>
      </c>
      <c r="H7860" s="2" t="s">
        <v>28708</v>
      </c>
    </row>
    <row r="7861" spans="1:8" ht="25.05" customHeight="1" x14ac:dyDescent="0.25">
      <c r="A7861" s="2" t="s">
        <v>8</v>
      </c>
      <c r="B7861" s="2" t="str">
        <f>HYPERLINK("http://ts.21cn.com/tousu/show/id/1338874","小米手机设备已锁")</f>
        <v>小米手机设备已锁</v>
      </c>
      <c r="C7861" s="2" t="s">
        <v>9</v>
      </c>
      <c r="D7861" s="2" t="s">
        <v>10</v>
      </c>
      <c r="E7861" s="2" t="str">
        <f>HYPERLINK("http://ts.21cn.com/tousu/show/id/1338874","http://ts.21cn.com/tousu/show/id/1338874")</f>
        <v>http://ts.21cn.com/tousu/show/id/1338874</v>
      </c>
      <c r="F7861" s="2" t="s">
        <v>11</v>
      </c>
      <c r="G7861" s="2" t="s">
        <v>28705</v>
      </c>
      <c r="H7861" s="2" t="s">
        <v>28706</v>
      </c>
    </row>
    <row r="7862" spans="1:8" ht="25.05" customHeight="1" x14ac:dyDescent="0.25">
      <c r="A7862" s="2" t="s">
        <v>8</v>
      </c>
      <c r="B7862" s="2" t="str">
        <f>HYPERLINK("http://ts.21cn.com/tousu/show/id/1338880","高利贷")</f>
        <v>高利贷</v>
      </c>
      <c r="C7862" s="2" t="s">
        <v>9</v>
      </c>
      <c r="D7862" s="2" t="s">
        <v>10</v>
      </c>
      <c r="E7862" s="2" t="str">
        <f>HYPERLINK("http://ts.21cn.com/tousu/show/id/1338880","http://ts.21cn.com/tousu/show/id/1338880")</f>
        <v>http://ts.21cn.com/tousu/show/id/1338880</v>
      </c>
      <c r="F7862" s="2" t="s">
        <v>11</v>
      </c>
      <c r="G7862" s="2" t="s">
        <v>28703</v>
      </c>
      <c r="H7862" s="2" t="s">
        <v>28704</v>
      </c>
    </row>
    <row r="7863" spans="1:8" ht="25.05" customHeight="1" x14ac:dyDescent="0.25">
      <c r="A7863" s="2" t="s">
        <v>8</v>
      </c>
      <c r="B7863" s="2" t="str">
        <f>HYPERLINK("http://ts.21cn.com/tousu/show/id/1338881","捷信金融消费贷高利贷")</f>
        <v>捷信金融消费贷高利贷</v>
      </c>
      <c r="C7863" s="2" t="s">
        <v>9</v>
      </c>
      <c r="D7863" s="2" t="s">
        <v>10</v>
      </c>
      <c r="E7863" s="2" t="str">
        <f>HYPERLINK("http://ts.21cn.com/tousu/show/id/1338881","http://ts.21cn.com/tousu/show/id/1338881")</f>
        <v>http://ts.21cn.com/tousu/show/id/1338881</v>
      </c>
      <c r="F7863" s="2" t="s">
        <v>11</v>
      </c>
      <c r="G7863" s="2" t="s">
        <v>28701</v>
      </c>
      <c r="H7863" s="2" t="s">
        <v>28702</v>
      </c>
    </row>
    <row r="7864" spans="1:8" ht="25.05" customHeight="1" x14ac:dyDescent="0.25">
      <c r="A7864" s="2" t="s">
        <v>8</v>
      </c>
      <c r="B7864" s="2" t="str">
        <f>HYPERLINK("http://ts.21cn.com/tousu/show/id/1338882","无缘无故被川程扣款")</f>
        <v>无缘无故被川程扣款</v>
      </c>
      <c r="C7864" s="2" t="s">
        <v>9</v>
      </c>
      <c r="D7864" s="2" t="s">
        <v>10</v>
      </c>
      <c r="E7864" s="2" t="str">
        <f>HYPERLINK("http://ts.21cn.com/tousu/show/id/1338882","http://ts.21cn.com/tousu/show/id/1338882")</f>
        <v>http://ts.21cn.com/tousu/show/id/1338882</v>
      </c>
      <c r="F7864" s="2" t="s">
        <v>11</v>
      </c>
      <c r="G7864" s="2" t="s">
        <v>28699</v>
      </c>
      <c r="H7864" s="2" t="s">
        <v>28700</v>
      </c>
    </row>
    <row r="7865" spans="1:8" ht="25.05" customHeight="1" x14ac:dyDescent="0.25">
      <c r="A7865" s="2" t="s">
        <v>8</v>
      </c>
      <c r="B7865" s="2" t="str">
        <f>HYPERLINK("http://ts.21cn.com/tousu/show/id/1338884","指上旅行暴力催收。高利贷，涉黑，违反国家法律。")</f>
        <v>指上旅行暴力催收。高利贷，涉黑，违反国家法律。</v>
      </c>
      <c r="C7865" s="2" t="s">
        <v>9</v>
      </c>
      <c r="D7865" s="2" t="s">
        <v>10</v>
      </c>
      <c r="E7865" s="2" t="str">
        <f>HYPERLINK("http://ts.21cn.com/tousu/show/id/1338884","http://ts.21cn.com/tousu/show/id/1338884")</f>
        <v>http://ts.21cn.com/tousu/show/id/1338884</v>
      </c>
      <c r="F7865" s="2" t="s">
        <v>11</v>
      </c>
      <c r="G7865" s="2" t="s">
        <v>28697</v>
      </c>
      <c r="H7865" s="2" t="s">
        <v>28698</v>
      </c>
    </row>
    <row r="7866" spans="1:8" ht="25.05" customHeight="1" x14ac:dyDescent="0.25">
      <c r="A7866" s="2" t="s">
        <v>8</v>
      </c>
      <c r="B7866" s="2" t="str">
        <f>HYPERLINK("http://ts.21cn.com/tousu/show/id/1338885","收取担保金（变相高利贷）要求合理还款")</f>
        <v>收取担保金（变相高利贷）要求合理还款</v>
      </c>
      <c r="C7866" s="2" t="s">
        <v>9</v>
      </c>
      <c r="D7866" s="2" t="s">
        <v>10</v>
      </c>
      <c r="E7866" s="2" t="str">
        <f>HYPERLINK("http://ts.21cn.com/tousu/show/id/1338885","http://ts.21cn.com/tousu/show/id/1338885")</f>
        <v>http://ts.21cn.com/tousu/show/id/1338885</v>
      </c>
      <c r="F7866" s="2" t="s">
        <v>11</v>
      </c>
      <c r="G7866" s="2" t="s">
        <v>28695</v>
      </c>
      <c r="H7866" s="2" t="s">
        <v>28696</v>
      </c>
    </row>
    <row r="7867" spans="1:8" ht="25.05" customHeight="1" x14ac:dyDescent="0.25">
      <c r="A7867" s="2" t="s">
        <v>8</v>
      </c>
      <c r="B7867" s="2" t="str">
        <f>HYPERLINK("http://ts.21cn.com/tousu/show/id/1338886","投诉云南电信网厅客服人员服务态度差")</f>
        <v>投诉云南电信网厅客服人员服务态度差</v>
      </c>
      <c r="C7867" s="2" t="s">
        <v>9</v>
      </c>
      <c r="D7867" s="2" t="s">
        <v>10</v>
      </c>
      <c r="E7867" s="2" t="str">
        <f>HYPERLINK("http://ts.21cn.com/tousu/show/id/1338886","http://ts.21cn.com/tousu/show/id/1338886")</f>
        <v>http://ts.21cn.com/tousu/show/id/1338886</v>
      </c>
      <c r="F7867" s="2" t="s">
        <v>11</v>
      </c>
      <c r="G7867" s="2" t="s">
        <v>28693</v>
      </c>
      <c r="H7867" s="2" t="s">
        <v>28694</v>
      </c>
    </row>
    <row r="7868" spans="1:8" ht="25.05" customHeight="1" x14ac:dyDescent="0.25">
      <c r="A7868" s="2" t="s">
        <v>8</v>
      </c>
      <c r="B7868" s="2" t="str">
        <f>HYPERLINK("http://ts.21cn.com/tousu/show/id/1338887","大量用户无法退还立刻出行499元押金")</f>
        <v>大量用户无法退还立刻出行499元押金</v>
      </c>
      <c r="C7868" s="2" t="s">
        <v>34</v>
      </c>
      <c r="D7868" s="2" t="s">
        <v>10</v>
      </c>
      <c r="E7868" s="2" t="str">
        <f>HYPERLINK("http://ts.21cn.com/tousu/show/id/1338887","http://ts.21cn.com/tousu/show/id/1338887")</f>
        <v>http://ts.21cn.com/tousu/show/id/1338887</v>
      </c>
      <c r="F7868" s="2" t="s">
        <v>11</v>
      </c>
      <c r="G7868" s="2" t="s">
        <v>28691</v>
      </c>
      <c r="H7868" s="2" t="s">
        <v>28692</v>
      </c>
    </row>
    <row r="7869" spans="1:8" ht="25.05" customHeight="1" x14ac:dyDescent="0.25">
      <c r="A7869" s="2" t="s">
        <v>8</v>
      </c>
      <c r="B7869" s="2" t="str">
        <f>HYPERLINK("http://ts.21cn.com/tousu/show/id/1338889","恶意催收")</f>
        <v>恶意催收</v>
      </c>
      <c r="C7869" s="2" t="s">
        <v>9</v>
      </c>
      <c r="D7869" s="2" t="s">
        <v>10</v>
      </c>
      <c r="E7869" s="2" t="str">
        <f>HYPERLINK("http://ts.21cn.com/tousu/show/id/1338889","http://ts.21cn.com/tousu/show/id/1338889")</f>
        <v>http://ts.21cn.com/tousu/show/id/1338889</v>
      </c>
      <c r="F7869" s="2" t="s">
        <v>11</v>
      </c>
      <c r="G7869" s="2" t="s">
        <v>28689</v>
      </c>
      <c r="H7869" s="2" t="s">
        <v>28690</v>
      </c>
    </row>
    <row r="7870" spans="1:8" ht="25.05" customHeight="1" x14ac:dyDescent="0.25">
      <c r="A7870" s="2" t="s">
        <v>8</v>
      </c>
      <c r="B7870" s="2" t="str">
        <f>HYPERLINK("http://ts.21cn.com/tousu/show/id/1338888","首汽平台办事拖拉不解决司机问题")</f>
        <v>首汽平台办事拖拉不解决司机问题</v>
      </c>
      <c r="C7870" s="2" t="s">
        <v>9</v>
      </c>
      <c r="D7870" s="2" t="s">
        <v>10</v>
      </c>
      <c r="E7870" s="2" t="str">
        <f>HYPERLINK("http://ts.21cn.com/tousu/show/id/1338888","http://ts.21cn.com/tousu/show/id/1338888")</f>
        <v>http://ts.21cn.com/tousu/show/id/1338888</v>
      </c>
      <c r="F7870" s="2" t="s">
        <v>11</v>
      </c>
      <c r="G7870" s="2" t="s">
        <v>28687</v>
      </c>
      <c r="H7870" s="2" t="s">
        <v>28688</v>
      </c>
    </row>
    <row r="7871" spans="1:8" ht="25.05" customHeight="1" x14ac:dyDescent="0.25">
      <c r="A7871" s="2" t="s">
        <v>8</v>
      </c>
      <c r="B7871" s="2" t="str">
        <f>HYPERLINK("http://ts.21cn.com/tousu/show/id/1338890","拼多多商户涉嫌为博彩黑平台收款")</f>
        <v>拼多多商户涉嫌为博彩黑平台收款</v>
      </c>
      <c r="C7871" s="2" t="s">
        <v>9</v>
      </c>
      <c r="D7871" s="2" t="s">
        <v>10</v>
      </c>
      <c r="E7871" s="2" t="str">
        <f>HYPERLINK("http://ts.21cn.com/tousu/show/id/1338890","http://ts.21cn.com/tousu/show/id/1338890")</f>
        <v>http://ts.21cn.com/tousu/show/id/1338890</v>
      </c>
      <c r="F7871" s="2" t="s">
        <v>11</v>
      </c>
      <c r="G7871" s="2" t="s">
        <v>28685</v>
      </c>
      <c r="H7871" s="2" t="s">
        <v>28686</v>
      </c>
    </row>
    <row r="7872" spans="1:8" ht="25.05" customHeight="1" x14ac:dyDescent="0.25">
      <c r="A7872" s="2" t="s">
        <v>8</v>
      </c>
      <c r="B7872" s="2" t="str">
        <f>HYPERLINK("http://ts.21cn.com/tousu/show/id/1338883","虚假宣传服务不当")</f>
        <v>虚假宣传服务不当</v>
      </c>
      <c r="C7872" s="2" t="s">
        <v>9</v>
      </c>
      <c r="D7872" s="2" t="s">
        <v>10</v>
      </c>
      <c r="E7872" s="2" t="str">
        <f>HYPERLINK("http://ts.21cn.com/tousu/show/id/1338883","http://ts.21cn.com/tousu/show/id/1338883")</f>
        <v>http://ts.21cn.com/tousu/show/id/1338883</v>
      </c>
      <c r="F7872" s="2" t="s">
        <v>11</v>
      </c>
      <c r="G7872" s="2" t="s">
        <v>28683</v>
      </c>
      <c r="H7872" s="2" t="s">
        <v>28684</v>
      </c>
    </row>
    <row r="7873" spans="1:8" ht="25.05" customHeight="1" x14ac:dyDescent="0.25">
      <c r="A7873" s="2" t="s">
        <v>8</v>
      </c>
      <c r="B7873" s="2" t="str">
        <f>HYPERLINK("http://ts.21cn.com/tousu/show/id/1338892","投诉微粒贷协商还款后继续催收骚扰本人及家人")</f>
        <v>投诉微粒贷协商还款后继续催收骚扰本人及家人</v>
      </c>
      <c r="C7873" s="2" t="s">
        <v>9</v>
      </c>
      <c r="D7873" s="2" t="s">
        <v>10</v>
      </c>
      <c r="E7873" s="2" t="str">
        <f>HYPERLINK("http://ts.21cn.com/tousu/show/id/1338892","http://ts.21cn.com/tousu/show/id/1338892")</f>
        <v>http://ts.21cn.com/tousu/show/id/1338892</v>
      </c>
      <c r="F7873" s="2" t="s">
        <v>11</v>
      </c>
      <c r="G7873" s="2" t="s">
        <v>28681</v>
      </c>
      <c r="H7873" s="2" t="s">
        <v>28682</v>
      </c>
    </row>
    <row r="7874" spans="1:8" ht="25.05" customHeight="1" x14ac:dyDescent="0.25">
      <c r="A7874" s="2" t="s">
        <v>8</v>
      </c>
      <c r="B7874" s="2" t="str">
        <f>HYPERLINK("http://ts.21cn.com/tousu/show/id/1338894","中信银行信用卡中心委托第三方恶意骚扰威胁本人")</f>
        <v>中信银行信用卡中心委托第三方恶意骚扰威胁本人</v>
      </c>
      <c r="C7874" s="2" t="s">
        <v>9</v>
      </c>
      <c r="D7874" s="2" t="s">
        <v>10</v>
      </c>
      <c r="E7874" s="2" t="str">
        <f>HYPERLINK("http://ts.21cn.com/tousu/show/id/1338894","http://ts.21cn.com/tousu/show/id/1338894")</f>
        <v>http://ts.21cn.com/tousu/show/id/1338894</v>
      </c>
      <c r="F7874" s="2" t="s">
        <v>11</v>
      </c>
      <c r="G7874" s="2" t="s">
        <v>28679</v>
      </c>
      <c r="H7874" s="2" t="s">
        <v>28680</v>
      </c>
    </row>
    <row r="7875" spans="1:8" ht="25.05" customHeight="1" x14ac:dyDescent="0.25">
      <c r="A7875" s="2" t="s">
        <v>8</v>
      </c>
      <c r="B7875" s="2" t="str">
        <f>HYPERLINK("http://ts.21cn.com/tousu/show/id/1338895","部落冲突号被盗，盗号者刷到永久封禁")</f>
        <v>部落冲突号被盗，盗号者刷到永久封禁</v>
      </c>
      <c r="C7875" s="2" t="s">
        <v>9</v>
      </c>
      <c r="D7875" s="2" t="s">
        <v>10</v>
      </c>
      <c r="E7875" s="2" t="str">
        <f>HYPERLINK("http://ts.21cn.com/tousu/show/id/1338895","http://ts.21cn.com/tousu/show/id/1338895")</f>
        <v>http://ts.21cn.com/tousu/show/id/1338895</v>
      </c>
      <c r="F7875" s="2" t="s">
        <v>11</v>
      </c>
      <c r="G7875" s="2" t="s">
        <v>28677</v>
      </c>
      <c r="H7875" s="2" t="s">
        <v>28678</v>
      </c>
    </row>
    <row r="7876" spans="1:8" ht="25.05" customHeight="1" x14ac:dyDescent="0.25">
      <c r="A7876" s="2" t="s">
        <v>8</v>
      </c>
      <c r="B7876" s="2" t="str">
        <f>HYPERLINK("http://ts.21cn.com/tousu/show/id/1338896","超出国家规定利率高利贷")</f>
        <v>超出国家规定利率高利贷</v>
      </c>
      <c r="C7876" s="2" t="s">
        <v>9</v>
      </c>
      <c r="D7876" s="2" t="s">
        <v>10</v>
      </c>
      <c r="E7876" s="2" t="str">
        <f>HYPERLINK("http://ts.21cn.com/tousu/show/id/1338896","http://ts.21cn.com/tousu/show/id/1338896")</f>
        <v>http://ts.21cn.com/tousu/show/id/1338896</v>
      </c>
      <c r="F7876" s="2" t="s">
        <v>11</v>
      </c>
      <c r="G7876" s="2" t="s">
        <v>28675</v>
      </c>
      <c r="H7876" s="2" t="s">
        <v>28676</v>
      </c>
    </row>
    <row r="7877" spans="1:8" ht="25.05" customHeight="1" x14ac:dyDescent="0.25">
      <c r="A7877" s="2" t="s">
        <v>8</v>
      </c>
      <c r="B7877" s="2" t="str">
        <f>HYPERLINK("http://ts.21cn.com/tousu/show/id/1338897","骚扰无关的人")</f>
        <v>骚扰无关的人</v>
      </c>
      <c r="C7877" s="2" t="s">
        <v>34</v>
      </c>
      <c r="D7877" s="2" t="s">
        <v>10</v>
      </c>
      <c r="E7877" s="2" t="str">
        <f>HYPERLINK("http://ts.21cn.com/tousu/show/id/1338897","http://ts.21cn.com/tousu/show/id/1338897")</f>
        <v>http://ts.21cn.com/tousu/show/id/1338897</v>
      </c>
      <c r="F7877" s="2" t="s">
        <v>11</v>
      </c>
      <c r="G7877" s="2" t="s">
        <v>28673</v>
      </c>
      <c r="H7877" s="2" t="s">
        <v>28674</v>
      </c>
    </row>
    <row r="7878" spans="1:8" ht="25.05" customHeight="1" x14ac:dyDescent="0.25">
      <c r="A7878" s="2" t="s">
        <v>8</v>
      </c>
      <c r="B7878" s="2" t="str">
        <f>HYPERLINK("http://ts.21cn.com/tousu/show/id/1338898","迅捷视频转换器转换不了视频，总是“转换失败”")</f>
        <v>迅捷视频转换器转换不了视频，总是“转换失败”</v>
      </c>
      <c r="C7878" s="2" t="s">
        <v>9</v>
      </c>
      <c r="D7878" s="2" t="s">
        <v>10</v>
      </c>
      <c r="E7878" s="2" t="str">
        <f>HYPERLINK("http://ts.21cn.com/tousu/show/id/1338898","http://ts.21cn.com/tousu/show/id/1338898")</f>
        <v>http://ts.21cn.com/tousu/show/id/1338898</v>
      </c>
      <c r="F7878" s="2" t="s">
        <v>11</v>
      </c>
      <c r="G7878" s="2" t="s">
        <v>28671</v>
      </c>
      <c r="H7878" s="2" t="s">
        <v>28672</v>
      </c>
    </row>
    <row r="7879" spans="1:8" ht="25.05" customHeight="1" x14ac:dyDescent="0.25">
      <c r="A7879" s="2" t="s">
        <v>8</v>
      </c>
      <c r="B7879" s="2" t="str">
        <f>HYPERLINK("http://ts.21cn.com/tousu/show/id/1338893","淘宝放任黄牛不管")</f>
        <v>淘宝放任黄牛不管</v>
      </c>
      <c r="C7879" s="2" t="s">
        <v>9</v>
      </c>
      <c r="D7879" s="2" t="s">
        <v>10</v>
      </c>
      <c r="E7879" s="2" t="str">
        <f>HYPERLINK("http://ts.21cn.com/tousu/show/id/1338893","http://ts.21cn.com/tousu/show/id/1338893")</f>
        <v>http://ts.21cn.com/tousu/show/id/1338893</v>
      </c>
      <c r="F7879" s="2" t="s">
        <v>11</v>
      </c>
      <c r="G7879" s="2" t="s">
        <v>28669</v>
      </c>
      <c r="H7879" s="2" t="s">
        <v>28670</v>
      </c>
    </row>
    <row r="7880" spans="1:8" ht="25.05" customHeight="1" x14ac:dyDescent="0.25">
      <c r="A7880" s="2" t="s">
        <v>8</v>
      </c>
      <c r="B7880" s="2" t="str">
        <f>HYPERLINK("http://ts.21cn.com/tousu/show/id/1338899","立马进钱，呆呆苞联系不上客服")</f>
        <v>立马进钱，呆呆苞联系不上客服</v>
      </c>
      <c r="C7880" s="2" t="s">
        <v>9</v>
      </c>
      <c r="D7880" s="2" t="s">
        <v>10</v>
      </c>
      <c r="E7880" s="2" t="str">
        <f>HYPERLINK("http://ts.21cn.com/tousu/show/id/1338899","http://ts.21cn.com/tousu/show/id/1338899")</f>
        <v>http://ts.21cn.com/tousu/show/id/1338899</v>
      </c>
      <c r="F7880" s="2" t="s">
        <v>11</v>
      </c>
      <c r="G7880" s="2" t="s">
        <v>28667</v>
      </c>
      <c r="H7880" s="2" t="s">
        <v>28668</v>
      </c>
    </row>
    <row r="7881" spans="1:8" ht="25.05" customHeight="1" x14ac:dyDescent="0.25">
      <c r="A7881" s="2" t="s">
        <v>8</v>
      </c>
      <c r="B7881" s="2" t="str">
        <f>HYPERLINK("http://ts.21cn.com/tousu/show/id/1338900","京东金条白天冻结循环额度")</f>
        <v>京东金条白天冻结循环额度</v>
      </c>
      <c r="C7881" s="2" t="s">
        <v>9</v>
      </c>
      <c r="D7881" s="2" t="s">
        <v>10</v>
      </c>
      <c r="E7881" s="2" t="str">
        <f>HYPERLINK("http://ts.21cn.com/tousu/show/id/1338900","http://ts.21cn.com/tousu/show/id/1338900")</f>
        <v>http://ts.21cn.com/tousu/show/id/1338900</v>
      </c>
      <c r="F7881" s="2" t="s">
        <v>11</v>
      </c>
      <c r="G7881" s="2" t="s">
        <v>28665</v>
      </c>
      <c r="H7881" s="2" t="s">
        <v>28666</v>
      </c>
    </row>
    <row r="7882" spans="1:8" ht="25.05" customHeight="1" x14ac:dyDescent="0.25">
      <c r="A7882" s="2" t="s">
        <v>8</v>
      </c>
      <c r="B7882" s="2" t="str">
        <f>HYPERLINK("http://ts.21cn.com/tousu/show/id/1338901","小浦优客未经同意扣款")</f>
        <v>小浦优客未经同意扣款</v>
      </c>
      <c r="C7882" s="2" t="s">
        <v>34</v>
      </c>
      <c r="D7882" s="2" t="s">
        <v>10</v>
      </c>
      <c r="E7882" s="2" t="str">
        <f>HYPERLINK("http://ts.21cn.com/tousu/show/id/1338901","http://ts.21cn.com/tousu/show/id/1338901")</f>
        <v>http://ts.21cn.com/tousu/show/id/1338901</v>
      </c>
      <c r="F7882" s="2" t="s">
        <v>11</v>
      </c>
      <c r="G7882" s="2" t="s">
        <v>28663</v>
      </c>
      <c r="H7882" s="2" t="s">
        <v>28664</v>
      </c>
    </row>
    <row r="7883" spans="1:8" ht="25.05" customHeight="1" x14ac:dyDescent="0.25">
      <c r="A7883" s="2" t="s">
        <v>8</v>
      </c>
      <c r="B7883" s="2" t="str">
        <f>HYPERLINK("http://ts.21cn.com/tousu/show/id/1338902","恢复额度")</f>
        <v>恢复额度</v>
      </c>
      <c r="C7883" s="2" t="s">
        <v>34</v>
      </c>
      <c r="D7883" s="2" t="s">
        <v>10</v>
      </c>
      <c r="E7883" s="2" t="str">
        <f>HYPERLINK("http://ts.21cn.com/tousu/show/id/1338902","http://ts.21cn.com/tousu/show/id/1338902")</f>
        <v>http://ts.21cn.com/tousu/show/id/1338902</v>
      </c>
      <c r="F7883" s="2" t="s">
        <v>11</v>
      </c>
      <c r="G7883" s="2" t="s">
        <v>28661</v>
      </c>
      <c r="H7883" s="2" t="s">
        <v>28662</v>
      </c>
    </row>
    <row r="7884" spans="1:8" ht="25.05" customHeight="1" x14ac:dyDescent="0.25">
      <c r="A7884" s="2" t="s">
        <v>8</v>
      </c>
      <c r="B7884" s="2" t="str">
        <f>HYPERLINK("http://ts.21cn.com/tousu/show/id/1338891","闲鱼平台出售假卡")</f>
        <v>闲鱼平台出售假卡</v>
      </c>
      <c r="C7884" s="2" t="s">
        <v>9</v>
      </c>
      <c r="D7884" s="2" t="s">
        <v>10</v>
      </c>
      <c r="E7884" s="2" t="str">
        <f>HYPERLINK("http://ts.21cn.com/tousu/show/id/1338891","http://ts.21cn.com/tousu/show/id/1338891")</f>
        <v>http://ts.21cn.com/tousu/show/id/1338891</v>
      </c>
      <c r="F7884" s="2" t="s">
        <v>11</v>
      </c>
      <c r="G7884" s="2" t="s">
        <v>28659</v>
      </c>
      <c r="H7884" s="2" t="s">
        <v>28660</v>
      </c>
    </row>
    <row r="7885" spans="1:8" ht="25.05" customHeight="1" x14ac:dyDescent="0.25">
      <c r="A7885" s="2" t="s">
        <v>8</v>
      </c>
      <c r="B7885" s="2" t="str">
        <f>HYPERLINK("http://ts.21cn.com/tousu/show/id/1338903","要求结清")</f>
        <v>要求结清</v>
      </c>
      <c r="C7885" s="2" t="s">
        <v>9</v>
      </c>
      <c r="D7885" s="2" t="s">
        <v>10</v>
      </c>
      <c r="E7885" s="2" t="str">
        <f>HYPERLINK("http://ts.21cn.com/tousu/show/id/1338903","http://ts.21cn.com/tousu/show/id/1338903")</f>
        <v>http://ts.21cn.com/tousu/show/id/1338903</v>
      </c>
      <c r="F7885" s="2" t="s">
        <v>11</v>
      </c>
      <c r="G7885" s="2" t="s">
        <v>28657</v>
      </c>
      <c r="H7885" s="2" t="s">
        <v>28658</v>
      </c>
    </row>
    <row r="7886" spans="1:8" ht="25.05" customHeight="1" x14ac:dyDescent="0.25">
      <c r="A7886" s="2" t="s">
        <v>8</v>
      </c>
      <c r="B7886" s="2" t="str">
        <f>HYPERLINK("http://ts.21cn.com/tousu/show/id/1338904","高利贷恶意逾期费")</f>
        <v>高利贷恶意逾期费</v>
      </c>
      <c r="C7886" s="2" t="s">
        <v>9</v>
      </c>
      <c r="D7886" s="2" t="s">
        <v>10</v>
      </c>
      <c r="E7886" s="2" t="str">
        <f>HYPERLINK("http://ts.21cn.com/tousu/show/id/1338904","http://ts.21cn.com/tousu/show/id/1338904")</f>
        <v>http://ts.21cn.com/tousu/show/id/1338904</v>
      </c>
      <c r="F7886" s="2" t="s">
        <v>11</v>
      </c>
      <c r="G7886" s="2" t="s">
        <v>28655</v>
      </c>
      <c r="H7886" s="2" t="s">
        <v>28656</v>
      </c>
    </row>
    <row r="7887" spans="1:8" ht="25.05" customHeight="1" x14ac:dyDescent="0.25">
      <c r="A7887" s="2" t="s">
        <v>8</v>
      </c>
      <c r="B7887" s="2" t="str">
        <f>HYPERLINK("http://ts.21cn.com/tousu/show/id/1338905","乱收费，利息高")</f>
        <v>乱收费，利息高</v>
      </c>
      <c r="C7887" s="2" t="s">
        <v>9</v>
      </c>
      <c r="D7887" s="2" t="s">
        <v>10</v>
      </c>
      <c r="E7887" s="2" t="str">
        <f>HYPERLINK("http://ts.21cn.com/tousu/show/id/1338905","http://ts.21cn.com/tousu/show/id/1338905")</f>
        <v>http://ts.21cn.com/tousu/show/id/1338905</v>
      </c>
      <c r="F7887" s="2" t="s">
        <v>11</v>
      </c>
      <c r="G7887" s="2" t="s">
        <v>28653</v>
      </c>
      <c r="H7887" s="2" t="s">
        <v>28654</v>
      </c>
    </row>
    <row r="7888" spans="1:8" ht="25.05" customHeight="1" x14ac:dyDescent="0.25">
      <c r="A7888" s="2" t="s">
        <v>8</v>
      </c>
      <c r="B7888" s="2" t="str">
        <f>HYPERLINK("http://ts.21cn.com/tousu/show/id/1338907","好分期恐吓催收")</f>
        <v>好分期恐吓催收</v>
      </c>
      <c r="C7888" s="2" t="s">
        <v>9</v>
      </c>
      <c r="D7888" s="2" t="s">
        <v>10</v>
      </c>
      <c r="E7888" s="2" t="str">
        <f>HYPERLINK("http://ts.21cn.com/tousu/show/id/1338907","http://ts.21cn.com/tousu/show/id/1338907")</f>
        <v>http://ts.21cn.com/tousu/show/id/1338907</v>
      </c>
      <c r="F7888" s="2" t="s">
        <v>11</v>
      </c>
      <c r="G7888" s="2" t="s">
        <v>28651</v>
      </c>
      <c r="H7888" s="2" t="s">
        <v>28652</v>
      </c>
    </row>
    <row r="7889" spans="1:8" ht="25.05" customHeight="1" x14ac:dyDescent="0.25">
      <c r="A7889" s="2" t="s">
        <v>8</v>
      </c>
      <c r="B7889" s="2" t="str">
        <f>HYPERLINK("http://ts.21cn.com/tousu/show/id/1338908","宜兴滴滴快车")</f>
        <v>宜兴滴滴快车</v>
      </c>
      <c r="C7889" s="2" t="s">
        <v>34</v>
      </c>
      <c r="D7889" s="2" t="s">
        <v>10</v>
      </c>
      <c r="E7889" s="2" t="str">
        <f>HYPERLINK("http://ts.21cn.com/tousu/show/id/1338908","http://ts.21cn.com/tousu/show/id/1338908")</f>
        <v>http://ts.21cn.com/tousu/show/id/1338908</v>
      </c>
      <c r="F7889" s="2" t="s">
        <v>11</v>
      </c>
      <c r="G7889" s="2" t="s">
        <v>28649</v>
      </c>
      <c r="H7889" s="2" t="s">
        <v>28650</v>
      </c>
    </row>
    <row r="7890" spans="1:8" ht="25.05" customHeight="1" x14ac:dyDescent="0.25">
      <c r="A7890" s="2" t="s">
        <v>8</v>
      </c>
      <c r="B7890" s="2" t="str">
        <f>HYPERLINK("http://ts.21cn.com/tousu/show/id/1338910","浦发银行万用金12万三个月涨了3万多")</f>
        <v>浦发银行万用金12万三个月涨了3万多</v>
      </c>
      <c r="C7890" s="2" t="s">
        <v>9</v>
      </c>
      <c r="D7890" s="2" t="s">
        <v>10</v>
      </c>
      <c r="E7890" s="2" t="str">
        <f>HYPERLINK("http://ts.21cn.com/tousu/show/id/1338910","http://ts.21cn.com/tousu/show/id/1338910")</f>
        <v>http://ts.21cn.com/tousu/show/id/1338910</v>
      </c>
      <c r="F7890" s="2" t="s">
        <v>11</v>
      </c>
      <c r="G7890" s="2" t="s">
        <v>28647</v>
      </c>
      <c r="H7890" s="2" t="s">
        <v>28648</v>
      </c>
    </row>
    <row r="7891" spans="1:8" ht="25.05" customHeight="1" x14ac:dyDescent="0.25">
      <c r="A7891" s="2" t="s">
        <v>8</v>
      </c>
      <c r="B7891" s="2" t="str">
        <f>HYPERLINK("http://ts.21cn.com/tousu/show/id/1338911","高利贷，非法催收，到处爆通讯录")</f>
        <v>高利贷，非法催收，到处爆通讯录</v>
      </c>
      <c r="C7891" s="2" t="s">
        <v>9</v>
      </c>
      <c r="D7891" s="2" t="s">
        <v>10</v>
      </c>
      <c r="E7891" s="2" t="str">
        <f>HYPERLINK("http://ts.21cn.com/tousu/show/id/1338911","http://ts.21cn.com/tousu/show/id/1338911")</f>
        <v>http://ts.21cn.com/tousu/show/id/1338911</v>
      </c>
      <c r="F7891" s="2" t="s">
        <v>11</v>
      </c>
      <c r="G7891" s="2" t="s">
        <v>28645</v>
      </c>
      <c r="H7891" s="2" t="s">
        <v>28646</v>
      </c>
    </row>
    <row r="7892" spans="1:8" ht="25.05" customHeight="1" x14ac:dyDescent="0.25">
      <c r="A7892" s="2" t="s">
        <v>8</v>
      </c>
      <c r="B7892" s="2" t="str">
        <f>HYPERLINK("http://ts.21cn.com/tousu/show/id/1338916","新浪分期高利贷涉黑")</f>
        <v>新浪分期高利贷涉黑</v>
      </c>
      <c r="C7892" s="2" t="s">
        <v>9</v>
      </c>
      <c r="D7892" s="2" t="s">
        <v>10</v>
      </c>
      <c r="E7892" s="2" t="str">
        <f>HYPERLINK("http://ts.21cn.com/tousu/show/id/1338916","http://ts.21cn.com/tousu/show/id/1338916")</f>
        <v>http://ts.21cn.com/tousu/show/id/1338916</v>
      </c>
      <c r="F7892" s="2" t="s">
        <v>11</v>
      </c>
      <c r="G7892" s="2" t="s">
        <v>28643</v>
      </c>
      <c r="H7892" s="2" t="s">
        <v>28644</v>
      </c>
    </row>
    <row r="7893" spans="1:8" ht="25.05" customHeight="1" x14ac:dyDescent="0.25">
      <c r="A7893" s="2" t="s">
        <v>8</v>
      </c>
      <c r="B7893" s="2" t="str">
        <f>HYPERLINK("http://ts.21cn.com/tousu/show/id/1338914","徐州云龙万达海底捞迎宾毫无礼貌，忽悠客户。喝到变质豆浆。")</f>
        <v>徐州云龙万达海底捞迎宾毫无礼貌，忽悠客户。喝到变质豆浆。</v>
      </c>
      <c r="C7893" s="2" t="s">
        <v>9</v>
      </c>
      <c r="D7893" s="2" t="s">
        <v>10</v>
      </c>
      <c r="E7893" s="2" t="str">
        <f>HYPERLINK("http://ts.21cn.com/tousu/show/id/1338914","http://ts.21cn.com/tousu/show/id/1338914")</f>
        <v>http://ts.21cn.com/tousu/show/id/1338914</v>
      </c>
      <c r="F7893" s="2" t="s">
        <v>11</v>
      </c>
      <c r="G7893" s="2" t="s">
        <v>28641</v>
      </c>
      <c r="H7893" s="2" t="s">
        <v>28642</v>
      </c>
    </row>
    <row r="7894" spans="1:8" ht="25.05" customHeight="1" x14ac:dyDescent="0.25">
      <c r="A7894" s="2" t="s">
        <v>8</v>
      </c>
      <c r="B7894" s="2" t="str">
        <f>HYPERLINK("http://ts.21cn.com/tousu/show/id/1338917","联动云超过十天不退违约金")</f>
        <v>联动云超过十天不退违约金</v>
      </c>
      <c r="C7894" s="2" t="s">
        <v>9</v>
      </c>
      <c r="D7894" s="2" t="s">
        <v>10</v>
      </c>
      <c r="E7894" s="2" t="str">
        <f>HYPERLINK("http://ts.21cn.com/tousu/show/id/1338917","http://ts.21cn.com/tousu/show/id/1338917")</f>
        <v>http://ts.21cn.com/tousu/show/id/1338917</v>
      </c>
      <c r="F7894" s="2" t="s">
        <v>11</v>
      </c>
      <c r="G7894" s="2" t="s">
        <v>28639</v>
      </c>
      <c r="H7894" s="2" t="s">
        <v>28640</v>
      </c>
    </row>
    <row r="7895" spans="1:8" ht="25.05" customHeight="1" x14ac:dyDescent="0.25">
      <c r="A7895" s="2" t="s">
        <v>8</v>
      </c>
      <c r="B7895" s="2" t="str">
        <f>HYPERLINK("http://ts.21cn.com/tousu/show/id/1338919","用钱宝套路老客户")</f>
        <v>用钱宝套路老客户</v>
      </c>
      <c r="C7895" s="2" t="s">
        <v>9</v>
      </c>
      <c r="D7895" s="2" t="s">
        <v>10</v>
      </c>
      <c r="E7895" s="2" t="str">
        <f>HYPERLINK("http://ts.21cn.com/tousu/show/id/1338919","http://ts.21cn.com/tousu/show/id/1338919")</f>
        <v>http://ts.21cn.com/tousu/show/id/1338919</v>
      </c>
      <c r="F7895" s="2" t="s">
        <v>11</v>
      </c>
      <c r="G7895" s="2" t="s">
        <v>28637</v>
      </c>
      <c r="H7895" s="2" t="s">
        <v>28638</v>
      </c>
    </row>
    <row r="7896" spans="1:8" ht="25.05" customHeight="1" x14ac:dyDescent="0.25">
      <c r="A7896" s="2" t="s">
        <v>8</v>
      </c>
      <c r="B7896" s="2" t="str">
        <f>HYPERLINK("http://ts.21cn.com/tousu/show/id/1338920","小赢卡贷暴力催收与众安保险捆绑销售")</f>
        <v>小赢卡贷暴力催收与众安保险捆绑销售</v>
      </c>
      <c r="C7896" s="2" t="s">
        <v>9</v>
      </c>
      <c r="D7896" s="2" t="s">
        <v>10</v>
      </c>
      <c r="E7896" s="2" t="str">
        <f>HYPERLINK("http://ts.21cn.com/tousu/show/id/1338920","http://ts.21cn.com/tousu/show/id/1338920")</f>
        <v>http://ts.21cn.com/tousu/show/id/1338920</v>
      </c>
      <c r="F7896" s="2" t="s">
        <v>11</v>
      </c>
      <c r="G7896" s="2" t="s">
        <v>28635</v>
      </c>
      <c r="H7896" s="2" t="s">
        <v>28636</v>
      </c>
    </row>
    <row r="7897" spans="1:8" ht="25.05" customHeight="1" x14ac:dyDescent="0.25">
      <c r="A7897" s="2" t="s">
        <v>8</v>
      </c>
      <c r="B7897" s="2" t="str">
        <f>HYPERLINK("http://ts.21cn.com/tousu/show/id/1338918","小白来花、大白钱包高利贷、砍头息")</f>
        <v>小白来花、大白钱包高利贷、砍头息</v>
      </c>
      <c r="C7897" s="2" t="s">
        <v>9</v>
      </c>
      <c r="D7897" s="2" t="s">
        <v>10</v>
      </c>
      <c r="E7897" s="2" t="str">
        <f>HYPERLINK("http://ts.21cn.com/tousu/show/id/1338918","http://ts.21cn.com/tousu/show/id/1338918")</f>
        <v>http://ts.21cn.com/tousu/show/id/1338918</v>
      </c>
      <c r="F7897" s="2" t="s">
        <v>11</v>
      </c>
      <c r="G7897" s="2" t="s">
        <v>28633</v>
      </c>
      <c r="H7897" s="2" t="s">
        <v>28634</v>
      </c>
    </row>
    <row r="7898" spans="1:8" ht="25.05" customHeight="1" x14ac:dyDescent="0.25">
      <c r="A7898" s="2" t="s">
        <v>8</v>
      </c>
      <c r="B7898" s="2" t="str">
        <f>HYPERLINK("http://ts.21cn.com/tousu/show/id/1338921","玖富万卡高额服务费")</f>
        <v>玖富万卡高额服务费</v>
      </c>
      <c r="C7898" s="2" t="s">
        <v>9</v>
      </c>
      <c r="D7898" s="2" t="s">
        <v>10</v>
      </c>
      <c r="E7898" s="2" t="str">
        <f>HYPERLINK("http://ts.21cn.com/tousu/show/id/1338921","http://ts.21cn.com/tousu/show/id/1338921")</f>
        <v>http://ts.21cn.com/tousu/show/id/1338921</v>
      </c>
      <c r="F7898" s="2" t="s">
        <v>11</v>
      </c>
      <c r="G7898" s="2" t="s">
        <v>28631</v>
      </c>
      <c r="H7898" s="2" t="s">
        <v>28632</v>
      </c>
    </row>
    <row r="7899" spans="1:8" ht="25.05" customHeight="1" x14ac:dyDescent="0.25">
      <c r="A7899" s="2" t="s">
        <v>8</v>
      </c>
      <c r="B7899" s="2" t="str">
        <f>HYPERLINK("http://ts.21cn.com/tousu/show/id/1338922","钱站高利贷阴阳合同")</f>
        <v>钱站高利贷阴阳合同</v>
      </c>
      <c r="C7899" s="2" t="s">
        <v>9</v>
      </c>
      <c r="D7899" s="2" t="s">
        <v>10</v>
      </c>
      <c r="E7899" s="2" t="str">
        <f>HYPERLINK("http://ts.21cn.com/tousu/show/id/1338922","http://ts.21cn.com/tousu/show/id/1338922")</f>
        <v>http://ts.21cn.com/tousu/show/id/1338922</v>
      </c>
      <c r="F7899" s="2" t="s">
        <v>11</v>
      </c>
      <c r="G7899" s="2" t="s">
        <v>28629</v>
      </c>
      <c r="H7899" s="2" t="s">
        <v>28630</v>
      </c>
    </row>
    <row r="7900" spans="1:8" ht="25.05" customHeight="1" x14ac:dyDescent="0.25">
      <c r="A7900" s="2" t="s">
        <v>8</v>
      </c>
      <c r="B7900" s="2" t="str">
        <f>HYPERLINK("http://ts.21cn.com/tousu/show/id/1338923","优酷在我没有任何操作情况下恶意扣费")</f>
        <v>优酷在我没有任何操作情况下恶意扣费</v>
      </c>
      <c r="C7900" s="2" t="s">
        <v>9</v>
      </c>
      <c r="D7900" s="2" t="s">
        <v>10</v>
      </c>
      <c r="E7900" s="2" t="str">
        <f>HYPERLINK("http://ts.21cn.com/tousu/show/id/1338923","http://ts.21cn.com/tousu/show/id/1338923")</f>
        <v>http://ts.21cn.com/tousu/show/id/1338923</v>
      </c>
      <c r="F7900" s="2" t="s">
        <v>11</v>
      </c>
      <c r="G7900" s="2" t="s">
        <v>28627</v>
      </c>
      <c r="H7900" s="2" t="s">
        <v>28628</v>
      </c>
    </row>
    <row r="7901" spans="1:8" ht="25.05" customHeight="1" x14ac:dyDescent="0.25">
      <c r="A7901" s="2" t="s">
        <v>8</v>
      </c>
      <c r="B7901" s="2" t="str">
        <f>HYPERLINK("http://ts.21cn.com/tousu/show/id/1338913","马上金融来钱花高利贷")</f>
        <v>马上金融来钱花高利贷</v>
      </c>
      <c r="C7901" s="2" t="s">
        <v>9</v>
      </c>
      <c r="D7901" s="2" t="s">
        <v>10</v>
      </c>
      <c r="E7901" s="2" t="str">
        <f>HYPERLINK("http://ts.21cn.com/tousu/show/id/1338913","http://ts.21cn.com/tousu/show/id/1338913")</f>
        <v>http://ts.21cn.com/tousu/show/id/1338913</v>
      </c>
      <c r="F7901" s="2" t="s">
        <v>11</v>
      </c>
      <c r="G7901" s="2" t="s">
        <v>28625</v>
      </c>
      <c r="H7901" s="2" t="s">
        <v>28626</v>
      </c>
    </row>
    <row r="7902" spans="1:8" ht="25.05" customHeight="1" x14ac:dyDescent="0.25">
      <c r="A7902" s="2" t="s">
        <v>8</v>
      </c>
      <c r="B7902" s="2" t="str">
        <f>HYPERLINK("http://ts.21cn.com/tousu/show/id/1338912","投诉拼多多售后规则有漏洞，成了恶意买家的温床")</f>
        <v>投诉拼多多售后规则有漏洞，成了恶意买家的温床</v>
      </c>
      <c r="C7902" s="2" t="s">
        <v>9</v>
      </c>
      <c r="D7902" s="2" t="s">
        <v>10</v>
      </c>
      <c r="E7902" s="2" t="str">
        <f>HYPERLINK("http://ts.21cn.com/tousu/show/id/1338912","http://ts.21cn.com/tousu/show/id/1338912")</f>
        <v>http://ts.21cn.com/tousu/show/id/1338912</v>
      </c>
      <c r="F7902" s="2" t="s">
        <v>11</v>
      </c>
      <c r="G7902" s="2" t="s">
        <v>28623</v>
      </c>
      <c r="H7902" s="2" t="s">
        <v>28624</v>
      </c>
    </row>
    <row r="7903" spans="1:8" ht="25.05" customHeight="1" x14ac:dyDescent="0.25">
      <c r="A7903" s="2" t="s">
        <v>8</v>
      </c>
      <c r="B7903" s="2" t="str">
        <f>HYPERLINK("http://ts.21cn.com/tousu/show/id/1338909","名校贷系统出现问题，导致还款逾期。不退咨询费")</f>
        <v>名校贷系统出现问题，导致还款逾期。不退咨询费</v>
      </c>
      <c r="C7903" s="2" t="s">
        <v>34</v>
      </c>
      <c r="D7903" s="2" t="s">
        <v>10</v>
      </c>
      <c r="E7903" s="2" t="str">
        <f>HYPERLINK("http://ts.21cn.com/tousu/show/id/1338909","http://ts.21cn.com/tousu/show/id/1338909")</f>
        <v>http://ts.21cn.com/tousu/show/id/1338909</v>
      </c>
      <c r="F7903" s="2" t="s">
        <v>11</v>
      </c>
      <c r="G7903" s="2" t="s">
        <v>28621</v>
      </c>
      <c r="H7903" s="2" t="s">
        <v>28622</v>
      </c>
    </row>
    <row r="7904" spans="1:8" ht="25.05" customHeight="1" x14ac:dyDescent="0.25">
      <c r="A7904" s="2" t="s">
        <v>8</v>
      </c>
      <c r="B7904" s="2" t="str">
        <f>HYPERLINK("http://ts.21cn.com/tousu/show/id/1338925","高利贷砍头息")</f>
        <v>高利贷砍头息</v>
      </c>
      <c r="C7904" s="2" t="s">
        <v>9</v>
      </c>
      <c r="D7904" s="2" t="s">
        <v>10</v>
      </c>
      <c r="E7904" s="2" t="str">
        <f>HYPERLINK("http://ts.21cn.com/tousu/show/id/1338925","http://ts.21cn.com/tousu/show/id/1338925")</f>
        <v>http://ts.21cn.com/tousu/show/id/1338925</v>
      </c>
      <c r="F7904" s="2" t="s">
        <v>11</v>
      </c>
      <c r="G7904" s="2" t="s">
        <v>28619</v>
      </c>
      <c r="H7904" s="2" t="s">
        <v>28620</v>
      </c>
    </row>
    <row r="7905" spans="1:8" ht="25.05" customHeight="1" x14ac:dyDescent="0.25">
      <c r="A7905" s="2" t="s">
        <v>8</v>
      </c>
      <c r="B7905" s="2" t="str">
        <f>HYPERLINK("http://ts.21cn.com/tousu/show/id/1338926","萌虎白卡砍头息")</f>
        <v>萌虎白卡砍头息</v>
      </c>
      <c r="C7905" s="2" t="s">
        <v>34</v>
      </c>
      <c r="D7905" s="2" t="s">
        <v>10</v>
      </c>
      <c r="E7905" s="2" t="str">
        <f>HYPERLINK("http://ts.21cn.com/tousu/show/id/1338926","http://ts.21cn.com/tousu/show/id/1338926")</f>
        <v>http://ts.21cn.com/tousu/show/id/1338926</v>
      </c>
      <c r="F7905" s="2" t="s">
        <v>11</v>
      </c>
      <c r="G7905" s="2" t="s">
        <v>28617</v>
      </c>
      <c r="H7905" s="2" t="s">
        <v>28618</v>
      </c>
    </row>
    <row r="7906" spans="1:8" ht="25.05" customHeight="1" x14ac:dyDescent="0.25">
      <c r="A7906" s="2" t="s">
        <v>8</v>
      </c>
      <c r="B7906" s="2" t="str">
        <f>HYPERLINK("http://ts.21cn.com/tousu/show/id/1338927","高利贷！高利贷！高利贷")</f>
        <v>高利贷！高利贷！高利贷</v>
      </c>
      <c r="C7906" s="2" t="s">
        <v>9</v>
      </c>
      <c r="D7906" s="2" t="s">
        <v>10</v>
      </c>
      <c r="E7906" s="2" t="str">
        <f>HYPERLINK("http://ts.21cn.com/tousu/show/id/1338927","http://ts.21cn.com/tousu/show/id/1338927")</f>
        <v>http://ts.21cn.com/tousu/show/id/1338927</v>
      </c>
      <c r="F7906" s="2" t="s">
        <v>11</v>
      </c>
      <c r="G7906" s="2" t="s">
        <v>28615</v>
      </c>
      <c r="H7906" s="2" t="s">
        <v>28616</v>
      </c>
    </row>
    <row r="7907" spans="1:8" ht="25.05" customHeight="1" x14ac:dyDescent="0.25">
      <c r="A7907" s="2" t="s">
        <v>8</v>
      </c>
      <c r="B7907" s="2" t="str">
        <f>HYPERLINK("http://ts.21cn.com/tousu/show/id/1338924","商奇宝高利贷砍头息")</f>
        <v>商奇宝高利贷砍头息</v>
      </c>
      <c r="C7907" s="2" t="s">
        <v>9</v>
      </c>
      <c r="D7907" s="2" t="s">
        <v>10</v>
      </c>
      <c r="E7907" s="2" t="str">
        <f>HYPERLINK("http://ts.21cn.com/tousu/show/id/1338924","http://ts.21cn.com/tousu/show/id/1338924")</f>
        <v>http://ts.21cn.com/tousu/show/id/1338924</v>
      </c>
      <c r="F7907" s="2" t="s">
        <v>11</v>
      </c>
      <c r="G7907" s="2" t="s">
        <v>28613</v>
      </c>
      <c r="H7907" s="2" t="s">
        <v>28614</v>
      </c>
    </row>
    <row r="7908" spans="1:8" ht="25.05" customHeight="1" x14ac:dyDescent="0.25">
      <c r="A7908" s="2" t="s">
        <v>8</v>
      </c>
      <c r="B7908" s="2" t="str">
        <f>HYPERLINK("http://ts.21cn.com/tousu/show/id/1338928","网贷高额利息")</f>
        <v>网贷高额利息</v>
      </c>
      <c r="C7908" s="2" t="s">
        <v>9</v>
      </c>
      <c r="D7908" s="2" t="s">
        <v>10</v>
      </c>
      <c r="E7908" s="2" t="str">
        <f>HYPERLINK("http://ts.21cn.com/tousu/show/id/1338928","http://ts.21cn.com/tousu/show/id/1338928")</f>
        <v>http://ts.21cn.com/tousu/show/id/1338928</v>
      </c>
      <c r="F7908" s="2" t="s">
        <v>11</v>
      </c>
      <c r="G7908" s="2" t="s">
        <v>28611</v>
      </c>
      <c r="H7908" s="2" t="s">
        <v>28612</v>
      </c>
    </row>
    <row r="7909" spans="1:8" ht="25.05" customHeight="1" x14ac:dyDescent="0.25">
      <c r="A7909" s="2" t="s">
        <v>8</v>
      </c>
      <c r="B7909" s="2" t="str">
        <f>HYPERLINK("http://ts.21cn.com/tousu/show/id/1338915","美团用假的火车票订单赚取客户退票费")</f>
        <v>美团用假的火车票订单赚取客户退票费</v>
      </c>
      <c r="C7909" s="2" t="s">
        <v>9</v>
      </c>
      <c r="D7909" s="2" t="s">
        <v>10</v>
      </c>
      <c r="E7909" s="2" t="str">
        <f>HYPERLINK("http://ts.21cn.com/tousu/show/id/1338915","http://ts.21cn.com/tousu/show/id/1338915")</f>
        <v>http://ts.21cn.com/tousu/show/id/1338915</v>
      </c>
      <c r="F7909" s="2" t="s">
        <v>11</v>
      </c>
      <c r="G7909" s="2" t="s">
        <v>28609</v>
      </c>
      <c r="H7909" s="2" t="s">
        <v>28610</v>
      </c>
    </row>
    <row r="7910" spans="1:8" ht="25.05" customHeight="1" x14ac:dyDescent="0.25">
      <c r="A7910" s="2" t="s">
        <v>8</v>
      </c>
      <c r="B7910" s="2" t="str">
        <f>HYPERLINK("http://ts.21cn.com/tousu/show/id/1338931","小花钱包暴力催收")</f>
        <v>小花钱包暴力催收</v>
      </c>
      <c r="C7910" s="2" t="s">
        <v>9</v>
      </c>
      <c r="D7910" s="2" t="s">
        <v>10</v>
      </c>
      <c r="E7910" s="2" t="str">
        <f>HYPERLINK("http://ts.21cn.com/tousu/show/id/1338931","http://ts.21cn.com/tousu/show/id/1338931")</f>
        <v>http://ts.21cn.com/tousu/show/id/1338931</v>
      </c>
      <c r="F7910" s="2" t="s">
        <v>11</v>
      </c>
      <c r="G7910" s="2" t="s">
        <v>28607</v>
      </c>
      <c r="H7910" s="2" t="s">
        <v>28608</v>
      </c>
    </row>
    <row r="7911" spans="1:8" ht="25.05" customHeight="1" x14ac:dyDescent="0.25">
      <c r="A7911" s="2" t="s">
        <v>8</v>
      </c>
      <c r="B7911" s="2" t="str">
        <f>HYPERLINK("http://ts.21cn.com/tousu/show/id/1338932","宜人贷高利贷爆力催收")</f>
        <v>宜人贷高利贷爆力催收</v>
      </c>
      <c r="C7911" s="2" t="s">
        <v>9</v>
      </c>
      <c r="D7911" s="2" t="s">
        <v>10</v>
      </c>
      <c r="E7911" s="2" t="str">
        <f>HYPERLINK("http://ts.21cn.com/tousu/show/id/1338932","http://ts.21cn.com/tousu/show/id/1338932")</f>
        <v>http://ts.21cn.com/tousu/show/id/1338932</v>
      </c>
      <c r="F7911" s="2" t="s">
        <v>11</v>
      </c>
      <c r="G7911" s="2" t="s">
        <v>28605</v>
      </c>
      <c r="H7911" s="2" t="s">
        <v>28606</v>
      </c>
    </row>
    <row r="7912" spans="1:8" ht="25.05" customHeight="1" x14ac:dyDescent="0.25">
      <c r="A7912" s="2" t="s">
        <v>8</v>
      </c>
      <c r="B7912" s="2" t="str">
        <f>HYPERLINK("http://ts.21cn.com/tousu/show/id/1338933","唯品会欺诈消费者，退货之后不退款")</f>
        <v>唯品会欺诈消费者，退货之后不退款</v>
      </c>
      <c r="C7912" s="2" t="s">
        <v>9</v>
      </c>
      <c r="D7912" s="2" t="s">
        <v>10</v>
      </c>
      <c r="E7912" s="2" t="str">
        <f>HYPERLINK("http://ts.21cn.com/tousu/show/id/1338933","http://ts.21cn.com/tousu/show/id/1338933")</f>
        <v>http://ts.21cn.com/tousu/show/id/1338933</v>
      </c>
      <c r="F7912" s="2" t="s">
        <v>11</v>
      </c>
      <c r="G7912" s="2" t="s">
        <v>28603</v>
      </c>
      <c r="H7912" s="2" t="s">
        <v>28604</v>
      </c>
    </row>
    <row r="7913" spans="1:8" ht="25.05" customHeight="1" x14ac:dyDescent="0.25">
      <c r="A7913" s="2" t="s">
        <v>8</v>
      </c>
      <c r="B7913" s="2" t="str">
        <f>HYPERLINK("http://ts.21cn.com/tousu/show/id/1338935","阴阳合同高利贷")</f>
        <v>阴阳合同高利贷</v>
      </c>
      <c r="C7913" s="2" t="s">
        <v>9</v>
      </c>
      <c r="D7913" s="2" t="s">
        <v>10</v>
      </c>
      <c r="E7913" s="2" t="str">
        <f>HYPERLINK("http://ts.21cn.com/tousu/show/id/1338935","http://ts.21cn.com/tousu/show/id/1338935")</f>
        <v>http://ts.21cn.com/tousu/show/id/1338935</v>
      </c>
      <c r="F7913" s="2" t="s">
        <v>11</v>
      </c>
      <c r="G7913" s="2" t="s">
        <v>28601</v>
      </c>
      <c r="H7913" s="2" t="s">
        <v>28602</v>
      </c>
    </row>
    <row r="7914" spans="1:8" ht="25.05" customHeight="1" x14ac:dyDescent="0.25">
      <c r="A7914" s="2" t="s">
        <v>8</v>
      </c>
      <c r="B7914" s="2" t="str">
        <f>HYPERLINK("http://ts.21cn.com/tousu/show/id/1338938","高利贷")</f>
        <v>高利贷</v>
      </c>
      <c r="C7914" s="2" t="s">
        <v>9</v>
      </c>
      <c r="D7914" s="2" t="s">
        <v>10</v>
      </c>
      <c r="E7914" s="2" t="str">
        <f>HYPERLINK("http://ts.21cn.com/tousu/show/id/1338938","http://ts.21cn.com/tousu/show/id/1338938")</f>
        <v>http://ts.21cn.com/tousu/show/id/1338938</v>
      </c>
      <c r="F7914" s="2" t="s">
        <v>11</v>
      </c>
      <c r="G7914" s="2" t="s">
        <v>28599</v>
      </c>
      <c r="H7914" s="2" t="s">
        <v>28600</v>
      </c>
    </row>
    <row r="7915" spans="1:8" ht="25.05" customHeight="1" x14ac:dyDescent="0.25">
      <c r="A7915" s="2" t="s">
        <v>8</v>
      </c>
      <c r="B7915" s="2" t="str">
        <f>HYPERLINK("http://ts.21cn.com/tousu/show/id/1338939","牛人有品非法放高利贷")</f>
        <v>牛人有品非法放高利贷</v>
      </c>
      <c r="C7915" s="2" t="s">
        <v>9</v>
      </c>
      <c r="D7915" s="2" t="s">
        <v>10</v>
      </c>
      <c r="E7915" s="2" t="str">
        <f>HYPERLINK("http://ts.21cn.com/tousu/show/id/1338939","http://ts.21cn.com/tousu/show/id/1338939")</f>
        <v>http://ts.21cn.com/tousu/show/id/1338939</v>
      </c>
      <c r="F7915" s="2" t="s">
        <v>11</v>
      </c>
      <c r="G7915" s="2" t="s">
        <v>28597</v>
      </c>
      <c r="H7915" s="2" t="s">
        <v>28598</v>
      </c>
    </row>
    <row r="7916" spans="1:8" ht="25.05" customHeight="1" x14ac:dyDescent="0.25">
      <c r="A7916" s="2" t="s">
        <v>8</v>
      </c>
      <c r="B7916" s="2" t="str">
        <f>HYPERLINK("http://ts.21cn.com/tousu/show/id/1338940","随行付还到暴力催收")</f>
        <v>随行付还到暴力催收</v>
      </c>
      <c r="C7916" s="2" t="s">
        <v>9</v>
      </c>
      <c r="D7916" s="2" t="s">
        <v>10</v>
      </c>
      <c r="E7916" s="2" t="str">
        <f>HYPERLINK("http://ts.21cn.com/tousu/show/id/1338940","http://ts.21cn.com/tousu/show/id/1338940")</f>
        <v>http://ts.21cn.com/tousu/show/id/1338940</v>
      </c>
      <c r="F7916" s="2" t="s">
        <v>11</v>
      </c>
      <c r="G7916" s="2" t="s">
        <v>28595</v>
      </c>
      <c r="H7916" s="2" t="s">
        <v>28596</v>
      </c>
    </row>
    <row r="7917" spans="1:8" ht="25.05" customHeight="1" x14ac:dyDescent="0.25">
      <c r="A7917" s="2" t="s">
        <v>8</v>
      </c>
      <c r="B7917" s="2" t="str">
        <f>HYPERLINK("http://ts.21cn.com/tousu/show/id/1338942","新浪分期暴力骚扰公民违法获取信息")</f>
        <v>新浪分期暴力骚扰公民违法获取信息</v>
      </c>
      <c r="C7917" s="2" t="s">
        <v>9</v>
      </c>
      <c r="D7917" s="2" t="s">
        <v>10</v>
      </c>
      <c r="E7917" s="2" t="str">
        <f>HYPERLINK("http://ts.21cn.com/tousu/show/id/1338942","http://ts.21cn.com/tousu/show/id/1338942")</f>
        <v>http://ts.21cn.com/tousu/show/id/1338942</v>
      </c>
      <c r="F7917" s="2" t="s">
        <v>11</v>
      </c>
      <c r="G7917" s="2" t="s">
        <v>28593</v>
      </c>
      <c r="H7917" s="2" t="s">
        <v>28594</v>
      </c>
    </row>
    <row r="7918" spans="1:8" ht="25.05" customHeight="1" x14ac:dyDescent="0.25">
      <c r="A7918" s="2" t="s">
        <v>8</v>
      </c>
      <c r="B7918" s="2" t="str">
        <f>HYPERLINK("http://ts.21cn.com/tousu/show/id/1338943","无向豹子贷贷款却自动扣了我299")</f>
        <v>无向豹子贷贷款却自动扣了我299</v>
      </c>
      <c r="C7918" s="2" t="s">
        <v>9</v>
      </c>
      <c r="D7918" s="2" t="s">
        <v>10</v>
      </c>
      <c r="E7918" s="2" t="str">
        <f>HYPERLINK("http://ts.21cn.com/tousu/show/id/1338943","http://ts.21cn.com/tousu/show/id/1338943")</f>
        <v>http://ts.21cn.com/tousu/show/id/1338943</v>
      </c>
      <c r="F7918" s="2" t="s">
        <v>11</v>
      </c>
      <c r="G7918" s="2" t="s">
        <v>28591</v>
      </c>
      <c r="H7918" s="2" t="s">
        <v>28592</v>
      </c>
    </row>
    <row r="7919" spans="1:8" ht="25.05" customHeight="1" x14ac:dyDescent="0.25">
      <c r="A7919" s="2" t="s">
        <v>8</v>
      </c>
      <c r="B7919" s="2" t="str">
        <f>HYPERLINK("http://ts.21cn.com/tousu/show/id/1338936","链家经纪人虚报房屋信息误导成交")</f>
        <v>链家经纪人虚报房屋信息误导成交</v>
      </c>
      <c r="C7919" s="2" t="s">
        <v>9</v>
      </c>
      <c r="D7919" s="2" t="s">
        <v>10</v>
      </c>
      <c r="E7919" s="2" t="str">
        <f>HYPERLINK("http://ts.21cn.com/tousu/show/id/1338936","http://ts.21cn.com/tousu/show/id/1338936")</f>
        <v>http://ts.21cn.com/tousu/show/id/1338936</v>
      </c>
      <c r="F7919" s="2" t="s">
        <v>11</v>
      </c>
      <c r="G7919" s="2" t="s">
        <v>28589</v>
      </c>
      <c r="H7919" s="2" t="s">
        <v>28590</v>
      </c>
    </row>
    <row r="7920" spans="1:8" ht="25.05" customHeight="1" x14ac:dyDescent="0.25">
      <c r="A7920" s="2" t="s">
        <v>8</v>
      </c>
      <c r="B7920" s="2" t="str">
        <f>HYPERLINK("http://ts.21cn.com/tousu/show/id/1338944","停止频繁骚扰")</f>
        <v>停止频繁骚扰</v>
      </c>
      <c r="C7920" s="2" t="s">
        <v>9</v>
      </c>
      <c r="D7920" s="2" t="s">
        <v>10</v>
      </c>
      <c r="E7920" s="2" t="str">
        <f>HYPERLINK("http://ts.21cn.com/tousu/show/id/1338944","http://ts.21cn.com/tousu/show/id/1338944")</f>
        <v>http://ts.21cn.com/tousu/show/id/1338944</v>
      </c>
      <c r="F7920" s="2" t="s">
        <v>11</v>
      </c>
      <c r="G7920" s="2" t="s">
        <v>28587</v>
      </c>
      <c r="H7920" s="2" t="s">
        <v>28588</v>
      </c>
    </row>
    <row r="7921" spans="1:8" ht="25.05" customHeight="1" x14ac:dyDescent="0.25">
      <c r="A7921" s="2" t="s">
        <v>8</v>
      </c>
      <c r="B7921" s="2" t="str">
        <f>HYPERLINK("http://ts.21cn.com/tousu/show/id/1338945","杭州乐客独角兽公司收取9800会员费，提供各种项目资料而已")</f>
        <v>杭州乐客独角兽公司收取9800会员费，提供各种项目资料而已</v>
      </c>
      <c r="C7921" s="2" t="s">
        <v>9</v>
      </c>
      <c r="D7921" s="2" t="s">
        <v>10</v>
      </c>
      <c r="E7921" s="2" t="str">
        <f>HYPERLINK("http://ts.21cn.com/tousu/show/id/1338945","http://ts.21cn.com/tousu/show/id/1338945")</f>
        <v>http://ts.21cn.com/tousu/show/id/1338945</v>
      </c>
      <c r="F7921" s="2" t="s">
        <v>11</v>
      </c>
      <c r="G7921" s="2" t="s">
        <v>28585</v>
      </c>
      <c r="H7921" s="2" t="s">
        <v>28586</v>
      </c>
    </row>
    <row r="7922" spans="1:8" ht="25.05" customHeight="1" x14ac:dyDescent="0.25">
      <c r="A7922" s="2" t="s">
        <v>8</v>
      </c>
      <c r="B7922" s="2" t="str">
        <f>HYPERLINK("http://ts.21cn.com/tousu/show/id/1338946","立借青春宝巨额砍头高利贷")</f>
        <v>立借青春宝巨额砍头高利贷</v>
      </c>
      <c r="C7922" s="2" t="s">
        <v>9</v>
      </c>
      <c r="D7922" s="2" t="s">
        <v>10</v>
      </c>
      <c r="E7922" s="2" t="str">
        <f>HYPERLINK("http://ts.21cn.com/tousu/show/id/1338946","http://ts.21cn.com/tousu/show/id/1338946")</f>
        <v>http://ts.21cn.com/tousu/show/id/1338946</v>
      </c>
      <c r="F7922" s="2" t="s">
        <v>11</v>
      </c>
      <c r="G7922" s="2" t="s">
        <v>28583</v>
      </c>
      <c r="H7922" s="2" t="s">
        <v>28584</v>
      </c>
    </row>
    <row r="7923" spans="1:8" ht="25.05" customHeight="1" x14ac:dyDescent="0.25">
      <c r="A7923" s="2" t="s">
        <v>8</v>
      </c>
      <c r="B7923" s="2" t="str">
        <f>HYPERLINK("http://ts.21cn.com/tousu/show/id/1338947","大量用户无法退还立刻出行499元押金")</f>
        <v>大量用户无法退还立刻出行499元押金</v>
      </c>
      <c r="C7923" s="2" t="s">
        <v>9</v>
      </c>
      <c r="D7923" s="2" t="s">
        <v>10</v>
      </c>
      <c r="E7923" s="2" t="str">
        <f>HYPERLINK("http://ts.21cn.com/tousu/show/id/1338947","http://ts.21cn.com/tousu/show/id/1338947")</f>
        <v>http://ts.21cn.com/tousu/show/id/1338947</v>
      </c>
      <c r="F7923" s="2" t="s">
        <v>11</v>
      </c>
      <c r="G7923" s="2" t="s">
        <v>28581</v>
      </c>
      <c r="H7923" s="2" t="s">
        <v>28582</v>
      </c>
    </row>
    <row r="7924" spans="1:8" ht="25.05" customHeight="1" x14ac:dyDescent="0.25">
      <c r="A7924" s="2" t="s">
        <v>8</v>
      </c>
      <c r="B7924" s="2" t="str">
        <f>HYPERLINK("http://ts.21cn.com/tousu/show/id/1338949","小当家网贷有砍头息，利率远高于国家规定合法利率")</f>
        <v>小当家网贷有砍头息，利率远高于国家规定合法利率</v>
      </c>
      <c r="C7924" s="2" t="s">
        <v>9</v>
      </c>
      <c r="D7924" s="2" t="s">
        <v>10</v>
      </c>
      <c r="E7924" s="2" t="str">
        <f>HYPERLINK("http://ts.21cn.com/tousu/show/id/1338949","http://ts.21cn.com/tousu/show/id/1338949")</f>
        <v>http://ts.21cn.com/tousu/show/id/1338949</v>
      </c>
      <c r="F7924" s="2" t="s">
        <v>11</v>
      </c>
      <c r="G7924" s="2" t="s">
        <v>28579</v>
      </c>
      <c r="H7924" s="2" t="s">
        <v>28580</v>
      </c>
    </row>
    <row r="7925" spans="1:8" ht="25.05" customHeight="1" x14ac:dyDescent="0.25">
      <c r="A7925" s="2" t="s">
        <v>8</v>
      </c>
      <c r="B7925" s="2" t="str">
        <f>HYPERLINK("http://ts.21cn.com/tousu/show/id/1338950","维信金科豆豆钱协调的威胁")</f>
        <v>维信金科豆豆钱协调的威胁</v>
      </c>
      <c r="C7925" s="2" t="s">
        <v>9</v>
      </c>
      <c r="D7925" s="2" t="s">
        <v>10</v>
      </c>
      <c r="E7925" s="2" t="str">
        <f>HYPERLINK("http://ts.21cn.com/tousu/show/id/1338950","http://ts.21cn.com/tousu/show/id/1338950")</f>
        <v>http://ts.21cn.com/tousu/show/id/1338950</v>
      </c>
      <c r="F7925" s="2" t="s">
        <v>11</v>
      </c>
      <c r="G7925" s="2" t="s">
        <v>28577</v>
      </c>
      <c r="H7925" s="2" t="s">
        <v>28578</v>
      </c>
    </row>
    <row r="7926" spans="1:8" ht="25.05" customHeight="1" x14ac:dyDescent="0.25">
      <c r="A7926" s="2" t="s">
        <v>8</v>
      </c>
      <c r="B7926" s="2" t="str">
        <f>HYPERLINK("http://ts.21cn.com/tousu/show/id/1338952","农业银行委托方暴力催收")</f>
        <v>农业银行委托方暴力催收</v>
      </c>
      <c r="C7926" s="2" t="s">
        <v>9</v>
      </c>
      <c r="D7926" s="2" t="s">
        <v>10</v>
      </c>
      <c r="E7926" s="2" t="str">
        <f>HYPERLINK("http://ts.21cn.com/tousu/show/id/1338952","http://ts.21cn.com/tousu/show/id/1338952")</f>
        <v>http://ts.21cn.com/tousu/show/id/1338952</v>
      </c>
      <c r="F7926" s="2" t="s">
        <v>11</v>
      </c>
      <c r="G7926" s="2" t="s">
        <v>28575</v>
      </c>
      <c r="H7926" s="2" t="s">
        <v>28576</v>
      </c>
    </row>
    <row r="7927" spans="1:8" ht="25.05" customHeight="1" x14ac:dyDescent="0.25">
      <c r="A7927" s="2" t="s">
        <v>8</v>
      </c>
      <c r="B7927" s="2" t="str">
        <f>HYPERLINK("http://ts.21cn.com/tousu/show/id/1338953","佰仟金融高利贷推卸责任恐吓短信")</f>
        <v>佰仟金融高利贷推卸责任恐吓短信</v>
      </c>
      <c r="C7927" s="2" t="s">
        <v>9</v>
      </c>
      <c r="D7927" s="2" t="s">
        <v>10</v>
      </c>
      <c r="E7927" s="2" t="str">
        <f>HYPERLINK("http://ts.21cn.com/tousu/show/id/1338953","http://ts.21cn.com/tousu/show/id/1338953")</f>
        <v>http://ts.21cn.com/tousu/show/id/1338953</v>
      </c>
      <c r="F7927" s="2" t="s">
        <v>11</v>
      </c>
      <c r="G7927" s="2" t="s">
        <v>28573</v>
      </c>
      <c r="H7927" s="2" t="s">
        <v>28574</v>
      </c>
    </row>
    <row r="7928" spans="1:8" ht="25.05" customHeight="1" x14ac:dyDescent="0.25">
      <c r="A7928" s="2" t="s">
        <v>8</v>
      </c>
      <c r="B7928" s="2" t="str">
        <f>HYPERLINK("http://ts.21cn.com/tousu/show/id/1338954","扣款失败，一直逾期")</f>
        <v>扣款失败，一直逾期</v>
      </c>
      <c r="C7928" s="2" t="s">
        <v>9</v>
      </c>
      <c r="D7928" s="2" t="s">
        <v>10</v>
      </c>
      <c r="E7928" s="2" t="str">
        <f>HYPERLINK("http://ts.21cn.com/tousu/show/id/1338954","http://ts.21cn.com/tousu/show/id/1338954")</f>
        <v>http://ts.21cn.com/tousu/show/id/1338954</v>
      </c>
      <c r="F7928" s="2" t="s">
        <v>11</v>
      </c>
      <c r="G7928" s="2" t="s">
        <v>28571</v>
      </c>
      <c r="H7928" s="2" t="s">
        <v>28572</v>
      </c>
    </row>
    <row r="7929" spans="1:8" ht="25.05" customHeight="1" x14ac:dyDescent="0.25">
      <c r="A7929" s="2" t="s">
        <v>8</v>
      </c>
      <c r="B7929" s="2" t="str">
        <f>HYPERLINK("http://ts.21cn.com/tousu/show/id/1338957","芝麻信用")</f>
        <v>芝麻信用</v>
      </c>
      <c r="C7929" s="2" t="s">
        <v>34</v>
      </c>
      <c r="D7929" s="2" t="s">
        <v>10</v>
      </c>
      <c r="E7929" s="2" t="str">
        <f>HYPERLINK("http://ts.21cn.com/tousu/show/id/1338957","http://ts.21cn.com/tousu/show/id/1338957")</f>
        <v>http://ts.21cn.com/tousu/show/id/1338957</v>
      </c>
      <c r="F7929" s="2" t="s">
        <v>11</v>
      </c>
      <c r="G7929" s="2" t="s">
        <v>28569</v>
      </c>
      <c r="H7929" s="2" t="s">
        <v>28570</v>
      </c>
    </row>
    <row r="7930" spans="1:8" ht="25.05" customHeight="1" x14ac:dyDescent="0.25">
      <c r="A7930" s="2" t="s">
        <v>8</v>
      </c>
      <c r="B7930" s="2" t="str">
        <f>HYPERLINK("http://ts.21cn.com/tousu/show/id/1338959","要求随手记返还砍头息")</f>
        <v>要求随手记返还砍头息</v>
      </c>
      <c r="C7930" s="2" t="s">
        <v>9</v>
      </c>
      <c r="D7930" s="2" t="s">
        <v>10</v>
      </c>
      <c r="E7930" s="2" t="str">
        <f>HYPERLINK("http://ts.21cn.com/tousu/show/id/1338959","http://ts.21cn.com/tousu/show/id/1338959")</f>
        <v>http://ts.21cn.com/tousu/show/id/1338959</v>
      </c>
      <c r="F7930" s="2" t="s">
        <v>11</v>
      </c>
      <c r="G7930" s="2" t="s">
        <v>28567</v>
      </c>
      <c r="H7930" s="2" t="s">
        <v>28568</v>
      </c>
    </row>
    <row r="7931" spans="1:8" ht="25.05" customHeight="1" x14ac:dyDescent="0.25">
      <c r="A7931" s="2" t="s">
        <v>8</v>
      </c>
      <c r="B7931" s="2" t="str">
        <f>HYPERLINK("http://ts.21cn.com/tousu/show/id/1338948","存钱柜")</f>
        <v>存钱柜</v>
      </c>
      <c r="C7931" s="2" t="s">
        <v>9</v>
      </c>
      <c r="D7931" s="2" t="s">
        <v>10</v>
      </c>
      <c r="E7931" s="2" t="str">
        <f>HYPERLINK("http://ts.21cn.com/tousu/show/id/1338948","http://ts.21cn.com/tousu/show/id/1338948")</f>
        <v>http://ts.21cn.com/tousu/show/id/1338948</v>
      </c>
      <c r="F7931" s="2" t="s">
        <v>11</v>
      </c>
      <c r="G7931" s="2" t="s">
        <v>28566</v>
      </c>
      <c r="H7931" s="2" t="s">
        <v>28553</v>
      </c>
    </row>
    <row r="7932" spans="1:8" ht="25.05" customHeight="1" x14ac:dyDescent="0.25">
      <c r="A7932" s="2" t="s">
        <v>8</v>
      </c>
      <c r="B7932" s="2" t="str">
        <f>HYPERLINK("http://ts.21cn.com/tousu/show/id/1338958","唯品会欺诈消费者")</f>
        <v>唯品会欺诈消费者</v>
      </c>
      <c r="C7932" s="2" t="s">
        <v>9</v>
      </c>
      <c r="D7932" s="2" t="s">
        <v>10</v>
      </c>
      <c r="E7932" s="2" t="str">
        <f>HYPERLINK("http://ts.21cn.com/tousu/show/id/1338958","http://ts.21cn.com/tousu/show/id/1338958")</f>
        <v>http://ts.21cn.com/tousu/show/id/1338958</v>
      </c>
      <c r="F7932" s="2" t="s">
        <v>11</v>
      </c>
      <c r="G7932" s="2" t="s">
        <v>28564</v>
      </c>
      <c r="H7932" s="2" t="s">
        <v>28565</v>
      </c>
    </row>
    <row r="7933" spans="1:8" ht="25.05" customHeight="1" x14ac:dyDescent="0.25">
      <c r="A7933" s="2" t="s">
        <v>8</v>
      </c>
      <c r="B7933" s="2" t="str">
        <f>HYPERLINK("http://ts.21cn.com/tousu/show/id/1338960","自由摩卡，诺和信用计划套路贷高利贷")</f>
        <v>自由摩卡，诺和信用计划套路贷高利贷</v>
      </c>
      <c r="C7933" s="2" t="s">
        <v>9</v>
      </c>
      <c r="D7933" s="2" t="s">
        <v>10</v>
      </c>
      <c r="E7933" s="2" t="str">
        <f>HYPERLINK("http://ts.21cn.com/tousu/show/id/1338960","http://ts.21cn.com/tousu/show/id/1338960")</f>
        <v>http://ts.21cn.com/tousu/show/id/1338960</v>
      </c>
      <c r="F7933" s="2" t="s">
        <v>11</v>
      </c>
      <c r="G7933" s="2" t="s">
        <v>28562</v>
      </c>
      <c r="H7933" s="2" t="s">
        <v>28563</v>
      </c>
    </row>
    <row r="7934" spans="1:8" ht="25.05" customHeight="1" x14ac:dyDescent="0.25">
      <c r="A7934" s="2" t="s">
        <v>8</v>
      </c>
      <c r="B7934" s="2" t="str">
        <f>HYPERLINK("http://ts.21cn.com/tousu/show/id/1338956","轻周转芒果筹高利贷北京畅捷通提供支付通道")</f>
        <v>轻周转芒果筹高利贷北京畅捷通提供支付通道</v>
      </c>
      <c r="C7934" s="2" t="s">
        <v>9</v>
      </c>
      <c r="D7934" s="2" t="s">
        <v>10</v>
      </c>
      <c r="E7934" s="2" t="str">
        <f>HYPERLINK("http://ts.21cn.com/tousu/show/id/1338956","http://ts.21cn.com/tousu/show/id/1338956")</f>
        <v>http://ts.21cn.com/tousu/show/id/1338956</v>
      </c>
      <c r="F7934" s="2" t="s">
        <v>11</v>
      </c>
      <c r="G7934" s="2" t="s">
        <v>28560</v>
      </c>
      <c r="H7934" s="2" t="s">
        <v>28561</v>
      </c>
    </row>
    <row r="7935" spans="1:8" ht="25.05" customHeight="1" x14ac:dyDescent="0.25">
      <c r="A7935" s="2" t="s">
        <v>8</v>
      </c>
      <c r="B7935" s="2" t="str">
        <f>HYPERLINK("http://ts.21cn.com/tousu/show/id/1338962","街电充电宝丢失又找到了")</f>
        <v>街电充电宝丢失又找到了</v>
      </c>
      <c r="C7935" s="2" t="s">
        <v>9</v>
      </c>
      <c r="D7935" s="2" t="s">
        <v>10</v>
      </c>
      <c r="E7935" s="2" t="str">
        <f>HYPERLINK("http://ts.21cn.com/tousu/show/id/1338962","http://ts.21cn.com/tousu/show/id/1338962")</f>
        <v>http://ts.21cn.com/tousu/show/id/1338962</v>
      </c>
      <c r="F7935" s="2" t="s">
        <v>11</v>
      </c>
      <c r="G7935" s="2" t="s">
        <v>28558</v>
      </c>
      <c r="H7935" s="2" t="s">
        <v>28559</v>
      </c>
    </row>
    <row r="7936" spans="1:8" ht="25.05" customHeight="1" x14ac:dyDescent="0.25">
      <c r="A7936" s="2" t="s">
        <v>8</v>
      </c>
      <c r="B7936" s="2" t="str">
        <f>HYPERLINK("http://ts.21cn.com/tousu/show/id/1338961","玖富高利贷")</f>
        <v>玖富高利贷</v>
      </c>
      <c r="C7936" s="2" t="s">
        <v>9</v>
      </c>
      <c r="D7936" s="2" t="s">
        <v>10</v>
      </c>
      <c r="E7936" s="2" t="str">
        <f>HYPERLINK("http://ts.21cn.com/tousu/show/id/1338961","http://ts.21cn.com/tousu/show/id/1338961")</f>
        <v>http://ts.21cn.com/tousu/show/id/1338961</v>
      </c>
      <c r="F7936" s="2" t="s">
        <v>11</v>
      </c>
      <c r="G7936" s="2" t="s">
        <v>28556</v>
      </c>
      <c r="H7936" s="2" t="s">
        <v>28557</v>
      </c>
    </row>
    <row r="7937" spans="1:8" ht="25.05" customHeight="1" x14ac:dyDescent="0.25">
      <c r="A7937" s="2" t="s">
        <v>8</v>
      </c>
      <c r="B7937" s="2" t="str">
        <f>HYPERLINK("http://ts.21cn.com/tousu/show/id/1338963","乐客独角兽套路我入会员9800我要求退款！")</f>
        <v>乐客独角兽套路我入会员9800我要求退款！</v>
      </c>
      <c r="C7937" s="2" t="s">
        <v>9</v>
      </c>
      <c r="D7937" s="2" t="s">
        <v>10</v>
      </c>
      <c r="E7937" s="2" t="str">
        <f>HYPERLINK("http://ts.21cn.com/tousu/show/id/1338963","http://ts.21cn.com/tousu/show/id/1338963")</f>
        <v>http://ts.21cn.com/tousu/show/id/1338963</v>
      </c>
      <c r="F7937" s="2" t="s">
        <v>11</v>
      </c>
      <c r="G7937" s="2" t="s">
        <v>28554</v>
      </c>
      <c r="H7937" s="2" t="s">
        <v>28555</v>
      </c>
    </row>
    <row r="7938" spans="1:8" ht="25.05" customHeight="1" x14ac:dyDescent="0.25">
      <c r="A7938" s="2" t="s">
        <v>8</v>
      </c>
      <c r="B7938" s="2" t="str">
        <f>HYPERLINK("http://ts.21cn.com/tousu/show/id/1338964","汇聚支付为高利贷提供通道")</f>
        <v>汇聚支付为高利贷提供通道</v>
      </c>
      <c r="C7938" s="2" t="s">
        <v>9</v>
      </c>
      <c r="D7938" s="2" t="s">
        <v>10</v>
      </c>
      <c r="E7938" s="2" t="str">
        <f>HYPERLINK("http://ts.21cn.com/tousu/show/id/1338964","http://ts.21cn.com/tousu/show/id/1338964")</f>
        <v>http://ts.21cn.com/tousu/show/id/1338964</v>
      </c>
      <c r="F7938" s="2" t="s">
        <v>11</v>
      </c>
      <c r="G7938" s="2" t="s">
        <v>28552</v>
      </c>
      <c r="H7938" s="2" t="s">
        <v>28553</v>
      </c>
    </row>
    <row r="7939" spans="1:8" ht="25.05" customHeight="1" x14ac:dyDescent="0.25">
      <c r="A7939" s="2" t="s">
        <v>8</v>
      </c>
      <c r="B7939" s="2" t="str">
        <f>HYPERLINK("http://ts.21cn.com/tousu/show/id/1338965","松紧贷收服务费，利息高")</f>
        <v>松紧贷收服务费，利息高</v>
      </c>
      <c r="C7939" s="2" t="s">
        <v>9</v>
      </c>
      <c r="D7939" s="2" t="s">
        <v>10</v>
      </c>
      <c r="E7939" s="2" t="str">
        <f>HYPERLINK("http://ts.21cn.com/tousu/show/id/1338965","http://ts.21cn.com/tousu/show/id/1338965")</f>
        <v>http://ts.21cn.com/tousu/show/id/1338965</v>
      </c>
      <c r="F7939" s="2" t="s">
        <v>11</v>
      </c>
      <c r="G7939" s="2" t="s">
        <v>28550</v>
      </c>
      <c r="H7939" s="2" t="s">
        <v>28551</v>
      </c>
    </row>
    <row r="7940" spans="1:8" ht="25.05" customHeight="1" x14ac:dyDescent="0.25">
      <c r="A7940" s="2" t="s">
        <v>8</v>
      </c>
      <c r="B7940" s="2" t="str">
        <f>HYPERLINK("http://ts.21cn.com/tousu/show/id/1338966","轻周转芒果筹高利贷")</f>
        <v>轻周转芒果筹高利贷</v>
      </c>
      <c r="C7940" s="2" t="s">
        <v>9</v>
      </c>
      <c r="D7940" s="2" t="s">
        <v>10</v>
      </c>
      <c r="E7940" s="2" t="str">
        <f>HYPERLINK("http://ts.21cn.com/tousu/show/id/1338966","http://ts.21cn.com/tousu/show/id/1338966")</f>
        <v>http://ts.21cn.com/tousu/show/id/1338966</v>
      </c>
      <c r="F7940" s="2" t="s">
        <v>11</v>
      </c>
      <c r="G7940" s="2" t="s">
        <v>28548</v>
      </c>
      <c r="H7940" s="2" t="s">
        <v>28549</v>
      </c>
    </row>
    <row r="7941" spans="1:8" ht="25.05" customHeight="1" x14ac:dyDescent="0.25">
      <c r="A7941" s="2" t="s">
        <v>8</v>
      </c>
      <c r="B7941" s="2" t="str">
        <f>HYPERLINK("http://ts.21cn.com/tousu/show/id/1338967","用刷宝pos机刷卡，好几天没到账")</f>
        <v>用刷宝pos机刷卡，好几天没到账</v>
      </c>
      <c r="C7941" s="2" t="s">
        <v>34</v>
      </c>
      <c r="D7941" s="2" t="s">
        <v>10</v>
      </c>
      <c r="E7941" s="2" t="str">
        <f>HYPERLINK("http://ts.21cn.com/tousu/show/id/1338967","http://ts.21cn.com/tousu/show/id/1338967")</f>
        <v>http://ts.21cn.com/tousu/show/id/1338967</v>
      </c>
      <c r="F7941" s="2" t="s">
        <v>11</v>
      </c>
      <c r="G7941" s="2" t="s">
        <v>28546</v>
      </c>
      <c r="H7941" s="2" t="s">
        <v>28547</v>
      </c>
    </row>
    <row r="7942" spans="1:8" ht="25.05" customHeight="1" x14ac:dyDescent="0.25">
      <c r="A7942" s="2" t="s">
        <v>8</v>
      </c>
      <c r="B7942" s="2" t="str">
        <f>HYPERLINK("http://ts.21cn.com/tousu/show/id/1338968","强制多收费用")</f>
        <v>强制多收费用</v>
      </c>
      <c r="C7942" s="2" t="s">
        <v>9</v>
      </c>
      <c r="D7942" s="2" t="s">
        <v>10</v>
      </c>
      <c r="E7942" s="2" t="str">
        <f>HYPERLINK("http://ts.21cn.com/tousu/show/id/1338968","http://ts.21cn.com/tousu/show/id/1338968")</f>
        <v>http://ts.21cn.com/tousu/show/id/1338968</v>
      </c>
      <c r="F7942" s="2" t="s">
        <v>11</v>
      </c>
      <c r="G7942" s="2" t="s">
        <v>28545</v>
      </c>
      <c r="H7942" s="2" t="s">
        <v>12225</v>
      </c>
    </row>
    <row r="7943" spans="1:8" ht="25.05" customHeight="1" x14ac:dyDescent="0.25">
      <c r="A7943" s="2" t="s">
        <v>8</v>
      </c>
      <c r="B7943" s="2" t="str">
        <f>HYPERLINK("http://ts.21cn.com/tousu/show/id/1338969","转转集体投诉专题")</f>
        <v>转转集体投诉专题</v>
      </c>
      <c r="C7943" s="2" t="s">
        <v>9</v>
      </c>
      <c r="D7943" s="2" t="s">
        <v>10</v>
      </c>
      <c r="E7943" s="2" t="str">
        <f>HYPERLINK("http://ts.21cn.com/tousu/show/id/1338969","http://ts.21cn.com/tousu/show/id/1338969")</f>
        <v>http://ts.21cn.com/tousu/show/id/1338969</v>
      </c>
      <c r="F7943" s="2" t="s">
        <v>11</v>
      </c>
      <c r="G7943" s="2" t="s">
        <v>28543</v>
      </c>
      <c r="H7943" s="2" t="s">
        <v>28544</v>
      </c>
    </row>
    <row r="7944" spans="1:8" ht="25.05" customHeight="1" x14ac:dyDescent="0.25">
      <c r="A7944" s="2" t="s">
        <v>8</v>
      </c>
      <c r="B7944" s="2" t="str">
        <f>HYPERLINK("http://ts.21cn.com/tousu/show/id/1338970","百信钱包套路贷款")</f>
        <v>百信钱包套路贷款</v>
      </c>
      <c r="C7944" s="2" t="s">
        <v>9</v>
      </c>
      <c r="D7944" s="2" t="s">
        <v>10</v>
      </c>
      <c r="E7944" s="2" t="str">
        <f>HYPERLINK("http://ts.21cn.com/tousu/show/id/1338970","http://ts.21cn.com/tousu/show/id/1338970")</f>
        <v>http://ts.21cn.com/tousu/show/id/1338970</v>
      </c>
      <c r="F7944" s="2" t="s">
        <v>11</v>
      </c>
      <c r="G7944" s="2" t="s">
        <v>28541</v>
      </c>
      <c r="H7944" s="2" t="s">
        <v>28542</v>
      </c>
    </row>
    <row r="7945" spans="1:8" ht="25.05" customHeight="1" x14ac:dyDescent="0.25">
      <c r="A7945" s="2" t="s">
        <v>8</v>
      </c>
      <c r="B7945" s="2" t="str">
        <f>HYPERLINK("http://ts.21cn.com/tousu/show/id/1338971","去哪儿和洲际酒店客服推卸责任不处理事情")</f>
        <v>去哪儿和洲际酒店客服推卸责任不处理事情</v>
      </c>
      <c r="C7945" s="2" t="s">
        <v>9</v>
      </c>
      <c r="D7945" s="2" t="s">
        <v>10</v>
      </c>
      <c r="E7945" s="2" t="str">
        <f>HYPERLINK("http://ts.21cn.com/tousu/show/id/1338971","http://ts.21cn.com/tousu/show/id/1338971")</f>
        <v>http://ts.21cn.com/tousu/show/id/1338971</v>
      </c>
      <c r="F7945" s="2" t="s">
        <v>11</v>
      </c>
      <c r="G7945" s="2" t="s">
        <v>28539</v>
      </c>
      <c r="H7945" s="2" t="s">
        <v>28540</v>
      </c>
    </row>
    <row r="7946" spans="1:8" ht="25.05" customHeight="1" x14ac:dyDescent="0.25">
      <c r="A7946" s="2" t="s">
        <v>8</v>
      </c>
      <c r="B7946" s="2" t="str">
        <f>HYPERLINK("http://ts.21cn.com/tousu/show/id/1338972","本人在9月5日还款于拍拍贷405.17元，还款5次失败，显示后台接口错误，导致逾期1天，拍拍贷并加收我逾期费用")</f>
        <v>本人在9月5日还款于拍拍贷405.17元，还款5次失败，显示后台接口错误，导致逾期1天，拍拍贷并加收我逾期费用</v>
      </c>
      <c r="C7946" s="2" t="s">
        <v>9</v>
      </c>
      <c r="D7946" s="2" t="s">
        <v>10</v>
      </c>
      <c r="E7946" s="2" t="str">
        <f>HYPERLINK("http://ts.21cn.com/tousu/show/id/1338972","http://ts.21cn.com/tousu/show/id/1338972")</f>
        <v>http://ts.21cn.com/tousu/show/id/1338972</v>
      </c>
      <c r="F7946" s="2" t="s">
        <v>11</v>
      </c>
      <c r="G7946" s="2" t="s">
        <v>28537</v>
      </c>
      <c r="H7946" s="2" t="s">
        <v>28538</v>
      </c>
    </row>
    <row r="7947" spans="1:8" ht="25.05" customHeight="1" x14ac:dyDescent="0.25">
      <c r="A7947" s="2" t="s">
        <v>8</v>
      </c>
      <c r="B7947" s="2" t="str">
        <f>HYPERLINK("http://ts.21cn.com/tousu/show/id/1338974","淘宝被盗淘宝方面不核实是否是本人就限制登录淘宝账号关闭支付宝支付提现功能")</f>
        <v>淘宝被盗淘宝方面不核实是否是本人就限制登录淘宝账号关闭支付宝支付提现功能</v>
      </c>
      <c r="C7947" s="2" t="s">
        <v>9</v>
      </c>
      <c r="D7947" s="2" t="s">
        <v>10</v>
      </c>
      <c r="E7947" s="2" t="str">
        <f>HYPERLINK("http://ts.21cn.com/tousu/show/id/1338974","http://ts.21cn.com/tousu/show/id/1338974")</f>
        <v>http://ts.21cn.com/tousu/show/id/1338974</v>
      </c>
      <c r="F7947" s="2" t="s">
        <v>11</v>
      </c>
      <c r="G7947" s="2" t="s">
        <v>28536</v>
      </c>
      <c r="H7947" s="2" t="s">
        <v>26272</v>
      </c>
    </row>
    <row r="7948" spans="1:8" ht="25.05" customHeight="1" x14ac:dyDescent="0.25">
      <c r="A7948" s="2" t="s">
        <v>8</v>
      </c>
      <c r="B7948" s="2" t="str">
        <f>HYPERLINK("http://ts.21cn.com/tousu/show/id/1338973","及贷高利贷")</f>
        <v>及贷高利贷</v>
      </c>
      <c r="C7948" s="2" t="s">
        <v>9</v>
      </c>
      <c r="D7948" s="2" t="s">
        <v>10</v>
      </c>
      <c r="E7948" s="2" t="str">
        <f>HYPERLINK("http://ts.21cn.com/tousu/show/id/1338973","http://ts.21cn.com/tousu/show/id/1338973")</f>
        <v>http://ts.21cn.com/tousu/show/id/1338973</v>
      </c>
      <c r="F7948" s="2" t="s">
        <v>11</v>
      </c>
      <c r="G7948" s="2" t="s">
        <v>28534</v>
      </c>
      <c r="H7948" s="2" t="s">
        <v>28535</v>
      </c>
    </row>
    <row r="7949" spans="1:8" ht="25.05" customHeight="1" x14ac:dyDescent="0.25">
      <c r="A7949" s="2" t="s">
        <v>8</v>
      </c>
      <c r="B7949" s="2" t="str">
        <f>HYPERLINK("http://ts.21cn.com/tousu/show/id/1338975","拍拍贷的吹收令人发指")</f>
        <v>拍拍贷的吹收令人发指</v>
      </c>
      <c r="C7949" s="2" t="s">
        <v>9</v>
      </c>
      <c r="D7949" s="2" t="s">
        <v>10</v>
      </c>
      <c r="E7949" s="2" t="str">
        <f>HYPERLINK("http://ts.21cn.com/tousu/show/id/1338975","http://ts.21cn.com/tousu/show/id/1338975")</f>
        <v>http://ts.21cn.com/tousu/show/id/1338975</v>
      </c>
      <c r="F7949" s="2" t="s">
        <v>11</v>
      </c>
      <c r="G7949" s="2" t="s">
        <v>28532</v>
      </c>
      <c r="H7949" s="2" t="s">
        <v>28533</v>
      </c>
    </row>
    <row r="7950" spans="1:8" ht="25.05" customHeight="1" x14ac:dyDescent="0.25">
      <c r="A7950" s="2" t="s">
        <v>8</v>
      </c>
      <c r="B7950" s="2" t="str">
        <f>HYPERLINK("http://ts.21cn.com/tousu/show/id/1338976","我在钱伴逾期了2日就恐吓我，非法催收")</f>
        <v>我在钱伴逾期了2日就恐吓我，非法催收</v>
      </c>
      <c r="C7950" s="2" t="s">
        <v>9</v>
      </c>
      <c r="D7950" s="2" t="s">
        <v>10</v>
      </c>
      <c r="E7950" s="2" t="str">
        <f>HYPERLINK("http://ts.21cn.com/tousu/show/id/1338976","http://ts.21cn.com/tousu/show/id/1338976")</f>
        <v>http://ts.21cn.com/tousu/show/id/1338976</v>
      </c>
      <c r="F7950" s="2" t="s">
        <v>11</v>
      </c>
      <c r="G7950" s="2" t="s">
        <v>28530</v>
      </c>
      <c r="H7950" s="2" t="s">
        <v>28531</v>
      </c>
    </row>
    <row r="7951" spans="1:8" ht="25.05" customHeight="1" x14ac:dyDescent="0.25">
      <c r="A7951" s="2" t="s">
        <v>8</v>
      </c>
      <c r="B7951" s="2" t="str">
        <f>HYPERLINK("http://ts.21cn.com/tousu/show/id/1338977","可够便利店服务态度恶劣")</f>
        <v>可够便利店服务态度恶劣</v>
      </c>
      <c r="C7951" s="2" t="s">
        <v>9</v>
      </c>
      <c r="D7951" s="2" t="s">
        <v>10</v>
      </c>
      <c r="E7951" s="2" t="str">
        <f>HYPERLINK("http://ts.21cn.com/tousu/show/id/1338977","http://ts.21cn.com/tousu/show/id/1338977")</f>
        <v>http://ts.21cn.com/tousu/show/id/1338977</v>
      </c>
      <c r="F7951" s="2" t="s">
        <v>11</v>
      </c>
      <c r="G7951" s="2" t="s">
        <v>28528</v>
      </c>
      <c r="H7951" s="2" t="s">
        <v>28529</v>
      </c>
    </row>
    <row r="7952" spans="1:8" ht="25.05" customHeight="1" x14ac:dyDescent="0.25">
      <c r="A7952" s="2" t="s">
        <v>8</v>
      </c>
      <c r="B7952" s="2" t="str">
        <f>HYPERLINK("http://ts.21cn.com/tousu/show/id/1338979","阴阳合同，利率收费不正常")</f>
        <v>阴阳合同，利率收费不正常</v>
      </c>
      <c r="C7952" s="2" t="s">
        <v>9</v>
      </c>
      <c r="D7952" s="2" t="s">
        <v>10</v>
      </c>
      <c r="E7952" s="2" t="str">
        <f>HYPERLINK("http://ts.21cn.com/tousu/show/id/1338979","http://ts.21cn.com/tousu/show/id/1338979")</f>
        <v>http://ts.21cn.com/tousu/show/id/1338979</v>
      </c>
      <c r="F7952" s="2" t="s">
        <v>11</v>
      </c>
      <c r="G7952" s="2" t="s">
        <v>28526</v>
      </c>
      <c r="H7952" s="2" t="s">
        <v>28527</v>
      </c>
    </row>
    <row r="7953" spans="1:8" ht="25.05" customHeight="1" x14ac:dyDescent="0.25">
      <c r="A7953" s="2" t="s">
        <v>8</v>
      </c>
      <c r="B7953" s="2" t="str">
        <f>HYPERLINK("http://ts.21cn.com/tousu/show/id/1338980","快易熊高利贷，砍头息。")</f>
        <v>快易熊高利贷，砍头息。</v>
      </c>
      <c r="C7953" s="2" t="s">
        <v>9</v>
      </c>
      <c r="D7953" s="2" t="s">
        <v>10</v>
      </c>
      <c r="E7953" s="2" t="str">
        <f>HYPERLINK("http://ts.21cn.com/tousu/show/id/1338980","http://ts.21cn.com/tousu/show/id/1338980")</f>
        <v>http://ts.21cn.com/tousu/show/id/1338980</v>
      </c>
      <c r="F7953" s="2" t="s">
        <v>11</v>
      </c>
      <c r="G7953" s="2" t="s">
        <v>28524</v>
      </c>
      <c r="H7953" s="2" t="s">
        <v>28525</v>
      </c>
    </row>
    <row r="7954" spans="1:8" ht="25.05" customHeight="1" x14ac:dyDescent="0.25">
      <c r="A7954" s="2" t="s">
        <v>8</v>
      </c>
      <c r="B7954" s="2" t="str">
        <f>HYPERLINK("http://ts.21cn.com/tousu/show/id/1338978","拼多多商户涉嫌为博彩平台收款")</f>
        <v>拼多多商户涉嫌为博彩平台收款</v>
      </c>
      <c r="C7954" s="2" t="s">
        <v>9</v>
      </c>
      <c r="D7954" s="2" t="s">
        <v>10</v>
      </c>
      <c r="E7954" s="2" t="str">
        <f>HYPERLINK("http://ts.21cn.com/tousu/show/id/1338978","http://ts.21cn.com/tousu/show/id/1338978")</f>
        <v>http://ts.21cn.com/tousu/show/id/1338978</v>
      </c>
      <c r="F7954" s="2" t="s">
        <v>11</v>
      </c>
      <c r="G7954" s="2" t="s">
        <v>28522</v>
      </c>
      <c r="H7954" s="2" t="s">
        <v>28523</v>
      </c>
    </row>
    <row r="7955" spans="1:8" ht="25.05" customHeight="1" x14ac:dyDescent="0.25">
      <c r="A7955" s="2" t="s">
        <v>8</v>
      </c>
      <c r="B7955" s="2" t="str">
        <f>HYPERLINK("http://ts.21cn.com/tousu/show/id/1338981","自由摩卡诺和信用计划套路贷高利贷")</f>
        <v>自由摩卡诺和信用计划套路贷高利贷</v>
      </c>
      <c r="C7955" s="2" t="s">
        <v>9</v>
      </c>
      <c r="D7955" s="2" t="s">
        <v>10</v>
      </c>
      <c r="E7955" s="2" t="str">
        <f>HYPERLINK("http://ts.21cn.com/tousu/show/id/1338981","http://ts.21cn.com/tousu/show/id/1338981")</f>
        <v>http://ts.21cn.com/tousu/show/id/1338981</v>
      </c>
      <c r="F7955" s="2" t="s">
        <v>11</v>
      </c>
      <c r="G7955" s="2" t="s">
        <v>28520</v>
      </c>
      <c r="H7955" s="2" t="s">
        <v>28521</v>
      </c>
    </row>
    <row r="7956" spans="1:8" ht="25.05" customHeight="1" x14ac:dyDescent="0.25">
      <c r="A7956" s="2" t="s">
        <v>8</v>
      </c>
      <c r="B7956" s="2" t="str">
        <f>HYPERLINK("http://ts.21cn.com/tousu/show/id/1338982","网贷平台U钱包合同虚高，借款金额与实际到账金额不符")</f>
        <v>网贷平台U钱包合同虚高，借款金额与实际到账金额不符</v>
      </c>
      <c r="C7956" s="2" t="s">
        <v>9</v>
      </c>
      <c r="D7956" s="2" t="s">
        <v>10</v>
      </c>
      <c r="E7956" s="2" t="str">
        <f>HYPERLINK("http://ts.21cn.com/tousu/show/id/1338982","http://ts.21cn.com/tousu/show/id/1338982")</f>
        <v>http://ts.21cn.com/tousu/show/id/1338982</v>
      </c>
      <c r="F7956" s="2" t="s">
        <v>11</v>
      </c>
      <c r="G7956" s="2" t="s">
        <v>28518</v>
      </c>
      <c r="H7956" s="2" t="s">
        <v>28519</v>
      </c>
    </row>
    <row r="7957" spans="1:8" ht="25.05" customHeight="1" x14ac:dyDescent="0.25">
      <c r="A7957" s="2" t="s">
        <v>8</v>
      </c>
      <c r="B7957" s="2" t="str">
        <f>HYPERLINK("http://ts.21cn.com/tousu/show/id/1338983","协商还款后APP上面还显示欠款，拒不承认协商还款事实")</f>
        <v>协商还款后APP上面还显示欠款，拒不承认协商还款事实</v>
      </c>
      <c r="C7957" s="2" t="s">
        <v>9</v>
      </c>
      <c r="D7957" s="2" t="s">
        <v>10</v>
      </c>
      <c r="E7957" s="2" t="str">
        <f>HYPERLINK("http://ts.21cn.com/tousu/show/id/1338983","http://ts.21cn.com/tousu/show/id/1338983")</f>
        <v>http://ts.21cn.com/tousu/show/id/1338983</v>
      </c>
      <c r="F7957" s="2" t="s">
        <v>11</v>
      </c>
      <c r="G7957" s="2" t="s">
        <v>28516</v>
      </c>
      <c r="H7957" s="2" t="s">
        <v>28517</v>
      </c>
    </row>
    <row r="7958" spans="1:8" ht="25.05" customHeight="1" x14ac:dyDescent="0.25">
      <c r="A7958" s="2" t="s">
        <v>8</v>
      </c>
      <c r="B7958" s="2" t="str">
        <f>HYPERLINK("http://ts.21cn.com/tousu/show/id/1338984","银钱包业务员坑用户")</f>
        <v>银钱包业务员坑用户</v>
      </c>
      <c r="C7958" s="2" t="s">
        <v>9</v>
      </c>
      <c r="D7958" s="2" t="s">
        <v>10</v>
      </c>
      <c r="E7958" s="2" t="str">
        <f>HYPERLINK("http://ts.21cn.com/tousu/show/id/1338984","http://ts.21cn.com/tousu/show/id/1338984")</f>
        <v>http://ts.21cn.com/tousu/show/id/1338984</v>
      </c>
      <c r="F7958" s="2" t="s">
        <v>11</v>
      </c>
      <c r="G7958" s="2" t="s">
        <v>28514</v>
      </c>
      <c r="H7958" s="2" t="s">
        <v>28515</v>
      </c>
    </row>
    <row r="7959" spans="1:8" ht="25.05" customHeight="1" x14ac:dyDescent="0.25">
      <c r="A7959" s="2" t="s">
        <v>8</v>
      </c>
      <c r="B7959" s="2" t="str">
        <f>HYPERLINK("http://ts.21cn.com/tousu/show/id/1338985","360借条利用网络在借款人不知情的情况下全额放款")</f>
        <v>360借条利用网络在借款人不知情的情况下全额放款</v>
      </c>
      <c r="C7959" s="2" t="s">
        <v>9</v>
      </c>
      <c r="D7959" s="2" t="s">
        <v>10</v>
      </c>
      <c r="E7959" s="2" t="str">
        <f>HYPERLINK("http://ts.21cn.com/tousu/show/id/1338985","http://ts.21cn.com/tousu/show/id/1338985")</f>
        <v>http://ts.21cn.com/tousu/show/id/1338985</v>
      </c>
      <c r="F7959" s="2" t="s">
        <v>11</v>
      </c>
      <c r="G7959" s="2" t="s">
        <v>28512</v>
      </c>
      <c r="H7959" s="2" t="s">
        <v>28513</v>
      </c>
    </row>
    <row r="7960" spans="1:8" ht="25.05" customHeight="1" x14ac:dyDescent="0.25">
      <c r="A7960" s="2" t="s">
        <v>8</v>
      </c>
      <c r="B7960" s="2" t="str">
        <f>HYPERLINK("http://ts.21cn.com/tousu/show/id/1338986","钱站高利贷阴阳合同")</f>
        <v>钱站高利贷阴阳合同</v>
      </c>
      <c r="C7960" s="2" t="s">
        <v>9</v>
      </c>
      <c r="D7960" s="2" t="s">
        <v>10</v>
      </c>
      <c r="E7960" s="2" t="str">
        <f>HYPERLINK("http://ts.21cn.com/tousu/show/id/1338986","http://ts.21cn.com/tousu/show/id/1338986")</f>
        <v>http://ts.21cn.com/tousu/show/id/1338986</v>
      </c>
      <c r="F7960" s="2" t="s">
        <v>11</v>
      </c>
      <c r="G7960" s="2" t="s">
        <v>28510</v>
      </c>
      <c r="H7960" s="2" t="s">
        <v>28511</v>
      </c>
    </row>
    <row r="7961" spans="1:8" ht="25.05" customHeight="1" x14ac:dyDescent="0.25">
      <c r="A7961" s="2" t="s">
        <v>8</v>
      </c>
      <c r="B7961" s="2" t="str">
        <f>HYPERLINK("http://ts.21cn.com/tousu/show/id/1338988","隐瞒，不理睬，拖延时间")</f>
        <v>隐瞒，不理睬，拖延时间</v>
      </c>
      <c r="C7961" s="2" t="s">
        <v>9</v>
      </c>
      <c r="D7961" s="2" t="s">
        <v>10</v>
      </c>
      <c r="E7961" s="2" t="str">
        <f>HYPERLINK("http://ts.21cn.com/tousu/show/id/1338988","http://ts.21cn.com/tousu/show/id/1338988")</f>
        <v>http://ts.21cn.com/tousu/show/id/1338988</v>
      </c>
      <c r="F7961" s="2" t="s">
        <v>11</v>
      </c>
      <c r="G7961" s="2" t="s">
        <v>28508</v>
      </c>
      <c r="H7961" s="2" t="s">
        <v>28509</v>
      </c>
    </row>
    <row r="7962" spans="1:8" ht="25.05" customHeight="1" x14ac:dyDescent="0.25">
      <c r="A7962" s="2" t="s">
        <v>8</v>
      </c>
      <c r="B7962" s="2" t="str">
        <f>HYPERLINK("http://ts.21cn.com/tousu/show/id/1338989","豹子贷自动扣款")</f>
        <v>豹子贷自动扣款</v>
      </c>
      <c r="C7962" s="2" t="s">
        <v>9</v>
      </c>
      <c r="D7962" s="2" t="s">
        <v>10</v>
      </c>
      <c r="E7962" s="2" t="str">
        <f>HYPERLINK("http://ts.21cn.com/tousu/show/id/1338989","http://ts.21cn.com/tousu/show/id/1338989")</f>
        <v>http://ts.21cn.com/tousu/show/id/1338989</v>
      </c>
      <c r="F7962" s="2" t="s">
        <v>11</v>
      </c>
      <c r="G7962" s="2" t="s">
        <v>28506</v>
      </c>
      <c r="H7962" s="2" t="s">
        <v>28507</v>
      </c>
    </row>
    <row r="7963" spans="1:8" ht="25.05" customHeight="1" x14ac:dyDescent="0.25">
      <c r="A7963" s="2" t="s">
        <v>8</v>
      </c>
      <c r="B7963" s="2" t="str">
        <f>HYPERLINK("http://ts.21cn.com/tousu/show/id/1338990","中国银行信用卡业务员违规操作")</f>
        <v>中国银行信用卡业务员违规操作</v>
      </c>
      <c r="C7963" s="2" t="s">
        <v>9</v>
      </c>
      <c r="D7963" s="2" t="s">
        <v>10</v>
      </c>
      <c r="E7963" s="2" t="str">
        <f>HYPERLINK("http://ts.21cn.com/tousu/show/id/1338990","http://ts.21cn.com/tousu/show/id/1338990")</f>
        <v>http://ts.21cn.com/tousu/show/id/1338990</v>
      </c>
      <c r="F7963" s="2" t="s">
        <v>11</v>
      </c>
      <c r="G7963" s="2" t="s">
        <v>28504</v>
      </c>
      <c r="H7963" s="2" t="s">
        <v>28505</v>
      </c>
    </row>
    <row r="7964" spans="1:8" ht="25.05" customHeight="1" x14ac:dyDescent="0.25">
      <c r="A7964" s="2" t="s">
        <v>8</v>
      </c>
      <c r="B7964" s="2" t="str">
        <f>HYPERLINK("http://ts.21cn.com/tousu/show/id/1338992","变相高利贷，砍头息，强制购买保险")</f>
        <v>变相高利贷，砍头息，强制购买保险</v>
      </c>
      <c r="C7964" s="2" t="s">
        <v>9</v>
      </c>
      <c r="D7964" s="2" t="s">
        <v>10</v>
      </c>
      <c r="E7964" s="2" t="str">
        <f>HYPERLINK("http://ts.21cn.com/tousu/show/id/1338992","http://ts.21cn.com/tousu/show/id/1338992")</f>
        <v>http://ts.21cn.com/tousu/show/id/1338992</v>
      </c>
      <c r="F7964" s="2" t="s">
        <v>11</v>
      </c>
      <c r="G7964" s="2" t="s">
        <v>28502</v>
      </c>
      <c r="H7964" s="2" t="s">
        <v>28503</v>
      </c>
    </row>
    <row r="7965" spans="1:8" ht="25.05" customHeight="1" x14ac:dyDescent="0.25">
      <c r="A7965" s="2" t="s">
        <v>8</v>
      </c>
      <c r="B7965" s="2" t="str">
        <f>HYPERLINK("http://ts.21cn.com/tousu/show/id/1338991","故意坑卖家")</f>
        <v>故意坑卖家</v>
      </c>
      <c r="C7965" s="2" t="s">
        <v>9</v>
      </c>
      <c r="D7965" s="2" t="s">
        <v>10</v>
      </c>
      <c r="E7965" s="2" t="str">
        <f>HYPERLINK("http://ts.21cn.com/tousu/show/id/1338991","http://ts.21cn.com/tousu/show/id/1338991")</f>
        <v>http://ts.21cn.com/tousu/show/id/1338991</v>
      </c>
      <c r="F7965" s="2" t="s">
        <v>11</v>
      </c>
      <c r="G7965" s="2" t="s">
        <v>28500</v>
      </c>
      <c r="H7965" s="2" t="s">
        <v>28501</v>
      </c>
    </row>
    <row r="7966" spans="1:8" ht="25.05" customHeight="1" x14ac:dyDescent="0.25">
      <c r="A7966" s="2" t="s">
        <v>8</v>
      </c>
      <c r="B7966" s="2" t="str">
        <f>HYPERLINK("http://ts.21cn.com/tousu/show/id/1338994","抵押车被卖了")</f>
        <v>抵押车被卖了</v>
      </c>
      <c r="C7966" s="2" t="s">
        <v>9</v>
      </c>
      <c r="D7966" s="2" t="s">
        <v>10</v>
      </c>
      <c r="E7966" s="2" t="str">
        <f>HYPERLINK("http://ts.21cn.com/tousu/show/id/1338994","http://ts.21cn.com/tousu/show/id/1338994")</f>
        <v>http://ts.21cn.com/tousu/show/id/1338994</v>
      </c>
      <c r="F7966" s="2" t="s">
        <v>11</v>
      </c>
      <c r="G7966" s="2" t="s">
        <v>28498</v>
      </c>
      <c r="H7966" s="2" t="s">
        <v>28499</v>
      </c>
    </row>
    <row r="7967" spans="1:8" ht="25.05" customHeight="1" x14ac:dyDescent="0.25">
      <c r="A7967" s="2" t="s">
        <v>8</v>
      </c>
      <c r="B7967" s="2" t="str">
        <f>HYPERLINK("http://ts.21cn.com/tousu/show/id/1338995","拼多多商户涉嫌为博彩黑平台收款")</f>
        <v>拼多多商户涉嫌为博彩黑平台收款</v>
      </c>
      <c r="C7967" s="2" t="s">
        <v>9</v>
      </c>
      <c r="D7967" s="2" t="s">
        <v>10</v>
      </c>
      <c r="E7967" s="2" t="str">
        <f>HYPERLINK("http://ts.21cn.com/tousu/show/id/1338995","http://ts.21cn.com/tousu/show/id/1338995")</f>
        <v>http://ts.21cn.com/tousu/show/id/1338995</v>
      </c>
      <c r="F7967" s="2" t="s">
        <v>11</v>
      </c>
      <c r="G7967" s="2" t="s">
        <v>28496</v>
      </c>
      <c r="H7967" s="2" t="s">
        <v>28497</v>
      </c>
    </row>
    <row r="7968" spans="1:8" ht="25.05" customHeight="1" x14ac:dyDescent="0.25">
      <c r="A7968" s="2" t="s">
        <v>8</v>
      </c>
      <c r="B7968" s="2" t="str">
        <f>HYPERLINK("http://ts.21cn.com/tousu/show/id/1338996","拼多多盗刷本人银行卡里的钱")</f>
        <v>拼多多盗刷本人银行卡里的钱</v>
      </c>
      <c r="C7968" s="2" t="s">
        <v>9</v>
      </c>
      <c r="D7968" s="2" t="s">
        <v>10</v>
      </c>
      <c r="E7968" s="2" t="str">
        <f>HYPERLINK("http://ts.21cn.com/tousu/show/id/1338996","http://ts.21cn.com/tousu/show/id/1338996")</f>
        <v>http://ts.21cn.com/tousu/show/id/1338996</v>
      </c>
      <c r="F7968" s="2" t="s">
        <v>11</v>
      </c>
      <c r="G7968" s="2" t="s">
        <v>28494</v>
      </c>
      <c r="H7968" s="2" t="s">
        <v>28495</v>
      </c>
    </row>
    <row r="7969" spans="1:8" ht="25.05" customHeight="1" x14ac:dyDescent="0.25">
      <c r="A7969" s="2" t="s">
        <v>8</v>
      </c>
      <c r="B7969" s="2" t="str">
        <f>HYPERLINK("http://ts.21cn.com/tousu/show/id/1338997","好易借高利贷骚扰通讯录")</f>
        <v>好易借高利贷骚扰通讯录</v>
      </c>
      <c r="C7969" s="2" t="s">
        <v>9</v>
      </c>
      <c r="D7969" s="2" t="s">
        <v>10</v>
      </c>
      <c r="E7969" s="2" t="str">
        <f>HYPERLINK("http://ts.21cn.com/tousu/show/id/1338997","http://ts.21cn.com/tousu/show/id/1338997")</f>
        <v>http://ts.21cn.com/tousu/show/id/1338997</v>
      </c>
      <c r="F7969" s="2" t="s">
        <v>11</v>
      </c>
      <c r="G7969" s="2" t="s">
        <v>28492</v>
      </c>
      <c r="H7969" s="2" t="s">
        <v>28493</v>
      </c>
    </row>
    <row r="7970" spans="1:8" ht="25.05" customHeight="1" x14ac:dyDescent="0.25">
      <c r="A7970" s="2" t="s">
        <v>8</v>
      </c>
      <c r="B7970" s="2" t="str">
        <f>HYPERLINK("http://ts.21cn.com/tousu/show/id/1338998","火影帮砍头息")</f>
        <v>火影帮砍头息</v>
      </c>
      <c r="C7970" s="2" t="s">
        <v>34</v>
      </c>
      <c r="D7970" s="2" t="s">
        <v>10</v>
      </c>
      <c r="E7970" s="2" t="str">
        <f>HYPERLINK("http://ts.21cn.com/tousu/show/id/1338998","http://ts.21cn.com/tousu/show/id/1338998")</f>
        <v>http://ts.21cn.com/tousu/show/id/1338998</v>
      </c>
      <c r="F7970" s="2" t="s">
        <v>11</v>
      </c>
      <c r="G7970" s="2" t="s">
        <v>28491</v>
      </c>
      <c r="H7970" s="2" t="s">
        <v>27597</v>
      </c>
    </row>
    <row r="7971" spans="1:8" ht="25.05" customHeight="1" x14ac:dyDescent="0.25">
      <c r="A7971" s="2" t="s">
        <v>8</v>
      </c>
      <c r="B7971" s="2" t="str">
        <f>HYPERLINK("http://ts.21cn.com/tousu/show/id/1338999","联动云租车押金已经到20天了但是还说我在20天内用过车不给退押金")</f>
        <v>联动云租车押金已经到20天了但是还说我在20天内用过车不给退押金</v>
      </c>
      <c r="C7971" s="2" t="s">
        <v>34</v>
      </c>
      <c r="D7971" s="2" t="s">
        <v>10</v>
      </c>
      <c r="E7971" s="2" t="str">
        <f>HYPERLINK("http://ts.21cn.com/tousu/show/id/1338999","http://ts.21cn.com/tousu/show/id/1338999")</f>
        <v>http://ts.21cn.com/tousu/show/id/1338999</v>
      </c>
      <c r="F7971" s="2" t="s">
        <v>11</v>
      </c>
      <c r="G7971" s="2" t="s">
        <v>28489</v>
      </c>
      <c r="H7971" s="2" t="s">
        <v>28490</v>
      </c>
    </row>
    <row r="7972" spans="1:8" ht="25.05" customHeight="1" x14ac:dyDescent="0.25">
      <c r="A7972" s="2" t="s">
        <v>8</v>
      </c>
      <c r="B7972" s="2" t="str">
        <f>HYPERLINK("http://ts.21cn.com/tousu/show/id/1339000","宜人贷高利息，骚扰催收")</f>
        <v>宜人贷高利息，骚扰催收</v>
      </c>
      <c r="C7972" s="2" t="s">
        <v>9</v>
      </c>
      <c r="D7972" s="2" t="s">
        <v>10</v>
      </c>
      <c r="E7972" s="2" t="str">
        <f>HYPERLINK("http://ts.21cn.com/tousu/show/id/1339000","http://ts.21cn.com/tousu/show/id/1339000")</f>
        <v>http://ts.21cn.com/tousu/show/id/1339000</v>
      </c>
      <c r="F7972" s="2" t="s">
        <v>11</v>
      </c>
      <c r="G7972" s="2" t="s">
        <v>28487</v>
      </c>
      <c r="H7972" s="2" t="s">
        <v>28488</v>
      </c>
    </row>
    <row r="7973" spans="1:8" ht="25.05" customHeight="1" x14ac:dyDescent="0.25">
      <c r="A7973" s="2" t="s">
        <v>8</v>
      </c>
      <c r="B7973" s="2" t="str">
        <f>HYPERLINK("http://ts.21cn.com/tousu/show/id/1339001","芝麻信用分降了一直没有提升")</f>
        <v>芝麻信用分降了一直没有提升</v>
      </c>
      <c r="C7973" s="2" t="s">
        <v>9</v>
      </c>
      <c r="D7973" s="2" t="s">
        <v>10</v>
      </c>
      <c r="E7973" s="2" t="str">
        <f>HYPERLINK("http://ts.21cn.com/tousu/show/id/1339001","http://ts.21cn.com/tousu/show/id/1339001")</f>
        <v>http://ts.21cn.com/tousu/show/id/1339001</v>
      </c>
      <c r="F7973" s="2" t="s">
        <v>11</v>
      </c>
      <c r="G7973" s="2" t="s">
        <v>28485</v>
      </c>
      <c r="H7973" s="2" t="s">
        <v>28486</v>
      </c>
    </row>
    <row r="7974" spans="1:8" ht="25.05" customHeight="1" x14ac:dyDescent="0.25">
      <c r="A7974" s="2" t="s">
        <v>8</v>
      </c>
      <c r="B7974" s="2" t="str">
        <f>HYPERLINK("http://ts.21cn.com/tousu/show/id/1339002","为什么我的信用好也不给我微粒贷")</f>
        <v>为什么我的信用好也不给我微粒贷</v>
      </c>
      <c r="C7974" s="2" t="s">
        <v>34</v>
      </c>
      <c r="D7974" s="2" t="s">
        <v>10</v>
      </c>
      <c r="E7974" s="2" t="str">
        <f>HYPERLINK("http://ts.21cn.com/tousu/show/id/1339002","http://ts.21cn.com/tousu/show/id/1339002")</f>
        <v>http://ts.21cn.com/tousu/show/id/1339002</v>
      </c>
      <c r="F7974" s="2" t="s">
        <v>11</v>
      </c>
      <c r="G7974" s="2" t="s">
        <v>28483</v>
      </c>
      <c r="H7974" s="2" t="s">
        <v>28484</v>
      </c>
    </row>
    <row r="7975" spans="1:8" ht="25.05" customHeight="1" x14ac:dyDescent="0.25">
      <c r="A7975" s="2" t="s">
        <v>8</v>
      </c>
      <c r="B7975" s="2" t="str">
        <f>HYPERLINK("http://ts.21cn.com/tousu/show/id/1339004","你我贷利息太高超出国家规定")</f>
        <v>你我贷利息太高超出国家规定</v>
      </c>
      <c r="C7975" s="2" t="s">
        <v>9</v>
      </c>
      <c r="D7975" s="2" t="s">
        <v>10</v>
      </c>
      <c r="E7975" s="2" t="str">
        <f>HYPERLINK("http://ts.21cn.com/tousu/show/id/1339004","http://ts.21cn.com/tousu/show/id/1339004")</f>
        <v>http://ts.21cn.com/tousu/show/id/1339004</v>
      </c>
      <c r="F7975" s="2" t="s">
        <v>11</v>
      </c>
      <c r="G7975" s="2" t="s">
        <v>28481</v>
      </c>
      <c r="H7975" s="2" t="s">
        <v>28482</v>
      </c>
    </row>
    <row r="7976" spans="1:8" ht="25.05" customHeight="1" x14ac:dyDescent="0.25">
      <c r="A7976" s="2" t="s">
        <v>8</v>
      </c>
      <c r="B7976" s="2" t="str">
        <f>HYPERLINK("http://ts.21cn.com/tousu/show/id/1339003","美团订酒店由于商家服务态度极差退款被拒")</f>
        <v>美团订酒店由于商家服务态度极差退款被拒</v>
      </c>
      <c r="C7976" s="2" t="s">
        <v>9</v>
      </c>
      <c r="D7976" s="2" t="s">
        <v>10</v>
      </c>
      <c r="E7976" s="2" t="str">
        <f>HYPERLINK("http://ts.21cn.com/tousu/show/id/1339003","http://ts.21cn.com/tousu/show/id/1339003")</f>
        <v>http://ts.21cn.com/tousu/show/id/1339003</v>
      </c>
      <c r="F7976" s="2" t="s">
        <v>11</v>
      </c>
      <c r="G7976" s="2" t="s">
        <v>28479</v>
      </c>
      <c r="H7976" s="2" t="s">
        <v>28480</v>
      </c>
    </row>
    <row r="7977" spans="1:8" ht="25.05" customHeight="1" x14ac:dyDescent="0.25">
      <c r="A7977" s="2" t="s">
        <v>8</v>
      </c>
      <c r="B7977" s="2" t="str">
        <f>HYPERLINK("http://ts.21cn.com/tousu/show/id/1339006","立刻出现押金退还申诉")</f>
        <v>立刻出现押金退还申诉</v>
      </c>
      <c r="C7977" s="2" t="s">
        <v>34</v>
      </c>
      <c r="D7977" s="2" t="s">
        <v>10</v>
      </c>
      <c r="E7977" s="2" t="str">
        <f>HYPERLINK("http://ts.21cn.com/tousu/show/id/1339006","http://ts.21cn.com/tousu/show/id/1339006")</f>
        <v>http://ts.21cn.com/tousu/show/id/1339006</v>
      </c>
      <c r="F7977" s="2" t="s">
        <v>11</v>
      </c>
      <c r="G7977" s="2" t="s">
        <v>28477</v>
      </c>
      <c r="H7977" s="2" t="s">
        <v>28478</v>
      </c>
    </row>
    <row r="7978" spans="1:8" ht="25.05" customHeight="1" x14ac:dyDescent="0.25">
      <c r="A7978" s="2" t="s">
        <v>8</v>
      </c>
      <c r="B7978" s="2" t="str">
        <f>HYPERLINK("http://ts.21cn.com/tousu/show/id/1339008","身份证恶意被人绑定")</f>
        <v>身份证恶意被人绑定</v>
      </c>
      <c r="C7978" s="2" t="s">
        <v>9</v>
      </c>
      <c r="D7978" s="2" t="s">
        <v>10</v>
      </c>
      <c r="E7978" s="2" t="str">
        <f>HYPERLINK("http://ts.21cn.com/tousu/show/id/1339008","http://ts.21cn.com/tousu/show/id/1339008")</f>
        <v>http://ts.21cn.com/tousu/show/id/1339008</v>
      </c>
      <c r="F7978" s="2" t="s">
        <v>11</v>
      </c>
      <c r="G7978" s="2" t="s">
        <v>28475</v>
      </c>
      <c r="H7978" s="2" t="s">
        <v>28476</v>
      </c>
    </row>
    <row r="7979" spans="1:8" ht="25.05" customHeight="1" x14ac:dyDescent="0.25">
      <c r="A7979" s="2" t="s">
        <v>8</v>
      </c>
      <c r="B7979" s="2" t="str">
        <f>HYPERLINK("http://ts.21cn.com/tousu/show/id/1339009","买单侠借贷3000要还4348.8严重高出国家规定利息")</f>
        <v>买单侠借贷3000要还4348.8严重高出国家规定利息</v>
      </c>
      <c r="C7979" s="2" t="s">
        <v>9</v>
      </c>
      <c r="D7979" s="2" t="s">
        <v>10</v>
      </c>
      <c r="E7979" s="2" t="str">
        <f>HYPERLINK("http://ts.21cn.com/tousu/show/id/1339009","http://ts.21cn.com/tousu/show/id/1339009")</f>
        <v>http://ts.21cn.com/tousu/show/id/1339009</v>
      </c>
      <c r="F7979" s="2" t="s">
        <v>11</v>
      </c>
      <c r="G7979" s="2" t="s">
        <v>28473</v>
      </c>
      <c r="H7979" s="2" t="s">
        <v>28474</v>
      </c>
    </row>
    <row r="7980" spans="1:8" ht="25.05" customHeight="1" x14ac:dyDescent="0.25">
      <c r="A7980" s="2" t="s">
        <v>8</v>
      </c>
      <c r="B7980" s="2" t="str">
        <f>HYPERLINK("http://ts.21cn.com/tousu/show/id/1339007","联动发卡投诉退款写着同意退款钱不到账四天了")</f>
        <v>联动发卡投诉退款写着同意退款钱不到账四天了</v>
      </c>
      <c r="C7980" s="2" t="s">
        <v>9</v>
      </c>
      <c r="D7980" s="2" t="s">
        <v>10</v>
      </c>
      <c r="E7980" s="2" t="str">
        <f>HYPERLINK("http://ts.21cn.com/tousu/show/id/1339007","http://ts.21cn.com/tousu/show/id/1339007")</f>
        <v>http://ts.21cn.com/tousu/show/id/1339007</v>
      </c>
      <c r="F7980" s="2" t="s">
        <v>11</v>
      </c>
      <c r="G7980" s="2" t="s">
        <v>28471</v>
      </c>
      <c r="H7980" s="2" t="s">
        <v>28472</v>
      </c>
    </row>
    <row r="7981" spans="1:8" ht="25.05" customHeight="1" x14ac:dyDescent="0.25">
      <c r="A7981" s="2" t="s">
        <v>8</v>
      </c>
      <c r="B7981" s="2" t="str">
        <f>HYPERLINK("http://ts.21cn.com/tousu/show/id/1339010","请求三天宽限还款")</f>
        <v>请求三天宽限还款</v>
      </c>
      <c r="C7981" s="2" t="s">
        <v>9</v>
      </c>
      <c r="D7981" s="2" t="s">
        <v>10</v>
      </c>
      <c r="E7981" s="2" t="str">
        <f>HYPERLINK("http://ts.21cn.com/tousu/show/id/1339010","http://ts.21cn.com/tousu/show/id/1339010")</f>
        <v>http://ts.21cn.com/tousu/show/id/1339010</v>
      </c>
      <c r="F7981" s="2" t="s">
        <v>11</v>
      </c>
      <c r="G7981" s="2" t="s">
        <v>28469</v>
      </c>
      <c r="H7981" s="2" t="s">
        <v>28470</v>
      </c>
    </row>
    <row r="7982" spans="1:8" ht="25.05" customHeight="1" x14ac:dyDescent="0.25">
      <c r="A7982" s="2" t="s">
        <v>8</v>
      </c>
      <c r="B7982" s="2" t="str">
        <f>HYPERLINK("http://ts.21cn.com/tousu/show/id/1339012","飞猪网退票2个月仍未审核批准")</f>
        <v>飞猪网退票2个月仍未审核批准</v>
      </c>
      <c r="C7982" s="2" t="s">
        <v>9</v>
      </c>
      <c r="D7982" s="2" t="s">
        <v>10</v>
      </c>
      <c r="E7982" s="2" t="str">
        <f>HYPERLINK("http://ts.21cn.com/tousu/show/id/1339012","http://ts.21cn.com/tousu/show/id/1339012")</f>
        <v>http://ts.21cn.com/tousu/show/id/1339012</v>
      </c>
      <c r="F7982" s="2" t="s">
        <v>11</v>
      </c>
      <c r="G7982" s="2" t="s">
        <v>28467</v>
      </c>
      <c r="H7982" s="2" t="s">
        <v>28468</v>
      </c>
    </row>
    <row r="7983" spans="1:8" ht="25.05" customHeight="1" x14ac:dyDescent="0.25">
      <c r="A7983" s="2" t="s">
        <v>8</v>
      </c>
      <c r="B7983" s="2" t="str">
        <f>HYPERLINK("http://ts.21cn.com/tousu/show/id/1339014","点点通借款APP打不开客服打不通")</f>
        <v>点点通借款APP打不开客服打不通</v>
      </c>
      <c r="C7983" s="2" t="s">
        <v>9</v>
      </c>
      <c r="D7983" s="2" t="s">
        <v>10</v>
      </c>
      <c r="E7983" s="2" t="str">
        <f>HYPERLINK("http://ts.21cn.com/tousu/show/id/1339014","http://ts.21cn.com/tousu/show/id/1339014")</f>
        <v>http://ts.21cn.com/tousu/show/id/1339014</v>
      </c>
      <c r="F7983" s="2" t="s">
        <v>11</v>
      </c>
      <c r="G7983" s="2" t="s">
        <v>28465</v>
      </c>
      <c r="H7983" s="2" t="s">
        <v>28466</v>
      </c>
    </row>
    <row r="7984" spans="1:8" ht="25.05" customHeight="1" x14ac:dyDescent="0.25">
      <c r="A7984" s="2" t="s">
        <v>8</v>
      </c>
      <c r="B7984" s="2" t="str">
        <f>HYPERLINK("http://ts.21cn.com/tousu/show/id/1339015","贷上钱暴力催收，威胁爆通讯，行为涉黑")</f>
        <v>贷上钱暴力催收，威胁爆通讯，行为涉黑</v>
      </c>
      <c r="C7984" s="2" t="s">
        <v>9</v>
      </c>
      <c r="D7984" s="2" t="s">
        <v>10</v>
      </c>
      <c r="E7984" s="2" t="str">
        <f>HYPERLINK("http://ts.21cn.com/tousu/show/id/1339015","http://ts.21cn.com/tousu/show/id/1339015")</f>
        <v>http://ts.21cn.com/tousu/show/id/1339015</v>
      </c>
      <c r="F7984" s="2" t="s">
        <v>11</v>
      </c>
      <c r="G7984" s="2" t="s">
        <v>28463</v>
      </c>
      <c r="H7984" s="2" t="s">
        <v>28464</v>
      </c>
    </row>
    <row r="7985" spans="1:8" ht="25.05" customHeight="1" x14ac:dyDescent="0.25">
      <c r="A7985" s="2" t="s">
        <v>8</v>
      </c>
      <c r="B7985" s="2" t="str">
        <f>HYPERLINK("http://ts.21cn.com/tousu/show/id/1339016","关于美约app乱扣费问题，免费试用后，自动续费会员一年298元")</f>
        <v>关于美约app乱扣费问题，免费试用后，自动续费会员一年298元</v>
      </c>
      <c r="C7985" s="2" t="s">
        <v>34</v>
      </c>
      <c r="D7985" s="2" t="s">
        <v>10</v>
      </c>
      <c r="E7985" s="2" t="str">
        <f>HYPERLINK("http://ts.21cn.com/tousu/show/id/1339016","http://ts.21cn.com/tousu/show/id/1339016")</f>
        <v>http://ts.21cn.com/tousu/show/id/1339016</v>
      </c>
      <c r="F7985" s="2" t="s">
        <v>11</v>
      </c>
      <c r="G7985" s="2" t="s">
        <v>28461</v>
      </c>
      <c r="H7985" s="2" t="s">
        <v>28462</v>
      </c>
    </row>
    <row r="7986" spans="1:8" ht="25.05" customHeight="1" x14ac:dyDescent="0.25">
      <c r="A7986" s="2" t="s">
        <v>8</v>
      </c>
      <c r="B7986" s="2" t="str">
        <f>HYPERLINK("http://ts.21cn.com/tousu/show/id/1339018","希望小米金融能给我些时间")</f>
        <v>希望小米金融能给我些时间</v>
      </c>
      <c r="C7986" s="2" t="s">
        <v>34</v>
      </c>
      <c r="D7986" s="2" t="s">
        <v>10</v>
      </c>
      <c r="E7986" s="2" t="str">
        <f>HYPERLINK("http://ts.21cn.com/tousu/show/id/1339018","http://ts.21cn.com/tousu/show/id/1339018")</f>
        <v>http://ts.21cn.com/tousu/show/id/1339018</v>
      </c>
      <c r="F7986" s="2" t="s">
        <v>11</v>
      </c>
      <c r="G7986" s="2" t="s">
        <v>28459</v>
      </c>
      <c r="H7986" s="2" t="s">
        <v>28460</v>
      </c>
    </row>
    <row r="7987" spans="1:8" ht="25.05" customHeight="1" x14ac:dyDescent="0.25">
      <c r="A7987" s="2" t="s">
        <v>8</v>
      </c>
      <c r="B7987" s="2" t="str">
        <f>HYPERLINK("http://ts.21cn.com/tousu/show/id/1339020","滴水贷无法提前还款")</f>
        <v>滴水贷无法提前还款</v>
      </c>
      <c r="C7987" s="2" t="s">
        <v>34</v>
      </c>
      <c r="D7987" s="2" t="s">
        <v>10</v>
      </c>
      <c r="E7987" s="2" t="str">
        <f>HYPERLINK("http://ts.21cn.com/tousu/show/id/1339020","http://ts.21cn.com/tousu/show/id/1339020")</f>
        <v>http://ts.21cn.com/tousu/show/id/1339020</v>
      </c>
      <c r="F7987" s="2" t="s">
        <v>11</v>
      </c>
      <c r="G7987" s="2" t="s">
        <v>28457</v>
      </c>
      <c r="H7987" s="2" t="s">
        <v>28458</v>
      </c>
    </row>
    <row r="7988" spans="1:8" ht="25.05" customHeight="1" x14ac:dyDescent="0.25">
      <c r="A7988" s="2" t="s">
        <v>8</v>
      </c>
      <c r="B7988" s="2" t="str">
        <f>HYPERLINK("http://ts.21cn.com/tousu/show/id/1339021","嘀嗒出行不给开发票")</f>
        <v>嘀嗒出行不给开发票</v>
      </c>
      <c r="C7988" s="2" t="s">
        <v>9</v>
      </c>
      <c r="D7988" s="2" t="s">
        <v>10</v>
      </c>
      <c r="E7988" s="2" t="str">
        <f>HYPERLINK("http://ts.21cn.com/tousu/show/id/1339021","http://ts.21cn.com/tousu/show/id/1339021")</f>
        <v>http://ts.21cn.com/tousu/show/id/1339021</v>
      </c>
      <c r="F7988" s="2" t="s">
        <v>11</v>
      </c>
      <c r="G7988" s="2" t="s">
        <v>28455</v>
      </c>
      <c r="H7988" s="2" t="s">
        <v>28456</v>
      </c>
    </row>
    <row r="7989" spans="1:8" ht="25.05" customHeight="1" x14ac:dyDescent="0.25">
      <c r="A7989" s="2" t="s">
        <v>8</v>
      </c>
      <c r="B7989" s="2" t="str">
        <f>HYPERLINK("http://ts.21cn.com/tousu/show/id/1339022","玖富万卡威胁家人")</f>
        <v>玖富万卡威胁家人</v>
      </c>
      <c r="C7989" s="2" t="s">
        <v>9</v>
      </c>
      <c r="D7989" s="2" t="s">
        <v>10</v>
      </c>
      <c r="E7989" s="2" t="str">
        <f>HYPERLINK("http://ts.21cn.com/tousu/show/id/1339022","http://ts.21cn.com/tousu/show/id/1339022")</f>
        <v>http://ts.21cn.com/tousu/show/id/1339022</v>
      </c>
      <c r="F7989" s="2" t="s">
        <v>11</v>
      </c>
      <c r="G7989" s="2" t="s">
        <v>28453</v>
      </c>
      <c r="H7989" s="2" t="s">
        <v>28454</v>
      </c>
    </row>
    <row r="7990" spans="1:8" ht="25.05" customHeight="1" x14ac:dyDescent="0.25">
      <c r="A7990" s="2" t="s">
        <v>8</v>
      </c>
      <c r="B7990" s="2" t="str">
        <f>HYPERLINK("http://ts.21cn.com/tousu/show/id/1339023","强制消费！不正当营业！")</f>
        <v>强制消费！不正当营业！</v>
      </c>
      <c r="C7990" s="2" t="s">
        <v>9</v>
      </c>
      <c r="D7990" s="2" t="s">
        <v>10</v>
      </c>
      <c r="E7990" s="2" t="str">
        <f>HYPERLINK("http://ts.21cn.com/tousu/show/id/1339023","http://ts.21cn.com/tousu/show/id/1339023")</f>
        <v>http://ts.21cn.com/tousu/show/id/1339023</v>
      </c>
      <c r="F7990" s="2" t="s">
        <v>11</v>
      </c>
      <c r="G7990" s="2" t="s">
        <v>28451</v>
      </c>
      <c r="H7990" s="2" t="s">
        <v>28452</v>
      </c>
    </row>
    <row r="7991" spans="1:8" ht="25.05" customHeight="1" x14ac:dyDescent="0.25">
      <c r="A7991" s="2" t="s">
        <v>8</v>
      </c>
      <c r="B7991" s="2" t="str">
        <f>HYPERLINK("http://ts.21cn.com/tousu/show/id/1339024","维信豆豆钱高利贷催收")</f>
        <v>维信豆豆钱高利贷催收</v>
      </c>
      <c r="C7991" s="2" t="s">
        <v>9</v>
      </c>
      <c r="D7991" s="2" t="s">
        <v>10</v>
      </c>
      <c r="E7991" s="2" t="str">
        <f>HYPERLINK("http://ts.21cn.com/tousu/show/id/1339024","http://ts.21cn.com/tousu/show/id/1339024")</f>
        <v>http://ts.21cn.com/tousu/show/id/1339024</v>
      </c>
      <c r="F7991" s="2" t="s">
        <v>11</v>
      </c>
      <c r="G7991" s="2" t="s">
        <v>28449</v>
      </c>
      <c r="H7991" s="2" t="s">
        <v>28450</v>
      </c>
    </row>
    <row r="7992" spans="1:8" ht="25.05" customHeight="1" x14ac:dyDescent="0.25">
      <c r="A7992" s="2" t="s">
        <v>8</v>
      </c>
      <c r="B7992" s="2" t="str">
        <f>HYPERLINK("http://ts.21cn.com/tousu/show/id/1339025","乱扣信誉分")</f>
        <v>乱扣信誉分</v>
      </c>
      <c r="C7992" s="2" t="s">
        <v>9</v>
      </c>
      <c r="D7992" s="2" t="s">
        <v>10</v>
      </c>
      <c r="E7992" s="2" t="str">
        <f>HYPERLINK("http://ts.21cn.com/tousu/show/id/1339025","http://ts.21cn.com/tousu/show/id/1339025")</f>
        <v>http://ts.21cn.com/tousu/show/id/1339025</v>
      </c>
      <c r="F7992" s="2" t="s">
        <v>11</v>
      </c>
      <c r="G7992" s="2" t="s">
        <v>28447</v>
      </c>
      <c r="H7992" s="2" t="s">
        <v>28448</v>
      </c>
    </row>
    <row r="7993" spans="1:8" ht="25.05" customHeight="1" x14ac:dyDescent="0.25">
      <c r="A7993" s="2" t="s">
        <v>8</v>
      </c>
      <c r="B7993" s="2" t="str">
        <f>HYPERLINK("http://ts.21cn.com/tousu/show/id/1339026","海航旗下第三地方支付平台为非法博彩平台提供充值渠道")</f>
        <v>海航旗下第三地方支付平台为非法博彩平台提供充值渠道</v>
      </c>
      <c r="C7993" s="2" t="s">
        <v>9</v>
      </c>
      <c r="D7993" s="2" t="s">
        <v>10</v>
      </c>
      <c r="E7993" s="2" t="str">
        <f>HYPERLINK("http://ts.21cn.com/tousu/show/id/1339026","http://ts.21cn.com/tousu/show/id/1339026")</f>
        <v>http://ts.21cn.com/tousu/show/id/1339026</v>
      </c>
      <c r="F7993" s="2" t="s">
        <v>11</v>
      </c>
      <c r="G7993" s="2" t="s">
        <v>28445</v>
      </c>
      <c r="H7993" s="2" t="s">
        <v>28446</v>
      </c>
    </row>
    <row r="7994" spans="1:8" ht="25.05" customHeight="1" x14ac:dyDescent="0.25">
      <c r="A7994" s="2" t="s">
        <v>8</v>
      </c>
      <c r="B7994" s="2" t="str">
        <f>HYPERLINK("http://ts.21cn.com/tousu/show/id/1339027","玖富万卡变相收取费用")</f>
        <v>玖富万卡变相收取费用</v>
      </c>
      <c r="C7994" s="2" t="s">
        <v>9</v>
      </c>
      <c r="D7994" s="2" t="s">
        <v>10</v>
      </c>
      <c r="E7994" s="2" t="str">
        <f>HYPERLINK("http://ts.21cn.com/tousu/show/id/1339027","http://ts.21cn.com/tousu/show/id/1339027")</f>
        <v>http://ts.21cn.com/tousu/show/id/1339027</v>
      </c>
      <c r="F7994" s="2" t="s">
        <v>11</v>
      </c>
      <c r="G7994" s="2" t="s">
        <v>28443</v>
      </c>
      <c r="H7994" s="2" t="s">
        <v>28444</v>
      </c>
    </row>
    <row r="7995" spans="1:8" ht="25.05" customHeight="1" x14ac:dyDescent="0.25">
      <c r="A7995" s="2" t="s">
        <v>8</v>
      </c>
      <c r="B7995" s="2" t="str">
        <f>HYPERLINK("http://ts.21cn.com/tousu/show/id/1339028","白条分期，请退回我的救命钱")</f>
        <v>白条分期，请退回我的救命钱</v>
      </c>
      <c r="C7995" s="2" t="s">
        <v>9</v>
      </c>
      <c r="D7995" s="2" t="s">
        <v>10</v>
      </c>
      <c r="E7995" s="2" t="str">
        <f>HYPERLINK("http://ts.21cn.com/tousu/show/id/1339028","http://ts.21cn.com/tousu/show/id/1339028")</f>
        <v>http://ts.21cn.com/tousu/show/id/1339028</v>
      </c>
      <c r="F7995" s="2" t="s">
        <v>11</v>
      </c>
      <c r="G7995" s="2" t="s">
        <v>28441</v>
      </c>
      <c r="H7995" s="2" t="s">
        <v>28442</v>
      </c>
    </row>
    <row r="7996" spans="1:8" ht="25.05" customHeight="1" x14ac:dyDescent="0.25">
      <c r="A7996" s="2" t="s">
        <v>8</v>
      </c>
      <c r="B7996" s="2" t="str">
        <f>HYPERLINK("http://ts.21cn.com/tousu/show/id/1339029","上海翰银为赌博输平台收单，请求瀚银为我退款挽回经济损失")</f>
        <v>上海翰银为赌博输平台收单，请求瀚银为我退款挽回经济损失</v>
      </c>
      <c r="C7996" s="2" t="s">
        <v>9</v>
      </c>
      <c r="D7996" s="2" t="s">
        <v>10</v>
      </c>
      <c r="E7996" s="2" t="str">
        <f>HYPERLINK("http://ts.21cn.com/tousu/show/id/1339029","http://ts.21cn.com/tousu/show/id/1339029")</f>
        <v>http://ts.21cn.com/tousu/show/id/1339029</v>
      </c>
      <c r="F7996" s="2" t="s">
        <v>11</v>
      </c>
      <c r="G7996" s="2" t="s">
        <v>28439</v>
      </c>
      <c r="H7996" s="2" t="s">
        <v>28440</v>
      </c>
    </row>
    <row r="7997" spans="1:8" ht="25.05" customHeight="1" x14ac:dyDescent="0.25">
      <c r="A7997" s="2" t="s">
        <v>8</v>
      </c>
      <c r="B7997" s="2" t="str">
        <f>HYPERLINK("http://ts.21cn.com/tousu/show/id/1339030","白天分期app未提示扣取报告费要求退回")</f>
        <v>白天分期app未提示扣取报告费要求退回</v>
      </c>
      <c r="C7997" s="2" t="s">
        <v>9</v>
      </c>
      <c r="D7997" s="2" t="s">
        <v>10</v>
      </c>
      <c r="E7997" s="2" t="str">
        <f>HYPERLINK("http://ts.21cn.com/tousu/show/id/1339030","http://ts.21cn.com/tousu/show/id/1339030")</f>
        <v>http://ts.21cn.com/tousu/show/id/1339030</v>
      </c>
      <c r="F7997" s="2" t="s">
        <v>11</v>
      </c>
      <c r="G7997" s="2" t="s">
        <v>28437</v>
      </c>
      <c r="H7997" s="2" t="s">
        <v>28438</v>
      </c>
    </row>
    <row r="7998" spans="1:8" ht="25.05" customHeight="1" x14ac:dyDescent="0.25">
      <c r="A7998" s="2" t="s">
        <v>8</v>
      </c>
      <c r="B7998" s="2" t="str">
        <f>HYPERLINK("http://ts.21cn.com/tousu/show/id/1339031","银码头阴阳协议，直接扣款，吃相难看")</f>
        <v>银码头阴阳协议，直接扣款，吃相难看</v>
      </c>
      <c r="C7998" s="2" t="s">
        <v>9</v>
      </c>
      <c r="D7998" s="2" t="s">
        <v>10</v>
      </c>
      <c r="E7998" s="2" t="str">
        <f>HYPERLINK("http://ts.21cn.com/tousu/show/id/1339031","http://ts.21cn.com/tousu/show/id/1339031")</f>
        <v>http://ts.21cn.com/tousu/show/id/1339031</v>
      </c>
      <c r="F7998" s="2" t="s">
        <v>11</v>
      </c>
      <c r="G7998" s="2" t="s">
        <v>28435</v>
      </c>
      <c r="H7998" s="2" t="s">
        <v>28436</v>
      </c>
    </row>
    <row r="7999" spans="1:8" ht="25.05" customHeight="1" x14ac:dyDescent="0.25">
      <c r="A7999" s="2" t="s">
        <v>8</v>
      </c>
      <c r="B7999" s="2" t="str">
        <f>HYPERLINK("http://ts.21cn.com/tousu/show/id/1339032","扣款")</f>
        <v>扣款</v>
      </c>
      <c r="C7999" s="2" t="s">
        <v>34</v>
      </c>
      <c r="D7999" s="2" t="s">
        <v>10</v>
      </c>
      <c r="E7999" s="2" t="str">
        <f>HYPERLINK("http://ts.21cn.com/tousu/show/id/1339032","http://ts.21cn.com/tousu/show/id/1339032")</f>
        <v>http://ts.21cn.com/tousu/show/id/1339032</v>
      </c>
      <c r="F7999" s="2" t="s">
        <v>11</v>
      </c>
      <c r="G7999" s="2" t="s">
        <v>28433</v>
      </c>
      <c r="H7999" s="2" t="s">
        <v>28434</v>
      </c>
    </row>
    <row r="8000" spans="1:8" ht="25.05" customHeight="1" x14ac:dyDescent="0.25">
      <c r="A8000" s="2" t="s">
        <v>8</v>
      </c>
      <c r="B8000" s="2" t="str">
        <f>HYPERLINK("http://ts.21cn.com/tousu/show/id/1339034","达达平台变相扣款")</f>
        <v>达达平台变相扣款</v>
      </c>
      <c r="C8000" s="2" t="s">
        <v>9</v>
      </c>
      <c r="D8000" s="2" t="s">
        <v>10</v>
      </c>
      <c r="E8000" s="2" t="str">
        <f>HYPERLINK("http://ts.21cn.com/tousu/show/id/1339034","http://ts.21cn.com/tousu/show/id/1339034")</f>
        <v>http://ts.21cn.com/tousu/show/id/1339034</v>
      </c>
      <c r="F8000" s="2" t="s">
        <v>11</v>
      </c>
      <c r="G8000" s="2" t="s">
        <v>28431</v>
      </c>
      <c r="H8000" s="2" t="s">
        <v>28432</v>
      </c>
    </row>
    <row r="8001" spans="1:8" ht="25.05" customHeight="1" x14ac:dyDescent="0.25">
      <c r="A8001" s="2" t="s">
        <v>8</v>
      </c>
      <c r="B8001" s="2" t="str">
        <f>HYPERLINK("http://ts.21cn.com/tousu/show/id/1339035","易宝支付为黛西应急高利贷清结算")</f>
        <v>易宝支付为黛西应急高利贷清结算</v>
      </c>
      <c r="C8001" s="2" t="s">
        <v>9</v>
      </c>
      <c r="D8001" s="2" t="s">
        <v>10</v>
      </c>
      <c r="E8001" s="2" t="str">
        <f>HYPERLINK("http://ts.21cn.com/tousu/show/id/1339035","http://ts.21cn.com/tousu/show/id/1339035")</f>
        <v>http://ts.21cn.com/tousu/show/id/1339035</v>
      </c>
      <c r="F8001" s="2" t="s">
        <v>11</v>
      </c>
      <c r="G8001" s="2" t="s">
        <v>28429</v>
      </c>
      <c r="H8001" s="2" t="s">
        <v>28430</v>
      </c>
    </row>
    <row r="8002" spans="1:8" ht="25.05" customHeight="1" x14ac:dyDescent="0.25">
      <c r="A8002" s="2" t="s">
        <v>8</v>
      </c>
      <c r="B8002" s="2" t="str">
        <f>HYPERLINK("http://ts.21cn.com/tousu/show/id/1339036","拍拍贷暴力催收")</f>
        <v>拍拍贷暴力催收</v>
      </c>
      <c r="C8002" s="2" t="s">
        <v>9</v>
      </c>
      <c r="D8002" s="2" t="s">
        <v>10</v>
      </c>
      <c r="E8002" s="2" t="str">
        <f>HYPERLINK("http://ts.21cn.com/tousu/show/id/1339036","http://ts.21cn.com/tousu/show/id/1339036")</f>
        <v>http://ts.21cn.com/tousu/show/id/1339036</v>
      </c>
      <c r="F8002" s="2" t="s">
        <v>11</v>
      </c>
      <c r="G8002" s="2" t="s">
        <v>28427</v>
      </c>
      <c r="H8002" s="2" t="s">
        <v>28428</v>
      </c>
    </row>
    <row r="8003" spans="1:8" ht="25.05" customHeight="1" x14ac:dyDescent="0.25">
      <c r="A8003" s="2" t="s">
        <v>8</v>
      </c>
      <c r="B8003" s="2" t="str">
        <f>HYPERLINK("http://ts.21cn.com/tousu/show/id/1339037","银码头不借贷款还不退申请费")</f>
        <v>银码头不借贷款还不退申请费</v>
      </c>
      <c r="C8003" s="2" t="s">
        <v>9</v>
      </c>
      <c r="D8003" s="2" t="s">
        <v>10</v>
      </c>
      <c r="E8003" s="2" t="str">
        <f>HYPERLINK("http://ts.21cn.com/tousu/show/id/1339037","http://ts.21cn.com/tousu/show/id/1339037")</f>
        <v>http://ts.21cn.com/tousu/show/id/1339037</v>
      </c>
      <c r="F8003" s="2" t="s">
        <v>11</v>
      </c>
      <c r="G8003" s="2" t="s">
        <v>28425</v>
      </c>
      <c r="H8003" s="2" t="s">
        <v>28426</v>
      </c>
    </row>
    <row r="8004" spans="1:8" ht="25.05" customHeight="1" x14ac:dyDescent="0.25">
      <c r="A8004" s="2" t="s">
        <v>8</v>
      </c>
      <c r="B8004" s="2" t="str">
        <f>HYPERLINK("http://ts.21cn.com/tousu/show/id/1339039","北京友缘在线网络科技股份有限公司强制消费，用户要求退款")</f>
        <v>北京友缘在线网络科技股份有限公司强制消费，用户要求退款</v>
      </c>
      <c r="C8004" s="2" t="s">
        <v>9</v>
      </c>
      <c r="D8004" s="2" t="s">
        <v>10</v>
      </c>
      <c r="E8004" s="2" t="str">
        <f>HYPERLINK("http://ts.21cn.com/tousu/show/id/1339039","http://ts.21cn.com/tousu/show/id/1339039")</f>
        <v>http://ts.21cn.com/tousu/show/id/1339039</v>
      </c>
      <c r="F8004" s="2" t="s">
        <v>11</v>
      </c>
      <c r="G8004" s="2" t="s">
        <v>28423</v>
      </c>
      <c r="H8004" s="2" t="s">
        <v>28424</v>
      </c>
    </row>
    <row r="8005" spans="1:8" ht="25.05" customHeight="1" x14ac:dyDescent="0.25">
      <c r="A8005" s="2" t="s">
        <v>8</v>
      </c>
      <c r="B8005" s="2" t="str">
        <f>HYPERLINK("http://ts.21cn.com/tousu/show/id/1339041","支付机构为违法平台提供资金清结算服务")</f>
        <v>支付机构为违法平台提供资金清结算服务</v>
      </c>
      <c r="C8005" s="2" t="s">
        <v>9</v>
      </c>
      <c r="D8005" s="2" t="s">
        <v>10</v>
      </c>
      <c r="E8005" s="2" t="str">
        <f>HYPERLINK("http://ts.21cn.com/tousu/show/id/1339041","http://ts.21cn.com/tousu/show/id/1339041")</f>
        <v>http://ts.21cn.com/tousu/show/id/1339041</v>
      </c>
      <c r="F8005" s="2" t="s">
        <v>11</v>
      </c>
      <c r="G8005" s="2" t="s">
        <v>28421</v>
      </c>
      <c r="H8005" s="2" t="s">
        <v>28422</v>
      </c>
    </row>
    <row r="8006" spans="1:8" ht="25.05" customHeight="1" x14ac:dyDescent="0.25">
      <c r="A8006" s="2" t="s">
        <v>8</v>
      </c>
      <c r="B8006" s="2" t="str">
        <f>HYPERLINK("http://ts.21cn.com/tousu/show/id/1339042","Story了强制宣传购买了一些贴牌生产的的产品")</f>
        <v>Story了强制宣传购买了一些贴牌生产的的产品</v>
      </c>
      <c r="C8006" s="2" t="s">
        <v>9</v>
      </c>
      <c r="D8006" s="2" t="s">
        <v>10</v>
      </c>
      <c r="E8006" s="2" t="str">
        <f>HYPERLINK("http://ts.21cn.com/tousu/show/id/1339042","http://ts.21cn.com/tousu/show/id/1339042")</f>
        <v>http://ts.21cn.com/tousu/show/id/1339042</v>
      </c>
      <c r="F8006" s="2" t="s">
        <v>11</v>
      </c>
      <c r="G8006" s="2" t="s">
        <v>28419</v>
      </c>
      <c r="H8006" s="2" t="s">
        <v>28420</v>
      </c>
    </row>
    <row r="8007" spans="1:8" ht="25.05" customHeight="1" x14ac:dyDescent="0.25">
      <c r="A8007" s="2" t="s">
        <v>8</v>
      </c>
      <c r="B8007" s="2" t="str">
        <f>HYPERLINK("http://ts.21cn.com/tousu/show/id/1339043","高利息，暴力催收")</f>
        <v>高利息，暴力催收</v>
      </c>
      <c r="C8007" s="2" t="s">
        <v>9</v>
      </c>
      <c r="D8007" s="2" t="s">
        <v>10</v>
      </c>
      <c r="E8007" s="2" t="str">
        <f>HYPERLINK("http://ts.21cn.com/tousu/show/id/1339043","http://ts.21cn.com/tousu/show/id/1339043")</f>
        <v>http://ts.21cn.com/tousu/show/id/1339043</v>
      </c>
      <c r="F8007" s="2" t="s">
        <v>11</v>
      </c>
      <c r="G8007" s="2" t="s">
        <v>28417</v>
      </c>
      <c r="H8007" s="2" t="s">
        <v>28418</v>
      </c>
    </row>
    <row r="8008" spans="1:8" ht="25.05" customHeight="1" x14ac:dyDescent="0.25">
      <c r="A8008" s="2" t="s">
        <v>8</v>
      </c>
      <c r="B8008" s="2" t="str">
        <f>HYPERLINK("http://ts.21cn.com/tousu/show/id/1339045","宜人万花")</f>
        <v>宜人万花</v>
      </c>
      <c r="C8008" s="2" t="s">
        <v>34</v>
      </c>
      <c r="D8008" s="2" t="s">
        <v>10</v>
      </c>
      <c r="E8008" s="2" t="str">
        <f>HYPERLINK("http://ts.21cn.com/tousu/show/id/1339045","http://ts.21cn.com/tousu/show/id/1339045")</f>
        <v>http://ts.21cn.com/tousu/show/id/1339045</v>
      </c>
      <c r="F8008" s="2" t="s">
        <v>11</v>
      </c>
      <c r="G8008" s="2" t="s">
        <v>28415</v>
      </c>
      <c r="H8008" s="2" t="s">
        <v>28416</v>
      </c>
    </row>
    <row r="8009" spans="1:8" ht="25.05" customHeight="1" x14ac:dyDescent="0.25">
      <c r="A8009" s="2" t="s">
        <v>8</v>
      </c>
      <c r="B8009" s="2" t="str">
        <f>HYPERLINK("http://ts.21cn.com/tousu/show/id/1339046","安逸花借款不知情收取灵活还款包，寿险，超次提款手续费")</f>
        <v>安逸花借款不知情收取灵活还款包，寿险，超次提款手续费</v>
      </c>
      <c r="C8009" s="2" t="s">
        <v>9</v>
      </c>
      <c r="D8009" s="2" t="s">
        <v>10</v>
      </c>
      <c r="E8009" s="2" t="str">
        <f>HYPERLINK("http://ts.21cn.com/tousu/show/id/1339046","http://ts.21cn.com/tousu/show/id/1339046")</f>
        <v>http://ts.21cn.com/tousu/show/id/1339046</v>
      </c>
      <c r="F8009" s="2" t="s">
        <v>11</v>
      </c>
      <c r="G8009" s="2" t="s">
        <v>28413</v>
      </c>
      <c r="H8009" s="2" t="s">
        <v>28414</v>
      </c>
    </row>
    <row r="8010" spans="1:8" ht="25.05" customHeight="1" x14ac:dyDescent="0.25">
      <c r="A8010" s="2" t="s">
        <v>8</v>
      </c>
      <c r="B8010" s="2" t="str">
        <f>HYPERLINK("http://ts.21cn.com/tousu/show/id/1335091","乱扣钱")</f>
        <v>乱扣钱</v>
      </c>
      <c r="C8010" s="2" t="s">
        <v>9</v>
      </c>
      <c r="D8010" s="2" t="s">
        <v>10</v>
      </c>
      <c r="E8010" s="2" t="str">
        <f>HYPERLINK("http://ts.21cn.com/tousu/show/id/1335091","http://ts.21cn.com/tousu/show/id/1335091")</f>
        <v>http://ts.21cn.com/tousu/show/id/1335091</v>
      </c>
      <c r="F8010" s="2" t="s">
        <v>11</v>
      </c>
      <c r="G8010" s="2" t="s">
        <v>28411</v>
      </c>
      <c r="H8010" s="2" t="s">
        <v>28412</v>
      </c>
    </row>
    <row r="8011" spans="1:8" ht="25.05" customHeight="1" x14ac:dyDescent="0.25">
      <c r="A8011" s="2" t="s">
        <v>8</v>
      </c>
      <c r="B8011" s="2" t="str">
        <f>HYPERLINK("http://ts.21cn.com/tousu/show/id/1339047","高利贷")</f>
        <v>高利贷</v>
      </c>
      <c r="C8011" s="2" t="s">
        <v>9</v>
      </c>
      <c r="D8011" s="2" t="s">
        <v>10</v>
      </c>
      <c r="E8011" s="2" t="str">
        <f>HYPERLINK("http://ts.21cn.com/tousu/show/id/1339047","http://ts.21cn.com/tousu/show/id/1339047")</f>
        <v>http://ts.21cn.com/tousu/show/id/1339047</v>
      </c>
      <c r="F8011" s="2" t="s">
        <v>11</v>
      </c>
      <c r="G8011" s="2" t="s">
        <v>28409</v>
      </c>
      <c r="H8011" s="2" t="s">
        <v>28410</v>
      </c>
    </row>
    <row r="8012" spans="1:8" ht="25.05" customHeight="1" x14ac:dyDescent="0.25">
      <c r="A8012" s="2" t="s">
        <v>8</v>
      </c>
      <c r="B8012" s="2" t="str">
        <f>HYPERLINK("http://ts.21cn.com/tousu/show/id/1339048","银码头不借贷款还不退申请费")</f>
        <v>银码头不借贷款还不退申请费</v>
      </c>
      <c r="C8012" s="2" t="s">
        <v>9</v>
      </c>
      <c r="D8012" s="2" t="s">
        <v>10</v>
      </c>
      <c r="E8012" s="2" t="str">
        <f>HYPERLINK("http://ts.21cn.com/tousu/show/id/1339048","http://ts.21cn.com/tousu/show/id/1339048")</f>
        <v>http://ts.21cn.com/tousu/show/id/1339048</v>
      </c>
      <c r="F8012" s="2" t="s">
        <v>11</v>
      </c>
      <c r="G8012" s="2" t="s">
        <v>28407</v>
      </c>
      <c r="H8012" s="2" t="s">
        <v>28408</v>
      </c>
    </row>
    <row r="8013" spans="1:8" ht="25.05" customHeight="1" x14ac:dyDescent="0.25">
      <c r="A8013" s="2" t="s">
        <v>8</v>
      </c>
      <c r="B8013" s="2" t="str">
        <f>HYPERLINK("http://ts.21cn.com/tousu/show/id/1339049","退办机场会员")</f>
        <v>退办机场会员</v>
      </c>
      <c r="C8013" s="2" t="s">
        <v>9</v>
      </c>
      <c r="D8013" s="2" t="s">
        <v>10</v>
      </c>
      <c r="E8013" s="2" t="str">
        <f>HYPERLINK("http://ts.21cn.com/tousu/show/id/1339049","http://ts.21cn.com/tousu/show/id/1339049")</f>
        <v>http://ts.21cn.com/tousu/show/id/1339049</v>
      </c>
      <c r="F8013" s="2" t="s">
        <v>11</v>
      </c>
      <c r="G8013" s="2" t="s">
        <v>28405</v>
      </c>
      <c r="H8013" s="2" t="s">
        <v>28406</v>
      </c>
    </row>
    <row r="8014" spans="1:8" ht="25.05" customHeight="1" x14ac:dyDescent="0.25">
      <c r="A8014" s="2" t="s">
        <v>8</v>
      </c>
      <c r="B8014" s="2" t="str">
        <f>HYPERLINK("http://ts.21cn.com/tousu/show/id/1339050","上海造艺乱扣费不退款")</f>
        <v>上海造艺乱扣费不退款</v>
      </c>
      <c r="C8014" s="2" t="s">
        <v>9</v>
      </c>
      <c r="D8014" s="2" t="s">
        <v>10</v>
      </c>
      <c r="E8014" s="2" t="str">
        <f>HYPERLINK("http://ts.21cn.com/tousu/show/id/1339050","http://ts.21cn.com/tousu/show/id/1339050")</f>
        <v>http://ts.21cn.com/tousu/show/id/1339050</v>
      </c>
      <c r="F8014" s="2" t="s">
        <v>11</v>
      </c>
      <c r="G8014" s="2" t="s">
        <v>28403</v>
      </c>
      <c r="H8014" s="2" t="s">
        <v>28404</v>
      </c>
    </row>
    <row r="8015" spans="1:8" ht="25.05" customHeight="1" x14ac:dyDescent="0.25">
      <c r="A8015" s="2" t="s">
        <v>8</v>
      </c>
      <c r="B8015" s="2" t="str">
        <f>HYPERLINK("http://ts.21cn.com/tousu/show/id/1339051","中邮消费金融暴力催收")</f>
        <v>中邮消费金融暴力催收</v>
      </c>
      <c r="C8015" s="2" t="s">
        <v>9</v>
      </c>
      <c r="D8015" s="2" t="s">
        <v>10</v>
      </c>
      <c r="E8015" s="2" t="str">
        <f>HYPERLINK("http://ts.21cn.com/tousu/show/id/1339051","http://ts.21cn.com/tousu/show/id/1339051")</f>
        <v>http://ts.21cn.com/tousu/show/id/1339051</v>
      </c>
      <c r="F8015" s="2" t="s">
        <v>11</v>
      </c>
      <c r="G8015" s="2" t="s">
        <v>28401</v>
      </c>
      <c r="H8015" s="2" t="s">
        <v>28402</v>
      </c>
    </row>
    <row r="8016" spans="1:8" ht="25.05" customHeight="1" x14ac:dyDescent="0.25">
      <c r="A8016" s="2" t="s">
        <v>8</v>
      </c>
      <c r="B8016" s="2" t="str">
        <f>HYPERLINK("http://ts.21cn.com/tousu/show/id/1339052","钱站阴阳合同")</f>
        <v>钱站阴阳合同</v>
      </c>
      <c r="C8016" s="2" t="s">
        <v>9</v>
      </c>
      <c r="D8016" s="2" t="s">
        <v>10</v>
      </c>
      <c r="E8016" s="2" t="str">
        <f>HYPERLINK("http://ts.21cn.com/tousu/show/id/1339052","http://ts.21cn.com/tousu/show/id/1339052")</f>
        <v>http://ts.21cn.com/tousu/show/id/1339052</v>
      </c>
      <c r="F8016" s="2" t="s">
        <v>11</v>
      </c>
      <c r="G8016" s="2" t="s">
        <v>28399</v>
      </c>
      <c r="H8016" s="2" t="s">
        <v>28400</v>
      </c>
    </row>
    <row r="8017" spans="1:8" ht="25.05" customHeight="1" x14ac:dyDescent="0.25">
      <c r="A8017" s="2" t="s">
        <v>8</v>
      </c>
      <c r="B8017" s="2" t="str">
        <f>HYPERLINK("http://ts.21cn.com/tousu/show/id/1339053","高利贷套路贷暴力催收，报通化路")</f>
        <v>高利贷套路贷暴力催收，报通化路</v>
      </c>
      <c r="C8017" s="2" t="s">
        <v>9</v>
      </c>
      <c r="D8017" s="2" t="s">
        <v>10</v>
      </c>
      <c r="E8017" s="2" t="str">
        <f>HYPERLINK("http://ts.21cn.com/tousu/show/id/1339053","http://ts.21cn.com/tousu/show/id/1339053")</f>
        <v>http://ts.21cn.com/tousu/show/id/1339053</v>
      </c>
      <c r="F8017" s="2" t="s">
        <v>11</v>
      </c>
      <c r="G8017" s="2" t="s">
        <v>28397</v>
      </c>
      <c r="H8017" s="2" t="s">
        <v>28398</v>
      </c>
    </row>
    <row r="8018" spans="1:8" ht="25.05" customHeight="1" x14ac:dyDescent="0.25">
      <c r="A8018" s="2" t="s">
        <v>8</v>
      </c>
      <c r="B8018" s="2" t="str">
        <f>HYPERLINK("http://ts.21cn.com/tousu/show/id/1339054","来分期平台未逾期暴力催收")</f>
        <v>来分期平台未逾期暴力催收</v>
      </c>
      <c r="C8018" s="2" t="s">
        <v>9</v>
      </c>
      <c r="D8018" s="2" t="s">
        <v>10</v>
      </c>
      <c r="E8018" s="2" t="str">
        <f>HYPERLINK("http://ts.21cn.com/tousu/show/id/1339054","http://ts.21cn.com/tousu/show/id/1339054")</f>
        <v>http://ts.21cn.com/tousu/show/id/1339054</v>
      </c>
      <c r="F8018" s="2" t="s">
        <v>11</v>
      </c>
      <c r="G8018" s="2" t="s">
        <v>28395</v>
      </c>
      <c r="H8018" s="2" t="s">
        <v>28396</v>
      </c>
    </row>
    <row r="8019" spans="1:8" ht="25.05" customHeight="1" x14ac:dyDescent="0.25">
      <c r="A8019" s="2" t="s">
        <v>8</v>
      </c>
      <c r="B8019" s="2" t="str">
        <f>HYPERLINK("http://ts.21cn.com/tousu/show/id/1339055","中腾信旗下的小花钱包暴力催收")</f>
        <v>中腾信旗下的小花钱包暴力催收</v>
      </c>
      <c r="C8019" s="2" t="s">
        <v>9</v>
      </c>
      <c r="D8019" s="2" t="s">
        <v>10</v>
      </c>
      <c r="E8019" s="2" t="str">
        <f>HYPERLINK("http://ts.21cn.com/tousu/show/id/1339055","http://ts.21cn.com/tousu/show/id/1339055")</f>
        <v>http://ts.21cn.com/tousu/show/id/1339055</v>
      </c>
      <c r="F8019" s="2" t="s">
        <v>11</v>
      </c>
      <c r="G8019" s="2" t="s">
        <v>28393</v>
      </c>
      <c r="H8019" s="2" t="s">
        <v>28394</v>
      </c>
    </row>
    <row r="8020" spans="1:8" ht="25.05" customHeight="1" x14ac:dyDescent="0.25">
      <c r="A8020" s="2" t="s">
        <v>8</v>
      </c>
      <c r="B8020" s="2" t="str">
        <f>HYPERLINK("http://ts.21cn.com/tousu/show/id/1339056","招商银行信用卡强制冻结卡收取高额违约金外加循环利息")</f>
        <v>招商银行信用卡强制冻结卡收取高额违约金外加循环利息</v>
      </c>
      <c r="C8020" s="2" t="s">
        <v>9</v>
      </c>
      <c r="D8020" s="2" t="s">
        <v>10</v>
      </c>
      <c r="E8020" s="2" t="str">
        <f>HYPERLINK("http://ts.21cn.com/tousu/show/id/1339056","http://ts.21cn.com/tousu/show/id/1339056")</f>
        <v>http://ts.21cn.com/tousu/show/id/1339056</v>
      </c>
      <c r="F8020" s="2" t="s">
        <v>11</v>
      </c>
      <c r="G8020" s="2" t="s">
        <v>28391</v>
      </c>
      <c r="H8020" s="2" t="s">
        <v>28392</v>
      </c>
    </row>
    <row r="8021" spans="1:8" ht="25.05" customHeight="1" x14ac:dyDescent="0.25">
      <c r="A8021" s="2" t="s">
        <v>8</v>
      </c>
      <c r="B8021" s="2" t="str">
        <f>HYPERLINK("http://ts.21cn.com/tousu/show/id/1339059","暴力催收")</f>
        <v>暴力催收</v>
      </c>
      <c r="C8021" s="2" t="s">
        <v>9</v>
      </c>
      <c r="D8021" s="2" t="s">
        <v>10</v>
      </c>
      <c r="E8021" s="2" t="str">
        <f>HYPERLINK("http://ts.21cn.com/tousu/show/id/1339059","http://ts.21cn.com/tousu/show/id/1339059")</f>
        <v>http://ts.21cn.com/tousu/show/id/1339059</v>
      </c>
      <c r="F8021" s="2" t="s">
        <v>11</v>
      </c>
      <c r="G8021" s="2" t="s">
        <v>28389</v>
      </c>
      <c r="H8021" s="2" t="s">
        <v>28390</v>
      </c>
    </row>
    <row r="8022" spans="1:8" ht="25.05" customHeight="1" x14ac:dyDescent="0.25">
      <c r="A8022" s="2" t="s">
        <v>8</v>
      </c>
      <c r="B8022" s="2" t="str">
        <f>HYPERLINK("http://ts.21cn.com/tousu/show/id/1339058","在闲鱼上被恶意投诉平台判定限制所有交易和支付宝使用权限")</f>
        <v>在闲鱼上被恶意投诉平台判定限制所有交易和支付宝使用权限</v>
      </c>
      <c r="C8022" s="2" t="s">
        <v>9</v>
      </c>
      <c r="D8022" s="2" t="s">
        <v>10</v>
      </c>
      <c r="E8022" s="2" t="str">
        <f>HYPERLINK("http://ts.21cn.com/tousu/show/id/1339058","http://ts.21cn.com/tousu/show/id/1339058")</f>
        <v>http://ts.21cn.com/tousu/show/id/1339058</v>
      </c>
      <c r="F8022" s="2" t="s">
        <v>11</v>
      </c>
      <c r="G8022" s="2" t="s">
        <v>28387</v>
      </c>
      <c r="H8022" s="2" t="s">
        <v>28388</v>
      </c>
    </row>
    <row r="8023" spans="1:8" ht="25.05" customHeight="1" x14ac:dyDescent="0.25">
      <c r="A8023" s="2" t="s">
        <v>8</v>
      </c>
      <c r="B8023" s="2" t="str">
        <f>HYPERLINK("http://ts.21cn.com/tousu/show/id/1339057","新意花小木钱包无法还款导致逾期")</f>
        <v>新意花小木钱包无法还款导致逾期</v>
      </c>
      <c r="C8023" s="2" t="s">
        <v>9</v>
      </c>
      <c r="D8023" s="2" t="s">
        <v>10</v>
      </c>
      <c r="E8023" s="2" t="str">
        <f>HYPERLINK("http://ts.21cn.com/tousu/show/id/1339057","http://ts.21cn.com/tousu/show/id/1339057")</f>
        <v>http://ts.21cn.com/tousu/show/id/1339057</v>
      </c>
      <c r="F8023" s="2" t="s">
        <v>11</v>
      </c>
      <c r="G8023" s="2" t="s">
        <v>28385</v>
      </c>
      <c r="H8023" s="2" t="s">
        <v>28386</v>
      </c>
    </row>
    <row r="8024" spans="1:8" ht="25.05" customHeight="1" x14ac:dyDescent="0.25">
      <c r="A8024" s="2" t="s">
        <v>8</v>
      </c>
      <c r="B8024" s="2" t="str">
        <f>HYPERLINK("http://ts.21cn.com/tousu/show/id/1339060","立刻把我的微信号打标解除，并停止打标")</f>
        <v>立刻把我的微信号打标解除，并停止打标</v>
      </c>
      <c r="C8024" s="2" t="s">
        <v>9</v>
      </c>
      <c r="D8024" s="2" t="s">
        <v>10</v>
      </c>
      <c r="E8024" s="2" t="str">
        <f>HYPERLINK("http://ts.21cn.com/tousu/show/id/1339060","http://ts.21cn.com/tousu/show/id/1339060")</f>
        <v>http://ts.21cn.com/tousu/show/id/1339060</v>
      </c>
      <c r="F8024" s="2" t="s">
        <v>11</v>
      </c>
      <c r="G8024" s="2" t="s">
        <v>28383</v>
      </c>
      <c r="H8024" s="2" t="s">
        <v>28384</v>
      </c>
    </row>
    <row r="8025" spans="1:8" ht="25.05" customHeight="1" x14ac:dyDescent="0.25">
      <c r="A8025" s="2" t="s">
        <v>8</v>
      </c>
      <c r="B8025" s="2" t="str">
        <f>HYPERLINK("http://ts.21cn.com/tousu/show/id/1339061","国美易卡爆力违规")</f>
        <v>国美易卡爆力违规</v>
      </c>
      <c r="C8025" s="2" t="s">
        <v>9</v>
      </c>
      <c r="D8025" s="2" t="s">
        <v>10</v>
      </c>
      <c r="E8025" s="2" t="str">
        <f>HYPERLINK("http://ts.21cn.com/tousu/show/id/1339061","http://ts.21cn.com/tousu/show/id/1339061")</f>
        <v>http://ts.21cn.com/tousu/show/id/1339061</v>
      </c>
      <c r="F8025" s="2" t="s">
        <v>11</v>
      </c>
      <c r="G8025" s="2" t="s">
        <v>28381</v>
      </c>
      <c r="H8025" s="2" t="s">
        <v>28382</v>
      </c>
    </row>
    <row r="8026" spans="1:8" ht="25.05" customHeight="1" x14ac:dyDescent="0.25">
      <c r="A8026" s="2" t="s">
        <v>8</v>
      </c>
      <c r="B8026" s="2" t="str">
        <f>HYPERLINK("http://ts.21cn.com/tousu/show/id/1339062","立借高利贷阴阳合同")</f>
        <v>立借高利贷阴阳合同</v>
      </c>
      <c r="C8026" s="2" t="s">
        <v>9</v>
      </c>
      <c r="D8026" s="2" t="s">
        <v>10</v>
      </c>
      <c r="E8026" s="2" t="str">
        <f>HYPERLINK("http://ts.21cn.com/tousu/show/id/1339062","http://ts.21cn.com/tousu/show/id/1339062")</f>
        <v>http://ts.21cn.com/tousu/show/id/1339062</v>
      </c>
      <c r="F8026" s="2" t="s">
        <v>11</v>
      </c>
      <c r="G8026" s="2" t="s">
        <v>28379</v>
      </c>
      <c r="H8026" s="2" t="s">
        <v>28380</v>
      </c>
    </row>
    <row r="8027" spans="1:8" ht="25.05" customHeight="1" x14ac:dyDescent="0.25">
      <c r="A8027" s="2" t="s">
        <v>8</v>
      </c>
      <c r="B8027" s="2" t="str">
        <f>HYPERLINK("http://ts.21cn.com/tousu/show/id/1339063","不给协商，爆通讯录")</f>
        <v>不给协商，爆通讯录</v>
      </c>
      <c r="C8027" s="2" t="s">
        <v>9</v>
      </c>
      <c r="D8027" s="2" t="s">
        <v>10</v>
      </c>
      <c r="E8027" s="2" t="str">
        <f>HYPERLINK("http://ts.21cn.com/tousu/show/id/1339063","http://ts.21cn.com/tousu/show/id/1339063")</f>
        <v>http://ts.21cn.com/tousu/show/id/1339063</v>
      </c>
      <c r="F8027" s="2" t="s">
        <v>11</v>
      </c>
      <c r="G8027" s="2" t="s">
        <v>28377</v>
      </c>
      <c r="H8027" s="2" t="s">
        <v>28378</v>
      </c>
    </row>
    <row r="8028" spans="1:8" ht="25.05" customHeight="1" x14ac:dyDescent="0.25">
      <c r="A8028" s="2" t="s">
        <v>8</v>
      </c>
      <c r="B8028" s="2" t="str">
        <f>HYPERLINK("http://ts.21cn.com/tousu/show/id/1339064","玖富万卡拒绝取消贷款")</f>
        <v>玖富万卡拒绝取消贷款</v>
      </c>
      <c r="C8028" s="2" t="s">
        <v>9</v>
      </c>
      <c r="D8028" s="2" t="s">
        <v>10</v>
      </c>
      <c r="E8028" s="2" t="str">
        <f>HYPERLINK("http://ts.21cn.com/tousu/show/id/1339064","http://ts.21cn.com/tousu/show/id/1339064")</f>
        <v>http://ts.21cn.com/tousu/show/id/1339064</v>
      </c>
      <c r="F8028" s="2" t="s">
        <v>11</v>
      </c>
      <c r="G8028" s="2" t="s">
        <v>28375</v>
      </c>
      <c r="H8028" s="2" t="s">
        <v>28376</v>
      </c>
    </row>
    <row r="8029" spans="1:8" ht="25.05" customHeight="1" x14ac:dyDescent="0.25">
      <c r="A8029" s="2" t="s">
        <v>8</v>
      </c>
      <c r="B8029" s="2" t="str">
        <f>HYPERLINK("http://ts.21cn.com/tousu/show/id/1339065","月光侠分期高利率")</f>
        <v>月光侠分期高利率</v>
      </c>
      <c r="C8029" s="2" t="s">
        <v>34</v>
      </c>
      <c r="D8029" s="2" t="s">
        <v>10</v>
      </c>
      <c r="E8029" s="2" t="str">
        <f>HYPERLINK("http://ts.21cn.com/tousu/show/id/1339065","http://ts.21cn.com/tousu/show/id/1339065")</f>
        <v>http://ts.21cn.com/tousu/show/id/1339065</v>
      </c>
      <c r="F8029" s="2" t="s">
        <v>11</v>
      </c>
      <c r="G8029" s="2" t="s">
        <v>28373</v>
      </c>
      <c r="H8029" s="2" t="s">
        <v>28374</v>
      </c>
    </row>
    <row r="8030" spans="1:8" ht="25.05" customHeight="1" x14ac:dyDescent="0.25">
      <c r="A8030" s="2" t="s">
        <v>8</v>
      </c>
      <c r="B8030" s="2" t="str">
        <f>HYPERLINK("http://ts.21cn.com/tousu/show/id/1339066","国美在线单方面取消订单")</f>
        <v>国美在线单方面取消订单</v>
      </c>
      <c r="C8030" s="2" t="s">
        <v>9</v>
      </c>
      <c r="D8030" s="2" t="s">
        <v>10</v>
      </c>
      <c r="E8030" s="2" t="str">
        <f>HYPERLINK("http://ts.21cn.com/tousu/show/id/1339066","http://ts.21cn.com/tousu/show/id/1339066")</f>
        <v>http://ts.21cn.com/tousu/show/id/1339066</v>
      </c>
      <c r="F8030" s="2" t="s">
        <v>11</v>
      </c>
      <c r="G8030" s="2" t="s">
        <v>28371</v>
      </c>
      <c r="H8030" s="2" t="s">
        <v>28372</v>
      </c>
    </row>
    <row r="8031" spans="1:8" ht="25.05" customHeight="1" x14ac:dyDescent="0.25">
      <c r="A8031" s="2" t="s">
        <v>8</v>
      </c>
      <c r="B8031" s="2" t="str">
        <f>HYPERLINK("http://ts.21cn.com/tousu/show/id/1338778","自由魔卡信用计划高利贷")</f>
        <v>自由魔卡信用计划高利贷</v>
      </c>
      <c r="C8031" s="2" t="s">
        <v>9</v>
      </c>
      <c r="D8031" s="2" t="s">
        <v>10</v>
      </c>
      <c r="E8031" s="2" t="str">
        <f>HYPERLINK("http://ts.21cn.com/tousu/show/id/1338778","http://ts.21cn.com/tousu/show/id/1338778")</f>
        <v>http://ts.21cn.com/tousu/show/id/1338778</v>
      </c>
      <c r="F8031" s="2" t="s">
        <v>11</v>
      </c>
      <c r="G8031" s="2" t="s">
        <v>28369</v>
      </c>
      <c r="H8031" s="2" t="s">
        <v>28370</v>
      </c>
    </row>
    <row r="8032" spans="1:8" ht="25.05" customHeight="1" x14ac:dyDescent="0.25">
      <c r="A8032" s="2" t="s">
        <v>8</v>
      </c>
      <c r="B8032" s="2" t="str">
        <f>HYPERLINK("http://ts.21cn.com/tousu/show/id/1339069","银行卡莫名其妙的划走199元")</f>
        <v>银行卡莫名其妙的划走199元</v>
      </c>
      <c r="C8032" s="2" t="s">
        <v>34</v>
      </c>
      <c r="D8032" s="2" t="s">
        <v>10</v>
      </c>
      <c r="E8032" s="2" t="str">
        <f>HYPERLINK("http://ts.21cn.com/tousu/show/id/1339069","http://ts.21cn.com/tousu/show/id/1339069")</f>
        <v>http://ts.21cn.com/tousu/show/id/1339069</v>
      </c>
      <c r="F8032" s="2" t="s">
        <v>11</v>
      </c>
      <c r="G8032" s="2" t="s">
        <v>28367</v>
      </c>
      <c r="H8032" s="2" t="s">
        <v>28368</v>
      </c>
    </row>
    <row r="8033" spans="1:8" ht="25.05" customHeight="1" x14ac:dyDescent="0.25">
      <c r="A8033" s="2" t="s">
        <v>8</v>
      </c>
      <c r="B8033" s="2" t="str">
        <f>HYPERLINK("http://ts.21cn.com/tousu/show/id/1339068","真多银吉顺通借一千八一个月还二千五百多")</f>
        <v>真多银吉顺通借一千八一个月还二千五百多</v>
      </c>
      <c r="C8033" s="2" t="s">
        <v>34</v>
      </c>
      <c r="D8033" s="2" t="s">
        <v>10</v>
      </c>
      <c r="E8033" s="2" t="str">
        <f>HYPERLINK("http://ts.21cn.com/tousu/show/id/1339068","http://ts.21cn.com/tousu/show/id/1339068")</f>
        <v>http://ts.21cn.com/tousu/show/id/1339068</v>
      </c>
      <c r="F8033" s="2" t="s">
        <v>11</v>
      </c>
      <c r="G8033" s="2" t="s">
        <v>28365</v>
      </c>
      <c r="H8033" s="2" t="s">
        <v>28366</v>
      </c>
    </row>
    <row r="8034" spans="1:8" ht="25.05" customHeight="1" x14ac:dyDescent="0.25">
      <c r="A8034" s="2" t="s">
        <v>8</v>
      </c>
      <c r="B8034" s="2" t="str">
        <f>HYPERLINK("http://ts.21cn.com/tousu/show/id/1339070","云闪付为非法平台提供充值渠道")</f>
        <v>云闪付为非法平台提供充值渠道</v>
      </c>
      <c r="C8034" s="2" t="s">
        <v>9</v>
      </c>
      <c r="D8034" s="2" t="s">
        <v>10</v>
      </c>
      <c r="E8034" s="2" t="str">
        <f>HYPERLINK("http://ts.21cn.com/tousu/show/id/1339070","http://ts.21cn.com/tousu/show/id/1339070")</f>
        <v>http://ts.21cn.com/tousu/show/id/1339070</v>
      </c>
      <c r="F8034" s="2" t="s">
        <v>11</v>
      </c>
      <c r="G8034" s="2" t="s">
        <v>28363</v>
      </c>
      <c r="H8034" s="2" t="s">
        <v>28364</v>
      </c>
    </row>
    <row r="8035" spans="1:8" ht="25.05" customHeight="1" x14ac:dyDescent="0.25">
      <c r="A8035" s="2" t="s">
        <v>8</v>
      </c>
      <c r="B8035" s="2" t="str">
        <f>HYPERLINK("http://ts.21cn.com/tousu/show/id/1339072","拼多多商户涉嫌为博彩黑平台收款")</f>
        <v>拼多多商户涉嫌为博彩黑平台收款</v>
      </c>
      <c r="C8035" s="2" t="s">
        <v>9</v>
      </c>
      <c r="D8035" s="2" t="s">
        <v>10</v>
      </c>
      <c r="E8035" s="2" t="str">
        <f>HYPERLINK("http://ts.21cn.com/tousu/show/id/1339072","http://ts.21cn.com/tousu/show/id/1339072")</f>
        <v>http://ts.21cn.com/tousu/show/id/1339072</v>
      </c>
      <c r="F8035" s="2" t="s">
        <v>11</v>
      </c>
      <c r="G8035" s="2" t="s">
        <v>28361</v>
      </c>
      <c r="H8035" s="2" t="s">
        <v>28362</v>
      </c>
    </row>
    <row r="8036" spans="1:8" ht="25.05" customHeight="1" x14ac:dyDescent="0.25">
      <c r="A8036" s="2" t="s">
        <v>8</v>
      </c>
      <c r="B8036" s="2" t="str">
        <f>HYPERLINK("http://ts.21cn.com/tousu/show/id/1339071","给境外赌博网站提供充值通道")</f>
        <v>给境外赌博网站提供充值通道</v>
      </c>
      <c r="C8036" s="2" t="s">
        <v>9</v>
      </c>
      <c r="D8036" s="2" t="s">
        <v>10</v>
      </c>
      <c r="E8036" s="2" t="str">
        <f>HYPERLINK("http://ts.21cn.com/tousu/show/id/1339071","http://ts.21cn.com/tousu/show/id/1339071")</f>
        <v>http://ts.21cn.com/tousu/show/id/1339071</v>
      </c>
      <c r="F8036" s="2" t="s">
        <v>11</v>
      </c>
      <c r="G8036" s="2" t="s">
        <v>28359</v>
      </c>
      <c r="H8036" s="2" t="s">
        <v>28360</v>
      </c>
    </row>
    <row r="8037" spans="1:8" ht="25.05" customHeight="1" x14ac:dyDescent="0.25">
      <c r="A8037" s="2" t="s">
        <v>8</v>
      </c>
      <c r="B8037" s="2" t="str">
        <f>HYPERLINK("http://ts.21cn.com/tousu/show/id/1339074","钱站就是真正的高利贷套路贷公司！")</f>
        <v>钱站就是真正的高利贷套路贷公司！</v>
      </c>
      <c r="C8037" s="2" t="s">
        <v>9</v>
      </c>
      <c r="D8037" s="2" t="s">
        <v>10</v>
      </c>
      <c r="E8037" s="2" t="str">
        <f>HYPERLINK("http://ts.21cn.com/tousu/show/id/1339074","http://ts.21cn.com/tousu/show/id/1339074")</f>
        <v>http://ts.21cn.com/tousu/show/id/1339074</v>
      </c>
      <c r="F8037" s="2" t="s">
        <v>11</v>
      </c>
      <c r="G8037" s="2" t="s">
        <v>28357</v>
      </c>
      <c r="H8037" s="2" t="s">
        <v>28358</v>
      </c>
    </row>
    <row r="8038" spans="1:8" ht="25.05" customHeight="1" x14ac:dyDescent="0.25">
      <c r="A8038" s="2" t="s">
        <v>8</v>
      </c>
      <c r="B8038" s="2" t="str">
        <f>HYPERLINK("http://ts.21cn.com/tousu/show/id/1339075","暴力")</f>
        <v>暴力</v>
      </c>
      <c r="C8038" s="2" t="s">
        <v>9</v>
      </c>
      <c r="D8038" s="2" t="s">
        <v>10</v>
      </c>
      <c r="E8038" s="2" t="str">
        <f>HYPERLINK("http://ts.21cn.com/tousu/show/id/1339075","http://ts.21cn.com/tousu/show/id/1339075")</f>
        <v>http://ts.21cn.com/tousu/show/id/1339075</v>
      </c>
      <c r="F8038" s="2" t="s">
        <v>11</v>
      </c>
      <c r="G8038" s="2" t="s">
        <v>28355</v>
      </c>
      <c r="H8038" s="2" t="s">
        <v>28356</v>
      </c>
    </row>
    <row r="8039" spans="1:8" ht="25.05" customHeight="1" x14ac:dyDescent="0.25">
      <c r="A8039" s="2" t="s">
        <v>8</v>
      </c>
      <c r="B8039" s="2" t="str">
        <f>HYPERLINK("http://ts.21cn.com/tousu/show/id/1339076","农行卡突然被中金支付扣钱")</f>
        <v>农行卡突然被中金支付扣钱</v>
      </c>
      <c r="C8039" s="2" t="s">
        <v>34</v>
      </c>
      <c r="D8039" s="2" t="s">
        <v>10</v>
      </c>
      <c r="E8039" s="2" t="str">
        <f>HYPERLINK("http://ts.21cn.com/tousu/show/id/1339076","http://ts.21cn.com/tousu/show/id/1339076")</f>
        <v>http://ts.21cn.com/tousu/show/id/1339076</v>
      </c>
      <c r="F8039" s="2" t="s">
        <v>11</v>
      </c>
      <c r="G8039" s="2" t="s">
        <v>28353</v>
      </c>
      <c r="H8039" s="2" t="s">
        <v>28354</v>
      </c>
    </row>
    <row r="8040" spans="1:8" ht="25.05" customHeight="1" x14ac:dyDescent="0.25">
      <c r="A8040" s="2" t="s">
        <v>8</v>
      </c>
      <c r="B8040" s="2" t="str">
        <f>HYPERLINK("http://ts.21cn.com/tousu/show/id/1339078","易宝支付未经允许自动扣费")</f>
        <v>易宝支付未经允许自动扣费</v>
      </c>
      <c r="C8040" s="2" t="s">
        <v>34</v>
      </c>
      <c r="D8040" s="2" t="s">
        <v>10</v>
      </c>
      <c r="E8040" s="2" t="str">
        <f>HYPERLINK("http://ts.21cn.com/tousu/show/id/1339078","http://ts.21cn.com/tousu/show/id/1339078")</f>
        <v>http://ts.21cn.com/tousu/show/id/1339078</v>
      </c>
      <c r="F8040" s="2" t="s">
        <v>11</v>
      </c>
      <c r="G8040" s="2" t="s">
        <v>28351</v>
      </c>
      <c r="H8040" s="2" t="s">
        <v>28352</v>
      </c>
    </row>
    <row r="8041" spans="1:8" ht="25.05" customHeight="1" x14ac:dyDescent="0.25">
      <c r="A8041" s="2" t="s">
        <v>8</v>
      </c>
      <c r="B8041" s="2" t="str">
        <f>HYPERLINK("http://ts.21cn.com/tousu/show/id/1339077","招联金融违规催收，骚扰亲朋好友")</f>
        <v>招联金融违规催收，骚扰亲朋好友</v>
      </c>
      <c r="C8041" s="2" t="s">
        <v>9</v>
      </c>
      <c r="D8041" s="2" t="s">
        <v>10</v>
      </c>
      <c r="E8041" s="2" t="str">
        <f>HYPERLINK("http://ts.21cn.com/tousu/show/id/1339077","http://ts.21cn.com/tousu/show/id/1339077")</f>
        <v>http://ts.21cn.com/tousu/show/id/1339077</v>
      </c>
      <c r="F8041" s="2" t="s">
        <v>11</v>
      </c>
      <c r="G8041" s="2" t="s">
        <v>28349</v>
      </c>
      <c r="H8041" s="2" t="s">
        <v>28350</v>
      </c>
    </row>
    <row r="8042" spans="1:8" ht="25.05" customHeight="1" x14ac:dyDescent="0.25">
      <c r="A8042" s="2" t="s">
        <v>8</v>
      </c>
      <c r="B8042" s="2" t="str">
        <f>HYPERLINK("http://ts.21cn.com/tousu/show/id/1339079","借款两万、合同写两万六实际还三万多")</f>
        <v>借款两万、合同写两万六实际还三万多</v>
      </c>
      <c r="C8042" s="2" t="s">
        <v>34</v>
      </c>
      <c r="D8042" s="2" t="s">
        <v>10</v>
      </c>
      <c r="E8042" s="2" t="str">
        <f>HYPERLINK("http://ts.21cn.com/tousu/show/id/1339079","http://ts.21cn.com/tousu/show/id/1339079")</f>
        <v>http://ts.21cn.com/tousu/show/id/1339079</v>
      </c>
      <c r="F8042" s="2" t="s">
        <v>11</v>
      </c>
      <c r="G8042" s="2" t="s">
        <v>28347</v>
      </c>
      <c r="H8042" s="2" t="s">
        <v>28348</v>
      </c>
    </row>
    <row r="8043" spans="1:8" ht="25.05" customHeight="1" x14ac:dyDescent="0.25">
      <c r="A8043" s="2" t="s">
        <v>8</v>
      </c>
      <c r="B8043" s="2" t="str">
        <f>HYPERLINK("http://ts.21cn.com/tousu/show/id/1339080","2345立即贷")</f>
        <v>2345立即贷</v>
      </c>
      <c r="C8043" s="2" t="s">
        <v>34</v>
      </c>
      <c r="D8043" s="2" t="s">
        <v>10</v>
      </c>
      <c r="E8043" s="2" t="str">
        <f>HYPERLINK("http://ts.21cn.com/tousu/show/id/1339080","http://ts.21cn.com/tousu/show/id/1339080")</f>
        <v>http://ts.21cn.com/tousu/show/id/1339080</v>
      </c>
      <c r="F8043" s="2" t="s">
        <v>11</v>
      </c>
      <c r="G8043" s="2" t="s">
        <v>28345</v>
      </c>
      <c r="H8043" s="2" t="s">
        <v>28346</v>
      </c>
    </row>
    <row r="8044" spans="1:8" ht="25.05" customHeight="1" x14ac:dyDescent="0.25">
      <c r="A8044" s="2" t="s">
        <v>8</v>
      </c>
      <c r="B8044" s="2" t="str">
        <f>HYPERLINK("http://ts.21cn.com/tousu/show/id/1339082","给境外赌博网站提供充值通道")</f>
        <v>给境外赌博网站提供充值通道</v>
      </c>
      <c r="C8044" s="2" t="s">
        <v>9</v>
      </c>
      <c r="D8044" s="2" t="s">
        <v>10</v>
      </c>
      <c r="E8044" s="2" t="str">
        <f>HYPERLINK("http://ts.21cn.com/tousu/show/id/1339082","http://ts.21cn.com/tousu/show/id/1339082")</f>
        <v>http://ts.21cn.com/tousu/show/id/1339082</v>
      </c>
      <c r="F8044" s="2" t="s">
        <v>11</v>
      </c>
      <c r="G8044" s="2" t="s">
        <v>28343</v>
      </c>
      <c r="H8044" s="2" t="s">
        <v>28344</v>
      </c>
    </row>
    <row r="8045" spans="1:8" ht="25.05" customHeight="1" x14ac:dyDescent="0.25">
      <c r="A8045" s="2" t="s">
        <v>8</v>
      </c>
      <c r="B8045" s="2" t="str">
        <f>HYPERLINK("http://ts.21cn.com/tousu/show/id/1339084","招联金融疯狂催收联系人")</f>
        <v>招联金融疯狂催收联系人</v>
      </c>
      <c r="C8045" s="2" t="s">
        <v>9</v>
      </c>
      <c r="D8045" s="2" t="s">
        <v>10</v>
      </c>
      <c r="E8045" s="2" t="str">
        <f>HYPERLINK("http://ts.21cn.com/tousu/show/id/1339084","http://ts.21cn.com/tousu/show/id/1339084")</f>
        <v>http://ts.21cn.com/tousu/show/id/1339084</v>
      </c>
      <c r="F8045" s="2" t="s">
        <v>11</v>
      </c>
      <c r="G8045" s="2" t="s">
        <v>28341</v>
      </c>
      <c r="H8045" s="2" t="s">
        <v>28342</v>
      </c>
    </row>
    <row r="8046" spans="1:8" ht="25.05" customHeight="1" x14ac:dyDescent="0.25">
      <c r="A8046" s="2" t="s">
        <v>8</v>
      </c>
      <c r="B8046" s="2" t="str">
        <f>HYPERLINK("http://ts.21cn.com/tousu/show/id/1339086","豆豆钱借款强制保险问题")</f>
        <v>豆豆钱借款强制保险问题</v>
      </c>
      <c r="C8046" s="2" t="s">
        <v>9</v>
      </c>
      <c r="D8046" s="2" t="s">
        <v>10</v>
      </c>
      <c r="E8046" s="2" t="str">
        <f>HYPERLINK("http://ts.21cn.com/tousu/show/id/1339086","http://ts.21cn.com/tousu/show/id/1339086")</f>
        <v>http://ts.21cn.com/tousu/show/id/1339086</v>
      </c>
      <c r="F8046" s="2" t="s">
        <v>11</v>
      </c>
      <c r="G8046" s="2" t="s">
        <v>28339</v>
      </c>
      <c r="H8046" s="2" t="s">
        <v>28340</v>
      </c>
    </row>
    <row r="8047" spans="1:8" ht="25.05" customHeight="1" x14ac:dyDescent="0.25">
      <c r="A8047" s="2" t="s">
        <v>8</v>
      </c>
      <c r="B8047" s="2" t="str">
        <f>HYPERLINK("http://ts.21cn.com/tousu/show/id/1339087","南方电网乱扣费")</f>
        <v>南方电网乱扣费</v>
      </c>
      <c r="C8047" s="2" t="s">
        <v>9</v>
      </c>
      <c r="D8047" s="2" t="s">
        <v>10</v>
      </c>
      <c r="E8047" s="2" t="str">
        <f>HYPERLINK("http://ts.21cn.com/tousu/show/id/1339087","http://ts.21cn.com/tousu/show/id/1339087")</f>
        <v>http://ts.21cn.com/tousu/show/id/1339087</v>
      </c>
      <c r="F8047" s="2" t="s">
        <v>11</v>
      </c>
      <c r="G8047" s="2" t="s">
        <v>28337</v>
      </c>
      <c r="H8047" s="2" t="s">
        <v>28338</v>
      </c>
    </row>
    <row r="8048" spans="1:8" ht="25.05" customHeight="1" x14ac:dyDescent="0.25">
      <c r="A8048" s="2" t="s">
        <v>8</v>
      </c>
      <c r="B8048" s="2" t="str">
        <f>HYPERLINK("http://ts.21cn.com/tousu/show/id/1339089","豹子贷无故扣钱，要求退款")</f>
        <v>豹子贷无故扣钱，要求退款</v>
      </c>
      <c r="C8048" s="2" t="s">
        <v>9</v>
      </c>
      <c r="D8048" s="2" t="s">
        <v>10</v>
      </c>
      <c r="E8048" s="2" t="str">
        <f>HYPERLINK("http://ts.21cn.com/tousu/show/id/1339089","http://ts.21cn.com/tousu/show/id/1339089")</f>
        <v>http://ts.21cn.com/tousu/show/id/1339089</v>
      </c>
      <c r="F8048" s="2" t="s">
        <v>11</v>
      </c>
      <c r="G8048" s="2" t="s">
        <v>28335</v>
      </c>
      <c r="H8048" s="2" t="s">
        <v>28336</v>
      </c>
    </row>
    <row r="8049" spans="1:8" ht="25.05" customHeight="1" x14ac:dyDescent="0.25">
      <c r="A8049" s="2" t="s">
        <v>8</v>
      </c>
      <c r="B8049" s="2" t="str">
        <f>HYPERLINK("http://ts.21cn.com/tousu/show/id/1339085","拍拍贷扣款失败恶意加息")</f>
        <v>拍拍贷扣款失败恶意加息</v>
      </c>
      <c r="C8049" s="2" t="s">
        <v>9</v>
      </c>
      <c r="D8049" s="2" t="s">
        <v>10</v>
      </c>
      <c r="E8049" s="2" t="str">
        <f>HYPERLINK("http://ts.21cn.com/tousu/show/id/1339085","http://ts.21cn.com/tousu/show/id/1339085")</f>
        <v>http://ts.21cn.com/tousu/show/id/1339085</v>
      </c>
      <c r="F8049" s="2" t="s">
        <v>11</v>
      </c>
      <c r="G8049" s="2" t="s">
        <v>28333</v>
      </c>
      <c r="H8049" s="2" t="s">
        <v>28334</v>
      </c>
    </row>
    <row r="8050" spans="1:8" ht="25.05" customHeight="1" x14ac:dyDescent="0.25">
      <c r="A8050" s="2" t="s">
        <v>8</v>
      </c>
      <c r="B8050" s="2" t="str">
        <f>HYPERLINK("http://ts.21cn.com/tousu/show/id/1339090","。玖富万卡高额分期手续费")</f>
        <v>。玖富万卡高额分期手续费</v>
      </c>
      <c r="C8050" s="2" t="s">
        <v>9</v>
      </c>
      <c r="D8050" s="2" t="s">
        <v>10</v>
      </c>
      <c r="E8050" s="2" t="str">
        <f>HYPERLINK("http://ts.21cn.com/tousu/show/id/1339090","http://ts.21cn.com/tousu/show/id/1339090")</f>
        <v>http://ts.21cn.com/tousu/show/id/1339090</v>
      </c>
      <c r="F8050" s="2" t="s">
        <v>11</v>
      </c>
      <c r="G8050" s="2" t="s">
        <v>28331</v>
      </c>
      <c r="H8050" s="2" t="s">
        <v>28332</v>
      </c>
    </row>
    <row r="8051" spans="1:8" ht="25.05" customHeight="1" x14ac:dyDescent="0.25">
      <c r="A8051" s="2" t="s">
        <v>8</v>
      </c>
      <c r="B8051" s="2" t="str">
        <f>HYPERLINK("http://ts.21cn.com/tousu/show/id/1339091","没有经过本人同意扣了296元，打客服电话不接")</f>
        <v>没有经过本人同意扣了296元，打客服电话不接</v>
      </c>
      <c r="C8051" s="2" t="s">
        <v>9</v>
      </c>
      <c r="D8051" s="2" t="s">
        <v>10</v>
      </c>
      <c r="E8051" s="2" t="str">
        <f>HYPERLINK("http://ts.21cn.com/tousu/show/id/1339091","http://ts.21cn.com/tousu/show/id/1339091")</f>
        <v>http://ts.21cn.com/tousu/show/id/1339091</v>
      </c>
      <c r="F8051" s="2" t="s">
        <v>11</v>
      </c>
      <c r="G8051" s="2" t="s">
        <v>28330</v>
      </c>
      <c r="H8051" s="2" t="s">
        <v>25587</v>
      </c>
    </row>
    <row r="8052" spans="1:8" ht="25.05" customHeight="1" x14ac:dyDescent="0.25">
      <c r="A8052" s="2" t="s">
        <v>8</v>
      </c>
      <c r="B8052" s="2" t="str">
        <f>HYPERLINK("http://ts.21cn.com/tousu/show/id/1339092","微博借钱高额利息")</f>
        <v>微博借钱高额利息</v>
      </c>
      <c r="C8052" s="2" t="s">
        <v>9</v>
      </c>
      <c r="D8052" s="2" t="s">
        <v>10</v>
      </c>
      <c r="E8052" s="2" t="str">
        <f>HYPERLINK("http://ts.21cn.com/tousu/show/id/1339092","http://ts.21cn.com/tousu/show/id/1339092")</f>
        <v>http://ts.21cn.com/tousu/show/id/1339092</v>
      </c>
      <c r="F8052" s="2" t="s">
        <v>11</v>
      </c>
      <c r="G8052" s="2" t="s">
        <v>28328</v>
      </c>
      <c r="H8052" s="2" t="s">
        <v>28329</v>
      </c>
    </row>
    <row r="8053" spans="1:8" ht="25.05" customHeight="1" x14ac:dyDescent="0.25">
      <c r="A8053" s="2" t="s">
        <v>8</v>
      </c>
      <c r="B8053" s="2" t="str">
        <f>HYPERLINK("http://ts.21cn.com/tousu/show/id/1339093","违规收取砍头息服务费")</f>
        <v>违规收取砍头息服务费</v>
      </c>
      <c r="C8053" s="2" t="s">
        <v>9</v>
      </c>
      <c r="D8053" s="2" t="s">
        <v>10</v>
      </c>
      <c r="E8053" s="2" t="str">
        <f>HYPERLINK("http://ts.21cn.com/tousu/show/id/1339093","http://ts.21cn.com/tousu/show/id/1339093")</f>
        <v>http://ts.21cn.com/tousu/show/id/1339093</v>
      </c>
      <c r="F8053" s="2" t="s">
        <v>11</v>
      </c>
      <c r="G8053" s="2" t="s">
        <v>28326</v>
      </c>
      <c r="H8053" s="2" t="s">
        <v>28327</v>
      </c>
    </row>
    <row r="8054" spans="1:8" ht="25.05" customHeight="1" x14ac:dyDescent="0.25">
      <c r="A8054" s="2" t="s">
        <v>8</v>
      </c>
      <c r="B8054" s="2" t="str">
        <f>HYPERLINK("http://ts.21cn.com/tousu/show/id/1339094","去哪儿网与上海航空勾结")</f>
        <v>去哪儿网与上海航空勾结</v>
      </c>
      <c r="C8054" s="2" t="s">
        <v>9</v>
      </c>
      <c r="D8054" s="2" t="s">
        <v>10</v>
      </c>
      <c r="E8054" s="2" t="str">
        <f>HYPERLINK("http://ts.21cn.com/tousu/show/id/1339094","http://ts.21cn.com/tousu/show/id/1339094")</f>
        <v>http://ts.21cn.com/tousu/show/id/1339094</v>
      </c>
      <c r="F8054" s="2" t="s">
        <v>11</v>
      </c>
      <c r="G8054" s="2" t="s">
        <v>28324</v>
      </c>
      <c r="H8054" s="2" t="s">
        <v>28325</v>
      </c>
    </row>
    <row r="8055" spans="1:8" ht="25.05" customHeight="1" x14ac:dyDescent="0.25">
      <c r="A8055" s="2" t="s">
        <v>8</v>
      </c>
      <c r="B8055" s="2" t="str">
        <f>HYPERLINK("http://ts.21cn.com/tousu/show/id/1339096","卡分期直接扣钱毫无作为")</f>
        <v>卡分期直接扣钱毫无作为</v>
      </c>
      <c r="C8055" s="2" t="s">
        <v>9</v>
      </c>
      <c r="D8055" s="2" t="s">
        <v>10</v>
      </c>
      <c r="E8055" s="2" t="str">
        <f>HYPERLINK("http://ts.21cn.com/tousu/show/id/1339096","http://ts.21cn.com/tousu/show/id/1339096")</f>
        <v>http://ts.21cn.com/tousu/show/id/1339096</v>
      </c>
      <c r="F8055" s="2" t="s">
        <v>11</v>
      </c>
      <c r="G8055" s="2" t="s">
        <v>28322</v>
      </c>
      <c r="H8055" s="2" t="s">
        <v>28323</v>
      </c>
    </row>
    <row r="8056" spans="1:8" ht="25.05" customHeight="1" x14ac:dyDescent="0.25">
      <c r="A8056" s="2" t="s">
        <v>8</v>
      </c>
      <c r="B8056" s="2" t="str">
        <f>HYPERLINK("http://ts.21cn.com/tousu/show/id/1339097","哈啰单车调度费")</f>
        <v>哈啰单车调度费</v>
      </c>
      <c r="C8056" s="2" t="s">
        <v>9</v>
      </c>
      <c r="D8056" s="2" t="s">
        <v>10</v>
      </c>
      <c r="E8056" s="2" t="str">
        <f>HYPERLINK("http://ts.21cn.com/tousu/show/id/1339097","http://ts.21cn.com/tousu/show/id/1339097")</f>
        <v>http://ts.21cn.com/tousu/show/id/1339097</v>
      </c>
      <c r="F8056" s="2" t="s">
        <v>11</v>
      </c>
      <c r="G8056" s="2" t="s">
        <v>28320</v>
      </c>
      <c r="H8056" s="2" t="s">
        <v>28321</v>
      </c>
    </row>
    <row r="8057" spans="1:8" ht="25.05" customHeight="1" x14ac:dyDescent="0.25">
      <c r="A8057" s="2" t="s">
        <v>8</v>
      </c>
      <c r="B8057" s="2" t="str">
        <f>HYPERLINK("http://ts.21cn.com/tousu/show/id/1339098","中国联通为第三方非法平台提供充值渠道")</f>
        <v>中国联通为第三方非法平台提供充值渠道</v>
      </c>
      <c r="C8057" s="2" t="s">
        <v>9</v>
      </c>
      <c r="D8057" s="2" t="s">
        <v>10</v>
      </c>
      <c r="E8057" s="2" t="str">
        <f>HYPERLINK("http://ts.21cn.com/tousu/show/id/1339098","http://ts.21cn.com/tousu/show/id/1339098")</f>
        <v>http://ts.21cn.com/tousu/show/id/1339098</v>
      </c>
      <c r="F8057" s="2" t="s">
        <v>11</v>
      </c>
      <c r="G8057" s="2" t="s">
        <v>28318</v>
      </c>
      <c r="H8057" s="2" t="s">
        <v>28319</v>
      </c>
    </row>
    <row r="8058" spans="1:8" ht="25.05" customHeight="1" x14ac:dyDescent="0.25">
      <c r="A8058" s="2" t="s">
        <v>8</v>
      </c>
      <c r="B8058" s="2" t="str">
        <f>HYPERLINK("http://ts.21cn.com/tousu/show/id/1339101","钱伴高利贷，提前还款，只用了一个月就收取了所有所有利息，超过百分之36")</f>
        <v>钱伴高利贷，提前还款，只用了一个月就收取了所有所有利息，超过百分之36</v>
      </c>
      <c r="C8058" s="2" t="s">
        <v>9</v>
      </c>
      <c r="D8058" s="2" t="s">
        <v>10</v>
      </c>
      <c r="E8058" s="2" t="str">
        <f>HYPERLINK("http://ts.21cn.com/tousu/show/id/1339101","http://ts.21cn.com/tousu/show/id/1339101")</f>
        <v>http://ts.21cn.com/tousu/show/id/1339101</v>
      </c>
      <c r="F8058" s="2" t="s">
        <v>11</v>
      </c>
      <c r="G8058" s="2" t="s">
        <v>28316</v>
      </c>
      <c r="H8058" s="2" t="s">
        <v>28317</v>
      </c>
    </row>
    <row r="8059" spans="1:8" ht="25.05" customHeight="1" x14ac:dyDescent="0.25">
      <c r="A8059" s="2" t="s">
        <v>8</v>
      </c>
      <c r="B8059" s="2" t="str">
        <f>HYPERLINK("http://ts.21cn.com/tousu/show/id/1339100","贷上钱现控达人")</f>
        <v>贷上钱现控达人</v>
      </c>
      <c r="C8059" s="2" t="s">
        <v>34</v>
      </c>
      <c r="D8059" s="2" t="s">
        <v>10</v>
      </c>
      <c r="E8059" s="2" t="str">
        <f>HYPERLINK("http://ts.21cn.com/tousu/show/id/1339100","http://ts.21cn.com/tousu/show/id/1339100")</f>
        <v>http://ts.21cn.com/tousu/show/id/1339100</v>
      </c>
      <c r="F8059" s="2" t="s">
        <v>11</v>
      </c>
      <c r="G8059" s="2" t="s">
        <v>28314</v>
      </c>
      <c r="H8059" s="2" t="s">
        <v>28315</v>
      </c>
    </row>
    <row r="8060" spans="1:8" ht="25.05" customHeight="1" x14ac:dyDescent="0.25">
      <c r="A8060" s="2" t="s">
        <v>8</v>
      </c>
      <c r="B8060" s="2" t="str">
        <f>HYPERLINK("http://ts.21cn.com/tousu/show/id/1339102","分期乐利息太高，还不起")</f>
        <v>分期乐利息太高，还不起</v>
      </c>
      <c r="C8060" s="2" t="s">
        <v>9</v>
      </c>
      <c r="D8060" s="2" t="s">
        <v>10</v>
      </c>
      <c r="E8060" s="2" t="str">
        <f>HYPERLINK("http://ts.21cn.com/tousu/show/id/1339102","http://ts.21cn.com/tousu/show/id/1339102")</f>
        <v>http://ts.21cn.com/tousu/show/id/1339102</v>
      </c>
      <c r="F8060" s="2" t="s">
        <v>11</v>
      </c>
      <c r="G8060" s="2" t="s">
        <v>28312</v>
      </c>
      <c r="H8060" s="2" t="s">
        <v>28313</v>
      </c>
    </row>
    <row r="8061" spans="1:8" ht="25.05" customHeight="1" x14ac:dyDescent="0.25">
      <c r="A8061" s="2" t="s">
        <v>8</v>
      </c>
      <c r="B8061" s="2" t="str">
        <f>HYPERLINK("http://ts.21cn.com/tousu/show/id/1339099","自由魔卡信用计划变相砍头息")</f>
        <v>自由魔卡信用计划变相砍头息</v>
      </c>
      <c r="C8061" s="2" t="s">
        <v>9</v>
      </c>
      <c r="D8061" s="2" t="s">
        <v>10</v>
      </c>
      <c r="E8061" s="2" t="str">
        <f>HYPERLINK("http://ts.21cn.com/tousu/show/id/1339099","http://ts.21cn.com/tousu/show/id/1339099")</f>
        <v>http://ts.21cn.com/tousu/show/id/1339099</v>
      </c>
      <c r="F8061" s="2" t="s">
        <v>11</v>
      </c>
      <c r="G8061" s="2" t="s">
        <v>28310</v>
      </c>
      <c r="H8061" s="2" t="s">
        <v>28311</v>
      </c>
    </row>
    <row r="8062" spans="1:8" ht="25.05" customHeight="1" x14ac:dyDescent="0.25">
      <c r="A8062" s="2" t="s">
        <v>8</v>
      </c>
      <c r="B8062" s="2" t="str">
        <f>HYPERLINK("http://ts.21cn.com/tousu/show/id/1339103","拇指贷款恶意扣款不退钱")</f>
        <v>拇指贷款恶意扣款不退钱</v>
      </c>
      <c r="C8062" s="2" t="s">
        <v>9</v>
      </c>
      <c r="D8062" s="2" t="s">
        <v>10</v>
      </c>
      <c r="E8062" s="2" t="str">
        <f>HYPERLINK("http://ts.21cn.com/tousu/show/id/1339103","http://ts.21cn.com/tousu/show/id/1339103")</f>
        <v>http://ts.21cn.com/tousu/show/id/1339103</v>
      </c>
      <c r="F8062" s="2" t="s">
        <v>11</v>
      </c>
      <c r="G8062" s="2" t="s">
        <v>28308</v>
      </c>
      <c r="H8062" s="2" t="s">
        <v>28309</v>
      </c>
    </row>
    <row r="8063" spans="1:8" ht="25.05" customHeight="1" x14ac:dyDescent="0.25">
      <c r="A8063" s="2" t="s">
        <v>8</v>
      </c>
      <c r="B8063" s="2" t="str">
        <f>HYPERLINK("http://ts.21cn.com/tousu/show/id/1339104","拍拍贷不扣款高额逾期费")</f>
        <v>拍拍贷不扣款高额逾期费</v>
      </c>
      <c r="C8063" s="2" t="s">
        <v>34</v>
      </c>
      <c r="D8063" s="2" t="s">
        <v>10</v>
      </c>
      <c r="E8063" s="2" t="str">
        <f>HYPERLINK("http://ts.21cn.com/tousu/show/id/1339104","http://ts.21cn.com/tousu/show/id/1339104")</f>
        <v>http://ts.21cn.com/tousu/show/id/1339104</v>
      </c>
      <c r="F8063" s="2" t="s">
        <v>11</v>
      </c>
      <c r="G8063" s="2" t="s">
        <v>28306</v>
      </c>
      <c r="H8063" s="2" t="s">
        <v>28307</v>
      </c>
    </row>
    <row r="8064" spans="1:8" ht="25.05" customHeight="1" x14ac:dyDescent="0.25">
      <c r="A8064" s="2" t="s">
        <v>8</v>
      </c>
      <c r="B8064" s="2" t="str">
        <f>HYPERLINK("http://ts.21cn.com/tousu/show/id/1339105","名校贷咨询费不退还")</f>
        <v>名校贷咨询费不退还</v>
      </c>
      <c r="C8064" s="2" t="s">
        <v>9</v>
      </c>
      <c r="D8064" s="2" t="s">
        <v>10</v>
      </c>
      <c r="E8064" s="2" t="str">
        <f>HYPERLINK("http://ts.21cn.com/tousu/show/id/1339105","http://ts.21cn.com/tousu/show/id/1339105")</f>
        <v>http://ts.21cn.com/tousu/show/id/1339105</v>
      </c>
      <c r="F8064" s="2" t="s">
        <v>11</v>
      </c>
      <c r="G8064" s="2" t="s">
        <v>28304</v>
      </c>
      <c r="H8064" s="2" t="s">
        <v>28305</v>
      </c>
    </row>
    <row r="8065" spans="1:8" ht="25.05" customHeight="1" x14ac:dyDescent="0.25">
      <c r="A8065" s="2" t="s">
        <v>8</v>
      </c>
      <c r="B8065" s="2" t="str">
        <f>HYPERLINK("http://ts.21cn.com/tousu/show/id/1339106","拍拍贷系统原因，导致逾期")</f>
        <v>拍拍贷系统原因，导致逾期</v>
      </c>
      <c r="C8065" s="2" t="s">
        <v>9</v>
      </c>
      <c r="D8065" s="2" t="s">
        <v>10</v>
      </c>
      <c r="E8065" s="2" t="str">
        <f>HYPERLINK("http://ts.21cn.com/tousu/show/id/1339106","http://ts.21cn.com/tousu/show/id/1339106")</f>
        <v>http://ts.21cn.com/tousu/show/id/1339106</v>
      </c>
      <c r="F8065" s="2" t="s">
        <v>11</v>
      </c>
      <c r="G8065" s="2" t="s">
        <v>28302</v>
      </c>
      <c r="H8065" s="2" t="s">
        <v>28303</v>
      </c>
    </row>
    <row r="8066" spans="1:8" ht="25.05" customHeight="1" x14ac:dyDescent="0.25">
      <c r="A8066" s="2" t="s">
        <v>8</v>
      </c>
      <c r="B8066" s="2" t="str">
        <f>HYPERLINK("http://ts.21cn.com/tousu/show/id/1339107","退款")</f>
        <v>退款</v>
      </c>
      <c r="C8066" s="2" t="s">
        <v>9</v>
      </c>
      <c r="D8066" s="2" t="s">
        <v>10</v>
      </c>
      <c r="E8066" s="2" t="str">
        <f>HYPERLINK("http://ts.21cn.com/tousu/show/id/1339107","http://ts.21cn.com/tousu/show/id/1339107")</f>
        <v>http://ts.21cn.com/tousu/show/id/1339107</v>
      </c>
      <c r="F8066" s="2" t="s">
        <v>11</v>
      </c>
      <c r="G8066" s="2" t="s">
        <v>28300</v>
      </c>
      <c r="H8066" s="2" t="s">
        <v>28301</v>
      </c>
    </row>
    <row r="8067" spans="1:8" ht="25.05" customHeight="1" x14ac:dyDescent="0.25">
      <c r="A8067" s="2" t="s">
        <v>8</v>
      </c>
      <c r="B8067" s="2" t="str">
        <f>HYPERLINK("http://ts.21cn.com/tousu/show/id/1339108","拍拍贷爆通讯录")</f>
        <v>拍拍贷爆通讯录</v>
      </c>
      <c r="C8067" s="2" t="s">
        <v>9</v>
      </c>
      <c r="D8067" s="2" t="s">
        <v>10</v>
      </c>
      <c r="E8067" s="2" t="str">
        <f>HYPERLINK("http://ts.21cn.com/tousu/show/id/1339108","http://ts.21cn.com/tousu/show/id/1339108")</f>
        <v>http://ts.21cn.com/tousu/show/id/1339108</v>
      </c>
      <c r="F8067" s="2" t="s">
        <v>11</v>
      </c>
      <c r="G8067" s="2" t="s">
        <v>28298</v>
      </c>
      <c r="H8067" s="2" t="s">
        <v>28299</v>
      </c>
    </row>
    <row r="8068" spans="1:8" ht="25.05" customHeight="1" x14ac:dyDescent="0.25">
      <c r="A8068" s="2" t="s">
        <v>8</v>
      </c>
      <c r="B8068" s="2" t="str">
        <f>HYPERLINK("http://ts.21cn.com/tousu/show/id/1339109","招联金融暴力催收，违法泄露个人信息")</f>
        <v>招联金融暴力催收，违法泄露个人信息</v>
      </c>
      <c r="C8068" s="2" t="s">
        <v>9</v>
      </c>
      <c r="D8068" s="2" t="s">
        <v>10</v>
      </c>
      <c r="E8068" s="2" t="str">
        <f>HYPERLINK("http://ts.21cn.com/tousu/show/id/1339109","http://ts.21cn.com/tousu/show/id/1339109")</f>
        <v>http://ts.21cn.com/tousu/show/id/1339109</v>
      </c>
      <c r="F8068" s="2" t="s">
        <v>11</v>
      </c>
      <c r="G8068" s="2" t="s">
        <v>28296</v>
      </c>
      <c r="H8068" s="2" t="s">
        <v>28297</v>
      </c>
    </row>
    <row r="8069" spans="1:8" ht="25.05" customHeight="1" x14ac:dyDescent="0.25">
      <c r="A8069" s="2" t="s">
        <v>8</v>
      </c>
      <c r="B8069" s="2" t="str">
        <f>HYPERLINK("http://ts.21cn.com/tousu/show/id/1339111","闪电借款")</f>
        <v>闪电借款</v>
      </c>
      <c r="C8069" s="2" t="s">
        <v>34</v>
      </c>
      <c r="D8069" s="2" t="s">
        <v>10</v>
      </c>
      <c r="E8069" s="2" t="str">
        <f>HYPERLINK("http://ts.21cn.com/tousu/show/id/1339111","http://ts.21cn.com/tousu/show/id/1339111")</f>
        <v>http://ts.21cn.com/tousu/show/id/1339111</v>
      </c>
      <c r="F8069" s="2" t="s">
        <v>11</v>
      </c>
      <c r="G8069" s="2" t="s">
        <v>28294</v>
      </c>
      <c r="H8069" s="2" t="s">
        <v>28295</v>
      </c>
    </row>
    <row r="8070" spans="1:8" ht="25.05" customHeight="1" x14ac:dyDescent="0.25">
      <c r="A8070" s="2" t="s">
        <v>8</v>
      </c>
      <c r="B8070" s="2" t="str">
        <f>HYPERLINK("http://ts.21cn.com/tousu/show/id/1339112","来分期一直电话催收，短信催收，额度突然没有，暴力解决")</f>
        <v>来分期一直电话催收，短信催收，额度突然没有，暴力解决</v>
      </c>
      <c r="C8070" s="2" t="s">
        <v>9</v>
      </c>
      <c r="D8070" s="2" t="s">
        <v>10</v>
      </c>
      <c r="E8070" s="2" t="str">
        <f>HYPERLINK("http://ts.21cn.com/tousu/show/id/1339112","http://ts.21cn.com/tousu/show/id/1339112")</f>
        <v>http://ts.21cn.com/tousu/show/id/1339112</v>
      </c>
      <c r="F8070" s="2" t="s">
        <v>11</v>
      </c>
      <c r="G8070" s="2" t="s">
        <v>28292</v>
      </c>
      <c r="H8070" s="2" t="s">
        <v>28293</v>
      </c>
    </row>
    <row r="8071" spans="1:8" ht="25.05" customHeight="1" x14ac:dyDescent="0.25">
      <c r="A8071" s="2" t="s">
        <v>8</v>
      </c>
      <c r="B8071" s="2" t="str">
        <f>HYPERLINK("http://ts.21cn.com/tousu/show/id/1339113","请浦发银行给条活路")</f>
        <v>请浦发银行给条活路</v>
      </c>
      <c r="C8071" s="2" t="s">
        <v>9</v>
      </c>
      <c r="D8071" s="2" t="s">
        <v>10</v>
      </c>
      <c r="E8071" s="2" t="str">
        <f>HYPERLINK("http://ts.21cn.com/tousu/show/id/1339113","http://ts.21cn.com/tousu/show/id/1339113")</f>
        <v>http://ts.21cn.com/tousu/show/id/1339113</v>
      </c>
      <c r="F8071" s="2" t="s">
        <v>11</v>
      </c>
      <c r="G8071" s="2" t="s">
        <v>28290</v>
      </c>
      <c r="H8071" s="2" t="s">
        <v>28291</v>
      </c>
    </row>
    <row r="8072" spans="1:8" ht="25.05" customHeight="1" x14ac:dyDescent="0.25">
      <c r="A8072" s="2" t="s">
        <v>8</v>
      </c>
      <c r="B8072" s="2" t="str">
        <f>HYPERLINK("http://ts.21cn.com/tousu/show/id/1339114","涉及传销且虚假宣传误导消费")</f>
        <v>涉及传销且虚假宣传误导消费</v>
      </c>
      <c r="C8072" s="2" t="s">
        <v>9</v>
      </c>
      <c r="D8072" s="2" t="s">
        <v>10</v>
      </c>
      <c r="E8072" s="2" t="str">
        <f>HYPERLINK("http://ts.21cn.com/tousu/show/id/1339114","http://ts.21cn.com/tousu/show/id/1339114")</f>
        <v>http://ts.21cn.com/tousu/show/id/1339114</v>
      </c>
      <c r="F8072" s="2" t="s">
        <v>11</v>
      </c>
      <c r="G8072" s="2" t="s">
        <v>28288</v>
      </c>
      <c r="H8072" s="2" t="s">
        <v>28289</v>
      </c>
    </row>
    <row r="8073" spans="1:8" ht="25.05" customHeight="1" x14ac:dyDescent="0.25">
      <c r="A8073" s="2" t="s">
        <v>8</v>
      </c>
      <c r="B8073" s="2" t="str">
        <f>HYPERLINK("http://ts.21cn.com/tousu/show/id/1339115","不经过同意私自扣费")</f>
        <v>不经过同意私自扣费</v>
      </c>
      <c r="C8073" s="2" t="s">
        <v>9</v>
      </c>
      <c r="D8073" s="2" t="s">
        <v>10</v>
      </c>
      <c r="E8073" s="2" t="str">
        <f>HYPERLINK("http://ts.21cn.com/tousu/show/id/1339115","http://ts.21cn.com/tousu/show/id/1339115")</f>
        <v>http://ts.21cn.com/tousu/show/id/1339115</v>
      </c>
      <c r="F8073" s="2" t="s">
        <v>11</v>
      </c>
      <c r="G8073" s="2" t="s">
        <v>28286</v>
      </c>
      <c r="H8073" s="2" t="s">
        <v>28287</v>
      </c>
    </row>
    <row r="8074" spans="1:8" ht="25.05" customHeight="1" x14ac:dyDescent="0.25">
      <c r="A8074" s="2" t="s">
        <v>8</v>
      </c>
      <c r="B8074" s="2" t="str">
        <f>HYPERLINK("http://ts.21cn.com/tousu/show/id/1339116","钱站高利贷阳合同")</f>
        <v>钱站高利贷阳合同</v>
      </c>
      <c r="C8074" s="2" t="s">
        <v>9</v>
      </c>
      <c r="D8074" s="2" t="s">
        <v>10</v>
      </c>
      <c r="E8074" s="2" t="str">
        <f>HYPERLINK("http://ts.21cn.com/tousu/show/id/1339116","http://ts.21cn.com/tousu/show/id/1339116")</f>
        <v>http://ts.21cn.com/tousu/show/id/1339116</v>
      </c>
      <c r="F8074" s="2" t="s">
        <v>11</v>
      </c>
      <c r="G8074" s="2" t="s">
        <v>28284</v>
      </c>
      <c r="H8074" s="2" t="s">
        <v>28285</v>
      </c>
    </row>
    <row r="8075" spans="1:8" ht="25.05" customHeight="1" x14ac:dyDescent="0.25">
      <c r="A8075" s="2" t="s">
        <v>8</v>
      </c>
      <c r="B8075" s="2" t="str">
        <f>HYPERLINK("http://ts.21cn.com/tousu/show/id/1339118","愿意重新计算利息重新分24期")</f>
        <v>愿意重新计算利息重新分24期</v>
      </c>
      <c r="C8075" s="2" t="s">
        <v>9</v>
      </c>
      <c r="D8075" s="2" t="s">
        <v>10</v>
      </c>
      <c r="E8075" s="2" t="str">
        <f>HYPERLINK("http://ts.21cn.com/tousu/show/id/1339118","http://ts.21cn.com/tousu/show/id/1339118")</f>
        <v>http://ts.21cn.com/tousu/show/id/1339118</v>
      </c>
      <c r="F8075" s="2" t="s">
        <v>11</v>
      </c>
      <c r="G8075" s="2" t="s">
        <v>28282</v>
      </c>
      <c r="H8075" s="2" t="s">
        <v>28283</v>
      </c>
    </row>
    <row r="8076" spans="1:8" ht="25.05" customHeight="1" x14ac:dyDescent="0.25">
      <c r="A8076" s="2" t="s">
        <v>8</v>
      </c>
      <c r="B8076" s="2" t="str">
        <f>HYPERLINK("http://ts.21cn.com/tousu/show/id/1339119","西部航空乱收费")</f>
        <v>西部航空乱收费</v>
      </c>
      <c r="C8076" s="2" t="s">
        <v>9</v>
      </c>
      <c r="D8076" s="2" t="s">
        <v>10</v>
      </c>
      <c r="E8076" s="2" t="str">
        <f>HYPERLINK("http://ts.21cn.com/tousu/show/id/1339119","http://ts.21cn.com/tousu/show/id/1339119")</f>
        <v>http://ts.21cn.com/tousu/show/id/1339119</v>
      </c>
      <c r="F8076" s="2" t="s">
        <v>11</v>
      </c>
      <c r="G8076" s="2" t="s">
        <v>28280</v>
      </c>
      <c r="H8076" s="2" t="s">
        <v>28281</v>
      </c>
    </row>
    <row r="8077" spans="1:8" ht="25.05" customHeight="1" x14ac:dyDescent="0.25">
      <c r="A8077" s="2" t="s">
        <v>8</v>
      </c>
      <c r="B8077" s="2" t="str">
        <f>HYPERLINK("http://ts.21cn.com/tousu/show/id/1339122","小影app自动扣费的流氓问题")</f>
        <v>小影app自动扣费的流氓问题</v>
      </c>
      <c r="C8077" s="2" t="s">
        <v>34</v>
      </c>
      <c r="D8077" s="2" t="s">
        <v>10</v>
      </c>
      <c r="E8077" s="2" t="str">
        <f>HYPERLINK("http://ts.21cn.com/tousu/show/id/1339122","http://ts.21cn.com/tousu/show/id/1339122")</f>
        <v>http://ts.21cn.com/tousu/show/id/1339122</v>
      </c>
      <c r="F8077" s="2" t="s">
        <v>11</v>
      </c>
      <c r="G8077" s="2" t="s">
        <v>28278</v>
      </c>
      <c r="H8077" s="2" t="s">
        <v>28279</v>
      </c>
    </row>
    <row r="8078" spans="1:8" ht="25.05" customHeight="1" x14ac:dyDescent="0.25">
      <c r="A8078" s="2" t="s">
        <v>8</v>
      </c>
      <c r="B8078" s="2" t="str">
        <f>HYPERLINK("http://ts.21cn.com/tousu/show/id/1339123","催收和起诉问题")</f>
        <v>催收和起诉问题</v>
      </c>
      <c r="C8078" s="2" t="s">
        <v>9</v>
      </c>
      <c r="D8078" s="2" t="s">
        <v>10</v>
      </c>
      <c r="E8078" s="2" t="str">
        <f>HYPERLINK("http://ts.21cn.com/tousu/show/id/1339123","http://ts.21cn.com/tousu/show/id/1339123")</f>
        <v>http://ts.21cn.com/tousu/show/id/1339123</v>
      </c>
      <c r="F8078" s="2" t="s">
        <v>11</v>
      </c>
      <c r="G8078" s="2" t="s">
        <v>28276</v>
      </c>
      <c r="H8078" s="2" t="s">
        <v>28277</v>
      </c>
    </row>
    <row r="8079" spans="1:8" ht="25.05" customHeight="1" x14ac:dyDescent="0.25">
      <c r="A8079" s="2" t="s">
        <v>8</v>
      </c>
      <c r="B8079" s="2" t="str">
        <f>HYPERLINK("http://ts.21cn.com/tousu/show/id/1339124","小黑鲨砍头利息太高")</f>
        <v>小黑鲨砍头利息太高</v>
      </c>
      <c r="C8079" s="2" t="s">
        <v>9</v>
      </c>
      <c r="D8079" s="2" t="s">
        <v>10</v>
      </c>
      <c r="E8079" s="2" t="str">
        <f>HYPERLINK("http://ts.21cn.com/tousu/show/id/1339124","http://ts.21cn.com/tousu/show/id/1339124")</f>
        <v>http://ts.21cn.com/tousu/show/id/1339124</v>
      </c>
      <c r="F8079" s="2" t="s">
        <v>11</v>
      </c>
      <c r="G8079" s="2" t="s">
        <v>28274</v>
      </c>
      <c r="H8079" s="2" t="s">
        <v>28275</v>
      </c>
    </row>
    <row r="8080" spans="1:8" ht="25.05" customHeight="1" x14ac:dyDescent="0.25">
      <c r="A8080" s="2" t="s">
        <v>8</v>
      </c>
      <c r="B8080" s="2" t="str">
        <f>HYPERLINK("http://ts.21cn.com/tousu/show/id/1339125","凡普信贷总打骚扰电话")</f>
        <v>凡普信贷总打骚扰电话</v>
      </c>
      <c r="C8080" s="2" t="s">
        <v>9</v>
      </c>
      <c r="D8080" s="2" t="s">
        <v>10</v>
      </c>
      <c r="E8080" s="2" t="str">
        <f>HYPERLINK("http://ts.21cn.com/tousu/show/id/1339125","http://ts.21cn.com/tousu/show/id/1339125")</f>
        <v>http://ts.21cn.com/tousu/show/id/1339125</v>
      </c>
      <c r="F8080" s="2" t="s">
        <v>11</v>
      </c>
      <c r="G8080" s="2" t="s">
        <v>28272</v>
      </c>
      <c r="H8080" s="2" t="s">
        <v>28273</v>
      </c>
    </row>
    <row r="8081" spans="1:8" ht="25.05" customHeight="1" x14ac:dyDescent="0.25">
      <c r="A8081" s="2" t="s">
        <v>8</v>
      </c>
      <c r="B8081" s="2" t="str">
        <f>HYPERLINK("http://ts.21cn.com/tousu/show/id/1339126","拼多多商户涉嫌为博彩黑平台收款")</f>
        <v>拼多多商户涉嫌为博彩黑平台收款</v>
      </c>
      <c r="C8081" s="2" t="s">
        <v>9</v>
      </c>
      <c r="D8081" s="2" t="s">
        <v>10</v>
      </c>
      <c r="E8081" s="2" t="str">
        <f>HYPERLINK("http://ts.21cn.com/tousu/show/id/1339126","http://ts.21cn.com/tousu/show/id/1339126")</f>
        <v>http://ts.21cn.com/tousu/show/id/1339126</v>
      </c>
      <c r="F8081" s="2" t="s">
        <v>11</v>
      </c>
      <c r="G8081" s="2" t="s">
        <v>28270</v>
      </c>
      <c r="H8081" s="2" t="s">
        <v>28271</v>
      </c>
    </row>
    <row r="8082" spans="1:8" ht="25.05" customHeight="1" x14ac:dyDescent="0.25">
      <c r="A8082" s="2" t="s">
        <v>8</v>
      </c>
      <c r="B8082" s="2" t="str">
        <f>HYPERLINK("http://ts.21cn.com/tousu/show/id/1339127","光大银行贷款狂爆通讯录")</f>
        <v>光大银行贷款狂爆通讯录</v>
      </c>
      <c r="C8082" s="2" t="s">
        <v>9</v>
      </c>
      <c r="D8082" s="2" t="s">
        <v>10</v>
      </c>
      <c r="E8082" s="2" t="str">
        <f>HYPERLINK("http://ts.21cn.com/tousu/show/id/1339127","http://ts.21cn.com/tousu/show/id/1339127")</f>
        <v>http://ts.21cn.com/tousu/show/id/1339127</v>
      </c>
      <c r="F8082" s="2" t="s">
        <v>11</v>
      </c>
      <c r="G8082" s="2" t="s">
        <v>28268</v>
      </c>
      <c r="H8082" s="2" t="s">
        <v>28269</v>
      </c>
    </row>
    <row r="8083" spans="1:8" ht="25.05" customHeight="1" x14ac:dyDescent="0.25">
      <c r="A8083" s="2" t="s">
        <v>8</v>
      </c>
      <c r="B8083" s="2" t="str">
        <f>HYPERLINK("http://ts.21cn.com/tousu/show/id/1339128","京东金条协商不成")</f>
        <v>京东金条协商不成</v>
      </c>
      <c r="C8083" s="2" t="s">
        <v>9</v>
      </c>
      <c r="D8083" s="2" t="s">
        <v>10</v>
      </c>
      <c r="E8083" s="2" t="str">
        <f>HYPERLINK("http://ts.21cn.com/tousu/show/id/1339128","http://ts.21cn.com/tousu/show/id/1339128")</f>
        <v>http://ts.21cn.com/tousu/show/id/1339128</v>
      </c>
      <c r="F8083" s="2" t="s">
        <v>11</v>
      </c>
      <c r="G8083" s="2" t="s">
        <v>28266</v>
      </c>
      <c r="H8083" s="2" t="s">
        <v>28267</v>
      </c>
    </row>
    <row r="8084" spans="1:8" ht="25.05" customHeight="1" x14ac:dyDescent="0.25">
      <c r="A8084" s="2" t="s">
        <v>8</v>
      </c>
      <c r="B8084" s="2" t="str">
        <f>HYPERLINK("http://ts.21cn.com/tousu/show/id/1339129","空调外机很大声响，连墙也振动，振动的固定架螺丝也松动")</f>
        <v>空调外机很大声响，连墙也振动，振动的固定架螺丝也松动</v>
      </c>
      <c r="C8084" s="2" t="s">
        <v>9</v>
      </c>
      <c r="D8084" s="2" t="s">
        <v>10</v>
      </c>
      <c r="E8084" s="2" t="str">
        <f>HYPERLINK("http://ts.21cn.com/tousu/show/id/1339129","http://ts.21cn.com/tousu/show/id/1339129")</f>
        <v>http://ts.21cn.com/tousu/show/id/1339129</v>
      </c>
      <c r="F8084" s="2" t="s">
        <v>11</v>
      </c>
      <c r="G8084" s="2" t="s">
        <v>28264</v>
      </c>
      <c r="H8084" s="2" t="s">
        <v>28265</v>
      </c>
    </row>
    <row r="8085" spans="1:8" ht="25.05" customHeight="1" x14ac:dyDescent="0.25">
      <c r="A8085" s="2" t="s">
        <v>8</v>
      </c>
      <c r="B8085" s="2" t="str">
        <f>HYPERLINK("http://ts.21cn.com/tousu/show/id/1338289","平台私自扣钱")</f>
        <v>平台私自扣钱</v>
      </c>
      <c r="C8085" s="2" t="s">
        <v>9</v>
      </c>
      <c r="D8085" s="2" t="s">
        <v>10</v>
      </c>
      <c r="E8085" s="2" t="str">
        <f>HYPERLINK("http://ts.21cn.com/tousu/show/id/1338289","http://ts.21cn.com/tousu/show/id/1338289")</f>
        <v>http://ts.21cn.com/tousu/show/id/1338289</v>
      </c>
      <c r="F8085" s="2" t="s">
        <v>11</v>
      </c>
      <c r="G8085" s="2" t="s">
        <v>28262</v>
      </c>
      <c r="H8085" s="2" t="s">
        <v>28263</v>
      </c>
    </row>
    <row r="8086" spans="1:8" ht="25.05" customHeight="1" x14ac:dyDescent="0.25">
      <c r="A8086" s="2" t="s">
        <v>8</v>
      </c>
      <c r="B8086" s="2" t="str">
        <f>HYPERLINK("http://ts.21cn.com/tousu/show/id/1339130","恶意扣除奖励")</f>
        <v>恶意扣除奖励</v>
      </c>
      <c r="C8086" s="2" t="s">
        <v>9</v>
      </c>
      <c r="D8086" s="2" t="s">
        <v>10</v>
      </c>
      <c r="E8086" s="2" t="str">
        <f>HYPERLINK("http://ts.21cn.com/tousu/show/id/1339130","http://ts.21cn.com/tousu/show/id/1339130")</f>
        <v>http://ts.21cn.com/tousu/show/id/1339130</v>
      </c>
      <c r="F8086" s="2" t="s">
        <v>11</v>
      </c>
      <c r="G8086" s="2" t="s">
        <v>28260</v>
      </c>
      <c r="H8086" s="2" t="s">
        <v>28261</v>
      </c>
    </row>
    <row r="8087" spans="1:8" ht="25.05" customHeight="1" x14ac:dyDescent="0.25">
      <c r="A8087" s="2" t="s">
        <v>8</v>
      </c>
      <c r="B8087" s="2" t="str">
        <f>HYPERLINK("http://ts.21cn.com/tousu/show/id/1338863","购分期贷款app会员费")</f>
        <v>购分期贷款app会员费</v>
      </c>
      <c r="C8087" s="2" t="s">
        <v>34</v>
      </c>
      <c r="D8087" s="2" t="s">
        <v>10</v>
      </c>
      <c r="E8087" s="2" t="str">
        <f>HYPERLINK("http://ts.21cn.com/tousu/show/id/1338863","http://ts.21cn.com/tousu/show/id/1338863")</f>
        <v>http://ts.21cn.com/tousu/show/id/1338863</v>
      </c>
      <c r="F8087" s="2" t="s">
        <v>11</v>
      </c>
      <c r="G8087" s="2" t="s">
        <v>28258</v>
      </c>
      <c r="H8087" s="2" t="s">
        <v>28259</v>
      </c>
    </row>
    <row r="8088" spans="1:8" ht="25.05" customHeight="1" x14ac:dyDescent="0.25">
      <c r="A8088" s="2" t="s">
        <v>8</v>
      </c>
      <c r="B8088" s="2" t="str">
        <f>HYPERLINK("http://ts.21cn.com/tousu/show/id/1339131","钱站高利贷阴阳合同")</f>
        <v>钱站高利贷阴阳合同</v>
      </c>
      <c r="C8088" s="2" t="s">
        <v>9</v>
      </c>
      <c r="D8088" s="2" t="s">
        <v>10</v>
      </c>
      <c r="E8088" s="2" t="str">
        <f>HYPERLINK("http://ts.21cn.com/tousu/show/id/1339131","http://ts.21cn.com/tousu/show/id/1339131")</f>
        <v>http://ts.21cn.com/tousu/show/id/1339131</v>
      </c>
      <c r="F8088" s="2" t="s">
        <v>11</v>
      </c>
      <c r="G8088" s="2" t="s">
        <v>28256</v>
      </c>
      <c r="H8088" s="2" t="s">
        <v>28257</v>
      </c>
    </row>
    <row r="8089" spans="1:8" ht="25.05" customHeight="1" x14ac:dyDescent="0.25">
      <c r="A8089" s="2" t="s">
        <v>8</v>
      </c>
      <c r="B8089" s="2" t="str">
        <f>HYPERLINK("http://ts.21cn.com/tousu/show/id/1339132","兴业银行冻结卡片强制收取违约金和高额利息")</f>
        <v>兴业银行冻结卡片强制收取违约金和高额利息</v>
      </c>
      <c r="C8089" s="2" t="s">
        <v>9</v>
      </c>
      <c r="D8089" s="2" t="s">
        <v>10</v>
      </c>
      <c r="E8089" s="2" t="str">
        <f>HYPERLINK("http://ts.21cn.com/tousu/show/id/1339132","http://ts.21cn.com/tousu/show/id/1339132")</f>
        <v>http://ts.21cn.com/tousu/show/id/1339132</v>
      </c>
      <c r="F8089" s="2" t="s">
        <v>11</v>
      </c>
      <c r="G8089" s="2" t="s">
        <v>28254</v>
      </c>
      <c r="H8089" s="2" t="s">
        <v>28255</v>
      </c>
    </row>
    <row r="8090" spans="1:8" ht="25.05" customHeight="1" x14ac:dyDescent="0.25">
      <c r="A8090" s="2" t="s">
        <v>8</v>
      </c>
      <c r="B8090" s="2" t="str">
        <f>HYPERLINK("http://ts.21cn.com/tousu/show/id/1339134","钱站阴阳合同")</f>
        <v>钱站阴阳合同</v>
      </c>
      <c r="C8090" s="2" t="s">
        <v>9</v>
      </c>
      <c r="D8090" s="2" t="s">
        <v>10</v>
      </c>
      <c r="E8090" s="2" t="str">
        <f>HYPERLINK("http://ts.21cn.com/tousu/show/id/1339134","http://ts.21cn.com/tousu/show/id/1339134")</f>
        <v>http://ts.21cn.com/tousu/show/id/1339134</v>
      </c>
      <c r="F8090" s="2" t="s">
        <v>11</v>
      </c>
      <c r="G8090" s="2" t="s">
        <v>28252</v>
      </c>
      <c r="H8090" s="2" t="s">
        <v>28253</v>
      </c>
    </row>
    <row r="8091" spans="1:8" ht="25.05" customHeight="1" x14ac:dyDescent="0.25">
      <c r="A8091" s="2" t="s">
        <v>8</v>
      </c>
      <c r="B8091" s="2" t="str">
        <f>HYPERLINK("http://ts.21cn.com/tousu/show/id/1339133","催收起诉")</f>
        <v>催收起诉</v>
      </c>
      <c r="C8091" s="2" t="s">
        <v>9</v>
      </c>
      <c r="D8091" s="2" t="s">
        <v>10</v>
      </c>
      <c r="E8091" s="2" t="str">
        <f>HYPERLINK("http://ts.21cn.com/tousu/show/id/1339133","http://ts.21cn.com/tousu/show/id/1339133")</f>
        <v>http://ts.21cn.com/tousu/show/id/1339133</v>
      </c>
      <c r="F8091" s="2" t="s">
        <v>11</v>
      </c>
      <c r="G8091" s="2" t="s">
        <v>28250</v>
      </c>
      <c r="H8091" s="2" t="s">
        <v>28251</v>
      </c>
    </row>
    <row r="8092" spans="1:8" ht="25.05" customHeight="1" x14ac:dyDescent="0.25">
      <c r="A8092" s="2" t="s">
        <v>8</v>
      </c>
      <c r="B8092" s="2" t="str">
        <f>HYPERLINK("http://ts.21cn.com/tousu/show/id/1339135","九派天下支付为非法外汇贵金属平台提供支付结算业务要求原路退赔")</f>
        <v>九派天下支付为非法外汇贵金属平台提供支付结算业务要求原路退赔</v>
      </c>
      <c r="C8092" s="2" t="s">
        <v>9</v>
      </c>
      <c r="D8092" s="2" t="s">
        <v>10</v>
      </c>
      <c r="E8092" s="2" t="str">
        <f>HYPERLINK("http://ts.21cn.com/tousu/show/id/1339135","http://ts.21cn.com/tousu/show/id/1339135")</f>
        <v>http://ts.21cn.com/tousu/show/id/1339135</v>
      </c>
      <c r="F8092" s="2" t="s">
        <v>11</v>
      </c>
      <c r="G8092" s="2" t="s">
        <v>28248</v>
      </c>
      <c r="H8092" s="2" t="s">
        <v>28249</v>
      </c>
    </row>
    <row r="8093" spans="1:8" ht="25.05" customHeight="1" x14ac:dyDescent="0.25">
      <c r="A8093" s="2" t="s">
        <v>8</v>
      </c>
      <c r="B8093" s="2" t="str">
        <f>HYPERLINK("http://ts.21cn.com/tousu/show/id/1183411","拍拍贷高利贷")</f>
        <v>拍拍贷高利贷</v>
      </c>
      <c r="C8093" s="2" t="s">
        <v>9</v>
      </c>
      <c r="D8093" s="2" t="s">
        <v>10</v>
      </c>
      <c r="E8093" s="2" t="str">
        <f>HYPERLINK("http://ts.21cn.com/tousu/show/id/1183411","http://ts.21cn.com/tousu/show/id/1183411")</f>
        <v>http://ts.21cn.com/tousu/show/id/1183411</v>
      </c>
      <c r="F8093" s="2" t="s">
        <v>11</v>
      </c>
      <c r="G8093" s="2" t="s">
        <v>28246</v>
      </c>
      <c r="H8093" s="2" t="s">
        <v>28247</v>
      </c>
    </row>
    <row r="8094" spans="1:8" ht="25.05" customHeight="1" x14ac:dyDescent="0.25">
      <c r="A8094" s="2" t="s">
        <v>8</v>
      </c>
      <c r="B8094" s="2" t="str">
        <f>HYPERLINK("http://ts.21cn.com/tousu/show/id/1339137","立借钱置宝高利贷")</f>
        <v>立借钱置宝高利贷</v>
      </c>
      <c r="C8094" s="2" t="s">
        <v>9</v>
      </c>
      <c r="D8094" s="2" t="s">
        <v>10</v>
      </c>
      <c r="E8094" s="2" t="str">
        <f>HYPERLINK("http://ts.21cn.com/tousu/show/id/1339137","http://ts.21cn.com/tousu/show/id/1339137")</f>
        <v>http://ts.21cn.com/tousu/show/id/1339137</v>
      </c>
      <c r="F8094" s="2" t="s">
        <v>11</v>
      </c>
      <c r="G8094" s="2" t="s">
        <v>28244</v>
      </c>
      <c r="H8094" s="2" t="s">
        <v>28245</v>
      </c>
    </row>
    <row r="8095" spans="1:8" ht="25.05" customHeight="1" x14ac:dyDescent="0.25">
      <c r="A8095" s="2" t="s">
        <v>8</v>
      </c>
      <c r="B8095" s="2" t="str">
        <f>HYPERLINK("http://ts.21cn.com/tousu/show/id/1339138","来分期不接受协商还款")</f>
        <v>来分期不接受协商还款</v>
      </c>
      <c r="C8095" s="2" t="s">
        <v>9</v>
      </c>
      <c r="D8095" s="2" t="s">
        <v>10</v>
      </c>
      <c r="E8095" s="2" t="str">
        <f>HYPERLINK("http://ts.21cn.com/tousu/show/id/1339138","http://ts.21cn.com/tousu/show/id/1339138")</f>
        <v>http://ts.21cn.com/tousu/show/id/1339138</v>
      </c>
      <c r="F8095" s="2" t="s">
        <v>11</v>
      </c>
      <c r="G8095" s="2" t="s">
        <v>28242</v>
      </c>
      <c r="H8095" s="2" t="s">
        <v>28243</v>
      </c>
    </row>
    <row r="8096" spans="1:8" ht="25.05" customHeight="1" x14ac:dyDescent="0.25">
      <c r="A8096" s="2" t="s">
        <v>8</v>
      </c>
      <c r="B8096" s="2" t="str">
        <f>HYPERLINK("http://ts.21cn.com/tousu/show/id/1339139","京东金条暴力催收，爆我通讯录，骚扰我家人，恐吓我")</f>
        <v>京东金条暴力催收，爆我通讯录，骚扰我家人，恐吓我</v>
      </c>
      <c r="C8096" s="2" t="s">
        <v>9</v>
      </c>
      <c r="D8096" s="2" t="s">
        <v>10</v>
      </c>
      <c r="E8096" s="2" t="str">
        <f>HYPERLINK("http://ts.21cn.com/tousu/show/id/1339139","http://ts.21cn.com/tousu/show/id/1339139")</f>
        <v>http://ts.21cn.com/tousu/show/id/1339139</v>
      </c>
      <c r="F8096" s="2" t="s">
        <v>11</v>
      </c>
      <c r="G8096" s="2" t="s">
        <v>28240</v>
      </c>
      <c r="H8096" s="2" t="s">
        <v>28241</v>
      </c>
    </row>
    <row r="8097" spans="1:8" ht="25.05" customHeight="1" x14ac:dyDescent="0.25">
      <c r="A8097" s="2" t="s">
        <v>8</v>
      </c>
      <c r="B8097" s="2" t="str">
        <f>HYPERLINK("http://ts.21cn.com/tousu/show/id/1339140","木床买来一个月中间龙骨歪倒，各种响动。")</f>
        <v>木床买来一个月中间龙骨歪倒，各种响动。</v>
      </c>
      <c r="C8097" s="2" t="s">
        <v>9</v>
      </c>
      <c r="D8097" s="2" t="s">
        <v>10</v>
      </c>
      <c r="E8097" s="2" t="str">
        <f>HYPERLINK("http://ts.21cn.com/tousu/show/id/1339140","http://ts.21cn.com/tousu/show/id/1339140")</f>
        <v>http://ts.21cn.com/tousu/show/id/1339140</v>
      </c>
      <c r="F8097" s="2" t="s">
        <v>11</v>
      </c>
      <c r="G8097" s="2" t="s">
        <v>28238</v>
      </c>
      <c r="H8097" s="2" t="s">
        <v>28239</v>
      </c>
    </row>
    <row r="8098" spans="1:8" ht="25.05" customHeight="1" x14ac:dyDescent="0.25">
      <c r="A8098" s="2" t="s">
        <v>8</v>
      </c>
      <c r="B8098" s="2" t="str">
        <f>HYPERLINK("http://ts.21cn.com/tousu/show/id/1339141","小浦优客未经同意扣款")</f>
        <v>小浦优客未经同意扣款</v>
      </c>
      <c r="C8098" s="2" t="s">
        <v>9</v>
      </c>
      <c r="D8098" s="2" t="s">
        <v>10</v>
      </c>
      <c r="E8098" s="2" t="str">
        <f>HYPERLINK("http://ts.21cn.com/tousu/show/id/1339141","http://ts.21cn.com/tousu/show/id/1339141")</f>
        <v>http://ts.21cn.com/tousu/show/id/1339141</v>
      </c>
      <c r="F8098" s="2" t="s">
        <v>11</v>
      </c>
      <c r="G8098" s="2" t="s">
        <v>28236</v>
      </c>
      <c r="H8098" s="2" t="s">
        <v>28237</v>
      </c>
    </row>
    <row r="8099" spans="1:8" ht="25.05" customHeight="1" x14ac:dyDescent="0.25">
      <c r="A8099" s="2" t="s">
        <v>8</v>
      </c>
      <c r="B8099" s="2" t="str">
        <f>HYPERLINK("http://ts.21cn.com/tousu/show/id/1339142","玖富万卡高利贷，阴阳合同")</f>
        <v>玖富万卡高利贷，阴阳合同</v>
      </c>
      <c r="C8099" s="2" t="s">
        <v>9</v>
      </c>
      <c r="D8099" s="2" t="s">
        <v>10</v>
      </c>
      <c r="E8099" s="2" t="str">
        <f>HYPERLINK("http://ts.21cn.com/tousu/show/id/1339142","http://ts.21cn.com/tousu/show/id/1339142")</f>
        <v>http://ts.21cn.com/tousu/show/id/1339142</v>
      </c>
      <c r="F8099" s="2" t="s">
        <v>11</v>
      </c>
      <c r="G8099" s="2" t="s">
        <v>28234</v>
      </c>
      <c r="H8099" s="2" t="s">
        <v>28235</v>
      </c>
    </row>
    <row r="8100" spans="1:8" ht="25.05" customHeight="1" x14ac:dyDescent="0.25">
      <c r="A8100" s="2" t="s">
        <v>8</v>
      </c>
      <c r="B8100" s="2" t="str">
        <f>HYPERLINK("http://ts.21cn.com/tousu/show/id/1339144","淘宝未收到实物，卖价虚假物流")</f>
        <v>淘宝未收到实物，卖价虚假物流</v>
      </c>
      <c r="C8100" s="2" t="s">
        <v>9</v>
      </c>
      <c r="D8100" s="2" t="s">
        <v>10</v>
      </c>
      <c r="E8100" s="2" t="str">
        <f>HYPERLINK("http://ts.21cn.com/tousu/show/id/1339144","http://ts.21cn.com/tousu/show/id/1339144")</f>
        <v>http://ts.21cn.com/tousu/show/id/1339144</v>
      </c>
      <c r="F8100" s="2" t="s">
        <v>11</v>
      </c>
      <c r="G8100" s="2" t="s">
        <v>28232</v>
      </c>
      <c r="H8100" s="2" t="s">
        <v>28233</v>
      </c>
    </row>
    <row r="8101" spans="1:8" ht="25.05" customHeight="1" x14ac:dyDescent="0.25">
      <c r="A8101" s="2" t="s">
        <v>8</v>
      </c>
      <c r="B8101" s="2" t="str">
        <f>HYPERLINK("http://ts.21cn.com/tousu/show/id/1339143","爱白条高利贷")</f>
        <v>爱白条高利贷</v>
      </c>
      <c r="C8101" s="2" t="s">
        <v>9</v>
      </c>
      <c r="D8101" s="2" t="s">
        <v>10</v>
      </c>
      <c r="E8101" s="2" t="str">
        <f>HYPERLINK("http://ts.21cn.com/tousu/show/id/1339143","http://ts.21cn.com/tousu/show/id/1339143")</f>
        <v>http://ts.21cn.com/tousu/show/id/1339143</v>
      </c>
      <c r="F8101" s="2" t="s">
        <v>11</v>
      </c>
      <c r="G8101" s="2" t="s">
        <v>28230</v>
      </c>
      <c r="H8101" s="2" t="s">
        <v>28231</v>
      </c>
    </row>
    <row r="8102" spans="1:8" ht="25.05" customHeight="1" x14ac:dyDescent="0.25">
      <c r="A8102" s="2" t="s">
        <v>8</v>
      </c>
      <c r="B8102" s="2" t="str">
        <f>HYPERLINK("http://ts.21cn.com/tousu/show/id/1339145","信用管家伙同小黑鲨收取砍头息")</f>
        <v>信用管家伙同小黑鲨收取砍头息</v>
      </c>
      <c r="C8102" s="2" t="s">
        <v>9</v>
      </c>
      <c r="D8102" s="2" t="s">
        <v>10</v>
      </c>
      <c r="E8102" s="2" t="str">
        <f>HYPERLINK("http://ts.21cn.com/tousu/show/id/1339145","http://ts.21cn.com/tousu/show/id/1339145")</f>
        <v>http://ts.21cn.com/tousu/show/id/1339145</v>
      </c>
      <c r="F8102" s="2" t="s">
        <v>11</v>
      </c>
      <c r="G8102" s="2" t="s">
        <v>28228</v>
      </c>
      <c r="H8102" s="2" t="s">
        <v>28229</v>
      </c>
    </row>
    <row r="8103" spans="1:8" ht="25.05" customHeight="1" x14ac:dyDescent="0.25">
      <c r="A8103" s="2" t="s">
        <v>8</v>
      </c>
      <c r="B8103" s="2" t="str">
        <f>HYPERLINK("http://ts.21cn.com/tousu/show/id/1336726","途牛与供应商强迫客户出行消费")</f>
        <v>途牛与供应商强迫客户出行消费</v>
      </c>
      <c r="C8103" s="2" t="s">
        <v>9</v>
      </c>
      <c r="D8103" s="2" t="s">
        <v>10</v>
      </c>
      <c r="E8103" s="2" t="str">
        <f>HYPERLINK("http://ts.21cn.com/tousu/show/id/1336726","http://ts.21cn.com/tousu/show/id/1336726")</f>
        <v>http://ts.21cn.com/tousu/show/id/1336726</v>
      </c>
      <c r="F8103" s="2" t="s">
        <v>11</v>
      </c>
      <c r="G8103" s="2" t="s">
        <v>28226</v>
      </c>
      <c r="H8103" s="2" t="s">
        <v>28227</v>
      </c>
    </row>
    <row r="8104" spans="1:8" ht="25.05" customHeight="1" x14ac:dyDescent="0.25">
      <c r="A8104" s="2" t="s">
        <v>8</v>
      </c>
      <c r="B8104" s="2" t="str">
        <f>HYPERLINK("http://ts.21cn.com/tousu/show/id/1339121","在淘在淘宝网看到可以处理滳滳各种问题的商品")</f>
        <v>在淘在淘宝网看到可以处理滳滳各种问题的商品</v>
      </c>
      <c r="C8104" s="2" t="s">
        <v>9</v>
      </c>
      <c r="D8104" s="2" t="s">
        <v>10</v>
      </c>
      <c r="E8104" s="2" t="str">
        <f>HYPERLINK("http://ts.21cn.com/tousu/show/id/1339121","http://ts.21cn.com/tousu/show/id/1339121")</f>
        <v>http://ts.21cn.com/tousu/show/id/1339121</v>
      </c>
      <c r="F8104" s="2" t="s">
        <v>11</v>
      </c>
      <c r="G8104" s="2" t="s">
        <v>28224</v>
      </c>
      <c r="H8104" s="2" t="s">
        <v>28225</v>
      </c>
    </row>
    <row r="8105" spans="1:8" ht="25.05" customHeight="1" x14ac:dyDescent="0.25">
      <c r="A8105" s="2" t="s">
        <v>8</v>
      </c>
      <c r="B8105" s="2" t="str">
        <f>HYPERLINK("http://ts.21cn.com/tousu/show/id/1339146","为赌博网站提供支付渠道")</f>
        <v>为赌博网站提供支付渠道</v>
      </c>
      <c r="C8105" s="2" t="s">
        <v>9</v>
      </c>
      <c r="D8105" s="2" t="s">
        <v>10</v>
      </c>
      <c r="E8105" s="2" t="str">
        <f>HYPERLINK("http://ts.21cn.com/tousu/show/id/1339146","http://ts.21cn.com/tousu/show/id/1339146")</f>
        <v>http://ts.21cn.com/tousu/show/id/1339146</v>
      </c>
      <c r="F8105" s="2" t="s">
        <v>11</v>
      </c>
      <c r="G8105" s="2" t="s">
        <v>28222</v>
      </c>
      <c r="H8105" s="2" t="s">
        <v>28223</v>
      </c>
    </row>
    <row r="8106" spans="1:8" ht="25.05" customHeight="1" x14ac:dyDescent="0.25">
      <c r="A8106" s="2" t="s">
        <v>8</v>
      </c>
      <c r="B8106" s="2" t="str">
        <f>HYPERLINK("http://ts.21cn.com/tousu/show/id/1339147","钱站群发短信、爆通讯录骂人")</f>
        <v>钱站群发短信、爆通讯录骂人</v>
      </c>
      <c r="C8106" s="2" t="s">
        <v>9</v>
      </c>
      <c r="D8106" s="2" t="s">
        <v>10</v>
      </c>
      <c r="E8106" s="2" t="str">
        <f>HYPERLINK("http://ts.21cn.com/tousu/show/id/1339147","http://ts.21cn.com/tousu/show/id/1339147")</f>
        <v>http://ts.21cn.com/tousu/show/id/1339147</v>
      </c>
      <c r="F8106" s="2" t="s">
        <v>11</v>
      </c>
      <c r="G8106" s="2" t="s">
        <v>28220</v>
      </c>
      <c r="H8106" s="2" t="s">
        <v>28221</v>
      </c>
    </row>
    <row r="8107" spans="1:8" ht="25.05" customHeight="1" x14ac:dyDescent="0.25">
      <c r="A8107" s="2" t="s">
        <v>8</v>
      </c>
      <c r="B8107" s="2" t="str">
        <f>HYPERLINK("http://ts.21cn.com/tousu/show/id/1339150","协商还款")</f>
        <v>协商还款</v>
      </c>
      <c r="C8107" s="2" t="s">
        <v>34</v>
      </c>
      <c r="D8107" s="2" t="s">
        <v>10</v>
      </c>
      <c r="E8107" s="2" t="str">
        <f>HYPERLINK("http://ts.21cn.com/tousu/show/id/1339150","http://ts.21cn.com/tousu/show/id/1339150")</f>
        <v>http://ts.21cn.com/tousu/show/id/1339150</v>
      </c>
      <c r="F8107" s="2" t="s">
        <v>11</v>
      </c>
      <c r="G8107" s="2" t="s">
        <v>28218</v>
      </c>
      <c r="H8107" s="2" t="s">
        <v>28219</v>
      </c>
    </row>
    <row r="8108" spans="1:8" ht="25.05" customHeight="1" x14ac:dyDescent="0.25">
      <c r="A8108" s="2" t="s">
        <v>8</v>
      </c>
      <c r="B8108" s="2" t="str">
        <f>HYPERLINK("http://ts.21cn.com/tousu/show/id/1339149","商户欺诈行为")</f>
        <v>商户欺诈行为</v>
      </c>
      <c r="C8108" s="2" t="s">
        <v>9</v>
      </c>
      <c r="D8108" s="2" t="s">
        <v>10</v>
      </c>
      <c r="E8108" s="2" t="str">
        <f>HYPERLINK("http://ts.21cn.com/tousu/show/id/1339149","http://ts.21cn.com/tousu/show/id/1339149")</f>
        <v>http://ts.21cn.com/tousu/show/id/1339149</v>
      </c>
      <c r="F8108" s="2" t="s">
        <v>11</v>
      </c>
      <c r="G8108" s="2" t="s">
        <v>28216</v>
      </c>
      <c r="H8108" s="2" t="s">
        <v>28217</v>
      </c>
    </row>
    <row r="8109" spans="1:8" ht="25.05" customHeight="1" x14ac:dyDescent="0.25">
      <c r="A8109" s="2" t="s">
        <v>8</v>
      </c>
      <c r="B8109" s="2" t="str">
        <f>HYPERLINK("http://ts.21cn.com/tousu/show/id/1339151","捷信金融骚扰我家人")</f>
        <v>捷信金融骚扰我家人</v>
      </c>
      <c r="C8109" s="2" t="s">
        <v>9</v>
      </c>
      <c r="D8109" s="2" t="s">
        <v>10</v>
      </c>
      <c r="E8109" s="2" t="str">
        <f>HYPERLINK("http://ts.21cn.com/tousu/show/id/1339151","http://ts.21cn.com/tousu/show/id/1339151")</f>
        <v>http://ts.21cn.com/tousu/show/id/1339151</v>
      </c>
      <c r="F8109" s="2" t="s">
        <v>11</v>
      </c>
      <c r="G8109" s="2" t="s">
        <v>28214</v>
      </c>
      <c r="H8109" s="2" t="s">
        <v>28215</v>
      </c>
    </row>
    <row r="8110" spans="1:8" ht="25.05" customHeight="1" x14ac:dyDescent="0.25">
      <c r="A8110" s="2" t="s">
        <v>8</v>
      </c>
      <c r="B8110" s="2" t="str">
        <f>HYPERLINK("http://ts.21cn.com/tousu/show/id/1339153","洋钱罐威胁")</f>
        <v>洋钱罐威胁</v>
      </c>
      <c r="C8110" s="2" t="s">
        <v>9</v>
      </c>
      <c r="D8110" s="2" t="s">
        <v>10</v>
      </c>
      <c r="E8110" s="2" t="str">
        <f>HYPERLINK("http://ts.21cn.com/tousu/show/id/1339153","http://ts.21cn.com/tousu/show/id/1339153")</f>
        <v>http://ts.21cn.com/tousu/show/id/1339153</v>
      </c>
      <c r="F8110" s="2" t="s">
        <v>11</v>
      </c>
      <c r="G8110" s="2" t="s">
        <v>28212</v>
      </c>
      <c r="H8110" s="2" t="s">
        <v>28213</v>
      </c>
    </row>
    <row r="8111" spans="1:8" ht="25.05" customHeight="1" x14ac:dyDescent="0.25">
      <c r="A8111" s="2" t="s">
        <v>8</v>
      </c>
      <c r="B8111" s="2" t="str">
        <f>HYPERLINK("http://ts.21cn.com/tousu/show/id/1339154","恒信永利恶意催收，合同欺诈")</f>
        <v>恒信永利恶意催收，合同欺诈</v>
      </c>
      <c r="C8111" s="2" t="s">
        <v>9</v>
      </c>
      <c r="D8111" s="2" t="s">
        <v>10</v>
      </c>
      <c r="E8111" s="2" t="str">
        <f>HYPERLINK("http://ts.21cn.com/tousu/show/id/1339154","http://ts.21cn.com/tousu/show/id/1339154")</f>
        <v>http://ts.21cn.com/tousu/show/id/1339154</v>
      </c>
      <c r="F8111" s="2" t="s">
        <v>11</v>
      </c>
      <c r="G8111" s="2" t="s">
        <v>28210</v>
      </c>
      <c r="H8111" s="2" t="s">
        <v>28211</v>
      </c>
    </row>
    <row r="8112" spans="1:8" ht="25.05" customHeight="1" x14ac:dyDescent="0.25">
      <c r="A8112" s="2" t="s">
        <v>8</v>
      </c>
      <c r="B8112" s="2" t="str">
        <f>HYPERLINK("http://ts.21cn.com/tousu/show/id/1339155","高利贷平台收取高额砍头息")</f>
        <v>高利贷平台收取高额砍头息</v>
      </c>
      <c r="C8112" s="2" t="s">
        <v>9</v>
      </c>
      <c r="D8112" s="2" t="s">
        <v>10</v>
      </c>
      <c r="E8112" s="2" t="str">
        <f>HYPERLINK("http://ts.21cn.com/tousu/show/id/1339155","http://ts.21cn.com/tousu/show/id/1339155")</f>
        <v>http://ts.21cn.com/tousu/show/id/1339155</v>
      </c>
      <c r="F8112" s="2" t="s">
        <v>11</v>
      </c>
      <c r="G8112" s="2" t="s">
        <v>28208</v>
      </c>
      <c r="H8112" s="2" t="s">
        <v>28209</v>
      </c>
    </row>
    <row r="8113" spans="1:8" ht="25.05" customHeight="1" x14ac:dyDescent="0.25">
      <c r="A8113" s="2" t="s">
        <v>8</v>
      </c>
      <c r="B8113" s="2" t="str">
        <f>HYPERLINK("http://ts.21cn.com/tousu/show/id/1339156","爆通讯录，砍头息，骚扰家人及朋友")</f>
        <v>爆通讯录，砍头息，骚扰家人及朋友</v>
      </c>
      <c r="C8113" s="2" t="s">
        <v>9</v>
      </c>
      <c r="D8113" s="2" t="s">
        <v>10</v>
      </c>
      <c r="E8113" s="2" t="str">
        <f>HYPERLINK("http://ts.21cn.com/tousu/show/id/1339156","http://ts.21cn.com/tousu/show/id/1339156")</f>
        <v>http://ts.21cn.com/tousu/show/id/1339156</v>
      </c>
      <c r="F8113" s="2" t="s">
        <v>11</v>
      </c>
      <c r="G8113" s="2" t="s">
        <v>28206</v>
      </c>
      <c r="H8113" s="2" t="s">
        <v>28207</v>
      </c>
    </row>
    <row r="8114" spans="1:8" ht="25.05" customHeight="1" x14ac:dyDescent="0.25">
      <c r="A8114" s="2" t="s">
        <v>8</v>
      </c>
      <c r="B8114" s="2" t="str">
        <f>HYPERLINK("http://ts.21cn.com/tousu/show/id/1339157","好分期无良高利贷")</f>
        <v>好分期无良高利贷</v>
      </c>
      <c r="C8114" s="2" t="s">
        <v>9</v>
      </c>
      <c r="D8114" s="2" t="s">
        <v>10</v>
      </c>
      <c r="E8114" s="2" t="str">
        <f>HYPERLINK("http://ts.21cn.com/tousu/show/id/1339157","http://ts.21cn.com/tousu/show/id/1339157")</f>
        <v>http://ts.21cn.com/tousu/show/id/1339157</v>
      </c>
      <c r="F8114" s="2" t="s">
        <v>11</v>
      </c>
      <c r="G8114" s="2" t="s">
        <v>28204</v>
      </c>
      <c r="H8114" s="2" t="s">
        <v>28205</v>
      </c>
    </row>
    <row r="8115" spans="1:8" ht="25.05" customHeight="1" x14ac:dyDescent="0.25">
      <c r="A8115" s="2" t="s">
        <v>8</v>
      </c>
      <c r="B8115" s="2" t="str">
        <f>HYPERLINK("http://ts.21cn.com/tousu/show/id/1339159","维信金科旗下的豆豆钱套路贷")</f>
        <v>维信金科旗下的豆豆钱套路贷</v>
      </c>
      <c r="C8115" s="2" t="s">
        <v>9</v>
      </c>
      <c r="D8115" s="2" t="s">
        <v>10</v>
      </c>
      <c r="E8115" s="2" t="str">
        <f>HYPERLINK("http://ts.21cn.com/tousu/show/id/1339159","http://ts.21cn.com/tousu/show/id/1339159")</f>
        <v>http://ts.21cn.com/tousu/show/id/1339159</v>
      </c>
      <c r="F8115" s="2" t="s">
        <v>11</v>
      </c>
      <c r="G8115" s="2" t="s">
        <v>28202</v>
      </c>
      <c r="H8115" s="2" t="s">
        <v>28203</v>
      </c>
    </row>
    <row r="8116" spans="1:8" ht="25.05" customHeight="1" x14ac:dyDescent="0.25">
      <c r="A8116" s="2" t="s">
        <v>8</v>
      </c>
      <c r="B8116" s="2" t="str">
        <f>HYPERLINK("http://ts.21cn.com/tousu/show/id/1339160","高利贷")</f>
        <v>高利贷</v>
      </c>
      <c r="C8116" s="2" t="s">
        <v>9</v>
      </c>
      <c r="D8116" s="2" t="s">
        <v>10</v>
      </c>
      <c r="E8116" s="2" t="str">
        <f>HYPERLINK("http://ts.21cn.com/tousu/show/id/1339160","http://ts.21cn.com/tousu/show/id/1339160")</f>
        <v>http://ts.21cn.com/tousu/show/id/1339160</v>
      </c>
      <c r="F8116" s="2" t="s">
        <v>11</v>
      </c>
      <c r="G8116" s="2" t="s">
        <v>28200</v>
      </c>
      <c r="H8116" s="2" t="s">
        <v>28201</v>
      </c>
    </row>
    <row r="8117" spans="1:8" ht="25.05" customHeight="1" x14ac:dyDescent="0.25">
      <c r="A8117" s="2" t="s">
        <v>8</v>
      </c>
      <c r="B8117" s="2" t="str">
        <f>HYPERLINK("http://ts.21cn.com/tousu/show/id/1339158","汽车之家微信平台不作为，不讲诚信！")</f>
        <v>汽车之家微信平台不作为，不讲诚信！</v>
      </c>
      <c r="C8117" s="2" t="s">
        <v>9</v>
      </c>
      <c r="D8117" s="2" t="s">
        <v>10</v>
      </c>
      <c r="E8117" s="2" t="str">
        <f>HYPERLINK("http://ts.21cn.com/tousu/show/id/1339158","http://ts.21cn.com/tousu/show/id/1339158")</f>
        <v>http://ts.21cn.com/tousu/show/id/1339158</v>
      </c>
      <c r="F8117" s="2" t="s">
        <v>11</v>
      </c>
      <c r="G8117" s="2" t="s">
        <v>28198</v>
      </c>
      <c r="H8117" s="2" t="s">
        <v>28199</v>
      </c>
    </row>
    <row r="8118" spans="1:8" ht="25.05" customHeight="1" x14ac:dyDescent="0.25">
      <c r="A8118" s="2" t="s">
        <v>8</v>
      </c>
      <c r="B8118" s="2" t="str">
        <f>HYPERLINK("http://ts.21cn.com/tousu/show/id/1339162","飞猪，广州辰亿旅游专营店不给退款")</f>
        <v>飞猪，广州辰亿旅游专营店不给退款</v>
      </c>
      <c r="C8118" s="2" t="s">
        <v>9</v>
      </c>
      <c r="D8118" s="2" t="s">
        <v>10</v>
      </c>
      <c r="E8118" s="2" t="str">
        <f>HYPERLINK("http://ts.21cn.com/tousu/show/id/1339162","http://ts.21cn.com/tousu/show/id/1339162")</f>
        <v>http://ts.21cn.com/tousu/show/id/1339162</v>
      </c>
      <c r="F8118" s="2" t="s">
        <v>11</v>
      </c>
      <c r="G8118" s="2" t="s">
        <v>28196</v>
      </c>
      <c r="H8118" s="2" t="s">
        <v>28197</v>
      </c>
    </row>
    <row r="8119" spans="1:8" ht="25.05" customHeight="1" x14ac:dyDescent="0.25">
      <c r="A8119" s="2" t="s">
        <v>8</v>
      </c>
      <c r="B8119" s="2" t="str">
        <f>HYPERLINK("http://ts.21cn.com/tousu/show/id/1339163","充电宝归还后仍在计费")</f>
        <v>充电宝归还后仍在计费</v>
      </c>
      <c r="C8119" s="2" t="s">
        <v>34</v>
      </c>
      <c r="D8119" s="2" t="s">
        <v>10</v>
      </c>
      <c r="E8119" s="2" t="str">
        <f>HYPERLINK("http://ts.21cn.com/tousu/show/id/1339163","http://ts.21cn.com/tousu/show/id/1339163")</f>
        <v>http://ts.21cn.com/tousu/show/id/1339163</v>
      </c>
      <c r="F8119" s="2" t="s">
        <v>11</v>
      </c>
      <c r="G8119" s="2" t="s">
        <v>28194</v>
      </c>
      <c r="H8119" s="2" t="s">
        <v>28195</v>
      </c>
    </row>
    <row r="8120" spans="1:8" ht="25.05" customHeight="1" x14ac:dyDescent="0.25">
      <c r="A8120" s="2" t="s">
        <v>8</v>
      </c>
      <c r="B8120" s="2" t="str">
        <f>HYPERLINK("http://ts.21cn.com/tousu/show/id/1339165","砍头息，爆通讯录")</f>
        <v>砍头息，爆通讯录</v>
      </c>
      <c r="C8120" s="2" t="s">
        <v>9</v>
      </c>
      <c r="D8120" s="2" t="s">
        <v>10</v>
      </c>
      <c r="E8120" s="2" t="str">
        <f>HYPERLINK("http://ts.21cn.com/tousu/show/id/1339165","http://ts.21cn.com/tousu/show/id/1339165")</f>
        <v>http://ts.21cn.com/tousu/show/id/1339165</v>
      </c>
      <c r="F8120" s="2" t="s">
        <v>11</v>
      </c>
      <c r="G8120" s="2" t="s">
        <v>28191</v>
      </c>
      <c r="H8120" s="2" t="s">
        <v>28192</v>
      </c>
    </row>
    <row r="8121" spans="1:8" ht="25.05" customHeight="1" x14ac:dyDescent="0.25">
      <c r="A8121" s="2" t="s">
        <v>8</v>
      </c>
      <c r="B8121" s="2" t="str">
        <f>HYPERLINK("http://ts.21cn.com/tousu/show/id/1339164","高额利息")</f>
        <v>高额利息</v>
      </c>
      <c r="C8121" s="2" t="s">
        <v>9</v>
      </c>
      <c r="D8121" s="2" t="s">
        <v>10</v>
      </c>
      <c r="E8121" s="2" t="str">
        <f>HYPERLINK("http://ts.21cn.com/tousu/show/id/1339164","http://ts.21cn.com/tousu/show/id/1339164")</f>
        <v>http://ts.21cn.com/tousu/show/id/1339164</v>
      </c>
      <c r="F8121" s="2" t="s">
        <v>11</v>
      </c>
      <c r="G8121" s="2" t="s">
        <v>28191</v>
      </c>
      <c r="H8121" s="2" t="s">
        <v>28193</v>
      </c>
    </row>
    <row r="8122" spans="1:8" ht="25.05" customHeight="1" x14ac:dyDescent="0.25">
      <c r="A8122" s="2" t="s">
        <v>8</v>
      </c>
      <c r="B8122" s="2" t="str">
        <f>HYPERLINK("http://ts.21cn.com/tousu/show/id/1339167","好运金砍头息高利贷")</f>
        <v>好运金砍头息高利贷</v>
      </c>
      <c r="C8122" s="2" t="s">
        <v>9</v>
      </c>
      <c r="D8122" s="2" t="s">
        <v>10</v>
      </c>
      <c r="E8122" s="2" t="str">
        <f>HYPERLINK("http://ts.21cn.com/tousu/show/id/1339167","http://ts.21cn.com/tousu/show/id/1339167")</f>
        <v>http://ts.21cn.com/tousu/show/id/1339167</v>
      </c>
      <c r="F8122" s="2" t="s">
        <v>11</v>
      </c>
      <c r="G8122" s="2" t="s">
        <v>28189</v>
      </c>
      <c r="H8122" s="2" t="s">
        <v>28190</v>
      </c>
    </row>
    <row r="8123" spans="1:8" ht="25.05" customHeight="1" x14ac:dyDescent="0.25">
      <c r="A8123" s="2" t="s">
        <v>8</v>
      </c>
      <c r="B8123" s="2" t="str">
        <f>HYPERLINK("http://ts.21cn.com/tousu/show/id/1339166","威胁，恐吓，编造事实")</f>
        <v>威胁，恐吓，编造事实</v>
      </c>
      <c r="C8123" s="2" t="s">
        <v>9</v>
      </c>
      <c r="D8123" s="2" t="s">
        <v>10</v>
      </c>
      <c r="E8123" s="2" t="str">
        <f>HYPERLINK("http://ts.21cn.com/tousu/show/id/1339166","http://ts.21cn.com/tousu/show/id/1339166")</f>
        <v>http://ts.21cn.com/tousu/show/id/1339166</v>
      </c>
      <c r="F8123" s="2" t="s">
        <v>11</v>
      </c>
      <c r="G8123" s="2" t="s">
        <v>28187</v>
      </c>
      <c r="H8123" s="2" t="s">
        <v>28188</v>
      </c>
    </row>
    <row r="8124" spans="1:8" ht="25.05" customHeight="1" x14ac:dyDescent="0.25">
      <c r="A8124" s="2" t="s">
        <v>8</v>
      </c>
      <c r="B8124" s="2" t="str">
        <f>HYPERLINK("http://ts.21cn.com/tousu/show/id/1339168","招联金融爆力违规")</f>
        <v>招联金融爆力违规</v>
      </c>
      <c r="C8124" s="2" t="s">
        <v>9</v>
      </c>
      <c r="D8124" s="2" t="s">
        <v>10</v>
      </c>
      <c r="E8124" s="2" t="str">
        <f>HYPERLINK("http://ts.21cn.com/tousu/show/id/1339168","http://ts.21cn.com/tousu/show/id/1339168")</f>
        <v>http://ts.21cn.com/tousu/show/id/1339168</v>
      </c>
      <c r="F8124" s="2" t="s">
        <v>11</v>
      </c>
      <c r="G8124" s="2" t="s">
        <v>28185</v>
      </c>
      <c r="H8124" s="2" t="s">
        <v>28186</v>
      </c>
    </row>
    <row r="8125" spans="1:8" ht="25.05" customHeight="1" x14ac:dyDescent="0.25">
      <c r="A8125" s="2" t="s">
        <v>8</v>
      </c>
      <c r="B8125" s="2" t="str">
        <f>HYPERLINK("http://ts.21cn.com/tousu/show/id/1339170","还款困难，要求闪银延期还款")</f>
        <v>还款困难，要求闪银延期还款</v>
      </c>
      <c r="C8125" s="2" t="s">
        <v>9</v>
      </c>
      <c r="D8125" s="2" t="s">
        <v>10</v>
      </c>
      <c r="E8125" s="2" t="str">
        <f>HYPERLINK("http://ts.21cn.com/tousu/show/id/1339170","http://ts.21cn.com/tousu/show/id/1339170")</f>
        <v>http://ts.21cn.com/tousu/show/id/1339170</v>
      </c>
      <c r="F8125" s="2" t="s">
        <v>11</v>
      </c>
      <c r="G8125" s="2" t="s">
        <v>28183</v>
      </c>
      <c r="H8125" s="2" t="s">
        <v>28184</v>
      </c>
    </row>
    <row r="8126" spans="1:8" ht="25.05" customHeight="1" x14ac:dyDescent="0.25">
      <c r="A8126" s="2" t="s">
        <v>8</v>
      </c>
      <c r="B8126" s="2" t="str">
        <f>HYPERLINK("http://ts.21cn.com/tousu/show/id/1339169","花转转高利贷，不能协商")</f>
        <v>花转转高利贷，不能协商</v>
      </c>
      <c r="C8126" s="2" t="s">
        <v>9</v>
      </c>
      <c r="D8126" s="2" t="s">
        <v>10</v>
      </c>
      <c r="E8126" s="2" t="str">
        <f>HYPERLINK("http://ts.21cn.com/tousu/show/id/1339169","http://ts.21cn.com/tousu/show/id/1339169")</f>
        <v>http://ts.21cn.com/tousu/show/id/1339169</v>
      </c>
      <c r="F8126" s="2" t="s">
        <v>11</v>
      </c>
      <c r="G8126" s="2" t="s">
        <v>28181</v>
      </c>
      <c r="H8126" s="2" t="s">
        <v>28182</v>
      </c>
    </row>
    <row r="8127" spans="1:8" ht="25.05" customHeight="1" x14ac:dyDescent="0.25">
      <c r="A8127" s="2" t="s">
        <v>8</v>
      </c>
      <c r="B8127" s="2" t="str">
        <f>HYPERLINK("http://ts.21cn.com/tousu/show/id/1339171","京东金条到期还款未提醒导致逾期")</f>
        <v>京东金条到期还款未提醒导致逾期</v>
      </c>
      <c r="C8127" s="2" t="s">
        <v>34</v>
      </c>
      <c r="D8127" s="2" t="s">
        <v>10</v>
      </c>
      <c r="E8127" s="2" t="str">
        <f>HYPERLINK("http://ts.21cn.com/tousu/show/id/1339171","http://ts.21cn.com/tousu/show/id/1339171")</f>
        <v>http://ts.21cn.com/tousu/show/id/1339171</v>
      </c>
      <c r="F8127" s="2" t="s">
        <v>11</v>
      </c>
      <c r="G8127" s="2" t="s">
        <v>28179</v>
      </c>
      <c r="H8127" s="2" t="s">
        <v>28180</v>
      </c>
    </row>
    <row r="8128" spans="1:8" ht="25.05" customHeight="1" x14ac:dyDescent="0.25">
      <c r="A8128" s="2" t="s">
        <v>8</v>
      </c>
      <c r="B8128" s="2" t="str">
        <f>HYPERLINK("http://ts.21cn.com/tousu/show/id/1339172","投诉贷上钱进行骚扰崔收,严重影响我的同事/朋友/家人")</f>
        <v>投诉贷上钱进行骚扰崔收,严重影响我的同事/朋友/家人</v>
      </c>
      <c r="C8128" s="2" t="s">
        <v>9</v>
      </c>
      <c r="D8128" s="2" t="s">
        <v>10</v>
      </c>
      <c r="E8128" s="2" t="str">
        <f>HYPERLINK("http://ts.21cn.com/tousu/show/id/1339172","http://ts.21cn.com/tousu/show/id/1339172")</f>
        <v>http://ts.21cn.com/tousu/show/id/1339172</v>
      </c>
      <c r="F8128" s="2" t="s">
        <v>11</v>
      </c>
      <c r="G8128" s="2" t="s">
        <v>28177</v>
      </c>
      <c r="H8128" s="2" t="s">
        <v>28178</v>
      </c>
    </row>
    <row r="8129" spans="1:8" ht="25.05" customHeight="1" x14ac:dyDescent="0.25">
      <c r="A8129" s="2" t="s">
        <v>8</v>
      </c>
      <c r="B8129" s="2" t="str">
        <f>HYPERLINK("http://ts.21cn.com/tousu/show/id/1339161","小浦优客私自扣款")</f>
        <v>小浦优客私自扣款</v>
      </c>
      <c r="C8129" s="2" t="s">
        <v>9</v>
      </c>
      <c r="D8129" s="2" t="s">
        <v>10</v>
      </c>
      <c r="E8129" s="2" t="str">
        <f>HYPERLINK("http://ts.21cn.com/tousu/show/id/1339161","http://ts.21cn.com/tousu/show/id/1339161")</f>
        <v>http://ts.21cn.com/tousu/show/id/1339161</v>
      </c>
      <c r="F8129" s="2" t="s">
        <v>11</v>
      </c>
      <c r="G8129" s="2" t="s">
        <v>28175</v>
      </c>
      <c r="H8129" s="2" t="s">
        <v>28176</v>
      </c>
    </row>
    <row r="8130" spans="1:8" ht="25.05" customHeight="1" x14ac:dyDescent="0.25">
      <c r="A8130" s="2" t="s">
        <v>8</v>
      </c>
      <c r="B8130" s="2" t="str">
        <f>HYPERLINK("http://ts.21cn.com/tousu/show/id/1339173","货拉拉骗司机客户加最高会员")</f>
        <v>货拉拉骗司机客户加最高会员</v>
      </c>
      <c r="C8130" s="2" t="s">
        <v>9</v>
      </c>
      <c r="D8130" s="2" t="s">
        <v>10</v>
      </c>
      <c r="E8130" s="2" t="str">
        <f>HYPERLINK("http://ts.21cn.com/tousu/show/id/1339173","http://ts.21cn.com/tousu/show/id/1339173")</f>
        <v>http://ts.21cn.com/tousu/show/id/1339173</v>
      </c>
      <c r="F8130" s="2" t="s">
        <v>11</v>
      </c>
      <c r="G8130" s="2" t="s">
        <v>28173</v>
      </c>
      <c r="H8130" s="2" t="s">
        <v>28174</v>
      </c>
    </row>
    <row r="8131" spans="1:8" ht="25.05" customHeight="1" x14ac:dyDescent="0.25">
      <c r="A8131" s="2" t="s">
        <v>8</v>
      </c>
      <c r="B8131" s="2" t="str">
        <f>HYPERLINK("http://ts.21cn.com/tousu/show/id/1339174","分期乐将我的案件移交法务部")</f>
        <v>分期乐将我的案件移交法务部</v>
      </c>
      <c r="C8131" s="2" t="s">
        <v>9</v>
      </c>
      <c r="D8131" s="2" t="s">
        <v>10</v>
      </c>
      <c r="E8131" s="2" t="str">
        <f>HYPERLINK("http://ts.21cn.com/tousu/show/id/1339174","http://ts.21cn.com/tousu/show/id/1339174")</f>
        <v>http://ts.21cn.com/tousu/show/id/1339174</v>
      </c>
      <c r="F8131" s="2" t="s">
        <v>11</v>
      </c>
      <c r="G8131" s="2" t="s">
        <v>28171</v>
      </c>
      <c r="H8131" s="2" t="s">
        <v>28172</v>
      </c>
    </row>
    <row r="8132" spans="1:8" ht="25.05" customHeight="1" x14ac:dyDescent="0.25">
      <c r="A8132" s="2" t="s">
        <v>8</v>
      </c>
      <c r="B8132" s="2" t="str">
        <f>HYPERLINK("http://ts.21cn.com/tousu/show/id/1339177","实际金额12000元，借款本金15248元，")</f>
        <v>实际金额12000元，借款本金15248元，</v>
      </c>
      <c r="C8132" s="2" t="s">
        <v>9</v>
      </c>
      <c r="D8132" s="2" t="s">
        <v>10</v>
      </c>
      <c r="E8132" s="2" t="str">
        <f>HYPERLINK("http://ts.21cn.com/tousu/show/id/1339177","http://ts.21cn.com/tousu/show/id/1339177")</f>
        <v>http://ts.21cn.com/tousu/show/id/1339177</v>
      </c>
      <c r="F8132" s="2" t="s">
        <v>11</v>
      </c>
      <c r="G8132" s="2" t="s">
        <v>28169</v>
      </c>
      <c r="H8132" s="2" t="s">
        <v>28170</v>
      </c>
    </row>
    <row r="8133" spans="1:8" ht="25.05" customHeight="1" x14ac:dyDescent="0.25">
      <c r="A8133" s="2" t="s">
        <v>8</v>
      </c>
      <c r="B8133" s="2" t="str">
        <f>HYPERLINK("http://ts.21cn.com/tousu/show/id/1339178","雅思兰贷暴力催收")</f>
        <v>雅思兰贷暴力催收</v>
      </c>
      <c r="C8133" s="2" t="s">
        <v>9</v>
      </c>
      <c r="D8133" s="2" t="s">
        <v>10</v>
      </c>
      <c r="E8133" s="2" t="str">
        <f>HYPERLINK("http://ts.21cn.com/tousu/show/id/1339178","http://ts.21cn.com/tousu/show/id/1339178")</f>
        <v>http://ts.21cn.com/tousu/show/id/1339178</v>
      </c>
      <c r="F8133" s="2" t="s">
        <v>11</v>
      </c>
      <c r="G8133" s="2" t="s">
        <v>28167</v>
      </c>
      <c r="H8133" s="2" t="s">
        <v>28168</v>
      </c>
    </row>
    <row r="8134" spans="1:8" ht="25.05" customHeight="1" x14ac:dyDescent="0.25">
      <c r="A8134" s="2" t="s">
        <v>8</v>
      </c>
      <c r="B8134" s="2" t="str">
        <f>HYPERLINK("http://ts.21cn.com/tousu/show/id/1339180","好分期威胁去居委会")</f>
        <v>好分期威胁去居委会</v>
      </c>
      <c r="C8134" s="2" t="s">
        <v>9</v>
      </c>
      <c r="D8134" s="2" t="s">
        <v>10</v>
      </c>
      <c r="E8134" s="2" t="str">
        <f>HYPERLINK("http://ts.21cn.com/tousu/show/id/1339180","http://ts.21cn.com/tousu/show/id/1339180")</f>
        <v>http://ts.21cn.com/tousu/show/id/1339180</v>
      </c>
      <c r="F8134" s="2" t="s">
        <v>11</v>
      </c>
      <c r="G8134" s="2" t="s">
        <v>28165</v>
      </c>
      <c r="H8134" s="2" t="s">
        <v>28166</v>
      </c>
    </row>
    <row r="8135" spans="1:8" ht="25.05" customHeight="1" x14ac:dyDescent="0.25">
      <c r="A8135" s="2" t="s">
        <v>8</v>
      </c>
      <c r="B8135" s="2" t="str">
        <f>HYPERLINK("http://ts.21cn.com/tousu/show/id/1339182","钱站恐吓，砍头息")</f>
        <v>钱站恐吓，砍头息</v>
      </c>
      <c r="C8135" s="2" t="s">
        <v>9</v>
      </c>
      <c r="D8135" s="2" t="s">
        <v>10</v>
      </c>
      <c r="E8135" s="2" t="str">
        <f>HYPERLINK("http://ts.21cn.com/tousu/show/id/1339182","http://ts.21cn.com/tousu/show/id/1339182")</f>
        <v>http://ts.21cn.com/tousu/show/id/1339182</v>
      </c>
      <c r="F8135" s="2" t="s">
        <v>11</v>
      </c>
      <c r="G8135" s="2" t="s">
        <v>28163</v>
      </c>
      <c r="H8135" s="2" t="s">
        <v>28164</v>
      </c>
    </row>
    <row r="8136" spans="1:8" ht="25.05" customHeight="1" x14ac:dyDescent="0.25">
      <c r="A8136" s="2" t="s">
        <v>8</v>
      </c>
      <c r="B8136" s="2" t="str">
        <f>HYPERLINK("http://ts.21cn.com/tousu/show/id/1339181","贷上钱强制购买游戏金豆不能退还")</f>
        <v>贷上钱强制购买游戏金豆不能退还</v>
      </c>
      <c r="C8136" s="2" t="s">
        <v>9</v>
      </c>
      <c r="D8136" s="2" t="s">
        <v>10</v>
      </c>
      <c r="E8136" s="2" t="str">
        <f>HYPERLINK("http://ts.21cn.com/tousu/show/id/1339181","http://ts.21cn.com/tousu/show/id/1339181")</f>
        <v>http://ts.21cn.com/tousu/show/id/1339181</v>
      </c>
      <c r="F8136" s="2" t="s">
        <v>11</v>
      </c>
      <c r="G8136" s="2" t="s">
        <v>28161</v>
      </c>
      <c r="H8136" s="2" t="s">
        <v>28162</v>
      </c>
    </row>
    <row r="8137" spans="1:8" ht="25.05" customHeight="1" x14ac:dyDescent="0.25">
      <c r="A8137" s="2" t="s">
        <v>8</v>
      </c>
      <c r="B8137" s="2" t="str">
        <f>HYPERLINK("http://ts.21cn.com/tousu/show/id/1339183","银小借和易宝支付恶意扣款")</f>
        <v>银小借和易宝支付恶意扣款</v>
      </c>
      <c r="C8137" s="2" t="s">
        <v>9</v>
      </c>
      <c r="D8137" s="2" t="s">
        <v>10</v>
      </c>
      <c r="E8137" s="2" t="str">
        <f>HYPERLINK("http://ts.21cn.com/tousu/show/id/1339183","http://ts.21cn.com/tousu/show/id/1339183")</f>
        <v>http://ts.21cn.com/tousu/show/id/1339183</v>
      </c>
      <c r="F8137" s="2" t="s">
        <v>11</v>
      </c>
      <c r="G8137" s="2" t="s">
        <v>28159</v>
      </c>
      <c r="H8137" s="2" t="s">
        <v>28160</v>
      </c>
    </row>
    <row r="8138" spans="1:8" ht="25.05" customHeight="1" x14ac:dyDescent="0.25">
      <c r="A8138" s="2" t="s">
        <v>8</v>
      </c>
      <c r="B8138" s="2" t="str">
        <f>HYPERLINK("http://ts.21cn.com/tousu/show/id/1339184","自由摩卡六便士高利贷砍头期")</f>
        <v>自由摩卡六便士高利贷砍头期</v>
      </c>
      <c r="C8138" s="2" t="s">
        <v>9</v>
      </c>
      <c r="D8138" s="2" t="s">
        <v>10</v>
      </c>
      <c r="E8138" s="2" t="str">
        <f>HYPERLINK("http://ts.21cn.com/tousu/show/id/1339184","http://ts.21cn.com/tousu/show/id/1339184")</f>
        <v>http://ts.21cn.com/tousu/show/id/1339184</v>
      </c>
      <c r="F8138" s="2" t="s">
        <v>11</v>
      </c>
      <c r="G8138" s="2" t="s">
        <v>28157</v>
      </c>
      <c r="H8138" s="2" t="s">
        <v>28158</v>
      </c>
    </row>
    <row r="8139" spans="1:8" ht="25.05" customHeight="1" x14ac:dyDescent="0.25">
      <c r="A8139" s="2" t="s">
        <v>8</v>
      </c>
      <c r="B8139" s="2" t="str">
        <f>HYPERLINK("http://ts.21cn.com/tousu/show/id/1339185","非法网贷砍头息")</f>
        <v>非法网贷砍头息</v>
      </c>
      <c r="C8139" s="2" t="s">
        <v>9</v>
      </c>
      <c r="D8139" s="2" t="s">
        <v>10</v>
      </c>
      <c r="E8139" s="2" t="str">
        <f>HYPERLINK("http://ts.21cn.com/tousu/show/id/1339185","http://ts.21cn.com/tousu/show/id/1339185")</f>
        <v>http://ts.21cn.com/tousu/show/id/1339185</v>
      </c>
      <c r="F8139" s="2" t="s">
        <v>11</v>
      </c>
      <c r="G8139" s="2" t="s">
        <v>28155</v>
      </c>
      <c r="H8139" s="2" t="s">
        <v>28156</v>
      </c>
    </row>
    <row r="8140" spans="1:8" ht="25.05" customHeight="1" x14ac:dyDescent="0.25">
      <c r="A8140" s="2" t="s">
        <v>8</v>
      </c>
      <c r="B8140" s="2" t="str">
        <f>HYPERLINK("http://ts.21cn.com/tousu/show/id/1339186","马上金融暴力催收")</f>
        <v>马上金融暴力催收</v>
      </c>
      <c r="C8140" s="2" t="s">
        <v>9</v>
      </c>
      <c r="D8140" s="2" t="s">
        <v>10</v>
      </c>
      <c r="E8140" s="2" t="str">
        <f>HYPERLINK("http://ts.21cn.com/tousu/show/id/1339186","http://ts.21cn.com/tousu/show/id/1339186")</f>
        <v>http://ts.21cn.com/tousu/show/id/1339186</v>
      </c>
      <c r="F8140" s="2" t="s">
        <v>11</v>
      </c>
      <c r="G8140" s="2" t="s">
        <v>28153</v>
      </c>
      <c r="H8140" s="2" t="s">
        <v>28154</v>
      </c>
    </row>
    <row r="8141" spans="1:8" ht="25.05" customHeight="1" x14ac:dyDescent="0.25">
      <c r="A8141" s="2" t="s">
        <v>8</v>
      </c>
      <c r="B8141" s="2" t="str">
        <f>HYPERLINK("http://ts.21cn.com/tousu/show/id/1339187","一个电话都没打给我过居然说多次致电无效")</f>
        <v>一个电话都没打给我过居然说多次致电无效</v>
      </c>
      <c r="C8141" s="2" t="s">
        <v>34</v>
      </c>
      <c r="D8141" s="2" t="s">
        <v>10</v>
      </c>
      <c r="E8141" s="2" t="str">
        <f>HYPERLINK("http://ts.21cn.com/tousu/show/id/1339187","http://ts.21cn.com/tousu/show/id/1339187")</f>
        <v>http://ts.21cn.com/tousu/show/id/1339187</v>
      </c>
      <c r="F8141" s="2" t="s">
        <v>11</v>
      </c>
      <c r="G8141" s="2" t="s">
        <v>28151</v>
      </c>
      <c r="H8141" s="2" t="s">
        <v>28152</v>
      </c>
    </row>
    <row r="8142" spans="1:8" ht="25.05" customHeight="1" x14ac:dyDescent="0.25">
      <c r="A8142" s="2" t="s">
        <v>8</v>
      </c>
      <c r="B8142" s="2" t="str">
        <f>HYPERLINK("http://ts.21cn.com/tousu/show/id/1339188","本人提前预定酒店后，入住当天酒店房价降价，订单取消扣全款，平台不给退差价")</f>
        <v>本人提前预定酒店后，入住当天酒店房价降价，订单取消扣全款，平台不给退差价</v>
      </c>
      <c r="C8142" s="2" t="s">
        <v>34</v>
      </c>
      <c r="D8142" s="2" t="s">
        <v>10</v>
      </c>
      <c r="E8142" s="2" t="str">
        <f>HYPERLINK("http://ts.21cn.com/tousu/show/id/1339188","http://ts.21cn.com/tousu/show/id/1339188")</f>
        <v>http://ts.21cn.com/tousu/show/id/1339188</v>
      </c>
      <c r="F8142" s="2" t="s">
        <v>11</v>
      </c>
      <c r="G8142" s="2" t="s">
        <v>28149</v>
      </c>
      <c r="H8142" s="2" t="s">
        <v>28150</v>
      </c>
    </row>
    <row r="8143" spans="1:8" ht="25.05" customHeight="1" x14ac:dyDescent="0.25">
      <c r="A8143" s="2" t="s">
        <v>8</v>
      </c>
      <c r="B8143" s="2" t="str">
        <f>HYPERLINK("http://ts.21cn.com/tousu/show/id/1339190","安全带高利贷")</f>
        <v>安全带高利贷</v>
      </c>
      <c r="C8143" s="2" t="s">
        <v>9</v>
      </c>
      <c r="D8143" s="2" t="s">
        <v>10</v>
      </c>
      <c r="E8143" s="2" t="str">
        <f>HYPERLINK("http://ts.21cn.com/tousu/show/id/1339190","http://ts.21cn.com/tousu/show/id/1339190")</f>
        <v>http://ts.21cn.com/tousu/show/id/1339190</v>
      </c>
      <c r="F8143" s="2" t="s">
        <v>11</v>
      </c>
      <c r="G8143" s="2" t="s">
        <v>28147</v>
      </c>
      <c r="H8143" s="2" t="s">
        <v>28148</v>
      </c>
    </row>
    <row r="8144" spans="1:8" ht="25.05" customHeight="1" x14ac:dyDescent="0.25">
      <c r="A8144" s="2" t="s">
        <v>8</v>
      </c>
      <c r="B8144" s="2" t="str">
        <f>HYPERLINK("http://ts.21cn.com/tousu/show/id/1339191","暴击催收骚扰利息高")</f>
        <v>暴击催收骚扰利息高</v>
      </c>
      <c r="C8144" s="2" t="s">
        <v>9</v>
      </c>
      <c r="D8144" s="2" t="s">
        <v>10</v>
      </c>
      <c r="E8144" s="2" t="str">
        <f>HYPERLINK("http://ts.21cn.com/tousu/show/id/1339191","http://ts.21cn.com/tousu/show/id/1339191")</f>
        <v>http://ts.21cn.com/tousu/show/id/1339191</v>
      </c>
      <c r="F8144" s="2" t="s">
        <v>11</v>
      </c>
      <c r="G8144" s="2" t="s">
        <v>28145</v>
      </c>
      <c r="H8144" s="2" t="s">
        <v>28146</v>
      </c>
    </row>
    <row r="8145" spans="1:8" ht="25.05" customHeight="1" x14ac:dyDescent="0.25">
      <c r="A8145" s="2" t="s">
        <v>8</v>
      </c>
      <c r="B8145" s="2" t="str">
        <f>HYPERLINK("http://ts.21cn.com/tousu/show/id/1339192","小象优品支付宝转后又银行卡代扣")</f>
        <v>小象优品支付宝转后又银行卡代扣</v>
      </c>
      <c r="C8145" s="2" t="s">
        <v>34</v>
      </c>
      <c r="D8145" s="2" t="s">
        <v>10</v>
      </c>
      <c r="E8145" s="2" t="str">
        <f>HYPERLINK("http://ts.21cn.com/tousu/show/id/1339192","http://ts.21cn.com/tousu/show/id/1339192")</f>
        <v>http://ts.21cn.com/tousu/show/id/1339192</v>
      </c>
      <c r="F8145" s="2" t="s">
        <v>11</v>
      </c>
      <c r="G8145" s="2" t="s">
        <v>28143</v>
      </c>
      <c r="H8145" s="2" t="s">
        <v>28144</v>
      </c>
    </row>
    <row r="8146" spans="1:8" ht="25.05" customHeight="1" x14ac:dyDescent="0.25">
      <c r="A8146" s="2" t="s">
        <v>8</v>
      </c>
      <c r="B8146" s="2" t="str">
        <f>HYPERLINK("http://ts.21cn.com/tousu/show/id/1339193","京东白条金条暴力催收")</f>
        <v>京东白条金条暴力催收</v>
      </c>
      <c r="C8146" s="2" t="s">
        <v>9</v>
      </c>
      <c r="D8146" s="2" t="s">
        <v>10</v>
      </c>
      <c r="E8146" s="2" t="str">
        <f>HYPERLINK("http://ts.21cn.com/tousu/show/id/1339193","http://ts.21cn.com/tousu/show/id/1339193")</f>
        <v>http://ts.21cn.com/tousu/show/id/1339193</v>
      </c>
      <c r="F8146" s="2" t="s">
        <v>11</v>
      </c>
      <c r="G8146" s="2" t="s">
        <v>28141</v>
      </c>
      <c r="H8146" s="2" t="s">
        <v>28142</v>
      </c>
    </row>
    <row r="8147" spans="1:8" ht="25.05" customHeight="1" x14ac:dyDescent="0.25">
      <c r="A8147" s="2" t="s">
        <v>8</v>
      </c>
      <c r="B8147" s="2" t="str">
        <f>HYPERLINK("http://ts.21cn.com/tousu/show/id/1339194","钱站高利贷阴阳合同")</f>
        <v>钱站高利贷阴阳合同</v>
      </c>
      <c r="C8147" s="2" t="s">
        <v>9</v>
      </c>
      <c r="D8147" s="2" t="s">
        <v>10</v>
      </c>
      <c r="E8147" s="2" t="str">
        <f>HYPERLINK("http://ts.21cn.com/tousu/show/id/1339194","http://ts.21cn.com/tousu/show/id/1339194")</f>
        <v>http://ts.21cn.com/tousu/show/id/1339194</v>
      </c>
      <c r="F8147" s="2" t="s">
        <v>11</v>
      </c>
      <c r="G8147" s="2" t="s">
        <v>28139</v>
      </c>
      <c r="H8147" s="2" t="s">
        <v>28140</v>
      </c>
    </row>
    <row r="8148" spans="1:8" ht="25.05" customHeight="1" x14ac:dyDescent="0.25">
      <c r="A8148" s="2" t="s">
        <v>8</v>
      </c>
      <c r="B8148" s="2" t="str">
        <f>HYPERLINK("http://ts.21cn.com/tousu/show/id/1339195","无法改签")</f>
        <v>无法改签</v>
      </c>
      <c r="C8148" s="2" t="s">
        <v>34</v>
      </c>
      <c r="D8148" s="2" t="s">
        <v>10</v>
      </c>
      <c r="E8148" s="2" t="str">
        <f>HYPERLINK("http://ts.21cn.com/tousu/show/id/1339195","http://ts.21cn.com/tousu/show/id/1339195")</f>
        <v>http://ts.21cn.com/tousu/show/id/1339195</v>
      </c>
      <c r="F8148" s="2" t="s">
        <v>11</v>
      </c>
      <c r="G8148" s="2" t="s">
        <v>28137</v>
      </c>
      <c r="H8148" s="2" t="s">
        <v>28138</v>
      </c>
    </row>
    <row r="8149" spans="1:8" ht="25.05" customHeight="1" x14ac:dyDescent="0.25">
      <c r="A8149" s="2" t="s">
        <v>8</v>
      </c>
      <c r="B8149" s="2" t="str">
        <f>HYPERLINK("http://ts.21cn.com/tousu/show/id/1339196","闪电借款不放款")</f>
        <v>闪电借款不放款</v>
      </c>
      <c r="C8149" s="2" t="s">
        <v>34</v>
      </c>
      <c r="D8149" s="2" t="s">
        <v>10</v>
      </c>
      <c r="E8149" s="2" t="str">
        <f>HYPERLINK("http://ts.21cn.com/tousu/show/id/1339196","http://ts.21cn.com/tousu/show/id/1339196")</f>
        <v>http://ts.21cn.com/tousu/show/id/1339196</v>
      </c>
      <c r="F8149" s="2" t="s">
        <v>11</v>
      </c>
      <c r="G8149" s="2" t="s">
        <v>28135</v>
      </c>
      <c r="H8149" s="2" t="s">
        <v>28136</v>
      </c>
    </row>
    <row r="8150" spans="1:8" ht="25.05" customHeight="1" x14ac:dyDescent="0.25">
      <c r="A8150" s="2" t="s">
        <v>8</v>
      </c>
      <c r="B8150" s="2" t="str">
        <f>HYPERLINK("http://ts.21cn.com/tousu/show/id/1339189","今借到借条存在套路贷行为！反馈官方迟迟不能解决问题")</f>
        <v>今借到借条存在套路贷行为！反馈官方迟迟不能解决问题</v>
      </c>
      <c r="C8150" s="2" t="s">
        <v>9</v>
      </c>
      <c r="D8150" s="2" t="s">
        <v>10</v>
      </c>
      <c r="E8150" s="2" t="str">
        <f>HYPERLINK("http://ts.21cn.com/tousu/show/id/1339189","http://ts.21cn.com/tousu/show/id/1339189")</f>
        <v>http://ts.21cn.com/tousu/show/id/1339189</v>
      </c>
      <c r="F8150" s="2" t="s">
        <v>11</v>
      </c>
      <c r="G8150" s="2" t="s">
        <v>28133</v>
      </c>
      <c r="H8150" s="2" t="s">
        <v>28134</v>
      </c>
    </row>
    <row r="8151" spans="1:8" ht="25.05" customHeight="1" x14ac:dyDescent="0.25">
      <c r="A8151" s="2" t="s">
        <v>8</v>
      </c>
      <c r="B8151" s="2" t="str">
        <f>HYPERLINK("http://ts.21cn.com/tousu/show/id/1339197","京东刷单不返钱，泄露个人信息")</f>
        <v>京东刷单不返钱，泄露个人信息</v>
      </c>
      <c r="C8151" s="2" t="s">
        <v>9</v>
      </c>
      <c r="D8151" s="2" t="s">
        <v>10</v>
      </c>
      <c r="E8151" s="2" t="str">
        <f>HYPERLINK("http://ts.21cn.com/tousu/show/id/1339197","http://ts.21cn.com/tousu/show/id/1339197")</f>
        <v>http://ts.21cn.com/tousu/show/id/1339197</v>
      </c>
      <c r="F8151" s="2" t="s">
        <v>11</v>
      </c>
      <c r="G8151" s="2" t="s">
        <v>28131</v>
      </c>
      <c r="H8151" s="2" t="s">
        <v>28132</v>
      </c>
    </row>
    <row r="8152" spans="1:8" ht="25.05" customHeight="1" x14ac:dyDescent="0.25">
      <c r="A8152" s="2" t="s">
        <v>8</v>
      </c>
      <c r="B8152" s="2" t="str">
        <f>HYPERLINK("http://ts.21cn.com/tousu/show/id/1339176","ECT助手不给退押金")</f>
        <v>ECT助手不给退押金</v>
      </c>
      <c r="C8152" s="2" t="s">
        <v>9</v>
      </c>
      <c r="D8152" s="2" t="s">
        <v>10</v>
      </c>
      <c r="E8152" s="2" t="str">
        <f>HYPERLINK("http://ts.21cn.com/tousu/show/id/1339176","http://ts.21cn.com/tousu/show/id/1339176")</f>
        <v>http://ts.21cn.com/tousu/show/id/1339176</v>
      </c>
      <c r="F8152" s="2" t="s">
        <v>11</v>
      </c>
      <c r="G8152" s="2" t="s">
        <v>28129</v>
      </c>
      <c r="H8152" s="2" t="s">
        <v>28130</v>
      </c>
    </row>
    <row r="8153" spans="1:8" ht="25.05" customHeight="1" x14ac:dyDescent="0.25">
      <c r="A8153" s="2" t="s">
        <v>8</v>
      </c>
      <c r="B8153" s="2" t="str">
        <f>HYPERLINK("http://ts.21cn.com/tousu/show/id/1339198","火山钱庄泄露用户资料，不愿负责任，并且还有砍头息")</f>
        <v>火山钱庄泄露用户资料，不愿负责任，并且还有砍头息</v>
      </c>
      <c r="C8153" s="2" t="s">
        <v>9</v>
      </c>
      <c r="D8153" s="2" t="s">
        <v>10</v>
      </c>
      <c r="E8153" s="2" t="str">
        <f>HYPERLINK("http://ts.21cn.com/tousu/show/id/1339198","http://ts.21cn.com/tousu/show/id/1339198")</f>
        <v>http://ts.21cn.com/tousu/show/id/1339198</v>
      </c>
      <c r="F8153" s="2" t="s">
        <v>11</v>
      </c>
      <c r="G8153" s="2" t="s">
        <v>28127</v>
      </c>
      <c r="H8153" s="2" t="s">
        <v>28128</v>
      </c>
    </row>
    <row r="8154" spans="1:8" ht="25.05" customHeight="1" x14ac:dyDescent="0.25">
      <c r="A8154" s="2" t="s">
        <v>8</v>
      </c>
      <c r="B8154" s="2" t="str">
        <f>HYPERLINK("http://ts.21cn.com/tousu/show/id/1339199","交易猫代练不回复不发货")</f>
        <v>交易猫代练不回复不发货</v>
      </c>
      <c r="C8154" s="2" t="s">
        <v>34</v>
      </c>
      <c r="D8154" s="2" t="s">
        <v>10</v>
      </c>
      <c r="E8154" s="2" t="str">
        <f>HYPERLINK("http://ts.21cn.com/tousu/show/id/1339199","http://ts.21cn.com/tousu/show/id/1339199")</f>
        <v>http://ts.21cn.com/tousu/show/id/1339199</v>
      </c>
      <c r="F8154" s="2" t="s">
        <v>11</v>
      </c>
      <c r="G8154" s="2" t="s">
        <v>28125</v>
      </c>
      <c r="H8154" s="2" t="s">
        <v>28126</v>
      </c>
    </row>
    <row r="8155" spans="1:8" ht="25.05" customHeight="1" x14ac:dyDescent="0.25">
      <c r="A8155" s="2" t="s">
        <v>8</v>
      </c>
      <c r="B8155" s="2" t="str">
        <f>HYPERLINK("http://ts.21cn.com/tousu/show/id/1339200","侵犯隐私，暴力催收")</f>
        <v>侵犯隐私，暴力催收</v>
      </c>
      <c r="C8155" s="2" t="s">
        <v>9</v>
      </c>
      <c r="D8155" s="2" t="s">
        <v>10</v>
      </c>
      <c r="E8155" s="2" t="str">
        <f>HYPERLINK("http://ts.21cn.com/tousu/show/id/1339200","http://ts.21cn.com/tousu/show/id/1339200")</f>
        <v>http://ts.21cn.com/tousu/show/id/1339200</v>
      </c>
      <c r="F8155" s="2" t="s">
        <v>11</v>
      </c>
      <c r="G8155" s="2" t="s">
        <v>28123</v>
      </c>
      <c r="H8155" s="2" t="s">
        <v>28124</v>
      </c>
    </row>
    <row r="8156" spans="1:8" ht="25.05" customHeight="1" x14ac:dyDescent="0.25">
      <c r="A8156" s="2" t="s">
        <v>8</v>
      </c>
      <c r="B8156" s="2" t="str">
        <f>HYPERLINK("http://ts.21cn.com/tousu/show/id/1339201","营口兰旗机场工作人员办理VIP卡霸王条款，没有人接听也没有人管")</f>
        <v>营口兰旗机场工作人员办理VIP卡霸王条款，没有人接听也没有人管</v>
      </c>
      <c r="C8156" s="2" t="s">
        <v>9</v>
      </c>
      <c r="D8156" s="2" t="s">
        <v>10</v>
      </c>
      <c r="E8156" s="2" t="str">
        <f>HYPERLINK("http://ts.21cn.com/tousu/show/id/1339201","http://ts.21cn.com/tousu/show/id/1339201")</f>
        <v>http://ts.21cn.com/tousu/show/id/1339201</v>
      </c>
      <c r="F8156" s="2" t="s">
        <v>11</v>
      </c>
      <c r="G8156" s="2" t="s">
        <v>28121</v>
      </c>
      <c r="H8156" s="2" t="s">
        <v>28122</v>
      </c>
    </row>
    <row r="8157" spans="1:8" ht="25.05" customHeight="1" x14ac:dyDescent="0.25">
      <c r="A8157" s="2" t="s">
        <v>8</v>
      </c>
      <c r="B8157" s="2" t="str">
        <f>HYPERLINK("http://ts.21cn.com/tousu/show/id/1339203","进行骚扰崔收,严重影响我的同事/朋友/家人,使我造成很大的心里压力")</f>
        <v>进行骚扰崔收,严重影响我的同事/朋友/家人,使我造成很大的心里压力</v>
      </c>
      <c r="C8157" s="2" t="s">
        <v>9</v>
      </c>
      <c r="D8157" s="2" t="s">
        <v>10</v>
      </c>
      <c r="E8157" s="2" t="str">
        <f>HYPERLINK("http://ts.21cn.com/tousu/show/id/1339203","http://ts.21cn.com/tousu/show/id/1339203")</f>
        <v>http://ts.21cn.com/tousu/show/id/1339203</v>
      </c>
      <c r="F8157" s="2" t="s">
        <v>11</v>
      </c>
      <c r="G8157" s="2" t="s">
        <v>28119</v>
      </c>
      <c r="H8157" s="2" t="s">
        <v>28120</v>
      </c>
    </row>
    <row r="8158" spans="1:8" ht="25.05" customHeight="1" x14ac:dyDescent="0.25">
      <c r="A8158" s="2" t="s">
        <v>8</v>
      </c>
      <c r="B8158" s="2" t="str">
        <f>HYPERLINK("http://ts.21cn.com/tousu/show/id/1339205","招联金融威胁")</f>
        <v>招联金融威胁</v>
      </c>
      <c r="C8158" s="2" t="s">
        <v>9</v>
      </c>
      <c r="D8158" s="2" t="s">
        <v>10</v>
      </c>
      <c r="E8158" s="2" t="str">
        <f>HYPERLINK("http://ts.21cn.com/tousu/show/id/1339205","http://ts.21cn.com/tousu/show/id/1339205")</f>
        <v>http://ts.21cn.com/tousu/show/id/1339205</v>
      </c>
      <c r="F8158" s="2" t="s">
        <v>11</v>
      </c>
      <c r="G8158" s="2" t="s">
        <v>28117</v>
      </c>
      <c r="H8158" s="2" t="s">
        <v>28118</v>
      </c>
    </row>
    <row r="8159" spans="1:8" ht="25.05" customHeight="1" x14ac:dyDescent="0.25">
      <c r="A8159" s="2" t="s">
        <v>8</v>
      </c>
      <c r="B8159" s="2" t="str">
        <f>HYPERLINK("http://ts.21cn.com/tousu/show/id/1339204","立借钱置宝高利贷套路贷")</f>
        <v>立借钱置宝高利贷套路贷</v>
      </c>
      <c r="C8159" s="2" t="s">
        <v>9</v>
      </c>
      <c r="D8159" s="2" t="s">
        <v>10</v>
      </c>
      <c r="E8159" s="2" t="str">
        <f>HYPERLINK("http://ts.21cn.com/tousu/show/id/1339204","http://ts.21cn.com/tousu/show/id/1339204")</f>
        <v>http://ts.21cn.com/tousu/show/id/1339204</v>
      </c>
      <c r="F8159" s="2" t="s">
        <v>11</v>
      </c>
      <c r="G8159" s="2" t="s">
        <v>28115</v>
      </c>
      <c r="H8159" s="2" t="s">
        <v>28116</v>
      </c>
    </row>
    <row r="8160" spans="1:8" ht="25.05" customHeight="1" x14ac:dyDescent="0.25">
      <c r="A8160" s="2" t="s">
        <v>8</v>
      </c>
      <c r="B8160" s="2" t="str">
        <f>HYPERLINK("http://ts.21cn.com/tousu/show/id/1339206","电话骚扰，威胁恐吓")</f>
        <v>电话骚扰，威胁恐吓</v>
      </c>
      <c r="C8160" s="2" t="s">
        <v>9</v>
      </c>
      <c r="D8160" s="2" t="s">
        <v>10</v>
      </c>
      <c r="E8160" s="2" t="str">
        <f>HYPERLINK("http://ts.21cn.com/tousu/show/id/1339206","http://ts.21cn.com/tousu/show/id/1339206")</f>
        <v>http://ts.21cn.com/tousu/show/id/1339206</v>
      </c>
      <c r="F8160" s="2" t="s">
        <v>11</v>
      </c>
      <c r="G8160" s="2" t="s">
        <v>28113</v>
      </c>
      <c r="H8160" s="2" t="s">
        <v>28114</v>
      </c>
    </row>
    <row r="8161" spans="1:8" ht="25.05" customHeight="1" x14ac:dyDescent="0.25">
      <c r="A8161" s="2" t="s">
        <v>8</v>
      </c>
      <c r="B8161" s="2" t="str">
        <f>HYPERLINK("http://ts.21cn.com/tousu/show/id/1339148","美国马球协会服饰旗舰店未理睬诉求")</f>
        <v>美国马球协会服饰旗舰店未理睬诉求</v>
      </c>
      <c r="C8161" s="2" t="s">
        <v>9</v>
      </c>
      <c r="D8161" s="2" t="s">
        <v>10</v>
      </c>
      <c r="E8161" s="2" t="str">
        <f>HYPERLINK("http://ts.21cn.com/tousu/show/id/1339148","http://ts.21cn.com/tousu/show/id/1339148")</f>
        <v>http://ts.21cn.com/tousu/show/id/1339148</v>
      </c>
      <c r="F8161" s="2" t="s">
        <v>11</v>
      </c>
      <c r="G8161" s="2" t="s">
        <v>28111</v>
      </c>
      <c r="H8161" s="2" t="s">
        <v>28112</v>
      </c>
    </row>
    <row r="8162" spans="1:8" ht="25.05" customHeight="1" x14ac:dyDescent="0.25">
      <c r="A8162" s="2" t="s">
        <v>8</v>
      </c>
      <c r="B8162" s="2" t="str">
        <f>HYPERLINK("http://ts.21cn.com/tousu/show/id/1339207","小浦优客未经同意扣款")</f>
        <v>小浦优客未经同意扣款</v>
      </c>
      <c r="C8162" s="2" t="s">
        <v>9</v>
      </c>
      <c r="D8162" s="2" t="s">
        <v>10</v>
      </c>
      <c r="E8162" s="2" t="str">
        <f>HYPERLINK("http://ts.21cn.com/tousu/show/id/1339207","http://ts.21cn.com/tousu/show/id/1339207")</f>
        <v>http://ts.21cn.com/tousu/show/id/1339207</v>
      </c>
      <c r="F8162" s="2" t="s">
        <v>11</v>
      </c>
      <c r="G8162" s="2" t="s">
        <v>28110</v>
      </c>
      <c r="H8162" s="2" t="s">
        <v>4538</v>
      </c>
    </row>
    <row r="8163" spans="1:8" ht="25.05" customHeight="1" x14ac:dyDescent="0.25">
      <c r="A8163" s="2" t="s">
        <v>8</v>
      </c>
      <c r="B8163" s="2" t="str">
        <f>HYPERLINK("http://ts.21cn.com/tousu/show/id/1339208","新橙优品砍头息恐吓催收")</f>
        <v>新橙优品砍头息恐吓催收</v>
      </c>
      <c r="C8163" s="2" t="s">
        <v>9</v>
      </c>
      <c r="D8163" s="2" t="s">
        <v>10</v>
      </c>
      <c r="E8163" s="2" t="str">
        <f>HYPERLINK("http://ts.21cn.com/tousu/show/id/1339208","http://ts.21cn.com/tousu/show/id/1339208")</f>
        <v>http://ts.21cn.com/tousu/show/id/1339208</v>
      </c>
      <c r="F8163" s="2" t="s">
        <v>11</v>
      </c>
      <c r="G8163" s="2" t="s">
        <v>28108</v>
      </c>
      <c r="H8163" s="2" t="s">
        <v>28109</v>
      </c>
    </row>
    <row r="8164" spans="1:8" ht="25.05" customHeight="1" x14ac:dyDescent="0.25">
      <c r="A8164" s="2" t="s">
        <v>8</v>
      </c>
      <c r="B8164" s="2" t="str">
        <f>HYPERLINK("http://ts.21cn.com/tousu/show/id/1339209","豆豆钱电话威胁飙脏话")</f>
        <v>豆豆钱电话威胁飙脏话</v>
      </c>
      <c r="C8164" s="2" t="s">
        <v>9</v>
      </c>
      <c r="D8164" s="2" t="s">
        <v>10</v>
      </c>
      <c r="E8164" s="2" t="str">
        <f>HYPERLINK("http://ts.21cn.com/tousu/show/id/1339209","http://ts.21cn.com/tousu/show/id/1339209")</f>
        <v>http://ts.21cn.com/tousu/show/id/1339209</v>
      </c>
      <c r="F8164" s="2" t="s">
        <v>11</v>
      </c>
      <c r="G8164" s="2" t="s">
        <v>28106</v>
      </c>
      <c r="H8164" s="2" t="s">
        <v>28107</v>
      </c>
    </row>
    <row r="8165" spans="1:8" ht="25.05" customHeight="1" x14ac:dyDescent="0.25">
      <c r="A8165" s="2" t="s">
        <v>8</v>
      </c>
      <c r="B8165" s="2" t="str">
        <f>HYPERLINK("http://ts.21cn.com/tousu/show/id/1339210","月光侠收取砍头息")</f>
        <v>月光侠收取砍头息</v>
      </c>
      <c r="C8165" s="2" t="s">
        <v>9</v>
      </c>
      <c r="D8165" s="2" t="s">
        <v>10</v>
      </c>
      <c r="E8165" s="2" t="str">
        <f>HYPERLINK("http://ts.21cn.com/tousu/show/id/1339210","http://ts.21cn.com/tousu/show/id/1339210")</f>
        <v>http://ts.21cn.com/tousu/show/id/1339210</v>
      </c>
      <c r="F8165" s="2" t="s">
        <v>11</v>
      </c>
      <c r="G8165" s="2" t="s">
        <v>28104</v>
      </c>
      <c r="H8165" s="2" t="s">
        <v>28105</v>
      </c>
    </row>
    <row r="8166" spans="1:8" ht="25.05" customHeight="1" x14ac:dyDescent="0.25">
      <c r="A8166" s="2" t="s">
        <v>8</v>
      </c>
      <c r="B8166" s="2" t="str">
        <f>HYPERLINK("http://ts.21cn.com/tousu/show/id/1339211","聚福钱包恶意捆绑收费")</f>
        <v>聚福钱包恶意捆绑收费</v>
      </c>
      <c r="C8166" s="2" t="s">
        <v>9</v>
      </c>
      <c r="D8166" s="2" t="s">
        <v>10</v>
      </c>
      <c r="E8166" s="2" t="str">
        <f>HYPERLINK("http://ts.21cn.com/tousu/show/id/1339211","http://ts.21cn.com/tousu/show/id/1339211")</f>
        <v>http://ts.21cn.com/tousu/show/id/1339211</v>
      </c>
      <c r="F8166" s="2" t="s">
        <v>11</v>
      </c>
      <c r="G8166" s="2" t="s">
        <v>28102</v>
      </c>
      <c r="H8166" s="2" t="s">
        <v>28103</v>
      </c>
    </row>
    <row r="8167" spans="1:8" ht="25.05" customHeight="1" x14ac:dyDescent="0.25">
      <c r="A8167" s="2" t="s">
        <v>8</v>
      </c>
      <c r="B8167" s="2" t="str">
        <f>HYPERLINK("http://ts.21cn.com/tousu/show/id/1339213","玖富万卡擅自改写合同，变相收取费用，高利贷")</f>
        <v>玖富万卡擅自改写合同，变相收取费用，高利贷</v>
      </c>
      <c r="C8167" s="2" t="s">
        <v>9</v>
      </c>
      <c r="D8167" s="2" t="s">
        <v>10</v>
      </c>
      <c r="E8167" s="2" t="str">
        <f>HYPERLINK("http://ts.21cn.com/tousu/show/id/1339213","http://ts.21cn.com/tousu/show/id/1339213")</f>
        <v>http://ts.21cn.com/tousu/show/id/1339213</v>
      </c>
      <c r="F8167" s="2" t="s">
        <v>11</v>
      </c>
      <c r="G8167" s="2" t="s">
        <v>28099</v>
      </c>
      <c r="H8167" s="2" t="s">
        <v>28100</v>
      </c>
    </row>
    <row r="8168" spans="1:8" ht="25.05" customHeight="1" x14ac:dyDescent="0.25">
      <c r="A8168" s="2" t="s">
        <v>8</v>
      </c>
      <c r="B8168" s="2" t="str">
        <f>HYPERLINK("http://ts.21cn.com/tousu/show/id/1339212","点点通网站打不开造成逾期")</f>
        <v>点点通网站打不开造成逾期</v>
      </c>
      <c r="C8168" s="2" t="s">
        <v>9</v>
      </c>
      <c r="D8168" s="2" t="s">
        <v>10</v>
      </c>
      <c r="E8168" s="2" t="str">
        <f>HYPERLINK("http://ts.21cn.com/tousu/show/id/1339212","http://ts.21cn.com/tousu/show/id/1339212")</f>
        <v>http://ts.21cn.com/tousu/show/id/1339212</v>
      </c>
      <c r="F8168" s="2" t="s">
        <v>11</v>
      </c>
      <c r="G8168" s="2" t="s">
        <v>28099</v>
      </c>
      <c r="H8168" s="2" t="s">
        <v>28101</v>
      </c>
    </row>
    <row r="8169" spans="1:8" ht="25.05" customHeight="1" x14ac:dyDescent="0.25">
      <c r="A8169" s="2" t="s">
        <v>8</v>
      </c>
      <c r="B8169" s="2" t="str">
        <f>HYPERLINK("http://ts.21cn.com/tousu/show/id/1339214","神马借高利贷")</f>
        <v>神马借高利贷</v>
      </c>
      <c r="C8169" s="2" t="s">
        <v>9</v>
      </c>
      <c r="D8169" s="2" t="s">
        <v>10</v>
      </c>
      <c r="E8169" s="2" t="str">
        <f>HYPERLINK("http://ts.21cn.com/tousu/show/id/1339214","http://ts.21cn.com/tousu/show/id/1339214")</f>
        <v>http://ts.21cn.com/tousu/show/id/1339214</v>
      </c>
      <c r="F8169" s="2" t="s">
        <v>11</v>
      </c>
      <c r="G8169" s="2" t="s">
        <v>28097</v>
      </c>
      <c r="H8169" s="2" t="s">
        <v>28098</v>
      </c>
    </row>
    <row r="8170" spans="1:8" ht="25.05" customHeight="1" x14ac:dyDescent="0.25">
      <c r="A8170" s="2" t="s">
        <v>8</v>
      </c>
      <c r="B8170" s="2" t="str">
        <f>HYPERLINK("http://ts.21cn.com/tousu/show/id/1339216","平安银行暴力催收")</f>
        <v>平安银行暴力催收</v>
      </c>
      <c r="C8170" s="2" t="s">
        <v>9</v>
      </c>
      <c r="D8170" s="2" t="s">
        <v>10</v>
      </c>
      <c r="E8170" s="2" t="str">
        <f>HYPERLINK("http://ts.21cn.com/tousu/show/id/1339216","http://ts.21cn.com/tousu/show/id/1339216")</f>
        <v>http://ts.21cn.com/tousu/show/id/1339216</v>
      </c>
      <c r="F8170" s="2" t="s">
        <v>11</v>
      </c>
      <c r="G8170" s="2" t="s">
        <v>28095</v>
      </c>
      <c r="H8170" s="2" t="s">
        <v>28096</v>
      </c>
    </row>
    <row r="8171" spans="1:8" ht="25.05" customHeight="1" x14ac:dyDescent="0.25">
      <c r="A8171" s="2" t="s">
        <v>8</v>
      </c>
      <c r="B8171" s="2" t="str">
        <f>HYPERLINK("http://ts.21cn.com/tousu/show/id/1339217","退还10元邀请新人奖励")</f>
        <v>退还10元邀请新人奖励</v>
      </c>
      <c r="C8171" s="2" t="s">
        <v>9</v>
      </c>
      <c r="D8171" s="2" t="s">
        <v>10</v>
      </c>
      <c r="E8171" s="2" t="str">
        <f>HYPERLINK("http://ts.21cn.com/tousu/show/id/1339217","http://ts.21cn.com/tousu/show/id/1339217")</f>
        <v>http://ts.21cn.com/tousu/show/id/1339217</v>
      </c>
      <c r="F8171" s="2" t="s">
        <v>11</v>
      </c>
      <c r="G8171" s="2" t="s">
        <v>28093</v>
      </c>
      <c r="H8171" s="2" t="s">
        <v>28094</v>
      </c>
    </row>
    <row r="8172" spans="1:8" ht="25.05" customHeight="1" x14ac:dyDescent="0.25">
      <c r="A8172" s="2" t="s">
        <v>8</v>
      </c>
      <c r="B8172" s="2" t="str">
        <f>HYPERLINK("http://ts.21cn.com/tousu/show/id/1339218","买单侠高利贷借1500要还2570还要上门威胁父母")</f>
        <v>买单侠高利贷借1500要还2570还要上门威胁父母</v>
      </c>
      <c r="C8172" s="2" t="s">
        <v>9</v>
      </c>
      <c r="D8172" s="2" t="s">
        <v>10</v>
      </c>
      <c r="E8172" s="2" t="str">
        <f>HYPERLINK("http://ts.21cn.com/tousu/show/id/1339218","http://ts.21cn.com/tousu/show/id/1339218")</f>
        <v>http://ts.21cn.com/tousu/show/id/1339218</v>
      </c>
      <c r="F8172" s="2" t="s">
        <v>11</v>
      </c>
      <c r="G8172" s="2" t="s">
        <v>28091</v>
      </c>
      <c r="H8172" s="2" t="s">
        <v>28092</v>
      </c>
    </row>
    <row r="8173" spans="1:8" ht="25.05" customHeight="1" x14ac:dyDescent="0.25">
      <c r="A8173" s="2" t="s">
        <v>8</v>
      </c>
      <c r="B8173" s="2" t="str">
        <f>HYPERLINK("http://ts.21cn.com/tousu/show/id/1339219","点点通借贷链接登入不了还款还不了")</f>
        <v>点点通借贷链接登入不了还款还不了</v>
      </c>
      <c r="C8173" s="2" t="s">
        <v>34</v>
      </c>
      <c r="D8173" s="2" t="s">
        <v>10</v>
      </c>
      <c r="E8173" s="2" t="str">
        <f>HYPERLINK("http://ts.21cn.com/tousu/show/id/1339219","http://ts.21cn.com/tousu/show/id/1339219")</f>
        <v>http://ts.21cn.com/tousu/show/id/1339219</v>
      </c>
      <c r="F8173" s="2" t="s">
        <v>11</v>
      </c>
      <c r="G8173" s="2" t="s">
        <v>28089</v>
      </c>
      <c r="H8173" s="2" t="s">
        <v>28090</v>
      </c>
    </row>
    <row r="8174" spans="1:8" ht="25.05" customHeight="1" x14ac:dyDescent="0.25">
      <c r="A8174" s="2" t="s">
        <v>8</v>
      </c>
      <c r="B8174" s="2" t="str">
        <f>HYPERLINK("http://ts.21cn.com/tousu/show/id/1339220","关于美约app乱扣费问题，免费试用后，自动续费会员一年298元")</f>
        <v>关于美约app乱扣费问题，免费试用后，自动续费会员一年298元</v>
      </c>
      <c r="C8174" s="2" t="s">
        <v>34</v>
      </c>
      <c r="D8174" s="2" t="s">
        <v>10</v>
      </c>
      <c r="E8174" s="2" t="str">
        <f>HYPERLINK("http://ts.21cn.com/tousu/show/id/1339220","http://ts.21cn.com/tousu/show/id/1339220")</f>
        <v>http://ts.21cn.com/tousu/show/id/1339220</v>
      </c>
      <c r="F8174" s="2" t="s">
        <v>11</v>
      </c>
      <c r="G8174" s="2" t="s">
        <v>28087</v>
      </c>
      <c r="H8174" s="2" t="s">
        <v>28088</v>
      </c>
    </row>
    <row r="8175" spans="1:8" ht="25.05" customHeight="1" x14ac:dyDescent="0.25">
      <c r="A8175" s="2" t="s">
        <v>8</v>
      </c>
      <c r="B8175" s="2" t="str">
        <f>HYPERLINK("http://ts.21cn.com/tousu/show/id/1339221","网络赌博")</f>
        <v>网络赌博</v>
      </c>
      <c r="C8175" s="2" t="s">
        <v>9</v>
      </c>
      <c r="D8175" s="2" t="s">
        <v>10</v>
      </c>
      <c r="E8175" s="2" t="str">
        <f>HYPERLINK("http://ts.21cn.com/tousu/show/id/1339221","http://ts.21cn.com/tousu/show/id/1339221")</f>
        <v>http://ts.21cn.com/tousu/show/id/1339221</v>
      </c>
      <c r="F8175" s="2" t="s">
        <v>11</v>
      </c>
      <c r="G8175" s="2" t="s">
        <v>28085</v>
      </c>
      <c r="H8175" s="2" t="s">
        <v>28086</v>
      </c>
    </row>
    <row r="8176" spans="1:8" ht="25.05" customHeight="1" x14ac:dyDescent="0.25">
      <c r="A8176" s="2" t="s">
        <v>8</v>
      </c>
      <c r="B8176" s="2" t="str">
        <f>HYPERLINK("http://ts.21cn.com/tousu/show/id/1339222","捷信金融违法催收")</f>
        <v>捷信金融违法催收</v>
      </c>
      <c r="C8176" s="2" t="s">
        <v>9</v>
      </c>
      <c r="D8176" s="2" t="s">
        <v>10</v>
      </c>
      <c r="E8176" s="2" t="str">
        <f>HYPERLINK("http://ts.21cn.com/tousu/show/id/1339222","http://ts.21cn.com/tousu/show/id/1339222")</f>
        <v>http://ts.21cn.com/tousu/show/id/1339222</v>
      </c>
      <c r="F8176" s="2" t="s">
        <v>11</v>
      </c>
      <c r="G8176" s="2" t="s">
        <v>28083</v>
      </c>
      <c r="H8176" s="2" t="s">
        <v>28084</v>
      </c>
    </row>
    <row r="8177" spans="1:8" ht="25.05" customHeight="1" x14ac:dyDescent="0.25">
      <c r="A8177" s="2" t="s">
        <v>8</v>
      </c>
      <c r="B8177" s="2" t="str">
        <f>HYPERLINK("http://ts.21cn.com/tousu/show/id/1339223","分期通恶意收取会员费用")</f>
        <v>分期通恶意收取会员费用</v>
      </c>
      <c r="C8177" s="2" t="s">
        <v>9</v>
      </c>
      <c r="D8177" s="2" t="s">
        <v>10</v>
      </c>
      <c r="E8177" s="2" t="str">
        <f>HYPERLINK("http://ts.21cn.com/tousu/show/id/1339223","http://ts.21cn.com/tousu/show/id/1339223")</f>
        <v>http://ts.21cn.com/tousu/show/id/1339223</v>
      </c>
      <c r="F8177" s="2" t="s">
        <v>11</v>
      </c>
      <c r="G8177" s="2" t="s">
        <v>28081</v>
      </c>
      <c r="H8177" s="2" t="s">
        <v>28082</v>
      </c>
    </row>
    <row r="8178" spans="1:8" ht="25.05" customHeight="1" x14ac:dyDescent="0.25">
      <c r="A8178" s="2" t="s">
        <v>8</v>
      </c>
      <c r="B8178" s="2" t="str">
        <f>HYPERLINK("http://ts.21cn.com/tousu/show/id/1339225","微博乱赞")</f>
        <v>微博乱赞</v>
      </c>
      <c r="C8178" s="2" t="s">
        <v>34</v>
      </c>
      <c r="D8178" s="2" t="s">
        <v>10</v>
      </c>
      <c r="E8178" s="2" t="str">
        <f>HYPERLINK("http://ts.21cn.com/tousu/show/id/1339225","http://ts.21cn.com/tousu/show/id/1339225")</f>
        <v>http://ts.21cn.com/tousu/show/id/1339225</v>
      </c>
      <c r="F8178" s="2" t="s">
        <v>11</v>
      </c>
      <c r="G8178" s="2" t="s">
        <v>28079</v>
      </c>
      <c r="H8178" s="2" t="s">
        <v>28080</v>
      </c>
    </row>
    <row r="8179" spans="1:8" ht="25.05" customHeight="1" x14ac:dyDescent="0.25">
      <c r="A8179" s="2" t="s">
        <v>8</v>
      </c>
      <c r="B8179" s="2" t="str">
        <f>HYPERLINK("http://ts.21cn.com/tousu/show/id/1339227","现金借款恶语催收")</f>
        <v>现金借款恶语催收</v>
      </c>
      <c r="C8179" s="2" t="s">
        <v>9</v>
      </c>
      <c r="D8179" s="2" t="s">
        <v>10</v>
      </c>
      <c r="E8179" s="2" t="str">
        <f>HYPERLINK("http://ts.21cn.com/tousu/show/id/1339227","http://ts.21cn.com/tousu/show/id/1339227")</f>
        <v>http://ts.21cn.com/tousu/show/id/1339227</v>
      </c>
      <c r="F8179" s="2" t="s">
        <v>11</v>
      </c>
      <c r="G8179" s="2" t="s">
        <v>28077</v>
      </c>
      <c r="H8179" s="2" t="s">
        <v>28078</v>
      </c>
    </row>
    <row r="8180" spans="1:8" ht="25.05" customHeight="1" x14ac:dyDescent="0.25">
      <c r="A8180" s="2" t="s">
        <v>8</v>
      </c>
      <c r="B8180" s="2" t="str">
        <f>HYPERLINK("http://ts.21cn.com/tousu/show/id/1339229","好分期暴力催收威胁打通讯录")</f>
        <v>好分期暴力催收威胁打通讯录</v>
      </c>
      <c r="C8180" s="2" t="s">
        <v>9</v>
      </c>
      <c r="D8180" s="2" t="s">
        <v>10</v>
      </c>
      <c r="E8180" s="2" t="str">
        <f>HYPERLINK("http://ts.21cn.com/tousu/show/id/1339229","http://ts.21cn.com/tousu/show/id/1339229")</f>
        <v>http://ts.21cn.com/tousu/show/id/1339229</v>
      </c>
      <c r="F8180" s="2" t="s">
        <v>11</v>
      </c>
      <c r="G8180" s="2" t="s">
        <v>28075</v>
      </c>
      <c r="H8180" s="2" t="s">
        <v>28076</v>
      </c>
    </row>
    <row r="8181" spans="1:8" ht="25.05" customHeight="1" x14ac:dyDescent="0.25">
      <c r="A8181" s="2" t="s">
        <v>8</v>
      </c>
      <c r="B8181" s="2" t="str">
        <f>HYPERLINK("http://ts.21cn.com/tousu/show/id/1339230","马上消费金融旗下安逸花锁定个人账户")</f>
        <v>马上消费金融旗下安逸花锁定个人账户</v>
      </c>
      <c r="C8181" s="2" t="s">
        <v>34</v>
      </c>
      <c r="D8181" s="2" t="s">
        <v>10</v>
      </c>
      <c r="E8181" s="2" t="str">
        <f>HYPERLINK("http://ts.21cn.com/tousu/show/id/1339230","http://ts.21cn.com/tousu/show/id/1339230")</f>
        <v>http://ts.21cn.com/tousu/show/id/1339230</v>
      </c>
      <c r="F8181" s="2" t="s">
        <v>11</v>
      </c>
      <c r="G8181" s="2" t="s">
        <v>28073</v>
      </c>
      <c r="H8181" s="2" t="s">
        <v>28074</v>
      </c>
    </row>
    <row r="8182" spans="1:8" ht="25.05" customHeight="1" x14ac:dyDescent="0.25">
      <c r="A8182" s="2" t="s">
        <v>8</v>
      </c>
      <c r="B8182" s="2" t="str">
        <f>HYPERLINK("http://ts.21cn.com/tousu/show/id/1339231","还款困难，要求闪银延期还款")</f>
        <v>还款困难，要求闪银延期还款</v>
      </c>
      <c r="C8182" s="2" t="s">
        <v>9</v>
      </c>
      <c r="D8182" s="2" t="s">
        <v>10</v>
      </c>
      <c r="E8182" s="2" t="str">
        <f>HYPERLINK("http://ts.21cn.com/tousu/show/id/1339231","http://ts.21cn.com/tousu/show/id/1339231")</f>
        <v>http://ts.21cn.com/tousu/show/id/1339231</v>
      </c>
      <c r="F8182" s="2" t="s">
        <v>11</v>
      </c>
      <c r="G8182" s="2" t="s">
        <v>28071</v>
      </c>
      <c r="H8182" s="2" t="s">
        <v>28072</v>
      </c>
    </row>
    <row r="8183" spans="1:8" ht="25.05" customHeight="1" x14ac:dyDescent="0.25">
      <c r="A8183" s="2" t="s">
        <v>8</v>
      </c>
      <c r="B8183" s="2" t="str">
        <f>HYPERLINK("http://ts.21cn.com/tousu/show/id/1339233","闪电借款买黑卡不放款，请退钱")</f>
        <v>闪电借款买黑卡不放款，请退钱</v>
      </c>
      <c r="C8183" s="2" t="s">
        <v>34</v>
      </c>
      <c r="D8183" s="2" t="s">
        <v>10</v>
      </c>
      <c r="E8183" s="2" t="str">
        <f>HYPERLINK("http://ts.21cn.com/tousu/show/id/1339233","http://ts.21cn.com/tousu/show/id/1339233")</f>
        <v>http://ts.21cn.com/tousu/show/id/1339233</v>
      </c>
      <c r="F8183" s="2" t="s">
        <v>11</v>
      </c>
      <c r="G8183" s="2" t="s">
        <v>28069</v>
      </c>
      <c r="H8183" s="2" t="s">
        <v>28070</v>
      </c>
    </row>
    <row r="8184" spans="1:8" ht="25.05" customHeight="1" x14ac:dyDescent="0.25">
      <c r="A8184" s="2" t="s">
        <v>8</v>
      </c>
      <c r="B8184" s="2" t="str">
        <f>HYPERLINK("http://ts.21cn.com/tousu/show/id/1339232","贷上钱连30分钟都不给，骚扰无关人员")</f>
        <v>贷上钱连30分钟都不给，骚扰无关人员</v>
      </c>
      <c r="C8184" s="2" t="s">
        <v>9</v>
      </c>
      <c r="D8184" s="2" t="s">
        <v>10</v>
      </c>
      <c r="E8184" s="2" t="str">
        <f>HYPERLINK("http://ts.21cn.com/tousu/show/id/1339232","http://ts.21cn.com/tousu/show/id/1339232")</f>
        <v>http://ts.21cn.com/tousu/show/id/1339232</v>
      </c>
      <c r="F8184" s="2" t="s">
        <v>11</v>
      </c>
      <c r="G8184" s="2" t="s">
        <v>28067</v>
      </c>
      <c r="H8184" s="2" t="s">
        <v>28068</v>
      </c>
    </row>
    <row r="8185" spans="1:8" ht="25.05" customHeight="1" x14ac:dyDescent="0.25">
      <c r="A8185" s="2" t="s">
        <v>8</v>
      </c>
      <c r="B8185" s="2" t="str">
        <f>HYPERLINK("http://ts.21cn.com/tousu/show/id/1339234","资金盗刷")</f>
        <v>资金盗刷</v>
      </c>
      <c r="C8185" s="2" t="s">
        <v>9</v>
      </c>
      <c r="D8185" s="2" t="s">
        <v>10</v>
      </c>
      <c r="E8185" s="2" t="str">
        <f>HYPERLINK("http://ts.21cn.com/tousu/show/id/1339234","http://ts.21cn.com/tousu/show/id/1339234")</f>
        <v>http://ts.21cn.com/tousu/show/id/1339234</v>
      </c>
      <c r="F8185" s="2" t="s">
        <v>11</v>
      </c>
      <c r="G8185" s="2" t="s">
        <v>28065</v>
      </c>
      <c r="H8185" s="2" t="s">
        <v>28066</v>
      </c>
    </row>
    <row r="8186" spans="1:8" ht="25.05" customHeight="1" x14ac:dyDescent="0.25">
      <c r="A8186" s="2" t="s">
        <v>8</v>
      </c>
      <c r="B8186" s="2" t="str">
        <f>HYPERLINK("http://ts.21cn.com/tousu/show/id/1339236","协商还款，停止骚扰")</f>
        <v>协商还款，停止骚扰</v>
      </c>
      <c r="C8186" s="2" t="s">
        <v>9</v>
      </c>
      <c r="D8186" s="2" t="s">
        <v>10</v>
      </c>
      <c r="E8186" s="2" t="str">
        <f>HYPERLINK("http://ts.21cn.com/tousu/show/id/1339236","http://ts.21cn.com/tousu/show/id/1339236")</f>
        <v>http://ts.21cn.com/tousu/show/id/1339236</v>
      </c>
      <c r="F8186" s="2" t="s">
        <v>11</v>
      </c>
      <c r="G8186" s="2" t="s">
        <v>28063</v>
      </c>
      <c r="H8186" s="2" t="s">
        <v>28064</v>
      </c>
    </row>
    <row r="8187" spans="1:8" ht="25.05" customHeight="1" x14ac:dyDescent="0.25">
      <c r="A8187" s="2" t="s">
        <v>8</v>
      </c>
      <c r="B8187" s="2" t="str">
        <f>HYPERLINK("http://ts.21cn.com/tousu/show/id/1339235","你我贷")</f>
        <v>你我贷</v>
      </c>
      <c r="C8187" s="2" t="s">
        <v>34</v>
      </c>
      <c r="D8187" s="2" t="s">
        <v>10</v>
      </c>
      <c r="E8187" s="2" t="str">
        <f>HYPERLINK("http://ts.21cn.com/tousu/show/id/1339235","http://ts.21cn.com/tousu/show/id/1339235")</f>
        <v>http://ts.21cn.com/tousu/show/id/1339235</v>
      </c>
      <c r="F8187" s="2" t="s">
        <v>11</v>
      </c>
      <c r="G8187" s="2" t="s">
        <v>28061</v>
      </c>
      <c r="H8187" s="2" t="s">
        <v>28062</v>
      </c>
    </row>
    <row r="8188" spans="1:8" ht="25.05" customHeight="1" x14ac:dyDescent="0.25">
      <c r="A8188" s="2" t="s">
        <v>8</v>
      </c>
      <c r="B8188" s="2" t="str">
        <f>HYPERLINK("http://ts.21cn.com/tousu/show/id/1339237","非恶意逾期无缓冲期")</f>
        <v>非恶意逾期无缓冲期</v>
      </c>
      <c r="C8188" s="2" t="s">
        <v>9</v>
      </c>
      <c r="D8188" s="2" t="s">
        <v>10</v>
      </c>
      <c r="E8188" s="2" t="str">
        <f>HYPERLINK("http://ts.21cn.com/tousu/show/id/1339237","http://ts.21cn.com/tousu/show/id/1339237")</f>
        <v>http://ts.21cn.com/tousu/show/id/1339237</v>
      </c>
      <c r="F8188" s="2" t="s">
        <v>11</v>
      </c>
      <c r="G8188" s="2" t="s">
        <v>28059</v>
      </c>
      <c r="H8188" s="2" t="s">
        <v>28060</v>
      </c>
    </row>
    <row r="8189" spans="1:8" ht="25.05" customHeight="1" x14ac:dyDescent="0.25">
      <c r="A8189" s="2" t="s">
        <v>8</v>
      </c>
      <c r="B8189" s="2" t="str">
        <f>HYPERLINK("http://ts.21cn.com/tousu/show/id/1339238","拼多多乱退款")</f>
        <v>拼多多乱退款</v>
      </c>
      <c r="C8189" s="2" t="s">
        <v>34</v>
      </c>
      <c r="D8189" s="2" t="s">
        <v>10</v>
      </c>
      <c r="E8189" s="2" t="str">
        <f>HYPERLINK("http://ts.21cn.com/tousu/show/id/1339238","http://ts.21cn.com/tousu/show/id/1339238")</f>
        <v>http://ts.21cn.com/tousu/show/id/1339238</v>
      </c>
      <c r="F8189" s="2" t="s">
        <v>11</v>
      </c>
      <c r="G8189" s="2" t="s">
        <v>28057</v>
      </c>
      <c r="H8189" s="2" t="s">
        <v>28058</v>
      </c>
    </row>
    <row r="8190" spans="1:8" ht="25.05" customHeight="1" x14ac:dyDescent="0.25">
      <c r="A8190" s="2" t="s">
        <v>8</v>
      </c>
      <c r="B8190" s="2" t="str">
        <f>HYPERLINK("http://ts.21cn.com/tousu/show/id/1339239","自由魔卡六便士变相高利贷砍头息")</f>
        <v>自由魔卡六便士变相高利贷砍头息</v>
      </c>
      <c r="C8190" s="2" t="s">
        <v>9</v>
      </c>
      <c r="D8190" s="2" t="s">
        <v>10</v>
      </c>
      <c r="E8190" s="2" t="str">
        <f>HYPERLINK("http://ts.21cn.com/tousu/show/id/1339239","http://ts.21cn.com/tousu/show/id/1339239")</f>
        <v>http://ts.21cn.com/tousu/show/id/1339239</v>
      </c>
      <c r="F8190" s="2" t="s">
        <v>11</v>
      </c>
      <c r="G8190" s="2" t="s">
        <v>28055</v>
      </c>
      <c r="H8190" s="2" t="s">
        <v>28056</v>
      </c>
    </row>
    <row r="8191" spans="1:8" ht="25.05" customHeight="1" x14ac:dyDescent="0.25">
      <c r="A8191" s="2" t="s">
        <v>8</v>
      </c>
      <c r="B8191" s="2" t="str">
        <f>HYPERLINK("http://ts.21cn.com/tousu/show/id/1339240","国美易卡涉嫌暴力催收爆通讯录")</f>
        <v>国美易卡涉嫌暴力催收爆通讯录</v>
      </c>
      <c r="C8191" s="2" t="s">
        <v>9</v>
      </c>
      <c r="D8191" s="2" t="s">
        <v>10</v>
      </c>
      <c r="E8191" s="2" t="str">
        <f>HYPERLINK("http://ts.21cn.com/tousu/show/id/1339240","http://ts.21cn.com/tousu/show/id/1339240")</f>
        <v>http://ts.21cn.com/tousu/show/id/1339240</v>
      </c>
      <c r="F8191" s="2" t="s">
        <v>11</v>
      </c>
      <c r="G8191" s="2" t="s">
        <v>28053</v>
      </c>
      <c r="H8191" s="2" t="s">
        <v>28054</v>
      </c>
    </row>
    <row r="8192" spans="1:8" ht="25.05" customHeight="1" x14ac:dyDescent="0.25">
      <c r="A8192" s="2" t="s">
        <v>8</v>
      </c>
      <c r="B8192" s="2" t="str">
        <f>HYPERLINK("http://ts.21cn.com/tousu/show/id/1339242","苏宁易购以答谢老顾客为名忽悠3980元")</f>
        <v>苏宁易购以答谢老顾客为名忽悠3980元</v>
      </c>
      <c r="C8192" s="2" t="s">
        <v>9</v>
      </c>
      <c r="D8192" s="2" t="s">
        <v>10</v>
      </c>
      <c r="E8192" s="2" t="str">
        <f>HYPERLINK("http://ts.21cn.com/tousu/show/id/1339242","http://ts.21cn.com/tousu/show/id/1339242")</f>
        <v>http://ts.21cn.com/tousu/show/id/1339242</v>
      </c>
      <c r="F8192" s="2" t="s">
        <v>11</v>
      </c>
      <c r="G8192" s="2" t="s">
        <v>28051</v>
      </c>
      <c r="H8192" s="2" t="s">
        <v>28052</v>
      </c>
    </row>
    <row r="8193" spans="1:8" ht="25.05" customHeight="1" x14ac:dyDescent="0.25">
      <c r="A8193" s="2" t="s">
        <v>8</v>
      </c>
      <c r="B8193" s="2" t="str">
        <f>HYPERLINK("http://ts.21cn.com/tousu/show/id/1339241","农业银行已还款不撤诉")</f>
        <v>农业银行已还款不撤诉</v>
      </c>
      <c r="C8193" s="2" t="s">
        <v>9</v>
      </c>
      <c r="D8193" s="2" t="s">
        <v>10</v>
      </c>
      <c r="E8193" s="2" t="str">
        <f>HYPERLINK("http://ts.21cn.com/tousu/show/id/1339241","http://ts.21cn.com/tousu/show/id/1339241")</f>
        <v>http://ts.21cn.com/tousu/show/id/1339241</v>
      </c>
      <c r="F8193" s="2" t="s">
        <v>11</v>
      </c>
      <c r="G8193" s="2" t="s">
        <v>28049</v>
      </c>
      <c r="H8193" s="2" t="s">
        <v>28050</v>
      </c>
    </row>
    <row r="8194" spans="1:8" ht="25.05" customHeight="1" x14ac:dyDescent="0.25">
      <c r="A8194" s="2" t="s">
        <v>8</v>
      </c>
      <c r="B8194" s="2" t="str">
        <f>HYPERLINK("http://ts.21cn.com/tousu/show/id/1339244","暴力催收骚扰通讯录好友")</f>
        <v>暴力催收骚扰通讯录好友</v>
      </c>
      <c r="C8194" s="2" t="s">
        <v>9</v>
      </c>
      <c r="D8194" s="2" t="s">
        <v>10</v>
      </c>
      <c r="E8194" s="2" t="str">
        <f>HYPERLINK("http://ts.21cn.com/tousu/show/id/1339244","http://ts.21cn.com/tousu/show/id/1339244")</f>
        <v>http://ts.21cn.com/tousu/show/id/1339244</v>
      </c>
      <c r="F8194" s="2" t="s">
        <v>11</v>
      </c>
      <c r="G8194" s="2" t="s">
        <v>28047</v>
      </c>
      <c r="H8194" s="2" t="s">
        <v>28048</v>
      </c>
    </row>
    <row r="8195" spans="1:8" ht="25.05" customHeight="1" x14ac:dyDescent="0.25">
      <c r="A8195" s="2" t="s">
        <v>8</v>
      </c>
      <c r="B8195" s="2" t="str">
        <f>HYPERLINK("http://ts.21cn.com/tousu/show/id/1339243","衡阳市南华大学附属南华医院")</f>
        <v>衡阳市南华大学附属南华医院</v>
      </c>
      <c r="C8195" s="2" t="s">
        <v>9</v>
      </c>
      <c r="D8195" s="2" t="s">
        <v>10</v>
      </c>
      <c r="E8195" s="2" t="str">
        <f>HYPERLINK("http://ts.21cn.com/tousu/show/id/1339243","http://ts.21cn.com/tousu/show/id/1339243")</f>
        <v>http://ts.21cn.com/tousu/show/id/1339243</v>
      </c>
      <c r="F8195" s="2" t="s">
        <v>11</v>
      </c>
      <c r="G8195" s="2" t="s">
        <v>28045</v>
      </c>
      <c r="H8195" s="2" t="s">
        <v>28046</v>
      </c>
    </row>
    <row r="8196" spans="1:8" ht="25.05" customHeight="1" x14ac:dyDescent="0.25">
      <c r="A8196" s="2" t="s">
        <v>8</v>
      </c>
      <c r="B8196" s="2" t="str">
        <f>HYPERLINK("http://ts.21cn.com/tousu/show/id/1339245","51人品贷51人品贷暴力催收，语言侮辱，爆我通讯")</f>
        <v>51人品贷51人品贷暴力催收，语言侮辱，爆我通讯</v>
      </c>
      <c r="C8196" s="2" t="s">
        <v>9</v>
      </c>
      <c r="D8196" s="2" t="s">
        <v>10</v>
      </c>
      <c r="E8196" s="2" t="str">
        <f>HYPERLINK("http://ts.21cn.com/tousu/show/id/1339245","http://ts.21cn.com/tousu/show/id/1339245")</f>
        <v>http://ts.21cn.com/tousu/show/id/1339245</v>
      </c>
      <c r="F8196" s="2" t="s">
        <v>11</v>
      </c>
      <c r="G8196" s="2" t="s">
        <v>28043</v>
      </c>
      <c r="H8196" s="2" t="s">
        <v>28044</v>
      </c>
    </row>
    <row r="8197" spans="1:8" ht="25.05" customHeight="1" x14ac:dyDescent="0.25">
      <c r="A8197" s="2" t="s">
        <v>8</v>
      </c>
      <c r="B8197" s="2" t="str">
        <f>HYPERLINK("http://ts.21cn.com/tousu/show/id/1339247","豆豆钱包高利贷，暴力催收")</f>
        <v>豆豆钱包高利贷，暴力催收</v>
      </c>
      <c r="C8197" s="2" t="s">
        <v>9</v>
      </c>
      <c r="D8197" s="2" t="s">
        <v>10</v>
      </c>
      <c r="E8197" s="2" t="str">
        <f>HYPERLINK("http://ts.21cn.com/tousu/show/id/1339247","http://ts.21cn.com/tousu/show/id/1339247")</f>
        <v>http://ts.21cn.com/tousu/show/id/1339247</v>
      </c>
      <c r="F8197" s="2" t="s">
        <v>11</v>
      </c>
      <c r="G8197" s="2" t="s">
        <v>28041</v>
      </c>
      <c r="H8197" s="2" t="s">
        <v>28042</v>
      </c>
    </row>
    <row r="8198" spans="1:8" ht="25.05" customHeight="1" x14ac:dyDescent="0.25">
      <c r="A8198" s="2" t="s">
        <v>8</v>
      </c>
      <c r="B8198" s="2" t="str">
        <f>HYPERLINK("http://ts.21cn.com/tousu/show/id/1339248","高利贷")</f>
        <v>高利贷</v>
      </c>
      <c r="C8198" s="2" t="s">
        <v>9</v>
      </c>
      <c r="D8198" s="2" t="s">
        <v>10</v>
      </c>
      <c r="E8198" s="2" t="str">
        <f>HYPERLINK("http://ts.21cn.com/tousu/show/id/1339248","http://ts.21cn.com/tousu/show/id/1339248")</f>
        <v>http://ts.21cn.com/tousu/show/id/1339248</v>
      </c>
      <c r="F8198" s="2" t="s">
        <v>11</v>
      </c>
      <c r="G8198" s="2" t="s">
        <v>28039</v>
      </c>
      <c r="H8198" s="2" t="s">
        <v>28040</v>
      </c>
    </row>
    <row r="8199" spans="1:8" ht="25.05" customHeight="1" x14ac:dyDescent="0.25">
      <c r="A8199" s="2" t="s">
        <v>8</v>
      </c>
      <c r="B8199" s="2" t="str">
        <f>HYPERLINK("http://ts.21cn.com/tousu/show/id/1339249","航空公司虚假宣传，欺诈消费者")</f>
        <v>航空公司虚假宣传，欺诈消费者</v>
      </c>
      <c r="C8199" s="2" t="s">
        <v>9</v>
      </c>
      <c r="D8199" s="2" t="s">
        <v>10</v>
      </c>
      <c r="E8199" s="2" t="str">
        <f>HYPERLINK("http://ts.21cn.com/tousu/show/id/1339249","http://ts.21cn.com/tousu/show/id/1339249")</f>
        <v>http://ts.21cn.com/tousu/show/id/1339249</v>
      </c>
      <c r="F8199" s="2" t="s">
        <v>11</v>
      </c>
      <c r="G8199" s="2" t="s">
        <v>28037</v>
      </c>
      <c r="H8199" s="2" t="s">
        <v>28038</v>
      </c>
    </row>
    <row r="8200" spans="1:8" ht="25.05" customHeight="1" x14ac:dyDescent="0.25">
      <c r="A8200" s="2" t="s">
        <v>8</v>
      </c>
      <c r="B8200" s="2" t="str">
        <f>HYPERLINK("http://ts.21cn.com/tousu/show/id/1339250","被恶意扣款")</f>
        <v>被恶意扣款</v>
      </c>
      <c r="C8200" s="2" t="s">
        <v>9</v>
      </c>
      <c r="D8200" s="2" t="s">
        <v>10</v>
      </c>
      <c r="E8200" s="2" t="str">
        <f>HYPERLINK("http://ts.21cn.com/tousu/show/id/1339250","http://ts.21cn.com/tousu/show/id/1339250")</f>
        <v>http://ts.21cn.com/tousu/show/id/1339250</v>
      </c>
      <c r="F8200" s="2" t="s">
        <v>11</v>
      </c>
      <c r="G8200" s="2" t="s">
        <v>28035</v>
      </c>
      <c r="H8200" s="2" t="s">
        <v>28036</v>
      </c>
    </row>
    <row r="8201" spans="1:8" ht="25.05" customHeight="1" x14ac:dyDescent="0.25">
      <c r="A8201" s="2" t="s">
        <v>8</v>
      </c>
      <c r="B8201" s="2" t="str">
        <f>HYPERLINK("http://ts.21cn.com/tousu/show/id/1339251","高利贷，砍头息，")</f>
        <v>高利贷，砍头息，</v>
      </c>
      <c r="C8201" s="2" t="s">
        <v>9</v>
      </c>
      <c r="D8201" s="2" t="s">
        <v>10</v>
      </c>
      <c r="E8201" s="2" t="str">
        <f>HYPERLINK("http://ts.21cn.com/tousu/show/id/1339251","http://ts.21cn.com/tousu/show/id/1339251")</f>
        <v>http://ts.21cn.com/tousu/show/id/1339251</v>
      </c>
      <c r="F8201" s="2" t="s">
        <v>11</v>
      </c>
      <c r="G8201" s="2" t="s">
        <v>28033</v>
      </c>
      <c r="H8201" s="2" t="s">
        <v>28034</v>
      </c>
    </row>
    <row r="8202" spans="1:8" ht="25.05" customHeight="1" x14ac:dyDescent="0.25">
      <c r="A8202" s="2" t="s">
        <v>8</v>
      </c>
      <c r="B8202" s="2" t="str">
        <f>HYPERLINK("http://ts.21cn.com/tousu/show/id/1339252","恒富创融科技钱橙无忧贷款平台恶意私自扣款共544元")</f>
        <v>恒富创融科技钱橙无忧贷款平台恶意私自扣款共544元</v>
      </c>
      <c r="C8202" s="2" t="s">
        <v>9</v>
      </c>
      <c r="D8202" s="2" t="s">
        <v>10</v>
      </c>
      <c r="E8202" s="2" t="str">
        <f>HYPERLINK("http://ts.21cn.com/tousu/show/id/1339252","http://ts.21cn.com/tousu/show/id/1339252")</f>
        <v>http://ts.21cn.com/tousu/show/id/1339252</v>
      </c>
      <c r="F8202" s="2" t="s">
        <v>11</v>
      </c>
      <c r="G8202" s="2" t="s">
        <v>28031</v>
      </c>
      <c r="H8202" s="2" t="s">
        <v>28032</v>
      </c>
    </row>
    <row r="8203" spans="1:8" ht="25.05" customHeight="1" x14ac:dyDescent="0.25">
      <c r="A8203" s="2" t="s">
        <v>8</v>
      </c>
      <c r="B8203" s="2" t="str">
        <f>HYPERLINK("http://ts.21cn.com/tousu/show/id/1339253","闪电借款要求延期还款")</f>
        <v>闪电借款要求延期还款</v>
      </c>
      <c r="C8203" s="2" t="s">
        <v>9</v>
      </c>
      <c r="D8203" s="2" t="s">
        <v>10</v>
      </c>
      <c r="E8203" s="2" t="str">
        <f>HYPERLINK("http://ts.21cn.com/tousu/show/id/1339253","http://ts.21cn.com/tousu/show/id/1339253")</f>
        <v>http://ts.21cn.com/tousu/show/id/1339253</v>
      </c>
      <c r="F8203" s="2" t="s">
        <v>11</v>
      </c>
      <c r="G8203" s="2" t="s">
        <v>28030</v>
      </c>
      <c r="H8203" s="2" t="s">
        <v>24047</v>
      </c>
    </row>
    <row r="8204" spans="1:8" ht="25.05" customHeight="1" x14ac:dyDescent="0.25">
      <c r="A8204" s="2" t="s">
        <v>8</v>
      </c>
      <c r="B8204" s="2" t="str">
        <f>HYPERLINK("http://ts.21cn.com/tousu/show/id/1339254","安逸花乱收灵活还款包、寿险费等服务费用")</f>
        <v>安逸花乱收灵活还款包、寿险费等服务费用</v>
      </c>
      <c r="C8204" s="2" t="s">
        <v>9</v>
      </c>
      <c r="D8204" s="2" t="s">
        <v>10</v>
      </c>
      <c r="E8204" s="2" t="str">
        <f>HYPERLINK("http://ts.21cn.com/tousu/show/id/1339254","http://ts.21cn.com/tousu/show/id/1339254")</f>
        <v>http://ts.21cn.com/tousu/show/id/1339254</v>
      </c>
      <c r="F8204" s="2" t="s">
        <v>11</v>
      </c>
      <c r="G8204" s="2" t="s">
        <v>28028</v>
      </c>
      <c r="H8204" s="2" t="s">
        <v>28029</v>
      </c>
    </row>
    <row r="8205" spans="1:8" ht="25.05" customHeight="1" x14ac:dyDescent="0.25">
      <c r="A8205" s="2" t="s">
        <v>8</v>
      </c>
      <c r="B8205" s="2" t="str">
        <f>HYPERLINK("http://ts.21cn.com/tousu/show/id/1339256","马上消费金融威胁催收，骚扰")</f>
        <v>马上消费金融威胁催收，骚扰</v>
      </c>
      <c r="C8205" s="2" t="s">
        <v>9</v>
      </c>
      <c r="D8205" s="2" t="s">
        <v>10</v>
      </c>
      <c r="E8205" s="2" t="str">
        <f>HYPERLINK("http://ts.21cn.com/tousu/show/id/1339256","http://ts.21cn.com/tousu/show/id/1339256")</f>
        <v>http://ts.21cn.com/tousu/show/id/1339256</v>
      </c>
      <c r="F8205" s="2" t="s">
        <v>11</v>
      </c>
      <c r="G8205" s="2" t="s">
        <v>28026</v>
      </c>
      <c r="H8205" s="2" t="s">
        <v>28027</v>
      </c>
    </row>
    <row r="8206" spans="1:8" ht="25.05" customHeight="1" x14ac:dyDescent="0.25">
      <c r="A8206" s="2" t="s">
        <v>8</v>
      </c>
      <c r="B8206" s="2" t="str">
        <f>HYPERLINK("http://ts.21cn.com/tousu/show/id/1339255","神马借高利贷")</f>
        <v>神马借高利贷</v>
      </c>
      <c r="C8206" s="2" t="s">
        <v>9</v>
      </c>
      <c r="D8206" s="2" t="s">
        <v>10</v>
      </c>
      <c r="E8206" s="2" t="str">
        <f>HYPERLINK("http://ts.21cn.com/tousu/show/id/1339255","http://ts.21cn.com/tousu/show/id/1339255")</f>
        <v>http://ts.21cn.com/tousu/show/id/1339255</v>
      </c>
      <c r="F8206" s="2" t="s">
        <v>11</v>
      </c>
      <c r="G8206" s="2" t="s">
        <v>28024</v>
      </c>
      <c r="H8206" s="2" t="s">
        <v>28025</v>
      </c>
    </row>
    <row r="8207" spans="1:8" ht="25.05" customHeight="1" x14ac:dyDescent="0.25">
      <c r="A8207" s="2" t="s">
        <v>8</v>
      </c>
      <c r="B8207" s="2" t="str">
        <f>HYPERLINK("http://ts.21cn.com/tousu/show/id/1339257","闪送公司系统无辜瞎禁闪送员，求解决")</f>
        <v>闪送公司系统无辜瞎禁闪送员，求解决</v>
      </c>
      <c r="C8207" s="2" t="s">
        <v>9</v>
      </c>
      <c r="D8207" s="2" t="s">
        <v>10</v>
      </c>
      <c r="E8207" s="2" t="str">
        <f>HYPERLINK("http://ts.21cn.com/tousu/show/id/1339257","http://ts.21cn.com/tousu/show/id/1339257")</f>
        <v>http://ts.21cn.com/tousu/show/id/1339257</v>
      </c>
      <c r="F8207" s="2" t="s">
        <v>11</v>
      </c>
      <c r="G8207" s="2" t="s">
        <v>28022</v>
      </c>
      <c r="H8207" s="2" t="s">
        <v>28023</v>
      </c>
    </row>
    <row r="8208" spans="1:8" ht="25.05" customHeight="1" x14ac:dyDescent="0.25">
      <c r="A8208" s="2" t="s">
        <v>8</v>
      </c>
      <c r="B8208" s="2" t="str">
        <f>HYPERLINK("http://ts.21cn.com/tousu/show/id/1339258","高利贷，套路贷款，不合法合同有假")</f>
        <v>高利贷，套路贷款，不合法合同有假</v>
      </c>
      <c r="C8208" s="2" t="s">
        <v>9</v>
      </c>
      <c r="D8208" s="2" t="s">
        <v>10</v>
      </c>
      <c r="E8208" s="2" t="str">
        <f>HYPERLINK("http://ts.21cn.com/tousu/show/id/1339258","http://ts.21cn.com/tousu/show/id/1339258")</f>
        <v>http://ts.21cn.com/tousu/show/id/1339258</v>
      </c>
      <c r="F8208" s="2" t="s">
        <v>11</v>
      </c>
      <c r="G8208" s="2" t="s">
        <v>28020</v>
      </c>
      <c r="H8208" s="2" t="s">
        <v>28021</v>
      </c>
    </row>
    <row r="8209" spans="1:8" ht="25.05" customHeight="1" x14ac:dyDescent="0.25">
      <c r="A8209" s="2" t="s">
        <v>8</v>
      </c>
      <c r="B8209" s="2" t="str">
        <f>HYPERLINK("http://ts.21cn.com/tousu/show/id/1339259","微信商业版冻结了我的资金一直提现不了持续一个月了")</f>
        <v>微信商业版冻结了我的资金一直提现不了持续一个月了</v>
      </c>
      <c r="C8209" s="2" t="s">
        <v>9</v>
      </c>
      <c r="D8209" s="2" t="s">
        <v>10</v>
      </c>
      <c r="E8209" s="2" t="str">
        <f>HYPERLINK("http://ts.21cn.com/tousu/show/id/1339259","http://ts.21cn.com/tousu/show/id/1339259")</f>
        <v>http://ts.21cn.com/tousu/show/id/1339259</v>
      </c>
      <c r="F8209" s="2" t="s">
        <v>11</v>
      </c>
      <c r="G8209" s="2" t="s">
        <v>28018</v>
      </c>
      <c r="H8209" s="2" t="s">
        <v>28019</v>
      </c>
    </row>
    <row r="8210" spans="1:8" ht="25.05" customHeight="1" x14ac:dyDescent="0.25">
      <c r="A8210" s="2" t="s">
        <v>8</v>
      </c>
      <c r="B8210" s="2" t="str">
        <f>HYPERLINK("http://ts.21cn.com/tousu/show/id/1339260","小赢卡贷暴力催收")</f>
        <v>小赢卡贷暴力催收</v>
      </c>
      <c r="C8210" s="2" t="s">
        <v>9</v>
      </c>
      <c r="D8210" s="2" t="s">
        <v>10</v>
      </c>
      <c r="E8210" s="2" t="str">
        <f>HYPERLINK("http://ts.21cn.com/tousu/show/id/1339260","http://ts.21cn.com/tousu/show/id/1339260")</f>
        <v>http://ts.21cn.com/tousu/show/id/1339260</v>
      </c>
      <c r="F8210" s="2" t="s">
        <v>11</v>
      </c>
      <c r="G8210" s="2" t="s">
        <v>28016</v>
      </c>
      <c r="H8210" s="2" t="s">
        <v>28017</v>
      </c>
    </row>
    <row r="8211" spans="1:8" ht="25.05" customHeight="1" x14ac:dyDescent="0.25">
      <c r="A8211" s="2" t="s">
        <v>8</v>
      </c>
      <c r="B8211" s="2" t="str">
        <f>HYPERLINK("http://ts.21cn.com/tousu/show/id/1339261","你我贷暴力催收高利贷")</f>
        <v>你我贷暴力催收高利贷</v>
      </c>
      <c r="C8211" s="2" t="s">
        <v>9</v>
      </c>
      <c r="D8211" s="2" t="s">
        <v>10</v>
      </c>
      <c r="E8211" s="2" t="str">
        <f>HYPERLINK("http://ts.21cn.com/tousu/show/id/1339261","http://ts.21cn.com/tousu/show/id/1339261")</f>
        <v>http://ts.21cn.com/tousu/show/id/1339261</v>
      </c>
      <c r="F8211" s="2" t="s">
        <v>11</v>
      </c>
      <c r="G8211" s="2" t="s">
        <v>28014</v>
      </c>
      <c r="H8211" s="2" t="s">
        <v>28015</v>
      </c>
    </row>
    <row r="8212" spans="1:8" ht="25.05" customHeight="1" x14ac:dyDescent="0.25">
      <c r="A8212" s="2" t="s">
        <v>8</v>
      </c>
      <c r="B8212" s="2" t="str">
        <f>HYPERLINK("http://ts.21cn.com/tousu/show/id/1339262","洋钱罐借款高额利息，催收态度不好")</f>
        <v>洋钱罐借款高额利息，催收态度不好</v>
      </c>
      <c r="C8212" s="2" t="s">
        <v>9</v>
      </c>
      <c r="D8212" s="2" t="s">
        <v>10</v>
      </c>
      <c r="E8212" s="2" t="str">
        <f>HYPERLINK("http://ts.21cn.com/tousu/show/id/1339262","http://ts.21cn.com/tousu/show/id/1339262")</f>
        <v>http://ts.21cn.com/tousu/show/id/1339262</v>
      </c>
      <c r="F8212" s="2" t="s">
        <v>11</v>
      </c>
      <c r="G8212" s="2" t="s">
        <v>28012</v>
      </c>
      <c r="H8212" s="2" t="s">
        <v>28013</v>
      </c>
    </row>
    <row r="8213" spans="1:8" ht="25.05" customHeight="1" x14ac:dyDescent="0.25">
      <c r="A8213" s="2" t="s">
        <v>8</v>
      </c>
      <c r="B8213" s="2" t="str">
        <f>HYPERLINK("http://ts.21cn.com/tousu/show/id/1339263","平安普惠贷款隐瞒隐藏并强制收取高额保险费管理费投诉事宜")</f>
        <v>平安普惠贷款隐瞒隐藏并强制收取高额保险费管理费投诉事宜</v>
      </c>
      <c r="C8213" s="2" t="s">
        <v>9</v>
      </c>
      <c r="D8213" s="2" t="s">
        <v>10</v>
      </c>
      <c r="E8213" s="2" t="str">
        <f>HYPERLINK("http://ts.21cn.com/tousu/show/id/1339263","http://ts.21cn.com/tousu/show/id/1339263")</f>
        <v>http://ts.21cn.com/tousu/show/id/1339263</v>
      </c>
      <c r="F8213" s="2" t="s">
        <v>11</v>
      </c>
      <c r="G8213" s="2" t="s">
        <v>28010</v>
      </c>
      <c r="H8213" s="2" t="s">
        <v>28011</v>
      </c>
    </row>
    <row r="8214" spans="1:8" ht="25.05" customHeight="1" x14ac:dyDescent="0.25">
      <c r="A8214" s="2" t="s">
        <v>8</v>
      </c>
      <c r="B8214" s="2" t="str">
        <f>HYPERLINK("http://ts.21cn.com/tousu/show/id/1339264","拍拍贷打电话骚扰")</f>
        <v>拍拍贷打电话骚扰</v>
      </c>
      <c r="C8214" s="2" t="s">
        <v>9</v>
      </c>
      <c r="D8214" s="2" t="s">
        <v>10</v>
      </c>
      <c r="E8214" s="2" t="str">
        <f>HYPERLINK("http://ts.21cn.com/tousu/show/id/1339264","http://ts.21cn.com/tousu/show/id/1339264")</f>
        <v>http://ts.21cn.com/tousu/show/id/1339264</v>
      </c>
      <c r="F8214" s="2" t="s">
        <v>11</v>
      </c>
      <c r="G8214" s="2" t="s">
        <v>28008</v>
      </c>
      <c r="H8214" s="2" t="s">
        <v>28009</v>
      </c>
    </row>
    <row r="8215" spans="1:8" ht="25.05" customHeight="1" x14ac:dyDescent="0.25">
      <c r="A8215" s="2" t="s">
        <v>8</v>
      </c>
      <c r="B8215" s="2" t="str">
        <f>HYPERLINK("http://ts.21cn.com/tousu/show/id/1339266","协商过之后，继续威胁")</f>
        <v>协商过之后，继续威胁</v>
      </c>
      <c r="C8215" s="2" t="s">
        <v>9</v>
      </c>
      <c r="D8215" s="2" t="s">
        <v>10</v>
      </c>
      <c r="E8215" s="2" t="str">
        <f>HYPERLINK("http://ts.21cn.com/tousu/show/id/1339266","http://ts.21cn.com/tousu/show/id/1339266")</f>
        <v>http://ts.21cn.com/tousu/show/id/1339266</v>
      </c>
      <c r="F8215" s="2" t="s">
        <v>11</v>
      </c>
      <c r="G8215" s="2" t="s">
        <v>28006</v>
      </c>
      <c r="H8215" s="2" t="s">
        <v>28007</v>
      </c>
    </row>
    <row r="8216" spans="1:8" ht="25.05" customHeight="1" x14ac:dyDescent="0.25">
      <c r="A8216" s="2" t="s">
        <v>8</v>
      </c>
      <c r="B8216" s="2" t="str">
        <f>HYPERLINK("http://ts.21cn.com/tousu/show/id/1339268","我来数科暴利催收")</f>
        <v>我来数科暴利催收</v>
      </c>
      <c r="C8216" s="2" t="s">
        <v>9</v>
      </c>
      <c r="D8216" s="2" t="s">
        <v>10</v>
      </c>
      <c r="E8216" s="2" t="str">
        <f>HYPERLINK("http://ts.21cn.com/tousu/show/id/1339268","http://ts.21cn.com/tousu/show/id/1339268")</f>
        <v>http://ts.21cn.com/tousu/show/id/1339268</v>
      </c>
      <c r="F8216" s="2" t="s">
        <v>11</v>
      </c>
      <c r="G8216" s="2" t="s">
        <v>28004</v>
      </c>
      <c r="H8216" s="2" t="s">
        <v>28005</v>
      </c>
    </row>
    <row r="8217" spans="1:8" ht="25.05" customHeight="1" x14ac:dyDescent="0.25">
      <c r="A8217" s="2" t="s">
        <v>8</v>
      </c>
      <c r="B8217" s="2" t="str">
        <f>HYPERLINK("http://ts.21cn.com/tousu/show/id/1339269","开店宝pos机业务员")</f>
        <v>开店宝pos机业务员</v>
      </c>
      <c r="C8217" s="2" t="s">
        <v>34</v>
      </c>
      <c r="D8217" s="2" t="s">
        <v>10</v>
      </c>
      <c r="E8217" s="2" t="str">
        <f>HYPERLINK("http://ts.21cn.com/tousu/show/id/1339269","http://ts.21cn.com/tousu/show/id/1339269")</f>
        <v>http://ts.21cn.com/tousu/show/id/1339269</v>
      </c>
      <c r="F8217" s="2" t="s">
        <v>11</v>
      </c>
      <c r="G8217" s="2" t="s">
        <v>28002</v>
      </c>
      <c r="H8217" s="2" t="s">
        <v>28003</v>
      </c>
    </row>
    <row r="8218" spans="1:8" ht="25.05" customHeight="1" x14ac:dyDescent="0.25">
      <c r="A8218" s="2" t="s">
        <v>8</v>
      </c>
      <c r="B8218" s="2" t="str">
        <f>HYPERLINK("http://ts.21cn.com/tousu/show/id/1339270","淘宝小二误判信息层面售假")</f>
        <v>淘宝小二误判信息层面售假</v>
      </c>
      <c r="C8218" s="2" t="s">
        <v>9</v>
      </c>
      <c r="D8218" s="2" t="s">
        <v>10</v>
      </c>
      <c r="E8218" s="2" t="str">
        <f>HYPERLINK("http://ts.21cn.com/tousu/show/id/1339270","http://ts.21cn.com/tousu/show/id/1339270")</f>
        <v>http://ts.21cn.com/tousu/show/id/1339270</v>
      </c>
      <c r="F8218" s="2" t="s">
        <v>11</v>
      </c>
      <c r="G8218" s="2" t="s">
        <v>28000</v>
      </c>
      <c r="H8218" s="2" t="s">
        <v>28001</v>
      </c>
    </row>
    <row r="8219" spans="1:8" ht="25.05" customHeight="1" x14ac:dyDescent="0.25">
      <c r="A8219" s="2" t="s">
        <v>8</v>
      </c>
      <c r="B8219" s="2" t="str">
        <f>HYPERLINK("http://ts.21cn.com/tousu/show/id/1339271","拍拍贷高额逾期费用")</f>
        <v>拍拍贷高额逾期费用</v>
      </c>
      <c r="C8219" s="2" t="s">
        <v>34</v>
      </c>
      <c r="D8219" s="2" t="s">
        <v>10</v>
      </c>
      <c r="E8219" s="2" t="str">
        <f>HYPERLINK("http://ts.21cn.com/tousu/show/id/1339271","http://ts.21cn.com/tousu/show/id/1339271")</f>
        <v>http://ts.21cn.com/tousu/show/id/1339271</v>
      </c>
      <c r="F8219" s="2" t="s">
        <v>11</v>
      </c>
      <c r="G8219" s="2" t="s">
        <v>27998</v>
      </c>
      <c r="H8219" s="2" t="s">
        <v>27999</v>
      </c>
    </row>
    <row r="8220" spans="1:8" ht="25.05" customHeight="1" x14ac:dyDescent="0.25">
      <c r="A8220" s="2" t="s">
        <v>8</v>
      </c>
      <c r="B8220" s="2" t="str">
        <f>HYPERLINK("http://ts.21cn.com/tousu/show/id/1339272","京东金融银联提供支付通道")</f>
        <v>京东金融银联提供支付通道</v>
      </c>
      <c r="C8220" s="2" t="s">
        <v>9</v>
      </c>
      <c r="D8220" s="2" t="s">
        <v>10</v>
      </c>
      <c r="E8220" s="2" t="str">
        <f>HYPERLINK("http://ts.21cn.com/tousu/show/id/1339272","http://ts.21cn.com/tousu/show/id/1339272")</f>
        <v>http://ts.21cn.com/tousu/show/id/1339272</v>
      </c>
      <c r="F8220" s="2" t="s">
        <v>11</v>
      </c>
      <c r="G8220" s="2" t="s">
        <v>27996</v>
      </c>
      <c r="H8220" s="2" t="s">
        <v>27997</v>
      </c>
    </row>
    <row r="8221" spans="1:8" ht="25.05" customHeight="1" x14ac:dyDescent="0.25">
      <c r="A8221" s="2" t="s">
        <v>8</v>
      </c>
      <c r="B8221" s="2" t="str">
        <f>HYPERLINK("http://ts.21cn.com/tousu/show/id/1339273","美利车金融非法收入服务费")</f>
        <v>美利车金融非法收入服务费</v>
      </c>
      <c r="C8221" s="2" t="s">
        <v>9</v>
      </c>
      <c r="D8221" s="2" t="s">
        <v>10</v>
      </c>
      <c r="E8221" s="2" t="str">
        <f>HYPERLINK("http://ts.21cn.com/tousu/show/id/1339273","http://ts.21cn.com/tousu/show/id/1339273")</f>
        <v>http://ts.21cn.com/tousu/show/id/1339273</v>
      </c>
      <c r="F8221" s="2" t="s">
        <v>11</v>
      </c>
      <c r="G8221" s="2" t="s">
        <v>27994</v>
      </c>
      <c r="H8221" s="2" t="s">
        <v>27995</v>
      </c>
    </row>
    <row r="8222" spans="1:8" ht="25.05" customHeight="1" x14ac:dyDescent="0.25">
      <c r="A8222" s="2" t="s">
        <v>8</v>
      </c>
      <c r="B8222" s="2" t="str">
        <f>HYPERLINK("http://ts.21cn.com/tousu/show/id/1339274","小浦优客未经同意扣款")</f>
        <v>小浦优客未经同意扣款</v>
      </c>
      <c r="C8222" s="2" t="s">
        <v>34</v>
      </c>
      <c r="D8222" s="2" t="s">
        <v>10</v>
      </c>
      <c r="E8222" s="2" t="str">
        <f>HYPERLINK("http://ts.21cn.com/tousu/show/id/1339274","http://ts.21cn.com/tousu/show/id/1339274")</f>
        <v>http://ts.21cn.com/tousu/show/id/1339274</v>
      </c>
      <c r="F8222" s="2" t="s">
        <v>11</v>
      </c>
      <c r="G8222" s="2" t="s">
        <v>27992</v>
      </c>
      <c r="H8222" s="2" t="s">
        <v>27993</v>
      </c>
    </row>
    <row r="8223" spans="1:8" ht="25.05" customHeight="1" x14ac:dyDescent="0.25">
      <c r="A8223" s="2" t="s">
        <v>8</v>
      </c>
      <c r="B8223" s="2" t="str">
        <f>HYPERLINK("http://ts.21cn.com/tousu/show/id/1339275","自由摩卡六便士高额砍头息")</f>
        <v>自由摩卡六便士高额砍头息</v>
      </c>
      <c r="C8223" s="2" t="s">
        <v>9</v>
      </c>
      <c r="D8223" s="2" t="s">
        <v>10</v>
      </c>
      <c r="E8223" s="2" t="str">
        <f>HYPERLINK("http://ts.21cn.com/tousu/show/id/1339275","http://ts.21cn.com/tousu/show/id/1339275")</f>
        <v>http://ts.21cn.com/tousu/show/id/1339275</v>
      </c>
      <c r="F8223" s="2" t="s">
        <v>11</v>
      </c>
      <c r="G8223" s="2" t="s">
        <v>27990</v>
      </c>
      <c r="H8223" s="2" t="s">
        <v>27991</v>
      </c>
    </row>
    <row r="8224" spans="1:8" ht="25.05" customHeight="1" x14ac:dyDescent="0.25">
      <c r="A8224" s="2" t="s">
        <v>8</v>
      </c>
      <c r="B8224" s="2" t="str">
        <f>HYPERLINK("http://ts.21cn.com/tousu/show/id/1339265","引导提供非法充值渠道")</f>
        <v>引导提供非法充值渠道</v>
      </c>
      <c r="C8224" s="2" t="s">
        <v>9</v>
      </c>
      <c r="D8224" s="2" t="s">
        <v>10</v>
      </c>
      <c r="E8224" s="2" t="str">
        <f>HYPERLINK("http://ts.21cn.com/tousu/show/id/1339265","http://ts.21cn.com/tousu/show/id/1339265")</f>
        <v>http://ts.21cn.com/tousu/show/id/1339265</v>
      </c>
      <c r="F8224" s="2" t="s">
        <v>11</v>
      </c>
      <c r="G8224" s="2" t="s">
        <v>27988</v>
      </c>
      <c r="H8224" s="2" t="s">
        <v>27989</v>
      </c>
    </row>
    <row r="8225" spans="1:8" ht="25.05" customHeight="1" x14ac:dyDescent="0.25">
      <c r="A8225" s="2" t="s">
        <v>8</v>
      </c>
      <c r="B8225" s="2" t="str">
        <f>HYPERLINK("http://ts.21cn.com/tousu/show/id/1339276","平安普惠催收联系人态度恶劣")</f>
        <v>平安普惠催收联系人态度恶劣</v>
      </c>
      <c r="C8225" s="2" t="s">
        <v>9</v>
      </c>
      <c r="D8225" s="2" t="s">
        <v>10</v>
      </c>
      <c r="E8225" s="2" t="str">
        <f>HYPERLINK("http://ts.21cn.com/tousu/show/id/1339276","http://ts.21cn.com/tousu/show/id/1339276")</f>
        <v>http://ts.21cn.com/tousu/show/id/1339276</v>
      </c>
      <c r="F8225" s="2" t="s">
        <v>11</v>
      </c>
      <c r="G8225" s="2" t="s">
        <v>27986</v>
      </c>
      <c r="H8225" s="2" t="s">
        <v>27987</v>
      </c>
    </row>
    <row r="8226" spans="1:8" ht="25.05" customHeight="1" x14ac:dyDescent="0.25">
      <c r="A8226" s="2" t="s">
        <v>8</v>
      </c>
      <c r="B8226" s="2" t="str">
        <f>HYPERLINK("http://ts.21cn.com/tousu/show/id/1339277","聚福钱包未经许可私自扣款")</f>
        <v>聚福钱包未经许可私自扣款</v>
      </c>
      <c r="C8226" s="2" t="s">
        <v>9</v>
      </c>
      <c r="D8226" s="2" t="s">
        <v>10</v>
      </c>
      <c r="E8226" s="2" t="str">
        <f>HYPERLINK("http://ts.21cn.com/tousu/show/id/1339277","http://ts.21cn.com/tousu/show/id/1339277")</f>
        <v>http://ts.21cn.com/tousu/show/id/1339277</v>
      </c>
      <c r="F8226" s="2" t="s">
        <v>11</v>
      </c>
      <c r="G8226" s="2" t="s">
        <v>27984</v>
      </c>
      <c r="H8226" s="2" t="s">
        <v>27985</v>
      </c>
    </row>
    <row r="8227" spans="1:8" ht="25.05" customHeight="1" x14ac:dyDescent="0.25">
      <c r="A8227" s="2" t="s">
        <v>8</v>
      </c>
      <c r="B8227" s="2" t="str">
        <f>HYPERLINK("http://ts.21cn.com/tousu/show/id/1339280","高利贷，爆通讯录")</f>
        <v>高利贷，爆通讯录</v>
      </c>
      <c r="C8227" s="2" t="s">
        <v>9</v>
      </c>
      <c r="D8227" s="2" t="s">
        <v>10</v>
      </c>
      <c r="E8227" s="2" t="str">
        <f>HYPERLINK("http://ts.21cn.com/tousu/show/id/1339280","http://ts.21cn.com/tousu/show/id/1339280")</f>
        <v>http://ts.21cn.com/tousu/show/id/1339280</v>
      </c>
      <c r="F8227" s="2" t="s">
        <v>11</v>
      </c>
      <c r="G8227" s="2" t="s">
        <v>27981</v>
      </c>
      <c r="H8227" s="2" t="s">
        <v>27982</v>
      </c>
    </row>
    <row r="8228" spans="1:8" ht="25.05" customHeight="1" x14ac:dyDescent="0.25">
      <c r="A8228" s="2" t="s">
        <v>8</v>
      </c>
      <c r="B8228" s="2" t="str">
        <f>HYPERLINK("http://ts.21cn.com/tousu/show/id/1339279","易宝支付为高利贷提供放款通道")</f>
        <v>易宝支付为高利贷提供放款通道</v>
      </c>
      <c r="C8228" s="2" t="s">
        <v>9</v>
      </c>
      <c r="D8228" s="2" t="s">
        <v>10</v>
      </c>
      <c r="E8228" s="2" t="str">
        <f>HYPERLINK("http://ts.21cn.com/tousu/show/id/1339279","http://ts.21cn.com/tousu/show/id/1339279")</f>
        <v>http://ts.21cn.com/tousu/show/id/1339279</v>
      </c>
      <c r="F8228" s="2" t="s">
        <v>11</v>
      </c>
      <c r="G8228" s="2" t="s">
        <v>27981</v>
      </c>
      <c r="H8228" s="2" t="s">
        <v>27983</v>
      </c>
    </row>
    <row r="8229" spans="1:8" ht="25.05" customHeight="1" x14ac:dyDescent="0.25">
      <c r="A8229" s="2" t="s">
        <v>8</v>
      </c>
      <c r="B8229" s="2" t="str">
        <f>HYPERLINK("http://ts.21cn.com/tousu/show/id/1339281","京东金融暴力催收")</f>
        <v>京东金融暴力催收</v>
      </c>
      <c r="C8229" s="2" t="s">
        <v>9</v>
      </c>
      <c r="D8229" s="2" t="s">
        <v>10</v>
      </c>
      <c r="E8229" s="2" t="str">
        <f>HYPERLINK("http://ts.21cn.com/tousu/show/id/1339281","http://ts.21cn.com/tousu/show/id/1339281")</f>
        <v>http://ts.21cn.com/tousu/show/id/1339281</v>
      </c>
      <c r="F8229" s="2" t="s">
        <v>11</v>
      </c>
      <c r="G8229" s="2" t="s">
        <v>27979</v>
      </c>
      <c r="H8229" s="2" t="s">
        <v>27980</v>
      </c>
    </row>
    <row r="8230" spans="1:8" ht="25.05" customHeight="1" x14ac:dyDescent="0.25">
      <c r="A8230" s="2" t="s">
        <v>8</v>
      </c>
      <c r="B8230" s="2" t="str">
        <f>HYPERLINK("http://ts.21cn.com/tousu/show/id/1339282","阳光保险跟光大银行贷款")</f>
        <v>阳光保险跟光大银行贷款</v>
      </c>
      <c r="C8230" s="2" t="s">
        <v>9</v>
      </c>
      <c r="D8230" s="2" t="s">
        <v>10</v>
      </c>
      <c r="E8230" s="2" t="str">
        <f>HYPERLINK("http://ts.21cn.com/tousu/show/id/1339282","http://ts.21cn.com/tousu/show/id/1339282")</f>
        <v>http://ts.21cn.com/tousu/show/id/1339282</v>
      </c>
      <c r="F8230" s="2" t="s">
        <v>11</v>
      </c>
      <c r="G8230" s="2" t="s">
        <v>27977</v>
      </c>
      <c r="H8230" s="2" t="s">
        <v>27978</v>
      </c>
    </row>
    <row r="8231" spans="1:8" ht="25.05" customHeight="1" x14ac:dyDescent="0.25">
      <c r="A8231" s="2" t="s">
        <v>8</v>
      </c>
      <c r="B8231" s="2" t="str">
        <f>HYPERLINK("http://ts.21cn.com/tousu/show/id/1339284","要求快手平台追回我在平台买东西的款项")</f>
        <v>要求快手平台追回我在平台买东西的款项</v>
      </c>
      <c r="C8231" s="2" t="s">
        <v>9</v>
      </c>
      <c r="D8231" s="2" t="s">
        <v>10</v>
      </c>
      <c r="E8231" s="2" t="str">
        <f>HYPERLINK("http://ts.21cn.com/tousu/show/id/1339284","http://ts.21cn.com/tousu/show/id/1339284")</f>
        <v>http://ts.21cn.com/tousu/show/id/1339284</v>
      </c>
      <c r="F8231" s="2" t="s">
        <v>11</v>
      </c>
      <c r="G8231" s="2" t="s">
        <v>27975</v>
      </c>
      <c r="H8231" s="2" t="s">
        <v>27976</v>
      </c>
    </row>
    <row r="8232" spans="1:8" ht="25.05" customHeight="1" x14ac:dyDescent="0.25">
      <c r="A8232" s="2" t="s">
        <v>8</v>
      </c>
      <c r="B8232" s="2" t="str">
        <f>HYPERLINK("http://ts.21cn.com/tousu/show/id/1339283","京东金融散播债务信息，威胁恐吓暴力催收，冒充政党机关给我发律师信函")</f>
        <v>京东金融散播债务信息，威胁恐吓暴力催收，冒充政党机关给我发律师信函</v>
      </c>
      <c r="C8232" s="2" t="s">
        <v>9</v>
      </c>
      <c r="D8232" s="2" t="s">
        <v>10</v>
      </c>
      <c r="E8232" s="2" t="str">
        <f>HYPERLINK("http://ts.21cn.com/tousu/show/id/1339283","http://ts.21cn.com/tousu/show/id/1339283")</f>
        <v>http://ts.21cn.com/tousu/show/id/1339283</v>
      </c>
      <c r="F8232" s="2" t="s">
        <v>11</v>
      </c>
      <c r="G8232" s="2" t="s">
        <v>27973</v>
      </c>
      <c r="H8232" s="2" t="s">
        <v>27974</v>
      </c>
    </row>
    <row r="8233" spans="1:8" ht="25.05" customHeight="1" x14ac:dyDescent="0.25">
      <c r="A8233" s="2" t="s">
        <v>8</v>
      </c>
      <c r="B8233" s="2" t="str">
        <f>HYPERLINK("http://ts.21cn.com/tousu/show/id/1339285","暴力催收！发短信骂人！手段极其恶劣！")</f>
        <v>暴力催收！发短信骂人！手段极其恶劣！</v>
      </c>
      <c r="C8233" s="2" t="s">
        <v>9</v>
      </c>
      <c r="D8233" s="2" t="s">
        <v>10</v>
      </c>
      <c r="E8233" s="2" t="str">
        <f>HYPERLINK("http://ts.21cn.com/tousu/show/id/1339285","http://ts.21cn.com/tousu/show/id/1339285")</f>
        <v>http://ts.21cn.com/tousu/show/id/1339285</v>
      </c>
      <c r="F8233" s="2" t="s">
        <v>11</v>
      </c>
      <c r="G8233" s="2" t="s">
        <v>27971</v>
      </c>
      <c r="H8233" s="2" t="s">
        <v>27972</v>
      </c>
    </row>
    <row r="8234" spans="1:8" ht="25.05" customHeight="1" x14ac:dyDescent="0.25">
      <c r="A8234" s="2" t="s">
        <v>8</v>
      </c>
      <c r="B8234" s="2" t="str">
        <f>HYPERLINK("http://ts.21cn.com/tousu/show/id/1339286","豆豆钱暴露催收")</f>
        <v>豆豆钱暴露催收</v>
      </c>
      <c r="C8234" s="2" t="s">
        <v>9</v>
      </c>
      <c r="D8234" s="2" t="s">
        <v>10</v>
      </c>
      <c r="E8234" s="2" t="str">
        <f>HYPERLINK("http://ts.21cn.com/tousu/show/id/1339286","http://ts.21cn.com/tousu/show/id/1339286")</f>
        <v>http://ts.21cn.com/tousu/show/id/1339286</v>
      </c>
      <c r="F8234" s="2" t="s">
        <v>11</v>
      </c>
      <c r="G8234" s="2" t="s">
        <v>27969</v>
      </c>
      <c r="H8234" s="2" t="s">
        <v>27970</v>
      </c>
    </row>
    <row r="8235" spans="1:8" ht="25.05" customHeight="1" x14ac:dyDescent="0.25">
      <c r="A8235" s="2" t="s">
        <v>8</v>
      </c>
      <c r="B8235" s="2" t="str">
        <f>HYPERLINK("http://ts.21cn.com/tousu/show/id/1339288","垃圾万达普惠利息高")</f>
        <v>垃圾万达普惠利息高</v>
      </c>
      <c r="C8235" s="2" t="s">
        <v>9</v>
      </c>
      <c r="D8235" s="2" t="s">
        <v>10</v>
      </c>
      <c r="E8235" s="2" t="str">
        <f>HYPERLINK("http://ts.21cn.com/tousu/show/id/1339288","http://ts.21cn.com/tousu/show/id/1339288")</f>
        <v>http://ts.21cn.com/tousu/show/id/1339288</v>
      </c>
      <c r="F8235" s="2" t="s">
        <v>11</v>
      </c>
      <c r="G8235" s="2" t="s">
        <v>27967</v>
      </c>
      <c r="H8235" s="2" t="s">
        <v>27968</v>
      </c>
    </row>
    <row r="8236" spans="1:8" ht="25.05" customHeight="1" x14ac:dyDescent="0.25">
      <c r="A8236" s="2" t="s">
        <v>8</v>
      </c>
      <c r="B8236" s="2" t="str">
        <f>HYPERLINK("http://ts.21cn.com/tousu/show/id/1339289","钱包易贷，高利贷，砍头易，暴力催收")</f>
        <v>钱包易贷，高利贷，砍头易，暴力催收</v>
      </c>
      <c r="C8236" s="2" t="s">
        <v>9</v>
      </c>
      <c r="D8236" s="2" t="s">
        <v>10</v>
      </c>
      <c r="E8236" s="2" t="str">
        <f>HYPERLINK("http://ts.21cn.com/tousu/show/id/1339289","http://ts.21cn.com/tousu/show/id/1339289")</f>
        <v>http://ts.21cn.com/tousu/show/id/1339289</v>
      </c>
      <c r="F8236" s="2" t="s">
        <v>11</v>
      </c>
      <c r="G8236" s="2" t="s">
        <v>27965</v>
      </c>
      <c r="H8236" s="2" t="s">
        <v>27966</v>
      </c>
    </row>
    <row r="8237" spans="1:8" ht="25.05" customHeight="1" x14ac:dyDescent="0.25">
      <c r="A8237" s="2" t="s">
        <v>8</v>
      </c>
      <c r="B8237" s="2" t="str">
        <f>HYPERLINK("http://ts.21cn.com/tousu/show/id/1339292","联通手机卡有话费却被暂停服务")</f>
        <v>联通手机卡有话费却被暂停服务</v>
      </c>
      <c r="C8237" s="2" t="s">
        <v>9</v>
      </c>
      <c r="D8237" s="2" t="s">
        <v>10</v>
      </c>
      <c r="E8237" s="2" t="str">
        <f>HYPERLINK("http://ts.21cn.com/tousu/show/id/1339292","http://ts.21cn.com/tousu/show/id/1339292")</f>
        <v>http://ts.21cn.com/tousu/show/id/1339292</v>
      </c>
      <c r="F8237" s="2" t="s">
        <v>11</v>
      </c>
      <c r="G8237" s="2" t="s">
        <v>27963</v>
      </c>
      <c r="H8237" s="2" t="s">
        <v>27964</v>
      </c>
    </row>
    <row r="8238" spans="1:8" ht="25.05" customHeight="1" x14ac:dyDescent="0.25">
      <c r="A8238" s="2" t="s">
        <v>8</v>
      </c>
      <c r="B8238" s="2" t="str">
        <f>HYPERLINK("http://ts.21cn.com/tousu/show/id/1339290","51人品贷，暴力催收")</f>
        <v>51人品贷，暴力催收</v>
      </c>
      <c r="C8238" s="2" t="s">
        <v>9</v>
      </c>
      <c r="D8238" s="2" t="s">
        <v>10</v>
      </c>
      <c r="E8238" s="2" t="str">
        <f>HYPERLINK("http://ts.21cn.com/tousu/show/id/1339290","http://ts.21cn.com/tousu/show/id/1339290")</f>
        <v>http://ts.21cn.com/tousu/show/id/1339290</v>
      </c>
      <c r="F8238" s="2" t="s">
        <v>11</v>
      </c>
      <c r="G8238" s="2" t="s">
        <v>27961</v>
      </c>
      <c r="H8238" s="2" t="s">
        <v>27962</v>
      </c>
    </row>
    <row r="8239" spans="1:8" ht="25.05" customHeight="1" x14ac:dyDescent="0.25">
      <c r="A8239" s="2" t="s">
        <v>8</v>
      </c>
      <c r="B8239" s="2" t="str">
        <f>HYPERLINK("http://ts.21cn.com/tousu/show/id/1339293","凡普金科，高利贷，不协商")</f>
        <v>凡普金科，高利贷，不协商</v>
      </c>
      <c r="C8239" s="2" t="s">
        <v>9</v>
      </c>
      <c r="D8239" s="2" t="s">
        <v>10</v>
      </c>
      <c r="E8239" s="2" t="str">
        <f>HYPERLINK("http://ts.21cn.com/tousu/show/id/1339293","http://ts.21cn.com/tousu/show/id/1339293")</f>
        <v>http://ts.21cn.com/tousu/show/id/1339293</v>
      </c>
      <c r="F8239" s="2" t="s">
        <v>11</v>
      </c>
      <c r="G8239" s="2" t="s">
        <v>27959</v>
      </c>
      <c r="H8239" s="2" t="s">
        <v>27960</v>
      </c>
    </row>
    <row r="8240" spans="1:8" ht="25.05" customHeight="1" x14ac:dyDescent="0.25">
      <c r="A8240" s="2" t="s">
        <v>8</v>
      </c>
      <c r="B8240" s="2" t="str">
        <f>HYPERLINK("http://ts.21cn.com/tousu/show/id/1339295","米米罐恶意高利贷催收")</f>
        <v>米米罐恶意高利贷催收</v>
      </c>
      <c r="C8240" s="2" t="s">
        <v>9</v>
      </c>
      <c r="D8240" s="2" t="s">
        <v>10</v>
      </c>
      <c r="E8240" s="2" t="str">
        <f>HYPERLINK("http://ts.21cn.com/tousu/show/id/1339295","http://ts.21cn.com/tousu/show/id/1339295")</f>
        <v>http://ts.21cn.com/tousu/show/id/1339295</v>
      </c>
      <c r="F8240" s="2" t="s">
        <v>11</v>
      </c>
      <c r="G8240" s="2" t="s">
        <v>27957</v>
      </c>
      <c r="H8240" s="2" t="s">
        <v>27958</v>
      </c>
    </row>
    <row r="8241" spans="1:8" ht="25.05" customHeight="1" x14ac:dyDescent="0.25">
      <c r="A8241" s="2" t="s">
        <v>8</v>
      </c>
      <c r="B8241" s="2" t="str">
        <f>HYPERLINK("http://ts.21cn.com/tousu/show/id/1339296","来分期套路贷没有任何提示转成大额借款")</f>
        <v>来分期套路贷没有任何提示转成大额借款</v>
      </c>
      <c r="C8241" s="2" t="s">
        <v>9</v>
      </c>
      <c r="D8241" s="2" t="s">
        <v>10</v>
      </c>
      <c r="E8241" s="2" t="str">
        <f>HYPERLINK("http://ts.21cn.com/tousu/show/id/1339296","http://ts.21cn.com/tousu/show/id/1339296")</f>
        <v>http://ts.21cn.com/tousu/show/id/1339296</v>
      </c>
      <c r="F8241" s="2" t="s">
        <v>11</v>
      </c>
      <c r="G8241" s="2" t="s">
        <v>27955</v>
      </c>
      <c r="H8241" s="2" t="s">
        <v>27956</v>
      </c>
    </row>
    <row r="8242" spans="1:8" ht="25.05" customHeight="1" x14ac:dyDescent="0.25">
      <c r="A8242" s="2" t="s">
        <v>8</v>
      </c>
      <c r="B8242" s="2" t="str">
        <f>HYPERLINK("http://ts.21cn.com/tousu/show/id/1339297","京东白条暴力催收")</f>
        <v>京东白条暴力催收</v>
      </c>
      <c r="C8242" s="2" t="s">
        <v>9</v>
      </c>
      <c r="D8242" s="2" t="s">
        <v>10</v>
      </c>
      <c r="E8242" s="2" t="str">
        <f>HYPERLINK("http://ts.21cn.com/tousu/show/id/1339297","http://ts.21cn.com/tousu/show/id/1339297")</f>
        <v>http://ts.21cn.com/tousu/show/id/1339297</v>
      </c>
      <c r="F8242" s="2" t="s">
        <v>11</v>
      </c>
      <c r="G8242" s="2" t="s">
        <v>27953</v>
      </c>
      <c r="H8242" s="2" t="s">
        <v>27954</v>
      </c>
    </row>
    <row r="8243" spans="1:8" ht="25.05" customHeight="1" x14ac:dyDescent="0.25">
      <c r="A8243" s="2" t="s">
        <v>8</v>
      </c>
      <c r="B8243" s="2" t="str">
        <f>HYPERLINK("http://ts.21cn.com/tousu/show/id/1339298","贷上钱催收连30分钟都不给堪比黑社会，易宝支付为违法行为提供服务")</f>
        <v>贷上钱催收连30分钟都不给堪比黑社会，易宝支付为违法行为提供服务</v>
      </c>
      <c r="C8243" s="2" t="s">
        <v>9</v>
      </c>
      <c r="D8243" s="2" t="s">
        <v>10</v>
      </c>
      <c r="E8243" s="2" t="str">
        <f>HYPERLINK("http://ts.21cn.com/tousu/show/id/1339298","http://ts.21cn.com/tousu/show/id/1339298")</f>
        <v>http://ts.21cn.com/tousu/show/id/1339298</v>
      </c>
      <c r="F8243" s="2" t="s">
        <v>11</v>
      </c>
      <c r="G8243" s="2" t="s">
        <v>27951</v>
      </c>
      <c r="H8243" s="2" t="s">
        <v>27952</v>
      </c>
    </row>
    <row r="8244" spans="1:8" ht="25.05" customHeight="1" x14ac:dyDescent="0.25">
      <c r="A8244" s="2" t="s">
        <v>8</v>
      </c>
      <c r="B8244" s="2" t="str">
        <f>HYPERLINK("http://ts.21cn.com/tousu/show/id/1339299","随意扣款")</f>
        <v>随意扣款</v>
      </c>
      <c r="C8244" s="2" t="s">
        <v>9</v>
      </c>
      <c r="D8244" s="2" t="s">
        <v>10</v>
      </c>
      <c r="E8244" s="2" t="str">
        <f>HYPERLINK("http://ts.21cn.com/tousu/show/id/1339299","http://ts.21cn.com/tousu/show/id/1339299")</f>
        <v>http://ts.21cn.com/tousu/show/id/1339299</v>
      </c>
      <c r="F8244" s="2" t="s">
        <v>11</v>
      </c>
      <c r="G8244" s="2" t="s">
        <v>27949</v>
      </c>
      <c r="H8244" s="2" t="s">
        <v>27950</v>
      </c>
    </row>
    <row r="8245" spans="1:8" ht="25.05" customHeight="1" x14ac:dyDescent="0.25">
      <c r="A8245" s="2" t="s">
        <v>8</v>
      </c>
      <c r="B8245" s="2" t="str">
        <f>HYPERLINK("http://ts.21cn.com/tousu/show/id/1339301","快闪卡贷欺诈借贷者且违规高利贷")</f>
        <v>快闪卡贷欺诈借贷者且违规高利贷</v>
      </c>
      <c r="C8245" s="2" t="s">
        <v>9</v>
      </c>
      <c r="D8245" s="2" t="s">
        <v>10</v>
      </c>
      <c r="E8245" s="2" t="str">
        <f>HYPERLINK("http://ts.21cn.com/tousu/show/id/1339301","http://ts.21cn.com/tousu/show/id/1339301")</f>
        <v>http://ts.21cn.com/tousu/show/id/1339301</v>
      </c>
      <c r="F8245" s="2" t="s">
        <v>11</v>
      </c>
      <c r="G8245" s="2" t="s">
        <v>27947</v>
      </c>
      <c r="H8245" s="2" t="s">
        <v>27948</v>
      </c>
    </row>
    <row r="8246" spans="1:8" ht="25.05" customHeight="1" x14ac:dyDescent="0.25">
      <c r="A8246" s="2" t="s">
        <v>8</v>
      </c>
      <c r="B8246" s="2" t="str">
        <f>HYPERLINK("http://ts.21cn.com/tousu/show/id/1339302","拍拍贷暴力催收")</f>
        <v>拍拍贷暴力催收</v>
      </c>
      <c r="C8246" s="2" t="s">
        <v>9</v>
      </c>
      <c r="D8246" s="2" t="s">
        <v>10</v>
      </c>
      <c r="E8246" s="2" t="str">
        <f>HYPERLINK("http://ts.21cn.com/tousu/show/id/1339302","http://ts.21cn.com/tousu/show/id/1339302")</f>
        <v>http://ts.21cn.com/tousu/show/id/1339302</v>
      </c>
      <c r="F8246" s="2" t="s">
        <v>11</v>
      </c>
      <c r="G8246" s="2" t="s">
        <v>27945</v>
      </c>
      <c r="H8246" s="2" t="s">
        <v>27946</v>
      </c>
    </row>
    <row r="8247" spans="1:8" ht="25.05" customHeight="1" x14ac:dyDescent="0.25">
      <c r="A8247" s="2" t="s">
        <v>8</v>
      </c>
      <c r="B8247" s="2" t="str">
        <f>HYPERLINK("http://ts.21cn.com/tousu/show/id/1339303","威胁，恐吓")</f>
        <v>威胁，恐吓</v>
      </c>
      <c r="C8247" s="2" t="s">
        <v>9</v>
      </c>
      <c r="D8247" s="2" t="s">
        <v>10</v>
      </c>
      <c r="E8247" s="2" t="str">
        <f>HYPERLINK("http://ts.21cn.com/tousu/show/id/1339303","http://ts.21cn.com/tousu/show/id/1339303")</f>
        <v>http://ts.21cn.com/tousu/show/id/1339303</v>
      </c>
      <c r="F8247" s="2" t="s">
        <v>11</v>
      </c>
      <c r="G8247" s="2" t="s">
        <v>27943</v>
      </c>
      <c r="H8247" s="2" t="s">
        <v>27944</v>
      </c>
    </row>
    <row r="8248" spans="1:8" ht="25.05" customHeight="1" x14ac:dyDescent="0.25">
      <c r="A8248" s="2" t="s">
        <v>8</v>
      </c>
      <c r="B8248" s="2" t="str">
        <f>HYPERLINK("http://ts.21cn.com/tousu/show/id/1339304","支付宝强行永久冻结资金希望解冻")</f>
        <v>支付宝强行永久冻结资金希望解冻</v>
      </c>
      <c r="C8248" s="2" t="s">
        <v>9</v>
      </c>
      <c r="D8248" s="2" t="s">
        <v>10</v>
      </c>
      <c r="E8248" s="2" t="str">
        <f>HYPERLINK("http://ts.21cn.com/tousu/show/id/1339304","http://ts.21cn.com/tousu/show/id/1339304")</f>
        <v>http://ts.21cn.com/tousu/show/id/1339304</v>
      </c>
      <c r="F8248" s="2" t="s">
        <v>11</v>
      </c>
      <c r="G8248" s="2" t="s">
        <v>27941</v>
      </c>
      <c r="H8248" s="2" t="s">
        <v>27942</v>
      </c>
    </row>
    <row r="8249" spans="1:8" ht="25.05" customHeight="1" x14ac:dyDescent="0.25">
      <c r="A8249" s="2" t="s">
        <v>8</v>
      </c>
      <c r="B8249" s="2" t="str">
        <f>HYPERLINK("http://ts.21cn.com/tousu/show/id/1339305","要求时光分期减免超出年利率36%以外的不合理收费")</f>
        <v>要求时光分期减免超出年利率36%以外的不合理收费</v>
      </c>
      <c r="C8249" s="2" t="s">
        <v>9</v>
      </c>
      <c r="D8249" s="2" t="s">
        <v>10</v>
      </c>
      <c r="E8249" s="2" t="str">
        <f>HYPERLINK("http://ts.21cn.com/tousu/show/id/1339305","http://ts.21cn.com/tousu/show/id/1339305")</f>
        <v>http://ts.21cn.com/tousu/show/id/1339305</v>
      </c>
      <c r="F8249" s="2" t="s">
        <v>11</v>
      </c>
      <c r="G8249" s="2" t="s">
        <v>27939</v>
      </c>
      <c r="H8249" s="2" t="s">
        <v>27940</v>
      </c>
    </row>
    <row r="8250" spans="1:8" ht="25.05" customHeight="1" x14ac:dyDescent="0.25">
      <c r="A8250" s="2" t="s">
        <v>8</v>
      </c>
      <c r="B8250" s="2" t="str">
        <f>HYPERLINK("http://ts.21cn.com/tousu/show/id/1339306","万达贷催收威胁联系他人软暴力催收")</f>
        <v>万达贷催收威胁联系他人软暴力催收</v>
      </c>
      <c r="C8250" s="2" t="s">
        <v>9</v>
      </c>
      <c r="D8250" s="2" t="s">
        <v>10</v>
      </c>
      <c r="E8250" s="2" t="str">
        <f>HYPERLINK("http://ts.21cn.com/tousu/show/id/1339306","http://ts.21cn.com/tousu/show/id/1339306")</f>
        <v>http://ts.21cn.com/tousu/show/id/1339306</v>
      </c>
      <c r="F8250" s="2" t="s">
        <v>11</v>
      </c>
      <c r="G8250" s="2" t="s">
        <v>27937</v>
      </c>
      <c r="H8250" s="2" t="s">
        <v>27938</v>
      </c>
    </row>
    <row r="8251" spans="1:8" ht="25.05" customHeight="1" x14ac:dyDescent="0.25">
      <c r="A8251" s="2" t="s">
        <v>8</v>
      </c>
      <c r="B8251" s="2" t="str">
        <f>HYPERLINK("http://ts.21cn.com/tousu/show/id/1339044","瞎收费")</f>
        <v>瞎收费</v>
      </c>
      <c r="C8251" s="2" t="s">
        <v>9</v>
      </c>
      <c r="D8251" s="2" t="s">
        <v>10</v>
      </c>
      <c r="E8251" s="2" t="str">
        <f>HYPERLINK("http://ts.21cn.com/tousu/show/id/1339044","http://ts.21cn.com/tousu/show/id/1339044")</f>
        <v>http://ts.21cn.com/tousu/show/id/1339044</v>
      </c>
      <c r="F8251" s="2" t="s">
        <v>11</v>
      </c>
      <c r="G8251" s="2" t="s">
        <v>27935</v>
      </c>
      <c r="H8251" s="2" t="s">
        <v>27936</v>
      </c>
    </row>
    <row r="8252" spans="1:8" ht="25.05" customHeight="1" x14ac:dyDescent="0.25">
      <c r="A8252" s="2" t="s">
        <v>8</v>
      </c>
      <c r="B8252" s="2" t="str">
        <f>HYPERLINK("http://ts.21cn.com/tousu/show/id/1339307","嗨包高利贷，支付平台为高利贷平台提供放款渠道")</f>
        <v>嗨包高利贷，支付平台为高利贷平台提供放款渠道</v>
      </c>
      <c r="C8252" s="2" t="s">
        <v>9</v>
      </c>
      <c r="D8252" s="2" t="s">
        <v>10</v>
      </c>
      <c r="E8252" s="2" t="str">
        <f>HYPERLINK("http://ts.21cn.com/tousu/show/id/1339307","http://ts.21cn.com/tousu/show/id/1339307")</f>
        <v>http://ts.21cn.com/tousu/show/id/1339307</v>
      </c>
      <c r="F8252" s="2" t="s">
        <v>11</v>
      </c>
      <c r="G8252" s="2" t="s">
        <v>27933</v>
      </c>
      <c r="H8252" s="2" t="s">
        <v>27934</v>
      </c>
    </row>
    <row r="8253" spans="1:8" ht="25.05" customHeight="1" x14ac:dyDescent="0.25">
      <c r="A8253" s="2" t="s">
        <v>8</v>
      </c>
      <c r="B8253" s="2" t="str">
        <f>HYPERLINK("http://ts.21cn.com/tousu/show/id/1339312","砍头息高利贷骚扰")</f>
        <v>砍头息高利贷骚扰</v>
      </c>
      <c r="C8253" s="2" t="s">
        <v>9</v>
      </c>
      <c r="D8253" s="2" t="s">
        <v>10</v>
      </c>
      <c r="E8253" s="2" t="str">
        <f>HYPERLINK("http://ts.21cn.com/tousu/show/id/1339312","http://ts.21cn.com/tousu/show/id/1339312")</f>
        <v>http://ts.21cn.com/tousu/show/id/1339312</v>
      </c>
      <c r="F8253" s="2" t="s">
        <v>11</v>
      </c>
      <c r="G8253" s="2" t="s">
        <v>27930</v>
      </c>
      <c r="H8253" s="2" t="s">
        <v>27931</v>
      </c>
    </row>
    <row r="8254" spans="1:8" ht="25.05" customHeight="1" x14ac:dyDescent="0.25">
      <c r="A8254" s="2" t="s">
        <v>8</v>
      </c>
      <c r="B8254" s="2" t="str">
        <f>HYPERLINK("http://ts.21cn.com/tousu/show/id/1339311","达飞云贷垃圾高利贷")</f>
        <v>达飞云贷垃圾高利贷</v>
      </c>
      <c r="C8254" s="2" t="s">
        <v>9</v>
      </c>
      <c r="D8254" s="2" t="s">
        <v>10</v>
      </c>
      <c r="E8254" s="2" t="str">
        <f>HYPERLINK("http://ts.21cn.com/tousu/show/id/1339311","http://ts.21cn.com/tousu/show/id/1339311")</f>
        <v>http://ts.21cn.com/tousu/show/id/1339311</v>
      </c>
      <c r="F8254" s="2" t="s">
        <v>11</v>
      </c>
      <c r="G8254" s="2" t="s">
        <v>27930</v>
      </c>
      <c r="H8254" s="2" t="s">
        <v>27932</v>
      </c>
    </row>
    <row r="8255" spans="1:8" ht="25.05" customHeight="1" x14ac:dyDescent="0.25">
      <c r="A8255" s="2" t="s">
        <v>8</v>
      </c>
      <c r="B8255" s="2" t="str">
        <f>HYPERLINK("http://ts.21cn.com/tousu/show/id/1339314","月光侠分期，砍头高利息，恶意骚扰通信录的人")</f>
        <v>月光侠分期，砍头高利息，恶意骚扰通信录的人</v>
      </c>
      <c r="C8255" s="2" t="s">
        <v>9</v>
      </c>
      <c r="D8255" s="2" t="s">
        <v>10</v>
      </c>
      <c r="E8255" s="2" t="str">
        <f>HYPERLINK("http://ts.21cn.com/tousu/show/id/1339314","http://ts.21cn.com/tousu/show/id/1339314")</f>
        <v>http://ts.21cn.com/tousu/show/id/1339314</v>
      </c>
      <c r="F8255" s="2" t="s">
        <v>11</v>
      </c>
      <c r="G8255" s="2" t="s">
        <v>27928</v>
      </c>
      <c r="H8255" s="2" t="s">
        <v>27929</v>
      </c>
    </row>
    <row r="8256" spans="1:8" ht="25.05" customHeight="1" x14ac:dyDescent="0.25">
      <c r="A8256" s="2" t="s">
        <v>8</v>
      </c>
      <c r="B8256" s="2" t="str">
        <f>HYPERLINK("http://ts.21cn.com/tousu/show/id/1339313","没有买当次车票，但是高铁管家乱扣费")</f>
        <v>没有买当次车票，但是高铁管家乱扣费</v>
      </c>
      <c r="C8256" s="2" t="s">
        <v>9</v>
      </c>
      <c r="D8256" s="2" t="s">
        <v>10</v>
      </c>
      <c r="E8256" s="2" t="str">
        <f>HYPERLINK("http://ts.21cn.com/tousu/show/id/1339313","http://ts.21cn.com/tousu/show/id/1339313")</f>
        <v>http://ts.21cn.com/tousu/show/id/1339313</v>
      </c>
      <c r="F8256" s="2" t="s">
        <v>11</v>
      </c>
      <c r="G8256" s="2" t="s">
        <v>27926</v>
      </c>
      <c r="H8256" s="2" t="s">
        <v>27927</v>
      </c>
    </row>
    <row r="8257" spans="1:8" ht="25.05" customHeight="1" x14ac:dyDescent="0.25">
      <c r="A8257" s="2" t="s">
        <v>8</v>
      </c>
      <c r="B8257" s="2" t="str">
        <f>HYPERLINK("http://ts.21cn.com/tousu/show/id/1339317","51人贷，高利贷，暴力催收，")</f>
        <v>51人贷，高利贷，暴力催收，</v>
      </c>
      <c r="C8257" s="2" t="s">
        <v>9</v>
      </c>
      <c r="D8257" s="2" t="s">
        <v>10</v>
      </c>
      <c r="E8257" s="2" t="str">
        <f>HYPERLINK("http://ts.21cn.com/tousu/show/id/1339317","http://ts.21cn.com/tousu/show/id/1339317")</f>
        <v>http://ts.21cn.com/tousu/show/id/1339317</v>
      </c>
      <c r="F8257" s="2" t="s">
        <v>11</v>
      </c>
      <c r="G8257" s="2" t="s">
        <v>27924</v>
      </c>
      <c r="H8257" s="2" t="s">
        <v>27925</v>
      </c>
    </row>
    <row r="8258" spans="1:8" ht="25.05" customHeight="1" x14ac:dyDescent="0.25">
      <c r="A8258" s="2" t="s">
        <v>8</v>
      </c>
      <c r="B8258" s="2" t="str">
        <f>HYPERLINK("http://ts.21cn.com/tousu/show/id/1339315","381快钱，逾期一天罚50快钱利息？我想问问中国对高利贷没办法了是吧？")</f>
        <v>381快钱，逾期一天罚50快钱利息？我想问问中国对高利贷没办法了是吧？</v>
      </c>
      <c r="C8258" s="2" t="s">
        <v>9</v>
      </c>
      <c r="D8258" s="2" t="s">
        <v>10</v>
      </c>
      <c r="E8258" s="2" t="str">
        <f>HYPERLINK("http://ts.21cn.com/tousu/show/id/1339315","http://ts.21cn.com/tousu/show/id/1339315")</f>
        <v>http://ts.21cn.com/tousu/show/id/1339315</v>
      </c>
      <c r="F8258" s="2" t="s">
        <v>11</v>
      </c>
      <c r="G8258" s="2" t="s">
        <v>27922</v>
      </c>
      <c r="H8258" s="2" t="s">
        <v>27923</v>
      </c>
    </row>
    <row r="8259" spans="1:8" ht="25.05" customHeight="1" x14ac:dyDescent="0.25">
      <c r="A8259" s="2" t="s">
        <v>8</v>
      </c>
      <c r="B8259" s="2" t="str">
        <f>HYPERLINK("http://ts.21cn.com/tousu/show/id/1339318","光大银行委托催收人员，恶意骚扰，损害个人名誉权")</f>
        <v>光大银行委托催收人员，恶意骚扰，损害个人名誉权</v>
      </c>
      <c r="C8259" s="2" t="s">
        <v>9</v>
      </c>
      <c r="D8259" s="2" t="s">
        <v>10</v>
      </c>
      <c r="E8259" s="2" t="str">
        <f>HYPERLINK("http://ts.21cn.com/tousu/show/id/1339318","http://ts.21cn.com/tousu/show/id/1339318")</f>
        <v>http://ts.21cn.com/tousu/show/id/1339318</v>
      </c>
      <c r="F8259" s="2" t="s">
        <v>11</v>
      </c>
      <c r="G8259" s="2" t="s">
        <v>27920</v>
      </c>
      <c r="H8259" s="2" t="s">
        <v>27921</v>
      </c>
    </row>
    <row r="8260" spans="1:8" ht="25.05" customHeight="1" x14ac:dyDescent="0.25">
      <c r="A8260" s="2" t="s">
        <v>8</v>
      </c>
      <c r="B8260" s="2" t="str">
        <f>HYPERLINK("http://ts.21cn.com/tousu/show/id/1339319","51给你花利息太高，发恐吓短信")</f>
        <v>51给你花利息太高，发恐吓短信</v>
      </c>
      <c r="C8260" s="2" t="s">
        <v>9</v>
      </c>
      <c r="D8260" s="2" t="s">
        <v>10</v>
      </c>
      <c r="E8260" s="2" t="str">
        <f>HYPERLINK("http://ts.21cn.com/tousu/show/id/1339319","http://ts.21cn.com/tousu/show/id/1339319")</f>
        <v>http://ts.21cn.com/tousu/show/id/1339319</v>
      </c>
      <c r="F8260" s="2" t="s">
        <v>11</v>
      </c>
      <c r="G8260" s="2" t="s">
        <v>27918</v>
      </c>
      <c r="H8260" s="2" t="s">
        <v>27919</v>
      </c>
    </row>
    <row r="8261" spans="1:8" ht="25.05" customHeight="1" x14ac:dyDescent="0.25">
      <c r="A8261" s="2" t="s">
        <v>8</v>
      </c>
      <c r="B8261" s="2" t="str">
        <f>HYPERLINK("http://ts.21cn.com/tousu/show/id/1339320","京东白条你要逼死我吗")</f>
        <v>京东白条你要逼死我吗</v>
      </c>
      <c r="C8261" s="2" t="s">
        <v>9</v>
      </c>
      <c r="D8261" s="2" t="s">
        <v>10</v>
      </c>
      <c r="E8261" s="2" t="str">
        <f>HYPERLINK("http://ts.21cn.com/tousu/show/id/1339320","http://ts.21cn.com/tousu/show/id/1339320")</f>
        <v>http://ts.21cn.com/tousu/show/id/1339320</v>
      </c>
      <c r="F8261" s="2" t="s">
        <v>11</v>
      </c>
      <c r="G8261" s="2" t="s">
        <v>27916</v>
      </c>
      <c r="H8261" s="2" t="s">
        <v>27917</v>
      </c>
    </row>
    <row r="8262" spans="1:8" ht="25.05" customHeight="1" x14ac:dyDescent="0.25">
      <c r="A8262" s="2" t="s">
        <v>8</v>
      </c>
      <c r="B8262" s="2" t="str">
        <f>HYPERLINK("http://ts.21cn.com/tousu/show/id/1339291","百度推广虚假广告")</f>
        <v>百度推广虚假广告</v>
      </c>
      <c r="C8262" s="2" t="s">
        <v>9</v>
      </c>
      <c r="D8262" s="2" t="s">
        <v>10</v>
      </c>
      <c r="E8262" s="2" t="str">
        <f>HYPERLINK("http://ts.21cn.com/tousu/show/id/1339291","http://ts.21cn.com/tousu/show/id/1339291")</f>
        <v>http://ts.21cn.com/tousu/show/id/1339291</v>
      </c>
      <c r="F8262" s="2" t="s">
        <v>11</v>
      </c>
      <c r="G8262" s="2" t="s">
        <v>27914</v>
      </c>
      <c r="H8262" s="2" t="s">
        <v>27915</v>
      </c>
    </row>
    <row r="8263" spans="1:8" ht="25.05" customHeight="1" x14ac:dyDescent="0.25">
      <c r="A8263" s="2" t="s">
        <v>8</v>
      </c>
      <c r="B8263" s="2" t="str">
        <f>HYPERLINK("http://ts.21cn.com/tousu/show/id/1339322","高利贷砍头息客服处理不当，")</f>
        <v>高利贷砍头息客服处理不当，</v>
      </c>
      <c r="C8263" s="2" t="s">
        <v>9</v>
      </c>
      <c r="D8263" s="2" t="s">
        <v>10</v>
      </c>
      <c r="E8263" s="2" t="str">
        <f>HYPERLINK("http://ts.21cn.com/tousu/show/id/1339322","http://ts.21cn.com/tousu/show/id/1339322")</f>
        <v>http://ts.21cn.com/tousu/show/id/1339322</v>
      </c>
      <c r="F8263" s="2" t="s">
        <v>11</v>
      </c>
      <c r="G8263" s="2" t="s">
        <v>27912</v>
      </c>
      <c r="H8263" s="2" t="s">
        <v>27913</v>
      </c>
    </row>
    <row r="8264" spans="1:8" ht="25.05" customHeight="1" x14ac:dyDescent="0.25">
      <c r="A8264" s="2" t="s">
        <v>8</v>
      </c>
      <c r="B8264" s="2" t="str">
        <f>HYPERLINK("http://ts.21cn.com/tousu/show/id/1339321","贷上钱三无企业高利贷砍头息")</f>
        <v>贷上钱三无企业高利贷砍头息</v>
      </c>
      <c r="C8264" s="2" t="s">
        <v>9</v>
      </c>
      <c r="D8264" s="2" t="s">
        <v>10</v>
      </c>
      <c r="E8264" s="2" t="str">
        <f>HYPERLINK("http://ts.21cn.com/tousu/show/id/1339321","http://ts.21cn.com/tousu/show/id/1339321")</f>
        <v>http://ts.21cn.com/tousu/show/id/1339321</v>
      </c>
      <c r="F8264" s="2" t="s">
        <v>11</v>
      </c>
      <c r="G8264" s="2" t="s">
        <v>27910</v>
      </c>
      <c r="H8264" s="2" t="s">
        <v>27911</v>
      </c>
    </row>
    <row r="8265" spans="1:8" ht="25.05" customHeight="1" x14ac:dyDescent="0.25">
      <c r="A8265" s="2" t="s">
        <v>8</v>
      </c>
      <c r="B8265" s="2" t="str">
        <f>HYPERLINK("http://ts.21cn.com/tousu/show/id/1339323","闪银莫名其妙出现逾期账单")</f>
        <v>闪银莫名其妙出现逾期账单</v>
      </c>
      <c r="C8265" s="2" t="s">
        <v>9</v>
      </c>
      <c r="D8265" s="2" t="s">
        <v>10</v>
      </c>
      <c r="E8265" s="2" t="str">
        <f>HYPERLINK("http://ts.21cn.com/tousu/show/id/1339323","http://ts.21cn.com/tousu/show/id/1339323")</f>
        <v>http://ts.21cn.com/tousu/show/id/1339323</v>
      </c>
      <c r="F8265" s="2" t="s">
        <v>11</v>
      </c>
      <c r="G8265" s="2" t="s">
        <v>27908</v>
      </c>
      <c r="H8265" s="2" t="s">
        <v>27909</v>
      </c>
    </row>
    <row r="8266" spans="1:8" ht="25.05" customHeight="1" x14ac:dyDescent="0.25">
      <c r="A8266" s="2" t="s">
        <v>8</v>
      </c>
      <c r="B8266" s="2" t="str">
        <f>HYPERLINK("http://ts.21cn.com/tousu/show/id/1339326","佰仟金融高利息")</f>
        <v>佰仟金融高利息</v>
      </c>
      <c r="C8266" s="2" t="s">
        <v>9</v>
      </c>
      <c r="D8266" s="2" t="s">
        <v>10</v>
      </c>
      <c r="E8266" s="2" t="str">
        <f>HYPERLINK("http://ts.21cn.com/tousu/show/id/1339326","http://ts.21cn.com/tousu/show/id/1339326")</f>
        <v>http://ts.21cn.com/tousu/show/id/1339326</v>
      </c>
      <c r="F8266" s="2" t="s">
        <v>11</v>
      </c>
      <c r="G8266" s="2" t="s">
        <v>27906</v>
      </c>
      <c r="H8266" s="2" t="s">
        <v>27907</v>
      </c>
    </row>
    <row r="8267" spans="1:8" ht="25.05" customHeight="1" x14ac:dyDescent="0.25">
      <c r="A8267" s="2" t="s">
        <v>8</v>
      </c>
      <c r="B8267" s="2" t="str">
        <f>HYPERLINK("http://ts.21cn.com/tousu/show/id/1339327","兴业银行电话骚扰言语辱骂")</f>
        <v>兴业银行电话骚扰言语辱骂</v>
      </c>
      <c r="C8267" s="2" t="s">
        <v>9</v>
      </c>
      <c r="D8267" s="2" t="s">
        <v>10</v>
      </c>
      <c r="E8267" s="2" t="str">
        <f>HYPERLINK("http://ts.21cn.com/tousu/show/id/1339327","http://ts.21cn.com/tousu/show/id/1339327")</f>
        <v>http://ts.21cn.com/tousu/show/id/1339327</v>
      </c>
      <c r="F8267" s="2" t="s">
        <v>11</v>
      </c>
      <c r="G8267" s="2" t="s">
        <v>27904</v>
      </c>
      <c r="H8267" s="2" t="s">
        <v>27905</v>
      </c>
    </row>
    <row r="8268" spans="1:8" ht="25.05" customHeight="1" x14ac:dyDescent="0.25">
      <c r="A8268" s="2" t="s">
        <v>8</v>
      </c>
      <c r="B8268" s="2" t="str">
        <f>HYPERLINK("http://ts.21cn.com/tousu/show/id/1339309","网贷投诉")</f>
        <v>网贷投诉</v>
      </c>
      <c r="C8268" s="2" t="s">
        <v>9</v>
      </c>
      <c r="D8268" s="2" t="s">
        <v>10</v>
      </c>
      <c r="E8268" s="2" t="str">
        <f>HYPERLINK("http://ts.21cn.com/tousu/show/id/1339309","http://ts.21cn.com/tousu/show/id/1339309")</f>
        <v>http://ts.21cn.com/tousu/show/id/1339309</v>
      </c>
      <c r="F8268" s="2" t="s">
        <v>11</v>
      </c>
      <c r="G8268" s="2" t="s">
        <v>27902</v>
      </c>
      <c r="H8268" s="2" t="s">
        <v>27903</v>
      </c>
    </row>
    <row r="8269" spans="1:8" ht="25.05" customHeight="1" x14ac:dyDescent="0.25">
      <c r="A8269" s="2" t="s">
        <v>8</v>
      </c>
      <c r="B8269" s="2" t="str">
        <f>HYPERLINK("http://ts.21cn.com/tousu/show/id/1339329","自由摩卡")</f>
        <v>自由摩卡</v>
      </c>
      <c r="C8269" s="2" t="s">
        <v>9</v>
      </c>
      <c r="D8269" s="2" t="s">
        <v>10</v>
      </c>
      <c r="E8269" s="2" t="str">
        <f>HYPERLINK("http://ts.21cn.com/tousu/show/id/1339329","http://ts.21cn.com/tousu/show/id/1339329")</f>
        <v>http://ts.21cn.com/tousu/show/id/1339329</v>
      </c>
      <c r="F8269" s="2" t="s">
        <v>11</v>
      </c>
      <c r="G8269" s="2" t="s">
        <v>27900</v>
      </c>
      <c r="H8269" s="2" t="s">
        <v>27901</v>
      </c>
    </row>
    <row r="8270" spans="1:8" ht="25.05" customHeight="1" x14ac:dyDescent="0.25">
      <c r="A8270" s="2" t="s">
        <v>8</v>
      </c>
      <c r="B8270" s="2" t="str">
        <f>HYPERLINK("http://ts.21cn.com/tousu/show/id/1339324","魅族不实行三包维修")</f>
        <v>魅族不实行三包维修</v>
      </c>
      <c r="C8270" s="2" t="s">
        <v>9</v>
      </c>
      <c r="D8270" s="2" t="s">
        <v>10</v>
      </c>
      <c r="E8270" s="2" t="str">
        <f>HYPERLINK("http://ts.21cn.com/tousu/show/id/1339324","http://ts.21cn.com/tousu/show/id/1339324")</f>
        <v>http://ts.21cn.com/tousu/show/id/1339324</v>
      </c>
      <c r="F8270" s="2" t="s">
        <v>11</v>
      </c>
      <c r="G8270" s="2" t="s">
        <v>27898</v>
      </c>
      <c r="H8270" s="2" t="s">
        <v>27899</v>
      </c>
    </row>
    <row r="8271" spans="1:8" ht="25.05" customHeight="1" x14ac:dyDescent="0.25">
      <c r="A8271" s="2" t="s">
        <v>8</v>
      </c>
      <c r="B8271" s="2" t="str">
        <f>HYPERLINK("http://ts.21cn.com/tousu/show/id/1339330","左右钱包高利贷，暴力催收")</f>
        <v>左右钱包高利贷，暴力催收</v>
      </c>
      <c r="C8271" s="2" t="s">
        <v>9</v>
      </c>
      <c r="D8271" s="2" t="s">
        <v>10</v>
      </c>
      <c r="E8271" s="2" t="str">
        <f>HYPERLINK("http://ts.21cn.com/tousu/show/id/1339330","http://ts.21cn.com/tousu/show/id/1339330")</f>
        <v>http://ts.21cn.com/tousu/show/id/1339330</v>
      </c>
      <c r="F8271" s="2" t="s">
        <v>11</v>
      </c>
      <c r="G8271" s="2" t="s">
        <v>27896</v>
      </c>
      <c r="H8271" s="2" t="s">
        <v>27897</v>
      </c>
    </row>
    <row r="8272" spans="1:8" ht="25.05" customHeight="1" x14ac:dyDescent="0.25">
      <c r="A8272" s="2" t="s">
        <v>8</v>
      </c>
      <c r="B8272" s="2" t="str">
        <f>HYPERLINK("http://ts.21cn.com/tousu/show/id/1339334","51人品贷，暴力催收，严重骚扰")</f>
        <v>51人品贷，暴力催收，严重骚扰</v>
      </c>
      <c r="C8272" s="2" t="s">
        <v>9</v>
      </c>
      <c r="D8272" s="2" t="s">
        <v>10</v>
      </c>
      <c r="E8272" s="2" t="str">
        <f>HYPERLINK("http://ts.21cn.com/tousu/show/id/1339334","http://ts.21cn.com/tousu/show/id/1339334")</f>
        <v>http://ts.21cn.com/tousu/show/id/1339334</v>
      </c>
      <c r="F8272" s="2" t="s">
        <v>11</v>
      </c>
      <c r="G8272" s="2" t="s">
        <v>27893</v>
      </c>
      <c r="H8272" s="2" t="s">
        <v>27894</v>
      </c>
    </row>
    <row r="8273" spans="1:8" ht="25.05" customHeight="1" x14ac:dyDescent="0.25">
      <c r="A8273" s="2" t="s">
        <v>8</v>
      </c>
      <c r="B8273" s="2" t="str">
        <f>HYPERLINK("http://ts.21cn.com/tousu/show/id/1339331","拍拍贷催收暴力催收威胁人身安全")</f>
        <v>拍拍贷催收暴力催收威胁人身安全</v>
      </c>
      <c r="C8273" s="2" t="s">
        <v>9</v>
      </c>
      <c r="D8273" s="2" t="s">
        <v>10</v>
      </c>
      <c r="E8273" s="2" t="str">
        <f>HYPERLINK("http://ts.21cn.com/tousu/show/id/1339331","http://ts.21cn.com/tousu/show/id/1339331")</f>
        <v>http://ts.21cn.com/tousu/show/id/1339331</v>
      </c>
      <c r="F8273" s="2" t="s">
        <v>11</v>
      </c>
      <c r="G8273" s="2" t="s">
        <v>27893</v>
      </c>
      <c r="H8273" s="2" t="s">
        <v>27895</v>
      </c>
    </row>
    <row r="8274" spans="1:8" ht="25.05" customHeight="1" x14ac:dyDescent="0.25">
      <c r="A8274" s="2" t="s">
        <v>8</v>
      </c>
      <c r="B8274" s="2" t="str">
        <f>HYPERLINK("http://ts.21cn.com/tousu/show/id/1339332","网贷平台收取高额砍头息")</f>
        <v>网贷平台收取高额砍头息</v>
      </c>
      <c r="C8274" s="2" t="s">
        <v>9</v>
      </c>
      <c r="D8274" s="2" t="s">
        <v>10</v>
      </c>
      <c r="E8274" s="2" t="str">
        <f>HYPERLINK("http://ts.21cn.com/tousu/show/id/1339332","http://ts.21cn.com/tousu/show/id/1339332")</f>
        <v>http://ts.21cn.com/tousu/show/id/1339332</v>
      </c>
      <c r="F8274" s="2" t="s">
        <v>11</v>
      </c>
      <c r="G8274" s="2" t="s">
        <v>27891</v>
      </c>
      <c r="H8274" s="2" t="s">
        <v>27892</v>
      </c>
    </row>
    <row r="8275" spans="1:8" ht="25.05" customHeight="1" x14ac:dyDescent="0.25">
      <c r="A8275" s="2" t="s">
        <v>8</v>
      </c>
      <c r="B8275" s="2" t="str">
        <f>HYPERLINK("http://ts.21cn.com/tousu/show/id/1339333","玖富万卡高利贷，阴阳合同")</f>
        <v>玖富万卡高利贷，阴阳合同</v>
      </c>
      <c r="C8275" s="2" t="s">
        <v>9</v>
      </c>
      <c r="D8275" s="2" t="s">
        <v>10</v>
      </c>
      <c r="E8275" s="2" t="str">
        <f>HYPERLINK("http://ts.21cn.com/tousu/show/id/1339333","http://ts.21cn.com/tousu/show/id/1339333")</f>
        <v>http://ts.21cn.com/tousu/show/id/1339333</v>
      </c>
      <c r="F8275" s="2" t="s">
        <v>11</v>
      </c>
      <c r="G8275" s="2" t="s">
        <v>27889</v>
      </c>
      <c r="H8275" s="2" t="s">
        <v>27890</v>
      </c>
    </row>
    <row r="8276" spans="1:8" ht="25.05" customHeight="1" x14ac:dyDescent="0.25">
      <c r="A8276" s="2" t="s">
        <v>8</v>
      </c>
      <c r="B8276" s="2" t="str">
        <f>HYPERLINK("http://ts.21cn.com/tousu/show/id/1339335","合同金额与实际金额不符")</f>
        <v>合同金额与实际金额不符</v>
      </c>
      <c r="C8276" s="2" t="s">
        <v>9</v>
      </c>
      <c r="D8276" s="2" t="s">
        <v>10</v>
      </c>
      <c r="E8276" s="2" t="str">
        <f>HYPERLINK("http://ts.21cn.com/tousu/show/id/1339335","http://ts.21cn.com/tousu/show/id/1339335")</f>
        <v>http://ts.21cn.com/tousu/show/id/1339335</v>
      </c>
      <c r="F8276" s="2" t="s">
        <v>11</v>
      </c>
      <c r="G8276" s="2" t="s">
        <v>27887</v>
      </c>
      <c r="H8276" s="2" t="s">
        <v>27888</v>
      </c>
    </row>
    <row r="8277" spans="1:8" ht="25.05" customHeight="1" x14ac:dyDescent="0.25">
      <c r="A8277" s="2" t="s">
        <v>8</v>
      </c>
      <c r="B8277" s="2" t="str">
        <f>HYPERLINK("http://ts.21cn.com/tousu/show/id/1339336","点点通恶意骚扰")</f>
        <v>点点通恶意骚扰</v>
      </c>
      <c r="C8277" s="2" t="s">
        <v>9</v>
      </c>
      <c r="D8277" s="2" t="s">
        <v>10</v>
      </c>
      <c r="E8277" s="2" t="str">
        <f>HYPERLINK("http://ts.21cn.com/tousu/show/id/1339336","http://ts.21cn.com/tousu/show/id/1339336")</f>
        <v>http://ts.21cn.com/tousu/show/id/1339336</v>
      </c>
      <c r="F8277" s="2" t="s">
        <v>11</v>
      </c>
      <c r="G8277" s="2" t="s">
        <v>27885</v>
      </c>
      <c r="H8277" s="2" t="s">
        <v>27886</v>
      </c>
    </row>
    <row r="8278" spans="1:8" ht="25.05" customHeight="1" x14ac:dyDescent="0.25">
      <c r="A8278" s="2" t="s">
        <v>8</v>
      </c>
      <c r="B8278" s="2" t="str">
        <f>HYPERLINK("http://ts.21cn.com/tousu/show/id/1339338","闪电借款变相收取利息，恶意催收")</f>
        <v>闪电借款变相收取利息，恶意催收</v>
      </c>
      <c r="C8278" s="2" t="s">
        <v>9</v>
      </c>
      <c r="D8278" s="2" t="s">
        <v>10</v>
      </c>
      <c r="E8278" s="2" t="str">
        <f>HYPERLINK("http://ts.21cn.com/tousu/show/id/1339338","http://ts.21cn.com/tousu/show/id/1339338")</f>
        <v>http://ts.21cn.com/tousu/show/id/1339338</v>
      </c>
      <c r="F8278" s="2" t="s">
        <v>11</v>
      </c>
      <c r="G8278" s="2" t="s">
        <v>27883</v>
      </c>
      <c r="H8278" s="2" t="s">
        <v>27884</v>
      </c>
    </row>
    <row r="8279" spans="1:8" ht="25.05" customHeight="1" x14ac:dyDescent="0.25">
      <c r="A8279" s="2" t="s">
        <v>8</v>
      </c>
      <c r="B8279" s="2" t="str">
        <f>HYPERLINK("http://ts.21cn.com/tousu/show/id/1339339","聚富分期未经同意乱扣款")</f>
        <v>聚富分期未经同意乱扣款</v>
      </c>
      <c r="C8279" s="2" t="s">
        <v>9</v>
      </c>
      <c r="D8279" s="2" t="s">
        <v>10</v>
      </c>
      <c r="E8279" s="2" t="str">
        <f>HYPERLINK("http://ts.21cn.com/tousu/show/id/1339339","http://ts.21cn.com/tousu/show/id/1339339")</f>
        <v>http://ts.21cn.com/tousu/show/id/1339339</v>
      </c>
      <c r="F8279" s="2" t="s">
        <v>11</v>
      </c>
      <c r="G8279" s="2" t="s">
        <v>27881</v>
      </c>
      <c r="H8279" s="2" t="s">
        <v>27882</v>
      </c>
    </row>
    <row r="8280" spans="1:8" ht="25.05" customHeight="1" x14ac:dyDescent="0.25">
      <c r="A8280" s="2" t="s">
        <v>8</v>
      </c>
      <c r="B8280" s="2" t="str">
        <f>HYPERLINK("http://ts.21cn.com/tousu/show/id/1339340","360暴力催收！不经允许联系我亲人！")</f>
        <v>360暴力催收！不经允许联系我亲人！</v>
      </c>
      <c r="C8280" s="2" t="s">
        <v>9</v>
      </c>
      <c r="D8280" s="2" t="s">
        <v>10</v>
      </c>
      <c r="E8280" s="2" t="str">
        <f>HYPERLINK("http://ts.21cn.com/tousu/show/id/1339340","http://ts.21cn.com/tousu/show/id/1339340")</f>
        <v>http://ts.21cn.com/tousu/show/id/1339340</v>
      </c>
      <c r="F8280" s="2" t="s">
        <v>11</v>
      </c>
      <c r="G8280" s="2" t="s">
        <v>27879</v>
      </c>
      <c r="H8280" s="2" t="s">
        <v>27880</v>
      </c>
    </row>
    <row r="8281" spans="1:8" ht="25.05" customHeight="1" x14ac:dyDescent="0.25">
      <c r="A8281" s="2" t="s">
        <v>8</v>
      </c>
      <c r="B8281" s="2" t="str">
        <f>HYPERLINK("http://ts.21cn.com/tousu/show/id/1339341","微信卡卡贷逾期一次一百元")</f>
        <v>微信卡卡贷逾期一次一百元</v>
      </c>
      <c r="C8281" s="2" t="s">
        <v>34</v>
      </c>
      <c r="D8281" s="2" t="s">
        <v>10</v>
      </c>
      <c r="E8281" s="2" t="str">
        <f>HYPERLINK("http://ts.21cn.com/tousu/show/id/1339341","http://ts.21cn.com/tousu/show/id/1339341")</f>
        <v>http://ts.21cn.com/tousu/show/id/1339341</v>
      </c>
      <c r="F8281" s="2" t="s">
        <v>11</v>
      </c>
      <c r="G8281" s="2" t="s">
        <v>27877</v>
      </c>
      <c r="H8281" s="2" t="s">
        <v>27878</v>
      </c>
    </row>
    <row r="8282" spans="1:8" ht="25.05" customHeight="1" x14ac:dyDescent="0.25">
      <c r="A8282" s="2" t="s">
        <v>8</v>
      </c>
      <c r="B8282" s="2" t="str">
        <f>HYPERLINK("http://ts.21cn.com/tousu/show/id/1339344","和信贷款暴力催收")</f>
        <v>和信贷款暴力催收</v>
      </c>
      <c r="C8282" s="2" t="s">
        <v>9</v>
      </c>
      <c r="D8282" s="2" t="s">
        <v>10</v>
      </c>
      <c r="E8282" s="2" t="str">
        <f>HYPERLINK("http://ts.21cn.com/tousu/show/id/1339344","http://ts.21cn.com/tousu/show/id/1339344")</f>
        <v>http://ts.21cn.com/tousu/show/id/1339344</v>
      </c>
      <c r="F8282" s="2" t="s">
        <v>11</v>
      </c>
      <c r="G8282" s="2" t="s">
        <v>27875</v>
      </c>
      <c r="H8282" s="2" t="s">
        <v>27876</v>
      </c>
    </row>
    <row r="8283" spans="1:8" ht="25.05" customHeight="1" x14ac:dyDescent="0.25">
      <c r="A8283" s="2" t="s">
        <v>8</v>
      </c>
      <c r="B8283" s="2" t="str">
        <f>HYPERLINK("http://ts.21cn.com/tousu/show/id/1339342","时光分期暴力催收，威胁恐吓，爆通讯录")</f>
        <v>时光分期暴力催收，威胁恐吓，爆通讯录</v>
      </c>
      <c r="C8283" s="2" t="s">
        <v>9</v>
      </c>
      <c r="D8283" s="2" t="s">
        <v>10</v>
      </c>
      <c r="E8283" s="2" t="str">
        <f>HYPERLINK("http://ts.21cn.com/tousu/show/id/1339342","http://ts.21cn.com/tousu/show/id/1339342")</f>
        <v>http://ts.21cn.com/tousu/show/id/1339342</v>
      </c>
      <c r="F8283" s="2" t="s">
        <v>11</v>
      </c>
      <c r="G8283" s="2" t="s">
        <v>27873</v>
      </c>
      <c r="H8283" s="2" t="s">
        <v>27874</v>
      </c>
    </row>
    <row r="8284" spans="1:8" ht="25.05" customHeight="1" x14ac:dyDescent="0.25">
      <c r="A8284" s="2" t="s">
        <v>8</v>
      </c>
      <c r="B8284" s="2" t="str">
        <f>HYPERLINK("http://ts.21cn.com/tousu/show/id/1339345","来分期电话骚扰")</f>
        <v>来分期电话骚扰</v>
      </c>
      <c r="C8284" s="2" t="s">
        <v>9</v>
      </c>
      <c r="D8284" s="2" t="s">
        <v>10</v>
      </c>
      <c r="E8284" s="2" t="str">
        <f>HYPERLINK("http://ts.21cn.com/tousu/show/id/1339345","http://ts.21cn.com/tousu/show/id/1339345")</f>
        <v>http://ts.21cn.com/tousu/show/id/1339345</v>
      </c>
      <c r="F8284" s="2" t="s">
        <v>11</v>
      </c>
      <c r="G8284" s="2" t="s">
        <v>27871</v>
      </c>
      <c r="H8284" s="2" t="s">
        <v>27872</v>
      </c>
    </row>
    <row r="8285" spans="1:8" ht="25.05" customHeight="1" x14ac:dyDescent="0.25">
      <c r="A8285" s="2" t="s">
        <v>8</v>
      </c>
      <c r="B8285" s="2" t="str">
        <f>HYPERLINK("http://ts.21cn.com/tousu/show/id/1339343","高利贷")</f>
        <v>高利贷</v>
      </c>
      <c r="C8285" s="2" t="s">
        <v>9</v>
      </c>
      <c r="D8285" s="2" t="s">
        <v>10</v>
      </c>
      <c r="E8285" s="2" t="str">
        <f>HYPERLINK("http://ts.21cn.com/tousu/show/id/1339343","http://ts.21cn.com/tousu/show/id/1339343")</f>
        <v>http://ts.21cn.com/tousu/show/id/1339343</v>
      </c>
      <c r="F8285" s="2" t="s">
        <v>11</v>
      </c>
      <c r="G8285" s="2" t="s">
        <v>27869</v>
      </c>
      <c r="H8285" s="2" t="s">
        <v>27870</v>
      </c>
    </row>
    <row r="8286" spans="1:8" ht="25.05" customHeight="1" x14ac:dyDescent="0.25">
      <c r="A8286" s="2" t="s">
        <v>8</v>
      </c>
      <c r="B8286" s="2" t="str">
        <f>HYPERLINK("http://ts.21cn.com/tousu/show/id/1339346","收取砍头费，不提供借款合同，利率违法")</f>
        <v>收取砍头费，不提供借款合同，利率违法</v>
      </c>
      <c r="C8286" s="2" t="s">
        <v>9</v>
      </c>
      <c r="D8286" s="2" t="s">
        <v>10</v>
      </c>
      <c r="E8286" s="2" t="str">
        <f>HYPERLINK("http://ts.21cn.com/tousu/show/id/1339346","http://ts.21cn.com/tousu/show/id/1339346")</f>
        <v>http://ts.21cn.com/tousu/show/id/1339346</v>
      </c>
      <c r="F8286" s="2" t="s">
        <v>11</v>
      </c>
      <c r="G8286" s="2" t="s">
        <v>27867</v>
      </c>
      <c r="H8286" s="2" t="s">
        <v>27868</v>
      </c>
    </row>
    <row r="8287" spans="1:8" ht="25.05" customHeight="1" x14ac:dyDescent="0.25">
      <c r="A8287" s="2" t="s">
        <v>8</v>
      </c>
      <c r="B8287" s="2" t="str">
        <f>HYPERLINK("http://ts.21cn.com/tousu/show/id/1339348","北京有缘网未经同意不知道通过什么手段开启了免密支付导致被扣费用存在严重欺诈行为")</f>
        <v>北京有缘网未经同意不知道通过什么手段开启了免密支付导致被扣费用存在严重欺诈行为</v>
      </c>
      <c r="C8287" s="2" t="s">
        <v>9</v>
      </c>
      <c r="D8287" s="2" t="s">
        <v>10</v>
      </c>
      <c r="E8287" s="2" t="str">
        <f>HYPERLINK("http://ts.21cn.com/tousu/show/id/1339348","http://ts.21cn.com/tousu/show/id/1339348")</f>
        <v>http://ts.21cn.com/tousu/show/id/1339348</v>
      </c>
      <c r="F8287" s="2" t="s">
        <v>11</v>
      </c>
      <c r="G8287" s="2" t="s">
        <v>27865</v>
      </c>
      <c r="H8287" s="2" t="s">
        <v>27866</v>
      </c>
    </row>
    <row r="8288" spans="1:8" ht="25.05" customHeight="1" x14ac:dyDescent="0.25">
      <c r="A8288" s="2" t="s">
        <v>8</v>
      </c>
      <c r="B8288" s="2" t="str">
        <f>HYPERLINK("http://ts.21cn.com/tousu/show/id/1339347","马上金融恐吓催收及骚扰")</f>
        <v>马上金融恐吓催收及骚扰</v>
      </c>
      <c r="C8288" s="2" t="s">
        <v>9</v>
      </c>
      <c r="D8288" s="2" t="s">
        <v>10</v>
      </c>
      <c r="E8288" s="2" t="str">
        <f>HYPERLINK("http://ts.21cn.com/tousu/show/id/1339347","http://ts.21cn.com/tousu/show/id/1339347")</f>
        <v>http://ts.21cn.com/tousu/show/id/1339347</v>
      </c>
      <c r="F8288" s="2" t="s">
        <v>11</v>
      </c>
      <c r="G8288" s="2" t="s">
        <v>27863</v>
      </c>
      <c r="H8288" s="2" t="s">
        <v>27864</v>
      </c>
    </row>
    <row r="8289" spans="1:8" ht="25.05" customHeight="1" x14ac:dyDescent="0.25">
      <c r="A8289" s="2" t="s">
        <v>8</v>
      </c>
      <c r="B8289" s="2" t="str">
        <f>HYPERLINK("http://ts.21cn.com/tousu/show/id/1339351","卧龙钱包高利贷砍头息")</f>
        <v>卧龙钱包高利贷砍头息</v>
      </c>
      <c r="C8289" s="2" t="s">
        <v>9</v>
      </c>
      <c r="D8289" s="2" t="s">
        <v>10</v>
      </c>
      <c r="E8289" s="2" t="str">
        <f>HYPERLINK("http://ts.21cn.com/tousu/show/id/1339351","http://ts.21cn.com/tousu/show/id/1339351")</f>
        <v>http://ts.21cn.com/tousu/show/id/1339351</v>
      </c>
      <c r="F8289" s="2" t="s">
        <v>11</v>
      </c>
      <c r="G8289" s="2" t="s">
        <v>27861</v>
      </c>
      <c r="H8289" s="2" t="s">
        <v>27862</v>
      </c>
    </row>
    <row r="8290" spans="1:8" ht="25.05" customHeight="1" x14ac:dyDescent="0.25">
      <c r="A8290" s="2" t="s">
        <v>8</v>
      </c>
      <c r="B8290" s="2" t="str">
        <f>HYPERLINK("http://ts.21cn.com/tousu/show/id/1339352","赔偿，退款，同等价格重新购买")</f>
        <v>赔偿，退款，同等价格重新购买</v>
      </c>
      <c r="C8290" s="2" t="s">
        <v>9</v>
      </c>
      <c r="D8290" s="2" t="s">
        <v>10</v>
      </c>
      <c r="E8290" s="2" t="str">
        <f>HYPERLINK("http://ts.21cn.com/tousu/show/id/1339352","http://ts.21cn.com/tousu/show/id/1339352")</f>
        <v>http://ts.21cn.com/tousu/show/id/1339352</v>
      </c>
      <c r="F8290" s="2" t="s">
        <v>11</v>
      </c>
      <c r="G8290" s="2" t="s">
        <v>27859</v>
      </c>
      <c r="H8290" s="2" t="s">
        <v>27860</v>
      </c>
    </row>
    <row r="8291" spans="1:8" ht="25.05" customHeight="1" x14ac:dyDescent="0.25">
      <c r="A8291" s="2" t="s">
        <v>8</v>
      </c>
      <c r="B8291" s="2" t="str">
        <f>HYPERLINK("http://ts.21cn.com/tousu/show/id/1339353","升学教育骚扰电话")</f>
        <v>升学教育骚扰电话</v>
      </c>
      <c r="C8291" s="2" t="s">
        <v>9</v>
      </c>
      <c r="D8291" s="2" t="s">
        <v>10</v>
      </c>
      <c r="E8291" s="2" t="str">
        <f>HYPERLINK("http://ts.21cn.com/tousu/show/id/1339353","http://ts.21cn.com/tousu/show/id/1339353")</f>
        <v>http://ts.21cn.com/tousu/show/id/1339353</v>
      </c>
      <c r="F8291" s="2" t="s">
        <v>11</v>
      </c>
      <c r="G8291" s="2" t="s">
        <v>27857</v>
      </c>
      <c r="H8291" s="2" t="s">
        <v>27858</v>
      </c>
    </row>
    <row r="8292" spans="1:8" ht="25.05" customHeight="1" x14ac:dyDescent="0.25">
      <c r="A8292" s="2" t="s">
        <v>8</v>
      </c>
      <c r="B8292" s="2" t="str">
        <f>HYPERLINK("http://ts.21cn.com/tousu/show/id/1339354","小浦优客恶意扣款盗刷")</f>
        <v>小浦优客恶意扣款盗刷</v>
      </c>
      <c r="C8292" s="2" t="s">
        <v>9</v>
      </c>
      <c r="D8292" s="2" t="s">
        <v>10</v>
      </c>
      <c r="E8292" s="2" t="str">
        <f>HYPERLINK("http://ts.21cn.com/tousu/show/id/1339354","http://ts.21cn.com/tousu/show/id/1339354")</f>
        <v>http://ts.21cn.com/tousu/show/id/1339354</v>
      </c>
      <c r="F8292" s="2" t="s">
        <v>11</v>
      </c>
      <c r="G8292" s="2" t="s">
        <v>27856</v>
      </c>
      <c r="H8292" s="2" t="s">
        <v>11904</v>
      </c>
    </row>
    <row r="8293" spans="1:8" ht="25.05" customHeight="1" x14ac:dyDescent="0.25">
      <c r="A8293" s="2" t="s">
        <v>8</v>
      </c>
      <c r="B8293" s="2" t="str">
        <f>HYPERLINK("http://ts.21cn.com/tousu/show/id/1339355","无法签到，无法领劵")</f>
        <v>无法签到，无法领劵</v>
      </c>
      <c r="C8293" s="2" t="s">
        <v>34</v>
      </c>
      <c r="D8293" s="2" t="s">
        <v>10</v>
      </c>
      <c r="E8293" s="2" t="str">
        <f>HYPERLINK("http://ts.21cn.com/tousu/show/id/1339355","http://ts.21cn.com/tousu/show/id/1339355")</f>
        <v>http://ts.21cn.com/tousu/show/id/1339355</v>
      </c>
      <c r="F8293" s="2" t="s">
        <v>11</v>
      </c>
      <c r="G8293" s="2" t="s">
        <v>27854</v>
      </c>
      <c r="H8293" s="2" t="s">
        <v>27855</v>
      </c>
    </row>
    <row r="8294" spans="1:8" ht="25.05" customHeight="1" x14ac:dyDescent="0.25">
      <c r="A8294" s="2" t="s">
        <v>8</v>
      </c>
      <c r="B8294" s="2" t="str">
        <f>HYPERLINK("http://ts.21cn.com/tousu/show/id/1339357","漏发不补发不回复")</f>
        <v>漏发不补发不回复</v>
      </c>
      <c r="C8294" s="2" t="s">
        <v>9</v>
      </c>
      <c r="D8294" s="2" t="s">
        <v>10</v>
      </c>
      <c r="E8294" s="2" t="str">
        <f>HYPERLINK("http://ts.21cn.com/tousu/show/id/1339357","http://ts.21cn.com/tousu/show/id/1339357")</f>
        <v>http://ts.21cn.com/tousu/show/id/1339357</v>
      </c>
      <c r="F8294" s="2" t="s">
        <v>11</v>
      </c>
      <c r="G8294" s="2" t="s">
        <v>27852</v>
      </c>
      <c r="H8294" s="2" t="s">
        <v>27853</v>
      </c>
    </row>
    <row r="8295" spans="1:8" ht="25.05" customHeight="1" x14ac:dyDescent="0.25">
      <c r="A8295" s="2" t="s">
        <v>8</v>
      </c>
      <c r="B8295" s="2" t="str">
        <f>HYPERLINK("http://ts.21cn.com/tousu/show/id/1339356","威胁本人")</f>
        <v>威胁本人</v>
      </c>
      <c r="C8295" s="2" t="s">
        <v>9</v>
      </c>
      <c r="D8295" s="2" t="s">
        <v>10</v>
      </c>
      <c r="E8295" s="2" t="str">
        <f>HYPERLINK("http://ts.21cn.com/tousu/show/id/1339356","http://ts.21cn.com/tousu/show/id/1339356")</f>
        <v>http://ts.21cn.com/tousu/show/id/1339356</v>
      </c>
      <c r="F8295" s="2" t="s">
        <v>11</v>
      </c>
      <c r="G8295" s="2" t="s">
        <v>27850</v>
      </c>
      <c r="H8295" s="2" t="s">
        <v>27851</v>
      </c>
    </row>
    <row r="8296" spans="1:8" ht="25.05" customHeight="1" x14ac:dyDescent="0.25">
      <c r="A8296" s="2" t="s">
        <v>8</v>
      </c>
      <c r="B8296" s="2" t="str">
        <f>HYPERLINK("http://ts.21cn.com/tousu/show/id/1339358","好易贷高额利息")</f>
        <v>好易贷高额利息</v>
      </c>
      <c r="C8296" s="2" t="s">
        <v>9</v>
      </c>
      <c r="D8296" s="2" t="s">
        <v>10</v>
      </c>
      <c r="E8296" s="2" t="str">
        <f>HYPERLINK("http://ts.21cn.com/tousu/show/id/1339358","http://ts.21cn.com/tousu/show/id/1339358")</f>
        <v>http://ts.21cn.com/tousu/show/id/1339358</v>
      </c>
      <c r="F8296" s="2" t="s">
        <v>11</v>
      </c>
      <c r="G8296" s="2" t="s">
        <v>27848</v>
      </c>
      <c r="H8296" s="2" t="s">
        <v>27849</v>
      </c>
    </row>
    <row r="8297" spans="1:8" ht="25.05" customHeight="1" x14ac:dyDescent="0.25">
      <c r="A8297" s="2" t="s">
        <v>8</v>
      </c>
      <c r="B8297" s="2" t="str">
        <f>HYPERLINK("http://ts.21cn.com/tousu/show/id/1339350","宜人万花恶意收取20%冻结款")</f>
        <v>宜人万花恶意收取20%冻结款</v>
      </c>
      <c r="C8297" s="2" t="s">
        <v>9</v>
      </c>
      <c r="D8297" s="2" t="s">
        <v>10</v>
      </c>
      <c r="E8297" s="2" t="str">
        <f>HYPERLINK("http://ts.21cn.com/tousu/show/id/1339350","http://ts.21cn.com/tousu/show/id/1339350")</f>
        <v>http://ts.21cn.com/tousu/show/id/1339350</v>
      </c>
      <c r="F8297" s="2" t="s">
        <v>11</v>
      </c>
      <c r="G8297" s="2" t="s">
        <v>27846</v>
      </c>
      <c r="H8297" s="2" t="s">
        <v>27847</v>
      </c>
    </row>
    <row r="8298" spans="1:8" ht="25.05" customHeight="1" x14ac:dyDescent="0.25">
      <c r="A8298" s="2" t="s">
        <v>8</v>
      </c>
      <c r="B8298" s="2" t="str">
        <f>HYPERLINK("http://ts.21cn.com/tousu/show/id/1339360","投诉阳光安心贷")</f>
        <v>投诉阳光安心贷</v>
      </c>
      <c r="C8298" s="2" t="s">
        <v>9</v>
      </c>
      <c r="D8298" s="2" t="s">
        <v>10</v>
      </c>
      <c r="E8298" s="2" t="str">
        <f>HYPERLINK("http://ts.21cn.com/tousu/show/id/1339360","http://ts.21cn.com/tousu/show/id/1339360")</f>
        <v>http://ts.21cn.com/tousu/show/id/1339360</v>
      </c>
      <c r="F8298" s="2" t="s">
        <v>11</v>
      </c>
      <c r="G8298" s="2" t="s">
        <v>27844</v>
      </c>
      <c r="H8298" s="2" t="s">
        <v>27845</v>
      </c>
    </row>
    <row r="8299" spans="1:8" ht="25.05" customHeight="1" x14ac:dyDescent="0.25">
      <c r="A8299" s="2" t="s">
        <v>8</v>
      </c>
      <c r="B8299" s="2" t="str">
        <f>HYPERLINK("http://ts.21cn.com/tousu/show/id/1339361","米米罐爆通讯")</f>
        <v>米米罐爆通讯</v>
      </c>
      <c r="C8299" s="2" t="s">
        <v>9</v>
      </c>
      <c r="D8299" s="2" t="s">
        <v>10</v>
      </c>
      <c r="E8299" s="2" t="str">
        <f>HYPERLINK("http://ts.21cn.com/tousu/show/id/1339361","http://ts.21cn.com/tousu/show/id/1339361")</f>
        <v>http://ts.21cn.com/tousu/show/id/1339361</v>
      </c>
      <c r="F8299" s="2" t="s">
        <v>11</v>
      </c>
      <c r="G8299" s="2" t="s">
        <v>27842</v>
      </c>
      <c r="H8299" s="2" t="s">
        <v>27843</v>
      </c>
    </row>
    <row r="8300" spans="1:8" ht="25.05" customHeight="1" x14ac:dyDescent="0.25">
      <c r="A8300" s="2" t="s">
        <v>8</v>
      </c>
      <c r="B8300" s="2" t="str">
        <f>HYPERLINK("http://ts.21cn.com/tousu/show/id/1339362","上海跃吉网络科技有限公司在本人不知道的情况下扣取人民币299元")</f>
        <v>上海跃吉网络科技有限公司在本人不知道的情况下扣取人民币299元</v>
      </c>
      <c r="C8300" s="2" t="s">
        <v>9</v>
      </c>
      <c r="D8300" s="2" t="s">
        <v>10</v>
      </c>
      <c r="E8300" s="2" t="str">
        <f>HYPERLINK("http://ts.21cn.com/tousu/show/id/1339362","http://ts.21cn.com/tousu/show/id/1339362")</f>
        <v>http://ts.21cn.com/tousu/show/id/1339362</v>
      </c>
      <c r="F8300" s="2" t="s">
        <v>11</v>
      </c>
      <c r="G8300" s="2" t="s">
        <v>27840</v>
      </c>
      <c r="H8300" s="2" t="s">
        <v>27841</v>
      </c>
    </row>
    <row r="8301" spans="1:8" ht="25.05" customHeight="1" x14ac:dyDescent="0.25">
      <c r="A8301" s="2" t="s">
        <v>8</v>
      </c>
      <c r="B8301" s="2" t="str">
        <f>HYPERLINK("http://ts.21cn.com/tousu/show/id/1339364","广发银行信用卡中心恶意催收")</f>
        <v>广发银行信用卡中心恶意催收</v>
      </c>
      <c r="C8301" s="2" t="s">
        <v>9</v>
      </c>
      <c r="D8301" s="2" t="s">
        <v>10</v>
      </c>
      <c r="E8301" s="2" t="str">
        <f>HYPERLINK("http://ts.21cn.com/tousu/show/id/1339364","http://ts.21cn.com/tousu/show/id/1339364")</f>
        <v>http://ts.21cn.com/tousu/show/id/1339364</v>
      </c>
      <c r="F8301" s="2" t="s">
        <v>11</v>
      </c>
      <c r="G8301" s="2" t="s">
        <v>27838</v>
      </c>
      <c r="H8301" s="2" t="s">
        <v>27839</v>
      </c>
    </row>
    <row r="8302" spans="1:8" ht="25.05" customHeight="1" x14ac:dyDescent="0.25">
      <c r="A8302" s="2" t="s">
        <v>8</v>
      </c>
      <c r="B8302" s="2" t="str">
        <f>HYPERLINK("http://ts.21cn.com/tousu/show/id/1339365","威胁恐吓爆通讯录")</f>
        <v>威胁恐吓爆通讯录</v>
      </c>
      <c r="C8302" s="2" t="s">
        <v>9</v>
      </c>
      <c r="D8302" s="2" t="s">
        <v>10</v>
      </c>
      <c r="E8302" s="2" t="str">
        <f>HYPERLINK("http://ts.21cn.com/tousu/show/id/1339365","http://ts.21cn.com/tousu/show/id/1339365")</f>
        <v>http://ts.21cn.com/tousu/show/id/1339365</v>
      </c>
      <c r="F8302" s="2" t="s">
        <v>11</v>
      </c>
      <c r="G8302" s="2" t="s">
        <v>27836</v>
      </c>
      <c r="H8302" s="2" t="s">
        <v>27837</v>
      </c>
    </row>
    <row r="8303" spans="1:8" ht="25.05" customHeight="1" x14ac:dyDescent="0.25">
      <c r="A8303" s="2" t="s">
        <v>8</v>
      </c>
      <c r="B8303" s="2" t="str">
        <f>HYPERLINK("http://ts.21cn.com/tousu/show/id/1339367","建设银行信用卡")</f>
        <v>建设银行信用卡</v>
      </c>
      <c r="C8303" s="2" t="s">
        <v>9</v>
      </c>
      <c r="D8303" s="2" t="s">
        <v>10</v>
      </c>
      <c r="E8303" s="2" t="str">
        <f>HYPERLINK("http://ts.21cn.com/tousu/show/id/1339367","http://ts.21cn.com/tousu/show/id/1339367")</f>
        <v>http://ts.21cn.com/tousu/show/id/1339367</v>
      </c>
      <c r="F8303" s="2" t="s">
        <v>11</v>
      </c>
      <c r="G8303" s="2" t="s">
        <v>27834</v>
      </c>
      <c r="H8303" s="2" t="s">
        <v>27835</v>
      </c>
    </row>
    <row r="8304" spans="1:8" ht="25.05" customHeight="1" x14ac:dyDescent="0.25">
      <c r="A8304" s="2" t="s">
        <v>8</v>
      </c>
      <c r="B8304" s="2" t="str">
        <f>HYPERLINK("http://ts.21cn.com/tousu/show/id/1339368","不要逼我了，给条活路")</f>
        <v>不要逼我了，给条活路</v>
      </c>
      <c r="C8304" s="2" t="s">
        <v>9</v>
      </c>
      <c r="D8304" s="2" t="s">
        <v>10</v>
      </c>
      <c r="E8304" s="2" t="str">
        <f>HYPERLINK("http://ts.21cn.com/tousu/show/id/1339368","http://ts.21cn.com/tousu/show/id/1339368")</f>
        <v>http://ts.21cn.com/tousu/show/id/1339368</v>
      </c>
      <c r="F8304" s="2" t="s">
        <v>11</v>
      </c>
      <c r="G8304" s="2" t="s">
        <v>27832</v>
      </c>
      <c r="H8304" s="2" t="s">
        <v>27833</v>
      </c>
    </row>
    <row r="8305" spans="1:8" ht="25.05" customHeight="1" x14ac:dyDescent="0.25">
      <c r="A8305" s="2" t="s">
        <v>8</v>
      </c>
      <c r="B8305" s="2" t="str">
        <f>HYPERLINK("http://ts.21cn.com/tousu/show/id/1339369","收取砍头息，阴阳合同，利率违法")</f>
        <v>收取砍头息，阴阳合同，利率违法</v>
      </c>
      <c r="C8305" s="2" t="s">
        <v>9</v>
      </c>
      <c r="D8305" s="2" t="s">
        <v>10</v>
      </c>
      <c r="E8305" s="2" t="str">
        <f>HYPERLINK("http://ts.21cn.com/tousu/show/id/1339369","http://ts.21cn.com/tousu/show/id/1339369")</f>
        <v>http://ts.21cn.com/tousu/show/id/1339369</v>
      </c>
      <c r="F8305" s="2" t="s">
        <v>11</v>
      </c>
      <c r="G8305" s="2" t="s">
        <v>27830</v>
      </c>
      <c r="H8305" s="2" t="s">
        <v>27831</v>
      </c>
    </row>
    <row r="8306" spans="1:8" ht="25.05" customHeight="1" x14ac:dyDescent="0.25">
      <c r="A8306" s="2" t="s">
        <v>8</v>
      </c>
      <c r="B8306" s="2" t="str">
        <f>HYPERLINK("http://ts.21cn.com/tousu/show/id/1339372","拍拍贷恶意催收，还威胁我p图私密照群发好友")</f>
        <v>拍拍贷恶意催收，还威胁我p图私密照群发好友</v>
      </c>
      <c r="C8306" s="2" t="s">
        <v>9</v>
      </c>
      <c r="D8306" s="2" t="s">
        <v>10</v>
      </c>
      <c r="E8306" s="2" t="str">
        <f>HYPERLINK("http://ts.21cn.com/tousu/show/id/1339372","http://ts.21cn.com/tousu/show/id/1339372")</f>
        <v>http://ts.21cn.com/tousu/show/id/1339372</v>
      </c>
      <c r="F8306" s="2" t="s">
        <v>11</v>
      </c>
      <c r="G8306" s="2" t="s">
        <v>27827</v>
      </c>
      <c r="H8306" s="2" t="s">
        <v>27828</v>
      </c>
    </row>
    <row r="8307" spans="1:8" ht="25.05" customHeight="1" x14ac:dyDescent="0.25">
      <c r="A8307" s="2" t="s">
        <v>8</v>
      </c>
      <c r="B8307" s="2" t="str">
        <f>HYPERLINK("http://ts.21cn.com/tousu/show/id/1339370","银行卡无故扣款要求退还")</f>
        <v>银行卡无故扣款要求退还</v>
      </c>
      <c r="C8307" s="2" t="s">
        <v>9</v>
      </c>
      <c r="D8307" s="2" t="s">
        <v>10</v>
      </c>
      <c r="E8307" s="2" t="str">
        <f>HYPERLINK("http://ts.21cn.com/tousu/show/id/1339370","http://ts.21cn.com/tousu/show/id/1339370")</f>
        <v>http://ts.21cn.com/tousu/show/id/1339370</v>
      </c>
      <c r="F8307" s="2" t="s">
        <v>11</v>
      </c>
      <c r="G8307" s="2" t="s">
        <v>27827</v>
      </c>
      <c r="H8307" s="2" t="s">
        <v>27829</v>
      </c>
    </row>
    <row r="8308" spans="1:8" ht="25.05" customHeight="1" x14ac:dyDescent="0.25">
      <c r="A8308" s="2" t="s">
        <v>8</v>
      </c>
      <c r="B8308" s="2" t="str">
        <f>HYPERLINK("http://ts.21cn.com/tousu/show/id/1339371","未经允许私自扣款296元")</f>
        <v>未经允许私自扣款296元</v>
      </c>
      <c r="C8308" s="2" t="s">
        <v>9</v>
      </c>
      <c r="D8308" s="2" t="s">
        <v>10</v>
      </c>
      <c r="E8308" s="2" t="str">
        <f>HYPERLINK("http://ts.21cn.com/tousu/show/id/1339371","http://ts.21cn.com/tousu/show/id/1339371")</f>
        <v>http://ts.21cn.com/tousu/show/id/1339371</v>
      </c>
      <c r="F8308" s="2" t="s">
        <v>11</v>
      </c>
      <c r="G8308" s="2" t="s">
        <v>27825</v>
      </c>
      <c r="H8308" s="2" t="s">
        <v>27826</v>
      </c>
    </row>
    <row r="8309" spans="1:8" ht="25.05" customHeight="1" x14ac:dyDescent="0.25">
      <c r="A8309" s="2" t="s">
        <v>8</v>
      </c>
      <c r="B8309" s="2" t="str">
        <f>HYPERLINK("http://ts.21cn.com/tousu/show/id/1339374","催熟态度恶劣")</f>
        <v>催熟态度恶劣</v>
      </c>
      <c r="C8309" s="2" t="s">
        <v>9</v>
      </c>
      <c r="D8309" s="2" t="s">
        <v>10</v>
      </c>
      <c r="E8309" s="2" t="str">
        <f>HYPERLINK("http://ts.21cn.com/tousu/show/id/1339374","http://ts.21cn.com/tousu/show/id/1339374")</f>
        <v>http://ts.21cn.com/tousu/show/id/1339374</v>
      </c>
      <c r="F8309" s="2" t="s">
        <v>11</v>
      </c>
      <c r="G8309" s="2" t="s">
        <v>27823</v>
      </c>
      <c r="H8309" s="2" t="s">
        <v>27824</v>
      </c>
    </row>
    <row r="8310" spans="1:8" ht="25.05" customHeight="1" x14ac:dyDescent="0.25">
      <c r="A8310" s="2" t="s">
        <v>8</v>
      </c>
      <c r="B8310" s="2" t="str">
        <f>HYPERLINK("http://ts.21cn.com/tousu/show/id/1339375","被忽悠办理信用卡现金分期")</f>
        <v>被忽悠办理信用卡现金分期</v>
      </c>
      <c r="C8310" s="2" t="s">
        <v>9</v>
      </c>
      <c r="D8310" s="2" t="s">
        <v>10</v>
      </c>
      <c r="E8310" s="2" t="str">
        <f>HYPERLINK("http://ts.21cn.com/tousu/show/id/1339375","http://ts.21cn.com/tousu/show/id/1339375")</f>
        <v>http://ts.21cn.com/tousu/show/id/1339375</v>
      </c>
      <c r="F8310" s="2" t="s">
        <v>11</v>
      </c>
      <c r="G8310" s="2" t="s">
        <v>27821</v>
      </c>
      <c r="H8310" s="2" t="s">
        <v>27822</v>
      </c>
    </row>
    <row r="8311" spans="1:8" ht="25.05" customHeight="1" x14ac:dyDescent="0.25">
      <c r="A8311" s="2" t="s">
        <v>8</v>
      </c>
      <c r="B8311" s="2" t="str">
        <f>HYPERLINK("http://ts.21cn.com/tousu/show/id/1339376","求浦发银行给条活路")</f>
        <v>求浦发银行给条活路</v>
      </c>
      <c r="C8311" s="2" t="s">
        <v>9</v>
      </c>
      <c r="D8311" s="2" t="s">
        <v>10</v>
      </c>
      <c r="E8311" s="2" t="str">
        <f>HYPERLINK("http://ts.21cn.com/tousu/show/id/1339376","http://ts.21cn.com/tousu/show/id/1339376")</f>
        <v>http://ts.21cn.com/tousu/show/id/1339376</v>
      </c>
      <c r="F8311" s="2" t="s">
        <v>11</v>
      </c>
      <c r="G8311" s="2" t="s">
        <v>27819</v>
      </c>
      <c r="H8311" s="2" t="s">
        <v>27820</v>
      </c>
    </row>
    <row r="8312" spans="1:8" ht="25.05" customHeight="1" x14ac:dyDescent="0.25">
      <c r="A8312" s="2" t="s">
        <v>8</v>
      </c>
      <c r="B8312" s="2" t="str">
        <f>HYPERLINK("http://ts.21cn.com/tousu/show/id/1339377","及贷威胁还款，爆通讯录")</f>
        <v>及贷威胁还款，爆通讯录</v>
      </c>
      <c r="C8312" s="2" t="s">
        <v>9</v>
      </c>
      <c r="D8312" s="2" t="s">
        <v>10</v>
      </c>
      <c r="E8312" s="2" t="str">
        <f>HYPERLINK("http://ts.21cn.com/tousu/show/id/1339377","http://ts.21cn.com/tousu/show/id/1339377")</f>
        <v>http://ts.21cn.com/tousu/show/id/1339377</v>
      </c>
      <c r="F8312" s="2" t="s">
        <v>11</v>
      </c>
      <c r="G8312" s="2" t="s">
        <v>27817</v>
      </c>
      <c r="H8312" s="2" t="s">
        <v>27818</v>
      </c>
    </row>
    <row r="8313" spans="1:8" ht="25.05" customHeight="1" x14ac:dyDescent="0.25">
      <c r="A8313" s="2" t="s">
        <v>8</v>
      </c>
      <c r="B8313" s="2" t="str">
        <f>HYPERLINK("http://ts.21cn.com/tousu/show/id/1339379","融360里的有钱用涉及高利贷")</f>
        <v>融360里的有钱用涉及高利贷</v>
      </c>
      <c r="C8313" s="2" t="s">
        <v>9</v>
      </c>
      <c r="D8313" s="2" t="s">
        <v>10</v>
      </c>
      <c r="E8313" s="2" t="str">
        <f>HYPERLINK("http://ts.21cn.com/tousu/show/id/1339379","http://ts.21cn.com/tousu/show/id/1339379")</f>
        <v>http://ts.21cn.com/tousu/show/id/1339379</v>
      </c>
      <c r="F8313" s="2" t="s">
        <v>11</v>
      </c>
      <c r="G8313" s="2" t="s">
        <v>27815</v>
      </c>
      <c r="H8313" s="2" t="s">
        <v>27816</v>
      </c>
    </row>
    <row r="8314" spans="1:8" ht="25.05" customHeight="1" x14ac:dyDescent="0.25">
      <c r="A8314" s="2" t="s">
        <v>8</v>
      </c>
      <c r="B8314" s="2" t="str">
        <f>HYPERLINK("http://ts.21cn.com/tousu/show/id/1339363","想让退钱")</f>
        <v>想让退钱</v>
      </c>
      <c r="C8314" s="2" t="s">
        <v>9</v>
      </c>
      <c r="D8314" s="2" t="s">
        <v>10</v>
      </c>
      <c r="E8314" s="2" t="str">
        <f>HYPERLINK("http://ts.21cn.com/tousu/show/id/1339363","http://ts.21cn.com/tousu/show/id/1339363")</f>
        <v>http://ts.21cn.com/tousu/show/id/1339363</v>
      </c>
      <c r="F8314" s="2" t="s">
        <v>11</v>
      </c>
      <c r="G8314" s="2" t="s">
        <v>27813</v>
      </c>
      <c r="H8314" s="2" t="s">
        <v>27814</v>
      </c>
    </row>
    <row r="8315" spans="1:8" ht="25.05" customHeight="1" x14ac:dyDescent="0.25">
      <c r="A8315" s="2" t="s">
        <v>8</v>
      </c>
      <c r="B8315" s="2" t="str">
        <f>HYPERLINK("http://ts.21cn.com/tousu/show/id/1339381","点点通恶意逾期")</f>
        <v>点点通恶意逾期</v>
      </c>
      <c r="C8315" s="2" t="s">
        <v>9</v>
      </c>
      <c r="D8315" s="2" t="s">
        <v>10</v>
      </c>
      <c r="E8315" s="2" t="str">
        <f>HYPERLINK("http://ts.21cn.com/tousu/show/id/1339381","http://ts.21cn.com/tousu/show/id/1339381")</f>
        <v>http://ts.21cn.com/tousu/show/id/1339381</v>
      </c>
      <c r="F8315" s="2" t="s">
        <v>11</v>
      </c>
      <c r="G8315" s="2" t="s">
        <v>27811</v>
      </c>
      <c r="H8315" s="2" t="s">
        <v>27812</v>
      </c>
    </row>
    <row r="8316" spans="1:8" ht="25.05" customHeight="1" x14ac:dyDescent="0.25">
      <c r="A8316" s="2" t="s">
        <v>8</v>
      </c>
      <c r="B8316" s="2" t="str">
        <f>HYPERLINK("http://ts.21cn.com/tousu/show/id/1339382","京东说退款成功我被没有说到款让我找QQ财付通问")</f>
        <v>京东说退款成功我被没有说到款让我找QQ财付通问</v>
      </c>
      <c r="C8316" s="2" t="s">
        <v>9</v>
      </c>
      <c r="D8316" s="2" t="s">
        <v>10</v>
      </c>
      <c r="E8316" s="2" t="str">
        <f>HYPERLINK("http://ts.21cn.com/tousu/show/id/1339382","http://ts.21cn.com/tousu/show/id/1339382")</f>
        <v>http://ts.21cn.com/tousu/show/id/1339382</v>
      </c>
      <c r="F8316" s="2" t="s">
        <v>11</v>
      </c>
      <c r="G8316" s="2" t="s">
        <v>27809</v>
      </c>
      <c r="H8316" s="2" t="s">
        <v>27810</v>
      </c>
    </row>
    <row r="8317" spans="1:8" ht="25.05" customHeight="1" x14ac:dyDescent="0.25">
      <c r="A8317" s="2" t="s">
        <v>8</v>
      </c>
      <c r="B8317" s="2" t="str">
        <f>HYPERLINK("http://ts.21cn.com/tousu/show/id/1339383","投诉钱站平台高利贷以及高额砍头息")</f>
        <v>投诉钱站平台高利贷以及高额砍头息</v>
      </c>
      <c r="C8317" s="2" t="s">
        <v>9</v>
      </c>
      <c r="D8317" s="2" t="s">
        <v>10</v>
      </c>
      <c r="E8317" s="2" t="str">
        <f>HYPERLINK("http://ts.21cn.com/tousu/show/id/1339383","http://ts.21cn.com/tousu/show/id/1339383")</f>
        <v>http://ts.21cn.com/tousu/show/id/1339383</v>
      </c>
      <c r="F8317" s="2" t="s">
        <v>11</v>
      </c>
      <c r="G8317" s="2" t="s">
        <v>27807</v>
      </c>
      <c r="H8317" s="2" t="s">
        <v>27808</v>
      </c>
    </row>
    <row r="8318" spans="1:8" ht="25.05" customHeight="1" x14ac:dyDescent="0.25">
      <c r="A8318" s="2" t="s">
        <v>8</v>
      </c>
      <c r="B8318" s="2" t="str">
        <f>HYPERLINK("http://ts.21cn.com/tousu/show/id/1337516","退款")</f>
        <v>退款</v>
      </c>
      <c r="C8318" s="2" t="s">
        <v>9</v>
      </c>
      <c r="D8318" s="2" t="s">
        <v>10</v>
      </c>
      <c r="E8318" s="2" t="str">
        <f>HYPERLINK("http://ts.21cn.com/tousu/show/id/1337516","http://ts.21cn.com/tousu/show/id/1337516")</f>
        <v>http://ts.21cn.com/tousu/show/id/1337516</v>
      </c>
      <c r="F8318" s="2" t="s">
        <v>11</v>
      </c>
      <c r="G8318" s="2" t="s">
        <v>27805</v>
      </c>
      <c r="H8318" s="2" t="s">
        <v>27806</v>
      </c>
    </row>
    <row r="8319" spans="1:8" ht="25.05" customHeight="1" x14ac:dyDescent="0.25">
      <c r="A8319" s="2" t="s">
        <v>8</v>
      </c>
      <c r="B8319" s="2" t="str">
        <f>HYPERLINK("http://ts.21cn.com/tousu/show/id/1339385","广发信用卡不予协商，委托第三方催收")</f>
        <v>广发信用卡不予协商，委托第三方催收</v>
      </c>
      <c r="C8319" s="2" t="s">
        <v>9</v>
      </c>
      <c r="D8319" s="2" t="s">
        <v>10</v>
      </c>
      <c r="E8319" s="2" t="str">
        <f>HYPERLINK("http://ts.21cn.com/tousu/show/id/1339385","http://ts.21cn.com/tousu/show/id/1339385")</f>
        <v>http://ts.21cn.com/tousu/show/id/1339385</v>
      </c>
      <c r="F8319" s="2" t="s">
        <v>11</v>
      </c>
      <c r="G8319" s="2" t="s">
        <v>27803</v>
      </c>
      <c r="H8319" s="2" t="s">
        <v>27804</v>
      </c>
    </row>
    <row r="8320" spans="1:8" ht="25.05" customHeight="1" x14ac:dyDescent="0.25">
      <c r="A8320" s="2" t="s">
        <v>8</v>
      </c>
      <c r="B8320" s="2" t="str">
        <f>HYPERLINK("http://ts.21cn.com/tousu/show/id/1339387","投诉消费联通支付-宏萨")</f>
        <v>投诉消费联通支付-宏萨</v>
      </c>
      <c r="C8320" s="2" t="s">
        <v>34</v>
      </c>
      <c r="D8320" s="2" t="s">
        <v>10</v>
      </c>
      <c r="E8320" s="2" t="str">
        <f>HYPERLINK("http://ts.21cn.com/tousu/show/id/1339387","http://ts.21cn.com/tousu/show/id/1339387")</f>
        <v>http://ts.21cn.com/tousu/show/id/1339387</v>
      </c>
      <c r="F8320" s="2" t="s">
        <v>11</v>
      </c>
      <c r="G8320" s="2" t="s">
        <v>27801</v>
      </c>
      <c r="H8320" s="2" t="s">
        <v>27802</v>
      </c>
    </row>
    <row r="8321" spans="1:8" ht="25.05" customHeight="1" x14ac:dyDescent="0.25">
      <c r="A8321" s="2" t="s">
        <v>8</v>
      </c>
      <c r="B8321" s="2" t="str">
        <f>HYPERLINK("http://ts.21cn.com/tousu/show/id/1339386","豹子贷无故扣钱不需要还要扣")</f>
        <v>豹子贷无故扣钱不需要还要扣</v>
      </c>
      <c r="C8321" s="2" t="s">
        <v>34</v>
      </c>
      <c r="D8321" s="2" t="s">
        <v>10</v>
      </c>
      <c r="E8321" s="2" t="str">
        <f>HYPERLINK("http://ts.21cn.com/tousu/show/id/1339386","http://ts.21cn.com/tousu/show/id/1339386")</f>
        <v>http://ts.21cn.com/tousu/show/id/1339386</v>
      </c>
      <c r="F8321" s="2" t="s">
        <v>11</v>
      </c>
      <c r="G8321" s="2" t="s">
        <v>27800</v>
      </c>
      <c r="H8321" s="2" t="s">
        <v>15916</v>
      </c>
    </row>
    <row r="8322" spans="1:8" ht="25.05" customHeight="1" x14ac:dyDescent="0.25">
      <c r="A8322" s="2" t="s">
        <v>8</v>
      </c>
      <c r="B8322" s="2" t="str">
        <f>HYPERLINK("http://ts.21cn.com/tousu/show/id/1339388","及贷")</f>
        <v>及贷</v>
      </c>
      <c r="C8322" s="2" t="s">
        <v>9</v>
      </c>
      <c r="D8322" s="2" t="s">
        <v>10</v>
      </c>
      <c r="E8322" s="2" t="str">
        <f>HYPERLINK("http://ts.21cn.com/tousu/show/id/1339388","http://ts.21cn.com/tousu/show/id/1339388")</f>
        <v>http://ts.21cn.com/tousu/show/id/1339388</v>
      </c>
      <c r="F8322" s="2" t="s">
        <v>11</v>
      </c>
      <c r="G8322" s="2" t="s">
        <v>27798</v>
      </c>
      <c r="H8322" s="2" t="s">
        <v>27799</v>
      </c>
    </row>
    <row r="8323" spans="1:8" ht="25.05" customHeight="1" x14ac:dyDescent="0.25">
      <c r="A8323" s="2" t="s">
        <v>8</v>
      </c>
      <c r="B8323" s="2" t="str">
        <f>HYPERLINK("http://ts.21cn.com/tousu/show/id/1339391","取消借款联系客服无果")</f>
        <v>取消借款联系客服无果</v>
      </c>
      <c r="C8323" s="2" t="s">
        <v>9</v>
      </c>
      <c r="D8323" s="2" t="s">
        <v>10</v>
      </c>
      <c r="E8323" s="2" t="str">
        <f>HYPERLINK("http://ts.21cn.com/tousu/show/id/1339391","http://ts.21cn.com/tousu/show/id/1339391")</f>
        <v>http://ts.21cn.com/tousu/show/id/1339391</v>
      </c>
      <c r="F8323" s="2" t="s">
        <v>11</v>
      </c>
      <c r="G8323" s="2" t="s">
        <v>27796</v>
      </c>
      <c r="H8323" s="2" t="s">
        <v>27797</v>
      </c>
    </row>
    <row r="8324" spans="1:8" ht="25.05" customHeight="1" x14ac:dyDescent="0.25">
      <c r="A8324" s="2" t="s">
        <v>8</v>
      </c>
      <c r="B8324" s="2" t="str">
        <f>HYPERLINK("http://ts.21cn.com/tousu/show/id/1339389","借款审核无法取消导致借款成功")</f>
        <v>借款审核无法取消导致借款成功</v>
      </c>
      <c r="C8324" s="2" t="s">
        <v>9</v>
      </c>
      <c r="D8324" s="2" t="s">
        <v>10</v>
      </c>
      <c r="E8324" s="2" t="str">
        <f>HYPERLINK("http://ts.21cn.com/tousu/show/id/1339389","http://ts.21cn.com/tousu/show/id/1339389")</f>
        <v>http://ts.21cn.com/tousu/show/id/1339389</v>
      </c>
      <c r="F8324" s="2" t="s">
        <v>11</v>
      </c>
      <c r="G8324" s="2" t="s">
        <v>27794</v>
      </c>
      <c r="H8324" s="2" t="s">
        <v>27795</v>
      </c>
    </row>
    <row r="8325" spans="1:8" ht="25.05" customHeight="1" x14ac:dyDescent="0.25">
      <c r="A8325" s="2" t="s">
        <v>8</v>
      </c>
      <c r="B8325" s="2" t="str">
        <f>HYPERLINK("http://ts.21cn.com/tousu/show/id/1339390","我来贷自身平台问题导致逾期")</f>
        <v>我来贷自身平台问题导致逾期</v>
      </c>
      <c r="C8325" s="2" t="s">
        <v>9</v>
      </c>
      <c r="D8325" s="2" t="s">
        <v>10</v>
      </c>
      <c r="E8325" s="2" t="str">
        <f>HYPERLINK("http://ts.21cn.com/tousu/show/id/1339390","http://ts.21cn.com/tousu/show/id/1339390")</f>
        <v>http://ts.21cn.com/tousu/show/id/1339390</v>
      </c>
      <c r="F8325" s="2" t="s">
        <v>11</v>
      </c>
      <c r="G8325" s="2" t="s">
        <v>27792</v>
      </c>
      <c r="H8325" s="2" t="s">
        <v>27793</v>
      </c>
    </row>
    <row r="8326" spans="1:8" ht="25.05" customHeight="1" x14ac:dyDescent="0.25">
      <c r="A8326" s="2" t="s">
        <v>8</v>
      </c>
      <c r="B8326" s="2" t="str">
        <f>HYPERLINK("http://ts.21cn.com/tousu/show/id/1339392","现控达人高利贷")</f>
        <v>现控达人高利贷</v>
      </c>
      <c r="C8326" s="2" t="s">
        <v>9</v>
      </c>
      <c r="D8326" s="2" t="s">
        <v>10</v>
      </c>
      <c r="E8326" s="2" t="str">
        <f>HYPERLINK("http://ts.21cn.com/tousu/show/id/1339392","http://ts.21cn.com/tousu/show/id/1339392")</f>
        <v>http://ts.21cn.com/tousu/show/id/1339392</v>
      </c>
      <c r="F8326" s="2" t="s">
        <v>11</v>
      </c>
      <c r="G8326" s="2" t="s">
        <v>27790</v>
      </c>
      <c r="H8326" s="2" t="s">
        <v>27791</v>
      </c>
    </row>
    <row r="8327" spans="1:8" ht="25.05" customHeight="1" x14ac:dyDescent="0.25">
      <c r="A8327" s="2" t="s">
        <v>8</v>
      </c>
      <c r="B8327" s="2" t="str">
        <f>HYPERLINK("http://ts.21cn.com/tousu/show/id/1339393","阴阳合同高利贷")</f>
        <v>阴阳合同高利贷</v>
      </c>
      <c r="C8327" s="2" t="s">
        <v>9</v>
      </c>
      <c r="D8327" s="2" t="s">
        <v>10</v>
      </c>
      <c r="E8327" s="2" t="str">
        <f>HYPERLINK("http://ts.21cn.com/tousu/show/id/1339393","http://ts.21cn.com/tousu/show/id/1339393")</f>
        <v>http://ts.21cn.com/tousu/show/id/1339393</v>
      </c>
      <c r="F8327" s="2" t="s">
        <v>11</v>
      </c>
      <c r="G8327" s="2" t="s">
        <v>27788</v>
      </c>
      <c r="H8327" s="2" t="s">
        <v>27789</v>
      </c>
    </row>
    <row r="8328" spans="1:8" ht="25.05" customHeight="1" x14ac:dyDescent="0.25">
      <c r="A8328" s="2" t="s">
        <v>8</v>
      </c>
      <c r="B8328" s="2" t="str">
        <f>HYPERLINK("http://ts.21cn.com/tousu/show/id/1339396","点融网提现困难")</f>
        <v>点融网提现困难</v>
      </c>
      <c r="C8328" s="2" t="s">
        <v>9</v>
      </c>
      <c r="D8328" s="2" t="s">
        <v>10</v>
      </c>
      <c r="E8328" s="2" t="str">
        <f>HYPERLINK("http://ts.21cn.com/tousu/show/id/1339396","http://ts.21cn.com/tousu/show/id/1339396")</f>
        <v>http://ts.21cn.com/tousu/show/id/1339396</v>
      </c>
      <c r="F8328" s="2" t="s">
        <v>11</v>
      </c>
      <c r="G8328" s="2" t="s">
        <v>27786</v>
      </c>
      <c r="H8328" s="2" t="s">
        <v>27787</v>
      </c>
    </row>
    <row r="8329" spans="1:8" ht="25.05" customHeight="1" x14ac:dyDescent="0.25">
      <c r="A8329" s="2" t="s">
        <v>8</v>
      </c>
      <c r="B8329" s="2" t="str">
        <f>HYPERLINK("http://ts.21cn.com/tousu/show/id/1339397","玖富万卡擅自改写合同，变相收取费用，高利贷")</f>
        <v>玖富万卡擅自改写合同，变相收取费用，高利贷</v>
      </c>
      <c r="C8329" s="2" t="s">
        <v>9</v>
      </c>
      <c r="D8329" s="2" t="s">
        <v>10</v>
      </c>
      <c r="E8329" s="2" t="str">
        <f>HYPERLINK("http://ts.21cn.com/tousu/show/id/1339397","http://ts.21cn.com/tousu/show/id/1339397")</f>
        <v>http://ts.21cn.com/tousu/show/id/1339397</v>
      </c>
      <c r="F8329" s="2" t="s">
        <v>11</v>
      </c>
      <c r="G8329" s="2" t="s">
        <v>27784</v>
      </c>
      <c r="H8329" s="2" t="s">
        <v>27785</v>
      </c>
    </row>
    <row r="8330" spans="1:8" ht="25.05" customHeight="1" x14ac:dyDescent="0.25">
      <c r="A8330" s="2" t="s">
        <v>8</v>
      </c>
      <c r="B8330" s="2" t="str">
        <f>HYPERLINK("http://ts.21cn.com/tousu/show/id/1339373","贷上钱")</f>
        <v>贷上钱</v>
      </c>
      <c r="C8330" s="2" t="s">
        <v>9</v>
      </c>
      <c r="D8330" s="2" t="s">
        <v>10</v>
      </c>
      <c r="E8330" s="2" t="str">
        <f>HYPERLINK("http://ts.21cn.com/tousu/show/id/1339373","http://ts.21cn.com/tousu/show/id/1339373")</f>
        <v>http://ts.21cn.com/tousu/show/id/1339373</v>
      </c>
      <c r="F8330" s="2" t="s">
        <v>11</v>
      </c>
      <c r="G8330" s="2" t="s">
        <v>27782</v>
      </c>
      <c r="H8330" s="2" t="s">
        <v>27783</v>
      </c>
    </row>
    <row r="8331" spans="1:8" ht="25.05" customHeight="1" x14ac:dyDescent="0.25">
      <c r="A8331" s="2" t="s">
        <v>8</v>
      </c>
      <c r="B8331" s="2" t="str">
        <f>HYPERLINK("http://ts.21cn.com/tousu/show/id/1339398","今借到，借贷宝每天打骚扰电话")</f>
        <v>今借到，借贷宝每天打骚扰电话</v>
      </c>
      <c r="C8331" s="2" t="s">
        <v>9</v>
      </c>
      <c r="D8331" s="2" t="s">
        <v>10</v>
      </c>
      <c r="E8331" s="2" t="str">
        <f>HYPERLINK("http://ts.21cn.com/tousu/show/id/1339398","http://ts.21cn.com/tousu/show/id/1339398")</f>
        <v>http://ts.21cn.com/tousu/show/id/1339398</v>
      </c>
      <c r="F8331" s="2" t="s">
        <v>11</v>
      </c>
      <c r="G8331" s="2" t="s">
        <v>27780</v>
      </c>
      <c r="H8331" s="2" t="s">
        <v>27781</v>
      </c>
    </row>
    <row r="8332" spans="1:8" ht="25.05" customHeight="1" x14ac:dyDescent="0.25">
      <c r="A8332" s="2" t="s">
        <v>8</v>
      </c>
      <c r="B8332" s="2" t="str">
        <f>HYPERLINK("http://ts.21cn.com/tousu/show/id/1339399","兰旗机场工作人员办卡误导消费者")</f>
        <v>兰旗机场工作人员办卡误导消费者</v>
      </c>
      <c r="C8332" s="2" t="s">
        <v>9</v>
      </c>
      <c r="D8332" s="2" t="s">
        <v>10</v>
      </c>
      <c r="E8332" s="2" t="str">
        <f>HYPERLINK("http://ts.21cn.com/tousu/show/id/1339399","http://ts.21cn.com/tousu/show/id/1339399")</f>
        <v>http://ts.21cn.com/tousu/show/id/1339399</v>
      </c>
      <c r="F8332" s="2" t="s">
        <v>11</v>
      </c>
      <c r="G8332" s="2" t="s">
        <v>27778</v>
      </c>
      <c r="H8332" s="2" t="s">
        <v>27779</v>
      </c>
    </row>
    <row r="8333" spans="1:8" ht="25.05" customHeight="1" x14ac:dyDescent="0.25">
      <c r="A8333" s="2" t="s">
        <v>8</v>
      </c>
      <c r="B8333" s="2" t="str">
        <f>HYPERLINK("http://ts.21cn.com/tousu/show/id/1339400","轻周转芒果筹还款不消帐，还让再还")</f>
        <v>轻周转芒果筹还款不消帐，还让再还</v>
      </c>
      <c r="C8333" s="2" t="s">
        <v>9</v>
      </c>
      <c r="D8333" s="2" t="s">
        <v>10</v>
      </c>
      <c r="E8333" s="2" t="str">
        <f>HYPERLINK("http://ts.21cn.com/tousu/show/id/1339400","http://ts.21cn.com/tousu/show/id/1339400")</f>
        <v>http://ts.21cn.com/tousu/show/id/1339400</v>
      </c>
      <c r="F8333" s="2" t="s">
        <v>11</v>
      </c>
      <c r="G8333" s="2" t="s">
        <v>27776</v>
      </c>
      <c r="H8333" s="2" t="s">
        <v>27777</v>
      </c>
    </row>
    <row r="8334" spans="1:8" ht="25.05" customHeight="1" x14ac:dyDescent="0.25">
      <c r="A8334" s="2" t="s">
        <v>8</v>
      </c>
      <c r="B8334" s="2" t="str">
        <f>HYPERLINK("http://ts.21cn.com/tousu/show/id/1339384","瓜子二手车不按保卖协议按期过户")</f>
        <v>瓜子二手车不按保卖协议按期过户</v>
      </c>
      <c r="C8334" s="2" t="s">
        <v>9</v>
      </c>
      <c r="D8334" s="2" t="s">
        <v>10</v>
      </c>
      <c r="E8334" s="2" t="str">
        <f>HYPERLINK("http://ts.21cn.com/tousu/show/id/1339384","http://ts.21cn.com/tousu/show/id/1339384")</f>
        <v>http://ts.21cn.com/tousu/show/id/1339384</v>
      </c>
      <c r="F8334" s="2" t="s">
        <v>11</v>
      </c>
      <c r="G8334" s="2" t="s">
        <v>27774</v>
      </c>
      <c r="H8334" s="2" t="s">
        <v>27775</v>
      </c>
    </row>
    <row r="8335" spans="1:8" ht="25.05" customHeight="1" x14ac:dyDescent="0.25">
      <c r="A8335" s="2" t="s">
        <v>8</v>
      </c>
      <c r="B8335" s="2" t="str">
        <f>HYPERLINK("http://ts.21cn.com/tousu/show/id/1339401","点融无故扣我200")</f>
        <v>点融无故扣我200</v>
      </c>
      <c r="C8335" s="2" t="s">
        <v>34</v>
      </c>
      <c r="D8335" s="2" t="s">
        <v>10</v>
      </c>
      <c r="E8335" s="2" t="str">
        <f>HYPERLINK("http://ts.21cn.com/tousu/show/id/1339401","http://ts.21cn.com/tousu/show/id/1339401")</f>
        <v>http://ts.21cn.com/tousu/show/id/1339401</v>
      </c>
      <c r="F8335" s="2" t="s">
        <v>11</v>
      </c>
      <c r="G8335" s="2" t="s">
        <v>27772</v>
      </c>
      <c r="H8335" s="2" t="s">
        <v>27773</v>
      </c>
    </row>
    <row r="8336" spans="1:8" ht="25.05" customHeight="1" x14ac:dyDescent="0.25">
      <c r="A8336" s="2" t="s">
        <v>8</v>
      </c>
      <c r="B8336" s="2" t="str">
        <f>HYPERLINK("http://ts.21cn.com/tousu/show/id/1339403","美团暴力催收")</f>
        <v>美团暴力催收</v>
      </c>
      <c r="C8336" s="2" t="s">
        <v>9</v>
      </c>
      <c r="D8336" s="2" t="s">
        <v>10</v>
      </c>
      <c r="E8336" s="2" t="str">
        <f>HYPERLINK("http://ts.21cn.com/tousu/show/id/1339403","http://ts.21cn.com/tousu/show/id/1339403")</f>
        <v>http://ts.21cn.com/tousu/show/id/1339403</v>
      </c>
      <c r="F8336" s="2" t="s">
        <v>11</v>
      </c>
      <c r="G8336" s="2" t="s">
        <v>27770</v>
      </c>
      <c r="H8336" s="2" t="s">
        <v>27771</v>
      </c>
    </row>
    <row r="8337" spans="1:8" ht="25.05" customHeight="1" x14ac:dyDescent="0.25">
      <c r="A8337" s="2" t="s">
        <v>8</v>
      </c>
      <c r="B8337" s="2" t="str">
        <f>HYPERLINK("http://ts.21cn.com/tousu/show/id/1339404","聚福分期自动扣款")</f>
        <v>聚福分期自动扣款</v>
      </c>
      <c r="C8337" s="2" t="s">
        <v>9</v>
      </c>
      <c r="D8337" s="2" t="s">
        <v>10</v>
      </c>
      <c r="E8337" s="2" t="str">
        <f>HYPERLINK("http://ts.21cn.com/tousu/show/id/1339404","http://ts.21cn.com/tousu/show/id/1339404")</f>
        <v>http://ts.21cn.com/tousu/show/id/1339404</v>
      </c>
      <c r="F8337" s="2" t="s">
        <v>11</v>
      </c>
      <c r="G8337" s="2" t="s">
        <v>27768</v>
      </c>
      <c r="H8337" s="2" t="s">
        <v>27769</v>
      </c>
    </row>
    <row r="8338" spans="1:8" ht="25.05" customHeight="1" x14ac:dyDescent="0.25">
      <c r="A8338" s="2" t="s">
        <v>8</v>
      </c>
      <c r="B8338" s="2" t="str">
        <f>HYPERLINK("http://ts.21cn.com/tousu/show/id/1339405","国美易卡高利息")</f>
        <v>国美易卡高利息</v>
      </c>
      <c r="C8338" s="2" t="s">
        <v>34</v>
      </c>
      <c r="D8338" s="2" t="s">
        <v>10</v>
      </c>
      <c r="E8338" s="2" t="str">
        <f>HYPERLINK("http://ts.21cn.com/tousu/show/id/1339405","http://ts.21cn.com/tousu/show/id/1339405")</f>
        <v>http://ts.21cn.com/tousu/show/id/1339405</v>
      </c>
      <c r="F8338" s="2" t="s">
        <v>11</v>
      </c>
      <c r="G8338" s="2" t="s">
        <v>27766</v>
      </c>
      <c r="H8338" s="2" t="s">
        <v>27767</v>
      </c>
    </row>
    <row r="8339" spans="1:8" ht="25.05" customHeight="1" x14ac:dyDescent="0.25">
      <c r="A8339" s="2" t="s">
        <v>8</v>
      </c>
      <c r="B8339" s="2" t="str">
        <f>HYPERLINK("http://ts.21cn.com/tousu/show/id/1339406","阴阳合同")</f>
        <v>阴阳合同</v>
      </c>
      <c r="C8339" s="2" t="s">
        <v>9</v>
      </c>
      <c r="D8339" s="2" t="s">
        <v>10</v>
      </c>
      <c r="E8339" s="2" t="str">
        <f>HYPERLINK("http://ts.21cn.com/tousu/show/id/1339406","http://ts.21cn.com/tousu/show/id/1339406")</f>
        <v>http://ts.21cn.com/tousu/show/id/1339406</v>
      </c>
      <c r="F8339" s="2" t="s">
        <v>11</v>
      </c>
      <c r="G8339" s="2" t="s">
        <v>27763</v>
      </c>
      <c r="H8339" s="2" t="s">
        <v>27764</v>
      </c>
    </row>
    <row r="8340" spans="1:8" ht="25.05" customHeight="1" x14ac:dyDescent="0.25">
      <c r="A8340" s="2" t="s">
        <v>8</v>
      </c>
      <c r="B8340" s="2" t="str">
        <f>HYPERLINK("http://ts.21cn.com/tousu/show/id/1339380","豆豆钱八月款问题求救")</f>
        <v>豆豆钱八月款问题求救</v>
      </c>
      <c r="C8340" s="2" t="s">
        <v>9</v>
      </c>
      <c r="D8340" s="2" t="s">
        <v>10</v>
      </c>
      <c r="E8340" s="2" t="str">
        <f>HYPERLINK("http://ts.21cn.com/tousu/show/id/1339380","http://ts.21cn.com/tousu/show/id/1339380")</f>
        <v>http://ts.21cn.com/tousu/show/id/1339380</v>
      </c>
      <c r="F8340" s="2" t="s">
        <v>11</v>
      </c>
      <c r="G8340" s="2" t="s">
        <v>27763</v>
      </c>
      <c r="H8340" s="2" t="s">
        <v>27765</v>
      </c>
    </row>
    <row r="8341" spans="1:8" ht="25.05" customHeight="1" x14ac:dyDescent="0.25">
      <c r="A8341" s="2" t="s">
        <v>8</v>
      </c>
      <c r="B8341" s="2" t="str">
        <f>HYPERLINK("http://ts.21cn.com/tousu/show/id/1339407","贷上钱app催收爆我通讯录")</f>
        <v>贷上钱app催收爆我通讯录</v>
      </c>
      <c r="C8341" s="2" t="s">
        <v>9</v>
      </c>
      <c r="D8341" s="2" t="s">
        <v>10</v>
      </c>
      <c r="E8341" s="2" t="str">
        <f>HYPERLINK("http://ts.21cn.com/tousu/show/id/1339407","http://ts.21cn.com/tousu/show/id/1339407")</f>
        <v>http://ts.21cn.com/tousu/show/id/1339407</v>
      </c>
      <c r="F8341" s="2" t="s">
        <v>11</v>
      </c>
      <c r="G8341" s="2" t="s">
        <v>27761</v>
      </c>
      <c r="H8341" s="2" t="s">
        <v>27762</v>
      </c>
    </row>
    <row r="8342" spans="1:8" ht="25.05" customHeight="1" x14ac:dyDescent="0.25">
      <c r="A8342" s="2" t="s">
        <v>8</v>
      </c>
      <c r="B8342" s="2" t="str">
        <f>HYPERLINK("http://ts.21cn.com/tousu/show/id/1339408","拍拍贷涉嫌高利贷，暴力催收")</f>
        <v>拍拍贷涉嫌高利贷，暴力催收</v>
      </c>
      <c r="C8342" s="2" t="s">
        <v>9</v>
      </c>
      <c r="D8342" s="2" t="s">
        <v>10</v>
      </c>
      <c r="E8342" s="2" t="str">
        <f>HYPERLINK("http://ts.21cn.com/tousu/show/id/1339408","http://ts.21cn.com/tousu/show/id/1339408")</f>
        <v>http://ts.21cn.com/tousu/show/id/1339408</v>
      </c>
      <c r="F8342" s="2" t="s">
        <v>11</v>
      </c>
      <c r="G8342" s="2" t="s">
        <v>27759</v>
      </c>
      <c r="H8342" s="2" t="s">
        <v>27760</v>
      </c>
    </row>
    <row r="8343" spans="1:8" ht="25.05" customHeight="1" x14ac:dyDescent="0.25">
      <c r="A8343" s="2" t="s">
        <v>8</v>
      </c>
      <c r="B8343" s="2" t="str">
        <f>HYPERLINK("http://ts.21cn.com/tousu/show/id/1339409","蘑菇街进行暴力催收")</f>
        <v>蘑菇街进行暴力催收</v>
      </c>
      <c r="C8343" s="2" t="s">
        <v>9</v>
      </c>
      <c r="D8343" s="2" t="s">
        <v>10</v>
      </c>
      <c r="E8343" s="2" t="str">
        <f>HYPERLINK("http://ts.21cn.com/tousu/show/id/1339409","http://ts.21cn.com/tousu/show/id/1339409")</f>
        <v>http://ts.21cn.com/tousu/show/id/1339409</v>
      </c>
      <c r="F8343" s="2" t="s">
        <v>11</v>
      </c>
      <c r="G8343" s="2" t="s">
        <v>27757</v>
      </c>
      <c r="H8343" s="2" t="s">
        <v>27758</v>
      </c>
    </row>
    <row r="8344" spans="1:8" ht="25.05" customHeight="1" x14ac:dyDescent="0.25">
      <c r="A8344" s="2" t="s">
        <v>8</v>
      </c>
      <c r="B8344" s="2" t="str">
        <f>HYPERLINK("http://ts.21cn.com/tousu/show/id/1339411","爆力催收电话骚扰威胁")</f>
        <v>爆力催收电话骚扰威胁</v>
      </c>
      <c r="C8344" s="2" t="s">
        <v>9</v>
      </c>
      <c r="D8344" s="2" t="s">
        <v>10</v>
      </c>
      <c r="E8344" s="2" t="str">
        <f>HYPERLINK("http://ts.21cn.com/tousu/show/id/1339411","http://ts.21cn.com/tousu/show/id/1339411")</f>
        <v>http://ts.21cn.com/tousu/show/id/1339411</v>
      </c>
      <c r="F8344" s="2" t="s">
        <v>11</v>
      </c>
      <c r="G8344" s="2" t="s">
        <v>27755</v>
      </c>
      <c r="H8344" s="2" t="s">
        <v>27756</v>
      </c>
    </row>
    <row r="8345" spans="1:8" ht="25.05" customHeight="1" x14ac:dyDescent="0.25">
      <c r="A8345" s="2" t="s">
        <v>8</v>
      </c>
      <c r="B8345" s="2" t="str">
        <f>HYPERLINK("http://ts.21cn.com/tousu/show/id/1339413","多宝分期借款严重高利息")</f>
        <v>多宝分期借款严重高利息</v>
      </c>
      <c r="C8345" s="2" t="s">
        <v>34</v>
      </c>
      <c r="D8345" s="2" t="s">
        <v>10</v>
      </c>
      <c r="E8345" s="2" t="str">
        <f>HYPERLINK("http://ts.21cn.com/tousu/show/id/1339413","http://ts.21cn.com/tousu/show/id/1339413")</f>
        <v>http://ts.21cn.com/tousu/show/id/1339413</v>
      </c>
      <c r="F8345" s="2" t="s">
        <v>11</v>
      </c>
      <c r="G8345" s="2" t="s">
        <v>27753</v>
      </c>
      <c r="H8345" s="2" t="s">
        <v>27754</v>
      </c>
    </row>
    <row r="8346" spans="1:8" ht="25.05" customHeight="1" x14ac:dyDescent="0.25">
      <c r="A8346" s="2" t="s">
        <v>8</v>
      </c>
      <c r="B8346" s="2" t="str">
        <f>HYPERLINK("http://ts.21cn.com/tousu/show/id/1339412","飞猪平台的酒店拒绝退款")</f>
        <v>飞猪平台的酒店拒绝退款</v>
      </c>
      <c r="C8346" s="2" t="s">
        <v>9</v>
      </c>
      <c r="D8346" s="2" t="s">
        <v>10</v>
      </c>
      <c r="E8346" s="2" t="str">
        <f>HYPERLINK("http://ts.21cn.com/tousu/show/id/1339412","http://ts.21cn.com/tousu/show/id/1339412")</f>
        <v>http://ts.21cn.com/tousu/show/id/1339412</v>
      </c>
      <c r="F8346" s="2" t="s">
        <v>11</v>
      </c>
      <c r="G8346" s="2" t="s">
        <v>27751</v>
      </c>
      <c r="H8346" s="2" t="s">
        <v>27752</v>
      </c>
    </row>
    <row r="8347" spans="1:8" ht="25.05" customHeight="1" x14ac:dyDescent="0.25">
      <c r="A8347" s="2" t="s">
        <v>8</v>
      </c>
      <c r="B8347" s="2" t="str">
        <f>HYPERLINK("http://ts.21cn.com/tousu/show/id/1339414","滴滴派单系统存在人为恶意干涉")</f>
        <v>滴滴派单系统存在人为恶意干涉</v>
      </c>
      <c r="C8347" s="2" t="s">
        <v>9</v>
      </c>
      <c r="D8347" s="2" t="s">
        <v>10</v>
      </c>
      <c r="E8347" s="2" t="str">
        <f>HYPERLINK("http://ts.21cn.com/tousu/show/id/1339414","http://ts.21cn.com/tousu/show/id/1339414")</f>
        <v>http://ts.21cn.com/tousu/show/id/1339414</v>
      </c>
      <c r="F8347" s="2" t="s">
        <v>11</v>
      </c>
      <c r="G8347" s="2" t="s">
        <v>27749</v>
      </c>
      <c r="H8347" s="2" t="s">
        <v>27750</v>
      </c>
    </row>
    <row r="8348" spans="1:8" ht="25.05" customHeight="1" x14ac:dyDescent="0.25">
      <c r="A8348" s="2" t="s">
        <v>8</v>
      </c>
      <c r="B8348" s="2" t="str">
        <f>HYPERLINK("http://ts.21cn.com/tousu/show/id/1339417","浦发银行信用卡暴力催收")</f>
        <v>浦发银行信用卡暴力催收</v>
      </c>
      <c r="C8348" s="2" t="s">
        <v>9</v>
      </c>
      <c r="D8348" s="2" t="s">
        <v>10</v>
      </c>
      <c r="E8348" s="2" t="str">
        <f>HYPERLINK("http://ts.21cn.com/tousu/show/id/1339417","http://ts.21cn.com/tousu/show/id/1339417")</f>
        <v>http://ts.21cn.com/tousu/show/id/1339417</v>
      </c>
      <c r="F8348" s="2" t="s">
        <v>11</v>
      </c>
      <c r="G8348" s="2" t="s">
        <v>27747</v>
      </c>
      <c r="H8348" s="2" t="s">
        <v>27748</v>
      </c>
    </row>
    <row r="8349" spans="1:8" ht="25.05" customHeight="1" x14ac:dyDescent="0.25">
      <c r="A8349" s="2" t="s">
        <v>8</v>
      </c>
      <c r="B8349" s="2" t="str">
        <f>HYPERLINK("http://ts.21cn.com/tousu/show/id/1339418","拍拍贷要进行恶意催收")</f>
        <v>拍拍贷要进行恶意催收</v>
      </c>
      <c r="C8349" s="2" t="s">
        <v>9</v>
      </c>
      <c r="D8349" s="2" t="s">
        <v>10</v>
      </c>
      <c r="E8349" s="2" t="str">
        <f>HYPERLINK("http://ts.21cn.com/tousu/show/id/1339418","http://ts.21cn.com/tousu/show/id/1339418")</f>
        <v>http://ts.21cn.com/tousu/show/id/1339418</v>
      </c>
      <c r="F8349" s="2" t="s">
        <v>11</v>
      </c>
      <c r="G8349" s="2" t="s">
        <v>27745</v>
      </c>
      <c r="H8349" s="2" t="s">
        <v>27746</v>
      </c>
    </row>
    <row r="8350" spans="1:8" ht="25.05" customHeight="1" x14ac:dyDescent="0.25">
      <c r="A8350" s="2" t="s">
        <v>8</v>
      </c>
      <c r="B8350" s="2" t="str">
        <f>HYPERLINK("http://ts.21cn.com/tousu/show/id/1339419","恒易贷没有逾期，多收我款项")</f>
        <v>恒易贷没有逾期，多收我款项</v>
      </c>
      <c r="C8350" s="2" t="s">
        <v>9</v>
      </c>
      <c r="D8350" s="2" t="s">
        <v>10</v>
      </c>
      <c r="E8350" s="2" t="str">
        <f>HYPERLINK("http://ts.21cn.com/tousu/show/id/1339419","http://ts.21cn.com/tousu/show/id/1339419")</f>
        <v>http://ts.21cn.com/tousu/show/id/1339419</v>
      </c>
      <c r="F8350" s="2" t="s">
        <v>11</v>
      </c>
      <c r="G8350" s="2" t="s">
        <v>27743</v>
      </c>
      <c r="H8350" s="2" t="s">
        <v>27744</v>
      </c>
    </row>
    <row r="8351" spans="1:8" ht="25.05" customHeight="1" x14ac:dyDescent="0.25">
      <c r="A8351" s="2" t="s">
        <v>8</v>
      </c>
      <c r="B8351" s="2" t="str">
        <f>HYPERLINK("http://ts.21cn.com/tousu/show/id/1339421","小浦优客app未提示扣取报告费要求退回")</f>
        <v>小浦优客app未提示扣取报告费要求退回</v>
      </c>
      <c r="C8351" s="2" t="s">
        <v>9</v>
      </c>
      <c r="D8351" s="2" t="s">
        <v>10</v>
      </c>
      <c r="E8351" s="2" t="str">
        <f>HYPERLINK("http://ts.21cn.com/tousu/show/id/1339421","http://ts.21cn.com/tousu/show/id/1339421")</f>
        <v>http://ts.21cn.com/tousu/show/id/1339421</v>
      </c>
      <c r="F8351" s="2" t="s">
        <v>11</v>
      </c>
      <c r="G8351" s="2" t="s">
        <v>27742</v>
      </c>
      <c r="H8351" s="2" t="s">
        <v>11904</v>
      </c>
    </row>
    <row r="8352" spans="1:8" ht="25.05" customHeight="1" x14ac:dyDescent="0.25">
      <c r="A8352" s="2" t="s">
        <v>8</v>
      </c>
      <c r="B8352" s="2" t="str">
        <f>HYPERLINK("http://ts.21cn.com/tousu/show/id/1339410","钱站网阴阳合同非法高利贷")</f>
        <v>钱站网阴阳合同非法高利贷</v>
      </c>
      <c r="C8352" s="2" t="s">
        <v>9</v>
      </c>
      <c r="D8352" s="2" t="s">
        <v>10</v>
      </c>
      <c r="E8352" s="2" t="str">
        <f>HYPERLINK("http://ts.21cn.com/tousu/show/id/1339410","http://ts.21cn.com/tousu/show/id/1339410")</f>
        <v>http://ts.21cn.com/tousu/show/id/1339410</v>
      </c>
      <c r="F8352" s="2" t="s">
        <v>11</v>
      </c>
      <c r="G8352" s="2" t="s">
        <v>27740</v>
      </c>
      <c r="H8352" s="2" t="s">
        <v>27741</v>
      </c>
    </row>
    <row r="8353" spans="1:8" ht="25.05" customHeight="1" x14ac:dyDescent="0.25">
      <c r="A8353" s="2" t="s">
        <v>8</v>
      </c>
      <c r="B8353" s="2" t="str">
        <f>HYPERLINK("http://ts.21cn.com/tousu/show/id/1339424","蜜瓜钱包高利贷砍头息")</f>
        <v>蜜瓜钱包高利贷砍头息</v>
      </c>
      <c r="C8353" s="2" t="s">
        <v>9</v>
      </c>
      <c r="D8353" s="2" t="s">
        <v>10</v>
      </c>
      <c r="E8353" s="2" t="str">
        <f>HYPERLINK("http://ts.21cn.com/tousu/show/id/1339424","http://ts.21cn.com/tousu/show/id/1339424")</f>
        <v>http://ts.21cn.com/tousu/show/id/1339424</v>
      </c>
      <c r="F8353" s="2" t="s">
        <v>11</v>
      </c>
      <c r="G8353" s="2" t="s">
        <v>27738</v>
      </c>
      <c r="H8353" s="2" t="s">
        <v>27739</v>
      </c>
    </row>
    <row r="8354" spans="1:8" ht="25.05" customHeight="1" x14ac:dyDescent="0.25">
      <c r="A8354" s="2" t="s">
        <v>8</v>
      </c>
      <c r="B8354" s="2" t="str">
        <f>HYPERLINK("http://ts.21cn.com/tousu/show/id/1339425","高利贷，砍头息")</f>
        <v>高利贷，砍头息</v>
      </c>
      <c r="C8354" s="2" t="s">
        <v>9</v>
      </c>
      <c r="D8354" s="2" t="s">
        <v>10</v>
      </c>
      <c r="E8354" s="2" t="str">
        <f>HYPERLINK("http://ts.21cn.com/tousu/show/id/1339425","http://ts.21cn.com/tousu/show/id/1339425")</f>
        <v>http://ts.21cn.com/tousu/show/id/1339425</v>
      </c>
      <c r="F8354" s="2" t="s">
        <v>11</v>
      </c>
      <c r="G8354" s="2" t="s">
        <v>27736</v>
      </c>
      <c r="H8354" s="2" t="s">
        <v>27737</v>
      </c>
    </row>
    <row r="8355" spans="1:8" ht="25.05" customHeight="1" x14ac:dyDescent="0.25">
      <c r="A8355" s="2" t="s">
        <v>8</v>
      </c>
      <c r="B8355" s="2" t="str">
        <f>HYPERLINK("http://ts.21cn.com/tousu/show/id/1339415","安逸花利息好比高利贷")</f>
        <v>安逸花利息好比高利贷</v>
      </c>
      <c r="C8355" s="2" t="s">
        <v>9</v>
      </c>
      <c r="D8355" s="2" t="s">
        <v>10</v>
      </c>
      <c r="E8355" s="2" t="str">
        <f>HYPERLINK("http://ts.21cn.com/tousu/show/id/1339415","http://ts.21cn.com/tousu/show/id/1339415")</f>
        <v>http://ts.21cn.com/tousu/show/id/1339415</v>
      </c>
      <c r="F8355" s="2" t="s">
        <v>11</v>
      </c>
      <c r="G8355" s="2" t="s">
        <v>27734</v>
      </c>
      <c r="H8355" s="2" t="s">
        <v>27735</v>
      </c>
    </row>
    <row r="8356" spans="1:8" ht="25.05" customHeight="1" x14ac:dyDescent="0.25">
      <c r="A8356" s="2" t="s">
        <v>8</v>
      </c>
      <c r="B8356" s="2" t="str">
        <f>HYPERLINK("http://ts.21cn.com/tousu/show/id/1339426","安逸花暴利催收")</f>
        <v>安逸花暴利催收</v>
      </c>
      <c r="C8356" s="2" t="s">
        <v>9</v>
      </c>
      <c r="D8356" s="2" t="s">
        <v>10</v>
      </c>
      <c r="E8356" s="2" t="str">
        <f>HYPERLINK("http://ts.21cn.com/tousu/show/id/1339426","http://ts.21cn.com/tousu/show/id/1339426")</f>
        <v>http://ts.21cn.com/tousu/show/id/1339426</v>
      </c>
      <c r="F8356" s="2" t="s">
        <v>11</v>
      </c>
      <c r="G8356" s="2" t="s">
        <v>27732</v>
      </c>
      <c r="H8356" s="2" t="s">
        <v>27733</v>
      </c>
    </row>
    <row r="8357" spans="1:8" ht="25.05" customHeight="1" x14ac:dyDescent="0.25">
      <c r="A8357" s="2" t="s">
        <v>8</v>
      </c>
      <c r="B8357" s="2" t="str">
        <f>HYPERLINK("http://ts.21cn.com/tousu/show/id/1339427","已经超出正常催收")</f>
        <v>已经超出正常催收</v>
      </c>
      <c r="C8357" s="2" t="s">
        <v>9</v>
      </c>
      <c r="D8357" s="2" t="s">
        <v>10</v>
      </c>
      <c r="E8357" s="2" t="str">
        <f>HYPERLINK("http://ts.21cn.com/tousu/show/id/1339427","http://ts.21cn.com/tousu/show/id/1339427")</f>
        <v>http://ts.21cn.com/tousu/show/id/1339427</v>
      </c>
      <c r="F8357" s="2" t="s">
        <v>11</v>
      </c>
      <c r="G8357" s="2" t="s">
        <v>27730</v>
      </c>
      <c r="H8357" s="2" t="s">
        <v>27731</v>
      </c>
    </row>
    <row r="8358" spans="1:8" ht="25.05" customHeight="1" x14ac:dyDescent="0.25">
      <c r="A8358" s="2" t="s">
        <v>8</v>
      </c>
      <c r="B8358" s="2" t="str">
        <f>HYPERLINK("http://ts.21cn.com/tousu/show/id/1339428","建设银行暴力催收，恐吓，不给人活路，把人逼上觉路")</f>
        <v>建设银行暴力催收，恐吓，不给人活路，把人逼上觉路</v>
      </c>
      <c r="C8358" s="2" t="s">
        <v>9</v>
      </c>
      <c r="D8358" s="2" t="s">
        <v>10</v>
      </c>
      <c r="E8358" s="2" t="str">
        <f>HYPERLINK("http://ts.21cn.com/tousu/show/id/1339428","http://ts.21cn.com/tousu/show/id/1339428")</f>
        <v>http://ts.21cn.com/tousu/show/id/1339428</v>
      </c>
      <c r="F8358" s="2" t="s">
        <v>11</v>
      </c>
      <c r="G8358" s="2" t="s">
        <v>27728</v>
      </c>
      <c r="H8358" s="2" t="s">
        <v>27729</v>
      </c>
    </row>
    <row r="8359" spans="1:8" ht="25.05" customHeight="1" x14ac:dyDescent="0.25">
      <c r="A8359" s="2" t="s">
        <v>8</v>
      </c>
      <c r="B8359" s="2" t="str">
        <f>HYPERLINK("http://ts.21cn.com/tousu/show/id/1339429","上海拍拍贷暴力催收，骚扰家人，发短信恐吓")</f>
        <v>上海拍拍贷暴力催收，骚扰家人，发短信恐吓</v>
      </c>
      <c r="C8359" s="2" t="s">
        <v>9</v>
      </c>
      <c r="D8359" s="2" t="s">
        <v>10</v>
      </c>
      <c r="E8359" s="2" t="str">
        <f>HYPERLINK("http://ts.21cn.com/tousu/show/id/1339429","http://ts.21cn.com/tousu/show/id/1339429")</f>
        <v>http://ts.21cn.com/tousu/show/id/1339429</v>
      </c>
      <c r="F8359" s="2" t="s">
        <v>11</v>
      </c>
      <c r="G8359" s="2" t="s">
        <v>27726</v>
      </c>
      <c r="H8359" s="2" t="s">
        <v>27727</v>
      </c>
    </row>
    <row r="8360" spans="1:8" ht="25.05" customHeight="1" x14ac:dyDescent="0.25">
      <c r="A8360" s="2" t="s">
        <v>8</v>
      </c>
      <c r="B8360" s="2" t="str">
        <f>HYPERLINK("http://ts.21cn.com/tousu/show/id/1339430","云充吧恶意扣费")</f>
        <v>云充吧恶意扣费</v>
      </c>
      <c r="C8360" s="2" t="s">
        <v>9</v>
      </c>
      <c r="D8360" s="2" t="s">
        <v>10</v>
      </c>
      <c r="E8360" s="2" t="str">
        <f>HYPERLINK("http://ts.21cn.com/tousu/show/id/1339430","http://ts.21cn.com/tousu/show/id/1339430")</f>
        <v>http://ts.21cn.com/tousu/show/id/1339430</v>
      </c>
      <c r="F8360" s="2" t="s">
        <v>11</v>
      </c>
      <c r="G8360" s="2" t="s">
        <v>27724</v>
      </c>
      <c r="H8360" s="2" t="s">
        <v>27725</v>
      </c>
    </row>
    <row r="8361" spans="1:8" ht="25.05" customHeight="1" x14ac:dyDescent="0.25">
      <c r="A8361" s="2" t="s">
        <v>8</v>
      </c>
      <c r="B8361" s="2" t="str">
        <f>HYPERLINK("http://ts.21cn.com/tousu/show/id/1339431","催收态度极其恶劣")</f>
        <v>催收态度极其恶劣</v>
      </c>
      <c r="C8361" s="2" t="s">
        <v>9</v>
      </c>
      <c r="D8361" s="2" t="s">
        <v>10</v>
      </c>
      <c r="E8361" s="2" t="str">
        <f>HYPERLINK("http://ts.21cn.com/tousu/show/id/1339431","http://ts.21cn.com/tousu/show/id/1339431")</f>
        <v>http://ts.21cn.com/tousu/show/id/1339431</v>
      </c>
      <c r="F8361" s="2" t="s">
        <v>11</v>
      </c>
      <c r="G8361" s="2" t="s">
        <v>27722</v>
      </c>
      <c r="H8361" s="2" t="s">
        <v>27723</v>
      </c>
    </row>
    <row r="8362" spans="1:8" ht="25.05" customHeight="1" x14ac:dyDescent="0.25">
      <c r="A8362" s="2" t="s">
        <v>8</v>
      </c>
      <c r="B8362" s="2" t="str">
        <f>HYPERLINK("http://ts.21cn.com/tousu/show/id/1339433","阴阳合同高利贷")</f>
        <v>阴阳合同高利贷</v>
      </c>
      <c r="C8362" s="2" t="s">
        <v>9</v>
      </c>
      <c r="D8362" s="2" t="s">
        <v>10</v>
      </c>
      <c r="E8362" s="2" t="str">
        <f>HYPERLINK("http://ts.21cn.com/tousu/show/id/1339433","http://ts.21cn.com/tousu/show/id/1339433")</f>
        <v>http://ts.21cn.com/tousu/show/id/1339433</v>
      </c>
      <c r="F8362" s="2" t="s">
        <v>11</v>
      </c>
      <c r="G8362" s="2" t="s">
        <v>27720</v>
      </c>
      <c r="H8362" s="2" t="s">
        <v>27721</v>
      </c>
    </row>
    <row r="8363" spans="1:8" ht="25.05" customHeight="1" x14ac:dyDescent="0.25">
      <c r="A8363" s="2" t="s">
        <v>8</v>
      </c>
      <c r="B8363" s="2" t="str">
        <f>HYPERLINK("http://ts.21cn.com/tousu/show/id/1339434","广州移动号码高利贷催收")</f>
        <v>广州移动号码高利贷催收</v>
      </c>
      <c r="C8363" s="2" t="s">
        <v>9</v>
      </c>
      <c r="D8363" s="2" t="s">
        <v>10</v>
      </c>
      <c r="E8363" s="2" t="str">
        <f>HYPERLINK("http://ts.21cn.com/tousu/show/id/1339434","http://ts.21cn.com/tousu/show/id/1339434")</f>
        <v>http://ts.21cn.com/tousu/show/id/1339434</v>
      </c>
      <c r="F8363" s="2" t="s">
        <v>11</v>
      </c>
      <c r="G8363" s="2" t="s">
        <v>27718</v>
      </c>
      <c r="H8363" s="2" t="s">
        <v>27719</v>
      </c>
    </row>
    <row r="8364" spans="1:8" ht="25.05" customHeight="1" x14ac:dyDescent="0.25">
      <c r="A8364" s="2" t="s">
        <v>8</v>
      </c>
      <c r="B8364" s="2" t="str">
        <f>HYPERLINK("http://ts.21cn.com/tousu/show/id/1339435","拼多多乱退款")</f>
        <v>拼多多乱退款</v>
      </c>
      <c r="C8364" s="2" t="s">
        <v>34</v>
      </c>
      <c r="D8364" s="2" t="s">
        <v>10</v>
      </c>
      <c r="E8364" s="2" t="str">
        <f>HYPERLINK("http://ts.21cn.com/tousu/show/id/1339435","http://ts.21cn.com/tousu/show/id/1339435")</f>
        <v>http://ts.21cn.com/tousu/show/id/1339435</v>
      </c>
      <c r="F8364" s="2" t="s">
        <v>11</v>
      </c>
      <c r="G8364" s="2" t="s">
        <v>27716</v>
      </c>
      <c r="H8364" s="2" t="s">
        <v>27717</v>
      </c>
    </row>
    <row r="8365" spans="1:8" ht="25.05" customHeight="1" x14ac:dyDescent="0.25">
      <c r="A8365" s="2" t="s">
        <v>8</v>
      </c>
      <c r="B8365" s="2" t="str">
        <f>HYPERLINK("http://ts.21cn.com/tousu/show/id/1339436","帮帮信")</f>
        <v>帮帮信</v>
      </c>
      <c r="C8365" s="2" t="s">
        <v>34</v>
      </c>
      <c r="D8365" s="2" t="s">
        <v>10</v>
      </c>
      <c r="E8365" s="2" t="str">
        <f>HYPERLINK("http://ts.21cn.com/tousu/show/id/1339436","http://ts.21cn.com/tousu/show/id/1339436")</f>
        <v>http://ts.21cn.com/tousu/show/id/1339436</v>
      </c>
      <c r="F8365" s="2" t="s">
        <v>11</v>
      </c>
      <c r="G8365" s="2" t="s">
        <v>27714</v>
      </c>
      <c r="H8365" s="2" t="s">
        <v>27715</v>
      </c>
    </row>
    <row r="8366" spans="1:8" ht="25.05" customHeight="1" x14ac:dyDescent="0.25">
      <c r="A8366" s="2" t="s">
        <v>8</v>
      </c>
      <c r="B8366" s="2" t="str">
        <f>HYPERLINK("http://ts.21cn.com/tousu/show/id/1339437","每日优鲜约定时间未送货")</f>
        <v>每日优鲜约定时间未送货</v>
      </c>
      <c r="C8366" s="2" t="s">
        <v>34</v>
      </c>
      <c r="D8366" s="2" t="s">
        <v>10</v>
      </c>
      <c r="E8366" s="2" t="str">
        <f>HYPERLINK("http://ts.21cn.com/tousu/show/id/1339437","http://ts.21cn.com/tousu/show/id/1339437")</f>
        <v>http://ts.21cn.com/tousu/show/id/1339437</v>
      </c>
      <c r="F8366" s="2" t="s">
        <v>11</v>
      </c>
      <c r="G8366" s="2" t="s">
        <v>27712</v>
      </c>
      <c r="H8366" s="2" t="s">
        <v>27713</v>
      </c>
    </row>
    <row r="8367" spans="1:8" ht="25.05" customHeight="1" x14ac:dyDescent="0.25">
      <c r="A8367" s="2" t="s">
        <v>8</v>
      </c>
      <c r="B8367" s="2" t="str">
        <f>HYPERLINK("http://ts.21cn.com/tousu/show/id/1339438","暴力催收")</f>
        <v>暴力催收</v>
      </c>
      <c r="C8367" s="2" t="s">
        <v>9</v>
      </c>
      <c r="D8367" s="2" t="s">
        <v>10</v>
      </c>
      <c r="E8367" s="2" t="str">
        <f>HYPERLINK("http://ts.21cn.com/tousu/show/id/1339438","http://ts.21cn.com/tousu/show/id/1339438")</f>
        <v>http://ts.21cn.com/tousu/show/id/1339438</v>
      </c>
      <c r="F8367" s="2" t="s">
        <v>11</v>
      </c>
      <c r="G8367" s="2" t="s">
        <v>27710</v>
      </c>
      <c r="H8367" s="2" t="s">
        <v>27711</v>
      </c>
    </row>
    <row r="8368" spans="1:8" ht="25.05" customHeight="1" x14ac:dyDescent="0.25">
      <c r="A8368" s="2" t="s">
        <v>8</v>
      </c>
      <c r="B8368" s="2" t="str">
        <f>HYPERLINK("http://ts.21cn.com/tousu/show/id/1339439","万达快易花")</f>
        <v>万达快易花</v>
      </c>
      <c r="C8368" s="2" t="s">
        <v>9</v>
      </c>
      <c r="D8368" s="2" t="s">
        <v>10</v>
      </c>
      <c r="E8368" s="2" t="str">
        <f>HYPERLINK("http://ts.21cn.com/tousu/show/id/1339439","http://ts.21cn.com/tousu/show/id/1339439")</f>
        <v>http://ts.21cn.com/tousu/show/id/1339439</v>
      </c>
      <c r="F8368" s="2" t="s">
        <v>11</v>
      </c>
      <c r="G8368" s="2" t="s">
        <v>27708</v>
      </c>
      <c r="H8368" s="2" t="s">
        <v>27709</v>
      </c>
    </row>
    <row r="8369" spans="1:8" ht="25.05" customHeight="1" x14ac:dyDescent="0.25">
      <c r="A8369" s="2" t="s">
        <v>8</v>
      </c>
      <c r="B8369" s="2" t="str">
        <f>HYPERLINK("http://ts.21cn.com/tousu/show/id/1339440","小浦优客未经本人同意私自扣款欺炸行为")</f>
        <v>小浦优客未经本人同意私自扣款欺炸行为</v>
      </c>
      <c r="C8369" s="2" t="s">
        <v>9</v>
      </c>
      <c r="D8369" s="2" t="s">
        <v>10</v>
      </c>
      <c r="E8369" s="2" t="str">
        <f>HYPERLINK("http://ts.21cn.com/tousu/show/id/1339440","http://ts.21cn.com/tousu/show/id/1339440")</f>
        <v>http://ts.21cn.com/tousu/show/id/1339440</v>
      </c>
      <c r="F8369" s="2" t="s">
        <v>11</v>
      </c>
      <c r="G8369" s="2" t="s">
        <v>27706</v>
      </c>
      <c r="H8369" s="2" t="s">
        <v>27707</v>
      </c>
    </row>
    <row r="8370" spans="1:8" ht="25.05" customHeight="1" x14ac:dyDescent="0.25">
      <c r="A8370" s="2" t="s">
        <v>8</v>
      </c>
      <c r="B8370" s="2" t="str">
        <f>HYPERLINK("http://ts.21cn.com/tousu/show/id/1339441","我来贷逾期费用高")</f>
        <v>我来贷逾期费用高</v>
      </c>
      <c r="C8370" s="2" t="s">
        <v>34</v>
      </c>
      <c r="D8370" s="2" t="s">
        <v>10</v>
      </c>
      <c r="E8370" s="2" t="str">
        <f>HYPERLINK("http://ts.21cn.com/tousu/show/id/1339441","http://ts.21cn.com/tousu/show/id/1339441")</f>
        <v>http://ts.21cn.com/tousu/show/id/1339441</v>
      </c>
      <c r="F8370" s="2" t="s">
        <v>11</v>
      </c>
      <c r="G8370" s="2" t="s">
        <v>27704</v>
      </c>
      <c r="H8370" s="2" t="s">
        <v>27705</v>
      </c>
    </row>
    <row r="8371" spans="1:8" ht="25.05" customHeight="1" x14ac:dyDescent="0.25">
      <c r="A8371" s="2" t="s">
        <v>8</v>
      </c>
      <c r="B8371" s="2" t="str">
        <f>HYPERLINK("http://ts.21cn.com/tousu/show/id/1339442","52租机取消订单一直未退款")</f>
        <v>52租机取消订单一直未退款</v>
      </c>
      <c r="C8371" s="2" t="s">
        <v>9</v>
      </c>
      <c r="D8371" s="2" t="s">
        <v>10</v>
      </c>
      <c r="E8371" s="2" t="str">
        <f>HYPERLINK("http://ts.21cn.com/tousu/show/id/1339442","http://ts.21cn.com/tousu/show/id/1339442")</f>
        <v>http://ts.21cn.com/tousu/show/id/1339442</v>
      </c>
      <c r="F8371" s="2" t="s">
        <v>11</v>
      </c>
      <c r="G8371" s="2" t="s">
        <v>27702</v>
      </c>
      <c r="H8371" s="2" t="s">
        <v>27703</v>
      </c>
    </row>
    <row r="8372" spans="1:8" ht="25.05" customHeight="1" x14ac:dyDescent="0.25">
      <c r="A8372" s="2" t="s">
        <v>8</v>
      </c>
      <c r="B8372" s="2" t="str">
        <f>HYPERLINK("http://ts.21cn.com/tousu/show/id/1339420","钱站阴阳合同变相高利贷")</f>
        <v>钱站阴阳合同变相高利贷</v>
      </c>
      <c r="C8372" s="2" t="s">
        <v>9</v>
      </c>
      <c r="D8372" s="2" t="s">
        <v>10</v>
      </c>
      <c r="E8372" s="2" t="str">
        <f>HYPERLINK("http://ts.21cn.com/tousu/show/id/1339420","http://ts.21cn.com/tousu/show/id/1339420")</f>
        <v>http://ts.21cn.com/tousu/show/id/1339420</v>
      </c>
      <c r="F8372" s="2" t="s">
        <v>11</v>
      </c>
      <c r="G8372" s="2" t="s">
        <v>27700</v>
      </c>
      <c r="H8372" s="2" t="s">
        <v>27701</v>
      </c>
    </row>
    <row r="8373" spans="1:8" ht="25.05" customHeight="1" x14ac:dyDescent="0.25">
      <c r="A8373" s="2" t="s">
        <v>8</v>
      </c>
      <c r="B8373" s="2" t="str">
        <f>HYPERLINK("http://ts.21cn.com/tousu/show/id/1339443","态度恶劣")</f>
        <v>态度恶劣</v>
      </c>
      <c r="C8373" s="2" t="s">
        <v>9</v>
      </c>
      <c r="D8373" s="2" t="s">
        <v>10</v>
      </c>
      <c r="E8373" s="2" t="str">
        <f>HYPERLINK("http://ts.21cn.com/tousu/show/id/1339443","http://ts.21cn.com/tousu/show/id/1339443")</f>
        <v>http://ts.21cn.com/tousu/show/id/1339443</v>
      </c>
      <c r="F8373" s="2" t="s">
        <v>11</v>
      </c>
      <c r="G8373" s="2" t="s">
        <v>27698</v>
      </c>
      <c r="H8373" s="2" t="s">
        <v>27699</v>
      </c>
    </row>
    <row r="8374" spans="1:8" ht="25.05" customHeight="1" x14ac:dyDescent="0.25">
      <c r="A8374" s="2" t="s">
        <v>8</v>
      </c>
      <c r="B8374" s="2" t="str">
        <f>HYPERLINK("http://ts.21cn.com/tousu/show/id/1339444","新意花小木钱包高利贷")</f>
        <v>新意花小木钱包高利贷</v>
      </c>
      <c r="C8374" s="2" t="s">
        <v>9</v>
      </c>
      <c r="D8374" s="2" t="s">
        <v>10</v>
      </c>
      <c r="E8374" s="2" t="str">
        <f>HYPERLINK("http://ts.21cn.com/tousu/show/id/1339444","http://ts.21cn.com/tousu/show/id/1339444")</f>
        <v>http://ts.21cn.com/tousu/show/id/1339444</v>
      </c>
      <c r="F8374" s="2" t="s">
        <v>11</v>
      </c>
      <c r="G8374" s="2" t="s">
        <v>27696</v>
      </c>
      <c r="H8374" s="2" t="s">
        <v>27697</v>
      </c>
    </row>
    <row r="8375" spans="1:8" ht="25.05" customHeight="1" x14ac:dyDescent="0.25">
      <c r="A8375" s="2" t="s">
        <v>8</v>
      </c>
      <c r="B8375" s="2" t="str">
        <f>HYPERLINK("http://ts.21cn.com/tousu/show/id/1337896","暴力催收，恐吓借款人，高利贷，借款8113元，客服态度不好老说12000元。")</f>
        <v>暴力催收，恐吓借款人，高利贷，借款8113元，客服态度不好老说12000元。</v>
      </c>
      <c r="C8375" s="2" t="s">
        <v>9</v>
      </c>
      <c r="D8375" s="2" t="s">
        <v>10</v>
      </c>
      <c r="E8375" s="2" t="str">
        <f>HYPERLINK("http://ts.21cn.com/tousu/show/id/1337896","http://ts.21cn.com/tousu/show/id/1337896")</f>
        <v>http://ts.21cn.com/tousu/show/id/1337896</v>
      </c>
      <c r="F8375" s="2" t="s">
        <v>11</v>
      </c>
      <c r="G8375" s="2" t="s">
        <v>27694</v>
      </c>
      <c r="H8375" s="2" t="s">
        <v>27695</v>
      </c>
    </row>
    <row r="8376" spans="1:8" ht="25.05" customHeight="1" x14ac:dyDescent="0.25">
      <c r="A8376" s="2" t="s">
        <v>8</v>
      </c>
      <c r="B8376" s="2" t="str">
        <f>HYPERLINK("http://ts.21cn.com/tousu/show/id/1339446","骚扰")</f>
        <v>骚扰</v>
      </c>
      <c r="C8376" s="2" t="s">
        <v>9</v>
      </c>
      <c r="D8376" s="2" t="s">
        <v>10</v>
      </c>
      <c r="E8376" s="2" t="str">
        <f>HYPERLINK("http://ts.21cn.com/tousu/show/id/1339446","http://ts.21cn.com/tousu/show/id/1339446")</f>
        <v>http://ts.21cn.com/tousu/show/id/1339446</v>
      </c>
      <c r="F8376" s="2" t="s">
        <v>11</v>
      </c>
      <c r="G8376" s="2" t="s">
        <v>27692</v>
      </c>
      <c r="H8376" s="2" t="s">
        <v>27693</v>
      </c>
    </row>
    <row r="8377" spans="1:8" ht="25.05" customHeight="1" x14ac:dyDescent="0.25">
      <c r="A8377" s="2" t="s">
        <v>8</v>
      </c>
      <c r="B8377" s="2" t="str">
        <f>HYPERLINK("http://ts.21cn.com/tousu/show/id/1339445","高利贷！！砍头息！！借款协议是假的！！")</f>
        <v>高利贷！！砍头息！！借款协议是假的！！</v>
      </c>
      <c r="C8377" s="2" t="s">
        <v>9</v>
      </c>
      <c r="D8377" s="2" t="s">
        <v>10</v>
      </c>
      <c r="E8377" s="2" t="str">
        <f>HYPERLINK("http://ts.21cn.com/tousu/show/id/1339445","http://ts.21cn.com/tousu/show/id/1339445")</f>
        <v>http://ts.21cn.com/tousu/show/id/1339445</v>
      </c>
      <c r="F8377" s="2" t="s">
        <v>11</v>
      </c>
      <c r="G8377" s="2" t="s">
        <v>27690</v>
      </c>
      <c r="H8377" s="2" t="s">
        <v>27691</v>
      </c>
    </row>
    <row r="8378" spans="1:8" ht="25.05" customHeight="1" x14ac:dyDescent="0.25">
      <c r="A8378" s="2" t="s">
        <v>8</v>
      </c>
      <c r="B8378" s="2" t="str">
        <f>HYPERLINK("http://ts.21cn.com/tousu/show/id/1339448","中信银行暴力催收")</f>
        <v>中信银行暴力催收</v>
      </c>
      <c r="C8378" s="2" t="s">
        <v>9</v>
      </c>
      <c r="D8378" s="2" t="s">
        <v>10</v>
      </c>
      <c r="E8378" s="2" t="str">
        <f>HYPERLINK("http://ts.21cn.com/tousu/show/id/1339448","http://ts.21cn.com/tousu/show/id/1339448")</f>
        <v>http://ts.21cn.com/tousu/show/id/1339448</v>
      </c>
      <c r="F8378" s="2" t="s">
        <v>11</v>
      </c>
      <c r="G8378" s="2" t="s">
        <v>27688</v>
      </c>
      <c r="H8378" s="2" t="s">
        <v>27689</v>
      </c>
    </row>
    <row r="8379" spans="1:8" ht="25.05" customHeight="1" x14ac:dyDescent="0.25">
      <c r="A8379" s="2" t="s">
        <v>8</v>
      </c>
      <c r="B8379" s="2" t="str">
        <f>HYPERLINK("http://ts.21cn.com/tousu/show/id/1339447","国美易卡暴力催收给我通讯录所有人发信息")</f>
        <v>国美易卡暴力催收给我通讯录所有人发信息</v>
      </c>
      <c r="C8379" s="2" t="s">
        <v>9</v>
      </c>
      <c r="D8379" s="2" t="s">
        <v>10</v>
      </c>
      <c r="E8379" s="2" t="str">
        <f>HYPERLINK("http://ts.21cn.com/tousu/show/id/1339447","http://ts.21cn.com/tousu/show/id/1339447")</f>
        <v>http://ts.21cn.com/tousu/show/id/1339447</v>
      </c>
      <c r="F8379" s="2" t="s">
        <v>11</v>
      </c>
      <c r="G8379" s="2" t="s">
        <v>27686</v>
      </c>
      <c r="H8379" s="2" t="s">
        <v>27687</v>
      </c>
    </row>
    <row r="8380" spans="1:8" ht="25.05" customHeight="1" x14ac:dyDescent="0.25">
      <c r="A8380" s="2" t="s">
        <v>8</v>
      </c>
      <c r="B8380" s="2" t="str">
        <f>HYPERLINK("http://ts.21cn.com/tousu/show/id/1339449","闪电借款套路贷砍头息")</f>
        <v>闪电借款套路贷砍头息</v>
      </c>
      <c r="C8380" s="2" t="s">
        <v>9</v>
      </c>
      <c r="D8380" s="2" t="s">
        <v>10</v>
      </c>
      <c r="E8380" s="2" t="str">
        <f>HYPERLINK("http://ts.21cn.com/tousu/show/id/1339449","http://ts.21cn.com/tousu/show/id/1339449")</f>
        <v>http://ts.21cn.com/tousu/show/id/1339449</v>
      </c>
      <c r="F8380" s="2" t="s">
        <v>11</v>
      </c>
      <c r="G8380" s="2" t="s">
        <v>27684</v>
      </c>
      <c r="H8380" s="2" t="s">
        <v>27685</v>
      </c>
    </row>
    <row r="8381" spans="1:8" ht="25.05" customHeight="1" x14ac:dyDescent="0.25">
      <c r="A8381" s="2" t="s">
        <v>8</v>
      </c>
      <c r="B8381" s="2" t="str">
        <f>HYPERLINK("http://ts.21cn.com/tousu/show/id/1339450","马上金融催收暴力")</f>
        <v>马上金融催收暴力</v>
      </c>
      <c r="C8381" s="2" t="s">
        <v>9</v>
      </c>
      <c r="D8381" s="2" t="s">
        <v>10</v>
      </c>
      <c r="E8381" s="2" t="str">
        <f>HYPERLINK("http://ts.21cn.com/tousu/show/id/1339450","http://ts.21cn.com/tousu/show/id/1339450")</f>
        <v>http://ts.21cn.com/tousu/show/id/1339450</v>
      </c>
      <c r="F8381" s="2" t="s">
        <v>11</v>
      </c>
      <c r="G8381" s="2" t="s">
        <v>27682</v>
      </c>
      <c r="H8381" s="2" t="s">
        <v>27683</v>
      </c>
    </row>
    <row r="8382" spans="1:8" ht="25.05" customHeight="1" x14ac:dyDescent="0.25">
      <c r="A8382" s="2" t="s">
        <v>8</v>
      </c>
      <c r="B8382" s="2" t="str">
        <f>HYPERLINK("http://ts.21cn.com/tousu/show/id/1339432","砍头息，服务费")</f>
        <v>砍头息，服务费</v>
      </c>
      <c r="C8382" s="2" t="s">
        <v>34</v>
      </c>
      <c r="D8382" s="2" t="s">
        <v>10</v>
      </c>
      <c r="E8382" s="2" t="str">
        <f>HYPERLINK("http://ts.21cn.com/tousu/show/id/1339432","http://ts.21cn.com/tousu/show/id/1339432")</f>
        <v>http://ts.21cn.com/tousu/show/id/1339432</v>
      </c>
      <c r="F8382" s="2" t="s">
        <v>11</v>
      </c>
      <c r="G8382" s="2" t="s">
        <v>27680</v>
      </c>
      <c r="H8382" s="2" t="s">
        <v>27681</v>
      </c>
    </row>
    <row r="8383" spans="1:8" ht="25.05" customHeight="1" x14ac:dyDescent="0.25">
      <c r="A8383" s="2" t="s">
        <v>8</v>
      </c>
      <c r="B8383" s="2" t="str">
        <f>HYPERLINK("http://ts.21cn.com/tousu/show/id/1339451","拍拍贷高利贷")</f>
        <v>拍拍贷高利贷</v>
      </c>
      <c r="C8383" s="2" t="s">
        <v>9</v>
      </c>
      <c r="D8383" s="2" t="s">
        <v>10</v>
      </c>
      <c r="E8383" s="2" t="str">
        <f>HYPERLINK("http://ts.21cn.com/tousu/show/id/1339451","http://ts.21cn.com/tousu/show/id/1339451")</f>
        <v>http://ts.21cn.com/tousu/show/id/1339451</v>
      </c>
      <c r="F8383" s="2" t="s">
        <v>11</v>
      </c>
      <c r="G8383" s="2" t="s">
        <v>27678</v>
      </c>
      <c r="H8383" s="2" t="s">
        <v>27679</v>
      </c>
    </row>
    <row r="8384" spans="1:8" ht="25.05" customHeight="1" x14ac:dyDescent="0.25">
      <c r="A8384" s="2" t="s">
        <v>8</v>
      </c>
      <c r="B8384" s="2" t="str">
        <f>HYPERLINK("http://ts.21cn.com/tousu/show/id/1339452","先花一亿元收取我540测评费用要求退回")</f>
        <v>先花一亿元收取我540测评费用要求退回</v>
      </c>
      <c r="C8384" s="2" t="s">
        <v>9</v>
      </c>
      <c r="D8384" s="2" t="s">
        <v>10</v>
      </c>
      <c r="E8384" s="2" t="str">
        <f>HYPERLINK("http://ts.21cn.com/tousu/show/id/1339452","http://ts.21cn.com/tousu/show/id/1339452")</f>
        <v>http://ts.21cn.com/tousu/show/id/1339452</v>
      </c>
      <c r="F8384" s="2" t="s">
        <v>11</v>
      </c>
      <c r="G8384" s="2" t="s">
        <v>27676</v>
      </c>
      <c r="H8384" s="2" t="s">
        <v>27677</v>
      </c>
    </row>
    <row r="8385" spans="1:8" ht="25.05" customHeight="1" x14ac:dyDescent="0.25">
      <c r="A8385" s="2" t="s">
        <v>8</v>
      </c>
      <c r="B8385" s="2" t="str">
        <f>HYPERLINK("http://ts.21cn.com/tousu/show/id/1339453","信而富高利贷")</f>
        <v>信而富高利贷</v>
      </c>
      <c r="C8385" s="2" t="s">
        <v>9</v>
      </c>
      <c r="D8385" s="2" t="s">
        <v>10</v>
      </c>
      <c r="E8385" s="2" t="str">
        <f>HYPERLINK("http://ts.21cn.com/tousu/show/id/1339453","http://ts.21cn.com/tousu/show/id/1339453")</f>
        <v>http://ts.21cn.com/tousu/show/id/1339453</v>
      </c>
      <c r="F8385" s="2" t="s">
        <v>11</v>
      </c>
      <c r="G8385" s="2" t="s">
        <v>27674</v>
      </c>
      <c r="H8385" s="2" t="s">
        <v>27675</v>
      </c>
    </row>
    <row r="8386" spans="1:8" ht="25.05" customHeight="1" x14ac:dyDescent="0.25">
      <c r="A8386" s="2" t="s">
        <v>8</v>
      </c>
      <c r="B8386" s="2" t="str">
        <f>HYPERLINK("http://ts.21cn.com/tousu/show/id/1339456","智行汽车票无法退款")</f>
        <v>智行汽车票无法退款</v>
      </c>
      <c r="C8386" s="2" t="s">
        <v>34</v>
      </c>
      <c r="D8386" s="2" t="s">
        <v>10</v>
      </c>
      <c r="E8386" s="2" t="str">
        <f>HYPERLINK("http://ts.21cn.com/tousu/show/id/1339456","http://ts.21cn.com/tousu/show/id/1339456")</f>
        <v>http://ts.21cn.com/tousu/show/id/1339456</v>
      </c>
      <c r="F8386" s="2" t="s">
        <v>11</v>
      </c>
      <c r="G8386" s="2" t="s">
        <v>27672</v>
      </c>
      <c r="H8386" s="2" t="s">
        <v>27673</v>
      </c>
    </row>
    <row r="8387" spans="1:8" ht="25.05" customHeight="1" x14ac:dyDescent="0.25">
      <c r="A8387" s="2" t="s">
        <v>8</v>
      </c>
      <c r="B8387" s="2" t="str">
        <f>HYPERLINK("http://ts.21cn.com/tousu/show/id/1339455","套路贷高利贷")</f>
        <v>套路贷高利贷</v>
      </c>
      <c r="C8387" s="2" t="s">
        <v>9</v>
      </c>
      <c r="D8387" s="2" t="s">
        <v>10</v>
      </c>
      <c r="E8387" s="2" t="str">
        <f>HYPERLINK("http://ts.21cn.com/tousu/show/id/1339455","http://ts.21cn.com/tousu/show/id/1339455")</f>
        <v>http://ts.21cn.com/tousu/show/id/1339455</v>
      </c>
      <c r="F8387" s="2" t="s">
        <v>11</v>
      </c>
      <c r="G8387" s="2" t="s">
        <v>27670</v>
      </c>
      <c r="H8387" s="2" t="s">
        <v>27671</v>
      </c>
    </row>
    <row r="8388" spans="1:8" ht="25.05" customHeight="1" x14ac:dyDescent="0.25">
      <c r="A8388" s="2" t="s">
        <v>8</v>
      </c>
      <c r="B8388" s="2" t="str">
        <f>HYPERLINK("http://ts.21cn.com/tousu/show/id/1339457","高额利息，阴阳合同")</f>
        <v>高额利息，阴阳合同</v>
      </c>
      <c r="C8388" s="2" t="s">
        <v>9</v>
      </c>
      <c r="D8388" s="2" t="s">
        <v>10</v>
      </c>
      <c r="E8388" s="2" t="str">
        <f>HYPERLINK("http://ts.21cn.com/tousu/show/id/1339457","http://ts.21cn.com/tousu/show/id/1339457")</f>
        <v>http://ts.21cn.com/tousu/show/id/1339457</v>
      </c>
      <c r="F8388" s="2" t="s">
        <v>11</v>
      </c>
      <c r="G8388" s="2" t="s">
        <v>27668</v>
      </c>
      <c r="H8388" s="2" t="s">
        <v>27669</v>
      </c>
    </row>
    <row r="8389" spans="1:8" ht="25.05" customHeight="1" x14ac:dyDescent="0.25">
      <c r="A8389" s="2" t="s">
        <v>8</v>
      </c>
      <c r="B8389" s="2" t="str">
        <f>HYPERLINK("http://ts.21cn.com/tousu/show/id/1339316","投诉捷信金融公司骚扰电话")</f>
        <v>投诉捷信金融公司骚扰电话</v>
      </c>
      <c r="C8389" s="2" t="s">
        <v>9</v>
      </c>
      <c r="D8389" s="2" t="s">
        <v>10</v>
      </c>
      <c r="E8389" s="2" t="str">
        <f>HYPERLINK("http://ts.21cn.com/tousu/show/id/1339316","http://ts.21cn.com/tousu/show/id/1339316")</f>
        <v>http://ts.21cn.com/tousu/show/id/1339316</v>
      </c>
      <c r="F8389" s="2" t="s">
        <v>11</v>
      </c>
      <c r="G8389" s="2" t="s">
        <v>27666</v>
      </c>
      <c r="H8389" s="2" t="s">
        <v>27667</v>
      </c>
    </row>
    <row r="8390" spans="1:8" ht="25.05" customHeight="1" x14ac:dyDescent="0.25">
      <c r="A8390" s="2" t="s">
        <v>8</v>
      </c>
      <c r="B8390" s="2" t="str">
        <f>HYPERLINK("http://ts.21cn.com/tousu/show/id/1339458","被云闪付盗刷卡")</f>
        <v>被云闪付盗刷卡</v>
      </c>
      <c r="C8390" s="2" t="s">
        <v>9</v>
      </c>
      <c r="D8390" s="2" t="s">
        <v>10</v>
      </c>
      <c r="E8390" s="2" t="str">
        <f>HYPERLINK("http://ts.21cn.com/tousu/show/id/1339458","http://ts.21cn.com/tousu/show/id/1339458")</f>
        <v>http://ts.21cn.com/tousu/show/id/1339458</v>
      </c>
      <c r="F8390" s="2" t="s">
        <v>11</v>
      </c>
      <c r="G8390" s="2" t="s">
        <v>27664</v>
      </c>
      <c r="H8390" s="2" t="s">
        <v>27665</v>
      </c>
    </row>
    <row r="8391" spans="1:8" ht="25.05" customHeight="1" x14ac:dyDescent="0.25">
      <c r="A8391" s="2" t="s">
        <v>8</v>
      </c>
      <c r="B8391" s="2" t="str">
        <f>HYPERLINK("http://ts.21cn.com/tousu/show/id/1339459","雇佣不明身份人士对家人进行骚扰恐吓")</f>
        <v>雇佣不明身份人士对家人进行骚扰恐吓</v>
      </c>
      <c r="C8391" s="2" t="s">
        <v>9</v>
      </c>
      <c r="D8391" s="2" t="s">
        <v>10</v>
      </c>
      <c r="E8391" s="2" t="str">
        <f>HYPERLINK("http://ts.21cn.com/tousu/show/id/1339459","http://ts.21cn.com/tousu/show/id/1339459")</f>
        <v>http://ts.21cn.com/tousu/show/id/1339459</v>
      </c>
      <c r="F8391" s="2" t="s">
        <v>11</v>
      </c>
      <c r="G8391" s="2" t="s">
        <v>27662</v>
      </c>
      <c r="H8391" s="2" t="s">
        <v>27663</v>
      </c>
    </row>
    <row r="8392" spans="1:8" ht="25.05" customHeight="1" x14ac:dyDescent="0.25">
      <c r="A8392" s="2" t="s">
        <v>8</v>
      </c>
      <c r="B8392" s="2" t="str">
        <f>HYPERLINK("http://ts.21cn.com/tousu/show/id/1339460","招联")</f>
        <v>招联</v>
      </c>
      <c r="C8392" s="2" t="s">
        <v>9</v>
      </c>
      <c r="D8392" s="2" t="s">
        <v>10</v>
      </c>
      <c r="E8392" s="2" t="str">
        <f>HYPERLINK("http://ts.21cn.com/tousu/show/id/1339460","http://ts.21cn.com/tousu/show/id/1339460")</f>
        <v>http://ts.21cn.com/tousu/show/id/1339460</v>
      </c>
      <c r="F8392" s="2" t="s">
        <v>11</v>
      </c>
      <c r="G8392" s="2" t="s">
        <v>27660</v>
      </c>
      <c r="H8392" s="2" t="s">
        <v>27661</v>
      </c>
    </row>
    <row r="8393" spans="1:8" ht="25.05" customHeight="1" x14ac:dyDescent="0.25">
      <c r="A8393" s="2" t="s">
        <v>8</v>
      </c>
      <c r="B8393" s="2" t="str">
        <f>HYPERLINK("http://ts.21cn.com/tousu/show/id/1339462","投诉360借贷暴力催收，发恐吓短信")</f>
        <v>投诉360借贷暴力催收，发恐吓短信</v>
      </c>
      <c r="C8393" s="2" t="s">
        <v>9</v>
      </c>
      <c r="D8393" s="2" t="s">
        <v>10</v>
      </c>
      <c r="E8393" s="2" t="str">
        <f>HYPERLINK("http://ts.21cn.com/tousu/show/id/1339462","http://ts.21cn.com/tousu/show/id/1339462")</f>
        <v>http://ts.21cn.com/tousu/show/id/1339462</v>
      </c>
      <c r="F8393" s="2" t="s">
        <v>11</v>
      </c>
      <c r="G8393" s="2" t="s">
        <v>27658</v>
      </c>
      <c r="H8393" s="2" t="s">
        <v>27659</v>
      </c>
    </row>
    <row r="8394" spans="1:8" ht="25.05" customHeight="1" x14ac:dyDescent="0.25">
      <c r="A8394" s="2" t="s">
        <v>8</v>
      </c>
      <c r="B8394" s="2" t="str">
        <f>HYPERLINK("http://ts.21cn.com/tousu/show/id/1339463","不给开结清证明")</f>
        <v>不给开结清证明</v>
      </c>
      <c r="C8394" s="2" t="s">
        <v>34</v>
      </c>
      <c r="D8394" s="2" t="s">
        <v>10</v>
      </c>
      <c r="E8394" s="2" t="str">
        <f>HYPERLINK("http://ts.21cn.com/tousu/show/id/1339463","http://ts.21cn.com/tousu/show/id/1339463")</f>
        <v>http://ts.21cn.com/tousu/show/id/1339463</v>
      </c>
      <c r="F8394" s="2" t="s">
        <v>11</v>
      </c>
      <c r="G8394" s="2" t="s">
        <v>27656</v>
      </c>
      <c r="H8394" s="2" t="s">
        <v>27657</v>
      </c>
    </row>
    <row r="8395" spans="1:8" ht="25.05" customHeight="1" x14ac:dyDescent="0.25">
      <c r="A8395" s="2" t="s">
        <v>8</v>
      </c>
      <c r="B8395" s="2" t="str">
        <f>HYPERLINK("http://ts.21cn.com/tousu/show/id/1339464","盗刷私自扣款要求退款")</f>
        <v>盗刷私自扣款要求退款</v>
      </c>
      <c r="C8395" s="2" t="s">
        <v>9</v>
      </c>
      <c r="D8395" s="2" t="s">
        <v>10</v>
      </c>
      <c r="E8395" s="2" t="str">
        <f>HYPERLINK("http://ts.21cn.com/tousu/show/id/1339464","http://ts.21cn.com/tousu/show/id/1339464")</f>
        <v>http://ts.21cn.com/tousu/show/id/1339464</v>
      </c>
      <c r="F8395" s="2" t="s">
        <v>11</v>
      </c>
      <c r="G8395" s="2" t="s">
        <v>27654</v>
      </c>
      <c r="H8395" s="2" t="s">
        <v>27655</v>
      </c>
    </row>
    <row r="8396" spans="1:8" ht="25.05" customHeight="1" x14ac:dyDescent="0.25">
      <c r="A8396" s="2" t="s">
        <v>8</v>
      </c>
      <c r="B8396" s="2" t="str">
        <f>HYPERLINK("http://ts.21cn.com/tousu/show/id/1339465","立借平台钱置宝高利贷")</f>
        <v>立借平台钱置宝高利贷</v>
      </c>
      <c r="C8396" s="2" t="s">
        <v>9</v>
      </c>
      <c r="D8396" s="2" t="s">
        <v>10</v>
      </c>
      <c r="E8396" s="2" t="str">
        <f>HYPERLINK("http://ts.21cn.com/tousu/show/id/1339465","http://ts.21cn.com/tousu/show/id/1339465")</f>
        <v>http://ts.21cn.com/tousu/show/id/1339465</v>
      </c>
      <c r="F8396" s="2" t="s">
        <v>11</v>
      </c>
      <c r="G8396" s="2" t="s">
        <v>27652</v>
      </c>
      <c r="H8396" s="2" t="s">
        <v>27653</v>
      </c>
    </row>
    <row r="8397" spans="1:8" ht="25.05" customHeight="1" x14ac:dyDescent="0.25">
      <c r="A8397" s="2" t="s">
        <v>8</v>
      </c>
      <c r="B8397" s="2" t="str">
        <f>HYPERLINK("http://ts.21cn.com/tousu/show/id/1339466","暴力催收")</f>
        <v>暴力催收</v>
      </c>
      <c r="C8397" s="2" t="s">
        <v>9</v>
      </c>
      <c r="D8397" s="2" t="s">
        <v>10</v>
      </c>
      <c r="E8397" s="2" t="str">
        <f>HYPERLINK("http://ts.21cn.com/tousu/show/id/1339466","http://ts.21cn.com/tousu/show/id/1339466")</f>
        <v>http://ts.21cn.com/tousu/show/id/1339466</v>
      </c>
      <c r="F8397" s="2" t="s">
        <v>11</v>
      </c>
      <c r="G8397" s="2" t="s">
        <v>27650</v>
      </c>
      <c r="H8397" s="2" t="s">
        <v>27651</v>
      </c>
    </row>
    <row r="8398" spans="1:8" ht="25.05" customHeight="1" x14ac:dyDescent="0.25">
      <c r="A8398" s="2" t="s">
        <v>8</v>
      </c>
      <c r="B8398" s="2" t="str">
        <f>HYPERLINK("http://ts.21cn.com/tousu/show/id/1339467","银联为违规网站提供支付通道")</f>
        <v>银联为违规网站提供支付通道</v>
      </c>
      <c r="C8398" s="2" t="s">
        <v>9</v>
      </c>
      <c r="D8398" s="2" t="s">
        <v>10</v>
      </c>
      <c r="E8398" s="2" t="str">
        <f>HYPERLINK("http://ts.21cn.com/tousu/show/id/1339467","http://ts.21cn.com/tousu/show/id/1339467")</f>
        <v>http://ts.21cn.com/tousu/show/id/1339467</v>
      </c>
      <c r="F8398" s="2" t="s">
        <v>11</v>
      </c>
      <c r="G8398" s="2" t="s">
        <v>27648</v>
      </c>
      <c r="H8398" s="2" t="s">
        <v>27649</v>
      </c>
    </row>
    <row r="8399" spans="1:8" ht="25.05" customHeight="1" x14ac:dyDescent="0.25">
      <c r="A8399" s="2" t="s">
        <v>8</v>
      </c>
      <c r="B8399" s="2" t="str">
        <f>HYPERLINK("http://ts.21cn.com/tousu/show/id/1339468","浦发银行信用卡不处理不回复用户协商直接委托第三方催收")</f>
        <v>浦发银行信用卡不处理不回复用户协商直接委托第三方催收</v>
      </c>
      <c r="C8399" s="2" t="s">
        <v>9</v>
      </c>
      <c r="D8399" s="2" t="s">
        <v>10</v>
      </c>
      <c r="E8399" s="2" t="str">
        <f>HYPERLINK("http://ts.21cn.com/tousu/show/id/1339468","http://ts.21cn.com/tousu/show/id/1339468")</f>
        <v>http://ts.21cn.com/tousu/show/id/1339468</v>
      </c>
      <c r="F8399" s="2" t="s">
        <v>11</v>
      </c>
      <c r="G8399" s="2" t="s">
        <v>27646</v>
      </c>
      <c r="H8399" s="2" t="s">
        <v>27647</v>
      </c>
    </row>
    <row r="8400" spans="1:8" ht="25.05" customHeight="1" x14ac:dyDescent="0.25">
      <c r="A8400" s="2" t="s">
        <v>8</v>
      </c>
      <c r="B8400" s="2" t="str">
        <f>HYPERLINK("http://ts.21cn.com/tousu/show/id/1339469","！！闪电借款客服快联系我！！")</f>
        <v>！！闪电借款客服快联系我！！</v>
      </c>
      <c r="C8400" s="2" t="s">
        <v>9</v>
      </c>
      <c r="D8400" s="2" t="s">
        <v>10</v>
      </c>
      <c r="E8400" s="2" t="str">
        <f>HYPERLINK("http://ts.21cn.com/tousu/show/id/1339469","http://ts.21cn.com/tousu/show/id/1339469")</f>
        <v>http://ts.21cn.com/tousu/show/id/1339469</v>
      </c>
      <c r="F8400" s="2" t="s">
        <v>11</v>
      </c>
      <c r="G8400" s="2" t="s">
        <v>27644</v>
      </c>
      <c r="H8400" s="2" t="s">
        <v>27645</v>
      </c>
    </row>
    <row r="8401" spans="1:8" ht="25.05" customHeight="1" x14ac:dyDescent="0.25">
      <c r="A8401" s="2" t="s">
        <v>8</v>
      </c>
      <c r="B8401" s="2" t="str">
        <f>HYPERLINK("http://ts.21cn.com/tousu/show/id/1339470","因怀孕暂时无法还钱")</f>
        <v>因怀孕暂时无法还钱</v>
      </c>
      <c r="C8401" s="2" t="s">
        <v>9</v>
      </c>
      <c r="D8401" s="2" t="s">
        <v>10</v>
      </c>
      <c r="E8401" s="2" t="str">
        <f>HYPERLINK("http://ts.21cn.com/tousu/show/id/1339470","http://ts.21cn.com/tousu/show/id/1339470")</f>
        <v>http://ts.21cn.com/tousu/show/id/1339470</v>
      </c>
      <c r="F8401" s="2" t="s">
        <v>11</v>
      </c>
      <c r="G8401" s="2" t="s">
        <v>27642</v>
      </c>
      <c r="H8401" s="2" t="s">
        <v>27643</v>
      </c>
    </row>
    <row r="8402" spans="1:8" ht="25.05" customHeight="1" x14ac:dyDescent="0.25">
      <c r="A8402" s="2" t="s">
        <v>8</v>
      </c>
      <c r="B8402" s="2" t="str">
        <f>HYPERLINK("http://ts.21cn.com/tousu/show/id/1339471","白领金库（麦子金服）提前结清无减免")</f>
        <v>白领金库（麦子金服）提前结清无减免</v>
      </c>
      <c r="C8402" s="2" t="s">
        <v>34</v>
      </c>
      <c r="D8402" s="2" t="s">
        <v>10</v>
      </c>
      <c r="E8402" s="2" t="str">
        <f>HYPERLINK("http://ts.21cn.com/tousu/show/id/1339471","http://ts.21cn.com/tousu/show/id/1339471")</f>
        <v>http://ts.21cn.com/tousu/show/id/1339471</v>
      </c>
      <c r="F8402" s="2" t="s">
        <v>11</v>
      </c>
      <c r="G8402" s="2" t="s">
        <v>27640</v>
      </c>
      <c r="H8402" s="2" t="s">
        <v>27641</v>
      </c>
    </row>
    <row r="8403" spans="1:8" ht="25.05" customHeight="1" x14ac:dyDescent="0.25">
      <c r="A8403" s="2" t="s">
        <v>8</v>
      </c>
      <c r="B8403" s="2" t="str">
        <f>HYPERLINK("http://ts.21cn.com/tousu/show/id/1339472","爱白条高利贷")</f>
        <v>爱白条高利贷</v>
      </c>
      <c r="C8403" s="2" t="s">
        <v>9</v>
      </c>
      <c r="D8403" s="2" t="s">
        <v>10</v>
      </c>
      <c r="E8403" s="2" t="str">
        <f>HYPERLINK("http://ts.21cn.com/tousu/show/id/1339472","http://ts.21cn.com/tousu/show/id/1339472")</f>
        <v>http://ts.21cn.com/tousu/show/id/1339472</v>
      </c>
      <c r="F8403" s="2" t="s">
        <v>11</v>
      </c>
      <c r="G8403" s="2" t="s">
        <v>27638</v>
      </c>
      <c r="H8403" s="2" t="s">
        <v>27639</v>
      </c>
    </row>
    <row r="8404" spans="1:8" ht="25.05" customHeight="1" x14ac:dyDescent="0.25">
      <c r="A8404" s="2" t="s">
        <v>8</v>
      </c>
      <c r="B8404" s="2" t="str">
        <f>HYPERLINK("http://ts.21cn.com/tousu/show/id/1339473","国美美借逾期一天威胁恐吓催收")</f>
        <v>国美美借逾期一天威胁恐吓催收</v>
      </c>
      <c r="C8404" s="2" t="s">
        <v>9</v>
      </c>
      <c r="D8404" s="2" t="s">
        <v>10</v>
      </c>
      <c r="E8404" s="2" t="str">
        <f>HYPERLINK("http://ts.21cn.com/tousu/show/id/1339473","http://ts.21cn.com/tousu/show/id/1339473")</f>
        <v>http://ts.21cn.com/tousu/show/id/1339473</v>
      </c>
      <c r="F8404" s="2" t="s">
        <v>11</v>
      </c>
      <c r="G8404" s="2" t="s">
        <v>27636</v>
      </c>
      <c r="H8404" s="2" t="s">
        <v>27637</v>
      </c>
    </row>
    <row r="8405" spans="1:8" ht="25.05" customHeight="1" x14ac:dyDescent="0.25">
      <c r="A8405" s="2" t="s">
        <v>8</v>
      </c>
      <c r="B8405" s="2" t="str">
        <f>HYPERLINK("http://ts.21cn.com/tousu/show/id/1339475","钱站使用暴力催收恐吓男友亲朋好友")</f>
        <v>钱站使用暴力催收恐吓男友亲朋好友</v>
      </c>
      <c r="C8405" s="2" t="s">
        <v>9</v>
      </c>
      <c r="D8405" s="2" t="s">
        <v>10</v>
      </c>
      <c r="E8405" s="2" t="str">
        <f>HYPERLINK("http://ts.21cn.com/tousu/show/id/1339475","http://ts.21cn.com/tousu/show/id/1339475")</f>
        <v>http://ts.21cn.com/tousu/show/id/1339475</v>
      </c>
      <c r="F8405" s="2" t="s">
        <v>11</v>
      </c>
      <c r="G8405" s="2" t="s">
        <v>27634</v>
      </c>
      <c r="H8405" s="2" t="s">
        <v>27635</v>
      </c>
    </row>
    <row r="8406" spans="1:8" ht="25.05" customHeight="1" x14ac:dyDescent="0.25">
      <c r="A8406" s="2" t="s">
        <v>8</v>
      </c>
      <c r="B8406" s="2" t="str">
        <f>HYPERLINK("http://ts.21cn.com/tousu/show/id/1339474","招联金融泄露客户信息，擅自使用客户通讯录")</f>
        <v>招联金融泄露客户信息，擅自使用客户通讯录</v>
      </c>
      <c r="C8406" s="2" t="s">
        <v>9</v>
      </c>
      <c r="D8406" s="2" t="s">
        <v>10</v>
      </c>
      <c r="E8406" s="2" t="str">
        <f>HYPERLINK("http://ts.21cn.com/tousu/show/id/1339474","http://ts.21cn.com/tousu/show/id/1339474")</f>
        <v>http://ts.21cn.com/tousu/show/id/1339474</v>
      </c>
      <c r="F8406" s="2" t="s">
        <v>11</v>
      </c>
      <c r="G8406" s="2" t="s">
        <v>27632</v>
      </c>
      <c r="H8406" s="2" t="s">
        <v>27633</v>
      </c>
    </row>
    <row r="8407" spans="1:8" ht="25.05" customHeight="1" x14ac:dyDescent="0.25">
      <c r="A8407" s="2" t="s">
        <v>8</v>
      </c>
      <c r="B8407" s="2" t="str">
        <f>HYPERLINK("http://ts.21cn.com/tousu/show/id/1339477","美好分期套路贷暴力催收，轰炸我通讯录，威胁恐吓我家人辱骂我朋友")</f>
        <v>美好分期套路贷暴力催收，轰炸我通讯录，威胁恐吓我家人辱骂我朋友</v>
      </c>
      <c r="C8407" s="2" t="s">
        <v>9</v>
      </c>
      <c r="D8407" s="2" t="s">
        <v>10</v>
      </c>
      <c r="E8407" s="2" t="str">
        <f>HYPERLINK("http://ts.21cn.com/tousu/show/id/1339477","http://ts.21cn.com/tousu/show/id/1339477")</f>
        <v>http://ts.21cn.com/tousu/show/id/1339477</v>
      </c>
      <c r="F8407" s="2" t="s">
        <v>11</v>
      </c>
      <c r="G8407" s="2" t="s">
        <v>27629</v>
      </c>
      <c r="H8407" s="2" t="s">
        <v>27630</v>
      </c>
    </row>
    <row r="8408" spans="1:8" ht="25.05" customHeight="1" x14ac:dyDescent="0.25">
      <c r="A8408" s="2" t="s">
        <v>8</v>
      </c>
      <c r="B8408" s="2" t="str">
        <f>HYPERLINK("http://ts.21cn.com/tousu/show/id/1339476","马上消费金融高利贷，申请减免罚息，不同意，而且态度很恶劣")</f>
        <v>马上消费金融高利贷，申请减免罚息，不同意，而且态度很恶劣</v>
      </c>
      <c r="C8408" s="2" t="s">
        <v>9</v>
      </c>
      <c r="D8408" s="2" t="s">
        <v>10</v>
      </c>
      <c r="E8408" s="2" t="str">
        <f>HYPERLINK("http://ts.21cn.com/tousu/show/id/1339476","http://ts.21cn.com/tousu/show/id/1339476")</f>
        <v>http://ts.21cn.com/tousu/show/id/1339476</v>
      </c>
      <c r="F8408" s="2" t="s">
        <v>11</v>
      </c>
      <c r="G8408" s="2" t="s">
        <v>27629</v>
      </c>
      <c r="H8408" s="2" t="s">
        <v>27631</v>
      </c>
    </row>
    <row r="8409" spans="1:8" ht="25.05" customHeight="1" x14ac:dyDescent="0.25">
      <c r="A8409" s="2" t="s">
        <v>8</v>
      </c>
      <c r="B8409" s="2" t="str">
        <f>HYPERLINK("http://ts.21cn.com/tousu/show/id/1339478","强制扣费")</f>
        <v>强制扣费</v>
      </c>
      <c r="C8409" s="2" t="s">
        <v>9</v>
      </c>
      <c r="D8409" s="2" t="s">
        <v>10</v>
      </c>
      <c r="E8409" s="2" t="str">
        <f>HYPERLINK("http://ts.21cn.com/tousu/show/id/1339478","http://ts.21cn.com/tousu/show/id/1339478")</f>
        <v>http://ts.21cn.com/tousu/show/id/1339478</v>
      </c>
      <c r="F8409" s="2" t="s">
        <v>11</v>
      </c>
      <c r="G8409" s="2" t="s">
        <v>27627</v>
      </c>
      <c r="H8409" s="2" t="s">
        <v>27628</v>
      </c>
    </row>
    <row r="8410" spans="1:8" ht="25.05" customHeight="1" x14ac:dyDescent="0.25">
      <c r="A8410" s="2" t="s">
        <v>8</v>
      </c>
      <c r="B8410" s="2" t="str">
        <f>HYPERLINK("http://ts.21cn.com/tousu/show/id/1339480","高利贷砍头息")</f>
        <v>高利贷砍头息</v>
      </c>
      <c r="C8410" s="2" t="s">
        <v>9</v>
      </c>
      <c r="D8410" s="2" t="s">
        <v>10</v>
      </c>
      <c r="E8410" s="2" t="str">
        <f>HYPERLINK("http://ts.21cn.com/tousu/show/id/1339480","http://ts.21cn.com/tousu/show/id/1339480")</f>
        <v>http://ts.21cn.com/tousu/show/id/1339480</v>
      </c>
      <c r="F8410" s="2" t="s">
        <v>11</v>
      </c>
      <c r="G8410" s="2" t="s">
        <v>27625</v>
      </c>
      <c r="H8410" s="2" t="s">
        <v>27626</v>
      </c>
    </row>
    <row r="8411" spans="1:8" ht="25.05" customHeight="1" x14ac:dyDescent="0.25">
      <c r="A8411" s="2" t="s">
        <v>8</v>
      </c>
      <c r="B8411" s="2" t="str">
        <f>HYPERLINK("http://ts.21cn.com/tousu/show/id/1339484","月光侠砍头息高利贷")</f>
        <v>月光侠砍头息高利贷</v>
      </c>
      <c r="C8411" s="2" t="s">
        <v>9</v>
      </c>
      <c r="D8411" s="2" t="s">
        <v>10</v>
      </c>
      <c r="E8411" s="2" t="str">
        <f>HYPERLINK("http://ts.21cn.com/tousu/show/id/1339484","http://ts.21cn.com/tousu/show/id/1339484")</f>
        <v>http://ts.21cn.com/tousu/show/id/1339484</v>
      </c>
      <c r="F8411" s="2" t="s">
        <v>11</v>
      </c>
      <c r="G8411" s="2" t="s">
        <v>27623</v>
      </c>
      <c r="H8411" s="2" t="s">
        <v>27624</v>
      </c>
    </row>
    <row r="8412" spans="1:8" ht="25.05" customHeight="1" x14ac:dyDescent="0.25">
      <c r="A8412" s="2" t="s">
        <v>8</v>
      </c>
      <c r="B8412" s="2" t="str">
        <f>HYPERLINK("http://ts.21cn.com/tousu/show/id/1339483","交通银行行用卡催收态度恶劣")</f>
        <v>交通银行行用卡催收态度恶劣</v>
      </c>
      <c r="C8412" s="2" t="s">
        <v>9</v>
      </c>
      <c r="D8412" s="2" t="s">
        <v>10</v>
      </c>
      <c r="E8412" s="2" t="str">
        <f>HYPERLINK("http://ts.21cn.com/tousu/show/id/1339483","http://ts.21cn.com/tousu/show/id/1339483")</f>
        <v>http://ts.21cn.com/tousu/show/id/1339483</v>
      </c>
      <c r="F8412" s="2" t="s">
        <v>11</v>
      </c>
      <c r="G8412" s="2" t="s">
        <v>27621</v>
      </c>
      <c r="H8412" s="2" t="s">
        <v>27622</v>
      </c>
    </row>
    <row r="8413" spans="1:8" ht="25.05" customHeight="1" x14ac:dyDescent="0.25">
      <c r="A8413" s="2" t="s">
        <v>8</v>
      </c>
      <c r="B8413" s="2" t="str">
        <f>HYPERLINK("http://ts.21cn.com/tousu/show/id/1339485","马上金融高利贷")</f>
        <v>马上金融高利贷</v>
      </c>
      <c r="C8413" s="2" t="s">
        <v>9</v>
      </c>
      <c r="D8413" s="2" t="s">
        <v>10</v>
      </c>
      <c r="E8413" s="2" t="str">
        <f>HYPERLINK("http://ts.21cn.com/tousu/show/id/1339485","http://ts.21cn.com/tousu/show/id/1339485")</f>
        <v>http://ts.21cn.com/tousu/show/id/1339485</v>
      </c>
      <c r="F8413" s="2" t="s">
        <v>11</v>
      </c>
      <c r="G8413" s="2" t="s">
        <v>27619</v>
      </c>
      <c r="H8413" s="2" t="s">
        <v>27620</v>
      </c>
    </row>
    <row r="8414" spans="1:8" ht="25.05" customHeight="1" x14ac:dyDescent="0.25">
      <c r="A8414" s="2" t="s">
        <v>8</v>
      </c>
      <c r="B8414" s="2" t="str">
        <f>HYPERLINK("http://ts.21cn.com/tousu/show/id/1339486","高利息")</f>
        <v>高利息</v>
      </c>
      <c r="C8414" s="2" t="s">
        <v>34</v>
      </c>
      <c r="D8414" s="2" t="s">
        <v>10</v>
      </c>
      <c r="E8414" s="2" t="str">
        <f>HYPERLINK("http://ts.21cn.com/tousu/show/id/1339486","http://ts.21cn.com/tousu/show/id/1339486")</f>
        <v>http://ts.21cn.com/tousu/show/id/1339486</v>
      </c>
      <c r="F8414" s="2" t="s">
        <v>11</v>
      </c>
      <c r="G8414" s="2" t="s">
        <v>27617</v>
      </c>
      <c r="H8414" s="2" t="s">
        <v>27618</v>
      </c>
    </row>
    <row r="8415" spans="1:8" ht="25.05" customHeight="1" x14ac:dyDescent="0.25">
      <c r="A8415" s="2" t="s">
        <v>8</v>
      </c>
      <c r="B8415" s="2" t="str">
        <f>HYPERLINK("http://ts.21cn.com/tousu/show/id/1339487","淘宝网霸权处理对店铺进行处罚")</f>
        <v>淘宝网霸权处理对店铺进行处罚</v>
      </c>
      <c r="C8415" s="2" t="s">
        <v>9</v>
      </c>
      <c r="D8415" s="2" t="s">
        <v>10</v>
      </c>
      <c r="E8415" s="2" t="str">
        <f>HYPERLINK("http://ts.21cn.com/tousu/show/id/1339487","http://ts.21cn.com/tousu/show/id/1339487")</f>
        <v>http://ts.21cn.com/tousu/show/id/1339487</v>
      </c>
      <c r="F8415" s="2" t="s">
        <v>11</v>
      </c>
      <c r="G8415" s="2" t="s">
        <v>27615</v>
      </c>
      <c r="H8415" s="2" t="s">
        <v>27616</v>
      </c>
    </row>
    <row r="8416" spans="1:8" ht="25.05" customHeight="1" x14ac:dyDescent="0.25">
      <c r="A8416" s="2" t="s">
        <v>8</v>
      </c>
      <c r="B8416" s="2" t="str">
        <f>HYPERLINK("http://ts.21cn.com/tousu/show/id/1339488","受到了短信骚扰")</f>
        <v>受到了短信骚扰</v>
      </c>
      <c r="C8416" s="2" t="s">
        <v>9</v>
      </c>
      <c r="D8416" s="2" t="s">
        <v>10</v>
      </c>
      <c r="E8416" s="2" t="str">
        <f>HYPERLINK("http://ts.21cn.com/tousu/show/id/1339488","http://ts.21cn.com/tousu/show/id/1339488")</f>
        <v>http://ts.21cn.com/tousu/show/id/1339488</v>
      </c>
      <c r="F8416" s="2" t="s">
        <v>11</v>
      </c>
      <c r="G8416" s="2" t="s">
        <v>27613</v>
      </c>
      <c r="H8416" s="2" t="s">
        <v>27614</v>
      </c>
    </row>
    <row r="8417" spans="1:8" ht="25.05" customHeight="1" x14ac:dyDescent="0.25">
      <c r="A8417" s="2" t="s">
        <v>8</v>
      </c>
      <c r="B8417" s="2" t="str">
        <f>HYPERLINK("http://ts.21cn.com/tousu/show/id/1339489","月光侠暴力催收")</f>
        <v>月光侠暴力催收</v>
      </c>
      <c r="C8417" s="2" t="s">
        <v>9</v>
      </c>
      <c r="D8417" s="2" t="s">
        <v>10</v>
      </c>
      <c r="E8417" s="2" t="str">
        <f>HYPERLINK("http://ts.21cn.com/tousu/show/id/1339489","http://ts.21cn.com/tousu/show/id/1339489")</f>
        <v>http://ts.21cn.com/tousu/show/id/1339489</v>
      </c>
      <c r="F8417" s="2" t="s">
        <v>11</v>
      </c>
      <c r="G8417" s="2" t="s">
        <v>27611</v>
      </c>
      <c r="H8417" s="2" t="s">
        <v>27612</v>
      </c>
    </row>
    <row r="8418" spans="1:8" ht="25.05" customHeight="1" x14ac:dyDescent="0.25">
      <c r="A8418" s="2" t="s">
        <v>8</v>
      </c>
      <c r="B8418" s="2" t="str">
        <f>HYPERLINK("http://ts.21cn.com/tousu/show/id/1339490","美利车金融欺瞒消费者")</f>
        <v>美利车金融欺瞒消费者</v>
      </c>
      <c r="C8418" s="2" t="s">
        <v>9</v>
      </c>
      <c r="D8418" s="2" t="s">
        <v>10</v>
      </c>
      <c r="E8418" s="2" t="str">
        <f>HYPERLINK("http://ts.21cn.com/tousu/show/id/1339490","http://ts.21cn.com/tousu/show/id/1339490")</f>
        <v>http://ts.21cn.com/tousu/show/id/1339490</v>
      </c>
      <c r="F8418" s="2" t="s">
        <v>11</v>
      </c>
      <c r="G8418" s="2" t="s">
        <v>27609</v>
      </c>
      <c r="H8418" s="2" t="s">
        <v>27610</v>
      </c>
    </row>
    <row r="8419" spans="1:8" ht="25.05" customHeight="1" x14ac:dyDescent="0.25">
      <c r="A8419" s="2" t="s">
        <v>8</v>
      </c>
      <c r="B8419" s="2" t="str">
        <f>HYPERLINK("http://ts.21cn.com/tousu/show/id/1339492","霸王条款一直老赖")</f>
        <v>霸王条款一直老赖</v>
      </c>
      <c r="C8419" s="2" t="s">
        <v>9</v>
      </c>
      <c r="D8419" s="2" t="s">
        <v>10</v>
      </c>
      <c r="E8419" s="2" t="str">
        <f>HYPERLINK("http://ts.21cn.com/tousu/show/id/1339492","http://ts.21cn.com/tousu/show/id/1339492")</f>
        <v>http://ts.21cn.com/tousu/show/id/1339492</v>
      </c>
      <c r="F8419" s="2" t="s">
        <v>11</v>
      </c>
      <c r="G8419" s="2" t="s">
        <v>27607</v>
      </c>
      <c r="H8419" s="2" t="s">
        <v>27608</v>
      </c>
    </row>
    <row r="8420" spans="1:8" ht="25.05" customHeight="1" x14ac:dyDescent="0.25">
      <c r="A8420" s="2" t="s">
        <v>8</v>
      </c>
      <c r="B8420" s="2" t="str">
        <f>HYPERLINK("http://ts.21cn.com/tousu/show/id/1339493","电话骚扰")</f>
        <v>电话骚扰</v>
      </c>
      <c r="C8420" s="2" t="s">
        <v>9</v>
      </c>
      <c r="D8420" s="2" t="s">
        <v>10</v>
      </c>
      <c r="E8420" s="2" t="str">
        <f>HYPERLINK("http://ts.21cn.com/tousu/show/id/1339493","http://ts.21cn.com/tousu/show/id/1339493")</f>
        <v>http://ts.21cn.com/tousu/show/id/1339493</v>
      </c>
      <c r="F8420" s="2" t="s">
        <v>11</v>
      </c>
      <c r="G8420" s="2" t="s">
        <v>27605</v>
      </c>
      <c r="H8420" s="2" t="s">
        <v>27606</v>
      </c>
    </row>
    <row r="8421" spans="1:8" ht="25.05" customHeight="1" x14ac:dyDescent="0.25">
      <c r="A8421" s="2" t="s">
        <v>8</v>
      </c>
      <c r="B8421" s="2" t="str">
        <f>HYPERLINK("http://ts.21cn.com/tousu/show/id/1339494","砍头息，阴阳合同")</f>
        <v>砍头息，阴阳合同</v>
      </c>
      <c r="C8421" s="2" t="s">
        <v>9</v>
      </c>
      <c r="D8421" s="2" t="s">
        <v>10</v>
      </c>
      <c r="E8421" s="2" t="str">
        <f>HYPERLINK("http://ts.21cn.com/tousu/show/id/1339494","http://ts.21cn.com/tousu/show/id/1339494")</f>
        <v>http://ts.21cn.com/tousu/show/id/1339494</v>
      </c>
      <c r="F8421" s="2" t="s">
        <v>11</v>
      </c>
      <c r="G8421" s="2" t="s">
        <v>27602</v>
      </c>
      <c r="H8421" s="2" t="s">
        <v>27603</v>
      </c>
    </row>
    <row r="8422" spans="1:8" ht="25.05" customHeight="1" x14ac:dyDescent="0.25">
      <c r="A8422" s="2" t="s">
        <v>8</v>
      </c>
      <c r="B8422" s="2" t="str">
        <f>HYPERLINK("http://ts.21cn.com/tousu/show/id/1339495","马上金融电话骚扰")</f>
        <v>马上金融电话骚扰</v>
      </c>
      <c r="C8422" s="2" t="s">
        <v>9</v>
      </c>
      <c r="D8422" s="2" t="s">
        <v>10</v>
      </c>
      <c r="E8422" s="2" t="str">
        <f>HYPERLINK("http://ts.21cn.com/tousu/show/id/1339495","http://ts.21cn.com/tousu/show/id/1339495")</f>
        <v>http://ts.21cn.com/tousu/show/id/1339495</v>
      </c>
      <c r="F8422" s="2" t="s">
        <v>11</v>
      </c>
      <c r="G8422" s="2" t="s">
        <v>27602</v>
      </c>
      <c r="H8422" s="2" t="s">
        <v>27604</v>
      </c>
    </row>
    <row r="8423" spans="1:8" ht="25.05" customHeight="1" x14ac:dyDescent="0.25">
      <c r="A8423" s="2" t="s">
        <v>8</v>
      </c>
      <c r="B8423" s="2" t="str">
        <f>HYPERLINK("http://ts.21cn.com/tousu/show/id/1339496","有间钱庄无法还款导致逾期")</f>
        <v>有间钱庄无法还款导致逾期</v>
      </c>
      <c r="C8423" s="2" t="s">
        <v>34</v>
      </c>
      <c r="D8423" s="2" t="s">
        <v>10</v>
      </c>
      <c r="E8423" s="2" t="str">
        <f>HYPERLINK("http://ts.21cn.com/tousu/show/id/1339496","http://ts.21cn.com/tousu/show/id/1339496")</f>
        <v>http://ts.21cn.com/tousu/show/id/1339496</v>
      </c>
      <c r="F8423" s="2" t="s">
        <v>11</v>
      </c>
      <c r="G8423" s="2" t="s">
        <v>27600</v>
      </c>
      <c r="H8423" s="2" t="s">
        <v>27601</v>
      </c>
    </row>
    <row r="8424" spans="1:8" ht="25.05" customHeight="1" x14ac:dyDescent="0.25">
      <c r="A8424" s="2" t="s">
        <v>8</v>
      </c>
      <c r="B8424" s="2" t="str">
        <f>HYPERLINK("http://ts.21cn.com/tousu/show/id/1339497","交通银行骚扰恐吓")</f>
        <v>交通银行骚扰恐吓</v>
      </c>
      <c r="C8424" s="2" t="s">
        <v>9</v>
      </c>
      <c r="D8424" s="2" t="s">
        <v>10</v>
      </c>
      <c r="E8424" s="2" t="str">
        <f>HYPERLINK("http://ts.21cn.com/tousu/show/id/1339497","http://ts.21cn.com/tousu/show/id/1339497")</f>
        <v>http://ts.21cn.com/tousu/show/id/1339497</v>
      </c>
      <c r="F8424" s="2" t="s">
        <v>11</v>
      </c>
      <c r="G8424" s="2" t="s">
        <v>27598</v>
      </c>
      <c r="H8424" s="2" t="s">
        <v>27599</v>
      </c>
    </row>
    <row r="8425" spans="1:8" ht="25.05" customHeight="1" x14ac:dyDescent="0.25">
      <c r="A8425" s="2" t="s">
        <v>8</v>
      </c>
      <c r="B8425" s="2" t="str">
        <f>HYPERLINK("http://ts.21cn.com/tousu/show/id/1339498","火影帮高利贷")</f>
        <v>火影帮高利贷</v>
      </c>
      <c r="C8425" s="2" t="s">
        <v>9</v>
      </c>
      <c r="D8425" s="2" t="s">
        <v>10</v>
      </c>
      <c r="E8425" s="2" t="str">
        <f>HYPERLINK("http://ts.21cn.com/tousu/show/id/1339498","http://ts.21cn.com/tousu/show/id/1339498")</f>
        <v>http://ts.21cn.com/tousu/show/id/1339498</v>
      </c>
      <c r="F8425" s="2" t="s">
        <v>11</v>
      </c>
      <c r="G8425" s="2" t="s">
        <v>27596</v>
      </c>
      <c r="H8425" s="2" t="s">
        <v>27597</v>
      </c>
    </row>
    <row r="8426" spans="1:8" ht="25.05" customHeight="1" x14ac:dyDescent="0.25">
      <c r="A8426" s="2" t="s">
        <v>8</v>
      </c>
      <c r="B8426" s="2" t="str">
        <f>HYPERLINK("http://ts.21cn.com/tousu/show/id/1339500","有钱用平台恶意催收与本人无关的人员")</f>
        <v>有钱用平台恶意催收与本人无关的人员</v>
      </c>
      <c r="C8426" s="2" t="s">
        <v>9</v>
      </c>
      <c r="D8426" s="2" t="s">
        <v>10</v>
      </c>
      <c r="E8426" s="2" t="str">
        <f>HYPERLINK("http://ts.21cn.com/tousu/show/id/1339500","http://ts.21cn.com/tousu/show/id/1339500")</f>
        <v>http://ts.21cn.com/tousu/show/id/1339500</v>
      </c>
      <c r="F8426" s="2" t="s">
        <v>11</v>
      </c>
      <c r="G8426" s="2" t="s">
        <v>27594</v>
      </c>
      <c r="H8426" s="2" t="s">
        <v>27595</v>
      </c>
    </row>
    <row r="8427" spans="1:8" ht="25.05" customHeight="1" x14ac:dyDescent="0.25">
      <c r="A8427" s="2" t="s">
        <v>8</v>
      </c>
      <c r="B8427" s="2" t="str">
        <f>HYPERLINK("http://ts.21cn.com/tousu/show/id/1339501","畅捷支付为神马借高利贷提供支付服务")</f>
        <v>畅捷支付为神马借高利贷提供支付服务</v>
      </c>
      <c r="C8427" s="2" t="s">
        <v>9</v>
      </c>
      <c r="D8427" s="2" t="s">
        <v>10</v>
      </c>
      <c r="E8427" s="2" t="str">
        <f>HYPERLINK("http://ts.21cn.com/tousu/show/id/1339501","http://ts.21cn.com/tousu/show/id/1339501")</f>
        <v>http://ts.21cn.com/tousu/show/id/1339501</v>
      </c>
      <c r="F8427" s="2" t="s">
        <v>11</v>
      </c>
      <c r="G8427" s="2" t="s">
        <v>27592</v>
      </c>
      <c r="H8427" s="2" t="s">
        <v>27593</v>
      </c>
    </row>
    <row r="8428" spans="1:8" ht="25.05" customHeight="1" x14ac:dyDescent="0.25">
      <c r="A8428" s="2" t="s">
        <v>8</v>
      </c>
      <c r="B8428" s="2" t="str">
        <f>HYPERLINK("http://ts.21cn.com/tousu/show/id/1339503","退租")</f>
        <v>退租</v>
      </c>
      <c r="C8428" s="2" t="s">
        <v>9</v>
      </c>
      <c r="D8428" s="2" t="s">
        <v>10</v>
      </c>
      <c r="E8428" s="2" t="str">
        <f>HYPERLINK("http://ts.21cn.com/tousu/show/id/1339503","http://ts.21cn.com/tousu/show/id/1339503")</f>
        <v>http://ts.21cn.com/tousu/show/id/1339503</v>
      </c>
      <c r="F8428" s="2" t="s">
        <v>11</v>
      </c>
      <c r="G8428" s="2" t="s">
        <v>27590</v>
      </c>
      <c r="H8428" s="2" t="s">
        <v>27591</v>
      </c>
    </row>
    <row r="8429" spans="1:8" ht="25.05" customHeight="1" x14ac:dyDescent="0.25">
      <c r="A8429" s="2" t="s">
        <v>8</v>
      </c>
      <c r="B8429" s="2" t="str">
        <f>HYPERLINK("http://ts.21cn.com/tousu/show/id/1339502","套路退钱")</f>
        <v>套路退钱</v>
      </c>
      <c r="C8429" s="2" t="s">
        <v>34</v>
      </c>
      <c r="D8429" s="2" t="s">
        <v>10</v>
      </c>
      <c r="E8429" s="2" t="str">
        <f>HYPERLINK("http://ts.21cn.com/tousu/show/id/1339502","http://ts.21cn.com/tousu/show/id/1339502")</f>
        <v>http://ts.21cn.com/tousu/show/id/1339502</v>
      </c>
      <c r="F8429" s="2" t="s">
        <v>11</v>
      </c>
      <c r="G8429" s="2" t="s">
        <v>27588</v>
      </c>
      <c r="H8429" s="2" t="s">
        <v>27589</v>
      </c>
    </row>
    <row r="8430" spans="1:8" ht="25.05" customHeight="1" x14ac:dyDescent="0.25">
      <c r="A8430" s="2" t="s">
        <v>8</v>
      </c>
      <c r="B8430" s="2" t="str">
        <f>HYPERLINK("http://ts.21cn.com/tousu/show/id/1339504","贷上钱以买游戏豆为由收取高额贷款通过费")</f>
        <v>贷上钱以买游戏豆为由收取高额贷款通过费</v>
      </c>
      <c r="C8430" s="2" t="s">
        <v>34</v>
      </c>
      <c r="D8430" s="2" t="s">
        <v>10</v>
      </c>
      <c r="E8430" s="2" t="str">
        <f>HYPERLINK("http://ts.21cn.com/tousu/show/id/1339504","http://ts.21cn.com/tousu/show/id/1339504")</f>
        <v>http://ts.21cn.com/tousu/show/id/1339504</v>
      </c>
      <c r="F8430" s="2" t="s">
        <v>11</v>
      </c>
      <c r="G8430" s="2" t="s">
        <v>27586</v>
      </c>
      <c r="H8430" s="2" t="s">
        <v>27587</v>
      </c>
    </row>
    <row r="8431" spans="1:8" ht="25.05" customHeight="1" x14ac:dyDescent="0.25">
      <c r="A8431" s="2" t="s">
        <v>8</v>
      </c>
      <c r="B8431" s="2" t="str">
        <f>HYPERLINK("http://ts.21cn.com/tousu/show/id/1339505","交通银行恐吓催收")</f>
        <v>交通银行恐吓催收</v>
      </c>
      <c r="C8431" s="2" t="s">
        <v>9</v>
      </c>
      <c r="D8431" s="2" t="s">
        <v>10</v>
      </c>
      <c r="E8431" s="2" t="str">
        <f>HYPERLINK("http://ts.21cn.com/tousu/show/id/1339505","http://ts.21cn.com/tousu/show/id/1339505")</f>
        <v>http://ts.21cn.com/tousu/show/id/1339505</v>
      </c>
      <c r="F8431" s="2" t="s">
        <v>11</v>
      </c>
      <c r="G8431" s="2" t="s">
        <v>27584</v>
      </c>
      <c r="H8431" s="2" t="s">
        <v>27585</v>
      </c>
    </row>
    <row r="8432" spans="1:8" ht="25.05" customHeight="1" x14ac:dyDescent="0.25">
      <c r="A8432" s="2" t="s">
        <v>8</v>
      </c>
      <c r="B8432" s="2" t="str">
        <f>HYPERLINK("http://ts.21cn.com/tousu/show/id/1339507","立借平台违规导流高利贷砍头息严重")</f>
        <v>立借平台违规导流高利贷砍头息严重</v>
      </c>
      <c r="C8432" s="2" t="s">
        <v>9</v>
      </c>
      <c r="D8432" s="2" t="s">
        <v>10</v>
      </c>
      <c r="E8432" s="2" t="str">
        <f>HYPERLINK("http://ts.21cn.com/tousu/show/id/1339507","http://ts.21cn.com/tousu/show/id/1339507")</f>
        <v>http://ts.21cn.com/tousu/show/id/1339507</v>
      </c>
      <c r="F8432" s="2" t="s">
        <v>11</v>
      </c>
      <c r="G8432" s="2" t="s">
        <v>27582</v>
      </c>
      <c r="H8432" s="2" t="s">
        <v>27583</v>
      </c>
    </row>
    <row r="8433" spans="1:8" ht="25.05" customHeight="1" x14ac:dyDescent="0.25">
      <c r="A8433" s="2" t="s">
        <v>8</v>
      </c>
      <c r="B8433" s="2" t="str">
        <f>HYPERLINK("http://ts.21cn.com/tousu/show/id/1339508","特约中智盗刷银行卡无故扣款")</f>
        <v>特约中智盗刷银行卡无故扣款</v>
      </c>
      <c r="C8433" s="2" t="s">
        <v>9</v>
      </c>
      <c r="D8433" s="2" t="s">
        <v>10</v>
      </c>
      <c r="E8433" s="2" t="str">
        <f>HYPERLINK("http://ts.21cn.com/tousu/show/id/1339508","http://ts.21cn.com/tousu/show/id/1339508")</f>
        <v>http://ts.21cn.com/tousu/show/id/1339508</v>
      </c>
      <c r="F8433" s="2" t="s">
        <v>11</v>
      </c>
      <c r="G8433" s="2" t="s">
        <v>27580</v>
      </c>
      <c r="H8433" s="2" t="s">
        <v>27581</v>
      </c>
    </row>
    <row r="8434" spans="1:8" ht="25.05" customHeight="1" x14ac:dyDescent="0.25">
      <c r="A8434" s="2" t="s">
        <v>8</v>
      </c>
      <c r="B8434" s="2" t="str">
        <f>HYPERLINK("http://ts.21cn.com/tousu/show/id/1339509","百事普惠恶意扣款")</f>
        <v>百事普惠恶意扣款</v>
      </c>
      <c r="C8434" s="2" t="s">
        <v>9</v>
      </c>
      <c r="D8434" s="2" t="s">
        <v>10</v>
      </c>
      <c r="E8434" s="2" t="str">
        <f>HYPERLINK("http://ts.21cn.com/tousu/show/id/1339509","http://ts.21cn.com/tousu/show/id/1339509")</f>
        <v>http://ts.21cn.com/tousu/show/id/1339509</v>
      </c>
      <c r="F8434" s="2" t="s">
        <v>11</v>
      </c>
      <c r="G8434" s="2" t="s">
        <v>27578</v>
      </c>
      <c r="H8434" s="2" t="s">
        <v>27579</v>
      </c>
    </row>
    <row r="8435" spans="1:8" ht="25.05" customHeight="1" x14ac:dyDescent="0.25">
      <c r="A8435" s="2" t="s">
        <v>8</v>
      </c>
      <c r="B8435" s="2" t="str">
        <f>HYPERLINK("http://ts.21cn.com/tousu/show/id/1339510","714高炮平台砍头息，暴力催收")</f>
        <v>714高炮平台砍头息，暴力催收</v>
      </c>
      <c r="C8435" s="2" t="s">
        <v>9</v>
      </c>
      <c r="D8435" s="2" t="s">
        <v>10</v>
      </c>
      <c r="E8435" s="2" t="str">
        <f>HYPERLINK("http://ts.21cn.com/tousu/show/id/1339510","http://ts.21cn.com/tousu/show/id/1339510")</f>
        <v>http://ts.21cn.com/tousu/show/id/1339510</v>
      </c>
      <c r="F8435" s="2" t="s">
        <v>11</v>
      </c>
      <c r="G8435" s="2" t="s">
        <v>27576</v>
      </c>
      <c r="H8435" s="2" t="s">
        <v>27577</v>
      </c>
    </row>
    <row r="8436" spans="1:8" ht="25.05" customHeight="1" x14ac:dyDescent="0.25">
      <c r="A8436" s="2" t="s">
        <v>8</v>
      </c>
      <c r="B8436" s="2" t="str">
        <f>HYPERLINK("http://ts.21cn.com/tousu/show/id/1339511","花钱开通会员根本买不到票")</f>
        <v>花钱开通会员根本买不到票</v>
      </c>
      <c r="C8436" s="2" t="s">
        <v>34</v>
      </c>
      <c r="D8436" s="2" t="s">
        <v>10</v>
      </c>
      <c r="E8436" s="2" t="str">
        <f>HYPERLINK("http://ts.21cn.com/tousu/show/id/1339511","http://ts.21cn.com/tousu/show/id/1339511")</f>
        <v>http://ts.21cn.com/tousu/show/id/1339511</v>
      </c>
      <c r="F8436" s="2" t="s">
        <v>11</v>
      </c>
      <c r="G8436" s="2" t="s">
        <v>27574</v>
      </c>
      <c r="H8436" s="2" t="s">
        <v>27575</v>
      </c>
    </row>
    <row r="8437" spans="1:8" ht="25.05" customHeight="1" x14ac:dyDescent="0.25">
      <c r="A8437" s="2" t="s">
        <v>8</v>
      </c>
      <c r="B8437" s="2" t="str">
        <f>HYPERLINK("http://ts.21cn.com/tousu/show/id/1339512","充值了198到账401非要说我是非法代充")</f>
        <v>充值了198到账401非要说我是非法代充</v>
      </c>
      <c r="C8437" s="2" t="s">
        <v>9</v>
      </c>
      <c r="D8437" s="2" t="s">
        <v>10</v>
      </c>
      <c r="E8437" s="2" t="str">
        <f>HYPERLINK("http://ts.21cn.com/tousu/show/id/1339512","http://ts.21cn.com/tousu/show/id/1339512")</f>
        <v>http://ts.21cn.com/tousu/show/id/1339512</v>
      </c>
      <c r="F8437" s="2" t="s">
        <v>11</v>
      </c>
      <c r="G8437" s="2" t="s">
        <v>27572</v>
      </c>
      <c r="H8437" s="2" t="s">
        <v>27573</v>
      </c>
    </row>
    <row r="8438" spans="1:8" ht="25.05" customHeight="1" x14ac:dyDescent="0.25">
      <c r="A8438" s="2" t="s">
        <v>8</v>
      </c>
      <c r="B8438" s="2" t="str">
        <f>HYPERLINK("http://ts.21cn.com/tousu/show/id/1339513","我没用过易宝支付为什么会扣我银行卡的钱")</f>
        <v>我没用过易宝支付为什么会扣我银行卡的钱</v>
      </c>
      <c r="C8438" s="2" t="s">
        <v>34</v>
      </c>
      <c r="D8438" s="2" t="s">
        <v>10</v>
      </c>
      <c r="E8438" s="2" t="str">
        <f>HYPERLINK("http://ts.21cn.com/tousu/show/id/1339513","http://ts.21cn.com/tousu/show/id/1339513")</f>
        <v>http://ts.21cn.com/tousu/show/id/1339513</v>
      </c>
      <c r="F8438" s="2" t="s">
        <v>11</v>
      </c>
      <c r="G8438" s="2" t="s">
        <v>27570</v>
      </c>
      <c r="H8438" s="2" t="s">
        <v>27571</v>
      </c>
    </row>
    <row r="8439" spans="1:8" ht="25.05" customHeight="1" x14ac:dyDescent="0.25">
      <c r="A8439" s="2" t="s">
        <v>8</v>
      </c>
      <c r="B8439" s="2" t="str">
        <f>HYPERLINK("http://ts.21cn.com/tousu/show/id/1339514","借贷宝纵容高利贷放贷")</f>
        <v>借贷宝纵容高利贷放贷</v>
      </c>
      <c r="C8439" s="2" t="s">
        <v>9</v>
      </c>
      <c r="D8439" s="2" t="s">
        <v>10</v>
      </c>
      <c r="E8439" s="2" t="str">
        <f>HYPERLINK("http://ts.21cn.com/tousu/show/id/1339514","http://ts.21cn.com/tousu/show/id/1339514")</f>
        <v>http://ts.21cn.com/tousu/show/id/1339514</v>
      </c>
      <c r="F8439" s="2" t="s">
        <v>11</v>
      </c>
      <c r="G8439" s="2" t="s">
        <v>27568</v>
      </c>
      <c r="H8439" s="2" t="s">
        <v>27569</v>
      </c>
    </row>
    <row r="8440" spans="1:8" ht="25.05" customHeight="1" x14ac:dyDescent="0.25">
      <c r="A8440" s="2" t="s">
        <v>8</v>
      </c>
      <c r="B8440" s="2" t="str">
        <f>HYPERLINK("http://ts.21cn.com/tousu/show/id/1339515","爱又米利息超国家标准")</f>
        <v>爱又米利息超国家标准</v>
      </c>
      <c r="C8440" s="2" t="s">
        <v>9</v>
      </c>
      <c r="D8440" s="2" t="s">
        <v>10</v>
      </c>
      <c r="E8440" s="2" t="str">
        <f>HYPERLINK("http://ts.21cn.com/tousu/show/id/1339515","http://ts.21cn.com/tousu/show/id/1339515")</f>
        <v>http://ts.21cn.com/tousu/show/id/1339515</v>
      </c>
      <c r="F8440" s="2" t="s">
        <v>11</v>
      </c>
      <c r="G8440" s="2" t="s">
        <v>27566</v>
      </c>
      <c r="H8440" s="2" t="s">
        <v>27567</v>
      </c>
    </row>
    <row r="8441" spans="1:8" ht="25.05" customHeight="1" x14ac:dyDescent="0.25">
      <c r="A8441" s="2" t="s">
        <v>8</v>
      </c>
      <c r="B8441" s="2" t="str">
        <f>HYPERLINK("http://ts.21cn.com/tousu/show/id/1339516","贷上钱以买游戏豆为由收取高额贷款通过费")</f>
        <v>贷上钱以买游戏豆为由收取高额贷款通过费</v>
      </c>
      <c r="C8441" s="2" t="s">
        <v>9</v>
      </c>
      <c r="D8441" s="2" t="s">
        <v>10</v>
      </c>
      <c r="E8441" s="2" t="str">
        <f>HYPERLINK("http://ts.21cn.com/tousu/show/id/1339516","http://ts.21cn.com/tousu/show/id/1339516")</f>
        <v>http://ts.21cn.com/tousu/show/id/1339516</v>
      </c>
      <c r="F8441" s="2" t="s">
        <v>11</v>
      </c>
      <c r="G8441" s="2" t="s">
        <v>27564</v>
      </c>
      <c r="H8441" s="2" t="s">
        <v>27565</v>
      </c>
    </row>
    <row r="8442" spans="1:8" ht="25.05" customHeight="1" x14ac:dyDescent="0.25">
      <c r="A8442" s="2" t="s">
        <v>8</v>
      </c>
      <c r="B8442" s="2" t="str">
        <f>HYPERLINK("http://ts.21cn.com/tousu/show/id/1339517","洋钱罐平台存在高利息骚扰通讯录违法问题")</f>
        <v>洋钱罐平台存在高利息骚扰通讯录违法问题</v>
      </c>
      <c r="C8442" s="2" t="s">
        <v>9</v>
      </c>
      <c r="D8442" s="2" t="s">
        <v>10</v>
      </c>
      <c r="E8442" s="2" t="str">
        <f>HYPERLINK("http://ts.21cn.com/tousu/show/id/1339517","http://ts.21cn.com/tousu/show/id/1339517")</f>
        <v>http://ts.21cn.com/tousu/show/id/1339517</v>
      </c>
      <c r="F8442" s="2" t="s">
        <v>11</v>
      </c>
      <c r="G8442" s="2" t="s">
        <v>27562</v>
      </c>
      <c r="H8442" s="2" t="s">
        <v>27563</v>
      </c>
    </row>
    <row r="8443" spans="1:8" ht="25.05" customHeight="1" x14ac:dyDescent="0.25">
      <c r="A8443" s="2" t="s">
        <v>8</v>
      </c>
      <c r="B8443" s="2" t="str">
        <f>HYPERLINK("http://ts.21cn.com/tousu/show/id/1339518","网贷公司暴力催收，违法高额利息")</f>
        <v>网贷公司暴力催收，违法高额利息</v>
      </c>
      <c r="C8443" s="2" t="s">
        <v>9</v>
      </c>
      <c r="D8443" s="2" t="s">
        <v>10</v>
      </c>
      <c r="E8443" s="2" t="str">
        <f>HYPERLINK("http://ts.21cn.com/tousu/show/id/1339518","http://ts.21cn.com/tousu/show/id/1339518")</f>
        <v>http://ts.21cn.com/tousu/show/id/1339518</v>
      </c>
      <c r="F8443" s="2" t="s">
        <v>11</v>
      </c>
      <c r="G8443" s="2" t="s">
        <v>27560</v>
      </c>
      <c r="H8443" s="2" t="s">
        <v>27561</v>
      </c>
    </row>
    <row r="8444" spans="1:8" ht="25.05" customHeight="1" x14ac:dyDescent="0.25">
      <c r="A8444" s="2" t="s">
        <v>8</v>
      </c>
      <c r="B8444" s="2" t="str">
        <f>HYPERLINK("http://ts.21cn.com/tousu/show/id/1339519","高利贷")</f>
        <v>高利贷</v>
      </c>
      <c r="C8444" s="2" t="s">
        <v>9</v>
      </c>
      <c r="D8444" s="2" t="s">
        <v>10</v>
      </c>
      <c r="E8444" s="2" t="str">
        <f>HYPERLINK("http://ts.21cn.com/tousu/show/id/1339519","http://ts.21cn.com/tousu/show/id/1339519")</f>
        <v>http://ts.21cn.com/tousu/show/id/1339519</v>
      </c>
      <c r="F8444" s="2" t="s">
        <v>11</v>
      </c>
      <c r="G8444" s="2" t="s">
        <v>27558</v>
      </c>
      <c r="H8444" s="2" t="s">
        <v>27559</v>
      </c>
    </row>
    <row r="8445" spans="1:8" ht="25.05" customHeight="1" x14ac:dyDescent="0.25">
      <c r="A8445" s="2" t="s">
        <v>8</v>
      </c>
      <c r="B8445" s="2" t="str">
        <f>HYPERLINK("http://ts.21cn.com/tousu/show/id/1339522","学历提升前后不一")</f>
        <v>学历提升前后不一</v>
      </c>
      <c r="C8445" s="2" t="s">
        <v>34</v>
      </c>
      <c r="D8445" s="2" t="s">
        <v>10</v>
      </c>
      <c r="E8445" s="2" t="str">
        <f>HYPERLINK("http://ts.21cn.com/tousu/show/id/1339522","http://ts.21cn.com/tousu/show/id/1339522")</f>
        <v>http://ts.21cn.com/tousu/show/id/1339522</v>
      </c>
      <c r="F8445" s="2" t="s">
        <v>11</v>
      </c>
      <c r="G8445" s="2" t="s">
        <v>27555</v>
      </c>
      <c r="H8445" s="2" t="s">
        <v>27556</v>
      </c>
    </row>
    <row r="8446" spans="1:8" ht="25.05" customHeight="1" x14ac:dyDescent="0.25">
      <c r="A8446" s="2" t="s">
        <v>8</v>
      </c>
      <c r="B8446" s="2" t="str">
        <f>HYPERLINK("http://ts.21cn.com/tousu/show/id/1339520","360借条继续爆我通讯录")</f>
        <v>360借条继续爆我通讯录</v>
      </c>
      <c r="C8446" s="2" t="s">
        <v>34</v>
      </c>
      <c r="D8446" s="2" t="s">
        <v>10</v>
      </c>
      <c r="E8446" s="2" t="str">
        <f>HYPERLINK("http://ts.21cn.com/tousu/show/id/1339520","http://ts.21cn.com/tousu/show/id/1339520")</f>
        <v>http://ts.21cn.com/tousu/show/id/1339520</v>
      </c>
      <c r="F8446" s="2" t="s">
        <v>11</v>
      </c>
      <c r="G8446" s="2" t="s">
        <v>27555</v>
      </c>
      <c r="H8446" s="2" t="s">
        <v>27557</v>
      </c>
    </row>
    <row r="8447" spans="1:8" ht="25.05" customHeight="1" x14ac:dyDescent="0.25">
      <c r="A8447" s="2" t="s">
        <v>8</v>
      </c>
      <c r="B8447" s="2" t="str">
        <f>HYPERLINK("http://ts.21cn.com/tousu/show/id/1339521","没有收到还款电话提示，导致信用卡逾期，征信有不良。")</f>
        <v>没有收到还款电话提示，导致信用卡逾期，征信有不良。</v>
      </c>
      <c r="C8447" s="2" t="s">
        <v>9</v>
      </c>
      <c r="D8447" s="2" t="s">
        <v>10</v>
      </c>
      <c r="E8447" s="2" t="str">
        <f>HYPERLINK("http://ts.21cn.com/tousu/show/id/1339521","http://ts.21cn.com/tousu/show/id/1339521")</f>
        <v>http://ts.21cn.com/tousu/show/id/1339521</v>
      </c>
      <c r="F8447" s="2" t="s">
        <v>11</v>
      </c>
      <c r="G8447" s="2" t="s">
        <v>27553</v>
      </c>
      <c r="H8447" s="2" t="s">
        <v>27554</v>
      </c>
    </row>
    <row r="8448" spans="1:8" ht="25.05" customHeight="1" x14ac:dyDescent="0.25">
      <c r="A8448" s="2" t="s">
        <v>8</v>
      </c>
      <c r="B8448" s="2" t="str">
        <f>HYPERLINK("http://ts.21cn.com/tousu/show/id/1339523","暴力催收威胁恐吓")</f>
        <v>暴力催收威胁恐吓</v>
      </c>
      <c r="C8448" s="2" t="s">
        <v>9</v>
      </c>
      <c r="D8448" s="2" t="s">
        <v>10</v>
      </c>
      <c r="E8448" s="2" t="str">
        <f>HYPERLINK("http://ts.21cn.com/tousu/show/id/1339523","http://ts.21cn.com/tousu/show/id/1339523")</f>
        <v>http://ts.21cn.com/tousu/show/id/1339523</v>
      </c>
      <c r="F8448" s="2" t="s">
        <v>11</v>
      </c>
      <c r="G8448" s="2" t="s">
        <v>27551</v>
      </c>
      <c r="H8448" s="2" t="s">
        <v>27552</v>
      </c>
    </row>
    <row r="8449" spans="1:8" ht="25.05" customHeight="1" x14ac:dyDescent="0.25">
      <c r="A8449" s="2" t="s">
        <v>8</v>
      </c>
      <c r="B8449" s="2" t="str">
        <f>HYPERLINK("http://ts.21cn.com/tousu/show/id/1339526","信用管家91买呗高利贷套路砍头息")</f>
        <v>信用管家91买呗高利贷套路砍头息</v>
      </c>
      <c r="C8449" s="2" t="s">
        <v>9</v>
      </c>
      <c r="D8449" s="2" t="s">
        <v>10</v>
      </c>
      <c r="E8449" s="2" t="str">
        <f>HYPERLINK("http://ts.21cn.com/tousu/show/id/1339526","http://ts.21cn.com/tousu/show/id/1339526")</f>
        <v>http://ts.21cn.com/tousu/show/id/1339526</v>
      </c>
      <c r="F8449" s="2" t="s">
        <v>11</v>
      </c>
      <c r="G8449" s="2" t="s">
        <v>27549</v>
      </c>
      <c r="H8449" s="2" t="s">
        <v>27550</v>
      </c>
    </row>
    <row r="8450" spans="1:8" ht="25.05" customHeight="1" x14ac:dyDescent="0.25">
      <c r="A8450" s="2" t="s">
        <v>8</v>
      </c>
      <c r="B8450" s="2" t="str">
        <f>HYPERLINK("http://ts.21cn.com/tousu/show/id/1339527","买了黑卡，不予下款")</f>
        <v>买了黑卡，不予下款</v>
      </c>
      <c r="C8450" s="2" t="s">
        <v>34</v>
      </c>
      <c r="D8450" s="2" t="s">
        <v>10</v>
      </c>
      <c r="E8450" s="2" t="str">
        <f>HYPERLINK("http://ts.21cn.com/tousu/show/id/1339527","http://ts.21cn.com/tousu/show/id/1339527")</f>
        <v>http://ts.21cn.com/tousu/show/id/1339527</v>
      </c>
      <c r="F8450" s="2" t="s">
        <v>11</v>
      </c>
      <c r="G8450" s="2" t="s">
        <v>27547</v>
      </c>
      <c r="H8450" s="2" t="s">
        <v>27548</v>
      </c>
    </row>
    <row r="8451" spans="1:8" ht="25.05" customHeight="1" x14ac:dyDescent="0.25">
      <c r="A8451" s="2" t="s">
        <v>8</v>
      </c>
      <c r="B8451" s="2" t="str">
        <f>HYPERLINK("http://ts.21cn.com/tousu/show/id/1339528","诱导欺诈")</f>
        <v>诱导欺诈</v>
      </c>
      <c r="C8451" s="2" t="s">
        <v>9</v>
      </c>
      <c r="D8451" s="2" t="s">
        <v>10</v>
      </c>
      <c r="E8451" s="2" t="str">
        <f>HYPERLINK("http://ts.21cn.com/tousu/show/id/1339528","http://ts.21cn.com/tousu/show/id/1339528")</f>
        <v>http://ts.21cn.com/tousu/show/id/1339528</v>
      </c>
      <c r="F8451" s="2" t="s">
        <v>11</v>
      </c>
      <c r="G8451" s="2" t="s">
        <v>27545</v>
      </c>
      <c r="H8451" s="2" t="s">
        <v>27546</v>
      </c>
    </row>
    <row r="8452" spans="1:8" ht="25.05" customHeight="1" x14ac:dyDescent="0.25">
      <c r="A8452" s="2" t="s">
        <v>8</v>
      </c>
      <c r="B8452" s="2" t="str">
        <f>HYPERLINK("http://ts.21cn.com/tousu/show/id/1339529","贷上钱暴力催收")</f>
        <v>贷上钱暴力催收</v>
      </c>
      <c r="C8452" s="2" t="s">
        <v>9</v>
      </c>
      <c r="D8452" s="2" t="s">
        <v>10</v>
      </c>
      <c r="E8452" s="2" t="str">
        <f>HYPERLINK("http://ts.21cn.com/tousu/show/id/1339529","http://ts.21cn.com/tousu/show/id/1339529")</f>
        <v>http://ts.21cn.com/tousu/show/id/1339529</v>
      </c>
      <c r="F8452" s="2" t="s">
        <v>11</v>
      </c>
      <c r="G8452" s="2" t="s">
        <v>27543</v>
      </c>
      <c r="H8452" s="2" t="s">
        <v>27544</v>
      </c>
    </row>
    <row r="8453" spans="1:8" ht="25.05" customHeight="1" x14ac:dyDescent="0.25">
      <c r="A8453" s="2" t="s">
        <v>8</v>
      </c>
      <c r="B8453" s="2" t="str">
        <f>HYPERLINK("http://ts.21cn.com/tousu/show/id/1339531","退款")</f>
        <v>退款</v>
      </c>
      <c r="C8453" s="2" t="s">
        <v>9</v>
      </c>
      <c r="D8453" s="2" t="s">
        <v>10</v>
      </c>
      <c r="E8453" s="2" t="str">
        <f>HYPERLINK("http://ts.21cn.com/tousu/show/id/1339531","http://ts.21cn.com/tousu/show/id/1339531")</f>
        <v>http://ts.21cn.com/tousu/show/id/1339531</v>
      </c>
      <c r="F8453" s="2" t="s">
        <v>11</v>
      </c>
      <c r="G8453" s="2" t="s">
        <v>27541</v>
      </c>
      <c r="H8453" s="2" t="s">
        <v>27542</v>
      </c>
    </row>
    <row r="8454" spans="1:8" ht="25.05" customHeight="1" x14ac:dyDescent="0.25">
      <c r="A8454" s="2" t="s">
        <v>8</v>
      </c>
      <c r="B8454" s="2" t="str">
        <f>HYPERLINK("http://ts.21cn.com/tousu/show/id/1339532","自由魔卡六便士")</f>
        <v>自由魔卡六便士</v>
      </c>
      <c r="C8454" s="2" t="s">
        <v>34</v>
      </c>
      <c r="D8454" s="2" t="s">
        <v>10</v>
      </c>
      <c r="E8454" s="2" t="str">
        <f>HYPERLINK("http://ts.21cn.com/tousu/show/id/1339532","http://ts.21cn.com/tousu/show/id/1339532")</f>
        <v>http://ts.21cn.com/tousu/show/id/1339532</v>
      </c>
      <c r="F8454" s="2" t="s">
        <v>11</v>
      </c>
      <c r="G8454" s="2" t="s">
        <v>27539</v>
      </c>
      <c r="H8454" s="2" t="s">
        <v>27540</v>
      </c>
    </row>
    <row r="8455" spans="1:8" ht="25.05" customHeight="1" x14ac:dyDescent="0.25">
      <c r="A8455" s="2" t="s">
        <v>8</v>
      </c>
      <c r="B8455" s="2" t="str">
        <f>HYPERLINK("http://ts.21cn.com/tousu/show/id/1339533","捷信消费金融公司侵害用户权益")</f>
        <v>捷信消费金融公司侵害用户权益</v>
      </c>
      <c r="C8455" s="2" t="s">
        <v>9</v>
      </c>
      <c r="D8455" s="2" t="s">
        <v>10</v>
      </c>
      <c r="E8455" s="2" t="str">
        <f>HYPERLINK("http://ts.21cn.com/tousu/show/id/1339533","http://ts.21cn.com/tousu/show/id/1339533")</f>
        <v>http://ts.21cn.com/tousu/show/id/1339533</v>
      </c>
      <c r="F8455" s="2" t="s">
        <v>11</v>
      </c>
      <c r="G8455" s="2" t="s">
        <v>27537</v>
      </c>
      <c r="H8455" s="2" t="s">
        <v>27538</v>
      </c>
    </row>
    <row r="8456" spans="1:8" ht="25.05" customHeight="1" x14ac:dyDescent="0.25">
      <c r="A8456" s="2" t="s">
        <v>8</v>
      </c>
      <c r="B8456" s="2" t="str">
        <f>HYPERLINK("http://ts.21cn.com/tousu/show/id/1339536","小浦优客未经同意私自扣款")</f>
        <v>小浦优客未经同意私自扣款</v>
      </c>
      <c r="C8456" s="2" t="s">
        <v>9</v>
      </c>
      <c r="D8456" s="2" t="s">
        <v>10</v>
      </c>
      <c r="E8456" s="2" t="str">
        <f>HYPERLINK("http://ts.21cn.com/tousu/show/id/1339536","http://ts.21cn.com/tousu/show/id/1339536")</f>
        <v>http://ts.21cn.com/tousu/show/id/1339536</v>
      </c>
      <c r="F8456" s="2" t="s">
        <v>11</v>
      </c>
      <c r="G8456" s="2" t="s">
        <v>27534</v>
      </c>
      <c r="H8456" s="2" t="s">
        <v>27535</v>
      </c>
    </row>
    <row r="8457" spans="1:8" ht="25.05" customHeight="1" x14ac:dyDescent="0.25">
      <c r="A8457" s="2" t="s">
        <v>8</v>
      </c>
      <c r="B8457" s="2" t="str">
        <f>HYPERLINK("http://ts.21cn.com/tousu/show/id/1339535","小鱼池，今借到，米条联盟为高利贷提供渠道")</f>
        <v>小鱼池，今借到，米条联盟为高利贷提供渠道</v>
      </c>
      <c r="C8457" s="2" t="s">
        <v>9</v>
      </c>
      <c r="D8457" s="2" t="s">
        <v>10</v>
      </c>
      <c r="E8457" s="2" t="str">
        <f>HYPERLINK("http://ts.21cn.com/tousu/show/id/1339535","http://ts.21cn.com/tousu/show/id/1339535")</f>
        <v>http://ts.21cn.com/tousu/show/id/1339535</v>
      </c>
      <c r="F8457" s="2" t="s">
        <v>11</v>
      </c>
      <c r="G8457" s="2" t="s">
        <v>27534</v>
      </c>
      <c r="H8457" s="2" t="s">
        <v>27536</v>
      </c>
    </row>
    <row r="8458" spans="1:8" ht="25.05" customHeight="1" x14ac:dyDescent="0.25">
      <c r="A8458" s="2" t="s">
        <v>8</v>
      </c>
      <c r="B8458" s="2" t="str">
        <f>HYPERLINK("http://ts.21cn.com/tousu/show/id/1339538","钱站协商还款")</f>
        <v>钱站协商还款</v>
      </c>
      <c r="C8458" s="2" t="s">
        <v>9</v>
      </c>
      <c r="D8458" s="2" t="s">
        <v>10</v>
      </c>
      <c r="E8458" s="2" t="str">
        <f>HYPERLINK("http://ts.21cn.com/tousu/show/id/1339538","http://ts.21cn.com/tousu/show/id/1339538")</f>
        <v>http://ts.21cn.com/tousu/show/id/1339538</v>
      </c>
      <c r="F8458" s="2" t="s">
        <v>11</v>
      </c>
      <c r="G8458" s="2" t="s">
        <v>27532</v>
      </c>
      <c r="H8458" s="2" t="s">
        <v>27533</v>
      </c>
    </row>
    <row r="8459" spans="1:8" ht="25.05" customHeight="1" x14ac:dyDescent="0.25">
      <c r="A8459" s="2" t="s">
        <v>8</v>
      </c>
      <c r="B8459" s="2" t="str">
        <f>HYPERLINK("http://ts.21cn.com/tousu/show/id/1339537","砍头息暴力催收威胁恐吓")</f>
        <v>砍头息暴力催收威胁恐吓</v>
      </c>
      <c r="C8459" s="2" t="s">
        <v>9</v>
      </c>
      <c r="D8459" s="2" t="s">
        <v>10</v>
      </c>
      <c r="E8459" s="2" t="str">
        <f>HYPERLINK("http://ts.21cn.com/tousu/show/id/1339537","http://ts.21cn.com/tousu/show/id/1339537")</f>
        <v>http://ts.21cn.com/tousu/show/id/1339537</v>
      </c>
      <c r="F8459" s="2" t="s">
        <v>11</v>
      </c>
      <c r="G8459" s="2" t="s">
        <v>27530</v>
      </c>
      <c r="H8459" s="2" t="s">
        <v>27531</v>
      </c>
    </row>
    <row r="8460" spans="1:8" ht="25.05" customHeight="1" x14ac:dyDescent="0.25">
      <c r="A8460" s="2" t="s">
        <v>8</v>
      </c>
      <c r="B8460" s="2" t="str">
        <f>HYPERLINK("http://ts.21cn.com/tousu/show/id/1339539","下发不实短信形成骚扰")</f>
        <v>下发不实短信形成骚扰</v>
      </c>
      <c r="C8460" s="2" t="s">
        <v>9</v>
      </c>
      <c r="D8460" s="2" t="s">
        <v>10</v>
      </c>
      <c r="E8460" s="2" t="str">
        <f>HYPERLINK("http://ts.21cn.com/tousu/show/id/1339539","http://ts.21cn.com/tousu/show/id/1339539")</f>
        <v>http://ts.21cn.com/tousu/show/id/1339539</v>
      </c>
      <c r="F8460" s="2" t="s">
        <v>11</v>
      </c>
      <c r="G8460" s="2" t="s">
        <v>27528</v>
      </c>
      <c r="H8460" s="2" t="s">
        <v>27529</v>
      </c>
    </row>
    <row r="8461" spans="1:8" ht="25.05" customHeight="1" x14ac:dyDescent="0.25">
      <c r="A8461" s="2" t="s">
        <v>8</v>
      </c>
      <c r="B8461" s="2" t="str">
        <f>HYPERLINK("http://ts.21cn.com/tousu/show/id/1339454","在退款期限内，没有退款")</f>
        <v>在退款期限内，没有退款</v>
      </c>
      <c r="C8461" s="2" t="s">
        <v>34</v>
      </c>
      <c r="D8461" s="2" t="s">
        <v>10</v>
      </c>
      <c r="E8461" s="2" t="str">
        <f>HYPERLINK("http://ts.21cn.com/tousu/show/id/1339454","http://ts.21cn.com/tousu/show/id/1339454")</f>
        <v>http://ts.21cn.com/tousu/show/id/1339454</v>
      </c>
      <c r="F8461" s="2" t="s">
        <v>11</v>
      </c>
      <c r="G8461" s="2" t="s">
        <v>27526</v>
      </c>
      <c r="H8461" s="2" t="s">
        <v>27527</v>
      </c>
    </row>
    <row r="8462" spans="1:8" ht="25.05" customHeight="1" x14ac:dyDescent="0.25">
      <c r="A8462" s="2" t="s">
        <v>8</v>
      </c>
      <c r="B8462" s="2" t="str">
        <f>HYPERLINK("http://ts.21cn.com/tousu/show/id/1339541","有钱不扣导致被逾期")</f>
        <v>有钱不扣导致被逾期</v>
      </c>
      <c r="C8462" s="2" t="s">
        <v>34</v>
      </c>
      <c r="D8462" s="2" t="s">
        <v>10</v>
      </c>
      <c r="E8462" s="2" t="str">
        <f>HYPERLINK("http://ts.21cn.com/tousu/show/id/1339541","http://ts.21cn.com/tousu/show/id/1339541")</f>
        <v>http://ts.21cn.com/tousu/show/id/1339541</v>
      </c>
      <c r="F8462" s="2" t="s">
        <v>11</v>
      </c>
      <c r="G8462" s="2" t="s">
        <v>27524</v>
      </c>
      <c r="H8462" s="2" t="s">
        <v>27525</v>
      </c>
    </row>
    <row r="8463" spans="1:8" ht="25.05" customHeight="1" x14ac:dyDescent="0.25">
      <c r="A8463" s="2" t="s">
        <v>8</v>
      </c>
      <c r="B8463" s="2" t="str">
        <f>HYPERLINK("http://ts.21cn.com/tousu/show/id/1339545","光大银行信用卡第三方催收")</f>
        <v>光大银行信用卡第三方催收</v>
      </c>
      <c r="C8463" s="2" t="s">
        <v>9</v>
      </c>
      <c r="D8463" s="2" t="s">
        <v>10</v>
      </c>
      <c r="E8463" s="2" t="str">
        <f>HYPERLINK("http://ts.21cn.com/tousu/show/id/1339545","http://ts.21cn.com/tousu/show/id/1339545")</f>
        <v>http://ts.21cn.com/tousu/show/id/1339545</v>
      </c>
      <c r="F8463" s="2" t="s">
        <v>11</v>
      </c>
      <c r="G8463" s="2" t="s">
        <v>27522</v>
      </c>
      <c r="H8463" s="2" t="s">
        <v>27523</v>
      </c>
    </row>
    <row r="8464" spans="1:8" ht="25.05" customHeight="1" x14ac:dyDescent="0.25">
      <c r="A8464" s="2" t="s">
        <v>8</v>
      </c>
      <c r="B8464" s="2" t="str">
        <f>HYPERLINK("http://ts.21cn.com/tousu/show/id/1339542","巴士现金砍头息暴利逾期费")</f>
        <v>巴士现金砍头息暴利逾期费</v>
      </c>
      <c r="C8464" s="2" t="s">
        <v>9</v>
      </c>
      <c r="D8464" s="2" t="s">
        <v>10</v>
      </c>
      <c r="E8464" s="2" t="str">
        <f>HYPERLINK("http://ts.21cn.com/tousu/show/id/1339542","http://ts.21cn.com/tousu/show/id/1339542")</f>
        <v>http://ts.21cn.com/tousu/show/id/1339542</v>
      </c>
      <c r="F8464" s="2" t="s">
        <v>11</v>
      </c>
      <c r="G8464" s="2" t="s">
        <v>27520</v>
      </c>
      <c r="H8464" s="2" t="s">
        <v>27521</v>
      </c>
    </row>
    <row r="8465" spans="1:8" ht="25.05" customHeight="1" x14ac:dyDescent="0.25">
      <c r="A8465" s="2" t="s">
        <v>8</v>
      </c>
      <c r="B8465" s="2" t="str">
        <f>HYPERLINK("http://ts.21cn.com/tousu/show/id/1339543","滴滴平台恶意加价，支付金额与订单前的金额相差巨大。赤裸裸的欺负客户")</f>
        <v>滴滴平台恶意加价，支付金额与订单前的金额相差巨大。赤裸裸的欺负客户</v>
      </c>
      <c r="C8465" s="2" t="s">
        <v>9</v>
      </c>
      <c r="D8465" s="2" t="s">
        <v>10</v>
      </c>
      <c r="E8465" s="2" t="str">
        <f>HYPERLINK("http://ts.21cn.com/tousu/show/id/1339543","http://ts.21cn.com/tousu/show/id/1339543")</f>
        <v>http://ts.21cn.com/tousu/show/id/1339543</v>
      </c>
      <c r="F8465" s="2" t="s">
        <v>11</v>
      </c>
      <c r="G8465" s="2" t="s">
        <v>27518</v>
      </c>
      <c r="H8465" s="2" t="s">
        <v>27519</v>
      </c>
    </row>
    <row r="8466" spans="1:8" ht="25.05" customHeight="1" x14ac:dyDescent="0.25">
      <c r="A8466" s="2" t="s">
        <v>8</v>
      </c>
      <c r="B8466" s="2" t="str">
        <f>HYPERLINK("http://ts.21cn.com/tousu/show/id/1339544","暴力催收，爆通讯录")</f>
        <v>暴力催收，爆通讯录</v>
      </c>
      <c r="C8466" s="2" t="s">
        <v>9</v>
      </c>
      <c r="D8466" s="2" t="s">
        <v>10</v>
      </c>
      <c r="E8466" s="2" t="str">
        <f>HYPERLINK("http://ts.21cn.com/tousu/show/id/1339544","http://ts.21cn.com/tousu/show/id/1339544")</f>
        <v>http://ts.21cn.com/tousu/show/id/1339544</v>
      </c>
      <c r="F8466" s="2" t="s">
        <v>11</v>
      </c>
      <c r="G8466" s="2" t="s">
        <v>27516</v>
      </c>
      <c r="H8466" s="2" t="s">
        <v>27517</v>
      </c>
    </row>
    <row r="8467" spans="1:8" ht="25.05" customHeight="1" x14ac:dyDescent="0.25">
      <c r="A8467" s="2" t="s">
        <v>8</v>
      </c>
      <c r="B8467" s="2" t="str">
        <f>HYPERLINK("http://ts.21cn.com/tousu/show/id/1339546","上海宝付公司无故扣款")</f>
        <v>上海宝付公司无故扣款</v>
      </c>
      <c r="C8467" s="2" t="s">
        <v>34</v>
      </c>
      <c r="D8467" s="2" t="s">
        <v>10</v>
      </c>
      <c r="E8467" s="2" t="str">
        <f>HYPERLINK("http://ts.21cn.com/tousu/show/id/1339546","http://ts.21cn.com/tousu/show/id/1339546")</f>
        <v>http://ts.21cn.com/tousu/show/id/1339546</v>
      </c>
      <c r="F8467" s="2" t="s">
        <v>11</v>
      </c>
      <c r="G8467" s="2" t="s">
        <v>27514</v>
      </c>
      <c r="H8467" s="2" t="s">
        <v>27515</v>
      </c>
    </row>
    <row r="8468" spans="1:8" ht="25.05" customHeight="1" x14ac:dyDescent="0.25">
      <c r="A8468" s="2" t="s">
        <v>8</v>
      </c>
      <c r="B8468" s="2" t="str">
        <f>HYPERLINK("http://ts.21cn.com/tousu/show/id/1339547","钱站高利贷")</f>
        <v>钱站高利贷</v>
      </c>
      <c r="C8468" s="2" t="s">
        <v>9</v>
      </c>
      <c r="D8468" s="2" t="s">
        <v>10</v>
      </c>
      <c r="E8468" s="2" t="str">
        <f>HYPERLINK("http://ts.21cn.com/tousu/show/id/1339547","http://ts.21cn.com/tousu/show/id/1339547")</f>
        <v>http://ts.21cn.com/tousu/show/id/1339547</v>
      </c>
      <c r="F8468" s="2" t="s">
        <v>11</v>
      </c>
      <c r="G8468" s="2" t="s">
        <v>27512</v>
      </c>
      <c r="H8468" s="2" t="s">
        <v>27513</v>
      </c>
    </row>
    <row r="8469" spans="1:8" ht="25.05" customHeight="1" x14ac:dyDescent="0.25">
      <c r="A8469" s="2" t="s">
        <v>8</v>
      </c>
      <c r="B8469" s="2" t="str">
        <f>HYPERLINK("http://ts.21cn.com/tousu/show/id/1339540","平台不退款")</f>
        <v>平台不退款</v>
      </c>
      <c r="C8469" s="2" t="s">
        <v>9</v>
      </c>
      <c r="D8469" s="2" t="s">
        <v>10</v>
      </c>
      <c r="E8469" s="2" t="str">
        <f>HYPERLINK("http://ts.21cn.com/tousu/show/id/1339540","http://ts.21cn.com/tousu/show/id/1339540")</f>
        <v>http://ts.21cn.com/tousu/show/id/1339540</v>
      </c>
      <c r="F8469" s="2" t="s">
        <v>11</v>
      </c>
      <c r="G8469" s="2" t="s">
        <v>27510</v>
      </c>
      <c r="H8469" s="2" t="s">
        <v>27511</v>
      </c>
    </row>
    <row r="8470" spans="1:8" ht="25.05" customHeight="1" x14ac:dyDescent="0.25">
      <c r="A8470" s="2" t="s">
        <v>8</v>
      </c>
      <c r="B8470" s="2" t="str">
        <f>HYPERLINK("http://ts.21cn.com/tousu/show/id/1339548","点点通恶意骚扰暴力催收")</f>
        <v>点点通恶意骚扰暴力催收</v>
      </c>
      <c r="C8470" s="2" t="s">
        <v>9</v>
      </c>
      <c r="D8470" s="2" t="s">
        <v>10</v>
      </c>
      <c r="E8470" s="2" t="str">
        <f>HYPERLINK("http://ts.21cn.com/tousu/show/id/1339548","http://ts.21cn.com/tousu/show/id/1339548")</f>
        <v>http://ts.21cn.com/tousu/show/id/1339548</v>
      </c>
      <c r="F8470" s="2" t="s">
        <v>11</v>
      </c>
      <c r="G8470" s="2" t="s">
        <v>27508</v>
      </c>
      <c r="H8470" s="2" t="s">
        <v>27509</v>
      </c>
    </row>
    <row r="8471" spans="1:8" ht="25.05" customHeight="1" x14ac:dyDescent="0.25">
      <c r="A8471" s="2" t="s">
        <v>8</v>
      </c>
      <c r="B8471" s="2" t="str">
        <f>HYPERLINK("http://ts.21cn.com/tousu/show/id/1339506","在没有经过本人同意下私自扣款")</f>
        <v>在没有经过本人同意下私自扣款</v>
      </c>
      <c r="C8471" s="2" t="s">
        <v>9</v>
      </c>
      <c r="D8471" s="2" t="s">
        <v>10</v>
      </c>
      <c r="E8471" s="2" t="str">
        <f>HYPERLINK("http://ts.21cn.com/tousu/show/id/1339506","http://ts.21cn.com/tousu/show/id/1339506")</f>
        <v>http://ts.21cn.com/tousu/show/id/1339506</v>
      </c>
      <c r="F8471" s="2" t="s">
        <v>11</v>
      </c>
      <c r="G8471" s="2" t="s">
        <v>27506</v>
      </c>
      <c r="H8471" s="2" t="s">
        <v>27507</v>
      </c>
    </row>
    <row r="8472" spans="1:8" ht="25.05" customHeight="1" x14ac:dyDescent="0.25">
      <c r="A8472" s="2" t="s">
        <v>8</v>
      </c>
      <c r="B8472" s="2" t="str">
        <f>HYPERLINK("http://ts.21cn.com/tousu/show/id/1339550","骚扰我通讯录亲戚朋友")</f>
        <v>骚扰我通讯录亲戚朋友</v>
      </c>
      <c r="C8472" s="2" t="s">
        <v>9</v>
      </c>
      <c r="D8472" s="2" t="s">
        <v>10</v>
      </c>
      <c r="E8472" s="2" t="str">
        <f>HYPERLINK("http://ts.21cn.com/tousu/show/id/1339550","http://ts.21cn.com/tousu/show/id/1339550")</f>
        <v>http://ts.21cn.com/tousu/show/id/1339550</v>
      </c>
      <c r="F8472" s="2" t="s">
        <v>11</v>
      </c>
      <c r="G8472" s="2" t="s">
        <v>27504</v>
      </c>
      <c r="H8472" s="2" t="s">
        <v>27505</v>
      </c>
    </row>
    <row r="8473" spans="1:8" ht="25.05" customHeight="1" x14ac:dyDescent="0.25">
      <c r="A8473" s="2" t="s">
        <v>8</v>
      </c>
      <c r="B8473" s="2" t="str">
        <f>HYPERLINK("http://ts.21cn.com/tousu/show/id/1339551","网易云音乐商城购买耳机有问题，客服懒散，耳机是坏的")</f>
        <v>网易云音乐商城购买耳机有问题，客服懒散，耳机是坏的</v>
      </c>
      <c r="C8473" s="2" t="s">
        <v>9</v>
      </c>
      <c r="D8473" s="2" t="s">
        <v>10</v>
      </c>
      <c r="E8473" s="2" t="str">
        <f>HYPERLINK("http://ts.21cn.com/tousu/show/id/1339551","http://ts.21cn.com/tousu/show/id/1339551")</f>
        <v>http://ts.21cn.com/tousu/show/id/1339551</v>
      </c>
      <c r="F8473" s="2" t="s">
        <v>11</v>
      </c>
      <c r="G8473" s="2" t="s">
        <v>27502</v>
      </c>
      <c r="H8473" s="2" t="s">
        <v>27503</v>
      </c>
    </row>
    <row r="8474" spans="1:8" ht="25.05" customHeight="1" x14ac:dyDescent="0.25">
      <c r="A8474" s="2" t="s">
        <v>8</v>
      </c>
      <c r="B8474" s="2" t="str">
        <f>HYPERLINK("http://ts.21cn.com/tousu/show/id/1339552","星河国际领航商务诱导消费")</f>
        <v>星河国际领航商务诱导消费</v>
      </c>
      <c r="C8474" s="2" t="s">
        <v>9</v>
      </c>
      <c r="D8474" s="2" t="s">
        <v>10</v>
      </c>
      <c r="E8474" s="2" t="str">
        <f>HYPERLINK("http://ts.21cn.com/tousu/show/id/1339552","http://ts.21cn.com/tousu/show/id/1339552")</f>
        <v>http://ts.21cn.com/tousu/show/id/1339552</v>
      </c>
      <c r="F8474" s="2" t="s">
        <v>11</v>
      </c>
      <c r="G8474" s="2" t="s">
        <v>27500</v>
      </c>
      <c r="H8474" s="2" t="s">
        <v>27501</v>
      </c>
    </row>
    <row r="8475" spans="1:8" ht="25.05" customHeight="1" x14ac:dyDescent="0.25">
      <c r="A8475" s="2" t="s">
        <v>8</v>
      </c>
      <c r="B8475" s="2" t="str">
        <f>HYPERLINK("http://ts.21cn.com/tousu/show/id/1339553","撤销滴滴出行分")</f>
        <v>撤销滴滴出行分</v>
      </c>
      <c r="C8475" s="2" t="s">
        <v>34</v>
      </c>
      <c r="D8475" s="2" t="s">
        <v>10</v>
      </c>
      <c r="E8475" s="2" t="str">
        <f>HYPERLINK("http://ts.21cn.com/tousu/show/id/1339553","http://ts.21cn.com/tousu/show/id/1339553")</f>
        <v>http://ts.21cn.com/tousu/show/id/1339553</v>
      </c>
      <c r="F8475" s="2" t="s">
        <v>11</v>
      </c>
      <c r="G8475" s="2" t="s">
        <v>27498</v>
      </c>
      <c r="H8475" s="2" t="s">
        <v>27499</v>
      </c>
    </row>
    <row r="8476" spans="1:8" ht="25.05" customHeight="1" x14ac:dyDescent="0.25">
      <c r="A8476" s="2" t="s">
        <v>8</v>
      </c>
      <c r="B8476" s="2" t="str">
        <f>HYPERLINK("http://ts.21cn.com/tousu/show/id/1339554","闪银砍头息")</f>
        <v>闪银砍头息</v>
      </c>
      <c r="C8476" s="2" t="s">
        <v>9</v>
      </c>
      <c r="D8476" s="2" t="s">
        <v>10</v>
      </c>
      <c r="E8476" s="2" t="str">
        <f>HYPERLINK("http://ts.21cn.com/tousu/show/id/1339554","http://ts.21cn.com/tousu/show/id/1339554")</f>
        <v>http://ts.21cn.com/tousu/show/id/1339554</v>
      </c>
      <c r="F8476" s="2" t="s">
        <v>11</v>
      </c>
      <c r="G8476" s="2" t="s">
        <v>27496</v>
      </c>
      <c r="H8476" s="2" t="s">
        <v>27497</v>
      </c>
    </row>
    <row r="8477" spans="1:8" ht="25.05" customHeight="1" x14ac:dyDescent="0.25">
      <c r="A8477" s="2" t="s">
        <v>8</v>
      </c>
      <c r="B8477" s="2" t="str">
        <f>HYPERLINK("http://ts.21cn.com/tousu/show/id/1339555","被特约商户违规操作，雅酷时空盗刷，要求追回")</f>
        <v>被特约商户违规操作，雅酷时空盗刷，要求追回</v>
      </c>
      <c r="C8477" s="2" t="s">
        <v>9</v>
      </c>
      <c r="D8477" s="2" t="s">
        <v>10</v>
      </c>
      <c r="E8477" s="2" t="str">
        <f>HYPERLINK("http://ts.21cn.com/tousu/show/id/1339555","http://ts.21cn.com/tousu/show/id/1339555")</f>
        <v>http://ts.21cn.com/tousu/show/id/1339555</v>
      </c>
      <c r="F8477" s="2" t="s">
        <v>11</v>
      </c>
      <c r="G8477" s="2" t="s">
        <v>27494</v>
      </c>
      <c r="H8477" s="2" t="s">
        <v>27495</v>
      </c>
    </row>
    <row r="8478" spans="1:8" ht="25.05" customHeight="1" x14ac:dyDescent="0.25">
      <c r="A8478" s="2" t="s">
        <v>8</v>
      </c>
      <c r="B8478" s="2" t="str">
        <f>HYPERLINK("http://ts.21cn.com/tousu/show/id/1339556","非法高利贷")</f>
        <v>非法高利贷</v>
      </c>
      <c r="C8478" s="2" t="s">
        <v>9</v>
      </c>
      <c r="D8478" s="2" t="s">
        <v>10</v>
      </c>
      <c r="E8478" s="2" t="str">
        <f>HYPERLINK("http://ts.21cn.com/tousu/show/id/1339556","http://ts.21cn.com/tousu/show/id/1339556")</f>
        <v>http://ts.21cn.com/tousu/show/id/1339556</v>
      </c>
      <c r="F8478" s="2" t="s">
        <v>11</v>
      </c>
      <c r="G8478" s="2" t="s">
        <v>27492</v>
      </c>
      <c r="H8478" s="2" t="s">
        <v>27493</v>
      </c>
    </row>
    <row r="8479" spans="1:8" ht="25.05" customHeight="1" x14ac:dyDescent="0.25">
      <c r="A8479" s="2" t="s">
        <v>8</v>
      </c>
      <c r="B8479" s="2" t="str">
        <f>HYPERLINK("http://ts.21cn.com/tousu/show/id/1339557","软暴力催收")</f>
        <v>软暴力催收</v>
      </c>
      <c r="C8479" s="2" t="s">
        <v>9</v>
      </c>
      <c r="D8479" s="2" t="s">
        <v>10</v>
      </c>
      <c r="E8479" s="2" t="str">
        <f>HYPERLINK("http://ts.21cn.com/tousu/show/id/1339557","http://ts.21cn.com/tousu/show/id/1339557")</f>
        <v>http://ts.21cn.com/tousu/show/id/1339557</v>
      </c>
      <c r="F8479" s="2" t="s">
        <v>11</v>
      </c>
      <c r="G8479" s="2" t="s">
        <v>27490</v>
      </c>
      <c r="H8479" s="2" t="s">
        <v>27491</v>
      </c>
    </row>
    <row r="8480" spans="1:8" ht="25.05" customHeight="1" x14ac:dyDescent="0.25">
      <c r="A8480" s="2" t="s">
        <v>8</v>
      </c>
      <c r="B8480" s="2" t="str">
        <f>HYPERLINK("http://ts.21cn.com/tousu/show/id/1339558","民生银行鸿泰鼎石暴力催收")</f>
        <v>民生银行鸿泰鼎石暴力催收</v>
      </c>
      <c r="C8480" s="2" t="s">
        <v>9</v>
      </c>
      <c r="D8480" s="2" t="s">
        <v>10</v>
      </c>
      <c r="E8480" s="2" t="str">
        <f>HYPERLINK("http://ts.21cn.com/tousu/show/id/1339558","http://ts.21cn.com/tousu/show/id/1339558")</f>
        <v>http://ts.21cn.com/tousu/show/id/1339558</v>
      </c>
      <c r="F8480" s="2" t="s">
        <v>11</v>
      </c>
      <c r="G8480" s="2" t="s">
        <v>27488</v>
      </c>
      <c r="H8480" s="2" t="s">
        <v>27489</v>
      </c>
    </row>
    <row r="8481" spans="1:8" ht="25.05" customHeight="1" x14ac:dyDescent="0.25">
      <c r="A8481" s="2" t="s">
        <v>8</v>
      </c>
      <c r="B8481" s="2" t="str">
        <f>HYPERLINK("http://ts.21cn.com/tousu/show/id/1339559","豹子贷乱扣款")</f>
        <v>豹子贷乱扣款</v>
      </c>
      <c r="C8481" s="2" t="s">
        <v>9</v>
      </c>
      <c r="D8481" s="2" t="s">
        <v>10</v>
      </c>
      <c r="E8481" s="2" t="str">
        <f>HYPERLINK("http://ts.21cn.com/tousu/show/id/1339559","http://ts.21cn.com/tousu/show/id/1339559")</f>
        <v>http://ts.21cn.com/tousu/show/id/1339559</v>
      </c>
      <c r="F8481" s="2" t="s">
        <v>11</v>
      </c>
      <c r="G8481" s="2" t="s">
        <v>27486</v>
      </c>
      <c r="H8481" s="2" t="s">
        <v>27487</v>
      </c>
    </row>
    <row r="8482" spans="1:8" ht="25.05" customHeight="1" x14ac:dyDescent="0.25">
      <c r="A8482" s="2" t="s">
        <v>8</v>
      </c>
      <c r="B8482" s="2" t="str">
        <f>HYPERLINK("http://ts.21cn.com/tousu/show/id/1339481","滴滴系统恶意加价，恶意坑乘客。不能给出正确的解释")</f>
        <v>滴滴系统恶意加价，恶意坑乘客。不能给出正确的解释</v>
      </c>
      <c r="C8482" s="2" t="s">
        <v>9</v>
      </c>
      <c r="D8482" s="2" t="s">
        <v>10</v>
      </c>
      <c r="E8482" s="2" t="str">
        <f>HYPERLINK("http://ts.21cn.com/tousu/show/id/1339481","http://ts.21cn.com/tousu/show/id/1339481")</f>
        <v>http://ts.21cn.com/tousu/show/id/1339481</v>
      </c>
      <c r="F8482" s="2" t="s">
        <v>11</v>
      </c>
      <c r="G8482" s="2" t="s">
        <v>27484</v>
      </c>
      <c r="H8482" s="2" t="s">
        <v>27485</v>
      </c>
    </row>
    <row r="8483" spans="1:8" ht="25.05" customHeight="1" x14ac:dyDescent="0.25">
      <c r="A8483" s="2" t="s">
        <v>8</v>
      </c>
      <c r="B8483" s="2" t="str">
        <f>HYPERLINK("http://ts.21cn.com/tousu/show/id/1339560","净水器有问题！一个多月没人处理")</f>
        <v>净水器有问题！一个多月没人处理</v>
      </c>
      <c r="C8483" s="2" t="s">
        <v>9</v>
      </c>
      <c r="D8483" s="2" t="s">
        <v>10</v>
      </c>
      <c r="E8483" s="2" t="str">
        <f>HYPERLINK("http://ts.21cn.com/tousu/show/id/1339560","http://ts.21cn.com/tousu/show/id/1339560")</f>
        <v>http://ts.21cn.com/tousu/show/id/1339560</v>
      </c>
      <c r="F8483" s="2" t="s">
        <v>11</v>
      </c>
      <c r="G8483" s="2" t="s">
        <v>27482</v>
      </c>
      <c r="H8483" s="2" t="s">
        <v>27483</v>
      </c>
    </row>
    <row r="8484" spans="1:8" ht="25.05" customHeight="1" x14ac:dyDescent="0.25">
      <c r="A8484" s="2" t="s">
        <v>8</v>
      </c>
      <c r="B8484" s="2" t="str">
        <f>HYPERLINK("http://ts.21cn.com/tousu/show/id/1339561","无锡地区滴滴单子集中优先派给优享")</f>
        <v>无锡地区滴滴单子集中优先派给优享</v>
      </c>
      <c r="C8484" s="2" t="s">
        <v>9</v>
      </c>
      <c r="D8484" s="2" t="s">
        <v>10</v>
      </c>
      <c r="E8484" s="2" t="str">
        <f>HYPERLINK("http://ts.21cn.com/tousu/show/id/1339561","http://ts.21cn.com/tousu/show/id/1339561")</f>
        <v>http://ts.21cn.com/tousu/show/id/1339561</v>
      </c>
      <c r="F8484" s="2" t="s">
        <v>11</v>
      </c>
      <c r="G8484" s="2" t="s">
        <v>27480</v>
      </c>
      <c r="H8484" s="2" t="s">
        <v>27481</v>
      </c>
    </row>
    <row r="8485" spans="1:8" ht="25.05" customHeight="1" x14ac:dyDescent="0.25">
      <c r="A8485" s="2" t="s">
        <v>8</v>
      </c>
      <c r="B8485" s="2" t="str">
        <f>HYPERLINK("http://ts.21cn.com/tousu/show/id/1339562","立借高利贷暴力催收")</f>
        <v>立借高利贷暴力催收</v>
      </c>
      <c r="C8485" s="2" t="s">
        <v>9</v>
      </c>
      <c r="D8485" s="2" t="s">
        <v>10</v>
      </c>
      <c r="E8485" s="2" t="str">
        <f>HYPERLINK("http://ts.21cn.com/tousu/show/id/1339562","http://ts.21cn.com/tousu/show/id/1339562")</f>
        <v>http://ts.21cn.com/tousu/show/id/1339562</v>
      </c>
      <c r="F8485" s="2" t="s">
        <v>11</v>
      </c>
      <c r="G8485" s="2" t="s">
        <v>27478</v>
      </c>
      <c r="H8485" s="2" t="s">
        <v>27479</v>
      </c>
    </row>
    <row r="8486" spans="1:8" ht="25.05" customHeight="1" x14ac:dyDescent="0.25">
      <c r="A8486" s="2" t="s">
        <v>8</v>
      </c>
      <c r="B8486" s="2" t="str">
        <f>HYPERLINK("http://ts.21cn.com/tousu/show/id/1339563","钱站月光侠")</f>
        <v>钱站月光侠</v>
      </c>
      <c r="C8486" s="2" t="s">
        <v>9</v>
      </c>
      <c r="D8486" s="2" t="s">
        <v>10</v>
      </c>
      <c r="E8486" s="2" t="str">
        <f>HYPERLINK("http://ts.21cn.com/tousu/show/id/1339563","http://ts.21cn.com/tousu/show/id/1339563")</f>
        <v>http://ts.21cn.com/tousu/show/id/1339563</v>
      </c>
      <c r="F8486" s="2" t="s">
        <v>11</v>
      </c>
      <c r="G8486" s="2" t="s">
        <v>27476</v>
      </c>
      <c r="H8486" s="2" t="s">
        <v>27477</v>
      </c>
    </row>
    <row r="8487" spans="1:8" ht="25.05" customHeight="1" x14ac:dyDescent="0.25">
      <c r="A8487" s="2" t="s">
        <v>8</v>
      </c>
      <c r="B8487" s="2" t="str">
        <f>HYPERLINK("http://ts.21cn.com/tousu/show/id/1339564","费用问题")</f>
        <v>费用问题</v>
      </c>
      <c r="C8487" s="2" t="s">
        <v>34</v>
      </c>
      <c r="D8487" s="2" t="s">
        <v>10</v>
      </c>
      <c r="E8487" s="2" t="str">
        <f>HYPERLINK("http://ts.21cn.com/tousu/show/id/1339564","http://ts.21cn.com/tousu/show/id/1339564")</f>
        <v>http://ts.21cn.com/tousu/show/id/1339564</v>
      </c>
      <c r="F8487" s="2" t="s">
        <v>11</v>
      </c>
      <c r="G8487" s="2" t="s">
        <v>27474</v>
      </c>
      <c r="H8487" s="2" t="s">
        <v>27475</v>
      </c>
    </row>
    <row r="8488" spans="1:8" ht="25.05" customHeight="1" x14ac:dyDescent="0.25">
      <c r="A8488" s="2" t="s">
        <v>8</v>
      </c>
      <c r="B8488" s="2" t="str">
        <f>HYPERLINK("http://ts.21cn.com/tousu/show/id/1339524","网络彩票")</f>
        <v>网络彩票</v>
      </c>
      <c r="C8488" s="2" t="s">
        <v>9</v>
      </c>
      <c r="D8488" s="2" t="s">
        <v>10</v>
      </c>
      <c r="E8488" s="2" t="str">
        <f>HYPERLINK("http://ts.21cn.com/tousu/show/id/1339524","http://ts.21cn.com/tousu/show/id/1339524")</f>
        <v>http://ts.21cn.com/tousu/show/id/1339524</v>
      </c>
      <c r="F8488" s="2" t="s">
        <v>11</v>
      </c>
      <c r="G8488" s="2" t="s">
        <v>27472</v>
      </c>
      <c r="H8488" s="2" t="s">
        <v>27473</v>
      </c>
    </row>
    <row r="8489" spans="1:8" ht="25.05" customHeight="1" x14ac:dyDescent="0.25">
      <c r="A8489" s="2" t="s">
        <v>8</v>
      </c>
      <c r="B8489" s="2" t="str">
        <f>HYPERLINK("http://ts.21cn.com/tousu/show/id/1339565","要求退回之前的保险费用")</f>
        <v>要求退回之前的保险费用</v>
      </c>
      <c r="C8489" s="2" t="s">
        <v>9</v>
      </c>
      <c r="D8489" s="2" t="s">
        <v>10</v>
      </c>
      <c r="E8489" s="2" t="str">
        <f>HYPERLINK("http://ts.21cn.com/tousu/show/id/1339565","http://ts.21cn.com/tousu/show/id/1339565")</f>
        <v>http://ts.21cn.com/tousu/show/id/1339565</v>
      </c>
      <c r="F8489" s="2" t="s">
        <v>11</v>
      </c>
      <c r="G8489" s="2" t="s">
        <v>27470</v>
      </c>
      <c r="H8489" s="2" t="s">
        <v>27471</v>
      </c>
    </row>
    <row r="8490" spans="1:8" ht="25.05" customHeight="1" x14ac:dyDescent="0.25">
      <c r="A8490" s="2" t="s">
        <v>8</v>
      </c>
      <c r="B8490" s="2" t="str">
        <f>HYPERLINK("http://ts.21cn.com/tousu/show/id/1339566","中国移动服务与产品描述不符")</f>
        <v>中国移动服务与产品描述不符</v>
      </c>
      <c r="C8490" s="2" t="s">
        <v>9</v>
      </c>
      <c r="D8490" s="2" t="s">
        <v>10</v>
      </c>
      <c r="E8490" s="2" t="str">
        <f>HYPERLINK("http://ts.21cn.com/tousu/show/id/1339566","http://ts.21cn.com/tousu/show/id/1339566")</f>
        <v>http://ts.21cn.com/tousu/show/id/1339566</v>
      </c>
      <c r="F8490" s="2" t="s">
        <v>11</v>
      </c>
      <c r="G8490" s="2" t="s">
        <v>27468</v>
      </c>
      <c r="H8490" s="2" t="s">
        <v>27469</v>
      </c>
    </row>
    <row r="8491" spans="1:8" ht="25.05" customHeight="1" x14ac:dyDescent="0.25">
      <c r="A8491" s="2" t="s">
        <v>8</v>
      </c>
      <c r="B8491" s="2" t="str">
        <f>HYPERLINK("http://ts.21cn.com/tousu/show/id/1339567","小花钱包正常还款中冻结我额度！")</f>
        <v>小花钱包正常还款中冻结我额度！</v>
      </c>
      <c r="C8491" s="2" t="s">
        <v>9</v>
      </c>
      <c r="D8491" s="2" t="s">
        <v>10</v>
      </c>
      <c r="E8491" s="2" t="str">
        <f>HYPERLINK("http://ts.21cn.com/tousu/show/id/1339567","http://ts.21cn.com/tousu/show/id/1339567")</f>
        <v>http://ts.21cn.com/tousu/show/id/1339567</v>
      </c>
      <c r="F8491" s="2" t="s">
        <v>11</v>
      </c>
      <c r="G8491" s="2" t="s">
        <v>27466</v>
      </c>
      <c r="H8491" s="2" t="s">
        <v>27467</v>
      </c>
    </row>
    <row r="8492" spans="1:8" ht="25.05" customHeight="1" x14ac:dyDescent="0.25">
      <c r="A8492" s="2" t="s">
        <v>8</v>
      </c>
      <c r="B8492" s="2" t="str">
        <f>HYPERLINK("http://ts.21cn.com/tousu/show/id/1339568","大鹅购平台爆通讯录各种骚扰")</f>
        <v>大鹅购平台爆通讯录各种骚扰</v>
      </c>
      <c r="C8492" s="2" t="s">
        <v>9</v>
      </c>
      <c r="D8492" s="2" t="s">
        <v>10</v>
      </c>
      <c r="E8492" s="2" t="str">
        <f>HYPERLINK("http://ts.21cn.com/tousu/show/id/1339568","http://ts.21cn.com/tousu/show/id/1339568")</f>
        <v>http://ts.21cn.com/tousu/show/id/1339568</v>
      </c>
      <c r="F8492" s="2" t="s">
        <v>11</v>
      </c>
      <c r="G8492" s="2" t="s">
        <v>27464</v>
      </c>
      <c r="H8492" s="2" t="s">
        <v>27465</v>
      </c>
    </row>
    <row r="8493" spans="1:8" ht="25.05" customHeight="1" x14ac:dyDescent="0.25">
      <c r="A8493" s="2" t="s">
        <v>8</v>
      </c>
      <c r="B8493" s="2" t="str">
        <f>HYPERLINK("http://ts.21cn.com/tousu/show/id/1339569","平安普惠强制收取高额保险费")</f>
        <v>平安普惠强制收取高额保险费</v>
      </c>
      <c r="C8493" s="2" t="s">
        <v>9</v>
      </c>
      <c r="D8493" s="2" t="s">
        <v>10</v>
      </c>
      <c r="E8493" s="2" t="str">
        <f>HYPERLINK("http://ts.21cn.com/tousu/show/id/1339569","http://ts.21cn.com/tousu/show/id/1339569")</f>
        <v>http://ts.21cn.com/tousu/show/id/1339569</v>
      </c>
      <c r="F8493" s="2" t="s">
        <v>11</v>
      </c>
      <c r="G8493" s="2" t="s">
        <v>27462</v>
      </c>
      <c r="H8493" s="2" t="s">
        <v>27463</v>
      </c>
    </row>
    <row r="8494" spans="1:8" ht="25.05" customHeight="1" x14ac:dyDescent="0.25">
      <c r="A8494" s="2" t="s">
        <v>8</v>
      </c>
      <c r="B8494" s="2" t="str">
        <f>HYPERLINK("http://ts.21cn.com/tousu/show/id/1339570","淘宝限制登录")</f>
        <v>淘宝限制登录</v>
      </c>
      <c r="C8494" s="2" t="s">
        <v>9</v>
      </c>
      <c r="D8494" s="2" t="s">
        <v>10</v>
      </c>
      <c r="E8494" s="2" t="str">
        <f>HYPERLINK("http://ts.21cn.com/tousu/show/id/1339570","http://ts.21cn.com/tousu/show/id/1339570")</f>
        <v>http://ts.21cn.com/tousu/show/id/1339570</v>
      </c>
      <c r="F8494" s="2" t="s">
        <v>11</v>
      </c>
      <c r="G8494" s="2" t="s">
        <v>27460</v>
      </c>
      <c r="H8494" s="2" t="s">
        <v>27461</v>
      </c>
    </row>
    <row r="8495" spans="1:8" ht="25.05" customHeight="1" x14ac:dyDescent="0.25">
      <c r="A8495" s="2" t="s">
        <v>8</v>
      </c>
      <c r="B8495" s="2" t="str">
        <f>HYPERLINK("http://ts.21cn.com/tousu/show/id/1339571","钱站高利贷阴阳合同")</f>
        <v>钱站高利贷阴阳合同</v>
      </c>
      <c r="C8495" s="2" t="s">
        <v>9</v>
      </c>
      <c r="D8495" s="2" t="s">
        <v>10</v>
      </c>
      <c r="E8495" s="2" t="str">
        <f>HYPERLINK("http://ts.21cn.com/tousu/show/id/1339571","http://ts.21cn.com/tousu/show/id/1339571")</f>
        <v>http://ts.21cn.com/tousu/show/id/1339571</v>
      </c>
      <c r="F8495" s="2" t="s">
        <v>11</v>
      </c>
      <c r="G8495" s="2" t="s">
        <v>27458</v>
      </c>
      <c r="H8495" s="2" t="s">
        <v>27459</v>
      </c>
    </row>
    <row r="8496" spans="1:8" ht="25.05" customHeight="1" x14ac:dyDescent="0.25">
      <c r="A8496" s="2" t="s">
        <v>8</v>
      </c>
      <c r="B8496" s="2" t="str">
        <f>HYPERLINK("http://ts.21cn.com/tousu/show/id/1339572","交通银行工作人员")</f>
        <v>交通银行工作人员</v>
      </c>
      <c r="C8496" s="2" t="s">
        <v>9</v>
      </c>
      <c r="D8496" s="2" t="s">
        <v>10</v>
      </c>
      <c r="E8496" s="2" t="str">
        <f>HYPERLINK("http://ts.21cn.com/tousu/show/id/1339572","http://ts.21cn.com/tousu/show/id/1339572")</f>
        <v>http://ts.21cn.com/tousu/show/id/1339572</v>
      </c>
      <c r="F8496" s="2" t="s">
        <v>11</v>
      </c>
      <c r="G8496" s="2" t="s">
        <v>27456</v>
      </c>
      <c r="H8496" s="2" t="s">
        <v>27457</v>
      </c>
    </row>
    <row r="8497" spans="1:8" ht="25.05" customHeight="1" x14ac:dyDescent="0.25">
      <c r="A8497" s="2" t="s">
        <v>8</v>
      </c>
      <c r="B8497" s="2" t="str">
        <f>HYPERLINK("http://ts.21cn.com/tousu/show/id/1339573","招联金融暴力催收恐吓家里老人")</f>
        <v>招联金融暴力催收恐吓家里老人</v>
      </c>
      <c r="C8497" s="2" t="s">
        <v>9</v>
      </c>
      <c r="D8497" s="2" t="s">
        <v>10</v>
      </c>
      <c r="E8497" s="2" t="str">
        <f>HYPERLINK("http://ts.21cn.com/tousu/show/id/1339573","http://ts.21cn.com/tousu/show/id/1339573")</f>
        <v>http://ts.21cn.com/tousu/show/id/1339573</v>
      </c>
      <c r="F8497" s="2" t="s">
        <v>11</v>
      </c>
      <c r="G8497" s="2" t="s">
        <v>27454</v>
      </c>
      <c r="H8497" s="2" t="s">
        <v>27455</v>
      </c>
    </row>
    <row r="8498" spans="1:8" ht="25.05" customHeight="1" x14ac:dyDescent="0.25">
      <c r="A8498" s="2" t="s">
        <v>8</v>
      </c>
      <c r="B8498" s="2" t="str">
        <f>HYPERLINK("http://ts.21cn.com/tousu/show/id/1339574","闲鱼二手交易平台售后拖延迟迟不给答复")</f>
        <v>闲鱼二手交易平台售后拖延迟迟不给答复</v>
      </c>
      <c r="C8498" s="2" t="s">
        <v>9</v>
      </c>
      <c r="D8498" s="2" t="s">
        <v>10</v>
      </c>
      <c r="E8498" s="2" t="str">
        <f>HYPERLINK("http://ts.21cn.com/tousu/show/id/1339574","http://ts.21cn.com/tousu/show/id/1339574")</f>
        <v>http://ts.21cn.com/tousu/show/id/1339574</v>
      </c>
      <c r="F8498" s="2" t="s">
        <v>11</v>
      </c>
      <c r="G8498" s="2" t="s">
        <v>27452</v>
      </c>
      <c r="H8498" s="2" t="s">
        <v>27453</v>
      </c>
    </row>
    <row r="8499" spans="1:8" ht="25.05" customHeight="1" x14ac:dyDescent="0.25">
      <c r="A8499" s="2" t="s">
        <v>8</v>
      </c>
      <c r="B8499" s="2" t="str">
        <f>HYPERLINK("http://ts.21cn.com/tousu/show/id/1339577","新橙优品代扣失败导致逾期，并且官方失联")</f>
        <v>新橙优品代扣失败导致逾期，并且官方失联</v>
      </c>
      <c r="C8499" s="2" t="s">
        <v>9</v>
      </c>
      <c r="D8499" s="2" t="s">
        <v>10</v>
      </c>
      <c r="E8499" s="2" t="str">
        <f>HYPERLINK("http://ts.21cn.com/tousu/show/id/1339577","http://ts.21cn.com/tousu/show/id/1339577")</f>
        <v>http://ts.21cn.com/tousu/show/id/1339577</v>
      </c>
      <c r="F8499" s="2" t="s">
        <v>11</v>
      </c>
      <c r="G8499" s="2" t="s">
        <v>27450</v>
      </c>
      <c r="H8499" s="2" t="s">
        <v>27451</v>
      </c>
    </row>
    <row r="8500" spans="1:8" ht="25.05" customHeight="1" x14ac:dyDescent="0.25">
      <c r="A8500" s="2" t="s">
        <v>8</v>
      </c>
      <c r="B8500" s="2" t="str">
        <f>HYPERLINK("http://ts.21cn.com/tousu/show/id/1339578","小黑鲨高利贷，汇潮支付违规提供支付通道")</f>
        <v>小黑鲨高利贷，汇潮支付违规提供支付通道</v>
      </c>
      <c r="C8500" s="2" t="s">
        <v>9</v>
      </c>
      <c r="D8500" s="2" t="s">
        <v>10</v>
      </c>
      <c r="E8500" s="2" t="str">
        <f>HYPERLINK("http://ts.21cn.com/tousu/show/id/1339578","http://ts.21cn.com/tousu/show/id/1339578")</f>
        <v>http://ts.21cn.com/tousu/show/id/1339578</v>
      </c>
      <c r="F8500" s="2" t="s">
        <v>11</v>
      </c>
      <c r="G8500" s="2" t="s">
        <v>27448</v>
      </c>
      <c r="H8500" s="2" t="s">
        <v>27449</v>
      </c>
    </row>
    <row r="8501" spans="1:8" ht="25.05" customHeight="1" x14ac:dyDescent="0.25">
      <c r="A8501" s="2" t="s">
        <v>8</v>
      </c>
      <c r="B8501" s="2" t="str">
        <f>HYPERLINK("http://ts.21cn.com/tousu/show/id/1339579","中国移动乱扣费不给及时解决")</f>
        <v>中国移动乱扣费不给及时解决</v>
      </c>
      <c r="C8501" s="2" t="s">
        <v>9</v>
      </c>
      <c r="D8501" s="2" t="s">
        <v>10</v>
      </c>
      <c r="E8501" s="2" t="str">
        <f>HYPERLINK("http://ts.21cn.com/tousu/show/id/1339579","http://ts.21cn.com/tousu/show/id/1339579")</f>
        <v>http://ts.21cn.com/tousu/show/id/1339579</v>
      </c>
      <c r="F8501" s="2" t="s">
        <v>11</v>
      </c>
      <c r="G8501" s="2" t="s">
        <v>27446</v>
      </c>
      <c r="H8501" s="2" t="s">
        <v>27447</v>
      </c>
    </row>
    <row r="8502" spans="1:8" ht="25.05" customHeight="1" x14ac:dyDescent="0.25">
      <c r="A8502" s="2" t="s">
        <v>8</v>
      </c>
      <c r="B8502" s="2" t="str">
        <f>HYPERLINK("http://ts.21cn.com/tousu/show/id/1339580","乱扣款")</f>
        <v>乱扣款</v>
      </c>
      <c r="C8502" s="2" t="s">
        <v>9</v>
      </c>
      <c r="D8502" s="2" t="s">
        <v>10</v>
      </c>
      <c r="E8502" s="2" t="str">
        <f>HYPERLINK("http://ts.21cn.com/tousu/show/id/1339580","http://ts.21cn.com/tousu/show/id/1339580")</f>
        <v>http://ts.21cn.com/tousu/show/id/1339580</v>
      </c>
      <c r="F8502" s="2" t="s">
        <v>11</v>
      </c>
      <c r="G8502" s="2" t="s">
        <v>27444</v>
      </c>
      <c r="H8502" s="2" t="s">
        <v>27445</v>
      </c>
    </row>
    <row r="8503" spans="1:8" ht="25.05" customHeight="1" x14ac:dyDescent="0.25">
      <c r="A8503" s="2" t="s">
        <v>8</v>
      </c>
      <c r="B8503" s="2" t="str">
        <f>HYPERLINK("http://ts.21cn.com/tousu/show/id/1339581","杭州乐客独角兽忽悠诱导消费者，夸大宣传，服务与承诺不一致且拒退入会费")</f>
        <v>杭州乐客独角兽忽悠诱导消费者，夸大宣传，服务与承诺不一致且拒退入会费</v>
      </c>
      <c r="C8503" s="2" t="s">
        <v>9</v>
      </c>
      <c r="D8503" s="2" t="s">
        <v>10</v>
      </c>
      <c r="E8503" s="2" t="str">
        <f>HYPERLINK("http://ts.21cn.com/tousu/show/id/1339581","http://ts.21cn.com/tousu/show/id/1339581")</f>
        <v>http://ts.21cn.com/tousu/show/id/1339581</v>
      </c>
      <c r="F8503" s="2" t="s">
        <v>11</v>
      </c>
      <c r="G8503" s="2" t="s">
        <v>27442</v>
      </c>
      <c r="H8503" s="2" t="s">
        <v>27443</v>
      </c>
    </row>
    <row r="8504" spans="1:8" ht="25.05" customHeight="1" x14ac:dyDescent="0.25">
      <c r="A8504" s="2" t="s">
        <v>8</v>
      </c>
      <c r="B8504" s="2" t="str">
        <f>HYPERLINK("http://ts.21cn.com/tousu/show/id/1339583","旅游行程严不符合")</f>
        <v>旅游行程严不符合</v>
      </c>
      <c r="C8504" s="2" t="s">
        <v>9</v>
      </c>
      <c r="D8504" s="2" t="s">
        <v>10</v>
      </c>
      <c r="E8504" s="2" t="str">
        <f>HYPERLINK("http://ts.21cn.com/tousu/show/id/1339583","http://ts.21cn.com/tousu/show/id/1339583")</f>
        <v>http://ts.21cn.com/tousu/show/id/1339583</v>
      </c>
      <c r="F8504" s="2" t="s">
        <v>11</v>
      </c>
      <c r="G8504" s="2" t="s">
        <v>27440</v>
      </c>
      <c r="H8504" s="2" t="s">
        <v>27441</v>
      </c>
    </row>
    <row r="8505" spans="1:8" ht="25.05" customHeight="1" x14ac:dyDescent="0.25">
      <c r="A8505" s="2" t="s">
        <v>8</v>
      </c>
      <c r="B8505" s="2" t="str">
        <f>HYPERLINK("http://ts.21cn.com/tousu/show/id/1339584","你我贷高利贷")</f>
        <v>你我贷高利贷</v>
      </c>
      <c r="C8505" s="2" t="s">
        <v>9</v>
      </c>
      <c r="D8505" s="2" t="s">
        <v>10</v>
      </c>
      <c r="E8505" s="2" t="str">
        <f>HYPERLINK("http://ts.21cn.com/tousu/show/id/1339584","http://ts.21cn.com/tousu/show/id/1339584")</f>
        <v>http://ts.21cn.com/tousu/show/id/1339584</v>
      </c>
      <c r="F8505" s="2" t="s">
        <v>11</v>
      </c>
      <c r="G8505" s="2" t="s">
        <v>27438</v>
      </c>
      <c r="H8505" s="2" t="s">
        <v>27439</v>
      </c>
    </row>
    <row r="8506" spans="1:8" ht="25.05" customHeight="1" x14ac:dyDescent="0.25">
      <c r="A8506" s="2" t="s">
        <v>8</v>
      </c>
      <c r="B8506" s="2" t="str">
        <f>HYPERLINK("http://ts.21cn.com/tousu/show/id/1339585","来数科暴力催收")</f>
        <v>来数科暴力催收</v>
      </c>
      <c r="C8506" s="2" t="s">
        <v>9</v>
      </c>
      <c r="D8506" s="2" t="s">
        <v>10</v>
      </c>
      <c r="E8506" s="2" t="str">
        <f>HYPERLINK("http://ts.21cn.com/tousu/show/id/1339585","http://ts.21cn.com/tousu/show/id/1339585")</f>
        <v>http://ts.21cn.com/tousu/show/id/1339585</v>
      </c>
      <c r="F8506" s="2" t="s">
        <v>11</v>
      </c>
      <c r="G8506" s="2" t="s">
        <v>27436</v>
      </c>
      <c r="H8506" s="2" t="s">
        <v>27437</v>
      </c>
    </row>
    <row r="8507" spans="1:8" ht="25.05" customHeight="1" x14ac:dyDescent="0.25">
      <c r="A8507" s="2" t="s">
        <v>8</v>
      </c>
      <c r="B8507" s="2" t="str">
        <f>HYPERLINK("http://ts.21cn.com/tousu/show/id/1339586","自由摩卡信用计划高利贷")</f>
        <v>自由摩卡信用计划高利贷</v>
      </c>
      <c r="C8507" s="2" t="s">
        <v>9</v>
      </c>
      <c r="D8507" s="2" t="s">
        <v>10</v>
      </c>
      <c r="E8507" s="2" t="str">
        <f>HYPERLINK("http://ts.21cn.com/tousu/show/id/1339586","http://ts.21cn.com/tousu/show/id/1339586")</f>
        <v>http://ts.21cn.com/tousu/show/id/1339586</v>
      </c>
      <c r="F8507" s="2" t="s">
        <v>11</v>
      </c>
      <c r="G8507" s="2" t="s">
        <v>27434</v>
      </c>
      <c r="H8507" s="2" t="s">
        <v>27435</v>
      </c>
    </row>
    <row r="8508" spans="1:8" ht="25.05" customHeight="1" x14ac:dyDescent="0.25">
      <c r="A8508" s="2" t="s">
        <v>8</v>
      </c>
      <c r="B8508" s="2" t="str">
        <f>HYPERLINK("http://ts.21cn.com/tousu/show/id/1339587","分期还呗短信轰炸，恶意骚扰，发送恶意链接，为714超高利贷提供窗口，非法获取他人信息，诱导贷款")</f>
        <v>分期还呗短信轰炸，恶意骚扰，发送恶意链接，为714超高利贷提供窗口，非法获取他人信息，诱导贷款</v>
      </c>
      <c r="C8508" s="2" t="s">
        <v>9</v>
      </c>
      <c r="D8508" s="2" t="s">
        <v>10</v>
      </c>
      <c r="E8508" s="2" t="str">
        <f>HYPERLINK("http://ts.21cn.com/tousu/show/id/1339587","http://ts.21cn.com/tousu/show/id/1339587")</f>
        <v>http://ts.21cn.com/tousu/show/id/1339587</v>
      </c>
      <c r="F8508" s="2" t="s">
        <v>11</v>
      </c>
      <c r="G8508" s="2" t="s">
        <v>27431</v>
      </c>
      <c r="H8508" s="2" t="s">
        <v>27432</v>
      </c>
    </row>
    <row r="8509" spans="1:8" ht="25.05" customHeight="1" x14ac:dyDescent="0.25">
      <c r="A8509" s="2" t="s">
        <v>8</v>
      </c>
      <c r="B8509" s="2" t="str">
        <f>HYPERLINK("http://ts.21cn.com/tousu/show/id/1339589","我就想问问淘手游平台给不给处理")</f>
        <v>我就想问问淘手游平台给不给处理</v>
      </c>
      <c r="C8509" s="2" t="s">
        <v>9</v>
      </c>
      <c r="D8509" s="2" t="s">
        <v>10</v>
      </c>
      <c r="E8509" s="2" t="str">
        <f>HYPERLINK("http://ts.21cn.com/tousu/show/id/1339589","http://ts.21cn.com/tousu/show/id/1339589")</f>
        <v>http://ts.21cn.com/tousu/show/id/1339589</v>
      </c>
      <c r="F8509" s="2" t="s">
        <v>11</v>
      </c>
      <c r="G8509" s="2" t="s">
        <v>27431</v>
      </c>
      <c r="H8509" s="2" t="s">
        <v>27433</v>
      </c>
    </row>
    <row r="8510" spans="1:8" ht="25.05" customHeight="1" x14ac:dyDescent="0.25">
      <c r="A8510" s="2" t="s">
        <v>8</v>
      </c>
      <c r="B8510" s="2" t="str">
        <f>HYPERLINK("http://ts.21cn.com/tousu/show/id/1339588","乱扣费")</f>
        <v>乱扣费</v>
      </c>
      <c r="C8510" s="2" t="s">
        <v>9</v>
      </c>
      <c r="D8510" s="2" t="s">
        <v>10</v>
      </c>
      <c r="E8510" s="2" t="str">
        <f>HYPERLINK("http://ts.21cn.com/tousu/show/id/1339588","http://ts.21cn.com/tousu/show/id/1339588")</f>
        <v>http://ts.21cn.com/tousu/show/id/1339588</v>
      </c>
      <c r="F8510" s="2" t="s">
        <v>11</v>
      </c>
      <c r="G8510" s="2" t="s">
        <v>27429</v>
      </c>
      <c r="H8510" s="2" t="s">
        <v>27430</v>
      </c>
    </row>
    <row r="8511" spans="1:8" ht="25.05" customHeight="1" x14ac:dyDescent="0.25">
      <c r="A8511" s="2" t="s">
        <v>8</v>
      </c>
      <c r="B8511" s="2" t="str">
        <f>HYPERLINK("http://ts.21cn.com/tousu/show/id/1339591","玖富蜡笔超卡高利贷阴阳合同")</f>
        <v>玖富蜡笔超卡高利贷阴阳合同</v>
      </c>
      <c r="C8511" s="2" t="s">
        <v>9</v>
      </c>
      <c r="D8511" s="2" t="s">
        <v>10</v>
      </c>
      <c r="E8511" s="2" t="str">
        <f>HYPERLINK("http://ts.21cn.com/tousu/show/id/1339591","http://ts.21cn.com/tousu/show/id/1339591")</f>
        <v>http://ts.21cn.com/tousu/show/id/1339591</v>
      </c>
      <c r="F8511" s="2" t="s">
        <v>11</v>
      </c>
      <c r="G8511" s="2" t="s">
        <v>27427</v>
      </c>
      <c r="H8511" s="2" t="s">
        <v>27428</v>
      </c>
    </row>
    <row r="8512" spans="1:8" ht="25.05" customHeight="1" x14ac:dyDescent="0.25">
      <c r="A8512" s="2" t="s">
        <v>8</v>
      </c>
      <c r="B8512" s="2" t="str">
        <f>HYPERLINK("http://ts.21cn.com/tousu/show/id/1339592","我与19年9月21号下单UU跑腿完成订单之后，物品没有归还据现在了解，物品丢失不解决不赔偿")</f>
        <v>我与19年9月21号下单UU跑腿完成订单之后，物品没有归还据现在了解，物品丢失不解决不赔偿</v>
      </c>
      <c r="C8512" s="2" t="s">
        <v>34</v>
      </c>
      <c r="D8512" s="2" t="s">
        <v>10</v>
      </c>
      <c r="E8512" s="2" t="str">
        <f>HYPERLINK("http://ts.21cn.com/tousu/show/id/1339592","http://ts.21cn.com/tousu/show/id/1339592")</f>
        <v>http://ts.21cn.com/tousu/show/id/1339592</v>
      </c>
      <c r="F8512" s="2" t="s">
        <v>11</v>
      </c>
      <c r="G8512" s="2" t="s">
        <v>27425</v>
      </c>
      <c r="H8512" s="2" t="s">
        <v>27426</v>
      </c>
    </row>
    <row r="8513" spans="1:8" ht="25.05" customHeight="1" x14ac:dyDescent="0.25">
      <c r="A8513" s="2" t="s">
        <v>8</v>
      </c>
      <c r="B8513" s="2" t="str">
        <f>HYPERLINK("http://ts.21cn.com/tousu/show/id/1338446","马上把车还给我")</f>
        <v>马上把车还给我</v>
      </c>
      <c r="C8513" s="2" t="s">
        <v>9</v>
      </c>
      <c r="D8513" s="2" t="s">
        <v>10</v>
      </c>
      <c r="E8513" s="2" t="str">
        <f>HYPERLINK("http://ts.21cn.com/tousu/show/id/1338446","http://ts.21cn.com/tousu/show/id/1338446")</f>
        <v>http://ts.21cn.com/tousu/show/id/1338446</v>
      </c>
      <c r="F8513" s="2" t="s">
        <v>11</v>
      </c>
      <c r="G8513" s="2" t="s">
        <v>27423</v>
      </c>
      <c r="H8513" s="2" t="s">
        <v>27424</v>
      </c>
    </row>
    <row r="8514" spans="1:8" ht="25.05" customHeight="1" x14ac:dyDescent="0.25">
      <c r="A8514" s="2" t="s">
        <v>8</v>
      </c>
      <c r="B8514" s="2" t="str">
        <f>HYPERLINK("http://ts.21cn.com/tousu/show/id/1339595","贷上钱")</f>
        <v>贷上钱</v>
      </c>
      <c r="C8514" s="2" t="s">
        <v>9</v>
      </c>
      <c r="D8514" s="2" t="s">
        <v>10</v>
      </c>
      <c r="E8514" s="2" t="str">
        <f>HYPERLINK("http://ts.21cn.com/tousu/show/id/1339595","http://ts.21cn.com/tousu/show/id/1339595")</f>
        <v>http://ts.21cn.com/tousu/show/id/1339595</v>
      </c>
      <c r="F8514" s="2" t="s">
        <v>11</v>
      </c>
      <c r="G8514" s="2" t="s">
        <v>27421</v>
      </c>
      <c r="H8514" s="2" t="s">
        <v>27422</v>
      </c>
    </row>
    <row r="8515" spans="1:8" ht="25.05" customHeight="1" x14ac:dyDescent="0.25">
      <c r="A8515" s="2" t="s">
        <v>8</v>
      </c>
      <c r="B8515" s="2" t="str">
        <f>HYPERLINK("http://ts.21cn.com/tousu/show/id/1339596","阴阳合同高利贷")</f>
        <v>阴阳合同高利贷</v>
      </c>
      <c r="C8515" s="2" t="s">
        <v>9</v>
      </c>
      <c r="D8515" s="2" t="s">
        <v>10</v>
      </c>
      <c r="E8515" s="2" t="str">
        <f>HYPERLINK("http://ts.21cn.com/tousu/show/id/1339596","http://ts.21cn.com/tousu/show/id/1339596")</f>
        <v>http://ts.21cn.com/tousu/show/id/1339596</v>
      </c>
      <c r="F8515" s="2" t="s">
        <v>11</v>
      </c>
      <c r="G8515" s="2" t="s">
        <v>27419</v>
      </c>
      <c r="H8515" s="2" t="s">
        <v>27420</v>
      </c>
    </row>
    <row r="8516" spans="1:8" ht="25.05" customHeight="1" x14ac:dyDescent="0.25">
      <c r="A8516" s="2" t="s">
        <v>8</v>
      </c>
      <c r="B8516" s="2" t="str">
        <f>HYPERLINK("http://ts.21cn.com/tousu/show/id/1339597","招商信用卡乱收违约金和利息，5000元额度度，都已经还了差不多也有5000左右，现在又叫处理3814元，真是太不合理了。")</f>
        <v>招商信用卡乱收违约金和利息，5000元额度度，都已经还了差不多也有5000左右，现在又叫处理3814元，真是太不合理了。</v>
      </c>
      <c r="C8516" s="2" t="s">
        <v>9</v>
      </c>
      <c r="D8516" s="2" t="s">
        <v>10</v>
      </c>
      <c r="E8516" s="2" t="str">
        <f>HYPERLINK("http://ts.21cn.com/tousu/show/id/1339597","http://ts.21cn.com/tousu/show/id/1339597")</f>
        <v>http://ts.21cn.com/tousu/show/id/1339597</v>
      </c>
      <c r="F8516" s="2" t="s">
        <v>11</v>
      </c>
      <c r="G8516" s="2" t="s">
        <v>27417</v>
      </c>
      <c r="H8516" s="2" t="s">
        <v>27418</v>
      </c>
    </row>
    <row r="8517" spans="1:8" ht="25.05" customHeight="1" x14ac:dyDescent="0.25">
      <c r="A8517" s="2" t="s">
        <v>8</v>
      </c>
      <c r="B8517" s="2" t="str">
        <f>HYPERLINK("http://ts.21cn.com/tousu/show/id/1339598","洲泉王记蚕丝被,以次充好")</f>
        <v>洲泉王记蚕丝被,以次充好</v>
      </c>
      <c r="C8517" s="2" t="s">
        <v>9</v>
      </c>
      <c r="D8517" s="2" t="s">
        <v>10</v>
      </c>
      <c r="E8517" s="2" t="str">
        <f>HYPERLINK("http://ts.21cn.com/tousu/show/id/1339598","http://ts.21cn.com/tousu/show/id/1339598")</f>
        <v>http://ts.21cn.com/tousu/show/id/1339598</v>
      </c>
      <c r="F8517" s="2" t="s">
        <v>11</v>
      </c>
      <c r="G8517" s="2" t="s">
        <v>27414</v>
      </c>
      <c r="H8517" s="2" t="s">
        <v>27415</v>
      </c>
    </row>
    <row r="8518" spans="1:8" ht="25.05" customHeight="1" x14ac:dyDescent="0.25">
      <c r="A8518" s="2" t="s">
        <v>8</v>
      </c>
      <c r="B8518" s="2" t="str">
        <f>HYPERLINK("http://ts.21cn.com/tousu/show/id/1339599","买买乐购没有协商余地威胁暴力要联系通讯录甚至单位催收！")</f>
        <v>买买乐购没有协商余地威胁暴力要联系通讯录甚至单位催收！</v>
      </c>
      <c r="C8518" s="2" t="s">
        <v>9</v>
      </c>
      <c r="D8518" s="2" t="s">
        <v>10</v>
      </c>
      <c r="E8518" s="2" t="str">
        <f>HYPERLINK("http://ts.21cn.com/tousu/show/id/1339599","http://ts.21cn.com/tousu/show/id/1339599")</f>
        <v>http://ts.21cn.com/tousu/show/id/1339599</v>
      </c>
      <c r="F8518" s="2" t="s">
        <v>11</v>
      </c>
      <c r="G8518" s="2" t="s">
        <v>27414</v>
      </c>
      <c r="H8518" s="2" t="s">
        <v>27416</v>
      </c>
    </row>
    <row r="8519" spans="1:8" ht="25.05" customHeight="1" x14ac:dyDescent="0.25">
      <c r="A8519" s="2" t="s">
        <v>8</v>
      </c>
      <c r="B8519" s="2" t="str">
        <f>HYPERLINK("http://ts.21cn.com/tousu/show/id/1339600","钱伴优享拒绝协商还款")</f>
        <v>钱伴优享拒绝协商还款</v>
      </c>
      <c r="C8519" s="2" t="s">
        <v>9</v>
      </c>
      <c r="D8519" s="2" t="s">
        <v>10</v>
      </c>
      <c r="E8519" s="2" t="str">
        <f>HYPERLINK("http://ts.21cn.com/tousu/show/id/1339600","http://ts.21cn.com/tousu/show/id/1339600")</f>
        <v>http://ts.21cn.com/tousu/show/id/1339600</v>
      </c>
      <c r="F8519" s="2" t="s">
        <v>11</v>
      </c>
      <c r="G8519" s="2" t="s">
        <v>27412</v>
      </c>
      <c r="H8519" s="2" t="s">
        <v>27413</v>
      </c>
    </row>
    <row r="8520" spans="1:8" ht="25.05" customHeight="1" x14ac:dyDescent="0.25">
      <c r="A8520" s="2" t="s">
        <v>8</v>
      </c>
      <c r="B8520" s="2" t="str">
        <f>HYPERLINK("http://ts.21cn.com/tousu/show/id/1339601","暴力催收")</f>
        <v>暴力催收</v>
      </c>
      <c r="C8520" s="2" t="s">
        <v>9</v>
      </c>
      <c r="D8520" s="2" t="s">
        <v>10</v>
      </c>
      <c r="E8520" s="2" t="str">
        <f>HYPERLINK("http://ts.21cn.com/tousu/show/id/1339601","http://ts.21cn.com/tousu/show/id/1339601")</f>
        <v>http://ts.21cn.com/tousu/show/id/1339601</v>
      </c>
      <c r="F8520" s="2" t="s">
        <v>11</v>
      </c>
      <c r="G8520" s="2" t="s">
        <v>27410</v>
      </c>
      <c r="H8520" s="2" t="s">
        <v>27411</v>
      </c>
    </row>
    <row r="8521" spans="1:8" ht="25.05" customHeight="1" x14ac:dyDescent="0.25">
      <c r="A8521" s="2" t="s">
        <v>8</v>
      </c>
      <c r="B8521" s="2" t="str">
        <f>HYPERLINK("http://ts.21cn.com/tousu/show/id/1339576","凡普信超高利贷合同金额借8.5万还款15.3万，信贷员用蒙蔽手段让签超长合同")</f>
        <v>凡普信超高利贷合同金额借8.5万还款15.3万，信贷员用蒙蔽手段让签超长合同</v>
      </c>
      <c r="C8521" s="2" t="s">
        <v>9</v>
      </c>
      <c r="D8521" s="2" t="s">
        <v>10</v>
      </c>
      <c r="E8521" s="2" t="str">
        <f>HYPERLINK("http://ts.21cn.com/tousu/show/id/1339576","http://ts.21cn.com/tousu/show/id/1339576")</f>
        <v>http://ts.21cn.com/tousu/show/id/1339576</v>
      </c>
      <c r="F8521" s="2" t="s">
        <v>11</v>
      </c>
      <c r="G8521" s="2" t="s">
        <v>27408</v>
      </c>
      <c r="H8521" s="2" t="s">
        <v>27409</v>
      </c>
    </row>
    <row r="8522" spans="1:8" ht="25.05" customHeight="1" x14ac:dyDescent="0.25">
      <c r="A8522" s="2" t="s">
        <v>8</v>
      </c>
      <c r="B8522" s="2" t="str">
        <f>HYPERLINK("http://ts.21cn.com/tousu/show/id/1339549","淘宝和支付宝对个人支付宝止付，冻结合法钱财")</f>
        <v>淘宝和支付宝对个人支付宝止付，冻结合法钱财</v>
      </c>
      <c r="C8522" s="2" t="s">
        <v>9</v>
      </c>
      <c r="D8522" s="2" t="s">
        <v>10</v>
      </c>
      <c r="E8522" s="2" t="str">
        <f>HYPERLINK("http://ts.21cn.com/tousu/show/id/1339549","http://ts.21cn.com/tousu/show/id/1339549")</f>
        <v>http://ts.21cn.com/tousu/show/id/1339549</v>
      </c>
      <c r="F8522" s="2" t="s">
        <v>11</v>
      </c>
      <c r="G8522" s="2" t="s">
        <v>27406</v>
      </c>
      <c r="H8522" s="2" t="s">
        <v>27407</v>
      </c>
    </row>
    <row r="8523" spans="1:8" ht="25.05" customHeight="1" x14ac:dyDescent="0.25">
      <c r="A8523" s="2" t="s">
        <v>8</v>
      </c>
      <c r="B8523" s="2" t="str">
        <f>HYPERLINK("http://ts.21cn.com/tousu/show/id/1339594","高铁管家自动收取抢票费用，退票钱也未到账")</f>
        <v>高铁管家自动收取抢票费用，退票钱也未到账</v>
      </c>
      <c r="C8523" s="2" t="s">
        <v>9</v>
      </c>
      <c r="D8523" s="2" t="s">
        <v>10</v>
      </c>
      <c r="E8523" s="2" t="str">
        <f>HYPERLINK("http://ts.21cn.com/tousu/show/id/1339594","http://ts.21cn.com/tousu/show/id/1339594")</f>
        <v>http://ts.21cn.com/tousu/show/id/1339594</v>
      </c>
      <c r="F8523" s="2" t="s">
        <v>11</v>
      </c>
      <c r="G8523" s="2" t="s">
        <v>27404</v>
      </c>
      <c r="H8523" s="2" t="s">
        <v>27405</v>
      </c>
    </row>
    <row r="8524" spans="1:8" ht="25.05" customHeight="1" x14ac:dyDescent="0.25">
      <c r="A8524" s="2" t="s">
        <v>8</v>
      </c>
      <c r="B8524" s="2" t="str">
        <f>HYPERLINK("http://ts.21cn.com/tousu/show/id/1339602","京东白条暴力催收恐吓威胁")</f>
        <v>京东白条暴力催收恐吓威胁</v>
      </c>
      <c r="C8524" s="2" t="s">
        <v>9</v>
      </c>
      <c r="D8524" s="2" t="s">
        <v>10</v>
      </c>
      <c r="E8524" s="2" t="str">
        <f>HYPERLINK("http://ts.21cn.com/tousu/show/id/1339602","http://ts.21cn.com/tousu/show/id/1339602")</f>
        <v>http://ts.21cn.com/tousu/show/id/1339602</v>
      </c>
      <c r="F8524" s="2" t="s">
        <v>11</v>
      </c>
      <c r="G8524" s="2" t="s">
        <v>27402</v>
      </c>
      <c r="H8524" s="2" t="s">
        <v>27403</v>
      </c>
    </row>
    <row r="8525" spans="1:8" ht="25.05" customHeight="1" x14ac:dyDescent="0.25">
      <c r="A8525" s="2" t="s">
        <v>8</v>
      </c>
      <c r="B8525" s="2" t="str">
        <f>HYPERLINK("http://ts.21cn.com/tousu/show/id/1339603","快车接不到单")</f>
        <v>快车接不到单</v>
      </c>
      <c r="C8525" s="2" t="s">
        <v>34</v>
      </c>
      <c r="D8525" s="2" t="s">
        <v>10</v>
      </c>
      <c r="E8525" s="2" t="str">
        <f>HYPERLINK("http://ts.21cn.com/tousu/show/id/1339603","http://ts.21cn.com/tousu/show/id/1339603")</f>
        <v>http://ts.21cn.com/tousu/show/id/1339603</v>
      </c>
      <c r="F8525" s="2" t="s">
        <v>11</v>
      </c>
      <c r="G8525" s="2" t="s">
        <v>27400</v>
      </c>
      <c r="H8525" s="2" t="s">
        <v>27401</v>
      </c>
    </row>
    <row r="8526" spans="1:8" ht="25.05" customHeight="1" x14ac:dyDescent="0.25">
      <c r="A8526" s="2" t="s">
        <v>8</v>
      </c>
      <c r="B8526" s="2" t="str">
        <f>HYPERLINK("http://ts.21cn.com/tousu/show/id/1339605","拼多多涉及虚假宣传")</f>
        <v>拼多多涉及虚假宣传</v>
      </c>
      <c r="C8526" s="2" t="s">
        <v>9</v>
      </c>
      <c r="D8526" s="2" t="s">
        <v>10</v>
      </c>
      <c r="E8526" s="2" t="str">
        <f>HYPERLINK("http://ts.21cn.com/tousu/show/id/1339605","http://ts.21cn.com/tousu/show/id/1339605")</f>
        <v>http://ts.21cn.com/tousu/show/id/1339605</v>
      </c>
      <c r="F8526" s="2" t="s">
        <v>11</v>
      </c>
      <c r="G8526" s="2" t="s">
        <v>27398</v>
      </c>
      <c r="H8526" s="2" t="s">
        <v>27399</v>
      </c>
    </row>
    <row r="8527" spans="1:8" ht="25.05" customHeight="1" x14ac:dyDescent="0.25">
      <c r="A8527" s="2" t="s">
        <v>8</v>
      </c>
      <c r="B8527" s="2" t="str">
        <f>HYPERLINK("http://ts.21cn.com/tousu/show/id/1339606","上当入坑爱白条超黑高利贷")</f>
        <v>上当入坑爱白条超黑高利贷</v>
      </c>
      <c r="C8527" s="2" t="s">
        <v>9</v>
      </c>
      <c r="D8527" s="2" t="s">
        <v>10</v>
      </c>
      <c r="E8527" s="2" t="str">
        <f>HYPERLINK("http://ts.21cn.com/tousu/show/id/1339606","http://ts.21cn.com/tousu/show/id/1339606")</f>
        <v>http://ts.21cn.com/tousu/show/id/1339606</v>
      </c>
      <c r="F8527" s="2" t="s">
        <v>11</v>
      </c>
      <c r="G8527" s="2" t="s">
        <v>27396</v>
      </c>
      <c r="H8527" s="2" t="s">
        <v>27397</v>
      </c>
    </row>
    <row r="8528" spans="1:8" ht="25.05" customHeight="1" x14ac:dyDescent="0.25">
      <c r="A8528" s="2" t="s">
        <v>8</v>
      </c>
      <c r="B8528" s="2" t="str">
        <f>HYPERLINK("http://ts.21cn.com/tousu/show/id/1339607","高利贷，高利息")</f>
        <v>高利贷，高利息</v>
      </c>
      <c r="C8528" s="2" t="s">
        <v>9</v>
      </c>
      <c r="D8528" s="2" t="s">
        <v>10</v>
      </c>
      <c r="E8528" s="2" t="str">
        <f>HYPERLINK("http://ts.21cn.com/tousu/show/id/1339607","http://ts.21cn.com/tousu/show/id/1339607")</f>
        <v>http://ts.21cn.com/tousu/show/id/1339607</v>
      </c>
      <c r="F8528" s="2" t="s">
        <v>11</v>
      </c>
      <c r="G8528" s="2" t="s">
        <v>27394</v>
      </c>
      <c r="H8528" s="2" t="s">
        <v>27395</v>
      </c>
    </row>
    <row r="8529" spans="1:8" ht="25.05" customHeight="1" x14ac:dyDescent="0.25">
      <c r="A8529" s="2" t="s">
        <v>8</v>
      </c>
      <c r="B8529" s="2" t="str">
        <f>HYPERLINK("http://ts.21cn.com/tousu/show/id/1339608","卡牛瑞贷乱扣费")</f>
        <v>卡牛瑞贷乱扣费</v>
      </c>
      <c r="C8529" s="2" t="s">
        <v>9</v>
      </c>
      <c r="D8529" s="2" t="s">
        <v>10</v>
      </c>
      <c r="E8529" s="2" t="str">
        <f>HYPERLINK("http://ts.21cn.com/tousu/show/id/1339608","http://ts.21cn.com/tousu/show/id/1339608")</f>
        <v>http://ts.21cn.com/tousu/show/id/1339608</v>
      </c>
      <c r="F8529" s="2" t="s">
        <v>11</v>
      </c>
      <c r="G8529" s="2" t="s">
        <v>27392</v>
      </c>
      <c r="H8529" s="2" t="s">
        <v>27393</v>
      </c>
    </row>
    <row r="8530" spans="1:8" ht="25.05" customHeight="1" x14ac:dyDescent="0.25">
      <c r="A8530" s="2" t="s">
        <v>8</v>
      </c>
      <c r="B8530" s="2" t="str">
        <f>HYPERLINK("http://ts.21cn.com/tousu/show/id/1339610","小象优品高利贷摧毁家庭")</f>
        <v>小象优品高利贷摧毁家庭</v>
      </c>
      <c r="C8530" s="2" t="s">
        <v>9</v>
      </c>
      <c r="D8530" s="2" t="s">
        <v>10</v>
      </c>
      <c r="E8530" s="2" t="str">
        <f>HYPERLINK("http://ts.21cn.com/tousu/show/id/1339610","http://ts.21cn.com/tousu/show/id/1339610")</f>
        <v>http://ts.21cn.com/tousu/show/id/1339610</v>
      </c>
      <c r="F8530" s="2" t="s">
        <v>11</v>
      </c>
      <c r="G8530" s="2" t="s">
        <v>27390</v>
      </c>
      <c r="H8530" s="2" t="s">
        <v>27391</v>
      </c>
    </row>
    <row r="8531" spans="1:8" ht="25.05" customHeight="1" x14ac:dyDescent="0.25">
      <c r="A8531" s="2" t="s">
        <v>8</v>
      </c>
      <c r="B8531" s="2" t="str">
        <f>HYPERLINK("http://ts.21cn.com/tousu/show/id/1339609","有钱花威胁催收")</f>
        <v>有钱花威胁催收</v>
      </c>
      <c r="C8531" s="2" t="s">
        <v>9</v>
      </c>
      <c r="D8531" s="2" t="s">
        <v>10</v>
      </c>
      <c r="E8531" s="2" t="str">
        <f>HYPERLINK("http://ts.21cn.com/tousu/show/id/1339609","http://ts.21cn.com/tousu/show/id/1339609")</f>
        <v>http://ts.21cn.com/tousu/show/id/1339609</v>
      </c>
      <c r="F8531" s="2" t="s">
        <v>11</v>
      </c>
      <c r="G8531" s="2" t="s">
        <v>27388</v>
      </c>
      <c r="H8531" s="2" t="s">
        <v>27389</v>
      </c>
    </row>
    <row r="8532" spans="1:8" ht="25.05" customHeight="1" x14ac:dyDescent="0.25">
      <c r="A8532" s="2" t="s">
        <v>8</v>
      </c>
      <c r="B8532" s="2" t="str">
        <f>HYPERLINK("http://ts.21cn.com/tousu/show/id/1339590","抖音涉嫌套路贷")</f>
        <v>抖音涉嫌套路贷</v>
      </c>
      <c r="C8532" s="2" t="s">
        <v>9</v>
      </c>
      <c r="D8532" s="2" t="s">
        <v>10</v>
      </c>
      <c r="E8532" s="2" t="str">
        <f>HYPERLINK("http://ts.21cn.com/tousu/show/id/1339590","http://ts.21cn.com/tousu/show/id/1339590")</f>
        <v>http://ts.21cn.com/tousu/show/id/1339590</v>
      </c>
      <c r="F8532" s="2" t="s">
        <v>11</v>
      </c>
      <c r="G8532" s="2" t="s">
        <v>27386</v>
      </c>
      <c r="H8532" s="2" t="s">
        <v>27387</v>
      </c>
    </row>
    <row r="8533" spans="1:8" ht="25.05" customHeight="1" x14ac:dyDescent="0.25">
      <c r="A8533" s="2" t="s">
        <v>8</v>
      </c>
      <c r="B8533" s="2" t="str">
        <f>HYPERLINK("http://ts.21cn.com/tousu/show/id/1339613","暴力非法催收")</f>
        <v>暴力非法催收</v>
      </c>
      <c r="C8533" s="2" t="s">
        <v>9</v>
      </c>
      <c r="D8533" s="2" t="s">
        <v>10</v>
      </c>
      <c r="E8533" s="2" t="str">
        <f>HYPERLINK("http://ts.21cn.com/tousu/show/id/1339613","http://ts.21cn.com/tousu/show/id/1339613")</f>
        <v>http://ts.21cn.com/tousu/show/id/1339613</v>
      </c>
      <c r="F8533" s="2" t="s">
        <v>11</v>
      </c>
      <c r="G8533" s="2" t="s">
        <v>27384</v>
      </c>
      <c r="H8533" s="2" t="s">
        <v>27385</v>
      </c>
    </row>
    <row r="8534" spans="1:8" ht="25.05" customHeight="1" x14ac:dyDescent="0.25">
      <c r="A8534" s="2" t="s">
        <v>8</v>
      </c>
      <c r="B8534" s="2" t="str">
        <f>HYPERLINK("http://ts.21cn.com/tousu/show/id/1339614","美团暴力催收，不止爆通讯录，还短信威胁恐吓")</f>
        <v>美团暴力催收，不止爆通讯录，还短信威胁恐吓</v>
      </c>
      <c r="C8534" s="2" t="s">
        <v>9</v>
      </c>
      <c r="D8534" s="2" t="s">
        <v>10</v>
      </c>
      <c r="E8534" s="2" t="str">
        <f>HYPERLINK("http://ts.21cn.com/tousu/show/id/1339614","http://ts.21cn.com/tousu/show/id/1339614")</f>
        <v>http://ts.21cn.com/tousu/show/id/1339614</v>
      </c>
      <c r="F8534" s="2" t="s">
        <v>11</v>
      </c>
      <c r="G8534" s="2" t="s">
        <v>27382</v>
      </c>
      <c r="H8534" s="2" t="s">
        <v>27383</v>
      </c>
    </row>
    <row r="8535" spans="1:8" ht="25.05" customHeight="1" x14ac:dyDescent="0.25">
      <c r="A8535" s="2" t="s">
        <v>8</v>
      </c>
      <c r="B8535" s="2" t="str">
        <f>HYPERLINK("http://ts.21cn.com/tousu/show/id/1339615","平台不给注销账户")</f>
        <v>平台不给注销账户</v>
      </c>
      <c r="C8535" s="2" t="s">
        <v>9</v>
      </c>
      <c r="D8535" s="2" t="s">
        <v>10</v>
      </c>
      <c r="E8535" s="2" t="str">
        <f>HYPERLINK("http://ts.21cn.com/tousu/show/id/1339615","http://ts.21cn.com/tousu/show/id/1339615")</f>
        <v>http://ts.21cn.com/tousu/show/id/1339615</v>
      </c>
      <c r="F8535" s="2" t="s">
        <v>11</v>
      </c>
      <c r="G8535" s="2" t="s">
        <v>27380</v>
      </c>
      <c r="H8535" s="2" t="s">
        <v>27381</v>
      </c>
    </row>
    <row r="8536" spans="1:8" ht="25.05" customHeight="1" x14ac:dyDescent="0.25">
      <c r="A8536" s="2" t="s">
        <v>8</v>
      </c>
      <c r="B8536" s="2" t="str">
        <f>HYPERLINK("http://ts.21cn.com/tousu/show/id/1339616","豆豆钱高额逾期费")</f>
        <v>豆豆钱高额逾期费</v>
      </c>
      <c r="C8536" s="2" t="s">
        <v>9</v>
      </c>
      <c r="D8536" s="2" t="s">
        <v>10</v>
      </c>
      <c r="E8536" s="2" t="str">
        <f>HYPERLINK("http://ts.21cn.com/tousu/show/id/1339616","http://ts.21cn.com/tousu/show/id/1339616")</f>
        <v>http://ts.21cn.com/tousu/show/id/1339616</v>
      </c>
      <c r="F8536" s="2" t="s">
        <v>11</v>
      </c>
      <c r="G8536" s="2" t="s">
        <v>27378</v>
      </c>
      <c r="H8536" s="2" t="s">
        <v>27379</v>
      </c>
    </row>
    <row r="8537" spans="1:8" ht="25.05" customHeight="1" x14ac:dyDescent="0.25">
      <c r="A8537" s="2" t="s">
        <v>8</v>
      </c>
      <c r="B8537" s="2" t="str">
        <f>HYPERLINK("http://ts.21cn.com/tousu/show/id/1339618","平安银行为高利贷提高放款通道")</f>
        <v>平安银行为高利贷提高放款通道</v>
      </c>
      <c r="C8537" s="2" t="s">
        <v>9</v>
      </c>
      <c r="D8537" s="2" t="s">
        <v>10</v>
      </c>
      <c r="E8537" s="2" t="str">
        <f>HYPERLINK("http://ts.21cn.com/tousu/show/id/1339618","http://ts.21cn.com/tousu/show/id/1339618")</f>
        <v>http://ts.21cn.com/tousu/show/id/1339618</v>
      </c>
      <c r="F8537" s="2" t="s">
        <v>11</v>
      </c>
      <c r="G8537" s="2" t="s">
        <v>27376</v>
      </c>
      <c r="H8537" s="2" t="s">
        <v>27377</v>
      </c>
    </row>
    <row r="8538" spans="1:8" ht="25.05" customHeight="1" x14ac:dyDescent="0.25">
      <c r="A8538" s="2" t="s">
        <v>8</v>
      </c>
      <c r="B8538" s="2" t="str">
        <f>HYPERLINK("http://ts.21cn.com/tousu/show/id/1339620","骚扰家人朋友，")</f>
        <v>骚扰家人朋友，</v>
      </c>
      <c r="C8538" s="2" t="s">
        <v>9</v>
      </c>
      <c r="D8538" s="2" t="s">
        <v>10</v>
      </c>
      <c r="E8538" s="2" t="str">
        <f>HYPERLINK("http://ts.21cn.com/tousu/show/id/1339620","http://ts.21cn.com/tousu/show/id/1339620")</f>
        <v>http://ts.21cn.com/tousu/show/id/1339620</v>
      </c>
      <c r="F8538" s="2" t="s">
        <v>11</v>
      </c>
      <c r="G8538" s="2" t="s">
        <v>27374</v>
      </c>
      <c r="H8538" s="2" t="s">
        <v>27375</v>
      </c>
    </row>
    <row r="8539" spans="1:8" ht="25.05" customHeight="1" x14ac:dyDescent="0.25">
      <c r="A8539" s="2" t="s">
        <v>8</v>
      </c>
      <c r="B8539" s="2" t="str">
        <f>HYPERLINK("http://ts.21cn.com/tousu/show/id/1339619","教育机构不退款")</f>
        <v>教育机构不退款</v>
      </c>
      <c r="C8539" s="2" t="s">
        <v>9</v>
      </c>
      <c r="D8539" s="2" t="s">
        <v>10</v>
      </c>
      <c r="E8539" s="2" t="str">
        <f>HYPERLINK("http://ts.21cn.com/tousu/show/id/1339619","http://ts.21cn.com/tousu/show/id/1339619")</f>
        <v>http://ts.21cn.com/tousu/show/id/1339619</v>
      </c>
      <c r="F8539" s="2" t="s">
        <v>11</v>
      </c>
      <c r="G8539" s="2" t="s">
        <v>27372</v>
      </c>
      <c r="H8539" s="2" t="s">
        <v>27373</v>
      </c>
    </row>
    <row r="8540" spans="1:8" ht="25.05" customHeight="1" x14ac:dyDescent="0.25">
      <c r="A8540" s="2" t="s">
        <v>8</v>
      </c>
      <c r="B8540" s="2" t="str">
        <f>HYPERLINK("http://ts.21cn.com/tousu/show/id/1339621","中信银行信用卡恶意催收")</f>
        <v>中信银行信用卡恶意催收</v>
      </c>
      <c r="C8540" s="2" t="s">
        <v>9</v>
      </c>
      <c r="D8540" s="2" t="s">
        <v>10</v>
      </c>
      <c r="E8540" s="2" t="str">
        <f>HYPERLINK("http://ts.21cn.com/tousu/show/id/1339621","http://ts.21cn.com/tousu/show/id/1339621")</f>
        <v>http://ts.21cn.com/tousu/show/id/1339621</v>
      </c>
      <c r="F8540" s="2" t="s">
        <v>11</v>
      </c>
      <c r="G8540" s="2" t="s">
        <v>27370</v>
      </c>
      <c r="H8540" s="2" t="s">
        <v>27371</v>
      </c>
    </row>
    <row r="8541" spans="1:8" ht="25.05" customHeight="1" x14ac:dyDescent="0.25">
      <c r="A8541" s="2" t="s">
        <v>8</v>
      </c>
      <c r="B8541" s="2" t="str">
        <f>HYPERLINK("http://ts.21cn.com/tousu/show/id/1339622","暴力催收x")</f>
        <v>暴力催收x</v>
      </c>
      <c r="C8541" s="2" t="s">
        <v>9</v>
      </c>
      <c r="D8541" s="2" t="s">
        <v>10</v>
      </c>
      <c r="E8541" s="2" t="str">
        <f>HYPERLINK("http://ts.21cn.com/tousu/show/id/1339622","http://ts.21cn.com/tousu/show/id/1339622")</f>
        <v>http://ts.21cn.com/tousu/show/id/1339622</v>
      </c>
      <c r="F8541" s="2" t="s">
        <v>11</v>
      </c>
      <c r="G8541" s="2" t="s">
        <v>27368</v>
      </c>
      <c r="H8541" s="2" t="s">
        <v>27369</v>
      </c>
    </row>
    <row r="8542" spans="1:8" ht="25.05" customHeight="1" x14ac:dyDescent="0.25">
      <c r="A8542" s="2" t="s">
        <v>8</v>
      </c>
      <c r="B8542" s="2" t="str">
        <f>HYPERLINK("http://ts.21cn.com/tousu/show/id/1339623","现金巴士前期费用")</f>
        <v>现金巴士前期费用</v>
      </c>
      <c r="C8542" s="2" t="s">
        <v>34</v>
      </c>
      <c r="D8542" s="2" t="s">
        <v>10</v>
      </c>
      <c r="E8542" s="2" t="str">
        <f>HYPERLINK("http://ts.21cn.com/tousu/show/id/1339623","http://ts.21cn.com/tousu/show/id/1339623")</f>
        <v>http://ts.21cn.com/tousu/show/id/1339623</v>
      </c>
      <c r="F8542" s="2" t="s">
        <v>11</v>
      </c>
      <c r="G8542" s="2" t="s">
        <v>27366</v>
      </c>
      <c r="H8542" s="2" t="s">
        <v>27367</v>
      </c>
    </row>
    <row r="8543" spans="1:8" ht="25.05" customHeight="1" x14ac:dyDescent="0.25">
      <c r="A8543" s="2" t="s">
        <v>8</v>
      </c>
      <c r="B8543" s="2" t="str">
        <f>HYPERLINK("http://ts.21cn.com/tousu/show/id/1339624","高炮")</f>
        <v>高炮</v>
      </c>
      <c r="C8543" s="2" t="s">
        <v>34</v>
      </c>
      <c r="D8543" s="2" t="s">
        <v>10</v>
      </c>
      <c r="E8543" s="2" t="str">
        <f>HYPERLINK("http://ts.21cn.com/tousu/show/id/1339624","http://ts.21cn.com/tousu/show/id/1339624")</f>
        <v>http://ts.21cn.com/tousu/show/id/1339624</v>
      </c>
      <c r="F8543" s="2" t="s">
        <v>11</v>
      </c>
      <c r="G8543" s="2" t="s">
        <v>27364</v>
      </c>
      <c r="H8543" s="2" t="s">
        <v>27365</v>
      </c>
    </row>
    <row r="8544" spans="1:8" ht="25.05" customHeight="1" x14ac:dyDescent="0.25">
      <c r="A8544" s="2" t="s">
        <v>8</v>
      </c>
      <c r="B8544" s="2" t="str">
        <f>HYPERLINK("http://ts.21cn.com/tousu/show/id/1339625","讯联智付为非法高利贷钱置宝提供支付渠道")</f>
        <v>讯联智付为非法高利贷钱置宝提供支付渠道</v>
      </c>
      <c r="C8544" s="2" t="s">
        <v>9</v>
      </c>
      <c r="D8544" s="2" t="s">
        <v>10</v>
      </c>
      <c r="E8544" s="2" t="str">
        <f>HYPERLINK("http://ts.21cn.com/tousu/show/id/1339625","http://ts.21cn.com/tousu/show/id/1339625")</f>
        <v>http://ts.21cn.com/tousu/show/id/1339625</v>
      </c>
      <c r="F8544" s="2" t="s">
        <v>11</v>
      </c>
      <c r="G8544" s="2" t="s">
        <v>27362</v>
      </c>
      <c r="H8544" s="2" t="s">
        <v>27363</v>
      </c>
    </row>
    <row r="8545" spans="1:8" ht="25.05" customHeight="1" x14ac:dyDescent="0.25">
      <c r="A8545" s="2" t="s">
        <v>8</v>
      </c>
      <c r="B8545" s="2" t="str">
        <f>HYPERLINK("http://ts.21cn.com/tousu/show/id/1339626","高利贷无法还款恶意逾期电话骚扰")</f>
        <v>高利贷无法还款恶意逾期电话骚扰</v>
      </c>
      <c r="C8545" s="2" t="s">
        <v>9</v>
      </c>
      <c r="D8545" s="2" t="s">
        <v>10</v>
      </c>
      <c r="E8545" s="2" t="str">
        <f>HYPERLINK("http://ts.21cn.com/tousu/show/id/1339626","http://ts.21cn.com/tousu/show/id/1339626")</f>
        <v>http://ts.21cn.com/tousu/show/id/1339626</v>
      </c>
      <c r="F8545" s="2" t="s">
        <v>11</v>
      </c>
      <c r="G8545" s="2" t="s">
        <v>27360</v>
      </c>
      <c r="H8545" s="2" t="s">
        <v>27361</v>
      </c>
    </row>
    <row r="8546" spans="1:8" ht="25.05" customHeight="1" x14ac:dyDescent="0.25">
      <c r="A8546" s="2" t="s">
        <v>8</v>
      </c>
      <c r="B8546" s="2" t="str">
        <f>HYPERLINK("http://ts.21cn.com/tousu/show/id/1339627","立马进钱呆呆苞非法收取高额利息")</f>
        <v>立马进钱呆呆苞非法收取高额利息</v>
      </c>
      <c r="C8546" s="2" t="s">
        <v>9</v>
      </c>
      <c r="D8546" s="2" t="s">
        <v>10</v>
      </c>
      <c r="E8546" s="2" t="str">
        <f>HYPERLINK("http://ts.21cn.com/tousu/show/id/1339627","http://ts.21cn.com/tousu/show/id/1339627")</f>
        <v>http://ts.21cn.com/tousu/show/id/1339627</v>
      </c>
      <c r="F8546" s="2" t="s">
        <v>11</v>
      </c>
      <c r="G8546" s="2" t="s">
        <v>27358</v>
      </c>
      <c r="H8546" s="2" t="s">
        <v>27359</v>
      </c>
    </row>
    <row r="8547" spans="1:8" ht="25.05" customHeight="1" x14ac:dyDescent="0.25">
      <c r="A8547" s="2" t="s">
        <v>8</v>
      </c>
      <c r="B8547" s="2" t="str">
        <f>HYPERLINK("http://ts.21cn.com/tousu/show/id/1339628","钱站高额砍头利息恐吓当事人")</f>
        <v>钱站高额砍头利息恐吓当事人</v>
      </c>
      <c r="C8547" s="2" t="s">
        <v>9</v>
      </c>
      <c r="D8547" s="2" t="s">
        <v>10</v>
      </c>
      <c r="E8547" s="2" t="str">
        <f>HYPERLINK("http://ts.21cn.com/tousu/show/id/1339628","http://ts.21cn.com/tousu/show/id/1339628")</f>
        <v>http://ts.21cn.com/tousu/show/id/1339628</v>
      </c>
      <c r="F8547" s="2" t="s">
        <v>11</v>
      </c>
      <c r="G8547" s="2" t="s">
        <v>27355</v>
      </c>
      <c r="H8547" s="2" t="s">
        <v>27356</v>
      </c>
    </row>
    <row r="8548" spans="1:8" ht="25.05" customHeight="1" x14ac:dyDescent="0.25">
      <c r="A8548" s="2" t="s">
        <v>8</v>
      </c>
      <c r="B8548" s="2" t="str">
        <f>HYPERLINK("http://ts.21cn.com/tousu/show/id/1339629","威力贷违法高利贷")</f>
        <v>威力贷违法高利贷</v>
      </c>
      <c r="C8548" s="2" t="s">
        <v>9</v>
      </c>
      <c r="D8548" s="2" t="s">
        <v>10</v>
      </c>
      <c r="E8548" s="2" t="str">
        <f>HYPERLINK("http://ts.21cn.com/tousu/show/id/1339629","http://ts.21cn.com/tousu/show/id/1339629")</f>
        <v>http://ts.21cn.com/tousu/show/id/1339629</v>
      </c>
      <c r="F8548" s="2" t="s">
        <v>11</v>
      </c>
      <c r="G8548" s="2" t="s">
        <v>27355</v>
      </c>
      <c r="H8548" s="2" t="s">
        <v>27357</v>
      </c>
    </row>
    <row r="8549" spans="1:8" ht="25.05" customHeight="1" x14ac:dyDescent="0.25">
      <c r="A8549" s="2" t="s">
        <v>8</v>
      </c>
      <c r="B8549" s="2" t="str">
        <f>HYPERLINK("http://ts.21cn.com/tousu/show/id/1339630","钱站催收骚扰")</f>
        <v>钱站催收骚扰</v>
      </c>
      <c r="C8549" s="2" t="s">
        <v>9</v>
      </c>
      <c r="D8549" s="2" t="s">
        <v>10</v>
      </c>
      <c r="E8549" s="2" t="str">
        <f>HYPERLINK("http://ts.21cn.com/tousu/show/id/1339630","http://ts.21cn.com/tousu/show/id/1339630")</f>
        <v>http://ts.21cn.com/tousu/show/id/1339630</v>
      </c>
      <c r="F8549" s="2" t="s">
        <v>11</v>
      </c>
      <c r="G8549" s="2" t="s">
        <v>27353</v>
      </c>
      <c r="H8549" s="2" t="s">
        <v>27354</v>
      </c>
    </row>
    <row r="8550" spans="1:8" ht="25.05" customHeight="1" x14ac:dyDescent="0.25">
      <c r="A8550" s="2" t="s">
        <v>8</v>
      </c>
      <c r="B8550" s="2" t="str">
        <f>HYPERLINK("http://ts.21cn.com/tousu/show/id/1339631","聚宝来畅捷支付砍头息")</f>
        <v>聚宝来畅捷支付砍头息</v>
      </c>
      <c r="C8550" s="2" t="s">
        <v>9</v>
      </c>
      <c r="D8550" s="2" t="s">
        <v>10</v>
      </c>
      <c r="E8550" s="2" t="str">
        <f>HYPERLINK("http://ts.21cn.com/tousu/show/id/1339631","http://ts.21cn.com/tousu/show/id/1339631")</f>
        <v>http://ts.21cn.com/tousu/show/id/1339631</v>
      </c>
      <c r="F8550" s="2" t="s">
        <v>11</v>
      </c>
      <c r="G8550" s="2" t="s">
        <v>27351</v>
      </c>
      <c r="H8550" s="2" t="s">
        <v>27352</v>
      </c>
    </row>
    <row r="8551" spans="1:8" ht="25.05" customHeight="1" x14ac:dyDescent="0.25">
      <c r="A8551" s="2" t="s">
        <v>8</v>
      </c>
      <c r="B8551" s="2" t="str">
        <f>HYPERLINK("http://ts.21cn.com/tousu/show/id/1339632","合支付为714久久米柜提供非法支付通道")</f>
        <v>合支付为714久久米柜提供非法支付通道</v>
      </c>
      <c r="C8551" s="2" t="s">
        <v>9</v>
      </c>
      <c r="D8551" s="2" t="s">
        <v>10</v>
      </c>
      <c r="E8551" s="2" t="str">
        <f>HYPERLINK("http://ts.21cn.com/tousu/show/id/1339632","http://ts.21cn.com/tousu/show/id/1339632")</f>
        <v>http://ts.21cn.com/tousu/show/id/1339632</v>
      </c>
      <c r="F8551" s="2" t="s">
        <v>11</v>
      </c>
      <c r="G8551" s="2" t="s">
        <v>27349</v>
      </c>
      <c r="H8551" s="2" t="s">
        <v>27350</v>
      </c>
    </row>
    <row r="8552" spans="1:8" ht="25.05" customHeight="1" x14ac:dyDescent="0.25">
      <c r="A8552" s="2" t="s">
        <v>8</v>
      </c>
      <c r="B8552" s="2" t="str">
        <f>HYPERLINK("http://ts.21cn.com/tousu/show/id/1339491","趣花分期，元丰手机贷，提供714高炮")</f>
        <v>趣花分期，元丰手机贷，提供714高炮</v>
      </c>
      <c r="C8552" s="2" t="s">
        <v>34</v>
      </c>
      <c r="D8552" s="2" t="s">
        <v>10</v>
      </c>
      <c r="E8552" s="2" t="str">
        <f>HYPERLINK("http://ts.21cn.com/tousu/show/id/1339491","http://ts.21cn.com/tousu/show/id/1339491")</f>
        <v>http://ts.21cn.com/tousu/show/id/1339491</v>
      </c>
      <c r="F8552" s="2" t="s">
        <v>11</v>
      </c>
      <c r="G8552" s="2" t="s">
        <v>27347</v>
      </c>
      <c r="H8552" s="2" t="s">
        <v>27348</v>
      </c>
    </row>
    <row r="8553" spans="1:8" ht="25.05" customHeight="1" x14ac:dyDescent="0.25">
      <c r="A8553" s="2" t="s">
        <v>8</v>
      </c>
      <c r="B8553" s="2" t="str">
        <f>HYPERLINK("http://ts.21cn.com/tousu/show/id/1339633","中国移动合作网络赌博平台充值")</f>
        <v>中国移动合作网络赌博平台充值</v>
      </c>
      <c r="C8553" s="2" t="s">
        <v>9</v>
      </c>
      <c r="D8553" s="2" t="s">
        <v>10</v>
      </c>
      <c r="E8553" s="2" t="str">
        <f>HYPERLINK("http://ts.21cn.com/tousu/show/id/1339633","http://ts.21cn.com/tousu/show/id/1339633")</f>
        <v>http://ts.21cn.com/tousu/show/id/1339633</v>
      </c>
      <c r="F8553" s="2" t="s">
        <v>11</v>
      </c>
      <c r="G8553" s="2" t="s">
        <v>27345</v>
      </c>
      <c r="H8553" s="2" t="s">
        <v>27346</v>
      </c>
    </row>
    <row r="8554" spans="1:8" ht="25.05" customHeight="1" x14ac:dyDescent="0.25">
      <c r="A8554" s="2" t="s">
        <v>8</v>
      </c>
      <c r="B8554" s="2" t="str">
        <f>HYPERLINK("http://ts.21cn.com/tousu/show/id/1339635","泄漏他人隐私")</f>
        <v>泄漏他人隐私</v>
      </c>
      <c r="C8554" s="2" t="s">
        <v>9</v>
      </c>
      <c r="D8554" s="2" t="s">
        <v>10</v>
      </c>
      <c r="E8554" s="2" t="str">
        <f>HYPERLINK("http://ts.21cn.com/tousu/show/id/1339635","http://ts.21cn.com/tousu/show/id/1339635")</f>
        <v>http://ts.21cn.com/tousu/show/id/1339635</v>
      </c>
      <c r="F8554" s="2" t="s">
        <v>11</v>
      </c>
      <c r="G8554" s="2" t="s">
        <v>27343</v>
      </c>
      <c r="H8554" s="2" t="s">
        <v>27344</v>
      </c>
    </row>
    <row r="8555" spans="1:8" ht="25.05" customHeight="1" x14ac:dyDescent="0.25">
      <c r="A8555" s="2" t="s">
        <v>8</v>
      </c>
      <c r="B8555" s="2" t="str">
        <f>HYPERLINK("http://ts.21cn.com/tousu/show/id/1339634","月光侠分期")</f>
        <v>月光侠分期</v>
      </c>
      <c r="C8555" s="2" t="s">
        <v>9</v>
      </c>
      <c r="D8555" s="2" t="s">
        <v>10</v>
      </c>
      <c r="E8555" s="2" t="str">
        <f>HYPERLINK("http://ts.21cn.com/tousu/show/id/1339634","http://ts.21cn.com/tousu/show/id/1339634")</f>
        <v>http://ts.21cn.com/tousu/show/id/1339634</v>
      </c>
      <c r="F8555" s="2" t="s">
        <v>11</v>
      </c>
      <c r="G8555" s="2" t="s">
        <v>27341</v>
      </c>
      <c r="H8555" s="2" t="s">
        <v>27342</v>
      </c>
    </row>
    <row r="8556" spans="1:8" ht="25.05" customHeight="1" x14ac:dyDescent="0.25">
      <c r="A8556" s="2" t="s">
        <v>8</v>
      </c>
      <c r="B8556" s="2" t="str">
        <f>HYPERLINK("http://ts.21cn.com/tousu/show/id/1339636","小米金融恶意骗去利息")</f>
        <v>小米金融恶意骗去利息</v>
      </c>
      <c r="C8556" s="2" t="s">
        <v>9</v>
      </c>
      <c r="D8556" s="2" t="s">
        <v>10</v>
      </c>
      <c r="E8556" s="2" t="str">
        <f>HYPERLINK("http://ts.21cn.com/tousu/show/id/1339636","http://ts.21cn.com/tousu/show/id/1339636")</f>
        <v>http://ts.21cn.com/tousu/show/id/1339636</v>
      </c>
      <c r="F8556" s="2" t="s">
        <v>11</v>
      </c>
      <c r="G8556" s="2" t="s">
        <v>27339</v>
      </c>
      <c r="H8556" s="2" t="s">
        <v>27340</v>
      </c>
    </row>
    <row r="8557" spans="1:8" ht="25.05" customHeight="1" x14ac:dyDescent="0.25">
      <c r="A8557" s="2" t="s">
        <v>8</v>
      </c>
      <c r="B8557" s="2" t="str">
        <f>HYPERLINK("http://ts.21cn.com/tousu/show/id/1339637","微粒贷")</f>
        <v>微粒贷</v>
      </c>
      <c r="C8557" s="2" t="s">
        <v>9</v>
      </c>
      <c r="D8557" s="2" t="s">
        <v>10</v>
      </c>
      <c r="E8557" s="2" t="str">
        <f>HYPERLINK("http://ts.21cn.com/tousu/show/id/1339637","http://ts.21cn.com/tousu/show/id/1339637")</f>
        <v>http://ts.21cn.com/tousu/show/id/1339637</v>
      </c>
      <c r="F8557" s="2" t="s">
        <v>11</v>
      </c>
      <c r="G8557" s="2" t="s">
        <v>27336</v>
      </c>
      <c r="H8557" s="2" t="s">
        <v>27337</v>
      </c>
    </row>
    <row r="8558" spans="1:8" ht="25.05" customHeight="1" x14ac:dyDescent="0.25">
      <c r="A8558" s="2" t="s">
        <v>8</v>
      </c>
      <c r="B8558" s="2" t="str">
        <f>HYPERLINK("http://ts.21cn.com/tousu/show/id/1339638","合同欺诈，私自扣款")</f>
        <v>合同欺诈，私自扣款</v>
      </c>
      <c r="C8558" s="2" t="s">
        <v>9</v>
      </c>
      <c r="D8558" s="2" t="s">
        <v>10</v>
      </c>
      <c r="E8558" s="2" t="str">
        <f>HYPERLINK("http://ts.21cn.com/tousu/show/id/1339638","http://ts.21cn.com/tousu/show/id/1339638")</f>
        <v>http://ts.21cn.com/tousu/show/id/1339638</v>
      </c>
      <c r="F8558" s="2" t="s">
        <v>11</v>
      </c>
      <c r="G8558" s="2" t="s">
        <v>27336</v>
      </c>
      <c r="H8558" s="2" t="s">
        <v>27338</v>
      </c>
    </row>
    <row r="8559" spans="1:8" ht="25.05" customHeight="1" x14ac:dyDescent="0.25">
      <c r="A8559" s="2" t="s">
        <v>8</v>
      </c>
      <c r="B8559" s="2" t="str">
        <f>HYPERLINK("http://ts.21cn.com/tousu/show/id/1339640","玖富万卡高利贷，阴阳合同")</f>
        <v>玖富万卡高利贷，阴阳合同</v>
      </c>
      <c r="C8559" s="2" t="s">
        <v>9</v>
      </c>
      <c r="D8559" s="2" t="s">
        <v>10</v>
      </c>
      <c r="E8559" s="2" t="str">
        <f>HYPERLINK("http://ts.21cn.com/tousu/show/id/1339640","http://ts.21cn.com/tousu/show/id/1339640")</f>
        <v>http://ts.21cn.com/tousu/show/id/1339640</v>
      </c>
      <c r="F8559" s="2" t="s">
        <v>11</v>
      </c>
      <c r="G8559" s="2" t="s">
        <v>27334</v>
      </c>
      <c r="H8559" s="2" t="s">
        <v>27335</v>
      </c>
    </row>
    <row r="8560" spans="1:8" ht="25.05" customHeight="1" x14ac:dyDescent="0.25">
      <c r="A8560" s="2" t="s">
        <v>8</v>
      </c>
      <c r="B8560" s="2" t="str">
        <f>HYPERLINK("http://ts.21cn.com/tousu/show/id/1339639","拼多多商户多扣款，平台不作为")</f>
        <v>拼多多商户多扣款，平台不作为</v>
      </c>
      <c r="C8560" s="2" t="s">
        <v>9</v>
      </c>
      <c r="D8560" s="2" t="s">
        <v>10</v>
      </c>
      <c r="E8560" s="2" t="str">
        <f>HYPERLINK("http://ts.21cn.com/tousu/show/id/1339639","http://ts.21cn.com/tousu/show/id/1339639")</f>
        <v>http://ts.21cn.com/tousu/show/id/1339639</v>
      </c>
      <c r="F8560" s="2" t="s">
        <v>11</v>
      </c>
      <c r="G8560" s="2" t="s">
        <v>27332</v>
      </c>
      <c r="H8560" s="2" t="s">
        <v>27333</v>
      </c>
    </row>
    <row r="8561" spans="1:8" ht="25.05" customHeight="1" x14ac:dyDescent="0.25">
      <c r="A8561" s="2" t="s">
        <v>8</v>
      </c>
      <c r="B8561" s="2" t="str">
        <f>HYPERLINK("http://ts.21cn.com/tousu/show/id/1339641","注册聚富分期被扣款150元，银行卡查扣款方是通联支付-携趣信息科技（上海）有限公司，扣款协议是上海造艺网络科技有限公司")</f>
        <v>注册聚富分期被扣款150元，银行卡查扣款方是通联支付-携趣信息科技（上海）有限公司，扣款协议是上海造艺网络科技有限公司</v>
      </c>
      <c r="C8561" s="2" t="s">
        <v>34</v>
      </c>
      <c r="D8561" s="2" t="s">
        <v>10</v>
      </c>
      <c r="E8561" s="2" t="str">
        <f>HYPERLINK("http://ts.21cn.com/tousu/show/id/1339641","http://ts.21cn.com/tousu/show/id/1339641")</f>
        <v>http://ts.21cn.com/tousu/show/id/1339641</v>
      </c>
      <c r="F8561" s="2" t="s">
        <v>11</v>
      </c>
      <c r="G8561" s="2" t="s">
        <v>27330</v>
      </c>
      <c r="H8561" s="2" t="s">
        <v>27331</v>
      </c>
    </row>
    <row r="8562" spans="1:8" ht="25.05" customHeight="1" x14ac:dyDescent="0.25">
      <c r="A8562" s="2" t="s">
        <v>8</v>
      </c>
      <c r="B8562" s="2" t="str">
        <f>HYPERLINK("http://ts.21cn.com/tousu/show/id/1339642","侵权隐私")</f>
        <v>侵权隐私</v>
      </c>
      <c r="C8562" s="2" t="s">
        <v>9</v>
      </c>
      <c r="D8562" s="2" t="s">
        <v>10</v>
      </c>
      <c r="E8562" s="2" t="str">
        <f>HYPERLINK("http://ts.21cn.com/tousu/show/id/1339642","http://ts.21cn.com/tousu/show/id/1339642")</f>
        <v>http://ts.21cn.com/tousu/show/id/1339642</v>
      </c>
      <c r="F8562" s="2" t="s">
        <v>11</v>
      </c>
      <c r="G8562" s="2" t="s">
        <v>27328</v>
      </c>
      <c r="H8562" s="2" t="s">
        <v>27329</v>
      </c>
    </row>
    <row r="8563" spans="1:8" ht="25.05" customHeight="1" x14ac:dyDescent="0.25">
      <c r="A8563" s="2" t="s">
        <v>8</v>
      </c>
      <c r="B8563" s="2" t="str">
        <f>HYPERLINK("http://ts.21cn.com/tousu/show/id/1339643","不矛退款")</f>
        <v>不矛退款</v>
      </c>
      <c r="C8563" s="2" t="s">
        <v>9</v>
      </c>
      <c r="D8563" s="2" t="s">
        <v>10</v>
      </c>
      <c r="E8563" s="2" t="str">
        <f>HYPERLINK("http://ts.21cn.com/tousu/show/id/1339643","http://ts.21cn.com/tousu/show/id/1339643")</f>
        <v>http://ts.21cn.com/tousu/show/id/1339643</v>
      </c>
      <c r="F8563" s="2" t="s">
        <v>11</v>
      </c>
      <c r="G8563" s="2" t="s">
        <v>27326</v>
      </c>
      <c r="H8563" s="2" t="s">
        <v>27327</v>
      </c>
    </row>
    <row r="8564" spans="1:8" ht="25.05" customHeight="1" x14ac:dyDescent="0.25">
      <c r="A8564" s="2" t="s">
        <v>8</v>
      </c>
      <c r="B8564" s="2" t="str">
        <f>HYPERLINK("http://ts.21cn.com/tousu/show/id/1339644","钱站高利贷阴阳合同")</f>
        <v>钱站高利贷阴阳合同</v>
      </c>
      <c r="C8564" s="2" t="s">
        <v>9</v>
      </c>
      <c r="D8564" s="2" t="s">
        <v>10</v>
      </c>
      <c r="E8564" s="2" t="str">
        <f>HYPERLINK("http://ts.21cn.com/tousu/show/id/1339644","http://ts.21cn.com/tousu/show/id/1339644")</f>
        <v>http://ts.21cn.com/tousu/show/id/1339644</v>
      </c>
      <c r="F8564" s="2" t="s">
        <v>11</v>
      </c>
      <c r="G8564" s="2" t="s">
        <v>27324</v>
      </c>
      <c r="H8564" s="2" t="s">
        <v>27325</v>
      </c>
    </row>
    <row r="8565" spans="1:8" ht="25.05" customHeight="1" x14ac:dyDescent="0.25">
      <c r="A8565" s="2" t="s">
        <v>8</v>
      </c>
      <c r="B8565" s="2" t="str">
        <f>HYPERLINK("http://ts.21cn.com/tousu/show/id/1339645","收到的优惠券不是同等金额")</f>
        <v>收到的优惠券不是同等金额</v>
      </c>
      <c r="C8565" s="2" t="s">
        <v>34</v>
      </c>
      <c r="D8565" s="2" t="s">
        <v>10</v>
      </c>
      <c r="E8565" s="2" t="str">
        <f>HYPERLINK("http://ts.21cn.com/tousu/show/id/1339645","http://ts.21cn.com/tousu/show/id/1339645")</f>
        <v>http://ts.21cn.com/tousu/show/id/1339645</v>
      </c>
      <c r="F8565" s="2" t="s">
        <v>11</v>
      </c>
      <c r="G8565" s="2" t="s">
        <v>27322</v>
      </c>
      <c r="H8565" s="2" t="s">
        <v>27323</v>
      </c>
    </row>
    <row r="8566" spans="1:8" ht="25.05" customHeight="1" x14ac:dyDescent="0.25">
      <c r="A8566" s="2" t="s">
        <v>8</v>
      </c>
      <c r="B8566" s="2" t="str">
        <f>HYPERLINK("http://ts.21cn.com/tousu/show/id/1339646","钱站高额服务费、暴力催收")</f>
        <v>钱站高额服务费、暴力催收</v>
      </c>
      <c r="C8566" s="2" t="s">
        <v>9</v>
      </c>
      <c r="D8566" s="2" t="s">
        <v>10</v>
      </c>
      <c r="E8566" s="2" t="str">
        <f>HYPERLINK("http://ts.21cn.com/tousu/show/id/1339646","http://ts.21cn.com/tousu/show/id/1339646")</f>
        <v>http://ts.21cn.com/tousu/show/id/1339646</v>
      </c>
      <c r="F8566" s="2" t="s">
        <v>11</v>
      </c>
      <c r="G8566" s="2" t="s">
        <v>27320</v>
      </c>
      <c r="H8566" s="2" t="s">
        <v>27321</v>
      </c>
    </row>
    <row r="8567" spans="1:8" ht="25.05" customHeight="1" x14ac:dyDescent="0.25">
      <c r="A8567" s="2" t="s">
        <v>8</v>
      </c>
      <c r="B8567" s="2" t="str">
        <f>HYPERLINK("http://ts.21cn.com/tousu/show/id/1339647","协商最低还款")</f>
        <v>协商最低还款</v>
      </c>
      <c r="C8567" s="2" t="s">
        <v>34</v>
      </c>
      <c r="D8567" s="2" t="s">
        <v>10</v>
      </c>
      <c r="E8567" s="2" t="str">
        <f>HYPERLINK("http://ts.21cn.com/tousu/show/id/1339647","http://ts.21cn.com/tousu/show/id/1339647")</f>
        <v>http://ts.21cn.com/tousu/show/id/1339647</v>
      </c>
      <c r="F8567" s="2" t="s">
        <v>11</v>
      </c>
      <c r="G8567" s="2" t="s">
        <v>27318</v>
      </c>
      <c r="H8567" s="2" t="s">
        <v>27319</v>
      </c>
    </row>
    <row r="8568" spans="1:8" ht="25.05" customHeight="1" x14ac:dyDescent="0.25">
      <c r="A8568" s="2" t="s">
        <v>8</v>
      </c>
      <c r="B8568" s="2" t="str">
        <f>HYPERLINK("http://ts.21cn.com/tousu/show/id/1339648","苏宁易购骚扰无关人员")</f>
        <v>苏宁易购骚扰无关人员</v>
      </c>
      <c r="C8568" s="2" t="s">
        <v>9</v>
      </c>
      <c r="D8568" s="2" t="s">
        <v>10</v>
      </c>
      <c r="E8568" s="2" t="str">
        <f>HYPERLINK("http://ts.21cn.com/tousu/show/id/1339648","http://ts.21cn.com/tousu/show/id/1339648")</f>
        <v>http://ts.21cn.com/tousu/show/id/1339648</v>
      </c>
      <c r="F8568" s="2" t="s">
        <v>11</v>
      </c>
      <c r="G8568" s="2" t="s">
        <v>27316</v>
      </c>
      <c r="H8568" s="2" t="s">
        <v>27317</v>
      </c>
    </row>
    <row r="8569" spans="1:8" ht="25.05" customHeight="1" x14ac:dyDescent="0.25">
      <c r="A8569" s="2" t="s">
        <v>8</v>
      </c>
      <c r="B8569" s="2" t="str">
        <f>HYPERLINK("http://ts.21cn.com/tousu/show/id/1339650","交通银行暴力催收")</f>
        <v>交通银行暴力催收</v>
      </c>
      <c r="C8569" s="2" t="s">
        <v>9</v>
      </c>
      <c r="D8569" s="2" t="s">
        <v>10</v>
      </c>
      <c r="E8569" s="2" t="str">
        <f>HYPERLINK("http://ts.21cn.com/tousu/show/id/1339650","http://ts.21cn.com/tousu/show/id/1339650")</f>
        <v>http://ts.21cn.com/tousu/show/id/1339650</v>
      </c>
      <c r="F8569" s="2" t="s">
        <v>11</v>
      </c>
      <c r="G8569" s="2" t="s">
        <v>27314</v>
      </c>
      <c r="H8569" s="2" t="s">
        <v>27315</v>
      </c>
    </row>
    <row r="8570" spans="1:8" ht="25.05" customHeight="1" x14ac:dyDescent="0.25">
      <c r="A8570" s="2" t="s">
        <v>8</v>
      </c>
      <c r="B8570" s="2" t="str">
        <f>HYPERLINK("http://ts.21cn.com/tousu/show/id/1339651","变相高利贷")</f>
        <v>变相高利贷</v>
      </c>
      <c r="C8570" s="2" t="s">
        <v>9</v>
      </c>
      <c r="D8570" s="2" t="s">
        <v>10</v>
      </c>
      <c r="E8570" s="2" t="str">
        <f>HYPERLINK("http://ts.21cn.com/tousu/show/id/1339651","http://ts.21cn.com/tousu/show/id/1339651")</f>
        <v>http://ts.21cn.com/tousu/show/id/1339651</v>
      </c>
      <c r="F8570" s="2" t="s">
        <v>11</v>
      </c>
      <c r="G8570" s="2" t="s">
        <v>27312</v>
      </c>
      <c r="H8570" s="2" t="s">
        <v>27313</v>
      </c>
    </row>
    <row r="8571" spans="1:8" ht="25.05" customHeight="1" x14ac:dyDescent="0.25">
      <c r="A8571" s="2" t="s">
        <v>8</v>
      </c>
      <c r="B8571" s="2" t="str">
        <f>HYPERLINK("http://ts.21cn.com/tousu/show/id/1339652","到手了收货的时间交易猫客服一直不确定也联系不上")</f>
        <v>到手了收货的时间交易猫客服一直不确定也联系不上</v>
      </c>
      <c r="C8571" s="2" t="s">
        <v>9</v>
      </c>
      <c r="D8571" s="2" t="s">
        <v>10</v>
      </c>
      <c r="E8571" s="2" t="str">
        <f>HYPERLINK("http://ts.21cn.com/tousu/show/id/1339652","http://ts.21cn.com/tousu/show/id/1339652")</f>
        <v>http://ts.21cn.com/tousu/show/id/1339652</v>
      </c>
      <c r="F8571" s="2" t="s">
        <v>11</v>
      </c>
      <c r="G8571" s="2" t="s">
        <v>27310</v>
      </c>
      <c r="H8571" s="2" t="s">
        <v>27311</v>
      </c>
    </row>
    <row r="8572" spans="1:8" ht="25.05" customHeight="1" x14ac:dyDescent="0.25">
      <c r="A8572" s="2" t="s">
        <v>8</v>
      </c>
      <c r="B8572" s="2" t="str">
        <f>HYPERLINK("http://ts.21cn.com/tousu/show/id/1339654","交通银行暴力催收")</f>
        <v>交通银行暴力催收</v>
      </c>
      <c r="C8572" s="2" t="s">
        <v>9</v>
      </c>
      <c r="D8572" s="2" t="s">
        <v>10</v>
      </c>
      <c r="E8572" s="2" t="str">
        <f>HYPERLINK("http://ts.21cn.com/tousu/show/id/1339654","http://ts.21cn.com/tousu/show/id/1339654")</f>
        <v>http://ts.21cn.com/tousu/show/id/1339654</v>
      </c>
      <c r="F8572" s="2" t="s">
        <v>11</v>
      </c>
      <c r="G8572" s="2" t="s">
        <v>27308</v>
      </c>
      <c r="H8572" s="2" t="s">
        <v>27309</v>
      </c>
    </row>
    <row r="8573" spans="1:8" ht="25.05" customHeight="1" x14ac:dyDescent="0.25">
      <c r="A8573" s="2" t="s">
        <v>8</v>
      </c>
      <c r="B8573" s="2" t="str">
        <f>HYPERLINK("http://ts.21cn.com/tousu/show/id/1339655","非法扣款")</f>
        <v>非法扣款</v>
      </c>
      <c r="C8573" s="2" t="s">
        <v>9</v>
      </c>
      <c r="D8573" s="2" t="s">
        <v>10</v>
      </c>
      <c r="E8573" s="2" t="str">
        <f>HYPERLINK("http://ts.21cn.com/tousu/show/id/1339655","http://ts.21cn.com/tousu/show/id/1339655")</f>
        <v>http://ts.21cn.com/tousu/show/id/1339655</v>
      </c>
      <c r="F8573" s="2" t="s">
        <v>11</v>
      </c>
      <c r="G8573" s="2" t="s">
        <v>27306</v>
      </c>
      <c r="H8573" s="2" t="s">
        <v>27307</v>
      </c>
    </row>
    <row r="8574" spans="1:8" ht="25.05" customHeight="1" x14ac:dyDescent="0.25">
      <c r="A8574" s="2" t="s">
        <v>8</v>
      </c>
      <c r="B8574" s="2" t="str">
        <f>HYPERLINK("http://ts.21cn.com/tousu/show/id/1339656","讨回辛苦半年的血汗钱")</f>
        <v>讨回辛苦半年的血汗钱</v>
      </c>
      <c r="C8574" s="2" t="s">
        <v>9</v>
      </c>
      <c r="D8574" s="2" t="s">
        <v>10</v>
      </c>
      <c r="E8574" s="2" t="str">
        <f>HYPERLINK("http://ts.21cn.com/tousu/show/id/1339656","http://ts.21cn.com/tousu/show/id/1339656")</f>
        <v>http://ts.21cn.com/tousu/show/id/1339656</v>
      </c>
      <c r="F8574" s="2" t="s">
        <v>11</v>
      </c>
      <c r="G8574" s="2" t="s">
        <v>27304</v>
      </c>
      <c r="H8574" s="2" t="s">
        <v>27305</v>
      </c>
    </row>
    <row r="8575" spans="1:8" ht="25.05" customHeight="1" x14ac:dyDescent="0.25">
      <c r="A8575" s="2" t="s">
        <v>8</v>
      </c>
      <c r="B8575" s="2" t="str">
        <f>HYPERLINK("http://ts.21cn.com/tousu/show/id/1339658","诱导欺诈扣费")</f>
        <v>诱导欺诈扣费</v>
      </c>
      <c r="C8575" s="2" t="s">
        <v>9</v>
      </c>
      <c r="D8575" s="2" t="s">
        <v>10</v>
      </c>
      <c r="E8575" s="2" t="str">
        <f>HYPERLINK("http://ts.21cn.com/tousu/show/id/1339658","http://ts.21cn.com/tousu/show/id/1339658")</f>
        <v>http://ts.21cn.com/tousu/show/id/1339658</v>
      </c>
      <c r="F8575" s="2" t="s">
        <v>11</v>
      </c>
      <c r="G8575" s="2" t="s">
        <v>27302</v>
      </c>
      <c r="H8575" s="2" t="s">
        <v>27303</v>
      </c>
    </row>
    <row r="8576" spans="1:8" ht="25.05" customHeight="1" x14ac:dyDescent="0.25">
      <c r="A8576" s="2" t="s">
        <v>8</v>
      </c>
      <c r="B8576" s="2" t="str">
        <f>HYPERLINK("http://ts.21cn.com/tousu/show/id/1339659","暴力催收  谩骂  群邮件侮辱")</f>
        <v>暴力催收  谩骂  群邮件侮辱</v>
      </c>
      <c r="C8576" s="2" t="s">
        <v>9</v>
      </c>
      <c r="D8576" s="2" t="s">
        <v>10</v>
      </c>
      <c r="E8576" s="2" t="str">
        <f>HYPERLINK("http://ts.21cn.com/tousu/show/id/1339659","http://ts.21cn.com/tousu/show/id/1339659")</f>
        <v>http://ts.21cn.com/tousu/show/id/1339659</v>
      </c>
      <c r="F8576" s="2" t="s">
        <v>11</v>
      </c>
      <c r="G8576" s="2" t="s">
        <v>27300</v>
      </c>
      <c r="H8576" s="2" t="s">
        <v>27301</v>
      </c>
    </row>
    <row r="8577" spans="1:8" ht="25.05" customHeight="1" x14ac:dyDescent="0.25">
      <c r="A8577" s="2" t="s">
        <v>8</v>
      </c>
      <c r="B8577" s="2" t="str">
        <f>HYPERLINK("http://ts.21cn.com/tousu/show/id/1339660","玖富万卡高利贷，阴阳合同")</f>
        <v>玖富万卡高利贷，阴阳合同</v>
      </c>
      <c r="C8577" s="2" t="s">
        <v>9</v>
      </c>
      <c r="D8577" s="2" t="s">
        <v>10</v>
      </c>
      <c r="E8577" s="2" t="str">
        <f>HYPERLINK("http://ts.21cn.com/tousu/show/id/1339660","http://ts.21cn.com/tousu/show/id/1339660")</f>
        <v>http://ts.21cn.com/tousu/show/id/1339660</v>
      </c>
      <c r="F8577" s="2" t="s">
        <v>11</v>
      </c>
      <c r="G8577" s="2" t="s">
        <v>27298</v>
      </c>
      <c r="H8577" s="2" t="s">
        <v>27299</v>
      </c>
    </row>
    <row r="8578" spans="1:8" ht="25.05" customHeight="1" x14ac:dyDescent="0.25">
      <c r="A8578" s="2" t="s">
        <v>8</v>
      </c>
      <c r="B8578" s="2" t="str">
        <f>HYPERLINK("http://ts.21cn.com/tousu/show/id/1339649","聚富分期未经用户确认的情况下强行扣走299元")</f>
        <v>聚富分期未经用户确认的情况下强行扣走299元</v>
      </c>
      <c r="C8578" s="2" t="s">
        <v>9</v>
      </c>
      <c r="D8578" s="2" t="s">
        <v>10</v>
      </c>
      <c r="E8578" s="2" t="str">
        <f>HYPERLINK("http://ts.21cn.com/tousu/show/id/1339649","http://ts.21cn.com/tousu/show/id/1339649")</f>
        <v>http://ts.21cn.com/tousu/show/id/1339649</v>
      </c>
      <c r="F8578" s="2" t="s">
        <v>11</v>
      </c>
      <c r="G8578" s="2" t="s">
        <v>27296</v>
      </c>
      <c r="H8578" s="2" t="s">
        <v>27297</v>
      </c>
    </row>
    <row r="8579" spans="1:8" ht="25.05" customHeight="1" x14ac:dyDescent="0.25">
      <c r="A8579" s="2" t="s">
        <v>8</v>
      </c>
      <c r="B8579" s="2" t="str">
        <f>HYPERLINK("http://ts.21cn.com/tousu/show/id/1339662","马上消费金融正常还款下被冻结额度")</f>
        <v>马上消费金融正常还款下被冻结额度</v>
      </c>
      <c r="C8579" s="2" t="s">
        <v>9</v>
      </c>
      <c r="D8579" s="2" t="s">
        <v>10</v>
      </c>
      <c r="E8579" s="2" t="str">
        <f>HYPERLINK("http://ts.21cn.com/tousu/show/id/1339662","http://ts.21cn.com/tousu/show/id/1339662")</f>
        <v>http://ts.21cn.com/tousu/show/id/1339662</v>
      </c>
      <c r="F8579" s="2" t="s">
        <v>11</v>
      </c>
      <c r="G8579" s="2" t="s">
        <v>27294</v>
      </c>
      <c r="H8579" s="2" t="s">
        <v>27295</v>
      </c>
    </row>
    <row r="8580" spans="1:8" ht="25.05" customHeight="1" x14ac:dyDescent="0.25">
      <c r="A8580" s="2" t="s">
        <v>8</v>
      </c>
      <c r="B8580" s="2" t="str">
        <f>HYPERLINK("http://ts.21cn.com/tousu/show/id/1339661","高利贷，催收辱骂，轰炸通讯录")</f>
        <v>高利贷，催收辱骂，轰炸通讯录</v>
      </c>
      <c r="C8580" s="2" t="s">
        <v>9</v>
      </c>
      <c r="D8580" s="2" t="s">
        <v>10</v>
      </c>
      <c r="E8580" s="2" t="str">
        <f>HYPERLINK("http://ts.21cn.com/tousu/show/id/1339661","http://ts.21cn.com/tousu/show/id/1339661")</f>
        <v>http://ts.21cn.com/tousu/show/id/1339661</v>
      </c>
      <c r="F8580" s="2" t="s">
        <v>11</v>
      </c>
      <c r="G8580" s="2" t="s">
        <v>27292</v>
      </c>
      <c r="H8580" s="2" t="s">
        <v>27293</v>
      </c>
    </row>
    <row r="8581" spans="1:8" ht="25.05" customHeight="1" x14ac:dyDescent="0.25">
      <c r="A8581" s="2" t="s">
        <v>8</v>
      </c>
      <c r="B8581" s="2" t="str">
        <f>HYPERLINK("http://ts.21cn.com/tousu/show/id/1339663","淘宝网购买商品卖家发错和空包")</f>
        <v>淘宝网购买商品卖家发错和空包</v>
      </c>
      <c r="C8581" s="2" t="s">
        <v>34</v>
      </c>
      <c r="D8581" s="2" t="s">
        <v>10</v>
      </c>
      <c r="E8581" s="2" t="str">
        <f>HYPERLINK("http://ts.21cn.com/tousu/show/id/1339663","http://ts.21cn.com/tousu/show/id/1339663")</f>
        <v>http://ts.21cn.com/tousu/show/id/1339663</v>
      </c>
      <c r="F8581" s="2" t="s">
        <v>11</v>
      </c>
      <c r="G8581" s="2" t="s">
        <v>27290</v>
      </c>
      <c r="H8581" s="2" t="s">
        <v>27291</v>
      </c>
    </row>
    <row r="8582" spans="1:8" ht="25.05" customHeight="1" x14ac:dyDescent="0.25">
      <c r="A8582" s="2" t="s">
        <v>8</v>
      </c>
      <c r="B8582" s="2" t="str">
        <f>HYPERLINK("http://ts.21cn.com/tousu/show/id/1339664","现金借款电话骚扰通讯录，高额利息。")</f>
        <v>现金借款电话骚扰通讯录，高额利息。</v>
      </c>
      <c r="C8582" s="2" t="s">
        <v>9</v>
      </c>
      <c r="D8582" s="2" t="s">
        <v>10</v>
      </c>
      <c r="E8582" s="2" t="str">
        <f>HYPERLINK("http://ts.21cn.com/tousu/show/id/1339664","http://ts.21cn.com/tousu/show/id/1339664")</f>
        <v>http://ts.21cn.com/tousu/show/id/1339664</v>
      </c>
      <c r="F8582" s="2" t="s">
        <v>11</v>
      </c>
      <c r="G8582" s="2" t="s">
        <v>27288</v>
      </c>
      <c r="H8582" s="2" t="s">
        <v>27289</v>
      </c>
    </row>
    <row r="8583" spans="1:8" ht="25.05" customHeight="1" x14ac:dyDescent="0.25">
      <c r="A8583" s="2" t="s">
        <v>8</v>
      </c>
      <c r="B8583" s="2" t="str">
        <f>HYPERLINK("http://ts.21cn.com/tousu/show/id/1339665","钱站催收骚扰当事人，高额利息，砍头息")</f>
        <v>钱站催收骚扰当事人，高额利息，砍头息</v>
      </c>
      <c r="C8583" s="2" t="s">
        <v>9</v>
      </c>
      <c r="D8583" s="2" t="s">
        <v>10</v>
      </c>
      <c r="E8583" s="2" t="str">
        <f>HYPERLINK("http://ts.21cn.com/tousu/show/id/1339665","http://ts.21cn.com/tousu/show/id/1339665")</f>
        <v>http://ts.21cn.com/tousu/show/id/1339665</v>
      </c>
      <c r="F8583" s="2" t="s">
        <v>11</v>
      </c>
      <c r="G8583" s="2" t="s">
        <v>27286</v>
      </c>
      <c r="H8583" s="2" t="s">
        <v>27287</v>
      </c>
    </row>
    <row r="8584" spans="1:8" ht="25.05" customHeight="1" x14ac:dyDescent="0.25">
      <c r="A8584" s="2" t="s">
        <v>8</v>
      </c>
      <c r="B8584" s="2" t="str">
        <f>HYPERLINK("http://ts.21cn.com/tousu/show/id/1339666","合同欺诈，私自扣款")</f>
        <v>合同欺诈，私自扣款</v>
      </c>
      <c r="C8584" s="2" t="s">
        <v>9</v>
      </c>
      <c r="D8584" s="2" t="s">
        <v>10</v>
      </c>
      <c r="E8584" s="2" t="str">
        <f>HYPERLINK("http://ts.21cn.com/tousu/show/id/1339666","http://ts.21cn.com/tousu/show/id/1339666")</f>
        <v>http://ts.21cn.com/tousu/show/id/1339666</v>
      </c>
      <c r="F8584" s="2" t="s">
        <v>11</v>
      </c>
      <c r="G8584" s="2" t="s">
        <v>27284</v>
      </c>
      <c r="H8584" s="2" t="s">
        <v>27285</v>
      </c>
    </row>
    <row r="8585" spans="1:8" ht="25.05" customHeight="1" x14ac:dyDescent="0.25">
      <c r="A8585" s="2" t="s">
        <v>8</v>
      </c>
      <c r="B8585" s="2" t="str">
        <f>HYPERLINK("http://ts.21cn.com/tousu/show/id/1339667","比特宝催收骂人")</f>
        <v>比特宝催收骂人</v>
      </c>
      <c r="C8585" s="2" t="s">
        <v>9</v>
      </c>
      <c r="D8585" s="2" t="s">
        <v>10</v>
      </c>
      <c r="E8585" s="2" t="str">
        <f>HYPERLINK("http://ts.21cn.com/tousu/show/id/1339667","http://ts.21cn.com/tousu/show/id/1339667")</f>
        <v>http://ts.21cn.com/tousu/show/id/1339667</v>
      </c>
      <c r="F8585" s="2" t="s">
        <v>11</v>
      </c>
      <c r="G8585" s="2" t="s">
        <v>27282</v>
      </c>
      <c r="H8585" s="2" t="s">
        <v>27283</v>
      </c>
    </row>
    <row r="8586" spans="1:8" ht="25.05" customHeight="1" x14ac:dyDescent="0.25">
      <c r="A8586" s="2" t="s">
        <v>8</v>
      </c>
      <c r="B8586" s="2" t="str">
        <f>HYPERLINK("http://ts.21cn.com/tousu/show/id/1339668","广发信用卡提前还款要收取所有手续费")</f>
        <v>广发信用卡提前还款要收取所有手续费</v>
      </c>
      <c r="C8586" s="2" t="s">
        <v>34</v>
      </c>
      <c r="D8586" s="2" t="s">
        <v>10</v>
      </c>
      <c r="E8586" s="2" t="str">
        <f>HYPERLINK("http://ts.21cn.com/tousu/show/id/1339668","http://ts.21cn.com/tousu/show/id/1339668")</f>
        <v>http://ts.21cn.com/tousu/show/id/1339668</v>
      </c>
      <c r="F8586" s="2" t="s">
        <v>11</v>
      </c>
      <c r="G8586" s="2" t="s">
        <v>27280</v>
      </c>
      <c r="H8586" s="2" t="s">
        <v>27281</v>
      </c>
    </row>
    <row r="8587" spans="1:8" ht="25.05" customHeight="1" x14ac:dyDescent="0.25">
      <c r="A8587" s="2" t="s">
        <v>8</v>
      </c>
      <c r="B8587" s="2" t="str">
        <f>HYPERLINK("http://ts.21cn.com/tousu/show/id/1339669","友信普惠，套路贷")</f>
        <v>友信普惠，套路贷</v>
      </c>
      <c r="C8587" s="2" t="s">
        <v>9</v>
      </c>
      <c r="D8587" s="2" t="s">
        <v>10</v>
      </c>
      <c r="E8587" s="2" t="str">
        <f>HYPERLINK("http://ts.21cn.com/tousu/show/id/1339669","http://ts.21cn.com/tousu/show/id/1339669")</f>
        <v>http://ts.21cn.com/tousu/show/id/1339669</v>
      </c>
      <c r="F8587" s="2" t="s">
        <v>11</v>
      </c>
      <c r="G8587" s="2" t="s">
        <v>27278</v>
      </c>
      <c r="H8587" s="2" t="s">
        <v>27279</v>
      </c>
    </row>
    <row r="8588" spans="1:8" ht="25.05" customHeight="1" x14ac:dyDescent="0.25">
      <c r="A8588" s="2" t="s">
        <v>8</v>
      </c>
      <c r="B8588" s="2" t="str">
        <f>HYPERLINK("http://ts.21cn.com/tousu/show/id/1339670","成都优卡信息科技有限公司恶意扣款")</f>
        <v>成都优卡信息科技有限公司恶意扣款</v>
      </c>
      <c r="C8588" s="2" t="s">
        <v>9</v>
      </c>
      <c r="D8588" s="2" t="s">
        <v>10</v>
      </c>
      <c r="E8588" s="2" t="str">
        <f>HYPERLINK("http://ts.21cn.com/tousu/show/id/1339670","http://ts.21cn.com/tousu/show/id/1339670")</f>
        <v>http://ts.21cn.com/tousu/show/id/1339670</v>
      </c>
      <c r="F8588" s="2" t="s">
        <v>11</v>
      </c>
      <c r="G8588" s="2" t="s">
        <v>27276</v>
      </c>
      <c r="H8588" s="2" t="s">
        <v>27277</v>
      </c>
    </row>
    <row r="8589" spans="1:8" ht="25.05" customHeight="1" x14ac:dyDescent="0.25">
      <c r="A8589" s="2" t="s">
        <v>8</v>
      </c>
      <c r="B8589" s="2" t="str">
        <f>HYPERLINK("http://ts.21cn.com/tousu/show/id/1339671","停止电话骚扰，群发信息")</f>
        <v>停止电话骚扰，群发信息</v>
      </c>
      <c r="C8589" s="2" t="s">
        <v>34</v>
      </c>
      <c r="D8589" s="2" t="s">
        <v>10</v>
      </c>
      <c r="E8589" s="2" t="str">
        <f>HYPERLINK("http://ts.21cn.com/tousu/show/id/1339671","http://ts.21cn.com/tousu/show/id/1339671")</f>
        <v>http://ts.21cn.com/tousu/show/id/1339671</v>
      </c>
      <c r="F8589" s="2" t="s">
        <v>11</v>
      </c>
      <c r="G8589" s="2" t="s">
        <v>27274</v>
      </c>
      <c r="H8589" s="2" t="s">
        <v>27275</v>
      </c>
    </row>
    <row r="8590" spans="1:8" ht="25.05" customHeight="1" x14ac:dyDescent="0.25">
      <c r="A8590" s="2" t="s">
        <v>8</v>
      </c>
      <c r="B8590" s="2" t="str">
        <f>HYPERLINK("http://ts.21cn.com/tousu/show/id/1339672","客服态度差，找不到拼多多客服")</f>
        <v>客服态度差，找不到拼多多客服</v>
      </c>
      <c r="C8590" s="2" t="s">
        <v>9</v>
      </c>
      <c r="D8590" s="2" t="s">
        <v>10</v>
      </c>
      <c r="E8590" s="2" t="str">
        <f>HYPERLINK("http://ts.21cn.com/tousu/show/id/1339672","http://ts.21cn.com/tousu/show/id/1339672")</f>
        <v>http://ts.21cn.com/tousu/show/id/1339672</v>
      </c>
      <c r="F8590" s="2" t="s">
        <v>11</v>
      </c>
      <c r="G8590" s="2" t="s">
        <v>27272</v>
      </c>
      <c r="H8590" s="2" t="s">
        <v>27273</v>
      </c>
    </row>
    <row r="8591" spans="1:8" ht="25.05" customHeight="1" x14ac:dyDescent="0.25">
      <c r="A8591" s="2" t="s">
        <v>8</v>
      </c>
      <c r="B8591" s="2" t="str">
        <f>HYPERLINK("http://ts.21cn.com/tousu/show/id/1339673","宜人贷以归避高利率收取高额服务，保障金")</f>
        <v>宜人贷以归避高利率收取高额服务，保障金</v>
      </c>
      <c r="C8591" s="2" t="s">
        <v>9</v>
      </c>
      <c r="D8591" s="2" t="s">
        <v>10</v>
      </c>
      <c r="E8591" s="2" t="str">
        <f>HYPERLINK("http://ts.21cn.com/tousu/show/id/1339673","http://ts.21cn.com/tousu/show/id/1339673")</f>
        <v>http://ts.21cn.com/tousu/show/id/1339673</v>
      </c>
      <c r="F8591" s="2" t="s">
        <v>11</v>
      </c>
      <c r="G8591" s="2" t="s">
        <v>27270</v>
      </c>
      <c r="H8591" s="2" t="s">
        <v>27271</v>
      </c>
    </row>
    <row r="8592" spans="1:8" ht="25.05" customHeight="1" x14ac:dyDescent="0.25">
      <c r="A8592" s="2" t="s">
        <v>8</v>
      </c>
      <c r="B8592" s="2" t="str">
        <f>HYPERLINK("http://ts.21cn.com/tousu/show/id/1339675","交易猫被买家恶意卡单后，卖家毫无办法，并且交易猫客服也不能解决，只能推辞说交给专员，并且要1到5个工作日才能解决。")</f>
        <v>交易猫被买家恶意卡单后，卖家毫无办法，并且交易猫客服也不能解决，只能推辞说交给专员，并且要1到5个工作日才能解决。</v>
      </c>
      <c r="C8592" s="2" t="s">
        <v>9</v>
      </c>
      <c r="D8592" s="2" t="s">
        <v>10</v>
      </c>
      <c r="E8592" s="2" t="str">
        <f>HYPERLINK("http://ts.21cn.com/tousu/show/id/1339675","http://ts.21cn.com/tousu/show/id/1339675")</f>
        <v>http://ts.21cn.com/tousu/show/id/1339675</v>
      </c>
      <c r="F8592" s="2" t="s">
        <v>11</v>
      </c>
      <c r="G8592" s="2" t="s">
        <v>27268</v>
      </c>
      <c r="H8592" s="2" t="s">
        <v>27269</v>
      </c>
    </row>
    <row r="8593" spans="1:8" ht="25.05" customHeight="1" x14ac:dyDescent="0.25">
      <c r="A8593" s="2" t="s">
        <v>8</v>
      </c>
      <c r="B8593" s="2" t="str">
        <f>HYPERLINK("http://ts.21cn.com/tousu/show/id/1339678","协商还款")</f>
        <v>协商还款</v>
      </c>
      <c r="C8593" s="2" t="s">
        <v>9</v>
      </c>
      <c r="D8593" s="2" t="s">
        <v>10</v>
      </c>
      <c r="E8593" s="2" t="str">
        <f>HYPERLINK("http://ts.21cn.com/tousu/show/id/1339678","http://ts.21cn.com/tousu/show/id/1339678")</f>
        <v>http://ts.21cn.com/tousu/show/id/1339678</v>
      </c>
      <c r="F8593" s="2" t="s">
        <v>11</v>
      </c>
      <c r="G8593" s="2" t="s">
        <v>27266</v>
      </c>
      <c r="H8593" s="2" t="s">
        <v>27267</v>
      </c>
    </row>
    <row r="8594" spans="1:8" ht="25.05" customHeight="1" x14ac:dyDescent="0.25">
      <c r="A8594" s="2" t="s">
        <v>8</v>
      </c>
      <c r="B8594" s="2" t="str">
        <f>HYPERLINK("http://ts.21cn.com/tousu/show/id/1339676","小区下水堵塞，上水被私自停水，物业不管")</f>
        <v>小区下水堵塞，上水被私自停水，物业不管</v>
      </c>
      <c r="C8594" s="2" t="s">
        <v>9</v>
      </c>
      <c r="D8594" s="2" t="s">
        <v>10</v>
      </c>
      <c r="E8594" s="2" t="str">
        <f>HYPERLINK("http://ts.21cn.com/tousu/show/id/1339676","http://ts.21cn.com/tousu/show/id/1339676")</f>
        <v>http://ts.21cn.com/tousu/show/id/1339676</v>
      </c>
      <c r="F8594" s="2" t="s">
        <v>11</v>
      </c>
      <c r="G8594" s="2" t="s">
        <v>27264</v>
      </c>
      <c r="H8594" s="2" t="s">
        <v>27265</v>
      </c>
    </row>
    <row r="8595" spans="1:8" ht="25.05" customHeight="1" x14ac:dyDescent="0.25">
      <c r="A8595" s="2" t="s">
        <v>8</v>
      </c>
      <c r="B8595" s="2" t="str">
        <f>HYPERLINK("http://ts.21cn.com/tousu/show/id/1339679","拍拍贷利息不合法")</f>
        <v>拍拍贷利息不合法</v>
      </c>
      <c r="C8595" s="2" t="s">
        <v>9</v>
      </c>
      <c r="D8595" s="2" t="s">
        <v>10</v>
      </c>
      <c r="E8595" s="2" t="str">
        <f>HYPERLINK("http://ts.21cn.com/tousu/show/id/1339679","http://ts.21cn.com/tousu/show/id/1339679")</f>
        <v>http://ts.21cn.com/tousu/show/id/1339679</v>
      </c>
      <c r="F8595" s="2" t="s">
        <v>11</v>
      </c>
      <c r="G8595" s="2" t="s">
        <v>27262</v>
      </c>
      <c r="H8595" s="2" t="s">
        <v>27263</v>
      </c>
    </row>
    <row r="8596" spans="1:8" ht="25.05" customHeight="1" x14ac:dyDescent="0.25">
      <c r="A8596" s="2" t="s">
        <v>8</v>
      </c>
      <c r="B8596" s="2" t="str">
        <f>HYPERLINK("http://ts.21cn.com/tousu/show/id/1339653","闪电借款恶性扣款欺诈藐视法律")</f>
        <v>闪电借款恶性扣款欺诈藐视法律</v>
      </c>
      <c r="C8596" s="2" t="s">
        <v>9</v>
      </c>
      <c r="D8596" s="2" t="s">
        <v>10</v>
      </c>
      <c r="E8596" s="2" t="str">
        <f>HYPERLINK("http://ts.21cn.com/tousu/show/id/1339653","http://ts.21cn.com/tousu/show/id/1339653")</f>
        <v>http://ts.21cn.com/tousu/show/id/1339653</v>
      </c>
      <c r="F8596" s="2" t="s">
        <v>11</v>
      </c>
      <c r="G8596" s="2" t="s">
        <v>27260</v>
      </c>
      <c r="H8596" s="2" t="s">
        <v>27261</v>
      </c>
    </row>
    <row r="8597" spans="1:8" ht="25.05" customHeight="1" x14ac:dyDescent="0.25">
      <c r="A8597" s="2" t="s">
        <v>8</v>
      </c>
      <c r="B8597" s="2" t="str">
        <f>HYPERLINK("http://ts.21cn.com/tousu/show/id/1339674","忽悠前期费用，读取身份信息")</f>
        <v>忽悠前期费用，读取身份信息</v>
      </c>
      <c r="C8597" s="2" t="s">
        <v>9</v>
      </c>
      <c r="D8597" s="2" t="s">
        <v>10</v>
      </c>
      <c r="E8597" s="2" t="str">
        <f>HYPERLINK("http://ts.21cn.com/tousu/show/id/1339674","http://ts.21cn.com/tousu/show/id/1339674")</f>
        <v>http://ts.21cn.com/tousu/show/id/1339674</v>
      </c>
      <c r="F8597" s="2" t="s">
        <v>11</v>
      </c>
      <c r="G8597" s="2" t="s">
        <v>27258</v>
      </c>
      <c r="H8597" s="2" t="s">
        <v>27259</v>
      </c>
    </row>
    <row r="8598" spans="1:8" ht="25.05" customHeight="1" x14ac:dyDescent="0.25">
      <c r="A8598" s="2" t="s">
        <v>8</v>
      </c>
      <c r="B8598" s="2" t="str">
        <f>HYPERLINK("http://ts.21cn.com/tousu/show/id/1339680","蛋壳公寓房子发霉，客服不处理，不退押金，")</f>
        <v>蛋壳公寓房子发霉，客服不处理，不退押金，</v>
      </c>
      <c r="C8598" s="2" t="s">
        <v>9</v>
      </c>
      <c r="D8598" s="2" t="s">
        <v>10</v>
      </c>
      <c r="E8598" s="2" t="str">
        <f>HYPERLINK("http://ts.21cn.com/tousu/show/id/1339680","http://ts.21cn.com/tousu/show/id/1339680")</f>
        <v>http://ts.21cn.com/tousu/show/id/1339680</v>
      </c>
      <c r="F8598" s="2" t="s">
        <v>11</v>
      </c>
      <c r="G8598" s="2" t="s">
        <v>27256</v>
      </c>
      <c r="H8598" s="2" t="s">
        <v>27257</v>
      </c>
    </row>
    <row r="8599" spans="1:8" ht="25.05" customHeight="1" x14ac:dyDescent="0.25">
      <c r="A8599" s="2" t="s">
        <v>8</v>
      </c>
      <c r="B8599" s="2" t="str">
        <f>HYPERLINK("http://ts.21cn.com/tousu/show/id/1339682","滴滴快车接不到单")</f>
        <v>滴滴快车接不到单</v>
      </c>
      <c r="C8599" s="2" t="s">
        <v>34</v>
      </c>
      <c r="D8599" s="2" t="s">
        <v>10</v>
      </c>
      <c r="E8599" s="2" t="str">
        <f>HYPERLINK("http://ts.21cn.com/tousu/show/id/1339682","http://ts.21cn.com/tousu/show/id/1339682")</f>
        <v>http://ts.21cn.com/tousu/show/id/1339682</v>
      </c>
      <c r="F8599" s="2" t="s">
        <v>11</v>
      </c>
      <c r="G8599" s="2" t="s">
        <v>27254</v>
      </c>
      <c r="H8599" s="2" t="s">
        <v>27255</v>
      </c>
    </row>
    <row r="8600" spans="1:8" ht="25.05" customHeight="1" x14ac:dyDescent="0.25">
      <c r="A8600" s="2" t="s">
        <v>8</v>
      </c>
      <c r="B8600" s="2" t="str">
        <f>HYPERLINK("http://ts.21cn.com/tousu/show/id/1339683","不退货")</f>
        <v>不退货</v>
      </c>
      <c r="C8600" s="2" t="s">
        <v>9</v>
      </c>
      <c r="D8600" s="2" t="s">
        <v>10</v>
      </c>
      <c r="E8600" s="2" t="str">
        <f>HYPERLINK("http://ts.21cn.com/tousu/show/id/1339683","http://ts.21cn.com/tousu/show/id/1339683")</f>
        <v>http://ts.21cn.com/tousu/show/id/1339683</v>
      </c>
      <c r="F8600" s="2" t="s">
        <v>11</v>
      </c>
      <c r="G8600" s="2" t="s">
        <v>27252</v>
      </c>
      <c r="H8600" s="2" t="s">
        <v>27253</v>
      </c>
    </row>
    <row r="8601" spans="1:8" ht="25.05" customHeight="1" x14ac:dyDescent="0.25">
      <c r="A8601" s="2" t="s">
        <v>8</v>
      </c>
      <c r="B8601" s="2" t="str">
        <f>HYPERLINK("http://ts.21cn.com/tousu/show/id/1339685","叉叉ipa精灵不退款,退款难")</f>
        <v>叉叉ipa精灵不退款,退款难</v>
      </c>
      <c r="C8601" s="2" t="s">
        <v>9</v>
      </c>
      <c r="D8601" s="2" t="s">
        <v>10</v>
      </c>
      <c r="E8601" s="2" t="str">
        <f>HYPERLINK("http://ts.21cn.com/tousu/show/id/1339685","http://ts.21cn.com/tousu/show/id/1339685")</f>
        <v>http://ts.21cn.com/tousu/show/id/1339685</v>
      </c>
      <c r="F8601" s="2" t="s">
        <v>11</v>
      </c>
      <c r="G8601" s="2" t="s">
        <v>27250</v>
      </c>
      <c r="H8601" s="2" t="s">
        <v>27251</v>
      </c>
    </row>
    <row r="8602" spans="1:8" ht="25.05" customHeight="1" x14ac:dyDescent="0.25">
      <c r="A8602" s="2" t="s">
        <v>8</v>
      </c>
      <c r="B8602" s="2" t="str">
        <f>HYPERLINK("http://ts.21cn.com/tousu/show/id/1339686","被中建投银企入金自动扣款")</f>
        <v>被中建投银企入金自动扣款</v>
      </c>
      <c r="C8602" s="2" t="s">
        <v>34</v>
      </c>
      <c r="D8602" s="2" t="s">
        <v>10</v>
      </c>
      <c r="E8602" s="2" t="str">
        <f>HYPERLINK("http://ts.21cn.com/tousu/show/id/1339686","http://ts.21cn.com/tousu/show/id/1339686")</f>
        <v>http://ts.21cn.com/tousu/show/id/1339686</v>
      </c>
      <c r="F8602" s="2" t="s">
        <v>11</v>
      </c>
      <c r="G8602" s="2" t="s">
        <v>27248</v>
      </c>
      <c r="H8602" s="2" t="s">
        <v>27249</v>
      </c>
    </row>
    <row r="8603" spans="1:8" ht="25.05" customHeight="1" x14ac:dyDescent="0.25">
      <c r="A8603" s="2" t="s">
        <v>8</v>
      </c>
      <c r="B8603" s="2" t="str">
        <f>HYPERLINK("http://ts.21cn.com/tousu/show/id/1339687","高利贷砍头息")</f>
        <v>高利贷砍头息</v>
      </c>
      <c r="C8603" s="2" t="s">
        <v>9</v>
      </c>
      <c r="D8603" s="2" t="s">
        <v>10</v>
      </c>
      <c r="E8603" s="2" t="str">
        <f>HYPERLINK("http://ts.21cn.com/tousu/show/id/1339687","http://ts.21cn.com/tousu/show/id/1339687")</f>
        <v>http://ts.21cn.com/tousu/show/id/1339687</v>
      </c>
      <c r="F8603" s="2" t="s">
        <v>11</v>
      </c>
      <c r="G8603" s="2" t="s">
        <v>27246</v>
      </c>
      <c r="H8603" s="2" t="s">
        <v>27247</v>
      </c>
    </row>
    <row r="8604" spans="1:8" ht="25.05" customHeight="1" x14ac:dyDescent="0.25">
      <c r="A8604" s="2" t="s">
        <v>8</v>
      </c>
      <c r="B8604" s="2" t="str">
        <f>HYPERLINK("http://ts.21cn.com/tousu/show/id/1339688","智富金融车贷违法偷车")</f>
        <v>智富金融车贷违法偷车</v>
      </c>
      <c r="C8604" s="2" t="s">
        <v>9</v>
      </c>
      <c r="D8604" s="2" t="s">
        <v>10</v>
      </c>
      <c r="E8604" s="2" t="str">
        <f>HYPERLINK("http://ts.21cn.com/tousu/show/id/1339688","http://ts.21cn.com/tousu/show/id/1339688")</f>
        <v>http://ts.21cn.com/tousu/show/id/1339688</v>
      </c>
      <c r="F8604" s="2" t="s">
        <v>11</v>
      </c>
      <c r="G8604" s="2" t="s">
        <v>27244</v>
      </c>
      <c r="H8604" s="2" t="s">
        <v>27245</v>
      </c>
    </row>
    <row r="8605" spans="1:8" ht="25.05" customHeight="1" x14ac:dyDescent="0.25">
      <c r="A8605" s="2" t="s">
        <v>8</v>
      </c>
      <c r="B8605" s="2" t="str">
        <f>HYPERLINK("http://ts.21cn.com/tousu/show/id/1339689","钱站app年利率高达50%")</f>
        <v>钱站app年利率高达50%</v>
      </c>
      <c r="C8605" s="2" t="s">
        <v>9</v>
      </c>
      <c r="D8605" s="2" t="s">
        <v>10</v>
      </c>
      <c r="E8605" s="2" t="str">
        <f>HYPERLINK("http://ts.21cn.com/tousu/show/id/1339689","http://ts.21cn.com/tousu/show/id/1339689")</f>
        <v>http://ts.21cn.com/tousu/show/id/1339689</v>
      </c>
      <c r="F8605" s="2" t="s">
        <v>11</v>
      </c>
      <c r="G8605" s="2" t="s">
        <v>27242</v>
      </c>
      <c r="H8605" s="2" t="s">
        <v>27243</v>
      </c>
    </row>
    <row r="8606" spans="1:8" ht="25.05" customHeight="1" x14ac:dyDescent="0.25">
      <c r="A8606" s="2" t="s">
        <v>8</v>
      </c>
      <c r="B8606" s="2" t="str">
        <f>HYPERLINK("http://ts.21cn.com/tousu/show/id/1339690","闪电借款高额买卡变相砍头息")</f>
        <v>闪电借款高额买卡变相砍头息</v>
      </c>
      <c r="C8606" s="2" t="s">
        <v>9</v>
      </c>
      <c r="D8606" s="2" t="s">
        <v>10</v>
      </c>
      <c r="E8606" s="2" t="str">
        <f>HYPERLINK("http://ts.21cn.com/tousu/show/id/1339690","http://ts.21cn.com/tousu/show/id/1339690")</f>
        <v>http://ts.21cn.com/tousu/show/id/1339690</v>
      </c>
      <c r="F8606" s="2" t="s">
        <v>11</v>
      </c>
      <c r="G8606" s="2" t="s">
        <v>27240</v>
      </c>
      <c r="H8606" s="2" t="s">
        <v>27241</v>
      </c>
    </row>
    <row r="8607" spans="1:8" ht="25.05" customHeight="1" x14ac:dyDescent="0.25">
      <c r="A8607" s="2" t="s">
        <v>8</v>
      </c>
      <c r="B8607" s="2" t="str">
        <f>HYPERLINK("http://ts.21cn.com/tousu/show/id/1339691","分期贷里的91买呗")</f>
        <v>分期贷里的91买呗</v>
      </c>
      <c r="C8607" s="2" t="s">
        <v>34</v>
      </c>
      <c r="D8607" s="2" t="s">
        <v>10</v>
      </c>
      <c r="E8607" s="2" t="str">
        <f>HYPERLINK("http://ts.21cn.com/tousu/show/id/1339691","http://ts.21cn.com/tousu/show/id/1339691")</f>
        <v>http://ts.21cn.com/tousu/show/id/1339691</v>
      </c>
      <c r="F8607" s="2" t="s">
        <v>11</v>
      </c>
      <c r="G8607" s="2" t="s">
        <v>27238</v>
      </c>
      <c r="H8607" s="2" t="s">
        <v>27239</v>
      </c>
    </row>
    <row r="8608" spans="1:8" ht="25.05" customHeight="1" x14ac:dyDescent="0.25">
      <c r="A8608" s="2" t="s">
        <v>8</v>
      </c>
      <c r="B8608" s="2" t="str">
        <f>HYPERLINK("http://ts.21cn.com/tousu/show/id/1339692","高利贷，砍头息，")</f>
        <v>高利贷，砍头息，</v>
      </c>
      <c r="C8608" s="2" t="s">
        <v>9</v>
      </c>
      <c r="D8608" s="2" t="s">
        <v>10</v>
      </c>
      <c r="E8608" s="2" t="str">
        <f>HYPERLINK("http://ts.21cn.com/tousu/show/id/1339692","http://ts.21cn.com/tousu/show/id/1339692")</f>
        <v>http://ts.21cn.com/tousu/show/id/1339692</v>
      </c>
      <c r="F8608" s="2" t="s">
        <v>11</v>
      </c>
      <c r="G8608" s="2" t="s">
        <v>27236</v>
      </c>
      <c r="H8608" s="2" t="s">
        <v>27237</v>
      </c>
    </row>
    <row r="8609" spans="1:8" ht="25.05" customHeight="1" x14ac:dyDescent="0.25">
      <c r="A8609" s="2" t="s">
        <v>8</v>
      </c>
      <c r="B8609" s="2" t="str">
        <f>HYPERLINK("http://ts.21cn.com/tousu/show/id/1339693","催收，骚扰，侵权，恐吓")</f>
        <v>催收，骚扰，侵权，恐吓</v>
      </c>
      <c r="C8609" s="2" t="s">
        <v>9</v>
      </c>
      <c r="D8609" s="2" t="s">
        <v>10</v>
      </c>
      <c r="E8609" s="2" t="str">
        <f>HYPERLINK("http://ts.21cn.com/tousu/show/id/1339693","http://ts.21cn.com/tousu/show/id/1339693")</f>
        <v>http://ts.21cn.com/tousu/show/id/1339693</v>
      </c>
      <c r="F8609" s="2" t="s">
        <v>11</v>
      </c>
      <c r="G8609" s="2" t="s">
        <v>27234</v>
      </c>
      <c r="H8609" s="2" t="s">
        <v>27235</v>
      </c>
    </row>
    <row r="8610" spans="1:8" ht="25.05" customHeight="1" x14ac:dyDescent="0.25">
      <c r="A8610" s="2" t="s">
        <v>8</v>
      </c>
      <c r="B8610" s="2" t="str">
        <f>HYPERLINK("http://ts.21cn.com/tousu/show/id/1339696","玖富万卡擅自改写合同，变相收取费用，高利贷")</f>
        <v>玖富万卡擅自改写合同，变相收取费用，高利贷</v>
      </c>
      <c r="C8610" s="2" t="s">
        <v>9</v>
      </c>
      <c r="D8610" s="2" t="s">
        <v>10</v>
      </c>
      <c r="E8610" s="2" t="str">
        <f>HYPERLINK("http://ts.21cn.com/tousu/show/id/1339696","http://ts.21cn.com/tousu/show/id/1339696")</f>
        <v>http://ts.21cn.com/tousu/show/id/1339696</v>
      </c>
      <c r="F8610" s="2" t="s">
        <v>11</v>
      </c>
      <c r="G8610" s="2" t="s">
        <v>27232</v>
      </c>
      <c r="H8610" s="2" t="s">
        <v>27233</v>
      </c>
    </row>
    <row r="8611" spans="1:8" ht="25.05" customHeight="1" x14ac:dyDescent="0.25">
      <c r="A8611" s="2" t="s">
        <v>8</v>
      </c>
      <c r="B8611" s="2" t="str">
        <f>HYPERLINK("http://ts.21cn.com/tousu/show/id/1339697","宝付支付违规为714高利贷提供违规支付")</f>
        <v>宝付支付违规为714高利贷提供违规支付</v>
      </c>
      <c r="C8611" s="2" t="s">
        <v>9</v>
      </c>
      <c r="D8611" s="2" t="s">
        <v>10</v>
      </c>
      <c r="E8611" s="2" t="str">
        <f>HYPERLINK("http://ts.21cn.com/tousu/show/id/1339697","http://ts.21cn.com/tousu/show/id/1339697")</f>
        <v>http://ts.21cn.com/tousu/show/id/1339697</v>
      </c>
      <c r="F8611" s="2" t="s">
        <v>11</v>
      </c>
      <c r="G8611" s="2" t="s">
        <v>27230</v>
      </c>
      <c r="H8611" s="2" t="s">
        <v>27231</v>
      </c>
    </row>
    <row r="8612" spans="1:8" ht="25.05" customHeight="1" x14ac:dyDescent="0.25">
      <c r="A8612" s="2" t="s">
        <v>8</v>
      </c>
      <c r="B8612" s="2" t="str">
        <f>HYPERLINK("http://ts.21cn.com/tousu/show/id/1339698","拍拍贷催收")</f>
        <v>拍拍贷催收</v>
      </c>
      <c r="C8612" s="2" t="s">
        <v>9</v>
      </c>
      <c r="D8612" s="2" t="s">
        <v>10</v>
      </c>
      <c r="E8612" s="2" t="str">
        <f>HYPERLINK("http://ts.21cn.com/tousu/show/id/1339698","http://ts.21cn.com/tousu/show/id/1339698")</f>
        <v>http://ts.21cn.com/tousu/show/id/1339698</v>
      </c>
      <c r="F8612" s="2" t="s">
        <v>11</v>
      </c>
      <c r="G8612" s="2" t="s">
        <v>27228</v>
      </c>
      <c r="H8612" s="2" t="s">
        <v>27229</v>
      </c>
    </row>
    <row r="8613" spans="1:8" ht="25.05" customHeight="1" x14ac:dyDescent="0.25">
      <c r="A8613" s="2" t="s">
        <v>8</v>
      </c>
      <c r="B8613" s="2" t="str">
        <f>HYPERLINK("http://ts.21cn.com/tousu/show/id/1339701","招联金融暴力威胁暴力催收")</f>
        <v>招联金融暴力威胁暴力催收</v>
      </c>
      <c r="C8613" s="2" t="s">
        <v>9</v>
      </c>
      <c r="D8613" s="2" t="s">
        <v>10</v>
      </c>
      <c r="E8613" s="2" t="str">
        <f>HYPERLINK("http://ts.21cn.com/tousu/show/id/1339701","http://ts.21cn.com/tousu/show/id/1339701")</f>
        <v>http://ts.21cn.com/tousu/show/id/1339701</v>
      </c>
      <c r="F8613" s="2" t="s">
        <v>11</v>
      </c>
      <c r="G8613" s="2" t="s">
        <v>27226</v>
      </c>
      <c r="H8613" s="2" t="s">
        <v>27227</v>
      </c>
    </row>
    <row r="8614" spans="1:8" ht="25.05" customHeight="1" x14ac:dyDescent="0.25">
      <c r="A8614" s="2" t="s">
        <v>8</v>
      </c>
      <c r="B8614" s="2" t="str">
        <f>HYPERLINK("http://ts.21cn.com/tousu/show/id/1339702","暴力催收")</f>
        <v>暴力催收</v>
      </c>
      <c r="C8614" s="2" t="s">
        <v>9</v>
      </c>
      <c r="D8614" s="2" t="s">
        <v>10</v>
      </c>
      <c r="E8614" s="2" t="str">
        <f>HYPERLINK("http://ts.21cn.com/tousu/show/id/1339702","http://ts.21cn.com/tousu/show/id/1339702")</f>
        <v>http://ts.21cn.com/tousu/show/id/1339702</v>
      </c>
      <c r="F8614" s="2" t="s">
        <v>11</v>
      </c>
      <c r="G8614" s="2" t="s">
        <v>27224</v>
      </c>
      <c r="H8614" s="2" t="s">
        <v>27225</v>
      </c>
    </row>
    <row r="8615" spans="1:8" ht="25.05" customHeight="1" x14ac:dyDescent="0.25">
      <c r="A8615" s="2" t="s">
        <v>8</v>
      </c>
      <c r="B8615" s="2" t="str">
        <f>HYPERLINK("http://ts.21cn.com/tousu/show/id/1339703","石榴快贷恶意放款威逼还款诬陷家人")</f>
        <v>石榴快贷恶意放款威逼还款诬陷家人</v>
      </c>
      <c r="C8615" s="2" t="s">
        <v>9</v>
      </c>
      <c r="D8615" s="2" t="s">
        <v>10</v>
      </c>
      <c r="E8615" s="2" t="str">
        <f>HYPERLINK("http://ts.21cn.com/tousu/show/id/1339703","http://ts.21cn.com/tousu/show/id/1339703")</f>
        <v>http://ts.21cn.com/tousu/show/id/1339703</v>
      </c>
      <c r="F8615" s="2" t="s">
        <v>11</v>
      </c>
      <c r="G8615" s="2" t="s">
        <v>27222</v>
      </c>
      <c r="H8615" s="2" t="s">
        <v>27223</v>
      </c>
    </row>
    <row r="8616" spans="1:8" ht="25.05" customHeight="1" x14ac:dyDescent="0.25">
      <c r="A8616" s="2" t="s">
        <v>8</v>
      </c>
      <c r="B8616" s="2" t="str">
        <f>HYPERLINK("http://ts.21cn.com/tousu/show/id/1339704","立借app套路贷高息")</f>
        <v>立借app套路贷高息</v>
      </c>
      <c r="C8616" s="2" t="s">
        <v>9</v>
      </c>
      <c r="D8616" s="2" t="s">
        <v>10</v>
      </c>
      <c r="E8616" s="2" t="str">
        <f>HYPERLINK("http://ts.21cn.com/tousu/show/id/1339704","http://ts.21cn.com/tousu/show/id/1339704")</f>
        <v>http://ts.21cn.com/tousu/show/id/1339704</v>
      </c>
      <c r="F8616" s="2" t="s">
        <v>11</v>
      </c>
      <c r="G8616" s="2" t="s">
        <v>27220</v>
      </c>
      <c r="H8616" s="2" t="s">
        <v>27221</v>
      </c>
    </row>
    <row r="8617" spans="1:8" ht="25.05" customHeight="1" x14ac:dyDescent="0.25">
      <c r="A8617" s="2" t="s">
        <v>8</v>
      </c>
      <c r="B8617" s="2" t="str">
        <f>HYPERLINK("http://ts.21cn.com/tousu/show/id/1339575","电信又一次恶意扣款")</f>
        <v>电信又一次恶意扣款</v>
      </c>
      <c r="C8617" s="2" t="s">
        <v>9</v>
      </c>
      <c r="D8617" s="2" t="s">
        <v>10</v>
      </c>
      <c r="E8617" s="2" t="str">
        <f>HYPERLINK("http://ts.21cn.com/tousu/show/id/1339575","http://ts.21cn.com/tousu/show/id/1339575")</f>
        <v>http://ts.21cn.com/tousu/show/id/1339575</v>
      </c>
      <c r="F8617" s="2" t="s">
        <v>11</v>
      </c>
      <c r="G8617" s="2" t="s">
        <v>27218</v>
      </c>
      <c r="H8617" s="2" t="s">
        <v>27219</v>
      </c>
    </row>
    <row r="8618" spans="1:8" ht="25.05" customHeight="1" x14ac:dyDescent="0.25">
      <c r="A8618" s="2" t="s">
        <v>8</v>
      </c>
      <c r="B8618" s="2" t="str">
        <f>HYPERLINK("http://ts.21cn.com/tousu/show/id/1339705","微信封存交易")</f>
        <v>微信封存交易</v>
      </c>
      <c r="C8618" s="2" t="s">
        <v>9</v>
      </c>
      <c r="D8618" s="2" t="s">
        <v>10</v>
      </c>
      <c r="E8618" s="2" t="str">
        <f>HYPERLINK("http://ts.21cn.com/tousu/show/id/1339705","http://ts.21cn.com/tousu/show/id/1339705")</f>
        <v>http://ts.21cn.com/tousu/show/id/1339705</v>
      </c>
      <c r="F8618" s="2" t="s">
        <v>11</v>
      </c>
      <c r="G8618" s="2" t="s">
        <v>27216</v>
      </c>
      <c r="H8618" s="2" t="s">
        <v>27217</v>
      </c>
    </row>
    <row r="8619" spans="1:8" ht="25.05" customHeight="1" x14ac:dyDescent="0.25">
      <c r="A8619" s="2" t="s">
        <v>8</v>
      </c>
      <c r="B8619" s="2" t="str">
        <f>HYPERLINK("http://ts.21cn.com/tousu/show/id/1339706","拍拍贷暴力催收")</f>
        <v>拍拍贷暴力催收</v>
      </c>
      <c r="C8619" s="2" t="s">
        <v>9</v>
      </c>
      <c r="D8619" s="2" t="s">
        <v>10</v>
      </c>
      <c r="E8619" s="2" t="str">
        <f>HYPERLINK("http://ts.21cn.com/tousu/show/id/1339706","http://ts.21cn.com/tousu/show/id/1339706")</f>
        <v>http://ts.21cn.com/tousu/show/id/1339706</v>
      </c>
      <c r="F8619" s="2" t="s">
        <v>11</v>
      </c>
      <c r="G8619" s="2" t="s">
        <v>27214</v>
      </c>
      <c r="H8619" s="2" t="s">
        <v>27215</v>
      </c>
    </row>
    <row r="8620" spans="1:8" ht="25.05" customHeight="1" x14ac:dyDescent="0.25">
      <c r="A8620" s="2" t="s">
        <v>8</v>
      </c>
      <c r="B8620" s="2" t="str">
        <f>HYPERLINK("http://ts.21cn.com/tousu/show/id/1339708","一直打公司电话已经影响到公司运营")</f>
        <v>一直打公司电话已经影响到公司运营</v>
      </c>
      <c r="C8620" s="2" t="s">
        <v>34</v>
      </c>
      <c r="D8620" s="2" t="s">
        <v>10</v>
      </c>
      <c r="E8620" s="2" t="str">
        <f>HYPERLINK("http://ts.21cn.com/tousu/show/id/1339708","http://ts.21cn.com/tousu/show/id/1339708")</f>
        <v>http://ts.21cn.com/tousu/show/id/1339708</v>
      </c>
      <c r="F8620" s="2" t="s">
        <v>11</v>
      </c>
      <c r="G8620" s="2" t="s">
        <v>27212</v>
      </c>
      <c r="H8620" s="2" t="s">
        <v>27213</v>
      </c>
    </row>
    <row r="8621" spans="1:8" ht="25.05" customHeight="1" x14ac:dyDescent="0.25">
      <c r="A8621" s="2" t="s">
        <v>8</v>
      </c>
      <c r="B8621" s="2" t="str">
        <f>HYPERLINK("http://ts.21cn.com/tousu/show/id/1339707","实际服务内容跟承诺不同")</f>
        <v>实际服务内容跟承诺不同</v>
      </c>
      <c r="C8621" s="2" t="s">
        <v>34</v>
      </c>
      <c r="D8621" s="2" t="s">
        <v>10</v>
      </c>
      <c r="E8621" s="2" t="str">
        <f>HYPERLINK("http://ts.21cn.com/tousu/show/id/1339707","http://ts.21cn.com/tousu/show/id/1339707")</f>
        <v>http://ts.21cn.com/tousu/show/id/1339707</v>
      </c>
      <c r="F8621" s="2" t="s">
        <v>11</v>
      </c>
      <c r="G8621" s="2" t="s">
        <v>27210</v>
      </c>
      <c r="H8621" s="2" t="s">
        <v>27211</v>
      </c>
    </row>
    <row r="8622" spans="1:8" ht="25.05" customHeight="1" x14ac:dyDescent="0.25">
      <c r="A8622" s="2" t="s">
        <v>8</v>
      </c>
      <c r="B8622" s="2" t="str">
        <f>HYPERLINK("http://ts.21cn.com/tousu/show/id/1339709","小赢卡货摇钱花恐吓")</f>
        <v>小赢卡货摇钱花恐吓</v>
      </c>
      <c r="C8622" s="2" t="s">
        <v>9</v>
      </c>
      <c r="D8622" s="2" t="s">
        <v>10</v>
      </c>
      <c r="E8622" s="2" t="str">
        <f>HYPERLINK("http://ts.21cn.com/tousu/show/id/1339709","http://ts.21cn.com/tousu/show/id/1339709")</f>
        <v>http://ts.21cn.com/tousu/show/id/1339709</v>
      </c>
      <c r="F8622" s="2" t="s">
        <v>11</v>
      </c>
      <c r="G8622" s="2" t="s">
        <v>27208</v>
      </c>
      <c r="H8622" s="2" t="s">
        <v>27209</v>
      </c>
    </row>
    <row r="8623" spans="1:8" ht="25.05" customHeight="1" x14ac:dyDescent="0.25">
      <c r="A8623" s="2" t="s">
        <v>8</v>
      </c>
      <c r="B8623" s="2" t="str">
        <f>HYPERLINK("http://ts.21cn.com/tousu/show/id/1339710","首汽约车乘客定位错误，司机到达起点未要求取消单子，客服强行关闭订单并收取司机20元改派费")</f>
        <v>首汽约车乘客定位错误，司机到达起点未要求取消单子，客服强行关闭订单并收取司机20元改派费</v>
      </c>
      <c r="C8623" s="2" t="s">
        <v>9</v>
      </c>
      <c r="D8623" s="2" t="s">
        <v>10</v>
      </c>
      <c r="E8623" s="2" t="str">
        <f>HYPERLINK("http://ts.21cn.com/tousu/show/id/1339710","http://ts.21cn.com/tousu/show/id/1339710")</f>
        <v>http://ts.21cn.com/tousu/show/id/1339710</v>
      </c>
      <c r="F8623" s="2" t="s">
        <v>11</v>
      </c>
      <c r="G8623" s="2" t="s">
        <v>27206</v>
      </c>
      <c r="H8623" s="2" t="s">
        <v>27207</v>
      </c>
    </row>
    <row r="8624" spans="1:8" ht="25.05" customHeight="1" x14ac:dyDescent="0.25">
      <c r="A8624" s="2" t="s">
        <v>8</v>
      </c>
      <c r="B8624" s="2" t="str">
        <f>HYPERLINK("http://ts.21cn.com/tousu/show/id/1339711","拍拍贷高利贷行为")</f>
        <v>拍拍贷高利贷行为</v>
      </c>
      <c r="C8624" s="2" t="s">
        <v>9</v>
      </c>
      <c r="D8624" s="2" t="s">
        <v>10</v>
      </c>
      <c r="E8624" s="2" t="str">
        <f>HYPERLINK("http://ts.21cn.com/tousu/show/id/1339711","http://ts.21cn.com/tousu/show/id/1339711")</f>
        <v>http://ts.21cn.com/tousu/show/id/1339711</v>
      </c>
      <c r="F8624" s="2" t="s">
        <v>11</v>
      </c>
      <c r="G8624" s="2" t="s">
        <v>27204</v>
      </c>
      <c r="H8624" s="2" t="s">
        <v>27205</v>
      </c>
    </row>
    <row r="8625" spans="1:8" ht="25.05" customHeight="1" x14ac:dyDescent="0.25">
      <c r="A8625" s="2" t="s">
        <v>8</v>
      </c>
      <c r="B8625" s="2" t="str">
        <f>HYPERLINK("http://ts.21cn.com/tousu/show/id/1339712","投诉淘宝闲鱼")</f>
        <v>投诉淘宝闲鱼</v>
      </c>
      <c r="C8625" s="2" t="s">
        <v>9</v>
      </c>
      <c r="D8625" s="2" t="s">
        <v>10</v>
      </c>
      <c r="E8625" s="2" t="str">
        <f>HYPERLINK("http://ts.21cn.com/tousu/show/id/1339712","http://ts.21cn.com/tousu/show/id/1339712")</f>
        <v>http://ts.21cn.com/tousu/show/id/1339712</v>
      </c>
      <c r="F8625" s="2" t="s">
        <v>11</v>
      </c>
      <c r="G8625" s="2" t="s">
        <v>27202</v>
      </c>
      <c r="H8625" s="2" t="s">
        <v>27203</v>
      </c>
    </row>
    <row r="8626" spans="1:8" ht="25.05" customHeight="1" x14ac:dyDescent="0.25">
      <c r="A8626" s="2" t="s">
        <v>8</v>
      </c>
      <c r="B8626" s="2" t="str">
        <f>HYPERLINK("http://ts.21cn.com/tousu/show/id/1339713","小赢卡贷捆绑众安保险高利息")</f>
        <v>小赢卡贷捆绑众安保险高利息</v>
      </c>
      <c r="C8626" s="2" t="s">
        <v>9</v>
      </c>
      <c r="D8626" s="2" t="s">
        <v>10</v>
      </c>
      <c r="E8626" s="2" t="str">
        <f>HYPERLINK("http://ts.21cn.com/tousu/show/id/1339713","http://ts.21cn.com/tousu/show/id/1339713")</f>
        <v>http://ts.21cn.com/tousu/show/id/1339713</v>
      </c>
      <c r="F8626" s="2" t="s">
        <v>11</v>
      </c>
      <c r="G8626" s="2" t="s">
        <v>27200</v>
      </c>
      <c r="H8626" s="2" t="s">
        <v>27201</v>
      </c>
    </row>
    <row r="8627" spans="1:8" ht="25.05" customHeight="1" x14ac:dyDescent="0.25">
      <c r="A8627" s="2" t="s">
        <v>8</v>
      </c>
      <c r="B8627" s="2" t="str">
        <f>HYPERLINK("http://ts.21cn.com/tousu/show/id/1339715","嘉盈顺无缘无故扣掉我卡里的钱")</f>
        <v>嘉盈顺无缘无故扣掉我卡里的钱</v>
      </c>
      <c r="C8627" s="2" t="s">
        <v>9</v>
      </c>
      <c r="D8627" s="2" t="s">
        <v>10</v>
      </c>
      <c r="E8627" s="2" t="str">
        <f>HYPERLINK("http://ts.21cn.com/tousu/show/id/1339715","http://ts.21cn.com/tousu/show/id/1339715")</f>
        <v>http://ts.21cn.com/tousu/show/id/1339715</v>
      </c>
      <c r="F8627" s="2" t="s">
        <v>11</v>
      </c>
      <c r="G8627" s="2" t="s">
        <v>27198</v>
      </c>
      <c r="H8627" s="2" t="s">
        <v>27199</v>
      </c>
    </row>
    <row r="8628" spans="1:8" ht="25.05" customHeight="1" x14ac:dyDescent="0.25">
      <c r="A8628" s="2" t="s">
        <v>8</v>
      </c>
      <c r="B8628" s="2" t="str">
        <f>HYPERLINK("http://ts.21cn.com/tousu/show/id/1339717","国美暴力催收态度恶劣，威胁要爆我裸照")</f>
        <v>国美暴力催收态度恶劣，威胁要爆我裸照</v>
      </c>
      <c r="C8628" s="2" t="s">
        <v>9</v>
      </c>
      <c r="D8628" s="2" t="s">
        <v>10</v>
      </c>
      <c r="E8628" s="2" t="str">
        <f>HYPERLINK("http://ts.21cn.com/tousu/show/id/1339717","http://ts.21cn.com/tousu/show/id/1339717")</f>
        <v>http://ts.21cn.com/tousu/show/id/1339717</v>
      </c>
      <c r="F8628" s="2" t="s">
        <v>11</v>
      </c>
      <c r="G8628" s="2" t="s">
        <v>27196</v>
      </c>
      <c r="H8628" s="2" t="s">
        <v>27197</v>
      </c>
    </row>
    <row r="8629" spans="1:8" ht="25.05" customHeight="1" x14ac:dyDescent="0.25">
      <c r="A8629" s="2" t="s">
        <v>8</v>
      </c>
      <c r="B8629" s="2" t="str">
        <f>HYPERLINK("http://ts.21cn.com/tousu/show/id/1339721","超高息！！7天700利息！！")</f>
        <v>超高息！！7天700利息！！</v>
      </c>
      <c r="C8629" s="2" t="s">
        <v>34</v>
      </c>
      <c r="D8629" s="2" t="s">
        <v>10</v>
      </c>
      <c r="E8629" s="2" t="str">
        <f>HYPERLINK("http://ts.21cn.com/tousu/show/id/1339721","http://ts.21cn.com/tousu/show/id/1339721")</f>
        <v>http://ts.21cn.com/tousu/show/id/1339721</v>
      </c>
      <c r="F8629" s="2" t="s">
        <v>11</v>
      </c>
      <c r="G8629" s="2" t="s">
        <v>27194</v>
      </c>
      <c r="H8629" s="2" t="s">
        <v>27195</v>
      </c>
    </row>
    <row r="8630" spans="1:8" ht="25.05" customHeight="1" x14ac:dyDescent="0.25">
      <c r="A8630" s="2" t="s">
        <v>8</v>
      </c>
      <c r="B8630" s="2" t="str">
        <f>HYPERLINK("http://ts.21cn.com/tousu/show/id/1339718","给你花平台月光侠借款阴阳合同砍头息")</f>
        <v>给你花平台月光侠借款阴阳合同砍头息</v>
      </c>
      <c r="C8630" s="2" t="s">
        <v>9</v>
      </c>
      <c r="D8630" s="2" t="s">
        <v>10</v>
      </c>
      <c r="E8630" s="2" t="str">
        <f>HYPERLINK("http://ts.21cn.com/tousu/show/id/1339718","http://ts.21cn.com/tousu/show/id/1339718")</f>
        <v>http://ts.21cn.com/tousu/show/id/1339718</v>
      </c>
      <c r="F8630" s="2" t="s">
        <v>11</v>
      </c>
      <c r="G8630" s="2" t="s">
        <v>27192</v>
      </c>
      <c r="H8630" s="2" t="s">
        <v>27193</v>
      </c>
    </row>
    <row r="8631" spans="1:8" ht="25.05" customHeight="1" x14ac:dyDescent="0.25">
      <c r="A8631" s="2" t="s">
        <v>8</v>
      </c>
      <c r="B8631" s="2" t="str">
        <f>HYPERLINK("http://ts.21cn.com/tousu/show/id/1339719","华帝吸油烟机燃气灶没用过坏了不给换")</f>
        <v>华帝吸油烟机燃气灶没用过坏了不给换</v>
      </c>
      <c r="C8631" s="2" t="s">
        <v>34</v>
      </c>
      <c r="D8631" s="2" t="s">
        <v>10</v>
      </c>
      <c r="E8631" s="2" t="str">
        <f>HYPERLINK("http://ts.21cn.com/tousu/show/id/1339719","http://ts.21cn.com/tousu/show/id/1339719")</f>
        <v>http://ts.21cn.com/tousu/show/id/1339719</v>
      </c>
      <c r="F8631" s="2" t="s">
        <v>11</v>
      </c>
      <c r="G8631" s="2" t="s">
        <v>27190</v>
      </c>
      <c r="H8631" s="2" t="s">
        <v>27191</v>
      </c>
    </row>
    <row r="8632" spans="1:8" ht="25.05" customHeight="1" x14ac:dyDescent="0.25">
      <c r="A8632" s="2" t="s">
        <v>8</v>
      </c>
      <c r="B8632" s="2" t="str">
        <f>HYPERLINK("http://ts.21cn.com/tousu/show/id/1339720","无缘无故扣钱")</f>
        <v>无缘无故扣钱</v>
      </c>
      <c r="C8632" s="2" t="s">
        <v>9</v>
      </c>
      <c r="D8632" s="2" t="s">
        <v>10</v>
      </c>
      <c r="E8632" s="2" t="str">
        <f>HYPERLINK("http://ts.21cn.com/tousu/show/id/1339720","http://ts.21cn.com/tousu/show/id/1339720")</f>
        <v>http://ts.21cn.com/tousu/show/id/1339720</v>
      </c>
      <c r="F8632" s="2" t="s">
        <v>11</v>
      </c>
      <c r="G8632" s="2" t="s">
        <v>27188</v>
      </c>
      <c r="H8632" s="2" t="s">
        <v>27189</v>
      </c>
    </row>
    <row r="8633" spans="1:8" ht="25.05" customHeight="1" x14ac:dyDescent="0.25">
      <c r="A8633" s="2" t="s">
        <v>8</v>
      </c>
      <c r="B8633" s="2" t="str">
        <f>HYPERLINK("http://ts.21cn.com/tousu/show/id/1339722","51人品贷高利贷暴力催收骚扰")</f>
        <v>51人品贷高利贷暴力催收骚扰</v>
      </c>
      <c r="C8633" s="2" t="s">
        <v>9</v>
      </c>
      <c r="D8633" s="2" t="s">
        <v>10</v>
      </c>
      <c r="E8633" s="2" t="str">
        <f>HYPERLINK("http://ts.21cn.com/tousu/show/id/1339722","http://ts.21cn.com/tousu/show/id/1339722")</f>
        <v>http://ts.21cn.com/tousu/show/id/1339722</v>
      </c>
      <c r="F8633" s="2" t="s">
        <v>11</v>
      </c>
      <c r="G8633" s="2" t="s">
        <v>27186</v>
      </c>
      <c r="H8633" s="2" t="s">
        <v>27187</v>
      </c>
    </row>
    <row r="8634" spans="1:8" ht="25.05" customHeight="1" x14ac:dyDescent="0.25">
      <c r="A8634" s="2" t="s">
        <v>8</v>
      </c>
      <c r="B8634" s="2" t="str">
        <f>HYPERLINK("http://ts.21cn.com/tousu/show/id/1339723","长城宽带网络未覆盖却拒不退费")</f>
        <v>长城宽带网络未覆盖却拒不退费</v>
      </c>
      <c r="C8634" s="2" t="s">
        <v>9</v>
      </c>
      <c r="D8634" s="2" t="s">
        <v>10</v>
      </c>
      <c r="E8634" s="2" t="str">
        <f>HYPERLINK("http://ts.21cn.com/tousu/show/id/1339723","http://ts.21cn.com/tousu/show/id/1339723")</f>
        <v>http://ts.21cn.com/tousu/show/id/1339723</v>
      </c>
      <c r="F8634" s="2" t="s">
        <v>11</v>
      </c>
      <c r="G8634" s="2" t="s">
        <v>27184</v>
      </c>
      <c r="H8634" s="2" t="s">
        <v>27185</v>
      </c>
    </row>
    <row r="8635" spans="1:8" ht="25.05" customHeight="1" x14ac:dyDescent="0.25">
      <c r="A8635" s="2" t="s">
        <v>8</v>
      </c>
      <c r="B8635" s="2" t="str">
        <f>HYPERLINK("http://ts.21cn.com/tousu/show/id/1339724","国美易卡暴力催收，需要威胁")</f>
        <v>国美易卡暴力催收，需要威胁</v>
      </c>
      <c r="C8635" s="2" t="s">
        <v>9</v>
      </c>
      <c r="D8635" s="2" t="s">
        <v>10</v>
      </c>
      <c r="E8635" s="2" t="str">
        <f>HYPERLINK("http://ts.21cn.com/tousu/show/id/1339724","http://ts.21cn.com/tousu/show/id/1339724")</f>
        <v>http://ts.21cn.com/tousu/show/id/1339724</v>
      </c>
      <c r="F8635" s="2" t="s">
        <v>11</v>
      </c>
      <c r="G8635" s="2" t="s">
        <v>27182</v>
      </c>
      <c r="H8635" s="2" t="s">
        <v>27183</v>
      </c>
    </row>
    <row r="8636" spans="1:8" ht="25.05" customHeight="1" x14ac:dyDescent="0.25">
      <c r="A8636" s="2" t="s">
        <v>8</v>
      </c>
      <c r="B8636" s="2" t="str">
        <f>HYPERLINK("http://ts.21cn.com/tousu/show/id/1339725","维信卡卡贷恶意收取会员费")</f>
        <v>维信卡卡贷恶意收取会员费</v>
      </c>
      <c r="C8636" s="2" t="s">
        <v>9</v>
      </c>
      <c r="D8636" s="2" t="s">
        <v>10</v>
      </c>
      <c r="E8636" s="2" t="str">
        <f>HYPERLINK("http://ts.21cn.com/tousu/show/id/1339725","http://ts.21cn.com/tousu/show/id/1339725")</f>
        <v>http://ts.21cn.com/tousu/show/id/1339725</v>
      </c>
      <c r="F8636" s="2" t="s">
        <v>11</v>
      </c>
      <c r="G8636" s="2" t="s">
        <v>27180</v>
      </c>
      <c r="H8636" s="2" t="s">
        <v>27181</v>
      </c>
    </row>
    <row r="8637" spans="1:8" ht="25.05" customHeight="1" x14ac:dyDescent="0.25">
      <c r="A8637" s="2" t="s">
        <v>8</v>
      </c>
      <c r="B8637" s="2" t="str">
        <f>HYPERLINK("http://ts.21cn.com/tousu/show/id/1339726","套路贷高利贷")</f>
        <v>套路贷高利贷</v>
      </c>
      <c r="C8637" s="2" t="s">
        <v>9</v>
      </c>
      <c r="D8637" s="2" t="s">
        <v>10</v>
      </c>
      <c r="E8637" s="2" t="str">
        <f>HYPERLINK("http://ts.21cn.com/tousu/show/id/1339726","http://ts.21cn.com/tousu/show/id/1339726")</f>
        <v>http://ts.21cn.com/tousu/show/id/1339726</v>
      </c>
      <c r="F8637" s="2" t="s">
        <v>11</v>
      </c>
      <c r="G8637" s="2" t="s">
        <v>27178</v>
      </c>
      <c r="H8637" s="2" t="s">
        <v>27179</v>
      </c>
    </row>
    <row r="8638" spans="1:8" ht="25.05" customHeight="1" x14ac:dyDescent="0.25">
      <c r="A8638" s="2" t="s">
        <v>8</v>
      </c>
      <c r="B8638" s="2" t="str">
        <f>HYPERLINK("http://ts.21cn.com/tousu/show/id/1339728","找靓机回收故意损坏手机")</f>
        <v>找靓机回收故意损坏手机</v>
      </c>
      <c r="C8638" s="2" t="s">
        <v>9</v>
      </c>
      <c r="D8638" s="2" t="s">
        <v>10</v>
      </c>
      <c r="E8638" s="2" t="str">
        <f>HYPERLINK("http://ts.21cn.com/tousu/show/id/1339728","http://ts.21cn.com/tousu/show/id/1339728")</f>
        <v>http://ts.21cn.com/tousu/show/id/1339728</v>
      </c>
      <c r="F8638" s="2" t="s">
        <v>11</v>
      </c>
      <c r="G8638" s="2" t="s">
        <v>27176</v>
      </c>
      <c r="H8638" s="2" t="s">
        <v>27177</v>
      </c>
    </row>
    <row r="8639" spans="1:8" ht="25.05" customHeight="1" x14ac:dyDescent="0.25">
      <c r="A8639" s="2" t="s">
        <v>8</v>
      </c>
      <c r="B8639" s="2" t="str">
        <f>HYPERLINK("http://ts.21cn.com/tousu/show/id/1339729","U租号账号被冻结")</f>
        <v>U租号账号被冻结</v>
      </c>
      <c r="C8639" s="2" t="s">
        <v>9</v>
      </c>
      <c r="D8639" s="2" t="s">
        <v>10</v>
      </c>
      <c r="E8639" s="2" t="str">
        <f>HYPERLINK("http://ts.21cn.com/tousu/show/id/1339729","http://ts.21cn.com/tousu/show/id/1339729")</f>
        <v>http://ts.21cn.com/tousu/show/id/1339729</v>
      </c>
      <c r="F8639" s="2" t="s">
        <v>11</v>
      </c>
      <c r="G8639" s="2" t="s">
        <v>27174</v>
      </c>
      <c r="H8639" s="2" t="s">
        <v>27175</v>
      </c>
    </row>
    <row r="8640" spans="1:8" ht="25.05" customHeight="1" x14ac:dyDescent="0.25">
      <c r="A8640" s="2" t="s">
        <v>8</v>
      </c>
      <c r="B8640" s="2" t="str">
        <f>HYPERLINK("http://ts.21cn.com/tousu/show/id/1339730","你我贷高利贷，")</f>
        <v>你我贷高利贷，</v>
      </c>
      <c r="C8640" s="2" t="s">
        <v>9</v>
      </c>
      <c r="D8640" s="2" t="s">
        <v>10</v>
      </c>
      <c r="E8640" s="2" t="str">
        <f>HYPERLINK("http://ts.21cn.com/tousu/show/id/1339730","http://ts.21cn.com/tousu/show/id/1339730")</f>
        <v>http://ts.21cn.com/tousu/show/id/1339730</v>
      </c>
      <c r="F8640" s="2" t="s">
        <v>11</v>
      </c>
      <c r="G8640" s="2" t="s">
        <v>27172</v>
      </c>
      <c r="H8640" s="2" t="s">
        <v>27173</v>
      </c>
    </row>
    <row r="8641" spans="1:8" ht="25.05" customHeight="1" x14ac:dyDescent="0.25">
      <c r="A8641" s="2" t="s">
        <v>8</v>
      </c>
      <c r="B8641" s="2" t="str">
        <f>HYPERLINK("http://ts.21cn.com/tousu/show/id/1339731","信用飞暴力催收、砍头息、高利贷")</f>
        <v>信用飞暴力催收、砍头息、高利贷</v>
      </c>
      <c r="C8641" s="2" t="s">
        <v>9</v>
      </c>
      <c r="D8641" s="2" t="s">
        <v>10</v>
      </c>
      <c r="E8641" s="2" t="str">
        <f>HYPERLINK("http://ts.21cn.com/tousu/show/id/1339731","http://ts.21cn.com/tousu/show/id/1339731")</f>
        <v>http://ts.21cn.com/tousu/show/id/1339731</v>
      </c>
      <c r="F8641" s="2" t="s">
        <v>11</v>
      </c>
      <c r="G8641" s="2" t="s">
        <v>27170</v>
      </c>
      <c r="H8641" s="2" t="s">
        <v>27171</v>
      </c>
    </row>
    <row r="8642" spans="1:8" ht="25.05" customHeight="1" x14ac:dyDescent="0.25">
      <c r="A8642" s="2" t="s">
        <v>8</v>
      </c>
      <c r="B8642" s="2" t="str">
        <f>HYPERLINK("http://ts.21cn.com/tousu/show/id/1339732","钱站还款日当天就进行人工催收")</f>
        <v>钱站还款日当天就进行人工催收</v>
      </c>
      <c r="C8642" s="2" t="s">
        <v>34</v>
      </c>
      <c r="D8642" s="2" t="s">
        <v>10</v>
      </c>
      <c r="E8642" s="2" t="str">
        <f>HYPERLINK("http://ts.21cn.com/tousu/show/id/1339732","http://ts.21cn.com/tousu/show/id/1339732")</f>
        <v>http://ts.21cn.com/tousu/show/id/1339732</v>
      </c>
      <c r="F8642" s="2" t="s">
        <v>11</v>
      </c>
      <c r="G8642" s="2" t="s">
        <v>27168</v>
      </c>
      <c r="H8642" s="2" t="s">
        <v>27169</v>
      </c>
    </row>
    <row r="8643" spans="1:8" ht="25.05" customHeight="1" x14ac:dyDescent="0.25">
      <c r="A8643" s="2" t="s">
        <v>8</v>
      </c>
      <c r="B8643" s="2" t="str">
        <f>HYPERLINK("http://ts.21cn.com/tousu/show/id/1339733","百事普惠恶意扣款")</f>
        <v>百事普惠恶意扣款</v>
      </c>
      <c r="C8643" s="2" t="s">
        <v>9</v>
      </c>
      <c r="D8643" s="2" t="s">
        <v>10</v>
      </c>
      <c r="E8643" s="2" t="str">
        <f>HYPERLINK("http://ts.21cn.com/tousu/show/id/1339733","http://ts.21cn.com/tousu/show/id/1339733")</f>
        <v>http://ts.21cn.com/tousu/show/id/1339733</v>
      </c>
      <c r="F8643" s="2" t="s">
        <v>11</v>
      </c>
      <c r="G8643" s="2" t="s">
        <v>27166</v>
      </c>
      <c r="H8643" s="2" t="s">
        <v>27167</v>
      </c>
    </row>
    <row r="8644" spans="1:8" ht="25.05" customHeight="1" x14ac:dyDescent="0.25">
      <c r="A8644" s="2" t="s">
        <v>8</v>
      </c>
      <c r="B8644" s="2" t="str">
        <f>HYPERLINK("http://ts.21cn.com/tousu/show/id/1339716","暴力电话催收")</f>
        <v>暴力电话催收</v>
      </c>
      <c r="C8644" s="2" t="s">
        <v>9</v>
      </c>
      <c r="D8644" s="2" t="s">
        <v>10</v>
      </c>
      <c r="E8644" s="2" t="str">
        <f>HYPERLINK("http://ts.21cn.com/tousu/show/id/1339716","http://ts.21cn.com/tousu/show/id/1339716")</f>
        <v>http://ts.21cn.com/tousu/show/id/1339716</v>
      </c>
      <c r="F8644" s="2" t="s">
        <v>11</v>
      </c>
      <c r="G8644" s="2" t="s">
        <v>27164</v>
      </c>
      <c r="H8644" s="2" t="s">
        <v>27165</v>
      </c>
    </row>
    <row r="8645" spans="1:8" ht="25.05" customHeight="1" x14ac:dyDescent="0.25">
      <c r="A8645" s="2" t="s">
        <v>8</v>
      </c>
      <c r="B8645" s="2" t="str">
        <f>HYPERLINK("http://ts.21cn.com/tousu/show/id/1339734","5173交易平台账号已出售不给打款")</f>
        <v>5173交易平台账号已出售不给打款</v>
      </c>
      <c r="C8645" s="2" t="s">
        <v>34</v>
      </c>
      <c r="D8645" s="2" t="s">
        <v>10</v>
      </c>
      <c r="E8645" s="2" t="str">
        <f>HYPERLINK("http://ts.21cn.com/tousu/show/id/1339734","http://ts.21cn.com/tousu/show/id/1339734")</f>
        <v>http://ts.21cn.com/tousu/show/id/1339734</v>
      </c>
      <c r="F8645" s="2" t="s">
        <v>11</v>
      </c>
      <c r="G8645" s="2" t="s">
        <v>27162</v>
      </c>
      <c r="H8645" s="2" t="s">
        <v>27163</v>
      </c>
    </row>
    <row r="8646" spans="1:8" ht="25.05" customHeight="1" x14ac:dyDescent="0.25">
      <c r="A8646" s="2" t="s">
        <v>8</v>
      </c>
      <c r="B8646" s="2" t="str">
        <f>HYPERLINK("http://ts.21cn.com/tousu/show/id/1339735","动因体育欺诈")</f>
        <v>动因体育欺诈</v>
      </c>
      <c r="C8646" s="2" t="s">
        <v>9</v>
      </c>
      <c r="D8646" s="2" t="s">
        <v>10</v>
      </c>
      <c r="E8646" s="2" t="str">
        <f>HYPERLINK("http://ts.21cn.com/tousu/show/id/1339735","http://ts.21cn.com/tousu/show/id/1339735")</f>
        <v>http://ts.21cn.com/tousu/show/id/1339735</v>
      </c>
      <c r="F8646" s="2" t="s">
        <v>11</v>
      </c>
      <c r="G8646" s="2" t="s">
        <v>27160</v>
      </c>
      <c r="H8646" s="2" t="s">
        <v>27161</v>
      </c>
    </row>
    <row r="8647" spans="1:8" ht="25.05" customHeight="1" x14ac:dyDescent="0.25">
      <c r="A8647" s="2" t="s">
        <v>8</v>
      </c>
      <c r="B8647" s="2" t="str">
        <f>HYPERLINK("http://ts.21cn.com/tousu/show/id/1339736","交通信用卡中心")</f>
        <v>交通信用卡中心</v>
      </c>
      <c r="C8647" s="2" t="s">
        <v>9</v>
      </c>
      <c r="D8647" s="2" t="s">
        <v>10</v>
      </c>
      <c r="E8647" s="2" t="str">
        <f>HYPERLINK("http://ts.21cn.com/tousu/show/id/1339736","http://ts.21cn.com/tousu/show/id/1339736")</f>
        <v>http://ts.21cn.com/tousu/show/id/1339736</v>
      </c>
      <c r="F8647" s="2" t="s">
        <v>11</v>
      </c>
      <c r="G8647" s="2" t="s">
        <v>27158</v>
      </c>
      <c r="H8647" s="2" t="s">
        <v>27159</v>
      </c>
    </row>
    <row r="8648" spans="1:8" ht="25.05" customHeight="1" x14ac:dyDescent="0.25">
      <c r="A8648" s="2" t="s">
        <v>8</v>
      </c>
      <c r="B8648" s="2" t="str">
        <f>HYPERLINK("http://ts.21cn.com/tousu/show/id/1339737","高利贷")</f>
        <v>高利贷</v>
      </c>
      <c r="C8648" s="2" t="s">
        <v>9</v>
      </c>
      <c r="D8648" s="2" t="s">
        <v>10</v>
      </c>
      <c r="E8648" s="2" t="str">
        <f>HYPERLINK("http://ts.21cn.com/tousu/show/id/1339737","http://ts.21cn.com/tousu/show/id/1339737")</f>
        <v>http://ts.21cn.com/tousu/show/id/1339737</v>
      </c>
      <c r="F8648" s="2" t="s">
        <v>11</v>
      </c>
      <c r="G8648" s="2" t="s">
        <v>27156</v>
      </c>
      <c r="H8648" s="2" t="s">
        <v>27157</v>
      </c>
    </row>
    <row r="8649" spans="1:8" ht="25.05" customHeight="1" x14ac:dyDescent="0.25">
      <c r="A8649" s="2" t="s">
        <v>8</v>
      </c>
      <c r="B8649" s="2" t="str">
        <f>HYPERLINK("http://ts.21cn.com/tousu/show/id/1339738","玖富万卡逾期费用较高")</f>
        <v>玖富万卡逾期费用较高</v>
      </c>
      <c r="C8649" s="2" t="s">
        <v>9</v>
      </c>
      <c r="D8649" s="2" t="s">
        <v>10</v>
      </c>
      <c r="E8649" s="2" t="str">
        <f>HYPERLINK("http://ts.21cn.com/tousu/show/id/1339738","http://ts.21cn.com/tousu/show/id/1339738")</f>
        <v>http://ts.21cn.com/tousu/show/id/1339738</v>
      </c>
      <c r="F8649" s="2" t="s">
        <v>11</v>
      </c>
      <c r="G8649" s="2" t="s">
        <v>27154</v>
      </c>
      <c r="H8649" s="2" t="s">
        <v>27155</v>
      </c>
    </row>
    <row r="8650" spans="1:8" ht="25.05" customHeight="1" x14ac:dyDescent="0.25">
      <c r="A8650" s="2" t="s">
        <v>8</v>
      </c>
      <c r="B8650" s="2" t="str">
        <f>HYPERLINK("http://ts.21cn.com/tousu/show/id/1339739","无故被盗刷扣款")</f>
        <v>无故被盗刷扣款</v>
      </c>
      <c r="C8650" s="2" t="s">
        <v>9</v>
      </c>
      <c r="D8650" s="2" t="s">
        <v>10</v>
      </c>
      <c r="E8650" s="2" t="str">
        <f>HYPERLINK("http://ts.21cn.com/tousu/show/id/1339739","http://ts.21cn.com/tousu/show/id/1339739")</f>
        <v>http://ts.21cn.com/tousu/show/id/1339739</v>
      </c>
      <c r="F8650" s="2" t="s">
        <v>11</v>
      </c>
      <c r="G8650" s="2" t="s">
        <v>27152</v>
      </c>
      <c r="H8650" s="2" t="s">
        <v>27153</v>
      </c>
    </row>
    <row r="8651" spans="1:8" ht="25.05" customHeight="1" x14ac:dyDescent="0.25">
      <c r="A8651" s="2" t="s">
        <v>8</v>
      </c>
      <c r="B8651" s="2" t="str">
        <f>HYPERLINK("http://ts.21cn.com/tousu/show/id/1339740","招联金融暴力催收威胁恐吓")</f>
        <v>招联金融暴力催收威胁恐吓</v>
      </c>
      <c r="C8651" s="2" t="s">
        <v>9</v>
      </c>
      <c r="D8651" s="2" t="s">
        <v>10</v>
      </c>
      <c r="E8651" s="2" t="str">
        <f>HYPERLINK("http://ts.21cn.com/tousu/show/id/1339740","http://ts.21cn.com/tousu/show/id/1339740")</f>
        <v>http://ts.21cn.com/tousu/show/id/1339740</v>
      </c>
      <c r="F8651" s="2" t="s">
        <v>11</v>
      </c>
      <c r="G8651" s="2" t="s">
        <v>27150</v>
      </c>
      <c r="H8651" s="2" t="s">
        <v>27151</v>
      </c>
    </row>
    <row r="8652" spans="1:8" ht="25.05" customHeight="1" x14ac:dyDescent="0.25">
      <c r="A8652" s="2" t="s">
        <v>8</v>
      </c>
      <c r="B8652" s="2" t="str">
        <f>HYPERLINK("http://ts.21cn.com/tousu/show/id/1339741","中信银行信用卡催收逼八十老父亲")</f>
        <v>中信银行信用卡催收逼八十老父亲</v>
      </c>
      <c r="C8652" s="2" t="s">
        <v>9</v>
      </c>
      <c r="D8652" s="2" t="s">
        <v>10</v>
      </c>
      <c r="E8652" s="2" t="str">
        <f>HYPERLINK("http://ts.21cn.com/tousu/show/id/1339741","http://ts.21cn.com/tousu/show/id/1339741")</f>
        <v>http://ts.21cn.com/tousu/show/id/1339741</v>
      </c>
      <c r="F8652" s="2" t="s">
        <v>11</v>
      </c>
      <c r="G8652" s="2" t="s">
        <v>27148</v>
      </c>
      <c r="H8652" s="2" t="s">
        <v>27149</v>
      </c>
    </row>
    <row r="8653" spans="1:8" ht="25.05" customHeight="1" x14ac:dyDescent="0.25">
      <c r="A8653" s="2" t="s">
        <v>8</v>
      </c>
      <c r="B8653" s="2" t="str">
        <f>HYPERLINK("http://ts.21cn.com/tousu/show/id/1339742","及贷高额收息，别人要求还本金")</f>
        <v>及贷高额收息，别人要求还本金</v>
      </c>
      <c r="C8653" s="2" t="s">
        <v>34</v>
      </c>
      <c r="D8653" s="2" t="s">
        <v>10</v>
      </c>
      <c r="E8653" s="2" t="str">
        <f>HYPERLINK("http://ts.21cn.com/tousu/show/id/1339742","http://ts.21cn.com/tousu/show/id/1339742")</f>
        <v>http://ts.21cn.com/tousu/show/id/1339742</v>
      </c>
      <c r="F8653" s="2" t="s">
        <v>11</v>
      </c>
      <c r="G8653" s="2" t="s">
        <v>27145</v>
      </c>
      <c r="H8653" s="2" t="s">
        <v>27146</v>
      </c>
    </row>
    <row r="8654" spans="1:8" ht="25.05" customHeight="1" x14ac:dyDescent="0.25">
      <c r="A8654" s="2" t="s">
        <v>8</v>
      </c>
      <c r="B8654" s="2" t="str">
        <f>HYPERLINK("http://ts.21cn.com/tousu/show/id/1339743","浦发银行信用卡委派外人电话骚扰")</f>
        <v>浦发银行信用卡委派外人电话骚扰</v>
      </c>
      <c r="C8654" s="2" t="s">
        <v>9</v>
      </c>
      <c r="D8654" s="2" t="s">
        <v>10</v>
      </c>
      <c r="E8654" s="2" t="str">
        <f>HYPERLINK("http://ts.21cn.com/tousu/show/id/1339743","http://ts.21cn.com/tousu/show/id/1339743")</f>
        <v>http://ts.21cn.com/tousu/show/id/1339743</v>
      </c>
      <c r="F8654" s="2" t="s">
        <v>11</v>
      </c>
      <c r="G8654" s="2" t="s">
        <v>27145</v>
      </c>
      <c r="H8654" s="2" t="s">
        <v>27147</v>
      </c>
    </row>
    <row r="8655" spans="1:8" ht="25.05" customHeight="1" x14ac:dyDescent="0.25">
      <c r="A8655" s="2" t="s">
        <v>8</v>
      </c>
      <c r="B8655" s="2" t="str">
        <f>HYPERLINK("http://ts.21cn.com/tousu/show/id/1339744","浦发银行")</f>
        <v>浦发银行</v>
      </c>
      <c r="C8655" s="2" t="s">
        <v>34</v>
      </c>
      <c r="D8655" s="2" t="s">
        <v>10</v>
      </c>
      <c r="E8655" s="2" t="str">
        <f>HYPERLINK("http://ts.21cn.com/tousu/show/id/1339744","http://ts.21cn.com/tousu/show/id/1339744")</f>
        <v>http://ts.21cn.com/tousu/show/id/1339744</v>
      </c>
      <c r="F8655" s="2" t="s">
        <v>11</v>
      </c>
      <c r="G8655" s="2" t="s">
        <v>27143</v>
      </c>
      <c r="H8655" s="2" t="s">
        <v>27144</v>
      </c>
    </row>
    <row r="8656" spans="1:8" ht="25.05" customHeight="1" x14ac:dyDescent="0.25">
      <c r="A8656" s="2" t="s">
        <v>8</v>
      </c>
      <c r="B8656" s="2" t="str">
        <f>HYPERLINK("http://ts.21cn.com/tousu/show/id/1339681","连买两台红米手机都出问题")</f>
        <v>连买两台红米手机都出问题</v>
      </c>
      <c r="C8656" s="2" t="s">
        <v>9</v>
      </c>
      <c r="D8656" s="2" t="s">
        <v>10</v>
      </c>
      <c r="E8656" s="2" t="str">
        <f>HYPERLINK("http://ts.21cn.com/tousu/show/id/1339681","http://ts.21cn.com/tousu/show/id/1339681")</f>
        <v>http://ts.21cn.com/tousu/show/id/1339681</v>
      </c>
      <c r="F8656" s="2" t="s">
        <v>11</v>
      </c>
      <c r="G8656" s="2" t="s">
        <v>27141</v>
      </c>
      <c r="H8656" s="2" t="s">
        <v>27142</v>
      </c>
    </row>
    <row r="8657" spans="1:8" ht="25.05" customHeight="1" x14ac:dyDescent="0.25">
      <c r="A8657" s="2" t="s">
        <v>8</v>
      </c>
      <c r="B8657" s="2" t="str">
        <f>HYPERLINK("http://ts.21cn.com/tousu/show/id/1339746","小羽白卡1200到手843。7天，还没到期就威胁我，锁我手机")</f>
        <v>小羽白卡1200到手843。7天，还没到期就威胁我，锁我手机</v>
      </c>
      <c r="C8657" s="2" t="s">
        <v>9</v>
      </c>
      <c r="D8657" s="2" t="s">
        <v>10</v>
      </c>
      <c r="E8657" s="2" t="str">
        <f>HYPERLINK("http://ts.21cn.com/tousu/show/id/1339746","http://ts.21cn.com/tousu/show/id/1339746")</f>
        <v>http://ts.21cn.com/tousu/show/id/1339746</v>
      </c>
      <c r="F8657" s="2" t="s">
        <v>11</v>
      </c>
      <c r="G8657" s="2" t="s">
        <v>27139</v>
      </c>
      <c r="H8657" s="2" t="s">
        <v>27140</v>
      </c>
    </row>
    <row r="8658" spans="1:8" ht="25.05" customHeight="1" x14ac:dyDescent="0.25">
      <c r="A8658" s="2" t="s">
        <v>8</v>
      </c>
      <c r="B8658" s="2" t="str">
        <f>HYPERLINK("http://ts.21cn.com/tousu/show/id/1339748","钱伴利息太高")</f>
        <v>钱伴利息太高</v>
      </c>
      <c r="C8658" s="2" t="s">
        <v>9</v>
      </c>
      <c r="D8658" s="2" t="s">
        <v>10</v>
      </c>
      <c r="E8658" s="2" t="str">
        <f>HYPERLINK("http://ts.21cn.com/tousu/show/id/1339748","http://ts.21cn.com/tousu/show/id/1339748")</f>
        <v>http://ts.21cn.com/tousu/show/id/1339748</v>
      </c>
      <c r="F8658" s="2" t="s">
        <v>11</v>
      </c>
      <c r="G8658" s="2" t="s">
        <v>27137</v>
      </c>
      <c r="H8658" s="2" t="s">
        <v>27138</v>
      </c>
    </row>
    <row r="8659" spans="1:8" ht="25.05" customHeight="1" x14ac:dyDescent="0.25">
      <c r="A8659" s="2" t="s">
        <v>8</v>
      </c>
      <c r="B8659" s="2" t="str">
        <f>HYPERLINK("http://ts.21cn.com/tousu/show/id/1339727","钱站高利贷阴阳合同")</f>
        <v>钱站高利贷阴阳合同</v>
      </c>
      <c r="C8659" s="2" t="s">
        <v>9</v>
      </c>
      <c r="D8659" s="2" t="s">
        <v>10</v>
      </c>
      <c r="E8659" s="2" t="str">
        <f>HYPERLINK("http://ts.21cn.com/tousu/show/id/1339727","http://ts.21cn.com/tousu/show/id/1339727")</f>
        <v>http://ts.21cn.com/tousu/show/id/1339727</v>
      </c>
      <c r="F8659" s="2" t="s">
        <v>11</v>
      </c>
      <c r="G8659" s="2" t="s">
        <v>27135</v>
      </c>
      <c r="H8659" s="2" t="s">
        <v>27136</v>
      </c>
    </row>
    <row r="8660" spans="1:8" ht="25.05" customHeight="1" x14ac:dyDescent="0.25">
      <c r="A8660" s="2" t="s">
        <v>8</v>
      </c>
      <c r="B8660" s="2" t="str">
        <f>HYPERLINK("http://ts.21cn.com/tousu/show/id/1339749","支付宝不能收款，打电话也打不通")</f>
        <v>支付宝不能收款，打电话也打不通</v>
      </c>
      <c r="C8660" s="2" t="s">
        <v>9</v>
      </c>
      <c r="D8660" s="2" t="s">
        <v>10</v>
      </c>
      <c r="E8660" s="2" t="str">
        <f>HYPERLINK("http://ts.21cn.com/tousu/show/id/1339749","http://ts.21cn.com/tousu/show/id/1339749")</f>
        <v>http://ts.21cn.com/tousu/show/id/1339749</v>
      </c>
      <c r="F8660" s="2" t="s">
        <v>11</v>
      </c>
      <c r="G8660" s="2" t="s">
        <v>27133</v>
      </c>
      <c r="H8660" s="2" t="s">
        <v>27134</v>
      </c>
    </row>
    <row r="8661" spans="1:8" ht="25.05" customHeight="1" x14ac:dyDescent="0.25">
      <c r="A8661" s="2" t="s">
        <v>8</v>
      </c>
      <c r="B8661" s="2" t="str">
        <f>HYPERLINK("http://ts.21cn.com/tousu/show/id/1339750","平安银行暴力催收")</f>
        <v>平安银行暴力催收</v>
      </c>
      <c r="C8661" s="2" t="s">
        <v>9</v>
      </c>
      <c r="D8661" s="2" t="s">
        <v>10</v>
      </c>
      <c r="E8661" s="2" t="str">
        <f>HYPERLINK("http://ts.21cn.com/tousu/show/id/1339750","http://ts.21cn.com/tousu/show/id/1339750")</f>
        <v>http://ts.21cn.com/tousu/show/id/1339750</v>
      </c>
      <c r="F8661" s="2" t="s">
        <v>11</v>
      </c>
      <c r="G8661" s="2" t="s">
        <v>27131</v>
      </c>
      <c r="H8661" s="2" t="s">
        <v>27132</v>
      </c>
    </row>
    <row r="8662" spans="1:8" ht="25.05" customHeight="1" x14ac:dyDescent="0.25">
      <c r="A8662" s="2" t="s">
        <v>8</v>
      </c>
      <c r="B8662" s="2" t="str">
        <f>HYPERLINK("http://ts.21cn.com/tousu/show/id/1339751","钱橙无忧乱扣费")</f>
        <v>钱橙无忧乱扣费</v>
      </c>
      <c r="C8662" s="2" t="s">
        <v>9</v>
      </c>
      <c r="D8662" s="2" t="s">
        <v>10</v>
      </c>
      <c r="E8662" s="2" t="str">
        <f>HYPERLINK("http://ts.21cn.com/tousu/show/id/1339751","http://ts.21cn.com/tousu/show/id/1339751")</f>
        <v>http://ts.21cn.com/tousu/show/id/1339751</v>
      </c>
      <c r="F8662" s="2" t="s">
        <v>11</v>
      </c>
      <c r="G8662" s="2" t="s">
        <v>27129</v>
      </c>
      <c r="H8662" s="2" t="s">
        <v>27130</v>
      </c>
    </row>
    <row r="8663" spans="1:8" ht="25.05" customHeight="1" x14ac:dyDescent="0.25">
      <c r="A8663" s="2" t="s">
        <v>8</v>
      </c>
      <c r="B8663" s="2" t="str">
        <f>HYPERLINK("http://ts.21cn.com/tousu/show/id/1339752","淘宝荣耀官方旗舰店承诺的购机赠品未赠送")</f>
        <v>淘宝荣耀官方旗舰店承诺的购机赠品未赠送</v>
      </c>
      <c r="C8663" s="2" t="s">
        <v>9</v>
      </c>
      <c r="D8663" s="2" t="s">
        <v>10</v>
      </c>
      <c r="E8663" s="2" t="str">
        <f>HYPERLINK("http://ts.21cn.com/tousu/show/id/1339752","http://ts.21cn.com/tousu/show/id/1339752")</f>
        <v>http://ts.21cn.com/tousu/show/id/1339752</v>
      </c>
      <c r="F8663" s="2" t="s">
        <v>11</v>
      </c>
      <c r="G8663" s="2" t="s">
        <v>27127</v>
      </c>
      <c r="H8663" s="2" t="s">
        <v>27128</v>
      </c>
    </row>
    <row r="8664" spans="1:8" ht="25.05" customHeight="1" x14ac:dyDescent="0.25">
      <c r="A8664" s="2" t="s">
        <v>8</v>
      </c>
      <c r="B8664" s="2" t="str">
        <f>HYPERLINK("http://ts.21cn.com/tousu/show/id/1339753","阴阳合同,也不让取消借款!!")</f>
        <v>阴阳合同,也不让取消借款!!</v>
      </c>
      <c r="C8664" s="2" t="s">
        <v>9</v>
      </c>
      <c r="D8664" s="2" t="s">
        <v>10</v>
      </c>
      <c r="E8664" s="2" t="str">
        <f>HYPERLINK("http://ts.21cn.com/tousu/show/id/1339753","http://ts.21cn.com/tousu/show/id/1339753")</f>
        <v>http://ts.21cn.com/tousu/show/id/1339753</v>
      </c>
      <c r="F8664" s="2" t="s">
        <v>11</v>
      </c>
      <c r="G8664" s="2" t="s">
        <v>27125</v>
      </c>
      <c r="H8664" s="2" t="s">
        <v>27126</v>
      </c>
    </row>
    <row r="8665" spans="1:8" ht="25.05" customHeight="1" x14ac:dyDescent="0.25">
      <c r="A8665" s="2" t="s">
        <v>8</v>
      </c>
      <c r="B8665" s="2" t="str">
        <f>HYPERLINK("http://ts.21cn.com/tousu/show/id/1339754","快闪卡贷高利，贷砍头息")</f>
        <v>快闪卡贷高利，贷砍头息</v>
      </c>
      <c r="C8665" s="2" t="s">
        <v>9</v>
      </c>
      <c r="D8665" s="2" t="s">
        <v>10</v>
      </c>
      <c r="E8665" s="2" t="str">
        <f>HYPERLINK("http://ts.21cn.com/tousu/show/id/1339754","http://ts.21cn.com/tousu/show/id/1339754")</f>
        <v>http://ts.21cn.com/tousu/show/id/1339754</v>
      </c>
      <c r="F8665" s="2" t="s">
        <v>11</v>
      </c>
      <c r="G8665" s="2" t="s">
        <v>27123</v>
      </c>
      <c r="H8665" s="2" t="s">
        <v>27124</v>
      </c>
    </row>
    <row r="8666" spans="1:8" ht="25.05" customHeight="1" x14ac:dyDescent="0.25">
      <c r="A8666" s="2" t="s">
        <v>8</v>
      </c>
      <c r="B8666" s="2" t="str">
        <f>HYPERLINK("http://ts.21cn.com/tousu/show/id/1339755","小浦优客未经同意扣款")</f>
        <v>小浦优客未经同意扣款</v>
      </c>
      <c r="C8666" s="2" t="s">
        <v>34</v>
      </c>
      <c r="D8666" s="2" t="s">
        <v>10</v>
      </c>
      <c r="E8666" s="2" t="str">
        <f>HYPERLINK("http://ts.21cn.com/tousu/show/id/1339755","http://ts.21cn.com/tousu/show/id/1339755")</f>
        <v>http://ts.21cn.com/tousu/show/id/1339755</v>
      </c>
      <c r="F8666" s="2" t="s">
        <v>11</v>
      </c>
      <c r="G8666" s="2" t="s">
        <v>27121</v>
      </c>
      <c r="H8666" s="2" t="s">
        <v>27122</v>
      </c>
    </row>
    <row r="8667" spans="1:8" ht="25.05" customHeight="1" x14ac:dyDescent="0.25">
      <c r="A8667" s="2" t="s">
        <v>8</v>
      </c>
      <c r="B8667" s="2" t="str">
        <f>HYPERLINK("http://ts.21cn.com/tousu/show/id/1339756","协商解决问题")</f>
        <v>协商解决问题</v>
      </c>
      <c r="C8667" s="2" t="s">
        <v>9</v>
      </c>
      <c r="D8667" s="2" t="s">
        <v>10</v>
      </c>
      <c r="E8667" s="2" t="str">
        <f>HYPERLINK("http://ts.21cn.com/tousu/show/id/1339756","http://ts.21cn.com/tousu/show/id/1339756")</f>
        <v>http://ts.21cn.com/tousu/show/id/1339756</v>
      </c>
      <c r="F8667" s="2" t="s">
        <v>11</v>
      </c>
      <c r="G8667" s="2" t="s">
        <v>27119</v>
      </c>
      <c r="H8667" s="2" t="s">
        <v>27120</v>
      </c>
    </row>
    <row r="8668" spans="1:8" ht="25.05" customHeight="1" x14ac:dyDescent="0.25">
      <c r="A8668" s="2" t="s">
        <v>8</v>
      </c>
      <c r="B8668" s="2" t="str">
        <f>HYPERLINK("http://ts.21cn.com/tousu/show/id/1339757","小赢卡贷设置离谱的流程不让用户注销账户")</f>
        <v>小赢卡贷设置离谱的流程不让用户注销账户</v>
      </c>
      <c r="C8668" s="2" t="s">
        <v>9</v>
      </c>
      <c r="D8668" s="2" t="s">
        <v>10</v>
      </c>
      <c r="E8668" s="2" t="str">
        <f>HYPERLINK("http://ts.21cn.com/tousu/show/id/1339757","http://ts.21cn.com/tousu/show/id/1339757")</f>
        <v>http://ts.21cn.com/tousu/show/id/1339757</v>
      </c>
      <c r="F8668" s="2" t="s">
        <v>11</v>
      </c>
      <c r="G8668" s="2" t="s">
        <v>27117</v>
      </c>
      <c r="H8668" s="2" t="s">
        <v>27118</v>
      </c>
    </row>
    <row r="8669" spans="1:8" ht="25.05" customHeight="1" x14ac:dyDescent="0.25">
      <c r="A8669" s="2" t="s">
        <v>8</v>
      </c>
      <c r="B8669" s="2" t="str">
        <f>HYPERLINK("http://ts.21cn.com/tousu/show/id/1339758","不根据实际使用话费开具发票")</f>
        <v>不根据实际使用话费开具发票</v>
      </c>
      <c r="C8669" s="2" t="s">
        <v>9</v>
      </c>
      <c r="D8669" s="2" t="s">
        <v>10</v>
      </c>
      <c r="E8669" s="2" t="str">
        <f>HYPERLINK("http://ts.21cn.com/tousu/show/id/1339758","http://ts.21cn.com/tousu/show/id/1339758")</f>
        <v>http://ts.21cn.com/tousu/show/id/1339758</v>
      </c>
      <c r="F8669" s="2" t="s">
        <v>11</v>
      </c>
      <c r="G8669" s="2" t="s">
        <v>27115</v>
      </c>
      <c r="H8669" s="2" t="s">
        <v>27116</v>
      </c>
    </row>
    <row r="8670" spans="1:8" ht="25.05" customHeight="1" x14ac:dyDescent="0.25">
      <c r="A8670" s="2" t="s">
        <v>8</v>
      </c>
      <c r="B8670" s="2" t="str">
        <f>HYPERLINK("http://ts.21cn.com/tousu/show/id/1339760","贷款开始催收")</f>
        <v>贷款开始催收</v>
      </c>
      <c r="C8670" s="2" t="s">
        <v>9</v>
      </c>
      <c r="D8670" s="2" t="s">
        <v>10</v>
      </c>
      <c r="E8670" s="2" t="str">
        <f>HYPERLINK("http://ts.21cn.com/tousu/show/id/1339760","http://ts.21cn.com/tousu/show/id/1339760")</f>
        <v>http://ts.21cn.com/tousu/show/id/1339760</v>
      </c>
      <c r="F8670" s="2" t="s">
        <v>11</v>
      </c>
      <c r="G8670" s="2" t="s">
        <v>27113</v>
      </c>
      <c r="H8670" s="2" t="s">
        <v>27114</v>
      </c>
    </row>
    <row r="8671" spans="1:8" ht="25.05" customHeight="1" x14ac:dyDescent="0.25">
      <c r="A8671" s="2" t="s">
        <v>8</v>
      </c>
      <c r="B8671" s="2" t="str">
        <f>HYPERLINK("http://ts.21cn.com/tousu/show/id/1339761","月光侠砍头息爆通讯录")</f>
        <v>月光侠砍头息爆通讯录</v>
      </c>
      <c r="C8671" s="2" t="s">
        <v>9</v>
      </c>
      <c r="D8671" s="2" t="s">
        <v>10</v>
      </c>
      <c r="E8671" s="2" t="str">
        <f>HYPERLINK("http://ts.21cn.com/tousu/show/id/1339761","http://ts.21cn.com/tousu/show/id/1339761")</f>
        <v>http://ts.21cn.com/tousu/show/id/1339761</v>
      </c>
      <c r="F8671" s="2" t="s">
        <v>11</v>
      </c>
      <c r="G8671" s="2" t="s">
        <v>27111</v>
      </c>
      <c r="H8671" s="2" t="s">
        <v>27112</v>
      </c>
    </row>
    <row r="8672" spans="1:8" ht="25.05" customHeight="1" x14ac:dyDescent="0.25">
      <c r="A8672" s="2" t="s">
        <v>8</v>
      </c>
      <c r="B8672" s="2" t="str">
        <f>HYPERLINK("http://ts.21cn.com/tousu/show/id/1339762","易宝支付违规为714高利贷平台提供支付渠道")</f>
        <v>易宝支付违规为714高利贷平台提供支付渠道</v>
      </c>
      <c r="C8672" s="2" t="s">
        <v>9</v>
      </c>
      <c r="D8672" s="2" t="s">
        <v>10</v>
      </c>
      <c r="E8672" s="2" t="str">
        <f>HYPERLINK("http://ts.21cn.com/tousu/show/id/1339762","http://ts.21cn.com/tousu/show/id/1339762")</f>
        <v>http://ts.21cn.com/tousu/show/id/1339762</v>
      </c>
      <c r="F8672" s="2" t="s">
        <v>11</v>
      </c>
      <c r="G8672" s="2" t="s">
        <v>27109</v>
      </c>
      <c r="H8672" s="2" t="s">
        <v>27110</v>
      </c>
    </row>
    <row r="8673" spans="1:8" ht="25.05" customHeight="1" x14ac:dyDescent="0.25">
      <c r="A8673" s="2" t="s">
        <v>8</v>
      </c>
      <c r="B8673" s="2" t="str">
        <f>HYPERLINK("http://ts.21cn.com/tousu/show/id/1339763","候补订单退单后没退款")</f>
        <v>候补订单退单后没退款</v>
      </c>
      <c r="C8673" s="2" t="s">
        <v>34</v>
      </c>
      <c r="D8673" s="2" t="s">
        <v>10</v>
      </c>
      <c r="E8673" s="2" t="str">
        <f>HYPERLINK("http://ts.21cn.com/tousu/show/id/1339763","http://ts.21cn.com/tousu/show/id/1339763")</f>
        <v>http://ts.21cn.com/tousu/show/id/1339763</v>
      </c>
      <c r="F8673" s="2" t="s">
        <v>11</v>
      </c>
      <c r="G8673" s="2" t="s">
        <v>27107</v>
      </c>
      <c r="H8673" s="2" t="s">
        <v>27108</v>
      </c>
    </row>
    <row r="8674" spans="1:8" ht="25.05" customHeight="1" x14ac:dyDescent="0.25">
      <c r="A8674" s="2" t="s">
        <v>8</v>
      </c>
      <c r="B8674" s="2" t="str">
        <f>HYPERLINK("http://ts.21cn.com/tousu/show/id/1339764","北京友缘在线网络科技有限公司欺诈消费者")</f>
        <v>北京友缘在线网络科技有限公司欺诈消费者</v>
      </c>
      <c r="C8674" s="2" t="s">
        <v>9</v>
      </c>
      <c r="D8674" s="2" t="s">
        <v>10</v>
      </c>
      <c r="E8674" s="2" t="str">
        <f>HYPERLINK("http://ts.21cn.com/tousu/show/id/1339764","http://ts.21cn.com/tousu/show/id/1339764")</f>
        <v>http://ts.21cn.com/tousu/show/id/1339764</v>
      </c>
      <c r="F8674" s="2" t="s">
        <v>11</v>
      </c>
      <c r="G8674" s="2" t="s">
        <v>27105</v>
      </c>
      <c r="H8674" s="2" t="s">
        <v>27106</v>
      </c>
    </row>
    <row r="8675" spans="1:8" ht="25.05" customHeight="1" x14ac:dyDescent="0.25">
      <c r="A8675" s="2" t="s">
        <v>8</v>
      </c>
      <c r="B8675" s="2" t="str">
        <f>HYPERLINK("http://ts.21cn.com/tousu/show/id/1339765","立借钱置宝高利贷一个月分四期三期还完本金")</f>
        <v>立借钱置宝高利贷一个月分四期三期还完本金</v>
      </c>
      <c r="C8675" s="2" t="s">
        <v>9</v>
      </c>
      <c r="D8675" s="2" t="s">
        <v>10</v>
      </c>
      <c r="E8675" s="2" t="str">
        <f>HYPERLINK("http://ts.21cn.com/tousu/show/id/1339765","http://ts.21cn.com/tousu/show/id/1339765")</f>
        <v>http://ts.21cn.com/tousu/show/id/1339765</v>
      </c>
      <c r="F8675" s="2" t="s">
        <v>11</v>
      </c>
      <c r="G8675" s="2" t="s">
        <v>27103</v>
      </c>
      <c r="H8675" s="2" t="s">
        <v>27104</v>
      </c>
    </row>
    <row r="8676" spans="1:8" ht="25.05" customHeight="1" x14ac:dyDescent="0.25">
      <c r="A8676" s="2" t="s">
        <v>8</v>
      </c>
      <c r="B8676" s="2" t="str">
        <f>HYPERLINK("http://ts.21cn.com/tousu/show/id/1339766","猫眼APP诱导注册提现不到账！")</f>
        <v>猫眼APP诱导注册提现不到账！</v>
      </c>
      <c r="C8676" s="2" t="s">
        <v>9</v>
      </c>
      <c r="D8676" s="2" t="s">
        <v>10</v>
      </c>
      <c r="E8676" s="2" t="str">
        <f>HYPERLINK("http://ts.21cn.com/tousu/show/id/1339766","http://ts.21cn.com/tousu/show/id/1339766")</f>
        <v>http://ts.21cn.com/tousu/show/id/1339766</v>
      </c>
      <c r="F8676" s="2" t="s">
        <v>11</v>
      </c>
      <c r="G8676" s="2" t="s">
        <v>27101</v>
      </c>
      <c r="H8676" s="2" t="s">
        <v>27102</v>
      </c>
    </row>
    <row r="8677" spans="1:8" ht="25.05" customHeight="1" x14ac:dyDescent="0.25">
      <c r="A8677" s="2" t="s">
        <v>8</v>
      </c>
      <c r="B8677" s="2" t="str">
        <f>HYPERLINK("http://ts.21cn.com/tousu/show/id/1339768","暴力催收，电话骚扰")</f>
        <v>暴力催收，电话骚扰</v>
      </c>
      <c r="C8677" s="2" t="s">
        <v>9</v>
      </c>
      <c r="D8677" s="2" t="s">
        <v>10</v>
      </c>
      <c r="E8677" s="2" t="str">
        <f>HYPERLINK("http://ts.21cn.com/tousu/show/id/1339768","http://ts.21cn.com/tousu/show/id/1339768")</f>
        <v>http://ts.21cn.com/tousu/show/id/1339768</v>
      </c>
      <c r="F8677" s="2" t="s">
        <v>11</v>
      </c>
      <c r="G8677" s="2" t="s">
        <v>27099</v>
      </c>
      <c r="H8677" s="2" t="s">
        <v>27100</v>
      </c>
    </row>
    <row r="8678" spans="1:8" ht="25.05" customHeight="1" x14ac:dyDescent="0.25">
      <c r="A8678" s="2" t="s">
        <v>8</v>
      </c>
      <c r="B8678" s="2" t="str">
        <f>HYPERLINK("http://ts.21cn.com/tousu/show/id/1339769","百事普惠恶意扣款")</f>
        <v>百事普惠恶意扣款</v>
      </c>
      <c r="C8678" s="2" t="s">
        <v>9</v>
      </c>
      <c r="D8678" s="2" t="s">
        <v>10</v>
      </c>
      <c r="E8678" s="2" t="str">
        <f>HYPERLINK("http://ts.21cn.com/tousu/show/id/1339769","http://ts.21cn.com/tousu/show/id/1339769")</f>
        <v>http://ts.21cn.com/tousu/show/id/1339769</v>
      </c>
      <c r="F8678" s="2" t="s">
        <v>11</v>
      </c>
      <c r="G8678" s="2" t="s">
        <v>27097</v>
      </c>
      <c r="H8678" s="2" t="s">
        <v>27098</v>
      </c>
    </row>
    <row r="8679" spans="1:8" ht="25.05" customHeight="1" x14ac:dyDescent="0.25">
      <c r="A8679" s="2" t="s">
        <v>8</v>
      </c>
      <c r="B8679" s="2" t="str">
        <f>HYPERLINK("http://ts.21cn.com/tousu/show/id/1339684","被金珂贷（又叫珂基贷）暴力催收")</f>
        <v>被金珂贷（又叫珂基贷）暴力催收</v>
      </c>
      <c r="C8679" s="2" t="s">
        <v>9</v>
      </c>
      <c r="D8679" s="2" t="s">
        <v>10</v>
      </c>
      <c r="E8679" s="2" t="str">
        <f>HYPERLINK("http://ts.21cn.com/tousu/show/id/1339684","http://ts.21cn.com/tousu/show/id/1339684")</f>
        <v>http://ts.21cn.com/tousu/show/id/1339684</v>
      </c>
      <c r="F8679" s="2" t="s">
        <v>11</v>
      </c>
      <c r="G8679" s="2" t="s">
        <v>27095</v>
      </c>
      <c r="H8679" s="2" t="s">
        <v>27096</v>
      </c>
    </row>
    <row r="8680" spans="1:8" ht="25.05" customHeight="1" x14ac:dyDescent="0.25">
      <c r="A8680" s="2" t="s">
        <v>8</v>
      </c>
      <c r="B8680" s="2" t="str">
        <f>HYPERLINK("http://ts.21cn.com/tousu/show/id/1339770","钱站高利贷")</f>
        <v>钱站高利贷</v>
      </c>
      <c r="C8680" s="2" t="s">
        <v>9</v>
      </c>
      <c r="D8680" s="2" t="s">
        <v>10</v>
      </c>
      <c r="E8680" s="2" t="str">
        <f>HYPERLINK("http://ts.21cn.com/tousu/show/id/1339770","http://ts.21cn.com/tousu/show/id/1339770")</f>
        <v>http://ts.21cn.com/tousu/show/id/1339770</v>
      </c>
      <c r="F8680" s="2" t="s">
        <v>11</v>
      </c>
      <c r="G8680" s="2" t="s">
        <v>27093</v>
      </c>
      <c r="H8680" s="2" t="s">
        <v>27094</v>
      </c>
    </row>
    <row r="8681" spans="1:8" ht="25.05" customHeight="1" x14ac:dyDescent="0.25">
      <c r="A8681" s="2" t="s">
        <v>8</v>
      </c>
      <c r="B8681" s="2" t="str">
        <f>HYPERLINK("http://ts.21cn.com/tousu/show/id/1339771","小赢卡贷，暴力语言威胁，说要借款人地址，爆通讯录")</f>
        <v>小赢卡贷，暴力语言威胁，说要借款人地址，爆通讯录</v>
      </c>
      <c r="C8681" s="2" t="s">
        <v>9</v>
      </c>
      <c r="D8681" s="2" t="s">
        <v>10</v>
      </c>
      <c r="E8681" s="2" t="str">
        <f>HYPERLINK("http://ts.21cn.com/tousu/show/id/1339771","http://ts.21cn.com/tousu/show/id/1339771")</f>
        <v>http://ts.21cn.com/tousu/show/id/1339771</v>
      </c>
      <c r="F8681" s="2" t="s">
        <v>11</v>
      </c>
      <c r="G8681" s="2" t="s">
        <v>27091</v>
      </c>
      <c r="H8681" s="2" t="s">
        <v>27092</v>
      </c>
    </row>
    <row r="8682" spans="1:8" ht="25.05" customHeight="1" x14ac:dyDescent="0.25">
      <c r="A8682" s="2" t="s">
        <v>8</v>
      </c>
      <c r="B8682" s="2" t="str">
        <f>HYPERLINK("http://ts.21cn.com/tousu/show/id/1339747","没有借过款，为什么要我还款。")</f>
        <v>没有借过款，为什么要我还款。</v>
      </c>
      <c r="C8682" s="2" t="s">
        <v>9</v>
      </c>
      <c r="D8682" s="2" t="s">
        <v>10</v>
      </c>
      <c r="E8682" s="2" t="str">
        <f>HYPERLINK("http://ts.21cn.com/tousu/show/id/1339747","http://ts.21cn.com/tousu/show/id/1339747")</f>
        <v>http://ts.21cn.com/tousu/show/id/1339747</v>
      </c>
      <c r="F8682" s="2" t="s">
        <v>11</v>
      </c>
      <c r="G8682" s="2" t="s">
        <v>27089</v>
      </c>
      <c r="H8682" s="2" t="s">
        <v>27090</v>
      </c>
    </row>
    <row r="8683" spans="1:8" ht="25.05" customHeight="1" x14ac:dyDescent="0.25">
      <c r="A8683" s="2" t="s">
        <v>8</v>
      </c>
      <c r="B8683" s="2" t="str">
        <f>HYPERLINK("http://ts.21cn.com/tousu/show/id/1339772","这么说，就说国美易收取高额的账户管理费用")</f>
        <v>这么说，就说国美易收取高额的账户管理费用</v>
      </c>
      <c r="C8683" s="2" t="s">
        <v>9</v>
      </c>
      <c r="D8683" s="2" t="s">
        <v>10</v>
      </c>
      <c r="E8683" s="2" t="str">
        <f>HYPERLINK("http://ts.21cn.com/tousu/show/id/1339772","http://ts.21cn.com/tousu/show/id/1339772")</f>
        <v>http://ts.21cn.com/tousu/show/id/1339772</v>
      </c>
      <c r="F8683" s="2" t="s">
        <v>11</v>
      </c>
      <c r="G8683" s="2" t="s">
        <v>27087</v>
      </c>
      <c r="H8683" s="2" t="s">
        <v>27088</v>
      </c>
    </row>
    <row r="8684" spans="1:8" ht="25.05" customHeight="1" x14ac:dyDescent="0.25">
      <c r="A8684" s="2" t="s">
        <v>8</v>
      </c>
      <c r="B8684" s="2" t="str">
        <f>HYPERLINK("http://ts.21cn.com/tousu/show/id/1339774","没有在信用管家借款，接到催收电话")</f>
        <v>没有在信用管家借款，接到催收电话</v>
      </c>
      <c r="C8684" s="2" t="s">
        <v>9</v>
      </c>
      <c r="D8684" s="2" t="s">
        <v>10</v>
      </c>
      <c r="E8684" s="2" t="str">
        <f>HYPERLINK("http://ts.21cn.com/tousu/show/id/1339774","http://ts.21cn.com/tousu/show/id/1339774")</f>
        <v>http://ts.21cn.com/tousu/show/id/1339774</v>
      </c>
      <c r="F8684" s="2" t="s">
        <v>11</v>
      </c>
      <c r="G8684" s="2" t="s">
        <v>27085</v>
      </c>
      <c r="H8684" s="2" t="s">
        <v>27086</v>
      </c>
    </row>
    <row r="8685" spans="1:8" ht="25.05" customHeight="1" x14ac:dyDescent="0.25">
      <c r="A8685" s="2" t="s">
        <v>8</v>
      </c>
      <c r="B8685" s="2" t="str">
        <f>HYPERLINK("http://ts.21cn.com/tousu/show/id/1339773","投诉宜人贷额外收取服务费用，实际合同金额跟到账金额不符合。")</f>
        <v>投诉宜人贷额外收取服务费用，实际合同金额跟到账金额不符合。</v>
      </c>
      <c r="C8685" s="2" t="s">
        <v>9</v>
      </c>
      <c r="D8685" s="2" t="s">
        <v>10</v>
      </c>
      <c r="E8685" s="2" t="str">
        <f>HYPERLINK("http://ts.21cn.com/tousu/show/id/1339773","http://ts.21cn.com/tousu/show/id/1339773")</f>
        <v>http://ts.21cn.com/tousu/show/id/1339773</v>
      </c>
      <c r="F8685" s="2" t="s">
        <v>11</v>
      </c>
      <c r="G8685" s="2" t="s">
        <v>27083</v>
      </c>
      <c r="H8685" s="2" t="s">
        <v>27084</v>
      </c>
    </row>
    <row r="8686" spans="1:8" ht="25.05" customHeight="1" x14ac:dyDescent="0.25">
      <c r="A8686" s="2" t="s">
        <v>8</v>
      </c>
      <c r="B8686" s="2" t="str">
        <f>HYPERLINK("http://ts.21cn.com/tousu/show/id/1339776","自由摩卡信用计划套路贷砍头息")</f>
        <v>自由摩卡信用计划套路贷砍头息</v>
      </c>
      <c r="C8686" s="2" t="s">
        <v>9</v>
      </c>
      <c r="D8686" s="2" t="s">
        <v>10</v>
      </c>
      <c r="E8686" s="2" t="str">
        <f>HYPERLINK("http://ts.21cn.com/tousu/show/id/1339776","http://ts.21cn.com/tousu/show/id/1339776")</f>
        <v>http://ts.21cn.com/tousu/show/id/1339776</v>
      </c>
      <c r="F8686" s="2" t="s">
        <v>11</v>
      </c>
      <c r="G8686" s="2" t="s">
        <v>27081</v>
      </c>
      <c r="H8686" s="2" t="s">
        <v>27082</v>
      </c>
    </row>
    <row r="8687" spans="1:8" ht="25.05" customHeight="1" x14ac:dyDescent="0.25">
      <c r="A8687" s="2" t="s">
        <v>8</v>
      </c>
      <c r="B8687" s="2" t="str">
        <f>HYPERLINK("http://ts.21cn.com/tousu/show/id/1339777","骚扰")</f>
        <v>骚扰</v>
      </c>
      <c r="C8687" s="2" t="s">
        <v>9</v>
      </c>
      <c r="D8687" s="2" t="s">
        <v>10</v>
      </c>
      <c r="E8687" s="2" t="str">
        <f>HYPERLINK("http://ts.21cn.com/tousu/show/id/1339777","http://ts.21cn.com/tousu/show/id/1339777")</f>
        <v>http://ts.21cn.com/tousu/show/id/1339777</v>
      </c>
      <c r="F8687" s="2" t="s">
        <v>11</v>
      </c>
      <c r="G8687" s="2" t="s">
        <v>27079</v>
      </c>
      <c r="H8687" s="2" t="s">
        <v>27080</v>
      </c>
    </row>
    <row r="8688" spans="1:8" ht="25.05" customHeight="1" x14ac:dyDescent="0.25">
      <c r="A8688" s="2" t="s">
        <v>8</v>
      </c>
      <c r="B8688" s="2" t="str">
        <f>HYPERLINK("http://ts.21cn.com/tousu/show/id/1339779","投诉苏宁出具虚假名单")</f>
        <v>投诉苏宁出具虚假名单</v>
      </c>
      <c r="C8688" s="2" t="s">
        <v>9</v>
      </c>
      <c r="D8688" s="2" t="s">
        <v>10</v>
      </c>
      <c r="E8688" s="2" t="str">
        <f>HYPERLINK("http://ts.21cn.com/tousu/show/id/1339779","http://ts.21cn.com/tousu/show/id/1339779")</f>
        <v>http://ts.21cn.com/tousu/show/id/1339779</v>
      </c>
      <c r="F8688" s="2" t="s">
        <v>11</v>
      </c>
      <c r="G8688" s="2" t="s">
        <v>27077</v>
      </c>
      <c r="H8688" s="2" t="s">
        <v>27078</v>
      </c>
    </row>
    <row r="8689" spans="1:8" ht="25.05" customHeight="1" x14ac:dyDescent="0.25">
      <c r="A8689" s="2" t="s">
        <v>8</v>
      </c>
      <c r="B8689" s="2" t="str">
        <f>HYPERLINK("http://ts.21cn.com/tousu/show/id/1339780","利息部分高达1300元之多，远远超过国家规定年华利率不得超过24%的标准，你是在抢钱么.所有截图证据我都有保留、除了黑猫")</f>
        <v>利息部分高达1300元之多，远远超过国家规定年华利率不得超过24%的标准，你是在抢钱么.所有截图证据我都有保留、除了黑猫</v>
      </c>
      <c r="C8689" s="2" t="s">
        <v>9</v>
      </c>
      <c r="D8689" s="2" t="s">
        <v>10</v>
      </c>
      <c r="E8689" s="2" t="str">
        <f>HYPERLINK("http://ts.21cn.com/tousu/show/id/1339780","http://ts.21cn.com/tousu/show/id/1339780")</f>
        <v>http://ts.21cn.com/tousu/show/id/1339780</v>
      </c>
      <c r="F8689" s="2" t="s">
        <v>11</v>
      </c>
      <c r="G8689" s="2" t="s">
        <v>27075</v>
      </c>
      <c r="H8689" s="2" t="s">
        <v>27076</v>
      </c>
    </row>
    <row r="8690" spans="1:8" ht="25.05" customHeight="1" x14ac:dyDescent="0.25">
      <c r="A8690" s="2" t="s">
        <v>8</v>
      </c>
      <c r="B8690" s="2" t="str">
        <f>HYPERLINK("http://ts.21cn.com/tousu/show/id/1339781","米米罐高利贷，暴力催收")</f>
        <v>米米罐高利贷，暴力催收</v>
      </c>
      <c r="C8690" s="2" t="s">
        <v>9</v>
      </c>
      <c r="D8690" s="2" t="s">
        <v>10</v>
      </c>
      <c r="E8690" s="2" t="str">
        <f>HYPERLINK("http://ts.21cn.com/tousu/show/id/1339781","http://ts.21cn.com/tousu/show/id/1339781")</f>
        <v>http://ts.21cn.com/tousu/show/id/1339781</v>
      </c>
      <c r="F8690" s="2" t="s">
        <v>11</v>
      </c>
      <c r="G8690" s="2" t="s">
        <v>27074</v>
      </c>
      <c r="H8690" s="2" t="s">
        <v>27034</v>
      </c>
    </row>
    <row r="8691" spans="1:8" ht="25.05" customHeight="1" x14ac:dyDescent="0.25">
      <c r="A8691" s="2" t="s">
        <v>8</v>
      </c>
      <c r="B8691" s="2" t="str">
        <f>HYPERLINK("http://ts.21cn.com/tousu/show/id/1339783","光大银行恐吓威胁")</f>
        <v>光大银行恐吓威胁</v>
      </c>
      <c r="C8691" s="2" t="s">
        <v>9</v>
      </c>
      <c r="D8691" s="2" t="s">
        <v>10</v>
      </c>
      <c r="E8691" s="2" t="str">
        <f>HYPERLINK("http://ts.21cn.com/tousu/show/id/1339783","http://ts.21cn.com/tousu/show/id/1339783")</f>
        <v>http://ts.21cn.com/tousu/show/id/1339783</v>
      </c>
      <c r="F8691" s="2" t="s">
        <v>11</v>
      </c>
      <c r="G8691" s="2" t="s">
        <v>27072</v>
      </c>
      <c r="H8691" s="2" t="s">
        <v>27073</v>
      </c>
    </row>
    <row r="8692" spans="1:8" ht="25.05" customHeight="1" x14ac:dyDescent="0.25">
      <c r="A8692" s="2" t="s">
        <v>8</v>
      </c>
      <c r="B8692" s="2" t="str">
        <f>HYPERLINK("http://ts.21cn.com/tousu/show/id/1339784","要求减免保费收取合理的利息")</f>
        <v>要求减免保费收取合理的利息</v>
      </c>
      <c r="C8692" s="2" t="s">
        <v>9</v>
      </c>
      <c r="D8692" s="2" t="s">
        <v>10</v>
      </c>
      <c r="E8692" s="2" t="str">
        <f>HYPERLINK("http://ts.21cn.com/tousu/show/id/1339784","http://ts.21cn.com/tousu/show/id/1339784")</f>
        <v>http://ts.21cn.com/tousu/show/id/1339784</v>
      </c>
      <c r="F8692" s="2" t="s">
        <v>11</v>
      </c>
      <c r="G8692" s="2" t="s">
        <v>27070</v>
      </c>
      <c r="H8692" s="2" t="s">
        <v>27071</v>
      </c>
    </row>
    <row r="8693" spans="1:8" ht="25.05" customHeight="1" x14ac:dyDescent="0.25">
      <c r="A8693" s="2" t="s">
        <v>8</v>
      </c>
      <c r="B8693" s="2" t="str">
        <f>HYPERLINK("http://ts.21cn.com/tousu/show/id/1339785","玖富万卡高利贷，阴阳合同")</f>
        <v>玖富万卡高利贷，阴阳合同</v>
      </c>
      <c r="C8693" s="2" t="s">
        <v>9</v>
      </c>
      <c r="D8693" s="2" t="s">
        <v>10</v>
      </c>
      <c r="E8693" s="2" t="str">
        <f>HYPERLINK("http://ts.21cn.com/tousu/show/id/1339785","http://ts.21cn.com/tousu/show/id/1339785")</f>
        <v>http://ts.21cn.com/tousu/show/id/1339785</v>
      </c>
      <c r="F8693" s="2" t="s">
        <v>11</v>
      </c>
      <c r="G8693" s="2" t="s">
        <v>27068</v>
      </c>
      <c r="H8693" s="2" t="s">
        <v>27069</v>
      </c>
    </row>
    <row r="8694" spans="1:8" ht="25.05" customHeight="1" x14ac:dyDescent="0.25">
      <c r="A8694" s="2" t="s">
        <v>8</v>
      </c>
      <c r="B8694" s="2" t="str">
        <f>HYPERLINK("http://ts.21cn.com/tousu/show/id/1339787","上海拍拍贷追收人呗扭曲借款人还款意愿")</f>
        <v>上海拍拍贷追收人呗扭曲借款人还款意愿</v>
      </c>
      <c r="C8694" s="2" t="s">
        <v>9</v>
      </c>
      <c r="D8694" s="2" t="s">
        <v>10</v>
      </c>
      <c r="E8694" s="2" t="str">
        <f>HYPERLINK("http://ts.21cn.com/tousu/show/id/1339787","http://ts.21cn.com/tousu/show/id/1339787")</f>
        <v>http://ts.21cn.com/tousu/show/id/1339787</v>
      </c>
      <c r="F8694" s="2" t="s">
        <v>11</v>
      </c>
      <c r="G8694" s="2" t="s">
        <v>27066</v>
      </c>
      <c r="H8694" s="2" t="s">
        <v>27067</v>
      </c>
    </row>
    <row r="8695" spans="1:8" ht="25.05" customHeight="1" x14ac:dyDescent="0.25">
      <c r="A8695" s="2" t="s">
        <v>8</v>
      </c>
      <c r="B8695" s="2" t="str">
        <f>HYPERLINK("http://ts.21cn.com/tousu/show/id/1339786","分期还呗短信骚扰")</f>
        <v>分期还呗短信骚扰</v>
      </c>
      <c r="C8695" s="2" t="s">
        <v>9</v>
      </c>
      <c r="D8695" s="2" t="s">
        <v>10</v>
      </c>
      <c r="E8695" s="2" t="str">
        <f>HYPERLINK("http://ts.21cn.com/tousu/show/id/1339786","http://ts.21cn.com/tousu/show/id/1339786")</f>
        <v>http://ts.21cn.com/tousu/show/id/1339786</v>
      </c>
      <c r="F8695" s="2" t="s">
        <v>11</v>
      </c>
      <c r="G8695" s="2" t="s">
        <v>27064</v>
      </c>
      <c r="H8695" s="2" t="s">
        <v>27065</v>
      </c>
    </row>
    <row r="8696" spans="1:8" ht="25.05" customHeight="1" x14ac:dyDescent="0.25">
      <c r="A8696" s="2" t="s">
        <v>8</v>
      </c>
      <c r="B8696" s="2" t="str">
        <f>HYPERLINK("http://ts.21cn.com/tousu/show/id/1339788","霸王条款")</f>
        <v>霸王条款</v>
      </c>
      <c r="C8696" s="2" t="s">
        <v>9</v>
      </c>
      <c r="D8696" s="2" t="s">
        <v>10</v>
      </c>
      <c r="E8696" s="2" t="str">
        <f>HYPERLINK("http://ts.21cn.com/tousu/show/id/1339788","http://ts.21cn.com/tousu/show/id/1339788")</f>
        <v>http://ts.21cn.com/tousu/show/id/1339788</v>
      </c>
      <c r="F8696" s="2" t="s">
        <v>11</v>
      </c>
      <c r="G8696" s="2" t="s">
        <v>27062</v>
      </c>
      <c r="H8696" s="2" t="s">
        <v>27063</v>
      </c>
    </row>
    <row r="8697" spans="1:8" ht="25.05" customHeight="1" x14ac:dyDescent="0.25">
      <c r="A8697" s="2" t="s">
        <v>8</v>
      </c>
      <c r="B8697" s="2" t="str">
        <f>HYPERLINK("http://ts.21cn.com/tousu/show/id/1339778","买京东卡被骗闲鱼要求提供立案文书")</f>
        <v>买京东卡被骗闲鱼要求提供立案文书</v>
      </c>
      <c r="C8697" s="2" t="s">
        <v>9</v>
      </c>
      <c r="D8697" s="2" t="s">
        <v>10</v>
      </c>
      <c r="E8697" s="2" t="str">
        <f>HYPERLINK("http://ts.21cn.com/tousu/show/id/1339778","http://ts.21cn.com/tousu/show/id/1339778")</f>
        <v>http://ts.21cn.com/tousu/show/id/1339778</v>
      </c>
      <c r="F8697" s="2" t="s">
        <v>11</v>
      </c>
      <c r="G8697" s="2" t="s">
        <v>27060</v>
      </c>
      <c r="H8697" s="2" t="s">
        <v>27061</v>
      </c>
    </row>
    <row r="8698" spans="1:8" ht="25.05" customHeight="1" x14ac:dyDescent="0.25">
      <c r="A8698" s="2" t="s">
        <v>8</v>
      </c>
      <c r="B8698" s="2" t="str">
        <f>HYPERLINK("http://ts.21cn.com/tousu/show/id/1339789","闪银是中国最大的套路贷公司")</f>
        <v>闪银是中国最大的套路贷公司</v>
      </c>
      <c r="C8698" s="2" t="s">
        <v>9</v>
      </c>
      <c r="D8698" s="2" t="s">
        <v>10</v>
      </c>
      <c r="E8698" s="2" t="str">
        <f>HYPERLINK("http://ts.21cn.com/tousu/show/id/1339789","http://ts.21cn.com/tousu/show/id/1339789")</f>
        <v>http://ts.21cn.com/tousu/show/id/1339789</v>
      </c>
      <c r="F8698" s="2" t="s">
        <v>11</v>
      </c>
      <c r="G8698" s="2" t="s">
        <v>27058</v>
      </c>
      <c r="H8698" s="2" t="s">
        <v>27059</v>
      </c>
    </row>
    <row r="8699" spans="1:8" ht="25.05" customHeight="1" x14ac:dyDescent="0.25">
      <c r="A8699" s="2" t="s">
        <v>8</v>
      </c>
      <c r="B8699" s="2" t="str">
        <f>HYPERLINK("http://ts.21cn.com/tousu/show/id/1339790","自由摩卡高利贷砍头期非法平台")</f>
        <v>自由摩卡高利贷砍头期非法平台</v>
      </c>
      <c r="C8699" s="2" t="s">
        <v>9</v>
      </c>
      <c r="D8699" s="2" t="s">
        <v>10</v>
      </c>
      <c r="E8699" s="2" t="str">
        <f>HYPERLINK("http://ts.21cn.com/tousu/show/id/1339790","http://ts.21cn.com/tousu/show/id/1339790")</f>
        <v>http://ts.21cn.com/tousu/show/id/1339790</v>
      </c>
      <c r="F8699" s="2" t="s">
        <v>11</v>
      </c>
      <c r="G8699" s="2" t="s">
        <v>27056</v>
      </c>
      <c r="H8699" s="2" t="s">
        <v>27057</v>
      </c>
    </row>
    <row r="8700" spans="1:8" ht="25.05" customHeight="1" x14ac:dyDescent="0.25">
      <c r="A8700" s="2" t="s">
        <v>8</v>
      </c>
      <c r="B8700" s="2" t="str">
        <f>HYPERLINK("http://ts.21cn.com/tousu/show/id/1339792","泄漏个人信息电话骚扰严重影响别人生活破坏家庭")</f>
        <v>泄漏个人信息电话骚扰严重影响别人生活破坏家庭</v>
      </c>
      <c r="C8700" s="2" t="s">
        <v>9</v>
      </c>
      <c r="D8700" s="2" t="s">
        <v>10</v>
      </c>
      <c r="E8700" s="2" t="str">
        <f>HYPERLINK("http://ts.21cn.com/tousu/show/id/1339792","http://ts.21cn.com/tousu/show/id/1339792")</f>
        <v>http://ts.21cn.com/tousu/show/id/1339792</v>
      </c>
      <c r="F8700" s="2" t="s">
        <v>11</v>
      </c>
      <c r="G8700" s="2" t="s">
        <v>27054</v>
      </c>
      <c r="H8700" s="2" t="s">
        <v>27055</v>
      </c>
    </row>
    <row r="8701" spans="1:8" ht="25.05" customHeight="1" x14ac:dyDescent="0.25">
      <c r="A8701" s="2" t="s">
        <v>8</v>
      </c>
      <c r="B8701" s="2" t="str">
        <f>HYPERLINK("http://ts.21cn.com/tousu/show/id/1339793","乱收费，客服人员完全不接通人工服务，联系不到，未处理，默认购买增值服务")</f>
        <v>乱收费，客服人员完全不接通人工服务，联系不到，未处理，默认购买增值服务</v>
      </c>
      <c r="C8701" s="2" t="s">
        <v>9</v>
      </c>
      <c r="D8701" s="2" t="s">
        <v>10</v>
      </c>
      <c r="E8701" s="2" t="str">
        <f>HYPERLINK("http://ts.21cn.com/tousu/show/id/1339793","http://ts.21cn.com/tousu/show/id/1339793")</f>
        <v>http://ts.21cn.com/tousu/show/id/1339793</v>
      </c>
      <c r="F8701" s="2" t="s">
        <v>11</v>
      </c>
      <c r="G8701" s="2" t="s">
        <v>27052</v>
      </c>
      <c r="H8701" s="2" t="s">
        <v>27053</v>
      </c>
    </row>
    <row r="8702" spans="1:8" ht="25.05" customHeight="1" x14ac:dyDescent="0.25">
      <c r="A8702" s="2" t="s">
        <v>8</v>
      </c>
      <c r="B8702" s="2" t="str">
        <f>HYPERLINK("http://ts.21cn.com/tousu/show/id/1339797","翼支付有额度不能借款")</f>
        <v>翼支付有额度不能借款</v>
      </c>
      <c r="C8702" s="2" t="s">
        <v>34</v>
      </c>
      <c r="D8702" s="2" t="s">
        <v>10</v>
      </c>
      <c r="E8702" s="2" t="str">
        <f>HYPERLINK("http://ts.21cn.com/tousu/show/id/1339797","http://ts.21cn.com/tousu/show/id/1339797")</f>
        <v>http://ts.21cn.com/tousu/show/id/1339797</v>
      </c>
      <c r="F8702" s="2" t="s">
        <v>11</v>
      </c>
      <c r="G8702" s="2" t="s">
        <v>27049</v>
      </c>
      <c r="H8702" s="2" t="s">
        <v>27050</v>
      </c>
    </row>
    <row r="8703" spans="1:8" ht="25.05" customHeight="1" x14ac:dyDescent="0.25">
      <c r="A8703" s="2" t="s">
        <v>8</v>
      </c>
      <c r="B8703" s="2" t="str">
        <f>HYPERLINK("http://ts.21cn.com/tousu/show/id/1339782","支付宝为网络赌博提供支付通道")</f>
        <v>支付宝为网络赌博提供支付通道</v>
      </c>
      <c r="C8703" s="2" t="s">
        <v>9</v>
      </c>
      <c r="D8703" s="2" t="s">
        <v>10</v>
      </c>
      <c r="E8703" s="2" t="str">
        <f>HYPERLINK("http://ts.21cn.com/tousu/show/id/1339782","http://ts.21cn.com/tousu/show/id/1339782")</f>
        <v>http://ts.21cn.com/tousu/show/id/1339782</v>
      </c>
      <c r="F8703" s="2" t="s">
        <v>11</v>
      </c>
      <c r="G8703" s="2" t="s">
        <v>27049</v>
      </c>
      <c r="H8703" s="2" t="s">
        <v>27051</v>
      </c>
    </row>
    <row r="8704" spans="1:8" ht="25.05" customHeight="1" x14ac:dyDescent="0.25">
      <c r="A8704" s="2" t="s">
        <v>8</v>
      </c>
      <c r="B8704" s="2" t="str">
        <f>HYPERLINK("http://ts.21cn.com/tousu/show/id/1339795","侮辱，暴力催收")</f>
        <v>侮辱，暴力催收</v>
      </c>
      <c r="C8704" s="2" t="s">
        <v>9</v>
      </c>
      <c r="D8704" s="2" t="s">
        <v>10</v>
      </c>
      <c r="E8704" s="2" t="str">
        <f>HYPERLINK("http://ts.21cn.com/tousu/show/id/1339795","http://ts.21cn.com/tousu/show/id/1339795")</f>
        <v>http://ts.21cn.com/tousu/show/id/1339795</v>
      </c>
      <c r="F8704" s="2" t="s">
        <v>11</v>
      </c>
      <c r="G8704" s="2" t="s">
        <v>27047</v>
      </c>
      <c r="H8704" s="2" t="s">
        <v>27048</v>
      </c>
    </row>
    <row r="8705" spans="1:8" ht="25.05" customHeight="1" x14ac:dyDescent="0.25">
      <c r="A8705" s="2" t="s">
        <v>8</v>
      </c>
      <c r="B8705" s="2" t="str">
        <f>HYPERLINK("http://ts.21cn.com/tousu/show/id/1339794","贷上钱平台变相收取高利息，前期费用")</f>
        <v>贷上钱平台变相收取高利息，前期费用</v>
      </c>
      <c r="C8705" s="2" t="s">
        <v>9</v>
      </c>
      <c r="D8705" s="2" t="s">
        <v>10</v>
      </c>
      <c r="E8705" s="2" t="str">
        <f>HYPERLINK("http://ts.21cn.com/tousu/show/id/1339794","http://ts.21cn.com/tousu/show/id/1339794")</f>
        <v>http://ts.21cn.com/tousu/show/id/1339794</v>
      </c>
      <c r="F8705" s="2" t="s">
        <v>11</v>
      </c>
      <c r="G8705" s="2" t="s">
        <v>27045</v>
      </c>
      <c r="H8705" s="2" t="s">
        <v>27046</v>
      </c>
    </row>
    <row r="8706" spans="1:8" ht="25.05" customHeight="1" x14ac:dyDescent="0.25">
      <c r="A8706" s="2" t="s">
        <v>8</v>
      </c>
      <c r="B8706" s="2" t="str">
        <f>HYPERLINK("http://ts.21cn.com/tousu/show/id/1339796","闪电借款强制收取砍头息申请撤销")</f>
        <v>闪电借款强制收取砍头息申请撤销</v>
      </c>
      <c r="C8706" s="2" t="s">
        <v>9</v>
      </c>
      <c r="D8706" s="2" t="s">
        <v>10</v>
      </c>
      <c r="E8706" s="2" t="str">
        <f>HYPERLINK("http://ts.21cn.com/tousu/show/id/1339796","http://ts.21cn.com/tousu/show/id/1339796")</f>
        <v>http://ts.21cn.com/tousu/show/id/1339796</v>
      </c>
      <c r="F8706" s="2" t="s">
        <v>11</v>
      </c>
      <c r="G8706" s="2" t="s">
        <v>27043</v>
      </c>
      <c r="H8706" s="2" t="s">
        <v>27044</v>
      </c>
    </row>
    <row r="8707" spans="1:8" ht="25.05" customHeight="1" x14ac:dyDescent="0.25">
      <c r="A8707" s="2" t="s">
        <v>8</v>
      </c>
      <c r="B8707" s="2" t="str">
        <f>HYPERLINK("http://ts.21cn.com/tousu/show/id/1339798","松紧贷涉黑暴力催收，短信轰炸骚扰我家人")</f>
        <v>松紧贷涉黑暴力催收，短信轰炸骚扰我家人</v>
      </c>
      <c r="C8707" s="2" t="s">
        <v>9</v>
      </c>
      <c r="D8707" s="2" t="s">
        <v>10</v>
      </c>
      <c r="E8707" s="2" t="str">
        <f>HYPERLINK("http://ts.21cn.com/tousu/show/id/1339798","http://ts.21cn.com/tousu/show/id/1339798")</f>
        <v>http://ts.21cn.com/tousu/show/id/1339798</v>
      </c>
      <c r="F8707" s="2" t="s">
        <v>11</v>
      </c>
      <c r="G8707" s="2" t="s">
        <v>27041</v>
      </c>
      <c r="H8707" s="2" t="s">
        <v>27042</v>
      </c>
    </row>
    <row r="8708" spans="1:8" ht="25.05" customHeight="1" x14ac:dyDescent="0.25">
      <c r="A8708" s="2" t="s">
        <v>8</v>
      </c>
      <c r="B8708" s="2" t="str">
        <f>HYPERLINK("http://ts.21cn.com/tousu/show/id/1337411","小蛙卡贷暴力催收电话轰炸亲戚朋友")</f>
        <v>小蛙卡贷暴力催收电话轰炸亲戚朋友</v>
      </c>
      <c r="C8708" s="2" t="s">
        <v>9</v>
      </c>
      <c r="D8708" s="2" t="s">
        <v>10</v>
      </c>
      <c r="E8708" s="2" t="str">
        <f>HYPERLINK("http://ts.21cn.com/tousu/show/id/1337411","http://ts.21cn.com/tousu/show/id/1337411")</f>
        <v>http://ts.21cn.com/tousu/show/id/1337411</v>
      </c>
      <c r="F8708" s="2" t="s">
        <v>11</v>
      </c>
      <c r="G8708" s="2" t="s">
        <v>27039</v>
      </c>
      <c r="H8708" s="2" t="s">
        <v>27040</v>
      </c>
    </row>
    <row r="8709" spans="1:8" ht="25.05" customHeight="1" x14ac:dyDescent="0.25">
      <c r="A8709" s="2" t="s">
        <v>8</v>
      </c>
      <c r="B8709" s="2" t="str">
        <f>HYPERLINK("http://ts.21cn.com/tousu/show/id/1339802","为什么要无期限的冻结属于我的资金")</f>
        <v>为什么要无期限的冻结属于我的资金</v>
      </c>
      <c r="C8709" s="2" t="s">
        <v>34</v>
      </c>
      <c r="D8709" s="2" t="s">
        <v>10</v>
      </c>
      <c r="E8709" s="2" t="str">
        <f>HYPERLINK("http://ts.21cn.com/tousu/show/id/1339802","http://ts.21cn.com/tousu/show/id/1339802")</f>
        <v>http://ts.21cn.com/tousu/show/id/1339802</v>
      </c>
      <c r="F8709" s="2" t="s">
        <v>11</v>
      </c>
      <c r="G8709" s="2" t="s">
        <v>27037</v>
      </c>
      <c r="H8709" s="2" t="s">
        <v>27038</v>
      </c>
    </row>
    <row r="8710" spans="1:8" ht="25.05" customHeight="1" x14ac:dyDescent="0.25">
      <c r="A8710" s="2" t="s">
        <v>8</v>
      </c>
      <c r="B8710" s="2" t="str">
        <f>HYPERLINK("http://ts.21cn.com/tousu/show/id/1339801","51催收猖狂")</f>
        <v>51催收猖狂</v>
      </c>
      <c r="C8710" s="2" t="s">
        <v>9</v>
      </c>
      <c r="D8710" s="2" t="s">
        <v>10</v>
      </c>
      <c r="E8710" s="2" t="str">
        <f>HYPERLINK("http://ts.21cn.com/tousu/show/id/1339801","http://ts.21cn.com/tousu/show/id/1339801")</f>
        <v>http://ts.21cn.com/tousu/show/id/1339801</v>
      </c>
      <c r="F8710" s="2" t="s">
        <v>11</v>
      </c>
      <c r="G8710" s="2" t="s">
        <v>27035</v>
      </c>
      <c r="H8710" s="2" t="s">
        <v>27036</v>
      </c>
    </row>
    <row r="8711" spans="1:8" ht="25.05" customHeight="1" x14ac:dyDescent="0.25">
      <c r="A8711" s="2" t="s">
        <v>8</v>
      </c>
      <c r="B8711" s="2" t="str">
        <f>HYPERLINK("http://ts.21cn.com/tousu/show/id/1339799","米米罐高利贷，暴力催收")</f>
        <v>米米罐高利贷，暴力催收</v>
      </c>
      <c r="C8711" s="2" t="s">
        <v>9</v>
      </c>
      <c r="D8711" s="2" t="s">
        <v>10</v>
      </c>
      <c r="E8711" s="2" t="str">
        <f>HYPERLINK("http://ts.21cn.com/tousu/show/id/1339799","http://ts.21cn.com/tousu/show/id/1339799")</f>
        <v>http://ts.21cn.com/tousu/show/id/1339799</v>
      </c>
      <c r="F8711" s="2" t="s">
        <v>11</v>
      </c>
      <c r="G8711" s="2" t="s">
        <v>27033</v>
      </c>
      <c r="H8711" s="2" t="s">
        <v>27034</v>
      </c>
    </row>
    <row r="8712" spans="1:8" ht="25.05" customHeight="1" x14ac:dyDescent="0.25">
      <c r="A8712" s="2" t="s">
        <v>8</v>
      </c>
      <c r="B8712" s="2" t="str">
        <f>HYPERLINK("http://ts.21cn.com/tousu/show/id/1339803","无故扣款")</f>
        <v>无故扣款</v>
      </c>
      <c r="C8712" s="2" t="s">
        <v>34</v>
      </c>
      <c r="D8712" s="2" t="s">
        <v>10</v>
      </c>
      <c r="E8712" s="2" t="str">
        <f>HYPERLINK("http://ts.21cn.com/tousu/show/id/1339803","http://ts.21cn.com/tousu/show/id/1339803")</f>
        <v>http://ts.21cn.com/tousu/show/id/1339803</v>
      </c>
      <c r="F8712" s="2" t="s">
        <v>11</v>
      </c>
      <c r="G8712" s="2" t="s">
        <v>27031</v>
      </c>
      <c r="H8712" s="2" t="s">
        <v>27032</v>
      </c>
    </row>
    <row r="8713" spans="1:8" ht="25.05" customHeight="1" x14ac:dyDescent="0.25">
      <c r="A8713" s="2" t="s">
        <v>8</v>
      </c>
      <c r="B8713" s="2" t="str">
        <f>HYPERLINK("http://ts.21cn.com/tousu/show/id/1339804","贷上钱以买游戏豆为由收取高额贷款通过费")</f>
        <v>贷上钱以买游戏豆为由收取高额贷款通过费</v>
      </c>
      <c r="C8713" s="2" t="s">
        <v>9</v>
      </c>
      <c r="D8713" s="2" t="s">
        <v>10</v>
      </c>
      <c r="E8713" s="2" t="str">
        <f>HYPERLINK("http://ts.21cn.com/tousu/show/id/1339804","http://ts.21cn.com/tousu/show/id/1339804")</f>
        <v>http://ts.21cn.com/tousu/show/id/1339804</v>
      </c>
      <c r="F8713" s="2" t="s">
        <v>11</v>
      </c>
      <c r="G8713" s="2" t="s">
        <v>27029</v>
      </c>
      <c r="H8713" s="2" t="s">
        <v>27030</v>
      </c>
    </row>
    <row r="8714" spans="1:8" ht="25.05" customHeight="1" x14ac:dyDescent="0.25">
      <c r="A8714" s="2" t="s">
        <v>8</v>
      </c>
      <c r="B8714" s="2" t="str">
        <f>HYPERLINK("http://ts.21cn.com/tousu/show/id/1339806","贷款骚扰家人朋友")</f>
        <v>贷款骚扰家人朋友</v>
      </c>
      <c r="C8714" s="2" t="s">
        <v>9</v>
      </c>
      <c r="D8714" s="2" t="s">
        <v>10</v>
      </c>
      <c r="E8714" s="2" t="str">
        <f>HYPERLINK("http://ts.21cn.com/tousu/show/id/1339806","http://ts.21cn.com/tousu/show/id/1339806")</f>
        <v>http://ts.21cn.com/tousu/show/id/1339806</v>
      </c>
      <c r="F8714" s="2" t="s">
        <v>11</v>
      </c>
      <c r="G8714" s="2" t="s">
        <v>27026</v>
      </c>
      <c r="H8714" s="2" t="s">
        <v>27027</v>
      </c>
    </row>
    <row r="8715" spans="1:8" ht="25.05" customHeight="1" x14ac:dyDescent="0.25">
      <c r="A8715" s="2" t="s">
        <v>8</v>
      </c>
      <c r="B8715" s="2" t="str">
        <f>HYPERLINK("http://ts.21cn.com/tousu/show/id/1339807","投诉钱站砍头息")</f>
        <v>投诉钱站砍头息</v>
      </c>
      <c r="C8715" s="2" t="s">
        <v>9</v>
      </c>
      <c r="D8715" s="2" t="s">
        <v>10</v>
      </c>
      <c r="E8715" s="2" t="str">
        <f>HYPERLINK("http://ts.21cn.com/tousu/show/id/1339807","http://ts.21cn.com/tousu/show/id/1339807")</f>
        <v>http://ts.21cn.com/tousu/show/id/1339807</v>
      </c>
      <c r="F8715" s="2" t="s">
        <v>11</v>
      </c>
      <c r="G8715" s="2" t="s">
        <v>27026</v>
      </c>
      <c r="H8715" s="2" t="s">
        <v>27028</v>
      </c>
    </row>
    <row r="8716" spans="1:8" ht="25.05" customHeight="1" x14ac:dyDescent="0.25">
      <c r="A8716" s="2" t="s">
        <v>8</v>
      </c>
      <c r="B8716" s="2" t="str">
        <f>HYPERLINK("http://ts.21cn.com/tousu/show/id/1339767","51人品贷泄露个人隐私暴力催收发放高利贷")</f>
        <v>51人品贷泄露个人隐私暴力催收发放高利贷</v>
      </c>
      <c r="C8716" s="2" t="s">
        <v>9</v>
      </c>
      <c r="D8716" s="2" t="s">
        <v>10</v>
      </c>
      <c r="E8716" s="2" t="str">
        <f>HYPERLINK("http://ts.21cn.com/tousu/show/id/1339767","http://ts.21cn.com/tousu/show/id/1339767")</f>
        <v>http://ts.21cn.com/tousu/show/id/1339767</v>
      </c>
      <c r="F8716" s="2" t="s">
        <v>11</v>
      </c>
      <c r="G8716" s="2" t="s">
        <v>27024</v>
      </c>
      <c r="H8716" s="2" t="s">
        <v>27025</v>
      </c>
    </row>
    <row r="8717" spans="1:8" ht="25.05" customHeight="1" x14ac:dyDescent="0.25">
      <c r="A8717" s="2" t="s">
        <v>8</v>
      </c>
      <c r="B8717" s="2" t="str">
        <f>HYPERLINK("http://ts.21cn.com/tousu/show/id/1339808","每日优鲜卖霉变食品")</f>
        <v>每日优鲜卖霉变食品</v>
      </c>
      <c r="C8717" s="2" t="s">
        <v>9</v>
      </c>
      <c r="D8717" s="2" t="s">
        <v>10</v>
      </c>
      <c r="E8717" s="2" t="str">
        <f>HYPERLINK("http://ts.21cn.com/tousu/show/id/1339808","http://ts.21cn.com/tousu/show/id/1339808")</f>
        <v>http://ts.21cn.com/tousu/show/id/1339808</v>
      </c>
      <c r="F8717" s="2" t="s">
        <v>11</v>
      </c>
      <c r="G8717" s="2" t="s">
        <v>27022</v>
      </c>
      <c r="H8717" s="2" t="s">
        <v>27023</v>
      </c>
    </row>
    <row r="8718" spans="1:8" ht="25.05" customHeight="1" x14ac:dyDescent="0.25">
      <c r="A8718" s="2" t="s">
        <v>8</v>
      </c>
      <c r="B8718" s="2" t="str">
        <f>HYPERLINK("http://ts.21cn.com/tousu/show/id/1339809","水莲金条，恶意催收")</f>
        <v>水莲金条，恶意催收</v>
      </c>
      <c r="C8718" s="2" t="s">
        <v>9</v>
      </c>
      <c r="D8718" s="2" t="s">
        <v>10</v>
      </c>
      <c r="E8718" s="2" t="str">
        <f>HYPERLINK("http://ts.21cn.com/tousu/show/id/1339809","http://ts.21cn.com/tousu/show/id/1339809")</f>
        <v>http://ts.21cn.com/tousu/show/id/1339809</v>
      </c>
      <c r="F8718" s="2" t="s">
        <v>11</v>
      </c>
      <c r="G8718" s="2" t="s">
        <v>27020</v>
      </c>
      <c r="H8718" s="2" t="s">
        <v>27021</v>
      </c>
    </row>
    <row r="8719" spans="1:8" ht="25.05" customHeight="1" x14ac:dyDescent="0.25">
      <c r="A8719" s="2" t="s">
        <v>8</v>
      </c>
      <c r="B8719" s="2" t="str">
        <f>HYPERLINK("http://ts.21cn.com/tousu/show/id/1339810","现金锦鲤，套路借贷人，骗人签合同，不下款，盗取个人信息p图")</f>
        <v>现金锦鲤，套路借贷人，骗人签合同，不下款，盗取个人信息p图</v>
      </c>
      <c r="C8719" s="2" t="s">
        <v>9</v>
      </c>
      <c r="D8719" s="2" t="s">
        <v>10</v>
      </c>
      <c r="E8719" s="2" t="str">
        <f>HYPERLINK("http://ts.21cn.com/tousu/show/id/1339810","http://ts.21cn.com/tousu/show/id/1339810")</f>
        <v>http://ts.21cn.com/tousu/show/id/1339810</v>
      </c>
      <c r="F8719" s="2" t="s">
        <v>11</v>
      </c>
      <c r="G8719" s="2" t="s">
        <v>27018</v>
      </c>
      <c r="H8719" s="2" t="s">
        <v>27019</v>
      </c>
    </row>
    <row r="8720" spans="1:8" ht="25.05" customHeight="1" x14ac:dyDescent="0.25">
      <c r="A8720" s="2" t="s">
        <v>8</v>
      </c>
      <c r="B8720" s="2" t="str">
        <f>HYPERLINK("http://ts.21cn.com/tousu/show/id/1339811","银小借莫名扣款")</f>
        <v>银小借莫名扣款</v>
      </c>
      <c r="C8720" s="2" t="s">
        <v>9</v>
      </c>
      <c r="D8720" s="2" t="s">
        <v>10</v>
      </c>
      <c r="E8720" s="2" t="str">
        <f>HYPERLINK("http://ts.21cn.com/tousu/show/id/1339811","http://ts.21cn.com/tousu/show/id/1339811")</f>
        <v>http://ts.21cn.com/tousu/show/id/1339811</v>
      </c>
      <c r="F8720" s="2" t="s">
        <v>11</v>
      </c>
      <c r="G8720" s="2" t="s">
        <v>27016</v>
      </c>
      <c r="H8720" s="2" t="s">
        <v>27017</v>
      </c>
    </row>
    <row r="8721" spans="1:8" ht="25.05" customHeight="1" x14ac:dyDescent="0.25">
      <c r="A8721" s="2" t="s">
        <v>8</v>
      </c>
      <c r="B8721" s="2" t="str">
        <f>HYPERLINK("http://ts.21cn.com/tousu/show/id/1339813","商品出现质量问题，推卸责任")</f>
        <v>商品出现质量问题，推卸责任</v>
      </c>
      <c r="C8721" s="2" t="s">
        <v>9</v>
      </c>
      <c r="D8721" s="2" t="s">
        <v>10</v>
      </c>
      <c r="E8721" s="2" t="str">
        <f>HYPERLINK("http://ts.21cn.com/tousu/show/id/1339813","http://ts.21cn.com/tousu/show/id/1339813")</f>
        <v>http://ts.21cn.com/tousu/show/id/1339813</v>
      </c>
      <c r="F8721" s="2" t="s">
        <v>11</v>
      </c>
      <c r="G8721" s="2" t="s">
        <v>27014</v>
      </c>
      <c r="H8721" s="2" t="s">
        <v>27015</v>
      </c>
    </row>
    <row r="8722" spans="1:8" ht="25.05" customHeight="1" x14ac:dyDescent="0.25">
      <c r="A8722" s="2" t="s">
        <v>8</v>
      </c>
      <c r="B8722" s="2" t="str">
        <f>HYPERLINK("http://ts.21cn.com/tousu/show/id/1339775","玖富万卡")</f>
        <v>玖富万卡</v>
      </c>
      <c r="C8722" s="2" t="s">
        <v>9</v>
      </c>
      <c r="D8722" s="2" t="s">
        <v>10</v>
      </c>
      <c r="E8722" s="2" t="str">
        <f>HYPERLINK("http://ts.21cn.com/tousu/show/id/1339775","http://ts.21cn.com/tousu/show/id/1339775")</f>
        <v>http://ts.21cn.com/tousu/show/id/1339775</v>
      </c>
      <c r="F8722" s="2" t="s">
        <v>11</v>
      </c>
      <c r="G8722" s="2" t="s">
        <v>27012</v>
      </c>
      <c r="H8722" s="2" t="s">
        <v>27013</v>
      </c>
    </row>
    <row r="8723" spans="1:8" ht="25.05" customHeight="1" x14ac:dyDescent="0.25">
      <c r="A8723" s="2" t="s">
        <v>8</v>
      </c>
      <c r="B8723" s="2" t="str">
        <f>HYPERLINK("http://ts.21cn.com/tousu/show/id/1339814","聚福钱包未经许可私自扣款")</f>
        <v>聚福钱包未经许可私自扣款</v>
      </c>
      <c r="C8723" s="2" t="s">
        <v>9</v>
      </c>
      <c r="D8723" s="2" t="s">
        <v>10</v>
      </c>
      <c r="E8723" s="2" t="str">
        <f>HYPERLINK("http://ts.21cn.com/tousu/show/id/1339814","http://ts.21cn.com/tousu/show/id/1339814")</f>
        <v>http://ts.21cn.com/tousu/show/id/1339814</v>
      </c>
      <c r="F8723" s="2" t="s">
        <v>11</v>
      </c>
      <c r="G8723" s="2" t="s">
        <v>27010</v>
      </c>
      <c r="H8723" s="2" t="s">
        <v>27011</v>
      </c>
    </row>
    <row r="8724" spans="1:8" ht="25.05" customHeight="1" x14ac:dyDescent="0.25">
      <c r="A8724" s="2" t="s">
        <v>8</v>
      </c>
      <c r="B8724" s="2" t="str">
        <f>HYPERLINK("http://ts.21cn.com/tousu/show/id/1339815","泰迪熊移动给全中国的催收提供骚扰电话")</f>
        <v>泰迪熊移动给全中国的催收提供骚扰电话</v>
      </c>
      <c r="C8724" s="2" t="s">
        <v>9</v>
      </c>
      <c r="D8724" s="2" t="s">
        <v>10</v>
      </c>
      <c r="E8724" s="2" t="str">
        <f>HYPERLINK("http://ts.21cn.com/tousu/show/id/1339815","http://ts.21cn.com/tousu/show/id/1339815")</f>
        <v>http://ts.21cn.com/tousu/show/id/1339815</v>
      </c>
      <c r="F8724" s="2" t="s">
        <v>11</v>
      </c>
      <c r="G8724" s="2" t="s">
        <v>27008</v>
      </c>
      <c r="H8724" s="2" t="s">
        <v>27009</v>
      </c>
    </row>
    <row r="8725" spans="1:8" ht="25.05" customHeight="1" x14ac:dyDescent="0.25">
      <c r="A8725" s="2" t="s">
        <v>8</v>
      </c>
      <c r="B8725" s="2" t="str">
        <f>HYPERLINK("http://ts.21cn.com/tousu/show/id/1339816","交通银行拒绝协商还款")</f>
        <v>交通银行拒绝协商还款</v>
      </c>
      <c r="C8725" s="2" t="s">
        <v>9</v>
      </c>
      <c r="D8725" s="2" t="s">
        <v>10</v>
      </c>
      <c r="E8725" s="2" t="str">
        <f>HYPERLINK("http://ts.21cn.com/tousu/show/id/1339816","http://ts.21cn.com/tousu/show/id/1339816")</f>
        <v>http://ts.21cn.com/tousu/show/id/1339816</v>
      </c>
      <c r="F8725" s="2" t="s">
        <v>11</v>
      </c>
      <c r="G8725" s="2" t="s">
        <v>27006</v>
      </c>
      <c r="H8725" s="2" t="s">
        <v>27007</v>
      </c>
    </row>
    <row r="8726" spans="1:8" ht="25.05" customHeight="1" x14ac:dyDescent="0.25">
      <c r="A8726" s="2" t="s">
        <v>8</v>
      </c>
      <c r="B8726" s="2" t="str">
        <f>HYPERLINK("http://ts.21cn.com/tousu/show/id/1339818","小象优品还款方式不定，客服态度不好")</f>
        <v>小象优品还款方式不定，客服态度不好</v>
      </c>
      <c r="C8726" s="2" t="s">
        <v>9</v>
      </c>
      <c r="D8726" s="2" t="s">
        <v>10</v>
      </c>
      <c r="E8726" s="2" t="str">
        <f>HYPERLINK("http://ts.21cn.com/tousu/show/id/1339818","http://ts.21cn.com/tousu/show/id/1339818")</f>
        <v>http://ts.21cn.com/tousu/show/id/1339818</v>
      </c>
      <c r="F8726" s="2" t="s">
        <v>11</v>
      </c>
      <c r="G8726" s="2" t="s">
        <v>27004</v>
      </c>
      <c r="H8726" s="2" t="s">
        <v>27005</v>
      </c>
    </row>
    <row r="8727" spans="1:8" ht="25.05" customHeight="1" x14ac:dyDescent="0.25">
      <c r="A8727" s="2" t="s">
        <v>8</v>
      </c>
      <c r="B8727" s="2" t="str">
        <f>HYPERLINK("http://ts.21cn.com/tousu/show/id/1339817","中兴付无故扣钱")</f>
        <v>中兴付无故扣钱</v>
      </c>
      <c r="C8727" s="2" t="s">
        <v>9</v>
      </c>
      <c r="D8727" s="2" t="s">
        <v>10</v>
      </c>
      <c r="E8727" s="2" t="str">
        <f>HYPERLINK("http://ts.21cn.com/tousu/show/id/1339817","http://ts.21cn.com/tousu/show/id/1339817")</f>
        <v>http://ts.21cn.com/tousu/show/id/1339817</v>
      </c>
      <c r="F8727" s="2" t="s">
        <v>11</v>
      </c>
      <c r="G8727" s="2" t="s">
        <v>27002</v>
      </c>
      <c r="H8727" s="2" t="s">
        <v>27003</v>
      </c>
    </row>
    <row r="8728" spans="1:8" ht="25.05" customHeight="1" x14ac:dyDescent="0.25">
      <c r="A8728" s="2" t="s">
        <v>8</v>
      </c>
      <c r="B8728" s="2" t="str">
        <f>HYPERLINK("http://ts.21cn.com/tousu/show/id/1339819","威胁恐吓我")</f>
        <v>威胁恐吓我</v>
      </c>
      <c r="C8728" s="2" t="s">
        <v>9</v>
      </c>
      <c r="D8728" s="2" t="s">
        <v>10</v>
      </c>
      <c r="E8728" s="2" t="str">
        <f>HYPERLINK("http://ts.21cn.com/tousu/show/id/1339819","http://ts.21cn.com/tousu/show/id/1339819")</f>
        <v>http://ts.21cn.com/tousu/show/id/1339819</v>
      </c>
      <c r="F8728" s="2" t="s">
        <v>11</v>
      </c>
      <c r="G8728" s="2" t="s">
        <v>27000</v>
      </c>
      <c r="H8728" s="2" t="s">
        <v>27001</v>
      </c>
    </row>
    <row r="8729" spans="1:8" ht="25.05" customHeight="1" x14ac:dyDescent="0.25">
      <c r="A8729" s="2" t="s">
        <v>8</v>
      </c>
      <c r="B8729" s="2" t="str">
        <f>HYPERLINK("http://ts.21cn.com/tousu/show/id/1339820","电话骚扰无数次没用没有办理过业务")</f>
        <v>电话骚扰无数次没用没有办理过业务</v>
      </c>
      <c r="C8729" s="2" t="s">
        <v>9</v>
      </c>
      <c r="D8729" s="2" t="s">
        <v>10</v>
      </c>
      <c r="E8729" s="2" t="str">
        <f>HYPERLINK("http://ts.21cn.com/tousu/show/id/1339820","http://ts.21cn.com/tousu/show/id/1339820")</f>
        <v>http://ts.21cn.com/tousu/show/id/1339820</v>
      </c>
      <c r="F8729" s="2" t="s">
        <v>11</v>
      </c>
      <c r="G8729" s="2" t="s">
        <v>26998</v>
      </c>
      <c r="H8729" s="2" t="s">
        <v>26999</v>
      </c>
    </row>
    <row r="8730" spans="1:8" ht="25.05" customHeight="1" x14ac:dyDescent="0.25">
      <c r="A8730" s="2" t="s">
        <v>8</v>
      </c>
      <c r="B8730" s="2" t="str">
        <f>HYPERLINK("http://ts.21cn.com/tousu/show/id/1339823","牛人有品高额砍头息，阴阳合同")</f>
        <v>牛人有品高额砍头息，阴阳合同</v>
      </c>
      <c r="C8730" s="2" t="s">
        <v>9</v>
      </c>
      <c r="D8730" s="2" t="s">
        <v>10</v>
      </c>
      <c r="E8730" s="2" t="str">
        <f>HYPERLINK("http://ts.21cn.com/tousu/show/id/1339823","http://ts.21cn.com/tousu/show/id/1339823")</f>
        <v>http://ts.21cn.com/tousu/show/id/1339823</v>
      </c>
      <c r="F8730" s="2" t="s">
        <v>11</v>
      </c>
      <c r="G8730" s="2" t="s">
        <v>26996</v>
      </c>
      <c r="H8730" s="2" t="s">
        <v>26997</v>
      </c>
    </row>
    <row r="8731" spans="1:8" ht="25.05" customHeight="1" x14ac:dyDescent="0.25">
      <c r="A8731" s="2" t="s">
        <v>8</v>
      </c>
      <c r="B8731" s="2" t="str">
        <f>HYPERLINK("http://ts.21cn.com/tousu/show/id/1339821","变相砍头息，本人希望提前结清，退还保费")</f>
        <v>变相砍头息，本人希望提前结清，退还保费</v>
      </c>
      <c r="C8731" s="2" t="s">
        <v>34</v>
      </c>
      <c r="D8731" s="2" t="s">
        <v>10</v>
      </c>
      <c r="E8731" s="2" t="str">
        <f>HYPERLINK("http://ts.21cn.com/tousu/show/id/1339821","http://ts.21cn.com/tousu/show/id/1339821")</f>
        <v>http://ts.21cn.com/tousu/show/id/1339821</v>
      </c>
      <c r="F8731" s="2" t="s">
        <v>11</v>
      </c>
      <c r="G8731" s="2" t="s">
        <v>26994</v>
      </c>
      <c r="H8731" s="2" t="s">
        <v>26995</v>
      </c>
    </row>
    <row r="8732" spans="1:8" ht="25.05" customHeight="1" x14ac:dyDescent="0.25">
      <c r="A8732" s="2" t="s">
        <v>8</v>
      </c>
      <c r="B8732" s="2" t="str">
        <f>HYPERLINK("http://ts.21cn.com/tousu/show/id/1339822","海钜信达暴力催收")</f>
        <v>海钜信达暴力催收</v>
      </c>
      <c r="C8732" s="2" t="s">
        <v>9</v>
      </c>
      <c r="D8732" s="2" t="s">
        <v>10</v>
      </c>
      <c r="E8732" s="2" t="str">
        <f>HYPERLINK("http://ts.21cn.com/tousu/show/id/1339822","http://ts.21cn.com/tousu/show/id/1339822")</f>
        <v>http://ts.21cn.com/tousu/show/id/1339822</v>
      </c>
      <c r="F8732" s="2" t="s">
        <v>11</v>
      </c>
      <c r="G8732" s="2" t="s">
        <v>26992</v>
      </c>
      <c r="H8732" s="2" t="s">
        <v>26993</v>
      </c>
    </row>
    <row r="8733" spans="1:8" ht="25.05" customHeight="1" x14ac:dyDescent="0.25">
      <c r="A8733" s="2" t="s">
        <v>8</v>
      </c>
      <c r="B8733" s="2" t="str">
        <f>HYPERLINK("http://ts.21cn.com/tousu/show/id/1339824","聚富恶心私自扣款")</f>
        <v>聚富恶心私自扣款</v>
      </c>
      <c r="C8733" s="2" t="s">
        <v>9</v>
      </c>
      <c r="D8733" s="2" t="s">
        <v>10</v>
      </c>
      <c r="E8733" s="2" t="str">
        <f>HYPERLINK("http://ts.21cn.com/tousu/show/id/1339824","http://ts.21cn.com/tousu/show/id/1339824")</f>
        <v>http://ts.21cn.com/tousu/show/id/1339824</v>
      </c>
      <c r="F8733" s="2" t="s">
        <v>11</v>
      </c>
      <c r="G8733" s="2" t="s">
        <v>26990</v>
      </c>
      <c r="H8733" s="2" t="s">
        <v>26991</v>
      </c>
    </row>
    <row r="8734" spans="1:8" ht="25.05" customHeight="1" x14ac:dyDescent="0.25">
      <c r="A8734" s="2" t="s">
        <v>8</v>
      </c>
      <c r="B8734" s="2" t="str">
        <f>HYPERLINK("http://ts.21cn.com/tousu/show/id/1339826","被短信轰炸")</f>
        <v>被短信轰炸</v>
      </c>
      <c r="C8734" s="2" t="s">
        <v>9</v>
      </c>
      <c r="D8734" s="2" t="s">
        <v>10</v>
      </c>
      <c r="E8734" s="2" t="str">
        <f>HYPERLINK("http://ts.21cn.com/tousu/show/id/1339826","http://ts.21cn.com/tousu/show/id/1339826")</f>
        <v>http://ts.21cn.com/tousu/show/id/1339826</v>
      </c>
      <c r="F8734" s="2" t="s">
        <v>11</v>
      </c>
      <c r="G8734" s="2" t="s">
        <v>26988</v>
      </c>
      <c r="H8734" s="2" t="s">
        <v>26989</v>
      </c>
    </row>
    <row r="8735" spans="1:8" ht="25.05" customHeight="1" x14ac:dyDescent="0.25">
      <c r="A8735" s="2" t="s">
        <v>8</v>
      </c>
      <c r="B8735" s="2" t="str">
        <f>HYPERLINK("http://ts.21cn.com/tousu/show/id/1339827","凡普金科旗下钱站app暴力催收")</f>
        <v>凡普金科旗下钱站app暴力催收</v>
      </c>
      <c r="C8735" s="2" t="s">
        <v>9</v>
      </c>
      <c r="D8735" s="2" t="s">
        <v>10</v>
      </c>
      <c r="E8735" s="2" t="str">
        <f>HYPERLINK("http://ts.21cn.com/tousu/show/id/1339827","http://ts.21cn.com/tousu/show/id/1339827")</f>
        <v>http://ts.21cn.com/tousu/show/id/1339827</v>
      </c>
      <c r="F8735" s="2" t="s">
        <v>11</v>
      </c>
      <c r="G8735" s="2" t="s">
        <v>26986</v>
      </c>
      <c r="H8735" s="2" t="s">
        <v>26987</v>
      </c>
    </row>
    <row r="8736" spans="1:8" ht="25.05" customHeight="1" x14ac:dyDescent="0.25">
      <c r="A8736" s="2" t="s">
        <v>8</v>
      </c>
      <c r="B8736" s="2" t="str">
        <f>HYPERLINK("http://ts.21cn.com/tousu/show/id/1339828","骚扰")</f>
        <v>骚扰</v>
      </c>
      <c r="C8736" s="2" t="s">
        <v>9</v>
      </c>
      <c r="D8736" s="2" t="s">
        <v>10</v>
      </c>
      <c r="E8736" s="2" t="str">
        <f>HYPERLINK("http://ts.21cn.com/tousu/show/id/1339828","http://ts.21cn.com/tousu/show/id/1339828")</f>
        <v>http://ts.21cn.com/tousu/show/id/1339828</v>
      </c>
      <c r="F8736" s="2" t="s">
        <v>11</v>
      </c>
      <c r="G8736" s="2" t="s">
        <v>26984</v>
      </c>
      <c r="H8736" s="2" t="s">
        <v>26985</v>
      </c>
    </row>
    <row r="8737" spans="1:8" ht="25.05" customHeight="1" x14ac:dyDescent="0.25">
      <c r="A8737" s="2" t="s">
        <v>8</v>
      </c>
      <c r="B8737" s="2" t="str">
        <f>HYPERLINK("http://ts.21cn.com/tousu/show/id/1339830","马上消费金融，暴力催收，群发短信，恐吓催收")</f>
        <v>马上消费金融，暴力催收，群发短信，恐吓催收</v>
      </c>
      <c r="C8737" s="2" t="s">
        <v>9</v>
      </c>
      <c r="D8737" s="2" t="s">
        <v>10</v>
      </c>
      <c r="E8737" s="2" t="str">
        <f>HYPERLINK("http://ts.21cn.com/tousu/show/id/1339830","http://ts.21cn.com/tousu/show/id/1339830")</f>
        <v>http://ts.21cn.com/tousu/show/id/1339830</v>
      </c>
      <c r="F8737" s="2" t="s">
        <v>11</v>
      </c>
      <c r="G8737" s="2" t="s">
        <v>26982</v>
      </c>
      <c r="H8737" s="2" t="s">
        <v>26983</v>
      </c>
    </row>
    <row r="8738" spans="1:8" ht="25.05" customHeight="1" x14ac:dyDescent="0.25">
      <c r="A8738" s="2" t="s">
        <v>8</v>
      </c>
      <c r="B8738" s="2" t="str">
        <f>HYPERLINK("http://ts.21cn.com/tousu/show/id/1339831","拼多多购买到假货平台关闭售后")</f>
        <v>拼多多购买到假货平台关闭售后</v>
      </c>
      <c r="C8738" s="2" t="s">
        <v>9</v>
      </c>
      <c r="D8738" s="2" t="s">
        <v>10</v>
      </c>
      <c r="E8738" s="2" t="str">
        <f>HYPERLINK("http://ts.21cn.com/tousu/show/id/1339831","http://ts.21cn.com/tousu/show/id/1339831")</f>
        <v>http://ts.21cn.com/tousu/show/id/1339831</v>
      </c>
      <c r="F8738" s="2" t="s">
        <v>11</v>
      </c>
      <c r="G8738" s="2" t="s">
        <v>26980</v>
      </c>
      <c r="H8738" s="2" t="s">
        <v>26981</v>
      </c>
    </row>
    <row r="8739" spans="1:8" ht="25.05" customHeight="1" x14ac:dyDescent="0.25">
      <c r="A8739" s="2" t="s">
        <v>8</v>
      </c>
      <c r="B8739" s="2" t="str">
        <f>HYPERLINK("http://ts.21cn.com/tousu/show/id/1339832","你我贷暴力催收")</f>
        <v>你我贷暴力催收</v>
      </c>
      <c r="C8739" s="2" t="s">
        <v>9</v>
      </c>
      <c r="D8739" s="2" t="s">
        <v>10</v>
      </c>
      <c r="E8739" s="2" t="str">
        <f>HYPERLINK("http://ts.21cn.com/tousu/show/id/1339832","http://ts.21cn.com/tousu/show/id/1339832")</f>
        <v>http://ts.21cn.com/tousu/show/id/1339832</v>
      </c>
      <c r="F8739" s="2" t="s">
        <v>11</v>
      </c>
      <c r="G8739" s="2" t="s">
        <v>26978</v>
      </c>
      <c r="H8739" s="2" t="s">
        <v>26979</v>
      </c>
    </row>
    <row r="8740" spans="1:8" ht="25.05" customHeight="1" x14ac:dyDescent="0.25">
      <c r="A8740" s="2" t="s">
        <v>8</v>
      </c>
      <c r="B8740" s="2" t="str">
        <f>HYPERLINK("http://ts.21cn.com/tousu/show/id/1339833","高息砍头息")</f>
        <v>高息砍头息</v>
      </c>
      <c r="C8740" s="2" t="s">
        <v>34</v>
      </c>
      <c r="D8740" s="2" t="s">
        <v>10</v>
      </c>
      <c r="E8740" s="2" t="str">
        <f>HYPERLINK("http://ts.21cn.com/tousu/show/id/1339833","http://ts.21cn.com/tousu/show/id/1339833")</f>
        <v>http://ts.21cn.com/tousu/show/id/1339833</v>
      </c>
      <c r="F8740" s="2" t="s">
        <v>11</v>
      </c>
      <c r="G8740" s="2" t="s">
        <v>26976</v>
      </c>
      <c r="H8740" s="2" t="s">
        <v>26977</v>
      </c>
    </row>
    <row r="8741" spans="1:8" ht="25.05" customHeight="1" x14ac:dyDescent="0.25">
      <c r="A8741" s="2" t="s">
        <v>8</v>
      </c>
      <c r="B8741" s="2" t="str">
        <f>HYPERLINK("http://ts.21cn.com/tousu/show/id/1339834","钱站高利贷")</f>
        <v>钱站高利贷</v>
      </c>
      <c r="C8741" s="2" t="s">
        <v>9</v>
      </c>
      <c r="D8741" s="2" t="s">
        <v>10</v>
      </c>
      <c r="E8741" s="2" t="str">
        <f>HYPERLINK("http://ts.21cn.com/tousu/show/id/1339834","http://ts.21cn.com/tousu/show/id/1339834")</f>
        <v>http://ts.21cn.com/tousu/show/id/1339834</v>
      </c>
      <c r="F8741" s="2" t="s">
        <v>11</v>
      </c>
      <c r="G8741" s="2" t="s">
        <v>26974</v>
      </c>
      <c r="H8741" s="2" t="s">
        <v>26975</v>
      </c>
    </row>
    <row r="8742" spans="1:8" ht="25.05" customHeight="1" x14ac:dyDescent="0.25">
      <c r="A8742" s="2" t="s">
        <v>8</v>
      </c>
      <c r="B8742" s="2" t="str">
        <f>HYPERLINK("http://ts.21cn.com/tousu/show/id/1339839","聚福钱包随意扣款")</f>
        <v>聚福钱包随意扣款</v>
      </c>
      <c r="C8742" s="2" t="s">
        <v>9</v>
      </c>
      <c r="D8742" s="2" t="s">
        <v>10</v>
      </c>
      <c r="E8742" s="2" t="str">
        <f>HYPERLINK("http://ts.21cn.com/tousu/show/id/1339839","http://ts.21cn.com/tousu/show/id/1339839")</f>
        <v>http://ts.21cn.com/tousu/show/id/1339839</v>
      </c>
      <c r="F8742" s="2" t="s">
        <v>11</v>
      </c>
      <c r="G8742" s="2" t="s">
        <v>26972</v>
      </c>
      <c r="H8742" s="2" t="s">
        <v>26973</v>
      </c>
    </row>
    <row r="8743" spans="1:8" ht="25.05" customHeight="1" x14ac:dyDescent="0.25">
      <c r="A8743" s="2" t="s">
        <v>8</v>
      </c>
      <c r="B8743" s="2" t="str">
        <f>HYPERLINK("http://ts.21cn.com/tousu/show/id/1339836","及贷催收人员发短信恐吓")</f>
        <v>及贷催收人员发短信恐吓</v>
      </c>
      <c r="C8743" s="2" t="s">
        <v>9</v>
      </c>
      <c r="D8743" s="2" t="s">
        <v>10</v>
      </c>
      <c r="E8743" s="2" t="str">
        <f>HYPERLINK("http://ts.21cn.com/tousu/show/id/1339836","http://ts.21cn.com/tousu/show/id/1339836")</f>
        <v>http://ts.21cn.com/tousu/show/id/1339836</v>
      </c>
      <c r="F8743" s="2" t="s">
        <v>11</v>
      </c>
      <c r="G8743" s="2" t="s">
        <v>26970</v>
      </c>
      <c r="H8743" s="2" t="s">
        <v>26971</v>
      </c>
    </row>
    <row r="8744" spans="1:8" ht="25.05" customHeight="1" x14ac:dyDescent="0.25">
      <c r="A8744" s="2" t="s">
        <v>8</v>
      </c>
      <c r="B8744" s="2" t="str">
        <f>HYPERLINK("http://ts.21cn.com/tousu/show/id/1339837","机场被误导办了悦程出行黑卡，请求退款")</f>
        <v>机场被误导办了悦程出行黑卡，请求退款</v>
      </c>
      <c r="C8744" s="2" t="s">
        <v>9</v>
      </c>
      <c r="D8744" s="2" t="s">
        <v>10</v>
      </c>
      <c r="E8744" s="2" t="str">
        <f>HYPERLINK("http://ts.21cn.com/tousu/show/id/1339837","http://ts.21cn.com/tousu/show/id/1339837")</f>
        <v>http://ts.21cn.com/tousu/show/id/1339837</v>
      </c>
      <c r="F8744" s="2" t="s">
        <v>11</v>
      </c>
      <c r="G8744" s="2" t="s">
        <v>26968</v>
      </c>
      <c r="H8744" s="2" t="s">
        <v>26969</v>
      </c>
    </row>
    <row r="8745" spans="1:8" ht="25.05" customHeight="1" x14ac:dyDescent="0.25">
      <c r="A8745" s="2" t="s">
        <v>8</v>
      </c>
      <c r="B8745" s="2" t="str">
        <f>HYPERLINK("http://ts.21cn.com/tousu/show/id/1339835","拍拍贷爆力催收")</f>
        <v>拍拍贷爆力催收</v>
      </c>
      <c r="C8745" s="2" t="s">
        <v>9</v>
      </c>
      <c r="D8745" s="2" t="s">
        <v>10</v>
      </c>
      <c r="E8745" s="2" t="str">
        <f>HYPERLINK("http://ts.21cn.com/tousu/show/id/1339835","http://ts.21cn.com/tousu/show/id/1339835")</f>
        <v>http://ts.21cn.com/tousu/show/id/1339835</v>
      </c>
      <c r="F8745" s="2" t="s">
        <v>11</v>
      </c>
      <c r="G8745" s="2" t="s">
        <v>26966</v>
      </c>
      <c r="H8745" s="2" t="s">
        <v>26967</v>
      </c>
    </row>
    <row r="8746" spans="1:8" ht="25.05" customHeight="1" x14ac:dyDescent="0.25">
      <c r="A8746" s="2" t="s">
        <v>8</v>
      </c>
      <c r="B8746" s="2" t="str">
        <f>HYPERLINK("http://ts.21cn.com/tousu/show/id/1339840","借6千，2个月还9595.2,轰炸手机通讯录")</f>
        <v>借6千，2个月还9595.2,轰炸手机通讯录</v>
      </c>
      <c r="C8746" s="2" t="s">
        <v>9</v>
      </c>
      <c r="D8746" s="2" t="s">
        <v>10</v>
      </c>
      <c r="E8746" s="2" t="str">
        <f>HYPERLINK("http://ts.21cn.com/tousu/show/id/1339840","http://ts.21cn.com/tousu/show/id/1339840")</f>
        <v>http://ts.21cn.com/tousu/show/id/1339840</v>
      </c>
      <c r="F8746" s="2" t="s">
        <v>11</v>
      </c>
      <c r="G8746" s="2" t="s">
        <v>26964</v>
      </c>
      <c r="H8746" s="2" t="s">
        <v>26965</v>
      </c>
    </row>
    <row r="8747" spans="1:8" ht="25.05" customHeight="1" x14ac:dyDescent="0.25">
      <c r="A8747" s="2" t="s">
        <v>8</v>
      </c>
      <c r="B8747" s="2" t="str">
        <f>HYPERLINK("http://ts.21cn.com/tousu/show/id/1339838","自由魔卡协商还款")</f>
        <v>自由魔卡协商还款</v>
      </c>
      <c r="C8747" s="2" t="s">
        <v>34</v>
      </c>
      <c r="D8747" s="2" t="s">
        <v>10</v>
      </c>
      <c r="E8747" s="2" t="str">
        <f>HYPERLINK("http://ts.21cn.com/tousu/show/id/1339838","http://ts.21cn.com/tousu/show/id/1339838")</f>
        <v>http://ts.21cn.com/tousu/show/id/1339838</v>
      </c>
      <c r="F8747" s="2" t="s">
        <v>11</v>
      </c>
      <c r="G8747" s="2" t="s">
        <v>26962</v>
      </c>
      <c r="H8747" s="2" t="s">
        <v>26963</v>
      </c>
    </row>
    <row r="8748" spans="1:8" ht="25.05" customHeight="1" x14ac:dyDescent="0.25">
      <c r="A8748" s="2" t="s">
        <v>8</v>
      </c>
      <c r="B8748" s="2" t="str">
        <f>HYPERLINK("http://ts.21cn.com/tousu/show/id/1339825","个人信息安全问题要求该平台立即注销本人账户资料")</f>
        <v>个人信息安全问题要求该平台立即注销本人账户资料</v>
      </c>
      <c r="C8748" s="2" t="s">
        <v>9</v>
      </c>
      <c r="D8748" s="2" t="s">
        <v>10</v>
      </c>
      <c r="E8748" s="2" t="str">
        <f>HYPERLINK("http://ts.21cn.com/tousu/show/id/1339825","http://ts.21cn.com/tousu/show/id/1339825")</f>
        <v>http://ts.21cn.com/tousu/show/id/1339825</v>
      </c>
      <c r="F8748" s="2" t="s">
        <v>11</v>
      </c>
      <c r="G8748" s="2" t="s">
        <v>26960</v>
      </c>
      <c r="H8748" s="2" t="s">
        <v>26961</v>
      </c>
    </row>
    <row r="8749" spans="1:8" ht="25.05" customHeight="1" x14ac:dyDescent="0.25">
      <c r="A8749" s="2" t="s">
        <v>8</v>
      </c>
      <c r="B8749" s="2" t="str">
        <f>HYPERLINK("http://ts.21cn.com/tousu/show/id/1339841","京东金条爆通讯录，暴力搔扰，影响正常生活工作")</f>
        <v>京东金条爆通讯录，暴力搔扰，影响正常生活工作</v>
      </c>
      <c r="C8749" s="2" t="s">
        <v>9</v>
      </c>
      <c r="D8749" s="2" t="s">
        <v>10</v>
      </c>
      <c r="E8749" s="2" t="str">
        <f>HYPERLINK("http://ts.21cn.com/tousu/show/id/1339841","http://ts.21cn.com/tousu/show/id/1339841")</f>
        <v>http://ts.21cn.com/tousu/show/id/1339841</v>
      </c>
      <c r="F8749" s="2" t="s">
        <v>11</v>
      </c>
      <c r="G8749" s="2" t="s">
        <v>26958</v>
      </c>
      <c r="H8749" s="2" t="s">
        <v>26959</v>
      </c>
    </row>
    <row r="8750" spans="1:8" ht="25.05" customHeight="1" x14ac:dyDescent="0.25">
      <c r="A8750" s="2" t="s">
        <v>8</v>
      </c>
      <c r="B8750" s="2" t="str">
        <f>HYPERLINK("http://ts.21cn.com/tousu/show/id/1339842","欺骗消费者")</f>
        <v>欺骗消费者</v>
      </c>
      <c r="C8750" s="2" t="s">
        <v>9</v>
      </c>
      <c r="D8750" s="2" t="s">
        <v>10</v>
      </c>
      <c r="E8750" s="2" t="str">
        <f>HYPERLINK("http://ts.21cn.com/tousu/show/id/1339842","http://ts.21cn.com/tousu/show/id/1339842")</f>
        <v>http://ts.21cn.com/tousu/show/id/1339842</v>
      </c>
      <c r="F8750" s="2" t="s">
        <v>11</v>
      </c>
      <c r="G8750" s="2" t="s">
        <v>26956</v>
      </c>
      <c r="H8750" s="2" t="s">
        <v>26957</v>
      </c>
    </row>
    <row r="8751" spans="1:8" ht="25.05" customHeight="1" x14ac:dyDescent="0.25">
      <c r="A8751" s="2" t="s">
        <v>8</v>
      </c>
      <c r="B8751" s="2" t="str">
        <f>HYPERLINK("http://ts.21cn.com/tousu/show/id/1339805","趣花分期高利贷，砍头息")</f>
        <v>趣花分期高利贷，砍头息</v>
      </c>
      <c r="C8751" s="2" t="s">
        <v>9</v>
      </c>
      <c r="D8751" s="2" t="s">
        <v>10</v>
      </c>
      <c r="E8751" s="2" t="str">
        <f>HYPERLINK("http://ts.21cn.com/tousu/show/id/1339805","http://ts.21cn.com/tousu/show/id/1339805")</f>
        <v>http://ts.21cn.com/tousu/show/id/1339805</v>
      </c>
      <c r="F8751" s="2" t="s">
        <v>11</v>
      </c>
      <c r="G8751" s="2" t="s">
        <v>26954</v>
      </c>
      <c r="H8751" s="2" t="s">
        <v>26955</v>
      </c>
    </row>
    <row r="8752" spans="1:8" ht="25.05" customHeight="1" x14ac:dyDescent="0.25">
      <c r="A8752" s="2" t="s">
        <v>8</v>
      </c>
      <c r="B8752" s="2" t="str">
        <f>HYPERLINK("http://ts.21cn.com/tousu/show/id/1339843","处处软件涉嫌引导诱惑消费者消费")</f>
        <v>处处软件涉嫌引导诱惑消费者消费</v>
      </c>
      <c r="C8752" s="2" t="s">
        <v>9</v>
      </c>
      <c r="D8752" s="2" t="s">
        <v>10</v>
      </c>
      <c r="E8752" s="2" t="str">
        <f>HYPERLINK("http://ts.21cn.com/tousu/show/id/1339843","http://ts.21cn.com/tousu/show/id/1339843")</f>
        <v>http://ts.21cn.com/tousu/show/id/1339843</v>
      </c>
      <c r="F8752" s="2" t="s">
        <v>11</v>
      </c>
      <c r="G8752" s="2" t="s">
        <v>26952</v>
      </c>
      <c r="H8752" s="2" t="s">
        <v>26953</v>
      </c>
    </row>
    <row r="8753" spans="1:8" ht="25.05" customHeight="1" x14ac:dyDescent="0.25">
      <c r="A8753" s="2" t="s">
        <v>8</v>
      </c>
      <c r="B8753" s="2" t="str">
        <f>HYPERLINK("http://ts.21cn.com/tousu/show/id/1339829","钱站高利贷阴阳合同")</f>
        <v>钱站高利贷阴阳合同</v>
      </c>
      <c r="C8753" s="2" t="s">
        <v>9</v>
      </c>
      <c r="D8753" s="2" t="s">
        <v>10</v>
      </c>
      <c r="E8753" s="2" t="str">
        <f>HYPERLINK("http://ts.21cn.com/tousu/show/id/1339829","http://ts.21cn.com/tousu/show/id/1339829")</f>
        <v>http://ts.21cn.com/tousu/show/id/1339829</v>
      </c>
      <c r="F8753" s="2" t="s">
        <v>11</v>
      </c>
      <c r="G8753" s="2" t="s">
        <v>26950</v>
      </c>
      <c r="H8753" s="2" t="s">
        <v>26951</v>
      </c>
    </row>
    <row r="8754" spans="1:8" ht="25.05" customHeight="1" x14ac:dyDescent="0.25">
      <c r="A8754" s="2" t="s">
        <v>8</v>
      </c>
      <c r="B8754" s="2" t="str">
        <f>HYPERLINK("http://ts.21cn.com/tousu/show/id/1339844","微博借钱恐吓我亲人朋友，拒绝协商还款")</f>
        <v>微博借钱恐吓我亲人朋友，拒绝协商还款</v>
      </c>
      <c r="C8754" s="2" t="s">
        <v>9</v>
      </c>
      <c r="D8754" s="2" t="s">
        <v>10</v>
      </c>
      <c r="E8754" s="2" t="str">
        <f>HYPERLINK("http://ts.21cn.com/tousu/show/id/1339844","http://ts.21cn.com/tousu/show/id/1339844")</f>
        <v>http://ts.21cn.com/tousu/show/id/1339844</v>
      </c>
      <c r="F8754" s="2" t="s">
        <v>11</v>
      </c>
      <c r="G8754" s="2" t="s">
        <v>26948</v>
      </c>
      <c r="H8754" s="2" t="s">
        <v>26949</v>
      </c>
    </row>
    <row r="8755" spans="1:8" ht="25.05" customHeight="1" x14ac:dyDescent="0.25">
      <c r="A8755" s="2" t="s">
        <v>8</v>
      </c>
      <c r="B8755" s="2" t="str">
        <f>HYPERLINK("http://ts.21cn.com/tousu/show/id/1339846","哆咪黑卡收取会员费")</f>
        <v>哆咪黑卡收取会员费</v>
      </c>
      <c r="C8755" s="2" t="s">
        <v>9</v>
      </c>
      <c r="D8755" s="2" t="s">
        <v>10</v>
      </c>
      <c r="E8755" s="2" t="str">
        <f>HYPERLINK("http://ts.21cn.com/tousu/show/id/1339846","http://ts.21cn.com/tousu/show/id/1339846")</f>
        <v>http://ts.21cn.com/tousu/show/id/1339846</v>
      </c>
      <c r="F8755" s="2" t="s">
        <v>11</v>
      </c>
      <c r="G8755" s="2" t="s">
        <v>26946</v>
      </c>
      <c r="H8755" s="2" t="s">
        <v>26947</v>
      </c>
    </row>
    <row r="8756" spans="1:8" ht="25.05" customHeight="1" x14ac:dyDescent="0.25">
      <c r="A8756" s="2" t="s">
        <v>8</v>
      </c>
      <c r="B8756" s="2" t="str">
        <f>HYPERLINK("http://ts.21cn.com/tousu/show/id/1339847","电信局做虚假宣传")</f>
        <v>电信局做虚假宣传</v>
      </c>
      <c r="C8756" s="2" t="s">
        <v>9</v>
      </c>
      <c r="D8756" s="2" t="s">
        <v>10</v>
      </c>
      <c r="E8756" s="2" t="str">
        <f>HYPERLINK("http://ts.21cn.com/tousu/show/id/1339847","http://ts.21cn.com/tousu/show/id/1339847")</f>
        <v>http://ts.21cn.com/tousu/show/id/1339847</v>
      </c>
      <c r="F8756" s="2" t="s">
        <v>11</v>
      </c>
      <c r="G8756" s="2" t="s">
        <v>26944</v>
      </c>
      <c r="H8756" s="2" t="s">
        <v>26945</v>
      </c>
    </row>
    <row r="8757" spans="1:8" ht="25.05" customHeight="1" x14ac:dyDescent="0.25">
      <c r="A8757" s="2" t="s">
        <v>8</v>
      </c>
      <c r="B8757" s="2" t="str">
        <f>HYPERLINK("http://ts.21cn.com/tousu/show/id/1339848","北京朝阳姚家园租房中介公司（北京恒祥嘉业）扣除部分押金不退")</f>
        <v>北京朝阳姚家园租房中介公司（北京恒祥嘉业）扣除部分押金不退</v>
      </c>
      <c r="C8757" s="2" t="s">
        <v>9</v>
      </c>
      <c r="D8757" s="2" t="s">
        <v>10</v>
      </c>
      <c r="E8757" s="2" t="str">
        <f>HYPERLINK("http://ts.21cn.com/tousu/show/id/1339848","http://ts.21cn.com/tousu/show/id/1339848")</f>
        <v>http://ts.21cn.com/tousu/show/id/1339848</v>
      </c>
      <c r="F8757" s="2" t="s">
        <v>11</v>
      </c>
      <c r="G8757" s="2" t="s">
        <v>26942</v>
      </c>
      <c r="H8757" s="2" t="s">
        <v>26943</v>
      </c>
    </row>
    <row r="8758" spans="1:8" ht="25.05" customHeight="1" x14ac:dyDescent="0.25">
      <c r="A8758" s="2" t="s">
        <v>8</v>
      </c>
      <c r="B8758" s="2" t="str">
        <f>HYPERLINK("http://ts.21cn.com/tousu/show/id/1339849","高利贷‘")</f>
        <v>高利贷‘</v>
      </c>
      <c r="C8758" s="2" t="s">
        <v>9</v>
      </c>
      <c r="D8758" s="2" t="s">
        <v>10</v>
      </c>
      <c r="E8758" s="2" t="str">
        <f>HYPERLINK("http://ts.21cn.com/tousu/show/id/1339849","http://ts.21cn.com/tousu/show/id/1339849")</f>
        <v>http://ts.21cn.com/tousu/show/id/1339849</v>
      </c>
      <c r="F8758" s="2" t="s">
        <v>11</v>
      </c>
      <c r="G8758" s="2" t="s">
        <v>26940</v>
      </c>
      <c r="H8758" s="2" t="s">
        <v>26941</v>
      </c>
    </row>
    <row r="8759" spans="1:8" ht="25.05" customHeight="1" x14ac:dyDescent="0.25">
      <c r="A8759" s="2" t="s">
        <v>8</v>
      </c>
      <c r="B8759" s="2" t="str">
        <f>HYPERLINK("http://ts.21cn.com/tousu/show/id/1339850","佰仟金融买买乐购骚扰家人爆破通讯录")</f>
        <v>佰仟金融买买乐购骚扰家人爆破通讯录</v>
      </c>
      <c r="C8759" s="2" t="s">
        <v>9</v>
      </c>
      <c r="D8759" s="2" t="s">
        <v>10</v>
      </c>
      <c r="E8759" s="2" t="str">
        <f>HYPERLINK("http://ts.21cn.com/tousu/show/id/1339850","http://ts.21cn.com/tousu/show/id/1339850")</f>
        <v>http://ts.21cn.com/tousu/show/id/1339850</v>
      </c>
      <c r="F8759" s="2" t="s">
        <v>11</v>
      </c>
      <c r="G8759" s="2" t="s">
        <v>26938</v>
      </c>
      <c r="H8759" s="2" t="s">
        <v>26939</v>
      </c>
    </row>
    <row r="8760" spans="1:8" ht="25.05" customHeight="1" x14ac:dyDescent="0.25">
      <c r="A8760" s="2" t="s">
        <v>8</v>
      </c>
      <c r="B8760" s="2" t="str">
        <f>HYPERLINK("http://ts.21cn.com/tousu/show/id/1339851","及贷催收我男朋友我接了电话冲我喊")</f>
        <v>及贷催收我男朋友我接了电话冲我喊</v>
      </c>
      <c r="C8760" s="2" t="s">
        <v>34</v>
      </c>
      <c r="D8760" s="2" t="s">
        <v>10</v>
      </c>
      <c r="E8760" s="2" t="str">
        <f>HYPERLINK("http://ts.21cn.com/tousu/show/id/1339851","http://ts.21cn.com/tousu/show/id/1339851")</f>
        <v>http://ts.21cn.com/tousu/show/id/1339851</v>
      </c>
      <c r="F8760" s="2" t="s">
        <v>11</v>
      </c>
      <c r="G8760" s="2" t="s">
        <v>26936</v>
      </c>
      <c r="H8760" s="2" t="s">
        <v>26937</v>
      </c>
    </row>
    <row r="8761" spans="1:8" ht="25.05" customHeight="1" x14ac:dyDescent="0.25">
      <c r="A8761" s="2" t="s">
        <v>8</v>
      </c>
      <c r="B8761" s="2" t="str">
        <f>HYPERLINK("http://ts.21cn.com/tousu/show/id/1339852","我来贷高利息")</f>
        <v>我来贷高利息</v>
      </c>
      <c r="C8761" s="2" t="s">
        <v>9</v>
      </c>
      <c r="D8761" s="2" t="s">
        <v>10</v>
      </c>
      <c r="E8761" s="2" t="str">
        <f>HYPERLINK("http://ts.21cn.com/tousu/show/id/1339852","http://ts.21cn.com/tousu/show/id/1339852")</f>
        <v>http://ts.21cn.com/tousu/show/id/1339852</v>
      </c>
      <c r="F8761" s="2" t="s">
        <v>11</v>
      </c>
      <c r="G8761" s="2" t="s">
        <v>26933</v>
      </c>
      <c r="H8761" s="2" t="s">
        <v>26934</v>
      </c>
    </row>
    <row r="8762" spans="1:8" ht="25.05" customHeight="1" x14ac:dyDescent="0.25">
      <c r="A8762" s="2" t="s">
        <v>8</v>
      </c>
      <c r="B8762" s="2" t="str">
        <f>HYPERLINK("http://ts.21cn.com/tousu/show/id/1339853","微信冻结我的账号")</f>
        <v>微信冻结我的账号</v>
      </c>
      <c r="C8762" s="2" t="s">
        <v>9</v>
      </c>
      <c r="D8762" s="2" t="s">
        <v>10</v>
      </c>
      <c r="E8762" s="2" t="str">
        <f>HYPERLINK("http://ts.21cn.com/tousu/show/id/1339853","http://ts.21cn.com/tousu/show/id/1339853")</f>
        <v>http://ts.21cn.com/tousu/show/id/1339853</v>
      </c>
      <c r="F8762" s="2" t="s">
        <v>11</v>
      </c>
      <c r="G8762" s="2" t="s">
        <v>26933</v>
      </c>
      <c r="H8762" s="2" t="s">
        <v>26935</v>
      </c>
    </row>
    <row r="8763" spans="1:8" ht="25.05" customHeight="1" x14ac:dyDescent="0.25">
      <c r="A8763" s="2" t="s">
        <v>8</v>
      </c>
      <c r="B8763" s="2" t="str">
        <f>HYPERLINK("http://ts.21cn.com/tousu/show/id/1339854","转转七天无理由不退款")</f>
        <v>转转七天无理由不退款</v>
      </c>
      <c r="C8763" s="2" t="s">
        <v>9</v>
      </c>
      <c r="D8763" s="2" t="s">
        <v>10</v>
      </c>
      <c r="E8763" s="2" t="str">
        <f>HYPERLINK("http://ts.21cn.com/tousu/show/id/1339854","http://ts.21cn.com/tousu/show/id/1339854")</f>
        <v>http://ts.21cn.com/tousu/show/id/1339854</v>
      </c>
      <c r="F8763" s="2" t="s">
        <v>11</v>
      </c>
      <c r="G8763" s="2" t="s">
        <v>26931</v>
      </c>
      <c r="H8763" s="2" t="s">
        <v>26932</v>
      </c>
    </row>
    <row r="8764" spans="1:8" ht="25.05" customHeight="1" x14ac:dyDescent="0.25">
      <c r="A8764" s="2" t="s">
        <v>8</v>
      </c>
      <c r="B8764" s="2" t="str">
        <f>HYPERLINK("http://ts.21cn.com/tousu/show/id/1339855","高利货")</f>
        <v>高利货</v>
      </c>
      <c r="C8764" s="2" t="s">
        <v>34</v>
      </c>
      <c r="D8764" s="2" t="s">
        <v>10</v>
      </c>
      <c r="E8764" s="2" t="str">
        <f>HYPERLINK("http://ts.21cn.com/tousu/show/id/1339855","http://ts.21cn.com/tousu/show/id/1339855")</f>
        <v>http://ts.21cn.com/tousu/show/id/1339855</v>
      </c>
      <c r="F8764" s="2" t="s">
        <v>11</v>
      </c>
      <c r="G8764" s="2" t="s">
        <v>26929</v>
      </c>
      <c r="H8764" s="2" t="s">
        <v>26930</v>
      </c>
    </row>
    <row r="8765" spans="1:8" ht="25.05" customHeight="1" x14ac:dyDescent="0.25">
      <c r="A8765" s="2" t="s">
        <v>8</v>
      </c>
      <c r="B8765" s="2" t="str">
        <f>HYPERLINK("http://ts.21cn.com/tousu/show/id/1339856","尚德教育霸王条款不给退费")</f>
        <v>尚德教育霸王条款不给退费</v>
      </c>
      <c r="C8765" s="2" t="s">
        <v>9</v>
      </c>
      <c r="D8765" s="2" t="s">
        <v>10</v>
      </c>
      <c r="E8765" s="2" t="str">
        <f>HYPERLINK("http://ts.21cn.com/tousu/show/id/1339856","http://ts.21cn.com/tousu/show/id/1339856")</f>
        <v>http://ts.21cn.com/tousu/show/id/1339856</v>
      </c>
      <c r="F8765" s="2" t="s">
        <v>11</v>
      </c>
      <c r="G8765" s="2" t="s">
        <v>26927</v>
      </c>
      <c r="H8765" s="2" t="s">
        <v>26928</v>
      </c>
    </row>
    <row r="8766" spans="1:8" ht="25.05" customHeight="1" x14ac:dyDescent="0.25">
      <c r="A8766" s="2" t="s">
        <v>8</v>
      </c>
      <c r="B8766" s="2" t="str">
        <f>HYPERLINK("http://ts.21cn.com/tousu/show/id/1339857","钱站高利贷，暴力黑势力")</f>
        <v>钱站高利贷，暴力黑势力</v>
      </c>
      <c r="C8766" s="2" t="s">
        <v>9</v>
      </c>
      <c r="D8766" s="2" t="s">
        <v>10</v>
      </c>
      <c r="E8766" s="2" t="str">
        <f>HYPERLINK("http://ts.21cn.com/tousu/show/id/1339857","http://ts.21cn.com/tousu/show/id/1339857")</f>
        <v>http://ts.21cn.com/tousu/show/id/1339857</v>
      </c>
      <c r="F8766" s="2" t="s">
        <v>11</v>
      </c>
      <c r="G8766" s="2" t="s">
        <v>26925</v>
      </c>
      <c r="H8766" s="2" t="s">
        <v>26926</v>
      </c>
    </row>
    <row r="8767" spans="1:8" ht="25.05" customHeight="1" x14ac:dyDescent="0.25">
      <c r="A8767" s="2" t="s">
        <v>8</v>
      </c>
      <c r="B8767" s="2" t="str">
        <f>HYPERLINK("http://ts.21cn.com/tousu/show/id/1339858","闪银变相扣钱")</f>
        <v>闪银变相扣钱</v>
      </c>
      <c r="C8767" s="2" t="s">
        <v>9</v>
      </c>
      <c r="D8767" s="2" t="s">
        <v>10</v>
      </c>
      <c r="E8767" s="2" t="str">
        <f>HYPERLINK("http://ts.21cn.com/tousu/show/id/1339858","http://ts.21cn.com/tousu/show/id/1339858")</f>
        <v>http://ts.21cn.com/tousu/show/id/1339858</v>
      </c>
      <c r="F8767" s="2" t="s">
        <v>11</v>
      </c>
      <c r="G8767" s="2" t="s">
        <v>26923</v>
      </c>
      <c r="H8767" s="2" t="s">
        <v>26924</v>
      </c>
    </row>
    <row r="8768" spans="1:8" ht="25.05" customHeight="1" x14ac:dyDescent="0.25">
      <c r="A8768" s="2" t="s">
        <v>8</v>
      </c>
      <c r="B8768" s="2" t="str">
        <f>HYPERLINK("http://ts.21cn.com/tousu/show/id/1339859","你我贷高利贷")</f>
        <v>你我贷高利贷</v>
      </c>
      <c r="C8768" s="2" t="s">
        <v>9</v>
      </c>
      <c r="D8768" s="2" t="s">
        <v>10</v>
      </c>
      <c r="E8768" s="2" t="str">
        <f>HYPERLINK("http://ts.21cn.com/tousu/show/id/1339859","http://ts.21cn.com/tousu/show/id/1339859")</f>
        <v>http://ts.21cn.com/tousu/show/id/1339859</v>
      </c>
      <c r="F8768" s="2" t="s">
        <v>11</v>
      </c>
      <c r="G8768" s="2" t="s">
        <v>26921</v>
      </c>
      <c r="H8768" s="2" t="s">
        <v>26922</v>
      </c>
    </row>
    <row r="8769" spans="1:8" ht="25.05" customHeight="1" x14ac:dyDescent="0.25">
      <c r="A8769" s="2" t="s">
        <v>8</v>
      </c>
      <c r="B8769" s="2" t="str">
        <f>HYPERLINK("http://ts.21cn.com/tousu/show/id/1339860","广东信汇我跪求你联系商户还我救命钱！！")</f>
        <v>广东信汇我跪求你联系商户还我救命钱！！</v>
      </c>
      <c r="C8769" s="2" t="s">
        <v>9</v>
      </c>
      <c r="D8769" s="2" t="s">
        <v>10</v>
      </c>
      <c r="E8769" s="2" t="str">
        <f>HYPERLINK("http://ts.21cn.com/tousu/show/id/1339860","http://ts.21cn.com/tousu/show/id/1339860")</f>
        <v>http://ts.21cn.com/tousu/show/id/1339860</v>
      </c>
      <c r="F8769" s="2" t="s">
        <v>11</v>
      </c>
      <c r="G8769" s="2" t="s">
        <v>26919</v>
      </c>
      <c r="H8769" s="2" t="s">
        <v>26920</v>
      </c>
    </row>
    <row r="8770" spans="1:8" ht="25.05" customHeight="1" x14ac:dyDescent="0.25">
      <c r="A8770" s="2" t="s">
        <v>8</v>
      </c>
      <c r="B8770" s="2" t="str">
        <f>HYPERLINK("http://ts.21cn.com/tousu/show/id/1339861","聚富分期强制扣除费用")</f>
        <v>聚富分期强制扣除费用</v>
      </c>
      <c r="C8770" s="2" t="s">
        <v>9</v>
      </c>
      <c r="D8770" s="2" t="s">
        <v>10</v>
      </c>
      <c r="E8770" s="2" t="str">
        <f>HYPERLINK("http://ts.21cn.com/tousu/show/id/1339861","http://ts.21cn.com/tousu/show/id/1339861")</f>
        <v>http://ts.21cn.com/tousu/show/id/1339861</v>
      </c>
      <c r="F8770" s="2" t="s">
        <v>11</v>
      </c>
      <c r="G8770" s="2" t="s">
        <v>26917</v>
      </c>
      <c r="H8770" s="2" t="s">
        <v>26918</v>
      </c>
    </row>
    <row r="8771" spans="1:8" ht="25.05" customHeight="1" x14ac:dyDescent="0.25">
      <c r="A8771" s="2" t="s">
        <v>8</v>
      </c>
      <c r="B8771" s="2" t="str">
        <f>HYPERLINK("http://ts.21cn.com/tousu/show/id/1339862","豹子贷无故扣钱不需要还要扣")</f>
        <v>豹子贷无故扣钱不需要还要扣</v>
      </c>
      <c r="C8771" s="2" t="s">
        <v>34</v>
      </c>
      <c r="D8771" s="2" t="s">
        <v>10</v>
      </c>
      <c r="E8771" s="2" t="str">
        <f>HYPERLINK("http://ts.21cn.com/tousu/show/id/1339862","http://ts.21cn.com/tousu/show/id/1339862")</f>
        <v>http://ts.21cn.com/tousu/show/id/1339862</v>
      </c>
      <c r="F8771" s="2" t="s">
        <v>11</v>
      </c>
      <c r="G8771" s="2" t="s">
        <v>26916</v>
      </c>
      <c r="H8771" s="2" t="s">
        <v>15916</v>
      </c>
    </row>
    <row r="8772" spans="1:8" ht="25.05" customHeight="1" x14ac:dyDescent="0.25">
      <c r="A8772" s="2" t="s">
        <v>8</v>
      </c>
      <c r="B8772" s="2" t="str">
        <f>HYPERLINK("http://ts.21cn.com/tousu/show/id/1339863","小赢卡贷高利贷")</f>
        <v>小赢卡贷高利贷</v>
      </c>
      <c r="C8772" s="2" t="s">
        <v>9</v>
      </c>
      <c r="D8772" s="2" t="s">
        <v>10</v>
      </c>
      <c r="E8772" s="2" t="str">
        <f>HYPERLINK("http://ts.21cn.com/tousu/show/id/1339863","http://ts.21cn.com/tousu/show/id/1339863")</f>
        <v>http://ts.21cn.com/tousu/show/id/1339863</v>
      </c>
      <c r="F8772" s="2" t="s">
        <v>11</v>
      </c>
      <c r="G8772" s="2" t="s">
        <v>26914</v>
      </c>
      <c r="H8772" s="2" t="s">
        <v>26915</v>
      </c>
    </row>
    <row r="8773" spans="1:8" ht="25.05" customHeight="1" x14ac:dyDescent="0.25">
      <c r="A8773" s="2" t="s">
        <v>8</v>
      </c>
      <c r="B8773" s="2" t="str">
        <f>HYPERLINK("http://ts.21cn.com/tousu/show/id/1339864","没有放款，借款不给取消")</f>
        <v>没有放款，借款不给取消</v>
      </c>
      <c r="C8773" s="2" t="s">
        <v>9</v>
      </c>
      <c r="D8773" s="2" t="s">
        <v>10</v>
      </c>
      <c r="E8773" s="2" t="str">
        <f>HYPERLINK("http://ts.21cn.com/tousu/show/id/1339864","http://ts.21cn.com/tousu/show/id/1339864")</f>
        <v>http://ts.21cn.com/tousu/show/id/1339864</v>
      </c>
      <c r="F8773" s="2" t="s">
        <v>11</v>
      </c>
      <c r="G8773" s="2" t="s">
        <v>26912</v>
      </c>
      <c r="H8773" s="2" t="s">
        <v>26913</v>
      </c>
    </row>
    <row r="8774" spans="1:8" ht="25.05" customHeight="1" x14ac:dyDescent="0.25">
      <c r="A8774" s="2" t="s">
        <v>8</v>
      </c>
      <c r="B8774" s="2" t="str">
        <f>HYPERLINK("http://ts.21cn.com/tousu/show/id/1339866","拍拍贷暴力催收爆通讯录威胁恐吓")</f>
        <v>拍拍贷暴力催收爆通讯录威胁恐吓</v>
      </c>
      <c r="C8774" s="2" t="s">
        <v>9</v>
      </c>
      <c r="D8774" s="2" t="s">
        <v>10</v>
      </c>
      <c r="E8774" s="2" t="str">
        <f>HYPERLINK("http://ts.21cn.com/tousu/show/id/1339866","http://ts.21cn.com/tousu/show/id/1339866")</f>
        <v>http://ts.21cn.com/tousu/show/id/1339866</v>
      </c>
      <c r="F8774" s="2" t="s">
        <v>11</v>
      </c>
      <c r="G8774" s="2" t="s">
        <v>26910</v>
      </c>
      <c r="H8774" s="2" t="s">
        <v>26911</v>
      </c>
    </row>
    <row r="8775" spans="1:8" ht="25.05" customHeight="1" x14ac:dyDescent="0.25">
      <c r="A8775" s="2" t="s">
        <v>8</v>
      </c>
      <c r="B8775" s="2" t="str">
        <f>HYPERLINK("http://ts.21cn.com/tousu/show/id/1339867","投诉贷上钱")</f>
        <v>投诉贷上钱</v>
      </c>
      <c r="C8775" s="2" t="s">
        <v>9</v>
      </c>
      <c r="D8775" s="2" t="s">
        <v>10</v>
      </c>
      <c r="E8775" s="2" t="str">
        <f>HYPERLINK("http://ts.21cn.com/tousu/show/id/1339867","http://ts.21cn.com/tousu/show/id/1339867")</f>
        <v>http://ts.21cn.com/tousu/show/id/1339867</v>
      </c>
      <c r="F8775" s="2" t="s">
        <v>11</v>
      </c>
      <c r="G8775" s="2" t="s">
        <v>26908</v>
      </c>
      <c r="H8775" s="2" t="s">
        <v>26909</v>
      </c>
    </row>
    <row r="8776" spans="1:8" ht="25.05" customHeight="1" x14ac:dyDescent="0.25">
      <c r="A8776" s="2" t="s">
        <v>8</v>
      </c>
      <c r="B8776" s="2" t="str">
        <f>HYPERLINK("http://ts.21cn.com/tousu/show/id/1339869","钱站高利贷阴阳合同")</f>
        <v>钱站高利贷阴阳合同</v>
      </c>
      <c r="C8776" s="2" t="s">
        <v>9</v>
      </c>
      <c r="D8776" s="2" t="s">
        <v>10</v>
      </c>
      <c r="E8776" s="2" t="str">
        <f>HYPERLINK("http://ts.21cn.com/tousu/show/id/1339869","http://ts.21cn.com/tousu/show/id/1339869")</f>
        <v>http://ts.21cn.com/tousu/show/id/1339869</v>
      </c>
      <c r="F8776" s="2" t="s">
        <v>11</v>
      </c>
      <c r="G8776" s="2" t="s">
        <v>26906</v>
      </c>
      <c r="H8776" s="2" t="s">
        <v>26907</v>
      </c>
    </row>
    <row r="8777" spans="1:8" ht="25.05" customHeight="1" x14ac:dyDescent="0.25">
      <c r="A8777" s="2" t="s">
        <v>8</v>
      </c>
      <c r="B8777" s="2" t="str">
        <f>HYPERLINK("http://ts.21cn.com/tousu/show/id/1339871","我来数科电话恐吓")</f>
        <v>我来数科电话恐吓</v>
      </c>
      <c r="C8777" s="2" t="s">
        <v>9</v>
      </c>
      <c r="D8777" s="2" t="s">
        <v>10</v>
      </c>
      <c r="E8777" s="2" t="str">
        <f>HYPERLINK("http://ts.21cn.com/tousu/show/id/1339871","http://ts.21cn.com/tousu/show/id/1339871")</f>
        <v>http://ts.21cn.com/tousu/show/id/1339871</v>
      </c>
      <c r="F8777" s="2" t="s">
        <v>11</v>
      </c>
      <c r="G8777" s="2" t="s">
        <v>26904</v>
      </c>
      <c r="H8777" s="2" t="s">
        <v>26905</v>
      </c>
    </row>
    <row r="8778" spans="1:8" ht="25.05" customHeight="1" x14ac:dyDescent="0.25">
      <c r="A8778" s="2" t="s">
        <v>8</v>
      </c>
      <c r="B8778" s="2" t="str">
        <f>HYPERLINK("http://ts.21cn.com/tousu/show/id/1339872","浦发银行万用金")</f>
        <v>浦发银行万用金</v>
      </c>
      <c r="C8778" s="2" t="s">
        <v>9</v>
      </c>
      <c r="D8778" s="2" t="s">
        <v>10</v>
      </c>
      <c r="E8778" s="2" t="str">
        <f>HYPERLINK("http://ts.21cn.com/tousu/show/id/1339872","http://ts.21cn.com/tousu/show/id/1339872")</f>
        <v>http://ts.21cn.com/tousu/show/id/1339872</v>
      </c>
      <c r="F8778" s="2" t="s">
        <v>11</v>
      </c>
      <c r="G8778" s="2" t="s">
        <v>26902</v>
      </c>
      <c r="H8778" s="2" t="s">
        <v>26903</v>
      </c>
    </row>
    <row r="8779" spans="1:8" ht="25.05" customHeight="1" x14ac:dyDescent="0.25">
      <c r="A8779" s="2" t="s">
        <v>8</v>
      </c>
      <c r="B8779" s="2" t="str">
        <f>HYPERLINK("http://ts.21cn.com/tousu/show/id/1339873","闪银借款骚扰身边人")</f>
        <v>闪银借款骚扰身边人</v>
      </c>
      <c r="C8779" s="2" t="s">
        <v>9</v>
      </c>
      <c r="D8779" s="2" t="s">
        <v>10</v>
      </c>
      <c r="E8779" s="2" t="str">
        <f>HYPERLINK("http://ts.21cn.com/tousu/show/id/1339873","http://ts.21cn.com/tousu/show/id/1339873")</f>
        <v>http://ts.21cn.com/tousu/show/id/1339873</v>
      </c>
      <c r="F8779" s="2" t="s">
        <v>11</v>
      </c>
      <c r="G8779" s="2" t="s">
        <v>26900</v>
      </c>
      <c r="H8779" s="2" t="s">
        <v>26901</v>
      </c>
    </row>
    <row r="8780" spans="1:8" ht="25.05" customHeight="1" x14ac:dyDescent="0.25">
      <c r="A8780" s="2" t="s">
        <v>8</v>
      </c>
      <c r="B8780" s="2" t="str">
        <f>HYPERLINK("http://ts.21cn.com/tousu/show/id/1339874","钱站霸王条款，高额利息")</f>
        <v>钱站霸王条款，高额利息</v>
      </c>
      <c r="C8780" s="2" t="s">
        <v>9</v>
      </c>
      <c r="D8780" s="2" t="s">
        <v>10</v>
      </c>
      <c r="E8780" s="2" t="str">
        <f>HYPERLINK("http://ts.21cn.com/tousu/show/id/1339874","http://ts.21cn.com/tousu/show/id/1339874")</f>
        <v>http://ts.21cn.com/tousu/show/id/1339874</v>
      </c>
      <c r="F8780" s="2" t="s">
        <v>11</v>
      </c>
      <c r="G8780" s="2" t="s">
        <v>26898</v>
      </c>
      <c r="H8780" s="2" t="s">
        <v>26899</v>
      </c>
    </row>
    <row r="8781" spans="1:8" ht="25.05" customHeight="1" x14ac:dyDescent="0.25">
      <c r="A8781" s="2" t="s">
        <v>8</v>
      </c>
      <c r="B8781" s="2" t="str">
        <f>HYPERLINK("http://ts.21cn.com/tousu/show/id/1339875","钱站高利贷")</f>
        <v>钱站高利贷</v>
      </c>
      <c r="C8781" s="2" t="s">
        <v>9</v>
      </c>
      <c r="D8781" s="2" t="s">
        <v>10</v>
      </c>
      <c r="E8781" s="2" t="str">
        <f>HYPERLINK("http://ts.21cn.com/tousu/show/id/1339875","http://ts.21cn.com/tousu/show/id/1339875")</f>
        <v>http://ts.21cn.com/tousu/show/id/1339875</v>
      </c>
      <c r="F8781" s="2" t="s">
        <v>11</v>
      </c>
      <c r="G8781" s="2" t="s">
        <v>26896</v>
      </c>
      <c r="H8781" s="2" t="s">
        <v>26897</v>
      </c>
    </row>
    <row r="8782" spans="1:8" ht="25.05" customHeight="1" x14ac:dyDescent="0.25">
      <c r="A8782" s="2" t="s">
        <v>8</v>
      </c>
      <c r="B8782" s="2" t="str">
        <f>HYPERLINK("http://ts.21cn.com/tousu/show/id/1339876","暴力催收")</f>
        <v>暴力催收</v>
      </c>
      <c r="C8782" s="2" t="s">
        <v>9</v>
      </c>
      <c r="D8782" s="2" t="s">
        <v>10</v>
      </c>
      <c r="E8782" s="2" t="str">
        <f>HYPERLINK("http://ts.21cn.com/tousu/show/id/1339876","http://ts.21cn.com/tousu/show/id/1339876")</f>
        <v>http://ts.21cn.com/tousu/show/id/1339876</v>
      </c>
      <c r="F8782" s="2" t="s">
        <v>11</v>
      </c>
      <c r="G8782" s="2" t="s">
        <v>26894</v>
      </c>
      <c r="H8782" s="2" t="s">
        <v>26895</v>
      </c>
    </row>
    <row r="8783" spans="1:8" ht="25.05" customHeight="1" x14ac:dyDescent="0.25">
      <c r="A8783" s="2" t="s">
        <v>8</v>
      </c>
      <c r="B8783" s="2" t="str">
        <f>HYPERLINK("http://ts.21cn.com/tousu/show/id/1339877","钱站恐吓威胁")</f>
        <v>钱站恐吓威胁</v>
      </c>
      <c r="C8783" s="2" t="s">
        <v>9</v>
      </c>
      <c r="D8783" s="2" t="s">
        <v>10</v>
      </c>
      <c r="E8783" s="2" t="str">
        <f>HYPERLINK("http://ts.21cn.com/tousu/show/id/1339877","http://ts.21cn.com/tousu/show/id/1339877")</f>
        <v>http://ts.21cn.com/tousu/show/id/1339877</v>
      </c>
      <c r="F8783" s="2" t="s">
        <v>11</v>
      </c>
      <c r="G8783" s="2" t="s">
        <v>26892</v>
      </c>
      <c r="H8783" s="2" t="s">
        <v>26893</v>
      </c>
    </row>
    <row r="8784" spans="1:8" ht="25.05" customHeight="1" x14ac:dyDescent="0.25">
      <c r="A8784" s="2" t="s">
        <v>8</v>
      </c>
      <c r="B8784" s="2" t="str">
        <f>HYPERLINK("http://ts.21cn.com/tousu/show/id/1339878","升学教育天天骚扰电话不断")</f>
        <v>升学教育天天骚扰电话不断</v>
      </c>
      <c r="C8784" s="2" t="s">
        <v>9</v>
      </c>
      <c r="D8784" s="2" t="s">
        <v>10</v>
      </c>
      <c r="E8784" s="2" t="str">
        <f>HYPERLINK("http://ts.21cn.com/tousu/show/id/1339878","http://ts.21cn.com/tousu/show/id/1339878")</f>
        <v>http://ts.21cn.com/tousu/show/id/1339878</v>
      </c>
      <c r="F8784" s="2" t="s">
        <v>11</v>
      </c>
      <c r="G8784" s="2" t="s">
        <v>26890</v>
      </c>
      <c r="H8784" s="2" t="s">
        <v>26891</v>
      </c>
    </row>
    <row r="8785" spans="1:8" ht="25.05" customHeight="1" x14ac:dyDescent="0.25">
      <c r="A8785" s="2" t="s">
        <v>8</v>
      </c>
      <c r="B8785" s="2" t="str">
        <f>HYPERLINK("http://ts.21cn.com/tousu/show/id/1339879","快贷高利贷")</f>
        <v>快贷高利贷</v>
      </c>
      <c r="C8785" s="2" t="s">
        <v>9</v>
      </c>
      <c r="D8785" s="2" t="s">
        <v>10</v>
      </c>
      <c r="E8785" s="2" t="str">
        <f>HYPERLINK("http://ts.21cn.com/tousu/show/id/1339879","http://ts.21cn.com/tousu/show/id/1339879")</f>
        <v>http://ts.21cn.com/tousu/show/id/1339879</v>
      </c>
      <c r="F8785" s="2" t="s">
        <v>11</v>
      </c>
      <c r="G8785" s="2" t="s">
        <v>26888</v>
      </c>
      <c r="H8785" s="2" t="s">
        <v>26889</v>
      </c>
    </row>
    <row r="8786" spans="1:8" ht="25.05" customHeight="1" x14ac:dyDescent="0.25">
      <c r="A8786" s="2" t="s">
        <v>8</v>
      </c>
      <c r="B8786" s="2" t="str">
        <f>HYPERLINK("http://ts.21cn.com/tousu/show/id/1339880","高铁管家重复收费不退还")</f>
        <v>高铁管家重复收费不退还</v>
      </c>
      <c r="C8786" s="2" t="s">
        <v>9</v>
      </c>
      <c r="D8786" s="2" t="s">
        <v>10</v>
      </c>
      <c r="E8786" s="2" t="str">
        <f>HYPERLINK("http://ts.21cn.com/tousu/show/id/1339880","http://ts.21cn.com/tousu/show/id/1339880")</f>
        <v>http://ts.21cn.com/tousu/show/id/1339880</v>
      </c>
      <c r="F8786" s="2" t="s">
        <v>11</v>
      </c>
      <c r="G8786" s="2" t="s">
        <v>26886</v>
      </c>
      <c r="H8786" s="2" t="s">
        <v>26887</v>
      </c>
    </row>
    <row r="8787" spans="1:8" ht="25.05" customHeight="1" x14ac:dyDescent="0.25">
      <c r="A8787" s="2" t="s">
        <v>8</v>
      </c>
      <c r="B8787" s="2" t="str">
        <f>HYPERLINK("http://ts.21cn.com/tousu/show/id/1339870","诈骗，恶心造成用户损失")</f>
        <v>诈骗，恶心造成用户损失</v>
      </c>
      <c r="C8787" s="2" t="s">
        <v>9</v>
      </c>
      <c r="D8787" s="2" t="s">
        <v>10</v>
      </c>
      <c r="E8787" s="2" t="str">
        <f>HYPERLINK("http://ts.21cn.com/tousu/show/id/1339870","http://ts.21cn.com/tousu/show/id/1339870")</f>
        <v>http://ts.21cn.com/tousu/show/id/1339870</v>
      </c>
      <c r="F8787" s="2" t="s">
        <v>11</v>
      </c>
      <c r="G8787" s="2" t="s">
        <v>26884</v>
      </c>
      <c r="H8787" s="2" t="s">
        <v>26885</v>
      </c>
    </row>
    <row r="8788" spans="1:8" ht="25.05" customHeight="1" x14ac:dyDescent="0.25">
      <c r="A8788" s="2" t="s">
        <v>8</v>
      </c>
      <c r="B8788" s="2" t="str">
        <f>HYPERLINK("http://ts.21cn.com/tousu/show/id/1339883","套路贷，高利贷")</f>
        <v>套路贷，高利贷</v>
      </c>
      <c r="C8788" s="2" t="s">
        <v>9</v>
      </c>
      <c r="D8788" s="2" t="s">
        <v>10</v>
      </c>
      <c r="E8788" s="2" t="str">
        <f>HYPERLINK("http://ts.21cn.com/tousu/show/id/1339883","http://ts.21cn.com/tousu/show/id/1339883")</f>
        <v>http://ts.21cn.com/tousu/show/id/1339883</v>
      </c>
      <c r="F8788" s="2" t="s">
        <v>11</v>
      </c>
      <c r="G8788" s="2" t="s">
        <v>26882</v>
      </c>
      <c r="H8788" s="2" t="s">
        <v>26883</v>
      </c>
    </row>
    <row r="8789" spans="1:8" ht="25.05" customHeight="1" x14ac:dyDescent="0.25">
      <c r="A8789" s="2" t="s">
        <v>8</v>
      </c>
      <c r="B8789" s="2" t="str">
        <f>HYPERLINK("http://ts.21cn.com/tousu/show/id/1339886","嘉联支付立刷刷卡不结账，冻结资金，需要提供个人信息才可能解冻")</f>
        <v>嘉联支付立刷刷卡不结账，冻结资金，需要提供个人信息才可能解冻</v>
      </c>
      <c r="C8789" s="2" t="s">
        <v>34</v>
      </c>
      <c r="D8789" s="2" t="s">
        <v>10</v>
      </c>
      <c r="E8789" s="2" t="str">
        <f>HYPERLINK("http://ts.21cn.com/tousu/show/id/1339886","http://ts.21cn.com/tousu/show/id/1339886")</f>
        <v>http://ts.21cn.com/tousu/show/id/1339886</v>
      </c>
      <c r="F8789" s="2" t="s">
        <v>11</v>
      </c>
      <c r="G8789" s="2" t="s">
        <v>26880</v>
      </c>
      <c r="H8789" s="2" t="s">
        <v>26881</v>
      </c>
    </row>
    <row r="8790" spans="1:8" ht="25.05" customHeight="1" x14ac:dyDescent="0.25">
      <c r="A8790" s="2" t="s">
        <v>8</v>
      </c>
      <c r="B8790" s="2" t="str">
        <f>HYPERLINK("http://ts.21cn.com/tousu/show/id/1339887","及贷，PPmoney不开具结清证明")</f>
        <v>及贷，PPmoney不开具结清证明</v>
      </c>
      <c r="C8790" s="2" t="s">
        <v>34</v>
      </c>
      <c r="D8790" s="2" t="s">
        <v>10</v>
      </c>
      <c r="E8790" s="2" t="str">
        <f>HYPERLINK("http://ts.21cn.com/tousu/show/id/1339887","http://ts.21cn.com/tousu/show/id/1339887")</f>
        <v>http://ts.21cn.com/tousu/show/id/1339887</v>
      </c>
      <c r="F8790" s="2" t="s">
        <v>11</v>
      </c>
      <c r="G8790" s="2" t="s">
        <v>26878</v>
      </c>
      <c r="H8790" s="2" t="s">
        <v>26879</v>
      </c>
    </row>
    <row r="8791" spans="1:8" ht="25.05" customHeight="1" x14ac:dyDescent="0.25">
      <c r="A8791" s="2" t="s">
        <v>8</v>
      </c>
      <c r="B8791" s="2" t="str">
        <f>HYPERLINK("http://ts.21cn.com/tousu/show/id/1339885","小赢卡贷高利贷暴力催收")</f>
        <v>小赢卡贷高利贷暴力催收</v>
      </c>
      <c r="C8791" s="2" t="s">
        <v>9</v>
      </c>
      <c r="D8791" s="2" t="s">
        <v>10</v>
      </c>
      <c r="E8791" s="2" t="str">
        <f>HYPERLINK("http://ts.21cn.com/tousu/show/id/1339885","http://ts.21cn.com/tousu/show/id/1339885")</f>
        <v>http://ts.21cn.com/tousu/show/id/1339885</v>
      </c>
      <c r="F8791" s="2" t="s">
        <v>11</v>
      </c>
      <c r="G8791" s="2" t="s">
        <v>26876</v>
      </c>
      <c r="H8791" s="2" t="s">
        <v>26877</v>
      </c>
    </row>
    <row r="8792" spans="1:8" ht="25.05" customHeight="1" x14ac:dyDescent="0.25">
      <c r="A8792" s="2" t="s">
        <v>8</v>
      </c>
      <c r="B8792" s="2" t="str">
        <f>HYPERLINK("http://ts.21cn.com/tousu/show/id/1339888","钱站暴力催收，乱发短信")</f>
        <v>钱站暴力催收，乱发短信</v>
      </c>
      <c r="C8792" s="2" t="s">
        <v>9</v>
      </c>
      <c r="D8792" s="2" t="s">
        <v>10</v>
      </c>
      <c r="E8792" s="2" t="str">
        <f>HYPERLINK("http://ts.21cn.com/tousu/show/id/1339888","http://ts.21cn.com/tousu/show/id/1339888")</f>
        <v>http://ts.21cn.com/tousu/show/id/1339888</v>
      </c>
      <c r="F8792" s="2" t="s">
        <v>11</v>
      </c>
      <c r="G8792" s="2" t="s">
        <v>26874</v>
      </c>
      <c r="H8792" s="2" t="s">
        <v>26875</v>
      </c>
    </row>
    <row r="8793" spans="1:8" ht="25.05" customHeight="1" x14ac:dyDescent="0.25">
      <c r="A8793" s="2" t="s">
        <v>8</v>
      </c>
      <c r="B8793" s="2" t="str">
        <f>HYPERLINK("http://ts.21cn.com/tousu/show/id/1339881","星辰航空贵宾卡虚假宣传")</f>
        <v>星辰航空贵宾卡虚假宣传</v>
      </c>
      <c r="C8793" s="2" t="s">
        <v>9</v>
      </c>
      <c r="D8793" s="2" t="s">
        <v>10</v>
      </c>
      <c r="E8793" s="2" t="str">
        <f>HYPERLINK("http://ts.21cn.com/tousu/show/id/1339881","http://ts.21cn.com/tousu/show/id/1339881")</f>
        <v>http://ts.21cn.com/tousu/show/id/1339881</v>
      </c>
      <c r="F8793" s="2" t="s">
        <v>11</v>
      </c>
      <c r="G8793" s="2" t="s">
        <v>26872</v>
      </c>
      <c r="H8793" s="2" t="s">
        <v>26873</v>
      </c>
    </row>
    <row r="8794" spans="1:8" ht="25.05" customHeight="1" x14ac:dyDescent="0.25">
      <c r="A8794" s="2" t="s">
        <v>8</v>
      </c>
      <c r="B8794" s="2" t="str">
        <f>HYPERLINK("http://ts.21cn.com/tousu/show/id/1339891","拍拍贷")</f>
        <v>拍拍贷</v>
      </c>
      <c r="C8794" s="2" t="s">
        <v>9</v>
      </c>
      <c r="D8794" s="2" t="s">
        <v>10</v>
      </c>
      <c r="E8794" s="2" t="str">
        <f>HYPERLINK("http://ts.21cn.com/tousu/show/id/1339891","http://ts.21cn.com/tousu/show/id/1339891")</f>
        <v>http://ts.21cn.com/tousu/show/id/1339891</v>
      </c>
      <c r="F8794" s="2" t="s">
        <v>11</v>
      </c>
      <c r="G8794" s="2" t="s">
        <v>26870</v>
      </c>
      <c r="H8794" s="2" t="s">
        <v>26871</v>
      </c>
    </row>
    <row r="8795" spans="1:8" ht="25.05" customHeight="1" x14ac:dyDescent="0.25">
      <c r="A8795" s="2" t="s">
        <v>8</v>
      </c>
      <c r="B8795" s="2" t="str">
        <f>HYPERLINK("http://ts.21cn.com/tousu/show/id/1339890","广发信用卡高利贷好高额违约金和利息")</f>
        <v>广发信用卡高利贷好高额违约金和利息</v>
      </c>
      <c r="C8795" s="2" t="s">
        <v>9</v>
      </c>
      <c r="D8795" s="2" t="s">
        <v>10</v>
      </c>
      <c r="E8795" s="2" t="str">
        <f>HYPERLINK("http://ts.21cn.com/tousu/show/id/1339890","http://ts.21cn.com/tousu/show/id/1339890")</f>
        <v>http://ts.21cn.com/tousu/show/id/1339890</v>
      </c>
      <c r="F8795" s="2" t="s">
        <v>11</v>
      </c>
      <c r="G8795" s="2" t="s">
        <v>26868</v>
      </c>
      <c r="H8795" s="2" t="s">
        <v>26869</v>
      </c>
    </row>
    <row r="8796" spans="1:8" ht="25.05" customHeight="1" x14ac:dyDescent="0.25">
      <c r="A8796" s="2" t="s">
        <v>8</v>
      </c>
      <c r="B8796" s="2" t="str">
        <f>HYPERLINK("http://ts.21cn.com/tousu/show/id/1339893","暴力催收，电话骚扰")</f>
        <v>暴力催收，电话骚扰</v>
      </c>
      <c r="C8796" s="2" t="s">
        <v>9</v>
      </c>
      <c r="D8796" s="2" t="s">
        <v>10</v>
      </c>
      <c r="E8796" s="2" t="str">
        <f>HYPERLINK("http://ts.21cn.com/tousu/show/id/1339893","http://ts.21cn.com/tousu/show/id/1339893")</f>
        <v>http://ts.21cn.com/tousu/show/id/1339893</v>
      </c>
      <c r="F8796" s="2" t="s">
        <v>11</v>
      </c>
      <c r="G8796" s="2" t="s">
        <v>26866</v>
      </c>
      <c r="H8796" s="2" t="s">
        <v>26867</v>
      </c>
    </row>
    <row r="8797" spans="1:8" ht="25.05" customHeight="1" x14ac:dyDescent="0.25">
      <c r="A8797" s="2" t="s">
        <v>8</v>
      </c>
      <c r="B8797" s="2" t="str">
        <f>HYPERLINK("http://ts.21cn.com/tousu/show/id/1339892","小度有钱强制收会员费，并必须要申请他推荐的网贷平台")</f>
        <v>小度有钱强制收会员费，并必须要申请他推荐的网贷平台</v>
      </c>
      <c r="C8797" s="2" t="s">
        <v>9</v>
      </c>
      <c r="D8797" s="2" t="s">
        <v>10</v>
      </c>
      <c r="E8797" s="2" t="str">
        <f>HYPERLINK("http://ts.21cn.com/tousu/show/id/1339892","http://ts.21cn.com/tousu/show/id/1339892")</f>
        <v>http://ts.21cn.com/tousu/show/id/1339892</v>
      </c>
      <c r="F8797" s="2" t="s">
        <v>11</v>
      </c>
      <c r="G8797" s="2" t="s">
        <v>26864</v>
      </c>
      <c r="H8797" s="2" t="s">
        <v>26865</v>
      </c>
    </row>
    <row r="8798" spans="1:8" ht="25.05" customHeight="1" x14ac:dyDescent="0.25">
      <c r="A8798" s="2" t="s">
        <v>8</v>
      </c>
      <c r="B8798" s="2" t="str">
        <f>HYPERLINK("http://ts.21cn.com/tousu/show/id/1339894","招联金融暴力恐吓催收")</f>
        <v>招联金融暴力恐吓催收</v>
      </c>
      <c r="C8798" s="2" t="s">
        <v>9</v>
      </c>
      <c r="D8798" s="2" t="s">
        <v>10</v>
      </c>
      <c r="E8798" s="2" t="str">
        <f>HYPERLINK("http://ts.21cn.com/tousu/show/id/1339894","http://ts.21cn.com/tousu/show/id/1339894")</f>
        <v>http://ts.21cn.com/tousu/show/id/1339894</v>
      </c>
      <c r="F8798" s="2" t="s">
        <v>11</v>
      </c>
      <c r="G8798" s="2" t="s">
        <v>26862</v>
      </c>
      <c r="H8798" s="2" t="s">
        <v>26863</v>
      </c>
    </row>
    <row r="8799" spans="1:8" ht="25.05" customHeight="1" x14ac:dyDescent="0.25">
      <c r="A8799" s="2" t="s">
        <v>8</v>
      </c>
      <c r="B8799" s="2" t="str">
        <f>HYPERLINK("http://ts.21cn.com/tousu/show/id/1339895","豆豆钱爆通讯录")</f>
        <v>豆豆钱爆通讯录</v>
      </c>
      <c r="C8799" s="2" t="s">
        <v>9</v>
      </c>
      <c r="D8799" s="2" t="s">
        <v>10</v>
      </c>
      <c r="E8799" s="2" t="str">
        <f>HYPERLINK("http://ts.21cn.com/tousu/show/id/1339895","http://ts.21cn.com/tousu/show/id/1339895")</f>
        <v>http://ts.21cn.com/tousu/show/id/1339895</v>
      </c>
      <c r="F8799" s="2" t="s">
        <v>11</v>
      </c>
      <c r="G8799" s="2" t="s">
        <v>26860</v>
      </c>
      <c r="H8799" s="2" t="s">
        <v>26861</v>
      </c>
    </row>
    <row r="8800" spans="1:8" ht="25.05" customHeight="1" x14ac:dyDescent="0.25">
      <c r="A8800" s="2" t="s">
        <v>8</v>
      </c>
      <c r="B8800" s="2" t="str">
        <f>HYPERLINK("http://ts.21cn.com/tousu/show/id/1339896","我来贷暴力催收请有关部门帮忙")</f>
        <v>我来贷暴力催收请有关部门帮忙</v>
      </c>
      <c r="C8800" s="2" t="s">
        <v>9</v>
      </c>
      <c r="D8800" s="2" t="s">
        <v>10</v>
      </c>
      <c r="E8800" s="2" t="str">
        <f>HYPERLINK("http://ts.21cn.com/tousu/show/id/1339896","http://ts.21cn.com/tousu/show/id/1339896")</f>
        <v>http://ts.21cn.com/tousu/show/id/1339896</v>
      </c>
      <c r="F8800" s="2" t="s">
        <v>11</v>
      </c>
      <c r="G8800" s="2" t="s">
        <v>26858</v>
      </c>
      <c r="H8800" s="2" t="s">
        <v>26859</v>
      </c>
    </row>
    <row r="8801" spans="1:8" ht="25.05" customHeight="1" x14ac:dyDescent="0.25">
      <c r="A8801" s="2" t="s">
        <v>8</v>
      </c>
      <c r="B8801" s="2" t="str">
        <f>HYPERLINK("http://ts.21cn.com/tousu/show/id/1339897","平安普惠在还款日当天骚扰及恐吓催收")</f>
        <v>平安普惠在还款日当天骚扰及恐吓催收</v>
      </c>
      <c r="C8801" s="2" t="s">
        <v>9</v>
      </c>
      <c r="D8801" s="2" t="s">
        <v>10</v>
      </c>
      <c r="E8801" s="2" t="str">
        <f>HYPERLINK("http://ts.21cn.com/tousu/show/id/1339897","http://ts.21cn.com/tousu/show/id/1339897")</f>
        <v>http://ts.21cn.com/tousu/show/id/1339897</v>
      </c>
      <c r="F8801" s="2" t="s">
        <v>11</v>
      </c>
      <c r="G8801" s="2" t="s">
        <v>26856</v>
      </c>
      <c r="H8801" s="2" t="s">
        <v>26857</v>
      </c>
    </row>
    <row r="8802" spans="1:8" ht="25.05" customHeight="1" x14ac:dyDescent="0.25">
      <c r="A8802" s="2" t="s">
        <v>8</v>
      </c>
      <c r="B8802" s="2" t="str">
        <f>HYPERLINK("http://ts.21cn.com/tousu/show/id/1339898","神马借高利贷。砍头息")</f>
        <v>神马借高利贷。砍头息</v>
      </c>
      <c r="C8802" s="2" t="s">
        <v>9</v>
      </c>
      <c r="D8802" s="2" t="s">
        <v>10</v>
      </c>
      <c r="E8802" s="2" t="str">
        <f>HYPERLINK("http://ts.21cn.com/tousu/show/id/1339898","http://ts.21cn.com/tousu/show/id/1339898")</f>
        <v>http://ts.21cn.com/tousu/show/id/1339898</v>
      </c>
      <c r="F8802" s="2" t="s">
        <v>11</v>
      </c>
      <c r="G8802" s="2" t="s">
        <v>26854</v>
      </c>
      <c r="H8802" s="2" t="s">
        <v>26855</v>
      </c>
    </row>
    <row r="8803" spans="1:8" ht="25.05" customHeight="1" x14ac:dyDescent="0.25">
      <c r="A8803" s="2" t="s">
        <v>8</v>
      </c>
      <c r="B8803" s="2" t="str">
        <f>HYPERLINK("http://ts.21cn.com/tousu/show/id/1339899","你我贷高利息暴力催收威胁恐吓")</f>
        <v>你我贷高利息暴力催收威胁恐吓</v>
      </c>
      <c r="C8803" s="2" t="s">
        <v>9</v>
      </c>
      <c r="D8803" s="2" t="s">
        <v>10</v>
      </c>
      <c r="E8803" s="2" t="str">
        <f>HYPERLINK("http://ts.21cn.com/tousu/show/id/1339899","http://ts.21cn.com/tousu/show/id/1339899")</f>
        <v>http://ts.21cn.com/tousu/show/id/1339899</v>
      </c>
      <c r="F8803" s="2" t="s">
        <v>11</v>
      </c>
      <c r="G8803" s="2" t="s">
        <v>26852</v>
      </c>
      <c r="H8803" s="2" t="s">
        <v>26853</v>
      </c>
    </row>
    <row r="8804" spans="1:8" ht="25.05" customHeight="1" x14ac:dyDescent="0.25">
      <c r="A8804" s="2" t="s">
        <v>8</v>
      </c>
      <c r="B8804" s="2" t="str">
        <f>HYPERLINK("http://ts.21cn.com/tousu/show/id/1339900","玖富万卡已保险的名义收取砍头息，结清后承诺退还保费拖延时间")</f>
        <v>玖富万卡已保险的名义收取砍头息，结清后承诺退还保费拖延时间</v>
      </c>
      <c r="C8804" s="2" t="s">
        <v>9</v>
      </c>
      <c r="D8804" s="2" t="s">
        <v>10</v>
      </c>
      <c r="E8804" s="2" t="str">
        <f>HYPERLINK("http://ts.21cn.com/tousu/show/id/1339900","http://ts.21cn.com/tousu/show/id/1339900")</f>
        <v>http://ts.21cn.com/tousu/show/id/1339900</v>
      </c>
      <c r="F8804" s="2" t="s">
        <v>11</v>
      </c>
      <c r="G8804" s="2" t="s">
        <v>26850</v>
      </c>
      <c r="H8804" s="2" t="s">
        <v>26851</v>
      </c>
    </row>
    <row r="8805" spans="1:8" ht="25.05" customHeight="1" x14ac:dyDescent="0.25">
      <c r="A8805" s="2" t="s">
        <v>8</v>
      </c>
      <c r="B8805" s="2" t="str">
        <f>HYPERLINK("http://ts.21cn.com/tousu/show/id/1339901","来分期平台借款后拒不提供合同，无法查看合同内容")</f>
        <v>来分期平台借款后拒不提供合同，无法查看合同内容</v>
      </c>
      <c r="C8805" s="2" t="s">
        <v>9</v>
      </c>
      <c r="D8805" s="2" t="s">
        <v>10</v>
      </c>
      <c r="E8805" s="2" t="str">
        <f>HYPERLINK("http://ts.21cn.com/tousu/show/id/1339901","http://ts.21cn.com/tousu/show/id/1339901")</f>
        <v>http://ts.21cn.com/tousu/show/id/1339901</v>
      </c>
      <c r="F8805" s="2" t="s">
        <v>11</v>
      </c>
      <c r="G8805" s="2" t="s">
        <v>26848</v>
      </c>
      <c r="H8805" s="2" t="s">
        <v>26849</v>
      </c>
    </row>
    <row r="8806" spans="1:8" ht="25.05" customHeight="1" x14ac:dyDescent="0.25">
      <c r="A8806" s="2" t="s">
        <v>8</v>
      </c>
      <c r="B8806" s="2" t="str">
        <f>HYPERLINK("http://ts.21cn.com/tousu/show/id/1339904","嗨钱暴力催收")</f>
        <v>嗨钱暴力催收</v>
      </c>
      <c r="C8806" s="2" t="s">
        <v>9</v>
      </c>
      <c r="D8806" s="2" t="s">
        <v>10</v>
      </c>
      <c r="E8806" s="2" t="str">
        <f>HYPERLINK("http://ts.21cn.com/tousu/show/id/1339904","http://ts.21cn.com/tousu/show/id/1339904")</f>
        <v>http://ts.21cn.com/tousu/show/id/1339904</v>
      </c>
      <c r="F8806" s="2" t="s">
        <v>11</v>
      </c>
      <c r="G8806" s="2" t="s">
        <v>26844</v>
      </c>
      <c r="H8806" s="2" t="s">
        <v>26845</v>
      </c>
    </row>
    <row r="8807" spans="1:8" ht="25.05" customHeight="1" x14ac:dyDescent="0.25">
      <c r="A8807" s="2" t="s">
        <v>8</v>
      </c>
      <c r="B8807" s="2" t="str">
        <f>HYPERLINK("http://ts.21cn.com/tousu/show/id/1339903","中原消费金融年化利率34%高利贷")</f>
        <v>中原消费金融年化利率34%高利贷</v>
      </c>
      <c r="C8807" s="2" t="s">
        <v>9</v>
      </c>
      <c r="D8807" s="2" t="s">
        <v>10</v>
      </c>
      <c r="E8807" s="2" t="str">
        <f>HYPERLINK("http://ts.21cn.com/tousu/show/id/1339903","http://ts.21cn.com/tousu/show/id/1339903")</f>
        <v>http://ts.21cn.com/tousu/show/id/1339903</v>
      </c>
      <c r="F8807" s="2" t="s">
        <v>11</v>
      </c>
      <c r="G8807" s="2" t="s">
        <v>26844</v>
      </c>
      <c r="H8807" s="2" t="s">
        <v>26846</v>
      </c>
    </row>
    <row r="8808" spans="1:8" ht="25.05" customHeight="1" x14ac:dyDescent="0.25">
      <c r="A8808" s="2" t="s">
        <v>8</v>
      </c>
      <c r="B8808" s="2" t="str">
        <f>HYPERLINK("http://ts.21cn.com/tousu/show/id/1339905","新橙优品砍头利息，暴力催收")</f>
        <v>新橙优品砍头利息，暴力催收</v>
      </c>
      <c r="C8808" s="2" t="s">
        <v>9</v>
      </c>
      <c r="D8808" s="2" t="s">
        <v>10</v>
      </c>
      <c r="E8808" s="2" t="str">
        <f>HYPERLINK("http://ts.21cn.com/tousu/show/id/1339905","http://ts.21cn.com/tousu/show/id/1339905")</f>
        <v>http://ts.21cn.com/tousu/show/id/1339905</v>
      </c>
      <c r="F8808" s="2" t="s">
        <v>11</v>
      </c>
      <c r="G8808" s="2" t="s">
        <v>26844</v>
      </c>
      <c r="H8808" s="2" t="s">
        <v>26847</v>
      </c>
    </row>
    <row r="8809" spans="1:8" ht="25.05" customHeight="1" x14ac:dyDescent="0.25">
      <c r="A8809" s="2" t="s">
        <v>8</v>
      </c>
      <c r="B8809" s="2" t="str">
        <f>HYPERLINK("http://ts.21cn.com/tousu/show/id/1339907","暴力催收威胁恐吓")</f>
        <v>暴力催收威胁恐吓</v>
      </c>
      <c r="C8809" s="2" t="s">
        <v>9</v>
      </c>
      <c r="D8809" s="2" t="s">
        <v>10</v>
      </c>
      <c r="E8809" s="2" t="str">
        <f>HYPERLINK("http://ts.21cn.com/tousu/show/id/1339907","http://ts.21cn.com/tousu/show/id/1339907")</f>
        <v>http://ts.21cn.com/tousu/show/id/1339907</v>
      </c>
      <c r="F8809" s="2" t="s">
        <v>11</v>
      </c>
      <c r="G8809" s="2" t="s">
        <v>26842</v>
      </c>
      <c r="H8809" s="2" t="s">
        <v>26843</v>
      </c>
    </row>
    <row r="8810" spans="1:8" ht="25.05" customHeight="1" x14ac:dyDescent="0.25">
      <c r="A8810" s="2" t="s">
        <v>8</v>
      </c>
      <c r="B8810" s="2" t="str">
        <f>HYPERLINK("http://ts.21cn.com/tousu/show/id/1339911","高利贷暴力催收")</f>
        <v>高利贷暴力催收</v>
      </c>
      <c r="C8810" s="2" t="s">
        <v>9</v>
      </c>
      <c r="D8810" s="2" t="s">
        <v>10</v>
      </c>
      <c r="E8810" s="2" t="str">
        <f>HYPERLINK("http://ts.21cn.com/tousu/show/id/1339911","http://ts.21cn.com/tousu/show/id/1339911")</f>
        <v>http://ts.21cn.com/tousu/show/id/1339911</v>
      </c>
      <c r="F8810" s="2" t="s">
        <v>11</v>
      </c>
      <c r="G8810" s="2" t="s">
        <v>26840</v>
      </c>
      <c r="H8810" s="2" t="s">
        <v>26841</v>
      </c>
    </row>
    <row r="8811" spans="1:8" ht="25.05" customHeight="1" x14ac:dyDescent="0.25">
      <c r="A8811" s="2" t="s">
        <v>8</v>
      </c>
      <c r="B8811" s="2" t="str">
        <f>HYPERLINK("http://ts.21cn.com/tousu/show/id/1339909","贷上钱以购买小秘书为理由，收取高额砍头息并私自拨打本人通讯录")</f>
        <v>贷上钱以购买小秘书为理由，收取高额砍头息并私自拨打本人通讯录</v>
      </c>
      <c r="C8811" s="2" t="s">
        <v>9</v>
      </c>
      <c r="D8811" s="2" t="s">
        <v>10</v>
      </c>
      <c r="E8811" s="2" t="str">
        <f>HYPERLINK("http://ts.21cn.com/tousu/show/id/1339909","http://ts.21cn.com/tousu/show/id/1339909")</f>
        <v>http://ts.21cn.com/tousu/show/id/1339909</v>
      </c>
      <c r="F8811" s="2" t="s">
        <v>11</v>
      </c>
      <c r="G8811" s="2" t="s">
        <v>26838</v>
      </c>
      <c r="H8811" s="2" t="s">
        <v>26839</v>
      </c>
    </row>
    <row r="8812" spans="1:8" ht="25.05" customHeight="1" x14ac:dyDescent="0.25">
      <c r="A8812" s="2" t="s">
        <v>8</v>
      </c>
      <c r="B8812" s="2" t="str">
        <f>HYPERLINK("http://ts.21cn.com/tousu/show/id/1339913","手机借钱协同多宝分期，飞鸟分期借款严重高利息借款")</f>
        <v>手机借钱协同多宝分期，飞鸟分期借款严重高利息借款</v>
      </c>
      <c r="C8812" s="2" t="s">
        <v>9</v>
      </c>
      <c r="D8812" s="2" t="s">
        <v>10</v>
      </c>
      <c r="E8812" s="2" t="str">
        <f>HYPERLINK("http://ts.21cn.com/tousu/show/id/1339913","http://ts.21cn.com/tousu/show/id/1339913")</f>
        <v>http://ts.21cn.com/tousu/show/id/1339913</v>
      </c>
      <c r="F8812" s="2" t="s">
        <v>11</v>
      </c>
      <c r="G8812" s="2" t="s">
        <v>26836</v>
      </c>
      <c r="H8812" s="2" t="s">
        <v>26837</v>
      </c>
    </row>
    <row r="8813" spans="1:8" ht="25.05" customHeight="1" x14ac:dyDescent="0.25">
      <c r="A8813" s="2" t="s">
        <v>8</v>
      </c>
      <c r="B8813" s="2" t="str">
        <f>HYPERLINK("http://ts.21cn.com/tousu/show/id/1339910","肥猫贷还没逾期就打电话来骂人是高利贷")</f>
        <v>肥猫贷还没逾期就打电话来骂人是高利贷</v>
      </c>
      <c r="C8813" s="2" t="s">
        <v>9</v>
      </c>
      <c r="D8813" s="2" t="s">
        <v>10</v>
      </c>
      <c r="E8813" s="2" t="str">
        <f>HYPERLINK("http://ts.21cn.com/tousu/show/id/1339910","http://ts.21cn.com/tousu/show/id/1339910")</f>
        <v>http://ts.21cn.com/tousu/show/id/1339910</v>
      </c>
      <c r="F8813" s="2" t="s">
        <v>11</v>
      </c>
      <c r="G8813" s="2" t="s">
        <v>26834</v>
      </c>
      <c r="H8813" s="2" t="s">
        <v>26835</v>
      </c>
    </row>
    <row r="8814" spans="1:8" ht="25.05" customHeight="1" x14ac:dyDescent="0.25">
      <c r="A8814" s="2" t="s">
        <v>8</v>
      </c>
      <c r="B8814" s="2" t="str">
        <f>HYPERLINK("http://ts.21cn.com/tousu/show/id/1339912","利息已经超出本金")</f>
        <v>利息已经超出本金</v>
      </c>
      <c r="C8814" s="2" t="s">
        <v>9</v>
      </c>
      <c r="D8814" s="2" t="s">
        <v>10</v>
      </c>
      <c r="E8814" s="2" t="str">
        <f>HYPERLINK("http://ts.21cn.com/tousu/show/id/1339912","http://ts.21cn.com/tousu/show/id/1339912")</f>
        <v>http://ts.21cn.com/tousu/show/id/1339912</v>
      </c>
      <c r="F8814" s="2" t="s">
        <v>11</v>
      </c>
      <c r="G8814" s="2" t="s">
        <v>26832</v>
      </c>
      <c r="H8814" s="2" t="s">
        <v>26833</v>
      </c>
    </row>
    <row r="8815" spans="1:8" ht="25.05" customHeight="1" x14ac:dyDescent="0.25">
      <c r="A8815" s="2" t="s">
        <v>8</v>
      </c>
      <c r="B8815" s="2" t="str">
        <f>HYPERLINK("http://ts.21cn.com/tousu/show/id/1339915","卡牛瑞贷收不合理超高额滞纳金")</f>
        <v>卡牛瑞贷收不合理超高额滞纳金</v>
      </c>
      <c r="C8815" s="2" t="s">
        <v>9</v>
      </c>
      <c r="D8815" s="2" t="s">
        <v>10</v>
      </c>
      <c r="E8815" s="2" t="str">
        <f>HYPERLINK("http://ts.21cn.com/tousu/show/id/1339915","http://ts.21cn.com/tousu/show/id/1339915")</f>
        <v>http://ts.21cn.com/tousu/show/id/1339915</v>
      </c>
      <c r="F8815" s="2" t="s">
        <v>11</v>
      </c>
      <c r="G8815" s="2" t="s">
        <v>26830</v>
      </c>
      <c r="H8815" s="2" t="s">
        <v>26831</v>
      </c>
    </row>
    <row r="8816" spans="1:8" ht="25.05" customHeight="1" x14ac:dyDescent="0.25">
      <c r="A8816" s="2" t="s">
        <v>8</v>
      </c>
      <c r="B8816" s="2" t="str">
        <f>HYPERLINK("http://ts.21cn.com/tousu/show/id/1339916","360借条电话恐吓")</f>
        <v>360借条电话恐吓</v>
      </c>
      <c r="C8816" s="2" t="s">
        <v>9</v>
      </c>
      <c r="D8816" s="2" t="s">
        <v>10</v>
      </c>
      <c r="E8816" s="2" t="str">
        <f>HYPERLINK("http://ts.21cn.com/tousu/show/id/1339916","http://ts.21cn.com/tousu/show/id/1339916")</f>
        <v>http://ts.21cn.com/tousu/show/id/1339916</v>
      </c>
      <c r="F8816" s="2" t="s">
        <v>11</v>
      </c>
      <c r="G8816" s="2" t="s">
        <v>26828</v>
      </c>
      <c r="H8816" s="2" t="s">
        <v>26829</v>
      </c>
    </row>
    <row r="8817" spans="1:8" ht="25.05" customHeight="1" x14ac:dyDescent="0.25">
      <c r="A8817" s="2" t="s">
        <v>8</v>
      </c>
      <c r="B8817" s="2" t="str">
        <f>HYPERLINK("http://ts.21cn.com/tousu/show/id/1339882","遭遇高炮平台，需要协商")</f>
        <v>遭遇高炮平台，需要协商</v>
      </c>
      <c r="C8817" s="2" t="s">
        <v>9</v>
      </c>
      <c r="D8817" s="2" t="s">
        <v>10</v>
      </c>
      <c r="E8817" s="2" t="str">
        <f>HYPERLINK("http://ts.21cn.com/tousu/show/id/1339882","http://ts.21cn.com/tousu/show/id/1339882")</f>
        <v>http://ts.21cn.com/tousu/show/id/1339882</v>
      </c>
      <c r="F8817" s="2" t="s">
        <v>11</v>
      </c>
      <c r="G8817" s="2" t="s">
        <v>26826</v>
      </c>
      <c r="H8817" s="2" t="s">
        <v>26827</v>
      </c>
    </row>
    <row r="8818" spans="1:8" ht="25.05" customHeight="1" x14ac:dyDescent="0.25">
      <c r="A8818" s="2" t="s">
        <v>8</v>
      </c>
      <c r="B8818" s="2" t="str">
        <f>HYPERLINK("http://ts.21cn.com/tousu/show/id/1339918","请高利贷豆豆钱抓紧退还所谓的逾期费")</f>
        <v>请高利贷豆豆钱抓紧退还所谓的逾期费</v>
      </c>
      <c r="C8818" s="2" t="s">
        <v>9</v>
      </c>
      <c r="D8818" s="2" t="s">
        <v>10</v>
      </c>
      <c r="E8818" s="2" t="str">
        <f>HYPERLINK("http://ts.21cn.com/tousu/show/id/1339918","http://ts.21cn.com/tousu/show/id/1339918")</f>
        <v>http://ts.21cn.com/tousu/show/id/1339918</v>
      </c>
      <c r="F8818" s="2" t="s">
        <v>11</v>
      </c>
      <c r="G8818" s="2" t="s">
        <v>26824</v>
      </c>
      <c r="H8818" s="2" t="s">
        <v>26825</v>
      </c>
    </row>
    <row r="8819" spans="1:8" ht="25.05" customHeight="1" x14ac:dyDescent="0.25">
      <c r="A8819" s="2" t="s">
        <v>8</v>
      </c>
      <c r="B8819" s="2" t="str">
        <f>HYPERLINK("http://ts.21cn.com/tousu/show/id/1339920","及贷强制放款时捆绑保险费")</f>
        <v>及贷强制放款时捆绑保险费</v>
      </c>
      <c r="C8819" s="2" t="s">
        <v>9</v>
      </c>
      <c r="D8819" s="2" t="s">
        <v>10</v>
      </c>
      <c r="E8819" s="2" t="str">
        <f>HYPERLINK("http://ts.21cn.com/tousu/show/id/1339920","http://ts.21cn.com/tousu/show/id/1339920")</f>
        <v>http://ts.21cn.com/tousu/show/id/1339920</v>
      </c>
      <c r="F8819" s="2" t="s">
        <v>11</v>
      </c>
      <c r="G8819" s="2" t="s">
        <v>26822</v>
      </c>
      <c r="H8819" s="2" t="s">
        <v>26823</v>
      </c>
    </row>
    <row r="8820" spans="1:8" ht="25.05" customHeight="1" x14ac:dyDescent="0.25">
      <c r="A8820" s="2" t="s">
        <v>8</v>
      </c>
      <c r="B8820" s="2" t="str">
        <f>HYPERLINK("http://ts.21cn.com/tousu/show/id/1339921","及贷暴力催收要对对公还款")</f>
        <v>及贷暴力催收要对对公还款</v>
      </c>
      <c r="C8820" s="2" t="s">
        <v>9</v>
      </c>
      <c r="D8820" s="2" t="s">
        <v>10</v>
      </c>
      <c r="E8820" s="2" t="str">
        <f>HYPERLINK("http://ts.21cn.com/tousu/show/id/1339921","http://ts.21cn.com/tousu/show/id/1339921")</f>
        <v>http://ts.21cn.com/tousu/show/id/1339921</v>
      </c>
      <c r="F8820" s="2" t="s">
        <v>11</v>
      </c>
      <c r="G8820" s="2" t="s">
        <v>26820</v>
      </c>
      <c r="H8820" s="2" t="s">
        <v>26821</v>
      </c>
    </row>
    <row r="8821" spans="1:8" ht="25.05" customHeight="1" x14ac:dyDescent="0.25">
      <c r="A8821" s="2" t="s">
        <v>8</v>
      </c>
      <c r="B8821" s="2" t="str">
        <f>HYPERLINK("http://ts.21cn.com/tousu/show/id/1339923","被乱扣了100")</f>
        <v>被乱扣了100</v>
      </c>
      <c r="C8821" s="2" t="s">
        <v>9</v>
      </c>
      <c r="D8821" s="2" t="s">
        <v>10</v>
      </c>
      <c r="E8821" s="2" t="str">
        <f>HYPERLINK("http://ts.21cn.com/tousu/show/id/1339923","http://ts.21cn.com/tousu/show/id/1339923")</f>
        <v>http://ts.21cn.com/tousu/show/id/1339923</v>
      </c>
      <c r="F8821" s="2" t="s">
        <v>11</v>
      </c>
      <c r="G8821" s="2" t="s">
        <v>26817</v>
      </c>
      <c r="H8821" s="2" t="s">
        <v>26818</v>
      </c>
    </row>
    <row r="8822" spans="1:8" ht="25.05" customHeight="1" x14ac:dyDescent="0.25">
      <c r="A8822" s="2" t="s">
        <v>8</v>
      </c>
      <c r="B8822" s="2" t="str">
        <f>HYPERLINK("http://ts.21cn.com/tousu/show/id/1339922","佛山百合网（百花广场VIP实体店）虚假信息服务引导消费")</f>
        <v>佛山百合网（百花广场VIP实体店）虚假信息服务引导消费</v>
      </c>
      <c r="C8822" s="2" t="s">
        <v>9</v>
      </c>
      <c r="D8822" s="2" t="s">
        <v>10</v>
      </c>
      <c r="E8822" s="2" t="str">
        <f>HYPERLINK("http://ts.21cn.com/tousu/show/id/1339922","http://ts.21cn.com/tousu/show/id/1339922")</f>
        <v>http://ts.21cn.com/tousu/show/id/1339922</v>
      </c>
      <c r="F8822" s="2" t="s">
        <v>11</v>
      </c>
      <c r="G8822" s="2" t="s">
        <v>26817</v>
      </c>
      <c r="H8822" s="2" t="s">
        <v>26819</v>
      </c>
    </row>
    <row r="8823" spans="1:8" ht="25.05" customHeight="1" x14ac:dyDescent="0.25">
      <c r="A8823" s="2" t="s">
        <v>8</v>
      </c>
      <c r="B8823" s="2" t="str">
        <f>HYPERLINK("http://ts.21cn.com/tousu/show/id/1339924","暴力催收电话轰炸曝光通讯录")</f>
        <v>暴力催收电话轰炸曝光通讯录</v>
      </c>
      <c r="C8823" s="2" t="s">
        <v>9</v>
      </c>
      <c r="D8823" s="2" t="s">
        <v>10</v>
      </c>
      <c r="E8823" s="2" t="str">
        <f>HYPERLINK("http://ts.21cn.com/tousu/show/id/1339924","http://ts.21cn.com/tousu/show/id/1339924")</f>
        <v>http://ts.21cn.com/tousu/show/id/1339924</v>
      </c>
      <c r="F8823" s="2" t="s">
        <v>11</v>
      </c>
      <c r="G8823" s="2" t="s">
        <v>26815</v>
      </c>
      <c r="H8823" s="2" t="s">
        <v>26816</v>
      </c>
    </row>
    <row r="8824" spans="1:8" ht="25.05" customHeight="1" x14ac:dyDescent="0.25">
      <c r="A8824" s="2" t="s">
        <v>8</v>
      </c>
      <c r="B8824" s="2" t="str">
        <f>HYPERLINK("http://ts.21cn.com/tousu/show/id/1339925","微粒贷暴力催收")</f>
        <v>微粒贷暴力催收</v>
      </c>
      <c r="C8824" s="2" t="s">
        <v>9</v>
      </c>
      <c r="D8824" s="2" t="s">
        <v>10</v>
      </c>
      <c r="E8824" s="2" t="str">
        <f>HYPERLINK("http://ts.21cn.com/tousu/show/id/1339925","http://ts.21cn.com/tousu/show/id/1339925")</f>
        <v>http://ts.21cn.com/tousu/show/id/1339925</v>
      </c>
      <c r="F8824" s="2" t="s">
        <v>11</v>
      </c>
      <c r="G8824" s="2" t="s">
        <v>26813</v>
      </c>
      <c r="H8824" s="2" t="s">
        <v>26814</v>
      </c>
    </row>
    <row r="8825" spans="1:8" ht="25.05" customHeight="1" x14ac:dyDescent="0.25">
      <c r="A8825" s="2" t="s">
        <v>8</v>
      </c>
      <c r="B8825" s="2" t="str">
        <f>HYPERLINK("http://ts.21cn.com/tousu/show/id/1339929","没跟本人同意收取违约金")</f>
        <v>没跟本人同意收取违约金</v>
      </c>
      <c r="C8825" s="2" t="s">
        <v>9</v>
      </c>
      <c r="D8825" s="2" t="s">
        <v>10</v>
      </c>
      <c r="E8825" s="2" t="str">
        <f>HYPERLINK("http://ts.21cn.com/tousu/show/id/1339929","http://ts.21cn.com/tousu/show/id/1339929")</f>
        <v>http://ts.21cn.com/tousu/show/id/1339929</v>
      </c>
      <c r="F8825" s="2" t="s">
        <v>11</v>
      </c>
      <c r="G8825" s="2" t="s">
        <v>26811</v>
      </c>
      <c r="H8825" s="2" t="s">
        <v>26812</v>
      </c>
    </row>
    <row r="8826" spans="1:8" ht="25.05" customHeight="1" x14ac:dyDescent="0.25">
      <c r="A8826" s="2" t="s">
        <v>8</v>
      </c>
      <c r="B8826" s="2" t="str">
        <f>HYPERLINK("http://ts.21cn.com/tousu/show/id/1339930","微信手机充值不到帐")</f>
        <v>微信手机充值不到帐</v>
      </c>
      <c r="C8826" s="2" t="s">
        <v>9</v>
      </c>
      <c r="D8826" s="2" t="s">
        <v>10</v>
      </c>
      <c r="E8826" s="2" t="str">
        <f>HYPERLINK("http://ts.21cn.com/tousu/show/id/1339930","http://ts.21cn.com/tousu/show/id/1339930")</f>
        <v>http://ts.21cn.com/tousu/show/id/1339930</v>
      </c>
      <c r="F8826" s="2" t="s">
        <v>11</v>
      </c>
      <c r="G8826" s="2" t="s">
        <v>26809</v>
      </c>
      <c r="H8826" s="2" t="s">
        <v>26810</v>
      </c>
    </row>
    <row r="8827" spans="1:8" ht="25.05" customHeight="1" x14ac:dyDescent="0.25">
      <c r="A8827" s="2" t="s">
        <v>8</v>
      </c>
      <c r="B8827" s="2" t="str">
        <f>HYPERLINK("http://ts.21cn.com/tousu/show/id/1339908","百事普惠恶意扣款")</f>
        <v>百事普惠恶意扣款</v>
      </c>
      <c r="C8827" s="2" t="s">
        <v>9</v>
      </c>
      <c r="D8827" s="2" t="s">
        <v>10</v>
      </c>
      <c r="E8827" s="2" t="str">
        <f>HYPERLINK("http://ts.21cn.com/tousu/show/id/1339908","http://ts.21cn.com/tousu/show/id/1339908")</f>
        <v>http://ts.21cn.com/tousu/show/id/1339908</v>
      </c>
      <c r="F8827" s="2" t="s">
        <v>11</v>
      </c>
      <c r="G8827" s="2" t="s">
        <v>26807</v>
      </c>
      <c r="H8827" s="2" t="s">
        <v>26808</v>
      </c>
    </row>
    <row r="8828" spans="1:8" ht="25.05" customHeight="1" x14ac:dyDescent="0.25">
      <c r="A8828" s="2" t="s">
        <v>8</v>
      </c>
      <c r="B8828" s="2" t="str">
        <f>HYPERLINK("http://ts.21cn.com/tousu/show/id/1339932","滴滴司机开车太慢导致我迟到车票做废")</f>
        <v>滴滴司机开车太慢导致我迟到车票做废</v>
      </c>
      <c r="C8828" s="2" t="s">
        <v>9</v>
      </c>
      <c r="D8828" s="2" t="s">
        <v>10</v>
      </c>
      <c r="E8828" s="2" t="str">
        <f>HYPERLINK("http://ts.21cn.com/tousu/show/id/1339932","http://ts.21cn.com/tousu/show/id/1339932")</f>
        <v>http://ts.21cn.com/tousu/show/id/1339932</v>
      </c>
      <c r="F8828" s="2" t="s">
        <v>11</v>
      </c>
      <c r="G8828" s="2" t="s">
        <v>26805</v>
      </c>
      <c r="H8828" s="2" t="s">
        <v>26806</v>
      </c>
    </row>
    <row r="8829" spans="1:8" ht="25.05" customHeight="1" x14ac:dyDescent="0.25">
      <c r="A8829" s="2" t="s">
        <v>8</v>
      </c>
      <c r="B8829" s="2" t="str">
        <f>HYPERLINK("http://ts.21cn.com/tousu/show/id/1339931","深圳云充吧恶意扣款")</f>
        <v>深圳云充吧恶意扣款</v>
      </c>
      <c r="C8829" s="2" t="s">
        <v>9</v>
      </c>
      <c r="D8829" s="2" t="s">
        <v>10</v>
      </c>
      <c r="E8829" s="2" t="str">
        <f>HYPERLINK("http://ts.21cn.com/tousu/show/id/1339931","http://ts.21cn.com/tousu/show/id/1339931")</f>
        <v>http://ts.21cn.com/tousu/show/id/1339931</v>
      </c>
      <c r="F8829" s="2" t="s">
        <v>11</v>
      </c>
      <c r="G8829" s="2" t="s">
        <v>26803</v>
      </c>
      <c r="H8829" s="2" t="s">
        <v>26804</v>
      </c>
    </row>
    <row r="8830" spans="1:8" ht="25.05" customHeight="1" x14ac:dyDescent="0.25">
      <c r="A8830" s="2" t="s">
        <v>8</v>
      </c>
      <c r="B8830" s="2" t="str">
        <f>HYPERLINK("http://ts.21cn.com/tousu/show/id/1339933","滴滴冒用别人身份证信息不作为")</f>
        <v>滴滴冒用别人身份证信息不作为</v>
      </c>
      <c r="C8830" s="2" t="s">
        <v>9</v>
      </c>
      <c r="D8830" s="2" t="s">
        <v>10</v>
      </c>
      <c r="E8830" s="2" t="str">
        <f>HYPERLINK("http://ts.21cn.com/tousu/show/id/1339933","http://ts.21cn.com/tousu/show/id/1339933")</f>
        <v>http://ts.21cn.com/tousu/show/id/1339933</v>
      </c>
      <c r="F8830" s="2" t="s">
        <v>11</v>
      </c>
      <c r="G8830" s="2" t="s">
        <v>26801</v>
      </c>
      <c r="H8830" s="2" t="s">
        <v>26802</v>
      </c>
    </row>
    <row r="8831" spans="1:8" ht="25.05" customHeight="1" x14ac:dyDescent="0.25">
      <c r="A8831" s="2" t="s">
        <v>8</v>
      </c>
      <c r="B8831" s="2" t="str">
        <f>HYPERLINK("http://ts.21cn.com/tousu/show/id/1339934","北京有缘网未经同意不知道通过什么手段开启了免密支付导致被扣费用存在严重欺诈行为")</f>
        <v>北京有缘网未经同意不知道通过什么手段开启了免密支付导致被扣费用存在严重欺诈行为</v>
      </c>
      <c r="C8831" s="2" t="s">
        <v>9</v>
      </c>
      <c r="D8831" s="2" t="s">
        <v>10</v>
      </c>
      <c r="E8831" s="2" t="str">
        <f>HYPERLINK("http://ts.21cn.com/tousu/show/id/1339934","http://ts.21cn.com/tousu/show/id/1339934")</f>
        <v>http://ts.21cn.com/tousu/show/id/1339934</v>
      </c>
      <c r="F8831" s="2" t="s">
        <v>11</v>
      </c>
      <c r="G8831" s="2" t="s">
        <v>26799</v>
      </c>
      <c r="H8831" s="2" t="s">
        <v>26800</v>
      </c>
    </row>
    <row r="8832" spans="1:8" ht="25.05" customHeight="1" x14ac:dyDescent="0.25">
      <c r="A8832" s="2" t="s">
        <v>8</v>
      </c>
      <c r="B8832" s="2" t="str">
        <f>HYPERLINK("http://ts.21cn.com/tousu/show/id/1339938","速金服阴阳合同，高利贷")</f>
        <v>速金服阴阳合同，高利贷</v>
      </c>
      <c r="C8832" s="2" t="s">
        <v>9</v>
      </c>
      <c r="D8832" s="2" t="s">
        <v>10</v>
      </c>
      <c r="E8832" s="2" t="str">
        <f>HYPERLINK("http://ts.21cn.com/tousu/show/id/1339938","http://ts.21cn.com/tousu/show/id/1339938")</f>
        <v>http://ts.21cn.com/tousu/show/id/1339938</v>
      </c>
      <c r="F8832" s="2" t="s">
        <v>11</v>
      </c>
      <c r="G8832" s="2" t="s">
        <v>26797</v>
      </c>
      <c r="H8832" s="2" t="s">
        <v>26798</v>
      </c>
    </row>
    <row r="8833" spans="1:8" ht="25.05" customHeight="1" x14ac:dyDescent="0.25">
      <c r="A8833" s="2" t="s">
        <v>8</v>
      </c>
      <c r="B8833" s="2" t="str">
        <f>HYPERLINK("http://ts.21cn.com/tousu/show/id/1339936","聚富app恶意扣款")</f>
        <v>聚富app恶意扣款</v>
      </c>
      <c r="C8833" s="2" t="s">
        <v>9</v>
      </c>
      <c r="D8833" s="2" t="s">
        <v>10</v>
      </c>
      <c r="E8833" s="2" t="str">
        <f>HYPERLINK("http://ts.21cn.com/tousu/show/id/1339936","http://ts.21cn.com/tousu/show/id/1339936")</f>
        <v>http://ts.21cn.com/tousu/show/id/1339936</v>
      </c>
      <c r="F8833" s="2" t="s">
        <v>11</v>
      </c>
      <c r="G8833" s="2" t="s">
        <v>26795</v>
      </c>
      <c r="H8833" s="2" t="s">
        <v>26796</v>
      </c>
    </row>
    <row r="8834" spans="1:8" ht="25.05" customHeight="1" x14ac:dyDescent="0.25">
      <c r="A8834" s="2" t="s">
        <v>8</v>
      </c>
      <c r="B8834" s="2" t="str">
        <f>HYPERLINK("http://ts.21cn.com/tousu/show/id/1339937","砍头息高利贷威胁骚扰催收")</f>
        <v>砍头息高利贷威胁骚扰催收</v>
      </c>
      <c r="C8834" s="2" t="s">
        <v>9</v>
      </c>
      <c r="D8834" s="2" t="s">
        <v>10</v>
      </c>
      <c r="E8834" s="2" t="str">
        <f>HYPERLINK("http://ts.21cn.com/tousu/show/id/1339937","http://ts.21cn.com/tousu/show/id/1339937")</f>
        <v>http://ts.21cn.com/tousu/show/id/1339937</v>
      </c>
      <c r="F8834" s="2" t="s">
        <v>11</v>
      </c>
      <c r="G8834" s="2" t="s">
        <v>26793</v>
      </c>
      <c r="H8834" s="2" t="s">
        <v>26794</v>
      </c>
    </row>
    <row r="8835" spans="1:8" ht="25.05" customHeight="1" x14ac:dyDescent="0.25">
      <c r="A8835" s="2" t="s">
        <v>8</v>
      </c>
      <c r="B8835" s="2" t="str">
        <f>HYPERLINK("http://ts.21cn.com/tousu/show/id/1339940","雇佣不明身份人士对家人进行骚扰恐吓")</f>
        <v>雇佣不明身份人士对家人进行骚扰恐吓</v>
      </c>
      <c r="C8835" s="2" t="s">
        <v>9</v>
      </c>
      <c r="D8835" s="2" t="s">
        <v>10</v>
      </c>
      <c r="E8835" s="2" t="str">
        <f>HYPERLINK("http://ts.21cn.com/tousu/show/id/1339940","http://ts.21cn.com/tousu/show/id/1339940")</f>
        <v>http://ts.21cn.com/tousu/show/id/1339940</v>
      </c>
      <c r="F8835" s="2" t="s">
        <v>11</v>
      </c>
      <c r="G8835" s="2" t="s">
        <v>26791</v>
      </c>
      <c r="H8835" s="2" t="s">
        <v>26792</v>
      </c>
    </row>
    <row r="8836" spans="1:8" ht="25.05" customHeight="1" x14ac:dyDescent="0.25">
      <c r="A8836" s="2" t="s">
        <v>8</v>
      </c>
      <c r="B8836" s="2" t="str">
        <f>HYPERLINK("http://ts.21cn.com/tousu/show/id/1339941","宏萨（上海）信息科技有限公司通联支付私自扣款")</f>
        <v>宏萨（上海）信息科技有限公司通联支付私自扣款</v>
      </c>
      <c r="C8836" s="2" t="s">
        <v>9</v>
      </c>
      <c r="D8836" s="2" t="s">
        <v>10</v>
      </c>
      <c r="E8836" s="2" t="str">
        <f>HYPERLINK("http://ts.21cn.com/tousu/show/id/1339941","http://ts.21cn.com/tousu/show/id/1339941")</f>
        <v>http://ts.21cn.com/tousu/show/id/1339941</v>
      </c>
      <c r="F8836" s="2" t="s">
        <v>11</v>
      </c>
      <c r="G8836" s="2" t="s">
        <v>26789</v>
      </c>
      <c r="H8836" s="2" t="s">
        <v>26790</v>
      </c>
    </row>
    <row r="8837" spans="1:8" ht="25.05" customHeight="1" x14ac:dyDescent="0.25">
      <c r="A8837" s="2" t="s">
        <v>8</v>
      </c>
      <c r="B8837" s="2" t="str">
        <f>HYPERLINK("http://ts.21cn.com/tousu/show/id/1339942","暴力催收，骚扰通讯录")</f>
        <v>暴力催收，骚扰通讯录</v>
      </c>
      <c r="C8837" s="2" t="s">
        <v>9</v>
      </c>
      <c r="D8837" s="2" t="s">
        <v>10</v>
      </c>
      <c r="E8837" s="2" t="str">
        <f>HYPERLINK("http://ts.21cn.com/tousu/show/id/1339942","http://ts.21cn.com/tousu/show/id/1339942")</f>
        <v>http://ts.21cn.com/tousu/show/id/1339942</v>
      </c>
      <c r="F8837" s="2" t="s">
        <v>11</v>
      </c>
      <c r="G8837" s="2" t="s">
        <v>26787</v>
      </c>
      <c r="H8837" s="2" t="s">
        <v>26788</v>
      </c>
    </row>
    <row r="8838" spans="1:8" ht="25.05" customHeight="1" x14ac:dyDescent="0.25">
      <c r="A8838" s="2" t="s">
        <v>8</v>
      </c>
      <c r="B8838" s="2" t="str">
        <f>HYPERLINK("http://ts.21cn.com/tousu/show/id/1339943","立借借款十二期实际三期就要还完，变相高利贷")</f>
        <v>立借借款十二期实际三期就要还完，变相高利贷</v>
      </c>
      <c r="C8838" s="2" t="s">
        <v>9</v>
      </c>
      <c r="D8838" s="2" t="s">
        <v>10</v>
      </c>
      <c r="E8838" s="2" t="str">
        <f>HYPERLINK("http://ts.21cn.com/tousu/show/id/1339943","http://ts.21cn.com/tousu/show/id/1339943")</f>
        <v>http://ts.21cn.com/tousu/show/id/1339943</v>
      </c>
      <c r="F8838" s="2" t="s">
        <v>11</v>
      </c>
      <c r="G8838" s="2" t="s">
        <v>26785</v>
      </c>
      <c r="H8838" s="2" t="s">
        <v>26786</v>
      </c>
    </row>
    <row r="8839" spans="1:8" ht="25.05" customHeight="1" x14ac:dyDescent="0.25">
      <c r="A8839" s="2" t="s">
        <v>8</v>
      </c>
      <c r="B8839" s="2" t="str">
        <f>HYPERLINK("http://ts.21cn.com/tousu/show/id/1339944","你我贷暴力催收，忽悠，说结清，结果不处理账单")</f>
        <v>你我贷暴力催收，忽悠，说结清，结果不处理账单</v>
      </c>
      <c r="C8839" s="2" t="s">
        <v>9</v>
      </c>
      <c r="D8839" s="2" t="s">
        <v>10</v>
      </c>
      <c r="E8839" s="2" t="str">
        <f>HYPERLINK("http://ts.21cn.com/tousu/show/id/1339944","http://ts.21cn.com/tousu/show/id/1339944")</f>
        <v>http://ts.21cn.com/tousu/show/id/1339944</v>
      </c>
      <c r="F8839" s="2" t="s">
        <v>11</v>
      </c>
      <c r="G8839" s="2" t="s">
        <v>26783</v>
      </c>
      <c r="H8839" s="2" t="s">
        <v>26784</v>
      </c>
    </row>
    <row r="8840" spans="1:8" ht="25.05" customHeight="1" x14ac:dyDescent="0.25">
      <c r="A8840" s="2" t="s">
        <v>8</v>
      </c>
      <c r="B8840" s="2" t="str">
        <f>HYPERLINK("http://ts.21cn.com/tousu/show/id/1339945","米多点高利贷信用管家为其提供平台易宝支付为其提供支付通道")</f>
        <v>米多点高利贷信用管家为其提供平台易宝支付为其提供支付通道</v>
      </c>
      <c r="C8840" s="2" t="s">
        <v>9</v>
      </c>
      <c r="D8840" s="2" t="s">
        <v>10</v>
      </c>
      <c r="E8840" s="2" t="str">
        <f>HYPERLINK("http://ts.21cn.com/tousu/show/id/1339945","http://ts.21cn.com/tousu/show/id/1339945")</f>
        <v>http://ts.21cn.com/tousu/show/id/1339945</v>
      </c>
      <c r="F8840" s="2" t="s">
        <v>11</v>
      </c>
      <c r="G8840" s="2" t="s">
        <v>26781</v>
      </c>
      <c r="H8840" s="2" t="s">
        <v>26782</v>
      </c>
    </row>
    <row r="8841" spans="1:8" ht="25.05" customHeight="1" x14ac:dyDescent="0.25">
      <c r="A8841" s="2" t="s">
        <v>8</v>
      </c>
      <c r="B8841" s="2" t="str">
        <f>HYPERLINK("http://ts.21cn.com/tousu/show/id/1339865","在喀什机场办理vip卡")</f>
        <v>在喀什机场办理vip卡</v>
      </c>
      <c r="C8841" s="2" t="s">
        <v>9</v>
      </c>
      <c r="D8841" s="2" t="s">
        <v>10</v>
      </c>
      <c r="E8841" s="2" t="str">
        <f>HYPERLINK("http://ts.21cn.com/tousu/show/id/1339865","http://ts.21cn.com/tousu/show/id/1339865")</f>
        <v>http://ts.21cn.com/tousu/show/id/1339865</v>
      </c>
      <c r="F8841" s="2" t="s">
        <v>11</v>
      </c>
      <c r="G8841" s="2" t="s">
        <v>26779</v>
      </c>
      <c r="H8841" s="2" t="s">
        <v>26780</v>
      </c>
    </row>
    <row r="8842" spans="1:8" ht="25.05" customHeight="1" x14ac:dyDescent="0.25">
      <c r="A8842" s="2" t="s">
        <v>8</v>
      </c>
      <c r="B8842" s="2" t="str">
        <f>HYPERLINK("http://ts.21cn.com/tousu/show/id/1339947","钱站利息高的吓人，不停的发信息威胁")</f>
        <v>钱站利息高的吓人，不停的发信息威胁</v>
      </c>
      <c r="C8842" s="2" t="s">
        <v>9</v>
      </c>
      <c r="D8842" s="2" t="s">
        <v>10</v>
      </c>
      <c r="E8842" s="2" t="str">
        <f>HYPERLINK("http://ts.21cn.com/tousu/show/id/1339947","http://ts.21cn.com/tousu/show/id/1339947")</f>
        <v>http://ts.21cn.com/tousu/show/id/1339947</v>
      </c>
      <c r="F8842" s="2" t="s">
        <v>11</v>
      </c>
      <c r="G8842" s="2" t="s">
        <v>26777</v>
      </c>
      <c r="H8842" s="2" t="s">
        <v>26778</v>
      </c>
    </row>
    <row r="8843" spans="1:8" ht="25.05" customHeight="1" x14ac:dyDescent="0.25">
      <c r="A8843" s="2" t="s">
        <v>8</v>
      </c>
      <c r="B8843" s="2" t="str">
        <f>HYPERLINK("http://ts.21cn.com/tousu/show/id/1339949","及贷收取前期会员费")</f>
        <v>及贷收取前期会员费</v>
      </c>
      <c r="C8843" s="2" t="s">
        <v>9</v>
      </c>
      <c r="D8843" s="2" t="s">
        <v>10</v>
      </c>
      <c r="E8843" s="2" t="str">
        <f>HYPERLINK("http://ts.21cn.com/tousu/show/id/1339949","http://ts.21cn.com/tousu/show/id/1339949")</f>
        <v>http://ts.21cn.com/tousu/show/id/1339949</v>
      </c>
      <c r="F8843" s="2" t="s">
        <v>11</v>
      </c>
      <c r="G8843" s="2" t="s">
        <v>26775</v>
      </c>
      <c r="H8843" s="2" t="s">
        <v>26776</v>
      </c>
    </row>
    <row r="8844" spans="1:8" ht="25.05" customHeight="1" x14ac:dyDescent="0.25">
      <c r="A8844" s="2" t="s">
        <v>8</v>
      </c>
      <c r="B8844" s="2" t="str">
        <f>HYPERLINK("http://ts.21cn.com/tousu/show/id/1339948","招联金融暴力催收骚扰侵权")</f>
        <v>招联金融暴力催收骚扰侵权</v>
      </c>
      <c r="C8844" s="2" t="s">
        <v>9</v>
      </c>
      <c r="D8844" s="2" t="s">
        <v>10</v>
      </c>
      <c r="E8844" s="2" t="str">
        <f>HYPERLINK("http://ts.21cn.com/tousu/show/id/1339948","http://ts.21cn.com/tousu/show/id/1339948")</f>
        <v>http://ts.21cn.com/tousu/show/id/1339948</v>
      </c>
      <c r="F8844" s="2" t="s">
        <v>11</v>
      </c>
      <c r="G8844" s="2" t="s">
        <v>26773</v>
      </c>
      <c r="H8844" s="2" t="s">
        <v>26774</v>
      </c>
    </row>
    <row r="8845" spans="1:8" ht="25.05" customHeight="1" x14ac:dyDescent="0.25">
      <c r="A8845" s="2" t="s">
        <v>8</v>
      </c>
      <c r="B8845" s="2" t="str">
        <f>HYPERLINK("http://ts.21cn.com/tousu/show/id/1339950","新橙优品高利贷")</f>
        <v>新橙优品高利贷</v>
      </c>
      <c r="C8845" s="2" t="s">
        <v>9</v>
      </c>
      <c r="D8845" s="2" t="s">
        <v>10</v>
      </c>
      <c r="E8845" s="2" t="str">
        <f>HYPERLINK("http://ts.21cn.com/tousu/show/id/1339950","http://ts.21cn.com/tousu/show/id/1339950")</f>
        <v>http://ts.21cn.com/tousu/show/id/1339950</v>
      </c>
      <c r="F8845" s="2" t="s">
        <v>11</v>
      </c>
      <c r="G8845" s="2" t="s">
        <v>26771</v>
      </c>
      <c r="H8845" s="2" t="s">
        <v>26772</v>
      </c>
    </row>
    <row r="8846" spans="1:8" ht="25.05" customHeight="1" x14ac:dyDescent="0.25">
      <c r="A8846" s="2" t="s">
        <v>8</v>
      </c>
      <c r="B8846" s="2" t="str">
        <f>HYPERLINK("http://ts.21cn.com/tousu/show/id/1339951","严重影响生活和工作")</f>
        <v>严重影响生活和工作</v>
      </c>
      <c r="C8846" s="2" t="s">
        <v>9</v>
      </c>
      <c r="D8846" s="2" t="s">
        <v>10</v>
      </c>
      <c r="E8846" s="2" t="str">
        <f>HYPERLINK("http://ts.21cn.com/tousu/show/id/1339951","http://ts.21cn.com/tousu/show/id/1339951")</f>
        <v>http://ts.21cn.com/tousu/show/id/1339951</v>
      </c>
      <c r="F8846" s="2" t="s">
        <v>11</v>
      </c>
      <c r="G8846" s="2" t="s">
        <v>26769</v>
      </c>
      <c r="H8846" s="2" t="s">
        <v>26770</v>
      </c>
    </row>
    <row r="8847" spans="1:8" ht="25.05" customHeight="1" x14ac:dyDescent="0.25">
      <c r="A8847" s="2" t="s">
        <v>8</v>
      </c>
      <c r="B8847" s="2" t="str">
        <f>HYPERLINK("http://ts.21cn.com/tousu/show/id/1339953","移动免费送宽带业务9.8号营业厅办理告知不收任何费用，结果10月份装的时候告知政策有变要收100元，办定的业务还能随便改")</f>
        <v>移动免费送宽带业务9.8号营业厅办理告知不收任何费用，结果10月份装的时候告知政策有变要收100元，办定的业务还能随便改</v>
      </c>
      <c r="C8847" s="2" t="s">
        <v>9</v>
      </c>
      <c r="D8847" s="2" t="s">
        <v>10</v>
      </c>
      <c r="E8847" s="2" t="str">
        <f>HYPERLINK("http://ts.21cn.com/tousu/show/id/1339953","http://ts.21cn.com/tousu/show/id/1339953")</f>
        <v>http://ts.21cn.com/tousu/show/id/1339953</v>
      </c>
      <c r="F8847" s="2" t="s">
        <v>11</v>
      </c>
      <c r="G8847" s="2" t="s">
        <v>26767</v>
      </c>
      <c r="H8847" s="2" t="s">
        <v>26768</v>
      </c>
    </row>
    <row r="8848" spans="1:8" ht="25.05" customHeight="1" x14ac:dyDescent="0.25">
      <c r="A8848" s="2" t="s">
        <v>8</v>
      </c>
      <c r="B8848" s="2" t="str">
        <f>HYPERLINK("http://ts.21cn.com/tousu/show/id/1339954","豹子贷恶意扣款了")</f>
        <v>豹子贷恶意扣款了</v>
      </c>
      <c r="C8848" s="2" t="s">
        <v>9</v>
      </c>
      <c r="D8848" s="2" t="s">
        <v>10</v>
      </c>
      <c r="E8848" s="2" t="str">
        <f>HYPERLINK("http://ts.21cn.com/tousu/show/id/1339954","http://ts.21cn.com/tousu/show/id/1339954")</f>
        <v>http://ts.21cn.com/tousu/show/id/1339954</v>
      </c>
      <c r="F8848" s="2" t="s">
        <v>11</v>
      </c>
      <c r="G8848" s="2" t="s">
        <v>26765</v>
      </c>
      <c r="H8848" s="2" t="s">
        <v>26766</v>
      </c>
    </row>
    <row r="8849" spans="1:8" ht="25.05" customHeight="1" x14ac:dyDescent="0.25">
      <c r="A8849" s="2" t="s">
        <v>8</v>
      </c>
      <c r="B8849" s="2" t="str">
        <f>HYPERLINK("http://ts.21cn.com/tousu/show/id/1339955","被恶意投诉差评")</f>
        <v>被恶意投诉差评</v>
      </c>
      <c r="C8849" s="2" t="s">
        <v>9</v>
      </c>
      <c r="D8849" s="2" t="s">
        <v>10</v>
      </c>
      <c r="E8849" s="2" t="str">
        <f>HYPERLINK("http://ts.21cn.com/tousu/show/id/1339955","http://ts.21cn.com/tousu/show/id/1339955")</f>
        <v>http://ts.21cn.com/tousu/show/id/1339955</v>
      </c>
      <c r="F8849" s="2" t="s">
        <v>11</v>
      </c>
      <c r="G8849" s="2" t="s">
        <v>26763</v>
      </c>
      <c r="H8849" s="2" t="s">
        <v>26764</v>
      </c>
    </row>
    <row r="8850" spans="1:8" ht="25.05" customHeight="1" x14ac:dyDescent="0.25">
      <c r="A8850" s="2" t="s">
        <v>8</v>
      </c>
      <c r="B8850" s="2" t="str">
        <f>HYPERLINK("http://ts.21cn.com/tousu/show/id/1339956","你我贷高利贷暴力催收恐吓威胁")</f>
        <v>你我贷高利贷暴力催收恐吓威胁</v>
      </c>
      <c r="C8850" s="2" t="s">
        <v>9</v>
      </c>
      <c r="D8850" s="2" t="s">
        <v>10</v>
      </c>
      <c r="E8850" s="2" t="str">
        <f>HYPERLINK("http://ts.21cn.com/tousu/show/id/1339956","http://ts.21cn.com/tousu/show/id/1339956")</f>
        <v>http://ts.21cn.com/tousu/show/id/1339956</v>
      </c>
      <c r="F8850" s="2" t="s">
        <v>11</v>
      </c>
      <c r="G8850" s="2" t="s">
        <v>26761</v>
      </c>
      <c r="H8850" s="2" t="s">
        <v>26762</v>
      </c>
    </row>
    <row r="8851" spans="1:8" ht="25.05" customHeight="1" x14ac:dyDescent="0.25">
      <c r="A8851" s="2" t="s">
        <v>8</v>
      </c>
      <c r="B8851" s="2" t="str">
        <f>HYPERLINK("http://ts.21cn.com/tousu/show/id/1339957","高炮")</f>
        <v>高炮</v>
      </c>
      <c r="C8851" s="2" t="s">
        <v>34</v>
      </c>
      <c r="D8851" s="2" t="s">
        <v>10</v>
      </c>
      <c r="E8851" s="2" t="str">
        <f>HYPERLINK("http://ts.21cn.com/tousu/show/id/1339957","http://ts.21cn.com/tousu/show/id/1339957")</f>
        <v>http://ts.21cn.com/tousu/show/id/1339957</v>
      </c>
      <c r="F8851" s="2" t="s">
        <v>11</v>
      </c>
      <c r="G8851" s="2" t="s">
        <v>26759</v>
      </c>
      <c r="H8851" s="2" t="s">
        <v>26760</v>
      </c>
    </row>
    <row r="8852" spans="1:8" ht="25.05" customHeight="1" x14ac:dyDescent="0.25">
      <c r="A8852" s="2" t="s">
        <v>8</v>
      </c>
      <c r="B8852" s="2" t="str">
        <f>HYPERLINK("http://ts.21cn.com/tousu/show/id/1339958","恒昌公司旗下恒易贷合同金额远高于实际借款金额")</f>
        <v>恒昌公司旗下恒易贷合同金额远高于实际借款金额</v>
      </c>
      <c r="C8852" s="2" t="s">
        <v>9</v>
      </c>
      <c r="D8852" s="2" t="s">
        <v>10</v>
      </c>
      <c r="E8852" s="2" t="str">
        <f>HYPERLINK("http://ts.21cn.com/tousu/show/id/1339958","http://ts.21cn.com/tousu/show/id/1339958")</f>
        <v>http://ts.21cn.com/tousu/show/id/1339958</v>
      </c>
      <c r="F8852" s="2" t="s">
        <v>11</v>
      </c>
      <c r="G8852" s="2" t="s">
        <v>26757</v>
      </c>
      <c r="H8852" s="2" t="s">
        <v>26758</v>
      </c>
    </row>
    <row r="8853" spans="1:8" ht="25.05" customHeight="1" x14ac:dyDescent="0.25">
      <c r="A8853" s="2" t="s">
        <v>8</v>
      </c>
      <c r="B8853" s="2" t="str">
        <f>HYPERLINK("http://ts.21cn.com/tousu/show/id/1339959","及贷群发骚扰我的亲戚朋友")</f>
        <v>及贷群发骚扰我的亲戚朋友</v>
      </c>
      <c r="C8853" s="2" t="s">
        <v>34</v>
      </c>
      <c r="D8853" s="2" t="s">
        <v>10</v>
      </c>
      <c r="E8853" s="2" t="str">
        <f>HYPERLINK("http://ts.21cn.com/tousu/show/id/1339959","http://ts.21cn.com/tousu/show/id/1339959")</f>
        <v>http://ts.21cn.com/tousu/show/id/1339959</v>
      </c>
      <c r="F8853" s="2" t="s">
        <v>11</v>
      </c>
      <c r="G8853" s="2" t="s">
        <v>26755</v>
      </c>
      <c r="H8853" s="2" t="s">
        <v>26756</v>
      </c>
    </row>
    <row r="8854" spans="1:8" ht="25.05" customHeight="1" x14ac:dyDescent="0.25">
      <c r="A8854" s="2" t="s">
        <v>8</v>
      </c>
      <c r="B8854" s="2" t="str">
        <f>HYPERLINK("http://ts.21cn.com/tousu/show/id/1339960","聚福钱包恶意扣款已经多日无人联系处理")</f>
        <v>聚福钱包恶意扣款已经多日无人联系处理</v>
      </c>
      <c r="C8854" s="2" t="s">
        <v>9</v>
      </c>
      <c r="D8854" s="2" t="s">
        <v>10</v>
      </c>
      <c r="E8854" s="2" t="str">
        <f>HYPERLINK("http://ts.21cn.com/tousu/show/id/1339960","http://ts.21cn.com/tousu/show/id/1339960")</f>
        <v>http://ts.21cn.com/tousu/show/id/1339960</v>
      </c>
      <c r="F8854" s="2" t="s">
        <v>11</v>
      </c>
      <c r="G8854" s="2" t="s">
        <v>26753</v>
      </c>
      <c r="H8854" s="2" t="s">
        <v>26754</v>
      </c>
    </row>
    <row r="8855" spans="1:8" ht="25.05" customHeight="1" x14ac:dyDescent="0.25">
      <c r="A8855" s="2" t="s">
        <v>8</v>
      </c>
      <c r="B8855" s="2" t="str">
        <f>HYPERLINK("http://ts.21cn.com/tousu/show/id/1339962","骚扰通讯录")</f>
        <v>骚扰通讯录</v>
      </c>
      <c r="C8855" s="2" t="s">
        <v>9</v>
      </c>
      <c r="D8855" s="2" t="s">
        <v>10</v>
      </c>
      <c r="E8855" s="2" t="str">
        <f>HYPERLINK("http://ts.21cn.com/tousu/show/id/1339962","http://ts.21cn.com/tousu/show/id/1339962")</f>
        <v>http://ts.21cn.com/tousu/show/id/1339962</v>
      </c>
      <c r="F8855" s="2" t="s">
        <v>11</v>
      </c>
      <c r="G8855" s="2" t="s">
        <v>26751</v>
      </c>
      <c r="H8855" s="2" t="s">
        <v>26752</v>
      </c>
    </row>
    <row r="8856" spans="1:8" ht="25.05" customHeight="1" x14ac:dyDescent="0.25">
      <c r="A8856" s="2" t="s">
        <v>8</v>
      </c>
      <c r="B8856" s="2" t="str">
        <f>HYPERLINK("http://ts.21cn.com/tousu/show/id/1339961","零钱资金冻结")</f>
        <v>零钱资金冻结</v>
      </c>
      <c r="C8856" s="2" t="s">
        <v>34</v>
      </c>
      <c r="D8856" s="2" t="s">
        <v>10</v>
      </c>
      <c r="E8856" s="2" t="str">
        <f>HYPERLINK("http://ts.21cn.com/tousu/show/id/1339961","http://ts.21cn.com/tousu/show/id/1339961")</f>
        <v>http://ts.21cn.com/tousu/show/id/1339961</v>
      </c>
      <c r="F8856" s="2" t="s">
        <v>11</v>
      </c>
      <c r="G8856" s="2" t="s">
        <v>26749</v>
      </c>
      <c r="H8856" s="2" t="s">
        <v>26750</v>
      </c>
    </row>
    <row r="8857" spans="1:8" ht="25.05" customHeight="1" x14ac:dyDescent="0.25">
      <c r="A8857" s="2" t="s">
        <v>8</v>
      </c>
      <c r="B8857" s="2" t="str">
        <f>HYPERLINK("http://ts.21cn.com/tousu/show/id/1339963","立借钱置宝")</f>
        <v>立借钱置宝</v>
      </c>
      <c r="C8857" s="2" t="s">
        <v>9</v>
      </c>
      <c r="D8857" s="2" t="s">
        <v>10</v>
      </c>
      <c r="E8857" s="2" t="str">
        <f>HYPERLINK("http://ts.21cn.com/tousu/show/id/1339963","http://ts.21cn.com/tousu/show/id/1339963")</f>
        <v>http://ts.21cn.com/tousu/show/id/1339963</v>
      </c>
      <c r="F8857" s="2" t="s">
        <v>11</v>
      </c>
      <c r="G8857" s="2" t="s">
        <v>26747</v>
      </c>
      <c r="H8857" s="2" t="s">
        <v>26748</v>
      </c>
    </row>
    <row r="8858" spans="1:8" ht="25.05" customHeight="1" x14ac:dyDescent="0.25">
      <c r="A8858" s="2" t="s">
        <v>8</v>
      </c>
      <c r="B8858" s="2" t="str">
        <f>HYPERLINK("http://ts.21cn.com/tousu/show/id/1339964","高费用")</f>
        <v>高费用</v>
      </c>
      <c r="C8858" s="2" t="s">
        <v>34</v>
      </c>
      <c r="D8858" s="2" t="s">
        <v>10</v>
      </c>
      <c r="E8858" s="2" t="str">
        <f>HYPERLINK("http://ts.21cn.com/tousu/show/id/1339964","http://ts.21cn.com/tousu/show/id/1339964")</f>
        <v>http://ts.21cn.com/tousu/show/id/1339964</v>
      </c>
      <c r="F8858" s="2" t="s">
        <v>11</v>
      </c>
      <c r="G8858" s="2" t="s">
        <v>26745</v>
      </c>
      <c r="H8858" s="2" t="s">
        <v>26746</v>
      </c>
    </row>
    <row r="8859" spans="1:8" ht="25.05" customHeight="1" x14ac:dyDescent="0.25">
      <c r="A8859" s="2" t="s">
        <v>8</v>
      </c>
      <c r="B8859" s="2" t="str">
        <f>HYPERLINK("http://ts.21cn.com/tousu/show/id/1339422","钱站平台高利贷阴阳合同砍头息")</f>
        <v>钱站平台高利贷阴阳合同砍头息</v>
      </c>
      <c r="C8859" s="2" t="s">
        <v>9</v>
      </c>
      <c r="D8859" s="2" t="s">
        <v>10</v>
      </c>
      <c r="E8859" s="2" t="str">
        <f>HYPERLINK("http://ts.21cn.com/tousu/show/id/1339422","http://ts.21cn.com/tousu/show/id/1339422")</f>
        <v>http://ts.21cn.com/tousu/show/id/1339422</v>
      </c>
      <c r="F8859" s="2" t="s">
        <v>11</v>
      </c>
      <c r="G8859" s="2" t="s">
        <v>26743</v>
      </c>
      <c r="H8859" s="2" t="s">
        <v>26744</v>
      </c>
    </row>
    <row r="8860" spans="1:8" ht="25.05" customHeight="1" x14ac:dyDescent="0.25">
      <c r="A8860" s="2" t="s">
        <v>8</v>
      </c>
      <c r="B8860" s="2" t="str">
        <f>HYPERLINK("http://ts.21cn.com/tousu/show/id/1339965","钱橙无忧app盗取用户信息恶意扣款")</f>
        <v>钱橙无忧app盗取用户信息恶意扣款</v>
      </c>
      <c r="C8860" s="2" t="s">
        <v>9</v>
      </c>
      <c r="D8860" s="2" t="s">
        <v>10</v>
      </c>
      <c r="E8860" s="2" t="str">
        <f>HYPERLINK("http://ts.21cn.com/tousu/show/id/1339965","http://ts.21cn.com/tousu/show/id/1339965")</f>
        <v>http://ts.21cn.com/tousu/show/id/1339965</v>
      </c>
      <c r="F8860" s="2" t="s">
        <v>11</v>
      </c>
      <c r="G8860" s="2" t="s">
        <v>26741</v>
      </c>
      <c r="H8860" s="2" t="s">
        <v>26742</v>
      </c>
    </row>
    <row r="8861" spans="1:8" ht="25.05" customHeight="1" x14ac:dyDescent="0.25">
      <c r="A8861" s="2" t="s">
        <v>8</v>
      </c>
      <c r="B8861" s="2" t="str">
        <f>HYPERLINK("http://ts.21cn.com/tousu/show/id/1339967","辱骂家人")</f>
        <v>辱骂家人</v>
      </c>
      <c r="C8861" s="2" t="s">
        <v>9</v>
      </c>
      <c r="D8861" s="2" t="s">
        <v>10</v>
      </c>
      <c r="E8861" s="2" t="str">
        <f>HYPERLINK("http://ts.21cn.com/tousu/show/id/1339967","http://ts.21cn.com/tousu/show/id/1339967")</f>
        <v>http://ts.21cn.com/tousu/show/id/1339967</v>
      </c>
      <c r="F8861" s="2" t="s">
        <v>11</v>
      </c>
      <c r="G8861" s="2" t="s">
        <v>26739</v>
      </c>
      <c r="H8861" s="2" t="s">
        <v>26740</v>
      </c>
    </row>
    <row r="8862" spans="1:8" ht="25.05" customHeight="1" x14ac:dyDescent="0.25">
      <c r="A8862" s="2" t="s">
        <v>8</v>
      </c>
      <c r="B8862" s="2" t="str">
        <f>HYPERLINK("http://ts.21cn.com/tousu/show/id/1339968","拼多多网购买到假货")</f>
        <v>拼多多网购买到假货</v>
      </c>
      <c r="C8862" s="2" t="s">
        <v>9</v>
      </c>
      <c r="D8862" s="2" t="s">
        <v>10</v>
      </c>
      <c r="E8862" s="2" t="str">
        <f>HYPERLINK("http://ts.21cn.com/tousu/show/id/1339968","http://ts.21cn.com/tousu/show/id/1339968")</f>
        <v>http://ts.21cn.com/tousu/show/id/1339968</v>
      </c>
      <c r="F8862" s="2" t="s">
        <v>11</v>
      </c>
      <c r="G8862" s="2" t="s">
        <v>26737</v>
      </c>
      <c r="H8862" s="2" t="s">
        <v>26738</v>
      </c>
    </row>
    <row r="8863" spans="1:8" ht="25.05" customHeight="1" x14ac:dyDescent="0.25">
      <c r="A8863" s="2" t="s">
        <v>8</v>
      </c>
      <c r="B8863" s="2" t="str">
        <f>HYPERLINK("http://ts.21cn.com/tousu/show/id/1339966","高利贷")</f>
        <v>高利贷</v>
      </c>
      <c r="C8863" s="2" t="s">
        <v>9</v>
      </c>
      <c r="D8863" s="2" t="s">
        <v>10</v>
      </c>
      <c r="E8863" s="2" t="str">
        <f>HYPERLINK("http://ts.21cn.com/tousu/show/id/1339966","http://ts.21cn.com/tousu/show/id/1339966")</f>
        <v>http://ts.21cn.com/tousu/show/id/1339966</v>
      </c>
      <c r="F8863" s="2" t="s">
        <v>11</v>
      </c>
      <c r="G8863" s="2" t="s">
        <v>26735</v>
      </c>
      <c r="H8863" s="2" t="s">
        <v>26736</v>
      </c>
    </row>
    <row r="8864" spans="1:8" ht="25.05" customHeight="1" x14ac:dyDescent="0.25">
      <c r="A8864" s="2" t="s">
        <v>8</v>
      </c>
      <c r="B8864" s="2" t="str">
        <f>HYPERLINK("http://ts.21cn.com/tousu/show/id/1339969","平台不给注销帐号")</f>
        <v>平台不给注销帐号</v>
      </c>
      <c r="C8864" s="2" t="s">
        <v>34</v>
      </c>
      <c r="D8864" s="2" t="s">
        <v>10</v>
      </c>
      <c r="E8864" s="2" t="str">
        <f>HYPERLINK("http://ts.21cn.com/tousu/show/id/1339969","http://ts.21cn.com/tousu/show/id/1339969")</f>
        <v>http://ts.21cn.com/tousu/show/id/1339969</v>
      </c>
      <c r="F8864" s="2" t="s">
        <v>11</v>
      </c>
      <c r="G8864" s="2" t="s">
        <v>26733</v>
      </c>
      <c r="H8864" s="2" t="s">
        <v>26734</v>
      </c>
    </row>
    <row r="8865" spans="1:8" ht="25.05" customHeight="1" x14ac:dyDescent="0.25">
      <c r="A8865" s="2" t="s">
        <v>8</v>
      </c>
      <c r="B8865" s="2" t="str">
        <f>HYPERLINK("http://ts.21cn.com/tousu/show/id/1339971","凡普信骚扰电话不断")</f>
        <v>凡普信骚扰电话不断</v>
      </c>
      <c r="C8865" s="2" t="s">
        <v>9</v>
      </c>
      <c r="D8865" s="2" t="s">
        <v>10</v>
      </c>
      <c r="E8865" s="2" t="str">
        <f>HYPERLINK("http://ts.21cn.com/tousu/show/id/1339971","http://ts.21cn.com/tousu/show/id/1339971")</f>
        <v>http://ts.21cn.com/tousu/show/id/1339971</v>
      </c>
      <c r="F8865" s="2" t="s">
        <v>11</v>
      </c>
      <c r="G8865" s="2" t="s">
        <v>26731</v>
      </c>
      <c r="H8865" s="2" t="s">
        <v>26732</v>
      </c>
    </row>
    <row r="8866" spans="1:8" ht="25.05" customHeight="1" x14ac:dyDescent="0.25">
      <c r="A8866" s="2" t="s">
        <v>8</v>
      </c>
      <c r="B8866" s="2" t="str">
        <f>HYPERLINK("http://ts.21cn.com/tousu/show/id/1339972","猫眼不给提现")</f>
        <v>猫眼不给提现</v>
      </c>
      <c r="C8866" s="2" t="s">
        <v>34</v>
      </c>
      <c r="D8866" s="2" t="s">
        <v>10</v>
      </c>
      <c r="E8866" s="2" t="str">
        <f>HYPERLINK("http://ts.21cn.com/tousu/show/id/1339972","http://ts.21cn.com/tousu/show/id/1339972")</f>
        <v>http://ts.21cn.com/tousu/show/id/1339972</v>
      </c>
      <c r="F8866" s="2" t="s">
        <v>11</v>
      </c>
      <c r="G8866" s="2" t="s">
        <v>26729</v>
      </c>
      <c r="H8866" s="2" t="s">
        <v>26730</v>
      </c>
    </row>
    <row r="8867" spans="1:8" ht="25.05" customHeight="1" x14ac:dyDescent="0.25">
      <c r="A8867" s="2" t="s">
        <v>8</v>
      </c>
      <c r="B8867" s="2" t="str">
        <f>HYPERLINK("http://ts.21cn.com/tousu/show/id/1339973","捆绑购买保险，砍头息")</f>
        <v>捆绑购买保险，砍头息</v>
      </c>
      <c r="C8867" s="2" t="s">
        <v>9</v>
      </c>
      <c r="D8867" s="2" t="s">
        <v>10</v>
      </c>
      <c r="E8867" s="2" t="str">
        <f>HYPERLINK("http://ts.21cn.com/tousu/show/id/1339973","http://ts.21cn.com/tousu/show/id/1339973")</f>
        <v>http://ts.21cn.com/tousu/show/id/1339973</v>
      </c>
      <c r="F8867" s="2" t="s">
        <v>11</v>
      </c>
      <c r="G8867" s="2" t="s">
        <v>26727</v>
      </c>
      <c r="H8867" s="2" t="s">
        <v>26728</v>
      </c>
    </row>
    <row r="8868" spans="1:8" ht="25.05" customHeight="1" x14ac:dyDescent="0.25">
      <c r="A8868" s="2" t="s">
        <v>8</v>
      </c>
      <c r="B8868" s="2" t="str">
        <f>HYPERLINK("http://ts.21cn.com/tousu/show/id/1339974","时光分期高利贷违反国家法规")</f>
        <v>时光分期高利贷违反国家法规</v>
      </c>
      <c r="C8868" s="2" t="s">
        <v>9</v>
      </c>
      <c r="D8868" s="2" t="s">
        <v>10</v>
      </c>
      <c r="E8868" s="2" t="str">
        <f>HYPERLINK("http://ts.21cn.com/tousu/show/id/1339974","http://ts.21cn.com/tousu/show/id/1339974")</f>
        <v>http://ts.21cn.com/tousu/show/id/1339974</v>
      </c>
      <c r="F8868" s="2" t="s">
        <v>11</v>
      </c>
      <c r="G8868" s="2" t="s">
        <v>26725</v>
      </c>
      <c r="H8868" s="2" t="s">
        <v>26726</v>
      </c>
    </row>
    <row r="8869" spans="1:8" ht="25.05" customHeight="1" x14ac:dyDescent="0.25">
      <c r="A8869" s="2" t="s">
        <v>8</v>
      </c>
      <c r="B8869" s="2" t="str">
        <f>HYPERLINK("http://ts.21cn.com/tousu/show/id/1339975","贷上钱砍头息，旗下多个平台砍头息，")</f>
        <v>贷上钱砍头息，旗下多个平台砍头息，</v>
      </c>
      <c r="C8869" s="2" t="s">
        <v>9</v>
      </c>
      <c r="D8869" s="2" t="s">
        <v>10</v>
      </c>
      <c r="E8869" s="2" t="str">
        <f>HYPERLINK("http://ts.21cn.com/tousu/show/id/1339975","http://ts.21cn.com/tousu/show/id/1339975")</f>
        <v>http://ts.21cn.com/tousu/show/id/1339975</v>
      </c>
      <c r="F8869" s="2" t="s">
        <v>11</v>
      </c>
      <c r="G8869" s="2" t="s">
        <v>26723</v>
      </c>
      <c r="H8869" s="2" t="s">
        <v>26724</v>
      </c>
    </row>
    <row r="8870" spans="1:8" ht="25.05" customHeight="1" x14ac:dyDescent="0.25">
      <c r="A8870" s="2" t="s">
        <v>8</v>
      </c>
      <c r="B8870" s="2" t="str">
        <f>HYPERLINK("http://ts.21cn.com/tousu/show/id/1339976","假货质量不行")</f>
        <v>假货质量不行</v>
      </c>
      <c r="C8870" s="2" t="s">
        <v>9</v>
      </c>
      <c r="D8870" s="2" t="s">
        <v>10</v>
      </c>
      <c r="E8870" s="2" t="str">
        <f>HYPERLINK("http://ts.21cn.com/tousu/show/id/1339976","http://ts.21cn.com/tousu/show/id/1339976")</f>
        <v>http://ts.21cn.com/tousu/show/id/1339976</v>
      </c>
      <c r="F8870" s="2" t="s">
        <v>11</v>
      </c>
      <c r="G8870" s="2" t="s">
        <v>26721</v>
      </c>
      <c r="H8870" s="2" t="s">
        <v>26722</v>
      </c>
    </row>
    <row r="8871" spans="1:8" ht="25.05" customHeight="1" x14ac:dyDescent="0.25">
      <c r="A8871" s="2" t="s">
        <v>8</v>
      </c>
      <c r="B8871" s="2" t="str">
        <f>HYPERLINK("http://ts.21cn.com/tousu/show/id/1339977","卡分期乱扣我249")</f>
        <v>卡分期乱扣我249</v>
      </c>
      <c r="C8871" s="2" t="s">
        <v>9</v>
      </c>
      <c r="D8871" s="2" t="s">
        <v>10</v>
      </c>
      <c r="E8871" s="2" t="str">
        <f>HYPERLINK("http://ts.21cn.com/tousu/show/id/1339977","http://ts.21cn.com/tousu/show/id/1339977")</f>
        <v>http://ts.21cn.com/tousu/show/id/1339977</v>
      </c>
      <c r="F8871" s="2" t="s">
        <v>11</v>
      </c>
      <c r="G8871" s="2" t="s">
        <v>26719</v>
      </c>
      <c r="H8871" s="2" t="s">
        <v>26720</v>
      </c>
    </row>
    <row r="8872" spans="1:8" ht="25.05" customHeight="1" x14ac:dyDescent="0.25">
      <c r="A8872" s="2" t="s">
        <v>8</v>
      </c>
      <c r="B8872" s="2" t="str">
        <f>HYPERLINK("http://ts.21cn.com/tousu/show/id/1339935","交易猫卖家使用假客服恶意手段达到交易成功")</f>
        <v>交易猫卖家使用假客服恶意手段达到交易成功</v>
      </c>
      <c r="C8872" s="2" t="s">
        <v>9</v>
      </c>
      <c r="D8872" s="2" t="s">
        <v>10</v>
      </c>
      <c r="E8872" s="2" t="str">
        <f>HYPERLINK("http://ts.21cn.com/tousu/show/id/1339935","http://ts.21cn.com/tousu/show/id/1339935")</f>
        <v>http://ts.21cn.com/tousu/show/id/1339935</v>
      </c>
      <c r="F8872" s="2" t="s">
        <v>11</v>
      </c>
      <c r="G8872" s="2" t="s">
        <v>26717</v>
      </c>
      <c r="H8872" s="2" t="s">
        <v>26718</v>
      </c>
    </row>
    <row r="8873" spans="1:8" ht="25.05" customHeight="1" x14ac:dyDescent="0.25">
      <c r="A8873" s="2" t="s">
        <v>8</v>
      </c>
      <c r="B8873" s="2" t="str">
        <f>HYPERLINK("http://ts.21cn.com/tousu/show/id/1339980","佰仟金融严重影响我的工作和生活，已经协商过了，还来打扰")</f>
        <v>佰仟金融严重影响我的工作和生活，已经协商过了，还来打扰</v>
      </c>
      <c r="C8873" s="2" t="s">
        <v>9</v>
      </c>
      <c r="D8873" s="2" t="s">
        <v>10</v>
      </c>
      <c r="E8873" s="2" t="str">
        <f>HYPERLINK("http://ts.21cn.com/tousu/show/id/1339980","http://ts.21cn.com/tousu/show/id/1339980")</f>
        <v>http://ts.21cn.com/tousu/show/id/1339980</v>
      </c>
      <c r="F8873" s="2" t="s">
        <v>11</v>
      </c>
      <c r="G8873" s="2" t="s">
        <v>26715</v>
      </c>
      <c r="H8873" s="2" t="s">
        <v>26716</v>
      </c>
    </row>
    <row r="8874" spans="1:8" ht="25.05" customHeight="1" x14ac:dyDescent="0.25">
      <c r="A8874" s="2" t="s">
        <v>8</v>
      </c>
      <c r="B8874" s="2" t="str">
        <f>HYPERLINK("http://ts.21cn.com/tousu/show/id/1339982","钱站收取高额服务费")</f>
        <v>钱站收取高额服务费</v>
      </c>
      <c r="C8874" s="2" t="s">
        <v>9</v>
      </c>
      <c r="D8874" s="2" t="s">
        <v>10</v>
      </c>
      <c r="E8874" s="2" t="str">
        <f>HYPERLINK("http://ts.21cn.com/tousu/show/id/1339982","http://ts.21cn.com/tousu/show/id/1339982")</f>
        <v>http://ts.21cn.com/tousu/show/id/1339982</v>
      </c>
      <c r="F8874" s="2" t="s">
        <v>11</v>
      </c>
      <c r="G8874" s="2" t="s">
        <v>26713</v>
      </c>
      <c r="H8874" s="2" t="s">
        <v>26714</v>
      </c>
    </row>
    <row r="8875" spans="1:8" ht="25.05" customHeight="1" x14ac:dyDescent="0.25">
      <c r="A8875" s="2" t="s">
        <v>8</v>
      </c>
      <c r="B8875" s="2" t="str">
        <f>HYPERLINK("http://ts.21cn.com/tousu/show/id/1339985","暴力催收暴通讯录高利息")</f>
        <v>暴力催收暴通讯录高利息</v>
      </c>
      <c r="C8875" s="2" t="s">
        <v>9</v>
      </c>
      <c r="D8875" s="2" t="s">
        <v>10</v>
      </c>
      <c r="E8875" s="2" t="str">
        <f>HYPERLINK("http://ts.21cn.com/tousu/show/id/1339985","http://ts.21cn.com/tousu/show/id/1339985")</f>
        <v>http://ts.21cn.com/tousu/show/id/1339985</v>
      </c>
      <c r="F8875" s="2" t="s">
        <v>11</v>
      </c>
      <c r="G8875" s="2" t="s">
        <v>26711</v>
      </c>
      <c r="H8875" s="2" t="s">
        <v>26712</v>
      </c>
    </row>
    <row r="8876" spans="1:8" ht="25.05" customHeight="1" x14ac:dyDescent="0.25">
      <c r="A8876" s="2" t="s">
        <v>8</v>
      </c>
      <c r="B8876" s="2" t="str">
        <f>HYPERLINK("http://ts.21cn.com/tousu/show/id/1339983","下架退款")</f>
        <v>下架退款</v>
      </c>
      <c r="C8876" s="2" t="s">
        <v>9</v>
      </c>
      <c r="D8876" s="2" t="s">
        <v>10</v>
      </c>
      <c r="E8876" s="2" t="str">
        <f>HYPERLINK("http://ts.21cn.com/tousu/show/id/1339983","http://ts.21cn.com/tousu/show/id/1339983")</f>
        <v>http://ts.21cn.com/tousu/show/id/1339983</v>
      </c>
      <c r="F8876" s="2" t="s">
        <v>11</v>
      </c>
      <c r="G8876" s="2" t="s">
        <v>26709</v>
      </c>
      <c r="H8876" s="2" t="s">
        <v>26710</v>
      </c>
    </row>
    <row r="8877" spans="1:8" ht="25.05" customHeight="1" x14ac:dyDescent="0.25">
      <c r="A8877" s="2" t="s">
        <v>8</v>
      </c>
      <c r="B8877" s="2" t="str">
        <f>HYPERLINK("http://ts.21cn.com/tousu/show/id/1339984","平安普惠贷款隐瞒隐藏并强制收取高额保险费管理费投诉事宜")</f>
        <v>平安普惠贷款隐瞒隐藏并强制收取高额保险费管理费投诉事宜</v>
      </c>
      <c r="C8877" s="2" t="s">
        <v>9</v>
      </c>
      <c r="D8877" s="2" t="s">
        <v>10</v>
      </c>
      <c r="E8877" s="2" t="str">
        <f>HYPERLINK("http://ts.21cn.com/tousu/show/id/1339984","http://ts.21cn.com/tousu/show/id/1339984")</f>
        <v>http://ts.21cn.com/tousu/show/id/1339984</v>
      </c>
      <c r="F8877" s="2" t="s">
        <v>11</v>
      </c>
      <c r="G8877" s="2" t="s">
        <v>26707</v>
      </c>
      <c r="H8877" s="2" t="s">
        <v>26708</v>
      </c>
    </row>
    <row r="8878" spans="1:8" ht="25.05" customHeight="1" x14ac:dyDescent="0.25">
      <c r="A8878" s="2" t="s">
        <v>8</v>
      </c>
      <c r="B8878" s="2" t="str">
        <f>HYPERLINK("http://ts.21cn.com/tousu/show/id/1339987","51人品贷涉嫌高利贷，电话骚扰")</f>
        <v>51人品贷涉嫌高利贷，电话骚扰</v>
      </c>
      <c r="C8878" s="2" t="s">
        <v>9</v>
      </c>
      <c r="D8878" s="2" t="s">
        <v>10</v>
      </c>
      <c r="E8878" s="2" t="str">
        <f>HYPERLINK("http://ts.21cn.com/tousu/show/id/1339987","http://ts.21cn.com/tousu/show/id/1339987")</f>
        <v>http://ts.21cn.com/tousu/show/id/1339987</v>
      </c>
      <c r="F8878" s="2" t="s">
        <v>11</v>
      </c>
      <c r="G8878" s="2" t="s">
        <v>26705</v>
      </c>
      <c r="H8878" s="2" t="s">
        <v>26706</v>
      </c>
    </row>
    <row r="8879" spans="1:8" ht="25.05" customHeight="1" x14ac:dyDescent="0.25">
      <c r="A8879" s="2" t="s">
        <v>8</v>
      </c>
      <c r="B8879" s="2" t="str">
        <f>HYPERLINK("http://ts.21cn.com/tousu/show/id/1339989","电话频烦骚扰！")</f>
        <v>电话频烦骚扰！</v>
      </c>
      <c r="C8879" s="2" t="s">
        <v>9</v>
      </c>
      <c r="D8879" s="2" t="s">
        <v>10</v>
      </c>
      <c r="E8879" s="2" t="str">
        <f>HYPERLINK("http://ts.21cn.com/tousu/show/id/1339989","http://ts.21cn.com/tousu/show/id/1339989")</f>
        <v>http://ts.21cn.com/tousu/show/id/1339989</v>
      </c>
      <c r="F8879" s="2" t="s">
        <v>11</v>
      </c>
      <c r="G8879" s="2" t="s">
        <v>26703</v>
      </c>
      <c r="H8879" s="2" t="s">
        <v>26704</v>
      </c>
    </row>
    <row r="8880" spans="1:8" ht="25.05" customHeight="1" x14ac:dyDescent="0.25">
      <c r="A8880" s="2" t="s">
        <v>8</v>
      </c>
      <c r="B8880" s="2" t="str">
        <f>HYPERLINK("http://ts.21cn.com/tousu/show/id/1339988","水莲金条恐吓威胁暴力催收")</f>
        <v>水莲金条恐吓威胁暴力催收</v>
      </c>
      <c r="C8880" s="2" t="s">
        <v>9</v>
      </c>
      <c r="D8880" s="2" t="s">
        <v>10</v>
      </c>
      <c r="E8880" s="2" t="str">
        <f>HYPERLINK("http://ts.21cn.com/tousu/show/id/1339988","http://ts.21cn.com/tousu/show/id/1339988")</f>
        <v>http://ts.21cn.com/tousu/show/id/1339988</v>
      </c>
      <c r="F8880" s="2" t="s">
        <v>11</v>
      </c>
      <c r="G8880" s="2" t="s">
        <v>26701</v>
      </c>
      <c r="H8880" s="2" t="s">
        <v>26702</v>
      </c>
    </row>
    <row r="8881" spans="1:8" ht="25.05" customHeight="1" x14ac:dyDescent="0.25">
      <c r="A8881" s="2" t="s">
        <v>8</v>
      </c>
      <c r="B8881" s="2" t="str">
        <f>HYPERLINK("http://ts.21cn.com/tousu/show/id/1339990","小花钱包")</f>
        <v>小花钱包</v>
      </c>
      <c r="C8881" s="2" t="s">
        <v>9</v>
      </c>
      <c r="D8881" s="2" t="s">
        <v>10</v>
      </c>
      <c r="E8881" s="2" t="str">
        <f>HYPERLINK("http://ts.21cn.com/tousu/show/id/1339990","http://ts.21cn.com/tousu/show/id/1339990")</f>
        <v>http://ts.21cn.com/tousu/show/id/1339990</v>
      </c>
      <c r="F8881" s="2" t="s">
        <v>11</v>
      </c>
      <c r="G8881" s="2" t="s">
        <v>26699</v>
      </c>
      <c r="H8881" s="2" t="s">
        <v>26700</v>
      </c>
    </row>
    <row r="8882" spans="1:8" ht="25.05" customHeight="1" x14ac:dyDescent="0.25">
      <c r="A8882" s="2" t="s">
        <v>8</v>
      </c>
      <c r="B8882" s="2" t="str">
        <f>HYPERLINK("http://ts.21cn.com/tousu/show/id/1339992","高利贷，暴力催收，冒充公检法，伪造律师函法院传票，爆通讯录")</f>
        <v>高利贷，暴力催收，冒充公检法，伪造律师函法院传票，爆通讯录</v>
      </c>
      <c r="C8882" s="2" t="s">
        <v>9</v>
      </c>
      <c r="D8882" s="2" t="s">
        <v>10</v>
      </c>
      <c r="E8882" s="2" t="str">
        <f>HYPERLINK("http://ts.21cn.com/tousu/show/id/1339992","http://ts.21cn.com/tousu/show/id/1339992")</f>
        <v>http://ts.21cn.com/tousu/show/id/1339992</v>
      </c>
      <c r="F8882" s="2" t="s">
        <v>11</v>
      </c>
      <c r="G8882" s="2" t="s">
        <v>26697</v>
      </c>
      <c r="H8882" s="2" t="s">
        <v>26698</v>
      </c>
    </row>
    <row r="8883" spans="1:8" ht="25.05" customHeight="1" x14ac:dyDescent="0.25">
      <c r="A8883" s="2" t="s">
        <v>8</v>
      </c>
      <c r="B8883" s="2" t="str">
        <f>HYPERLINK("http://ts.21cn.com/tousu/show/id/1339993","51人品贷威胁催收")</f>
        <v>51人品贷威胁催收</v>
      </c>
      <c r="C8883" s="2" t="s">
        <v>9</v>
      </c>
      <c r="D8883" s="2" t="s">
        <v>10</v>
      </c>
      <c r="E8883" s="2" t="str">
        <f>HYPERLINK("http://ts.21cn.com/tousu/show/id/1339993","http://ts.21cn.com/tousu/show/id/1339993")</f>
        <v>http://ts.21cn.com/tousu/show/id/1339993</v>
      </c>
      <c r="F8883" s="2" t="s">
        <v>11</v>
      </c>
      <c r="G8883" s="2" t="s">
        <v>26695</v>
      </c>
      <c r="H8883" s="2" t="s">
        <v>26696</v>
      </c>
    </row>
    <row r="8884" spans="1:8" ht="25.05" customHeight="1" x14ac:dyDescent="0.25">
      <c r="A8884" s="2" t="s">
        <v>8</v>
      </c>
      <c r="B8884" s="2" t="str">
        <f>HYPERLINK("http://ts.21cn.com/tousu/show/id/1339995","涉黑")</f>
        <v>涉黑</v>
      </c>
      <c r="C8884" s="2" t="s">
        <v>9</v>
      </c>
      <c r="D8884" s="2" t="s">
        <v>10</v>
      </c>
      <c r="E8884" s="2" t="str">
        <f>HYPERLINK("http://ts.21cn.com/tousu/show/id/1339995","http://ts.21cn.com/tousu/show/id/1339995")</f>
        <v>http://ts.21cn.com/tousu/show/id/1339995</v>
      </c>
      <c r="F8884" s="2" t="s">
        <v>11</v>
      </c>
      <c r="G8884" s="2" t="s">
        <v>26693</v>
      </c>
      <c r="H8884" s="2" t="s">
        <v>26694</v>
      </c>
    </row>
    <row r="8885" spans="1:8" ht="25.05" customHeight="1" x14ac:dyDescent="0.25">
      <c r="A8885" s="2" t="s">
        <v>8</v>
      </c>
      <c r="B8885" s="2" t="str">
        <f>HYPERLINK("http://ts.21cn.com/tousu/show/id/1339996","银联95516")</f>
        <v>银联95516</v>
      </c>
      <c r="C8885" s="2" t="s">
        <v>9</v>
      </c>
      <c r="D8885" s="2" t="s">
        <v>10</v>
      </c>
      <c r="E8885" s="2" t="str">
        <f>HYPERLINK("http://ts.21cn.com/tousu/show/id/1339996","http://ts.21cn.com/tousu/show/id/1339996")</f>
        <v>http://ts.21cn.com/tousu/show/id/1339996</v>
      </c>
      <c r="F8885" s="2" t="s">
        <v>11</v>
      </c>
      <c r="G8885" s="2" t="s">
        <v>26690</v>
      </c>
      <c r="H8885" s="2" t="s">
        <v>26691</v>
      </c>
    </row>
    <row r="8886" spans="1:8" ht="25.05" customHeight="1" x14ac:dyDescent="0.25">
      <c r="A8886" s="2" t="s">
        <v>8</v>
      </c>
      <c r="B8886" s="2" t="str">
        <f>HYPERLINK("http://ts.21cn.com/tousu/show/id/1339997","捷信欺诈")</f>
        <v>捷信欺诈</v>
      </c>
      <c r="C8886" s="2" t="s">
        <v>9</v>
      </c>
      <c r="D8886" s="2" t="s">
        <v>10</v>
      </c>
      <c r="E8886" s="2" t="str">
        <f>HYPERLINK("http://ts.21cn.com/tousu/show/id/1339997","http://ts.21cn.com/tousu/show/id/1339997")</f>
        <v>http://ts.21cn.com/tousu/show/id/1339997</v>
      </c>
      <c r="F8886" s="2" t="s">
        <v>11</v>
      </c>
      <c r="G8886" s="2" t="s">
        <v>26690</v>
      </c>
      <c r="H8886" s="2" t="s">
        <v>26692</v>
      </c>
    </row>
    <row r="8887" spans="1:8" ht="25.05" customHeight="1" x14ac:dyDescent="0.25">
      <c r="A8887" s="2" t="s">
        <v>8</v>
      </c>
      <c r="B8887" s="2" t="str">
        <f>HYPERLINK("http://ts.21cn.com/tousu/show/id/1339998","要求拍拍贷停止恐吓威胁")</f>
        <v>要求拍拍贷停止恐吓威胁</v>
      </c>
      <c r="C8887" s="2" t="s">
        <v>9</v>
      </c>
      <c r="D8887" s="2" t="s">
        <v>10</v>
      </c>
      <c r="E8887" s="2" t="str">
        <f>HYPERLINK("http://ts.21cn.com/tousu/show/id/1339998","http://ts.21cn.com/tousu/show/id/1339998")</f>
        <v>http://ts.21cn.com/tousu/show/id/1339998</v>
      </c>
      <c r="F8887" s="2" t="s">
        <v>11</v>
      </c>
      <c r="G8887" s="2" t="s">
        <v>26688</v>
      </c>
      <c r="H8887" s="2" t="s">
        <v>26689</v>
      </c>
    </row>
    <row r="8888" spans="1:8" ht="25.05" customHeight="1" x14ac:dyDescent="0.25">
      <c r="A8888" s="2" t="s">
        <v>8</v>
      </c>
      <c r="B8888" s="2" t="str">
        <f>HYPERLINK("http://ts.21cn.com/tousu/show/id/1340000","胖胖有米套路贷")</f>
        <v>胖胖有米套路贷</v>
      </c>
      <c r="C8888" s="2" t="s">
        <v>9</v>
      </c>
      <c r="D8888" s="2" t="s">
        <v>10</v>
      </c>
      <c r="E8888" s="2" t="str">
        <f>HYPERLINK("http://ts.21cn.com/tousu/show/id/1340000","http://ts.21cn.com/tousu/show/id/1340000")</f>
        <v>http://ts.21cn.com/tousu/show/id/1340000</v>
      </c>
      <c r="F8888" s="2" t="s">
        <v>11</v>
      </c>
      <c r="G8888" s="2" t="s">
        <v>26686</v>
      </c>
      <c r="H8888" s="2" t="s">
        <v>26687</v>
      </c>
    </row>
    <row r="8889" spans="1:8" ht="25.05" customHeight="1" x14ac:dyDescent="0.25">
      <c r="A8889" s="2" t="s">
        <v>8</v>
      </c>
      <c r="B8889" s="2" t="str">
        <f>HYPERLINK("http://ts.21cn.com/tousu/show/id/1339999","投诉自由魔卡旗下口袋有余！六便士！信用计划！已经下架的泉友贷")</f>
        <v>投诉自由魔卡旗下口袋有余！六便士！信用计划！已经下架的泉友贷</v>
      </c>
      <c r="C8889" s="2" t="s">
        <v>9</v>
      </c>
      <c r="D8889" s="2" t="s">
        <v>10</v>
      </c>
      <c r="E8889" s="2" t="str">
        <f>HYPERLINK("http://ts.21cn.com/tousu/show/id/1339999","http://ts.21cn.com/tousu/show/id/1339999")</f>
        <v>http://ts.21cn.com/tousu/show/id/1339999</v>
      </c>
      <c r="F8889" s="2" t="s">
        <v>11</v>
      </c>
      <c r="G8889" s="2" t="s">
        <v>26684</v>
      </c>
      <c r="H8889" s="2" t="s">
        <v>26685</v>
      </c>
    </row>
    <row r="8890" spans="1:8" ht="25.05" customHeight="1" x14ac:dyDescent="0.25">
      <c r="A8890" s="2" t="s">
        <v>8</v>
      </c>
      <c r="B8890" s="2" t="str">
        <f>HYPERLINK("http://ts.21cn.com/tousu/show/id/1340002","钱站高利贷套路贷")</f>
        <v>钱站高利贷套路贷</v>
      </c>
      <c r="C8890" s="2" t="s">
        <v>9</v>
      </c>
      <c r="D8890" s="2" t="s">
        <v>10</v>
      </c>
      <c r="E8890" s="2" t="str">
        <f>HYPERLINK("http://ts.21cn.com/tousu/show/id/1340002","http://ts.21cn.com/tousu/show/id/1340002")</f>
        <v>http://ts.21cn.com/tousu/show/id/1340002</v>
      </c>
      <c r="F8890" s="2" t="s">
        <v>11</v>
      </c>
      <c r="G8890" s="2" t="s">
        <v>26682</v>
      </c>
      <c r="H8890" s="2" t="s">
        <v>26683</v>
      </c>
    </row>
    <row r="8891" spans="1:8" ht="25.05" customHeight="1" x14ac:dyDescent="0.25">
      <c r="A8891" s="2" t="s">
        <v>8</v>
      </c>
      <c r="B8891" s="2" t="str">
        <f>HYPERLINK("http://ts.21cn.com/tousu/show/id/1340001","钱包商家招财贷砍头息高利贷")</f>
        <v>钱包商家招财贷砍头息高利贷</v>
      </c>
      <c r="C8891" s="2" t="s">
        <v>9</v>
      </c>
      <c r="D8891" s="2" t="s">
        <v>10</v>
      </c>
      <c r="E8891" s="2" t="str">
        <f>HYPERLINK("http://ts.21cn.com/tousu/show/id/1340001","http://ts.21cn.com/tousu/show/id/1340001")</f>
        <v>http://ts.21cn.com/tousu/show/id/1340001</v>
      </c>
      <c r="F8891" s="2" t="s">
        <v>11</v>
      </c>
      <c r="G8891" s="2" t="s">
        <v>26680</v>
      </c>
      <c r="H8891" s="2" t="s">
        <v>26681</v>
      </c>
    </row>
    <row r="8892" spans="1:8" ht="25.05" customHeight="1" x14ac:dyDescent="0.25">
      <c r="A8892" s="2" t="s">
        <v>8</v>
      </c>
      <c r="B8892" s="2" t="str">
        <f>HYPERLINK("http://ts.21cn.com/tousu/show/id/1340003","威胁")</f>
        <v>威胁</v>
      </c>
      <c r="C8892" s="2" t="s">
        <v>9</v>
      </c>
      <c r="D8892" s="2" t="s">
        <v>10</v>
      </c>
      <c r="E8892" s="2" t="str">
        <f>HYPERLINK("http://ts.21cn.com/tousu/show/id/1340003","http://ts.21cn.com/tousu/show/id/1340003")</f>
        <v>http://ts.21cn.com/tousu/show/id/1340003</v>
      </c>
      <c r="F8892" s="2" t="s">
        <v>11</v>
      </c>
      <c r="G8892" s="2" t="s">
        <v>26678</v>
      </c>
      <c r="H8892" s="2" t="s">
        <v>26679</v>
      </c>
    </row>
    <row r="8893" spans="1:8" ht="25.05" customHeight="1" x14ac:dyDescent="0.25">
      <c r="A8893" s="2" t="s">
        <v>8</v>
      </c>
      <c r="B8893" s="2" t="str">
        <f>HYPERLINK("http://ts.21cn.com/tousu/show/id/1340004","突然发现钱少了")</f>
        <v>突然发现钱少了</v>
      </c>
      <c r="C8893" s="2" t="s">
        <v>9</v>
      </c>
      <c r="D8893" s="2" t="s">
        <v>10</v>
      </c>
      <c r="E8893" s="2" t="str">
        <f>HYPERLINK("http://ts.21cn.com/tousu/show/id/1340004","http://ts.21cn.com/tousu/show/id/1340004")</f>
        <v>http://ts.21cn.com/tousu/show/id/1340004</v>
      </c>
      <c r="F8893" s="2" t="s">
        <v>11</v>
      </c>
      <c r="G8893" s="2" t="s">
        <v>26676</v>
      </c>
      <c r="H8893" s="2" t="s">
        <v>26677</v>
      </c>
    </row>
    <row r="8894" spans="1:8" ht="25.05" customHeight="1" x14ac:dyDescent="0.25">
      <c r="A8894" s="2" t="s">
        <v>8</v>
      </c>
      <c r="B8894" s="2" t="str">
        <f>HYPERLINK("http://ts.21cn.com/tousu/show/id/1340005","套路贷")</f>
        <v>套路贷</v>
      </c>
      <c r="C8894" s="2" t="s">
        <v>9</v>
      </c>
      <c r="D8894" s="2" t="s">
        <v>10</v>
      </c>
      <c r="E8894" s="2" t="str">
        <f>HYPERLINK("http://ts.21cn.com/tousu/show/id/1340005","http://ts.21cn.com/tousu/show/id/1340005")</f>
        <v>http://ts.21cn.com/tousu/show/id/1340005</v>
      </c>
      <c r="F8894" s="2" t="s">
        <v>11</v>
      </c>
      <c r="G8894" s="2" t="s">
        <v>26674</v>
      </c>
      <c r="H8894" s="2" t="s">
        <v>26675</v>
      </c>
    </row>
    <row r="8895" spans="1:8" ht="25.05" customHeight="1" x14ac:dyDescent="0.25">
      <c r="A8895" s="2" t="s">
        <v>8</v>
      </c>
      <c r="B8895" s="2" t="str">
        <f>HYPERLINK("http://ts.21cn.com/tousu/show/id/1340006","喷雾泵没有内置管，打电话反映无人接通")</f>
        <v>喷雾泵没有内置管，打电话反映无人接通</v>
      </c>
      <c r="C8895" s="2" t="s">
        <v>9</v>
      </c>
      <c r="D8895" s="2" t="s">
        <v>10</v>
      </c>
      <c r="E8895" s="2" t="str">
        <f>HYPERLINK("http://ts.21cn.com/tousu/show/id/1340006","http://ts.21cn.com/tousu/show/id/1340006")</f>
        <v>http://ts.21cn.com/tousu/show/id/1340006</v>
      </c>
      <c r="F8895" s="2" t="s">
        <v>11</v>
      </c>
      <c r="G8895" s="2" t="s">
        <v>26672</v>
      </c>
      <c r="H8895" s="2" t="s">
        <v>26673</v>
      </c>
    </row>
    <row r="8896" spans="1:8" ht="25.05" customHeight="1" x14ac:dyDescent="0.25">
      <c r="A8896" s="2" t="s">
        <v>8</v>
      </c>
      <c r="B8896" s="2" t="str">
        <f>HYPERLINK("http://ts.21cn.com/tousu/show/id/1339845","顺丰速运派送造成丢件推脱责任拒不理赔")</f>
        <v>顺丰速运派送造成丢件推脱责任拒不理赔</v>
      </c>
      <c r="C8896" s="2" t="s">
        <v>9</v>
      </c>
      <c r="D8896" s="2" t="s">
        <v>10</v>
      </c>
      <c r="E8896" s="2" t="str">
        <f>HYPERLINK("http://ts.21cn.com/tousu/show/id/1339845","http://ts.21cn.com/tousu/show/id/1339845")</f>
        <v>http://ts.21cn.com/tousu/show/id/1339845</v>
      </c>
      <c r="F8896" s="2" t="s">
        <v>11</v>
      </c>
      <c r="G8896" s="2" t="s">
        <v>26670</v>
      </c>
      <c r="H8896" s="2" t="s">
        <v>26671</v>
      </c>
    </row>
    <row r="8897" spans="1:8" ht="25.05" customHeight="1" x14ac:dyDescent="0.25">
      <c r="A8897" s="2" t="s">
        <v>8</v>
      </c>
      <c r="B8897" s="2" t="str">
        <f>HYPERLINK("http://ts.21cn.com/tousu/show/id/1340007","投诉不了了之")</f>
        <v>投诉不了了之</v>
      </c>
      <c r="C8897" s="2" t="s">
        <v>9</v>
      </c>
      <c r="D8897" s="2" t="s">
        <v>10</v>
      </c>
      <c r="E8897" s="2" t="str">
        <f>HYPERLINK("http://ts.21cn.com/tousu/show/id/1340007","http://ts.21cn.com/tousu/show/id/1340007")</f>
        <v>http://ts.21cn.com/tousu/show/id/1340007</v>
      </c>
      <c r="F8897" s="2" t="s">
        <v>11</v>
      </c>
      <c r="G8897" s="2" t="s">
        <v>26668</v>
      </c>
      <c r="H8897" s="2" t="s">
        <v>26669</v>
      </c>
    </row>
    <row r="8898" spans="1:8" ht="25.05" customHeight="1" x14ac:dyDescent="0.25">
      <c r="A8898" s="2" t="s">
        <v>8</v>
      </c>
      <c r="B8898" s="2" t="str">
        <f>HYPERLINK("http://ts.21cn.com/tousu/show/id/1340008","骚扰威胁")</f>
        <v>骚扰威胁</v>
      </c>
      <c r="C8898" s="2" t="s">
        <v>9</v>
      </c>
      <c r="D8898" s="2" t="s">
        <v>10</v>
      </c>
      <c r="E8898" s="2" t="str">
        <f>HYPERLINK("http://ts.21cn.com/tousu/show/id/1340008","http://ts.21cn.com/tousu/show/id/1340008")</f>
        <v>http://ts.21cn.com/tousu/show/id/1340008</v>
      </c>
      <c r="F8898" s="2" t="s">
        <v>11</v>
      </c>
      <c r="G8898" s="2" t="s">
        <v>26666</v>
      </c>
      <c r="H8898" s="2" t="s">
        <v>26667</v>
      </c>
    </row>
    <row r="8899" spans="1:8" ht="25.05" customHeight="1" x14ac:dyDescent="0.25">
      <c r="A8899" s="2" t="s">
        <v>8</v>
      </c>
      <c r="B8899" s="2" t="str">
        <f>HYPERLINK("http://ts.21cn.com/tousu/show/id/1340010","兴业银行第三方催收投诉")</f>
        <v>兴业银行第三方催收投诉</v>
      </c>
      <c r="C8899" s="2" t="s">
        <v>9</v>
      </c>
      <c r="D8899" s="2" t="s">
        <v>10</v>
      </c>
      <c r="E8899" s="2" t="str">
        <f>HYPERLINK("http://ts.21cn.com/tousu/show/id/1340010","http://ts.21cn.com/tousu/show/id/1340010")</f>
        <v>http://ts.21cn.com/tousu/show/id/1340010</v>
      </c>
      <c r="F8899" s="2" t="s">
        <v>11</v>
      </c>
      <c r="G8899" s="2" t="s">
        <v>26664</v>
      </c>
      <c r="H8899" s="2" t="s">
        <v>26665</v>
      </c>
    </row>
    <row r="8900" spans="1:8" ht="25.05" customHeight="1" x14ac:dyDescent="0.25">
      <c r="A8900" s="2" t="s">
        <v>8</v>
      </c>
      <c r="B8900" s="2" t="str">
        <f>HYPERLINK("http://ts.21cn.com/tousu/show/id/1340012","新浪分期不支持提前还款高利贷违反规定")</f>
        <v>新浪分期不支持提前还款高利贷违反规定</v>
      </c>
      <c r="C8900" s="2" t="s">
        <v>9</v>
      </c>
      <c r="D8900" s="2" t="s">
        <v>10</v>
      </c>
      <c r="E8900" s="2" t="str">
        <f>HYPERLINK("http://ts.21cn.com/tousu/show/id/1340012","http://ts.21cn.com/tousu/show/id/1340012")</f>
        <v>http://ts.21cn.com/tousu/show/id/1340012</v>
      </c>
      <c r="F8900" s="2" t="s">
        <v>11</v>
      </c>
      <c r="G8900" s="2" t="s">
        <v>26662</v>
      </c>
      <c r="H8900" s="2" t="s">
        <v>26663</v>
      </c>
    </row>
    <row r="8901" spans="1:8" ht="25.05" customHeight="1" x14ac:dyDescent="0.25">
      <c r="A8901" s="2" t="s">
        <v>8</v>
      </c>
      <c r="B8901" s="2" t="str">
        <f>HYPERLINK("http://ts.21cn.com/tousu/show/id/1340011","马上消费金融恐吓，侮辱我本人")</f>
        <v>马上消费金融恐吓，侮辱我本人</v>
      </c>
      <c r="C8901" s="2" t="s">
        <v>9</v>
      </c>
      <c r="D8901" s="2" t="s">
        <v>10</v>
      </c>
      <c r="E8901" s="2" t="str">
        <f>HYPERLINK("http://ts.21cn.com/tousu/show/id/1340011","http://ts.21cn.com/tousu/show/id/1340011")</f>
        <v>http://ts.21cn.com/tousu/show/id/1340011</v>
      </c>
      <c r="F8901" s="2" t="s">
        <v>11</v>
      </c>
      <c r="G8901" s="2" t="s">
        <v>26660</v>
      </c>
      <c r="H8901" s="2" t="s">
        <v>26661</v>
      </c>
    </row>
    <row r="8902" spans="1:8" ht="25.05" customHeight="1" x14ac:dyDescent="0.25">
      <c r="A8902" s="2" t="s">
        <v>8</v>
      </c>
      <c r="B8902" s="2" t="str">
        <f>HYPERLINK("http://ts.21cn.com/tousu/show/id/1340013","拍拍贷高利贷爆通讯录")</f>
        <v>拍拍贷高利贷爆通讯录</v>
      </c>
      <c r="C8902" s="2" t="s">
        <v>9</v>
      </c>
      <c r="D8902" s="2" t="s">
        <v>10</v>
      </c>
      <c r="E8902" s="2" t="str">
        <f>HYPERLINK("http://ts.21cn.com/tousu/show/id/1340013","http://ts.21cn.com/tousu/show/id/1340013")</f>
        <v>http://ts.21cn.com/tousu/show/id/1340013</v>
      </c>
      <c r="F8902" s="2" t="s">
        <v>11</v>
      </c>
      <c r="G8902" s="2" t="s">
        <v>26658</v>
      </c>
      <c r="H8902" s="2" t="s">
        <v>26659</v>
      </c>
    </row>
    <row r="8903" spans="1:8" ht="25.05" customHeight="1" x14ac:dyDescent="0.25">
      <c r="A8903" s="2" t="s">
        <v>8</v>
      </c>
      <c r="B8903" s="2" t="str">
        <f>HYPERLINK("http://ts.21cn.com/tousu/show/id/1340015","拍拍贷骚扰家人邻居朋友")</f>
        <v>拍拍贷骚扰家人邻居朋友</v>
      </c>
      <c r="C8903" s="2" t="s">
        <v>9</v>
      </c>
      <c r="D8903" s="2" t="s">
        <v>10</v>
      </c>
      <c r="E8903" s="2" t="str">
        <f>HYPERLINK("http://ts.21cn.com/tousu/show/id/1340015","http://ts.21cn.com/tousu/show/id/1340015")</f>
        <v>http://ts.21cn.com/tousu/show/id/1340015</v>
      </c>
      <c r="F8903" s="2" t="s">
        <v>11</v>
      </c>
      <c r="G8903" s="2" t="s">
        <v>26656</v>
      </c>
      <c r="H8903" s="2" t="s">
        <v>26657</v>
      </c>
    </row>
    <row r="8904" spans="1:8" ht="25.05" customHeight="1" x14ac:dyDescent="0.25">
      <c r="A8904" s="2" t="s">
        <v>8</v>
      </c>
      <c r="B8904" s="2" t="str">
        <f>HYPERLINK("http://ts.21cn.com/tousu/show/id/1340016","白条分期私自扣我银行卡里199元钱，说是会员费")</f>
        <v>白条分期私自扣我银行卡里199元钱，说是会员费</v>
      </c>
      <c r="C8904" s="2" t="s">
        <v>9</v>
      </c>
      <c r="D8904" s="2" t="s">
        <v>10</v>
      </c>
      <c r="E8904" s="2" t="str">
        <f>HYPERLINK("http://ts.21cn.com/tousu/show/id/1340016","http://ts.21cn.com/tousu/show/id/1340016")</f>
        <v>http://ts.21cn.com/tousu/show/id/1340016</v>
      </c>
      <c r="F8904" s="2" t="s">
        <v>11</v>
      </c>
      <c r="G8904" s="2" t="s">
        <v>26654</v>
      </c>
      <c r="H8904" s="2" t="s">
        <v>26655</v>
      </c>
    </row>
    <row r="8905" spans="1:8" ht="25.05" customHeight="1" x14ac:dyDescent="0.25">
      <c r="A8905" s="2" t="s">
        <v>8</v>
      </c>
      <c r="B8905" s="2" t="str">
        <f>HYPERLINK("http://ts.21cn.com/tousu/show/id/1340014","360借条内部口子言而无信")</f>
        <v>360借条内部口子言而无信</v>
      </c>
      <c r="C8905" s="2" t="s">
        <v>9</v>
      </c>
      <c r="D8905" s="2" t="s">
        <v>10</v>
      </c>
      <c r="E8905" s="2" t="str">
        <f>HYPERLINK("http://ts.21cn.com/tousu/show/id/1340014","http://ts.21cn.com/tousu/show/id/1340014")</f>
        <v>http://ts.21cn.com/tousu/show/id/1340014</v>
      </c>
      <c r="F8905" s="2" t="s">
        <v>11</v>
      </c>
      <c r="G8905" s="2" t="s">
        <v>26652</v>
      </c>
      <c r="H8905" s="2" t="s">
        <v>26653</v>
      </c>
    </row>
    <row r="8906" spans="1:8" ht="25.05" customHeight="1" x14ac:dyDescent="0.25">
      <c r="A8906" s="2" t="s">
        <v>8</v>
      </c>
      <c r="B8906" s="2" t="str">
        <f>HYPERLINK("http://ts.21cn.com/tousu/show/id/1340017","未经许可私自扣款")</f>
        <v>未经许可私自扣款</v>
      </c>
      <c r="C8906" s="2" t="s">
        <v>9</v>
      </c>
      <c r="D8906" s="2" t="s">
        <v>10</v>
      </c>
      <c r="E8906" s="2" t="str">
        <f>HYPERLINK("http://ts.21cn.com/tousu/show/id/1340017","http://ts.21cn.com/tousu/show/id/1340017")</f>
        <v>http://ts.21cn.com/tousu/show/id/1340017</v>
      </c>
      <c r="F8906" s="2" t="s">
        <v>11</v>
      </c>
      <c r="G8906" s="2" t="s">
        <v>26650</v>
      </c>
      <c r="H8906" s="2" t="s">
        <v>26651</v>
      </c>
    </row>
    <row r="8907" spans="1:8" ht="25.05" customHeight="1" x14ac:dyDescent="0.25">
      <c r="A8907" s="2" t="s">
        <v>8</v>
      </c>
      <c r="B8907" s="2" t="str">
        <f>HYPERLINK("http://ts.21cn.com/tousu/show/id/1340020","随手记暴力催收")</f>
        <v>随手记暴力催收</v>
      </c>
      <c r="C8907" s="2" t="s">
        <v>9</v>
      </c>
      <c r="D8907" s="2" t="s">
        <v>10</v>
      </c>
      <c r="E8907" s="2" t="str">
        <f>HYPERLINK("http://ts.21cn.com/tousu/show/id/1340020","http://ts.21cn.com/tousu/show/id/1340020")</f>
        <v>http://ts.21cn.com/tousu/show/id/1340020</v>
      </c>
      <c r="F8907" s="2" t="s">
        <v>11</v>
      </c>
      <c r="G8907" s="2" t="s">
        <v>26648</v>
      </c>
      <c r="H8907" s="2" t="s">
        <v>26649</v>
      </c>
    </row>
    <row r="8908" spans="1:8" ht="25.05" customHeight="1" x14ac:dyDescent="0.25">
      <c r="A8908" s="2" t="s">
        <v>8</v>
      </c>
      <c r="B8908" s="2" t="str">
        <f>HYPERLINK("http://ts.21cn.com/tousu/show/id/1340018","贷上钱催收不合法")</f>
        <v>贷上钱催收不合法</v>
      </c>
      <c r="C8908" s="2" t="s">
        <v>9</v>
      </c>
      <c r="D8908" s="2" t="s">
        <v>10</v>
      </c>
      <c r="E8908" s="2" t="str">
        <f>HYPERLINK("http://ts.21cn.com/tousu/show/id/1340018","http://ts.21cn.com/tousu/show/id/1340018")</f>
        <v>http://ts.21cn.com/tousu/show/id/1340018</v>
      </c>
      <c r="F8908" s="2" t="s">
        <v>11</v>
      </c>
      <c r="G8908" s="2" t="s">
        <v>26646</v>
      </c>
      <c r="H8908" s="2" t="s">
        <v>26647</v>
      </c>
    </row>
    <row r="8909" spans="1:8" ht="25.05" customHeight="1" x14ac:dyDescent="0.25">
      <c r="A8909" s="2" t="s">
        <v>8</v>
      </c>
      <c r="B8909" s="2" t="str">
        <f>HYPERLINK("http://ts.21cn.com/tousu/show/id/1340019","购买商品降价幅度大")</f>
        <v>购买商品降价幅度大</v>
      </c>
      <c r="C8909" s="2" t="s">
        <v>9</v>
      </c>
      <c r="D8909" s="2" t="s">
        <v>10</v>
      </c>
      <c r="E8909" s="2" t="str">
        <f>HYPERLINK("http://ts.21cn.com/tousu/show/id/1340019","http://ts.21cn.com/tousu/show/id/1340019")</f>
        <v>http://ts.21cn.com/tousu/show/id/1340019</v>
      </c>
      <c r="F8909" s="2" t="s">
        <v>11</v>
      </c>
      <c r="G8909" s="2" t="s">
        <v>26644</v>
      </c>
      <c r="H8909" s="2" t="s">
        <v>26645</v>
      </c>
    </row>
    <row r="8910" spans="1:8" ht="25.05" customHeight="1" x14ac:dyDescent="0.25">
      <c r="A8910" s="2" t="s">
        <v>8</v>
      </c>
      <c r="B8910" s="2" t="str">
        <f>HYPERLINK("http://ts.21cn.com/tousu/show/id/1340022","海南移动卡发不了信息")</f>
        <v>海南移动卡发不了信息</v>
      </c>
      <c r="C8910" s="2" t="s">
        <v>34</v>
      </c>
      <c r="D8910" s="2" t="s">
        <v>10</v>
      </c>
      <c r="E8910" s="2" t="str">
        <f>HYPERLINK("http://ts.21cn.com/tousu/show/id/1340022","http://ts.21cn.com/tousu/show/id/1340022")</f>
        <v>http://ts.21cn.com/tousu/show/id/1340022</v>
      </c>
      <c r="F8910" s="2" t="s">
        <v>11</v>
      </c>
      <c r="G8910" s="2" t="s">
        <v>26642</v>
      </c>
      <c r="H8910" s="2" t="s">
        <v>26643</v>
      </c>
    </row>
    <row r="8911" spans="1:8" ht="25.05" customHeight="1" x14ac:dyDescent="0.25">
      <c r="A8911" s="2" t="s">
        <v>8</v>
      </c>
      <c r="B8911" s="2" t="str">
        <f>HYPERLINK("http://ts.21cn.com/tousu/show/id/1340023","打击黑心贷！！砍头息！！")</f>
        <v>打击黑心贷！！砍头息！！</v>
      </c>
      <c r="C8911" s="2" t="s">
        <v>9</v>
      </c>
      <c r="D8911" s="2" t="s">
        <v>10</v>
      </c>
      <c r="E8911" s="2" t="str">
        <f>HYPERLINK("http://ts.21cn.com/tousu/show/id/1340023","http://ts.21cn.com/tousu/show/id/1340023")</f>
        <v>http://ts.21cn.com/tousu/show/id/1340023</v>
      </c>
      <c r="F8911" s="2" t="s">
        <v>11</v>
      </c>
      <c r="G8911" s="2" t="s">
        <v>26640</v>
      </c>
      <c r="H8911" s="2" t="s">
        <v>26641</v>
      </c>
    </row>
    <row r="8912" spans="1:8" ht="25.05" customHeight="1" x14ac:dyDescent="0.25">
      <c r="A8912" s="2" t="s">
        <v>8</v>
      </c>
      <c r="B8912" s="2" t="str">
        <f>HYPERLINK("http://ts.21cn.com/tousu/show/id/1340025","隐瞒实情，合同套路，买车变租车")</f>
        <v>隐瞒实情，合同套路，买车变租车</v>
      </c>
      <c r="C8912" s="2" t="s">
        <v>9</v>
      </c>
      <c r="D8912" s="2" t="s">
        <v>10</v>
      </c>
      <c r="E8912" s="2" t="str">
        <f>HYPERLINK("http://ts.21cn.com/tousu/show/id/1340025","http://ts.21cn.com/tousu/show/id/1340025")</f>
        <v>http://ts.21cn.com/tousu/show/id/1340025</v>
      </c>
      <c r="F8912" s="2" t="s">
        <v>11</v>
      </c>
      <c r="G8912" s="2" t="s">
        <v>26638</v>
      </c>
      <c r="H8912" s="2" t="s">
        <v>26639</v>
      </c>
    </row>
    <row r="8913" spans="1:8" ht="25.05" customHeight="1" x14ac:dyDescent="0.25">
      <c r="A8913" s="2" t="s">
        <v>8</v>
      </c>
      <c r="B8913" s="2" t="str">
        <f>HYPERLINK("http://ts.21cn.com/tousu/show/id/1340027","暴力催收，骚扰亲朋好友")</f>
        <v>暴力催收，骚扰亲朋好友</v>
      </c>
      <c r="C8913" s="2" t="s">
        <v>9</v>
      </c>
      <c r="D8913" s="2" t="s">
        <v>10</v>
      </c>
      <c r="E8913" s="2" t="str">
        <f>HYPERLINK("http://ts.21cn.com/tousu/show/id/1340027","http://ts.21cn.com/tousu/show/id/1340027")</f>
        <v>http://ts.21cn.com/tousu/show/id/1340027</v>
      </c>
      <c r="F8913" s="2" t="s">
        <v>11</v>
      </c>
      <c r="G8913" s="2" t="s">
        <v>26636</v>
      </c>
      <c r="H8913" s="2" t="s">
        <v>26637</v>
      </c>
    </row>
    <row r="8914" spans="1:8" ht="25.05" customHeight="1" x14ac:dyDescent="0.25">
      <c r="A8914" s="2" t="s">
        <v>8</v>
      </c>
      <c r="B8914" s="2" t="str">
        <f>HYPERLINK("http://ts.21cn.com/tousu/show/id/1340028","捷信")</f>
        <v>捷信</v>
      </c>
      <c r="C8914" s="2" t="s">
        <v>9</v>
      </c>
      <c r="D8914" s="2" t="s">
        <v>10</v>
      </c>
      <c r="E8914" s="2" t="str">
        <f>HYPERLINK("http://ts.21cn.com/tousu/show/id/1340028","http://ts.21cn.com/tousu/show/id/1340028")</f>
        <v>http://ts.21cn.com/tousu/show/id/1340028</v>
      </c>
      <c r="F8914" s="2" t="s">
        <v>11</v>
      </c>
      <c r="G8914" s="2" t="s">
        <v>26634</v>
      </c>
      <c r="H8914" s="2" t="s">
        <v>26635</v>
      </c>
    </row>
    <row r="8915" spans="1:8" ht="25.05" customHeight="1" x14ac:dyDescent="0.25">
      <c r="A8915" s="2" t="s">
        <v>8</v>
      </c>
      <c r="B8915" s="2" t="str">
        <f>HYPERLINK("http://ts.21cn.com/tousu/show/id/1340029","高利贷")</f>
        <v>高利贷</v>
      </c>
      <c r="C8915" s="2" t="s">
        <v>9</v>
      </c>
      <c r="D8915" s="2" t="s">
        <v>10</v>
      </c>
      <c r="E8915" s="2" t="str">
        <f>HYPERLINK("http://ts.21cn.com/tousu/show/id/1340029","http://ts.21cn.com/tousu/show/id/1340029")</f>
        <v>http://ts.21cn.com/tousu/show/id/1340029</v>
      </c>
      <c r="F8915" s="2" t="s">
        <v>11</v>
      </c>
      <c r="G8915" s="2" t="s">
        <v>26632</v>
      </c>
      <c r="H8915" s="2" t="s">
        <v>26633</v>
      </c>
    </row>
    <row r="8916" spans="1:8" ht="25.05" customHeight="1" x14ac:dyDescent="0.25">
      <c r="A8916" s="2" t="s">
        <v>8</v>
      </c>
      <c r="B8916" s="2" t="str">
        <f>HYPERLINK("http://ts.21cn.com/tousu/show/id/1340030","暴力威胁恐吓")</f>
        <v>暴力威胁恐吓</v>
      </c>
      <c r="C8916" s="2" t="s">
        <v>9</v>
      </c>
      <c r="D8916" s="2" t="s">
        <v>10</v>
      </c>
      <c r="E8916" s="2" t="str">
        <f>HYPERLINK("http://ts.21cn.com/tousu/show/id/1340030","http://ts.21cn.com/tousu/show/id/1340030")</f>
        <v>http://ts.21cn.com/tousu/show/id/1340030</v>
      </c>
      <c r="F8916" s="2" t="s">
        <v>11</v>
      </c>
      <c r="G8916" s="2" t="s">
        <v>26630</v>
      </c>
      <c r="H8916" s="2" t="s">
        <v>26631</v>
      </c>
    </row>
    <row r="8917" spans="1:8" ht="25.05" customHeight="1" x14ac:dyDescent="0.25">
      <c r="A8917" s="2" t="s">
        <v>8</v>
      </c>
      <c r="B8917" s="2" t="str">
        <f>HYPERLINK("http://ts.21cn.com/tousu/show/id/1340031","捷信违法催收")</f>
        <v>捷信违法催收</v>
      </c>
      <c r="C8917" s="2" t="s">
        <v>9</v>
      </c>
      <c r="D8917" s="2" t="s">
        <v>10</v>
      </c>
      <c r="E8917" s="2" t="str">
        <f>HYPERLINK("http://ts.21cn.com/tousu/show/id/1340031","http://ts.21cn.com/tousu/show/id/1340031")</f>
        <v>http://ts.21cn.com/tousu/show/id/1340031</v>
      </c>
      <c r="F8917" s="2" t="s">
        <v>11</v>
      </c>
      <c r="G8917" s="2" t="s">
        <v>26628</v>
      </c>
      <c r="H8917" s="2" t="s">
        <v>26629</v>
      </c>
    </row>
    <row r="8918" spans="1:8" ht="25.05" customHeight="1" x14ac:dyDescent="0.25">
      <c r="A8918" s="2" t="s">
        <v>8</v>
      </c>
      <c r="B8918" s="2" t="str">
        <f>HYPERLINK("http://ts.21cn.com/tousu/show/id/1340033","聚富分期乱扣费")</f>
        <v>聚富分期乱扣费</v>
      </c>
      <c r="C8918" s="2" t="s">
        <v>9</v>
      </c>
      <c r="D8918" s="2" t="s">
        <v>10</v>
      </c>
      <c r="E8918" s="2" t="str">
        <f>HYPERLINK("http://ts.21cn.com/tousu/show/id/1340033","http://ts.21cn.com/tousu/show/id/1340033")</f>
        <v>http://ts.21cn.com/tousu/show/id/1340033</v>
      </c>
      <c r="F8918" s="2" t="s">
        <v>11</v>
      </c>
      <c r="G8918" s="2" t="s">
        <v>26626</v>
      </c>
      <c r="H8918" s="2" t="s">
        <v>26627</v>
      </c>
    </row>
    <row r="8919" spans="1:8" ht="25.05" customHeight="1" x14ac:dyDescent="0.25">
      <c r="A8919" s="2" t="s">
        <v>8</v>
      </c>
      <c r="B8919" s="2" t="str">
        <f>HYPERLINK("http://ts.21cn.com/tousu/show/id/1340036","玖富万卡！高利息！催收骚扰")</f>
        <v>玖富万卡！高利息！催收骚扰</v>
      </c>
      <c r="C8919" s="2" t="s">
        <v>9</v>
      </c>
      <c r="D8919" s="2" t="s">
        <v>10</v>
      </c>
      <c r="E8919" s="2" t="str">
        <f>HYPERLINK("http://ts.21cn.com/tousu/show/id/1340036","http://ts.21cn.com/tousu/show/id/1340036")</f>
        <v>http://ts.21cn.com/tousu/show/id/1340036</v>
      </c>
      <c r="F8919" s="2" t="s">
        <v>11</v>
      </c>
      <c r="G8919" s="2" t="s">
        <v>26624</v>
      </c>
      <c r="H8919" s="2" t="s">
        <v>26625</v>
      </c>
    </row>
    <row r="8920" spans="1:8" ht="25.05" customHeight="1" x14ac:dyDescent="0.25">
      <c r="A8920" s="2" t="s">
        <v>8</v>
      </c>
      <c r="B8920" s="2" t="str">
        <f>HYPERLINK("http://ts.21cn.com/tousu/show/id/1340038","百度钱包暴力催收")</f>
        <v>百度钱包暴力催收</v>
      </c>
      <c r="C8920" s="2" t="s">
        <v>9</v>
      </c>
      <c r="D8920" s="2" t="s">
        <v>10</v>
      </c>
      <c r="E8920" s="2" t="str">
        <f>HYPERLINK("http://ts.21cn.com/tousu/show/id/1340038","http://ts.21cn.com/tousu/show/id/1340038")</f>
        <v>http://ts.21cn.com/tousu/show/id/1340038</v>
      </c>
      <c r="F8920" s="2" t="s">
        <v>11</v>
      </c>
      <c r="G8920" s="2" t="s">
        <v>26622</v>
      </c>
      <c r="H8920" s="2" t="s">
        <v>26623</v>
      </c>
    </row>
    <row r="8921" spans="1:8" ht="25.05" customHeight="1" x14ac:dyDescent="0.25">
      <c r="A8921" s="2" t="s">
        <v>8</v>
      </c>
      <c r="B8921" s="2" t="str">
        <f>HYPERLINK("http://ts.21cn.com/tousu/show/id/1340040","上海造艺网络技术有限公司套路贷，未充分告知私自从银行卡里扣299")</f>
        <v>上海造艺网络技术有限公司套路贷，未充分告知私自从银行卡里扣299</v>
      </c>
      <c r="C8921" s="2" t="s">
        <v>9</v>
      </c>
      <c r="D8921" s="2" t="s">
        <v>10</v>
      </c>
      <c r="E8921" s="2" t="str">
        <f>HYPERLINK("http://ts.21cn.com/tousu/show/id/1340040","http://ts.21cn.com/tousu/show/id/1340040")</f>
        <v>http://ts.21cn.com/tousu/show/id/1340040</v>
      </c>
      <c r="F8921" s="2" t="s">
        <v>11</v>
      </c>
      <c r="G8921" s="2" t="s">
        <v>26620</v>
      </c>
      <c r="H8921" s="2" t="s">
        <v>26621</v>
      </c>
    </row>
    <row r="8922" spans="1:8" ht="25.05" customHeight="1" x14ac:dyDescent="0.25">
      <c r="A8922" s="2" t="s">
        <v>8</v>
      </c>
      <c r="B8922" s="2" t="str">
        <f>HYPERLINK("http://ts.21cn.com/tousu/show/id/1340037","暴力催收威胁骚扰")</f>
        <v>暴力催收威胁骚扰</v>
      </c>
      <c r="C8922" s="2" t="s">
        <v>9</v>
      </c>
      <c r="D8922" s="2" t="s">
        <v>10</v>
      </c>
      <c r="E8922" s="2" t="str">
        <f>HYPERLINK("http://ts.21cn.com/tousu/show/id/1340037","http://ts.21cn.com/tousu/show/id/1340037")</f>
        <v>http://ts.21cn.com/tousu/show/id/1340037</v>
      </c>
      <c r="F8922" s="2" t="s">
        <v>11</v>
      </c>
      <c r="G8922" s="2" t="s">
        <v>26618</v>
      </c>
      <c r="H8922" s="2" t="s">
        <v>26619</v>
      </c>
    </row>
    <row r="8923" spans="1:8" ht="25.05" customHeight="1" x14ac:dyDescent="0.25">
      <c r="A8923" s="2" t="s">
        <v>8</v>
      </c>
      <c r="B8923" s="2" t="str">
        <f>HYPERLINK("http://ts.21cn.com/tousu/show/id/1340039","51人品贷黑心高利贷，暴利催收骚扰联系人")</f>
        <v>51人品贷黑心高利贷，暴利催收骚扰联系人</v>
      </c>
      <c r="C8923" s="2" t="s">
        <v>9</v>
      </c>
      <c r="D8923" s="2" t="s">
        <v>10</v>
      </c>
      <c r="E8923" s="2" t="str">
        <f>HYPERLINK("http://ts.21cn.com/tousu/show/id/1340039","http://ts.21cn.com/tousu/show/id/1340039")</f>
        <v>http://ts.21cn.com/tousu/show/id/1340039</v>
      </c>
      <c r="F8923" s="2" t="s">
        <v>11</v>
      </c>
      <c r="G8923" s="2" t="s">
        <v>26616</v>
      </c>
      <c r="H8923" s="2" t="s">
        <v>26617</v>
      </c>
    </row>
    <row r="8924" spans="1:8" ht="25.05" customHeight="1" x14ac:dyDescent="0.25">
      <c r="A8924" s="2" t="s">
        <v>8</v>
      </c>
      <c r="B8924" s="2" t="str">
        <f>HYPERLINK("http://ts.21cn.com/tousu/show/id/1340041","花月钱包暴力催收")</f>
        <v>花月钱包暴力催收</v>
      </c>
      <c r="C8924" s="2" t="s">
        <v>9</v>
      </c>
      <c r="D8924" s="2" t="s">
        <v>10</v>
      </c>
      <c r="E8924" s="2" t="str">
        <f>HYPERLINK("http://ts.21cn.com/tousu/show/id/1340041","http://ts.21cn.com/tousu/show/id/1340041")</f>
        <v>http://ts.21cn.com/tousu/show/id/1340041</v>
      </c>
      <c r="F8924" s="2" t="s">
        <v>11</v>
      </c>
      <c r="G8924" s="2" t="s">
        <v>26614</v>
      </c>
      <c r="H8924" s="2" t="s">
        <v>26615</v>
      </c>
    </row>
    <row r="8925" spans="1:8" ht="25.05" customHeight="1" x14ac:dyDescent="0.25">
      <c r="A8925" s="2" t="s">
        <v>8</v>
      </c>
      <c r="B8925" s="2" t="str">
        <f>HYPERLINK("http://ts.21cn.com/tousu/show/id/1340042","投诉玖富万卡高额保费")</f>
        <v>投诉玖富万卡高额保费</v>
      </c>
      <c r="C8925" s="2" t="s">
        <v>9</v>
      </c>
      <c r="D8925" s="2" t="s">
        <v>10</v>
      </c>
      <c r="E8925" s="2" t="str">
        <f>HYPERLINK("http://ts.21cn.com/tousu/show/id/1340042","http://ts.21cn.com/tousu/show/id/1340042")</f>
        <v>http://ts.21cn.com/tousu/show/id/1340042</v>
      </c>
      <c r="F8925" s="2" t="s">
        <v>11</v>
      </c>
      <c r="G8925" s="2" t="s">
        <v>26612</v>
      </c>
      <c r="H8925" s="2" t="s">
        <v>26613</v>
      </c>
    </row>
    <row r="8926" spans="1:8" ht="25.05" customHeight="1" x14ac:dyDescent="0.25">
      <c r="A8926" s="2" t="s">
        <v>8</v>
      </c>
      <c r="B8926" s="2" t="str">
        <f>HYPERLINK("http://ts.21cn.com/tousu/show/id/1340045","交易猫卖家使用假客服恶意手段达到交易成功")</f>
        <v>交易猫卖家使用假客服恶意手段达到交易成功</v>
      </c>
      <c r="C8926" s="2" t="s">
        <v>9</v>
      </c>
      <c r="D8926" s="2" t="s">
        <v>10</v>
      </c>
      <c r="E8926" s="2" t="str">
        <f>HYPERLINK("http://ts.21cn.com/tousu/show/id/1340045","http://ts.21cn.com/tousu/show/id/1340045")</f>
        <v>http://ts.21cn.com/tousu/show/id/1340045</v>
      </c>
      <c r="F8926" s="2" t="s">
        <v>11</v>
      </c>
      <c r="G8926" s="2" t="s">
        <v>26610</v>
      </c>
      <c r="H8926" s="2" t="s">
        <v>26611</v>
      </c>
    </row>
    <row r="8927" spans="1:8" ht="25.05" customHeight="1" x14ac:dyDescent="0.25">
      <c r="A8927" s="2" t="s">
        <v>8</v>
      </c>
      <c r="B8927" s="2" t="str">
        <f>HYPERLINK("http://ts.21cn.com/tousu/show/id/1340044","收取VIP会员费用，未能成功放款！不退钱")</f>
        <v>收取VIP会员费用，未能成功放款！不退钱</v>
      </c>
      <c r="C8927" s="2" t="s">
        <v>9</v>
      </c>
      <c r="D8927" s="2" t="s">
        <v>10</v>
      </c>
      <c r="E8927" s="2" t="str">
        <f>HYPERLINK("http://ts.21cn.com/tousu/show/id/1340044","http://ts.21cn.com/tousu/show/id/1340044")</f>
        <v>http://ts.21cn.com/tousu/show/id/1340044</v>
      </c>
      <c r="F8927" s="2" t="s">
        <v>11</v>
      </c>
      <c r="G8927" s="2" t="s">
        <v>26608</v>
      </c>
      <c r="H8927" s="2" t="s">
        <v>26609</v>
      </c>
    </row>
    <row r="8928" spans="1:8" ht="25.05" customHeight="1" x14ac:dyDescent="0.25">
      <c r="A8928" s="2" t="s">
        <v>8</v>
      </c>
      <c r="B8928" s="2" t="str">
        <f>HYPERLINK("http://ts.21cn.com/tousu/show/id/1340047","海尔热泵热水器泵坏了不能维修，在保修期内，没有发票，不给换机也不给方案解决")</f>
        <v>海尔热泵热水器泵坏了不能维修，在保修期内，没有发票，不给换机也不给方案解决</v>
      </c>
      <c r="C8928" s="2" t="s">
        <v>9</v>
      </c>
      <c r="D8928" s="2" t="s">
        <v>10</v>
      </c>
      <c r="E8928" s="2" t="str">
        <f>HYPERLINK("http://ts.21cn.com/tousu/show/id/1340047","http://ts.21cn.com/tousu/show/id/1340047")</f>
        <v>http://ts.21cn.com/tousu/show/id/1340047</v>
      </c>
      <c r="F8928" s="2" t="s">
        <v>11</v>
      </c>
      <c r="G8928" s="2" t="s">
        <v>26606</v>
      </c>
      <c r="H8928" s="2" t="s">
        <v>26607</v>
      </c>
    </row>
    <row r="8929" spans="1:8" ht="25.05" customHeight="1" x14ac:dyDescent="0.25">
      <c r="A8929" s="2" t="s">
        <v>8</v>
      </c>
      <c r="B8929" s="2" t="str">
        <f>HYPERLINK("http://ts.21cn.com/tousu/show/id/1340049","高利贷")</f>
        <v>高利贷</v>
      </c>
      <c r="C8929" s="2" t="s">
        <v>9</v>
      </c>
      <c r="D8929" s="2" t="s">
        <v>10</v>
      </c>
      <c r="E8929" s="2" t="str">
        <f>HYPERLINK("http://ts.21cn.com/tousu/show/id/1340049","http://ts.21cn.com/tousu/show/id/1340049")</f>
        <v>http://ts.21cn.com/tousu/show/id/1340049</v>
      </c>
      <c r="F8929" s="2" t="s">
        <v>11</v>
      </c>
      <c r="G8929" s="2" t="s">
        <v>26604</v>
      </c>
      <c r="H8929" s="2" t="s">
        <v>26605</v>
      </c>
    </row>
    <row r="8930" spans="1:8" ht="25.05" customHeight="1" x14ac:dyDescent="0.25">
      <c r="A8930" s="2" t="s">
        <v>8</v>
      </c>
      <c r="B8930" s="2" t="str">
        <f>HYPERLINK("http://ts.21cn.com/tousu/show/id/1340050","来花花无人处理")</f>
        <v>来花花无人处理</v>
      </c>
      <c r="C8930" s="2" t="s">
        <v>9</v>
      </c>
      <c r="D8930" s="2" t="s">
        <v>10</v>
      </c>
      <c r="E8930" s="2" t="str">
        <f>HYPERLINK("http://ts.21cn.com/tousu/show/id/1340050","http://ts.21cn.com/tousu/show/id/1340050")</f>
        <v>http://ts.21cn.com/tousu/show/id/1340050</v>
      </c>
      <c r="F8930" s="2" t="s">
        <v>11</v>
      </c>
      <c r="G8930" s="2" t="s">
        <v>26602</v>
      </c>
      <c r="H8930" s="2" t="s">
        <v>26603</v>
      </c>
    </row>
    <row r="8931" spans="1:8" ht="25.05" customHeight="1" x14ac:dyDescent="0.25">
      <c r="A8931" s="2" t="s">
        <v>8</v>
      </c>
      <c r="B8931" s="2" t="str">
        <f>HYPERLINK("http://ts.21cn.com/tousu/show/id/1340048","捷信高利贷")</f>
        <v>捷信高利贷</v>
      </c>
      <c r="C8931" s="2" t="s">
        <v>9</v>
      </c>
      <c r="D8931" s="2" t="s">
        <v>10</v>
      </c>
      <c r="E8931" s="2" t="str">
        <f>HYPERLINK("http://ts.21cn.com/tousu/show/id/1340048","http://ts.21cn.com/tousu/show/id/1340048")</f>
        <v>http://ts.21cn.com/tousu/show/id/1340048</v>
      </c>
      <c r="F8931" s="2" t="s">
        <v>11</v>
      </c>
      <c r="G8931" s="2" t="s">
        <v>26600</v>
      </c>
      <c r="H8931" s="2" t="s">
        <v>26601</v>
      </c>
    </row>
    <row r="8932" spans="1:8" ht="25.05" customHeight="1" x14ac:dyDescent="0.25">
      <c r="A8932" s="2" t="s">
        <v>8</v>
      </c>
      <c r="B8932" s="2" t="str">
        <f>HYPERLINK("http://ts.21cn.com/tousu/show/id/1340051","钱伴平台电话骚扰威胁")</f>
        <v>钱伴平台电话骚扰威胁</v>
      </c>
      <c r="C8932" s="2" t="s">
        <v>9</v>
      </c>
      <c r="D8932" s="2" t="s">
        <v>10</v>
      </c>
      <c r="E8932" s="2" t="str">
        <f>HYPERLINK("http://ts.21cn.com/tousu/show/id/1340051","http://ts.21cn.com/tousu/show/id/1340051")</f>
        <v>http://ts.21cn.com/tousu/show/id/1340051</v>
      </c>
      <c r="F8932" s="2" t="s">
        <v>11</v>
      </c>
      <c r="G8932" s="2" t="s">
        <v>26598</v>
      </c>
      <c r="H8932" s="2" t="s">
        <v>26599</v>
      </c>
    </row>
    <row r="8933" spans="1:8" ht="25.05" customHeight="1" x14ac:dyDescent="0.25">
      <c r="A8933" s="2" t="s">
        <v>8</v>
      </c>
      <c r="B8933" s="2" t="str">
        <f>HYPERLINK("http://ts.21cn.com/tousu/show/id/1340052","圆通速递集体投诉专题")</f>
        <v>圆通速递集体投诉专题</v>
      </c>
      <c r="C8933" s="2" t="s">
        <v>9</v>
      </c>
      <c r="D8933" s="2" t="s">
        <v>10</v>
      </c>
      <c r="E8933" s="2" t="str">
        <f>HYPERLINK("http://ts.21cn.com/tousu/show/id/1340052","http://ts.21cn.com/tousu/show/id/1340052")</f>
        <v>http://ts.21cn.com/tousu/show/id/1340052</v>
      </c>
      <c r="F8933" s="2" t="s">
        <v>11</v>
      </c>
      <c r="G8933" s="2" t="s">
        <v>26596</v>
      </c>
      <c r="H8933" s="2" t="s">
        <v>26597</v>
      </c>
    </row>
    <row r="8934" spans="1:8" ht="25.05" customHeight="1" x14ac:dyDescent="0.25">
      <c r="A8934" s="2" t="s">
        <v>8</v>
      </c>
      <c r="B8934" s="2" t="str">
        <f>HYPERLINK("http://ts.21cn.com/tousu/show/id/1340054","钱站高利贷阴阳合同高利贷")</f>
        <v>钱站高利贷阴阳合同高利贷</v>
      </c>
      <c r="C8934" s="2" t="s">
        <v>9</v>
      </c>
      <c r="D8934" s="2" t="s">
        <v>10</v>
      </c>
      <c r="E8934" s="2" t="str">
        <f>HYPERLINK("http://ts.21cn.com/tousu/show/id/1340054","http://ts.21cn.com/tousu/show/id/1340054")</f>
        <v>http://ts.21cn.com/tousu/show/id/1340054</v>
      </c>
      <c r="F8934" s="2" t="s">
        <v>11</v>
      </c>
      <c r="G8934" s="2" t="s">
        <v>26594</v>
      </c>
      <c r="H8934" s="2" t="s">
        <v>26595</v>
      </c>
    </row>
    <row r="8935" spans="1:8" ht="25.05" customHeight="1" x14ac:dyDescent="0.25">
      <c r="A8935" s="2" t="s">
        <v>8</v>
      </c>
      <c r="B8935" s="2" t="str">
        <f>HYPERLINK("http://ts.21cn.com/tousu/show/id/1340053","高息贷款逾期爆通讯录骚扰恐吓家人")</f>
        <v>高息贷款逾期爆通讯录骚扰恐吓家人</v>
      </c>
      <c r="C8935" s="2" t="s">
        <v>9</v>
      </c>
      <c r="D8935" s="2" t="s">
        <v>10</v>
      </c>
      <c r="E8935" s="2" t="str">
        <f>HYPERLINK("http://ts.21cn.com/tousu/show/id/1340053","http://ts.21cn.com/tousu/show/id/1340053")</f>
        <v>http://ts.21cn.com/tousu/show/id/1340053</v>
      </c>
      <c r="F8935" s="2" t="s">
        <v>11</v>
      </c>
      <c r="G8935" s="2" t="s">
        <v>26592</v>
      </c>
      <c r="H8935" s="2" t="s">
        <v>26593</v>
      </c>
    </row>
    <row r="8936" spans="1:8" ht="25.05" customHeight="1" x14ac:dyDescent="0.25">
      <c r="A8936" s="2" t="s">
        <v>8</v>
      </c>
      <c r="B8936" s="2" t="str">
        <f>HYPERLINK("http://ts.21cn.com/tousu/show/id/1340056","立借平台里的钱置宝，高额利息，现在要求协商还款")</f>
        <v>立借平台里的钱置宝，高额利息，现在要求协商还款</v>
      </c>
      <c r="C8936" s="2" t="s">
        <v>9</v>
      </c>
      <c r="D8936" s="2" t="s">
        <v>10</v>
      </c>
      <c r="E8936" s="2" t="str">
        <f>HYPERLINK("http://ts.21cn.com/tousu/show/id/1340056","http://ts.21cn.com/tousu/show/id/1340056")</f>
        <v>http://ts.21cn.com/tousu/show/id/1340056</v>
      </c>
      <c r="F8936" s="2" t="s">
        <v>11</v>
      </c>
      <c r="G8936" s="2" t="s">
        <v>26590</v>
      </c>
      <c r="H8936" s="2" t="s">
        <v>26591</v>
      </c>
    </row>
    <row r="8937" spans="1:8" ht="25.05" customHeight="1" x14ac:dyDescent="0.25">
      <c r="A8937" s="2" t="s">
        <v>8</v>
      </c>
      <c r="B8937" s="2" t="str">
        <f>HYPERLINK("http://ts.21cn.com/tousu/show/id/1340055","小花钱包暴力催收")</f>
        <v>小花钱包暴力催收</v>
      </c>
      <c r="C8937" s="2" t="s">
        <v>9</v>
      </c>
      <c r="D8937" s="2" t="s">
        <v>10</v>
      </c>
      <c r="E8937" s="2" t="str">
        <f>HYPERLINK("http://ts.21cn.com/tousu/show/id/1340055","http://ts.21cn.com/tousu/show/id/1340055")</f>
        <v>http://ts.21cn.com/tousu/show/id/1340055</v>
      </c>
      <c r="F8937" s="2" t="s">
        <v>11</v>
      </c>
      <c r="G8937" s="2" t="s">
        <v>26588</v>
      </c>
      <c r="H8937" s="2" t="s">
        <v>26589</v>
      </c>
    </row>
    <row r="8938" spans="1:8" ht="25.05" customHeight="1" x14ac:dyDescent="0.25">
      <c r="A8938" s="2" t="s">
        <v>8</v>
      </c>
      <c r="B8938" s="2" t="str">
        <f>HYPERLINK("http://ts.21cn.com/tousu/show/id/1340058","及贷放款时直接扣除所谓的保费，存在欺诈消费行为")</f>
        <v>及贷放款时直接扣除所谓的保费，存在欺诈消费行为</v>
      </c>
      <c r="C8938" s="2" t="s">
        <v>9</v>
      </c>
      <c r="D8938" s="2" t="s">
        <v>10</v>
      </c>
      <c r="E8938" s="2" t="str">
        <f>HYPERLINK("http://ts.21cn.com/tousu/show/id/1340058","http://ts.21cn.com/tousu/show/id/1340058")</f>
        <v>http://ts.21cn.com/tousu/show/id/1340058</v>
      </c>
      <c r="F8938" s="2" t="s">
        <v>11</v>
      </c>
      <c r="G8938" s="2" t="s">
        <v>26586</v>
      </c>
      <c r="H8938" s="2" t="s">
        <v>26587</v>
      </c>
    </row>
    <row r="8939" spans="1:8" ht="25.05" customHeight="1" x14ac:dyDescent="0.25">
      <c r="A8939" s="2" t="s">
        <v>8</v>
      </c>
      <c r="B8939" s="2" t="str">
        <f>HYPERLINK("http://ts.21cn.com/tousu/show/id/1340059","交通银行恐吓上门")</f>
        <v>交通银行恐吓上门</v>
      </c>
      <c r="C8939" s="2" t="s">
        <v>9</v>
      </c>
      <c r="D8939" s="2" t="s">
        <v>10</v>
      </c>
      <c r="E8939" s="2" t="str">
        <f>HYPERLINK("http://ts.21cn.com/tousu/show/id/1340059","http://ts.21cn.com/tousu/show/id/1340059")</f>
        <v>http://ts.21cn.com/tousu/show/id/1340059</v>
      </c>
      <c r="F8939" s="2" t="s">
        <v>11</v>
      </c>
      <c r="G8939" s="2" t="s">
        <v>26584</v>
      </c>
      <c r="H8939" s="2" t="s">
        <v>26585</v>
      </c>
    </row>
    <row r="8940" spans="1:8" ht="25.05" customHeight="1" x14ac:dyDescent="0.25">
      <c r="A8940" s="2" t="s">
        <v>8</v>
      </c>
      <c r="B8940" s="2" t="str">
        <f>HYPERLINK("http://ts.21cn.com/tousu/show/id/1340060","投诉淘宝网对卖家不处理！")</f>
        <v>投诉淘宝网对卖家不处理！</v>
      </c>
      <c r="C8940" s="2" t="s">
        <v>9</v>
      </c>
      <c r="D8940" s="2" t="s">
        <v>10</v>
      </c>
      <c r="E8940" s="2" t="str">
        <f>HYPERLINK("http://ts.21cn.com/tousu/show/id/1340060","http://ts.21cn.com/tousu/show/id/1340060")</f>
        <v>http://ts.21cn.com/tousu/show/id/1340060</v>
      </c>
      <c r="F8940" s="2" t="s">
        <v>11</v>
      </c>
      <c r="G8940" s="2" t="s">
        <v>26582</v>
      </c>
      <c r="H8940" s="2" t="s">
        <v>26583</v>
      </c>
    </row>
    <row r="8941" spans="1:8" ht="25.05" customHeight="1" x14ac:dyDescent="0.25">
      <c r="A8941" s="2" t="s">
        <v>8</v>
      </c>
      <c r="B8941" s="2" t="str">
        <f>HYPERLINK("http://ts.21cn.com/tousu/show/id/1340067","布丁小贷无法注销账号")</f>
        <v>布丁小贷无法注销账号</v>
      </c>
      <c r="C8941" s="2" t="s">
        <v>9</v>
      </c>
      <c r="D8941" s="2" t="s">
        <v>10</v>
      </c>
      <c r="E8941" s="2" t="str">
        <f>HYPERLINK("http://ts.21cn.com/tousu/show/id/1340067","http://ts.21cn.com/tousu/show/id/1340067")</f>
        <v>http://ts.21cn.com/tousu/show/id/1340067</v>
      </c>
      <c r="F8941" s="2" t="s">
        <v>11</v>
      </c>
      <c r="G8941" s="2" t="s">
        <v>26580</v>
      </c>
      <c r="H8941" s="2" t="s">
        <v>26581</v>
      </c>
    </row>
    <row r="8942" spans="1:8" ht="25.05" customHeight="1" x14ac:dyDescent="0.25">
      <c r="A8942" s="2" t="s">
        <v>8</v>
      </c>
      <c r="B8942" s="2" t="str">
        <f>HYPERLINK("http://ts.21cn.com/tousu/show/id/1340035","恶意欺诈，未到帐却要求还款")</f>
        <v>恶意欺诈，未到帐却要求还款</v>
      </c>
      <c r="C8942" s="2" t="s">
        <v>9</v>
      </c>
      <c r="D8942" s="2" t="s">
        <v>10</v>
      </c>
      <c r="E8942" s="2" t="str">
        <f>HYPERLINK("http://ts.21cn.com/tousu/show/id/1340035","http://ts.21cn.com/tousu/show/id/1340035")</f>
        <v>http://ts.21cn.com/tousu/show/id/1340035</v>
      </c>
      <c r="F8942" s="2" t="s">
        <v>11</v>
      </c>
      <c r="G8942" s="2" t="s">
        <v>26578</v>
      </c>
      <c r="H8942" s="2" t="s">
        <v>26579</v>
      </c>
    </row>
    <row r="8943" spans="1:8" ht="25.05" customHeight="1" x14ac:dyDescent="0.25">
      <c r="A8943" s="2" t="s">
        <v>8</v>
      </c>
      <c r="B8943" s="2" t="str">
        <f>HYPERLINK("http://ts.21cn.com/tousu/show/id/1340068","要求对方停止骚扰")</f>
        <v>要求对方停止骚扰</v>
      </c>
      <c r="C8943" s="2" t="s">
        <v>9</v>
      </c>
      <c r="D8943" s="2" t="s">
        <v>10</v>
      </c>
      <c r="E8943" s="2" t="str">
        <f>HYPERLINK("http://ts.21cn.com/tousu/show/id/1340068","http://ts.21cn.com/tousu/show/id/1340068")</f>
        <v>http://ts.21cn.com/tousu/show/id/1340068</v>
      </c>
      <c r="F8943" s="2" t="s">
        <v>11</v>
      </c>
      <c r="G8943" s="2" t="s">
        <v>26576</v>
      </c>
      <c r="H8943" s="2" t="s">
        <v>26577</v>
      </c>
    </row>
    <row r="8944" spans="1:8" ht="25.05" customHeight="1" x14ac:dyDescent="0.25">
      <c r="A8944" s="2" t="s">
        <v>8</v>
      </c>
      <c r="B8944" s="2" t="str">
        <f>HYPERLINK("http://ts.21cn.com/tousu/show/id/1340069","无法还款")</f>
        <v>无法还款</v>
      </c>
      <c r="C8944" s="2" t="s">
        <v>34</v>
      </c>
      <c r="D8944" s="2" t="s">
        <v>10</v>
      </c>
      <c r="E8944" s="2" t="str">
        <f>HYPERLINK("http://ts.21cn.com/tousu/show/id/1340069","http://ts.21cn.com/tousu/show/id/1340069")</f>
        <v>http://ts.21cn.com/tousu/show/id/1340069</v>
      </c>
      <c r="F8944" s="2" t="s">
        <v>11</v>
      </c>
      <c r="G8944" s="2" t="s">
        <v>26574</v>
      </c>
      <c r="H8944" s="2" t="s">
        <v>26575</v>
      </c>
    </row>
    <row r="8945" spans="1:8" ht="25.05" customHeight="1" x14ac:dyDescent="0.25">
      <c r="A8945" s="2" t="s">
        <v>8</v>
      </c>
      <c r="B8945" s="2" t="str">
        <f>HYPERLINK("http://ts.21cn.com/tousu/show/id/1340070","快闪卡贷骚扰通讯录")</f>
        <v>快闪卡贷骚扰通讯录</v>
      </c>
      <c r="C8945" s="2" t="s">
        <v>9</v>
      </c>
      <c r="D8945" s="2" t="s">
        <v>10</v>
      </c>
      <c r="E8945" s="2" t="str">
        <f>HYPERLINK("http://ts.21cn.com/tousu/show/id/1340070","http://ts.21cn.com/tousu/show/id/1340070")</f>
        <v>http://ts.21cn.com/tousu/show/id/1340070</v>
      </c>
      <c r="F8945" s="2" t="s">
        <v>11</v>
      </c>
      <c r="G8945" s="2" t="s">
        <v>26572</v>
      </c>
      <c r="H8945" s="2" t="s">
        <v>26573</v>
      </c>
    </row>
    <row r="8946" spans="1:8" ht="25.05" customHeight="1" x14ac:dyDescent="0.25">
      <c r="A8946" s="2" t="s">
        <v>8</v>
      </c>
      <c r="B8946" s="2" t="str">
        <f>HYPERLINK("http://ts.21cn.com/tousu/show/id/1340071","浦发信用卡逾期协商失败")</f>
        <v>浦发信用卡逾期协商失败</v>
      </c>
      <c r="C8946" s="2" t="s">
        <v>9</v>
      </c>
      <c r="D8946" s="2" t="s">
        <v>10</v>
      </c>
      <c r="E8946" s="2" t="str">
        <f>HYPERLINK("http://ts.21cn.com/tousu/show/id/1340071","http://ts.21cn.com/tousu/show/id/1340071")</f>
        <v>http://ts.21cn.com/tousu/show/id/1340071</v>
      </c>
      <c r="F8946" s="2" t="s">
        <v>11</v>
      </c>
      <c r="G8946" s="2" t="s">
        <v>26570</v>
      </c>
      <c r="H8946" s="2" t="s">
        <v>26571</v>
      </c>
    </row>
    <row r="8947" spans="1:8" ht="25.05" customHeight="1" x14ac:dyDescent="0.25">
      <c r="A8947" s="2" t="s">
        <v>8</v>
      </c>
      <c r="B8947" s="2" t="str">
        <f>HYPERLINK("http://ts.21cn.com/tousu/show/id/1340073","交易猫仲裁期间帐号被找回还是判定交易完成")</f>
        <v>交易猫仲裁期间帐号被找回还是判定交易完成</v>
      </c>
      <c r="C8947" s="2" t="s">
        <v>9</v>
      </c>
      <c r="D8947" s="2" t="s">
        <v>10</v>
      </c>
      <c r="E8947" s="2" t="str">
        <f>HYPERLINK("http://ts.21cn.com/tousu/show/id/1340073","http://ts.21cn.com/tousu/show/id/1340073")</f>
        <v>http://ts.21cn.com/tousu/show/id/1340073</v>
      </c>
      <c r="F8947" s="2" t="s">
        <v>11</v>
      </c>
      <c r="G8947" s="2" t="s">
        <v>26568</v>
      </c>
      <c r="H8947" s="2" t="s">
        <v>26569</v>
      </c>
    </row>
    <row r="8948" spans="1:8" ht="25.05" customHeight="1" x14ac:dyDescent="0.25">
      <c r="A8948" s="2" t="s">
        <v>8</v>
      </c>
      <c r="B8948" s="2" t="str">
        <f>HYPERLINK("http://ts.21cn.com/tousu/show/id/1340072","约单订单诚意金问题")</f>
        <v>约单订单诚意金问题</v>
      </c>
      <c r="C8948" s="2" t="s">
        <v>9</v>
      </c>
      <c r="D8948" s="2" t="s">
        <v>10</v>
      </c>
      <c r="E8948" s="2" t="str">
        <f>HYPERLINK("http://ts.21cn.com/tousu/show/id/1340072","http://ts.21cn.com/tousu/show/id/1340072")</f>
        <v>http://ts.21cn.com/tousu/show/id/1340072</v>
      </c>
      <c r="F8948" s="2" t="s">
        <v>11</v>
      </c>
      <c r="G8948" s="2" t="s">
        <v>26566</v>
      </c>
      <c r="H8948" s="2" t="s">
        <v>26567</v>
      </c>
    </row>
    <row r="8949" spans="1:8" ht="25.05" customHeight="1" x14ac:dyDescent="0.25">
      <c r="A8949" s="2" t="s">
        <v>8</v>
      </c>
      <c r="B8949" s="2" t="str">
        <f>HYPERLINK("http://ts.21cn.com/tousu/show/id/1340075","时光分期高利贷")</f>
        <v>时光分期高利贷</v>
      </c>
      <c r="C8949" s="2" t="s">
        <v>9</v>
      </c>
      <c r="D8949" s="2" t="s">
        <v>10</v>
      </c>
      <c r="E8949" s="2" t="str">
        <f>HYPERLINK("http://ts.21cn.com/tousu/show/id/1340075","http://ts.21cn.com/tousu/show/id/1340075")</f>
        <v>http://ts.21cn.com/tousu/show/id/1340075</v>
      </c>
      <c r="F8949" s="2" t="s">
        <v>11</v>
      </c>
      <c r="G8949" s="2" t="s">
        <v>26564</v>
      </c>
      <c r="H8949" s="2" t="s">
        <v>26565</v>
      </c>
    </row>
    <row r="8950" spans="1:8" ht="25.05" customHeight="1" x14ac:dyDescent="0.25">
      <c r="A8950" s="2" t="s">
        <v>8</v>
      </c>
      <c r="B8950" s="2" t="str">
        <f>HYPERLINK("http://ts.21cn.com/tousu/show/id/1340076","违规骚扰，威胁")</f>
        <v>违规骚扰，威胁</v>
      </c>
      <c r="C8950" s="2" t="s">
        <v>9</v>
      </c>
      <c r="D8950" s="2" t="s">
        <v>10</v>
      </c>
      <c r="E8950" s="2" t="str">
        <f>HYPERLINK("http://ts.21cn.com/tousu/show/id/1340076","http://ts.21cn.com/tousu/show/id/1340076")</f>
        <v>http://ts.21cn.com/tousu/show/id/1340076</v>
      </c>
      <c r="F8950" s="2" t="s">
        <v>11</v>
      </c>
      <c r="G8950" s="2" t="s">
        <v>26562</v>
      </c>
      <c r="H8950" s="2" t="s">
        <v>26563</v>
      </c>
    </row>
    <row r="8951" spans="1:8" ht="25.05" customHeight="1" x14ac:dyDescent="0.25">
      <c r="A8951" s="2" t="s">
        <v>8</v>
      </c>
      <c r="B8951" s="2" t="str">
        <f>HYPERLINK("http://ts.21cn.com/tousu/show/id/1340032","京东白条三方催收威胁通告函")</f>
        <v>京东白条三方催收威胁通告函</v>
      </c>
      <c r="C8951" s="2" t="s">
        <v>9</v>
      </c>
      <c r="D8951" s="2" t="s">
        <v>10</v>
      </c>
      <c r="E8951" s="2" t="str">
        <f>HYPERLINK("http://ts.21cn.com/tousu/show/id/1340032","http://ts.21cn.com/tousu/show/id/1340032")</f>
        <v>http://ts.21cn.com/tousu/show/id/1340032</v>
      </c>
      <c r="F8951" s="2" t="s">
        <v>11</v>
      </c>
      <c r="G8951" s="2" t="s">
        <v>26560</v>
      </c>
      <c r="H8951" s="2" t="s">
        <v>26561</v>
      </c>
    </row>
    <row r="8952" spans="1:8" ht="25.05" customHeight="1" x14ac:dyDescent="0.25">
      <c r="A8952" s="2" t="s">
        <v>8</v>
      </c>
      <c r="B8952" s="2" t="str">
        <f>HYPERLINK("http://ts.21cn.com/tousu/show/id/1340077","阴阳合同，高利贷")</f>
        <v>阴阳合同，高利贷</v>
      </c>
      <c r="C8952" s="2" t="s">
        <v>9</v>
      </c>
      <c r="D8952" s="2" t="s">
        <v>10</v>
      </c>
      <c r="E8952" s="2" t="str">
        <f>HYPERLINK("http://ts.21cn.com/tousu/show/id/1340077","http://ts.21cn.com/tousu/show/id/1340077")</f>
        <v>http://ts.21cn.com/tousu/show/id/1340077</v>
      </c>
      <c r="F8952" s="2" t="s">
        <v>11</v>
      </c>
      <c r="G8952" s="2" t="s">
        <v>26558</v>
      </c>
      <c r="H8952" s="2" t="s">
        <v>26559</v>
      </c>
    </row>
    <row r="8953" spans="1:8" ht="25.05" customHeight="1" x14ac:dyDescent="0.25">
      <c r="A8953" s="2" t="s">
        <v>8</v>
      </c>
      <c r="B8953" s="2" t="str">
        <f>HYPERLINK("http://ts.21cn.com/tousu/show/id/1340078","说话难听，威胁")</f>
        <v>说话难听，威胁</v>
      </c>
      <c r="C8953" s="2" t="s">
        <v>9</v>
      </c>
      <c r="D8953" s="2" t="s">
        <v>10</v>
      </c>
      <c r="E8953" s="2" t="str">
        <f>HYPERLINK("http://ts.21cn.com/tousu/show/id/1340078","http://ts.21cn.com/tousu/show/id/1340078")</f>
        <v>http://ts.21cn.com/tousu/show/id/1340078</v>
      </c>
      <c r="F8953" s="2" t="s">
        <v>11</v>
      </c>
      <c r="G8953" s="2" t="s">
        <v>26556</v>
      </c>
      <c r="H8953" s="2" t="s">
        <v>26557</v>
      </c>
    </row>
    <row r="8954" spans="1:8" ht="25.05" customHeight="1" x14ac:dyDescent="0.25">
      <c r="A8954" s="2" t="s">
        <v>8</v>
      </c>
      <c r="B8954" s="2" t="str">
        <f>HYPERLINK("http://ts.21cn.com/tousu/show/id/1340079","捷信违法催收")</f>
        <v>捷信违法催收</v>
      </c>
      <c r="C8954" s="2" t="s">
        <v>9</v>
      </c>
      <c r="D8954" s="2" t="s">
        <v>10</v>
      </c>
      <c r="E8954" s="2" t="str">
        <f>HYPERLINK("http://ts.21cn.com/tousu/show/id/1340079","http://ts.21cn.com/tousu/show/id/1340079")</f>
        <v>http://ts.21cn.com/tousu/show/id/1340079</v>
      </c>
      <c r="F8954" s="2" t="s">
        <v>11</v>
      </c>
      <c r="G8954" s="2" t="s">
        <v>26554</v>
      </c>
      <c r="H8954" s="2" t="s">
        <v>26555</v>
      </c>
    </row>
    <row r="8955" spans="1:8" ht="25.05" customHeight="1" x14ac:dyDescent="0.25">
      <c r="A8955" s="2" t="s">
        <v>8</v>
      </c>
      <c r="B8955" s="2" t="str">
        <f>HYPERLINK("http://ts.21cn.com/tousu/show/id/1340057","万家乐净水器")</f>
        <v>万家乐净水器</v>
      </c>
      <c r="C8955" s="2" t="s">
        <v>9</v>
      </c>
      <c r="D8955" s="2" t="s">
        <v>10</v>
      </c>
      <c r="E8955" s="2" t="str">
        <f>HYPERLINK("http://ts.21cn.com/tousu/show/id/1340057","http://ts.21cn.com/tousu/show/id/1340057")</f>
        <v>http://ts.21cn.com/tousu/show/id/1340057</v>
      </c>
      <c r="F8955" s="2" t="s">
        <v>11</v>
      </c>
      <c r="G8955" s="2" t="s">
        <v>26552</v>
      </c>
      <c r="H8955" s="2" t="s">
        <v>26553</v>
      </c>
    </row>
    <row r="8956" spans="1:8" ht="25.05" customHeight="1" x14ac:dyDescent="0.25">
      <c r="A8956" s="2" t="s">
        <v>8</v>
      </c>
      <c r="B8956" s="2" t="str">
        <f>HYPERLINK("http://ts.21cn.com/tousu/show/id/1340081","培训机构违规收费")</f>
        <v>培训机构违规收费</v>
      </c>
      <c r="C8956" s="2" t="s">
        <v>9</v>
      </c>
      <c r="D8956" s="2" t="s">
        <v>10</v>
      </c>
      <c r="E8956" s="2" t="str">
        <f>HYPERLINK("http://ts.21cn.com/tousu/show/id/1340081","http://ts.21cn.com/tousu/show/id/1340081")</f>
        <v>http://ts.21cn.com/tousu/show/id/1340081</v>
      </c>
      <c r="F8956" s="2" t="s">
        <v>11</v>
      </c>
      <c r="G8956" s="2" t="s">
        <v>26550</v>
      </c>
      <c r="H8956" s="2" t="s">
        <v>26551</v>
      </c>
    </row>
    <row r="8957" spans="1:8" ht="25.05" customHeight="1" x14ac:dyDescent="0.25">
      <c r="A8957" s="2" t="s">
        <v>8</v>
      </c>
      <c r="B8957" s="2" t="str">
        <f>HYPERLINK("http://ts.21cn.com/tousu/show/id/1340082","商家提现超过三个月不到账")</f>
        <v>商家提现超过三个月不到账</v>
      </c>
      <c r="C8957" s="2" t="s">
        <v>9</v>
      </c>
      <c r="D8957" s="2" t="s">
        <v>10</v>
      </c>
      <c r="E8957" s="2" t="str">
        <f>HYPERLINK("http://ts.21cn.com/tousu/show/id/1340082","http://ts.21cn.com/tousu/show/id/1340082")</f>
        <v>http://ts.21cn.com/tousu/show/id/1340082</v>
      </c>
      <c r="F8957" s="2" t="s">
        <v>11</v>
      </c>
      <c r="G8957" s="2" t="s">
        <v>26548</v>
      </c>
      <c r="H8957" s="2" t="s">
        <v>26549</v>
      </c>
    </row>
    <row r="8958" spans="1:8" ht="25.05" customHeight="1" x14ac:dyDescent="0.25">
      <c r="A8958" s="2" t="s">
        <v>8</v>
      </c>
      <c r="B8958" s="2" t="str">
        <f>HYPERLINK("http://ts.21cn.com/tousu/show/id/1340083","暴力催收")</f>
        <v>暴力催收</v>
      </c>
      <c r="C8958" s="2" t="s">
        <v>9</v>
      </c>
      <c r="D8958" s="2" t="s">
        <v>10</v>
      </c>
      <c r="E8958" s="2" t="str">
        <f>HYPERLINK("http://ts.21cn.com/tousu/show/id/1340083","http://ts.21cn.com/tousu/show/id/1340083")</f>
        <v>http://ts.21cn.com/tousu/show/id/1340083</v>
      </c>
      <c r="F8958" s="2" t="s">
        <v>11</v>
      </c>
      <c r="G8958" s="2" t="s">
        <v>26546</v>
      </c>
      <c r="H8958" s="2" t="s">
        <v>26547</v>
      </c>
    </row>
    <row r="8959" spans="1:8" ht="25.05" customHeight="1" x14ac:dyDescent="0.25">
      <c r="A8959" s="2" t="s">
        <v>8</v>
      </c>
      <c r="B8959" s="2" t="str">
        <f>HYPERLINK("http://ts.21cn.com/tousu/show/id/1340084","百度钱包为高利贷平台提供违规支付业务")</f>
        <v>百度钱包为高利贷平台提供违规支付业务</v>
      </c>
      <c r="C8959" s="2" t="s">
        <v>9</v>
      </c>
      <c r="D8959" s="2" t="s">
        <v>10</v>
      </c>
      <c r="E8959" s="2" t="str">
        <f>HYPERLINK("http://ts.21cn.com/tousu/show/id/1340084","http://ts.21cn.com/tousu/show/id/1340084")</f>
        <v>http://ts.21cn.com/tousu/show/id/1340084</v>
      </c>
      <c r="F8959" s="2" t="s">
        <v>11</v>
      </c>
      <c r="G8959" s="2" t="s">
        <v>26544</v>
      </c>
      <c r="H8959" s="2" t="s">
        <v>26545</v>
      </c>
    </row>
    <row r="8960" spans="1:8" ht="25.05" customHeight="1" x14ac:dyDescent="0.25">
      <c r="A8960" s="2" t="s">
        <v>8</v>
      </c>
      <c r="B8960" s="2" t="str">
        <f>HYPERLINK("http://ts.21cn.com/tousu/show/id/1340085","95分球鞋包庇买家坑害卖家")</f>
        <v>95分球鞋包庇买家坑害卖家</v>
      </c>
      <c r="C8960" s="2" t="s">
        <v>9</v>
      </c>
      <c r="D8960" s="2" t="s">
        <v>10</v>
      </c>
      <c r="E8960" s="2" t="str">
        <f>HYPERLINK("http://ts.21cn.com/tousu/show/id/1340085","http://ts.21cn.com/tousu/show/id/1340085")</f>
        <v>http://ts.21cn.com/tousu/show/id/1340085</v>
      </c>
      <c r="F8960" s="2" t="s">
        <v>11</v>
      </c>
      <c r="G8960" s="2" t="s">
        <v>26542</v>
      </c>
      <c r="H8960" s="2" t="s">
        <v>26543</v>
      </c>
    </row>
    <row r="8961" spans="1:8" ht="25.05" customHeight="1" x14ac:dyDescent="0.25">
      <c r="A8961" s="2" t="s">
        <v>8</v>
      </c>
      <c r="B8961" s="2" t="str">
        <f>HYPERLINK("http://ts.21cn.com/tousu/show/id/1340046","咸鱼售假")</f>
        <v>咸鱼售假</v>
      </c>
      <c r="C8961" s="2" t="s">
        <v>9</v>
      </c>
      <c r="D8961" s="2" t="s">
        <v>10</v>
      </c>
      <c r="E8961" s="2" t="str">
        <f>HYPERLINK("http://ts.21cn.com/tousu/show/id/1340046","http://ts.21cn.com/tousu/show/id/1340046")</f>
        <v>http://ts.21cn.com/tousu/show/id/1340046</v>
      </c>
      <c r="F8961" s="2" t="s">
        <v>11</v>
      </c>
      <c r="G8961" s="2" t="s">
        <v>26540</v>
      </c>
      <c r="H8961" s="2" t="s">
        <v>26541</v>
      </c>
    </row>
    <row r="8962" spans="1:8" ht="25.05" customHeight="1" x14ac:dyDescent="0.25">
      <c r="A8962" s="2" t="s">
        <v>8</v>
      </c>
      <c r="B8962" s="2" t="str">
        <f>HYPERLINK("http://ts.21cn.com/tousu/show/id/1340086","中国银联广东分公司无缘无故盗扣走我卡上资金！")</f>
        <v>中国银联广东分公司无缘无故盗扣走我卡上资金！</v>
      </c>
      <c r="C8962" s="2" t="s">
        <v>9</v>
      </c>
      <c r="D8962" s="2" t="s">
        <v>10</v>
      </c>
      <c r="E8962" s="2" t="str">
        <f>HYPERLINK("http://ts.21cn.com/tousu/show/id/1340086","http://ts.21cn.com/tousu/show/id/1340086")</f>
        <v>http://ts.21cn.com/tousu/show/id/1340086</v>
      </c>
      <c r="F8962" s="2" t="s">
        <v>11</v>
      </c>
      <c r="G8962" s="2" t="s">
        <v>26538</v>
      </c>
      <c r="H8962" s="2" t="s">
        <v>26539</v>
      </c>
    </row>
    <row r="8963" spans="1:8" ht="25.05" customHeight="1" x14ac:dyDescent="0.25">
      <c r="A8963" s="2" t="s">
        <v>8</v>
      </c>
      <c r="B8963" s="2" t="str">
        <f>HYPERLINK("http://ts.21cn.com/tousu/show/id/1340064","拍拍贷恶意爆通讯录")</f>
        <v>拍拍贷恶意爆通讯录</v>
      </c>
      <c r="C8963" s="2" t="s">
        <v>9</v>
      </c>
      <c r="D8963" s="2" t="s">
        <v>10</v>
      </c>
      <c r="E8963" s="2" t="str">
        <f>HYPERLINK("http://ts.21cn.com/tousu/show/id/1340064","http://ts.21cn.com/tousu/show/id/1340064")</f>
        <v>http://ts.21cn.com/tousu/show/id/1340064</v>
      </c>
      <c r="F8963" s="2" t="s">
        <v>11</v>
      </c>
      <c r="G8963" s="2" t="s">
        <v>26536</v>
      </c>
      <c r="H8963" s="2" t="s">
        <v>26537</v>
      </c>
    </row>
    <row r="8964" spans="1:8" ht="25.05" customHeight="1" x14ac:dyDescent="0.25">
      <c r="A8964" s="2" t="s">
        <v>8</v>
      </c>
      <c r="B8964" s="2" t="str">
        <f>HYPERLINK("http://ts.21cn.com/tousu/show/id/1340088","兴业银行信用卡外包第三方骚扰家人，威胁上门了解情况")</f>
        <v>兴业银行信用卡外包第三方骚扰家人，威胁上门了解情况</v>
      </c>
      <c r="C8964" s="2" t="s">
        <v>9</v>
      </c>
      <c r="D8964" s="2" t="s">
        <v>10</v>
      </c>
      <c r="E8964" s="2" t="str">
        <f>HYPERLINK("http://ts.21cn.com/tousu/show/id/1340088","http://ts.21cn.com/tousu/show/id/1340088")</f>
        <v>http://ts.21cn.com/tousu/show/id/1340088</v>
      </c>
      <c r="F8964" s="2" t="s">
        <v>11</v>
      </c>
      <c r="G8964" s="2" t="s">
        <v>26534</v>
      </c>
      <c r="H8964" s="2" t="s">
        <v>26535</v>
      </c>
    </row>
    <row r="8965" spans="1:8" ht="25.05" customHeight="1" x14ac:dyDescent="0.25">
      <c r="A8965" s="2" t="s">
        <v>8</v>
      </c>
      <c r="B8965" s="2" t="str">
        <f>HYPERLINK("http://ts.21cn.com/tousu/show/id/1340087","宜兴滴滴司机接不到单")</f>
        <v>宜兴滴滴司机接不到单</v>
      </c>
      <c r="C8965" s="2" t="s">
        <v>34</v>
      </c>
      <c r="D8965" s="2" t="s">
        <v>10</v>
      </c>
      <c r="E8965" s="2" t="str">
        <f>HYPERLINK("http://ts.21cn.com/tousu/show/id/1340087","http://ts.21cn.com/tousu/show/id/1340087")</f>
        <v>http://ts.21cn.com/tousu/show/id/1340087</v>
      </c>
      <c r="F8965" s="2" t="s">
        <v>11</v>
      </c>
      <c r="G8965" s="2" t="s">
        <v>26532</v>
      </c>
      <c r="H8965" s="2" t="s">
        <v>26533</v>
      </c>
    </row>
    <row r="8966" spans="1:8" ht="25.05" customHeight="1" x14ac:dyDescent="0.25">
      <c r="A8966" s="2" t="s">
        <v>8</v>
      </c>
      <c r="B8966" s="2" t="str">
        <f>HYPERLINK("http://ts.21cn.com/tousu/show/id/1340089","还款日期还没有过就电话轰炸催款")</f>
        <v>还款日期还没有过就电话轰炸催款</v>
      </c>
      <c r="C8966" s="2" t="s">
        <v>9</v>
      </c>
      <c r="D8966" s="2" t="s">
        <v>10</v>
      </c>
      <c r="E8966" s="2" t="str">
        <f>HYPERLINK("http://ts.21cn.com/tousu/show/id/1340089","http://ts.21cn.com/tousu/show/id/1340089")</f>
        <v>http://ts.21cn.com/tousu/show/id/1340089</v>
      </c>
      <c r="F8966" s="2" t="s">
        <v>11</v>
      </c>
      <c r="G8966" s="2" t="s">
        <v>26530</v>
      </c>
      <c r="H8966" s="2" t="s">
        <v>26531</v>
      </c>
    </row>
    <row r="8967" spans="1:8" ht="25.05" customHeight="1" x14ac:dyDescent="0.25">
      <c r="A8967" s="2" t="s">
        <v>8</v>
      </c>
      <c r="B8967" s="2" t="str">
        <f>HYPERLINK("http://ts.21cn.com/tousu/show/id/1340091","威胁恐吓侮辱")</f>
        <v>威胁恐吓侮辱</v>
      </c>
      <c r="C8967" s="2" t="s">
        <v>9</v>
      </c>
      <c r="D8967" s="2" t="s">
        <v>10</v>
      </c>
      <c r="E8967" s="2" t="str">
        <f>HYPERLINK("http://ts.21cn.com/tousu/show/id/1340091","http://ts.21cn.com/tousu/show/id/1340091")</f>
        <v>http://ts.21cn.com/tousu/show/id/1340091</v>
      </c>
      <c r="F8967" s="2" t="s">
        <v>11</v>
      </c>
      <c r="G8967" s="2" t="s">
        <v>26528</v>
      </c>
      <c r="H8967" s="2" t="s">
        <v>26529</v>
      </c>
    </row>
    <row r="8968" spans="1:8" ht="25.05" customHeight="1" x14ac:dyDescent="0.25">
      <c r="A8968" s="2" t="s">
        <v>8</v>
      </c>
      <c r="B8968" s="2" t="str">
        <f>HYPERLINK("http://ts.21cn.com/tousu/show/id/1340092","美利车、力蕴汽车套路贷")</f>
        <v>美利车、力蕴汽车套路贷</v>
      </c>
      <c r="C8968" s="2" t="s">
        <v>9</v>
      </c>
      <c r="D8968" s="2" t="s">
        <v>10</v>
      </c>
      <c r="E8968" s="2" t="str">
        <f>HYPERLINK("http://ts.21cn.com/tousu/show/id/1340092","http://ts.21cn.com/tousu/show/id/1340092")</f>
        <v>http://ts.21cn.com/tousu/show/id/1340092</v>
      </c>
      <c r="F8968" s="2" t="s">
        <v>11</v>
      </c>
      <c r="G8968" s="2" t="s">
        <v>26526</v>
      </c>
      <c r="H8968" s="2" t="s">
        <v>26527</v>
      </c>
    </row>
    <row r="8969" spans="1:8" ht="25.05" customHeight="1" x14ac:dyDescent="0.25">
      <c r="A8969" s="2" t="s">
        <v>8</v>
      </c>
      <c r="B8969" s="2" t="str">
        <f>HYPERLINK("http://ts.21cn.com/tousu/show/id/1340093","暴力")</f>
        <v>暴力</v>
      </c>
      <c r="C8969" s="2" t="s">
        <v>9</v>
      </c>
      <c r="D8969" s="2" t="s">
        <v>10</v>
      </c>
      <c r="E8969" s="2" t="str">
        <f>HYPERLINK("http://ts.21cn.com/tousu/show/id/1340093","http://ts.21cn.com/tousu/show/id/1340093")</f>
        <v>http://ts.21cn.com/tousu/show/id/1340093</v>
      </c>
      <c r="F8969" s="2" t="s">
        <v>11</v>
      </c>
      <c r="G8969" s="2" t="s">
        <v>26524</v>
      </c>
      <c r="H8969" s="2" t="s">
        <v>26525</v>
      </c>
    </row>
    <row r="8970" spans="1:8" ht="25.05" customHeight="1" x14ac:dyDescent="0.25">
      <c r="A8970" s="2" t="s">
        <v>8</v>
      </c>
      <c r="B8970" s="2" t="str">
        <f>HYPERLINK("http://ts.21cn.com/tousu/show/id/1340095","嗨钱放款方恶意骚扰")</f>
        <v>嗨钱放款方恶意骚扰</v>
      </c>
      <c r="C8970" s="2" t="s">
        <v>9</v>
      </c>
      <c r="D8970" s="2" t="s">
        <v>10</v>
      </c>
      <c r="E8970" s="2" t="str">
        <f>HYPERLINK("http://ts.21cn.com/tousu/show/id/1340095","http://ts.21cn.com/tousu/show/id/1340095")</f>
        <v>http://ts.21cn.com/tousu/show/id/1340095</v>
      </c>
      <c r="F8970" s="2" t="s">
        <v>11</v>
      </c>
      <c r="G8970" s="2" t="s">
        <v>26522</v>
      </c>
      <c r="H8970" s="2" t="s">
        <v>26523</v>
      </c>
    </row>
    <row r="8971" spans="1:8" ht="25.05" customHeight="1" x14ac:dyDescent="0.25">
      <c r="A8971" s="2" t="s">
        <v>8</v>
      </c>
      <c r="B8971" s="2" t="str">
        <f>HYPERLINK("http://ts.21cn.com/tousu/show/id/1340094","拍拍贷恐吓亲友")</f>
        <v>拍拍贷恐吓亲友</v>
      </c>
      <c r="C8971" s="2" t="s">
        <v>9</v>
      </c>
      <c r="D8971" s="2" t="s">
        <v>10</v>
      </c>
      <c r="E8971" s="2" t="str">
        <f>HYPERLINK("http://ts.21cn.com/tousu/show/id/1340094","http://ts.21cn.com/tousu/show/id/1340094")</f>
        <v>http://ts.21cn.com/tousu/show/id/1340094</v>
      </c>
      <c r="F8971" s="2" t="s">
        <v>11</v>
      </c>
      <c r="G8971" s="2" t="s">
        <v>26520</v>
      </c>
      <c r="H8971" s="2" t="s">
        <v>26521</v>
      </c>
    </row>
    <row r="8972" spans="1:8" ht="25.05" customHeight="1" x14ac:dyDescent="0.25">
      <c r="A8972" s="2" t="s">
        <v>8</v>
      </c>
      <c r="B8972" s="2" t="str">
        <f>HYPERLINK("http://ts.21cn.com/tousu/show/id/1340074","没有在网贷平台借款，遭到暴力催收")</f>
        <v>没有在网贷平台借款，遭到暴力催收</v>
      </c>
      <c r="C8972" s="2" t="s">
        <v>9</v>
      </c>
      <c r="D8972" s="2" t="s">
        <v>10</v>
      </c>
      <c r="E8972" s="2" t="str">
        <f>HYPERLINK("http://ts.21cn.com/tousu/show/id/1340074","http://ts.21cn.com/tousu/show/id/1340074")</f>
        <v>http://ts.21cn.com/tousu/show/id/1340074</v>
      </c>
      <c r="F8972" s="2" t="s">
        <v>11</v>
      </c>
      <c r="G8972" s="2" t="s">
        <v>26518</v>
      </c>
      <c r="H8972" s="2" t="s">
        <v>26519</v>
      </c>
    </row>
    <row r="8973" spans="1:8" ht="25.05" customHeight="1" x14ac:dyDescent="0.25">
      <c r="A8973" s="2" t="s">
        <v>8</v>
      </c>
      <c r="B8973" s="2" t="str">
        <f>HYPERLINK("http://ts.21cn.com/tousu/show/id/1340080","疑视欺诈")</f>
        <v>疑视欺诈</v>
      </c>
      <c r="C8973" s="2" t="s">
        <v>9</v>
      </c>
      <c r="D8973" s="2" t="s">
        <v>10</v>
      </c>
      <c r="E8973" s="2" t="str">
        <f>HYPERLINK("http://ts.21cn.com/tousu/show/id/1340080","http://ts.21cn.com/tousu/show/id/1340080")</f>
        <v>http://ts.21cn.com/tousu/show/id/1340080</v>
      </c>
      <c r="F8973" s="2" t="s">
        <v>11</v>
      </c>
      <c r="G8973" s="2" t="s">
        <v>26516</v>
      </c>
      <c r="H8973" s="2" t="s">
        <v>26517</v>
      </c>
    </row>
    <row r="8974" spans="1:8" ht="25.05" customHeight="1" x14ac:dyDescent="0.25">
      <c r="A8974" s="2" t="s">
        <v>8</v>
      </c>
      <c r="B8974" s="2" t="str">
        <f>HYPERLINK("http://ts.21cn.com/tousu/show/id/1340097","年利率超36%")</f>
        <v>年利率超36%</v>
      </c>
      <c r="C8974" s="2" t="s">
        <v>9</v>
      </c>
      <c r="D8974" s="2" t="s">
        <v>10</v>
      </c>
      <c r="E8974" s="2" t="str">
        <f>HYPERLINK("http://ts.21cn.com/tousu/show/id/1340097","http://ts.21cn.com/tousu/show/id/1340097")</f>
        <v>http://ts.21cn.com/tousu/show/id/1340097</v>
      </c>
      <c r="F8974" s="2" t="s">
        <v>11</v>
      </c>
      <c r="G8974" s="2" t="s">
        <v>26514</v>
      </c>
      <c r="H8974" s="2" t="s">
        <v>26515</v>
      </c>
    </row>
    <row r="8975" spans="1:8" ht="25.05" customHeight="1" x14ac:dyDescent="0.25">
      <c r="A8975" s="2" t="s">
        <v>8</v>
      </c>
      <c r="B8975" s="2" t="str">
        <f>HYPERLINK("http://ts.21cn.com/tousu/show/id/1340098","利息高手续费高")</f>
        <v>利息高手续费高</v>
      </c>
      <c r="C8975" s="2" t="s">
        <v>9</v>
      </c>
      <c r="D8975" s="2" t="s">
        <v>10</v>
      </c>
      <c r="E8975" s="2" t="str">
        <f>HYPERLINK("http://ts.21cn.com/tousu/show/id/1340098","http://ts.21cn.com/tousu/show/id/1340098")</f>
        <v>http://ts.21cn.com/tousu/show/id/1340098</v>
      </c>
      <c r="F8975" s="2" t="s">
        <v>11</v>
      </c>
      <c r="G8975" s="2" t="s">
        <v>26512</v>
      </c>
      <c r="H8975" s="2" t="s">
        <v>26513</v>
      </c>
    </row>
    <row r="8976" spans="1:8" ht="25.05" customHeight="1" x14ac:dyDescent="0.25">
      <c r="A8976" s="2" t="s">
        <v>8</v>
      </c>
      <c r="B8976" s="2" t="str">
        <f>HYPERLINK("http://ts.21cn.com/tousu/show/id/1340099","拍拍贷高利贷套路贷")</f>
        <v>拍拍贷高利贷套路贷</v>
      </c>
      <c r="C8976" s="2" t="s">
        <v>9</v>
      </c>
      <c r="D8976" s="2" t="s">
        <v>10</v>
      </c>
      <c r="E8976" s="2" t="str">
        <f>HYPERLINK("http://ts.21cn.com/tousu/show/id/1340099","http://ts.21cn.com/tousu/show/id/1340099")</f>
        <v>http://ts.21cn.com/tousu/show/id/1340099</v>
      </c>
      <c r="F8976" s="2" t="s">
        <v>11</v>
      </c>
      <c r="G8976" s="2" t="s">
        <v>26510</v>
      </c>
      <c r="H8976" s="2" t="s">
        <v>26511</v>
      </c>
    </row>
    <row r="8977" spans="1:8" ht="25.05" customHeight="1" x14ac:dyDescent="0.25">
      <c r="A8977" s="2" t="s">
        <v>8</v>
      </c>
      <c r="B8977" s="2" t="str">
        <f>HYPERLINK("http://ts.21cn.com/tousu/show/id/1340100","一号钱庄系列5天900利息，严重违法高利贷")</f>
        <v>一号钱庄系列5天900利息，严重违法高利贷</v>
      </c>
      <c r="C8977" s="2" t="s">
        <v>9</v>
      </c>
      <c r="D8977" s="2" t="s">
        <v>10</v>
      </c>
      <c r="E8977" s="2" t="str">
        <f>HYPERLINK("http://ts.21cn.com/tousu/show/id/1340100","http://ts.21cn.com/tousu/show/id/1340100")</f>
        <v>http://ts.21cn.com/tousu/show/id/1340100</v>
      </c>
      <c r="F8977" s="2" t="s">
        <v>11</v>
      </c>
      <c r="G8977" s="2" t="s">
        <v>26508</v>
      </c>
      <c r="H8977" s="2" t="s">
        <v>26509</v>
      </c>
    </row>
    <row r="8978" spans="1:8" ht="25.05" customHeight="1" x14ac:dyDescent="0.25">
      <c r="A8978" s="2" t="s">
        <v>8</v>
      </c>
      <c r="B8978" s="2" t="str">
        <f>HYPERLINK("http://ts.21cn.com/tousu/show/id/1340102","及贷信用成长计划")</f>
        <v>及贷信用成长计划</v>
      </c>
      <c r="C8978" s="2" t="s">
        <v>9</v>
      </c>
      <c r="D8978" s="2" t="s">
        <v>10</v>
      </c>
      <c r="E8978" s="2" t="str">
        <f>HYPERLINK("http://ts.21cn.com/tousu/show/id/1340102","http://ts.21cn.com/tousu/show/id/1340102")</f>
        <v>http://ts.21cn.com/tousu/show/id/1340102</v>
      </c>
      <c r="F8978" s="2" t="s">
        <v>11</v>
      </c>
      <c r="G8978" s="2" t="s">
        <v>26506</v>
      </c>
      <c r="H8978" s="2" t="s">
        <v>26507</v>
      </c>
    </row>
    <row r="8979" spans="1:8" ht="25.05" customHeight="1" x14ac:dyDescent="0.25">
      <c r="A8979" s="2" t="s">
        <v>8</v>
      </c>
      <c r="B8979" s="2" t="str">
        <f>HYPERLINK("http://ts.21cn.com/tousu/show/id/1340103","来分期高价卖商品")</f>
        <v>来分期高价卖商品</v>
      </c>
      <c r="C8979" s="2" t="s">
        <v>9</v>
      </c>
      <c r="D8979" s="2" t="s">
        <v>10</v>
      </c>
      <c r="E8979" s="2" t="str">
        <f>HYPERLINK("http://ts.21cn.com/tousu/show/id/1340103","http://ts.21cn.com/tousu/show/id/1340103")</f>
        <v>http://ts.21cn.com/tousu/show/id/1340103</v>
      </c>
      <c r="F8979" s="2" t="s">
        <v>11</v>
      </c>
      <c r="G8979" s="2" t="s">
        <v>26504</v>
      </c>
      <c r="H8979" s="2" t="s">
        <v>26505</v>
      </c>
    </row>
    <row r="8980" spans="1:8" ht="25.05" customHeight="1" x14ac:dyDescent="0.25">
      <c r="A8980" s="2" t="s">
        <v>8</v>
      </c>
      <c r="B8980" s="2" t="str">
        <f>HYPERLINK("http://ts.21cn.com/tousu/show/id/1340101","洋钱罐协商还款要全部利息")</f>
        <v>洋钱罐协商还款要全部利息</v>
      </c>
      <c r="C8980" s="2" t="s">
        <v>34</v>
      </c>
      <c r="D8980" s="2" t="s">
        <v>10</v>
      </c>
      <c r="E8980" s="2" t="str">
        <f>HYPERLINK("http://ts.21cn.com/tousu/show/id/1340101","http://ts.21cn.com/tousu/show/id/1340101")</f>
        <v>http://ts.21cn.com/tousu/show/id/1340101</v>
      </c>
      <c r="F8980" s="2" t="s">
        <v>11</v>
      </c>
      <c r="G8980" s="2" t="s">
        <v>26502</v>
      </c>
      <c r="H8980" s="2" t="s">
        <v>26503</v>
      </c>
    </row>
    <row r="8981" spans="1:8" ht="25.05" customHeight="1" x14ac:dyDescent="0.25">
      <c r="A8981" s="2" t="s">
        <v>8</v>
      </c>
      <c r="B8981" s="2" t="str">
        <f>HYPERLINK("http://ts.21cn.com/tousu/show/id/1340104","小黑鲨高利贷")</f>
        <v>小黑鲨高利贷</v>
      </c>
      <c r="C8981" s="2" t="s">
        <v>9</v>
      </c>
      <c r="D8981" s="2" t="s">
        <v>10</v>
      </c>
      <c r="E8981" s="2" t="str">
        <f>HYPERLINK("http://ts.21cn.com/tousu/show/id/1340104","http://ts.21cn.com/tousu/show/id/1340104")</f>
        <v>http://ts.21cn.com/tousu/show/id/1340104</v>
      </c>
      <c r="F8981" s="2" t="s">
        <v>11</v>
      </c>
      <c r="G8981" s="2" t="s">
        <v>26500</v>
      </c>
      <c r="H8981" s="2" t="s">
        <v>26501</v>
      </c>
    </row>
    <row r="8982" spans="1:8" ht="25.05" customHeight="1" x14ac:dyDescent="0.25">
      <c r="A8982" s="2" t="s">
        <v>8</v>
      </c>
      <c r="B8982" s="2" t="str">
        <f>HYPERLINK("http://ts.21cn.com/tousu/show/id/1340105","360借条盗取我通讯录电话给我通讯录联系人乱打电话，恐吓吓唬我亲戚家人朋友")</f>
        <v>360借条盗取我通讯录电话给我通讯录联系人乱打电话，恐吓吓唬我亲戚家人朋友</v>
      </c>
      <c r="C8982" s="2" t="s">
        <v>9</v>
      </c>
      <c r="D8982" s="2" t="s">
        <v>10</v>
      </c>
      <c r="E8982" s="2" t="str">
        <f>HYPERLINK("http://ts.21cn.com/tousu/show/id/1340105","http://ts.21cn.com/tousu/show/id/1340105")</f>
        <v>http://ts.21cn.com/tousu/show/id/1340105</v>
      </c>
      <c r="F8982" s="2" t="s">
        <v>11</v>
      </c>
      <c r="G8982" s="2" t="s">
        <v>26498</v>
      </c>
      <c r="H8982" s="2" t="s">
        <v>26499</v>
      </c>
    </row>
    <row r="8983" spans="1:8" ht="25.05" customHeight="1" x14ac:dyDescent="0.25">
      <c r="A8983" s="2" t="s">
        <v>8</v>
      </c>
      <c r="B8983" s="2" t="str">
        <f>HYPERLINK("http://ts.21cn.com/tousu/show/id/1340109","维信卡卡贷不支持主动还款，扣我利息")</f>
        <v>维信卡卡贷不支持主动还款，扣我利息</v>
      </c>
      <c r="C8983" s="2" t="s">
        <v>9</v>
      </c>
      <c r="D8983" s="2" t="s">
        <v>10</v>
      </c>
      <c r="E8983" s="2" t="str">
        <f>HYPERLINK("http://ts.21cn.com/tousu/show/id/1340109","http://ts.21cn.com/tousu/show/id/1340109")</f>
        <v>http://ts.21cn.com/tousu/show/id/1340109</v>
      </c>
      <c r="F8983" s="2" t="s">
        <v>11</v>
      </c>
      <c r="G8983" s="2" t="s">
        <v>26496</v>
      </c>
      <c r="H8983" s="2" t="s">
        <v>26497</v>
      </c>
    </row>
    <row r="8984" spans="1:8" ht="25.05" customHeight="1" x14ac:dyDescent="0.25">
      <c r="A8984" s="2" t="s">
        <v>8</v>
      </c>
      <c r="B8984" s="2" t="str">
        <f>HYPERLINK("http://ts.21cn.com/tousu/show/id/1340108","投诉铁友乱扣费")</f>
        <v>投诉铁友乱扣费</v>
      </c>
      <c r="C8984" s="2" t="s">
        <v>9</v>
      </c>
      <c r="D8984" s="2" t="s">
        <v>10</v>
      </c>
      <c r="E8984" s="2" t="str">
        <f>HYPERLINK("http://ts.21cn.com/tousu/show/id/1340108","http://ts.21cn.com/tousu/show/id/1340108")</f>
        <v>http://ts.21cn.com/tousu/show/id/1340108</v>
      </c>
      <c r="F8984" s="2" t="s">
        <v>11</v>
      </c>
      <c r="G8984" s="2" t="s">
        <v>26494</v>
      </c>
      <c r="H8984" s="2" t="s">
        <v>26495</v>
      </c>
    </row>
    <row r="8985" spans="1:8" ht="25.05" customHeight="1" x14ac:dyDescent="0.25">
      <c r="A8985" s="2" t="s">
        <v>8</v>
      </c>
      <c r="B8985" s="2" t="str">
        <f>HYPERLINK("http://ts.21cn.com/tousu/show/id/1340110","拼多多系统出错错把商品看成重复铺货客服也承认了说9月21日给恢复现在迟迟不回复")</f>
        <v>拼多多系统出错错把商品看成重复铺货客服也承认了说9月21日给恢复现在迟迟不回复</v>
      </c>
      <c r="C8985" s="2" t="s">
        <v>9</v>
      </c>
      <c r="D8985" s="2" t="s">
        <v>10</v>
      </c>
      <c r="E8985" s="2" t="str">
        <f>HYPERLINK("http://ts.21cn.com/tousu/show/id/1340110","http://ts.21cn.com/tousu/show/id/1340110")</f>
        <v>http://ts.21cn.com/tousu/show/id/1340110</v>
      </c>
      <c r="F8985" s="2" t="s">
        <v>11</v>
      </c>
      <c r="G8985" s="2" t="s">
        <v>26492</v>
      </c>
      <c r="H8985" s="2" t="s">
        <v>26493</v>
      </c>
    </row>
    <row r="8986" spans="1:8" ht="25.05" customHeight="1" x14ac:dyDescent="0.25">
      <c r="A8986" s="2" t="s">
        <v>8</v>
      </c>
      <c r="B8986" s="2" t="str">
        <f>HYPERLINK("http://ts.21cn.com/tousu/show/id/1340111","手表进水不给维修")</f>
        <v>手表进水不给维修</v>
      </c>
      <c r="C8986" s="2" t="s">
        <v>9</v>
      </c>
      <c r="D8986" s="2" t="s">
        <v>10</v>
      </c>
      <c r="E8986" s="2" t="str">
        <f>HYPERLINK("http://ts.21cn.com/tousu/show/id/1340111","http://ts.21cn.com/tousu/show/id/1340111")</f>
        <v>http://ts.21cn.com/tousu/show/id/1340111</v>
      </c>
      <c r="F8986" s="2" t="s">
        <v>11</v>
      </c>
      <c r="G8986" s="2" t="s">
        <v>26490</v>
      </c>
      <c r="H8986" s="2" t="s">
        <v>26491</v>
      </c>
    </row>
    <row r="8987" spans="1:8" ht="25.05" customHeight="1" x14ac:dyDescent="0.25">
      <c r="A8987" s="2" t="s">
        <v>8</v>
      </c>
      <c r="B8987" s="2" t="str">
        <f>HYPERLINK("http://ts.21cn.com/tousu/show/id/1340112","纯玩团两日变一日")</f>
        <v>纯玩团两日变一日</v>
      </c>
      <c r="C8987" s="2" t="s">
        <v>9</v>
      </c>
      <c r="D8987" s="2" t="s">
        <v>10</v>
      </c>
      <c r="E8987" s="2" t="str">
        <f>HYPERLINK("http://ts.21cn.com/tousu/show/id/1340112","http://ts.21cn.com/tousu/show/id/1340112")</f>
        <v>http://ts.21cn.com/tousu/show/id/1340112</v>
      </c>
      <c r="F8987" s="2" t="s">
        <v>11</v>
      </c>
      <c r="G8987" s="2" t="s">
        <v>26488</v>
      </c>
      <c r="H8987" s="2" t="s">
        <v>26489</v>
      </c>
    </row>
    <row r="8988" spans="1:8" ht="25.05" customHeight="1" x14ac:dyDescent="0.25">
      <c r="A8988" s="2" t="s">
        <v>8</v>
      </c>
      <c r="B8988" s="2" t="str">
        <f>HYPERLINK("http://ts.21cn.com/tousu/show/id/1340113","玖富万卡高利贷，阴阳合同")</f>
        <v>玖富万卡高利贷，阴阳合同</v>
      </c>
      <c r="C8988" s="2" t="s">
        <v>9</v>
      </c>
      <c r="D8988" s="2" t="s">
        <v>10</v>
      </c>
      <c r="E8988" s="2" t="str">
        <f>HYPERLINK("http://ts.21cn.com/tousu/show/id/1340113","http://ts.21cn.com/tousu/show/id/1340113")</f>
        <v>http://ts.21cn.com/tousu/show/id/1340113</v>
      </c>
      <c r="F8988" s="2" t="s">
        <v>11</v>
      </c>
      <c r="G8988" s="2" t="s">
        <v>26486</v>
      </c>
      <c r="H8988" s="2" t="s">
        <v>26487</v>
      </c>
    </row>
    <row r="8989" spans="1:8" ht="25.05" customHeight="1" x14ac:dyDescent="0.25">
      <c r="A8989" s="2" t="s">
        <v>8</v>
      </c>
      <c r="B8989" s="2" t="str">
        <f>HYPERLINK("http://ts.21cn.com/tousu/show/id/1340114","马上金融暴力催收致使家人住院")</f>
        <v>马上金融暴力催收致使家人住院</v>
      </c>
      <c r="C8989" s="2" t="s">
        <v>9</v>
      </c>
      <c r="D8989" s="2" t="s">
        <v>10</v>
      </c>
      <c r="E8989" s="2" t="str">
        <f>HYPERLINK("http://ts.21cn.com/tousu/show/id/1340114","http://ts.21cn.com/tousu/show/id/1340114")</f>
        <v>http://ts.21cn.com/tousu/show/id/1340114</v>
      </c>
      <c r="F8989" s="2" t="s">
        <v>11</v>
      </c>
      <c r="G8989" s="2" t="s">
        <v>26484</v>
      </c>
      <c r="H8989" s="2" t="s">
        <v>26485</v>
      </c>
    </row>
    <row r="8990" spans="1:8" ht="25.05" customHeight="1" x14ac:dyDescent="0.25">
      <c r="A8990" s="2" t="s">
        <v>8</v>
      </c>
      <c r="B8990" s="2" t="str">
        <f>HYPERLINK("http://ts.21cn.com/tousu/show/id/1340115","钱站高利贷")</f>
        <v>钱站高利贷</v>
      </c>
      <c r="C8990" s="2" t="s">
        <v>9</v>
      </c>
      <c r="D8990" s="2" t="s">
        <v>10</v>
      </c>
      <c r="E8990" s="2" t="str">
        <f>HYPERLINK("http://ts.21cn.com/tousu/show/id/1340115","http://ts.21cn.com/tousu/show/id/1340115")</f>
        <v>http://ts.21cn.com/tousu/show/id/1340115</v>
      </c>
      <c r="F8990" s="2" t="s">
        <v>11</v>
      </c>
      <c r="G8990" s="2" t="s">
        <v>26482</v>
      </c>
      <c r="H8990" s="2" t="s">
        <v>26483</v>
      </c>
    </row>
    <row r="8991" spans="1:8" ht="25.05" customHeight="1" x14ac:dyDescent="0.25">
      <c r="A8991" s="2" t="s">
        <v>8</v>
      </c>
      <c r="B8991" s="2" t="str">
        <f>HYPERLINK("http://ts.21cn.com/tousu/show/id/1340117","黑心的天天贷暴力催收")</f>
        <v>黑心的天天贷暴力催收</v>
      </c>
      <c r="C8991" s="2" t="s">
        <v>9</v>
      </c>
      <c r="D8991" s="2" t="s">
        <v>10</v>
      </c>
      <c r="E8991" s="2" t="str">
        <f>HYPERLINK("http://ts.21cn.com/tousu/show/id/1340117","http://ts.21cn.com/tousu/show/id/1340117")</f>
        <v>http://ts.21cn.com/tousu/show/id/1340117</v>
      </c>
      <c r="F8991" s="2" t="s">
        <v>11</v>
      </c>
      <c r="G8991" s="2" t="s">
        <v>26480</v>
      </c>
      <c r="H8991" s="2" t="s">
        <v>26481</v>
      </c>
    </row>
    <row r="8992" spans="1:8" ht="25.05" customHeight="1" x14ac:dyDescent="0.25">
      <c r="A8992" s="2" t="s">
        <v>8</v>
      </c>
      <c r="B8992" s="2" t="str">
        <f>HYPERLINK("http://ts.21cn.com/tousu/show/id/1340118","中邮钱包乱打亲友电话")</f>
        <v>中邮钱包乱打亲友电话</v>
      </c>
      <c r="C8992" s="2" t="s">
        <v>9</v>
      </c>
      <c r="D8992" s="2" t="s">
        <v>10</v>
      </c>
      <c r="E8992" s="2" t="str">
        <f>HYPERLINK("http://ts.21cn.com/tousu/show/id/1340118","http://ts.21cn.com/tousu/show/id/1340118")</f>
        <v>http://ts.21cn.com/tousu/show/id/1340118</v>
      </c>
      <c r="F8992" s="2" t="s">
        <v>11</v>
      </c>
      <c r="G8992" s="2" t="s">
        <v>26478</v>
      </c>
      <c r="H8992" s="2" t="s">
        <v>26479</v>
      </c>
    </row>
    <row r="8993" spans="1:8" ht="25.05" customHeight="1" x14ac:dyDescent="0.25">
      <c r="A8993" s="2" t="s">
        <v>8</v>
      </c>
      <c r="B8993" s="2" t="str">
        <f>HYPERLINK("http://ts.21cn.com/tousu/show/id/1340119","网贷平台虚假暴力催收")</f>
        <v>网贷平台虚假暴力催收</v>
      </c>
      <c r="C8993" s="2" t="s">
        <v>9</v>
      </c>
      <c r="D8993" s="2" t="s">
        <v>10</v>
      </c>
      <c r="E8993" s="2" t="str">
        <f>HYPERLINK("http://ts.21cn.com/tousu/show/id/1340119","http://ts.21cn.com/tousu/show/id/1340119")</f>
        <v>http://ts.21cn.com/tousu/show/id/1340119</v>
      </c>
      <c r="F8993" s="2" t="s">
        <v>11</v>
      </c>
      <c r="G8993" s="2" t="s">
        <v>26476</v>
      </c>
      <c r="H8993" s="2" t="s">
        <v>26477</v>
      </c>
    </row>
    <row r="8994" spans="1:8" ht="25.05" customHeight="1" x14ac:dyDescent="0.25">
      <c r="A8994" s="2" t="s">
        <v>8</v>
      </c>
      <c r="B8994" s="2" t="str">
        <f>HYPERLINK("http://ts.21cn.com/tousu/show/id/1340122","恶心跑骚电话轰炸")</f>
        <v>恶心跑骚电话轰炸</v>
      </c>
      <c r="C8994" s="2" t="s">
        <v>34</v>
      </c>
      <c r="D8994" s="2" t="s">
        <v>10</v>
      </c>
      <c r="E8994" s="2" t="str">
        <f>HYPERLINK("http://ts.21cn.com/tousu/show/id/1340122","http://ts.21cn.com/tousu/show/id/1340122")</f>
        <v>http://ts.21cn.com/tousu/show/id/1340122</v>
      </c>
      <c r="F8994" s="2" t="s">
        <v>11</v>
      </c>
      <c r="G8994" s="2" t="s">
        <v>26474</v>
      </c>
      <c r="H8994" s="2" t="s">
        <v>26475</v>
      </c>
    </row>
    <row r="8995" spans="1:8" ht="25.05" customHeight="1" x14ac:dyDescent="0.25">
      <c r="A8995" s="2" t="s">
        <v>8</v>
      </c>
      <c r="B8995" s="2" t="str">
        <f>HYPERLINK("http://ts.21cn.com/tousu/show/id/1340123","平安i贷")</f>
        <v>平安i贷</v>
      </c>
      <c r="C8995" s="2" t="s">
        <v>34</v>
      </c>
      <c r="D8995" s="2" t="s">
        <v>10</v>
      </c>
      <c r="E8995" s="2" t="str">
        <f>HYPERLINK("http://ts.21cn.com/tousu/show/id/1340123","http://ts.21cn.com/tousu/show/id/1340123")</f>
        <v>http://ts.21cn.com/tousu/show/id/1340123</v>
      </c>
      <c r="F8995" s="2" t="s">
        <v>11</v>
      </c>
      <c r="G8995" s="2" t="s">
        <v>26472</v>
      </c>
      <c r="H8995" s="2" t="s">
        <v>26473</v>
      </c>
    </row>
    <row r="8996" spans="1:8" ht="25.05" customHeight="1" x14ac:dyDescent="0.25">
      <c r="A8996" s="2" t="s">
        <v>8</v>
      </c>
      <c r="B8996" s="2" t="str">
        <f>HYPERLINK("http://ts.21cn.com/tousu/show/id/1340090","现金巴士砍头息，高利贷")</f>
        <v>现金巴士砍头息，高利贷</v>
      </c>
      <c r="C8996" s="2" t="s">
        <v>9</v>
      </c>
      <c r="D8996" s="2" t="s">
        <v>10</v>
      </c>
      <c r="E8996" s="2" t="str">
        <f>HYPERLINK("http://ts.21cn.com/tousu/show/id/1340090","http://ts.21cn.com/tousu/show/id/1340090")</f>
        <v>http://ts.21cn.com/tousu/show/id/1340090</v>
      </c>
      <c r="F8996" s="2" t="s">
        <v>11</v>
      </c>
      <c r="G8996" s="2" t="s">
        <v>26470</v>
      </c>
      <c r="H8996" s="2" t="s">
        <v>26471</v>
      </c>
    </row>
    <row r="8997" spans="1:8" ht="25.05" customHeight="1" x14ac:dyDescent="0.25">
      <c r="A8997" s="2" t="s">
        <v>8</v>
      </c>
      <c r="B8997" s="2" t="str">
        <f>HYPERLINK("http://ts.21cn.com/tousu/show/id/1340125","我想要回退款")</f>
        <v>我想要回退款</v>
      </c>
      <c r="C8997" s="2" t="s">
        <v>34</v>
      </c>
      <c r="D8997" s="2" t="s">
        <v>10</v>
      </c>
      <c r="E8997" s="2" t="str">
        <f>HYPERLINK("http://ts.21cn.com/tousu/show/id/1340125","http://ts.21cn.com/tousu/show/id/1340125")</f>
        <v>http://ts.21cn.com/tousu/show/id/1340125</v>
      </c>
      <c r="F8997" s="2" t="s">
        <v>11</v>
      </c>
      <c r="G8997" s="2" t="s">
        <v>26468</v>
      </c>
      <c r="H8997" s="2" t="s">
        <v>26469</v>
      </c>
    </row>
    <row r="8998" spans="1:8" ht="25.05" customHeight="1" x14ac:dyDescent="0.25">
      <c r="A8998" s="2" t="s">
        <v>8</v>
      </c>
      <c r="B8998" s="2" t="str">
        <f>HYPERLINK("http://ts.21cn.com/tousu/show/id/1340126","分期鸭超高利息")</f>
        <v>分期鸭超高利息</v>
      </c>
      <c r="C8998" s="2" t="s">
        <v>9</v>
      </c>
      <c r="D8998" s="2" t="s">
        <v>10</v>
      </c>
      <c r="E8998" s="2" t="str">
        <f>HYPERLINK("http://ts.21cn.com/tousu/show/id/1340126","http://ts.21cn.com/tousu/show/id/1340126")</f>
        <v>http://ts.21cn.com/tousu/show/id/1340126</v>
      </c>
      <c r="F8998" s="2" t="s">
        <v>11</v>
      </c>
      <c r="G8998" s="2" t="s">
        <v>26466</v>
      </c>
      <c r="H8998" s="2" t="s">
        <v>26467</v>
      </c>
    </row>
    <row r="8999" spans="1:8" ht="25.05" customHeight="1" x14ac:dyDescent="0.25">
      <c r="A8999" s="2" t="s">
        <v>8</v>
      </c>
      <c r="B8999" s="2" t="str">
        <f>HYPERLINK("http://ts.21cn.com/tousu/show/id/1340127","高利贷")</f>
        <v>高利贷</v>
      </c>
      <c r="C8999" s="2" t="s">
        <v>9</v>
      </c>
      <c r="D8999" s="2" t="s">
        <v>10</v>
      </c>
      <c r="E8999" s="2" t="str">
        <f>HYPERLINK("http://ts.21cn.com/tousu/show/id/1340127","http://ts.21cn.com/tousu/show/id/1340127")</f>
        <v>http://ts.21cn.com/tousu/show/id/1340127</v>
      </c>
      <c r="F8999" s="2" t="s">
        <v>11</v>
      </c>
      <c r="G8999" s="2" t="s">
        <v>26464</v>
      </c>
      <c r="H8999" s="2" t="s">
        <v>26465</v>
      </c>
    </row>
    <row r="9000" spans="1:8" ht="25.05" customHeight="1" x14ac:dyDescent="0.25">
      <c r="A9000" s="2" t="s">
        <v>8</v>
      </c>
      <c r="B9000" s="2" t="str">
        <f>HYPERLINK("http://ts.21cn.com/tousu/show/id/1340128","现金巴士砍头息168")</f>
        <v>现金巴士砍头息168</v>
      </c>
      <c r="C9000" s="2" t="s">
        <v>9</v>
      </c>
      <c r="D9000" s="2" t="s">
        <v>10</v>
      </c>
      <c r="E9000" s="2" t="str">
        <f>HYPERLINK("http://ts.21cn.com/tousu/show/id/1340128","http://ts.21cn.com/tousu/show/id/1340128")</f>
        <v>http://ts.21cn.com/tousu/show/id/1340128</v>
      </c>
      <c r="F9000" s="2" t="s">
        <v>11</v>
      </c>
      <c r="G9000" s="2" t="s">
        <v>26462</v>
      </c>
      <c r="H9000" s="2" t="s">
        <v>26463</v>
      </c>
    </row>
    <row r="9001" spans="1:8" ht="25.05" customHeight="1" x14ac:dyDescent="0.25">
      <c r="A9001" s="2" t="s">
        <v>8</v>
      </c>
      <c r="B9001" s="2" t="str">
        <f>HYPERLINK("http://ts.21cn.com/tousu/show/id/1340107","投诉淘宝小二乱判")</f>
        <v>投诉淘宝小二乱判</v>
      </c>
      <c r="C9001" s="2" t="s">
        <v>9</v>
      </c>
      <c r="D9001" s="2" t="s">
        <v>10</v>
      </c>
      <c r="E9001" s="2" t="str">
        <f>HYPERLINK("http://ts.21cn.com/tousu/show/id/1340107","http://ts.21cn.com/tousu/show/id/1340107")</f>
        <v>http://ts.21cn.com/tousu/show/id/1340107</v>
      </c>
      <c r="F9001" s="2" t="s">
        <v>11</v>
      </c>
      <c r="G9001" s="2" t="s">
        <v>26460</v>
      </c>
      <c r="H9001" s="2" t="s">
        <v>26461</v>
      </c>
    </row>
    <row r="9002" spans="1:8" ht="25.05" customHeight="1" x14ac:dyDescent="0.25">
      <c r="A9002" s="2" t="s">
        <v>8</v>
      </c>
      <c r="B9002" s="2" t="str">
        <f>HYPERLINK("http://ts.21cn.com/tousu/show/id/1340131","中归乱扣款")</f>
        <v>中归乱扣款</v>
      </c>
      <c r="C9002" s="2" t="s">
        <v>9</v>
      </c>
      <c r="D9002" s="2" t="s">
        <v>10</v>
      </c>
      <c r="E9002" s="2" t="str">
        <f>HYPERLINK("http://ts.21cn.com/tousu/show/id/1340131","http://ts.21cn.com/tousu/show/id/1340131")</f>
        <v>http://ts.21cn.com/tousu/show/id/1340131</v>
      </c>
      <c r="F9002" s="2" t="s">
        <v>11</v>
      </c>
      <c r="G9002" s="2" t="s">
        <v>26458</v>
      </c>
      <c r="H9002" s="2" t="s">
        <v>26459</v>
      </c>
    </row>
    <row r="9003" spans="1:8" ht="25.05" customHeight="1" x14ac:dyDescent="0.25">
      <c r="A9003" s="2" t="s">
        <v>8</v>
      </c>
      <c r="B9003" s="2" t="str">
        <f>HYPERLINK("http://ts.21cn.com/tousu/show/id/1340130","暴力催收，骚扰威胁，态度恶劣")</f>
        <v>暴力催收，骚扰威胁，态度恶劣</v>
      </c>
      <c r="C9003" s="2" t="s">
        <v>9</v>
      </c>
      <c r="D9003" s="2" t="s">
        <v>10</v>
      </c>
      <c r="E9003" s="2" t="str">
        <f>HYPERLINK("http://ts.21cn.com/tousu/show/id/1340130","http://ts.21cn.com/tousu/show/id/1340130")</f>
        <v>http://ts.21cn.com/tousu/show/id/1340130</v>
      </c>
      <c r="F9003" s="2" t="s">
        <v>11</v>
      </c>
      <c r="G9003" s="2" t="s">
        <v>26456</v>
      </c>
      <c r="H9003" s="2" t="s">
        <v>26457</v>
      </c>
    </row>
    <row r="9004" spans="1:8" ht="25.05" customHeight="1" x14ac:dyDescent="0.25">
      <c r="A9004" s="2" t="s">
        <v>8</v>
      </c>
      <c r="B9004" s="2" t="str">
        <f>HYPERLINK("http://ts.21cn.com/tousu/show/id/1340129","高额逾期费用")</f>
        <v>高额逾期费用</v>
      </c>
      <c r="C9004" s="2" t="s">
        <v>34</v>
      </c>
      <c r="D9004" s="2" t="s">
        <v>10</v>
      </c>
      <c r="E9004" s="2" t="str">
        <f>HYPERLINK("http://ts.21cn.com/tousu/show/id/1340129","http://ts.21cn.com/tousu/show/id/1340129")</f>
        <v>http://ts.21cn.com/tousu/show/id/1340129</v>
      </c>
      <c r="F9004" s="2" t="s">
        <v>11</v>
      </c>
      <c r="G9004" s="2" t="s">
        <v>26454</v>
      </c>
      <c r="H9004" s="2" t="s">
        <v>26455</v>
      </c>
    </row>
    <row r="9005" spans="1:8" ht="25.05" customHeight="1" x14ac:dyDescent="0.25">
      <c r="A9005" s="2" t="s">
        <v>8</v>
      </c>
      <c r="B9005" s="2" t="str">
        <f>HYPERLINK("http://ts.21cn.com/tousu/show/id/1340134","银行卡解绑加催收电话短信频繁")</f>
        <v>银行卡解绑加催收电话短信频繁</v>
      </c>
      <c r="C9005" s="2" t="s">
        <v>9</v>
      </c>
      <c r="D9005" s="2" t="s">
        <v>10</v>
      </c>
      <c r="E9005" s="2" t="str">
        <f>HYPERLINK("http://ts.21cn.com/tousu/show/id/1340134","http://ts.21cn.com/tousu/show/id/1340134")</f>
        <v>http://ts.21cn.com/tousu/show/id/1340134</v>
      </c>
      <c r="F9005" s="2" t="s">
        <v>11</v>
      </c>
      <c r="G9005" s="2" t="s">
        <v>26452</v>
      </c>
      <c r="H9005" s="2" t="s">
        <v>26453</v>
      </c>
    </row>
    <row r="9006" spans="1:8" ht="25.05" customHeight="1" x14ac:dyDescent="0.25">
      <c r="A9006" s="2" t="s">
        <v>8</v>
      </c>
      <c r="B9006" s="2" t="str">
        <f>HYPERLINK("http://ts.21cn.com/tousu/show/id/1340136","米条联盟为高利贷者提供违规认证")</f>
        <v>米条联盟为高利贷者提供违规认证</v>
      </c>
      <c r="C9006" s="2" t="s">
        <v>9</v>
      </c>
      <c r="D9006" s="2" t="s">
        <v>10</v>
      </c>
      <c r="E9006" s="2" t="str">
        <f>HYPERLINK("http://ts.21cn.com/tousu/show/id/1340136","http://ts.21cn.com/tousu/show/id/1340136")</f>
        <v>http://ts.21cn.com/tousu/show/id/1340136</v>
      </c>
      <c r="F9006" s="2" t="s">
        <v>11</v>
      </c>
      <c r="G9006" s="2" t="s">
        <v>26450</v>
      </c>
      <c r="H9006" s="2" t="s">
        <v>26451</v>
      </c>
    </row>
    <row r="9007" spans="1:8" ht="25.05" customHeight="1" x14ac:dyDescent="0.25">
      <c r="A9007" s="2" t="s">
        <v>8</v>
      </c>
      <c r="B9007" s="2" t="str">
        <f>HYPERLINK("http://ts.21cn.com/tousu/show/id/1340135","催收人员辱骂及其冒充公检法")</f>
        <v>催收人员辱骂及其冒充公检法</v>
      </c>
      <c r="C9007" s="2" t="s">
        <v>9</v>
      </c>
      <c r="D9007" s="2" t="s">
        <v>10</v>
      </c>
      <c r="E9007" s="2" t="str">
        <f>HYPERLINK("http://ts.21cn.com/tousu/show/id/1340135","http://ts.21cn.com/tousu/show/id/1340135")</f>
        <v>http://ts.21cn.com/tousu/show/id/1340135</v>
      </c>
      <c r="F9007" s="2" t="s">
        <v>11</v>
      </c>
      <c r="G9007" s="2" t="s">
        <v>26448</v>
      </c>
      <c r="H9007" s="2" t="s">
        <v>26449</v>
      </c>
    </row>
    <row r="9008" spans="1:8" ht="25.05" customHeight="1" x14ac:dyDescent="0.25">
      <c r="A9008" s="2" t="s">
        <v>8</v>
      </c>
      <c r="B9008" s="2" t="str">
        <f>HYPERLINK("http://ts.21cn.com/tousu/show/id/1340139","百事惠普恶意扣钱")</f>
        <v>百事惠普恶意扣钱</v>
      </c>
      <c r="C9008" s="2" t="s">
        <v>9</v>
      </c>
      <c r="D9008" s="2" t="s">
        <v>10</v>
      </c>
      <c r="E9008" s="2" t="str">
        <f>HYPERLINK("http://ts.21cn.com/tousu/show/id/1340139","http://ts.21cn.com/tousu/show/id/1340139")</f>
        <v>http://ts.21cn.com/tousu/show/id/1340139</v>
      </c>
      <c r="F9008" s="2" t="s">
        <v>11</v>
      </c>
      <c r="G9008" s="2" t="s">
        <v>26446</v>
      </c>
      <c r="H9008" s="2" t="s">
        <v>26447</v>
      </c>
    </row>
    <row r="9009" spans="1:8" ht="25.05" customHeight="1" x14ac:dyDescent="0.25">
      <c r="A9009" s="2" t="s">
        <v>8</v>
      </c>
      <c r="B9009" s="2" t="str">
        <f>HYPERLINK("http://ts.21cn.com/tousu/show/id/1340137","合同欺诈，私自扣款")</f>
        <v>合同欺诈，私自扣款</v>
      </c>
      <c r="C9009" s="2" t="s">
        <v>9</v>
      </c>
      <c r="D9009" s="2" t="s">
        <v>10</v>
      </c>
      <c r="E9009" s="2" t="str">
        <f>HYPERLINK("http://ts.21cn.com/tousu/show/id/1340137","http://ts.21cn.com/tousu/show/id/1340137")</f>
        <v>http://ts.21cn.com/tousu/show/id/1340137</v>
      </c>
      <c r="F9009" s="2" t="s">
        <v>11</v>
      </c>
      <c r="G9009" s="2" t="s">
        <v>26444</v>
      </c>
      <c r="H9009" s="2" t="s">
        <v>26445</v>
      </c>
    </row>
    <row r="9010" spans="1:8" ht="25.05" customHeight="1" x14ac:dyDescent="0.25">
      <c r="A9010" s="2" t="s">
        <v>8</v>
      </c>
      <c r="B9010" s="2" t="str">
        <f>HYPERLINK("http://ts.21cn.com/tousu/show/id/1340138","猫眼10月1~3号拉新人活动不予提现显示付款账户超限")</f>
        <v>猫眼10月1~3号拉新人活动不予提现显示付款账户超限</v>
      </c>
      <c r="C9010" s="2" t="s">
        <v>9</v>
      </c>
      <c r="D9010" s="2" t="s">
        <v>10</v>
      </c>
      <c r="E9010" s="2" t="str">
        <f>HYPERLINK("http://ts.21cn.com/tousu/show/id/1340138","http://ts.21cn.com/tousu/show/id/1340138")</f>
        <v>http://ts.21cn.com/tousu/show/id/1340138</v>
      </c>
      <c r="F9010" s="2" t="s">
        <v>11</v>
      </c>
      <c r="G9010" s="2" t="s">
        <v>26442</v>
      </c>
      <c r="H9010" s="2" t="s">
        <v>26443</v>
      </c>
    </row>
    <row r="9011" spans="1:8" ht="25.05" customHeight="1" x14ac:dyDescent="0.25">
      <c r="A9011" s="2" t="s">
        <v>8</v>
      </c>
      <c r="B9011" s="2" t="str">
        <f>HYPERLINK("http://ts.21cn.com/tousu/show/id/1340140","侵犯私隐，威胁，爆通讯录")</f>
        <v>侵犯私隐，威胁，爆通讯录</v>
      </c>
      <c r="C9011" s="2" t="s">
        <v>9</v>
      </c>
      <c r="D9011" s="2" t="s">
        <v>10</v>
      </c>
      <c r="E9011" s="2" t="str">
        <f>HYPERLINK("http://ts.21cn.com/tousu/show/id/1340140","http://ts.21cn.com/tousu/show/id/1340140")</f>
        <v>http://ts.21cn.com/tousu/show/id/1340140</v>
      </c>
      <c r="F9011" s="2" t="s">
        <v>11</v>
      </c>
      <c r="G9011" s="2" t="s">
        <v>26440</v>
      </c>
      <c r="H9011" s="2" t="s">
        <v>26441</v>
      </c>
    </row>
    <row r="9012" spans="1:8" ht="25.05" customHeight="1" x14ac:dyDescent="0.25">
      <c r="A9012" s="2" t="s">
        <v>8</v>
      </c>
      <c r="B9012" s="2" t="str">
        <f>HYPERLINK("http://ts.21cn.com/tousu/show/id/1340142","现金巴士砍头息，高利贷")</f>
        <v>现金巴士砍头息，高利贷</v>
      </c>
      <c r="C9012" s="2" t="s">
        <v>9</v>
      </c>
      <c r="D9012" s="2" t="s">
        <v>10</v>
      </c>
      <c r="E9012" s="2" t="str">
        <f>HYPERLINK("http://ts.21cn.com/tousu/show/id/1340142","http://ts.21cn.com/tousu/show/id/1340142")</f>
        <v>http://ts.21cn.com/tousu/show/id/1340142</v>
      </c>
      <c r="F9012" s="2" t="s">
        <v>11</v>
      </c>
      <c r="G9012" s="2" t="s">
        <v>26438</v>
      </c>
      <c r="H9012" s="2" t="s">
        <v>26439</v>
      </c>
    </row>
    <row r="9013" spans="1:8" ht="25.05" customHeight="1" x14ac:dyDescent="0.25">
      <c r="A9013" s="2" t="s">
        <v>8</v>
      </c>
      <c r="B9013" s="2" t="str">
        <f>HYPERLINK("http://ts.21cn.com/tousu/show/id/1340143","盈盈有钱暴力催收涉黑涉恶")</f>
        <v>盈盈有钱暴力催收涉黑涉恶</v>
      </c>
      <c r="C9013" s="2" t="s">
        <v>9</v>
      </c>
      <c r="D9013" s="2" t="s">
        <v>10</v>
      </c>
      <c r="E9013" s="2" t="str">
        <f>HYPERLINK("http://ts.21cn.com/tousu/show/id/1340143","http://ts.21cn.com/tousu/show/id/1340143")</f>
        <v>http://ts.21cn.com/tousu/show/id/1340143</v>
      </c>
      <c r="F9013" s="2" t="s">
        <v>11</v>
      </c>
      <c r="G9013" s="2" t="s">
        <v>26436</v>
      </c>
      <c r="H9013" s="2" t="s">
        <v>26437</v>
      </c>
    </row>
    <row r="9014" spans="1:8" ht="25.05" customHeight="1" x14ac:dyDescent="0.25">
      <c r="A9014" s="2" t="s">
        <v>8</v>
      </c>
      <c r="B9014" s="2" t="str">
        <f>HYPERLINK("http://ts.21cn.com/tousu/show/id/1340146","黑网贷（洋钱罐借款）打朋友电话恐吓说下午五点之前不还款就找我家里人")</f>
        <v>黑网贷（洋钱罐借款）打朋友电话恐吓说下午五点之前不还款就找我家里人</v>
      </c>
      <c r="C9014" s="2" t="s">
        <v>9</v>
      </c>
      <c r="D9014" s="2" t="s">
        <v>10</v>
      </c>
      <c r="E9014" s="2" t="str">
        <f>HYPERLINK("http://ts.21cn.com/tousu/show/id/1340146","http://ts.21cn.com/tousu/show/id/1340146")</f>
        <v>http://ts.21cn.com/tousu/show/id/1340146</v>
      </c>
      <c r="F9014" s="2" t="s">
        <v>11</v>
      </c>
      <c r="G9014" s="2" t="s">
        <v>26434</v>
      </c>
      <c r="H9014" s="2" t="s">
        <v>26435</v>
      </c>
    </row>
    <row r="9015" spans="1:8" ht="25.05" customHeight="1" x14ac:dyDescent="0.25">
      <c r="A9015" s="2" t="s">
        <v>8</v>
      </c>
      <c r="B9015" s="2" t="str">
        <f>HYPERLINK("http://ts.21cn.com/tousu/show/id/1340144","暴通讯录")</f>
        <v>暴通讯录</v>
      </c>
      <c r="C9015" s="2" t="s">
        <v>9</v>
      </c>
      <c r="D9015" s="2" t="s">
        <v>10</v>
      </c>
      <c r="E9015" s="2" t="str">
        <f>HYPERLINK("http://ts.21cn.com/tousu/show/id/1340144","http://ts.21cn.com/tousu/show/id/1340144")</f>
        <v>http://ts.21cn.com/tousu/show/id/1340144</v>
      </c>
      <c r="F9015" s="2" t="s">
        <v>11</v>
      </c>
      <c r="G9015" s="2" t="s">
        <v>26432</v>
      </c>
      <c r="H9015" s="2" t="s">
        <v>26433</v>
      </c>
    </row>
    <row r="9016" spans="1:8" ht="25.05" customHeight="1" x14ac:dyDescent="0.25">
      <c r="A9016" s="2" t="s">
        <v>8</v>
      </c>
      <c r="B9016" s="2" t="str">
        <f>HYPERLINK("http://ts.21cn.com/tousu/show/id/1340147","美团借钱逾期遭到威胁")</f>
        <v>美团借钱逾期遭到威胁</v>
      </c>
      <c r="C9016" s="2" t="s">
        <v>9</v>
      </c>
      <c r="D9016" s="2" t="s">
        <v>10</v>
      </c>
      <c r="E9016" s="2" t="str">
        <f>HYPERLINK("http://ts.21cn.com/tousu/show/id/1340147","http://ts.21cn.com/tousu/show/id/1340147")</f>
        <v>http://ts.21cn.com/tousu/show/id/1340147</v>
      </c>
      <c r="F9016" s="2" t="s">
        <v>11</v>
      </c>
      <c r="G9016" s="2" t="s">
        <v>26430</v>
      </c>
      <c r="H9016" s="2" t="s">
        <v>26431</v>
      </c>
    </row>
    <row r="9017" spans="1:8" ht="25.05" customHeight="1" x14ac:dyDescent="0.25">
      <c r="A9017" s="2" t="s">
        <v>8</v>
      </c>
      <c r="B9017" s="2" t="str">
        <f>HYPERLINK("http://ts.21cn.com/tousu/show/id/1340148","小米金融宝暴力催收")</f>
        <v>小米金融宝暴力催收</v>
      </c>
      <c r="C9017" s="2" t="s">
        <v>9</v>
      </c>
      <c r="D9017" s="2" t="s">
        <v>10</v>
      </c>
      <c r="E9017" s="2" t="str">
        <f>HYPERLINK("http://ts.21cn.com/tousu/show/id/1340148","http://ts.21cn.com/tousu/show/id/1340148")</f>
        <v>http://ts.21cn.com/tousu/show/id/1340148</v>
      </c>
      <c r="F9017" s="2" t="s">
        <v>11</v>
      </c>
      <c r="G9017" s="2" t="s">
        <v>26428</v>
      </c>
      <c r="H9017" s="2" t="s">
        <v>26429</v>
      </c>
    </row>
    <row r="9018" spans="1:8" ht="25.05" customHeight="1" x14ac:dyDescent="0.25">
      <c r="A9018" s="2" t="s">
        <v>8</v>
      </c>
      <c r="B9018" s="2" t="str">
        <f>HYPERLINK("http://ts.21cn.com/tousu/show/id/1340149","新意花")</f>
        <v>新意花</v>
      </c>
      <c r="C9018" s="2" t="s">
        <v>9</v>
      </c>
      <c r="D9018" s="2" t="s">
        <v>10</v>
      </c>
      <c r="E9018" s="2" t="str">
        <f>HYPERLINK("http://ts.21cn.com/tousu/show/id/1340149","http://ts.21cn.com/tousu/show/id/1340149")</f>
        <v>http://ts.21cn.com/tousu/show/id/1340149</v>
      </c>
      <c r="F9018" s="2" t="s">
        <v>11</v>
      </c>
      <c r="G9018" s="2" t="s">
        <v>26426</v>
      </c>
      <c r="H9018" s="2" t="s">
        <v>26427</v>
      </c>
    </row>
    <row r="9019" spans="1:8" ht="25.05" customHeight="1" x14ac:dyDescent="0.25">
      <c r="A9019" s="2" t="s">
        <v>8</v>
      </c>
      <c r="B9019" s="2" t="str">
        <f>HYPERLINK("http://ts.21cn.com/tousu/show/id/1340150","损毁名誉，电话骚扰，非法获取个人隐私")</f>
        <v>损毁名誉，电话骚扰，非法获取个人隐私</v>
      </c>
      <c r="C9019" s="2" t="s">
        <v>9</v>
      </c>
      <c r="D9019" s="2" t="s">
        <v>10</v>
      </c>
      <c r="E9019" s="2" t="str">
        <f>HYPERLINK("http://ts.21cn.com/tousu/show/id/1340150","http://ts.21cn.com/tousu/show/id/1340150")</f>
        <v>http://ts.21cn.com/tousu/show/id/1340150</v>
      </c>
      <c r="F9019" s="2" t="s">
        <v>11</v>
      </c>
      <c r="G9019" s="2" t="s">
        <v>26424</v>
      </c>
      <c r="H9019" s="2" t="s">
        <v>26425</v>
      </c>
    </row>
    <row r="9020" spans="1:8" ht="25.05" customHeight="1" x14ac:dyDescent="0.25">
      <c r="A9020" s="2" t="s">
        <v>8</v>
      </c>
      <c r="B9020" s="2" t="str">
        <f>HYPERLINK("http://ts.21cn.com/tousu/show/id/1340106","交易猫欺诈买家，被找回不理人！")</f>
        <v>交易猫欺诈买家，被找回不理人！</v>
      </c>
      <c r="C9020" s="2" t="s">
        <v>9</v>
      </c>
      <c r="D9020" s="2" t="s">
        <v>10</v>
      </c>
      <c r="E9020" s="2" t="str">
        <f>HYPERLINK("http://ts.21cn.com/tousu/show/id/1340106","http://ts.21cn.com/tousu/show/id/1340106")</f>
        <v>http://ts.21cn.com/tousu/show/id/1340106</v>
      </c>
      <c r="F9020" s="2" t="s">
        <v>11</v>
      </c>
      <c r="G9020" s="2" t="s">
        <v>26422</v>
      </c>
      <c r="H9020" s="2" t="s">
        <v>26423</v>
      </c>
    </row>
    <row r="9021" spans="1:8" ht="25.05" customHeight="1" x14ac:dyDescent="0.25">
      <c r="A9021" s="2" t="s">
        <v>8</v>
      </c>
      <c r="B9021" s="2" t="str">
        <f>HYPERLINK("http://ts.21cn.com/tousu/show/id/1340152","网贷")</f>
        <v>网贷</v>
      </c>
      <c r="C9021" s="2" t="s">
        <v>9</v>
      </c>
      <c r="D9021" s="2" t="s">
        <v>10</v>
      </c>
      <c r="E9021" s="2" t="str">
        <f>HYPERLINK("http://ts.21cn.com/tousu/show/id/1340152","http://ts.21cn.com/tousu/show/id/1340152")</f>
        <v>http://ts.21cn.com/tousu/show/id/1340152</v>
      </c>
      <c r="F9021" s="2" t="s">
        <v>11</v>
      </c>
      <c r="G9021" s="2" t="s">
        <v>26420</v>
      </c>
      <c r="H9021" s="2" t="s">
        <v>26421</v>
      </c>
    </row>
    <row r="9022" spans="1:8" ht="25.05" customHeight="1" x14ac:dyDescent="0.25">
      <c r="A9022" s="2" t="s">
        <v>8</v>
      </c>
      <c r="B9022" s="2" t="str">
        <f>HYPERLINK("http://ts.21cn.com/tousu/show/id/1340151","玖富万卡擅自改写合同，变相收取费用，高利贷")</f>
        <v>玖富万卡擅自改写合同，变相收取费用，高利贷</v>
      </c>
      <c r="C9022" s="2" t="s">
        <v>9</v>
      </c>
      <c r="D9022" s="2" t="s">
        <v>10</v>
      </c>
      <c r="E9022" s="2" t="str">
        <f>HYPERLINK("http://ts.21cn.com/tousu/show/id/1340151","http://ts.21cn.com/tousu/show/id/1340151")</f>
        <v>http://ts.21cn.com/tousu/show/id/1340151</v>
      </c>
      <c r="F9022" s="2" t="s">
        <v>11</v>
      </c>
      <c r="G9022" s="2" t="s">
        <v>26418</v>
      </c>
      <c r="H9022" s="2" t="s">
        <v>26419</v>
      </c>
    </row>
    <row r="9023" spans="1:8" ht="25.05" customHeight="1" x14ac:dyDescent="0.25">
      <c r="A9023" s="2" t="s">
        <v>8</v>
      </c>
      <c r="B9023" s="2" t="str">
        <f>HYPERLINK("http://ts.21cn.com/tousu/show/id/1340154","要求马上金融退还寿险，服务费以及超出利率的所有费用")</f>
        <v>要求马上金融退还寿险，服务费以及超出利率的所有费用</v>
      </c>
      <c r="C9023" s="2" t="s">
        <v>9</v>
      </c>
      <c r="D9023" s="2" t="s">
        <v>10</v>
      </c>
      <c r="E9023" s="2" t="str">
        <f>HYPERLINK("http://ts.21cn.com/tousu/show/id/1340154","http://ts.21cn.com/tousu/show/id/1340154")</f>
        <v>http://ts.21cn.com/tousu/show/id/1340154</v>
      </c>
      <c r="F9023" s="2" t="s">
        <v>11</v>
      </c>
      <c r="G9023" s="2" t="s">
        <v>26416</v>
      </c>
      <c r="H9023" s="2" t="s">
        <v>26417</v>
      </c>
    </row>
    <row r="9024" spans="1:8" ht="25.05" customHeight="1" x14ac:dyDescent="0.25">
      <c r="A9024" s="2" t="s">
        <v>8</v>
      </c>
      <c r="B9024" s="2" t="str">
        <f>HYPERLINK("http://ts.21cn.com/tousu/show/id/1340153","拍拍贷利息太高了")</f>
        <v>拍拍贷利息太高了</v>
      </c>
      <c r="C9024" s="2" t="s">
        <v>9</v>
      </c>
      <c r="D9024" s="2" t="s">
        <v>10</v>
      </c>
      <c r="E9024" s="2" t="str">
        <f>HYPERLINK("http://ts.21cn.com/tousu/show/id/1340153","http://ts.21cn.com/tousu/show/id/1340153")</f>
        <v>http://ts.21cn.com/tousu/show/id/1340153</v>
      </c>
      <c r="F9024" s="2" t="s">
        <v>11</v>
      </c>
      <c r="G9024" s="2" t="s">
        <v>26414</v>
      </c>
      <c r="H9024" s="2" t="s">
        <v>26415</v>
      </c>
    </row>
    <row r="9025" spans="1:8" ht="25.05" customHeight="1" x14ac:dyDescent="0.25">
      <c r="A9025" s="2" t="s">
        <v>8</v>
      </c>
      <c r="B9025" s="2" t="str">
        <f>HYPERLINK("http://ts.21cn.com/tousu/show/id/1340155","聚富分期私自扣款")</f>
        <v>聚富分期私自扣款</v>
      </c>
      <c r="C9025" s="2" t="s">
        <v>9</v>
      </c>
      <c r="D9025" s="2" t="s">
        <v>10</v>
      </c>
      <c r="E9025" s="2" t="str">
        <f>HYPERLINK("http://ts.21cn.com/tousu/show/id/1340155","http://ts.21cn.com/tousu/show/id/1340155")</f>
        <v>http://ts.21cn.com/tousu/show/id/1340155</v>
      </c>
      <c r="F9025" s="2" t="s">
        <v>11</v>
      </c>
      <c r="G9025" s="2" t="s">
        <v>26412</v>
      </c>
      <c r="H9025" s="2" t="s">
        <v>26413</v>
      </c>
    </row>
    <row r="9026" spans="1:8" ht="25.05" customHeight="1" x14ac:dyDescent="0.25">
      <c r="A9026" s="2" t="s">
        <v>8</v>
      </c>
      <c r="B9026" s="2" t="str">
        <f>HYPERLINK("http://ts.21cn.com/tousu/show/id/1340156","支付宝为赌博网站提供支付通道")</f>
        <v>支付宝为赌博网站提供支付通道</v>
      </c>
      <c r="C9026" s="2" t="s">
        <v>9</v>
      </c>
      <c r="D9026" s="2" t="s">
        <v>10</v>
      </c>
      <c r="E9026" s="2" t="str">
        <f>HYPERLINK("http://ts.21cn.com/tousu/show/id/1340156","http://ts.21cn.com/tousu/show/id/1340156")</f>
        <v>http://ts.21cn.com/tousu/show/id/1340156</v>
      </c>
      <c r="F9026" s="2" t="s">
        <v>11</v>
      </c>
      <c r="G9026" s="2" t="s">
        <v>26410</v>
      </c>
      <c r="H9026" s="2" t="s">
        <v>26411</v>
      </c>
    </row>
    <row r="9027" spans="1:8" ht="25.05" customHeight="1" x14ac:dyDescent="0.25">
      <c r="A9027" s="2" t="s">
        <v>8</v>
      </c>
      <c r="B9027" s="2" t="str">
        <f>HYPERLINK("http://ts.21cn.com/tousu/show/id/1339946","钱站高利贷阴阳合同")</f>
        <v>钱站高利贷阴阳合同</v>
      </c>
      <c r="C9027" s="2" t="s">
        <v>9</v>
      </c>
      <c r="D9027" s="2" t="s">
        <v>10</v>
      </c>
      <c r="E9027" s="2" t="str">
        <f>HYPERLINK("http://ts.21cn.com/tousu/show/id/1339946","http://ts.21cn.com/tousu/show/id/1339946")</f>
        <v>http://ts.21cn.com/tousu/show/id/1339946</v>
      </c>
      <c r="F9027" s="2" t="s">
        <v>11</v>
      </c>
      <c r="G9027" s="2" t="s">
        <v>26408</v>
      </c>
      <c r="H9027" s="2" t="s">
        <v>26409</v>
      </c>
    </row>
    <row r="9028" spans="1:8" ht="25.05" customHeight="1" x14ac:dyDescent="0.25">
      <c r="A9028" s="2" t="s">
        <v>8</v>
      </c>
      <c r="B9028" s="2" t="str">
        <f>HYPERLINK("http://ts.21cn.com/tousu/show/id/1340158","拍拍贷暴力催收")</f>
        <v>拍拍贷暴力催收</v>
      </c>
      <c r="C9028" s="2" t="s">
        <v>9</v>
      </c>
      <c r="D9028" s="2" t="s">
        <v>10</v>
      </c>
      <c r="E9028" s="2" t="str">
        <f>HYPERLINK("http://ts.21cn.com/tousu/show/id/1340158","http://ts.21cn.com/tousu/show/id/1340158")</f>
        <v>http://ts.21cn.com/tousu/show/id/1340158</v>
      </c>
      <c r="F9028" s="2" t="s">
        <v>11</v>
      </c>
      <c r="G9028" s="2" t="s">
        <v>26406</v>
      </c>
      <c r="H9028" s="2" t="s">
        <v>26407</v>
      </c>
    </row>
    <row r="9029" spans="1:8" ht="25.05" customHeight="1" x14ac:dyDescent="0.25">
      <c r="A9029" s="2" t="s">
        <v>8</v>
      </c>
      <c r="B9029" s="2" t="str">
        <f>HYPERLINK("http://ts.21cn.com/tousu/show/id/1340159","闪银及贷转对公还款后未得到处理仍被催收")</f>
        <v>闪银及贷转对公还款后未得到处理仍被催收</v>
      </c>
      <c r="C9029" s="2" t="s">
        <v>9</v>
      </c>
      <c r="D9029" s="2" t="s">
        <v>10</v>
      </c>
      <c r="E9029" s="2" t="str">
        <f>HYPERLINK("http://ts.21cn.com/tousu/show/id/1340159","http://ts.21cn.com/tousu/show/id/1340159")</f>
        <v>http://ts.21cn.com/tousu/show/id/1340159</v>
      </c>
      <c r="F9029" s="2" t="s">
        <v>11</v>
      </c>
      <c r="G9029" s="2" t="s">
        <v>26404</v>
      </c>
      <c r="H9029" s="2" t="s">
        <v>26405</v>
      </c>
    </row>
    <row r="9030" spans="1:8" ht="25.05" customHeight="1" x14ac:dyDescent="0.25">
      <c r="A9030" s="2" t="s">
        <v>8</v>
      </c>
      <c r="B9030" s="2" t="str">
        <f>HYPERLINK("http://ts.21cn.com/tousu/show/id/1340160","洋钱罐恶意骚扰，利息高")</f>
        <v>洋钱罐恶意骚扰，利息高</v>
      </c>
      <c r="C9030" s="2" t="s">
        <v>9</v>
      </c>
      <c r="D9030" s="2" t="s">
        <v>10</v>
      </c>
      <c r="E9030" s="2" t="str">
        <f>HYPERLINK("http://ts.21cn.com/tousu/show/id/1340160","http://ts.21cn.com/tousu/show/id/1340160")</f>
        <v>http://ts.21cn.com/tousu/show/id/1340160</v>
      </c>
      <c r="F9030" s="2" t="s">
        <v>11</v>
      </c>
      <c r="G9030" s="2" t="s">
        <v>26402</v>
      </c>
      <c r="H9030" s="2" t="s">
        <v>26403</v>
      </c>
    </row>
    <row r="9031" spans="1:8" ht="25.05" customHeight="1" x14ac:dyDescent="0.25">
      <c r="A9031" s="2" t="s">
        <v>8</v>
      </c>
      <c r="B9031" s="2" t="str">
        <f>HYPERLINK("http://ts.21cn.com/tousu/show/id/1340161","北京凤凰智信信息技术有限公司喜鹊快贷---暴力催债")</f>
        <v>北京凤凰智信信息技术有限公司喜鹊快贷---暴力催债</v>
      </c>
      <c r="C9031" s="2" t="s">
        <v>9</v>
      </c>
      <c r="D9031" s="2" t="s">
        <v>10</v>
      </c>
      <c r="E9031" s="2" t="str">
        <f>HYPERLINK("http://ts.21cn.com/tousu/show/id/1340161","http://ts.21cn.com/tousu/show/id/1340161")</f>
        <v>http://ts.21cn.com/tousu/show/id/1340161</v>
      </c>
      <c r="F9031" s="2" t="s">
        <v>11</v>
      </c>
      <c r="G9031" s="2" t="s">
        <v>26400</v>
      </c>
      <c r="H9031" s="2" t="s">
        <v>26401</v>
      </c>
    </row>
    <row r="9032" spans="1:8" ht="25.05" customHeight="1" x14ac:dyDescent="0.25">
      <c r="A9032" s="2" t="s">
        <v>8</v>
      </c>
      <c r="B9032" s="2" t="str">
        <f>HYPERLINK("http://ts.21cn.com/tousu/show/id/1340162","招联金融爆通讯录，催收威胁")</f>
        <v>招联金融爆通讯录，催收威胁</v>
      </c>
      <c r="C9032" s="2" t="s">
        <v>9</v>
      </c>
      <c r="D9032" s="2" t="s">
        <v>10</v>
      </c>
      <c r="E9032" s="2" t="str">
        <f>HYPERLINK("http://ts.21cn.com/tousu/show/id/1340162","http://ts.21cn.com/tousu/show/id/1340162")</f>
        <v>http://ts.21cn.com/tousu/show/id/1340162</v>
      </c>
      <c r="F9032" s="2" t="s">
        <v>11</v>
      </c>
      <c r="G9032" s="2" t="s">
        <v>26398</v>
      </c>
      <c r="H9032" s="2" t="s">
        <v>26399</v>
      </c>
    </row>
    <row r="9033" spans="1:8" ht="25.05" customHeight="1" x14ac:dyDescent="0.25">
      <c r="A9033" s="2" t="s">
        <v>8</v>
      </c>
      <c r="B9033" s="2" t="str">
        <f>HYPERLINK("http://ts.21cn.com/tousu/show/id/1340163","Gogun出行，发生事情不给处理一位的推拖，客服态度太差")</f>
        <v>Gogun出行，发生事情不给处理一位的推拖，客服态度太差</v>
      </c>
      <c r="C9033" s="2" t="s">
        <v>9</v>
      </c>
      <c r="D9033" s="2" t="s">
        <v>10</v>
      </c>
      <c r="E9033" s="2" t="str">
        <f>HYPERLINK("http://ts.21cn.com/tousu/show/id/1340163","http://ts.21cn.com/tousu/show/id/1340163")</f>
        <v>http://ts.21cn.com/tousu/show/id/1340163</v>
      </c>
      <c r="F9033" s="2" t="s">
        <v>11</v>
      </c>
      <c r="G9033" s="2" t="s">
        <v>26396</v>
      </c>
      <c r="H9033" s="2" t="s">
        <v>26397</v>
      </c>
    </row>
    <row r="9034" spans="1:8" ht="25.05" customHeight="1" x14ac:dyDescent="0.25">
      <c r="A9034" s="2" t="s">
        <v>8</v>
      </c>
      <c r="B9034" s="2" t="str">
        <f>HYPERLINK("http://ts.21cn.com/tousu/show/id/1340164","非恶意逾期没有缓冲期，造成生活困扰")</f>
        <v>非恶意逾期没有缓冲期，造成生活困扰</v>
      </c>
      <c r="C9034" s="2" t="s">
        <v>9</v>
      </c>
      <c r="D9034" s="2" t="s">
        <v>10</v>
      </c>
      <c r="E9034" s="2" t="str">
        <f>HYPERLINK("http://ts.21cn.com/tousu/show/id/1340164","http://ts.21cn.com/tousu/show/id/1340164")</f>
        <v>http://ts.21cn.com/tousu/show/id/1340164</v>
      </c>
      <c r="F9034" s="2" t="s">
        <v>11</v>
      </c>
      <c r="G9034" s="2" t="s">
        <v>26394</v>
      </c>
      <c r="H9034" s="2" t="s">
        <v>26395</v>
      </c>
    </row>
    <row r="9035" spans="1:8" ht="25.05" customHeight="1" x14ac:dyDescent="0.25">
      <c r="A9035" s="2" t="s">
        <v>8</v>
      </c>
      <c r="B9035" s="2" t="str">
        <f>HYPERLINK("http://ts.21cn.com/tousu/show/id/1340165","高利息，联系不到客服")</f>
        <v>高利息，联系不到客服</v>
      </c>
      <c r="C9035" s="2" t="s">
        <v>9</v>
      </c>
      <c r="D9035" s="2" t="s">
        <v>10</v>
      </c>
      <c r="E9035" s="2" t="str">
        <f>HYPERLINK("http://ts.21cn.com/tousu/show/id/1340165","http://ts.21cn.com/tousu/show/id/1340165")</f>
        <v>http://ts.21cn.com/tousu/show/id/1340165</v>
      </c>
      <c r="F9035" s="2" t="s">
        <v>11</v>
      </c>
      <c r="G9035" s="2" t="s">
        <v>26392</v>
      </c>
      <c r="H9035" s="2" t="s">
        <v>26393</v>
      </c>
    </row>
    <row r="9036" spans="1:8" ht="25.05" customHeight="1" x14ac:dyDescent="0.25">
      <c r="A9036" s="2" t="s">
        <v>8</v>
      </c>
      <c r="B9036" s="2" t="str">
        <f>HYPERLINK("http://ts.21cn.com/tousu/show/id/1340166","连连银通联合上海造艺网络科技有限公司发放高利贷")</f>
        <v>连连银通联合上海造艺网络科技有限公司发放高利贷</v>
      </c>
      <c r="C9036" s="2" t="s">
        <v>9</v>
      </c>
      <c r="D9036" s="2" t="s">
        <v>10</v>
      </c>
      <c r="E9036" s="2" t="str">
        <f>HYPERLINK("http://ts.21cn.com/tousu/show/id/1340166","http://ts.21cn.com/tousu/show/id/1340166")</f>
        <v>http://ts.21cn.com/tousu/show/id/1340166</v>
      </c>
      <c r="F9036" s="2" t="s">
        <v>11</v>
      </c>
      <c r="G9036" s="2" t="s">
        <v>26389</v>
      </c>
      <c r="H9036" s="2" t="s">
        <v>26390</v>
      </c>
    </row>
    <row r="9037" spans="1:8" ht="25.05" customHeight="1" x14ac:dyDescent="0.25">
      <c r="A9037" s="2" t="s">
        <v>8</v>
      </c>
      <c r="B9037" s="2" t="str">
        <f>HYPERLINK("http://ts.21cn.com/tousu/show/id/1340141","高额服务费")</f>
        <v>高额服务费</v>
      </c>
      <c r="C9037" s="2" t="s">
        <v>34</v>
      </c>
      <c r="D9037" s="2" t="s">
        <v>10</v>
      </c>
      <c r="E9037" s="2" t="str">
        <f>HYPERLINK("http://ts.21cn.com/tousu/show/id/1340141","http://ts.21cn.com/tousu/show/id/1340141")</f>
        <v>http://ts.21cn.com/tousu/show/id/1340141</v>
      </c>
      <c r="F9037" s="2" t="s">
        <v>11</v>
      </c>
      <c r="G9037" s="2" t="s">
        <v>26389</v>
      </c>
      <c r="H9037" s="2" t="s">
        <v>26391</v>
      </c>
    </row>
    <row r="9038" spans="1:8" ht="25.05" customHeight="1" x14ac:dyDescent="0.25">
      <c r="A9038" s="2" t="s">
        <v>8</v>
      </c>
      <c r="B9038" s="2" t="str">
        <f>HYPERLINK("http://ts.21cn.com/tousu/show/id/1340167","贷上钱以买游戏豆为由收取高额贷款通过费")</f>
        <v>贷上钱以买游戏豆为由收取高额贷款通过费</v>
      </c>
      <c r="C9038" s="2" t="s">
        <v>9</v>
      </c>
      <c r="D9038" s="2" t="s">
        <v>10</v>
      </c>
      <c r="E9038" s="2" t="str">
        <f>HYPERLINK("http://ts.21cn.com/tousu/show/id/1340167","http://ts.21cn.com/tousu/show/id/1340167")</f>
        <v>http://ts.21cn.com/tousu/show/id/1340167</v>
      </c>
      <c r="F9038" s="2" t="s">
        <v>11</v>
      </c>
      <c r="G9038" s="2" t="s">
        <v>26387</v>
      </c>
      <c r="H9038" s="2" t="s">
        <v>26388</v>
      </c>
    </row>
    <row r="9039" spans="1:8" ht="25.05" customHeight="1" x14ac:dyDescent="0.25">
      <c r="A9039" s="2" t="s">
        <v>8</v>
      </c>
      <c r="B9039" s="2" t="str">
        <f>HYPERLINK("http://ts.21cn.com/tousu/show/id/1340168","恐吓")</f>
        <v>恐吓</v>
      </c>
      <c r="C9039" s="2" t="s">
        <v>9</v>
      </c>
      <c r="D9039" s="2" t="s">
        <v>10</v>
      </c>
      <c r="E9039" s="2" t="str">
        <f>HYPERLINK("http://ts.21cn.com/tousu/show/id/1340168","http://ts.21cn.com/tousu/show/id/1340168")</f>
        <v>http://ts.21cn.com/tousu/show/id/1340168</v>
      </c>
      <c r="F9039" s="2" t="s">
        <v>11</v>
      </c>
      <c r="G9039" s="2" t="s">
        <v>26385</v>
      </c>
      <c r="H9039" s="2" t="s">
        <v>26386</v>
      </c>
    </row>
    <row r="9040" spans="1:8" ht="25.05" customHeight="1" x14ac:dyDescent="0.25">
      <c r="A9040" s="2" t="s">
        <v>8</v>
      </c>
      <c r="B9040" s="2" t="str">
        <f>HYPERLINK("http://ts.21cn.com/tousu/show/id/1340169","小鹿情感忽悠消费者，退款问题要求退全款")</f>
        <v>小鹿情感忽悠消费者，退款问题要求退全款</v>
      </c>
      <c r="C9040" s="2" t="s">
        <v>9</v>
      </c>
      <c r="D9040" s="2" t="s">
        <v>10</v>
      </c>
      <c r="E9040" s="2" t="str">
        <f>HYPERLINK("http://ts.21cn.com/tousu/show/id/1340169","http://ts.21cn.com/tousu/show/id/1340169")</f>
        <v>http://ts.21cn.com/tousu/show/id/1340169</v>
      </c>
      <c r="F9040" s="2" t="s">
        <v>11</v>
      </c>
      <c r="G9040" s="2" t="s">
        <v>26383</v>
      </c>
      <c r="H9040" s="2" t="s">
        <v>26384</v>
      </c>
    </row>
    <row r="9041" spans="1:8" ht="25.05" customHeight="1" x14ac:dyDescent="0.25">
      <c r="A9041" s="2" t="s">
        <v>8</v>
      </c>
      <c r="B9041" s="2" t="str">
        <f>HYPERLINK("http://ts.21cn.com/tousu/show/id/1340170","分期乐的本月账单申请最低还款200元")</f>
        <v>分期乐的本月账单申请最低还款200元</v>
      </c>
      <c r="C9041" s="2" t="s">
        <v>34</v>
      </c>
      <c r="D9041" s="2" t="s">
        <v>10</v>
      </c>
      <c r="E9041" s="2" t="str">
        <f>HYPERLINK("http://ts.21cn.com/tousu/show/id/1340170","http://ts.21cn.com/tousu/show/id/1340170")</f>
        <v>http://ts.21cn.com/tousu/show/id/1340170</v>
      </c>
      <c r="F9041" s="2" t="s">
        <v>11</v>
      </c>
      <c r="G9041" s="2" t="s">
        <v>26381</v>
      </c>
      <c r="H9041" s="2" t="s">
        <v>26382</v>
      </c>
    </row>
    <row r="9042" spans="1:8" ht="25.05" customHeight="1" x14ac:dyDescent="0.25">
      <c r="A9042" s="2" t="s">
        <v>8</v>
      </c>
      <c r="B9042" s="2" t="str">
        <f>HYPERLINK("http://ts.21cn.com/tousu/show/id/1340171","新浪分期颜值卡借款8000收取1440利息")</f>
        <v>新浪分期颜值卡借款8000收取1440利息</v>
      </c>
      <c r="C9042" s="2" t="s">
        <v>34</v>
      </c>
      <c r="D9042" s="2" t="s">
        <v>10</v>
      </c>
      <c r="E9042" s="2" t="str">
        <f>HYPERLINK("http://ts.21cn.com/tousu/show/id/1340171","http://ts.21cn.com/tousu/show/id/1340171")</f>
        <v>http://ts.21cn.com/tousu/show/id/1340171</v>
      </c>
      <c r="F9042" s="2" t="s">
        <v>11</v>
      </c>
      <c r="G9042" s="2" t="s">
        <v>26379</v>
      </c>
      <c r="H9042" s="2" t="s">
        <v>26380</v>
      </c>
    </row>
    <row r="9043" spans="1:8" ht="25.05" customHeight="1" x14ac:dyDescent="0.25">
      <c r="A9043" s="2" t="s">
        <v>8</v>
      </c>
      <c r="B9043" s="2" t="str">
        <f>HYPERLINK("http://ts.21cn.com/tousu/show/id/1340172","你我贷催收出尔反尔")</f>
        <v>你我贷催收出尔反尔</v>
      </c>
      <c r="C9043" s="2" t="s">
        <v>9</v>
      </c>
      <c r="D9043" s="2" t="s">
        <v>10</v>
      </c>
      <c r="E9043" s="2" t="str">
        <f>HYPERLINK("http://ts.21cn.com/tousu/show/id/1340172","http://ts.21cn.com/tousu/show/id/1340172")</f>
        <v>http://ts.21cn.com/tousu/show/id/1340172</v>
      </c>
      <c r="F9043" s="2" t="s">
        <v>11</v>
      </c>
      <c r="G9043" s="2" t="s">
        <v>26377</v>
      </c>
      <c r="H9043" s="2" t="s">
        <v>26378</v>
      </c>
    </row>
    <row r="9044" spans="1:8" ht="25.05" customHeight="1" x14ac:dyDescent="0.25">
      <c r="A9044" s="2" t="s">
        <v>8</v>
      </c>
      <c r="B9044" s="2" t="str">
        <f>HYPERLINK("http://ts.21cn.com/tousu/show/id/1340174","交易猫代充不充也不取消订单不回复")</f>
        <v>交易猫代充不充也不取消订单不回复</v>
      </c>
      <c r="C9044" s="2" t="s">
        <v>34</v>
      </c>
      <c r="D9044" s="2" t="s">
        <v>10</v>
      </c>
      <c r="E9044" s="2" t="str">
        <f>HYPERLINK("http://ts.21cn.com/tousu/show/id/1340174","http://ts.21cn.com/tousu/show/id/1340174")</f>
        <v>http://ts.21cn.com/tousu/show/id/1340174</v>
      </c>
      <c r="F9044" s="2" t="s">
        <v>11</v>
      </c>
      <c r="G9044" s="2" t="s">
        <v>26375</v>
      </c>
      <c r="H9044" s="2" t="s">
        <v>26376</v>
      </c>
    </row>
    <row r="9045" spans="1:8" ht="25.05" customHeight="1" x14ac:dyDescent="0.25">
      <c r="A9045" s="2" t="s">
        <v>8</v>
      </c>
      <c r="B9045" s="2" t="str">
        <f>HYPERLINK("http://ts.21cn.com/tousu/show/id/1340173","贷上钱黑心高利贷")</f>
        <v>贷上钱黑心高利贷</v>
      </c>
      <c r="C9045" s="2" t="s">
        <v>9</v>
      </c>
      <c r="D9045" s="2" t="s">
        <v>10</v>
      </c>
      <c r="E9045" s="2" t="str">
        <f>HYPERLINK("http://ts.21cn.com/tousu/show/id/1340173","http://ts.21cn.com/tousu/show/id/1340173")</f>
        <v>http://ts.21cn.com/tousu/show/id/1340173</v>
      </c>
      <c r="F9045" s="2" t="s">
        <v>11</v>
      </c>
      <c r="G9045" s="2" t="s">
        <v>26373</v>
      </c>
      <c r="H9045" s="2" t="s">
        <v>26374</v>
      </c>
    </row>
    <row r="9046" spans="1:8" ht="25.05" customHeight="1" x14ac:dyDescent="0.25">
      <c r="A9046" s="2" t="s">
        <v>8</v>
      </c>
      <c r="B9046" s="2" t="str">
        <f>HYPERLINK("http://ts.21cn.com/tousu/show/id/1340175","买票极速出票还私下加了个券包")</f>
        <v>买票极速出票还私下加了个券包</v>
      </c>
      <c r="C9046" s="2" t="s">
        <v>9</v>
      </c>
      <c r="D9046" s="2" t="s">
        <v>10</v>
      </c>
      <c r="E9046" s="2" t="str">
        <f>HYPERLINK("http://ts.21cn.com/tousu/show/id/1340175","http://ts.21cn.com/tousu/show/id/1340175")</f>
        <v>http://ts.21cn.com/tousu/show/id/1340175</v>
      </c>
      <c r="F9046" s="2" t="s">
        <v>11</v>
      </c>
      <c r="G9046" s="2" t="s">
        <v>26371</v>
      </c>
      <c r="H9046" s="2" t="s">
        <v>26372</v>
      </c>
    </row>
    <row r="9047" spans="1:8" ht="25.05" customHeight="1" x14ac:dyDescent="0.25">
      <c r="A9047" s="2" t="s">
        <v>8</v>
      </c>
      <c r="B9047" s="2" t="str">
        <f>HYPERLINK("http://ts.21cn.com/tousu/show/id/1340132","网络赌博")</f>
        <v>网络赌博</v>
      </c>
      <c r="C9047" s="2" t="s">
        <v>9</v>
      </c>
      <c r="D9047" s="2" t="s">
        <v>10</v>
      </c>
      <c r="E9047" s="2" t="str">
        <f>HYPERLINK("http://ts.21cn.com/tousu/show/id/1340132","http://ts.21cn.com/tousu/show/id/1340132")</f>
        <v>http://ts.21cn.com/tousu/show/id/1340132</v>
      </c>
      <c r="F9047" s="2" t="s">
        <v>11</v>
      </c>
      <c r="G9047" s="2" t="s">
        <v>26369</v>
      </c>
      <c r="H9047" s="2" t="s">
        <v>26370</v>
      </c>
    </row>
    <row r="9048" spans="1:8" ht="25.05" customHeight="1" x14ac:dyDescent="0.25">
      <c r="A9048" s="2" t="s">
        <v>8</v>
      </c>
      <c r="B9048" s="2" t="str">
        <f>HYPERLINK("http://ts.21cn.com/tousu/show/id/1340176","恐吓骚扰")</f>
        <v>恐吓骚扰</v>
      </c>
      <c r="C9048" s="2" t="s">
        <v>9</v>
      </c>
      <c r="D9048" s="2" t="s">
        <v>10</v>
      </c>
      <c r="E9048" s="2" t="str">
        <f>HYPERLINK("http://ts.21cn.com/tousu/show/id/1340176","http://ts.21cn.com/tousu/show/id/1340176")</f>
        <v>http://ts.21cn.com/tousu/show/id/1340176</v>
      </c>
      <c r="F9048" s="2" t="s">
        <v>11</v>
      </c>
      <c r="G9048" s="2" t="s">
        <v>26367</v>
      </c>
      <c r="H9048" s="2" t="s">
        <v>26368</v>
      </c>
    </row>
    <row r="9049" spans="1:8" ht="25.05" customHeight="1" x14ac:dyDescent="0.25">
      <c r="A9049" s="2" t="s">
        <v>8</v>
      </c>
      <c r="B9049" s="2" t="str">
        <f>HYPERLINK("http://ts.21cn.com/tousu/show/id/1340177","白条分期是假的")</f>
        <v>白条分期是假的</v>
      </c>
      <c r="C9049" s="2" t="s">
        <v>9</v>
      </c>
      <c r="D9049" s="2" t="s">
        <v>10</v>
      </c>
      <c r="E9049" s="2" t="str">
        <f>HYPERLINK("http://ts.21cn.com/tousu/show/id/1340177","http://ts.21cn.com/tousu/show/id/1340177")</f>
        <v>http://ts.21cn.com/tousu/show/id/1340177</v>
      </c>
      <c r="F9049" s="2" t="s">
        <v>11</v>
      </c>
      <c r="G9049" s="2" t="s">
        <v>26365</v>
      </c>
      <c r="H9049" s="2" t="s">
        <v>26366</v>
      </c>
    </row>
    <row r="9050" spans="1:8" ht="25.05" customHeight="1" x14ac:dyDescent="0.25">
      <c r="A9050" s="2" t="s">
        <v>8</v>
      </c>
      <c r="B9050" s="2" t="str">
        <f>HYPERLINK("http://ts.21cn.com/tousu/show/id/1340179","蟹老弟暴力催收")</f>
        <v>蟹老弟暴力催收</v>
      </c>
      <c r="C9050" s="2" t="s">
        <v>9</v>
      </c>
      <c r="D9050" s="2" t="s">
        <v>10</v>
      </c>
      <c r="E9050" s="2" t="str">
        <f>HYPERLINK("http://ts.21cn.com/tousu/show/id/1340179","http://ts.21cn.com/tousu/show/id/1340179")</f>
        <v>http://ts.21cn.com/tousu/show/id/1340179</v>
      </c>
      <c r="F9050" s="2" t="s">
        <v>11</v>
      </c>
      <c r="G9050" s="2" t="s">
        <v>26363</v>
      </c>
      <c r="H9050" s="2" t="s">
        <v>26364</v>
      </c>
    </row>
    <row r="9051" spans="1:8" ht="25.05" customHeight="1" x14ac:dyDescent="0.25">
      <c r="A9051" s="2" t="s">
        <v>8</v>
      </c>
      <c r="B9051" s="2" t="str">
        <f>HYPERLINK("http://ts.21cn.com/tousu/show/id/1340178","拉卡拉扣留商户资金不结算")</f>
        <v>拉卡拉扣留商户资金不结算</v>
      </c>
      <c r="C9051" s="2" t="s">
        <v>9</v>
      </c>
      <c r="D9051" s="2" t="s">
        <v>10</v>
      </c>
      <c r="E9051" s="2" t="str">
        <f>HYPERLINK("http://ts.21cn.com/tousu/show/id/1340178","http://ts.21cn.com/tousu/show/id/1340178")</f>
        <v>http://ts.21cn.com/tousu/show/id/1340178</v>
      </c>
      <c r="F9051" s="2" t="s">
        <v>11</v>
      </c>
      <c r="G9051" s="2" t="s">
        <v>26361</v>
      </c>
      <c r="H9051" s="2" t="s">
        <v>26362</v>
      </c>
    </row>
    <row r="9052" spans="1:8" ht="25.05" customHeight="1" x14ac:dyDescent="0.25">
      <c r="A9052" s="2" t="s">
        <v>8</v>
      </c>
      <c r="B9052" s="2" t="str">
        <f>HYPERLINK("http://ts.21cn.com/tousu/show/id/1340180","广东信汇跪求你联系商户还我血汗钱！！！！！！")</f>
        <v>广东信汇跪求你联系商户还我血汗钱！！！！！！</v>
      </c>
      <c r="C9052" s="2" t="s">
        <v>9</v>
      </c>
      <c r="D9052" s="2" t="s">
        <v>10</v>
      </c>
      <c r="E9052" s="2" t="str">
        <f>HYPERLINK("http://ts.21cn.com/tousu/show/id/1340180","http://ts.21cn.com/tousu/show/id/1340180")</f>
        <v>http://ts.21cn.com/tousu/show/id/1340180</v>
      </c>
      <c r="F9052" s="2" t="s">
        <v>11</v>
      </c>
      <c r="G9052" s="2" t="s">
        <v>26359</v>
      </c>
      <c r="H9052" s="2" t="s">
        <v>26360</v>
      </c>
    </row>
    <row r="9053" spans="1:8" ht="25.05" customHeight="1" x14ac:dyDescent="0.25">
      <c r="A9053" s="2" t="s">
        <v>8</v>
      </c>
      <c r="B9053" s="2" t="str">
        <f>HYPERLINK("http://ts.21cn.com/tousu/show/id/1340181","及贷PPmoney利息超36%，威胁泄露隐私")</f>
        <v>及贷PPmoney利息超36%，威胁泄露隐私</v>
      </c>
      <c r="C9053" s="2" t="s">
        <v>9</v>
      </c>
      <c r="D9053" s="2" t="s">
        <v>10</v>
      </c>
      <c r="E9053" s="2" t="str">
        <f>HYPERLINK("http://ts.21cn.com/tousu/show/id/1340181","http://ts.21cn.com/tousu/show/id/1340181")</f>
        <v>http://ts.21cn.com/tousu/show/id/1340181</v>
      </c>
      <c r="F9053" s="2" t="s">
        <v>11</v>
      </c>
      <c r="G9053" s="2" t="s">
        <v>26356</v>
      </c>
      <c r="H9053" s="2" t="s">
        <v>26357</v>
      </c>
    </row>
    <row r="9054" spans="1:8" ht="25.05" customHeight="1" x14ac:dyDescent="0.25">
      <c r="A9054" s="2" t="s">
        <v>8</v>
      </c>
      <c r="B9054" s="2" t="str">
        <f>HYPERLINK("http://ts.21cn.com/tousu/show/id/1340183","嘉卡贷暴力催收")</f>
        <v>嘉卡贷暴力催收</v>
      </c>
      <c r="C9054" s="2" t="s">
        <v>9</v>
      </c>
      <c r="D9054" s="2" t="s">
        <v>10</v>
      </c>
      <c r="E9054" s="2" t="str">
        <f>HYPERLINK("http://ts.21cn.com/tousu/show/id/1340183","http://ts.21cn.com/tousu/show/id/1340183")</f>
        <v>http://ts.21cn.com/tousu/show/id/1340183</v>
      </c>
      <c r="F9054" s="2" t="s">
        <v>11</v>
      </c>
      <c r="G9054" s="2" t="s">
        <v>26356</v>
      </c>
      <c r="H9054" s="2" t="s">
        <v>26358</v>
      </c>
    </row>
    <row r="9055" spans="1:8" ht="25.05" customHeight="1" x14ac:dyDescent="0.25">
      <c r="A9055" s="2" t="s">
        <v>8</v>
      </c>
      <c r="B9055" s="2" t="str">
        <f>HYPERLINK("http://ts.21cn.com/tousu/show/id/1340182","单子都派给新老优享了，我出车1小时2小时接不到单")</f>
        <v>单子都派给新老优享了，我出车1小时2小时接不到单</v>
      </c>
      <c r="C9055" s="2" t="s">
        <v>34</v>
      </c>
      <c r="D9055" s="2" t="s">
        <v>10</v>
      </c>
      <c r="E9055" s="2" t="str">
        <f>HYPERLINK("http://ts.21cn.com/tousu/show/id/1340182","http://ts.21cn.com/tousu/show/id/1340182")</f>
        <v>http://ts.21cn.com/tousu/show/id/1340182</v>
      </c>
      <c r="F9055" s="2" t="s">
        <v>11</v>
      </c>
      <c r="G9055" s="2" t="s">
        <v>26354</v>
      </c>
      <c r="H9055" s="2" t="s">
        <v>26355</v>
      </c>
    </row>
    <row r="9056" spans="1:8" ht="25.05" customHeight="1" x14ac:dyDescent="0.25">
      <c r="A9056" s="2" t="s">
        <v>8</v>
      </c>
      <c r="B9056" s="2" t="str">
        <f>HYPERLINK("http://ts.21cn.com/tousu/show/id/1340184","小浦优客未经同意扣款")</f>
        <v>小浦优客未经同意扣款</v>
      </c>
      <c r="C9056" s="2" t="s">
        <v>34</v>
      </c>
      <c r="D9056" s="2" t="s">
        <v>10</v>
      </c>
      <c r="E9056" s="2" t="str">
        <f>HYPERLINK("http://ts.21cn.com/tousu/show/id/1340184","http://ts.21cn.com/tousu/show/id/1340184")</f>
        <v>http://ts.21cn.com/tousu/show/id/1340184</v>
      </c>
      <c r="F9056" s="2" t="s">
        <v>11</v>
      </c>
      <c r="G9056" s="2" t="s">
        <v>26352</v>
      </c>
      <c r="H9056" s="2" t="s">
        <v>26353</v>
      </c>
    </row>
    <row r="9057" spans="1:8" ht="25.05" customHeight="1" x14ac:dyDescent="0.25">
      <c r="A9057" s="2" t="s">
        <v>8</v>
      </c>
      <c r="B9057" s="2" t="str">
        <f>HYPERLINK("http://ts.21cn.com/tousu/show/id/1340185","微信无胡冻结")</f>
        <v>微信无胡冻结</v>
      </c>
      <c r="C9057" s="2" t="s">
        <v>34</v>
      </c>
      <c r="D9057" s="2" t="s">
        <v>10</v>
      </c>
      <c r="E9057" s="2" t="str">
        <f>HYPERLINK("http://ts.21cn.com/tousu/show/id/1340185","http://ts.21cn.com/tousu/show/id/1340185")</f>
        <v>http://ts.21cn.com/tousu/show/id/1340185</v>
      </c>
      <c r="F9057" s="2" t="s">
        <v>11</v>
      </c>
      <c r="G9057" s="2" t="s">
        <v>26350</v>
      </c>
      <c r="H9057" s="2" t="s">
        <v>26351</v>
      </c>
    </row>
    <row r="9058" spans="1:8" ht="25.05" customHeight="1" x14ac:dyDescent="0.25">
      <c r="A9058" s="2" t="s">
        <v>8</v>
      </c>
      <c r="B9058" s="2" t="str">
        <f>HYPERLINK("http://ts.21cn.com/tousu/show/id/1340187","恶性发短信")</f>
        <v>恶性发短信</v>
      </c>
      <c r="C9058" s="2" t="s">
        <v>9</v>
      </c>
      <c r="D9058" s="2" t="s">
        <v>10</v>
      </c>
      <c r="E9058" s="2" t="str">
        <f>HYPERLINK("http://ts.21cn.com/tousu/show/id/1340187","http://ts.21cn.com/tousu/show/id/1340187")</f>
        <v>http://ts.21cn.com/tousu/show/id/1340187</v>
      </c>
      <c r="F9058" s="2" t="s">
        <v>11</v>
      </c>
      <c r="G9058" s="2" t="s">
        <v>26348</v>
      </c>
      <c r="H9058" s="2" t="s">
        <v>26349</v>
      </c>
    </row>
    <row r="9059" spans="1:8" ht="25.05" customHeight="1" x14ac:dyDescent="0.25">
      <c r="A9059" s="2" t="s">
        <v>8</v>
      </c>
      <c r="B9059" s="2" t="str">
        <f>HYPERLINK("http://ts.21cn.com/tousu/show/id/1340186","月光侠收取高额利息及暴力催收")</f>
        <v>月光侠收取高额利息及暴力催收</v>
      </c>
      <c r="C9059" s="2" t="s">
        <v>9</v>
      </c>
      <c r="D9059" s="2" t="s">
        <v>10</v>
      </c>
      <c r="E9059" s="2" t="str">
        <f>HYPERLINK("http://ts.21cn.com/tousu/show/id/1340186","http://ts.21cn.com/tousu/show/id/1340186")</f>
        <v>http://ts.21cn.com/tousu/show/id/1340186</v>
      </c>
      <c r="F9059" s="2" t="s">
        <v>11</v>
      </c>
      <c r="G9059" s="2" t="s">
        <v>26346</v>
      </c>
      <c r="H9059" s="2" t="s">
        <v>26347</v>
      </c>
    </row>
    <row r="9060" spans="1:8" ht="25.05" customHeight="1" x14ac:dyDescent="0.25">
      <c r="A9060" s="2" t="s">
        <v>8</v>
      </c>
      <c r="B9060" s="2" t="str">
        <f>HYPERLINK("http://ts.21cn.com/tousu/show/id/1340188","贷款平台未点击付款，他用我的信息在新生支付弄pos机给我刷了168两笔84")</f>
        <v>贷款平台未点击付款，他用我的信息在新生支付弄pos机给我刷了168两笔84</v>
      </c>
      <c r="C9060" s="2" t="s">
        <v>34</v>
      </c>
      <c r="D9060" s="2" t="s">
        <v>10</v>
      </c>
      <c r="E9060" s="2" t="str">
        <f>HYPERLINK("http://ts.21cn.com/tousu/show/id/1340188","http://ts.21cn.com/tousu/show/id/1340188")</f>
        <v>http://ts.21cn.com/tousu/show/id/1340188</v>
      </c>
      <c r="F9060" s="2" t="s">
        <v>11</v>
      </c>
      <c r="G9060" s="2" t="s">
        <v>26344</v>
      </c>
      <c r="H9060" s="2" t="s">
        <v>26345</v>
      </c>
    </row>
    <row r="9061" spans="1:8" ht="25.05" customHeight="1" x14ac:dyDescent="0.25">
      <c r="A9061" s="2" t="s">
        <v>8</v>
      </c>
      <c r="B9061" s="2" t="str">
        <f>HYPERLINK("http://ts.21cn.com/tousu/show/id/1340189","钱站高利贷阴阳合同")</f>
        <v>钱站高利贷阴阳合同</v>
      </c>
      <c r="C9061" s="2" t="s">
        <v>9</v>
      </c>
      <c r="D9061" s="2" t="s">
        <v>10</v>
      </c>
      <c r="E9061" s="2" t="str">
        <f>HYPERLINK("http://ts.21cn.com/tousu/show/id/1340189","http://ts.21cn.com/tousu/show/id/1340189")</f>
        <v>http://ts.21cn.com/tousu/show/id/1340189</v>
      </c>
      <c r="F9061" s="2" t="s">
        <v>11</v>
      </c>
      <c r="G9061" s="2" t="s">
        <v>26342</v>
      </c>
      <c r="H9061" s="2" t="s">
        <v>26343</v>
      </c>
    </row>
    <row r="9062" spans="1:8" ht="25.05" customHeight="1" x14ac:dyDescent="0.25">
      <c r="A9062" s="2" t="s">
        <v>8</v>
      </c>
      <c r="B9062" s="2" t="str">
        <f>HYPERLINK("http://ts.21cn.com/tousu/show/id/1340190","钱老哥心意转砍头息高利贷")</f>
        <v>钱老哥心意转砍头息高利贷</v>
      </c>
      <c r="C9062" s="2" t="s">
        <v>9</v>
      </c>
      <c r="D9062" s="2" t="s">
        <v>10</v>
      </c>
      <c r="E9062" s="2" t="str">
        <f>HYPERLINK("http://ts.21cn.com/tousu/show/id/1340190","http://ts.21cn.com/tousu/show/id/1340190")</f>
        <v>http://ts.21cn.com/tousu/show/id/1340190</v>
      </c>
      <c r="F9062" s="2" t="s">
        <v>11</v>
      </c>
      <c r="G9062" s="2" t="s">
        <v>26340</v>
      </c>
      <c r="H9062" s="2" t="s">
        <v>26341</v>
      </c>
    </row>
    <row r="9063" spans="1:8" ht="25.05" customHeight="1" x14ac:dyDescent="0.25">
      <c r="A9063" s="2" t="s">
        <v>8</v>
      </c>
      <c r="B9063" s="2" t="str">
        <f>HYPERLINK("http://ts.21cn.com/tousu/show/id/1340191","捷信分期违法催收")</f>
        <v>捷信分期违法催收</v>
      </c>
      <c r="C9063" s="2" t="s">
        <v>9</v>
      </c>
      <c r="D9063" s="2" t="s">
        <v>10</v>
      </c>
      <c r="E9063" s="2" t="str">
        <f>HYPERLINK("http://ts.21cn.com/tousu/show/id/1340191","http://ts.21cn.com/tousu/show/id/1340191")</f>
        <v>http://ts.21cn.com/tousu/show/id/1340191</v>
      </c>
      <c r="F9063" s="2" t="s">
        <v>11</v>
      </c>
      <c r="G9063" s="2" t="s">
        <v>26338</v>
      </c>
      <c r="H9063" s="2" t="s">
        <v>26339</v>
      </c>
    </row>
    <row r="9064" spans="1:8" ht="25.05" customHeight="1" x14ac:dyDescent="0.25">
      <c r="A9064" s="2" t="s">
        <v>8</v>
      </c>
      <c r="B9064" s="2" t="str">
        <f>HYPERLINK("http://ts.21cn.com/tousu/show/id/1340192","领不到天猫超市和天猫国际的优惠券")</f>
        <v>领不到天猫超市和天猫国际的优惠券</v>
      </c>
      <c r="C9064" s="2" t="s">
        <v>34</v>
      </c>
      <c r="D9064" s="2" t="s">
        <v>10</v>
      </c>
      <c r="E9064" s="2" t="str">
        <f>HYPERLINK("http://ts.21cn.com/tousu/show/id/1340192","http://ts.21cn.com/tousu/show/id/1340192")</f>
        <v>http://ts.21cn.com/tousu/show/id/1340192</v>
      </c>
      <c r="F9064" s="2" t="s">
        <v>11</v>
      </c>
      <c r="G9064" s="2" t="s">
        <v>26336</v>
      </c>
      <c r="H9064" s="2" t="s">
        <v>26337</v>
      </c>
    </row>
    <row r="9065" spans="1:8" ht="25.05" customHeight="1" x14ac:dyDescent="0.25">
      <c r="A9065" s="2" t="s">
        <v>8</v>
      </c>
      <c r="B9065" s="2" t="str">
        <f>HYPERLINK("http://ts.21cn.com/tousu/show/id/1340193","快闪卡贷，我己经和客服说明我当钱的困难，还在一直骚扰我家人和朋友")</f>
        <v>快闪卡贷，我己经和客服说明我当钱的困难，还在一直骚扰我家人和朋友</v>
      </c>
      <c r="C9065" s="2" t="s">
        <v>9</v>
      </c>
      <c r="D9065" s="2" t="s">
        <v>10</v>
      </c>
      <c r="E9065" s="2" t="str">
        <f>HYPERLINK("http://ts.21cn.com/tousu/show/id/1340193","http://ts.21cn.com/tousu/show/id/1340193")</f>
        <v>http://ts.21cn.com/tousu/show/id/1340193</v>
      </c>
      <c r="F9065" s="2" t="s">
        <v>11</v>
      </c>
      <c r="G9065" s="2" t="s">
        <v>26334</v>
      </c>
      <c r="H9065" s="2" t="s">
        <v>26335</v>
      </c>
    </row>
    <row r="9066" spans="1:8" ht="25.05" customHeight="1" x14ac:dyDescent="0.25">
      <c r="A9066" s="2" t="s">
        <v>8</v>
      </c>
      <c r="B9066" s="2" t="str">
        <f>HYPERLINK("http://ts.21cn.com/tousu/show/id/1340194","平安普惠恶意骚扰家人朋友")</f>
        <v>平安普惠恶意骚扰家人朋友</v>
      </c>
      <c r="C9066" s="2" t="s">
        <v>9</v>
      </c>
      <c r="D9066" s="2" t="s">
        <v>10</v>
      </c>
      <c r="E9066" s="2" t="str">
        <f>HYPERLINK("http://ts.21cn.com/tousu/show/id/1340194","http://ts.21cn.com/tousu/show/id/1340194")</f>
        <v>http://ts.21cn.com/tousu/show/id/1340194</v>
      </c>
      <c r="F9066" s="2" t="s">
        <v>11</v>
      </c>
      <c r="G9066" s="2" t="s">
        <v>26332</v>
      </c>
      <c r="H9066" s="2" t="s">
        <v>26333</v>
      </c>
    </row>
    <row r="9067" spans="1:8" ht="25.05" customHeight="1" x14ac:dyDescent="0.25">
      <c r="A9067" s="2" t="s">
        <v>8</v>
      </c>
      <c r="B9067" s="2" t="str">
        <f>HYPERLINK("http://ts.21cn.com/tousu/show/id/1340195","小金鱼高利贷阴阳合同")</f>
        <v>小金鱼高利贷阴阳合同</v>
      </c>
      <c r="C9067" s="2" t="s">
        <v>9</v>
      </c>
      <c r="D9067" s="2" t="s">
        <v>10</v>
      </c>
      <c r="E9067" s="2" t="str">
        <f>HYPERLINK("http://ts.21cn.com/tousu/show/id/1340195","http://ts.21cn.com/tousu/show/id/1340195")</f>
        <v>http://ts.21cn.com/tousu/show/id/1340195</v>
      </c>
      <c r="F9067" s="2" t="s">
        <v>11</v>
      </c>
      <c r="G9067" s="2" t="s">
        <v>26330</v>
      </c>
      <c r="H9067" s="2" t="s">
        <v>26331</v>
      </c>
    </row>
    <row r="9068" spans="1:8" ht="25.05" customHeight="1" x14ac:dyDescent="0.25">
      <c r="A9068" s="2" t="s">
        <v>8</v>
      </c>
      <c r="B9068" s="2" t="str">
        <f>HYPERLINK("http://ts.21cn.com/tousu/show/id/1340196","四川移动强制客户每月保底消费68元")</f>
        <v>四川移动强制客户每月保底消费68元</v>
      </c>
      <c r="C9068" s="2" t="s">
        <v>9</v>
      </c>
      <c r="D9068" s="2" t="s">
        <v>10</v>
      </c>
      <c r="E9068" s="2" t="str">
        <f>HYPERLINK("http://ts.21cn.com/tousu/show/id/1340196","http://ts.21cn.com/tousu/show/id/1340196")</f>
        <v>http://ts.21cn.com/tousu/show/id/1340196</v>
      </c>
      <c r="F9068" s="2" t="s">
        <v>11</v>
      </c>
      <c r="G9068" s="2" t="s">
        <v>26328</v>
      </c>
      <c r="H9068" s="2" t="s">
        <v>26329</v>
      </c>
    </row>
    <row r="9069" spans="1:8" ht="25.05" customHeight="1" x14ac:dyDescent="0.25">
      <c r="A9069" s="2" t="s">
        <v>8</v>
      </c>
      <c r="B9069" s="2" t="str">
        <f>HYPERLINK("http://ts.21cn.com/tousu/show/id/1340197","乱爆通讯录，恶意催收！恐吓")</f>
        <v>乱爆通讯录，恶意催收！恐吓</v>
      </c>
      <c r="C9069" s="2" t="s">
        <v>9</v>
      </c>
      <c r="D9069" s="2" t="s">
        <v>10</v>
      </c>
      <c r="E9069" s="2" t="str">
        <f>HYPERLINK("http://ts.21cn.com/tousu/show/id/1340197","http://ts.21cn.com/tousu/show/id/1340197")</f>
        <v>http://ts.21cn.com/tousu/show/id/1340197</v>
      </c>
      <c r="F9069" s="2" t="s">
        <v>11</v>
      </c>
      <c r="G9069" s="2" t="s">
        <v>26326</v>
      </c>
      <c r="H9069" s="2" t="s">
        <v>26327</v>
      </c>
    </row>
    <row r="9070" spans="1:8" ht="25.05" customHeight="1" x14ac:dyDescent="0.25">
      <c r="A9070" s="2" t="s">
        <v>8</v>
      </c>
      <c r="B9070" s="2" t="str">
        <f>HYPERLINK("http://ts.21cn.com/tousu/show/id/1340199","申请延期还款")</f>
        <v>申请延期还款</v>
      </c>
      <c r="C9070" s="2" t="s">
        <v>34</v>
      </c>
      <c r="D9070" s="2" t="s">
        <v>10</v>
      </c>
      <c r="E9070" s="2" t="str">
        <f>HYPERLINK("http://ts.21cn.com/tousu/show/id/1340199","http://ts.21cn.com/tousu/show/id/1340199")</f>
        <v>http://ts.21cn.com/tousu/show/id/1340199</v>
      </c>
      <c r="F9070" s="2" t="s">
        <v>11</v>
      </c>
      <c r="G9070" s="2" t="s">
        <v>26324</v>
      </c>
      <c r="H9070" s="2" t="s">
        <v>26325</v>
      </c>
    </row>
    <row r="9071" spans="1:8" ht="25.05" customHeight="1" x14ac:dyDescent="0.25">
      <c r="A9071" s="2" t="s">
        <v>8</v>
      </c>
      <c r="B9071" s="2" t="str">
        <f>HYPERLINK("http://ts.21cn.com/tousu/show/id/1340201","投诉转转平台")</f>
        <v>投诉转转平台</v>
      </c>
      <c r="C9071" s="2" t="s">
        <v>9</v>
      </c>
      <c r="D9071" s="2" t="s">
        <v>10</v>
      </c>
      <c r="E9071" s="2" t="str">
        <f>HYPERLINK("http://ts.21cn.com/tousu/show/id/1340201","http://ts.21cn.com/tousu/show/id/1340201")</f>
        <v>http://ts.21cn.com/tousu/show/id/1340201</v>
      </c>
      <c r="F9071" s="2" t="s">
        <v>11</v>
      </c>
      <c r="G9071" s="2" t="s">
        <v>26322</v>
      </c>
      <c r="H9071" s="2" t="s">
        <v>26323</v>
      </c>
    </row>
    <row r="9072" spans="1:8" ht="25.05" customHeight="1" x14ac:dyDescent="0.25">
      <c r="A9072" s="2" t="s">
        <v>8</v>
      </c>
      <c r="B9072" s="2" t="str">
        <f>HYPERLINK("http://ts.21cn.com/tousu/show/id/1340202","百度有钱花无能力还钱催收")</f>
        <v>百度有钱花无能力还钱催收</v>
      </c>
      <c r="C9072" s="2" t="s">
        <v>9</v>
      </c>
      <c r="D9072" s="2" t="s">
        <v>10</v>
      </c>
      <c r="E9072" s="2" t="str">
        <f>HYPERLINK("http://ts.21cn.com/tousu/show/id/1340202","http://ts.21cn.com/tousu/show/id/1340202")</f>
        <v>http://ts.21cn.com/tousu/show/id/1340202</v>
      </c>
      <c r="F9072" s="2" t="s">
        <v>11</v>
      </c>
      <c r="G9072" s="2" t="s">
        <v>26320</v>
      </c>
      <c r="H9072" s="2" t="s">
        <v>26321</v>
      </c>
    </row>
    <row r="9073" spans="1:8" ht="25.05" customHeight="1" x14ac:dyDescent="0.25">
      <c r="A9073" s="2" t="s">
        <v>8</v>
      </c>
      <c r="B9073" s="2" t="str">
        <f>HYPERLINK("http://ts.21cn.com/tousu/show/id/1340204","趣惠买协商还款联系不上")</f>
        <v>趣惠买协商还款联系不上</v>
      </c>
      <c r="C9073" s="2" t="s">
        <v>9</v>
      </c>
      <c r="D9073" s="2" t="s">
        <v>10</v>
      </c>
      <c r="E9073" s="2" t="str">
        <f>HYPERLINK("http://ts.21cn.com/tousu/show/id/1340204","http://ts.21cn.com/tousu/show/id/1340204")</f>
        <v>http://ts.21cn.com/tousu/show/id/1340204</v>
      </c>
      <c r="F9073" s="2" t="s">
        <v>11</v>
      </c>
      <c r="G9073" s="2" t="s">
        <v>26318</v>
      </c>
      <c r="H9073" s="2" t="s">
        <v>26319</v>
      </c>
    </row>
    <row r="9074" spans="1:8" ht="25.05" customHeight="1" x14ac:dyDescent="0.25">
      <c r="A9074" s="2" t="s">
        <v>8</v>
      </c>
      <c r="B9074" s="2" t="str">
        <f>HYPERLINK("http://ts.21cn.com/tousu/show/id/1340207","客服不处理乱收取逾期费吓唬人")</f>
        <v>客服不处理乱收取逾期费吓唬人</v>
      </c>
      <c r="C9074" s="2" t="s">
        <v>9</v>
      </c>
      <c r="D9074" s="2" t="s">
        <v>10</v>
      </c>
      <c r="E9074" s="2" t="str">
        <f>HYPERLINK("http://ts.21cn.com/tousu/show/id/1340207","http://ts.21cn.com/tousu/show/id/1340207")</f>
        <v>http://ts.21cn.com/tousu/show/id/1340207</v>
      </c>
      <c r="F9074" s="2" t="s">
        <v>11</v>
      </c>
      <c r="G9074" s="2" t="s">
        <v>26315</v>
      </c>
      <c r="H9074" s="2" t="s">
        <v>26316</v>
      </c>
    </row>
    <row r="9075" spans="1:8" ht="25.05" customHeight="1" x14ac:dyDescent="0.25">
      <c r="A9075" s="2" t="s">
        <v>8</v>
      </c>
      <c r="B9075" s="2" t="str">
        <f>HYPERLINK("http://ts.21cn.com/tousu/show/id/1340206","维信卡卡贷涉嫌高利贷砍头息")</f>
        <v>维信卡卡贷涉嫌高利贷砍头息</v>
      </c>
      <c r="C9075" s="2" t="s">
        <v>9</v>
      </c>
      <c r="D9075" s="2" t="s">
        <v>10</v>
      </c>
      <c r="E9075" s="2" t="str">
        <f>HYPERLINK("http://ts.21cn.com/tousu/show/id/1340206","http://ts.21cn.com/tousu/show/id/1340206")</f>
        <v>http://ts.21cn.com/tousu/show/id/1340206</v>
      </c>
      <c r="F9075" s="2" t="s">
        <v>11</v>
      </c>
      <c r="G9075" s="2" t="s">
        <v>26315</v>
      </c>
      <c r="H9075" s="2" t="s">
        <v>26317</v>
      </c>
    </row>
    <row r="9076" spans="1:8" ht="25.05" customHeight="1" x14ac:dyDescent="0.25">
      <c r="A9076" s="2" t="s">
        <v>8</v>
      </c>
      <c r="B9076" s="2" t="str">
        <f>HYPERLINK("http://ts.21cn.com/tousu/show/id/1340205","钱橙无忧随意扣费")</f>
        <v>钱橙无忧随意扣费</v>
      </c>
      <c r="C9076" s="2" t="s">
        <v>34</v>
      </c>
      <c r="D9076" s="2" t="s">
        <v>10</v>
      </c>
      <c r="E9076" s="2" t="str">
        <f>HYPERLINK("http://ts.21cn.com/tousu/show/id/1340205","http://ts.21cn.com/tousu/show/id/1340205")</f>
        <v>http://ts.21cn.com/tousu/show/id/1340205</v>
      </c>
      <c r="F9076" s="2" t="s">
        <v>11</v>
      </c>
      <c r="G9076" s="2" t="s">
        <v>26313</v>
      </c>
      <c r="H9076" s="2" t="s">
        <v>26314</v>
      </c>
    </row>
    <row r="9077" spans="1:8" ht="25.05" customHeight="1" x14ac:dyDescent="0.25">
      <c r="A9077" s="2" t="s">
        <v>8</v>
      </c>
      <c r="B9077" s="2" t="str">
        <f>HYPERLINK("http://ts.21cn.com/tousu/show/id/1340208","榕树高利贷")</f>
        <v>榕树高利贷</v>
      </c>
      <c r="C9077" s="2" t="s">
        <v>9</v>
      </c>
      <c r="D9077" s="2" t="s">
        <v>10</v>
      </c>
      <c r="E9077" s="2" t="str">
        <f>HYPERLINK("http://ts.21cn.com/tousu/show/id/1340208","http://ts.21cn.com/tousu/show/id/1340208")</f>
        <v>http://ts.21cn.com/tousu/show/id/1340208</v>
      </c>
      <c r="F9077" s="2" t="s">
        <v>11</v>
      </c>
      <c r="G9077" s="2" t="s">
        <v>26311</v>
      </c>
      <c r="H9077" s="2" t="s">
        <v>26312</v>
      </c>
    </row>
    <row r="9078" spans="1:8" ht="25.05" customHeight="1" x14ac:dyDescent="0.25">
      <c r="A9078" s="2" t="s">
        <v>8</v>
      </c>
      <c r="B9078" s="2" t="str">
        <f>HYPERLINK("http://ts.21cn.com/tousu/show/id/1340209","平台一直拖着不处理")</f>
        <v>平台一直拖着不处理</v>
      </c>
      <c r="C9078" s="2" t="s">
        <v>9</v>
      </c>
      <c r="D9078" s="2" t="s">
        <v>10</v>
      </c>
      <c r="E9078" s="2" t="str">
        <f>HYPERLINK("http://ts.21cn.com/tousu/show/id/1340209","http://ts.21cn.com/tousu/show/id/1340209")</f>
        <v>http://ts.21cn.com/tousu/show/id/1340209</v>
      </c>
      <c r="F9078" s="2" t="s">
        <v>11</v>
      </c>
      <c r="G9078" s="2" t="s">
        <v>26309</v>
      </c>
      <c r="H9078" s="2" t="s">
        <v>26310</v>
      </c>
    </row>
    <row r="9079" spans="1:8" ht="25.05" customHeight="1" x14ac:dyDescent="0.25">
      <c r="A9079" s="2" t="s">
        <v>8</v>
      </c>
      <c r="B9079" s="2" t="str">
        <f>HYPERLINK("http://ts.21cn.com/tousu/show/id/1340210","现金巴士砍头息套路贷")</f>
        <v>现金巴士砍头息套路贷</v>
      </c>
      <c r="C9079" s="2" t="s">
        <v>9</v>
      </c>
      <c r="D9079" s="2" t="s">
        <v>10</v>
      </c>
      <c r="E9079" s="2" t="str">
        <f>HYPERLINK("http://ts.21cn.com/tousu/show/id/1340210","http://ts.21cn.com/tousu/show/id/1340210")</f>
        <v>http://ts.21cn.com/tousu/show/id/1340210</v>
      </c>
      <c r="F9079" s="2" t="s">
        <v>11</v>
      </c>
      <c r="G9079" s="2" t="s">
        <v>26307</v>
      </c>
      <c r="H9079" s="2" t="s">
        <v>26308</v>
      </c>
    </row>
    <row r="9080" spans="1:8" ht="25.05" customHeight="1" x14ac:dyDescent="0.25">
      <c r="A9080" s="2" t="s">
        <v>8</v>
      </c>
      <c r="B9080" s="2" t="str">
        <f>HYPERLINK("http://ts.21cn.com/tousu/show/id/1340211","超出法律利息24%不会偿还")</f>
        <v>超出法律利息24%不会偿还</v>
      </c>
      <c r="C9080" s="2" t="s">
        <v>34</v>
      </c>
      <c r="D9080" s="2" t="s">
        <v>10</v>
      </c>
      <c r="E9080" s="2" t="str">
        <f>HYPERLINK("http://ts.21cn.com/tousu/show/id/1340211","http://ts.21cn.com/tousu/show/id/1340211")</f>
        <v>http://ts.21cn.com/tousu/show/id/1340211</v>
      </c>
      <c r="F9080" s="2" t="s">
        <v>11</v>
      </c>
      <c r="G9080" s="2" t="s">
        <v>26305</v>
      </c>
      <c r="H9080" s="2" t="s">
        <v>26306</v>
      </c>
    </row>
    <row r="9081" spans="1:8" ht="25.05" customHeight="1" x14ac:dyDescent="0.25">
      <c r="A9081" s="2" t="s">
        <v>8</v>
      </c>
      <c r="B9081" s="2" t="str">
        <f>HYPERLINK("http://ts.21cn.com/tousu/show/id/1340212","虚假派单")</f>
        <v>虚假派单</v>
      </c>
      <c r="C9081" s="2" t="s">
        <v>9</v>
      </c>
      <c r="D9081" s="2" t="s">
        <v>10</v>
      </c>
      <c r="E9081" s="2" t="str">
        <f>HYPERLINK("http://ts.21cn.com/tousu/show/id/1340212","http://ts.21cn.com/tousu/show/id/1340212")</f>
        <v>http://ts.21cn.com/tousu/show/id/1340212</v>
      </c>
      <c r="F9081" s="2" t="s">
        <v>11</v>
      </c>
      <c r="G9081" s="2" t="s">
        <v>26303</v>
      </c>
      <c r="H9081" s="2" t="s">
        <v>26304</v>
      </c>
    </row>
    <row r="9082" spans="1:8" ht="25.05" customHeight="1" x14ac:dyDescent="0.25">
      <c r="A9082" s="2" t="s">
        <v>8</v>
      </c>
      <c r="B9082" s="2" t="str">
        <f>HYPERLINK("http://ts.21cn.com/tousu/show/id/1340213","信用飞斩头息扣了我600")</f>
        <v>信用飞斩头息扣了我600</v>
      </c>
      <c r="C9082" s="2" t="s">
        <v>9</v>
      </c>
      <c r="D9082" s="2" t="s">
        <v>10</v>
      </c>
      <c r="E9082" s="2" t="str">
        <f>HYPERLINK("http://ts.21cn.com/tousu/show/id/1340213","http://ts.21cn.com/tousu/show/id/1340213")</f>
        <v>http://ts.21cn.com/tousu/show/id/1340213</v>
      </c>
      <c r="F9082" s="2" t="s">
        <v>11</v>
      </c>
      <c r="G9082" s="2" t="s">
        <v>26301</v>
      </c>
      <c r="H9082" s="2" t="s">
        <v>26302</v>
      </c>
    </row>
    <row r="9083" spans="1:8" ht="25.05" customHeight="1" x14ac:dyDescent="0.25">
      <c r="A9083" s="2" t="s">
        <v>8</v>
      </c>
      <c r="B9083" s="2" t="str">
        <f>HYPERLINK("http://ts.21cn.com/tousu/show/id/1340214","闪银变相收取砍头息")</f>
        <v>闪银变相收取砍头息</v>
      </c>
      <c r="C9083" s="2" t="s">
        <v>9</v>
      </c>
      <c r="D9083" s="2" t="s">
        <v>10</v>
      </c>
      <c r="E9083" s="2" t="str">
        <f>HYPERLINK("http://ts.21cn.com/tousu/show/id/1340214","http://ts.21cn.com/tousu/show/id/1340214")</f>
        <v>http://ts.21cn.com/tousu/show/id/1340214</v>
      </c>
      <c r="F9083" s="2" t="s">
        <v>11</v>
      </c>
      <c r="G9083" s="2" t="s">
        <v>26299</v>
      </c>
      <c r="H9083" s="2" t="s">
        <v>26300</v>
      </c>
    </row>
    <row r="9084" spans="1:8" ht="25.05" customHeight="1" x14ac:dyDescent="0.25">
      <c r="A9084" s="2" t="s">
        <v>8</v>
      </c>
      <c r="B9084" s="2" t="str">
        <f>HYPERLINK("http://ts.21cn.com/tousu/show/id/1340215","741高炮")</f>
        <v>741高炮</v>
      </c>
      <c r="C9084" s="2" t="s">
        <v>9</v>
      </c>
      <c r="D9084" s="2" t="s">
        <v>10</v>
      </c>
      <c r="E9084" s="2" t="str">
        <f>HYPERLINK("http://ts.21cn.com/tousu/show/id/1340215","http://ts.21cn.com/tousu/show/id/1340215")</f>
        <v>http://ts.21cn.com/tousu/show/id/1340215</v>
      </c>
      <c r="F9084" s="2" t="s">
        <v>11</v>
      </c>
      <c r="G9084" s="2" t="s">
        <v>26297</v>
      </c>
      <c r="H9084" s="2" t="s">
        <v>26298</v>
      </c>
    </row>
    <row r="9085" spans="1:8" ht="25.05" customHeight="1" x14ac:dyDescent="0.25">
      <c r="A9085" s="2" t="s">
        <v>8</v>
      </c>
      <c r="B9085" s="2" t="str">
        <f>HYPERLINK("http://ts.21cn.com/tousu/show/id/1340216","任性贷暴力催收")</f>
        <v>任性贷暴力催收</v>
      </c>
      <c r="C9085" s="2" t="s">
        <v>9</v>
      </c>
      <c r="D9085" s="2" t="s">
        <v>10</v>
      </c>
      <c r="E9085" s="2" t="str">
        <f>HYPERLINK("http://ts.21cn.com/tousu/show/id/1340216","http://ts.21cn.com/tousu/show/id/1340216")</f>
        <v>http://ts.21cn.com/tousu/show/id/1340216</v>
      </c>
      <c r="F9085" s="2" t="s">
        <v>11</v>
      </c>
      <c r="G9085" s="2" t="s">
        <v>26295</v>
      </c>
      <c r="H9085" s="2" t="s">
        <v>26296</v>
      </c>
    </row>
    <row r="9086" spans="1:8" ht="25.05" customHeight="1" x14ac:dyDescent="0.25">
      <c r="A9086" s="2" t="s">
        <v>8</v>
      </c>
      <c r="B9086" s="2" t="str">
        <f>HYPERLINK("http://ts.21cn.com/tousu/show/id/1340217","上海翰银为赌博输平台收单，请求瀚银为我退款挽回经济损失")</f>
        <v>上海翰银为赌博输平台收单，请求瀚银为我退款挽回经济损失</v>
      </c>
      <c r="C9086" s="2" t="s">
        <v>9</v>
      </c>
      <c r="D9086" s="2" t="s">
        <v>10</v>
      </c>
      <c r="E9086" s="2" t="str">
        <f>HYPERLINK("http://ts.21cn.com/tousu/show/id/1340217","http://ts.21cn.com/tousu/show/id/1340217")</f>
        <v>http://ts.21cn.com/tousu/show/id/1340217</v>
      </c>
      <c r="F9086" s="2" t="s">
        <v>11</v>
      </c>
      <c r="G9086" s="2" t="s">
        <v>26293</v>
      </c>
      <c r="H9086" s="2" t="s">
        <v>26294</v>
      </c>
    </row>
    <row r="9087" spans="1:8" ht="25.05" customHeight="1" x14ac:dyDescent="0.25">
      <c r="A9087" s="2" t="s">
        <v>8</v>
      </c>
      <c r="B9087" s="2" t="str">
        <f>HYPERLINK("http://ts.21cn.com/tousu/show/id/1340218","被拍拍贷催收各种威胁")</f>
        <v>被拍拍贷催收各种威胁</v>
      </c>
      <c r="C9087" s="2" t="s">
        <v>9</v>
      </c>
      <c r="D9087" s="2" t="s">
        <v>10</v>
      </c>
      <c r="E9087" s="2" t="str">
        <f>HYPERLINK("http://ts.21cn.com/tousu/show/id/1340218","http://ts.21cn.com/tousu/show/id/1340218")</f>
        <v>http://ts.21cn.com/tousu/show/id/1340218</v>
      </c>
      <c r="F9087" s="2" t="s">
        <v>11</v>
      </c>
      <c r="G9087" s="2" t="s">
        <v>26291</v>
      </c>
      <c r="H9087" s="2" t="s">
        <v>26292</v>
      </c>
    </row>
    <row r="9088" spans="1:8" ht="25.05" customHeight="1" x14ac:dyDescent="0.25">
      <c r="A9088" s="2" t="s">
        <v>8</v>
      </c>
      <c r="B9088" s="2" t="str">
        <f>HYPERLINK("http://ts.21cn.com/tousu/show/id/1340219","要钱快套路贷")</f>
        <v>要钱快套路贷</v>
      </c>
      <c r="C9088" s="2" t="s">
        <v>9</v>
      </c>
      <c r="D9088" s="2" t="s">
        <v>10</v>
      </c>
      <c r="E9088" s="2" t="str">
        <f>HYPERLINK("http://ts.21cn.com/tousu/show/id/1340219","http://ts.21cn.com/tousu/show/id/1340219")</f>
        <v>http://ts.21cn.com/tousu/show/id/1340219</v>
      </c>
      <c r="F9088" s="2" t="s">
        <v>11</v>
      </c>
      <c r="G9088" s="2" t="s">
        <v>26289</v>
      </c>
      <c r="H9088" s="2" t="s">
        <v>26290</v>
      </c>
    </row>
    <row r="9089" spans="1:8" ht="25.05" customHeight="1" x14ac:dyDescent="0.25">
      <c r="A9089" s="2" t="s">
        <v>8</v>
      </c>
      <c r="B9089" s="2" t="str">
        <f>HYPERLINK("http://ts.21cn.com/tousu/show/id/1340220","假期期间多次来电恶意催收，说要上门催收，告知情况不听解释，爆通讯录")</f>
        <v>假期期间多次来电恶意催收，说要上门催收，告知情况不听解释，爆通讯录</v>
      </c>
      <c r="C9089" s="2" t="s">
        <v>9</v>
      </c>
      <c r="D9089" s="2" t="s">
        <v>10</v>
      </c>
      <c r="E9089" s="2" t="str">
        <f>HYPERLINK("http://ts.21cn.com/tousu/show/id/1340220","http://ts.21cn.com/tousu/show/id/1340220")</f>
        <v>http://ts.21cn.com/tousu/show/id/1340220</v>
      </c>
      <c r="F9089" s="2" t="s">
        <v>11</v>
      </c>
      <c r="G9089" s="2" t="s">
        <v>26287</v>
      </c>
      <c r="H9089" s="2" t="s">
        <v>26288</v>
      </c>
    </row>
    <row r="9090" spans="1:8" ht="25.05" customHeight="1" x14ac:dyDescent="0.25">
      <c r="A9090" s="2" t="s">
        <v>8</v>
      </c>
      <c r="B9090" s="2" t="str">
        <f>HYPERLINK("http://ts.21cn.com/tousu/show/id/1340221","苏宁易购斯凯奇拒绝退货")</f>
        <v>苏宁易购斯凯奇拒绝退货</v>
      </c>
      <c r="C9090" s="2" t="s">
        <v>9</v>
      </c>
      <c r="D9090" s="2" t="s">
        <v>10</v>
      </c>
      <c r="E9090" s="2" t="str">
        <f>HYPERLINK("http://ts.21cn.com/tousu/show/id/1340221","http://ts.21cn.com/tousu/show/id/1340221")</f>
        <v>http://ts.21cn.com/tousu/show/id/1340221</v>
      </c>
      <c r="F9090" s="2" t="s">
        <v>11</v>
      </c>
      <c r="G9090" s="2" t="s">
        <v>26285</v>
      </c>
      <c r="H9090" s="2" t="s">
        <v>26286</v>
      </c>
    </row>
    <row r="9091" spans="1:8" ht="25.05" customHeight="1" x14ac:dyDescent="0.25">
      <c r="A9091" s="2" t="s">
        <v>8</v>
      </c>
      <c r="B9091" s="2" t="str">
        <f>HYPERLINK("http://ts.21cn.com/tousu/show/id/1340224","高利贷砍头息逾期费用超高不符合法律规定")</f>
        <v>高利贷砍头息逾期费用超高不符合法律规定</v>
      </c>
      <c r="C9091" s="2" t="s">
        <v>9</v>
      </c>
      <c r="D9091" s="2" t="s">
        <v>10</v>
      </c>
      <c r="E9091" s="2" t="str">
        <f>HYPERLINK("http://ts.21cn.com/tousu/show/id/1340224","http://ts.21cn.com/tousu/show/id/1340224")</f>
        <v>http://ts.21cn.com/tousu/show/id/1340224</v>
      </c>
      <c r="F9091" s="2" t="s">
        <v>11</v>
      </c>
      <c r="G9091" s="2" t="s">
        <v>26283</v>
      </c>
      <c r="H9091" s="2" t="s">
        <v>26284</v>
      </c>
    </row>
    <row r="9092" spans="1:8" ht="25.05" customHeight="1" x14ac:dyDescent="0.25">
      <c r="A9092" s="2" t="s">
        <v>8</v>
      </c>
      <c r="B9092" s="2" t="str">
        <f>HYPERLINK("http://ts.21cn.com/tousu/show/id/1340200","宣传消费者开会员")</f>
        <v>宣传消费者开会员</v>
      </c>
      <c r="C9092" s="2" t="s">
        <v>9</v>
      </c>
      <c r="D9092" s="2" t="s">
        <v>10</v>
      </c>
      <c r="E9092" s="2" t="str">
        <f>HYPERLINK("http://ts.21cn.com/tousu/show/id/1340200","http://ts.21cn.com/tousu/show/id/1340200")</f>
        <v>http://ts.21cn.com/tousu/show/id/1340200</v>
      </c>
      <c r="F9092" s="2" t="s">
        <v>11</v>
      </c>
      <c r="G9092" s="2" t="s">
        <v>26281</v>
      </c>
      <c r="H9092" s="2" t="s">
        <v>26282</v>
      </c>
    </row>
    <row r="9093" spans="1:8" ht="25.05" customHeight="1" x14ac:dyDescent="0.25">
      <c r="A9093" s="2" t="s">
        <v>8</v>
      </c>
      <c r="B9093" s="2" t="str">
        <f>HYPERLINK("http://ts.21cn.com/tousu/show/id/1340225","一直打电话给我朋友，发信息，毁人声誉")</f>
        <v>一直打电话给我朋友，发信息，毁人声誉</v>
      </c>
      <c r="C9093" s="2" t="s">
        <v>9</v>
      </c>
      <c r="D9093" s="2" t="s">
        <v>10</v>
      </c>
      <c r="E9093" s="2" t="str">
        <f>HYPERLINK("http://ts.21cn.com/tousu/show/id/1340225","http://ts.21cn.com/tousu/show/id/1340225")</f>
        <v>http://ts.21cn.com/tousu/show/id/1340225</v>
      </c>
      <c r="F9093" s="2" t="s">
        <v>11</v>
      </c>
      <c r="G9093" s="2" t="s">
        <v>26279</v>
      </c>
      <c r="H9093" s="2" t="s">
        <v>26280</v>
      </c>
    </row>
    <row r="9094" spans="1:8" ht="25.05" customHeight="1" x14ac:dyDescent="0.25">
      <c r="A9094" s="2" t="s">
        <v>8</v>
      </c>
      <c r="B9094" s="2" t="str">
        <f>HYPERLINK("http://ts.21cn.com/tousu/show/id/1340226","翼钱包超高利贷")</f>
        <v>翼钱包超高利贷</v>
      </c>
      <c r="C9094" s="2" t="s">
        <v>9</v>
      </c>
      <c r="D9094" s="2" t="s">
        <v>10</v>
      </c>
      <c r="E9094" s="2" t="str">
        <f>HYPERLINK("http://ts.21cn.com/tousu/show/id/1340226","http://ts.21cn.com/tousu/show/id/1340226")</f>
        <v>http://ts.21cn.com/tousu/show/id/1340226</v>
      </c>
      <c r="F9094" s="2" t="s">
        <v>11</v>
      </c>
      <c r="G9094" s="2" t="s">
        <v>26277</v>
      </c>
      <c r="H9094" s="2" t="s">
        <v>26278</v>
      </c>
    </row>
    <row r="9095" spans="1:8" ht="25.05" customHeight="1" x14ac:dyDescent="0.25">
      <c r="A9095" s="2" t="s">
        <v>8</v>
      </c>
      <c r="B9095" s="2" t="str">
        <f>HYPERLINK("http://ts.21cn.com/tousu/show/id/1340227","活力花暴力催收")</f>
        <v>活力花暴力催收</v>
      </c>
      <c r="C9095" s="2" t="s">
        <v>9</v>
      </c>
      <c r="D9095" s="2" t="s">
        <v>10</v>
      </c>
      <c r="E9095" s="2" t="str">
        <f>HYPERLINK("http://ts.21cn.com/tousu/show/id/1340227","http://ts.21cn.com/tousu/show/id/1340227")</f>
        <v>http://ts.21cn.com/tousu/show/id/1340227</v>
      </c>
      <c r="F9095" s="2" t="s">
        <v>11</v>
      </c>
      <c r="G9095" s="2" t="s">
        <v>26275</v>
      </c>
      <c r="H9095" s="2" t="s">
        <v>26276</v>
      </c>
    </row>
    <row r="9096" spans="1:8" ht="25.05" customHeight="1" x14ac:dyDescent="0.25">
      <c r="A9096" s="2" t="s">
        <v>8</v>
      </c>
      <c r="B9096" s="2" t="str">
        <f>HYPERLINK("http://ts.21cn.com/tousu/show/id/1340228","今借到高利贷还款后还要追加高利息")</f>
        <v>今借到高利贷还款后还要追加高利息</v>
      </c>
      <c r="C9096" s="2" t="s">
        <v>9</v>
      </c>
      <c r="D9096" s="2" t="s">
        <v>10</v>
      </c>
      <c r="E9096" s="2" t="str">
        <f>HYPERLINK("http://ts.21cn.com/tousu/show/id/1340228","http://ts.21cn.com/tousu/show/id/1340228")</f>
        <v>http://ts.21cn.com/tousu/show/id/1340228</v>
      </c>
      <c r="F9096" s="2" t="s">
        <v>11</v>
      </c>
      <c r="G9096" s="2" t="s">
        <v>26273</v>
      </c>
      <c r="H9096" s="2" t="s">
        <v>26274</v>
      </c>
    </row>
    <row r="9097" spans="1:8" ht="25.05" customHeight="1" x14ac:dyDescent="0.25">
      <c r="A9097" s="2" t="s">
        <v>8</v>
      </c>
      <c r="B9097" s="2" t="str">
        <f>HYPERLINK("http://ts.21cn.com/tousu/show/id/1340229","淘宝账号被盗")</f>
        <v>淘宝账号被盗</v>
      </c>
      <c r="C9097" s="2" t="s">
        <v>9</v>
      </c>
      <c r="D9097" s="2" t="s">
        <v>10</v>
      </c>
      <c r="E9097" s="2" t="str">
        <f>HYPERLINK("http://ts.21cn.com/tousu/show/id/1340229","http://ts.21cn.com/tousu/show/id/1340229")</f>
        <v>http://ts.21cn.com/tousu/show/id/1340229</v>
      </c>
      <c r="F9097" s="2" t="s">
        <v>11</v>
      </c>
      <c r="G9097" s="2" t="s">
        <v>26271</v>
      </c>
      <c r="H9097" s="2" t="s">
        <v>26272</v>
      </c>
    </row>
    <row r="9098" spans="1:8" ht="25.05" customHeight="1" x14ac:dyDescent="0.25">
      <c r="A9098" s="2" t="s">
        <v>8</v>
      </c>
      <c r="B9098" s="2" t="str">
        <f>HYPERLINK("http://ts.21cn.com/tousu/show/id/1340231","拍拍贷暴力催收，高利贷")</f>
        <v>拍拍贷暴力催收，高利贷</v>
      </c>
      <c r="C9098" s="2" t="s">
        <v>9</v>
      </c>
      <c r="D9098" s="2" t="s">
        <v>10</v>
      </c>
      <c r="E9098" s="2" t="str">
        <f>HYPERLINK("http://ts.21cn.com/tousu/show/id/1340231","http://ts.21cn.com/tousu/show/id/1340231")</f>
        <v>http://ts.21cn.com/tousu/show/id/1340231</v>
      </c>
      <c r="F9098" s="2" t="s">
        <v>11</v>
      </c>
      <c r="G9098" s="2" t="s">
        <v>26268</v>
      </c>
      <c r="H9098" s="2" t="s">
        <v>26269</v>
      </c>
    </row>
    <row r="9099" spans="1:8" ht="25.05" customHeight="1" x14ac:dyDescent="0.25">
      <c r="A9099" s="2" t="s">
        <v>8</v>
      </c>
      <c r="B9099" s="2" t="str">
        <f>HYPERLINK("http://ts.21cn.com/tousu/show/id/1340230","钱橙无忧随意扣费")</f>
        <v>钱橙无忧随意扣费</v>
      </c>
      <c r="C9099" s="2" t="s">
        <v>34</v>
      </c>
      <c r="D9099" s="2" t="s">
        <v>10</v>
      </c>
      <c r="E9099" s="2" t="str">
        <f>HYPERLINK("http://ts.21cn.com/tousu/show/id/1340230","http://ts.21cn.com/tousu/show/id/1340230")</f>
        <v>http://ts.21cn.com/tousu/show/id/1340230</v>
      </c>
      <c r="F9099" s="2" t="s">
        <v>11</v>
      </c>
      <c r="G9099" s="2" t="s">
        <v>26268</v>
      </c>
      <c r="H9099" s="2" t="s">
        <v>26270</v>
      </c>
    </row>
    <row r="9100" spans="1:8" ht="25.05" customHeight="1" x14ac:dyDescent="0.25">
      <c r="A9100" s="2" t="s">
        <v>8</v>
      </c>
      <c r="B9100" s="2" t="str">
        <f>HYPERLINK("http://ts.21cn.com/tousu/show/id/1340232","暴力催收态度恶劣言语辱骂")</f>
        <v>暴力催收态度恶劣言语辱骂</v>
      </c>
      <c r="C9100" s="2" t="s">
        <v>9</v>
      </c>
      <c r="D9100" s="2" t="s">
        <v>10</v>
      </c>
      <c r="E9100" s="2" t="str">
        <f>HYPERLINK("http://ts.21cn.com/tousu/show/id/1340232","http://ts.21cn.com/tousu/show/id/1340232")</f>
        <v>http://ts.21cn.com/tousu/show/id/1340232</v>
      </c>
      <c r="F9100" s="2" t="s">
        <v>11</v>
      </c>
      <c r="G9100" s="2" t="s">
        <v>26266</v>
      </c>
      <c r="H9100" s="2" t="s">
        <v>26267</v>
      </c>
    </row>
    <row r="9101" spans="1:8" ht="25.05" customHeight="1" x14ac:dyDescent="0.25">
      <c r="A9101" s="2" t="s">
        <v>8</v>
      </c>
      <c r="B9101" s="2" t="str">
        <f>HYPERLINK("http://ts.21cn.com/tousu/show/id/1340235","携趣网络技术上海有限公司乱扣费")</f>
        <v>携趣网络技术上海有限公司乱扣费</v>
      </c>
      <c r="C9101" s="2" t="s">
        <v>9</v>
      </c>
      <c r="D9101" s="2" t="s">
        <v>10</v>
      </c>
      <c r="E9101" s="2" t="str">
        <f>HYPERLINK("http://ts.21cn.com/tousu/show/id/1340235","http://ts.21cn.com/tousu/show/id/1340235")</f>
        <v>http://ts.21cn.com/tousu/show/id/1340235</v>
      </c>
      <c r="F9101" s="2" t="s">
        <v>11</v>
      </c>
      <c r="G9101" s="2" t="s">
        <v>26265</v>
      </c>
      <c r="H9101" s="2" t="s">
        <v>16638</v>
      </c>
    </row>
    <row r="9102" spans="1:8" ht="25.05" customHeight="1" x14ac:dyDescent="0.25">
      <c r="A9102" s="2" t="s">
        <v>8</v>
      </c>
      <c r="B9102" s="2" t="str">
        <f>HYPERLINK("http://ts.21cn.com/tousu/show/id/1340203","一没发车二没嫁我，这小客服不干点人事！")</f>
        <v>一没发车二没嫁我，这小客服不干点人事！</v>
      </c>
      <c r="C9102" s="2" t="s">
        <v>9</v>
      </c>
      <c r="D9102" s="2" t="s">
        <v>10</v>
      </c>
      <c r="E9102" s="2" t="str">
        <f>HYPERLINK("http://ts.21cn.com/tousu/show/id/1340203","http://ts.21cn.com/tousu/show/id/1340203")</f>
        <v>http://ts.21cn.com/tousu/show/id/1340203</v>
      </c>
      <c r="F9102" s="2" t="s">
        <v>11</v>
      </c>
      <c r="G9102" s="2" t="s">
        <v>26263</v>
      </c>
      <c r="H9102" s="2" t="s">
        <v>26264</v>
      </c>
    </row>
    <row r="9103" spans="1:8" ht="25.05" customHeight="1" x14ac:dyDescent="0.25">
      <c r="A9103" s="2" t="s">
        <v>8</v>
      </c>
      <c r="B9103" s="2" t="str">
        <f>HYPERLINK("http://ts.21cn.com/tousu/show/id/1340237","淘宝卖家承诺十天内发货，超时不发货，我投诉后就发货，多次电话让我撤销投诉，我没有撤销私自把包裹拦截。")</f>
        <v>淘宝卖家承诺十天内发货，超时不发货，我投诉后就发货，多次电话让我撤销投诉，我没有撤销私自把包裹拦截。</v>
      </c>
      <c r="C9103" s="2" t="s">
        <v>9</v>
      </c>
      <c r="D9103" s="2" t="s">
        <v>10</v>
      </c>
      <c r="E9103" s="2" t="str">
        <f>HYPERLINK("http://ts.21cn.com/tousu/show/id/1340237","http://ts.21cn.com/tousu/show/id/1340237")</f>
        <v>http://ts.21cn.com/tousu/show/id/1340237</v>
      </c>
      <c r="F9103" s="2" t="s">
        <v>11</v>
      </c>
      <c r="G9103" s="2" t="s">
        <v>26261</v>
      </c>
      <c r="H9103" s="2" t="s">
        <v>26262</v>
      </c>
    </row>
    <row r="9104" spans="1:8" ht="25.05" customHeight="1" x14ac:dyDescent="0.25">
      <c r="A9104" s="2" t="s">
        <v>8</v>
      </c>
      <c r="B9104" s="2" t="str">
        <f>HYPERLINK("http://ts.21cn.com/tousu/show/id/1340238","高额利息强制购买虚拟产品")</f>
        <v>高额利息强制购买虚拟产品</v>
      </c>
      <c r="C9104" s="2" t="s">
        <v>9</v>
      </c>
      <c r="D9104" s="2" t="s">
        <v>10</v>
      </c>
      <c r="E9104" s="2" t="str">
        <f>HYPERLINK("http://ts.21cn.com/tousu/show/id/1340238","http://ts.21cn.com/tousu/show/id/1340238")</f>
        <v>http://ts.21cn.com/tousu/show/id/1340238</v>
      </c>
      <c r="F9104" s="2" t="s">
        <v>11</v>
      </c>
      <c r="G9104" s="2" t="s">
        <v>26259</v>
      </c>
      <c r="H9104" s="2" t="s">
        <v>26260</v>
      </c>
    </row>
    <row r="9105" spans="1:8" ht="25.05" customHeight="1" x14ac:dyDescent="0.25">
      <c r="A9105" s="2" t="s">
        <v>8</v>
      </c>
      <c r="B9105" s="2" t="str">
        <f>HYPERLINK("http://ts.21cn.com/tousu/show/id/1340239","小浦优客未经同意扣款")</f>
        <v>小浦优客未经同意扣款</v>
      </c>
      <c r="C9105" s="2" t="s">
        <v>34</v>
      </c>
      <c r="D9105" s="2" t="s">
        <v>10</v>
      </c>
      <c r="E9105" s="2" t="str">
        <f>HYPERLINK("http://ts.21cn.com/tousu/show/id/1340239","http://ts.21cn.com/tousu/show/id/1340239")</f>
        <v>http://ts.21cn.com/tousu/show/id/1340239</v>
      </c>
      <c r="F9105" s="2" t="s">
        <v>11</v>
      </c>
      <c r="G9105" s="2" t="s">
        <v>26257</v>
      </c>
      <c r="H9105" s="2" t="s">
        <v>26258</v>
      </c>
    </row>
    <row r="9106" spans="1:8" ht="25.05" customHeight="1" x14ac:dyDescent="0.25">
      <c r="A9106" s="2" t="s">
        <v>8</v>
      </c>
      <c r="B9106" s="2" t="str">
        <f>HYPERLINK("http://ts.21cn.com/tousu/show/id/1340240","银开心，恶意扣款，私自银行卡扣取费用")</f>
        <v>银开心，恶意扣款，私自银行卡扣取费用</v>
      </c>
      <c r="C9106" s="2" t="s">
        <v>9</v>
      </c>
      <c r="D9106" s="2" t="s">
        <v>10</v>
      </c>
      <c r="E9106" s="2" t="str">
        <f>HYPERLINK("http://ts.21cn.com/tousu/show/id/1340240","http://ts.21cn.com/tousu/show/id/1340240")</f>
        <v>http://ts.21cn.com/tousu/show/id/1340240</v>
      </c>
      <c r="F9106" s="2" t="s">
        <v>11</v>
      </c>
      <c r="G9106" s="2" t="s">
        <v>26255</v>
      </c>
      <c r="H9106" s="2" t="s">
        <v>26256</v>
      </c>
    </row>
    <row r="9107" spans="1:8" ht="25.05" customHeight="1" x14ac:dyDescent="0.25">
      <c r="A9107" s="2" t="s">
        <v>8</v>
      </c>
      <c r="B9107" s="2" t="str">
        <f>HYPERLINK("http://ts.21cn.com/tousu/show/id/1340241","我来贷暴力催收")</f>
        <v>我来贷暴力催收</v>
      </c>
      <c r="C9107" s="2" t="s">
        <v>9</v>
      </c>
      <c r="D9107" s="2" t="s">
        <v>10</v>
      </c>
      <c r="E9107" s="2" t="str">
        <f>HYPERLINK("http://ts.21cn.com/tousu/show/id/1340241","http://ts.21cn.com/tousu/show/id/1340241")</f>
        <v>http://ts.21cn.com/tousu/show/id/1340241</v>
      </c>
      <c r="F9107" s="2" t="s">
        <v>11</v>
      </c>
      <c r="G9107" s="2" t="s">
        <v>26253</v>
      </c>
      <c r="H9107" s="2" t="s">
        <v>26254</v>
      </c>
    </row>
    <row r="9108" spans="1:8" ht="25.05" customHeight="1" x14ac:dyDescent="0.25">
      <c r="A9108" s="2" t="s">
        <v>8</v>
      </c>
      <c r="B9108" s="2" t="str">
        <f>HYPERLINK("http://ts.21cn.com/tousu/show/id/1340242","高利贷，暴力催收")</f>
        <v>高利贷，暴力催收</v>
      </c>
      <c r="C9108" s="2" t="s">
        <v>9</v>
      </c>
      <c r="D9108" s="2" t="s">
        <v>10</v>
      </c>
      <c r="E9108" s="2" t="str">
        <f>HYPERLINK("http://ts.21cn.com/tousu/show/id/1340242","http://ts.21cn.com/tousu/show/id/1340242")</f>
        <v>http://ts.21cn.com/tousu/show/id/1340242</v>
      </c>
      <c r="F9108" s="2" t="s">
        <v>11</v>
      </c>
      <c r="G9108" s="2" t="s">
        <v>26251</v>
      </c>
      <c r="H9108" s="2" t="s">
        <v>26252</v>
      </c>
    </row>
    <row r="9109" spans="1:8" ht="25.05" customHeight="1" x14ac:dyDescent="0.25">
      <c r="A9109" s="2" t="s">
        <v>8</v>
      </c>
      <c r="B9109" s="2" t="str">
        <f>HYPERLINK("http://ts.21cn.com/tousu/show/id/1340243","高利贷套路贷")</f>
        <v>高利贷套路贷</v>
      </c>
      <c r="C9109" s="2" t="s">
        <v>9</v>
      </c>
      <c r="D9109" s="2" t="s">
        <v>10</v>
      </c>
      <c r="E9109" s="2" t="str">
        <f>HYPERLINK("http://ts.21cn.com/tousu/show/id/1340243","http://ts.21cn.com/tousu/show/id/1340243")</f>
        <v>http://ts.21cn.com/tousu/show/id/1340243</v>
      </c>
      <c r="F9109" s="2" t="s">
        <v>11</v>
      </c>
      <c r="G9109" s="2" t="s">
        <v>26249</v>
      </c>
      <c r="H9109" s="2" t="s">
        <v>26250</v>
      </c>
    </row>
    <row r="9110" spans="1:8" ht="25.05" customHeight="1" x14ac:dyDescent="0.25">
      <c r="A9110" s="2" t="s">
        <v>8</v>
      </c>
      <c r="B9110" s="2" t="str">
        <f>HYPERLINK("http://ts.21cn.com/tousu/show/id/1340244","拍拍贷暴力催收爆通讯录盗取私人信息骚扰恐吓家人朋友")</f>
        <v>拍拍贷暴力催收爆通讯录盗取私人信息骚扰恐吓家人朋友</v>
      </c>
      <c r="C9110" s="2" t="s">
        <v>9</v>
      </c>
      <c r="D9110" s="2" t="s">
        <v>10</v>
      </c>
      <c r="E9110" s="2" t="str">
        <f>HYPERLINK("http://ts.21cn.com/tousu/show/id/1340244","http://ts.21cn.com/tousu/show/id/1340244")</f>
        <v>http://ts.21cn.com/tousu/show/id/1340244</v>
      </c>
      <c r="F9110" s="2" t="s">
        <v>11</v>
      </c>
      <c r="G9110" s="2" t="s">
        <v>26247</v>
      </c>
      <c r="H9110" s="2" t="s">
        <v>26248</v>
      </c>
    </row>
    <row r="9111" spans="1:8" ht="25.05" customHeight="1" x14ac:dyDescent="0.25">
      <c r="A9111" s="2" t="s">
        <v>8</v>
      </c>
      <c r="B9111" s="2" t="str">
        <f>HYPERLINK("http://ts.21cn.com/tousu/show/id/1340245","给个下载链接，还款日要到了")</f>
        <v>给个下载链接，还款日要到了</v>
      </c>
      <c r="C9111" s="2" t="s">
        <v>9</v>
      </c>
      <c r="D9111" s="2" t="s">
        <v>10</v>
      </c>
      <c r="E9111" s="2" t="str">
        <f>HYPERLINK("http://ts.21cn.com/tousu/show/id/1340245","http://ts.21cn.com/tousu/show/id/1340245")</f>
        <v>http://ts.21cn.com/tousu/show/id/1340245</v>
      </c>
      <c r="F9111" s="2" t="s">
        <v>11</v>
      </c>
      <c r="G9111" s="2" t="s">
        <v>26245</v>
      </c>
      <c r="H9111" s="2" t="s">
        <v>26246</v>
      </c>
    </row>
    <row r="9112" spans="1:8" ht="25.05" customHeight="1" x14ac:dyDescent="0.25">
      <c r="A9112" s="2" t="s">
        <v>8</v>
      </c>
      <c r="B9112" s="2" t="str">
        <f>HYPERLINK("http://ts.21cn.com/tousu/show/id/1340233","黑心贷，来分期贷款")</f>
        <v>黑心贷，来分期贷款</v>
      </c>
      <c r="C9112" s="2" t="s">
        <v>9</v>
      </c>
      <c r="D9112" s="2" t="s">
        <v>10</v>
      </c>
      <c r="E9112" s="2" t="str">
        <f>HYPERLINK("http://ts.21cn.com/tousu/show/id/1340233","http://ts.21cn.com/tousu/show/id/1340233")</f>
        <v>http://ts.21cn.com/tousu/show/id/1340233</v>
      </c>
      <c r="F9112" s="2" t="s">
        <v>11</v>
      </c>
      <c r="G9112" s="2" t="s">
        <v>26243</v>
      </c>
      <c r="H9112" s="2" t="s">
        <v>26244</v>
      </c>
    </row>
    <row r="9113" spans="1:8" ht="25.05" customHeight="1" x14ac:dyDescent="0.25">
      <c r="A9113" s="2" t="s">
        <v>8</v>
      </c>
      <c r="B9113" s="2" t="str">
        <f>HYPERLINK("http://ts.21cn.com/tousu/show/id/1340247","债务重组，延长分期年限")</f>
        <v>债务重组，延长分期年限</v>
      </c>
      <c r="C9113" s="2" t="s">
        <v>9</v>
      </c>
      <c r="D9113" s="2" t="s">
        <v>10</v>
      </c>
      <c r="E9113" s="2" t="str">
        <f>HYPERLINK("http://ts.21cn.com/tousu/show/id/1340247","http://ts.21cn.com/tousu/show/id/1340247")</f>
        <v>http://ts.21cn.com/tousu/show/id/1340247</v>
      </c>
      <c r="F9113" s="2" t="s">
        <v>11</v>
      </c>
      <c r="G9113" s="2" t="s">
        <v>26241</v>
      </c>
      <c r="H9113" s="2" t="s">
        <v>26242</v>
      </c>
    </row>
    <row r="9114" spans="1:8" ht="25.05" customHeight="1" x14ac:dyDescent="0.25">
      <c r="A9114" s="2" t="s">
        <v>8</v>
      </c>
      <c r="B9114" s="2" t="str">
        <f>HYPERLINK("http://ts.21cn.com/tousu/show/id/1340248","聚福钱包未经许可私自扣款")</f>
        <v>聚福钱包未经许可私自扣款</v>
      </c>
      <c r="C9114" s="2" t="s">
        <v>9</v>
      </c>
      <c r="D9114" s="2" t="s">
        <v>10</v>
      </c>
      <c r="E9114" s="2" t="str">
        <f>HYPERLINK("http://ts.21cn.com/tousu/show/id/1340248","http://ts.21cn.com/tousu/show/id/1340248")</f>
        <v>http://ts.21cn.com/tousu/show/id/1340248</v>
      </c>
      <c r="F9114" s="2" t="s">
        <v>11</v>
      </c>
      <c r="G9114" s="2" t="s">
        <v>26239</v>
      </c>
      <c r="H9114" s="2" t="s">
        <v>26240</v>
      </c>
    </row>
    <row r="9115" spans="1:8" ht="25.05" customHeight="1" x14ac:dyDescent="0.25">
      <c r="A9115" s="2" t="s">
        <v>8</v>
      </c>
      <c r="B9115" s="2" t="str">
        <f>HYPERLINK("http://ts.21cn.com/tousu/show/id/1340249","支付宝不作为")</f>
        <v>支付宝不作为</v>
      </c>
      <c r="C9115" s="2" t="s">
        <v>9</v>
      </c>
      <c r="D9115" s="2" t="s">
        <v>10</v>
      </c>
      <c r="E9115" s="2" t="str">
        <f>HYPERLINK("http://ts.21cn.com/tousu/show/id/1340249","http://ts.21cn.com/tousu/show/id/1340249")</f>
        <v>http://ts.21cn.com/tousu/show/id/1340249</v>
      </c>
      <c r="F9115" s="2" t="s">
        <v>11</v>
      </c>
      <c r="G9115" s="2" t="s">
        <v>26237</v>
      </c>
      <c r="H9115" s="2" t="s">
        <v>26238</v>
      </c>
    </row>
    <row r="9116" spans="1:8" ht="25.05" customHeight="1" x14ac:dyDescent="0.25">
      <c r="A9116" s="2" t="s">
        <v>8</v>
      </c>
      <c r="B9116" s="2" t="str">
        <f>HYPERLINK("http://ts.21cn.com/tousu/show/id/1340234","小浦优客无古扣我银行卡钱")</f>
        <v>小浦优客无古扣我银行卡钱</v>
      </c>
      <c r="C9116" s="2" t="s">
        <v>9</v>
      </c>
      <c r="D9116" s="2" t="s">
        <v>10</v>
      </c>
      <c r="E9116" s="2" t="str">
        <f>HYPERLINK("http://ts.21cn.com/tousu/show/id/1340234","http://ts.21cn.com/tousu/show/id/1340234")</f>
        <v>http://ts.21cn.com/tousu/show/id/1340234</v>
      </c>
      <c r="F9116" s="2" t="s">
        <v>11</v>
      </c>
      <c r="G9116" s="2" t="s">
        <v>26235</v>
      </c>
      <c r="H9116" s="2" t="s">
        <v>26236</v>
      </c>
    </row>
    <row r="9117" spans="1:8" ht="25.05" customHeight="1" x14ac:dyDescent="0.25">
      <c r="A9117" s="2" t="s">
        <v>8</v>
      </c>
      <c r="B9117" s="2" t="str">
        <f>HYPERLINK("http://ts.21cn.com/tousu/show/id/1340250","中信银行信用卡中心恶意催款")</f>
        <v>中信银行信用卡中心恶意催款</v>
      </c>
      <c r="C9117" s="2" t="s">
        <v>9</v>
      </c>
      <c r="D9117" s="2" t="s">
        <v>10</v>
      </c>
      <c r="E9117" s="2" t="str">
        <f>HYPERLINK("http://ts.21cn.com/tousu/show/id/1340250","http://ts.21cn.com/tousu/show/id/1340250")</f>
        <v>http://ts.21cn.com/tousu/show/id/1340250</v>
      </c>
      <c r="F9117" s="2" t="s">
        <v>11</v>
      </c>
      <c r="G9117" s="2" t="s">
        <v>26233</v>
      </c>
      <c r="H9117" s="2" t="s">
        <v>26234</v>
      </c>
    </row>
    <row r="9118" spans="1:8" ht="25.05" customHeight="1" x14ac:dyDescent="0.25">
      <c r="A9118" s="2" t="s">
        <v>8</v>
      </c>
      <c r="B9118" s="2" t="str">
        <f>HYPERLINK("http://ts.21cn.com/tousu/show/id/1340251","51人品贷的高利息")</f>
        <v>51人品贷的高利息</v>
      </c>
      <c r="C9118" s="2" t="s">
        <v>9</v>
      </c>
      <c r="D9118" s="2" t="s">
        <v>10</v>
      </c>
      <c r="E9118" s="2" t="str">
        <f>HYPERLINK("http://ts.21cn.com/tousu/show/id/1340251","http://ts.21cn.com/tousu/show/id/1340251")</f>
        <v>http://ts.21cn.com/tousu/show/id/1340251</v>
      </c>
      <c r="F9118" s="2" t="s">
        <v>11</v>
      </c>
      <c r="G9118" s="2" t="s">
        <v>26231</v>
      </c>
      <c r="H9118" s="2" t="s">
        <v>26232</v>
      </c>
    </row>
    <row r="9119" spans="1:8" ht="25.05" customHeight="1" x14ac:dyDescent="0.25">
      <c r="A9119" s="2" t="s">
        <v>8</v>
      </c>
      <c r="B9119" s="2" t="str">
        <f>HYPERLINK("http://ts.21cn.com/tousu/show/id/1340223","要求安徽中融法律服务有限公司立即停止对对本人通讯录的骚扰")</f>
        <v>要求安徽中融法律服务有限公司立即停止对对本人通讯录的骚扰</v>
      </c>
      <c r="C9119" s="2" t="s">
        <v>9</v>
      </c>
      <c r="D9119" s="2" t="s">
        <v>10</v>
      </c>
      <c r="E9119" s="2" t="str">
        <f>HYPERLINK("http://ts.21cn.com/tousu/show/id/1340223","http://ts.21cn.com/tousu/show/id/1340223")</f>
        <v>http://ts.21cn.com/tousu/show/id/1340223</v>
      </c>
      <c r="F9119" s="2" t="s">
        <v>11</v>
      </c>
      <c r="G9119" s="2" t="s">
        <v>26229</v>
      </c>
      <c r="H9119" s="2" t="s">
        <v>26230</v>
      </c>
    </row>
    <row r="9120" spans="1:8" ht="25.05" customHeight="1" x14ac:dyDescent="0.25">
      <c r="A9120" s="2" t="s">
        <v>8</v>
      </c>
      <c r="B9120" s="2" t="str">
        <f>HYPERLINK("http://ts.21cn.com/tousu/show/id/1340252","不知情的情况下扣款")</f>
        <v>不知情的情况下扣款</v>
      </c>
      <c r="C9120" s="2" t="s">
        <v>9</v>
      </c>
      <c r="D9120" s="2" t="s">
        <v>10</v>
      </c>
      <c r="E9120" s="2" t="str">
        <f>HYPERLINK("http://ts.21cn.com/tousu/show/id/1340252","http://ts.21cn.com/tousu/show/id/1340252")</f>
        <v>http://ts.21cn.com/tousu/show/id/1340252</v>
      </c>
      <c r="F9120" s="2" t="s">
        <v>11</v>
      </c>
      <c r="G9120" s="2" t="s">
        <v>26227</v>
      </c>
      <c r="H9120" s="2" t="s">
        <v>26228</v>
      </c>
    </row>
    <row r="9121" spans="1:8" ht="25.05" customHeight="1" x14ac:dyDescent="0.25">
      <c r="A9121" s="2" t="s">
        <v>8</v>
      </c>
      <c r="B9121" s="2" t="str">
        <f>HYPERLINK("http://ts.21cn.com/tousu/show/id/1340254","喜鹊快贷还款日当天骚扰多个联系人")</f>
        <v>喜鹊快贷还款日当天骚扰多个联系人</v>
      </c>
      <c r="C9121" s="2" t="s">
        <v>9</v>
      </c>
      <c r="D9121" s="2" t="s">
        <v>10</v>
      </c>
      <c r="E9121" s="2" t="str">
        <f>HYPERLINK("http://ts.21cn.com/tousu/show/id/1340254","http://ts.21cn.com/tousu/show/id/1340254")</f>
        <v>http://ts.21cn.com/tousu/show/id/1340254</v>
      </c>
      <c r="F9121" s="2" t="s">
        <v>11</v>
      </c>
      <c r="G9121" s="2" t="s">
        <v>26225</v>
      </c>
      <c r="H9121" s="2" t="s">
        <v>26226</v>
      </c>
    </row>
    <row r="9122" spans="1:8" ht="25.05" customHeight="1" x14ac:dyDescent="0.25">
      <c r="A9122" s="2" t="s">
        <v>8</v>
      </c>
      <c r="B9122" s="2" t="str">
        <f>HYPERLINK("http://ts.21cn.com/tousu/show/id/1340255","马上消费金融旗下安逸花锁定个人账户")</f>
        <v>马上消费金融旗下安逸花锁定个人账户</v>
      </c>
      <c r="C9122" s="2" t="s">
        <v>34</v>
      </c>
      <c r="D9122" s="2" t="s">
        <v>10</v>
      </c>
      <c r="E9122" s="2" t="str">
        <f>HYPERLINK("http://ts.21cn.com/tousu/show/id/1340255","http://ts.21cn.com/tousu/show/id/1340255")</f>
        <v>http://ts.21cn.com/tousu/show/id/1340255</v>
      </c>
      <c r="F9122" s="2" t="s">
        <v>11</v>
      </c>
      <c r="G9122" s="2" t="s">
        <v>26224</v>
      </c>
      <c r="H9122" s="2" t="s">
        <v>26196</v>
      </c>
    </row>
    <row r="9123" spans="1:8" ht="25.05" customHeight="1" x14ac:dyDescent="0.25">
      <c r="A9123" s="2" t="s">
        <v>8</v>
      </c>
      <c r="B9123" s="2" t="str">
        <f>HYPERLINK("http://ts.21cn.com/tousu/show/id/1340256","信用飞阴阳合同暴力催收")</f>
        <v>信用飞阴阳合同暴力催收</v>
      </c>
      <c r="C9123" s="2" t="s">
        <v>9</v>
      </c>
      <c r="D9123" s="2" t="s">
        <v>10</v>
      </c>
      <c r="E9123" s="2" t="str">
        <f>HYPERLINK("http://ts.21cn.com/tousu/show/id/1340256","http://ts.21cn.com/tousu/show/id/1340256")</f>
        <v>http://ts.21cn.com/tousu/show/id/1340256</v>
      </c>
      <c r="F9123" s="2" t="s">
        <v>11</v>
      </c>
      <c r="G9123" s="2" t="s">
        <v>26222</v>
      </c>
      <c r="H9123" s="2" t="s">
        <v>26223</v>
      </c>
    </row>
    <row r="9124" spans="1:8" ht="25.05" customHeight="1" x14ac:dyDescent="0.25">
      <c r="A9124" s="2" t="s">
        <v>8</v>
      </c>
      <c r="B9124" s="2" t="str">
        <f>HYPERLINK("http://ts.21cn.com/tousu/show/id/1340257","微贷网永远找不到客服")</f>
        <v>微贷网永远找不到客服</v>
      </c>
      <c r="C9124" s="2" t="s">
        <v>9</v>
      </c>
      <c r="D9124" s="2" t="s">
        <v>10</v>
      </c>
      <c r="E9124" s="2" t="str">
        <f>HYPERLINK("http://ts.21cn.com/tousu/show/id/1340257","http://ts.21cn.com/tousu/show/id/1340257")</f>
        <v>http://ts.21cn.com/tousu/show/id/1340257</v>
      </c>
      <c r="F9124" s="2" t="s">
        <v>11</v>
      </c>
      <c r="G9124" s="2" t="s">
        <v>26220</v>
      </c>
      <c r="H9124" s="2" t="s">
        <v>26221</v>
      </c>
    </row>
    <row r="9125" spans="1:8" ht="25.05" customHeight="1" x14ac:dyDescent="0.25">
      <c r="A9125" s="2" t="s">
        <v>8</v>
      </c>
      <c r="B9125" s="2" t="str">
        <f>HYPERLINK("http://ts.21cn.com/tousu/show/id/1340253","虚假签收")</f>
        <v>虚假签收</v>
      </c>
      <c r="C9125" s="2" t="s">
        <v>9</v>
      </c>
      <c r="D9125" s="2" t="s">
        <v>10</v>
      </c>
      <c r="E9125" s="2" t="str">
        <f>HYPERLINK("http://ts.21cn.com/tousu/show/id/1340253","http://ts.21cn.com/tousu/show/id/1340253")</f>
        <v>http://ts.21cn.com/tousu/show/id/1340253</v>
      </c>
      <c r="F9125" s="2" t="s">
        <v>11</v>
      </c>
      <c r="G9125" s="2" t="s">
        <v>26218</v>
      </c>
      <c r="H9125" s="2" t="s">
        <v>26219</v>
      </c>
    </row>
    <row r="9126" spans="1:8" ht="25.05" customHeight="1" x14ac:dyDescent="0.25">
      <c r="A9126" s="2" t="s">
        <v>8</v>
      </c>
      <c r="B9126" s="2" t="str">
        <f>HYPERLINK("http://ts.21cn.com/tousu/show/id/1340259","智行火车票买票出错")</f>
        <v>智行火车票买票出错</v>
      </c>
      <c r="C9126" s="2" t="s">
        <v>9</v>
      </c>
      <c r="D9126" s="2" t="s">
        <v>10</v>
      </c>
      <c r="E9126" s="2" t="str">
        <f>HYPERLINK("http://ts.21cn.com/tousu/show/id/1340259","http://ts.21cn.com/tousu/show/id/1340259")</f>
        <v>http://ts.21cn.com/tousu/show/id/1340259</v>
      </c>
      <c r="F9126" s="2" t="s">
        <v>11</v>
      </c>
      <c r="G9126" s="2" t="s">
        <v>26216</v>
      </c>
      <c r="H9126" s="2" t="s">
        <v>26217</v>
      </c>
    </row>
    <row r="9127" spans="1:8" ht="25.05" customHeight="1" x14ac:dyDescent="0.25">
      <c r="A9127" s="2" t="s">
        <v>8</v>
      </c>
      <c r="B9127" s="2" t="str">
        <f>HYPERLINK("http://ts.21cn.com/tousu/show/id/1340260","催收骚扰及乱收费")</f>
        <v>催收骚扰及乱收费</v>
      </c>
      <c r="C9127" s="2" t="s">
        <v>9</v>
      </c>
      <c r="D9127" s="2" t="s">
        <v>10</v>
      </c>
      <c r="E9127" s="2" t="str">
        <f>HYPERLINK("http://ts.21cn.com/tousu/show/id/1340260","http://ts.21cn.com/tousu/show/id/1340260")</f>
        <v>http://ts.21cn.com/tousu/show/id/1340260</v>
      </c>
      <c r="F9127" s="2" t="s">
        <v>11</v>
      </c>
      <c r="G9127" s="2" t="s">
        <v>26214</v>
      </c>
      <c r="H9127" s="2" t="s">
        <v>26215</v>
      </c>
    </row>
    <row r="9128" spans="1:8" ht="25.05" customHeight="1" x14ac:dyDescent="0.25">
      <c r="A9128" s="2" t="s">
        <v>8</v>
      </c>
      <c r="B9128" s="2" t="str">
        <f>HYPERLINK("http://ts.21cn.com/tousu/show/id/1340261","钱站app年利率超24%")</f>
        <v>钱站app年利率超24%</v>
      </c>
      <c r="C9128" s="2" t="s">
        <v>34</v>
      </c>
      <c r="D9128" s="2" t="s">
        <v>10</v>
      </c>
      <c r="E9128" s="2" t="str">
        <f>HYPERLINK("http://ts.21cn.com/tousu/show/id/1340261","http://ts.21cn.com/tousu/show/id/1340261")</f>
        <v>http://ts.21cn.com/tousu/show/id/1340261</v>
      </c>
      <c r="F9128" s="2" t="s">
        <v>11</v>
      </c>
      <c r="G9128" s="2" t="s">
        <v>26212</v>
      </c>
      <c r="H9128" s="2" t="s">
        <v>26213</v>
      </c>
    </row>
    <row r="9129" spans="1:8" ht="25.05" customHeight="1" x14ac:dyDescent="0.25">
      <c r="A9129" s="2" t="s">
        <v>8</v>
      </c>
      <c r="B9129" s="2" t="str">
        <f>HYPERLINK("http://ts.21cn.com/tousu/show/id/1340262","招联金融暴力催收违规砍头代")</f>
        <v>招联金融暴力催收违规砍头代</v>
      </c>
      <c r="C9129" s="2" t="s">
        <v>9</v>
      </c>
      <c r="D9129" s="2" t="s">
        <v>10</v>
      </c>
      <c r="E9129" s="2" t="str">
        <f>HYPERLINK("http://ts.21cn.com/tousu/show/id/1340262","http://ts.21cn.com/tousu/show/id/1340262")</f>
        <v>http://ts.21cn.com/tousu/show/id/1340262</v>
      </c>
      <c r="F9129" s="2" t="s">
        <v>11</v>
      </c>
      <c r="G9129" s="2" t="s">
        <v>26209</v>
      </c>
      <c r="H9129" s="2" t="s">
        <v>26210</v>
      </c>
    </row>
    <row r="9130" spans="1:8" ht="25.05" customHeight="1" x14ac:dyDescent="0.25">
      <c r="A9130" s="2" t="s">
        <v>8</v>
      </c>
      <c r="B9130" s="2" t="str">
        <f>HYPERLINK("http://ts.21cn.com/tousu/show/id/1340264","招联金融暴力催收")</f>
        <v>招联金融暴力催收</v>
      </c>
      <c r="C9130" s="2" t="s">
        <v>9</v>
      </c>
      <c r="D9130" s="2" t="s">
        <v>10</v>
      </c>
      <c r="E9130" s="2" t="str">
        <f>HYPERLINK("http://ts.21cn.com/tousu/show/id/1340264","http://ts.21cn.com/tousu/show/id/1340264")</f>
        <v>http://ts.21cn.com/tousu/show/id/1340264</v>
      </c>
      <c r="F9130" s="2" t="s">
        <v>11</v>
      </c>
      <c r="G9130" s="2" t="s">
        <v>26209</v>
      </c>
      <c r="H9130" s="2" t="s">
        <v>26211</v>
      </c>
    </row>
    <row r="9131" spans="1:8" ht="25.05" customHeight="1" x14ac:dyDescent="0.25">
      <c r="A9131" s="2" t="s">
        <v>8</v>
      </c>
      <c r="B9131" s="2" t="str">
        <f>HYPERLINK("http://ts.21cn.com/tousu/show/id/1340263","要求结清，客服拒绝")</f>
        <v>要求结清，客服拒绝</v>
      </c>
      <c r="C9131" s="2" t="s">
        <v>9</v>
      </c>
      <c r="D9131" s="2" t="s">
        <v>10</v>
      </c>
      <c r="E9131" s="2" t="str">
        <f>HYPERLINK("http://ts.21cn.com/tousu/show/id/1340263","http://ts.21cn.com/tousu/show/id/1340263")</f>
        <v>http://ts.21cn.com/tousu/show/id/1340263</v>
      </c>
      <c r="F9131" s="2" t="s">
        <v>11</v>
      </c>
      <c r="G9131" s="2" t="s">
        <v>26207</v>
      </c>
      <c r="H9131" s="2" t="s">
        <v>26208</v>
      </c>
    </row>
    <row r="9132" spans="1:8" ht="25.05" customHeight="1" x14ac:dyDescent="0.25">
      <c r="A9132" s="2" t="s">
        <v>8</v>
      </c>
      <c r="B9132" s="2" t="str">
        <f>HYPERLINK("http://ts.21cn.com/tousu/show/id/1340265","悦爱情感虚假课程误导消费危害社会")</f>
        <v>悦爱情感虚假课程误导消费危害社会</v>
      </c>
      <c r="C9132" s="2" t="s">
        <v>9</v>
      </c>
      <c r="D9132" s="2" t="s">
        <v>10</v>
      </c>
      <c r="E9132" s="2" t="str">
        <f>HYPERLINK("http://ts.21cn.com/tousu/show/id/1340265","http://ts.21cn.com/tousu/show/id/1340265")</f>
        <v>http://ts.21cn.com/tousu/show/id/1340265</v>
      </c>
      <c r="F9132" s="2" t="s">
        <v>11</v>
      </c>
      <c r="G9132" s="2" t="s">
        <v>26205</v>
      </c>
      <c r="H9132" s="2" t="s">
        <v>26206</v>
      </c>
    </row>
    <row r="9133" spans="1:8" ht="25.05" customHeight="1" x14ac:dyDescent="0.25">
      <c r="A9133" s="2" t="s">
        <v>8</v>
      </c>
      <c r="B9133" s="2" t="str">
        <f>HYPERLINK("http://ts.21cn.com/tousu/show/id/1340266","中金支付云南国际信托信而富砍头息并且正常还款不让借款")</f>
        <v>中金支付云南国际信托信而富砍头息并且正常还款不让借款</v>
      </c>
      <c r="C9133" s="2" t="s">
        <v>9</v>
      </c>
      <c r="D9133" s="2" t="s">
        <v>10</v>
      </c>
      <c r="E9133" s="2" t="str">
        <f>HYPERLINK("http://ts.21cn.com/tousu/show/id/1340266","http://ts.21cn.com/tousu/show/id/1340266")</f>
        <v>http://ts.21cn.com/tousu/show/id/1340266</v>
      </c>
      <c r="F9133" s="2" t="s">
        <v>11</v>
      </c>
      <c r="G9133" s="2" t="s">
        <v>26203</v>
      </c>
      <c r="H9133" s="2" t="s">
        <v>26204</v>
      </c>
    </row>
    <row r="9134" spans="1:8" ht="25.05" customHeight="1" x14ac:dyDescent="0.25">
      <c r="A9134" s="2" t="s">
        <v>8</v>
      </c>
      <c r="B9134" s="2" t="str">
        <f>HYPERLINK("http://ts.21cn.com/tousu/show/id/1340267","晋商消费金融有限公司私自扣款")</f>
        <v>晋商消费金融有限公司私自扣款</v>
      </c>
      <c r="C9134" s="2" t="s">
        <v>9</v>
      </c>
      <c r="D9134" s="2" t="s">
        <v>10</v>
      </c>
      <c r="E9134" s="2" t="str">
        <f>HYPERLINK("http://ts.21cn.com/tousu/show/id/1340267","http://ts.21cn.com/tousu/show/id/1340267")</f>
        <v>http://ts.21cn.com/tousu/show/id/1340267</v>
      </c>
      <c r="F9134" s="2" t="s">
        <v>11</v>
      </c>
      <c r="G9134" s="2" t="s">
        <v>26201</v>
      </c>
      <c r="H9134" s="2" t="s">
        <v>26202</v>
      </c>
    </row>
    <row r="9135" spans="1:8" ht="25.05" customHeight="1" x14ac:dyDescent="0.25">
      <c r="A9135" s="2" t="s">
        <v>8</v>
      </c>
      <c r="B9135" s="2" t="str">
        <f>HYPERLINK("http://ts.21cn.com/tousu/show/id/1340268","微信支付冻结投诉")</f>
        <v>微信支付冻结投诉</v>
      </c>
      <c r="C9135" s="2" t="s">
        <v>9</v>
      </c>
      <c r="D9135" s="2" t="s">
        <v>10</v>
      </c>
      <c r="E9135" s="2" t="str">
        <f>HYPERLINK("http://ts.21cn.com/tousu/show/id/1340268","http://ts.21cn.com/tousu/show/id/1340268")</f>
        <v>http://ts.21cn.com/tousu/show/id/1340268</v>
      </c>
      <c r="F9135" s="2" t="s">
        <v>11</v>
      </c>
      <c r="G9135" s="2" t="s">
        <v>26199</v>
      </c>
      <c r="H9135" s="2" t="s">
        <v>26200</v>
      </c>
    </row>
    <row r="9136" spans="1:8" ht="25.05" customHeight="1" x14ac:dyDescent="0.25">
      <c r="A9136" s="2" t="s">
        <v>8</v>
      </c>
      <c r="B9136" s="2" t="str">
        <f>HYPERLINK("http://ts.21cn.com/tousu/show/id/1340269","百事普惠造艺科技恶意扣款")</f>
        <v>百事普惠造艺科技恶意扣款</v>
      </c>
      <c r="C9136" s="2" t="s">
        <v>9</v>
      </c>
      <c r="D9136" s="2" t="s">
        <v>10</v>
      </c>
      <c r="E9136" s="2" t="str">
        <f>HYPERLINK("http://ts.21cn.com/tousu/show/id/1340269","http://ts.21cn.com/tousu/show/id/1340269")</f>
        <v>http://ts.21cn.com/tousu/show/id/1340269</v>
      </c>
      <c r="F9136" s="2" t="s">
        <v>11</v>
      </c>
      <c r="G9136" s="2" t="s">
        <v>26197</v>
      </c>
      <c r="H9136" s="2" t="s">
        <v>26198</v>
      </c>
    </row>
    <row r="9137" spans="1:8" ht="25.05" customHeight="1" x14ac:dyDescent="0.25">
      <c r="A9137" s="2" t="s">
        <v>8</v>
      </c>
      <c r="B9137" s="2" t="str">
        <f>HYPERLINK("http://ts.21cn.com/tousu/show/id/1340270","百度金融旗下有钱花锁定个人账户")</f>
        <v>百度金融旗下有钱花锁定个人账户</v>
      </c>
      <c r="C9137" s="2" t="s">
        <v>34</v>
      </c>
      <c r="D9137" s="2" t="s">
        <v>10</v>
      </c>
      <c r="E9137" s="2" t="str">
        <f>HYPERLINK("http://ts.21cn.com/tousu/show/id/1340270","http://ts.21cn.com/tousu/show/id/1340270")</f>
        <v>http://ts.21cn.com/tousu/show/id/1340270</v>
      </c>
      <c r="F9137" s="2" t="s">
        <v>11</v>
      </c>
      <c r="G9137" s="2" t="s">
        <v>26195</v>
      </c>
      <c r="H9137" s="2" t="s">
        <v>26196</v>
      </c>
    </row>
    <row r="9138" spans="1:8" ht="25.05" customHeight="1" x14ac:dyDescent="0.25">
      <c r="A9138" s="2" t="s">
        <v>8</v>
      </c>
      <c r="B9138" s="2" t="str">
        <f>HYPERLINK("http://ts.21cn.com/tousu/show/id/1340271","未经允许直接扣费")</f>
        <v>未经允许直接扣费</v>
      </c>
      <c r="C9138" s="2" t="s">
        <v>9</v>
      </c>
      <c r="D9138" s="2" t="s">
        <v>10</v>
      </c>
      <c r="E9138" s="2" t="str">
        <f>HYPERLINK("http://ts.21cn.com/tousu/show/id/1340271","http://ts.21cn.com/tousu/show/id/1340271")</f>
        <v>http://ts.21cn.com/tousu/show/id/1340271</v>
      </c>
      <c r="F9138" s="2" t="s">
        <v>11</v>
      </c>
      <c r="G9138" s="2" t="s">
        <v>26193</v>
      </c>
      <c r="H9138" s="2" t="s">
        <v>26194</v>
      </c>
    </row>
    <row r="9139" spans="1:8" ht="25.05" customHeight="1" x14ac:dyDescent="0.25">
      <c r="A9139" s="2" t="s">
        <v>8</v>
      </c>
      <c r="B9139" s="2" t="str">
        <f>HYPERLINK("http://ts.21cn.com/tousu/show/id/1340275","金鸡下蛋")</f>
        <v>金鸡下蛋</v>
      </c>
      <c r="C9139" s="2" t="s">
        <v>9</v>
      </c>
      <c r="D9139" s="2" t="s">
        <v>10</v>
      </c>
      <c r="E9139" s="2" t="str">
        <f>HYPERLINK("http://ts.21cn.com/tousu/show/id/1340275","http://ts.21cn.com/tousu/show/id/1340275")</f>
        <v>http://ts.21cn.com/tousu/show/id/1340275</v>
      </c>
      <c r="F9139" s="2" t="s">
        <v>11</v>
      </c>
      <c r="G9139" s="2" t="s">
        <v>26191</v>
      </c>
      <c r="H9139" s="2" t="s">
        <v>26192</v>
      </c>
    </row>
    <row r="9140" spans="1:8" ht="25.05" customHeight="1" x14ac:dyDescent="0.25">
      <c r="A9140" s="2" t="s">
        <v>8</v>
      </c>
      <c r="B9140" s="2" t="str">
        <f>HYPERLINK("http://ts.21cn.com/tousu/show/id/1340277","交易平台不予退款")</f>
        <v>交易平台不予退款</v>
      </c>
      <c r="C9140" s="2" t="s">
        <v>9</v>
      </c>
      <c r="D9140" s="2" t="s">
        <v>10</v>
      </c>
      <c r="E9140" s="2" t="str">
        <f>HYPERLINK("http://ts.21cn.com/tousu/show/id/1340277","http://ts.21cn.com/tousu/show/id/1340277")</f>
        <v>http://ts.21cn.com/tousu/show/id/1340277</v>
      </c>
      <c r="F9140" s="2" t="s">
        <v>11</v>
      </c>
      <c r="G9140" s="2" t="s">
        <v>26189</v>
      </c>
      <c r="H9140" s="2" t="s">
        <v>26190</v>
      </c>
    </row>
    <row r="9141" spans="1:8" ht="25.05" customHeight="1" x14ac:dyDescent="0.25">
      <c r="A9141" s="2" t="s">
        <v>8</v>
      </c>
      <c r="B9141" s="2" t="str">
        <f>HYPERLINK("http://ts.21cn.com/tousu/show/id/1340279","点融魔借的催收不是人是畜生。")</f>
        <v>点融魔借的催收不是人是畜生。</v>
      </c>
      <c r="C9141" s="2" t="s">
        <v>9</v>
      </c>
      <c r="D9141" s="2" t="s">
        <v>10</v>
      </c>
      <c r="E9141" s="2" t="str">
        <f>HYPERLINK("http://ts.21cn.com/tousu/show/id/1340279","http://ts.21cn.com/tousu/show/id/1340279")</f>
        <v>http://ts.21cn.com/tousu/show/id/1340279</v>
      </c>
      <c r="F9141" s="2" t="s">
        <v>11</v>
      </c>
      <c r="G9141" s="2" t="s">
        <v>26187</v>
      </c>
      <c r="H9141" s="2" t="s">
        <v>26188</v>
      </c>
    </row>
    <row r="9142" spans="1:8" ht="25.05" customHeight="1" x14ac:dyDescent="0.25">
      <c r="A9142" s="2" t="s">
        <v>8</v>
      </c>
      <c r="B9142" s="2" t="str">
        <f>HYPERLINK("http://ts.21cn.com/tousu/show/id/1340278","你我贷软暴力催收")</f>
        <v>你我贷软暴力催收</v>
      </c>
      <c r="C9142" s="2" t="s">
        <v>9</v>
      </c>
      <c r="D9142" s="2" t="s">
        <v>10</v>
      </c>
      <c r="E9142" s="2" t="str">
        <f>HYPERLINK("http://ts.21cn.com/tousu/show/id/1340278","http://ts.21cn.com/tousu/show/id/1340278")</f>
        <v>http://ts.21cn.com/tousu/show/id/1340278</v>
      </c>
      <c r="F9142" s="2" t="s">
        <v>11</v>
      </c>
      <c r="G9142" s="2" t="s">
        <v>26185</v>
      </c>
      <c r="H9142" s="2" t="s">
        <v>26186</v>
      </c>
    </row>
    <row r="9143" spans="1:8" ht="25.05" customHeight="1" x14ac:dyDescent="0.25">
      <c r="A9143" s="2" t="s">
        <v>8</v>
      </c>
      <c r="B9143" s="2" t="str">
        <f>HYPERLINK("http://ts.21cn.com/tousu/show/id/1340280","玖富万卡害死人，本金早已经还完现在实在无力偿还高利息了")</f>
        <v>玖富万卡害死人，本金早已经还完现在实在无力偿还高利息了</v>
      </c>
      <c r="C9143" s="2" t="s">
        <v>9</v>
      </c>
      <c r="D9143" s="2" t="s">
        <v>10</v>
      </c>
      <c r="E9143" s="2" t="str">
        <f>HYPERLINK("http://ts.21cn.com/tousu/show/id/1340280","http://ts.21cn.com/tousu/show/id/1340280")</f>
        <v>http://ts.21cn.com/tousu/show/id/1340280</v>
      </c>
      <c r="F9143" s="2" t="s">
        <v>11</v>
      </c>
      <c r="G9143" s="2" t="s">
        <v>26183</v>
      </c>
      <c r="H9143" s="2" t="s">
        <v>26184</v>
      </c>
    </row>
    <row r="9144" spans="1:8" ht="25.05" customHeight="1" x14ac:dyDescent="0.25">
      <c r="A9144" s="2" t="s">
        <v>8</v>
      </c>
      <c r="B9144" s="2" t="str">
        <f>HYPERLINK("http://ts.21cn.com/tousu/show/id/1340282","京东金融暴力催收")</f>
        <v>京东金融暴力催收</v>
      </c>
      <c r="C9144" s="2" t="s">
        <v>9</v>
      </c>
      <c r="D9144" s="2" t="s">
        <v>10</v>
      </c>
      <c r="E9144" s="2" t="str">
        <f>HYPERLINK("http://ts.21cn.com/tousu/show/id/1340282","http://ts.21cn.com/tousu/show/id/1340282")</f>
        <v>http://ts.21cn.com/tousu/show/id/1340282</v>
      </c>
      <c r="F9144" s="2" t="s">
        <v>11</v>
      </c>
      <c r="G9144" s="2" t="s">
        <v>26181</v>
      </c>
      <c r="H9144" s="2" t="s">
        <v>26182</v>
      </c>
    </row>
    <row r="9145" spans="1:8" ht="25.05" customHeight="1" x14ac:dyDescent="0.25">
      <c r="A9145" s="2" t="s">
        <v>8</v>
      </c>
      <c r="B9145" s="2" t="str">
        <f>HYPERLINK("http://ts.21cn.com/tousu/show/id/1340281","麦子金服不合理催收")</f>
        <v>麦子金服不合理催收</v>
      </c>
      <c r="C9145" s="2" t="s">
        <v>9</v>
      </c>
      <c r="D9145" s="2" t="s">
        <v>10</v>
      </c>
      <c r="E9145" s="2" t="str">
        <f>HYPERLINK("http://ts.21cn.com/tousu/show/id/1340281","http://ts.21cn.com/tousu/show/id/1340281")</f>
        <v>http://ts.21cn.com/tousu/show/id/1340281</v>
      </c>
      <c r="F9145" s="2" t="s">
        <v>11</v>
      </c>
      <c r="G9145" s="2" t="s">
        <v>26179</v>
      </c>
      <c r="H9145" s="2" t="s">
        <v>26180</v>
      </c>
    </row>
    <row r="9146" spans="1:8" ht="25.05" customHeight="1" x14ac:dyDescent="0.25">
      <c r="A9146" s="2" t="s">
        <v>8</v>
      </c>
      <c r="B9146" s="2" t="str">
        <f>HYPERLINK("http://ts.21cn.com/tousu/show/id/1340283","虚假合同，变相收费")</f>
        <v>虚假合同，变相收费</v>
      </c>
      <c r="C9146" s="2" t="s">
        <v>9</v>
      </c>
      <c r="D9146" s="2" t="s">
        <v>10</v>
      </c>
      <c r="E9146" s="2" t="str">
        <f>HYPERLINK("http://ts.21cn.com/tousu/show/id/1340283","http://ts.21cn.com/tousu/show/id/1340283")</f>
        <v>http://ts.21cn.com/tousu/show/id/1340283</v>
      </c>
      <c r="F9146" s="2" t="s">
        <v>11</v>
      </c>
      <c r="G9146" s="2" t="s">
        <v>26177</v>
      </c>
      <c r="H9146" s="2" t="s">
        <v>26178</v>
      </c>
    </row>
    <row r="9147" spans="1:8" ht="25.05" customHeight="1" x14ac:dyDescent="0.25">
      <c r="A9147" s="2" t="s">
        <v>8</v>
      </c>
      <c r="B9147" s="2" t="str">
        <f>HYPERLINK("http://ts.21cn.com/tousu/show/id/1340285","乱暴力")</f>
        <v>乱暴力</v>
      </c>
      <c r="C9147" s="2" t="s">
        <v>9</v>
      </c>
      <c r="D9147" s="2" t="s">
        <v>10</v>
      </c>
      <c r="E9147" s="2" t="str">
        <f>HYPERLINK("http://ts.21cn.com/tousu/show/id/1340285","http://ts.21cn.com/tousu/show/id/1340285")</f>
        <v>http://ts.21cn.com/tousu/show/id/1340285</v>
      </c>
      <c r="F9147" s="2" t="s">
        <v>11</v>
      </c>
      <c r="G9147" s="2" t="s">
        <v>26175</v>
      </c>
      <c r="H9147" s="2" t="s">
        <v>26176</v>
      </c>
    </row>
    <row r="9148" spans="1:8" ht="25.05" customHeight="1" x14ac:dyDescent="0.25">
      <c r="A9148" s="2" t="s">
        <v>8</v>
      </c>
      <c r="B9148" s="2" t="str">
        <f>HYPERLINK("http://ts.21cn.com/tousu/show/id/1340287","钱伴恐吓威胁")</f>
        <v>钱伴恐吓威胁</v>
      </c>
      <c r="C9148" s="2" t="s">
        <v>9</v>
      </c>
      <c r="D9148" s="2" t="s">
        <v>10</v>
      </c>
      <c r="E9148" s="2" t="str">
        <f>HYPERLINK("http://ts.21cn.com/tousu/show/id/1340287","http://ts.21cn.com/tousu/show/id/1340287")</f>
        <v>http://ts.21cn.com/tousu/show/id/1340287</v>
      </c>
      <c r="F9148" s="2" t="s">
        <v>11</v>
      </c>
      <c r="G9148" s="2" t="s">
        <v>26173</v>
      </c>
      <c r="H9148" s="2" t="s">
        <v>26174</v>
      </c>
    </row>
    <row r="9149" spans="1:8" ht="25.05" customHeight="1" x14ac:dyDescent="0.25">
      <c r="A9149" s="2" t="s">
        <v>8</v>
      </c>
      <c r="B9149" s="2" t="str">
        <f>HYPERLINK("http://ts.21cn.com/tousu/show/id/1340289","投诉遇见单车拒绝退押金")</f>
        <v>投诉遇见单车拒绝退押金</v>
      </c>
      <c r="C9149" s="2" t="s">
        <v>9</v>
      </c>
      <c r="D9149" s="2" t="s">
        <v>10</v>
      </c>
      <c r="E9149" s="2" t="str">
        <f>HYPERLINK("http://ts.21cn.com/tousu/show/id/1340289","http://ts.21cn.com/tousu/show/id/1340289")</f>
        <v>http://ts.21cn.com/tousu/show/id/1340289</v>
      </c>
      <c r="F9149" s="2" t="s">
        <v>11</v>
      </c>
      <c r="G9149" s="2" t="s">
        <v>26171</v>
      </c>
      <c r="H9149" s="2" t="s">
        <v>26172</v>
      </c>
    </row>
    <row r="9150" spans="1:8" ht="25.05" customHeight="1" x14ac:dyDescent="0.25">
      <c r="A9150" s="2" t="s">
        <v>8</v>
      </c>
      <c r="B9150" s="2" t="str">
        <f>HYPERLINK("http://ts.21cn.com/tousu/show/id/1340290","爱彼迎接入商家素质低，平台不处理")</f>
        <v>爱彼迎接入商家素质低，平台不处理</v>
      </c>
      <c r="C9150" s="2" t="s">
        <v>9</v>
      </c>
      <c r="D9150" s="2" t="s">
        <v>10</v>
      </c>
      <c r="E9150" s="2" t="str">
        <f>HYPERLINK("http://ts.21cn.com/tousu/show/id/1340290","http://ts.21cn.com/tousu/show/id/1340290")</f>
        <v>http://ts.21cn.com/tousu/show/id/1340290</v>
      </c>
      <c r="F9150" s="2" t="s">
        <v>11</v>
      </c>
      <c r="G9150" s="2" t="s">
        <v>26169</v>
      </c>
      <c r="H9150" s="2" t="s">
        <v>26170</v>
      </c>
    </row>
    <row r="9151" spans="1:8" ht="25.05" customHeight="1" x14ac:dyDescent="0.25">
      <c r="A9151" s="2" t="s">
        <v>8</v>
      </c>
      <c r="B9151" s="2" t="str">
        <f>HYPERLINK("http://ts.21cn.com/tousu/show/id/1338631","请中国银联，银生宝，瀚银科技，敏付科技，航天电子，维护客户权益，审查商户订单信息给我退款，谢谢！")</f>
        <v>请中国银联，银生宝，瀚银科技，敏付科技，航天电子，维护客户权益，审查商户订单信息给我退款，谢谢！</v>
      </c>
      <c r="C9151" s="2" t="s">
        <v>9</v>
      </c>
      <c r="D9151" s="2" t="s">
        <v>10</v>
      </c>
      <c r="E9151" s="2" t="str">
        <f>HYPERLINK("http://ts.21cn.com/tousu/show/id/1338631","http://ts.21cn.com/tousu/show/id/1338631")</f>
        <v>http://ts.21cn.com/tousu/show/id/1338631</v>
      </c>
      <c r="F9151" s="2" t="s">
        <v>11</v>
      </c>
      <c r="G9151" s="2" t="s">
        <v>26167</v>
      </c>
      <c r="H9151" s="2" t="s">
        <v>26168</v>
      </c>
    </row>
    <row r="9152" spans="1:8" ht="25.05" customHeight="1" x14ac:dyDescent="0.25">
      <c r="A9152" s="2" t="s">
        <v>8</v>
      </c>
      <c r="B9152" s="2" t="str">
        <f>HYPERLINK("http://ts.21cn.com/tousu/show/id/1340291","立借暴力催收")</f>
        <v>立借暴力催收</v>
      </c>
      <c r="C9152" s="2" t="s">
        <v>9</v>
      </c>
      <c r="D9152" s="2" t="s">
        <v>10</v>
      </c>
      <c r="E9152" s="2" t="str">
        <f>HYPERLINK("http://ts.21cn.com/tousu/show/id/1340291","http://ts.21cn.com/tousu/show/id/1340291")</f>
        <v>http://ts.21cn.com/tousu/show/id/1340291</v>
      </c>
      <c r="F9152" s="2" t="s">
        <v>11</v>
      </c>
      <c r="G9152" s="2" t="s">
        <v>26165</v>
      </c>
      <c r="H9152" s="2" t="s">
        <v>26166</v>
      </c>
    </row>
    <row r="9153" spans="1:8" ht="25.05" customHeight="1" x14ac:dyDescent="0.25">
      <c r="A9153" s="2" t="s">
        <v>8</v>
      </c>
      <c r="B9153" s="2" t="str">
        <f>HYPERLINK("http://ts.21cn.com/tousu/show/id/1340292","易美付贷款强制保险费用高，贷款利率高")</f>
        <v>易美付贷款强制保险费用高，贷款利率高</v>
      </c>
      <c r="C9153" s="2" t="s">
        <v>9</v>
      </c>
      <c r="D9153" s="2" t="s">
        <v>10</v>
      </c>
      <c r="E9153" s="2" t="str">
        <f>HYPERLINK("http://ts.21cn.com/tousu/show/id/1340292","http://ts.21cn.com/tousu/show/id/1340292")</f>
        <v>http://ts.21cn.com/tousu/show/id/1340292</v>
      </c>
      <c r="F9153" s="2" t="s">
        <v>11</v>
      </c>
      <c r="G9153" s="2" t="s">
        <v>26163</v>
      </c>
      <c r="H9153" s="2" t="s">
        <v>26164</v>
      </c>
    </row>
    <row r="9154" spans="1:8" ht="25.05" customHeight="1" x14ac:dyDescent="0.25">
      <c r="A9154" s="2" t="s">
        <v>8</v>
      </c>
      <c r="B9154" s="2" t="str">
        <f>HYPERLINK("http://ts.21cn.com/tousu/show/id/1340293","小象优品高利贷，暴力催收，骚扰辱骂联系人")</f>
        <v>小象优品高利贷，暴力催收，骚扰辱骂联系人</v>
      </c>
      <c r="C9154" s="2" t="s">
        <v>9</v>
      </c>
      <c r="D9154" s="2" t="s">
        <v>10</v>
      </c>
      <c r="E9154" s="2" t="str">
        <f>HYPERLINK("http://ts.21cn.com/tousu/show/id/1340293","http://ts.21cn.com/tousu/show/id/1340293")</f>
        <v>http://ts.21cn.com/tousu/show/id/1340293</v>
      </c>
      <c r="F9154" s="2" t="s">
        <v>11</v>
      </c>
      <c r="G9154" s="2" t="s">
        <v>26161</v>
      </c>
      <c r="H9154" s="2" t="s">
        <v>26162</v>
      </c>
    </row>
    <row r="9155" spans="1:8" ht="25.05" customHeight="1" x14ac:dyDescent="0.25">
      <c r="A9155" s="2" t="s">
        <v>8</v>
      </c>
      <c r="B9155" s="2" t="str">
        <f>HYPERLINK("http://ts.21cn.com/tousu/show/id/1340274","件丢失，没有赔偿")</f>
        <v>件丢失，没有赔偿</v>
      </c>
      <c r="C9155" s="2" t="s">
        <v>9</v>
      </c>
      <c r="D9155" s="2" t="s">
        <v>10</v>
      </c>
      <c r="E9155" s="2" t="str">
        <f>HYPERLINK("http://ts.21cn.com/tousu/show/id/1340274","http://ts.21cn.com/tousu/show/id/1340274")</f>
        <v>http://ts.21cn.com/tousu/show/id/1340274</v>
      </c>
      <c r="F9155" s="2" t="s">
        <v>11</v>
      </c>
      <c r="G9155" s="2" t="s">
        <v>26159</v>
      </c>
      <c r="H9155" s="2" t="s">
        <v>26160</v>
      </c>
    </row>
    <row r="9156" spans="1:8" ht="25.05" customHeight="1" x14ac:dyDescent="0.25">
      <c r="A9156" s="2" t="s">
        <v>8</v>
      </c>
      <c r="B9156" s="2" t="str">
        <f>HYPERLINK("http://ts.21cn.com/tousu/show/id/1340295","小浦优客未经同意扣款")</f>
        <v>小浦优客未经同意扣款</v>
      </c>
      <c r="C9156" s="2" t="s">
        <v>9</v>
      </c>
      <c r="D9156" s="2" t="s">
        <v>10</v>
      </c>
      <c r="E9156" s="2" t="str">
        <f>HYPERLINK("http://ts.21cn.com/tousu/show/id/1340295","http://ts.21cn.com/tousu/show/id/1340295")</f>
        <v>http://ts.21cn.com/tousu/show/id/1340295</v>
      </c>
      <c r="F9156" s="2" t="s">
        <v>11</v>
      </c>
      <c r="G9156" s="2" t="s">
        <v>26158</v>
      </c>
      <c r="H9156" s="2" t="s">
        <v>11904</v>
      </c>
    </row>
    <row r="9157" spans="1:8" ht="25.05" customHeight="1" x14ac:dyDescent="0.25">
      <c r="A9157" s="2" t="s">
        <v>8</v>
      </c>
      <c r="B9157" s="2" t="str">
        <f>HYPERLINK("http://ts.21cn.com/tousu/show/id/1340296","中信银行联手百度有钱花非法获取通讯录联系人进行骚扰")</f>
        <v>中信银行联手百度有钱花非法获取通讯录联系人进行骚扰</v>
      </c>
      <c r="C9157" s="2" t="s">
        <v>9</v>
      </c>
      <c r="D9157" s="2" t="s">
        <v>10</v>
      </c>
      <c r="E9157" s="2" t="str">
        <f>HYPERLINK("http://ts.21cn.com/tousu/show/id/1340296","http://ts.21cn.com/tousu/show/id/1340296")</f>
        <v>http://ts.21cn.com/tousu/show/id/1340296</v>
      </c>
      <c r="F9157" s="2" t="s">
        <v>11</v>
      </c>
      <c r="G9157" s="2" t="s">
        <v>26156</v>
      </c>
      <c r="H9157" s="2" t="s">
        <v>26157</v>
      </c>
    </row>
    <row r="9158" spans="1:8" ht="25.05" customHeight="1" x14ac:dyDescent="0.25">
      <c r="A9158" s="2" t="s">
        <v>8</v>
      </c>
      <c r="B9158" s="2" t="str">
        <f>HYPERLINK("http://ts.21cn.com/tousu/show/id/1340294","点融魔借APP更新导致逾期")</f>
        <v>点融魔借APP更新导致逾期</v>
      </c>
      <c r="C9158" s="2" t="s">
        <v>9</v>
      </c>
      <c r="D9158" s="2" t="s">
        <v>10</v>
      </c>
      <c r="E9158" s="2" t="str">
        <f>HYPERLINK("http://ts.21cn.com/tousu/show/id/1340294","http://ts.21cn.com/tousu/show/id/1340294")</f>
        <v>http://ts.21cn.com/tousu/show/id/1340294</v>
      </c>
      <c r="F9158" s="2" t="s">
        <v>11</v>
      </c>
      <c r="G9158" s="2" t="s">
        <v>26154</v>
      </c>
      <c r="H9158" s="2" t="s">
        <v>26155</v>
      </c>
    </row>
    <row r="9159" spans="1:8" ht="25.05" customHeight="1" x14ac:dyDescent="0.25">
      <c r="A9159" s="2" t="s">
        <v>8</v>
      </c>
      <c r="B9159" s="2" t="str">
        <f>HYPERLINK("http://ts.21cn.com/tousu/show/id/1340299","还款日当天骚扰多个联系人恐吓威胁")</f>
        <v>还款日当天骚扰多个联系人恐吓威胁</v>
      </c>
      <c r="C9159" s="2" t="s">
        <v>9</v>
      </c>
      <c r="D9159" s="2" t="s">
        <v>10</v>
      </c>
      <c r="E9159" s="2" t="str">
        <f>HYPERLINK("http://ts.21cn.com/tousu/show/id/1340299","http://ts.21cn.com/tousu/show/id/1340299")</f>
        <v>http://ts.21cn.com/tousu/show/id/1340299</v>
      </c>
      <c r="F9159" s="2" t="s">
        <v>11</v>
      </c>
      <c r="G9159" s="2" t="s">
        <v>26152</v>
      </c>
      <c r="H9159" s="2" t="s">
        <v>26153</v>
      </c>
    </row>
    <row r="9160" spans="1:8" ht="25.05" customHeight="1" x14ac:dyDescent="0.25">
      <c r="A9160" s="2" t="s">
        <v>8</v>
      </c>
      <c r="B9160" s="2" t="str">
        <f>HYPERLINK("http://ts.21cn.com/tousu/show/id/1340301","车辆和阐述失实")</f>
        <v>车辆和阐述失实</v>
      </c>
      <c r="C9160" s="2" t="s">
        <v>9</v>
      </c>
      <c r="D9160" s="2" t="s">
        <v>10</v>
      </c>
      <c r="E9160" s="2" t="str">
        <f>HYPERLINK("http://ts.21cn.com/tousu/show/id/1340301","http://ts.21cn.com/tousu/show/id/1340301")</f>
        <v>http://ts.21cn.com/tousu/show/id/1340301</v>
      </c>
      <c r="F9160" s="2" t="s">
        <v>11</v>
      </c>
      <c r="G9160" s="2" t="s">
        <v>26150</v>
      </c>
      <c r="H9160" s="2" t="s">
        <v>26151</v>
      </c>
    </row>
    <row r="9161" spans="1:8" ht="25.05" customHeight="1" x14ac:dyDescent="0.25">
      <c r="A9161" s="2" t="s">
        <v>8</v>
      </c>
      <c r="B9161" s="2" t="str">
        <f>HYPERLINK("http://ts.21cn.com/tousu/show/id/1340300","北京友缘在线网络科技有限公司乱扣费")</f>
        <v>北京友缘在线网络科技有限公司乱扣费</v>
      </c>
      <c r="C9161" s="2" t="s">
        <v>9</v>
      </c>
      <c r="D9161" s="2" t="s">
        <v>10</v>
      </c>
      <c r="E9161" s="2" t="str">
        <f>HYPERLINK("http://ts.21cn.com/tousu/show/id/1340300","http://ts.21cn.com/tousu/show/id/1340300")</f>
        <v>http://ts.21cn.com/tousu/show/id/1340300</v>
      </c>
      <c r="F9161" s="2" t="s">
        <v>11</v>
      </c>
      <c r="G9161" s="2" t="s">
        <v>26148</v>
      </c>
      <c r="H9161" s="2" t="s">
        <v>26149</v>
      </c>
    </row>
    <row r="9162" spans="1:8" ht="25.05" customHeight="1" x14ac:dyDescent="0.25">
      <c r="A9162" s="2" t="s">
        <v>8</v>
      </c>
      <c r="B9162" s="2" t="str">
        <f>HYPERLINK("http://ts.21cn.com/tousu/show/id/1340302","短信骚扰")</f>
        <v>短信骚扰</v>
      </c>
      <c r="C9162" s="2" t="s">
        <v>9</v>
      </c>
      <c r="D9162" s="2" t="s">
        <v>10</v>
      </c>
      <c r="E9162" s="2" t="str">
        <f>HYPERLINK("http://ts.21cn.com/tousu/show/id/1340302","http://ts.21cn.com/tousu/show/id/1340302")</f>
        <v>http://ts.21cn.com/tousu/show/id/1340302</v>
      </c>
      <c r="F9162" s="2" t="s">
        <v>11</v>
      </c>
      <c r="G9162" s="2" t="s">
        <v>26146</v>
      </c>
      <c r="H9162" s="2" t="s">
        <v>26147</v>
      </c>
    </row>
    <row r="9163" spans="1:8" ht="25.05" customHeight="1" x14ac:dyDescent="0.25">
      <c r="A9163" s="2" t="s">
        <v>8</v>
      </c>
      <c r="B9163" s="2" t="str">
        <f>HYPERLINK("http://ts.21cn.com/tousu/show/id/1340303","浦发银行短信轰炸本人和紧急联系人")</f>
        <v>浦发银行短信轰炸本人和紧急联系人</v>
      </c>
      <c r="C9163" s="2" t="s">
        <v>9</v>
      </c>
      <c r="D9163" s="2" t="s">
        <v>10</v>
      </c>
      <c r="E9163" s="2" t="str">
        <f>HYPERLINK("http://ts.21cn.com/tousu/show/id/1340303","http://ts.21cn.com/tousu/show/id/1340303")</f>
        <v>http://ts.21cn.com/tousu/show/id/1340303</v>
      </c>
      <c r="F9163" s="2" t="s">
        <v>11</v>
      </c>
      <c r="G9163" s="2" t="s">
        <v>26144</v>
      </c>
      <c r="H9163" s="2" t="s">
        <v>26145</v>
      </c>
    </row>
    <row r="9164" spans="1:8" ht="25.05" customHeight="1" x14ac:dyDescent="0.25">
      <c r="A9164" s="2" t="s">
        <v>8</v>
      </c>
      <c r="B9164" s="2" t="str">
        <f>HYPERLINK("http://ts.21cn.com/tousu/show/id/1340276","卡牛瑞贷贷款后无缘无故扣款上千元，套路贷")</f>
        <v>卡牛瑞贷贷款后无缘无故扣款上千元，套路贷</v>
      </c>
      <c r="C9164" s="2" t="s">
        <v>9</v>
      </c>
      <c r="D9164" s="2" t="s">
        <v>10</v>
      </c>
      <c r="E9164" s="2" t="str">
        <f>HYPERLINK("http://ts.21cn.com/tousu/show/id/1340276","http://ts.21cn.com/tousu/show/id/1340276")</f>
        <v>http://ts.21cn.com/tousu/show/id/1340276</v>
      </c>
      <c r="F9164" s="2" t="s">
        <v>11</v>
      </c>
      <c r="G9164" s="2" t="s">
        <v>26142</v>
      </c>
      <c r="H9164" s="2" t="s">
        <v>26143</v>
      </c>
    </row>
    <row r="9165" spans="1:8" ht="25.05" customHeight="1" x14ac:dyDescent="0.25">
      <c r="A9165" s="2" t="s">
        <v>8</v>
      </c>
      <c r="B9165" s="2" t="str">
        <f>HYPERLINK("http://ts.21cn.com/tousu/show/id/1340305","要求小赢卡贷解释利率")</f>
        <v>要求小赢卡贷解释利率</v>
      </c>
      <c r="C9165" s="2" t="s">
        <v>34</v>
      </c>
      <c r="D9165" s="2" t="s">
        <v>10</v>
      </c>
      <c r="E9165" s="2" t="str">
        <f>HYPERLINK("http://ts.21cn.com/tousu/show/id/1340305","http://ts.21cn.com/tousu/show/id/1340305")</f>
        <v>http://ts.21cn.com/tousu/show/id/1340305</v>
      </c>
      <c r="F9165" s="2" t="s">
        <v>11</v>
      </c>
      <c r="G9165" s="2" t="s">
        <v>26140</v>
      </c>
      <c r="H9165" s="2" t="s">
        <v>26141</v>
      </c>
    </row>
    <row r="9166" spans="1:8" ht="25.05" customHeight="1" x14ac:dyDescent="0.25">
      <c r="A9166" s="2" t="s">
        <v>8</v>
      </c>
      <c r="B9166" s="2" t="str">
        <f>HYPERLINK("http://ts.21cn.com/tousu/show/id/1340288","核实贷款真实性")</f>
        <v>核实贷款真实性</v>
      </c>
      <c r="C9166" s="2" t="s">
        <v>9</v>
      </c>
      <c r="D9166" s="2" t="s">
        <v>10</v>
      </c>
      <c r="E9166" s="2" t="str">
        <f>HYPERLINK("http://ts.21cn.com/tousu/show/id/1340288","http://ts.21cn.com/tousu/show/id/1340288")</f>
        <v>http://ts.21cn.com/tousu/show/id/1340288</v>
      </c>
      <c r="F9166" s="2" t="s">
        <v>11</v>
      </c>
      <c r="G9166" s="2" t="s">
        <v>26138</v>
      </c>
      <c r="H9166" s="2" t="s">
        <v>26139</v>
      </c>
    </row>
    <row r="9167" spans="1:8" ht="25.05" customHeight="1" x14ac:dyDescent="0.25">
      <c r="A9167" s="2" t="s">
        <v>8</v>
      </c>
      <c r="B9167" s="2" t="str">
        <f>HYPERLINK("http://ts.21cn.com/tousu/show/id/1340306","拍拍贷")</f>
        <v>拍拍贷</v>
      </c>
      <c r="C9167" s="2" t="s">
        <v>9</v>
      </c>
      <c r="D9167" s="2" t="s">
        <v>10</v>
      </c>
      <c r="E9167" s="2" t="str">
        <f>HYPERLINK("http://ts.21cn.com/tousu/show/id/1340306","http://ts.21cn.com/tousu/show/id/1340306")</f>
        <v>http://ts.21cn.com/tousu/show/id/1340306</v>
      </c>
      <c r="F9167" s="2" t="s">
        <v>11</v>
      </c>
      <c r="G9167" s="2" t="s">
        <v>26136</v>
      </c>
      <c r="H9167" s="2" t="s">
        <v>26137</v>
      </c>
    </row>
    <row r="9168" spans="1:8" ht="25.05" customHeight="1" x14ac:dyDescent="0.25">
      <c r="A9168" s="2" t="s">
        <v>8</v>
      </c>
      <c r="B9168" s="2" t="str">
        <f>HYPERLINK("http://ts.21cn.com/tousu/show/id/1340307","光大银行办理光大e务室扣除业务费300，办理不免免费白金卡")</f>
        <v>光大银行办理光大e务室扣除业务费300，办理不免免费白金卡</v>
      </c>
      <c r="C9168" s="2" t="s">
        <v>34</v>
      </c>
      <c r="D9168" s="2" t="s">
        <v>10</v>
      </c>
      <c r="E9168" s="2" t="str">
        <f>HYPERLINK("http://ts.21cn.com/tousu/show/id/1340307","http://ts.21cn.com/tousu/show/id/1340307")</f>
        <v>http://ts.21cn.com/tousu/show/id/1340307</v>
      </c>
      <c r="F9168" s="2" t="s">
        <v>11</v>
      </c>
      <c r="G9168" s="2" t="s">
        <v>26134</v>
      </c>
      <c r="H9168" s="2" t="s">
        <v>26135</v>
      </c>
    </row>
    <row r="9169" spans="1:8" ht="25.05" customHeight="1" x14ac:dyDescent="0.25">
      <c r="A9169" s="2" t="s">
        <v>8</v>
      </c>
      <c r="B9169" s="2" t="str">
        <f>HYPERLINK("http://ts.21cn.com/tousu/show/id/1340308","凡普信高利贷砍头息阴阳合同")</f>
        <v>凡普信高利贷砍头息阴阳合同</v>
      </c>
      <c r="C9169" s="2" t="s">
        <v>9</v>
      </c>
      <c r="D9169" s="2" t="s">
        <v>10</v>
      </c>
      <c r="E9169" s="2" t="str">
        <f>HYPERLINK("http://ts.21cn.com/tousu/show/id/1340308","http://ts.21cn.com/tousu/show/id/1340308")</f>
        <v>http://ts.21cn.com/tousu/show/id/1340308</v>
      </c>
      <c r="F9169" s="2" t="s">
        <v>11</v>
      </c>
      <c r="G9169" s="2" t="s">
        <v>26132</v>
      </c>
      <c r="H9169" s="2" t="s">
        <v>26133</v>
      </c>
    </row>
    <row r="9170" spans="1:8" ht="25.05" customHeight="1" x14ac:dyDescent="0.25">
      <c r="A9170" s="2" t="s">
        <v>8</v>
      </c>
      <c r="B9170" s="2" t="str">
        <f>HYPERLINK("http://ts.21cn.com/tousu/show/id/1340310","威胁我，都说了过段时间在处理")</f>
        <v>威胁我，都说了过段时间在处理</v>
      </c>
      <c r="C9170" s="2" t="s">
        <v>9</v>
      </c>
      <c r="D9170" s="2" t="s">
        <v>10</v>
      </c>
      <c r="E9170" s="2" t="str">
        <f>HYPERLINK("http://ts.21cn.com/tousu/show/id/1340310","http://ts.21cn.com/tousu/show/id/1340310")</f>
        <v>http://ts.21cn.com/tousu/show/id/1340310</v>
      </c>
      <c r="F9170" s="2" t="s">
        <v>11</v>
      </c>
      <c r="G9170" s="2" t="s">
        <v>26130</v>
      </c>
      <c r="H9170" s="2" t="s">
        <v>26131</v>
      </c>
    </row>
    <row r="9171" spans="1:8" ht="25.05" customHeight="1" x14ac:dyDescent="0.25">
      <c r="A9171" s="2" t="s">
        <v>8</v>
      </c>
      <c r="B9171" s="2" t="str">
        <f>HYPERLINK("http://ts.21cn.com/tousu/show/id/1340309","小赢卡贷是超级高利贷，强制分12期还款")</f>
        <v>小赢卡贷是超级高利贷，强制分12期还款</v>
      </c>
      <c r="C9171" s="2" t="s">
        <v>9</v>
      </c>
      <c r="D9171" s="2" t="s">
        <v>10</v>
      </c>
      <c r="E9171" s="2" t="str">
        <f>HYPERLINK("http://ts.21cn.com/tousu/show/id/1340309","http://ts.21cn.com/tousu/show/id/1340309")</f>
        <v>http://ts.21cn.com/tousu/show/id/1340309</v>
      </c>
      <c r="F9171" s="2" t="s">
        <v>11</v>
      </c>
      <c r="G9171" s="2" t="s">
        <v>26128</v>
      </c>
      <c r="H9171" s="2" t="s">
        <v>26129</v>
      </c>
    </row>
    <row r="9172" spans="1:8" ht="25.05" customHeight="1" x14ac:dyDescent="0.25">
      <c r="A9172" s="2" t="s">
        <v>8</v>
      </c>
      <c r="B9172" s="2" t="str">
        <f>HYPERLINK("http://ts.21cn.com/tousu/show/id/1340311","小浦优客未经同意扣款")</f>
        <v>小浦优客未经同意扣款</v>
      </c>
      <c r="C9172" s="2" t="s">
        <v>9</v>
      </c>
      <c r="D9172" s="2" t="s">
        <v>10</v>
      </c>
      <c r="E9172" s="2" t="str">
        <f>HYPERLINK("http://ts.21cn.com/tousu/show/id/1340311","http://ts.21cn.com/tousu/show/id/1340311")</f>
        <v>http://ts.21cn.com/tousu/show/id/1340311</v>
      </c>
      <c r="F9172" s="2" t="s">
        <v>11</v>
      </c>
      <c r="G9172" s="2" t="s">
        <v>26126</v>
      </c>
      <c r="H9172" s="2" t="s">
        <v>26127</v>
      </c>
    </row>
    <row r="9173" spans="1:8" ht="25.05" customHeight="1" x14ac:dyDescent="0.25">
      <c r="A9173" s="2" t="s">
        <v>8</v>
      </c>
      <c r="B9173" s="2" t="str">
        <f>HYPERLINK("http://ts.21cn.com/tousu/show/id/1340272","时光分期坑啊利息高的吓死人")</f>
        <v>时光分期坑啊利息高的吓死人</v>
      </c>
      <c r="C9173" s="2" t="s">
        <v>9</v>
      </c>
      <c r="D9173" s="2" t="s">
        <v>10</v>
      </c>
      <c r="E9173" s="2" t="str">
        <f>HYPERLINK("http://ts.21cn.com/tousu/show/id/1340272","http://ts.21cn.com/tousu/show/id/1340272")</f>
        <v>http://ts.21cn.com/tousu/show/id/1340272</v>
      </c>
      <c r="F9173" s="2" t="s">
        <v>11</v>
      </c>
      <c r="G9173" s="2" t="s">
        <v>26124</v>
      </c>
      <c r="H9173" s="2" t="s">
        <v>26125</v>
      </c>
    </row>
    <row r="9174" spans="1:8" ht="25.05" customHeight="1" x14ac:dyDescent="0.25">
      <c r="A9174" s="2" t="s">
        <v>8</v>
      </c>
      <c r="B9174" s="2" t="str">
        <f>HYPERLINK("http://ts.21cn.com/tousu/show/id/1340312","上海证大财富暴力催收，把我奶奶气进医院了")</f>
        <v>上海证大财富暴力催收，把我奶奶气进医院了</v>
      </c>
      <c r="C9174" s="2" t="s">
        <v>9</v>
      </c>
      <c r="D9174" s="2" t="s">
        <v>10</v>
      </c>
      <c r="E9174" s="2" t="str">
        <f>HYPERLINK("http://ts.21cn.com/tousu/show/id/1340312","http://ts.21cn.com/tousu/show/id/1340312")</f>
        <v>http://ts.21cn.com/tousu/show/id/1340312</v>
      </c>
      <c r="F9174" s="2" t="s">
        <v>11</v>
      </c>
      <c r="G9174" s="2" t="s">
        <v>26122</v>
      </c>
      <c r="H9174" s="2" t="s">
        <v>26123</v>
      </c>
    </row>
    <row r="9175" spans="1:8" ht="25.05" customHeight="1" x14ac:dyDescent="0.25">
      <c r="A9175" s="2" t="s">
        <v>8</v>
      </c>
      <c r="B9175" s="2" t="str">
        <f>HYPERLINK("http://ts.21cn.com/tousu/show/id/1340313","莫名从银行卡扣款2000多元不止一次")</f>
        <v>莫名从银行卡扣款2000多元不止一次</v>
      </c>
      <c r="C9175" s="2" t="s">
        <v>9</v>
      </c>
      <c r="D9175" s="2" t="s">
        <v>10</v>
      </c>
      <c r="E9175" s="2" t="str">
        <f>HYPERLINK("http://ts.21cn.com/tousu/show/id/1340313","http://ts.21cn.com/tousu/show/id/1340313")</f>
        <v>http://ts.21cn.com/tousu/show/id/1340313</v>
      </c>
      <c r="F9175" s="2" t="s">
        <v>11</v>
      </c>
      <c r="G9175" s="2" t="s">
        <v>26120</v>
      </c>
      <c r="H9175" s="2" t="s">
        <v>26121</v>
      </c>
    </row>
    <row r="9176" spans="1:8" ht="25.05" customHeight="1" x14ac:dyDescent="0.25">
      <c r="A9176" s="2" t="s">
        <v>8</v>
      </c>
      <c r="B9176" s="2" t="str">
        <f>HYPERLINK("http://ts.21cn.com/tousu/show/id/1340314","招联消费金融有限公司软暴力催收，违反《互联网金融逾期债务催收自律公约》")</f>
        <v>招联消费金融有限公司软暴力催收，违反《互联网金融逾期债务催收自律公约》</v>
      </c>
      <c r="C9176" s="2" t="s">
        <v>9</v>
      </c>
      <c r="D9176" s="2" t="s">
        <v>10</v>
      </c>
      <c r="E9176" s="2" t="str">
        <f>HYPERLINK("http://ts.21cn.com/tousu/show/id/1340314","http://ts.21cn.com/tousu/show/id/1340314")</f>
        <v>http://ts.21cn.com/tousu/show/id/1340314</v>
      </c>
      <c r="F9176" s="2" t="s">
        <v>11</v>
      </c>
      <c r="G9176" s="2" t="s">
        <v>26118</v>
      </c>
      <c r="H9176" s="2" t="s">
        <v>26119</v>
      </c>
    </row>
    <row r="9177" spans="1:8" ht="25.05" customHeight="1" x14ac:dyDescent="0.25">
      <c r="A9177" s="2" t="s">
        <v>8</v>
      </c>
      <c r="B9177" s="2" t="str">
        <f>HYPERLINK("http://ts.21cn.com/tousu/show/id/1340315","1号店商城自营店出售iPhoneX换屏机，存在欺诈")</f>
        <v>1号店商城自营店出售iPhoneX换屏机，存在欺诈</v>
      </c>
      <c r="C9177" s="2" t="s">
        <v>9</v>
      </c>
      <c r="D9177" s="2" t="s">
        <v>10</v>
      </c>
      <c r="E9177" s="2" t="str">
        <f>HYPERLINK("http://ts.21cn.com/tousu/show/id/1340315","http://ts.21cn.com/tousu/show/id/1340315")</f>
        <v>http://ts.21cn.com/tousu/show/id/1340315</v>
      </c>
      <c r="F9177" s="2" t="s">
        <v>11</v>
      </c>
      <c r="G9177" s="2" t="s">
        <v>26116</v>
      </c>
      <c r="H9177" s="2" t="s">
        <v>26117</v>
      </c>
    </row>
    <row r="9178" spans="1:8" ht="25.05" customHeight="1" x14ac:dyDescent="0.25">
      <c r="A9178" s="2" t="s">
        <v>8</v>
      </c>
      <c r="B9178" s="2" t="str">
        <f>HYPERLINK("http://ts.21cn.com/tousu/show/id/1340316","没有经过本人同意拨打家人电话")</f>
        <v>没有经过本人同意拨打家人电话</v>
      </c>
      <c r="C9178" s="2" t="s">
        <v>9</v>
      </c>
      <c r="D9178" s="2" t="s">
        <v>10</v>
      </c>
      <c r="E9178" s="2" t="str">
        <f>HYPERLINK("http://ts.21cn.com/tousu/show/id/1340316","http://ts.21cn.com/tousu/show/id/1340316")</f>
        <v>http://ts.21cn.com/tousu/show/id/1340316</v>
      </c>
      <c r="F9178" s="2" t="s">
        <v>11</v>
      </c>
      <c r="G9178" s="2" t="s">
        <v>26114</v>
      </c>
      <c r="H9178" s="2" t="s">
        <v>26115</v>
      </c>
    </row>
    <row r="9179" spans="1:8" ht="25.05" customHeight="1" x14ac:dyDescent="0.25">
      <c r="A9179" s="2" t="s">
        <v>8</v>
      </c>
      <c r="B9179" s="2" t="str">
        <f>HYPERLINK("http://ts.21cn.com/tousu/show/id/1340317","暴力催收威胁恐吓")</f>
        <v>暴力催收威胁恐吓</v>
      </c>
      <c r="C9179" s="2" t="s">
        <v>9</v>
      </c>
      <c r="D9179" s="2" t="s">
        <v>10</v>
      </c>
      <c r="E9179" s="2" t="str">
        <f>HYPERLINK("http://ts.21cn.com/tousu/show/id/1340317","http://ts.21cn.com/tousu/show/id/1340317")</f>
        <v>http://ts.21cn.com/tousu/show/id/1340317</v>
      </c>
      <c r="F9179" s="2" t="s">
        <v>11</v>
      </c>
      <c r="G9179" s="2" t="s">
        <v>26112</v>
      </c>
      <c r="H9179" s="2" t="s">
        <v>26113</v>
      </c>
    </row>
    <row r="9180" spans="1:8" ht="25.05" customHeight="1" x14ac:dyDescent="0.25">
      <c r="A9180" s="2" t="s">
        <v>8</v>
      </c>
      <c r="B9180" s="2" t="str">
        <f>HYPERLINK("http://ts.21cn.com/tousu/show/id/1340318","捷信公司变相高利贷，威胁辱骂")</f>
        <v>捷信公司变相高利贷，威胁辱骂</v>
      </c>
      <c r="C9180" s="2" t="s">
        <v>9</v>
      </c>
      <c r="D9180" s="2" t="s">
        <v>10</v>
      </c>
      <c r="E9180" s="2" t="str">
        <f>HYPERLINK("http://ts.21cn.com/tousu/show/id/1340318","http://ts.21cn.com/tousu/show/id/1340318")</f>
        <v>http://ts.21cn.com/tousu/show/id/1340318</v>
      </c>
      <c r="F9180" s="2" t="s">
        <v>11</v>
      </c>
      <c r="G9180" s="2" t="s">
        <v>26110</v>
      </c>
      <c r="H9180" s="2" t="s">
        <v>26111</v>
      </c>
    </row>
    <row r="9181" spans="1:8" ht="25.05" customHeight="1" x14ac:dyDescent="0.25">
      <c r="A9181" s="2" t="s">
        <v>8</v>
      </c>
      <c r="B9181" s="2" t="str">
        <f>HYPERLINK("http://ts.21cn.com/tousu/show/id/1340320","投诉苏宁名单不按照规则出")</f>
        <v>投诉苏宁名单不按照规则出</v>
      </c>
      <c r="C9181" s="2" t="s">
        <v>34</v>
      </c>
      <c r="D9181" s="2" t="s">
        <v>10</v>
      </c>
      <c r="E9181" s="2" t="str">
        <f>HYPERLINK("http://ts.21cn.com/tousu/show/id/1340320","http://ts.21cn.com/tousu/show/id/1340320")</f>
        <v>http://ts.21cn.com/tousu/show/id/1340320</v>
      </c>
      <c r="F9181" s="2" t="s">
        <v>11</v>
      </c>
      <c r="G9181" s="2" t="s">
        <v>26108</v>
      </c>
      <c r="H9181" s="2" t="s">
        <v>26109</v>
      </c>
    </row>
    <row r="9182" spans="1:8" ht="25.05" customHeight="1" x14ac:dyDescent="0.25">
      <c r="A9182" s="2" t="s">
        <v>8</v>
      </c>
      <c r="B9182" s="2" t="str">
        <f>HYPERLINK("http://ts.21cn.com/tousu/show/id/1340321","造艺技术网络有限公司恶意扣费299")</f>
        <v>造艺技术网络有限公司恶意扣费299</v>
      </c>
      <c r="C9182" s="2" t="s">
        <v>9</v>
      </c>
      <c r="D9182" s="2" t="s">
        <v>10</v>
      </c>
      <c r="E9182" s="2" t="str">
        <f>HYPERLINK("http://ts.21cn.com/tousu/show/id/1340321","http://ts.21cn.com/tousu/show/id/1340321")</f>
        <v>http://ts.21cn.com/tousu/show/id/1340321</v>
      </c>
      <c r="F9182" s="2" t="s">
        <v>11</v>
      </c>
      <c r="G9182" s="2" t="s">
        <v>26106</v>
      </c>
      <c r="H9182" s="2" t="s">
        <v>26107</v>
      </c>
    </row>
    <row r="9183" spans="1:8" ht="25.05" customHeight="1" x14ac:dyDescent="0.25">
      <c r="A9183" s="2" t="s">
        <v>8</v>
      </c>
      <c r="B9183" s="2" t="str">
        <f>HYPERLINK("http://ts.21cn.com/tousu/show/id/1340322","不许提前还款")</f>
        <v>不许提前还款</v>
      </c>
      <c r="C9183" s="2" t="s">
        <v>34</v>
      </c>
      <c r="D9183" s="2" t="s">
        <v>10</v>
      </c>
      <c r="E9183" s="2" t="str">
        <f>HYPERLINK("http://ts.21cn.com/tousu/show/id/1340322","http://ts.21cn.com/tousu/show/id/1340322")</f>
        <v>http://ts.21cn.com/tousu/show/id/1340322</v>
      </c>
      <c r="F9183" s="2" t="s">
        <v>11</v>
      </c>
      <c r="G9183" s="2" t="s">
        <v>26104</v>
      </c>
      <c r="H9183" s="2" t="s">
        <v>26105</v>
      </c>
    </row>
    <row r="9184" spans="1:8" ht="25.05" customHeight="1" x14ac:dyDescent="0.25">
      <c r="A9184" s="2" t="s">
        <v>8</v>
      </c>
      <c r="B9184" s="2" t="str">
        <f>HYPERLINK("http://ts.21cn.com/tousu/show/id/1340324","信用星球。又名信用飞。威胁爆通讯录")</f>
        <v>信用星球。又名信用飞。威胁爆通讯录</v>
      </c>
      <c r="C9184" s="2" t="s">
        <v>9</v>
      </c>
      <c r="D9184" s="2" t="s">
        <v>10</v>
      </c>
      <c r="E9184" s="2" t="str">
        <f>HYPERLINK("http://ts.21cn.com/tousu/show/id/1340324","http://ts.21cn.com/tousu/show/id/1340324")</f>
        <v>http://ts.21cn.com/tousu/show/id/1340324</v>
      </c>
      <c r="F9184" s="2" t="s">
        <v>11</v>
      </c>
      <c r="G9184" s="2" t="s">
        <v>26102</v>
      </c>
      <c r="H9184" s="2" t="s">
        <v>26103</v>
      </c>
    </row>
    <row r="9185" spans="1:8" ht="25.05" customHeight="1" x14ac:dyDescent="0.25">
      <c r="A9185" s="2" t="s">
        <v>8</v>
      </c>
      <c r="B9185" s="2" t="str">
        <f>HYPERLINK("http://ts.21cn.com/tousu/show/id/1340325","就去贷未经允许私自扣款")</f>
        <v>就去贷未经允许私自扣款</v>
      </c>
      <c r="C9185" s="2" t="s">
        <v>9</v>
      </c>
      <c r="D9185" s="2" t="s">
        <v>10</v>
      </c>
      <c r="E9185" s="2" t="str">
        <f>HYPERLINK("http://ts.21cn.com/tousu/show/id/1340325","http://ts.21cn.com/tousu/show/id/1340325")</f>
        <v>http://ts.21cn.com/tousu/show/id/1340325</v>
      </c>
      <c r="F9185" s="2" t="s">
        <v>11</v>
      </c>
      <c r="G9185" s="2" t="s">
        <v>26100</v>
      </c>
      <c r="H9185" s="2" t="s">
        <v>26101</v>
      </c>
    </row>
    <row r="9186" spans="1:8" ht="25.05" customHeight="1" x14ac:dyDescent="0.25">
      <c r="A9186" s="2" t="s">
        <v>8</v>
      </c>
      <c r="B9186" s="2" t="str">
        <f>HYPERLINK("http://ts.21cn.com/tousu/show/id/1340326","兴业银行信用卡自动办理18期分期")</f>
        <v>兴业银行信用卡自动办理18期分期</v>
      </c>
      <c r="C9186" s="2" t="s">
        <v>9</v>
      </c>
      <c r="D9186" s="2" t="s">
        <v>10</v>
      </c>
      <c r="E9186" s="2" t="str">
        <f>HYPERLINK("http://ts.21cn.com/tousu/show/id/1340326","http://ts.21cn.com/tousu/show/id/1340326")</f>
        <v>http://ts.21cn.com/tousu/show/id/1340326</v>
      </c>
      <c r="F9186" s="2" t="s">
        <v>11</v>
      </c>
      <c r="G9186" s="2" t="s">
        <v>26098</v>
      </c>
      <c r="H9186" s="2" t="s">
        <v>26099</v>
      </c>
    </row>
    <row r="9187" spans="1:8" ht="25.05" customHeight="1" x14ac:dyDescent="0.25">
      <c r="A9187" s="2" t="s">
        <v>8</v>
      </c>
      <c r="B9187" s="2" t="str">
        <f>HYPERLINK("http://ts.21cn.com/tousu/show/id/1340327","普惠快信暴力催收，高利贷")</f>
        <v>普惠快信暴力催收，高利贷</v>
      </c>
      <c r="C9187" s="2" t="s">
        <v>9</v>
      </c>
      <c r="D9187" s="2" t="s">
        <v>10</v>
      </c>
      <c r="E9187" s="2" t="str">
        <f>HYPERLINK("http://ts.21cn.com/tousu/show/id/1340327","http://ts.21cn.com/tousu/show/id/1340327")</f>
        <v>http://ts.21cn.com/tousu/show/id/1340327</v>
      </c>
      <c r="F9187" s="2" t="s">
        <v>11</v>
      </c>
      <c r="G9187" s="2" t="s">
        <v>26096</v>
      </c>
      <c r="H9187" s="2" t="s">
        <v>26097</v>
      </c>
    </row>
    <row r="9188" spans="1:8" ht="25.05" customHeight="1" x14ac:dyDescent="0.25">
      <c r="A9188" s="2" t="s">
        <v>8</v>
      </c>
      <c r="B9188" s="2" t="str">
        <f>HYPERLINK("http://ts.21cn.com/tousu/show/id/1340328","快手儿童打赏问题")</f>
        <v>快手儿童打赏问题</v>
      </c>
      <c r="C9188" s="2" t="s">
        <v>9</v>
      </c>
      <c r="D9188" s="2" t="s">
        <v>10</v>
      </c>
      <c r="E9188" s="2" t="str">
        <f>HYPERLINK("http://ts.21cn.com/tousu/show/id/1340328","http://ts.21cn.com/tousu/show/id/1340328")</f>
        <v>http://ts.21cn.com/tousu/show/id/1340328</v>
      </c>
      <c r="F9188" s="2" t="s">
        <v>11</v>
      </c>
      <c r="G9188" s="2" t="s">
        <v>26094</v>
      </c>
      <c r="H9188" s="2" t="s">
        <v>26095</v>
      </c>
    </row>
    <row r="9189" spans="1:8" ht="25.05" customHeight="1" x14ac:dyDescent="0.25">
      <c r="A9189" s="2" t="s">
        <v>8</v>
      </c>
      <c r="B9189" s="2" t="str">
        <f>HYPERLINK("http://ts.21cn.com/tousu/show/id/1340021","同程旅游百旅会会费")</f>
        <v>同程旅游百旅会会费</v>
      </c>
      <c r="C9189" s="2" t="s">
        <v>9</v>
      </c>
      <c r="D9189" s="2" t="s">
        <v>10</v>
      </c>
      <c r="E9189" s="2" t="str">
        <f>HYPERLINK("http://ts.21cn.com/tousu/show/id/1340021","http://ts.21cn.com/tousu/show/id/1340021")</f>
        <v>http://ts.21cn.com/tousu/show/id/1340021</v>
      </c>
      <c r="F9189" s="2" t="s">
        <v>11</v>
      </c>
      <c r="G9189" s="2" t="s">
        <v>26092</v>
      </c>
      <c r="H9189" s="2" t="s">
        <v>26093</v>
      </c>
    </row>
    <row r="9190" spans="1:8" ht="25.05" customHeight="1" x14ac:dyDescent="0.25">
      <c r="A9190" s="2" t="s">
        <v>8</v>
      </c>
      <c r="B9190" s="2" t="str">
        <f>HYPERLINK("http://ts.21cn.com/tousu/show/id/1340330","月光侠分期骚扰通讯录")</f>
        <v>月光侠分期骚扰通讯录</v>
      </c>
      <c r="C9190" s="2" t="s">
        <v>9</v>
      </c>
      <c r="D9190" s="2" t="s">
        <v>10</v>
      </c>
      <c r="E9190" s="2" t="str">
        <f>HYPERLINK("http://ts.21cn.com/tousu/show/id/1340330","http://ts.21cn.com/tousu/show/id/1340330")</f>
        <v>http://ts.21cn.com/tousu/show/id/1340330</v>
      </c>
      <c r="F9190" s="2" t="s">
        <v>11</v>
      </c>
      <c r="G9190" s="2" t="s">
        <v>26090</v>
      </c>
      <c r="H9190" s="2" t="s">
        <v>26091</v>
      </c>
    </row>
    <row r="9191" spans="1:8" ht="25.05" customHeight="1" x14ac:dyDescent="0.25">
      <c r="A9191" s="2" t="s">
        <v>8</v>
      </c>
      <c r="B9191" s="2" t="str">
        <f>HYPERLINK("http://ts.21cn.com/tousu/show/id/1340331","人人贷高利贷")</f>
        <v>人人贷高利贷</v>
      </c>
      <c r="C9191" s="2" t="s">
        <v>9</v>
      </c>
      <c r="D9191" s="2" t="s">
        <v>10</v>
      </c>
      <c r="E9191" s="2" t="str">
        <f>HYPERLINK("http://ts.21cn.com/tousu/show/id/1340331","http://ts.21cn.com/tousu/show/id/1340331")</f>
        <v>http://ts.21cn.com/tousu/show/id/1340331</v>
      </c>
      <c r="F9191" s="2" t="s">
        <v>11</v>
      </c>
      <c r="G9191" s="2" t="s">
        <v>26088</v>
      </c>
      <c r="H9191" s="2" t="s">
        <v>26089</v>
      </c>
    </row>
    <row r="9192" spans="1:8" ht="25.05" customHeight="1" x14ac:dyDescent="0.25">
      <c r="A9192" s="2" t="s">
        <v>8</v>
      </c>
      <c r="B9192" s="2" t="str">
        <f>HYPERLINK("http://ts.21cn.com/tousu/show/id/1340332","智行火车票乱收费")</f>
        <v>智行火车票乱收费</v>
      </c>
      <c r="C9192" s="2" t="s">
        <v>9</v>
      </c>
      <c r="D9192" s="2" t="s">
        <v>10</v>
      </c>
      <c r="E9192" s="2" t="str">
        <f>HYPERLINK("http://ts.21cn.com/tousu/show/id/1340332","http://ts.21cn.com/tousu/show/id/1340332")</f>
        <v>http://ts.21cn.com/tousu/show/id/1340332</v>
      </c>
      <c r="F9192" s="2" t="s">
        <v>11</v>
      </c>
      <c r="G9192" s="2" t="s">
        <v>26086</v>
      </c>
      <c r="H9192" s="2" t="s">
        <v>26087</v>
      </c>
    </row>
    <row r="9193" spans="1:8" ht="25.05" customHeight="1" x14ac:dyDescent="0.25">
      <c r="A9193" s="2" t="s">
        <v>8</v>
      </c>
      <c r="B9193" s="2" t="str">
        <f>HYPERLINK("http://ts.21cn.com/tousu/show/id/1340333","征信上显示深圳市国银盛达融资担保有限公司代还记录")</f>
        <v>征信上显示深圳市国银盛达融资担保有限公司代还记录</v>
      </c>
      <c r="C9193" s="2" t="s">
        <v>34</v>
      </c>
      <c r="D9193" s="2" t="s">
        <v>10</v>
      </c>
      <c r="E9193" s="2" t="str">
        <f>HYPERLINK("http://ts.21cn.com/tousu/show/id/1340333","http://ts.21cn.com/tousu/show/id/1340333")</f>
        <v>http://ts.21cn.com/tousu/show/id/1340333</v>
      </c>
      <c r="F9193" s="2" t="s">
        <v>11</v>
      </c>
      <c r="G9193" s="2" t="s">
        <v>26084</v>
      </c>
      <c r="H9193" s="2" t="s">
        <v>26085</v>
      </c>
    </row>
    <row r="9194" spans="1:8" ht="25.05" customHeight="1" x14ac:dyDescent="0.25">
      <c r="A9194" s="2" t="s">
        <v>8</v>
      </c>
      <c r="B9194" s="2" t="str">
        <f>HYPERLINK("http://ts.21cn.com/tousu/show/id/1340334","周麻婆连锁店会员不连锁")</f>
        <v>周麻婆连锁店会员不连锁</v>
      </c>
      <c r="C9194" s="2" t="s">
        <v>34</v>
      </c>
      <c r="D9194" s="2" t="s">
        <v>10</v>
      </c>
      <c r="E9194" s="2" t="str">
        <f>HYPERLINK("http://ts.21cn.com/tousu/show/id/1340334","http://ts.21cn.com/tousu/show/id/1340334")</f>
        <v>http://ts.21cn.com/tousu/show/id/1340334</v>
      </c>
      <c r="F9194" s="2" t="s">
        <v>11</v>
      </c>
      <c r="G9194" s="2" t="s">
        <v>26082</v>
      </c>
      <c r="H9194" s="2" t="s">
        <v>26083</v>
      </c>
    </row>
    <row r="9195" spans="1:8" ht="25.05" customHeight="1" x14ac:dyDescent="0.25">
      <c r="A9195" s="2" t="s">
        <v>8</v>
      </c>
      <c r="B9195" s="2" t="str">
        <f>HYPERLINK("http://ts.21cn.com/tousu/show/id/1340337","翼支付盗取个人通讯录信息")</f>
        <v>翼支付盗取个人通讯录信息</v>
      </c>
      <c r="C9195" s="2" t="s">
        <v>9</v>
      </c>
      <c r="D9195" s="2" t="s">
        <v>10</v>
      </c>
      <c r="E9195" s="2" t="str">
        <f>HYPERLINK("http://ts.21cn.com/tousu/show/id/1340337","http://ts.21cn.com/tousu/show/id/1340337")</f>
        <v>http://ts.21cn.com/tousu/show/id/1340337</v>
      </c>
      <c r="F9195" s="2" t="s">
        <v>11</v>
      </c>
      <c r="G9195" s="2" t="s">
        <v>26080</v>
      </c>
      <c r="H9195" s="2" t="s">
        <v>26081</v>
      </c>
    </row>
    <row r="9196" spans="1:8" ht="25.05" customHeight="1" x14ac:dyDescent="0.25">
      <c r="A9196" s="2" t="s">
        <v>8</v>
      </c>
      <c r="B9196" s="2" t="str">
        <f>HYPERLINK("http://ts.21cn.com/tousu/show/id/1340336","玖富万卡的强制保费")</f>
        <v>玖富万卡的强制保费</v>
      </c>
      <c r="C9196" s="2" t="s">
        <v>9</v>
      </c>
      <c r="D9196" s="2" t="s">
        <v>10</v>
      </c>
      <c r="E9196" s="2" t="str">
        <f>HYPERLINK("http://ts.21cn.com/tousu/show/id/1340336","http://ts.21cn.com/tousu/show/id/1340336")</f>
        <v>http://ts.21cn.com/tousu/show/id/1340336</v>
      </c>
      <c r="F9196" s="2" t="s">
        <v>11</v>
      </c>
      <c r="G9196" s="2" t="s">
        <v>26078</v>
      </c>
      <c r="H9196" s="2" t="s">
        <v>26079</v>
      </c>
    </row>
    <row r="9197" spans="1:8" ht="25.05" customHeight="1" x14ac:dyDescent="0.25">
      <c r="A9197" s="2" t="s">
        <v>8</v>
      </c>
      <c r="B9197" s="2" t="str">
        <f>HYPERLINK("http://ts.21cn.com/tousu/show/id/1340338","快递延误赔偿")</f>
        <v>快递延误赔偿</v>
      </c>
      <c r="C9197" s="2" t="s">
        <v>9</v>
      </c>
      <c r="D9197" s="2" t="s">
        <v>10</v>
      </c>
      <c r="E9197" s="2" t="str">
        <f>HYPERLINK("http://ts.21cn.com/tousu/show/id/1340338","http://ts.21cn.com/tousu/show/id/1340338")</f>
        <v>http://ts.21cn.com/tousu/show/id/1340338</v>
      </c>
      <c r="F9197" s="2" t="s">
        <v>11</v>
      </c>
      <c r="G9197" s="2" t="s">
        <v>26076</v>
      </c>
      <c r="H9197" s="2" t="s">
        <v>26077</v>
      </c>
    </row>
    <row r="9198" spans="1:8" ht="25.05" customHeight="1" x14ac:dyDescent="0.25">
      <c r="A9198" s="2" t="s">
        <v>8</v>
      </c>
      <c r="B9198" s="2" t="str">
        <f>HYPERLINK("http://ts.21cn.com/tousu/show/id/1338628","美团勾结黑社会肆意妄为")</f>
        <v>美团勾结黑社会肆意妄为</v>
      </c>
      <c r="C9198" s="2" t="s">
        <v>9</v>
      </c>
      <c r="D9198" s="2" t="s">
        <v>10</v>
      </c>
      <c r="E9198" s="2" t="str">
        <f>HYPERLINK("http://ts.21cn.com/tousu/show/id/1338628","http://ts.21cn.com/tousu/show/id/1338628")</f>
        <v>http://ts.21cn.com/tousu/show/id/1338628</v>
      </c>
      <c r="F9198" s="2" t="s">
        <v>11</v>
      </c>
      <c r="G9198" s="2" t="s">
        <v>26074</v>
      </c>
      <c r="H9198" s="2" t="s">
        <v>26075</v>
      </c>
    </row>
    <row r="9199" spans="1:8" ht="25.05" customHeight="1" x14ac:dyDescent="0.25">
      <c r="A9199" s="2" t="s">
        <v>8</v>
      </c>
      <c r="B9199" s="2" t="str">
        <f>HYPERLINK("http://ts.21cn.com/tousu/show/id/1340339","不正当催收，骚扰家人")</f>
        <v>不正当催收，骚扰家人</v>
      </c>
      <c r="C9199" s="2" t="s">
        <v>9</v>
      </c>
      <c r="D9199" s="2" t="s">
        <v>10</v>
      </c>
      <c r="E9199" s="2" t="str">
        <f>HYPERLINK("http://ts.21cn.com/tousu/show/id/1340339","http://ts.21cn.com/tousu/show/id/1340339")</f>
        <v>http://ts.21cn.com/tousu/show/id/1340339</v>
      </c>
      <c r="F9199" s="2" t="s">
        <v>11</v>
      </c>
      <c r="G9199" s="2" t="s">
        <v>26072</v>
      </c>
      <c r="H9199" s="2" t="s">
        <v>26073</v>
      </c>
    </row>
    <row r="9200" spans="1:8" ht="25.05" customHeight="1" x14ac:dyDescent="0.25">
      <c r="A9200" s="2" t="s">
        <v>8</v>
      </c>
      <c r="B9200" s="2" t="str">
        <f>HYPERLINK("http://ts.21cn.com/tousu/show/id/1340340","侵犯个人名誉")</f>
        <v>侵犯个人名誉</v>
      </c>
      <c r="C9200" s="2" t="s">
        <v>9</v>
      </c>
      <c r="D9200" s="2" t="s">
        <v>10</v>
      </c>
      <c r="E9200" s="2" t="str">
        <f>HYPERLINK("http://ts.21cn.com/tousu/show/id/1340340","http://ts.21cn.com/tousu/show/id/1340340")</f>
        <v>http://ts.21cn.com/tousu/show/id/1340340</v>
      </c>
      <c r="F9200" s="2" t="s">
        <v>11</v>
      </c>
      <c r="G9200" s="2" t="s">
        <v>26070</v>
      </c>
      <c r="H9200" s="2" t="s">
        <v>26071</v>
      </c>
    </row>
    <row r="9201" spans="1:8" ht="25.05" customHeight="1" x14ac:dyDescent="0.25">
      <c r="A9201" s="2" t="s">
        <v>8</v>
      </c>
      <c r="B9201" s="2" t="str">
        <f>HYPERLINK("http://ts.21cn.com/tousu/show/id/1340341","网贷")</f>
        <v>网贷</v>
      </c>
      <c r="C9201" s="2" t="s">
        <v>9</v>
      </c>
      <c r="D9201" s="2" t="s">
        <v>10</v>
      </c>
      <c r="E9201" s="2" t="str">
        <f>HYPERLINK("http://ts.21cn.com/tousu/show/id/1340341","http://ts.21cn.com/tousu/show/id/1340341")</f>
        <v>http://ts.21cn.com/tousu/show/id/1340341</v>
      </c>
      <c r="F9201" s="2" t="s">
        <v>11</v>
      </c>
      <c r="G9201" s="2" t="s">
        <v>26068</v>
      </c>
      <c r="H9201" s="2" t="s">
        <v>26069</v>
      </c>
    </row>
    <row r="9202" spans="1:8" ht="25.05" customHeight="1" x14ac:dyDescent="0.25">
      <c r="A9202" s="2" t="s">
        <v>8</v>
      </c>
      <c r="B9202" s="2" t="str">
        <f>HYPERLINK("http://ts.21cn.com/tousu/show/id/1340342","今借到，金象金服714高炮")</f>
        <v>今借到，金象金服714高炮</v>
      </c>
      <c r="C9202" s="2" t="s">
        <v>9</v>
      </c>
      <c r="D9202" s="2" t="s">
        <v>10</v>
      </c>
      <c r="E9202" s="2" t="str">
        <f>HYPERLINK("http://ts.21cn.com/tousu/show/id/1340342","http://ts.21cn.com/tousu/show/id/1340342")</f>
        <v>http://ts.21cn.com/tousu/show/id/1340342</v>
      </c>
      <c r="F9202" s="2" t="s">
        <v>11</v>
      </c>
      <c r="G9202" s="2" t="s">
        <v>26066</v>
      </c>
      <c r="H9202" s="2" t="s">
        <v>26067</v>
      </c>
    </row>
    <row r="9203" spans="1:8" ht="25.05" customHeight="1" x14ac:dyDescent="0.25">
      <c r="A9203" s="2" t="s">
        <v>8</v>
      </c>
      <c r="B9203" s="2" t="str">
        <f>HYPERLINK("http://ts.21cn.com/tousu/show/id/1340343","招商信用卡")</f>
        <v>招商信用卡</v>
      </c>
      <c r="C9203" s="2" t="s">
        <v>9</v>
      </c>
      <c r="D9203" s="2" t="s">
        <v>10</v>
      </c>
      <c r="E9203" s="2" t="str">
        <f>HYPERLINK("http://ts.21cn.com/tousu/show/id/1340343","http://ts.21cn.com/tousu/show/id/1340343")</f>
        <v>http://ts.21cn.com/tousu/show/id/1340343</v>
      </c>
      <c r="F9203" s="2" t="s">
        <v>11</v>
      </c>
      <c r="G9203" s="2" t="s">
        <v>26064</v>
      </c>
      <c r="H9203" s="2" t="s">
        <v>26065</v>
      </c>
    </row>
    <row r="9204" spans="1:8" ht="25.05" customHeight="1" x14ac:dyDescent="0.25">
      <c r="A9204" s="2" t="s">
        <v>8</v>
      </c>
      <c r="B9204" s="2" t="str">
        <f>HYPERLINK("http://ts.21cn.com/tousu/show/id/1340344","对方冒充360贷款")</f>
        <v>对方冒充360贷款</v>
      </c>
      <c r="C9204" s="2" t="s">
        <v>9</v>
      </c>
      <c r="D9204" s="2" t="s">
        <v>10</v>
      </c>
      <c r="E9204" s="2" t="str">
        <f>HYPERLINK("http://ts.21cn.com/tousu/show/id/1340344","http://ts.21cn.com/tousu/show/id/1340344")</f>
        <v>http://ts.21cn.com/tousu/show/id/1340344</v>
      </c>
      <c r="F9204" s="2" t="s">
        <v>11</v>
      </c>
      <c r="G9204" s="2" t="s">
        <v>26063</v>
      </c>
      <c r="H9204" s="2" t="s">
        <v>24384</v>
      </c>
    </row>
    <row r="9205" spans="1:8" ht="25.05" customHeight="1" x14ac:dyDescent="0.25">
      <c r="A9205" s="2" t="s">
        <v>8</v>
      </c>
      <c r="B9205" s="2" t="str">
        <f>HYPERLINK("http://ts.21cn.com/tousu/show/id/1340345","招联金融暴力催收泄露隐私")</f>
        <v>招联金融暴力催收泄露隐私</v>
      </c>
      <c r="C9205" s="2" t="s">
        <v>9</v>
      </c>
      <c r="D9205" s="2" t="s">
        <v>10</v>
      </c>
      <c r="E9205" s="2" t="str">
        <f>HYPERLINK("http://ts.21cn.com/tousu/show/id/1340345","http://ts.21cn.com/tousu/show/id/1340345")</f>
        <v>http://ts.21cn.com/tousu/show/id/1340345</v>
      </c>
      <c r="F9205" s="2" t="s">
        <v>11</v>
      </c>
      <c r="G9205" s="2" t="s">
        <v>26061</v>
      </c>
      <c r="H9205" s="2" t="s">
        <v>26062</v>
      </c>
    </row>
    <row r="9206" spans="1:8" ht="25.05" customHeight="1" x14ac:dyDescent="0.25">
      <c r="A9206" s="2" t="s">
        <v>8</v>
      </c>
      <c r="B9206" s="2" t="str">
        <f>HYPERLINK("http://ts.21cn.com/tousu/show/id/1339919","投诉拼多多平台处理售后违背事实强行篡改订单导致商家货款损失")</f>
        <v>投诉拼多多平台处理售后违背事实强行篡改订单导致商家货款损失</v>
      </c>
      <c r="C9206" s="2" t="s">
        <v>9</v>
      </c>
      <c r="D9206" s="2" t="s">
        <v>10</v>
      </c>
      <c r="E9206" s="2" t="str">
        <f>HYPERLINK("http://ts.21cn.com/tousu/show/id/1339919","http://ts.21cn.com/tousu/show/id/1339919")</f>
        <v>http://ts.21cn.com/tousu/show/id/1339919</v>
      </c>
      <c r="F9206" s="2" t="s">
        <v>11</v>
      </c>
      <c r="G9206" s="2" t="s">
        <v>26059</v>
      </c>
      <c r="H9206" s="2" t="s">
        <v>26060</v>
      </c>
    </row>
    <row r="9207" spans="1:8" ht="25.05" customHeight="1" x14ac:dyDescent="0.25">
      <c r="A9207" s="2" t="s">
        <v>8</v>
      </c>
      <c r="B9207" s="2" t="str">
        <f>HYPERLINK("http://ts.21cn.com/tousu/show/id/1340346","代款被坑")</f>
        <v>代款被坑</v>
      </c>
      <c r="C9207" s="2" t="s">
        <v>9</v>
      </c>
      <c r="D9207" s="2" t="s">
        <v>10</v>
      </c>
      <c r="E9207" s="2" t="str">
        <f>HYPERLINK("http://ts.21cn.com/tousu/show/id/1340346","http://ts.21cn.com/tousu/show/id/1340346")</f>
        <v>http://ts.21cn.com/tousu/show/id/1340346</v>
      </c>
      <c r="F9207" s="2" t="s">
        <v>11</v>
      </c>
      <c r="G9207" s="2" t="s">
        <v>26057</v>
      </c>
      <c r="H9207" s="2" t="s">
        <v>26058</v>
      </c>
    </row>
    <row r="9208" spans="1:8" ht="25.05" customHeight="1" x14ac:dyDescent="0.25">
      <c r="A9208" s="2" t="s">
        <v>8</v>
      </c>
      <c r="B9208" s="2" t="str">
        <f>HYPERLINK("http://ts.21cn.com/tousu/show/id/1340348","好易贷高利息")</f>
        <v>好易贷高利息</v>
      </c>
      <c r="C9208" s="2" t="s">
        <v>9</v>
      </c>
      <c r="D9208" s="2" t="s">
        <v>10</v>
      </c>
      <c r="E9208" s="2" t="str">
        <f>HYPERLINK("http://ts.21cn.com/tousu/show/id/1340348","http://ts.21cn.com/tousu/show/id/1340348")</f>
        <v>http://ts.21cn.com/tousu/show/id/1340348</v>
      </c>
      <c r="F9208" s="2" t="s">
        <v>11</v>
      </c>
      <c r="G9208" s="2" t="s">
        <v>26055</v>
      </c>
      <c r="H9208" s="2" t="s">
        <v>26056</v>
      </c>
    </row>
    <row r="9209" spans="1:8" ht="25.05" customHeight="1" x14ac:dyDescent="0.25">
      <c r="A9209" s="2" t="s">
        <v>8</v>
      </c>
      <c r="B9209" s="2" t="str">
        <f>HYPERLINK("http://ts.21cn.com/tousu/show/id/1340349","小米有品第三方售后责任转嫁消费者")</f>
        <v>小米有品第三方售后责任转嫁消费者</v>
      </c>
      <c r="C9209" s="2" t="s">
        <v>9</v>
      </c>
      <c r="D9209" s="2" t="s">
        <v>10</v>
      </c>
      <c r="E9209" s="2" t="str">
        <f>HYPERLINK("http://ts.21cn.com/tousu/show/id/1340349","http://ts.21cn.com/tousu/show/id/1340349")</f>
        <v>http://ts.21cn.com/tousu/show/id/1340349</v>
      </c>
      <c r="F9209" s="2" t="s">
        <v>11</v>
      </c>
      <c r="G9209" s="2" t="s">
        <v>26053</v>
      </c>
      <c r="H9209" s="2" t="s">
        <v>26054</v>
      </c>
    </row>
    <row r="9210" spans="1:8" ht="25.05" customHeight="1" x14ac:dyDescent="0.25">
      <c r="A9210" s="2" t="s">
        <v>8</v>
      </c>
      <c r="B9210" s="2" t="str">
        <f>HYPERLINK("http://ts.21cn.com/tousu/show/id/1340350","淘宝卖家承诺十天内发货，超时不发货，我投诉后就发货，多次电话让我撤销投诉，我没有撤销私自把包裹拦截。")</f>
        <v>淘宝卖家承诺十天内发货，超时不发货，我投诉后就发货，多次电话让我撤销投诉，我没有撤销私自把包裹拦截。</v>
      </c>
      <c r="C9210" s="2" t="s">
        <v>9</v>
      </c>
      <c r="D9210" s="2" t="s">
        <v>10</v>
      </c>
      <c r="E9210" s="2" t="str">
        <f>HYPERLINK("http://ts.21cn.com/tousu/show/id/1340350","http://ts.21cn.com/tousu/show/id/1340350")</f>
        <v>http://ts.21cn.com/tousu/show/id/1340350</v>
      </c>
      <c r="F9210" s="2" t="s">
        <v>11</v>
      </c>
      <c r="G9210" s="2" t="s">
        <v>26051</v>
      </c>
      <c r="H9210" s="2" t="s">
        <v>26052</v>
      </c>
    </row>
    <row r="9211" spans="1:8" ht="25.05" customHeight="1" x14ac:dyDescent="0.25">
      <c r="A9211" s="2" t="s">
        <v>8</v>
      </c>
      <c r="B9211" s="2" t="str">
        <f>HYPERLINK("http://ts.21cn.com/tousu/show/id/1340351","app贷款强制购买产品")</f>
        <v>app贷款强制购买产品</v>
      </c>
      <c r="C9211" s="2" t="s">
        <v>9</v>
      </c>
      <c r="D9211" s="2" t="s">
        <v>10</v>
      </c>
      <c r="E9211" s="2" t="str">
        <f>HYPERLINK("http://ts.21cn.com/tousu/show/id/1340351","http://ts.21cn.com/tousu/show/id/1340351")</f>
        <v>http://ts.21cn.com/tousu/show/id/1340351</v>
      </c>
      <c r="F9211" s="2" t="s">
        <v>11</v>
      </c>
      <c r="G9211" s="2" t="s">
        <v>26049</v>
      </c>
      <c r="H9211" s="2" t="s">
        <v>26050</v>
      </c>
    </row>
    <row r="9212" spans="1:8" ht="25.05" customHeight="1" x14ac:dyDescent="0.25">
      <c r="A9212" s="2" t="s">
        <v>8</v>
      </c>
      <c r="B9212" s="2" t="str">
        <f>HYPERLINK("http://ts.21cn.com/tousu/show/id/1340352","支付宝方恶意催收，涉嫌高利贷。")</f>
        <v>支付宝方恶意催收，涉嫌高利贷。</v>
      </c>
      <c r="C9212" s="2" t="s">
        <v>9</v>
      </c>
      <c r="D9212" s="2" t="s">
        <v>10</v>
      </c>
      <c r="E9212" s="2" t="str">
        <f>HYPERLINK("http://ts.21cn.com/tousu/show/id/1340352","http://ts.21cn.com/tousu/show/id/1340352")</f>
        <v>http://ts.21cn.com/tousu/show/id/1340352</v>
      </c>
      <c r="F9212" s="2" t="s">
        <v>11</v>
      </c>
      <c r="G9212" s="2" t="s">
        <v>26047</v>
      </c>
      <c r="H9212" s="2" t="s">
        <v>26048</v>
      </c>
    </row>
    <row r="9213" spans="1:8" ht="25.05" customHeight="1" x14ac:dyDescent="0.25">
      <c r="A9213" s="2" t="s">
        <v>8</v>
      </c>
      <c r="B9213" s="2" t="str">
        <f>HYPERLINK("http://ts.21cn.com/tousu/show/id/1340353","快捷通支付，杭州伟福科技有限公司")</f>
        <v>快捷通支付，杭州伟福科技有限公司</v>
      </c>
      <c r="C9213" s="2" t="s">
        <v>9</v>
      </c>
      <c r="D9213" s="2" t="s">
        <v>10</v>
      </c>
      <c r="E9213" s="2" t="str">
        <f>HYPERLINK("http://ts.21cn.com/tousu/show/id/1340353","http://ts.21cn.com/tousu/show/id/1340353")</f>
        <v>http://ts.21cn.com/tousu/show/id/1340353</v>
      </c>
      <c r="F9213" s="2" t="s">
        <v>11</v>
      </c>
      <c r="G9213" s="2" t="s">
        <v>26045</v>
      </c>
      <c r="H9213" s="2" t="s">
        <v>26046</v>
      </c>
    </row>
    <row r="9214" spans="1:8" ht="25.05" customHeight="1" x14ac:dyDescent="0.25">
      <c r="A9214" s="2" t="s">
        <v>8</v>
      </c>
      <c r="B9214" s="2" t="str">
        <f>HYPERLINK("http://ts.21cn.com/tousu/show/id/1340354","滴滴司机为多挣钱诱导绕路")</f>
        <v>滴滴司机为多挣钱诱导绕路</v>
      </c>
      <c r="C9214" s="2" t="s">
        <v>9</v>
      </c>
      <c r="D9214" s="2" t="s">
        <v>10</v>
      </c>
      <c r="E9214" s="2" t="str">
        <f>HYPERLINK("http://ts.21cn.com/tousu/show/id/1340354","http://ts.21cn.com/tousu/show/id/1340354")</f>
        <v>http://ts.21cn.com/tousu/show/id/1340354</v>
      </c>
      <c r="F9214" s="2" t="s">
        <v>11</v>
      </c>
      <c r="G9214" s="2" t="s">
        <v>26043</v>
      </c>
      <c r="H9214" s="2" t="s">
        <v>26044</v>
      </c>
    </row>
    <row r="9215" spans="1:8" ht="25.05" customHeight="1" x14ac:dyDescent="0.25">
      <c r="A9215" s="2" t="s">
        <v>8</v>
      </c>
      <c r="B9215" s="2" t="str">
        <f>HYPERLINK("http://ts.21cn.com/tousu/show/id/1340355","属于高利贷")</f>
        <v>属于高利贷</v>
      </c>
      <c r="C9215" s="2" t="s">
        <v>9</v>
      </c>
      <c r="D9215" s="2" t="s">
        <v>10</v>
      </c>
      <c r="E9215" s="2" t="str">
        <f>HYPERLINK("http://ts.21cn.com/tousu/show/id/1340355","http://ts.21cn.com/tousu/show/id/1340355")</f>
        <v>http://ts.21cn.com/tousu/show/id/1340355</v>
      </c>
      <c r="F9215" s="2" t="s">
        <v>11</v>
      </c>
      <c r="G9215" s="2" t="s">
        <v>26041</v>
      </c>
      <c r="H9215" s="2" t="s">
        <v>26042</v>
      </c>
    </row>
    <row r="9216" spans="1:8" ht="25.05" customHeight="1" x14ac:dyDescent="0.25">
      <c r="A9216" s="2" t="s">
        <v>8</v>
      </c>
      <c r="B9216" s="2" t="str">
        <f>HYPERLINK("http://ts.21cn.com/tousu/show/id/1340356","小黑鲨暴力催收")</f>
        <v>小黑鲨暴力催收</v>
      </c>
      <c r="C9216" s="2" t="s">
        <v>9</v>
      </c>
      <c r="D9216" s="2" t="s">
        <v>10</v>
      </c>
      <c r="E9216" s="2" t="str">
        <f>HYPERLINK("http://ts.21cn.com/tousu/show/id/1340356","http://ts.21cn.com/tousu/show/id/1340356")</f>
        <v>http://ts.21cn.com/tousu/show/id/1340356</v>
      </c>
      <c r="F9216" s="2" t="s">
        <v>11</v>
      </c>
      <c r="G9216" s="2" t="s">
        <v>26039</v>
      </c>
      <c r="H9216" s="2" t="s">
        <v>26040</v>
      </c>
    </row>
    <row r="9217" spans="1:8" ht="25.05" customHeight="1" x14ac:dyDescent="0.25">
      <c r="A9217" s="2" t="s">
        <v>8</v>
      </c>
      <c r="B9217" s="2" t="str">
        <f>HYPERLINK("http://ts.21cn.com/tousu/show/id/1340358","投诉豆豆钱高利息，收取高额保费，提前一个星期扣款")</f>
        <v>投诉豆豆钱高利息，收取高额保费，提前一个星期扣款</v>
      </c>
      <c r="C9217" s="2" t="s">
        <v>34</v>
      </c>
      <c r="D9217" s="2" t="s">
        <v>10</v>
      </c>
      <c r="E9217" s="2" t="str">
        <f>HYPERLINK("http://ts.21cn.com/tousu/show/id/1340358","http://ts.21cn.com/tousu/show/id/1340358")</f>
        <v>http://ts.21cn.com/tousu/show/id/1340358</v>
      </c>
      <c r="F9217" s="2" t="s">
        <v>11</v>
      </c>
      <c r="G9217" s="2" t="s">
        <v>26037</v>
      </c>
      <c r="H9217" s="2" t="s">
        <v>26038</v>
      </c>
    </row>
    <row r="9218" spans="1:8" ht="25.05" customHeight="1" x14ac:dyDescent="0.25">
      <c r="A9218" s="2" t="s">
        <v>8</v>
      </c>
      <c r="B9218" s="2" t="str">
        <f>HYPERLINK("http://ts.21cn.com/tousu/show/id/1340357","刚注册的淘宝账号被限制登录")</f>
        <v>刚注册的淘宝账号被限制登录</v>
      </c>
      <c r="C9218" s="2" t="s">
        <v>9</v>
      </c>
      <c r="D9218" s="2" t="s">
        <v>10</v>
      </c>
      <c r="E9218" s="2" t="str">
        <f>HYPERLINK("http://ts.21cn.com/tousu/show/id/1340357","http://ts.21cn.com/tousu/show/id/1340357")</f>
        <v>http://ts.21cn.com/tousu/show/id/1340357</v>
      </c>
      <c r="F9218" s="2" t="s">
        <v>11</v>
      </c>
      <c r="G9218" s="2" t="s">
        <v>26035</v>
      </c>
      <c r="H9218" s="2" t="s">
        <v>26036</v>
      </c>
    </row>
    <row r="9219" spans="1:8" ht="25.05" customHeight="1" x14ac:dyDescent="0.25">
      <c r="A9219" s="2" t="s">
        <v>8</v>
      </c>
      <c r="B9219" s="2" t="str">
        <f>HYPERLINK("http://ts.21cn.com/tousu/show/id/1340360","钱站高利贷阴阳合同")</f>
        <v>钱站高利贷阴阳合同</v>
      </c>
      <c r="C9219" s="2" t="s">
        <v>9</v>
      </c>
      <c r="D9219" s="2" t="s">
        <v>10</v>
      </c>
      <c r="E9219" s="2" t="str">
        <f>HYPERLINK("http://ts.21cn.com/tousu/show/id/1340360","http://ts.21cn.com/tousu/show/id/1340360")</f>
        <v>http://ts.21cn.com/tousu/show/id/1340360</v>
      </c>
      <c r="F9219" s="2" t="s">
        <v>11</v>
      </c>
      <c r="G9219" s="2" t="s">
        <v>26033</v>
      </c>
      <c r="H9219" s="2" t="s">
        <v>26034</v>
      </c>
    </row>
    <row r="9220" spans="1:8" ht="25.05" customHeight="1" x14ac:dyDescent="0.25">
      <c r="A9220" s="2" t="s">
        <v>8</v>
      </c>
      <c r="B9220" s="2" t="str">
        <f>HYPERLINK("http://ts.21cn.com/tousu/show/id/1340361","阴阳合同")</f>
        <v>阴阳合同</v>
      </c>
      <c r="C9220" s="2" t="s">
        <v>9</v>
      </c>
      <c r="D9220" s="2" t="s">
        <v>10</v>
      </c>
      <c r="E9220" s="2" t="str">
        <f>HYPERLINK("http://ts.21cn.com/tousu/show/id/1340361","http://ts.21cn.com/tousu/show/id/1340361")</f>
        <v>http://ts.21cn.com/tousu/show/id/1340361</v>
      </c>
      <c r="F9220" s="2" t="s">
        <v>11</v>
      </c>
      <c r="G9220" s="2" t="s">
        <v>26030</v>
      </c>
      <c r="H9220" s="2" t="s">
        <v>26031</v>
      </c>
    </row>
    <row r="9221" spans="1:8" ht="25.05" customHeight="1" x14ac:dyDescent="0.25">
      <c r="A9221" s="2" t="s">
        <v>8</v>
      </c>
      <c r="B9221" s="2" t="str">
        <f>HYPERLINK("http://ts.21cn.com/tousu/show/id/1340362","玖富万卡平凡骚扰")</f>
        <v>玖富万卡平凡骚扰</v>
      </c>
      <c r="C9221" s="2" t="s">
        <v>34</v>
      </c>
      <c r="D9221" s="2" t="s">
        <v>10</v>
      </c>
      <c r="E9221" s="2" t="str">
        <f>HYPERLINK("http://ts.21cn.com/tousu/show/id/1340362","http://ts.21cn.com/tousu/show/id/1340362")</f>
        <v>http://ts.21cn.com/tousu/show/id/1340362</v>
      </c>
      <c r="F9221" s="2" t="s">
        <v>11</v>
      </c>
      <c r="G9221" s="2" t="s">
        <v>26030</v>
      </c>
      <c r="H9221" s="2" t="s">
        <v>26032</v>
      </c>
    </row>
    <row r="9222" spans="1:8" ht="25.05" customHeight="1" x14ac:dyDescent="0.25">
      <c r="A9222" s="2" t="s">
        <v>8</v>
      </c>
      <c r="B9222" s="2" t="str">
        <f>HYPERLINK("http://ts.21cn.com/tousu/show/id/1340363","点融魔借偏偏恶意骂人催收")</f>
        <v>点融魔借偏偏恶意骂人催收</v>
      </c>
      <c r="C9222" s="2" t="s">
        <v>9</v>
      </c>
      <c r="D9222" s="2" t="s">
        <v>10</v>
      </c>
      <c r="E9222" s="2" t="str">
        <f>HYPERLINK("http://ts.21cn.com/tousu/show/id/1340363","http://ts.21cn.com/tousu/show/id/1340363")</f>
        <v>http://ts.21cn.com/tousu/show/id/1340363</v>
      </c>
      <c r="F9222" s="2" t="s">
        <v>11</v>
      </c>
      <c r="G9222" s="2" t="s">
        <v>26028</v>
      </c>
      <c r="H9222" s="2" t="s">
        <v>26029</v>
      </c>
    </row>
    <row r="9223" spans="1:8" ht="25.05" customHeight="1" x14ac:dyDescent="0.25">
      <c r="A9223" s="2" t="s">
        <v>8</v>
      </c>
      <c r="B9223" s="2" t="str">
        <f>HYPERLINK("http://ts.21cn.com/tousu/show/id/1340364","APP小浦优客未提示扣取报告费要求退钱")</f>
        <v>APP小浦优客未提示扣取报告费要求退钱</v>
      </c>
      <c r="C9223" s="2" t="s">
        <v>9</v>
      </c>
      <c r="D9223" s="2" t="s">
        <v>10</v>
      </c>
      <c r="E9223" s="2" t="str">
        <f>HYPERLINK("http://ts.21cn.com/tousu/show/id/1340364","http://ts.21cn.com/tousu/show/id/1340364")</f>
        <v>http://ts.21cn.com/tousu/show/id/1340364</v>
      </c>
      <c r="F9223" s="2" t="s">
        <v>11</v>
      </c>
      <c r="G9223" s="2" t="s">
        <v>26026</v>
      </c>
      <c r="H9223" s="2" t="s">
        <v>26027</v>
      </c>
    </row>
    <row r="9224" spans="1:8" ht="25.05" customHeight="1" x14ac:dyDescent="0.25">
      <c r="A9224" s="2" t="s">
        <v>8</v>
      </c>
      <c r="B9224" s="2" t="str">
        <f>HYPERLINK("http://ts.21cn.com/tousu/show/id/1340366","申请一笔借款3500")</f>
        <v>申请一笔借款3500</v>
      </c>
      <c r="C9224" s="2" t="s">
        <v>9</v>
      </c>
      <c r="D9224" s="2" t="s">
        <v>10</v>
      </c>
      <c r="E9224" s="2" t="str">
        <f>HYPERLINK("http://ts.21cn.com/tousu/show/id/1340366","http://ts.21cn.com/tousu/show/id/1340366")</f>
        <v>http://ts.21cn.com/tousu/show/id/1340366</v>
      </c>
      <c r="F9224" s="2" t="s">
        <v>11</v>
      </c>
      <c r="G9224" s="2" t="s">
        <v>26024</v>
      </c>
      <c r="H9224" s="2" t="s">
        <v>26025</v>
      </c>
    </row>
    <row r="9225" spans="1:8" ht="25.05" customHeight="1" x14ac:dyDescent="0.25">
      <c r="A9225" s="2" t="s">
        <v>8</v>
      </c>
      <c r="B9225" s="2" t="str">
        <f>HYPERLINK("http://ts.21cn.com/tousu/show/id/1340365","钱伴高额利息，提前付清收取大额费用")</f>
        <v>钱伴高额利息，提前付清收取大额费用</v>
      </c>
      <c r="C9225" s="2" t="s">
        <v>9</v>
      </c>
      <c r="D9225" s="2" t="s">
        <v>10</v>
      </c>
      <c r="E9225" s="2" t="str">
        <f>HYPERLINK("http://ts.21cn.com/tousu/show/id/1340365","http://ts.21cn.com/tousu/show/id/1340365")</f>
        <v>http://ts.21cn.com/tousu/show/id/1340365</v>
      </c>
      <c r="F9225" s="2" t="s">
        <v>11</v>
      </c>
      <c r="G9225" s="2" t="s">
        <v>26022</v>
      </c>
      <c r="H9225" s="2" t="s">
        <v>26023</v>
      </c>
    </row>
    <row r="9226" spans="1:8" ht="25.05" customHeight="1" x14ac:dyDescent="0.25">
      <c r="A9226" s="2" t="s">
        <v>8</v>
      </c>
      <c r="B9226" s="2" t="str">
        <f>HYPERLINK("http://ts.21cn.com/tousu/show/id/1340367","肥猫贷填写了资料就直接放款了，之前没说明，而且用了4天才知道利息超高，差不多一天100的利息")</f>
        <v>肥猫贷填写了资料就直接放款了，之前没说明，而且用了4天才知道利息超高，差不多一天100的利息</v>
      </c>
      <c r="C9226" s="2" t="s">
        <v>9</v>
      </c>
      <c r="D9226" s="2" t="s">
        <v>10</v>
      </c>
      <c r="E9226" s="2" t="str">
        <f>HYPERLINK("http://ts.21cn.com/tousu/show/id/1340367","http://ts.21cn.com/tousu/show/id/1340367")</f>
        <v>http://ts.21cn.com/tousu/show/id/1340367</v>
      </c>
      <c r="F9226" s="2" t="s">
        <v>11</v>
      </c>
      <c r="G9226" s="2" t="s">
        <v>26020</v>
      </c>
      <c r="H9226" s="2" t="s">
        <v>26021</v>
      </c>
    </row>
    <row r="9227" spans="1:8" ht="25.05" customHeight="1" x14ac:dyDescent="0.25">
      <c r="A9227" s="2" t="s">
        <v>8</v>
      </c>
      <c r="B9227" s="2" t="str">
        <f>HYPERLINK("http://ts.21cn.com/tousu/show/id/1340368","捷信上门催收")</f>
        <v>捷信上门催收</v>
      </c>
      <c r="C9227" s="2" t="s">
        <v>34</v>
      </c>
      <c r="D9227" s="2" t="s">
        <v>10</v>
      </c>
      <c r="E9227" s="2" t="str">
        <f>HYPERLINK("http://ts.21cn.com/tousu/show/id/1340368","http://ts.21cn.com/tousu/show/id/1340368")</f>
        <v>http://ts.21cn.com/tousu/show/id/1340368</v>
      </c>
      <c r="F9227" s="2" t="s">
        <v>11</v>
      </c>
      <c r="G9227" s="2" t="s">
        <v>26018</v>
      </c>
      <c r="H9227" s="2" t="s">
        <v>26019</v>
      </c>
    </row>
    <row r="9228" spans="1:8" ht="25.05" customHeight="1" x14ac:dyDescent="0.25">
      <c r="A9228" s="2" t="s">
        <v>8</v>
      </c>
      <c r="B9228" s="2" t="str">
        <f>HYPERLINK("http://ts.21cn.com/tousu/show/id/1340369","京东白条催收态度恶劣")</f>
        <v>京东白条催收态度恶劣</v>
      </c>
      <c r="C9228" s="2" t="s">
        <v>9</v>
      </c>
      <c r="D9228" s="2" t="s">
        <v>10</v>
      </c>
      <c r="E9228" s="2" t="str">
        <f>HYPERLINK("http://ts.21cn.com/tousu/show/id/1340369","http://ts.21cn.com/tousu/show/id/1340369")</f>
        <v>http://ts.21cn.com/tousu/show/id/1340369</v>
      </c>
      <c r="F9228" s="2" t="s">
        <v>11</v>
      </c>
      <c r="G9228" s="2" t="s">
        <v>26016</v>
      </c>
      <c r="H9228" s="2" t="s">
        <v>26017</v>
      </c>
    </row>
    <row r="9229" spans="1:8" ht="25.05" customHeight="1" x14ac:dyDescent="0.25">
      <c r="A9229" s="2" t="s">
        <v>8</v>
      </c>
      <c r="B9229" s="2" t="str">
        <f>HYPERLINK("http://ts.21cn.com/tousu/show/id/1340370","滴滴出行不给合规司机派单")</f>
        <v>滴滴出行不给合规司机派单</v>
      </c>
      <c r="C9229" s="2" t="s">
        <v>34</v>
      </c>
      <c r="D9229" s="2" t="s">
        <v>10</v>
      </c>
      <c r="E9229" s="2" t="str">
        <f>HYPERLINK("http://ts.21cn.com/tousu/show/id/1340370","http://ts.21cn.com/tousu/show/id/1340370")</f>
        <v>http://ts.21cn.com/tousu/show/id/1340370</v>
      </c>
      <c r="F9229" s="2" t="s">
        <v>11</v>
      </c>
      <c r="G9229" s="2" t="s">
        <v>26014</v>
      </c>
      <c r="H9229" s="2" t="s">
        <v>26015</v>
      </c>
    </row>
    <row r="9230" spans="1:8" ht="25.05" customHeight="1" x14ac:dyDescent="0.25">
      <c r="A9230" s="2" t="s">
        <v>8</v>
      </c>
      <c r="B9230" s="2" t="str">
        <f>HYPERLINK("http://ts.21cn.com/tousu/show/id/1340371","催收人员暴力催收，天天骚扰朋友，给朋友发催收涵，")</f>
        <v>催收人员暴力催收，天天骚扰朋友，给朋友发催收涵，</v>
      </c>
      <c r="C9230" s="2" t="s">
        <v>9</v>
      </c>
      <c r="D9230" s="2" t="s">
        <v>10</v>
      </c>
      <c r="E9230" s="2" t="str">
        <f>HYPERLINK("http://ts.21cn.com/tousu/show/id/1340371","http://ts.21cn.com/tousu/show/id/1340371")</f>
        <v>http://ts.21cn.com/tousu/show/id/1340371</v>
      </c>
      <c r="F9230" s="2" t="s">
        <v>11</v>
      </c>
      <c r="G9230" s="2" t="s">
        <v>26012</v>
      </c>
      <c r="H9230" s="2" t="s">
        <v>26013</v>
      </c>
    </row>
    <row r="9231" spans="1:8" ht="25.05" customHeight="1" x14ac:dyDescent="0.25">
      <c r="A9231" s="2" t="s">
        <v>8</v>
      </c>
      <c r="B9231" s="2" t="str">
        <f>HYPERLINK("http://ts.21cn.com/tousu/show/id/1340372","闪银超高利息手续费跟不合理捆绑糯米白条")</f>
        <v>闪银超高利息手续费跟不合理捆绑糯米白条</v>
      </c>
      <c r="C9231" s="2" t="s">
        <v>9</v>
      </c>
      <c r="D9231" s="2" t="s">
        <v>10</v>
      </c>
      <c r="E9231" s="2" t="str">
        <f>HYPERLINK("http://ts.21cn.com/tousu/show/id/1340372","http://ts.21cn.com/tousu/show/id/1340372")</f>
        <v>http://ts.21cn.com/tousu/show/id/1340372</v>
      </c>
      <c r="F9231" s="2" t="s">
        <v>11</v>
      </c>
      <c r="G9231" s="2" t="s">
        <v>26010</v>
      </c>
      <c r="H9231" s="2" t="s">
        <v>26011</v>
      </c>
    </row>
    <row r="9232" spans="1:8" ht="25.05" customHeight="1" x14ac:dyDescent="0.25">
      <c r="A9232" s="2" t="s">
        <v>8</v>
      </c>
      <c r="B9232" s="2" t="str">
        <f>HYPERLINK("http://ts.21cn.com/tousu/show/id/1340374","高利贷，还款软件打不开")</f>
        <v>高利贷，还款软件打不开</v>
      </c>
      <c r="C9232" s="2" t="s">
        <v>9</v>
      </c>
      <c r="D9232" s="2" t="s">
        <v>10</v>
      </c>
      <c r="E9232" s="2" t="str">
        <f>HYPERLINK("http://ts.21cn.com/tousu/show/id/1340374","http://ts.21cn.com/tousu/show/id/1340374")</f>
        <v>http://ts.21cn.com/tousu/show/id/1340374</v>
      </c>
      <c r="F9232" s="2" t="s">
        <v>11</v>
      </c>
      <c r="G9232" s="2" t="s">
        <v>26008</v>
      </c>
      <c r="H9232" s="2" t="s">
        <v>26009</v>
      </c>
    </row>
    <row r="9233" spans="1:8" ht="25.05" customHeight="1" x14ac:dyDescent="0.25">
      <c r="A9233" s="2" t="s">
        <v>8</v>
      </c>
      <c r="B9233" s="2" t="str">
        <f>HYPERLINK("http://ts.21cn.com/tousu/show/id/1340377","旅行社雇佣劣质车辆坑害游客人身安全")</f>
        <v>旅行社雇佣劣质车辆坑害游客人身安全</v>
      </c>
      <c r="C9233" s="2" t="s">
        <v>9</v>
      </c>
      <c r="D9233" s="2" t="s">
        <v>10</v>
      </c>
      <c r="E9233" s="2" t="str">
        <f>HYPERLINK("http://ts.21cn.com/tousu/show/id/1340377","http://ts.21cn.com/tousu/show/id/1340377")</f>
        <v>http://ts.21cn.com/tousu/show/id/1340377</v>
      </c>
      <c r="F9233" s="2" t="s">
        <v>11</v>
      </c>
      <c r="G9233" s="2" t="s">
        <v>26006</v>
      </c>
      <c r="H9233" s="2" t="s">
        <v>26007</v>
      </c>
    </row>
    <row r="9234" spans="1:8" ht="25.05" customHeight="1" x14ac:dyDescent="0.25">
      <c r="A9234" s="2" t="s">
        <v>8</v>
      </c>
      <c r="B9234" s="2" t="str">
        <f>HYPERLINK("http://ts.21cn.com/tousu/show/id/1340375","违法高利贷，")</f>
        <v>违法高利贷，</v>
      </c>
      <c r="C9234" s="2" t="s">
        <v>9</v>
      </c>
      <c r="D9234" s="2" t="s">
        <v>10</v>
      </c>
      <c r="E9234" s="2" t="str">
        <f>HYPERLINK("http://ts.21cn.com/tousu/show/id/1340375","http://ts.21cn.com/tousu/show/id/1340375")</f>
        <v>http://ts.21cn.com/tousu/show/id/1340375</v>
      </c>
      <c r="F9234" s="2" t="s">
        <v>11</v>
      </c>
      <c r="G9234" s="2" t="s">
        <v>26004</v>
      </c>
      <c r="H9234" s="2" t="s">
        <v>26005</v>
      </c>
    </row>
    <row r="9235" spans="1:8" ht="25.05" customHeight="1" x14ac:dyDescent="0.25">
      <c r="A9235" s="2" t="s">
        <v>8</v>
      </c>
      <c r="B9235" s="2" t="str">
        <f>HYPERLINK("http://ts.21cn.com/tousu/show/id/1340376","爱又米平台会员卡无效，虚假广告")</f>
        <v>爱又米平台会员卡无效，虚假广告</v>
      </c>
      <c r="C9235" s="2" t="s">
        <v>9</v>
      </c>
      <c r="D9235" s="2" t="s">
        <v>10</v>
      </c>
      <c r="E9235" s="2" t="str">
        <f>HYPERLINK("http://ts.21cn.com/tousu/show/id/1340376","http://ts.21cn.com/tousu/show/id/1340376")</f>
        <v>http://ts.21cn.com/tousu/show/id/1340376</v>
      </c>
      <c r="F9235" s="2" t="s">
        <v>11</v>
      </c>
      <c r="G9235" s="2" t="s">
        <v>26002</v>
      </c>
      <c r="H9235" s="2" t="s">
        <v>26003</v>
      </c>
    </row>
    <row r="9236" spans="1:8" ht="25.05" customHeight="1" x14ac:dyDescent="0.25">
      <c r="A9236" s="2" t="s">
        <v>8</v>
      </c>
      <c r="B9236" s="2" t="str">
        <f>HYPERLINK("http://ts.21cn.com/tousu/show/id/1340378","交通银行软暴力催收")</f>
        <v>交通银行软暴力催收</v>
      </c>
      <c r="C9236" s="2" t="s">
        <v>9</v>
      </c>
      <c r="D9236" s="2" t="s">
        <v>10</v>
      </c>
      <c r="E9236" s="2" t="str">
        <f>HYPERLINK("http://ts.21cn.com/tousu/show/id/1340378","http://ts.21cn.com/tousu/show/id/1340378")</f>
        <v>http://ts.21cn.com/tousu/show/id/1340378</v>
      </c>
      <c r="F9236" s="2" t="s">
        <v>11</v>
      </c>
      <c r="G9236" s="2" t="s">
        <v>26000</v>
      </c>
      <c r="H9236" s="2" t="s">
        <v>26001</v>
      </c>
    </row>
    <row r="9237" spans="1:8" ht="25.05" customHeight="1" x14ac:dyDescent="0.25">
      <c r="A9237" s="2" t="s">
        <v>8</v>
      </c>
      <c r="B9237" s="2" t="str">
        <f>HYPERLINK("http://ts.21cn.com/tousu/show/id/1340379","借款久久不到账，利息超过国家法定利率，想取消不借了还取消不了")</f>
        <v>借款久久不到账，利息超过国家法定利率，想取消不借了还取消不了</v>
      </c>
      <c r="C9237" s="2" t="s">
        <v>9</v>
      </c>
      <c r="D9237" s="2" t="s">
        <v>10</v>
      </c>
      <c r="E9237" s="2" t="str">
        <f>HYPERLINK("http://ts.21cn.com/tousu/show/id/1340379","http://ts.21cn.com/tousu/show/id/1340379")</f>
        <v>http://ts.21cn.com/tousu/show/id/1340379</v>
      </c>
      <c r="F9237" s="2" t="s">
        <v>11</v>
      </c>
      <c r="G9237" s="2" t="s">
        <v>25998</v>
      </c>
      <c r="H9237" s="2" t="s">
        <v>25999</v>
      </c>
    </row>
    <row r="9238" spans="1:8" ht="25.05" customHeight="1" x14ac:dyDescent="0.25">
      <c r="A9238" s="2" t="s">
        <v>8</v>
      </c>
      <c r="B9238" s="2" t="str">
        <f>HYPERLINK("http://ts.21cn.com/tousu/show/id/1340381","你我贷高利贷，非法催收")</f>
        <v>你我贷高利贷，非法催收</v>
      </c>
      <c r="C9238" s="2" t="s">
        <v>9</v>
      </c>
      <c r="D9238" s="2" t="s">
        <v>10</v>
      </c>
      <c r="E9238" s="2" t="str">
        <f>HYPERLINK("http://ts.21cn.com/tousu/show/id/1340381","http://ts.21cn.com/tousu/show/id/1340381")</f>
        <v>http://ts.21cn.com/tousu/show/id/1340381</v>
      </c>
      <c r="F9238" s="2" t="s">
        <v>11</v>
      </c>
      <c r="G9238" s="2" t="s">
        <v>25996</v>
      </c>
      <c r="H9238" s="2" t="s">
        <v>25997</v>
      </c>
    </row>
    <row r="9239" spans="1:8" ht="25.05" customHeight="1" x14ac:dyDescent="0.25">
      <c r="A9239" s="2" t="s">
        <v>8</v>
      </c>
      <c r="B9239" s="2" t="str">
        <f>HYPERLINK("http://ts.21cn.com/tousu/show/id/1340382","暴力威胁")</f>
        <v>暴力威胁</v>
      </c>
      <c r="C9239" s="2" t="s">
        <v>9</v>
      </c>
      <c r="D9239" s="2" t="s">
        <v>10</v>
      </c>
      <c r="E9239" s="2" t="str">
        <f>HYPERLINK("http://ts.21cn.com/tousu/show/id/1340382","http://ts.21cn.com/tousu/show/id/1340382")</f>
        <v>http://ts.21cn.com/tousu/show/id/1340382</v>
      </c>
      <c r="F9239" s="2" t="s">
        <v>11</v>
      </c>
      <c r="G9239" s="2" t="s">
        <v>25994</v>
      </c>
      <c r="H9239" s="2" t="s">
        <v>25995</v>
      </c>
    </row>
    <row r="9240" spans="1:8" ht="25.05" customHeight="1" x14ac:dyDescent="0.25">
      <c r="A9240" s="2" t="s">
        <v>8</v>
      </c>
      <c r="B9240" s="2" t="str">
        <f>HYPERLINK("http://ts.21cn.com/tousu/show/id/1340383","从未使用过里面的权益要求退款")</f>
        <v>从未使用过里面的权益要求退款</v>
      </c>
      <c r="C9240" s="2" t="s">
        <v>34</v>
      </c>
      <c r="D9240" s="2" t="s">
        <v>10</v>
      </c>
      <c r="E9240" s="2" t="str">
        <f>HYPERLINK("http://ts.21cn.com/tousu/show/id/1340383","http://ts.21cn.com/tousu/show/id/1340383")</f>
        <v>http://ts.21cn.com/tousu/show/id/1340383</v>
      </c>
      <c r="F9240" s="2" t="s">
        <v>11</v>
      </c>
      <c r="G9240" s="2" t="s">
        <v>25992</v>
      </c>
      <c r="H9240" s="2" t="s">
        <v>25993</v>
      </c>
    </row>
    <row r="9241" spans="1:8" ht="25.05" customHeight="1" x14ac:dyDescent="0.25">
      <c r="A9241" s="2" t="s">
        <v>8</v>
      </c>
      <c r="B9241" s="2" t="str">
        <f>HYPERLINK("http://ts.21cn.com/tousu/show/id/1340384","钱站爆通讯录")</f>
        <v>钱站爆通讯录</v>
      </c>
      <c r="C9241" s="2" t="s">
        <v>9</v>
      </c>
      <c r="D9241" s="2" t="s">
        <v>10</v>
      </c>
      <c r="E9241" s="2" t="str">
        <f>HYPERLINK("http://ts.21cn.com/tousu/show/id/1340384","http://ts.21cn.com/tousu/show/id/1340384")</f>
        <v>http://ts.21cn.com/tousu/show/id/1340384</v>
      </c>
      <c r="F9241" s="2" t="s">
        <v>11</v>
      </c>
      <c r="G9241" s="2" t="s">
        <v>25990</v>
      </c>
      <c r="H9241" s="2" t="s">
        <v>25991</v>
      </c>
    </row>
    <row r="9242" spans="1:8" ht="25.05" customHeight="1" x14ac:dyDescent="0.25">
      <c r="A9242" s="2" t="s">
        <v>8</v>
      </c>
      <c r="B9242" s="2" t="str">
        <f>HYPERLINK("http://ts.21cn.com/tousu/show/id/1340385","无故扣出费用")</f>
        <v>无故扣出费用</v>
      </c>
      <c r="C9242" s="2" t="s">
        <v>34</v>
      </c>
      <c r="D9242" s="2" t="s">
        <v>10</v>
      </c>
      <c r="E9242" s="2" t="str">
        <f>HYPERLINK("http://ts.21cn.com/tousu/show/id/1340385","http://ts.21cn.com/tousu/show/id/1340385")</f>
        <v>http://ts.21cn.com/tousu/show/id/1340385</v>
      </c>
      <c r="F9242" s="2" t="s">
        <v>11</v>
      </c>
      <c r="G9242" s="2" t="s">
        <v>25987</v>
      </c>
      <c r="H9242" s="2" t="s">
        <v>25988</v>
      </c>
    </row>
    <row r="9243" spans="1:8" ht="25.05" customHeight="1" x14ac:dyDescent="0.25">
      <c r="A9243" s="2" t="s">
        <v>8</v>
      </c>
      <c r="B9243" s="2" t="str">
        <f>HYPERLINK("http://ts.21cn.com/tousu/show/id/1340388","章鱼精选APP欺诈消费者")</f>
        <v>章鱼精选APP欺诈消费者</v>
      </c>
      <c r="C9243" s="2" t="s">
        <v>9</v>
      </c>
      <c r="D9243" s="2" t="s">
        <v>10</v>
      </c>
      <c r="E9243" s="2" t="str">
        <f>HYPERLINK("http://ts.21cn.com/tousu/show/id/1340388","http://ts.21cn.com/tousu/show/id/1340388")</f>
        <v>http://ts.21cn.com/tousu/show/id/1340388</v>
      </c>
      <c r="F9243" s="2" t="s">
        <v>11</v>
      </c>
      <c r="G9243" s="2" t="s">
        <v>25987</v>
      </c>
      <c r="H9243" s="2" t="s">
        <v>25989</v>
      </c>
    </row>
    <row r="9244" spans="1:8" ht="25.05" customHeight="1" x14ac:dyDescent="0.25">
      <c r="A9244" s="2" t="s">
        <v>8</v>
      </c>
      <c r="B9244" s="2" t="str">
        <f>HYPERLINK("http://ts.21cn.com/tousu/show/id/1340386","滴滴出行不根据实际情况随意扣除司机服务分")</f>
        <v>滴滴出行不根据实际情况随意扣除司机服务分</v>
      </c>
      <c r="C9244" s="2" t="s">
        <v>34</v>
      </c>
      <c r="D9244" s="2" t="s">
        <v>10</v>
      </c>
      <c r="E9244" s="2" t="str">
        <f>HYPERLINK("http://ts.21cn.com/tousu/show/id/1340386","http://ts.21cn.com/tousu/show/id/1340386")</f>
        <v>http://ts.21cn.com/tousu/show/id/1340386</v>
      </c>
      <c r="F9244" s="2" t="s">
        <v>11</v>
      </c>
      <c r="G9244" s="2" t="s">
        <v>25985</v>
      </c>
      <c r="H9244" s="2" t="s">
        <v>25986</v>
      </c>
    </row>
    <row r="9245" spans="1:8" ht="25.05" customHeight="1" x14ac:dyDescent="0.25">
      <c r="A9245" s="2" t="s">
        <v>8</v>
      </c>
      <c r="B9245" s="2" t="str">
        <f>HYPERLINK("http://ts.21cn.com/tousu/show/id/1340390","捷信高利贷")</f>
        <v>捷信高利贷</v>
      </c>
      <c r="C9245" s="2" t="s">
        <v>9</v>
      </c>
      <c r="D9245" s="2" t="s">
        <v>10</v>
      </c>
      <c r="E9245" s="2" t="str">
        <f>HYPERLINK("http://ts.21cn.com/tousu/show/id/1340390","http://ts.21cn.com/tousu/show/id/1340390")</f>
        <v>http://ts.21cn.com/tousu/show/id/1340390</v>
      </c>
      <c r="F9245" s="2" t="s">
        <v>11</v>
      </c>
      <c r="G9245" s="2" t="s">
        <v>25983</v>
      </c>
      <c r="H9245" s="2" t="s">
        <v>25984</v>
      </c>
    </row>
    <row r="9246" spans="1:8" ht="25.05" customHeight="1" x14ac:dyDescent="0.25">
      <c r="A9246" s="2" t="s">
        <v>8</v>
      </c>
      <c r="B9246" s="2" t="str">
        <f>HYPERLINK("http://ts.21cn.com/tousu/show/id/1340391","放宽10天还款时间")</f>
        <v>放宽10天还款时间</v>
      </c>
      <c r="C9246" s="2" t="s">
        <v>34</v>
      </c>
      <c r="D9246" s="2" t="s">
        <v>10</v>
      </c>
      <c r="E9246" s="2" t="str">
        <f>HYPERLINK("http://ts.21cn.com/tousu/show/id/1340391","http://ts.21cn.com/tousu/show/id/1340391")</f>
        <v>http://ts.21cn.com/tousu/show/id/1340391</v>
      </c>
      <c r="F9246" s="2" t="s">
        <v>11</v>
      </c>
      <c r="G9246" s="2" t="s">
        <v>25981</v>
      </c>
      <c r="H9246" s="2" t="s">
        <v>25982</v>
      </c>
    </row>
    <row r="9247" spans="1:8" ht="25.05" customHeight="1" x14ac:dyDescent="0.25">
      <c r="A9247" s="2" t="s">
        <v>8</v>
      </c>
      <c r="B9247" s="2" t="str">
        <f>HYPERLINK("http://ts.21cn.com/tousu/show/id/1340392","招联金融恶意骚扰，侵犯个人隐私")</f>
        <v>招联金融恶意骚扰，侵犯个人隐私</v>
      </c>
      <c r="C9247" s="2" t="s">
        <v>9</v>
      </c>
      <c r="D9247" s="2" t="s">
        <v>10</v>
      </c>
      <c r="E9247" s="2" t="str">
        <f>HYPERLINK("http://ts.21cn.com/tousu/show/id/1340392","http://ts.21cn.com/tousu/show/id/1340392")</f>
        <v>http://ts.21cn.com/tousu/show/id/1340392</v>
      </c>
      <c r="F9247" s="2" t="s">
        <v>11</v>
      </c>
      <c r="G9247" s="2" t="s">
        <v>25979</v>
      </c>
      <c r="H9247" s="2" t="s">
        <v>25980</v>
      </c>
    </row>
    <row r="9248" spans="1:8" ht="25.05" customHeight="1" x14ac:dyDescent="0.25">
      <c r="A9248" s="2" t="s">
        <v>8</v>
      </c>
      <c r="B9248" s="2" t="str">
        <f>HYPERLINK("http://ts.21cn.com/tousu/show/id/1340393","拍拍贷官网无法还款导致逾期还打了联系人电话")</f>
        <v>拍拍贷官网无法还款导致逾期还打了联系人电话</v>
      </c>
      <c r="C9248" s="2" t="s">
        <v>34</v>
      </c>
      <c r="D9248" s="2" t="s">
        <v>10</v>
      </c>
      <c r="E9248" s="2" t="str">
        <f>HYPERLINK("http://ts.21cn.com/tousu/show/id/1340393","http://ts.21cn.com/tousu/show/id/1340393")</f>
        <v>http://ts.21cn.com/tousu/show/id/1340393</v>
      </c>
      <c r="F9248" s="2" t="s">
        <v>11</v>
      </c>
      <c r="G9248" s="2" t="s">
        <v>25977</v>
      </c>
      <c r="H9248" s="2" t="s">
        <v>25978</v>
      </c>
    </row>
    <row r="9249" spans="1:8" ht="25.05" customHeight="1" x14ac:dyDescent="0.25">
      <c r="A9249" s="2" t="s">
        <v>8</v>
      </c>
      <c r="B9249" s="2" t="str">
        <f>HYPERLINK("http://ts.21cn.com/tousu/show/id/1340394","总还款就是要")</f>
        <v>总还款就是要</v>
      </c>
      <c r="C9249" s="2" t="s">
        <v>34</v>
      </c>
      <c r="D9249" s="2" t="s">
        <v>10</v>
      </c>
      <c r="E9249" s="2" t="str">
        <f>HYPERLINK("http://ts.21cn.com/tousu/show/id/1340394","http://ts.21cn.com/tousu/show/id/1340394")</f>
        <v>http://ts.21cn.com/tousu/show/id/1340394</v>
      </c>
      <c r="F9249" s="2" t="s">
        <v>11</v>
      </c>
      <c r="G9249" s="2" t="s">
        <v>25976</v>
      </c>
      <c r="H9249" s="2" t="s">
        <v>21994</v>
      </c>
    </row>
    <row r="9250" spans="1:8" ht="25.05" customHeight="1" x14ac:dyDescent="0.25">
      <c r="A9250" s="2" t="s">
        <v>8</v>
      </c>
      <c r="B9250" s="2" t="str">
        <f>HYPERLINK("http://ts.21cn.com/tousu/show/id/1340395","快闪卡贷高利息、光大银行恶意上报个人征信")</f>
        <v>快闪卡贷高利息、光大银行恶意上报个人征信</v>
      </c>
      <c r="C9250" s="2" t="s">
        <v>9</v>
      </c>
      <c r="D9250" s="2" t="s">
        <v>10</v>
      </c>
      <c r="E9250" s="2" t="str">
        <f>HYPERLINK("http://ts.21cn.com/tousu/show/id/1340395","http://ts.21cn.com/tousu/show/id/1340395")</f>
        <v>http://ts.21cn.com/tousu/show/id/1340395</v>
      </c>
      <c r="F9250" s="2" t="s">
        <v>11</v>
      </c>
      <c r="G9250" s="2" t="s">
        <v>25974</v>
      </c>
      <c r="H9250" s="2" t="s">
        <v>25975</v>
      </c>
    </row>
    <row r="9251" spans="1:8" ht="25.05" customHeight="1" x14ac:dyDescent="0.25">
      <c r="A9251" s="2" t="s">
        <v>8</v>
      </c>
      <c r="B9251" s="2" t="str">
        <f>HYPERLINK("http://ts.21cn.com/tousu/show/id/1340396","汽车之家泄露个人信息")</f>
        <v>汽车之家泄露个人信息</v>
      </c>
      <c r="C9251" s="2" t="s">
        <v>9</v>
      </c>
      <c r="D9251" s="2" t="s">
        <v>10</v>
      </c>
      <c r="E9251" s="2" t="str">
        <f>HYPERLINK("http://ts.21cn.com/tousu/show/id/1340396","http://ts.21cn.com/tousu/show/id/1340396")</f>
        <v>http://ts.21cn.com/tousu/show/id/1340396</v>
      </c>
      <c r="F9251" s="2" t="s">
        <v>11</v>
      </c>
      <c r="G9251" s="2" t="s">
        <v>25972</v>
      </c>
      <c r="H9251" s="2" t="s">
        <v>25973</v>
      </c>
    </row>
    <row r="9252" spans="1:8" ht="25.05" customHeight="1" x14ac:dyDescent="0.25">
      <c r="A9252" s="2" t="s">
        <v>8</v>
      </c>
      <c r="B9252" s="2" t="str">
        <f>HYPERLINK("http://ts.21cn.com/tousu/show/id/1340397","壹心分期利息太高")</f>
        <v>壹心分期利息太高</v>
      </c>
      <c r="C9252" s="2" t="s">
        <v>9</v>
      </c>
      <c r="D9252" s="2" t="s">
        <v>10</v>
      </c>
      <c r="E9252" s="2" t="str">
        <f>HYPERLINK("http://ts.21cn.com/tousu/show/id/1340397","http://ts.21cn.com/tousu/show/id/1340397")</f>
        <v>http://ts.21cn.com/tousu/show/id/1340397</v>
      </c>
      <c r="F9252" s="2" t="s">
        <v>11</v>
      </c>
      <c r="G9252" s="2" t="s">
        <v>25970</v>
      </c>
      <c r="H9252" s="2" t="s">
        <v>25971</v>
      </c>
    </row>
    <row r="9253" spans="1:8" ht="25.05" customHeight="1" x14ac:dyDescent="0.25">
      <c r="A9253" s="2" t="s">
        <v>8</v>
      </c>
      <c r="B9253" s="2" t="str">
        <f>HYPERLINK("http://ts.21cn.com/tousu/show/id/1340399","恶意骚扰威胁发要发ps照片给我的通讯录")</f>
        <v>恶意骚扰威胁发要发ps照片给我的通讯录</v>
      </c>
      <c r="C9253" s="2" t="s">
        <v>9</v>
      </c>
      <c r="D9253" s="2" t="s">
        <v>10</v>
      </c>
      <c r="E9253" s="2" t="str">
        <f>HYPERLINK("http://ts.21cn.com/tousu/show/id/1340399","http://ts.21cn.com/tousu/show/id/1340399")</f>
        <v>http://ts.21cn.com/tousu/show/id/1340399</v>
      </c>
      <c r="F9253" s="2" t="s">
        <v>11</v>
      </c>
      <c r="G9253" s="2" t="s">
        <v>25968</v>
      </c>
      <c r="H9253" s="2" t="s">
        <v>25969</v>
      </c>
    </row>
    <row r="9254" spans="1:8" ht="25.05" customHeight="1" x14ac:dyDescent="0.25">
      <c r="A9254" s="2" t="s">
        <v>8</v>
      </c>
      <c r="B9254" s="2" t="str">
        <f>HYPERLINK("http://ts.21cn.com/tousu/show/id/1340398","不断骚扰家人")</f>
        <v>不断骚扰家人</v>
      </c>
      <c r="C9254" s="2" t="s">
        <v>9</v>
      </c>
      <c r="D9254" s="2" t="s">
        <v>10</v>
      </c>
      <c r="E9254" s="2" t="str">
        <f>HYPERLINK("http://ts.21cn.com/tousu/show/id/1340398","http://ts.21cn.com/tousu/show/id/1340398")</f>
        <v>http://ts.21cn.com/tousu/show/id/1340398</v>
      </c>
      <c r="F9254" s="2" t="s">
        <v>11</v>
      </c>
      <c r="G9254" s="2" t="s">
        <v>25966</v>
      </c>
      <c r="H9254" s="2" t="s">
        <v>25967</v>
      </c>
    </row>
    <row r="9255" spans="1:8" ht="25.05" customHeight="1" x14ac:dyDescent="0.25">
      <c r="A9255" s="2" t="s">
        <v>8</v>
      </c>
      <c r="B9255" s="2" t="str">
        <f>HYPERLINK("http://ts.21cn.com/tousu/show/id/1340400","智行火车票未允许情况下多收加速包费用")</f>
        <v>智行火车票未允许情况下多收加速包费用</v>
      </c>
      <c r="C9255" s="2" t="s">
        <v>9</v>
      </c>
      <c r="D9255" s="2" t="s">
        <v>10</v>
      </c>
      <c r="E9255" s="2" t="str">
        <f>HYPERLINK("http://ts.21cn.com/tousu/show/id/1340400","http://ts.21cn.com/tousu/show/id/1340400")</f>
        <v>http://ts.21cn.com/tousu/show/id/1340400</v>
      </c>
      <c r="F9255" s="2" t="s">
        <v>11</v>
      </c>
      <c r="G9255" s="2" t="s">
        <v>25964</v>
      </c>
      <c r="H9255" s="2" t="s">
        <v>25965</v>
      </c>
    </row>
    <row r="9256" spans="1:8" ht="25.05" customHeight="1" x14ac:dyDescent="0.25">
      <c r="A9256" s="2" t="s">
        <v>8</v>
      </c>
      <c r="B9256" s="2" t="str">
        <f>HYPERLINK("http://ts.21cn.com/tousu/show/id/1340401","招商银行恶意骚扰联系人")</f>
        <v>招商银行恶意骚扰联系人</v>
      </c>
      <c r="C9256" s="2" t="s">
        <v>9</v>
      </c>
      <c r="D9256" s="2" t="s">
        <v>10</v>
      </c>
      <c r="E9256" s="2" t="str">
        <f>HYPERLINK("http://ts.21cn.com/tousu/show/id/1340401","http://ts.21cn.com/tousu/show/id/1340401")</f>
        <v>http://ts.21cn.com/tousu/show/id/1340401</v>
      </c>
      <c r="F9256" s="2" t="s">
        <v>11</v>
      </c>
      <c r="G9256" s="2" t="s">
        <v>25962</v>
      </c>
      <c r="H9256" s="2" t="s">
        <v>25963</v>
      </c>
    </row>
    <row r="9257" spans="1:8" ht="25.05" customHeight="1" x14ac:dyDescent="0.25">
      <c r="A9257" s="2" t="s">
        <v>8</v>
      </c>
      <c r="B9257" s="2" t="str">
        <f>HYPERLINK("http://ts.21cn.com/tousu/show/id/1340402","差1000多还款3个月。还了1300还要我还400不知道哪里来的费用。")</f>
        <v>差1000多还款3个月。还了1300还要我还400不知道哪里来的费用。</v>
      </c>
      <c r="C9257" s="2" t="s">
        <v>34</v>
      </c>
      <c r="D9257" s="2" t="s">
        <v>10</v>
      </c>
      <c r="E9257" s="2" t="str">
        <f>HYPERLINK("http://ts.21cn.com/tousu/show/id/1340402","http://ts.21cn.com/tousu/show/id/1340402")</f>
        <v>http://ts.21cn.com/tousu/show/id/1340402</v>
      </c>
      <c r="F9257" s="2" t="s">
        <v>11</v>
      </c>
      <c r="G9257" s="2" t="s">
        <v>25960</v>
      </c>
      <c r="H9257" s="2" t="s">
        <v>25961</v>
      </c>
    </row>
    <row r="9258" spans="1:8" ht="25.05" customHeight="1" x14ac:dyDescent="0.25">
      <c r="A9258" s="2" t="s">
        <v>8</v>
      </c>
      <c r="B9258" s="2" t="str">
        <f>HYPERLINK("http://ts.21cn.com/tousu/show/id/1340404","米米罐高利贷")</f>
        <v>米米罐高利贷</v>
      </c>
      <c r="C9258" s="2" t="s">
        <v>9</v>
      </c>
      <c r="D9258" s="2" t="s">
        <v>10</v>
      </c>
      <c r="E9258" s="2" t="str">
        <f>HYPERLINK("http://ts.21cn.com/tousu/show/id/1340404","http://ts.21cn.com/tousu/show/id/1340404")</f>
        <v>http://ts.21cn.com/tousu/show/id/1340404</v>
      </c>
      <c r="F9258" s="2" t="s">
        <v>11</v>
      </c>
      <c r="G9258" s="2" t="s">
        <v>25958</v>
      </c>
      <c r="H9258" s="2" t="s">
        <v>25959</v>
      </c>
    </row>
    <row r="9259" spans="1:8" ht="25.05" customHeight="1" x14ac:dyDescent="0.25">
      <c r="A9259" s="2" t="s">
        <v>8</v>
      </c>
      <c r="B9259" s="2" t="str">
        <f>HYPERLINK("http://ts.21cn.com/tousu/show/id/1340403","特约中归还款")</f>
        <v>特约中归还款</v>
      </c>
      <c r="C9259" s="2" t="s">
        <v>9</v>
      </c>
      <c r="D9259" s="2" t="s">
        <v>10</v>
      </c>
      <c r="E9259" s="2" t="str">
        <f>HYPERLINK("http://ts.21cn.com/tousu/show/id/1340403","http://ts.21cn.com/tousu/show/id/1340403")</f>
        <v>http://ts.21cn.com/tousu/show/id/1340403</v>
      </c>
      <c r="F9259" s="2" t="s">
        <v>11</v>
      </c>
      <c r="G9259" s="2" t="s">
        <v>25956</v>
      </c>
      <c r="H9259" s="2" t="s">
        <v>25957</v>
      </c>
    </row>
    <row r="9260" spans="1:8" ht="25.05" customHeight="1" x14ac:dyDescent="0.25">
      <c r="A9260" s="2" t="s">
        <v>8</v>
      </c>
      <c r="B9260" s="2" t="str">
        <f>HYPERLINK("http://ts.21cn.com/tousu/show/id/1340405","催收辱骂")</f>
        <v>催收辱骂</v>
      </c>
      <c r="C9260" s="2" t="s">
        <v>9</v>
      </c>
      <c r="D9260" s="2" t="s">
        <v>10</v>
      </c>
      <c r="E9260" s="2" t="str">
        <f>HYPERLINK("http://ts.21cn.com/tousu/show/id/1340405","http://ts.21cn.com/tousu/show/id/1340405")</f>
        <v>http://ts.21cn.com/tousu/show/id/1340405</v>
      </c>
      <c r="F9260" s="2" t="s">
        <v>11</v>
      </c>
      <c r="G9260" s="2" t="s">
        <v>25954</v>
      </c>
      <c r="H9260" s="2" t="s">
        <v>25955</v>
      </c>
    </row>
    <row r="9261" spans="1:8" ht="25.05" customHeight="1" x14ac:dyDescent="0.25">
      <c r="A9261" s="2" t="s">
        <v>8</v>
      </c>
      <c r="B9261" s="2" t="str">
        <f>HYPERLINK("http://ts.21cn.com/tousu/show/id/1340407","遭遇暴力催收")</f>
        <v>遭遇暴力催收</v>
      </c>
      <c r="C9261" s="2" t="s">
        <v>9</v>
      </c>
      <c r="D9261" s="2" t="s">
        <v>10</v>
      </c>
      <c r="E9261" s="2" t="str">
        <f>HYPERLINK("http://ts.21cn.com/tousu/show/id/1340407","http://ts.21cn.com/tousu/show/id/1340407")</f>
        <v>http://ts.21cn.com/tousu/show/id/1340407</v>
      </c>
      <c r="F9261" s="2" t="s">
        <v>11</v>
      </c>
      <c r="G9261" s="2" t="s">
        <v>25952</v>
      </c>
      <c r="H9261" s="2" t="s">
        <v>25953</v>
      </c>
    </row>
    <row r="9262" spans="1:8" ht="25.05" customHeight="1" x14ac:dyDescent="0.25">
      <c r="A9262" s="2" t="s">
        <v>8</v>
      </c>
      <c r="B9262" s="2" t="str">
        <f>HYPERLINK("http://ts.21cn.com/tousu/show/id/1340409","小浦优客在我不知情的情况下扣我296元")</f>
        <v>小浦优客在我不知情的情况下扣我296元</v>
      </c>
      <c r="C9262" s="2" t="s">
        <v>9</v>
      </c>
      <c r="D9262" s="2" t="s">
        <v>10</v>
      </c>
      <c r="E9262" s="2" t="str">
        <f>HYPERLINK("http://ts.21cn.com/tousu/show/id/1340409","http://ts.21cn.com/tousu/show/id/1340409")</f>
        <v>http://ts.21cn.com/tousu/show/id/1340409</v>
      </c>
      <c r="F9262" s="2" t="s">
        <v>11</v>
      </c>
      <c r="G9262" s="2" t="s">
        <v>25950</v>
      </c>
      <c r="H9262" s="2" t="s">
        <v>25951</v>
      </c>
    </row>
    <row r="9263" spans="1:8" ht="25.05" customHeight="1" x14ac:dyDescent="0.25">
      <c r="A9263" s="2" t="s">
        <v>8</v>
      </c>
      <c r="B9263" s="2" t="str">
        <f>HYPERLINK("http://ts.21cn.com/tousu/show/id/1340410","投诉钱站高利贷，暴力催收，骚扰家人")</f>
        <v>投诉钱站高利贷，暴力催收，骚扰家人</v>
      </c>
      <c r="C9263" s="2" t="s">
        <v>9</v>
      </c>
      <c r="D9263" s="2" t="s">
        <v>10</v>
      </c>
      <c r="E9263" s="2" t="str">
        <f>HYPERLINK("http://ts.21cn.com/tousu/show/id/1340410","http://ts.21cn.com/tousu/show/id/1340410")</f>
        <v>http://ts.21cn.com/tousu/show/id/1340410</v>
      </c>
      <c r="F9263" s="2" t="s">
        <v>11</v>
      </c>
      <c r="G9263" s="2" t="s">
        <v>25948</v>
      </c>
      <c r="H9263" s="2" t="s">
        <v>25949</v>
      </c>
    </row>
    <row r="9264" spans="1:8" ht="25.05" customHeight="1" x14ac:dyDescent="0.25">
      <c r="A9264" s="2" t="s">
        <v>8</v>
      </c>
      <c r="B9264" s="2" t="str">
        <f>HYPERLINK("http://ts.21cn.com/tousu/show/id/1340411","网贷砍头息")</f>
        <v>网贷砍头息</v>
      </c>
      <c r="C9264" s="2" t="s">
        <v>34</v>
      </c>
      <c r="D9264" s="2" t="s">
        <v>10</v>
      </c>
      <c r="E9264" s="2" t="str">
        <f>HYPERLINK("http://ts.21cn.com/tousu/show/id/1340411","http://ts.21cn.com/tousu/show/id/1340411")</f>
        <v>http://ts.21cn.com/tousu/show/id/1340411</v>
      </c>
      <c r="F9264" s="2" t="s">
        <v>11</v>
      </c>
      <c r="G9264" s="2" t="s">
        <v>25946</v>
      </c>
      <c r="H9264" s="2" t="s">
        <v>25947</v>
      </c>
    </row>
    <row r="9265" spans="1:8" ht="25.05" customHeight="1" x14ac:dyDescent="0.25">
      <c r="A9265" s="2" t="s">
        <v>8</v>
      </c>
      <c r="B9265" s="2" t="str">
        <f>HYPERLINK("http://ts.21cn.com/tousu/show/id/1340412","珍爱网线下红娘诱导消费万元起步，对服务不满意，诉求追回部分钱款")</f>
        <v>珍爱网线下红娘诱导消费万元起步，对服务不满意，诉求追回部分钱款</v>
      </c>
      <c r="C9265" s="2" t="s">
        <v>9</v>
      </c>
      <c r="D9265" s="2" t="s">
        <v>10</v>
      </c>
      <c r="E9265" s="2" t="str">
        <f>HYPERLINK("http://ts.21cn.com/tousu/show/id/1340412","http://ts.21cn.com/tousu/show/id/1340412")</f>
        <v>http://ts.21cn.com/tousu/show/id/1340412</v>
      </c>
      <c r="F9265" s="2" t="s">
        <v>11</v>
      </c>
      <c r="G9265" s="2" t="s">
        <v>25944</v>
      </c>
      <c r="H9265" s="2" t="s">
        <v>25945</v>
      </c>
    </row>
    <row r="9266" spans="1:8" ht="25.05" customHeight="1" x14ac:dyDescent="0.25">
      <c r="A9266" s="2" t="s">
        <v>8</v>
      </c>
      <c r="B9266" s="2" t="str">
        <f>HYPERLINK("http://ts.21cn.com/tousu/show/id/1340413","畅捷通支付为高利贷提供支付通道")</f>
        <v>畅捷通支付为高利贷提供支付通道</v>
      </c>
      <c r="C9266" s="2" t="s">
        <v>9</v>
      </c>
      <c r="D9266" s="2" t="s">
        <v>10</v>
      </c>
      <c r="E9266" s="2" t="str">
        <f>HYPERLINK("http://ts.21cn.com/tousu/show/id/1340413","http://ts.21cn.com/tousu/show/id/1340413")</f>
        <v>http://ts.21cn.com/tousu/show/id/1340413</v>
      </c>
      <c r="F9266" s="2" t="s">
        <v>11</v>
      </c>
      <c r="G9266" s="2" t="s">
        <v>25942</v>
      </c>
      <c r="H9266" s="2" t="s">
        <v>25943</v>
      </c>
    </row>
    <row r="9267" spans="1:8" ht="25.05" customHeight="1" x14ac:dyDescent="0.25">
      <c r="A9267" s="2" t="s">
        <v>8</v>
      </c>
      <c r="B9267" s="2" t="str">
        <f>HYPERLINK("http://ts.21cn.com/tousu/show/id/1340415","维信卡卡贷恶意骚扰联系人，高利贷，砍头息")</f>
        <v>维信卡卡贷恶意骚扰联系人，高利贷，砍头息</v>
      </c>
      <c r="C9267" s="2" t="s">
        <v>9</v>
      </c>
      <c r="D9267" s="2" t="s">
        <v>10</v>
      </c>
      <c r="E9267" s="2" t="str">
        <f>HYPERLINK("http://ts.21cn.com/tousu/show/id/1340415","http://ts.21cn.com/tousu/show/id/1340415")</f>
        <v>http://ts.21cn.com/tousu/show/id/1340415</v>
      </c>
      <c r="F9267" s="2" t="s">
        <v>11</v>
      </c>
      <c r="G9267" s="2" t="s">
        <v>25940</v>
      </c>
      <c r="H9267" s="2" t="s">
        <v>25941</v>
      </c>
    </row>
    <row r="9268" spans="1:8" ht="25.05" customHeight="1" x14ac:dyDescent="0.25">
      <c r="A9268" s="2" t="s">
        <v>8</v>
      </c>
      <c r="B9268" s="2" t="str">
        <f>HYPERLINK("http://ts.21cn.com/tousu/show/id/1340416","一刀传世扣款")</f>
        <v>一刀传世扣款</v>
      </c>
      <c r="C9268" s="2" t="s">
        <v>9</v>
      </c>
      <c r="D9268" s="2" t="s">
        <v>10</v>
      </c>
      <c r="E9268" s="2" t="str">
        <f>HYPERLINK("http://ts.21cn.com/tousu/show/id/1340416","http://ts.21cn.com/tousu/show/id/1340416")</f>
        <v>http://ts.21cn.com/tousu/show/id/1340416</v>
      </c>
      <c r="F9268" s="2" t="s">
        <v>11</v>
      </c>
      <c r="G9268" s="2" t="s">
        <v>25938</v>
      </c>
      <c r="H9268" s="2" t="s">
        <v>25939</v>
      </c>
    </row>
    <row r="9269" spans="1:8" ht="25.05" customHeight="1" x14ac:dyDescent="0.25">
      <c r="A9269" s="2" t="s">
        <v>8</v>
      </c>
      <c r="B9269" s="2" t="str">
        <f>HYPERLINK("http://ts.21cn.com/tousu/show/id/1340414","小花钱包协商一次性结清借款")</f>
        <v>小花钱包协商一次性结清借款</v>
      </c>
      <c r="C9269" s="2" t="s">
        <v>34</v>
      </c>
      <c r="D9269" s="2" t="s">
        <v>10</v>
      </c>
      <c r="E9269" s="2" t="str">
        <f>HYPERLINK("http://ts.21cn.com/tousu/show/id/1340414","http://ts.21cn.com/tousu/show/id/1340414")</f>
        <v>http://ts.21cn.com/tousu/show/id/1340414</v>
      </c>
      <c r="F9269" s="2" t="s">
        <v>11</v>
      </c>
      <c r="G9269" s="2" t="s">
        <v>25936</v>
      </c>
      <c r="H9269" s="2" t="s">
        <v>25937</v>
      </c>
    </row>
    <row r="9270" spans="1:8" ht="25.05" customHeight="1" x14ac:dyDescent="0.25">
      <c r="A9270" s="2" t="s">
        <v>8</v>
      </c>
      <c r="B9270" s="2" t="str">
        <f>HYPERLINK("http://ts.21cn.com/tousu/show/id/1340418","在积极协商情况下，威胁恐吓")</f>
        <v>在积极协商情况下，威胁恐吓</v>
      </c>
      <c r="C9270" s="2" t="s">
        <v>9</v>
      </c>
      <c r="D9270" s="2" t="s">
        <v>10</v>
      </c>
      <c r="E9270" s="2" t="str">
        <f>HYPERLINK("http://ts.21cn.com/tousu/show/id/1340418","http://ts.21cn.com/tousu/show/id/1340418")</f>
        <v>http://ts.21cn.com/tousu/show/id/1340418</v>
      </c>
      <c r="F9270" s="2" t="s">
        <v>11</v>
      </c>
      <c r="G9270" s="2" t="s">
        <v>25934</v>
      </c>
      <c r="H9270" s="2" t="s">
        <v>25935</v>
      </c>
    </row>
    <row r="9271" spans="1:8" ht="25.05" customHeight="1" x14ac:dyDescent="0.25">
      <c r="A9271" s="2" t="s">
        <v>8</v>
      </c>
      <c r="B9271" s="2" t="str">
        <f>HYPERLINK("http://ts.21cn.com/tousu/show/id/1340417","我来贷暴力催收")</f>
        <v>我来贷暴力催收</v>
      </c>
      <c r="C9271" s="2" t="s">
        <v>9</v>
      </c>
      <c r="D9271" s="2" t="s">
        <v>10</v>
      </c>
      <c r="E9271" s="2" t="str">
        <f>HYPERLINK("http://ts.21cn.com/tousu/show/id/1340417","http://ts.21cn.com/tousu/show/id/1340417")</f>
        <v>http://ts.21cn.com/tousu/show/id/1340417</v>
      </c>
      <c r="F9271" s="2" t="s">
        <v>11</v>
      </c>
      <c r="G9271" s="2" t="s">
        <v>25932</v>
      </c>
      <c r="H9271" s="2" t="s">
        <v>25933</v>
      </c>
    </row>
    <row r="9272" spans="1:8" ht="25.05" customHeight="1" x14ac:dyDescent="0.25">
      <c r="A9272" s="2" t="s">
        <v>8</v>
      </c>
      <c r="B9272" s="2" t="str">
        <f>HYPERLINK("http://ts.21cn.com/tousu/show/id/1340419","滴滴处理问题不人性！")</f>
        <v>滴滴处理问题不人性！</v>
      </c>
      <c r="C9272" s="2" t="s">
        <v>9</v>
      </c>
      <c r="D9272" s="2" t="s">
        <v>10</v>
      </c>
      <c r="E9272" s="2" t="str">
        <f>HYPERLINK("http://ts.21cn.com/tousu/show/id/1340419","http://ts.21cn.com/tousu/show/id/1340419")</f>
        <v>http://ts.21cn.com/tousu/show/id/1340419</v>
      </c>
      <c r="F9272" s="2" t="s">
        <v>11</v>
      </c>
      <c r="G9272" s="2" t="s">
        <v>25930</v>
      </c>
      <c r="H9272" s="2" t="s">
        <v>25931</v>
      </c>
    </row>
    <row r="9273" spans="1:8" ht="25.05" customHeight="1" x14ac:dyDescent="0.25">
      <c r="A9273" s="2" t="s">
        <v>8</v>
      </c>
      <c r="B9273" s="2" t="str">
        <f>HYPERLINK("http://ts.21cn.com/tousu/show/id/1340420","支付宝借呗委托三方催收威胁为由催款，而且态度恶劣")</f>
        <v>支付宝借呗委托三方催收威胁为由催款，而且态度恶劣</v>
      </c>
      <c r="C9273" s="2" t="s">
        <v>9</v>
      </c>
      <c r="D9273" s="2" t="s">
        <v>10</v>
      </c>
      <c r="E9273" s="2" t="str">
        <f>HYPERLINK("http://ts.21cn.com/tousu/show/id/1340420","http://ts.21cn.com/tousu/show/id/1340420")</f>
        <v>http://ts.21cn.com/tousu/show/id/1340420</v>
      </c>
      <c r="F9273" s="2" t="s">
        <v>11</v>
      </c>
      <c r="G9273" s="2" t="s">
        <v>25928</v>
      </c>
      <c r="H9273" s="2" t="s">
        <v>25929</v>
      </c>
    </row>
    <row r="9274" spans="1:8" ht="25.05" customHeight="1" x14ac:dyDescent="0.25">
      <c r="A9274" s="2" t="s">
        <v>8</v>
      </c>
      <c r="B9274" s="2" t="str">
        <f>HYPERLINK("http://ts.21cn.com/tousu/show/id/1340421","苏宁易购爆通讯录")</f>
        <v>苏宁易购爆通讯录</v>
      </c>
      <c r="C9274" s="2" t="s">
        <v>9</v>
      </c>
      <c r="D9274" s="2" t="s">
        <v>10</v>
      </c>
      <c r="E9274" s="2" t="str">
        <f>HYPERLINK("http://ts.21cn.com/tousu/show/id/1340421","http://ts.21cn.com/tousu/show/id/1340421")</f>
        <v>http://ts.21cn.com/tousu/show/id/1340421</v>
      </c>
      <c r="F9274" s="2" t="s">
        <v>11</v>
      </c>
      <c r="G9274" s="2" t="s">
        <v>25926</v>
      </c>
      <c r="H9274" s="2" t="s">
        <v>25927</v>
      </c>
    </row>
    <row r="9275" spans="1:8" ht="25.05" customHeight="1" x14ac:dyDescent="0.25">
      <c r="A9275" s="2" t="s">
        <v>8</v>
      </c>
      <c r="B9275" s="2" t="str">
        <f>HYPERLINK("http://ts.21cn.com/tousu/show/id/1339617","停机问题")</f>
        <v>停机问题</v>
      </c>
      <c r="C9275" s="2" t="s">
        <v>9</v>
      </c>
      <c r="D9275" s="2" t="s">
        <v>10</v>
      </c>
      <c r="E9275" s="2" t="str">
        <f>HYPERLINK("http://ts.21cn.com/tousu/show/id/1339617","http://ts.21cn.com/tousu/show/id/1339617")</f>
        <v>http://ts.21cn.com/tousu/show/id/1339617</v>
      </c>
      <c r="F9275" s="2" t="s">
        <v>11</v>
      </c>
      <c r="G9275" s="2" t="s">
        <v>25924</v>
      </c>
      <c r="H9275" s="2" t="s">
        <v>25925</v>
      </c>
    </row>
    <row r="9276" spans="1:8" ht="25.05" customHeight="1" x14ac:dyDescent="0.25">
      <c r="A9276" s="2" t="s">
        <v>8</v>
      </c>
      <c r="B9276" s="2" t="str">
        <f>HYPERLINK("http://ts.21cn.com/tousu/show/id/1340422","给我开通了一些付费的东西。每月多了几百的费用。协商不了也减不下来")</f>
        <v>给我开通了一些付费的东西。每月多了几百的费用。协商不了也减不下来</v>
      </c>
      <c r="C9276" s="2" t="s">
        <v>34</v>
      </c>
      <c r="D9276" s="2" t="s">
        <v>10</v>
      </c>
      <c r="E9276" s="2" t="str">
        <f>HYPERLINK("http://ts.21cn.com/tousu/show/id/1340422","http://ts.21cn.com/tousu/show/id/1340422")</f>
        <v>http://ts.21cn.com/tousu/show/id/1340422</v>
      </c>
      <c r="F9276" s="2" t="s">
        <v>11</v>
      </c>
      <c r="G9276" s="2" t="s">
        <v>25922</v>
      </c>
      <c r="H9276" s="2" t="s">
        <v>25923</v>
      </c>
    </row>
    <row r="9277" spans="1:8" ht="25.05" customHeight="1" x14ac:dyDescent="0.25">
      <c r="A9277" s="2" t="s">
        <v>8</v>
      </c>
      <c r="B9277" s="2" t="str">
        <f>HYPERLINK("http://ts.21cn.com/tousu/show/id/1340423","说是砍价领现金砍完给我优惠卷")</f>
        <v>说是砍价领现金砍完给我优惠卷</v>
      </c>
      <c r="C9277" s="2" t="s">
        <v>9</v>
      </c>
      <c r="D9277" s="2" t="s">
        <v>10</v>
      </c>
      <c r="E9277" s="2" t="str">
        <f>HYPERLINK("http://ts.21cn.com/tousu/show/id/1340423","http://ts.21cn.com/tousu/show/id/1340423")</f>
        <v>http://ts.21cn.com/tousu/show/id/1340423</v>
      </c>
      <c r="F9277" s="2" t="s">
        <v>11</v>
      </c>
      <c r="G9277" s="2" t="s">
        <v>25920</v>
      </c>
      <c r="H9277" s="2" t="s">
        <v>25921</v>
      </c>
    </row>
    <row r="9278" spans="1:8" ht="25.05" customHeight="1" x14ac:dyDescent="0.25">
      <c r="A9278" s="2" t="s">
        <v>8</v>
      </c>
      <c r="B9278" s="2" t="str">
        <f>HYPERLINK("http://ts.21cn.com/tousu/show/id/1340425","拍拍贷暴力催收，骚扰我的亲人朋友，对我照成严重生的生活影响")</f>
        <v>拍拍贷暴力催收，骚扰我的亲人朋友，对我照成严重生的生活影响</v>
      </c>
      <c r="C9278" s="2" t="s">
        <v>9</v>
      </c>
      <c r="D9278" s="2" t="s">
        <v>10</v>
      </c>
      <c r="E9278" s="2" t="str">
        <f>HYPERLINK("http://ts.21cn.com/tousu/show/id/1340425","http://ts.21cn.com/tousu/show/id/1340425")</f>
        <v>http://ts.21cn.com/tousu/show/id/1340425</v>
      </c>
      <c r="F9278" s="2" t="s">
        <v>11</v>
      </c>
      <c r="G9278" s="2" t="s">
        <v>25918</v>
      </c>
      <c r="H9278" s="2" t="s">
        <v>25919</v>
      </c>
    </row>
    <row r="9279" spans="1:8" ht="25.05" customHeight="1" x14ac:dyDescent="0.25">
      <c r="A9279" s="2" t="s">
        <v>8</v>
      </c>
      <c r="B9279" s="2" t="str">
        <f>HYPERLINK("http://ts.21cn.com/tousu/show/id/1340426","骚扰电话恐吓威胁")</f>
        <v>骚扰电话恐吓威胁</v>
      </c>
      <c r="C9279" s="2" t="s">
        <v>9</v>
      </c>
      <c r="D9279" s="2" t="s">
        <v>10</v>
      </c>
      <c r="E9279" s="2" t="str">
        <f>HYPERLINK("http://ts.21cn.com/tousu/show/id/1340426","http://ts.21cn.com/tousu/show/id/1340426")</f>
        <v>http://ts.21cn.com/tousu/show/id/1340426</v>
      </c>
      <c r="F9279" s="2" t="s">
        <v>11</v>
      </c>
      <c r="G9279" s="2" t="s">
        <v>25916</v>
      </c>
      <c r="H9279" s="2" t="s">
        <v>25917</v>
      </c>
    </row>
    <row r="9280" spans="1:8" ht="25.05" customHeight="1" x14ac:dyDescent="0.25">
      <c r="A9280" s="2" t="s">
        <v>8</v>
      </c>
      <c r="B9280" s="2" t="str">
        <f>HYPERLINK("http://ts.21cn.com/tousu/show/id/1340387","支付宝借呗恶意催收，骂人，侮辱，真的是行为汗颜")</f>
        <v>支付宝借呗恶意催收，骂人，侮辱，真的是行为汗颜</v>
      </c>
      <c r="C9280" s="2" t="s">
        <v>9</v>
      </c>
      <c r="D9280" s="2" t="s">
        <v>10</v>
      </c>
      <c r="E9280" s="2" t="str">
        <f>HYPERLINK("http://ts.21cn.com/tousu/show/id/1340387","http://ts.21cn.com/tousu/show/id/1340387")</f>
        <v>http://ts.21cn.com/tousu/show/id/1340387</v>
      </c>
      <c r="F9280" s="2" t="s">
        <v>11</v>
      </c>
      <c r="G9280" s="2" t="s">
        <v>25914</v>
      </c>
      <c r="H9280" s="2" t="s">
        <v>25915</v>
      </c>
    </row>
    <row r="9281" spans="1:8" ht="25.05" customHeight="1" x14ac:dyDescent="0.25">
      <c r="A9281" s="2" t="s">
        <v>8</v>
      </c>
      <c r="B9281" s="2" t="str">
        <f>HYPERLINK("http://ts.21cn.com/tousu/show/id/1340427","涉嫌套路贷砍头息高利贷。照这样下去永远还不完。")</f>
        <v>涉嫌套路贷砍头息高利贷。照这样下去永远还不完。</v>
      </c>
      <c r="C9281" s="2" t="s">
        <v>9</v>
      </c>
      <c r="D9281" s="2" t="s">
        <v>10</v>
      </c>
      <c r="E9281" s="2" t="str">
        <f>HYPERLINK("http://ts.21cn.com/tousu/show/id/1340427","http://ts.21cn.com/tousu/show/id/1340427")</f>
        <v>http://ts.21cn.com/tousu/show/id/1340427</v>
      </c>
      <c r="F9281" s="2" t="s">
        <v>11</v>
      </c>
      <c r="G9281" s="2" t="s">
        <v>25912</v>
      </c>
      <c r="H9281" s="2" t="s">
        <v>25913</v>
      </c>
    </row>
    <row r="9282" spans="1:8" ht="25.05" customHeight="1" x14ac:dyDescent="0.25">
      <c r="A9282" s="2" t="s">
        <v>8</v>
      </c>
      <c r="B9282" s="2" t="str">
        <f>HYPERLINK("http://ts.21cn.com/tousu/show/id/1340428","招联金融恶意催收")</f>
        <v>招联金融恶意催收</v>
      </c>
      <c r="C9282" s="2" t="s">
        <v>9</v>
      </c>
      <c r="D9282" s="2" t="s">
        <v>10</v>
      </c>
      <c r="E9282" s="2" t="str">
        <f>HYPERLINK("http://ts.21cn.com/tousu/show/id/1340428","http://ts.21cn.com/tousu/show/id/1340428")</f>
        <v>http://ts.21cn.com/tousu/show/id/1340428</v>
      </c>
      <c r="F9282" s="2" t="s">
        <v>11</v>
      </c>
      <c r="G9282" s="2" t="s">
        <v>25910</v>
      </c>
      <c r="H9282" s="2" t="s">
        <v>25911</v>
      </c>
    </row>
    <row r="9283" spans="1:8" ht="25.05" customHeight="1" x14ac:dyDescent="0.25">
      <c r="A9283" s="2" t="s">
        <v>8</v>
      </c>
      <c r="B9283" s="2" t="str">
        <f>HYPERLINK("http://ts.21cn.com/tousu/show/id/1340429","蜂鸟众包胡乱开罚单，恶意克扣骑手费用")</f>
        <v>蜂鸟众包胡乱开罚单，恶意克扣骑手费用</v>
      </c>
      <c r="C9283" s="2" t="s">
        <v>9</v>
      </c>
      <c r="D9283" s="2" t="s">
        <v>10</v>
      </c>
      <c r="E9283" s="2" t="str">
        <f>HYPERLINK("http://ts.21cn.com/tousu/show/id/1340429","http://ts.21cn.com/tousu/show/id/1340429")</f>
        <v>http://ts.21cn.com/tousu/show/id/1340429</v>
      </c>
      <c r="F9283" s="2" t="s">
        <v>11</v>
      </c>
      <c r="G9283" s="2" t="s">
        <v>25908</v>
      </c>
      <c r="H9283" s="2" t="s">
        <v>25909</v>
      </c>
    </row>
    <row r="9284" spans="1:8" ht="25.05" customHeight="1" x14ac:dyDescent="0.25">
      <c r="A9284" s="2" t="s">
        <v>8</v>
      </c>
      <c r="B9284" s="2" t="str">
        <f>HYPERLINK("http://ts.21cn.com/tousu/show/id/1340431","罗马仕充电宝虚假宣传")</f>
        <v>罗马仕充电宝虚假宣传</v>
      </c>
      <c r="C9284" s="2" t="s">
        <v>9</v>
      </c>
      <c r="D9284" s="2" t="s">
        <v>10</v>
      </c>
      <c r="E9284" s="2" t="str">
        <f>HYPERLINK("http://ts.21cn.com/tousu/show/id/1340431","http://ts.21cn.com/tousu/show/id/1340431")</f>
        <v>http://ts.21cn.com/tousu/show/id/1340431</v>
      </c>
      <c r="F9284" s="2" t="s">
        <v>11</v>
      </c>
      <c r="G9284" s="2" t="s">
        <v>25906</v>
      </c>
      <c r="H9284" s="2" t="s">
        <v>25907</v>
      </c>
    </row>
    <row r="9285" spans="1:8" ht="25.05" customHeight="1" x14ac:dyDescent="0.25">
      <c r="A9285" s="2" t="s">
        <v>8</v>
      </c>
      <c r="B9285" s="2" t="str">
        <f>HYPERLINK("http://ts.21cn.com/tousu/show/id/1340433","蟹老弟与宝付支付勾结进行高利贷")</f>
        <v>蟹老弟与宝付支付勾结进行高利贷</v>
      </c>
      <c r="C9285" s="2" t="s">
        <v>9</v>
      </c>
      <c r="D9285" s="2" t="s">
        <v>10</v>
      </c>
      <c r="E9285" s="2" t="str">
        <f>HYPERLINK("http://ts.21cn.com/tousu/show/id/1340433","http://ts.21cn.com/tousu/show/id/1340433")</f>
        <v>http://ts.21cn.com/tousu/show/id/1340433</v>
      </c>
      <c r="F9285" s="2" t="s">
        <v>11</v>
      </c>
      <c r="G9285" s="2" t="s">
        <v>25904</v>
      </c>
      <c r="H9285" s="2" t="s">
        <v>25905</v>
      </c>
    </row>
    <row r="9286" spans="1:8" ht="25.05" customHeight="1" x14ac:dyDescent="0.25">
      <c r="A9286" s="2" t="s">
        <v>8</v>
      </c>
      <c r="B9286" s="2" t="str">
        <f>HYPERLINK("http://ts.21cn.com/tousu/show/id/1340432","扣了钱没有消掉还款")</f>
        <v>扣了钱没有消掉还款</v>
      </c>
      <c r="C9286" s="2" t="s">
        <v>34</v>
      </c>
      <c r="D9286" s="2" t="s">
        <v>10</v>
      </c>
      <c r="E9286" s="2" t="str">
        <f>HYPERLINK("http://ts.21cn.com/tousu/show/id/1340432","http://ts.21cn.com/tousu/show/id/1340432")</f>
        <v>http://ts.21cn.com/tousu/show/id/1340432</v>
      </c>
      <c r="F9286" s="2" t="s">
        <v>11</v>
      </c>
      <c r="G9286" s="2" t="s">
        <v>25902</v>
      </c>
      <c r="H9286" s="2" t="s">
        <v>25903</v>
      </c>
    </row>
    <row r="9287" spans="1:8" ht="25.05" customHeight="1" x14ac:dyDescent="0.25">
      <c r="A9287" s="2" t="s">
        <v>8</v>
      </c>
      <c r="B9287" s="2" t="str">
        <f>HYPERLINK("http://ts.21cn.com/tousu/show/id/1340434","名校贷咨询费不退还")</f>
        <v>名校贷咨询费不退还</v>
      </c>
      <c r="C9287" s="2" t="s">
        <v>9</v>
      </c>
      <c r="D9287" s="2" t="s">
        <v>10</v>
      </c>
      <c r="E9287" s="2" t="str">
        <f>HYPERLINK("http://ts.21cn.com/tousu/show/id/1340434","http://ts.21cn.com/tousu/show/id/1340434")</f>
        <v>http://ts.21cn.com/tousu/show/id/1340434</v>
      </c>
      <c r="F9287" s="2" t="s">
        <v>11</v>
      </c>
      <c r="G9287" s="2" t="s">
        <v>25900</v>
      </c>
      <c r="H9287" s="2" t="s">
        <v>25901</v>
      </c>
    </row>
    <row r="9288" spans="1:8" ht="25.05" customHeight="1" x14ac:dyDescent="0.25">
      <c r="A9288" s="2" t="s">
        <v>8</v>
      </c>
      <c r="B9288" s="2" t="str">
        <f>HYPERLINK("http://ts.21cn.com/tousu/show/id/1340435","发恶意短信威胁，骚扰我通讯录")</f>
        <v>发恶意短信威胁，骚扰我通讯录</v>
      </c>
      <c r="C9288" s="2" t="s">
        <v>9</v>
      </c>
      <c r="D9288" s="2" t="s">
        <v>10</v>
      </c>
      <c r="E9288" s="2" t="str">
        <f>HYPERLINK("http://ts.21cn.com/tousu/show/id/1340435","http://ts.21cn.com/tousu/show/id/1340435")</f>
        <v>http://ts.21cn.com/tousu/show/id/1340435</v>
      </c>
      <c r="F9288" s="2" t="s">
        <v>11</v>
      </c>
      <c r="G9288" s="2" t="s">
        <v>25898</v>
      </c>
      <c r="H9288" s="2" t="s">
        <v>25899</v>
      </c>
    </row>
    <row r="9289" spans="1:8" ht="25.05" customHeight="1" x14ac:dyDescent="0.25">
      <c r="A9289" s="2" t="s">
        <v>8</v>
      </c>
      <c r="B9289" s="2" t="str">
        <f>HYPERLINK("http://ts.21cn.com/tousu/show/id/1340436","泄露个人隐私通讯")</f>
        <v>泄露个人隐私通讯</v>
      </c>
      <c r="C9289" s="2" t="s">
        <v>34</v>
      </c>
      <c r="D9289" s="2" t="s">
        <v>10</v>
      </c>
      <c r="E9289" s="2" t="str">
        <f>HYPERLINK("http://ts.21cn.com/tousu/show/id/1340436","http://ts.21cn.com/tousu/show/id/1340436")</f>
        <v>http://ts.21cn.com/tousu/show/id/1340436</v>
      </c>
      <c r="F9289" s="2" t="s">
        <v>11</v>
      </c>
      <c r="G9289" s="2" t="s">
        <v>25896</v>
      </c>
      <c r="H9289" s="2" t="s">
        <v>25897</v>
      </c>
    </row>
    <row r="9290" spans="1:8" ht="25.05" customHeight="1" x14ac:dyDescent="0.25">
      <c r="A9290" s="2" t="s">
        <v>8</v>
      </c>
      <c r="B9290" s="2" t="str">
        <f>HYPERLINK("http://ts.21cn.com/tousu/show/id/1340437","易安保险联合网贷放高利贷")</f>
        <v>易安保险联合网贷放高利贷</v>
      </c>
      <c r="C9290" s="2" t="s">
        <v>9</v>
      </c>
      <c r="D9290" s="2" t="s">
        <v>10</v>
      </c>
      <c r="E9290" s="2" t="str">
        <f>HYPERLINK("http://ts.21cn.com/tousu/show/id/1340437","http://ts.21cn.com/tousu/show/id/1340437")</f>
        <v>http://ts.21cn.com/tousu/show/id/1340437</v>
      </c>
      <c r="F9290" s="2" t="s">
        <v>11</v>
      </c>
      <c r="G9290" s="2" t="s">
        <v>25894</v>
      </c>
      <c r="H9290" s="2" t="s">
        <v>25895</v>
      </c>
    </row>
    <row r="9291" spans="1:8" ht="25.05" customHeight="1" x14ac:dyDescent="0.25">
      <c r="A9291" s="2" t="s">
        <v>8</v>
      </c>
      <c r="B9291" s="2" t="str">
        <f>HYPERLINK("http://ts.21cn.com/tousu/show/id/1340438","小浦优客app未经同意强行扣取报告费要求退回")</f>
        <v>小浦优客app未经同意强行扣取报告费要求退回</v>
      </c>
      <c r="C9291" s="2" t="s">
        <v>9</v>
      </c>
      <c r="D9291" s="2" t="s">
        <v>10</v>
      </c>
      <c r="E9291" s="2" t="str">
        <f>HYPERLINK("http://ts.21cn.com/tousu/show/id/1340438","http://ts.21cn.com/tousu/show/id/1340438")</f>
        <v>http://ts.21cn.com/tousu/show/id/1340438</v>
      </c>
      <c r="F9291" s="2" t="s">
        <v>11</v>
      </c>
      <c r="G9291" s="2" t="s">
        <v>25892</v>
      </c>
      <c r="H9291" s="2" t="s">
        <v>25893</v>
      </c>
    </row>
    <row r="9292" spans="1:8" ht="25.05" customHeight="1" x14ac:dyDescent="0.25">
      <c r="A9292" s="2" t="s">
        <v>8</v>
      </c>
      <c r="B9292" s="2" t="str">
        <f>HYPERLINK("http://ts.21cn.com/tousu/show/id/1340439","小浦优客无良平台恶意扣款296元")</f>
        <v>小浦优客无良平台恶意扣款296元</v>
      </c>
      <c r="C9292" s="2" t="s">
        <v>9</v>
      </c>
      <c r="D9292" s="2" t="s">
        <v>10</v>
      </c>
      <c r="E9292" s="2" t="str">
        <f>HYPERLINK("http://ts.21cn.com/tousu/show/id/1340439","http://ts.21cn.com/tousu/show/id/1340439")</f>
        <v>http://ts.21cn.com/tousu/show/id/1340439</v>
      </c>
      <c r="F9292" s="2" t="s">
        <v>11</v>
      </c>
      <c r="G9292" s="2" t="s">
        <v>25890</v>
      </c>
      <c r="H9292" s="2" t="s">
        <v>25891</v>
      </c>
    </row>
    <row r="9293" spans="1:8" ht="25.05" customHeight="1" x14ac:dyDescent="0.25">
      <c r="A9293" s="2" t="s">
        <v>8</v>
      </c>
      <c r="B9293" s="2" t="str">
        <f>HYPERLINK("http://ts.21cn.com/tousu/show/id/1340440","骚扰")</f>
        <v>骚扰</v>
      </c>
      <c r="C9293" s="2" t="s">
        <v>9</v>
      </c>
      <c r="D9293" s="2" t="s">
        <v>10</v>
      </c>
      <c r="E9293" s="2" t="str">
        <f>HYPERLINK("http://ts.21cn.com/tousu/show/id/1340440","http://ts.21cn.com/tousu/show/id/1340440")</f>
        <v>http://ts.21cn.com/tousu/show/id/1340440</v>
      </c>
      <c r="F9293" s="2" t="s">
        <v>11</v>
      </c>
      <c r="G9293" s="2" t="s">
        <v>25888</v>
      </c>
      <c r="H9293" s="2" t="s">
        <v>25889</v>
      </c>
    </row>
    <row r="9294" spans="1:8" ht="25.05" customHeight="1" x14ac:dyDescent="0.25">
      <c r="A9294" s="2" t="s">
        <v>8</v>
      </c>
      <c r="B9294" s="2" t="str">
        <f>HYPERLINK("http://ts.21cn.com/tousu/show/id/1340441","钱站利息太高，要求钱站调整利率")</f>
        <v>钱站利息太高，要求钱站调整利率</v>
      </c>
      <c r="C9294" s="2" t="s">
        <v>9</v>
      </c>
      <c r="D9294" s="2" t="s">
        <v>10</v>
      </c>
      <c r="E9294" s="2" t="str">
        <f>HYPERLINK("http://ts.21cn.com/tousu/show/id/1340441","http://ts.21cn.com/tousu/show/id/1340441")</f>
        <v>http://ts.21cn.com/tousu/show/id/1340441</v>
      </c>
      <c r="F9294" s="2" t="s">
        <v>11</v>
      </c>
      <c r="G9294" s="2" t="s">
        <v>25886</v>
      </c>
      <c r="H9294" s="2" t="s">
        <v>25887</v>
      </c>
    </row>
    <row r="9295" spans="1:8" ht="25.05" customHeight="1" x14ac:dyDescent="0.25">
      <c r="A9295" s="2" t="s">
        <v>8</v>
      </c>
      <c r="B9295" s="2" t="str">
        <f>HYPERLINK("http://ts.21cn.com/tousu/show/id/1340442","小浦优客随意扣款")</f>
        <v>小浦优客随意扣款</v>
      </c>
      <c r="C9295" s="2" t="s">
        <v>9</v>
      </c>
      <c r="D9295" s="2" t="s">
        <v>10</v>
      </c>
      <c r="E9295" s="2" t="str">
        <f>HYPERLINK("http://ts.21cn.com/tousu/show/id/1340442","http://ts.21cn.com/tousu/show/id/1340442")</f>
        <v>http://ts.21cn.com/tousu/show/id/1340442</v>
      </c>
      <c r="F9295" s="2" t="s">
        <v>11</v>
      </c>
      <c r="G9295" s="2" t="s">
        <v>25884</v>
      </c>
      <c r="H9295" s="2" t="s">
        <v>25885</v>
      </c>
    </row>
    <row r="9296" spans="1:8" ht="25.05" customHeight="1" x14ac:dyDescent="0.25">
      <c r="A9296" s="2" t="s">
        <v>8</v>
      </c>
      <c r="B9296" s="2" t="str">
        <f>HYPERLINK("http://ts.21cn.com/tousu/show/id/1340444","花月钱包超高利贷，威胁，暴力")</f>
        <v>花月钱包超高利贷，威胁，暴力</v>
      </c>
      <c r="C9296" s="2" t="s">
        <v>9</v>
      </c>
      <c r="D9296" s="2" t="s">
        <v>10</v>
      </c>
      <c r="E9296" s="2" t="str">
        <f>HYPERLINK("http://ts.21cn.com/tousu/show/id/1340444","http://ts.21cn.com/tousu/show/id/1340444")</f>
        <v>http://ts.21cn.com/tousu/show/id/1340444</v>
      </c>
      <c r="F9296" s="2" t="s">
        <v>11</v>
      </c>
      <c r="G9296" s="2" t="s">
        <v>25882</v>
      </c>
      <c r="H9296" s="2" t="s">
        <v>25883</v>
      </c>
    </row>
    <row r="9297" spans="1:8" ht="25.05" customHeight="1" x14ac:dyDescent="0.25">
      <c r="A9297" s="2" t="s">
        <v>8</v>
      </c>
      <c r="B9297" s="2" t="str">
        <f>HYPERLINK("http://ts.21cn.com/tousu/show/id/1340443","钱站还款日恐吓通讯录")</f>
        <v>钱站还款日恐吓通讯录</v>
      </c>
      <c r="C9297" s="2" t="s">
        <v>9</v>
      </c>
      <c r="D9297" s="2" t="s">
        <v>10</v>
      </c>
      <c r="E9297" s="2" t="str">
        <f>HYPERLINK("http://ts.21cn.com/tousu/show/id/1340443","http://ts.21cn.com/tousu/show/id/1340443")</f>
        <v>http://ts.21cn.com/tousu/show/id/1340443</v>
      </c>
      <c r="F9297" s="2" t="s">
        <v>11</v>
      </c>
      <c r="G9297" s="2" t="s">
        <v>25880</v>
      </c>
      <c r="H9297" s="2" t="s">
        <v>25881</v>
      </c>
    </row>
    <row r="9298" spans="1:8" ht="25.05" customHeight="1" x14ac:dyDescent="0.25">
      <c r="A9298" s="2" t="s">
        <v>8</v>
      </c>
      <c r="B9298" s="2" t="str">
        <f>HYPERLINK("http://ts.21cn.com/tousu/show/id/1340446","小黑鱼点心贷砍头息，高额逾期费")</f>
        <v>小黑鱼点心贷砍头息，高额逾期费</v>
      </c>
      <c r="C9298" s="2" t="s">
        <v>9</v>
      </c>
      <c r="D9298" s="2" t="s">
        <v>10</v>
      </c>
      <c r="E9298" s="2" t="str">
        <f>HYPERLINK("http://ts.21cn.com/tousu/show/id/1340446","http://ts.21cn.com/tousu/show/id/1340446")</f>
        <v>http://ts.21cn.com/tousu/show/id/1340446</v>
      </c>
      <c r="F9298" s="2" t="s">
        <v>11</v>
      </c>
      <c r="G9298" s="2" t="s">
        <v>25878</v>
      </c>
      <c r="H9298" s="2" t="s">
        <v>25879</v>
      </c>
    </row>
    <row r="9299" spans="1:8" ht="25.05" customHeight="1" x14ac:dyDescent="0.25">
      <c r="A9299" s="2" t="s">
        <v>8</v>
      </c>
      <c r="B9299" s="2" t="str">
        <f>HYPERLINK("http://ts.21cn.com/tousu/show/id/1340445","小度有钱强制收取会员费，未经本人同意直接扣款")</f>
        <v>小度有钱强制收取会员费，未经本人同意直接扣款</v>
      </c>
      <c r="C9299" s="2" t="s">
        <v>9</v>
      </c>
      <c r="D9299" s="2" t="s">
        <v>10</v>
      </c>
      <c r="E9299" s="2" t="str">
        <f>HYPERLINK("http://ts.21cn.com/tousu/show/id/1340445","http://ts.21cn.com/tousu/show/id/1340445")</f>
        <v>http://ts.21cn.com/tousu/show/id/1340445</v>
      </c>
      <c r="F9299" s="2" t="s">
        <v>11</v>
      </c>
      <c r="G9299" s="2" t="s">
        <v>25876</v>
      </c>
      <c r="H9299" s="2" t="s">
        <v>25877</v>
      </c>
    </row>
    <row r="9300" spans="1:8" ht="25.05" customHeight="1" x14ac:dyDescent="0.25">
      <c r="A9300" s="2" t="s">
        <v>8</v>
      </c>
      <c r="B9300" s="2" t="str">
        <f>HYPERLINK("http://ts.21cn.com/tousu/show/id/1340447","自如APP退款原路退回")</f>
        <v>自如APP退款原路退回</v>
      </c>
      <c r="C9300" s="2" t="s">
        <v>9</v>
      </c>
      <c r="D9300" s="2" t="s">
        <v>10</v>
      </c>
      <c r="E9300" s="2" t="str">
        <f>HYPERLINK("http://ts.21cn.com/tousu/show/id/1340447","http://ts.21cn.com/tousu/show/id/1340447")</f>
        <v>http://ts.21cn.com/tousu/show/id/1340447</v>
      </c>
      <c r="F9300" s="2" t="s">
        <v>11</v>
      </c>
      <c r="G9300" s="2" t="s">
        <v>25874</v>
      </c>
      <c r="H9300" s="2" t="s">
        <v>25875</v>
      </c>
    </row>
    <row r="9301" spans="1:8" ht="25.05" customHeight="1" x14ac:dyDescent="0.25">
      <c r="A9301" s="2" t="s">
        <v>8</v>
      </c>
      <c r="B9301" s="2" t="str">
        <f>HYPERLINK("http://ts.21cn.com/tousu/show/id/1340448","退会员砍头息")</f>
        <v>退会员砍头息</v>
      </c>
      <c r="C9301" s="2" t="s">
        <v>9</v>
      </c>
      <c r="D9301" s="2" t="s">
        <v>10</v>
      </c>
      <c r="E9301" s="2" t="str">
        <f>HYPERLINK("http://ts.21cn.com/tousu/show/id/1340448","http://ts.21cn.com/tousu/show/id/1340448")</f>
        <v>http://ts.21cn.com/tousu/show/id/1340448</v>
      </c>
      <c r="F9301" s="2" t="s">
        <v>11</v>
      </c>
      <c r="G9301" s="2" t="s">
        <v>25872</v>
      </c>
      <c r="H9301" s="2" t="s">
        <v>25873</v>
      </c>
    </row>
    <row r="9302" spans="1:8" ht="25.05" customHeight="1" x14ac:dyDescent="0.25">
      <c r="A9302" s="2" t="s">
        <v>8</v>
      </c>
      <c r="B9302" s="2" t="str">
        <f>HYPERLINK("http://ts.21cn.com/tousu/show/id/1340449","滴滴平台故意扣我服务分")</f>
        <v>滴滴平台故意扣我服务分</v>
      </c>
      <c r="C9302" s="2" t="s">
        <v>9</v>
      </c>
      <c r="D9302" s="2" t="s">
        <v>10</v>
      </c>
      <c r="E9302" s="2" t="str">
        <f>HYPERLINK("http://ts.21cn.com/tousu/show/id/1340449","http://ts.21cn.com/tousu/show/id/1340449")</f>
        <v>http://ts.21cn.com/tousu/show/id/1340449</v>
      </c>
      <c r="F9302" s="2" t="s">
        <v>11</v>
      </c>
      <c r="G9302" s="2" t="s">
        <v>25870</v>
      </c>
      <c r="H9302" s="2" t="s">
        <v>25871</v>
      </c>
    </row>
    <row r="9303" spans="1:8" ht="25.05" customHeight="1" x14ac:dyDescent="0.25">
      <c r="A9303" s="2" t="s">
        <v>8</v>
      </c>
      <c r="B9303" s="2" t="str">
        <f>HYPERLINK("http://ts.21cn.com/tousu/show/id/1340450","来我家闹了几天。邻居都看不下去要他们走。差点打起来")</f>
        <v>来我家闹了几天。邻居都看不下去要他们走。差点打起来</v>
      </c>
      <c r="C9303" s="2" t="s">
        <v>34</v>
      </c>
      <c r="D9303" s="2" t="s">
        <v>10</v>
      </c>
      <c r="E9303" s="2" t="str">
        <f>HYPERLINK("http://ts.21cn.com/tousu/show/id/1340450","http://ts.21cn.com/tousu/show/id/1340450")</f>
        <v>http://ts.21cn.com/tousu/show/id/1340450</v>
      </c>
      <c r="F9303" s="2" t="s">
        <v>11</v>
      </c>
      <c r="G9303" s="2" t="s">
        <v>25868</v>
      </c>
      <c r="H9303" s="2" t="s">
        <v>25869</v>
      </c>
    </row>
    <row r="9304" spans="1:8" ht="25.05" customHeight="1" x14ac:dyDescent="0.25">
      <c r="A9304" s="2" t="s">
        <v>8</v>
      </c>
      <c r="B9304" s="2" t="str">
        <f>HYPERLINK("http://ts.21cn.com/tousu/show/id/1340451","支付宝上来分期平台不接受协商还款，而且经常还进去就不能用了")</f>
        <v>支付宝上来分期平台不接受协商还款，而且经常还进去就不能用了</v>
      </c>
      <c r="C9304" s="2" t="s">
        <v>9</v>
      </c>
      <c r="D9304" s="2" t="s">
        <v>10</v>
      </c>
      <c r="E9304" s="2" t="str">
        <f>HYPERLINK("http://ts.21cn.com/tousu/show/id/1340451","http://ts.21cn.com/tousu/show/id/1340451")</f>
        <v>http://ts.21cn.com/tousu/show/id/1340451</v>
      </c>
      <c r="F9304" s="2" t="s">
        <v>11</v>
      </c>
      <c r="G9304" s="2" t="s">
        <v>25866</v>
      </c>
      <c r="H9304" s="2" t="s">
        <v>25867</v>
      </c>
    </row>
    <row r="9305" spans="1:8" ht="25.05" customHeight="1" x14ac:dyDescent="0.25">
      <c r="A9305" s="2" t="s">
        <v>8</v>
      </c>
      <c r="B9305" s="2" t="str">
        <f>HYPERLINK("http://ts.21cn.com/tousu/show/id/1340454","全额归还")</f>
        <v>全额归还</v>
      </c>
      <c r="C9305" s="2" t="s">
        <v>9</v>
      </c>
      <c r="D9305" s="2" t="s">
        <v>10</v>
      </c>
      <c r="E9305" s="2" t="str">
        <f>HYPERLINK("http://ts.21cn.com/tousu/show/id/1340454","http://ts.21cn.com/tousu/show/id/1340454")</f>
        <v>http://ts.21cn.com/tousu/show/id/1340454</v>
      </c>
      <c r="F9305" s="2" t="s">
        <v>11</v>
      </c>
      <c r="G9305" s="2" t="s">
        <v>25864</v>
      </c>
      <c r="H9305" s="2" t="s">
        <v>25865</v>
      </c>
    </row>
    <row r="9306" spans="1:8" ht="25.05" customHeight="1" x14ac:dyDescent="0.25">
      <c r="A9306" s="2" t="s">
        <v>8</v>
      </c>
      <c r="B9306" s="2" t="str">
        <f>HYPERLINK("http://ts.21cn.com/tousu/show/id/1340455","信用管家借的钱都还完了。")</f>
        <v>信用管家借的钱都还完了。</v>
      </c>
      <c r="C9306" s="2" t="s">
        <v>9</v>
      </c>
      <c r="D9306" s="2" t="s">
        <v>10</v>
      </c>
      <c r="E9306" s="2" t="str">
        <f>HYPERLINK("http://ts.21cn.com/tousu/show/id/1340455","http://ts.21cn.com/tousu/show/id/1340455")</f>
        <v>http://ts.21cn.com/tousu/show/id/1340455</v>
      </c>
      <c r="F9306" s="2" t="s">
        <v>11</v>
      </c>
      <c r="G9306" s="2" t="s">
        <v>25862</v>
      </c>
      <c r="H9306" s="2" t="s">
        <v>25863</v>
      </c>
    </row>
    <row r="9307" spans="1:8" ht="25.05" customHeight="1" x14ac:dyDescent="0.25">
      <c r="A9307" s="2" t="s">
        <v>8</v>
      </c>
      <c r="B9307" s="2" t="str">
        <f>HYPERLINK("http://ts.21cn.com/tousu/show/id/1340456","聚金宝协商还款不成功")</f>
        <v>聚金宝协商还款不成功</v>
      </c>
      <c r="C9307" s="2" t="s">
        <v>34</v>
      </c>
      <c r="D9307" s="2" t="s">
        <v>10</v>
      </c>
      <c r="E9307" s="2" t="str">
        <f>HYPERLINK("http://ts.21cn.com/tousu/show/id/1340456","http://ts.21cn.com/tousu/show/id/1340456")</f>
        <v>http://ts.21cn.com/tousu/show/id/1340456</v>
      </c>
      <c r="F9307" s="2" t="s">
        <v>11</v>
      </c>
      <c r="G9307" s="2" t="s">
        <v>25860</v>
      </c>
      <c r="H9307" s="2" t="s">
        <v>25861</v>
      </c>
    </row>
    <row r="9308" spans="1:8" ht="25.05" customHeight="1" x14ac:dyDescent="0.25">
      <c r="A9308" s="2" t="s">
        <v>8</v>
      </c>
      <c r="B9308" s="2" t="str">
        <f>HYPERLINK("http://ts.21cn.com/tousu/show/id/1340457","乱收费，砍头息！")</f>
        <v>乱收费，砍头息！</v>
      </c>
      <c r="C9308" s="2" t="s">
        <v>9</v>
      </c>
      <c r="D9308" s="2" t="s">
        <v>10</v>
      </c>
      <c r="E9308" s="2" t="str">
        <f>HYPERLINK("http://ts.21cn.com/tousu/show/id/1340457","http://ts.21cn.com/tousu/show/id/1340457")</f>
        <v>http://ts.21cn.com/tousu/show/id/1340457</v>
      </c>
      <c r="F9308" s="2" t="s">
        <v>11</v>
      </c>
      <c r="G9308" s="2" t="s">
        <v>25858</v>
      </c>
      <c r="H9308" s="2" t="s">
        <v>25859</v>
      </c>
    </row>
    <row r="9309" spans="1:8" ht="25.05" customHeight="1" x14ac:dyDescent="0.25">
      <c r="A9309" s="2" t="s">
        <v>8</v>
      </c>
      <c r="B9309" s="2" t="str">
        <f>HYPERLINK("http://ts.21cn.com/tousu/show/id/1340458","美团打车司机不过来接")</f>
        <v>美团打车司机不过来接</v>
      </c>
      <c r="C9309" s="2" t="s">
        <v>34</v>
      </c>
      <c r="D9309" s="2" t="s">
        <v>10</v>
      </c>
      <c r="E9309" s="2" t="str">
        <f>HYPERLINK("http://ts.21cn.com/tousu/show/id/1340458","http://ts.21cn.com/tousu/show/id/1340458")</f>
        <v>http://ts.21cn.com/tousu/show/id/1340458</v>
      </c>
      <c r="F9309" s="2" t="s">
        <v>11</v>
      </c>
      <c r="G9309" s="2" t="s">
        <v>25856</v>
      </c>
      <c r="H9309" s="2" t="s">
        <v>25857</v>
      </c>
    </row>
    <row r="9310" spans="1:8" ht="25.05" customHeight="1" x14ac:dyDescent="0.25">
      <c r="A9310" s="2" t="s">
        <v>8</v>
      </c>
      <c r="B9310" s="2" t="str">
        <f>HYPERLINK("http://ts.21cn.com/tousu/show/id/1340459","爆通信录")</f>
        <v>爆通信录</v>
      </c>
      <c r="C9310" s="2" t="s">
        <v>34</v>
      </c>
      <c r="D9310" s="2" t="s">
        <v>10</v>
      </c>
      <c r="E9310" s="2" t="str">
        <f>HYPERLINK("http://ts.21cn.com/tousu/show/id/1340459","http://ts.21cn.com/tousu/show/id/1340459")</f>
        <v>http://ts.21cn.com/tousu/show/id/1340459</v>
      </c>
      <c r="F9310" s="2" t="s">
        <v>11</v>
      </c>
      <c r="G9310" s="2" t="s">
        <v>25854</v>
      </c>
      <c r="H9310" s="2" t="s">
        <v>25855</v>
      </c>
    </row>
    <row r="9311" spans="1:8" ht="25.05" customHeight="1" x14ac:dyDescent="0.25">
      <c r="A9311" s="2" t="s">
        <v>8</v>
      </c>
      <c r="B9311" s="2" t="str">
        <f>HYPERLINK("http://ts.21cn.com/tousu/show/id/1340460","买单侠高利贷")</f>
        <v>买单侠高利贷</v>
      </c>
      <c r="C9311" s="2" t="s">
        <v>9</v>
      </c>
      <c r="D9311" s="2" t="s">
        <v>10</v>
      </c>
      <c r="E9311" s="2" t="str">
        <f>HYPERLINK("http://ts.21cn.com/tousu/show/id/1340460","http://ts.21cn.com/tousu/show/id/1340460")</f>
        <v>http://ts.21cn.com/tousu/show/id/1340460</v>
      </c>
      <c r="F9311" s="2" t="s">
        <v>11</v>
      </c>
      <c r="G9311" s="2" t="s">
        <v>25852</v>
      </c>
      <c r="H9311" s="2" t="s">
        <v>25853</v>
      </c>
    </row>
    <row r="9312" spans="1:8" ht="25.05" customHeight="1" x14ac:dyDescent="0.25">
      <c r="A9312" s="2" t="s">
        <v>8</v>
      </c>
      <c r="B9312" s="2" t="str">
        <f>HYPERLINK("http://ts.21cn.com/tousu/show/id/1340462","小赢卡贷催收每天骚扰")</f>
        <v>小赢卡贷催收每天骚扰</v>
      </c>
      <c r="C9312" s="2" t="s">
        <v>9</v>
      </c>
      <c r="D9312" s="2" t="s">
        <v>10</v>
      </c>
      <c r="E9312" s="2" t="str">
        <f>HYPERLINK("http://ts.21cn.com/tousu/show/id/1340462","http://ts.21cn.com/tousu/show/id/1340462")</f>
        <v>http://ts.21cn.com/tousu/show/id/1340462</v>
      </c>
      <c r="F9312" s="2" t="s">
        <v>11</v>
      </c>
      <c r="G9312" s="2" t="s">
        <v>25850</v>
      </c>
      <c r="H9312" s="2" t="s">
        <v>25851</v>
      </c>
    </row>
    <row r="9313" spans="1:8" ht="25.05" customHeight="1" x14ac:dyDescent="0.25">
      <c r="A9313" s="2" t="s">
        <v>8</v>
      </c>
      <c r="B9313" s="2" t="str">
        <f>HYPERLINK("http://ts.21cn.com/tousu/show/id/1340461","小浦优客恶意扣款")</f>
        <v>小浦优客恶意扣款</v>
      </c>
      <c r="C9313" s="2" t="s">
        <v>9</v>
      </c>
      <c r="D9313" s="2" t="s">
        <v>10</v>
      </c>
      <c r="E9313" s="2" t="str">
        <f>HYPERLINK("http://ts.21cn.com/tousu/show/id/1340461","http://ts.21cn.com/tousu/show/id/1340461")</f>
        <v>http://ts.21cn.com/tousu/show/id/1340461</v>
      </c>
      <c r="F9313" s="2" t="s">
        <v>11</v>
      </c>
      <c r="G9313" s="2" t="s">
        <v>25848</v>
      </c>
      <c r="H9313" s="2" t="s">
        <v>25849</v>
      </c>
    </row>
    <row r="9314" spans="1:8" ht="25.05" customHeight="1" x14ac:dyDescent="0.25">
      <c r="A9314" s="2" t="s">
        <v>8</v>
      </c>
      <c r="B9314" s="2" t="str">
        <f>HYPERLINK("http://ts.21cn.com/tousu/show/id/1340463","在急有钱app借款1700")</f>
        <v>在急有钱app借款1700</v>
      </c>
      <c r="C9314" s="2" t="s">
        <v>9</v>
      </c>
      <c r="D9314" s="2" t="s">
        <v>10</v>
      </c>
      <c r="E9314" s="2" t="str">
        <f>HYPERLINK("http://ts.21cn.com/tousu/show/id/1340463","http://ts.21cn.com/tousu/show/id/1340463")</f>
        <v>http://ts.21cn.com/tousu/show/id/1340463</v>
      </c>
      <c r="F9314" s="2" t="s">
        <v>11</v>
      </c>
      <c r="G9314" s="2" t="s">
        <v>25846</v>
      </c>
      <c r="H9314" s="2" t="s">
        <v>25847</v>
      </c>
    </row>
    <row r="9315" spans="1:8" ht="25.05" customHeight="1" x14ac:dyDescent="0.25">
      <c r="A9315" s="2" t="s">
        <v>8</v>
      </c>
      <c r="B9315" s="2" t="str">
        <f>HYPERLINK("http://ts.21cn.com/tousu/show/id/1340464","账号冻结不让提现")</f>
        <v>账号冻结不让提现</v>
      </c>
      <c r="C9315" s="2" t="s">
        <v>9</v>
      </c>
      <c r="D9315" s="2" t="s">
        <v>10</v>
      </c>
      <c r="E9315" s="2" t="str">
        <f>HYPERLINK("http://ts.21cn.com/tousu/show/id/1340464","http://ts.21cn.com/tousu/show/id/1340464")</f>
        <v>http://ts.21cn.com/tousu/show/id/1340464</v>
      </c>
      <c r="F9315" s="2" t="s">
        <v>11</v>
      </c>
      <c r="G9315" s="2" t="s">
        <v>25844</v>
      </c>
      <c r="H9315" s="2" t="s">
        <v>25845</v>
      </c>
    </row>
    <row r="9316" spans="1:8" ht="25.05" customHeight="1" x14ac:dyDescent="0.25">
      <c r="A9316" s="2" t="s">
        <v>8</v>
      </c>
      <c r="B9316" s="2" t="str">
        <f>HYPERLINK("http://ts.21cn.com/tousu/show/id/1340453","江湖救急平台虚假宣传收取所谓信用查询费用")</f>
        <v>江湖救急平台虚假宣传收取所谓信用查询费用</v>
      </c>
      <c r="C9316" s="2" t="s">
        <v>9</v>
      </c>
      <c r="D9316" s="2" t="s">
        <v>10</v>
      </c>
      <c r="E9316" s="2" t="str">
        <f>HYPERLINK("http://ts.21cn.com/tousu/show/id/1340453","http://ts.21cn.com/tousu/show/id/1340453")</f>
        <v>http://ts.21cn.com/tousu/show/id/1340453</v>
      </c>
      <c r="F9316" s="2" t="s">
        <v>11</v>
      </c>
      <c r="G9316" s="2" t="s">
        <v>25842</v>
      </c>
      <c r="H9316" s="2" t="s">
        <v>25843</v>
      </c>
    </row>
    <row r="9317" spans="1:8" ht="25.05" customHeight="1" x14ac:dyDescent="0.25">
      <c r="A9317" s="2" t="s">
        <v>8</v>
      </c>
      <c r="B9317" s="2" t="str">
        <f>HYPERLINK("http://ts.21cn.com/tousu/show/id/1340465","把钱还给我")</f>
        <v>把钱还给我</v>
      </c>
      <c r="C9317" s="2" t="s">
        <v>9</v>
      </c>
      <c r="D9317" s="2" t="s">
        <v>10</v>
      </c>
      <c r="E9317" s="2" t="str">
        <f>HYPERLINK("http://ts.21cn.com/tousu/show/id/1340465","http://ts.21cn.com/tousu/show/id/1340465")</f>
        <v>http://ts.21cn.com/tousu/show/id/1340465</v>
      </c>
      <c r="F9317" s="2" t="s">
        <v>11</v>
      </c>
      <c r="G9317" s="2" t="s">
        <v>25840</v>
      </c>
      <c r="H9317" s="2" t="s">
        <v>25841</v>
      </c>
    </row>
    <row r="9318" spans="1:8" ht="25.05" customHeight="1" x14ac:dyDescent="0.25">
      <c r="A9318" s="2" t="s">
        <v>8</v>
      </c>
      <c r="B9318" s="2" t="str">
        <f>HYPERLINK("http://ts.21cn.com/tousu/show/id/1340466","新意花小木钱包恶意扣费")</f>
        <v>新意花小木钱包恶意扣费</v>
      </c>
      <c r="C9318" s="2" t="s">
        <v>9</v>
      </c>
      <c r="D9318" s="2" t="s">
        <v>10</v>
      </c>
      <c r="E9318" s="2" t="str">
        <f>HYPERLINK("http://ts.21cn.com/tousu/show/id/1340466","http://ts.21cn.com/tousu/show/id/1340466")</f>
        <v>http://ts.21cn.com/tousu/show/id/1340466</v>
      </c>
      <c r="F9318" s="2" t="s">
        <v>11</v>
      </c>
      <c r="G9318" s="2" t="s">
        <v>25838</v>
      </c>
      <c r="H9318" s="2" t="s">
        <v>25839</v>
      </c>
    </row>
    <row r="9319" spans="1:8" ht="25.05" customHeight="1" x14ac:dyDescent="0.25">
      <c r="A9319" s="2" t="s">
        <v>8</v>
      </c>
      <c r="B9319" s="2" t="str">
        <f>HYPERLINK("http://ts.21cn.com/tousu/show/id/1340467","714高利贷套路贷砍头息")</f>
        <v>714高利贷套路贷砍头息</v>
      </c>
      <c r="C9319" s="2" t="s">
        <v>9</v>
      </c>
      <c r="D9319" s="2" t="s">
        <v>10</v>
      </c>
      <c r="E9319" s="2" t="str">
        <f>HYPERLINK("http://ts.21cn.com/tousu/show/id/1340467","http://ts.21cn.com/tousu/show/id/1340467")</f>
        <v>http://ts.21cn.com/tousu/show/id/1340467</v>
      </c>
      <c r="F9319" s="2" t="s">
        <v>11</v>
      </c>
      <c r="G9319" s="2" t="s">
        <v>25836</v>
      </c>
      <c r="H9319" s="2" t="s">
        <v>25837</v>
      </c>
    </row>
    <row r="9320" spans="1:8" ht="25.05" customHeight="1" x14ac:dyDescent="0.25">
      <c r="A9320" s="2" t="s">
        <v>8</v>
      </c>
      <c r="B9320" s="2" t="str">
        <f>HYPERLINK("http://ts.21cn.com/tousu/show/id/1340468","钱站恶意催收")</f>
        <v>钱站恶意催收</v>
      </c>
      <c r="C9320" s="2" t="s">
        <v>9</v>
      </c>
      <c r="D9320" s="2" t="s">
        <v>10</v>
      </c>
      <c r="E9320" s="2" t="str">
        <f>HYPERLINK("http://ts.21cn.com/tousu/show/id/1340468","http://ts.21cn.com/tousu/show/id/1340468")</f>
        <v>http://ts.21cn.com/tousu/show/id/1340468</v>
      </c>
      <c r="F9320" s="2" t="s">
        <v>11</v>
      </c>
      <c r="G9320" s="2" t="s">
        <v>25834</v>
      </c>
      <c r="H9320" s="2" t="s">
        <v>25835</v>
      </c>
    </row>
    <row r="9321" spans="1:8" ht="25.05" customHeight="1" x14ac:dyDescent="0.25">
      <c r="A9321" s="2" t="s">
        <v>8</v>
      </c>
      <c r="B9321" s="2" t="str">
        <f>HYPERLINK("http://ts.21cn.com/tousu/show/id/1340469","个人贷款威胁我家里人。")</f>
        <v>个人贷款威胁我家里人。</v>
      </c>
      <c r="C9321" s="2" t="s">
        <v>9</v>
      </c>
      <c r="D9321" s="2" t="s">
        <v>10</v>
      </c>
      <c r="E9321" s="2" t="str">
        <f>HYPERLINK("http://ts.21cn.com/tousu/show/id/1340469","http://ts.21cn.com/tousu/show/id/1340469")</f>
        <v>http://ts.21cn.com/tousu/show/id/1340469</v>
      </c>
      <c r="F9321" s="2" t="s">
        <v>11</v>
      </c>
      <c r="G9321" s="2" t="s">
        <v>25832</v>
      </c>
      <c r="H9321" s="2" t="s">
        <v>25833</v>
      </c>
    </row>
    <row r="9322" spans="1:8" ht="25.05" customHeight="1" x14ac:dyDescent="0.25">
      <c r="A9322" s="2" t="s">
        <v>8</v>
      </c>
      <c r="B9322" s="2" t="str">
        <f>HYPERLINK("http://ts.21cn.com/tousu/show/id/1340297","乐客虚假宣传，退我入会费！")</f>
        <v>乐客虚假宣传，退我入会费！</v>
      </c>
      <c r="C9322" s="2" t="s">
        <v>9</v>
      </c>
      <c r="D9322" s="2" t="s">
        <v>10</v>
      </c>
      <c r="E9322" s="2" t="str">
        <f>HYPERLINK("http://ts.21cn.com/tousu/show/id/1340297","http://ts.21cn.com/tousu/show/id/1340297")</f>
        <v>http://ts.21cn.com/tousu/show/id/1340297</v>
      </c>
      <c r="F9322" s="2" t="s">
        <v>11</v>
      </c>
      <c r="G9322" s="2" t="s">
        <v>25830</v>
      </c>
      <c r="H9322" s="2" t="s">
        <v>25831</v>
      </c>
    </row>
    <row r="9323" spans="1:8" ht="25.05" customHeight="1" x14ac:dyDescent="0.25">
      <c r="A9323" s="2" t="s">
        <v>8</v>
      </c>
      <c r="B9323" s="2" t="str">
        <f>HYPERLINK("http://ts.21cn.com/tousu/show/id/1340470","小黑鱼点心贷套路贷")</f>
        <v>小黑鱼点心贷套路贷</v>
      </c>
      <c r="C9323" s="2" t="s">
        <v>9</v>
      </c>
      <c r="D9323" s="2" t="s">
        <v>10</v>
      </c>
      <c r="E9323" s="2" t="str">
        <f>HYPERLINK("http://ts.21cn.com/tousu/show/id/1340470","http://ts.21cn.com/tousu/show/id/1340470")</f>
        <v>http://ts.21cn.com/tousu/show/id/1340470</v>
      </c>
      <c r="F9323" s="2" t="s">
        <v>11</v>
      </c>
      <c r="G9323" s="2" t="s">
        <v>25828</v>
      </c>
      <c r="H9323" s="2" t="s">
        <v>25829</v>
      </c>
    </row>
    <row r="9324" spans="1:8" ht="25.05" customHeight="1" x14ac:dyDescent="0.25">
      <c r="A9324" s="2" t="s">
        <v>8</v>
      </c>
      <c r="B9324" s="2" t="str">
        <f>HYPERLINK("http://ts.21cn.com/tousu/show/id/1340471","投诉附近约爱")</f>
        <v>投诉附近约爱</v>
      </c>
      <c r="C9324" s="2" t="s">
        <v>9</v>
      </c>
      <c r="D9324" s="2" t="s">
        <v>10</v>
      </c>
      <c r="E9324" s="2" t="str">
        <f>HYPERLINK("http://ts.21cn.com/tousu/show/id/1340471","http://ts.21cn.com/tousu/show/id/1340471")</f>
        <v>http://ts.21cn.com/tousu/show/id/1340471</v>
      </c>
      <c r="F9324" s="2" t="s">
        <v>11</v>
      </c>
      <c r="G9324" s="2" t="s">
        <v>25826</v>
      </c>
      <c r="H9324" s="2" t="s">
        <v>25827</v>
      </c>
    </row>
    <row r="9325" spans="1:8" ht="25.05" customHeight="1" x14ac:dyDescent="0.25">
      <c r="A9325" s="2" t="s">
        <v>8</v>
      </c>
      <c r="B9325" s="2" t="str">
        <f>HYPERLINK("http://ts.21cn.com/tousu/show/id/1340472","交通银行信用卡骚扰威胁")</f>
        <v>交通银行信用卡骚扰威胁</v>
      </c>
      <c r="C9325" s="2" t="s">
        <v>9</v>
      </c>
      <c r="D9325" s="2" t="s">
        <v>10</v>
      </c>
      <c r="E9325" s="2" t="str">
        <f>HYPERLINK("http://ts.21cn.com/tousu/show/id/1340472","http://ts.21cn.com/tousu/show/id/1340472")</f>
        <v>http://ts.21cn.com/tousu/show/id/1340472</v>
      </c>
      <c r="F9325" s="2" t="s">
        <v>11</v>
      </c>
      <c r="G9325" s="2" t="s">
        <v>25824</v>
      </c>
      <c r="H9325" s="2" t="s">
        <v>25825</v>
      </c>
    </row>
    <row r="9326" spans="1:8" ht="25.05" customHeight="1" x14ac:dyDescent="0.25">
      <c r="A9326" s="2" t="s">
        <v>8</v>
      </c>
      <c r="B9326" s="2" t="str">
        <f>HYPERLINK("http://ts.21cn.com/tousu/show/id/1340473","小浦优客乱扣费用")</f>
        <v>小浦优客乱扣费用</v>
      </c>
      <c r="C9326" s="2" t="s">
        <v>9</v>
      </c>
      <c r="D9326" s="2" t="s">
        <v>10</v>
      </c>
      <c r="E9326" s="2" t="str">
        <f>HYPERLINK("http://ts.21cn.com/tousu/show/id/1340473","http://ts.21cn.com/tousu/show/id/1340473")</f>
        <v>http://ts.21cn.com/tousu/show/id/1340473</v>
      </c>
      <c r="F9326" s="2" t="s">
        <v>11</v>
      </c>
      <c r="G9326" s="2" t="s">
        <v>25822</v>
      </c>
      <c r="H9326" s="2" t="s">
        <v>25823</v>
      </c>
    </row>
    <row r="9327" spans="1:8" ht="25.05" customHeight="1" x14ac:dyDescent="0.25">
      <c r="A9327" s="2" t="s">
        <v>8</v>
      </c>
      <c r="B9327" s="2" t="str">
        <f>HYPERLINK("http://ts.21cn.com/tousu/show/id/1187755","中信银行违规催收")</f>
        <v>中信银行违规催收</v>
      </c>
      <c r="C9327" s="2" t="s">
        <v>9</v>
      </c>
      <c r="D9327" s="2" t="s">
        <v>10</v>
      </c>
      <c r="E9327" s="2" t="str">
        <f>HYPERLINK("http://ts.21cn.com/tousu/show/id/1187755","http://ts.21cn.com/tousu/show/id/1187755")</f>
        <v>http://ts.21cn.com/tousu/show/id/1187755</v>
      </c>
      <c r="F9327" s="2" t="s">
        <v>11</v>
      </c>
      <c r="G9327" s="2" t="s">
        <v>25820</v>
      </c>
      <c r="H9327" s="2" t="s">
        <v>25821</v>
      </c>
    </row>
    <row r="9328" spans="1:8" ht="25.05" customHeight="1" x14ac:dyDescent="0.25">
      <c r="A9328" s="2" t="s">
        <v>8</v>
      </c>
      <c r="B9328" s="2" t="str">
        <f>HYPERLINK("http://ts.21cn.com/tousu/show/id/1340474","天天几十个电话，并且爆通讯录骚扰我亲朋好友")</f>
        <v>天天几十个电话，并且爆通讯录骚扰我亲朋好友</v>
      </c>
      <c r="C9328" s="2" t="s">
        <v>9</v>
      </c>
      <c r="D9328" s="2" t="s">
        <v>10</v>
      </c>
      <c r="E9328" s="2" t="str">
        <f>HYPERLINK("http://ts.21cn.com/tousu/show/id/1340474","http://ts.21cn.com/tousu/show/id/1340474")</f>
        <v>http://ts.21cn.com/tousu/show/id/1340474</v>
      </c>
      <c r="F9328" s="2" t="s">
        <v>11</v>
      </c>
      <c r="G9328" s="2" t="s">
        <v>25818</v>
      </c>
      <c r="H9328" s="2" t="s">
        <v>25819</v>
      </c>
    </row>
    <row r="9329" spans="1:8" ht="25.05" customHeight="1" x14ac:dyDescent="0.25">
      <c r="A9329" s="2" t="s">
        <v>8</v>
      </c>
      <c r="B9329" s="2" t="str">
        <f>HYPERLINK("http://ts.21cn.com/tousu/show/id/1340475","钱站高利贷套路贷不肯协商")</f>
        <v>钱站高利贷套路贷不肯协商</v>
      </c>
      <c r="C9329" s="2" t="s">
        <v>9</v>
      </c>
      <c r="D9329" s="2" t="s">
        <v>10</v>
      </c>
      <c r="E9329" s="2" t="str">
        <f>HYPERLINK("http://ts.21cn.com/tousu/show/id/1340475","http://ts.21cn.com/tousu/show/id/1340475")</f>
        <v>http://ts.21cn.com/tousu/show/id/1340475</v>
      </c>
      <c r="F9329" s="2" t="s">
        <v>11</v>
      </c>
      <c r="G9329" s="2" t="s">
        <v>25816</v>
      </c>
      <c r="H9329" s="2" t="s">
        <v>25817</v>
      </c>
    </row>
    <row r="9330" spans="1:8" ht="25.05" customHeight="1" x14ac:dyDescent="0.25">
      <c r="A9330" s="2" t="s">
        <v>8</v>
      </c>
      <c r="B9330" s="2" t="str">
        <f>HYPERLINK("http://ts.21cn.com/tousu/show/id/1340479","中金支付与信而富盗刷本人银行卡408.76元")</f>
        <v>中金支付与信而富盗刷本人银行卡408.76元</v>
      </c>
      <c r="C9330" s="2" t="s">
        <v>9</v>
      </c>
      <c r="D9330" s="2" t="s">
        <v>10</v>
      </c>
      <c r="E9330" s="2" t="str">
        <f>HYPERLINK("http://ts.21cn.com/tousu/show/id/1340479","http://ts.21cn.com/tousu/show/id/1340479")</f>
        <v>http://ts.21cn.com/tousu/show/id/1340479</v>
      </c>
      <c r="F9330" s="2" t="s">
        <v>11</v>
      </c>
      <c r="G9330" s="2" t="s">
        <v>25814</v>
      </c>
      <c r="H9330" s="2" t="s">
        <v>25815</v>
      </c>
    </row>
    <row r="9331" spans="1:8" ht="25.05" customHeight="1" x14ac:dyDescent="0.25">
      <c r="A9331" s="2" t="s">
        <v>8</v>
      </c>
      <c r="B9331" s="2" t="str">
        <f>HYPERLINK("http://ts.21cn.com/tousu/show/id/1340380","我要投诉广东信汇提供支付渠道给商户（百润服装，港隆昌餐饮，欢霞百货商店，天都娱乐，德青餐饮，新军肉店）")</f>
        <v>我要投诉广东信汇提供支付渠道给商户（百润服装，港隆昌餐饮，欢霞百货商店，天都娱乐，德青餐饮，新军肉店）</v>
      </c>
      <c r="C9331" s="2" t="s">
        <v>9</v>
      </c>
      <c r="D9331" s="2" t="s">
        <v>10</v>
      </c>
      <c r="E9331" s="2" t="str">
        <f>HYPERLINK("http://ts.21cn.com/tousu/show/id/1340380","http://ts.21cn.com/tousu/show/id/1340380")</f>
        <v>http://ts.21cn.com/tousu/show/id/1340380</v>
      </c>
      <c r="F9331" s="2" t="s">
        <v>11</v>
      </c>
      <c r="G9331" s="2" t="s">
        <v>25812</v>
      </c>
      <c r="H9331" s="2" t="s">
        <v>25813</v>
      </c>
    </row>
    <row r="9332" spans="1:8" ht="25.05" customHeight="1" x14ac:dyDescent="0.25">
      <c r="A9332" s="2" t="s">
        <v>8</v>
      </c>
      <c r="B9332" s="2" t="str">
        <f>HYPERLINK("http://ts.21cn.com/tousu/show/id/1340480","拍拍贷恶意催收")</f>
        <v>拍拍贷恶意催收</v>
      </c>
      <c r="C9332" s="2" t="s">
        <v>9</v>
      </c>
      <c r="D9332" s="2" t="s">
        <v>10</v>
      </c>
      <c r="E9332" s="2" t="str">
        <f>HYPERLINK("http://ts.21cn.com/tousu/show/id/1340480","http://ts.21cn.com/tousu/show/id/1340480")</f>
        <v>http://ts.21cn.com/tousu/show/id/1340480</v>
      </c>
      <c r="F9332" s="2" t="s">
        <v>11</v>
      </c>
      <c r="G9332" s="2" t="s">
        <v>25810</v>
      </c>
      <c r="H9332" s="2" t="s">
        <v>25811</v>
      </c>
    </row>
    <row r="9333" spans="1:8" ht="25.05" customHeight="1" x14ac:dyDescent="0.25">
      <c r="A9333" s="2" t="s">
        <v>8</v>
      </c>
      <c r="B9333" s="2" t="str">
        <f>HYPERLINK("http://ts.21cn.com/tousu/show/id/1340481","先花一亿元乱收续期费态度恶劣砍头息")</f>
        <v>先花一亿元乱收续期费态度恶劣砍头息</v>
      </c>
      <c r="C9333" s="2" t="s">
        <v>9</v>
      </c>
      <c r="D9333" s="2" t="s">
        <v>10</v>
      </c>
      <c r="E9333" s="2" t="str">
        <f>HYPERLINK("http://ts.21cn.com/tousu/show/id/1340481","http://ts.21cn.com/tousu/show/id/1340481")</f>
        <v>http://ts.21cn.com/tousu/show/id/1340481</v>
      </c>
      <c r="F9333" s="2" t="s">
        <v>11</v>
      </c>
      <c r="G9333" s="2" t="s">
        <v>25808</v>
      </c>
      <c r="H9333" s="2" t="s">
        <v>25809</v>
      </c>
    </row>
    <row r="9334" spans="1:8" ht="25.05" customHeight="1" x14ac:dyDescent="0.25">
      <c r="A9334" s="2" t="s">
        <v>8</v>
      </c>
      <c r="B9334" s="2" t="str">
        <f>HYPERLINK("http://ts.21cn.com/tousu/show/id/1340482","小花钱包暴力催收")</f>
        <v>小花钱包暴力催收</v>
      </c>
      <c r="C9334" s="2" t="s">
        <v>9</v>
      </c>
      <c r="D9334" s="2" t="s">
        <v>10</v>
      </c>
      <c r="E9334" s="2" t="str">
        <f>HYPERLINK("http://ts.21cn.com/tousu/show/id/1340482","http://ts.21cn.com/tousu/show/id/1340482")</f>
        <v>http://ts.21cn.com/tousu/show/id/1340482</v>
      </c>
      <c r="F9334" s="2" t="s">
        <v>11</v>
      </c>
      <c r="G9334" s="2" t="s">
        <v>25806</v>
      </c>
      <c r="H9334" s="2" t="s">
        <v>25807</v>
      </c>
    </row>
    <row r="9335" spans="1:8" ht="25.05" customHeight="1" x14ac:dyDescent="0.25">
      <c r="A9335" s="2" t="s">
        <v>8</v>
      </c>
      <c r="B9335" s="2" t="str">
        <f>HYPERLINK("http://ts.21cn.com/tousu/show/id/1340483","人人车押金逾期不退，反应多次不处理")</f>
        <v>人人车押金逾期不退，反应多次不处理</v>
      </c>
      <c r="C9335" s="2" t="s">
        <v>9</v>
      </c>
      <c r="D9335" s="2" t="s">
        <v>10</v>
      </c>
      <c r="E9335" s="2" t="str">
        <f>HYPERLINK("http://ts.21cn.com/tousu/show/id/1340483","http://ts.21cn.com/tousu/show/id/1340483")</f>
        <v>http://ts.21cn.com/tousu/show/id/1340483</v>
      </c>
      <c r="F9335" s="2" t="s">
        <v>11</v>
      </c>
      <c r="G9335" s="2" t="s">
        <v>25804</v>
      </c>
      <c r="H9335" s="2" t="s">
        <v>25805</v>
      </c>
    </row>
    <row r="9336" spans="1:8" ht="25.05" customHeight="1" x14ac:dyDescent="0.25">
      <c r="A9336" s="2" t="s">
        <v>8</v>
      </c>
      <c r="B9336" s="2" t="str">
        <f>HYPERLINK("http://ts.21cn.com/tousu/show/id/1340484","创维电视商家捏造验机凭证和捏造验机图片")</f>
        <v>创维电视商家捏造验机凭证和捏造验机图片</v>
      </c>
      <c r="C9336" s="2" t="s">
        <v>9</v>
      </c>
      <c r="D9336" s="2" t="s">
        <v>10</v>
      </c>
      <c r="E9336" s="2" t="str">
        <f>HYPERLINK("http://ts.21cn.com/tousu/show/id/1340484","http://ts.21cn.com/tousu/show/id/1340484")</f>
        <v>http://ts.21cn.com/tousu/show/id/1340484</v>
      </c>
      <c r="F9336" s="2" t="s">
        <v>11</v>
      </c>
      <c r="G9336" s="2" t="s">
        <v>25802</v>
      </c>
      <c r="H9336" s="2" t="s">
        <v>25803</v>
      </c>
    </row>
    <row r="9337" spans="1:8" ht="25.05" customHeight="1" x14ac:dyDescent="0.25">
      <c r="A9337" s="2" t="s">
        <v>8</v>
      </c>
      <c r="B9337" s="2" t="str">
        <f>HYPERLINK("http://ts.21cn.com/tousu/show/id/1340478","微信租机侠平台退款提现提不了")</f>
        <v>微信租机侠平台退款提现提不了</v>
      </c>
      <c r="C9337" s="2" t="s">
        <v>9</v>
      </c>
      <c r="D9337" s="2" t="s">
        <v>10</v>
      </c>
      <c r="E9337" s="2" t="str">
        <f>HYPERLINK("http://ts.21cn.com/tousu/show/id/1340478","http://ts.21cn.com/tousu/show/id/1340478")</f>
        <v>http://ts.21cn.com/tousu/show/id/1340478</v>
      </c>
      <c r="F9337" s="2" t="s">
        <v>11</v>
      </c>
      <c r="G9337" s="2" t="s">
        <v>25800</v>
      </c>
      <c r="H9337" s="2" t="s">
        <v>25801</v>
      </c>
    </row>
    <row r="9338" spans="1:8" ht="25.05" customHeight="1" x14ac:dyDescent="0.25">
      <c r="A9338" s="2" t="s">
        <v>8</v>
      </c>
      <c r="B9338" s="2" t="str">
        <f>HYPERLINK("http://ts.21cn.com/tousu/show/id/1340486","拍拍贷恶意恐吓，侵犯个人隐私")</f>
        <v>拍拍贷恶意恐吓，侵犯个人隐私</v>
      </c>
      <c r="C9338" s="2" t="s">
        <v>9</v>
      </c>
      <c r="D9338" s="2" t="s">
        <v>10</v>
      </c>
      <c r="E9338" s="2" t="str">
        <f>HYPERLINK("http://ts.21cn.com/tousu/show/id/1340486","http://ts.21cn.com/tousu/show/id/1340486")</f>
        <v>http://ts.21cn.com/tousu/show/id/1340486</v>
      </c>
      <c r="F9338" s="2" t="s">
        <v>11</v>
      </c>
      <c r="G9338" s="2" t="s">
        <v>25798</v>
      </c>
      <c r="H9338" s="2" t="s">
        <v>25799</v>
      </c>
    </row>
    <row r="9339" spans="1:8" ht="25.05" customHeight="1" x14ac:dyDescent="0.25">
      <c r="A9339" s="2" t="s">
        <v>8</v>
      </c>
      <c r="B9339" s="2" t="str">
        <f>HYPERLINK("http://ts.21cn.com/tousu/show/id/1340487","小花钱包暴力催收")</f>
        <v>小花钱包暴力催收</v>
      </c>
      <c r="C9339" s="2" t="s">
        <v>9</v>
      </c>
      <c r="D9339" s="2" t="s">
        <v>10</v>
      </c>
      <c r="E9339" s="2" t="str">
        <f>HYPERLINK("http://ts.21cn.com/tousu/show/id/1340487","http://ts.21cn.com/tousu/show/id/1340487")</f>
        <v>http://ts.21cn.com/tousu/show/id/1340487</v>
      </c>
      <c r="F9339" s="2" t="s">
        <v>11</v>
      </c>
      <c r="G9339" s="2" t="s">
        <v>25796</v>
      </c>
      <c r="H9339" s="2" t="s">
        <v>25797</v>
      </c>
    </row>
    <row r="9340" spans="1:8" ht="25.05" customHeight="1" x14ac:dyDescent="0.25">
      <c r="A9340" s="2" t="s">
        <v>8</v>
      </c>
      <c r="B9340" s="2" t="str">
        <f>HYPERLINK("http://ts.21cn.com/tousu/show/id/1340488","京东手机9天后有赠品不给补发")</f>
        <v>京东手机9天后有赠品不给补发</v>
      </c>
      <c r="C9340" s="2" t="s">
        <v>9</v>
      </c>
      <c r="D9340" s="2" t="s">
        <v>10</v>
      </c>
      <c r="E9340" s="2" t="str">
        <f>HYPERLINK("http://ts.21cn.com/tousu/show/id/1340488","http://ts.21cn.com/tousu/show/id/1340488")</f>
        <v>http://ts.21cn.com/tousu/show/id/1340488</v>
      </c>
      <c r="F9340" s="2" t="s">
        <v>11</v>
      </c>
      <c r="G9340" s="2" t="s">
        <v>25794</v>
      </c>
      <c r="H9340" s="2" t="s">
        <v>25795</v>
      </c>
    </row>
    <row r="9341" spans="1:8" ht="25.05" customHeight="1" x14ac:dyDescent="0.25">
      <c r="A9341" s="2" t="s">
        <v>8</v>
      </c>
      <c r="B9341" s="2" t="str">
        <f>HYPERLINK("http://ts.21cn.com/tousu/show/id/1340489","订了一个华莱士的饿了么，发现里面有一只死蟑螂")</f>
        <v>订了一个华莱士的饿了么，发现里面有一只死蟑螂</v>
      </c>
      <c r="C9341" s="2" t="s">
        <v>34</v>
      </c>
      <c r="D9341" s="2" t="s">
        <v>10</v>
      </c>
      <c r="E9341" s="2" t="str">
        <f>HYPERLINK("http://ts.21cn.com/tousu/show/id/1340489","http://ts.21cn.com/tousu/show/id/1340489")</f>
        <v>http://ts.21cn.com/tousu/show/id/1340489</v>
      </c>
      <c r="F9341" s="2" t="s">
        <v>11</v>
      </c>
      <c r="G9341" s="2" t="s">
        <v>25792</v>
      </c>
      <c r="H9341" s="2" t="s">
        <v>25793</v>
      </c>
    </row>
    <row r="9342" spans="1:8" ht="25.05" customHeight="1" x14ac:dyDescent="0.25">
      <c r="A9342" s="2" t="s">
        <v>8</v>
      </c>
      <c r="B9342" s="2" t="str">
        <f>HYPERLINK("http://ts.21cn.com/tousu/show/id/1340491","平安普惠催收恶意干扰正常工作，一天打几十个电话")</f>
        <v>平安普惠催收恶意干扰正常工作，一天打几十个电话</v>
      </c>
      <c r="C9342" s="2" t="s">
        <v>9</v>
      </c>
      <c r="D9342" s="2" t="s">
        <v>10</v>
      </c>
      <c r="E9342" s="2" t="str">
        <f>HYPERLINK("http://ts.21cn.com/tousu/show/id/1340491","http://ts.21cn.com/tousu/show/id/1340491")</f>
        <v>http://ts.21cn.com/tousu/show/id/1340491</v>
      </c>
      <c r="F9342" s="2" t="s">
        <v>11</v>
      </c>
      <c r="G9342" s="2" t="s">
        <v>25790</v>
      </c>
      <c r="H9342" s="2" t="s">
        <v>25791</v>
      </c>
    </row>
    <row r="9343" spans="1:8" ht="25.05" customHeight="1" x14ac:dyDescent="0.25">
      <c r="A9343" s="2" t="s">
        <v>8</v>
      </c>
      <c r="B9343" s="2" t="str">
        <f>HYPERLINK("http://ts.21cn.com/tousu/show/id/1340490","小浦优客私自扣钱296")</f>
        <v>小浦优客私自扣钱296</v>
      </c>
      <c r="C9343" s="2" t="s">
        <v>34</v>
      </c>
      <c r="D9343" s="2" t="s">
        <v>10</v>
      </c>
      <c r="E9343" s="2" t="str">
        <f>HYPERLINK("http://ts.21cn.com/tousu/show/id/1340490","http://ts.21cn.com/tousu/show/id/1340490")</f>
        <v>http://ts.21cn.com/tousu/show/id/1340490</v>
      </c>
      <c r="F9343" s="2" t="s">
        <v>11</v>
      </c>
      <c r="G9343" s="2" t="s">
        <v>25788</v>
      </c>
      <c r="H9343" s="2" t="s">
        <v>25789</v>
      </c>
    </row>
    <row r="9344" spans="1:8" ht="25.05" customHeight="1" x14ac:dyDescent="0.25">
      <c r="A9344" s="2" t="s">
        <v>8</v>
      </c>
      <c r="B9344" s="2" t="str">
        <f>HYPERLINK("http://ts.21cn.com/tousu/show/id/1340492","退钱")</f>
        <v>退钱</v>
      </c>
      <c r="C9344" s="2" t="s">
        <v>9</v>
      </c>
      <c r="D9344" s="2" t="s">
        <v>10</v>
      </c>
      <c r="E9344" s="2" t="str">
        <f>HYPERLINK("http://ts.21cn.com/tousu/show/id/1340492","http://ts.21cn.com/tousu/show/id/1340492")</f>
        <v>http://ts.21cn.com/tousu/show/id/1340492</v>
      </c>
      <c r="F9344" s="2" t="s">
        <v>11</v>
      </c>
      <c r="G9344" s="2" t="s">
        <v>25786</v>
      </c>
      <c r="H9344" s="2" t="s">
        <v>25787</v>
      </c>
    </row>
    <row r="9345" spans="1:8" ht="25.05" customHeight="1" x14ac:dyDescent="0.25">
      <c r="A9345" s="2" t="s">
        <v>8</v>
      </c>
      <c r="B9345" s="2" t="str">
        <f>HYPERLINK("http://ts.21cn.com/tousu/show/id/1330900","新意花，小木钱包高利贷")</f>
        <v>新意花，小木钱包高利贷</v>
      </c>
      <c r="C9345" s="2" t="s">
        <v>9</v>
      </c>
      <c r="D9345" s="2" t="s">
        <v>10</v>
      </c>
      <c r="E9345" s="2" t="str">
        <f>HYPERLINK("http://ts.21cn.com/tousu/show/id/1330900","http://ts.21cn.com/tousu/show/id/1330900")</f>
        <v>http://ts.21cn.com/tousu/show/id/1330900</v>
      </c>
      <c r="F9345" s="2" t="s">
        <v>11</v>
      </c>
      <c r="G9345" s="2" t="s">
        <v>25784</v>
      </c>
      <c r="H9345" s="2" t="s">
        <v>25785</v>
      </c>
    </row>
    <row r="9346" spans="1:8" ht="25.05" customHeight="1" x14ac:dyDescent="0.25">
      <c r="A9346" s="2" t="s">
        <v>8</v>
      </c>
      <c r="B9346" s="2" t="str">
        <f>HYPERLINK("http://ts.21cn.com/tousu/show/id/1340493","抢票自动帮我免密支付导致最后不能退票也不能改签")</f>
        <v>抢票自动帮我免密支付导致最后不能退票也不能改签</v>
      </c>
      <c r="C9346" s="2" t="s">
        <v>9</v>
      </c>
      <c r="D9346" s="2" t="s">
        <v>10</v>
      </c>
      <c r="E9346" s="2" t="str">
        <f>HYPERLINK("http://ts.21cn.com/tousu/show/id/1340493","http://ts.21cn.com/tousu/show/id/1340493")</f>
        <v>http://ts.21cn.com/tousu/show/id/1340493</v>
      </c>
      <c r="F9346" s="2" t="s">
        <v>11</v>
      </c>
      <c r="G9346" s="2" t="s">
        <v>25782</v>
      </c>
      <c r="H9346" s="2" t="s">
        <v>25783</v>
      </c>
    </row>
    <row r="9347" spans="1:8" ht="25.05" customHeight="1" x14ac:dyDescent="0.25">
      <c r="A9347" s="2" t="s">
        <v>8</v>
      </c>
      <c r="B9347" s="2" t="str">
        <f>HYPERLINK("http://ts.21cn.com/tousu/show/id/1340494","期待合伙人超利贷变相收取砍头息")</f>
        <v>期待合伙人超利贷变相收取砍头息</v>
      </c>
      <c r="C9347" s="2" t="s">
        <v>9</v>
      </c>
      <c r="D9347" s="2" t="s">
        <v>10</v>
      </c>
      <c r="E9347" s="2" t="str">
        <f>HYPERLINK("http://ts.21cn.com/tousu/show/id/1340494","http://ts.21cn.com/tousu/show/id/1340494")</f>
        <v>http://ts.21cn.com/tousu/show/id/1340494</v>
      </c>
      <c r="F9347" s="2" t="s">
        <v>11</v>
      </c>
      <c r="G9347" s="2" t="s">
        <v>25780</v>
      </c>
      <c r="H9347" s="2" t="s">
        <v>25781</v>
      </c>
    </row>
    <row r="9348" spans="1:8" ht="25.05" customHeight="1" x14ac:dyDescent="0.25">
      <c r="A9348" s="2" t="s">
        <v>8</v>
      </c>
      <c r="B9348" s="2" t="str">
        <f>HYPERLINK("http://ts.21cn.com/tousu/show/id/1340495","平安普惠未到还款日短信骚扰")</f>
        <v>平安普惠未到还款日短信骚扰</v>
      </c>
      <c r="C9348" s="2" t="s">
        <v>9</v>
      </c>
      <c r="D9348" s="2" t="s">
        <v>10</v>
      </c>
      <c r="E9348" s="2" t="str">
        <f>HYPERLINK("http://ts.21cn.com/tousu/show/id/1340495","http://ts.21cn.com/tousu/show/id/1340495")</f>
        <v>http://ts.21cn.com/tousu/show/id/1340495</v>
      </c>
      <c r="F9348" s="2" t="s">
        <v>11</v>
      </c>
      <c r="G9348" s="2" t="s">
        <v>25778</v>
      </c>
      <c r="H9348" s="2" t="s">
        <v>25779</v>
      </c>
    </row>
    <row r="9349" spans="1:8" ht="25.05" customHeight="1" x14ac:dyDescent="0.25">
      <c r="A9349" s="2" t="s">
        <v>8</v>
      </c>
      <c r="B9349" s="2" t="str">
        <f>HYPERLINK("http://ts.21cn.com/tousu/show/id/1340496","华夏银行乱收利息")</f>
        <v>华夏银行乱收利息</v>
      </c>
      <c r="C9349" s="2" t="s">
        <v>9</v>
      </c>
      <c r="D9349" s="2" t="s">
        <v>10</v>
      </c>
      <c r="E9349" s="2" t="str">
        <f>HYPERLINK("http://ts.21cn.com/tousu/show/id/1340496","http://ts.21cn.com/tousu/show/id/1340496")</f>
        <v>http://ts.21cn.com/tousu/show/id/1340496</v>
      </c>
      <c r="F9349" s="2" t="s">
        <v>11</v>
      </c>
      <c r="G9349" s="2" t="s">
        <v>25776</v>
      </c>
      <c r="H9349" s="2" t="s">
        <v>25777</v>
      </c>
    </row>
    <row r="9350" spans="1:8" ht="25.05" customHeight="1" x14ac:dyDescent="0.25">
      <c r="A9350" s="2" t="s">
        <v>8</v>
      </c>
      <c r="B9350" s="2" t="str">
        <f>HYPERLINK("http://ts.21cn.com/tousu/show/id/1340497","百事普惠恶意扣款299")</f>
        <v>百事普惠恶意扣款299</v>
      </c>
      <c r="C9350" s="2" t="s">
        <v>9</v>
      </c>
      <c r="D9350" s="2" t="s">
        <v>10</v>
      </c>
      <c r="E9350" s="2" t="str">
        <f>HYPERLINK("http://ts.21cn.com/tousu/show/id/1340497","http://ts.21cn.com/tousu/show/id/1340497")</f>
        <v>http://ts.21cn.com/tousu/show/id/1340497</v>
      </c>
      <c r="F9350" s="2" t="s">
        <v>11</v>
      </c>
      <c r="G9350" s="2" t="s">
        <v>25774</v>
      </c>
      <c r="H9350" s="2" t="s">
        <v>25775</v>
      </c>
    </row>
    <row r="9351" spans="1:8" ht="25.05" customHeight="1" x14ac:dyDescent="0.25">
      <c r="A9351" s="2" t="s">
        <v>8</v>
      </c>
      <c r="B9351" s="2" t="str">
        <f>HYPERLINK("http://ts.21cn.com/tousu/show/id/1340498","投诉（得仕股份，敏付科技，易智付科技，瀚银科技，北京雅酷时空信息交换技术有限公司，广东信汇电子商户有限公司）赔偿损失")</f>
        <v>投诉（得仕股份，敏付科技，易智付科技，瀚银科技，北京雅酷时空信息交换技术有限公司，广东信汇电子商户有限公司）赔偿损失</v>
      </c>
      <c r="C9351" s="2" t="s">
        <v>9</v>
      </c>
      <c r="D9351" s="2" t="s">
        <v>10</v>
      </c>
      <c r="E9351" s="2" t="str">
        <f>HYPERLINK("http://ts.21cn.com/tousu/show/id/1340498","http://ts.21cn.com/tousu/show/id/1340498")</f>
        <v>http://ts.21cn.com/tousu/show/id/1340498</v>
      </c>
      <c r="F9351" s="2" t="s">
        <v>11</v>
      </c>
      <c r="G9351" s="2" t="s">
        <v>25772</v>
      </c>
      <c r="H9351" s="2" t="s">
        <v>25773</v>
      </c>
    </row>
    <row r="9352" spans="1:8" ht="25.05" customHeight="1" x14ac:dyDescent="0.25">
      <c r="A9352" s="2" t="s">
        <v>8</v>
      </c>
      <c r="B9352" s="2" t="str">
        <f>HYPERLINK("http://ts.21cn.com/tousu/show/id/1340499","自动扣款")</f>
        <v>自动扣款</v>
      </c>
      <c r="C9352" s="2" t="s">
        <v>34</v>
      </c>
      <c r="D9352" s="2" t="s">
        <v>10</v>
      </c>
      <c r="E9352" s="2" t="str">
        <f>HYPERLINK("http://ts.21cn.com/tousu/show/id/1340499","http://ts.21cn.com/tousu/show/id/1340499")</f>
        <v>http://ts.21cn.com/tousu/show/id/1340499</v>
      </c>
      <c r="F9352" s="2" t="s">
        <v>11</v>
      </c>
      <c r="G9352" s="2" t="s">
        <v>25770</v>
      </c>
      <c r="H9352" s="2" t="s">
        <v>25771</v>
      </c>
    </row>
    <row r="9353" spans="1:8" ht="25.05" customHeight="1" x14ac:dyDescent="0.25">
      <c r="A9353" s="2" t="s">
        <v>8</v>
      </c>
      <c r="B9353" s="2" t="str">
        <f>HYPERLINK("http://ts.21cn.com/tousu/show/id/1340500","微粒贷催收威胁")</f>
        <v>微粒贷催收威胁</v>
      </c>
      <c r="C9353" s="2" t="s">
        <v>9</v>
      </c>
      <c r="D9353" s="2" t="s">
        <v>10</v>
      </c>
      <c r="E9353" s="2" t="str">
        <f>HYPERLINK("http://ts.21cn.com/tousu/show/id/1340500","http://ts.21cn.com/tousu/show/id/1340500")</f>
        <v>http://ts.21cn.com/tousu/show/id/1340500</v>
      </c>
      <c r="F9353" s="2" t="s">
        <v>11</v>
      </c>
      <c r="G9353" s="2" t="s">
        <v>25768</v>
      </c>
      <c r="H9353" s="2" t="s">
        <v>25769</v>
      </c>
    </row>
    <row r="9354" spans="1:8" ht="25.05" customHeight="1" x14ac:dyDescent="0.25">
      <c r="A9354" s="2" t="s">
        <v>8</v>
      </c>
      <c r="B9354" s="2" t="str">
        <f>HYPERLINK("http://ts.21cn.com/tousu/show/id/1340501","你我贷暴力催收短信轰炸")</f>
        <v>你我贷暴力催收短信轰炸</v>
      </c>
      <c r="C9354" s="2" t="s">
        <v>9</v>
      </c>
      <c r="D9354" s="2" t="s">
        <v>10</v>
      </c>
      <c r="E9354" s="2" t="str">
        <f>HYPERLINK("http://ts.21cn.com/tousu/show/id/1340501","http://ts.21cn.com/tousu/show/id/1340501")</f>
        <v>http://ts.21cn.com/tousu/show/id/1340501</v>
      </c>
      <c r="F9354" s="2" t="s">
        <v>11</v>
      </c>
      <c r="G9354" s="2" t="s">
        <v>25766</v>
      </c>
      <c r="H9354" s="2" t="s">
        <v>25767</v>
      </c>
    </row>
    <row r="9355" spans="1:8" ht="25.05" customHeight="1" x14ac:dyDescent="0.25">
      <c r="A9355" s="2" t="s">
        <v>8</v>
      </c>
      <c r="B9355" s="2" t="str">
        <f>HYPERLINK("http://ts.21cn.com/tousu/show/id/1340502","免费送天猫精灵变成120买一个？")</f>
        <v>免费送天猫精灵变成120买一个？</v>
      </c>
      <c r="C9355" s="2" t="s">
        <v>34</v>
      </c>
      <c r="D9355" s="2" t="s">
        <v>10</v>
      </c>
      <c r="E9355" s="2" t="str">
        <f>HYPERLINK("http://ts.21cn.com/tousu/show/id/1340502","http://ts.21cn.com/tousu/show/id/1340502")</f>
        <v>http://ts.21cn.com/tousu/show/id/1340502</v>
      </c>
      <c r="F9355" s="2" t="s">
        <v>11</v>
      </c>
      <c r="G9355" s="2" t="s">
        <v>25764</v>
      </c>
      <c r="H9355" s="2" t="s">
        <v>25765</v>
      </c>
    </row>
    <row r="9356" spans="1:8" ht="25.05" customHeight="1" x14ac:dyDescent="0.25">
      <c r="A9356" s="2" t="s">
        <v>8</v>
      </c>
      <c r="B9356" s="2" t="str">
        <f>HYPERLINK("http://ts.21cn.com/tousu/show/id/1340503","暴击催收")</f>
        <v>暴击催收</v>
      </c>
      <c r="C9356" s="2" t="s">
        <v>9</v>
      </c>
      <c r="D9356" s="2" t="s">
        <v>10</v>
      </c>
      <c r="E9356" s="2" t="str">
        <f>HYPERLINK("http://ts.21cn.com/tousu/show/id/1340503","http://ts.21cn.com/tousu/show/id/1340503")</f>
        <v>http://ts.21cn.com/tousu/show/id/1340503</v>
      </c>
      <c r="F9356" s="2" t="s">
        <v>11</v>
      </c>
      <c r="G9356" s="2" t="s">
        <v>25762</v>
      </c>
      <c r="H9356" s="2" t="s">
        <v>25763</v>
      </c>
    </row>
    <row r="9357" spans="1:8" ht="25.05" customHeight="1" x14ac:dyDescent="0.25">
      <c r="A9357" s="2" t="s">
        <v>8</v>
      </c>
      <c r="B9357" s="2" t="str">
        <f>HYPERLINK("http://ts.21cn.com/tousu/show/id/1340504","派单少，服务分不升")</f>
        <v>派单少，服务分不升</v>
      </c>
      <c r="C9357" s="2" t="s">
        <v>34</v>
      </c>
      <c r="D9357" s="2" t="s">
        <v>10</v>
      </c>
      <c r="E9357" s="2" t="str">
        <f>HYPERLINK("http://ts.21cn.com/tousu/show/id/1340504","http://ts.21cn.com/tousu/show/id/1340504")</f>
        <v>http://ts.21cn.com/tousu/show/id/1340504</v>
      </c>
      <c r="F9357" s="2" t="s">
        <v>11</v>
      </c>
      <c r="G9357" s="2" t="s">
        <v>25760</v>
      </c>
      <c r="H9357" s="2" t="s">
        <v>25761</v>
      </c>
    </row>
    <row r="9358" spans="1:8" ht="25.05" customHeight="1" x14ac:dyDescent="0.25">
      <c r="A9358" s="2" t="s">
        <v>8</v>
      </c>
      <c r="B9358" s="2" t="str">
        <f>HYPERLINK("http://ts.21cn.com/tousu/show/id/1340505","钱站恶意骚扰发短信通讯录好友")</f>
        <v>钱站恶意骚扰发短信通讯录好友</v>
      </c>
      <c r="C9358" s="2" t="s">
        <v>9</v>
      </c>
      <c r="D9358" s="2" t="s">
        <v>10</v>
      </c>
      <c r="E9358" s="2" t="str">
        <f>HYPERLINK("http://ts.21cn.com/tousu/show/id/1340505","http://ts.21cn.com/tousu/show/id/1340505")</f>
        <v>http://ts.21cn.com/tousu/show/id/1340505</v>
      </c>
      <c r="F9358" s="2" t="s">
        <v>11</v>
      </c>
      <c r="G9358" s="2" t="s">
        <v>25758</v>
      </c>
      <c r="H9358" s="2" t="s">
        <v>25759</v>
      </c>
    </row>
    <row r="9359" spans="1:8" ht="25.05" customHeight="1" x14ac:dyDescent="0.25">
      <c r="A9359" s="2" t="s">
        <v>8</v>
      </c>
      <c r="B9359" s="2" t="str">
        <f>HYPERLINK("http://ts.21cn.com/tousu/show/id/1340506","拍拍贷暴力催收威胁恐吓黑社会")</f>
        <v>拍拍贷暴力催收威胁恐吓黑社会</v>
      </c>
      <c r="C9359" s="2" t="s">
        <v>9</v>
      </c>
      <c r="D9359" s="2" t="s">
        <v>10</v>
      </c>
      <c r="E9359" s="2" t="str">
        <f>HYPERLINK("http://ts.21cn.com/tousu/show/id/1340506","http://ts.21cn.com/tousu/show/id/1340506")</f>
        <v>http://ts.21cn.com/tousu/show/id/1340506</v>
      </c>
      <c r="F9359" s="2" t="s">
        <v>11</v>
      </c>
      <c r="G9359" s="2" t="s">
        <v>25756</v>
      </c>
      <c r="H9359" s="2" t="s">
        <v>25757</v>
      </c>
    </row>
    <row r="9360" spans="1:8" ht="25.05" customHeight="1" x14ac:dyDescent="0.25">
      <c r="A9360" s="2" t="s">
        <v>8</v>
      </c>
      <c r="B9360" s="2" t="str">
        <f>HYPERLINK("http://ts.21cn.com/tousu/show/id/1340507","嘉联支付，立刷费率过高")</f>
        <v>嘉联支付，立刷费率过高</v>
      </c>
      <c r="C9360" s="2" t="s">
        <v>34</v>
      </c>
      <c r="D9360" s="2" t="s">
        <v>10</v>
      </c>
      <c r="E9360" s="2" t="str">
        <f>HYPERLINK("http://ts.21cn.com/tousu/show/id/1340507","http://ts.21cn.com/tousu/show/id/1340507")</f>
        <v>http://ts.21cn.com/tousu/show/id/1340507</v>
      </c>
      <c r="F9360" s="2" t="s">
        <v>11</v>
      </c>
      <c r="G9360" s="2" t="s">
        <v>25754</v>
      </c>
      <c r="H9360" s="2" t="s">
        <v>25755</v>
      </c>
    </row>
    <row r="9361" spans="1:8" ht="25.05" customHeight="1" x14ac:dyDescent="0.25">
      <c r="A9361" s="2" t="s">
        <v>8</v>
      </c>
      <c r="B9361" s="2" t="str">
        <f>HYPERLINK("http://ts.21cn.com/tousu/show/id/1340424","借贷宝催收态度恶劣")</f>
        <v>借贷宝催收态度恶劣</v>
      </c>
      <c r="C9361" s="2" t="s">
        <v>9</v>
      </c>
      <c r="D9361" s="2" t="s">
        <v>10</v>
      </c>
      <c r="E9361" s="2" t="str">
        <f>HYPERLINK("http://ts.21cn.com/tousu/show/id/1340424","http://ts.21cn.com/tousu/show/id/1340424")</f>
        <v>http://ts.21cn.com/tousu/show/id/1340424</v>
      </c>
      <c r="F9361" s="2" t="s">
        <v>11</v>
      </c>
      <c r="G9361" s="2" t="s">
        <v>25752</v>
      </c>
      <c r="H9361" s="2" t="s">
        <v>25753</v>
      </c>
    </row>
    <row r="9362" spans="1:8" ht="25.05" customHeight="1" x14ac:dyDescent="0.25">
      <c r="A9362" s="2" t="s">
        <v>8</v>
      </c>
      <c r="B9362" s="2" t="str">
        <f>HYPERLINK("http://ts.21cn.com/tousu/show/id/1340477","现金巴士")</f>
        <v>现金巴士</v>
      </c>
      <c r="C9362" s="2" t="s">
        <v>9</v>
      </c>
      <c r="D9362" s="2" t="s">
        <v>10</v>
      </c>
      <c r="E9362" s="2" t="str">
        <f>HYPERLINK("http://ts.21cn.com/tousu/show/id/1340477","http://ts.21cn.com/tousu/show/id/1340477")</f>
        <v>http://ts.21cn.com/tousu/show/id/1340477</v>
      </c>
      <c r="F9362" s="2" t="s">
        <v>11</v>
      </c>
      <c r="G9362" s="2" t="s">
        <v>25750</v>
      </c>
      <c r="H9362" s="2" t="s">
        <v>25751</v>
      </c>
    </row>
    <row r="9363" spans="1:8" ht="25.05" customHeight="1" x14ac:dyDescent="0.25">
      <c r="A9363" s="2" t="s">
        <v>8</v>
      </c>
      <c r="B9363" s="2" t="str">
        <f>HYPERLINK("http://ts.21cn.com/tousu/show/id/1340508","携趣网络技术上海有限公司乱扣费")</f>
        <v>携趣网络技术上海有限公司乱扣费</v>
      </c>
      <c r="C9363" s="2" t="s">
        <v>9</v>
      </c>
      <c r="D9363" s="2" t="s">
        <v>10</v>
      </c>
      <c r="E9363" s="2" t="str">
        <f>HYPERLINK("http://ts.21cn.com/tousu/show/id/1340508","http://ts.21cn.com/tousu/show/id/1340508")</f>
        <v>http://ts.21cn.com/tousu/show/id/1340508</v>
      </c>
      <c r="F9363" s="2" t="s">
        <v>11</v>
      </c>
      <c r="G9363" s="2" t="s">
        <v>25748</v>
      </c>
      <c r="H9363" s="2" t="s">
        <v>25749</v>
      </c>
    </row>
    <row r="9364" spans="1:8" ht="25.05" customHeight="1" x14ac:dyDescent="0.25">
      <c r="A9364" s="2" t="s">
        <v>8</v>
      </c>
      <c r="B9364" s="2" t="str">
        <f>HYPERLINK("http://ts.21cn.com/tousu/show/id/1340511","滴滴客服不作为，判责申诉不合理")</f>
        <v>滴滴客服不作为，判责申诉不合理</v>
      </c>
      <c r="C9364" s="2" t="s">
        <v>9</v>
      </c>
      <c r="D9364" s="2" t="s">
        <v>10</v>
      </c>
      <c r="E9364" s="2" t="str">
        <f>HYPERLINK("http://ts.21cn.com/tousu/show/id/1340511","http://ts.21cn.com/tousu/show/id/1340511")</f>
        <v>http://ts.21cn.com/tousu/show/id/1340511</v>
      </c>
      <c r="F9364" s="2" t="s">
        <v>11</v>
      </c>
      <c r="G9364" s="2" t="s">
        <v>25746</v>
      </c>
      <c r="H9364" s="2" t="s">
        <v>25747</v>
      </c>
    </row>
    <row r="9365" spans="1:8" ht="25.05" customHeight="1" x14ac:dyDescent="0.25">
      <c r="A9365" s="2" t="s">
        <v>8</v>
      </c>
      <c r="B9365" s="2" t="str">
        <f>HYPERLINK("http://ts.21cn.com/tousu/show/id/1340514","及贷骚扰，态度恶劣")</f>
        <v>及贷骚扰，态度恶劣</v>
      </c>
      <c r="C9365" s="2" t="s">
        <v>9</v>
      </c>
      <c r="D9365" s="2" t="s">
        <v>10</v>
      </c>
      <c r="E9365" s="2" t="str">
        <f>HYPERLINK("http://ts.21cn.com/tousu/show/id/1340514","http://ts.21cn.com/tousu/show/id/1340514")</f>
        <v>http://ts.21cn.com/tousu/show/id/1340514</v>
      </c>
      <c r="F9365" s="2" t="s">
        <v>11</v>
      </c>
      <c r="G9365" s="2" t="s">
        <v>25743</v>
      </c>
      <c r="H9365" s="2" t="s">
        <v>25744</v>
      </c>
    </row>
    <row r="9366" spans="1:8" ht="25.05" customHeight="1" x14ac:dyDescent="0.25">
      <c r="A9366" s="2" t="s">
        <v>8</v>
      </c>
      <c r="B9366" s="2" t="str">
        <f>HYPERLINK("http://ts.21cn.com/tousu/show/id/1340509","花呗网贷商利息太高了，而且有欺诈行为，客服又不处理")</f>
        <v>花呗网贷商利息太高了，而且有欺诈行为，客服又不处理</v>
      </c>
      <c r="C9366" s="2" t="s">
        <v>9</v>
      </c>
      <c r="D9366" s="2" t="s">
        <v>10</v>
      </c>
      <c r="E9366" s="2" t="str">
        <f>HYPERLINK("http://ts.21cn.com/tousu/show/id/1340509","http://ts.21cn.com/tousu/show/id/1340509")</f>
        <v>http://ts.21cn.com/tousu/show/id/1340509</v>
      </c>
      <c r="F9366" s="2" t="s">
        <v>11</v>
      </c>
      <c r="G9366" s="2" t="s">
        <v>25743</v>
      </c>
      <c r="H9366" s="2" t="s">
        <v>25745</v>
      </c>
    </row>
    <row r="9367" spans="1:8" ht="25.05" customHeight="1" x14ac:dyDescent="0.25">
      <c r="A9367" s="2" t="s">
        <v>8</v>
      </c>
      <c r="B9367" s="2" t="str">
        <f>HYPERLINK("http://ts.21cn.com/tousu/show/id/1340510","我差最后一期没有及时还上，就上了一个月的夜班。")</f>
        <v>我差最后一期没有及时还上，就上了一个月的夜班。</v>
      </c>
      <c r="C9367" s="2" t="s">
        <v>34</v>
      </c>
      <c r="D9367" s="2" t="s">
        <v>10</v>
      </c>
      <c r="E9367" s="2" t="str">
        <f>HYPERLINK("http://ts.21cn.com/tousu/show/id/1340510","http://ts.21cn.com/tousu/show/id/1340510")</f>
        <v>http://ts.21cn.com/tousu/show/id/1340510</v>
      </c>
      <c r="F9367" s="2" t="s">
        <v>11</v>
      </c>
      <c r="G9367" s="2" t="s">
        <v>25742</v>
      </c>
      <c r="H9367" s="2" t="s">
        <v>25741</v>
      </c>
    </row>
    <row r="9368" spans="1:8" ht="25.05" customHeight="1" x14ac:dyDescent="0.25">
      <c r="A9368" s="2" t="s">
        <v>8</v>
      </c>
      <c r="B9368" s="2" t="str">
        <f>HYPERLINK("http://ts.21cn.com/tousu/show/id/1340512","我要投诉航天电子，瀚银科技，得仕股份，敏付科技为博彩行业提供入款通道，要求退回我的损失")</f>
        <v>我要投诉航天电子，瀚银科技，得仕股份，敏付科技为博彩行业提供入款通道，要求退回我的损失</v>
      </c>
      <c r="C9368" s="2" t="s">
        <v>9</v>
      </c>
      <c r="D9368" s="2" t="s">
        <v>10</v>
      </c>
      <c r="E9368" s="2" t="str">
        <f>HYPERLINK("http://ts.21cn.com/tousu/show/id/1340512","http://ts.21cn.com/tousu/show/id/1340512")</f>
        <v>http://ts.21cn.com/tousu/show/id/1340512</v>
      </c>
      <c r="F9368" s="2" t="s">
        <v>11</v>
      </c>
      <c r="G9368" s="2" t="s">
        <v>25739</v>
      </c>
      <c r="H9368" s="2" t="s">
        <v>25740</v>
      </c>
    </row>
    <row r="9369" spans="1:8" ht="25.05" customHeight="1" x14ac:dyDescent="0.25">
      <c r="A9369" s="2" t="s">
        <v>8</v>
      </c>
      <c r="B9369" s="2" t="str">
        <f>HYPERLINK("http://ts.21cn.com/tousu/show/id/1340513","我在人人贷平台借35000，为什么我要还64043元")</f>
        <v>我在人人贷平台借35000，为什么我要还64043元</v>
      </c>
      <c r="C9369" s="2" t="s">
        <v>34</v>
      </c>
      <c r="D9369" s="2" t="s">
        <v>10</v>
      </c>
      <c r="E9369" s="2" t="str">
        <f>HYPERLINK("http://ts.21cn.com/tousu/show/id/1340513","http://ts.21cn.com/tousu/show/id/1340513")</f>
        <v>http://ts.21cn.com/tousu/show/id/1340513</v>
      </c>
      <c r="F9369" s="2" t="s">
        <v>11</v>
      </c>
      <c r="G9369" s="2" t="s">
        <v>25737</v>
      </c>
      <c r="H9369" s="2" t="s">
        <v>25738</v>
      </c>
    </row>
    <row r="9370" spans="1:8" ht="25.05" customHeight="1" x14ac:dyDescent="0.25">
      <c r="A9370" s="2" t="s">
        <v>8</v>
      </c>
      <c r="B9370" s="2" t="str">
        <f>HYPERLINK("http://ts.21cn.com/tousu/show/id/1340515","协商还款")</f>
        <v>协商还款</v>
      </c>
      <c r="C9370" s="2" t="s">
        <v>9</v>
      </c>
      <c r="D9370" s="2" t="s">
        <v>10</v>
      </c>
      <c r="E9370" s="2" t="str">
        <f>HYPERLINK("http://ts.21cn.com/tousu/show/id/1340515","http://ts.21cn.com/tousu/show/id/1340515")</f>
        <v>http://ts.21cn.com/tousu/show/id/1340515</v>
      </c>
      <c r="F9370" s="2" t="s">
        <v>11</v>
      </c>
      <c r="G9370" s="2" t="s">
        <v>25735</v>
      </c>
      <c r="H9370" s="2" t="s">
        <v>25736</v>
      </c>
    </row>
    <row r="9371" spans="1:8" ht="25.05" customHeight="1" x14ac:dyDescent="0.25">
      <c r="A9371" s="2" t="s">
        <v>8</v>
      </c>
      <c r="B9371" s="2" t="str">
        <f>HYPERLINK("http://ts.21cn.com/tousu/show/id/1340516","发短信轰炸我和我的家人")</f>
        <v>发短信轰炸我和我的家人</v>
      </c>
      <c r="C9371" s="2" t="s">
        <v>34</v>
      </c>
      <c r="D9371" s="2" t="s">
        <v>10</v>
      </c>
      <c r="E9371" s="2" t="str">
        <f>HYPERLINK("http://ts.21cn.com/tousu/show/id/1340516","http://ts.21cn.com/tousu/show/id/1340516")</f>
        <v>http://ts.21cn.com/tousu/show/id/1340516</v>
      </c>
      <c r="F9371" s="2" t="s">
        <v>11</v>
      </c>
      <c r="G9371" s="2" t="s">
        <v>25733</v>
      </c>
      <c r="H9371" s="2" t="s">
        <v>25734</v>
      </c>
    </row>
    <row r="9372" spans="1:8" ht="25.05" customHeight="1" x14ac:dyDescent="0.25">
      <c r="A9372" s="2" t="s">
        <v>8</v>
      </c>
      <c r="B9372" s="2" t="str">
        <f>HYPERLINK("http://ts.21cn.com/tousu/show/id/1340517","暴力催收")</f>
        <v>暴力催收</v>
      </c>
      <c r="C9372" s="2" t="s">
        <v>9</v>
      </c>
      <c r="D9372" s="2" t="s">
        <v>10</v>
      </c>
      <c r="E9372" s="2" t="str">
        <f>HYPERLINK("http://ts.21cn.com/tousu/show/id/1340517","http://ts.21cn.com/tousu/show/id/1340517")</f>
        <v>http://ts.21cn.com/tousu/show/id/1340517</v>
      </c>
      <c r="F9372" s="2" t="s">
        <v>11</v>
      </c>
      <c r="G9372" s="2" t="s">
        <v>25731</v>
      </c>
      <c r="H9372" s="2" t="s">
        <v>25732</v>
      </c>
    </row>
    <row r="9373" spans="1:8" ht="25.05" customHeight="1" x14ac:dyDescent="0.25">
      <c r="A9373" s="2" t="s">
        <v>8</v>
      </c>
      <c r="B9373" s="2" t="str">
        <f>HYPERLINK("http://ts.21cn.com/tousu/show/id/1340518","你我贷")</f>
        <v>你我贷</v>
      </c>
      <c r="C9373" s="2" t="s">
        <v>9</v>
      </c>
      <c r="D9373" s="2" t="s">
        <v>10</v>
      </c>
      <c r="E9373" s="2" t="str">
        <f>HYPERLINK("http://ts.21cn.com/tousu/show/id/1340518","http://ts.21cn.com/tousu/show/id/1340518")</f>
        <v>http://ts.21cn.com/tousu/show/id/1340518</v>
      </c>
      <c r="F9373" s="2" t="s">
        <v>11</v>
      </c>
      <c r="G9373" s="2" t="s">
        <v>25729</v>
      </c>
      <c r="H9373" s="2" t="s">
        <v>25730</v>
      </c>
    </row>
    <row r="9374" spans="1:8" ht="25.05" customHeight="1" x14ac:dyDescent="0.25">
      <c r="A9374" s="2" t="s">
        <v>8</v>
      </c>
      <c r="B9374" s="2" t="str">
        <f>HYPERLINK("http://ts.21cn.com/tousu/show/id/1340519","暴力催收")</f>
        <v>暴力催收</v>
      </c>
      <c r="C9374" s="2" t="s">
        <v>9</v>
      </c>
      <c r="D9374" s="2" t="s">
        <v>10</v>
      </c>
      <c r="E9374" s="2" t="str">
        <f>HYPERLINK("http://ts.21cn.com/tousu/show/id/1340519","http://ts.21cn.com/tousu/show/id/1340519")</f>
        <v>http://ts.21cn.com/tousu/show/id/1340519</v>
      </c>
      <c r="F9374" s="2" t="s">
        <v>11</v>
      </c>
      <c r="G9374" s="2" t="s">
        <v>25727</v>
      </c>
      <c r="H9374" s="2" t="s">
        <v>25728</v>
      </c>
    </row>
    <row r="9375" spans="1:8" ht="25.05" customHeight="1" x14ac:dyDescent="0.25">
      <c r="A9375" s="2" t="s">
        <v>8</v>
      </c>
      <c r="B9375" s="2" t="str">
        <f>HYPERLINK("http://ts.21cn.com/tousu/show/id/1340520","信而富暴力催收骚扰通讯录高利贷砍头息")</f>
        <v>信而富暴力催收骚扰通讯录高利贷砍头息</v>
      </c>
      <c r="C9375" s="2" t="s">
        <v>9</v>
      </c>
      <c r="D9375" s="2" t="s">
        <v>10</v>
      </c>
      <c r="E9375" s="2" t="str">
        <f>HYPERLINK("http://ts.21cn.com/tousu/show/id/1340520","http://ts.21cn.com/tousu/show/id/1340520")</f>
        <v>http://ts.21cn.com/tousu/show/id/1340520</v>
      </c>
      <c r="F9375" s="2" t="s">
        <v>11</v>
      </c>
      <c r="G9375" s="2" t="s">
        <v>25725</v>
      </c>
      <c r="H9375" s="2" t="s">
        <v>25726</v>
      </c>
    </row>
    <row r="9376" spans="1:8" ht="25.05" customHeight="1" x14ac:dyDescent="0.25">
      <c r="A9376" s="2" t="s">
        <v>8</v>
      </c>
      <c r="B9376" s="2" t="str">
        <f>HYPERLINK("http://ts.21cn.com/tousu/show/id/1340521","丢失快递不赔偿")</f>
        <v>丢失快递不赔偿</v>
      </c>
      <c r="C9376" s="2" t="s">
        <v>9</v>
      </c>
      <c r="D9376" s="2" t="s">
        <v>10</v>
      </c>
      <c r="E9376" s="2" t="str">
        <f>HYPERLINK("http://ts.21cn.com/tousu/show/id/1340521","http://ts.21cn.com/tousu/show/id/1340521")</f>
        <v>http://ts.21cn.com/tousu/show/id/1340521</v>
      </c>
      <c r="F9376" s="2" t="s">
        <v>11</v>
      </c>
      <c r="G9376" s="2" t="s">
        <v>25723</v>
      </c>
      <c r="H9376" s="2" t="s">
        <v>25724</v>
      </c>
    </row>
    <row r="9377" spans="1:8" ht="25.05" customHeight="1" x14ac:dyDescent="0.25">
      <c r="A9377" s="2" t="s">
        <v>8</v>
      </c>
      <c r="B9377" s="2" t="str">
        <f>HYPERLINK("http://ts.21cn.com/tousu/show/id/1340522","招联暴力催收（给他们说了现在经济出了点问题，两个月后一次性还清，他们还是不行，到处爆我亲朋好友的电话）")</f>
        <v>招联暴力催收（给他们说了现在经济出了点问题，两个月后一次性还清，他们还是不行，到处爆我亲朋好友的电话）</v>
      </c>
      <c r="C9377" s="2" t="s">
        <v>9</v>
      </c>
      <c r="D9377" s="2" t="s">
        <v>10</v>
      </c>
      <c r="E9377" s="2" t="str">
        <f>HYPERLINK("http://ts.21cn.com/tousu/show/id/1340522","http://ts.21cn.com/tousu/show/id/1340522")</f>
        <v>http://ts.21cn.com/tousu/show/id/1340522</v>
      </c>
      <c r="F9377" s="2" t="s">
        <v>11</v>
      </c>
      <c r="G9377" s="2" t="s">
        <v>25721</v>
      </c>
      <c r="H9377" s="2" t="s">
        <v>25722</v>
      </c>
    </row>
    <row r="9378" spans="1:8" ht="25.05" customHeight="1" x14ac:dyDescent="0.25">
      <c r="A9378" s="2" t="s">
        <v>8</v>
      </c>
      <c r="B9378" s="2" t="str">
        <f>HYPERLINK("http://ts.21cn.com/tousu/show/id/1340523","公司不下单给合规快车司机")</f>
        <v>公司不下单给合规快车司机</v>
      </c>
      <c r="C9378" s="2" t="s">
        <v>34</v>
      </c>
      <c r="D9378" s="2" t="s">
        <v>10</v>
      </c>
      <c r="E9378" s="2" t="str">
        <f>HYPERLINK("http://ts.21cn.com/tousu/show/id/1340523","http://ts.21cn.com/tousu/show/id/1340523")</f>
        <v>http://ts.21cn.com/tousu/show/id/1340523</v>
      </c>
      <c r="F9378" s="2" t="s">
        <v>11</v>
      </c>
      <c r="G9378" s="2" t="s">
        <v>25719</v>
      </c>
      <c r="H9378" s="2" t="s">
        <v>25720</v>
      </c>
    </row>
    <row r="9379" spans="1:8" ht="25.05" customHeight="1" x14ac:dyDescent="0.25">
      <c r="A9379" s="2" t="s">
        <v>8</v>
      </c>
      <c r="B9379" s="2" t="str">
        <f>HYPERLINK("http://ts.21cn.com/tousu/show/id/1340524","暴露我的个人资料")</f>
        <v>暴露我的个人资料</v>
      </c>
      <c r="C9379" s="2" t="s">
        <v>9</v>
      </c>
      <c r="D9379" s="2" t="s">
        <v>10</v>
      </c>
      <c r="E9379" s="2" t="str">
        <f>HYPERLINK("http://ts.21cn.com/tousu/show/id/1340524","http://ts.21cn.com/tousu/show/id/1340524")</f>
        <v>http://ts.21cn.com/tousu/show/id/1340524</v>
      </c>
      <c r="F9379" s="2" t="s">
        <v>11</v>
      </c>
      <c r="G9379" s="2" t="s">
        <v>25717</v>
      </c>
      <c r="H9379" s="2" t="s">
        <v>25718</v>
      </c>
    </row>
    <row r="9380" spans="1:8" ht="25.05" customHeight="1" x14ac:dyDescent="0.25">
      <c r="A9380" s="2" t="s">
        <v>8</v>
      </c>
      <c r="B9380" s="2" t="str">
        <f>HYPERLINK("http://ts.21cn.com/tousu/show/id/1340526","拍拍贷侮辱性，威胁")</f>
        <v>拍拍贷侮辱性，威胁</v>
      </c>
      <c r="C9380" s="2" t="s">
        <v>9</v>
      </c>
      <c r="D9380" s="2" t="s">
        <v>10</v>
      </c>
      <c r="E9380" s="2" t="str">
        <f>HYPERLINK("http://ts.21cn.com/tousu/show/id/1340526","http://ts.21cn.com/tousu/show/id/1340526")</f>
        <v>http://ts.21cn.com/tousu/show/id/1340526</v>
      </c>
      <c r="F9380" s="2" t="s">
        <v>11</v>
      </c>
      <c r="G9380" s="2" t="s">
        <v>25715</v>
      </c>
      <c r="H9380" s="2" t="s">
        <v>25716</v>
      </c>
    </row>
    <row r="9381" spans="1:8" ht="25.05" customHeight="1" x14ac:dyDescent="0.25">
      <c r="A9381" s="2" t="s">
        <v>8</v>
      </c>
      <c r="B9381" s="2" t="str">
        <f>HYPERLINK("http://ts.21cn.com/tousu/show/id/1340529","360借条放款条件底，无明显提示，利息高。")</f>
        <v>360借条放款条件底，无明显提示，利息高。</v>
      </c>
      <c r="C9381" s="2" t="s">
        <v>34</v>
      </c>
      <c r="D9381" s="2" t="s">
        <v>10</v>
      </c>
      <c r="E9381" s="2" t="str">
        <f>HYPERLINK("http://ts.21cn.com/tousu/show/id/1340529","http://ts.21cn.com/tousu/show/id/1340529")</f>
        <v>http://ts.21cn.com/tousu/show/id/1340529</v>
      </c>
      <c r="F9381" s="2" t="s">
        <v>11</v>
      </c>
      <c r="G9381" s="2" t="s">
        <v>25713</v>
      </c>
      <c r="H9381" s="2" t="s">
        <v>25714</v>
      </c>
    </row>
    <row r="9382" spans="1:8" ht="25.05" customHeight="1" x14ac:dyDescent="0.25">
      <c r="A9382" s="2" t="s">
        <v>8</v>
      </c>
      <c r="B9382" s="2" t="str">
        <f>HYPERLINK("http://ts.21cn.com/tousu/show/id/1340527","高利贷威胁")</f>
        <v>高利贷威胁</v>
      </c>
      <c r="C9382" s="2" t="s">
        <v>9</v>
      </c>
      <c r="D9382" s="2" t="s">
        <v>10</v>
      </c>
      <c r="E9382" s="2" t="str">
        <f>HYPERLINK("http://ts.21cn.com/tousu/show/id/1340527","http://ts.21cn.com/tousu/show/id/1340527")</f>
        <v>http://ts.21cn.com/tousu/show/id/1340527</v>
      </c>
      <c r="F9382" s="2" t="s">
        <v>11</v>
      </c>
      <c r="G9382" s="2" t="s">
        <v>25711</v>
      </c>
      <c r="H9382" s="2" t="s">
        <v>25712</v>
      </c>
    </row>
    <row r="9383" spans="1:8" ht="25.05" customHeight="1" x14ac:dyDescent="0.25">
      <c r="A9383" s="2" t="s">
        <v>8</v>
      </c>
      <c r="B9383" s="2" t="str">
        <f>HYPERLINK("http://ts.21cn.com/tousu/show/id/1340528","房地产公司欺诈消费者")</f>
        <v>房地产公司欺诈消费者</v>
      </c>
      <c r="C9383" s="2" t="s">
        <v>9</v>
      </c>
      <c r="D9383" s="2" t="s">
        <v>10</v>
      </c>
      <c r="E9383" s="2" t="str">
        <f>HYPERLINK("http://ts.21cn.com/tousu/show/id/1340528","http://ts.21cn.com/tousu/show/id/1340528")</f>
        <v>http://ts.21cn.com/tousu/show/id/1340528</v>
      </c>
      <c r="F9383" s="2" t="s">
        <v>11</v>
      </c>
      <c r="G9383" s="2" t="s">
        <v>25709</v>
      </c>
      <c r="H9383" s="2" t="s">
        <v>25710</v>
      </c>
    </row>
    <row r="9384" spans="1:8" ht="25.05" customHeight="1" x14ac:dyDescent="0.25">
      <c r="A9384" s="2" t="s">
        <v>8</v>
      </c>
      <c r="B9384" s="2" t="str">
        <f>HYPERLINK("http://ts.21cn.com/tousu/show/id/1340530","如期分期砍头息")</f>
        <v>如期分期砍头息</v>
      </c>
      <c r="C9384" s="2" t="s">
        <v>34</v>
      </c>
      <c r="D9384" s="2" t="s">
        <v>10</v>
      </c>
      <c r="E9384" s="2" t="str">
        <f>HYPERLINK("http://ts.21cn.com/tousu/show/id/1340530","http://ts.21cn.com/tousu/show/id/1340530")</f>
        <v>http://ts.21cn.com/tousu/show/id/1340530</v>
      </c>
      <c r="F9384" s="2" t="s">
        <v>11</v>
      </c>
      <c r="G9384" s="2" t="s">
        <v>25707</v>
      </c>
      <c r="H9384" s="2" t="s">
        <v>25708</v>
      </c>
    </row>
    <row r="9385" spans="1:8" ht="25.05" customHeight="1" x14ac:dyDescent="0.25">
      <c r="A9385" s="2" t="s">
        <v>8</v>
      </c>
      <c r="B9385" s="2" t="str">
        <f>HYPERLINK("http://ts.21cn.com/tousu/show/id/1340531","支付宝上海寻梦信息技术有限公司未经过本人同意私自扣款，客服处理不当")</f>
        <v>支付宝上海寻梦信息技术有限公司未经过本人同意私自扣款，客服处理不当</v>
      </c>
      <c r="C9385" s="2" t="s">
        <v>9</v>
      </c>
      <c r="D9385" s="2" t="s">
        <v>10</v>
      </c>
      <c r="E9385" s="2" t="str">
        <f>HYPERLINK("http://ts.21cn.com/tousu/show/id/1340531","http://ts.21cn.com/tousu/show/id/1340531")</f>
        <v>http://ts.21cn.com/tousu/show/id/1340531</v>
      </c>
      <c r="F9385" s="2" t="s">
        <v>11</v>
      </c>
      <c r="G9385" s="2" t="s">
        <v>25705</v>
      </c>
      <c r="H9385" s="2" t="s">
        <v>25706</v>
      </c>
    </row>
    <row r="9386" spans="1:8" ht="25.05" customHeight="1" x14ac:dyDescent="0.25">
      <c r="A9386" s="2" t="s">
        <v>8</v>
      </c>
      <c r="B9386" s="2" t="str">
        <f>HYPERLINK("http://ts.21cn.com/tousu/show/id/1340532","来分期恐吓")</f>
        <v>来分期恐吓</v>
      </c>
      <c r="C9386" s="2" t="s">
        <v>9</v>
      </c>
      <c r="D9386" s="2" t="s">
        <v>10</v>
      </c>
      <c r="E9386" s="2" t="str">
        <f>HYPERLINK("http://ts.21cn.com/tousu/show/id/1340532","http://ts.21cn.com/tousu/show/id/1340532")</f>
        <v>http://ts.21cn.com/tousu/show/id/1340532</v>
      </c>
      <c r="F9386" s="2" t="s">
        <v>11</v>
      </c>
      <c r="G9386" s="2" t="s">
        <v>25703</v>
      </c>
      <c r="H9386" s="2" t="s">
        <v>25704</v>
      </c>
    </row>
    <row r="9387" spans="1:8" ht="25.05" customHeight="1" x14ac:dyDescent="0.25">
      <c r="A9387" s="2" t="s">
        <v>8</v>
      </c>
      <c r="B9387" s="2" t="str">
        <f>HYPERLINK("http://ts.21cn.com/tousu/show/id/1340534","钱站高利贷阴阳合同")</f>
        <v>钱站高利贷阴阳合同</v>
      </c>
      <c r="C9387" s="2" t="s">
        <v>9</v>
      </c>
      <c r="D9387" s="2" t="s">
        <v>10</v>
      </c>
      <c r="E9387" s="2" t="str">
        <f>HYPERLINK("http://ts.21cn.com/tousu/show/id/1340534","http://ts.21cn.com/tousu/show/id/1340534")</f>
        <v>http://ts.21cn.com/tousu/show/id/1340534</v>
      </c>
      <c r="F9387" s="2" t="s">
        <v>11</v>
      </c>
      <c r="G9387" s="2" t="s">
        <v>25701</v>
      </c>
      <c r="H9387" s="2" t="s">
        <v>25702</v>
      </c>
    </row>
    <row r="9388" spans="1:8" ht="25.05" customHeight="1" x14ac:dyDescent="0.25">
      <c r="A9388" s="2" t="s">
        <v>8</v>
      </c>
      <c r="B9388" s="2" t="str">
        <f>HYPERLINK("http://ts.21cn.com/tousu/show/id/1340535","安逸花暴力催收")</f>
        <v>安逸花暴力催收</v>
      </c>
      <c r="C9388" s="2" t="s">
        <v>9</v>
      </c>
      <c r="D9388" s="2" t="s">
        <v>10</v>
      </c>
      <c r="E9388" s="2" t="str">
        <f>HYPERLINK("http://ts.21cn.com/tousu/show/id/1340535","http://ts.21cn.com/tousu/show/id/1340535")</f>
        <v>http://ts.21cn.com/tousu/show/id/1340535</v>
      </c>
      <c r="F9388" s="2" t="s">
        <v>11</v>
      </c>
      <c r="G9388" s="2" t="s">
        <v>25699</v>
      </c>
      <c r="H9388" s="2" t="s">
        <v>25700</v>
      </c>
    </row>
    <row r="9389" spans="1:8" ht="25.05" customHeight="1" x14ac:dyDescent="0.25">
      <c r="A9389" s="2" t="s">
        <v>8</v>
      </c>
      <c r="B9389" s="2" t="str">
        <f>HYPERLINK("http://ts.21cn.com/tousu/show/id/1340536","蛋壳公寓房屋问题以及工作人员问题")</f>
        <v>蛋壳公寓房屋问题以及工作人员问题</v>
      </c>
      <c r="C9389" s="2" t="s">
        <v>9</v>
      </c>
      <c r="D9389" s="2" t="s">
        <v>10</v>
      </c>
      <c r="E9389" s="2" t="str">
        <f>HYPERLINK("http://ts.21cn.com/tousu/show/id/1340536","http://ts.21cn.com/tousu/show/id/1340536")</f>
        <v>http://ts.21cn.com/tousu/show/id/1340536</v>
      </c>
      <c r="F9389" s="2" t="s">
        <v>11</v>
      </c>
      <c r="G9389" s="2" t="s">
        <v>25697</v>
      </c>
      <c r="H9389" s="2" t="s">
        <v>25698</v>
      </c>
    </row>
    <row r="9390" spans="1:8" ht="25.05" customHeight="1" x14ac:dyDescent="0.25">
      <c r="A9390" s="2" t="s">
        <v>8</v>
      </c>
      <c r="B9390" s="2" t="str">
        <f>HYPERLINK("http://ts.21cn.com/tousu/show/id/1340537","投诉网贷平台费用太高，并且非法催收行为")</f>
        <v>投诉网贷平台费用太高，并且非法催收行为</v>
      </c>
      <c r="C9390" s="2" t="s">
        <v>9</v>
      </c>
      <c r="D9390" s="2" t="s">
        <v>10</v>
      </c>
      <c r="E9390" s="2" t="str">
        <f>HYPERLINK("http://ts.21cn.com/tousu/show/id/1340537","http://ts.21cn.com/tousu/show/id/1340537")</f>
        <v>http://ts.21cn.com/tousu/show/id/1340537</v>
      </c>
      <c r="F9390" s="2" t="s">
        <v>11</v>
      </c>
      <c r="G9390" s="2" t="s">
        <v>25695</v>
      </c>
      <c r="H9390" s="2" t="s">
        <v>25696</v>
      </c>
    </row>
    <row r="9391" spans="1:8" ht="25.05" customHeight="1" x14ac:dyDescent="0.25">
      <c r="A9391" s="2" t="s">
        <v>8</v>
      </c>
      <c r="B9391" s="2" t="str">
        <f>HYPERLINK("http://ts.21cn.com/tousu/show/id/1340538","中信银行恶意催收骚扰无关家人")</f>
        <v>中信银行恶意催收骚扰无关家人</v>
      </c>
      <c r="C9391" s="2" t="s">
        <v>9</v>
      </c>
      <c r="D9391" s="2" t="s">
        <v>10</v>
      </c>
      <c r="E9391" s="2" t="str">
        <f>HYPERLINK("http://ts.21cn.com/tousu/show/id/1340538","http://ts.21cn.com/tousu/show/id/1340538")</f>
        <v>http://ts.21cn.com/tousu/show/id/1340538</v>
      </c>
      <c r="F9391" s="2" t="s">
        <v>11</v>
      </c>
      <c r="G9391" s="2" t="s">
        <v>25693</v>
      </c>
      <c r="H9391" s="2" t="s">
        <v>25694</v>
      </c>
    </row>
    <row r="9392" spans="1:8" ht="25.05" customHeight="1" x14ac:dyDescent="0.25">
      <c r="A9392" s="2" t="s">
        <v>8</v>
      </c>
      <c r="B9392" s="2" t="str">
        <f>HYPERLINK("http://ts.21cn.com/tousu/show/id/1340540","小花钱包利息过高")</f>
        <v>小花钱包利息过高</v>
      </c>
      <c r="C9392" s="2" t="s">
        <v>9</v>
      </c>
      <c r="D9392" s="2" t="s">
        <v>10</v>
      </c>
      <c r="E9392" s="2" t="str">
        <f>HYPERLINK("http://ts.21cn.com/tousu/show/id/1340540","http://ts.21cn.com/tousu/show/id/1340540")</f>
        <v>http://ts.21cn.com/tousu/show/id/1340540</v>
      </c>
      <c r="F9392" s="2" t="s">
        <v>11</v>
      </c>
      <c r="G9392" s="2" t="s">
        <v>25691</v>
      </c>
      <c r="H9392" s="2" t="s">
        <v>25692</v>
      </c>
    </row>
    <row r="9393" spans="1:8" ht="25.05" customHeight="1" x14ac:dyDescent="0.25">
      <c r="A9393" s="2" t="s">
        <v>8</v>
      </c>
      <c r="B9393" s="2" t="str">
        <f>HYPERLINK("http://ts.21cn.com/tousu/show/id/1340543","小黑鱼套路贷")</f>
        <v>小黑鱼套路贷</v>
      </c>
      <c r="C9393" s="2" t="s">
        <v>9</v>
      </c>
      <c r="D9393" s="2" t="s">
        <v>10</v>
      </c>
      <c r="E9393" s="2" t="str">
        <f>HYPERLINK("http://ts.21cn.com/tousu/show/id/1340543","http://ts.21cn.com/tousu/show/id/1340543")</f>
        <v>http://ts.21cn.com/tousu/show/id/1340543</v>
      </c>
      <c r="F9393" s="2" t="s">
        <v>11</v>
      </c>
      <c r="G9393" s="2" t="s">
        <v>25689</v>
      </c>
      <c r="H9393" s="2" t="s">
        <v>25690</v>
      </c>
    </row>
    <row r="9394" spans="1:8" ht="25.05" customHeight="1" x14ac:dyDescent="0.25">
      <c r="A9394" s="2" t="s">
        <v>8</v>
      </c>
      <c r="B9394" s="2" t="str">
        <f>HYPERLINK("http://ts.21cn.com/tousu/show/id/1340541","微信卡卡贷涉嫌高利贷砍头息，外加恐吓")</f>
        <v>微信卡卡贷涉嫌高利贷砍头息，外加恐吓</v>
      </c>
      <c r="C9394" s="2" t="s">
        <v>9</v>
      </c>
      <c r="D9394" s="2" t="s">
        <v>10</v>
      </c>
      <c r="E9394" s="2" t="str">
        <f>HYPERLINK("http://ts.21cn.com/tousu/show/id/1340541","http://ts.21cn.com/tousu/show/id/1340541")</f>
        <v>http://ts.21cn.com/tousu/show/id/1340541</v>
      </c>
      <c r="F9394" s="2" t="s">
        <v>11</v>
      </c>
      <c r="G9394" s="2" t="s">
        <v>25687</v>
      </c>
      <c r="H9394" s="2" t="s">
        <v>25688</v>
      </c>
    </row>
    <row r="9395" spans="1:8" ht="25.05" customHeight="1" x14ac:dyDescent="0.25">
      <c r="A9395" s="2" t="s">
        <v>8</v>
      </c>
      <c r="B9395" s="2" t="str">
        <f>HYPERLINK("http://ts.21cn.com/tousu/show/id/1340545","滴滴出行路程数多出几公里")</f>
        <v>滴滴出行路程数多出几公里</v>
      </c>
      <c r="C9395" s="2" t="s">
        <v>34</v>
      </c>
      <c r="D9395" s="2" t="s">
        <v>10</v>
      </c>
      <c r="E9395" s="2" t="str">
        <f>HYPERLINK("http://ts.21cn.com/tousu/show/id/1340545","http://ts.21cn.com/tousu/show/id/1340545")</f>
        <v>http://ts.21cn.com/tousu/show/id/1340545</v>
      </c>
      <c r="F9395" s="2" t="s">
        <v>11</v>
      </c>
      <c r="G9395" s="2" t="s">
        <v>25685</v>
      </c>
      <c r="H9395" s="2" t="s">
        <v>25686</v>
      </c>
    </row>
    <row r="9396" spans="1:8" ht="25.05" customHeight="1" x14ac:dyDescent="0.25">
      <c r="A9396" s="2" t="s">
        <v>8</v>
      </c>
      <c r="B9396" s="2" t="str">
        <f>HYPERLINK("http://ts.21cn.com/tousu/show/id/1340542","支付宝蚂蚁借呗爆通讯录骚扰家人，恶劣行为")</f>
        <v>支付宝蚂蚁借呗爆通讯录骚扰家人，恶劣行为</v>
      </c>
      <c r="C9396" s="2" t="s">
        <v>9</v>
      </c>
      <c r="D9396" s="2" t="s">
        <v>10</v>
      </c>
      <c r="E9396" s="2" t="str">
        <f>HYPERLINK("http://ts.21cn.com/tousu/show/id/1340542","http://ts.21cn.com/tousu/show/id/1340542")</f>
        <v>http://ts.21cn.com/tousu/show/id/1340542</v>
      </c>
      <c r="F9396" s="2" t="s">
        <v>11</v>
      </c>
      <c r="G9396" s="2" t="s">
        <v>25683</v>
      </c>
      <c r="H9396" s="2" t="s">
        <v>25684</v>
      </c>
    </row>
    <row r="9397" spans="1:8" ht="25.05" customHeight="1" x14ac:dyDescent="0.25">
      <c r="A9397" s="2" t="s">
        <v>8</v>
      </c>
      <c r="B9397" s="2" t="str">
        <f>HYPERLINK("http://ts.21cn.com/tousu/show/id/1340544","用“呼死你”等软件轰炸")</f>
        <v>用“呼死你”等软件轰炸</v>
      </c>
      <c r="C9397" s="2" t="s">
        <v>9</v>
      </c>
      <c r="D9397" s="2" t="s">
        <v>10</v>
      </c>
      <c r="E9397" s="2" t="str">
        <f>HYPERLINK("http://ts.21cn.com/tousu/show/id/1340544","http://ts.21cn.com/tousu/show/id/1340544")</f>
        <v>http://ts.21cn.com/tousu/show/id/1340544</v>
      </c>
      <c r="F9397" s="2" t="s">
        <v>11</v>
      </c>
      <c r="G9397" s="2" t="s">
        <v>25681</v>
      </c>
      <c r="H9397" s="2" t="s">
        <v>25682</v>
      </c>
    </row>
    <row r="9398" spans="1:8" ht="25.05" customHeight="1" x14ac:dyDescent="0.25">
      <c r="A9398" s="2" t="s">
        <v>8</v>
      </c>
      <c r="B9398" s="2" t="str">
        <f>HYPERLINK("http://ts.21cn.com/tousu/show/id/1340546","本人中国银行卡被盗刷")</f>
        <v>本人中国银行卡被盗刷</v>
      </c>
      <c r="C9398" s="2" t="s">
        <v>9</v>
      </c>
      <c r="D9398" s="2" t="s">
        <v>10</v>
      </c>
      <c r="E9398" s="2" t="str">
        <f>HYPERLINK("http://ts.21cn.com/tousu/show/id/1340546","http://ts.21cn.com/tousu/show/id/1340546")</f>
        <v>http://ts.21cn.com/tousu/show/id/1340546</v>
      </c>
      <c r="F9398" s="2" t="s">
        <v>11</v>
      </c>
      <c r="G9398" s="2" t="s">
        <v>25679</v>
      </c>
      <c r="H9398" s="2" t="s">
        <v>25680</v>
      </c>
    </row>
    <row r="9399" spans="1:8" ht="25.05" customHeight="1" x14ac:dyDescent="0.25">
      <c r="A9399" s="2" t="s">
        <v>8</v>
      </c>
      <c r="B9399" s="2" t="str">
        <f>HYPERLINK("http://ts.21cn.com/tousu/show/id/1340547","尚德通过虚构国家政策改革来诱导我报名")</f>
        <v>尚德通过虚构国家政策改革来诱导我报名</v>
      </c>
      <c r="C9399" s="2" t="s">
        <v>9</v>
      </c>
      <c r="D9399" s="2" t="s">
        <v>10</v>
      </c>
      <c r="E9399" s="2" t="str">
        <f>HYPERLINK("http://ts.21cn.com/tousu/show/id/1340547","http://ts.21cn.com/tousu/show/id/1340547")</f>
        <v>http://ts.21cn.com/tousu/show/id/1340547</v>
      </c>
      <c r="F9399" s="2" t="s">
        <v>11</v>
      </c>
      <c r="G9399" s="2" t="s">
        <v>25677</v>
      </c>
      <c r="H9399" s="2" t="s">
        <v>25678</v>
      </c>
    </row>
    <row r="9400" spans="1:8" ht="25.05" customHeight="1" x14ac:dyDescent="0.25">
      <c r="A9400" s="2" t="s">
        <v>8</v>
      </c>
      <c r="B9400" s="2" t="str">
        <f>HYPERLINK("http://ts.21cn.com/tousu/show/id/1340548","你我贷高利贷，砍头息")</f>
        <v>你我贷高利贷，砍头息</v>
      </c>
      <c r="C9400" s="2" t="s">
        <v>9</v>
      </c>
      <c r="D9400" s="2" t="s">
        <v>10</v>
      </c>
      <c r="E9400" s="2" t="str">
        <f>HYPERLINK("http://ts.21cn.com/tousu/show/id/1340548","http://ts.21cn.com/tousu/show/id/1340548")</f>
        <v>http://ts.21cn.com/tousu/show/id/1340548</v>
      </c>
      <c r="F9400" s="2" t="s">
        <v>11</v>
      </c>
      <c r="G9400" s="2" t="s">
        <v>25675</v>
      </c>
      <c r="H9400" s="2" t="s">
        <v>25676</v>
      </c>
    </row>
    <row r="9401" spans="1:8" ht="25.05" customHeight="1" x14ac:dyDescent="0.25">
      <c r="A9401" s="2" t="s">
        <v>8</v>
      </c>
      <c r="B9401" s="2" t="str">
        <f>HYPERLINK("http://ts.21cn.com/tousu/show/id/1340549","冒充国家执法机关")</f>
        <v>冒充国家执法机关</v>
      </c>
      <c r="C9401" s="2" t="s">
        <v>9</v>
      </c>
      <c r="D9401" s="2" t="s">
        <v>10</v>
      </c>
      <c r="E9401" s="2" t="str">
        <f>HYPERLINK("http://ts.21cn.com/tousu/show/id/1340549","http://ts.21cn.com/tousu/show/id/1340549")</f>
        <v>http://ts.21cn.com/tousu/show/id/1340549</v>
      </c>
      <c r="F9401" s="2" t="s">
        <v>11</v>
      </c>
      <c r="G9401" s="2" t="s">
        <v>25674</v>
      </c>
      <c r="H9401" s="2" t="s">
        <v>21896</v>
      </c>
    </row>
    <row r="9402" spans="1:8" ht="25.05" customHeight="1" x14ac:dyDescent="0.25">
      <c r="A9402" s="2" t="s">
        <v>8</v>
      </c>
      <c r="B9402" s="2" t="str">
        <f>HYPERLINK("http://ts.21cn.com/tousu/show/id/1340550","短信轰炸")</f>
        <v>短信轰炸</v>
      </c>
      <c r="C9402" s="2" t="s">
        <v>9</v>
      </c>
      <c r="D9402" s="2" t="s">
        <v>10</v>
      </c>
      <c r="E9402" s="2" t="str">
        <f>HYPERLINK("http://ts.21cn.com/tousu/show/id/1340550","http://ts.21cn.com/tousu/show/id/1340550")</f>
        <v>http://ts.21cn.com/tousu/show/id/1340550</v>
      </c>
      <c r="F9402" s="2" t="s">
        <v>11</v>
      </c>
      <c r="G9402" s="2" t="s">
        <v>25672</v>
      </c>
      <c r="H9402" s="2" t="s">
        <v>25673</v>
      </c>
    </row>
    <row r="9403" spans="1:8" ht="25.05" customHeight="1" x14ac:dyDescent="0.25">
      <c r="A9403" s="2" t="s">
        <v>8</v>
      </c>
      <c r="B9403" s="2" t="str">
        <f>HYPERLINK("http://ts.21cn.com/tousu/show/id/1340553","请瀚银科技，敏付科技，易势商务，首信易支付，酷宝支付维护客户权益，审查商户订单信息给我退款，谢谢！")</f>
        <v>请瀚银科技，敏付科技，易势商务，首信易支付，酷宝支付维护客户权益，审查商户订单信息给我退款，谢谢！</v>
      </c>
      <c r="C9403" s="2" t="s">
        <v>9</v>
      </c>
      <c r="D9403" s="2" t="s">
        <v>10</v>
      </c>
      <c r="E9403" s="2" t="str">
        <f>HYPERLINK("http://ts.21cn.com/tousu/show/id/1340553","http://ts.21cn.com/tousu/show/id/1340553")</f>
        <v>http://ts.21cn.com/tousu/show/id/1340553</v>
      </c>
      <c r="F9403" s="2" t="s">
        <v>11</v>
      </c>
      <c r="G9403" s="2" t="s">
        <v>25670</v>
      </c>
      <c r="H9403" s="2" t="s">
        <v>25671</v>
      </c>
    </row>
    <row r="9404" spans="1:8" ht="25.05" customHeight="1" x14ac:dyDescent="0.25">
      <c r="A9404" s="2" t="s">
        <v>8</v>
      </c>
      <c r="B9404" s="2" t="str">
        <f>HYPERLINK("http://ts.21cn.com/tousu/show/id/1340554","高利贷，强制充值游戏币砍头息，骚扰通讯录，盗取个人信息")</f>
        <v>高利贷，强制充值游戏币砍头息，骚扰通讯录，盗取个人信息</v>
      </c>
      <c r="C9404" s="2" t="s">
        <v>9</v>
      </c>
      <c r="D9404" s="2" t="s">
        <v>10</v>
      </c>
      <c r="E9404" s="2" t="str">
        <f>HYPERLINK("http://ts.21cn.com/tousu/show/id/1340554","http://ts.21cn.com/tousu/show/id/1340554")</f>
        <v>http://ts.21cn.com/tousu/show/id/1340554</v>
      </c>
      <c r="F9404" s="2" t="s">
        <v>11</v>
      </c>
      <c r="G9404" s="2" t="s">
        <v>25668</v>
      </c>
      <c r="H9404" s="2" t="s">
        <v>25669</v>
      </c>
    </row>
    <row r="9405" spans="1:8" ht="25.05" customHeight="1" x14ac:dyDescent="0.25">
      <c r="A9405" s="2" t="s">
        <v>8</v>
      </c>
      <c r="B9405" s="2" t="str">
        <f>HYPERLINK("http://ts.21cn.com/tousu/show/id/1340556","闪银奇异恶意收费，高利贷，砍头息")</f>
        <v>闪银奇异恶意收费，高利贷，砍头息</v>
      </c>
      <c r="C9405" s="2" t="s">
        <v>9</v>
      </c>
      <c r="D9405" s="2" t="s">
        <v>10</v>
      </c>
      <c r="E9405" s="2" t="str">
        <f>HYPERLINK("http://ts.21cn.com/tousu/show/id/1340556","http://ts.21cn.com/tousu/show/id/1340556")</f>
        <v>http://ts.21cn.com/tousu/show/id/1340556</v>
      </c>
      <c r="F9405" s="2" t="s">
        <v>11</v>
      </c>
      <c r="G9405" s="2" t="s">
        <v>25666</v>
      </c>
      <c r="H9405" s="2" t="s">
        <v>25667</v>
      </c>
    </row>
    <row r="9406" spans="1:8" ht="25.05" customHeight="1" x14ac:dyDescent="0.25">
      <c r="A9406" s="2" t="s">
        <v>8</v>
      </c>
      <c r="B9406" s="2" t="str">
        <f>HYPERLINK("http://ts.21cn.com/tousu/show/id/1340557","淘宝卖家销售假货承认假货")</f>
        <v>淘宝卖家销售假货承认假货</v>
      </c>
      <c r="C9406" s="2" t="s">
        <v>9</v>
      </c>
      <c r="D9406" s="2" t="s">
        <v>10</v>
      </c>
      <c r="E9406" s="2" t="str">
        <f>HYPERLINK("http://ts.21cn.com/tousu/show/id/1340557","http://ts.21cn.com/tousu/show/id/1340557")</f>
        <v>http://ts.21cn.com/tousu/show/id/1340557</v>
      </c>
      <c r="F9406" s="2" t="s">
        <v>11</v>
      </c>
      <c r="G9406" s="2" t="s">
        <v>25664</v>
      </c>
      <c r="H9406" s="2" t="s">
        <v>25665</v>
      </c>
    </row>
    <row r="9407" spans="1:8" ht="25.05" customHeight="1" x14ac:dyDescent="0.25">
      <c r="A9407" s="2" t="s">
        <v>8</v>
      </c>
      <c r="B9407" s="2" t="str">
        <f>HYPERLINK("http://ts.21cn.com/tousu/show/id/1340558","高利贷，砍头息")</f>
        <v>高利贷，砍头息</v>
      </c>
      <c r="C9407" s="2" t="s">
        <v>9</v>
      </c>
      <c r="D9407" s="2" t="s">
        <v>10</v>
      </c>
      <c r="E9407" s="2" t="str">
        <f>HYPERLINK("http://ts.21cn.com/tousu/show/id/1340558","http://ts.21cn.com/tousu/show/id/1340558")</f>
        <v>http://ts.21cn.com/tousu/show/id/1340558</v>
      </c>
      <c r="F9407" s="2" t="s">
        <v>11</v>
      </c>
      <c r="G9407" s="2" t="s">
        <v>25662</v>
      </c>
      <c r="H9407" s="2" t="s">
        <v>25663</v>
      </c>
    </row>
    <row r="9408" spans="1:8" ht="25.05" customHeight="1" x14ac:dyDescent="0.25">
      <c r="A9408" s="2" t="s">
        <v>8</v>
      </c>
      <c r="B9408" s="2" t="str">
        <f>HYPERLINK("http://ts.21cn.com/tousu/show/id/1340559","小米钱包还款不销账")</f>
        <v>小米钱包还款不销账</v>
      </c>
      <c r="C9408" s="2" t="s">
        <v>9</v>
      </c>
      <c r="D9408" s="2" t="s">
        <v>10</v>
      </c>
      <c r="E9408" s="2" t="str">
        <f>HYPERLINK("http://ts.21cn.com/tousu/show/id/1340559","http://ts.21cn.com/tousu/show/id/1340559")</f>
        <v>http://ts.21cn.com/tousu/show/id/1340559</v>
      </c>
      <c r="F9408" s="2" t="s">
        <v>11</v>
      </c>
      <c r="G9408" s="2" t="s">
        <v>25660</v>
      </c>
      <c r="H9408" s="2" t="s">
        <v>25661</v>
      </c>
    </row>
    <row r="9409" spans="1:8" ht="25.05" customHeight="1" x14ac:dyDescent="0.25">
      <c r="A9409" s="2" t="s">
        <v>8</v>
      </c>
      <c r="B9409" s="2" t="str">
        <f>HYPERLINK("http://ts.21cn.com/tousu/show/id/1340560","蚂蚁金服帮助涉黑网战收取资金，打电话客服，客服推脱的很干净")</f>
        <v>蚂蚁金服帮助涉黑网战收取资金，打电话客服，客服推脱的很干净</v>
      </c>
      <c r="C9409" s="2" t="s">
        <v>9</v>
      </c>
      <c r="D9409" s="2" t="s">
        <v>10</v>
      </c>
      <c r="E9409" s="2" t="str">
        <f>HYPERLINK("http://ts.21cn.com/tousu/show/id/1340560","http://ts.21cn.com/tousu/show/id/1340560")</f>
        <v>http://ts.21cn.com/tousu/show/id/1340560</v>
      </c>
      <c r="F9409" s="2" t="s">
        <v>11</v>
      </c>
      <c r="G9409" s="2" t="s">
        <v>25658</v>
      </c>
      <c r="H9409" s="2" t="s">
        <v>25659</v>
      </c>
    </row>
    <row r="9410" spans="1:8" ht="25.05" customHeight="1" x14ac:dyDescent="0.25">
      <c r="A9410" s="2" t="s">
        <v>8</v>
      </c>
      <c r="B9410" s="2" t="str">
        <f>HYPERLINK("http://ts.21cn.com/tousu/show/id/1340561","豹子贷无故扣钱不需要还要扣")</f>
        <v>豹子贷无故扣钱不需要还要扣</v>
      </c>
      <c r="C9410" s="2" t="s">
        <v>9</v>
      </c>
      <c r="D9410" s="2" t="s">
        <v>10</v>
      </c>
      <c r="E9410" s="2" t="str">
        <f>HYPERLINK("http://ts.21cn.com/tousu/show/id/1340561","http://ts.21cn.com/tousu/show/id/1340561")</f>
        <v>http://ts.21cn.com/tousu/show/id/1340561</v>
      </c>
      <c r="F9410" s="2" t="s">
        <v>11</v>
      </c>
      <c r="G9410" s="2" t="s">
        <v>25656</v>
      </c>
      <c r="H9410" s="2" t="s">
        <v>25657</v>
      </c>
    </row>
    <row r="9411" spans="1:8" ht="25.05" customHeight="1" x14ac:dyDescent="0.25">
      <c r="A9411" s="2" t="s">
        <v>8</v>
      </c>
      <c r="B9411" s="2" t="str">
        <f>HYPERLINK("http://ts.21cn.com/tousu/show/id/1340551","圆通快递员私自更改客户要求")</f>
        <v>圆通快递员私自更改客户要求</v>
      </c>
      <c r="C9411" s="2" t="s">
        <v>9</v>
      </c>
      <c r="D9411" s="2" t="s">
        <v>10</v>
      </c>
      <c r="E9411" s="2" t="str">
        <f>HYPERLINK("http://ts.21cn.com/tousu/show/id/1340551","http://ts.21cn.com/tousu/show/id/1340551")</f>
        <v>http://ts.21cn.com/tousu/show/id/1340551</v>
      </c>
      <c r="F9411" s="2" t="s">
        <v>11</v>
      </c>
      <c r="G9411" s="2" t="s">
        <v>25654</v>
      </c>
      <c r="H9411" s="2" t="s">
        <v>25655</v>
      </c>
    </row>
    <row r="9412" spans="1:8" ht="25.05" customHeight="1" x14ac:dyDescent="0.25">
      <c r="A9412" s="2" t="s">
        <v>8</v>
      </c>
      <c r="B9412" s="2" t="str">
        <f>HYPERLINK("http://ts.21cn.com/tousu/show/id/1340562","上门暴力收款")</f>
        <v>上门暴力收款</v>
      </c>
      <c r="C9412" s="2" t="s">
        <v>9</v>
      </c>
      <c r="D9412" s="2" t="s">
        <v>10</v>
      </c>
      <c r="E9412" s="2" t="str">
        <f>HYPERLINK("http://ts.21cn.com/tousu/show/id/1340562","http://ts.21cn.com/tousu/show/id/1340562")</f>
        <v>http://ts.21cn.com/tousu/show/id/1340562</v>
      </c>
      <c r="F9412" s="2" t="s">
        <v>11</v>
      </c>
      <c r="G9412" s="2" t="s">
        <v>25653</v>
      </c>
      <c r="H9412" s="2" t="s">
        <v>21884</v>
      </c>
    </row>
    <row r="9413" spans="1:8" ht="25.05" customHeight="1" x14ac:dyDescent="0.25">
      <c r="A9413" s="2" t="s">
        <v>8</v>
      </c>
      <c r="B9413" s="2" t="str">
        <f>HYPERLINK("http://ts.21cn.com/tousu/show/id/1340563","滴滴网约车恶意扣钱")</f>
        <v>滴滴网约车恶意扣钱</v>
      </c>
      <c r="C9413" s="2" t="s">
        <v>9</v>
      </c>
      <c r="D9413" s="2" t="s">
        <v>10</v>
      </c>
      <c r="E9413" s="2" t="str">
        <f>HYPERLINK("http://ts.21cn.com/tousu/show/id/1340563","http://ts.21cn.com/tousu/show/id/1340563")</f>
        <v>http://ts.21cn.com/tousu/show/id/1340563</v>
      </c>
      <c r="F9413" s="2" t="s">
        <v>11</v>
      </c>
      <c r="G9413" s="2" t="s">
        <v>25651</v>
      </c>
      <c r="H9413" s="2" t="s">
        <v>25652</v>
      </c>
    </row>
    <row r="9414" spans="1:8" ht="25.05" customHeight="1" x14ac:dyDescent="0.25">
      <c r="A9414" s="2" t="s">
        <v>8</v>
      </c>
      <c r="B9414" s="2" t="str">
        <f>HYPERLINK("http://ts.21cn.com/tousu/show/id/1340565","私自扣款299。未经允许。并不退还。强制收取")</f>
        <v>私自扣款299。未经允许。并不退还。强制收取</v>
      </c>
      <c r="C9414" s="2" t="s">
        <v>9</v>
      </c>
      <c r="D9414" s="2" t="s">
        <v>10</v>
      </c>
      <c r="E9414" s="2" t="str">
        <f>HYPERLINK("http://ts.21cn.com/tousu/show/id/1340565","http://ts.21cn.com/tousu/show/id/1340565")</f>
        <v>http://ts.21cn.com/tousu/show/id/1340565</v>
      </c>
      <c r="F9414" s="2" t="s">
        <v>11</v>
      </c>
      <c r="G9414" s="2" t="s">
        <v>25649</v>
      </c>
      <c r="H9414" s="2" t="s">
        <v>25650</v>
      </c>
    </row>
    <row r="9415" spans="1:8" ht="25.05" customHeight="1" x14ac:dyDescent="0.25">
      <c r="A9415" s="2" t="s">
        <v>8</v>
      </c>
      <c r="B9415" s="2" t="str">
        <f>HYPERLINK("http://ts.21cn.com/tousu/show/id/1340564","在不知情情况下扣款")</f>
        <v>在不知情情况下扣款</v>
      </c>
      <c r="C9415" s="2" t="s">
        <v>9</v>
      </c>
      <c r="D9415" s="2" t="s">
        <v>10</v>
      </c>
      <c r="E9415" s="2" t="str">
        <f>HYPERLINK("http://ts.21cn.com/tousu/show/id/1340564","http://ts.21cn.com/tousu/show/id/1340564")</f>
        <v>http://ts.21cn.com/tousu/show/id/1340564</v>
      </c>
      <c r="F9415" s="2" t="s">
        <v>11</v>
      </c>
      <c r="G9415" s="2" t="s">
        <v>25647</v>
      </c>
      <c r="H9415" s="2" t="s">
        <v>25648</v>
      </c>
    </row>
    <row r="9416" spans="1:8" ht="25.05" customHeight="1" x14ac:dyDescent="0.25">
      <c r="A9416" s="2" t="s">
        <v>8</v>
      </c>
      <c r="B9416" s="2" t="str">
        <f>HYPERLINK("http://ts.21cn.com/tousu/show/id/1340567","本金已经还完，利息高过中国银行利息")</f>
        <v>本金已经还完，利息高过中国银行利息</v>
      </c>
      <c r="C9416" s="2" t="s">
        <v>34</v>
      </c>
      <c r="D9416" s="2" t="s">
        <v>10</v>
      </c>
      <c r="E9416" s="2" t="str">
        <f>HYPERLINK("http://ts.21cn.com/tousu/show/id/1340567","http://ts.21cn.com/tousu/show/id/1340567")</f>
        <v>http://ts.21cn.com/tousu/show/id/1340567</v>
      </c>
      <c r="F9416" s="2" t="s">
        <v>11</v>
      </c>
      <c r="G9416" s="2" t="s">
        <v>25645</v>
      </c>
      <c r="H9416" s="2" t="s">
        <v>25646</v>
      </c>
    </row>
    <row r="9417" spans="1:8" ht="25.05" customHeight="1" x14ac:dyDescent="0.25">
      <c r="A9417" s="2" t="s">
        <v>8</v>
      </c>
      <c r="B9417" s="2" t="str">
        <f>HYPERLINK("http://ts.21cn.com/tousu/show/id/1340568","返还砍头息正常还款")</f>
        <v>返还砍头息正常还款</v>
      </c>
      <c r="C9417" s="2" t="s">
        <v>9</v>
      </c>
      <c r="D9417" s="2" t="s">
        <v>10</v>
      </c>
      <c r="E9417" s="2" t="str">
        <f>HYPERLINK("http://ts.21cn.com/tousu/show/id/1340568","http://ts.21cn.com/tousu/show/id/1340568")</f>
        <v>http://ts.21cn.com/tousu/show/id/1340568</v>
      </c>
      <c r="F9417" s="2" t="s">
        <v>11</v>
      </c>
      <c r="G9417" s="2" t="s">
        <v>25643</v>
      </c>
      <c r="H9417" s="2" t="s">
        <v>25644</v>
      </c>
    </row>
    <row r="9418" spans="1:8" ht="25.05" customHeight="1" x14ac:dyDescent="0.25">
      <c r="A9418" s="2" t="s">
        <v>8</v>
      </c>
      <c r="B9418" s="2" t="str">
        <f>HYPERLINK("http://ts.21cn.com/tousu/show/id/1340569","白领贷利息过高")</f>
        <v>白领贷利息过高</v>
      </c>
      <c r="C9418" s="2" t="s">
        <v>9</v>
      </c>
      <c r="D9418" s="2" t="s">
        <v>10</v>
      </c>
      <c r="E9418" s="2" t="str">
        <f>HYPERLINK("http://ts.21cn.com/tousu/show/id/1340569","http://ts.21cn.com/tousu/show/id/1340569")</f>
        <v>http://ts.21cn.com/tousu/show/id/1340569</v>
      </c>
      <c r="F9418" s="2" t="s">
        <v>11</v>
      </c>
      <c r="G9418" s="2" t="s">
        <v>25641</v>
      </c>
      <c r="H9418" s="2" t="s">
        <v>25642</v>
      </c>
    </row>
    <row r="9419" spans="1:8" ht="25.05" customHeight="1" x14ac:dyDescent="0.25">
      <c r="A9419" s="2" t="s">
        <v>8</v>
      </c>
      <c r="B9419" s="2" t="str">
        <f>HYPERLINK("http://ts.21cn.com/tousu/show/id/1340570","支付宝为高利贷提供支付")</f>
        <v>支付宝为高利贷提供支付</v>
      </c>
      <c r="C9419" s="2" t="s">
        <v>9</v>
      </c>
      <c r="D9419" s="2" t="s">
        <v>10</v>
      </c>
      <c r="E9419" s="2" t="str">
        <f>HYPERLINK("http://ts.21cn.com/tousu/show/id/1340570","http://ts.21cn.com/tousu/show/id/1340570")</f>
        <v>http://ts.21cn.com/tousu/show/id/1340570</v>
      </c>
      <c r="F9419" s="2" t="s">
        <v>11</v>
      </c>
      <c r="G9419" s="2" t="s">
        <v>25639</v>
      </c>
      <c r="H9419" s="2" t="s">
        <v>25640</v>
      </c>
    </row>
    <row r="9420" spans="1:8" ht="25.05" customHeight="1" x14ac:dyDescent="0.25">
      <c r="A9420" s="2" t="s">
        <v>8</v>
      </c>
      <c r="B9420" s="2" t="str">
        <f>HYPERLINK("http://ts.21cn.com/tousu/show/id/1340572","要求聚福钱包退款")</f>
        <v>要求聚福钱包退款</v>
      </c>
      <c r="C9420" s="2" t="s">
        <v>9</v>
      </c>
      <c r="D9420" s="2" t="s">
        <v>10</v>
      </c>
      <c r="E9420" s="2" t="str">
        <f>HYPERLINK("http://ts.21cn.com/tousu/show/id/1340572","http://ts.21cn.com/tousu/show/id/1340572")</f>
        <v>http://ts.21cn.com/tousu/show/id/1340572</v>
      </c>
      <c r="F9420" s="2" t="s">
        <v>11</v>
      </c>
      <c r="G9420" s="2" t="s">
        <v>25637</v>
      </c>
      <c r="H9420" s="2" t="s">
        <v>25638</v>
      </c>
    </row>
    <row r="9421" spans="1:8" ht="25.05" customHeight="1" x14ac:dyDescent="0.25">
      <c r="A9421" s="2" t="s">
        <v>8</v>
      </c>
      <c r="B9421" s="2" t="str">
        <f>HYPERLINK("http://ts.21cn.com/tousu/show/id/1340574","无缘无故被催收")</f>
        <v>无缘无故被催收</v>
      </c>
      <c r="C9421" s="2" t="s">
        <v>9</v>
      </c>
      <c r="D9421" s="2" t="s">
        <v>10</v>
      </c>
      <c r="E9421" s="2" t="str">
        <f>HYPERLINK("http://ts.21cn.com/tousu/show/id/1340574","http://ts.21cn.com/tousu/show/id/1340574")</f>
        <v>http://ts.21cn.com/tousu/show/id/1340574</v>
      </c>
      <c r="F9421" s="2" t="s">
        <v>11</v>
      </c>
      <c r="G9421" s="2" t="s">
        <v>25635</v>
      </c>
      <c r="H9421" s="2" t="s">
        <v>25636</v>
      </c>
    </row>
    <row r="9422" spans="1:8" ht="25.05" customHeight="1" x14ac:dyDescent="0.25">
      <c r="A9422" s="2" t="s">
        <v>8</v>
      </c>
      <c r="B9422" s="2" t="str">
        <f>HYPERLINK("http://ts.21cn.com/tousu/show/id/1340575","滴滴客服恶意骚扰")</f>
        <v>滴滴客服恶意骚扰</v>
      </c>
      <c r="C9422" s="2" t="s">
        <v>9</v>
      </c>
      <c r="D9422" s="2" t="s">
        <v>10</v>
      </c>
      <c r="E9422" s="2" t="str">
        <f>HYPERLINK("http://ts.21cn.com/tousu/show/id/1340575","http://ts.21cn.com/tousu/show/id/1340575")</f>
        <v>http://ts.21cn.com/tousu/show/id/1340575</v>
      </c>
      <c r="F9422" s="2" t="s">
        <v>11</v>
      </c>
      <c r="G9422" s="2" t="s">
        <v>25634</v>
      </c>
      <c r="H9422" s="2" t="s">
        <v>16463</v>
      </c>
    </row>
    <row r="9423" spans="1:8" ht="25.05" customHeight="1" x14ac:dyDescent="0.25">
      <c r="A9423" s="2" t="s">
        <v>8</v>
      </c>
      <c r="B9423" s="2" t="str">
        <f>HYPERLINK("http://ts.21cn.com/tousu/show/id/1340576","周周花花高利息暴力催收")</f>
        <v>周周花花高利息暴力催收</v>
      </c>
      <c r="C9423" s="2" t="s">
        <v>9</v>
      </c>
      <c r="D9423" s="2" t="s">
        <v>10</v>
      </c>
      <c r="E9423" s="2" t="str">
        <f>HYPERLINK("http://ts.21cn.com/tousu/show/id/1340576","http://ts.21cn.com/tousu/show/id/1340576")</f>
        <v>http://ts.21cn.com/tousu/show/id/1340576</v>
      </c>
      <c r="F9423" s="2" t="s">
        <v>11</v>
      </c>
      <c r="G9423" s="2" t="s">
        <v>25632</v>
      </c>
      <c r="H9423" s="2" t="s">
        <v>25633</v>
      </c>
    </row>
    <row r="9424" spans="1:8" ht="25.05" customHeight="1" x14ac:dyDescent="0.25">
      <c r="A9424" s="2" t="s">
        <v>8</v>
      </c>
      <c r="B9424" s="2" t="str">
        <f>HYPERLINK("http://ts.21cn.com/tousu/show/id/1340577","清退违规商家")</f>
        <v>清退违规商家</v>
      </c>
      <c r="C9424" s="2" t="s">
        <v>9</v>
      </c>
      <c r="D9424" s="2" t="s">
        <v>10</v>
      </c>
      <c r="E9424" s="2" t="str">
        <f>HYPERLINK("http://ts.21cn.com/tousu/show/id/1340577","http://ts.21cn.com/tousu/show/id/1340577")</f>
        <v>http://ts.21cn.com/tousu/show/id/1340577</v>
      </c>
      <c r="F9424" s="2" t="s">
        <v>11</v>
      </c>
      <c r="G9424" s="2" t="s">
        <v>25630</v>
      </c>
      <c r="H9424" s="2" t="s">
        <v>25631</v>
      </c>
    </row>
    <row r="9425" spans="1:8" ht="25.05" customHeight="1" x14ac:dyDescent="0.25">
      <c r="A9425" s="2" t="s">
        <v>8</v>
      </c>
      <c r="B9425" s="2" t="str">
        <f>HYPERLINK("http://ts.21cn.com/tousu/show/id/1340566","投诉携程网当地向导包车游骚扰电话")</f>
        <v>投诉携程网当地向导包车游骚扰电话</v>
      </c>
      <c r="C9425" s="2" t="s">
        <v>9</v>
      </c>
      <c r="D9425" s="2" t="s">
        <v>10</v>
      </c>
      <c r="E9425" s="2" t="str">
        <f>HYPERLINK("http://ts.21cn.com/tousu/show/id/1340566","http://ts.21cn.com/tousu/show/id/1340566")</f>
        <v>http://ts.21cn.com/tousu/show/id/1340566</v>
      </c>
      <c r="F9425" s="2" t="s">
        <v>11</v>
      </c>
      <c r="G9425" s="2" t="s">
        <v>25628</v>
      </c>
      <c r="H9425" s="2" t="s">
        <v>25629</v>
      </c>
    </row>
    <row r="9426" spans="1:8" ht="25.05" customHeight="1" x14ac:dyDescent="0.25">
      <c r="A9426" s="2" t="s">
        <v>8</v>
      </c>
      <c r="B9426" s="2" t="str">
        <f>HYPERLINK("http://ts.21cn.com/tousu/show/id/1340578","马上金融高利贷，砍头息")</f>
        <v>马上金融高利贷，砍头息</v>
      </c>
      <c r="C9426" s="2" t="s">
        <v>9</v>
      </c>
      <c r="D9426" s="2" t="s">
        <v>10</v>
      </c>
      <c r="E9426" s="2" t="str">
        <f>HYPERLINK("http://ts.21cn.com/tousu/show/id/1340578","http://ts.21cn.com/tousu/show/id/1340578")</f>
        <v>http://ts.21cn.com/tousu/show/id/1340578</v>
      </c>
      <c r="F9426" s="2" t="s">
        <v>11</v>
      </c>
      <c r="G9426" s="2" t="s">
        <v>25626</v>
      </c>
      <c r="H9426" s="2" t="s">
        <v>25627</v>
      </c>
    </row>
    <row r="9427" spans="1:8" ht="25.05" customHeight="1" x14ac:dyDescent="0.25">
      <c r="A9427" s="2" t="s">
        <v>8</v>
      </c>
      <c r="B9427" s="2" t="str">
        <f>HYPERLINK("http://ts.21cn.com/tousu/show/id/1340580","钱站高利贷阴阳合同")</f>
        <v>钱站高利贷阴阳合同</v>
      </c>
      <c r="C9427" s="2" t="s">
        <v>9</v>
      </c>
      <c r="D9427" s="2" t="s">
        <v>10</v>
      </c>
      <c r="E9427" s="2" t="str">
        <f>HYPERLINK("http://ts.21cn.com/tousu/show/id/1340580","http://ts.21cn.com/tousu/show/id/1340580")</f>
        <v>http://ts.21cn.com/tousu/show/id/1340580</v>
      </c>
      <c r="F9427" s="2" t="s">
        <v>11</v>
      </c>
      <c r="G9427" s="2" t="s">
        <v>25624</v>
      </c>
      <c r="H9427" s="2" t="s">
        <v>25625</v>
      </c>
    </row>
    <row r="9428" spans="1:8" ht="25.05" customHeight="1" x14ac:dyDescent="0.25">
      <c r="A9428" s="2" t="s">
        <v>8</v>
      </c>
      <c r="B9428" s="2" t="str">
        <f>HYPERLINK("http://ts.21cn.com/tousu/show/id/1340579","中国移动利用客户信息优势，诱导消费，退货难")</f>
        <v>中国移动利用客户信息优势，诱导消费，退货难</v>
      </c>
      <c r="C9428" s="2" t="s">
        <v>9</v>
      </c>
      <c r="D9428" s="2" t="s">
        <v>10</v>
      </c>
      <c r="E9428" s="2" t="str">
        <f>HYPERLINK("http://ts.21cn.com/tousu/show/id/1340579","http://ts.21cn.com/tousu/show/id/1340579")</f>
        <v>http://ts.21cn.com/tousu/show/id/1340579</v>
      </c>
      <c r="F9428" s="2" t="s">
        <v>11</v>
      </c>
      <c r="G9428" s="2" t="s">
        <v>25622</v>
      </c>
      <c r="H9428" s="2" t="s">
        <v>25623</v>
      </c>
    </row>
    <row r="9429" spans="1:8" ht="25.05" customHeight="1" x14ac:dyDescent="0.25">
      <c r="A9429" s="2" t="s">
        <v>8</v>
      </c>
      <c r="B9429" s="2" t="str">
        <f>HYPERLINK("http://ts.21cn.com/tousu/show/id/1340582","证大财富恶意催收，骚扰，高利贷")</f>
        <v>证大财富恶意催收，骚扰，高利贷</v>
      </c>
      <c r="C9429" s="2" t="s">
        <v>9</v>
      </c>
      <c r="D9429" s="2" t="s">
        <v>10</v>
      </c>
      <c r="E9429" s="2" t="str">
        <f>HYPERLINK("http://ts.21cn.com/tousu/show/id/1340582","http://ts.21cn.com/tousu/show/id/1340582")</f>
        <v>http://ts.21cn.com/tousu/show/id/1340582</v>
      </c>
      <c r="F9429" s="2" t="s">
        <v>11</v>
      </c>
      <c r="G9429" s="2" t="s">
        <v>25620</v>
      </c>
      <c r="H9429" s="2" t="s">
        <v>25621</v>
      </c>
    </row>
    <row r="9430" spans="1:8" ht="25.05" customHeight="1" x14ac:dyDescent="0.25">
      <c r="A9430" s="2" t="s">
        <v>8</v>
      </c>
      <c r="B9430" s="2" t="str">
        <f>HYPERLINK("http://ts.21cn.com/tousu/show/id/1340555","银盈通支付随意扣款")</f>
        <v>银盈通支付随意扣款</v>
      </c>
      <c r="C9430" s="2" t="s">
        <v>9</v>
      </c>
      <c r="D9430" s="2" t="s">
        <v>10</v>
      </c>
      <c r="E9430" s="2" t="str">
        <f>HYPERLINK("http://ts.21cn.com/tousu/show/id/1340555","http://ts.21cn.com/tousu/show/id/1340555")</f>
        <v>http://ts.21cn.com/tousu/show/id/1340555</v>
      </c>
      <c r="F9430" s="2" t="s">
        <v>11</v>
      </c>
      <c r="G9430" s="2" t="s">
        <v>25618</v>
      </c>
      <c r="H9430" s="2" t="s">
        <v>25619</v>
      </c>
    </row>
    <row r="9431" spans="1:8" ht="25.05" customHeight="1" x14ac:dyDescent="0.25">
      <c r="A9431" s="2" t="s">
        <v>8</v>
      </c>
      <c r="B9431" s="2" t="str">
        <f>HYPERLINK("http://ts.21cn.com/tousu/show/id/1340583","钱站阴阳合同高利贷")</f>
        <v>钱站阴阳合同高利贷</v>
      </c>
      <c r="C9431" s="2" t="s">
        <v>9</v>
      </c>
      <c r="D9431" s="2" t="s">
        <v>10</v>
      </c>
      <c r="E9431" s="2" t="str">
        <f>HYPERLINK("http://ts.21cn.com/tousu/show/id/1340583","http://ts.21cn.com/tousu/show/id/1340583")</f>
        <v>http://ts.21cn.com/tousu/show/id/1340583</v>
      </c>
      <c r="F9431" s="2" t="s">
        <v>11</v>
      </c>
      <c r="G9431" s="2" t="s">
        <v>25616</v>
      </c>
      <c r="H9431" s="2" t="s">
        <v>25617</v>
      </c>
    </row>
    <row r="9432" spans="1:8" ht="25.05" customHeight="1" x14ac:dyDescent="0.25">
      <c r="A9432" s="2" t="s">
        <v>8</v>
      </c>
      <c r="B9432" s="2" t="str">
        <f>HYPERLINK("http://ts.21cn.com/tousu/show/id/1340584","猫眼购买电影票，还有1个多小时不予退票")</f>
        <v>猫眼购买电影票，还有1个多小时不予退票</v>
      </c>
      <c r="C9432" s="2" t="s">
        <v>9</v>
      </c>
      <c r="D9432" s="2" t="s">
        <v>10</v>
      </c>
      <c r="E9432" s="2" t="str">
        <f>HYPERLINK("http://ts.21cn.com/tousu/show/id/1340584","http://ts.21cn.com/tousu/show/id/1340584")</f>
        <v>http://ts.21cn.com/tousu/show/id/1340584</v>
      </c>
      <c r="F9432" s="2" t="s">
        <v>11</v>
      </c>
      <c r="G9432" s="2" t="s">
        <v>25614</v>
      </c>
      <c r="H9432" s="2" t="s">
        <v>25615</v>
      </c>
    </row>
    <row r="9433" spans="1:8" ht="25.05" customHeight="1" x14ac:dyDescent="0.25">
      <c r="A9433" s="2" t="s">
        <v>8</v>
      </c>
      <c r="B9433" s="2" t="str">
        <f>HYPERLINK("http://ts.21cn.com/tousu/show/id/1340585","正致教育有钱花培训套路贷")</f>
        <v>正致教育有钱花培训套路贷</v>
      </c>
      <c r="C9433" s="2" t="s">
        <v>9</v>
      </c>
      <c r="D9433" s="2" t="s">
        <v>10</v>
      </c>
      <c r="E9433" s="2" t="str">
        <f>HYPERLINK("http://ts.21cn.com/tousu/show/id/1340585","http://ts.21cn.com/tousu/show/id/1340585")</f>
        <v>http://ts.21cn.com/tousu/show/id/1340585</v>
      </c>
      <c r="F9433" s="2" t="s">
        <v>11</v>
      </c>
      <c r="G9433" s="2" t="s">
        <v>25612</v>
      </c>
      <c r="H9433" s="2" t="s">
        <v>25613</v>
      </c>
    </row>
    <row r="9434" spans="1:8" ht="25.05" customHeight="1" x14ac:dyDescent="0.25">
      <c r="A9434" s="2" t="s">
        <v>8</v>
      </c>
      <c r="B9434" s="2" t="str">
        <f>HYPERLINK("http://ts.21cn.com/tousu/show/id/1340586","乱扣款")</f>
        <v>乱扣款</v>
      </c>
      <c r="C9434" s="2" t="s">
        <v>9</v>
      </c>
      <c r="D9434" s="2" t="s">
        <v>10</v>
      </c>
      <c r="E9434" s="2" t="str">
        <f>HYPERLINK("http://ts.21cn.com/tousu/show/id/1340586","http://ts.21cn.com/tousu/show/id/1340586")</f>
        <v>http://ts.21cn.com/tousu/show/id/1340586</v>
      </c>
      <c r="F9434" s="2" t="s">
        <v>11</v>
      </c>
      <c r="G9434" s="2" t="s">
        <v>25610</v>
      </c>
      <c r="H9434" s="2" t="s">
        <v>25611</v>
      </c>
    </row>
    <row r="9435" spans="1:8" ht="25.05" customHeight="1" x14ac:dyDescent="0.25">
      <c r="A9435" s="2" t="s">
        <v>8</v>
      </c>
      <c r="B9435" s="2" t="str">
        <f>HYPERLINK("http://ts.21cn.com/tousu/show/id/1340588","拍拍贷高利贷阴阳合同")</f>
        <v>拍拍贷高利贷阴阳合同</v>
      </c>
      <c r="C9435" s="2" t="s">
        <v>9</v>
      </c>
      <c r="D9435" s="2" t="s">
        <v>10</v>
      </c>
      <c r="E9435" s="2" t="str">
        <f>HYPERLINK("http://ts.21cn.com/tousu/show/id/1340588","http://ts.21cn.com/tousu/show/id/1340588")</f>
        <v>http://ts.21cn.com/tousu/show/id/1340588</v>
      </c>
      <c r="F9435" s="2" t="s">
        <v>11</v>
      </c>
      <c r="G9435" s="2" t="s">
        <v>25608</v>
      </c>
      <c r="H9435" s="2" t="s">
        <v>25609</v>
      </c>
    </row>
    <row r="9436" spans="1:8" ht="25.05" customHeight="1" x14ac:dyDescent="0.25">
      <c r="A9436" s="2" t="s">
        <v>8</v>
      </c>
      <c r="B9436" s="2" t="str">
        <f>HYPERLINK("http://ts.21cn.com/tousu/show/id/1340589","不核实情况扣服务分与成交量")</f>
        <v>不核实情况扣服务分与成交量</v>
      </c>
      <c r="C9436" s="2" t="s">
        <v>9</v>
      </c>
      <c r="D9436" s="2" t="s">
        <v>10</v>
      </c>
      <c r="E9436" s="2" t="str">
        <f>HYPERLINK("http://ts.21cn.com/tousu/show/id/1340589","http://ts.21cn.com/tousu/show/id/1340589")</f>
        <v>http://ts.21cn.com/tousu/show/id/1340589</v>
      </c>
      <c r="F9436" s="2" t="s">
        <v>11</v>
      </c>
      <c r="G9436" s="2" t="s">
        <v>25606</v>
      </c>
      <c r="H9436" s="2" t="s">
        <v>25607</v>
      </c>
    </row>
    <row r="9437" spans="1:8" ht="25.05" customHeight="1" x14ac:dyDescent="0.25">
      <c r="A9437" s="2" t="s">
        <v>8</v>
      </c>
      <c r="B9437" s="2" t="str">
        <f>HYPERLINK("http://ts.21cn.com/tousu/show/id/1340581","聚享游与深圳市天蝎网络科技有限公司")</f>
        <v>聚享游与深圳市天蝎网络科技有限公司</v>
      </c>
      <c r="C9437" s="2" t="s">
        <v>34</v>
      </c>
      <c r="D9437" s="2" t="s">
        <v>10</v>
      </c>
      <c r="E9437" s="2" t="str">
        <f>HYPERLINK("http://ts.21cn.com/tousu/show/id/1340581","http://ts.21cn.com/tousu/show/id/1340581")</f>
        <v>http://ts.21cn.com/tousu/show/id/1340581</v>
      </c>
      <c r="F9437" s="2" t="s">
        <v>11</v>
      </c>
      <c r="G9437" s="2" t="s">
        <v>25604</v>
      </c>
      <c r="H9437" s="2" t="s">
        <v>25605</v>
      </c>
    </row>
    <row r="9438" spans="1:8" ht="25.05" customHeight="1" x14ac:dyDescent="0.25">
      <c r="A9438" s="2" t="s">
        <v>8</v>
      </c>
      <c r="B9438" s="2" t="str">
        <f>HYPERLINK("http://ts.21cn.com/tousu/show/id/1340591","智行手机号注销无法登陆和信息问题都无处解决")</f>
        <v>智行手机号注销无法登陆和信息问题都无处解决</v>
      </c>
      <c r="C9438" s="2" t="s">
        <v>9</v>
      </c>
      <c r="D9438" s="2" t="s">
        <v>10</v>
      </c>
      <c r="E9438" s="2" t="str">
        <f>HYPERLINK("http://ts.21cn.com/tousu/show/id/1340591","http://ts.21cn.com/tousu/show/id/1340591")</f>
        <v>http://ts.21cn.com/tousu/show/id/1340591</v>
      </c>
      <c r="F9438" s="2" t="s">
        <v>11</v>
      </c>
      <c r="G9438" s="2" t="s">
        <v>25602</v>
      </c>
      <c r="H9438" s="2" t="s">
        <v>25603</v>
      </c>
    </row>
    <row r="9439" spans="1:8" ht="25.05" customHeight="1" x14ac:dyDescent="0.25">
      <c r="A9439" s="2" t="s">
        <v>8</v>
      </c>
      <c r="B9439" s="2" t="str">
        <f>HYPERLINK("http://ts.21cn.com/tousu/show/id/1340592","处理违规商家")</f>
        <v>处理违规商家</v>
      </c>
      <c r="C9439" s="2" t="s">
        <v>9</v>
      </c>
      <c r="D9439" s="2" t="s">
        <v>10</v>
      </c>
      <c r="E9439" s="2" t="str">
        <f>HYPERLINK("http://ts.21cn.com/tousu/show/id/1340592","http://ts.21cn.com/tousu/show/id/1340592")</f>
        <v>http://ts.21cn.com/tousu/show/id/1340592</v>
      </c>
      <c r="F9439" s="2" t="s">
        <v>11</v>
      </c>
      <c r="G9439" s="2" t="s">
        <v>25600</v>
      </c>
      <c r="H9439" s="2" t="s">
        <v>25601</v>
      </c>
    </row>
    <row r="9440" spans="1:8" ht="25.05" customHeight="1" x14ac:dyDescent="0.25">
      <c r="A9440" s="2" t="s">
        <v>8</v>
      </c>
      <c r="B9440" s="2" t="str">
        <f>HYPERLINK("http://ts.21cn.com/tousu/show/id/1340593","钱站高利贷阴阳合同")</f>
        <v>钱站高利贷阴阳合同</v>
      </c>
      <c r="C9440" s="2" t="s">
        <v>9</v>
      </c>
      <c r="D9440" s="2" t="s">
        <v>10</v>
      </c>
      <c r="E9440" s="2" t="str">
        <f>HYPERLINK("http://ts.21cn.com/tousu/show/id/1340593","http://ts.21cn.com/tousu/show/id/1340593")</f>
        <v>http://ts.21cn.com/tousu/show/id/1340593</v>
      </c>
      <c r="F9440" s="2" t="s">
        <v>11</v>
      </c>
      <c r="G9440" s="2" t="s">
        <v>25598</v>
      </c>
      <c r="H9440" s="2" t="s">
        <v>25599</v>
      </c>
    </row>
    <row r="9441" spans="1:8" ht="25.05" customHeight="1" x14ac:dyDescent="0.25">
      <c r="A9441" s="2" t="s">
        <v>8</v>
      </c>
      <c r="B9441" s="2" t="str">
        <f>HYPERLINK("http://ts.21cn.com/tousu/show/id/1340594","除紧急联系人之外也收到催收的电话")</f>
        <v>除紧急联系人之外也收到催收的电话</v>
      </c>
      <c r="C9441" s="2" t="s">
        <v>9</v>
      </c>
      <c r="D9441" s="2" t="s">
        <v>10</v>
      </c>
      <c r="E9441" s="2" t="str">
        <f>HYPERLINK("http://ts.21cn.com/tousu/show/id/1340594","http://ts.21cn.com/tousu/show/id/1340594")</f>
        <v>http://ts.21cn.com/tousu/show/id/1340594</v>
      </c>
      <c r="F9441" s="2" t="s">
        <v>11</v>
      </c>
      <c r="G9441" s="2" t="s">
        <v>25596</v>
      </c>
      <c r="H9441" s="2" t="s">
        <v>25597</v>
      </c>
    </row>
    <row r="9442" spans="1:8" ht="25.05" customHeight="1" x14ac:dyDescent="0.25">
      <c r="A9442" s="2" t="s">
        <v>8</v>
      </c>
      <c r="B9442" s="2" t="str">
        <f>HYPERLINK("http://ts.21cn.com/tousu/show/id/1340595","砍头息高利贷")</f>
        <v>砍头息高利贷</v>
      </c>
      <c r="C9442" s="2" t="s">
        <v>9</v>
      </c>
      <c r="D9442" s="2" t="s">
        <v>10</v>
      </c>
      <c r="E9442" s="2" t="str">
        <f>HYPERLINK("http://ts.21cn.com/tousu/show/id/1340595","http://ts.21cn.com/tousu/show/id/1340595")</f>
        <v>http://ts.21cn.com/tousu/show/id/1340595</v>
      </c>
      <c r="F9442" s="2" t="s">
        <v>11</v>
      </c>
      <c r="G9442" s="2" t="s">
        <v>25594</v>
      </c>
      <c r="H9442" s="2" t="s">
        <v>25595</v>
      </c>
    </row>
    <row r="9443" spans="1:8" ht="25.05" customHeight="1" x14ac:dyDescent="0.25">
      <c r="A9443" s="2" t="s">
        <v>8</v>
      </c>
      <c r="B9443" s="2" t="str">
        <f>HYPERLINK("http://ts.21cn.com/tousu/show/id/1340597","钱站阴阳合同")</f>
        <v>钱站阴阳合同</v>
      </c>
      <c r="C9443" s="2" t="s">
        <v>9</v>
      </c>
      <c r="D9443" s="2" t="s">
        <v>10</v>
      </c>
      <c r="E9443" s="2" t="str">
        <f>HYPERLINK("http://ts.21cn.com/tousu/show/id/1340597","http://ts.21cn.com/tousu/show/id/1340597")</f>
        <v>http://ts.21cn.com/tousu/show/id/1340597</v>
      </c>
      <c r="F9443" s="2" t="s">
        <v>11</v>
      </c>
      <c r="G9443" s="2" t="s">
        <v>25592</v>
      </c>
      <c r="H9443" s="2" t="s">
        <v>25593</v>
      </c>
    </row>
    <row r="9444" spans="1:8" ht="25.05" customHeight="1" x14ac:dyDescent="0.25">
      <c r="A9444" s="2" t="s">
        <v>8</v>
      </c>
      <c r="B9444" s="2" t="str">
        <f>HYPERLINK("http://ts.21cn.com/tousu/show/id/1340587","支付宝帐务出现问题，解决不了，希望维护消费者权益，")</f>
        <v>支付宝帐务出现问题，解决不了，希望维护消费者权益，</v>
      </c>
      <c r="C9444" s="2" t="s">
        <v>9</v>
      </c>
      <c r="D9444" s="2" t="s">
        <v>10</v>
      </c>
      <c r="E9444" s="2" t="str">
        <f>HYPERLINK("http://ts.21cn.com/tousu/show/id/1340587","http://ts.21cn.com/tousu/show/id/1340587")</f>
        <v>http://ts.21cn.com/tousu/show/id/1340587</v>
      </c>
      <c r="F9444" s="2" t="s">
        <v>11</v>
      </c>
      <c r="G9444" s="2" t="s">
        <v>25590</v>
      </c>
      <c r="H9444" s="2" t="s">
        <v>25591</v>
      </c>
    </row>
    <row r="9445" spans="1:8" ht="25.05" customHeight="1" x14ac:dyDescent="0.25">
      <c r="A9445" s="2" t="s">
        <v>8</v>
      </c>
      <c r="B9445" s="2" t="str">
        <f>HYPERLINK("http://ts.21cn.com/tousu/show/id/1340600","阴阳合同")</f>
        <v>阴阳合同</v>
      </c>
      <c r="C9445" s="2" t="s">
        <v>9</v>
      </c>
      <c r="D9445" s="2" t="s">
        <v>10</v>
      </c>
      <c r="E9445" s="2" t="str">
        <f>HYPERLINK("http://ts.21cn.com/tousu/show/id/1340600","http://ts.21cn.com/tousu/show/id/1340600")</f>
        <v>http://ts.21cn.com/tousu/show/id/1340600</v>
      </c>
      <c r="F9445" s="2" t="s">
        <v>11</v>
      </c>
      <c r="G9445" s="2" t="s">
        <v>25588</v>
      </c>
      <c r="H9445" s="2" t="s">
        <v>25589</v>
      </c>
    </row>
    <row r="9446" spans="1:8" ht="25.05" customHeight="1" x14ac:dyDescent="0.25">
      <c r="A9446" s="2" t="s">
        <v>8</v>
      </c>
      <c r="B9446" s="2" t="str">
        <f>HYPERLINK("http://ts.21cn.com/tousu/show/id/1340602","小浦优客app未提示扣取报告费要求退回")</f>
        <v>小浦优客app未提示扣取报告费要求退回</v>
      </c>
      <c r="C9446" s="2" t="s">
        <v>9</v>
      </c>
      <c r="D9446" s="2" t="s">
        <v>10</v>
      </c>
      <c r="E9446" s="2" t="str">
        <f>HYPERLINK("http://ts.21cn.com/tousu/show/id/1340602","http://ts.21cn.com/tousu/show/id/1340602")</f>
        <v>http://ts.21cn.com/tousu/show/id/1340602</v>
      </c>
      <c r="F9446" s="2" t="s">
        <v>11</v>
      </c>
      <c r="G9446" s="2" t="s">
        <v>25586</v>
      </c>
      <c r="H9446" s="2" t="s">
        <v>25587</v>
      </c>
    </row>
    <row r="9447" spans="1:8" ht="25.05" customHeight="1" x14ac:dyDescent="0.25">
      <c r="A9447" s="2" t="s">
        <v>8</v>
      </c>
      <c r="B9447" s="2" t="str">
        <f>HYPERLINK("http://ts.21cn.com/tousu/show/id/1340604","上海翰银为赌博输平台收单，请求瀚银为我退款挽回经济损失")</f>
        <v>上海翰银为赌博输平台收单，请求瀚银为我退款挽回经济损失</v>
      </c>
      <c r="C9447" s="2" t="s">
        <v>9</v>
      </c>
      <c r="D9447" s="2" t="s">
        <v>10</v>
      </c>
      <c r="E9447" s="2" t="str">
        <f>HYPERLINK("http://ts.21cn.com/tousu/show/id/1340604","http://ts.21cn.com/tousu/show/id/1340604")</f>
        <v>http://ts.21cn.com/tousu/show/id/1340604</v>
      </c>
      <c r="F9447" s="2" t="s">
        <v>11</v>
      </c>
      <c r="G9447" s="2" t="s">
        <v>25584</v>
      </c>
      <c r="H9447" s="2" t="s">
        <v>25585</v>
      </c>
    </row>
    <row r="9448" spans="1:8" ht="25.05" customHeight="1" x14ac:dyDescent="0.25">
      <c r="A9448" s="2" t="s">
        <v>8</v>
      </c>
      <c r="B9448" s="2" t="str">
        <f>HYPERLINK("http://ts.21cn.com/tousu/show/id/1340605","闪电宝汇有钱找不到还款入口")</f>
        <v>闪电宝汇有钱找不到还款入口</v>
      </c>
      <c r="C9448" s="2" t="s">
        <v>34</v>
      </c>
      <c r="D9448" s="2" t="s">
        <v>10</v>
      </c>
      <c r="E9448" s="2" t="str">
        <f>HYPERLINK("http://ts.21cn.com/tousu/show/id/1340605","http://ts.21cn.com/tousu/show/id/1340605")</f>
        <v>http://ts.21cn.com/tousu/show/id/1340605</v>
      </c>
      <c r="F9448" s="2" t="s">
        <v>11</v>
      </c>
      <c r="G9448" s="2" t="s">
        <v>25582</v>
      </c>
      <c r="H9448" s="2" t="s">
        <v>25583</v>
      </c>
    </row>
    <row r="9449" spans="1:8" ht="25.05" customHeight="1" x14ac:dyDescent="0.25">
      <c r="A9449" s="2" t="s">
        <v>8</v>
      </c>
      <c r="B9449" s="2" t="str">
        <f>HYPERLINK("http://ts.21cn.com/tousu/show/id/1340606","小浦优客未经同意扣款")</f>
        <v>小浦优客未经同意扣款</v>
      </c>
      <c r="C9449" s="2" t="s">
        <v>9</v>
      </c>
      <c r="D9449" s="2" t="s">
        <v>10</v>
      </c>
      <c r="E9449" s="2" t="str">
        <f>HYPERLINK("http://ts.21cn.com/tousu/show/id/1340606","http://ts.21cn.com/tousu/show/id/1340606")</f>
        <v>http://ts.21cn.com/tousu/show/id/1340606</v>
      </c>
      <c r="F9449" s="2" t="s">
        <v>11</v>
      </c>
      <c r="G9449" s="2" t="s">
        <v>25580</v>
      </c>
      <c r="H9449" s="2" t="s">
        <v>25581</v>
      </c>
    </row>
    <row r="9450" spans="1:8" ht="25.05" customHeight="1" x14ac:dyDescent="0.25">
      <c r="A9450" s="2" t="s">
        <v>8</v>
      </c>
      <c r="B9450" s="2" t="str">
        <f>HYPERLINK("http://ts.21cn.com/tousu/show/id/1340599","在中航国际商旅办理vip卡，希望追回钱")</f>
        <v>在中航国际商旅办理vip卡，希望追回钱</v>
      </c>
      <c r="C9450" s="2" t="s">
        <v>34</v>
      </c>
      <c r="D9450" s="2" t="s">
        <v>10</v>
      </c>
      <c r="E9450" s="2" t="str">
        <f>HYPERLINK("http://ts.21cn.com/tousu/show/id/1340599","http://ts.21cn.com/tousu/show/id/1340599")</f>
        <v>http://ts.21cn.com/tousu/show/id/1340599</v>
      </c>
      <c r="F9450" s="2" t="s">
        <v>11</v>
      </c>
      <c r="G9450" s="2" t="s">
        <v>25578</v>
      </c>
      <c r="H9450" s="2" t="s">
        <v>25579</v>
      </c>
    </row>
    <row r="9451" spans="1:8" ht="25.05" customHeight="1" x14ac:dyDescent="0.25">
      <c r="A9451" s="2" t="s">
        <v>8</v>
      </c>
      <c r="B9451" s="2" t="str">
        <f>HYPERLINK("http://ts.21cn.com/tousu/show/id/1340607","默默扣我钱")</f>
        <v>默默扣我钱</v>
      </c>
      <c r="C9451" s="2" t="s">
        <v>34</v>
      </c>
      <c r="D9451" s="2" t="s">
        <v>10</v>
      </c>
      <c r="E9451" s="2" t="str">
        <f>HYPERLINK("http://ts.21cn.com/tousu/show/id/1340607","http://ts.21cn.com/tousu/show/id/1340607")</f>
        <v>http://ts.21cn.com/tousu/show/id/1340607</v>
      </c>
      <c r="F9451" s="2" t="s">
        <v>11</v>
      </c>
      <c r="G9451" s="2" t="s">
        <v>25576</v>
      </c>
      <c r="H9451" s="2" t="s">
        <v>25577</v>
      </c>
    </row>
    <row r="9452" spans="1:8" ht="25.05" customHeight="1" x14ac:dyDescent="0.25">
      <c r="A9452" s="2" t="s">
        <v>8</v>
      </c>
      <c r="B9452" s="2" t="str">
        <f>HYPERLINK("http://ts.21cn.com/tousu/show/id/1340603","不履行合同，不给返钱，提车多交的钱也不还")</f>
        <v>不履行合同，不给返钱，提车多交的钱也不还</v>
      </c>
      <c r="C9452" s="2" t="s">
        <v>9</v>
      </c>
      <c r="D9452" s="2" t="s">
        <v>10</v>
      </c>
      <c r="E9452" s="2" t="str">
        <f>HYPERLINK("http://ts.21cn.com/tousu/show/id/1340603","http://ts.21cn.com/tousu/show/id/1340603")</f>
        <v>http://ts.21cn.com/tousu/show/id/1340603</v>
      </c>
      <c r="F9452" s="2" t="s">
        <v>11</v>
      </c>
      <c r="G9452" s="2" t="s">
        <v>25574</v>
      </c>
      <c r="H9452" s="2" t="s">
        <v>25575</v>
      </c>
    </row>
    <row r="9453" spans="1:8" ht="25.05" customHeight="1" x14ac:dyDescent="0.25">
      <c r="A9453" s="2" t="s">
        <v>8</v>
      </c>
      <c r="B9453" s="2" t="str">
        <f>HYPERLINK("http://ts.21cn.com/tousu/show/id/1340608","暴力催收威胁恐吓")</f>
        <v>暴力催收威胁恐吓</v>
      </c>
      <c r="C9453" s="2" t="s">
        <v>9</v>
      </c>
      <c r="D9453" s="2" t="s">
        <v>10</v>
      </c>
      <c r="E9453" s="2" t="str">
        <f>HYPERLINK("http://ts.21cn.com/tousu/show/id/1340608","http://ts.21cn.com/tousu/show/id/1340608")</f>
        <v>http://ts.21cn.com/tousu/show/id/1340608</v>
      </c>
      <c r="F9453" s="2" t="s">
        <v>11</v>
      </c>
      <c r="G9453" s="2" t="s">
        <v>25572</v>
      </c>
      <c r="H9453" s="2" t="s">
        <v>25573</v>
      </c>
    </row>
    <row r="9454" spans="1:8" ht="25.05" customHeight="1" x14ac:dyDescent="0.25">
      <c r="A9454" s="2" t="s">
        <v>8</v>
      </c>
      <c r="B9454" s="2" t="str">
        <f>HYPERLINK("http://ts.21cn.com/tousu/show/id/1340596","苏宁易购提供快递员上门验货未履行后拒绝退换货和赔偿")</f>
        <v>苏宁易购提供快递员上门验货未履行后拒绝退换货和赔偿</v>
      </c>
      <c r="C9454" s="2" t="s">
        <v>9</v>
      </c>
      <c r="D9454" s="2" t="s">
        <v>10</v>
      </c>
      <c r="E9454" s="2" t="str">
        <f>HYPERLINK("http://ts.21cn.com/tousu/show/id/1340596","http://ts.21cn.com/tousu/show/id/1340596")</f>
        <v>http://ts.21cn.com/tousu/show/id/1340596</v>
      </c>
      <c r="F9454" s="2" t="s">
        <v>11</v>
      </c>
      <c r="G9454" s="2" t="s">
        <v>25570</v>
      </c>
      <c r="H9454" s="2" t="s">
        <v>25571</v>
      </c>
    </row>
    <row r="9455" spans="1:8" ht="25.05" customHeight="1" x14ac:dyDescent="0.25">
      <c r="A9455" s="2" t="s">
        <v>8</v>
      </c>
      <c r="B9455" s="2" t="str">
        <f>HYPERLINK("http://ts.21cn.com/tousu/show/id/1340609","淘宝店铺售卖劣质产品，售后态度恶劣")</f>
        <v>淘宝店铺售卖劣质产品，售后态度恶劣</v>
      </c>
      <c r="C9455" s="2" t="s">
        <v>9</v>
      </c>
      <c r="D9455" s="2" t="s">
        <v>10</v>
      </c>
      <c r="E9455" s="2" t="str">
        <f>HYPERLINK("http://ts.21cn.com/tousu/show/id/1340609","http://ts.21cn.com/tousu/show/id/1340609")</f>
        <v>http://ts.21cn.com/tousu/show/id/1340609</v>
      </c>
      <c r="F9455" s="2" t="s">
        <v>11</v>
      </c>
      <c r="G9455" s="2" t="s">
        <v>25568</v>
      </c>
      <c r="H9455" s="2" t="s">
        <v>25569</v>
      </c>
    </row>
    <row r="9456" spans="1:8" ht="25.05" customHeight="1" x14ac:dyDescent="0.25">
      <c r="A9456" s="2" t="s">
        <v>8</v>
      </c>
      <c r="B9456" s="2" t="str">
        <f>HYPERLINK("http://ts.21cn.com/tousu/show/id/1340611","我未欠款却收到捷信频繁电话骚扰")</f>
        <v>我未欠款却收到捷信频繁电话骚扰</v>
      </c>
      <c r="C9456" s="2" t="s">
        <v>9</v>
      </c>
      <c r="D9456" s="2" t="s">
        <v>10</v>
      </c>
      <c r="E9456" s="2" t="str">
        <f>HYPERLINK("http://ts.21cn.com/tousu/show/id/1340611","http://ts.21cn.com/tousu/show/id/1340611")</f>
        <v>http://ts.21cn.com/tousu/show/id/1340611</v>
      </c>
      <c r="F9456" s="2" t="s">
        <v>11</v>
      </c>
      <c r="G9456" s="2" t="s">
        <v>25566</v>
      </c>
      <c r="H9456" s="2" t="s">
        <v>25567</v>
      </c>
    </row>
    <row r="9457" spans="1:8" ht="25.05" customHeight="1" x14ac:dyDescent="0.25">
      <c r="A9457" s="2" t="s">
        <v>8</v>
      </c>
      <c r="B9457" s="2" t="str">
        <f>HYPERLINK("http://ts.21cn.com/tousu/show/id/1340613","暴力催收，电话骚扰")</f>
        <v>暴力催收，电话骚扰</v>
      </c>
      <c r="C9457" s="2" t="s">
        <v>9</v>
      </c>
      <c r="D9457" s="2" t="s">
        <v>10</v>
      </c>
      <c r="E9457" s="2" t="str">
        <f>HYPERLINK("http://ts.21cn.com/tousu/show/id/1340613","http://ts.21cn.com/tousu/show/id/1340613")</f>
        <v>http://ts.21cn.com/tousu/show/id/1340613</v>
      </c>
      <c r="F9457" s="2" t="s">
        <v>11</v>
      </c>
      <c r="G9457" s="2" t="s">
        <v>25564</v>
      </c>
      <c r="H9457" s="2" t="s">
        <v>25565</v>
      </c>
    </row>
    <row r="9458" spans="1:8" ht="25.05" customHeight="1" x14ac:dyDescent="0.25">
      <c r="A9458" s="2" t="s">
        <v>8</v>
      </c>
      <c r="B9458" s="2" t="str">
        <f>HYPERLINK("http://ts.21cn.com/tousu/show/id/1340612","支付宝、中国银联、商银信、中国农业银行为非法网站及商户提供支付接口、支付服务，涉嫌合伙欺诈，导致大量用户蒙受巨大损失。")</f>
        <v>支付宝、中国银联、商银信、中国农业银行为非法网站及商户提供支付接口、支付服务，涉嫌合伙欺诈，导致大量用户蒙受巨大损失。</v>
      </c>
      <c r="C9458" s="2" t="s">
        <v>9</v>
      </c>
      <c r="D9458" s="2" t="s">
        <v>10</v>
      </c>
      <c r="E9458" s="2" t="str">
        <f>HYPERLINK("http://ts.21cn.com/tousu/show/id/1340612","http://ts.21cn.com/tousu/show/id/1340612")</f>
        <v>http://ts.21cn.com/tousu/show/id/1340612</v>
      </c>
      <c r="F9458" s="2" t="s">
        <v>11</v>
      </c>
      <c r="G9458" s="2" t="s">
        <v>25562</v>
      </c>
      <c r="H9458" s="2" t="s">
        <v>25563</v>
      </c>
    </row>
    <row r="9459" spans="1:8" ht="25.05" customHeight="1" x14ac:dyDescent="0.25">
      <c r="A9459" s="2" t="s">
        <v>8</v>
      </c>
      <c r="B9459" s="2" t="str">
        <f>HYPERLINK("http://ts.21cn.com/tousu/show/id/1340573","通过京东商户收取了我的货款，但是最终未生成订单")</f>
        <v>通过京东商户收取了我的货款，但是最终未生成订单</v>
      </c>
      <c r="C9459" s="2" t="s">
        <v>9</v>
      </c>
      <c r="D9459" s="2" t="s">
        <v>10</v>
      </c>
      <c r="E9459" s="2" t="str">
        <f>HYPERLINK("http://ts.21cn.com/tousu/show/id/1340573","http://ts.21cn.com/tousu/show/id/1340573")</f>
        <v>http://ts.21cn.com/tousu/show/id/1340573</v>
      </c>
      <c r="F9459" s="2" t="s">
        <v>11</v>
      </c>
      <c r="G9459" s="2" t="s">
        <v>25560</v>
      </c>
      <c r="H9459" s="2" t="s">
        <v>25561</v>
      </c>
    </row>
    <row r="9460" spans="1:8" ht="25.05" customHeight="1" x14ac:dyDescent="0.25">
      <c r="A9460" s="2" t="s">
        <v>8</v>
      </c>
      <c r="B9460" s="2" t="str">
        <f>HYPERLINK("http://ts.21cn.com/tousu/show/id/1340615","和信贷平台借款砍头息，超出合法利益，且骚扰联系人")</f>
        <v>和信贷平台借款砍头息，超出合法利益，且骚扰联系人</v>
      </c>
      <c r="C9460" s="2" t="s">
        <v>9</v>
      </c>
      <c r="D9460" s="2" t="s">
        <v>10</v>
      </c>
      <c r="E9460" s="2" t="str">
        <f>HYPERLINK("http://ts.21cn.com/tousu/show/id/1340615","http://ts.21cn.com/tousu/show/id/1340615")</f>
        <v>http://ts.21cn.com/tousu/show/id/1340615</v>
      </c>
      <c r="F9460" s="2" t="s">
        <v>11</v>
      </c>
      <c r="G9460" s="2" t="s">
        <v>25558</v>
      </c>
      <c r="H9460" s="2" t="s">
        <v>25559</v>
      </c>
    </row>
    <row r="9461" spans="1:8" ht="25.05" customHeight="1" x14ac:dyDescent="0.25">
      <c r="A9461" s="2" t="s">
        <v>8</v>
      </c>
      <c r="B9461" s="2" t="str">
        <f>HYPERLINK("http://ts.21cn.com/tousu/show/id/1340617","本人在上海你我贷平台借款5000元分12期还款")</f>
        <v>本人在上海你我贷平台借款5000元分12期还款</v>
      </c>
      <c r="C9461" s="2" t="s">
        <v>9</v>
      </c>
      <c r="D9461" s="2" t="s">
        <v>10</v>
      </c>
      <c r="E9461" s="2" t="str">
        <f>HYPERLINK("http://ts.21cn.com/tousu/show/id/1340617","http://ts.21cn.com/tousu/show/id/1340617")</f>
        <v>http://ts.21cn.com/tousu/show/id/1340617</v>
      </c>
      <c r="F9461" s="2" t="s">
        <v>11</v>
      </c>
      <c r="G9461" s="2" t="s">
        <v>25557</v>
      </c>
      <c r="H9461" s="2" t="s">
        <v>21845</v>
      </c>
    </row>
    <row r="9462" spans="1:8" ht="25.05" customHeight="1" x14ac:dyDescent="0.25">
      <c r="A9462" s="2" t="s">
        <v>8</v>
      </c>
      <c r="B9462" s="2" t="str">
        <f>HYPERLINK("http://ts.21cn.com/tousu/show/id/1340618","支付宝，聚合支付为高利贷提供支付通道，几个高息平台，行为恶劣")</f>
        <v>支付宝，聚合支付为高利贷提供支付通道，几个高息平台，行为恶劣</v>
      </c>
      <c r="C9462" s="2" t="s">
        <v>9</v>
      </c>
      <c r="D9462" s="2" t="s">
        <v>10</v>
      </c>
      <c r="E9462" s="2" t="str">
        <f>HYPERLINK("http://ts.21cn.com/tousu/show/id/1340618","http://ts.21cn.com/tousu/show/id/1340618")</f>
        <v>http://ts.21cn.com/tousu/show/id/1340618</v>
      </c>
      <c r="F9462" s="2" t="s">
        <v>11</v>
      </c>
      <c r="G9462" s="2" t="s">
        <v>25555</v>
      </c>
      <c r="H9462" s="2" t="s">
        <v>25556</v>
      </c>
    </row>
    <row r="9463" spans="1:8" ht="25.05" customHeight="1" x14ac:dyDescent="0.25">
      <c r="A9463" s="2" t="s">
        <v>8</v>
      </c>
      <c r="B9463" s="2" t="str">
        <f>HYPERLINK("http://ts.21cn.com/tousu/show/id/1340619","投诉广发银行")</f>
        <v>投诉广发银行</v>
      </c>
      <c r="C9463" s="2" t="s">
        <v>9</v>
      </c>
      <c r="D9463" s="2" t="s">
        <v>10</v>
      </c>
      <c r="E9463" s="2" t="str">
        <f>HYPERLINK("http://ts.21cn.com/tousu/show/id/1340619","http://ts.21cn.com/tousu/show/id/1340619")</f>
        <v>http://ts.21cn.com/tousu/show/id/1340619</v>
      </c>
      <c r="F9463" s="2" t="s">
        <v>11</v>
      </c>
      <c r="G9463" s="2" t="s">
        <v>25553</v>
      </c>
      <c r="H9463" s="2" t="s">
        <v>25554</v>
      </c>
    </row>
    <row r="9464" spans="1:8" ht="25.05" customHeight="1" x14ac:dyDescent="0.25">
      <c r="A9464" s="2" t="s">
        <v>8</v>
      </c>
      <c r="B9464" s="2" t="str">
        <f>HYPERLINK("http://ts.21cn.com/tousu/show/id/1340621","捷信恐吓催收")</f>
        <v>捷信恐吓催收</v>
      </c>
      <c r="C9464" s="2" t="s">
        <v>9</v>
      </c>
      <c r="D9464" s="2" t="s">
        <v>10</v>
      </c>
      <c r="E9464" s="2" t="str">
        <f>HYPERLINK("http://ts.21cn.com/tousu/show/id/1340621","http://ts.21cn.com/tousu/show/id/1340621")</f>
        <v>http://ts.21cn.com/tousu/show/id/1340621</v>
      </c>
      <c r="F9464" s="2" t="s">
        <v>11</v>
      </c>
      <c r="G9464" s="2" t="s">
        <v>25551</v>
      </c>
      <c r="H9464" s="2" t="s">
        <v>25552</v>
      </c>
    </row>
    <row r="9465" spans="1:8" ht="25.05" customHeight="1" x14ac:dyDescent="0.25">
      <c r="A9465" s="2" t="s">
        <v>8</v>
      </c>
      <c r="B9465" s="2" t="str">
        <f>HYPERLINK("http://ts.21cn.com/tousu/show/id/1340620","平安普惠i贷恶意电话催收侮辱家人好友")</f>
        <v>平安普惠i贷恶意电话催收侮辱家人好友</v>
      </c>
      <c r="C9465" s="2" t="s">
        <v>9</v>
      </c>
      <c r="D9465" s="2" t="s">
        <v>10</v>
      </c>
      <c r="E9465" s="2" t="str">
        <f>HYPERLINK("http://ts.21cn.com/tousu/show/id/1340620","http://ts.21cn.com/tousu/show/id/1340620")</f>
        <v>http://ts.21cn.com/tousu/show/id/1340620</v>
      </c>
      <c r="F9465" s="2" t="s">
        <v>11</v>
      </c>
      <c r="G9465" s="2" t="s">
        <v>25549</v>
      </c>
      <c r="H9465" s="2" t="s">
        <v>25550</v>
      </c>
    </row>
    <row r="9466" spans="1:8" ht="25.05" customHeight="1" x14ac:dyDescent="0.25">
      <c r="A9466" s="2" t="s">
        <v>8</v>
      </c>
      <c r="B9466" s="2" t="str">
        <f>HYPERLINK("http://ts.21cn.com/tousu/show/id/1340622","钱站高利贷阴阳合同")</f>
        <v>钱站高利贷阴阳合同</v>
      </c>
      <c r="C9466" s="2" t="s">
        <v>9</v>
      </c>
      <c r="D9466" s="2" t="s">
        <v>10</v>
      </c>
      <c r="E9466" s="2" t="str">
        <f>HYPERLINK("http://ts.21cn.com/tousu/show/id/1340622","http://ts.21cn.com/tousu/show/id/1340622")</f>
        <v>http://ts.21cn.com/tousu/show/id/1340622</v>
      </c>
      <c r="F9466" s="2" t="s">
        <v>11</v>
      </c>
      <c r="G9466" s="2" t="s">
        <v>25547</v>
      </c>
      <c r="H9466" s="2" t="s">
        <v>25548</v>
      </c>
    </row>
    <row r="9467" spans="1:8" ht="25.05" customHeight="1" x14ac:dyDescent="0.25">
      <c r="A9467" s="2" t="s">
        <v>8</v>
      </c>
      <c r="B9467" s="2" t="str">
        <f>HYPERLINK("http://ts.21cn.com/tousu/show/id/1340623","卖家不守诚信，食言、淘宝客服草率处理")</f>
        <v>卖家不守诚信，食言、淘宝客服草率处理</v>
      </c>
      <c r="C9467" s="2" t="s">
        <v>9</v>
      </c>
      <c r="D9467" s="2" t="s">
        <v>10</v>
      </c>
      <c r="E9467" s="2" t="str">
        <f>HYPERLINK("http://ts.21cn.com/tousu/show/id/1340623","http://ts.21cn.com/tousu/show/id/1340623")</f>
        <v>http://ts.21cn.com/tousu/show/id/1340623</v>
      </c>
      <c r="F9467" s="2" t="s">
        <v>11</v>
      </c>
      <c r="G9467" s="2" t="s">
        <v>25545</v>
      </c>
      <c r="H9467" s="2" t="s">
        <v>25546</v>
      </c>
    </row>
    <row r="9468" spans="1:8" ht="25.05" customHeight="1" x14ac:dyDescent="0.25">
      <c r="A9468" s="2" t="s">
        <v>8</v>
      </c>
      <c r="B9468" s="2" t="str">
        <f>HYPERLINK("http://ts.21cn.com/tousu/show/id/1340601","账号被冻结，无法提现")</f>
        <v>账号被冻结，无法提现</v>
      </c>
      <c r="C9468" s="2" t="s">
        <v>9</v>
      </c>
      <c r="D9468" s="2" t="s">
        <v>10</v>
      </c>
      <c r="E9468" s="2" t="str">
        <f>HYPERLINK("http://ts.21cn.com/tousu/show/id/1340601","http://ts.21cn.com/tousu/show/id/1340601")</f>
        <v>http://ts.21cn.com/tousu/show/id/1340601</v>
      </c>
      <c r="F9468" s="2" t="s">
        <v>11</v>
      </c>
      <c r="G9468" s="2" t="s">
        <v>25543</v>
      </c>
      <c r="H9468" s="2" t="s">
        <v>25544</v>
      </c>
    </row>
    <row r="9469" spans="1:8" ht="25.05" customHeight="1" x14ac:dyDescent="0.25">
      <c r="A9469" s="2" t="s">
        <v>8</v>
      </c>
      <c r="B9469" s="2" t="str">
        <f>HYPERLINK("http://ts.21cn.com/tousu/show/id/1340616","公司规则坑司机血汗钱")</f>
        <v>公司规则坑司机血汗钱</v>
      </c>
      <c r="C9469" s="2" t="s">
        <v>9</v>
      </c>
      <c r="D9469" s="2" t="s">
        <v>10</v>
      </c>
      <c r="E9469" s="2" t="str">
        <f>HYPERLINK("http://ts.21cn.com/tousu/show/id/1340616","http://ts.21cn.com/tousu/show/id/1340616")</f>
        <v>http://ts.21cn.com/tousu/show/id/1340616</v>
      </c>
      <c r="F9469" s="2" t="s">
        <v>11</v>
      </c>
      <c r="G9469" s="2" t="s">
        <v>25541</v>
      </c>
      <c r="H9469" s="2" t="s">
        <v>25542</v>
      </c>
    </row>
    <row r="9470" spans="1:8" ht="25.05" customHeight="1" x14ac:dyDescent="0.25">
      <c r="A9470" s="2" t="s">
        <v>8</v>
      </c>
      <c r="B9470" s="2" t="str">
        <f>HYPERLINK("http://ts.21cn.com/tousu/show/id/1340624","朋友在维信金科平台上分期还款，平台乱扣费用。")</f>
        <v>朋友在维信金科平台上分期还款，平台乱扣费用。</v>
      </c>
      <c r="C9470" s="2" t="s">
        <v>9</v>
      </c>
      <c r="D9470" s="2" t="s">
        <v>10</v>
      </c>
      <c r="E9470" s="2" t="str">
        <f>HYPERLINK("http://ts.21cn.com/tousu/show/id/1340624","http://ts.21cn.com/tousu/show/id/1340624")</f>
        <v>http://ts.21cn.com/tousu/show/id/1340624</v>
      </c>
      <c r="F9470" s="2" t="s">
        <v>11</v>
      </c>
      <c r="G9470" s="2" t="s">
        <v>25539</v>
      </c>
      <c r="H9470" s="2" t="s">
        <v>25540</v>
      </c>
    </row>
    <row r="9471" spans="1:8" ht="25.05" customHeight="1" x14ac:dyDescent="0.25">
      <c r="A9471" s="2" t="s">
        <v>8</v>
      </c>
      <c r="B9471" s="2" t="str">
        <f>HYPERLINK("http://ts.21cn.com/tousu/show/id/1340625","乐刻独角兽9800会员费")</f>
        <v>乐刻独角兽9800会员费</v>
      </c>
      <c r="C9471" s="2" t="s">
        <v>34</v>
      </c>
      <c r="D9471" s="2" t="s">
        <v>10</v>
      </c>
      <c r="E9471" s="2" t="str">
        <f>HYPERLINK("http://ts.21cn.com/tousu/show/id/1340625","http://ts.21cn.com/tousu/show/id/1340625")</f>
        <v>http://ts.21cn.com/tousu/show/id/1340625</v>
      </c>
      <c r="F9471" s="2" t="s">
        <v>11</v>
      </c>
      <c r="G9471" s="2" t="s">
        <v>25536</v>
      </c>
      <c r="H9471" s="2" t="s">
        <v>25537</v>
      </c>
    </row>
    <row r="9472" spans="1:8" ht="25.05" customHeight="1" x14ac:dyDescent="0.25">
      <c r="A9472" s="2" t="s">
        <v>8</v>
      </c>
      <c r="B9472" s="2" t="str">
        <f>HYPERLINK("http://ts.21cn.com/tousu/show/id/1340627","退还砍头息")</f>
        <v>退还砍头息</v>
      </c>
      <c r="C9472" s="2" t="s">
        <v>34</v>
      </c>
      <c r="D9472" s="2" t="s">
        <v>10</v>
      </c>
      <c r="E9472" s="2" t="str">
        <f>HYPERLINK("http://ts.21cn.com/tousu/show/id/1340627","http://ts.21cn.com/tousu/show/id/1340627")</f>
        <v>http://ts.21cn.com/tousu/show/id/1340627</v>
      </c>
      <c r="F9472" s="2" t="s">
        <v>11</v>
      </c>
      <c r="G9472" s="2" t="s">
        <v>25534</v>
      </c>
      <c r="H9472" s="2" t="s">
        <v>25535</v>
      </c>
    </row>
    <row r="9473" spans="1:8" ht="25.05" customHeight="1" x14ac:dyDescent="0.25">
      <c r="A9473" s="2" t="s">
        <v>8</v>
      </c>
      <c r="B9473" s="2" t="str">
        <f>HYPERLINK("http://ts.21cn.com/tousu/show/id/1340628","上海造艺网络技术有限公司")</f>
        <v>上海造艺网络技术有限公司</v>
      </c>
      <c r="C9473" s="2" t="s">
        <v>34</v>
      </c>
      <c r="D9473" s="2" t="s">
        <v>10</v>
      </c>
      <c r="E9473" s="2" t="str">
        <f>HYPERLINK("http://ts.21cn.com/tousu/show/id/1340628","http://ts.21cn.com/tousu/show/id/1340628")</f>
        <v>http://ts.21cn.com/tousu/show/id/1340628</v>
      </c>
      <c r="F9473" s="2" t="s">
        <v>11</v>
      </c>
      <c r="G9473" s="2" t="s">
        <v>25532</v>
      </c>
      <c r="H9473" s="2" t="s">
        <v>25533</v>
      </c>
    </row>
    <row r="9474" spans="1:8" ht="25.05" customHeight="1" x14ac:dyDescent="0.25">
      <c r="A9474" s="2" t="s">
        <v>8</v>
      </c>
      <c r="B9474" s="2" t="str">
        <f>HYPERLINK("http://ts.21cn.com/tousu/show/id/1340630","点错充了328和平精英")</f>
        <v>点错充了328和平精英</v>
      </c>
      <c r="C9474" s="2" t="s">
        <v>9</v>
      </c>
      <c r="D9474" s="2" t="s">
        <v>10</v>
      </c>
      <c r="E9474" s="2" t="str">
        <f>HYPERLINK("http://ts.21cn.com/tousu/show/id/1340630","http://ts.21cn.com/tousu/show/id/1340630")</f>
        <v>http://ts.21cn.com/tousu/show/id/1340630</v>
      </c>
      <c r="F9474" s="2" t="s">
        <v>11</v>
      </c>
      <c r="G9474" s="2" t="s">
        <v>25530</v>
      </c>
      <c r="H9474" s="2" t="s">
        <v>25531</v>
      </c>
    </row>
    <row r="9475" spans="1:8" ht="25.05" customHeight="1" x14ac:dyDescent="0.25">
      <c r="A9475" s="2" t="s">
        <v>8</v>
      </c>
      <c r="B9475" s="2" t="str">
        <f>HYPERLINK("http://ts.21cn.com/tousu/show/id/1340631","支付宝账号被限制收款")</f>
        <v>支付宝账号被限制收款</v>
      </c>
      <c r="C9475" s="2" t="s">
        <v>9</v>
      </c>
      <c r="D9475" s="2" t="s">
        <v>10</v>
      </c>
      <c r="E9475" s="2" t="str">
        <f>HYPERLINK("http://ts.21cn.com/tousu/show/id/1340631","http://ts.21cn.com/tousu/show/id/1340631")</f>
        <v>http://ts.21cn.com/tousu/show/id/1340631</v>
      </c>
      <c r="F9475" s="2" t="s">
        <v>11</v>
      </c>
      <c r="G9475" s="2" t="s">
        <v>25528</v>
      </c>
      <c r="H9475" s="2" t="s">
        <v>25529</v>
      </c>
    </row>
    <row r="9476" spans="1:8" ht="25.05" customHeight="1" x14ac:dyDescent="0.25">
      <c r="A9476" s="2" t="s">
        <v>8</v>
      </c>
      <c r="B9476" s="2" t="str">
        <f>HYPERLINK("http://ts.21cn.com/tousu/show/id/1340632","豆豆钱暴力催收")</f>
        <v>豆豆钱暴力催收</v>
      </c>
      <c r="C9476" s="2" t="s">
        <v>9</v>
      </c>
      <c r="D9476" s="2" t="s">
        <v>10</v>
      </c>
      <c r="E9476" s="2" t="str">
        <f>HYPERLINK("http://ts.21cn.com/tousu/show/id/1340632","http://ts.21cn.com/tousu/show/id/1340632")</f>
        <v>http://ts.21cn.com/tousu/show/id/1340632</v>
      </c>
      <c r="F9476" s="2" t="s">
        <v>11</v>
      </c>
      <c r="G9476" s="2" t="s">
        <v>25526</v>
      </c>
      <c r="H9476" s="2" t="s">
        <v>25527</v>
      </c>
    </row>
    <row r="9477" spans="1:8" ht="25.05" customHeight="1" x14ac:dyDescent="0.25">
      <c r="A9477" s="2" t="s">
        <v>8</v>
      </c>
      <c r="B9477" s="2" t="str">
        <f>HYPERLINK("http://ts.21cn.com/tousu/show/id/1340633","小木钱包套路贷")</f>
        <v>小木钱包套路贷</v>
      </c>
      <c r="C9477" s="2" t="s">
        <v>9</v>
      </c>
      <c r="D9477" s="2" t="s">
        <v>10</v>
      </c>
      <c r="E9477" s="2" t="str">
        <f>HYPERLINK("http://ts.21cn.com/tousu/show/id/1340633","http://ts.21cn.com/tousu/show/id/1340633")</f>
        <v>http://ts.21cn.com/tousu/show/id/1340633</v>
      </c>
      <c r="F9477" s="2" t="s">
        <v>11</v>
      </c>
      <c r="G9477" s="2" t="s">
        <v>25524</v>
      </c>
      <c r="H9477" s="2" t="s">
        <v>25525</v>
      </c>
    </row>
    <row r="9478" spans="1:8" ht="25.05" customHeight="1" x14ac:dyDescent="0.25">
      <c r="A9478" s="2" t="s">
        <v>8</v>
      </c>
      <c r="B9478" s="2" t="str">
        <f>HYPERLINK("http://ts.21cn.com/tousu/show/id/1340634","玖富高利贷")</f>
        <v>玖富高利贷</v>
      </c>
      <c r="C9478" s="2" t="s">
        <v>9</v>
      </c>
      <c r="D9478" s="2" t="s">
        <v>10</v>
      </c>
      <c r="E9478" s="2" t="str">
        <f>HYPERLINK("http://ts.21cn.com/tousu/show/id/1340634","http://ts.21cn.com/tousu/show/id/1340634")</f>
        <v>http://ts.21cn.com/tousu/show/id/1340634</v>
      </c>
      <c r="F9478" s="2" t="s">
        <v>11</v>
      </c>
      <c r="G9478" s="2" t="s">
        <v>25522</v>
      </c>
      <c r="H9478" s="2" t="s">
        <v>25523</v>
      </c>
    </row>
    <row r="9479" spans="1:8" ht="25.05" customHeight="1" x14ac:dyDescent="0.25">
      <c r="A9479" s="2" t="s">
        <v>8</v>
      </c>
      <c r="B9479" s="2" t="str">
        <f>HYPERLINK("http://ts.21cn.com/tousu/show/id/1340635","爱钱进")</f>
        <v>爱钱进</v>
      </c>
      <c r="C9479" s="2" t="s">
        <v>34</v>
      </c>
      <c r="D9479" s="2" t="s">
        <v>10</v>
      </c>
      <c r="E9479" s="2" t="str">
        <f>HYPERLINK("http://ts.21cn.com/tousu/show/id/1340635","http://ts.21cn.com/tousu/show/id/1340635")</f>
        <v>http://ts.21cn.com/tousu/show/id/1340635</v>
      </c>
      <c r="F9479" s="2" t="s">
        <v>11</v>
      </c>
      <c r="G9479" s="2" t="s">
        <v>25520</v>
      </c>
      <c r="H9479" s="2" t="s">
        <v>25521</v>
      </c>
    </row>
    <row r="9480" spans="1:8" ht="25.05" customHeight="1" x14ac:dyDescent="0.25">
      <c r="A9480" s="2" t="s">
        <v>8</v>
      </c>
      <c r="B9480" s="2" t="str">
        <f>HYPERLINK("http://ts.21cn.com/tousu/show/id/1340636","骚扰通讯录")</f>
        <v>骚扰通讯录</v>
      </c>
      <c r="C9480" s="2" t="s">
        <v>9</v>
      </c>
      <c r="D9480" s="2" t="s">
        <v>10</v>
      </c>
      <c r="E9480" s="2" t="str">
        <f>HYPERLINK("http://ts.21cn.com/tousu/show/id/1340636","http://ts.21cn.com/tousu/show/id/1340636")</f>
        <v>http://ts.21cn.com/tousu/show/id/1340636</v>
      </c>
      <c r="F9480" s="2" t="s">
        <v>11</v>
      </c>
      <c r="G9480" s="2" t="s">
        <v>25518</v>
      </c>
      <c r="H9480" s="2" t="s">
        <v>25519</v>
      </c>
    </row>
    <row r="9481" spans="1:8" ht="25.05" customHeight="1" x14ac:dyDescent="0.25">
      <c r="A9481" s="2" t="s">
        <v>8</v>
      </c>
      <c r="B9481" s="2" t="str">
        <f>HYPERLINK("http://ts.21cn.com/tousu/show/id/1340637","贷上钱涉嫌高利贷暴力催收")</f>
        <v>贷上钱涉嫌高利贷暴力催收</v>
      </c>
      <c r="C9481" s="2" t="s">
        <v>9</v>
      </c>
      <c r="D9481" s="2" t="s">
        <v>10</v>
      </c>
      <c r="E9481" s="2" t="str">
        <f>HYPERLINK("http://ts.21cn.com/tousu/show/id/1340637","http://ts.21cn.com/tousu/show/id/1340637")</f>
        <v>http://ts.21cn.com/tousu/show/id/1340637</v>
      </c>
      <c r="F9481" s="2" t="s">
        <v>11</v>
      </c>
      <c r="G9481" s="2" t="s">
        <v>25516</v>
      </c>
      <c r="H9481" s="2" t="s">
        <v>25517</v>
      </c>
    </row>
    <row r="9482" spans="1:8" ht="25.05" customHeight="1" x14ac:dyDescent="0.25">
      <c r="A9482" s="2" t="s">
        <v>8</v>
      </c>
      <c r="B9482" s="2" t="str">
        <f>HYPERLINK("http://ts.21cn.com/tousu/show/id/1340639","未经过本人允许且本人并不知晓")</f>
        <v>未经过本人允许且本人并不知晓</v>
      </c>
      <c r="C9482" s="2" t="s">
        <v>9</v>
      </c>
      <c r="D9482" s="2" t="s">
        <v>10</v>
      </c>
      <c r="E9482" s="2" t="str">
        <f>HYPERLINK("http://ts.21cn.com/tousu/show/id/1340639","http://ts.21cn.com/tousu/show/id/1340639")</f>
        <v>http://ts.21cn.com/tousu/show/id/1340639</v>
      </c>
      <c r="F9482" s="2" t="s">
        <v>11</v>
      </c>
      <c r="G9482" s="2" t="s">
        <v>25514</v>
      </c>
      <c r="H9482" s="2" t="s">
        <v>25515</v>
      </c>
    </row>
    <row r="9483" spans="1:8" ht="25.05" customHeight="1" x14ac:dyDescent="0.25">
      <c r="A9483" s="2" t="s">
        <v>8</v>
      </c>
      <c r="B9483" s="2" t="str">
        <f>HYPERLINK("http://ts.21cn.com/tousu/show/id/1339325","杉德支付宁波分公司为非法彩票网站收单结算，请求还我血汗钱，还广大受害者一个解释，还中国支付平台一个干净的市场！")</f>
        <v>杉德支付宁波分公司为非法彩票网站收单结算，请求还我血汗钱，还广大受害者一个解释，还中国支付平台一个干净的市场！</v>
      </c>
      <c r="C9483" s="2" t="s">
        <v>9</v>
      </c>
      <c r="D9483" s="2" t="s">
        <v>10</v>
      </c>
      <c r="E9483" s="2" t="str">
        <f>HYPERLINK("http://ts.21cn.com/tousu/show/id/1339325","http://ts.21cn.com/tousu/show/id/1339325")</f>
        <v>http://ts.21cn.com/tousu/show/id/1339325</v>
      </c>
      <c r="F9483" s="2" t="s">
        <v>11</v>
      </c>
      <c r="G9483" s="2" t="s">
        <v>25512</v>
      </c>
      <c r="H9483" s="2" t="s">
        <v>25513</v>
      </c>
    </row>
    <row r="9484" spans="1:8" ht="25.05" customHeight="1" x14ac:dyDescent="0.25">
      <c r="A9484" s="2" t="s">
        <v>8</v>
      </c>
      <c r="B9484" s="2" t="str">
        <f>HYPERLINK("http://ts.21cn.com/tousu/show/id/1340640","快闪卡贷收取高额利息之余还有巨额保险费，是砍头息，且总利息超过国家规定")</f>
        <v>快闪卡贷收取高额利息之余还有巨额保险费，是砍头息，且总利息超过国家规定</v>
      </c>
      <c r="C9484" s="2" t="s">
        <v>9</v>
      </c>
      <c r="D9484" s="2" t="s">
        <v>10</v>
      </c>
      <c r="E9484" s="2" t="str">
        <f>HYPERLINK("http://ts.21cn.com/tousu/show/id/1340640","http://ts.21cn.com/tousu/show/id/1340640")</f>
        <v>http://ts.21cn.com/tousu/show/id/1340640</v>
      </c>
      <c r="F9484" s="2" t="s">
        <v>11</v>
      </c>
      <c r="G9484" s="2" t="s">
        <v>25510</v>
      </c>
      <c r="H9484" s="2" t="s">
        <v>25511</v>
      </c>
    </row>
    <row r="9485" spans="1:8" ht="25.05" customHeight="1" x14ac:dyDescent="0.25">
      <c r="A9485" s="2" t="s">
        <v>8</v>
      </c>
      <c r="B9485" s="2" t="str">
        <f>HYPERLINK("http://ts.21cn.com/tousu/show/id/1340641","退还我血汗钱")</f>
        <v>退还我血汗钱</v>
      </c>
      <c r="C9485" s="2" t="s">
        <v>9</v>
      </c>
      <c r="D9485" s="2" t="s">
        <v>10</v>
      </c>
      <c r="E9485" s="2" t="str">
        <f>HYPERLINK("http://ts.21cn.com/tousu/show/id/1340641","http://ts.21cn.com/tousu/show/id/1340641")</f>
        <v>http://ts.21cn.com/tousu/show/id/1340641</v>
      </c>
      <c r="F9485" s="2" t="s">
        <v>11</v>
      </c>
      <c r="G9485" s="2" t="s">
        <v>25508</v>
      </c>
      <c r="H9485" s="2" t="s">
        <v>25509</v>
      </c>
    </row>
    <row r="9486" spans="1:8" ht="25.05" customHeight="1" x14ac:dyDescent="0.25">
      <c r="A9486" s="2" t="s">
        <v>8</v>
      </c>
      <c r="B9486" s="2" t="str">
        <f>HYPERLINK("http://ts.21cn.com/tousu/show/id/1340642","浦发银行广州分行清算我血汗钱，请纰漏信息退款")</f>
        <v>浦发银行广州分行清算我血汗钱，请纰漏信息退款</v>
      </c>
      <c r="C9486" s="2" t="s">
        <v>9</v>
      </c>
      <c r="D9486" s="2" t="s">
        <v>10</v>
      </c>
      <c r="E9486" s="2" t="str">
        <f>HYPERLINK("http://ts.21cn.com/tousu/show/id/1340642","http://ts.21cn.com/tousu/show/id/1340642")</f>
        <v>http://ts.21cn.com/tousu/show/id/1340642</v>
      </c>
      <c r="F9486" s="2" t="s">
        <v>11</v>
      </c>
      <c r="G9486" s="2" t="s">
        <v>25506</v>
      </c>
      <c r="H9486" s="2" t="s">
        <v>25507</v>
      </c>
    </row>
    <row r="9487" spans="1:8" ht="25.05" customHeight="1" x14ac:dyDescent="0.25">
      <c r="A9487" s="2" t="s">
        <v>8</v>
      </c>
      <c r="B9487" s="2" t="str">
        <f>HYPERLINK("http://ts.21cn.com/tousu/show/id/1340643","打我通讯录，甚至跟我通讯录里的人吵架！9月30日晚还给我打电话")</f>
        <v>打我通讯录，甚至跟我通讯录里的人吵架！9月30日晚还给我打电话</v>
      </c>
      <c r="C9487" s="2" t="s">
        <v>34</v>
      </c>
      <c r="D9487" s="2" t="s">
        <v>10</v>
      </c>
      <c r="E9487" s="2" t="str">
        <f>HYPERLINK("http://ts.21cn.com/tousu/show/id/1340643","http://ts.21cn.com/tousu/show/id/1340643")</f>
        <v>http://ts.21cn.com/tousu/show/id/1340643</v>
      </c>
      <c r="F9487" s="2" t="s">
        <v>11</v>
      </c>
      <c r="G9487" s="2" t="s">
        <v>25504</v>
      </c>
      <c r="H9487" s="2" t="s">
        <v>25505</v>
      </c>
    </row>
    <row r="9488" spans="1:8" ht="25.05" customHeight="1" x14ac:dyDescent="0.25">
      <c r="A9488" s="2" t="s">
        <v>8</v>
      </c>
      <c r="B9488" s="2" t="str">
        <f>HYPERLINK("http://ts.21cn.com/tousu/show/id/1340644","支付宝于银行支付通道为不法商家提供好利贷款平台")</f>
        <v>支付宝于银行支付通道为不法商家提供好利贷款平台</v>
      </c>
      <c r="C9488" s="2" t="s">
        <v>9</v>
      </c>
      <c r="D9488" s="2" t="s">
        <v>10</v>
      </c>
      <c r="E9488" s="2" t="str">
        <f>HYPERLINK("http://ts.21cn.com/tousu/show/id/1340644","http://ts.21cn.com/tousu/show/id/1340644")</f>
        <v>http://ts.21cn.com/tousu/show/id/1340644</v>
      </c>
      <c r="F9488" s="2" t="s">
        <v>11</v>
      </c>
      <c r="G9488" s="2" t="s">
        <v>25502</v>
      </c>
      <c r="H9488" s="2" t="s">
        <v>25503</v>
      </c>
    </row>
    <row r="9489" spans="1:8" ht="25.05" customHeight="1" x14ac:dyDescent="0.25">
      <c r="A9489" s="2" t="s">
        <v>8</v>
      </c>
      <c r="B9489" s="2" t="str">
        <f>HYPERLINK("http://ts.21cn.com/tousu/show/id/1340645","百事普惠恶意扣款")</f>
        <v>百事普惠恶意扣款</v>
      </c>
      <c r="C9489" s="2" t="s">
        <v>9</v>
      </c>
      <c r="D9489" s="2" t="s">
        <v>10</v>
      </c>
      <c r="E9489" s="2" t="str">
        <f>HYPERLINK("http://ts.21cn.com/tousu/show/id/1340645","http://ts.21cn.com/tousu/show/id/1340645")</f>
        <v>http://ts.21cn.com/tousu/show/id/1340645</v>
      </c>
      <c r="F9489" s="2" t="s">
        <v>11</v>
      </c>
      <c r="G9489" s="2" t="s">
        <v>25501</v>
      </c>
      <c r="H9489" s="2" t="s">
        <v>17073</v>
      </c>
    </row>
    <row r="9490" spans="1:8" ht="25.05" customHeight="1" x14ac:dyDescent="0.25">
      <c r="A9490" s="2" t="s">
        <v>8</v>
      </c>
      <c r="B9490" s="2" t="str">
        <f>HYPERLINK("http://ts.21cn.com/tousu/show/id/1340647","用钱宝威胁本人")</f>
        <v>用钱宝威胁本人</v>
      </c>
      <c r="C9490" s="2" t="s">
        <v>9</v>
      </c>
      <c r="D9490" s="2" t="s">
        <v>10</v>
      </c>
      <c r="E9490" s="2" t="str">
        <f>HYPERLINK("http://ts.21cn.com/tousu/show/id/1340647","http://ts.21cn.com/tousu/show/id/1340647")</f>
        <v>http://ts.21cn.com/tousu/show/id/1340647</v>
      </c>
      <c r="F9490" s="2" t="s">
        <v>11</v>
      </c>
      <c r="G9490" s="2" t="s">
        <v>25499</v>
      </c>
      <c r="H9490" s="2" t="s">
        <v>25500</v>
      </c>
    </row>
    <row r="9491" spans="1:8" ht="25.05" customHeight="1" x14ac:dyDescent="0.25">
      <c r="A9491" s="2" t="s">
        <v>8</v>
      </c>
      <c r="B9491" s="2" t="str">
        <f>HYPERLINK("http://ts.21cn.com/tousu/show/id/1340646","滴滴司机拒绝载人")</f>
        <v>滴滴司机拒绝载人</v>
      </c>
      <c r="C9491" s="2" t="s">
        <v>9</v>
      </c>
      <c r="D9491" s="2" t="s">
        <v>10</v>
      </c>
      <c r="E9491" s="2" t="str">
        <f>HYPERLINK("http://ts.21cn.com/tousu/show/id/1340646","http://ts.21cn.com/tousu/show/id/1340646")</f>
        <v>http://ts.21cn.com/tousu/show/id/1340646</v>
      </c>
      <c r="F9491" s="2" t="s">
        <v>11</v>
      </c>
      <c r="G9491" s="2" t="s">
        <v>25497</v>
      </c>
      <c r="H9491" s="2" t="s">
        <v>25498</v>
      </c>
    </row>
    <row r="9492" spans="1:8" ht="25.05" customHeight="1" x14ac:dyDescent="0.25">
      <c r="A9492" s="2" t="s">
        <v>8</v>
      </c>
      <c r="B9492" s="2" t="str">
        <f>HYPERLINK("http://ts.21cn.com/tousu/show/id/1340648","贷上钱以买游戏豆为由收取高额贷款通过费")</f>
        <v>贷上钱以买游戏豆为由收取高额贷款通过费</v>
      </c>
      <c r="C9492" s="2" t="s">
        <v>9</v>
      </c>
      <c r="D9492" s="2" t="s">
        <v>10</v>
      </c>
      <c r="E9492" s="2" t="str">
        <f>HYPERLINK("http://ts.21cn.com/tousu/show/id/1340648","http://ts.21cn.com/tousu/show/id/1340648")</f>
        <v>http://ts.21cn.com/tousu/show/id/1340648</v>
      </c>
      <c r="F9492" s="2" t="s">
        <v>11</v>
      </c>
      <c r="G9492" s="2" t="s">
        <v>25495</v>
      </c>
      <c r="H9492" s="2" t="s">
        <v>25496</v>
      </c>
    </row>
    <row r="9493" spans="1:8" ht="25.05" customHeight="1" x14ac:dyDescent="0.25">
      <c r="A9493" s="2" t="s">
        <v>8</v>
      </c>
      <c r="B9493" s="2" t="str">
        <f>HYPERLINK("http://ts.21cn.com/tousu/show/id/1340649","投诉智行火车票未经允许免密支付，订单前一个半小时才抢到票导致无法退票")</f>
        <v>投诉智行火车票未经允许免密支付，订单前一个半小时才抢到票导致无法退票</v>
      </c>
      <c r="C9493" s="2" t="s">
        <v>9</v>
      </c>
      <c r="D9493" s="2" t="s">
        <v>10</v>
      </c>
      <c r="E9493" s="2" t="str">
        <f>HYPERLINK("http://ts.21cn.com/tousu/show/id/1340649","http://ts.21cn.com/tousu/show/id/1340649")</f>
        <v>http://ts.21cn.com/tousu/show/id/1340649</v>
      </c>
      <c r="F9493" s="2" t="s">
        <v>11</v>
      </c>
      <c r="G9493" s="2" t="s">
        <v>25493</v>
      </c>
      <c r="H9493" s="2" t="s">
        <v>25494</v>
      </c>
    </row>
    <row r="9494" spans="1:8" ht="25.05" customHeight="1" x14ac:dyDescent="0.25">
      <c r="A9494" s="2" t="s">
        <v>8</v>
      </c>
      <c r="B9494" s="2" t="str">
        <f>HYPERLINK("http://ts.21cn.com/tousu/show/id/1340650","实际到账25476.10元，秒扣保险费476.10元")</f>
        <v>实际到账25476.10元，秒扣保险费476.10元</v>
      </c>
      <c r="C9494" s="2" t="s">
        <v>34</v>
      </c>
      <c r="D9494" s="2" t="s">
        <v>10</v>
      </c>
      <c r="E9494" s="2" t="str">
        <f>HYPERLINK("http://ts.21cn.com/tousu/show/id/1340650","http://ts.21cn.com/tousu/show/id/1340650")</f>
        <v>http://ts.21cn.com/tousu/show/id/1340650</v>
      </c>
      <c r="F9494" s="2" t="s">
        <v>11</v>
      </c>
      <c r="G9494" s="2" t="s">
        <v>25491</v>
      </c>
      <c r="H9494" s="2" t="s">
        <v>25492</v>
      </c>
    </row>
    <row r="9495" spans="1:8" ht="25.05" customHeight="1" x14ac:dyDescent="0.25">
      <c r="A9495" s="2" t="s">
        <v>8</v>
      </c>
      <c r="B9495" s="2" t="str">
        <f>HYPERLINK("http://ts.21cn.com/tousu/show/id/1340652","豹子贷恶意扣款，且收集用户私人信息")</f>
        <v>豹子贷恶意扣款，且收集用户私人信息</v>
      </c>
      <c r="C9495" s="2" t="s">
        <v>9</v>
      </c>
      <c r="D9495" s="2" t="s">
        <v>10</v>
      </c>
      <c r="E9495" s="2" t="str">
        <f>HYPERLINK("http://ts.21cn.com/tousu/show/id/1340652","http://ts.21cn.com/tousu/show/id/1340652")</f>
        <v>http://ts.21cn.com/tousu/show/id/1340652</v>
      </c>
      <c r="F9495" s="2" t="s">
        <v>11</v>
      </c>
      <c r="G9495" s="2" t="s">
        <v>25489</v>
      </c>
      <c r="H9495" s="2" t="s">
        <v>25490</v>
      </c>
    </row>
    <row r="9496" spans="1:8" ht="25.05" customHeight="1" x14ac:dyDescent="0.25">
      <c r="A9496" s="2" t="s">
        <v>8</v>
      </c>
      <c r="B9496" s="2" t="str">
        <f>HYPERLINK("http://ts.21cn.com/tousu/show/id/1340651","骚扰恐吓")</f>
        <v>骚扰恐吓</v>
      </c>
      <c r="C9496" s="2" t="s">
        <v>9</v>
      </c>
      <c r="D9496" s="2" t="s">
        <v>10</v>
      </c>
      <c r="E9496" s="2" t="str">
        <f>HYPERLINK("http://ts.21cn.com/tousu/show/id/1340651","http://ts.21cn.com/tousu/show/id/1340651")</f>
        <v>http://ts.21cn.com/tousu/show/id/1340651</v>
      </c>
      <c r="F9496" s="2" t="s">
        <v>11</v>
      </c>
      <c r="G9496" s="2" t="s">
        <v>25487</v>
      </c>
      <c r="H9496" s="2" t="s">
        <v>25488</v>
      </c>
    </row>
    <row r="9497" spans="1:8" ht="25.05" customHeight="1" x14ac:dyDescent="0.25">
      <c r="A9497" s="2" t="s">
        <v>8</v>
      </c>
      <c r="B9497" s="2" t="str">
        <f>HYPERLINK("http://ts.21cn.com/tousu/show/id/1340653","智行抢未电话通知即免密付款")</f>
        <v>智行抢未电话通知即免密付款</v>
      </c>
      <c r="C9497" s="2" t="s">
        <v>9</v>
      </c>
      <c r="D9497" s="2" t="s">
        <v>10</v>
      </c>
      <c r="E9497" s="2" t="str">
        <f>HYPERLINK("http://ts.21cn.com/tousu/show/id/1340653","http://ts.21cn.com/tousu/show/id/1340653")</f>
        <v>http://ts.21cn.com/tousu/show/id/1340653</v>
      </c>
      <c r="F9497" s="2" t="s">
        <v>11</v>
      </c>
      <c r="G9497" s="2" t="s">
        <v>25485</v>
      </c>
      <c r="H9497" s="2" t="s">
        <v>25486</v>
      </c>
    </row>
    <row r="9498" spans="1:8" ht="25.05" customHeight="1" x14ac:dyDescent="0.25">
      <c r="A9498" s="2" t="s">
        <v>8</v>
      </c>
      <c r="B9498" s="2" t="str">
        <f>HYPERLINK("http://ts.21cn.com/tousu/show/id/1340654","拼多多有退货包运费，但是退货后取消运费补贴")</f>
        <v>拼多多有退货包运费，但是退货后取消运费补贴</v>
      </c>
      <c r="C9498" s="2" t="s">
        <v>9</v>
      </c>
      <c r="D9498" s="2" t="s">
        <v>10</v>
      </c>
      <c r="E9498" s="2" t="str">
        <f>HYPERLINK("http://ts.21cn.com/tousu/show/id/1340654","http://ts.21cn.com/tousu/show/id/1340654")</f>
        <v>http://ts.21cn.com/tousu/show/id/1340654</v>
      </c>
      <c r="F9498" s="2" t="s">
        <v>11</v>
      </c>
      <c r="G9498" s="2" t="s">
        <v>25483</v>
      </c>
      <c r="H9498" s="2" t="s">
        <v>25484</v>
      </c>
    </row>
    <row r="9499" spans="1:8" ht="25.05" customHeight="1" x14ac:dyDescent="0.25">
      <c r="A9499" s="2" t="s">
        <v>8</v>
      </c>
      <c r="B9499" s="2" t="str">
        <f>HYPERLINK("http://ts.21cn.com/tousu/show/id/1340655","客服不解决问题")</f>
        <v>客服不解决问题</v>
      </c>
      <c r="C9499" s="2" t="s">
        <v>9</v>
      </c>
      <c r="D9499" s="2" t="s">
        <v>10</v>
      </c>
      <c r="E9499" s="2" t="str">
        <f>HYPERLINK("http://ts.21cn.com/tousu/show/id/1340655","http://ts.21cn.com/tousu/show/id/1340655")</f>
        <v>http://ts.21cn.com/tousu/show/id/1340655</v>
      </c>
      <c r="F9499" s="2" t="s">
        <v>11</v>
      </c>
      <c r="G9499" s="2" t="s">
        <v>25481</v>
      </c>
      <c r="H9499" s="2" t="s">
        <v>25482</v>
      </c>
    </row>
    <row r="9500" spans="1:8" ht="25.05" customHeight="1" x14ac:dyDescent="0.25">
      <c r="A9500" s="2" t="s">
        <v>8</v>
      </c>
      <c r="B9500" s="2" t="str">
        <f>HYPERLINK("http://ts.21cn.com/tousu/show/id/1340656","蟹老弟黑网贷暴力催收")</f>
        <v>蟹老弟黑网贷暴力催收</v>
      </c>
      <c r="C9500" s="2" t="s">
        <v>9</v>
      </c>
      <c r="D9500" s="2" t="s">
        <v>10</v>
      </c>
      <c r="E9500" s="2" t="str">
        <f>HYPERLINK("http://ts.21cn.com/tousu/show/id/1340656","http://ts.21cn.com/tousu/show/id/1340656")</f>
        <v>http://ts.21cn.com/tousu/show/id/1340656</v>
      </c>
      <c r="F9500" s="2" t="s">
        <v>11</v>
      </c>
      <c r="G9500" s="2" t="s">
        <v>25479</v>
      </c>
      <c r="H9500" s="2" t="s">
        <v>25480</v>
      </c>
    </row>
    <row r="9501" spans="1:8" ht="25.05" customHeight="1" x14ac:dyDescent="0.25">
      <c r="A9501" s="2" t="s">
        <v>8</v>
      </c>
      <c r="B9501" s="2" t="str">
        <f>HYPERLINK("http://ts.21cn.com/tousu/show/id/1340657","聚富分期违规扣款，造艺科技提供违规支付通道")</f>
        <v>聚富分期违规扣款，造艺科技提供违规支付通道</v>
      </c>
      <c r="C9501" s="2" t="s">
        <v>9</v>
      </c>
      <c r="D9501" s="2" t="s">
        <v>10</v>
      </c>
      <c r="E9501" s="2" t="str">
        <f>HYPERLINK("http://ts.21cn.com/tousu/show/id/1340657","http://ts.21cn.com/tousu/show/id/1340657")</f>
        <v>http://ts.21cn.com/tousu/show/id/1340657</v>
      </c>
      <c r="F9501" s="2" t="s">
        <v>11</v>
      </c>
      <c r="G9501" s="2" t="s">
        <v>25477</v>
      </c>
      <c r="H9501" s="2" t="s">
        <v>25478</v>
      </c>
    </row>
    <row r="9502" spans="1:8" ht="25.05" customHeight="1" x14ac:dyDescent="0.25">
      <c r="A9502" s="2" t="s">
        <v>8</v>
      </c>
      <c r="B9502" s="2" t="str">
        <f>HYPERLINK("http://ts.21cn.com/tousu/show/id/1340659","御剑飞行高利贷暴力催收")</f>
        <v>御剑飞行高利贷暴力催收</v>
      </c>
      <c r="C9502" s="2" t="s">
        <v>9</v>
      </c>
      <c r="D9502" s="2" t="s">
        <v>10</v>
      </c>
      <c r="E9502" s="2" t="str">
        <f>HYPERLINK("http://ts.21cn.com/tousu/show/id/1340659","http://ts.21cn.com/tousu/show/id/1340659")</f>
        <v>http://ts.21cn.com/tousu/show/id/1340659</v>
      </c>
      <c r="F9502" s="2" t="s">
        <v>11</v>
      </c>
      <c r="G9502" s="2" t="s">
        <v>25475</v>
      </c>
      <c r="H9502" s="2" t="s">
        <v>25476</v>
      </c>
    </row>
    <row r="9503" spans="1:8" ht="25.05" customHeight="1" x14ac:dyDescent="0.25">
      <c r="A9503" s="2" t="s">
        <v>8</v>
      </c>
      <c r="B9503" s="2" t="str">
        <f>HYPERLINK("http://ts.21cn.com/tousu/show/id/1340660","贷上钱以买游戏豆为由收取高额贷款通过费")</f>
        <v>贷上钱以买游戏豆为由收取高额贷款通过费</v>
      </c>
      <c r="C9503" s="2" t="s">
        <v>9</v>
      </c>
      <c r="D9503" s="2" t="s">
        <v>10</v>
      </c>
      <c r="E9503" s="2" t="str">
        <f>HYPERLINK("http://ts.21cn.com/tousu/show/id/1340660","http://ts.21cn.com/tousu/show/id/1340660")</f>
        <v>http://ts.21cn.com/tousu/show/id/1340660</v>
      </c>
      <c r="F9503" s="2" t="s">
        <v>11</v>
      </c>
      <c r="G9503" s="2" t="s">
        <v>25473</v>
      </c>
      <c r="H9503" s="2" t="s">
        <v>25474</v>
      </c>
    </row>
    <row r="9504" spans="1:8" ht="25.05" customHeight="1" x14ac:dyDescent="0.25">
      <c r="A9504" s="2" t="s">
        <v>8</v>
      </c>
      <c r="B9504" s="2" t="str">
        <f>HYPERLINK("http://ts.21cn.com/tousu/show/id/1340661","暴力催收")</f>
        <v>暴力催收</v>
      </c>
      <c r="C9504" s="2" t="s">
        <v>9</v>
      </c>
      <c r="D9504" s="2" t="s">
        <v>10</v>
      </c>
      <c r="E9504" s="2" t="str">
        <f>HYPERLINK("http://ts.21cn.com/tousu/show/id/1340661","http://ts.21cn.com/tousu/show/id/1340661")</f>
        <v>http://ts.21cn.com/tousu/show/id/1340661</v>
      </c>
      <c r="F9504" s="2" t="s">
        <v>11</v>
      </c>
      <c r="G9504" s="2" t="s">
        <v>25471</v>
      </c>
      <c r="H9504" s="2" t="s">
        <v>25472</v>
      </c>
    </row>
    <row r="9505" spans="1:8" ht="25.05" customHeight="1" x14ac:dyDescent="0.25">
      <c r="A9505" s="2" t="s">
        <v>8</v>
      </c>
      <c r="B9505" s="2" t="str">
        <f>HYPERLINK("http://ts.21cn.com/tousu/show/id/1340663","捷信金融暴利催收！")</f>
        <v>捷信金融暴利催收！</v>
      </c>
      <c r="C9505" s="2" t="s">
        <v>9</v>
      </c>
      <c r="D9505" s="2" t="s">
        <v>10</v>
      </c>
      <c r="E9505" s="2" t="str">
        <f>HYPERLINK("http://ts.21cn.com/tousu/show/id/1340663","http://ts.21cn.com/tousu/show/id/1340663")</f>
        <v>http://ts.21cn.com/tousu/show/id/1340663</v>
      </c>
      <c r="F9505" s="2" t="s">
        <v>11</v>
      </c>
      <c r="G9505" s="2" t="s">
        <v>25469</v>
      </c>
      <c r="H9505" s="2" t="s">
        <v>25470</v>
      </c>
    </row>
    <row r="9506" spans="1:8" ht="25.05" customHeight="1" x14ac:dyDescent="0.25">
      <c r="A9506" s="2" t="s">
        <v>8</v>
      </c>
      <c r="B9506" s="2" t="str">
        <f>HYPERLINK("http://ts.21cn.com/tousu/show/id/1340662","拼多多显示退货包运费却并不给赔付运费，欺诈消费者")</f>
        <v>拼多多显示退货包运费却并不给赔付运费，欺诈消费者</v>
      </c>
      <c r="C9506" s="2" t="s">
        <v>9</v>
      </c>
      <c r="D9506" s="2" t="s">
        <v>10</v>
      </c>
      <c r="E9506" s="2" t="str">
        <f>HYPERLINK("http://ts.21cn.com/tousu/show/id/1340662","http://ts.21cn.com/tousu/show/id/1340662")</f>
        <v>http://ts.21cn.com/tousu/show/id/1340662</v>
      </c>
      <c r="F9506" s="2" t="s">
        <v>11</v>
      </c>
      <c r="G9506" s="2" t="s">
        <v>25467</v>
      </c>
      <c r="H9506" s="2" t="s">
        <v>25468</v>
      </c>
    </row>
    <row r="9507" spans="1:8" ht="25.05" customHeight="1" x14ac:dyDescent="0.25">
      <c r="A9507" s="2" t="s">
        <v>8</v>
      </c>
      <c r="B9507" s="2" t="str">
        <f>HYPERLINK("http://ts.21cn.com/tousu/show/id/1340664","随手记旗下随手微粒商量还款时间不愿意，就爆通讯录恐吓")</f>
        <v>随手记旗下随手微粒商量还款时间不愿意，就爆通讯录恐吓</v>
      </c>
      <c r="C9507" s="2" t="s">
        <v>9</v>
      </c>
      <c r="D9507" s="2" t="s">
        <v>10</v>
      </c>
      <c r="E9507" s="2" t="str">
        <f>HYPERLINK("http://ts.21cn.com/tousu/show/id/1340664","http://ts.21cn.com/tousu/show/id/1340664")</f>
        <v>http://ts.21cn.com/tousu/show/id/1340664</v>
      </c>
      <c r="F9507" s="2" t="s">
        <v>11</v>
      </c>
      <c r="G9507" s="2" t="s">
        <v>25465</v>
      </c>
      <c r="H9507" s="2" t="s">
        <v>25466</v>
      </c>
    </row>
    <row r="9508" spans="1:8" ht="25.05" customHeight="1" x14ac:dyDescent="0.25">
      <c r="A9508" s="2" t="s">
        <v>8</v>
      </c>
      <c r="B9508" s="2" t="str">
        <f>HYPERLINK("http://ts.21cn.com/tousu/show/id/1340665","又一家高利贷")</f>
        <v>又一家高利贷</v>
      </c>
      <c r="C9508" s="2" t="s">
        <v>9</v>
      </c>
      <c r="D9508" s="2" t="s">
        <v>10</v>
      </c>
      <c r="E9508" s="2" t="str">
        <f>HYPERLINK("http://ts.21cn.com/tousu/show/id/1340665","http://ts.21cn.com/tousu/show/id/1340665")</f>
        <v>http://ts.21cn.com/tousu/show/id/1340665</v>
      </c>
      <c r="F9508" s="2" t="s">
        <v>11</v>
      </c>
      <c r="G9508" s="2" t="s">
        <v>25463</v>
      </c>
      <c r="H9508" s="2" t="s">
        <v>25464</v>
      </c>
    </row>
    <row r="9509" spans="1:8" ht="25.05" customHeight="1" x14ac:dyDescent="0.25">
      <c r="A9509" s="2" t="s">
        <v>8</v>
      </c>
      <c r="B9509" s="2" t="str">
        <f>HYPERLINK("http://ts.21cn.com/tousu/show/id/1340666","新浪微博无缘无故封我账号")</f>
        <v>新浪微博无缘无故封我账号</v>
      </c>
      <c r="C9509" s="2" t="s">
        <v>34</v>
      </c>
      <c r="D9509" s="2" t="s">
        <v>10</v>
      </c>
      <c r="E9509" s="2" t="str">
        <f>HYPERLINK("http://ts.21cn.com/tousu/show/id/1340666","http://ts.21cn.com/tousu/show/id/1340666")</f>
        <v>http://ts.21cn.com/tousu/show/id/1340666</v>
      </c>
      <c r="F9509" s="2" t="s">
        <v>11</v>
      </c>
      <c r="G9509" s="2" t="s">
        <v>25461</v>
      </c>
      <c r="H9509" s="2" t="s">
        <v>25462</v>
      </c>
    </row>
    <row r="9510" spans="1:8" ht="25.05" customHeight="1" x14ac:dyDescent="0.25">
      <c r="A9510" s="2" t="s">
        <v>8</v>
      </c>
      <c r="B9510" s="2" t="str">
        <f>HYPERLINK("http://ts.21cn.com/tousu/show/id/1340667","恐吓，骚扰亲人")</f>
        <v>恐吓，骚扰亲人</v>
      </c>
      <c r="C9510" s="2" t="s">
        <v>9</v>
      </c>
      <c r="D9510" s="2" t="s">
        <v>10</v>
      </c>
      <c r="E9510" s="2" t="str">
        <f>HYPERLINK("http://ts.21cn.com/tousu/show/id/1340667","http://ts.21cn.com/tousu/show/id/1340667")</f>
        <v>http://ts.21cn.com/tousu/show/id/1340667</v>
      </c>
      <c r="F9510" s="2" t="s">
        <v>11</v>
      </c>
      <c r="G9510" s="2" t="s">
        <v>25459</v>
      </c>
      <c r="H9510" s="2" t="s">
        <v>25460</v>
      </c>
    </row>
    <row r="9511" spans="1:8" ht="25.05" customHeight="1" x14ac:dyDescent="0.25">
      <c r="A9511" s="2" t="s">
        <v>8</v>
      </c>
      <c r="B9511" s="2" t="str">
        <f>HYPERLINK("http://ts.21cn.com/tousu/show/id/1340668","联动云还了一天还不了车开了14公里扣费600元")</f>
        <v>联动云还了一天还不了车开了14公里扣费600元</v>
      </c>
      <c r="C9511" s="2" t="s">
        <v>9</v>
      </c>
      <c r="D9511" s="2" t="s">
        <v>10</v>
      </c>
      <c r="E9511" s="2" t="str">
        <f>HYPERLINK("http://ts.21cn.com/tousu/show/id/1340668","http://ts.21cn.com/tousu/show/id/1340668")</f>
        <v>http://ts.21cn.com/tousu/show/id/1340668</v>
      </c>
      <c r="F9511" s="2" t="s">
        <v>11</v>
      </c>
      <c r="G9511" s="2" t="s">
        <v>25457</v>
      </c>
      <c r="H9511" s="2" t="s">
        <v>25458</v>
      </c>
    </row>
    <row r="9512" spans="1:8" ht="25.05" customHeight="1" x14ac:dyDescent="0.25">
      <c r="A9512" s="2" t="s">
        <v>8</v>
      </c>
      <c r="B9512" s="2" t="str">
        <f>HYPERLINK("http://ts.21cn.com/tousu/show/id/1340670","借4500三个月要还5400多")</f>
        <v>借4500三个月要还5400多</v>
      </c>
      <c r="C9512" s="2" t="s">
        <v>9</v>
      </c>
      <c r="D9512" s="2" t="s">
        <v>10</v>
      </c>
      <c r="E9512" s="2" t="str">
        <f>HYPERLINK("http://ts.21cn.com/tousu/show/id/1340670","http://ts.21cn.com/tousu/show/id/1340670")</f>
        <v>http://ts.21cn.com/tousu/show/id/1340670</v>
      </c>
      <c r="F9512" s="2" t="s">
        <v>11</v>
      </c>
      <c r="G9512" s="2" t="s">
        <v>25455</v>
      </c>
      <c r="H9512" s="2" t="s">
        <v>25456</v>
      </c>
    </row>
    <row r="9513" spans="1:8" ht="25.05" customHeight="1" x14ac:dyDescent="0.25">
      <c r="A9513" s="2" t="s">
        <v>8</v>
      </c>
      <c r="B9513" s="2" t="str">
        <f>HYPERLINK("http://ts.21cn.com/tousu/show/id/1340669","滴滴出行乱定罪违规")</f>
        <v>滴滴出行乱定罪违规</v>
      </c>
      <c r="C9513" s="2" t="s">
        <v>9</v>
      </c>
      <c r="D9513" s="2" t="s">
        <v>10</v>
      </c>
      <c r="E9513" s="2" t="str">
        <f>HYPERLINK("http://ts.21cn.com/tousu/show/id/1340669","http://ts.21cn.com/tousu/show/id/1340669")</f>
        <v>http://ts.21cn.com/tousu/show/id/1340669</v>
      </c>
      <c r="F9513" s="2" t="s">
        <v>11</v>
      </c>
      <c r="G9513" s="2" t="s">
        <v>25453</v>
      </c>
      <c r="H9513" s="2" t="s">
        <v>25454</v>
      </c>
    </row>
    <row r="9514" spans="1:8" ht="25.05" customHeight="1" x14ac:dyDescent="0.25">
      <c r="A9514" s="2" t="s">
        <v>8</v>
      </c>
      <c r="B9514" s="2" t="str">
        <f>HYPERLINK("http://ts.21cn.com/tousu/show/id/1340673","支付宝下面平台金鸡下蛋利息有点高放款，汇潮支付协助放款")</f>
        <v>支付宝下面平台金鸡下蛋利息有点高放款，汇潮支付协助放款</v>
      </c>
      <c r="C9514" s="2" t="s">
        <v>9</v>
      </c>
      <c r="D9514" s="2" t="s">
        <v>10</v>
      </c>
      <c r="E9514" s="2" t="str">
        <f>HYPERLINK("http://ts.21cn.com/tousu/show/id/1340673","http://ts.21cn.com/tousu/show/id/1340673")</f>
        <v>http://ts.21cn.com/tousu/show/id/1340673</v>
      </c>
      <c r="F9514" s="2" t="s">
        <v>11</v>
      </c>
      <c r="G9514" s="2" t="s">
        <v>25451</v>
      </c>
      <c r="H9514" s="2" t="s">
        <v>25452</v>
      </c>
    </row>
    <row r="9515" spans="1:8" ht="25.05" customHeight="1" x14ac:dyDescent="0.25">
      <c r="A9515" s="2" t="s">
        <v>8</v>
      </c>
      <c r="B9515" s="2" t="str">
        <f>HYPERLINK("http://ts.21cn.com/tousu/show/id/1340676","艺龙返现过期不退")</f>
        <v>艺龙返现过期不退</v>
      </c>
      <c r="C9515" s="2" t="s">
        <v>9</v>
      </c>
      <c r="D9515" s="2" t="s">
        <v>10</v>
      </c>
      <c r="E9515" s="2" t="str">
        <f>HYPERLINK("http://ts.21cn.com/tousu/show/id/1340676","http://ts.21cn.com/tousu/show/id/1340676")</f>
        <v>http://ts.21cn.com/tousu/show/id/1340676</v>
      </c>
      <c r="F9515" s="2" t="s">
        <v>11</v>
      </c>
      <c r="G9515" s="2" t="s">
        <v>25449</v>
      </c>
      <c r="H9515" s="2" t="s">
        <v>25450</v>
      </c>
    </row>
    <row r="9516" spans="1:8" ht="25.05" customHeight="1" x14ac:dyDescent="0.25">
      <c r="A9516" s="2" t="s">
        <v>8</v>
      </c>
      <c r="B9516" s="2" t="str">
        <f>HYPERLINK("http://ts.21cn.com/tousu/show/id/1340677","滴滴人证承诺8天人证过终审都快1个月了还不给过")</f>
        <v>滴滴人证承诺8天人证过终审都快1个月了还不给过</v>
      </c>
      <c r="C9516" s="2" t="s">
        <v>34</v>
      </c>
      <c r="D9516" s="2" t="s">
        <v>10</v>
      </c>
      <c r="E9516" s="2" t="str">
        <f>HYPERLINK("http://ts.21cn.com/tousu/show/id/1340677","http://ts.21cn.com/tousu/show/id/1340677")</f>
        <v>http://ts.21cn.com/tousu/show/id/1340677</v>
      </c>
      <c r="F9516" s="2" t="s">
        <v>11</v>
      </c>
      <c r="G9516" s="2" t="s">
        <v>25447</v>
      </c>
      <c r="H9516" s="2" t="s">
        <v>25448</v>
      </c>
    </row>
    <row r="9517" spans="1:8" ht="25.05" customHeight="1" x14ac:dyDescent="0.25">
      <c r="A9517" s="2" t="s">
        <v>8</v>
      </c>
      <c r="B9517" s="2" t="str">
        <f>HYPERLINK("http://ts.21cn.com/tousu/show/id/1340679","分期通恶意收取会员费用")</f>
        <v>分期通恶意收取会员费用</v>
      </c>
      <c r="C9517" s="2" t="s">
        <v>9</v>
      </c>
      <c r="D9517" s="2" t="s">
        <v>10</v>
      </c>
      <c r="E9517" s="2" t="str">
        <f>HYPERLINK("http://ts.21cn.com/tousu/show/id/1340679","http://ts.21cn.com/tousu/show/id/1340679")</f>
        <v>http://ts.21cn.com/tousu/show/id/1340679</v>
      </c>
      <c r="F9517" s="2" t="s">
        <v>11</v>
      </c>
      <c r="G9517" s="2" t="s">
        <v>25445</v>
      </c>
      <c r="H9517" s="2" t="s">
        <v>25446</v>
      </c>
    </row>
    <row r="9518" spans="1:8" ht="25.05" customHeight="1" x14ac:dyDescent="0.25">
      <c r="A9518" s="2" t="s">
        <v>8</v>
      </c>
      <c r="B9518" s="2" t="str">
        <f>HYPERLINK("http://ts.21cn.com/tousu/show/id/1340680","360借条未放款先收5%工本费，要求撤销合同需支付40%违约金")</f>
        <v>360借条未放款先收5%工本费，要求撤销合同需支付40%违约金</v>
      </c>
      <c r="C9518" s="2" t="s">
        <v>9</v>
      </c>
      <c r="D9518" s="2" t="s">
        <v>10</v>
      </c>
      <c r="E9518" s="2" t="str">
        <f>HYPERLINK("http://ts.21cn.com/tousu/show/id/1340680","http://ts.21cn.com/tousu/show/id/1340680")</f>
        <v>http://ts.21cn.com/tousu/show/id/1340680</v>
      </c>
      <c r="F9518" s="2" t="s">
        <v>11</v>
      </c>
      <c r="G9518" s="2" t="s">
        <v>25443</v>
      </c>
      <c r="H9518" s="2" t="s">
        <v>25444</v>
      </c>
    </row>
    <row r="9519" spans="1:8" ht="25.05" customHeight="1" x14ac:dyDescent="0.25">
      <c r="A9519" s="2" t="s">
        <v>8</v>
      </c>
      <c r="B9519" s="2" t="str">
        <f>HYPERLINK("http://ts.21cn.com/tousu/show/id/1340681","小浦优客在本人未同意下扣掉我卡里的钱")</f>
        <v>小浦优客在本人未同意下扣掉我卡里的钱</v>
      </c>
      <c r="C9519" s="2" t="s">
        <v>34</v>
      </c>
      <c r="D9519" s="2" t="s">
        <v>10</v>
      </c>
      <c r="E9519" s="2" t="str">
        <f>HYPERLINK("http://ts.21cn.com/tousu/show/id/1340681","http://ts.21cn.com/tousu/show/id/1340681")</f>
        <v>http://ts.21cn.com/tousu/show/id/1340681</v>
      </c>
      <c r="F9519" s="2" t="s">
        <v>11</v>
      </c>
      <c r="G9519" s="2" t="s">
        <v>25441</v>
      </c>
      <c r="H9519" s="2" t="s">
        <v>25442</v>
      </c>
    </row>
    <row r="9520" spans="1:8" ht="25.05" customHeight="1" x14ac:dyDescent="0.25">
      <c r="A9520" s="2" t="s">
        <v>8</v>
      </c>
      <c r="B9520" s="2" t="str">
        <f>HYPERLINK("http://ts.21cn.com/tousu/show/id/1340672","投诉幸福西饼未按约定时间配送，没收到货又不退款")</f>
        <v>投诉幸福西饼未按约定时间配送，没收到货又不退款</v>
      </c>
      <c r="C9520" s="2" t="s">
        <v>9</v>
      </c>
      <c r="D9520" s="2" t="s">
        <v>10</v>
      </c>
      <c r="E9520" s="2" t="str">
        <f>HYPERLINK("http://ts.21cn.com/tousu/show/id/1340672","http://ts.21cn.com/tousu/show/id/1340672")</f>
        <v>http://ts.21cn.com/tousu/show/id/1340672</v>
      </c>
      <c r="F9520" s="2" t="s">
        <v>11</v>
      </c>
      <c r="G9520" s="2" t="s">
        <v>25439</v>
      </c>
      <c r="H9520" s="2" t="s">
        <v>25440</v>
      </c>
    </row>
    <row r="9521" spans="1:8" ht="25.05" customHeight="1" x14ac:dyDescent="0.25">
      <c r="A9521" s="2" t="s">
        <v>8</v>
      </c>
      <c r="B9521" s="2" t="str">
        <f>HYPERLINK("http://ts.21cn.com/tousu/show/id/1340682","套路贷")</f>
        <v>套路贷</v>
      </c>
      <c r="C9521" s="2" t="s">
        <v>9</v>
      </c>
      <c r="D9521" s="2" t="s">
        <v>10</v>
      </c>
      <c r="E9521" s="2" t="str">
        <f>HYPERLINK("http://ts.21cn.com/tousu/show/id/1340682","http://ts.21cn.com/tousu/show/id/1340682")</f>
        <v>http://ts.21cn.com/tousu/show/id/1340682</v>
      </c>
      <c r="F9521" s="2" t="s">
        <v>11</v>
      </c>
      <c r="G9521" s="2" t="s">
        <v>25437</v>
      </c>
      <c r="H9521" s="2" t="s">
        <v>25438</v>
      </c>
    </row>
    <row r="9522" spans="1:8" ht="25.05" customHeight="1" x14ac:dyDescent="0.25">
      <c r="A9522" s="2" t="s">
        <v>8</v>
      </c>
      <c r="B9522" s="2" t="str">
        <f>HYPERLINK("http://ts.21cn.com/tousu/show/id/1340684","51人品贷黑心高利贷")</f>
        <v>51人品贷黑心高利贷</v>
      </c>
      <c r="C9522" s="2" t="s">
        <v>9</v>
      </c>
      <c r="D9522" s="2" t="s">
        <v>10</v>
      </c>
      <c r="E9522" s="2" t="str">
        <f>HYPERLINK("http://ts.21cn.com/tousu/show/id/1340684","http://ts.21cn.com/tousu/show/id/1340684")</f>
        <v>http://ts.21cn.com/tousu/show/id/1340684</v>
      </c>
      <c r="F9522" s="2" t="s">
        <v>11</v>
      </c>
      <c r="G9522" s="2" t="s">
        <v>25435</v>
      </c>
      <c r="H9522" s="2" t="s">
        <v>25436</v>
      </c>
    </row>
    <row r="9523" spans="1:8" ht="25.05" customHeight="1" x14ac:dyDescent="0.25">
      <c r="A9523" s="2" t="s">
        <v>8</v>
      </c>
      <c r="B9523" s="2" t="str">
        <f>HYPERLINK("http://ts.21cn.com/tousu/show/id/1340686","支付宝旗下肥猫贷套路贷真的坑，为朋友不平")</f>
        <v>支付宝旗下肥猫贷套路贷真的坑，为朋友不平</v>
      </c>
      <c r="C9523" s="2" t="s">
        <v>9</v>
      </c>
      <c r="D9523" s="2" t="s">
        <v>10</v>
      </c>
      <c r="E9523" s="2" t="str">
        <f>HYPERLINK("http://ts.21cn.com/tousu/show/id/1340686","http://ts.21cn.com/tousu/show/id/1340686")</f>
        <v>http://ts.21cn.com/tousu/show/id/1340686</v>
      </c>
      <c r="F9523" s="2" t="s">
        <v>11</v>
      </c>
      <c r="G9523" s="2" t="s">
        <v>25433</v>
      </c>
      <c r="H9523" s="2" t="s">
        <v>25434</v>
      </c>
    </row>
    <row r="9524" spans="1:8" ht="25.05" customHeight="1" x14ac:dyDescent="0.25">
      <c r="A9524" s="2" t="s">
        <v>8</v>
      </c>
      <c r="B9524" s="2" t="str">
        <f>HYPERLINK("http://ts.21cn.com/tousu/show/id/1340687","在可以联系上本人的情况下，依然不停拨打家人电话进行骚扰，恐吓，")</f>
        <v>在可以联系上本人的情况下，依然不停拨打家人电话进行骚扰，恐吓，</v>
      </c>
      <c r="C9524" s="2" t="s">
        <v>9</v>
      </c>
      <c r="D9524" s="2" t="s">
        <v>10</v>
      </c>
      <c r="E9524" s="2" t="str">
        <f>HYPERLINK("http://ts.21cn.com/tousu/show/id/1340687","http://ts.21cn.com/tousu/show/id/1340687")</f>
        <v>http://ts.21cn.com/tousu/show/id/1340687</v>
      </c>
      <c r="F9524" s="2" t="s">
        <v>11</v>
      </c>
      <c r="G9524" s="2" t="s">
        <v>25432</v>
      </c>
      <c r="H9524" s="2" t="s">
        <v>22054</v>
      </c>
    </row>
    <row r="9525" spans="1:8" ht="25.05" customHeight="1" x14ac:dyDescent="0.25">
      <c r="A9525" s="2" t="s">
        <v>8</v>
      </c>
      <c r="B9525" s="2" t="str">
        <f>HYPERLINK("http://ts.21cn.com/tousu/show/id/1340685","拇指借款")</f>
        <v>拇指借款</v>
      </c>
      <c r="C9525" s="2" t="s">
        <v>9</v>
      </c>
      <c r="D9525" s="2" t="s">
        <v>10</v>
      </c>
      <c r="E9525" s="2" t="str">
        <f>HYPERLINK("http://ts.21cn.com/tousu/show/id/1340685","http://ts.21cn.com/tousu/show/id/1340685")</f>
        <v>http://ts.21cn.com/tousu/show/id/1340685</v>
      </c>
      <c r="F9525" s="2" t="s">
        <v>11</v>
      </c>
      <c r="G9525" s="2" t="s">
        <v>25430</v>
      </c>
      <c r="H9525" s="2" t="s">
        <v>25431</v>
      </c>
    </row>
    <row r="9526" spans="1:8" ht="25.05" customHeight="1" x14ac:dyDescent="0.25">
      <c r="A9526" s="2" t="s">
        <v>8</v>
      </c>
      <c r="B9526" s="2" t="str">
        <f>HYPERLINK("http://ts.21cn.com/tousu/show/id/1340688","凡普金科旗下钱站app暴力催收")</f>
        <v>凡普金科旗下钱站app暴力催收</v>
      </c>
      <c r="C9526" s="2" t="s">
        <v>9</v>
      </c>
      <c r="D9526" s="2" t="s">
        <v>10</v>
      </c>
      <c r="E9526" s="2" t="str">
        <f>HYPERLINK("http://ts.21cn.com/tousu/show/id/1340688","http://ts.21cn.com/tousu/show/id/1340688")</f>
        <v>http://ts.21cn.com/tousu/show/id/1340688</v>
      </c>
      <c r="F9526" s="2" t="s">
        <v>11</v>
      </c>
      <c r="G9526" s="2" t="s">
        <v>25428</v>
      </c>
      <c r="H9526" s="2" t="s">
        <v>25429</v>
      </c>
    </row>
    <row r="9527" spans="1:8" ht="25.05" customHeight="1" x14ac:dyDescent="0.25">
      <c r="A9527" s="2" t="s">
        <v>8</v>
      </c>
      <c r="B9527" s="2" t="str">
        <f>HYPERLINK("http://ts.21cn.com/tousu/show/id/1340689","宏萨信息科技有限公司乱扣银行卡余额")</f>
        <v>宏萨信息科技有限公司乱扣银行卡余额</v>
      </c>
      <c r="C9527" s="2" t="s">
        <v>9</v>
      </c>
      <c r="D9527" s="2" t="s">
        <v>10</v>
      </c>
      <c r="E9527" s="2" t="str">
        <f>HYPERLINK("http://ts.21cn.com/tousu/show/id/1340689","http://ts.21cn.com/tousu/show/id/1340689")</f>
        <v>http://ts.21cn.com/tousu/show/id/1340689</v>
      </c>
      <c r="F9527" s="2" t="s">
        <v>11</v>
      </c>
      <c r="G9527" s="2" t="s">
        <v>25426</v>
      </c>
      <c r="H9527" s="2" t="s">
        <v>25427</v>
      </c>
    </row>
    <row r="9528" spans="1:8" ht="25.05" customHeight="1" x14ac:dyDescent="0.25">
      <c r="A9528" s="2" t="s">
        <v>8</v>
      </c>
      <c r="B9528" s="2" t="str">
        <f>HYPERLINK("http://ts.21cn.com/tousu/show/id/1340691","淘宝买完东西，质量有问题不退换，不退款")</f>
        <v>淘宝买完东西，质量有问题不退换，不退款</v>
      </c>
      <c r="C9528" s="2" t="s">
        <v>9</v>
      </c>
      <c r="D9528" s="2" t="s">
        <v>10</v>
      </c>
      <c r="E9528" s="2" t="str">
        <f>HYPERLINK("http://ts.21cn.com/tousu/show/id/1340691","http://ts.21cn.com/tousu/show/id/1340691")</f>
        <v>http://ts.21cn.com/tousu/show/id/1340691</v>
      </c>
      <c r="F9528" s="2" t="s">
        <v>11</v>
      </c>
      <c r="G9528" s="2" t="s">
        <v>25424</v>
      </c>
      <c r="H9528" s="2" t="s">
        <v>25425</v>
      </c>
    </row>
    <row r="9529" spans="1:8" ht="25.05" customHeight="1" x14ac:dyDescent="0.25">
      <c r="A9529" s="2" t="s">
        <v>8</v>
      </c>
      <c r="B9529" s="2" t="str">
        <f>HYPERLINK("http://ts.21cn.com/tousu/show/id/1340692","凡普金科旗下钱站app暴力催收")</f>
        <v>凡普金科旗下钱站app暴力催收</v>
      </c>
      <c r="C9529" s="2" t="s">
        <v>9</v>
      </c>
      <c r="D9529" s="2" t="s">
        <v>10</v>
      </c>
      <c r="E9529" s="2" t="str">
        <f>HYPERLINK("http://ts.21cn.com/tousu/show/id/1340692","http://ts.21cn.com/tousu/show/id/1340692")</f>
        <v>http://ts.21cn.com/tousu/show/id/1340692</v>
      </c>
      <c r="F9529" s="2" t="s">
        <v>11</v>
      </c>
      <c r="G9529" s="2" t="s">
        <v>25422</v>
      </c>
      <c r="H9529" s="2" t="s">
        <v>25423</v>
      </c>
    </row>
    <row r="9530" spans="1:8" ht="25.05" customHeight="1" x14ac:dyDescent="0.25">
      <c r="A9530" s="2" t="s">
        <v>8</v>
      </c>
      <c r="B9530" s="2" t="str">
        <f>HYPERLINK("http://ts.21cn.com/tousu/show/id/1340693","9月25日借款1400元，到账1400元，6条要求还款2000元，")</f>
        <v>9月25日借款1400元，到账1400元，6条要求还款2000元，</v>
      </c>
      <c r="C9530" s="2" t="s">
        <v>9</v>
      </c>
      <c r="D9530" s="2" t="s">
        <v>10</v>
      </c>
      <c r="E9530" s="2" t="str">
        <f>HYPERLINK("http://ts.21cn.com/tousu/show/id/1340693","http://ts.21cn.com/tousu/show/id/1340693")</f>
        <v>http://ts.21cn.com/tousu/show/id/1340693</v>
      </c>
      <c r="F9530" s="2" t="s">
        <v>11</v>
      </c>
      <c r="G9530" s="2" t="s">
        <v>25420</v>
      </c>
      <c r="H9530" s="2" t="s">
        <v>25421</v>
      </c>
    </row>
    <row r="9531" spans="1:8" ht="25.05" customHeight="1" x14ac:dyDescent="0.25">
      <c r="A9531" s="2" t="s">
        <v>8</v>
      </c>
      <c r="B9531" s="2" t="str">
        <f>HYPERLINK("http://ts.21cn.com/tousu/show/id/1340694","北京友缘在线科技公司欺诈消费者")</f>
        <v>北京友缘在线科技公司欺诈消费者</v>
      </c>
      <c r="C9531" s="2" t="s">
        <v>9</v>
      </c>
      <c r="D9531" s="2" t="s">
        <v>10</v>
      </c>
      <c r="E9531" s="2" t="str">
        <f>HYPERLINK("http://ts.21cn.com/tousu/show/id/1340694","http://ts.21cn.com/tousu/show/id/1340694")</f>
        <v>http://ts.21cn.com/tousu/show/id/1340694</v>
      </c>
      <c r="F9531" s="2" t="s">
        <v>11</v>
      </c>
      <c r="G9531" s="2" t="s">
        <v>25418</v>
      </c>
      <c r="H9531" s="2" t="s">
        <v>25419</v>
      </c>
    </row>
    <row r="9532" spans="1:8" ht="25.05" customHeight="1" x14ac:dyDescent="0.25">
      <c r="A9532" s="2" t="s">
        <v>8</v>
      </c>
      <c r="B9532" s="2" t="str">
        <f>HYPERLINK("http://ts.21cn.com/tousu/show/id/1340695","小眯花借款平台强行出借")</f>
        <v>小眯花借款平台强行出借</v>
      </c>
      <c r="C9532" s="2" t="s">
        <v>9</v>
      </c>
      <c r="D9532" s="2" t="s">
        <v>10</v>
      </c>
      <c r="E9532" s="2" t="str">
        <f>HYPERLINK("http://ts.21cn.com/tousu/show/id/1340695","http://ts.21cn.com/tousu/show/id/1340695")</f>
        <v>http://ts.21cn.com/tousu/show/id/1340695</v>
      </c>
      <c r="F9532" s="2" t="s">
        <v>11</v>
      </c>
      <c r="G9532" s="2" t="s">
        <v>25416</v>
      </c>
      <c r="H9532" s="2" t="s">
        <v>25417</v>
      </c>
    </row>
    <row r="9533" spans="1:8" ht="25.05" customHeight="1" x14ac:dyDescent="0.25">
      <c r="A9533" s="2" t="s">
        <v>8</v>
      </c>
      <c r="B9533" s="2" t="str">
        <f>HYPERLINK("http://ts.21cn.com/tousu/show/id/1340696","恢复我的口碑值、还我被滴滴私下扣的血汗钱")</f>
        <v>恢复我的口碑值、还我被滴滴私下扣的血汗钱</v>
      </c>
      <c r="C9533" s="2" t="s">
        <v>9</v>
      </c>
      <c r="D9533" s="2" t="s">
        <v>10</v>
      </c>
      <c r="E9533" s="2" t="str">
        <f>HYPERLINK("http://ts.21cn.com/tousu/show/id/1340696","http://ts.21cn.com/tousu/show/id/1340696")</f>
        <v>http://ts.21cn.com/tousu/show/id/1340696</v>
      </c>
      <c r="F9533" s="2" t="s">
        <v>11</v>
      </c>
      <c r="G9533" s="2" t="s">
        <v>25414</v>
      </c>
      <c r="H9533" s="2" t="s">
        <v>25415</v>
      </c>
    </row>
    <row r="9534" spans="1:8" ht="25.05" customHeight="1" x14ac:dyDescent="0.25">
      <c r="A9534" s="2" t="s">
        <v>8</v>
      </c>
      <c r="B9534" s="2" t="str">
        <f>HYPERLINK("http://ts.21cn.com/tousu/show/id/1340697","为赌博网站提供支付渠道，行为极度恶劣，会坑害很多人")</f>
        <v>为赌博网站提供支付渠道，行为极度恶劣，会坑害很多人</v>
      </c>
      <c r="C9534" s="2" t="s">
        <v>9</v>
      </c>
      <c r="D9534" s="2" t="s">
        <v>10</v>
      </c>
      <c r="E9534" s="2" t="str">
        <f>HYPERLINK("http://ts.21cn.com/tousu/show/id/1340697","http://ts.21cn.com/tousu/show/id/1340697")</f>
        <v>http://ts.21cn.com/tousu/show/id/1340697</v>
      </c>
      <c r="F9534" s="2" t="s">
        <v>11</v>
      </c>
      <c r="G9534" s="2" t="s">
        <v>25412</v>
      </c>
      <c r="H9534" s="2" t="s">
        <v>25413</v>
      </c>
    </row>
    <row r="9535" spans="1:8" ht="25.05" customHeight="1" x14ac:dyDescent="0.25">
      <c r="A9535" s="2" t="s">
        <v>8</v>
      </c>
      <c r="B9535" s="2" t="str">
        <f>HYPERLINK("http://ts.21cn.com/tousu/show/id/1340389","你我贷暴力催收")</f>
        <v>你我贷暴力催收</v>
      </c>
      <c r="C9535" s="2" t="s">
        <v>9</v>
      </c>
      <c r="D9535" s="2" t="s">
        <v>10</v>
      </c>
      <c r="E9535" s="2" t="str">
        <f>HYPERLINK("http://ts.21cn.com/tousu/show/id/1340389","http://ts.21cn.com/tousu/show/id/1340389")</f>
        <v>http://ts.21cn.com/tousu/show/id/1340389</v>
      </c>
      <c r="F9535" s="2" t="s">
        <v>11</v>
      </c>
      <c r="G9535" s="2" t="s">
        <v>25410</v>
      </c>
      <c r="H9535" s="2" t="s">
        <v>25411</v>
      </c>
    </row>
    <row r="9536" spans="1:8" ht="25.05" customHeight="1" x14ac:dyDescent="0.25">
      <c r="A9536" s="2" t="s">
        <v>8</v>
      </c>
      <c r="B9536" s="2" t="str">
        <f>HYPERLINK("http://ts.21cn.com/tousu/show/id/1340698","玖富万卡擅自改写合同，变相收取费用，高利贷")</f>
        <v>玖富万卡擅自改写合同，变相收取费用，高利贷</v>
      </c>
      <c r="C9536" s="2" t="s">
        <v>9</v>
      </c>
      <c r="D9536" s="2" t="s">
        <v>10</v>
      </c>
      <c r="E9536" s="2" t="str">
        <f>HYPERLINK("http://ts.21cn.com/tousu/show/id/1340698","http://ts.21cn.com/tousu/show/id/1340698")</f>
        <v>http://ts.21cn.com/tousu/show/id/1340698</v>
      </c>
      <c r="F9536" s="2" t="s">
        <v>11</v>
      </c>
      <c r="G9536" s="2" t="s">
        <v>25408</v>
      </c>
      <c r="H9536" s="2" t="s">
        <v>25409</v>
      </c>
    </row>
    <row r="9537" spans="1:8" ht="25.05" customHeight="1" x14ac:dyDescent="0.25">
      <c r="A9537" s="2" t="s">
        <v>8</v>
      </c>
      <c r="B9537" s="2" t="str">
        <f>HYPERLINK("http://ts.21cn.com/tousu/show/id/1340700","格力虚假宣传并高价卖给老客户格力净水机WTE-PC8-4021")</f>
        <v>格力虚假宣传并高价卖给老客户格力净水机WTE-PC8-4021</v>
      </c>
      <c r="C9537" s="2" t="s">
        <v>9</v>
      </c>
      <c r="D9537" s="2" t="s">
        <v>10</v>
      </c>
      <c r="E9537" s="2" t="str">
        <f>HYPERLINK("http://ts.21cn.com/tousu/show/id/1340700","http://ts.21cn.com/tousu/show/id/1340700")</f>
        <v>http://ts.21cn.com/tousu/show/id/1340700</v>
      </c>
      <c r="F9537" s="2" t="s">
        <v>11</v>
      </c>
      <c r="G9537" s="2" t="s">
        <v>25406</v>
      </c>
      <c r="H9537" s="2" t="s">
        <v>25407</v>
      </c>
    </row>
    <row r="9538" spans="1:8" ht="25.05" customHeight="1" x14ac:dyDescent="0.25">
      <c r="A9538" s="2" t="s">
        <v>8</v>
      </c>
      <c r="B9538" s="2" t="str">
        <f>HYPERLINK("http://ts.21cn.com/tousu/show/id/1340702","高利贷，砍头贷")</f>
        <v>高利贷，砍头贷</v>
      </c>
      <c r="C9538" s="2" t="s">
        <v>9</v>
      </c>
      <c r="D9538" s="2" t="s">
        <v>10</v>
      </c>
      <c r="E9538" s="2" t="str">
        <f>HYPERLINK("http://ts.21cn.com/tousu/show/id/1340702","http://ts.21cn.com/tousu/show/id/1340702")</f>
        <v>http://ts.21cn.com/tousu/show/id/1340702</v>
      </c>
      <c r="F9538" s="2" t="s">
        <v>11</v>
      </c>
      <c r="G9538" s="2" t="s">
        <v>25404</v>
      </c>
      <c r="H9538" s="2" t="s">
        <v>25405</v>
      </c>
    </row>
    <row r="9539" spans="1:8" ht="25.05" customHeight="1" x14ac:dyDescent="0.25">
      <c r="A9539" s="2" t="s">
        <v>8</v>
      </c>
      <c r="B9539" s="2" t="str">
        <f>HYPERLINK("http://ts.21cn.com/tousu/show/id/1340703","滴滴出行枉顾事实随意判责")</f>
        <v>滴滴出行枉顾事实随意判责</v>
      </c>
      <c r="C9539" s="2" t="s">
        <v>9</v>
      </c>
      <c r="D9539" s="2" t="s">
        <v>10</v>
      </c>
      <c r="E9539" s="2" t="str">
        <f>HYPERLINK("http://ts.21cn.com/tousu/show/id/1340703","http://ts.21cn.com/tousu/show/id/1340703")</f>
        <v>http://ts.21cn.com/tousu/show/id/1340703</v>
      </c>
      <c r="F9539" s="2" t="s">
        <v>11</v>
      </c>
      <c r="G9539" s="2" t="s">
        <v>25403</v>
      </c>
      <c r="H9539" s="2" t="s">
        <v>16846</v>
      </c>
    </row>
    <row r="9540" spans="1:8" ht="25.05" customHeight="1" x14ac:dyDescent="0.25">
      <c r="A9540" s="2" t="s">
        <v>8</v>
      </c>
      <c r="B9540" s="2" t="str">
        <f>HYPERLINK("http://ts.21cn.com/tousu/show/id/1340373","中国联通号码催收骚扰威胁")</f>
        <v>中国联通号码催收骚扰威胁</v>
      </c>
      <c r="C9540" s="2" t="s">
        <v>9</v>
      </c>
      <c r="D9540" s="2" t="s">
        <v>10</v>
      </c>
      <c r="E9540" s="2" t="str">
        <f>HYPERLINK("http://ts.21cn.com/tousu/show/id/1340373","http://ts.21cn.com/tousu/show/id/1340373")</f>
        <v>http://ts.21cn.com/tousu/show/id/1340373</v>
      </c>
      <c r="F9540" s="2" t="s">
        <v>11</v>
      </c>
      <c r="G9540" s="2" t="s">
        <v>25401</v>
      </c>
      <c r="H9540" s="2" t="s">
        <v>25402</v>
      </c>
    </row>
    <row r="9541" spans="1:8" ht="25.05" customHeight="1" x14ac:dyDescent="0.25">
      <c r="A9541" s="2" t="s">
        <v>8</v>
      </c>
      <c r="B9541" s="2" t="str">
        <f>HYPERLINK("http://ts.21cn.com/tousu/show/id/1340704","农业银行，浙江绿森信息科技有限公司（绿森商城）拒不退款，涉嫌违反消费者条例，要求立即退款，请帮帮我")</f>
        <v>农业银行，浙江绿森信息科技有限公司（绿森商城）拒不退款，涉嫌违反消费者条例，要求立即退款，请帮帮我</v>
      </c>
      <c r="C9541" s="2" t="s">
        <v>9</v>
      </c>
      <c r="D9541" s="2" t="s">
        <v>10</v>
      </c>
      <c r="E9541" s="2" t="str">
        <f>HYPERLINK("http://ts.21cn.com/tousu/show/id/1340704","http://ts.21cn.com/tousu/show/id/1340704")</f>
        <v>http://ts.21cn.com/tousu/show/id/1340704</v>
      </c>
      <c r="F9541" s="2" t="s">
        <v>11</v>
      </c>
      <c r="G9541" s="2" t="s">
        <v>25399</v>
      </c>
      <c r="H9541" s="2" t="s">
        <v>25400</v>
      </c>
    </row>
    <row r="9542" spans="1:8" ht="25.05" customHeight="1" x14ac:dyDescent="0.25">
      <c r="A9542" s="2" t="s">
        <v>8</v>
      </c>
      <c r="B9542" s="2" t="str">
        <f>HYPERLINK("http://ts.21cn.com/tousu/show/id/1340706","投诉畅快车贷使用黑恶势力强行将车开走一直与其联系还款取车无果")</f>
        <v>投诉畅快车贷使用黑恶势力强行将车开走一直与其联系还款取车无果</v>
      </c>
      <c r="C9542" s="2" t="s">
        <v>9</v>
      </c>
      <c r="D9542" s="2" t="s">
        <v>10</v>
      </c>
      <c r="E9542" s="2" t="str">
        <f>HYPERLINK("http://ts.21cn.com/tousu/show/id/1340706","http://ts.21cn.com/tousu/show/id/1340706")</f>
        <v>http://ts.21cn.com/tousu/show/id/1340706</v>
      </c>
      <c r="F9542" s="2" t="s">
        <v>11</v>
      </c>
      <c r="G9542" s="2" t="s">
        <v>25397</v>
      </c>
      <c r="H9542" s="2" t="s">
        <v>25398</v>
      </c>
    </row>
    <row r="9543" spans="1:8" ht="25.05" customHeight="1" x14ac:dyDescent="0.25">
      <c r="A9543" s="2" t="s">
        <v>8</v>
      </c>
      <c r="B9543" s="2" t="str">
        <f>HYPERLINK("http://ts.21cn.com/tousu/show/id/1340705","格力净水器,格力答谢会净水器,格力答谢会")</f>
        <v>格力净水器,格力答谢会净水器,格力答谢会</v>
      </c>
      <c r="C9543" s="2" t="s">
        <v>9</v>
      </c>
      <c r="D9543" s="2" t="s">
        <v>10</v>
      </c>
      <c r="E9543" s="2" t="str">
        <f>HYPERLINK("http://ts.21cn.com/tousu/show/id/1340705","http://ts.21cn.com/tousu/show/id/1340705")</f>
        <v>http://ts.21cn.com/tousu/show/id/1340705</v>
      </c>
      <c r="F9543" s="2" t="s">
        <v>11</v>
      </c>
      <c r="G9543" s="2" t="s">
        <v>25395</v>
      </c>
      <c r="H9543" s="2" t="s">
        <v>25396</v>
      </c>
    </row>
    <row r="9544" spans="1:8" ht="25.05" customHeight="1" x14ac:dyDescent="0.25">
      <c r="A9544" s="2" t="s">
        <v>8</v>
      </c>
      <c r="B9544" s="2" t="str">
        <f>HYPERLINK("http://ts.21cn.com/tousu/show/id/1340707","蚂蚁借呗，真心的坑害欺诈了不少人，利息又高，客服服务差")</f>
        <v>蚂蚁借呗，真心的坑害欺诈了不少人，利息又高，客服服务差</v>
      </c>
      <c r="C9544" s="2" t="s">
        <v>9</v>
      </c>
      <c r="D9544" s="2" t="s">
        <v>10</v>
      </c>
      <c r="E9544" s="2" t="str">
        <f>HYPERLINK("http://ts.21cn.com/tousu/show/id/1340707","http://ts.21cn.com/tousu/show/id/1340707")</f>
        <v>http://ts.21cn.com/tousu/show/id/1340707</v>
      </c>
      <c r="F9544" s="2" t="s">
        <v>11</v>
      </c>
      <c r="G9544" s="2" t="s">
        <v>25393</v>
      </c>
      <c r="H9544" s="2" t="s">
        <v>25394</v>
      </c>
    </row>
    <row r="9545" spans="1:8" ht="25.05" customHeight="1" x14ac:dyDescent="0.25">
      <c r="A9545" s="2" t="s">
        <v>8</v>
      </c>
      <c r="B9545" s="2" t="str">
        <f>HYPERLINK("http://ts.21cn.com/tousu/show/id/1340708","骚扰无关人员！乱打电话骚扰！影响恶劣！态度蛮狠")</f>
        <v>骚扰无关人员！乱打电话骚扰！影响恶劣！态度蛮狠</v>
      </c>
      <c r="C9545" s="2" t="s">
        <v>9</v>
      </c>
      <c r="D9545" s="2" t="s">
        <v>10</v>
      </c>
      <c r="E9545" s="2" t="str">
        <f>HYPERLINK("http://ts.21cn.com/tousu/show/id/1340708","http://ts.21cn.com/tousu/show/id/1340708")</f>
        <v>http://ts.21cn.com/tousu/show/id/1340708</v>
      </c>
      <c r="F9545" s="2" t="s">
        <v>11</v>
      </c>
      <c r="G9545" s="2" t="s">
        <v>25391</v>
      </c>
      <c r="H9545" s="2" t="s">
        <v>25392</v>
      </c>
    </row>
    <row r="9546" spans="1:8" ht="25.05" customHeight="1" x14ac:dyDescent="0.25">
      <c r="A9546" s="2" t="s">
        <v>8</v>
      </c>
      <c r="B9546" s="2" t="str">
        <f>HYPERLINK("http://ts.21cn.com/tousu/show/id/1340709","乱收服务费用")</f>
        <v>乱收服务费用</v>
      </c>
      <c r="C9546" s="2" t="s">
        <v>9</v>
      </c>
      <c r="D9546" s="2" t="s">
        <v>10</v>
      </c>
      <c r="E9546" s="2" t="str">
        <f>HYPERLINK("http://ts.21cn.com/tousu/show/id/1340709","http://ts.21cn.com/tousu/show/id/1340709")</f>
        <v>http://ts.21cn.com/tousu/show/id/1340709</v>
      </c>
      <c r="F9546" s="2" t="s">
        <v>11</v>
      </c>
      <c r="G9546" s="2" t="s">
        <v>25389</v>
      </c>
      <c r="H9546" s="2" t="s">
        <v>25390</v>
      </c>
    </row>
    <row r="9547" spans="1:8" ht="25.05" customHeight="1" x14ac:dyDescent="0.25">
      <c r="A9547" s="2" t="s">
        <v>8</v>
      </c>
      <c r="B9547" s="2" t="str">
        <f>HYPERLINK("http://ts.21cn.com/tousu/show/id/1340711","付款17小时，没上任何课，华尔街英语就要我支付2950元")</f>
        <v>付款17小时，没上任何课，华尔街英语就要我支付2950元</v>
      </c>
      <c r="C9547" s="2" t="s">
        <v>34</v>
      </c>
      <c r="D9547" s="2" t="s">
        <v>10</v>
      </c>
      <c r="E9547" s="2" t="str">
        <f>HYPERLINK("http://ts.21cn.com/tousu/show/id/1340711","http://ts.21cn.com/tousu/show/id/1340711")</f>
        <v>http://ts.21cn.com/tousu/show/id/1340711</v>
      </c>
      <c r="F9547" s="2" t="s">
        <v>11</v>
      </c>
      <c r="G9547" s="2" t="s">
        <v>25387</v>
      </c>
      <c r="H9547" s="2" t="s">
        <v>25388</v>
      </c>
    </row>
    <row r="9548" spans="1:8" ht="25.05" customHeight="1" x14ac:dyDescent="0.25">
      <c r="A9548" s="2" t="s">
        <v>8</v>
      </c>
      <c r="B9548" s="2" t="str">
        <f>HYPERLINK("http://ts.21cn.com/tousu/show/id/1340712","云南信托和中金支付伙同信而富强制收取砍头息放款")</f>
        <v>云南信托和中金支付伙同信而富强制收取砍头息放款</v>
      </c>
      <c r="C9548" s="2" t="s">
        <v>9</v>
      </c>
      <c r="D9548" s="2" t="s">
        <v>10</v>
      </c>
      <c r="E9548" s="2" t="str">
        <f>HYPERLINK("http://ts.21cn.com/tousu/show/id/1340712","http://ts.21cn.com/tousu/show/id/1340712")</f>
        <v>http://ts.21cn.com/tousu/show/id/1340712</v>
      </c>
      <c r="F9548" s="2" t="s">
        <v>11</v>
      </c>
      <c r="G9548" s="2" t="s">
        <v>25385</v>
      </c>
      <c r="H9548" s="2" t="s">
        <v>25386</v>
      </c>
    </row>
    <row r="9549" spans="1:8" ht="25.05" customHeight="1" x14ac:dyDescent="0.25">
      <c r="A9549" s="2" t="s">
        <v>8</v>
      </c>
      <c r="B9549" s="2" t="str">
        <f>HYPERLINK("http://ts.21cn.com/tousu/show/id/1340713","联系不到卖家，联系不到客服")</f>
        <v>联系不到卖家，联系不到客服</v>
      </c>
      <c r="C9549" s="2" t="s">
        <v>9</v>
      </c>
      <c r="D9549" s="2" t="s">
        <v>10</v>
      </c>
      <c r="E9549" s="2" t="str">
        <f>HYPERLINK("http://ts.21cn.com/tousu/show/id/1340713","http://ts.21cn.com/tousu/show/id/1340713")</f>
        <v>http://ts.21cn.com/tousu/show/id/1340713</v>
      </c>
      <c r="F9549" s="2" t="s">
        <v>11</v>
      </c>
      <c r="G9549" s="2" t="s">
        <v>25383</v>
      </c>
      <c r="H9549" s="2" t="s">
        <v>25384</v>
      </c>
    </row>
    <row r="9550" spans="1:8" ht="25.05" customHeight="1" x14ac:dyDescent="0.25">
      <c r="A9550" s="2" t="s">
        <v>8</v>
      </c>
      <c r="B9550" s="2" t="str">
        <f>HYPERLINK("http://ts.21cn.com/tousu/show/id/1340714","寻找网贷平台")</f>
        <v>寻找网贷平台</v>
      </c>
      <c r="C9550" s="2" t="s">
        <v>9</v>
      </c>
      <c r="D9550" s="2" t="s">
        <v>10</v>
      </c>
      <c r="E9550" s="2" t="str">
        <f>HYPERLINK("http://ts.21cn.com/tousu/show/id/1340714","http://ts.21cn.com/tousu/show/id/1340714")</f>
        <v>http://ts.21cn.com/tousu/show/id/1340714</v>
      </c>
      <c r="F9550" s="2" t="s">
        <v>11</v>
      </c>
      <c r="G9550" s="2" t="s">
        <v>25381</v>
      </c>
      <c r="H9550" s="2" t="s">
        <v>25382</v>
      </c>
    </row>
    <row r="9551" spans="1:8" ht="25.05" customHeight="1" x14ac:dyDescent="0.25">
      <c r="A9551" s="2" t="s">
        <v>8</v>
      </c>
      <c r="B9551" s="2" t="str">
        <f>HYPERLINK("http://ts.21cn.com/tousu/show/id/1340715","小赢卡贷强制捆绑购买了保险、高利息")</f>
        <v>小赢卡贷强制捆绑购买了保险、高利息</v>
      </c>
      <c r="C9551" s="2" t="s">
        <v>9</v>
      </c>
      <c r="D9551" s="2" t="s">
        <v>10</v>
      </c>
      <c r="E9551" s="2" t="str">
        <f>HYPERLINK("http://ts.21cn.com/tousu/show/id/1340715","http://ts.21cn.com/tousu/show/id/1340715")</f>
        <v>http://ts.21cn.com/tousu/show/id/1340715</v>
      </c>
      <c r="F9551" s="2" t="s">
        <v>11</v>
      </c>
      <c r="G9551" s="2" t="s">
        <v>25379</v>
      </c>
      <c r="H9551" s="2" t="s">
        <v>25380</v>
      </c>
    </row>
    <row r="9552" spans="1:8" ht="25.05" customHeight="1" x14ac:dyDescent="0.25">
      <c r="A9552" s="2" t="s">
        <v>8</v>
      </c>
      <c r="B9552" s="2" t="str">
        <f>HYPERLINK("http://ts.21cn.com/tousu/show/id/1340716","玖富一次性还完本金还让我还分期手续费")</f>
        <v>玖富一次性还完本金还让我还分期手续费</v>
      </c>
      <c r="C9552" s="2" t="s">
        <v>9</v>
      </c>
      <c r="D9552" s="2" t="s">
        <v>10</v>
      </c>
      <c r="E9552" s="2" t="str">
        <f>HYPERLINK("http://ts.21cn.com/tousu/show/id/1340716","http://ts.21cn.com/tousu/show/id/1340716")</f>
        <v>http://ts.21cn.com/tousu/show/id/1340716</v>
      </c>
      <c r="F9552" s="2" t="s">
        <v>11</v>
      </c>
      <c r="G9552" s="2" t="s">
        <v>25377</v>
      </c>
      <c r="H9552" s="2" t="s">
        <v>25378</v>
      </c>
    </row>
    <row r="9553" spans="1:8" ht="25.05" customHeight="1" x14ac:dyDescent="0.25">
      <c r="A9553" s="2" t="s">
        <v>8</v>
      </c>
      <c r="B9553" s="2" t="str">
        <f>HYPERLINK("http://ts.21cn.com/tousu/show/id/1340717","先花一亿元违法服务费要求退回")</f>
        <v>先花一亿元违法服务费要求退回</v>
      </c>
      <c r="C9553" s="2" t="s">
        <v>9</v>
      </c>
      <c r="D9553" s="2" t="s">
        <v>10</v>
      </c>
      <c r="E9553" s="2" t="str">
        <f>HYPERLINK("http://ts.21cn.com/tousu/show/id/1340717","http://ts.21cn.com/tousu/show/id/1340717")</f>
        <v>http://ts.21cn.com/tousu/show/id/1340717</v>
      </c>
      <c r="F9553" s="2" t="s">
        <v>11</v>
      </c>
      <c r="G9553" s="2" t="s">
        <v>25375</v>
      </c>
      <c r="H9553" s="2" t="s">
        <v>25376</v>
      </c>
    </row>
    <row r="9554" spans="1:8" ht="25.05" customHeight="1" x14ac:dyDescent="0.25">
      <c r="A9554" s="2" t="s">
        <v>8</v>
      </c>
      <c r="B9554" s="2" t="str">
        <f>HYPERLINK("http://ts.21cn.com/tousu/show/id/1340719","催收")</f>
        <v>催收</v>
      </c>
      <c r="C9554" s="2" t="s">
        <v>9</v>
      </c>
      <c r="D9554" s="2" t="s">
        <v>10</v>
      </c>
      <c r="E9554" s="2" t="str">
        <f>HYPERLINK("http://ts.21cn.com/tousu/show/id/1340719","http://ts.21cn.com/tousu/show/id/1340719")</f>
        <v>http://ts.21cn.com/tousu/show/id/1340719</v>
      </c>
      <c r="F9554" s="2" t="s">
        <v>11</v>
      </c>
      <c r="G9554" s="2" t="s">
        <v>25373</v>
      </c>
      <c r="H9554" s="2" t="s">
        <v>25374</v>
      </c>
    </row>
    <row r="9555" spans="1:8" ht="25.05" customHeight="1" x14ac:dyDescent="0.25">
      <c r="A9555" s="2" t="s">
        <v>8</v>
      </c>
      <c r="B9555" s="2" t="str">
        <f>HYPERLINK("http://ts.21cn.com/tousu/show/id/1340718","要求英孚教育全额退款")</f>
        <v>要求英孚教育全额退款</v>
      </c>
      <c r="C9555" s="2" t="s">
        <v>34</v>
      </c>
      <c r="D9555" s="2" t="s">
        <v>10</v>
      </c>
      <c r="E9555" s="2" t="str">
        <f>HYPERLINK("http://ts.21cn.com/tousu/show/id/1340718","http://ts.21cn.com/tousu/show/id/1340718")</f>
        <v>http://ts.21cn.com/tousu/show/id/1340718</v>
      </c>
      <c r="F9555" s="2" t="s">
        <v>11</v>
      </c>
      <c r="G9555" s="2" t="s">
        <v>25371</v>
      </c>
      <c r="H9555" s="2" t="s">
        <v>25372</v>
      </c>
    </row>
    <row r="9556" spans="1:8" ht="25.05" customHeight="1" x14ac:dyDescent="0.25">
      <c r="A9556" s="2" t="s">
        <v>8</v>
      </c>
      <c r="B9556" s="2" t="str">
        <f>HYPERLINK("http://ts.21cn.com/tousu/show/id/1340720","平安普惠高利贷窃取通讯录恶意诋毁骚扰群发短信暴力催收！")</f>
        <v>平安普惠高利贷窃取通讯录恶意诋毁骚扰群发短信暴力催收！</v>
      </c>
      <c r="C9556" s="2" t="s">
        <v>9</v>
      </c>
      <c r="D9556" s="2" t="s">
        <v>10</v>
      </c>
      <c r="E9556" s="2" t="str">
        <f>HYPERLINK("http://ts.21cn.com/tousu/show/id/1340720","http://ts.21cn.com/tousu/show/id/1340720")</f>
        <v>http://ts.21cn.com/tousu/show/id/1340720</v>
      </c>
      <c r="F9556" s="2" t="s">
        <v>11</v>
      </c>
      <c r="G9556" s="2" t="s">
        <v>25369</v>
      </c>
      <c r="H9556" s="2" t="s">
        <v>25370</v>
      </c>
    </row>
    <row r="9557" spans="1:8" ht="25.05" customHeight="1" x14ac:dyDescent="0.25">
      <c r="A9557" s="2" t="s">
        <v>8</v>
      </c>
      <c r="B9557" s="2" t="str">
        <f>HYPERLINK("http://ts.21cn.com/tousu/show/id/1340721","钱站高利贷阴阳合同")</f>
        <v>钱站高利贷阴阳合同</v>
      </c>
      <c r="C9557" s="2" t="s">
        <v>9</v>
      </c>
      <c r="D9557" s="2" t="s">
        <v>10</v>
      </c>
      <c r="E9557" s="2" t="str">
        <f>HYPERLINK("http://ts.21cn.com/tousu/show/id/1340721","http://ts.21cn.com/tousu/show/id/1340721")</f>
        <v>http://ts.21cn.com/tousu/show/id/1340721</v>
      </c>
      <c r="F9557" s="2" t="s">
        <v>11</v>
      </c>
      <c r="G9557" s="2" t="s">
        <v>25367</v>
      </c>
      <c r="H9557" s="2" t="s">
        <v>25368</v>
      </c>
    </row>
    <row r="9558" spans="1:8" ht="25.05" customHeight="1" x14ac:dyDescent="0.25">
      <c r="A9558" s="2" t="s">
        <v>8</v>
      </c>
      <c r="B9558" s="2" t="str">
        <f>HYPERLINK("http://ts.21cn.com/tousu/show/id/1340710","简单花从未借款却被催收")</f>
        <v>简单花从未借款却被催收</v>
      </c>
      <c r="C9558" s="2" t="s">
        <v>9</v>
      </c>
      <c r="D9558" s="2" t="s">
        <v>10</v>
      </c>
      <c r="E9558" s="2" t="str">
        <f>HYPERLINK("http://ts.21cn.com/tousu/show/id/1340710","http://ts.21cn.com/tousu/show/id/1340710")</f>
        <v>http://ts.21cn.com/tousu/show/id/1340710</v>
      </c>
      <c r="F9558" s="2" t="s">
        <v>11</v>
      </c>
      <c r="G9558" s="2" t="s">
        <v>25365</v>
      </c>
      <c r="H9558" s="2" t="s">
        <v>25366</v>
      </c>
    </row>
    <row r="9559" spans="1:8" ht="25.05" customHeight="1" x14ac:dyDescent="0.25">
      <c r="A9559" s="2" t="s">
        <v>8</v>
      </c>
      <c r="B9559" s="2" t="str">
        <f>HYPERLINK("http://ts.21cn.com/tousu/show/id/1340722","玖富万卡无法还款导致我逾期")</f>
        <v>玖富万卡无法还款导致我逾期</v>
      </c>
      <c r="C9559" s="2" t="s">
        <v>9</v>
      </c>
      <c r="D9559" s="2" t="s">
        <v>10</v>
      </c>
      <c r="E9559" s="2" t="str">
        <f>HYPERLINK("http://ts.21cn.com/tousu/show/id/1340722","http://ts.21cn.com/tousu/show/id/1340722")</f>
        <v>http://ts.21cn.com/tousu/show/id/1340722</v>
      </c>
      <c r="F9559" s="2" t="s">
        <v>11</v>
      </c>
      <c r="G9559" s="2" t="s">
        <v>25363</v>
      </c>
      <c r="H9559" s="2" t="s">
        <v>25364</v>
      </c>
    </row>
    <row r="9560" spans="1:8" ht="25.05" customHeight="1" x14ac:dyDescent="0.25">
      <c r="A9560" s="2" t="s">
        <v>8</v>
      </c>
      <c r="B9560" s="2" t="str">
        <f>HYPERLINK("http://ts.21cn.com/tousu/show/id/1340723","微信附近的人功能一直用不了")</f>
        <v>微信附近的人功能一直用不了</v>
      </c>
      <c r="C9560" s="2" t="s">
        <v>9</v>
      </c>
      <c r="D9560" s="2" t="s">
        <v>10</v>
      </c>
      <c r="E9560" s="2" t="str">
        <f>HYPERLINK("http://ts.21cn.com/tousu/show/id/1340723","http://ts.21cn.com/tousu/show/id/1340723")</f>
        <v>http://ts.21cn.com/tousu/show/id/1340723</v>
      </c>
      <c r="F9560" s="2" t="s">
        <v>11</v>
      </c>
      <c r="G9560" s="2" t="s">
        <v>25361</v>
      </c>
      <c r="H9560" s="2" t="s">
        <v>25362</v>
      </c>
    </row>
    <row r="9561" spans="1:8" ht="25.05" customHeight="1" x14ac:dyDescent="0.25">
      <c r="A9561" s="2" t="s">
        <v>8</v>
      </c>
      <c r="B9561" s="2" t="str">
        <f>HYPERLINK("http://ts.21cn.com/tousu/show/id/1340725","爆我通信录，要求赔偿")</f>
        <v>爆我通信录，要求赔偿</v>
      </c>
      <c r="C9561" s="2" t="s">
        <v>9</v>
      </c>
      <c r="D9561" s="2" t="s">
        <v>10</v>
      </c>
      <c r="E9561" s="2" t="str">
        <f>HYPERLINK("http://ts.21cn.com/tousu/show/id/1340725","http://ts.21cn.com/tousu/show/id/1340725")</f>
        <v>http://ts.21cn.com/tousu/show/id/1340725</v>
      </c>
      <c r="F9561" s="2" t="s">
        <v>11</v>
      </c>
      <c r="G9561" s="2" t="s">
        <v>25359</v>
      </c>
      <c r="H9561" s="2" t="s">
        <v>25360</v>
      </c>
    </row>
    <row r="9562" spans="1:8" ht="25.05" customHeight="1" x14ac:dyDescent="0.25">
      <c r="A9562" s="2" t="s">
        <v>8</v>
      </c>
      <c r="B9562" s="2" t="str">
        <f>HYPERLINK("http://ts.21cn.com/tousu/show/id/1340726","拼多多和支付宝客服不处理问题，要求维护消费者权益")</f>
        <v>拼多多和支付宝客服不处理问题，要求维护消费者权益</v>
      </c>
      <c r="C9562" s="2" t="s">
        <v>9</v>
      </c>
      <c r="D9562" s="2" t="s">
        <v>10</v>
      </c>
      <c r="E9562" s="2" t="str">
        <f>HYPERLINK("http://ts.21cn.com/tousu/show/id/1340726","http://ts.21cn.com/tousu/show/id/1340726")</f>
        <v>http://ts.21cn.com/tousu/show/id/1340726</v>
      </c>
      <c r="F9562" s="2" t="s">
        <v>11</v>
      </c>
      <c r="G9562" s="2" t="s">
        <v>25357</v>
      </c>
      <c r="H9562" s="2" t="s">
        <v>25358</v>
      </c>
    </row>
    <row r="9563" spans="1:8" ht="25.05" customHeight="1" x14ac:dyDescent="0.25">
      <c r="A9563" s="2" t="s">
        <v>8</v>
      </c>
      <c r="B9563" s="2" t="str">
        <f>HYPERLINK("http://ts.21cn.com/tousu/show/id/1340727","催收骚扰电话频繁严重，已还清款没有提供结清证明，变相收取高额费用（如所谓的风险保障金及其服务费）")</f>
        <v>催收骚扰电话频繁严重，已还清款没有提供结清证明，变相收取高额费用（如所谓的风险保障金及其服务费）</v>
      </c>
      <c r="C9563" s="2" t="s">
        <v>9</v>
      </c>
      <c r="D9563" s="2" t="s">
        <v>10</v>
      </c>
      <c r="E9563" s="2" t="str">
        <f>HYPERLINK("http://ts.21cn.com/tousu/show/id/1340727","http://ts.21cn.com/tousu/show/id/1340727")</f>
        <v>http://ts.21cn.com/tousu/show/id/1340727</v>
      </c>
      <c r="F9563" s="2" t="s">
        <v>11</v>
      </c>
      <c r="G9563" s="2" t="s">
        <v>25355</v>
      </c>
      <c r="H9563" s="2" t="s">
        <v>25356</v>
      </c>
    </row>
    <row r="9564" spans="1:8" ht="25.05" customHeight="1" x14ac:dyDescent="0.25">
      <c r="A9564" s="2" t="s">
        <v>8</v>
      </c>
      <c r="B9564" s="2" t="str">
        <f>HYPERLINK("http://ts.21cn.com/tousu/show/id/1340728","信用管家捆绑购物协商不同意")</f>
        <v>信用管家捆绑购物协商不同意</v>
      </c>
      <c r="C9564" s="2" t="s">
        <v>34</v>
      </c>
      <c r="D9564" s="2" t="s">
        <v>10</v>
      </c>
      <c r="E9564" s="2" t="str">
        <f>HYPERLINK("http://ts.21cn.com/tousu/show/id/1340728","http://ts.21cn.com/tousu/show/id/1340728")</f>
        <v>http://ts.21cn.com/tousu/show/id/1340728</v>
      </c>
      <c r="F9564" s="2" t="s">
        <v>11</v>
      </c>
      <c r="G9564" s="2" t="s">
        <v>25353</v>
      </c>
      <c r="H9564" s="2" t="s">
        <v>25354</v>
      </c>
    </row>
    <row r="9565" spans="1:8" ht="25.05" customHeight="1" x14ac:dyDescent="0.25">
      <c r="A9565" s="2" t="s">
        <v>8</v>
      </c>
      <c r="B9565" s="2" t="str">
        <f>HYPERLINK("http://ts.21cn.com/tousu/show/id/1340729","账户有钱不扣，非要拖我逾期")</f>
        <v>账户有钱不扣，非要拖我逾期</v>
      </c>
      <c r="C9565" s="2" t="s">
        <v>9</v>
      </c>
      <c r="D9565" s="2" t="s">
        <v>10</v>
      </c>
      <c r="E9565" s="2" t="str">
        <f>HYPERLINK("http://ts.21cn.com/tousu/show/id/1340729","http://ts.21cn.com/tousu/show/id/1340729")</f>
        <v>http://ts.21cn.com/tousu/show/id/1340729</v>
      </c>
      <c r="F9565" s="2" t="s">
        <v>11</v>
      </c>
      <c r="G9565" s="2" t="s">
        <v>25351</v>
      </c>
      <c r="H9565" s="2" t="s">
        <v>25352</v>
      </c>
    </row>
    <row r="9566" spans="1:8" ht="25.05" customHeight="1" x14ac:dyDescent="0.25">
      <c r="A9566" s="2" t="s">
        <v>8</v>
      </c>
      <c r="B9566" s="2" t="str">
        <f>HYPERLINK("http://ts.21cn.com/tousu/show/id/1340730","现金借款逾期后看不到借款合同，高额利息！")</f>
        <v>现金借款逾期后看不到借款合同，高额利息！</v>
      </c>
      <c r="C9566" s="2" t="s">
        <v>9</v>
      </c>
      <c r="D9566" s="2" t="s">
        <v>10</v>
      </c>
      <c r="E9566" s="2" t="str">
        <f>HYPERLINK("http://ts.21cn.com/tousu/show/id/1340730","http://ts.21cn.com/tousu/show/id/1340730")</f>
        <v>http://ts.21cn.com/tousu/show/id/1340730</v>
      </c>
      <c r="F9566" s="2" t="s">
        <v>11</v>
      </c>
      <c r="G9566" s="2" t="s">
        <v>25349</v>
      </c>
      <c r="H9566" s="2" t="s">
        <v>25350</v>
      </c>
    </row>
    <row r="9567" spans="1:8" ht="25.05" customHeight="1" x14ac:dyDescent="0.25">
      <c r="A9567" s="2" t="s">
        <v>8</v>
      </c>
      <c r="B9567" s="2" t="str">
        <f>HYPERLINK("http://ts.21cn.com/tousu/show/id/1340731","交通银行违法违规恶意诋毁侵犯公民隐私权！名誉权！")</f>
        <v>交通银行违法违规恶意诋毁侵犯公民隐私权！名誉权！</v>
      </c>
      <c r="C9567" s="2" t="s">
        <v>9</v>
      </c>
      <c r="D9567" s="2" t="s">
        <v>10</v>
      </c>
      <c r="E9567" s="2" t="str">
        <f>HYPERLINK("http://ts.21cn.com/tousu/show/id/1340731","http://ts.21cn.com/tousu/show/id/1340731")</f>
        <v>http://ts.21cn.com/tousu/show/id/1340731</v>
      </c>
      <c r="F9567" s="2" t="s">
        <v>11</v>
      </c>
      <c r="G9567" s="2" t="s">
        <v>25347</v>
      </c>
      <c r="H9567" s="2" t="s">
        <v>25348</v>
      </c>
    </row>
    <row r="9568" spans="1:8" ht="25.05" customHeight="1" x14ac:dyDescent="0.25">
      <c r="A9568" s="2" t="s">
        <v>8</v>
      </c>
      <c r="B9568" s="2" t="str">
        <f>HYPERLINK("http://ts.21cn.com/tousu/show/id/1340733","卡卡贷恶意扣费客服不处理")</f>
        <v>卡卡贷恶意扣费客服不处理</v>
      </c>
      <c r="C9568" s="2" t="s">
        <v>9</v>
      </c>
      <c r="D9568" s="2" t="s">
        <v>10</v>
      </c>
      <c r="E9568" s="2" t="str">
        <f>HYPERLINK("http://ts.21cn.com/tousu/show/id/1340733","http://ts.21cn.com/tousu/show/id/1340733")</f>
        <v>http://ts.21cn.com/tousu/show/id/1340733</v>
      </c>
      <c r="F9568" s="2" t="s">
        <v>11</v>
      </c>
      <c r="G9568" s="2" t="s">
        <v>25345</v>
      </c>
      <c r="H9568" s="2" t="s">
        <v>25346</v>
      </c>
    </row>
    <row r="9569" spans="1:8" ht="25.05" customHeight="1" x14ac:dyDescent="0.25">
      <c r="A9569" s="2" t="s">
        <v>8</v>
      </c>
      <c r="B9569" s="2" t="str">
        <f>HYPERLINK("http://ts.21cn.com/tousu/show/id/1340734","拍拍贷催收暴力催收骚扰家人")</f>
        <v>拍拍贷催收暴力催收骚扰家人</v>
      </c>
      <c r="C9569" s="2" t="s">
        <v>9</v>
      </c>
      <c r="D9569" s="2" t="s">
        <v>10</v>
      </c>
      <c r="E9569" s="2" t="str">
        <f>HYPERLINK("http://ts.21cn.com/tousu/show/id/1340734","http://ts.21cn.com/tousu/show/id/1340734")</f>
        <v>http://ts.21cn.com/tousu/show/id/1340734</v>
      </c>
      <c r="F9569" s="2" t="s">
        <v>11</v>
      </c>
      <c r="G9569" s="2" t="s">
        <v>25343</v>
      </c>
      <c r="H9569" s="2" t="s">
        <v>25344</v>
      </c>
    </row>
    <row r="9570" spans="1:8" ht="25.05" customHeight="1" x14ac:dyDescent="0.25">
      <c r="A9570" s="2" t="s">
        <v>8</v>
      </c>
      <c r="B9570" s="2" t="str">
        <f>HYPERLINK("http://ts.21cn.com/tousu/show/id/1340735","安逸花暴力催收")</f>
        <v>安逸花暴力催收</v>
      </c>
      <c r="C9570" s="2" t="s">
        <v>9</v>
      </c>
      <c r="D9570" s="2" t="s">
        <v>10</v>
      </c>
      <c r="E9570" s="2" t="str">
        <f>HYPERLINK("http://ts.21cn.com/tousu/show/id/1340735","http://ts.21cn.com/tousu/show/id/1340735")</f>
        <v>http://ts.21cn.com/tousu/show/id/1340735</v>
      </c>
      <c r="F9570" s="2" t="s">
        <v>11</v>
      </c>
      <c r="G9570" s="2" t="s">
        <v>25341</v>
      </c>
      <c r="H9570" s="2" t="s">
        <v>25342</v>
      </c>
    </row>
    <row r="9571" spans="1:8" ht="25.05" customHeight="1" x14ac:dyDescent="0.25">
      <c r="A9571" s="2" t="s">
        <v>8</v>
      </c>
      <c r="B9571" s="2" t="str">
        <f>HYPERLINK("http://ts.21cn.com/tousu/show/id/1340736","支付宝账号被盗刷了。之前买了安全险，但是支付宝现在不理赔，这些问题要求全部维护消费者")</f>
        <v>支付宝账号被盗刷了。之前买了安全险，但是支付宝现在不理赔，这些问题要求全部维护消费者</v>
      </c>
      <c r="C9571" s="2" t="s">
        <v>9</v>
      </c>
      <c r="D9571" s="2" t="s">
        <v>10</v>
      </c>
      <c r="E9571" s="2" t="str">
        <f>HYPERLINK("http://ts.21cn.com/tousu/show/id/1340736","http://ts.21cn.com/tousu/show/id/1340736")</f>
        <v>http://ts.21cn.com/tousu/show/id/1340736</v>
      </c>
      <c r="F9571" s="2" t="s">
        <v>11</v>
      </c>
      <c r="G9571" s="2" t="s">
        <v>25339</v>
      </c>
      <c r="H9571" s="2" t="s">
        <v>25340</v>
      </c>
    </row>
    <row r="9572" spans="1:8" ht="25.05" customHeight="1" x14ac:dyDescent="0.25">
      <c r="A9572" s="2" t="s">
        <v>8</v>
      </c>
      <c r="B9572" s="2" t="str">
        <f>HYPERLINK("http://ts.21cn.com/tousu/show/id/1340737","公司能不让我们寒心")</f>
        <v>公司能不让我们寒心</v>
      </c>
      <c r="C9572" s="2" t="s">
        <v>9</v>
      </c>
      <c r="D9572" s="2" t="s">
        <v>10</v>
      </c>
      <c r="E9572" s="2" t="str">
        <f>HYPERLINK("http://ts.21cn.com/tousu/show/id/1340737","http://ts.21cn.com/tousu/show/id/1340737")</f>
        <v>http://ts.21cn.com/tousu/show/id/1340737</v>
      </c>
      <c r="F9572" s="2" t="s">
        <v>11</v>
      </c>
      <c r="G9572" s="2" t="s">
        <v>25337</v>
      </c>
      <c r="H9572" s="2" t="s">
        <v>25338</v>
      </c>
    </row>
    <row r="9573" spans="1:8" ht="25.05" customHeight="1" x14ac:dyDescent="0.25">
      <c r="A9573" s="2" t="s">
        <v>8</v>
      </c>
      <c r="B9573" s="2" t="str">
        <f>HYPERLINK("http://ts.21cn.com/tousu/show/id/1340738","注销帐号APP里面点了没反应")</f>
        <v>注销帐号APP里面点了没反应</v>
      </c>
      <c r="C9573" s="2" t="s">
        <v>9</v>
      </c>
      <c r="D9573" s="2" t="s">
        <v>10</v>
      </c>
      <c r="E9573" s="2" t="str">
        <f>HYPERLINK("http://ts.21cn.com/tousu/show/id/1340738","http://ts.21cn.com/tousu/show/id/1340738")</f>
        <v>http://ts.21cn.com/tousu/show/id/1340738</v>
      </c>
      <c r="F9573" s="2" t="s">
        <v>11</v>
      </c>
      <c r="G9573" s="2" t="s">
        <v>25336</v>
      </c>
      <c r="H9573" s="2" t="s">
        <v>25141</v>
      </c>
    </row>
    <row r="9574" spans="1:8" ht="25.05" customHeight="1" x14ac:dyDescent="0.25">
      <c r="A9574" s="2" t="s">
        <v>8</v>
      </c>
      <c r="B9574" s="2" t="str">
        <f>HYPERLINK("http://ts.21cn.com/tousu/show/id/1340732","因无力偿还欠款被催款方单方面恐吓骚扰，被公司开除")</f>
        <v>因无力偿还欠款被催款方单方面恐吓骚扰，被公司开除</v>
      </c>
      <c r="C9574" s="2" t="s">
        <v>9</v>
      </c>
      <c r="D9574" s="2" t="s">
        <v>10</v>
      </c>
      <c r="E9574" s="2" t="str">
        <f>HYPERLINK("http://ts.21cn.com/tousu/show/id/1340732","http://ts.21cn.com/tousu/show/id/1340732")</f>
        <v>http://ts.21cn.com/tousu/show/id/1340732</v>
      </c>
      <c r="F9574" s="2" t="s">
        <v>11</v>
      </c>
      <c r="G9574" s="2" t="s">
        <v>25334</v>
      </c>
      <c r="H9574" s="2" t="s">
        <v>25335</v>
      </c>
    </row>
    <row r="9575" spans="1:8" ht="25.05" customHeight="1" x14ac:dyDescent="0.25">
      <c r="A9575" s="2" t="s">
        <v>8</v>
      </c>
      <c r="B9575" s="2" t="str">
        <f>HYPERLINK("http://ts.21cn.com/tousu/show/id/1340742","新橙优品代扣失败导致逾期，并且官方失联")</f>
        <v>新橙优品代扣失败导致逾期，并且官方失联</v>
      </c>
      <c r="C9575" s="2" t="s">
        <v>9</v>
      </c>
      <c r="D9575" s="2" t="s">
        <v>10</v>
      </c>
      <c r="E9575" s="2" t="str">
        <f>HYPERLINK("http://ts.21cn.com/tousu/show/id/1340742","http://ts.21cn.com/tousu/show/id/1340742")</f>
        <v>http://ts.21cn.com/tousu/show/id/1340742</v>
      </c>
      <c r="F9575" s="2" t="s">
        <v>11</v>
      </c>
      <c r="G9575" s="2" t="s">
        <v>25332</v>
      </c>
      <c r="H9575" s="2" t="s">
        <v>25333</v>
      </c>
    </row>
    <row r="9576" spans="1:8" ht="25.05" customHeight="1" x14ac:dyDescent="0.25">
      <c r="A9576" s="2" t="s">
        <v>8</v>
      </c>
      <c r="B9576" s="2" t="str">
        <f>HYPERLINK("http://ts.21cn.com/tousu/show/id/1340740","火影帮高利贷砍头息")</f>
        <v>火影帮高利贷砍头息</v>
      </c>
      <c r="C9576" s="2" t="s">
        <v>34</v>
      </c>
      <c r="D9576" s="2" t="s">
        <v>10</v>
      </c>
      <c r="E9576" s="2" t="str">
        <f>HYPERLINK("http://ts.21cn.com/tousu/show/id/1340740","http://ts.21cn.com/tousu/show/id/1340740")</f>
        <v>http://ts.21cn.com/tousu/show/id/1340740</v>
      </c>
      <c r="F9576" s="2" t="s">
        <v>11</v>
      </c>
      <c r="G9576" s="2" t="s">
        <v>25330</v>
      </c>
      <c r="H9576" s="2" t="s">
        <v>25331</v>
      </c>
    </row>
    <row r="9577" spans="1:8" ht="25.05" customHeight="1" x14ac:dyDescent="0.25">
      <c r="A9577" s="2" t="s">
        <v>8</v>
      </c>
      <c r="B9577" s="2" t="str">
        <f>HYPERLINK("http://ts.21cn.com/tousu/show/id/1340741","中国银联股份有限公司广东分公司专户08")</f>
        <v>中国银联股份有限公司广东分公司专户08</v>
      </c>
      <c r="C9577" s="2" t="s">
        <v>9</v>
      </c>
      <c r="D9577" s="2" t="s">
        <v>10</v>
      </c>
      <c r="E9577" s="2" t="str">
        <f>HYPERLINK("http://ts.21cn.com/tousu/show/id/1340741","http://ts.21cn.com/tousu/show/id/1340741")</f>
        <v>http://ts.21cn.com/tousu/show/id/1340741</v>
      </c>
      <c r="F9577" s="2" t="s">
        <v>11</v>
      </c>
      <c r="G9577" s="2" t="s">
        <v>25328</v>
      </c>
      <c r="H9577" s="2" t="s">
        <v>25329</v>
      </c>
    </row>
    <row r="9578" spans="1:8" ht="25.05" customHeight="1" x14ac:dyDescent="0.25">
      <c r="A9578" s="2" t="s">
        <v>8</v>
      </c>
      <c r="B9578" s="2" t="str">
        <f>HYPERLINK("http://ts.21cn.com/tousu/show/id/1340743","苏宁商品，扫码支付，查不到订单")</f>
        <v>苏宁商品，扫码支付，查不到订单</v>
      </c>
      <c r="C9578" s="2" t="s">
        <v>34</v>
      </c>
      <c r="D9578" s="2" t="s">
        <v>10</v>
      </c>
      <c r="E9578" s="2" t="str">
        <f>HYPERLINK("http://ts.21cn.com/tousu/show/id/1340743","http://ts.21cn.com/tousu/show/id/1340743")</f>
        <v>http://ts.21cn.com/tousu/show/id/1340743</v>
      </c>
      <c r="F9578" s="2" t="s">
        <v>11</v>
      </c>
      <c r="G9578" s="2" t="s">
        <v>25326</v>
      </c>
      <c r="H9578" s="2" t="s">
        <v>25327</v>
      </c>
    </row>
    <row r="9579" spans="1:8" ht="25.05" customHeight="1" x14ac:dyDescent="0.25">
      <c r="A9579" s="2" t="s">
        <v>8</v>
      </c>
      <c r="B9579" s="2" t="str">
        <f>HYPERLINK("http://ts.21cn.com/tousu/show/id/1340744","95511平安保险伙同平安i贷P2P平台搭售保险，违法获利")</f>
        <v>95511平安保险伙同平安i贷P2P平台搭售保险，违法获利</v>
      </c>
      <c r="C9579" s="2" t="s">
        <v>9</v>
      </c>
      <c r="D9579" s="2" t="s">
        <v>10</v>
      </c>
      <c r="E9579" s="2" t="str">
        <f>HYPERLINK("http://ts.21cn.com/tousu/show/id/1340744","http://ts.21cn.com/tousu/show/id/1340744")</f>
        <v>http://ts.21cn.com/tousu/show/id/1340744</v>
      </c>
      <c r="F9579" s="2" t="s">
        <v>11</v>
      </c>
      <c r="G9579" s="2" t="s">
        <v>25324</v>
      </c>
      <c r="H9579" s="2" t="s">
        <v>25325</v>
      </c>
    </row>
    <row r="9580" spans="1:8" ht="25.05" customHeight="1" x14ac:dyDescent="0.25">
      <c r="A9580" s="2" t="s">
        <v>8</v>
      </c>
      <c r="B9580" s="2" t="str">
        <f>HYPERLINK("http://ts.21cn.com/tousu/show/id/1340745","高德地图app上打车，司机违规收费")</f>
        <v>高德地图app上打车，司机违规收费</v>
      </c>
      <c r="C9580" s="2" t="s">
        <v>9</v>
      </c>
      <c r="D9580" s="2" t="s">
        <v>10</v>
      </c>
      <c r="E9580" s="2" t="str">
        <f>HYPERLINK("http://ts.21cn.com/tousu/show/id/1340745","http://ts.21cn.com/tousu/show/id/1340745")</f>
        <v>http://ts.21cn.com/tousu/show/id/1340745</v>
      </c>
      <c r="F9580" s="2" t="s">
        <v>11</v>
      </c>
      <c r="G9580" s="2" t="s">
        <v>25322</v>
      </c>
      <c r="H9580" s="2" t="s">
        <v>25323</v>
      </c>
    </row>
    <row r="9581" spans="1:8" ht="25.05" customHeight="1" x14ac:dyDescent="0.25">
      <c r="A9581" s="2" t="s">
        <v>8</v>
      </c>
      <c r="B9581" s="2" t="str">
        <f>HYPERLINK("http://ts.21cn.com/tousu/show/id/1340746","无缘无故骚扰支付宝冲话费对象，这种问题从来没见过")</f>
        <v>无缘无故骚扰支付宝冲话费对象，这种问题从来没见过</v>
      </c>
      <c r="C9581" s="2" t="s">
        <v>9</v>
      </c>
      <c r="D9581" s="2" t="s">
        <v>10</v>
      </c>
      <c r="E9581" s="2" t="str">
        <f>HYPERLINK("http://ts.21cn.com/tousu/show/id/1340746","http://ts.21cn.com/tousu/show/id/1340746")</f>
        <v>http://ts.21cn.com/tousu/show/id/1340746</v>
      </c>
      <c r="F9581" s="2" t="s">
        <v>11</v>
      </c>
      <c r="G9581" s="2" t="s">
        <v>25320</v>
      </c>
      <c r="H9581" s="2" t="s">
        <v>25321</v>
      </c>
    </row>
    <row r="9582" spans="1:8" ht="25.05" customHeight="1" x14ac:dyDescent="0.25">
      <c r="A9582" s="2" t="s">
        <v>8</v>
      </c>
      <c r="B9582" s="2" t="str">
        <f>HYPERLINK("http://ts.21cn.com/tousu/show/id/1340747","套路贷高利贷，原来借了8000，每期506，已经还了24期12144元.还有三期")</f>
        <v>套路贷高利贷，原来借了8000，每期506，已经还了24期12144元.还有三期</v>
      </c>
      <c r="C9582" s="2" t="s">
        <v>9</v>
      </c>
      <c r="D9582" s="2" t="s">
        <v>10</v>
      </c>
      <c r="E9582" s="2" t="str">
        <f>HYPERLINK("http://ts.21cn.com/tousu/show/id/1340747","http://ts.21cn.com/tousu/show/id/1340747")</f>
        <v>http://ts.21cn.com/tousu/show/id/1340747</v>
      </c>
      <c r="F9582" s="2" t="s">
        <v>11</v>
      </c>
      <c r="G9582" s="2" t="s">
        <v>25318</v>
      </c>
      <c r="H9582" s="2" t="s">
        <v>25319</v>
      </c>
    </row>
    <row r="9583" spans="1:8" ht="25.05" customHeight="1" x14ac:dyDescent="0.25">
      <c r="A9583" s="2" t="s">
        <v>8</v>
      </c>
      <c r="B9583" s="2" t="str">
        <f>HYPERLINK("http://ts.21cn.com/tousu/show/id/1340748","滴滴出行手机号换绑出问题")</f>
        <v>滴滴出行手机号换绑出问题</v>
      </c>
      <c r="C9583" s="2" t="s">
        <v>34</v>
      </c>
      <c r="D9583" s="2" t="s">
        <v>10</v>
      </c>
      <c r="E9583" s="2" t="str">
        <f>HYPERLINK("http://ts.21cn.com/tousu/show/id/1340748","http://ts.21cn.com/tousu/show/id/1340748")</f>
        <v>http://ts.21cn.com/tousu/show/id/1340748</v>
      </c>
      <c r="F9583" s="2" t="s">
        <v>11</v>
      </c>
      <c r="G9583" s="2" t="s">
        <v>25316</v>
      </c>
      <c r="H9583" s="2" t="s">
        <v>25317</v>
      </c>
    </row>
    <row r="9584" spans="1:8" ht="25.05" customHeight="1" x14ac:dyDescent="0.25">
      <c r="A9584" s="2" t="s">
        <v>8</v>
      </c>
      <c r="B9584" s="2" t="str">
        <f>HYPERLINK("http://ts.21cn.com/tousu/show/id/1340749","退回无故扣费198")</f>
        <v>退回无故扣费198</v>
      </c>
      <c r="C9584" s="2" t="s">
        <v>9</v>
      </c>
      <c r="D9584" s="2" t="s">
        <v>10</v>
      </c>
      <c r="E9584" s="2" t="str">
        <f>HYPERLINK("http://ts.21cn.com/tousu/show/id/1340749","http://ts.21cn.com/tousu/show/id/1340749")</f>
        <v>http://ts.21cn.com/tousu/show/id/1340749</v>
      </c>
      <c r="F9584" s="2" t="s">
        <v>11</v>
      </c>
      <c r="G9584" s="2" t="s">
        <v>25314</v>
      </c>
      <c r="H9584" s="2" t="s">
        <v>25315</v>
      </c>
    </row>
    <row r="9585" spans="1:8" ht="25.05" customHeight="1" x14ac:dyDescent="0.25">
      <c r="A9585" s="2" t="s">
        <v>8</v>
      </c>
      <c r="B9585" s="2" t="str">
        <f>HYPERLINK("http://ts.21cn.com/tousu/show/id/1340750","高利贷")</f>
        <v>高利贷</v>
      </c>
      <c r="C9585" s="2" t="s">
        <v>9</v>
      </c>
      <c r="D9585" s="2" t="s">
        <v>10</v>
      </c>
      <c r="E9585" s="2" t="str">
        <f>HYPERLINK("http://ts.21cn.com/tousu/show/id/1340750","http://ts.21cn.com/tousu/show/id/1340750")</f>
        <v>http://ts.21cn.com/tousu/show/id/1340750</v>
      </c>
      <c r="F9585" s="2" t="s">
        <v>11</v>
      </c>
      <c r="G9585" s="2" t="s">
        <v>25312</v>
      </c>
      <c r="H9585" s="2" t="s">
        <v>25313</v>
      </c>
    </row>
    <row r="9586" spans="1:8" ht="25.05" customHeight="1" x14ac:dyDescent="0.25">
      <c r="A9586" s="2" t="s">
        <v>8</v>
      </c>
      <c r="B9586" s="2" t="str">
        <f>HYPERLINK("http://ts.21cn.com/tousu/show/id/1340724","投诉因淘宝小二严重误判导致货款支付给无诚信买家，所退回的商品严重损坏影响二次销售")</f>
        <v>投诉因淘宝小二严重误判导致货款支付给无诚信买家，所退回的商品严重损坏影响二次销售</v>
      </c>
      <c r="C9586" s="2" t="s">
        <v>9</v>
      </c>
      <c r="D9586" s="2" t="s">
        <v>10</v>
      </c>
      <c r="E9586" s="2" t="str">
        <f>HYPERLINK("http://ts.21cn.com/tousu/show/id/1340724","http://ts.21cn.com/tousu/show/id/1340724")</f>
        <v>http://ts.21cn.com/tousu/show/id/1340724</v>
      </c>
      <c r="F9586" s="2" t="s">
        <v>11</v>
      </c>
      <c r="G9586" s="2" t="s">
        <v>25310</v>
      </c>
      <c r="H9586" s="2" t="s">
        <v>25311</v>
      </c>
    </row>
    <row r="9587" spans="1:8" ht="25.05" customHeight="1" x14ac:dyDescent="0.25">
      <c r="A9587" s="2" t="s">
        <v>8</v>
      </c>
      <c r="B9587" s="2" t="str">
        <f>HYPERLINK("http://ts.21cn.com/tousu/show/id/1340751","钱站变形高利贷")</f>
        <v>钱站变形高利贷</v>
      </c>
      <c r="C9587" s="2" t="s">
        <v>9</v>
      </c>
      <c r="D9587" s="2" t="s">
        <v>10</v>
      </c>
      <c r="E9587" s="2" t="str">
        <f>HYPERLINK("http://ts.21cn.com/tousu/show/id/1340751","http://ts.21cn.com/tousu/show/id/1340751")</f>
        <v>http://ts.21cn.com/tousu/show/id/1340751</v>
      </c>
      <c r="F9587" s="2" t="s">
        <v>11</v>
      </c>
      <c r="G9587" s="2" t="s">
        <v>25308</v>
      </c>
      <c r="H9587" s="2" t="s">
        <v>25309</v>
      </c>
    </row>
    <row r="9588" spans="1:8" ht="25.05" customHeight="1" x14ac:dyDescent="0.25">
      <c r="A9588" s="2" t="s">
        <v>8</v>
      </c>
      <c r="B9588" s="2" t="str">
        <f>HYPERLINK("http://ts.21cn.com/tousu/show/id/1340752","豹子贷无故扣钱不需要还要扣")</f>
        <v>豹子贷无故扣钱不需要还要扣</v>
      </c>
      <c r="C9588" s="2" t="s">
        <v>9</v>
      </c>
      <c r="D9588" s="2" t="s">
        <v>10</v>
      </c>
      <c r="E9588" s="2" t="str">
        <f>HYPERLINK("http://ts.21cn.com/tousu/show/id/1340752","http://ts.21cn.com/tousu/show/id/1340752")</f>
        <v>http://ts.21cn.com/tousu/show/id/1340752</v>
      </c>
      <c r="F9588" s="2" t="s">
        <v>11</v>
      </c>
      <c r="G9588" s="2" t="s">
        <v>25306</v>
      </c>
      <c r="H9588" s="2" t="s">
        <v>25307</v>
      </c>
    </row>
    <row r="9589" spans="1:8" ht="25.05" customHeight="1" x14ac:dyDescent="0.25">
      <c r="A9589" s="2" t="s">
        <v>8</v>
      </c>
      <c r="B9589" s="2" t="str">
        <f>HYPERLINK("http://ts.21cn.com/tousu/show/id/1340753","网贷变相收费")</f>
        <v>网贷变相收费</v>
      </c>
      <c r="C9589" s="2" t="s">
        <v>9</v>
      </c>
      <c r="D9589" s="2" t="s">
        <v>10</v>
      </c>
      <c r="E9589" s="2" t="str">
        <f>HYPERLINK("http://ts.21cn.com/tousu/show/id/1340753","http://ts.21cn.com/tousu/show/id/1340753")</f>
        <v>http://ts.21cn.com/tousu/show/id/1340753</v>
      </c>
      <c r="F9589" s="2" t="s">
        <v>11</v>
      </c>
      <c r="G9589" s="2" t="s">
        <v>25304</v>
      </c>
      <c r="H9589" s="2" t="s">
        <v>25305</v>
      </c>
    </row>
    <row r="9590" spans="1:8" ht="25.05" customHeight="1" x14ac:dyDescent="0.25">
      <c r="A9590" s="2" t="s">
        <v>8</v>
      </c>
      <c r="B9590" s="2" t="str">
        <f>HYPERLINK("http://ts.21cn.com/tousu/show/id/1340754","一天到晚打无数个电话，不是一天不能超过3个电话吗？还跟我的通讯录打。严重骚扰")</f>
        <v>一天到晚打无数个电话，不是一天不能超过3个电话吗？还跟我的通讯录打。严重骚扰</v>
      </c>
      <c r="C9590" s="2" t="s">
        <v>34</v>
      </c>
      <c r="D9590" s="2" t="s">
        <v>10</v>
      </c>
      <c r="E9590" s="2" t="str">
        <f>HYPERLINK("http://ts.21cn.com/tousu/show/id/1340754","http://ts.21cn.com/tousu/show/id/1340754")</f>
        <v>http://ts.21cn.com/tousu/show/id/1340754</v>
      </c>
      <c r="F9590" s="2" t="s">
        <v>11</v>
      </c>
      <c r="G9590" s="2" t="s">
        <v>25302</v>
      </c>
      <c r="H9590" s="2" t="s">
        <v>25303</v>
      </c>
    </row>
    <row r="9591" spans="1:8" ht="25.05" customHeight="1" x14ac:dyDescent="0.25">
      <c r="A9591" s="2" t="s">
        <v>8</v>
      </c>
      <c r="B9591" s="2" t="str">
        <f>HYPERLINK("http://ts.21cn.com/tousu/show/id/1340755","支付宝泄露个人资料，行为影响恶劣")</f>
        <v>支付宝泄露个人资料，行为影响恶劣</v>
      </c>
      <c r="C9591" s="2" t="s">
        <v>9</v>
      </c>
      <c r="D9591" s="2" t="s">
        <v>10</v>
      </c>
      <c r="E9591" s="2" t="str">
        <f>HYPERLINK("http://ts.21cn.com/tousu/show/id/1340755","http://ts.21cn.com/tousu/show/id/1340755")</f>
        <v>http://ts.21cn.com/tousu/show/id/1340755</v>
      </c>
      <c r="F9591" s="2" t="s">
        <v>11</v>
      </c>
      <c r="G9591" s="2" t="s">
        <v>25300</v>
      </c>
      <c r="H9591" s="2" t="s">
        <v>25301</v>
      </c>
    </row>
    <row r="9592" spans="1:8" ht="25.05" customHeight="1" x14ac:dyDescent="0.25">
      <c r="A9592" s="2" t="s">
        <v>8</v>
      </c>
      <c r="B9592" s="2" t="str">
        <f>HYPERLINK("http://ts.21cn.com/tousu/show/id/1340758","胡乱判责，胡乱扣费")</f>
        <v>胡乱判责，胡乱扣费</v>
      </c>
      <c r="C9592" s="2" t="s">
        <v>9</v>
      </c>
      <c r="D9592" s="2" t="s">
        <v>10</v>
      </c>
      <c r="E9592" s="2" t="str">
        <f>HYPERLINK("http://ts.21cn.com/tousu/show/id/1340758","http://ts.21cn.com/tousu/show/id/1340758")</f>
        <v>http://ts.21cn.com/tousu/show/id/1340758</v>
      </c>
      <c r="F9592" s="2" t="s">
        <v>11</v>
      </c>
      <c r="G9592" s="2" t="s">
        <v>25298</v>
      </c>
      <c r="H9592" s="2" t="s">
        <v>25299</v>
      </c>
    </row>
    <row r="9593" spans="1:8" ht="25.05" customHeight="1" x14ac:dyDescent="0.25">
      <c r="A9593" s="2" t="s">
        <v>8</v>
      </c>
      <c r="B9593" s="2" t="str">
        <f>HYPERLINK("http://ts.21cn.com/tousu/show/id/1340757","租车押金迟迟不退")</f>
        <v>租车押金迟迟不退</v>
      </c>
      <c r="C9593" s="2" t="s">
        <v>9</v>
      </c>
      <c r="D9593" s="2" t="s">
        <v>10</v>
      </c>
      <c r="E9593" s="2" t="str">
        <f>HYPERLINK("http://ts.21cn.com/tousu/show/id/1340757","http://ts.21cn.com/tousu/show/id/1340757")</f>
        <v>http://ts.21cn.com/tousu/show/id/1340757</v>
      </c>
      <c r="F9593" s="2" t="s">
        <v>11</v>
      </c>
      <c r="G9593" s="2" t="s">
        <v>25296</v>
      </c>
      <c r="H9593" s="2" t="s">
        <v>25297</v>
      </c>
    </row>
    <row r="9594" spans="1:8" ht="25.05" customHeight="1" x14ac:dyDescent="0.25">
      <c r="A9594" s="2" t="s">
        <v>8</v>
      </c>
      <c r="B9594" s="2" t="str">
        <f>HYPERLINK("http://ts.21cn.com/tousu/show/id/1340759","高利贷套路贷")</f>
        <v>高利贷套路贷</v>
      </c>
      <c r="C9594" s="2" t="s">
        <v>9</v>
      </c>
      <c r="D9594" s="2" t="s">
        <v>10</v>
      </c>
      <c r="E9594" s="2" t="str">
        <f>HYPERLINK("http://ts.21cn.com/tousu/show/id/1340759","http://ts.21cn.com/tousu/show/id/1340759")</f>
        <v>http://ts.21cn.com/tousu/show/id/1340759</v>
      </c>
      <c r="F9594" s="2" t="s">
        <v>11</v>
      </c>
      <c r="G9594" s="2" t="s">
        <v>25294</v>
      </c>
      <c r="H9594" s="2" t="s">
        <v>25295</v>
      </c>
    </row>
    <row r="9595" spans="1:8" ht="25.05" customHeight="1" x14ac:dyDescent="0.25">
      <c r="A9595" s="2" t="s">
        <v>8</v>
      </c>
      <c r="B9595" s="2" t="str">
        <f>HYPERLINK("http://ts.21cn.com/tousu/show/id/1340760","扣费不合理")</f>
        <v>扣费不合理</v>
      </c>
      <c r="C9595" s="2" t="s">
        <v>9</v>
      </c>
      <c r="D9595" s="2" t="s">
        <v>10</v>
      </c>
      <c r="E9595" s="2" t="str">
        <f>HYPERLINK("http://ts.21cn.com/tousu/show/id/1340760","http://ts.21cn.com/tousu/show/id/1340760")</f>
        <v>http://ts.21cn.com/tousu/show/id/1340760</v>
      </c>
      <c r="F9595" s="2" t="s">
        <v>11</v>
      </c>
      <c r="G9595" s="2" t="s">
        <v>25292</v>
      </c>
      <c r="H9595" s="2" t="s">
        <v>25293</v>
      </c>
    </row>
    <row r="9596" spans="1:8" ht="25.05" customHeight="1" x14ac:dyDescent="0.25">
      <c r="A9596" s="2" t="s">
        <v>8</v>
      </c>
      <c r="B9596" s="2" t="str">
        <f>HYPERLINK("http://ts.21cn.com/tousu/show/id/1340761","玖富惠普信息技术有限公司恶意扣款")</f>
        <v>玖富惠普信息技术有限公司恶意扣款</v>
      </c>
      <c r="C9596" s="2" t="s">
        <v>9</v>
      </c>
      <c r="D9596" s="2" t="s">
        <v>10</v>
      </c>
      <c r="E9596" s="2" t="str">
        <f>HYPERLINK("http://ts.21cn.com/tousu/show/id/1340761","http://ts.21cn.com/tousu/show/id/1340761")</f>
        <v>http://ts.21cn.com/tousu/show/id/1340761</v>
      </c>
      <c r="F9596" s="2" t="s">
        <v>11</v>
      </c>
      <c r="G9596" s="2" t="s">
        <v>25290</v>
      </c>
      <c r="H9596" s="2" t="s">
        <v>25291</v>
      </c>
    </row>
    <row r="9597" spans="1:8" ht="25.05" customHeight="1" x14ac:dyDescent="0.25">
      <c r="A9597" s="2" t="s">
        <v>8</v>
      </c>
      <c r="B9597" s="2" t="str">
        <f>HYPERLINK("http://ts.21cn.com/tousu/show/id/1340763","U钱包利率超过百分之45")</f>
        <v>U钱包利率超过百分之45</v>
      </c>
      <c r="C9597" s="2" t="s">
        <v>9</v>
      </c>
      <c r="D9597" s="2" t="s">
        <v>10</v>
      </c>
      <c r="E9597" s="2" t="str">
        <f>HYPERLINK("http://ts.21cn.com/tousu/show/id/1340763","http://ts.21cn.com/tousu/show/id/1340763")</f>
        <v>http://ts.21cn.com/tousu/show/id/1340763</v>
      </c>
      <c r="F9597" s="2" t="s">
        <v>11</v>
      </c>
      <c r="G9597" s="2" t="s">
        <v>25288</v>
      </c>
      <c r="H9597" s="2" t="s">
        <v>25289</v>
      </c>
    </row>
    <row r="9598" spans="1:8" ht="25.05" customHeight="1" x14ac:dyDescent="0.25">
      <c r="A9598" s="2" t="s">
        <v>8</v>
      </c>
      <c r="B9598" s="2" t="str">
        <f>HYPERLINK("http://ts.21cn.com/tousu/show/id/1340764","提现不到账 准备跑路！")</f>
        <v>提现不到账 准备跑路！</v>
      </c>
      <c r="C9598" s="2" t="s">
        <v>9</v>
      </c>
      <c r="D9598" s="2" t="s">
        <v>10</v>
      </c>
      <c r="E9598" s="2" t="str">
        <f>HYPERLINK("http://ts.21cn.com/tousu/show/id/1340764","http://ts.21cn.com/tousu/show/id/1340764")</f>
        <v>http://ts.21cn.com/tousu/show/id/1340764</v>
      </c>
      <c r="F9598" s="2" t="s">
        <v>11</v>
      </c>
      <c r="G9598" s="2" t="s">
        <v>25286</v>
      </c>
      <c r="H9598" s="2" t="s">
        <v>25287</v>
      </c>
    </row>
    <row r="9599" spans="1:8" ht="25.05" customHeight="1" x14ac:dyDescent="0.25">
      <c r="A9599" s="2" t="s">
        <v>8</v>
      </c>
      <c r="B9599" s="2" t="str">
        <f>HYPERLINK("http://ts.21cn.com/tousu/show/id/1340765","新意花，小木钱包高利贷砍头息")</f>
        <v>新意花，小木钱包高利贷砍头息</v>
      </c>
      <c r="C9599" s="2" t="s">
        <v>9</v>
      </c>
      <c r="D9599" s="2" t="s">
        <v>10</v>
      </c>
      <c r="E9599" s="2" t="str">
        <f>HYPERLINK("http://ts.21cn.com/tousu/show/id/1340765","http://ts.21cn.com/tousu/show/id/1340765")</f>
        <v>http://ts.21cn.com/tousu/show/id/1340765</v>
      </c>
      <c r="F9599" s="2" t="s">
        <v>11</v>
      </c>
      <c r="G9599" s="2" t="s">
        <v>25284</v>
      </c>
      <c r="H9599" s="2" t="s">
        <v>25285</v>
      </c>
    </row>
    <row r="9600" spans="1:8" ht="25.05" customHeight="1" x14ac:dyDescent="0.25">
      <c r="A9600" s="2" t="s">
        <v>8</v>
      </c>
      <c r="B9600" s="2" t="str">
        <f>HYPERLINK("http://ts.21cn.com/tousu/show/id/1340767","钱站乱收手续费高额利息乱收逾期费")</f>
        <v>钱站乱收手续费高额利息乱收逾期费</v>
      </c>
      <c r="C9600" s="2" t="s">
        <v>9</v>
      </c>
      <c r="D9600" s="2" t="s">
        <v>10</v>
      </c>
      <c r="E9600" s="2" t="str">
        <f>HYPERLINK("http://ts.21cn.com/tousu/show/id/1340767","http://ts.21cn.com/tousu/show/id/1340767")</f>
        <v>http://ts.21cn.com/tousu/show/id/1340767</v>
      </c>
      <c r="F9600" s="2" t="s">
        <v>11</v>
      </c>
      <c r="G9600" s="2" t="s">
        <v>25282</v>
      </c>
      <c r="H9600" s="2" t="s">
        <v>25283</v>
      </c>
    </row>
    <row r="9601" spans="1:8" ht="25.05" customHeight="1" x14ac:dyDescent="0.25">
      <c r="A9601" s="2" t="s">
        <v>8</v>
      </c>
      <c r="B9601" s="2" t="str">
        <f>HYPERLINK("http://ts.21cn.com/tousu/show/id/1340768","钱站利息过高")</f>
        <v>钱站利息过高</v>
      </c>
      <c r="C9601" s="2" t="s">
        <v>9</v>
      </c>
      <c r="D9601" s="2" t="s">
        <v>10</v>
      </c>
      <c r="E9601" s="2" t="str">
        <f>HYPERLINK("http://ts.21cn.com/tousu/show/id/1340768","http://ts.21cn.com/tousu/show/id/1340768")</f>
        <v>http://ts.21cn.com/tousu/show/id/1340768</v>
      </c>
      <c r="F9601" s="2" t="s">
        <v>11</v>
      </c>
      <c r="G9601" s="2" t="s">
        <v>25280</v>
      </c>
      <c r="H9601" s="2" t="s">
        <v>25281</v>
      </c>
    </row>
    <row r="9602" spans="1:8" ht="25.05" customHeight="1" x14ac:dyDescent="0.25">
      <c r="A9602" s="2" t="s">
        <v>8</v>
      </c>
      <c r="B9602" s="2" t="str">
        <f>HYPERLINK("http://ts.21cn.com/tousu/show/id/1340769","喜鹊快贷平台没逾期就开始暴力爆通讯录催收")</f>
        <v>喜鹊快贷平台没逾期就开始暴力爆通讯录催收</v>
      </c>
      <c r="C9602" s="2" t="s">
        <v>9</v>
      </c>
      <c r="D9602" s="2" t="s">
        <v>10</v>
      </c>
      <c r="E9602" s="2" t="str">
        <f>HYPERLINK("http://ts.21cn.com/tousu/show/id/1340769","http://ts.21cn.com/tousu/show/id/1340769")</f>
        <v>http://ts.21cn.com/tousu/show/id/1340769</v>
      </c>
      <c r="F9602" s="2" t="s">
        <v>11</v>
      </c>
      <c r="G9602" s="2" t="s">
        <v>25278</v>
      </c>
      <c r="H9602" s="2" t="s">
        <v>25279</v>
      </c>
    </row>
    <row r="9603" spans="1:8" ht="25.05" customHeight="1" x14ac:dyDescent="0.25">
      <c r="A9603" s="2" t="s">
        <v>8</v>
      </c>
      <c r="B9603" s="2" t="str">
        <f>HYPERLINK("http://ts.21cn.com/tousu/show/id/1340756","YY花呗企业代拍")</f>
        <v>YY花呗企业代拍</v>
      </c>
      <c r="C9603" s="2" t="s">
        <v>9</v>
      </c>
      <c r="D9603" s="2" t="s">
        <v>10</v>
      </c>
      <c r="E9603" s="2" t="str">
        <f>HYPERLINK("http://ts.21cn.com/tousu/show/id/1340756","http://ts.21cn.com/tousu/show/id/1340756")</f>
        <v>http://ts.21cn.com/tousu/show/id/1340756</v>
      </c>
      <c r="F9603" s="2" t="s">
        <v>11</v>
      </c>
      <c r="G9603" s="2" t="s">
        <v>25276</v>
      </c>
      <c r="H9603" s="2" t="s">
        <v>25277</v>
      </c>
    </row>
    <row r="9604" spans="1:8" ht="25.05" customHeight="1" x14ac:dyDescent="0.25">
      <c r="A9604" s="2" t="s">
        <v>8</v>
      </c>
      <c r="B9604" s="2" t="str">
        <f>HYPERLINK("http://ts.21cn.com/tousu/show/id/1340770","滴滴随意克扣司机劳动成果")</f>
        <v>滴滴随意克扣司机劳动成果</v>
      </c>
      <c r="C9604" s="2" t="s">
        <v>9</v>
      </c>
      <c r="D9604" s="2" t="s">
        <v>10</v>
      </c>
      <c r="E9604" s="2" t="str">
        <f>HYPERLINK("http://ts.21cn.com/tousu/show/id/1340770","http://ts.21cn.com/tousu/show/id/1340770")</f>
        <v>http://ts.21cn.com/tousu/show/id/1340770</v>
      </c>
      <c r="F9604" s="2" t="s">
        <v>11</v>
      </c>
      <c r="G9604" s="2" t="s">
        <v>25274</v>
      </c>
      <c r="H9604" s="2" t="s">
        <v>25275</v>
      </c>
    </row>
    <row r="9605" spans="1:8" ht="25.05" customHeight="1" x14ac:dyDescent="0.25">
      <c r="A9605" s="2" t="s">
        <v>8</v>
      </c>
      <c r="B9605" s="2" t="str">
        <f>HYPERLINK("http://ts.21cn.com/tousu/show/id/1340771","支付宝推脱责任，客服都不处理，这样的行为真的令人火大")</f>
        <v>支付宝推脱责任，客服都不处理，这样的行为真的令人火大</v>
      </c>
      <c r="C9605" s="2" t="s">
        <v>9</v>
      </c>
      <c r="D9605" s="2" t="s">
        <v>10</v>
      </c>
      <c r="E9605" s="2" t="str">
        <f>HYPERLINK("http://ts.21cn.com/tousu/show/id/1340771","http://ts.21cn.com/tousu/show/id/1340771")</f>
        <v>http://ts.21cn.com/tousu/show/id/1340771</v>
      </c>
      <c r="F9605" s="2" t="s">
        <v>11</v>
      </c>
      <c r="G9605" s="2" t="s">
        <v>25272</v>
      </c>
      <c r="H9605" s="2" t="s">
        <v>25273</v>
      </c>
    </row>
    <row r="9606" spans="1:8" ht="25.05" customHeight="1" x14ac:dyDescent="0.25">
      <c r="A9606" s="2" t="s">
        <v>8</v>
      </c>
      <c r="B9606" s="2" t="str">
        <f>HYPERLINK("http://ts.21cn.com/tousu/show/id/1340772","欠债不还，联系不上，言语侮辱")</f>
        <v>欠债不还，联系不上，言语侮辱</v>
      </c>
      <c r="C9606" s="2" t="s">
        <v>9</v>
      </c>
      <c r="D9606" s="2" t="s">
        <v>10</v>
      </c>
      <c r="E9606" s="2" t="str">
        <f>HYPERLINK("http://ts.21cn.com/tousu/show/id/1340772","http://ts.21cn.com/tousu/show/id/1340772")</f>
        <v>http://ts.21cn.com/tousu/show/id/1340772</v>
      </c>
      <c r="F9606" s="2" t="s">
        <v>11</v>
      </c>
      <c r="G9606" s="2" t="s">
        <v>25270</v>
      </c>
      <c r="H9606" s="2" t="s">
        <v>25271</v>
      </c>
    </row>
    <row r="9607" spans="1:8" ht="25.05" customHeight="1" x14ac:dyDescent="0.25">
      <c r="A9607" s="2" t="s">
        <v>8</v>
      </c>
      <c r="B9607" s="2" t="str">
        <f>HYPERLINK("http://ts.21cn.com/tousu/show/id/1340762","95511平安伙同P2P高利贷搭售保险，非法盈利")</f>
        <v>95511平安伙同P2P高利贷搭售保险，非法盈利</v>
      </c>
      <c r="C9607" s="2" t="s">
        <v>9</v>
      </c>
      <c r="D9607" s="2" t="s">
        <v>10</v>
      </c>
      <c r="E9607" s="2" t="str">
        <f>HYPERLINK("http://ts.21cn.com/tousu/show/id/1340762","http://ts.21cn.com/tousu/show/id/1340762")</f>
        <v>http://ts.21cn.com/tousu/show/id/1340762</v>
      </c>
      <c r="F9607" s="2" t="s">
        <v>11</v>
      </c>
      <c r="G9607" s="2" t="s">
        <v>25268</v>
      </c>
      <c r="H9607" s="2" t="s">
        <v>25269</v>
      </c>
    </row>
    <row r="9608" spans="1:8" ht="25.05" customHeight="1" x14ac:dyDescent="0.25">
      <c r="A9608" s="2" t="s">
        <v>8</v>
      </c>
      <c r="B9608" s="2" t="str">
        <f>HYPERLINK("http://ts.21cn.com/tousu/show/id/1340773","盗刷，不明扣款，解释，退款")</f>
        <v>盗刷，不明扣款，解释，退款</v>
      </c>
      <c r="C9608" s="2" t="s">
        <v>9</v>
      </c>
      <c r="D9608" s="2" t="s">
        <v>10</v>
      </c>
      <c r="E9608" s="2" t="str">
        <f>HYPERLINK("http://ts.21cn.com/tousu/show/id/1340773","http://ts.21cn.com/tousu/show/id/1340773")</f>
        <v>http://ts.21cn.com/tousu/show/id/1340773</v>
      </c>
      <c r="F9608" s="2" t="s">
        <v>11</v>
      </c>
      <c r="G9608" s="2" t="s">
        <v>25266</v>
      </c>
      <c r="H9608" s="2" t="s">
        <v>25267</v>
      </c>
    </row>
    <row r="9609" spans="1:8" ht="25.05" customHeight="1" x14ac:dyDescent="0.25">
      <c r="A9609" s="2" t="s">
        <v>8</v>
      </c>
      <c r="B9609" s="2" t="str">
        <f>HYPERLINK("http://ts.21cn.com/tousu/show/id/1340775","信用管家属于高利贷，还暴力催收！")</f>
        <v>信用管家属于高利贷，还暴力催收！</v>
      </c>
      <c r="C9609" s="2" t="s">
        <v>9</v>
      </c>
      <c r="D9609" s="2" t="s">
        <v>10</v>
      </c>
      <c r="E9609" s="2" t="str">
        <f>HYPERLINK("http://ts.21cn.com/tousu/show/id/1340775","http://ts.21cn.com/tousu/show/id/1340775")</f>
        <v>http://ts.21cn.com/tousu/show/id/1340775</v>
      </c>
      <c r="F9609" s="2" t="s">
        <v>11</v>
      </c>
      <c r="G9609" s="2" t="s">
        <v>25264</v>
      </c>
      <c r="H9609" s="2" t="s">
        <v>25265</v>
      </c>
    </row>
    <row r="9610" spans="1:8" ht="25.05" customHeight="1" x14ac:dyDescent="0.25">
      <c r="A9610" s="2" t="s">
        <v>8</v>
      </c>
      <c r="B9610" s="2" t="str">
        <f>HYPERLINK("http://ts.21cn.com/tousu/show/id/1340776","滴滴客服无法为司机解决问题")</f>
        <v>滴滴客服无法为司机解决问题</v>
      </c>
      <c r="C9610" s="2" t="s">
        <v>9</v>
      </c>
      <c r="D9610" s="2" t="s">
        <v>10</v>
      </c>
      <c r="E9610" s="2" t="str">
        <f>HYPERLINK("http://ts.21cn.com/tousu/show/id/1340776","http://ts.21cn.com/tousu/show/id/1340776")</f>
        <v>http://ts.21cn.com/tousu/show/id/1340776</v>
      </c>
      <c r="F9610" s="2" t="s">
        <v>11</v>
      </c>
      <c r="G9610" s="2" t="s">
        <v>25262</v>
      </c>
      <c r="H9610" s="2" t="s">
        <v>25263</v>
      </c>
    </row>
    <row r="9611" spans="1:8" ht="25.05" customHeight="1" x14ac:dyDescent="0.25">
      <c r="A9611" s="2" t="s">
        <v>8</v>
      </c>
      <c r="B9611" s="2" t="str">
        <f>HYPERLINK("http://ts.21cn.com/tousu/show/id/1340779","c5game饰品网站红锁赔偿不合理")</f>
        <v>c5game饰品网站红锁赔偿不合理</v>
      </c>
      <c r="C9611" s="2" t="s">
        <v>9</v>
      </c>
      <c r="D9611" s="2" t="s">
        <v>10</v>
      </c>
      <c r="E9611" s="2" t="str">
        <f>HYPERLINK("http://ts.21cn.com/tousu/show/id/1340779","http://ts.21cn.com/tousu/show/id/1340779")</f>
        <v>http://ts.21cn.com/tousu/show/id/1340779</v>
      </c>
      <c r="F9611" s="2" t="s">
        <v>11</v>
      </c>
      <c r="G9611" s="2" t="s">
        <v>25260</v>
      </c>
      <c r="H9611" s="2" t="s">
        <v>25261</v>
      </c>
    </row>
    <row r="9612" spans="1:8" ht="25.05" customHeight="1" x14ac:dyDescent="0.25">
      <c r="A9612" s="2" t="s">
        <v>8</v>
      </c>
      <c r="B9612" s="2" t="str">
        <f>HYPERLINK("http://ts.21cn.com/tousu/show/id/1340780","卧龙钱包高利贷")</f>
        <v>卧龙钱包高利贷</v>
      </c>
      <c r="C9612" s="2" t="s">
        <v>9</v>
      </c>
      <c r="D9612" s="2" t="s">
        <v>10</v>
      </c>
      <c r="E9612" s="2" t="str">
        <f>HYPERLINK("http://ts.21cn.com/tousu/show/id/1340780","http://ts.21cn.com/tousu/show/id/1340780")</f>
        <v>http://ts.21cn.com/tousu/show/id/1340780</v>
      </c>
      <c r="F9612" s="2" t="s">
        <v>11</v>
      </c>
      <c r="G9612" s="2" t="s">
        <v>25258</v>
      </c>
      <c r="H9612" s="2" t="s">
        <v>25259</v>
      </c>
    </row>
    <row r="9613" spans="1:8" ht="25.05" customHeight="1" x14ac:dyDescent="0.25">
      <c r="A9613" s="2" t="s">
        <v>8</v>
      </c>
      <c r="B9613" s="2" t="str">
        <f>HYPERLINK("http://ts.21cn.com/tousu/show/id/1340781","苏宁易购以答谢老客户名推销不符合市场价格的净水器")</f>
        <v>苏宁易购以答谢老客户名推销不符合市场价格的净水器</v>
      </c>
      <c r="C9613" s="2" t="s">
        <v>9</v>
      </c>
      <c r="D9613" s="2" t="s">
        <v>10</v>
      </c>
      <c r="E9613" s="2" t="str">
        <f>HYPERLINK("http://ts.21cn.com/tousu/show/id/1340781","http://ts.21cn.com/tousu/show/id/1340781")</f>
        <v>http://ts.21cn.com/tousu/show/id/1340781</v>
      </c>
      <c r="F9613" s="2" t="s">
        <v>11</v>
      </c>
      <c r="G9613" s="2" t="s">
        <v>25256</v>
      </c>
      <c r="H9613" s="2" t="s">
        <v>25257</v>
      </c>
    </row>
    <row r="9614" spans="1:8" ht="25.05" customHeight="1" x14ac:dyDescent="0.25">
      <c r="A9614" s="2" t="s">
        <v>8</v>
      </c>
      <c r="B9614" s="2" t="str">
        <f>HYPERLINK("http://ts.21cn.com/tousu/show/id/1340782","智行铂金会员不能退订")</f>
        <v>智行铂金会员不能退订</v>
      </c>
      <c r="C9614" s="2" t="s">
        <v>9</v>
      </c>
      <c r="D9614" s="2" t="s">
        <v>10</v>
      </c>
      <c r="E9614" s="2" t="str">
        <f>HYPERLINK("http://ts.21cn.com/tousu/show/id/1340782","http://ts.21cn.com/tousu/show/id/1340782")</f>
        <v>http://ts.21cn.com/tousu/show/id/1340782</v>
      </c>
      <c r="F9614" s="2" t="s">
        <v>11</v>
      </c>
      <c r="G9614" s="2" t="s">
        <v>25254</v>
      </c>
      <c r="H9614" s="2" t="s">
        <v>25255</v>
      </c>
    </row>
    <row r="9615" spans="1:8" ht="25.05" customHeight="1" x14ac:dyDescent="0.25">
      <c r="A9615" s="2" t="s">
        <v>8</v>
      </c>
      <c r="B9615" s="2" t="str">
        <f>HYPERLINK("http://ts.21cn.com/tousu/show/id/1340784","蚂蚁借呗平台委托的第三方催收平台不给协商的余地，要上门来找人")</f>
        <v>蚂蚁借呗平台委托的第三方催收平台不给协商的余地，要上门来找人</v>
      </c>
      <c r="C9615" s="2" t="s">
        <v>9</v>
      </c>
      <c r="D9615" s="2" t="s">
        <v>10</v>
      </c>
      <c r="E9615" s="2" t="str">
        <f>HYPERLINK("http://ts.21cn.com/tousu/show/id/1340784","http://ts.21cn.com/tousu/show/id/1340784")</f>
        <v>http://ts.21cn.com/tousu/show/id/1340784</v>
      </c>
      <c r="F9615" s="2" t="s">
        <v>11</v>
      </c>
      <c r="G9615" s="2" t="s">
        <v>25252</v>
      </c>
      <c r="H9615" s="2" t="s">
        <v>25253</v>
      </c>
    </row>
    <row r="9616" spans="1:8" ht="25.05" customHeight="1" x14ac:dyDescent="0.25">
      <c r="A9616" s="2" t="s">
        <v>8</v>
      </c>
      <c r="B9616" s="2" t="str">
        <f>HYPERLINK("http://ts.21cn.com/tousu/show/id/1340785","滴滴无缘无故限制派单只接男不接女")</f>
        <v>滴滴无缘无故限制派单只接男不接女</v>
      </c>
      <c r="C9616" s="2" t="s">
        <v>9</v>
      </c>
      <c r="D9616" s="2" t="s">
        <v>10</v>
      </c>
      <c r="E9616" s="2" t="str">
        <f>HYPERLINK("http://ts.21cn.com/tousu/show/id/1340785","http://ts.21cn.com/tousu/show/id/1340785")</f>
        <v>http://ts.21cn.com/tousu/show/id/1340785</v>
      </c>
      <c r="F9616" s="2" t="s">
        <v>11</v>
      </c>
      <c r="G9616" s="2" t="s">
        <v>25250</v>
      </c>
      <c r="H9616" s="2" t="s">
        <v>25251</v>
      </c>
    </row>
    <row r="9617" spans="1:8" ht="25.05" customHeight="1" x14ac:dyDescent="0.25">
      <c r="A9617" s="2" t="s">
        <v>8</v>
      </c>
      <c r="B9617" s="2" t="str">
        <f>HYPERLINK("http://ts.21cn.com/tousu/show/id/1340789","小浦优客未经同意扣款")</f>
        <v>小浦优客未经同意扣款</v>
      </c>
      <c r="C9617" s="2" t="s">
        <v>9</v>
      </c>
      <c r="D9617" s="2" t="s">
        <v>10</v>
      </c>
      <c r="E9617" s="2" t="str">
        <f>HYPERLINK("http://ts.21cn.com/tousu/show/id/1340789","http://ts.21cn.com/tousu/show/id/1340789")</f>
        <v>http://ts.21cn.com/tousu/show/id/1340789</v>
      </c>
      <c r="F9617" s="2" t="s">
        <v>11</v>
      </c>
      <c r="G9617" s="2" t="s">
        <v>25248</v>
      </c>
      <c r="H9617" s="2" t="s">
        <v>25249</v>
      </c>
    </row>
    <row r="9618" spans="1:8" ht="25.05" customHeight="1" x14ac:dyDescent="0.25">
      <c r="A9618" s="2" t="s">
        <v>8</v>
      </c>
      <c r="B9618" s="2" t="str">
        <f>HYPERLINK("http://ts.21cn.com/tousu/show/id/1340778","腾讯视频插播广告有误导消费者")</f>
        <v>腾讯视频插播广告有误导消费者</v>
      </c>
      <c r="C9618" s="2" t="s">
        <v>9</v>
      </c>
      <c r="D9618" s="2" t="s">
        <v>10</v>
      </c>
      <c r="E9618" s="2" t="str">
        <f>HYPERLINK("http://ts.21cn.com/tousu/show/id/1340778","http://ts.21cn.com/tousu/show/id/1340778")</f>
        <v>http://ts.21cn.com/tousu/show/id/1340778</v>
      </c>
      <c r="F9618" s="2" t="s">
        <v>11</v>
      </c>
      <c r="G9618" s="2" t="s">
        <v>25246</v>
      </c>
      <c r="H9618" s="2" t="s">
        <v>25247</v>
      </c>
    </row>
    <row r="9619" spans="1:8" ht="25.05" customHeight="1" x14ac:dyDescent="0.25">
      <c r="A9619" s="2" t="s">
        <v>8</v>
      </c>
      <c r="B9619" s="2" t="str">
        <f>HYPERLINK("http://ts.21cn.com/tousu/show/id/1340783","同程艺龙")</f>
        <v>同程艺龙</v>
      </c>
      <c r="C9619" s="2" t="s">
        <v>9</v>
      </c>
      <c r="D9619" s="2" t="s">
        <v>10</v>
      </c>
      <c r="E9619" s="2" t="str">
        <f>HYPERLINK("http://ts.21cn.com/tousu/show/id/1340783","http://ts.21cn.com/tousu/show/id/1340783")</f>
        <v>http://ts.21cn.com/tousu/show/id/1340783</v>
      </c>
      <c r="F9619" s="2" t="s">
        <v>11</v>
      </c>
      <c r="G9619" s="2" t="s">
        <v>25244</v>
      </c>
      <c r="H9619" s="2" t="s">
        <v>25245</v>
      </c>
    </row>
    <row r="9620" spans="1:8" ht="25.05" customHeight="1" x14ac:dyDescent="0.25">
      <c r="A9620" s="2" t="s">
        <v>8</v>
      </c>
      <c r="B9620" s="2" t="str">
        <f>HYPERLINK("http://ts.21cn.com/tousu/show/id/1340790","无良滴滴冻结订单金额")</f>
        <v>无良滴滴冻结订单金额</v>
      </c>
      <c r="C9620" s="2" t="s">
        <v>9</v>
      </c>
      <c r="D9620" s="2" t="s">
        <v>10</v>
      </c>
      <c r="E9620" s="2" t="str">
        <f>HYPERLINK("http://ts.21cn.com/tousu/show/id/1340790","http://ts.21cn.com/tousu/show/id/1340790")</f>
        <v>http://ts.21cn.com/tousu/show/id/1340790</v>
      </c>
      <c r="F9620" s="2" t="s">
        <v>11</v>
      </c>
      <c r="G9620" s="2" t="s">
        <v>25242</v>
      </c>
      <c r="H9620" s="2" t="s">
        <v>25243</v>
      </c>
    </row>
    <row r="9621" spans="1:8" ht="25.05" customHeight="1" x14ac:dyDescent="0.25">
      <c r="A9621" s="2" t="s">
        <v>8</v>
      </c>
      <c r="B9621" s="2" t="str">
        <f>HYPERLINK("http://ts.21cn.com/tousu/show/id/1340792","读秒利息过高")</f>
        <v>读秒利息过高</v>
      </c>
      <c r="C9621" s="2" t="s">
        <v>9</v>
      </c>
      <c r="D9621" s="2" t="s">
        <v>10</v>
      </c>
      <c r="E9621" s="2" t="str">
        <f>HYPERLINK("http://ts.21cn.com/tousu/show/id/1340792","http://ts.21cn.com/tousu/show/id/1340792")</f>
        <v>http://ts.21cn.com/tousu/show/id/1340792</v>
      </c>
      <c r="F9621" s="2" t="s">
        <v>11</v>
      </c>
      <c r="G9621" s="2" t="s">
        <v>25240</v>
      </c>
      <c r="H9621" s="2" t="s">
        <v>25241</v>
      </c>
    </row>
    <row r="9622" spans="1:8" ht="25.05" customHeight="1" x14ac:dyDescent="0.25">
      <c r="A9622" s="2" t="s">
        <v>8</v>
      </c>
      <c r="B9622" s="2" t="str">
        <f>HYPERLINK("http://ts.21cn.com/tousu/show/id/1340793","贷上钱公司暴力催收，恶意骚扰通讯录")</f>
        <v>贷上钱公司暴力催收，恶意骚扰通讯录</v>
      </c>
      <c r="C9622" s="2" t="s">
        <v>9</v>
      </c>
      <c r="D9622" s="2" t="s">
        <v>10</v>
      </c>
      <c r="E9622" s="2" t="str">
        <f>HYPERLINK("http://ts.21cn.com/tousu/show/id/1340793","http://ts.21cn.com/tousu/show/id/1340793")</f>
        <v>http://ts.21cn.com/tousu/show/id/1340793</v>
      </c>
      <c r="F9622" s="2" t="s">
        <v>11</v>
      </c>
      <c r="G9622" s="2" t="s">
        <v>25238</v>
      </c>
      <c r="H9622" s="2" t="s">
        <v>25239</v>
      </c>
    </row>
    <row r="9623" spans="1:8" ht="25.05" customHeight="1" x14ac:dyDescent="0.25">
      <c r="A9623" s="2" t="s">
        <v>8</v>
      </c>
      <c r="B9623" s="2" t="str">
        <f>HYPERLINK("http://ts.21cn.com/tousu/show/id/1340794","租租鱼平台虚假宣传霸王条款，性质恶劣")</f>
        <v>租租鱼平台虚假宣传霸王条款，性质恶劣</v>
      </c>
      <c r="C9623" s="2" t="s">
        <v>9</v>
      </c>
      <c r="D9623" s="2" t="s">
        <v>10</v>
      </c>
      <c r="E9623" s="2" t="str">
        <f>HYPERLINK("http://ts.21cn.com/tousu/show/id/1340794","http://ts.21cn.com/tousu/show/id/1340794")</f>
        <v>http://ts.21cn.com/tousu/show/id/1340794</v>
      </c>
      <c r="F9623" s="2" t="s">
        <v>11</v>
      </c>
      <c r="G9623" s="2" t="s">
        <v>25236</v>
      </c>
      <c r="H9623" s="2" t="s">
        <v>25237</v>
      </c>
    </row>
    <row r="9624" spans="1:8" ht="25.05" customHeight="1" x14ac:dyDescent="0.25">
      <c r="A9624" s="2" t="s">
        <v>8</v>
      </c>
      <c r="B9624" s="2" t="str">
        <f>HYPERLINK("http://ts.21cn.com/tousu/show/id/1340795","暴力催收")</f>
        <v>暴力催收</v>
      </c>
      <c r="C9624" s="2" t="s">
        <v>9</v>
      </c>
      <c r="D9624" s="2" t="s">
        <v>10</v>
      </c>
      <c r="E9624" s="2" t="str">
        <f>HYPERLINK("http://ts.21cn.com/tousu/show/id/1340795","http://ts.21cn.com/tousu/show/id/1340795")</f>
        <v>http://ts.21cn.com/tousu/show/id/1340795</v>
      </c>
      <c r="F9624" s="2" t="s">
        <v>11</v>
      </c>
      <c r="G9624" s="2" t="s">
        <v>25234</v>
      </c>
      <c r="H9624" s="2" t="s">
        <v>25235</v>
      </c>
    </row>
    <row r="9625" spans="1:8" ht="25.05" customHeight="1" x14ac:dyDescent="0.25">
      <c r="A9625" s="2" t="s">
        <v>8</v>
      </c>
      <c r="B9625" s="2" t="str">
        <f>HYPERLINK("http://ts.21cn.com/tousu/show/id/1340797","投诉信用管家")</f>
        <v>投诉信用管家</v>
      </c>
      <c r="C9625" s="2" t="s">
        <v>9</v>
      </c>
      <c r="D9625" s="2" t="s">
        <v>10</v>
      </c>
      <c r="E9625" s="2" t="str">
        <f>HYPERLINK("http://ts.21cn.com/tousu/show/id/1340797","http://ts.21cn.com/tousu/show/id/1340797")</f>
        <v>http://ts.21cn.com/tousu/show/id/1340797</v>
      </c>
      <c r="F9625" s="2" t="s">
        <v>11</v>
      </c>
      <c r="G9625" s="2" t="s">
        <v>25232</v>
      </c>
      <c r="H9625" s="2" t="s">
        <v>25233</v>
      </c>
    </row>
    <row r="9626" spans="1:8" ht="25.05" customHeight="1" x14ac:dyDescent="0.25">
      <c r="A9626" s="2" t="s">
        <v>8</v>
      </c>
      <c r="B9626" s="2" t="str">
        <f>HYPERLINK("http://ts.21cn.com/tousu/show/id/1340798","滴滴申诉渠道毫无人性")</f>
        <v>滴滴申诉渠道毫无人性</v>
      </c>
      <c r="C9626" s="2" t="s">
        <v>9</v>
      </c>
      <c r="D9626" s="2" t="s">
        <v>10</v>
      </c>
      <c r="E9626" s="2" t="str">
        <f>HYPERLINK("http://ts.21cn.com/tousu/show/id/1340798","http://ts.21cn.com/tousu/show/id/1340798")</f>
        <v>http://ts.21cn.com/tousu/show/id/1340798</v>
      </c>
      <c r="F9626" s="2" t="s">
        <v>11</v>
      </c>
      <c r="G9626" s="2" t="s">
        <v>25230</v>
      </c>
      <c r="H9626" s="2" t="s">
        <v>25231</v>
      </c>
    </row>
    <row r="9627" spans="1:8" ht="25.05" customHeight="1" x14ac:dyDescent="0.25">
      <c r="A9627" s="2" t="s">
        <v>8</v>
      </c>
      <c r="B9627" s="2" t="str">
        <f>HYPERLINK("http://ts.21cn.com/tousu/show/id/1340799","app乱扣钱")</f>
        <v>app乱扣钱</v>
      </c>
      <c r="C9627" s="2" t="s">
        <v>9</v>
      </c>
      <c r="D9627" s="2" t="s">
        <v>10</v>
      </c>
      <c r="E9627" s="2" t="str">
        <f>HYPERLINK("http://ts.21cn.com/tousu/show/id/1340799","http://ts.21cn.com/tousu/show/id/1340799")</f>
        <v>http://ts.21cn.com/tousu/show/id/1340799</v>
      </c>
      <c r="F9627" s="2" t="s">
        <v>11</v>
      </c>
      <c r="G9627" s="2" t="s">
        <v>25228</v>
      </c>
      <c r="H9627" s="2" t="s">
        <v>25229</v>
      </c>
    </row>
    <row r="9628" spans="1:8" ht="25.05" customHeight="1" x14ac:dyDescent="0.25">
      <c r="A9628" s="2" t="s">
        <v>8</v>
      </c>
      <c r="B9628" s="2" t="str">
        <f>HYPERLINK("http://ts.21cn.com/tousu/show/id/1340800","因被第三方暴力催收欠款导致本人在经受恐吓和骚扰的同时病情加重")</f>
        <v>因被第三方暴力催收欠款导致本人在经受恐吓和骚扰的同时病情加重</v>
      </c>
      <c r="C9628" s="2" t="s">
        <v>9</v>
      </c>
      <c r="D9628" s="2" t="s">
        <v>10</v>
      </c>
      <c r="E9628" s="2" t="str">
        <f>HYPERLINK("http://ts.21cn.com/tousu/show/id/1340800","http://ts.21cn.com/tousu/show/id/1340800")</f>
        <v>http://ts.21cn.com/tousu/show/id/1340800</v>
      </c>
      <c r="F9628" s="2" t="s">
        <v>11</v>
      </c>
      <c r="G9628" s="2" t="s">
        <v>25226</v>
      </c>
      <c r="H9628" s="2" t="s">
        <v>25227</v>
      </c>
    </row>
    <row r="9629" spans="1:8" ht="25.05" customHeight="1" x14ac:dyDescent="0.25">
      <c r="A9629" s="2" t="s">
        <v>8</v>
      </c>
      <c r="B9629" s="2" t="str">
        <f>HYPERLINK("http://ts.21cn.com/tousu/show/id/1340788","乐刷快pos150元")</f>
        <v>乐刷快pos150元</v>
      </c>
      <c r="C9629" s="2" t="s">
        <v>9</v>
      </c>
      <c r="D9629" s="2" t="s">
        <v>10</v>
      </c>
      <c r="E9629" s="2" t="str">
        <f>HYPERLINK("http://ts.21cn.com/tousu/show/id/1340788","http://ts.21cn.com/tousu/show/id/1340788")</f>
        <v>http://ts.21cn.com/tousu/show/id/1340788</v>
      </c>
      <c r="F9629" s="2" t="s">
        <v>11</v>
      </c>
      <c r="G9629" s="2" t="s">
        <v>25224</v>
      </c>
      <c r="H9629" s="2" t="s">
        <v>25225</v>
      </c>
    </row>
    <row r="9630" spans="1:8" ht="25.05" customHeight="1" x14ac:dyDescent="0.25">
      <c r="A9630" s="2" t="s">
        <v>8</v>
      </c>
      <c r="B9630" s="2" t="str">
        <f>HYPERLINK("http://ts.21cn.com/tousu/show/id/1340801","恶意诱导贷款开通VIP")</f>
        <v>恶意诱导贷款开通VIP</v>
      </c>
      <c r="C9630" s="2" t="s">
        <v>9</v>
      </c>
      <c r="D9630" s="2" t="s">
        <v>10</v>
      </c>
      <c r="E9630" s="2" t="str">
        <f>HYPERLINK("http://ts.21cn.com/tousu/show/id/1340801","http://ts.21cn.com/tousu/show/id/1340801")</f>
        <v>http://ts.21cn.com/tousu/show/id/1340801</v>
      </c>
      <c r="F9630" s="2" t="s">
        <v>11</v>
      </c>
      <c r="G9630" s="2" t="s">
        <v>25221</v>
      </c>
      <c r="H9630" s="2" t="s">
        <v>25222</v>
      </c>
    </row>
    <row r="9631" spans="1:8" ht="25.05" customHeight="1" x14ac:dyDescent="0.25">
      <c r="A9631" s="2" t="s">
        <v>8</v>
      </c>
      <c r="B9631" s="2" t="str">
        <f>HYPERLINK("http://ts.21cn.com/tousu/show/id/1340791","误导消费者，在我未知情况下增加加速包")</f>
        <v>误导消费者，在我未知情况下增加加速包</v>
      </c>
      <c r="C9631" s="2" t="s">
        <v>9</v>
      </c>
      <c r="D9631" s="2" t="s">
        <v>10</v>
      </c>
      <c r="E9631" s="2" t="str">
        <f>HYPERLINK("http://ts.21cn.com/tousu/show/id/1340791","http://ts.21cn.com/tousu/show/id/1340791")</f>
        <v>http://ts.21cn.com/tousu/show/id/1340791</v>
      </c>
      <c r="F9631" s="2" t="s">
        <v>11</v>
      </c>
      <c r="G9631" s="2" t="s">
        <v>25221</v>
      </c>
      <c r="H9631" s="2" t="s">
        <v>25223</v>
      </c>
    </row>
    <row r="9632" spans="1:8" ht="25.05" customHeight="1" x14ac:dyDescent="0.25">
      <c r="A9632" s="2" t="s">
        <v>8</v>
      </c>
      <c r="B9632" s="2" t="str">
        <f>HYPERLINK("http://ts.21cn.com/tousu/show/id/1340802","滴滴出行车证不给验真通过")</f>
        <v>滴滴出行车证不给验真通过</v>
      </c>
      <c r="C9632" s="2" t="s">
        <v>9</v>
      </c>
      <c r="D9632" s="2" t="s">
        <v>10</v>
      </c>
      <c r="E9632" s="2" t="str">
        <f>HYPERLINK("http://ts.21cn.com/tousu/show/id/1340802","http://ts.21cn.com/tousu/show/id/1340802")</f>
        <v>http://ts.21cn.com/tousu/show/id/1340802</v>
      </c>
      <c r="F9632" s="2" t="s">
        <v>11</v>
      </c>
      <c r="G9632" s="2" t="s">
        <v>25219</v>
      </c>
      <c r="H9632" s="2" t="s">
        <v>25220</v>
      </c>
    </row>
    <row r="9633" spans="1:8" ht="25.05" customHeight="1" x14ac:dyDescent="0.25">
      <c r="A9633" s="2" t="s">
        <v>8</v>
      </c>
      <c r="B9633" s="2" t="str">
        <f>HYPERLINK("http://ts.21cn.com/tousu/show/id/1340803","爱又米综合费用超过百分之36同和支付宝一起联合线上支付通道，收取高额服务费，信审费")</f>
        <v>爱又米综合费用超过百分之36同和支付宝一起联合线上支付通道，收取高额服务费，信审费</v>
      </c>
      <c r="C9633" s="2" t="s">
        <v>9</v>
      </c>
      <c r="D9633" s="2" t="s">
        <v>10</v>
      </c>
      <c r="E9633" s="2" t="str">
        <f>HYPERLINK("http://ts.21cn.com/tousu/show/id/1340803","http://ts.21cn.com/tousu/show/id/1340803")</f>
        <v>http://ts.21cn.com/tousu/show/id/1340803</v>
      </c>
      <c r="F9633" s="2" t="s">
        <v>11</v>
      </c>
      <c r="G9633" s="2" t="s">
        <v>25217</v>
      </c>
      <c r="H9633" s="2" t="s">
        <v>25218</v>
      </c>
    </row>
    <row r="9634" spans="1:8" ht="25.05" customHeight="1" x14ac:dyDescent="0.25">
      <c r="A9634" s="2" t="s">
        <v>8</v>
      </c>
      <c r="B9634" s="2" t="str">
        <f>HYPERLINK("http://ts.21cn.com/tousu/show/id/1340804","每天催款头疼")</f>
        <v>每天催款头疼</v>
      </c>
      <c r="C9634" s="2" t="s">
        <v>9</v>
      </c>
      <c r="D9634" s="2" t="s">
        <v>10</v>
      </c>
      <c r="E9634" s="2" t="str">
        <f>HYPERLINK("http://ts.21cn.com/tousu/show/id/1340804","http://ts.21cn.com/tousu/show/id/1340804")</f>
        <v>http://ts.21cn.com/tousu/show/id/1340804</v>
      </c>
      <c r="F9634" s="2" t="s">
        <v>11</v>
      </c>
      <c r="G9634" s="2" t="s">
        <v>25215</v>
      </c>
      <c r="H9634" s="2" t="s">
        <v>25216</v>
      </c>
    </row>
    <row r="9635" spans="1:8" ht="25.05" customHeight="1" x14ac:dyDescent="0.25">
      <c r="A9635" s="2" t="s">
        <v>8</v>
      </c>
      <c r="B9635" s="2" t="str">
        <f>HYPERLINK("http://ts.21cn.com/tousu/show/id/1340805","51人品贷利率过高")</f>
        <v>51人品贷利率过高</v>
      </c>
      <c r="C9635" s="2" t="s">
        <v>9</v>
      </c>
      <c r="D9635" s="2" t="s">
        <v>10</v>
      </c>
      <c r="E9635" s="2" t="str">
        <f>HYPERLINK("http://ts.21cn.com/tousu/show/id/1340805","http://ts.21cn.com/tousu/show/id/1340805")</f>
        <v>http://ts.21cn.com/tousu/show/id/1340805</v>
      </c>
      <c r="F9635" s="2" t="s">
        <v>11</v>
      </c>
      <c r="G9635" s="2" t="s">
        <v>25213</v>
      </c>
      <c r="H9635" s="2" t="s">
        <v>25214</v>
      </c>
    </row>
    <row r="9636" spans="1:8" ht="25.05" customHeight="1" x14ac:dyDescent="0.25">
      <c r="A9636" s="2" t="s">
        <v>8</v>
      </c>
      <c r="B9636" s="2" t="str">
        <f>HYPERLINK("http://ts.21cn.com/tousu/show/id/1340806","滴滴恶意针对不涨服务分")</f>
        <v>滴滴恶意针对不涨服务分</v>
      </c>
      <c r="C9636" s="2" t="s">
        <v>9</v>
      </c>
      <c r="D9636" s="2" t="s">
        <v>10</v>
      </c>
      <c r="E9636" s="2" t="str">
        <f>HYPERLINK("http://ts.21cn.com/tousu/show/id/1340806","http://ts.21cn.com/tousu/show/id/1340806")</f>
        <v>http://ts.21cn.com/tousu/show/id/1340806</v>
      </c>
      <c r="F9636" s="2" t="s">
        <v>11</v>
      </c>
      <c r="G9636" s="2" t="s">
        <v>25211</v>
      </c>
      <c r="H9636" s="2" t="s">
        <v>25212</v>
      </c>
    </row>
    <row r="9637" spans="1:8" ht="25.05" customHeight="1" x14ac:dyDescent="0.25">
      <c r="A9637" s="2" t="s">
        <v>8</v>
      </c>
      <c r="B9637" s="2" t="str">
        <f>HYPERLINK("http://ts.21cn.com/tousu/show/id/1340807","投诉海风教育公司")</f>
        <v>投诉海风教育公司</v>
      </c>
      <c r="C9637" s="2" t="s">
        <v>9</v>
      </c>
      <c r="D9637" s="2" t="s">
        <v>10</v>
      </c>
      <c r="E9637" s="2" t="str">
        <f>HYPERLINK("http://ts.21cn.com/tousu/show/id/1340807","http://ts.21cn.com/tousu/show/id/1340807")</f>
        <v>http://ts.21cn.com/tousu/show/id/1340807</v>
      </c>
      <c r="F9637" s="2" t="s">
        <v>11</v>
      </c>
      <c r="G9637" s="2" t="s">
        <v>25209</v>
      </c>
      <c r="H9637" s="2" t="s">
        <v>25210</v>
      </c>
    </row>
    <row r="9638" spans="1:8" ht="25.05" customHeight="1" x14ac:dyDescent="0.25">
      <c r="A9638" s="2" t="s">
        <v>8</v>
      </c>
      <c r="B9638" s="2" t="str">
        <f>HYPERLINK("http://ts.21cn.com/tousu/show/id/1340809","维信豆豆钱暴力套路贷暴力催收高利贷")</f>
        <v>维信豆豆钱暴力套路贷暴力催收高利贷</v>
      </c>
      <c r="C9638" s="2" t="s">
        <v>9</v>
      </c>
      <c r="D9638" s="2" t="s">
        <v>10</v>
      </c>
      <c r="E9638" s="2" t="str">
        <f>HYPERLINK("http://ts.21cn.com/tousu/show/id/1340809","http://ts.21cn.com/tousu/show/id/1340809")</f>
        <v>http://ts.21cn.com/tousu/show/id/1340809</v>
      </c>
      <c r="F9638" s="2" t="s">
        <v>11</v>
      </c>
      <c r="G9638" s="2" t="s">
        <v>25207</v>
      </c>
      <c r="H9638" s="2" t="s">
        <v>25208</v>
      </c>
    </row>
    <row r="9639" spans="1:8" ht="25.05" customHeight="1" x14ac:dyDescent="0.25">
      <c r="A9639" s="2" t="s">
        <v>8</v>
      </c>
      <c r="B9639" s="2" t="str">
        <f>HYPERLINK("http://ts.21cn.com/tousu/show/id/1340810","滴滴出行app无法注销实名认证")</f>
        <v>滴滴出行app无法注销实名认证</v>
      </c>
      <c r="C9639" s="2" t="s">
        <v>9</v>
      </c>
      <c r="D9639" s="2" t="s">
        <v>10</v>
      </c>
      <c r="E9639" s="2" t="str">
        <f>HYPERLINK("http://ts.21cn.com/tousu/show/id/1340810","http://ts.21cn.com/tousu/show/id/1340810")</f>
        <v>http://ts.21cn.com/tousu/show/id/1340810</v>
      </c>
      <c r="F9639" s="2" t="s">
        <v>11</v>
      </c>
      <c r="G9639" s="2" t="s">
        <v>25206</v>
      </c>
      <c r="H9639" s="2" t="s">
        <v>12392</v>
      </c>
    </row>
    <row r="9640" spans="1:8" ht="25.05" customHeight="1" x14ac:dyDescent="0.25">
      <c r="A9640" s="2" t="s">
        <v>8</v>
      </c>
      <c r="B9640" s="2" t="str">
        <f>HYPERLINK("http://ts.21cn.com/tousu/show/id/1340787","来分期引诱消费者上当")</f>
        <v>来分期引诱消费者上当</v>
      </c>
      <c r="C9640" s="2" t="s">
        <v>9</v>
      </c>
      <c r="D9640" s="2" t="s">
        <v>10</v>
      </c>
      <c r="E9640" s="2" t="str">
        <f>HYPERLINK("http://ts.21cn.com/tousu/show/id/1340787","http://ts.21cn.com/tousu/show/id/1340787")</f>
        <v>http://ts.21cn.com/tousu/show/id/1340787</v>
      </c>
      <c r="F9640" s="2" t="s">
        <v>11</v>
      </c>
      <c r="G9640" s="2" t="s">
        <v>25204</v>
      </c>
      <c r="H9640" s="2" t="s">
        <v>25205</v>
      </c>
    </row>
    <row r="9641" spans="1:8" ht="25.05" customHeight="1" x14ac:dyDescent="0.25">
      <c r="A9641" s="2" t="s">
        <v>8</v>
      </c>
      <c r="B9641" s="2" t="str">
        <f>HYPERLINK("http://ts.21cn.com/tousu/show/id/1340811","他人错转的几千块钱，被蚂蚁花呗扣走了，客服又不处理")</f>
        <v>他人错转的几千块钱，被蚂蚁花呗扣走了，客服又不处理</v>
      </c>
      <c r="C9641" s="2" t="s">
        <v>9</v>
      </c>
      <c r="D9641" s="2" t="s">
        <v>10</v>
      </c>
      <c r="E9641" s="2" t="str">
        <f>HYPERLINK("http://ts.21cn.com/tousu/show/id/1340811","http://ts.21cn.com/tousu/show/id/1340811")</f>
        <v>http://ts.21cn.com/tousu/show/id/1340811</v>
      </c>
      <c r="F9641" s="2" t="s">
        <v>11</v>
      </c>
      <c r="G9641" s="2" t="s">
        <v>25202</v>
      </c>
      <c r="H9641" s="2" t="s">
        <v>25203</v>
      </c>
    </row>
    <row r="9642" spans="1:8" ht="25.05" customHeight="1" x14ac:dyDescent="0.25">
      <c r="A9642" s="2" t="s">
        <v>8</v>
      </c>
      <c r="B9642" s="2" t="str">
        <f>HYPERLINK("http://ts.21cn.com/tousu/show/id/1340812","谁来拯救我")</f>
        <v>谁来拯救我</v>
      </c>
      <c r="C9642" s="2" t="s">
        <v>34</v>
      </c>
      <c r="D9642" s="2" t="s">
        <v>10</v>
      </c>
      <c r="E9642" s="2" t="str">
        <f>HYPERLINK("http://ts.21cn.com/tousu/show/id/1340812","http://ts.21cn.com/tousu/show/id/1340812")</f>
        <v>http://ts.21cn.com/tousu/show/id/1340812</v>
      </c>
      <c r="F9642" s="2" t="s">
        <v>11</v>
      </c>
      <c r="G9642" s="2" t="s">
        <v>25200</v>
      </c>
      <c r="H9642" s="2" t="s">
        <v>25201</v>
      </c>
    </row>
    <row r="9643" spans="1:8" ht="25.05" customHeight="1" x14ac:dyDescent="0.25">
      <c r="A9643" s="2" t="s">
        <v>8</v>
      </c>
      <c r="B9643" s="2" t="str">
        <f>HYPERLINK("http://ts.21cn.com/tousu/show/id/1340814","微信支付被永久冻结资金无法取出")</f>
        <v>微信支付被永久冻结资金无法取出</v>
      </c>
      <c r="C9643" s="2" t="s">
        <v>9</v>
      </c>
      <c r="D9643" s="2" t="s">
        <v>10</v>
      </c>
      <c r="E9643" s="2" t="str">
        <f>HYPERLINK("http://ts.21cn.com/tousu/show/id/1340814","http://ts.21cn.com/tousu/show/id/1340814")</f>
        <v>http://ts.21cn.com/tousu/show/id/1340814</v>
      </c>
      <c r="F9643" s="2" t="s">
        <v>11</v>
      </c>
      <c r="G9643" s="2" t="s">
        <v>25198</v>
      </c>
      <c r="H9643" s="2" t="s">
        <v>25199</v>
      </c>
    </row>
    <row r="9644" spans="1:8" ht="25.05" customHeight="1" x14ac:dyDescent="0.25">
      <c r="A9644" s="2" t="s">
        <v>8</v>
      </c>
      <c r="B9644" s="2" t="str">
        <f>HYPERLINK("http://ts.21cn.com/tousu/show/id/1340817","酷狗音乐")</f>
        <v>酷狗音乐</v>
      </c>
      <c r="C9644" s="2" t="s">
        <v>9</v>
      </c>
      <c r="D9644" s="2" t="s">
        <v>10</v>
      </c>
      <c r="E9644" s="2" t="str">
        <f>HYPERLINK("http://ts.21cn.com/tousu/show/id/1340817","http://ts.21cn.com/tousu/show/id/1340817")</f>
        <v>http://ts.21cn.com/tousu/show/id/1340817</v>
      </c>
      <c r="F9644" s="2" t="s">
        <v>11</v>
      </c>
      <c r="G9644" s="2" t="s">
        <v>25195</v>
      </c>
      <c r="H9644" s="2" t="s">
        <v>25196</v>
      </c>
    </row>
    <row r="9645" spans="1:8" ht="25.05" customHeight="1" x14ac:dyDescent="0.25">
      <c r="A9645" s="2" t="s">
        <v>8</v>
      </c>
      <c r="B9645" s="2" t="str">
        <f>HYPERLINK("http://ts.21cn.com/tousu/show/id/1340815","合同金额和到账金额不一样")</f>
        <v>合同金额和到账金额不一样</v>
      </c>
      <c r="C9645" s="2" t="s">
        <v>34</v>
      </c>
      <c r="D9645" s="2" t="s">
        <v>10</v>
      </c>
      <c r="E9645" s="2" t="str">
        <f>HYPERLINK("http://ts.21cn.com/tousu/show/id/1340815","http://ts.21cn.com/tousu/show/id/1340815")</f>
        <v>http://ts.21cn.com/tousu/show/id/1340815</v>
      </c>
      <c r="F9645" s="2" t="s">
        <v>11</v>
      </c>
      <c r="G9645" s="2" t="s">
        <v>25195</v>
      </c>
      <c r="H9645" s="2" t="s">
        <v>25197</v>
      </c>
    </row>
    <row r="9646" spans="1:8" ht="25.05" customHeight="1" x14ac:dyDescent="0.25">
      <c r="A9646" s="2" t="s">
        <v>8</v>
      </c>
      <c r="B9646" s="2" t="str">
        <f>HYPERLINK("http://ts.21cn.com/tousu/show/id/1340818","拍拍贷套路贷砍头息高利贷")</f>
        <v>拍拍贷套路贷砍头息高利贷</v>
      </c>
      <c r="C9646" s="2" t="s">
        <v>9</v>
      </c>
      <c r="D9646" s="2" t="s">
        <v>10</v>
      </c>
      <c r="E9646" s="2" t="str">
        <f>HYPERLINK("http://ts.21cn.com/tousu/show/id/1340818","http://ts.21cn.com/tousu/show/id/1340818")</f>
        <v>http://ts.21cn.com/tousu/show/id/1340818</v>
      </c>
      <c r="F9646" s="2" t="s">
        <v>11</v>
      </c>
      <c r="G9646" s="2" t="s">
        <v>25193</v>
      </c>
      <c r="H9646" s="2" t="s">
        <v>25194</v>
      </c>
    </row>
    <row r="9647" spans="1:8" ht="25.05" customHeight="1" x14ac:dyDescent="0.25">
      <c r="A9647" s="2" t="s">
        <v>8</v>
      </c>
      <c r="B9647" s="2" t="str">
        <f>HYPERLINK("http://ts.21cn.com/tousu/show/id/1340819","拍拍贷利率过高")</f>
        <v>拍拍贷利率过高</v>
      </c>
      <c r="C9647" s="2" t="s">
        <v>9</v>
      </c>
      <c r="D9647" s="2" t="s">
        <v>10</v>
      </c>
      <c r="E9647" s="2" t="str">
        <f>HYPERLINK("http://ts.21cn.com/tousu/show/id/1340819","http://ts.21cn.com/tousu/show/id/1340819")</f>
        <v>http://ts.21cn.com/tousu/show/id/1340819</v>
      </c>
      <c r="F9647" s="2" t="s">
        <v>11</v>
      </c>
      <c r="G9647" s="2" t="s">
        <v>25191</v>
      </c>
      <c r="H9647" s="2" t="s">
        <v>25192</v>
      </c>
    </row>
    <row r="9648" spans="1:8" ht="25.05" customHeight="1" x14ac:dyDescent="0.25">
      <c r="A9648" s="2" t="s">
        <v>8</v>
      </c>
      <c r="B9648" s="2" t="str">
        <f>HYPERLINK("http://ts.21cn.com/tousu/show/id/1340821","天天鉴宝（北京易定科技有限公司）")</f>
        <v>天天鉴宝（北京易定科技有限公司）</v>
      </c>
      <c r="C9648" s="2" t="s">
        <v>9</v>
      </c>
      <c r="D9648" s="2" t="s">
        <v>10</v>
      </c>
      <c r="E9648" s="2" t="str">
        <f>HYPERLINK("http://ts.21cn.com/tousu/show/id/1340821","http://ts.21cn.com/tousu/show/id/1340821")</f>
        <v>http://ts.21cn.com/tousu/show/id/1340821</v>
      </c>
      <c r="F9648" s="2" t="s">
        <v>11</v>
      </c>
      <c r="G9648" s="2" t="s">
        <v>25189</v>
      </c>
      <c r="H9648" s="2" t="s">
        <v>25190</v>
      </c>
    </row>
    <row r="9649" spans="1:8" ht="25.05" customHeight="1" x14ac:dyDescent="0.25">
      <c r="A9649" s="2" t="s">
        <v>8</v>
      </c>
      <c r="B9649" s="2" t="str">
        <f>HYPERLINK("http://ts.21cn.com/tousu/show/id/1340822","新航商旅销售员故意隐瞒至尊卡消费限制")</f>
        <v>新航商旅销售员故意隐瞒至尊卡消费限制</v>
      </c>
      <c r="C9649" s="2" t="s">
        <v>9</v>
      </c>
      <c r="D9649" s="2" t="s">
        <v>10</v>
      </c>
      <c r="E9649" s="2" t="str">
        <f>HYPERLINK("http://ts.21cn.com/tousu/show/id/1340822","http://ts.21cn.com/tousu/show/id/1340822")</f>
        <v>http://ts.21cn.com/tousu/show/id/1340822</v>
      </c>
      <c r="F9649" s="2" t="s">
        <v>11</v>
      </c>
      <c r="G9649" s="2" t="s">
        <v>25187</v>
      </c>
      <c r="H9649" s="2" t="s">
        <v>25188</v>
      </c>
    </row>
    <row r="9650" spans="1:8" ht="25.05" customHeight="1" x14ac:dyDescent="0.25">
      <c r="A9650" s="2" t="s">
        <v>8</v>
      </c>
      <c r="B9650" s="2" t="str">
        <f>HYPERLINK("http://ts.21cn.com/tousu/show/id/1340823","滴滴出行未上车先打表")</f>
        <v>滴滴出行未上车先打表</v>
      </c>
      <c r="C9650" s="2" t="s">
        <v>9</v>
      </c>
      <c r="D9650" s="2" t="s">
        <v>10</v>
      </c>
      <c r="E9650" s="2" t="str">
        <f>HYPERLINK("http://ts.21cn.com/tousu/show/id/1340823","http://ts.21cn.com/tousu/show/id/1340823")</f>
        <v>http://ts.21cn.com/tousu/show/id/1340823</v>
      </c>
      <c r="F9650" s="2" t="s">
        <v>11</v>
      </c>
      <c r="G9650" s="2" t="s">
        <v>25186</v>
      </c>
      <c r="H9650" s="2" t="s">
        <v>961</v>
      </c>
    </row>
    <row r="9651" spans="1:8" ht="25.05" customHeight="1" x14ac:dyDescent="0.25">
      <c r="A9651" s="2" t="s">
        <v>8</v>
      </c>
      <c r="B9651" s="2" t="str">
        <f>HYPERLINK("http://ts.21cn.com/tousu/show/id/1340825","百度服务无故扣款")</f>
        <v>百度服务无故扣款</v>
      </c>
      <c r="C9651" s="2" t="s">
        <v>34</v>
      </c>
      <c r="D9651" s="2" t="s">
        <v>10</v>
      </c>
      <c r="E9651" s="2" t="str">
        <f>HYPERLINK("http://ts.21cn.com/tousu/show/id/1340825","http://ts.21cn.com/tousu/show/id/1340825")</f>
        <v>http://ts.21cn.com/tousu/show/id/1340825</v>
      </c>
      <c r="F9651" s="2" t="s">
        <v>11</v>
      </c>
      <c r="G9651" s="2" t="s">
        <v>25184</v>
      </c>
      <c r="H9651" s="2" t="s">
        <v>25185</v>
      </c>
    </row>
    <row r="9652" spans="1:8" ht="25.05" customHeight="1" x14ac:dyDescent="0.25">
      <c r="A9652" s="2" t="s">
        <v>8</v>
      </c>
      <c r="B9652" s="2" t="str">
        <f>HYPERLINK("http://ts.21cn.com/tousu/show/id/1340824","中信银行第三方催收，电话骚扰威胁。")</f>
        <v>中信银行第三方催收，电话骚扰威胁。</v>
      </c>
      <c r="C9652" s="2" t="s">
        <v>9</v>
      </c>
      <c r="D9652" s="2" t="s">
        <v>10</v>
      </c>
      <c r="E9652" s="2" t="str">
        <f>HYPERLINK("http://ts.21cn.com/tousu/show/id/1340824","http://ts.21cn.com/tousu/show/id/1340824")</f>
        <v>http://ts.21cn.com/tousu/show/id/1340824</v>
      </c>
      <c r="F9652" s="2" t="s">
        <v>11</v>
      </c>
      <c r="G9652" s="2" t="s">
        <v>25182</v>
      </c>
      <c r="H9652" s="2" t="s">
        <v>25183</v>
      </c>
    </row>
    <row r="9653" spans="1:8" ht="25.05" customHeight="1" x14ac:dyDescent="0.25">
      <c r="A9653" s="2" t="s">
        <v>8</v>
      </c>
      <c r="B9653" s="2" t="str">
        <f>HYPERLINK("http://ts.21cn.com/tousu/show/id/1340826","举报信用管家公司高利贷")</f>
        <v>举报信用管家公司高利贷</v>
      </c>
      <c r="C9653" s="2" t="s">
        <v>9</v>
      </c>
      <c r="D9653" s="2" t="s">
        <v>10</v>
      </c>
      <c r="E9653" s="2" t="str">
        <f>HYPERLINK("http://ts.21cn.com/tousu/show/id/1340826","http://ts.21cn.com/tousu/show/id/1340826")</f>
        <v>http://ts.21cn.com/tousu/show/id/1340826</v>
      </c>
      <c r="F9653" s="2" t="s">
        <v>11</v>
      </c>
      <c r="G9653" s="2" t="s">
        <v>25180</v>
      </c>
      <c r="H9653" s="2" t="s">
        <v>25181</v>
      </c>
    </row>
    <row r="9654" spans="1:8" ht="25.05" customHeight="1" x14ac:dyDescent="0.25">
      <c r="A9654" s="2" t="s">
        <v>8</v>
      </c>
      <c r="B9654" s="2" t="str">
        <f>HYPERLINK("http://ts.21cn.com/tousu/show/id/1340813","诱拐消费者到各个软件平台贷款")</f>
        <v>诱拐消费者到各个软件平台贷款</v>
      </c>
      <c r="C9654" s="2" t="s">
        <v>9</v>
      </c>
      <c r="D9654" s="2" t="s">
        <v>10</v>
      </c>
      <c r="E9654" s="2" t="str">
        <f>HYPERLINK("http://ts.21cn.com/tousu/show/id/1340813","http://ts.21cn.com/tousu/show/id/1340813")</f>
        <v>http://ts.21cn.com/tousu/show/id/1340813</v>
      </c>
      <c r="F9654" s="2" t="s">
        <v>11</v>
      </c>
      <c r="G9654" s="2" t="s">
        <v>25178</v>
      </c>
      <c r="H9654" s="2" t="s">
        <v>25179</v>
      </c>
    </row>
    <row r="9655" spans="1:8" ht="25.05" customHeight="1" x14ac:dyDescent="0.25">
      <c r="A9655" s="2" t="s">
        <v>8</v>
      </c>
      <c r="B9655" s="2" t="str">
        <f>HYPERLINK("http://ts.21cn.com/tousu/show/id/1340827","智行强制使用加速包")</f>
        <v>智行强制使用加速包</v>
      </c>
      <c r="C9655" s="2" t="s">
        <v>9</v>
      </c>
      <c r="D9655" s="2" t="s">
        <v>10</v>
      </c>
      <c r="E9655" s="2" t="str">
        <f>HYPERLINK("http://ts.21cn.com/tousu/show/id/1340827","http://ts.21cn.com/tousu/show/id/1340827")</f>
        <v>http://ts.21cn.com/tousu/show/id/1340827</v>
      </c>
      <c r="F9655" s="2" t="s">
        <v>11</v>
      </c>
      <c r="G9655" s="2" t="s">
        <v>25176</v>
      </c>
      <c r="H9655" s="2" t="s">
        <v>25177</v>
      </c>
    </row>
    <row r="9656" spans="1:8" ht="25.05" customHeight="1" x14ac:dyDescent="0.25">
      <c r="A9656" s="2" t="s">
        <v>8</v>
      </c>
      <c r="B9656" s="2" t="str">
        <f>HYPERLINK("http://ts.21cn.com/tousu/show/id/1340828","因支付宝账号被盗恶意操作被支付宝关闭支付功能，这样的问题能怪我吗")</f>
        <v>因支付宝账号被盗恶意操作被支付宝关闭支付功能，这样的问题能怪我吗</v>
      </c>
      <c r="C9656" s="2" t="s">
        <v>9</v>
      </c>
      <c r="D9656" s="2" t="s">
        <v>10</v>
      </c>
      <c r="E9656" s="2" t="str">
        <f>HYPERLINK("http://ts.21cn.com/tousu/show/id/1340828","http://ts.21cn.com/tousu/show/id/1340828")</f>
        <v>http://ts.21cn.com/tousu/show/id/1340828</v>
      </c>
      <c r="F9656" s="2" t="s">
        <v>11</v>
      </c>
      <c r="G9656" s="2" t="s">
        <v>25174</v>
      </c>
      <c r="H9656" s="2" t="s">
        <v>25175</v>
      </c>
    </row>
    <row r="9657" spans="1:8" ht="25.05" customHeight="1" x14ac:dyDescent="0.25">
      <c r="A9657" s="2" t="s">
        <v>8</v>
      </c>
      <c r="B9657" s="2" t="str">
        <f>HYPERLINK("http://ts.21cn.com/tousu/show/id/1340829","高额的利息和违约金")</f>
        <v>高额的利息和违约金</v>
      </c>
      <c r="C9657" s="2" t="s">
        <v>9</v>
      </c>
      <c r="D9657" s="2" t="s">
        <v>10</v>
      </c>
      <c r="E9657" s="2" t="str">
        <f>HYPERLINK("http://ts.21cn.com/tousu/show/id/1340829","http://ts.21cn.com/tousu/show/id/1340829")</f>
        <v>http://ts.21cn.com/tousu/show/id/1340829</v>
      </c>
      <c r="F9657" s="2" t="s">
        <v>11</v>
      </c>
      <c r="G9657" s="2" t="s">
        <v>25172</v>
      </c>
      <c r="H9657" s="2" t="s">
        <v>25173</v>
      </c>
    </row>
    <row r="9658" spans="1:8" ht="25.05" customHeight="1" x14ac:dyDescent="0.25">
      <c r="A9658" s="2" t="s">
        <v>8</v>
      </c>
      <c r="B9658" s="2" t="str">
        <f>HYPERLINK("http://ts.21cn.com/tousu/show/id/1340830","钱站砍头息阴阳合同收取不正当金额")</f>
        <v>钱站砍头息阴阳合同收取不正当金额</v>
      </c>
      <c r="C9658" s="2" t="s">
        <v>9</v>
      </c>
      <c r="D9658" s="2" t="s">
        <v>10</v>
      </c>
      <c r="E9658" s="2" t="str">
        <f>HYPERLINK("http://ts.21cn.com/tousu/show/id/1340830","http://ts.21cn.com/tousu/show/id/1340830")</f>
        <v>http://ts.21cn.com/tousu/show/id/1340830</v>
      </c>
      <c r="F9658" s="2" t="s">
        <v>11</v>
      </c>
      <c r="G9658" s="2" t="s">
        <v>25170</v>
      </c>
      <c r="H9658" s="2" t="s">
        <v>25171</v>
      </c>
    </row>
    <row r="9659" spans="1:8" ht="25.05" customHeight="1" x14ac:dyDescent="0.25">
      <c r="A9659" s="2" t="s">
        <v>8</v>
      </c>
      <c r="B9659" s="2" t="str">
        <f>HYPERLINK("http://ts.21cn.com/tousu/show/id/1340831","中金支付无故扣了我888.35")</f>
        <v>中金支付无故扣了我888.35</v>
      </c>
      <c r="C9659" s="2" t="s">
        <v>34</v>
      </c>
      <c r="D9659" s="2" t="s">
        <v>10</v>
      </c>
      <c r="E9659" s="2" t="str">
        <f>HYPERLINK("http://ts.21cn.com/tousu/show/id/1340831","http://ts.21cn.com/tousu/show/id/1340831")</f>
        <v>http://ts.21cn.com/tousu/show/id/1340831</v>
      </c>
      <c r="F9659" s="2" t="s">
        <v>11</v>
      </c>
      <c r="G9659" s="2" t="s">
        <v>25168</v>
      </c>
      <c r="H9659" s="2" t="s">
        <v>25169</v>
      </c>
    </row>
    <row r="9660" spans="1:8" ht="25.05" customHeight="1" x14ac:dyDescent="0.25">
      <c r="A9660" s="2" t="s">
        <v>8</v>
      </c>
      <c r="B9660" s="2" t="str">
        <f>HYPERLINK("http://ts.21cn.com/tousu/show/id/1340832","乘客乘坐网约车不付钱")</f>
        <v>乘客乘坐网约车不付钱</v>
      </c>
      <c r="C9660" s="2" t="s">
        <v>9</v>
      </c>
      <c r="D9660" s="2" t="s">
        <v>10</v>
      </c>
      <c r="E9660" s="2" t="str">
        <f>HYPERLINK("http://ts.21cn.com/tousu/show/id/1340832","http://ts.21cn.com/tousu/show/id/1340832")</f>
        <v>http://ts.21cn.com/tousu/show/id/1340832</v>
      </c>
      <c r="F9660" s="2" t="s">
        <v>11</v>
      </c>
      <c r="G9660" s="2" t="s">
        <v>25166</v>
      </c>
      <c r="H9660" s="2" t="s">
        <v>25167</v>
      </c>
    </row>
    <row r="9661" spans="1:8" ht="25.05" customHeight="1" x14ac:dyDescent="0.25">
      <c r="A9661" s="2" t="s">
        <v>8</v>
      </c>
      <c r="B9661" s="2" t="str">
        <f>HYPERLINK("http://ts.21cn.com/tousu/show/id/1340833","小赢卡贷利率过高")</f>
        <v>小赢卡贷利率过高</v>
      </c>
      <c r="C9661" s="2" t="s">
        <v>9</v>
      </c>
      <c r="D9661" s="2" t="s">
        <v>10</v>
      </c>
      <c r="E9661" s="2" t="str">
        <f>HYPERLINK("http://ts.21cn.com/tousu/show/id/1340833","http://ts.21cn.com/tousu/show/id/1340833")</f>
        <v>http://ts.21cn.com/tousu/show/id/1340833</v>
      </c>
      <c r="F9661" s="2" t="s">
        <v>11</v>
      </c>
      <c r="G9661" s="2" t="s">
        <v>25164</v>
      </c>
      <c r="H9661" s="2" t="s">
        <v>25165</v>
      </c>
    </row>
    <row r="9662" spans="1:8" ht="25.05" customHeight="1" x14ac:dyDescent="0.25">
      <c r="A9662" s="2" t="s">
        <v>8</v>
      </c>
      <c r="B9662" s="2" t="str">
        <f>HYPERLINK("http://ts.21cn.com/tousu/show/id/1340834","蚂蚁金服高额的逾期费用，承担不起，要求客服协商没同意态度还极差")</f>
        <v>蚂蚁金服高额的逾期费用，承担不起，要求客服协商没同意态度还极差</v>
      </c>
      <c r="C9662" s="2" t="s">
        <v>9</v>
      </c>
      <c r="D9662" s="2" t="s">
        <v>10</v>
      </c>
      <c r="E9662" s="2" t="str">
        <f>HYPERLINK("http://ts.21cn.com/tousu/show/id/1340834","http://ts.21cn.com/tousu/show/id/1340834")</f>
        <v>http://ts.21cn.com/tousu/show/id/1340834</v>
      </c>
      <c r="F9662" s="2" t="s">
        <v>11</v>
      </c>
      <c r="G9662" s="2" t="s">
        <v>25162</v>
      </c>
      <c r="H9662" s="2" t="s">
        <v>25163</v>
      </c>
    </row>
    <row r="9663" spans="1:8" ht="25.05" customHeight="1" x14ac:dyDescent="0.25">
      <c r="A9663" s="2" t="s">
        <v>8</v>
      </c>
      <c r="B9663" s="2" t="str">
        <f>HYPERLINK("http://ts.21cn.com/tousu/show/id/1340835","海尔金融暴力催收爆通讯录发威胁短信")</f>
        <v>海尔金融暴力催收爆通讯录发威胁短信</v>
      </c>
      <c r="C9663" s="2" t="s">
        <v>9</v>
      </c>
      <c r="D9663" s="2" t="s">
        <v>10</v>
      </c>
      <c r="E9663" s="2" t="str">
        <f>HYPERLINK("http://ts.21cn.com/tousu/show/id/1340835","http://ts.21cn.com/tousu/show/id/1340835")</f>
        <v>http://ts.21cn.com/tousu/show/id/1340835</v>
      </c>
      <c r="F9663" s="2" t="s">
        <v>11</v>
      </c>
      <c r="G9663" s="2" t="s">
        <v>25160</v>
      </c>
      <c r="H9663" s="2" t="s">
        <v>25161</v>
      </c>
    </row>
    <row r="9664" spans="1:8" ht="25.05" customHeight="1" x14ac:dyDescent="0.25">
      <c r="A9664" s="2" t="s">
        <v>8</v>
      </c>
      <c r="B9664" s="2" t="str">
        <f>HYPERLINK("http://ts.21cn.com/tousu/show/id/1340836","第二期逾期了6天")</f>
        <v>第二期逾期了6天</v>
      </c>
      <c r="C9664" s="2" t="s">
        <v>34</v>
      </c>
      <c r="D9664" s="2" t="s">
        <v>10</v>
      </c>
      <c r="E9664" s="2" t="str">
        <f>HYPERLINK("http://ts.21cn.com/tousu/show/id/1340836","http://ts.21cn.com/tousu/show/id/1340836")</f>
        <v>http://ts.21cn.com/tousu/show/id/1340836</v>
      </c>
      <c r="F9664" s="2" t="s">
        <v>11</v>
      </c>
      <c r="G9664" s="2" t="s">
        <v>25158</v>
      </c>
      <c r="H9664" s="2" t="s">
        <v>25159</v>
      </c>
    </row>
    <row r="9665" spans="1:8" ht="25.05" customHeight="1" x14ac:dyDescent="0.25">
      <c r="A9665" s="2" t="s">
        <v>8</v>
      </c>
      <c r="B9665" s="2" t="str">
        <f>HYPERLINK("http://ts.21cn.com/tousu/show/id/1340837","这是个什么东西，直接把钱扣走了")</f>
        <v>这是个什么东西，直接把钱扣走了</v>
      </c>
      <c r="C9665" s="2" t="s">
        <v>34</v>
      </c>
      <c r="D9665" s="2" t="s">
        <v>10</v>
      </c>
      <c r="E9665" s="2" t="str">
        <f>HYPERLINK("http://ts.21cn.com/tousu/show/id/1340837","http://ts.21cn.com/tousu/show/id/1340837")</f>
        <v>http://ts.21cn.com/tousu/show/id/1340837</v>
      </c>
      <c r="F9665" s="2" t="s">
        <v>11</v>
      </c>
      <c r="G9665" s="2" t="s">
        <v>25156</v>
      </c>
      <c r="H9665" s="2" t="s">
        <v>25157</v>
      </c>
    </row>
    <row r="9666" spans="1:8" ht="25.05" customHeight="1" x14ac:dyDescent="0.25">
      <c r="A9666" s="2" t="s">
        <v>8</v>
      </c>
      <c r="B9666" s="2" t="str">
        <f>HYPERLINK("http://ts.21cn.com/tousu/show/id/1340838","滴滴司机申诉不给处理")</f>
        <v>滴滴司机申诉不给处理</v>
      </c>
      <c r="C9666" s="2" t="s">
        <v>9</v>
      </c>
      <c r="D9666" s="2" t="s">
        <v>10</v>
      </c>
      <c r="E9666" s="2" t="str">
        <f>HYPERLINK("http://ts.21cn.com/tousu/show/id/1340838","http://ts.21cn.com/tousu/show/id/1340838")</f>
        <v>http://ts.21cn.com/tousu/show/id/1340838</v>
      </c>
      <c r="F9666" s="2" t="s">
        <v>11</v>
      </c>
      <c r="G9666" s="2" t="s">
        <v>25154</v>
      </c>
      <c r="H9666" s="2" t="s">
        <v>25155</v>
      </c>
    </row>
    <row r="9667" spans="1:8" ht="25.05" customHeight="1" x14ac:dyDescent="0.25">
      <c r="A9667" s="2" t="s">
        <v>8</v>
      </c>
      <c r="B9667" s="2" t="str">
        <f>HYPERLINK("http://ts.21cn.com/tousu/show/id/1340839","信用管家延期还款，想减免部分利息，希望能处理，客服也不行")</f>
        <v>信用管家延期还款，想减免部分利息，希望能处理，客服也不行</v>
      </c>
      <c r="C9667" s="2" t="s">
        <v>9</v>
      </c>
      <c r="D9667" s="2" t="s">
        <v>10</v>
      </c>
      <c r="E9667" s="2" t="str">
        <f>HYPERLINK("http://ts.21cn.com/tousu/show/id/1340839","http://ts.21cn.com/tousu/show/id/1340839")</f>
        <v>http://ts.21cn.com/tousu/show/id/1340839</v>
      </c>
      <c r="F9667" s="2" t="s">
        <v>11</v>
      </c>
      <c r="G9667" s="2" t="s">
        <v>25152</v>
      </c>
      <c r="H9667" s="2" t="s">
        <v>25153</v>
      </c>
    </row>
    <row r="9668" spans="1:8" ht="25.05" customHeight="1" x14ac:dyDescent="0.25">
      <c r="A9668" s="2" t="s">
        <v>8</v>
      </c>
      <c r="B9668" s="2" t="str">
        <f>HYPERLINK("http://ts.21cn.com/tousu/show/id/1340840","暴力催收！骚扰家人")</f>
        <v>暴力催收！骚扰家人</v>
      </c>
      <c r="C9668" s="2" t="s">
        <v>9</v>
      </c>
      <c r="D9668" s="2" t="s">
        <v>10</v>
      </c>
      <c r="E9668" s="2" t="str">
        <f>HYPERLINK("http://ts.21cn.com/tousu/show/id/1340840","http://ts.21cn.com/tousu/show/id/1340840")</f>
        <v>http://ts.21cn.com/tousu/show/id/1340840</v>
      </c>
      <c r="F9668" s="2" t="s">
        <v>11</v>
      </c>
      <c r="G9668" s="2" t="s">
        <v>25150</v>
      </c>
      <c r="H9668" s="2" t="s">
        <v>25151</v>
      </c>
    </row>
    <row r="9669" spans="1:8" ht="25.05" customHeight="1" x14ac:dyDescent="0.25">
      <c r="A9669" s="2" t="s">
        <v>8</v>
      </c>
      <c r="B9669" s="2" t="str">
        <f>HYPERLINK("http://ts.21cn.com/tousu/show/id/1340842","信用管家账单带有未知的保险费用，没人说明解释")</f>
        <v>信用管家账单带有未知的保险费用，没人说明解释</v>
      </c>
      <c r="C9669" s="2" t="s">
        <v>34</v>
      </c>
      <c r="D9669" s="2" t="s">
        <v>10</v>
      </c>
      <c r="E9669" s="2" t="str">
        <f>HYPERLINK("http://ts.21cn.com/tousu/show/id/1340842","http://ts.21cn.com/tousu/show/id/1340842")</f>
        <v>http://ts.21cn.com/tousu/show/id/1340842</v>
      </c>
      <c r="F9669" s="2" t="s">
        <v>11</v>
      </c>
      <c r="G9669" s="2" t="s">
        <v>25148</v>
      </c>
      <c r="H9669" s="2" t="s">
        <v>25149</v>
      </c>
    </row>
    <row r="9670" spans="1:8" ht="25.05" customHeight="1" x14ac:dyDescent="0.25">
      <c r="A9670" s="2" t="s">
        <v>8</v>
      </c>
      <c r="B9670" s="2" t="str">
        <f>HYPERLINK("http://ts.21cn.com/tousu/show/id/1340844","薪火贷年利率超过国家规定")</f>
        <v>薪火贷年利率超过国家规定</v>
      </c>
      <c r="C9670" s="2" t="s">
        <v>9</v>
      </c>
      <c r="D9670" s="2" t="s">
        <v>10</v>
      </c>
      <c r="E9670" s="2" t="str">
        <f>HYPERLINK("http://ts.21cn.com/tousu/show/id/1340844","http://ts.21cn.com/tousu/show/id/1340844")</f>
        <v>http://ts.21cn.com/tousu/show/id/1340844</v>
      </c>
      <c r="F9670" s="2" t="s">
        <v>11</v>
      </c>
      <c r="G9670" s="2" t="s">
        <v>25146</v>
      </c>
      <c r="H9670" s="2" t="s">
        <v>25147</v>
      </c>
    </row>
    <row r="9671" spans="1:8" ht="25.05" customHeight="1" x14ac:dyDescent="0.25">
      <c r="A9671" s="2" t="s">
        <v>8</v>
      </c>
      <c r="B9671" s="2" t="str">
        <f>HYPERLINK("http://ts.21cn.com/tousu/show/id/1340843","拍拍贷逾期催收费用过高")</f>
        <v>拍拍贷逾期催收费用过高</v>
      </c>
      <c r="C9671" s="2" t="s">
        <v>9</v>
      </c>
      <c r="D9671" s="2" t="s">
        <v>10</v>
      </c>
      <c r="E9671" s="2" t="str">
        <f>HYPERLINK("http://ts.21cn.com/tousu/show/id/1340843","http://ts.21cn.com/tousu/show/id/1340843")</f>
        <v>http://ts.21cn.com/tousu/show/id/1340843</v>
      </c>
      <c r="F9671" s="2" t="s">
        <v>11</v>
      </c>
      <c r="G9671" s="2" t="s">
        <v>25144</v>
      </c>
      <c r="H9671" s="2" t="s">
        <v>25145</v>
      </c>
    </row>
    <row r="9672" spans="1:8" ht="25.05" customHeight="1" x14ac:dyDescent="0.25">
      <c r="A9672" s="2" t="s">
        <v>8</v>
      </c>
      <c r="B9672" s="2" t="str">
        <f>HYPERLINK("http://ts.21cn.com/tousu/show/id/1340845","滴滴虚假广告引人入坑")</f>
        <v>滴滴虚假广告引人入坑</v>
      </c>
      <c r="C9672" s="2" t="s">
        <v>9</v>
      </c>
      <c r="D9672" s="2" t="s">
        <v>10</v>
      </c>
      <c r="E9672" s="2" t="str">
        <f>HYPERLINK("http://ts.21cn.com/tousu/show/id/1340845","http://ts.21cn.com/tousu/show/id/1340845")</f>
        <v>http://ts.21cn.com/tousu/show/id/1340845</v>
      </c>
      <c r="F9672" s="2" t="s">
        <v>11</v>
      </c>
      <c r="G9672" s="2" t="s">
        <v>25142</v>
      </c>
      <c r="H9672" s="2" t="s">
        <v>25143</v>
      </c>
    </row>
    <row r="9673" spans="1:8" ht="25.05" customHeight="1" x14ac:dyDescent="0.25">
      <c r="A9673" s="2" t="s">
        <v>8</v>
      </c>
      <c r="B9673" s="2" t="str">
        <f>HYPERLINK("http://ts.21cn.com/tousu/show/id/1340848","注销帐号APP里面点了没反应")</f>
        <v>注销帐号APP里面点了没反应</v>
      </c>
      <c r="C9673" s="2" t="s">
        <v>9</v>
      </c>
      <c r="D9673" s="2" t="s">
        <v>10</v>
      </c>
      <c r="E9673" s="2" t="str">
        <f>HYPERLINK("http://ts.21cn.com/tousu/show/id/1340848","http://ts.21cn.com/tousu/show/id/1340848")</f>
        <v>http://ts.21cn.com/tousu/show/id/1340848</v>
      </c>
      <c r="F9673" s="2" t="s">
        <v>11</v>
      </c>
      <c r="G9673" s="2" t="s">
        <v>25140</v>
      </c>
      <c r="H9673" s="2" t="s">
        <v>25141</v>
      </c>
    </row>
    <row r="9674" spans="1:8" ht="25.05" customHeight="1" x14ac:dyDescent="0.25">
      <c r="A9674" s="2" t="s">
        <v>8</v>
      </c>
      <c r="B9674" s="2" t="str">
        <f>HYPERLINK("http://ts.21cn.com/tousu/show/id/1340849","中腾信利率过高")</f>
        <v>中腾信利率过高</v>
      </c>
      <c r="C9674" s="2" t="s">
        <v>9</v>
      </c>
      <c r="D9674" s="2" t="s">
        <v>10</v>
      </c>
      <c r="E9674" s="2" t="str">
        <f>HYPERLINK("http://ts.21cn.com/tousu/show/id/1340849","http://ts.21cn.com/tousu/show/id/1340849")</f>
        <v>http://ts.21cn.com/tousu/show/id/1340849</v>
      </c>
      <c r="F9674" s="2" t="s">
        <v>11</v>
      </c>
      <c r="G9674" s="2" t="s">
        <v>25138</v>
      </c>
      <c r="H9674" s="2" t="s">
        <v>25139</v>
      </c>
    </row>
    <row r="9675" spans="1:8" ht="25.05" customHeight="1" x14ac:dyDescent="0.25">
      <c r="A9675" s="2" t="s">
        <v>8</v>
      </c>
      <c r="B9675" s="2" t="str">
        <f>HYPERLINK("http://ts.21cn.com/tousu/show/id/1340850","信用管家恶意盗取消费者信息，公布出去，而且欺诈")</f>
        <v>信用管家恶意盗取消费者信息，公布出去，而且欺诈</v>
      </c>
      <c r="C9675" s="2" t="s">
        <v>9</v>
      </c>
      <c r="D9675" s="2" t="s">
        <v>10</v>
      </c>
      <c r="E9675" s="2" t="str">
        <f>HYPERLINK("http://ts.21cn.com/tousu/show/id/1340850","http://ts.21cn.com/tousu/show/id/1340850")</f>
        <v>http://ts.21cn.com/tousu/show/id/1340850</v>
      </c>
      <c r="F9675" s="2" t="s">
        <v>11</v>
      </c>
      <c r="G9675" s="2" t="s">
        <v>25136</v>
      </c>
      <c r="H9675" s="2" t="s">
        <v>25137</v>
      </c>
    </row>
    <row r="9676" spans="1:8" ht="25.05" customHeight="1" x14ac:dyDescent="0.25">
      <c r="A9676" s="2" t="s">
        <v>8</v>
      </c>
      <c r="B9676" s="2" t="str">
        <f>HYPERLINK("http://ts.21cn.com/tousu/show/id/1340853","请求恢复服务分")</f>
        <v>请求恢复服务分</v>
      </c>
      <c r="C9676" s="2" t="s">
        <v>34</v>
      </c>
      <c r="D9676" s="2" t="s">
        <v>10</v>
      </c>
      <c r="E9676" s="2" t="str">
        <f>HYPERLINK("http://ts.21cn.com/tousu/show/id/1340853","http://ts.21cn.com/tousu/show/id/1340853")</f>
        <v>http://ts.21cn.com/tousu/show/id/1340853</v>
      </c>
      <c r="F9676" s="2" t="s">
        <v>11</v>
      </c>
      <c r="G9676" s="2" t="s">
        <v>25134</v>
      </c>
      <c r="H9676" s="2" t="s">
        <v>25135</v>
      </c>
    </row>
    <row r="9677" spans="1:8" ht="25.05" customHeight="1" x14ac:dyDescent="0.25">
      <c r="A9677" s="2" t="s">
        <v>8</v>
      </c>
      <c r="B9677" s="2" t="str">
        <f>HYPERLINK("http://ts.21cn.com/tousu/show/id/1340856","智行app平台购买的汽车票不能在线退票")</f>
        <v>智行app平台购买的汽车票不能在线退票</v>
      </c>
      <c r="C9677" s="2" t="s">
        <v>9</v>
      </c>
      <c r="D9677" s="2" t="s">
        <v>10</v>
      </c>
      <c r="E9677" s="2" t="str">
        <f>HYPERLINK("http://ts.21cn.com/tousu/show/id/1340856","http://ts.21cn.com/tousu/show/id/1340856")</f>
        <v>http://ts.21cn.com/tousu/show/id/1340856</v>
      </c>
      <c r="F9677" s="2" t="s">
        <v>11</v>
      </c>
      <c r="G9677" s="2" t="s">
        <v>25132</v>
      </c>
      <c r="H9677" s="2" t="s">
        <v>25133</v>
      </c>
    </row>
    <row r="9678" spans="1:8" ht="25.05" customHeight="1" x14ac:dyDescent="0.25">
      <c r="A9678" s="2" t="s">
        <v>8</v>
      </c>
      <c r="B9678" s="2" t="str">
        <f>HYPERLINK("http://ts.21cn.com/tousu/show/id/1340857","银行卡被强制扣款")</f>
        <v>银行卡被强制扣款</v>
      </c>
      <c r="C9678" s="2" t="s">
        <v>9</v>
      </c>
      <c r="D9678" s="2" t="s">
        <v>10</v>
      </c>
      <c r="E9678" s="2" t="str">
        <f>HYPERLINK("http://ts.21cn.com/tousu/show/id/1340857","http://ts.21cn.com/tousu/show/id/1340857")</f>
        <v>http://ts.21cn.com/tousu/show/id/1340857</v>
      </c>
      <c r="F9678" s="2" t="s">
        <v>11</v>
      </c>
      <c r="G9678" s="2" t="s">
        <v>25130</v>
      </c>
      <c r="H9678" s="2" t="s">
        <v>25131</v>
      </c>
    </row>
    <row r="9679" spans="1:8" ht="25.05" customHeight="1" x14ac:dyDescent="0.25">
      <c r="A9679" s="2" t="s">
        <v>8</v>
      </c>
      <c r="B9679" s="2" t="str">
        <f>HYPERLINK("http://ts.21cn.com/tousu/show/id/1340855","暴力催收，恶意骚扰，轰炸通讯录")</f>
        <v>暴力催收，恶意骚扰，轰炸通讯录</v>
      </c>
      <c r="C9679" s="2" t="s">
        <v>9</v>
      </c>
      <c r="D9679" s="2" t="s">
        <v>10</v>
      </c>
      <c r="E9679" s="2" t="str">
        <f>HYPERLINK("http://ts.21cn.com/tousu/show/id/1340855","http://ts.21cn.com/tousu/show/id/1340855")</f>
        <v>http://ts.21cn.com/tousu/show/id/1340855</v>
      </c>
      <c r="F9679" s="2" t="s">
        <v>11</v>
      </c>
      <c r="G9679" s="2" t="s">
        <v>25128</v>
      </c>
      <c r="H9679" s="2" t="s">
        <v>25129</v>
      </c>
    </row>
    <row r="9680" spans="1:8" ht="25.05" customHeight="1" x14ac:dyDescent="0.25">
      <c r="A9680" s="2" t="s">
        <v>8</v>
      </c>
      <c r="B9680" s="2" t="str">
        <f>HYPERLINK("http://ts.21cn.com/tousu/show/id/1340858","免单26.29却给30")</f>
        <v>免单26.29却给30</v>
      </c>
      <c r="C9680" s="2" t="s">
        <v>34</v>
      </c>
      <c r="D9680" s="2" t="s">
        <v>10</v>
      </c>
      <c r="E9680" s="2" t="str">
        <f>HYPERLINK("http://ts.21cn.com/tousu/show/id/1340858","http://ts.21cn.com/tousu/show/id/1340858")</f>
        <v>http://ts.21cn.com/tousu/show/id/1340858</v>
      </c>
      <c r="F9680" s="2" t="s">
        <v>11</v>
      </c>
      <c r="G9680" s="2" t="s">
        <v>25126</v>
      </c>
      <c r="H9680" s="2" t="s">
        <v>25127</v>
      </c>
    </row>
    <row r="9681" spans="1:8" ht="25.05" customHeight="1" x14ac:dyDescent="0.25">
      <c r="A9681" s="2" t="s">
        <v>8</v>
      </c>
      <c r="B9681" s="2" t="str">
        <f>HYPERLINK("http://ts.21cn.com/tousu/show/id/1340859","钱站高利贷阴阳合同")</f>
        <v>钱站高利贷阴阳合同</v>
      </c>
      <c r="C9681" s="2" t="s">
        <v>9</v>
      </c>
      <c r="D9681" s="2" t="s">
        <v>10</v>
      </c>
      <c r="E9681" s="2" t="str">
        <f>HYPERLINK("http://ts.21cn.com/tousu/show/id/1340859","http://ts.21cn.com/tousu/show/id/1340859")</f>
        <v>http://ts.21cn.com/tousu/show/id/1340859</v>
      </c>
      <c r="F9681" s="2" t="s">
        <v>11</v>
      </c>
      <c r="G9681" s="2" t="s">
        <v>25124</v>
      </c>
      <c r="H9681" s="2" t="s">
        <v>25125</v>
      </c>
    </row>
    <row r="9682" spans="1:8" ht="25.05" customHeight="1" x14ac:dyDescent="0.25">
      <c r="A9682" s="2" t="s">
        <v>8</v>
      </c>
      <c r="B9682" s="2" t="str">
        <f>HYPERLINK("http://ts.21cn.com/tousu/show/id/1340860","信用管家恶意雇佣黑社会成员上门威逼借款人家人，行为态度恶劣")</f>
        <v>信用管家恶意雇佣黑社会成员上门威逼借款人家人，行为态度恶劣</v>
      </c>
      <c r="C9682" s="2" t="s">
        <v>9</v>
      </c>
      <c r="D9682" s="2" t="s">
        <v>10</v>
      </c>
      <c r="E9682" s="2" t="str">
        <f>HYPERLINK("http://ts.21cn.com/tousu/show/id/1340860","http://ts.21cn.com/tousu/show/id/1340860")</f>
        <v>http://ts.21cn.com/tousu/show/id/1340860</v>
      </c>
      <c r="F9682" s="2" t="s">
        <v>11</v>
      </c>
      <c r="G9682" s="2" t="s">
        <v>25122</v>
      </c>
      <c r="H9682" s="2" t="s">
        <v>25123</v>
      </c>
    </row>
    <row r="9683" spans="1:8" ht="25.05" customHeight="1" x14ac:dyDescent="0.25">
      <c r="A9683" s="2" t="s">
        <v>8</v>
      </c>
      <c r="B9683" s="2" t="str">
        <f>HYPERLINK("http://ts.21cn.com/tousu/show/id/1340852","网贷强制收取会员费")</f>
        <v>网贷强制收取会员费</v>
      </c>
      <c r="C9683" s="2" t="s">
        <v>9</v>
      </c>
      <c r="D9683" s="2" t="s">
        <v>10</v>
      </c>
      <c r="E9683" s="2" t="str">
        <f>HYPERLINK("http://ts.21cn.com/tousu/show/id/1340852","http://ts.21cn.com/tousu/show/id/1340852")</f>
        <v>http://ts.21cn.com/tousu/show/id/1340852</v>
      </c>
      <c r="F9683" s="2" t="s">
        <v>11</v>
      </c>
      <c r="G9683" s="2" t="s">
        <v>25120</v>
      </c>
      <c r="H9683" s="2" t="s">
        <v>25121</v>
      </c>
    </row>
    <row r="9684" spans="1:8" ht="25.05" customHeight="1" x14ac:dyDescent="0.25">
      <c r="A9684" s="2" t="s">
        <v>8</v>
      </c>
      <c r="B9684" s="2" t="str">
        <f>HYPERLINK("http://ts.21cn.com/tousu/show/id/1340862","暴力催收")</f>
        <v>暴力催收</v>
      </c>
      <c r="C9684" s="2" t="s">
        <v>9</v>
      </c>
      <c r="D9684" s="2" t="s">
        <v>10</v>
      </c>
      <c r="E9684" s="2" t="str">
        <f>HYPERLINK("http://ts.21cn.com/tousu/show/id/1340862","http://ts.21cn.com/tousu/show/id/1340862")</f>
        <v>http://ts.21cn.com/tousu/show/id/1340862</v>
      </c>
      <c r="F9684" s="2" t="s">
        <v>11</v>
      </c>
      <c r="G9684" s="2" t="s">
        <v>25118</v>
      </c>
      <c r="H9684" s="2" t="s">
        <v>25119</v>
      </c>
    </row>
    <row r="9685" spans="1:8" ht="25.05" customHeight="1" x14ac:dyDescent="0.25">
      <c r="A9685" s="2" t="s">
        <v>8</v>
      </c>
      <c r="B9685" s="2" t="str">
        <f>HYPERLINK("http://ts.21cn.com/tousu/show/id/1340863","信用管家在借款人未逾期的情况下违法催收，行为影响恶劣")</f>
        <v>信用管家在借款人未逾期的情况下违法催收，行为影响恶劣</v>
      </c>
      <c r="C9685" s="2" t="s">
        <v>9</v>
      </c>
      <c r="D9685" s="2" t="s">
        <v>10</v>
      </c>
      <c r="E9685" s="2" t="str">
        <f>HYPERLINK("http://ts.21cn.com/tousu/show/id/1340863","http://ts.21cn.com/tousu/show/id/1340863")</f>
        <v>http://ts.21cn.com/tousu/show/id/1340863</v>
      </c>
      <c r="F9685" s="2" t="s">
        <v>11</v>
      </c>
      <c r="G9685" s="2" t="s">
        <v>25116</v>
      </c>
      <c r="H9685" s="2" t="s">
        <v>25117</v>
      </c>
    </row>
    <row r="9686" spans="1:8" ht="25.05" customHeight="1" x14ac:dyDescent="0.25">
      <c r="A9686" s="2" t="s">
        <v>8</v>
      </c>
      <c r="B9686" s="2" t="str">
        <f>HYPERLINK("http://ts.21cn.com/tousu/show/id/1340847","加我微信叫我贷款说是信用卡贷了之后钱下来了谁要办会员")</f>
        <v>加我微信叫我贷款说是信用卡贷了之后钱下来了谁要办会员</v>
      </c>
      <c r="C9686" s="2" t="s">
        <v>9</v>
      </c>
      <c r="D9686" s="2" t="s">
        <v>10</v>
      </c>
      <c r="E9686" s="2" t="str">
        <f>HYPERLINK("http://ts.21cn.com/tousu/show/id/1340847","http://ts.21cn.com/tousu/show/id/1340847")</f>
        <v>http://ts.21cn.com/tousu/show/id/1340847</v>
      </c>
      <c r="F9686" s="2" t="s">
        <v>11</v>
      </c>
      <c r="G9686" s="2" t="s">
        <v>25114</v>
      </c>
      <c r="H9686" s="2" t="s">
        <v>25115</v>
      </c>
    </row>
    <row r="9687" spans="1:8" ht="25.05" customHeight="1" x14ac:dyDescent="0.25">
      <c r="A9687" s="2" t="s">
        <v>8</v>
      </c>
      <c r="B9687" s="2" t="str">
        <f>HYPERLINK("http://ts.21cn.com/tousu/show/id/1340864","收费不明")</f>
        <v>收费不明</v>
      </c>
      <c r="C9687" s="2" t="s">
        <v>9</v>
      </c>
      <c r="D9687" s="2" t="s">
        <v>10</v>
      </c>
      <c r="E9687" s="2" t="str">
        <f>HYPERLINK("http://ts.21cn.com/tousu/show/id/1340864","http://ts.21cn.com/tousu/show/id/1340864")</f>
        <v>http://ts.21cn.com/tousu/show/id/1340864</v>
      </c>
      <c r="F9687" s="2" t="s">
        <v>11</v>
      </c>
      <c r="G9687" s="2" t="s">
        <v>25112</v>
      </c>
      <c r="H9687" s="2" t="s">
        <v>25113</v>
      </c>
    </row>
    <row r="9688" spans="1:8" ht="25.05" customHeight="1" x14ac:dyDescent="0.25">
      <c r="A9688" s="2" t="s">
        <v>8</v>
      </c>
      <c r="B9688" s="2" t="str">
        <f>HYPERLINK("http://ts.21cn.com/tousu/show/id/1340865","信用飞违规搭售保险变相收取高额砍头息！！！")</f>
        <v>信用飞违规搭售保险变相收取高额砍头息！！！</v>
      </c>
      <c r="C9688" s="2" t="s">
        <v>9</v>
      </c>
      <c r="D9688" s="2" t="s">
        <v>10</v>
      </c>
      <c r="E9688" s="2" t="str">
        <f>HYPERLINK("http://ts.21cn.com/tousu/show/id/1340865","http://ts.21cn.com/tousu/show/id/1340865")</f>
        <v>http://ts.21cn.com/tousu/show/id/1340865</v>
      </c>
      <c r="F9688" s="2" t="s">
        <v>11</v>
      </c>
      <c r="G9688" s="2" t="s">
        <v>25110</v>
      </c>
      <c r="H9688" s="2" t="s">
        <v>25111</v>
      </c>
    </row>
    <row r="9689" spans="1:8" ht="25.05" customHeight="1" x14ac:dyDescent="0.25">
      <c r="A9689" s="2" t="s">
        <v>8</v>
      </c>
      <c r="B9689" s="2" t="str">
        <f>HYPERLINK("http://ts.21cn.com/tousu/show/id/1340866","利息太高并且不可以提前结清")</f>
        <v>利息太高并且不可以提前结清</v>
      </c>
      <c r="C9689" s="2" t="s">
        <v>9</v>
      </c>
      <c r="D9689" s="2" t="s">
        <v>10</v>
      </c>
      <c r="E9689" s="2" t="str">
        <f>HYPERLINK("http://ts.21cn.com/tousu/show/id/1340866","http://ts.21cn.com/tousu/show/id/1340866")</f>
        <v>http://ts.21cn.com/tousu/show/id/1340866</v>
      </c>
      <c r="F9689" s="2" t="s">
        <v>11</v>
      </c>
      <c r="G9689" s="2" t="s">
        <v>25108</v>
      </c>
      <c r="H9689" s="2" t="s">
        <v>25109</v>
      </c>
    </row>
    <row r="9690" spans="1:8" ht="25.05" customHeight="1" x14ac:dyDescent="0.25">
      <c r="A9690" s="2" t="s">
        <v>8</v>
      </c>
      <c r="B9690" s="2" t="str">
        <f>HYPERLINK("http://ts.21cn.com/tousu/show/id/1340867","滴滴系统漏洞导致司机拍取乘客肖像隐私")</f>
        <v>滴滴系统漏洞导致司机拍取乘客肖像隐私</v>
      </c>
      <c r="C9690" s="2" t="s">
        <v>9</v>
      </c>
      <c r="D9690" s="2" t="s">
        <v>10</v>
      </c>
      <c r="E9690" s="2" t="str">
        <f>HYPERLINK("http://ts.21cn.com/tousu/show/id/1340867","http://ts.21cn.com/tousu/show/id/1340867")</f>
        <v>http://ts.21cn.com/tousu/show/id/1340867</v>
      </c>
      <c r="F9690" s="2" t="s">
        <v>11</v>
      </c>
      <c r="G9690" s="2" t="s">
        <v>25106</v>
      </c>
      <c r="H9690" s="2" t="s">
        <v>25107</v>
      </c>
    </row>
    <row r="9691" spans="1:8" ht="25.05" customHeight="1" x14ac:dyDescent="0.25">
      <c r="A9691" s="2" t="s">
        <v>8</v>
      </c>
      <c r="B9691" s="2" t="str">
        <f>HYPERLINK("http://ts.21cn.com/tousu/show/id/1340869","你我贷利率过高")</f>
        <v>你我贷利率过高</v>
      </c>
      <c r="C9691" s="2" t="s">
        <v>9</v>
      </c>
      <c r="D9691" s="2" t="s">
        <v>10</v>
      </c>
      <c r="E9691" s="2" t="str">
        <f>HYPERLINK("http://ts.21cn.com/tousu/show/id/1340869","http://ts.21cn.com/tousu/show/id/1340869")</f>
        <v>http://ts.21cn.com/tousu/show/id/1340869</v>
      </c>
      <c r="F9691" s="2" t="s">
        <v>11</v>
      </c>
      <c r="G9691" s="2" t="s">
        <v>25104</v>
      </c>
      <c r="H9691" s="2" t="s">
        <v>25105</v>
      </c>
    </row>
    <row r="9692" spans="1:8" ht="25.05" customHeight="1" x14ac:dyDescent="0.25">
      <c r="A9692" s="2" t="s">
        <v>8</v>
      </c>
      <c r="B9692" s="2" t="str">
        <f>HYPERLINK("http://ts.21cn.com/tousu/show/id/1340870","聚福钱包未经许可私自扣款")</f>
        <v>聚福钱包未经许可私自扣款</v>
      </c>
      <c r="C9692" s="2" t="s">
        <v>9</v>
      </c>
      <c r="D9692" s="2" t="s">
        <v>10</v>
      </c>
      <c r="E9692" s="2" t="str">
        <f>HYPERLINK("http://ts.21cn.com/tousu/show/id/1340870","http://ts.21cn.com/tousu/show/id/1340870")</f>
        <v>http://ts.21cn.com/tousu/show/id/1340870</v>
      </c>
      <c r="F9692" s="2" t="s">
        <v>11</v>
      </c>
      <c r="G9692" s="2" t="s">
        <v>25102</v>
      </c>
      <c r="H9692" s="2" t="s">
        <v>25103</v>
      </c>
    </row>
    <row r="9693" spans="1:8" ht="25.05" customHeight="1" x14ac:dyDescent="0.25">
      <c r="A9693" s="2" t="s">
        <v>8</v>
      </c>
      <c r="B9693" s="2" t="str">
        <f>HYPERLINK("http://ts.21cn.com/tousu/show/id/1340871","信用管家未按照合同约定，恶意违约，不履行承诺")</f>
        <v>信用管家未按照合同约定，恶意违约，不履行承诺</v>
      </c>
      <c r="C9693" s="2" t="s">
        <v>9</v>
      </c>
      <c r="D9693" s="2" t="s">
        <v>10</v>
      </c>
      <c r="E9693" s="2" t="str">
        <f>HYPERLINK("http://ts.21cn.com/tousu/show/id/1340871","http://ts.21cn.com/tousu/show/id/1340871")</f>
        <v>http://ts.21cn.com/tousu/show/id/1340871</v>
      </c>
      <c r="F9693" s="2" t="s">
        <v>11</v>
      </c>
      <c r="G9693" s="2" t="s">
        <v>25100</v>
      </c>
      <c r="H9693" s="2" t="s">
        <v>25101</v>
      </c>
    </row>
    <row r="9694" spans="1:8" ht="25.05" customHeight="1" x14ac:dyDescent="0.25">
      <c r="A9694" s="2" t="s">
        <v>8</v>
      </c>
      <c r="B9694" s="2" t="str">
        <f>HYPERLINK("http://ts.21cn.com/tousu/show/id/1340872","客服服务态度不好")</f>
        <v>客服服务态度不好</v>
      </c>
      <c r="C9694" s="2" t="s">
        <v>9</v>
      </c>
      <c r="D9694" s="2" t="s">
        <v>10</v>
      </c>
      <c r="E9694" s="2" t="str">
        <f>HYPERLINK("http://ts.21cn.com/tousu/show/id/1340872","http://ts.21cn.com/tousu/show/id/1340872")</f>
        <v>http://ts.21cn.com/tousu/show/id/1340872</v>
      </c>
      <c r="F9694" s="2" t="s">
        <v>11</v>
      </c>
      <c r="G9694" s="2" t="s">
        <v>25098</v>
      </c>
      <c r="H9694" s="2" t="s">
        <v>25099</v>
      </c>
    </row>
    <row r="9695" spans="1:8" ht="25.05" customHeight="1" x14ac:dyDescent="0.25">
      <c r="A9695" s="2" t="s">
        <v>8</v>
      </c>
      <c r="B9695" s="2" t="str">
        <f>HYPERLINK("http://ts.21cn.com/tousu/show/id/1340874","购买游戏账号不发货要求退款")</f>
        <v>购买游戏账号不发货要求退款</v>
      </c>
      <c r="C9695" s="2" t="s">
        <v>9</v>
      </c>
      <c r="D9695" s="2" t="s">
        <v>10</v>
      </c>
      <c r="E9695" s="2" t="str">
        <f>HYPERLINK("http://ts.21cn.com/tousu/show/id/1340874","http://ts.21cn.com/tousu/show/id/1340874")</f>
        <v>http://ts.21cn.com/tousu/show/id/1340874</v>
      </c>
      <c r="F9695" s="2" t="s">
        <v>11</v>
      </c>
      <c r="G9695" s="2" t="s">
        <v>25096</v>
      </c>
      <c r="H9695" s="2" t="s">
        <v>25097</v>
      </c>
    </row>
    <row r="9696" spans="1:8" ht="25.05" customHeight="1" x14ac:dyDescent="0.25">
      <c r="A9696" s="2" t="s">
        <v>8</v>
      </c>
      <c r="B9696" s="2" t="str">
        <f>HYPERLINK("http://ts.21cn.com/tousu/show/id/1340875","砍头息，高利贷")</f>
        <v>砍头息，高利贷</v>
      </c>
      <c r="C9696" s="2" t="s">
        <v>9</v>
      </c>
      <c r="D9696" s="2" t="s">
        <v>10</v>
      </c>
      <c r="E9696" s="2" t="str">
        <f>HYPERLINK("http://ts.21cn.com/tousu/show/id/1340875","http://ts.21cn.com/tousu/show/id/1340875")</f>
        <v>http://ts.21cn.com/tousu/show/id/1340875</v>
      </c>
      <c r="F9696" s="2" t="s">
        <v>11</v>
      </c>
      <c r="G9696" s="2" t="s">
        <v>25094</v>
      </c>
      <c r="H9696" s="2" t="s">
        <v>25095</v>
      </c>
    </row>
    <row r="9697" spans="1:8" ht="25.05" customHeight="1" x14ac:dyDescent="0.25">
      <c r="A9697" s="2" t="s">
        <v>8</v>
      </c>
      <c r="B9697" s="2" t="str">
        <f>HYPERLINK("http://ts.21cn.com/tousu/show/id/1340876","信用管家利用违规手段操作，拒绝退款，客服坑")</f>
        <v>信用管家利用违规手段操作，拒绝退款，客服坑</v>
      </c>
      <c r="C9697" s="2" t="s">
        <v>9</v>
      </c>
      <c r="D9697" s="2" t="s">
        <v>10</v>
      </c>
      <c r="E9697" s="2" t="str">
        <f>HYPERLINK("http://ts.21cn.com/tousu/show/id/1340876","http://ts.21cn.com/tousu/show/id/1340876")</f>
        <v>http://ts.21cn.com/tousu/show/id/1340876</v>
      </c>
      <c r="F9697" s="2" t="s">
        <v>11</v>
      </c>
      <c r="G9697" s="2" t="s">
        <v>25092</v>
      </c>
      <c r="H9697" s="2" t="s">
        <v>25093</v>
      </c>
    </row>
    <row r="9698" spans="1:8" ht="25.05" customHeight="1" x14ac:dyDescent="0.25">
      <c r="A9698" s="2" t="s">
        <v>8</v>
      </c>
      <c r="B9698" s="2" t="str">
        <f>HYPERLINK("http://ts.21cn.com/tousu/show/id/1340877","滴滴不给我解除对公模式")</f>
        <v>滴滴不给我解除对公模式</v>
      </c>
      <c r="C9698" s="2" t="s">
        <v>9</v>
      </c>
      <c r="D9698" s="2" t="s">
        <v>10</v>
      </c>
      <c r="E9698" s="2" t="str">
        <f>HYPERLINK("http://ts.21cn.com/tousu/show/id/1340877","http://ts.21cn.com/tousu/show/id/1340877")</f>
        <v>http://ts.21cn.com/tousu/show/id/1340877</v>
      </c>
      <c r="F9698" s="2" t="s">
        <v>11</v>
      </c>
      <c r="G9698" s="2" t="s">
        <v>25090</v>
      </c>
      <c r="H9698" s="2" t="s">
        <v>25091</v>
      </c>
    </row>
    <row r="9699" spans="1:8" ht="25.05" customHeight="1" x14ac:dyDescent="0.25">
      <c r="A9699" s="2" t="s">
        <v>8</v>
      </c>
      <c r="B9699" s="2" t="str">
        <f>HYPERLINK("http://ts.21cn.com/tousu/show/id/1340868","被坑1500")</f>
        <v>被坑1500</v>
      </c>
      <c r="C9699" s="2" t="s">
        <v>9</v>
      </c>
      <c r="D9699" s="2" t="s">
        <v>10</v>
      </c>
      <c r="E9699" s="2" t="str">
        <f>HYPERLINK("http://ts.21cn.com/tousu/show/id/1340868","http://ts.21cn.com/tousu/show/id/1340868")</f>
        <v>http://ts.21cn.com/tousu/show/id/1340868</v>
      </c>
      <c r="F9699" s="2" t="s">
        <v>11</v>
      </c>
      <c r="G9699" s="2" t="s">
        <v>25088</v>
      </c>
      <c r="H9699" s="2" t="s">
        <v>25089</v>
      </c>
    </row>
    <row r="9700" spans="1:8" ht="25.05" customHeight="1" x14ac:dyDescent="0.25">
      <c r="A9700" s="2" t="s">
        <v>8</v>
      </c>
      <c r="B9700" s="2" t="str">
        <f>HYPERLINK("http://ts.21cn.com/tousu/show/id/1340878","信用管家平台为砍头息好运金推荐借款，高利贷")</f>
        <v>信用管家平台为砍头息好运金推荐借款，高利贷</v>
      </c>
      <c r="C9700" s="2" t="s">
        <v>9</v>
      </c>
      <c r="D9700" s="2" t="s">
        <v>10</v>
      </c>
      <c r="E9700" s="2" t="str">
        <f>HYPERLINK("http://ts.21cn.com/tousu/show/id/1340878","http://ts.21cn.com/tousu/show/id/1340878")</f>
        <v>http://ts.21cn.com/tousu/show/id/1340878</v>
      </c>
      <c r="F9700" s="2" t="s">
        <v>11</v>
      </c>
      <c r="G9700" s="2" t="s">
        <v>25086</v>
      </c>
      <c r="H9700" s="2" t="s">
        <v>25087</v>
      </c>
    </row>
    <row r="9701" spans="1:8" ht="25.05" customHeight="1" x14ac:dyDescent="0.25">
      <c r="A9701" s="2" t="s">
        <v>8</v>
      </c>
      <c r="B9701" s="2" t="str">
        <f>HYPERLINK("http://ts.21cn.com/tousu/show/id/1340879","信用管家冒充法院，读取犯罪条款恐吓借款人，进行催收")</f>
        <v>信用管家冒充法院，读取犯罪条款恐吓借款人，进行催收</v>
      </c>
      <c r="C9701" s="2" t="s">
        <v>9</v>
      </c>
      <c r="D9701" s="2" t="s">
        <v>10</v>
      </c>
      <c r="E9701" s="2" t="str">
        <f>HYPERLINK("http://ts.21cn.com/tousu/show/id/1340879","http://ts.21cn.com/tousu/show/id/1340879")</f>
        <v>http://ts.21cn.com/tousu/show/id/1340879</v>
      </c>
      <c r="F9701" s="2" t="s">
        <v>11</v>
      </c>
      <c r="G9701" s="2" t="s">
        <v>25084</v>
      </c>
      <c r="H9701" s="2" t="s">
        <v>25085</v>
      </c>
    </row>
    <row r="9702" spans="1:8" ht="25.05" customHeight="1" x14ac:dyDescent="0.25">
      <c r="A9702" s="2" t="s">
        <v>8</v>
      </c>
      <c r="B9702" s="2" t="str">
        <f>HYPERLINK("http://ts.21cn.com/tousu/show/id/1340882","宜人贷利率过高")</f>
        <v>宜人贷利率过高</v>
      </c>
      <c r="C9702" s="2" t="s">
        <v>9</v>
      </c>
      <c r="D9702" s="2" t="s">
        <v>10</v>
      </c>
      <c r="E9702" s="2" t="str">
        <f>HYPERLINK("http://ts.21cn.com/tousu/show/id/1340882","http://ts.21cn.com/tousu/show/id/1340882")</f>
        <v>http://ts.21cn.com/tousu/show/id/1340882</v>
      </c>
      <c r="F9702" s="2" t="s">
        <v>11</v>
      </c>
      <c r="G9702" s="2" t="s">
        <v>25082</v>
      </c>
      <c r="H9702" s="2" t="s">
        <v>25083</v>
      </c>
    </row>
    <row r="9703" spans="1:8" ht="25.05" customHeight="1" x14ac:dyDescent="0.25">
      <c r="A9703" s="2" t="s">
        <v>8</v>
      </c>
      <c r="B9703" s="2" t="str">
        <f>HYPERLINK("http://ts.21cn.com/tousu/show/id/1340881","利息问题需要处理")</f>
        <v>利息问题需要处理</v>
      </c>
      <c r="C9703" s="2" t="s">
        <v>9</v>
      </c>
      <c r="D9703" s="2" t="s">
        <v>10</v>
      </c>
      <c r="E9703" s="2" t="str">
        <f>HYPERLINK("http://ts.21cn.com/tousu/show/id/1340881","http://ts.21cn.com/tousu/show/id/1340881")</f>
        <v>http://ts.21cn.com/tousu/show/id/1340881</v>
      </c>
      <c r="F9703" s="2" t="s">
        <v>11</v>
      </c>
      <c r="G9703" s="2" t="s">
        <v>25080</v>
      </c>
      <c r="H9703" s="2" t="s">
        <v>25081</v>
      </c>
    </row>
    <row r="9704" spans="1:8" ht="25.05" customHeight="1" x14ac:dyDescent="0.25">
      <c r="A9704" s="2" t="s">
        <v>8</v>
      </c>
      <c r="B9704" s="2" t="str">
        <f>HYPERLINK("http://ts.21cn.com/tousu/show/id/1340883","四川移动不给客户办理8飞享套餐")</f>
        <v>四川移动不给客户办理8飞享套餐</v>
      </c>
      <c r="C9704" s="2" t="s">
        <v>9</v>
      </c>
      <c r="D9704" s="2" t="s">
        <v>10</v>
      </c>
      <c r="E9704" s="2" t="str">
        <f>HYPERLINK("http://ts.21cn.com/tousu/show/id/1340883","http://ts.21cn.com/tousu/show/id/1340883")</f>
        <v>http://ts.21cn.com/tousu/show/id/1340883</v>
      </c>
      <c r="F9704" s="2" t="s">
        <v>11</v>
      </c>
      <c r="G9704" s="2" t="s">
        <v>25078</v>
      </c>
      <c r="H9704" s="2" t="s">
        <v>25079</v>
      </c>
    </row>
    <row r="9705" spans="1:8" ht="25.05" customHeight="1" x14ac:dyDescent="0.25">
      <c r="A9705" s="2" t="s">
        <v>8</v>
      </c>
      <c r="B9705" s="2" t="str">
        <f>HYPERLINK("http://ts.21cn.com/tousu/show/id/1340885","乘客损坏车辆公司扣罚司机钱")</f>
        <v>乘客损坏车辆公司扣罚司机钱</v>
      </c>
      <c r="C9705" s="2" t="s">
        <v>9</v>
      </c>
      <c r="D9705" s="2" t="s">
        <v>10</v>
      </c>
      <c r="E9705" s="2" t="str">
        <f>HYPERLINK("http://ts.21cn.com/tousu/show/id/1340885","http://ts.21cn.com/tousu/show/id/1340885")</f>
        <v>http://ts.21cn.com/tousu/show/id/1340885</v>
      </c>
      <c r="F9705" s="2" t="s">
        <v>11</v>
      </c>
      <c r="G9705" s="2" t="s">
        <v>25076</v>
      </c>
      <c r="H9705" s="2" t="s">
        <v>25077</v>
      </c>
    </row>
    <row r="9706" spans="1:8" ht="25.05" customHeight="1" x14ac:dyDescent="0.25">
      <c r="A9706" s="2" t="s">
        <v>8</v>
      </c>
      <c r="B9706" s="2" t="str">
        <f>HYPERLINK("http://ts.21cn.com/tousu/show/id/1340884","微转转提现不到账")</f>
        <v>微转转提现不到账</v>
      </c>
      <c r="C9706" s="2" t="s">
        <v>9</v>
      </c>
      <c r="D9706" s="2" t="s">
        <v>10</v>
      </c>
      <c r="E9706" s="2" t="str">
        <f>HYPERLINK("http://ts.21cn.com/tousu/show/id/1340884","http://ts.21cn.com/tousu/show/id/1340884")</f>
        <v>http://ts.21cn.com/tousu/show/id/1340884</v>
      </c>
      <c r="F9706" s="2" t="s">
        <v>11</v>
      </c>
      <c r="G9706" s="2" t="s">
        <v>25074</v>
      </c>
      <c r="H9706" s="2" t="s">
        <v>25075</v>
      </c>
    </row>
    <row r="9707" spans="1:8" ht="25.05" customHeight="1" x14ac:dyDescent="0.25">
      <c r="A9707" s="2" t="s">
        <v>8</v>
      </c>
      <c r="B9707" s="2" t="str">
        <f>HYPERLINK("http://ts.21cn.com/tousu/show/id/1340886","现金借款（北京领岳信息技术有限公司）")</f>
        <v>现金借款（北京领岳信息技术有限公司）</v>
      </c>
      <c r="C9707" s="2" t="s">
        <v>9</v>
      </c>
      <c r="D9707" s="2" t="s">
        <v>10</v>
      </c>
      <c r="E9707" s="2" t="str">
        <f>HYPERLINK("http://ts.21cn.com/tousu/show/id/1340886","http://ts.21cn.com/tousu/show/id/1340886")</f>
        <v>http://ts.21cn.com/tousu/show/id/1340886</v>
      </c>
      <c r="F9707" s="2" t="s">
        <v>11</v>
      </c>
      <c r="G9707" s="2" t="s">
        <v>25072</v>
      </c>
      <c r="H9707" s="2" t="s">
        <v>25073</v>
      </c>
    </row>
    <row r="9708" spans="1:8" ht="25.05" customHeight="1" x14ac:dyDescent="0.25">
      <c r="A9708" s="2" t="s">
        <v>8</v>
      </c>
      <c r="B9708" s="2" t="str">
        <f>HYPERLINK("http://ts.21cn.com/tousu/show/id/1340887","及贷收取砍头息")</f>
        <v>及贷收取砍头息</v>
      </c>
      <c r="C9708" s="2" t="s">
        <v>9</v>
      </c>
      <c r="D9708" s="2" t="s">
        <v>10</v>
      </c>
      <c r="E9708" s="2" t="str">
        <f>HYPERLINK("http://ts.21cn.com/tousu/show/id/1340887","http://ts.21cn.com/tousu/show/id/1340887")</f>
        <v>http://ts.21cn.com/tousu/show/id/1340887</v>
      </c>
      <c r="F9708" s="2" t="s">
        <v>11</v>
      </c>
      <c r="G9708" s="2" t="s">
        <v>25070</v>
      </c>
      <c r="H9708" s="2" t="s">
        <v>25071</v>
      </c>
    </row>
    <row r="9709" spans="1:8" ht="25.05" customHeight="1" x14ac:dyDescent="0.25">
      <c r="A9709" s="2" t="s">
        <v>8</v>
      </c>
      <c r="B9709" s="2" t="str">
        <f>HYPERLINK("http://ts.21cn.com/tousu/show/id/1340889","安逸花冻结我账户")</f>
        <v>安逸花冻结我账户</v>
      </c>
      <c r="C9709" s="2" t="s">
        <v>34</v>
      </c>
      <c r="D9709" s="2" t="s">
        <v>10</v>
      </c>
      <c r="E9709" s="2" t="str">
        <f>HYPERLINK("http://ts.21cn.com/tousu/show/id/1340889","http://ts.21cn.com/tousu/show/id/1340889")</f>
        <v>http://ts.21cn.com/tousu/show/id/1340889</v>
      </c>
      <c r="F9709" s="2" t="s">
        <v>11</v>
      </c>
      <c r="G9709" s="2" t="s">
        <v>25068</v>
      </c>
      <c r="H9709" s="2" t="s">
        <v>25069</v>
      </c>
    </row>
    <row r="9710" spans="1:8" ht="25.05" customHeight="1" x14ac:dyDescent="0.25">
      <c r="A9710" s="2" t="s">
        <v>8</v>
      </c>
      <c r="B9710" s="2" t="str">
        <f>HYPERLINK("http://ts.21cn.com/tousu/show/id/1340890","信用管家正常还款第三期就被冻结不能再分期要求全额还清，这不是坑害吗")</f>
        <v>信用管家正常还款第三期就被冻结不能再分期要求全额还清，这不是坑害吗</v>
      </c>
      <c r="C9710" s="2" t="s">
        <v>34</v>
      </c>
      <c r="D9710" s="2" t="s">
        <v>10</v>
      </c>
      <c r="E9710" s="2" t="str">
        <f>HYPERLINK("http://ts.21cn.com/tousu/show/id/1340890","http://ts.21cn.com/tousu/show/id/1340890")</f>
        <v>http://ts.21cn.com/tousu/show/id/1340890</v>
      </c>
      <c r="F9710" s="2" t="s">
        <v>11</v>
      </c>
      <c r="G9710" s="2" t="s">
        <v>25066</v>
      </c>
      <c r="H9710" s="2" t="s">
        <v>25067</v>
      </c>
    </row>
    <row r="9711" spans="1:8" ht="25.05" customHeight="1" x14ac:dyDescent="0.25">
      <c r="A9711" s="2" t="s">
        <v>8</v>
      </c>
      <c r="B9711" s="2" t="str">
        <f>HYPERLINK("http://ts.21cn.com/tousu/show/id/1340892","360借条骚扰我")</f>
        <v>360借条骚扰我</v>
      </c>
      <c r="C9711" s="2" t="s">
        <v>9</v>
      </c>
      <c r="D9711" s="2" t="s">
        <v>10</v>
      </c>
      <c r="E9711" s="2" t="str">
        <f>HYPERLINK("http://ts.21cn.com/tousu/show/id/1340892","http://ts.21cn.com/tousu/show/id/1340892")</f>
        <v>http://ts.21cn.com/tousu/show/id/1340892</v>
      </c>
      <c r="F9711" s="2" t="s">
        <v>11</v>
      </c>
      <c r="G9711" s="2" t="s">
        <v>25064</v>
      </c>
      <c r="H9711" s="2" t="s">
        <v>25065</v>
      </c>
    </row>
    <row r="9712" spans="1:8" ht="25.05" customHeight="1" x14ac:dyDescent="0.25">
      <c r="A9712" s="2" t="s">
        <v>8</v>
      </c>
      <c r="B9712" s="2" t="str">
        <f>HYPERLINK("http://ts.21cn.com/tousu/show/id/1340891","账号登陆不了")</f>
        <v>账号登陆不了</v>
      </c>
      <c r="C9712" s="2" t="s">
        <v>34</v>
      </c>
      <c r="D9712" s="2" t="s">
        <v>10</v>
      </c>
      <c r="E9712" s="2" t="str">
        <f>HYPERLINK("http://ts.21cn.com/tousu/show/id/1340891","http://ts.21cn.com/tousu/show/id/1340891")</f>
        <v>http://ts.21cn.com/tousu/show/id/1340891</v>
      </c>
      <c r="F9712" s="2" t="s">
        <v>11</v>
      </c>
      <c r="G9712" s="2" t="s">
        <v>25062</v>
      </c>
      <c r="H9712" s="2" t="s">
        <v>25063</v>
      </c>
    </row>
    <row r="9713" spans="1:8" ht="25.05" customHeight="1" x14ac:dyDescent="0.25">
      <c r="A9713" s="2" t="s">
        <v>8</v>
      </c>
      <c r="B9713" s="2" t="str">
        <f>HYPERLINK("http://ts.21cn.com/tousu/show/id/1340893","滴滴平台恶意扣成交率")</f>
        <v>滴滴平台恶意扣成交率</v>
      </c>
      <c r="C9713" s="2" t="s">
        <v>9</v>
      </c>
      <c r="D9713" s="2" t="s">
        <v>10</v>
      </c>
      <c r="E9713" s="2" t="str">
        <f>HYPERLINK("http://ts.21cn.com/tousu/show/id/1340893","http://ts.21cn.com/tousu/show/id/1340893")</f>
        <v>http://ts.21cn.com/tousu/show/id/1340893</v>
      </c>
      <c r="F9713" s="2" t="s">
        <v>11</v>
      </c>
      <c r="G9713" s="2" t="s">
        <v>25060</v>
      </c>
      <c r="H9713" s="2" t="s">
        <v>25061</v>
      </c>
    </row>
    <row r="9714" spans="1:8" ht="25.05" customHeight="1" x14ac:dyDescent="0.25">
      <c r="A9714" s="2" t="s">
        <v>8</v>
      </c>
      <c r="B9714" s="2" t="str">
        <f>HYPERLINK("http://ts.21cn.com/tousu/show/id/1340894","新浪卡贷已经还款app显示逾期")</f>
        <v>新浪卡贷已经还款app显示逾期</v>
      </c>
      <c r="C9714" s="2" t="s">
        <v>9</v>
      </c>
      <c r="D9714" s="2" t="s">
        <v>10</v>
      </c>
      <c r="E9714" s="2" t="str">
        <f>HYPERLINK("http://ts.21cn.com/tousu/show/id/1340894","http://ts.21cn.com/tousu/show/id/1340894")</f>
        <v>http://ts.21cn.com/tousu/show/id/1340894</v>
      </c>
      <c r="F9714" s="2" t="s">
        <v>11</v>
      </c>
      <c r="G9714" s="2" t="s">
        <v>25058</v>
      </c>
      <c r="H9714" s="2" t="s">
        <v>25059</v>
      </c>
    </row>
    <row r="9715" spans="1:8" ht="25.05" customHeight="1" x14ac:dyDescent="0.25">
      <c r="A9715" s="2" t="s">
        <v>8</v>
      </c>
      <c r="B9715" s="2" t="str">
        <f>HYPERLINK("http://ts.21cn.com/tousu/show/id/1340895","玖富万卡虚增借款合同，恶意绑定保险，")</f>
        <v>玖富万卡虚增借款合同，恶意绑定保险，</v>
      </c>
      <c r="C9715" s="2" t="s">
        <v>9</v>
      </c>
      <c r="D9715" s="2" t="s">
        <v>10</v>
      </c>
      <c r="E9715" s="2" t="str">
        <f>HYPERLINK("http://ts.21cn.com/tousu/show/id/1340895","http://ts.21cn.com/tousu/show/id/1340895")</f>
        <v>http://ts.21cn.com/tousu/show/id/1340895</v>
      </c>
      <c r="F9715" s="2" t="s">
        <v>11</v>
      </c>
      <c r="G9715" s="2" t="s">
        <v>25056</v>
      </c>
      <c r="H9715" s="2" t="s">
        <v>25057</v>
      </c>
    </row>
    <row r="9716" spans="1:8" ht="25.05" customHeight="1" x14ac:dyDescent="0.25">
      <c r="A9716" s="2" t="s">
        <v>8</v>
      </c>
      <c r="B9716" s="2" t="str">
        <f>HYPERLINK("http://ts.21cn.com/tousu/show/id/1340896","洋钱罐借款利率过高")</f>
        <v>洋钱罐借款利率过高</v>
      </c>
      <c r="C9716" s="2" t="s">
        <v>9</v>
      </c>
      <c r="D9716" s="2" t="s">
        <v>10</v>
      </c>
      <c r="E9716" s="2" t="str">
        <f>HYPERLINK("http://ts.21cn.com/tousu/show/id/1340896","http://ts.21cn.com/tousu/show/id/1340896")</f>
        <v>http://ts.21cn.com/tousu/show/id/1340896</v>
      </c>
      <c r="F9716" s="2" t="s">
        <v>11</v>
      </c>
      <c r="G9716" s="2" t="s">
        <v>25053</v>
      </c>
      <c r="H9716" s="2" t="s">
        <v>25054</v>
      </c>
    </row>
    <row r="9717" spans="1:8" ht="25.05" customHeight="1" x14ac:dyDescent="0.25">
      <c r="A9717" s="2" t="s">
        <v>8</v>
      </c>
      <c r="B9717" s="2" t="str">
        <f>HYPERLINK("http://ts.21cn.com/tousu/show/id/1340897","不合理催收")</f>
        <v>不合理催收</v>
      </c>
      <c r="C9717" s="2" t="s">
        <v>9</v>
      </c>
      <c r="D9717" s="2" t="s">
        <v>10</v>
      </c>
      <c r="E9717" s="2" t="str">
        <f>HYPERLINK("http://ts.21cn.com/tousu/show/id/1340897","http://ts.21cn.com/tousu/show/id/1340897")</f>
        <v>http://ts.21cn.com/tousu/show/id/1340897</v>
      </c>
      <c r="F9717" s="2" t="s">
        <v>11</v>
      </c>
      <c r="G9717" s="2" t="s">
        <v>25053</v>
      </c>
      <c r="H9717" s="2" t="s">
        <v>25055</v>
      </c>
    </row>
    <row r="9718" spans="1:8" ht="25.05" customHeight="1" x14ac:dyDescent="0.25">
      <c r="A9718" s="2" t="s">
        <v>8</v>
      </c>
      <c r="B9718" s="2" t="str">
        <f>HYPERLINK("http://ts.21cn.com/tousu/show/id/1340898","信用管家放款时变相的扣除所谓的保险费以及信审费用，都没听说过")</f>
        <v>信用管家放款时变相的扣除所谓的保险费以及信审费用，都没听说过</v>
      </c>
      <c r="C9718" s="2" t="s">
        <v>9</v>
      </c>
      <c r="D9718" s="2" t="s">
        <v>10</v>
      </c>
      <c r="E9718" s="2" t="str">
        <f>HYPERLINK("http://ts.21cn.com/tousu/show/id/1340898","http://ts.21cn.com/tousu/show/id/1340898")</f>
        <v>http://ts.21cn.com/tousu/show/id/1340898</v>
      </c>
      <c r="F9718" s="2" t="s">
        <v>11</v>
      </c>
      <c r="G9718" s="2" t="s">
        <v>25051</v>
      </c>
      <c r="H9718" s="2" t="s">
        <v>25052</v>
      </c>
    </row>
    <row r="9719" spans="1:8" ht="25.05" customHeight="1" x14ac:dyDescent="0.25">
      <c r="A9719" s="2" t="s">
        <v>8</v>
      </c>
      <c r="B9719" s="2" t="str">
        <f>HYPERLINK("http://ts.21cn.com/tousu/show/id/1340899","黑心网贷，暴利催收骚扰联系人")</f>
        <v>黑心网贷，暴利催收骚扰联系人</v>
      </c>
      <c r="C9719" s="2" t="s">
        <v>9</v>
      </c>
      <c r="D9719" s="2" t="s">
        <v>10</v>
      </c>
      <c r="E9719" s="2" t="str">
        <f>HYPERLINK("http://ts.21cn.com/tousu/show/id/1340899","http://ts.21cn.com/tousu/show/id/1340899")</f>
        <v>http://ts.21cn.com/tousu/show/id/1340899</v>
      </c>
      <c r="F9719" s="2" t="s">
        <v>11</v>
      </c>
      <c r="G9719" s="2" t="s">
        <v>25049</v>
      </c>
      <c r="H9719" s="2" t="s">
        <v>25050</v>
      </c>
    </row>
    <row r="9720" spans="1:8" ht="25.05" customHeight="1" x14ac:dyDescent="0.25">
      <c r="A9720" s="2" t="s">
        <v>8</v>
      </c>
      <c r="B9720" s="2" t="str">
        <f>HYPERLINK("http://ts.21cn.com/tousu/show/id/1340901","注册app未经同意私自扣款299元")</f>
        <v>注册app未经同意私自扣款299元</v>
      </c>
      <c r="C9720" s="2" t="s">
        <v>9</v>
      </c>
      <c r="D9720" s="2" t="s">
        <v>10</v>
      </c>
      <c r="E9720" s="2" t="str">
        <f>HYPERLINK("http://ts.21cn.com/tousu/show/id/1340901","http://ts.21cn.com/tousu/show/id/1340901")</f>
        <v>http://ts.21cn.com/tousu/show/id/1340901</v>
      </c>
      <c r="F9720" s="2" t="s">
        <v>11</v>
      </c>
      <c r="G9720" s="2" t="s">
        <v>25047</v>
      </c>
      <c r="H9720" s="2" t="s">
        <v>25048</v>
      </c>
    </row>
    <row r="9721" spans="1:8" ht="25.05" customHeight="1" x14ac:dyDescent="0.25">
      <c r="A9721" s="2" t="s">
        <v>8</v>
      </c>
      <c r="B9721" s="2" t="str">
        <f>HYPERLINK("http://ts.21cn.com/tousu/show/id/1340900","啃爹的APP")</f>
        <v>啃爹的APP</v>
      </c>
      <c r="C9721" s="2" t="s">
        <v>9</v>
      </c>
      <c r="D9721" s="2" t="s">
        <v>10</v>
      </c>
      <c r="E9721" s="2" t="str">
        <f>HYPERLINK("http://ts.21cn.com/tousu/show/id/1340900","http://ts.21cn.com/tousu/show/id/1340900")</f>
        <v>http://ts.21cn.com/tousu/show/id/1340900</v>
      </c>
      <c r="F9721" s="2" t="s">
        <v>11</v>
      </c>
      <c r="G9721" s="2" t="s">
        <v>25045</v>
      </c>
      <c r="H9721" s="2" t="s">
        <v>25046</v>
      </c>
    </row>
    <row r="9722" spans="1:8" ht="25.05" customHeight="1" x14ac:dyDescent="0.25">
      <c r="A9722" s="2" t="s">
        <v>8</v>
      </c>
      <c r="B9722" s="2" t="str">
        <f>HYPERLINK("http://ts.21cn.com/tousu/show/id/1340902","威胁爆通讯录")</f>
        <v>威胁爆通讯录</v>
      </c>
      <c r="C9722" s="2" t="s">
        <v>9</v>
      </c>
      <c r="D9722" s="2" t="s">
        <v>10</v>
      </c>
      <c r="E9722" s="2" t="str">
        <f>HYPERLINK("http://ts.21cn.com/tousu/show/id/1340902","http://ts.21cn.com/tousu/show/id/1340902")</f>
        <v>http://ts.21cn.com/tousu/show/id/1340902</v>
      </c>
      <c r="F9722" s="2" t="s">
        <v>11</v>
      </c>
      <c r="G9722" s="2" t="s">
        <v>25043</v>
      </c>
      <c r="H9722" s="2" t="s">
        <v>25044</v>
      </c>
    </row>
    <row r="9723" spans="1:8" ht="25.05" customHeight="1" x14ac:dyDescent="0.25">
      <c r="A9723" s="2" t="s">
        <v>8</v>
      </c>
      <c r="B9723" s="2" t="str">
        <f>HYPERLINK("http://ts.21cn.com/tousu/show/id/1340903","信用管家恶意冻结借款人银行卡，还款日还款失败，这样的损失谁来承担")</f>
        <v>信用管家恶意冻结借款人银行卡，还款日还款失败，这样的损失谁来承担</v>
      </c>
      <c r="C9723" s="2" t="s">
        <v>9</v>
      </c>
      <c r="D9723" s="2" t="s">
        <v>10</v>
      </c>
      <c r="E9723" s="2" t="str">
        <f>HYPERLINK("http://ts.21cn.com/tousu/show/id/1340903","http://ts.21cn.com/tousu/show/id/1340903")</f>
        <v>http://ts.21cn.com/tousu/show/id/1340903</v>
      </c>
      <c r="F9723" s="2" t="s">
        <v>11</v>
      </c>
      <c r="G9723" s="2" t="s">
        <v>25041</v>
      </c>
      <c r="H9723" s="2" t="s">
        <v>25042</v>
      </c>
    </row>
    <row r="9724" spans="1:8" ht="25.05" customHeight="1" x14ac:dyDescent="0.25">
      <c r="A9724" s="2" t="s">
        <v>8</v>
      </c>
      <c r="B9724" s="2" t="str">
        <f>HYPERLINK("http://ts.21cn.com/tousu/show/id/1340904","支付宝无故限制我账号的收款功能")</f>
        <v>支付宝无故限制我账号的收款功能</v>
      </c>
      <c r="C9724" s="2" t="s">
        <v>9</v>
      </c>
      <c r="D9724" s="2" t="s">
        <v>10</v>
      </c>
      <c r="E9724" s="2" t="str">
        <f>HYPERLINK("http://ts.21cn.com/tousu/show/id/1340904","http://ts.21cn.com/tousu/show/id/1340904")</f>
        <v>http://ts.21cn.com/tousu/show/id/1340904</v>
      </c>
      <c r="F9724" s="2" t="s">
        <v>11</v>
      </c>
      <c r="G9724" s="2" t="s">
        <v>25039</v>
      </c>
      <c r="H9724" s="2" t="s">
        <v>25040</v>
      </c>
    </row>
    <row r="9725" spans="1:8" ht="25.05" customHeight="1" x14ac:dyDescent="0.25">
      <c r="A9725" s="2" t="s">
        <v>8</v>
      </c>
      <c r="B9725" s="2" t="str">
        <f>HYPERLINK("http://ts.21cn.com/tousu/show/id/1338540","聚富分期未经用户允许擅自扣费评估费299")</f>
        <v>聚富分期未经用户允许擅自扣费评估费299</v>
      </c>
      <c r="C9725" s="2" t="s">
        <v>9</v>
      </c>
      <c r="D9725" s="2" t="s">
        <v>10</v>
      </c>
      <c r="E9725" s="2" t="str">
        <f>HYPERLINK("http://ts.21cn.com/tousu/show/id/1338540","http://ts.21cn.com/tousu/show/id/1338540")</f>
        <v>http://ts.21cn.com/tousu/show/id/1338540</v>
      </c>
      <c r="F9725" s="2" t="s">
        <v>11</v>
      </c>
      <c r="G9725" s="2" t="s">
        <v>25037</v>
      </c>
      <c r="H9725" s="2" t="s">
        <v>25038</v>
      </c>
    </row>
    <row r="9726" spans="1:8" ht="25.05" customHeight="1" x14ac:dyDescent="0.25">
      <c r="A9726" s="2" t="s">
        <v>8</v>
      </c>
      <c r="B9726" s="2" t="str">
        <f>HYPERLINK("http://ts.21cn.com/tousu/show/id/1340880","砍头息套贷")</f>
        <v>砍头息套贷</v>
      </c>
      <c r="C9726" s="2" t="s">
        <v>9</v>
      </c>
      <c r="D9726" s="2" t="s">
        <v>10</v>
      </c>
      <c r="E9726" s="2" t="str">
        <f>HYPERLINK("http://ts.21cn.com/tousu/show/id/1340880","http://ts.21cn.com/tousu/show/id/1340880")</f>
        <v>http://ts.21cn.com/tousu/show/id/1340880</v>
      </c>
      <c r="F9726" s="2" t="s">
        <v>11</v>
      </c>
      <c r="G9726" s="2" t="s">
        <v>25035</v>
      </c>
      <c r="H9726" s="2" t="s">
        <v>25036</v>
      </c>
    </row>
    <row r="9727" spans="1:8" ht="25.05" customHeight="1" x14ac:dyDescent="0.25">
      <c r="A9727" s="2" t="s">
        <v>8</v>
      </c>
      <c r="B9727" s="2" t="str">
        <f>HYPERLINK("http://ts.21cn.com/tousu/show/id/1340905","收取高额服务费")</f>
        <v>收取高额服务费</v>
      </c>
      <c r="C9727" s="2" t="s">
        <v>9</v>
      </c>
      <c r="D9727" s="2" t="s">
        <v>10</v>
      </c>
      <c r="E9727" s="2" t="str">
        <f>HYPERLINK("http://ts.21cn.com/tousu/show/id/1340905","http://ts.21cn.com/tousu/show/id/1340905")</f>
        <v>http://ts.21cn.com/tousu/show/id/1340905</v>
      </c>
      <c r="F9727" s="2" t="s">
        <v>11</v>
      </c>
      <c r="G9727" s="2" t="s">
        <v>25033</v>
      </c>
      <c r="H9727" s="2" t="s">
        <v>25034</v>
      </c>
    </row>
    <row r="9728" spans="1:8" ht="25.05" customHeight="1" x14ac:dyDescent="0.25">
      <c r="A9728" s="2" t="s">
        <v>8</v>
      </c>
      <c r="B9728" s="2" t="str">
        <f>HYPERLINK("http://ts.21cn.com/tousu/show/id/1340906","投诉银联支付和支付宝为高利贷平台马上金融提供支付通道")</f>
        <v>投诉银联支付和支付宝为高利贷平台马上金融提供支付通道</v>
      </c>
      <c r="C9728" s="2" t="s">
        <v>9</v>
      </c>
      <c r="D9728" s="2" t="s">
        <v>10</v>
      </c>
      <c r="E9728" s="2" t="str">
        <f>HYPERLINK("http://ts.21cn.com/tousu/show/id/1340906","http://ts.21cn.com/tousu/show/id/1340906")</f>
        <v>http://ts.21cn.com/tousu/show/id/1340906</v>
      </c>
      <c r="F9728" s="2" t="s">
        <v>11</v>
      </c>
      <c r="G9728" s="2" t="s">
        <v>25031</v>
      </c>
      <c r="H9728" s="2" t="s">
        <v>25032</v>
      </c>
    </row>
    <row r="9729" spans="1:8" ht="25.05" customHeight="1" x14ac:dyDescent="0.25">
      <c r="A9729" s="2" t="s">
        <v>8</v>
      </c>
      <c r="B9729" s="2" t="str">
        <f>HYPERLINK("http://ts.21cn.com/tousu/show/id/1340907","宜人贷高利贷，砍头息，超过逾期费")</f>
        <v>宜人贷高利贷，砍头息，超过逾期费</v>
      </c>
      <c r="C9729" s="2" t="s">
        <v>9</v>
      </c>
      <c r="D9729" s="2" t="s">
        <v>10</v>
      </c>
      <c r="E9729" s="2" t="str">
        <f>HYPERLINK("http://ts.21cn.com/tousu/show/id/1340907","http://ts.21cn.com/tousu/show/id/1340907")</f>
        <v>http://ts.21cn.com/tousu/show/id/1340907</v>
      </c>
      <c r="F9729" s="2" t="s">
        <v>11</v>
      </c>
      <c r="G9729" s="2" t="s">
        <v>25029</v>
      </c>
      <c r="H9729" s="2" t="s">
        <v>25030</v>
      </c>
    </row>
    <row r="9730" spans="1:8" ht="25.05" customHeight="1" x14ac:dyDescent="0.25">
      <c r="A9730" s="2" t="s">
        <v>8</v>
      </c>
      <c r="B9730" s="2" t="str">
        <f>HYPERLINK("http://ts.21cn.com/tousu/show/id/1340908","代帮主高利贷")</f>
        <v>代帮主高利贷</v>
      </c>
      <c r="C9730" s="2" t="s">
        <v>9</v>
      </c>
      <c r="D9730" s="2" t="s">
        <v>10</v>
      </c>
      <c r="E9730" s="2" t="str">
        <f>HYPERLINK("http://ts.21cn.com/tousu/show/id/1340908","http://ts.21cn.com/tousu/show/id/1340908")</f>
        <v>http://ts.21cn.com/tousu/show/id/1340908</v>
      </c>
      <c r="F9730" s="2" t="s">
        <v>11</v>
      </c>
      <c r="G9730" s="2" t="s">
        <v>25027</v>
      </c>
      <c r="H9730" s="2" t="s">
        <v>25028</v>
      </c>
    </row>
    <row r="9731" spans="1:8" ht="25.05" customHeight="1" x14ac:dyDescent="0.25">
      <c r="A9731" s="2" t="s">
        <v>8</v>
      </c>
      <c r="B9731" s="2" t="str">
        <f>HYPERLINK("http://ts.21cn.com/tousu/show/id/1340909","谁来拯救我哥哥")</f>
        <v>谁来拯救我哥哥</v>
      </c>
      <c r="C9731" s="2" t="s">
        <v>9</v>
      </c>
      <c r="D9731" s="2" t="s">
        <v>10</v>
      </c>
      <c r="E9731" s="2" t="str">
        <f>HYPERLINK("http://ts.21cn.com/tousu/show/id/1340909","http://ts.21cn.com/tousu/show/id/1340909")</f>
        <v>http://ts.21cn.com/tousu/show/id/1340909</v>
      </c>
      <c r="F9731" s="2" t="s">
        <v>11</v>
      </c>
      <c r="G9731" s="2" t="s">
        <v>25025</v>
      </c>
      <c r="H9731" s="2" t="s">
        <v>25026</v>
      </c>
    </row>
    <row r="9732" spans="1:8" ht="25.05" customHeight="1" x14ac:dyDescent="0.25">
      <c r="A9732" s="2" t="s">
        <v>8</v>
      </c>
      <c r="B9732" s="2" t="str">
        <f>HYPERLINK("http://ts.21cn.com/tousu/show/id/1340911","征信还款金额与实际还款金额不一致，还捆绑保险")</f>
        <v>征信还款金额与实际还款金额不一致，还捆绑保险</v>
      </c>
      <c r="C9732" s="2" t="s">
        <v>9</v>
      </c>
      <c r="D9732" s="2" t="s">
        <v>10</v>
      </c>
      <c r="E9732" s="2" t="str">
        <f>HYPERLINK("http://ts.21cn.com/tousu/show/id/1340911","http://ts.21cn.com/tousu/show/id/1340911")</f>
        <v>http://ts.21cn.com/tousu/show/id/1340911</v>
      </c>
      <c r="F9732" s="2" t="s">
        <v>11</v>
      </c>
      <c r="G9732" s="2" t="s">
        <v>25023</v>
      </c>
      <c r="H9732" s="2" t="s">
        <v>25024</v>
      </c>
    </row>
    <row r="9733" spans="1:8" ht="25.05" customHeight="1" x14ac:dyDescent="0.25">
      <c r="A9733" s="2" t="s">
        <v>8</v>
      </c>
      <c r="B9733" s="2" t="str">
        <f>HYPERLINK("http://ts.21cn.com/tousu/show/id/1340910","信用管家向在校大学生放贷，而且利息高，侵犯个人隐私，犯法行为严重")</f>
        <v>信用管家向在校大学生放贷，而且利息高，侵犯个人隐私，犯法行为严重</v>
      </c>
      <c r="C9733" s="2" t="s">
        <v>9</v>
      </c>
      <c r="D9733" s="2" t="s">
        <v>10</v>
      </c>
      <c r="E9733" s="2" t="str">
        <f>HYPERLINK("http://ts.21cn.com/tousu/show/id/1340910","http://ts.21cn.com/tousu/show/id/1340910")</f>
        <v>http://ts.21cn.com/tousu/show/id/1340910</v>
      </c>
      <c r="F9733" s="2" t="s">
        <v>11</v>
      </c>
      <c r="G9733" s="2" t="s">
        <v>25021</v>
      </c>
      <c r="H9733" s="2" t="s">
        <v>25022</v>
      </c>
    </row>
    <row r="9734" spans="1:8" ht="25.05" customHeight="1" x14ac:dyDescent="0.25">
      <c r="A9734" s="2" t="s">
        <v>8</v>
      </c>
      <c r="B9734" s="2" t="str">
        <f>HYPERLINK("http://ts.21cn.com/tousu/show/id/1340912","霸王条款，高额利息")</f>
        <v>霸王条款，高额利息</v>
      </c>
      <c r="C9734" s="2" t="s">
        <v>9</v>
      </c>
      <c r="D9734" s="2" t="s">
        <v>10</v>
      </c>
      <c r="E9734" s="2" t="str">
        <f>HYPERLINK("http://ts.21cn.com/tousu/show/id/1340912","http://ts.21cn.com/tousu/show/id/1340912")</f>
        <v>http://ts.21cn.com/tousu/show/id/1340912</v>
      </c>
      <c r="F9734" s="2" t="s">
        <v>11</v>
      </c>
      <c r="G9734" s="2" t="s">
        <v>25019</v>
      </c>
      <c r="H9734" s="2" t="s">
        <v>25020</v>
      </c>
    </row>
    <row r="9735" spans="1:8" ht="25.05" customHeight="1" x14ac:dyDescent="0.25">
      <c r="A9735" s="2" t="s">
        <v>8</v>
      </c>
      <c r="B9735" s="2" t="str">
        <f>HYPERLINK("http://ts.21cn.com/tousu/show/id/1340913","珍爱网诱导消费，签霸王条例，虚假误导宣传")</f>
        <v>珍爱网诱导消费，签霸王条例，虚假误导宣传</v>
      </c>
      <c r="C9735" s="2" t="s">
        <v>9</v>
      </c>
      <c r="D9735" s="2" t="s">
        <v>10</v>
      </c>
      <c r="E9735" s="2" t="str">
        <f>HYPERLINK("http://ts.21cn.com/tousu/show/id/1340913","http://ts.21cn.com/tousu/show/id/1340913")</f>
        <v>http://ts.21cn.com/tousu/show/id/1340913</v>
      </c>
      <c r="F9735" s="2" t="s">
        <v>11</v>
      </c>
      <c r="G9735" s="2" t="s">
        <v>25017</v>
      </c>
      <c r="H9735" s="2" t="s">
        <v>25018</v>
      </c>
    </row>
    <row r="9736" spans="1:8" ht="25.05" customHeight="1" x14ac:dyDescent="0.25">
      <c r="A9736" s="2" t="s">
        <v>8</v>
      </c>
      <c r="B9736" s="2" t="str">
        <f>HYPERLINK("http://ts.21cn.com/tousu/show/id/1340914","捷信莫名其妙进行催收，多次致电客服，仍未处理")</f>
        <v>捷信莫名其妙进行催收，多次致电客服，仍未处理</v>
      </c>
      <c r="C9736" s="2" t="s">
        <v>9</v>
      </c>
      <c r="D9736" s="2" t="s">
        <v>10</v>
      </c>
      <c r="E9736" s="2" t="str">
        <f>HYPERLINK("http://ts.21cn.com/tousu/show/id/1340914","http://ts.21cn.com/tousu/show/id/1340914")</f>
        <v>http://ts.21cn.com/tousu/show/id/1340914</v>
      </c>
      <c r="F9736" s="2" t="s">
        <v>11</v>
      </c>
      <c r="G9736" s="2" t="s">
        <v>25015</v>
      </c>
      <c r="H9736" s="2" t="s">
        <v>25016</v>
      </c>
    </row>
    <row r="9737" spans="1:8" ht="25.05" customHeight="1" x14ac:dyDescent="0.25">
      <c r="A9737" s="2" t="s">
        <v>8</v>
      </c>
      <c r="B9737" s="2" t="str">
        <f>HYPERLINK("http://ts.21cn.com/tousu/show/id/1340915","不合理收费")</f>
        <v>不合理收费</v>
      </c>
      <c r="C9737" s="2" t="s">
        <v>9</v>
      </c>
      <c r="D9737" s="2" t="s">
        <v>10</v>
      </c>
      <c r="E9737" s="2" t="str">
        <f>HYPERLINK("http://ts.21cn.com/tousu/show/id/1340915","http://ts.21cn.com/tousu/show/id/1340915")</f>
        <v>http://ts.21cn.com/tousu/show/id/1340915</v>
      </c>
      <c r="F9737" s="2" t="s">
        <v>11</v>
      </c>
      <c r="G9737" s="2" t="s">
        <v>25013</v>
      </c>
      <c r="H9737" s="2" t="s">
        <v>25014</v>
      </c>
    </row>
    <row r="9738" spans="1:8" ht="25.05" customHeight="1" x14ac:dyDescent="0.25">
      <c r="A9738" s="2" t="s">
        <v>8</v>
      </c>
      <c r="B9738" s="2" t="str">
        <f>HYPERLINK("http://ts.21cn.com/tousu/show/id/1340916","要求停止暴力骚扰")</f>
        <v>要求停止暴力骚扰</v>
      </c>
      <c r="C9738" s="2" t="s">
        <v>9</v>
      </c>
      <c r="D9738" s="2" t="s">
        <v>10</v>
      </c>
      <c r="E9738" s="2" t="str">
        <f>HYPERLINK("http://ts.21cn.com/tousu/show/id/1340916","http://ts.21cn.com/tousu/show/id/1340916")</f>
        <v>http://ts.21cn.com/tousu/show/id/1340916</v>
      </c>
      <c r="F9738" s="2" t="s">
        <v>11</v>
      </c>
      <c r="G9738" s="2" t="s">
        <v>25011</v>
      </c>
      <c r="H9738" s="2" t="s">
        <v>25012</v>
      </c>
    </row>
    <row r="9739" spans="1:8" ht="25.05" customHeight="1" x14ac:dyDescent="0.25">
      <c r="A9739" s="2" t="s">
        <v>8</v>
      </c>
      <c r="B9739" s="2" t="str">
        <f>HYPERLINK("http://ts.21cn.com/tousu/show/id/1340917","玖富万卡利率过高")</f>
        <v>玖富万卡利率过高</v>
      </c>
      <c r="C9739" s="2" t="s">
        <v>9</v>
      </c>
      <c r="D9739" s="2" t="s">
        <v>10</v>
      </c>
      <c r="E9739" s="2" t="str">
        <f>HYPERLINK("http://ts.21cn.com/tousu/show/id/1340917","http://ts.21cn.com/tousu/show/id/1340917")</f>
        <v>http://ts.21cn.com/tousu/show/id/1340917</v>
      </c>
      <c r="F9739" s="2" t="s">
        <v>11</v>
      </c>
      <c r="G9739" s="2" t="s">
        <v>25009</v>
      </c>
      <c r="H9739" s="2" t="s">
        <v>25010</v>
      </c>
    </row>
    <row r="9740" spans="1:8" ht="25.05" customHeight="1" x14ac:dyDescent="0.25">
      <c r="A9740" s="2" t="s">
        <v>8</v>
      </c>
      <c r="B9740" s="2" t="str">
        <f>HYPERLINK("http://ts.21cn.com/tousu/show/id/1340918","因网络欠款被爆通讯录")</f>
        <v>因网络欠款被爆通讯录</v>
      </c>
      <c r="C9740" s="2" t="s">
        <v>9</v>
      </c>
      <c r="D9740" s="2" t="s">
        <v>10</v>
      </c>
      <c r="E9740" s="2" t="str">
        <f>HYPERLINK("http://ts.21cn.com/tousu/show/id/1340918","http://ts.21cn.com/tousu/show/id/1340918")</f>
        <v>http://ts.21cn.com/tousu/show/id/1340918</v>
      </c>
      <c r="F9740" s="2" t="s">
        <v>11</v>
      </c>
      <c r="G9740" s="2" t="s">
        <v>25007</v>
      </c>
      <c r="H9740" s="2" t="s">
        <v>25008</v>
      </c>
    </row>
    <row r="9741" spans="1:8" ht="25.05" customHeight="1" x14ac:dyDescent="0.25">
      <c r="A9741" s="2" t="s">
        <v>8</v>
      </c>
      <c r="B9741" s="2" t="str">
        <f>HYPERLINK("http://ts.21cn.com/tousu/show/id/1340919","虚假签收")</f>
        <v>虚假签收</v>
      </c>
      <c r="C9741" s="2" t="s">
        <v>9</v>
      </c>
      <c r="D9741" s="2" t="s">
        <v>10</v>
      </c>
      <c r="E9741" s="2" t="str">
        <f>HYPERLINK("http://ts.21cn.com/tousu/show/id/1340919","http://ts.21cn.com/tousu/show/id/1340919")</f>
        <v>http://ts.21cn.com/tousu/show/id/1340919</v>
      </c>
      <c r="F9741" s="2" t="s">
        <v>11</v>
      </c>
      <c r="G9741" s="2" t="s">
        <v>25005</v>
      </c>
      <c r="H9741" s="2" t="s">
        <v>25006</v>
      </c>
    </row>
    <row r="9742" spans="1:8" ht="25.05" customHeight="1" x14ac:dyDescent="0.25">
      <c r="A9742" s="2" t="s">
        <v>8</v>
      </c>
      <c r="B9742" s="2" t="str">
        <f>HYPERLINK("http://ts.21cn.com/tousu/show/id/1340921","信用管家恶意爆通讯录，给朋友打电话，侮辱他人，态度恶劣")</f>
        <v>信用管家恶意爆通讯录，给朋友打电话，侮辱他人，态度恶劣</v>
      </c>
      <c r="C9742" s="2" t="s">
        <v>9</v>
      </c>
      <c r="D9742" s="2" t="s">
        <v>10</v>
      </c>
      <c r="E9742" s="2" t="str">
        <f>HYPERLINK("http://ts.21cn.com/tousu/show/id/1340921","http://ts.21cn.com/tousu/show/id/1340921")</f>
        <v>http://ts.21cn.com/tousu/show/id/1340921</v>
      </c>
      <c r="F9742" s="2" t="s">
        <v>11</v>
      </c>
      <c r="G9742" s="2" t="s">
        <v>25003</v>
      </c>
      <c r="H9742" s="2" t="s">
        <v>25004</v>
      </c>
    </row>
    <row r="9743" spans="1:8" ht="25.05" customHeight="1" x14ac:dyDescent="0.25">
      <c r="A9743" s="2" t="s">
        <v>8</v>
      </c>
      <c r="B9743" s="2" t="str">
        <f>HYPERLINK("http://ts.21cn.com/tousu/show/id/1340923","恶意捆绑收费")</f>
        <v>恶意捆绑收费</v>
      </c>
      <c r="C9743" s="2" t="s">
        <v>9</v>
      </c>
      <c r="D9743" s="2" t="s">
        <v>10</v>
      </c>
      <c r="E9743" s="2" t="str">
        <f>HYPERLINK("http://ts.21cn.com/tousu/show/id/1340923","http://ts.21cn.com/tousu/show/id/1340923")</f>
        <v>http://ts.21cn.com/tousu/show/id/1340923</v>
      </c>
      <c r="F9743" s="2" t="s">
        <v>11</v>
      </c>
      <c r="G9743" s="2" t="s">
        <v>25001</v>
      </c>
      <c r="H9743" s="2" t="s">
        <v>25002</v>
      </c>
    </row>
    <row r="9744" spans="1:8" ht="25.05" customHeight="1" x14ac:dyDescent="0.25">
      <c r="A9744" s="2" t="s">
        <v>8</v>
      </c>
      <c r="B9744" s="2" t="str">
        <f>HYPERLINK("http://ts.21cn.com/tousu/show/id/1340924","伤心的网贷")</f>
        <v>伤心的网贷</v>
      </c>
      <c r="C9744" s="2" t="s">
        <v>34</v>
      </c>
      <c r="D9744" s="2" t="s">
        <v>10</v>
      </c>
      <c r="E9744" s="2" t="str">
        <f>HYPERLINK("http://ts.21cn.com/tousu/show/id/1340924","http://ts.21cn.com/tousu/show/id/1340924")</f>
        <v>http://ts.21cn.com/tousu/show/id/1340924</v>
      </c>
      <c r="F9744" s="2" t="s">
        <v>11</v>
      </c>
      <c r="G9744" s="2" t="s">
        <v>24999</v>
      </c>
      <c r="H9744" s="2" t="s">
        <v>25000</v>
      </c>
    </row>
    <row r="9745" spans="1:8" ht="25.05" customHeight="1" x14ac:dyDescent="0.25">
      <c r="A9745" s="2" t="s">
        <v>8</v>
      </c>
      <c r="B9745" s="2" t="str">
        <f>HYPERLINK("http://ts.21cn.com/tousu/show/id/1340925","联通流量超出没提示导致欠费也不停机")</f>
        <v>联通流量超出没提示导致欠费也不停机</v>
      </c>
      <c r="C9745" s="2" t="s">
        <v>9</v>
      </c>
      <c r="D9745" s="2" t="s">
        <v>10</v>
      </c>
      <c r="E9745" s="2" t="str">
        <f>HYPERLINK("http://ts.21cn.com/tousu/show/id/1340925","http://ts.21cn.com/tousu/show/id/1340925")</f>
        <v>http://ts.21cn.com/tousu/show/id/1340925</v>
      </c>
      <c r="F9745" s="2" t="s">
        <v>11</v>
      </c>
      <c r="G9745" s="2" t="s">
        <v>24997</v>
      </c>
      <c r="H9745" s="2" t="s">
        <v>24998</v>
      </c>
    </row>
    <row r="9746" spans="1:8" ht="25.05" customHeight="1" x14ac:dyDescent="0.25">
      <c r="A9746" s="2" t="s">
        <v>8</v>
      </c>
      <c r="B9746" s="2" t="str">
        <f>HYPERLINK("http://ts.21cn.com/tousu/show/id/1340926","平台催收威胁通告函")</f>
        <v>平台催收威胁通告函</v>
      </c>
      <c r="C9746" s="2" t="s">
        <v>9</v>
      </c>
      <c r="D9746" s="2" t="s">
        <v>10</v>
      </c>
      <c r="E9746" s="2" t="str">
        <f>HYPERLINK("http://ts.21cn.com/tousu/show/id/1340926","http://ts.21cn.com/tousu/show/id/1340926")</f>
        <v>http://ts.21cn.com/tousu/show/id/1340926</v>
      </c>
      <c r="F9746" s="2" t="s">
        <v>11</v>
      </c>
      <c r="G9746" s="2" t="s">
        <v>24995</v>
      </c>
      <c r="H9746" s="2" t="s">
        <v>24996</v>
      </c>
    </row>
    <row r="9747" spans="1:8" ht="25.05" customHeight="1" x14ac:dyDescent="0.25">
      <c r="A9747" s="2" t="s">
        <v>8</v>
      </c>
      <c r="B9747" s="2" t="str">
        <f>HYPERLINK("http://ts.21cn.com/tousu/show/id/1340927","拍拍贷旗下more卡因系统无法还款导致逾期，骚扰通讯录好友。")</f>
        <v>拍拍贷旗下more卡因系统无法还款导致逾期，骚扰通讯录好友。</v>
      </c>
      <c r="C9747" s="2" t="s">
        <v>9</v>
      </c>
      <c r="D9747" s="2" t="s">
        <v>10</v>
      </c>
      <c r="E9747" s="2" t="str">
        <f>HYPERLINK("http://ts.21cn.com/tousu/show/id/1340927","http://ts.21cn.com/tousu/show/id/1340927")</f>
        <v>http://ts.21cn.com/tousu/show/id/1340927</v>
      </c>
      <c r="F9747" s="2" t="s">
        <v>11</v>
      </c>
      <c r="G9747" s="2" t="s">
        <v>24993</v>
      </c>
      <c r="H9747" s="2" t="s">
        <v>24994</v>
      </c>
    </row>
    <row r="9748" spans="1:8" ht="25.05" customHeight="1" x14ac:dyDescent="0.25">
      <c r="A9748" s="2" t="s">
        <v>8</v>
      </c>
      <c r="B9748" s="2" t="str">
        <f>HYPERLINK("http://ts.21cn.com/tousu/show/id/1340929","买了医疗商品，到货发现商标不对，且商家没有销售资质！产品为假货n")</f>
        <v>买了医疗商品，到货发现商标不对，且商家没有销售资质！产品为假货n</v>
      </c>
      <c r="C9748" s="2" t="s">
        <v>9</v>
      </c>
      <c r="D9748" s="2" t="s">
        <v>10</v>
      </c>
      <c r="E9748" s="2" t="str">
        <f>HYPERLINK("http://ts.21cn.com/tousu/show/id/1340929","http://ts.21cn.com/tousu/show/id/1340929")</f>
        <v>http://ts.21cn.com/tousu/show/id/1340929</v>
      </c>
      <c r="F9748" s="2" t="s">
        <v>11</v>
      </c>
      <c r="G9748" s="2" t="s">
        <v>24991</v>
      </c>
      <c r="H9748" s="2" t="s">
        <v>24992</v>
      </c>
    </row>
    <row r="9749" spans="1:8" ht="25.05" customHeight="1" x14ac:dyDescent="0.25">
      <c r="A9749" s="2" t="s">
        <v>8</v>
      </c>
      <c r="B9749" s="2" t="str">
        <f>HYPERLINK("http://ts.21cn.com/tousu/show/id/1340928","借1300还1800，到账1000")</f>
        <v>借1300还1800，到账1000</v>
      </c>
      <c r="C9749" s="2" t="s">
        <v>9</v>
      </c>
      <c r="D9749" s="2" t="s">
        <v>10</v>
      </c>
      <c r="E9749" s="2" t="str">
        <f>HYPERLINK("http://ts.21cn.com/tousu/show/id/1340928","http://ts.21cn.com/tousu/show/id/1340928")</f>
        <v>http://ts.21cn.com/tousu/show/id/1340928</v>
      </c>
      <c r="F9749" s="2" t="s">
        <v>11</v>
      </c>
      <c r="G9749" s="2" t="s">
        <v>24989</v>
      </c>
      <c r="H9749" s="2" t="s">
        <v>24990</v>
      </c>
    </row>
    <row r="9750" spans="1:8" ht="25.05" customHeight="1" x14ac:dyDescent="0.25">
      <c r="A9750" s="2" t="s">
        <v>8</v>
      </c>
      <c r="B9750" s="2" t="str">
        <f>HYPERLINK("http://ts.21cn.com/tousu/show/id/1340930","聚富分期扣我299元")</f>
        <v>聚富分期扣我299元</v>
      </c>
      <c r="C9750" s="2" t="s">
        <v>34</v>
      </c>
      <c r="D9750" s="2" t="s">
        <v>10</v>
      </c>
      <c r="E9750" s="2" t="str">
        <f>HYPERLINK("http://ts.21cn.com/tousu/show/id/1340930","http://ts.21cn.com/tousu/show/id/1340930")</f>
        <v>http://ts.21cn.com/tousu/show/id/1340930</v>
      </c>
      <c r="F9750" s="2" t="s">
        <v>11</v>
      </c>
      <c r="G9750" s="2" t="s">
        <v>24987</v>
      </c>
      <c r="H9750" s="2" t="s">
        <v>24988</v>
      </c>
    </row>
    <row r="9751" spans="1:8" ht="25.05" customHeight="1" x14ac:dyDescent="0.25">
      <c r="A9751" s="2" t="s">
        <v>8</v>
      </c>
      <c r="B9751" s="2" t="str">
        <f>HYPERLINK("http://ts.21cn.com/tousu/show/id/1340931","高利贷暴力催收")</f>
        <v>高利贷暴力催收</v>
      </c>
      <c r="C9751" s="2" t="s">
        <v>9</v>
      </c>
      <c r="D9751" s="2" t="s">
        <v>10</v>
      </c>
      <c r="E9751" s="2" t="str">
        <f>HYPERLINK("http://ts.21cn.com/tousu/show/id/1340931","http://ts.21cn.com/tousu/show/id/1340931")</f>
        <v>http://ts.21cn.com/tousu/show/id/1340931</v>
      </c>
      <c r="F9751" s="2" t="s">
        <v>11</v>
      </c>
      <c r="G9751" s="2" t="s">
        <v>24985</v>
      </c>
      <c r="H9751" s="2" t="s">
        <v>24986</v>
      </c>
    </row>
    <row r="9752" spans="1:8" ht="25.05" customHeight="1" x14ac:dyDescent="0.25">
      <c r="A9752" s="2" t="s">
        <v>8</v>
      </c>
      <c r="B9752" s="2" t="str">
        <f>HYPERLINK("http://ts.21cn.com/tousu/show/id/1340933","e换电电池质量问题")</f>
        <v>e换电电池质量问题</v>
      </c>
      <c r="C9752" s="2" t="s">
        <v>9</v>
      </c>
      <c r="D9752" s="2" t="s">
        <v>10</v>
      </c>
      <c r="E9752" s="2" t="str">
        <f>HYPERLINK("http://ts.21cn.com/tousu/show/id/1340933","http://ts.21cn.com/tousu/show/id/1340933")</f>
        <v>http://ts.21cn.com/tousu/show/id/1340933</v>
      </c>
      <c r="F9752" s="2" t="s">
        <v>11</v>
      </c>
      <c r="G9752" s="2" t="s">
        <v>24983</v>
      </c>
      <c r="H9752" s="2" t="s">
        <v>24984</v>
      </c>
    </row>
    <row r="9753" spans="1:8" ht="25.05" customHeight="1" x14ac:dyDescent="0.25">
      <c r="A9753" s="2" t="s">
        <v>8</v>
      </c>
      <c r="B9753" s="2" t="str">
        <f>HYPERLINK("http://ts.21cn.com/tousu/show/id/1340936","714高炮贷款")</f>
        <v>714高炮贷款</v>
      </c>
      <c r="C9753" s="2" t="s">
        <v>9</v>
      </c>
      <c r="D9753" s="2" t="s">
        <v>10</v>
      </c>
      <c r="E9753" s="2" t="str">
        <f>HYPERLINK("http://ts.21cn.com/tousu/show/id/1340936","http://ts.21cn.com/tousu/show/id/1340936")</f>
        <v>http://ts.21cn.com/tousu/show/id/1340936</v>
      </c>
      <c r="F9753" s="2" t="s">
        <v>11</v>
      </c>
      <c r="G9753" s="2" t="s">
        <v>24981</v>
      </c>
      <c r="H9753" s="2" t="s">
        <v>24982</v>
      </c>
    </row>
    <row r="9754" spans="1:8" ht="25.05" customHeight="1" x14ac:dyDescent="0.25">
      <c r="A9754" s="2" t="s">
        <v>8</v>
      </c>
      <c r="B9754" s="2" t="str">
        <f>HYPERLINK("http://ts.21cn.com/tousu/show/id/1340922","聚福钱包不明确说明扣费内容及评估报告有效时间导致扣费")</f>
        <v>聚福钱包不明确说明扣费内容及评估报告有效时间导致扣费</v>
      </c>
      <c r="C9754" s="2" t="s">
        <v>9</v>
      </c>
      <c r="D9754" s="2" t="s">
        <v>10</v>
      </c>
      <c r="E9754" s="2" t="str">
        <f>HYPERLINK("http://ts.21cn.com/tousu/show/id/1340922","http://ts.21cn.com/tousu/show/id/1340922")</f>
        <v>http://ts.21cn.com/tousu/show/id/1340922</v>
      </c>
      <c r="F9754" s="2" t="s">
        <v>11</v>
      </c>
      <c r="G9754" s="2" t="s">
        <v>24979</v>
      </c>
      <c r="H9754" s="2" t="s">
        <v>24980</v>
      </c>
    </row>
    <row r="9755" spans="1:8" ht="25.05" customHeight="1" x14ac:dyDescent="0.25">
      <c r="A9755" s="2" t="s">
        <v>8</v>
      </c>
      <c r="B9755" s="2" t="str">
        <f>HYPERLINK("http://ts.21cn.com/tousu/show/id/1340934","快闪卡贷")</f>
        <v>快闪卡贷</v>
      </c>
      <c r="C9755" s="2" t="s">
        <v>9</v>
      </c>
      <c r="D9755" s="2" t="s">
        <v>10</v>
      </c>
      <c r="E9755" s="2" t="str">
        <f>HYPERLINK("http://ts.21cn.com/tousu/show/id/1340934","http://ts.21cn.com/tousu/show/id/1340934")</f>
        <v>http://ts.21cn.com/tousu/show/id/1340934</v>
      </c>
      <c r="F9755" s="2" t="s">
        <v>11</v>
      </c>
      <c r="G9755" s="2" t="s">
        <v>24977</v>
      </c>
      <c r="H9755" s="2" t="s">
        <v>24978</v>
      </c>
    </row>
    <row r="9756" spans="1:8" ht="25.05" customHeight="1" x14ac:dyDescent="0.25">
      <c r="A9756" s="2" t="s">
        <v>8</v>
      </c>
      <c r="B9756" s="2" t="str">
        <f>HYPERLINK("http://ts.21cn.com/tousu/show/id/1340935","投诉武汉珍爱网汉街国际店诱导消费")</f>
        <v>投诉武汉珍爱网汉街国际店诱导消费</v>
      </c>
      <c r="C9756" s="2" t="s">
        <v>9</v>
      </c>
      <c r="D9756" s="2" t="s">
        <v>10</v>
      </c>
      <c r="E9756" s="2" t="str">
        <f>HYPERLINK("http://ts.21cn.com/tousu/show/id/1340935","http://ts.21cn.com/tousu/show/id/1340935")</f>
        <v>http://ts.21cn.com/tousu/show/id/1340935</v>
      </c>
      <c r="F9756" s="2" t="s">
        <v>11</v>
      </c>
      <c r="G9756" s="2" t="s">
        <v>24975</v>
      </c>
      <c r="H9756" s="2" t="s">
        <v>24976</v>
      </c>
    </row>
    <row r="9757" spans="1:8" ht="25.05" customHeight="1" x14ac:dyDescent="0.25">
      <c r="A9757" s="2" t="s">
        <v>8</v>
      </c>
      <c r="B9757" s="2" t="str">
        <f>HYPERLINK("http://ts.21cn.com/tousu/show/id/1340937","新橙优品无法还款")</f>
        <v>新橙优品无法还款</v>
      </c>
      <c r="C9757" s="2" t="s">
        <v>9</v>
      </c>
      <c r="D9757" s="2" t="s">
        <v>10</v>
      </c>
      <c r="E9757" s="2" t="str">
        <f>HYPERLINK("http://ts.21cn.com/tousu/show/id/1340937","http://ts.21cn.com/tousu/show/id/1340937")</f>
        <v>http://ts.21cn.com/tousu/show/id/1340937</v>
      </c>
      <c r="F9757" s="2" t="s">
        <v>11</v>
      </c>
      <c r="G9757" s="2" t="s">
        <v>24973</v>
      </c>
      <c r="H9757" s="2" t="s">
        <v>24974</v>
      </c>
    </row>
    <row r="9758" spans="1:8" ht="25.05" customHeight="1" x14ac:dyDescent="0.25">
      <c r="A9758" s="2" t="s">
        <v>8</v>
      </c>
      <c r="B9758" s="2" t="str">
        <f>HYPERLINK("http://ts.21cn.com/tousu/show/id/1340938","快钱支付违规为砍头息钱站公司提供支付通道")</f>
        <v>快钱支付违规为砍头息钱站公司提供支付通道</v>
      </c>
      <c r="C9758" s="2" t="s">
        <v>9</v>
      </c>
      <c r="D9758" s="2" t="s">
        <v>10</v>
      </c>
      <c r="E9758" s="2" t="str">
        <f>HYPERLINK("http://ts.21cn.com/tousu/show/id/1340938","http://ts.21cn.com/tousu/show/id/1340938")</f>
        <v>http://ts.21cn.com/tousu/show/id/1340938</v>
      </c>
      <c r="F9758" s="2" t="s">
        <v>11</v>
      </c>
      <c r="G9758" s="2" t="s">
        <v>24971</v>
      </c>
      <c r="H9758" s="2" t="s">
        <v>24972</v>
      </c>
    </row>
    <row r="9759" spans="1:8" ht="25.05" customHeight="1" x14ac:dyDescent="0.25">
      <c r="A9759" s="2" t="s">
        <v>8</v>
      </c>
      <c r="B9759" s="2" t="str">
        <f>HYPERLINK("http://ts.21cn.com/tousu/show/id/1340940","及贷变形收取高额砍头息")</f>
        <v>及贷变形收取高额砍头息</v>
      </c>
      <c r="C9759" s="2" t="s">
        <v>9</v>
      </c>
      <c r="D9759" s="2" t="s">
        <v>10</v>
      </c>
      <c r="E9759" s="2" t="str">
        <f>HYPERLINK("http://ts.21cn.com/tousu/show/id/1340940","http://ts.21cn.com/tousu/show/id/1340940")</f>
        <v>http://ts.21cn.com/tousu/show/id/1340940</v>
      </c>
      <c r="F9759" s="2" t="s">
        <v>11</v>
      </c>
      <c r="G9759" s="2" t="s">
        <v>24969</v>
      </c>
      <c r="H9759" s="2" t="s">
        <v>24970</v>
      </c>
    </row>
    <row r="9760" spans="1:8" ht="25.05" customHeight="1" x14ac:dyDescent="0.25">
      <c r="A9760" s="2" t="s">
        <v>8</v>
      </c>
      <c r="B9760" s="2" t="str">
        <f>HYPERLINK("http://ts.21cn.com/tousu/show/id/1340941","平安普惠利率过高")</f>
        <v>平安普惠利率过高</v>
      </c>
      <c r="C9760" s="2" t="s">
        <v>34</v>
      </c>
      <c r="D9760" s="2" t="s">
        <v>10</v>
      </c>
      <c r="E9760" s="2" t="str">
        <f>HYPERLINK("http://ts.21cn.com/tousu/show/id/1340941","http://ts.21cn.com/tousu/show/id/1340941")</f>
        <v>http://ts.21cn.com/tousu/show/id/1340941</v>
      </c>
      <c r="F9760" s="2" t="s">
        <v>11</v>
      </c>
      <c r="G9760" s="2" t="s">
        <v>24967</v>
      </c>
      <c r="H9760" s="2" t="s">
        <v>24968</v>
      </c>
    </row>
    <row r="9761" spans="1:8" ht="25.05" customHeight="1" x14ac:dyDescent="0.25">
      <c r="A9761" s="2" t="s">
        <v>8</v>
      </c>
      <c r="B9761" s="2" t="str">
        <f>HYPERLINK("http://ts.21cn.com/tousu/show/id/1340942","国美易卡利率过高")</f>
        <v>国美易卡利率过高</v>
      </c>
      <c r="C9761" s="2" t="s">
        <v>9</v>
      </c>
      <c r="D9761" s="2" t="s">
        <v>10</v>
      </c>
      <c r="E9761" s="2" t="str">
        <f>HYPERLINK("http://ts.21cn.com/tousu/show/id/1340942","http://ts.21cn.com/tousu/show/id/1340942")</f>
        <v>http://ts.21cn.com/tousu/show/id/1340942</v>
      </c>
      <c r="F9761" s="2" t="s">
        <v>11</v>
      </c>
      <c r="G9761" s="2" t="s">
        <v>24965</v>
      </c>
      <c r="H9761" s="2" t="s">
        <v>24966</v>
      </c>
    </row>
    <row r="9762" spans="1:8" ht="25.05" customHeight="1" x14ac:dyDescent="0.25">
      <c r="A9762" s="2" t="s">
        <v>8</v>
      </c>
      <c r="B9762" s="2" t="str">
        <f>HYPERLINK("http://ts.21cn.com/tousu/show/id/1340943","聚富分期私自扣钱不用经过我同意")</f>
        <v>聚富分期私自扣钱不用经过我同意</v>
      </c>
      <c r="C9762" s="2" t="s">
        <v>9</v>
      </c>
      <c r="D9762" s="2" t="s">
        <v>10</v>
      </c>
      <c r="E9762" s="2" t="str">
        <f>HYPERLINK("http://ts.21cn.com/tousu/show/id/1340943","http://ts.21cn.com/tousu/show/id/1340943")</f>
        <v>http://ts.21cn.com/tousu/show/id/1340943</v>
      </c>
      <c r="F9762" s="2" t="s">
        <v>11</v>
      </c>
      <c r="G9762" s="2" t="s">
        <v>24963</v>
      </c>
      <c r="H9762" s="2" t="s">
        <v>24964</v>
      </c>
    </row>
    <row r="9763" spans="1:8" ht="25.05" customHeight="1" x14ac:dyDescent="0.25">
      <c r="A9763" s="2" t="s">
        <v>8</v>
      </c>
      <c r="B9763" s="2" t="str">
        <f>HYPERLINK("http://ts.21cn.com/tousu/show/id/1340944","欺诈，乱扣费")</f>
        <v>欺诈，乱扣费</v>
      </c>
      <c r="C9763" s="2" t="s">
        <v>9</v>
      </c>
      <c r="D9763" s="2" t="s">
        <v>10</v>
      </c>
      <c r="E9763" s="2" t="str">
        <f>HYPERLINK("http://ts.21cn.com/tousu/show/id/1340944","http://ts.21cn.com/tousu/show/id/1340944")</f>
        <v>http://ts.21cn.com/tousu/show/id/1340944</v>
      </c>
      <c r="F9763" s="2" t="s">
        <v>11</v>
      </c>
      <c r="G9763" s="2" t="s">
        <v>24961</v>
      </c>
      <c r="H9763" s="2" t="s">
        <v>24962</v>
      </c>
    </row>
    <row r="9764" spans="1:8" ht="25.05" customHeight="1" x14ac:dyDescent="0.25">
      <c r="A9764" s="2" t="s">
        <v>8</v>
      </c>
      <c r="B9764" s="2" t="str">
        <f>HYPERLINK("http://ts.21cn.com/tousu/show/id/1340947","卡卡贷高利贷")</f>
        <v>卡卡贷高利贷</v>
      </c>
      <c r="C9764" s="2" t="s">
        <v>9</v>
      </c>
      <c r="D9764" s="2" t="s">
        <v>10</v>
      </c>
      <c r="E9764" s="2" t="str">
        <f>HYPERLINK("http://ts.21cn.com/tousu/show/id/1340947","http://ts.21cn.com/tousu/show/id/1340947")</f>
        <v>http://ts.21cn.com/tousu/show/id/1340947</v>
      </c>
      <c r="F9764" s="2" t="s">
        <v>11</v>
      </c>
      <c r="G9764" s="2" t="s">
        <v>24959</v>
      </c>
      <c r="H9764" s="2" t="s">
        <v>24960</v>
      </c>
    </row>
    <row r="9765" spans="1:8" ht="25.05" customHeight="1" x14ac:dyDescent="0.25">
      <c r="A9765" s="2" t="s">
        <v>8</v>
      </c>
      <c r="B9765" s="2" t="str">
        <f>HYPERLINK("http://ts.21cn.com/tousu/show/id/1340945","阳光保险保险与贷款搭售")</f>
        <v>阳光保险保险与贷款搭售</v>
      </c>
      <c r="C9765" s="2" t="s">
        <v>9</v>
      </c>
      <c r="D9765" s="2" t="s">
        <v>10</v>
      </c>
      <c r="E9765" s="2" t="str">
        <f>HYPERLINK("http://ts.21cn.com/tousu/show/id/1340945","http://ts.21cn.com/tousu/show/id/1340945")</f>
        <v>http://ts.21cn.com/tousu/show/id/1340945</v>
      </c>
      <c r="F9765" s="2" t="s">
        <v>11</v>
      </c>
      <c r="G9765" s="2" t="s">
        <v>24957</v>
      </c>
      <c r="H9765" s="2" t="s">
        <v>24958</v>
      </c>
    </row>
    <row r="9766" spans="1:8" ht="25.05" customHeight="1" x14ac:dyDescent="0.25">
      <c r="A9766" s="2" t="s">
        <v>8</v>
      </c>
      <c r="B9766" s="2" t="str">
        <f>HYPERLINK("http://ts.21cn.com/tousu/show/id/1340946","高利贷、高额砍头息、协商还款后不消条、并威胁")</f>
        <v>高利贷、高额砍头息、协商还款后不消条、并威胁</v>
      </c>
      <c r="C9766" s="2" t="s">
        <v>9</v>
      </c>
      <c r="D9766" s="2" t="s">
        <v>10</v>
      </c>
      <c r="E9766" s="2" t="str">
        <f>HYPERLINK("http://ts.21cn.com/tousu/show/id/1340946","http://ts.21cn.com/tousu/show/id/1340946")</f>
        <v>http://ts.21cn.com/tousu/show/id/1340946</v>
      </c>
      <c r="F9766" s="2" t="s">
        <v>11</v>
      </c>
      <c r="G9766" s="2" t="s">
        <v>24955</v>
      </c>
      <c r="H9766" s="2" t="s">
        <v>24956</v>
      </c>
    </row>
    <row r="9767" spans="1:8" ht="25.05" customHeight="1" x14ac:dyDescent="0.25">
      <c r="A9767" s="2" t="s">
        <v>8</v>
      </c>
      <c r="B9767" s="2" t="str">
        <f>HYPERLINK("http://ts.21cn.com/tousu/show/id/1340948","维信卡卡贷涉嫌高利率和砍头息")</f>
        <v>维信卡卡贷涉嫌高利率和砍头息</v>
      </c>
      <c r="C9767" s="2" t="s">
        <v>9</v>
      </c>
      <c r="D9767" s="2" t="s">
        <v>10</v>
      </c>
      <c r="E9767" s="2" t="str">
        <f>HYPERLINK("http://ts.21cn.com/tousu/show/id/1340948","http://ts.21cn.com/tousu/show/id/1340948")</f>
        <v>http://ts.21cn.com/tousu/show/id/1340948</v>
      </c>
      <c r="F9767" s="2" t="s">
        <v>11</v>
      </c>
      <c r="G9767" s="2" t="s">
        <v>24953</v>
      </c>
      <c r="H9767" s="2" t="s">
        <v>24954</v>
      </c>
    </row>
    <row r="9768" spans="1:8" ht="25.05" customHeight="1" x14ac:dyDescent="0.25">
      <c r="A9768" s="2" t="s">
        <v>8</v>
      </c>
      <c r="B9768" s="2" t="str">
        <f>HYPERLINK("http://ts.21cn.com/tousu/show/id/1340949","快递未按约定发货")</f>
        <v>快递未按约定发货</v>
      </c>
      <c r="C9768" s="2" t="s">
        <v>34</v>
      </c>
      <c r="D9768" s="2" t="s">
        <v>10</v>
      </c>
      <c r="E9768" s="2" t="str">
        <f>HYPERLINK("http://ts.21cn.com/tousu/show/id/1340949","http://ts.21cn.com/tousu/show/id/1340949")</f>
        <v>http://ts.21cn.com/tousu/show/id/1340949</v>
      </c>
      <c r="F9768" s="2" t="s">
        <v>11</v>
      </c>
      <c r="G9768" s="2" t="s">
        <v>24951</v>
      </c>
      <c r="H9768" s="2" t="s">
        <v>24952</v>
      </c>
    </row>
    <row r="9769" spans="1:8" ht="25.05" customHeight="1" x14ac:dyDescent="0.25">
      <c r="A9769" s="2" t="s">
        <v>8</v>
      </c>
      <c r="B9769" s="2" t="str">
        <f>HYPERLINK("http://ts.21cn.com/tousu/show/id/1340950","及贷利率过高")</f>
        <v>及贷利率过高</v>
      </c>
      <c r="C9769" s="2" t="s">
        <v>9</v>
      </c>
      <c r="D9769" s="2" t="s">
        <v>10</v>
      </c>
      <c r="E9769" s="2" t="str">
        <f>HYPERLINK("http://ts.21cn.com/tousu/show/id/1340950","http://ts.21cn.com/tousu/show/id/1340950")</f>
        <v>http://ts.21cn.com/tousu/show/id/1340950</v>
      </c>
      <c r="F9769" s="2" t="s">
        <v>11</v>
      </c>
      <c r="G9769" s="2" t="s">
        <v>24949</v>
      </c>
      <c r="H9769" s="2" t="s">
        <v>24950</v>
      </c>
    </row>
    <row r="9770" spans="1:8" ht="25.05" customHeight="1" x14ac:dyDescent="0.25">
      <c r="A9770" s="2" t="s">
        <v>8</v>
      </c>
      <c r="B9770" s="2" t="str">
        <f>HYPERLINK("http://ts.21cn.com/tousu/show/id/1340951","骚扰电话，烂发信息")</f>
        <v>骚扰电话，烂发信息</v>
      </c>
      <c r="C9770" s="2" t="s">
        <v>9</v>
      </c>
      <c r="D9770" s="2" t="s">
        <v>10</v>
      </c>
      <c r="E9770" s="2" t="str">
        <f>HYPERLINK("http://ts.21cn.com/tousu/show/id/1340951","http://ts.21cn.com/tousu/show/id/1340951")</f>
        <v>http://ts.21cn.com/tousu/show/id/1340951</v>
      </c>
      <c r="F9770" s="2" t="s">
        <v>11</v>
      </c>
      <c r="G9770" s="2" t="s">
        <v>24947</v>
      </c>
      <c r="H9770" s="2" t="s">
        <v>24948</v>
      </c>
    </row>
    <row r="9771" spans="1:8" ht="25.05" customHeight="1" x14ac:dyDescent="0.25">
      <c r="A9771" s="2" t="s">
        <v>8</v>
      </c>
      <c r="B9771" s="2" t="str">
        <f>HYPERLINK("http://ts.21cn.com/tousu/show/id/1340952","合同欺诈，私自扣款")</f>
        <v>合同欺诈，私自扣款</v>
      </c>
      <c r="C9771" s="2" t="s">
        <v>9</v>
      </c>
      <c r="D9771" s="2" t="s">
        <v>10</v>
      </c>
      <c r="E9771" s="2" t="str">
        <f>HYPERLINK("http://ts.21cn.com/tousu/show/id/1340952","http://ts.21cn.com/tousu/show/id/1340952")</f>
        <v>http://ts.21cn.com/tousu/show/id/1340952</v>
      </c>
      <c r="F9771" s="2" t="s">
        <v>11</v>
      </c>
      <c r="G9771" s="2" t="s">
        <v>24945</v>
      </c>
      <c r="H9771" s="2" t="s">
        <v>24946</v>
      </c>
    </row>
    <row r="9772" spans="1:8" ht="25.05" customHeight="1" x14ac:dyDescent="0.25">
      <c r="A9772" s="2" t="s">
        <v>8</v>
      </c>
      <c r="B9772" s="2" t="str">
        <f>HYPERLINK("http://ts.21cn.com/tousu/show/id/1339005","云闪付为违法平台提供充值渠道")</f>
        <v>云闪付为违法平台提供充值渠道</v>
      </c>
      <c r="C9772" s="2" t="s">
        <v>9</v>
      </c>
      <c r="D9772" s="2" t="s">
        <v>10</v>
      </c>
      <c r="E9772" s="2" t="str">
        <f>HYPERLINK("http://ts.21cn.com/tousu/show/id/1339005","http://ts.21cn.com/tousu/show/id/1339005")</f>
        <v>http://ts.21cn.com/tousu/show/id/1339005</v>
      </c>
      <c r="F9772" s="2" t="s">
        <v>11</v>
      </c>
      <c r="G9772" s="2" t="s">
        <v>24943</v>
      </c>
      <c r="H9772" s="2" t="s">
        <v>24944</v>
      </c>
    </row>
    <row r="9773" spans="1:8" ht="25.05" customHeight="1" x14ac:dyDescent="0.25">
      <c r="A9773" s="2" t="s">
        <v>8</v>
      </c>
      <c r="B9773" s="2" t="str">
        <f>HYPERLINK("http://ts.21cn.com/tousu/show/id/1340953","海尔消费金融利率过高")</f>
        <v>海尔消费金融利率过高</v>
      </c>
      <c r="C9773" s="2" t="s">
        <v>9</v>
      </c>
      <c r="D9773" s="2" t="s">
        <v>10</v>
      </c>
      <c r="E9773" s="2" t="str">
        <f>HYPERLINK("http://ts.21cn.com/tousu/show/id/1340953","http://ts.21cn.com/tousu/show/id/1340953")</f>
        <v>http://ts.21cn.com/tousu/show/id/1340953</v>
      </c>
      <c r="F9773" s="2" t="s">
        <v>11</v>
      </c>
      <c r="G9773" s="2" t="s">
        <v>24941</v>
      </c>
      <c r="H9773" s="2" t="s">
        <v>24942</v>
      </c>
    </row>
    <row r="9774" spans="1:8" ht="25.05" customHeight="1" x14ac:dyDescent="0.25">
      <c r="A9774" s="2" t="s">
        <v>8</v>
      </c>
      <c r="B9774" s="2" t="str">
        <f>HYPERLINK("http://ts.21cn.com/tousu/show/id/1340954","海云端机场办卡误导消费")</f>
        <v>海云端机场办卡误导消费</v>
      </c>
      <c r="C9774" s="2" t="s">
        <v>9</v>
      </c>
      <c r="D9774" s="2" t="s">
        <v>10</v>
      </c>
      <c r="E9774" s="2" t="str">
        <f>HYPERLINK("http://ts.21cn.com/tousu/show/id/1340954","http://ts.21cn.com/tousu/show/id/1340954")</f>
        <v>http://ts.21cn.com/tousu/show/id/1340954</v>
      </c>
      <c r="F9774" s="2" t="s">
        <v>11</v>
      </c>
      <c r="G9774" s="2" t="s">
        <v>24939</v>
      </c>
      <c r="H9774" s="2" t="s">
        <v>24940</v>
      </c>
    </row>
    <row r="9775" spans="1:8" ht="25.05" customHeight="1" x14ac:dyDescent="0.25">
      <c r="A9775" s="2" t="s">
        <v>8</v>
      </c>
      <c r="B9775" s="2" t="str">
        <f>HYPERLINK("http://ts.21cn.com/tousu/show/id/1340955","玖富万卡高利贷，阴阳合同")</f>
        <v>玖富万卡高利贷，阴阳合同</v>
      </c>
      <c r="C9775" s="2" t="s">
        <v>9</v>
      </c>
      <c r="D9775" s="2" t="s">
        <v>10</v>
      </c>
      <c r="E9775" s="2" t="str">
        <f>HYPERLINK("http://ts.21cn.com/tousu/show/id/1340955","http://ts.21cn.com/tousu/show/id/1340955")</f>
        <v>http://ts.21cn.com/tousu/show/id/1340955</v>
      </c>
      <c r="F9775" s="2" t="s">
        <v>11</v>
      </c>
      <c r="G9775" s="2" t="s">
        <v>24937</v>
      </c>
      <c r="H9775" s="2" t="s">
        <v>24938</v>
      </c>
    </row>
    <row r="9776" spans="1:8" ht="25.05" customHeight="1" x14ac:dyDescent="0.25">
      <c r="A9776" s="2" t="s">
        <v>8</v>
      </c>
      <c r="B9776" s="2" t="str">
        <f>HYPERLINK("http://ts.21cn.com/tousu/show/id/1340956","拍拍贷无法正常还款")</f>
        <v>拍拍贷无法正常还款</v>
      </c>
      <c r="C9776" s="2" t="s">
        <v>9</v>
      </c>
      <c r="D9776" s="2" t="s">
        <v>10</v>
      </c>
      <c r="E9776" s="2" t="str">
        <f>HYPERLINK("http://ts.21cn.com/tousu/show/id/1340956","http://ts.21cn.com/tousu/show/id/1340956")</f>
        <v>http://ts.21cn.com/tousu/show/id/1340956</v>
      </c>
      <c r="F9776" s="2" t="s">
        <v>11</v>
      </c>
      <c r="G9776" s="2" t="s">
        <v>24935</v>
      </c>
      <c r="H9776" s="2" t="s">
        <v>24936</v>
      </c>
    </row>
    <row r="9777" spans="1:8" ht="25.05" customHeight="1" x14ac:dyDescent="0.25">
      <c r="A9777" s="2" t="s">
        <v>8</v>
      </c>
      <c r="B9777" s="2" t="str">
        <f>HYPERLINK("http://ts.21cn.com/tousu/show/id/1340957","我什么不知道情况下为什么扣了银行卡里面钱")</f>
        <v>我什么不知道情况下为什么扣了银行卡里面钱</v>
      </c>
      <c r="C9777" s="2" t="s">
        <v>9</v>
      </c>
      <c r="D9777" s="2" t="s">
        <v>10</v>
      </c>
      <c r="E9777" s="2" t="str">
        <f>HYPERLINK("http://ts.21cn.com/tousu/show/id/1340957","http://ts.21cn.com/tousu/show/id/1340957")</f>
        <v>http://ts.21cn.com/tousu/show/id/1340957</v>
      </c>
      <c r="F9777" s="2" t="s">
        <v>11</v>
      </c>
      <c r="G9777" s="2" t="s">
        <v>24933</v>
      </c>
      <c r="H9777" s="2" t="s">
        <v>24934</v>
      </c>
    </row>
    <row r="9778" spans="1:8" ht="25.05" customHeight="1" x14ac:dyDescent="0.25">
      <c r="A9778" s="2" t="s">
        <v>8</v>
      </c>
      <c r="B9778" s="2" t="str">
        <f>HYPERLINK("http://ts.21cn.com/tousu/show/id/1340958","平安银行信用卡委托第三方违规催收，电话骚扰家人")</f>
        <v>平安银行信用卡委托第三方违规催收，电话骚扰家人</v>
      </c>
      <c r="C9778" s="2" t="s">
        <v>9</v>
      </c>
      <c r="D9778" s="2" t="s">
        <v>10</v>
      </c>
      <c r="E9778" s="2" t="str">
        <f>HYPERLINK("http://ts.21cn.com/tousu/show/id/1340958","http://ts.21cn.com/tousu/show/id/1340958")</f>
        <v>http://ts.21cn.com/tousu/show/id/1340958</v>
      </c>
      <c r="F9778" s="2" t="s">
        <v>11</v>
      </c>
      <c r="G9778" s="2" t="s">
        <v>24931</v>
      </c>
      <c r="H9778" s="2" t="s">
        <v>24932</v>
      </c>
    </row>
    <row r="9779" spans="1:8" ht="25.05" customHeight="1" x14ac:dyDescent="0.25">
      <c r="A9779" s="2" t="s">
        <v>8</v>
      </c>
      <c r="B9779" s="2" t="str">
        <f>HYPERLINK("http://ts.21cn.com/tousu/show/id/1340960","未经本人同意恶意从银行卡中扣款")</f>
        <v>未经本人同意恶意从银行卡中扣款</v>
      </c>
      <c r="C9779" s="2" t="s">
        <v>9</v>
      </c>
      <c r="D9779" s="2" t="s">
        <v>10</v>
      </c>
      <c r="E9779" s="2" t="str">
        <f>HYPERLINK("http://ts.21cn.com/tousu/show/id/1340960","http://ts.21cn.com/tousu/show/id/1340960")</f>
        <v>http://ts.21cn.com/tousu/show/id/1340960</v>
      </c>
      <c r="F9779" s="2" t="s">
        <v>11</v>
      </c>
      <c r="G9779" s="2" t="s">
        <v>24929</v>
      </c>
      <c r="H9779" s="2" t="s">
        <v>24930</v>
      </c>
    </row>
    <row r="9780" spans="1:8" ht="25.05" customHeight="1" x14ac:dyDescent="0.25">
      <c r="A9780" s="2" t="s">
        <v>8</v>
      </c>
      <c r="B9780" s="2" t="str">
        <f>HYPERLINK("http://ts.21cn.com/tousu/show/id/1340959","被无故扣款")</f>
        <v>被无故扣款</v>
      </c>
      <c r="C9780" s="2" t="s">
        <v>9</v>
      </c>
      <c r="D9780" s="2" t="s">
        <v>10</v>
      </c>
      <c r="E9780" s="2" t="str">
        <f>HYPERLINK("http://ts.21cn.com/tousu/show/id/1340959","http://ts.21cn.com/tousu/show/id/1340959")</f>
        <v>http://ts.21cn.com/tousu/show/id/1340959</v>
      </c>
      <c r="F9780" s="2" t="s">
        <v>11</v>
      </c>
      <c r="G9780" s="2" t="s">
        <v>24927</v>
      </c>
      <c r="H9780" s="2" t="s">
        <v>24928</v>
      </c>
    </row>
    <row r="9781" spans="1:8" ht="25.05" customHeight="1" x14ac:dyDescent="0.25">
      <c r="A9781" s="2" t="s">
        <v>8</v>
      </c>
      <c r="B9781" s="2" t="str">
        <f>HYPERLINK("http://ts.21cn.com/tousu/show/id/1340962","砍头息还款不了扣不合理逾期费")</f>
        <v>砍头息还款不了扣不合理逾期费</v>
      </c>
      <c r="C9781" s="2" t="s">
        <v>9</v>
      </c>
      <c r="D9781" s="2" t="s">
        <v>10</v>
      </c>
      <c r="E9781" s="2" t="str">
        <f>HYPERLINK("http://ts.21cn.com/tousu/show/id/1340962","http://ts.21cn.com/tousu/show/id/1340962")</f>
        <v>http://ts.21cn.com/tousu/show/id/1340962</v>
      </c>
      <c r="F9781" s="2" t="s">
        <v>11</v>
      </c>
      <c r="G9781" s="2" t="s">
        <v>24925</v>
      </c>
      <c r="H9781" s="2" t="s">
        <v>24926</v>
      </c>
    </row>
    <row r="9782" spans="1:8" ht="25.05" customHeight="1" x14ac:dyDescent="0.25">
      <c r="A9782" s="2" t="s">
        <v>8</v>
      </c>
      <c r="B9782" s="2" t="str">
        <f>HYPERLINK("http://ts.21cn.com/tousu/show/id/1340963","威胁家人辱骂")</f>
        <v>威胁家人辱骂</v>
      </c>
      <c r="C9782" s="2" t="s">
        <v>9</v>
      </c>
      <c r="D9782" s="2" t="s">
        <v>10</v>
      </c>
      <c r="E9782" s="2" t="str">
        <f>HYPERLINK("http://ts.21cn.com/tousu/show/id/1340963","http://ts.21cn.com/tousu/show/id/1340963")</f>
        <v>http://ts.21cn.com/tousu/show/id/1340963</v>
      </c>
      <c r="F9782" s="2" t="s">
        <v>11</v>
      </c>
      <c r="G9782" s="2" t="s">
        <v>24923</v>
      </c>
      <c r="H9782" s="2" t="s">
        <v>24924</v>
      </c>
    </row>
    <row r="9783" spans="1:8" ht="25.05" customHeight="1" x14ac:dyDescent="0.25">
      <c r="A9783" s="2" t="s">
        <v>8</v>
      </c>
      <c r="B9783" s="2" t="str">
        <f>HYPERLINK("http://ts.21cn.com/tousu/show/id/1340964","钱站高利贷阴阳合同")</f>
        <v>钱站高利贷阴阳合同</v>
      </c>
      <c r="C9783" s="2" t="s">
        <v>9</v>
      </c>
      <c r="D9783" s="2" t="s">
        <v>10</v>
      </c>
      <c r="E9783" s="2" t="str">
        <f>HYPERLINK("http://ts.21cn.com/tousu/show/id/1340964","http://ts.21cn.com/tousu/show/id/1340964")</f>
        <v>http://ts.21cn.com/tousu/show/id/1340964</v>
      </c>
      <c r="F9783" s="2" t="s">
        <v>11</v>
      </c>
      <c r="G9783" s="2" t="s">
        <v>24921</v>
      </c>
      <c r="H9783" s="2" t="s">
        <v>24922</v>
      </c>
    </row>
    <row r="9784" spans="1:8" ht="25.05" customHeight="1" x14ac:dyDescent="0.25">
      <c r="A9784" s="2" t="s">
        <v>8</v>
      </c>
      <c r="B9784" s="2" t="str">
        <f>HYPERLINK("http://ts.21cn.com/tousu/show/id/1340965","闪电借款")</f>
        <v>闪电借款</v>
      </c>
      <c r="C9784" s="2" t="s">
        <v>34</v>
      </c>
      <c r="D9784" s="2" t="s">
        <v>10</v>
      </c>
      <c r="E9784" s="2" t="str">
        <f>HYPERLINK("http://ts.21cn.com/tousu/show/id/1340965","http://ts.21cn.com/tousu/show/id/1340965")</f>
        <v>http://ts.21cn.com/tousu/show/id/1340965</v>
      </c>
      <c r="F9784" s="2" t="s">
        <v>11</v>
      </c>
      <c r="G9784" s="2" t="s">
        <v>24919</v>
      </c>
      <c r="H9784" s="2" t="s">
        <v>24920</v>
      </c>
    </row>
    <row r="9785" spans="1:8" ht="25.05" customHeight="1" x14ac:dyDescent="0.25">
      <c r="A9785" s="2" t="s">
        <v>8</v>
      </c>
      <c r="B9785" s="2" t="str">
        <f>HYPERLINK("http://ts.21cn.com/tousu/show/id/1340920","珍爱网洗脑式轰炸、诱导消费")</f>
        <v>珍爱网洗脑式轰炸、诱导消费</v>
      </c>
      <c r="C9785" s="2" t="s">
        <v>34</v>
      </c>
      <c r="D9785" s="2" t="s">
        <v>10</v>
      </c>
      <c r="E9785" s="2" t="str">
        <f>HYPERLINK("http://ts.21cn.com/tousu/show/id/1340920","http://ts.21cn.com/tousu/show/id/1340920")</f>
        <v>http://ts.21cn.com/tousu/show/id/1340920</v>
      </c>
      <c r="F9785" s="2" t="s">
        <v>11</v>
      </c>
      <c r="G9785" s="2" t="s">
        <v>24917</v>
      </c>
      <c r="H9785" s="2" t="s">
        <v>24918</v>
      </c>
    </row>
    <row r="9786" spans="1:8" ht="25.05" customHeight="1" x14ac:dyDescent="0.25">
      <c r="A9786" s="2" t="s">
        <v>8</v>
      </c>
      <c r="B9786" s="2" t="str">
        <f>HYPERLINK("http://ts.21cn.com/tousu/show/id/1340966","一直不给予退款")</f>
        <v>一直不给予退款</v>
      </c>
      <c r="C9786" s="2" t="s">
        <v>9</v>
      </c>
      <c r="D9786" s="2" t="s">
        <v>10</v>
      </c>
      <c r="E9786" s="2" t="str">
        <f>HYPERLINK("http://ts.21cn.com/tousu/show/id/1340966","http://ts.21cn.com/tousu/show/id/1340966")</f>
        <v>http://ts.21cn.com/tousu/show/id/1340966</v>
      </c>
      <c r="F9786" s="2" t="s">
        <v>11</v>
      </c>
      <c r="G9786" s="2" t="s">
        <v>24915</v>
      </c>
      <c r="H9786" s="2" t="s">
        <v>24916</v>
      </c>
    </row>
    <row r="9787" spans="1:8" ht="25.05" customHeight="1" x14ac:dyDescent="0.25">
      <c r="A9787" s="2" t="s">
        <v>8</v>
      </c>
      <c r="B9787" s="2" t="str">
        <f>HYPERLINK("http://ts.21cn.com/tousu/show/id/1340967","高德地图预约安安网约车无故取消订单")</f>
        <v>高德地图预约安安网约车无故取消订单</v>
      </c>
      <c r="C9787" s="2" t="s">
        <v>9</v>
      </c>
      <c r="D9787" s="2" t="s">
        <v>10</v>
      </c>
      <c r="E9787" s="2" t="str">
        <f>HYPERLINK("http://ts.21cn.com/tousu/show/id/1340967","http://ts.21cn.com/tousu/show/id/1340967")</f>
        <v>http://ts.21cn.com/tousu/show/id/1340967</v>
      </c>
      <c r="F9787" s="2" t="s">
        <v>11</v>
      </c>
      <c r="G9787" s="2" t="s">
        <v>24913</v>
      </c>
      <c r="H9787" s="2" t="s">
        <v>24914</v>
      </c>
    </row>
    <row r="9788" spans="1:8" ht="25.05" customHeight="1" x14ac:dyDescent="0.25">
      <c r="A9788" s="2" t="s">
        <v>8</v>
      </c>
      <c r="B9788" s="2" t="str">
        <f>HYPERLINK("http://ts.21cn.com/tousu/show/id/1340970","小通币欺负客户")</f>
        <v>小通币欺负客户</v>
      </c>
      <c r="C9788" s="2" t="s">
        <v>9</v>
      </c>
      <c r="D9788" s="2" t="s">
        <v>10</v>
      </c>
      <c r="E9788" s="2" t="str">
        <f>HYPERLINK("http://ts.21cn.com/tousu/show/id/1340970","http://ts.21cn.com/tousu/show/id/1340970")</f>
        <v>http://ts.21cn.com/tousu/show/id/1340970</v>
      </c>
      <c r="F9788" s="2" t="s">
        <v>11</v>
      </c>
      <c r="G9788" s="2" t="s">
        <v>24911</v>
      </c>
      <c r="H9788" s="2" t="s">
        <v>24912</v>
      </c>
    </row>
    <row r="9789" spans="1:8" ht="25.05" customHeight="1" x14ac:dyDescent="0.25">
      <c r="A9789" s="2" t="s">
        <v>8</v>
      </c>
      <c r="B9789" s="2" t="str">
        <f>HYPERLINK("http://ts.21cn.com/tousu/show/id/1340969","逾期一天也要上征信")</f>
        <v>逾期一天也要上征信</v>
      </c>
      <c r="C9789" s="2" t="s">
        <v>34</v>
      </c>
      <c r="D9789" s="2" t="s">
        <v>10</v>
      </c>
      <c r="E9789" s="2" t="str">
        <f>HYPERLINK("http://ts.21cn.com/tousu/show/id/1340969","http://ts.21cn.com/tousu/show/id/1340969")</f>
        <v>http://ts.21cn.com/tousu/show/id/1340969</v>
      </c>
      <c r="F9789" s="2" t="s">
        <v>11</v>
      </c>
      <c r="G9789" s="2" t="s">
        <v>24909</v>
      </c>
      <c r="H9789" s="2" t="s">
        <v>24910</v>
      </c>
    </row>
    <row r="9790" spans="1:8" ht="25.05" customHeight="1" x14ac:dyDescent="0.25">
      <c r="A9790" s="2" t="s">
        <v>8</v>
      </c>
      <c r="B9790" s="2" t="str">
        <f>HYPERLINK("http://ts.21cn.com/tousu/show/id/1340974","宝付支付无故扣款")</f>
        <v>宝付支付无故扣款</v>
      </c>
      <c r="C9790" s="2" t="s">
        <v>9</v>
      </c>
      <c r="D9790" s="2" t="s">
        <v>10</v>
      </c>
      <c r="E9790" s="2" t="str">
        <f>HYPERLINK("http://ts.21cn.com/tousu/show/id/1340974","http://ts.21cn.com/tousu/show/id/1340974")</f>
        <v>http://ts.21cn.com/tousu/show/id/1340974</v>
      </c>
      <c r="F9790" s="2" t="s">
        <v>11</v>
      </c>
      <c r="G9790" s="2" t="s">
        <v>24907</v>
      </c>
      <c r="H9790" s="2" t="s">
        <v>24908</v>
      </c>
    </row>
    <row r="9791" spans="1:8" ht="25.05" customHeight="1" x14ac:dyDescent="0.25">
      <c r="A9791" s="2" t="s">
        <v>8</v>
      </c>
      <c r="B9791" s="2" t="str">
        <f>HYPERLINK("http://ts.21cn.com/tousu/show/id/1340975","滴滴随意冻结未支付订单")</f>
        <v>滴滴随意冻结未支付订单</v>
      </c>
      <c r="C9791" s="2" t="s">
        <v>9</v>
      </c>
      <c r="D9791" s="2" t="s">
        <v>10</v>
      </c>
      <c r="E9791" s="2" t="str">
        <f>HYPERLINK("http://ts.21cn.com/tousu/show/id/1340975","http://ts.21cn.com/tousu/show/id/1340975")</f>
        <v>http://ts.21cn.com/tousu/show/id/1340975</v>
      </c>
      <c r="F9791" s="2" t="s">
        <v>11</v>
      </c>
      <c r="G9791" s="2" t="s">
        <v>24905</v>
      </c>
      <c r="H9791" s="2" t="s">
        <v>24906</v>
      </c>
    </row>
    <row r="9792" spans="1:8" ht="25.05" customHeight="1" x14ac:dyDescent="0.25">
      <c r="A9792" s="2" t="s">
        <v>8</v>
      </c>
      <c r="B9792" s="2" t="str">
        <f>HYPERLINK("http://ts.21cn.com/tousu/show/id/1340971","盼达用车拖欠押金不退")</f>
        <v>盼达用车拖欠押金不退</v>
      </c>
      <c r="C9792" s="2" t="s">
        <v>9</v>
      </c>
      <c r="D9792" s="2" t="s">
        <v>10</v>
      </c>
      <c r="E9792" s="2" t="str">
        <f>HYPERLINK("http://ts.21cn.com/tousu/show/id/1340971","http://ts.21cn.com/tousu/show/id/1340971")</f>
        <v>http://ts.21cn.com/tousu/show/id/1340971</v>
      </c>
      <c r="F9792" s="2" t="s">
        <v>11</v>
      </c>
      <c r="G9792" s="2" t="s">
        <v>24903</v>
      </c>
      <c r="H9792" s="2" t="s">
        <v>24904</v>
      </c>
    </row>
    <row r="9793" spans="1:8" ht="25.05" customHeight="1" x14ac:dyDescent="0.25">
      <c r="A9793" s="2" t="s">
        <v>8</v>
      </c>
      <c r="B9793" s="2" t="str">
        <f>HYPERLINK("http://ts.21cn.com/tousu/show/id/1340976","为什么和付出努力永远得不到回报")</f>
        <v>为什么和付出努力永远得不到回报</v>
      </c>
      <c r="C9793" s="2" t="s">
        <v>9</v>
      </c>
      <c r="D9793" s="2" t="s">
        <v>10</v>
      </c>
      <c r="E9793" s="2" t="str">
        <f>HYPERLINK("http://ts.21cn.com/tousu/show/id/1340976","http://ts.21cn.com/tousu/show/id/1340976")</f>
        <v>http://ts.21cn.com/tousu/show/id/1340976</v>
      </c>
      <c r="F9793" s="2" t="s">
        <v>11</v>
      </c>
      <c r="G9793" s="2" t="s">
        <v>24901</v>
      </c>
      <c r="H9793" s="2" t="s">
        <v>24902</v>
      </c>
    </row>
    <row r="9794" spans="1:8" ht="25.05" customHeight="1" x14ac:dyDescent="0.25">
      <c r="A9794" s="2" t="s">
        <v>8</v>
      </c>
      <c r="B9794" s="2" t="str">
        <f>HYPERLINK("http://ts.21cn.com/tousu/show/id/1340961","网贷")</f>
        <v>网贷</v>
      </c>
      <c r="C9794" s="2" t="s">
        <v>9</v>
      </c>
      <c r="D9794" s="2" t="s">
        <v>10</v>
      </c>
      <c r="E9794" s="2" t="str">
        <f>HYPERLINK("http://ts.21cn.com/tousu/show/id/1340961","http://ts.21cn.com/tousu/show/id/1340961")</f>
        <v>http://ts.21cn.com/tousu/show/id/1340961</v>
      </c>
      <c r="F9794" s="2" t="s">
        <v>11</v>
      </c>
      <c r="G9794" s="2" t="s">
        <v>24899</v>
      </c>
      <c r="H9794" s="2" t="s">
        <v>24900</v>
      </c>
    </row>
    <row r="9795" spans="1:8" ht="25.05" customHeight="1" x14ac:dyDescent="0.25">
      <c r="A9795" s="2" t="s">
        <v>8</v>
      </c>
      <c r="B9795" s="2" t="str">
        <f>HYPERLINK("http://ts.21cn.com/tousu/show/id/1340977","有用分期砍头息暴力催收")</f>
        <v>有用分期砍头息暴力催收</v>
      </c>
      <c r="C9795" s="2" t="s">
        <v>9</v>
      </c>
      <c r="D9795" s="2" t="s">
        <v>10</v>
      </c>
      <c r="E9795" s="2" t="str">
        <f>HYPERLINK("http://ts.21cn.com/tousu/show/id/1340977","http://ts.21cn.com/tousu/show/id/1340977")</f>
        <v>http://ts.21cn.com/tousu/show/id/1340977</v>
      </c>
      <c r="F9795" s="2" t="s">
        <v>11</v>
      </c>
      <c r="G9795" s="2" t="s">
        <v>24897</v>
      </c>
      <c r="H9795" s="2" t="s">
        <v>24898</v>
      </c>
    </row>
    <row r="9796" spans="1:8" ht="25.05" customHeight="1" x14ac:dyDescent="0.25">
      <c r="A9796" s="2" t="s">
        <v>8</v>
      </c>
      <c r="B9796" s="2" t="str">
        <f>HYPERLINK("http://ts.21cn.com/tousu/show/id/1340978","洋钱罐借款存在恶意扣款失败收取所谓逾期管理费")</f>
        <v>洋钱罐借款存在恶意扣款失败收取所谓逾期管理费</v>
      </c>
      <c r="C9796" s="2" t="s">
        <v>9</v>
      </c>
      <c r="D9796" s="2" t="s">
        <v>10</v>
      </c>
      <c r="E9796" s="2" t="str">
        <f>HYPERLINK("http://ts.21cn.com/tousu/show/id/1340978","http://ts.21cn.com/tousu/show/id/1340978")</f>
        <v>http://ts.21cn.com/tousu/show/id/1340978</v>
      </c>
      <c r="F9796" s="2" t="s">
        <v>11</v>
      </c>
      <c r="G9796" s="2" t="s">
        <v>24895</v>
      </c>
      <c r="H9796" s="2" t="s">
        <v>24896</v>
      </c>
    </row>
    <row r="9797" spans="1:8" ht="25.05" customHeight="1" x14ac:dyDescent="0.25">
      <c r="A9797" s="2" t="s">
        <v>8</v>
      </c>
      <c r="B9797" s="2" t="str">
        <f>HYPERLINK("http://ts.21cn.com/tousu/show/id/1340979","虚假宣传诱导消费欺诈叫客户做首付贷")</f>
        <v>虚假宣传诱导消费欺诈叫客户做首付贷</v>
      </c>
      <c r="C9797" s="2" t="s">
        <v>9</v>
      </c>
      <c r="D9797" s="2" t="s">
        <v>10</v>
      </c>
      <c r="E9797" s="2" t="str">
        <f>HYPERLINK("http://ts.21cn.com/tousu/show/id/1340979","http://ts.21cn.com/tousu/show/id/1340979")</f>
        <v>http://ts.21cn.com/tousu/show/id/1340979</v>
      </c>
      <c r="F9797" s="2" t="s">
        <v>11</v>
      </c>
      <c r="G9797" s="2" t="s">
        <v>24893</v>
      </c>
      <c r="H9797" s="2" t="s">
        <v>24894</v>
      </c>
    </row>
    <row r="9798" spans="1:8" ht="25.05" customHeight="1" x14ac:dyDescent="0.25">
      <c r="A9798" s="2" t="s">
        <v>8</v>
      </c>
      <c r="B9798" s="2" t="str">
        <f>HYPERLINK("http://ts.21cn.com/tousu/show/id/1340981","及贷与国任保险公司联合收取用户高额利息费")</f>
        <v>及贷与国任保险公司联合收取用户高额利息费</v>
      </c>
      <c r="C9798" s="2" t="s">
        <v>9</v>
      </c>
      <c r="D9798" s="2" t="s">
        <v>10</v>
      </c>
      <c r="E9798" s="2" t="str">
        <f>HYPERLINK("http://ts.21cn.com/tousu/show/id/1340981","http://ts.21cn.com/tousu/show/id/1340981")</f>
        <v>http://ts.21cn.com/tousu/show/id/1340981</v>
      </c>
      <c r="F9798" s="2" t="s">
        <v>11</v>
      </c>
      <c r="G9798" s="2" t="s">
        <v>24891</v>
      </c>
      <c r="H9798" s="2" t="s">
        <v>24892</v>
      </c>
    </row>
    <row r="9799" spans="1:8" ht="25.05" customHeight="1" x14ac:dyDescent="0.25">
      <c r="A9799" s="2" t="s">
        <v>8</v>
      </c>
      <c r="B9799" s="2" t="str">
        <f>HYPERLINK("http://ts.21cn.com/tousu/show/id/1340984","高铁管家明显误导消费，默认选择套餐强制消费")</f>
        <v>高铁管家明显误导消费，默认选择套餐强制消费</v>
      </c>
      <c r="C9799" s="2" t="s">
        <v>9</v>
      </c>
      <c r="D9799" s="2" t="s">
        <v>10</v>
      </c>
      <c r="E9799" s="2" t="str">
        <f>HYPERLINK("http://ts.21cn.com/tousu/show/id/1340984","http://ts.21cn.com/tousu/show/id/1340984")</f>
        <v>http://ts.21cn.com/tousu/show/id/1340984</v>
      </c>
      <c r="F9799" s="2" t="s">
        <v>11</v>
      </c>
      <c r="G9799" s="2" t="s">
        <v>24889</v>
      </c>
      <c r="H9799" s="2" t="s">
        <v>24890</v>
      </c>
    </row>
    <row r="9800" spans="1:8" ht="25.05" customHeight="1" x14ac:dyDescent="0.25">
      <c r="A9800" s="2" t="s">
        <v>8</v>
      </c>
      <c r="B9800" s="2" t="str">
        <f>HYPERLINK("http://ts.21cn.com/tousu/show/id/1340985","支付宝被随意扣费")</f>
        <v>支付宝被随意扣费</v>
      </c>
      <c r="C9800" s="2" t="s">
        <v>9</v>
      </c>
      <c r="D9800" s="2" t="s">
        <v>10</v>
      </c>
      <c r="E9800" s="2" t="str">
        <f>HYPERLINK("http://ts.21cn.com/tousu/show/id/1340985","http://ts.21cn.com/tousu/show/id/1340985")</f>
        <v>http://ts.21cn.com/tousu/show/id/1340985</v>
      </c>
      <c r="F9800" s="2" t="s">
        <v>11</v>
      </c>
      <c r="G9800" s="2" t="s">
        <v>24887</v>
      </c>
      <c r="H9800" s="2" t="s">
        <v>24888</v>
      </c>
    </row>
    <row r="9801" spans="1:8" ht="25.05" customHeight="1" x14ac:dyDescent="0.25">
      <c r="A9801" s="2" t="s">
        <v>8</v>
      </c>
      <c r="B9801" s="2" t="str">
        <f>HYPERLINK("http://ts.21cn.com/tousu/show/id/1340986","苏宁易购随意黑号。把会员阳光值142直接降到20")</f>
        <v>苏宁易购随意黑号。把会员阳光值142直接降到20</v>
      </c>
      <c r="C9801" s="2" t="s">
        <v>34</v>
      </c>
      <c r="D9801" s="2" t="s">
        <v>10</v>
      </c>
      <c r="E9801" s="2" t="str">
        <f>HYPERLINK("http://ts.21cn.com/tousu/show/id/1340986","http://ts.21cn.com/tousu/show/id/1340986")</f>
        <v>http://ts.21cn.com/tousu/show/id/1340986</v>
      </c>
      <c r="F9801" s="2" t="s">
        <v>11</v>
      </c>
      <c r="G9801" s="2" t="s">
        <v>24885</v>
      </c>
      <c r="H9801" s="2" t="s">
        <v>24886</v>
      </c>
    </row>
    <row r="9802" spans="1:8" ht="25.05" customHeight="1" x14ac:dyDescent="0.25">
      <c r="A9802" s="2" t="s">
        <v>8</v>
      </c>
      <c r="B9802" s="2" t="str">
        <f>HYPERLINK("http://ts.21cn.com/tousu/show/id/1340983","贷款65000服务费30000")</f>
        <v>贷款65000服务费30000</v>
      </c>
      <c r="C9802" s="2" t="s">
        <v>9</v>
      </c>
      <c r="D9802" s="2" t="s">
        <v>10</v>
      </c>
      <c r="E9802" s="2" t="str">
        <f>HYPERLINK("http://ts.21cn.com/tousu/show/id/1340983","http://ts.21cn.com/tousu/show/id/1340983")</f>
        <v>http://ts.21cn.com/tousu/show/id/1340983</v>
      </c>
      <c r="F9802" s="2" t="s">
        <v>11</v>
      </c>
      <c r="G9802" s="2" t="s">
        <v>24883</v>
      </c>
      <c r="H9802" s="2" t="s">
        <v>24884</v>
      </c>
    </row>
    <row r="9803" spans="1:8" ht="25.05" customHeight="1" x14ac:dyDescent="0.25">
      <c r="A9803" s="2" t="s">
        <v>8</v>
      </c>
      <c r="B9803" s="2" t="str">
        <f>HYPERLINK("http://ts.21cn.com/tousu/show/id/1340990","归还砍头息")</f>
        <v>归还砍头息</v>
      </c>
      <c r="C9803" s="2" t="s">
        <v>9</v>
      </c>
      <c r="D9803" s="2" t="s">
        <v>10</v>
      </c>
      <c r="E9803" s="2" t="str">
        <f>HYPERLINK("http://ts.21cn.com/tousu/show/id/1340990","http://ts.21cn.com/tousu/show/id/1340990")</f>
        <v>http://ts.21cn.com/tousu/show/id/1340990</v>
      </c>
      <c r="F9803" s="2" t="s">
        <v>11</v>
      </c>
      <c r="G9803" s="2" t="s">
        <v>24881</v>
      </c>
      <c r="H9803" s="2" t="s">
        <v>24882</v>
      </c>
    </row>
    <row r="9804" spans="1:8" ht="25.05" customHeight="1" x14ac:dyDescent="0.25">
      <c r="A9804" s="2" t="s">
        <v>8</v>
      </c>
      <c r="B9804" s="2" t="str">
        <f>HYPERLINK("http://ts.21cn.com/tousu/show/id/1340989","要求整顿捷信金融")</f>
        <v>要求整顿捷信金融</v>
      </c>
      <c r="C9804" s="2" t="s">
        <v>9</v>
      </c>
      <c r="D9804" s="2" t="s">
        <v>10</v>
      </c>
      <c r="E9804" s="2" t="str">
        <f>HYPERLINK("http://ts.21cn.com/tousu/show/id/1340989","http://ts.21cn.com/tousu/show/id/1340989")</f>
        <v>http://ts.21cn.com/tousu/show/id/1340989</v>
      </c>
      <c r="F9804" s="2" t="s">
        <v>11</v>
      </c>
      <c r="G9804" s="2" t="s">
        <v>24879</v>
      </c>
      <c r="H9804" s="2" t="s">
        <v>24880</v>
      </c>
    </row>
    <row r="9805" spans="1:8" ht="25.05" customHeight="1" x14ac:dyDescent="0.25">
      <c r="A9805" s="2" t="s">
        <v>8</v>
      </c>
      <c r="B9805" s="2" t="str">
        <f>HYPERLINK("http://ts.21cn.com/tousu/show/id/1340991","咸鱼规则太偏向买家，太不公平！")</f>
        <v>咸鱼规则太偏向买家，太不公平！</v>
      </c>
      <c r="C9805" s="2" t="s">
        <v>9</v>
      </c>
      <c r="D9805" s="2" t="s">
        <v>10</v>
      </c>
      <c r="E9805" s="2" t="str">
        <f>HYPERLINK("http://ts.21cn.com/tousu/show/id/1340991","http://ts.21cn.com/tousu/show/id/1340991")</f>
        <v>http://ts.21cn.com/tousu/show/id/1340991</v>
      </c>
      <c r="F9805" s="2" t="s">
        <v>11</v>
      </c>
      <c r="G9805" s="2" t="s">
        <v>24877</v>
      </c>
      <c r="H9805" s="2" t="s">
        <v>24878</v>
      </c>
    </row>
    <row r="9806" spans="1:8" ht="25.05" customHeight="1" x14ac:dyDescent="0.25">
      <c r="A9806" s="2" t="s">
        <v>8</v>
      </c>
      <c r="B9806" s="2" t="str">
        <f>HYPERLINK("http://ts.21cn.com/tousu/show/id/1340987","盈盈有钱借款收取高额服务费")</f>
        <v>盈盈有钱借款收取高额服务费</v>
      </c>
      <c r="C9806" s="2" t="s">
        <v>9</v>
      </c>
      <c r="D9806" s="2" t="s">
        <v>10</v>
      </c>
      <c r="E9806" s="2" t="str">
        <f>HYPERLINK("http://ts.21cn.com/tousu/show/id/1340987","http://ts.21cn.com/tousu/show/id/1340987")</f>
        <v>http://ts.21cn.com/tousu/show/id/1340987</v>
      </c>
      <c r="F9806" s="2" t="s">
        <v>11</v>
      </c>
      <c r="G9806" s="2" t="s">
        <v>24875</v>
      </c>
      <c r="H9806" s="2" t="s">
        <v>24876</v>
      </c>
    </row>
    <row r="9807" spans="1:8" ht="25.05" customHeight="1" x14ac:dyDescent="0.25">
      <c r="A9807" s="2" t="s">
        <v>8</v>
      </c>
      <c r="B9807" s="2" t="str">
        <f>HYPERLINK("http://ts.21cn.com/tousu/show/id/1340992","玖富万卡高利贷，阴阳合同")</f>
        <v>玖富万卡高利贷，阴阳合同</v>
      </c>
      <c r="C9807" s="2" t="s">
        <v>9</v>
      </c>
      <c r="D9807" s="2" t="s">
        <v>10</v>
      </c>
      <c r="E9807" s="2" t="str">
        <f>HYPERLINK("http://ts.21cn.com/tousu/show/id/1340992","http://ts.21cn.com/tousu/show/id/1340992")</f>
        <v>http://ts.21cn.com/tousu/show/id/1340992</v>
      </c>
      <c r="F9807" s="2" t="s">
        <v>11</v>
      </c>
      <c r="G9807" s="2" t="s">
        <v>24873</v>
      </c>
      <c r="H9807" s="2" t="s">
        <v>24874</v>
      </c>
    </row>
    <row r="9808" spans="1:8" ht="25.05" customHeight="1" x14ac:dyDescent="0.25">
      <c r="A9808" s="2" t="s">
        <v>8</v>
      </c>
      <c r="B9808" s="2" t="str">
        <f>HYPERLINK("http://ts.21cn.com/tousu/show/id/1340994","北京有缘网未经同意不知道通过什么手段开启了免密支付导致被扣费用存在严重欺诈行为")</f>
        <v>北京有缘网未经同意不知道通过什么手段开启了免密支付导致被扣费用存在严重欺诈行为</v>
      </c>
      <c r="C9808" s="2" t="s">
        <v>9</v>
      </c>
      <c r="D9808" s="2" t="s">
        <v>10</v>
      </c>
      <c r="E9808" s="2" t="str">
        <f>HYPERLINK("http://ts.21cn.com/tousu/show/id/1340994","http://ts.21cn.com/tousu/show/id/1340994")</f>
        <v>http://ts.21cn.com/tousu/show/id/1340994</v>
      </c>
      <c r="F9808" s="2" t="s">
        <v>11</v>
      </c>
      <c r="G9808" s="2" t="s">
        <v>24871</v>
      </c>
      <c r="H9808" s="2" t="s">
        <v>24872</v>
      </c>
    </row>
    <row r="9809" spans="1:8" ht="25.05" customHeight="1" x14ac:dyDescent="0.25">
      <c r="A9809" s="2" t="s">
        <v>8</v>
      </c>
      <c r="B9809" s="2" t="str">
        <f>HYPERLINK("http://ts.21cn.com/tousu/show/id/1340995","钱站高利贷阴阳合同")</f>
        <v>钱站高利贷阴阳合同</v>
      </c>
      <c r="C9809" s="2" t="s">
        <v>9</v>
      </c>
      <c r="D9809" s="2" t="s">
        <v>10</v>
      </c>
      <c r="E9809" s="2" t="str">
        <f>HYPERLINK("http://ts.21cn.com/tousu/show/id/1340995","http://ts.21cn.com/tousu/show/id/1340995")</f>
        <v>http://ts.21cn.com/tousu/show/id/1340995</v>
      </c>
      <c r="F9809" s="2" t="s">
        <v>11</v>
      </c>
      <c r="G9809" s="2" t="s">
        <v>24869</v>
      </c>
      <c r="H9809" s="2" t="s">
        <v>24870</v>
      </c>
    </row>
    <row r="9810" spans="1:8" ht="25.05" customHeight="1" x14ac:dyDescent="0.25">
      <c r="A9810" s="2" t="s">
        <v>8</v>
      </c>
      <c r="B9810" s="2" t="str">
        <f>HYPERLINK("http://ts.21cn.com/tousu/show/id/1340996","拍拍贷高利贷，要求归还超36%非法收益，剩余还款合法收费")</f>
        <v>拍拍贷高利贷，要求归还超36%非法收益，剩余还款合法收费</v>
      </c>
      <c r="C9810" s="2" t="s">
        <v>9</v>
      </c>
      <c r="D9810" s="2" t="s">
        <v>10</v>
      </c>
      <c r="E9810" s="2" t="str">
        <f>HYPERLINK("http://ts.21cn.com/tousu/show/id/1340996","http://ts.21cn.com/tousu/show/id/1340996")</f>
        <v>http://ts.21cn.com/tousu/show/id/1340996</v>
      </c>
      <c r="F9810" s="2" t="s">
        <v>11</v>
      </c>
      <c r="G9810" s="2" t="s">
        <v>24867</v>
      </c>
      <c r="H9810" s="2" t="s">
        <v>24868</v>
      </c>
    </row>
    <row r="9811" spans="1:8" ht="25.05" customHeight="1" x14ac:dyDescent="0.25">
      <c r="A9811" s="2" t="s">
        <v>8</v>
      </c>
      <c r="B9811" s="2" t="str">
        <f>HYPERLINK("http://ts.21cn.com/tousu/show/id/1340993","珍爱网诱导消费，签霸王条例，虚假误导宣传")</f>
        <v>珍爱网诱导消费，签霸王条例，虚假误导宣传</v>
      </c>
      <c r="C9811" s="2" t="s">
        <v>9</v>
      </c>
      <c r="D9811" s="2" t="s">
        <v>10</v>
      </c>
      <c r="E9811" s="2" t="str">
        <f>HYPERLINK("http://ts.21cn.com/tousu/show/id/1340993","http://ts.21cn.com/tousu/show/id/1340993")</f>
        <v>http://ts.21cn.com/tousu/show/id/1340993</v>
      </c>
      <c r="F9811" s="2" t="s">
        <v>11</v>
      </c>
      <c r="G9811" s="2" t="s">
        <v>24865</v>
      </c>
      <c r="H9811" s="2" t="s">
        <v>24866</v>
      </c>
    </row>
    <row r="9812" spans="1:8" ht="25.05" customHeight="1" x14ac:dyDescent="0.25">
      <c r="A9812" s="2" t="s">
        <v>8</v>
      </c>
      <c r="B9812" s="2" t="str">
        <f>HYPERLINK("http://ts.21cn.com/tousu/show/id/1340997","立刻出行保证金退款")</f>
        <v>立刻出行保证金退款</v>
      </c>
      <c r="C9812" s="2" t="s">
        <v>34</v>
      </c>
      <c r="D9812" s="2" t="s">
        <v>10</v>
      </c>
      <c r="E9812" s="2" t="str">
        <f>HYPERLINK("http://ts.21cn.com/tousu/show/id/1340997","http://ts.21cn.com/tousu/show/id/1340997")</f>
        <v>http://ts.21cn.com/tousu/show/id/1340997</v>
      </c>
      <c r="F9812" s="2" t="s">
        <v>11</v>
      </c>
      <c r="G9812" s="2" t="s">
        <v>24863</v>
      </c>
      <c r="H9812" s="2" t="s">
        <v>24864</v>
      </c>
    </row>
    <row r="9813" spans="1:8" ht="25.05" customHeight="1" x14ac:dyDescent="0.25">
      <c r="A9813" s="2" t="s">
        <v>8</v>
      </c>
      <c r="B9813" s="2" t="str">
        <f>HYPERLINK("http://ts.21cn.com/tousu/show/id/1340982","普兰贷平台欺负客户")</f>
        <v>普兰贷平台欺负客户</v>
      </c>
      <c r="C9813" s="2" t="s">
        <v>9</v>
      </c>
      <c r="D9813" s="2" t="s">
        <v>10</v>
      </c>
      <c r="E9813" s="2" t="str">
        <f>HYPERLINK("http://ts.21cn.com/tousu/show/id/1340982","http://ts.21cn.com/tousu/show/id/1340982")</f>
        <v>http://ts.21cn.com/tousu/show/id/1340982</v>
      </c>
      <c r="F9813" s="2" t="s">
        <v>11</v>
      </c>
      <c r="G9813" s="2" t="s">
        <v>24861</v>
      </c>
      <c r="H9813" s="2" t="s">
        <v>24862</v>
      </c>
    </row>
    <row r="9814" spans="1:8" ht="25.05" customHeight="1" x14ac:dyDescent="0.25">
      <c r="A9814" s="2" t="s">
        <v>8</v>
      </c>
      <c r="B9814" s="2" t="str">
        <f>HYPERLINK("http://ts.21cn.com/tousu/show/id/1340998","百事普惠恶意扣款")</f>
        <v>百事普惠恶意扣款</v>
      </c>
      <c r="C9814" s="2" t="s">
        <v>9</v>
      </c>
      <c r="D9814" s="2" t="s">
        <v>10</v>
      </c>
      <c r="E9814" s="2" t="str">
        <f>HYPERLINK("http://ts.21cn.com/tousu/show/id/1340998","http://ts.21cn.com/tousu/show/id/1340998")</f>
        <v>http://ts.21cn.com/tousu/show/id/1340998</v>
      </c>
      <c r="F9814" s="2" t="s">
        <v>11</v>
      </c>
      <c r="G9814" s="2" t="s">
        <v>24859</v>
      </c>
      <c r="H9814" s="2" t="s">
        <v>24860</v>
      </c>
    </row>
    <row r="9815" spans="1:8" ht="25.05" customHeight="1" x14ac:dyDescent="0.25">
      <c r="A9815" s="2" t="s">
        <v>8</v>
      </c>
      <c r="B9815" s="2" t="str">
        <f>HYPERLINK("http://ts.21cn.com/tousu/show/id/1341001","宝付网络科技（上海）有限公司私自乱扣费")</f>
        <v>宝付网络科技（上海）有限公司私自乱扣费</v>
      </c>
      <c r="C9815" s="2" t="s">
        <v>9</v>
      </c>
      <c r="D9815" s="2" t="s">
        <v>10</v>
      </c>
      <c r="E9815" s="2" t="str">
        <f>HYPERLINK("http://ts.21cn.com/tousu/show/id/1341001","http://ts.21cn.com/tousu/show/id/1341001")</f>
        <v>http://ts.21cn.com/tousu/show/id/1341001</v>
      </c>
      <c r="F9815" s="2" t="s">
        <v>11</v>
      </c>
      <c r="G9815" s="2" t="s">
        <v>24857</v>
      </c>
      <c r="H9815" s="2" t="s">
        <v>24858</v>
      </c>
    </row>
    <row r="9816" spans="1:8" ht="25.05" customHeight="1" x14ac:dyDescent="0.25">
      <c r="A9816" s="2" t="s">
        <v>8</v>
      </c>
      <c r="B9816" s="2" t="str">
        <f>HYPERLINK("http://ts.21cn.com/tousu/show/id/1341000","花转转恶意逾期套路贷")</f>
        <v>花转转恶意逾期套路贷</v>
      </c>
      <c r="C9816" s="2" t="s">
        <v>9</v>
      </c>
      <c r="D9816" s="2" t="s">
        <v>10</v>
      </c>
      <c r="E9816" s="2" t="str">
        <f>HYPERLINK("http://ts.21cn.com/tousu/show/id/1341000","http://ts.21cn.com/tousu/show/id/1341000")</f>
        <v>http://ts.21cn.com/tousu/show/id/1341000</v>
      </c>
      <c r="F9816" s="2" t="s">
        <v>11</v>
      </c>
      <c r="G9816" s="2" t="s">
        <v>24855</v>
      </c>
      <c r="H9816" s="2" t="s">
        <v>24856</v>
      </c>
    </row>
    <row r="9817" spans="1:8" ht="25.05" customHeight="1" x14ac:dyDescent="0.25">
      <c r="A9817" s="2" t="s">
        <v>8</v>
      </c>
      <c r="B9817" s="2" t="str">
        <f>HYPERLINK("http://ts.21cn.com/tousu/show/id/1341002","天下信用联合如期分期收取砍头息！！")</f>
        <v>天下信用联合如期分期收取砍头息！！</v>
      </c>
      <c r="C9817" s="2" t="s">
        <v>34</v>
      </c>
      <c r="D9817" s="2" t="s">
        <v>10</v>
      </c>
      <c r="E9817" s="2" t="str">
        <f>HYPERLINK("http://ts.21cn.com/tousu/show/id/1341002","http://ts.21cn.com/tousu/show/id/1341002")</f>
        <v>http://ts.21cn.com/tousu/show/id/1341002</v>
      </c>
      <c r="F9817" s="2" t="s">
        <v>11</v>
      </c>
      <c r="G9817" s="2" t="s">
        <v>24853</v>
      </c>
      <c r="H9817" s="2" t="s">
        <v>24854</v>
      </c>
    </row>
    <row r="9818" spans="1:8" ht="25.05" customHeight="1" x14ac:dyDescent="0.25">
      <c r="A9818" s="2" t="s">
        <v>8</v>
      </c>
      <c r="B9818" s="2" t="str">
        <f>HYPERLINK("http://ts.21cn.com/tousu/show/id/1341003","借款本金不对利息太高")</f>
        <v>借款本金不对利息太高</v>
      </c>
      <c r="C9818" s="2" t="s">
        <v>9</v>
      </c>
      <c r="D9818" s="2" t="s">
        <v>10</v>
      </c>
      <c r="E9818" s="2" t="str">
        <f>HYPERLINK("http://ts.21cn.com/tousu/show/id/1341003","http://ts.21cn.com/tousu/show/id/1341003")</f>
        <v>http://ts.21cn.com/tousu/show/id/1341003</v>
      </c>
      <c r="F9818" s="2" t="s">
        <v>11</v>
      </c>
      <c r="G9818" s="2" t="s">
        <v>24851</v>
      </c>
      <c r="H9818" s="2" t="s">
        <v>24852</v>
      </c>
    </row>
    <row r="9819" spans="1:8" ht="25.05" customHeight="1" x14ac:dyDescent="0.25">
      <c r="A9819" s="2" t="s">
        <v>8</v>
      </c>
      <c r="B9819" s="2" t="str">
        <f>HYPERLINK("http://ts.21cn.com/tousu/show/id/1341004","滴滴出行给公众一个解释")</f>
        <v>滴滴出行给公众一个解释</v>
      </c>
      <c r="C9819" s="2" t="s">
        <v>9</v>
      </c>
      <c r="D9819" s="2" t="s">
        <v>10</v>
      </c>
      <c r="E9819" s="2" t="str">
        <f>HYPERLINK("http://ts.21cn.com/tousu/show/id/1341004","http://ts.21cn.com/tousu/show/id/1341004")</f>
        <v>http://ts.21cn.com/tousu/show/id/1341004</v>
      </c>
      <c r="F9819" s="2" t="s">
        <v>11</v>
      </c>
      <c r="G9819" s="2" t="s">
        <v>24850</v>
      </c>
      <c r="H9819" s="2" t="s">
        <v>7183</v>
      </c>
    </row>
    <row r="9820" spans="1:8" ht="25.05" customHeight="1" x14ac:dyDescent="0.25">
      <c r="A9820" s="2" t="s">
        <v>8</v>
      </c>
      <c r="B9820" s="2" t="str">
        <f>HYPERLINK("http://ts.21cn.com/tousu/show/id/1341005","嗨钱网还款不入账")</f>
        <v>嗨钱网还款不入账</v>
      </c>
      <c r="C9820" s="2" t="s">
        <v>9</v>
      </c>
      <c r="D9820" s="2" t="s">
        <v>10</v>
      </c>
      <c r="E9820" s="2" t="str">
        <f>HYPERLINK("http://ts.21cn.com/tousu/show/id/1341005","http://ts.21cn.com/tousu/show/id/1341005")</f>
        <v>http://ts.21cn.com/tousu/show/id/1341005</v>
      </c>
      <c r="F9820" s="2" t="s">
        <v>11</v>
      </c>
      <c r="G9820" s="2" t="s">
        <v>24848</v>
      </c>
      <c r="H9820" s="2" t="s">
        <v>24849</v>
      </c>
    </row>
    <row r="9821" spans="1:8" ht="25.05" customHeight="1" x14ac:dyDescent="0.25">
      <c r="A9821" s="2" t="s">
        <v>8</v>
      </c>
      <c r="B9821" s="2" t="str">
        <f>HYPERLINK("http://ts.21cn.com/tousu/show/id/1341006","爱又米会员费虚假宣传，要求退款")</f>
        <v>爱又米会员费虚假宣传，要求退款</v>
      </c>
      <c r="C9821" s="2" t="s">
        <v>9</v>
      </c>
      <c r="D9821" s="2" t="s">
        <v>10</v>
      </c>
      <c r="E9821" s="2" t="str">
        <f>HYPERLINK("http://ts.21cn.com/tousu/show/id/1341006","http://ts.21cn.com/tousu/show/id/1341006")</f>
        <v>http://ts.21cn.com/tousu/show/id/1341006</v>
      </c>
      <c r="F9821" s="2" t="s">
        <v>11</v>
      </c>
      <c r="G9821" s="2" t="s">
        <v>24847</v>
      </c>
      <c r="H9821" s="2" t="s">
        <v>86</v>
      </c>
    </row>
    <row r="9822" spans="1:8" ht="25.05" customHeight="1" x14ac:dyDescent="0.25">
      <c r="A9822" s="2" t="s">
        <v>8</v>
      </c>
      <c r="B9822" s="2" t="str">
        <f>HYPERLINK("http://ts.21cn.com/tousu/show/id/1341007","买了黑卡，不予下款")</f>
        <v>买了黑卡，不予下款</v>
      </c>
      <c r="C9822" s="2" t="s">
        <v>9</v>
      </c>
      <c r="D9822" s="2" t="s">
        <v>10</v>
      </c>
      <c r="E9822" s="2" t="str">
        <f>HYPERLINK("http://ts.21cn.com/tousu/show/id/1341007","http://ts.21cn.com/tousu/show/id/1341007")</f>
        <v>http://ts.21cn.com/tousu/show/id/1341007</v>
      </c>
      <c r="F9822" s="2" t="s">
        <v>11</v>
      </c>
      <c r="G9822" s="2" t="s">
        <v>24845</v>
      </c>
      <c r="H9822" s="2" t="s">
        <v>24846</v>
      </c>
    </row>
    <row r="9823" spans="1:8" ht="25.05" customHeight="1" x14ac:dyDescent="0.25">
      <c r="A9823" s="2" t="s">
        <v>8</v>
      </c>
      <c r="B9823" s="2" t="str">
        <f>HYPERLINK("http://ts.21cn.com/tousu/show/id/1341008","停止暴力催收")</f>
        <v>停止暴力催收</v>
      </c>
      <c r="C9823" s="2" t="s">
        <v>9</v>
      </c>
      <c r="D9823" s="2" t="s">
        <v>10</v>
      </c>
      <c r="E9823" s="2" t="str">
        <f>HYPERLINK("http://ts.21cn.com/tousu/show/id/1341008","http://ts.21cn.com/tousu/show/id/1341008")</f>
        <v>http://ts.21cn.com/tousu/show/id/1341008</v>
      </c>
      <c r="F9823" s="2" t="s">
        <v>11</v>
      </c>
      <c r="G9823" s="2" t="s">
        <v>24843</v>
      </c>
      <c r="H9823" s="2" t="s">
        <v>24844</v>
      </c>
    </row>
    <row r="9824" spans="1:8" ht="25.05" customHeight="1" x14ac:dyDescent="0.25">
      <c r="A9824" s="2" t="s">
        <v>8</v>
      </c>
      <c r="B9824" s="2" t="str">
        <f>HYPERLINK("http://ts.21cn.com/tousu/show/id/1341009","关于北京瓴岳信息技术有限公司借贷无法还款问题")</f>
        <v>关于北京瓴岳信息技术有限公司借贷无法还款问题</v>
      </c>
      <c r="C9824" s="2" t="s">
        <v>9</v>
      </c>
      <c r="D9824" s="2" t="s">
        <v>10</v>
      </c>
      <c r="E9824" s="2" t="str">
        <f>HYPERLINK("http://ts.21cn.com/tousu/show/id/1341009","http://ts.21cn.com/tousu/show/id/1341009")</f>
        <v>http://ts.21cn.com/tousu/show/id/1341009</v>
      </c>
      <c r="F9824" s="2" t="s">
        <v>11</v>
      </c>
      <c r="G9824" s="2" t="s">
        <v>24841</v>
      </c>
      <c r="H9824" s="2" t="s">
        <v>24842</v>
      </c>
    </row>
    <row r="9825" spans="1:8" ht="25.05" customHeight="1" x14ac:dyDescent="0.25">
      <c r="A9825" s="2" t="s">
        <v>8</v>
      </c>
      <c r="B9825" s="2" t="str">
        <f>HYPERLINK("http://ts.21cn.com/tousu/show/id/1341010","钱站高利贷阴阳合同")</f>
        <v>钱站高利贷阴阳合同</v>
      </c>
      <c r="C9825" s="2" t="s">
        <v>9</v>
      </c>
      <c r="D9825" s="2" t="s">
        <v>10</v>
      </c>
      <c r="E9825" s="2" t="str">
        <f>HYPERLINK("http://ts.21cn.com/tousu/show/id/1341010","http://ts.21cn.com/tousu/show/id/1341010")</f>
        <v>http://ts.21cn.com/tousu/show/id/1341010</v>
      </c>
      <c r="F9825" s="2" t="s">
        <v>11</v>
      </c>
      <c r="G9825" s="2" t="s">
        <v>24839</v>
      </c>
      <c r="H9825" s="2" t="s">
        <v>24840</v>
      </c>
    </row>
    <row r="9826" spans="1:8" ht="25.05" customHeight="1" x14ac:dyDescent="0.25">
      <c r="A9826" s="2" t="s">
        <v>8</v>
      </c>
      <c r="B9826" s="2" t="str">
        <f>HYPERLINK("http://ts.21cn.com/tousu/show/id/1341011","牛人有品砍头费")</f>
        <v>牛人有品砍头费</v>
      </c>
      <c r="C9826" s="2" t="s">
        <v>9</v>
      </c>
      <c r="D9826" s="2" t="s">
        <v>10</v>
      </c>
      <c r="E9826" s="2" t="str">
        <f>HYPERLINK("http://ts.21cn.com/tousu/show/id/1341011","http://ts.21cn.com/tousu/show/id/1341011")</f>
        <v>http://ts.21cn.com/tousu/show/id/1341011</v>
      </c>
      <c r="F9826" s="2" t="s">
        <v>11</v>
      </c>
      <c r="G9826" s="2" t="s">
        <v>24837</v>
      </c>
      <c r="H9826" s="2" t="s">
        <v>24838</v>
      </c>
    </row>
    <row r="9827" spans="1:8" ht="25.05" customHeight="1" x14ac:dyDescent="0.25">
      <c r="A9827" s="2" t="s">
        <v>8</v>
      </c>
      <c r="B9827" s="2" t="str">
        <f>HYPERLINK("http://ts.21cn.com/tousu/show/id/1341012","误充大额陌陌币，拒不退还")</f>
        <v>误充大额陌陌币，拒不退还</v>
      </c>
      <c r="C9827" s="2" t="s">
        <v>9</v>
      </c>
      <c r="D9827" s="2" t="s">
        <v>10</v>
      </c>
      <c r="E9827" s="2" t="str">
        <f>HYPERLINK("http://ts.21cn.com/tousu/show/id/1341012","http://ts.21cn.com/tousu/show/id/1341012")</f>
        <v>http://ts.21cn.com/tousu/show/id/1341012</v>
      </c>
      <c r="F9827" s="2" t="s">
        <v>11</v>
      </c>
      <c r="G9827" s="2" t="s">
        <v>24835</v>
      </c>
      <c r="H9827" s="2" t="s">
        <v>24836</v>
      </c>
    </row>
    <row r="9828" spans="1:8" ht="25.05" customHeight="1" x14ac:dyDescent="0.25">
      <c r="A9828" s="2" t="s">
        <v>8</v>
      </c>
      <c r="B9828" s="2" t="str">
        <f>HYPERLINK("http://ts.21cn.com/tousu/show/id/1341013","豹子贷无故扣钱不需要还要扣")</f>
        <v>豹子贷无故扣钱不需要还要扣</v>
      </c>
      <c r="C9828" s="2" t="s">
        <v>9</v>
      </c>
      <c r="D9828" s="2" t="s">
        <v>10</v>
      </c>
      <c r="E9828" s="2" t="str">
        <f>HYPERLINK("http://ts.21cn.com/tousu/show/id/1341013","http://ts.21cn.com/tousu/show/id/1341013")</f>
        <v>http://ts.21cn.com/tousu/show/id/1341013</v>
      </c>
      <c r="F9828" s="2" t="s">
        <v>11</v>
      </c>
      <c r="G9828" s="2" t="s">
        <v>24833</v>
      </c>
      <c r="H9828" s="2" t="s">
        <v>24834</v>
      </c>
    </row>
    <row r="9829" spans="1:8" ht="25.05" customHeight="1" x14ac:dyDescent="0.25">
      <c r="A9829" s="2" t="s">
        <v>8</v>
      </c>
      <c r="B9829" s="2" t="str">
        <f>HYPERLINK("http://ts.21cn.com/tousu/show/id/1341014","协商还款时间")</f>
        <v>协商还款时间</v>
      </c>
      <c r="C9829" s="2" t="s">
        <v>9</v>
      </c>
      <c r="D9829" s="2" t="s">
        <v>10</v>
      </c>
      <c r="E9829" s="2" t="str">
        <f>HYPERLINK("http://ts.21cn.com/tousu/show/id/1341014","http://ts.21cn.com/tousu/show/id/1341014")</f>
        <v>http://ts.21cn.com/tousu/show/id/1341014</v>
      </c>
      <c r="F9829" s="2" t="s">
        <v>11</v>
      </c>
      <c r="G9829" s="2" t="s">
        <v>24831</v>
      </c>
      <c r="H9829" s="2" t="s">
        <v>24832</v>
      </c>
    </row>
    <row r="9830" spans="1:8" ht="25.05" customHeight="1" x14ac:dyDescent="0.25">
      <c r="A9830" s="2" t="s">
        <v>8</v>
      </c>
      <c r="B9830" s="2" t="str">
        <f>HYPERLINK("http://ts.21cn.com/tousu/show/id/1341015","百事普惠恶意扣款")</f>
        <v>百事普惠恶意扣款</v>
      </c>
      <c r="C9830" s="2" t="s">
        <v>9</v>
      </c>
      <c r="D9830" s="2" t="s">
        <v>10</v>
      </c>
      <c r="E9830" s="2" t="str">
        <f>HYPERLINK("http://ts.21cn.com/tousu/show/id/1341015","http://ts.21cn.com/tousu/show/id/1341015")</f>
        <v>http://ts.21cn.com/tousu/show/id/1341015</v>
      </c>
      <c r="F9830" s="2" t="s">
        <v>11</v>
      </c>
      <c r="G9830" s="2" t="s">
        <v>24829</v>
      </c>
      <c r="H9830" s="2" t="s">
        <v>24830</v>
      </c>
    </row>
    <row r="9831" spans="1:8" ht="25.05" customHeight="1" x14ac:dyDescent="0.25">
      <c r="A9831" s="2" t="s">
        <v>8</v>
      </c>
      <c r="B9831" s="2" t="str">
        <f>HYPERLINK("http://ts.21cn.com/tousu/show/id/1341016","高利贷阴阳合同，暴力催收威胁")</f>
        <v>高利贷阴阳合同，暴力催收威胁</v>
      </c>
      <c r="C9831" s="2" t="s">
        <v>9</v>
      </c>
      <c r="D9831" s="2" t="s">
        <v>10</v>
      </c>
      <c r="E9831" s="2" t="str">
        <f>HYPERLINK("http://ts.21cn.com/tousu/show/id/1341016","http://ts.21cn.com/tousu/show/id/1341016")</f>
        <v>http://ts.21cn.com/tousu/show/id/1341016</v>
      </c>
      <c r="F9831" s="2" t="s">
        <v>11</v>
      </c>
      <c r="G9831" s="2" t="s">
        <v>24827</v>
      </c>
      <c r="H9831" s="2" t="s">
        <v>24828</v>
      </c>
    </row>
    <row r="9832" spans="1:8" ht="25.05" customHeight="1" x14ac:dyDescent="0.25">
      <c r="A9832" s="2" t="s">
        <v>8</v>
      </c>
      <c r="B9832" s="2" t="str">
        <f>HYPERLINK("http://ts.21cn.com/tousu/show/id/1341017","本人在人人贷借款14000元，由于生病了想一次性还清贷款。但是20多天居然要我还18725元。20多天利息4725元。这")</f>
        <v>本人在人人贷借款14000元，由于生病了想一次性还清贷款。但是20多天居然要我还18725元。20多天利息4725元。这</v>
      </c>
      <c r="C9832" s="2" t="s">
        <v>34</v>
      </c>
      <c r="D9832" s="2" t="s">
        <v>10</v>
      </c>
      <c r="E9832" s="2" t="str">
        <f>HYPERLINK("http://ts.21cn.com/tousu/show/id/1341017","http://ts.21cn.com/tousu/show/id/1341017")</f>
        <v>http://ts.21cn.com/tousu/show/id/1341017</v>
      </c>
      <c r="F9832" s="2" t="s">
        <v>11</v>
      </c>
      <c r="G9832" s="2" t="s">
        <v>24825</v>
      </c>
      <c r="H9832" s="2" t="s">
        <v>24826</v>
      </c>
    </row>
    <row r="9833" spans="1:8" ht="25.05" customHeight="1" x14ac:dyDescent="0.25">
      <c r="A9833" s="2" t="s">
        <v>8</v>
      </c>
      <c r="B9833" s="2" t="str">
        <f>HYPERLINK("http://ts.21cn.com/tousu/show/id/1341018","钱站高利贷阴阳合同")</f>
        <v>钱站高利贷阴阳合同</v>
      </c>
      <c r="C9833" s="2" t="s">
        <v>9</v>
      </c>
      <c r="D9833" s="2" t="s">
        <v>10</v>
      </c>
      <c r="E9833" s="2" t="str">
        <f>HYPERLINK("http://ts.21cn.com/tousu/show/id/1341018","http://ts.21cn.com/tousu/show/id/1341018")</f>
        <v>http://ts.21cn.com/tousu/show/id/1341018</v>
      </c>
      <c r="F9833" s="2" t="s">
        <v>11</v>
      </c>
      <c r="G9833" s="2" t="s">
        <v>24823</v>
      </c>
      <c r="H9833" s="2" t="s">
        <v>24824</v>
      </c>
    </row>
    <row r="9834" spans="1:8" ht="25.05" customHeight="1" x14ac:dyDescent="0.25">
      <c r="A9834" s="2" t="s">
        <v>8</v>
      </c>
      <c r="B9834" s="2" t="str">
        <f>HYPERLINK("http://ts.21cn.com/tousu/show/id/1341019","滴滴出行恶意限制服务分")</f>
        <v>滴滴出行恶意限制服务分</v>
      </c>
      <c r="C9834" s="2" t="s">
        <v>9</v>
      </c>
      <c r="D9834" s="2" t="s">
        <v>10</v>
      </c>
      <c r="E9834" s="2" t="str">
        <f>HYPERLINK("http://ts.21cn.com/tousu/show/id/1341019","http://ts.21cn.com/tousu/show/id/1341019")</f>
        <v>http://ts.21cn.com/tousu/show/id/1341019</v>
      </c>
      <c r="F9834" s="2" t="s">
        <v>11</v>
      </c>
      <c r="G9834" s="2" t="s">
        <v>24821</v>
      </c>
      <c r="H9834" s="2" t="s">
        <v>24822</v>
      </c>
    </row>
    <row r="9835" spans="1:8" ht="25.05" customHeight="1" x14ac:dyDescent="0.25">
      <c r="A9835" s="2" t="s">
        <v>8</v>
      </c>
      <c r="B9835" s="2" t="str">
        <f>HYPERLINK("http://ts.21cn.com/tousu/show/id/1341020","你我贷不让提前结清")</f>
        <v>你我贷不让提前结清</v>
      </c>
      <c r="C9835" s="2" t="s">
        <v>9</v>
      </c>
      <c r="D9835" s="2" t="s">
        <v>10</v>
      </c>
      <c r="E9835" s="2" t="str">
        <f>HYPERLINK("http://ts.21cn.com/tousu/show/id/1341020","http://ts.21cn.com/tousu/show/id/1341020")</f>
        <v>http://ts.21cn.com/tousu/show/id/1341020</v>
      </c>
      <c r="F9835" s="2" t="s">
        <v>11</v>
      </c>
      <c r="G9835" s="2" t="s">
        <v>24819</v>
      </c>
      <c r="H9835" s="2" t="s">
        <v>24820</v>
      </c>
    </row>
    <row r="9836" spans="1:8" ht="25.05" customHeight="1" x14ac:dyDescent="0.25">
      <c r="A9836" s="2" t="s">
        <v>8</v>
      </c>
      <c r="B9836" s="2" t="str">
        <f>HYPERLINK("http://ts.21cn.com/tousu/show/id/1341021","被特约京东支付不知情的情况下扣款")</f>
        <v>被特约京东支付不知情的情况下扣款</v>
      </c>
      <c r="C9836" s="2" t="s">
        <v>9</v>
      </c>
      <c r="D9836" s="2" t="s">
        <v>10</v>
      </c>
      <c r="E9836" s="2" t="str">
        <f>HYPERLINK("http://ts.21cn.com/tousu/show/id/1341021","http://ts.21cn.com/tousu/show/id/1341021")</f>
        <v>http://ts.21cn.com/tousu/show/id/1341021</v>
      </c>
      <c r="F9836" s="2" t="s">
        <v>11</v>
      </c>
      <c r="G9836" s="2" t="s">
        <v>24817</v>
      </c>
      <c r="H9836" s="2" t="s">
        <v>24818</v>
      </c>
    </row>
    <row r="9837" spans="1:8" ht="25.05" customHeight="1" x14ac:dyDescent="0.25">
      <c r="A9837" s="2" t="s">
        <v>8</v>
      </c>
      <c r="B9837" s="2" t="str">
        <f>HYPERLINK("http://ts.21cn.com/tousu/show/id/1341022","半夜被迫缴费，次日退款，未产生实质性消费")</f>
        <v>半夜被迫缴费，次日退款，未产生实质性消费</v>
      </c>
      <c r="C9837" s="2" t="s">
        <v>9</v>
      </c>
      <c r="D9837" s="2" t="s">
        <v>10</v>
      </c>
      <c r="E9837" s="2" t="str">
        <f>HYPERLINK("http://ts.21cn.com/tousu/show/id/1341022","http://ts.21cn.com/tousu/show/id/1341022")</f>
        <v>http://ts.21cn.com/tousu/show/id/1341022</v>
      </c>
      <c r="F9837" s="2" t="s">
        <v>11</v>
      </c>
      <c r="G9837" s="2" t="s">
        <v>24815</v>
      </c>
      <c r="H9837" s="2" t="s">
        <v>24816</v>
      </c>
    </row>
    <row r="9838" spans="1:8" ht="25.05" customHeight="1" x14ac:dyDescent="0.25">
      <c r="A9838" s="2" t="s">
        <v>8</v>
      </c>
      <c r="B9838" s="2" t="str">
        <f>HYPERLINK("http://ts.21cn.com/tousu/show/id/1341025","网贷暴力催收")</f>
        <v>网贷暴力催收</v>
      </c>
      <c r="C9838" s="2" t="s">
        <v>9</v>
      </c>
      <c r="D9838" s="2" t="s">
        <v>10</v>
      </c>
      <c r="E9838" s="2" t="str">
        <f>HYPERLINK("http://ts.21cn.com/tousu/show/id/1341025","http://ts.21cn.com/tousu/show/id/1341025")</f>
        <v>http://ts.21cn.com/tousu/show/id/1341025</v>
      </c>
      <c r="F9838" s="2" t="s">
        <v>11</v>
      </c>
      <c r="G9838" s="2" t="s">
        <v>24813</v>
      </c>
      <c r="H9838" s="2" t="s">
        <v>24814</v>
      </c>
    </row>
    <row r="9839" spans="1:8" ht="25.05" customHeight="1" x14ac:dyDescent="0.25">
      <c r="A9839" s="2" t="s">
        <v>8</v>
      </c>
      <c r="B9839" s="2" t="str">
        <f>HYPERLINK("http://ts.21cn.com/tousu/show/id/1341027","高利息，在不知情下高违约金")</f>
        <v>高利息，在不知情下高违约金</v>
      </c>
      <c r="C9839" s="2" t="s">
        <v>9</v>
      </c>
      <c r="D9839" s="2" t="s">
        <v>10</v>
      </c>
      <c r="E9839" s="2" t="str">
        <f>HYPERLINK("http://ts.21cn.com/tousu/show/id/1341027","http://ts.21cn.com/tousu/show/id/1341027")</f>
        <v>http://ts.21cn.com/tousu/show/id/1341027</v>
      </c>
      <c r="F9839" s="2" t="s">
        <v>11</v>
      </c>
      <c r="G9839" s="2" t="s">
        <v>24811</v>
      </c>
      <c r="H9839" s="2" t="s">
        <v>24812</v>
      </c>
    </row>
    <row r="9840" spans="1:8" ht="25.05" customHeight="1" x14ac:dyDescent="0.25">
      <c r="A9840" s="2" t="s">
        <v>8</v>
      </c>
      <c r="B9840" s="2" t="str">
        <f>HYPERLINK("http://ts.21cn.com/tousu/show/id/1341024","投诉深圳市佰仟金融有限公司")</f>
        <v>投诉深圳市佰仟金融有限公司</v>
      </c>
      <c r="C9840" s="2" t="s">
        <v>9</v>
      </c>
      <c r="D9840" s="2" t="s">
        <v>10</v>
      </c>
      <c r="E9840" s="2" t="str">
        <f>HYPERLINK("http://ts.21cn.com/tousu/show/id/1341024","http://ts.21cn.com/tousu/show/id/1341024")</f>
        <v>http://ts.21cn.com/tousu/show/id/1341024</v>
      </c>
      <c r="F9840" s="2" t="s">
        <v>11</v>
      </c>
      <c r="G9840" s="2" t="s">
        <v>24809</v>
      </c>
      <c r="H9840" s="2" t="s">
        <v>24810</v>
      </c>
    </row>
    <row r="9841" spans="1:8" ht="25.05" customHeight="1" x14ac:dyDescent="0.25">
      <c r="A9841" s="2" t="s">
        <v>8</v>
      </c>
      <c r="B9841" s="2" t="str">
        <f>HYPERLINK("http://ts.21cn.com/tousu/show/id/1341028","洋钱罐借钱高利贷")</f>
        <v>洋钱罐借钱高利贷</v>
      </c>
      <c r="C9841" s="2" t="s">
        <v>9</v>
      </c>
      <c r="D9841" s="2" t="s">
        <v>10</v>
      </c>
      <c r="E9841" s="2" t="str">
        <f>HYPERLINK("http://ts.21cn.com/tousu/show/id/1341028","http://ts.21cn.com/tousu/show/id/1341028")</f>
        <v>http://ts.21cn.com/tousu/show/id/1341028</v>
      </c>
      <c r="F9841" s="2" t="s">
        <v>11</v>
      </c>
      <c r="G9841" s="2" t="s">
        <v>24807</v>
      </c>
      <c r="H9841" s="2" t="s">
        <v>24808</v>
      </c>
    </row>
    <row r="9842" spans="1:8" ht="25.05" customHeight="1" x14ac:dyDescent="0.25">
      <c r="A9842" s="2" t="s">
        <v>8</v>
      </c>
      <c r="B9842" s="2" t="str">
        <f>HYPERLINK("http://ts.21cn.com/tousu/show/id/1341029","高铁管家抢票成功退票多收取了60元抢票套餐费")</f>
        <v>高铁管家抢票成功退票多收取了60元抢票套餐费</v>
      </c>
      <c r="C9842" s="2" t="s">
        <v>34</v>
      </c>
      <c r="D9842" s="2" t="s">
        <v>10</v>
      </c>
      <c r="E9842" s="2" t="str">
        <f>HYPERLINK("http://ts.21cn.com/tousu/show/id/1341029","http://ts.21cn.com/tousu/show/id/1341029")</f>
        <v>http://ts.21cn.com/tousu/show/id/1341029</v>
      </c>
      <c r="F9842" s="2" t="s">
        <v>11</v>
      </c>
      <c r="G9842" s="2" t="s">
        <v>24805</v>
      </c>
      <c r="H9842" s="2" t="s">
        <v>24806</v>
      </c>
    </row>
    <row r="9843" spans="1:8" ht="25.05" customHeight="1" x14ac:dyDescent="0.25">
      <c r="A9843" s="2" t="s">
        <v>8</v>
      </c>
      <c r="B9843" s="2" t="str">
        <f>HYPERLINK("http://ts.21cn.com/tousu/show/id/1341031","猫眼电影app拉新人不给提现")</f>
        <v>猫眼电影app拉新人不给提现</v>
      </c>
      <c r="C9843" s="2" t="s">
        <v>9</v>
      </c>
      <c r="D9843" s="2" t="s">
        <v>10</v>
      </c>
      <c r="E9843" s="2" t="str">
        <f>HYPERLINK("http://ts.21cn.com/tousu/show/id/1341031","http://ts.21cn.com/tousu/show/id/1341031")</f>
        <v>http://ts.21cn.com/tousu/show/id/1341031</v>
      </c>
      <c r="F9843" s="2" t="s">
        <v>11</v>
      </c>
      <c r="G9843" s="2" t="s">
        <v>24803</v>
      </c>
      <c r="H9843" s="2" t="s">
        <v>24804</v>
      </c>
    </row>
    <row r="9844" spans="1:8" ht="25.05" customHeight="1" x14ac:dyDescent="0.25">
      <c r="A9844" s="2" t="s">
        <v>8</v>
      </c>
      <c r="B9844" s="2" t="str">
        <f>HYPERLINK("http://ts.21cn.com/tousu/show/id/1341032","钱站高利贷阴阳合同")</f>
        <v>钱站高利贷阴阳合同</v>
      </c>
      <c r="C9844" s="2" t="s">
        <v>9</v>
      </c>
      <c r="D9844" s="2" t="s">
        <v>10</v>
      </c>
      <c r="E9844" s="2" t="str">
        <f>HYPERLINK("http://ts.21cn.com/tousu/show/id/1341032","http://ts.21cn.com/tousu/show/id/1341032")</f>
        <v>http://ts.21cn.com/tousu/show/id/1341032</v>
      </c>
      <c r="F9844" s="2" t="s">
        <v>11</v>
      </c>
      <c r="G9844" s="2" t="s">
        <v>24801</v>
      </c>
      <c r="H9844" s="2" t="s">
        <v>24802</v>
      </c>
    </row>
    <row r="9845" spans="1:8" ht="25.05" customHeight="1" x14ac:dyDescent="0.25">
      <c r="A9845" s="2" t="s">
        <v>8</v>
      </c>
      <c r="B9845" s="2" t="str">
        <f>HYPERLINK("http://ts.21cn.com/tousu/show/id/1341033","高铁管家抢票成功退票多收取了60元抢票套餐费")</f>
        <v>高铁管家抢票成功退票多收取了60元抢票套餐费</v>
      </c>
      <c r="C9845" s="2" t="s">
        <v>34</v>
      </c>
      <c r="D9845" s="2" t="s">
        <v>10</v>
      </c>
      <c r="E9845" s="2" t="str">
        <f>HYPERLINK("http://ts.21cn.com/tousu/show/id/1341033","http://ts.21cn.com/tousu/show/id/1341033")</f>
        <v>http://ts.21cn.com/tousu/show/id/1341033</v>
      </c>
      <c r="F9845" s="2" t="s">
        <v>11</v>
      </c>
      <c r="G9845" s="2" t="s">
        <v>24799</v>
      </c>
      <c r="H9845" s="2" t="s">
        <v>24800</v>
      </c>
    </row>
    <row r="9846" spans="1:8" ht="25.05" customHeight="1" x14ac:dyDescent="0.25">
      <c r="A9846" s="2" t="s">
        <v>8</v>
      </c>
      <c r="B9846" s="2" t="str">
        <f>HYPERLINK("http://ts.21cn.com/tousu/show/id/1341034","分期个2799手机月供315.04，逾期带叠加钱，费用怎么来都不知道，合同还更离奇。")</f>
        <v>分期个2799手机月供315.04，逾期带叠加钱，费用怎么来都不知道，合同还更离奇。</v>
      </c>
      <c r="C9846" s="2" t="s">
        <v>34</v>
      </c>
      <c r="D9846" s="2" t="s">
        <v>10</v>
      </c>
      <c r="E9846" s="2" t="str">
        <f>HYPERLINK("http://ts.21cn.com/tousu/show/id/1341034","http://ts.21cn.com/tousu/show/id/1341034")</f>
        <v>http://ts.21cn.com/tousu/show/id/1341034</v>
      </c>
      <c r="F9846" s="2" t="s">
        <v>11</v>
      </c>
      <c r="G9846" s="2" t="s">
        <v>24797</v>
      </c>
      <c r="H9846" s="2" t="s">
        <v>24798</v>
      </c>
    </row>
    <row r="9847" spans="1:8" ht="25.05" customHeight="1" x14ac:dyDescent="0.25">
      <c r="A9847" s="2" t="s">
        <v>8</v>
      </c>
      <c r="B9847" s="2" t="str">
        <f>HYPERLINK("http://ts.21cn.com/tousu/show/id/1341035","融360贷款平台利息让人发指")</f>
        <v>融360贷款平台利息让人发指</v>
      </c>
      <c r="C9847" s="2" t="s">
        <v>9</v>
      </c>
      <c r="D9847" s="2" t="s">
        <v>10</v>
      </c>
      <c r="E9847" s="2" t="str">
        <f>HYPERLINK("http://ts.21cn.com/tousu/show/id/1341035","http://ts.21cn.com/tousu/show/id/1341035")</f>
        <v>http://ts.21cn.com/tousu/show/id/1341035</v>
      </c>
      <c r="F9847" s="2" t="s">
        <v>11</v>
      </c>
      <c r="G9847" s="2" t="s">
        <v>24795</v>
      </c>
      <c r="H9847" s="2" t="s">
        <v>24796</v>
      </c>
    </row>
    <row r="9848" spans="1:8" ht="25.05" customHeight="1" x14ac:dyDescent="0.25">
      <c r="A9848" s="2" t="s">
        <v>8</v>
      </c>
      <c r="B9848" s="2" t="str">
        <f>HYPERLINK("http://ts.21cn.com/tousu/show/id/1341026","隐藏并收取保险费")</f>
        <v>隐藏并收取保险费</v>
      </c>
      <c r="C9848" s="2" t="s">
        <v>9</v>
      </c>
      <c r="D9848" s="2" t="s">
        <v>10</v>
      </c>
      <c r="E9848" s="2" t="str">
        <f>HYPERLINK("http://ts.21cn.com/tousu/show/id/1341026","http://ts.21cn.com/tousu/show/id/1341026")</f>
        <v>http://ts.21cn.com/tousu/show/id/1341026</v>
      </c>
      <c r="F9848" s="2" t="s">
        <v>11</v>
      </c>
      <c r="G9848" s="2" t="s">
        <v>24793</v>
      </c>
      <c r="H9848" s="2" t="s">
        <v>24794</v>
      </c>
    </row>
    <row r="9849" spans="1:8" ht="25.05" customHeight="1" x14ac:dyDescent="0.25">
      <c r="A9849" s="2" t="s">
        <v>8</v>
      </c>
      <c r="B9849" s="2" t="str">
        <f>HYPERLINK("http://ts.21cn.com/tousu/show/id/1341036","钱站高利贷阴阳合同")</f>
        <v>钱站高利贷阴阳合同</v>
      </c>
      <c r="C9849" s="2" t="s">
        <v>9</v>
      </c>
      <c r="D9849" s="2" t="s">
        <v>10</v>
      </c>
      <c r="E9849" s="2" t="str">
        <f>HYPERLINK("http://ts.21cn.com/tousu/show/id/1341036","http://ts.21cn.com/tousu/show/id/1341036")</f>
        <v>http://ts.21cn.com/tousu/show/id/1341036</v>
      </c>
      <c r="F9849" s="2" t="s">
        <v>11</v>
      </c>
      <c r="G9849" s="2" t="s">
        <v>24791</v>
      </c>
      <c r="H9849" s="2" t="s">
        <v>24792</v>
      </c>
    </row>
    <row r="9850" spans="1:8" ht="25.05" customHeight="1" x14ac:dyDescent="0.25">
      <c r="A9850" s="2" t="s">
        <v>8</v>
      </c>
      <c r="B9850" s="2" t="str">
        <f>HYPERLINK("http://ts.21cn.com/tousu/show/id/1341023","国美九阳净食机虚假销售")</f>
        <v>国美九阳净食机虚假销售</v>
      </c>
      <c r="C9850" s="2" t="s">
        <v>9</v>
      </c>
      <c r="D9850" s="2" t="s">
        <v>10</v>
      </c>
      <c r="E9850" s="2" t="str">
        <f>HYPERLINK("http://ts.21cn.com/tousu/show/id/1341023","http://ts.21cn.com/tousu/show/id/1341023")</f>
        <v>http://ts.21cn.com/tousu/show/id/1341023</v>
      </c>
      <c r="F9850" s="2" t="s">
        <v>11</v>
      </c>
      <c r="G9850" s="2" t="s">
        <v>24789</v>
      </c>
      <c r="H9850" s="2" t="s">
        <v>24790</v>
      </c>
    </row>
    <row r="9851" spans="1:8" ht="25.05" customHeight="1" x14ac:dyDescent="0.25">
      <c r="A9851" s="2" t="s">
        <v>8</v>
      </c>
      <c r="B9851" s="2" t="str">
        <f>HYPERLINK("http://ts.21cn.com/tousu/show/id/1341037","私自更改借款合同取消借款冻结额度")</f>
        <v>私自更改借款合同取消借款冻结额度</v>
      </c>
      <c r="C9851" s="2" t="s">
        <v>9</v>
      </c>
      <c r="D9851" s="2" t="s">
        <v>10</v>
      </c>
      <c r="E9851" s="2" t="str">
        <f>HYPERLINK("http://ts.21cn.com/tousu/show/id/1341037","http://ts.21cn.com/tousu/show/id/1341037")</f>
        <v>http://ts.21cn.com/tousu/show/id/1341037</v>
      </c>
      <c r="F9851" s="2" t="s">
        <v>11</v>
      </c>
      <c r="G9851" s="2" t="s">
        <v>24787</v>
      </c>
      <c r="H9851" s="2" t="s">
        <v>24788</v>
      </c>
    </row>
    <row r="9852" spans="1:8" ht="25.05" customHeight="1" x14ac:dyDescent="0.25">
      <c r="A9852" s="2" t="s">
        <v>8</v>
      </c>
      <c r="B9852" s="2" t="str">
        <f>HYPERLINK("http://ts.21cn.com/tousu/show/id/1341038","协议结清近一年app不销帐")</f>
        <v>协议结清近一年app不销帐</v>
      </c>
      <c r="C9852" s="2" t="s">
        <v>34</v>
      </c>
      <c r="D9852" s="2" t="s">
        <v>10</v>
      </c>
      <c r="E9852" s="2" t="str">
        <f>HYPERLINK("http://ts.21cn.com/tousu/show/id/1341038","http://ts.21cn.com/tousu/show/id/1341038")</f>
        <v>http://ts.21cn.com/tousu/show/id/1341038</v>
      </c>
      <c r="F9852" s="2" t="s">
        <v>11</v>
      </c>
      <c r="G9852" s="2" t="s">
        <v>24785</v>
      </c>
      <c r="H9852" s="2" t="s">
        <v>24786</v>
      </c>
    </row>
    <row r="9853" spans="1:8" ht="25.05" customHeight="1" x14ac:dyDescent="0.25">
      <c r="A9853" s="2" t="s">
        <v>8</v>
      </c>
      <c r="B9853" s="2" t="str">
        <f>HYPERLINK("http://ts.21cn.com/tousu/show/id/1341040","为714高利贷公司提供第三方支付，无端扣款")</f>
        <v>为714高利贷公司提供第三方支付，无端扣款</v>
      </c>
      <c r="C9853" s="2" t="s">
        <v>9</v>
      </c>
      <c r="D9853" s="2" t="s">
        <v>10</v>
      </c>
      <c r="E9853" s="2" t="str">
        <f>HYPERLINK("http://ts.21cn.com/tousu/show/id/1341040","http://ts.21cn.com/tousu/show/id/1341040")</f>
        <v>http://ts.21cn.com/tousu/show/id/1341040</v>
      </c>
      <c r="F9853" s="2" t="s">
        <v>11</v>
      </c>
      <c r="G9853" s="2" t="s">
        <v>24783</v>
      </c>
      <c r="H9853" s="2" t="s">
        <v>24784</v>
      </c>
    </row>
    <row r="9854" spans="1:8" ht="25.05" customHeight="1" x14ac:dyDescent="0.25">
      <c r="A9854" s="2" t="s">
        <v>8</v>
      </c>
      <c r="B9854" s="2" t="str">
        <f>HYPERLINK("http://ts.21cn.com/tousu/show/id/1341041","普惠快信强制乱加增值费用")</f>
        <v>普惠快信强制乱加增值费用</v>
      </c>
      <c r="C9854" s="2" t="s">
        <v>9</v>
      </c>
      <c r="D9854" s="2" t="s">
        <v>10</v>
      </c>
      <c r="E9854" s="2" t="str">
        <f>HYPERLINK("http://ts.21cn.com/tousu/show/id/1341041","http://ts.21cn.com/tousu/show/id/1341041")</f>
        <v>http://ts.21cn.com/tousu/show/id/1341041</v>
      </c>
      <c r="F9854" s="2" t="s">
        <v>11</v>
      </c>
      <c r="G9854" s="2" t="s">
        <v>24781</v>
      </c>
      <c r="H9854" s="2" t="s">
        <v>24782</v>
      </c>
    </row>
    <row r="9855" spans="1:8" ht="25.05" customHeight="1" x14ac:dyDescent="0.25">
      <c r="A9855" s="2" t="s">
        <v>8</v>
      </c>
      <c r="B9855" s="2" t="str">
        <f>HYPERLINK("http://ts.21cn.com/tousu/show/id/1341043","欺诈消费者")</f>
        <v>欺诈消费者</v>
      </c>
      <c r="C9855" s="2" t="s">
        <v>9</v>
      </c>
      <c r="D9855" s="2" t="s">
        <v>10</v>
      </c>
      <c r="E9855" s="2" t="str">
        <f>HYPERLINK("http://ts.21cn.com/tousu/show/id/1341043","http://ts.21cn.com/tousu/show/id/1341043")</f>
        <v>http://ts.21cn.com/tousu/show/id/1341043</v>
      </c>
      <c r="F9855" s="2" t="s">
        <v>11</v>
      </c>
      <c r="G9855" s="2" t="s">
        <v>24779</v>
      </c>
      <c r="H9855" s="2" t="s">
        <v>24780</v>
      </c>
    </row>
    <row r="9856" spans="1:8" ht="25.05" customHeight="1" x14ac:dyDescent="0.25">
      <c r="A9856" s="2" t="s">
        <v>8</v>
      </c>
      <c r="B9856" s="2" t="str">
        <f>HYPERLINK("http://ts.21cn.com/tousu/show/id/1341044","拼多多假货，需求仅退款")</f>
        <v>拼多多假货，需求仅退款</v>
      </c>
      <c r="C9856" s="2" t="s">
        <v>9</v>
      </c>
      <c r="D9856" s="2" t="s">
        <v>10</v>
      </c>
      <c r="E9856" s="2" t="str">
        <f>HYPERLINK("http://ts.21cn.com/tousu/show/id/1341044","http://ts.21cn.com/tousu/show/id/1341044")</f>
        <v>http://ts.21cn.com/tousu/show/id/1341044</v>
      </c>
      <c r="F9856" s="2" t="s">
        <v>11</v>
      </c>
      <c r="G9856" s="2" t="s">
        <v>24777</v>
      </c>
      <c r="H9856" s="2" t="s">
        <v>24778</v>
      </c>
    </row>
    <row r="9857" spans="1:8" ht="25.05" customHeight="1" x14ac:dyDescent="0.25">
      <c r="A9857" s="2" t="s">
        <v>8</v>
      </c>
      <c r="B9857" s="2" t="str">
        <f>HYPERLINK("http://ts.21cn.com/tousu/show/id/1341042","拼多多商家刷单不返钱也不发货")</f>
        <v>拼多多商家刷单不返钱也不发货</v>
      </c>
      <c r="C9857" s="2" t="s">
        <v>34</v>
      </c>
      <c r="D9857" s="2" t="s">
        <v>10</v>
      </c>
      <c r="E9857" s="2" t="str">
        <f>HYPERLINK("http://ts.21cn.com/tousu/show/id/1341042","http://ts.21cn.com/tousu/show/id/1341042")</f>
        <v>http://ts.21cn.com/tousu/show/id/1341042</v>
      </c>
      <c r="F9857" s="2" t="s">
        <v>11</v>
      </c>
      <c r="G9857" s="2" t="s">
        <v>24775</v>
      </c>
      <c r="H9857" s="2" t="s">
        <v>24776</v>
      </c>
    </row>
    <row r="9858" spans="1:8" ht="25.05" customHeight="1" x14ac:dyDescent="0.25">
      <c r="A9858" s="2" t="s">
        <v>8</v>
      </c>
      <c r="B9858" s="2" t="str">
        <f>HYPERLINK("http://ts.21cn.com/tousu/show/id/1341045","星火作文网审核录用了我女儿的作文，却没写我女儿的名字")</f>
        <v>星火作文网审核录用了我女儿的作文，却没写我女儿的名字</v>
      </c>
      <c r="C9858" s="2" t="s">
        <v>34</v>
      </c>
      <c r="D9858" s="2" t="s">
        <v>10</v>
      </c>
      <c r="E9858" s="2" t="str">
        <f>HYPERLINK("http://ts.21cn.com/tousu/show/id/1341045","http://ts.21cn.com/tousu/show/id/1341045")</f>
        <v>http://ts.21cn.com/tousu/show/id/1341045</v>
      </c>
      <c r="F9858" s="2" t="s">
        <v>11</v>
      </c>
      <c r="G9858" s="2" t="s">
        <v>24773</v>
      </c>
      <c r="H9858" s="2" t="s">
        <v>24774</v>
      </c>
    </row>
    <row r="9859" spans="1:8" ht="25.05" customHeight="1" x14ac:dyDescent="0.25">
      <c r="A9859" s="2" t="s">
        <v>8</v>
      </c>
      <c r="B9859" s="2" t="str">
        <f>HYPERLINK("http://ts.21cn.com/tousu/show/id/1341046","小浦优客未经同意扣款")</f>
        <v>小浦优客未经同意扣款</v>
      </c>
      <c r="C9859" s="2" t="s">
        <v>34</v>
      </c>
      <c r="D9859" s="2" t="s">
        <v>10</v>
      </c>
      <c r="E9859" s="2" t="str">
        <f>HYPERLINK("http://ts.21cn.com/tousu/show/id/1341046","http://ts.21cn.com/tousu/show/id/1341046")</f>
        <v>http://ts.21cn.com/tousu/show/id/1341046</v>
      </c>
      <c r="F9859" s="2" t="s">
        <v>11</v>
      </c>
      <c r="G9859" s="2" t="s">
        <v>24771</v>
      </c>
      <c r="H9859" s="2" t="s">
        <v>24772</v>
      </c>
    </row>
    <row r="9860" spans="1:8" ht="25.05" customHeight="1" x14ac:dyDescent="0.25">
      <c r="A9860" s="2" t="s">
        <v>8</v>
      </c>
      <c r="B9860" s="2" t="str">
        <f>HYPERLINK("http://ts.21cn.com/tousu/show/id/1341047","支付宝转转订单名细")</f>
        <v>支付宝转转订单名细</v>
      </c>
      <c r="C9860" s="2" t="s">
        <v>34</v>
      </c>
      <c r="D9860" s="2" t="s">
        <v>10</v>
      </c>
      <c r="E9860" s="2" t="str">
        <f>HYPERLINK("http://ts.21cn.com/tousu/show/id/1341047","http://ts.21cn.com/tousu/show/id/1341047")</f>
        <v>http://ts.21cn.com/tousu/show/id/1341047</v>
      </c>
      <c r="F9860" s="2" t="s">
        <v>11</v>
      </c>
      <c r="G9860" s="2" t="s">
        <v>24769</v>
      </c>
      <c r="H9860" s="2" t="s">
        <v>24770</v>
      </c>
    </row>
    <row r="9861" spans="1:8" ht="25.05" customHeight="1" x14ac:dyDescent="0.25">
      <c r="A9861" s="2" t="s">
        <v>8</v>
      </c>
      <c r="B9861" s="2" t="str">
        <f>HYPERLINK("http://ts.21cn.com/tousu/show/id/1341048","乱收费，电话无人接听")</f>
        <v>乱收费，电话无人接听</v>
      </c>
      <c r="C9861" s="2" t="s">
        <v>9</v>
      </c>
      <c r="D9861" s="2" t="s">
        <v>10</v>
      </c>
      <c r="E9861" s="2" t="str">
        <f>HYPERLINK("http://ts.21cn.com/tousu/show/id/1341048","http://ts.21cn.com/tousu/show/id/1341048")</f>
        <v>http://ts.21cn.com/tousu/show/id/1341048</v>
      </c>
      <c r="F9861" s="2" t="s">
        <v>11</v>
      </c>
      <c r="G9861" s="2" t="s">
        <v>24767</v>
      </c>
      <c r="H9861" s="2" t="s">
        <v>24768</v>
      </c>
    </row>
    <row r="9862" spans="1:8" ht="25.05" customHeight="1" x14ac:dyDescent="0.25">
      <c r="A9862" s="2" t="s">
        <v>8</v>
      </c>
      <c r="B9862" s="2" t="str">
        <f>HYPERLINK("http://ts.21cn.com/tousu/show/id/1341049","云闪付商户为非法平台提供充值渠道")</f>
        <v>云闪付商户为非法平台提供充值渠道</v>
      </c>
      <c r="C9862" s="2" t="s">
        <v>9</v>
      </c>
      <c r="D9862" s="2" t="s">
        <v>10</v>
      </c>
      <c r="E9862" s="2" t="str">
        <f>HYPERLINK("http://ts.21cn.com/tousu/show/id/1341049","http://ts.21cn.com/tousu/show/id/1341049")</f>
        <v>http://ts.21cn.com/tousu/show/id/1341049</v>
      </c>
      <c r="F9862" s="2" t="s">
        <v>11</v>
      </c>
      <c r="G9862" s="2" t="s">
        <v>24765</v>
      </c>
      <c r="H9862" s="2" t="s">
        <v>24766</v>
      </c>
    </row>
    <row r="9863" spans="1:8" ht="25.05" customHeight="1" x14ac:dyDescent="0.25">
      <c r="A9863" s="2" t="s">
        <v>8</v>
      </c>
      <c r="B9863" s="2" t="str">
        <f>HYPERLINK("http://ts.21cn.com/tousu/show/id/1341050","京东商户为非法平台提供充值渠道")</f>
        <v>京东商户为非法平台提供充值渠道</v>
      </c>
      <c r="C9863" s="2" t="s">
        <v>9</v>
      </c>
      <c r="D9863" s="2" t="s">
        <v>10</v>
      </c>
      <c r="E9863" s="2" t="str">
        <f>HYPERLINK("http://ts.21cn.com/tousu/show/id/1341050","http://ts.21cn.com/tousu/show/id/1341050")</f>
        <v>http://ts.21cn.com/tousu/show/id/1341050</v>
      </c>
      <c r="F9863" s="2" t="s">
        <v>11</v>
      </c>
      <c r="G9863" s="2" t="s">
        <v>24763</v>
      </c>
      <c r="H9863" s="2" t="s">
        <v>24764</v>
      </c>
    </row>
    <row r="9864" spans="1:8" ht="25.05" customHeight="1" x14ac:dyDescent="0.25">
      <c r="A9864" s="2" t="s">
        <v>8</v>
      </c>
      <c r="B9864" s="2" t="str">
        <f>HYPERLINK("http://ts.21cn.com/tousu/show/id/1341051","火影帮砍头息高利贷")</f>
        <v>火影帮砍头息高利贷</v>
      </c>
      <c r="C9864" s="2" t="s">
        <v>34</v>
      </c>
      <c r="D9864" s="2" t="s">
        <v>10</v>
      </c>
      <c r="E9864" s="2" t="str">
        <f>HYPERLINK("http://ts.21cn.com/tousu/show/id/1341051","http://ts.21cn.com/tousu/show/id/1341051")</f>
        <v>http://ts.21cn.com/tousu/show/id/1341051</v>
      </c>
      <c r="F9864" s="2" t="s">
        <v>11</v>
      </c>
      <c r="G9864" s="2" t="s">
        <v>24761</v>
      </c>
      <c r="H9864" s="2" t="s">
        <v>24762</v>
      </c>
    </row>
    <row r="9865" spans="1:8" ht="25.05" customHeight="1" x14ac:dyDescent="0.25">
      <c r="A9865" s="2" t="s">
        <v>8</v>
      </c>
      <c r="B9865" s="2" t="str">
        <f>HYPERLINK("http://ts.21cn.com/tousu/show/id/1341052","提前主动还款失败，到期又不扣款造成逾期")</f>
        <v>提前主动还款失败，到期又不扣款造成逾期</v>
      </c>
      <c r="C9865" s="2" t="s">
        <v>34</v>
      </c>
      <c r="D9865" s="2" t="s">
        <v>10</v>
      </c>
      <c r="E9865" s="2" t="str">
        <f>HYPERLINK("http://ts.21cn.com/tousu/show/id/1341052","http://ts.21cn.com/tousu/show/id/1341052")</f>
        <v>http://ts.21cn.com/tousu/show/id/1341052</v>
      </c>
      <c r="F9865" s="2" t="s">
        <v>11</v>
      </c>
      <c r="G9865" s="2" t="s">
        <v>24759</v>
      </c>
      <c r="H9865" s="2" t="s">
        <v>24760</v>
      </c>
    </row>
    <row r="9866" spans="1:8" ht="25.05" customHeight="1" x14ac:dyDescent="0.25">
      <c r="A9866" s="2" t="s">
        <v>8</v>
      </c>
      <c r="B9866" s="2" t="str">
        <f>HYPERLINK("http://ts.21cn.com/tousu/show/id/1341053","以投资为借口，诱导投资人将钱全部充值到赌博平台")</f>
        <v>以投资为借口，诱导投资人将钱全部充值到赌博平台</v>
      </c>
      <c r="C9866" s="2" t="s">
        <v>9</v>
      </c>
      <c r="D9866" s="2" t="s">
        <v>10</v>
      </c>
      <c r="E9866" s="2" t="str">
        <f>HYPERLINK("http://ts.21cn.com/tousu/show/id/1341053","http://ts.21cn.com/tousu/show/id/1341053")</f>
        <v>http://ts.21cn.com/tousu/show/id/1341053</v>
      </c>
      <c r="F9866" s="2" t="s">
        <v>11</v>
      </c>
      <c r="G9866" s="2" t="s">
        <v>24757</v>
      </c>
      <c r="H9866" s="2" t="s">
        <v>24758</v>
      </c>
    </row>
    <row r="9867" spans="1:8" ht="25.05" customHeight="1" x14ac:dyDescent="0.25">
      <c r="A9867" s="2" t="s">
        <v>8</v>
      </c>
      <c r="B9867" s="2" t="str">
        <f>HYPERLINK("http://ts.21cn.com/tousu/show/id/1341054","小黑鲨高利贷")</f>
        <v>小黑鲨高利贷</v>
      </c>
      <c r="C9867" s="2" t="s">
        <v>9</v>
      </c>
      <c r="D9867" s="2" t="s">
        <v>10</v>
      </c>
      <c r="E9867" s="2" t="str">
        <f>HYPERLINK("http://ts.21cn.com/tousu/show/id/1341054","http://ts.21cn.com/tousu/show/id/1341054")</f>
        <v>http://ts.21cn.com/tousu/show/id/1341054</v>
      </c>
      <c r="F9867" s="2" t="s">
        <v>11</v>
      </c>
      <c r="G9867" s="2" t="s">
        <v>24755</v>
      </c>
      <c r="H9867" s="2" t="s">
        <v>24756</v>
      </c>
    </row>
    <row r="9868" spans="1:8" ht="25.05" customHeight="1" x14ac:dyDescent="0.25">
      <c r="A9868" s="2" t="s">
        <v>8</v>
      </c>
      <c r="B9868" s="2" t="str">
        <f>HYPERLINK("http://ts.21cn.com/tousu/show/id/1341055","虚假宣传，高利贷")</f>
        <v>虚假宣传，高利贷</v>
      </c>
      <c r="C9868" s="2" t="s">
        <v>9</v>
      </c>
      <c r="D9868" s="2" t="s">
        <v>10</v>
      </c>
      <c r="E9868" s="2" t="str">
        <f>HYPERLINK("http://ts.21cn.com/tousu/show/id/1341055","http://ts.21cn.com/tousu/show/id/1341055")</f>
        <v>http://ts.21cn.com/tousu/show/id/1341055</v>
      </c>
      <c r="F9868" s="2" t="s">
        <v>11</v>
      </c>
      <c r="G9868" s="2" t="s">
        <v>24753</v>
      </c>
      <c r="H9868" s="2" t="s">
        <v>24754</v>
      </c>
    </row>
    <row r="9869" spans="1:8" ht="25.05" customHeight="1" x14ac:dyDescent="0.25">
      <c r="A9869" s="2" t="s">
        <v>8</v>
      </c>
      <c r="B9869" s="2" t="str">
        <f>HYPERLINK("http://ts.21cn.com/tousu/show/id/1341056","投诉功夫贷高利贷、欺诈")</f>
        <v>投诉功夫贷高利贷、欺诈</v>
      </c>
      <c r="C9869" s="2" t="s">
        <v>9</v>
      </c>
      <c r="D9869" s="2" t="s">
        <v>10</v>
      </c>
      <c r="E9869" s="2" t="str">
        <f>HYPERLINK("http://ts.21cn.com/tousu/show/id/1341056","http://ts.21cn.com/tousu/show/id/1341056")</f>
        <v>http://ts.21cn.com/tousu/show/id/1341056</v>
      </c>
      <c r="F9869" s="2" t="s">
        <v>11</v>
      </c>
      <c r="G9869" s="2" t="s">
        <v>24751</v>
      </c>
      <c r="H9869" s="2" t="s">
        <v>24752</v>
      </c>
    </row>
    <row r="9870" spans="1:8" ht="25.05" customHeight="1" x14ac:dyDescent="0.25">
      <c r="A9870" s="2" t="s">
        <v>8</v>
      </c>
      <c r="B9870" s="2" t="str">
        <f>HYPERLINK("http://ts.21cn.com/tousu/show/id/1341057","UC浏览器为理财平台国然在线推广致使我损失35000元")</f>
        <v>UC浏览器为理财平台国然在线推广致使我损失35000元</v>
      </c>
      <c r="C9870" s="2" t="s">
        <v>9</v>
      </c>
      <c r="D9870" s="2" t="s">
        <v>10</v>
      </c>
      <c r="E9870" s="2" t="str">
        <f>HYPERLINK("http://ts.21cn.com/tousu/show/id/1341057","http://ts.21cn.com/tousu/show/id/1341057")</f>
        <v>http://ts.21cn.com/tousu/show/id/1341057</v>
      </c>
      <c r="F9870" s="2" t="s">
        <v>11</v>
      </c>
      <c r="G9870" s="2" t="s">
        <v>24749</v>
      </c>
      <c r="H9870" s="2" t="s">
        <v>24750</v>
      </c>
    </row>
    <row r="9871" spans="1:8" ht="25.05" customHeight="1" x14ac:dyDescent="0.25">
      <c r="A9871" s="2" t="s">
        <v>8</v>
      </c>
      <c r="B9871" s="2" t="str">
        <f>HYPERLINK("http://ts.21cn.com/tousu/show/id/1341058","造艺科技百事普惠")</f>
        <v>造艺科技百事普惠</v>
      </c>
      <c r="C9871" s="2" t="s">
        <v>9</v>
      </c>
      <c r="D9871" s="2" t="s">
        <v>10</v>
      </c>
      <c r="E9871" s="2" t="str">
        <f>HYPERLINK("http://ts.21cn.com/tousu/show/id/1341058","http://ts.21cn.com/tousu/show/id/1341058")</f>
        <v>http://ts.21cn.com/tousu/show/id/1341058</v>
      </c>
      <c r="F9871" s="2" t="s">
        <v>11</v>
      </c>
      <c r="G9871" s="2" t="s">
        <v>24747</v>
      </c>
      <c r="H9871" s="2" t="s">
        <v>24748</v>
      </c>
    </row>
    <row r="9872" spans="1:8" ht="25.05" customHeight="1" x14ac:dyDescent="0.25">
      <c r="A9872" s="2" t="s">
        <v>8</v>
      </c>
      <c r="B9872" s="2" t="str">
        <f>HYPERLINK("http://ts.21cn.com/tousu/show/id/1341059","微信赌博小程序")</f>
        <v>微信赌博小程序</v>
      </c>
      <c r="C9872" s="2" t="s">
        <v>9</v>
      </c>
      <c r="D9872" s="2" t="s">
        <v>10</v>
      </c>
      <c r="E9872" s="2" t="str">
        <f>HYPERLINK("http://ts.21cn.com/tousu/show/id/1341059","http://ts.21cn.com/tousu/show/id/1341059")</f>
        <v>http://ts.21cn.com/tousu/show/id/1341059</v>
      </c>
      <c r="F9872" s="2" t="s">
        <v>11</v>
      </c>
      <c r="G9872" s="2" t="s">
        <v>24745</v>
      </c>
      <c r="H9872" s="2" t="s">
        <v>24746</v>
      </c>
    </row>
    <row r="9873" spans="1:8" ht="25.05" customHeight="1" x14ac:dyDescent="0.25">
      <c r="A9873" s="2" t="s">
        <v>8</v>
      </c>
      <c r="B9873" s="2" t="str">
        <f>HYPERLINK("http://ts.21cn.com/tousu/show/id/1341060","以投资为借口，诱导投资人将钱全部充值到赌博平台")</f>
        <v>以投资为借口，诱导投资人将钱全部充值到赌博平台</v>
      </c>
      <c r="C9873" s="2" t="s">
        <v>9</v>
      </c>
      <c r="D9873" s="2" t="s">
        <v>10</v>
      </c>
      <c r="E9873" s="2" t="str">
        <f>HYPERLINK("http://ts.21cn.com/tousu/show/id/1341060","http://ts.21cn.com/tousu/show/id/1341060")</f>
        <v>http://ts.21cn.com/tousu/show/id/1341060</v>
      </c>
      <c r="F9873" s="2" t="s">
        <v>11</v>
      </c>
      <c r="G9873" s="2" t="s">
        <v>24743</v>
      </c>
      <c r="H9873" s="2" t="s">
        <v>24744</v>
      </c>
    </row>
    <row r="9874" spans="1:8" ht="25.05" customHeight="1" x14ac:dyDescent="0.25">
      <c r="A9874" s="2" t="s">
        <v>8</v>
      </c>
      <c r="B9874" s="2" t="str">
        <f>HYPERLINK("http://ts.21cn.com/tousu/show/id/1341061","苏宁任性贷严重暴力催收")</f>
        <v>苏宁任性贷严重暴力催收</v>
      </c>
      <c r="C9874" s="2" t="s">
        <v>9</v>
      </c>
      <c r="D9874" s="2" t="s">
        <v>10</v>
      </c>
      <c r="E9874" s="2" t="str">
        <f>HYPERLINK("http://ts.21cn.com/tousu/show/id/1341061","http://ts.21cn.com/tousu/show/id/1341061")</f>
        <v>http://ts.21cn.com/tousu/show/id/1341061</v>
      </c>
      <c r="F9874" s="2" t="s">
        <v>11</v>
      </c>
      <c r="G9874" s="2" t="s">
        <v>24741</v>
      </c>
      <c r="H9874" s="2" t="s">
        <v>24742</v>
      </c>
    </row>
    <row r="9875" spans="1:8" ht="25.05" customHeight="1" x14ac:dyDescent="0.25">
      <c r="A9875" s="2" t="s">
        <v>8</v>
      </c>
      <c r="B9875" s="2" t="str">
        <f>HYPERLINK("http://ts.21cn.com/tousu/show/id/1074380","吃人的平安普惠高利贷贷款36月10万下款9.7万，已还29个月13.1万。还有7个月3.15万需要偿还。")</f>
        <v>吃人的平安普惠高利贷贷款36月10万下款9.7万，已还29个月13.1万。还有7个月3.15万需要偿还。</v>
      </c>
      <c r="C9875" s="2" t="s">
        <v>9</v>
      </c>
      <c r="D9875" s="2" t="s">
        <v>10</v>
      </c>
      <c r="E9875" s="2" t="str">
        <f>HYPERLINK("http://ts.21cn.com/tousu/show/id/1074380","http://ts.21cn.com/tousu/show/id/1074380")</f>
        <v>http://ts.21cn.com/tousu/show/id/1074380</v>
      </c>
      <c r="F9875" s="2" t="s">
        <v>11</v>
      </c>
      <c r="G9875" s="2" t="s">
        <v>24739</v>
      </c>
      <c r="H9875" s="2" t="s">
        <v>24740</v>
      </c>
    </row>
    <row r="9876" spans="1:8" ht="25.05" customHeight="1" x14ac:dyDescent="0.25">
      <c r="A9876" s="2" t="s">
        <v>8</v>
      </c>
      <c r="B9876" s="2" t="str">
        <f>HYPERLINK("http://ts.21cn.com/tousu/show/id/1341062","未欠平安银行一分钱却被催收骚扰恐吓威胁")</f>
        <v>未欠平安银行一分钱却被催收骚扰恐吓威胁</v>
      </c>
      <c r="C9876" s="2" t="s">
        <v>9</v>
      </c>
      <c r="D9876" s="2" t="s">
        <v>10</v>
      </c>
      <c r="E9876" s="2" t="str">
        <f>HYPERLINK("http://ts.21cn.com/tousu/show/id/1341062","http://ts.21cn.com/tousu/show/id/1341062")</f>
        <v>http://ts.21cn.com/tousu/show/id/1341062</v>
      </c>
      <c r="F9876" s="2" t="s">
        <v>11</v>
      </c>
      <c r="G9876" s="2" t="s">
        <v>24737</v>
      </c>
      <c r="H9876" s="2" t="s">
        <v>24738</v>
      </c>
    </row>
    <row r="9877" spans="1:8" ht="25.05" customHeight="1" x14ac:dyDescent="0.25">
      <c r="A9877" s="2" t="s">
        <v>8</v>
      </c>
      <c r="B9877" s="2" t="str">
        <f>HYPERLINK("http://ts.21cn.com/tousu/show/id/1341063","拍拍贷系统不能还款导致逾期")</f>
        <v>拍拍贷系统不能还款导致逾期</v>
      </c>
      <c r="C9877" s="2" t="s">
        <v>9</v>
      </c>
      <c r="D9877" s="2" t="s">
        <v>10</v>
      </c>
      <c r="E9877" s="2" t="str">
        <f>HYPERLINK("http://ts.21cn.com/tousu/show/id/1341063","http://ts.21cn.com/tousu/show/id/1341063")</f>
        <v>http://ts.21cn.com/tousu/show/id/1341063</v>
      </c>
      <c r="F9877" s="2" t="s">
        <v>11</v>
      </c>
      <c r="G9877" s="2" t="s">
        <v>24735</v>
      </c>
      <c r="H9877" s="2" t="s">
        <v>24736</v>
      </c>
    </row>
    <row r="9878" spans="1:8" ht="25.05" customHeight="1" x14ac:dyDescent="0.25">
      <c r="A9878" s="2" t="s">
        <v>8</v>
      </c>
      <c r="B9878" s="2" t="str">
        <f>HYPERLINK("http://ts.21cn.com/tousu/show/id/1341064","壹心分期砍头息，高利贷")</f>
        <v>壹心分期砍头息，高利贷</v>
      </c>
      <c r="C9878" s="2" t="s">
        <v>9</v>
      </c>
      <c r="D9878" s="2" t="s">
        <v>10</v>
      </c>
      <c r="E9878" s="2" t="str">
        <f>HYPERLINK("http://ts.21cn.com/tousu/show/id/1341064","http://ts.21cn.com/tousu/show/id/1341064")</f>
        <v>http://ts.21cn.com/tousu/show/id/1341064</v>
      </c>
      <c r="F9878" s="2" t="s">
        <v>11</v>
      </c>
      <c r="G9878" s="2" t="s">
        <v>24733</v>
      </c>
      <c r="H9878" s="2" t="s">
        <v>24734</v>
      </c>
    </row>
    <row r="9879" spans="1:8" ht="25.05" customHeight="1" x14ac:dyDescent="0.25">
      <c r="A9879" s="2" t="s">
        <v>8</v>
      </c>
      <c r="B9879" s="2" t="str">
        <f>HYPERLINK("http://ts.21cn.com/tousu/show/id/1341065","贷上钱平台非法高利贷，暴力催收，建议司法取缔")</f>
        <v>贷上钱平台非法高利贷，暴力催收，建议司法取缔</v>
      </c>
      <c r="C9879" s="2" t="s">
        <v>9</v>
      </c>
      <c r="D9879" s="2" t="s">
        <v>10</v>
      </c>
      <c r="E9879" s="2" t="str">
        <f>HYPERLINK("http://ts.21cn.com/tousu/show/id/1341065","http://ts.21cn.com/tousu/show/id/1341065")</f>
        <v>http://ts.21cn.com/tousu/show/id/1341065</v>
      </c>
      <c r="F9879" s="2" t="s">
        <v>11</v>
      </c>
      <c r="G9879" s="2" t="s">
        <v>24731</v>
      </c>
      <c r="H9879" s="2" t="s">
        <v>24732</v>
      </c>
    </row>
    <row r="9880" spans="1:8" ht="25.05" customHeight="1" x14ac:dyDescent="0.25">
      <c r="A9880" s="2" t="s">
        <v>8</v>
      </c>
      <c r="B9880" s="2" t="str">
        <f>HYPERLINK("http://ts.21cn.com/tousu/show/id/1341066","投诉中信银行信用卡中心欺诈诱导办卡，扣除高额年费。同时附带投诉中信银行对下属职能部门监管不力，造成消费者的损失。")</f>
        <v>投诉中信银行信用卡中心欺诈诱导办卡，扣除高额年费。同时附带投诉中信银行对下属职能部门监管不力，造成消费者的损失。</v>
      </c>
      <c r="C9880" s="2" t="s">
        <v>9</v>
      </c>
      <c r="D9880" s="2" t="s">
        <v>10</v>
      </c>
      <c r="E9880" s="2" t="str">
        <f>HYPERLINK("http://ts.21cn.com/tousu/show/id/1341066","http://ts.21cn.com/tousu/show/id/1341066")</f>
        <v>http://ts.21cn.com/tousu/show/id/1341066</v>
      </c>
      <c r="F9880" s="2" t="s">
        <v>11</v>
      </c>
      <c r="G9880" s="2" t="s">
        <v>24729</v>
      </c>
      <c r="H9880" s="2" t="s">
        <v>24730</v>
      </c>
    </row>
    <row r="9881" spans="1:8" ht="25.05" customHeight="1" x14ac:dyDescent="0.25">
      <c r="A9881" s="2" t="s">
        <v>8</v>
      </c>
      <c r="B9881" s="2" t="str">
        <f>HYPERLINK("http://ts.21cn.com/tousu/show/id/1341068","卡分期恶意扣取会员费")</f>
        <v>卡分期恶意扣取会员费</v>
      </c>
      <c r="C9881" s="2" t="s">
        <v>34</v>
      </c>
      <c r="D9881" s="2" t="s">
        <v>10</v>
      </c>
      <c r="E9881" s="2" t="str">
        <f>HYPERLINK("http://ts.21cn.com/tousu/show/id/1341068","http://ts.21cn.com/tousu/show/id/1341068")</f>
        <v>http://ts.21cn.com/tousu/show/id/1341068</v>
      </c>
      <c r="F9881" s="2" t="s">
        <v>11</v>
      </c>
      <c r="G9881" s="2" t="s">
        <v>24727</v>
      </c>
      <c r="H9881" s="2" t="s">
        <v>24728</v>
      </c>
    </row>
    <row r="9882" spans="1:8" ht="25.05" customHeight="1" x14ac:dyDescent="0.25">
      <c r="A9882" s="2" t="s">
        <v>8</v>
      </c>
      <c r="B9882" s="2" t="str">
        <f>HYPERLINK("http://ts.21cn.com/tousu/show/id/1341069","嗨包、广州谭高网络科技有限公司非法高利贷套路贷")</f>
        <v>嗨包、广州谭高网络科技有限公司非法高利贷套路贷</v>
      </c>
      <c r="C9882" s="2" t="s">
        <v>9</v>
      </c>
      <c r="D9882" s="2" t="s">
        <v>10</v>
      </c>
      <c r="E9882" s="2" t="str">
        <f>HYPERLINK("http://ts.21cn.com/tousu/show/id/1341069","http://ts.21cn.com/tousu/show/id/1341069")</f>
        <v>http://ts.21cn.com/tousu/show/id/1341069</v>
      </c>
      <c r="F9882" s="2" t="s">
        <v>11</v>
      </c>
      <c r="G9882" s="2" t="s">
        <v>24725</v>
      </c>
      <c r="H9882" s="2" t="s">
        <v>24726</v>
      </c>
    </row>
    <row r="9883" spans="1:8" ht="25.05" customHeight="1" x14ac:dyDescent="0.25">
      <c r="A9883" s="2" t="s">
        <v>8</v>
      </c>
      <c r="B9883" s="2" t="str">
        <f>HYPERLINK("http://ts.21cn.com/tousu/show/id/1341071","自由魔卡砍头息高利贷")</f>
        <v>自由魔卡砍头息高利贷</v>
      </c>
      <c r="C9883" s="2" t="s">
        <v>9</v>
      </c>
      <c r="D9883" s="2" t="s">
        <v>10</v>
      </c>
      <c r="E9883" s="2" t="str">
        <f>HYPERLINK("http://ts.21cn.com/tousu/show/id/1341071","http://ts.21cn.com/tousu/show/id/1341071")</f>
        <v>http://ts.21cn.com/tousu/show/id/1341071</v>
      </c>
      <c r="F9883" s="2" t="s">
        <v>11</v>
      </c>
      <c r="G9883" s="2" t="s">
        <v>24723</v>
      </c>
      <c r="H9883" s="2" t="s">
        <v>24724</v>
      </c>
    </row>
    <row r="9884" spans="1:8" ht="25.05" customHeight="1" x14ac:dyDescent="0.25">
      <c r="A9884" s="2" t="s">
        <v>8</v>
      </c>
      <c r="B9884" s="2" t="str">
        <f>HYPERLINK("http://ts.21cn.com/tousu/show/id/1341073","米米罐变相收取高额利息费")</f>
        <v>米米罐变相收取高额利息费</v>
      </c>
      <c r="C9884" s="2" t="s">
        <v>9</v>
      </c>
      <c r="D9884" s="2" t="s">
        <v>10</v>
      </c>
      <c r="E9884" s="2" t="str">
        <f>HYPERLINK("http://ts.21cn.com/tousu/show/id/1341073","http://ts.21cn.com/tousu/show/id/1341073")</f>
        <v>http://ts.21cn.com/tousu/show/id/1341073</v>
      </c>
      <c r="F9884" s="2" t="s">
        <v>11</v>
      </c>
      <c r="G9884" s="2" t="s">
        <v>24721</v>
      </c>
      <c r="H9884" s="2" t="s">
        <v>24722</v>
      </c>
    </row>
    <row r="9885" spans="1:8" ht="25.05" customHeight="1" x14ac:dyDescent="0.25">
      <c r="A9885" s="2" t="s">
        <v>8</v>
      </c>
      <c r="B9885" s="2" t="str">
        <f>HYPERLINK("http://ts.21cn.com/tousu/show/id/1341074","钱站超利贷")</f>
        <v>钱站超利贷</v>
      </c>
      <c r="C9885" s="2" t="s">
        <v>9</v>
      </c>
      <c r="D9885" s="2" t="s">
        <v>10</v>
      </c>
      <c r="E9885" s="2" t="str">
        <f>HYPERLINK("http://ts.21cn.com/tousu/show/id/1341074","http://ts.21cn.com/tousu/show/id/1341074")</f>
        <v>http://ts.21cn.com/tousu/show/id/1341074</v>
      </c>
      <c r="F9885" s="2" t="s">
        <v>11</v>
      </c>
      <c r="G9885" s="2" t="s">
        <v>24719</v>
      </c>
      <c r="H9885" s="2" t="s">
        <v>24720</v>
      </c>
    </row>
    <row r="9886" spans="1:8" ht="25.05" customHeight="1" x14ac:dyDescent="0.25">
      <c r="A9886" s="2" t="s">
        <v>8</v>
      </c>
      <c r="B9886" s="2" t="str">
        <f>HYPERLINK("http://ts.21cn.com/tousu/show/id/1341075","牛人有品高利贷砍头息")</f>
        <v>牛人有品高利贷砍头息</v>
      </c>
      <c r="C9886" s="2" t="s">
        <v>9</v>
      </c>
      <c r="D9886" s="2" t="s">
        <v>10</v>
      </c>
      <c r="E9886" s="2" t="str">
        <f>HYPERLINK("http://ts.21cn.com/tousu/show/id/1341075","http://ts.21cn.com/tousu/show/id/1341075")</f>
        <v>http://ts.21cn.com/tousu/show/id/1341075</v>
      </c>
      <c r="F9886" s="2" t="s">
        <v>11</v>
      </c>
      <c r="G9886" s="2" t="s">
        <v>24717</v>
      </c>
      <c r="H9886" s="2" t="s">
        <v>24718</v>
      </c>
    </row>
    <row r="9887" spans="1:8" ht="25.05" customHeight="1" x14ac:dyDescent="0.25">
      <c r="A9887" s="2" t="s">
        <v>8</v>
      </c>
      <c r="B9887" s="2" t="str">
        <f>HYPERLINK("http://ts.21cn.com/tousu/show/id/1341079","高利息，电话骚扰")</f>
        <v>高利息，电话骚扰</v>
      </c>
      <c r="C9887" s="2" t="s">
        <v>9</v>
      </c>
      <c r="D9887" s="2" t="s">
        <v>10</v>
      </c>
      <c r="E9887" s="2" t="str">
        <f>HYPERLINK("http://ts.21cn.com/tousu/show/id/1341079","http://ts.21cn.com/tousu/show/id/1341079")</f>
        <v>http://ts.21cn.com/tousu/show/id/1341079</v>
      </c>
      <c r="F9887" s="2" t="s">
        <v>11</v>
      </c>
      <c r="G9887" s="2" t="s">
        <v>24715</v>
      </c>
      <c r="H9887" s="2" t="s">
        <v>24716</v>
      </c>
    </row>
    <row r="9888" spans="1:8" ht="25.05" customHeight="1" x14ac:dyDescent="0.25">
      <c r="A9888" s="2" t="s">
        <v>8</v>
      </c>
      <c r="B9888" s="2" t="str">
        <f>HYPERLINK("http://ts.21cn.com/tousu/show/id/1341076","高铁管家抢票套餐，取消未退款")</f>
        <v>高铁管家抢票套餐，取消未退款</v>
      </c>
      <c r="C9888" s="2" t="s">
        <v>34</v>
      </c>
      <c r="D9888" s="2" t="s">
        <v>10</v>
      </c>
      <c r="E9888" s="2" t="str">
        <f>HYPERLINK("http://ts.21cn.com/tousu/show/id/1341076","http://ts.21cn.com/tousu/show/id/1341076")</f>
        <v>http://ts.21cn.com/tousu/show/id/1341076</v>
      </c>
      <c r="F9888" s="2" t="s">
        <v>11</v>
      </c>
      <c r="G9888" s="2" t="s">
        <v>24713</v>
      </c>
      <c r="H9888" s="2" t="s">
        <v>24714</v>
      </c>
    </row>
    <row r="9889" spans="1:8" ht="25.05" customHeight="1" x14ac:dyDescent="0.25">
      <c r="A9889" s="2" t="s">
        <v>8</v>
      </c>
      <c r="B9889" s="2" t="str">
        <f>HYPERLINK("http://ts.21cn.com/tousu/show/id/1341077","我没向陕西长银消费公司旗下的借钱软件申请过贷款，但是银行卡却被扣款了")</f>
        <v>我没向陕西长银消费公司旗下的借钱软件申请过贷款，但是银行卡却被扣款了</v>
      </c>
      <c r="C9889" s="2" t="s">
        <v>34</v>
      </c>
      <c r="D9889" s="2" t="s">
        <v>10</v>
      </c>
      <c r="E9889" s="2" t="str">
        <f>HYPERLINK("http://ts.21cn.com/tousu/show/id/1341077","http://ts.21cn.com/tousu/show/id/1341077")</f>
        <v>http://ts.21cn.com/tousu/show/id/1341077</v>
      </c>
      <c r="F9889" s="2" t="s">
        <v>11</v>
      </c>
      <c r="G9889" s="2" t="s">
        <v>24711</v>
      </c>
      <c r="H9889" s="2" t="s">
        <v>24712</v>
      </c>
    </row>
    <row r="9890" spans="1:8" ht="25.05" customHeight="1" x14ac:dyDescent="0.25">
      <c r="A9890" s="2" t="s">
        <v>8</v>
      </c>
      <c r="B9890" s="2" t="str">
        <f>HYPERLINK("http://ts.21cn.com/tousu/show/id/1341078","小浦优客未经同意扣款")</f>
        <v>小浦优客未经同意扣款</v>
      </c>
      <c r="C9890" s="2" t="s">
        <v>9</v>
      </c>
      <c r="D9890" s="2" t="s">
        <v>10</v>
      </c>
      <c r="E9890" s="2" t="str">
        <f>HYPERLINK("http://ts.21cn.com/tousu/show/id/1341078","http://ts.21cn.com/tousu/show/id/1341078")</f>
        <v>http://ts.21cn.com/tousu/show/id/1341078</v>
      </c>
      <c r="F9890" s="2" t="s">
        <v>11</v>
      </c>
      <c r="G9890" s="2" t="s">
        <v>24709</v>
      </c>
      <c r="H9890" s="2" t="s">
        <v>24710</v>
      </c>
    </row>
    <row r="9891" spans="1:8" ht="25.05" customHeight="1" x14ac:dyDescent="0.25">
      <c r="A9891" s="2" t="s">
        <v>8</v>
      </c>
      <c r="B9891" s="2" t="str">
        <f>HYPERLINK("http://ts.21cn.com/tousu/show/id/1341080","蜂鸟众包审核不通过不能注销侵犯我隐私权")</f>
        <v>蜂鸟众包审核不通过不能注销侵犯我隐私权</v>
      </c>
      <c r="C9891" s="2" t="s">
        <v>34</v>
      </c>
      <c r="D9891" s="2" t="s">
        <v>10</v>
      </c>
      <c r="E9891" s="2" t="str">
        <f>HYPERLINK("http://ts.21cn.com/tousu/show/id/1341080","http://ts.21cn.com/tousu/show/id/1341080")</f>
        <v>http://ts.21cn.com/tousu/show/id/1341080</v>
      </c>
      <c r="F9891" s="2" t="s">
        <v>11</v>
      </c>
      <c r="G9891" s="2" t="s">
        <v>24707</v>
      </c>
      <c r="H9891" s="2" t="s">
        <v>24708</v>
      </c>
    </row>
    <row r="9892" spans="1:8" ht="25.05" customHeight="1" x14ac:dyDescent="0.25">
      <c r="A9892" s="2" t="s">
        <v>8</v>
      </c>
      <c r="B9892" s="2" t="str">
        <f>HYPERLINK("http://ts.21cn.com/tousu/show/id/1341082","微信小微商户不能提现")</f>
        <v>微信小微商户不能提现</v>
      </c>
      <c r="C9892" s="2" t="s">
        <v>34</v>
      </c>
      <c r="D9892" s="2" t="s">
        <v>10</v>
      </c>
      <c r="E9892" s="2" t="str">
        <f>HYPERLINK("http://ts.21cn.com/tousu/show/id/1341082","http://ts.21cn.com/tousu/show/id/1341082")</f>
        <v>http://ts.21cn.com/tousu/show/id/1341082</v>
      </c>
      <c r="F9892" s="2" t="s">
        <v>11</v>
      </c>
      <c r="G9892" s="2" t="s">
        <v>24705</v>
      </c>
      <c r="H9892" s="2" t="s">
        <v>24706</v>
      </c>
    </row>
    <row r="9893" spans="1:8" ht="25.05" customHeight="1" x14ac:dyDescent="0.25">
      <c r="A9893" s="2" t="s">
        <v>8</v>
      </c>
      <c r="B9893" s="2" t="str">
        <f>HYPERLINK("http://ts.21cn.com/tousu/show/id/1341083","京东又乱送货连续三次了")</f>
        <v>京东又乱送货连续三次了</v>
      </c>
      <c r="C9893" s="2" t="s">
        <v>34</v>
      </c>
      <c r="D9893" s="2" t="s">
        <v>10</v>
      </c>
      <c r="E9893" s="2" t="str">
        <f>HYPERLINK("http://ts.21cn.com/tousu/show/id/1341083","http://ts.21cn.com/tousu/show/id/1341083")</f>
        <v>http://ts.21cn.com/tousu/show/id/1341083</v>
      </c>
      <c r="F9893" s="2" t="s">
        <v>11</v>
      </c>
      <c r="G9893" s="2" t="s">
        <v>24703</v>
      </c>
      <c r="H9893" s="2" t="s">
        <v>24704</v>
      </c>
    </row>
    <row r="9894" spans="1:8" ht="25.05" customHeight="1" x14ac:dyDescent="0.25">
      <c r="A9894" s="2" t="s">
        <v>8</v>
      </c>
      <c r="B9894" s="2" t="str">
        <f>HYPERLINK("http://ts.21cn.com/tousu/show/id/1341084","高利贷啊，那么黑的手续费")</f>
        <v>高利贷啊，那么黑的手续费</v>
      </c>
      <c r="C9894" s="2" t="s">
        <v>9</v>
      </c>
      <c r="D9894" s="2" t="s">
        <v>10</v>
      </c>
      <c r="E9894" s="2" t="str">
        <f>HYPERLINK("http://ts.21cn.com/tousu/show/id/1341084","http://ts.21cn.com/tousu/show/id/1341084")</f>
        <v>http://ts.21cn.com/tousu/show/id/1341084</v>
      </c>
      <c r="F9894" s="2" t="s">
        <v>11</v>
      </c>
      <c r="G9894" s="2" t="s">
        <v>24701</v>
      </c>
      <c r="H9894" s="2" t="s">
        <v>24702</v>
      </c>
    </row>
    <row r="9895" spans="1:8" ht="25.05" customHeight="1" x14ac:dyDescent="0.25">
      <c r="A9895" s="2" t="s">
        <v>8</v>
      </c>
      <c r="B9895" s="2" t="str">
        <f>HYPERLINK("http://ts.21cn.com/tousu/show/id/1341086","嗨钱网以系统升级为理由，导致客户逾期")</f>
        <v>嗨钱网以系统升级为理由，导致客户逾期</v>
      </c>
      <c r="C9895" s="2" t="s">
        <v>9</v>
      </c>
      <c r="D9895" s="2" t="s">
        <v>10</v>
      </c>
      <c r="E9895" s="2" t="str">
        <f>HYPERLINK("http://ts.21cn.com/tousu/show/id/1341086","http://ts.21cn.com/tousu/show/id/1341086")</f>
        <v>http://ts.21cn.com/tousu/show/id/1341086</v>
      </c>
      <c r="F9895" s="2" t="s">
        <v>11</v>
      </c>
      <c r="G9895" s="2" t="s">
        <v>24699</v>
      </c>
      <c r="H9895" s="2" t="s">
        <v>24700</v>
      </c>
    </row>
    <row r="9896" spans="1:8" ht="25.05" customHeight="1" x14ac:dyDescent="0.25">
      <c r="A9896" s="2" t="s">
        <v>8</v>
      </c>
      <c r="B9896" s="2" t="str">
        <f>HYPERLINK("http://ts.21cn.com/tousu/show/id/1341087","要求退回249元，客服都联系不上")</f>
        <v>要求退回249元，客服都联系不上</v>
      </c>
      <c r="C9896" s="2" t="s">
        <v>9</v>
      </c>
      <c r="D9896" s="2" t="s">
        <v>10</v>
      </c>
      <c r="E9896" s="2" t="str">
        <f>HYPERLINK("http://ts.21cn.com/tousu/show/id/1341087","http://ts.21cn.com/tousu/show/id/1341087")</f>
        <v>http://ts.21cn.com/tousu/show/id/1341087</v>
      </c>
      <c r="F9896" s="2" t="s">
        <v>11</v>
      </c>
      <c r="G9896" s="2" t="s">
        <v>24697</v>
      </c>
      <c r="H9896" s="2" t="s">
        <v>24698</v>
      </c>
    </row>
    <row r="9897" spans="1:8" ht="25.05" customHeight="1" x14ac:dyDescent="0.25">
      <c r="A9897" s="2" t="s">
        <v>8</v>
      </c>
      <c r="B9897" s="2" t="str">
        <f>HYPERLINK("http://ts.21cn.com/tousu/show/id/1341088","百世普惠恶意扣款299")</f>
        <v>百世普惠恶意扣款299</v>
      </c>
      <c r="C9897" s="2" t="s">
        <v>9</v>
      </c>
      <c r="D9897" s="2" t="s">
        <v>10</v>
      </c>
      <c r="E9897" s="2" t="str">
        <f>HYPERLINK("http://ts.21cn.com/tousu/show/id/1341088","http://ts.21cn.com/tousu/show/id/1341088")</f>
        <v>http://ts.21cn.com/tousu/show/id/1341088</v>
      </c>
      <c r="F9897" s="2" t="s">
        <v>11</v>
      </c>
      <c r="G9897" s="2" t="s">
        <v>24695</v>
      </c>
      <c r="H9897" s="2" t="s">
        <v>24696</v>
      </c>
    </row>
    <row r="9898" spans="1:8" ht="25.05" customHeight="1" x14ac:dyDescent="0.25">
      <c r="A9898" s="2" t="s">
        <v>8</v>
      </c>
      <c r="B9898" s="2" t="str">
        <f>HYPERLINK("http://ts.21cn.com/tousu/show/id/1341089","微信账号被开启保护模式")</f>
        <v>微信账号被开启保护模式</v>
      </c>
      <c r="C9898" s="2" t="s">
        <v>34</v>
      </c>
      <c r="D9898" s="2" t="s">
        <v>10</v>
      </c>
      <c r="E9898" s="2" t="str">
        <f>HYPERLINK("http://ts.21cn.com/tousu/show/id/1341089","http://ts.21cn.com/tousu/show/id/1341089")</f>
        <v>http://ts.21cn.com/tousu/show/id/1341089</v>
      </c>
      <c r="F9898" s="2" t="s">
        <v>11</v>
      </c>
      <c r="G9898" s="2" t="s">
        <v>24693</v>
      </c>
      <c r="H9898" s="2" t="s">
        <v>24694</v>
      </c>
    </row>
    <row r="9899" spans="1:8" ht="25.05" customHeight="1" x14ac:dyDescent="0.25">
      <c r="A9899" s="2" t="s">
        <v>8</v>
      </c>
      <c r="B9899" s="2" t="str">
        <f>HYPERLINK("http://ts.21cn.com/tousu/show/id/1341090","新意花平台还不了款导致客户逾期")</f>
        <v>新意花平台还不了款导致客户逾期</v>
      </c>
      <c r="C9899" s="2" t="s">
        <v>9</v>
      </c>
      <c r="D9899" s="2" t="s">
        <v>10</v>
      </c>
      <c r="E9899" s="2" t="str">
        <f>HYPERLINK("http://ts.21cn.com/tousu/show/id/1341090","http://ts.21cn.com/tousu/show/id/1341090")</f>
        <v>http://ts.21cn.com/tousu/show/id/1341090</v>
      </c>
      <c r="F9899" s="2" t="s">
        <v>11</v>
      </c>
      <c r="G9899" s="2" t="s">
        <v>24691</v>
      </c>
      <c r="H9899" s="2" t="s">
        <v>24692</v>
      </c>
    </row>
    <row r="9900" spans="1:8" ht="25.05" customHeight="1" x14ac:dyDescent="0.25">
      <c r="A9900" s="2" t="s">
        <v>8</v>
      </c>
      <c r="B9900" s="2" t="str">
        <f>HYPERLINK("http://ts.21cn.com/tousu/show/id/1341091","交易猫卖号买家空手套白狼")</f>
        <v>交易猫卖号买家空手套白狼</v>
      </c>
      <c r="C9900" s="2" t="s">
        <v>9</v>
      </c>
      <c r="D9900" s="2" t="s">
        <v>10</v>
      </c>
      <c r="E9900" s="2" t="str">
        <f>HYPERLINK("http://ts.21cn.com/tousu/show/id/1341091","http://ts.21cn.com/tousu/show/id/1341091")</f>
        <v>http://ts.21cn.com/tousu/show/id/1341091</v>
      </c>
      <c r="F9900" s="2" t="s">
        <v>11</v>
      </c>
      <c r="G9900" s="2" t="s">
        <v>24689</v>
      </c>
      <c r="H9900" s="2" t="s">
        <v>24690</v>
      </c>
    </row>
    <row r="9901" spans="1:8" ht="25.05" customHeight="1" x14ac:dyDescent="0.25">
      <c r="A9901" s="2" t="s">
        <v>8</v>
      </c>
      <c r="B9901" s="2" t="str">
        <f>HYPERLINK("http://ts.21cn.com/tousu/show/id/1341093","拇指下款未经允许恶意扣款")</f>
        <v>拇指下款未经允许恶意扣款</v>
      </c>
      <c r="C9901" s="2" t="s">
        <v>9</v>
      </c>
      <c r="D9901" s="2" t="s">
        <v>10</v>
      </c>
      <c r="E9901" s="2" t="str">
        <f>HYPERLINK("http://ts.21cn.com/tousu/show/id/1341093","http://ts.21cn.com/tousu/show/id/1341093")</f>
        <v>http://ts.21cn.com/tousu/show/id/1341093</v>
      </c>
      <c r="F9901" s="2" t="s">
        <v>11</v>
      </c>
      <c r="G9901" s="2" t="s">
        <v>24688</v>
      </c>
      <c r="H9901" s="2" t="s">
        <v>20409</v>
      </c>
    </row>
    <row r="9902" spans="1:8" ht="25.05" customHeight="1" x14ac:dyDescent="0.25">
      <c r="A9902" s="2" t="s">
        <v>8</v>
      </c>
      <c r="B9902" s="2" t="str">
        <f>HYPERLINK("http://ts.21cn.com/tousu/show/id/1341092","豹子贷恶意扣款299元")</f>
        <v>豹子贷恶意扣款299元</v>
      </c>
      <c r="C9902" s="2" t="s">
        <v>9</v>
      </c>
      <c r="D9902" s="2" t="s">
        <v>10</v>
      </c>
      <c r="E9902" s="2" t="str">
        <f>HYPERLINK("http://ts.21cn.com/tousu/show/id/1341092","http://ts.21cn.com/tousu/show/id/1341092")</f>
        <v>http://ts.21cn.com/tousu/show/id/1341092</v>
      </c>
      <c r="F9902" s="2" t="s">
        <v>11</v>
      </c>
      <c r="G9902" s="2" t="s">
        <v>24686</v>
      </c>
      <c r="H9902" s="2" t="s">
        <v>24687</v>
      </c>
    </row>
    <row r="9903" spans="1:8" ht="25.05" customHeight="1" x14ac:dyDescent="0.25">
      <c r="A9903" s="2" t="s">
        <v>8</v>
      </c>
      <c r="B9903" s="2" t="str">
        <f>HYPERLINK("http://ts.21cn.com/tousu/show/id/1341094","中金嘉盈顺随意扣款")</f>
        <v>中金嘉盈顺随意扣款</v>
      </c>
      <c r="C9903" s="2" t="s">
        <v>9</v>
      </c>
      <c r="D9903" s="2" t="s">
        <v>10</v>
      </c>
      <c r="E9903" s="2" t="str">
        <f>HYPERLINK("http://ts.21cn.com/tousu/show/id/1341094","http://ts.21cn.com/tousu/show/id/1341094")</f>
        <v>http://ts.21cn.com/tousu/show/id/1341094</v>
      </c>
      <c r="F9903" s="2" t="s">
        <v>11</v>
      </c>
      <c r="G9903" s="2" t="s">
        <v>24684</v>
      </c>
      <c r="H9903" s="2" t="s">
        <v>24685</v>
      </c>
    </row>
    <row r="9904" spans="1:8" ht="25.05" customHeight="1" x14ac:dyDescent="0.25">
      <c r="A9904" s="2" t="s">
        <v>8</v>
      </c>
      <c r="B9904" s="2" t="str">
        <f>HYPERLINK("http://ts.21cn.com/tousu/show/id/1341096","智行铂金会员不退款")</f>
        <v>智行铂金会员不退款</v>
      </c>
      <c r="C9904" s="2" t="s">
        <v>9</v>
      </c>
      <c r="D9904" s="2" t="s">
        <v>10</v>
      </c>
      <c r="E9904" s="2" t="str">
        <f>HYPERLINK("http://ts.21cn.com/tousu/show/id/1341096","http://ts.21cn.com/tousu/show/id/1341096")</f>
        <v>http://ts.21cn.com/tousu/show/id/1341096</v>
      </c>
      <c r="F9904" s="2" t="s">
        <v>11</v>
      </c>
      <c r="G9904" s="2" t="s">
        <v>24682</v>
      </c>
      <c r="H9904" s="2" t="s">
        <v>24683</v>
      </c>
    </row>
    <row r="9905" spans="1:8" ht="25.05" customHeight="1" x14ac:dyDescent="0.25">
      <c r="A9905" s="2" t="s">
        <v>8</v>
      </c>
      <c r="B9905" s="2" t="str">
        <f>HYPERLINK("http://ts.21cn.com/tousu/show/id/1341095","大兴安岭农村商业银行无故扣款")</f>
        <v>大兴安岭农村商业银行无故扣款</v>
      </c>
      <c r="C9905" s="2" t="s">
        <v>34</v>
      </c>
      <c r="D9905" s="2" t="s">
        <v>10</v>
      </c>
      <c r="E9905" s="2" t="str">
        <f>HYPERLINK("http://ts.21cn.com/tousu/show/id/1341095","http://ts.21cn.com/tousu/show/id/1341095")</f>
        <v>http://ts.21cn.com/tousu/show/id/1341095</v>
      </c>
      <c r="F9905" s="2" t="s">
        <v>11</v>
      </c>
      <c r="G9905" s="2" t="s">
        <v>24680</v>
      </c>
      <c r="H9905" s="2" t="s">
        <v>24681</v>
      </c>
    </row>
    <row r="9906" spans="1:8" ht="25.05" customHeight="1" x14ac:dyDescent="0.25">
      <c r="A9906" s="2" t="s">
        <v>8</v>
      </c>
      <c r="B9906" s="2" t="str">
        <f>HYPERLINK("http://ts.21cn.com/tousu/show/id/1341098","点跃在线收到协议十多个月不退费")</f>
        <v>点跃在线收到协议十多个月不退费</v>
      </c>
      <c r="C9906" s="2" t="s">
        <v>9</v>
      </c>
      <c r="D9906" s="2" t="s">
        <v>10</v>
      </c>
      <c r="E9906" s="2" t="str">
        <f>HYPERLINK("http://ts.21cn.com/tousu/show/id/1341098","http://ts.21cn.com/tousu/show/id/1341098")</f>
        <v>http://ts.21cn.com/tousu/show/id/1341098</v>
      </c>
      <c r="F9906" s="2" t="s">
        <v>11</v>
      </c>
      <c r="G9906" s="2" t="s">
        <v>24678</v>
      </c>
      <c r="H9906" s="2" t="s">
        <v>24679</v>
      </c>
    </row>
    <row r="9907" spans="1:8" ht="25.05" customHeight="1" x14ac:dyDescent="0.25">
      <c r="A9907" s="2" t="s">
        <v>8</v>
      </c>
      <c r="B9907" s="2" t="str">
        <f>HYPERLINK("http://ts.21cn.com/tousu/show/id/1341099","大量用户无法退还立刻出行499元押金")</f>
        <v>大量用户无法退还立刻出行499元押金</v>
      </c>
      <c r="C9907" s="2" t="s">
        <v>9</v>
      </c>
      <c r="D9907" s="2" t="s">
        <v>10</v>
      </c>
      <c r="E9907" s="2" t="str">
        <f>HYPERLINK("http://ts.21cn.com/tousu/show/id/1341099","http://ts.21cn.com/tousu/show/id/1341099")</f>
        <v>http://ts.21cn.com/tousu/show/id/1341099</v>
      </c>
      <c r="F9907" s="2" t="s">
        <v>11</v>
      </c>
      <c r="G9907" s="2" t="s">
        <v>24675</v>
      </c>
      <c r="H9907" s="2" t="s">
        <v>24676</v>
      </c>
    </row>
    <row r="9908" spans="1:8" ht="25.05" customHeight="1" x14ac:dyDescent="0.25">
      <c r="A9908" s="2" t="s">
        <v>8</v>
      </c>
      <c r="B9908" s="2" t="str">
        <f>HYPERLINK("http://ts.21cn.com/tousu/show/id/1341100","滴滴平台不经同意沟通恶意从司机钱包扣大笔钱")</f>
        <v>滴滴平台不经同意沟通恶意从司机钱包扣大笔钱</v>
      </c>
      <c r="C9908" s="2" t="s">
        <v>9</v>
      </c>
      <c r="D9908" s="2" t="s">
        <v>10</v>
      </c>
      <c r="E9908" s="2" t="str">
        <f>HYPERLINK("http://ts.21cn.com/tousu/show/id/1341100","http://ts.21cn.com/tousu/show/id/1341100")</f>
        <v>http://ts.21cn.com/tousu/show/id/1341100</v>
      </c>
      <c r="F9908" s="2" t="s">
        <v>11</v>
      </c>
      <c r="G9908" s="2" t="s">
        <v>24675</v>
      </c>
      <c r="H9908" s="2" t="s">
        <v>24677</v>
      </c>
    </row>
    <row r="9909" spans="1:8" ht="25.05" customHeight="1" x14ac:dyDescent="0.25">
      <c r="A9909" s="2" t="s">
        <v>8</v>
      </c>
      <c r="B9909" s="2" t="str">
        <f>HYPERLINK("http://ts.21cn.com/tousu/show/id/1341101","兴业银行信用卡中心不能协商还款")</f>
        <v>兴业银行信用卡中心不能协商还款</v>
      </c>
      <c r="C9909" s="2" t="s">
        <v>9</v>
      </c>
      <c r="D9909" s="2" t="s">
        <v>10</v>
      </c>
      <c r="E9909" s="2" t="str">
        <f>HYPERLINK("http://ts.21cn.com/tousu/show/id/1341101","http://ts.21cn.com/tousu/show/id/1341101")</f>
        <v>http://ts.21cn.com/tousu/show/id/1341101</v>
      </c>
      <c r="F9909" s="2" t="s">
        <v>11</v>
      </c>
      <c r="G9909" s="2" t="s">
        <v>24673</v>
      </c>
      <c r="H9909" s="2" t="s">
        <v>24674</v>
      </c>
    </row>
    <row r="9910" spans="1:8" ht="25.05" customHeight="1" x14ac:dyDescent="0.25">
      <c r="A9910" s="2" t="s">
        <v>8</v>
      </c>
      <c r="B9910" s="2" t="str">
        <f>HYPERLINK("http://ts.21cn.com/tousu/show/id/1341102","每个月利息就1800多，月利息为6%，年利息为72%超国家红线太多")</f>
        <v>每个月利息就1800多，月利息为6%，年利息为72%超国家红线太多</v>
      </c>
      <c r="C9910" s="2" t="s">
        <v>34</v>
      </c>
      <c r="D9910" s="2" t="s">
        <v>10</v>
      </c>
      <c r="E9910" s="2" t="str">
        <f>HYPERLINK("http://ts.21cn.com/tousu/show/id/1341102","http://ts.21cn.com/tousu/show/id/1341102")</f>
        <v>http://ts.21cn.com/tousu/show/id/1341102</v>
      </c>
      <c r="F9910" s="2" t="s">
        <v>11</v>
      </c>
      <c r="G9910" s="2" t="s">
        <v>24671</v>
      </c>
      <c r="H9910" s="2" t="s">
        <v>24672</v>
      </c>
    </row>
    <row r="9911" spans="1:8" ht="25.05" customHeight="1" x14ac:dyDescent="0.25">
      <c r="A9911" s="2" t="s">
        <v>8</v>
      </c>
      <c r="B9911" s="2" t="str">
        <f>HYPERLINK("http://ts.21cn.com/tousu/show/id/1341103","投诉度小满金融催收")</f>
        <v>投诉度小满金融催收</v>
      </c>
      <c r="C9911" s="2" t="s">
        <v>9</v>
      </c>
      <c r="D9911" s="2" t="s">
        <v>10</v>
      </c>
      <c r="E9911" s="2" t="str">
        <f>HYPERLINK("http://ts.21cn.com/tousu/show/id/1341103","http://ts.21cn.com/tousu/show/id/1341103")</f>
        <v>http://ts.21cn.com/tousu/show/id/1341103</v>
      </c>
      <c r="F9911" s="2" t="s">
        <v>11</v>
      </c>
      <c r="G9911" s="2" t="s">
        <v>24669</v>
      </c>
      <c r="H9911" s="2" t="s">
        <v>24670</v>
      </c>
    </row>
    <row r="9912" spans="1:8" ht="25.05" customHeight="1" x14ac:dyDescent="0.25">
      <c r="A9912" s="2" t="s">
        <v>8</v>
      </c>
      <c r="B9912" s="2" t="str">
        <f>HYPERLINK("http://ts.21cn.com/tousu/show/id/1341104","聚富分期恶意扣款")</f>
        <v>聚富分期恶意扣款</v>
      </c>
      <c r="C9912" s="2" t="s">
        <v>9</v>
      </c>
      <c r="D9912" s="2" t="s">
        <v>10</v>
      </c>
      <c r="E9912" s="2" t="str">
        <f>HYPERLINK("http://ts.21cn.com/tousu/show/id/1341104","http://ts.21cn.com/tousu/show/id/1341104")</f>
        <v>http://ts.21cn.com/tousu/show/id/1341104</v>
      </c>
      <c r="F9912" s="2" t="s">
        <v>11</v>
      </c>
      <c r="G9912" s="2" t="s">
        <v>24667</v>
      </c>
      <c r="H9912" s="2" t="s">
        <v>24668</v>
      </c>
    </row>
    <row r="9913" spans="1:8" ht="25.05" customHeight="1" x14ac:dyDescent="0.25">
      <c r="A9913" s="2" t="s">
        <v>8</v>
      </c>
      <c r="B9913" s="2" t="str">
        <f>HYPERLINK("http://ts.21cn.com/tousu/show/id/1341105","如期分期担保费")</f>
        <v>如期分期担保费</v>
      </c>
      <c r="C9913" s="2" t="s">
        <v>9</v>
      </c>
      <c r="D9913" s="2" t="s">
        <v>10</v>
      </c>
      <c r="E9913" s="2" t="str">
        <f>HYPERLINK("http://ts.21cn.com/tousu/show/id/1341105","http://ts.21cn.com/tousu/show/id/1341105")</f>
        <v>http://ts.21cn.com/tousu/show/id/1341105</v>
      </c>
      <c r="F9913" s="2" t="s">
        <v>11</v>
      </c>
      <c r="G9913" s="2" t="s">
        <v>24665</v>
      </c>
      <c r="H9913" s="2" t="s">
        <v>24666</v>
      </c>
    </row>
    <row r="9914" spans="1:8" ht="25.05" customHeight="1" x14ac:dyDescent="0.25">
      <c r="A9914" s="2" t="s">
        <v>8</v>
      </c>
      <c r="B9914" s="2" t="str">
        <f>HYPERLINK("http://ts.21cn.com/tousu/show/id/1341106","无故冻结微博三日无法解冻客服不理睬")</f>
        <v>无故冻结微博三日无法解冻客服不理睬</v>
      </c>
      <c r="C9914" s="2" t="s">
        <v>9</v>
      </c>
      <c r="D9914" s="2" t="s">
        <v>10</v>
      </c>
      <c r="E9914" s="2" t="str">
        <f>HYPERLINK("http://ts.21cn.com/tousu/show/id/1341106","http://ts.21cn.com/tousu/show/id/1341106")</f>
        <v>http://ts.21cn.com/tousu/show/id/1341106</v>
      </c>
      <c r="F9914" s="2" t="s">
        <v>11</v>
      </c>
      <c r="G9914" s="2" t="s">
        <v>24663</v>
      </c>
      <c r="H9914" s="2" t="s">
        <v>24664</v>
      </c>
    </row>
    <row r="9915" spans="1:8" ht="25.05" customHeight="1" x14ac:dyDescent="0.25">
      <c r="A9915" s="2" t="s">
        <v>8</v>
      </c>
      <c r="B9915" s="2" t="str">
        <f>HYPERLINK("http://ts.21cn.com/tousu/show/id/1341107","安逸花恶意锁定账号套路消费者")</f>
        <v>安逸花恶意锁定账号套路消费者</v>
      </c>
      <c r="C9915" s="2" t="s">
        <v>9</v>
      </c>
      <c r="D9915" s="2" t="s">
        <v>10</v>
      </c>
      <c r="E9915" s="2" t="str">
        <f>HYPERLINK("http://ts.21cn.com/tousu/show/id/1341107","http://ts.21cn.com/tousu/show/id/1341107")</f>
        <v>http://ts.21cn.com/tousu/show/id/1341107</v>
      </c>
      <c r="F9915" s="2" t="s">
        <v>11</v>
      </c>
      <c r="G9915" s="2" t="s">
        <v>24661</v>
      </c>
      <c r="H9915" s="2" t="s">
        <v>24662</v>
      </c>
    </row>
    <row r="9916" spans="1:8" ht="25.05" customHeight="1" x14ac:dyDescent="0.25">
      <c r="A9916" s="2" t="s">
        <v>8</v>
      </c>
      <c r="B9916" s="2" t="str">
        <f>HYPERLINK("http://ts.21cn.com/tousu/show/id/1341108","闪银商城扣款不发货申请退还我的血汗钱钱")</f>
        <v>闪银商城扣款不发货申请退还我的血汗钱钱</v>
      </c>
      <c r="C9916" s="2" t="s">
        <v>9</v>
      </c>
      <c r="D9916" s="2" t="s">
        <v>10</v>
      </c>
      <c r="E9916" s="2" t="str">
        <f>HYPERLINK("http://ts.21cn.com/tousu/show/id/1341108","http://ts.21cn.com/tousu/show/id/1341108")</f>
        <v>http://ts.21cn.com/tousu/show/id/1341108</v>
      </c>
      <c r="F9916" s="2" t="s">
        <v>11</v>
      </c>
      <c r="G9916" s="2" t="s">
        <v>24659</v>
      </c>
      <c r="H9916" s="2" t="s">
        <v>24660</v>
      </c>
    </row>
    <row r="9917" spans="1:8" ht="25.05" customHeight="1" x14ac:dyDescent="0.25">
      <c r="A9917" s="2" t="s">
        <v>8</v>
      </c>
      <c r="B9917" s="2" t="str">
        <f>HYPERLINK("http://ts.21cn.com/tousu/show/id/1341109","钱站高利贷阴阳合同")</f>
        <v>钱站高利贷阴阳合同</v>
      </c>
      <c r="C9917" s="2" t="s">
        <v>9</v>
      </c>
      <c r="D9917" s="2" t="s">
        <v>10</v>
      </c>
      <c r="E9917" s="2" t="str">
        <f>HYPERLINK("http://ts.21cn.com/tousu/show/id/1341109","http://ts.21cn.com/tousu/show/id/1341109")</f>
        <v>http://ts.21cn.com/tousu/show/id/1341109</v>
      </c>
      <c r="F9917" s="2" t="s">
        <v>11</v>
      </c>
      <c r="G9917" s="2" t="s">
        <v>24657</v>
      </c>
      <c r="H9917" s="2" t="s">
        <v>24658</v>
      </c>
    </row>
    <row r="9918" spans="1:8" ht="25.05" customHeight="1" x14ac:dyDescent="0.25">
      <c r="A9918" s="2" t="s">
        <v>8</v>
      </c>
      <c r="B9918" s="2" t="str">
        <f>HYPERLINK("http://ts.21cn.com/tousu/show/id/1341110","有用分期黑社会恐吓，威胁")</f>
        <v>有用分期黑社会恐吓，威胁</v>
      </c>
      <c r="C9918" s="2" t="s">
        <v>9</v>
      </c>
      <c r="D9918" s="2" t="s">
        <v>10</v>
      </c>
      <c r="E9918" s="2" t="str">
        <f>HYPERLINK("http://ts.21cn.com/tousu/show/id/1341110","http://ts.21cn.com/tousu/show/id/1341110")</f>
        <v>http://ts.21cn.com/tousu/show/id/1341110</v>
      </c>
      <c r="F9918" s="2" t="s">
        <v>11</v>
      </c>
      <c r="G9918" s="2" t="s">
        <v>24655</v>
      </c>
      <c r="H9918" s="2" t="s">
        <v>24656</v>
      </c>
    </row>
    <row r="9919" spans="1:8" ht="25.05" customHeight="1" x14ac:dyDescent="0.25">
      <c r="A9919" s="2" t="s">
        <v>8</v>
      </c>
      <c r="B9919" s="2" t="str">
        <f>HYPERLINK("http://ts.21cn.com/tousu/show/id/1341111","不要骚扰我家人和我通讯录朋友")</f>
        <v>不要骚扰我家人和我通讯录朋友</v>
      </c>
      <c r="C9919" s="2" t="s">
        <v>9</v>
      </c>
      <c r="D9919" s="2" t="s">
        <v>10</v>
      </c>
      <c r="E9919" s="2" t="str">
        <f>HYPERLINK("http://ts.21cn.com/tousu/show/id/1341111","http://ts.21cn.com/tousu/show/id/1341111")</f>
        <v>http://ts.21cn.com/tousu/show/id/1341111</v>
      </c>
      <c r="F9919" s="2" t="s">
        <v>11</v>
      </c>
      <c r="G9919" s="2" t="s">
        <v>24653</v>
      </c>
      <c r="H9919" s="2" t="s">
        <v>24654</v>
      </c>
    </row>
    <row r="9920" spans="1:8" ht="25.05" customHeight="1" x14ac:dyDescent="0.25">
      <c r="A9920" s="2" t="s">
        <v>8</v>
      </c>
      <c r="B9920" s="2" t="str">
        <f>HYPERLINK("http://ts.21cn.com/tousu/show/id/1341112","苏宁易购泄露顾客信息给厂商以答谢会名义销售惠而浦净水器并误导消费者选购未开发票")</f>
        <v>苏宁易购泄露顾客信息给厂商以答谢会名义销售惠而浦净水器并误导消费者选购未开发票</v>
      </c>
      <c r="C9920" s="2" t="s">
        <v>9</v>
      </c>
      <c r="D9920" s="2" t="s">
        <v>10</v>
      </c>
      <c r="E9920" s="2" t="str">
        <f>HYPERLINK("http://ts.21cn.com/tousu/show/id/1341112","http://ts.21cn.com/tousu/show/id/1341112")</f>
        <v>http://ts.21cn.com/tousu/show/id/1341112</v>
      </c>
      <c r="F9920" s="2" t="s">
        <v>11</v>
      </c>
      <c r="G9920" s="2" t="s">
        <v>24651</v>
      </c>
      <c r="H9920" s="2" t="s">
        <v>24652</v>
      </c>
    </row>
    <row r="9921" spans="1:8" ht="25.05" customHeight="1" x14ac:dyDescent="0.25">
      <c r="A9921" s="2" t="s">
        <v>8</v>
      </c>
      <c r="B9921" s="2" t="str">
        <f>HYPERLINK("http://ts.21cn.com/tousu/show/id/1341113","蜂鸟众包侵犯隐私权")</f>
        <v>蜂鸟众包侵犯隐私权</v>
      </c>
      <c r="C9921" s="2" t="s">
        <v>9</v>
      </c>
      <c r="D9921" s="2" t="s">
        <v>10</v>
      </c>
      <c r="E9921" s="2" t="str">
        <f>HYPERLINK("http://ts.21cn.com/tousu/show/id/1341113","http://ts.21cn.com/tousu/show/id/1341113")</f>
        <v>http://ts.21cn.com/tousu/show/id/1341113</v>
      </c>
      <c r="F9921" s="2" t="s">
        <v>11</v>
      </c>
      <c r="G9921" s="2" t="s">
        <v>24649</v>
      </c>
      <c r="H9921" s="2" t="s">
        <v>24650</v>
      </c>
    </row>
    <row r="9922" spans="1:8" ht="25.05" customHeight="1" x14ac:dyDescent="0.25">
      <c r="A9922" s="2" t="s">
        <v>8</v>
      </c>
      <c r="B9922" s="2" t="str">
        <f>HYPERLINK("http://ts.21cn.com/tousu/show/id/1341114","已取消的抢票系统自动抢票扣费退票收取手续费")</f>
        <v>已取消的抢票系统自动抢票扣费退票收取手续费</v>
      </c>
      <c r="C9922" s="2" t="s">
        <v>9</v>
      </c>
      <c r="D9922" s="2" t="s">
        <v>10</v>
      </c>
      <c r="E9922" s="2" t="str">
        <f>HYPERLINK("http://ts.21cn.com/tousu/show/id/1341114","http://ts.21cn.com/tousu/show/id/1341114")</f>
        <v>http://ts.21cn.com/tousu/show/id/1341114</v>
      </c>
      <c r="F9922" s="2" t="s">
        <v>11</v>
      </c>
      <c r="G9922" s="2" t="s">
        <v>24647</v>
      </c>
      <c r="H9922" s="2" t="s">
        <v>24648</v>
      </c>
    </row>
    <row r="9923" spans="1:8" ht="25.05" customHeight="1" x14ac:dyDescent="0.25">
      <c r="A9923" s="2" t="s">
        <v>8</v>
      </c>
      <c r="B9923" s="2" t="str">
        <f>HYPERLINK("http://ts.21cn.com/tousu/show/id/1341116","中归还款乱扣费")</f>
        <v>中归还款乱扣费</v>
      </c>
      <c r="C9923" s="2" t="s">
        <v>9</v>
      </c>
      <c r="D9923" s="2" t="s">
        <v>10</v>
      </c>
      <c r="E9923" s="2" t="str">
        <f>HYPERLINK("http://ts.21cn.com/tousu/show/id/1341116","http://ts.21cn.com/tousu/show/id/1341116")</f>
        <v>http://ts.21cn.com/tousu/show/id/1341116</v>
      </c>
      <c r="F9923" s="2" t="s">
        <v>11</v>
      </c>
      <c r="G9923" s="2" t="s">
        <v>24645</v>
      </c>
      <c r="H9923" s="2" t="s">
        <v>24646</v>
      </c>
    </row>
    <row r="9924" spans="1:8" ht="25.05" customHeight="1" x14ac:dyDescent="0.25">
      <c r="A9924" s="2" t="s">
        <v>8</v>
      </c>
      <c r="B9924" s="2" t="str">
        <f>HYPERLINK("http://ts.21cn.com/tousu/show/id/1341115","连续给我打电话，威胁我非要打我们村委会的电话，我用的电话，家里的电话。")</f>
        <v>连续给我打电话，威胁我非要打我们村委会的电话，我用的电话，家里的电话。</v>
      </c>
      <c r="C9924" s="2" t="s">
        <v>9</v>
      </c>
      <c r="D9924" s="2" t="s">
        <v>10</v>
      </c>
      <c r="E9924" s="2" t="str">
        <f>HYPERLINK("http://ts.21cn.com/tousu/show/id/1341115","http://ts.21cn.com/tousu/show/id/1341115")</f>
        <v>http://ts.21cn.com/tousu/show/id/1341115</v>
      </c>
      <c r="F9924" s="2" t="s">
        <v>11</v>
      </c>
      <c r="G9924" s="2" t="s">
        <v>24643</v>
      </c>
      <c r="H9924" s="2" t="s">
        <v>24644</v>
      </c>
    </row>
    <row r="9925" spans="1:8" ht="25.05" customHeight="1" x14ac:dyDescent="0.25">
      <c r="A9925" s="2" t="s">
        <v>8</v>
      </c>
      <c r="B9925" s="2" t="str">
        <f>HYPERLINK("http://ts.21cn.com/tousu/show/id/1341117","不知情情况下扣款")</f>
        <v>不知情情况下扣款</v>
      </c>
      <c r="C9925" s="2" t="s">
        <v>9</v>
      </c>
      <c r="D9925" s="2" t="s">
        <v>10</v>
      </c>
      <c r="E9925" s="2" t="str">
        <f>HYPERLINK("http://ts.21cn.com/tousu/show/id/1341117","http://ts.21cn.com/tousu/show/id/1341117")</f>
        <v>http://ts.21cn.com/tousu/show/id/1341117</v>
      </c>
      <c r="F9925" s="2" t="s">
        <v>11</v>
      </c>
      <c r="G9925" s="2" t="s">
        <v>24641</v>
      </c>
      <c r="H9925" s="2" t="s">
        <v>24642</v>
      </c>
    </row>
    <row r="9926" spans="1:8" ht="25.05" customHeight="1" x14ac:dyDescent="0.25">
      <c r="A9926" s="2" t="s">
        <v>8</v>
      </c>
      <c r="B9926" s="2" t="str">
        <f>HYPERLINK("http://ts.21cn.com/tousu/show/id/1331650","客服敷衍")</f>
        <v>客服敷衍</v>
      </c>
      <c r="C9926" s="2" t="s">
        <v>9</v>
      </c>
      <c r="D9926" s="2" t="s">
        <v>10</v>
      </c>
      <c r="E9926" s="2" t="str">
        <f>HYPERLINK("http://ts.21cn.com/tousu/show/id/1331650","http://ts.21cn.com/tousu/show/id/1331650")</f>
        <v>http://ts.21cn.com/tousu/show/id/1331650</v>
      </c>
      <c r="F9926" s="2" t="s">
        <v>11</v>
      </c>
      <c r="G9926" s="2" t="s">
        <v>24639</v>
      </c>
      <c r="H9926" s="2" t="s">
        <v>24640</v>
      </c>
    </row>
    <row r="9927" spans="1:8" ht="25.05" customHeight="1" x14ac:dyDescent="0.25">
      <c r="A9927" s="2" t="s">
        <v>8</v>
      </c>
      <c r="B9927" s="2" t="str">
        <f>HYPERLINK("http://ts.21cn.com/tousu/show/id/1341118","手机借钱多宝分期属高利贷，没逾期催收，恐吓，侮辱，要求归还本金，不与纠缠")</f>
        <v>手机借钱多宝分期属高利贷，没逾期催收，恐吓，侮辱，要求归还本金，不与纠缠</v>
      </c>
      <c r="C9927" s="2" t="s">
        <v>9</v>
      </c>
      <c r="D9927" s="2" t="s">
        <v>10</v>
      </c>
      <c r="E9927" s="2" t="str">
        <f>HYPERLINK("http://ts.21cn.com/tousu/show/id/1341118","http://ts.21cn.com/tousu/show/id/1341118")</f>
        <v>http://ts.21cn.com/tousu/show/id/1341118</v>
      </c>
      <c r="F9927" s="2" t="s">
        <v>11</v>
      </c>
      <c r="G9927" s="2" t="s">
        <v>24637</v>
      </c>
      <c r="H9927" s="2" t="s">
        <v>24638</v>
      </c>
    </row>
    <row r="9928" spans="1:8" ht="25.05" customHeight="1" x14ac:dyDescent="0.25">
      <c r="A9928" s="2" t="s">
        <v>8</v>
      </c>
      <c r="B9928" s="2" t="str">
        <f>HYPERLINK("http://ts.21cn.com/tousu/show/id/1341119","钱站高利贷阴阳合同")</f>
        <v>钱站高利贷阴阳合同</v>
      </c>
      <c r="C9928" s="2" t="s">
        <v>9</v>
      </c>
      <c r="D9928" s="2" t="s">
        <v>10</v>
      </c>
      <c r="E9928" s="2" t="str">
        <f>HYPERLINK("http://ts.21cn.com/tousu/show/id/1341119","http://ts.21cn.com/tousu/show/id/1341119")</f>
        <v>http://ts.21cn.com/tousu/show/id/1341119</v>
      </c>
      <c r="F9928" s="2" t="s">
        <v>11</v>
      </c>
      <c r="G9928" s="2" t="s">
        <v>24635</v>
      </c>
      <c r="H9928" s="2" t="s">
        <v>24636</v>
      </c>
    </row>
    <row r="9929" spans="1:8" ht="25.05" customHeight="1" x14ac:dyDescent="0.25">
      <c r="A9929" s="2" t="s">
        <v>8</v>
      </c>
      <c r="B9929" s="2" t="str">
        <f>HYPERLINK("http://ts.21cn.com/tousu/show/id/1341097","交通银行突然调额")</f>
        <v>交通银行突然调额</v>
      </c>
      <c r="C9929" s="2" t="s">
        <v>9</v>
      </c>
      <c r="D9929" s="2" t="s">
        <v>10</v>
      </c>
      <c r="E9929" s="2" t="str">
        <f>HYPERLINK("http://ts.21cn.com/tousu/show/id/1341097","http://ts.21cn.com/tousu/show/id/1341097")</f>
        <v>http://ts.21cn.com/tousu/show/id/1341097</v>
      </c>
      <c r="F9929" s="2" t="s">
        <v>11</v>
      </c>
      <c r="G9929" s="2" t="s">
        <v>24633</v>
      </c>
      <c r="H9929" s="2" t="s">
        <v>24634</v>
      </c>
    </row>
    <row r="9930" spans="1:8" ht="25.05" customHeight="1" x14ac:dyDescent="0.25">
      <c r="A9930" s="2" t="s">
        <v>8</v>
      </c>
      <c r="B9930" s="2" t="str">
        <f>HYPERLINK("http://ts.21cn.com/tousu/show/id/1341121","广东寰宇集团的坑爹盛pos")</f>
        <v>广东寰宇集团的坑爹盛pos</v>
      </c>
      <c r="C9930" s="2" t="s">
        <v>9</v>
      </c>
      <c r="D9930" s="2" t="s">
        <v>10</v>
      </c>
      <c r="E9930" s="2" t="str">
        <f>HYPERLINK("http://ts.21cn.com/tousu/show/id/1341121","http://ts.21cn.com/tousu/show/id/1341121")</f>
        <v>http://ts.21cn.com/tousu/show/id/1341121</v>
      </c>
      <c r="F9930" s="2" t="s">
        <v>11</v>
      </c>
      <c r="G9930" s="2" t="s">
        <v>24631</v>
      </c>
      <c r="H9930" s="2" t="s">
        <v>24632</v>
      </c>
    </row>
    <row r="9931" spans="1:8" ht="25.05" customHeight="1" x14ac:dyDescent="0.25">
      <c r="A9931" s="2" t="s">
        <v>8</v>
      </c>
      <c r="B9931" s="2" t="str">
        <f>HYPERLINK("http://ts.21cn.com/tousu/show/id/1341123","信用管家里的云享贷诚薪贷高利贷")</f>
        <v>信用管家里的云享贷诚薪贷高利贷</v>
      </c>
      <c r="C9931" s="2" t="s">
        <v>9</v>
      </c>
      <c r="D9931" s="2" t="s">
        <v>10</v>
      </c>
      <c r="E9931" s="2" t="str">
        <f>HYPERLINK("http://ts.21cn.com/tousu/show/id/1341123","http://ts.21cn.com/tousu/show/id/1341123")</f>
        <v>http://ts.21cn.com/tousu/show/id/1341123</v>
      </c>
      <c r="F9931" s="2" t="s">
        <v>11</v>
      </c>
      <c r="G9931" s="2" t="s">
        <v>24629</v>
      </c>
      <c r="H9931" s="2" t="s">
        <v>24630</v>
      </c>
    </row>
    <row r="9932" spans="1:8" ht="25.05" customHeight="1" x14ac:dyDescent="0.25">
      <c r="A9932" s="2" t="s">
        <v>8</v>
      </c>
      <c r="B9932" s="2" t="str">
        <f>HYPERLINK("http://ts.21cn.com/tousu/show/id/1341124","青岛红明英贸易有限公司欺骗消费者")</f>
        <v>青岛红明英贸易有限公司欺骗消费者</v>
      </c>
      <c r="C9932" s="2" t="s">
        <v>9</v>
      </c>
      <c r="D9932" s="2" t="s">
        <v>10</v>
      </c>
      <c r="E9932" s="2" t="str">
        <f>HYPERLINK("http://ts.21cn.com/tousu/show/id/1341124","http://ts.21cn.com/tousu/show/id/1341124")</f>
        <v>http://ts.21cn.com/tousu/show/id/1341124</v>
      </c>
      <c r="F9932" s="2" t="s">
        <v>11</v>
      </c>
      <c r="G9932" s="2" t="s">
        <v>24627</v>
      </c>
      <c r="H9932" s="2" t="s">
        <v>24628</v>
      </c>
    </row>
    <row r="9933" spans="1:8" ht="25.05" customHeight="1" x14ac:dyDescent="0.25">
      <c r="A9933" s="2" t="s">
        <v>8</v>
      </c>
      <c r="B9933" s="2" t="str">
        <f>HYPERLINK("http://ts.21cn.com/tousu/show/id/1341125","捷信暴力催收和盗取客户信息")</f>
        <v>捷信暴力催收和盗取客户信息</v>
      </c>
      <c r="C9933" s="2" t="s">
        <v>9</v>
      </c>
      <c r="D9933" s="2" t="s">
        <v>10</v>
      </c>
      <c r="E9933" s="2" t="str">
        <f>HYPERLINK("http://ts.21cn.com/tousu/show/id/1341125","http://ts.21cn.com/tousu/show/id/1341125")</f>
        <v>http://ts.21cn.com/tousu/show/id/1341125</v>
      </c>
      <c r="F9933" s="2" t="s">
        <v>11</v>
      </c>
      <c r="G9933" s="2" t="s">
        <v>24625</v>
      </c>
      <c r="H9933" s="2" t="s">
        <v>24626</v>
      </c>
    </row>
    <row r="9934" spans="1:8" ht="25.05" customHeight="1" x14ac:dyDescent="0.25">
      <c r="A9934" s="2" t="s">
        <v>8</v>
      </c>
      <c r="B9934" s="2" t="str">
        <f>HYPERLINK("http://ts.21cn.com/tousu/show/id/1341127","友信惠普平台收取高额利息及罚息")</f>
        <v>友信惠普平台收取高额利息及罚息</v>
      </c>
      <c r="C9934" s="2" t="s">
        <v>9</v>
      </c>
      <c r="D9934" s="2" t="s">
        <v>10</v>
      </c>
      <c r="E9934" s="2" t="str">
        <f>HYPERLINK("http://ts.21cn.com/tousu/show/id/1341127","http://ts.21cn.com/tousu/show/id/1341127")</f>
        <v>http://ts.21cn.com/tousu/show/id/1341127</v>
      </c>
      <c r="F9934" s="2" t="s">
        <v>11</v>
      </c>
      <c r="G9934" s="2" t="s">
        <v>24623</v>
      </c>
      <c r="H9934" s="2" t="s">
        <v>24624</v>
      </c>
    </row>
    <row r="9935" spans="1:8" ht="25.05" customHeight="1" x14ac:dyDescent="0.25">
      <c r="A9935" s="2" t="s">
        <v>8</v>
      </c>
      <c r="B9935" s="2" t="str">
        <f>HYPERLINK("http://ts.21cn.com/tousu/show/id/1341129","唯品花")</f>
        <v>唯品花</v>
      </c>
      <c r="C9935" s="2" t="s">
        <v>34</v>
      </c>
      <c r="D9935" s="2" t="s">
        <v>10</v>
      </c>
      <c r="E9935" s="2" t="str">
        <f>HYPERLINK("http://ts.21cn.com/tousu/show/id/1341129","http://ts.21cn.com/tousu/show/id/1341129")</f>
        <v>http://ts.21cn.com/tousu/show/id/1341129</v>
      </c>
      <c r="F9935" s="2" t="s">
        <v>11</v>
      </c>
      <c r="G9935" s="2" t="s">
        <v>24621</v>
      </c>
      <c r="H9935" s="2" t="s">
        <v>24622</v>
      </c>
    </row>
    <row r="9936" spans="1:8" ht="25.05" customHeight="1" x14ac:dyDescent="0.25">
      <c r="A9936" s="2" t="s">
        <v>8</v>
      </c>
      <c r="B9936" s="2" t="str">
        <f>HYPERLINK("http://ts.21cn.com/tousu/show/id/1341130","无扣费说明隐藏条款盗刷银行卡无确认说明莫名其妙扣了299打客服退款然后玩文字游戏退款可以要各种本人的身份")</f>
        <v>无扣费说明隐藏条款盗刷银行卡无确认说明莫名其妙扣了299打客服退款然后玩文字游戏退款可以要各种本人的身份</v>
      </c>
      <c r="C9936" s="2" t="s">
        <v>9</v>
      </c>
      <c r="D9936" s="2" t="s">
        <v>10</v>
      </c>
      <c r="E9936" s="2" t="str">
        <f>HYPERLINK("http://ts.21cn.com/tousu/show/id/1341130","http://ts.21cn.com/tousu/show/id/1341130")</f>
        <v>http://ts.21cn.com/tousu/show/id/1341130</v>
      </c>
      <c r="F9936" s="2" t="s">
        <v>11</v>
      </c>
      <c r="G9936" s="2" t="s">
        <v>24619</v>
      </c>
      <c r="H9936" s="2" t="s">
        <v>24620</v>
      </c>
    </row>
    <row r="9937" spans="1:8" ht="25.05" customHeight="1" x14ac:dyDescent="0.25">
      <c r="A9937" s="2" t="s">
        <v>8</v>
      </c>
      <c r="B9937" s="2" t="str">
        <f>HYPERLINK("http://ts.21cn.com/tousu/show/id/1341131","首汽约车订单完成后迟迟不支付司机费用")</f>
        <v>首汽约车订单完成后迟迟不支付司机费用</v>
      </c>
      <c r="C9937" s="2" t="s">
        <v>9</v>
      </c>
      <c r="D9937" s="2" t="s">
        <v>10</v>
      </c>
      <c r="E9937" s="2" t="str">
        <f>HYPERLINK("http://ts.21cn.com/tousu/show/id/1341131","http://ts.21cn.com/tousu/show/id/1341131")</f>
        <v>http://ts.21cn.com/tousu/show/id/1341131</v>
      </c>
      <c r="F9937" s="2" t="s">
        <v>11</v>
      </c>
      <c r="G9937" s="2" t="s">
        <v>24617</v>
      </c>
      <c r="H9937" s="2" t="s">
        <v>24618</v>
      </c>
    </row>
    <row r="9938" spans="1:8" ht="25.05" customHeight="1" x14ac:dyDescent="0.25">
      <c r="A9938" s="2" t="s">
        <v>8</v>
      </c>
      <c r="B9938" s="2" t="str">
        <f>HYPERLINK("http://ts.21cn.com/tousu/show/id/1341132","万惠及贷变相收取高额息费以及暴力催收")</f>
        <v>万惠及贷变相收取高额息费以及暴力催收</v>
      </c>
      <c r="C9938" s="2" t="s">
        <v>9</v>
      </c>
      <c r="D9938" s="2" t="s">
        <v>10</v>
      </c>
      <c r="E9938" s="2" t="str">
        <f>HYPERLINK("http://ts.21cn.com/tousu/show/id/1341132","http://ts.21cn.com/tousu/show/id/1341132")</f>
        <v>http://ts.21cn.com/tousu/show/id/1341132</v>
      </c>
      <c r="F9938" s="2" t="s">
        <v>11</v>
      </c>
      <c r="G9938" s="2" t="s">
        <v>24615</v>
      </c>
      <c r="H9938" s="2" t="s">
        <v>24616</v>
      </c>
    </row>
    <row r="9939" spans="1:8" ht="25.05" customHeight="1" x14ac:dyDescent="0.25">
      <c r="A9939" s="2" t="s">
        <v>8</v>
      </c>
      <c r="B9939" s="2" t="str">
        <f>HYPERLINK("http://ts.21cn.com/tousu/show/id/1341133","附近约爱软件欺骗消费者")</f>
        <v>附近约爱软件欺骗消费者</v>
      </c>
      <c r="C9939" s="2" t="s">
        <v>9</v>
      </c>
      <c r="D9939" s="2" t="s">
        <v>10</v>
      </c>
      <c r="E9939" s="2" t="str">
        <f>HYPERLINK("http://ts.21cn.com/tousu/show/id/1341133","http://ts.21cn.com/tousu/show/id/1341133")</f>
        <v>http://ts.21cn.com/tousu/show/id/1341133</v>
      </c>
      <c r="F9939" s="2" t="s">
        <v>11</v>
      </c>
      <c r="G9939" s="2" t="s">
        <v>24613</v>
      </c>
      <c r="H9939" s="2" t="s">
        <v>24614</v>
      </c>
    </row>
    <row r="9940" spans="1:8" ht="25.05" customHeight="1" x14ac:dyDescent="0.25">
      <c r="A9940" s="2" t="s">
        <v>8</v>
      </c>
      <c r="B9940" s="2" t="str">
        <f>HYPERLINK("http://ts.21cn.com/tousu/show/id/1341134","畅金服务高利贷不协商")</f>
        <v>畅金服务高利贷不协商</v>
      </c>
      <c r="C9940" s="2" t="s">
        <v>9</v>
      </c>
      <c r="D9940" s="2" t="s">
        <v>10</v>
      </c>
      <c r="E9940" s="2" t="str">
        <f>HYPERLINK("http://ts.21cn.com/tousu/show/id/1341134","http://ts.21cn.com/tousu/show/id/1341134")</f>
        <v>http://ts.21cn.com/tousu/show/id/1341134</v>
      </c>
      <c r="F9940" s="2" t="s">
        <v>11</v>
      </c>
      <c r="G9940" s="2" t="s">
        <v>24611</v>
      </c>
      <c r="H9940" s="2" t="s">
        <v>24612</v>
      </c>
    </row>
    <row r="9941" spans="1:8" ht="25.05" customHeight="1" x14ac:dyDescent="0.25">
      <c r="A9941" s="2" t="s">
        <v>8</v>
      </c>
      <c r="B9941" s="2" t="str">
        <f>HYPERLINK("http://ts.21cn.com/tousu/show/id/1341135","交易猫客服不验证")</f>
        <v>交易猫客服不验证</v>
      </c>
      <c r="C9941" s="2" t="s">
        <v>34</v>
      </c>
      <c r="D9941" s="2" t="s">
        <v>10</v>
      </c>
      <c r="E9941" s="2" t="str">
        <f>HYPERLINK("http://ts.21cn.com/tousu/show/id/1341135","http://ts.21cn.com/tousu/show/id/1341135")</f>
        <v>http://ts.21cn.com/tousu/show/id/1341135</v>
      </c>
      <c r="F9941" s="2" t="s">
        <v>11</v>
      </c>
      <c r="G9941" s="2" t="s">
        <v>24609</v>
      </c>
      <c r="H9941" s="2" t="s">
        <v>24610</v>
      </c>
    </row>
    <row r="9942" spans="1:8" ht="25.05" customHeight="1" x14ac:dyDescent="0.25">
      <c r="A9942" s="2" t="s">
        <v>8</v>
      </c>
      <c r="B9942" s="2" t="str">
        <f>HYPERLINK("http://ts.21cn.com/tousu/show/id/1341136","扣了我银行卡的钱")</f>
        <v>扣了我银行卡的钱</v>
      </c>
      <c r="C9942" s="2" t="s">
        <v>34</v>
      </c>
      <c r="D9942" s="2" t="s">
        <v>10</v>
      </c>
      <c r="E9942" s="2" t="str">
        <f>HYPERLINK("http://ts.21cn.com/tousu/show/id/1341136","http://ts.21cn.com/tousu/show/id/1341136")</f>
        <v>http://ts.21cn.com/tousu/show/id/1341136</v>
      </c>
      <c r="F9942" s="2" t="s">
        <v>11</v>
      </c>
      <c r="G9942" s="2" t="s">
        <v>24607</v>
      </c>
      <c r="H9942" s="2" t="s">
        <v>24608</v>
      </c>
    </row>
    <row r="9943" spans="1:8" ht="25.05" customHeight="1" x14ac:dyDescent="0.25">
      <c r="A9943" s="2" t="s">
        <v>8</v>
      </c>
      <c r="B9943" s="2" t="str">
        <f>HYPERLINK("http://ts.21cn.com/tousu/show/id/1341138","牛人有品协商还款，威胁爆通讯录")</f>
        <v>牛人有品协商还款，威胁爆通讯录</v>
      </c>
      <c r="C9943" s="2" t="s">
        <v>9</v>
      </c>
      <c r="D9943" s="2" t="s">
        <v>10</v>
      </c>
      <c r="E9943" s="2" t="str">
        <f>HYPERLINK("http://ts.21cn.com/tousu/show/id/1341138","http://ts.21cn.com/tousu/show/id/1341138")</f>
        <v>http://ts.21cn.com/tousu/show/id/1341138</v>
      </c>
      <c r="F9943" s="2" t="s">
        <v>11</v>
      </c>
      <c r="G9943" s="2" t="s">
        <v>24605</v>
      </c>
      <c r="H9943" s="2" t="s">
        <v>24606</v>
      </c>
    </row>
    <row r="9944" spans="1:8" ht="25.05" customHeight="1" x14ac:dyDescent="0.25">
      <c r="A9944" s="2" t="s">
        <v>8</v>
      </c>
      <c r="B9944" s="2" t="str">
        <f>HYPERLINK("http://ts.21cn.com/tousu/show/id/1341139","亿出行贵宾卡误导消费者请求退款")</f>
        <v>亿出行贵宾卡误导消费者请求退款</v>
      </c>
      <c r="C9944" s="2" t="s">
        <v>9</v>
      </c>
      <c r="D9944" s="2" t="s">
        <v>10</v>
      </c>
      <c r="E9944" s="2" t="str">
        <f>HYPERLINK("http://ts.21cn.com/tousu/show/id/1341139","http://ts.21cn.com/tousu/show/id/1341139")</f>
        <v>http://ts.21cn.com/tousu/show/id/1341139</v>
      </c>
      <c r="F9944" s="2" t="s">
        <v>11</v>
      </c>
      <c r="G9944" s="2" t="s">
        <v>24603</v>
      </c>
      <c r="H9944" s="2" t="s">
        <v>24604</v>
      </c>
    </row>
    <row r="9945" spans="1:8" ht="25.05" customHeight="1" x14ac:dyDescent="0.25">
      <c r="A9945" s="2" t="s">
        <v>8</v>
      </c>
      <c r="B9945" s="2" t="str">
        <f>HYPERLINK("http://ts.21cn.com/tousu/show/id/1341140","贷上钱轰炸通讯录")</f>
        <v>贷上钱轰炸通讯录</v>
      </c>
      <c r="C9945" s="2" t="s">
        <v>34</v>
      </c>
      <c r="D9945" s="2" t="s">
        <v>10</v>
      </c>
      <c r="E9945" s="2" t="str">
        <f>HYPERLINK("http://ts.21cn.com/tousu/show/id/1341140","http://ts.21cn.com/tousu/show/id/1341140")</f>
        <v>http://ts.21cn.com/tousu/show/id/1341140</v>
      </c>
      <c r="F9945" s="2" t="s">
        <v>11</v>
      </c>
      <c r="G9945" s="2" t="s">
        <v>24601</v>
      </c>
      <c r="H9945" s="2" t="s">
        <v>24602</v>
      </c>
    </row>
    <row r="9946" spans="1:8" ht="25.05" customHeight="1" x14ac:dyDescent="0.25">
      <c r="A9946" s="2" t="s">
        <v>8</v>
      </c>
      <c r="B9946" s="2" t="str">
        <f>HYPERLINK("http://ts.21cn.com/tousu/show/id/1341141","易行商旅虚假宣传，诱导误消费")</f>
        <v>易行商旅虚假宣传，诱导误消费</v>
      </c>
      <c r="C9946" s="2" t="s">
        <v>9</v>
      </c>
      <c r="D9946" s="2" t="s">
        <v>10</v>
      </c>
      <c r="E9946" s="2" t="str">
        <f>HYPERLINK("http://ts.21cn.com/tousu/show/id/1341141","http://ts.21cn.com/tousu/show/id/1341141")</f>
        <v>http://ts.21cn.com/tousu/show/id/1341141</v>
      </c>
      <c r="F9946" s="2" t="s">
        <v>11</v>
      </c>
      <c r="G9946" s="2" t="s">
        <v>24599</v>
      </c>
      <c r="H9946" s="2" t="s">
        <v>24600</v>
      </c>
    </row>
    <row r="9947" spans="1:8" ht="25.05" customHeight="1" x14ac:dyDescent="0.25">
      <c r="A9947" s="2" t="s">
        <v>8</v>
      </c>
      <c r="B9947" s="2" t="str">
        <f>HYPERLINK("http://ts.21cn.com/tousu/show/id/1341143","深圳前海微众银行股份有限公司未经授权违规查询本人征信报告影响征信")</f>
        <v>深圳前海微众银行股份有限公司未经授权违规查询本人征信报告影响征信</v>
      </c>
      <c r="C9947" s="2" t="s">
        <v>9</v>
      </c>
      <c r="D9947" s="2" t="s">
        <v>10</v>
      </c>
      <c r="E9947" s="2" t="str">
        <f>HYPERLINK("http://ts.21cn.com/tousu/show/id/1341143","http://ts.21cn.com/tousu/show/id/1341143")</f>
        <v>http://ts.21cn.com/tousu/show/id/1341143</v>
      </c>
      <c r="F9947" s="2" t="s">
        <v>11</v>
      </c>
      <c r="G9947" s="2" t="s">
        <v>24597</v>
      </c>
      <c r="H9947" s="2" t="s">
        <v>24598</v>
      </c>
    </row>
    <row r="9948" spans="1:8" ht="25.05" customHeight="1" x14ac:dyDescent="0.25">
      <c r="A9948" s="2" t="s">
        <v>8</v>
      </c>
      <c r="B9948" s="2" t="str">
        <f>HYPERLINK("http://ts.21cn.com/tousu/show/id/1341144","人人贷阴阳合同超高利息")</f>
        <v>人人贷阴阳合同超高利息</v>
      </c>
      <c r="C9948" s="2" t="s">
        <v>9</v>
      </c>
      <c r="D9948" s="2" t="s">
        <v>10</v>
      </c>
      <c r="E9948" s="2" t="str">
        <f>HYPERLINK("http://ts.21cn.com/tousu/show/id/1341144","http://ts.21cn.com/tousu/show/id/1341144")</f>
        <v>http://ts.21cn.com/tousu/show/id/1341144</v>
      </c>
      <c r="F9948" s="2" t="s">
        <v>11</v>
      </c>
      <c r="G9948" s="2" t="s">
        <v>24595</v>
      </c>
      <c r="H9948" s="2" t="s">
        <v>24596</v>
      </c>
    </row>
    <row r="9949" spans="1:8" ht="25.05" customHeight="1" x14ac:dyDescent="0.25">
      <c r="A9949" s="2" t="s">
        <v>8</v>
      </c>
      <c r="B9949" s="2" t="str">
        <f>HYPERLINK("http://ts.21cn.com/tousu/show/id/1341081","涉嫌参与违规游戏平台")</f>
        <v>涉嫌参与违规游戏平台</v>
      </c>
      <c r="C9949" s="2" t="s">
        <v>9</v>
      </c>
      <c r="D9949" s="2" t="s">
        <v>10</v>
      </c>
      <c r="E9949" s="2" t="str">
        <f>HYPERLINK("http://ts.21cn.com/tousu/show/id/1341081","http://ts.21cn.com/tousu/show/id/1341081")</f>
        <v>http://ts.21cn.com/tousu/show/id/1341081</v>
      </c>
      <c r="F9949" s="2" t="s">
        <v>11</v>
      </c>
      <c r="G9949" s="2" t="s">
        <v>24593</v>
      </c>
      <c r="H9949" s="2" t="s">
        <v>24594</v>
      </c>
    </row>
    <row r="9950" spans="1:8" ht="25.05" customHeight="1" x14ac:dyDescent="0.25">
      <c r="A9950" s="2" t="s">
        <v>8</v>
      </c>
      <c r="B9950" s="2" t="str">
        <f>HYPERLINK("http://ts.21cn.com/tousu/show/id/1341145","上海银行")</f>
        <v>上海银行</v>
      </c>
      <c r="C9950" s="2" t="s">
        <v>9</v>
      </c>
      <c r="D9950" s="2" t="s">
        <v>10</v>
      </c>
      <c r="E9950" s="2" t="str">
        <f>HYPERLINK("http://ts.21cn.com/tousu/show/id/1341145","http://ts.21cn.com/tousu/show/id/1341145")</f>
        <v>http://ts.21cn.com/tousu/show/id/1341145</v>
      </c>
      <c r="F9950" s="2" t="s">
        <v>11</v>
      </c>
      <c r="G9950" s="2" t="s">
        <v>24591</v>
      </c>
      <c r="H9950" s="2" t="s">
        <v>24592</v>
      </c>
    </row>
    <row r="9951" spans="1:8" ht="25.05" customHeight="1" x14ac:dyDescent="0.25">
      <c r="A9951" s="2" t="s">
        <v>8</v>
      </c>
      <c r="B9951" s="2" t="str">
        <f>HYPERLINK("http://ts.21cn.com/tousu/show/id/1341147","闪银砍头息")</f>
        <v>闪银砍头息</v>
      </c>
      <c r="C9951" s="2" t="s">
        <v>9</v>
      </c>
      <c r="D9951" s="2" t="s">
        <v>10</v>
      </c>
      <c r="E9951" s="2" t="str">
        <f>HYPERLINK("http://ts.21cn.com/tousu/show/id/1341147","http://ts.21cn.com/tousu/show/id/1341147")</f>
        <v>http://ts.21cn.com/tousu/show/id/1341147</v>
      </c>
      <c r="F9951" s="2" t="s">
        <v>11</v>
      </c>
      <c r="G9951" s="2" t="s">
        <v>24589</v>
      </c>
      <c r="H9951" s="2" t="s">
        <v>24590</v>
      </c>
    </row>
    <row r="9952" spans="1:8" ht="25.05" customHeight="1" x14ac:dyDescent="0.25">
      <c r="A9952" s="2" t="s">
        <v>8</v>
      </c>
      <c r="B9952" s="2" t="str">
        <f>HYPERLINK("http://ts.21cn.com/tousu/show/id/1341148","北京友缘在线网络科技乱扣费")</f>
        <v>北京友缘在线网络科技乱扣费</v>
      </c>
      <c r="C9952" s="2" t="s">
        <v>9</v>
      </c>
      <c r="D9952" s="2" t="s">
        <v>10</v>
      </c>
      <c r="E9952" s="2" t="str">
        <f>HYPERLINK("http://ts.21cn.com/tousu/show/id/1341148","http://ts.21cn.com/tousu/show/id/1341148")</f>
        <v>http://ts.21cn.com/tousu/show/id/1341148</v>
      </c>
      <c r="F9952" s="2" t="s">
        <v>11</v>
      </c>
      <c r="G9952" s="2" t="s">
        <v>24587</v>
      </c>
      <c r="H9952" s="2" t="s">
        <v>24588</v>
      </c>
    </row>
    <row r="9953" spans="1:8" ht="25.05" customHeight="1" x14ac:dyDescent="0.25">
      <c r="A9953" s="2" t="s">
        <v>8</v>
      </c>
      <c r="B9953" s="2" t="str">
        <f>HYPERLINK("http://ts.21cn.com/tousu/show/id/1341149","51人品贷收取高额服务费暴力催收")</f>
        <v>51人品贷收取高额服务费暴力催收</v>
      </c>
      <c r="C9953" s="2" t="s">
        <v>9</v>
      </c>
      <c r="D9953" s="2" t="s">
        <v>10</v>
      </c>
      <c r="E9953" s="2" t="str">
        <f>HYPERLINK("http://ts.21cn.com/tousu/show/id/1341149","http://ts.21cn.com/tousu/show/id/1341149")</f>
        <v>http://ts.21cn.com/tousu/show/id/1341149</v>
      </c>
      <c r="F9953" s="2" t="s">
        <v>11</v>
      </c>
      <c r="G9953" s="2" t="s">
        <v>24585</v>
      </c>
      <c r="H9953" s="2" t="s">
        <v>24586</v>
      </c>
    </row>
    <row r="9954" spans="1:8" ht="25.05" customHeight="1" x14ac:dyDescent="0.25">
      <c r="A9954" s="2" t="s">
        <v>8</v>
      </c>
      <c r="B9954" s="2" t="str">
        <f>HYPERLINK("http://ts.21cn.com/tousu/show/id/1341150","米米罐套路贷，")</f>
        <v>米米罐套路贷，</v>
      </c>
      <c r="C9954" s="2" t="s">
        <v>9</v>
      </c>
      <c r="D9954" s="2" t="s">
        <v>10</v>
      </c>
      <c r="E9954" s="2" t="str">
        <f>HYPERLINK("http://ts.21cn.com/tousu/show/id/1341150","http://ts.21cn.com/tousu/show/id/1341150")</f>
        <v>http://ts.21cn.com/tousu/show/id/1341150</v>
      </c>
      <c r="F9954" s="2" t="s">
        <v>11</v>
      </c>
      <c r="G9954" s="2" t="s">
        <v>24583</v>
      </c>
      <c r="H9954" s="2" t="s">
        <v>24584</v>
      </c>
    </row>
    <row r="9955" spans="1:8" ht="25.05" customHeight="1" x14ac:dyDescent="0.25">
      <c r="A9955" s="2" t="s">
        <v>8</v>
      </c>
      <c r="B9955" s="2" t="str">
        <f>HYPERLINK("http://ts.21cn.com/tousu/show/id/1341151","缴费的会员服务无法使用")</f>
        <v>缴费的会员服务无法使用</v>
      </c>
      <c r="C9955" s="2" t="s">
        <v>9</v>
      </c>
      <c r="D9955" s="2" t="s">
        <v>10</v>
      </c>
      <c r="E9955" s="2" t="str">
        <f>HYPERLINK("http://ts.21cn.com/tousu/show/id/1341151","http://ts.21cn.com/tousu/show/id/1341151")</f>
        <v>http://ts.21cn.com/tousu/show/id/1341151</v>
      </c>
      <c r="F9955" s="2" t="s">
        <v>11</v>
      </c>
      <c r="G9955" s="2" t="s">
        <v>24581</v>
      </c>
      <c r="H9955" s="2" t="s">
        <v>24582</v>
      </c>
    </row>
    <row r="9956" spans="1:8" ht="25.05" customHeight="1" x14ac:dyDescent="0.25">
      <c r="A9956" s="2" t="s">
        <v>8</v>
      </c>
      <c r="B9956" s="2" t="str">
        <f>HYPERLINK("http://ts.21cn.com/tousu/show/id/1341152","捷信太黑了")</f>
        <v>捷信太黑了</v>
      </c>
      <c r="C9956" s="2" t="s">
        <v>9</v>
      </c>
      <c r="D9956" s="2" t="s">
        <v>10</v>
      </c>
      <c r="E9956" s="2" t="str">
        <f>HYPERLINK("http://ts.21cn.com/tousu/show/id/1341152","http://ts.21cn.com/tousu/show/id/1341152")</f>
        <v>http://ts.21cn.com/tousu/show/id/1341152</v>
      </c>
      <c r="F9956" s="2" t="s">
        <v>11</v>
      </c>
      <c r="G9956" s="2" t="s">
        <v>24579</v>
      </c>
      <c r="H9956" s="2" t="s">
        <v>24580</v>
      </c>
    </row>
    <row r="9957" spans="1:8" ht="25.05" customHeight="1" x14ac:dyDescent="0.25">
      <c r="A9957" s="2" t="s">
        <v>8</v>
      </c>
      <c r="B9957" s="2" t="str">
        <f>HYPERLINK("http://ts.21cn.com/tousu/show/id/1341154","自由魔卡高利息要求见面协商")</f>
        <v>自由魔卡高利息要求见面协商</v>
      </c>
      <c r="C9957" s="2" t="s">
        <v>34</v>
      </c>
      <c r="D9957" s="2" t="s">
        <v>10</v>
      </c>
      <c r="E9957" s="2" t="str">
        <f>HYPERLINK("http://ts.21cn.com/tousu/show/id/1341154","http://ts.21cn.com/tousu/show/id/1341154")</f>
        <v>http://ts.21cn.com/tousu/show/id/1341154</v>
      </c>
      <c r="F9957" s="2" t="s">
        <v>11</v>
      </c>
      <c r="G9957" s="2" t="s">
        <v>24577</v>
      </c>
      <c r="H9957" s="2" t="s">
        <v>24578</v>
      </c>
    </row>
    <row r="9958" spans="1:8" ht="25.05" customHeight="1" x14ac:dyDescent="0.25">
      <c r="A9958" s="2" t="s">
        <v>8</v>
      </c>
      <c r="B9958" s="2" t="str">
        <f>HYPERLINK("http://ts.21cn.com/tousu/show/id/1341155","美的天猫旗舰店拒绝退差价相互踢皮球")</f>
        <v>美的天猫旗舰店拒绝退差价相互踢皮球</v>
      </c>
      <c r="C9958" s="2" t="s">
        <v>9</v>
      </c>
      <c r="D9958" s="2" t="s">
        <v>10</v>
      </c>
      <c r="E9958" s="2" t="str">
        <f>HYPERLINK("http://ts.21cn.com/tousu/show/id/1341155","http://ts.21cn.com/tousu/show/id/1341155")</f>
        <v>http://ts.21cn.com/tousu/show/id/1341155</v>
      </c>
      <c r="F9958" s="2" t="s">
        <v>11</v>
      </c>
      <c r="G9958" s="2" t="s">
        <v>24575</v>
      </c>
      <c r="H9958" s="2" t="s">
        <v>24576</v>
      </c>
    </row>
    <row r="9959" spans="1:8" ht="25.05" customHeight="1" x14ac:dyDescent="0.25">
      <c r="A9959" s="2" t="s">
        <v>8</v>
      </c>
      <c r="B9959" s="2" t="str">
        <f>HYPERLINK("http://ts.21cn.com/tousu/show/id/1341156","承诺答应却又反悔")</f>
        <v>承诺答应却又反悔</v>
      </c>
      <c r="C9959" s="2" t="s">
        <v>34</v>
      </c>
      <c r="D9959" s="2" t="s">
        <v>10</v>
      </c>
      <c r="E9959" s="2" t="str">
        <f>HYPERLINK("http://ts.21cn.com/tousu/show/id/1341156","http://ts.21cn.com/tousu/show/id/1341156")</f>
        <v>http://ts.21cn.com/tousu/show/id/1341156</v>
      </c>
      <c r="F9959" s="2" t="s">
        <v>11</v>
      </c>
      <c r="G9959" s="2" t="s">
        <v>24573</v>
      </c>
      <c r="H9959" s="2" t="s">
        <v>24574</v>
      </c>
    </row>
    <row r="9960" spans="1:8" ht="25.05" customHeight="1" x14ac:dyDescent="0.25">
      <c r="A9960" s="2" t="s">
        <v>8</v>
      </c>
      <c r="B9960" s="2" t="str">
        <f>HYPERLINK("http://ts.21cn.com/tousu/show/id/1341157","小当家暴力催收，电话骚扰，请电话与我本人联系")</f>
        <v>小当家暴力催收，电话骚扰，请电话与我本人联系</v>
      </c>
      <c r="C9960" s="2" t="s">
        <v>9</v>
      </c>
      <c r="D9960" s="2" t="s">
        <v>10</v>
      </c>
      <c r="E9960" s="2" t="str">
        <f>HYPERLINK("http://ts.21cn.com/tousu/show/id/1341157","http://ts.21cn.com/tousu/show/id/1341157")</f>
        <v>http://ts.21cn.com/tousu/show/id/1341157</v>
      </c>
      <c r="F9960" s="2" t="s">
        <v>11</v>
      </c>
      <c r="G9960" s="2" t="s">
        <v>24571</v>
      </c>
      <c r="H9960" s="2" t="s">
        <v>24572</v>
      </c>
    </row>
    <row r="9961" spans="1:8" ht="25.05" customHeight="1" x14ac:dyDescent="0.25">
      <c r="A9961" s="2" t="s">
        <v>8</v>
      </c>
      <c r="B9961" s="2" t="str">
        <f>HYPERLINK("http://ts.21cn.com/tousu/show/id/1341158","平安普惠贷款隐瞒隐藏并强制收取高额保险费管理费投诉事宜")</f>
        <v>平安普惠贷款隐瞒隐藏并强制收取高额保险费管理费投诉事宜</v>
      </c>
      <c r="C9961" s="2" t="s">
        <v>9</v>
      </c>
      <c r="D9961" s="2" t="s">
        <v>10</v>
      </c>
      <c r="E9961" s="2" t="str">
        <f>HYPERLINK("http://ts.21cn.com/tousu/show/id/1341158","http://ts.21cn.com/tousu/show/id/1341158")</f>
        <v>http://ts.21cn.com/tousu/show/id/1341158</v>
      </c>
      <c r="F9961" s="2" t="s">
        <v>11</v>
      </c>
      <c r="G9961" s="2" t="s">
        <v>24569</v>
      </c>
      <c r="H9961" s="2" t="s">
        <v>24570</v>
      </c>
    </row>
    <row r="9962" spans="1:8" ht="25.05" customHeight="1" x14ac:dyDescent="0.25">
      <c r="A9962" s="2" t="s">
        <v>8</v>
      </c>
      <c r="B9962" s="2" t="str">
        <f>HYPERLINK("http://ts.21cn.com/tousu/show/id/1341159","招联金融骚扰家人")</f>
        <v>招联金融骚扰家人</v>
      </c>
      <c r="C9962" s="2" t="s">
        <v>9</v>
      </c>
      <c r="D9962" s="2" t="s">
        <v>10</v>
      </c>
      <c r="E9962" s="2" t="str">
        <f>HYPERLINK("http://ts.21cn.com/tousu/show/id/1341159","http://ts.21cn.com/tousu/show/id/1341159")</f>
        <v>http://ts.21cn.com/tousu/show/id/1341159</v>
      </c>
      <c r="F9962" s="2" t="s">
        <v>11</v>
      </c>
      <c r="G9962" s="2" t="s">
        <v>24567</v>
      </c>
      <c r="H9962" s="2" t="s">
        <v>24568</v>
      </c>
    </row>
    <row r="9963" spans="1:8" ht="25.05" customHeight="1" x14ac:dyDescent="0.25">
      <c r="A9963" s="2" t="s">
        <v>8</v>
      </c>
      <c r="B9963" s="2" t="str">
        <f>HYPERLINK("http://ts.21cn.com/tousu/show/id/1341160","你我贷出尔反尔")</f>
        <v>你我贷出尔反尔</v>
      </c>
      <c r="C9963" s="2" t="s">
        <v>9</v>
      </c>
      <c r="D9963" s="2" t="s">
        <v>10</v>
      </c>
      <c r="E9963" s="2" t="str">
        <f>HYPERLINK("http://ts.21cn.com/tousu/show/id/1341160","http://ts.21cn.com/tousu/show/id/1341160")</f>
        <v>http://ts.21cn.com/tousu/show/id/1341160</v>
      </c>
      <c r="F9963" s="2" t="s">
        <v>11</v>
      </c>
      <c r="G9963" s="2" t="s">
        <v>24565</v>
      </c>
      <c r="H9963" s="2" t="s">
        <v>24566</v>
      </c>
    </row>
    <row r="9964" spans="1:8" ht="25.05" customHeight="1" x14ac:dyDescent="0.25">
      <c r="A9964" s="2" t="s">
        <v>8</v>
      </c>
      <c r="B9964" s="2" t="str">
        <f>HYPERLINK("http://ts.21cn.com/tousu/show/id/1341161","滴滴打车无故停止会员正常使用权益")</f>
        <v>滴滴打车无故停止会员正常使用权益</v>
      </c>
      <c r="C9964" s="2" t="s">
        <v>9</v>
      </c>
      <c r="D9964" s="2" t="s">
        <v>10</v>
      </c>
      <c r="E9964" s="2" t="str">
        <f>HYPERLINK("http://ts.21cn.com/tousu/show/id/1341161","http://ts.21cn.com/tousu/show/id/1341161")</f>
        <v>http://ts.21cn.com/tousu/show/id/1341161</v>
      </c>
      <c r="F9964" s="2" t="s">
        <v>11</v>
      </c>
      <c r="G9964" s="2" t="s">
        <v>24563</v>
      </c>
      <c r="H9964" s="2" t="s">
        <v>24564</v>
      </c>
    </row>
    <row r="9965" spans="1:8" ht="25.05" customHeight="1" x14ac:dyDescent="0.25">
      <c r="A9965" s="2" t="s">
        <v>8</v>
      </c>
      <c r="B9965" s="2" t="str">
        <f>HYPERLINK("http://ts.21cn.com/tousu/show/id/1341163","小赢轰炸式骚扰通讯录亲戚朋友")</f>
        <v>小赢轰炸式骚扰通讯录亲戚朋友</v>
      </c>
      <c r="C9965" s="2" t="s">
        <v>9</v>
      </c>
      <c r="D9965" s="2" t="s">
        <v>10</v>
      </c>
      <c r="E9965" s="2" t="str">
        <f>HYPERLINK("http://ts.21cn.com/tousu/show/id/1341163","http://ts.21cn.com/tousu/show/id/1341163")</f>
        <v>http://ts.21cn.com/tousu/show/id/1341163</v>
      </c>
      <c r="F9965" s="2" t="s">
        <v>11</v>
      </c>
      <c r="G9965" s="2" t="s">
        <v>24561</v>
      </c>
      <c r="H9965" s="2" t="s">
        <v>24562</v>
      </c>
    </row>
    <row r="9966" spans="1:8" ht="25.05" customHeight="1" x14ac:dyDescent="0.25">
      <c r="A9966" s="2" t="s">
        <v>8</v>
      </c>
      <c r="B9966" s="2" t="str">
        <f>HYPERLINK("http://ts.21cn.com/tousu/show/id/1341164","招联金融无法提现")</f>
        <v>招联金融无法提现</v>
      </c>
      <c r="C9966" s="2" t="s">
        <v>9</v>
      </c>
      <c r="D9966" s="2" t="s">
        <v>10</v>
      </c>
      <c r="E9966" s="2" t="str">
        <f>HYPERLINK("http://ts.21cn.com/tousu/show/id/1341164","http://ts.21cn.com/tousu/show/id/1341164")</f>
        <v>http://ts.21cn.com/tousu/show/id/1341164</v>
      </c>
      <c r="F9966" s="2" t="s">
        <v>11</v>
      </c>
      <c r="G9966" s="2" t="s">
        <v>24559</v>
      </c>
      <c r="H9966" s="2" t="s">
        <v>24560</v>
      </c>
    </row>
    <row r="9967" spans="1:8" ht="25.05" customHeight="1" x14ac:dyDescent="0.25">
      <c r="A9967" s="2" t="s">
        <v>8</v>
      </c>
      <c r="B9967" s="2" t="str">
        <f>HYPERLINK("http://ts.21cn.com/tousu/show/id/1341165","工作给我弄没了")</f>
        <v>工作给我弄没了</v>
      </c>
      <c r="C9967" s="2" t="s">
        <v>9</v>
      </c>
      <c r="D9967" s="2" t="s">
        <v>10</v>
      </c>
      <c r="E9967" s="2" t="str">
        <f>HYPERLINK("http://ts.21cn.com/tousu/show/id/1341165","http://ts.21cn.com/tousu/show/id/1341165")</f>
        <v>http://ts.21cn.com/tousu/show/id/1341165</v>
      </c>
      <c r="F9967" s="2" t="s">
        <v>11</v>
      </c>
      <c r="G9967" s="2" t="s">
        <v>24557</v>
      </c>
      <c r="H9967" s="2" t="s">
        <v>24558</v>
      </c>
    </row>
    <row r="9968" spans="1:8" ht="25.05" customHeight="1" x14ac:dyDescent="0.25">
      <c r="A9968" s="2" t="s">
        <v>8</v>
      </c>
      <c r="B9968" s="2" t="str">
        <f>HYPERLINK("http://ts.21cn.com/tousu/show/id/1341166","聚福钱包恶心扣款")</f>
        <v>聚福钱包恶心扣款</v>
      </c>
      <c r="C9968" s="2" t="s">
        <v>9</v>
      </c>
      <c r="D9968" s="2" t="s">
        <v>10</v>
      </c>
      <c r="E9968" s="2" t="str">
        <f>HYPERLINK("http://ts.21cn.com/tousu/show/id/1341166","http://ts.21cn.com/tousu/show/id/1341166")</f>
        <v>http://ts.21cn.com/tousu/show/id/1341166</v>
      </c>
      <c r="F9968" s="2" t="s">
        <v>11</v>
      </c>
      <c r="G9968" s="2" t="s">
        <v>24555</v>
      </c>
      <c r="H9968" s="2" t="s">
        <v>24556</v>
      </c>
    </row>
    <row r="9969" spans="1:8" ht="25.05" customHeight="1" x14ac:dyDescent="0.25">
      <c r="A9969" s="2" t="s">
        <v>8</v>
      </c>
      <c r="B9969" s="2" t="str">
        <f>HYPERLINK("http://ts.21cn.com/tousu/show/id/1341167","盗取信息")</f>
        <v>盗取信息</v>
      </c>
      <c r="C9969" s="2" t="s">
        <v>9</v>
      </c>
      <c r="D9969" s="2" t="s">
        <v>10</v>
      </c>
      <c r="E9969" s="2" t="str">
        <f>HYPERLINK("http://ts.21cn.com/tousu/show/id/1341167","http://ts.21cn.com/tousu/show/id/1341167")</f>
        <v>http://ts.21cn.com/tousu/show/id/1341167</v>
      </c>
      <c r="F9969" s="2" t="s">
        <v>11</v>
      </c>
      <c r="G9969" s="2" t="s">
        <v>24553</v>
      </c>
      <c r="H9969" s="2" t="s">
        <v>24554</v>
      </c>
    </row>
    <row r="9970" spans="1:8" ht="25.05" customHeight="1" x14ac:dyDescent="0.25">
      <c r="A9970" s="2" t="s">
        <v>8</v>
      </c>
      <c r="B9970" s="2" t="str">
        <f>HYPERLINK("http://ts.21cn.com/tousu/show/id/1341168","闪电借款恶意性骚扰")</f>
        <v>闪电借款恶意性骚扰</v>
      </c>
      <c r="C9970" s="2" t="s">
        <v>9</v>
      </c>
      <c r="D9970" s="2" t="s">
        <v>10</v>
      </c>
      <c r="E9970" s="2" t="str">
        <f>HYPERLINK("http://ts.21cn.com/tousu/show/id/1341168","http://ts.21cn.com/tousu/show/id/1341168")</f>
        <v>http://ts.21cn.com/tousu/show/id/1341168</v>
      </c>
      <c r="F9970" s="2" t="s">
        <v>11</v>
      </c>
      <c r="G9970" s="2" t="s">
        <v>24551</v>
      </c>
      <c r="H9970" s="2" t="s">
        <v>24552</v>
      </c>
    </row>
    <row r="9971" spans="1:8" ht="25.05" customHeight="1" x14ac:dyDescent="0.25">
      <c r="A9971" s="2" t="s">
        <v>8</v>
      </c>
      <c r="B9971" s="2" t="str">
        <f>HYPERLINK("http://ts.21cn.com/tousu/show/id/1341169","投诉深圳普惠快信费率不符合国家规定，催收不愿协商处理欠款并扬言拨打本人通讯录")</f>
        <v>投诉深圳普惠快信费率不符合国家规定，催收不愿协商处理欠款并扬言拨打本人通讯录</v>
      </c>
      <c r="C9971" s="2" t="s">
        <v>9</v>
      </c>
      <c r="D9971" s="2" t="s">
        <v>10</v>
      </c>
      <c r="E9971" s="2" t="str">
        <f>HYPERLINK("http://ts.21cn.com/tousu/show/id/1341169","http://ts.21cn.com/tousu/show/id/1341169")</f>
        <v>http://ts.21cn.com/tousu/show/id/1341169</v>
      </c>
      <c r="F9971" s="2" t="s">
        <v>11</v>
      </c>
      <c r="G9971" s="2" t="s">
        <v>24549</v>
      </c>
      <c r="H9971" s="2" t="s">
        <v>24550</v>
      </c>
    </row>
    <row r="9972" spans="1:8" ht="25.05" customHeight="1" x14ac:dyDescent="0.25">
      <c r="A9972" s="2" t="s">
        <v>8</v>
      </c>
      <c r="B9972" s="2" t="str">
        <f>HYPERLINK("http://ts.21cn.com/tousu/show/id/1341170","拍拍贷系统没法扣款故意让客户逾期收逾期费")</f>
        <v>拍拍贷系统没法扣款故意让客户逾期收逾期费</v>
      </c>
      <c r="C9972" s="2" t="s">
        <v>34</v>
      </c>
      <c r="D9972" s="2" t="s">
        <v>10</v>
      </c>
      <c r="E9972" s="2" t="str">
        <f>HYPERLINK("http://ts.21cn.com/tousu/show/id/1341170","http://ts.21cn.com/tousu/show/id/1341170")</f>
        <v>http://ts.21cn.com/tousu/show/id/1341170</v>
      </c>
      <c r="F9972" s="2" t="s">
        <v>11</v>
      </c>
      <c r="G9972" s="2" t="s">
        <v>24547</v>
      </c>
      <c r="H9972" s="2" t="s">
        <v>24548</v>
      </c>
    </row>
    <row r="9973" spans="1:8" ht="25.05" customHeight="1" x14ac:dyDescent="0.25">
      <c r="A9973" s="2" t="s">
        <v>8</v>
      </c>
      <c r="B9973" s="2" t="str">
        <f>HYPERLINK("http://ts.21cn.com/tousu/show/id/1341171","交通银行威胁，控吓")</f>
        <v>交通银行威胁，控吓</v>
      </c>
      <c r="C9973" s="2" t="s">
        <v>9</v>
      </c>
      <c r="D9973" s="2" t="s">
        <v>10</v>
      </c>
      <c r="E9973" s="2" t="str">
        <f>HYPERLINK("http://ts.21cn.com/tousu/show/id/1341171","http://ts.21cn.com/tousu/show/id/1341171")</f>
        <v>http://ts.21cn.com/tousu/show/id/1341171</v>
      </c>
      <c r="F9973" s="2" t="s">
        <v>11</v>
      </c>
      <c r="G9973" s="2" t="s">
        <v>24545</v>
      </c>
      <c r="H9973" s="2" t="s">
        <v>24546</v>
      </c>
    </row>
    <row r="9974" spans="1:8" ht="25.05" customHeight="1" x14ac:dyDescent="0.25">
      <c r="A9974" s="2" t="s">
        <v>8</v>
      </c>
      <c r="B9974" s="2" t="str">
        <f>HYPERLINK("http://ts.21cn.com/tousu/show/id/1341172","此平台存在骂人，威胁恐吓")</f>
        <v>此平台存在骂人，威胁恐吓</v>
      </c>
      <c r="C9974" s="2" t="s">
        <v>9</v>
      </c>
      <c r="D9974" s="2" t="s">
        <v>10</v>
      </c>
      <c r="E9974" s="2" t="str">
        <f>HYPERLINK("http://ts.21cn.com/tousu/show/id/1341172","http://ts.21cn.com/tousu/show/id/1341172")</f>
        <v>http://ts.21cn.com/tousu/show/id/1341172</v>
      </c>
      <c r="F9974" s="2" t="s">
        <v>11</v>
      </c>
      <c r="G9974" s="2" t="s">
        <v>24542</v>
      </c>
      <c r="H9974" s="2" t="s">
        <v>24543</v>
      </c>
    </row>
    <row r="9975" spans="1:8" ht="25.05" customHeight="1" x14ac:dyDescent="0.25">
      <c r="A9975" s="2" t="s">
        <v>8</v>
      </c>
      <c r="B9975" s="2" t="str">
        <f>HYPERLINK("http://ts.21cn.com/tousu/show/id/1341173","辱骂威胁")</f>
        <v>辱骂威胁</v>
      </c>
      <c r="C9975" s="2" t="s">
        <v>9</v>
      </c>
      <c r="D9975" s="2" t="s">
        <v>10</v>
      </c>
      <c r="E9975" s="2" t="str">
        <f>HYPERLINK("http://ts.21cn.com/tousu/show/id/1341173","http://ts.21cn.com/tousu/show/id/1341173")</f>
        <v>http://ts.21cn.com/tousu/show/id/1341173</v>
      </c>
      <c r="F9975" s="2" t="s">
        <v>11</v>
      </c>
      <c r="G9975" s="2" t="s">
        <v>24542</v>
      </c>
      <c r="H9975" s="2" t="s">
        <v>24544</v>
      </c>
    </row>
    <row r="9976" spans="1:8" ht="25.05" customHeight="1" x14ac:dyDescent="0.25">
      <c r="A9976" s="2" t="s">
        <v>8</v>
      </c>
      <c r="B9976" s="2" t="str">
        <f>HYPERLINK("http://ts.21cn.com/tousu/show/id/1341176","拍拍贷高利贷不与协商")</f>
        <v>拍拍贷高利贷不与协商</v>
      </c>
      <c r="C9976" s="2" t="s">
        <v>9</v>
      </c>
      <c r="D9976" s="2" t="s">
        <v>10</v>
      </c>
      <c r="E9976" s="2" t="str">
        <f>HYPERLINK("http://ts.21cn.com/tousu/show/id/1341176","http://ts.21cn.com/tousu/show/id/1341176")</f>
        <v>http://ts.21cn.com/tousu/show/id/1341176</v>
      </c>
      <c r="F9976" s="2" t="s">
        <v>11</v>
      </c>
      <c r="G9976" s="2" t="s">
        <v>24540</v>
      </c>
      <c r="H9976" s="2" t="s">
        <v>24541</v>
      </c>
    </row>
    <row r="9977" spans="1:8" ht="25.05" customHeight="1" x14ac:dyDescent="0.25">
      <c r="A9977" s="2" t="s">
        <v>8</v>
      </c>
      <c r="B9977" s="2" t="str">
        <f>HYPERLINK("http://ts.21cn.com/tousu/show/id/1341177","闪银哼哼要求开延期")</f>
        <v>闪银哼哼要求开延期</v>
      </c>
      <c r="C9977" s="2" t="s">
        <v>34</v>
      </c>
      <c r="D9977" s="2" t="s">
        <v>10</v>
      </c>
      <c r="E9977" s="2" t="str">
        <f>HYPERLINK("http://ts.21cn.com/tousu/show/id/1341177","http://ts.21cn.com/tousu/show/id/1341177")</f>
        <v>http://ts.21cn.com/tousu/show/id/1341177</v>
      </c>
      <c r="F9977" s="2" t="s">
        <v>11</v>
      </c>
      <c r="G9977" s="2" t="s">
        <v>24538</v>
      </c>
      <c r="H9977" s="2" t="s">
        <v>24539</v>
      </c>
    </row>
    <row r="9978" spans="1:8" ht="25.05" customHeight="1" x14ac:dyDescent="0.25">
      <c r="A9978" s="2" t="s">
        <v>8</v>
      </c>
      <c r="B9978" s="2" t="str">
        <f>HYPERLINK("http://ts.21cn.com/tousu/show/id/1341179","抖音短视频侵犯公民隐私")</f>
        <v>抖音短视频侵犯公民隐私</v>
      </c>
      <c r="C9978" s="2" t="s">
        <v>9</v>
      </c>
      <c r="D9978" s="2" t="s">
        <v>10</v>
      </c>
      <c r="E9978" s="2" t="str">
        <f>HYPERLINK("http://ts.21cn.com/tousu/show/id/1341179","http://ts.21cn.com/tousu/show/id/1341179")</f>
        <v>http://ts.21cn.com/tousu/show/id/1341179</v>
      </c>
      <c r="F9978" s="2" t="s">
        <v>11</v>
      </c>
      <c r="G9978" s="2" t="s">
        <v>24536</v>
      </c>
      <c r="H9978" s="2" t="s">
        <v>24537</v>
      </c>
    </row>
    <row r="9979" spans="1:8" ht="25.05" customHeight="1" x14ac:dyDescent="0.25">
      <c r="A9979" s="2" t="s">
        <v>8</v>
      </c>
      <c r="B9979" s="2" t="str">
        <f>HYPERLINK("http://ts.21cn.com/tousu/show/id/1341178","你我贷高额管理费服务费")</f>
        <v>你我贷高额管理费服务费</v>
      </c>
      <c r="C9979" s="2" t="s">
        <v>9</v>
      </c>
      <c r="D9979" s="2" t="s">
        <v>10</v>
      </c>
      <c r="E9979" s="2" t="str">
        <f>HYPERLINK("http://ts.21cn.com/tousu/show/id/1341178","http://ts.21cn.com/tousu/show/id/1341178")</f>
        <v>http://ts.21cn.com/tousu/show/id/1341178</v>
      </c>
      <c r="F9979" s="2" t="s">
        <v>11</v>
      </c>
      <c r="G9979" s="2" t="s">
        <v>24534</v>
      </c>
      <c r="H9979" s="2" t="s">
        <v>24535</v>
      </c>
    </row>
    <row r="9980" spans="1:8" ht="25.05" customHeight="1" x14ac:dyDescent="0.25">
      <c r="A9980" s="2" t="s">
        <v>8</v>
      </c>
      <c r="B9980" s="2" t="str">
        <f>HYPERLINK("http://ts.21cn.com/tousu/show/id/1341180","通联支付无故扣款！")</f>
        <v>通联支付无故扣款！</v>
      </c>
      <c r="C9980" s="2" t="s">
        <v>9</v>
      </c>
      <c r="D9980" s="2" t="s">
        <v>10</v>
      </c>
      <c r="E9980" s="2" t="str">
        <f>HYPERLINK("http://ts.21cn.com/tousu/show/id/1341180","http://ts.21cn.com/tousu/show/id/1341180")</f>
        <v>http://ts.21cn.com/tousu/show/id/1341180</v>
      </c>
      <c r="F9980" s="2" t="s">
        <v>11</v>
      </c>
      <c r="G9980" s="2" t="s">
        <v>24532</v>
      </c>
      <c r="H9980" s="2" t="s">
        <v>24533</v>
      </c>
    </row>
    <row r="9981" spans="1:8" ht="25.05" customHeight="1" x14ac:dyDescent="0.25">
      <c r="A9981" s="2" t="s">
        <v>8</v>
      </c>
      <c r="B9981" s="2" t="str">
        <f>HYPERLINK("http://ts.21cn.com/tousu/show/id/1341182","酒店在本人未到店情况下擅自办理了入住，并将预留房间给了别人，并且商议时态度恶劣")</f>
        <v>酒店在本人未到店情况下擅自办理了入住，并将预留房间给了别人，并且商议时态度恶劣</v>
      </c>
      <c r="C9981" s="2" t="s">
        <v>9</v>
      </c>
      <c r="D9981" s="2" t="s">
        <v>10</v>
      </c>
      <c r="E9981" s="2" t="str">
        <f>HYPERLINK("http://ts.21cn.com/tousu/show/id/1341182","http://ts.21cn.com/tousu/show/id/1341182")</f>
        <v>http://ts.21cn.com/tousu/show/id/1341182</v>
      </c>
      <c r="F9981" s="2" t="s">
        <v>11</v>
      </c>
      <c r="G9981" s="2" t="s">
        <v>24530</v>
      </c>
      <c r="H9981" s="2" t="s">
        <v>24531</v>
      </c>
    </row>
    <row r="9982" spans="1:8" ht="25.05" customHeight="1" x14ac:dyDescent="0.25">
      <c r="A9982" s="2" t="s">
        <v>8</v>
      </c>
      <c r="B9982" s="2" t="str">
        <f>HYPERLINK("http://ts.21cn.com/tousu/show/id/1341183","平安普惠贷款正常还款情况下电话骚扰朋友家人,以及恶意散布不良信息")</f>
        <v>平安普惠贷款正常还款情况下电话骚扰朋友家人,以及恶意散布不良信息</v>
      </c>
      <c r="C9982" s="2" t="s">
        <v>9</v>
      </c>
      <c r="D9982" s="2" t="s">
        <v>10</v>
      </c>
      <c r="E9982" s="2" t="str">
        <f>HYPERLINK("http://ts.21cn.com/tousu/show/id/1341183","http://ts.21cn.com/tousu/show/id/1341183")</f>
        <v>http://ts.21cn.com/tousu/show/id/1341183</v>
      </c>
      <c r="F9982" s="2" t="s">
        <v>11</v>
      </c>
      <c r="G9982" s="2" t="s">
        <v>24528</v>
      </c>
      <c r="H9982" s="2" t="s">
        <v>24529</v>
      </c>
    </row>
    <row r="9983" spans="1:8" ht="25.05" customHeight="1" x14ac:dyDescent="0.25">
      <c r="A9983" s="2" t="s">
        <v>8</v>
      </c>
      <c r="B9983" s="2" t="str">
        <f>HYPERLINK("http://ts.21cn.com/tousu/show/id/1341184","易宝支付集体投诉")</f>
        <v>易宝支付集体投诉</v>
      </c>
      <c r="C9983" s="2" t="s">
        <v>9</v>
      </c>
      <c r="D9983" s="2" t="s">
        <v>10</v>
      </c>
      <c r="E9983" s="2" t="str">
        <f>HYPERLINK("http://ts.21cn.com/tousu/show/id/1341184","http://ts.21cn.com/tousu/show/id/1341184")</f>
        <v>http://ts.21cn.com/tousu/show/id/1341184</v>
      </c>
      <c r="F9983" s="2" t="s">
        <v>11</v>
      </c>
      <c r="G9983" s="2" t="s">
        <v>24526</v>
      </c>
      <c r="H9983" s="2" t="s">
        <v>24527</v>
      </c>
    </row>
    <row r="9984" spans="1:8" ht="25.05" customHeight="1" x14ac:dyDescent="0.25">
      <c r="A9984" s="2" t="s">
        <v>8</v>
      </c>
      <c r="B9984" s="2" t="str">
        <f>HYPERLINK("http://ts.21cn.com/tousu/show/id/1341185","钱站高利贷阴阳合同")</f>
        <v>钱站高利贷阴阳合同</v>
      </c>
      <c r="C9984" s="2" t="s">
        <v>9</v>
      </c>
      <c r="D9984" s="2" t="s">
        <v>10</v>
      </c>
      <c r="E9984" s="2" t="str">
        <f>HYPERLINK("http://ts.21cn.com/tousu/show/id/1341185","http://ts.21cn.com/tousu/show/id/1341185")</f>
        <v>http://ts.21cn.com/tousu/show/id/1341185</v>
      </c>
      <c r="F9984" s="2" t="s">
        <v>11</v>
      </c>
      <c r="G9984" s="2" t="s">
        <v>24524</v>
      </c>
      <c r="H9984" s="2" t="s">
        <v>24525</v>
      </c>
    </row>
    <row r="9985" spans="1:8" ht="25.05" customHeight="1" x14ac:dyDescent="0.25">
      <c r="A9985" s="2" t="s">
        <v>8</v>
      </c>
      <c r="B9985" s="2" t="str">
        <f>HYPERLINK("http://ts.21cn.com/tousu/show/id/1341187","人人贷平台实际到帐金额与合同金额不一样，存在欺诈行为")</f>
        <v>人人贷平台实际到帐金额与合同金额不一样，存在欺诈行为</v>
      </c>
      <c r="C9985" s="2" t="s">
        <v>9</v>
      </c>
      <c r="D9985" s="2" t="s">
        <v>10</v>
      </c>
      <c r="E9985" s="2" t="str">
        <f>HYPERLINK("http://ts.21cn.com/tousu/show/id/1341187","http://ts.21cn.com/tousu/show/id/1341187")</f>
        <v>http://ts.21cn.com/tousu/show/id/1341187</v>
      </c>
      <c r="F9985" s="2" t="s">
        <v>11</v>
      </c>
      <c r="G9985" s="2" t="s">
        <v>24522</v>
      </c>
      <c r="H9985" s="2" t="s">
        <v>24523</v>
      </c>
    </row>
    <row r="9986" spans="1:8" ht="25.05" customHeight="1" x14ac:dyDescent="0.25">
      <c r="A9986" s="2" t="s">
        <v>8</v>
      </c>
      <c r="B9986" s="2" t="str">
        <f>HYPERLINK("http://ts.21cn.com/tousu/show/id/1341186","马上消费金融，暴力催收，群发短信，恐吓催收")</f>
        <v>马上消费金融，暴力催收，群发短信，恐吓催收</v>
      </c>
      <c r="C9986" s="2" t="s">
        <v>9</v>
      </c>
      <c r="D9986" s="2" t="s">
        <v>10</v>
      </c>
      <c r="E9986" s="2" t="str">
        <f>HYPERLINK("http://ts.21cn.com/tousu/show/id/1341186","http://ts.21cn.com/tousu/show/id/1341186")</f>
        <v>http://ts.21cn.com/tousu/show/id/1341186</v>
      </c>
      <c r="F9986" s="2" t="s">
        <v>11</v>
      </c>
      <c r="G9986" s="2" t="s">
        <v>24520</v>
      </c>
      <c r="H9986" s="2" t="s">
        <v>24521</v>
      </c>
    </row>
    <row r="9987" spans="1:8" ht="25.05" customHeight="1" x14ac:dyDescent="0.25">
      <c r="A9987" s="2" t="s">
        <v>8</v>
      </c>
      <c r="B9987" s="2" t="str">
        <f>HYPERLINK("http://ts.21cn.com/tousu/show/id/1341188","广东移动未经用户同意擅自开通业务")</f>
        <v>广东移动未经用户同意擅自开通业务</v>
      </c>
      <c r="C9987" s="2" t="s">
        <v>9</v>
      </c>
      <c r="D9987" s="2" t="s">
        <v>10</v>
      </c>
      <c r="E9987" s="2" t="str">
        <f>HYPERLINK("http://ts.21cn.com/tousu/show/id/1341188","http://ts.21cn.com/tousu/show/id/1341188")</f>
        <v>http://ts.21cn.com/tousu/show/id/1341188</v>
      </c>
      <c r="F9987" s="2" t="s">
        <v>11</v>
      </c>
      <c r="G9987" s="2" t="s">
        <v>24518</v>
      </c>
      <c r="H9987" s="2" t="s">
        <v>24519</v>
      </c>
    </row>
    <row r="9988" spans="1:8" ht="25.05" customHeight="1" x14ac:dyDescent="0.25">
      <c r="A9988" s="2" t="s">
        <v>8</v>
      </c>
      <c r="B9988" s="2" t="str">
        <f>HYPERLINK("http://ts.21cn.com/tousu/show/id/1341189","升学教育机构不退款")</f>
        <v>升学教育机构不退款</v>
      </c>
      <c r="C9988" s="2" t="s">
        <v>9</v>
      </c>
      <c r="D9988" s="2" t="s">
        <v>10</v>
      </c>
      <c r="E9988" s="2" t="str">
        <f>HYPERLINK("http://ts.21cn.com/tousu/show/id/1341189","http://ts.21cn.com/tousu/show/id/1341189")</f>
        <v>http://ts.21cn.com/tousu/show/id/1341189</v>
      </c>
      <c r="F9988" s="2" t="s">
        <v>11</v>
      </c>
      <c r="G9988" s="2" t="s">
        <v>24516</v>
      </c>
      <c r="H9988" s="2" t="s">
        <v>24517</v>
      </c>
    </row>
    <row r="9989" spans="1:8" ht="25.05" customHeight="1" x14ac:dyDescent="0.25">
      <c r="A9989" s="2" t="s">
        <v>8</v>
      </c>
      <c r="B9989" s="2" t="str">
        <f>HYPERLINK("http://ts.21cn.com/tousu/show/id/1341190","你我贷爆利催收")</f>
        <v>你我贷爆利催收</v>
      </c>
      <c r="C9989" s="2" t="s">
        <v>9</v>
      </c>
      <c r="D9989" s="2" t="s">
        <v>10</v>
      </c>
      <c r="E9989" s="2" t="str">
        <f>HYPERLINK("http://ts.21cn.com/tousu/show/id/1341190","http://ts.21cn.com/tousu/show/id/1341190")</f>
        <v>http://ts.21cn.com/tousu/show/id/1341190</v>
      </c>
      <c r="F9989" s="2" t="s">
        <v>11</v>
      </c>
      <c r="G9989" s="2" t="s">
        <v>24514</v>
      </c>
      <c r="H9989" s="2" t="s">
        <v>24515</v>
      </c>
    </row>
    <row r="9990" spans="1:8" ht="25.05" customHeight="1" x14ac:dyDescent="0.25">
      <c r="A9990" s="2" t="s">
        <v>8</v>
      </c>
      <c r="B9990" s="2" t="str">
        <f>HYPERLINK("http://ts.21cn.com/tousu/show/id/1341191","快闪卡贷高利贷")</f>
        <v>快闪卡贷高利贷</v>
      </c>
      <c r="C9990" s="2" t="s">
        <v>9</v>
      </c>
      <c r="D9990" s="2" t="s">
        <v>10</v>
      </c>
      <c r="E9990" s="2" t="str">
        <f>HYPERLINK("http://ts.21cn.com/tousu/show/id/1341191","http://ts.21cn.com/tousu/show/id/1341191")</f>
        <v>http://ts.21cn.com/tousu/show/id/1341191</v>
      </c>
      <c r="F9990" s="2" t="s">
        <v>11</v>
      </c>
      <c r="G9990" s="2" t="s">
        <v>24512</v>
      </c>
      <c r="H9990" s="2" t="s">
        <v>24513</v>
      </c>
    </row>
    <row r="9991" spans="1:8" ht="25.05" customHeight="1" x14ac:dyDescent="0.25">
      <c r="A9991" s="2" t="s">
        <v>8</v>
      </c>
      <c r="B9991" s="2" t="str">
        <f>HYPERLINK("http://ts.21cn.com/tousu/show/id/1341192","淘宝店拒绝提供售后服务")</f>
        <v>淘宝店拒绝提供售后服务</v>
      </c>
      <c r="C9991" s="2" t="s">
        <v>9</v>
      </c>
      <c r="D9991" s="2" t="s">
        <v>10</v>
      </c>
      <c r="E9991" s="2" t="str">
        <f>HYPERLINK("http://ts.21cn.com/tousu/show/id/1341192","http://ts.21cn.com/tousu/show/id/1341192")</f>
        <v>http://ts.21cn.com/tousu/show/id/1341192</v>
      </c>
      <c r="F9991" s="2" t="s">
        <v>11</v>
      </c>
      <c r="G9991" s="2" t="s">
        <v>24510</v>
      </c>
      <c r="H9991" s="2" t="s">
        <v>24511</v>
      </c>
    </row>
    <row r="9992" spans="1:8" ht="25.05" customHeight="1" x14ac:dyDescent="0.25">
      <c r="A9992" s="2" t="s">
        <v>8</v>
      </c>
      <c r="B9992" s="2" t="str">
        <f>HYPERLINK("http://ts.21cn.com/tousu/show/id/1341193","京东支付为绑卡的情况下扣款")</f>
        <v>京东支付为绑卡的情况下扣款</v>
      </c>
      <c r="C9992" s="2" t="s">
        <v>34</v>
      </c>
      <c r="D9992" s="2" t="s">
        <v>10</v>
      </c>
      <c r="E9992" s="2" t="str">
        <f>HYPERLINK("http://ts.21cn.com/tousu/show/id/1341193","http://ts.21cn.com/tousu/show/id/1341193")</f>
        <v>http://ts.21cn.com/tousu/show/id/1341193</v>
      </c>
      <c r="F9992" s="2" t="s">
        <v>11</v>
      </c>
      <c r="G9992" s="2" t="s">
        <v>24508</v>
      </c>
      <c r="H9992" s="2" t="s">
        <v>24509</v>
      </c>
    </row>
    <row r="9993" spans="1:8" ht="25.05" customHeight="1" x14ac:dyDescent="0.25">
      <c r="A9993" s="2" t="s">
        <v>8</v>
      </c>
      <c r="B9993" s="2" t="str">
        <f>HYPERLINK("http://ts.21cn.com/tousu/show/id/1341195","造艺科技恶意扣款")</f>
        <v>造艺科技恶意扣款</v>
      </c>
      <c r="C9993" s="2" t="s">
        <v>9</v>
      </c>
      <c r="D9993" s="2" t="s">
        <v>10</v>
      </c>
      <c r="E9993" s="2" t="str">
        <f>HYPERLINK("http://ts.21cn.com/tousu/show/id/1341195","http://ts.21cn.com/tousu/show/id/1341195")</f>
        <v>http://ts.21cn.com/tousu/show/id/1341195</v>
      </c>
      <c r="F9993" s="2" t="s">
        <v>11</v>
      </c>
      <c r="G9993" s="2" t="s">
        <v>24506</v>
      </c>
      <c r="H9993" s="2" t="s">
        <v>24507</v>
      </c>
    </row>
    <row r="9994" spans="1:8" ht="25.05" customHeight="1" x14ac:dyDescent="0.25">
      <c r="A9994" s="2" t="s">
        <v>8</v>
      </c>
      <c r="B9994" s="2" t="str">
        <f>HYPERLINK("http://ts.21cn.com/tousu/show/id/1341196","分期通恶意收取会员费用")</f>
        <v>分期通恶意收取会员费用</v>
      </c>
      <c r="C9994" s="2" t="s">
        <v>9</v>
      </c>
      <c r="D9994" s="2" t="s">
        <v>10</v>
      </c>
      <c r="E9994" s="2" t="str">
        <f>HYPERLINK("http://ts.21cn.com/tousu/show/id/1341196","http://ts.21cn.com/tousu/show/id/1341196")</f>
        <v>http://ts.21cn.com/tousu/show/id/1341196</v>
      </c>
      <c r="F9994" s="2" t="s">
        <v>11</v>
      </c>
      <c r="G9994" s="2" t="s">
        <v>24504</v>
      </c>
      <c r="H9994" s="2" t="s">
        <v>24505</v>
      </c>
    </row>
    <row r="9995" spans="1:8" ht="25.05" customHeight="1" x14ac:dyDescent="0.25">
      <c r="A9995" s="2" t="s">
        <v>8</v>
      </c>
      <c r="B9995" s="2" t="str">
        <f>HYPERLINK("http://ts.21cn.com/tousu/show/id/1341197","百忧分期砍头息骚扰电话")</f>
        <v>百忧分期砍头息骚扰电话</v>
      </c>
      <c r="C9995" s="2" t="s">
        <v>9</v>
      </c>
      <c r="D9995" s="2" t="s">
        <v>10</v>
      </c>
      <c r="E9995" s="2" t="str">
        <f>HYPERLINK("http://ts.21cn.com/tousu/show/id/1341197","http://ts.21cn.com/tousu/show/id/1341197")</f>
        <v>http://ts.21cn.com/tousu/show/id/1341197</v>
      </c>
      <c r="F9995" s="2" t="s">
        <v>11</v>
      </c>
      <c r="G9995" s="2" t="s">
        <v>24502</v>
      </c>
      <c r="H9995" s="2" t="s">
        <v>24503</v>
      </c>
    </row>
    <row r="9996" spans="1:8" ht="25.05" customHeight="1" x14ac:dyDescent="0.25">
      <c r="A9996" s="2" t="s">
        <v>8</v>
      </c>
      <c r="B9996" s="2" t="str">
        <f>HYPERLINK("http://ts.21cn.com/tousu/show/id/1341198","无缘无故被云南国际信托有限公司扣款")</f>
        <v>无缘无故被云南国际信托有限公司扣款</v>
      </c>
      <c r="C9996" s="2" t="s">
        <v>9</v>
      </c>
      <c r="D9996" s="2" t="s">
        <v>10</v>
      </c>
      <c r="E9996" s="2" t="str">
        <f>HYPERLINK("http://ts.21cn.com/tousu/show/id/1341198","http://ts.21cn.com/tousu/show/id/1341198")</f>
        <v>http://ts.21cn.com/tousu/show/id/1341198</v>
      </c>
      <c r="F9996" s="2" t="s">
        <v>11</v>
      </c>
      <c r="G9996" s="2" t="s">
        <v>24500</v>
      </c>
      <c r="H9996" s="2" t="s">
        <v>24501</v>
      </c>
    </row>
    <row r="9997" spans="1:8" ht="25.05" customHeight="1" x14ac:dyDescent="0.25">
      <c r="A9997" s="2" t="s">
        <v>8</v>
      </c>
      <c r="B9997" s="2" t="str">
        <f>HYPERLINK("http://ts.21cn.com/tousu/show/id/1339278","京东金融（京东金条、白条）违法暴力催收")</f>
        <v>京东金融（京东金条、白条）违法暴力催收</v>
      </c>
      <c r="C9997" s="2" t="s">
        <v>9</v>
      </c>
      <c r="D9997" s="2" t="s">
        <v>10</v>
      </c>
      <c r="E9997" s="2" t="str">
        <f>HYPERLINK("http://ts.21cn.com/tousu/show/id/1339278","http://ts.21cn.com/tousu/show/id/1339278")</f>
        <v>http://ts.21cn.com/tousu/show/id/1339278</v>
      </c>
      <c r="F9997" s="2" t="s">
        <v>11</v>
      </c>
      <c r="G9997" s="2" t="s">
        <v>24498</v>
      </c>
      <c r="H9997" s="2" t="s">
        <v>24499</v>
      </c>
    </row>
    <row r="9998" spans="1:8" ht="25.05" customHeight="1" x14ac:dyDescent="0.25">
      <c r="A9998" s="2" t="s">
        <v>8</v>
      </c>
      <c r="B9998" s="2" t="str">
        <f>HYPERLINK("http://ts.21cn.com/tousu/show/id/1341199","移动乱扣费")</f>
        <v>移动乱扣费</v>
      </c>
      <c r="C9998" s="2" t="s">
        <v>9</v>
      </c>
      <c r="D9998" s="2" t="s">
        <v>10</v>
      </c>
      <c r="E9998" s="2" t="str">
        <f>HYPERLINK("http://ts.21cn.com/tousu/show/id/1341199","http://ts.21cn.com/tousu/show/id/1341199")</f>
        <v>http://ts.21cn.com/tousu/show/id/1341199</v>
      </c>
      <c r="F9998" s="2" t="s">
        <v>11</v>
      </c>
      <c r="G9998" s="2" t="s">
        <v>24496</v>
      </c>
      <c r="H9998" s="2" t="s">
        <v>24497</v>
      </c>
    </row>
    <row r="9999" spans="1:8" ht="25.05" customHeight="1" x14ac:dyDescent="0.25">
      <c r="A9999" s="2" t="s">
        <v>8</v>
      </c>
      <c r="B9999" s="2" t="str">
        <f>HYPERLINK("http://ts.21cn.com/tousu/show/id/1341200","小赢卡贷暴力催收")</f>
        <v>小赢卡贷暴力催收</v>
      </c>
      <c r="C9999" s="2" t="s">
        <v>9</v>
      </c>
      <c r="D9999" s="2" t="s">
        <v>10</v>
      </c>
      <c r="E9999" s="2" t="str">
        <f>HYPERLINK("http://ts.21cn.com/tousu/show/id/1341200","http://ts.21cn.com/tousu/show/id/1341200")</f>
        <v>http://ts.21cn.com/tousu/show/id/1341200</v>
      </c>
      <c r="F9999" s="2" t="s">
        <v>11</v>
      </c>
      <c r="G9999" s="2" t="s">
        <v>24494</v>
      </c>
      <c r="H9999" s="2" t="s">
        <v>24495</v>
      </c>
    </row>
    <row r="10000" spans="1:8" ht="25.05" customHeight="1" x14ac:dyDescent="0.25">
      <c r="A10000" s="2" t="s">
        <v>8</v>
      </c>
      <c r="B10000" s="2" t="str">
        <f>HYPERLINK("http://ts.21cn.com/tousu/show/id/1341201","万恶的小花钱包诽谤恐吓群发样样有")</f>
        <v>万恶的小花钱包诽谤恐吓群发样样有</v>
      </c>
      <c r="C10000" s="2" t="s">
        <v>9</v>
      </c>
      <c r="D10000" s="2" t="s">
        <v>10</v>
      </c>
      <c r="E10000" s="2" t="str">
        <f>HYPERLINK("http://ts.21cn.com/tousu/show/id/1341201","http://ts.21cn.com/tousu/show/id/1341201")</f>
        <v>http://ts.21cn.com/tousu/show/id/1341201</v>
      </c>
      <c r="F10000" s="2" t="s">
        <v>11</v>
      </c>
      <c r="G10000" s="2" t="s">
        <v>24492</v>
      </c>
      <c r="H10000" s="2" t="s">
        <v>24493</v>
      </c>
    </row>
    <row r="10001" spans="1:8" ht="25.05" customHeight="1" x14ac:dyDescent="0.25">
      <c r="A10001" s="2" t="s">
        <v>8</v>
      </c>
      <c r="B10001" s="2" t="str">
        <f>HYPERLINK("http://ts.21cn.com/tousu/show/id/1341202","利息过高")</f>
        <v>利息过高</v>
      </c>
      <c r="C10001" s="2" t="s">
        <v>34</v>
      </c>
      <c r="D10001" s="2" t="s">
        <v>10</v>
      </c>
      <c r="E10001" s="2" t="str">
        <f>HYPERLINK("http://ts.21cn.com/tousu/show/id/1341202","http://ts.21cn.com/tousu/show/id/1341202")</f>
        <v>http://ts.21cn.com/tousu/show/id/1341202</v>
      </c>
      <c r="F10001" s="2" t="s">
        <v>11</v>
      </c>
      <c r="G10001" s="2" t="s">
        <v>24490</v>
      </c>
      <c r="H10001" s="2" t="s">
        <v>24491</v>
      </c>
    </row>
    <row r="10002" spans="1:8" ht="25.05" customHeight="1" x14ac:dyDescent="0.25">
      <c r="A10002" s="2" t="s">
        <v>8</v>
      </c>
      <c r="B10002" s="2" t="str">
        <f>HYPERLINK("http://ts.21cn.com/tousu/show/id/1341204","骚扰，态度恶劣")</f>
        <v>骚扰，态度恶劣</v>
      </c>
      <c r="C10002" s="2" t="s">
        <v>9</v>
      </c>
      <c r="D10002" s="2" t="s">
        <v>10</v>
      </c>
      <c r="E10002" s="2" t="str">
        <f>HYPERLINK("http://ts.21cn.com/tousu/show/id/1341204","http://ts.21cn.com/tousu/show/id/1341204")</f>
        <v>http://ts.21cn.com/tousu/show/id/1341204</v>
      </c>
      <c r="F10002" s="2" t="s">
        <v>11</v>
      </c>
      <c r="G10002" s="2" t="s">
        <v>24488</v>
      </c>
      <c r="H10002" s="2" t="s">
        <v>24489</v>
      </c>
    </row>
    <row r="10003" spans="1:8" ht="25.05" customHeight="1" x14ac:dyDescent="0.25">
      <c r="A10003" s="2" t="s">
        <v>8</v>
      </c>
      <c r="B10003" s="2" t="str">
        <f>HYPERLINK("http://ts.21cn.com/tousu/show/id/1341205","携趣网络技术上海有限公司乱扣费")</f>
        <v>携趣网络技术上海有限公司乱扣费</v>
      </c>
      <c r="C10003" s="2" t="s">
        <v>9</v>
      </c>
      <c r="D10003" s="2" t="s">
        <v>10</v>
      </c>
      <c r="E10003" s="2" t="str">
        <f>HYPERLINK("http://ts.21cn.com/tousu/show/id/1341205","http://ts.21cn.com/tousu/show/id/1341205")</f>
        <v>http://ts.21cn.com/tousu/show/id/1341205</v>
      </c>
      <c r="F10003" s="2" t="s">
        <v>11</v>
      </c>
      <c r="G10003" s="2" t="s">
        <v>24486</v>
      </c>
      <c r="H10003" s="2" t="s">
        <v>24487</v>
      </c>
    </row>
    <row r="10004" spans="1:8" ht="25.05" customHeight="1" x14ac:dyDescent="0.25">
      <c r="A10004" s="2" t="s">
        <v>8</v>
      </c>
      <c r="B10004" s="2" t="str">
        <f>HYPERLINK("http://ts.21cn.com/tousu/show/id/1341207","贷上钱高利贷暴力催收")</f>
        <v>贷上钱高利贷暴力催收</v>
      </c>
      <c r="C10004" s="2" t="s">
        <v>9</v>
      </c>
      <c r="D10004" s="2" t="s">
        <v>10</v>
      </c>
      <c r="E10004" s="2" t="str">
        <f>HYPERLINK("http://ts.21cn.com/tousu/show/id/1341207","http://ts.21cn.com/tousu/show/id/1341207")</f>
        <v>http://ts.21cn.com/tousu/show/id/1341207</v>
      </c>
      <c r="F10004" s="2" t="s">
        <v>11</v>
      </c>
      <c r="G10004" s="2" t="s">
        <v>24484</v>
      </c>
      <c r="H10004" s="2" t="s">
        <v>24485</v>
      </c>
    </row>
    <row r="10005" spans="1:8" ht="25.05" customHeight="1" x14ac:dyDescent="0.25">
      <c r="A10005" s="2" t="s">
        <v>8</v>
      </c>
      <c r="B10005" s="2" t="str">
        <f>HYPERLINK("http://ts.21cn.com/tousu/show/id/1341206","催收威胁恐吓")</f>
        <v>催收威胁恐吓</v>
      </c>
      <c r="C10005" s="2" t="s">
        <v>9</v>
      </c>
      <c r="D10005" s="2" t="s">
        <v>10</v>
      </c>
      <c r="E10005" s="2" t="str">
        <f>HYPERLINK("http://ts.21cn.com/tousu/show/id/1341206","http://ts.21cn.com/tousu/show/id/1341206")</f>
        <v>http://ts.21cn.com/tousu/show/id/1341206</v>
      </c>
      <c r="F10005" s="2" t="s">
        <v>11</v>
      </c>
      <c r="G10005" s="2" t="s">
        <v>24482</v>
      </c>
      <c r="H10005" s="2" t="s">
        <v>24483</v>
      </c>
    </row>
    <row r="10006" spans="1:8" ht="25.05" customHeight="1" x14ac:dyDescent="0.25">
      <c r="A10006" s="2" t="s">
        <v>8</v>
      </c>
      <c r="B10006" s="2" t="str">
        <f>HYPERLINK("http://ts.21cn.com/tousu/show/id/1341209","信用计划高利贷")</f>
        <v>信用计划高利贷</v>
      </c>
      <c r="C10006" s="2" t="s">
        <v>9</v>
      </c>
      <c r="D10006" s="2" t="s">
        <v>10</v>
      </c>
      <c r="E10006" s="2" t="str">
        <f>HYPERLINK("http://ts.21cn.com/tousu/show/id/1341209","http://ts.21cn.com/tousu/show/id/1341209")</f>
        <v>http://ts.21cn.com/tousu/show/id/1341209</v>
      </c>
      <c r="F10006" s="2" t="s">
        <v>11</v>
      </c>
      <c r="G10006" s="2" t="s">
        <v>24480</v>
      </c>
      <c r="H10006" s="2" t="s">
        <v>24481</v>
      </c>
    </row>
    <row r="10007" spans="1:8" ht="25.05" customHeight="1" x14ac:dyDescent="0.25">
      <c r="A10007" s="2" t="s">
        <v>8</v>
      </c>
      <c r="B10007" s="2" t="str">
        <f>HYPERLINK("http://ts.21cn.com/tousu/show/id/1341208","时光分期合同还款金额与实际还款金额不一致，阴阳合同")</f>
        <v>时光分期合同还款金额与实际还款金额不一致，阴阳合同</v>
      </c>
      <c r="C10007" s="2" t="s">
        <v>9</v>
      </c>
      <c r="D10007" s="2" t="s">
        <v>10</v>
      </c>
      <c r="E10007" s="2" t="str">
        <f>HYPERLINK("http://ts.21cn.com/tousu/show/id/1341208","http://ts.21cn.com/tousu/show/id/1341208")</f>
        <v>http://ts.21cn.com/tousu/show/id/1341208</v>
      </c>
      <c r="F10007" s="2" t="s">
        <v>11</v>
      </c>
      <c r="G10007" s="2" t="s">
        <v>24478</v>
      </c>
      <c r="H10007" s="2" t="s">
        <v>24479</v>
      </c>
    </row>
    <row r="10008" spans="1:8" ht="25.05" customHeight="1" x14ac:dyDescent="0.25">
      <c r="A10008" s="2" t="s">
        <v>8</v>
      </c>
      <c r="B10008" s="2" t="str">
        <f>HYPERLINK("http://ts.21cn.com/tousu/show/id/1341181","联通公司为个人利益提供充值通道")</f>
        <v>联通公司为个人利益提供充值通道</v>
      </c>
      <c r="C10008" s="2" t="s">
        <v>34</v>
      </c>
      <c r="D10008" s="2" t="s">
        <v>10</v>
      </c>
      <c r="E10008" s="2" t="str">
        <f>HYPERLINK("http://ts.21cn.com/tousu/show/id/1341181","http://ts.21cn.com/tousu/show/id/1341181")</f>
        <v>http://ts.21cn.com/tousu/show/id/1341181</v>
      </c>
      <c r="F10008" s="2" t="s">
        <v>11</v>
      </c>
      <c r="G10008" s="2" t="s">
        <v>24476</v>
      </c>
      <c r="H10008" s="2" t="s">
        <v>24477</v>
      </c>
    </row>
    <row r="10009" spans="1:8" ht="25.05" customHeight="1" x14ac:dyDescent="0.25">
      <c r="A10009" s="2" t="s">
        <v>8</v>
      </c>
      <c r="B10009" s="2" t="str">
        <f>HYPERLINK("http://ts.21cn.com/tousu/show/id/1341210","美团泄露个人信息，违法催收")</f>
        <v>美团泄露个人信息，违法催收</v>
      </c>
      <c r="C10009" s="2" t="s">
        <v>9</v>
      </c>
      <c r="D10009" s="2" t="s">
        <v>10</v>
      </c>
      <c r="E10009" s="2" t="str">
        <f>HYPERLINK("http://ts.21cn.com/tousu/show/id/1341210","http://ts.21cn.com/tousu/show/id/1341210")</f>
        <v>http://ts.21cn.com/tousu/show/id/1341210</v>
      </c>
      <c r="F10009" s="2" t="s">
        <v>11</v>
      </c>
      <c r="G10009" s="2" t="s">
        <v>24474</v>
      </c>
      <c r="H10009" s="2" t="s">
        <v>24475</v>
      </c>
    </row>
    <row r="10010" spans="1:8" ht="25.05" customHeight="1" x14ac:dyDescent="0.25">
      <c r="A10010" s="2" t="s">
        <v>8</v>
      </c>
      <c r="B10010" s="2" t="str">
        <f>HYPERLINK("http://ts.21cn.com/tousu/show/id/1341142","金融信贷欺诈")</f>
        <v>金融信贷欺诈</v>
      </c>
      <c r="C10010" s="2" t="s">
        <v>9</v>
      </c>
      <c r="D10010" s="2" t="s">
        <v>10</v>
      </c>
      <c r="E10010" s="2" t="str">
        <f>HYPERLINK("http://ts.21cn.com/tousu/show/id/1341142","http://ts.21cn.com/tousu/show/id/1341142")</f>
        <v>http://ts.21cn.com/tousu/show/id/1341142</v>
      </c>
      <c r="F10010" s="2" t="s">
        <v>11</v>
      </c>
      <c r="G10010" s="2" t="s">
        <v>24472</v>
      </c>
      <c r="H10010" s="2" t="s">
        <v>24473</v>
      </c>
    </row>
    <row r="10011" spans="1:8" ht="25.05" customHeight="1" x14ac:dyDescent="0.25">
      <c r="A10011" s="2" t="s">
        <v>8</v>
      </c>
      <c r="B10011" s="2" t="str">
        <f>HYPERLINK("http://ts.21cn.com/tousu/show/id/1341212","卡乐付态度强硬，暴力催收")</f>
        <v>卡乐付态度强硬，暴力催收</v>
      </c>
      <c r="C10011" s="2" t="s">
        <v>9</v>
      </c>
      <c r="D10011" s="2" t="s">
        <v>10</v>
      </c>
      <c r="E10011" s="2" t="str">
        <f>HYPERLINK("http://ts.21cn.com/tousu/show/id/1341212","http://ts.21cn.com/tousu/show/id/1341212")</f>
        <v>http://ts.21cn.com/tousu/show/id/1341212</v>
      </c>
      <c r="F10011" s="2" t="s">
        <v>11</v>
      </c>
      <c r="G10011" s="2" t="s">
        <v>24470</v>
      </c>
      <c r="H10011" s="2" t="s">
        <v>24471</v>
      </c>
    </row>
    <row r="10012" spans="1:8" ht="25.05" customHeight="1" x14ac:dyDescent="0.25">
      <c r="A10012" s="2" t="s">
        <v>8</v>
      </c>
      <c r="B10012" s="2" t="str">
        <f>HYPERLINK("http://ts.21cn.com/tousu/show/id/1341213","分期乐一直骚扰家里人")</f>
        <v>分期乐一直骚扰家里人</v>
      </c>
      <c r="C10012" s="2" t="s">
        <v>9</v>
      </c>
      <c r="D10012" s="2" t="s">
        <v>10</v>
      </c>
      <c r="E10012" s="2" t="str">
        <f>HYPERLINK("http://ts.21cn.com/tousu/show/id/1341213","http://ts.21cn.com/tousu/show/id/1341213")</f>
        <v>http://ts.21cn.com/tousu/show/id/1341213</v>
      </c>
      <c r="F10012" s="2" t="s">
        <v>11</v>
      </c>
      <c r="G10012" s="2" t="s">
        <v>24468</v>
      </c>
      <c r="H10012" s="2" t="s">
        <v>24469</v>
      </c>
    </row>
    <row r="10013" spans="1:8" ht="25.05" customHeight="1" x14ac:dyDescent="0.25">
      <c r="A10013" s="2" t="s">
        <v>8</v>
      </c>
      <c r="B10013" s="2" t="str">
        <f>HYPERLINK("http://ts.21cn.com/tousu/show/id/1341214","天天打电话骚扰我")</f>
        <v>天天打电话骚扰我</v>
      </c>
      <c r="C10013" s="2" t="s">
        <v>9</v>
      </c>
      <c r="D10013" s="2" t="s">
        <v>10</v>
      </c>
      <c r="E10013" s="2" t="str">
        <f>HYPERLINK("http://ts.21cn.com/tousu/show/id/1341214","http://ts.21cn.com/tousu/show/id/1341214")</f>
        <v>http://ts.21cn.com/tousu/show/id/1341214</v>
      </c>
      <c r="F10013" s="2" t="s">
        <v>11</v>
      </c>
      <c r="G10013" s="2" t="s">
        <v>24466</v>
      </c>
      <c r="H10013" s="2" t="s">
        <v>24467</v>
      </c>
    </row>
    <row r="10014" spans="1:8" ht="25.05" customHeight="1" x14ac:dyDescent="0.25">
      <c r="A10014" s="2" t="s">
        <v>8</v>
      </c>
      <c r="B10014" s="2" t="str">
        <f>HYPERLINK("http://ts.21cn.com/tousu/show/id/1341215","信用飞高额砍头费用导致我被逾期，电话骚扰。")</f>
        <v>信用飞高额砍头费用导致我被逾期，电话骚扰。</v>
      </c>
      <c r="C10014" s="2" t="s">
        <v>9</v>
      </c>
      <c r="D10014" s="2" t="s">
        <v>10</v>
      </c>
      <c r="E10014" s="2" t="str">
        <f>HYPERLINK("http://ts.21cn.com/tousu/show/id/1341215","http://ts.21cn.com/tousu/show/id/1341215")</f>
        <v>http://ts.21cn.com/tousu/show/id/1341215</v>
      </c>
      <c r="F10014" s="2" t="s">
        <v>11</v>
      </c>
      <c r="G10014" s="2" t="s">
        <v>24464</v>
      </c>
      <c r="H10014" s="2" t="s">
        <v>24465</v>
      </c>
    </row>
    <row r="10015" spans="1:8" ht="25.05" customHeight="1" x14ac:dyDescent="0.25">
      <c r="A10015" s="2" t="s">
        <v>8</v>
      </c>
      <c r="B10015" s="2" t="str">
        <f>HYPERLINK("http://ts.21cn.com/tousu/show/id/1341216","微信支付收付款遇到问题无法联系到客户")</f>
        <v>微信支付收付款遇到问题无法联系到客户</v>
      </c>
      <c r="C10015" s="2" t="s">
        <v>9</v>
      </c>
      <c r="D10015" s="2" t="s">
        <v>10</v>
      </c>
      <c r="E10015" s="2" t="str">
        <f>HYPERLINK("http://ts.21cn.com/tousu/show/id/1341216","http://ts.21cn.com/tousu/show/id/1341216")</f>
        <v>http://ts.21cn.com/tousu/show/id/1341216</v>
      </c>
      <c r="F10015" s="2" t="s">
        <v>11</v>
      </c>
      <c r="G10015" s="2" t="s">
        <v>24462</v>
      </c>
      <c r="H10015" s="2" t="s">
        <v>24463</v>
      </c>
    </row>
    <row r="10016" spans="1:8" ht="25.05" customHeight="1" x14ac:dyDescent="0.25">
      <c r="A10016" s="2" t="s">
        <v>8</v>
      </c>
      <c r="B10016" s="2" t="str">
        <f>HYPERLINK("http://ts.21cn.com/tousu/show/id/1341217","支付宝催收逼迫不协商威胁")</f>
        <v>支付宝催收逼迫不协商威胁</v>
      </c>
      <c r="C10016" s="2" t="s">
        <v>9</v>
      </c>
      <c r="D10016" s="2" t="s">
        <v>10</v>
      </c>
      <c r="E10016" s="2" t="str">
        <f>HYPERLINK("http://ts.21cn.com/tousu/show/id/1341217","http://ts.21cn.com/tousu/show/id/1341217")</f>
        <v>http://ts.21cn.com/tousu/show/id/1341217</v>
      </c>
      <c r="F10016" s="2" t="s">
        <v>11</v>
      </c>
      <c r="G10016" s="2" t="s">
        <v>24460</v>
      </c>
      <c r="H10016" s="2" t="s">
        <v>24461</v>
      </c>
    </row>
    <row r="10017" spans="1:8" ht="25.05" customHeight="1" x14ac:dyDescent="0.25">
      <c r="A10017" s="2" t="s">
        <v>8</v>
      </c>
      <c r="B10017" s="2" t="str">
        <f>HYPERLINK("http://ts.21cn.com/tousu/show/id/1341218","信用卡已经结清注销可是本人还是在接受催款短信")</f>
        <v>信用卡已经结清注销可是本人还是在接受催款短信</v>
      </c>
      <c r="C10017" s="2" t="s">
        <v>9</v>
      </c>
      <c r="D10017" s="2" t="s">
        <v>10</v>
      </c>
      <c r="E10017" s="2" t="str">
        <f>HYPERLINK("http://ts.21cn.com/tousu/show/id/1341218","http://ts.21cn.com/tousu/show/id/1341218")</f>
        <v>http://ts.21cn.com/tousu/show/id/1341218</v>
      </c>
      <c r="F10017" s="2" t="s">
        <v>11</v>
      </c>
      <c r="G10017" s="2" t="s">
        <v>24458</v>
      </c>
      <c r="H10017" s="2" t="s">
        <v>24459</v>
      </c>
    </row>
    <row r="10018" spans="1:8" ht="25.05" customHeight="1" x14ac:dyDescent="0.25">
      <c r="A10018" s="2" t="s">
        <v>8</v>
      </c>
      <c r="B10018" s="2" t="str">
        <f>HYPERLINK("http://ts.21cn.com/tousu/show/id/1341220","中信催收，为经允许打电话给村委造成影响")</f>
        <v>中信催收，为经允许打电话给村委造成影响</v>
      </c>
      <c r="C10018" s="2" t="s">
        <v>9</v>
      </c>
      <c r="D10018" s="2" t="s">
        <v>10</v>
      </c>
      <c r="E10018" s="2" t="str">
        <f>HYPERLINK("http://ts.21cn.com/tousu/show/id/1341220","http://ts.21cn.com/tousu/show/id/1341220")</f>
        <v>http://ts.21cn.com/tousu/show/id/1341220</v>
      </c>
      <c r="F10018" s="2" t="s">
        <v>11</v>
      </c>
      <c r="G10018" s="2" t="s">
        <v>24456</v>
      </c>
      <c r="H10018" s="2" t="s">
        <v>24457</v>
      </c>
    </row>
    <row r="10019" spans="1:8" ht="25.05" customHeight="1" x14ac:dyDescent="0.25">
      <c r="A10019" s="2" t="s">
        <v>8</v>
      </c>
      <c r="B10019" s="2" t="str">
        <f>HYPERLINK("http://ts.21cn.com/tousu/show/id/1341221","吃相太难看欺骗行为")</f>
        <v>吃相太难看欺骗行为</v>
      </c>
      <c r="C10019" s="2" t="s">
        <v>9</v>
      </c>
      <c r="D10019" s="2" t="s">
        <v>10</v>
      </c>
      <c r="E10019" s="2" t="str">
        <f>HYPERLINK("http://ts.21cn.com/tousu/show/id/1341221","http://ts.21cn.com/tousu/show/id/1341221")</f>
        <v>http://ts.21cn.com/tousu/show/id/1341221</v>
      </c>
      <c r="F10019" s="2" t="s">
        <v>11</v>
      </c>
      <c r="G10019" s="2" t="s">
        <v>24454</v>
      </c>
      <c r="H10019" s="2" t="s">
        <v>24455</v>
      </c>
    </row>
    <row r="10020" spans="1:8" ht="25.05" customHeight="1" x14ac:dyDescent="0.25">
      <c r="A10020" s="2" t="s">
        <v>8</v>
      </c>
      <c r="B10020" s="2" t="str">
        <f>HYPERLINK("http://ts.21cn.com/tousu/show/id/1341222","暴力催收威胁恐吓")</f>
        <v>暴力催收威胁恐吓</v>
      </c>
      <c r="C10020" s="2" t="s">
        <v>9</v>
      </c>
      <c r="D10020" s="2" t="s">
        <v>10</v>
      </c>
      <c r="E10020" s="2" t="str">
        <f>HYPERLINK("http://ts.21cn.com/tousu/show/id/1341222","http://ts.21cn.com/tousu/show/id/1341222")</f>
        <v>http://ts.21cn.com/tousu/show/id/1341222</v>
      </c>
      <c r="F10020" s="2" t="s">
        <v>11</v>
      </c>
      <c r="G10020" s="2" t="s">
        <v>24452</v>
      </c>
      <c r="H10020" s="2" t="s">
        <v>24453</v>
      </c>
    </row>
    <row r="10021" spans="1:8" ht="25.05" customHeight="1" x14ac:dyDescent="0.25">
      <c r="A10021" s="2" t="s">
        <v>8</v>
      </c>
      <c r="B10021" s="2" t="str">
        <f>HYPERLINK("http://ts.21cn.com/tousu/show/id/1341223","爆通讯录，高利贷，砍头息")</f>
        <v>爆通讯录，高利贷，砍头息</v>
      </c>
      <c r="C10021" s="2" t="s">
        <v>9</v>
      </c>
      <c r="D10021" s="2" t="s">
        <v>10</v>
      </c>
      <c r="E10021" s="2" t="str">
        <f>HYPERLINK("http://ts.21cn.com/tousu/show/id/1341223","http://ts.21cn.com/tousu/show/id/1341223")</f>
        <v>http://ts.21cn.com/tousu/show/id/1341223</v>
      </c>
      <c r="F10021" s="2" t="s">
        <v>11</v>
      </c>
      <c r="G10021" s="2" t="s">
        <v>24450</v>
      </c>
      <c r="H10021" s="2" t="s">
        <v>24451</v>
      </c>
    </row>
    <row r="10022" spans="1:8" ht="25.05" customHeight="1" x14ac:dyDescent="0.25">
      <c r="A10022" s="2" t="s">
        <v>8</v>
      </c>
      <c r="B10022" s="2" t="str">
        <f>HYPERLINK("http://ts.21cn.com/tousu/show/id/1341225","招联金融催收不当")</f>
        <v>招联金融催收不当</v>
      </c>
      <c r="C10022" s="2" t="s">
        <v>34</v>
      </c>
      <c r="D10022" s="2" t="s">
        <v>10</v>
      </c>
      <c r="E10022" s="2" t="str">
        <f>HYPERLINK("http://ts.21cn.com/tousu/show/id/1341225","http://ts.21cn.com/tousu/show/id/1341225")</f>
        <v>http://ts.21cn.com/tousu/show/id/1341225</v>
      </c>
      <c r="F10022" s="2" t="s">
        <v>11</v>
      </c>
      <c r="G10022" s="2" t="s">
        <v>24448</v>
      </c>
      <c r="H10022" s="2" t="s">
        <v>24449</v>
      </c>
    </row>
    <row r="10023" spans="1:8" ht="25.05" customHeight="1" x14ac:dyDescent="0.25">
      <c r="A10023" s="2" t="s">
        <v>8</v>
      </c>
      <c r="B10023" s="2" t="str">
        <f>HYPERLINK("http://ts.21cn.com/tousu/show/id/1341226","滴滴出行罔顾事实，随意扣我服务分")</f>
        <v>滴滴出行罔顾事实，随意扣我服务分</v>
      </c>
      <c r="C10023" s="2" t="s">
        <v>9</v>
      </c>
      <c r="D10023" s="2" t="s">
        <v>10</v>
      </c>
      <c r="E10023" s="2" t="str">
        <f>HYPERLINK("http://ts.21cn.com/tousu/show/id/1341226","http://ts.21cn.com/tousu/show/id/1341226")</f>
        <v>http://ts.21cn.com/tousu/show/id/1341226</v>
      </c>
      <c r="F10023" s="2" t="s">
        <v>11</v>
      </c>
      <c r="G10023" s="2" t="s">
        <v>24446</v>
      </c>
      <c r="H10023" s="2" t="s">
        <v>24447</v>
      </c>
    </row>
    <row r="10024" spans="1:8" ht="25.05" customHeight="1" x14ac:dyDescent="0.25">
      <c r="A10024" s="2" t="s">
        <v>8</v>
      </c>
      <c r="B10024" s="2" t="str">
        <f>HYPERLINK("http://ts.21cn.com/tousu/show/id/1341227","你我贷暴力催收")</f>
        <v>你我贷暴力催收</v>
      </c>
      <c r="C10024" s="2" t="s">
        <v>9</v>
      </c>
      <c r="D10024" s="2" t="s">
        <v>10</v>
      </c>
      <c r="E10024" s="2" t="str">
        <f>HYPERLINK("http://ts.21cn.com/tousu/show/id/1341227","http://ts.21cn.com/tousu/show/id/1341227")</f>
        <v>http://ts.21cn.com/tousu/show/id/1341227</v>
      </c>
      <c r="F10024" s="2" t="s">
        <v>11</v>
      </c>
      <c r="G10024" s="2" t="s">
        <v>24444</v>
      </c>
      <c r="H10024" s="2" t="s">
        <v>24445</v>
      </c>
    </row>
    <row r="10025" spans="1:8" ht="25.05" customHeight="1" x14ac:dyDescent="0.25">
      <c r="A10025" s="2" t="s">
        <v>8</v>
      </c>
      <c r="B10025" s="2" t="str">
        <f>HYPERLINK("http://ts.21cn.com/tousu/show/id/1341228","钱站提供阴阳合同，欺骗借款人！违法高利贷")</f>
        <v>钱站提供阴阳合同，欺骗借款人！违法高利贷</v>
      </c>
      <c r="C10025" s="2" t="s">
        <v>9</v>
      </c>
      <c r="D10025" s="2" t="s">
        <v>10</v>
      </c>
      <c r="E10025" s="2" t="str">
        <f>HYPERLINK("http://ts.21cn.com/tousu/show/id/1341228","http://ts.21cn.com/tousu/show/id/1341228")</f>
        <v>http://ts.21cn.com/tousu/show/id/1341228</v>
      </c>
      <c r="F10025" s="2" t="s">
        <v>11</v>
      </c>
      <c r="G10025" s="2" t="s">
        <v>24443</v>
      </c>
      <c r="H10025" s="2" t="s">
        <v>20302</v>
      </c>
    </row>
    <row r="10026" spans="1:8" ht="25.05" customHeight="1" x14ac:dyDescent="0.25">
      <c r="A10026" s="2" t="s">
        <v>8</v>
      </c>
      <c r="B10026" s="2" t="str">
        <f>HYPERLINK("http://ts.21cn.com/tousu/show/id/1341211","苏宁易购联合惠而浦欺诈消费")</f>
        <v>苏宁易购联合惠而浦欺诈消费</v>
      </c>
      <c r="C10026" s="2" t="s">
        <v>9</v>
      </c>
      <c r="D10026" s="2" t="s">
        <v>10</v>
      </c>
      <c r="E10026" s="2" t="str">
        <f>HYPERLINK("http://ts.21cn.com/tousu/show/id/1341211","http://ts.21cn.com/tousu/show/id/1341211")</f>
        <v>http://ts.21cn.com/tousu/show/id/1341211</v>
      </c>
      <c r="F10026" s="2" t="s">
        <v>11</v>
      </c>
      <c r="G10026" s="2" t="s">
        <v>24441</v>
      </c>
      <c r="H10026" s="2" t="s">
        <v>24442</v>
      </c>
    </row>
    <row r="10027" spans="1:8" ht="25.05" customHeight="1" x14ac:dyDescent="0.25">
      <c r="A10027" s="2" t="s">
        <v>8</v>
      </c>
      <c r="B10027" s="2" t="str">
        <f>HYPERLINK("http://ts.21cn.com/tousu/show/id/1341229","你我贷客服随意侮辱客户")</f>
        <v>你我贷客服随意侮辱客户</v>
      </c>
      <c r="C10027" s="2" t="s">
        <v>9</v>
      </c>
      <c r="D10027" s="2" t="s">
        <v>10</v>
      </c>
      <c r="E10027" s="2" t="str">
        <f>HYPERLINK("http://ts.21cn.com/tousu/show/id/1341229","http://ts.21cn.com/tousu/show/id/1341229")</f>
        <v>http://ts.21cn.com/tousu/show/id/1341229</v>
      </c>
      <c r="F10027" s="2" t="s">
        <v>11</v>
      </c>
      <c r="G10027" s="2" t="s">
        <v>24439</v>
      </c>
      <c r="H10027" s="2" t="s">
        <v>24440</v>
      </c>
    </row>
    <row r="10028" spans="1:8" ht="25.05" customHeight="1" x14ac:dyDescent="0.25">
      <c r="A10028" s="2" t="s">
        <v>8</v>
      </c>
      <c r="B10028" s="2" t="str">
        <f>HYPERLINK("http://ts.21cn.com/tousu/show/id/1341230","电话短信轰炸")</f>
        <v>电话短信轰炸</v>
      </c>
      <c r="C10028" s="2" t="s">
        <v>9</v>
      </c>
      <c r="D10028" s="2" t="s">
        <v>10</v>
      </c>
      <c r="E10028" s="2" t="str">
        <f>HYPERLINK("http://ts.21cn.com/tousu/show/id/1341230","http://ts.21cn.com/tousu/show/id/1341230")</f>
        <v>http://ts.21cn.com/tousu/show/id/1341230</v>
      </c>
      <c r="F10028" s="2" t="s">
        <v>11</v>
      </c>
      <c r="G10028" s="2" t="s">
        <v>24437</v>
      </c>
      <c r="H10028" s="2" t="s">
        <v>24438</v>
      </c>
    </row>
    <row r="10029" spans="1:8" ht="25.05" customHeight="1" x14ac:dyDescent="0.25">
      <c r="A10029" s="2" t="s">
        <v>8</v>
      </c>
      <c r="B10029" s="2" t="str">
        <f>HYPERLINK("http://ts.21cn.com/tousu/show/id/1341231","合同欺诈，私自扣款")</f>
        <v>合同欺诈，私自扣款</v>
      </c>
      <c r="C10029" s="2" t="s">
        <v>9</v>
      </c>
      <c r="D10029" s="2" t="s">
        <v>10</v>
      </c>
      <c r="E10029" s="2" t="str">
        <f>HYPERLINK("http://ts.21cn.com/tousu/show/id/1341231","http://ts.21cn.com/tousu/show/id/1341231")</f>
        <v>http://ts.21cn.com/tousu/show/id/1341231</v>
      </c>
      <c r="F10029" s="2" t="s">
        <v>11</v>
      </c>
      <c r="G10029" s="2" t="s">
        <v>24435</v>
      </c>
      <c r="H10029" s="2" t="s">
        <v>24436</v>
      </c>
    </row>
    <row r="10030" spans="1:8" ht="25.05" customHeight="1" x14ac:dyDescent="0.25">
      <c r="A10030" s="2" t="s">
        <v>8</v>
      </c>
      <c r="B10030" s="2" t="str">
        <f>HYPERLINK("http://ts.21cn.com/tousu/show/id/1341232","平安银行诋毁欠款人")</f>
        <v>平安银行诋毁欠款人</v>
      </c>
      <c r="C10030" s="2" t="s">
        <v>9</v>
      </c>
      <c r="D10030" s="2" t="s">
        <v>10</v>
      </c>
      <c r="E10030" s="2" t="str">
        <f>HYPERLINK("http://ts.21cn.com/tousu/show/id/1341232","http://ts.21cn.com/tousu/show/id/1341232")</f>
        <v>http://ts.21cn.com/tousu/show/id/1341232</v>
      </c>
      <c r="F10030" s="2" t="s">
        <v>11</v>
      </c>
      <c r="G10030" s="2" t="s">
        <v>24433</v>
      </c>
      <c r="H10030" s="2" t="s">
        <v>24434</v>
      </c>
    </row>
    <row r="10031" spans="1:8" ht="25.05" customHeight="1" x14ac:dyDescent="0.25">
      <c r="A10031" s="2" t="s">
        <v>8</v>
      </c>
      <c r="B10031" s="2" t="str">
        <f>HYPERLINK("http://ts.21cn.com/tousu/show/id/1341233","你我贷暴力催收，威胁我")</f>
        <v>你我贷暴力催收，威胁我</v>
      </c>
      <c r="C10031" s="2" t="s">
        <v>9</v>
      </c>
      <c r="D10031" s="2" t="s">
        <v>10</v>
      </c>
      <c r="E10031" s="2" t="str">
        <f>HYPERLINK("http://ts.21cn.com/tousu/show/id/1341233","http://ts.21cn.com/tousu/show/id/1341233")</f>
        <v>http://ts.21cn.com/tousu/show/id/1341233</v>
      </c>
      <c r="F10031" s="2" t="s">
        <v>11</v>
      </c>
      <c r="G10031" s="2" t="s">
        <v>24431</v>
      </c>
      <c r="H10031" s="2" t="s">
        <v>24432</v>
      </c>
    </row>
    <row r="10032" spans="1:8" ht="25.05" customHeight="1" x14ac:dyDescent="0.25">
      <c r="A10032" s="2" t="s">
        <v>8</v>
      </c>
      <c r="B10032" s="2" t="str">
        <f>HYPERLINK("http://ts.21cn.com/tousu/show/id/1341234","你我贷高息贷款，借8900，12期共应还12099.24元，已还6期7117.62元，希望能够将年利率降低到24%以下，已无力再按这样的高息偿还")</f>
        <v>你我贷高息贷款，借8900，12期共应还12099.24元，已还6期7117.62元，希望能够将年利率降低到24%以下，已无力再按这样的高息偿还</v>
      </c>
      <c r="C10032" s="2" t="s">
        <v>9</v>
      </c>
      <c r="D10032" s="2" t="s">
        <v>10</v>
      </c>
      <c r="E10032" s="2" t="str">
        <f>HYPERLINK("http://ts.21cn.com/tousu/show/id/1341234","http://ts.21cn.com/tousu/show/id/1341234")</f>
        <v>http://ts.21cn.com/tousu/show/id/1341234</v>
      </c>
      <c r="F10032" s="2" t="s">
        <v>11</v>
      </c>
      <c r="G10032" s="2" t="s">
        <v>24429</v>
      </c>
      <c r="H10032" s="2" t="s">
        <v>24430</v>
      </c>
    </row>
    <row r="10033" spans="1:8" ht="25.05" customHeight="1" x14ac:dyDescent="0.25">
      <c r="A10033" s="2" t="s">
        <v>8</v>
      </c>
      <c r="B10033" s="2" t="str">
        <f>HYPERLINK("http://ts.21cn.com/tousu/show/id/1341236","猴犀利暴力催收")</f>
        <v>猴犀利暴力催收</v>
      </c>
      <c r="C10033" s="2" t="s">
        <v>9</v>
      </c>
      <c r="D10033" s="2" t="s">
        <v>10</v>
      </c>
      <c r="E10033" s="2" t="str">
        <f>HYPERLINK("http://ts.21cn.com/tousu/show/id/1341236","http://ts.21cn.com/tousu/show/id/1341236")</f>
        <v>http://ts.21cn.com/tousu/show/id/1341236</v>
      </c>
      <c r="F10033" s="2" t="s">
        <v>11</v>
      </c>
      <c r="G10033" s="2" t="s">
        <v>24427</v>
      </c>
      <c r="H10033" s="2" t="s">
        <v>24428</v>
      </c>
    </row>
    <row r="10034" spans="1:8" ht="25.05" customHeight="1" x14ac:dyDescent="0.25">
      <c r="A10034" s="2" t="s">
        <v>8</v>
      </c>
      <c r="B10034" s="2" t="str">
        <f>HYPERLINK("http://ts.21cn.com/tousu/show/id/1341237","指上旅游app砍头息，并且威胁要爆我通讯录")</f>
        <v>指上旅游app砍头息，并且威胁要爆我通讯录</v>
      </c>
      <c r="C10034" s="2" t="s">
        <v>9</v>
      </c>
      <c r="D10034" s="2" t="s">
        <v>10</v>
      </c>
      <c r="E10034" s="2" t="str">
        <f>HYPERLINK("http://ts.21cn.com/tousu/show/id/1341237","http://ts.21cn.com/tousu/show/id/1341237")</f>
        <v>http://ts.21cn.com/tousu/show/id/1341237</v>
      </c>
      <c r="F10034" s="2" t="s">
        <v>11</v>
      </c>
      <c r="G10034" s="2" t="s">
        <v>24425</v>
      </c>
      <c r="H10034" s="2" t="s">
        <v>24426</v>
      </c>
    </row>
    <row r="10035" spans="1:8" ht="25.05" customHeight="1" x14ac:dyDescent="0.25">
      <c r="A10035" s="2" t="s">
        <v>8</v>
      </c>
      <c r="B10035" s="2" t="str">
        <f>HYPERLINK("http://ts.21cn.com/tousu/show/id/1341235","闪电借款黑卡820元")</f>
        <v>闪电借款黑卡820元</v>
      </c>
      <c r="C10035" s="2" t="s">
        <v>9</v>
      </c>
      <c r="D10035" s="2" t="s">
        <v>10</v>
      </c>
      <c r="E10035" s="2" t="str">
        <f>HYPERLINK("http://ts.21cn.com/tousu/show/id/1341235","http://ts.21cn.com/tousu/show/id/1341235")</f>
        <v>http://ts.21cn.com/tousu/show/id/1341235</v>
      </c>
      <c r="F10035" s="2" t="s">
        <v>11</v>
      </c>
      <c r="G10035" s="2" t="s">
        <v>24423</v>
      </c>
      <c r="H10035" s="2" t="s">
        <v>24424</v>
      </c>
    </row>
    <row r="10036" spans="1:8" ht="25.05" customHeight="1" x14ac:dyDescent="0.25">
      <c r="A10036" s="2" t="s">
        <v>8</v>
      </c>
      <c r="B10036" s="2" t="str">
        <f>HYPERLINK("http://ts.21cn.com/tousu/show/id/1341239","支付宝做事心口不一")</f>
        <v>支付宝做事心口不一</v>
      </c>
      <c r="C10036" s="2" t="s">
        <v>9</v>
      </c>
      <c r="D10036" s="2" t="s">
        <v>10</v>
      </c>
      <c r="E10036" s="2" t="str">
        <f>HYPERLINK("http://ts.21cn.com/tousu/show/id/1341239","http://ts.21cn.com/tousu/show/id/1341239")</f>
        <v>http://ts.21cn.com/tousu/show/id/1341239</v>
      </c>
      <c r="F10036" s="2" t="s">
        <v>11</v>
      </c>
      <c r="G10036" s="2" t="s">
        <v>24421</v>
      </c>
      <c r="H10036" s="2" t="s">
        <v>24422</v>
      </c>
    </row>
    <row r="10037" spans="1:8" ht="25.05" customHeight="1" x14ac:dyDescent="0.25">
      <c r="A10037" s="2" t="s">
        <v>8</v>
      </c>
      <c r="B10037" s="2" t="str">
        <f>HYPERLINK("http://ts.21cn.com/tousu/show/id/1341238","街电乱收费")</f>
        <v>街电乱收费</v>
      </c>
      <c r="C10037" s="2" t="s">
        <v>9</v>
      </c>
      <c r="D10037" s="2" t="s">
        <v>10</v>
      </c>
      <c r="E10037" s="2" t="str">
        <f>HYPERLINK("http://ts.21cn.com/tousu/show/id/1341238","http://ts.21cn.com/tousu/show/id/1341238")</f>
        <v>http://ts.21cn.com/tousu/show/id/1341238</v>
      </c>
      <c r="F10037" s="2" t="s">
        <v>11</v>
      </c>
      <c r="G10037" s="2" t="s">
        <v>24419</v>
      </c>
      <c r="H10037" s="2" t="s">
        <v>24420</v>
      </c>
    </row>
    <row r="10038" spans="1:8" ht="25.05" customHeight="1" x14ac:dyDescent="0.25">
      <c r="A10038" s="2" t="s">
        <v>8</v>
      </c>
      <c r="B10038" s="2" t="str">
        <f>HYPERLINK("http://ts.21cn.com/tousu/show/id/1341240","钱包易贷高利贷")</f>
        <v>钱包易贷高利贷</v>
      </c>
      <c r="C10038" s="2" t="s">
        <v>9</v>
      </c>
      <c r="D10038" s="2" t="s">
        <v>10</v>
      </c>
      <c r="E10038" s="2" t="str">
        <f>HYPERLINK("http://ts.21cn.com/tousu/show/id/1341240","http://ts.21cn.com/tousu/show/id/1341240")</f>
        <v>http://ts.21cn.com/tousu/show/id/1341240</v>
      </c>
      <c r="F10038" s="2" t="s">
        <v>11</v>
      </c>
      <c r="G10038" s="2" t="s">
        <v>24417</v>
      </c>
      <c r="H10038" s="2" t="s">
        <v>24418</v>
      </c>
    </row>
    <row r="10039" spans="1:8" ht="25.05" customHeight="1" x14ac:dyDescent="0.25">
      <c r="A10039" s="2" t="s">
        <v>8</v>
      </c>
      <c r="B10039" s="2" t="str">
        <f>HYPERLINK("http://ts.21cn.com/tousu/show/id/1341241","信用管家易贷分期20天超高利息高利贷")</f>
        <v>信用管家易贷分期20天超高利息高利贷</v>
      </c>
      <c r="C10039" s="2" t="s">
        <v>9</v>
      </c>
      <c r="D10039" s="2" t="s">
        <v>10</v>
      </c>
      <c r="E10039" s="2" t="str">
        <f>HYPERLINK("http://ts.21cn.com/tousu/show/id/1341241","http://ts.21cn.com/tousu/show/id/1341241")</f>
        <v>http://ts.21cn.com/tousu/show/id/1341241</v>
      </c>
      <c r="F10039" s="2" t="s">
        <v>11</v>
      </c>
      <c r="G10039" s="2" t="s">
        <v>24415</v>
      </c>
      <c r="H10039" s="2" t="s">
        <v>24416</v>
      </c>
    </row>
    <row r="10040" spans="1:8" ht="25.05" customHeight="1" x14ac:dyDescent="0.25">
      <c r="A10040" s="2" t="s">
        <v>8</v>
      </c>
      <c r="B10040" s="2" t="str">
        <f>HYPERLINK("http://ts.21cn.com/tousu/show/id/1341242","威胁恐吓联系人。")</f>
        <v>威胁恐吓联系人。</v>
      </c>
      <c r="C10040" s="2" t="s">
        <v>9</v>
      </c>
      <c r="D10040" s="2" t="s">
        <v>10</v>
      </c>
      <c r="E10040" s="2" t="str">
        <f>HYPERLINK("http://ts.21cn.com/tousu/show/id/1341242","http://ts.21cn.com/tousu/show/id/1341242")</f>
        <v>http://ts.21cn.com/tousu/show/id/1341242</v>
      </c>
      <c r="F10040" s="2" t="s">
        <v>11</v>
      </c>
      <c r="G10040" s="2" t="s">
        <v>24413</v>
      </c>
      <c r="H10040" s="2" t="s">
        <v>24414</v>
      </c>
    </row>
    <row r="10041" spans="1:8" ht="25.05" customHeight="1" x14ac:dyDescent="0.25">
      <c r="A10041" s="2" t="s">
        <v>8</v>
      </c>
      <c r="B10041" s="2" t="str">
        <f>HYPERLINK("http://ts.21cn.com/tousu/show/id/1341243","卖家虚假描述不退款")</f>
        <v>卖家虚假描述不退款</v>
      </c>
      <c r="C10041" s="2" t="s">
        <v>9</v>
      </c>
      <c r="D10041" s="2" t="s">
        <v>10</v>
      </c>
      <c r="E10041" s="2" t="str">
        <f>HYPERLINK("http://ts.21cn.com/tousu/show/id/1341243","http://ts.21cn.com/tousu/show/id/1341243")</f>
        <v>http://ts.21cn.com/tousu/show/id/1341243</v>
      </c>
      <c r="F10041" s="2" t="s">
        <v>11</v>
      </c>
      <c r="G10041" s="2" t="s">
        <v>24411</v>
      </c>
      <c r="H10041" s="2" t="s">
        <v>24412</v>
      </c>
    </row>
    <row r="10042" spans="1:8" ht="25.05" customHeight="1" x14ac:dyDescent="0.25">
      <c r="A10042" s="2" t="s">
        <v>8</v>
      </c>
      <c r="B10042" s="2" t="str">
        <f>HYPERLINK("http://ts.21cn.com/tousu/show/id/1341244","钱站高利贷阴阳合同")</f>
        <v>钱站高利贷阴阳合同</v>
      </c>
      <c r="C10042" s="2" t="s">
        <v>9</v>
      </c>
      <c r="D10042" s="2" t="s">
        <v>10</v>
      </c>
      <c r="E10042" s="2" t="str">
        <f>HYPERLINK("http://ts.21cn.com/tousu/show/id/1341244","http://ts.21cn.com/tousu/show/id/1341244")</f>
        <v>http://ts.21cn.com/tousu/show/id/1341244</v>
      </c>
      <c r="F10042" s="2" t="s">
        <v>11</v>
      </c>
      <c r="G10042" s="2" t="s">
        <v>24409</v>
      </c>
      <c r="H10042" s="2" t="s">
        <v>24410</v>
      </c>
    </row>
    <row r="10043" spans="1:8" ht="25.05" customHeight="1" x14ac:dyDescent="0.25">
      <c r="A10043" s="2" t="s">
        <v>8</v>
      </c>
      <c r="B10043" s="2" t="str">
        <f>HYPERLINK("http://ts.21cn.com/tousu/show/id/1341247","转转二手网诱导欺诈消费者")</f>
        <v>转转二手网诱导欺诈消费者</v>
      </c>
      <c r="C10043" s="2" t="s">
        <v>9</v>
      </c>
      <c r="D10043" s="2" t="s">
        <v>10</v>
      </c>
      <c r="E10043" s="2" t="str">
        <f>HYPERLINK("http://ts.21cn.com/tousu/show/id/1341247","http://ts.21cn.com/tousu/show/id/1341247")</f>
        <v>http://ts.21cn.com/tousu/show/id/1341247</v>
      </c>
      <c r="F10043" s="2" t="s">
        <v>11</v>
      </c>
      <c r="G10043" s="2" t="s">
        <v>24407</v>
      </c>
      <c r="H10043" s="2" t="s">
        <v>24408</v>
      </c>
    </row>
    <row r="10044" spans="1:8" ht="25.05" customHeight="1" x14ac:dyDescent="0.25">
      <c r="A10044" s="2" t="s">
        <v>8</v>
      </c>
      <c r="B10044" s="2" t="str">
        <f>HYPERLINK("http://ts.21cn.com/tousu/show/id/1341246","上海瀚银信息科技有限公司为虚拟商户提供支付渠道，导致客户承担损失")</f>
        <v>上海瀚银信息科技有限公司为虚拟商户提供支付渠道，导致客户承担损失</v>
      </c>
      <c r="C10044" s="2" t="s">
        <v>9</v>
      </c>
      <c r="D10044" s="2" t="s">
        <v>10</v>
      </c>
      <c r="E10044" s="2" t="str">
        <f>HYPERLINK("http://ts.21cn.com/tousu/show/id/1341246","http://ts.21cn.com/tousu/show/id/1341246")</f>
        <v>http://ts.21cn.com/tousu/show/id/1341246</v>
      </c>
      <c r="F10044" s="2" t="s">
        <v>11</v>
      </c>
      <c r="G10044" s="2" t="s">
        <v>24405</v>
      </c>
      <c r="H10044" s="2" t="s">
        <v>24406</v>
      </c>
    </row>
    <row r="10045" spans="1:8" ht="25.05" customHeight="1" x14ac:dyDescent="0.25">
      <c r="A10045" s="2" t="s">
        <v>8</v>
      </c>
      <c r="B10045" s="2" t="str">
        <f>HYPERLINK("http://ts.21cn.com/tousu/show/id/1341224","没有履行7天无理由退款")</f>
        <v>没有履行7天无理由退款</v>
      </c>
      <c r="C10045" s="2" t="s">
        <v>9</v>
      </c>
      <c r="D10045" s="2" t="s">
        <v>10</v>
      </c>
      <c r="E10045" s="2" t="str">
        <f>HYPERLINK("http://ts.21cn.com/tousu/show/id/1341224","http://ts.21cn.com/tousu/show/id/1341224")</f>
        <v>http://ts.21cn.com/tousu/show/id/1341224</v>
      </c>
      <c r="F10045" s="2" t="s">
        <v>11</v>
      </c>
      <c r="G10045" s="2" t="s">
        <v>24403</v>
      </c>
      <c r="H10045" s="2" t="s">
        <v>24404</v>
      </c>
    </row>
    <row r="10046" spans="1:8" ht="25.05" customHeight="1" x14ac:dyDescent="0.25">
      <c r="A10046" s="2" t="s">
        <v>8</v>
      </c>
      <c r="B10046" s="2" t="str">
        <f>HYPERLINK("http://ts.21cn.com/tousu/show/id/1341249","给我联系人打电话，闲着没事打电话，没欠钱，什么都没有，给我联系人打电话")</f>
        <v>给我联系人打电话，闲着没事打电话，没欠钱，什么都没有，给我联系人打电话</v>
      </c>
      <c r="C10046" s="2" t="s">
        <v>9</v>
      </c>
      <c r="D10046" s="2" t="s">
        <v>10</v>
      </c>
      <c r="E10046" s="2" t="str">
        <f>HYPERLINK("http://ts.21cn.com/tousu/show/id/1341249","http://ts.21cn.com/tousu/show/id/1341249")</f>
        <v>http://ts.21cn.com/tousu/show/id/1341249</v>
      </c>
      <c r="F10046" s="2" t="s">
        <v>11</v>
      </c>
      <c r="G10046" s="2" t="s">
        <v>24401</v>
      </c>
      <c r="H10046" s="2" t="s">
        <v>24402</v>
      </c>
    </row>
    <row r="10047" spans="1:8" ht="25.05" customHeight="1" x14ac:dyDescent="0.25">
      <c r="A10047" s="2" t="s">
        <v>8</v>
      </c>
      <c r="B10047" s="2" t="str">
        <f>HYPERLINK("http://ts.21cn.com/tousu/show/id/1341248","网贷暴力催收")</f>
        <v>网贷暴力催收</v>
      </c>
      <c r="C10047" s="2" t="s">
        <v>9</v>
      </c>
      <c r="D10047" s="2" t="s">
        <v>10</v>
      </c>
      <c r="E10047" s="2" t="str">
        <f>HYPERLINK("http://ts.21cn.com/tousu/show/id/1341248","http://ts.21cn.com/tousu/show/id/1341248")</f>
        <v>http://ts.21cn.com/tousu/show/id/1341248</v>
      </c>
      <c r="F10047" s="2" t="s">
        <v>11</v>
      </c>
      <c r="G10047" s="2" t="s">
        <v>24399</v>
      </c>
      <c r="H10047" s="2" t="s">
        <v>24400</v>
      </c>
    </row>
    <row r="10048" spans="1:8" ht="25.05" customHeight="1" x14ac:dyDescent="0.25">
      <c r="A10048" s="2" t="s">
        <v>8</v>
      </c>
      <c r="B10048" s="2" t="str">
        <f>HYPERLINK("http://ts.21cn.com/tousu/show/id/1341250","爆通讯录")</f>
        <v>爆通讯录</v>
      </c>
      <c r="C10048" s="2" t="s">
        <v>9</v>
      </c>
      <c r="D10048" s="2" t="s">
        <v>10</v>
      </c>
      <c r="E10048" s="2" t="str">
        <f>HYPERLINK("http://ts.21cn.com/tousu/show/id/1341250","http://ts.21cn.com/tousu/show/id/1341250")</f>
        <v>http://ts.21cn.com/tousu/show/id/1341250</v>
      </c>
      <c r="F10048" s="2" t="s">
        <v>11</v>
      </c>
      <c r="G10048" s="2" t="s">
        <v>24397</v>
      </c>
      <c r="H10048" s="2" t="s">
        <v>24398</v>
      </c>
    </row>
    <row r="10049" spans="1:8" ht="25.05" customHeight="1" x14ac:dyDescent="0.25">
      <c r="A10049" s="2" t="s">
        <v>8</v>
      </c>
      <c r="B10049" s="2" t="str">
        <f>HYPERLINK("http://ts.21cn.com/tousu/show/id/1341252","你我贷暴力催收，侮辱，而且听不清电话说我们找借口")</f>
        <v>你我贷暴力催收，侮辱，而且听不清电话说我们找借口</v>
      </c>
      <c r="C10049" s="2" t="s">
        <v>9</v>
      </c>
      <c r="D10049" s="2" t="s">
        <v>10</v>
      </c>
      <c r="E10049" s="2" t="str">
        <f>HYPERLINK("http://ts.21cn.com/tousu/show/id/1341252","http://ts.21cn.com/tousu/show/id/1341252")</f>
        <v>http://ts.21cn.com/tousu/show/id/1341252</v>
      </c>
      <c r="F10049" s="2" t="s">
        <v>11</v>
      </c>
      <c r="G10049" s="2" t="s">
        <v>24395</v>
      </c>
      <c r="H10049" s="2" t="s">
        <v>24396</v>
      </c>
    </row>
    <row r="10050" spans="1:8" ht="25.05" customHeight="1" x14ac:dyDescent="0.25">
      <c r="A10050" s="2" t="s">
        <v>8</v>
      </c>
      <c r="B10050" s="2" t="str">
        <f>HYPERLINK("http://ts.21cn.com/tousu/show/id/1341253","短信平台数据不靠谱，显示成功发送的实际没收到")</f>
        <v>短信平台数据不靠谱，显示成功发送的实际没收到</v>
      </c>
      <c r="C10050" s="2" t="s">
        <v>9</v>
      </c>
      <c r="D10050" s="2" t="s">
        <v>10</v>
      </c>
      <c r="E10050" s="2" t="str">
        <f>HYPERLINK("http://ts.21cn.com/tousu/show/id/1341253","http://ts.21cn.com/tousu/show/id/1341253")</f>
        <v>http://ts.21cn.com/tousu/show/id/1341253</v>
      </c>
      <c r="F10050" s="2" t="s">
        <v>11</v>
      </c>
      <c r="G10050" s="2" t="s">
        <v>24393</v>
      </c>
      <c r="H10050" s="2" t="s">
        <v>24394</v>
      </c>
    </row>
    <row r="10051" spans="1:8" ht="25.05" customHeight="1" x14ac:dyDescent="0.25">
      <c r="A10051" s="2" t="s">
        <v>8</v>
      </c>
      <c r="B10051" s="2" t="str">
        <f>HYPERLINK("http://ts.21cn.com/tousu/show/id/1341254","点融高利贷，砍头息，暴力催收")</f>
        <v>点融高利贷，砍头息，暴力催收</v>
      </c>
      <c r="C10051" s="2" t="s">
        <v>9</v>
      </c>
      <c r="D10051" s="2" t="s">
        <v>10</v>
      </c>
      <c r="E10051" s="2" t="str">
        <f>HYPERLINK("http://ts.21cn.com/tousu/show/id/1341254","http://ts.21cn.com/tousu/show/id/1341254")</f>
        <v>http://ts.21cn.com/tousu/show/id/1341254</v>
      </c>
      <c r="F10051" s="2" t="s">
        <v>11</v>
      </c>
      <c r="G10051" s="2" t="s">
        <v>24391</v>
      </c>
      <c r="H10051" s="2" t="s">
        <v>24392</v>
      </c>
    </row>
    <row r="10052" spans="1:8" ht="25.05" customHeight="1" x14ac:dyDescent="0.25">
      <c r="A10052" s="2" t="s">
        <v>8</v>
      </c>
      <c r="B10052" s="2" t="str">
        <f>HYPERLINK("http://ts.21cn.com/tousu/show/id/1341256","我想推迟一天还款，确实资金一天后到账还款")</f>
        <v>我想推迟一天还款，确实资金一天后到账还款</v>
      </c>
      <c r="C10052" s="2" t="s">
        <v>34</v>
      </c>
      <c r="D10052" s="2" t="s">
        <v>10</v>
      </c>
      <c r="E10052" s="2" t="str">
        <f>HYPERLINK("http://ts.21cn.com/tousu/show/id/1341256","http://ts.21cn.com/tousu/show/id/1341256")</f>
        <v>http://ts.21cn.com/tousu/show/id/1341256</v>
      </c>
      <c r="F10052" s="2" t="s">
        <v>11</v>
      </c>
      <c r="G10052" s="2" t="s">
        <v>24389</v>
      </c>
      <c r="H10052" s="2" t="s">
        <v>24390</v>
      </c>
    </row>
    <row r="10053" spans="1:8" ht="25.05" customHeight="1" x14ac:dyDescent="0.25">
      <c r="A10053" s="2" t="s">
        <v>8</v>
      </c>
      <c r="B10053" s="2" t="str">
        <f>HYPERLINK("http://ts.21cn.com/tousu/show/id/1341257","六便士严重违法")</f>
        <v>六便士严重违法</v>
      </c>
      <c r="C10053" s="2" t="s">
        <v>9</v>
      </c>
      <c r="D10053" s="2" t="s">
        <v>10</v>
      </c>
      <c r="E10053" s="2" t="str">
        <f>HYPERLINK("http://ts.21cn.com/tousu/show/id/1341257","http://ts.21cn.com/tousu/show/id/1341257")</f>
        <v>http://ts.21cn.com/tousu/show/id/1341257</v>
      </c>
      <c r="F10053" s="2" t="s">
        <v>11</v>
      </c>
      <c r="G10053" s="2" t="s">
        <v>24387</v>
      </c>
      <c r="H10053" s="2" t="s">
        <v>24388</v>
      </c>
    </row>
    <row r="10054" spans="1:8" ht="25.05" customHeight="1" x14ac:dyDescent="0.25">
      <c r="A10054" s="2" t="s">
        <v>8</v>
      </c>
      <c r="B10054" s="2" t="str">
        <f>HYPERLINK("http://ts.21cn.com/tousu/show/id/1341258","喵下贷高利贷，阴阳合同，虚假宣传")</f>
        <v>喵下贷高利贷，阴阳合同，虚假宣传</v>
      </c>
      <c r="C10054" s="2" t="s">
        <v>9</v>
      </c>
      <c r="D10054" s="2" t="s">
        <v>10</v>
      </c>
      <c r="E10054" s="2" t="str">
        <f>HYPERLINK("http://ts.21cn.com/tousu/show/id/1341258","http://ts.21cn.com/tousu/show/id/1341258")</f>
        <v>http://ts.21cn.com/tousu/show/id/1341258</v>
      </c>
      <c r="F10054" s="2" t="s">
        <v>11</v>
      </c>
      <c r="G10054" s="2" t="s">
        <v>24385</v>
      </c>
      <c r="H10054" s="2" t="s">
        <v>24386</v>
      </c>
    </row>
    <row r="10055" spans="1:8" ht="25.05" customHeight="1" x14ac:dyDescent="0.25">
      <c r="A10055" s="2" t="s">
        <v>8</v>
      </c>
      <c r="B10055" s="2" t="str">
        <f>HYPERLINK("http://ts.21cn.com/tousu/show/id/1341259","360借条上海淇毓信息科技有限公司未放款先收5%工本费，要求撤销合同需支付40%违约金")</f>
        <v>360借条上海淇毓信息科技有限公司未放款先收5%工本费，要求撤销合同需支付40%违约金</v>
      </c>
      <c r="C10055" s="2" t="s">
        <v>9</v>
      </c>
      <c r="D10055" s="2" t="s">
        <v>10</v>
      </c>
      <c r="E10055" s="2" t="str">
        <f>HYPERLINK("http://ts.21cn.com/tousu/show/id/1341259","http://ts.21cn.com/tousu/show/id/1341259")</f>
        <v>http://ts.21cn.com/tousu/show/id/1341259</v>
      </c>
      <c r="F10055" s="2" t="s">
        <v>11</v>
      </c>
      <c r="G10055" s="2" t="s">
        <v>24383</v>
      </c>
      <c r="H10055" s="2" t="s">
        <v>24384</v>
      </c>
    </row>
    <row r="10056" spans="1:8" ht="25.05" customHeight="1" x14ac:dyDescent="0.25">
      <c r="A10056" s="2" t="s">
        <v>8</v>
      </c>
      <c r="B10056" s="2" t="str">
        <f>HYPERLINK("http://ts.21cn.com/tousu/show/id/1341261","骚扰信息")</f>
        <v>骚扰信息</v>
      </c>
      <c r="C10056" s="2" t="s">
        <v>34</v>
      </c>
      <c r="D10056" s="2" t="s">
        <v>10</v>
      </c>
      <c r="E10056" s="2" t="str">
        <f>HYPERLINK("http://ts.21cn.com/tousu/show/id/1341261","http://ts.21cn.com/tousu/show/id/1341261")</f>
        <v>http://ts.21cn.com/tousu/show/id/1341261</v>
      </c>
      <c r="F10056" s="2" t="s">
        <v>11</v>
      </c>
      <c r="G10056" s="2" t="s">
        <v>24381</v>
      </c>
      <c r="H10056" s="2" t="s">
        <v>24382</v>
      </c>
    </row>
    <row r="10057" spans="1:8" ht="25.05" customHeight="1" x14ac:dyDescent="0.25">
      <c r="A10057" s="2" t="s">
        <v>8</v>
      </c>
      <c r="B10057" s="2" t="str">
        <f>HYPERLINK("http://ts.21cn.com/tousu/show/id/1341260","砍头息高利贷侵犯个人隐私")</f>
        <v>砍头息高利贷侵犯个人隐私</v>
      </c>
      <c r="C10057" s="2" t="s">
        <v>9</v>
      </c>
      <c r="D10057" s="2" t="s">
        <v>10</v>
      </c>
      <c r="E10057" s="2" t="str">
        <f>HYPERLINK("http://ts.21cn.com/tousu/show/id/1341260","http://ts.21cn.com/tousu/show/id/1341260")</f>
        <v>http://ts.21cn.com/tousu/show/id/1341260</v>
      </c>
      <c r="F10057" s="2" t="s">
        <v>11</v>
      </c>
      <c r="G10057" s="2" t="s">
        <v>24379</v>
      </c>
      <c r="H10057" s="2" t="s">
        <v>24380</v>
      </c>
    </row>
    <row r="10058" spans="1:8" ht="25.05" customHeight="1" x14ac:dyDescent="0.25">
      <c r="A10058" s="2" t="s">
        <v>8</v>
      </c>
      <c r="B10058" s="2" t="str">
        <f>HYPERLINK("http://ts.21cn.com/tousu/show/id/1341262","立刻马上不要再骚扰我通讯录里的人")</f>
        <v>立刻马上不要再骚扰我通讯录里的人</v>
      </c>
      <c r="C10058" s="2" t="s">
        <v>34</v>
      </c>
      <c r="D10058" s="2" t="s">
        <v>10</v>
      </c>
      <c r="E10058" s="2" t="str">
        <f>HYPERLINK("http://ts.21cn.com/tousu/show/id/1341262","http://ts.21cn.com/tousu/show/id/1341262")</f>
        <v>http://ts.21cn.com/tousu/show/id/1341262</v>
      </c>
      <c r="F10058" s="2" t="s">
        <v>11</v>
      </c>
      <c r="G10058" s="2" t="s">
        <v>24377</v>
      </c>
      <c r="H10058" s="2" t="s">
        <v>24378</v>
      </c>
    </row>
    <row r="10059" spans="1:8" ht="25.05" customHeight="1" x14ac:dyDescent="0.25">
      <c r="A10059" s="2" t="s">
        <v>8</v>
      </c>
      <c r="B10059" s="2" t="str">
        <f>HYPERLINK("http://ts.21cn.com/tousu/show/id/1341263","明世教育不予退费")</f>
        <v>明世教育不予退费</v>
      </c>
      <c r="C10059" s="2" t="s">
        <v>9</v>
      </c>
      <c r="D10059" s="2" t="s">
        <v>10</v>
      </c>
      <c r="E10059" s="2" t="str">
        <f>HYPERLINK("http://ts.21cn.com/tousu/show/id/1341263","http://ts.21cn.com/tousu/show/id/1341263")</f>
        <v>http://ts.21cn.com/tousu/show/id/1341263</v>
      </c>
      <c r="F10059" s="2" t="s">
        <v>11</v>
      </c>
      <c r="G10059" s="2" t="s">
        <v>24375</v>
      </c>
      <c r="H10059" s="2" t="s">
        <v>24376</v>
      </c>
    </row>
    <row r="10060" spans="1:8" ht="25.05" customHeight="1" x14ac:dyDescent="0.25">
      <c r="A10060" s="2" t="s">
        <v>8</v>
      </c>
      <c r="B10060" s="2" t="str">
        <f>HYPERLINK("http://ts.21cn.com/tousu/show/id/1341265","自由摩卡信用计划高利贷套路贷")</f>
        <v>自由摩卡信用计划高利贷套路贷</v>
      </c>
      <c r="C10060" s="2" t="s">
        <v>9</v>
      </c>
      <c r="D10060" s="2" t="s">
        <v>10</v>
      </c>
      <c r="E10060" s="2" t="str">
        <f>HYPERLINK("http://ts.21cn.com/tousu/show/id/1341265","http://ts.21cn.com/tousu/show/id/1341265")</f>
        <v>http://ts.21cn.com/tousu/show/id/1341265</v>
      </c>
      <c r="F10060" s="2" t="s">
        <v>11</v>
      </c>
      <c r="G10060" s="2" t="s">
        <v>24373</v>
      </c>
      <c r="H10060" s="2" t="s">
        <v>24374</v>
      </c>
    </row>
    <row r="10061" spans="1:8" ht="25.05" customHeight="1" x14ac:dyDescent="0.25">
      <c r="A10061" s="2" t="s">
        <v>8</v>
      </c>
      <c r="B10061" s="2" t="str">
        <f>HYPERLINK("http://ts.21cn.com/tousu/show/id/1341264","鑫速达借款存在严重的砍头息审核费用")</f>
        <v>鑫速达借款存在严重的砍头息审核费用</v>
      </c>
      <c r="C10061" s="2" t="s">
        <v>9</v>
      </c>
      <c r="D10061" s="2" t="s">
        <v>10</v>
      </c>
      <c r="E10061" s="2" t="str">
        <f>HYPERLINK("http://ts.21cn.com/tousu/show/id/1341264","http://ts.21cn.com/tousu/show/id/1341264")</f>
        <v>http://ts.21cn.com/tousu/show/id/1341264</v>
      </c>
      <c r="F10061" s="2" t="s">
        <v>11</v>
      </c>
      <c r="G10061" s="2" t="s">
        <v>24371</v>
      </c>
      <c r="H10061" s="2" t="s">
        <v>24372</v>
      </c>
    </row>
    <row r="10062" spans="1:8" ht="25.05" customHeight="1" x14ac:dyDescent="0.25">
      <c r="A10062" s="2" t="s">
        <v>8</v>
      </c>
      <c r="B10062" s="2" t="str">
        <f>HYPERLINK("http://ts.21cn.com/tousu/show/id/1341266","你我贷催收暴力")</f>
        <v>你我贷催收暴力</v>
      </c>
      <c r="C10062" s="2" t="s">
        <v>9</v>
      </c>
      <c r="D10062" s="2" t="s">
        <v>10</v>
      </c>
      <c r="E10062" s="2" t="str">
        <f>HYPERLINK("http://ts.21cn.com/tousu/show/id/1341266","http://ts.21cn.com/tousu/show/id/1341266")</f>
        <v>http://ts.21cn.com/tousu/show/id/1341266</v>
      </c>
      <c r="F10062" s="2" t="s">
        <v>11</v>
      </c>
      <c r="G10062" s="2" t="s">
        <v>24369</v>
      </c>
      <c r="H10062" s="2" t="s">
        <v>24370</v>
      </c>
    </row>
    <row r="10063" spans="1:8" ht="25.05" customHeight="1" x14ac:dyDescent="0.25">
      <c r="A10063" s="2" t="s">
        <v>8</v>
      </c>
      <c r="B10063" s="2" t="str">
        <f>HYPERLINK("http://ts.21cn.com/tousu/show/id/1341267","微品分期高利贷，不接受协商还款")</f>
        <v>微品分期高利贷，不接受协商还款</v>
      </c>
      <c r="C10063" s="2" t="s">
        <v>9</v>
      </c>
      <c r="D10063" s="2" t="s">
        <v>10</v>
      </c>
      <c r="E10063" s="2" t="str">
        <f>HYPERLINK("http://ts.21cn.com/tousu/show/id/1341267","http://ts.21cn.com/tousu/show/id/1341267")</f>
        <v>http://ts.21cn.com/tousu/show/id/1341267</v>
      </c>
      <c r="F10063" s="2" t="s">
        <v>11</v>
      </c>
      <c r="G10063" s="2" t="s">
        <v>24367</v>
      </c>
      <c r="H10063" s="2" t="s">
        <v>24368</v>
      </c>
    </row>
    <row r="10064" spans="1:8" ht="25.05" customHeight="1" x14ac:dyDescent="0.25">
      <c r="A10064" s="2" t="s">
        <v>8</v>
      </c>
      <c r="B10064" s="2" t="str">
        <f>HYPERLINK("http://ts.21cn.com/tousu/show/id/1341269","闪电借款黑卡退款")</f>
        <v>闪电借款黑卡退款</v>
      </c>
      <c r="C10064" s="2" t="s">
        <v>9</v>
      </c>
      <c r="D10064" s="2" t="s">
        <v>10</v>
      </c>
      <c r="E10064" s="2" t="str">
        <f>HYPERLINK("http://ts.21cn.com/tousu/show/id/1341269","http://ts.21cn.com/tousu/show/id/1341269")</f>
        <v>http://ts.21cn.com/tousu/show/id/1341269</v>
      </c>
      <c r="F10064" s="2" t="s">
        <v>11</v>
      </c>
      <c r="G10064" s="2" t="s">
        <v>24365</v>
      </c>
      <c r="H10064" s="2" t="s">
        <v>24366</v>
      </c>
    </row>
    <row r="10065" spans="1:8" ht="25.05" customHeight="1" x14ac:dyDescent="0.25">
      <c r="A10065" s="2" t="s">
        <v>8</v>
      </c>
      <c r="B10065" s="2" t="str">
        <f>HYPERLINK("http://ts.21cn.com/tousu/show/id/1341270","易智付公司扣钱")</f>
        <v>易智付公司扣钱</v>
      </c>
      <c r="C10065" s="2" t="s">
        <v>9</v>
      </c>
      <c r="D10065" s="2" t="s">
        <v>10</v>
      </c>
      <c r="E10065" s="2" t="str">
        <f>HYPERLINK("http://ts.21cn.com/tousu/show/id/1341270","http://ts.21cn.com/tousu/show/id/1341270")</f>
        <v>http://ts.21cn.com/tousu/show/id/1341270</v>
      </c>
      <c r="F10065" s="2" t="s">
        <v>11</v>
      </c>
      <c r="G10065" s="2" t="s">
        <v>24363</v>
      </c>
      <c r="H10065" s="2" t="s">
        <v>24364</v>
      </c>
    </row>
    <row r="10066" spans="1:8" ht="25.05" customHeight="1" x14ac:dyDescent="0.25">
      <c r="A10066" s="2" t="s">
        <v>8</v>
      </c>
      <c r="B10066" s="2" t="str">
        <f>HYPERLINK("http://ts.21cn.com/tousu/show/id/1341272","砍头息，暴力催收")</f>
        <v>砍头息，暴力催收</v>
      </c>
      <c r="C10066" s="2" t="s">
        <v>9</v>
      </c>
      <c r="D10066" s="2" t="s">
        <v>10</v>
      </c>
      <c r="E10066" s="2" t="str">
        <f>HYPERLINK("http://ts.21cn.com/tousu/show/id/1341272","http://ts.21cn.com/tousu/show/id/1341272")</f>
        <v>http://ts.21cn.com/tousu/show/id/1341272</v>
      </c>
      <c r="F10066" s="2" t="s">
        <v>11</v>
      </c>
      <c r="G10066" s="2" t="s">
        <v>24361</v>
      </c>
      <c r="H10066" s="2" t="s">
        <v>24362</v>
      </c>
    </row>
    <row r="10067" spans="1:8" ht="25.05" customHeight="1" x14ac:dyDescent="0.25">
      <c r="A10067" s="2" t="s">
        <v>8</v>
      </c>
      <c r="B10067" s="2" t="str">
        <f>HYPERLINK("http://ts.21cn.com/tousu/show/id/1341271","在咸鱼出售的订单，买家收到之后，申请介入退款，我提交证据之后，一直无人处理售后")</f>
        <v>在咸鱼出售的订单，买家收到之后，申请介入退款，我提交证据之后，一直无人处理售后</v>
      </c>
      <c r="C10067" s="2" t="s">
        <v>9</v>
      </c>
      <c r="D10067" s="2" t="s">
        <v>10</v>
      </c>
      <c r="E10067" s="2" t="str">
        <f>HYPERLINK("http://ts.21cn.com/tousu/show/id/1341271","http://ts.21cn.com/tousu/show/id/1341271")</f>
        <v>http://ts.21cn.com/tousu/show/id/1341271</v>
      </c>
      <c r="F10067" s="2" t="s">
        <v>11</v>
      </c>
      <c r="G10067" s="2" t="s">
        <v>24359</v>
      </c>
      <c r="H10067" s="2" t="s">
        <v>24360</v>
      </c>
    </row>
    <row r="10068" spans="1:8" ht="25.05" customHeight="1" x14ac:dyDescent="0.25">
      <c r="A10068" s="2" t="s">
        <v>8</v>
      </c>
      <c r="B10068" s="2" t="str">
        <f>HYPERLINK("http://ts.21cn.com/tousu/show/id/1341276","中金支付中金嘉盈顺")</f>
        <v>中金支付中金嘉盈顺</v>
      </c>
      <c r="C10068" s="2" t="s">
        <v>9</v>
      </c>
      <c r="D10068" s="2" t="s">
        <v>10</v>
      </c>
      <c r="E10068" s="2" t="str">
        <f>HYPERLINK("http://ts.21cn.com/tousu/show/id/1341276","http://ts.21cn.com/tousu/show/id/1341276")</f>
        <v>http://ts.21cn.com/tousu/show/id/1341276</v>
      </c>
      <c r="F10068" s="2" t="s">
        <v>11</v>
      </c>
      <c r="G10068" s="2" t="s">
        <v>24357</v>
      </c>
      <c r="H10068" s="2" t="s">
        <v>24358</v>
      </c>
    </row>
    <row r="10069" spans="1:8" ht="25.05" customHeight="1" x14ac:dyDescent="0.25">
      <c r="A10069" s="2" t="s">
        <v>8</v>
      </c>
      <c r="B10069" s="2" t="str">
        <f>HYPERLINK("http://ts.21cn.com/tousu/show/id/1341274","希望恢复服务分，更换口碑值")</f>
        <v>希望恢复服务分，更换口碑值</v>
      </c>
      <c r="C10069" s="2" t="s">
        <v>9</v>
      </c>
      <c r="D10069" s="2" t="s">
        <v>10</v>
      </c>
      <c r="E10069" s="2" t="str">
        <f>HYPERLINK("http://ts.21cn.com/tousu/show/id/1341274","http://ts.21cn.com/tousu/show/id/1341274")</f>
        <v>http://ts.21cn.com/tousu/show/id/1341274</v>
      </c>
      <c r="F10069" s="2" t="s">
        <v>11</v>
      </c>
      <c r="G10069" s="2" t="s">
        <v>24355</v>
      </c>
      <c r="H10069" s="2" t="s">
        <v>24356</v>
      </c>
    </row>
    <row r="10070" spans="1:8" ht="25.05" customHeight="1" x14ac:dyDescent="0.25">
      <c r="A10070" s="2" t="s">
        <v>8</v>
      </c>
      <c r="B10070" s="2" t="str">
        <f>HYPERLINK("http://ts.21cn.com/tousu/show/id/1341275","高铁管家抢票失败不退款")</f>
        <v>高铁管家抢票失败不退款</v>
      </c>
      <c r="C10070" s="2" t="s">
        <v>9</v>
      </c>
      <c r="D10070" s="2" t="s">
        <v>10</v>
      </c>
      <c r="E10070" s="2" t="str">
        <f>HYPERLINK("http://ts.21cn.com/tousu/show/id/1341275","http://ts.21cn.com/tousu/show/id/1341275")</f>
        <v>http://ts.21cn.com/tousu/show/id/1341275</v>
      </c>
      <c r="F10070" s="2" t="s">
        <v>11</v>
      </c>
      <c r="G10070" s="2" t="s">
        <v>24353</v>
      </c>
      <c r="H10070" s="2" t="s">
        <v>24354</v>
      </c>
    </row>
    <row r="10071" spans="1:8" ht="25.05" customHeight="1" x14ac:dyDescent="0.25">
      <c r="A10071" s="2" t="s">
        <v>8</v>
      </c>
      <c r="B10071" s="2" t="str">
        <f>HYPERLINK("http://ts.21cn.com/tousu/show/id/1341268","淘手游不退款")</f>
        <v>淘手游不退款</v>
      </c>
      <c r="C10071" s="2" t="s">
        <v>9</v>
      </c>
      <c r="D10071" s="2" t="s">
        <v>10</v>
      </c>
      <c r="E10071" s="2" t="str">
        <f>HYPERLINK("http://ts.21cn.com/tousu/show/id/1341268","http://ts.21cn.com/tousu/show/id/1341268")</f>
        <v>http://ts.21cn.com/tousu/show/id/1341268</v>
      </c>
      <c r="F10071" s="2" t="s">
        <v>11</v>
      </c>
      <c r="G10071" s="2" t="s">
        <v>24351</v>
      </c>
      <c r="H10071" s="2" t="s">
        <v>24352</v>
      </c>
    </row>
    <row r="10072" spans="1:8" ht="25.05" customHeight="1" x14ac:dyDescent="0.25">
      <c r="A10072" s="2" t="s">
        <v>8</v>
      </c>
      <c r="B10072" s="2" t="str">
        <f>HYPERLINK("http://ts.21cn.com/tousu/show/id/1341277","京东金条暴力恐吓催收")</f>
        <v>京东金条暴力恐吓催收</v>
      </c>
      <c r="C10072" s="2" t="s">
        <v>9</v>
      </c>
      <c r="D10072" s="2" t="s">
        <v>10</v>
      </c>
      <c r="E10072" s="2" t="str">
        <f>HYPERLINK("http://ts.21cn.com/tousu/show/id/1341277","http://ts.21cn.com/tousu/show/id/1341277")</f>
        <v>http://ts.21cn.com/tousu/show/id/1341277</v>
      </c>
      <c r="F10072" s="2" t="s">
        <v>11</v>
      </c>
      <c r="G10072" s="2" t="s">
        <v>24349</v>
      </c>
      <c r="H10072" s="2" t="s">
        <v>24350</v>
      </c>
    </row>
    <row r="10073" spans="1:8" ht="25.05" customHeight="1" x14ac:dyDescent="0.25">
      <c r="A10073" s="2" t="s">
        <v>8</v>
      </c>
      <c r="B10073" s="2" t="str">
        <f>HYPERLINK("http://ts.21cn.com/tousu/show/id/1341278","月光侠分期高利贷")</f>
        <v>月光侠分期高利贷</v>
      </c>
      <c r="C10073" s="2" t="s">
        <v>9</v>
      </c>
      <c r="D10073" s="2" t="s">
        <v>10</v>
      </c>
      <c r="E10073" s="2" t="str">
        <f>HYPERLINK("http://ts.21cn.com/tousu/show/id/1341278","http://ts.21cn.com/tousu/show/id/1341278")</f>
        <v>http://ts.21cn.com/tousu/show/id/1341278</v>
      </c>
      <c r="F10073" s="2" t="s">
        <v>11</v>
      </c>
      <c r="G10073" s="2" t="s">
        <v>24347</v>
      </c>
      <c r="H10073" s="2" t="s">
        <v>24348</v>
      </c>
    </row>
    <row r="10074" spans="1:8" ht="25.05" customHeight="1" x14ac:dyDescent="0.25">
      <c r="A10074" s="2" t="s">
        <v>8</v>
      </c>
      <c r="B10074" s="2" t="str">
        <f>HYPERLINK("http://ts.21cn.com/tousu/show/id/1341279","畅捷支付为714高利贷无限分期提供支付通道")</f>
        <v>畅捷支付为714高利贷无限分期提供支付通道</v>
      </c>
      <c r="C10074" s="2" t="s">
        <v>9</v>
      </c>
      <c r="D10074" s="2" t="s">
        <v>10</v>
      </c>
      <c r="E10074" s="2" t="str">
        <f>HYPERLINK("http://ts.21cn.com/tousu/show/id/1341279","http://ts.21cn.com/tousu/show/id/1341279")</f>
        <v>http://ts.21cn.com/tousu/show/id/1341279</v>
      </c>
      <c r="F10074" s="2" t="s">
        <v>11</v>
      </c>
      <c r="G10074" s="2" t="s">
        <v>24345</v>
      </c>
      <c r="H10074" s="2" t="s">
        <v>24346</v>
      </c>
    </row>
    <row r="10075" spans="1:8" ht="25.05" customHeight="1" x14ac:dyDescent="0.25">
      <c r="A10075" s="2" t="s">
        <v>8</v>
      </c>
      <c r="B10075" s="2" t="str">
        <f>HYPERLINK("http://ts.21cn.com/tousu/show/id/1341280","网贷暴力催收")</f>
        <v>网贷暴力催收</v>
      </c>
      <c r="C10075" s="2" t="s">
        <v>9</v>
      </c>
      <c r="D10075" s="2" t="s">
        <v>10</v>
      </c>
      <c r="E10075" s="2" t="str">
        <f>HYPERLINK("http://ts.21cn.com/tousu/show/id/1341280","http://ts.21cn.com/tousu/show/id/1341280")</f>
        <v>http://ts.21cn.com/tousu/show/id/1341280</v>
      </c>
      <c r="F10075" s="2" t="s">
        <v>11</v>
      </c>
      <c r="G10075" s="2" t="s">
        <v>24343</v>
      </c>
      <c r="H10075" s="2" t="s">
        <v>24344</v>
      </c>
    </row>
    <row r="10076" spans="1:8" ht="25.05" customHeight="1" x14ac:dyDescent="0.25">
      <c r="A10076" s="2" t="s">
        <v>8</v>
      </c>
      <c r="B10076" s="2" t="str">
        <f>HYPERLINK("http://ts.21cn.com/tousu/show/id/1341255","投诉中金支付有限公司为非法交易平台提供资金结算服务，要求赔偿损失")</f>
        <v>投诉中金支付有限公司为非法交易平台提供资金结算服务，要求赔偿损失</v>
      </c>
      <c r="C10076" s="2" t="s">
        <v>9</v>
      </c>
      <c r="D10076" s="2" t="s">
        <v>10</v>
      </c>
      <c r="E10076" s="2" t="str">
        <f>HYPERLINK("http://ts.21cn.com/tousu/show/id/1341255","http://ts.21cn.com/tousu/show/id/1341255")</f>
        <v>http://ts.21cn.com/tousu/show/id/1341255</v>
      </c>
      <c r="F10076" s="2" t="s">
        <v>11</v>
      </c>
      <c r="G10076" s="2" t="s">
        <v>24341</v>
      </c>
      <c r="H10076" s="2" t="s">
        <v>24342</v>
      </c>
    </row>
    <row r="10077" spans="1:8" ht="25.05" customHeight="1" x14ac:dyDescent="0.25">
      <c r="A10077" s="2" t="s">
        <v>8</v>
      </c>
      <c r="B10077" s="2" t="str">
        <f>HYPERLINK("http://ts.21cn.com/tousu/show/id/1341281","滴滴出行服务分问题")</f>
        <v>滴滴出行服务分问题</v>
      </c>
      <c r="C10077" s="2" t="s">
        <v>9</v>
      </c>
      <c r="D10077" s="2" t="s">
        <v>10</v>
      </c>
      <c r="E10077" s="2" t="str">
        <f>HYPERLINK("http://ts.21cn.com/tousu/show/id/1341281","http://ts.21cn.com/tousu/show/id/1341281")</f>
        <v>http://ts.21cn.com/tousu/show/id/1341281</v>
      </c>
      <c r="F10077" s="2" t="s">
        <v>11</v>
      </c>
      <c r="G10077" s="2" t="s">
        <v>24339</v>
      </c>
      <c r="H10077" s="2" t="s">
        <v>24340</v>
      </c>
    </row>
    <row r="10078" spans="1:8" ht="25.05" customHeight="1" x14ac:dyDescent="0.25">
      <c r="A10078" s="2" t="s">
        <v>8</v>
      </c>
      <c r="B10078" s="2" t="str">
        <f>HYPERLINK("http://ts.21cn.com/tousu/show/id/1341282","暴力催款")</f>
        <v>暴力催款</v>
      </c>
      <c r="C10078" s="2" t="s">
        <v>9</v>
      </c>
      <c r="D10078" s="2" t="s">
        <v>10</v>
      </c>
      <c r="E10078" s="2" t="str">
        <f>HYPERLINK("http://ts.21cn.com/tousu/show/id/1341282","http://ts.21cn.com/tousu/show/id/1341282")</f>
        <v>http://ts.21cn.com/tousu/show/id/1341282</v>
      </c>
      <c r="F10078" s="2" t="s">
        <v>11</v>
      </c>
      <c r="G10078" s="2" t="s">
        <v>24337</v>
      </c>
      <c r="H10078" s="2" t="s">
        <v>24338</v>
      </c>
    </row>
    <row r="10079" spans="1:8" ht="25.05" customHeight="1" x14ac:dyDescent="0.25">
      <c r="A10079" s="2" t="s">
        <v>8</v>
      </c>
      <c r="B10079" s="2" t="str">
        <f>HYPERLINK("http://ts.21cn.com/tousu/show/id/1341283","平安普惠恶意骚扰家人并威胁恐吓收取高额保险费用")</f>
        <v>平安普惠恶意骚扰家人并威胁恐吓收取高额保险费用</v>
      </c>
      <c r="C10079" s="2" t="s">
        <v>9</v>
      </c>
      <c r="D10079" s="2" t="s">
        <v>10</v>
      </c>
      <c r="E10079" s="2" t="str">
        <f>HYPERLINK("http://ts.21cn.com/tousu/show/id/1341283","http://ts.21cn.com/tousu/show/id/1341283")</f>
        <v>http://ts.21cn.com/tousu/show/id/1341283</v>
      </c>
      <c r="F10079" s="2" t="s">
        <v>11</v>
      </c>
      <c r="G10079" s="2" t="s">
        <v>24335</v>
      </c>
      <c r="H10079" s="2" t="s">
        <v>24336</v>
      </c>
    </row>
    <row r="10080" spans="1:8" ht="25.05" customHeight="1" x14ac:dyDescent="0.25">
      <c r="A10080" s="2" t="s">
        <v>8</v>
      </c>
      <c r="B10080" s="2" t="str">
        <f>HYPERLINK("http://ts.21cn.com/tousu/show/id/1341286","及贷威胁爆通讯录")</f>
        <v>及贷威胁爆通讯录</v>
      </c>
      <c r="C10080" s="2" t="s">
        <v>9</v>
      </c>
      <c r="D10080" s="2" t="s">
        <v>10</v>
      </c>
      <c r="E10080" s="2" t="str">
        <f>HYPERLINK("http://ts.21cn.com/tousu/show/id/1341286","http://ts.21cn.com/tousu/show/id/1341286")</f>
        <v>http://ts.21cn.com/tousu/show/id/1341286</v>
      </c>
      <c r="F10080" s="2" t="s">
        <v>11</v>
      </c>
      <c r="G10080" s="2" t="s">
        <v>24333</v>
      </c>
      <c r="H10080" s="2" t="s">
        <v>24334</v>
      </c>
    </row>
    <row r="10081" spans="1:8" ht="25.05" customHeight="1" x14ac:dyDescent="0.25">
      <c r="A10081" s="2" t="s">
        <v>8</v>
      </c>
      <c r="B10081" s="2" t="str">
        <f>HYPERLINK("http://ts.21cn.com/tousu/show/id/1341287","前橙无忧乱扣钱")</f>
        <v>前橙无忧乱扣钱</v>
      </c>
      <c r="C10081" s="2" t="s">
        <v>9</v>
      </c>
      <c r="D10081" s="2" t="s">
        <v>10</v>
      </c>
      <c r="E10081" s="2" t="str">
        <f>HYPERLINK("http://ts.21cn.com/tousu/show/id/1341287","http://ts.21cn.com/tousu/show/id/1341287")</f>
        <v>http://ts.21cn.com/tousu/show/id/1341287</v>
      </c>
      <c r="F10081" s="2" t="s">
        <v>11</v>
      </c>
      <c r="G10081" s="2" t="s">
        <v>24331</v>
      </c>
      <c r="H10081" s="2" t="s">
        <v>24332</v>
      </c>
    </row>
    <row r="10082" spans="1:8" ht="25.05" customHeight="1" x14ac:dyDescent="0.25">
      <c r="A10082" s="2" t="s">
        <v>8</v>
      </c>
      <c r="B10082" s="2" t="str">
        <f>HYPERLINK("http://ts.21cn.com/tousu/show/id/1341288","投诉百合网虚假宣传诱导欺诈消费者充值会员")</f>
        <v>投诉百合网虚假宣传诱导欺诈消费者充值会员</v>
      </c>
      <c r="C10082" s="2" t="s">
        <v>9</v>
      </c>
      <c r="D10082" s="2" t="s">
        <v>10</v>
      </c>
      <c r="E10082" s="2" t="str">
        <f>HYPERLINK("http://ts.21cn.com/tousu/show/id/1341288","http://ts.21cn.com/tousu/show/id/1341288")</f>
        <v>http://ts.21cn.com/tousu/show/id/1341288</v>
      </c>
      <c r="F10082" s="2" t="s">
        <v>11</v>
      </c>
      <c r="G10082" s="2" t="s">
        <v>24329</v>
      </c>
      <c r="H10082" s="2" t="s">
        <v>24330</v>
      </c>
    </row>
    <row r="10083" spans="1:8" ht="25.05" customHeight="1" x14ac:dyDescent="0.25">
      <c r="A10083" s="2" t="s">
        <v>8</v>
      </c>
      <c r="B10083" s="2" t="str">
        <f>HYPERLINK("http://ts.21cn.com/tousu/show/id/1341291","要求好分期注销账号")</f>
        <v>要求好分期注销账号</v>
      </c>
      <c r="C10083" s="2" t="s">
        <v>9</v>
      </c>
      <c r="D10083" s="2" t="s">
        <v>10</v>
      </c>
      <c r="E10083" s="2" t="str">
        <f>HYPERLINK("http://ts.21cn.com/tousu/show/id/1341291","http://ts.21cn.com/tousu/show/id/1341291")</f>
        <v>http://ts.21cn.com/tousu/show/id/1341291</v>
      </c>
      <c r="F10083" s="2" t="s">
        <v>11</v>
      </c>
      <c r="G10083" s="2" t="s">
        <v>24327</v>
      </c>
      <c r="H10083" s="2" t="s">
        <v>24328</v>
      </c>
    </row>
    <row r="10084" spans="1:8" ht="25.05" customHeight="1" x14ac:dyDescent="0.25">
      <c r="A10084" s="2" t="s">
        <v>8</v>
      </c>
      <c r="B10084" s="2" t="str">
        <f>HYPERLINK("http://ts.21cn.com/tousu/show/id/1341290","网络彩票")</f>
        <v>网络彩票</v>
      </c>
      <c r="C10084" s="2" t="s">
        <v>9</v>
      </c>
      <c r="D10084" s="2" t="s">
        <v>10</v>
      </c>
      <c r="E10084" s="2" t="str">
        <f>HYPERLINK("http://ts.21cn.com/tousu/show/id/1341290","http://ts.21cn.com/tousu/show/id/1341290")</f>
        <v>http://ts.21cn.com/tousu/show/id/1341290</v>
      </c>
      <c r="F10084" s="2" t="s">
        <v>11</v>
      </c>
      <c r="G10084" s="2" t="s">
        <v>24325</v>
      </c>
      <c r="H10084" s="2" t="s">
        <v>24326</v>
      </c>
    </row>
    <row r="10085" spans="1:8" ht="25.05" customHeight="1" x14ac:dyDescent="0.25">
      <c r="A10085" s="2" t="s">
        <v>8</v>
      </c>
      <c r="B10085" s="2" t="str">
        <f>HYPERLINK("http://ts.21cn.com/tousu/show/id/1341285","现金巴士电话骚扰")</f>
        <v>现金巴士电话骚扰</v>
      </c>
      <c r="C10085" s="2" t="s">
        <v>9</v>
      </c>
      <c r="D10085" s="2" t="s">
        <v>10</v>
      </c>
      <c r="E10085" s="2" t="str">
        <f>HYPERLINK("http://ts.21cn.com/tousu/show/id/1341285","http://ts.21cn.com/tousu/show/id/1341285")</f>
        <v>http://ts.21cn.com/tousu/show/id/1341285</v>
      </c>
      <c r="F10085" s="2" t="s">
        <v>11</v>
      </c>
      <c r="G10085" s="2" t="s">
        <v>24323</v>
      </c>
      <c r="H10085" s="2" t="s">
        <v>24324</v>
      </c>
    </row>
    <row r="10086" spans="1:8" ht="25.05" customHeight="1" x14ac:dyDescent="0.25">
      <c r="A10086" s="2" t="s">
        <v>8</v>
      </c>
      <c r="B10086" s="2" t="str">
        <f>HYPERLINK("http://ts.21cn.com/tousu/show/id/1341292","停止骚扰")</f>
        <v>停止骚扰</v>
      </c>
      <c r="C10086" s="2" t="s">
        <v>9</v>
      </c>
      <c r="D10086" s="2" t="s">
        <v>10</v>
      </c>
      <c r="E10086" s="2" t="str">
        <f>HYPERLINK("http://ts.21cn.com/tousu/show/id/1341292","http://ts.21cn.com/tousu/show/id/1341292")</f>
        <v>http://ts.21cn.com/tousu/show/id/1341292</v>
      </c>
      <c r="F10086" s="2" t="s">
        <v>11</v>
      </c>
      <c r="G10086" s="2" t="s">
        <v>24321</v>
      </c>
      <c r="H10086" s="2" t="s">
        <v>24322</v>
      </c>
    </row>
    <row r="10087" spans="1:8" ht="25.05" customHeight="1" x14ac:dyDescent="0.25">
      <c r="A10087" s="2" t="s">
        <v>8</v>
      </c>
      <c r="B10087" s="2" t="str">
        <f>HYPERLINK("http://ts.21cn.com/tousu/show/id/1341293","车子信息泄漏")</f>
        <v>车子信息泄漏</v>
      </c>
      <c r="C10087" s="2" t="s">
        <v>9</v>
      </c>
      <c r="D10087" s="2" t="s">
        <v>10</v>
      </c>
      <c r="E10087" s="2" t="str">
        <f>HYPERLINK("http://ts.21cn.com/tousu/show/id/1341293","http://ts.21cn.com/tousu/show/id/1341293")</f>
        <v>http://ts.21cn.com/tousu/show/id/1341293</v>
      </c>
      <c r="F10087" s="2" t="s">
        <v>11</v>
      </c>
      <c r="G10087" s="2" t="s">
        <v>24319</v>
      </c>
      <c r="H10087" s="2" t="s">
        <v>24320</v>
      </c>
    </row>
    <row r="10088" spans="1:8" ht="25.05" customHeight="1" x14ac:dyDescent="0.25">
      <c r="A10088" s="2" t="s">
        <v>8</v>
      </c>
      <c r="B10088" s="2" t="str">
        <f>HYPERLINK("http://ts.21cn.com/tousu/show/id/1341194","优信优卡不能充值，合作方寺库、北京银联商务受牵连，回应协助积极处理")</f>
        <v>优信优卡不能充值，合作方寺库、北京银联商务受牵连，回应协助积极处理</v>
      </c>
      <c r="C10088" s="2" t="s">
        <v>9</v>
      </c>
      <c r="D10088" s="2" t="s">
        <v>10</v>
      </c>
      <c r="E10088" s="2" t="str">
        <f>HYPERLINK("http://ts.21cn.com/tousu/show/id/1341194","http://ts.21cn.com/tousu/show/id/1341194")</f>
        <v>http://ts.21cn.com/tousu/show/id/1341194</v>
      </c>
      <c r="F10088" s="2" t="s">
        <v>11</v>
      </c>
      <c r="G10088" s="2" t="s">
        <v>24317</v>
      </c>
      <c r="H10088" s="2" t="s">
        <v>24318</v>
      </c>
    </row>
    <row r="10089" spans="1:8" ht="25.05" customHeight="1" x14ac:dyDescent="0.25">
      <c r="A10089" s="2" t="s">
        <v>8</v>
      </c>
      <c r="B10089" s="2" t="str">
        <f>HYPERLINK("http://ts.21cn.com/tousu/show/id/1341294","明明是本人送单却说识别不了本人")</f>
        <v>明明是本人送单却说识别不了本人</v>
      </c>
      <c r="C10089" s="2" t="s">
        <v>34</v>
      </c>
      <c r="D10089" s="2" t="s">
        <v>10</v>
      </c>
      <c r="E10089" s="2" t="str">
        <f>HYPERLINK("http://ts.21cn.com/tousu/show/id/1341294","http://ts.21cn.com/tousu/show/id/1341294")</f>
        <v>http://ts.21cn.com/tousu/show/id/1341294</v>
      </c>
      <c r="F10089" s="2" t="s">
        <v>11</v>
      </c>
      <c r="G10089" s="2" t="s">
        <v>24315</v>
      </c>
      <c r="H10089" s="2" t="s">
        <v>24316</v>
      </c>
    </row>
    <row r="10090" spans="1:8" ht="25.05" customHeight="1" x14ac:dyDescent="0.25">
      <c r="A10090" s="2" t="s">
        <v>8</v>
      </c>
      <c r="B10090" s="2" t="str">
        <f>HYPERLINK("http://ts.21cn.com/tousu/show/id/1341296","恶意扣款100元要求退还")</f>
        <v>恶意扣款100元要求退还</v>
      </c>
      <c r="C10090" s="2" t="s">
        <v>9</v>
      </c>
      <c r="D10090" s="2" t="s">
        <v>10</v>
      </c>
      <c r="E10090" s="2" t="str">
        <f>HYPERLINK("http://ts.21cn.com/tousu/show/id/1341296","http://ts.21cn.com/tousu/show/id/1341296")</f>
        <v>http://ts.21cn.com/tousu/show/id/1341296</v>
      </c>
      <c r="F10090" s="2" t="s">
        <v>11</v>
      </c>
      <c r="G10090" s="2" t="s">
        <v>24313</v>
      </c>
      <c r="H10090" s="2" t="s">
        <v>24314</v>
      </c>
    </row>
    <row r="10091" spans="1:8" ht="25.05" customHeight="1" x14ac:dyDescent="0.25">
      <c r="A10091" s="2" t="s">
        <v>8</v>
      </c>
      <c r="B10091" s="2" t="str">
        <f>HYPERLINK("http://ts.21cn.com/tousu/show/id/1341297","信而富，云南信托和中金支付一起阴阳合同收取砍头息")</f>
        <v>信而富，云南信托和中金支付一起阴阳合同收取砍头息</v>
      </c>
      <c r="C10091" s="2" t="s">
        <v>9</v>
      </c>
      <c r="D10091" s="2" t="s">
        <v>10</v>
      </c>
      <c r="E10091" s="2" t="str">
        <f>HYPERLINK("http://ts.21cn.com/tousu/show/id/1341297","http://ts.21cn.com/tousu/show/id/1341297")</f>
        <v>http://ts.21cn.com/tousu/show/id/1341297</v>
      </c>
      <c r="F10091" s="2" t="s">
        <v>11</v>
      </c>
      <c r="G10091" s="2" t="s">
        <v>24311</v>
      </c>
      <c r="H10091" s="2" t="s">
        <v>24312</v>
      </c>
    </row>
    <row r="10092" spans="1:8" ht="25.05" customHeight="1" x14ac:dyDescent="0.25">
      <c r="A10092" s="2" t="s">
        <v>8</v>
      </c>
      <c r="B10092" s="2" t="str">
        <f>HYPERLINK("http://ts.21cn.com/tousu/show/id/1341298","变相收取砍头息、高利贷")</f>
        <v>变相收取砍头息、高利贷</v>
      </c>
      <c r="C10092" s="2" t="s">
        <v>9</v>
      </c>
      <c r="D10092" s="2" t="s">
        <v>10</v>
      </c>
      <c r="E10092" s="2" t="str">
        <f>HYPERLINK("http://ts.21cn.com/tousu/show/id/1341298","http://ts.21cn.com/tousu/show/id/1341298")</f>
        <v>http://ts.21cn.com/tousu/show/id/1341298</v>
      </c>
      <c r="F10092" s="2" t="s">
        <v>11</v>
      </c>
      <c r="G10092" s="2" t="s">
        <v>24309</v>
      </c>
      <c r="H10092" s="2" t="s">
        <v>24310</v>
      </c>
    </row>
    <row r="10093" spans="1:8" ht="25.05" customHeight="1" x14ac:dyDescent="0.25">
      <c r="A10093" s="2" t="s">
        <v>8</v>
      </c>
      <c r="B10093" s="2" t="str">
        <f>HYPERLINK("http://ts.21cn.com/tousu/show/id/1341299","交通银行曝光身份信息给村委会打电话黑社会组织没有工号也没有说自己是哪个公司的")</f>
        <v>交通银行曝光身份信息给村委会打电话黑社会组织没有工号也没有说自己是哪个公司的</v>
      </c>
      <c r="C10093" s="2" t="s">
        <v>9</v>
      </c>
      <c r="D10093" s="2" t="s">
        <v>10</v>
      </c>
      <c r="E10093" s="2" t="str">
        <f>HYPERLINK("http://ts.21cn.com/tousu/show/id/1341299","http://ts.21cn.com/tousu/show/id/1341299")</f>
        <v>http://ts.21cn.com/tousu/show/id/1341299</v>
      </c>
      <c r="F10093" s="2" t="s">
        <v>11</v>
      </c>
      <c r="G10093" s="2" t="s">
        <v>24307</v>
      </c>
      <c r="H10093" s="2" t="s">
        <v>24308</v>
      </c>
    </row>
    <row r="10094" spans="1:8" ht="25.05" customHeight="1" x14ac:dyDescent="0.25">
      <c r="A10094" s="2" t="s">
        <v>8</v>
      </c>
      <c r="B10094" s="2" t="str">
        <f>HYPERLINK("http://ts.21cn.com/tousu/show/id/1341300","取消业务，误导办理")</f>
        <v>取消业务，误导办理</v>
      </c>
      <c r="C10094" s="2" t="s">
        <v>9</v>
      </c>
      <c r="D10094" s="2" t="s">
        <v>10</v>
      </c>
      <c r="E10094" s="2" t="str">
        <f>HYPERLINK("http://ts.21cn.com/tousu/show/id/1341300","http://ts.21cn.com/tousu/show/id/1341300")</f>
        <v>http://ts.21cn.com/tousu/show/id/1341300</v>
      </c>
      <c r="F10094" s="2" t="s">
        <v>11</v>
      </c>
      <c r="G10094" s="2" t="s">
        <v>24305</v>
      </c>
      <c r="H10094" s="2" t="s">
        <v>24306</v>
      </c>
    </row>
    <row r="10095" spans="1:8" ht="25.05" customHeight="1" x14ac:dyDescent="0.25">
      <c r="A10095" s="2" t="s">
        <v>8</v>
      </c>
      <c r="B10095" s="2" t="str">
        <f>HYPERLINK("http://ts.21cn.com/tousu/show/id/1341301","360借条恶意催收侮辱恐吓借款人")</f>
        <v>360借条恶意催收侮辱恐吓借款人</v>
      </c>
      <c r="C10095" s="2" t="s">
        <v>9</v>
      </c>
      <c r="D10095" s="2" t="s">
        <v>10</v>
      </c>
      <c r="E10095" s="2" t="str">
        <f>HYPERLINK("http://ts.21cn.com/tousu/show/id/1341301","http://ts.21cn.com/tousu/show/id/1341301")</f>
        <v>http://ts.21cn.com/tousu/show/id/1341301</v>
      </c>
      <c r="F10095" s="2" t="s">
        <v>11</v>
      </c>
      <c r="G10095" s="2" t="s">
        <v>24303</v>
      </c>
      <c r="H10095" s="2" t="s">
        <v>24304</v>
      </c>
    </row>
    <row r="10096" spans="1:8" ht="25.05" customHeight="1" x14ac:dyDescent="0.25">
      <c r="A10096" s="2" t="s">
        <v>8</v>
      </c>
      <c r="B10096" s="2" t="str">
        <f>HYPERLINK("http://ts.21cn.com/tousu/show/id/1341303","浦发银行暴力催收")</f>
        <v>浦发银行暴力催收</v>
      </c>
      <c r="C10096" s="2" t="s">
        <v>9</v>
      </c>
      <c r="D10096" s="2" t="s">
        <v>10</v>
      </c>
      <c r="E10096" s="2" t="str">
        <f>HYPERLINK("http://ts.21cn.com/tousu/show/id/1341303","http://ts.21cn.com/tousu/show/id/1341303")</f>
        <v>http://ts.21cn.com/tousu/show/id/1341303</v>
      </c>
      <c r="F10096" s="2" t="s">
        <v>11</v>
      </c>
      <c r="G10096" s="2" t="s">
        <v>24301</v>
      </c>
      <c r="H10096" s="2" t="s">
        <v>24302</v>
      </c>
    </row>
    <row r="10097" spans="1:8" ht="25.05" customHeight="1" x14ac:dyDescent="0.25">
      <c r="A10097" s="2" t="s">
        <v>8</v>
      </c>
      <c r="B10097" s="2" t="str">
        <f>HYPERLINK("http://ts.21cn.com/tousu/show/id/1341304","暴力催收态度恶劣")</f>
        <v>暴力催收态度恶劣</v>
      </c>
      <c r="C10097" s="2" t="s">
        <v>9</v>
      </c>
      <c r="D10097" s="2" t="s">
        <v>10</v>
      </c>
      <c r="E10097" s="2" t="str">
        <f>HYPERLINK("http://ts.21cn.com/tousu/show/id/1341304","http://ts.21cn.com/tousu/show/id/1341304")</f>
        <v>http://ts.21cn.com/tousu/show/id/1341304</v>
      </c>
      <c r="F10097" s="2" t="s">
        <v>11</v>
      </c>
      <c r="G10097" s="2" t="s">
        <v>24298</v>
      </c>
      <c r="H10097" s="2" t="s">
        <v>24299</v>
      </c>
    </row>
    <row r="10098" spans="1:8" ht="25.05" customHeight="1" x14ac:dyDescent="0.25">
      <c r="A10098" s="2" t="s">
        <v>8</v>
      </c>
      <c r="B10098" s="2" t="str">
        <f>HYPERLINK("http://ts.21cn.com/tousu/show/id/1341302","催收无法沟通威胁说要联系通讯录")</f>
        <v>催收无法沟通威胁说要联系通讯录</v>
      </c>
      <c r="C10098" s="2" t="s">
        <v>9</v>
      </c>
      <c r="D10098" s="2" t="s">
        <v>10</v>
      </c>
      <c r="E10098" s="2" t="str">
        <f>HYPERLINK("http://ts.21cn.com/tousu/show/id/1341302","http://ts.21cn.com/tousu/show/id/1341302")</f>
        <v>http://ts.21cn.com/tousu/show/id/1341302</v>
      </c>
      <c r="F10098" s="2" t="s">
        <v>11</v>
      </c>
      <c r="G10098" s="2" t="s">
        <v>24298</v>
      </c>
      <c r="H10098" s="2" t="s">
        <v>24300</v>
      </c>
    </row>
    <row r="10099" spans="1:8" ht="25.05" customHeight="1" x14ac:dyDescent="0.25">
      <c r="A10099" s="2" t="s">
        <v>8</v>
      </c>
      <c r="B10099" s="2" t="str">
        <f>HYPERLINK("http://ts.21cn.com/tousu/show/id/1341295","逃跑吧少年，游戏诱导十岁孩子花大量钱买钻石。")</f>
        <v>逃跑吧少年，游戏诱导十岁孩子花大量钱买钻石。</v>
      </c>
      <c r="C10099" s="2" t="s">
        <v>9</v>
      </c>
      <c r="D10099" s="2" t="s">
        <v>10</v>
      </c>
      <c r="E10099" s="2" t="str">
        <f>HYPERLINK("http://ts.21cn.com/tousu/show/id/1341295","http://ts.21cn.com/tousu/show/id/1341295")</f>
        <v>http://ts.21cn.com/tousu/show/id/1341295</v>
      </c>
      <c r="F10099" s="2" t="s">
        <v>11</v>
      </c>
      <c r="G10099" s="2" t="s">
        <v>24296</v>
      </c>
      <c r="H10099" s="2" t="s">
        <v>24297</v>
      </c>
    </row>
    <row r="10100" spans="1:8" ht="25.05" customHeight="1" x14ac:dyDescent="0.25">
      <c r="A10100" s="2" t="s">
        <v>8</v>
      </c>
      <c r="B10100" s="2" t="str">
        <f>HYPERLINK("http://ts.21cn.com/tousu/show/id/1341306","微信商业版在途资金拦截,处罚除退款外出资金权限")</f>
        <v>微信商业版在途资金拦截,处罚除退款外出资金权限</v>
      </c>
      <c r="C10100" s="2" t="s">
        <v>9</v>
      </c>
      <c r="D10100" s="2" t="s">
        <v>10</v>
      </c>
      <c r="E10100" s="2" t="str">
        <f>HYPERLINK("http://ts.21cn.com/tousu/show/id/1341306","http://ts.21cn.com/tousu/show/id/1341306")</f>
        <v>http://ts.21cn.com/tousu/show/id/1341306</v>
      </c>
      <c r="F10100" s="2" t="s">
        <v>11</v>
      </c>
      <c r="G10100" s="2" t="s">
        <v>24294</v>
      </c>
      <c r="H10100" s="2" t="s">
        <v>24295</v>
      </c>
    </row>
    <row r="10101" spans="1:8" ht="25.05" customHeight="1" x14ac:dyDescent="0.25">
      <c r="A10101" s="2" t="s">
        <v>8</v>
      </c>
      <c r="B10101" s="2" t="str">
        <f>HYPERLINK("http://ts.21cn.com/tousu/show/id/1341307","ofo单车不退押金")</f>
        <v>ofo单车不退押金</v>
      </c>
      <c r="C10101" s="2" t="s">
        <v>9</v>
      </c>
      <c r="D10101" s="2" t="s">
        <v>10</v>
      </c>
      <c r="E10101" s="2" t="str">
        <f>HYPERLINK("http://ts.21cn.com/tousu/show/id/1341307","http://ts.21cn.com/tousu/show/id/1341307")</f>
        <v>http://ts.21cn.com/tousu/show/id/1341307</v>
      </c>
      <c r="F10101" s="2" t="s">
        <v>11</v>
      </c>
      <c r="G10101" s="2" t="s">
        <v>24292</v>
      </c>
      <c r="H10101" s="2" t="s">
        <v>24293</v>
      </c>
    </row>
    <row r="10102" spans="1:8" ht="25.05" customHeight="1" x14ac:dyDescent="0.25">
      <c r="A10102" s="2" t="s">
        <v>8</v>
      </c>
      <c r="B10102" s="2" t="str">
        <f>HYPERLINK("http://ts.21cn.com/tousu/show/id/1341305","砍头息，高利贷")</f>
        <v>砍头息，高利贷</v>
      </c>
      <c r="C10102" s="2" t="s">
        <v>9</v>
      </c>
      <c r="D10102" s="2" t="s">
        <v>10</v>
      </c>
      <c r="E10102" s="2" t="str">
        <f>HYPERLINK("http://ts.21cn.com/tousu/show/id/1341305","http://ts.21cn.com/tousu/show/id/1341305")</f>
        <v>http://ts.21cn.com/tousu/show/id/1341305</v>
      </c>
      <c r="F10102" s="2" t="s">
        <v>11</v>
      </c>
      <c r="G10102" s="2" t="s">
        <v>24290</v>
      </c>
      <c r="H10102" s="2" t="s">
        <v>24291</v>
      </c>
    </row>
    <row r="10103" spans="1:8" ht="25.05" customHeight="1" x14ac:dyDescent="0.25">
      <c r="A10103" s="2" t="s">
        <v>8</v>
      </c>
      <c r="B10103" s="2" t="str">
        <f>HYPERLINK("http://ts.21cn.com/tousu/show/id/1341308","闪电借款变相收费")</f>
        <v>闪电借款变相收费</v>
      </c>
      <c r="C10103" s="2" t="s">
        <v>9</v>
      </c>
      <c r="D10103" s="2" t="s">
        <v>10</v>
      </c>
      <c r="E10103" s="2" t="str">
        <f>HYPERLINK("http://ts.21cn.com/tousu/show/id/1341308","http://ts.21cn.com/tousu/show/id/1341308")</f>
        <v>http://ts.21cn.com/tousu/show/id/1341308</v>
      </c>
      <c r="F10103" s="2" t="s">
        <v>11</v>
      </c>
      <c r="G10103" s="2" t="s">
        <v>24288</v>
      </c>
      <c r="H10103" s="2" t="s">
        <v>24289</v>
      </c>
    </row>
    <row r="10104" spans="1:8" ht="25.05" customHeight="1" x14ac:dyDescent="0.25">
      <c r="A10104" s="2" t="s">
        <v>8</v>
      </c>
      <c r="B10104" s="2" t="str">
        <f>HYPERLINK("http://ts.21cn.com/tousu/show/id/1341309","安安用车纵容司机对乘客乱加价")</f>
        <v>安安用车纵容司机对乘客乱加价</v>
      </c>
      <c r="C10104" s="2" t="s">
        <v>9</v>
      </c>
      <c r="D10104" s="2" t="s">
        <v>10</v>
      </c>
      <c r="E10104" s="2" t="str">
        <f>HYPERLINK("http://ts.21cn.com/tousu/show/id/1341309","http://ts.21cn.com/tousu/show/id/1341309")</f>
        <v>http://ts.21cn.com/tousu/show/id/1341309</v>
      </c>
      <c r="F10104" s="2" t="s">
        <v>11</v>
      </c>
      <c r="G10104" s="2" t="s">
        <v>24286</v>
      </c>
      <c r="H10104" s="2" t="s">
        <v>24287</v>
      </c>
    </row>
    <row r="10105" spans="1:8" ht="25.05" customHeight="1" x14ac:dyDescent="0.25">
      <c r="A10105" s="2" t="s">
        <v>8</v>
      </c>
      <c r="B10105" s="2" t="str">
        <f>HYPERLINK("http://ts.21cn.com/tousu/show/id/1341310","钱置宝超高利息")</f>
        <v>钱置宝超高利息</v>
      </c>
      <c r="C10105" s="2" t="s">
        <v>9</v>
      </c>
      <c r="D10105" s="2" t="s">
        <v>10</v>
      </c>
      <c r="E10105" s="2" t="str">
        <f>HYPERLINK("http://ts.21cn.com/tousu/show/id/1341310","http://ts.21cn.com/tousu/show/id/1341310")</f>
        <v>http://ts.21cn.com/tousu/show/id/1341310</v>
      </c>
      <c r="F10105" s="2" t="s">
        <v>11</v>
      </c>
      <c r="G10105" s="2" t="s">
        <v>24284</v>
      </c>
      <c r="H10105" s="2" t="s">
        <v>24285</v>
      </c>
    </row>
    <row r="10106" spans="1:8" ht="25.05" customHeight="1" x14ac:dyDescent="0.25">
      <c r="A10106" s="2" t="s">
        <v>8</v>
      </c>
      <c r="B10106" s="2" t="str">
        <f>HYPERLINK("http://ts.21cn.com/tousu/show/id/1341311","美团众包跑腿订单被封")</f>
        <v>美团众包跑腿订单被封</v>
      </c>
      <c r="C10106" s="2" t="s">
        <v>9</v>
      </c>
      <c r="D10106" s="2" t="s">
        <v>10</v>
      </c>
      <c r="E10106" s="2" t="str">
        <f>HYPERLINK("http://ts.21cn.com/tousu/show/id/1341311","http://ts.21cn.com/tousu/show/id/1341311")</f>
        <v>http://ts.21cn.com/tousu/show/id/1341311</v>
      </c>
      <c r="F10106" s="2" t="s">
        <v>11</v>
      </c>
      <c r="G10106" s="2" t="s">
        <v>24283</v>
      </c>
      <c r="H10106" s="2" t="s">
        <v>22991</v>
      </c>
    </row>
    <row r="10107" spans="1:8" ht="25.05" customHeight="1" x14ac:dyDescent="0.25">
      <c r="A10107" s="2" t="s">
        <v>8</v>
      </c>
      <c r="B10107" s="2" t="str">
        <f>HYPERLINK("http://ts.21cn.com/tousu/show/id/1341312","信用管家存钱柜高利贷")</f>
        <v>信用管家存钱柜高利贷</v>
      </c>
      <c r="C10107" s="2" t="s">
        <v>9</v>
      </c>
      <c r="D10107" s="2" t="s">
        <v>10</v>
      </c>
      <c r="E10107" s="2" t="str">
        <f>HYPERLINK("http://ts.21cn.com/tousu/show/id/1341312","http://ts.21cn.com/tousu/show/id/1341312")</f>
        <v>http://ts.21cn.com/tousu/show/id/1341312</v>
      </c>
      <c r="F10107" s="2" t="s">
        <v>11</v>
      </c>
      <c r="G10107" s="2" t="s">
        <v>24281</v>
      </c>
      <c r="H10107" s="2" t="s">
        <v>24282</v>
      </c>
    </row>
    <row r="10108" spans="1:8" ht="25.05" customHeight="1" x14ac:dyDescent="0.25">
      <c r="A10108" s="2" t="s">
        <v>8</v>
      </c>
      <c r="B10108" s="2" t="str">
        <f>HYPERLINK("http://ts.21cn.com/tousu/show/id/1341313","四季钱庄砍头息，高利息贷款")</f>
        <v>四季钱庄砍头息，高利息贷款</v>
      </c>
      <c r="C10108" s="2" t="s">
        <v>9</v>
      </c>
      <c r="D10108" s="2" t="s">
        <v>10</v>
      </c>
      <c r="E10108" s="2" t="str">
        <f>HYPERLINK("http://ts.21cn.com/tousu/show/id/1341313","http://ts.21cn.com/tousu/show/id/1341313")</f>
        <v>http://ts.21cn.com/tousu/show/id/1341313</v>
      </c>
      <c r="F10108" s="2" t="s">
        <v>11</v>
      </c>
      <c r="G10108" s="2" t="s">
        <v>24279</v>
      </c>
      <c r="H10108" s="2" t="s">
        <v>24280</v>
      </c>
    </row>
    <row r="10109" spans="1:8" ht="25.05" customHeight="1" x14ac:dyDescent="0.25">
      <c r="A10109" s="2" t="s">
        <v>8</v>
      </c>
      <c r="B10109" s="2" t="str">
        <f>HYPERLINK("http://ts.21cn.com/tousu/show/id/1341314","平安银行恶意骚扰恐吓")</f>
        <v>平安银行恶意骚扰恐吓</v>
      </c>
      <c r="C10109" s="2" t="s">
        <v>9</v>
      </c>
      <c r="D10109" s="2" t="s">
        <v>10</v>
      </c>
      <c r="E10109" s="2" t="str">
        <f>HYPERLINK("http://ts.21cn.com/tousu/show/id/1341314","http://ts.21cn.com/tousu/show/id/1341314")</f>
        <v>http://ts.21cn.com/tousu/show/id/1341314</v>
      </c>
      <c r="F10109" s="2" t="s">
        <v>11</v>
      </c>
      <c r="G10109" s="2" t="s">
        <v>24277</v>
      </c>
      <c r="H10109" s="2" t="s">
        <v>24278</v>
      </c>
    </row>
    <row r="10110" spans="1:8" ht="25.05" customHeight="1" x14ac:dyDescent="0.25">
      <c r="A10110" s="2" t="s">
        <v>8</v>
      </c>
      <c r="B10110" s="2" t="str">
        <f>HYPERLINK("http://ts.21cn.com/tousu/show/id/1341315","拍拍贷联合武汉锐银信法毁坏本人名誉")</f>
        <v>拍拍贷联合武汉锐银信法毁坏本人名誉</v>
      </c>
      <c r="C10110" s="2" t="s">
        <v>9</v>
      </c>
      <c r="D10110" s="2" t="s">
        <v>10</v>
      </c>
      <c r="E10110" s="2" t="str">
        <f>HYPERLINK("http://ts.21cn.com/tousu/show/id/1341315","http://ts.21cn.com/tousu/show/id/1341315")</f>
        <v>http://ts.21cn.com/tousu/show/id/1341315</v>
      </c>
      <c r="F10110" s="2" t="s">
        <v>11</v>
      </c>
      <c r="G10110" s="2" t="s">
        <v>24275</v>
      </c>
      <c r="H10110" s="2" t="s">
        <v>24276</v>
      </c>
    </row>
    <row r="10111" spans="1:8" ht="25.05" customHeight="1" x14ac:dyDescent="0.25">
      <c r="A10111" s="2" t="s">
        <v>8</v>
      </c>
      <c r="B10111" s="2" t="str">
        <f>HYPERLINK("http://ts.21cn.com/tousu/show/id/1341319","要求钱站取消借款")</f>
        <v>要求钱站取消借款</v>
      </c>
      <c r="C10111" s="2" t="s">
        <v>34</v>
      </c>
      <c r="D10111" s="2" t="s">
        <v>10</v>
      </c>
      <c r="E10111" s="2" t="str">
        <f>HYPERLINK("http://ts.21cn.com/tousu/show/id/1341319","http://ts.21cn.com/tousu/show/id/1341319")</f>
        <v>http://ts.21cn.com/tousu/show/id/1341319</v>
      </c>
      <c r="F10111" s="2" t="s">
        <v>11</v>
      </c>
      <c r="G10111" s="2" t="s">
        <v>24273</v>
      </c>
      <c r="H10111" s="2" t="s">
        <v>24274</v>
      </c>
    </row>
    <row r="10112" spans="1:8" ht="25.05" customHeight="1" x14ac:dyDescent="0.25">
      <c r="A10112" s="2" t="s">
        <v>8</v>
      </c>
      <c r="B10112" s="2" t="str">
        <f>HYPERLINK("http://ts.21cn.com/tousu/show/id/1341317","玖富万卡恶意催收，辱骂，调侃")</f>
        <v>玖富万卡恶意催收，辱骂，调侃</v>
      </c>
      <c r="C10112" s="2" t="s">
        <v>9</v>
      </c>
      <c r="D10112" s="2" t="s">
        <v>10</v>
      </c>
      <c r="E10112" s="2" t="str">
        <f>HYPERLINK("http://ts.21cn.com/tousu/show/id/1341317","http://ts.21cn.com/tousu/show/id/1341317")</f>
        <v>http://ts.21cn.com/tousu/show/id/1341317</v>
      </c>
      <c r="F10112" s="2" t="s">
        <v>11</v>
      </c>
      <c r="G10112" s="2" t="s">
        <v>24271</v>
      </c>
      <c r="H10112" s="2" t="s">
        <v>24272</v>
      </c>
    </row>
    <row r="10113" spans="1:8" ht="25.05" customHeight="1" x14ac:dyDescent="0.25">
      <c r="A10113" s="2" t="s">
        <v>8</v>
      </c>
      <c r="B10113" s="2" t="str">
        <f>HYPERLINK("http://ts.21cn.com/tousu/show/id/1341318","壹本万利高利贷")</f>
        <v>壹本万利高利贷</v>
      </c>
      <c r="C10113" s="2" t="s">
        <v>9</v>
      </c>
      <c r="D10113" s="2" t="s">
        <v>10</v>
      </c>
      <c r="E10113" s="2" t="str">
        <f>HYPERLINK("http://ts.21cn.com/tousu/show/id/1341318","http://ts.21cn.com/tousu/show/id/1341318")</f>
        <v>http://ts.21cn.com/tousu/show/id/1341318</v>
      </c>
      <c r="F10113" s="2" t="s">
        <v>11</v>
      </c>
      <c r="G10113" s="2" t="s">
        <v>24269</v>
      </c>
      <c r="H10113" s="2" t="s">
        <v>24270</v>
      </c>
    </row>
    <row r="10114" spans="1:8" ht="25.05" customHeight="1" x14ac:dyDescent="0.25">
      <c r="A10114" s="2" t="s">
        <v>8</v>
      </c>
      <c r="B10114" s="2" t="str">
        <f>HYPERLINK("http://ts.21cn.com/tousu/show/id/1341316","被动充值会员后依旧看不了视频")</f>
        <v>被动充值会员后依旧看不了视频</v>
      </c>
      <c r="C10114" s="2" t="s">
        <v>34</v>
      </c>
      <c r="D10114" s="2" t="s">
        <v>10</v>
      </c>
      <c r="E10114" s="2" t="str">
        <f>HYPERLINK("http://ts.21cn.com/tousu/show/id/1341316","http://ts.21cn.com/tousu/show/id/1341316")</f>
        <v>http://ts.21cn.com/tousu/show/id/1341316</v>
      </c>
      <c r="F10114" s="2" t="s">
        <v>11</v>
      </c>
      <c r="G10114" s="2" t="s">
        <v>24267</v>
      </c>
      <c r="H10114" s="2" t="s">
        <v>24268</v>
      </c>
    </row>
    <row r="10115" spans="1:8" ht="25.05" customHeight="1" x14ac:dyDescent="0.25">
      <c r="A10115" s="2" t="s">
        <v>8</v>
      </c>
      <c r="B10115" s="2" t="str">
        <f>HYPERLINK("http://ts.21cn.com/tousu/show/id/1341320","支付宝借呗花呗无法使用，信用非常好！")</f>
        <v>支付宝借呗花呗无法使用，信用非常好！</v>
      </c>
      <c r="C10115" s="2" t="s">
        <v>9</v>
      </c>
      <c r="D10115" s="2" t="s">
        <v>10</v>
      </c>
      <c r="E10115" s="2" t="str">
        <f>HYPERLINK("http://ts.21cn.com/tousu/show/id/1341320","http://ts.21cn.com/tousu/show/id/1341320")</f>
        <v>http://ts.21cn.com/tousu/show/id/1341320</v>
      </c>
      <c r="F10115" s="2" t="s">
        <v>11</v>
      </c>
      <c r="G10115" s="2" t="s">
        <v>24265</v>
      </c>
      <c r="H10115" s="2" t="s">
        <v>24266</v>
      </c>
    </row>
    <row r="10116" spans="1:8" ht="25.05" customHeight="1" x14ac:dyDescent="0.25">
      <c r="A10116" s="2" t="s">
        <v>8</v>
      </c>
      <c r="B10116" s="2" t="str">
        <f>HYPERLINK("http://ts.21cn.com/tousu/show/id/1339994","携趣网络技术上海有限公司乱扣费")</f>
        <v>携趣网络技术上海有限公司乱扣费</v>
      </c>
      <c r="C10116" s="2" t="s">
        <v>9</v>
      </c>
      <c r="D10116" s="2" t="s">
        <v>10</v>
      </c>
      <c r="E10116" s="2" t="str">
        <f>HYPERLINK("http://ts.21cn.com/tousu/show/id/1339994","http://ts.21cn.com/tousu/show/id/1339994")</f>
        <v>http://ts.21cn.com/tousu/show/id/1339994</v>
      </c>
      <c r="F10116" s="2" t="s">
        <v>11</v>
      </c>
      <c r="G10116" s="2" t="s">
        <v>24263</v>
      </c>
      <c r="H10116" s="2" t="s">
        <v>24264</v>
      </c>
    </row>
    <row r="10117" spans="1:8" ht="25.05" customHeight="1" x14ac:dyDescent="0.25">
      <c r="A10117" s="2" t="s">
        <v>8</v>
      </c>
      <c r="B10117" s="2" t="str">
        <f>HYPERLINK("http://ts.21cn.com/tousu/show/id/1341321","信而富砍头息")</f>
        <v>信而富砍头息</v>
      </c>
      <c r="C10117" s="2" t="s">
        <v>34</v>
      </c>
      <c r="D10117" s="2" t="s">
        <v>10</v>
      </c>
      <c r="E10117" s="2" t="str">
        <f>HYPERLINK("http://ts.21cn.com/tousu/show/id/1341321","http://ts.21cn.com/tousu/show/id/1341321")</f>
        <v>http://ts.21cn.com/tousu/show/id/1341321</v>
      </c>
      <c r="F10117" s="2" t="s">
        <v>11</v>
      </c>
      <c r="G10117" s="2" t="s">
        <v>24261</v>
      </c>
      <c r="H10117" s="2" t="s">
        <v>24262</v>
      </c>
    </row>
    <row r="10118" spans="1:8" ht="25.05" customHeight="1" x14ac:dyDescent="0.25">
      <c r="A10118" s="2" t="s">
        <v>8</v>
      </c>
      <c r="B10118" s="2" t="str">
        <f>HYPERLINK("http://ts.21cn.com/tousu/show/id/1341324","高利贷套路贷阴阳合同")</f>
        <v>高利贷套路贷阴阳合同</v>
      </c>
      <c r="C10118" s="2" t="s">
        <v>9</v>
      </c>
      <c r="D10118" s="2" t="s">
        <v>10</v>
      </c>
      <c r="E10118" s="2" t="str">
        <f>HYPERLINK("http://ts.21cn.com/tousu/show/id/1341324","http://ts.21cn.com/tousu/show/id/1341324")</f>
        <v>http://ts.21cn.com/tousu/show/id/1341324</v>
      </c>
      <c r="F10118" s="2" t="s">
        <v>11</v>
      </c>
      <c r="G10118" s="2" t="s">
        <v>24259</v>
      </c>
      <c r="H10118" s="2" t="s">
        <v>24260</v>
      </c>
    </row>
    <row r="10119" spans="1:8" ht="25.05" customHeight="1" x14ac:dyDescent="0.25">
      <c r="A10119" s="2" t="s">
        <v>8</v>
      </c>
      <c r="B10119" s="2" t="str">
        <f>HYPERLINK("http://ts.21cn.com/tousu/show/id/1341322","牛人有品砍头息")</f>
        <v>牛人有品砍头息</v>
      </c>
      <c r="C10119" s="2" t="s">
        <v>34</v>
      </c>
      <c r="D10119" s="2" t="s">
        <v>10</v>
      </c>
      <c r="E10119" s="2" t="str">
        <f>HYPERLINK("http://ts.21cn.com/tousu/show/id/1341322","http://ts.21cn.com/tousu/show/id/1341322")</f>
        <v>http://ts.21cn.com/tousu/show/id/1341322</v>
      </c>
      <c r="F10119" s="2" t="s">
        <v>11</v>
      </c>
      <c r="G10119" s="2" t="s">
        <v>24257</v>
      </c>
      <c r="H10119" s="2" t="s">
        <v>24258</v>
      </c>
    </row>
    <row r="10120" spans="1:8" ht="25.05" customHeight="1" x14ac:dyDescent="0.25">
      <c r="A10120" s="2" t="s">
        <v>8</v>
      </c>
      <c r="B10120" s="2" t="str">
        <f>HYPERLINK("http://ts.21cn.com/tousu/show/id/1341323","暴力催收")</f>
        <v>暴力催收</v>
      </c>
      <c r="C10120" s="2" t="s">
        <v>9</v>
      </c>
      <c r="D10120" s="2" t="s">
        <v>10</v>
      </c>
      <c r="E10120" s="2" t="str">
        <f>HYPERLINK("http://ts.21cn.com/tousu/show/id/1341323","http://ts.21cn.com/tousu/show/id/1341323")</f>
        <v>http://ts.21cn.com/tousu/show/id/1341323</v>
      </c>
      <c r="F10120" s="2" t="s">
        <v>11</v>
      </c>
      <c r="G10120" s="2" t="s">
        <v>24255</v>
      </c>
      <c r="H10120" s="2" t="s">
        <v>24256</v>
      </c>
    </row>
    <row r="10121" spans="1:8" ht="25.05" customHeight="1" x14ac:dyDescent="0.25">
      <c r="A10121" s="2" t="s">
        <v>8</v>
      </c>
      <c r="B10121" s="2" t="str">
        <f>HYPERLINK("http://ts.21cn.com/tousu/show/id/1341325","中通快递再次以超区不派送为由继续不派送")</f>
        <v>中通快递再次以超区不派送为由继续不派送</v>
      </c>
      <c r="C10121" s="2" t="s">
        <v>34</v>
      </c>
      <c r="D10121" s="2" t="s">
        <v>10</v>
      </c>
      <c r="E10121" s="2" t="str">
        <f>HYPERLINK("http://ts.21cn.com/tousu/show/id/1341325","http://ts.21cn.com/tousu/show/id/1341325")</f>
        <v>http://ts.21cn.com/tousu/show/id/1341325</v>
      </c>
      <c r="F10121" s="2" t="s">
        <v>11</v>
      </c>
      <c r="G10121" s="2" t="s">
        <v>24253</v>
      </c>
      <c r="H10121" s="2" t="s">
        <v>24254</v>
      </c>
    </row>
    <row r="10122" spans="1:8" ht="25.05" customHeight="1" x14ac:dyDescent="0.25">
      <c r="A10122" s="2" t="s">
        <v>8</v>
      </c>
      <c r="B10122" s="2" t="str">
        <f>HYPERLINK("http://ts.21cn.com/tousu/show/id/1341326","小赢钱包，摇钱花")</f>
        <v>小赢钱包，摇钱花</v>
      </c>
      <c r="C10122" s="2" t="s">
        <v>9</v>
      </c>
      <c r="D10122" s="2" t="s">
        <v>10</v>
      </c>
      <c r="E10122" s="2" t="str">
        <f>HYPERLINK("http://ts.21cn.com/tousu/show/id/1341326","http://ts.21cn.com/tousu/show/id/1341326")</f>
        <v>http://ts.21cn.com/tousu/show/id/1341326</v>
      </c>
      <c r="F10122" s="2" t="s">
        <v>11</v>
      </c>
      <c r="G10122" s="2" t="s">
        <v>24251</v>
      </c>
      <c r="H10122" s="2" t="s">
        <v>24252</v>
      </c>
    </row>
    <row r="10123" spans="1:8" ht="25.05" customHeight="1" x14ac:dyDescent="0.25">
      <c r="A10123" s="2" t="s">
        <v>8</v>
      </c>
      <c r="B10123" s="2" t="str">
        <f>HYPERLINK("http://ts.21cn.com/tousu/show/id/1341327","立借暴力催收")</f>
        <v>立借暴力催收</v>
      </c>
      <c r="C10123" s="2" t="s">
        <v>9</v>
      </c>
      <c r="D10123" s="2" t="s">
        <v>10</v>
      </c>
      <c r="E10123" s="2" t="str">
        <f>HYPERLINK("http://ts.21cn.com/tousu/show/id/1341327","http://ts.21cn.com/tousu/show/id/1341327")</f>
        <v>http://ts.21cn.com/tousu/show/id/1341327</v>
      </c>
      <c r="F10123" s="2" t="s">
        <v>11</v>
      </c>
      <c r="G10123" s="2" t="s">
        <v>24249</v>
      </c>
      <c r="H10123" s="2" t="s">
        <v>24250</v>
      </c>
    </row>
    <row r="10124" spans="1:8" ht="25.05" customHeight="1" x14ac:dyDescent="0.25">
      <c r="A10124" s="2" t="s">
        <v>8</v>
      </c>
      <c r="B10124" s="2" t="str">
        <f>HYPERLINK("http://ts.21cn.com/tousu/show/id/1341328","聚富科技分期违规扣款，造艺科技提供违规支付通道")</f>
        <v>聚富科技分期违规扣款，造艺科技提供违规支付通道</v>
      </c>
      <c r="C10124" s="2" t="s">
        <v>9</v>
      </c>
      <c r="D10124" s="2" t="s">
        <v>10</v>
      </c>
      <c r="E10124" s="2" t="str">
        <f>HYPERLINK("http://ts.21cn.com/tousu/show/id/1341328","http://ts.21cn.com/tousu/show/id/1341328")</f>
        <v>http://ts.21cn.com/tousu/show/id/1341328</v>
      </c>
      <c r="F10124" s="2" t="s">
        <v>11</v>
      </c>
      <c r="G10124" s="2" t="s">
        <v>24247</v>
      </c>
      <c r="H10124" s="2" t="s">
        <v>24248</v>
      </c>
    </row>
    <row r="10125" spans="1:8" ht="25.05" customHeight="1" x14ac:dyDescent="0.25">
      <c r="A10125" s="2" t="s">
        <v>8</v>
      </c>
      <c r="B10125" s="2" t="str">
        <f>HYPERLINK("http://ts.21cn.com/tousu/show/id/1341329","浦发信用卡乱扣费且不同意协商还款")</f>
        <v>浦发信用卡乱扣费且不同意协商还款</v>
      </c>
      <c r="C10125" s="2" t="s">
        <v>9</v>
      </c>
      <c r="D10125" s="2" t="s">
        <v>10</v>
      </c>
      <c r="E10125" s="2" t="str">
        <f>HYPERLINK("http://ts.21cn.com/tousu/show/id/1341329","http://ts.21cn.com/tousu/show/id/1341329")</f>
        <v>http://ts.21cn.com/tousu/show/id/1341329</v>
      </c>
      <c r="F10125" s="2" t="s">
        <v>11</v>
      </c>
      <c r="G10125" s="2" t="s">
        <v>24245</v>
      </c>
      <c r="H10125" s="2" t="s">
        <v>24246</v>
      </c>
    </row>
    <row r="10126" spans="1:8" ht="25.05" customHeight="1" x14ac:dyDescent="0.25">
      <c r="A10126" s="2" t="s">
        <v>8</v>
      </c>
      <c r="B10126" s="2" t="str">
        <f>HYPERLINK("http://ts.21cn.com/tousu/show/id/1341330","对我语言威胁")</f>
        <v>对我语言威胁</v>
      </c>
      <c r="C10126" s="2" t="s">
        <v>9</v>
      </c>
      <c r="D10126" s="2" t="s">
        <v>10</v>
      </c>
      <c r="E10126" s="2" t="str">
        <f>HYPERLINK("http://ts.21cn.com/tousu/show/id/1341330","http://ts.21cn.com/tousu/show/id/1341330")</f>
        <v>http://ts.21cn.com/tousu/show/id/1341330</v>
      </c>
      <c r="F10126" s="2" t="s">
        <v>11</v>
      </c>
      <c r="G10126" s="2" t="s">
        <v>24243</v>
      </c>
      <c r="H10126" s="2" t="s">
        <v>24244</v>
      </c>
    </row>
    <row r="10127" spans="1:8" ht="25.05" customHeight="1" x14ac:dyDescent="0.25">
      <c r="A10127" s="2" t="s">
        <v>8</v>
      </c>
      <c r="B10127" s="2" t="str">
        <f>HYPERLINK("http://ts.21cn.com/tousu/show/id/1341331","无故扣款盗刷")</f>
        <v>无故扣款盗刷</v>
      </c>
      <c r="C10127" s="2" t="s">
        <v>9</v>
      </c>
      <c r="D10127" s="2" t="s">
        <v>10</v>
      </c>
      <c r="E10127" s="2" t="str">
        <f>HYPERLINK("http://ts.21cn.com/tousu/show/id/1341331","http://ts.21cn.com/tousu/show/id/1341331")</f>
        <v>http://ts.21cn.com/tousu/show/id/1341331</v>
      </c>
      <c r="F10127" s="2" t="s">
        <v>11</v>
      </c>
      <c r="G10127" s="2" t="s">
        <v>24241</v>
      </c>
      <c r="H10127" s="2" t="s">
        <v>24242</v>
      </c>
    </row>
    <row r="10128" spans="1:8" ht="25.05" customHeight="1" x14ac:dyDescent="0.25">
      <c r="A10128" s="2" t="s">
        <v>8</v>
      </c>
      <c r="B10128" s="2" t="str">
        <f>HYPERLINK("http://ts.21cn.com/tousu/show/id/1341334","家里小孩子不小心点击充值198元，腾讯不退款")</f>
        <v>家里小孩子不小心点击充值198元，腾讯不退款</v>
      </c>
      <c r="C10128" s="2" t="s">
        <v>9</v>
      </c>
      <c r="D10128" s="2" t="s">
        <v>10</v>
      </c>
      <c r="E10128" s="2" t="str">
        <f>HYPERLINK("http://ts.21cn.com/tousu/show/id/1341334","http://ts.21cn.com/tousu/show/id/1341334")</f>
        <v>http://ts.21cn.com/tousu/show/id/1341334</v>
      </c>
      <c r="F10128" s="2" t="s">
        <v>11</v>
      </c>
      <c r="G10128" s="2" t="s">
        <v>24239</v>
      </c>
      <c r="H10128" s="2" t="s">
        <v>24240</v>
      </c>
    </row>
    <row r="10129" spans="1:8" ht="25.05" customHeight="1" x14ac:dyDescent="0.25">
      <c r="A10129" s="2" t="s">
        <v>8</v>
      </c>
      <c r="B10129" s="2" t="str">
        <f>HYPERLINK("http://ts.21cn.com/tousu/show/id/1341332","暴力催收")</f>
        <v>暴力催收</v>
      </c>
      <c r="C10129" s="2" t="s">
        <v>9</v>
      </c>
      <c r="D10129" s="2" t="s">
        <v>10</v>
      </c>
      <c r="E10129" s="2" t="str">
        <f>HYPERLINK("http://ts.21cn.com/tousu/show/id/1341332","http://ts.21cn.com/tousu/show/id/1341332")</f>
        <v>http://ts.21cn.com/tousu/show/id/1341332</v>
      </c>
      <c r="F10129" s="2" t="s">
        <v>11</v>
      </c>
      <c r="G10129" s="2" t="s">
        <v>24237</v>
      </c>
      <c r="H10129" s="2" t="s">
        <v>24238</v>
      </c>
    </row>
    <row r="10130" spans="1:8" ht="25.05" customHeight="1" x14ac:dyDescent="0.25">
      <c r="A10130" s="2" t="s">
        <v>8</v>
      </c>
      <c r="B10130" s="2" t="str">
        <f>HYPERLINK("http://ts.21cn.com/tousu/show/id/1341333","滴滴平台弄扣我服务分和交交率")</f>
        <v>滴滴平台弄扣我服务分和交交率</v>
      </c>
      <c r="C10130" s="2" t="s">
        <v>9</v>
      </c>
      <c r="D10130" s="2" t="s">
        <v>10</v>
      </c>
      <c r="E10130" s="2" t="str">
        <f>HYPERLINK("http://ts.21cn.com/tousu/show/id/1341333","http://ts.21cn.com/tousu/show/id/1341333")</f>
        <v>http://ts.21cn.com/tousu/show/id/1341333</v>
      </c>
      <c r="F10130" s="2" t="s">
        <v>11</v>
      </c>
      <c r="G10130" s="2" t="s">
        <v>24235</v>
      </c>
      <c r="H10130" s="2" t="s">
        <v>24236</v>
      </c>
    </row>
    <row r="10131" spans="1:8" ht="25.05" customHeight="1" x14ac:dyDescent="0.25">
      <c r="A10131" s="2" t="s">
        <v>8</v>
      </c>
      <c r="B10131" s="2" t="str">
        <f>HYPERLINK("http://ts.21cn.com/tousu/show/id/1341335","智行火车票与12306重复扣款")</f>
        <v>智行火车票与12306重复扣款</v>
      </c>
      <c r="C10131" s="2" t="s">
        <v>9</v>
      </c>
      <c r="D10131" s="2" t="s">
        <v>10</v>
      </c>
      <c r="E10131" s="2" t="str">
        <f>HYPERLINK("http://ts.21cn.com/tousu/show/id/1341335","http://ts.21cn.com/tousu/show/id/1341335")</f>
        <v>http://ts.21cn.com/tousu/show/id/1341335</v>
      </c>
      <c r="F10131" s="2" t="s">
        <v>11</v>
      </c>
      <c r="G10131" s="2" t="s">
        <v>24233</v>
      </c>
      <c r="H10131" s="2" t="s">
        <v>24234</v>
      </c>
    </row>
    <row r="10132" spans="1:8" ht="25.05" customHeight="1" x14ac:dyDescent="0.25">
      <c r="A10132" s="2" t="s">
        <v>8</v>
      </c>
      <c r="B10132" s="2" t="str">
        <f>HYPERLINK("http://ts.21cn.com/tousu/show/id/1341337","暴力催收威胁恐吓")</f>
        <v>暴力催收威胁恐吓</v>
      </c>
      <c r="C10132" s="2" t="s">
        <v>9</v>
      </c>
      <c r="D10132" s="2" t="s">
        <v>10</v>
      </c>
      <c r="E10132" s="2" t="str">
        <f>HYPERLINK("http://ts.21cn.com/tousu/show/id/1341337","http://ts.21cn.com/tousu/show/id/1341337")</f>
        <v>http://ts.21cn.com/tousu/show/id/1341337</v>
      </c>
      <c r="F10132" s="2" t="s">
        <v>11</v>
      </c>
      <c r="G10132" s="2" t="s">
        <v>24231</v>
      </c>
      <c r="H10132" s="2" t="s">
        <v>24232</v>
      </c>
    </row>
    <row r="10133" spans="1:8" ht="25.05" customHeight="1" x14ac:dyDescent="0.25">
      <c r="A10133" s="2" t="s">
        <v>8</v>
      </c>
      <c r="B10133" s="2" t="str">
        <f>HYPERLINK("http://ts.21cn.com/tousu/show/id/1341336","贷上钱上指上旅行砍头息，要求免除第三期并开出结清证明")</f>
        <v>贷上钱上指上旅行砍头息，要求免除第三期并开出结清证明</v>
      </c>
      <c r="C10133" s="2" t="s">
        <v>34</v>
      </c>
      <c r="D10133" s="2" t="s">
        <v>10</v>
      </c>
      <c r="E10133" s="2" t="str">
        <f>HYPERLINK("http://ts.21cn.com/tousu/show/id/1341336","http://ts.21cn.com/tousu/show/id/1341336")</f>
        <v>http://ts.21cn.com/tousu/show/id/1341336</v>
      </c>
      <c r="F10133" s="2" t="s">
        <v>11</v>
      </c>
      <c r="G10133" s="2" t="s">
        <v>24229</v>
      </c>
      <c r="H10133" s="2" t="s">
        <v>24230</v>
      </c>
    </row>
    <row r="10134" spans="1:8" ht="25.05" customHeight="1" x14ac:dyDescent="0.25">
      <c r="A10134" s="2" t="s">
        <v>8</v>
      </c>
      <c r="B10134" s="2" t="str">
        <f>HYPERLINK("http://ts.21cn.com/tousu/show/id/1341338","捷信金融公司高额借贷.违法催收")</f>
        <v>捷信金融公司高额借贷.违法催收</v>
      </c>
      <c r="C10134" s="2" t="s">
        <v>9</v>
      </c>
      <c r="D10134" s="2" t="s">
        <v>10</v>
      </c>
      <c r="E10134" s="2" t="str">
        <f>HYPERLINK("http://ts.21cn.com/tousu/show/id/1341338","http://ts.21cn.com/tousu/show/id/1341338")</f>
        <v>http://ts.21cn.com/tousu/show/id/1341338</v>
      </c>
      <c r="F10134" s="2" t="s">
        <v>11</v>
      </c>
      <c r="G10134" s="2" t="s">
        <v>24227</v>
      </c>
      <c r="H10134" s="2" t="s">
        <v>24228</v>
      </c>
    </row>
    <row r="10135" spans="1:8" ht="25.05" customHeight="1" x14ac:dyDescent="0.25">
      <c r="A10135" s="2" t="s">
        <v>8</v>
      </c>
      <c r="B10135" s="2" t="str">
        <f>HYPERLINK("http://ts.21cn.com/tousu/show/id/1341340","花转转恶意逾期套路贷")</f>
        <v>花转转恶意逾期套路贷</v>
      </c>
      <c r="C10135" s="2" t="s">
        <v>9</v>
      </c>
      <c r="D10135" s="2" t="s">
        <v>10</v>
      </c>
      <c r="E10135" s="2" t="str">
        <f>HYPERLINK("http://ts.21cn.com/tousu/show/id/1341340","http://ts.21cn.com/tousu/show/id/1341340")</f>
        <v>http://ts.21cn.com/tousu/show/id/1341340</v>
      </c>
      <c r="F10135" s="2" t="s">
        <v>11</v>
      </c>
      <c r="G10135" s="2" t="s">
        <v>24225</v>
      </c>
      <c r="H10135" s="2" t="s">
        <v>24226</v>
      </c>
    </row>
    <row r="10136" spans="1:8" ht="25.05" customHeight="1" x14ac:dyDescent="0.25">
      <c r="A10136" s="2" t="s">
        <v>8</v>
      </c>
      <c r="B10136" s="2" t="str">
        <f>HYPERLINK("http://ts.21cn.com/tousu/show/id/1341339","钱伴催收软暴力，威胁。")</f>
        <v>钱伴催收软暴力，威胁。</v>
      </c>
      <c r="C10136" s="2" t="s">
        <v>9</v>
      </c>
      <c r="D10136" s="2" t="s">
        <v>10</v>
      </c>
      <c r="E10136" s="2" t="str">
        <f>HYPERLINK("http://ts.21cn.com/tousu/show/id/1341339","http://ts.21cn.com/tousu/show/id/1341339")</f>
        <v>http://ts.21cn.com/tousu/show/id/1341339</v>
      </c>
      <c r="F10136" s="2" t="s">
        <v>11</v>
      </c>
      <c r="G10136" s="2" t="s">
        <v>24223</v>
      </c>
      <c r="H10136" s="2" t="s">
        <v>24224</v>
      </c>
    </row>
    <row r="10137" spans="1:8" ht="25.05" customHeight="1" x14ac:dyDescent="0.25">
      <c r="A10137" s="2" t="s">
        <v>8</v>
      </c>
      <c r="B10137" s="2" t="str">
        <f>HYPERLINK("http://ts.21cn.com/tousu/show/id/1341341","百事普惠恶意扣款")</f>
        <v>百事普惠恶意扣款</v>
      </c>
      <c r="C10137" s="2" t="s">
        <v>9</v>
      </c>
      <c r="D10137" s="2" t="s">
        <v>10</v>
      </c>
      <c r="E10137" s="2" t="str">
        <f>HYPERLINK("http://ts.21cn.com/tousu/show/id/1341341","http://ts.21cn.com/tousu/show/id/1341341")</f>
        <v>http://ts.21cn.com/tousu/show/id/1341341</v>
      </c>
      <c r="F10137" s="2" t="s">
        <v>11</v>
      </c>
      <c r="G10137" s="2" t="s">
        <v>24221</v>
      </c>
      <c r="H10137" s="2" t="s">
        <v>24222</v>
      </c>
    </row>
    <row r="10138" spans="1:8" ht="25.05" customHeight="1" x14ac:dyDescent="0.25">
      <c r="A10138" s="2" t="s">
        <v>8</v>
      </c>
      <c r="B10138" s="2" t="str">
        <f>HYPERLINK("http://ts.21cn.com/tousu/show/id/1341342","接不到单")</f>
        <v>接不到单</v>
      </c>
      <c r="C10138" s="2" t="s">
        <v>34</v>
      </c>
      <c r="D10138" s="2" t="s">
        <v>10</v>
      </c>
      <c r="E10138" s="2" t="str">
        <f>HYPERLINK("http://ts.21cn.com/tousu/show/id/1341342","http://ts.21cn.com/tousu/show/id/1341342")</f>
        <v>http://ts.21cn.com/tousu/show/id/1341342</v>
      </c>
      <c r="F10138" s="2" t="s">
        <v>11</v>
      </c>
      <c r="G10138" s="2" t="s">
        <v>24219</v>
      </c>
      <c r="H10138" s="2" t="s">
        <v>24220</v>
      </c>
    </row>
    <row r="10139" spans="1:8" ht="25.05" customHeight="1" x14ac:dyDescent="0.25">
      <c r="A10139" s="2" t="s">
        <v>8</v>
      </c>
      <c r="B10139" s="2" t="str">
        <f>HYPERLINK("http://ts.21cn.com/tousu/show/id/1341289","提供非法商户结算")</f>
        <v>提供非法商户结算</v>
      </c>
      <c r="C10139" s="2" t="s">
        <v>9</v>
      </c>
      <c r="D10139" s="2" t="s">
        <v>10</v>
      </c>
      <c r="E10139" s="2" t="str">
        <f>HYPERLINK("http://ts.21cn.com/tousu/show/id/1341289","http://ts.21cn.com/tousu/show/id/1341289")</f>
        <v>http://ts.21cn.com/tousu/show/id/1341289</v>
      </c>
      <c r="F10139" s="2" t="s">
        <v>11</v>
      </c>
      <c r="G10139" s="2" t="s">
        <v>24217</v>
      </c>
      <c r="H10139" s="2" t="s">
        <v>24218</v>
      </c>
    </row>
    <row r="10140" spans="1:8" ht="25.05" customHeight="1" x14ac:dyDescent="0.25">
      <c r="A10140" s="2" t="s">
        <v>8</v>
      </c>
      <c r="B10140" s="2" t="str">
        <f>HYPERLINK("http://ts.21cn.com/tousu/show/id/1341343","信用钱包高利贷")</f>
        <v>信用钱包高利贷</v>
      </c>
      <c r="C10140" s="2" t="s">
        <v>9</v>
      </c>
      <c r="D10140" s="2" t="s">
        <v>10</v>
      </c>
      <c r="E10140" s="2" t="str">
        <f>HYPERLINK("http://ts.21cn.com/tousu/show/id/1341343","http://ts.21cn.com/tousu/show/id/1341343")</f>
        <v>http://ts.21cn.com/tousu/show/id/1341343</v>
      </c>
      <c r="F10140" s="2" t="s">
        <v>11</v>
      </c>
      <c r="G10140" s="2" t="s">
        <v>24215</v>
      </c>
      <c r="H10140" s="2" t="s">
        <v>24216</v>
      </c>
    </row>
    <row r="10141" spans="1:8" ht="25.05" customHeight="1" x14ac:dyDescent="0.25">
      <c r="A10141" s="2" t="s">
        <v>8</v>
      </c>
      <c r="B10141" s="2" t="str">
        <f>HYPERLINK("http://ts.21cn.com/tousu/show/id/1341344","为什么易宝支付支付我自动扣费无缘无故的")</f>
        <v>为什么易宝支付支付我自动扣费无缘无故的</v>
      </c>
      <c r="C10141" s="2" t="s">
        <v>9</v>
      </c>
      <c r="D10141" s="2" t="s">
        <v>10</v>
      </c>
      <c r="E10141" s="2" t="str">
        <f>HYPERLINK("http://ts.21cn.com/tousu/show/id/1341344","http://ts.21cn.com/tousu/show/id/1341344")</f>
        <v>http://ts.21cn.com/tousu/show/id/1341344</v>
      </c>
      <c r="F10141" s="2" t="s">
        <v>11</v>
      </c>
      <c r="G10141" s="2" t="s">
        <v>24213</v>
      </c>
      <c r="H10141" s="2" t="s">
        <v>24214</v>
      </c>
    </row>
    <row r="10142" spans="1:8" ht="25.05" customHeight="1" x14ac:dyDescent="0.25">
      <c r="A10142" s="2" t="s">
        <v>8</v>
      </c>
      <c r="B10142" s="2" t="str">
        <f>HYPERLINK("http://ts.21cn.com/tousu/show/id/1341345","砍头息，高利贷，非法借贷")</f>
        <v>砍头息，高利贷，非法借贷</v>
      </c>
      <c r="C10142" s="2" t="s">
        <v>9</v>
      </c>
      <c r="D10142" s="2" t="s">
        <v>10</v>
      </c>
      <c r="E10142" s="2" t="str">
        <f>HYPERLINK("http://ts.21cn.com/tousu/show/id/1341345","http://ts.21cn.com/tousu/show/id/1341345")</f>
        <v>http://ts.21cn.com/tousu/show/id/1341345</v>
      </c>
      <c r="F10142" s="2" t="s">
        <v>11</v>
      </c>
      <c r="G10142" s="2" t="s">
        <v>24211</v>
      </c>
      <c r="H10142" s="2" t="s">
        <v>24212</v>
      </c>
    </row>
    <row r="10143" spans="1:8" ht="25.05" customHeight="1" x14ac:dyDescent="0.25">
      <c r="A10143" s="2" t="s">
        <v>8</v>
      </c>
      <c r="B10143" s="2" t="str">
        <f>HYPERLINK("http://ts.21cn.com/tousu/show/id/1341346","天天给我打电话骚扰语气跟我欠他800万一样")</f>
        <v>天天给我打电话骚扰语气跟我欠他800万一样</v>
      </c>
      <c r="C10143" s="2" t="s">
        <v>9</v>
      </c>
      <c r="D10143" s="2" t="s">
        <v>10</v>
      </c>
      <c r="E10143" s="2" t="str">
        <f>HYPERLINK("http://ts.21cn.com/tousu/show/id/1341346","http://ts.21cn.com/tousu/show/id/1341346")</f>
        <v>http://ts.21cn.com/tousu/show/id/1341346</v>
      </c>
      <c r="F10143" s="2" t="s">
        <v>11</v>
      </c>
      <c r="G10143" s="2" t="s">
        <v>24209</v>
      </c>
      <c r="H10143" s="2" t="s">
        <v>24210</v>
      </c>
    </row>
    <row r="10144" spans="1:8" ht="25.05" customHeight="1" x14ac:dyDescent="0.25">
      <c r="A10144" s="2" t="s">
        <v>8</v>
      </c>
      <c r="B10144" s="2" t="str">
        <f>HYPERLINK("http://ts.21cn.com/tousu/show/id/1341349","我来贷逾期暴力征收")</f>
        <v>我来贷逾期暴力征收</v>
      </c>
      <c r="C10144" s="2" t="s">
        <v>9</v>
      </c>
      <c r="D10144" s="2" t="s">
        <v>10</v>
      </c>
      <c r="E10144" s="2" t="str">
        <f>HYPERLINK("http://ts.21cn.com/tousu/show/id/1341349","http://ts.21cn.com/tousu/show/id/1341349")</f>
        <v>http://ts.21cn.com/tousu/show/id/1341349</v>
      </c>
      <c r="F10144" s="2" t="s">
        <v>11</v>
      </c>
      <c r="G10144" s="2" t="s">
        <v>24207</v>
      </c>
      <c r="H10144" s="2" t="s">
        <v>24208</v>
      </c>
    </row>
    <row r="10145" spans="1:8" ht="25.05" customHeight="1" x14ac:dyDescent="0.25">
      <c r="A10145" s="2" t="s">
        <v>8</v>
      </c>
      <c r="B10145" s="2" t="str">
        <f>HYPERLINK("http://ts.21cn.com/tousu/show/id/1341347","51人品贷，高利贷，并暴力催收")</f>
        <v>51人品贷，高利贷，并暴力催收</v>
      </c>
      <c r="C10145" s="2" t="s">
        <v>9</v>
      </c>
      <c r="D10145" s="2" t="s">
        <v>10</v>
      </c>
      <c r="E10145" s="2" t="str">
        <f>HYPERLINK("http://ts.21cn.com/tousu/show/id/1341347","http://ts.21cn.com/tousu/show/id/1341347")</f>
        <v>http://ts.21cn.com/tousu/show/id/1341347</v>
      </c>
      <c r="F10145" s="2" t="s">
        <v>11</v>
      </c>
      <c r="G10145" s="2" t="s">
        <v>24205</v>
      </c>
      <c r="H10145" s="2" t="s">
        <v>24206</v>
      </c>
    </row>
    <row r="10146" spans="1:8" ht="25.05" customHeight="1" x14ac:dyDescent="0.25">
      <c r="A10146" s="2" t="s">
        <v>8</v>
      </c>
      <c r="B10146" s="2" t="str">
        <f>HYPERLINK("http://ts.21cn.com/tousu/show/id/1341348","欠几百块钱说过一二天还，催收直接说今天十一点查不到账就联系亲戚朋友")</f>
        <v>欠几百块钱说过一二天还，催收直接说今天十一点查不到账就联系亲戚朋友</v>
      </c>
      <c r="C10146" s="2" t="s">
        <v>9</v>
      </c>
      <c r="D10146" s="2" t="s">
        <v>10</v>
      </c>
      <c r="E10146" s="2" t="str">
        <f>HYPERLINK("http://ts.21cn.com/tousu/show/id/1341348","http://ts.21cn.com/tousu/show/id/1341348")</f>
        <v>http://ts.21cn.com/tousu/show/id/1341348</v>
      </c>
      <c r="F10146" s="2" t="s">
        <v>11</v>
      </c>
      <c r="G10146" s="2" t="s">
        <v>24203</v>
      </c>
      <c r="H10146" s="2" t="s">
        <v>24204</v>
      </c>
    </row>
    <row r="10147" spans="1:8" ht="25.05" customHeight="1" x14ac:dyDescent="0.25">
      <c r="A10147" s="2" t="s">
        <v>8</v>
      </c>
      <c r="B10147" s="2" t="str">
        <f>HYPERLINK("http://ts.21cn.com/tousu/show/id/1341350","投诉")</f>
        <v>投诉</v>
      </c>
      <c r="C10147" s="2" t="s">
        <v>9</v>
      </c>
      <c r="D10147" s="2" t="s">
        <v>10</v>
      </c>
      <c r="E10147" s="2" t="str">
        <f>HYPERLINK("http://ts.21cn.com/tousu/show/id/1341350","http://ts.21cn.com/tousu/show/id/1341350")</f>
        <v>http://ts.21cn.com/tousu/show/id/1341350</v>
      </c>
      <c r="F10147" s="2" t="s">
        <v>11</v>
      </c>
      <c r="G10147" s="2" t="s">
        <v>24201</v>
      </c>
      <c r="H10147" s="2" t="s">
        <v>24202</v>
      </c>
    </row>
    <row r="10148" spans="1:8" ht="25.05" customHeight="1" x14ac:dyDescent="0.25">
      <c r="A10148" s="2" t="s">
        <v>8</v>
      </c>
      <c r="B10148" s="2" t="str">
        <f>HYPERLINK("http://ts.21cn.com/tousu/show/id/1341351","银盛通大pos机不退还298押金，停发分润")</f>
        <v>银盛通大pos机不退还298押金，停发分润</v>
      </c>
      <c r="C10148" s="2" t="s">
        <v>9</v>
      </c>
      <c r="D10148" s="2" t="s">
        <v>10</v>
      </c>
      <c r="E10148" s="2" t="str">
        <f>HYPERLINK("http://ts.21cn.com/tousu/show/id/1341351","http://ts.21cn.com/tousu/show/id/1341351")</f>
        <v>http://ts.21cn.com/tousu/show/id/1341351</v>
      </c>
      <c r="F10148" s="2" t="s">
        <v>11</v>
      </c>
      <c r="G10148" s="2" t="s">
        <v>24199</v>
      </c>
      <c r="H10148" s="2" t="s">
        <v>24200</v>
      </c>
    </row>
    <row r="10149" spans="1:8" ht="25.05" customHeight="1" x14ac:dyDescent="0.25">
      <c r="A10149" s="2" t="s">
        <v>8</v>
      </c>
      <c r="B10149" s="2" t="str">
        <f>HYPERLINK("http://ts.21cn.com/tousu/show/id/1341353","百世快递员骂人，问了百世客服，说好的10月2号送到10月7号了，到现在没打电话，也没送过来")</f>
        <v>百世快递员骂人，问了百世客服，说好的10月2号送到10月7号了，到现在没打电话，也没送过来</v>
      </c>
      <c r="C10149" s="2" t="s">
        <v>9</v>
      </c>
      <c r="D10149" s="2" t="s">
        <v>10</v>
      </c>
      <c r="E10149" s="2" t="str">
        <f>HYPERLINK("http://ts.21cn.com/tousu/show/id/1341353","http://ts.21cn.com/tousu/show/id/1341353")</f>
        <v>http://ts.21cn.com/tousu/show/id/1341353</v>
      </c>
      <c r="F10149" s="2" t="s">
        <v>11</v>
      </c>
      <c r="G10149" s="2" t="s">
        <v>24197</v>
      </c>
      <c r="H10149" s="2" t="s">
        <v>24198</v>
      </c>
    </row>
    <row r="10150" spans="1:8" ht="25.05" customHeight="1" x14ac:dyDescent="0.25">
      <c r="A10150" s="2" t="s">
        <v>8</v>
      </c>
      <c r="B10150" s="2" t="str">
        <f>HYPERLINK("http://ts.21cn.com/tousu/show/id/1341352","你我贷催收不讲理不停骚扰影响正常生活")</f>
        <v>你我贷催收不讲理不停骚扰影响正常生活</v>
      </c>
      <c r="C10150" s="2" t="s">
        <v>9</v>
      </c>
      <c r="D10150" s="2" t="s">
        <v>10</v>
      </c>
      <c r="E10150" s="2" t="str">
        <f>HYPERLINK("http://ts.21cn.com/tousu/show/id/1341352","http://ts.21cn.com/tousu/show/id/1341352")</f>
        <v>http://ts.21cn.com/tousu/show/id/1341352</v>
      </c>
      <c r="F10150" s="2" t="s">
        <v>11</v>
      </c>
      <c r="G10150" s="2" t="s">
        <v>24195</v>
      </c>
      <c r="H10150" s="2" t="s">
        <v>24196</v>
      </c>
    </row>
    <row r="10151" spans="1:8" ht="25.05" customHeight="1" x14ac:dyDescent="0.25">
      <c r="A10151" s="2" t="s">
        <v>8</v>
      </c>
      <c r="B10151" s="2" t="str">
        <f>HYPERLINK("http://ts.21cn.com/tousu/show/id/1341354","骚扰联系人恶意催收")</f>
        <v>骚扰联系人恶意催收</v>
      </c>
      <c r="C10151" s="2" t="s">
        <v>9</v>
      </c>
      <c r="D10151" s="2" t="s">
        <v>10</v>
      </c>
      <c r="E10151" s="2" t="str">
        <f>HYPERLINK("http://ts.21cn.com/tousu/show/id/1341354","http://ts.21cn.com/tousu/show/id/1341354")</f>
        <v>http://ts.21cn.com/tousu/show/id/1341354</v>
      </c>
      <c r="F10151" s="2" t="s">
        <v>11</v>
      </c>
      <c r="G10151" s="2" t="s">
        <v>24193</v>
      </c>
      <c r="H10151" s="2" t="s">
        <v>24194</v>
      </c>
    </row>
    <row r="10152" spans="1:8" ht="25.05" customHeight="1" x14ac:dyDescent="0.25">
      <c r="A10152" s="2" t="s">
        <v>8</v>
      </c>
      <c r="B10152" s="2" t="str">
        <f>HYPERLINK("http://ts.21cn.com/tousu/show/id/1341355","小象优品暴力催收")</f>
        <v>小象优品暴力催收</v>
      </c>
      <c r="C10152" s="2" t="s">
        <v>9</v>
      </c>
      <c r="D10152" s="2" t="s">
        <v>10</v>
      </c>
      <c r="E10152" s="2" t="str">
        <f>HYPERLINK("http://ts.21cn.com/tousu/show/id/1341355","http://ts.21cn.com/tousu/show/id/1341355")</f>
        <v>http://ts.21cn.com/tousu/show/id/1341355</v>
      </c>
      <c r="F10152" s="2" t="s">
        <v>11</v>
      </c>
      <c r="G10152" s="2" t="s">
        <v>24191</v>
      </c>
      <c r="H10152" s="2" t="s">
        <v>24192</v>
      </c>
    </row>
    <row r="10153" spans="1:8" ht="25.05" customHeight="1" x14ac:dyDescent="0.25">
      <c r="A10153" s="2" t="s">
        <v>8</v>
      </c>
      <c r="B10153" s="2" t="str">
        <f>HYPERLINK("http://ts.21cn.com/tousu/show/id/1341356","宜信普惠暴力催收")</f>
        <v>宜信普惠暴力催收</v>
      </c>
      <c r="C10153" s="2" t="s">
        <v>9</v>
      </c>
      <c r="D10153" s="2" t="s">
        <v>10</v>
      </c>
      <c r="E10153" s="2" t="str">
        <f>HYPERLINK("http://ts.21cn.com/tousu/show/id/1341356","http://ts.21cn.com/tousu/show/id/1341356")</f>
        <v>http://ts.21cn.com/tousu/show/id/1341356</v>
      </c>
      <c r="F10153" s="2" t="s">
        <v>11</v>
      </c>
      <c r="G10153" s="2" t="s">
        <v>24189</v>
      </c>
      <c r="H10153" s="2" t="s">
        <v>24190</v>
      </c>
    </row>
    <row r="10154" spans="1:8" ht="25.05" customHeight="1" x14ac:dyDescent="0.25">
      <c r="A10154" s="2" t="s">
        <v>8</v>
      </c>
      <c r="B10154" s="2" t="str">
        <f>HYPERLINK("http://ts.21cn.com/tousu/show/id/1341357","投诉交通银行骚扰我父母")</f>
        <v>投诉交通银行骚扰我父母</v>
      </c>
      <c r="C10154" s="2" t="s">
        <v>9</v>
      </c>
      <c r="D10154" s="2" t="s">
        <v>10</v>
      </c>
      <c r="E10154" s="2" t="str">
        <f>HYPERLINK("http://ts.21cn.com/tousu/show/id/1341357","http://ts.21cn.com/tousu/show/id/1341357")</f>
        <v>http://ts.21cn.com/tousu/show/id/1341357</v>
      </c>
      <c r="F10154" s="2" t="s">
        <v>11</v>
      </c>
      <c r="G10154" s="2" t="s">
        <v>24187</v>
      </c>
      <c r="H10154" s="2" t="s">
        <v>24188</v>
      </c>
    </row>
    <row r="10155" spans="1:8" ht="25.05" customHeight="1" x14ac:dyDescent="0.25">
      <c r="A10155" s="2" t="s">
        <v>8</v>
      </c>
      <c r="B10155" s="2" t="str">
        <f>HYPERLINK("http://ts.21cn.com/tousu/show/id/1341358","18年五一在厦门充值1698再送3300元民航通钻石卡活动，未告知4698元代金券一年后清零。")</f>
        <v>18年五一在厦门充值1698再送3300元民航通钻石卡活动，未告知4698元代金券一年后清零。</v>
      </c>
      <c r="C10155" s="2" t="s">
        <v>34</v>
      </c>
      <c r="D10155" s="2" t="s">
        <v>10</v>
      </c>
      <c r="E10155" s="2" t="str">
        <f>HYPERLINK("http://ts.21cn.com/tousu/show/id/1341358","http://ts.21cn.com/tousu/show/id/1341358")</f>
        <v>http://ts.21cn.com/tousu/show/id/1341358</v>
      </c>
      <c r="F10155" s="2" t="s">
        <v>11</v>
      </c>
      <c r="G10155" s="2" t="s">
        <v>24185</v>
      </c>
      <c r="H10155" s="2" t="s">
        <v>24186</v>
      </c>
    </row>
    <row r="10156" spans="1:8" ht="25.05" customHeight="1" x14ac:dyDescent="0.25">
      <c r="A10156" s="2" t="s">
        <v>8</v>
      </c>
      <c r="B10156" s="2" t="str">
        <f>HYPERLINK("http://ts.21cn.com/tousu/show/id/1341359","暴力催收，辱骂")</f>
        <v>暴力催收，辱骂</v>
      </c>
      <c r="C10156" s="2" t="s">
        <v>9</v>
      </c>
      <c r="D10156" s="2" t="s">
        <v>10</v>
      </c>
      <c r="E10156" s="2" t="str">
        <f>HYPERLINK("http://ts.21cn.com/tousu/show/id/1341359","http://ts.21cn.com/tousu/show/id/1341359")</f>
        <v>http://ts.21cn.com/tousu/show/id/1341359</v>
      </c>
      <c r="F10156" s="2" t="s">
        <v>11</v>
      </c>
      <c r="G10156" s="2" t="s">
        <v>24182</v>
      </c>
      <c r="H10156" s="2" t="s">
        <v>24183</v>
      </c>
    </row>
    <row r="10157" spans="1:8" ht="25.05" customHeight="1" x14ac:dyDescent="0.25">
      <c r="A10157" s="2" t="s">
        <v>8</v>
      </c>
      <c r="B10157" s="2" t="str">
        <f>HYPERLINK("http://ts.21cn.com/tousu/show/id/1341360","小赢轰炸式骚扰通讯录亲戚朋友")</f>
        <v>小赢轰炸式骚扰通讯录亲戚朋友</v>
      </c>
      <c r="C10157" s="2" t="s">
        <v>9</v>
      </c>
      <c r="D10157" s="2" t="s">
        <v>10</v>
      </c>
      <c r="E10157" s="2" t="str">
        <f>HYPERLINK("http://ts.21cn.com/tousu/show/id/1341360","http://ts.21cn.com/tousu/show/id/1341360")</f>
        <v>http://ts.21cn.com/tousu/show/id/1341360</v>
      </c>
      <c r="F10157" s="2" t="s">
        <v>11</v>
      </c>
      <c r="G10157" s="2" t="s">
        <v>24182</v>
      </c>
      <c r="H10157" s="2" t="s">
        <v>24184</v>
      </c>
    </row>
    <row r="10158" spans="1:8" ht="25.05" customHeight="1" x14ac:dyDescent="0.25">
      <c r="A10158" s="2" t="s">
        <v>8</v>
      </c>
      <c r="B10158" s="2" t="str">
        <f>HYPERLINK("http://ts.21cn.com/tousu/show/id/1341361","广发信用卡高利贷好高额违约金和利息")</f>
        <v>广发信用卡高利贷好高额违约金和利息</v>
      </c>
      <c r="C10158" s="2" t="s">
        <v>9</v>
      </c>
      <c r="D10158" s="2" t="s">
        <v>10</v>
      </c>
      <c r="E10158" s="2" t="str">
        <f>HYPERLINK("http://ts.21cn.com/tousu/show/id/1341361","http://ts.21cn.com/tousu/show/id/1341361")</f>
        <v>http://ts.21cn.com/tousu/show/id/1341361</v>
      </c>
      <c r="F10158" s="2" t="s">
        <v>11</v>
      </c>
      <c r="G10158" s="2" t="s">
        <v>24180</v>
      </c>
      <c r="H10158" s="2" t="s">
        <v>24181</v>
      </c>
    </row>
    <row r="10159" spans="1:8" ht="25.05" customHeight="1" x14ac:dyDescent="0.25">
      <c r="A10159" s="2" t="s">
        <v>8</v>
      </c>
      <c r="B10159" s="2" t="str">
        <f>HYPERLINK("http://ts.21cn.com/tousu/show/id/1341364","未经本人同意，私自扣费")</f>
        <v>未经本人同意，私自扣费</v>
      </c>
      <c r="C10159" s="2" t="s">
        <v>9</v>
      </c>
      <c r="D10159" s="2" t="s">
        <v>10</v>
      </c>
      <c r="E10159" s="2" t="str">
        <f>HYPERLINK("http://ts.21cn.com/tousu/show/id/1341364","http://ts.21cn.com/tousu/show/id/1341364")</f>
        <v>http://ts.21cn.com/tousu/show/id/1341364</v>
      </c>
      <c r="F10159" s="2" t="s">
        <v>11</v>
      </c>
      <c r="G10159" s="2" t="s">
        <v>24178</v>
      </c>
      <c r="H10159" s="2" t="s">
        <v>24179</v>
      </c>
    </row>
    <row r="10160" spans="1:8" ht="25.05" customHeight="1" x14ac:dyDescent="0.25">
      <c r="A10160" s="2" t="s">
        <v>8</v>
      </c>
      <c r="B10160" s="2" t="str">
        <f>HYPERLINK("http://ts.21cn.com/tousu/show/id/1341362","微粒贷爆通讯录")</f>
        <v>微粒贷爆通讯录</v>
      </c>
      <c r="C10160" s="2" t="s">
        <v>9</v>
      </c>
      <c r="D10160" s="2" t="s">
        <v>10</v>
      </c>
      <c r="E10160" s="2" t="str">
        <f>HYPERLINK("http://ts.21cn.com/tousu/show/id/1341362","http://ts.21cn.com/tousu/show/id/1341362")</f>
        <v>http://ts.21cn.com/tousu/show/id/1341362</v>
      </c>
      <c r="F10160" s="2" t="s">
        <v>11</v>
      </c>
      <c r="G10160" s="2" t="s">
        <v>24176</v>
      </c>
      <c r="H10160" s="2" t="s">
        <v>24177</v>
      </c>
    </row>
    <row r="10161" spans="1:8" ht="25.05" customHeight="1" x14ac:dyDescent="0.25">
      <c r="A10161" s="2" t="s">
        <v>8</v>
      </c>
      <c r="B10161" s="2" t="str">
        <f>HYPERLINK("http://ts.21cn.com/tousu/show/id/1341365","安逸花，变相收取费用，实际年利率超过百分之十")</f>
        <v>安逸花，变相收取费用，实际年利率超过百分之十</v>
      </c>
      <c r="C10161" s="2" t="s">
        <v>9</v>
      </c>
      <c r="D10161" s="2" t="s">
        <v>10</v>
      </c>
      <c r="E10161" s="2" t="str">
        <f>HYPERLINK("http://ts.21cn.com/tousu/show/id/1341365","http://ts.21cn.com/tousu/show/id/1341365")</f>
        <v>http://ts.21cn.com/tousu/show/id/1341365</v>
      </c>
      <c r="F10161" s="2" t="s">
        <v>11</v>
      </c>
      <c r="G10161" s="2" t="s">
        <v>24174</v>
      </c>
      <c r="H10161" s="2" t="s">
        <v>24175</v>
      </c>
    </row>
    <row r="10162" spans="1:8" ht="25.05" customHeight="1" x14ac:dyDescent="0.25">
      <c r="A10162" s="2" t="s">
        <v>8</v>
      </c>
      <c r="B10162" s="2" t="str">
        <f>HYPERLINK("http://ts.21cn.com/tousu/show/id/1341367","闪电借款骚扰联系人")</f>
        <v>闪电借款骚扰联系人</v>
      </c>
      <c r="C10162" s="2" t="s">
        <v>9</v>
      </c>
      <c r="D10162" s="2" t="s">
        <v>10</v>
      </c>
      <c r="E10162" s="2" t="str">
        <f>HYPERLINK("http://ts.21cn.com/tousu/show/id/1341367","http://ts.21cn.com/tousu/show/id/1341367")</f>
        <v>http://ts.21cn.com/tousu/show/id/1341367</v>
      </c>
      <c r="F10162" s="2" t="s">
        <v>11</v>
      </c>
      <c r="G10162" s="2" t="s">
        <v>24172</v>
      </c>
      <c r="H10162" s="2" t="s">
        <v>24173</v>
      </c>
    </row>
    <row r="10163" spans="1:8" ht="25.05" customHeight="1" x14ac:dyDescent="0.25">
      <c r="A10163" s="2" t="s">
        <v>8</v>
      </c>
      <c r="B10163" s="2" t="str">
        <f>HYPERLINK("http://ts.21cn.com/tousu/show/id/1341366","平台高利贷，催收态度恶劣，不给协商解决问题")</f>
        <v>平台高利贷，催收态度恶劣，不给协商解决问题</v>
      </c>
      <c r="C10163" s="2" t="s">
        <v>9</v>
      </c>
      <c r="D10163" s="2" t="s">
        <v>10</v>
      </c>
      <c r="E10163" s="2" t="str">
        <f>HYPERLINK("http://ts.21cn.com/tousu/show/id/1341366","http://ts.21cn.com/tousu/show/id/1341366")</f>
        <v>http://ts.21cn.com/tousu/show/id/1341366</v>
      </c>
      <c r="F10163" s="2" t="s">
        <v>11</v>
      </c>
      <c r="G10163" s="2" t="s">
        <v>24170</v>
      </c>
      <c r="H10163" s="2" t="s">
        <v>24171</v>
      </c>
    </row>
    <row r="10164" spans="1:8" ht="25.05" customHeight="1" x14ac:dyDescent="0.25">
      <c r="A10164" s="2" t="s">
        <v>8</v>
      </c>
      <c r="B10164" s="2" t="str">
        <f>HYPERLINK("http://ts.21cn.com/tousu/show/id/1341368","阴阳合同，砍头息")</f>
        <v>阴阳合同，砍头息</v>
      </c>
      <c r="C10164" s="2" t="s">
        <v>9</v>
      </c>
      <c r="D10164" s="2" t="s">
        <v>10</v>
      </c>
      <c r="E10164" s="2" t="str">
        <f>HYPERLINK("http://ts.21cn.com/tousu/show/id/1341368","http://ts.21cn.com/tousu/show/id/1341368")</f>
        <v>http://ts.21cn.com/tousu/show/id/1341368</v>
      </c>
      <c r="F10164" s="2" t="s">
        <v>11</v>
      </c>
      <c r="G10164" s="2" t="s">
        <v>24168</v>
      </c>
      <c r="H10164" s="2" t="s">
        <v>24169</v>
      </c>
    </row>
    <row r="10165" spans="1:8" ht="25.05" customHeight="1" x14ac:dyDescent="0.25">
      <c r="A10165" s="2" t="s">
        <v>8</v>
      </c>
      <c r="B10165" s="2" t="str">
        <f>HYPERLINK("http://ts.21cn.com/tousu/show/id/1341370","高利贷")</f>
        <v>高利贷</v>
      </c>
      <c r="C10165" s="2" t="s">
        <v>9</v>
      </c>
      <c r="D10165" s="2" t="s">
        <v>10</v>
      </c>
      <c r="E10165" s="2" t="str">
        <f>HYPERLINK("http://ts.21cn.com/tousu/show/id/1341370","http://ts.21cn.com/tousu/show/id/1341370")</f>
        <v>http://ts.21cn.com/tousu/show/id/1341370</v>
      </c>
      <c r="F10165" s="2" t="s">
        <v>11</v>
      </c>
      <c r="G10165" s="2" t="s">
        <v>24166</v>
      </c>
      <c r="H10165" s="2" t="s">
        <v>24167</v>
      </c>
    </row>
    <row r="10166" spans="1:8" ht="25.05" customHeight="1" x14ac:dyDescent="0.25">
      <c r="A10166" s="2" t="s">
        <v>8</v>
      </c>
      <c r="B10166" s="2" t="str">
        <f>HYPERLINK("http://ts.21cn.com/tousu/show/id/1341371","指上旅行套路贷")</f>
        <v>指上旅行套路贷</v>
      </c>
      <c r="C10166" s="2" t="s">
        <v>9</v>
      </c>
      <c r="D10166" s="2" t="s">
        <v>10</v>
      </c>
      <c r="E10166" s="2" t="str">
        <f>HYPERLINK("http://ts.21cn.com/tousu/show/id/1341371","http://ts.21cn.com/tousu/show/id/1341371")</f>
        <v>http://ts.21cn.com/tousu/show/id/1341371</v>
      </c>
      <c r="F10166" s="2" t="s">
        <v>11</v>
      </c>
      <c r="G10166" s="2" t="s">
        <v>24164</v>
      </c>
      <c r="H10166" s="2" t="s">
        <v>24165</v>
      </c>
    </row>
    <row r="10167" spans="1:8" ht="25.05" customHeight="1" x14ac:dyDescent="0.25">
      <c r="A10167" s="2" t="s">
        <v>8</v>
      </c>
      <c r="B10167" s="2" t="str">
        <f>HYPERLINK("http://ts.21cn.com/tousu/show/id/1341372","高利贷")</f>
        <v>高利贷</v>
      </c>
      <c r="C10167" s="2" t="s">
        <v>9</v>
      </c>
      <c r="D10167" s="2" t="s">
        <v>10</v>
      </c>
      <c r="E10167" s="2" t="str">
        <f>HYPERLINK("http://ts.21cn.com/tousu/show/id/1341372","http://ts.21cn.com/tousu/show/id/1341372")</f>
        <v>http://ts.21cn.com/tousu/show/id/1341372</v>
      </c>
      <c r="F10167" s="2" t="s">
        <v>11</v>
      </c>
      <c r="G10167" s="2" t="s">
        <v>24162</v>
      </c>
      <c r="H10167" s="2" t="s">
        <v>24163</v>
      </c>
    </row>
    <row r="10168" spans="1:8" ht="25.05" customHeight="1" x14ac:dyDescent="0.25">
      <c r="A10168" s="2" t="s">
        <v>8</v>
      </c>
      <c r="B10168" s="2" t="str">
        <f>HYPERLINK("http://ts.21cn.com/tousu/show/id/1341373","皆大欢喜网贷还不了款也不扣款导致续期收费")</f>
        <v>皆大欢喜网贷还不了款也不扣款导致续期收费</v>
      </c>
      <c r="C10168" s="2" t="s">
        <v>34</v>
      </c>
      <c r="D10168" s="2" t="s">
        <v>10</v>
      </c>
      <c r="E10168" s="2" t="str">
        <f>HYPERLINK("http://ts.21cn.com/tousu/show/id/1341373","http://ts.21cn.com/tousu/show/id/1341373")</f>
        <v>http://ts.21cn.com/tousu/show/id/1341373</v>
      </c>
      <c r="F10168" s="2" t="s">
        <v>11</v>
      </c>
      <c r="G10168" s="2" t="s">
        <v>24160</v>
      </c>
      <c r="H10168" s="2" t="s">
        <v>24161</v>
      </c>
    </row>
    <row r="10169" spans="1:8" ht="25.05" customHeight="1" x14ac:dyDescent="0.25">
      <c r="A10169" s="2" t="s">
        <v>8</v>
      </c>
      <c r="B10169" s="2" t="str">
        <f>HYPERLINK("http://ts.21cn.com/tousu/show/id/1341374","不给予处理")</f>
        <v>不给予处理</v>
      </c>
      <c r="C10169" s="2" t="s">
        <v>9</v>
      </c>
      <c r="D10169" s="2" t="s">
        <v>10</v>
      </c>
      <c r="E10169" s="2" t="str">
        <f>HYPERLINK("http://ts.21cn.com/tousu/show/id/1341374","http://ts.21cn.com/tousu/show/id/1341374")</f>
        <v>http://ts.21cn.com/tousu/show/id/1341374</v>
      </c>
      <c r="F10169" s="2" t="s">
        <v>11</v>
      </c>
      <c r="G10169" s="2" t="s">
        <v>24158</v>
      </c>
      <c r="H10169" s="2" t="s">
        <v>24159</v>
      </c>
    </row>
    <row r="10170" spans="1:8" ht="25.05" customHeight="1" x14ac:dyDescent="0.25">
      <c r="A10170" s="2" t="s">
        <v>8</v>
      </c>
      <c r="B10170" s="2" t="str">
        <f>HYPERLINK("http://ts.21cn.com/tousu/show/id/1341375","高铁管家退票成功不退款")</f>
        <v>高铁管家退票成功不退款</v>
      </c>
      <c r="C10170" s="2" t="s">
        <v>9</v>
      </c>
      <c r="D10170" s="2" t="s">
        <v>10</v>
      </c>
      <c r="E10170" s="2" t="str">
        <f>HYPERLINK("http://ts.21cn.com/tousu/show/id/1341375","http://ts.21cn.com/tousu/show/id/1341375")</f>
        <v>http://ts.21cn.com/tousu/show/id/1341375</v>
      </c>
      <c r="F10170" s="2" t="s">
        <v>11</v>
      </c>
      <c r="G10170" s="2" t="s">
        <v>24156</v>
      </c>
      <c r="H10170" s="2" t="s">
        <v>24157</v>
      </c>
    </row>
    <row r="10171" spans="1:8" ht="25.05" customHeight="1" x14ac:dyDescent="0.25">
      <c r="A10171" s="2" t="s">
        <v>8</v>
      </c>
      <c r="B10171" s="2" t="str">
        <f>HYPERLINK("http://ts.21cn.com/tousu/show/id/1341377","好易贷高额利息")</f>
        <v>好易贷高额利息</v>
      </c>
      <c r="C10171" s="2" t="s">
        <v>9</v>
      </c>
      <c r="D10171" s="2" t="s">
        <v>10</v>
      </c>
      <c r="E10171" s="2" t="str">
        <f>HYPERLINK("http://ts.21cn.com/tousu/show/id/1341377","http://ts.21cn.com/tousu/show/id/1341377")</f>
        <v>http://ts.21cn.com/tousu/show/id/1341377</v>
      </c>
      <c r="F10171" s="2" t="s">
        <v>11</v>
      </c>
      <c r="G10171" s="2" t="s">
        <v>24154</v>
      </c>
      <c r="H10171" s="2" t="s">
        <v>24155</v>
      </c>
    </row>
    <row r="10172" spans="1:8" ht="25.05" customHeight="1" x14ac:dyDescent="0.25">
      <c r="A10172" s="2" t="s">
        <v>8</v>
      </c>
      <c r="B10172" s="2" t="str">
        <f>HYPERLINK("http://ts.21cn.com/tousu/show/id/1341376","马上金融垃圾高利贷")</f>
        <v>马上金融垃圾高利贷</v>
      </c>
      <c r="C10172" s="2" t="s">
        <v>9</v>
      </c>
      <c r="D10172" s="2" t="s">
        <v>10</v>
      </c>
      <c r="E10172" s="2" t="str">
        <f>HYPERLINK("http://ts.21cn.com/tousu/show/id/1341376","http://ts.21cn.com/tousu/show/id/1341376")</f>
        <v>http://ts.21cn.com/tousu/show/id/1341376</v>
      </c>
      <c r="F10172" s="2" t="s">
        <v>11</v>
      </c>
      <c r="G10172" s="2" t="s">
        <v>24152</v>
      </c>
      <c r="H10172" s="2" t="s">
        <v>24153</v>
      </c>
    </row>
    <row r="10173" spans="1:8" ht="25.05" customHeight="1" x14ac:dyDescent="0.25">
      <c r="A10173" s="2" t="s">
        <v>8</v>
      </c>
      <c r="B10173" s="2" t="str">
        <f>HYPERLINK("http://ts.21cn.com/tousu/show/id/1341378","把海尔官方网站、官方旗舰店没有的HYX-I90CPU海尔母婴多功能离子净化消毒机虚假包装成新研发、未上市产品进行倾销处理")</f>
        <v>把海尔官方网站、官方旗舰店没有的HYX-I90CPU海尔母婴多功能离子净化消毒机虚假包装成新研发、未上市产品进行倾销处理</v>
      </c>
      <c r="C10173" s="2" t="s">
        <v>9</v>
      </c>
      <c r="D10173" s="2" t="s">
        <v>10</v>
      </c>
      <c r="E10173" s="2" t="str">
        <f>HYPERLINK("http://ts.21cn.com/tousu/show/id/1341378","http://ts.21cn.com/tousu/show/id/1341378")</f>
        <v>http://ts.21cn.com/tousu/show/id/1341378</v>
      </c>
      <c r="F10173" s="2" t="s">
        <v>11</v>
      </c>
      <c r="G10173" s="2" t="s">
        <v>24150</v>
      </c>
      <c r="H10173" s="2" t="s">
        <v>24151</v>
      </c>
    </row>
    <row r="10174" spans="1:8" ht="25.05" customHeight="1" x14ac:dyDescent="0.25">
      <c r="A10174" s="2" t="s">
        <v>8</v>
      </c>
      <c r="B10174" s="2" t="str">
        <f>HYPERLINK("http://ts.21cn.com/tousu/show/id/1341379","投诉贷上钱章鱼钱包套路贷砍头息高利息")</f>
        <v>投诉贷上钱章鱼钱包套路贷砍头息高利息</v>
      </c>
      <c r="C10174" s="2" t="s">
        <v>9</v>
      </c>
      <c r="D10174" s="2" t="s">
        <v>10</v>
      </c>
      <c r="E10174" s="2" t="str">
        <f>HYPERLINK("http://ts.21cn.com/tousu/show/id/1341379","http://ts.21cn.com/tousu/show/id/1341379")</f>
        <v>http://ts.21cn.com/tousu/show/id/1341379</v>
      </c>
      <c r="F10174" s="2" t="s">
        <v>11</v>
      </c>
      <c r="G10174" s="2" t="s">
        <v>24148</v>
      </c>
      <c r="H10174" s="2" t="s">
        <v>24149</v>
      </c>
    </row>
    <row r="10175" spans="1:8" ht="25.05" customHeight="1" x14ac:dyDescent="0.25">
      <c r="A10175" s="2" t="s">
        <v>8</v>
      </c>
      <c r="B10175" s="2" t="str">
        <f>HYPERLINK("http://ts.21cn.com/tousu/show/id/1341380","拍拍贷App上还不上款又不主动扣款")</f>
        <v>拍拍贷App上还不上款又不主动扣款</v>
      </c>
      <c r="C10175" s="2" t="s">
        <v>9</v>
      </c>
      <c r="D10175" s="2" t="s">
        <v>10</v>
      </c>
      <c r="E10175" s="2" t="str">
        <f>HYPERLINK("http://ts.21cn.com/tousu/show/id/1341380","http://ts.21cn.com/tousu/show/id/1341380")</f>
        <v>http://ts.21cn.com/tousu/show/id/1341380</v>
      </c>
      <c r="F10175" s="2" t="s">
        <v>11</v>
      </c>
      <c r="G10175" s="2" t="s">
        <v>24146</v>
      </c>
      <c r="H10175" s="2" t="s">
        <v>24147</v>
      </c>
    </row>
    <row r="10176" spans="1:8" ht="25.05" customHeight="1" x14ac:dyDescent="0.25">
      <c r="A10176" s="2" t="s">
        <v>8</v>
      </c>
      <c r="B10176" s="2" t="str">
        <f>HYPERLINK("http://ts.21cn.com/tousu/show/id/1341381","贷上钱霸王条款额外非法收取资金")</f>
        <v>贷上钱霸王条款额外非法收取资金</v>
      </c>
      <c r="C10176" s="2" t="s">
        <v>9</v>
      </c>
      <c r="D10176" s="2" t="s">
        <v>10</v>
      </c>
      <c r="E10176" s="2" t="str">
        <f>HYPERLINK("http://ts.21cn.com/tousu/show/id/1341381","http://ts.21cn.com/tousu/show/id/1341381")</f>
        <v>http://ts.21cn.com/tousu/show/id/1341381</v>
      </c>
      <c r="F10176" s="2" t="s">
        <v>11</v>
      </c>
      <c r="G10176" s="2" t="s">
        <v>24144</v>
      </c>
      <c r="H10176" s="2" t="s">
        <v>24145</v>
      </c>
    </row>
    <row r="10177" spans="1:8" ht="25.05" customHeight="1" x14ac:dyDescent="0.25">
      <c r="A10177" s="2" t="s">
        <v>8</v>
      </c>
      <c r="B10177" s="2" t="str">
        <f>HYPERLINK("http://ts.21cn.com/tousu/show/id/1341383","在火车站对网上购买的车票进行全额补票然而在网络上购买的车票并没有退款")</f>
        <v>在火车站对网上购买的车票进行全额补票然而在网络上购买的车票并没有退款</v>
      </c>
      <c r="C10177" s="2" t="s">
        <v>9</v>
      </c>
      <c r="D10177" s="2" t="s">
        <v>10</v>
      </c>
      <c r="E10177" s="2" t="str">
        <f>HYPERLINK("http://ts.21cn.com/tousu/show/id/1341383","http://ts.21cn.com/tousu/show/id/1341383")</f>
        <v>http://ts.21cn.com/tousu/show/id/1341383</v>
      </c>
      <c r="F10177" s="2" t="s">
        <v>11</v>
      </c>
      <c r="G10177" s="2" t="s">
        <v>24142</v>
      </c>
      <c r="H10177" s="2" t="s">
        <v>24143</v>
      </c>
    </row>
    <row r="10178" spans="1:8" ht="25.05" customHeight="1" x14ac:dyDescent="0.25">
      <c r="A10178" s="2" t="s">
        <v>8</v>
      </c>
      <c r="B10178" s="2" t="str">
        <f>HYPERLINK("http://ts.21cn.com/tousu/show/id/1341384","还没逾期来分期就一直打电话")</f>
        <v>还没逾期来分期就一直打电话</v>
      </c>
      <c r="C10178" s="2" t="s">
        <v>34</v>
      </c>
      <c r="D10178" s="2" t="s">
        <v>10</v>
      </c>
      <c r="E10178" s="2" t="str">
        <f>HYPERLINK("http://ts.21cn.com/tousu/show/id/1341384","http://ts.21cn.com/tousu/show/id/1341384")</f>
        <v>http://ts.21cn.com/tousu/show/id/1341384</v>
      </c>
      <c r="F10178" s="2" t="s">
        <v>11</v>
      </c>
      <c r="G10178" s="2" t="s">
        <v>24140</v>
      </c>
      <c r="H10178" s="2" t="s">
        <v>24141</v>
      </c>
    </row>
    <row r="10179" spans="1:8" ht="25.05" customHeight="1" x14ac:dyDescent="0.25">
      <c r="A10179" s="2" t="s">
        <v>8</v>
      </c>
      <c r="B10179" s="2" t="str">
        <f>HYPERLINK("http://ts.21cn.com/tousu/show/id/1341386","高额利息，套路贷")</f>
        <v>高额利息，套路贷</v>
      </c>
      <c r="C10179" s="2" t="s">
        <v>9</v>
      </c>
      <c r="D10179" s="2" t="s">
        <v>10</v>
      </c>
      <c r="E10179" s="2" t="str">
        <f>HYPERLINK("http://ts.21cn.com/tousu/show/id/1341386","http://ts.21cn.com/tousu/show/id/1341386")</f>
        <v>http://ts.21cn.com/tousu/show/id/1341386</v>
      </c>
      <c r="F10179" s="2" t="s">
        <v>11</v>
      </c>
      <c r="G10179" s="2" t="s">
        <v>24138</v>
      </c>
      <c r="H10179" s="2" t="s">
        <v>24139</v>
      </c>
    </row>
    <row r="10180" spans="1:8" ht="25.05" customHeight="1" x14ac:dyDescent="0.25">
      <c r="A10180" s="2" t="s">
        <v>8</v>
      </c>
      <c r="B10180" s="2" t="str">
        <f>HYPERLINK("http://ts.21cn.com/tousu/show/id/1341385","威胁恐吓")</f>
        <v>威胁恐吓</v>
      </c>
      <c r="C10180" s="2" t="s">
        <v>9</v>
      </c>
      <c r="D10180" s="2" t="s">
        <v>10</v>
      </c>
      <c r="E10180" s="2" t="str">
        <f>HYPERLINK("http://ts.21cn.com/tousu/show/id/1341385","http://ts.21cn.com/tousu/show/id/1341385")</f>
        <v>http://ts.21cn.com/tousu/show/id/1341385</v>
      </c>
      <c r="F10180" s="2" t="s">
        <v>11</v>
      </c>
      <c r="G10180" s="2" t="s">
        <v>24136</v>
      </c>
      <c r="H10180" s="2" t="s">
        <v>24137</v>
      </c>
    </row>
    <row r="10181" spans="1:8" ht="25.05" customHeight="1" x14ac:dyDescent="0.25">
      <c r="A10181" s="2" t="s">
        <v>8</v>
      </c>
      <c r="B10181" s="2" t="str">
        <f>HYPERLINK("http://ts.21cn.com/tousu/show/id/1341387","现金借款套路贷")</f>
        <v>现金借款套路贷</v>
      </c>
      <c r="C10181" s="2" t="s">
        <v>9</v>
      </c>
      <c r="D10181" s="2" t="s">
        <v>10</v>
      </c>
      <c r="E10181" s="2" t="str">
        <f>HYPERLINK("http://ts.21cn.com/tousu/show/id/1341387","http://ts.21cn.com/tousu/show/id/1341387")</f>
        <v>http://ts.21cn.com/tousu/show/id/1341387</v>
      </c>
      <c r="F10181" s="2" t="s">
        <v>11</v>
      </c>
      <c r="G10181" s="2" t="s">
        <v>24134</v>
      </c>
      <c r="H10181" s="2" t="s">
        <v>24135</v>
      </c>
    </row>
    <row r="10182" spans="1:8" ht="25.05" customHeight="1" x14ac:dyDescent="0.25">
      <c r="A10182" s="2" t="s">
        <v>8</v>
      </c>
      <c r="B10182" s="2" t="str">
        <f>HYPERLINK("http://ts.21cn.com/tousu/show/id/1341388","暴力催收不给协商机会")</f>
        <v>暴力催收不给协商机会</v>
      </c>
      <c r="C10182" s="2" t="s">
        <v>9</v>
      </c>
      <c r="D10182" s="2" t="s">
        <v>10</v>
      </c>
      <c r="E10182" s="2" t="str">
        <f>HYPERLINK("http://ts.21cn.com/tousu/show/id/1341388","http://ts.21cn.com/tousu/show/id/1341388")</f>
        <v>http://ts.21cn.com/tousu/show/id/1341388</v>
      </c>
      <c r="F10182" s="2" t="s">
        <v>11</v>
      </c>
      <c r="G10182" s="2" t="s">
        <v>24132</v>
      </c>
      <c r="H10182" s="2" t="s">
        <v>24133</v>
      </c>
    </row>
    <row r="10183" spans="1:8" ht="25.05" customHeight="1" x14ac:dyDescent="0.25">
      <c r="A10183" s="2" t="s">
        <v>8</v>
      </c>
      <c r="B10183" s="2" t="str">
        <f>HYPERLINK("http://ts.21cn.com/tousu/show/id/1341389","招联金融第三方催收编辑威胁短信催促相关人员转告欠款人员还款，电话")</f>
        <v>招联金融第三方催收编辑威胁短信催促相关人员转告欠款人员还款，电话</v>
      </c>
      <c r="C10183" s="2" t="s">
        <v>9</v>
      </c>
      <c r="D10183" s="2" t="s">
        <v>10</v>
      </c>
      <c r="E10183" s="2" t="str">
        <f>HYPERLINK("http://ts.21cn.com/tousu/show/id/1341389","http://ts.21cn.com/tousu/show/id/1341389")</f>
        <v>http://ts.21cn.com/tousu/show/id/1341389</v>
      </c>
      <c r="F10183" s="2" t="s">
        <v>11</v>
      </c>
      <c r="G10183" s="2" t="s">
        <v>24130</v>
      </c>
      <c r="H10183" s="2" t="s">
        <v>24131</v>
      </c>
    </row>
    <row r="10184" spans="1:8" ht="25.05" customHeight="1" x14ac:dyDescent="0.25">
      <c r="A10184" s="2" t="s">
        <v>8</v>
      </c>
      <c r="B10184" s="2" t="str">
        <f>HYPERLINK("http://ts.21cn.com/tousu/show/id/1341390","银盛隐形多扣款是属于啥行为，欺诈吗")</f>
        <v>银盛隐形多扣款是属于啥行为，欺诈吗</v>
      </c>
      <c r="C10184" s="2" t="s">
        <v>9</v>
      </c>
      <c r="D10184" s="2" t="s">
        <v>10</v>
      </c>
      <c r="E10184" s="2" t="str">
        <f>HYPERLINK("http://ts.21cn.com/tousu/show/id/1341390","http://ts.21cn.com/tousu/show/id/1341390")</f>
        <v>http://ts.21cn.com/tousu/show/id/1341390</v>
      </c>
      <c r="F10184" s="2" t="s">
        <v>11</v>
      </c>
      <c r="G10184" s="2" t="s">
        <v>24128</v>
      </c>
      <c r="H10184" s="2" t="s">
        <v>24129</v>
      </c>
    </row>
    <row r="10185" spans="1:8" ht="25.05" customHeight="1" x14ac:dyDescent="0.25">
      <c r="A10185" s="2" t="s">
        <v>8</v>
      </c>
      <c r="B10185" s="2" t="str">
        <f>HYPERLINK("http://ts.21cn.com/tousu/show/id/1341391","高额砍头息，套路贷")</f>
        <v>高额砍头息，套路贷</v>
      </c>
      <c r="C10185" s="2" t="s">
        <v>9</v>
      </c>
      <c r="D10185" s="2" t="s">
        <v>10</v>
      </c>
      <c r="E10185" s="2" t="str">
        <f>HYPERLINK("http://ts.21cn.com/tousu/show/id/1341391","http://ts.21cn.com/tousu/show/id/1341391")</f>
        <v>http://ts.21cn.com/tousu/show/id/1341391</v>
      </c>
      <c r="F10185" s="2" t="s">
        <v>11</v>
      </c>
      <c r="G10185" s="2" t="s">
        <v>24126</v>
      </c>
      <c r="H10185" s="2" t="s">
        <v>24127</v>
      </c>
    </row>
    <row r="10186" spans="1:8" ht="25.05" customHeight="1" x14ac:dyDescent="0.25">
      <c r="A10186" s="2" t="s">
        <v>8</v>
      </c>
      <c r="B10186" s="2" t="str">
        <f>HYPERLINK("http://ts.21cn.com/tousu/show/id/1341392","无办理工商银行信用卡，被起诉没收到任何通知")</f>
        <v>无办理工商银行信用卡，被起诉没收到任何通知</v>
      </c>
      <c r="C10186" s="2" t="s">
        <v>9</v>
      </c>
      <c r="D10186" s="2" t="s">
        <v>10</v>
      </c>
      <c r="E10186" s="2" t="str">
        <f>HYPERLINK("http://ts.21cn.com/tousu/show/id/1341392","http://ts.21cn.com/tousu/show/id/1341392")</f>
        <v>http://ts.21cn.com/tousu/show/id/1341392</v>
      </c>
      <c r="F10186" s="2" t="s">
        <v>11</v>
      </c>
      <c r="G10186" s="2" t="s">
        <v>24124</v>
      </c>
      <c r="H10186" s="2" t="s">
        <v>24125</v>
      </c>
    </row>
    <row r="10187" spans="1:8" ht="25.05" customHeight="1" x14ac:dyDescent="0.25">
      <c r="A10187" s="2" t="s">
        <v>8</v>
      </c>
      <c r="B10187" s="2" t="str">
        <f>HYPERLINK("http://ts.21cn.com/tousu/show/id/1341394","提前扣取服务费，审核通过不放款")</f>
        <v>提前扣取服务费，审核通过不放款</v>
      </c>
      <c r="C10187" s="2" t="s">
        <v>34</v>
      </c>
      <c r="D10187" s="2" t="s">
        <v>10</v>
      </c>
      <c r="E10187" s="2" t="str">
        <f>HYPERLINK("http://ts.21cn.com/tousu/show/id/1341394","http://ts.21cn.com/tousu/show/id/1341394")</f>
        <v>http://ts.21cn.com/tousu/show/id/1341394</v>
      </c>
      <c r="F10187" s="2" t="s">
        <v>11</v>
      </c>
      <c r="G10187" s="2" t="s">
        <v>24122</v>
      </c>
      <c r="H10187" s="2" t="s">
        <v>24123</v>
      </c>
    </row>
    <row r="10188" spans="1:8" ht="25.05" customHeight="1" x14ac:dyDescent="0.25">
      <c r="A10188" s="2" t="s">
        <v>8</v>
      </c>
      <c r="B10188" s="2" t="str">
        <f>HYPERLINK("http://ts.21cn.com/tousu/show/id/1341395","万达普惠恶意让我还款失败，产生逾期利息")</f>
        <v>万达普惠恶意让我还款失败，产生逾期利息</v>
      </c>
      <c r="C10188" s="2" t="s">
        <v>34</v>
      </c>
      <c r="D10188" s="2" t="s">
        <v>10</v>
      </c>
      <c r="E10188" s="2" t="str">
        <f>HYPERLINK("http://ts.21cn.com/tousu/show/id/1341395","http://ts.21cn.com/tousu/show/id/1341395")</f>
        <v>http://ts.21cn.com/tousu/show/id/1341395</v>
      </c>
      <c r="F10188" s="2" t="s">
        <v>11</v>
      </c>
      <c r="G10188" s="2" t="s">
        <v>24120</v>
      </c>
      <c r="H10188" s="2" t="s">
        <v>24121</v>
      </c>
    </row>
    <row r="10189" spans="1:8" ht="25.05" customHeight="1" x14ac:dyDescent="0.25">
      <c r="A10189" s="2" t="s">
        <v>8</v>
      </c>
      <c r="B10189" s="2" t="str">
        <f>HYPERLINK("http://ts.21cn.com/tousu/show/id/1341396","高利贷黑社会")</f>
        <v>高利贷黑社会</v>
      </c>
      <c r="C10189" s="2" t="s">
        <v>9</v>
      </c>
      <c r="D10189" s="2" t="s">
        <v>10</v>
      </c>
      <c r="E10189" s="2" t="str">
        <f>HYPERLINK("http://ts.21cn.com/tousu/show/id/1341396","http://ts.21cn.com/tousu/show/id/1341396")</f>
        <v>http://ts.21cn.com/tousu/show/id/1341396</v>
      </c>
      <c r="F10189" s="2" t="s">
        <v>11</v>
      </c>
      <c r="G10189" s="2" t="s">
        <v>24118</v>
      </c>
      <c r="H10189" s="2" t="s">
        <v>24119</v>
      </c>
    </row>
    <row r="10190" spans="1:8" ht="25.05" customHeight="1" x14ac:dyDescent="0.25">
      <c r="A10190" s="2" t="s">
        <v>8</v>
      </c>
      <c r="B10190" s="2" t="str">
        <f>HYPERLINK("http://ts.21cn.com/tousu/show/id/1341397","民航联盟忽悠旅客办理1980元会员卡")</f>
        <v>民航联盟忽悠旅客办理1980元会员卡</v>
      </c>
      <c r="C10190" s="2" t="s">
        <v>9</v>
      </c>
      <c r="D10190" s="2" t="s">
        <v>10</v>
      </c>
      <c r="E10190" s="2" t="str">
        <f>HYPERLINK("http://ts.21cn.com/tousu/show/id/1341397","http://ts.21cn.com/tousu/show/id/1341397")</f>
        <v>http://ts.21cn.com/tousu/show/id/1341397</v>
      </c>
      <c r="F10190" s="2" t="s">
        <v>11</v>
      </c>
      <c r="G10190" s="2" t="s">
        <v>24116</v>
      </c>
      <c r="H10190" s="2" t="s">
        <v>24117</v>
      </c>
    </row>
    <row r="10191" spans="1:8" ht="25.05" customHeight="1" x14ac:dyDescent="0.25">
      <c r="A10191" s="2" t="s">
        <v>8</v>
      </c>
      <c r="B10191" s="2" t="str">
        <f>HYPERLINK("http://ts.21cn.com/tousu/show/id/1341400","你我贷暴力催收威胁爆通讯录")</f>
        <v>你我贷暴力催收威胁爆通讯录</v>
      </c>
      <c r="C10191" s="2" t="s">
        <v>9</v>
      </c>
      <c r="D10191" s="2" t="s">
        <v>10</v>
      </c>
      <c r="E10191" s="2" t="str">
        <f>HYPERLINK("http://ts.21cn.com/tousu/show/id/1341400","http://ts.21cn.com/tousu/show/id/1341400")</f>
        <v>http://ts.21cn.com/tousu/show/id/1341400</v>
      </c>
      <c r="F10191" s="2" t="s">
        <v>11</v>
      </c>
      <c r="G10191" s="2" t="s">
        <v>24114</v>
      </c>
      <c r="H10191" s="2" t="s">
        <v>24115</v>
      </c>
    </row>
    <row r="10192" spans="1:8" ht="25.05" customHeight="1" x14ac:dyDescent="0.25">
      <c r="A10192" s="2" t="s">
        <v>8</v>
      </c>
      <c r="B10192" s="2" t="str">
        <f>HYPERLINK("http://ts.21cn.com/tousu/show/id/1341398","滴滴平台找的黄牛公司不退押金")</f>
        <v>滴滴平台找的黄牛公司不退押金</v>
      </c>
      <c r="C10192" s="2" t="s">
        <v>9</v>
      </c>
      <c r="D10192" s="2" t="s">
        <v>10</v>
      </c>
      <c r="E10192" s="2" t="str">
        <f>HYPERLINK("http://ts.21cn.com/tousu/show/id/1341398","http://ts.21cn.com/tousu/show/id/1341398")</f>
        <v>http://ts.21cn.com/tousu/show/id/1341398</v>
      </c>
      <c r="F10192" s="2" t="s">
        <v>11</v>
      </c>
      <c r="G10192" s="2" t="s">
        <v>24112</v>
      </c>
      <c r="H10192" s="2" t="s">
        <v>24113</v>
      </c>
    </row>
    <row r="10193" spans="1:8" ht="25.05" customHeight="1" x14ac:dyDescent="0.25">
      <c r="A10193" s="2" t="s">
        <v>8</v>
      </c>
      <c r="B10193" s="2" t="str">
        <f>HYPERLINK("http://ts.21cn.com/tousu/show/id/1341401","嗨钱网恐吓")</f>
        <v>嗨钱网恐吓</v>
      </c>
      <c r="C10193" s="2" t="s">
        <v>9</v>
      </c>
      <c r="D10193" s="2" t="s">
        <v>10</v>
      </c>
      <c r="E10193" s="2" t="str">
        <f>HYPERLINK("http://ts.21cn.com/tousu/show/id/1341401","http://ts.21cn.com/tousu/show/id/1341401")</f>
        <v>http://ts.21cn.com/tousu/show/id/1341401</v>
      </c>
      <c r="F10193" s="2" t="s">
        <v>11</v>
      </c>
      <c r="G10193" s="2" t="s">
        <v>24110</v>
      </c>
      <c r="H10193" s="2" t="s">
        <v>24111</v>
      </c>
    </row>
    <row r="10194" spans="1:8" ht="25.05" customHeight="1" x14ac:dyDescent="0.25">
      <c r="A10194" s="2" t="s">
        <v>8</v>
      </c>
      <c r="B10194" s="2" t="str">
        <f>HYPERLINK("http://ts.21cn.com/tousu/show/id/1341402","轻周转芒果筹高利贷")</f>
        <v>轻周转芒果筹高利贷</v>
      </c>
      <c r="C10194" s="2" t="s">
        <v>9</v>
      </c>
      <c r="D10194" s="2" t="s">
        <v>10</v>
      </c>
      <c r="E10194" s="2" t="str">
        <f>HYPERLINK("http://ts.21cn.com/tousu/show/id/1341402","http://ts.21cn.com/tousu/show/id/1341402")</f>
        <v>http://ts.21cn.com/tousu/show/id/1341402</v>
      </c>
      <c r="F10194" s="2" t="s">
        <v>11</v>
      </c>
      <c r="G10194" s="2" t="s">
        <v>24108</v>
      </c>
      <c r="H10194" s="2" t="s">
        <v>24109</v>
      </c>
    </row>
    <row r="10195" spans="1:8" ht="25.05" customHeight="1" x14ac:dyDescent="0.25">
      <c r="A10195" s="2" t="s">
        <v>8</v>
      </c>
      <c r="B10195" s="2" t="str">
        <f>HYPERLINK("http://ts.21cn.com/tousu/show/id/1341399","小浦优客未经同意扣款")</f>
        <v>小浦优客未经同意扣款</v>
      </c>
      <c r="C10195" s="2" t="s">
        <v>9</v>
      </c>
      <c r="D10195" s="2" t="s">
        <v>10</v>
      </c>
      <c r="E10195" s="2" t="str">
        <f>HYPERLINK("http://ts.21cn.com/tousu/show/id/1341399","http://ts.21cn.com/tousu/show/id/1341399")</f>
        <v>http://ts.21cn.com/tousu/show/id/1341399</v>
      </c>
      <c r="F10195" s="2" t="s">
        <v>11</v>
      </c>
      <c r="G10195" s="2" t="s">
        <v>24106</v>
      </c>
      <c r="H10195" s="2" t="s">
        <v>24107</v>
      </c>
    </row>
    <row r="10196" spans="1:8" ht="25.05" customHeight="1" x14ac:dyDescent="0.25">
      <c r="A10196" s="2" t="s">
        <v>8</v>
      </c>
      <c r="B10196" s="2" t="str">
        <f>HYPERLINK("http://ts.21cn.com/tousu/show/id/1341403","京东白条逾期欠款以结清，第三方催收却告知需全部还完剩余欠款")</f>
        <v>京东白条逾期欠款以结清，第三方催收却告知需全部还完剩余欠款</v>
      </c>
      <c r="C10196" s="2" t="s">
        <v>9</v>
      </c>
      <c r="D10196" s="2" t="s">
        <v>10</v>
      </c>
      <c r="E10196" s="2" t="str">
        <f>HYPERLINK("http://ts.21cn.com/tousu/show/id/1341403","http://ts.21cn.com/tousu/show/id/1341403")</f>
        <v>http://ts.21cn.com/tousu/show/id/1341403</v>
      </c>
      <c r="F10196" s="2" t="s">
        <v>11</v>
      </c>
      <c r="G10196" s="2" t="s">
        <v>24104</v>
      </c>
      <c r="H10196" s="2" t="s">
        <v>24105</v>
      </c>
    </row>
    <row r="10197" spans="1:8" ht="25.05" customHeight="1" x14ac:dyDescent="0.25">
      <c r="A10197" s="2" t="s">
        <v>8</v>
      </c>
      <c r="B10197" s="2" t="str">
        <f>HYPERLINK("http://ts.21cn.com/tousu/show/id/1341404","小当家平台砍头息恶意骚扰")</f>
        <v>小当家平台砍头息恶意骚扰</v>
      </c>
      <c r="C10197" s="2" t="s">
        <v>9</v>
      </c>
      <c r="D10197" s="2" t="s">
        <v>10</v>
      </c>
      <c r="E10197" s="2" t="str">
        <f>HYPERLINK("http://ts.21cn.com/tousu/show/id/1341404","http://ts.21cn.com/tousu/show/id/1341404")</f>
        <v>http://ts.21cn.com/tousu/show/id/1341404</v>
      </c>
      <c r="F10197" s="2" t="s">
        <v>11</v>
      </c>
      <c r="G10197" s="2" t="s">
        <v>24102</v>
      </c>
      <c r="H10197" s="2" t="s">
        <v>24103</v>
      </c>
    </row>
    <row r="10198" spans="1:8" ht="25.05" customHeight="1" x14ac:dyDescent="0.25">
      <c r="A10198" s="2" t="s">
        <v>8</v>
      </c>
      <c r="B10198" s="2" t="str">
        <f>HYPERLINK("http://ts.21cn.com/tousu/show/id/1341405","拒绝注销账号")</f>
        <v>拒绝注销账号</v>
      </c>
      <c r="C10198" s="2" t="s">
        <v>34</v>
      </c>
      <c r="D10198" s="2" t="s">
        <v>10</v>
      </c>
      <c r="E10198" s="2" t="str">
        <f>HYPERLINK("http://ts.21cn.com/tousu/show/id/1341405","http://ts.21cn.com/tousu/show/id/1341405")</f>
        <v>http://ts.21cn.com/tousu/show/id/1341405</v>
      </c>
      <c r="F10198" s="2" t="s">
        <v>11</v>
      </c>
      <c r="G10198" s="2" t="s">
        <v>24100</v>
      </c>
      <c r="H10198" s="2" t="s">
        <v>24101</v>
      </c>
    </row>
    <row r="10199" spans="1:8" ht="25.05" customHeight="1" x14ac:dyDescent="0.25">
      <c r="A10199" s="2" t="s">
        <v>8</v>
      </c>
      <c r="B10199" s="2" t="str">
        <f>HYPERLINK("http://ts.21cn.com/tousu/show/id/1341406","我来贷恶意扣押还款金不按时退回")</f>
        <v>我来贷恶意扣押还款金不按时退回</v>
      </c>
      <c r="C10199" s="2" t="s">
        <v>9</v>
      </c>
      <c r="D10199" s="2" t="s">
        <v>10</v>
      </c>
      <c r="E10199" s="2" t="str">
        <f>HYPERLINK("http://ts.21cn.com/tousu/show/id/1341406","http://ts.21cn.com/tousu/show/id/1341406")</f>
        <v>http://ts.21cn.com/tousu/show/id/1341406</v>
      </c>
      <c r="F10199" s="2" t="s">
        <v>11</v>
      </c>
      <c r="G10199" s="2" t="s">
        <v>24098</v>
      </c>
      <c r="H10199" s="2" t="s">
        <v>24099</v>
      </c>
    </row>
    <row r="10200" spans="1:8" ht="25.05" customHeight="1" x14ac:dyDescent="0.25">
      <c r="A10200" s="2" t="s">
        <v>8</v>
      </c>
      <c r="B10200" s="2" t="str">
        <f>HYPERLINK("http://ts.21cn.com/tousu/show/id/1341407","立借暴力催收")</f>
        <v>立借暴力催收</v>
      </c>
      <c r="C10200" s="2" t="s">
        <v>9</v>
      </c>
      <c r="D10200" s="2" t="s">
        <v>10</v>
      </c>
      <c r="E10200" s="2" t="str">
        <f>HYPERLINK("http://ts.21cn.com/tousu/show/id/1341407","http://ts.21cn.com/tousu/show/id/1341407")</f>
        <v>http://ts.21cn.com/tousu/show/id/1341407</v>
      </c>
      <c r="F10200" s="2" t="s">
        <v>11</v>
      </c>
      <c r="G10200" s="2" t="s">
        <v>24096</v>
      </c>
      <c r="H10200" s="2" t="s">
        <v>24097</v>
      </c>
    </row>
    <row r="10201" spans="1:8" ht="25.05" customHeight="1" x14ac:dyDescent="0.25">
      <c r="A10201" s="2" t="s">
        <v>8</v>
      </c>
      <c r="B10201" s="2" t="str">
        <f>HYPERLINK("http://ts.21cn.com/tousu/show/id/1341408","卖家恶意延迟售后服务")</f>
        <v>卖家恶意延迟售后服务</v>
      </c>
      <c r="C10201" s="2" t="s">
        <v>9</v>
      </c>
      <c r="D10201" s="2" t="s">
        <v>10</v>
      </c>
      <c r="E10201" s="2" t="str">
        <f>HYPERLINK("http://ts.21cn.com/tousu/show/id/1341408","http://ts.21cn.com/tousu/show/id/1341408")</f>
        <v>http://ts.21cn.com/tousu/show/id/1341408</v>
      </c>
      <c r="F10201" s="2" t="s">
        <v>11</v>
      </c>
      <c r="G10201" s="2" t="s">
        <v>24094</v>
      </c>
      <c r="H10201" s="2" t="s">
        <v>24095</v>
      </c>
    </row>
    <row r="10202" spans="1:8" ht="25.05" customHeight="1" x14ac:dyDescent="0.25">
      <c r="A10202" s="2" t="s">
        <v>8</v>
      </c>
      <c r="B10202" s="2" t="str">
        <f>HYPERLINK("http://ts.21cn.com/tousu/show/id/1341410","中和教育学费网恶意退延退款")</f>
        <v>中和教育学费网恶意退延退款</v>
      </c>
      <c r="C10202" s="2" t="s">
        <v>9</v>
      </c>
      <c r="D10202" s="2" t="s">
        <v>10</v>
      </c>
      <c r="E10202" s="2" t="str">
        <f>HYPERLINK("http://ts.21cn.com/tousu/show/id/1341410","http://ts.21cn.com/tousu/show/id/1341410")</f>
        <v>http://ts.21cn.com/tousu/show/id/1341410</v>
      </c>
      <c r="F10202" s="2" t="s">
        <v>11</v>
      </c>
      <c r="G10202" s="2" t="s">
        <v>24092</v>
      </c>
      <c r="H10202" s="2" t="s">
        <v>24093</v>
      </c>
    </row>
    <row r="10203" spans="1:8" ht="25.05" customHeight="1" x14ac:dyDescent="0.25">
      <c r="A10203" s="2" t="s">
        <v>8</v>
      </c>
      <c r="B10203" s="2" t="str">
        <f>HYPERLINK("http://ts.21cn.com/tousu/show/id/1341413","贷上钱以买游戏豆为由收取高额贷款通过费")</f>
        <v>贷上钱以买游戏豆为由收取高额贷款通过费</v>
      </c>
      <c r="C10203" s="2" t="s">
        <v>9</v>
      </c>
      <c r="D10203" s="2" t="s">
        <v>10</v>
      </c>
      <c r="E10203" s="2" t="str">
        <f>HYPERLINK("http://ts.21cn.com/tousu/show/id/1341413","http://ts.21cn.com/tousu/show/id/1341413")</f>
        <v>http://ts.21cn.com/tousu/show/id/1341413</v>
      </c>
      <c r="F10203" s="2" t="s">
        <v>11</v>
      </c>
      <c r="G10203" s="2" t="s">
        <v>24090</v>
      </c>
      <c r="H10203" s="2" t="s">
        <v>24091</v>
      </c>
    </row>
    <row r="10204" spans="1:8" ht="25.05" customHeight="1" x14ac:dyDescent="0.25">
      <c r="A10204" s="2" t="s">
        <v>8</v>
      </c>
      <c r="B10204" s="2" t="str">
        <f>HYPERLINK("http://ts.21cn.com/tousu/show/id/1341411","拍拍贷实际出借人华润深国投信托有限公司高利贷，暴力催收，恐吓，窃取通讯录")</f>
        <v>拍拍贷实际出借人华润深国投信托有限公司高利贷，暴力催收，恐吓，窃取通讯录</v>
      </c>
      <c r="C10204" s="2" t="s">
        <v>9</v>
      </c>
      <c r="D10204" s="2" t="s">
        <v>10</v>
      </c>
      <c r="E10204" s="2" t="str">
        <f>HYPERLINK("http://ts.21cn.com/tousu/show/id/1341411","http://ts.21cn.com/tousu/show/id/1341411")</f>
        <v>http://ts.21cn.com/tousu/show/id/1341411</v>
      </c>
      <c r="F10204" s="2" t="s">
        <v>11</v>
      </c>
      <c r="G10204" s="2" t="s">
        <v>24088</v>
      </c>
      <c r="H10204" s="2" t="s">
        <v>24089</v>
      </c>
    </row>
    <row r="10205" spans="1:8" ht="25.05" customHeight="1" x14ac:dyDescent="0.25">
      <c r="A10205" s="2" t="s">
        <v>8</v>
      </c>
      <c r="B10205" s="2" t="str">
        <f>HYPERLINK("http://ts.21cn.com/tousu/show/id/1341412","浦发信用卡拒绝协商，直接发律师函")</f>
        <v>浦发信用卡拒绝协商，直接发律师函</v>
      </c>
      <c r="C10205" s="2" t="s">
        <v>9</v>
      </c>
      <c r="D10205" s="2" t="s">
        <v>10</v>
      </c>
      <c r="E10205" s="2" t="str">
        <f>HYPERLINK("http://ts.21cn.com/tousu/show/id/1341412","http://ts.21cn.com/tousu/show/id/1341412")</f>
        <v>http://ts.21cn.com/tousu/show/id/1341412</v>
      </c>
      <c r="F10205" s="2" t="s">
        <v>11</v>
      </c>
      <c r="G10205" s="2" t="s">
        <v>24086</v>
      </c>
      <c r="H10205" s="2" t="s">
        <v>24087</v>
      </c>
    </row>
    <row r="10206" spans="1:8" ht="25.05" customHeight="1" x14ac:dyDescent="0.25">
      <c r="A10206" s="2" t="s">
        <v>8</v>
      </c>
      <c r="B10206" s="2" t="str">
        <f>HYPERLINK("http://ts.21cn.com/tousu/show/id/1341414","网商贷不许协商准备让第三方暴力催收")</f>
        <v>网商贷不许协商准备让第三方暴力催收</v>
      </c>
      <c r="C10206" s="2" t="s">
        <v>9</v>
      </c>
      <c r="D10206" s="2" t="s">
        <v>10</v>
      </c>
      <c r="E10206" s="2" t="str">
        <f>HYPERLINK("http://ts.21cn.com/tousu/show/id/1341414","http://ts.21cn.com/tousu/show/id/1341414")</f>
        <v>http://ts.21cn.com/tousu/show/id/1341414</v>
      </c>
      <c r="F10206" s="2" t="s">
        <v>11</v>
      </c>
      <c r="G10206" s="2" t="s">
        <v>24084</v>
      </c>
      <c r="H10206" s="2" t="s">
        <v>24085</v>
      </c>
    </row>
    <row r="10207" spans="1:8" ht="25.05" customHeight="1" x14ac:dyDescent="0.25">
      <c r="A10207" s="2" t="s">
        <v>8</v>
      </c>
      <c r="B10207" s="2" t="str">
        <f>HYPERLINK("http://ts.21cn.com/tousu/show/id/1341415","立马进钱高利贷暴力催收")</f>
        <v>立马进钱高利贷暴力催收</v>
      </c>
      <c r="C10207" s="2" t="s">
        <v>9</v>
      </c>
      <c r="D10207" s="2" t="s">
        <v>10</v>
      </c>
      <c r="E10207" s="2" t="str">
        <f>HYPERLINK("http://ts.21cn.com/tousu/show/id/1341415","http://ts.21cn.com/tousu/show/id/1341415")</f>
        <v>http://ts.21cn.com/tousu/show/id/1341415</v>
      </c>
      <c r="F10207" s="2" t="s">
        <v>11</v>
      </c>
      <c r="G10207" s="2" t="s">
        <v>24082</v>
      </c>
      <c r="H10207" s="2" t="s">
        <v>24083</v>
      </c>
    </row>
    <row r="10208" spans="1:8" ht="25.05" customHeight="1" x14ac:dyDescent="0.25">
      <c r="A10208" s="2" t="s">
        <v>8</v>
      </c>
      <c r="B10208" s="2" t="str">
        <f>HYPERLINK("http://ts.21cn.com/tousu/show/id/1341417","畅捷支付违规为高利贷提供支付通道")</f>
        <v>畅捷支付违规为高利贷提供支付通道</v>
      </c>
      <c r="C10208" s="2" t="s">
        <v>9</v>
      </c>
      <c r="D10208" s="2" t="s">
        <v>10</v>
      </c>
      <c r="E10208" s="2" t="str">
        <f>HYPERLINK("http://ts.21cn.com/tousu/show/id/1341417","http://ts.21cn.com/tousu/show/id/1341417")</f>
        <v>http://ts.21cn.com/tousu/show/id/1341417</v>
      </c>
      <c r="F10208" s="2" t="s">
        <v>11</v>
      </c>
      <c r="G10208" s="2" t="s">
        <v>24080</v>
      </c>
      <c r="H10208" s="2" t="s">
        <v>24081</v>
      </c>
    </row>
    <row r="10209" spans="1:8" ht="25.05" customHeight="1" x14ac:dyDescent="0.25">
      <c r="A10209" s="2" t="s">
        <v>8</v>
      </c>
      <c r="B10209" s="2" t="str">
        <f>HYPERLINK("http://ts.21cn.com/tousu/show/id/1341416","云南国际信托通过信而富平台放款收取高额砍头息")</f>
        <v>云南国际信托通过信而富平台放款收取高额砍头息</v>
      </c>
      <c r="C10209" s="2" t="s">
        <v>9</v>
      </c>
      <c r="D10209" s="2" t="s">
        <v>10</v>
      </c>
      <c r="E10209" s="2" t="str">
        <f>HYPERLINK("http://ts.21cn.com/tousu/show/id/1341416","http://ts.21cn.com/tousu/show/id/1341416")</f>
        <v>http://ts.21cn.com/tousu/show/id/1341416</v>
      </c>
      <c r="F10209" s="2" t="s">
        <v>11</v>
      </c>
      <c r="G10209" s="2" t="s">
        <v>24078</v>
      </c>
      <c r="H10209" s="2" t="s">
        <v>24079</v>
      </c>
    </row>
    <row r="10210" spans="1:8" ht="25.05" customHeight="1" x14ac:dyDescent="0.25">
      <c r="A10210" s="2" t="s">
        <v>8</v>
      </c>
      <c r="B10210" s="2" t="str">
        <f>HYPERLINK("http://ts.21cn.com/tousu/show/id/1341418","急用钱包恶意扣款")</f>
        <v>急用钱包恶意扣款</v>
      </c>
      <c r="C10210" s="2" t="s">
        <v>9</v>
      </c>
      <c r="D10210" s="2" t="s">
        <v>10</v>
      </c>
      <c r="E10210" s="2" t="str">
        <f>HYPERLINK("http://ts.21cn.com/tousu/show/id/1341418","http://ts.21cn.com/tousu/show/id/1341418")</f>
        <v>http://ts.21cn.com/tousu/show/id/1341418</v>
      </c>
      <c r="F10210" s="2" t="s">
        <v>11</v>
      </c>
      <c r="G10210" s="2" t="s">
        <v>24076</v>
      </c>
      <c r="H10210" s="2" t="s">
        <v>24077</v>
      </c>
    </row>
    <row r="10211" spans="1:8" ht="25.05" customHeight="1" x14ac:dyDescent="0.25">
      <c r="A10211" s="2" t="s">
        <v>8</v>
      </c>
      <c r="B10211" s="2" t="str">
        <f>HYPERLINK("http://ts.21cn.com/tousu/show/id/1341420","哈罗顺风车克扣车费，虚假订单金额")</f>
        <v>哈罗顺风车克扣车费，虚假订单金额</v>
      </c>
      <c r="C10211" s="2" t="s">
        <v>9</v>
      </c>
      <c r="D10211" s="2" t="s">
        <v>10</v>
      </c>
      <c r="E10211" s="2" t="str">
        <f>HYPERLINK("http://ts.21cn.com/tousu/show/id/1341420","http://ts.21cn.com/tousu/show/id/1341420")</f>
        <v>http://ts.21cn.com/tousu/show/id/1341420</v>
      </c>
      <c r="F10211" s="2" t="s">
        <v>11</v>
      </c>
      <c r="G10211" s="2" t="s">
        <v>24074</v>
      </c>
      <c r="H10211" s="2" t="s">
        <v>24075</v>
      </c>
    </row>
    <row r="10212" spans="1:8" ht="25.05" customHeight="1" x14ac:dyDescent="0.25">
      <c r="A10212" s="2" t="s">
        <v>8</v>
      </c>
      <c r="B10212" s="2" t="str">
        <f>HYPERLINK("http://ts.21cn.com/tousu/show/id/1341419","逾期需要分期还或者月底前还清但外包一直恐吓并且拒绝还挂电话")</f>
        <v>逾期需要分期还或者月底前还清但外包一直恐吓并且拒绝还挂电话</v>
      </c>
      <c r="C10212" s="2" t="s">
        <v>9</v>
      </c>
      <c r="D10212" s="2" t="s">
        <v>10</v>
      </c>
      <c r="E10212" s="2" t="str">
        <f>HYPERLINK("http://ts.21cn.com/tousu/show/id/1341419","http://ts.21cn.com/tousu/show/id/1341419")</f>
        <v>http://ts.21cn.com/tousu/show/id/1341419</v>
      </c>
      <c r="F10212" s="2" t="s">
        <v>11</v>
      </c>
      <c r="G10212" s="2" t="s">
        <v>24072</v>
      </c>
      <c r="H10212" s="2" t="s">
        <v>24073</v>
      </c>
    </row>
    <row r="10213" spans="1:8" ht="25.05" customHeight="1" x14ac:dyDescent="0.25">
      <c r="A10213" s="2" t="s">
        <v>8</v>
      </c>
      <c r="B10213" s="2" t="str">
        <f>HYPERLINK("http://ts.21cn.com/tousu/show/id/1341423","招联暴力催收")</f>
        <v>招联暴力催收</v>
      </c>
      <c r="C10213" s="2" t="s">
        <v>9</v>
      </c>
      <c r="D10213" s="2" t="s">
        <v>10</v>
      </c>
      <c r="E10213" s="2" t="str">
        <f>HYPERLINK("http://ts.21cn.com/tousu/show/id/1341423","http://ts.21cn.com/tousu/show/id/1341423")</f>
        <v>http://ts.21cn.com/tousu/show/id/1341423</v>
      </c>
      <c r="F10213" s="2" t="s">
        <v>11</v>
      </c>
      <c r="G10213" s="2" t="s">
        <v>24070</v>
      </c>
      <c r="H10213" s="2" t="s">
        <v>24071</v>
      </c>
    </row>
    <row r="10214" spans="1:8" ht="25.05" customHeight="1" x14ac:dyDescent="0.25">
      <c r="A10214" s="2" t="s">
        <v>8</v>
      </c>
      <c r="B10214" s="2" t="str">
        <f>HYPERLINK("http://ts.21cn.com/tousu/show/id/1341424","交通信用卡暴力催收")</f>
        <v>交通信用卡暴力催收</v>
      </c>
      <c r="C10214" s="2" t="s">
        <v>9</v>
      </c>
      <c r="D10214" s="2" t="s">
        <v>10</v>
      </c>
      <c r="E10214" s="2" t="str">
        <f>HYPERLINK("http://ts.21cn.com/tousu/show/id/1341424","http://ts.21cn.com/tousu/show/id/1341424")</f>
        <v>http://ts.21cn.com/tousu/show/id/1341424</v>
      </c>
      <c r="F10214" s="2" t="s">
        <v>11</v>
      </c>
      <c r="G10214" s="2" t="s">
        <v>24068</v>
      </c>
      <c r="H10214" s="2" t="s">
        <v>24069</v>
      </c>
    </row>
    <row r="10215" spans="1:8" ht="25.05" customHeight="1" x14ac:dyDescent="0.25">
      <c r="A10215" s="2" t="s">
        <v>8</v>
      </c>
      <c r="B10215" s="2" t="str">
        <f>HYPERLINK("http://ts.21cn.com/tousu/show/id/1341422","非法获取通讯录")</f>
        <v>非法获取通讯录</v>
      </c>
      <c r="C10215" s="2" t="s">
        <v>9</v>
      </c>
      <c r="D10215" s="2" t="s">
        <v>10</v>
      </c>
      <c r="E10215" s="2" t="str">
        <f>HYPERLINK("http://ts.21cn.com/tousu/show/id/1341422","http://ts.21cn.com/tousu/show/id/1341422")</f>
        <v>http://ts.21cn.com/tousu/show/id/1341422</v>
      </c>
      <c r="F10215" s="2" t="s">
        <v>11</v>
      </c>
      <c r="G10215" s="2" t="s">
        <v>24066</v>
      </c>
      <c r="H10215" s="2" t="s">
        <v>24067</v>
      </c>
    </row>
    <row r="10216" spans="1:8" ht="25.05" customHeight="1" x14ac:dyDescent="0.25">
      <c r="A10216" s="2" t="s">
        <v>8</v>
      </c>
      <c r="B10216" s="2" t="str">
        <f>HYPERLINK("http://ts.21cn.com/tousu/show/id/1341425","微博借款想将还款日移后两天违约金照交不影响征信就好")</f>
        <v>微博借款想将还款日移后两天违约金照交不影响征信就好</v>
      </c>
      <c r="C10216" s="2" t="s">
        <v>9</v>
      </c>
      <c r="D10216" s="2" t="s">
        <v>10</v>
      </c>
      <c r="E10216" s="2" t="str">
        <f>HYPERLINK("http://ts.21cn.com/tousu/show/id/1341425","http://ts.21cn.com/tousu/show/id/1341425")</f>
        <v>http://ts.21cn.com/tousu/show/id/1341425</v>
      </c>
      <c r="F10216" s="2" t="s">
        <v>11</v>
      </c>
      <c r="G10216" s="2" t="s">
        <v>24064</v>
      </c>
      <c r="H10216" s="2" t="s">
        <v>24065</v>
      </c>
    </row>
    <row r="10217" spans="1:8" ht="25.05" customHeight="1" x14ac:dyDescent="0.25">
      <c r="A10217" s="2" t="s">
        <v>8</v>
      </c>
      <c r="B10217" s="2" t="str">
        <f>HYPERLINK("http://ts.21cn.com/tousu/show/id/1341426","套路贷高利贷")</f>
        <v>套路贷高利贷</v>
      </c>
      <c r="C10217" s="2" t="s">
        <v>9</v>
      </c>
      <c r="D10217" s="2" t="s">
        <v>10</v>
      </c>
      <c r="E10217" s="2" t="str">
        <f>HYPERLINK("http://ts.21cn.com/tousu/show/id/1341426","http://ts.21cn.com/tousu/show/id/1341426")</f>
        <v>http://ts.21cn.com/tousu/show/id/1341426</v>
      </c>
      <c r="F10217" s="2" t="s">
        <v>11</v>
      </c>
      <c r="G10217" s="2" t="s">
        <v>24062</v>
      </c>
      <c r="H10217" s="2" t="s">
        <v>24063</v>
      </c>
    </row>
    <row r="10218" spans="1:8" ht="25.05" customHeight="1" x14ac:dyDescent="0.25">
      <c r="A10218" s="2" t="s">
        <v>8</v>
      </c>
      <c r="B10218" s="2" t="str">
        <f>HYPERLINK("http://ts.21cn.com/tousu/show/id/1341427","国美金融高利贷")</f>
        <v>国美金融高利贷</v>
      </c>
      <c r="C10218" s="2" t="s">
        <v>9</v>
      </c>
      <c r="D10218" s="2" t="s">
        <v>10</v>
      </c>
      <c r="E10218" s="2" t="str">
        <f>HYPERLINK("http://ts.21cn.com/tousu/show/id/1341427","http://ts.21cn.com/tousu/show/id/1341427")</f>
        <v>http://ts.21cn.com/tousu/show/id/1341427</v>
      </c>
      <c r="F10218" s="2" t="s">
        <v>11</v>
      </c>
      <c r="G10218" s="2" t="s">
        <v>24060</v>
      </c>
      <c r="H10218" s="2" t="s">
        <v>24061</v>
      </c>
    </row>
    <row r="10219" spans="1:8" ht="25.05" customHeight="1" x14ac:dyDescent="0.25">
      <c r="A10219" s="2" t="s">
        <v>8</v>
      </c>
      <c r="B10219" s="2" t="str">
        <f>HYPERLINK("http://ts.21cn.com/tousu/show/id/1341428","你我贷公司的问题")</f>
        <v>你我贷公司的问题</v>
      </c>
      <c r="C10219" s="2" t="s">
        <v>9</v>
      </c>
      <c r="D10219" s="2" t="s">
        <v>10</v>
      </c>
      <c r="E10219" s="2" t="str">
        <f>HYPERLINK("http://ts.21cn.com/tousu/show/id/1341428","http://ts.21cn.com/tousu/show/id/1341428")</f>
        <v>http://ts.21cn.com/tousu/show/id/1341428</v>
      </c>
      <c r="F10219" s="2" t="s">
        <v>11</v>
      </c>
      <c r="G10219" s="2" t="s">
        <v>24058</v>
      </c>
      <c r="H10219" s="2" t="s">
        <v>24059</v>
      </c>
    </row>
    <row r="10220" spans="1:8" ht="25.05" customHeight="1" x14ac:dyDescent="0.25">
      <c r="A10220" s="2" t="s">
        <v>8</v>
      </c>
      <c r="B10220" s="2" t="str">
        <f>HYPERLINK("http://ts.21cn.com/tousu/show/id/1341431","众安保险在投保人不知情的情况捆绑销售保险")</f>
        <v>众安保险在投保人不知情的情况捆绑销售保险</v>
      </c>
      <c r="C10220" s="2" t="s">
        <v>9</v>
      </c>
      <c r="D10220" s="2" t="s">
        <v>10</v>
      </c>
      <c r="E10220" s="2" t="str">
        <f>HYPERLINK("http://ts.21cn.com/tousu/show/id/1341431","http://ts.21cn.com/tousu/show/id/1341431")</f>
        <v>http://ts.21cn.com/tousu/show/id/1341431</v>
      </c>
      <c r="F10220" s="2" t="s">
        <v>11</v>
      </c>
      <c r="G10220" s="2" t="s">
        <v>24056</v>
      </c>
      <c r="H10220" s="2" t="s">
        <v>24057</v>
      </c>
    </row>
    <row r="10221" spans="1:8" ht="25.05" customHeight="1" x14ac:dyDescent="0.25">
      <c r="A10221" s="2" t="s">
        <v>8</v>
      </c>
      <c r="B10221" s="2" t="str">
        <f>HYPERLINK("http://ts.21cn.com/tousu/show/id/1341429","停止骚扰家人暴力催收")</f>
        <v>停止骚扰家人暴力催收</v>
      </c>
      <c r="C10221" s="2" t="s">
        <v>9</v>
      </c>
      <c r="D10221" s="2" t="s">
        <v>10</v>
      </c>
      <c r="E10221" s="2" t="str">
        <f>HYPERLINK("http://ts.21cn.com/tousu/show/id/1341429","http://ts.21cn.com/tousu/show/id/1341429")</f>
        <v>http://ts.21cn.com/tousu/show/id/1341429</v>
      </c>
      <c r="F10221" s="2" t="s">
        <v>11</v>
      </c>
      <c r="G10221" s="2" t="s">
        <v>24054</v>
      </c>
      <c r="H10221" s="2" t="s">
        <v>24055</v>
      </c>
    </row>
    <row r="10222" spans="1:8" ht="25.05" customHeight="1" x14ac:dyDescent="0.25">
      <c r="A10222" s="2" t="s">
        <v>8</v>
      </c>
      <c r="B10222" s="2" t="str">
        <f>HYPERLINK("http://ts.21cn.com/tousu/show/id/1341430","圆通快递员不负责任，小区5个快递柜不放，直接点送达没有任何信息和通知，反馈客服3次以上没有回复和处理结果")</f>
        <v>圆通快递员不负责任，小区5个快递柜不放，直接点送达没有任何信息和通知，反馈客服3次以上没有回复和处理结果</v>
      </c>
      <c r="C10222" s="2" t="s">
        <v>9</v>
      </c>
      <c r="D10222" s="2" t="s">
        <v>10</v>
      </c>
      <c r="E10222" s="2" t="str">
        <f>HYPERLINK("http://ts.21cn.com/tousu/show/id/1341430","http://ts.21cn.com/tousu/show/id/1341430")</f>
        <v>http://ts.21cn.com/tousu/show/id/1341430</v>
      </c>
      <c r="F10222" s="2" t="s">
        <v>11</v>
      </c>
      <c r="G10222" s="2" t="s">
        <v>24052</v>
      </c>
      <c r="H10222" s="2" t="s">
        <v>24053</v>
      </c>
    </row>
    <row r="10223" spans="1:8" ht="25.05" customHeight="1" x14ac:dyDescent="0.25">
      <c r="A10223" s="2" t="s">
        <v>8</v>
      </c>
      <c r="B10223" s="2" t="str">
        <f>HYPERLINK("http://ts.21cn.com/tousu/show/id/1341432","钱橙无忧随意扣费")</f>
        <v>钱橙无忧随意扣费</v>
      </c>
      <c r="C10223" s="2" t="s">
        <v>34</v>
      </c>
      <c r="D10223" s="2" t="s">
        <v>10</v>
      </c>
      <c r="E10223" s="2" t="str">
        <f>HYPERLINK("http://ts.21cn.com/tousu/show/id/1341432","http://ts.21cn.com/tousu/show/id/1341432")</f>
        <v>http://ts.21cn.com/tousu/show/id/1341432</v>
      </c>
      <c r="F10223" s="2" t="s">
        <v>11</v>
      </c>
      <c r="G10223" s="2" t="s">
        <v>24050</v>
      </c>
      <c r="H10223" s="2" t="s">
        <v>24051</v>
      </c>
    </row>
    <row r="10224" spans="1:8" ht="25.05" customHeight="1" x14ac:dyDescent="0.25">
      <c r="A10224" s="2" t="s">
        <v>8</v>
      </c>
      <c r="B10224" s="2" t="str">
        <f>HYPERLINK("http://ts.21cn.com/tousu/show/id/1341433","卡牛瑞贷无理由的砍头费")</f>
        <v>卡牛瑞贷无理由的砍头费</v>
      </c>
      <c r="C10224" s="2" t="s">
        <v>9</v>
      </c>
      <c r="D10224" s="2" t="s">
        <v>10</v>
      </c>
      <c r="E10224" s="2" t="str">
        <f>HYPERLINK("http://ts.21cn.com/tousu/show/id/1341433","http://ts.21cn.com/tousu/show/id/1341433")</f>
        <v>http://ts.21cn.com/tousu/show/id/1341433</v>
      </c>
      <c r="F10224" s="2" t="s">
        <v>11</v>
      </c>
      <c r="G10224" s="2" t="s">
        <v>24048</v>
      </c>
      <c r="H10224" s="2" t="s">
        <v>24049</v>
      </c>
    </row>
    <row r="10225" spans="1:8" ht="25.05" customHeight="1" x14ac:dyDescent="0.25">
      <c r="A10225" s="2" t="s">
        <v>8</v>
      </c>
      <c r="B10225" s="2" t="str">
        <f>HYPERLINK("http://ts.21cn.com/tousu/show/id/1341434","闪电借款申请延期还款")</f>
        <v>闪电借款申请延期还款</v>
      </c>
      <c r="C10225" s="2" t="s">
        <v>9</v>
      </c>
      <c r="D10225" s="2" t="s">
        <v>10</v>
      </c>
      <c r="E10225" s="2" t="str">
        <f>HYPERLINK("http://ts.21cn.com/tousu/show/id/1341434","http://ts.21cn.com/tousu/show/id/1341434")</f>
        <v>http://ts.21cn.com/tousu/show/id/1341434</v>
      </c>
      <c r="F10225" s="2" t="s">
        <v>11</v>
      </c>
      <c r="G10225" s="2" t="s">
        <v>24046</v>
      </c>
      <c r="H10225" s="2" t="s">
        <v>24047</v>
      </c>
    </row>
    <row r="10226" spans="1:8" ht="25.05" customHeight="1" x14ac:dyDescent="0.25">
      <c r="A10226" s="2" t="s">
        <v>8</v>
      </c>
      <c r="B10226" s="2" t="str">
        <f>HYPERLINK("http://ts.21cn.com/tousu/show/id/1341435","嗨钱网还款不入账，一直显示逾期")</f>
        <v>嗨钱网还款不入账，一直显示逾期</v>
      </c>
      <c r="C10226" s="2" t="s">
        <v>9</v>
      </c>
      <c r="D10226" s="2" t="s">
        <v>10</v>
      </c>
      <c r="E10226" s="2" t="str">
        <f>HYPERLINK("http://ts.21cn.com/tousu/show/id/1341435","http://ts.21cn.com/tousu/show/id/1341435")</f>
        <v>http://ts.21cn.com/tousu/show/id/1341435</v>
      </c>
      <c r="F10226" s="2" t="s">
        <v>11</v>
      </c>
      <c r="G10226" s="2" t="s">
        <v>24044</v>
      </c>
      <c r="H10226" s="2" t="s">
        <v>24045</v>
      </c>
    </row>
    <row r="10227" spans="1:8" ht="25.05" customHeight="1" x14ac:dyDescent="0.25">
      <c r="A10227" s="2" t="s">
        <v>8</v>
      </c>
      <c r="B10227" s="2" t="str">
        <f>HYPERLINK("http://ts.21cn.com/tousu/show/id/1341436","点点花高利贷平台")</f>
        <v>点点花高利贷平台</v>
      </c>
      <c r="C10227" s="2" t="s">
        <v>9</v>
      </c>
      <c r="D10227" s="2" t="s">
        <v>10</v>
      </c>
      <c r="E10227" s="2" t="str">
        <f>HYPERLINK("http://ts.21cn.com/tousu/show/id/1341436","http://ts.21cn.com/tousu/show/id/1341436")</f>
        <v>http://ts.21cn.com/tousu/show/id/1341436</v>
      </c>
      <c r="F10227" s="2" t="s">
        <v>11</v>
      </c>
      <c r="G10227" s="2" t="s">
        <v>24042</v>
      </c>
      <c r="H10227" s="2" t="s">
        <v>24043</v>
      </c>
    </row>
    <row r="10228" spans="1:8" ht="25.05" customHeight="1" x14ac:dyDescent="0.25">
      <c r="A10228" s="2" t="s">
        <v>8</v>
      </c>
      <c r="B10228" s="2" t="str">
        <f>HYPERLINK("http://ts.21cn.com/tousu/show/id/1341437","拍拍贷实际出借人福建海峡银行高利贷，暴力催收，恐吓，窃取通讯录")</f>
        <v>拍拍贷实际出借人福建海峡银行高利贷，暴力催收，恐吓，窃取通讯录</v>
      </c>
      <c r="C10228" s="2" t="s">
        <v>9</v>
      </c>
      <c r="D10228" s="2" t="s">
        <v>10</v>
      </c>
      <c r="E10228" s="2" t="str">
        <f>HYPERLINK("http://ts.21cn.com/tousu/show/id/1341437","http://ts.21cn.com/tousu/show/id/1341437")</f>
        <v>http://ts.21cn.com/tousu/show/id/1341437</v>
      </c>
      <c r="F10228" s="2" t="s">
        <v>11</v>
      </c>
      <c r="G10228" s="2" t="s">
        <v>24040</v>
      </c>
      <c r="H10228" s="2" t="s">
        <v>24041</v>
      </c>
    </row>
    <row r="10229" spans="1:8" ht="25.05" customHeight="1" x14ac:dyDescent="0.25">
      <c r="A10229" s="2" t="s">
        <v>8</v>
      </c>
      <c r="B10229" s="2" t="str">
        <f>HYPERLINK("http://ts.21cn.com/tousu/show/id/1341438","阿卡索英语教育霸王条款、拒绝退款")</f>
        <v>阿卡索英语教育霸王条款、拒绝退款</v>
      </c>
      <c r="C10229" s="2" t="s">
        <v>9</v>
      </c>
      <c r="D10229" s="2" t="s">
        <v>10</v>
      </c>
      <c r="E10229" s="2" t="str">
        <f>HYPERLINK("http://ts.21cn.com/tousu/show/id/1341438","http://ts.21cn.com/tousu/show/id/1341438")</f>
        <v>http://ts.21cn.com/tousu/show/id/1341438</v>
      </c>
      <c r="F10229" s="2" t="s">
        <v>11</v>
      </c>
      <c r="G10229" s="2" t="s">
        <v>24038</v>
      </c>
      <c r="H10229" s="2" t="s">
        <v>24039</v>
      </c>
    </row>
    <row r="10230" spans="1:8" ht="25.05" customHeight="1" x14ac:dyDescent="0.25">
      <c r="A10230" s="2" t="s">
        <v>8</v>
      </c>
      <c r="B10230" s="2" t="str">
        <f>HYPERLINK("http://ts.21cn.com/tousu/show/id/1341439","兴业银行信用卡骚扰联系人")</f>
        <v>兴业银行信用卡骚扰联系人</v>
      </c>
      <c r="C10230" s="2" t="s">
        <v>9</v>
      </c>
      <c r="D10230" s="2" t="s">
        <v>10</v>
      </c>
      <c r="E10230" s="2" t="str">
        <f>HYPERLINK("http://ts.21cn.com/tousu/show/id/1341439","http://ts.21cn.com/tousu/show/id/1341439")</f>
        <v>http://ts.21cn.com/tousu/show/id/1341439</v>
      </c>
      <c r="F10230" s="2" t="s">
        <v>11</v>
      </c>
      <c r="G10230" s="2" t="s">
        <v>24036</v>
      </c>
      <c r="H10230" s="2" t="s">
        <v>24037</v>
      </c>
    </row>
    <row r="10231" spans="1:8" ht="25.05" customHeight="1" x14ac:dyDescent="0.25">
      <c r="A10231" s="2" t="s">
        <v>8</v>
      </c>
      <c r="B10231" s="2" t="str">
        <f>HYPERLINK("http://ts.21cn.com/tousu/show/id/1341440","51人品贷暴力催收")</f>
        <v>51人品贷暴力催收</v>
      </c>
      <c r="C10231" s="2" t="s">
        <v>9</v>
      </c>
      <c r="D10231" s="2" t="s">
        <v>10</v>
      </c>
      <c r="E10231" s="2" t="str">
        <f>HYPERLINK("http://ts.21cn.com/tousu/show/id/1341440","http://ts.21cn.com/tousu/show/id/1341440")</f>
        <v>http://ts.21cn.com/tousu/show/id/1341440</v>
      </c>
      <c r="F10231" s="2" t="s">
        <v>11</v>
      </c>
      <c r="G10231" s="2" t="s">
        <v>24034</v>
      </c>
      <c r="H10231" s="2" t="s">
        <v>24035</v>
      </c>
    </row>
    <row r="10232" spans="1:8" ht="25.05" customHeight="1" x14ac:dyDescent="0.25">
      <c r="A10232" s="2" t="s">
        <v>8</v>
      </c>
      <c r="B10232" s="2" t="str">
        <f>HYPERLINK("http://ts.21cn.com/tousu/show/id/1341441","招商银行冒充公安局人员恶意催收")</f>
        <v>招商银行冒充公安局人员恶意催收</v>
      </c>
      <c r="C10232" s="2" t="s">
        <v>9</v>
      </c>
      <c r="D10232" s="2" t="s">
        <v>10</v>
      </c>
      <c r="E10232" s="2" t="str">
        <f>HYPERLINK("http://ts.21cn.com/tousu/show/id/1341441","http://ts.21cn.com/tousu/show/id/1341441")</f>
        <v>http://ts.21cn.com/tousu/show/id/1341441</v>
      </c>
      <c r="F10232" s="2" t="s">
        <v>11</v>
      </c>
      <c r="G10232" s="2" t="s">
        <v>24032</v>
      </c>
      <c r="H10232" s="2" t="s">
        <v>24033</v>
      </c>
    </row>
    <row r="10233" spans="1:8" ht="25.05" customHeight="1" x14ac:dyDescent="0.25">
      <c r="A10233" s="2" t="s">
        <v>8</v>
      </c>
      <c r="B10233" s="2" t="str">
        <f>HYPERLINK("http://ts.21cn.com/tousu/show/id/1341444","米袋、高利贷砍头息")</f>
        <v>米袋、高利贷砍头息</v>
      </c>
      <c r="C10233" s="2" t="s">
        <v>9</v>
      </c>
      <c r="D10233" s="2" t="s">
        <v>10</v>
      </c>
      <c r="E10233" s="2" t="str">
        <f>HYPERLINK("http://ts.21cn.com/tousu/show/id/1341444","http://ts.21cn.com/tousu/show/id/1341444")</f>
        <v>http://ts.21cn.com/tousu/show/id/1341444</v>
      </c>
      <c r="F10233" s="2" t="s">
        <v>11</v>
      </c>
      <c r="G10233" s="2" t="s">
        <v>24030</v>
      </c>
      <c r="H10233" s="2" t="s">
        <v>24031</v>
      </c>
    </row>
    <row r="10234" spans="1:8" ht="25.05" customHeight="1" x14ac:dyDescent="0.25">
      <c r="A10234" s="2" t="s">
        <v>8</v>
      </c>
      <c r="B10234" s="2" t="str">
        <f>HYPERLINK("http://ts.21cn.com/tousu/show/id/1341442","嗨钱网还款了不入账一直显示逾期")</f>
        <v>嗨钱网还款了不入账一直显示逾期</v>
      </c>
      <c r="C10234" s="2" t="s">
        <v>9</v>
      </c>
      <c r="D10234" s="2" t="s">
        <v>10</v>
      </c>
      <c r="E10234" s="2" t="str">
        <f>HYPERLINK("http://ts.21cn.com/tousu/show/id/1341442","http://ts.21cn.com/tousu/show/id/1341442")</f>
        <v>http://ts.21cn.com/tousu/show/id/1341442</v>
      </c>
      <c r="F10234" s="2" t="s">
        <v>11</v>
      </c>
      <c r="G10234" s="2" t="s">
        <v>24028</v>
      </c>
      <c r="H10234" s="2" t="s">
        <v>24029</v>
      </c>
    </row>
    <row r="10235" spans="1:8" ht="25.05" customHeight="1" x14ac:dyDescent="0.25">
      <c r="A10235" s="2" t="s">
        <v>8</v>
      </c>
      <c r="B10235" s="2" t="str">
        <f>HYPERLINK("http://ts.21cn.com/tousu/show/id/1341445","用了两三年了，利息远远超过本金，要求协商还款")</f>
        <v>用了两三年了，利息远远超过本金，要求协商还款</v>
      </c>
      <c r="C10235" s="2" t="s">
        <v>34</v>
      </c>
      <c r="D10235" s="2" t="s">
        <v>10</v>
      </c>
      <c r="E10235" s="2" t="str">
        <f>HYPERLINK("http://ts.21cn.com/tousu/show/id/1341445","http://ts.21cn.com/tousu/show/id/1341445")</f>
        <v>http://ts.21cn.com/tousu/show/id/1341445</v>
      </c>
      <c r="F10235" s="2" t="s">
        <v>11</v>
      </c>
      <c r="G10235" s="2" t="s">
        <v>24025</v>
      </c>
      <c r="H10235" s="2" t="s">
        <v>24026</v>
      </c>
    </row>
    <row r="10236" spans="1:8" ht="25.05" customHeight="1" x14ac:dyDescent="0.25">
      <c r="A10236" s="2" t="s">
        <v>8</v>
      </c>
      <c r="B10236" s="2" t="str">
        <f>HYPERLINK("http://ts.21cn.com/tousu/show/id/1341446","畅捷支付服务态度差违规提供支付渠道")</f>
        <v>畅捷支付服务态度差违规提供支付渠道</v>
      </c>
      <c r="C10236" s="2" t="s">
        <v>9</v>
      </c>
      <c r="D10236" s="2" t="s">
        <v>10</v>
      </c>
      <c r="E10236" s="2" t="str">
        <f>HYPERLINK("http://ts.21cn.com/tousu/show/id/1341446","http://ts.21cn.com/tousu/show/id/1341446")</f>
        <v>http://ts.21cn.com/tousu/show/id/1341446</v>
      </c>
      <c r="F10236" s="2" t="s">
        <v>11</v>
      </c>
      <c r="G10236" s="2" t="s">
        <v>24025</v>
      </c>
      <c r="H10236" s="2" t="s">
        <v>24027</v>
      </c>
    </row>
    <row r="10237" spans="1:8" ht="25.05" customHeight="1" x14ac:dyDescent="0.25">
      <c r="A10237" s="2" t="s">
        <v>8</v>
      </c>
      <c r="B10237" s="2" t="str">
        <f>HYPERLINK("http://ts.21cn.com/tousu/show/id/1341449","你我贷高利贷套路贷")</f>
        <v>你我贷高利贷套路贷</v>
      </c>
      <c r="C10237" s="2" t="s">
        <v>9</v>
      </c>
      <c r="D10237" s="2" t="s">
        <v>10</v>
      </c>
      <c r="E10237" s="2" t="str">
        <f>HYPERLINK("http://ts.21cn.com/tousu/show/id/1341449","http://ts.21cn.com/tousu/show/id/1341449")</f>
        <v>http://ts.21cn.com/tousu/show/id/1341449</v>
      </c>
      <c r="F10237" s="2" t="s">
        <v>11</v>
      </c>
      <c r="G10237" s="2" t="s">
        <v>24023</v>
      </c>
      <c r="H10237" s="2" t="s">
        <v>24024</v>
      </c>
    </row>
    <row r="10238" spans="1:8" ht="25.05" customHeight="1" x14ac:dyDescent="0.25">
      <c r="A10238" s="2" t="s">
        <v>8</v>
      </c>
      <c r="B10238" s="2" t="str">
        <f>HYPERLINK("http://ts.21cn.com/tousu/show/id/1341447","信用卡被无故冻结")</f>
        <v>信用卡被无故冻结</v>
      </c>
      <c r="C10238" s="2" t="s">
        <v>9</v>
      </c>
      <c r="D10238" s="2" t="s">
        <v>10</v>
      </c>
      <c r="E10238" s="2" t="str">
        <f>HYPERLINK("http://ts.21cn.com/tousu/show/id/1341447","http://ts.21cn.com/tousu/show/id/1341447")</f>
        <v>http://ts.21cn.com/tousu/show/id/1341447</v>
      </c>
      <c r="F10238" s="2" t="s">
        <v>11</v>
      </c>
      <c r="G10238" s="2" t="s">
        <v>24020</v>
      </c>
      <c r="H10238" s="2" t="s">
        <v>24021</v>
      </c>
    </row>
    <row r="10239" spans="1:8" ht="25.05" customHeight="1" x14ac:dyDescent="0.25">
      <c r="A10239" s="2" t="s">
        <v>8</v>
      </c>
      <c r="B10239" s="2" t="str">
        <f>HYPERLINK("http://ts.21cn.com/tousu/show/id/1341448","联动云退押金时间较长")</f>
        <v>联动云退押金时间较长</v>
      </c>
      <c r="C10239" s="2" t="s">
        <v>34</v>
      </c>
      <c r="D10239" s="2" t="s">
        <v>10</v>
      </c>
      <c r="E10239" s="2" t="str">
        <f>HYPERLINK("http://ts.21cn.com/tousu/show/id/1341448","http://ts.21cn.com/tousu/show/id/1341448")</f>
        <v>http://ts.21cn.com/tousu/show/id/1341448</v>
      </c>
      <c r="F10239" s="2" t="s">
        <v>11</v>
      </c>
      <c r="G10239" s="2" t="s">
        <v>24020</v>
      </c>
      <c r="H10239" s="2" t="s">
        <v>24022</v>
      </c>
    </row>
    <row r="10240" spans="1:8" ht="25.05" customHeight="1" x14ac:dyDescent="0.25">
      <c r="A10240" s="2" t="s">
        <v>8</v>
      </c>
      <c r="B10240" s="2" t="str">
        <f>HYPERLINK("http://ts.21cn.com/tousu/show/id/1341450","买单侠高利贷并暴力催收")</f>
        <v>买单侠高利贷并暴力催收</v>
      </c>
      <c r="C10240" s="2" t="s">
        <v>9</v>
      </c>
      <c r="D10240" s="2" t="s">
        <v>10</v>
      </c>
      <c r="E10240" s="2" t="str">
        <f>HYPERLINK("http://ts.21cn.com/tousu/show/id/1341450","http://ts.21cn.com/tousu/show/id/1341450")</f>
        <v>http://ts.21cn.com/tousu/show/id/1341450</v>
      </c>
      <c r="F10240" s="2" t="s">
        <v>11</v>
      </c>
      <c r="G10240" s="2" t="s">
        <v>24018</v>
      </c>
      <c r="H10240" s="2" t="s">
        <v>24019</v>
      </c>
    </row>
    <row r="10241" spans="1:8" ht="25.05" customHeight="1" x14ac:dyDescent="0.25">
      <c r="A10241" s="2" t="s">
        <v>8</v>
      </c>
      <c r="B10241" s="2" t="str">
        <f>HYPERLINK("http://ts.21cn.com/tousu/show/id/1341452","无良商家，发货了不给产品，还把我购买记录删掉")</f>
        <v>无良商家，发货了不给产品，还把我购买记录删掉</v>
      </c>
      <c r="C10241" s="2" t="s">
        <v>9</v>
      </c>
      <c r="D10241" s="2" t="s">
        <v>10</v>
      </c>
      <c r="E10241" s="2" t="str">
        <f>HYPERLINK("http://ts.21cn.com/tousu/show/id/1341452","http://ts.21cn.com/tousu/show/id/1341452")</f>
        <v>http://ts.21cn.com/tousu/show/id/1341452</v>
      </c>
      <c r="F10241" s="2" t="s">
        <v>11</v>
      </c>
      <c r="G10241" s="2" t="s">
        <v>24016</v>
      </c>
      <c r="H10241" s="2" t="s">
        <v>24017</v>
      </c>
    </row>
    <row r="10242" spans="1:8" ht="25.05" customHeight="1" x14ac:dyDescent="0.25">
      <c r="A10242" s="2" t="s">
        <v>8</v>
      </c>
      <c r="B10242" s="2" t="str">
        <f>HYPERLINK("http://ts.21cn.com/tousu/show/id/1341451","停止爆通讯录，停止骚扰家人")</f>
        <v>停止爆通讯录，停止骚扰家人</v>
      </c>
      <c r="C10242" s="2" t="s">
        <v>9</v>
      </c>
      <c r="D10242" s="2" t="s">
        <v>10</v>
      </c>
      <c r="E10242" s="2" t="str">
        <f>HYPERLINK("http://ts.21cn.com/tousu/show/id/1341451","http://ts.21cn.com/tousu/show/id/1341451")</f>
        <v>http://ts.21cn.com/tousu/show/id/1341451</v>
      </c>
      <c r="F10242" s="2" t="s">
        <v>11</v>
      </c>
      <c r="G10242" s="2" t="s">
        <v>24014</v>
      </c>
      <c r="H10242" s="2" t="s">
        <v>24015</v>
      </c>
    </row>
    <row r="10243" spans="1:8" ht="25.05" customHeight="1" x14ac:dyDescent="0.25">
      <c r="A10243" s="2" t="s">
        <v>8</v>
      </c>
      <c r="B10243" s="2" t="str">
        <f>HYPERLINK("http://ts.21cn.com/tousu/show/id/1341454","网贷威胁侮辱")</f>
        <v>网贷威胁侮辱</v>
      </c>
      <c r="C10243" s="2" t="s">
        <v>9</v>
      </c>
      <c r="D10243" s="2" t="s">
        <v>10</v>
      </c>
      <c r="E10243" s="2" t="str">
        <f>HYPERLINK("http://ts.21cn.com/tousu/show/id/1341454","http://ts.21cn.com/tousu/show/id/1341454")</f>
        <v>http://ts.21cn.com/tousu/show/id/1341454</v>
      </c>
      <c r="F10243" s="2" t="s">
        <v>11</v>
      </c>
      <c r="G10243" s="2" t="s">
        <v>24012</v>
      </c>
      <c r="H10243" s="2" t="s">
        <v>24013</v>
      </c>
    </row>
    <row r="10244" spans="1:8" ht="25.05" customHeight="1" x14ac:dyDescent="0.25">
      <c r="A10244" s="2" t="s">
        <v>8</v>
      </c>
      <c r="B10244" s="2" t="str">
        <f>HYPERLINK("http://ts.21cn.com/tousu/show/id/1341453","国美易卡高利贷")</f>
        <v>国美易卡高利贷</v>
      </c>
      <c r="C10244" s="2" t="s">
        <v>9</v>
      </c>
      <c r="D10244" s="2" t="s">
        <v>10</v>
      </c>
      <c r="E10244" s="2" t="str">
        <f>HYPERLINK("http://ts.21cn.com/tousu/show/id/1341453","http://ts.21cn.com/tousu/show/id/1341453")</f>
        <v>http://ts.21cn.com/tousu/show/id/1341453</v>
      </c>
      <c r="F10244" s="2" t="s">
        <v>11</v>
      </c>
      <c r="G10244" s="2" t="s">
        <v>24010</v>
      </c>
      <c r="H10244" s="2" t="s">
        <v>24011</v>
      </c>
    </row>
    <row r="10245" spans="1:8" ht="25.05" customHeight="1" x14ac:dyDescent="0.25">
      <c r="A10245" s="2" t="s">
        <v>8</v>
      </c>
      <c r="B10245" s="2" t="str">
        <f>HYPERLINK("http://ts.21cn.com/tousu/show/id/1341409","一直审核不下款。一直让补钱")</f>
        <v>一直审核不下款。一直让补钱</v>
      </c>
      <c r="C10245" s="2" t="s">
        <v>9</v>
      </c>
      <c r="D10245" s="2" t="s">
        <v>10</v>
      </c>
      <c r="E10245" s="2" t="str">
        <f>HYPERLINK("http://ts.21cn.com/tousu/show/id/1341409","http://ts.21cn.com/tousu/show/id/1341409")</f>
        <v>http://ts.21cn.com/tousu/show/id/1341409</v>
      </c>
      <c r="F10245" s="2" t="s">
        <v>11</v>
      </c>
      <c r="G10245" s="2" t="s">
        <v>24008</v>
      </c>
      <c r="H10245" s="2" t="s">
        <v>24009</v>
      </c>
    </row>
    <row r="10246" spans="1:8" ht="25.05" customHeight="1" x14ac:dyDescent="0.25">
      <c r="A10246" s="2" t="s">
        <v>8</v>
      </c>
      <c r="B10246" s="2" t="str">
        <f>HYPERLINK("http://ts.21cn.com/tousu/show/id/1341455","捷信高利贷逼迫我无法生活")</f>
        <v>捷信高利贷逼迫我无法生活</v>
      </c>
      <c r="C10246" s="2" t="s">
        <v>9</v>
      </c>
      <c r="D10246" s="2" t="s">
        <v>10</v>
      </c>
      <c r="E10246" s="2" t="str">
        <f>HYPERLINK("http://ts.21cn.com/tousu/show/id/1341455","http://ts.21cn.com/tousu/show/id/1341455")</f>
        <v>http://ts.21cn.com/tousu/show/id/1341455</v>
      </c>
      <c r="F10246" s="2" t="s">
        <v>11</v>
      </c>
      <c r="G10246" s="2" t="s">
        <v>24006</v>
      </c>
      <c r="H10246" s="2" t="s">
        <v>24007</v>
      </c>
    </row>
    <row r="10247" spans="1:8" ht="25.05" customHeight="1" x14ac:dyDescent="0.25">
      <c r="A10247" s="2" t="s">
        <v>8</v>
      </c>
      <c r="B10247" s="2" t="str">
        <f>HYPERLINK("http://ts.21cn.com/tousu/show/id/1341456","智行火车票不能修改会员绑定手机号")</f>
        <v>智行火车票不能修改会员绑定手机号</v>
      </c>
      <c r="C10247" s="2" t="s">
        <v>34</v>
      </c>
      <c r="D10247" s="2" t="s">
        <v>10</v>
      </c>
      <c r="E10247" s="2" t="str">
        <f>HYPERLINK("http://ts.21cn.com/tousu/show/id/1341456","http://ts.21cn.com/tousu/show/id/1341456")</f>
        <v>http://ts.21cn.com/tousu/show/id/1341456</v>
      </c>
      <c r="F10247" s="2" t="s">
        <v>11</v>
      </c>
      <c r="G10247" s="2" t="s">
        <v>24004</v>
      </c>
      <c r="H10247" s="2" t="s">
        <v>24005</v>
      </c>
    </row>
    <row r="10248" spans="1:8" ht="25.05" customHeight="1" x14ac:dyDescent="0.25">
      <c r="A10248" s="2" t="s">
        <v>8</v>
      </c>
      <c r="B10248" s="2" t="str">
        <f>HYPERLINK("http://ts.21cn.com/tousu/show/id/1341457","立刻出行不退押金")</f>
        <v>立刻出行不退押金</v>
      </c>
      <c r="C10248" s="2" t="s">
        <v>9</v>
      </c>
      <c r="D10248" s="2" t="s">
        <v>10</v>
      </c>
      <c r="E10248" s="2" t="str">
        <f>HYPERLINK("http://ts.21cn.com/tousu/show/id/1341457","http://ts.21cn.com/tousu/show/id/1341457")</f>
        <v>http://ts.21cn.com/tousu/show/id/1341457</v>
      </c>
      <c r="F10248" s="2" t="s">
        <v>11</v>
      </c>
      <c r="G10248" s="2" t="s">
        <v>24002</v>
      </c>
      <c r="H10248" s="2" t="s">
        <v>24003</v>
      </c>
    </row>
    <row r="10249" spans="1:8" ht="25.05" customHeight="1" x14ac:dyDescent="0.25">
      <c r="A10249" s="2" t="s">
        <v>8</v>
      </c>
      <c r="B10249" s="2" t="str">
        <f>HYPERLINK("http://ts.21cn.com/tousu/show/id/1341459","软爆力摧收，骚扰家了，爆通迅录")</f>
        <v>软爆力摧收，骚扰家了，爆通迅录</v>
      </c>
      <c r="C10249" s="2" t="s">
        <v>9</v>
      </c>
      <c r="D10249" s="2" t="s">
        <v>10</v>
      </c>
      <c r="E10249" s="2" t="str">
        <f>HYPERLINK("http://ts.21cn.com/tousu/show/id/1341459","http://ts.21cn.com/tousu/show/id/1341459")</f>
        <v>http://ts.21cn.com/tousu/show/id/1341459</v>
      </c>
      <c r="F10249" s="2" t="s">
        <v>11</v>
      </c>
      <c r="G10249" s="2" t="s">
        <v>24000</v>
      </c>
      <c r="H10249" s="2" t="s">
        <v>24001</v>
      </c>
    </row>
    <row r="10250" spans="1:8" ht="25.05" customHeight="1" x14ac:dyDescent="0.25">
      <c r="A10250" s="2" t="s">
        <v>8</v>
      </c>
      <c r="B10250" s="2" t="str">
        <f>HYPERLINK("http://ts.21cn.com/tousu/show/id/1341458","投诉微博借钱暴力催收和高额逾期费")</f>
        <v>投诉微博借钱暴力催收和高额逾期费</v>
      </c>
      <c r="C10250" s="2" t="s">
        <v>9</v>
      </c>
      <c r="D10250" s="2" t="s">
        <v>10</v>
      </c>
      <c r="E10250" s="2" t="str">
        <f>HYPERLINK("http://ts.21cn.com/tousu/show/id/1341458","http://ts.21cn.com/tousu/show/id/1341458")</f>
        <v>http://ts.21cn.com/tousu/show/id/1341458</v>
      </c>
      <c r="F10250" s="2" t="s">
        <v>11</v>
      </c>
      <c r="G10250" s="2" t="s">
        <v>23998</v>
      </c>
      <c r="H10250" s="2" t="s">
        <v>23999</v>
      </c>
    </row>
    <row r="10251" spans="1:8" ht="25.05" customHeight="1" x14ac:dyDescent="0.25">
      <c r="A10251" s="2" t="s">
        <v>8</v>
      </c>
      <c r="B10251" s="2" t="str">
        <f>HYPERLINK("http://ts.21cn.com/tousu/show/id/1341461","捷信威胁暴力催收")</f>
        <v>捷信威胁暴力催收</v>
      </c>
      <c r="C10251" s="2" t="s">
        <v>9</v>
      </c>
      <c r="D10251" s="2" t="s">
        <v>10</v>
      </c>
      <c r="E10251" s="2" t="str">
        <f>HYPERLINK("http://ts.21cn.com/tousu/show/id/1341461","http://ts.21cn.com/tousu/show/id/1341461")</f>
        <v>http://ts.21cn.com/tousu/show/id/1341461</v>
      </c>
      <c r="F10251" s="2" t="s">
        <v>11</v>
      </c>
      <c r="G10251" s="2" t="s">
        <v>23996</v>
      </c>
      <c r="H10251" s="2" t="s">
        <v>23997</v>
      </c>
    </row>
    <row r="10252" spans="1:8" ht="25.05" customHeight="1" x14ac:dyDescent="0.25">
      <c r="A10252" s="2" t="s">
        <v>8</v>
      </c>
      <c r="B10252" s="2" t="str">
        <f>HYPERLINK("http://ts.21cn.com/tousu/show/id/1341462","百度有钱花非法获取通讯录骚扰朋友")</f>
        <v>百度有钱花非法获取通讯录骚扰朋友</v>
      </c>
      <c r="C10252" s="2" t="s">
        <v>9</v>
      </c>
      <c r="D10252" s="2" t="s">
        <v>10</v>
      </c>
      <c r="E10252" s="2" t="str">
        <f>HYPERLINK("http://ts.21cn.com/tousu/show/id/1341462","http://ts.21cn.com/tousu/show/id/1341462")</f>
        <v>http://ts.21cn.com/tousu/show/id/1341462</v>
      </c>
      <c r="F10252" s="2" t="s">
        <v>11</v>
      </c>
      <c r="G10252" s="2" t="s">
        <v>23994</v>
      </c>
      <c r="H10252" s="2" t="s">
        <v>23995</v>
      </c>
    </row>
    <row r="10253" spans="1:8" ht="25.05" customHeight="1" x14ac:dyDescent="0.25">
      <c r="A10253" s="2" t="s">
        <v>8</v>
      </c>
      <c r="B10253" s="2" t="str">
        <f>HYPERLINK("http://ts.21cn.com/tousu/show/id/1341465","网贷不知情被众安保险捆绑销售")</f>
        <v>网贷不知情被众安保险捆绑销售</v>
      </c>
      <c r="C10253" s="2" t="s">
        <v>9</v>
      </c>
      <c r="D10253" s="2" t="s">
        <v>10</v>
      </c>
      <c r="E10253" s="2" t="str">
        <f>HYPERLINK("http://ts.21cn.com/tousu/show/id/1341465","http://ts.21cn.com/tousu/show/id/1341465")</f>
        <v>http://ts.21cn.com/tousu/show/id/1341465</v>
      </c>
      <c r="F10253" s="2" t="s">
        <v>11</v>
      </c>
      <c r="G10253" s="2" t="s">
        <v>23992</v>
      </c>
      <c r="H10253" s="2" t="s">
        <v>23993</v>
      </c>
    </row>
    <row r="10254" spans="1:8" ht="25.05" customHeight="1" x14ac:dyDescent="0.25">
      <c r="A10254" s="2" t="s">
        <v>8</v>
      </c>
      <c r="B10254" s="2" t="str">
        <f>HYPERLINK("http://ts.21cn.com/tousu/show/id/1341470","荆门移动客服态度恶劣")</f>
        <v>荆门移动客服态度恶劣</v>
      </c>
      <c r="C10254" s="2" t="s">
        <v>9</v>
      </c>
      <c r="D10254" s="2" t="s">
        <v>10</v>
      </c>
      <c r="E10254" s="2" t="str">
        <f>HYPERLINK("http://ts.21cn.com/tousu/show/id/1341470","http://ts.21cn.com/tousu/show/id/1341470")</f>
        <v>http://ts.21cn.com/tousu/show/id/1341470</v>
      </c>
      <c r="F10254" s="2" t="s">
        <v>11</v>
      </c>
      <c r="G10254" s="2" t="s">
        <v>23990</v>
      </c>
      <c r="H10254" s="2" t="s">
        <v>23991</v>
      </c>
    </row>
    <row r="10255" spans="1:8" ht="25.05" customHeight="1" x14ac:dyDescent="0.25">
      <c r="A10255" s="2" t="s">
        <v>8</v>
      </c>
      <c r="B10255" s="2" t="str">
        <f>HYPERLINK("http://ts.21cn.com/tousu/show/id/1341466","新橙优品高利贷")</f>
        <v>新橙优品高利贷</v>
      </c>
      <c r="C10255" s="2" t="s">
        <v>9</v>
      </c>
      <c r="D10255" s="2" t="s">
        <v>10</v>
      </c>
      <c r="E10255" s="2" t="str">
        <f>HYPERLINK("http://ts.21cn.com/tousu/show/id/1341466","http://ts.21cn.com/tousu/show/id/1341466")</f>
        <v>http://ts.21cn.com/tousu/show/id/1341466</v>
      </c>
      <c r="F10255" s="2" t="s">
        <v>11</v>
      </c>
      <c r="G10255" s="2" t="s">
        <v>23988</v>
      </c>
      <c r="H10255" s="2" t="s">
        <v>23989</v>
      </c>
    </row>
    <row r="10256" spans="1:8" ht="25.05" customHeight="1" x14ac:dyDescent="0.25">
      <c r="A10256" s="2" t="s">
        <v>8</v>
      </c>
      <c r="B10256" s="2" t="str">
        <f>HYPERLINK("http://ts.21cn.com/tousu/show/id/1341467","海尔售后拖欠工资")</f>
        <v>海尔售后拖欠工资</v>
      </c>
      <c r="C10256" s="2" t="s">
        <v>9</v>
      </c>
      <c r="D10256" s="2" t="s">
        <v>10</v>
      </c>
      <c r="E10256" s="2" t="str">
        <f>HYPERLINK("http://ts.21cn.com/tousu/show/id/1341467","http://ts.21cn.com/tousu/show/id/1341467")</f>
        <v>http://ts.21cn.com/tousu/show/id/1341467</v>
      </c>
      <c r="F10256" s="2" t="s">
        <v>11</v>
      </c>
      <c r="G10256" s="2" t="s">
        <v>23986</v>
      </c>
      <c r="H10256" s="2" t="s">
        <v>23987</v>
      </c>
    </row>
    <row r="10257" spans="1:8" ht="25.05" customHeight="1" x14ac:dyDescent="0.25">
      <c r="A10257" s="2" t="s">
        <v>8</v>
      </c>
      <c r="B10257" s="2" t="str">
        <f>HYPERLINK("http://ts.21cn.com/tousu/show/id/1341460","身患重病请求协商提前还清")</f>
        <v>身患重病请求协商提前还清</v>
      </c>
      <c r="C10257" s="2" t="s">
        <v>9</v>
      </c>
      <c r="D10257" s="2" t="s">
        <v>10</v>
      </c>
      <c r="E10257" s="2" t="str">
        <f>HYPERLINK("http://ts.21cn.com/tousu/show/id/1341460","http://ts.21cn.com/tousu/show/id/1341460")</f>
        <v>http://ts.21cn.com/tousu/show/id/1341460</v>
      </c>
      <c r="F10257" s="2" t="s">
        <v>11</v>
      </c>
      <c r="G10257" s="2" t="s">
        <v>23984</v>
      </c>
      <c r="H10257" s="2" t="s">
        <v>23985</v>
      </c>
    </row>
    <row r="10258" spans="1:8" ht="25.05" customHeight="1" x14ac:dyDescent="0.25">
      <c r="A10258" s="2" t="s">
        <v>8</v>
      </c>
      <c r="B10258" s="2" t="str">
        <f>HYPERLINK("http://ts.21cn.com/tousu/show/id/1341468","钱站非法高利贷暴力催收")</f>
        <v>钱站非法高利贷暴力催收</v>
      </c>
      <c r="C10258" s="2" t="s">
        <v>9</v>
      </c>
      <c r="D10258" s="2" t="s">
        <v>10</v>
      </c>
      <c r="E10258" s="2" t="str">
        <f>HYPERLINK("http://ts.21cn.com/tousu/show/id/1341468","http://ts.21cn.com/tousu/show/id/1341468")</f>
        <v>http://ts.21cn.com/tousu/show/id/1341468</v>
      </c>
      <c r="F10258" s="2" t="s">
        <v>11</v>
      </c>
      <c r="G10258" s="2" t="s">
        <v>23982</v>
      </c>
      <c r="H10258" s="2" t="s">
        <v>23983</v>
      </c>
    </row>
    <row r="10259" spans="1:8" ht="25.05" customHeight="1" x14ac:dyDescent="0.25">
      <c r="A10259" s="2" t="s">
        <v>8</v>
      </c>
      <c r="B10259" s="2" t="str">
        <f>HYPERLINK("http://ts.21cn.com/tousu/show/id/1341469","赔偿,停止骚扰,销账,调整利率")</f>
        <v>赔偿,停止骚扰,销账,调整利率</v>
      </c>
      <c r="C10259" s="2" t="s">
        <v>9</v>
      </c>
      <c r="D10259" s="2" t="s">
        <v>10</v>
      </c>
      <c r="E10259" s="2" t="str">
        <f>HYPERLINK("http://ts.21cn.com/tousu/show/id/1341469","http://ts.21cn.com/tousu/show/id/1341469")</f>
        <v>http://ts.21cn.com/tousu/show/id/1341469</v>
      </c>
      <c r="F10259" s="2" t="s">
        <v>11</v>
      </c>
      <c r="G10259" s="2" t="s">
        <v>23980</v>
      </c>
      <c r="H10259" s="2" t="s">
        <v>23981</v>
      </c>
    </row>
    <row r="10260" spans="1:8" ht="25.05" customHeight="1" x14ac:dyDescent="0.25">
      <c r="A10260" s="2" t="s">
        <v>8</v>
      </c>
      <c r="B10260" s="2" t="str">
        <f>HYPERLINK("http://ts.21cn.com/tousu/show/id/1341471","360暴力催收！不经允许联系我亲人！")</f>
        <v>360暴力催收！不经允许联系我亲人！</v>
      </c>
      <c r="C10260" s="2" t="s">
        <v>9</v>
      </c>
      <c r="D10260" s="2" t="s">
        <v>10</v>
      </c>
      <c r="E10260" s="2" t="str">
        <f>HYPERLINK("http://ts.21cn.com/tousu/show/id/1341471","http://ts.21cn.com/tousu/show/id/1341471")</f>
        <v>http://ts.21cn.com/tousu/show/id/1341471</v>
      </c>
      <c r="F10260" s="2" t="s">
        <v>11</v>
      </c>
      <c r="G10260" s="2" t="s">
        <v>23978</v>
      </c>
      <c r="H10260" s="2" t="s">
        <v>23979</v>
      </c>
    </row>
    <row r="10261" spans="1:8" ht="25.05" customHeight="1" x14ac:dyDescent="0.25">
      <c r="A10261" s="2" t="s">
        <v>8</v>
      </c>
      <c r="B10261" s="2" t="str">
        <f>HYPERLINK("http://ts.21cn.com/tousu/show/id/1341475","抖音平台充值6元，扣518")</f>
        <v>抖音平台充值6元，扣518</v>
      </c>
      <c r="C10261" s="2" t="s">
        <v>34</v>
      </c>
      <c r="D10261" s="2" t="s">
        <v>10</v>
      </c>
      <c r="E10261" s="2" t="str">
        <f>HYPERLINK("http://ts.21cn.com/tousu/show/id/1341475","http://ts.21cn.com/tousu/show/id/1341475")</f>
        <v>http://ts.21cn.com/tousu/show/id/1341475</v>
      </c>
      <c r="F10261" s="2" t="s">
        <v>11</v>
      </c>
      <c r="G10261" s="2" t="s">
        <v>23976</v>
      </c>
      <c r="H10261" s="2" t="s">
        <v>23977</v>
      </c>
    </row>
    <row r="10262" spans="1:8" ht="25.05" customHeight="1" x14ac:dyDescent="0.25">
      <c r="A10262" s="2" t="s">
        <v>8</v>
      </c>
      <c r="B10262" s="2" t="str">
        <f>HYPERLINK("http://ts.21cn.com/tousu/show/id/1341476","商家在未经过提示的情况下扣取我299元评估费")</f>
        <v>商家在未经过提示的情况下扣取我299元评估费</v>
      </c>
      <c r="C10262" s="2" t="s">
        <v>9</v>
      </c>
      <c r="D10262" s="2" t="s">
        <v>10</v>
      </c>
      <c r="E10262" s="2" t="str">
        <f>HYPERLINK("http://ts.21cn.com/tousu/show/id/1341476","http://ts.21cn.com/tousu/show/id/1341476")</f>
        <v>http://ts.21cn.com/tousu/show/id/1341476</v>
      </c>
      <c r="F10262" s="2" t="s">
        <v>11</v>
      </c>
      <c r="G10262" s="2" t="s">
        <v>23973</v>
      </c>
      <c r="H10262" s="2" t="s">
        <v>23974</v>
      </c>
    </row>
    <row r="10263" spans="1:8" ht="25.05" customHeight="1" x14ac:dyDescent="0.25">
      <c r="A10263" s="2" t="s">
        <v>8</v>
      </c>
      <c r="B10263" s="2" t="str">
        <f>HYPERLINK("http://ts.21cn.com/tousu/show/id/1341472","胖胖有米暴力催收发威胁短信恶心短信")</f>
        <v>胖胖有米暴力催收发威胁短信恶心短信</v>
      </c>
      <c r="C10263" s="2" t="s">
        <v>9</v>
      </c>
      <c r="D10263" s="2" t="s">
        <v>10</v>
      </c>
      <c r="E10263" s="2" t="str">
        <f>HYPERLINK("http://ts.21cn.com/tousu/show/id/1341472","http://ts.21cn.com/tousu/show/id/1341472")</f>
        <v>http://ts.21cn.com/tousu/show/id/1341472</v>
      </c>
      <c r="F10263" s="2" t="s">
        <v>11</v>
      </c>
      <c r="G10263" s="2" t="s">
        <v>23973</v>
      </c>
      <c r="H10263" s="2" t="s">
        <v>23975</v>
      </c>
    </row>
    <row r="10264" spans="1:8" ht="25.05" customHeight="1" x14ac:dyDescent="0.25">
      <c r="A10264" s="2" t="s">
        <v>8</v>
      </c>
      <c r="B10264" s="2" t="str">
        <f>HYPERLINK("http://ts.21cn.com/tousu/show/id/1341473","以贷款为由给保证金收钱后消失")</f>
        <v>以贷款为由给保证金收钱后消失</v>
      </c>
      <c r="C10264" s="2" t="s">
        <v>9</v>
      </c>
      <c r="D10264" s="2" t="s">
        <v>10</v>
      </c>
      <c r="E10264" s="2" t="str">
        <f>HYPERLINK("http://ts.21cn.com/tousu/show/id/1341473","http://ts.21cn.com/tousu/show/id/1341473")</f>
        <v>http://ts.21cn.com/tousu/show/id/1341473</v>
      </c>
      <c r="F10264" s="2" t="s">
        <v>11</v>
      </c>
      <c r="G10264" s="2" t="s">
        <v>23971</v>
      </c>
      <c r="H10264" s="2" t="s">
        <v>23972</v>
      </c>
    </row>
    <row r="10265" spans="1:8" ht="25.05" customHeight="1" x14ac:dyDescent="0.25">
      <c r="A10265" s="2" t="s">
        <v>8</v>
      </c>
      <c r="B10265" s="2" t="str">
        <f>HYPERLINK("http://ts.21cn.com/tousu/show/id/1341474","未逾期反复电话骚扰")</f>
        <v>未逾期反复电话骚扰</v>
      </c>
      <c r="C10265" s="2" t="s">
        <v>9</v>
      </c>
      <c r="D10265" s="2" t="s">
        <v>10</v>
      </c>
      <c r="E10265" s="2" t="str">
        <f>HYPERLINK("http://ts.21cn.com/tousu/show/id/1341474","http://ts.21cn.com/tousu/show/id/1341474")</f>
        <v>http://ts.21cn.com/tousu/show/id/1341474</v>
      </c>
      <c r="F10265" s="2" t="s">
        <v>11</v>
      </c>
      <c r="G10265" s="2" t="s">
        <v>23969</v>
      </c>
      <c r="H10265" s="2" t="s">
        <v>23970</v>
      </c>
    </row>
    <row r="10266" spans="1:8" ht="25.05" customHeight="1" x14ac:dyDescent="0.25">
      <c r="A10266" s="2" t="s">
        <v>8</v>
      </c>
      <c r="B10266" s="2" t="str">
        <f>HYPERLINK("http://ts.21cn.com/tousu/show/id/1341477","恶意催收恐吓")</f>
        <v>恶意催收恐吓</v>
      </c>
      <c r="C10266" s="2" t="s">
        <v>9</v>
      </c>
      <c r="D10266" s="2" t="s">
        <v>10</v>
      </c>
      <c r="E10266" s="2" t="str">
        <f>HYPERLINK("http://ts.21cn.com/tousu/show/id/1341477","http://ts.21cn.com/tousu/show/id/1341477")</f>
        <v>http://ts.21cn.com/tousu/show/id/1341477</v>
      </c>
      <c r="F10266" s="2" t="s">
        <v>11</v>
      </c>
      <c r="G10266" s="2" t="s">
        <v>23967</v>
      </c>
      <c r="H10266" s="2" t="s">
        <v>23968</v>
      </c>
    </row>
    <row r="10267" spans="1:8" ht="25.05" customHeight="1" x14ac:dyDescent="0.25">
      <c r="A10267" s="2" t="s">
        <v>8</v>
      </c>
      <c r="B10267" s="2" t="str">
        <f>HYPERLINK("http://ts.21cn.com/tousu/show/id/1341478","投诉微博新浪暴力催收和高额逾期费")</f>
        <v>投诉微博新浪暴力催收和高额逾期费</v>
      </c>
      <c r="C10267" s="2" t="s">
        <v>9</v>
      </c>
      <c r="D10267" s="2" t="s">
        <v>10</v>
      </c>
      <c r="E10267" s="2" t="str">
        <f>HYPERLINK("http://ts.21cn.com/tousu/show/id/1341478","http://ts.21cn.com/tousu/show/id/1341478")</f>
        <v>http://ts.21cn.com/tousu/show/id/1341478</v>
      </c>
      <c r="F10267" s="2" t="s">
        <v>11</v>
      </c>
      <c r="G10267" s="2" t="s">
        <v>23965</v>
      </c>
      <c r="H10267" s="2" t="s">
        <v>23966</v>
      </c>
    </row>
    <row r="10268" spans="1:8" ht="25.05" customHeight="1" x14ac:dyDescent="0.25">
      <c r="A10268" s="2" t="s">
        <v>8</v>
      </c>
      <c r="B10268" s="2" t="str">
        <f>HYPERLINK("http://ts.21cn.com/tousu/show/id/1341479","超级马力贷高利贷")</f>
        <v>超级马力贷高利贷</v>
      </c>
      <c r="C10268" s="2" t="s">
        <v>9</v>
      </c>
      <c r="D10268" s="2" t="s">
        <v>10</v>
      </c>
      <c r="E10268" s="2" t="str">
        <f>HYPERLINK("http://ts.21cn.com/tousu/show/id/1341479","http://ts.21cn.com/tousu/show/id/1341479")</f>
        <v>http://ts.21cn.com/tousu/show/id/1341479</v>
      </c>
      <c r="F10268" s="2" t="s">
        <v>11</v>
      </c>
      <c r="G10268" s="2" t="s">
        <v>23963</v>
      </c>
      <c r="H10268" s="2" t="s">
        <v>23964</v>
      </c>
    </row>
    <row r="10269" spans="1:8" ht="25.05" customHeight="1" x14ac:dyDescent="0.25">
      <c r="A10269" s="2" t="s">
        <v>8</v>
      </c>
      <c r="B10269" s="2" t="str">
        <f>HYPERLINK("http://ts.21cn.com/tousu/show/id/1341481","网贷逾期8天协商还款被拒绝被威胁被爆通讯录")</f>
        <v>网贷逾期8天协商还款被拒绝被威胁被爆通讯录</v>
      </c>
      <c r="C10269" s="2" t="s">
        <v>9</v>
      </c>
      <c r="D10269" s="2" t="s">
        <v>10</v>
      </c>
      <c r="E10269" s="2" t="str">
        <f>HYPERLINK("http://ts.21cn.com/tousu/show/id/1341481","http://ts.21cn.com/tousu/show/id/1341481")</f>
        <v>http://ts.21cn.com/tousu/show/id/1341481</v>
      </c>
      <c r="F10269" s="2" t="s">
        <v>11</v>
      </c>
      <c r="G10269" s="2" t="s">
        <v>23961</v>
      </c>
      <c r="H10269" s="2" t="s">
        <v>23962</v>
      </c>
    </row>
    <row r="10270" spans="1:8" ht="25.05" customHeight="1" x14ac:dyDescent="0.25">
      <c r="A10270" s="2" t="s">
        <v>8</v>
      </c>
      <c r="B10270" s="2" t="str">
        <f>HYPERLINK("http://ts.21cn.com/tousu/show/id/1341480","诱导申请直接银行卡扣费")</f>
        <v>诱导申请直接银行卡扣费</v>
      </c>
      <c r="C10270" s="2" t="s">
        <v>9</v>
      </c>
      <c r="D10270" s="2" t="s">
        <v>10</v>
      </c>
      <c r="E10270" s="2" t="str">
        <f>HYPERLINK("http://ts.21cn.com/tousu/show/id/1341480","http://ts.21cn.com/tousu/show/id/1341480")</f>
        <v>http://ts.21cn.com/tousu/show/id/1341480</v>
      </c>
      <c r="F10270" s="2" t="s">
        <v>11</v>
      </c>
      <c r="G10270" s="2" t="s">
        <v>23959</v>
      </c>
      <c r="H10270" s="2" t="s">
        <v>23960</v>
      </c>
    </row>
    <row r="10271" spans="1:8" ht="25.05" customHeight="1" x14ac:dyDescent="0.25">
      <c r="A10271" s="2" t="s">
        <v>8</v>
      </c>
      <c r="B10271" s="2" t="str">
        <f>HYPERLINK("http://ts.21cn.com/tousu/show/id/1341483","身患重病请求提前结清")</f>
        <v>身患重病请求提前结清</v>
      </c>
      <c r="C10271" s="2" t="s">
        <v>9</v>
      </c>
      <c r="D10271" s="2" t="s">
        <v>10</v>
      </c>
      <c r="E10271" s="2" t="str">
        <f>HYPERLINK("http://ts.21cn.com/tousu/show/id/1341483","http://ts.21cn.com/tousu/show/id/1341483")</f>
        <v>http://ts.21cn.com/tousu/show/id/1341483</v>
      </c>
      <c r="F10271" s="2" t="s">
        <v>11</v>
      </c>
      <c r="G10271" s="2" t="s">
        <v>23957</v>
      </c>
      <c r="H10271" s="2" t="s">
        <v>23958</v>
      </c>
    </row>
    <row r="10272" spans="1:8" ht="25.05" customHeight="1" x14ac:dyDescent="0.25">
      <c r="A10272" s="2" t="s">
        <v>8</v>
      </c>
      <c r="B10272" s="2" t="str">
        <f>HYPERLINK("http://ts.21cn.com/tousu/show/id/1341482","招联金融，不接受协商，恐吓威胁")</f>
        <v>招联金融，不接受协商，恐吓威胁</v>
      </c>
      <c r="C10272" s="2" t="s">
        <v>9</v>
      </c>
      <c r="D10272" s="2" t="s">
        <v>10</v>
      </c>
      <c r="E10272" s="2" t="str">
        <f>HYPERLINK("http://ts.21cn.com/tousu/show/id/1341482","http://ts.21cn.com/tousu/show/id/1341482")</f>
        <v>http://ts.21cn.com/tousu/show/id/1341482</v>
      </c>
      <c r="F10272" s="2" t="s">
        <v>11</v>
      </c>
      <c r="G10272" s="2" t="s">
        <v>23955</v>
      </c>
      <c r="H10272" s="2" t="s">
        <v>23956</v>
      </c>
    </row>
    <row r="10273" spans="1:8" ht="25.05" customHeight="1" x14ac:dyDescent="0.25">
      <c r="A10273" s="2" t="s">
        <v>8</v>
      </c>
      <c r="B10273" s="2" t="str">
        <f>HYPERLINK("http://ts.21cn.com/tousu/show/id/1341484","畸形高利贷")</f>
        <v>畸形高利贷</v>
      </c>
      <c r="C10273" s="2" t="s">
        <v>9</v>
      </c>
      <c r="D10273" s="2" t="s">
        <v>10</v>
      </c>
      <c r="E10273" s="2" t="str">
        <f>HYPERLINK("http://ts.21cn.com/tousu/show/id/1341484","http://ts.21cn.com/tousu/show/id/1341484")</f>
        <v>http://ts.21cn.com/tousu/show/id/1341484</v>
      </c>
      <c r="F10273" s="2" t="s">
        <v>11</v>
      </c>
      <c r="G10273" s="2" t="s">
        <v>23953</v>
      </c>
      <c r="H10273" s="2" t="s">
        <v>23954</v>
      </c>
    </row>
    <row r="10274" spans="1:8" ht="25.05" customHeight="1" x14ac:dyDescent="0.25">
      <c r="A10274" s="2" t="s">
        <v>8</v>
      </c>
      <c r="B10274" s="2" t="str">
        <f>HYPERLINK("http://ts.21cn.com/tousu/show/id/1341485","聚福钱包未经允许连续扣费两次要求退款")</f>
        <v>聚福钱包未经允许连续扣费两次要求退款</v>
      </c>
      <c r="C10274" s="2" t="s">
        <v>34</v>
      </c>
      <c r="D10274" s="2" t="s">
        <v>10</v>
      </c>
      <c r="E10274" s="2" t="str">
        <f>HYPERLINK("http://ts.21cn.com/tousu/show/id/1341485","http://ts.21cn.com/tousu/show/id/1341485")</f>
        <v>http://ts.21cn.com/tousu/show/id/1341485</v>
      </c>
      <c r="F10274" s="2" t="s">
        <v>11</v>
      </c>
      <c r="G10274" s="2" t="s">
        <v>23951</v>
      </c>
      <c r="H10274" s="2" t="s">
        <v>23952</v>
      </c>
    </row>
    <row r="10275" spans="1:8" ht="25.05" customHeight="1" x14ac:dyDescent="0.25">
      <c r="A10275" s="2" t="s">
        <v>8</v>
      </c>
      <c r="B10275" s="2" t="str">
        <f>HYPERLINK("http://ts.21cn.com/tousu/show/id/1341486","交了押金一百不退款")</f>
        <v>交了押金一百不退款</v>
      </c>
      <c r="C10275" s="2" t="s">
        <v>9</v>
      </c>
      <c r="D10275" s="2" t="s">
        <v>10</v>
      </c>
      <c r="E10275" s="2" t="str">
        <f>HYPERLINK("http://ts.21cn.com/tousu/show/id/1341486","http://ts.21cn.com/tousu/show/id/1341486")</f>
        <v>http://ts.21cn.com/tousu/show/id/1341486</v>
      </c>
      <c r="F10275" s="2" t="s">
        <v>11</v>
      </c>
      <c r="G10275" s="2" t="s">
        <v>23949</v>
      </c>
      <c r="H10275" s="2" t="s">
        <v>23950</v>
      </c>
    </row>
    <row r="10276" spans="1:8" ht="25.05" customHeight="1" x14ac:dyDescent="0.25">
      <c r="A10276" s="2" t="s">
        <v>8</v>
      </c>
      <c r="B10276" s="2" t="str">
        <f>HYPERLINK("http://ts.21cn.com/tousu/show/id/1341487","牛人有品高利贷高炮")</f>
        <v>牛人有品高利贷高炮</v>
      </c>
      <c r="C10276" s="2" t="s">
        <v>9</v>
      </c>
      <c r="D10276" s="2" t="s">
        <v>10</v>
      </c>
      <c r="E10276" s="2" t="str">
        <f>HYPERLINK("http://ts.21cn.com/tousu/show/id/1341487","http://ts.21cn.com/tousu/show/id/1341487")</f>
        <v>http://ts.21cn.com/tousu/show/id/1341487</v>
      </c>
      <c r="F10276" s="2" t="s">
        <v>11</v>
      </c>
      <c r="G10276" s="2" t="s">
        <v>23947</v>
      </c>
      <c r="H10276" s="2" t="s">
        <v>23948</v>
      </c>
    </row>
    <row r="10277" spans="1:8" ht="25.05" customHeight="1" x14ac:dyDescent="0.25">
      <c r="A10277" s="2" t="s">
        <v>8</v>
      </c>
      <c r="B10277" s="2" t="str">
        <f>HYPERLINK("http://ts.21cn.com/tousu/show/id/1341488","花月钱包贩卖个人隐私信息")</f>
        <v>花月钱包贩卖个人隐私信息</v>
      </c>
      <c r="C10277" s="2" t="s">
        <v>9</v>
      </c>
      <c r="D10277" s="2" t="s">
        <v>10</v>
      </c>
      <c r="E10277" s="2" t="str">
        <f>HYPERLINK("http://ts.21cn.com/tousu/show/id/1341488","http://ts.21cn.com/tousu/show/id/1341488")</f>
        <v>http://ts.21cn.com/tousu/show/id/1341488</v>
      </c>
      <c r="F10277" s="2" t="s">
        <v>11</v>
      </c>
      <c r="G10277" s="2" t="s">
        <v>23945</v>
      </c>
      <c r="H10277" s="2" t="s">
        <v>23946</v>
      </c>
    </row>
    <row r="10278" spans="1:8" ht="25.05" customHeight="1" x14ac:dyDescent="0.25">
      <c r="A10278" s="2" t="s">
        <v>8</v>
      </c>
      <c r="B10278" s="2" t="str">
        <f>HYPERLINK("http://ts.21cn.com/tousu/show/id/1341490","身患重病请求协商提前结清")</f>
        <v>身患重病请求协商提前结清</v>
      </c>
      <c r="C10278" s="2" t="s">
        <v>9</v>
      </c>
      <c r="D10278" s="2" t="s">
        <v>10</v>
      </c>
      <c r="E10278" s="2" t="str">
        <f>HYPERLINK("http://ts.21cn.com/tousu/show/id/1341490","http://ts.21cn.com/tousu/show/id/1341490")</f>
        <v>http://ts.21cn.com/tousu/show/id/1341490</v>
      </c>
      <c r="F10278" s="2" t="s">
        <v>11</v>
      </c>
      <c r="G10278" s="2" t="s">
        <v>23944</v>
      </c>
      <c r="H10278" s="2" t="s">
        <v>23887</v>
      </c>
    </row>
    <row r="10279" spans="1:8" ht="25.05" customHeight="1" x14ac:dyDescent="0.25">
      <c r="A10279" s="2" t="s">
        <v>8</v>
      </c>
      <c r="B10279" s="2" t="str">
        <f>HYPERLINK("http://ts.21cn.com/tousu/show/id/1341489","标着经过检验合格的劣质电动车出售欺骗顾客")</f>
        <v>标着经过检验合格的劣质电动车出售欺骗顾客</v>
      </c>
      <c r="C10279" s="2" t="s">
        <v>9</v>
      </c>
      <c r="D10279" s="2" t="s">
        <v>10</v>
      </c>
      <c r="E10279" s="2" t="str">
        <f>HYPERLINK("http://ts.21cn.com/tousu/show/id/1341489","http://ts.21cn.com/tousu/show/id/1341489")</f>
        <v>http://ts.21cn.com/tousu/show/id/1341489</v>
      </c>
      <c r="F10279" s="2" t="s">
        <v>11</v>
      </c>
      <c r="G10279" s="2" t="s">
        <v>23942</v>
      </c>
      <c r="H10279" s="2" t="s">
        <v>23943</v>
      </c>
    </row>
    <row r="10280" spans="1:8" ht="25.05" customHeight="1" x14ac:dyDescent="0.25">
      <c r="A10280" s="2" t="s">
        <v>8</v>
      </c>
      <c r="B10280" s="2" t="str">
        <f>HYPERLINK("http://ts.21cn.com/tousu/show/id/1341491","说话不算数，冒充律师暴力威胁我还款")</f>
        <v>说话不算数，冒充律师暴力威胁我还款</v>
      </c>
      <c r="C10280" s="2" t="s">
        <v>9</v>
      </c>
      <c r="D10280" s="2" t="s">
        <v>10</v>
      </c>
      <c r="E10280" s="2" t="str">
        <f>HYPERLINK("http://ts.21cn.com/tousu/show/id/1341491","http://ts.21cn.com/tousu/show/id/1341491")</f>
        <v>http://ts.21cn.com/tousu/show/id/1341491</v>
      </c>
      <c r="F10280" s="2" t="s">
        <v>11</v>
      </c>
      <c r="G10280" s="2" t="s">
        <v>23940</v>
      </c>
      <c r="H10280" s="2" t="s">
        <v>23941</v>
      </c>
    </row>
    <row r="10281" spans="1:8" ht="25.05" customHeight="1" x14ac:dyDescent="0.25">
      <c r="A10281" s="2" t="s">
        <v>8</v>
      </c>
      <c r="B10281" s="2" t="str">
        <f>HYPERLINK("http://ts.21cn.com/tousu/show/id/1341493","pos机盗刷")</f>
        <v>pos机盗刷</v>
      </c>
      <c r="C10281" s="2" t="s">
        <v>9</v>
      </c>
      <c r="D10281" s="2" t="s">
        <v>10</v>
      </c>
      <c r="E10281" s="2" t="str">
        <f>HYPERLINK("http://ts.21cn.com/tousu/show/id/1341493","http://ts.21cn.com/tousu/show/id/1341493")</f>
        <v>http://ts.21cn.com/tousu/show/id/1341493</v>
      </c>
      <c r="F10281" s="2" t="s">
        <v>11</v>
      </c>
      <c r="G10281" s="2" t="s">
        <v>23938</v>
      </c>
      <c r="H10281" s="2" t="s">
        <v>23939</v>
      </c>
    </row>
    <row r="10282" spans="1:8" ht="25.05" customHeight="1" x14ac:dyDescent="0.25">
      <c r="A10282" s="2" t="s">
        <v>8</v>
      </c>
      <c r="B10282" s="2" t="str">
        <f>HYPERLINK("http://ts.21cn.com/tousu/show/id/1341492","洋钱罐逾期一天爆通讯录")</f>
        <v>洋钱罐逾期一天爆通讯录</v>
      </c>
      <c r="C10282" s="2" t="s">
        <v>9</v>
      </c>
      <c r="D10282" s="2" t="s">
        <v>10</v>
      </c>
      <c r="E10282" s="2" t="str">
        <f>HYPERLINK("http://ts.21cn.com/tousu/show/id/1341492","http://ts.21cn.com/tousu/show/id/1341492")</f>
        <v>http://ts.21cn.com/tousu/show/id/1341492</v>
      </c>
      <c r="F10282" s="2" t="s">
        <v>11</v>
      </c>
      <c r="G10282" s="2" t="s">
        <v>23936</v>
      </c>
      <c r="H10282" s="2" t="s">
        <v>23937</v>
      </c>
    </row>
    <row r="10283" spans="1:8" ht="25.05" customHeight="1" x14ac:dyDescent="0.25">
      <c r="A10283" s="2" t="s">
        <v>8</v>
      </c>
      <c r="B10283" s="2" t="str">
        <f>HYPERLINK("http://ts.21cn.com/tousu/show/id/1341494","51人品贷黑心高利贷，暴利催收骚扰联系人")</f>
        <v>51人品贷黑心高利贷，暴利催收骚扰联系人</v>
      </c>
      <c r="C10283" s="2" t="s">
        <v>9</v>
      </c>
      <c r="D10283" s="2" t="s">
        <v>10</v>
      </c>
      <c r="E10283" s="2" t="str">
        <f>HYPERLINK("http://ts.21cn.com/tousu/show/id/1341494","http://ts.21cn.com/tousu/show/id/1341494")</f>
        <v>http://ts.21cn.com/tousu/show/id/1341494</v>
      </c>
      <c r="F10283" s="2" t="s">
        <v>11</v>
      </c>
      <c r="G10283" s="2" t="s">
        <v>23934</v>
      </c>
      <c r="H10283" s="2" t="s">
        <v>23935</v>
      </c>
    </row>
    <row r="10284" spans="1:8" ht="25.05" customHeight="1" x14ac:dyDescent="0.25">
      <c r="A10284" s="2" t="s">
        <v>8</v>
      </c>
      <c r="B10284" s="2" t="str">
        <f>HYPERLINK("http://ts.21cn.com/tousu/show/id/1341496","身患重病协商提前结清")</f>
        <v>身患重病协商提前结清</v>
      </c>
      <c r="C10284" s="2" t="s">
        <v>9</v>
      </c>
      <c r="D10284" s="2" t="s">
        <v>10</v>
      </c>
      <c r="E10284" s="2" t="str">
        <f>HYPERLINK("http://ts.21cn.com/tousu/show/id/1341496","http://ts.21cn.com/tousu/show/id/1341496")</f>
        <v>http://ts.21cn.com/tousu/show/id/1341496</v>
      </c>
      <c r="F10284" s="2" t="s">
        <v>11</v>
      </c>
      <c r="G10284" s="2" t="s">
        <v>23933</v>
      </c>
      <c r="H10284" s="2" t="s">
        <v>23887</v>
      </c>
    </row>
    <row r="10285" spans="1:8" ht="25.05" customHeight="1" x14ac:dyDescent="0.25">
      <c r="A10285" s="2" t="s">
        <v>8</v>
      </c>
      <c r="B10285" s="2" t="str">
        <f>HYPERLINK("http://ts.21cn.com/tousu/show/id/1341497","万达普惠不给资金筹备时间")</f>
        <v>万达普惠不给资金筹备时间</v>
      </c>
      <c r="C10285" s="2" t="s">
        <v>9</v>
      </c>
      <c r="D10285" s="2" t="s">
        <v>10</v>
      </c>
      <c r="E10285" s="2" t="str">
        <f>HYPERLINK("http://ts.21cn.com/tousu/show/id/1341497","http://ts.21cn.com/tousu/show/id/1341497")</f>
        <v>http://ts.21cn.com/tousu/show/id/1341497</v>
      </c>
      <c r="F10285" s="2" t="s">
        <v>11</v>
      </c>
      <c r="G10285" s="2" t="s">
        <v>23931</v>
      </c>
      <c r="H10285" s="2" t="s">
        <v>23932</v>
      </c>
    </row>
    <row r="10286" spans="1:8" ht="25.05" customHeight="1" x14ac:dyDescent="0.25">
      <c r="A10286" s="2" t="s">
        <v>8</v>
      </c>
      <c r="B10286" s="2" t="str">
        <f>HYPERLINK("http://ts.21cn.com/tousu/show/id/1341498","人证删除不了")</f>
        <v>人证删除不了</v>
      </c>
      <c r="C10286" s="2" t="s">
        <v>34</v>
      </c>
      <c r="D10286" s="2" t="s">
        <v>10</v>
      </c>
      <c r="E10286" s="2" t="str">
        <f>HYPERLINK("http://ts.21cn.com/tousu/show/id/1341498","http://ts.21cn.com/tousu/show/id/1341498")</f>
        <v>http://ts.21cn.com/tousu/show/id/1341498</v>
      </c>
      <c r="F10286" s="2" t="s">
        <v>11</v>
      </c>
      <c r="G10286" s="2" t="s">
        <v>23929</v>
      </c>
      <c r="H10286" s="2" t="s">
        <v>23930</v>
      </c>
    </row>
    <row r="10287" spans="1:8" ht="25.05" customHeight="1" x14ac:dyDescent="0.25">
      <c r="A10287" s="2" t="s">
        <v>8</v>
      </c>
      <c r="B10287" s="2" t="str">
        <f>HYPERLINK("http://ts.21cn.com/tousu/show/id/1341500","浦发银行信用卡暴力催收")</f>
        <v>浦发银行信用卡暴力催收</v>
      </c>
      <c r="C10287" s="2" t="s">
        <v>9</v>
      </c>
      <c r="D10287" s="2" t="s">
        <v>10</v>
      </c>
      <c r="E10287" s="2" t="str">
        <f>HYPERLINK("http://ts.21cn.com/tousu/show/id/1341500","http://ts.21cn.com/tousu/show/id/1341500")</f>
        <v>http://ts.21cn.com/tousu/show/id/1341500</v>
      </c>
      <c r="F10287" s="2" t="s">
        <v>11</v>
      </c>
      <c r="G10287" s="2" t="s">
        <v>23927</v>
      </c>
      <c r="H10287" s="2" t="s">
        <v>23928</v>
      </c>
    </row>
    <row r="10288" spans="1:8" ht="25.05" customHeight="1" x14ac:dyDescent="0.25">
      <c r="A10288" s="2" t="s">
        <v>8</v>
      </c>
      <c r="B10288" s="2" t="str">
        <f>HYPERLINK("http://ts.21cn.com/tousu/show/id/1341501","借去花暴力催收")</f>
        <v>借去花暴力催收</v>
      </c>
      <c r="C10288" s="2" t="s">
        <v>9</v>
      </c>
      <c r="D10288" s="2" t="s">
        <v>10</v>
      </c>
      <c r="E10288" s="2" t="str">
        <f>HYPERLINK("http://ts.21cn.com/tousu/show/id/1341501","http://ts.21cn.com/tousu/show/id/1341501")</f>
        <v>http://ts.21cn.com/tousu/show/id/1341501</v>
      </c>
      <c r="F10288" s="2" t="s">
        <v>11</v>
      </c>
      <c r="G10288" s="2" t="s">
        <v>23925</v>
      </c>
      <c r="H10288" s="2" t="s">
        <v>23926</v>
      </c>
    </row>
    <row r="10289" spans="1:8" ht="25.05" customHeight="1" x14ac:dyDescent="0.25">
      <c r="A10289" s="2" t="s">
        <v>8</v>
      </c>
      <c r="B10289" s="2" t="str">
        <f>HYPERLINK("http://ts.21cn.com/tousu/show/id/1341502","中金支付四川分公司乱扣费")</f>
        <v>中金支付四川分公司乱扣费</v>
      </c>
      <c r="C10289" s="2" t="s">
        <v>9</v>
      </c>
      <c r="D10289" s="2" t="s">
        <v>10</v>
      </c>
      <c r="E10289" s="2" t="str">
        <f>HYPERLINK("http://ts.21cn.com/tousu/show/id/1341502","http://ts.21cn.com/tousu/show/id/1341502")</f>
        <v>http://ts.21cn.com/tousu/show/id/1341502</v>
      </c>
      <c r="F10289" s="2" t="s">
        <v>11</v>
      </c>
      <c r="G10289" s="2" t="s">
        <v>23923</v>
      </c>
      <c r="H10289" s="2" t="s">
        <v>23924</v>
      </c>
    </row>
    <row r="10290" spans="1:8" ht="25.05" customHeight="1" x14ac:dyDescent="0.25">
      <c r="A10290" s="2" t="s">
        <v>8</v>
      </c>
      <c r="B10290" s="2" t="str">
        <f>HYPERLINK("http://ts.21cn.com/tousu/show/id/1341443","美团生活费暴力催收，威胁捏造虚假恐吓信息")</f>
        <v>美团生活费暴力催收，威胁捏造虚假恐吓信息</v>
      </c>
      <c r="C10290" s="2" t="s">
        <v>9</v>
      </c>
      <c r="D10290" s="2" t="s">
        <v>10</v>
      </c>
      <c r="E10290" s="2" t="str">
        <f>HYPERLINK("http://ts.21cn.com/tousu/show/id/1341443","http://ts.21cn.com/tousu/show/id/1341443")</f>
        <v>http://ts.21cn.com/tousu/show/id/1341443</v>
      </c>
      <c r="F10290" s="2" t="s">
        <v>11</v>
      </c>
      <c r="G10290" s="2" t="s">
        <v>23921</v>
      </c>
      <c r="H10290" s="2" t="s">
        <v>23922</v>
      </c>
    </row>
    <row r="10291" spans="1:8" ht="25.05" customHeight="1" x14ac:dyDescent="0.25">
      <c r="A10291" s="2" t="s">
        <v>8</v>
      </c>
      <c r="B10291" s="2" t="str">
        <f>HYPERLINK("http://ts.21cn.com/tousu/show/id/1341503","分期通恶意收取会员费")</f>
        <v>分期通恶意收取会员费</v>
      </c>
      <c r="C10291" s="2" t="s">
        <v>9</v>
      </c>
      <c r="D10291" s="2" t="s">
        <v>10</v>
      </c>
      <c r="E10291" s="2" t="str">
        <f>HYPERLINK("http://ts.21cn.com/tousu/show/id/1341503","http://ts.21cn.com/tousu/show/id/1341503")</f>
        <v>http://ts.21cn.com/tousu/show/id/1341503</v>
      </c>
      <c r="F10291" s="2" t="s">
        <v>11</v>
      </c>
      <c r="G10291" s="2" t="s">
        <v>23919</v>
      </c>
      <c r="H10291" s="2" t="s">
        <v>23920</v>
      </c>
    </row>
    <row r="10292" spans="1:8" ht="25.05" customHeight="1" x14ac:dyDescent="0.25">
      <c r="A10292" s="2" t="s">
        <v>8</v>
      </c>
      <c r="B10292" s="2" t="str">
        <f>HYPERLINK("http://ts.21cn.com/tousu/show/id/1341505","拍拍贷多次暴力恐吓催款导致本人母亲受刺激重病不起")</f>
        <v>拍拍贷多次暴力恐吓催款导致本人母亲受刺激重病不起</v>
      </c>
      <c r="C10292" s="2" t="s">
        <v>9</v>
      </c>
      <c r="D10292" s="2" t="s">
        <v>10</v>
      </c>
      <c r="E10292" s="2" t="str">
        <f>HYPERLINK("http://ts.21cn.com/tousu/show/id/1341505","http://ts.21cn.com/tousu/show/id/1341505")</f>
        <v>http://ts.21cn.com/tousu/show/id/1341505</v>
      </c>
      <c r="F10292" s="2" t="s">
        <v>11</v>
      </c>
      <c r="G10292" s="2" t="s">
        <v>23917</v>
      </c>
      <c r="H10292" s="2" t="s">
        <v>23918</v>
      </c>
    </row>
    <row r="10293" spans="1:8" ht="25.05" customHeight="1" x14ac:dyDescent="0.25">
      <c r="A10293" s="2" t="s">
        <v>8</v>
      </c>
      <c r="B10293" s="2" t="str">
        <f>HYPERLINK("http://ts.21cn.com/tousu/show/id/1341504","成都雨路科教耽误我一年时间")</f>
        <v>成都雨路科教耽误我一年时间</v>
      </c>
      <c r="C10293" s="2" t="s">
        <v>9</v>
      </c>
      <c r="D10293" s="2" t="s">
        <v>10</v>
      </c>
      <c r="E10293" s="2" t="str">
        <f>HYPERLINK("http://ts.21cn.com/tousu/show/id/1341504","http://ts.21cn.com/tousu/show/id/1341504")</f>
        <v>http://ts.21cn.com/tousu/show/id/1341504</v>
      </c>
      <c r="F10293" s="2" t="s">
        <v>11</v>
      </c>
      <c r="G10293" s="2" t="s">
        <v>23915</v>
      </c>
      <c r="H10293" s="2" t="s">
        <v>23916</v>
      </c>
    </row>
    <row r="10294" spans="1:8" ht="25.05" customHeight="1" x14ac:dyDescent="0.25">
      <c r="A10294" s="2" t="s">
        <v>8</v>
      </c>
      <c r="B10294" s="2" t="str">
        <f>HYPERLINK("http://ts.21cn.com/tousu/show/id/1341506","立借青春宝客服威胁")</f>
        <v>立借青春宝客服威胁</v>
      </c>
      <c r="C10294" s="2" t="s">
        <v>9</v>
      </c>
      <c r="D10294" s="2" t="s">
        <v>10</v>
      </c>
      <c r="E10294" s="2" t="str">
        <f>HYPERLINK("http://ts.21cn.com/tousu/show/id/1341506","http://ts.21cn.com/tousu/show/id/1341506")</f>
        <v>http://ts.21cn.com/tousu/show/id/1341506</v>
      </c>
      <c r="F10294" s="2" t="s">
        <v>11</v>
      </c>
      <c r="G10294" s="2" t="s">
        <v>23913</v>
      </c>
      <c r="H10294" s="2" t="s">
        <v>23914</v>
      </c>
    </row>
    <row r="10295" spans="1:8" ht="25.05" customHeight="1" x14ac:dyDescent="0.25">
      <c r="A10295" s="2" t="s">
        <v>8</v>
      </c>
      <c r="B10295" s="2" t="str">
        <f>HYPERLINK("http://ts.21cn.com/tousu/show/id/1341507","因手机不好被闪送系统无辜禁闭七天，求帮助解禁")</f>
        <v>因手机不好被闪送系统无辜禁闭七天，求帮助解禁</v>
      </c>
      <c r="C10295" s="2" t="s">
        <v>9</v>
      </c>
      <c r="D10295" s="2" t="s">
        <v>10</v>
      </c>
      <c r="E10295" s="2" t="str">
        <f>HYPERLINK("http://ts.21cn.com/tousu/show/id/1341507","http://ts.21cn.com/tousu/show/id/1341507")</f>
        <v>http://ts.21cn.com/tousu/show/id/1341507</v>
      </c>
      <c r="F10295" s="2" t="s">
        <v>11</v>
      </c>
      <c r="G10295" s="2" t="s">
        <v>23910</v>
      </c>
      <c r="H10295" s="2" t="s">
        <v>23911</v>
      </c>
    </row>
    <row r="10296" spans="1:8" ht="25.05" customHeight="1" x14ac:dyDescent="0.25">
      <c r="A10296" s="2" t="s">
        <v>8</v>
      </c>
      <c r="B10296" s="2" t="str">
        <f>HYPERLINK("http://ts.21cn.com/tousu/show/id/1341508","修改电话号码")</f>
        <v>修改电话号码</v>
      </c>
      <c r="C10296" s="2" t="s">
        <v>34</v>
      </c>
      <c r="D10296" s="2" t="s">
        <v>10</v>
      </c>
      <c r="E10296" s="2" t="str">
        <f>HYPERLINK("http://ts.21cn.com/tousu/show/id/1341508","http://ts.21cn.com/tousu/show/id/1341508")</f>
        <v>http://ts.21cn.com/tousu/show/id/1341508</v>
      </c>
      <c r="F10296" s="2" t="s">
        <v>11</v>
      </c>
      <c r="G10296" s="2" t="s">
        <v>23910</v>
      </c>
      <c r="H10296" s="2" t="s">
        <v>23912</v>
      </c>
    </row>
    <row r="10297" spans="1:8" ht="25.05" customHeight="1" x14ac:dyDescent="0.25">
      <c r="A10297" s="2" t="s">
        <v>8</v>
      </c>
      <c r="B10297" s="2" t="str">
        <f>HYPERLINK("http://ts.21cn.com/tousu/show/id/1341509","我的车在质保期内出现问题现在马上出质保4s店说出质保不予免费维修")</f>
        <v>我的车在质保期内出现问题现在马上出质保4s店说出质保不予免费维修</v>
      </c>
      <c r="C10297" s="2" t="s">
        <v>9</v>
      </c>
      <c r="D10297" s="2" t="s">
        <v>10</v>
      </c>
      <c r="E10297" s="2" t="str">
        <f>HYPERLINK("http://ts.21cn.com/tousu/show/id/1341509","http://ts.21cn.com/tousu/show/id/1341509")</f>
        <v>http://ts.21cn.com/tousu/show/id/1341509</v>
      </c>
      <c r="F10297" s="2" t="s">
        <v>11</v>
      </c>
      <c r="G10297" s="2" t="s">
        <v>23908</v>
      </c>
      <c r="H10297" s="2" t="s">
        <v>23909</v>
      </c>
    </row>
    <row r="10298" spans="1:8" ht="25.05" customHeight="1" x14ac:dyDescent="0.25">
      <c r="A10298" s="2" t="s">
        <v>8</v>
      </c>
      <c r="B10298" s="2" t="str">
        <f>HYPERLINK("http://ts.21cn.com/tousu/show/id/1341495","饮水机公司虚假收费")</f>
        <v>饮水机公司虚假收费</v>
      </c>
      <c r="C10298" s="2" t="s">
        <v>9</v>
      </c>
      <c r="D10298" s="2" t="s">
        <v>10</v>
      </c>
      <c r="E10298" s="2" t="str">
        <f>HYPERLINK("http://ts.21cn.com/tousu/show/id/1341495","http://ts.21cn.com/tousu/show/id/1341495")</f>
        <v>http://ts.21cn.com/tousu/show/id/1341495</v>
      </c>
      <c r="F10298" s="2" t="s">
        <v>11</v>
      </c>
      <c r="G10298" s="2" t="s">
        <v>23906</v>
      </c>
      <c r="H10298" s="2" t="s">
        <v>23907</v>
      </c>
    </row>
    <row r="10299" spans="1:8" ht="25.05" customHeight="1" x14ac:dyDescent="0.25">
      <c r="A10299" s="2" t="s">
        <v>8</v>
      </c>
      <c r="B10299" s="2" t="str">
        <f>HYPERLINK("http://ts.21cn.com/tousu/show/id/1341510","天猫超市签收了我的东西说没签收不给我退款")</f>
        <v>天猫超市签收了我的东西说没签收不给我退款</v>
      </c>
      <c r="C10299" s="2" t="s">
        <v>34</v>
      </c>
      <c r="D10299" s="2" t="s">
        <v>10</v>
      </c>
      <c r="E10299" s="2" t="str">
        <f>HYPERLINK("http://ts.21cn.com/tousu/show/id/1341510","http://ts.21cn.com/tousu/show/id/1341510")</f>
        <v>http://ts.21cn.com/tousu/show/id/1341510</v>
      </c>
      <c r="F10299" s="2" t="s">
        <v>11</v>
      </c>
      <c r="G10299" s="2" t="s">
        <v>23904</v>
      </c>
      <c r="H10299" s="2" t="s">
        <v>23905</v>
      </c>
    </row>
    <row r="10300" spans="1:8" ht="25.05" customHeight="1" x14ac:dyDescent="0.25">
      <c r="A10300" s="2" t="s">
        <v>8</v>
      </c>
      <c r="B10300" s="2" t="str">
        <f>HYPERLINK("http://ts.21cn.com/tousu/show/id/1341512","拍拍贷暴力催收，威胁家人朋友，还要找人上门")</f>
        <v>拍拍贷暴力催收，威胁家人朋友，还要找人上门</v>
      </c>
      <c r="C10300" s="2" t="s">
        <v>9</v>
      </c>
      <c r="D10300" s="2" t="s">
        <v>10</v>
      </c>
      <c r="E10300" s="2" t="str">
        <f>HYPERLINK("http://ts.21cn.com/tousu/show/id/1341512","http://ts.21cn.com/tousu/show/id/1341512")</f>
        <v>http://ts.21cn.com/tousu/show/id/1341512</v>
      </c>
      <c r="F10300" s="2" t="s">
        <v>11</v>
      </c>
      <c r="G10300" s="2" t="s">
        <v>23902</v>
      </c>
      <c r="H10300" s="2" t="s">
        <v>23903</v>
      </c>
    </row>
    <row r="10301" spans="1:8" ht="25.05" customHeight="1" x14ac:dyDescent="0.25">
      <c r="A10301" s="2" t="s">
        <v>8</v>
      </c>
      <c r="B10301" s="2" t="str">
        <f>HYPERLINK("http://ts.21cn.com/tousu/show/id/1341513","利息太高，高过高利贷")</f>
        <v>利息太高，高过高利贷</v>
      </c>
      <c r="C10301" s="2" t="s">
        <v>9</v>
      </c>
      <c r="D10301" s="2" t="s">
        <v>10</v>
      </c>
      <c r="E10301" s="2" t="str">
        <f>HYPERLINK("http://ts.21cn.com/tousu/show/id/1341513","http://ts.21cn.com/tousu/show/id/1341513")</f>
        <v>http://ts.21cn.com/tousu/show/id/1341513</v>
      </c>
      <c r="F10301" s="2" t="s">
        <v>11</v>
      </c>
      <c r="G10301" s="2" t="s">
        <v>23900</v>
      </c>
      <c r="H10301" s="2" t="s">
        <v>23901</v>
      </c>
    </row>
    <row r="10302" spans="1:8" ht="25.05" customHeight="1" x14ac:dyDescent="0.25">
      <c r="A10302" s="2" t="s">
        <v>8</v>
      </c>
      <c r="B10302" s="2" t="str">
        <f>HYPERLINK("http://ts.21cn.com/tousu/show/id/1341514","钱咖分期高利贷")</f>
        <v>钱咖分期高利贷</v>
      </c>
      <c r="C10302" s="2" t="s">
        <v>9</v>
      </c>
      <c r="D10302" s="2" t="s">
        <v>10</v>
      </c>
      <c r="E10302" s="2" t="str">
        <f>HYPERLINK("http://ts.21cn.com/tousu/show/id/1341514","http://ts.21cn.com/tousu/show/id/1341514")</f>
        <v>http://ts.21cn.com/tousu/show/id/1341514</v>
      </c>
      <c r="F10302" s="2" t="s">
        <v>11</v>
      </c>
      <c r="G10302" s="2" t="s">
        <v>23898</v>
      </c>
      <c r="H10302" s="2" t="s">
        <v>23899</v>
      </c>
    </row>
    <row r="10303" spans="1:8" ht="25.05" customHeight="1" x14ac:dyDescent="0.25">
      <c r="A10303" s="2" t="s">
        <v>8</v>
      </c>
      <c r="B10303" s="2" t="str">
        <f>HYPERLINK("http://ts.21cn.com/tousu/show/id/1341517","百事普惠恶意扣款")</f>
        <v>百事普惠恶意扣款</v>
      </c>
      <c r="C10303" s="2" t="s">
        <v>9</v>
      </c>
      <c r="D10303" s="2" t="s">
        <v>10</v>
      </c>
      <c r="E10303" s="2" t="str">
        <f>HYPERLINK("http://ts.21cn.com/tousu/show/id/1341517","http://ts.21cn.com/tousu/show/id/1341517")</f>
        <v>http://ts.21cn.com/tousu/show/id/1341517</v>
      </c>
      <c r="F10303" s="2" t="s">
        <v>11</v>
      </c>
      <c r="G10303" s="2" t="s">
        <v>23896</v>
      </c>
      <c r="H10303" s="2" t="s">
        <v>23897</v>
      </c>
    </row>
    <row r="10304" spans="1:8" ht="25.05" customHeight="1" x14ac:dyDescent="0.25">
      <c r="A10304" s="2" t="s">
        <v>8</v>
      </c>
      <c r="B10304" s="2" t="str">
        <f>HYPERLINK("http://ts.21cn.com/tousu/show/id/1341516","高利贷不与协商态度恶劣")</f>
        <v>高利贷不与协商态度恶劣</v>
      </c>
      <c r="C10304" s="2" t="s">
        <v>9</v>
      </c>
      <c r="D10304" s="2" t="s">
        <v>10</v>
      </c>
      <c r="E10304" s="2" t="str">
        <f>HYPERLINK("http://ts.21cn.com/tousu/show/id/1341516","http://ts.21cn.com/tousu/show/id/1341516")</f>
        <v>http://ts.21cn.com/tousu/show/id/1341516</v>
      </c>
      <c r="F10304" s="2" t="s">
        <v>11</v>
      </c>
      <c r="G10304" s="2" t="s">
        <v>23894</v>
      </c>
      <c r="H10304" s="2" t="s">
        <v>23895</v>
      </c>
    </row>
    <row r="10305" spans="1:8" ht="25.05" customHeight="1" x14ac:dyDescent="0.25">
      <c r="A10305" s="2" t="s">
        <v>8</v>
      </c>
      <c r="B10305" s="2" t="str">
        <f>HYPERLINK("http://ts.21cn.com/tousu/show/id/1341515","克扣工资")</f>
        <v>克扣工资</v>
      </c>
      <c r="C10305" s="2" t="s">
        <v>9</v>
      </c>
      <c r="D10305" s="2" t="s">
        <v>10</v>
      </c>
      <c r="E10305" s="2" t="str">
        <f>HYPERLINK("http://ts.21cn.com/tousu/show/id/1341515","http://ts.21cn.com/tousu/show/id/1341515")</f>
        <v>http://ts.21cn.com/tousu/show/id/1341515</v>
      </c>
      <c r="F10305" s="2" t="s">
        <v>11</v>
      </c>
      <c r="G10305" s="2" t="s">
        <v>23892</v>
      </c>
      <c r="H10305" s="2" t="s">
        <v>23893</v>
      </c>
    </row>
    <row r="10306" spans="1:8" ht="25.05" customHeight="1" x14ac:dyDescent="0.25">
      <c r="A10306" s="2" t="s">
        <v>8</v>
      </c>
      <c r="B10306" s="2" t="str">
        <f>HYPERLINK("http://ts.21cn.com/tousu/show/id/1341518","威胁要联系单位")</f>
        <v>威胁要联系单位</v>
      </c>
      <c r="C10306" s="2" t="s">
        <v>9</v>
      </c>
      <c r="D10306" s="2" t="s">
        <v>10</v>
      </c>
      <c r="E10306" s="2" t="str">
        <f>HYPERLINK("http://ts.21cn.com/tousu/show/id/1341518","http://ts.21cn.com/tousu/show/id/1341518")</f>
        <v>http://ts.21cn.com/tousu/show/id/1341518</v>
      </c>
      <c r="F10306" s="2" t="s">
        <v>11</v>
      </c>
      <c r="G10306" s="2" t="s">
        <v>23890</v>
      </c>
      <c r="H10306" s="2" t="s">
        <v>23891</v>
      </c>
    </row>
    <row r="10307" spans="1:8" ht="25.05" customHeight="1" x14ac:dyDescent="0.25">
      <c r="A10307" s="2" t="s">
        <v>8</v>
      </c>
      <c r="B10307" s="2" t="str">
        <f>HYPERLINK("http://ts.21cn.com/tousu/show/id/1341519","六便士收取高额会员费")</f>
        <v>六便士收取高额会员费</v>
      </c>
      <c r="C10307" s="2" t="s">
        <v>9</v>
      </c>
      <c r="D10307" s="2" t="s">
        <v>10</v>
      </c>
      <c r="E10307" s="2" t="str">
        <f>HYPERLINK("http://ts.21cn.com/tousu/show/id/1341519","http://ts.21cn.com/tousu/show/id/1341519")</f>
        <v>http://ts.21cn.com/tousu/show/id/1341519</v>
      </c>
      <c r="F10307" s="2" t="s">
        <v>11</v>
      </c>
      <c r="G10307" s="2" t="s">
        <v>23888</v>
      </c>
      <c r="H10307" s="2" t="s">
        <v>23889</v>
      </c>
    </row>
    <row r="10308" spans="1:8" ht="25.05" customHeight="1" x14ac:dyDescent="0.25">
      <c r="A10308" s="2" t="s">
        <v>8</v>
      </c>
      <c r="B10308" s="2" t="str">
        <f>HYPERLINK("http://ts.21cn.com/tousu/show/id/1341521","身患重病请求协商提前结清")</f>
        <v>身患重病请求协商提前结清</v>
      </c>
      <c r="C10308" s="2" t="s">
        <v>9</v>
      </c>
      <c r="D10308" s="2" t="s">
        <v>10</v>
      </c>
      <c r="E10308" s="2" t="str">
        <f>HYPERLINK("http://ts.21cn.com/tousu/show/id/1341521","http://ts.21cn.com/tousu/show/id/1341521")</f>
        <v>http://ts.21cn.com/tousu/show/id/1341521</v>
      </c>
      <c r="F10308" s="2" t="s">
        <v>11</v>
      </c>
      <c r="G10308" s="2" t="s">
        <v>23886</v>
      </c>
      <c r="H10308" s="2" t="s">
        <v>23887</v>
      </c>
    </row>
    <row r="10309" spans="1:8" ht="25.05" customHeight="1" x14ac:dyDescent="0.25">
      <c r="A10309" s="2" t="s">
        <v>8</v>
      </c>
      <c r="B10309" s="2" t="str">
        <f>HYPERLINK("http://ts.21cn.com/tousu/show/id/1341522","蛋壳公寓不退押金")</f>
        <v>蛋壳公寓不退押金</v>
      </c>
      <c r="C10309" s="2" t="s">
        <v>9</v>
      </c>
      <c r="D10309" s="2" t="s">
        <v>10</v>
      </c>
      <c r="E10309" s="2" t="str">
        <f>HYPERLINK("http://ts.21cn.com/tousu/show/id/1341522","http://ts.21cn.com/tousu/show/id/1341522")</f>
        <v>http://ts.21cn.com/tousu/show/id/1341522</v>
      </c>
      <c r="F10309" s="2" t="s">
        <v>11</v>
      </c>
      <c r="G10309" s="2" t="s">
        <v>23884</v>
      </c>
      <c r="H10309" s="2" t="s">
        <v>23885</v>
      </c>
    </row>
    <row r="10310" spans="1:8" ht="25.05" customHeight="1" x14ac:dyDescent="0.25">
      <c r="A10310" s="2" t="s">
        <v>8</v>
      </c>
      <c r="B10310" s="2" t="str">
        <f>HYPERLINK("http://ts.21cn.com/tousu/show/id/1341523","交通银行进行催收恐吓威胁")</f>
        <v>交通银行进行催收恐吓威胁</v>
      </c>
      <c r="C10310" s="2" t="s">
        <v>9</v>
      </c>
      <c r="D10310" s="2" t="s">
        <v>10</v>
      </c>
      <c r="E10310" s="2" t="str">
        <f>HYPERLINK("http://ts.21cn.com/tousu/show/id/1341523","http://ts.21cn.com/tousu/show/id/1341523")</f>
        <v>http://ts.21cn.com/tousu/show/id/1341523</v>
      </c>
      <c r="F10310" s="2" t="s">
        <v>11</v>
      </c>
      <c r="G10310" s="2" t="s">
        <v>23882</v>
      </c>
      <c r="H10310" s="2" t="s">
        <v>23883</v>
      </c>
    </row>
    <row r="10311" spans="1:8" ht="25.05" customHeight="1" x14ac:dyDescent="0.25">
      <c r="A10311" s="2" t="s">
        <v>8</v>
      </c>
      <c r="B10311" s="2" t="str">
        <f>HYPERLINK("http://ts.21cn.com/tousu/show/id/1341524","钱站暴力催收骚扰家人")</f>
        <v>钱站暴力催收骚扰家人</v>
      </c>
      <c r="C10311" s="2" t="s">
        <v>9</v>
      </c>
      <c r="D10311" s="2" t="s">
        <v>10</v>
      </c>
      <c r="E10311" s="2" t="str">
        <f>HYPERLINK("http://ts.21cn.com/tousu/show/id/1341524","http://ts.21cn.com/tousu/show/id/1341524")</f>
        <v>http://ts.21cn.com/tousu/show/id/1341524</v>
      </c>
      <c r="F10311" s="2" t="s">
        <v>11</v>
      </c>
      <c r="G10311" s="2" t="s">
        <v>23880</v>
      </c>
      <c r="H10311" s="2" t="s">
        <v>23881</v>
      </c>
    </row>
    <row r="10312" spans="1:8" ht="25.05" customHeight="1" x14ac:dyDescent="0.25">
      <c r="A10312" s="2" t="s">
        <v>8</v>
      </c>
      <c r="B10312" s="2" t="str">
        <f>HYPERLINK("http://ts.21cn.com/tousu/show/id/1341525","苏宁金融套路贷")</f>
        <v>苏宁金融套路贷</v>
      </c>
      <c r="C10312" s="2" t="s">
        <v>9</v>
      </c>
      <c r="D10312" s="2" t="s">
        <v>10</v>
      </c>
      <c r="E10312" s="2" t="str">
        <f>HYPERLINK("http://ts.21cn.com/tousu/show/id/1341525","http://ts.21cn.com/tousu/show/id/1341525")</f>
        <v>http://ts.21cn.com/tousu/show/id/1341525</v>
      </c>
      <c r="F10312" s="2" t="s">
        <v>11</v>
      </c>
      <c r="G10312" s="2" t="s">
        <v>23878</v>
      </c>
      <c r="H10312" s="2" t="s">
        <v>23879</v>
      </c>
    </row>
    <row r="10313" spans="1:8" ht="25.05" customHeight="1" x14ac:dyDescent="0.25">
      <c r="A10313" s="2" t="s">
        <v>8</v>
      </c>
      <c r="B10313" s="2" t="str">
        <f>HYPERLINK("http://ts.21cn.com/tousu/show/id/1341526","大量用户无法退还立刻出行499元押金")</f>
        <v>大量用户无法退还立刻出行499元押金</v>
      </c>
      <c r="C10313" s="2" t="s">
        <v>9</v>
      </c>
      <c r="D10313" s="2" t="s">
        <v>10</v>
      </c>
      <c r="E10313" s="2" t="str">
        <f>HYPERLINK("http://ts.21cn.com/tousu/show/id/1341526","http://ts.21cn.com/tousu/show/id/1341526")</f>
        <v>http://ts.21cn.com/tousu/show/id/1341526</v>
      </c>
      <c r="F10313" s="2" t="s">
        <v>11</v>
      </c>
      <c r="G10313" s="2" t="s">
        <v>23876</v>
      </c>
      <c r="H10313" s="2" t="s">
        <v>23877</v>
      </c>
    </row>
    <row r="10314" spans="1:8" ht="25.05" customHeight="1" x14ac:dyDescent="0.25">
      <c r="A10314" s="2" t="s">
        <v>8</v>
      </c>
      <c r="B10314" s="2" t="str">
        <f>HYPERLINK("http://ts.21cn.com/tousu/show/id/1341527","身患重病请求协商提前结清")</f>
        <v>身患重病请求协商提前结清</v>
      </c>
      <c r="C10314" s="2" t="s">
        <v>9</v>
      </c>
      <c r="D10314" s="2" t="s">
        <v>10</v>
      </c>
      <c r="E10314" s="2" t="str">
        <f>HYPERLINK("http://ts.21cn.com/tousu/show/id/1341527","http://ts.21cn.com/tousu/show/id/1341527")</f>
        <v>http://ts.21cn.com/tousu/show/id/1341527</v>
      </c>
      <c r="F10314" s="2" t="s">
        <v>11</v>
      </c>
      <c r="G10314" s="2" t="s">
        <v>23874</v>
      </c>
      <c r="H10314" s="2" t="s">
        <v>23875</v>
      </c>
    </row>
    <row r="10315" spans="1:8" ht="25.05" customHeight="1" x14ac:dyDescent="0.25">
      <c r="A10315" s="2" t="s">
        <v>8</v>
      </c>
      <c r="B10315" s="2" t="str">
        <f>HYPERLINK("http://ts.21cn.com/tousu/show/id/1341528","嗨钱网还款了不入账一直显示逾期")</f>
        <v>嗨钱网还款了不入账一直显示逾期</v>
      </c>
      <c r="C10315" s="2" t="s">
        <v>9</v>
      </c>
      <c r="D10315" s="2" t="s">
        <v>10</v>
      </c>
      <c r="E10315" s="2" t="str">
        <f>HYPERLINK("http://ts.21cn.com/tousu/show/id/1341528","http://ts.21cn.com/tousu/show/id/1341528")</f>
        <v>http://ts.21cn.com/tousu/show/id/1341528</v>
      </c>
      <c r="F10315" s="2" t="s">
        <v>11</v>
      </c>
      <c r="G10315" s="2" t="s">
        <v>23872</v>
      </c>
      <c r="H10315" s="2" t="s">
        <v>23873</v>
      </c>
    </row>
    <row r="10316" spans="1:8" ht="25.05" customHeight="1" x14ac:dyDescent="0.25">
      <c r="A10316" s="2" t="s">
        <v>8</v>
      </c>
      <c r="B10316" s="2" t="str">
        <f>HYPERLINK("http://ts.21cn.com/tousu/show/id/1341529","信用飞砍头息，逾期费高昂")</f>
        <v>信用飞砍头息，逾期费高昂</v>
      </c>
      <c r="C10316" s="2" t="s">
        <v>9</v>
      </c>
      <c r="D10316" s="2" t="s">
        <v>10</v>
      </c>
      <c r="E10316" s="2" t="str">
        <f>HYPERLINK("http://ts.21cn.com/tousu/show/id/1341529","http://ts.21cn.com/tousu/show/id/1341529")</f>
        <v>http://ts.21cn.com/tousu/show/id/1341529</v>
      </c>
      <c r="F10316" s="2" t="s">
        <v>11</v>
      </c>
      <c r="G10316" s="2" t="s">
        <v>23870</v>
      </c>
      <c r="H10316" s="2" t="s">
        <v>23871</v>
      </c>
    </row>
    <row r="10317" spans="1:8" ht="25.05" customHeight="1" x14ac:dyDescent="0.25">
      <c r="A10317" s="2" t="s">
        <v>8</v>
      </c>
      <c r="B10317" s="2" t="str">
        <f>HYPERLINK("http://ts.21cn.com/tousu/show/id/1341530","我在立借平台里面借了5500，现在还7880多，第一期已经还了两千九百多，前天第二期到了两千三百多现在逾期两天了一天涨")</f>
        <v>我在立借平台里面借了5500，现在还7880多，第一期已经还了两千九百多，前天第二期到了两千三百多现在逾期两天了一天涨</v>
      </c>
      <c r="C10317" s="2" t="s">
        <v>34</v>
      </c>
      <c r="D10317" s="2" t="s">
        <v>10</v>
      </c>
      <c r="E10317" s="2" t="str">
        <f>HYPERLINK("http://ts.21cn.com/tousu/show/id/1341530","http://ts.21cn.com/tousu/show/id/1341530")</f>
        <v>http://ts.21cn.com/tousu/show/id/1341530</v>
      </c>
      <c r="F10317" s="2" t="s">
        <v>11</v>
      </c>
      <c r="G10317" s="2" t="s">
        <v>23868</v>
      </c>
      <c r="H10317" s="2" t="s">
        <v>23869</v>
      </c>
    </row>
    <row r="10318" spans="1:8" ht="25.05" customHeight="1" x14ac:dyDescent="0.25">
      <c r="A10318" s="2" t="s">
        <v>8</v>
      </c>
      <c r="B10318" s="2" t="str">
        <f>HYPERLINK("http://ts.21cn.com/tousu/show/id/1341532","非法高利")</f>
        <v>非法高利</v>
      </c>
      <c r="C10318" s="2" t="s">
        <v>9</v>
      </c>
      <c r="D10318" s="2" t="s">
        <v>10</v>
      </c>
      <c r="E10318" s="2" t="str">
        <f>HYPERLINK("http://ts.21cn.com/tousu/show/id/1341532","http://ts.21cn.com/tousu/show/id/1341532")</f>
        <v>http://ts.21cn.com/tousu/show/id/1341532</v>
      </c>
      <c r="F10318" s="2" t="s">
        <v>11</v>
      </c>
      <c r="G10318" s="2" t="s">
        <v>23866</v>
      </c>
      <c r="H10318" s="2" t="s">
        <v>23867</v>
      </c>
    </row>
    <row r="10319" spans="1:8" ht="25.05" customHeight="1" x14ac:dyDescent="0.25">
      <c r="A10319" s="2" t="s">
        <v>8</v>
      </c>
      <c r="B10319" s="2" t="str">
        <f>HYPERLINK("http://ts.21cn.com/tousu/show/id/1341531","豹子贷无故扣钱不需要还要扣")</f>
        <v>豹子贷无故扣钱不需要还要扣</v>
      </c>
      <c r="C10319" s="2" t="s">
        <v>9</v>
      </c>
      <c r="D10319" s="2" t="s">
        <v>10</v>
      </c>
      <c r="E10319" s="2" t="str">
        <f>HYPERLINK("http://ts.21cn.com/tousu/show/id/1341531","http://ts.21cn.com/tousu/show/id/1341531")</f>
        <v>http://ts.21cn.com/tousu/show/id/1341531</v>
      </c>
      <c r="F10319" s="2" t="s">
        <v>11</v>
      </c>
      <c r="G10319" s="2" t="s">
        <v>23864</v>
      </c>
      <c r="H10319" s="2" t="s">
        <v>23865</v>
      </c>
    </row>
    <row r="10320" spans="1:8" ht="25.05" customHeight="1" x14ac:dyDescent="0.25">
      <c r="A10320" s="2" t="s">
        <v>8</v>
      </c>
      <c r="B10320" s="2" t="str">
        <f>HYPERLINK("http://ts.21cn.com/tousu/show/id/1341533","小浦优客未经同意乱扣款")</f>
        <v>小浦优客未经同意乱扣款</v>
      </c>
      <c r="C10320" s="2" t="s">
        <v>9</v>
      </c>
      <c r="D10320" s="2" t="s">
        <v>10</v>
      </c>
      <c r="E10320" s="2" t="str">
        <f>HYPERLINK("http://ts.21cn.com/tousu/show/id/1341533","http://ts.21cn.com/tousu/show/id/1341533")</f>
        <v>http://ts.21cn.com/tousu/show/id/1341533</v>
      </c>
      <c r="F10320" s="2" t="s">
        <v>11</v>
      </c>
      <c r="G10320" s="2" t="s">
        <v>23862</v>
      </c>
      <c r="H10320" s="2" t="s">
        <v>23863</v>
      </c>
    </row>
    <row r="10321" spans="1:8" ht="25.05" customHeight="1" x14ac:dyDescent="0.25">
      <c r="A10321" s="2" t="s">
        <v>8</v>
      </c>
      <c r="B10321" s="2" t="str">
        <f>HYPERLINK("http://ts.21cn.com/tousu/show/id/1341534","聚富分期乱扣费，提示叫我绑卡，没有明确提示显示要扣费，说退款到现在都没退")</f>
        <v>聚富分期乱扣费，提示叫我绑卡，没有明确提示显示要扣费，说退款到现在都没退</v>
      </c>
      <c r="C10321" s="2" t="s">
        <v>9</v>
      </c>
      <c r="D10321" s="2" t="s">
        <v>10</v>
      </c>
      <c r="E10321" s="2" t="str">
        <f>HYPERLINK("http://ts.21cn.com/tousu/show/id/1341534","http://ts.21cn.com/tousu/show/id/1341534")</f>
        <v>http://ts.21cn.com/tousu/show/id/1341534</v>
      </c>
      <c r="F10321" s="2" t="s">
        <v>11</v>
      </c>
      <c r="G10321" s="2" t="s">
        <v>23860</v>
      </c>
      <c r="H10321" s="2" t="s">
        <v>23861</v>
      </c>
    </row>
    <row r="10322" spans="1:8" ht="25.05" customHeight="1" x14ac:dyDescent="0.25">
      <c r="A10322" s="2" t="s">
        <v>8</v>
      </c>
      <c r="B10322" s="2" t="str">
        <f>HYPERLINK("http://ts.21cn.com/tousu/show/id/1341535","骚扰家人")</f>
        <v>骚扰家人</v>
      </c>
      <c r="C10322" s="2" t="s">
        <v>9</v>
      </c>
      <c r="D10322" s="2" t="s">
        <v>10</v>
      </c>
      <c r="E10322" s="2" t="str">
        <f>HYPERLINK("http://ts.21cn.com/tousu/show/id/1341535","http://ts.21cn.com/tousu/show/id/1341535")</f>
        <v>http://ts.21cn.com/tousu/show/id/1341535</v>
      </c>
      <c r="F10322" s="2" t="s">
        <v>11</v>
      </c>
      <c r="G10322" s="2" t="s">
        <v>23858</v>
      </c>
      <c r="H10322" s="2" t="s">
        <v>23859</v>
      </c>
    </row>
    <row r="10323" spans="1:8" ht="25.05" customHeight="1" x14ac:dyDescent="0.25">
      <c r="A10323" s="2" t="s">
        <v>8</v>
      </c>
      <c r="B10323" s="2" t="str">
        <f>HYPERLINK("http://ts.21cn.com/tousu/show/id/1341536","被坑168块钱")</f>
        <v>被坑168块钱</v>
      </c>
      <c r="C10323" s="2" t="s">
        <v>9</v>
      </c>
      <c r="D10323" s="2" t="s">
        <v>10</v>
      </c>
      <c r="E10323" s="2" t="str">
        <f>HYPERLINK("http://ts.21cn.com/tousu/show/id/1341536","http://ts.21cn.com/tousu/show/id/1341536")</f>
        <v>http://ts.21cn.com/tousu/show/id/1341536</v>
      </c>
      <c r="F10323" s="2" t="s">
        <v>11</v>
      </c>
      <c r="G10323" s="2" t="s">
        <v>23856</v>
      </c>
      <c r="H10323" s="2" t="s">
        <v>23857</v>
      </c>
    </row>
    <row r="10324" spans="1:8" ht="25.05" customHeight="1" x14ac:dyDescent="0.25">
      <c r="A10324" s="2" t="s">
        <v>8</v>
      </c>
      <c r="B10324" s="2" t="str">
        <f>HYPERLINK("http://ts.21cn.com/tousu/show/id/1341537","嘀嗒顺风车司机三番五次不送目的地，擅自运走私人物品嘀嗒平台无视乘客权益")</f>
        <v>嘀嗒顺风车司机三番五次不送目的地，擅自运走私人物品嘀嗒平台无视乘客权益</v>
      </c>
      <c r="C10324" s="2" t="s">
        <v>9</v>
      </c>
      <c r="D10324" s="2" t="s">
        <v>10</v>
      </c>
      <c r="E10324" s="2" t="str">
        <f>HYPERLINK("http://ts.21cn.com/tousu/show/id/1341537","http://ts.21cn.com/tousu/show/id/1341537")</f>
        <v>http://ts.21cn.com/tousu/show/id/1341537</v>
      </c>
      <c r="F10324" s="2" t="s">
        <v>11</v>
      </c>
      <c r="G10324" s="2" t="s">
        <v>23854</v>
      </c>
      <c r="H10324" s="2" t="s">
        <v>23855</v>
      </c>
    </row>
    <row r="10325" spans="1:8" ht="25.05" customHeight="1" x14ac:dyDescent="0.25">
      <c r="A10325" s="2" t="s">
        <v>8</v>
      </c>
      <c r="B10325" s="2" t="str">
        <f>HYPERLINK("http://ts.21cn.com/tousu/show/id/1341539","天天贷被套路了")</f>
        <v>天天贷被套路了</v>
      </c>
      <c r="C10325" s="2" t="s">
        <v>9</v>
      </c>
      <c r="D10325" s="2" t="s">
        <v>10</v>
      </c>
      <c r="E10325" s="2" t="str">
        <f>HYPERLINK("http://ts.21cn.com/tousu/show/id/1341539","http://ts.21cn.com/tousu/show/id/1341539")</f>
        <v>http://ts.21cn.com/tousu/show/id/1341539</v>
      </c>
      <c r="F10325" s="2" t="s">
        <v>11</v>
      </c>
      <c r="G10325" s="2" t="s">
        <v>23852</v>
      </c>
      <c r="H10325" s="2" t="s">
        <v>23853</v>
      </c>
    </row>
    <row r="10326" spans="1:8" ht="25.05" customHeight="1" x14ac:dyDescent="0.25">
      <c r="A10326" s="2" t="s">
        <v>8</v>
      </c>
      <c r="B10326" s="2" t="str">
        <f>HYPERLINK("http://ts.21cn.com/tousu/show/id/1341538","时光分期暴力催收")</f>
        <v>时光分期暴力催收</v>
      </c>
      <c r="C10326" s="2" t="s">
        <v>9</v>
      </c>
      <c r="D10326" s="2" t="s">
        <v>10</v>
      </c>
      <c r="E10326" s="2" t="str">
        <f>HYPERLINK("http://ts.21cn.com/tousu/show/id/1341538","http://ts.21cn.com/tousu/show/id/1341538")</f>
        <v>http://ts.21cn.com/tousu/show/id/1341538</v>
      </c>
      <c r="F10326" s="2" t="s">
        <v>11</v>
      </c>
      <c r="G10326" s="2" t="s">
        <v>23850</v>
      </c>
      <c r="H10326" s="2" t="s">
        <v>23851</v>
      </c>
    </row>
    <row r="10327" spans="1:8" ht="25.05" customHeight="1" x14ac:dyDescent="0.25">
      <c r="A10327" s="2" t="s">
        <v>8</v>
      </c>
      <c r="B10327" s="2" t="str">
        <f>HYPERLINK("http://ts.21cn.com/tousu/show/id/1341541","希望兴业银行发一个具有法律效应的分期还款合同给我。")</f>
        <v>希望兴业银行发一个具有法律效应的分期还款合同给我。</v>
      </c>
      <c r="C10327" s="2" t="s">
        <v>9</v>
      </c>
      <c r="D10327" s="2" t="s">
        <v>10</v>
      </c>
      <c r="E10327" s="2" t="str">
        <f>HYPERLINK("http://ts.21cn.com/tousu/show/id/1341541","http://ts.21cn.com/tousu/show/id/1341541")</f>
        <v>http://ts.21cn.com/tousu/show/id/1341541</v>
      </c>
      <c r="F10327" s="2" t="s">
        <v>11</v>
      </c>
      <c r="G10327" s="2" t="s">
        <v>23848</v>
      </c>
      <c r="H10327" s="2" t="s">
        <v>23849</v>
      </c>
    </row>
    <row r="10328" spans="1:8" ht="25.05" customHeight="1" x14ac:dyDescent="0.25">
      <c r="A10328" s="2" t="s">
        <v>8</v>
      </c>
      <c r="B10328" s="2" t="str">
        <f>HYPERLINK("http://ts.21cn.com/tousu/show/id/1341542","光大银行信用卡中心连续骚扰催收，导致工作丢失")</f>
        <v>光大银行信用卡中心连续骚扰催收，导致工作丢失</v>
      </c>
      <c r="C10328" s="2" t="s">
        <v>9</v>
      </c>
      <c r="D10328" s="2" t="s">
        <v>10</v>
      </c>
      <c r="E10328" s="2" t="str">
        <f>HYPERLINK("http://ts.21cn.com/tousu/show/id/1341542","http://ts.21cn.com/tousu/show/id/1341542")</f>
        <v>http://ts.21cn.com/tousu/show/id/1341542</v>
      </c>
      <c r="F10328" s="2" t="s">
        <v>11</v>
      </c>
      <c r="G10328" s="2" t="s">
        <v>23846</v>
      </c>
      <c r="H10328" s="2" t="s">
        <v>23847</v>
      </c>
    </row>
    <row r="10329" spans="1:8" ht="25.05" customHeight="1" x14ac:dyDescent="0.25">
      <c r="A10329" s="2" t="s">
        <v>8</v>
      </c>
      <c r="B10329" s="2" t="str">
        <f>HYPERLINK("http://ts.21cn.com/tousu/show/id/1341543","暴力催收，骚扰，恐吓")</f>
        <v>暴力催收，骚扰，恐吓</v>
      </c>
      <c r="C10329" s="2" t="s">
        <v>9</v>
      </c>
      <c r="D10329" s="2" t="s">
        <v>10</v>
      </c>
      <c r="E10329" s="2" t="str">
        <f>HYPERLINK("http://ts.21cn.com/tousu/show/id/1341543","http://ts.21cn.com/tousu/show/id/1341543")</f>
        <v>http://ts.21cn.com/tousu/show/id/1341543</v>
      </c>
      <c r="F10329" s="2" t="s">
        <v>11</v>
      </c>
      <c r="G10329" s="2" t="s">
        <v>23844</v>
      </c>
      <c r="H10329" s="2" t="s">
        <v>23845</v>
      </c>
    </row>
    <row r="10330" spans="1:8" ht="25.05" customHeight="1" x14ac:dyDescent="0.25">
      <c r="A10330" s="2" t="s">
        <v>8</v>
      </c>
      <c r="B10330" s="2" t="str">
        <f>HYPERLINK("http://ts.21cn.com/tousu/show/id/1341544","欺骗消费者")</f>
        <v>欺骗消费者</v>
      </c>
      <c r="C10330" s="2" t="s">
        <v>9</v>
      </c>
      <c r="D10330" s="2" t="s">
        <v>10</v>
      </c>
      <c r="E10330" s="2" t="str">
        <f>HYPERLINK("http://ts.21cn.com/tousu/show/id/1341544","http://ts.21cn.com/tousu/show/id/1341544")</f>
        <v>http://ts.21cn.com/tousu/show/id/1341544</v>
      </c>
      <c r="F10330" s="2" t="s">
        <v>11</v>
      </c>
      <c r="G10330" s="2" t="s">
        <v>23842</v>
      </c>
      <c r="H10330" s="2" t="s">
        <v>23843</v>
      </c>
    </row>
    <row r="10331" spans="1:8" ht="25.05" customHeight="1" x14ac:dyDescent="0.25">
      <c r="A10331" s="2" t="s">
        <v>8</v>
      </c>
      <c r="B10331" s="2" t="str">
        <f>HYPERLINK("http://ts.21cn.com/tousu/show/id/1341545","砍头")</f>
        <v>砍头</v>
      </c>
      <c r="C10331" s="2" t="s">
        <v>9</v>
      </c>
      <c r="D10331" s="2" t="s">
        <v>10</v>
      </c>
      <c r="E10331" s="2" t="str">
        <f>HYPERLINK("http://ts.21cn.com/tousu/show/id/1341545","http://ts.21cn.com/tousu/show/id/1341545")</f>
        <v>http://ts.21cn.com/tousu/show/id/1341545</v>
      </c>
      <c r="F10331" s="2" t="s">
        <v>11</v>
      </c>
      <c r="G10331" s="2" t="s">
        <v>23840</v>
      </c>
      <c r="H10331" s="2" t="s">
        <v>23841</v>
      </c>
    </row>
    <row r="10332" spans="1:8" ht="25.05" customHeight="1" x14ac:dyDescent="0.25">
      <c r="A10332" s="2" t="s">
        <v>8</v>
      </c>
      <c r="B10332" s="2" t="str">
        <f>HYPERLINK("http://ts.21cn.com/tousu/show/id/1341547","无故扣款")</f>
        <v>无故扣款</v>
      </c>
      <c r="C10332" s="2" t="s">
        <v>34</v>
      </c>
      <c r="D10332" s="2" t="s">
        <v>10</v>
      </c>
      <c r="E10332" s="2" t="str">
        <f>HYPERLINK("http://ts.21cn.com/tousu/show/id/1341547","http://ts.21cn.com/tousu/show/id/1341547")</f>
        <v>http://ts.21cn.com/tousu/show/id/1341547</v>
      </c>
      <c r="F10332" s="2" t="s">
        <v>11</v>
      </c>
      <c r="G10332" s="2" t="s">
        <v>23838</v>
      </c>
      <c r="H10332" s="2" t="s">
        <v>23839</v>
      </c>
    </row>
    <row r="10333" spans="1:8" ht="25.05" customHeight="1" x14ac:dyDescent="0.25">
      <c r="A10333" s="2" t="s">
        <v>8</v>
      </c>
      <c r="B10333" s="2" t="str">
        <f>HYPERLINK("http://ts.21cn.com/tousu/show/id/1341546","达龙云电脑充值无法退款")</f>
        <v>达龙云电脑充值无法退款</v>
      </c>
      <c r="C10333" s="2" t="s">
        <v>9</v>
      </c>
      <c r="D10333" s="2" t="s">
        <v>10</v>
      </c>
      <c r="E10333" s="2" t="str">
        <f>HYPERLINK("http://ts.21cn.com/tousu/show/id/1341546","http://ts.21cn.com/tousu/show/id/1341546")</f>
        <v>http://ts.21cn.com/tousu/show/id/1341546</v>
      </c>
      <c r="F10333" s="2" t="s">
        <v>11</v>
      </c>
      <c r="G10333" s="2" t="s">
        <v>23836</v>
      </c>
      <c r="H10333" s="2" t="s">
        <v>23837</v>
      </c>
    </row>
    <row r="10334" spans="1:8" ht="25.05" customHeight="1" x14ac:dyDescent="0.25">
      <c r="A10334" s="2" t="s">
        <v>8</v>
      </c>
      <c r="B10334" s="2" t="str">
        <f>HYPERLINK("http://ts.21cn.com/tousu/show/id/1341548","快闪卡贷高利贷砍头息")</f>
        <v>快闪卡贷高利贷砍头息</v>
      </c>
      <c r="C10334" s="2" t="s">
        <v>9</v>
      </c>
      <c r="D10334" s="2" t="s">
        <v>10</v>
      </c>
      <c r="E10334" s="2" t="str">
        <f>HYPERLINK("http://ts.21cn.com/tousu/show/id/1341548","http://ts.21cn.com/tousu/show/id/1341548")</f>
        <v>http://ts.21cn.com/tousu/show/id/1341548</v>
      </c>
      <c r="F10334" s="2" t="s">
        <v>11</v>
      </c>
      <c r="G10334" s="2" t="s">
        <v>23834</v>
      </c>
      <c r="H10334" s="2" t="s">
        <v>23835</v>
      </c>
    </row>
    <row r="10335" spans="1:8" ht="25.05" customHeight="1" x14ac:dyDescent="0.25">
      <c r="A10335" s="2" t="s">
        <v>8</v>
      </c>
      <c r="B10335" s="2" t="str">
        <f>HYPERLINK("http://ts.21cn.com/tousu/show/id/1341549","招商银行夸张恐吓骚扰老年人")</f>
        <v>招商银行夸张恐吓骚扰老年人</v>
      </c>
      <c r="C10335" s="2" t="s">
        <v>9</v>
      </c>
      <c r="D10335" s="2" t="s">
        <v>10</v>
      </c>
      <c r="E10335" s="2" t="str">
        <f>HYPERLINK("http://ts.21cn.com/tousu/show/id/1341549","http://ts.21cn.com/tousu/show/id/1341549")</f>
        <v>http://ts.21cn.com/tousu/show/id/1341549</v>
      </c>
      <c r="F10335" s="2" t="s">
        <v>11</v>
      </c>
      <c r="G10335" s="2" t="s">
        <v>23832</v>
      </c>
      <c r="H10335" s="2" t="s">
        <v>23833</v>
      </c>
    </row>
    <row r="10336" spans="1:8" ht="25.05" customHeight="1" x14ac:dyDescent="0.25">
      <c r="A10336" s="2" t="s">
        <v>8</v>
      </c>
      <c r="B10336" s="2" t="str">
        <f>HYPERLINK("http://ts.21cn.com/tousu/show/id/1341550","安逸花欺骗借款人任意降低额度不通知影响借款人资金需求")</f>
        <v>安逸花欺骗借款人任意降低额度不通知影响借款人资金需求</v>
      </c>
      <c r="C10336" s="2" t="s">
        <v>9</v>
      </c>
      <c r="D10336" s="2" t="s">
        <v>10</v>
      </c>
      <c r="E10336" s="2" t="str">
        <f>HYPERLINK("http://ts.21cn.com/tousu/show/id/1341550","http://ts.21cn.com/tousu/show/id/1341550")</f>
        <v>http://ts.21cn.com/tousu/show/id/1341550</v>
      </c>
      <c r="F10336" s="2" t="s">
        <v>11</v>
      </c>
      <c r="G10336" s="2" t="s">
        <v>23830</v>
      </c>
      <c r="H10336" s="2" t="s">
        <v>23831</v>
      </c>
    </row>
    <row r="10337" spans="1:8" ht="25.05" customHeight="1" x14ac:dyDescent="0.25">
      <c r="A10337" s="2" t="s">
        <v>8</v>
      </c>
      <c r="B10337" s="2" t="str">
        <f>HYPERLINK("http://ts.21cn.com/tousu/show/id/1341552","钱站高利贷阴阳合同")</f>
        <v>钱站高利贷阴阳合同</v>
      </c>
      <c r="C10337" s="2" t="s">
        <v>9</v>
      </c>
      <c r="D10337" s="2" t="s">
        <v>10</v>
      </c>
      <c r="E10337" s="2" t="str">
        <f>HYPERLINK("http://ts.21cn.com/tousu/show/id/1341552","http://ts.21cn.com/tousu/show/id/1341552")</f>
        <v>http://ts.21cn.com/tousu/show/id/1341552</v>
      </c>
      <c r="F10337" s="2" t="s">
        <v>11</v>
      </c>
      <c r="G10337" s="2" t="s">
        <v>23828</v>
      </c>
      <c r="H10337" s="2" t="s">
        <v>23829</v>
      </c>
    </row>
    <row r="10338" spans="1:8" ht="25.05" customHeight="1" x14ac:dyDescent="0.25">
      <c r="A10338" s="2" t="s">
        <v>8</v>
      </c>
      <c r="B10338" s="2" t="str">
        <f>HYPERLINK("http://ts.21cn.com/tousu/show/id/1341551","猴犀利网贷恶意收取高昂的费用，乱要钱")</f>
        <v>猴犀利网贷恶意收取高昂的费用，乱要钱</v>
      </c>
      <c r="C10338" s="2" t="s">
        <v>9</v>
      </c>
      <c r="D10338" s="2" t="s">
        <v>10</v>
      </c>
      <c r="E10338" s="2" t="str">
        <f>HYPERLINK("http://ts.21cn.com/tousu/show/id/1341551","http://ts.21cn.com/tousu/show/id/1341551")</f>
        <v>http://ts.21cn.com/tousu/show/id/1341551</v>
      </c>
      <c r="F10338" s="2" t="s">
        <v>11</v>
      </c>
      <c r="G10338" s="2" t="s">
        <v>23826</v>
      </c>
      <c r="H10338" s="2" t="s">
        <v>23827</v>
      </c>
    </row>
    <row r="10339" spans="1:8" ht="25.05" customHeight="1" x14ac:dyDescent="0.25">
      <c r="A10339" s="2" t="s">
        <v>8</v>
      </c>
      <c r="B10339" s="2" t="str">
        <f>HYPERLINK("http://ts.21cn.com/tousu/show/id/1341520","平安普惠暴力催收")</f>
        <v>平安普惠暴力催收</v>
      </c>
      <c r="C10339" s="2" t="s">
        <v>9</v>
      </c>
      <c r="D10339" s="2" t="s">
        <v>10</v>
      </c>
      <c r="E10339" s="2" t="str">
        <f>HYPERLINK("http://ts.21cn.com/tousu/show/id/1341520","http://ts.21cn.com/tousu/show/id/1341520")</f>
        <v>http://ts.21cn.com/tousu/show/id/1341520</v>
      </c>
      <c r="F10339" s="2" t="s">
        <v>11</v>
      </c>
      <c r="G10339" s="2" t="s">
        <v>23824</v>
      </c>
      <c r="H10339" s="2" t="s">
        <v>23825</v>
      </c>
    </row>
    <row r="10340" spans="1:8" ht="25.05" customHeight="1" x14ac:dyDescent="0.25">
      <c r="A10340" s="2" t="s">
        <v>8</v>
      </c>
      <c r="B10340" s="2" t="str">
        <f>HYPERLINK("http://ts.21cn.com/tousu/show/id/1341540","捷慧金融不合法进行网贷")</f>
        <v>捷慧金融不合法进行网贷</v>
      </c>
      <c r="C10340" s="2" t="s">
        <v>9</v>
      </c>
      <c r="D10340" s="2" t="s">
        <v>10</v>
      </c>
      <c r="E10340" s="2" t="str">
        <f>HYPERLINK("http://ts.21cn.com/tousu/show/id/1341540","http://ts.21cn.com/tousu/show/id/1341540")</f>
        <v>http://ts.21cn.com/tousu/show/id/1341540</v>
      </c>
      <c r="F10340" s="2" t="s">
        <v>11</v>
      </c>
      <c r="G10340" s="2" t="s">
        <v>23822</v>
      </c>
      <c r="H10340" s="2" t="s">
        <v>23823</v>
      </c>
    </row>
    <row r="10341" spans="1:8" ht="25.05" customHeight="1" x14ac:dyDescent="0.25">
      <c r="A10341" s="2" t="s">
        <v>8</v>
      </c>
      <c r="B10341" s="2" t="str">
        <f>HYPERLINK("http://ts.21cn.com/tousu/show/id/1341554","平安贷款不能主动还款，只能系统划扣，超过划扣时间，只能等着逾期")</f>
        <v>平安贷款不能主动还款，只能系统划扣，超过划扣时间，只能等着逾期</v>
      </c>
      <c r="C10341" s="2" t="s">
        <v>9</v>
      </c>
      <c r="D10341" s="2" t="s">
        <v>10</v>
      </c>
      <c r="E10341" s="2" t="str">
        <f>HYPERLINK("http://ts.21cn.com/tousu/show/id/1341554","http://ts.21cn.com/tousu/show/id/1341554")</f>
        <v>http://ts.21cn.com/tousu/show/id/1341554</v>
      </c>
      <c r="F10341" s="2" t="s">
        <v>11</v>
      </c>
      <c r="G10341" s="2" t="s">
        <v>23819</v>
      </c>
      <c r="H10341" s="2" t="s">
        <v>23820</v>
      </c>
    </row>
    <row r="10342" spans="1:8" ht="25.05" customHeight="1" x14ac:dyDescent="0.25">
      <c r="A10342" s="2" t="s">
        <v>8</v>
      </c>
      <c r="B10342" s="2" t="str">
        <f>HYPERLINK("http://ts.21cn.com/tousu/show/id/1341555","暴力催收")</f>
        <v>暴力催收</v>
      </c>
      <c r="C10342" s="2" t="s">
        <v>9</v>
      </c>
      <c r="D10342" s="2" t="s">
        <v>10</v>
      </c>
      <c r="E10342" s="2" t="str">
        <f>HYPERLINK("http://ts.21cn.com/tousu/show/id/1341555","http://ts.21cn.com/tousu/show/id/1341555")</f>
        <v>http://ts.21cn.com/tousu/show/id/1341555</v>
      </c>
      <c r="F10342" s="2" t="s">
        <v>11</v>
      </c>
      <c r="G10342" s="2" t="s">
        <v>23819</v>
      </c>
      <c r="H10342" s="2" t="s">
        <v>23821</v>
      </c>
    </row>
    <row r="10343" spans="1:8" ht="25.05" customHeight="1" x14ac:dyDescent="0.25">
      <c r="A10343" s="2" t="s">
        <v>8</v>
      </c>
      <c r="B10343" s="2" t="str">
        <f>HYPERLINK("http://ts.21cn.com/tousu/show/id/1341556","你我贷恶意扣款")</f>
        <v>你我贷恶意扣款</v>
      </c>
      <c r="C10343" s="2" t="s">
        <v>9</v>
      </c>
      <c r="D10343" s="2" t="s">
        <v>10</v>
      </c>
      <c r="E10343" s="2" t="str">
        <f>HYPERLINK("http://ts.21cn.com/tousu/show/id/1341556","http://ts.21cn.com/tousu/show/id/1341556")</f>
        <v>http://ts.21cn.com/tousu/show/id/1341556</v>
      </c>
      <c r="F10343" s="2" t="s">
        <v>11</v>
      </c>
      <c r="G10343" s="2" t="s">
        <v>23817</v>
      </c>
      <c r="H10343" s="2" t="s">
        <v>23818</v>
      </c>
    </row>
    <row r="10344" spans="1:8" ht="25.05" customHeight="1" x14ac:dyDescent="0.25">
      <c r="A10344" s="2" t="s">
        <v>8</v>
      </c>
      <c r="B10344" s="2" t="str">
        <f>HYPERLINK("http://ts.21cn.com/tousu/show/id/1341557","京东白条骚扰欠款人通讯录，泄露联系人隐私，暴力催收，威胁上门")</f>
        <v>京东白条骚扰欠款人通讯录，泄露联系人隐私，暴力催收，威胁上门</v>
      </c>
      <c r="C10344" s="2" t="s">
        <v>9</v>
      </c>
      <c r="D10344" s="2" t="s">
        <v>10</v>
      </c>
      <c r="E10344" s="2" t="str">
        <f>HYPERLINK("http://ts.21cn.com/tousu/show/id/1341557","http://ts.21cn.com/tousu/show/id/1341557")</f>
        <v>http://ts.21cn.com/tousu/show/id/1341557</v>
      </c>
      <c r="F10344" s="2" t="s">
        <v>11</v>
      </c>
      <c r="G10344" s="2" t="s">
        <v>23815</v>
      </c>
      <c r="H10344" s="2" t="s">
        <v>23816</v>
      </c>
    </row>
    <row r="10345" spans="1:8" ht="25.05" customHeight="1" x14ac:dyDescent="0.25">
      <c r="A10345" s="2" t="s">
        <v>8</v>
      </c>
      <c r="B10345" s="2" t="str">
        <f>HYPERLINK("http://ts.21cn.com/tousu/show/id/1341558","马上金融换了好几次催收，频繁骚扰，威胁恐吓")</f>
        <v>马上金融换了好几次催收，频繁骚扰，威胁恐吓</v>
      </c>
      <c r="C10345" s="2" t="s">
        <v>9</v>
      </c>
      <c r="D10345" s="2" t="s">
        <v>10</v>
      </c>
      <c r="E10345" s="2" t="str">
        <f>HYPERLINK("http://ts.21cn.com/tousu/show/id/1341558","http://ts.21cn.com/tousu/show/id/1341558")</f>
        <v>http://ts.21cn.com/tousu/show/id/1341558</v>
      </c>
      <c r="F10345" s="2" t="s">
        <v>11</v>
      </c>
      <c r="G10345" s="2" t="s">
        <v>23813</v>
      </c>
      <c r="H10345" s="2" t="s">
        <v>23814</v>
      </c>
    </row>
    <row r="10346" spans="1:8" ht="25.05" customHeight="1" x14ac:dyDescent="0.25">
      <c r="A10346" s="2" t="s">
        <v>8</v>
      </c>
      <c r="B10346" s="2" t="str">
        <f>HYPERLINK("http://ts.21cn.com/tousu/show/id/1341511","科沃斯扫地机器人无规律扫地，漏扫")</f>
        <v>科沃斯扫地机器人无规律扫地，漏扫</v>
      </c>
      <c r="C10346" s="2" t="s">
        <v>34</v>
      </c>
      <c r="D10346" s="2" t="s">
        <v>10</v>
      </c>
      <c r="E10346" s="2" t="str">
        <f>HYPERLINK("http://ts.21cn.com/tousu/show/id/1341511","http://ts.21cn.com/tousu/show/id/1341511")</f>
        <v>http://ts.21cn.com/tousu/show/id/1341511</v>
      </c>
      <c r="F10346" s="2" t="s">
        <v>11</v>
      </c>
      <c r="G10346" s="2" t="s">
        <v>23811</v>
      </c>
      <c r="H10346" s="2" t="s">
        <v>23812</v>
      </c>
    </row>
    <row r="10347" spans="1:8" ht="25.05" customHeight="1" x14ac:dyDescent="0.25">
      <c r="A10347" s="2" t="s">
        <v>8</v>
      </c>
      <c r="B10347" s="2" t="str">
        <f>HYPERLINK("http://ts.21cn.com/tousu/show/id/1341561","高利息联系结清")</f>
        <v>高利息联系结清</v>
      </c>
      <c r="C10347" s="2" t="s">
        <v>34</v>
      </c>
      <c r="D10347" s="2" t="s">
        <v>10</v>
      </c>
      <c r="E10347" s="2" t="str">
        <f>HYPERLINK("http://ts.21cn.com/tousu/show/id/1341561","http://ts.21cn.com/tousu/show/id/1341561")</f>
        <v>http://ts.21cn.com/tousu/show/id/1341561</v>
      </c>
      <c r="F10347" s="2" t="s">
        <v>11</v>
      </c>
      <c r="G10347" s="2" t="s">
        <v>23809</v>
      </c>
      <c r="H10347" s="2" t="s">
        <v>23810</v>
      </c>
    </row>
    <row r="10348" spans="1:8" ht="25.05" customHeight="1" x14ac:dyDescent="0.25">
      <c r="A10348" s="2" t="s">
        <v>8</v>
      </c>
      <c r="B10348" s="2" t="str">
        <f>HYPERLINK("http://ts.21cn.com/tousu/show/id/1341560","利息过高，协商处理还款")</f>
        <v>利息过高，协商处理还款</v>
      </c>
      <c r="C10348" s="2" t="s">
        <v>34</v>
      </c>
      <c r="D10348" s="2" t="s">
        <v>10</v>
      </c>
      <c r="E10348" s="2" t="str">
        <f>HYPERLINK("http://ts.21cn.com/tousu/show/id/1341560","http://ts.21cn.com/tousu/show/id/1341560")</f>
        <v>http://ts.21cn.com/tousu/show/id/1341560</v>
      </c>
      <c r="F10348" s="2" t="s">
        <v>11</v>
      </c>
      <c r="G10348" s="2" t="s">
        <v>23807</v>
      </c>
      <c r="H10348" s="2" t="s">
        <v>23808</v>
      </c>
    </row>
    <row r="10349" spans="1:8" ht="25.05" customHeight="1" x14ac:dyDescent="0.25">
      <c r="A10349" s="2" t="s">
        <v>8</v>
      </c>
      <c r="B10349" s="2" t="str">
        <f>HYPERLINK("http://ts.21cn.com/tousu/show/id/1341562","高利贷，阴阳合同，砍头息")</f>
        <v>高利贷，阴阳合同，砍头息</v>
      </c>
      <c r="C10349" s="2" t="s">
        <v>9</v>
      </c>
      <c r="D10349" s="2" t="s">
        <v>10</v>
      </c>
      <c r="E10349" s="2" t="str">
        <f>HYPERLINK("http://ts.21cn.com/tousu/show/id/1341562","http://ts.21cn.com/tousu/show/id/1341562")</f>
        <v>http://ts.21cn.com/tousu/show/id/1341562</v>
      </c>
      <c r="F10349" s="2" t="s">
        <v>11</v>
      </c>
      <c r="G10349" s="2" t="s">
        <v>23805</v>
      </c>
      <c r="H10349" s="2" t="s">
        <v>23806</v>
      </c>
    </row>
    <row r="10350" spans="1:8" ht="25.05" customHeight="1" x14ac:dyDescent="0.25">
      <c r="A10350" s="2" t="s">
        <v>8</v>
      </c>
      <c r="B10350" s="2" t="str">
        <f>HYPERLINK("http://ts.21cn.com/tousu/show/id/1341563","钱站高利贷砍头息暴力催收")</f>
        <v>钱站高利贷砍头息暴力催收</v>
      </c>
      <c r="C10350" s="2" t="s">
        <v>9</v>
      </c>
      <c r="D10350" s="2" t="s">
        <v>10</v>
      </c>
      <c r="E10350" s="2" t="str">
        <f>HYPERLINK("http://ts.21cn.com/tousu/show/id/1341563","http://ts.21cn.com/tousu/show/id/1341563")</f>
        <v>http://ts.21cn.com/tousu/show/id/1341563</v>
      </c>
      <c r="F10350" s="2" t="s">
        <v>11</v>
      </c>
      <c r="G10350" s="2" t="s">
        <v>23803</v>
      </c>
      <c r="H10350" s="2" t="s">
        <v>23804</v>
      </c>
    </row>
    <row r="10351" spans="1:8" ht="25.05" customHeight="1" x14ac:dyDescent="0.25">
      <c r="A10351" s="2" t="s">
        <v>8</v>
      </c>
      <c r="B10351" s="2" t="str">
        <f>HYPERLINK("http://ts.21cn.com/tousu/show/id/1341566","百事普惠恶意扣款")</f>
        <v>百事普惠恶意扣款</v>
      </c>
      <c r="C10351" s="2" t="s">
        <v>9</v>
      </c>
      <c r="D10351" s="2" t="s">
        <v>10</v>
      </c>
      <c r="E10351" s="2" t="str">
        <f>HYPERLINK("http://ts.21cn.com/tousu/show/id/1341566","http://ts.21cn.com/tousu/show/id/1341566")</f>
        <v>http://ts.21cn.com/tousu/show/id/1341566</v>
      </c>
      <c r="F10351" s="2" t="s">
        <v>11</v>
      </c>
      <c r="G10351" s="2" t="s">
        <v>23801</v>
      </c>
      <c r="H10351" s="2" t="s">
        <v>23802</v>
      </c>
    </row>
    <row r="10352" spans="1:8" ht="25.05" customHeight="1" x14ac:dyDescent="0.25">
      <c r="A10352" s="2" t="s">
        <v>8</v>
      </c>
      <c r="B10352" s="2" t="str">
        <f>HYPERLINK("http://ts.21cn.com/tousu/show/id/1341568","捷信外包公司恐吓我去我村里")</f>
        <v>捷信外包公司恐吓我去我村里</v>
      </c>
      <c r="C10352" s="2" t="s">
        <v>9</v>
      </c>
      <c r="D10352" s="2" t="s">
        <v>10</v>
      </c>
      <c r="E10352" s="2" t="str">
        <f>HYPERLINK("http://ts.21cn.com/tousu/show/id/1341568","http://ts.21cn.com/tousu/show/id/1341568")</f>
        <v>http://ts.21cn.com/tousu/show/id/1341568</v>
      </c>
      <c r="F10352" s="2" t="s">
        <v>11</v>
      </c>
      <c r="G10352" s="2" t="s">
        <v>23799</v>
      </c>
      <c r="H10352" s="2" t="s">
        <v>23800</v>
      </c>
    </row>
    <row r="10353" spans="1:8" ht="25.05" customHeight="1" x14ac:dyDescent="0.25">
      <c r="A10353" s="2" t="s">
        <v>8</v>
      </c>
      <c r="B10353" s="2" t="str">
        <f>HYPERLINK("http://ts.21cn.com/tousu/show/id/1341569","高利息")</f>
        <v>高利息</v>
      </c>
      <c r="C10353" s="2" t="s">
        <v>9</v>
      </c>
      <c r="D10353" s="2" t="s">
        <v>10</v>
      </c>
      <c r="E10353" s="2" t="str">
        <f>HYPERLINK("http://ts.21cn.com/tousu/show/id/1341569","http://ts.21cn.com/tousu/show/id/1341569")</f>
        <v>http://ts.21cn.com/tousu/show/id/1341569</v>
      </c>
      <c r="F10353" s="2" t="s">
        <v>11</v>
      </c>
      <c r="G10353" s="2" t="s">
        <v>23797</v>
      </c>
      <c r="H10353" s="2" t="s">
        <v>23798</v>
      </c>
    </row>
    <row r="10354" spans="1:8" ht="25.05" customHeight="1" x14ac:dyDescent="0.25">
      <c r="A10354" s="2" t="s">
        <v>8</v>
      </c>
      <c r="B10354" s="2" t="str">
        <f>HYPERLINK("http://ts.21cn.com/tousu/show/id/1341570","翔宇管家虚假宣传，误导办卡，要求退款")</f>
        <v>翔宇管家虚假宣传，误导办卡，要求退款</v>
      </c>
      <c r="C10354" s="2" t="s">
        <v>9</v>
      </c>
      <c r="D10354" s="2" t="s">
        <v>10</v>
      </c>
      <c r="E10354" s="2" t="str">
        <f>HYPERLINK("http://ts.21cn.com/tousu/show/id/1341570","http://ts.21cn.com/tousu/show/id/1341570")</f>
        <v>http://ts.21cn.com/tousu/show/id/1341570</v>
      </c>
      <c r="F10354" s="2" t="s">
        <v>11</v>
      </c>
      <c r="G10354" s="2" t="s">
        <v>23795</v>
      </c>
      <c r="H10354" s="2" t="s">
        <v>23796</v>
      </c>
    </row>
    <row r="10355" spans="1:8" ht="25.05" customHeight="1" x14ac:dyDescent="0.25">
      <c r="A10355" s="2" t="s">
        <v>8</v>
      </c>
      <c r="B10355" s="2" t="str">
        <f>HYPERLINK("http://ts.21cn.com/tousu/show/id/1341572","催收和起诉问题")</f>
        <v>催收和起诉问题</v>
      </c>
      <c r="C10355" s="2" t="s">
        <v>9</v>
      </c>
      <c r="D10355" s="2" t="s">
        <v>10</v>
      </c>
      <c r="E10355" s="2" t="str">
        <f>HYPERLINK("http://ts.21cn.com/tousu/show/id/1341572","http://ts.21cn.com/tousu/show/id/1341572")</f>
        <v>http://ts.21cn.com/tousu/show/id/1341572</v>
      </c>
      <c r="F10355" s="2" t="s">
        <v>11</v>
      </c>
      <c r="G10355" s="2" t="s">
        <v>23793</v>
      </c>
      <c r="H10355" s="2" t="s">
        <v>23794</v>
      </c>
    </row>
    <row r="10356" spans="1:8" ht="25.05" customHeight="1" x14ac:dyDescent="0.25">
      <c r="A10356" s="2" t="s">
        <v>8</v>
      </c>
      <c r="B10356" s="2" t="str">
        <f>HYPERLINK("http://ts.21cn.com/tousu/show/id/1341571","掌众金服下的闪电借款砍头息，高利贷")</f>
        <v>掌众金服下的闪电借款砍头息，高利贷</v>
      </c>
      <c r="C10356" s="2" t="s">
        <v>9</v>
      </c>
      <c r="D10356" s="2" t="s">
        <v>10</v>
      </c>
      <c r="E10356" s="2" t="str">
        <f>HYPERLINK("http://ts.21cn.com/tousu/show/id/1341571","http://ts.21cn.com/tousu/show/id/1341571")</f>
        <v>http://ts.21cn.com/tousu/show/id/1341571</v>
      </c>
      <c r="F10356" s="2" t="s">
        <v>11</v>
      </c>
      <c r="G10356" s="2" t="s">
        <v>23791</v>
      </c>
      <c r="H10356" s="2" t="s">
        <v>23792</v>
      </c>
    </row>
    <row r="10357" spans="1:8" ht="25.05" customHeight="1" x14ac:dyDescent="0.25">
      <c r="A10357" s="2" t="s">
        <v>8</v>
      </c>
      <c r="B10357" s="2" t="str">
        <f>HYPERLINK("http://ts.21cn.com/tousu/show/id/1341573","在闲鱼上买了一部手机发现是假货和卖家描述不一致卖家联系卖家卖家不理")</f>
        <v>在闲鱼上买了一部手机发现是假货和卖家描述不一致卖家联系卖家卖家不理</v>
      </c>
      <c r="C10357" s="2" t="s">
        <v>34</v>
      </c>
      <c r="D10357" s="2" t="s">
        <v>10</v>
      </c>
      <c r="E10357" s="2" t="str">
        <f>HYPERLINK("http://ts.21cn.com/tousu/show/id/1341573","http://ts.21cn.com/tousu/show/id/1341573")</f>
        <v>http://ts.21cn.com/tousu/show/id/1341573</v>
      </c>
      <c r="F10357" s="2" t="s">
        <v>11</v>
      </c>
      <c r="G10357" s="2" t="s">
        <v>23789</v>
      </c>
      <c r="H10357" s="2" t="s">
        <v>23790</v>
      </c>
    </row>
    <row r="10358" spans="1:8" ht="25.05" customHeight="1" x14ac:dyDescent="0.25">
      <c r="A10358" s="2" t="s">
        <v>8</v>
      </c>
      <c r="B10358" s="2" t="str">
        <f>HYPERLINK("http://ts.21cn.com/tousu/show/id/1341574","北京现代车店失言")</f>
        <v>北京现代车店失言</v>
      </c>
      <c r="C10358" s="2" t="s">
        <v>9</v>
      </c>
      <c r="D10358" s="2" t="s">
        <v>10</v>
      </c>
      <c r="E10358" s="2" t="str">
        <f>HYPERLINK("http://ts.21cn.com/tousu/show/id/1341574","http://ts.21cn.com/tousu/show/id/1341574")</f>
        <v>http://ts.21cn.com/tousu/show/id/1341574</v>
      </c>
      <c r="F10358" s="2" t="s">
        <v>11</v>
      </c>
      <c r="G10358" s="2" t="s">
        <v>23787</v>
      </c>
      <c r="H10358" s="2" t="s">
        <v>23788</v>
      </c>
    </row>
    <row r="10359" spans="1:8" ht="25.05" customHeight="1" x14ac:dyDescent="0.25">
      <c r="A10359" s="2" t="s">
        <v>8</v>
      </c>
      <c r="B10359" s="2" t="str">
        <f>HYPERLINK("http://ts.21cn.com/tousu/show/id/1341575","北京友缘在线网络科技股份有限公司自动扣费")</f>
        <v>北京友缘在线网络科技股份有限公司自动扣费</v>
      </c>
      <c r="C10359" s="2" t="s">
        <v>34</v>
      </c>
      <c r="D10359" s="2" t="s">
        <v>10</v>
      </c>
      <c r="E10359" s="2" t="str">
        <f>HYPERLINK("http://ts.21cn.com/tousu/show/id/1341575","http://ts.21cn.com/tousu/show/id/1341575")</f>
        <v>http://ts.21cn.com/tousu/show/id/1341575</v>
      </c>
      <c r="F10359" s="2" t="s">
        <v>11</v>
      </c>
      <c r="G10359" s="2" t="s">
        <v>23786</v>
      </c>
      <c r="H10359" s="2" t="s">
        <v>8304</v>
      </c>
    </row>
    <row r="10360" spans="1:8" ht="25.05" customHeight="1" x14ac:dyDescent="0.25">
      <c r="A10360" s="2" t="s">
        <v>8</v>
      </c>
      <c r="B10360" s="2" t="str">
        <f>HYPERLINK("http://ts.21cn.com/tousu/show/id/1341577","分期通恶意收取会员费用")</f>
        <v>分期通恶意收取会员费用</v>
      </c>
      <c r="C10360" s="2" t="s">
        <v>9</v>
      </c>
      <c r="D10360" s="2" t="s">
        <v>10</v>
      </c>
      <c r="E10360" s="2" t="str">
        <f>HYPERLINK("http://ts.21cn.com/tousu/show/id/1341577","http://ts.21cn.com/tousu/show/id/1341577")</f>
        <v>http://ts.21cn.com/tousu/show/id/1341577</v>
      </c>
      <c r="F10360" s="2" t="s">
        <v>11</v>
      </c>
      <c r="G10360" s="2" t="s">
        <v>23784</v>
      </c>
      <c r="H10360" s="2" t="s">
        <v>23785</v>
      </c>
    </row>
    <row r="10361" spans="1:8" ht="25.05" customHeight="1" x14ac:dyDescent="0.25">
      <c r="A10361" s="2" t="s">
        <v>8</v>
      </c>
      <c r="B10361" s="2" t="str">
        <f>HYPERLINK("http://ts.21cn.com/tousu/show/id/1341576","及贷.ppmoney暴力催收")</f>
        <v>及贷.ppmoney暴力催收</v>
      </c>
      <c r="C10361" s="2" t="s">
        <v>9</v>
      </c>
      <c r="D10361" s="2" t="s">
        <v>10</v>
      </c>
      <c r="E10361" s="2" t="str">
        <f>HYPERLINK("http://ts.21cn.com/tousu/show/id/1341576","http://ts.21cn.com/tousu/show/id/1341576")</f>
        <v>http://ts.21cn.com/tousu/show/id/1341576</v>
      </c>
      <c r="F10361" s="2" t="s">
        <v>11</v>
      </c>
      <c r="G10361" s="2" t="s">
        <v>23781</v>
      </c>
      <c r="H10361" s="2" t="s">
        <v>23782</v>
      </c>
    </row>
    <row r="10362" spans="1:8" ht="25.05" customHeight="1" x14ac:dyDescent="0.25">
      <c r="A10362" s="2" t="s">
        <v>8</v>
      </c>
      <c r="B10362" s="2" t="str">
        <f>HYPERLINK("http://ts.21cn.com/tousu/show/id/1341382","交了工本费不下款私自改银行卡卡号")</f>
        <v>交了工本费不下款私自改银行卡卡号</v>
      </c>
      <c r="C10362" s="2" t="s">
        <v>9</v>
      </c>
      <c r="D10362" s="2" t="s">
        <v>10</v>
      </c>
      <c r="E10362" s="2" t="str">
        <f>HYPERLINK("http://ts.21cn.com/tousu/show/id/1341382","http://ts.21cn.com/tousu/show/id/1341382")</f>
        <v>http://ts.21cn.com/tousu/show/id/1341382</v>
      </c>
      <c r="F10362" s="2" t="s">
        <v>11</v>
      </c>
      <c r="G10362" s="2" t="s">
        <v>23781</v>
      </c>
      <c r="H10362" s="2" t="s">
        <v>23783</v>
      </c>
    </row>
    <row r="10363" spans="1:8" ht="25.05" customHeight="1" x14ac:dyDescent="0.25">
      <c r="A10363" s="2" t="s">
        <v>8</v>
      </c>
      <c r="B10363" s="2" t="str">
        <f>HYPERLINK("http://ts.21cn.com/tousu/show/id/1341559","巨皇教育学费退款")</f>
        <v>巨皇教育学费退款</v>
      </c>
      <c r="C10363" s="2" t="s">
        <v>9</v>
      </c>
      <c r="D10363" s="2" t="s">
        <v>10</v>
      </c>
      <c r="E10363" s="2" t="str">
        <f>HYPERLINK("http://ts.21cn.com/tousu/show/id/1341559","http://ts.21cn.com/tousu/show/id/1341559")</f>
        <v>http://ts.21cn.com/tousu/show/id/1341559</v>
      </c>
      <c r="F10363" s="2" t="s">
        <v>11</v>
      </c>
      <c r="G10363" s="2" t="s">
        <v>23779</v>
      </c>
      <c r="H10363" s="2" t="s">
        <v>23780</v>
      </c>
    </row>
    <row r="10364" spans="1:8" ht="25.05" customHeight="1" x14ac:dyDescent="0.25">
      <c r="A10364" s="2" t="s">
        <v>8</v>
      </c>
      <c r="B10364" s="2" t="str">
        <f>HYPERLINK("http://ts.21cn.com/tousu/show/id/1341581","豹子贷无故扣钱不需要还要扣")</f>
        <v>豹子贷无故扣钱不需要还要扣</v>
      </c>
      <c r="C10364" s="2" t="s">
        <v>34</v>
      </c>
      <c r="D10364" s="2" t="s">
        <v>10</v>
      </c>
      <c r="E10364" s="2" t="str">
        <f>HYPERLINK("http://ts.21cn.com/tousu/show/id/1341581","http://ts.21cn.com/tousu/show/id/1341581")</f>
        <v>http://ts.21cn.com/tousu/show/id/1341581</v>
      </c>
      <c r="F10364" s="2" t="s">
        <v>11</v>
      </c>
      <c r="G10364" s="2" t="s">
        <v>23776</v>
      </c>
      <c r="H10364" s="2" t="s">
        <v>23777</v>
      </c>
    </row>
    <row r="10365" spans="1:8" ht="25.05" customHeight="1" x14ac:dyDescent="0.25">
      <c r="A10365" s="2" t="s">
        <v>8</v>
      </c>
      <c r="B10365" s="2" t="str">
        <f>HYPERLINK("http://ts.21cn.com/tousu/show/id/1341578","百事普惠私自扣款")</f>
        <v>百事普惠私自扣款</v>
      </c>
      <c r="C10365" s="2" t="s">
        <v>9</v>
      </c>
      <c r="D10365" s="2" t="s">
        <v>10</v>
      </c>
      <c r="E10365" s="2" t="str">
        <f>HYPERLINK("http://ts.21cn.com/tousu/show/id/1341578","http://ts.21cn.com/tousu/show/id/1341578")</f>
        <v>http://ts.21cn.com/tousu/show/id/1341578</v>
      </c>
      <c r="F10365" s="2" t="s">
        <v>11</v>
      </c>
      <c r="G10365" s="2" t="s">
        <v>23776</v>
      </c>
      <c r="H10365" s="2" t="s">
        <v>23778</v>
      </c>
    </row>
    <row r="10366" spans="1:8" ht="25.05" customHeight="1" x14ac:dyDescent="0.25">
      <c r="A10366" s="2" t="s">
        <v>8</v>
      </c>
      <c r="B10366" s="2" t="str">
        <f>HYPERLINK("http://ts.21cn.com/tousu/show/id/1341579","小黑鲨高利贷")</f>
        <v>小黑鲨高利贷</v>
      </c>
      <c r="C10366" s="2" t="s">
        <v>9</v>
      </c>
      <c r="D10366" s="2" t="s">
        <v>10</v>
      </c>
      <c r="E10366" s="2" t="str">
        <f>HYPERLINK("http://ts.21cn.com/tousu/show/id/1341579","http://ts.21cn.com/tousu/show/id/1341579")</f>
        <v>http://ts.21cn.com/tousu/show/id/1341579</v>
      </c>
      <c r="F10366" s="2" t="s">
        <v>11</v>
      </c>
      <c r="G10366" s="2" t="s">
        <v>23774</v>
      </c>
      <c r="H10366" s="2" t="s">
        <v>23775</v>
      </c>
    </row>
    <row r="10367" spans="1:8" ht="25.05" customHeight="1" x14ac:dyDescent="0.25">
      <c r="A10367" s="2" t="s">
        <v>8</v>
      </c>
      <c r="B10367" s="2" t="str">
        <f>HYPERLINK("http://ts.21cn.com/tousu/show/id/1341580","变相收费")</f>
        <v>变相收费</v>
      </c>
      <c r="C10367" s="2" t="s">
        <v>9</v>
      </c>
      <c r="D10367" s="2" t="s">
        <v>10</v>
      </c>
      <c r="E10367" s="2" t="str">
        <f>HYPERLINK("http://ts.21cn.com/tousu/show/id/1341580","http://ts.21cn.com/tousu/show/id/1341580")</f>
        <v>http://ts.21cn.com/tousu/show/id/1341580</v>
      </c>
      <c r="F10367" s="2" t="s">
        <v>11</v>
      </c>
      <c r="G10367" s="2" t="s">
        <v>23772</v>
      </c>
      <c r="H10367" s="2" t="s">
        <v>23773</v>
      </c>
    </row>
    <row r="10368" spans="1:8" ht="25.05" customHeight="1" x14ac:dyDescent="0.25">
      <c r="A10368" s="2" t="s">
        <v>8</v>
      </c>
      <c r="B10368" s="2" t="str">
        <f>HYPERLINK("http://ts.21cn.com/tousu/show/id/1341553","网贷公司冒充公安局")</f>
        <v>网贷公司冒充公安局</v>
      </c>
      <c r="C10368" s="2" t="s">
        <v>9</v>
      </c>
      <c r="D10368" s="2" t="s">
        <v>10</v>
      </c>
      <c r="E10368" s="2" t="str">
        <f>HYPERLINK("http://ts.21cn.com/tousu/show/id/1341553","http://ts.21cn.com/tousu/show/id/1341553")</f>
        <v>http://ts.21cn.com/tousu/show/id/1341553</v>
      </c>
      <c r="F10368" s="2" t="s">
        <v>11</v>
      </c>
      <c r="G10368" s="2" t="s">
        <v>23770</v>
      </c>
      <c r="H10368" s="2" t="s">
        <v>23771</v>
      </c>
    </row>
    <row r="10369" spans="1:8" ht="25.05" customHeight="1" x14ac:dyDescent="0.25">
      <c r="A10369" s="2" t="s">
        <v>8</v>
      </c>
      <c r="B10369" s="2" t="str">
        <f>HYPERLINK("http://ts.21cn.com/tousu/show/id/1341565","西部明珠会员卡虚假宣传诱导消费")</f>
        <v>西部明珠会员卡虚假宣传诱导消费</v>
      </c>
      <c r="C10369" s="2" t="s">
        <v>9</v>
      </c>
      <c r="D10369" s="2" t="s">
        <v>10</v>
      </c>
      <c r="E10369" s="2" t="str">
        <f>HYPERLINK("http://ts.21cn.com/tousu/show/id/1341565","http://ts.21cn.com/tousu/show/id/1341565")</f>
        <v>http://ts.21cn.com/tousu/show/id/1341565</v>
      </c>
      <c r="F10369" s="2" t="s">
        <v>11</v>
      </c>
      <c r="G10369" s="2" t="s">
        <v>23768</v>
      </c>
      <c r="H10369" s="2" t="s">
        <v>23769</v>
      </c>
    </row>
    <row r="10370" spans="1:8" ht="25.05" customHeight="1" x14ac:dyDescent="0.25">
      <c r="A10370" s="2" t="s">
        <v>8</v>
      </c>
      <c r="B10370" s="2" t="str">
        <f>HYPERLINK("http://ts.21cn.com/tousu/show/id/1341582","交通银行信用卡委托第三方暴力催收")</f>
        <v>交通银行信用卡委托第三方暴力催收</v>
      </c>
      <c r="C10370" s="2" t="s">
        <v>9</v>
      </c>
      <c r="D10370" s="2" t="s">
        <v>10</v>
      </c>
      <c r="E10370" s="2" t="str">
        <f>HYPERLINK("http://ts.21cn.com/tousu/show/id/1341582","http://ts.21cn.com/tousu/show/id/1341582")</f>
        <v>http://ts.21cn.com/tousu/show/id/1341582</v>
      </c>
      <c r="F10370" s="2" t="s">
        <v>11</v>
      </c>
      <c r="G10370" s="2" t="s">
        <v>23766</v>
      </c>
      <c r="H10370" s="2" t="s">
        <v>23767</v>
      </c>
    </row>
    <row r="10371" spans="1:8" ht="25.05" customHeight="1" x14ac:dyDescent="0.25">
      <c r="A10371" s="2" t="s">
        <v>8</v>
      </c>
      <c r="B10371" s="2" t="str">
        <f>HYPERLINK("http://ts.21cn.com/tousu/show/id/1341583","借了钱利息太高想还钱还不了")</f>
        <v>借了钱利息太高想还钱还不了</v>
      </c>
      <c r="C10371" s="2" t="s">
        <v>9</v>
      </c>
      <c r="D10371" s="2" t="s">
        <v>10</v>
      </c>
      <c r="E10371" s="2" t="str">
        <f>HYPERLINK("http://ts.21cn.com/tousu/show/id/1341583","http://ts.21cn.com/tousu/show/id/1341583")</f>
        <v>http://ts.21cn.com/tousu/show/id/1341583</v>
      </c>
      <c r="F10371" s="2" t="s">
        <v>11</v>
      </c>
      <c r="G10371" s="2" t="s">
        <v>23764</v>
      </c>
      <c r="H10371" s="2" t="s">
        <v>23765</v>
      </c>
    </row>
    <row r="10372" spans="1:8" ht="25.05" customHeight="1" x14ac:dyDescent="0.25">
      <c r="A10372" s="2" t="s">
        <v>8</v>
      </c>
      <c r="B10372" s="2" t="str">
        <f>HYPERLINK("http://ts.21cn.com/tousu/show/id/1341584","账号资金被冻结")</f>
        <v>账号资金被冻结</v>
      </c>
      <c r="C10372" s="2" t="s">
        <v>9</v>
      </c>
      <c r="D10372" s="2" t="s">
        <v>10</v>
      </c>
      <c r="E10372" s="2" t="str">
        <f>HYPERLINK("http://ts.21cn.com/tousu/show/id/1341584","http://ts.21cn.com/tousu/show/id/1341584")</f>
        <v>http://ts.21cn.com/tousu/show/id/1341584</v>
      </c>
      <c r="F10372" s="2" t="s">
        <v>11</v>
      </c>
      <c r="G10372" s="2" t="s">
        <v>23762</v>
      </c>
      <c r="H10372" s="2" t="s">
        <v>23763</v>
      </c>
    </row>
    <row r="10373" spans="1:8" ht="25.05" customHeight="1" x14ac:dyDescent="0.25">
      <c r="A10373" s="2" t="s">
        <v>8</v>
      </c>
      <c r="B10373" s="2" t="str">
        <f>HYPERLINK("http://ts.21cn.com/tousu/show/id/1341587","交通银行逾期恶意骚扰催收")</f>
        <v>交通银行逾期恶意骚扰催收</v>
      </c>
      <c r="C10373" s="2" t="s">
        <v>9</v>
      </c>
      <c r="D10373" s="2" t="s">
        <v>10</v>
      </c>
      <c r="E10373" s="2" t="str">
        <f>HYPERLINK("http://ts.21cn.com/tousu/show/id/1341587","http://ts.21cn.com/tousu/show/id/1341587")</f>
        <v>http://ts.21cn.com/tousu/show/id/1341587</v>
      </c>
      <c r="F10373" s="2" t="s">
        <v>11</v>
      </c>
      <c r="G10373" s="2" t="s">
        <v>23760</v>
      </c>
      <c r="H10373" s="2" t="s">
        <v>23761</v>
      </c>
    </row>
    <row r="10374" spans="1:8" ht="25.05" customHeight="1" x14ac:dyDescent="0.25">
      <c r="A10374" s="2" t="s">
        <v>8</v>
      </c>
      <c r="B10374" s="2" t="str">
        <f>HYPERLINK("http://ts.21cn.com/tousu/show/id/1341585","立刻出行无人受理押金299退款事宜。")</f>
        <v>立刻出行无人受理押金299退款事宜。</v>
      </c>
      <c r="C10374" s="2" t="s">
        <v>9</v>
      </c>
      <c r="D10374" s="2" t="s">
        <v>10</v>
      </c>
      <c r="E10374" s="2" t="str">
        <f>HYPERLINK("http://ts.21cn.com/tousu/show/id/1341585","http://ts.21cn.com/tousu/show/id/1341585")</f>
        <v>http://ts.21cn.com/tousu/show/id/1341585</v>
      </c>
      <c r="F10374" s="2" t="s">
        <v>11</v>
      </c>
      <c r="G10374" s="2" t="s">
        <v>23758</v>
      </c>
      <c r="H10374" s="2" t="s">
        <v>23759</v>
      </c>
    </row>
    <row r="10375" spans="1:8" ht="25.05" customHeight="1" x14ac:dyDescent="0.25">
      <c r="A10375" s="2" t="s">
        <v>8</v>
      </c>
      <c r="B10375" s="2" t="str">
        <f>HYPERLINK("http://ts.21cn.com/tousu/show/id/1341586","要求既有停止发信息给紧急联系人")</f>
        <v>要求既有停止发信息给紧急联系人</v>
      </c>
      <c r="C10375" s="2" t="s">
        <v>34</v>
      </c>
      <c r="D10375" s="2" t="s">
        <v>10</v>
      </c>
      <c r="E10375" s="2" t="str">
        <f>HYPERLINK("http://ts.21cn.com/tousu/show/id/1341586","http://ts.21cn.com/tousu/show/id/1341586")</f>
        <v>http://ts.21cn.com/tousu/show/id/1341586</v>
      </c>
      <c r="F10375" s="2" t="s">
        <v>11</v>
      </c>
      <c r="G10375" s="2" t="s">
        <v>23756</v>
      </c>
      <c r="H10375" s="2" t="s">
        <v>23757</v>
      </c>
    </row>
    <row r="10376" spans="1:8" ht="25.05" customHeight="1" x14ac:dyDescent="0.25">
      <c r="A10376" s="2" t="s">
        <v>8</v>
      </c>
      <c r="B10376" s="2" t="str">
        <f>HYPERLINK("http://ts.21cn.com/tousu/show/id/1341567","豹子贷，无故扣费498元")</f>
        <v>豹子贷，无故扣费498元</v>
      </c>
      <c r="C10376" s="2" t="s">
        <v>9</v>
      </c>
      <c r="D10376" s="2" t="s">
        <v>10</v>
      </c>
      <c r="E10376" s="2" t="str">
        <f>HYPERLINK("http://ts.21cn.com/tousu/show/id/1341567","http://ts.21cn.com/tousu/show/id/1341567")</f>
        <v>http://ts.21cn.com/tousu/show/id/1341567</v>
      </c>
      <c r="F10376" s="2" t="s">
        <v>11</v>
      </c>
      <c r="G10376" s="2" t="s">
        <v>23754</v>
      </c>
      <c r="H10376" s="2" t="s">
        <v>23755</v>
      </c>
    </row>
    <row r="10377" spans="1:8" ht="25.05" customHeight="1" x14ac:dyDescent="0.25">
      <c r="A10377" s="2" t="s">
        <v>8</v>
      </c>
      <c r="B10377" s="2" t="str">
        <f>HYPERLINK("http://ts.21cn.com/tousu/show/id/1341588","新意花小木钱包高额利息高利贷")</f>
        <v>新意花小木钱包高额利息高利贷</v>
      </c>
      <c r="C10377" s="2" t="s">
        <v>9</v>
      </c>
      <c r="D10377" s="2" t="s">
        <v>10</v>
      </c>
      <c r="E10377" s="2" t="str">
        <f>HYPERLINK("http://ts.21cn.com/tousu/show/id/1341588","http://ts.21cn.com/tousu/show/id/1341588")</f>
        <v>http://ts.21cn.com/tousu/show/id/1341588</v>
      </c>
      <c r="F10377" s="2" t="s">
        <v>11</v>
      </c>
      <c r="G10377" s="2" t="s">
        <v>23752</v>
      </c>
      <c r="H10377" s="2" t="s">
        <v>23753</v>
      </c>
    </row>
    <row r="10378" spans="1:8" ht="25.05" customHeight="1" x14ac:dyDescent="0.25">
      <c r="A10378" s="2" t="s">
        <v>8</v>
      </c>
      <c r="B10378" s="2" t="str">
        <f>HYPERLINK("http://ts.21cn.com/tousu/show/id/1341589","钱站")</f>
        <v>钱站</v>
      </c>
      <c r="C10378" s="2" t="s">
        <v>34</v>
      </c>
      <c r="D10378" s="2" t="s">
        <v>10</v>
      </c>
      <c r="E10378" s="2" t="str">
        <f>HYPERLINK("http://ts.21cn.com/tousu/show/id/1341589","http://ts.21cn.com/tousu/show/id/1341589")</f>
        <v>http://ts.21cn.com/tousu/show/id/1341589</v>
      </c>
      <c r="F10378" s="2" t="s">
        <v>11</v>
      </c>
      <c r="G10378" s="2" t="s">
        <v>23750</v>
      </c>
      <c r="H10378" s="2" t="s">
        <v>23751</v>
      </c>
    </row>
    <row r="10379" spans="1:8" ht="25.05" customHeight="1" x14ac:dyDescent="0.25">
      <c r="A10379" s="2" t="s">
        <v>8</v>
      </c>
      <c r="B10379" s="2" t="str">
        <f>HYPERLINK("http://ts.21cn.com/tousu/show/id/1341590","联动云押金")</f>
        <v>联动云押金</v>
      </c>
      <c r="C10379" s="2" t="s">
        <v>34</v>
      </c>
      <c r="D10379" s="2" t="s">
        <v>10</v>
      </c>
      <c r="E10379" s="2" t="str">
        <f>HYPERLINK("http://ts.21cn.com/tousu/show/id/1341590","http://ts.21cn.com/tousu/show/id/1341590")</f>
        <v>http://ts.21cn.com/tousu/show/id/1341590</v>
      </c>
      <c r="F10379" s="2" t="s">
        <v>11</v>
      </c>
      <c r="G10379" s="2" t="s">
        <v>23748</v>
      </c>
      <c r="H10379" s="2" t="s">
        <v>23749</v>
      </c>
    </row>
    <row r="10380" spans="1:8" ht="25.05" customHeight="1" x14ac:dyDescent="0.25">
      <c r="A10380" s="2" t="s">
        <v>8</v>
      </c>
      <c r="B10380" s="2" t="str">
        <f>HYPERLINK("http://ts.21cn.com/tousu/show/id/1341591","龙行商务卡诱导消费者办卡")</f>
        <v>龙行商务卡诱导消费者办卡</v>
      </c>
      <c r="C10380" s="2" t="s">
        <v>9</v>
      </c>
      <c r="D10380" s="2" t="s">
        <v>10</v>
      </c>
      <c r="E10380" s="2" t="str">
        <f>HYPERLINK("http://ts.21cn.com/tousu/show/id/1341591","http://ts.21cn.com/tousu/show/id/1341591")</f>
        <v>http://ts.21cn.com/tousu/show/id/1341591</v>
      </c>
      <c r="F10380" s="2" t="s">
        <v>11</v>
      </c>
      <c r="G10380" s="2" t="s">
        <v>23746</v>
      </c>
      <c r="H10380" s="2" t="s">
        <v>23747</v>
      </c>
    </row>
    <row r="10381" spans="1:8" ht="25.05" customHeight="1" x14ac:dyDescent="0.25">
      <c r="A10381" s="2" t="s">
        <v>8</v>
      </c>
      <c r="B10381" s="2" t="str">
        <f>HYPERLINK("http://ts.21cn.com/tousu/show/id/1341592","钱站公司高利贷，砍头息，阴阳合同")</f>
        <v>钱站公司高利贷，砍头息，阴阳合同</v>
      </c>
      <c r="C10381" s="2" t="s">
        <v>9</v>
      </c>
      <c r="D10381" s="2" t="s">
        <v>10</v>
      </c>
      <c r="E10381" s="2" t="str">
        <f>HYPERLINK("http://ts.21cn.com/tousu/show/id/1341592","http://ts.21cn.com/tousu/show/id/1341592")</f>
        <v>http://ts.21cn.com/tousu/show/id/1341592</v>
      </c>
      <c r="F10381" s="2" t="s">
        <v>11</v>
      </c>
      <c r="G10381" s="2" t="s">
        <v>23744</v>
      </c>
      <c r="H10381" s="2" t="s">
        <v>23745</v>
      </c>
    </row>
    <row r="10382" spans="1:8" ht="25.05" customHeight="1" x14ac:dyDescent="0.25">
      <c r="A10382" s="2" t="s">
        <v>8</v>
      </c>
      <c r="B10382" s="2" t="str">
        <f>HYPERLINK("http://ts.21cn.com/tousu/show/id/1341593","京东白条还清逾期欠款，还一直被催收骚扰。")</f>
        <v>京东白条还清逾期欠款，还一直被催收骚扰。</v>
      </c>
      <c r="C10382" s="2" t="s">
        <v>9</v>
      </c>
      <c r="D10382" s="2" t="s">
        <v>10</v>
      </c>
      <c r="E10382" s="2" t="str">
        <f>HYPERLINK("http://ts.21cn.com/tousu/show/id/1341593","http://ts.21cn.com/tousu/show/id/1341593")</f>
        <v>http://ts.21cn.com/tousu/show/id/1341593</v>
      </c>
      <c r="F10382" s="2" t="s">
        <v>11</v>
      </c>
      <c r="G10382" s="2" t="s">
        <v>23742</v>
      </c>
      <c r="H10382" s="2" t="s">
        <v>23743</v>
      </c>
    </row>
    <row r="10383" spans="1:8" ht="25.05" customHeight="1" x14ac:dyDescent="0.25">
      <c r="A10383" s="2" t="s">
        <v>8</v>
      </c>
      <c r="B10383" s="2" t="str">
        <f>HYPERLINK("http://ts.21cn.com/tousu/show/id/1341595","账单延迟，导致银行优惠没有")</f>
        <v>账单延迟，导致银行优惠没有</v>
      </c>
      <c r="C10383" s="2" t="s">
        <v>34</v>
      </c>
      <c r="D10383" s="2" t="s">
        <v>10</v>
      </c>
      <c r="E10383" s="2" t="str">
        <f>HYPERLINK("http://ts.21cn.com/tousu/show/id/1341595","http://ts.21cn.com/tousu/show/id/1341595")</f>
        <v>http://ts.21cn.com/tousu/show/id/1341595</v>
      </c>
      <c r="F10383" s="2" t="s">
        <v>11</v>
      </c>
      <c r="G10383" s="2" t="s">
        <v>23740</v>
      </c>
      <c r="H10383" s="2" t="s">
        <v>23741</v>
      </c>
    </row>
    <row r="10384" spans="1:8" ht="25.05" customHeight="1" x14ac:dyDescent="0.25">
      <c r="A10384" s="2" t="s">
        <v>8</v>
      </c>
      <c r="B10384" s="2" t="str">
        <f>HYPERLINK("http://ts.21cn.com/tousu/show/id/1341596","交易猫客服不处理问题钱号两空")</f>
        <v>交易猫客服不处理问题钱号两空</v>
      </c>
      <c r="C10384" s="2" t="s">
        <v>9</v>
      </c>
      <c r="D10384" s="2" t="s">
        <v>10</v>
      </c>
      <c r="E10384" s="2" t="str">
        <f>HYPERLINK("http://ts.21cn.com/tousu/show/id/1341596","http://ts.21cn.com/tousu/show/id/1341596")</f>
        <v>http://ts.21cn.com/tousu/show/id/1341596</v>
      </c>
      <c r="F10384" s="2" t="s">
        <v>11</v>
      </c>
      <c r="G10384" s="2" t="s">
        <v>23738</v>
      </c>
      <c r="H10384" s="2" t="s">
        <v>23739</v>
      </c>
    </row>
    <row r="10385" spans="1:8" ht="25.05" customHeight="1" x14ac:dyDescent="0.25">
      <c r="A10385" s="2" t="s">
        <v>8</v>
      </c>
      <c r="B10385" s="2" t="str">
        <f>HYPERLINK("http://ts.21cn.com/tousu/show/id/1341597","分期通恶意收取会员费用")</f>
        <v>分期通恶意收取会员费用</v>
      </c>
      <c r="C10385" s="2" t="s">
        <v>9</v>
      </c>
      <c r="D10385" s="2" t="s">
        <v>10</v>
      </c>
      <c r="E10385" s="2" t="str">
        <f>HYPERLINK("http://ts.21cn.com/tousu/show/id/1341597","http://ts.21cn.com/tousu/show/id/1341597")</f>
        <v>http://ts.21cn.com/tousu/show/id/1341597</v>
      </c>
      <c r="F10385" s="2" t="s">
        <v>11</v>
      </c>
      <c r="G10385" s="2" t="s">
        <v>23736</v>
      </c>
      <c r="H10385" s="2" t="s">
        <v>23737</v>
      </c>
    </row>
    <row r="10386" spans="1:8" ht="25.05" customHeight="1" x14ac:dyDescent="0.25">
      <c r="A10386" s="2" t="s">
        <v>8</v>
      </c>
      <c r="B10386" s="2" t="str">
        <f>HYPERLINK("http://ts.21cn.com/tousu/show/id/1341598","圈圈分期高利贷砍头息")</f>
        <v>圈圈分期高利贷砍头息</v>
      </c>
      <c r="C10386" s="2" t="s">
        <v>9</v>
      </c>
      <c r="D10386" s="2" t="s">
        <v>10</v>
      </c>
      <c r="E10386" s="2" t="str">
        <f>HYPERLINK("http://ts.21cn.com/tousu/show/id/1341598","http://ts.21cn.com/tousu/show/id/1341598")</f>
        <v>http://ts.21cn.com/tousu/show/id/1341598</v>
      </c>
      <c r="F10386" s="2" t="s">
        <v>11</v>
      </c>
      <c r="G10386" s="2" t="s">
        <v>23734</v>
      </c>
      <c r="H10386" s="2" t="s">
        <v>23735</v>
      </c>
    </row>
    <row r="10387" spans="1:8" ht="25.05" customHeight="1" x14ac:dyDescent="0.25">
      <c r="A10387" s="2" t="s">
        <v>8</v>
      </c>
      <c r="B10387" s="2" t="str">
        <f>HYPERLINK("http://ts.21cn.com/tousu/show/id/1341599","发恐吓短信")</f>
        <v>发恐吓短信</v>
      </c>
      <c r="C10387" s="2" t="s">
        <v>9</v>
      </c>
      <c r="D10387" s="2" t="s">
        <v>10</v>
      </c>
      <c r="E10387" s="2" t="str">
        <f>HYPERLINK("http://ts.21cn.com/tousu/show/id/1341599","http://ts.21cn.com/tousu/show/id/1341599")</f>
        <v>http://ts.21cn.com/tousu/show/id/1341599</v>
      </c>
      <c r="F10387" s="2" t="s">
        <v>11</v>
      </c>
      <c r="G10387" s="2" t="s">
        <v>23732</v>
      </c>
      <c r="H10387" s="2" t="s">
        <v>23733</v>
      </c>
    </row>
    <row r="10388" spans="1:8" ht="25.05" customHeight="1" x14ac:dyDescent="0.25">
      <c r="A10388" s="2" t="s">
        <v>8</v>
      </c>
      <c r="B10388" s="2" t="str">
        <f>HYPERLINK("http://ts.21cn.com/tousu/show/id/1341564","爱又米A+会员不兑现承诺")</f>
        <v>爱又米A+会员不兑现承诺</v>
      </c>
      <c r="C10388" s="2" t="s">
        <v>9</v>
      </c>
      <c r="D10388" s="2" t="s">
        <v>10</v>
      </c>
      <c r="E10388" s="2" t="str">
        <f>HYPERLINK("http://ts.21cn.com/tousu/show/id/1341564","http://ts.21cn.com/tousu/show/id/1341564")</f>
        <v>http://ts.21cn.com/tousu/show/id/1341564</v>
      </c>
      <c r="F10388" s="2" t="s">
        <v>11</v>
      </c>
      <c r="G10388" s="2" t="s">
        <v>23730</v>
      </c>
      <c r="H10388" s="2" t="s">
        <v>23731</v>
      </c>
    </row>
    <row r="10389" spans="1:8" ht="25.05" customHeight="1" x14ac:dyDescent="0.25">
      <c r="A10389" s="2" t="s">
        <v>8</v>
      </c>
      <c r="B10389" s="2" t="str">
        <f>HYPERLINK("http://ts.21cn.com/tousu/show/id/1341601","易宝支付为唐长老高利贷平台违规提供结算平台，扣取砍头息，严重违法违纪")</f>
        <v>易宝支付为唐长老高利贷平台违规提供结算平台，扣取砍头息，严重违法违纪</v>
      </c>
      <c r="C10389" s="2" t="s">
        <v>9</v>
      </c>
      <c r="D10389" s="2" t="s">
        <v>10</v>
      </c>
      <c r="E10389" s="2" t="str">
        <f>HYPERLINK("http://ts.21cn.com/tousu/show/id/1341601","http://ts.21cn.com/tousu/show/id/1341601")</f>
        <v>http://ts.21cn.com/tousu/show/id/1341601</v>
      </c>
      <c r="F10389" s="2" t="s">
        <v>11</v>
      </c>
      <c r="G10389" s="2" t="s">
        <v>23728</v>
      </c>
      <c r="H10389" s="2" t="s">
        <v>23729</v>
      </c>
    </row>
    <row r="10390" spans="1:8" ht="25.05" customHeight="1" x14ac:dyDescent="0.25">
      <c r="A10390" s="2" t="s">
        <v>8</v>
      </c>
      <c r="B10390" s="2" t="str">
        <f>HYPERLINK("http://ts.21cn.com/tousu/show/id/1341602","钱站利息太高")</f>
        <v>钱站利息太高</v>
      </c>
      <c r="C10390" s="2" t="s">
        <v>9</v>
      </c>
      <c r="D10390" s="2" t="s">
        <v>10</v>
      </c>
      <c r="E10390" s="2" t="str">
        <f>HYPERLINK("http://ts.21cn.com/tousu/show/id/1341602","http://ts.21cn.com/tousu/show/id/1341602")</f>
        <v>http://ts.21cn.com/tousu/show/id/1341602</v>
      </c>
      <c r="F10390" s="2" t="s">
        <v>11</v>
      </c>
      <c r="G10390" s="2" t="s">
        <v>23726</v>
      </c>
      <c r="H10390" s="2" t="s">
        <v>23727</v>
      </c>
    </row>
    <row r="10391" spans="1:8" ht="25.05" customHeight="1" x14ac:dyDescent="0.25">
      <c r="A10391" s="2" t="s">
        <v>8</v>
      </c>
      <c r="B10391" s="2" t="str">
        <f>HYPERLINK("http://ts.21cn.com/tousu/show/id/1341603","闪电借款套路")</f>
        <v>闪电借款套路</v>
      </c>
      <c r="C10391" s="2" t="s">
        <v>9</v>
      </c>
      <c r="D10391" s="2" t="s">
        <v>10</v>
      </c>
      <c r="E10391" s="2" t="str">
        <f>HYPERLINK("http://ts.21cn.com/tousu/show/id/1341603","http://ts.21cn.com/tousu/show/id/1341603")</f>
        <v>http://ts.21cn.com/tousu/show/id/1341603</v>
      </c>
      <c r="F10391" s="2" t="s">
        <v>11</v>
      </c>
      <c r="G10391" s="2" t="s">
        <v>23724</v>
      </c>
      <c r="H10391" s="2" t="s">
        <v>23725</v>
      </c>
    </row>
    <row r="10392" spans="1:8" ht="25.05" customHeight="1" x14ac:dyDescent="0.25">
      <c r="A10392" s="2" t="s">
        <v>8</v>
      </c>
      <c r="B10392" s="2" t="str">
        <f>HYPERLINK("http://ts.21cn.com/tousu/show/id/1341604","阴阳合同恶意扣款")</f>
        <v>阴阳合同恶意扣款</v>
      </c>
      <c r="C10392" s="2" t="s">
        <v>9</v>
      </c>
      <c r="D10392" s="2" t="s">
        <v>10</v>
      </c>
      <c r="E10392" s="2" t="str">
        <f>HYPERLINK("http://ts.21cn.com/tousu/show/id/1341604","http://ts.21cn.com/tousu/show/id/1341604")</f>
        <v>http://ts.21cn.com/tousu/show/id/1341604</v>
      </c>
      <c r="F10392" s="2" t="s">
        <v>11</v>
      </c>
      <c r="G10392" s="2" t="s">
        <v>23722</v>
      </c>
      <c r="H10392" s="2" t="s">
        <v>23723</v>
      </c>
    </row>
    <row r="10393" spans="1:8" ht="25.05" customHeight="1" x14ac:dyDescent="0.25">
      <c r="A10393" s="2" t="s">
        <v>8</v>
      </c>
      <c r="B10393" s="2" t="str">
        <f>HYPERLINK("http://ts.21cn.com/tousu/show/id/1341605","小黑鱼的砍头息")</f>
        <v>小黑鱼的砍头息</v>
      </c>
      <c r="C10393" s="2" t="s">
        <v>9</v>
      </c>
      <c r="D10393" s="2" t="s">
        <v>10</v>
      </c>
      <c r="E10393" s="2" t="str">
        <f>HYPERLINK("http://ts.21cn.com/tousu/show/id/1341605","http://ts.21cn.com/tousu/show/id/1341605")</f>
        <v>http://ts.21cn.com/tousu/show/id/1341605</v>
      </c>
      <c r="F10393" s="2" t="s">
        <v>11</v>
      </c>
      <c r="G10393" s="2" t="s">
        <v>23720</v>
      </c>
      <c r="H10393" s="2" t="s">
        <v>23721</v>
      </c>
    </row>
    <row r="10394" spans="1:8" ht="25.05" customHeight="1" x14ac:dyDescent="0.25">
      <c r="A10394" s="2" t="s">
        <v>8</v>
      </c>
      <c r="B10394" s="2" t="str">
        <f>HYPERLINK("http://ts.21cn.com/tousu/show/id/1341606","双证司机接单困难")</f>
        <v>双证司机接单困难</v>
      </c>
      <c r="C10394" s="2" t="s">
        <v>9</v>
      </c>
      <c r="D10394" s="2" t="s">
        <v>10</v>
      </c>
      <c r="E10394" s="2" t="str">
        <f>HYPERLINK("http://ts.21cn.com/tousu/show/id/1341606","http://ts.21cn.com/tousu/show/id/1341606")</f>
        <v>http://ts.21cn.com/tousu/show/id/1341606</v>
      </c>
      <c r="F10394" s="2" t="s">
        <v>11</v>
      </c>
      <c r="G10394" s="2" t="s">
        <v>23718</v>
      </c>
      <c r="H10394" s="2" t="s">
        <v>23719</v>
      </c>
    </row>
    <row r="10395" spans="1:8" ht="25.05" customHeight="1" x14ac:dyDescent="0.25">
      <c r="A10395" s="2" t="s">
        <v>8</v>
      </c>
      <c r="B10395" s="2" t="str">
        <f>HYPERLINK("http://ts.21cn.com/tousu/show/id/1341607","恶意扣款")</f>
        <v>恶意扣款</v>
      </c>
      <c r="C10395" s="2" t="s">
        <v>9</v>
      </c>
      <c r="D10395" s="2" t="s">
        <v>10</v>
      </c>
      <c r="E10395" s="2" t="str">
        <f>HYPERLINK("http://ts.21cn.com/tousu/show/id/1341607","http://ts.21cn.com/tousu/show/id/1341607")</f>
        <v>http://ts.21cn.com/tousu/show/id/1341607</v>
      </c>
      <c r="F10395" s="2" t="s">
        <v>11</v>
      </c>
      <c r="G10395" s="2" t="s">
        <v>23716</v>
      </c>
      <c r="H10395" s="2" t="s">
        <v>23717</v>
      </c>
    </row>
    <row r="10396" spans="1:8" ht="25.05" customHeight="1" x14ac:dyDescent="0.25">
      <c r="A10396" s="2" t="s">
        <v>8</v>
      </c>
      <c r="B10396" s="2" t="str">
        <f>HYPERLINK("http://ts.21cn.com/tousu/show/id/1341608","有钱用暴力催收……威胁上门催收")</f>
        <v>有钱用暴力催收……威胁上门催收</v>
      </c>
      <c r="C10396" s="2" t="s">
        <v>9</v>
      </c>
      <c r="D10396" s="2" t="s">
        <v>10</v>
      </c>
      <c r="E10396" s="2" t="str">
        <f>HYPERLINK("http://ts.21cn.com/tousu/show/id/1341608","http://ts.21cn.com/tousu/show/id/1341608")</f>
        <v>http://ts.21cn.com/tousu/show/id/1341608</v>
      </c>
      <c r="F10396" s="2" t="s">
        <v>11</v>
      </c>
      <c r="G10396" s="2" t="s">
        <v>23713</v>
      </c>
      <c r="H10396" s="2" t="s">
        <v>23714</v>
      </c>
    </row>
    <row r="10397" spans="1:8" ht="25.05" customHeight="1" x14ac:dyDescent="0.25">
      <c r="A10397" s="2" t="s">
        <v>8</v>
      </c>
      <c r="B10397" s="2" t="str">
        <f>HYPERLINK("http://ts.21cn.com/tousu/show/id/1341609","小当家借款平台，原名小带鱼，高额利息，暴力催收，恐吓")</f>
        <v>小当家借款平台，原名小带鱼，高额利息，暴力催收，恐吓</v>
      </c>
      <c r="C10397" s="2" t="s">
        <v>9</v>
      </c>
      <c r="D10397" s="2" t="s">
        <v>10</v>
      </c>
      <c r="E10397" s="2" t="str">
        <f>HYPERLINK("http://ts.21cn.com/tousu/show/id/1341609","http://ts.21cn.com/tousu/show/id/1341609")</f>
        <v>http://ts.21cn.com/tousu/show/id/1341609</v>
      </c>
      <c r="F10397" s="2" t="s">
        <v>11</v>
      </c>
      <c r="G10397" s="2" t="s">
        <v>23713</v>
      </c>
      <c r="H10397" s="2" t="s">
        <v>23715</v>
      </c>
    </row>
    <row r="10398" spans="1:8" ht="25.05" customHeight="1" x14ac:dyDescent="0.25">
      <c r="A10398" s="2" t="s">
        <v>8</v>
      </c>
      <c r="B10398" s="2" t="str">
        <f>HYPERLINK("http://ts.21cn.com/tousu/show/id/1341610","小贷平台无故扣款")</f>
        <v>小贷平台无故扣款</v>
      </c>
      <c r="C10398" s="2" t="s">
        <v>9</v>
      </c>
      <c r="D10398" s="2" t="s">
        <v>10</v>
      </c>
      <c r="E10398" s="2" t="str">
        <f>HYPERLINK("http://ts.21cn.com/tousu/show/id/1341610","http://ts.21cn.com/tousu/show/id/1341610")</f>
        <v>http://ts.21cn.com/tousu/show/id/1341610</v>
      </c>
      <c r="F10398" s="2" t="s">
        <v>11</v>
      </c>
      <c r="G10398" s="2" t="s">
        <v>23711</v>
      </c>
      <c r="H10398" s="2" t="s">
        <v>23712</v>
      </c>
    </row>
    <row r="10399" spans="1:8" ht="25.05" customHeight="1" x14ac:dyDescent="0.25">
      <c r="A10399" s="2" t="s">
        <v>8</v>
      </c>
      <c r="B10399" s="2" t="str">
        <f>HYPERLINK("http://ts.21cn.com/tousu/show/id/1341611","莫名扣款")</f>
        <v>莫名扣款</v>
      </c>
      <c r="C10399" s="2" t="s">
        <v>34</v>
      </c>
      <c r="D10399" s="2" t="s">
        <v>10</v>
      </c>
      <c r="E10399" s="2" t="str">
        <f>HYPERLINK("http://ts.21cn.com/tousu/show/id/1341611","http://ts.21cn.com/tousu/show/id/1341611")</f>
        <v>http://ts.21cn.com/tousu/show/id/1341611</v>
      </c>
      <c r="F10399" s="2" t="s">
        <v>11</v>
      </c>
      <c r="G10399" s="2" t="s">
        <v>23709</v>
      </c>
      <c r="H10399" s="2" t="s">
        <v>23710</v>
      </c>
    </row>
    <row r="10400" spans="1:8" ht="25.05" customHeight="1" x14ac:dyDescent="0.25">
      <c r="A10400" s="2" t="s">
        <v>8</v>
      </c>
      <c r="B10400" s="2" t="str">
        <f>HYPERLINK("http://ts.21cn.com/tousu/show/id/1341612","爱钱进月光侠分期高利贷")</f>
        <v>爱钱进月光侠分期高利贷</v>
      </c>
      <c r="C10400" s="2" t="s">
        <v>9</v>
      </c>
      <c r="D10400" s="2" t="s">
        <v>10</v>
      </c>
      <c r="E10400" s="2" t="str">
        <f>HYPERLINK("http://ts.21cn.com/tousu/show/id/1341612","http://ts.21cn.com/tousu/show/id/1341612")</f>
        <v>http://ts.21cn.com/tousu/show/id/1341612</v>
      </c>
      <c r="F10400" s="2" t="s">
        <v>11</v>
      </c>
      <c r="G10400" s="2" t="s">
        <v>23706</v>
      </c>
      <c r="H10400" s="2" t="s">
        <v>23707</v>
      </c>
    </row>
    <row r="10401" spans="1:8" ht="25.05" customHeight="1" x14ac:dyDescent="0.25">
      <c r="A10401" s="2" t="s">
        <v>8</v>
      </c>
      <c r="B10401" s="2" t="str">
        <f>HYPERLINK("http://ts.21cn.com/tousu/show/id/1341613","畅快车贷高额利息加高额的逾期费用")</f>
        <v>畅快车贷高额利息加高额的逾期费用</v>
      </c>
      <c r="C10401" s="2" t="s">
        <v>9</v>
      </c>
      <c r="D10401" s="2" t="s">
        <v>10</v>
      </c>
      <c r="E10401" s="2" t="str">
        <f>HYPERLINK("http://ts.21cn.com/tousu/show/id/1341613","http://ts.21cn.com/tousu/show/id/1341613")</f>
        <v>http://ts.21cn.com/tousu/show/id/1341613</v>
      </c>
      <c r="F10401" s="2" t="s">
        <v>11</v>
      </c>
      <c r="G10401" s="2" t="s">
        <v>23706</v>
      </c>
      <c r="H10401" s="2" t="s">
        <v>23708</v>
      </c>
    </row>
    <row r="10402" spans="1:8" ht="25.05" customHeight="1" x14ac:dyDescent="0.25">
      <c r="A10402" s="2" t="s">
        <v>8</v>
      </c>
      <c r="B10402" s="2" t="str">
        <f>HYPERLINK("http://ts.21cn.com/tousu/show/id/1341614","注册时未显示支付费用，后无故扣贾")</f>
        <v>注册时未显示支付费用，后无故扣贾</v>
      </c>
      <c r="C10402" s="2" t="s">
        <v>34</v>
      </c>
      <c r="D10402" s="2" t="s">
        <v>10</v>
      </c>
      <c r="E10402" s="2" t="str">
        <f>HYPERLINK("http://ts.21cn.com/tousu/show/id/1341614","http://ts.21cn.com/tousu/show/id/1341614")</f>
        <v>http://ts.21cn.com/tousu/show/id/1341614</v>
      </c>
      <c r="F10402" s="2" t="s">
        <v>11</v>
      </c>
      <c r="G10402" s="2" t="s">
        <v>23703</v>
      </c>
      <c r="H10402" s="2" t="s">
        <v>23704</v>
      </c>
    </row>
    <row r="10403" spans="1:8" ht="25.05" customHeight="1" x14ac:dyDescent="0.25">
      <c r="A10403" s="2" t="s">
        <v>8</v>
      </c>
      <c r="B10403" s="2" t="str">
        <f>HYPERLINK("http://ts.21cn.com/tousu/show/id/1341615","支付宝花呗暴力催收")</f>
        <v>支付宝花呗暴力催收</v>
      </c>
      <c r="C10403" s="2" t="s">
        <v>9</v>
      </c>
      <c r="D10403" s="2" t="s">
        <v>10</v>
      </c>
      <c r="E10403" s="2" t="str">
        <f>HYPERLINK("http://ts.21cn.com/tousu/show/id/1341615","http://ts.21cn.com/tousu/show/id/1341615")</f>
        <v>http://ts.21cn.com/tousu/show/id/1341615</v>
      </c>
      <c r="F10403" s="2" t="s">
        <v>11</v>
      </c>
      <c r="G10403" s="2" t="s">
        <v>23703</v>
      </c>
      <c r="H10403" s="2" t="s">
        <v>23705</v>
      </c>
    </row>
    <row r="10404" spans="1:8" ht="25.05" customHeight="1" x14ac:dyDescent="0.25">
      <c r="A10404" s="2" t="s">
        <v>8</v>
      </c>
      <c r="B10404" s="2" t="str">
        <f>HYPERLINK("http://ts.21cn.com/tousu/show/id/1341616","投诉钱置宝")</f>
        <v>投诉钱置宝</v>
      </c>
      <c r="C10404" s="2" t="s">
        <v>9</v>
      </c>
      <c r="D10404" s="2" t="s">
        <v>10</v>
      </c>
      <c r="E10404" s="2" t="str">
        <f>HYPERLINK("http://ts.21cn.com/tousu/show/id/1341616","http://ts.21cn.com/tousu/show/id/1341616")</f>
        <v>http://ts.21cn.com/tousu/show/id/1341616</v>
      </c>
      <c r="F10404" s="2" t="s">
        <v>11</v>
      </c>
      <c r="G10404" s="2" t="s">
        <v>23701</v>
      </c>
      <c r="H10404" s="2" t="s">
        <v>23702</v>
      </c>
    </row>
    <row r="10405" spans="1:8" ht="25.05" customHeight="1" x14ac:dyDescent="0.25">
      <c r="A10405" s="2" t="s">
        <v>8</v>
      </c>
      <c r="B10405" s="2" t="str">
        <f>HYPERLINK("http://ts.21cn.com/tousu/show/id/1341617","暴力催收")</f>
        <v>暴力催收</v>
      </c>
      <c r="C10405" s="2" t="s">
        <v>9</v>
      </c>
      <c r="D10405" s="2" t="s">
        <v>10</v>
      </c>
      <c r="E10405" s="2" t="str">
        <f>HYPERLINK("http://ts.21cn.com/tousu/show/id/1341617","http://ts.21cn.com/tousu/show/id/1341617")</f>
        <v>http://ts.21cn.com/tousu/show/id/1341617</v>
      </c>
      <c r="F10405" s="2" t="s">
        <v>11</v>
      </c>
      <c r="G10405" s="2" t="s">
        <v>23699</v>
      </c>
      <c r="H10405" s="2" t="s">
        <v>23700</v>
      </c>
    </row>
    <row r="10406" spans="1:8" ht="25.05" customHeight="1" x14ac:dyDescent="0.25">
      <c r="A10406" s="2" t="s">
        <v>8</v>
      </c>
      <c r="B10406" s="2" t="str">
        <f>HYPERLINK("http://ts.21cn.com/tousu/show/id/1341618","宜人贷退还借款保证金砍头息")</f>
        <v>宜人贷退还借款保证金砍头息</v>
      </c>
      <c r="C10406" s="2" t="s">
        <v>9</v>
      </c>
      <c r="D10406" s="2" t="s">
        <v>10</v>
      </c>
      <c r="E10406" s="2" t="str">
        <f>HYPERLINK("http://ts.21cn.com/tousu/show/id/1341618","http://ts.21cn.com/tousu/show/id/1341618")</f>
        <v>http://ts.21cn.com/tousu/show/id/1341618</v>
      </c>
      <c r="F10406" s="2" t="s">
        <v>11</v>
      </c>
      <c r="G10406" s="2" t="s">
        <v>23697</v>
      </c>
      <c r="H10406" s="2" t="s">
        <v>23698</v>
      </c>
    </row>
    <row r="10407" spans="1:8" ht="25.05" customHeight="1" x14ac:dyDescent="0.25">
      <c r="A10407" s="2" t="s">
        <v>8</v>
      </c>
      <c r="B10407" s="2" t="str">
        <f>HYPERLINK("http://ts.21cn.com/tousu/show/id/1341619","拍拍贷骚扰电话不停")</f>
        <v>拍拍贷骚扰电话不停</v>
      </c>
      <c r="C10407" s="2" t="s">
        <v>9</v>
      </c>
      <c r="D10407" s="2" t="s">
        <v>10</v>
      </c>
      <c r="E10407" s="2" t="str">
        <f>HYPERLINK("http://ts.21cn.com/tousu/show/id/1341619","http://ts.21cn.com/tousu/show/id/1341619")</f>
        <v>http://ts.21cn.com/tousu/show/id/1341619</v>
      </c>
      <c r="F10407" s="2" t="s">
        <v>11</v>
      </c>
      <c r="G10407" s="2" t="s">
        <v>23695</v>
      </c>
      <c r="H10407" s="2" t="s">
        <v>23696</v>
      </c>
    </row>
    <row r="10408" spans="1:8" ht="25.05" customHeight="1" x14ac:dyDescent="0.25">
      <c r="A10408" s="2" t="s">
        <v>8</v>
      </c>
      <c r="B10408" s="2" t="str">
        <f>HYPERLINK("http://ts.21cn.com/tousu/show/id/1341622","同程旅游抢票失败不退款")</f>
        <v>同程旅游抢票失败不退款</v>
      </c>
      <c r="C10408" s="2" t="s">
        <v>9</v>
      </c>
      <c r="D10408" s="2" t="s">
        <v>10</v>
      </c>
      <c r="E10408" s="2" t="str">
        <f>HYPERLINK("http://ts.21cn.com/tousu/show/id/1341622","http://ts.21cn.com/tousu/show/id/1341622")</f>
        <v>http://ts.21cn.com/tousu/show/id/1341622</v>
      </c>
      <c r="F10408" s="2" t="s">
        <v>11</v>
      </c>
      <c r="G10408" s="2" t="s">
        <v>23693</v>
      </c>
      <c r="H10408" s="2" t="s">
        <v>23694</v>
      </c>
    </row>
    <row r="10409" spans="1:8" ht="25.05" customHeight="1" x14ac:dyDescent="0.25">
      <c r="A10409" s="2" t="s">
        <v>8</v>
      </c>
      <c r="B10409" s="2" t="str">
        <f>HYPERLINK("http://ts.21cn.com/tousu/show/id/1341620","功夫贷威胁暴力催收骚扰，表达还款意愿仍不放过")</f>
        <v>功夫贷威胁暴力催收骚扰，表达还款意愿仍不放过</v>
      </c>
      <c r="C10409" s="2" t="s">
        <v>9</v>
      </c>
      <c r="D10409" s="2" t="s">
        <v>10</v>
      </c>
      <c r="E10409" s="2" t="str">
        <f>HYPERLINK("http://ts.21cn.com/tousu/show/id/1341620","http://ts.21cn.com/tousu/show/id/1341620")</f>
        <v>http://ts.21cn.com/tousu/show/id/1341620</v>
      </c>
      <c r="F10409" s="2" t="s">
        <v>11</v>
      </c>
      <c r="G10409" s="2" t="s">
        <v>23691</v>
      </c>
      <c r="H10409" s="2" t="s">
        <v>23692</v>
      </c>
    </row>
    <row r="10410" spans="1:8" ht="25.05" customHeight="1" x14ac:dyDescent="0.25">
      <c r="A10410" s="2" t="s">
        <v>8</v>
      </c>
      <c r="B10410" s="2" t="str">
        <f>HYPERLINK("http://ts.21cn.com/tousu/show/id/1341621","网上平台购买无效产品商家不给退钱")</f>
        <v>网上平台购买无效产品商家不给退钱</v>
      </c>
      <c r="C10410" s="2" t="s">
        <v>9</v>
      </c>
      <c r="D10410" s="2" t="s">
        <v>10</v>
      </c>
      <c r="E10410" s="2" t="str">
        <f>HYPERLINK("http://ts.21cn.com/tousu/show/id/1341621","http://ts.21cn.com/tousu/show/id/1341621")</f>
        <v>http://ts.21cn.com/tousu/show/id/1341621</v>
      </c>
      <c r="F10410" s="2" t="s">
        <v>11</v>
      </c>
      <c r="G10410" s="2" t="s">
        <v>23689</v>
      </c>
      <c r="H10410" s="2" t="s">
        <v>23690</v>
      </c>
    </row>
    <row r="10411" spans="1:8" ht="25.05" customHeight="1" x14ac:dyDescent="0.25">
      <c r="A10411" s="2" t="s">
        <v>8</v>
      </c>
      <c r="B10411" s="2" t="str">
        <f>HYPERLINK("http://ts.21cn.com/tousu/show/id/1341623","闪电借款申请延期还款")</f>
        <v>闪电借款申请延期还款</v>
      </c>
      <c r="C10411" s="2" t="s">
        <v>9</v>
      </c>
      <c r="D10411" s="2" t="s">
        <v>10</v>
      </c>
      <c r="E10411" s="2" t="str">
        <f>HYPERLINK("http://ts.21cn.com/tousu/show/id/1341623","http://ts.21cn.com/tousu/show/id/1341623")</f>
        <v>http://ts.21cn.com/tousu/show/id/1341623</v>
      </c>
      <c r="F10411" s="2" t="s">
        <v>11</v>
      </c>
      <c r="G10411" s="2" t="s">
        <v>23687</v>
      </c>
      <c r="H10411" s="2" t="s">
        <v>23688</v>
      </c>
    </row>
    <row r="10412" spans="1:8" ht="25.05" customHeight="1" x14ac:dyDescent="0.25">
      <c r="A10412" s="2" t="s">
        <v>8</v>
      </c>
      <c r="B10412" s="2" t="str">
        <f>HYPERLINK("http://ts.21cn.com/tousu/show/id/1341624","恶意扣款299元费用")</f>
        <v>恶意扣款299元费用</v>
      </c>
      <c r="C10412" s="2" t="s">
        <v>9</v>
      </c>
      <c r="D10412" s="2" t="s">
        <v>10</v>
      </c>
      <c r="E10412" s="2" t="str">
        <f>HYPERLINK("http://ts.21cn.com/tousu/show/id/1341624","http://ts.21cn.com/tousu/show/id/1341624")</f>
        <v>http://ts.21cn.com/tousu/show/id/1341624</v>
      </c>
      <c r="F10412" s="2" t="s">
        <v>11</v>
      </c>
      <c r="G10412" s="2" t="s">
        <v>23685</v>
      </c>
      <c r="H10412" s="2" t="s">
        <v>23686</v>
      </c>
    </row>
    <row r="10413" spans="1:8" ht="25.05" customHeight="1" x14ac:dyDescent="0.25">
      <c r="A10413" s="2" t="s">
        <v>8</v>
      </c>
      <c r="B10413" s="2" t="str">
        <f>HYPERLINK("http://ts.21cn.com/tousu/show/id/1341626","恶意曝漏通讯录")</f>
        <v>恶意曝漏通讯录</v>
      </c>
      <c r="C10413" s="2" t="s">
        <v>34</v>
      </c>
      <c r="D10413" s="2" t="s">
        <v>10</v>
      </c>
      <c r="E10413" s="2" t="str">
        <f>HYPERLINK("http://ts.21cn.com/tousu/show/id/1341626","http://ts.21cn.com/tousu/show/id/1341626")</f>
        <v>http://ts.21cn.com/tousu/show/id/1341626</v>
      </c>
      <c r="F10413" s="2" t="s">
        <v>11</v>
      </c>
      <c r="G10413" s="2" t="s">
        <v>23683</v>
      </c>
      <c r="H10413" s="2" t="s">
        <v>23684</v>
      </c>
    </row>
    <row r="10414" spans="1:8" ht="25.05" customHeight="1" x14ac:dyDescent="0.25">
      <c r="A10414" s="2" t="s">
        <v>8</v>
      </c>
      <c r="B10414" s="2" t="str">
        <f>HYPERLINK("http://ts.21cn.com/tousu/show/id/1341627","豆豆钱隶属中信银行？")</f>
        <v>豆豆钱隶属中信银行？</v>
      </c>
      <c r="C10414" s="2" t="s">
        <v>34</v>
      </c>
      <c r="D10414" s="2" t="s">
        <v>10</v>
      </c>
      <c r="E10414" s="2" t="str">
        <f>HYPERLINK("http://ts.21cn.com/tousu/show/id/1341627","http://ts.21cn.com/tousu/show/id/1341627")</f>
        <v>http://ts.21cn.com/tousu/show/id/1341627</v>
      </c>
      <c r="F10414" s="2" t="s">
        <v>11</v>
      </c>
      <c r="G10414" s="2" t="s">
        <v>23681</v>
      </c>
      <c r="H10414" s="2" t="s">
        <v>23682</v>
      </c>
    </row>
    <row r="10415" spans="1:8" ht="25.05" customHeight="1" x14ac:dyDescent="0.25">
      <c r="A10415" s="2" t="s">
        <v>8</v>
      </c>
      <c r="B10415" s="2" t="str">
        <f>HYPERLINK("http://ts.21cn.com/tousu/show/id/1341629","借款4000，标着年化率23%，现在却要还6000多")</f>
        <v>借款4000，标着年化率23%，现在却要还6000多</v>
      </c>
      <c r="C10415" s="2" t="s">
        <v>9</v>
      </c>
      <c r="D10415" s="2" t="s">
        <v>10</v>
      </c>
      <c r="E10415" s="2" t="str">
        <f>HYPERLINK("http://ts.21cn.com/tousu/show/id/1341629","http://ts.21cn.com/tousu/show/id/1341629")</f>
        <v>http://ts.21cn.com/tousu/show/id/1341629</v>
      </c>
      <c r="F10415" s="2" t="s">
        <v>11</v>
      </c>
      <c r="G10415" s="2" t="s">
        <v>23679</v>
      </c>
      <c r="H10415" s="2" t="s">
        <v>23680</v>
      </c>
    </row>
    <row r="10416" spans="1:8" ht="25.05" customHeight="1" x14ac:dyDescent="0.25">
      <c r="A10416" s="2" t="s">
        <v>8</v>
      </c>
      <c r="B10416" s="2" t="str">
        <f>HYPERLINK("http://ts.21cn.com/tousu/show/id/1341630","同城艺龙欺骗拖延退款")</f>
        <v>同城艺龙欺骗拖延退款</v>
      </c>
      <c r="C10416" s="2" t="s">
        <v>9</v>
      </c>
      <c r="D10416" s="2" t="s">
        <v>10</v>
      </c>
      <c r="E10416" s="2" t="str">
        <f>HYPERLINK("http://ts.21cn.com/tousu/show/id/1341630","http://ts.21cn.com/tousu/show/id/1341630")</f>
        <v>http://ts.21cn.com/tousu/show/id/1341630</v>
      </c>
      <c r="F10416" s="2" t="s">
        <v>11</v>
      </c>
      <c r="G10416" s="2" t="s">
        <v>23677</v>
      </c>
      <c r="H10416" s="2" t="s">
        <v>23678</v>
      </c>
    </row>
    <row r="10417" spans="1:8" ht="25.05" customHeight="1" x14ac:dyDescent="0.25">
      <c r="A10417" s="2" t="s">
        <v>8</v>
      </c>
      <c r="B10417" s="2" t="str">
        <f>HYPERLINK("http://ts.21cn.com/tousu/show/id/1341631","平安普惠威胁")</f>
        <v>平安普惠威胁</v>
      </c>
      <c r="C10417" s="2" t="s">
        <v>34</v>
      </c>
      <c r="D10417" s="2" t="s">
        <v>10</v>
      </c>
      <c r="E10417" s="2" t="str">
        <f>HYPERLINK("http://ts.21cn.com/tousu/show/id/1341631","http://ts.21cn.com/tousu/show/id/1341631")</f>
        <v>http://ts.21cn.com/tousu/show/id/1341631</v>
      </c>
      <c r="F10417" s="2" t="s">
        <v>11</v>
      </c>
      <c r="G10417" s="2" t="s">
        <v>23675</v>
      </c>
      <c r="H10417" s="2" t="s">
        <v>23676</v>
      </c>
    </row>
    <row r="10418" spans="1:8" ht="25.05" customHeight="1" x14ac:dyDescent="0.25">
      <c r="A10418" s="2" t="s">
        <v>8</v>
      </c>
      <c r="B10418" s="2" t="str">
        <f>HYPERLINK("http://ts.21cn.com/tousu/show/id/1341632","高额担保费变相砍头息")</f>
        <v>高额担保费变相砍头息</v>
      </c>
      <c r="C10418" s="2" t="s">
        <v>9</v>
      </c>
      <c r="D10418" s="2" t="s">
        <v>10</v>
      </c>
      <c r="E10418" s="2" t="str">
        <f>HYPERLINK("http://ts.21cn.com/tousu/show/id/1341632","http://ts.21cn.com/tousu/show/id/1341632")</f>
        <v>http://ts.21cn.com/tousu/show/id/1341632</v>
      </c>
      <c r="F10418" s="2" t="s">
        <v>11</v>
      </c>
      <c r="G10418" s="2" t="s">
        <v>23673</v>
      </c>
      <c r="H10418" s="2" t="s">
        <v>23674</v>
      </c>
    </row>
    <row r="10419" spans="1:8" ht="25.05" customHeight="1" x14ac:dyDescent="0.25">
      <c r="A10419" s="2" t="s">
        <v>8</v>
      </c>
      <c r="B10419" s="2" t="str">
        <f>HYPERLINK("http://ts.21cn.com/tousu/show/id/1341633","拍拍贷逾期遇到暴力催收")</f>
        <v>拍拍贷逾期遇到暴力催收</v>
      </c>
      <c r="C10419" s="2" t="s">
        <v>9</v>
      </c>
      <c r="D10419" s="2" t="s">
        <v>10</v>
      </c>
      <c r="E10419" s="2" t="str">
        <f>HYPERLINK("http://ts.21cn.com/tousu/show/id/1341633","http://ts.21cn.com/tousu/show/id/1341633")</f>
        <v>http://ts.21cn.com/tousu/show/id/1341633</v>
      </c>
      <c r="F10419" s="2" t="s">
        <v>11</v>
      </c>
      <c r="G10419" s="2" t="s">
        <v>23671</v>
      </c>
      <c r="H10419" s="2" t="s">
        <v>23672</v>
      </c>
    </row>
    <row r="10420" spans="1:8" ht="25.05" customHeight="1" x14ac:dyDescent="0.25">
      <c r="A10420" s="2" t="s">
        <v>8</v>
      </c>
      <c r="B10420" s="2" t="str">
        <f>HYPERLINK("http://ts.21cn.com/tousu/show/id/1341634","贷上钱高利贷催收态度恶劣")</f>
        <v>贷上钱高利贷催收态度恶劣</v>
      </c>
      <c r="C10420" s="2" t="s">
        <v>9</v>
      </c>
      <c r="D10420" s="2" t="s">
        <v>10</v>
      </c>
      <c r="E10420" s="2" t="str">
        <f>HYPERLINK("http://ts.21cn.com/tousu/show/id/1341634","http://ts.21cn.com/tousu/show/id/1341634")</f>
        <v>http://ts.21cn.com/tousu/show/id/1341634</v>
      </c>
      <c r="F10420" s="2" t="s">
        <v>11</v>
      </c>
      <c r="G10420" s="2" t="s">
        <v>23669</v>
      </c>
      <c r="H10420" s="2" t="s">
        <v>23670</v>
      </c>
    </row>
    <row r="10421" spans="1:8" ht="25.05" customHeight="1" x14ac:dyDescent="0.25">
      <c r="A10421" s="2" t="s">
        <v>8</v>
      </c>
      <c r="B10421" s="2" t="str">
        <f>HYPERLINK("http://ts.21cn.com/tousu/show/id/1341635","商家说有异味拒绝退款淘宝小二胡乱裁判")</f>
        <v>商家说有异味拒绝退款淘宝小二胡乱裁判</v>
      </c>
      <c r="C10421" s="2" t="s">
        <v>9</v>
      </c>
      <c r="D10421" s="2" t="s">
        <v>10</v>
      </c>
      <c r="E10421" s="2" t="str">
        <f>HYPERLINK("http://ts.21cn.com/tousu/show/id/1341635","http://ts.21cn.com/tousu/show/id/1341635")</f>
        <v>http://ts.21cn.com/tousu/show/id/1341635</v>
      </c>
      <c r="F10421" s="2" t="s">
        <v>11</v>
      </c>
      <c r="G10421" s="2" t="s">
        <v>23667</v>
      </c>
      <c r="H10421" s="2" t="s">
        <v>23668</v>
      </c>
    </row>
    <row r="10422" spans="1:8" ht="25.05" customHeight="1" x14ac:dyDescent="0.25">
      <c r="A10422" s="2" t="s">
        <v>8</v>
      </c>
      <c r="B10422" s="2" t="str">
        <f>HYPERLINK("http://ts.21cn.com/tousu/show/id/1341636","强制消费者购买保险")</f>
        <v>强制消费者购买保险</v>
      </c>
      <c r="C10422" s="2" t="s">
        <v>9</v>
      </c>
      <c r="D10422" s="2" t="s">
        <v>10</v>
      </c>
      <c r="E10422" s="2" t="str">
        <f>HYPERLINK("http://ts.21cn.com/tousu/show/id/1341636","http://ts.21cn.com/tousu/show/id/1341636")</f>
        <v>http://ts.21cn.com/tousu/show/id/1341636</v>
      </c>
      <c r="F10422" s="2" t="s">
        <v>11</v>
      </c>
      <c r="G10422" s="2" t="s">
        <v>23665</v>
      </c>
      <c r="H10422" s="2" t="s">
        <v>23666</v>
      </c>
    </row>
    <row r="10423" spans="1:8" ht="25.05" customHeight="1" x14ac:dyDescent="0.25">
      <c r="A10423" s="2" t="s">
        <v>8</v>
      </c>
      <c r="B10423" s="2" t="str">
        <f>HYPERLINK("http://ts.21cn.com/tousu/show/id/1341637","关于美约app乱扣费问题，免费试用后，自动续费会员一年298元")</f>
        <v>关于美约app乱扣费问题，免费试用后，自动续费会员一年298元</v>
      </c>
      <c r="C10423" s="2" t="s">
        <v>34</v>
      </c>
      <c r="D10423" s="2" t="s">
        <v>10</v>
      </c>
      <c r="E10423" s="2" t="str">
        <f>HYPERLINK("http://ts.21cn.com/tousu/show/id/1341637","http://ts.21cn.com/tousu/show/id/1341637")</f>
        <v>http://ts.21cn.com/tousu/show/id/1341637</v>
      </c>
      <c r="F10423" s="2" t="s">
        <v>11</v>
      </c>
      <c r="G10423" s="2" t="s">
        <v>23663</v>
      </c>
      <c r="H10423" s="2" t="s">
        <v>23664</v>
      </c>
    </row>
    <row r="10424" spans="1:8" ht="25.05" customHeight="1" x14ac:dyDescent="0.25">
      <c r="A10424" s="2" t="s">
        <v>8</v>
      </c>
      <c r="B10424" s="2" t="str">
        <f>HYPERLINK("http://ts.21cn.com/tousu/show/id/1341638","安逸花胡乱收费")</f>
        <v>安逸花胡乱收费</v>
      </c>
      <c r="C10424" s="2" t="s">
        <v>9</v>
      </c>
      <c r="D10424" s="2" t="s">
        <v>10</v>
      </c>
      <c r="E10424" s="2" t="str">
        <f>HYPERLINK("http://ts.21cn.com/tousu/show/id/1341638","http://ts.21cn.com/tousu/show/id/1341638")</f>
        <v>http://ts.21cn.com/tousu/show/id/1341638</v>
      </c>
      <c r="F10424" s="2" t="s">
        <v>11</v>
      </c>
      <c r="G10424" s="2" t="s">
        <v>23661</v>
      </c>
      <c r="H10424" s="2" t="s">
        <v>23662</v>
      </c>
    </row>
    <row r="10425" spans="1:8" ht="25.05" customHeight="1" x14ac:dyDescent="0.25">
      <c r="A10425" s="2" t="s">
        <v>8</v>
      </c>
      <c r="B10425" s="2" t="str">
        <f>HYPERLINK("http://ts.21cn.com/tousu/show/id/1341640","投诉浦发银行信用卡中心")</f>
        <v>投诉浦发银行信用卡中心</v>
      </c>
      <c r="C10425" s="2" t="s">
        <v>9</v>
      </c>
      <c r="D10425" s="2" t="s">
        <v>10</v>
      </c>
      <c r="E10425" s="2" t="str">
        <f>HYPERLINK("http://ts.21cn.com/tousu/show/id/1341640","http://ts.21cn.com/tousu/show/id/1341640")</f>
        <v>http://ts.21cn.com/tousu/show/id/1341640</v>
      </c>
      <c r="F10425" s="2" t="s">
        <v>11</v>
      </c>
      <c r="G10425" s="2" t="s">
        <v>23659</v>
      </c>
      <c r="H10425" s="2" t="s">
        <v>23660</v>
      </c>
    </row>
    <row r="10426" spans="1:8" ht="25.05" customHeight="1" x14ac:dyDescent="0.25">
      <c r="A10426" s="2" t="s">
        <v>8</v>
      </c>
      <c r="B10426" s="2" t="str">
        <f>HYPERLINK("http://ts.21cn.com/tousu/show/id/1341641","全额退费，尽快处理")</f>
        <v>全额退费，尽快处理</v>
      </c>
      <c r="C10426" s="2" t="s">
        <v>9</v>
      </c>
      <c r="D10426" s="2" t="s">
        <v>10</v>
      </c>
      <c r="E10426" s="2" t="str">
        <f>HYPERLINK("http://ts.21cn.com/tousu/show/id/1341641","http://ts.21cn.com/tousu/show/id/1341641")</f>
        <v>http://ts.21cn.com/tousu/show/id/1341641</v>
      </c>
      <c r="F10426" s="2" t="s">
        <v>11</v>
      </c>
      <c r="G10426" s="2" t="s">
        <v>23657</v>
      </c>
      <c r="H10426" s="2" t="s">
        <v>23658</v>
      </c>
    </row>
    <row r="10427" spans="1:8" ht="25.05" customHeight="1" x14ac:dyDescent="0.25">
      <c r="A10427" s="2" t="s">
        <v>8</v>
      </c>
      <c r="B10427" s="2" t="str">
        <f>HYPERLINK("http://ts.21cn.com/tousu/show/id/1341642","好借钱app恶意扣款")</f>
        <v>好借钱app恶意扣款</v>
      </c>
      <c r="C10427" s="2" t="s">
        <v>9</v>
      </c>
      <c r="D10427" s="2" t="s">
        <v>10</v>
      </c>
      <c r="E10427" s="2" t="str">
        <f>HYPERLINK("http://ts.21cn.com/tousu/show/id/1341642","http://ts.21cn.com/tousu/show/id/1341642")</f>
        <v>http://ts.21cn.com/tousu/show/id/1341642</v>
      </c>
      <c r="F10427" s="2" t="s">
        <v>11</v>
      </c>
      <c r="G10427" s="2" t="s">
        <v>23655</v>
      </c>
      <c r="H10427" s="2" t="s">
        <v>23656</v>
      </c>
    </row>
    <row r="10428" spans="1:8" ht="25.05" customHeight="1" x14ac:dyDescent="0.25">
      <c r="A10428" s="2" t="s">
        <v>8</v>
      </c>
      <c r="B10428" s="2" t="str">
        <f>HYPERLINK("http://ts.21cn.com/tousu/show/id/1341643","招联金融暴力催收恐吓骚扰")</f>
        <v>招联金融暴力催收恐吓骚扰</v>
      </c>
      <c r="C10428" s="2" t="s">
        <v>9</v>
      </c>
      <c r="D10428" s="2" t="s">
        <v>10</v>
      </c>
      <c r="E10428" s="2" t="str">
        <f>HYPERLINK("http://ts.21cn.com/tousu/show/id/1341643","http://ts.21cn.com/tousu/show/id/1341643")</f>
        <v>http://ts.21cn.com/tousu/show/id/1341643</v>
      </c>
      <c r="F10428" s="2" t="s">
        <v>11</v>
      </c>
      <c r="G10428" s="2" t="s">
        <v>23653</v>
      </c>
      <c r="H10428" s="2" t="s">
        <v>23654</v>
      </c>
    </row>
    <row r="10429" spans="1:8" ht="25.05" customHeight="1" x14ac:dyDescent="0.25">
      <c r="A10429" s="2" t="s">
        <v>8</v>
      </c>
      <c r="B10429" s="2" t="str">
        <f>HYPERLINK("http://ts.21cn.com/tousu/show/id/1341644","钱橙无忧随意扣费")</f>
        <v>钱橙无忧随意扣费</v>
      </c>
      <c r="C10429" s="2" t="s">
        <v>34</v>
      </c>
      <c r="D10429" s="2" t="s">
        <v>10</v>
      </c>
      <c r="E10429" s="2" t="str">
        <f>HYPERLINK("http://ts.21cn.com/tousu/show/id/1341644","http://ts.21cn.com/tousu/show/id/1341644")</f>
        <v>http://ts.21cn.com/tousu/show/id/1341644</v>
      </c>
      <c r="F10429" s="2" t="s">
        <v>11</v>
      </c>
      <c r="G10429" s="2" t="s">
        <v>23651</v>
      </c>
      <c r="H10429" s="2" t="s">
        <v>23652</v>
      </c>
    </row>
    <row r="10430" spans="1:8" ht="25.05" customHeight="1" x14ac:dyDescent="0.25">
      <c r="A10430" s="2" t="s">
        <v>8</v>
      </c>
      <c r="B10430" s="2" t="str">
        <f>HYPERLINK("http://ts.21cn.com/tousu/show/id/1341645","一个星期一期，4期利息太高，逾期费用承担不起")</f>
        <v>一个星期一期，4期利息太高，逾期费用承担不起</v>
      </c>
      <c r="C10430" s="2" t="s">
        <v>9</v>
      </c>
      <c r="D10430" s="2" t="s">
        <v>10</v>
      </c>
      <c r="E10430" s="2" t="str">
        <f>HYPERLINK("http://ts.21cn.com/tousu/show/id/1341645","http://ts.21cn.com/tousu/show/id/1341645")</f>
        <v>http://ts.21cn.com/tousu/show/id/1341645</v>
      </c>
      <c r="F10430" s="2" t="s">
        <v>11</v>
      </c>
      <c r="G10430" s="2" t="s">
        <v>23649</v>
      </c>
      <c r="H10430" s="2" t="s">
        <v>23650</v>
      </c>
    </row>
    <row r="10431" spans="1:8" ht="25.05" customHeight="1" x14ac:dyDescent="0.25">
      <c r="A10431" s="2" t="s">
        <v>8</v>
      </c>
      <c r="B10431" s="2" t="str">
        <f>HYPERLINK("http://ts.21cn.com/tousu/show/id/1341646","天迈新能源离职不发提成")</f>
        <v>天迈新能源离职不发提成</v>
      </c>
      <c r="C10431" s="2" t="s">
        <v>9</v>
      </c>
      <c r="D10431" s="2" t="s">
        <v>10</v>
      </c>
      <c r="E10431" s="2" t="str">
        <f>HYPERLINK("http://ts.21cn.com/tousu/show/id/1341646","http://ts.21cn.com/tousu/show/id/1341646")</f>
        <v>http://ts.21cn.com/tousu/show/id/1341646</v>
      </c>
      <c r="F10431" s="2" t="s">
        <v>11</v>
      </c>
      <c r="G10431" s="2" t="s">
        <v>23647</v>
      </c>
      <c r="H10431" s="2" t="s">
        <v>23648</v>
      </c>
    </row>
    <row r="10432" spans="1:8" ht="25.05" customHeight="1" x14ac:dyDescent="0.25">
      <c r="A10432" s="2" t="s">
        <v>8</v>
      </c>
      <c r="B10432" s="2" t="str">
        <f>HYPERLINK("http://ts.21cn.com/tousu/show/id/1341647","在天猫买了一件上千块的衣服，退货后商家说破损了拒绝退款")</f>
        <v>在天猫买了一件上千块的衣服，退货后商家说破损了拒绝退款</v>
      </c>
      <c r="C10432" s="2" t="s">
        <v>34</v>
      </c>
      <c r="D10432" s="2" t="s">
        <v>10</v>
      </c>
      <c r="E10432" s="2" t="str">
        <f>HYPERLINK("http://ts.21cn.com/tousu/show/id/1341647","http://ts.21cn.com/tousu/show/id/1341647")</f>
        <v>http://ts.21cn.com/tousu/show/id/1341647</v>
      </c>
      <c r="F10432" s="2" t="s">
        <v>11</v>
      </c>
      <c r="G10432" s="2" t="s">
        <v>23645</v>
      </c>
      <c r="H10432" s="2" t="s">
        <v>23646</v>
      </c>
    </row>
    <row r="10433" spans="1:8" ht="25.05" customHeight="1" x14ac:dyDescent="0.25">
      <c r="A10433" s="2" t="s">
        <v>8</v>
      </c>
      <c r="B10433" s="2" t="str">
        <f>HYPERLINK("http://ts.21cn.com/tousu/show/id/1341648","豹子贷恶意扣款")</f>
        <v>豹子贷恶意扣款</v>
      </c>
      <c r="C10433" s="2" t="s">
        <v>9</v>
      </c>
      <c r="D10433" s="2" t="s">
        <v>10</v>
      </c>
      <c r="E10433" s="2" t="str">
        <f>HYPERLINK("http://ts.21cn.com/tousu/show/id/1341648","http://ts.21cn.com/tousu/show/id/1341648")</f>
        <v>http://ts.21cn.com/tousu/show/id/1341648</v>
      </c>
      <c r="F10433" s="2" t="s">
        <v>11</v>
      </c>
      <c r="G10433" s="2" t="s">
        <v>23643</v>
      </c>
      <c r="H10433" s="2" t="s">
        <v>23644</v>
      </c>
    </row>
    <row r="10434" spans="1:8" ht="25.05" customHeight="1" x14ac:dyDescent="0.25">
      <c r="A10434" s="2" t="s">
        <v>8</v>
      </c>
      <c r="B10434" s="2" t="str">
        <f>HYPERLINK("http://ts.21cn.com/tousu/show/id/1341649","5866买了之后不能用")</f>
        <v>5866买了之后不能用</v>
      </c>
      <c r="C10434" s="2" t="s">
        <v>34</v>
      </c>
      <c r="D10434" s="2" t="s">
        <v>10</v>
      </c>
      <c r="E10434" s="2" t="str">
        <f>HYPERLINK("http://ts.21cn.com/tousu/show/id/1341649","http://ts.21cn.com/tousu/show/id/1341649")</f>
        <v>http://ts.21cn.com/tousu/show/id/1341649</v>
      </c>
      <c r="F10434" s="2" t="s">
        <v>11</v>
      </c>
      <c r="G10434" s="2" t="s">
        <v>23641</v>
      </c>
      <c r="H10434" s="2" t="s">
        <v>23642</v>
      </c>
    </row>
    <row r="10435" spans="1:8" ht="25.05" customHeight="1" x14ac:dyDescent="0.25">
      <c r="A10435" s="2" t="s">
        <v>8</v>
      </c>
      <c r="B10435" s="2" t="str">
        <f>HYPERLINK("http://ts.21cn.com/tousu/show/id/1341650","暴击催收")</f>
        <v>暴击催收</v>
      </c>
      <c r="C10435" s="2" t="s">
        <v>9</v>
      </c>
      <c r="D10435" s="2" t="s">
        <v>10</v>
      </c>
      <c r="E10435" s="2" t="str">
        <f>HYPERLINK("http://ts.21cn.com/tousu/show/id/1341650","http://ts.21cn.com/tousu/show/id/1341650")</f>
        <v>http://ts.21cn.com/tousu/show/id/1341650</v>
      </c>
      <c r="F10435" s="2" t="s">
        <v>11</v>
      </c>
      <c r="G10435" s="2" t="s">
        <v>23639</v>
      </c>
      <c r="H10435" s="2" t="s">
        <v>23640</v>
      </c>
    </row>
    <row r="10436" spans="1:8" ht="25.05" customHeight="1" x14ac:dyDescent="0.25">
      <c r="A10436" s="2" t="s">
        <v>8</v>
      </c>
      <c r="B10436" s="2" t="str">
        <f>HYPERLINK("http://ts.21cn.com/tousu/show/id/1341651","宏萨（上海）信息科技有限公司私自扣钱，盗刷资金")</f>
        <v>宏萨（上海）信息科技有限公司私自扣钱，盗刷资金</v>
      </c>
      <c r="C10436" s="2" t="s">
        <v>9</v>
      </c>
      <c r="D10436" s="2" t="s">
        <v>10</v>
      </c>
      <c r="E10436" s="2" t="str">
        <f>HYPERLINK("http://ts.21cn.com/tousu/show/id/1341651","http://ts.21cn.com/tousu/show/id/1341651")</f>
        <v>http://ts.21cn.com/tousu/show/id/1341651</v>
      </c>
      <c r="F10436" s="2" t="s">
        <v>11</v>
      </c>
      <c r="G10436" s="2" t="s">
        <v>23637</v>
      </c>
      <c r="H10436" s="2" t="s">
        <v>23638</v>
      </c>
    </row>
    <row r="10437" spans="1:8" ht="25.05" customHeight="1" x14ac:dyDescent="0.25">
      <c r="A10437" s="2" t="s">
        <v>8</v>
      </c>
      <c r="B10437" s="2" t="str">
        <f>HYPERLINK("http://ts.21cn.com/tousu/show/id/1341653","交通银行暴力催收")</f>
        <v>交通银行暴力催收</v>
      </c>
      <c r="C10437" s="2" t="s">
        <v>9</v>
      </c>
      <c r="D10437" s="2" t="s">
        <v>10</v>
      </c>
      <c r="E10437" s="2" t="str">
        <f>HYPERLINK("http://ts.21cn.com/tousu/show/id/1341653","http://ts.21cn.com/tousu/show/id/1341653")</f>
        <v>http://ts.21cn.com/tousu/show/id/1341653</v>
      </c>
      <c r="F10437" s="2" t="s">
        <v>11</v>
      </c>
      <c r="G10437" s="2" t="s">
        <v>23635</v>
      </c>
      <c r="H10437" s="2" t="s">
        <v>23636</v>
      </c>
    </row>
    <row r="10438" spans="1:8" ht="25.05" customHeight="1" x14ac:dyDescent="0.25">
      <c r="A10438" s="2" t="s">
        <v>8</v>
      </c>
      <c r="B10438" s="2" t="str">
        <f>HYPERLINK("http://ts.21cn.com/tousu/show/id/1341654","个人资料被泄露")</f>
        <v>个人资料被泄露</v>
      </c>
      <c r="C10438" s="2" t="s">
        <v>9</v>
      </c>
      <c r="D10438" s="2" t="s">
        <v>10</v>
      </c>
      <c r="E10438" s="2" t="str">
        <f>HYPERLINK("http://ts.21cn.com/tousu/show/id/1341654","http://ts.21cn.com/tousu/show/id/1341654")</f>
        <v>http://ts.21cn.com/tousu/show/id/1341654</v>
      </c>
      <c r="F10438" s="2" t="s">
        <v>11</v>
      </c>
      <c r="G10438" s="2" t="s">
        <v>23633</v>
      </c>
      <c r="H10438" s="2" t="s">
        <v>23634</v>
      </c>
    </row>
    <row r="10439" spans="1:8" ht="25.05" customHeight="1" x14ac:dyDescent="0.25">
      <c r="A10439" s="2" t="s">
        <v>8</v>
      </c>
      <c r="B10439" s="2" t="str">
        <f>HYPERLINK("http://ts.21cn.com/tousu/show/id/1341655","扣钱但不履行时间")</f>
        <v>扣钱但不履行时间</v>
      </c>
      <c r="C10439" s="2" t="s">
        <v>34</v>
      </c>
      <c r="D10439" s="2" t="s">
        <v>10</v>
      </c>
      <c r="E10439" s="2" t="str">
        <f>HYPERLINK("http://ts.21cn.com/tousu/show/id/1341655","http://ts.21cn.com/tousu/show/id/1341655")</f>
        <v>http://ts.21cn.com/tousu/show/id/1341655</v>
      </c>
      <c r="F10439" s="2" t="s">
        <v>11</v>
      </c>
      <c r="G10439" s="2" t="s">
        <v>23631</v>
      </c>
      <c r="H10439" s="2" t="s">
        <v>23632</v>
      </c>
    </row>
    <row r="10440" spans="1:8" ht="25.05" customHeight="1" x14ac:dyDescent="0.25">
      <c r="A10440" s="2" t="s">
        <v>8</v>
      </c>
      <c r="B10440" s="2" t="str">
        <f>HYPERLINK("http://ts.21cn.com/tousu/show/id/1341656","我来贷")</f>
        <v>我来贷</v>
      </c>
      <c r="C10440" s="2" t="s">
        <v>9</v>
      </c>
      <c r="D10440" s="2" t="s">
        <v>10</v>
      </c>
      <c r="E10440" s="2" t="str">
        <f>HYPERLINK("http://ts.21cn.com/tousu/show/id/1341656","http://ts.21cn.com/tousu/show/id/1341656")</f>
        <v>http://ts.21cn.com/tousu/show/id/1341656</v>
      </c>
      <c r="F10440" s="2" t="s">
        <v>11</v>
      </c>
      <c r="G10440" s="2" t="s">
        <v>23629</v>
      </c>
      <c r="H10440" s="2" t="s">
        <v>23630</v>
      </c>
    </row>
    <row r="10441" spans="1:8" ht="25.05" customHeight="1" x14ac:dyDescent="0.25">
      <c r="A10441" s="2" t="s">
        <v>8</v>
      </c>
      <c r="B10441" s="2" t="str">
        <f>HYPERLINK("http://ts.21cn.com/tousu/show/id/1341657","投诉马上高利贷，请求减免罚息，更改还款日")</f>
        <v>投诉马上高利贷，请求减免罚息，更改还款日</v>
      </c>
      <c r="C10441" s="2" t="s">
        <v>9</v>
      </c>
      <c r="D10441" s="2" t="s">
        <v>10</v>
      </c>
      <c r="E10441" s="2" t="str">
        <f>HYPERLINK("http://ts.21cn.com/tousu/show/id/1341657","http://ts.21cn.com/tousu/show/id/1341657")</f>
        <v>http://ts.21cn.com/tousu/show/id/1341657</v>
      </c>
      <c r="F10441" s="2" t="s">
        <v>11</v>
      </c>
      <c r="G10441" s="2" t="s">
        <v>23627</v>
      </c>
      <c r="H10441" s="2" t="s">
        <v>23628</v>
      </c>
    </row>
    <row r="10442" spans="1:8" ht="25.05" customHeight="1" x14ac:dyDescent="0.25">
      <c r="A10442" s="2" t="s">
        <v>8</v>
      </c>
      <c r="B10442" s="2" t="str">
        <f>HYPERLINK("http://ts.21cn.com/tousu/show/id/1341658","大型赌博")</f>
        <v>大型赌博</v>
      </c>
      <c r="C10442" s="2" t="s">
        <v>9</v>
      </c>
      <c r="D10442" s="2" t="s">
        <v>10</v>
      </c>
      <c r="E10442" s="2" t="str">
        <f>HYPERLINK("http://ts.21cn.com/tousu/show/id/1341658","http://ts.21cn.com/tousu/show/id/1341658")</f>
        <v>http://ts.21cn.com/tousu/show/id/1341658</v>
      </c>
      <c r="F10442" s="2" t="s">
        <v>11</v>
      </c>
      <c r="G10442" s="2" t="s">
        <v>23625</v>
      </c>
      <c r="H10442" s="2" t="s">
        <v>23626</v>
      </c>
    </row>
    <row r="10443" spans="1:8" ht="25.05" customHeight="1" x14ac:dyDescent="0.25">
      <c r="A10443" s="2" t="s">
        <v>8</v>
      </c>
      <c r="B10443" s="2" t="str">
        <f>HYPERLINK("http://ts.21cn.com/tousu/show/id/1341660","暴力催收，恐吓催收，持续骚扰")</f>
        <v>暴力催收，恐吓催收，持续骚扰</v>
      </c>
      <c r="C10443" s="2" t="s">
        <v>9</v>
      </c>
      <c r="D10443" s="2" t="s">
        <v>10</v>
      </c>
      <c r="E10443" s="2" t="str">
        <f>HYPERLINK("http://ts.21cn.com/tousu/show/id/1341660","http://ts.21cn.com/tousu/show/id/1341660")</f>
        <v>http://ts.21cn.com/tousu/show/id/1341660</v>
      </c>
      <c r="F10443" s="2" t="s">
        <v>11</v>
      </c>
      <c r="G10443" s="2" t="s">
        <v>23623</v>
      </c>
      <c r="H10443" s="2" t="s">
        <v>23624</v>
      </c>
    </row>
    <row r="10444" spans="1:8" ht="25.05" customHeight="1" x14ac:dyDescent="0.25">
      <c r="A10444" s="2" t="s">
        <v>8</v>
      </c>
      <c r="B10444" s="2" t="str">
        <f>HYPERLINK("http://ts.21cn.com/tousu/show/id/1341661","POS机分润不给提现")</f>
        <v>POS机分润不给提现</v>
      </c>
      <c r="C10444" s="2" t="s">
        <v>34</v>
      </c>
      <c r="D10444" s="2" t="s">
        <v>10</v>
      </c>
      <c r="E10444" s="2" t="str">
        <f>HYPERLINK("http://ts.21cn.com/tousu/show/id/1341661","http://ts.21cn.com/tousu/show/id/1341661")</f>
        <v>http://ts.21cn.com/tousu/show/id/1341661</v>
      </c>
      <c r="F10444" s="2" t="s">
        <v>11</v>
      </c>
      <c r="G10444" s="2" t="s">
        <v>23621</v>
      </c>
      <c r="H10444" s="2" t="s">
        <v>23622</v>
      </c>
    </row>
    <row r="10445" spans="1:8" ht="25.05" customHeight="1" x14ac:dyDescent="0.25">
      <c r="A10445" s="2" t="s">
        <v>8</v>
      </c>
      <c r="B10445" s="2" t="str">
        <f>HYPERLINK("http://ts.21cn.com/tousu/show/id/1341663","投诉抖音小店-值点商城，拒不退保证金，所有流程都走完了，就是不给退，官方就一个邮箱，根本不给回信")</f>
        <v>投诉抖音小店-值点商城，拒不退保证金，所有流程都走完了，就是不给退，官方就一个邮箱，根本不给回信</v>
      </c>
      <c r="C10445" s="2" t="s">
        <v>9</v>
      </c>
      <c r="D10445" s="2" t="s">
        <v>10</v>
      </c>
      <c r="E10445" s="2" t="str">
        <f>HYPERLINK("http://ts.21cn.com/tousu/show/id/1341663","http://ts.21cn.com/tousu/show/id/1341663")</f>
        <v>http://ts.21cn.com/tousu/show/id/1341663</v>
      </c>
      <c r="F10445" s="2" t="s">
        <v>11</v>
      </c>
      <c r="G10445" s="2" t="s">
        <v>23619</v>
      </c>
      <c r="H10445" s="2" t="s">
        <v>23620</v>
      </c>
    </row>
    <row r="10446" spans="1:8" ht="25.05" customHeight="1" x14ac:dyDescent="0.25">
      <c r="A10446" s="2" t="s">
        <v>8</v>
      </c>
      <c r="B10446" s="2" t="str">
        <f>HYPERLINK("http://ts.21cn.com/tousu/show/id/1341662","高利贷，年化利率高达55%，搭售保险")</f>
        <v>高利贷，年化利率高达55%，搭售保险</v>
      </c>
      <c r="C10446" s="2" t="s">
        <v>9</v>
      </c>
      <c r="D10446" s="2" t="s">
        <v>10</v>
      </c>
      <c r="E10446" s="2" t="str">
        <f>HYPERLINK("http://ts.21cn.com/tousu/show/id/1341662","http://ts.21cn.com/tousu/show/id/1341662")</f>
        <v>http://ts.21cn.com/tousu/show/id/1341662</v>
      </c>
      <c r="F10446" s="2" t="s">
        <v>11</v>
      </c>
      <c r="G10446" s="2" t="s">
        <v>23617</v>
      </c>
      <c r="H10446" s="2" t="s">
        <v>23618</v>
      </c>
    </row>
    <row r="10447" spans="1:8" ht="25.05" customHeight="1" x14ac:dyDescent="0.25">
      <c r="A10447" s="2" t="s">
        <v>8</v>
      </c>
      <c r="B10447" s="2" t="str">
        <f>HYPERLINK("http://ts.21cn.com/tousu/show/id/1341664","我来贷，高利贷，砍头息，拒绝协商处理。")</f>
        <v>我来贷，高利贷，砍头息，拒绝协商处理。</v>
      </c>
      <c r="C10447" s="2" t="s">
        <v>9</v>
      </c>
      <c r="D10447" s="2" t="s">
        <v>10</v>
      </c>
      <c r="E10447" s="2" t="str">
        <f>HYPERLINK("http://ts.21cn.com/tousu/show/id/1341664","http://ts.21cn.com/tousu/show/id/1341664")</f>
        <v>http://ts.21cn.com/tousu/show/id/1341664</v>
      </c>
      <c r="F10447" s="2" t="s">
        <v>11</v>
      </c>
      <c r="G10447" s="2" t="s">
        <v>23615</v>
      </c>
      <c r="H10447" s="2" t="s">
        <v>23616</v>
      </c>
    </row>
    <row r="10448" spans="1:8" ht="25.05" customHeight="1" x14ac:dyDescent="0.25">
      <c r="A10448" s="2" t="s">
        <v>8</v>
      </c>
      <c r="B10448" s="2" t="str">
        <f>HYPERLINK("http://ts.21cn.com/tousu/show/id/1341666","马上消费金融扣了款账单不更新仍然显示欠款一千多")</f>
        <v>马上消费金融扣了款账单不更新仍然显示欠款一千多</v>
      </c>
      <c r="C10448" s="2" t="s">
        <v>34</v>
      </c>
      <c r="D10448" s="2" t="s">
        <v>10</v>
      </c>
      <c r="E10448" s="2" t="str">
        <f>HYPERLINK("http://ts.21cn.com/tousu/show/id/1341666","http://ts.21cn.com/tousu/show/id/1341666")</f>
        <v>http://ts.21cn.com/tousu/show/id/1341666</v>
      </c>
      <c r="F10448" s="2" t="s">
        <v>11</v>
      </c>
      <c r="G10448" s="2" t="s">
        <v>23613</v>
      </c>
      <c r="H10448" s="2" t="s">
        <v>23614</v>
      </c>
    </row>
    <row r="10449" spans="1:8" ht="25.05" customHeight="1" x14ac:dyDescent="0.25">
      <c r="A10449" s="2" t="s">
        <v>8</v>
      </c>
      <c r="B10449" s="2" t="str">
        <f>HYPERLINK("http://ts.21cn.com/tousu/show/id/1341667","钱站高利贷阴阳合同")</f>
        <v>钱站高利贷阴阳合同</v>
      </c>
      <c r="C10449" s="2" t="s">
        <v>9</v>
      </c>
      <c r="D10449" s="2" t="s">
        <v>10</v>
      </c>
      <c r="E10449" s="2" t="str">
        <f>HYPERLINK("http://ts.21cn.com/tousu/show/id/1341667","http://ts.21cn.com/tousu/show/id/1341667")</f>
        <v>http://ts.21cn.com/tousu/show/id/1341667</v>
      </c>
      <c r="F10449" s="2" t="s">
        <v>11</v>
      </c>
      <c r="G10449" s="2" t="s">
        <v>23611</v>
      </c>
      <c r="H10449" s="2" t="s">
        <v>23612</v>
      </c>
    </row>
    <row r="10450" spans="1:8" ht="25.05" customHeight="1" x14ac:dyDescent="0.25">
      <c r="A10450" s="2" t="s">
        <v>8</v>
      </c>
      <c r="B10450" s="2" t="str">
        <f>HYPERLINK("http://ts.21cn.com/tousu/show/id/1341668","招联金融")</f>
        <v>招联金融</v>
      </c>
      <c r="C10450" s="2" t="s">
        <v>9</v>
      </c>
      <c r="D10450" s="2" t="s">
        <v>10</v>
      </c>
      <c r="E10450" s="2" t="str">
        <f>HYPERLINK("http://ts.21cn.com/tousu/show/id/1341668","http://ts.21cn.com/tousu/show/id/1341668")</f>
        <v>http://ts.21cn.com/tousu/show/id/1341668</v>
      </c>
      <c r="F10450" s="2" t="s">
        <v>11</v>
      </c>
      <c r="G10450" s="2" t="s">
        <v>23609</v>
      </c>
      <c r="H10450" s="2" t="s">
        <v>23610</v>
      </c>
    </row>
    <row r="10451" spans="1:8" ht="25.05" customHeight="1" x14ac:dyDescent="0.25">
      <c r="A10451" s="2" t="s">
        <v>8</v>
      </c>
      <c r="B10451" s="2" t="str">
        <f>HYPERLINK("http://ts.21cn.com/tousu/show/id/1341669","钱伴催收恶意造谣")</f>
        <v>钱伴催收恶意造谣</v>
      </c>
      <c r="C10451" s="2" t="s">
        <v>9</v>
      </c>
      <c r="D10451" s="2" t="s">
        <v>10</v>
      </c>
      <c r="E10451" s="2" t="str">
        <f>HYPERLINK("http://ts.21cn.com/tousu/show/id/1341669","http://ts.21cn.com/tousu/show/id/1341669")</f>
        <v>http://ts.21cn.com/tousu/show/id/1341669</v>
      </c>
      <c r="F10451" s="2" t="s">
        <v>11</v>
      </c>
      <c r="G10451" s="2" t="s">
        <v>23606</v>
      </c>
      <c r="H10451" s="2" t="s">
        <v>23607</v>
      </c>
    </row>
    <row r="10452" spans="1:8" ht="25.05" customHeight="1" x14ac:dyDescent="0.25">
      <c r="A10452" s="2" t="s">
        <v>8</v>
      </c>
      <c r="B10452" s="2" t="str">
        <f>HYPERLINK("http://ts.21cn.com/tousu/show/id/1341670","美团金融暴力催收")</f>
        <v>美团金融暴力催收</v>
      </c>
      <c r="C10452" s="2" t="s">
        <v>9</v>
      </c>
      <c r="D10452" s="2" t="s">
        <v>10</v>
      </c>
      <c r="E10452" s="2" t="str">
        <f>HYPERLINK("http://ts.21cn.com/tousu/show/id/1341670","http://ts.21cn.com/tousu/show/id/1341670")</f>
        <v>http://ts.21cn.com/tousu/show/id/1341670</v>
      </c>
      <c r="F10452" s="2" t="s">
        <v>11</v>
      </c>
      <c r="G10452" s="2" t="s">
        <v>23606</v>
      </c>
      <c r="H10452" s="2" t="s">
        <v>23608</v>
      </c>
    </row>
    <row r="10453" spans="1:8" ht="25.05" customHeight="1" x14ac:dyDescent="0.25">
      <c r="A10453" s="2" t="s">
        <v>8</v>
      </c>
      <c r="B10453" s="2" t="str">
        <f>HYPERLINK("http://ts.21cn.com/tousu/show/id/1341671","申请协商处理")</f>
        <v>申请协商处理</v>
      </c>
      <c r="C10453" s="2" t="s">
        <v>34</v>
      </c>
      <c r="D10453" s="2" t="s">
        <v>10</v>
      </c>
      <c r="E10453" s="2" t="str">
        <f>HYPERLINK("http://ts.21cn.com/tousu/show/id/1341671","http://ts.21cn.com/tousu/show/id/1341671")</f>
        <v>http://ts.21cn.com/tousu/show/id/1341671</v>
      </c>
      <c r="F10453" s="2" t="s">
        <v>11</v>
      </c>
      <c r="G10453" s="2" t="s">
        <v>23604</v>
      </c>
      <c r="H10453" s="2" t="s">
        <v>23605</v>
      </c>
    </row>
    <row r="10454" spans="1:8" ht="25.05" customHeight="1" x14ac:dyDescent="0.25">
      <c r="A10454" s="2" t="s">
        <v>8</v>
      </c>
      <c r="B10454" s="2" t="str">
        <f>HYPERLINK("http://ts.21cn.com/tousu/show/id/1341672","你我贷暴力催收恐吓高利贷")</f>
        <v>你我贷暴力催收恐吓高利贷</v>
      </c>
      <c r="C10454" s="2" t="s">
        <v>9</v>
      </c>
      <c r="D10454" s="2" t="s">
        <v>10</v>
      </c>
      <c r="E10454" s="2" t="str">
        <f>HYPERLINK("http://ts.21cn.com/tousu/show/id/1341672","http://ts.21cn.com/tousu/show/id/1341672")</f>
        <v>http://ts.21cn.com/tousu/show/id/1341672</v>
      </c>
      <c r="F10454" s="2" t="s">
        <v>11</v>
      </c>
      <c r="G10454" s="2" t="s">
        <v>23602</v>
      </c>
      <c r="H10454" s="2" t="s">
        <v>23603</v>
      </c>
    </row>
    <row r="10455" spans="1:8" ht="25.05" customHeight="1" x14ac:dyDescent="0.25">
      <c r="A10455" s="2" t="s">
        <v>8</v>
      </c>
      <c r="B10455" s="2" t="str">
        <f>HYPERLINK("http://ts.21cn.com/tousu/show/id/1341674","小沃科技有限公司乱收费")</f>
        <v>小沃科技有限公司乱收费</v>
      </c>
      <c r="C10455" s="2" t="s">
        <v>9</v>
      </c>
      <c r="D10455" s="2" t="s">
        <v>10</v>
      </c>
      <c r="E10455" s="2" t="str">
        <f>HYPERLINK("http://ts.21cn.com/tousu/show/id/1341674","http://ts.21cn.com/tousu/show/id/1341674")</f>
        <v>http://ts.21cn.com/tousu/show/id/1341674</v>
      </c>
      <c r="F10455" s="2" t="s">
        <v>11</v>
      </c>
      <c r="G10455" s="2" t="s">
        <v>23600</v>
      </c>
      <c r="H10455" s="2" t="s">
        <v>23601</v>
      </c>
    </row>
    <row r="10456" spans="1:8" ht="25.05" customHeight="1" x14ac:dyDescent="0.25">
      <c r="A10456" s="2" t="s">
        <v>8</v>
      </c>
      <c r="B10456" s="2" t="str">
        <f>HYPERLINK("http://ts.21cn.com/tousu/show/id/1341673","新橙优品风险保证金问题")</f>
        <v>新橙优品风险保证金问题</v>
      </c>
      <c r="C10456" s="2" t="s">
        <v>34</v>
      </c>
      <c r="D10456" s="2" t="s">
        <v>10</v>
      </c>
      <c r="E10456" s="2" t="str">
        <f>HYPERLINK("http://ts.21cn.com/tousu/show/id/1341673","http://ts.21cn.com/tousu/show/id/1341673")</f>
        <v>http://ts.21cn.com/tousu/show/id/1341673</v>
      </c>
      <c r="F10456" s="2" t="s">
        <v>11</v>
      </c>
      <c r="G10456" s="2" t="s">
        <v>23598</v>
      </c>
      <c r="H10456" s="2" t="s">
        <v>23599</v>
      </c>
    </row>
    <row r="10457" spans="1:8" ht="25.05" customHeight="1" x14ac:dyDescent="0.25">
      <c r="A10457" s="2" t="s">
        <v>8</v>
      </c>
      <c r="B10457" s="2" t="str">
        <f>HYPERLINK("http://ts.21cn.com/tousu/show/id/1341675","火影帮砍头息一直不处理")</f>
        <v>火影帮砍头息一直不处理</v>
      </c>
      <c r="C10457" s="2" t="s">
        <v>34</v>
      </c>
      <c r="D10457" s="2" t="s">
        <v>10</v>
      </c>
      <c r="E10457" s="2" t="str">
        <f>HYPERLINK("http://ts.21cn.com/tousu/show/id/1341675","http://ts.21cn.com/tousu/show/id/1341675")</f>
        <v>http://ts.21cn.com/tousu/show/id/1341675</v>
      </c>
      <c r="F10457" s="2" t="s">
        <v>11</v>
      </c>
      <c r="G10457" s="2" t="s">
        <v>23596</v>
      </c>
      <c r="H10457" s="2" t="s">
        <v>23597</v>
      </c>
    </row>
    <row r="10458" spans="1:8" ht="25.05" customHeight="1" x14ac:dyDescent="0.25">
      <c r="A10458" s="2" t="s">
        <v>8</v>
      </c>
      <c r="B10458" s="2" t="str">
        <f>HYPERLINK("http://ts.21cn.com/tousu/show/id/1341676","合利宝支付有限公司和中国电信股份有限公司忻州分公司为非法网贷714高炮提供支付渠道快捷扣款渠道")</f>
        <v>合利宝支付有限公司和中国电信股份有限公司忻州分公司为非法网贷714高炮提供支付渠道快捷扣款渠道</v>
      </c>
      <c r="C10458" s="2" t="s">
        <v>9</v>
      </c>
      <c r="D10458" s="2" t="s">
        <v>10</v>
      </c>
      <c r="E10458" s="2" t="str">
        <f>HYPERLINK("http://ts.21cn.com/tousu/show/id/1341676","http://ts.21cn.com/tousu/show/id/1341676")</f>
        <v>http://ts.21cn.com/tousu/show/id/1341676</v>
      </c>
      <c r="F10458" s="2" t="s">
        <v>11</v>
      </c>
      <c r="G10458" s="2" t="s">
        <v>23594</v>
      </c>
      <c r="H10458" s="2" t="s">
        <v>23595</v>
      </c>
    </row>
    <row r="10459" spans="1:8" ht="25.05" customHeight="1" x14ac:dyDescent="0.25">
      <c r="A10459" s="2" t="s">
        <v>8</v>
      </c>
      <c r="B10459" s="2" t="str">
        <f>HYPERLINK("http://ts.21cn.com/tousu/show/id/1341677","立借app变相高利贷，威胁还款")</f>
        <v>立借app变相高利贷，威胁还款</v>
      </c>
      <c r="C10459" s="2" t="s">
        <v>9</v>
      </c>
      <c r="D10459" s="2" t="s">
        <v>10</v>
      </c>
      <c r="E10459" s="2" t="str">
        <f>HYPERLINK("http://ts.21cn.com/tousu/show/id/1341677","http://ts.21cn.com/tousu/show/id/1341677")</f>
        <v>http://ts.21cn.com/tousu/show/id/1341677</v>
      </c>
      <c r="F10459" s="2" t="s">
        <v>11</v>
      </c>
      <c r="G10459" s="2" t="s">
        <v>23592</v>
      </c>
      <c r="H10459" s="2" t="s">
        <v>23593</v>
      </c>
    </row>
    <row r="10460" spans="1:8" ht="25.05" customHeight="1" x14ac:dyDescent="0.25">
      <c r="A10460" s="2" t="s">
        <v>8</v>
      </c>
      <c r="B10460" s="2" t="str">
        <f>HYPERLINK("http://ts.21cn.com/tousu/show/id/1341679","包你贷骚扰我联系人")</f>
        <v>包你贷骚扰我联系人</v>
      </c>
      <c r="C10460" s="2" t="s">
        <v>34</v>
      </c>
      <c r="D10460" s="2" t="s">
        <v>10</v>
      </c>
      <c r="E10460" s="2" t="str">
        <f>HYPERLINK("http://ts.21cn.com/tousu/show/id/1341679","http://ts.21cn.com/tousu/show/id/1341679")</f>
        <v>http://ts.21cn.com/tousu/show/id/1341679</v>
      </c>
      <c r="F10460" s="2" t="s">
        <v>11</v>
      </c>
      <c r="G10460" s="2" t="s">
        <v>23590</v>
      </c>
      <c r="H10460" s="2" t="s">
        <v>23591</v>
      </c>
    </row>
    <row r="10461" spans="1:8" ht="25.05" customHeight="1" x14ac:dyDescent="0.25">
      <c r="A10461" s="2" t="s">
        <v>8</v>
      </c>
      <c r="B10461" s="2" t="str">
        <f>HYPERLINK("http://ts.21cn.com/tousu/show/id/1341680","信而富高利贷变相收取砍头息")</f>
        <v>信而富高利贷变相收取砍头息</v>
      </c>
      <c r="C10461" s="2" t="s">
        <v>9</v>
      </c>
      <c r="D10461" s="2" t="s">
        <v>10</v>
      </c>
      <c r="E10461" s="2" t="str">
        <f>HYPERLINK("http://ts.21cn.com/tousu/show/id/1341680","http://ts.21cn.com/tousu/show/id/1341680")</f>
        <v>http://ts.21cn.com/tousu/show/id/1341680</v>
      </c>
      <c r="F10461" s="2" t="s">
        <v>11</v>
      </c>
      <c r="G10461" s="2" t="s">
        <v>23588</v>
      </c>
      <c r="H10461" s="2" t="s">
        <v>23589</v>
      </c>
    </row>
    <row r="10462" spans="1:8" ht="25.05" customHeight="1" x14ac:dyDescent="0.25">
      <c r="A10462" s="2" t="s">
        <v>8</v>
      </c>
      <c r="B10462" s="2" t="str">
        <f>HYPERLINK("http://ts.21cn.com/tousu/show/id/1341682","苹果商店下载软件videoleap强制扣费")</f>
        <v>苹果商店下载软件videoleap强制扣费</v>
      </c>
      <c r="C10462" s="2" t="s">
        <v>9</v>
      </c>
      <c r="D10462" s="2" t="s">
        <v>10</v>
      </c>
      <c r="E10462" s="2" t="str">
        <f>HYPERLINK("http://ts.21cn.com/tousu/show/id/1341682","http://ts.21cn.com/tousu/show/id/1341682")</f>
        <v>http://ts.21cn.com/tousu/show/id/1341682</v>
      </c>
      <c r="F10462" s="2" t="s">
        <v>11</v>
      </c>
      <c r="G10462" s="2" t="s">
        <v>23586</v>
      </c>
      <c r="H10462" s="2" t="s">
        <v>23587</v>
      </c>
    </row>
    <row r="10463" spans="1:8" ht="25.05" customHeight="1" x14ac:dyDescent="0.25">
      <c r="A10463" s="2" t="s">
        <v>8</v>
      </c>
      <c r="B10463" s="2" t="str">
        <f>HYPERLINK("http://ts.21cn.com/tousu/show/id/1341683","小浦优客APP恶意扣费299")</f>
        <v>小浦优客APP恶意扣费299</v>
      </c>
      <c r="C10463" s="2" t="s">
        <v>9</v>
      </c>
      <c r="D10463" s="2" t="s">
        <v>10</v>
      </c>
      <c r="E10463" s="2" t="str">
        <f>HYPERLINK("http://ts.21cn.com/tousu/show/id/1341683","http://ts.21cn.com/tousu/show/id/1341683")</f>
        <v>http://ts.21cn.com/tousu/show/id/1341683</v>
      </c>
      <c r="F10463" s="2" t="s">
        <v>11</v>
      </c>
      <c r="G10463" s="2" t="s">
        <v>23584</v>
      </c>
      <c r="H10463" s="2" t="s">
        <v>23585</v>
      </c>
    </row>
    <row r="10464" spans="1:8" ht="25.05" customHeight="1" x14ac:dyDescent="0.25">
      <c r="A10464" s="2" t="s">
        <v>8</v>
      </c>
      <c r="B10464" s="2" t="str">
        <f>HYPERLINK("http://ts.21cn.com/tousu/show/id/1341684","如期分期APP违规收取高额贷款砍头利息")</f>
        <v>如期分期APP违规收取高额贷款砍头利息</v>
      </c>
      <c r="C10464" s="2" t="s">
        <v>9</v>
      </c>
      <c r="D10464" s="2" t="s">
        <v>10</v>
      </c>
      <c r="E10464" s="2" t="str">
        <f>HYPERLINK("http://ts.21cn.com/tousu/show/id/1341684","http://ts.21cn.com/tousu/show/id/1341684")</f>
        <v>http://ts.21cn.com/tousu/show/id/1341684</v>
      </c>
      <c r="F10464" s="2" t="s">
        <v>11</v>
      </c>
      <c r="G10464" s="2" t="s">
        <v>23582</v>
      </c>
      <c r="H10464" s="2" t="s">
        <v>23583</v>
      </c>
    </row>
    <row r="10465" spans="1:8" ht="25.05" customHeight="1" x14ac:dyDescent="0.25">
      <c r="A10465" s="2" t="s">
        <v>8</v>
      </c>
      <c r="B10465" s="2" t="str">
        <f>HYPERLINK("http://ts.21cn.com/tousu/show/id/1341685","滴滴恶意处罚扣罚款")</f>
        <v>滴滴恶意处罚扣罚款</v>
      </c>
      <c r="C10465" s="2" t="s">
        <v>9</v>
      </c>
      <c r="D10465" s="2" t="s">
        <v>10</v>
      </c>
      <c r="E10465" s="2" t="str">
        <f>HYPERLINK("http://ts.21cn.com/tousu/show/id/1341685","http://ts.21cn.com/tousu/show/id/1341685")</f>
        <v>http://ts.21cn.com/tousu/show/id/1341685</v>
      </c>
      <c r="F10465" s="2" t="s">
        <v>11</v>
      </c>
      <c r="G10465" s="2" t="s">
        <v>23580</v>
      </c>
      <c r="H10465" s="2" t="s">
        <v>23581</v>
      </c>
    </row>
    <row r="10466" spans="1:8" ht="25.05" customHeight="1" x14ac:dyDescent="0.25">
      <c r="A10466" s="2" t="s">
        <v>8</v>
      </c>
      <c r="B10466" s="2" t="str">
        <f>HYPERLINK("http://ts.21cn.com/tousu/show/id/1341686","频道骚扰我朋友家人")</f>
        <v>频道骚扰我朋友家人</v>
      </c>
      <c r="C10466" s="2" t="s">
        <v>34</v>
      </c>
      <c r="D10466" s="2" t="s">
        <v>10</v>
      </c>
      <c r="E10466" s="2" t="str">
        <f>HYPERLINK("http://ts.21cn.com/tousu/show/id/1341686","http://ts.21cn.com/tousu/show/id/1341686")</f>
        <v>http://ts.21cn.com/tousu/show/id/1341686</v>
      </c>
      <c r="F10466" s="2" t="s">
        <v>11</v>
      </c>
      <c r="G10466" s="2" t="s">
        <v>23578</v>
      </c>
      <c r="H10466" s="2" t="s">
        <v>23579</v>
      </c>
    </row>
    <row r="10467" spans="1:8" ht="25.05" customHeight="1" x14ac:dyDescent="0.25">
      <c r="A10467" s="2" t="s">
        <v>8</v>
      </c>
      <c r="B10467" s="2" t="str">
        <f>HYPERLINK("http://ts.21cn.com/tousu/show/id/1341687","闪电借款利息太高")</f>
        <v>闪电借款利息太高</v>
      </c>
      <c r="C10467" s="2" t="s">
        <v>9</v>
      </c>
      <c r="D10467" s="2" t="s">
        <v>10</v>
      </c>
      <c r="E10467" s="2" t="str">
        <f>HYPERLINK("http://ts.21cn.com/tousu/show/id/1341687","http://ts.21cn.com/tousu/show/id/1341687")</f>
        <v>http://ts.21cn.com/tousu/show/id/1341687</v>
      </c>
      <c r="F10467" s="2" t="s">
        <v>11</v>
      </c>
      <c r="G10467" s="2" t="s">
        <v>23576</v>
      </c>
      <c r="H10467" s="2" t="s">
        <v>23577</v>
      </c>
    </row>
    <row r="10468" spans="1:8" ht="25.05" customHeight="1" x14ac:dyDescent="0.25">
      <c r="A10468" s="2" t="s">
        <v>8</v>
      </c>
      <c r="B10468" s="2" t="str">
        <f>HYPERLINK("http://ts.21cn.com/tousu/show/id/1341665","因和男友分手在小鹿情感咨询了怎么挽回男友现想退款，对方拒绝退款")</f>
        <v>因和男友分手在小鹿情感咨询了怎么挽回男友现想退款，对方拒绝退款</v>
      </c>
      <c r="C10468" s="2" t="s">
        <v>9</v>
      </c>
      <c r="D10468" s="2" t="s">
        <v>10</v>
      </c>
      <c r="E10468" s="2" t="str">
        <f>HYPERLINK("http://ts.21cn.com/tousu/show/id/1341665","http://ts.21cn.com/tousu/show/id/1341665")</f>
        <v>http://ts.21cn.com/tousu/show/id/1341665</v>
      </c>
      <c r="F10468" s="2" t="s">
        <v>11</v>
      </c>
      <c r="G10468" s="2" t="s">
        <v>23573</v>
      </c>
      <c r="H10468" s="2" t="s">
        <v>23574</v>
      </c>
    </row>
    <row r="10469" spans="1:8" ht="25.05" customHeight="1" x14ac:dyDescent="0.25">
      <c r="A10469" s="2" t="s">
        <v>8</v>
      </c>
      <c r="B10469" s="2" t="str">
        <f>HYPERLINK("http://ts.21cn.com/tousu/show/id/1341688","游戏问题")</f>
        <v>游戏问题</v>
      </c>
      <c r="C10469" s="2" t="s">
        <v>34</v>
      </c>
      <c r="D10469" s="2" t="s">
        <v>10</v>
      </c>
      <c r="E10469" s="2" t="str">
        <f>HYPERLINK("http://ts.21cn.com/tousu/show/id/1341688","http://ts.21cn.com/tousu/show/id/1341688")</f>
        <v>http://ts.21cn.com/tousu/show/id/1341688</v>
      </c>
      <c r="F10469" s="2" t="s">
        <v>11</v>
      </c>
      <c r="G10469" s="2" t="s">
        <v>23573</v>
      </c>
      <c r="H10469" s="2" t="s">
        <v>23575</v>
      </c>
    </row>
    <row r="10470" spans="1:8" ht="25.05" customHeight="1" x14ac:dyDescent="0.25">
      <c r="A10470" s="2" t="s">
        <v>8</v>
      </c>
      <c r="B10470" s="2" t="str">
        <f>HYPERLINK("http://ts.21cn.com/tousu/show/id/1341689","钱站高利息")</f>
        <v>钱站高利息</v>
      </c>
      <c r="C10470" s="2" t="s">
        <v>9</v>
      </c>
      <c r="D10470" s="2" t="s">
        <v>10</v>
      </c>
      <c r="E10470" s="2" t="str">
        <f>HYPERLINK("http://ts.21cn.com/tousu/show/id/1341689","http://ts.21cn.com/tousu/show/id/1341689")</f>
        <v>http://ts.21cn.com/tousu/show/id/1341689</v>
      </c>
      <c r="F10470" s="2" t="s">
        <v>11</v>
      </c>
      <c r="G10470" s="2" t="s">
        <v>23571</v>
      </c>
      <c r="H10470" s="2" t="s">
        <v>23572</v>
      </c>
    </row>
    <row r="10471" spans="1:8" ht="25.05" customHeight="1" x14ac:dyDescent="0.25">
      <c r="A10471" s="2" t="s">
        <v>8</v>
      </c>
      <c r="B10471" s="2" t="str">
        <f>HYPERLINK("http://ts.21cn.com/tousu/show/id/1341690","玖富收取高额分期手续费")</f>
        <v>玖富收取高额分期手续费</v>
      </c>
      <c r="C10471" s="2" t="s">
        <v>9</v>
      </c>
      <c r="D10471" s="2" t="s">
        <v>10</v>
      </c>
      <c r="E10471" s="2" t="str">
        <f>HYPERLINK("http://ts.21cn.com/tousu/show/id/1341690","http://ts.21cn.com/tousu/show/id/1341690")</f>
        <v>http://ts.21cn.com/tousu/show/id/1341690</v>
      </c>
      <c r="F10471" s="2" t="s">
        <v>11</v>
      </c>
      <c r="G10471" s="2" t="s">
        <v>23569</v>
      </c>
      <c r="H10471" s="2" t="s">
        <v>23570</v>
      </c>
    </row>
    <row r="10472" spans="1:8" ht="25.05" customHeight="1" x14ac:dyDescent="0.25">
      <c r="A10472" s="2" t="s">
        <v>8</v>
      </c>
      <c r="B10472" s="2" t="str">
        <f>HYPERLINK("http://ts.21cn.com/tousu/show/id/1341693","泰兴中国黄金店欺骗客户")</f>
        <v>泰兴中国黄金店欺骗客户</v>
      </c>
      <c r="C10472" s="2" t="s">
        <v>9</v>
      </c>
      <c r="D10472" s="2" t="s">
        <v>10</v>
      </c>
      <c r="E10472" s="2" t="str">
        <f>HYPERLINK("http://ts.21cn.com/tousu/show/id/1341693","http://ts.21cn.com/tousu/show/id/1341693")</f>
        <v>http://ts.21cn.com/tousu/show/id/1341693</v>
      </c>
      <c r="F10472" s="2" t="s">
        <v>11</v>
      </c>
      <c r="G10472" s="2" t="s">
        <v>23567</v>
      </c>
      <c r="H10472" s="2" t="s">
        <v>23568</v>
      </c>
    </row>
    <row r="10473" spans="1:8" ht="25.05" customHeight="1" x14ac:dyDescent="0.25">
      <c r="A10473" s="2" t="s">
        <v>8</v>
      </c>
      <c r="B10473" s="2" t="str">
        <f>HYPERLINK("http://ts.21cn.com/tousu/show/id/1341694","小赢卡贷")</f>
        <v>小赢卡贷</v>
      </c>
      <c r="C10473" s="2" t="s">
        <v>9</v>
      </c>
      <c r="D10473" s="2" t="s">
        <v>10</v>
      </c>
      <c r="E10473" s="2" t="str">
        <f>HYPERLINK("http://ts.21cn.com/tousu/show/id/1341694","http://ts.21cn.com/tousu/show/id/1341694")</f>
        <v>http://ts.21cn.com/tousu/show/id/1341694</v>
      </c>
      <c r="F10473" s="2" t="s">
        <v>11</v>
      </c>
      <c r="G10473" s="2" t="s">
        <v>23565</v>
      </c>
      <c r="H10473" s="2" t="s">
        <v>23566</v>
      </c>
    </row>
    <row r="10474" spans="1:8" ht="25.05" customHeight="1" x14ac:dyDescent="0.25">
      <c r="A10474" s="2" t="s">
        <v>8</v>
      </c>
      <c r="B10474" s="2" t="str">
        <f>HYPERLINK("http://ts.21cn.com/tousu/show/id/1341695","钱伴app提前结清还要付后续的利息")</f>
        <v>钱伴app提前结清还要付后续的利息</v>
      </c>
      <c r="C10474" s="2" t="s">
        <v>9</v>
      </c>
      <c r="D10474" s="2" t="s">
        <v>10</v>
      </c>
      <c r="E10474" s="2" t="str">
        <f>HYPERLINK("http://ts.21cn.com/tousu/show/id/1341695","http://ts.21cn.com/tousu/show/id/1341695")</f>
        <v>http://ts.21cn.com/tousu/show/id/1341695</v>
      </c>
      <c r="F10474" s="2" t="s">
        <v>11</v>
      </c>
      <c r="G10474" s="2" t="s">
        <v>23563</v>
      </c>
      <c r="H10474" s="2" t="s">
        <v>23564</v>
      </c>
    </row>
    <row r="10475" spans="1:8" ht="25.05" customHeight="1" x14ac:dyDescent="0.25">
      <c r="A10475" s="2" t="s">
        <v>8</v>
      </c>
      <c r="B10475" s="2" t="str">
        <f>HYPERLINK("http://ts.21cn.com/tousu/show/id/1341696","因商品描述和事实不符无法使用，不给退款")</f>
        <v>因商品描述和事实不符无法使用，不给退款</v>
      </c>
      <c r="C10475" s="2" t="s">
        <v>9</v>
      </c>
      <c r="D10475" s="2" t="s">
        <v>10</v>
      </c>
      <c r="E10475" s="2" t="str">
        <f>HYPERLINK("http://ts.21cn.com/tousu/show/id/1341696","http://ts.21cn.com/tousu/show/id/1341696")</f>
        <v>http://ts.21cn.com/tousu/show/id/1341696</v>
      </c>
      <c r="F10475" s="2" t="s">
        <v>11</v>
      </c>
      <c r="G10475" s="2" t="s">
        <v>23561</v>
      </c>
      <c r="H10475" s="2" t="s">
        <v>23562</v>
      </c>
    </row>
    <row r="10476" spans="1:8" ht="25.05" customHeight="1" x14ac:dyDescent="0.25">
      <c r="A10476" s="2" t="s">
        <v>8</v>
      </c>
      <c r="B10476" s="2" t="str">
        <f>HYPERLINK("http://ts.21cn.com/tousu/show/id/1341697","白条分期私自扣我银行卡里199元钱，说是会员费")</f>
        <v>白条分期私自扣我银行卡里199元钱，说是会员费</v>
      </c>
      <c r="C10476" s="2" t="s">
        <v>9</v>
      </c>
      <c r="D10476" s="2" t="s">
        <v>10</v>
      </c>
      <c r="E10476" s="2" t="str">
        <f>HYPERLINK("http://ts.21cn.com/tousu/show/id/1341697","http://ts.21cn.com/tousu/show/id/1341697")</f>
        <v>http://ts.21cn.com/tousu/show/id/1341697</v>
      </c>
      <c r="F10476" s="2" t="s">
        <v>11</v>
      </c>
      <c r="G10476" s="2" t="s">
        <v>23559</v>
      </c>
      <c r="H10476" s="2" t="s">
        <v>23560</v>
      </c>
    </row>
    <row r="10477" spans="1:8" ht="25.05" customHeight="1" x14ac:dyDescent="0.25">
      <c r="A10477" s="2" t="s">
        <v>8</v>
      </c>
      <c r="B10477" s="2" t="str">
        <f>HYPERLINK("http://ts.21cn.com/tousu/show/id/1341698","云视听极光客户端自动扣费已关闭了两个月照样扣费")</f>
        <v>云视听极光客户端自动扣费已关闭了两个月照样扣费</v>
      </c>
      <c r="C10477" s="2" t="s">
        <v>34</v>
      </c>
      <c r="D10477" s="2" t="s">
        <v>10</v>
      </c>
      <c r="E10477" s="2" t="str">
        <f>HYPERLINK("http://ts.21cn.com/tousu/show/id/1341698","http://ts.21cn.com/tousu/show/id/1341698")</f>
        <v>http://ts.21cn.com/tousu/show/id/1341698</v>
      </c>
      <c r="F10477" s="2" t="s">
        <v>11</v>
      </c>
      <c r="G10477" s="2" t="s">
        <v>23557</v>
      </c>
      <c r="H10477" s="2" t="s">
        <v>23558</v>
      </c>
    </row>
    <row r="10478" spans="1:8" ht="25.05" customHeight="1" x14ac:dyDescent="0.25">
      <c r="A10478" s="2" t="s">
        <v>8</v>
      </c>
      <c r="B10478" s="2" t="str">
        <f>HYPERLINK("http://ts.21cn.com/tousu/show/id/1341699","因本人喝多误支付短信链接")</f>
        <v>因本人喝多误支付短信链接</v>
      </c>
      <c r="C10478" s="2" t="s">
        <v>9</v>
      </c>
      <c r="D10478" s="2" t="s">
        <v>10</v>
      </c>
      <c r="E10478" s="2" t="str">
        <f>HYPERLINK("http://ts.21cn.com/tousu/show/id/1341699","http://ts.21cn.com/tousu/show/id/1341699")</f>
        <v>http://ts.21cn.com/tousu/show/id/1341699</v>
      </c>
      <c r="F10478" s="2" t="s">
        <v>11</v>
      </c>
      <c r="G10478" s="2" t="s">
        <v>23555</v>
      </c>
      <c r="H10478" s="2" t="s">
        <v>23556</v>
      </c>
    </row>
    <row r="10479" spans="1:8" ht="25.05" customHeight="1" x14ac:dyDescent="0.25">
      <c r="A10479" s="2" t="s">
        <v>8</v>
      </c>
      <c r="B10479" s="2" t="str">
        <f>HYPERLINK("http://ts.21cn.com/tousu/show/id/1341700","暴力催收辱骂持卡人")</f>
        <v>暴力催收辱骂持卡人</v>
      </c>
      <c r="C10479" s="2" t="s">
        <v>9</v>
      </c>
      <c r="D10479" s="2" t="s">
        <v>10</v>
      </c>
      <c r="E10479" s="2" t="str">
        <f>HYPERLINK("http://ts.21cn.com/tousu/show/id/1341700","http://ts.21cn.com/tousu/show/id/1341700")</f>
        <v>http://ts.21cn.com/tousu/show/id/1341700</v>
      </c>
      <c r="F10479" s="2" t="s">
        <v>11</v>
      </c>
      <c r="G10479" s="2" t="s">
        <v>23553</v>
      </c>
      <c r="H10479" s="2" t="s">
        <v>23554</v>
      </c>
    </row>
    <row r="10480" spans="1:8" ht="25.05" customHeight="1" x14ac:dyDescent="0.25">
      <c r="A10480" s="2" t="s">
        <v>8</v>
      </c>
      <c r="B10480" s="2" t="str">
        <f>HYPERLINK("http://ts.21cn.com/tousu/show/id/1341701","恶意催收，威胁")</f>
        <v>恶意催收，威胁</v>
      </c>
      <c r="C10480" s="2" t="s">
        <v>9</v>
      </c>
      <c r="D10480" s="2" t="s">
        <v>10</v>
      </c>
      <c r="E10480" s="2" t="str">
        <f>HYPERLINK("http://ts.21cn.com/tousu/show/id/1341701","http://ts.21cn.com/tousu/show/id/1341701")</f>
        <v>http://ts.21cn.com/tousu/show/id/1341701</v>
      </c>
      <c r="F10480" s="2" t="s">
        <v>11</v>
      </c>
      <c r="G10480" s="2" t="s">
        <v>23551</v>
      </c>
      <c r="H10480" s="2" t="s">
        <v>23552</v>
      </c>
    </row>
    <row r="10481" spans="1:8" ht="25.05" customHeight="1" x14ac:dyDescent="0.25">
      <c r="A10481" s="2" t="s">
        <v>8</v>
      </c>
      <c r="B10481" s="2" t="str">
        <f>HYPERLINK("http://ts.21cn.com/tousu/show/id/1341702","京东plus自动续费退款")</f>
        <v>京东plus自动续费退款</v>
      </c>
      <c r="C10481" s="2" t="s">
        <v>34</v>
      </c>
      <c r="D10481" s="2" t="s">
        <v>10</v>
      </c>
      <c r="E10481" s="2" t="str">
        <f>HYPERLINK("http://ts.21cn.com/tousu/show/id/1341702","http://ts.21cn.com/tousu/show/id/1341702")</f>
        <v>http://ts.21cn.com/tousu/show/id/1341702</v>
      </c>
      <c r="F10481" s="2" t="s">
        <v>11</v>
      </c>
      <c r="G10481" s="2" t="s">
        <v>23548</v>
      </c>
      <c r="H10481" s="2" t="s">
        <v>23549</v>
      </c>
    </row>
    <row r="10482" spans="1:8" ht="25.05" customHeight="1" x14ac:dyDescent="0.25">
      <c r="A10482" s="2" t="s">
        <v>8</v>
      </c>
      <c r="B10482" s="2" t="str">
        <f>HYPERLINK("http://ts.21cn.com/tousu/show/id/1341703","退票出现问题")</f>
        <v>退票出现问题</v>
      </c>
      <c r="C10482" s="2" t="s">
        <v>9</v>
      </c>
      <c r="D10482" s="2" t="s">
        <v>10</v>
      </c>
      <c r="E10482" s="2" t="str">
        <f>HYPERLINK("http://ts.21cn.com/tousu/show/id/1341703","http://ts.21cn.com/tousu/show/id/1341703")</f>
        <v>http://ts.21cn.com/tousu/show/id/1341703</v>
      </c>
      <c r="F10482" s="2" t="s">
        <v>11</v>
      </c>
      <c r="G10482" s="2" t="s">
        <v>23548</v>
      </c>
      <c r="H10482" s="2" t="s">
        <v>23550</v>
      </c>
    </row>
    <row r="10483" spans="1:8" ht="25.05" customHeight="1" x14ac:dyDescent="0.25">
      <c r="A10483" s="2" t="s">
        <v>8</v>
      </c>
      <c r="B10483" s="2" t="str">
        <f>HYPERLINK("http://ts.21cn.com/tousu/show/id/1341704","高利贷阴阳合同无法提前结清客服不作为")</f>
        <v>高利贷阴阳合同无法提前结清客服不作为</v>
      </c>
      <c r="C10483" s="2" t="s">
        <v>9</v>
      </c>
      <c r="D10483" s="2" t="s">
        <v>10</v>
      </c>
      <c r="E10483" s="2" t="str">
        <f>HYPERLINK("http://ts.21cn.com/tousu/show/id/1341704","http://ts.21cn.com/tousu/show/id/1341704")</f>
        <v>http://ts.21cn.com/tousu/show/id/1341704</v>
      </c>
      <c r="F10483" s="2" t="s">
        <v>11</v>
      </c>
      <c r="G10483" s="2" t="s">
        <v>23546</v>
      </c>
      <c r="H10483" s="2" t="s">
        <v>23547</v>
      </c>
    </row>
    <row r="10484" spans="1:8" ht="25.05" customHeight="1" x14ac:dyDescent="0.25">
      <c r="A10484" s="2" t="s">
        <v>8</v>
      </c>
      <c r="B10484" s="2" t="str">
        <f>HYPERLINK("http://ts.21cn.com/tousu/show/id/1341708","恶意催收欺诈辱骂骚扰通讯录")</f>
        <v>恶意催收欺诈辱骂骚扰通讯录</v>
      </c>
      <c r="C10484" s="2" t="s">
        <v>9</v>
      </c>
      <c r="D10484" s="2" t="s">
        <v>10</v>
      </c>
      <c r="E10484" s="2" t="str">
        <f>HYPERLINK("http://ts.21cn.com/tousu/show/id/1341708","http://ts.21cn.com/tousu/show/id/1341708")</f>
        <v>http://ts.21cn.com/tousu/show/id/1341708</v>
      </c>
      <c r="F10484" s="2" t="s">
        <v>11</v>
      </c>
      <c r="G10484" s="2" t="s">
        <v>23544</v>
      </c>
      <c r="H10484" s="2" t="s">
        <v>23545</v>
      </c>
    </row>
    <row r="10485" spans="1:8" ht="25.05" customHeight="1" x14ac:dyDescent="0.25">
      <c r="A10485" s="2" t="s">
        <v>8</v>
      </c>
      <c r="B10485" s="2" t="str">
        <f>HYPERLINK("http://ts.21cn.com/tousu/show/id/1341705","商品不管用")</f>
        <v>商品不管用</v>
      </c>
      <c r="C10485" s="2" t="s">
        <v>9</v>
      </c>
      <c r="D10485" s="2" t="s">
        <v>10</v>
      </c>
      <c r="E10485" s="2" t="str">
        <f>HYPERLINK("http://ts.21cn.com/tousu/show/id/1341705","http://ts.21cn.com/tousu/show/id/1341705")</f>
        <v>http://ts.21cn.com/tousu/show/id/1341705</v>
      </c>
      <c r="F10485" s="2" t="s">
        <v>11</v>
      </c>
      <c r="G10485" s="2" t="s">
        <v>23542</v>
      </c>
      <c r="H10485" s="2" t="s">
        <v>23543</v>
      </c>
    </row>
    <row r="10486" spans="1:8" ht="25.05" customHeight="1" x14ac:dyDescent="0.25">
      <c r="A10486" s="2" t="s">
        <v>8</v>
      </c>
      <c r="B10486" s="2" t="str">
        <f>HYPERLINK("http://ts.21cn.com/tousu/show/id/1341706","年利率超百分之三十不能提前还款")</f>
        <v>年利率超百分之三十不能提前还款</v>
      </c>
      <c r="C10486" s="2" t="s">
        <v>9</v>
      </c>
      <c r="D10486" s="2" t="s">
        <v>10</v>
      </c>
      <c r="E10486" s="2" t="str">
        <f>HYPERLINK("http://ts.21cn.com/tousu/show/id/1341706","http://ts.21cn.com/tousu/show/id/1341706")</f>
        <v>http://ts.21cn.com/tousu/show/id/1341706</v>
      </c>
      <c r="F10486" s="2" t="s">
        <v>11</v>
      </c>
      <c r="G10486" s="2" t="s">
        <v>23540</v>
      </c>
      <c r="H10486" s="2" t="s">
        <v>23541</v>
      </c>
    </row>
    <row r="10487" spans="1:8" ht="25.05" customHeight="1" x14ac:dyDescent="0.25">
      <c r="A10487" s="2" t="s">
        <v>8</v>
      </c>
      <c r="B10487" s="2" t="str">
        <f>HYPERLINK("http://ts.21cn.com/tousu/show/id/1341707","协商还款己还清、不给销帐")</f>
        <v>协商还款己还清、不给销帐</v>
      </c>
      <c r="C10487" s="2" t="s">
        <v>9</v>
      </c>
      <c r="D10487" s="2" t="s">
        <v>10</v>
      </c>
      <c r="E10487" s="2" t="str">
        <f>HYPERLINK("http://ts.21cn.com/tousu/show/id/1341707","http://ts.21cn.com/tousu/show/id/1341707")</f>
        <v>http://ts.21cn.com/tousu/show/id/1341707</v>
      </c>
      <c r="F10487" s="2" t="s">
        <v>11</v>
      </c>
      <c r="G10487" s="2" t="s">
        <v>23538</v>
      </c>
      <c r="H10487" s="2" t="s">
        <v>23539</v>
      </c>
    </row>
    <row r="10488" spans="1:8" ht="25.05" customHeight="1" x14ac:dyDescent="0.25">
      <c r="A10488" s="2" t="s">
        <v>8</v>
      </c>
      <c r="B10488" s="2" t="str">
        <f>HYPERLINK("http://ts.21cn.com/tousu/show/id/1341709","滥用职权")</f>
        <v>滥用职权</v>
      </c>
      <c r="C10488" s="2" t="s">
        <v>9</v>
      </c>
      <c r="D10488" s="2" t="s">
        <v>10</v>
      </c>
      <c r="E10488" s="2" t="str">
        <f>HYPERLINK("http://ts.21cn.com/tousu/show/id/1341709","http://ts.21cn.com/tousu/show/id/1341709")</f>
        <v>http://ts.21cn.com/tousu/show/id/1341709</v>
      </c>
      <c r="F10488" s="2" t="s">
        <v>11</v>
      </c>
      <c r="G10488" s="2" t="s">
        <v>23536</v>
      </c>
      <c r="H10488" s="2" t="s">
        <v>23537</v>
      </c>
    </row>
    <row r="10489" spans="1:8" ht="25.05" customHeight="1" x14ac:dyDescent="0.25">
      <c r="A10489" s="2" t="s">
        <v>8</v>
      </c>
      <c r="B10489" s="2" t="str">
        <f>HYPERLINK("http://ts.21cn.com/tousu/show/id/1341710","自称平安银行问他工号名字他又说不上来")</f>
        <v>自称平安银行问他工号名字他又说不上来</v>
      </c>
      <c r="C10489" s="2" t="s">
        <v>9</v>
      </c>
      <c r="D10489" s="2" t="s">
        <v>10</v>
      </c>
      <c r="E10489" s="2" t="str">
        <f>HYPERLINK("http://ts.21cn.com/tousu/show/id/1341710","http://ts.21cn.com/tousu/show/id/1341710")</f>
        <v>http://ts.21cn.com/tousu/show/id/1341710</v>
      </c>
      <c r="F10489" s="2" t="s">
        <v>11</v>
      </c>
      <c r="G10489" s="2" t="s">
        <v>23534</v>
      </c>
      <c r="H10489" s="2" t="s">
        <v>23535</v>
      </c>
    </row>
    <row r="10490" spans="1:8" ht="25.05" customHeight="1" x14ac:dyDescent="0.25">
      <c r="A10490" s="2" t="s">
        <v>8</v>
      </c>
      <c r="B10490" s="2" t="str">
        <f>HYPERLINK("http://ts.21cn.com/tousu/show/id/1341712","高利息，多还金额")</f>
        <v>高利息，多还金额</v>
      </c>
      <c r="C10490" s="2" t="s">
        <v>34</v>
      </c>
      <c r="D10490" s="2" t="s">
        <v>10</v>
      </c>
      <c r="E10490" s="2" t="str">
        <f>HYPERLINK("http://ts.21cn.com/tousu/show/id/1341712","http://ts.21cn.com/tousu/show/id/1341712")</f>
        <v>http://ts.21cn.com/tousu/show/id/1341712</v>
      </c>
      <c r="F10490" s="2" t="s">
        <v>11</v>
      </c>
      <c r="G10490" s="2" t="s">
        <v>23532</v>
      </c>
      <c r="H10490" s="2" t="s">
        <v>23533</v>
      </c>
    </row>
    <row r="10491" spans="1:8" ht="25.05" customHeight="1" x14ac:dyDescent="0.25">
      <c r="A10491" s="2" t="s">
        <v>8</v>
      </c>
      <c r="B10491" s="2" t="str">
        <f>HYPERLINK("http://ts.21cn.com/tousu/show/id/1341711","暴力催收")</f>
        <v>暴力催收</v>
      </c>
      <c r="C10491" s="2" t="s">
        <v>9</v>
      </c>
      <c r="D10491" s="2" t="s">
        <v>10</v>
      </c>
      <c r="E10491" s="2" t="str">
        <f>HYPERLINK("http://ts.21cn.com/tousu/show/id/1341711","http://ts.21cn.com/tousu/show/id/1341711")</f>
        <v>http://ts.21cn.com/tousu/show/id/1341711</v>
      </c>
      <c r="F10491" s="2" t="s">
        <v>11</v>
      </c>
      <c r="G10491" s="2" t="s">
        <v>23530</v>
      </c>
      <c r="H10491" s="2" t="s">
        <v>23531</v>
      </c>
    </row>
    <row r="10492" spans="1:8" ht="25.05" customHeight="1" x14ac:dyDescent="0.25">
      <c r="A10492" s="2" t="s">
        <v>8</v>
      </c>
      <c r="B10492" s="2" t="str">
        <f>HYPERLINK("http://ts.21cn.com/tousu/show/id/1341713","本人不是分期乐借款人，频繁给我打电话和发短信")</f>
        <v>本人不是分期乐借款人，频繁给我打电话和发短信</v>
      </c>
      <c r="C10492" s="2" t="s">
        <v>34</v>
      </c>
      <c r="D10492" s="2" t="s">
        <v>10</v>
      </c>
      <c r="E10492" s="2" t="str">
        <f>HYPERLINK("http://ts.21cn.com/tousu/show/id/1341713","http://ts.21cn.com/tousu/show/id/1341713")</f>
        <v>http://ts.21cn.com/tousu/show/id/1341713</v>
      </c>
      <c r="F10492" s="2" t="s">
        <v>11</v>
      </c>
      <c r="G10492" s="2" t="s">
        <v>23528</v>
      </c>
      <c r="H10492" s="2" t="s">
        <v>23529</v>
      </c>
    </row>
    <row r="10493" spans="1:8" ht="25.05" customHeight="1" x14ac:dyDescent="0.25">
      <c r="A10493" s="2" t="s">
        <v>8</v>
      </c>
      <c r="B10493" s="2" t="str">
        <f>HYPERLINK("http://ts.21cn.com/tousu/show/id/1341714","和游戏公司合作用充话费来抵扣游戏劵")</f>
        <v>和游戏公司合作用充话费来抵扣游戏劵</v>
      </c>
      <c r="C10493" s="2" t="s">
        <v>34</v>
      </c>
      <c r="D10493" s="2" t="s">
        <v>10</v>
      </c>
      <c r="E10493" s="2" t="str">
        <f>HYPERLINK("http://ts.21cn.com/tousu/show/id/1341714","http://ts.21cn.com/tousu/show/id/1341714")</f>
        <v>http://ts.21cn.com/tousu/show/id/1341714</v>
      </c>
      <c r="F10493" s="2" t="s">
        <v>11</v>
      </c>
      <c r="G10493" s="2" t="s">
        <v>23526</v>
      </c>
      <c r="H10493" s="2" t="s">
        <v>23527</v>
      </c>
    </row>
    <row r="10494" spans="1:8" ht="25.05" customHeight="1" x14ac:dyDescent="0.25">
      <c r="A10494" s="2" t="s">
        <v>8</v>
      </c>
      <c r="B10494" s="2" t="str">
        <f>HYPERLINK("http://ts.21cn.com/tousu/show/id/1341716","砍头息")</f>
        <v>砍头息</v>
      </c>
      <c r="C10494" s="2" t="s">
        <v>34</v>
      </c>
      <c r="D10494" s="2" t="s">
        <v>10</v>
      </c>
      <c r="E10494" s="2" t="str">
        <f>HYPERLINK("http://ts.21cn.com/tousu/show/id/1341716","http://ts.21cn.com/tousu/show/id/1341716")</f>
        <v>http://ts.21cn.com/tousu/show/id/1341716</v>
      </c>
      <c r="F10494" s="2" t="s">
        <v>11</v>
      </c>
      <c r="G10494" s="2" t="s">
        <v>23524</v>
      </c>
      <c r="H10494" s="2" t="s">
        <v>23525</v>
      </c>
    </row>
    <row r="10495" spans="1:8" ht="25.05" customHeight="1" x14ac:dyDescent="0.25">
      <c r="A10495" s="2" t="s">
        <v>8</v>
      </c>
      <c r="B10495" s="2" t="str">
        <f>HYPERLINK("http://ts.21cn.com/tousu/show/id/1341715","钱站套路贷，砍头息")</f>
        <v>钱站套路贷，砍头息</v>
      </c>
      <c r="C10495" s="2" t="s">
        <v>9</v>
      </c>
      <c r="D10495" s="2" t="s">
        <v>10</v>
      </c>
      <c r="E10495" s="2" t="str">
        <f>HYPERLINK("http://ts.21cn.com/tousu/show/id/1341715","http://ts.21cn.com/tousu/show/id/1341715")</f>
        <v>http://ts.21cn.com/tousu/show/id/1341715</v>
      </c>
      <c r="F10495" s="2" t="s">
        <v>11</v>
      </c>
      <c r="G10495" s="2" t="s">
        <v>23522</v>
      </c>
      <c r="H10495" s="2" t="s">
        <v>23523</v>
      </c>
    </row>
    <row r="10496" spans="1:8" ht="25.05" customHeight="1" x14ac:dyDescent="0.25">
      <c r="A10496" s="2" t="s">
        <v>8</v>
      </c>
      <c r="B10496" s="2" t="str">
        <f>HYPERLINK("http://ts.21cn.com/tousu/show/id/1341717","未收到货闲鱼不退款")</f>
        <v>未收到货闲鱼不退款</v>
      </c>
      <c r="C10496" s="2" t="s">
        <v>9</v>
      </c>
      <c r="D10496" s="2" t="s">
        <v>10</v>
      </c>
      <c r="E10496" s="2" t="str">
        <f>HYPERLINK("http://ts.21cn.com/tousu/show/id/1341717","http://ts.21cn.com/tousu/show/id/1341717")</f>
        <v>http://ts.21cn.com/tousu/show/id/1341717</v>
      </c>
      <c r="F10496" s="2" t="s">
        <v>11</v>
      </c>
      <c r="G10496" s="2" t="s">
        <v>23520</v>
      </c>
      <c r="H10496" s="2" t="s">
        <v>23521</v>
      </c>
    </row>
    <row r="10497" spans="1:8" ht="25.05" customHeight="1" x14ac:dyDescent="0.25">
      <c r="A10497" s="2" t="s">
        <v>8</v>
      </c>
      <c r="B10497" s="2" t="str">
        <f>HYPERLINK("http://ts.21cn.com/tousu/show/id/1341718","宜人贷信息咨询服务费")</f>
        <v>宜人贷信息咨询服务费</v>
      </c>
      <c r="C10497" s="2" t="s">
        <v>34</v>
      </c>
      <c r="D10497" s="2" t="s">
        <v>10</v>
      </c>
      <c r="E10497" s="2" t="str">
        <f>HYPERLINK("http://ts.21cn.com/tousu/show/id/1341718","http://ts.21cn.com/tousu/show/id/1341718")</f>
        <v>http://ts.21cn.com/tousu/show/id/1341718</v>
      </c>
      <c r="F10497" s="2" t="s">
        <v>11</v>
      </c>
      <c r="G10497" s="2" t="s">
        <v>23518</v>
      </c>
      <c r="H10497" s="2" t="s">
        <v>23519</v>
      </c>
    </row>
    <row r="10498" spans="1:8" ht="25.05" customHeight="1" x14ac:dyDescent="0.25">
      <c r="A10498" s="2" t="s">
        <v>8</v>
      </c>
      <c r="B10498" s="2" t="str">
        <f>HYPERLINK("http://ts.21cn.com/tousu/show/id/1341659","在智行提交一次抢票订单却扣款两次且贵于票面价格")</f>
        <v>在智行提交一次抢票订单却扣款两次且贵于票面价格</v>
      </c>
      <c r="C10498" s="2" t="s">
        <v>34</v>
      </c>
      <c r="D10498" s="2" t="s">
        <v>10</v>
      </c>
      <c r="E10498" s="2" t="str">
        <f>HYPERLINK("http://ts.21cn.com/tousu/show/id/1341659","http://ts.21cn.com/tousu/show/id/1341659")</f>
        <v>http://ts.21cn.com/tousu/show/id/1341659</v>
      </c>
      <c r="F10498" s="2" t="s">
        <v>11</v>
      </c>
      <c r="G10498" s="2" t="s">
        <v>23515</v>
      </c>
      <c r="H10498" s="2" t="s">
        <v>23516</v>
      </c>
    </row>
    <row r="10499" spans="1:8" ht="25.05" customHeight="1" x14ac:dyDescent="0.25">
      <c r="A10499" s="2" t="s">
        <v>8</v>
      </c>
      <c r="B10499" s="2" t="str">
        <f>HYPERLINK("http://ts.21cn.com/tousu/show/id/1341719","我来贷（现改名我来数科）恶意催收，电话造谣")</f>
        <v>我来贷（现改名我来数科）恶意催收，电话造谣</v>
      </c>
      <c r="C10499" s="2" t="s">
        <v>9</v>
      </c>
      <c r="D10499" s="2" t="s">
        <v>10</v>
      </c>
      <c r="E10499" s="2" t="str">
        <f>HYPERLINK("http://ts.21cn.com/tousu/show/id/1341719","http://ts.21cn.com/tousu/show/id/1341719")</f>
        <v>http://ts.21cn.com/tousu/show/id/1341719</v>
      </c>
      <c r="F10499" s="2" t="s">
        <v>11</v>
      </c>
      <c r="G10499" s="2" t="s">
        <v>23515</v>
      </c>
      <c r="H10499" s="2" t="s">
        <v>23517</v>
      </c>
    </row>
    <row r="10500" spans="1:8" ht="25.05" customHeight="1" x14ac:dyDescent="0.25">
      <c r="A10500" s="2" t="s">
        <v>8</v>
      </c>
      <c r="B10500" s="2" t="str">
        <f>HYPERLINK("http://ts.21cn.com/tousu/show/id/1341722","买买乐购放高利贷暴力催收")</f>
        <v>买买乐购放高利贷暴力催收</v>
      </c>
      <c r="C10500" s="2" t="s">
        <v>9</v>
      </c>
      <c r="D10500" s="2" t="s">
        <v>10</v>
      </c>
      <c r="E10500" s="2" t="str">
        <f>HYPERLINK("http://ts.21cn.com/tousu/show/id/1341722","http://ts.21cn.com/tousu/show/id/1341722")</f>
        <v>http://ts.21cn.com/tousu/show/id/1341722</v>
      </c>
      <c r="F10500" s="2" t="s">
        <v>11</v>
      </c>
      <c r="G10500" s="2" t="s">
        <v>23513</v>
      </c>
      <c r="H10500" s="2" t="s">
        <v>23514</v>
      </c>
    </row>
    <row r="10501" spans="1:8" ht="25.05" customHeight="1" x14ac:dyDescent="0.25">
      <c r="A10501" s="2" t="s">
        <v>8</v>
      </c>
      <c r="B10501" s="2" t="str">
        <f>HYPERLINK("http://ts.21cn.com/tousu/show/id/1341720","被套路贷款。利息极高")</f>
        <v>被套路贷款。利息极高</v>
      </c>
      <c r="C10501" s="2" t="s">
        <v>9</v>
      </c>
      <c r="D10501" s="2" t="s">
        <v>10</v>
      </c>
      <c r="E10501" s="2" t="str">
        <f>HYPERLINK("http://ts.21cn.com/tousu/show/id/1341720","http://ts.21cn.com/tousu/show/id/1341720")</f>
        <v>http://ts.21cn.com/tousu/show/id/1341720</v>
      </c>
      <c r="F10501" s="2" t="s">
        <v>11</v>
      </c>
      <c r="G10501" s="2" t="s">
        <v>23511</v>
      </c>
      <c r="H10501" s="2" t="s">
        <v>23512</v>
      </c>
    </row>
    <row r="10502" spans="1:8" ht="25.05" customHeight="1" x14ac:dyDescent="0.25">
      <c r="A10502" s="2" t="s">
        <v>8</v>
      </c>
      <c r="B10502" s="2" t="str">
        <f>HYPERLINK("http://ts.21cn.com/tousu/show/id/1341724","中国联通恶意控制4G网速")</f>
        <v>中国联通恶意控制4G网速</v>
      </c>
      <c r="C10502" s="2" t="s">
        <v>34</v>
      </c>
      <c r="D10502" s="2" t="s">
        <v>10</v>
      </c>
      <c r="E10502" s="2" t="str">
        <f>HYPERLINK("http://ts.21cn.com/tousu/show/id/1341724","http://ts.21cn.com/tousu/show/id/1341724")</f>
        <v>http://ts.21cn.com/tousu/show/id/1341724</v>
      </c>
      <c r="F10502" s="2" t="s">
        <v>11</v>
      </c>
      <c r="G10502" s="2" t="s">
        <v>23509</v>
      </c>
      <c r="H10502" s="2" t="s">
        <v>23510</v>
      </c>
    </row>
    <row r="10503" spans="1:8" ht="25.05" customHeight="1" x14ac:dyDescent="0.25">
      <c r="A10503" s="2" t="s">
        <v>8</v>
      </c>
      <c r="B10503" s="2" t="str">
        <f>HYPERLINK("http://ts.21cn.com/tousu/show/id/1341725","私自扣我银行卡余额")</f>
        <v>私自扣我银行卡余额</v>
      </c>
      <c r="C10503" s="2" t="s">
        <v>9</v>
      </c>
      <c r="D10503" s="2" t="s">
        <v>10</v>
      </c>
      <c r="E10503" s="2" t="str">
        <f>HYPERLINK("http://ts.21cn.com/tousu/show/id/1341725","http://ts.21cn.com/tousu/show/id/1341725")</f>
        <v>http://ts.21cn.com/tousu/show/id/1341725</v>
      </c>
      <c r="F10503" s="2" t="s">
        <v>11</v>
      </c>
      <c r="G10503" s="2" t="s">
        <v>23507</v>
      </c>
      <c r="H10503" s="2" t="s">
        <v>23508</v>
      </c>
    </row>
    <row r="10504" spans="1:8" ht="25.05" customHeight="1" x14ac:dyDescent="0.25">
      <c r="A10504" s="2" t="s">
        <v>8</v>
      </c>
      <c r="B10504" s="2" t="str">
        <f>HYPERLINK("http://ts.21cn.com/tousu/show/id/1341721","暴力催收钱站")</f>
        <v>暴力催收钱站</v>
      </c>
      <c r="C10504" s="2" t="s">
        <v>9</v>
      </c>
      <c r="D10504" s="2" t="s">
        <v>10</v>
      </c>
      <c r="E10504" s="2" t="str">
        <f>HYPERLINK("http://ts.21cn.com/tousu/show/id/1341721","http://ts.21cn.com/tousu/show/id/1341721")</f>
        <v>http://ts.21cn.com/tousu/show/id/1341721</v>
      </c>
      <c r="F10504" s="2" t="s">
        <v>11</v>
      </c>
      <c r="G10504" s="2" t="s">
        <v>23504</v>
      </c>
      <c r="H10504" s="2" t="s">
        <v>23505</v>
      </c>
    </row>
    <row r="10505" spans="1:8" ht="25.05" customHeight="1" x14ac:dyDescent="0.25">
      <c r="A10505" s="2" t="s">
        <v>8</v>
      </c>
      <c r="B10505" s="2" t="str">
        <f>HYPERLINK("http://ts.21cn.com/tousu/show/id/1341723","侮辱")</f>
        <v>侮辱</v>
      </c>
      <c r="C10505" s="2" t="s">
        <v>9</v>
      </c>
      <c r="D10505" s="2" t="s">
        <v>10</v>
      </c>
      <c r="E10505" s="2" t="str">
        <f>HYPERLINK("http://ts.21cn.com/tousu/show/id/1341723","http://ts.21cn.com/tousu/show/id/1341723")</f>
        <v>http://ts.21cn.com/tousu/show/id/1341723</v>
      </c>
      <c r="F10505" s="2" t="s">
        <v>11</v>
      </c>
      <c r="G10505" s="2" t="s">
        <v>23504</v>
      </c>
      <c r="H10505" s="2" t="s">
        <v>23506</v>
      </c>
    </row>
    <row r="10506" spans="1:8" ht="25.05" customHeight="1" x14ac:dyDescent="0.25">
      <c r="A10506" s="2" t="s">
        <v>8</v>
      </c>
      <c r="B10506" s="2" t="str">
        <f>HYPERLINK("http://ts.21cn.com/tousu/show/id/1341726","德邦物流强制收取保价费")</f>
        <v>德邦物流强制收取保价费</v>
      </c>
      <c r="C10506" s="2" t="s">
        <v>9</v>
      </c>
      <c r="D10506" s="2" t="s">
        <v>10</v>
      </c>
      <c r="E10506" s="2" t="str">
        <f>HYPERLINK("http://ts.21cn.com/tousu/show/id/1341726","http://ts.21cn.com/tousu/show/id/1341726")</f>
        <v>http://ts.21cn.com/tousu/show/id/1341726</v>
      </c>
      <c r="F10506" s="2" t="s">
        <v>11</v>
      </c>
      <c r="G10506" s="2" t="s">
        <v>23502</v>
      </c>
      <c r="H10506" s="2" t="s">
        <v>23503</v>
      </c>
    </row>
    <row r="10507" spans="1:8" ht="25.05" customHeight="1" x14ac:dyDescent="0.25">
      <c r="A10507" s="2" t="s">
        <v>8</v>
      </c>
      <c r="B10507" s="2" t="str">
        <f>HYPERLINK("http://ts.21cn.com/tousu/show/id/1341727","催收威胁")</f>
        <v>催收威胁</v>
      </c>
      <c r="C10507" s="2" t="s">
        <v>9</v>
      </c>
      <c r="D10507" s="2" t="s">
        <v>10</v>
      </c>
      <c r="E10507" s="2" t="str">
        <f>HYPERLINK("http://ts.21cn.com/tousu/show/id/1341727","http://ts.21cn.com/tousu/show/id/1341727")</f>
        <v>http://ts.21cn.com/tousu/show/id/1341727</v>
      </c>
      <c r="F10507" s="2" t="s">
        <v>11</v>
      </c>
      <c r="G10507" s="2" t="s">
        <v>23500</v>
      </c>
      <c r="H10507" s="2" t="s">
        <v>23501</v>
      </c>
    </row>
    <row r="10508" spans="1:8" ht="25.05" customHeight="1" x14ac:dyDescent="0.25">
      <c r="A10508" s="2" t="s">
        <v>8</v>
      </c>
      <c r="B10508" s="2" t="str">
        <f>HYPERLINK("http://ts.21cn.com/tousu/show/id/1341728","闪电借款砍头息退还之前的砍头息")</f>
        <v>闪电借款砍头息退还之前的砍头息</v>
      </c>
      <c r="C10508" s="2" t="s">
        <v>34</v>
      </c>
      <c r="D10508" s="2" t="s">
        <v>10</v>
      </c>
      <c r="E10508" s="2" t="str">
        <f>HYPERLINK("http://ts.21cn.com/tousu/show/id/1341728","http://ts.21cn.com/tousu/show/id/1341728")</f>
        <v>http://ts.21cn.com/tousu/show/id/1341728</v>
      </c>
      <c r="F10508" s="2" t="s">
        <v>11</v>
      </c>
      <c r="G10508" s="2" t="s">
        <v>23498</v>
      </c>
      <c r="H10508" s="2" t="s">
        <v>23499</v>
      </c>
    </row>
    <row r="10509" spans="1:8" ht="25.05" customHeight="1" x14ac:dyDescent="0.25">
      <c r="A10509" s="2" t="s">
        <v>8</v>
      </c>
      <c r="B10509" s="2" t="str">
        <f>HYPERLINK("http://ts.21cn.com/tousu/show/id/1341730","在金铂超市买到臭的牛肉，超市不承认，态度强硬不处理")</f>
        <v>在金铂超市买到臭的牛肉，超市不承认，态度强硬不处理</v>
      </c>
      <c r="C10509" s="2" t="s">
        <v>9</v>
      </c>
      <c r="D10509" s="2" t="s">
        <v>10</v>
      </c>
      <c r="E10509" s="2" t="str">
        <f>HYPERLINK("http://ts.21cn.com/tousu/show/id/1341730","http://ts.21cn.com/tousu/show/id/1341730")</f>
        <v>http://ts.21cn.com/tousu/show/id/1341730</v>
      </c>
      <c r="F10509" s="2" t="s">
        <v>11</v>
      </c>
      <c r="G10509" s="2" t="s">
        <v>23496</v>
      </c>
      <c r="H10509" s="2" t="s">
        <v>23497</v>
      </c>
    </row>
    <row r="10510" spans="1:8" ht="25.05" customHeight="1" x14ac:dyDescent="0.25">
      <c r="A10510" s="2" t="s">
        <v>8</v>
      </c>
      <c r="B10510" s="2" t="str">
        <f>HYPERLINK("http://ts.21cn.com/tousu/show/id/1341729","白条分期坑我会员")</f>
        <v>白条分期坑我会员</v>
      </c>
      <c r="C10510" s="2" t="s">
        <v>9</v>
      </c>
      <c r="D10510" s="2" t="s">
        <v>10</v>
      </c>
      <c r="E10510" s="2" t="str">
        <f>HYPERLINK("http://ts.21cn.com/tousu/show/id/1341729","http://ts.21cn.com/tousu/show/id/1341729")</f>
        <v>http://ts.21cn.com/tousu/show/id/1341729</v>
      </c>
      <c r="F10510" s="2" t="s">
        <v>11</v>
      </c>
      <c r="G10510" s="2" t="s">
        <v>23494</v>
      </c>
      <c r="H10510" s="2" t="s">
        <v>23495</v>
      </c>
    </row>
    <row r="10511" spans="1:8" ht="25.05" customHeight="1" x14ac:dyDescent="0.25">
      <c r="A10511" s="2" t="s">
        <v>8</v>
      </c>
      <c r="B10511" s="2" t="str">
        <f>HYPERLINK("http://ts.21cn.com/tousu/show/id/1341737","未收到货闲鱼不退款")</f>
        <v>未收到货闲鱼不退款</v>
      </c>
      <c r="C10511" s="2" t="s">
        <v>9</v>
      </c>
      <c r="D10511" s="2" t="s">
        <v>10</v>
      </c>
      <c r="E10511" s="2" t="str">
        <f>HYPERLINK("http://ts.21cn.com/tousu/show/id/1341737","http://ts.21cn.com/tousu/show/id/1341737")</f>
        <v>http://ts.21cn.com/tousu/show/id/1341737</v>
      </c>
      <c r="F10511" s="2" t="s">
        <v>11</v>
      </c>
      <c r="G10511" s="2" t="s">
        <v>23492</v>
      </c>
      <c r="H10511" s="2" t="s">
        <v>23493</v>
      </c>
    </row>
    <row r="10512" spans="1:8" ht="25.05" customHeight="1" x14ac:dyDescent="0.25">
      <c r="A10512" s="2" t="s">
        <v>8</v>
      </c>
      <c r="B10512" s="2" t="str">
        <f>HYPERLINK("http://ts.21cn.com/tousu/show/id/1341731","时光分期综合年化超过60%，高利贷")</f>
        <v>时光分期综合年化超过60%，高利贷</v>
      </c>
      <c r="C10512" s="2" t="s">
        <v>9</v>
      </c>
      <c r="D10512" s="2" t="s">
        <v>10</v>
      </c>
      <c r="E10512" s="2" t="str">
        <f>HYPERLINK("http://ts.21cn.com/tousu/show/id/1341731","http://ts.21cn.com/tousu/show/id/1341731")</f>
        <v>http://ts.21cn.com/tousu/show/id/1341731</v>
      </c>
      <c r="F10512" s="2" t="s">
        <v>11</v>
      </c>
      <c r="G10512" s="2" t="s">
        <v>23490</v>
      </c>
      <c r="H10512" s="2" t="s">
        <v>23491</v>
      </c>
    </row>
    <row r="10513" spans="1:8" ht="25.05" customHeight="1" x14ac:dyDescent="0.25">
      <c r="A10513" s="2" t="s">
        <v>8</v>
      </c>
      <c r="B10513" s="2" t="str">
        <f>HYPERLINK("http://ts.21cn.com/tousu/show/id/1341732","网赚骗子")</f>
        <v>网赚骗子</v>
      </c>
      <c r="C10513" s="2" t="s">
        <v>9</v>
      </c>
      <c r="D10513" s="2" t="s">
        <v>10</v>
      </c>
      <c r="E10513" s="2" t="str">
        <f>HYPERLINK("http://ts.21cn.com/tousu/show/id/1341732","http://ts.21cn.com/tousu/show/id/1341732")</f>
        <v>http://ts.21cn.com/tousu/show/id/1341732</v>
      </c>
      <c r="F10513" s="2" t="s">
        <v>11</v>
      </c>
      <c r="G10513" s="2" t="s">
        <v>23488</v>
      </c>
      <c r="H10513" s="2" t="s">
        <v>23489</v>
      </c>
    </row>
    <row r="10514" spans="1:8" ht="25.05" customHeight="1" x14ac:dyDescent="0.25">
      <c r="A10514" s="2" t="s">
        <v>8</v>
      </c>
      <c r="B10514" s="2" t="str">
        <f>HYPERLINK("http://ts.21cn.com/tousu/show/id/1341734","钱站（爱钱进）暴力催收，砍头息，高利贷")</f>
        <v>钱站（爱钱进）暴力催收，砍头息，高利贷</v>
      </c>
      <c r="C10514" s="2" t="s">
        <v>9</v>
      </c>
      <c r="D10514" s="2" t="s">
        <v>10</v>
      </c>
      <c r="E10514" s="2" t="str">
        <f>HYPERLINK("http://ts.21cn.com/tousu/show/id/1341734","http://ts.21cn.com/tousu/show/id/1341734")</f>
        <v>http://ts.21cn.com/tousu/show/id/1341734</v>
      </c>
      <c r="F10514" s="2" t="s">
        <v>11</v>
      </c>
      <c r="G10514" s="2" t="s">
        <v>23486</v>
      </c>
      <c r="H10514" s="2" t="s">
        <v>23487</v>
      </c>
    </row>
    <row r="10515" spans="1:8" ht="25.05" customHeight="1" x14ac:dyDescent="0.25">
      <c r="A10515" s="2" t="s">
        <v>8</v>
      </c>
      <c r="B10515" s="2" t="str">
        <f>HYPERLINK("http://ts.21cn.com/tousu/show/id/1341733","嗨钱对公还款始终不销账，也没有说法。")</f>
        <v>嗨钱对公还款始终不销账，也没有说法。</v>
      </c>
      <c r="C10515" s="2" t="s">
        <v>9</v>
      </c>
      <c r="D10515" s="2" t="s">
        <v>10</v>
      </c>
      <c r="E10515" s="2" t="str">
        <f>HYPERLINK("http://ts.21cn.com/tousu/show/id/1341733","http://ts.21cn.com/tousu/show/id/1341733")</f>
        <v>http://ts.21cn.com/tousu/show/id/1341733</v>
      </c>
      <c r="F10515" s="2" t="s">
        <v>11</v>
      </c>
      <c r="G10515" s="2" t="s">
        <v>23484</v>
      </c>
      <c r="H10515" s="2" t="s">
        <v>23485</v>
      </c>
    </row>
    <row r="10516" spans="1:8" ht="25.05" customHeight="1" x14ac:dyDescent="0.25">
      <c r="A10516" s="2" t="s">
        <v>8</v>
      </c>
      <c r="B10516" s="2" t="str">
        <f>HYPERLINK("http://ts.21cn.com/tousu/show/id/1341735","闪银套路贷")</f>
        <v>闪银套路贷</v>
      </c>
      <c r="C10516" s="2" t="s">
        <v>9</v>
      </c>
      <c r="D10516" s="2" t="s">
        <v>10</v>
      </c>
      <c r="E10516" s="2" t="str">
        <f>HYPERLINK("http://ts.21cn.com/tousu/show/id/1341735","http://ts.21cn.com/tousu/show/id/1341735")</f>
        <v>http://ts.21cn.com/tousu/show/id/1341735</v>
      </c>
      <c r="F10516" s="2" t="s">
        <v>11</v>
      </c>
      <c r="G10516" s="2" t="s">
        <v>23482</v>
      </c>
      <c r="H10516" s="2" t="s">
        <v>23483</v>
      </c>
    </row>
    <row r="10517" spans="1:8" ht="25.05" customHeight="1" x14ac:dyDescent="0.25">
      <c r="A10517" s="2" t="s">
        <v>8</v>
      </c>
      <c r="B10517" s="2" t="str">
        <f>HYPERLINK("http://ts.21cn.com/tousu/show/id/1341736","手机借钱飞鸟分期")</f>
        <v>手机借钱飞鸟分期</v>
      </c>
      <c r="C10517" s="2" t="s">
        <v>34</v>
      </c>
      <c r="D10517" s="2" t="s">
        <v>10</v>
      </c>
      <c r="E10517" s="2" t="str">
        <f>HYPERLINK("http://ts.21cn.com/tousu/show/id/1341736","http://ts.21cn.com/tousu/show/id/1341736")</f>
        <v>http://ts.21cn.com/tousu/show/id/1341736</v>
      </c>
      <c r="F10517" s="2" t="s">
        <v>11</v>
      </c>
      <c r="G10517" s="2" t="s">
        <v>23480</v>
      </c>
      <c r="H10517" s="2" t="s">
        <v>23481</v>
      </c>
    </row>
    <row r="10518" spans="1:8" ht="25.05" customHeight="1" x14ac:dyDescent="0.25">
      <c r="A10518" s="2" t="s">
        <v>8</v>
      </c>
      <c r="B10518" s="2" t="str">
        <f>HYPERLINK("http://ts.21cn.com/tousu/show/id/1341738","在三亚凤凰机场办理的happyline的vip卡与销售时承诺不符")</f>
        <v>在三亚凤凰机场办理的happyline的vip卡与销售时承诺不符</v>
      </c>
      <c r="C10518" s="2" t="s">
        <v>9</v>
      </c>
      <c r="D10518" s="2" t="s">
        <v>10</v>
      </c>
      <c r="E10518" s="2" t="str">
        <f>HYPERLINK("http://ts.21cn.com/tousu/show/id/1341738","http://ts.21cn.com/tousu/show/id/1341738")</f>
        <v>http://ts.21cn.com/tousu/show/id/1341738</v>
      </c>
      <c r="F10518" s="2" t="s">
        <v>11</v>
      </c>
      <c r="G10518" s="2" t="s">
        <v>23478</v>
      </c>
      <c r="H10518" s="2" t="s">
        <v>23479</v>
      </c>
    </row>
    <row r="10519" spans="1:8" ht="25.05" customHeight="1" x14ac:dyDescent="0.25">
      <c r="A10519" s="2" t="s">
        <v>8</v>
      </c>
      <c r="B10519" s="2" t="str">
        <f>HYPERLINK("http://ts.21cn.com/tousu/show/id/1341740","钱站网贷平台收取高额担保费用，虚假合同欺骗借款人高额还款金额，客服人员催收行为无视合同规则自说自话")</f>
        <v>钱站网贷平台收取高额担保费用，虚假合同欺骗借款人高额还款金额，客服人员催收行为无视合同规则自说自话</v>
      </c>
      <c r="C10519" s="2" t="s">
        <v>9</v>
      </c>
      <c r="D10519" s="2" t="s">
        <v>10</v>
      </c>
      <c r="E10519" s="2" t="str">
        <f>HYPERLINK("http://ts.21cn.com/tousu/show/id/1341740","http://ts.21cn.com/tousu/show/id/1341740")</f>
        <v>http://ts.21cn.com/tousu/show/id/1341740</v>
      </c>
      <c r="F10519" s="2" t="s">
        <v>11</v>
      </c>
      <c r="G10519" s="2" t="s">
        <v>23476</v>
      </c>
      <c r="H10519" s="2" t="s">
        <v>23477</v>
      </c>
    </row>
    <row r="10520" spans="1:8" ht="25.05" customHeight="1" x14ac:dyDescent="0.25">
      <c r="A10520" s="2" t="s">
        <v>8</v>
      </c>
      <c r="B10520" s="2" t="str">
        <f>HYPERLINK("http://ts.21cn.com/tousu/show/id/1341739","奥园地产虚假宣传，欺诈消费者，交楼质量不达标，延迟交楼")</f>
        <v>奥园地产虚假宣传，欺诈消费者，交楼质量不达标，延迟交楼</v>
      </c>
      <c r="C10520" s="2" t="s">
        <v>9</v>
      </c>
      <c r="D10520" s="2" t="s">
        <v>10</v>
      </c>
      <c r="E10520" s="2" t="str">
        <f>HYPERLINK("http://ts.21cn.com/tousu/show/id/1341739","http://ts.21cn.com/tousu/show/id/1341739")</f>
        <v>http://ts.21cn.com/tousu/show/id/1341739</v>
      </c>
      <c r="F10520" s="2" t="s">
        <v>11</v>
      </c>
      <c r="G10520" s="2" t="s">
        <v>23474</v>
      </c>
      <c r="H10520" s="2" t="s">
        <v>23475</v>
      </c>
    </row>
    <row r="10521" spans="1:8" ht="25.05" customHeight="1" x14ac:dyDescent="0.25">
      <c r="A10521" s="2" t="s">
        <v>8</v>
      </c>
      <c r="B10521" s="2" t="str">
        <f>HYPERLINK("http://ts.21cn.com/tousu/show/id/1341741","聚福钱包未经许可私自扣款")</f>
        <v>聚福钱包未经许可私自扣款</v>
      </c>
      <c r="C10521" s="2" t="s">
        <v>9</v>
      </c>
      <c r="D10521" s="2" t="s">
        <v>10</v>
      </c>
      <c r="E10521" s="2" t="str">
        <f>HYPERLINK("http://ts.21cn.com/tousu/show/id/1341741","http://ts.21cn.com/tousu/show/id/1341741")</f>
        <v>http://ts.21cn.com/tousu/show/id/1341741</v>
      </c>
      <c r="F10521" s="2" t="s">
        <v>11</v>
      </c>
      <c r="G10521" s="2" t="s">
        <v>23472</v>
      </c>
      <c r="H10521" s="2" t="s">
        <v>23473</v>
      </c>
    </row>
    <row r="10522" spans="1:8" ht="25.05" customHeight="1" x14ac:dyDescent="0.25">
      <c r="A10522" s="2" t="s">
        <v>8</v>
      </c>
      <c r="B10522" s="2" t="str">
        <f>HYPERLINK("http://ts.21cn.com/tousu/show/id/1341742","抖音直播号被封了钱提现不了请求抖音官方把钱给我")</f>
        <v>抖音直播号被封了钱提现不了请求抖音官方把钱给我</v>
      </c>
      <c r="C10522" s="2" t="s">
        <v>9</v>
      </c>
      <c r="D10522" s="2" t="s">
        <v>10</v>
      </c>
      <c r="E10522" s="2" t="str">
        <f>HYPERLINK("http://ts.21cn.com/tousu/show/id/1341742","http://ts.21cn.com/tousu/show/id/1341742")</f>
        <v>http://ts.21cn.com/tousu/show/id/1341742</v>
      </c>
      <c r="F10522" s="2" t="s">
        <v>11</v>
      </c>
      <c r="G10522" s="2" t="s">
        <v>23470</v>
      </c>
      <c r="H10522" s="2" t="s">
        <v>23471</v>
      </c>
    </row>
    <row r="10523" spans="1:8" ht="25.05" customHeight="1" x14ac:dyDescent="0.25">
      <c r="A10523" s="2" t="s">
        <v>8</v>
      </c>
      <c r="B10523" s="2" t="str">
        <f>HYPERLINK("http://ts.21cn.com/tousu/show/id/1341743","白条分期私自扣除会员！")</f>
        <v>白条分期私自扣除会员！</v>
      </c>
      <c r="C10523" s="2" t="s">
        <v>9</v>
      </c>
      <c r="D10523" s="2" t="s">
        <v>10</v>
      </c>
      <c r="E10523" s="2" t="str">
        <f>HYPERLINK("http://ts.21cn.com/tousu/show/id/1341743","http://ts.21cn.com/tousu/show/id/1341743")</f>
        <v>http://ts.21cn.com/tousu/show/id/1341743</v>
      </c>
      <c r="F10523" s="2" t="s">
        <v>11</v>
      </c>
      <c r="G10523" s="2" t="s">
        <v>23468</v>
      </c>
      <c r="H10523" s="2" t="s">
        <v>23469</v>
      </c>
    </row>
    <row r="10524" spans="1:8" ht="25.05" customHeight="1" x14ac:dyDescent="0.25">
      <c r="A10524" s="2" t="s">
        <v>8</v>
      </c>
      <c r="B10524" s="2" t="str">
        <f>HYPERLINK("http://ts.21cn.com/tousu/show/id/1341745","归还强制砍头息")</f>
        <v>归还强制砍头息</v>
      </c>
      <c r="C10524" s="2" t="s">
        <v>9</v>
      </c>
      <c r="D10524" s="2" t="s">
        <v>10</v>
      </c>
      <c r="E10524" s="2" t="str">
        <f>HYPERLINK("http://ts.21cn.com/tousu/show/id/1341745","http://ts.21cn.com/tousu/show/id/1341745")</f>
        <v>http://ts.21cn.com/tousu/show/id/1341745</v>
      </c>
      <c r="F10524" s="2" t="s">
        <v>11</v>
      </c>
      <c r="G10524" s="2" t="s">
        <v>23466</v>
      </c>
      <c r="H10524" s="2" t="s">
        <v>23467</v>
      </c>
    </row>
    <row r="10525" spans="1:8" ht="25.05" customHeight="1" x14ac:dyDescent="0.25">
      <c r="A10525" s="2" t="s">
        <v>8</v>
      </c>
      <c r="B10525" s="2" t="str">
        <f>HYPERLINK("http://ts.21cn.com/tousu/show/id/1341746","阳光财产保险股份有限公司变相高利贷，乱收费用，乱帮客户购买保险，非法催收")</f>
        <v>阳光财产保险股份有限公司变相高利贷，乱收费用，乱帮客户购买保险，非法催收</v>
      </c>
      <c r="C10525" s="2" t="s">
        <v>9</v>
      </c>
      <c r="D10525" s="2" t="s">
        <v>10</v>
      </c>
      <c r="E10525" s="2" t="str">
        <f>HYPERLINK("http://ts.21cn.com/tousu/show/id/1341746","http://ts.21cn.com/tousu/show/id/1341746")</f>
        <v>http://ts.21cn.com/tousu/show/id/1341746</v>
      </c>
      <c r="F10525" s="2" t="s">
        <v>11</v>
      </c>
      <c r="G10525" s="2" t="s">
        <v>23464</v>
      </c>
      <c r="H10525" s="2" t="s">
        <v>23465</v>
      </c>
    </row>
    <row r="10526" spans="1:8" ht="25.05" customHeight="1" x14ac:dyDescent="0.25">
      <c r="A10526" s="2" t="s">
        <v>8</v>
      </c>
      <c r="B10526" s="2" t="str">
        <f>HYPERLINK("http://ts.21cn.com/tousu/show/id/1341747","网贷变相收费")</f>
        <v>网贷变相收费</v>
      </c>
      <c r="C10526" s="2" t="s">
        <v>9</v>
      </c>
      <c r="D10526" s="2" t="s">
        <v>10</v>
      </c>
      <c r="E10526" s="2" t="str">
        <f>HYPERLINK("http://ts.21cn.com/tousu/show/id/1341747","http://ts.21cn.com/tousu/show/id/1341747")</f>
        <v>http://ts.21cn.com/tousu/show/id/1341747</v>
      </c>
      <c r="F10526" s="2" t="s">
        <v>11</v>
      </c>
      <c r="G10526" s="2" t="s">
        <v>23462</v>
      </c>
      <c r="H10526" s="2" t="s">
        <v>23463</v>
      </c>
    </row>
    <row r="10527" spans="1:8" ht="25.05" customHeight="1" x14ac:dyDescent="0.25">
      <c r="A10527" s="2" t="s">
        <v>8</v>
      </c>
      <c r="B10527" s="2" t="str">
        <f>HYPERLINK("http://ts.21cn.com/tousu/show/id/1341748","暴力催收恶意骚扰通讯录短信群发欠债人的资料及个人信息")</f>
        <v>暴力催收恶意骚扰通讯录短信群发欠债人的资料及个人信息</v>
      </c>
      <c r="C10527" s="2" t="s">
        <v>9</v>
      </c>
      <c r="D10527" s="2" t="s">
        <v>10</v>
      </c>
      <c r="E10527" s="2" t="str">
        <f>HYPERLINK("http://ts.21cn.com/tousu/show/id/1341748","http://ts.21cn.com/tousu/show/id/1341748")</f>
        <v>http://ts.21cn.com/tousu/show/id/1341748</v>
      </c>
      <c r="F10527" s="2" t="s">
        <v>11</v>
      </c>
      <c r="G10527" s="2" t="s">
        <v>23460</v>
      </c>
      <c r="H10527" s="2" t="s">
        <v>23461</v>
      </c>
    </row>
    <row r="10528" spans="1:8" ht="25.05" customHeight="1" x14ac:dyDescent="0.25">
      <c r="A10528" s="2" t="s">
        <v>8</v>
      </c>
      <c r="B10528" s="2" t="str">
        <f>HYPERLINK("http://ts.21cn.com/tousu/show/id/1341750","叉叉ipa精灵不退款,退款难")</f>
        <v>叉叉ipa精灵不退款,退款难</v>
      </c>
      <c r="C10528" s="2" t="s">
        <v>9</v>
      </c>
      <c r="D10528" s="2" t="s">
        <v>10</v>
      </c>
      <c r="E10528" s="2" t="str">
        <f>HYPERLINK("http://ts.21cn.com/tousu/show/id/1341750","http://ts.21cn.com/tousu/show/id/1341750")</f>
        <v>http://ts.21cn.com/tousu/show/id/1341750</v>
      </c>
      <c r="F10528" s="2" t="s">
        <v>11</v>
      </c>
      <c r="G10528" s="2" t="s">
        <v>23458</v>
      </c>
      <c r="H10528" s="2" t="s">
        <v>23459</v>
      </c>
    </row>
    <row r="10529" spans="1:8" ht="25.05" customHeight="1" x14ac:dyDescent="0.25">
      <c r="A10529" s="2" t="s">
        <v>8</v>
      </c>
      <c r="B10529" s="2" t="str">
        <f>HYPERLINK("http://ts.21cn.com/tousu/show/id/1341749","携程无法网上退汽车票")</f>
        <v>携程无法网上退汽车票</v>
      </c>
      <c r="C10529" s="2" t="s">
        <v>34</v>
      </c>
      <c r="D10529" s="2" t="s">
        <v>10</v>
      </c>
      <c r="E10529" s="2" t="str">
        <f>HYPERLINK("http://ts.21cn.com/tousu/show/id/1341749","http://ts.21cn.com/tousu/show/id/1341749")</f>
        <v>http://ts.21cn.com/tousu/show/id/1341749</v>
      </c>
      <c r="F10529" s="2" t="s">
        <v>11</v>
      </c>
      <c r="G10529" s="2" t="s">
        <v>23456</v>
      </c>
      <c r="H10529" s="2" t="s">
        <v>23457</v>
      </c>
    </row>
    <row r="10530" spans="1:8" ht="25.05" customHeight="1" x14ac:dyDescent="0.25">
      <c r="A10530" s="2" t="s">
        <v>8</v>
      </c>
      <c r="B10530" s="2" t="str">
        <f>HYPERLINK("http://ts.21cn.com/tousu/show/id/1341751","申请退款不予处理")</f>
        <v>申请退款不予处理</v>
      </c>
      <c r="C10530" s="2" t="s">
        <v>9</v>
      </c>
      <c r="D10530" s="2" t="s">
        <v>10</v>
      </c>
      <c r="E10530" s="2" t="str">
        <f>HYPERLINK("http://ts.21cn.com/tousu/show/id/1341751","http://ts.21cn.com/tousu/show/id/1341751")</f>
        <v>http://ts.21cn.com/tousu/show/id/1341751</v>
      </c>
      <c r="F10530" s="2" t="s">
        <v>11</v>
      </c>
      <c r="G10530" s="2" t="s">
        <v>23454</v>
      </c>
      <c r="H10530" s="2" t="s">
        <v>23455</v>
      </c>
    </row>
    <row r="10531" spans="1:8" ht="25.05" customHeight="1" x14ac:dyDescent="0.25">
      <c r="A10531" s="2" t="s">
        <v>8</v>
      </c>
      <c r="B10531" s="2" t="str">
        <f>HYPERLINK("http://ts.21cn.com/tousu/show/id/1341753","拒赔运费险")</f>
        <v>拒赔运费险</v>
      </c>
      <c r="C10531" s="2" t="s">
        <v>9</v>
      </c>
      <c r="D10531" s="2" t="s">
        <v>10</v>
      </c>
      <c r="E10531" s="2" t="str">
        <f>HYPERLINK("http://ts.21cn.com/tousu/show/id/1341753","http://ts.21cn.com/tousu/show/id/1341753")</f>
        <v>http://ts.21cn.com/tousu/show/id/1341753</v>
      </c>
      <c r="F10531" s="2" t="s">
        <v>11</v>
      </c>
      <c r="G10531" s="2" t="s">
        <v>23452</v>
      </c>
      <c r="H10531" s="2" t="s">
        <v>23453</v>
      </c>
    </row>
    <row r="10532" spans="1:8" ht="25.05" customHeight="1" x14ac:dyDescent="0.25">
      <c r="A10532" s="2" t="s">
        <v>8</v>
      </c>
      <c r="B10532" s="2" t="str">
        <f>HYPERLINK("http://ts.21cn.com/tousu/show/id/1341754","高利贷")</f>
        <v>高利贷</v>
      </c>
      <c r="C10532" s="2" t="s">
        <v>9</v>
      </c>
      <c r="D10532" s="2" t="s">
        <v>10</v>
      </c>
      <c r="E10532" s="2" t="str">
        <f>HYPERLINK("http://ts.21cn.com/tousu/show/id/1341754","http://ts.21cn.com/tousu/show/id/1341754")</f>
        <v>http://ts.21cn.com/tousu/show/id/1341754</v>
      </c>
      <c r="F10532" s="2" t="s">
        <v>11</v>
      </c>
      <c r="G10532" s="2" t="s">
        <v>23450</v>
      </c>
      <c r="H10532" s="2" t="s">
        <v>23451</v>
      </c>
    </row>
    <row r="10533" spans="1:8" ht="25.05" customHeight="1" x14ac:dyDescent="0.25">
      <c r="A10533" s="2" t="s">
        <v>8</v>
      </c>
      <c r="B10533" s="2" t="str">
        <f>HYPERLINK("http://ts.21cn.com/tousu/show/id/1341755","米米罐借款1200还款1650，利息牛逼。")</f>
        <v>米米罐借款1200还款1650，利息牛逼。</v>
      </c>
      <c r="C10533" s="2" t="s">
        <v>34</v>
      </c>
      <c r="D10533" s="2" t="s">
        <v>10</v>
      </c>
      <c r="E10533" s="2" t="str">
        <f>HYPERLINK("http://ts.21cn.com/tousu/show/id/1341755","http://ts.21cn.com/tousu/show/id/1341755")</f>
        <v>http://ts.21cn.com/tousu/show/id/1341755</v>
      </c>
      <c r="F10533" s="2" t="s">
        <v>11</v>
      </c>
      <c r="G10533" s="2" t="s">
        <v>23448</v>
      </c>
      <c r="H10533" s="2" t="s">
        <v>23449</v>
      </c>
    </row>
    <row r="10534" spans="1:8" ht="25.05" customHeight="1" x14ac:dyDescent="0.25">
      <c r="A10534" s="2" t="s">
        <v>8</v>
      </c>
      <c r="B10534" s="2" t="str">
        <f>HYPERLINK("http://ts.21cn.com/tousu/show/id/1341756","暴力催收，高利贷，拍拍贷")</f>
        <v>暴力催收，高利贷，拍拍贷</v>
      </c>
      <c r="C10534" s="2" t="s">
        <v>9</v>
      </c>
      <c r="D10534" s="2" t="s">
        <v>10</v>
      </c>
      <c r="E10534" s="2" t="str">
        <f>HYPERLINK("http://ts.21cn.com/tousu/show/id/1341756","http://ts.21cn.com/tousu/show/id/1341756")</f>
        <v>http://ts.21cn.com/tousu/show/id/1341756</v>
      </c>
      <c r="F10534" s="2" t="s">
        <v>11</v>
      </c>
      <c r="G10534" s="2" t="s">
        <v>23446</v>
      </c>
      <c r="H10534" s="2" t="s">
        <v>23447</v>
      </c>
    </row>
    <row r="10535" spans="1:8" ht="25.05" customHeight="1" x14ac:dyDescent="0.25">
      <c r="A10535" s="2" t="s">
        <v>8</v>
      </c>
      <c r="B10535" s="2" t="str">
        <f>HYPERLINK("http://ts.21cn.com/tousu/show/id/1341757","月光侠分期")</f>
        <v>月光侠分期</v>
      </c>
      <c r="C10535" s="2" t="s">
        <v>34</v>
      </c>
      <c r="D10535" s="2" t="s">
        <v>10</v>
      </c>
      <c r="E10535" s="2" t="str">
        <f>HYPERLINK("http://ts.21cn.com/tousu/show/id/1341757","http://ts.21cn.com/tousu/show/id/1341757")</f>
        <v>http://ts.21cn.com/tousu/show/id/1341757</v>
      </c>
      <c r="F10535" s="2" t="s">
        <v>11</v>
      </c>
      <c r="G10535" s="2" t="s">
        <v>23444</v>
      </c>
      <c r="H10535" s="2" t="s">
        <v>23445</v>
      </c>
    </row>
    <row r="10536" spans="1:8" ht="25.05" customHeight="1" x14ac:dyDescent="0.25">
      <c r="A10536" s="2" t="s">
        <v>8</v>
      </c>
      <c r="B10536" s="2" t="str">
        <f>HYPERLINK("http://ts.21cn.com/tousu/show/id/1341759","借贷宝纵容放高利贷")</f>
        <v>借贷宝纵容放高利贷</v>
      </c>
      <c r="C10536" s="2" t="s">
        <v>9</v>
      </c>
      <c r="D10536" s="2" t="s">
        <v>10</v>
      </c>
      <c r="E10536" s="2" t="str">
        <f>HYPERLINK("http://ts.21cn.com/tousu/show/id/1341759","http://ts.21cn.com/tousu/show/id/1341759")</f>
        <v>http://ts.21cn.com/tousu/show/id/1341759</v>
      </c>
      <c r="F10536" s="2" t="s">
        <v>11</v>
      </c>
      <c r="G10536" s="2" t="s">
        <v>23442</v>
      </c>
      <c r="H10536" s="2" t="s">
        <v>23443</v>
      </c>
    </row>
    <row r="10537" spans="1:8" ht="25.05" customHeight="1" x14ac:dyDescent="0.25">
      <c r="A10537" s="2" t="s">
        <v>8</v>
      </c>
      <c r="B10537" s="2" t="str">
        <f>HYPERLINK("http://ts.21cn.com/tousu/show/id/1341758","51人品到账金额与合同金额不符，砍头息，高利贷")</f>
        <v>51人品到账金额与合同金额不符，砍头息，高利贷</v>
      </c>
      <c r="C10537" s="2" t="s">
        <v>9</v>
      </c>
      <c r="D10537" s="2" t="s">
        <v>10</v>
      </c>
      <c r="E10537" s="2" t="str">
        <f>HYPERLINK("http://ts.21cn.com/tousu/show/id/1341758","http://ts.21cn.com/tousu/show/id/1341758")</f>
        <v>http://ts.21cn.com/tousu/show/id/1341758</v>
      </c>
      <c r="F10537" s="2" t="s">
        <v>11</v>
      </c>
      <c r="G10537" s="2" t="s">
        <v>23440</v>
      </c>
      <c r="H10537" s="2" t="s">
        <v>23441</v>
      </c>
    </row>
    <row r="10538" spans="1:8" ht="25.05" customHeight="1" x14ac:dyDescent="0.25">
      <c r="A10538" s="2" t="s">
        <v>8</v>
      </c>
      <c r="B10538" s="2" t="str">
        <f>HYPERLINK("http://ts.21cn.com/tousu/show/id/1341760","小象优品高利息提前结清也要收取")</f>
        <v>小象优品高利息提前结清也要收取</v>
      </c>
      <c r="C10538" s="2" t="s">
        <v>9</v>
      </c>
      <c r="D10538" s="2" t="s">
        <v>10</v>
      </c>
      <c r="E10538" s="2" t="str">
        <f>HYPERLINK("http://ts.21cn.com/tousu/show/id/1341760","http://ts.21cn.com/tousu/show/id/1341760")</f>
        <v>http://ts.21cn.com/tousu/show/id/1341760</v>
      </c>
      <c r="F10538" s="2" t="s">
        <v>11</v>
      </c>
      <c r="G10538" s="2" t="s">
        <v>23438</v>
      </c>
      <c r="H10538" s="2" t="s">
        <v>23439</v>
      </c>
    </row>
    <row r="10539" spans="1:8" ht="25.05" customHeight="1" x14ac:dyDescent="0.25">
      <c r="A10539" s="2" t="s">
        <v>8</v>
      </c>
      <c r="B10539" s="2" t="str">
        <f>HYPERLINK("http://ts.21cn.com/tousu/show/id/1341761","瑞贷网络公司利率超高，收砍头息")</f>
        <v>瑞贷网络公司利率超高，收砍头息</v>
      </c>
      <c r="C10539" s="2" t="s">
        <v>34</v>
      </c>
      <c r="D10539" s="2" t="s">
        <v>10</v>
      </c>
      <c r="E10539" s="2" t="str">
        <f>HYPERLINK("http://ts.21cn.com/tousu/show/id/1341761","http://ts.21cn.com/tousu/show/id/1341761")</f>
        <v>http://ts.21cn.com/tousu/show/id/1341761</v>
      </c>
      <c r="F10539" s="2" t="s">
        <v>11</v>
      </c>
      <c r="G10539" s="2" t="s">
        <v>23436</v>
      </c>
      <c r="H10539" s="2" t="s">
        <v>23437</v>
      </c>
    </row>
    <row r="10540" spans="1:8" ht="25.05" customHeight="1" x14ac:dyDescent="0.25">
      <c r="A10540" s="2" t="s">
        <v>8</v>
      </c>
      <c r="B10540" s="2" t="str">
        <f>HYPERLINK("http://ts.21cn.com/tousu/show/id/1341762","国美易贷app")</f>
        <v>国美易贷app</v>
      </c>
      <c r="C10540" s="2" t="s">
        <v>9</v>
      </c>
      <c r="D10540" s="2" t="s">
        <v>10</v>
      </c>
      <c r="E10540" s="2" t="str">
        <f>HYPERLINK("http://ts.21cn.com/tousu/show/id/1341762","http://ts.21cn.com/tousu/show/id/1341762")</f>
        <v>http://ts.21cn.com/tousu/show/id/1341762</v>
      </c>
      <c r="F10540" s="2" t="s">
        <v>11</v>
      </c>
      <c r="G10540" s="2" t="s">
        <v>23434</v>
      </c>
      <c r="H10540" s="2" t="s">
        <v>23435</v>
      </c>
    </row>
    <row r="10541" spans="1:8" ht="25.05" customHeight="1" x14ac:dyDescent="0.25">
      <c r="A10541" s="2" t="s">
        <v>8</v>
      </c>
      <c r="B10541" s="2" t="str">
        <f>HYPERLINK("http://ts.21cn.com/tousu/show/id/1341764","浦发信用卡拒绝协商分期要逼死人")</f>
        <v>浦发信用卡拒绝协商分期要逼死人</v>
      </c>
      <c r="C10541" s="2" t="s">
        <v>9</v>
      </c>
      <c r="D10541" s="2" t="s">
        <v>10</v>
      </c>
      <c r="E10541" s="2" t="str">
        <f>HYPERLINK("http://ts.21cn.com/tousu/show/id/1341764","http://ts.21cn.com/tousu/show/id/1341764")</f>
        <v>http://ts.21cn.com/tousu/show/id/1341764</v>
      </c>
      <c r="F10541" s="2" t="s">
        <v>11</v>
      </c>
      <c r="G10541" s="2" t="s">
        <v>23432</v>
      </c>
      <c r="H10541" s="2" t="s">
        <v>23433</v>
      </c>
    </row>
    <row r="10542" spans="1:8" ht="25.05" customHeight="1" x14ac:dyDescent="0.25">
      <c r="A10542" s="2" t="s">
        <v>8</v>
      </c>
      <c r="B10542" s="2" t="str">
        <f>HYPERLINK("http://ts.21cn.com/tousu/show/id/1341765","要求造艺技术退款")</f>
        <v>要求造艺技术退款</v>
      </c>
      <c r="C10542" s="2" t="s">
        <v>34</v>
      </c>
      <c r="D10542" s="2" t="s">
        <v>10</v>
      </c>
      <c r="E10542" s="2" t="str">
        <f>HYPERLINK("http://ts.21cn.com/tousu/show/id/1341765","http://ts.21cn.com/tousu/show/id/1341765")</f>
        <v>http://ts.21cn.com/tousu/show/id/1341765</v>
      </c>
      <c r="F10542" s="2" t="s">
        <v>11</v>
      </c>
      <c r="G10542" s="2" t="s">
        <v>23430</v>
      </c>
      <c r="H10542" s="2" t="s">
        <v>23431</v>
      </c>
    </row>
    <row r="10543" spans="1:8" ht="25.05" customHeight="1" x14ac:dyDescent="0.25">
      <c r="A10543" s="2" t="s">
        <v>8</v>
      </c>
      <c r="B10543" s="2" t="str">
        <f>HYPERLINK("http://ts.21cn.com/tousu/show/id/1341767","滴滴霸王条款")</f>
        <v>滴滴霸王条款</v>
      </c>
      <c r="C10543" s="2" t="s">
        <v>9</v>
      </c>
      <c r="D10543" s="2" t="s">
        <v>10</v>
      </c>
      <c r="E10543" s="2" t="str">
        <f>HYPERLINK("http://ts.21cn.com/tousu/show/id/1341767","http://ts.21cn.com/tousu/show/id/1341767")</f>
        <v>http://ts.21cn.com/tousu/show/id/1341767</v>
      </c>
      <c r="F10543" s="2" t="s">
        <v>11</v>
      </c>
      <c r="G10543" s="2" t="s">
        <v>23428</v>
      </c>
      <c r="H10543" s="2" t="s">
        <v>23429</v>
      </c>
    </row>
    <row r="10544" spans="1:8" ht="25.05" customHeight="1" x14ac:dyDescent="0.25">
      <c r="A10544" s="2" t="s">
        <v>8</v>
      </c>
      <c r="B10544" s="2" t="str">
        <f>HYPERLINK("http://ts.21cn.com/tousu/show/id/1341768","及贷公司暴力催收")</f>
        <v>及贷公司暴力催收</v>
      </c>
      <c r="C10544" s="2" t="s">
        <v>9</v>
      </c>
      <c r="D10544" s="2" t="s">
        <v>10</v>
      </c>
      <c r="E10544" s="2" t="str">
        <f>HYPERLINK("http://ts.21cn.com/tousu/show/id/1341768","http://ts.21cn.com/tousu/show/id/1341768")</f>
        <v>http://ts.21cn.com/tousu/show/id/1341768</v>
      </c>
      <c r="F10544" s="2" t="s">
        <v>11</v>
      </c>
      <c r="G10544" s="2" t="s">
        <v>23426</v>
      </c>
      <c r="H10544" s="2" t="s">
        <v>23427</v>
      </c>
    </row>
    <row r="10545" spans="1:8" ht="25.05" customHeight="1" x14ac:dyDescent="0.25">
      <c r="A10545" s="2" t="s">
        <v>8</v>
      </c>
      <c r="B10545" s="2" t="str">
        <f>HYPERLINK("http://ts.21cn.com/tousu/show/id/1341769","嗨包砍头息遗像威胁")</f>
        <v>嗨包砍头息遗像威胁</v>
      </c>
      <c r="C10545" s="2" t="s">
        <v>9</v>
      </c>
      <c r="D10545" s="2" t="s">
        <v>10</v>
      </c>
      <c r="E10545" s="2" t="str">
        <f>HYPERLINK("http://ts.21cn.com/tousu/show/id/1341769","http://ts.21cn.com/tousu/show/id/1341769")</f>
        <v>http://ts.21cn.com/tousu/show/id/1341769</v>
      </c>
      <c r="F10545" s="2" t="s">
        <v>11</v>
      </c>
      <c r="G10545" s="2" t="s">
        <v>23424</v>
      </c>
      <c r="H10545" s="2" t="s">
        <v>23425</v>
      </c>
    </row>
    <row r="10546" spans="1:8" ht="25.05" customHeight="1" x14ac:dyDescent="0.25">
      <c r="A10546" s="2" t="s">
        <v>8</v>
      </c>
      <c r="B10546" s="2" t="str">
        <f>HYPERLINK("http://ts.21cn.com/tousu/show/id/1341770","无忧贷威胁")</f>
        <v>无忧贷威胁</v>
      </c>
      <c r="C10546" s="2" t="s">
        <v>9</v>
      </c>
      <c r="D10546" s="2" t="s">
        <v>10</v>
      </c>
      <c r="E10546" s="2" t="str">
        <f>HYPERLINK("http://ts.21cn.com/tousu/show/id/1341770","http://ts.21cn.com/tousu/show/id/1341770")</f>
        <v>http://ts.21cn.com/tousu/show/id/1341770</v>
      </c>
      <c r="F10546" s="2" t="s">
        <v>11</v>
      </c>
      <c r="G10546" s="2" t="s">
        <v>23422</v>
      </c>
      <c r="H10546" s="2" t="s">
        <v>23423</v>
      </c>
    </row>
    <row r="10547" spans="1:8" ht="25.05" customHeight="1" x14ac:dyDescent="0.25">
      <c r="A10547" s="2" t="s">
        <v>8</v>
      </c>
      <c r="B10547" s="2" t="str">
        <f>HYPERLINK("http://ts.21cn.com/tousu/show/id/1341771","投诉百事惠普恶意扣款299")</f>
        <v>投诉百事惠普恶意扣款299</v>
      </c>
      <c r="C10547" s="2" t="s">
        <v>9</v>
      </c>
      <c r="D10547" s="2" t="s">
        <v>10</v>
      </c>
      <c r="E10547" s="2" t="str">
        <f>HYPERLINK("http://ts.21cn.com/tousu/show/id/1341771","http://ts.21cn.com/tousu/show/id/1341771")</f>
        <v>http://ts.21cn.com/tousu/show/id/1341771</v>
      </c>
      <c r="F10547" s="2" t="s">
        <v>11</v>
      </c>
      <c r="G10547" s="2" t="s">
        <v>23420</v>
      </c>
      <c r="H10547" s="2" t="s">
        <v>23421</v>
      </c>
    </row>
    <row r="10548" spans="1:8" ht="25.05" customHeight="1" x14ac:dyDescent="0.25">
      <c r="A10548" s="2" t="s">
        <v>8</v>
      </c>
      <c r="B10548" s="2" t="str">
        <f>HYPERLINK("http://ts.21cn.com/tousu/show/id/1341772","月光侠分期暴力催收")</f>
        <v>月光侠分期暴力催收</v>
      </c>
      <c r="C10548" s="2" t="s">
        <v>9</v>
      </c>
      <c r="D10548" s="2" t="s">
        <v>10</v>
      </c>
      <c r="E10548" s="2" t="str">
        <f>HYPERLINK("http://ts.21cn.com/tousu/show/id/1341772","http://ts.21cn.com/tousu/show/id/1341772")</f>
        <v>http://ts.21cn.com/tousu/show/id/1341772</v>
      </c>
      <c r="F10548" s="2" t="s">
        <v>11</v>
      </c>
      <c r="G10548" s="2" t="s">
        <v>23418</v>
      </c>
      <c r="H10548" s="2" t="s">
        <v>23419</v>
      </c>
    </row>
    <row r="10549" spans="1:8" ht="25.05" customHeight="1" x14ac:dyDescent="0.25">
      <c r="A10549" s="2" t="s">
        <v>8</v>
      </c>
      <c r="B10549" s="2" t="str">
        <f>HYPERLINK("http://ts.21cn.com/tousu/show/id/1341773","给骗子公司提供服务坑害人")</f>
        <v>给骗子公司提供服务坑害人</v>
      </c>
      <c r="C10549" s="2" t="s">
        <v>9</v>
      </c>
      <c r="D10549" s="2" t="s">
        <v>10</v>
      </c>
      <c r="E10549" s="2" t="str">
        <f>HYPERLINK("http://ts.21cn.com/tousu/show/id/1341773","http://ts.21cn.com/tousu/show/id/1341773")</f>
        <v>http://ts.21cn.com/tousu/show/id/1341773</v>
      </c>
      <c r="F10549" s="2" t="s">
        <v>11</v>
      </c>
      <c r="G10549" s="2" t="s">
        <v>23416</v>
      </c>
      <c r="H10549" s="2" t="s">
        <v>23417</v>
      </c>
    </row>
    <row r="10550" spans="1:8" ht="25.05" customHeight="1" x14ac:dyDescent="0.25">
      <c r="A10550" s="2" t="s">
        <v>8</v>
      </c>
      <c r="B10550" s="2" t="str">
        <f>HYPERLINK("http://ts.21cn.com/tousu/show/id/1341774","好分期暴力催收威胁")</f>
        <v>好分期暴力催收威胁</v>
      </c>
      <c r="C10550" s="2" t="s">
        <v>9</v>
      </c>
      <c r="D10550" s="2" t="s">
        <v>10</v>
      </c>
      <c r="E10550" s="2" t="str">
        <f>HYPERLINK("http://ts.21cn.com/tousu/show/id/1341774","http://ts.21cn.com/tousu/show/id/1341774")</f>
        <v>http://ts.21cn.com/tousu/show/id/1341774</v>
      </c>
      <c r="F10550" s="2" t="s">
        <v>11</v>
      </c>
      <c r="G10550" s="2" t="s">
        <v>23414</v>
      </c>
      <c r="H10550" s="2" t="s">
        <v>23415</v>
      </c>
    </row>
    <row r="10551" spans="1:8" ht="25.05" customHeight="1" x14ac:dyDescent="0.25">
      <c r="A10551" s="2" t="s">
        <v>8</v>
      </c>
      <c r="B10551" s="2" t="str">
        <f>HYPERLINK("http://ts.21cn.com/tousu/show/id/1341775","友信信贷在未逾期的时间内对借款人进行暴力催收")</f>
        <v>友信信贷在未逾期的时间内对借款人进行暴力催收</v>
      </c>
      <c r="C10551" s="2" t="s">
        <v>9</v>
      </c>
      <c r="D10551" s="2" t="s">
        <v>10</v>
      </c>
      <c r="E10551" s="2" t="str">
        <f>HYPERLINK("http://ts.21cn.com/tousu/show/id/1341775","http://ts.21cn.com/tousu/show/id/1341775")</f>
        <v>http://ts.21cn.com/tousu/show/id/1341775</v>
      </c>
      <c r="F10551" s="2" t="s">
        <v>11</v>
      </c>
      <c r="G10551" s="2" t="s">
        <v>23412</v>
      </c>
      <c r="H10551" s="2" t="s">
        <v>23413</v>
      </c>
    </row>
    <row r="10552" spans="1:8" ht="25.05" customHeight="1" x14ac:dyDescent="0.25">
      <c r="A10552" s="2" t="s">
        <v>8</v>
      </c>
      <c r="B10552" s="2" t="str">
        <f>HYPERLINK("http://ts.21cn.com/tousu/show/id/1341777","携趣网络技术上海有限公司乱扣费")</f>
        <v>携趣网络技术上海有限公司乱扣费</v>
      </c>
      <c r="C10552" s="2" t="s">
        <v>9</v>
      </c>
      <c r="D10552" s="2" t="s">
        <v>10</v>
      </c>
      <c r="E10552" s="2" t="str">
        <f>HYPERLINK("http://ts.21cn.com/tousu/show/id/1341777","http://ts.21cn.com/tousu/show/id/1341777")</f>
        <v>http://ts.21cn.com/tousu/show/id/1341777</v>
      </c>
      <c r="F10552" s="2" t="s">
        <v>11</v>
      </c>
      <c r="G10552" s="2" t="s">
        <v>23410</v>
      </c>
      <c r="H10552" s="2" t="s">
        <v>23411</v>
      </c>
    </row>
    <row r="10553" spans="1:8" ht="25.05" customHeight="1" x14ac:dyDescent="0.25">
      <c r="A10553" s="2" t="s">
        <v>8</v>
      </c>
      <c r="B10553" s="2" t="str">
        <f>HYPERLINK("http://ts.21cn.com/tousu/show/id/1341779","流氓软件店铺不经审核想绑谁的电话就能绑谁的")</f>
        <v>流氓软件店铺不经审核想绑谁的电话就能绑谁的</v>
      </c>
      <c r="C10553" s="2" t="s">
        <v>9</v>
      </c>
      <c r="D10553" s="2" t="s">
        <v>10</v>
      </c>
      <c r="E10553" s="2" t="str">
        <f>HYPERLINK("http://ts.21cn.com/tousu/show/id/1341779","http://ts.21cn.com/tousu/show/id/1341779")</f>
        <v>http://ts.21cn.com/tousu/show/id/1341779</v>
      </c>
      <c r="F10553" s="2" t="s">
        <v>11</v>
      </c>
      <c r="G10553" s="2" t="s">
        <v>23408</v>
      </c>
      <c r="H10553" s="2" t="s">
        <v>23409</v>
      </c>
    </row>
    <row r="10554" spans="1:8" ht="25.05" customHeight="1" x14ac:dyDescent="0.25">
      <c r="A10554" s="2" t="s">
        <v>8</v>
      </c>
      <c r="B10554" s="2" t="str">
        <f>HYPERLINK("http://ts.21cn.com/tousu/show/id/1341780","百事普惠退还299")</f>
        <v>百事普惠退还299</v>
      </c>
      <c r="C10554" s="2" t="s">
        <v>9</v>
      </c>
      <c r="D10554" s="2" t="s">
        <v>10</v>
      </c>
      <c r="E10554" s="2" t="str">
        <f>HYPERLINK("http://ts.21cn.com/tousu/show/id/1341780","http://ts.21cn.com/tousu/show/id/1341780")</f>
        <v>http://ts.21cn.com/tousu/show/id/1341780</v>
      </c>
      <c r="F10554" s="2" t="s">
        <v>11</v>
      </c>
      <c r="G10554" s="2" t="s">
        <v>23406</v>
      </c>
      <c r="H10554" s="2" t="s">
        <v>23407</v>
      </c>
    </row>
    <row r="10555" spans="1:8" ht="25.05" customHeight="1" x14ac:dyDescent="0.25">
      <c r="A10555" s="2" t="s">
        <v>8</v>
      </c>
      <c r="B10555" s="2" t="str">
        <f>HYPERLINK("http://ts.21cn.com/tousu/show/id/1341776","退款")</f>
        <v>退款</v>
      </c>
      <c r="C10555" s="2" t="s">
        <v>34</v>
      </c>
      <c r="D10555" s="2" t="s">
        <v>10</v>
      </c>
      <c r="E10555" s="2" t="str">
        <f>HYPERLINK("http://ts.21cn.com/tousu/show/id/1341776","http://ts.21cn.com/tousu/show/id/1341776")</f>
        <v>http://ts.21cn.com/tousu/show/id/1341776</v>
      </c>
      <c r="F10555" s="2" t="s">
        <v>11</v>
      </c>
      <c r="G10555" s="2" t="s">
        <v>23404</v>
      </c>
      <c r="H10555" s="2" t="s">
        <v>23405</v>
      </c>
    </row>
    <row r="10556" spans="1:8" ht="25.05" customHeight="1" x14ac:dyDescent="0.25">
      <c r="A10556" s="2" t="s">
        <v>8</v>
      </c>
      <c r="B10556" s="2" t="str">
        <f>HYPERLINK("http://ts.21cn.com/tousu/show/id/1341782","百事普惠恶意扣款")</f>
        <v>百事普惠恶意扣款</v>
      </c>
      <c r="C10556" s="2" t="s">
        <v>9</v>
      </c>
      <c r="D10556" s="2" t="s">
        <v>10</v>
      </c>
      <c r="E10556" s="2" t="str">
        <f>HYPERLINK("http://ts.21cn.com/tousu/show/id/1341782","http://ts.21cn.com/tousu/show/id/1341782")</f>
        <v>http://ts.21cn.com/tousu/show/id/1341782</v>
      </c>
      <c r="F10556" s="2" t="s">
        <v>11</v>
      </c>
      <c r="G10556" s="2" t="s">
        <v>23402</v>
      </c>
      <c r="H10556" s="2" t="s">
        <v>23403</v>
      </c>
    </row>
    <row r="10557" spans="1:8" ht="25.05" customHeight="1" x14ac:dyDescent="0.25">
      <c r="A10557" s="2" t="s">
        <v>8</v>
      </c>
      <c r="B10557" s="2" t="str">
        <f>HYPERLINK("http://ts.21cn.com/tousu/show/id/1341783","拍拍贷暴力催收恶意群发短信骚扰通讯录人员")</f>
        <v>拍拍贷暴力催收恶意群发短信骚扰通讯录人员</v>
      </c>
      <c r="C10557" s="2" t="s">
        <v>9</v>
      </c>
      <c r="D10557" s="2" t="s">
        <v>10</v>
      </c>
      <c r="E10557" s="2" t="str">
        <f>HYPERLINK("http://ts.21cn.com/tousu/show/id/1341783","http://ts.21cn.com/tousu/show/id/1341783")</f>
        <v>http://ts.21cn.com/tousu/show/id/1341783</v>
      </c>
      <c r="F10557" s="2" t="s">
        <v>11</v>
      </c>
      <c r="G10557" s="2" t="s">
        <v>23400</v>
      </c>
      <c r="H10557" s="2" t="s">
        <v>23401</v>
      </c>
    </row>
    <row r="10558" spans="1:8" ht="25.05" customHeight="1" x14ac:dyDescent="0.25">
      <c r="A10558" s="2" t="s">
        <v>8</v>
      </c>
      <c r="B10558" s="2" t="str">
        <f>HYPERLINK("http://ts.21cn.com/tousu/show/id/1341784","360暴力催收！不经允许联系我亲人！")</f>
        <v>360暴力催收！不经允许联系我亲人！</v>
      </c>
      <c r="C10558" s="2" t="s">
        <v>9</v>
      </c>
      <c r="D10558" s="2" t="s">
        <v>10</v>
      </c>
      <c r="E10558" s="2" t="str">
        <f>HYPERLINK("http://ts.21cn.com/tousu/show/id/1341784","http://ts.21cn.com/tousu/show/id/1341784")</f>
        <v>http://ts.21cn.com/tousu/show/id/1341784</v>
      </c>
      <c r="F10558" s="2" t="s">
        <v>11</v>
      </c>
      <c r="G10558" s="2" t="s">
        <v>23398</v>
      </c>
      <c r="H10558" s="2" t="s">
        <v>23399</v>
      </c>
    </row>
    <row r="10559" spans="1:8" ht="25.05" customHeight="1" x14ac:dyDescent="0.25">
      <c r="A10559" s="2" t="s">
        <v>8</v>
      </c>
      <c r="B10559" s="2" t="str">
        <f>HYPERLINK("http://ts.21cn.com/tousu/show/id/1341778","拼多多代付被盗5000")</f>
        <v>拼多多代付被盗5000</v>
      </c>
      <c r="C10559" s="2" t="s">
        <v>9</v>
      </c>
      <c r="D10559" s="2" t="s">
        <v>10</v>
      </c>
      <c r="E10559" s="2" t="str">
        <f>HYPERLINK("http://ts.21cn.com/tousu/show/id/1341778","http://ts.21cn.com/tousu/show/id/1341778")</f>
        <v>http://ts.21cn.com/tousu/show/id/1341778</v>
      </c>
      <c r="F10559" s="2" t="s">
        <v>11</v>
      </c>
      <c r="G10559" s="2" t="s">
        <v>23396</v>
      </c>
      <c r="H10559" s="2" t="s">
        <v>23397</v>
      </c>
    </row>
    <row r="10560" spans="1:8" ht="25.05" customHeight="1" x14ac:dyDescent="0.25">
      <c r="A10560" s="2" t="s">
        <v>8</v>
      </c>
      <c r="B10560" s="2" t="str">
        <f>HYPERLINK("http://ts.21cn.com/tousu/show/id/1341785","豹子贷无故扣费，不要了还要扣")</f>
        <v>豹子贷无故扣费，不要了还要扣</v>
      </c>
      <c r="C10560" s="2" t="s">
        <v>9</v>
      </c>
      <c r="D10560" s="2" t="s">
        <v>10</v>
      </c>
      <c r="E10560" s="2" t="str">
        <f>HYPERLINK("http://ts.21cn.com/tousu/show/id/1341785","http://ts.21cn.com/tousu/show/id/1341785")</f>
        <v>http://ts.21cn.com/tousu/show/id/1341785</v>
      </c>
      <c r="F10560" s="2" t="s">
        <v>11</v>
      </c>
      <c r="G10560" s="2" t="s">
        <v>23394</v>
      </c>
      <c r="H10560" s="2" t="s">
        <v>23395</v>
      </c>
    </row>
    <row r="10561" spans="1:8" ht="25.05" customHeight="1" x14ac:dyDescent="0.25">
      <c r="A10561" s="2" t="s">
        <v>8</v>
      </c>
      <c r="B10561" s="2" t="str">
        <f>HYPERLINK("http://ts.21cn.com/tousu/show/id/1341786","好易借高利贷！")</f>
        <v>好易借高利贷！</v>
      </c>
      <c r="C10561" s="2" t="s">
        <v>9</v>
      </c>
      <c r="D10561" s="2" t="s">
        <v>10</v>
      </c>
      <c r="E10561" s="2" t="str">
        <f>HYPERLINK("http://ts.21cn.com/tousu/show/id/1341786","http://ts.21cn.com/tousu/show/id/1341786")</f>
        <v>http://ts.21cn.com/tousu/show/id/1341786</v>
      </c>
      <c r="F10561" s="2" t="s">
        <v>11</v>
      </c>
      <c r="G10561" s="2" t="s">
        <v>23392</v>
      </c>
      <c r="H10561" s="2" t="s">
        <v>23393</v>
      </c>
    </row>
    <row r="10562" spans="1:8" ht="25.05" customHeight="1" x14ac:dyDescent="0.25">
      <c r="A10562" s="2" t="s">
        <v>8</v>
      </c>
      <c r="B10562" s="2" t="str">
        <f>HYPERLINK("http://ts.21cn.com/tousu/show/id/1341787","平安普惠i贷隐藏收取保险费")</f>
        <v>平安普惠i贷隐藏收取保险费</v>
      </c>
      <c r="C10562" s="2" t="s">
        <v>9</v>
      </c>
      <c r="D10562" s="2" t="s">
        <v>10</v>
      </c>
      <c r="E10562" s="2" t="str">
        <f>HYPERLINK("http://ts.21cn.com/tousu/show/id/1341787","http://ts.21cn.com/tousu/show/id/1341787")</f>
        <v>http://ts.21cn.com/tousu/show/id/1341787</v>
      </c>
      <c r="F10562" s="2" t="s">
        <v>11</v>
      </c>
      <c r="G10562" s="2" t="s">
        <v>23390</v>
      </c>
      <c r="H10562" s="2" t="s">
        <v>23391</v>
      </c>
    </row>
    <row r="10563" spans="1:8" ht="25.05" customHeight="1" x14ac:dyDescent="0.25">
      <c r="A10563" s="2" t="s">
        <v>8</v>
      </c>
      <c r="B10563" s="2" t="str">
        <f>HYPERLINK("http://ts.21cn.com/tousu/show/id/1341789","浦发万银行协商还款")</f>
        <v>浦发万银行协商还款</v>
      </c>
      <c r="C10563" s="2" t="s">
        <v>9</v>
      </c>
      <c r="D10563" s="2" t="s">
        <v>10</v>
      </c>
      <c r="E10563" s="2" t="str">
        <f>HYPERLINK("http://ts.21cn.com/tousu/show/id/1341789","http://ts.21cn.com/tousu/show/id/1341789")</f>
        <v>http://ts.21cn.com/tousu/show/id/1341789</v>
      </c>
      <c r="F10563" s="2" t="s">
        <v>11</v>
      </c>
      <c r="G10563" s="2" t="s">
        <v>23388</v>
      </c>
      <c r="H10563" s="2" t="s">
        <v>23389</v>
      </c>
    </row>
    <row r="10564" spans="1:8" ht="25.05" customHeight="1" x14ac:dyDescent="0.25">
      <c r="A10564" s="2" t="s">
        <v>8</v>
      </c>
      <c r="B10564" s="2" t="str">
        <f>HYPERLINK("http://ts.21cn.com/tousu/show/id/1341788","百事普惠恶意扣款")</f>
        <v>百事普惠恶意扣款</v>
      </c>
      <c r="C10564" s="2" t="s">
        <v>9</v>
      </c>
      <c r="D10564" s="2" t="s">
        <v>10</v>
      </c>
      <c r="E10564" s="2" t="str">
        <f>HYPERLINK("http://ts.21cn.com/tousu/show/id/1341788","http://ts.21cn.com/tousu/show/id/1341788")</f>
        <v>http://ts.21cn.com/tousu/show/id/1341788</v>
      </c>
      <c r="F10564" s="2" t="s">
        <v>11</v>
      </c>
      <c r="G10564" s="2" t="s">
        <v>23386</v>
      </c>
      <c r="H10564" s="2" t="s">
        <v>23387</v>
      </c>
    </row>
    <row r="10565" spans="1:8" ht="25.05" customHeight="1" x14ac:dyDescent="0.25">
      <c r="A10565" s="2" t="s">
        <v>8</v>
      </c>
      <c r="B10565" s="2" t="str">
        <f>HYPERLINK("http://ts.21cn.com/tousu/show/id/1341790","卡卡贷虚假宣传破坏别人征信记录")</f>
        <v>卡卡贷虚假宣传破坏别人征信记录</v>
      </c>
      <c r="C10565" s="2" t="s">
        <v>9</v>
      </c>
      <c r="D10565" s="2" t="s">
        <v>10</v>
      </c>
      <c r="E10565" s="2" t="str">
        <f>HYPERLINK("http://ts.21cn.com/tousu/show/id/1341790","http://ts.21cn.com/tousu/show/id/1341790")</f>
        <v>http://ts.21cn.com/tousu/show/id/1341790</v>
      </c>
      <c r="F10565" s="2" t="s">
        <v>11</v>
      </c>
      <c r="G10565" s="2" t="s">
        <v>23384</v>
      </c>
      <c r="H10565" s="2" t="s">
        <v>23385</v>
      </c>
    </row>
    <row r="10566" spans="1:8" ht="25.05" customHeight="1" x14ac:dyDescent="0.25">
      <c r="A10566" s="2" t="s">
        <v>8</v>
      </c>
      <c r="B10566" s="2" t="str">
        <f>HYPERLINK("http://ts.21cn.com/tousu/show/id/1290096","退款")</f>
        <v>退款</v>
      </c>
      <c r="C10566" s="2" t="s">
        <v>34</v>
      </c>
      <c r="D10566" s="2" t="s">
        <v>10</v>
      </c>
      <c r="E10566" s="2" t="str">
        <f>HYPERLINK("http://ts.21cn.com/tousu/show/id/1290096","http://ts.21cn.com/tousu/show/id/1290096")</f>
        <v>http://ts.21cn.com/tousu/show/id/1290096</v>
      </c>
      <c r="F10566" s="2" t="s">
        <v>11</v>
      </c>
      <c r="G10566" s="2" t="s">
        <v>23382</v>
      </c>
      <c r="H10566" s="2" t="s">
        <v>23383</v>
      </c>
    </row>
    <row r="10567" spans="1:8" ht="25.05" customHeight="1" x14ac:dyDescent="0.25">
      <c r="A10567" s="2" t="s">
        <v>8</v>
      </c>
      <c r="B10567" s="2" t="str">
        <f>HYPERLINK("http://ts.21cn.com/tousu/show/id/1341791","玖富万卡高利贷套路贷")</f>
        <v>玖富万卡高利贷套路贷</v>
      </c>
      <c r="C10567" s="2" t="s">
        <v>9</v>
      </c>
      <c r="D10567" s="2" t="s">
        <v>10</v>
      </c>
      <c r="E10567" s="2" t="str">
        <f>HYPERLINK("http://ts.21cn.com/tousu/show/id/1341791","http://ts.21cn.com/tousu/show/id/1341791")</f>
        <v>http://ts.21cn.com/tousu/show/id/1341791</v>
      </c>
      <c r="F10567" s="2" t="s">
        <v>11</v>
      </c>
      <c r="G10567" s="2" t="s">
        <v>23380</v>
      </c>
      <c r="H10567" s="2" t="s">
        <v>23381</v>
      </c>
    </row>
    <row r="10568" spans="1:8" ht="25.05" customHeight="1" x14ac:dyDescent="0.25">
      <c r="A10568" s="2" t="s">
        <v>8</v>
      </c>
      <c r="B10568" s="2" t="str">
        <f>HYPERLINK("http://ts.21cn.com/tousu/show/id/1341792","极速熊猫爆通讯录威胁恐吓")</f>
        <v>极速熊猫爆通讯录威胁恐吓</v>
      </c>
      <c r="C10568" s="2" t="s">
        <v>9</v>
      </c>
      <c r="D10568" s="2" t="s">
        <v>10</v>
      </c>
      <c r="E10568" s="2" t="str">
        <f>HYPERLINK("http://ts.21cn.com/tousu/show/id/1341792","http://ts.21cn.com/tousu/show/id/1341792")</f>
        <v>http://ts.21cn.com/tousu/show/id/1341792</v>
      </c>
      <c r="F10568" s="2" t="s">
        <v>11</v>
      </c>
      <c r="G10568" s="2" t="s">
        <v>23378</v>
      </c>
      <c r="H10568" s="2" t="s">
        <v>23379</v>
      </c>
    </row>
    <row r="10569" spans="1:8" ht="25.05" customHeight="1" x14ac:dyDescent="0.25">
      <c r="A10569" s="2" t="s">
        <v>8</v>
      </c>
      <c r="B10569" s="2" t="str">
        <f>HYPERLINK("http://ts.21cn.com/tousu/show/id/1341793","中金支付有限公司乱扣我银行卡里钱")</f>
        <v>中金支付有限公司乱扣我银行卡里钱</v>
      </c>
      <c r="C10569" s="2" t="s">
        <v>9</v>
      </c>
      <c r="D10569" s="2" t="s">
        <v>10</v>
      </c>
      <c r="E10569" s="2" t="str">
        <f>HYPERLINK("http://ts.21cn.com/tousu/show/id/1341793","http://ts.21cn.com/tousu/show/id/1341793")</f>
        <v>http://ts.21cn.com/tousu/show/id/1341793</v>
      </c>
      <c r="F10569" s="2" t="s">
        <v>11</v>
      </c>
      <c r="G10569" s="2" t="s">
        <v>23376</v>
      </c>
      <c r="H10569" s="2" t="s">
        <v>23377</v>
      </c>
    </row>
    <row r="10570" spans="1:8" ht="25.05" customHeight="1" x14ac:dyDescent="0.25">
      <c r="A10570" s="2" t="s">
        <v>8</v>
      </c>
      <c r="B10570" s="2" t="str">
        <f>HYPERLINK("http://ts.21cn.com/tousu/show/id/1341794","新意花小木钱包高额利息")</f>
        <v>新意花小木钱包高额利息</v>
      </c>
      <c r="C10570" s="2" t="s">
        <v>9</v>
      </c>
      <c r="D10570" s="2" t="s">
        <v>10</v>
      </c>
      <c r="E10570" s="2" t="str">
        <f>HYPERLINK("http://ts.21cn.com/tousu/show/id/1341794","http://ts.21cn.com/tousu/show/id/1341794")</f>
        <v>http://ts.21cn.com/tousu/show/id/1341794</v>
      </c>
      <c r="F10570" s="2" t="s">
        <v>11</v>
      </c>
      <c r="G10570" s="2" t="s">
        <v>23374</v>
      </c>
      <c r="H10570" s="2" t="s">
        <v>23375</v>
      </c>
    </row>
    <row r="10571" spans="1:8" ht="25.05" customHeight="1" x14ac:dyDescent="0.25">
      <c r="A10571" s="2" t="s">
        <v>8</v>
      </c>
      <c r="B10571" s="2" t="str">
        <f>HYPERLINK("http://ts.21cn.com/tousu/show/id/1341796","钱还完了还要钱")</f>
        <v>钱还完了还要钱</v>
      </c>
      <c r="C10571" s="2" t="s">
        <v>9</v>
      </c>
      <c r="D10571" s="2" t="s">
        <v>10</v>
      </c>
      <c r="E10571" s="2" t="str">
        <f>HYPERLINK("http://ts.21cn.com/tousu/show/id/1341796","http://ts.21cn.com/tousu/show/id/1341796")</f>
        <v>http://ts.21cn.com/tousu/show/id/1341796</v>
      </c>
      <c r="F10571" s="2" t="s">
        <v>11</v>
      </c>
      <c r="G10571" s="2" t="s">
        <v>23372</v>
      </c>
      <c r="H10571" s="2" t="s">
        <v>23373</v>
      </c>
    </row>
    <row r="10572" spans="1:8" ht="25.05" customHeight="1" x14ac:dyDescent="0.25">
      <c r="A10572" s="2" t="s">
        <v>8</v>
      </c>
      <c r="B10572" s="2" t="str">
        <f>HYPERLINK("http://ts.21cn.com/tousu/show/id/1341795","投诉浦发银行")</f>
        <v>投诉浦发银行</v>
      </c>
      <c r="C10572" s="2" t="s">
        <v>9</v>
      </c>
      <c r="D10572" s="2" t="s">
        <v>10</v>
      </c>
      <c r="E10572" s="2" t="str">
        <f>HYPERLINK("http://ts.21cn.com/tousu/show/id/1341795","http://ts.21cn.com/tousu/show/id/1341795")</f>
        <v>http://ts.21cn.com/tousu/show/id/1341795</v>
      </c>
      <c r="F10572" s="2" t="s">
        <v>11</v>
      </c>
      <c r="G10572" s="2" t="s">
        <v>23370</v>
      </c>
      <c r="H10572" s="2" t="s">
        <v>23371</v>
      </c>
    </row>
    <row r="10573" spans="1:8" ht="25.05" customHeight="1" x14ac:dyDescent="0.25">
      <c r="A10573" s="2" t="s">
        <v>8</v>
      </c>
      <c r="B10573" s="2" t="str">
        <f>HYPERLINK("http://ts.21cn.com/tousu/show/id/1341797","账号被停用，血汗钱拿不回")</f>
        <v>账号被停用，血汗钱拿不回</v>
      </c>
      <c r="C10573" s="2" t="s">
        <v>9</v>
      </c>
      <c r="D10573" s="2" t="s">
        <v>10</v>
      </c>
      <c r="E10573" s="2" t="str">
        <f>HYPERLINK("http://ts.21cn.com/tousu/show/id/1341797","http://ts.21cn.com/tousu/show/id/1341797")</f>
        <v>http://ts.21cn.com/tousu/show/id/1341797</v>
      </c>
      <c r="F10573" s="2" t="s">
        <v>11</v>
      </c>
      <c r="G10573" s="2" t="s">
        <v>23368</v>
      </c>
      <c r="H10573" s="2" t="s">
        <v>23369</v>
      </c>
    </row>
    <row r="10574" spans="1:8" ht="25.05" customHeight="1" x14ac:dyDescent="0.25">
      <c r="A10574" s="2" t="s">
        <v>8</v>
      </c>
      <c r="B10574" s="2" t="str">
        <f>HYPERLINK("http://ts.21cn.com/tousu/show/id/1341798","去哪网机票退订规则霸王条款")</f>
        <v>去哪网机票退订规则霸王条款</v>
      </c>
      <c r="C10574" s="2" t="s">
        <v>9</v>
      </c>
      <c r="D10574" s="2" t="s">
        <v>10</v>
      </c>
      <c r="E10574" s="2" t="str">
        <f>HYPERLINK("http://ts.21cn.com/tousu/show/id/1341798","http://ts.21cn.com/tousu/show/id/1341798")</f>
        <v>http://ts.21cn.com/tousu/show/id/1341798</v>
      </c>
      <c r="F10574" s="2" t="s">
        <v>11</v>
      </c>
      <c r="G10574" s="2" t="s">
        <v>23366</v>
      </c>
      <c r="H10574" s="2" t="s">
        <v>23367</v>
      </c>
    </row>
    <row r="10575" spans="1:8" ht="25.05" customHeight="1" x14ac:dyDescent="0.25">
      <c r="A10575" s="2" t="s">
        <v>8</v>
      </c>
      <c r="B10575" s="2" t="str">
        <f>HYPERLINK("http://ts.21cn.com/tousu/show/id/1341799","宜信宜人贷高额收取代款利息及砍头息5万多元")</f>
        <v>宜信宜人贷高额收取代款利息及砍头息5万多元</v>
      </c>
      <c r="C10575" s="2" t="s">
        <v>9</v>
      </c>
      <c r="D10575" s="2" t="s">
        <v>10</v>
      </c>
      <c r="E10575" s="2" t="str">
        <f>HYPERLINK("http://ts.21cn.com/tousu/show/id/1341799","http://ts.21cn.com/tousu/show/id/1341799")</f>
        <v>http://ts.21cn.com/tousu/show/id/1341799</v>
      </c>
      <c r="F10575" s="2" t="s">
        <v>11</v>
      </c>
      <c r="G10575" s="2" t="s">
        <v>23364</v>
      </c>
      <c r="H10575" s="2" t="s">
        <v>23365</v>
      </c>
    </row>
    <row r="10576" spans="1:8" ht="25.05" customHeight="1" x14ac:dyDescent="0.25">
      <c r="A10576" s="2" t="s">
        <v>8</v>
      </c>
      <c r="B10576" s="2" t="str">
        <f>HYPERLINK("http://ts.21cn.com/tousu/show/id/1341800","高利贷")</f>
        <v>高利贷</v>
      </c>
      <c r="C10576" s="2" t="s">
        <v>9</v>
      </c>
      <c r="D10576" s="2" t="s">
        <v>10</v>
      </c>
      <c r="E10576" s="2" t="str">
        <f>HYPERLINK("http://ts.21cn.com/tousu/show/id/1341800","http://ts.21cn.com/tousu/show/id/1341800")</f>
        <v>http://ts.21cn.com/tousu/show/id/1341800</v>
      </c>
      <c r="F10576" s="2" t="s">
        <v>11</v>
      </c>
      <c r="G10576" s="2" t="s">
        <v>23362</v>
      </c>
      <c r="H10576" s="2" t="s">
        <v>23363</v>
      </c>
    </row>
    <row r="10577" spans="1:8" ht="25.05" customHeight="1" x14ac:dyDescent="0.25">
      <c r="A10577" s="2" t="s">
        <v>8</v>
      </c>
      <c r="B10577" s="2" t="str">
        <f>HYPERLINK("http://ts.21cn.com/tousu/show/id/1341801","阴阳合同利息超标")</f>
        <v>阴阳合同利息超标</v>
      </c>
      <c r="C10577" s="2" t="s">
        <v>9</v>
      </c>
      <c r="D10577" s="2" t="s">
        <v>10</v>
      </c>
      <c r="E10577" s="2" t="str">
        <f>HYPERLINK("http://ts.21cn.com/tousu/show/id/1341801","http://ts.21cn.com/tousu/show/id/1341801")</f>
        <v>http://ts.21cn.com/tousu/show/id/1341801</v>
      </c>
      <c r="F10577" s="2" t="s">
        <v>11</v>
      </c>
      <c r="G10577" s="2" t="s">
        <v>23360</v>
      </c>
      <c r="H10577" s="2" t="s">
        <v>23361</v>
      </c>
    </row>
    <row r="10578" spans="1:8" ht="25.05" customHeight="1" x14ac:dyDescent="0.25">
      <c r="A10578" s="2" t="s">
        <v>8</v>
      </c>
      <c r="B10578" s="2" t="str">
        <f>HYPERLINK("http://ts.21cn.com/tousu/show/id/1341802","百度有钱花违法催收，恐吓和暴力催收")</f>
        <v>百度有钱花违法催收，恐吓和暴力催收</v>
      </c>
      <c r="C10578" s="2" t="s">
        <v>9</v>
      </c>
      <c r="D10578" s="2" t="s">
        <v>10</v>
      </c>
      <c r="E10578" s="2" t="str">
        <f>HYPERLINK("http://ts.21cn.com/tousu/show/id/1341802","http://ts.21cn.com/tousu/show/id/1341802")</f>
        <v>http://ts.21cn.com/tousu/show/id/1341802</v>
      </c>
      <c r="F10578" s="2" t="s">
        <v>11</v>
      </c>
      <c r="G10578" s="2" t="s">
        <v>23358</v>
      </c>
      <c r="H10578" s="2" t="s">
        <v>23359</v>
      </c>
    </row>
    <row r="10579" spans="1:8" ht="25.05" customHeight="1" x14ac:dyDescent="0.25">
      <c r="A10579" s="2" t="s">
        <v>8</v>
      </c>
      <c r="B10579" s="2" t="str">
        <f>HYPERLINK("http://ts.21cn.com/tousu/show/id/1341803","美团骑手态度恶劣，投诉之后美团不作为")</f>
        <v>美团骑手态度恶劣，投诉之后美团不作为</v>
      </c>
      <c r="C10579" s="2" t="s">
        <v>9</v>
      </c>
      <c r="D10579" s="2" t="s">
        <v>10</v>
      </c>
      <c r="E10579" s="2" t="str">
        <f>HYPERLINK("http://ts.21cn.com/tousu/show/id/1341803","http://ts.21cn.com/tousu/show/id/1341803")</f>
        <v>http://ts.21cn.com/tousu/show/id/1341803</v>
      </c>
      <c r="F10579" s="2" t="s">
        <v>11</v>
      </c>
      <c r="G10579" s="2" t="s">
        <v>23356</v>
      </c>
      <c r="H10579" s="2" t="s">
        <v>23357</v>
      </c>
    </row>
    <row r="10580" spans="1:8" ht="25.05" customHeight="1" x14ac:dyDescent="0.25">
      <c r="A10580" s="2" t="s">
        <v>8</v>
      </c>
      <c r="B10580" s="2" t="str">
        <f>HYPERLINK("http://ts.21cn.com/tousu/show/id/1341804","钱站高利贷")</f>
        <v>钱站高利贷</v>
      </c>
      <c r="C10580" s="2" t="s">
        <v>9</v>
      </c>
      <c r="D10580" s="2" t="s">
        <v>10</v>
      </c>
      <c r="E10580" s="2" t="str">
        <f>HYPERLINK("http://ts.21cn.com/tousu/show/id/1341804","http://ts.21cn.com/tousu/show/id/1341804")</f>
        <v>http://ts.21cn.com/tousu/show/id/1341804</v>
      </c>
      <c r="F10580" s="2" t="s">
        <v>11</v>
      </c>
      <c r="G10580" s="2" t="s">
        <v>23354</v>
      </c>
      <c r="H10580" s="2" t="s">
        <v>13430</v>
      </c>
    </row>
    <row r="10581" spans="1:8" ht="25.05" customHeight="1" x14ac:dyDescent="0.25">
      <c r="A10581" s="2" t="s">
        <v>8</v>
      </c>
      <c r="B10581" s="2" t="str">
        <f>HYPERLINK("http://ts.21cn.com/tousu/show/id/1341805","美团订酒店环境很差客服无法解决")</f>
        <v>美团订酒店环境很差客服无法解决</v>
      </c>
      <c r="C10581" s="2" t="s">
        <v>9</v>
      </c>
      <c r="D10581" s="2" t="s">
        <v>10</v>
      </c>
      <c r="E10581" s="2" t="str">
        <f>HYPERLINK("http://ts.21cn.com/tousu/show/id/1341805","http://ts.21cn.com/tousu/show/id/1341805")</f>
        <v>http://ts.21cn.com/tousu/show/id/1341805</v>
      </c>
      <c r="F10581" s="2" t="s">
        <v>11</v>
      </c>
      <c r="G10581" s="2" t="s">
        <v>23354</v>
      </c>
      <c r="H10581" s="2" t="s">
        <v>23355</v>
      </c>
    </row>
    <row r="10582" spans="1:8" ht="25.05" customHeight="1" x14ac:dyDescent="0.25">
      <c r="A10582" s="2" t="s">
        <v>8</v>
      </c>
      <c r="B10582" s="2" t="str">
        <f>HYPERLINK("http://ts.21cn.com/tousu/show/id/1341806","小赢卡贷还清注销困难")</f>
        <v>小赢卡贷还清注销困难</v>
      </c>
      <c r="C10582" s="2" t="s">
        <v>34</v>
      </c>
      <c r="D10582" s="2" t="s">
        <v>10</v>
      </c>
      <c r="E10582" s="2" t="str">
        <f>HYPERLINK("http://ts.21cn.com/tousu/show/id/1341806","http://ts.21cn.com/tousu/show/id/1341806")</f>
        <v>http://ts.21cn.com/tousu/show/id/1341806</v>
      </c>
      <c r="F10582" s="2" t="s">
        <v>11</v>
      </c>
      <c r="G10582" s="2" t="s">
        <v>23352</v>
      </c>
      <c r="H10582" s="2" t="s">
        <v>23353</v>
      </c>
    </row>
    <row r="10583" spans="1:8" ht="25.05" customHeight="1" x14ac:dyDescent="0.25">
      <c r="A10583" s="2" t="s">
        <v>8</v>
      </c>
      <c r="B10583" s="2" t="str">
        <f>HYPERLINK("http://ts.21cn.com/tousu/show/id/1341808","蛋壳公寓租房满一年半后面的合同是新签蛋壳在没有告知的情况下单方面不退还押金")</f>
        <v>蛋壳公寓租房满一年半后面的合同是新签蛋壳在没有告知的情况下单方面不退还押金</v>
      </c>
      <c r="C10583" s="2" t="s">
        <v>9</v>
      </c>
      <c r="D10583" s="2" t="s">
        <v>10</v>
      </c>
      <c r="E10583" s="2" t="str">
        <f>HYPERLINK("http://ts.21cn.com/tousu/show/id/1341808","http://ts.21cn.com/tousu/show/id/1341808")</f>
        <v>http://ts.21cn.com/tousu/show/id/1341808</v>
      </c>
      <c r="F10583" s="2" t="s">
        <v>11</v>
      </c>
      <c r="G10583" s="2" t="s">
        <v>23350</v>
      </c>
      <c r="H10583" s="2" t="s">
        <v>23351</v>
      </c>
    </row>
    <row r="10584" spans="1:8" ht="25.05" customHeight="1" x14ac:dyDescent="0.25">
      <c r="A10584" s="2" t="s">
        <v>8</v>
      </c>
      <c r="B10584" s="2" t="str">
        <f>HYPERLINK("http://ts.21cn.com/tousu/show/id/1341807","给你花催收平台威胁我")</f>
        <v>给你花催收平台威胁我</v>
      </c>
      <c r="C10584" s="2" t="s">
        <v>9</v>
      </c>
      <c r="D10584" s="2" t="s">
        <v>10</v>
      </c>
      <c r="E10584" s="2" t="str">
        <f>HYPERLINK("http://ts.21cn.com/tousu/show/id/1341807","http://ts.21cn.com/tousu/show/id/1341807")</f>
        <v>http://ts.21cn.com/tousu/show/id/1341807</v>
      </c>
      <c r="F10584" s="2" t="s">
        <v>11</v>
      </c>
      <c r="G10584" s="2" t="s">
        <v>23348</v>
      </c>
      <c r="H10584" s="2" t="s">
        <v>23349</v>
      </c>
    </row>
    <row r="10585" spans="1:8" ht="25.05" customHeight="1" x14ac:dyDescent="0.25">
      <c r="A10585" s="2" t="s">
        <v>8</v>
      </c>
      <c r="B10585" s="2" t="str">
        <f>HYPERLINK("http://ts.21cn.com/tousu/show/id/1341809","小象优品")</f>
        <v>小象优品</v>
      </c>
      <c r="C10585" s="2" t="s">
        <v>9</v>
      </c>
      <c r="D10585" s="2" t="s">
        <v>10</v>
      </c>
      <c r="E10585" s="2" t="str">
        <f>HYPERLINK("http://ts.21cn.com/tousu/show/id/1341809","http://ts.21cn.com/tousu/show/id/1341809")</f>
        <v>http://ts.21cn.com/tousu/show/id/1341809</v>
      </c>
      <c r="F10585" s="2" t="s">
        <v>11</v>
      </c>
      <c r="G10585" s="2" t="s">
        <v>23346</v>
      </c>
      <c r="H10585" s="2" t="s">
        <v>23347</v>
      </c>
    </row>
    <row r="10586" spans="1:8" ht="25.05" customHeight="1" x14ac:dyDescent="0.25">
      <c r="A10586" s="2" t="s">
        <v>8</v>
      </c>
      <c r="B10586" s="2" t="str">
        <f>HYPERLINK("http://ts.21cn.com/tousu/show/id/1341810","美团金融恶意骚扰")</f>
        <v>美团金融恶意骚扰</v>
      </c>
      <c r="C10586" s="2" t="s">
        <v>9</v>
      </c>
      <c r="D10586" s="2" t="s">
        <v>10</v>
      </c>
      <c r="E10586" s="2" t="str">
        <f>HYPERLINK("http://ts.21cn.com/tousu/show/id/1341810","http://ts.21cn.com/tousu/show/id/1341810")</f>
        <v>http://ts.21cn.com/tousu/show/id/1341810</v>
      </c>
      <c r="F10586" s="2" t="s">
        <v>11</v>
      </c>
      <c r="G10586" s="2" t="s">
        <v>23344</v>
      </c>
      <c r="H10586" s="2" t="s">
        <v>23345</v>
      </c>
    </row>
    <row r="10587" spans="1:8" ht="25.05" customHeight="1" x14ac:dyDescent="0.25">
      <c r="A10587" s="2" t="s">
        <v>8</v>
      </c>
      <c r="B10587" s="2" t="str">
        <f>HYPERLINK("http://ts.21cn.com/tousu/show/id/1341811","黑恶势力暴力催收，态度极其恶劣，利息略高")</f>
        <v>黑恶势力暴力催收，态度极其恶劣，利息略高</v>
      </c>
      <c r="C10587" s="2" t="s">
        <v>9</v>
      </c>
      <c r="D10587" s="2" t="s">
        <v>10</v>
      </c>
      <c r="E10587" s="2" t="str">
        <f>HYPERLINK("http://ts.21cn.com/tousu/show/id/1341811","http://ts.21cn.com/tousu/show/id/1341811")</f>
        <v>http://ts.21cn.com/tousu/show/id/1341811</v>
      </c>
      <c r="F10587" s="2" t="s">
        <v>11</v>
      </c>
      <c r="G10587" s="2" t="s">
        <v>23342</v>
      </c>
      <c r="H10587" s="2" t="s">
        <v>23343</v>
      </c>
    </row>
    <row r="10588" spans="1:8" ht="25.05" customHeight="1" x14ac:dyDescent="0.25">
      <c r="A10588" s="2" t="s">
        <v>8</v>
      </c>
      <c r="B10588" s="2" t="str">
        <f>HYPERLINK("http://ts.21cn.com/tousu/show/id/1341812","恶意扣费胡乱收费")</f>
        <v>恶意扣费胡乱收费</v>
      </c>
      <c r="C10588" s="2" t="s">
        <v>9</v>
      </c>
      <c r="D10588" s="2" t="s">
        <v>10</v>
      </c>
      <c r="E10588" s="2" t="str">
        <f>HYPERLINK("http://ts.21cn.com/tousu/show/id/1341812","http://ts.21cn.com/tousu/show/id/1341812")</f>
        <v>http://ts.21cn.com/tousu/show/id/1341812</v>
      </c>
      <c r="F10588" s="2" t="s">
        <v>11</v>
      </c>
      <c r="G10588" s="2" t="s">
        <v>23340</v>
      </c>
      <c r="H10588" s="2" t="s">
        <v>23341</v>
      </c>
    </row>
    <row r="10589" spans="1:8" ht="25.05" customHeight="1" x14ac:dyDescent="0.25">
      <c r="A10589" s="2" t="s">
        <v>8</v>
      </c>
      <c r="B10589" s="2" t="str">
        <f>HYPERLINK("http://ts.21cn.com/tousu/show/id/1341814","微粒贷无视国家规定，恶意催收，伪造文件")</f>
        <v>微粒贷无视国家规定，恶意催收，伪造文件</v>
      </c>
      <c r="C10589" s="2" t="s">
        <v>9</v>
      </c>
      <c r="D10589" s="2" t="s">
        <v>10</v>
      </c>
      <c r="E10589" s="2" t="str">
        <f>HYPERLINK("http://ts.21cn.com/tousu/show/id/1341814","http://ts.21cn.com/tousu/show/id/1341814")</f>
        <v>http://ts.21cn.com/tousu/show/id/1341814</v>
      </c>
      <c r="F10589" s="2" t="s">
        <v>11</v>
      </c>
      <c r="G10589" s="2" t="s">
        <v>23338</v>
      </c>
      <c r="H10589" s="2" t="s">
        <v>23339</v>
      </c>
    </row>
    <row r="10590" spans="1:8" ht="25.05" customHeight="1" x14ac:dyDescent="0.25">
      <c r="A10590" s="2" t="s">
        <v>8</v>
      </c>
      <c r="B10590" s="2" t="str">
        <f>HYPERLINK("http://ts.21cn.com/tousu/show/id/1341813","支付宝蚂蚁金服恶意催收！霸王条款！")</f>
        <v>支付宝蚂蚁金服恶意催收！霸王条款！</v>
      </c>
      <c r="C10590" s="2" t="s">
        <v>9</v>
      </c>
      <c r="D10590" s="2" t="s">
        <v>10</v>
      </c>
      <c r="E10590" s="2" t="str">
        <f>HYPERLINK("http://ts.21cn.com/tousu/show/id/1341813","http://ts.21cn.com/tousu/show/id/1341813")</f>
        <v>http://ts.21cn.com/tousu/show/id/1341813</v>
      </c>
      <c r="F10590" s="2" t="s">
        <v>11</v>
      </c>
      <c r="G10590" s="2" t="s">
        <v>23336</v>
      </c>
      <c r="H10590" s="2" t="s">
        <v>23337</v>
      </c>
    </row>
    <row r="10591" spans="1:8" ht="25.05" customHeight="1" x14ac:dyDescent="0.25">
      <c r="A10591" s="2" t="s">
        <v>8</v>
      </c>
      <c r="B10591" s="2" t="str">
        <f>HYPERLINK("http://ts.21cn.com/tousu/show/id/1341815","广发信用卡高利贷好高额违约金和利息")</f>
        <v>广发信用卡高利贷好高额违约金和利息</v>
      </c>
      <c r="C10591" s="2" t="s">
        <v>9</v>
      </c>
      <c r="D10591" s="2" t="s">
        <v>10</v>
      </c>
      <c r="E10591" s="2" t="str">
        <f>HYPERLINK("http://ts.21cn.com/tousu/show/id/1341815","http://ts.21cn.com/tousu/show/id/1341815")</f>
        <v>http://ts.21cn.com/tousu/show/id/1341815</v>
      </c>
      <c r="F10591" s="2" t="s">
        <v>11</v>
      </c>
      <c r="G10591" s="2" t="s">
        <v>23334</v>
      </c>
      <c r="H10591" s="2" t="s">
        <v>23335</v>
      </c>
    </row>
    <row r="10592" spans="1:8" ht="25.05" customHeight="1" x14ac:dyDescent="0.25">
      <c r="A10592" s="2" t="s">
        <v>8</v>
      </c>
      <c r="B10592" s="2" t="str">
        <f>HYPERLINK("http://ts.21cn.com/tousu/show/id/1341816","牛人有品高利贷")</f>
        <v>牛人有品高利贷</v>
      </c>
      <c r="C10592" s="2" t="s">
        <v>9</v>
      </c>
      <c r="D10592" s="2" t="s">
        <v>10</v>
      </c>
      <c r="E10592" s="2" t="str">
        <f>HYPERLINK("http://ts.21cn.com/tousu/show/id/1341816","http://ts.21cn.com/tousu/show/id/1341816")</f>
        <v>http://ts.21cn.com/tousu/show/id/1341816</v>
      </c>
      <c r="F10592" s="2" t="s">
        <v>11</v>
      </c>
      <c r="G10592" s="2" t="s">
        <v>23332</v>
      </c>
      <c r="H10592" s="2" t="s">
        <v>23333</v>
      </c>
    </row>
    <row r="10593" spans="1:8" ht="25.05" customHeight="1" x14ac:dyDescent="0.25">
      <c r="A10593" s="2" t="s">
        <v>8</v>
      </c>
      <c r="B10593" s="2" t="str">
        <f>HYPERLINK("http://ts.21cn.com/tousu/show/id/1341817","给予协商")</f>
        <v>给予协商</v>
      </c>
      <c r="C10593" s="2" t="s">
        <v>9</v>
      </c>
      <c r="D10593" s="2" t="s">
        <v>10</v>
      </c>
      <c r="E10593" s="2" t="str">
        <f>HYPERLINK("http://ts.21cn.com/tousu/show/id/1341817","http://ts.21cn.com/tousu/show/id/1341817")</f>
        <v>http://ts.21cn.com/tousu/show/id/1341817</v>
      </c>
      <c r="F10593" s="2" t="s">
        <v>11</v>
      </c>
      <c r="G10593" s="2" t="s">
        <v>23330</v>
      </c>
      <c r="H10593" s="2" t="s">
        <v>23331</v>
      </c>
    </row>
    <row r="10594" spans="1:8" ht="25.05" customHeight="1" x14ac:dyDescent="0.25">
      <c r="A10594" s="2" t="s">
        <v>8</v>
      </c>
      <c r="B10594" s="2" t="str">
        <f>HYPERLINK("http://ts.21cn.com/tousu/show/id/1341652","去哪儿网迪士尼门票")</f>
        <v>去哪儿网迪士尼门票</v>
      </c>
      <c r="C10594" s="2" t="s">
        <v>9</v>
      </c>
      <c r="D10594" s="2" t="s">
        <v>10</v>
      </c>
      <c r="E10594" s="2" t="str">
        <f>HYPERLINK("http://ts.21cn.com/tousu/show/id/1341652","http://ts.21cn.com/tousu/show/id/1341652")</f>
        <v>http://ts.21cn.com/tousu/show/id/1341652</v>
      </c>
      <c r="F10594" s="2" t="s">
        <v>11</v>
      </c>
      <c r="G10594" s="2" t="s">
        <v>23328</v>
      </c>
      <c r="H10594" s="2" t="s">
        <v>23329</v>
      </c>
    </row>
    <row r="10595" spans="1:8" ht="25.05" customHeight="1" x14ac:dyDescent="0.25">
      <c r="A10595" s="2" t="s">
        <v>8</v>
      </c>
      <c r="B10595" s="2" t="str">
        <f>HYPERLINK("http://ts.21cn.com/tousu/show/id/1341818","没欠款随便扣银行卡里面的钱")</f>
        <v>没欠款随便扣银行卡里面的钱</v>
      </c>
      <c r="C10595" s="2" t="s">
        <v>9</v>
      </c>
      <c r="D10595" s="2" t="s">
        <v>10</v>
      </c>
      <c r="E10595" s="2" t="str">
        <f>HYPERLINK("http://ts.21cn.com/tousu/show/id/1341818","http://ts.21cn.com/tousu/show/id/1341818")</f>
        <v>http://ts.21cn.com/tousu/show/id/1341818</v>
      </c>
      <c r="F10595" s="2" t="s">
        <v>11</v>
      </c>
      <c r="G10595" s="2" t="s">
        <v>23326</v>
      </c>
      <c r="H10595" s="2" t="s">
        <v>23327</v>
      </c>
    </row>
    <row r="10596" spans="1:8" ht="25.05" customHeight="1" x14ac:dyDescent="0.25">
      <c r="A10596" s="2" t="s">
        <v>8</v>
      </c>
      <c r="B10596" s="2" t="str">
        <f>HYPERLINK("http://ts.21cn.com/tousu/show/id/1341819","我来贷催收不合规、恐吓、骚扰通讯录")</f>
        <v>我来贷催收不合规、恐吓、骚扰通讯录</v>
      </c>
      <c r="C10596" s="2" t="s">
        <v>9</v>
      </c>
      <c r="D10596" s="2" t="s">
        <v>10</v>
      </c>
      <c r="E10596" s="2" t="str">
        <f>HYPERLINK("http://ts.21cn.com/tousu/show/id/1341819","http://ts.21cn.com/tousu/show/id/1341819")</f>
        <v>http://ts.21cn.com/tousu/show/id/1341819</v>
      </c>
      <c r="F10596" s="2" t="s">
        <v>11</v>
      </c>
      <c r="G10596" s="2" t="s">
        <v>23324</v>
      </c>
      <c r="H10596" s="2" t="s">
        <v>23325</v>
      </c>
    </row>
    <row r="10597" spans="1:8" ht="25.05" customHeight="1" x14ac:dyDescent="0.25">
      <c r="A10597" s="2" t="s">
        <v>8</v>
      </c>
      <c r="B10597" s="2" t="str">
        <f>HYPERLINK("http://ts.21cn.com/tousu/show/id/1341820","催人人员威胁不协商并超过合法利息")</f>
        <v>催人人员威胁不协商并超过合法利息</v>
      </c>
      <c r="C10597" s="2" t="s">
        <v>9</v>
      </c>
      <c r="D10597" s="2" t="s">
        <v>10</v>
      </c>
      <c r="E10597" s="2" t="str">
        <f>HYPERLINK("http://ts.21cn.com/tousu/show/id/1341820","http://ts.21cn.com/tousu/show/id/1341820")</f>
        <v>http://ts.21cn.com/tousu/show/id/1341820</v>
      </c>
      <c r="F10597" s="2" t="s">
        <v>11</v>
      </c>
      <c r="G10597" s="2" t="s">
        <v>23322</v>
      </c>
      <c r="H10597" s="2" t="s">
        <v>23323</v>
      </c>
    </row>
    <row r="10598" spans="1:8" ht="25.05" customHeight="1" x14ac:dyDescent="0.25">
      <c r="A10598" s="2" t="s">
        <v>8</v>
      </c>
      <c r="B10598" s="2" t="str">
        <f>HYPERLINK("http://ts.21cn.com/tousu/show/id/1341821","友信惠普阴阳合同")</f>
        <v>友信惠普阴阳合同</v>
      </c>
      <c r="C10598" s="2" t="s">
        <v>9</v>
      </c>
      <c r="D10598" s="2" t="s">
        <v>10</v>
      </c>
      <c r="E10598" s="2" t="str">
        <f>HYPERLINK("http://ts.21cn.com/tousu/show/id/1341821","http://ts.21cn.com/tousu/show/id/1341821")</f>
        <v>http://ts.21cn.com/tousu/show/id/1341821</v>
      </c>
      <c r="F10598" s="2" t="s">
        <v>11</v>
      </c>
      <c r="G10598" s="2" t="s">
        <v>23320</v>
      </c>
      <c r="H10598" s="2" t="s">
        <v>23321</v>
      </c>
    </row>
    <row r="10599" spans="1:8" ht="25.05" customHeight="1" x14ac:dyDescent="0.25">
      <c r="A10599" s="2" t="s">
        <v>8</v>
      </c>
      <c r="B10599" s="2" t="str">
        <f>HYPERLINK("http://ts.21cn.com/tousu/show/id/1341823","高利贷")</f>
        <v>高利贷</v>
      </c>
      <c r="C10599" s="2" t="s">
        <v>9</v>
      </c>
      <c r="D10599" s="2" t="s">
        <v>10</v>
      </c>
      <c r="E10599" s="2" t="str">
        <f>HYPERLINK("http://ts.21cn.com/tousu/show/id/1341823","http://ts.21cn.com/tousu/show/id/1341823")</f>
        <v>http://ts.21cn.com/tousu/show/id/1341823</v>
      </c>
      <c r="F10599" s="2" t="s">
        <v>11</v>
      </c>
      <c r="G10599" s="2" t="s">
        <v>23318</v>
      </c>
      <c r="H10599" s="2" t="s">
        <v>23319</v>
      </c>
    </row>
    <row r="10600" spans="1:8" ht="25.05" customHeight="1" x14ac:dyDescent="0.25">
      <c r="A10600" s="2" t="s">
        <v>8</v>
      </c>
      <c r="B10600" s="2" t="str">
        <f>HYPERLINK("http://ts.21cn.com/tousu/show/id/1341824","钱站高利贷阴阳合同")</f>
        <v>钱站高利贷阴阳合同</v>
      </c>
      <c r="C10600" s="2" t="s">
        <v>9</v>
      </c>
      <c r="D10600" s="2" t="s">
        <v>10</v>
      </c>
      <c r="E10600" s="2" t="str">
        <f>HYPERLINK("http://ts.21cn.com/tousu/show/id/1341824","http://ts.21cn.com/tousu/show/id/1341824")</f>
        <v>http://ts.21cn.com/tousu/show/id/1341824</v>
      </c>
      <c r="F10600" s="2" t="s">
        <v>11</v>
      </c>
      <c r="G10600" s="2" t="s">
        <v>23316</v>
      </c>
      <c r="H10600" s="2" t="s">
        <v>23317</v>
      </c>
    </row>
    <row r="10601" spans="1:8" ht="25.05" customHeight="1" x14ac:dyDescent="0.25">
      <c r="A10601" s="2" t="s">
        <v>8</v>
      </c>
      <c r="B10601" s="2" t="str">
        <f>HYPERLINK("http://ts.21cn.com/tousu/show/id/1341825","老板5个月没签合同")</f>
        <v>老板5个月没签合同</v>
      </c>
      <c r="C10601" s="2" t="s">
        <v>9</v>
      </c>
      <c r="D10601" s="2" t="s">
        <v>10</v>
      </c>
      <c r="E10601" s="2" t="str">
        <f>HYPERLINK("http://ts.21cn.com/tousu/show/id/1341825","http://ts.21cn.com/tousu/show/id/1341825")</f>
        <v>http://ts.21cn.com/tousu/show/id/1341825</v>
      </c>
      <c r="F10601" s="2" t="s">
        <v>11</v>
      </c>
      <c r="G10601" s="2" t="s">
        <v>23314</v>
      </c>
      <c r="H10601" s="2" t="s">
        <v>23315</v>
      </c>
    </row>
    <row r="10602" spans="1:8" ht="25.05" customHeight="1" x14ac:dyDescent="0.25">
      <c r="A10602" s="2" t="s">
        <v>8</v>
      </c>
      <c r="B10602" s="2" t="str">
        <f>HYPERLINK("http://ts.21cn.com/tousu/show/id/1341826","饿了么外卖吃到蟑螂")</f>
        <v>饿了么外卖吃到蟑螂</v>
      </c>
      <c r="C10602" s="2" t="s">
        <v>9</v>
      </c>
      <c r="D10602" s="2" t="s">
        <v>10</v>
      </c>
      <c r="E10602" s="2" t="str">
        <f>HYPERLINK("http://ts.21cn.com/tousu/show/id/1341826","http://ts.21cn.com/tousu/show/id/1341826")</f>
        <v>http://ts.21cn.com/tousu/show/id/1341826</v>
      </c>
      <c r="F10602" s="2" t="s">
        <v>11</v>
      </c>
      <c r="G10602" s="2" t="s">
        <v>23312</v>
      </c>
      <c r="H10602" s="2" t="s">
        <v>23313</v>
      </c>
    </row>
    <row r="10603" spans="1:8" ht="25.05" customHeight="1" x14ac:dyDescent="0.25">
      <c r="A10603" s="2" t="s">
        <v>8</v>
      </c>
      <c r="B10603" s="2" t="str">
        <f>HYPERLINK("http://ts.21cn.com/tousu/show/id/1341828","51人品贷高利贷，还款金额与合同金额不符")</f>
        <v>51人品贷高利贷，还款金额与合同金额不符</v>
      </c>
      <c r="C10603" s="2" t="s">
        <v>9</v>
      </c>
      <c r="D10603" s="2" t="s">
        <v>10</v>
      </c>
      <c r="E10603" s="2" t="str">
        <f>HYPERLINK("http://ts.21cn.com/tousu/show/id/1341828","http://ts.21cn.com/tousu/show/id/1341828")</f>
        <v>http://ts.21cn.com/tousu/show/id/1341828</v>
      </c>
      <c r="F10603" s="2" t="s">
        <v>11</v>
      </c>
      <c r="G10603" s="2" t="s">
        <v>23310</v>
      </c>
      <c r="H10603" s="2" t="s">
        <v>23311</v>
      </c>
    </row>
    <row r="10604" spans="1:8" ht="25.05" customHeight="1" x14ac:dyDescent="0.25">
      <c r="A10604" s="2" t="s">
        <v>8</v>
      </c>
      <c r="B10604" s="2" t="str">
        <f>HYPERLINK("http://ts.21cn.com/tousu/show/id/1341829","中金支付为非法高利贷信而富提供支付通道")</f>
        <v>中金支付为非法高利贷信而富提供支付通道</v>
      </c>
      <c r="C10604" s="2" t="s">
        <v>9</v>
      </c>
      <c r="D10604" s="2" t="s">
        <v>10</v>
      </c>
      <c r="E10604" s="2" t="str">
        <f>HYPERLINK("http://ts.21cn.com/tousu/show/id/1341829","http://ts.21cn.com/tousu/show/id/1341829")</f>
        <v>http://ts.21cn.com/tousu/show/id/1341829</v>
      </c>
      <c r="F10604" s="2" t="s">
        <v>11</v>
      </c>
      <c r="G10604" s="2" t="s">
        <v>23308</v>
      </c>
      <c r="H10604" s="2" t="s">
        <v>23309</v>
      </c>
    </row>
    <row r="10605" spans="1:8" ht="25.05" customHeight="1" x14ac:dyDescent="0.25">
      <c r="A10605" s="2" t="s">
        <v>8</v>
      </c>
      <c r="B10605" s="2" t="str">
        <f>HYPERLINK("http://ts.21cn.com/tousu/show/id/1341830","投诉滴滴平台")</f>
        <v>投诉滴滴平台</v>
      </c>
      <c r="C10605" s="2" t="s">
        <v>9</v>
      </c>
      <c r="D10605" s="2" t="s">
        <v>10</v>
      </c>
      <c r="E10605" s="2" t="str">
        <f>HYPERLINK("http://ts.21cn.com/tousu/show/id/1341830","http://ts.21cn.com/tousu/show/id/1341830")</f>
        <v>http://ts.21cn.com/tousu/show/id/1341830</v>
      </c>
      <c r="F10605" s="2" t="s">
        <v>11</v>
      </c>
      <c r="G10605" s="2" t="s">
        <v>23306</v>
      </c>
      <c r="H10605" s="2" t="s">
        <v>23307</v>
      </c>
    </row>
    <row r="10606" spans="1:8" ht="25.05" customHeight="1" x14ac:dyDescent="0.25">
      <c r="A10606" s="2" t="s">
        <v>8</v>
      </c>
      <c r="B10606" s="2" t="str">
        <f>HYPERLINK("http://ts.21cn.com/tousu/show/id/1341831","高利贷砍头息套路贷金鸡下蛋")</f>
        <v>高利贷砍头息套路贷金鸡下蛋</v>
      </c>
      <c r="C10606" s="2" t="s">
        <v>9</v>
      </c>
      <c r="D10606" s="2" t="s">
        <v>10</v>
      </c>
      <c r="E10606" s="2" t="str">
        <f>HYPERLINK("http://ts.21cn.com/tousu/show/id/1341831","http://ts.21cn.com/tousu/show/id/1341831")</f>
        <v>http://ts.21cn.com/tousu/show/id/1341831</v>
      </c>
      <c r="F10606" s="2" t="s">
        <v>11</v>
      </c>
      <c r="G10606" s="2" t="s">
        <v>23304</v>
      </c>
      <c r="H10606" s="2" t="s">
        <v>23305</v>
      </c>
    </row>
    <row r="10607" spans="1:8" ht="25.05" customHeight="1" x14ac:dyDescent="0.25">
      <c r="A10607" s="2" t="s">
        <v>8</v>
      </c>
      <c r="B10607" s="2" t="str">
        <f>HYPERLINK("http://ts.21cn.com/tousu/show/id/1341832","分期乐公司的人承诺我不再打扰我和我家人")</f>
        <v>分期乐公司的人承诺我不再打扰我和我家人</v>
      </c>
      <c r="C10607" s="2" t="s">
        <v>34</v>
      </c>
      <c r="D10607" s="2" t="s">
        <v>10</v>
      </c>
      <c r="E10607" s="2" t="str">
        <f>HYPERLINK("http://ts.21cn.com/tousu/show/id/1341832","http://ts.21cn.com/tousu/show/id/1341832")</f>
        <v>http://ts.21cn.com/tousu/show/id/1341832</v>
      </c>
      <c r="F10607" s="2" t="s">
        <v>11</v>
      </c>
      <c r="G10607" s="2" t="s">
        <v>23302</v>
      </c>
      <c r="H10607" s="2" t="s">
        <v>23303</v>
      </c>
    </row>
    <row r="10608" spans="1:8" ht="25.05" customHeight="1" x14ac:dyDescent="0.25">
      <c r="A10608" s="2" t="s">
        <v>8</v>
      </c>
      <c r="B10608" s="2" t="str">
        <f>HYPERLINK("http://ts.21cn.com/tousu/show/id/1341833","新橙优品催收骚扰")</f>
        <v>新橙优品催收骚扰</v>
      </c>
      <c r="C10608" s="2" t="s">
        <v>9</v>
      </c>
      <c r="D10608" s="2" t="s">
        <v>10</v>
      </c>
      <c r="E10608" s="2" t="str">
        <f>HYPERLINK("http://ts.21cn.com/tousu/show/id/1341833","http://ts.21cn.com/tousu/show/id/1341833")</f>
        <v>http://ts.21cn.com/tousu/show/id/1341833</v>
      </c>
      <c r="F10608" s="2" t="s">
        <v>11</v>
      </c>
      <c r="G10608" s="2" t="s">
        <v>23300</v>
      </c>
      <c r="H10608" s="2" t="s">
        <v>23301</v>
      </c>
    </row>
    <row r="10609" spans="1:8" ht="25.05" customHeight="1" x14ac:dyDescent="0.25">
      <c r="A10609" s="2" t="s">
        <v>8</v>
      </c>
      <c r="B10609" s="2" t="str">
        <f>HYPERLINK("http://ts.21cn.com/tousu/show/id/1341834","财付通扣款")</f>
        <v>财付通扣款</v>
      </c>
      <c r="C10609" s="2" t="s">
        <v>9</v>
      </c>
      <c r="D10609" s="2" t="s">
        <v>10</v>
      </c>
      <c r="E10609" s="2" t="str">
        <f>HYPERLINK("http://ts.21cn.com/tousu/show/id/1341834","http://ts.21cn.com/tousu/show/id/1341834")</f>
        <v>http://ts.21cn.com/tousu/show/id/1341834</v>
      </c>
      <c r="F10609" s="2" t="s">
        <v>11</v>
      </c>
      <c r="G10609" s="2" t="s">
        <v>23298</v>
      </c>
      <c r="H10609" s="2" t="s">
        <v>23299</v>
      </c>
    </row>
    <row r="10610" spans="1:8" ht="25.05" customHeight="1" x14ac:dyDescent="0.25">
      <c r="A10610" s="2" t="s">
        <v>8</v>
      </c>
      <c r="B10610" s="2" t="str">
        <f>HYPERLINK("http://ts.21cn.com/tousu/show/id/1341835","微信莫名其妙被封！")</f>
        <v>微信莫名其妙被封！</v>
      </c>
      <c r="C10610" s="2" t="s">
        <v>34</v>
      </c>
      <c r="D10610" s="2" t="s">
        <v>10</v>
      </c>
      <c r="E10610" s="2" t="str">
        <f>HYPERLINK("http://ts.21cn.com/tousu/show/id/1341835","http://ts.21cn.com/tousu/show/id/1341835")</f>
        <v>http://ts.21cn.com/tousu/show/id/1341835</v>
      </c>
      <c r="F10610" s="2" t="s">
        <v>11</v>
      </c>
      <c r="G10610" s="2" t="s">
        <v>23296</v>
      </c>
      <c r="H10610" s="2" t="s">
        <v>23297</v>
      </c>
    </row>
    <row r="10611" spans="1:8" ht="25.05" customHeight="1" x14ac:dyDescent="0.25">
      <c r="A10611" s="2" t="s">
        <v>8</v>
      </c>
      <c r="B10611" s="2" t="str">
        <f>HYPERLINK("http://ts.21cn.com/tousu/show/id/1341836","贷上钱APP套路贷催收态度恶劣无法协商还款")</f>
        <v>贷上钱APP套路贷催收态度恶劣无法协商还款</v>
      </c>
      <c r="C10611" s="2" t="s">
        <v>9</v>
      </c>
      <c r="D10611" s="2" t="s">
        <v>10</v>
      </c>
      <c r="E10611" s="2" t="str">
        <f>HYPERLINK("http://ts.21cn.com/tousu/show/id/1341836","http://ts.21cn.com/tousu/show/id/1341836")</f>
        <v>http://ts.21cn.com/tousu/show/id/1341836</v>
      </c>
      <c r="F10611" s="2" t="s">
        <v>11</v>
      </c>
      <c r="G10611" s="2" t="s">
        <v>23294</v>
      </c>
      <c r="H10611" s="2" t="s">
        <v>23295</v>
      </c>
    </row>
    <row r="10612" spans="1:8" ht="25.05" customHeight="1" x14ac:dyDescent="0.25">
      <c r="A10612" s="2" t="s">
        <v>8</v>
      </c>
      <c r="B10612" s="2" t="str">
        <f>HYPERLINK("http://ts.21cn.com/tousu/show/id/1341838","请求与招商银行信用卡卡部协商还款")</f>
        <v>请求与招商银行信用卡卡部协商还款</v>
      </c>
      <c r="C10612" s="2" t="s">
        <v>9</v>
      </c>
      <c r="D10612" s="2" t="s">
        <v>10</v>
      </c>
      <c r="E10612" s="2" t="str">
        <f>HYPERLINK("http://ts.21cn.com/tousu/show/id/1341838","http://ts.21cn.com/tousu/show/id/1341838")</f>
        <v>http://ts.21cn.com/tousu/show/id/1341838</v>
      </c>
      <c r="F10612" s="2" t="s">
        <v>11</v>
      </c>
      <c r="G10612" s="2" t="s">
        <v>23292</v>
      </c>
      <c r="H10612" s="2" t="s">
        <v>23293</v>
      </c>
    </row>
    <row r="10613" spans="1:8" ht="25.05" customHeight="1" x14ac:dyDescent="0.25">
      <c r="A10613" s="2" t="s">
        <v>8</v>
      </c>
      <c r="B10613" s="2" t="str">
        <f>HYPERLINK("http://ts.21cn.com/tousu/show/id/1341837","下款前没有显示高额利息，还款的时候就要多缴纳50%的利息")</f>
        <v>下款前没有显示高额利息，还款的时候就要多缴纳50%的利息</v>
      </c>
      <c r="C10613" s="2" t="s">
        <v>9</v>
      </c>
      <c r="D10613" s="2" t="s">
        <v>10</v>
      </c>
      <c r="E10613" s="2" t="str">
        <f>HYPERLINK("http://ts.21cn.com/tousu/show/id/1341837","http://ts.21cn.com/tousu/show/id/1341837")</f>
        <v>http://ts.21cn.com/tousu/show/id/1341837</v>
      </c>
      <c r="F10613" s="2" t="s">
        <v>11</v>
      </c>
      <c r="G10613" s="2" t="s">
        <v>23290</v>
      </c>
      <c r="H10613" s="2" t="s">
        <v>23291</v>
      </c>
    </row>
    <row r="10614" spans="1:8" ht="25.05" customHeight="1" x14ac:dyDescent="0.25">
      <c r="A10614" s="2" t="s">
        <v>8</v>
      </c>
      <c r="B10614" s="2" t="str">
        <f>HYPERLINK("http://ts.21cn.com/tousu/show/id/1341839","投诉怪物充电宝")</f>
        <v>投诉怪物充电宝</v>
      </c>
      <c r="C10614" s="2" t="s">
        <v>34</v>
      </c>
      <c r="D10614" s="2" t="s">
        <v>10</v>
      </c>
      <c r="E10614" s="2" t="str">
        <f>HYPERLINK("http://ts.21cn.com/tousu/show/id/1341839","http://ts.21cn.com/tousu/show/id/1341839")</f>
        <v>http://ts.21cn.com/tousu/show/id/1341839</v>
      </c>
      <c r="F10614" s="2" t="s">
        <v>11</v>
      </c>
      <c r="G10614" s="2" t="s">
        <v>23288</v>
      </c>
      <c r="H10614" s="2" t="s">
        <v>23289</v>
      </c>
    </row>
    <row r="10615" spans="1:8" ht="25.05" customHeight="1" x14ac:dyDescent="0.25">
      <c r="A10615" s="2" t="s">
        <v>8</v>
      </c>
      <c r="B10615" s="2" t="str">
        <f>HYPERLINK("http://ts.21cn.com/tousu/show/id/1341841","钱站高利贷阴阳合同")</f>
        <v>钱站高利贷阴阳合同</v>
      </c>
      <c r="C10615" s="2" t="s">
        <v>9</v>
      </c>
      <c r="D10615" s="2" t="s">
        <v>10</v>
      </c>
      <c r="E10615" s="2" t="str">
        <f>HYPERLINK("http://ts.21cn.com/tousu/show/id/1341841","http://ts.21cn.com/tousu/show/id/1341841")</f>
        <v>http://ts.21cn.com/tousu/show/id/1341841</v>
      </c>
      <c r="F10615" s="2" t="s">
        <v>11</v>
      </c>
      <c r="G10615" s="2" t="s">
        <v>23286</v>
      </c>
      <c r="H10615" s="2" t="s">
        <v>23287</v>
      </c>
    </row>
    <row r="10616" spans="1:8" ht="25.05" customHeight="1" x14ac:dyDescent="0.25">
      <c r="A10616" s="2" t="s">
        <v>8</v>
      </c>
      <c r="B10616" s="2" t="str">
        <f>HYPERLINK("http://ts.21cn.com/tousu/show/id/1341842","拍拍贷暴力催收，骚扰家人朋友，还要找人上门催收")</f>
        <v>拍拍贷暴力催收，骚扰家人朋友，还要找人上门催收</v>
      </c>
      <c r="C10616" s="2" t="s">
        <v>9</v>
      </c>
      <c r="D10616" s="2" t="s">
        <v>10</v>
      </c>
      <c r="E10616" s="2" t="str">
        <f>HYPERLINK("http://ts.21cn.com/tousu/show/id/1341842","http://ts.21cn.com/tousu/show/id/1341842")</f>
        <v>http://ts.21cn.com/tousu/show/id/1341842</v>
      </c>
      <c r="F10616" s="2" t="s">
        <v>11</v>
      </c>
      <c r="G10616" s="2" t="s">
        <v>23284</v>
      </c>
      <c r="H10616" s="2" t="s">
        <v>23285</v>
      </c>
    </row>
    <row r="10617" spans="1:8" ht="25.05" customHeight="1" x14ac:dyDescent="0.25">
      <c r="A10617" s="2" t="s">
        <v>8</v>
      </c>
      <c r="B10617" s="2" t="str">
        <f>HYPERLINK("http://ts.21cn.com/tousu/show/id/1341843","微现金国庆节假期骚扰轰炸")</f>
        <v>微现金国庆节假期骚扰轰炸</v>
      </c>
      <c r="C10617" s="2" t="s">
        <v>9</v>
      </c>
      <c r="D10617" s="2" t="s">
        <v>10</v>
      </c>
      <c r="E10617" s="2" t="str">
        <f>HYPERLINK("http://ts.21cn.com/tousu/show/id/1341843","http://ts.21cn.com/tousu/show/id/1341843")</f>
        <v>http://ts.21cn.com/tousu/show/id/1341843</v>
      </c>
      <c r="F10617" s="2" t="s">
        <v>11</v>
      </c>
      <c r="G10617" s="2" t="s">
        <v>23282</v>
      </c>
      <c r="H10617" s="2" t="s">
        <v>23283</v>
      </c>
    </row>
    <row r="10618" spans="1:8" ht="25.05" customHeight="1" x14ac:dyDescent="0.25">
      <c r="A10618" s="2" t="s">
        <v>8</v>
      </c>
      <c r="B10618" s="2" t="str">
        <f>HYPERLINK("http://ts.21cn.com/tousu/show/id/1341844","小浦优客无故扣款")</f>
        <v>小浦优客无故扣款</v>
      </c>
      <c r="C10618" s="2" t="s">
        <v>34</v>
      </c>
      <c r="D10618" s="2" t="s">
        <v>10</v>
      </c>
      <c r="E10618" s="2" t="str">
        <f>HYPERLINK("http://ts.21cn.com/tousu/show/id/1341844","http://ts.21cn.com/tousu/show/id/1341844")</f>
        <v>http://ts.21cn.com/tousu/show/id/1341844</v>
      </c>
      <c r="F10618" s="2" t="s">
        <v>11</v>
      </c>
      <c r="G10618" s="2" t="s">
        <v>23280</v>
      </c>
      <c r="H10618" s="2" t="s">
        <v>23281</v>
      </c>
    </row>
    <row r="10619" spans="1:8" ht="25.05" customHeight="1" x14ac:dyDescent="0.25">
      <c r="A10619" s="2" t="s">
        <v>8</v>
      </c>
      <c r="B10619" s="2" t="str">
        <f>HYPERLINK("http://ts.21cn.com/tousu/show/id/1341845","暴力催收威胁恐吓")</f>
        <v>暴力催收威胁恐吓</v>
      </c>
      <c r="C10619" s="2" t="s">
        <v>9</v>
      </c>
      <c r="D10619" s="2" t="s">
        <v>10</v>
      </c>
      <c r="E10619" s="2" t="str">
        <f>HYPERLINK("http://ts.21cn.com/tousu/show/id/1341845","http://ts.21cn.com/tousu/show/id/1341845")</f>
        <v>http://ts.21cn.com/tousu/show/id/1341845</v>
      </c>
      <c r="F10619" s="2" t="s">
        <v>11</v>
      </c>
      <c r="G10619" s="2" t="s">
        <v>23278</v>
      </c>
      <c r="H10619" s="2" t="s">
        <v>23279</v>
      </c>
    </row>
    <row r="10620" spans="1:8" ht="25.05" customHeight="1" x14ac:dyDescent="0.25">
      <c r="A10620" s="2" t="s">
        <v>8</v>
      </c>
      <c r="B10620" s="2" t="str">
        <f>HYPERLINK("http://ts.21cn.com/tousu/show/id/1341846","联动云违章处理太慢")</f>
        <v>联动云违章处理太慢</v>
      </c>
      <c r="C10620" s="2" t="s">
        <v>9</v>
      </c>
      <c r="D10620" s="2" t="s">
        <v>10</v>
      </c>
      <c r="E10620" s="2" t="str">
        <f>HYPERLINK("http://ts.21cn.com/tousu/show/id/1341846","http://ts.21cn.com/tousu/show/id/1341846")</f>
        <v>http://ts.21cn.com/tousu/show/id/1341846</v>
      </c>
      <c r="F10620" s="2" t="s">
        <v>11</v>
      </c>
      <c r="G10620" s="2" t="s">
        <v>23276</v>
      </c>
      <c r="H10620" s="2" t="s">
        <v>23277</v>
      </c>
    </row>
    <row r="10621" spans="1:8" ht="25.05" customHeight="1" x14ac:dyDescent="0.25">
      <c r="A10621" s="2" t="s">
        <v>8</v>
      </c>
      <c r="B10621" s="2" t="str">
        <f>HYPERLINK("http://ts.21cn.com/tousu/show/id/1341850","360借条套路欺诈消费者")</f>
        <v>360借条套路欺诈消费者</v>
      </c>
      <c r="C10621" s="2" t="s">
        <v>9</v>
      </c>
      <c r="D10621" s="2" t="s">
        <v>10</v>
      </c>
      <c r="E10621" s="2" t="str">
        <f>HYPERLINK("http://ts.21cn.com/tousu/show/id/1341850","http://ts.21cn.com/tousu/show/id/1341850")</f>
        <v>http://ts.21cn.com/tousu/show/id/1341850</v>
      </c>
      <c r="F10621" s="2" t="s">
        <v>11</v>
      </c>
      <c r="G10621" s="2" t="s">
        <v>23273</v>
      </c>
      <c r="H10621" s="2" t="s">
        <v>23274</v>
      </c>
    </row>
    <row r="10622" spans="1:8" ht="25.05" customHeight="1" x14ac:dyDescent="0.25">
      <c r="A10622" s="2" t="s">
        <v>8</v>
      </c>
      <c r="B10622" s="2" t="str">
        <f>HYPERLINK("http://ts.21cn.com/tousu/show/id/1341848","聚富分期没经过本人同意私自扣银行卡的钱")</f>
        <v>聚富分期没经过本人同意私自扣银行卡的钱</v>
      </c>
      <c r="C10622" s="2" t="s">
        <v>9</v>
      </c>
      <c r="D10622" s="2" t="s">
        <v>10</v>
      </c>
      <c r="E10622" s="2" t="str">
        <f>HYPERLINK("http://ts.21cn.com/tousu/show/id/1341848","http://ts.21cn.com/tousu/show/id/1341848")</f>
        <v>http://ts.21cn.com/tousu/show/id/1341848</v>
      </c>
      <c r="F10622" s="2" t="s">
        <v>11</v>
      </c>
      <c r="G10622" s="2" t="s">
        <v>23273</v>
      </c>
      <c r="H10622" s="2" t="s">
        <v>23275</v>
      </c>
    </row>
    <row r="10623" spans="1:8" ht="25.05" customHeight="1" x14ac:dyDescent="0.25">
      <c r="A10623" s="2" t="s">
        <v>8</v>
      </c>
      <c r="B10623" s="2" t="str">
        <f>HYPERLINK("http://ts.21cn.com/tousu/show/id/1341849","绑定银行卡的短信提醒中并没有说明扣去会员费用")</f>
        <v>绑定银行卡的短信提醒中并没有说明扣去会员费用</v>
      </c>
      <c r="C10623" s="2" t="s">
        <v>9</v>
      </c>
      <c r="D10623" s="2" t="s">
        <v>10</v>
      </c>
      <c r="E10623" s="2" t="str">
        <f>HYPERLINK("http://ts.21cn.com/tousu/show/id/1341849","http://ts.21cn.com/tousu/show/id/1341849")</f>
        <v>http://ts.21cn.com/tousu/show/id/1341849</v>
      </c>
      <c r="F10623" s="2" t="s">
        <v>11</v>
      </c>
      <c r="G10623" s="2" t="s">
        <v>23271</v>
      </c>
      <c r="H10623" s="2" t="s">
        <v>23272</v>
      </c>
    </row>
    <row r="10624" spans="1:8" ht="25.05" customHeight="1" x14ac:dyDescent="0.25">
      <c r="A10624" s="2" t="s">
        <v>8</v>
      </c>
      <c r="B10624" s="2" t="str">
        <f>HYPERLINK("http://ts.21cn.com/tousu/show/id/1341851","停车场保安态度差")</f>
        <v>停车场保安态度差</v>
      </c>
      <c r="C10624" s="2" t="s">
        <v>9</v>
      </c>
      <c r="D10624" s="2" t="s">
        <v>10</v>
      </c>
      <c r="E10624" s="2" t="str">
        <f>HYPERLINK("http://ts.21cn.com/tousu/show/id/1341851","http://ts.21cn.com/tousu/show/id/1341851")</f>
        <v>http://ts.21cn.com/tousu/show/id/1341851</v>
      </c>
      <c r="F10624" s="2" t="s">
        <v>11</v>
      </c>
      <c r="G10624" s="2" t="s">
        <v>23269</v>
      </c>
      <c r="H10624" s="2" t="s">
        <v>23270</v>
      </c>
    </row>
    <row r="10625" spans="1:8" ht="25.05" customHeight="1" x14ac:dyDescent="0.25">
      <c r="A10625" s="2" t="s">
        <v>8</v>
      </c>
      <c r="B10625" s="2" t="str">
        <f>HYPERLINK("http://ts.21cn.com/tousu/show/id/1341852","京东白条非法骚扰")</f>
        <v>京东白条非法骚扰</v>
      </c>
      <c r="C10625" s="2" t="s">
        <v>9</v>
      </c>
      <c r="D10625" s="2" t="s">
        <v>10</v>
      </c>
      <c r="E10625" s="2" t="str">
        <f>HYPERLINK("http://ts.21cn.com/tousu/show/id/1341852","http://ts.21cn.com/tousu/show/id/1341852")</f>
        <v>http://ts.21cn.com/tousu/show/id/1341852</v>
      </c>
      <c r="F10625" s="2" t="s">
        <v>11</v>
      </c>
      <c r="G10625" s="2" t="s">
        <v>23267</v>
      </c>
      <c r="H10625" s="2" t="s">
        <v>23268</v>
      </c>
    </row>
    <row r="10626" spans="1:8" ht="25.05" customHeight="1" x14ac:dyDescent="0.25">
      <c r="A10626" s="2" t="s">
        <v>8</v>
      </c>
      <c r="B10626" s="2" t="str">
        <f>HYPERLINK("http://ts.21cn.com/tousu/show/id/1341853","捷信高利贷")</f>
        <v>捷信高利贷</v>
      </c>
      <c r="C10626" s="2" t="s">
        <v>9</v>
      </c>
      <c r="D10626" s="2" t="s">
        <v>10</v>
      </c>
      <c r="E10626" s="2" t="str">
        <f>HYPERLINK("http://ts.21cn.com/tousu/show/id/1341853","http://ts.21cn.com/tousu/show/id/1341853")</f>
        <v>http://ts.21cn.com/tousu/show/id/1341853</v>
      </c>
      <c r="F10626" s="2" t="s">
        <v>11</v>
      </c>
      <c r="G10626" s="2" t="s">
        <v>23264</v>
      </c>
      <c r="H10626" s="2" t="s">
        <v>23265</v>
      </c>
    </row>
    <row r="10627" spans="1:8" ht="25.05" customHeight="1" x14ac:dyDescent="0.25">
      <c r="A10627" s="2" t="s">
        <v>8</v>
      </c>
      <c r="B10627" s="2" t="str">
        <f>HYPERLINK("http://ts.21cn.com/tousu/show/id/1341854","协商分期还款，停止骚扰家人朋友")</f>
        <v>协商分期还款，停止骚扰家人朋友</v>
      </c>
      <c r="C10627" s="2" t="s">
        <v>9</v>
      </c>
      <c r="D10627" s="2" t="s">
        <v>10</v>
      </c>
      <c r="E10627" s="2" t="str">
        <f>HYPERLINK("http://ts.21cn.com/tousu/show/id/1341854","http://ts.21cn.com/tousu/show/id/1341854")</f>
        <v>http://ts.21cn.com/tousu/show/id/1341854</v>
      </c>
      <c r="F10627" s="2" t="s">
        <v>11</v>
      </c>
      <c r="G10627" s="2" t="s">
        <v>23264</v>
      </c>
      <c r="H10627" s="2" t="s">
        <v>23266</v>
      </c>
    </row>
    <row r="10628" spans="1:8" ht="25.05" customHeight="1" x14ac:dyDescent="0.25">
      <c r="A10628" s="2" t="s">
        <v>8</v>
      </c>
      <c r="B10628" s="2" t="str">
        <f>HYPERLINK("http://ts.21cn.com/tousu/show/id/1341855","借款已结清却显示未还款")</f>
        <v>借款已结清却显示未还款</v>
      </c>
      <c r="C10628" s="2" t="s">
        <v>9</v>
      </c>
      <c r="D10628" s="2" t="s">
        <v>10</v>
      </c>
      <c r="E10628" s="2" t="str">
        <f>HYPERLINK("http://ts.21cn.com/tousu/show/id/1341855","http://ts.21cn.com/tousu/show/id/1341855")</f>
        <v>http://ts.21cn.com/tousu/show/id/1341855</v>
      </c>
      <c r="F10628" s="2" t="s">
        <v>11</v>
      </c>
      <c r="G10628" s="2" t="s">
        <v>23262</v>
      </c>
      <c r="H10628" s="2" t="s">
        <v>23263</v>
      </c>
    </row>
    <row r="10629" spans="1:8" ht="25.05" customHeight="1" x14ac:dyDescent="0.25">
      <c r="A10629" s="2" t="s">
        <v>8</v>
      </c>
      <c r="B10629" s="2" t="str">
        <f>HYPERLINK("http://ts.21cn.com/tousu/show/id/1341856","永恒优享高利贷不堪重负")</f>
        <v>永恒优享高利贷不堪重负</v>
      </c>
      <c r="C10629" s="2" t="s">
        <v>9</v>
      </c>
      <c r="D10629" s="2" t="s">
        <v>10</v>
      </c>
      <c r="E10629" s="2" t="str">
        <f>HYPERLINK("http://ts.21cn.com/tousu/show/id/1341856","http://ts.21cn.com/tousu/show/id/1341856")</f>
        <v>http://ts.21cn.com/tousu/show/id/1341856</v>
      </c>
      <c r="F10629" s="2" t="s">
        <v>11</v>
      </c>
      <c r="G10629" s="2" t="s">
        <v>23260</v>
      </c>
      <c r="H10629" s="2" t="s">
        <v>23261</v>
      </c>
    </row>
    <row r="10630" spans="1:8" ht="25.05" customHeight="1" x14ac:dyDescent="0.25">
      <c r="A10630" s="2" t="s">
        <v>8</v>
      </c>
      <c r="B10630" s="2" t="str">
        <f>HYPERLINK("http://ts.21cn.com/tousu/show/id/1341859","不退款")</f>
        <v>不退款</v>
      </c>
      <c r="C10630" s="2" t="s">
        <v>9</v>
      </c>
      <c r="D10630" s="2" t="s">
        <v>10</v>
      </c>
      <c r="E10630" s="2" t="str">
        <f>HYPERLINK("http://ts.21cn.com/tousu/show/id/1341859","http://ts.21cn.com/tousu/show/id/1341859")</f>
        <v>http://ts.21cn.com/tousu/show/id/1341859</v>
      </c>
      <c r="F10630" s="2" t="s">
        <v>11</v>
      </c>
      <c r="G10630" s="2" t="s">
        <v>23258</v>
      </c>
      <c r="H10630" s="2" t="s">
        <v>23259</v>
      </c>
    </row>
    <row r="10631" spans="1:8" ht="25.05" customHeight="1" x14ac:dyDescent="0.25">
      <c r="A10631" s="2" t="s">
        <v>8</v>
      </c>
      <c r="B10631" s="2" t="str">
        <f>HYPERLINK("http://ts.21cn.com/tousu/show/id/1341857","玖富万卡无法提前结清")</f>
        <v>玖富万卡无法提前结清</v>
      </c>
      <c r="C10631" s="2" t="s">
        <v>9</v>
      </c>
      <c r="D10631" s="2" t="s">
        <v>10</v>
      </c>
      <c r="E10631" s="2" t="str">
        <f>HYPERLINK("http://ts.21cn.com/tousu/show/id/1341857","http://ts.21cn.com/tousu/show/id/1341857")</f>
        <v>http://ts.21cn.com/tousu/show/id/1341857</v>
      </c>
      <c r="F10631" s="2" t="s">
        <v>11</v>
      </c>
      <c r="G10631" s="2" t="s">
        <v>23255</v>
      </c>
      <c r="H10631" s="2" t="s">
        <v>23256</v>
      </c>
    </row>
    <row r="10632" spans="1:8" ht="25.05" customHeight="1" x14ac:dyDescent="0.25">
      <c r="A10632" s="2" t="s">
        <v>8</v>
      </c>
      <c r="B10632" s="2" t="str">
        <f>HYPERLINK("http://ts.21cn.com/tousu/show/id/1341858","被哈罗顺风车司机坑")</f>
        <v>被哈罗顺风车司机坑</v>
      </c>
      <c r="C10632" s="2" t="s">
        <v>9</v>
      </c>
      <c r="D10632" s="2" t="s">
        <v>10</v>
      </c>
      <c r="E10632" s="2" t="str">
        <f>HYPERLINK("http://ts.21cn.com/tousu/show/id/1341858","http://ts.21cn.com/tousu/show/id/1341858")</f>
        <v>http://ts.21cn.com/tousu/show/id/1341858</v>
      </c>
      <c r="F10632" s="2" t="s">
        <v>11</v>
      </c>
      <c r="G10632" s="2" t="s">
        <v>23255</v>
      </c>
      <c r="H10632" s="2" t="s">
        <v>23257</v>
      </c>
    </row>
    <row r="10633" spans="1:8" ht="25.05" customHeight="1" x14ac:dyDescent="0.25">
      <c r="A10633" s="2" t="s">
        <v>8</v>
      </c>
      <c r="B10633" s="2" t="str">
        <f>HYPERLINK("http://ts.21cn.com/tousu/show/id/1341860","玖富万卡客服")</f>
        <v>玖富万卡客服</v>
      </c>
      <c r="C10633" s="2" t="s">
        <v>9</v>
      </c>
      <c r="D10633" s="2" t="s">
        <v>10</v>
      </c>
      <c r="E10633" s="2" t="str">
        <f>HYPERLINK("http://ts.21cn.com/tousu/show/id/1341860","http://ts.21cn.com/tousu/show/id/1341860")</f>
        <v>http://ts.21cn.com/tousu/show/id/1341860</v>
      </c>
      <c r="F10633" s="2" t="s">
        <v>11</v>
      </c>
      <c r="G10633" s="2" t="s">
        <v>23253</v>
      </c>
      <c r="H10633" s="2" t="s">
        <v>23254</v>
      </c>
    </row>
    <row r="10634" spans="1:8" ht="25.05" customHeight="1" x14ac:dyDescent="0.25">
      <c r="A10634" s="2" t="s">
        <v>8</v>
      </c>
      <c r="B10634" s="2" t="str">
        <f>HYPERLINK("http://ts.21cn.com/tousu/show/id/1341862","我在立借里的钱置宝下款2100，要一个月还4期，每期700多。超过法律规定利息，还了3期，还剩一期要求减免销账")</f>
        <v>我在立借里的钱置宝下款2100，要一个月还4期，每期700多。超过法律规定利息，还了3期，还剩一期要求减免销账</v>
      </c>
      <c r="C10634" s="2" t="s">
        <v>9</v>
      </c>
      <c r="D10634" s="2" t="s">
        <v>10</v>
      </c>
      <c r="E10634" s="2" t="str">
        <f>HYPERLINK("http://ts.21cn.com/tousu/show/id/1341862","http://ts.21cn.com/tousu/show/id/1341862")</f>
        <v>http://ts.21cn.com/tousu/show/id/1341862</v>
      </c>
      <c r="F10634" s="2" t="s">
        <v>11</v>
      </c>
      <c r="G10634" s="2" t="s">
        <v>23251</v>
      </c>
      <c r="H10634" s="2" t="s">
        <v>23252</v>
      </c>
    </row>
    <row r="10635" spans="1:8" ht="25.05" customHeight="1" x14ac:dyDescent="0.25">
      <c r="A10635" s="2" t="s">
        <v>8</v>
      </c>
      <c r="B10635" s="2" t="str">
        <f>HYPERLINK("http://ts.21cn.com/tousu/show/id/1341861","借贷宝讹诈")</f>
        <v>借贷宝讹诈</v>
      </c>
      <c r="C10635" s="2" t="s">
        <v>9</v>
      </c>
      <c r="D10635" s="2" t="s">
        <v>10</v>
      </c>
      <c r="E10635" s="2" t="str">
        <f>HYPERLINK("http://ts.21cn.com/tousu/show/id/1341861","http://ts.21cn.com/tousu/show/id/1341861")</f>
        <v>http://ts.21cn.com/tousu/show/id/1341861</v>
      </c>
      <c r="F10635" s="2" t="s">
        <v>11</v>
      </c>
      <c r="G10635" s="2" t="s">
        <v>23249</v>
      </c>
      <c r="H10635" s="2" t="s">
        <v>23250</v>
      </c>
    </row>
    <row r="10636" spans="1:8" ht="25.05" customHeight="1" x14ac:dyDescent="0.25">
      <c r="A10636" s="2" t="s">
        <v>8</v>
      </c>
      <c r="B10636" s="2" t="str">
        <f>HYPERLINK("http://ts.21cn.com/tousu/show/id/1341863","新开淘宝店铺无故被封")</f>
        <v>新开淘宝店铺无故被封</v>
      </c>
      <c r="C10636" s="2" t="s">
        <v>9</v>
      </c>
      <c r="D10636" s="2" t="s">
        <v>10</v>
      </c>
      <c r="E10636" s="2" t="str">
        <f>HYPERLINK("http://ts.21cn.com/tousu/show/id/1341863","http://ts.21cn.com/tousu/show/id/1341863")</f>
        <v>http://ts.21cn.com/tousu/show/id/1341863</v>
      </c>
      <c r="F10636" s="2" t="s">
        <v>11</v>
      </c>
      <c r="G10636" s="2" t="s">
        <v>23247</v>
      </c>
      <c r="H10636" s="2" t="s">
        <v>23248</v>
      </c>
    </row>
    <row r="10637" spans="1:8" ht="25.05" customHeight="1" x14ac:dyDescent="0.25">
      <c r="A10637" s="2" t="s">
        <v>8</v>
      </c>
      <c r="B10637" s="2" t="str">
        <f>HYPERLINK("http://ts.21cn.com/tousu/show/id/1341864","活力花暴力催收")</f>
        <v>活力花暴力催收</v>
      </c>
      <c r="C10637" s="2" t="s">
        <v>9</v>
      </c>
      <c r="D10637" s="2" t="s">
        <v>10</v>
      </c>
      <c r="E10637" s="2" t="str">
        <f>HYPERLINK("http://ts.21cn.com/tousu/show/id/1341864","http://ts.21cn.com/tousu/show/id/1341864")</f>
        <v>http://ts.21cn.com/tousu/show/id/1341864</v>
      </c>
      <c r="F10637" s="2" t="s">
        <v>11</v>
      </c>
      <c r="G10637" s="2" t="s">
        <v>23245</v>
      </c>
      <c r="H10637" s="2" t="s">
        <v>23246</v>
      </c>
    </row>
    <row r="10638" spans="1:8" ht="25.05" customHeight="1" x14ac:dyDescent="0.25">
      <c r="A10638" s="2" t="s">
        <v>8</v>
      </c>
      <c r="B10638" s="2" t="str">
        <f>HYPERLINK("http://ts.21cn.com/tousu/show/id/1341865","苏宁易购退货不给退款")</f>
        <v>苏宁易购退货不给退款</v>
      </c>
      <c r="C10638" s="2" t="s">
        <v>9</v>
      </c>
      <c r="D10638" s="2" t="s">
        <v>10</v>
      </c>
      <c r="E10638" s="2" t="str">
        <f>HYPERLINK("http://ts.21cn.com/tousu/show/id/1341865","http://ts.21cn.com/tousu/show/id/1341865")</f>
        <v>http://ts.21cn.com/tousu/show/id/1341865</v>
      </c>
      <c r="F10638" s="2" t="s">
        <v>11</v>
      </c>
      <c r="G10638" s="2" t="s">
        <v>23243</v>
      </c>
      <c r="H10638" s="2" t="s">
        <v>23244</v>
      </c>
    </row>
    <row r="10639" spans="1:8" ht="25.05" customHeight="1" x14ac:dyDescent="0.25">
      <c r="A10639" s="2" t="s">
        <v>8</v>
      </c>
      <c r="B10639" s="2" t="str">
        <f>HYPERLINK("http://ts.21cn.com/tousu/show/id/1341866","暴利催收")</f>
        <v>暴利催收</v>
      </c>
      <c r="C10639" s="2" t="s">
        <v>9</v>
      </c>
      <c r="D10639" s="2" t="s">
        <v>10</v>
      </c>
      <c r="E10639" s="2" t="str">
        <f>HYPERLINK("http://ts.21cn.com/tousu/show/id/1341866","http://ts.21cn.com/tousu/show/id/1341866")</f>
        <v>http://ts.21cn.com/tousu/show/id/1341866</v>
      </c>
      <c r="F10639" s="2" t="s">
        <v>11</v>
      </c>
      <c r="G10639" s="2" t="s">
        <v>23241</v>
      </c>
      <c r="H10639" s="2" t="s">
        <v>23242</v>
      </c>
    </row>
    <row r="10640" spans="1:8" ht="25.05" customHeight="1" x14ac:dyDescent="0.25">
      <c r="A10640" s="2" t="s">
        <v>8</v>
      </c>
      <c r="B10640" s="2" t="str">
        <f>HYPERLINK("http://ts.21cn.com/tousu/show/id/1341867","在融360旗下的极速钱包借款多次，每次收取砍头息，利息高昂，")</f>
        <v>在融360旗下的极速钱包借款多次，每次收取砍头息，利息高昂，</v>
      </c>
      <c r="C10640" s="2" t="s">
        <v>34</v>
      </c>
      <c r="D10640" s="2" t="s">
        <v>10</v>
      </c>
      <c r="E10640" s="2" t="str">
        <f>HYPERLINK("http://ts.21cn.com/tousu/show/id/1341867","http://ts.21cn.com/tousu/show/id/1341867")</f>
        <v>http://ts.21cn.com/tousu/show/id/1341867</v>
      </c>
      <c r="F10640" s="2" t="s">
        <v>11</v>
      </c>
      <c r="G10640" s="2" t="s">
        <v>23239</v>
      </c>
      <c r="H10640" s="2" t="s">
        <v>23240</v>
      </c>
    </row>
    <row r="10641" spans="1:8" ht="25.05" customHeight="1" x14ac:dyDescent="0.25">
      <c r="A10641" s="2" t="s">
        <v>8</v>
      </c>
      <c r="B10641" s="2" t="str">
        <f>HYPERLINK("http://ts.21cn.com/tousu/show/id/1341868","马上金融扣款多扣")</f>
        <v>马上金融扣款多扣</v>
      </c>
      <c r="C10641" s="2" t="s">
        <v>9</v>
      </c>
      <c r="D10641" s="2" t="s">
        <v>10</v>
      </c>
      <c r="E10641" s="2" t="str">
        <f>HYPERLINK("http://ts.21cn.com/tousu/show/id/1341868","http://ts.21cn.com/tousu/show/id/1341868")</f>
        <v>http://ts.21cn.com/tousu/show/id/1341868</v>
      </c>
      <c r="F10641" s="2" t="s">
        <v>11</v>
      </c>
      <c r="G10641" s="2" t="s">
        <v>23237</v>
      </c>
      <c r="H10641" s="2" t="s">
        <v>23238</v>
      </c>
    </row>
    <row r="10642" spans="1:8" ht="25.05" customHeight="1" x14ac:dyDescent="0.25">
      <c r="A10642" s="2" t="s">
        <v>8</v>
      </c>
      <c r="B10642" s="2" t="str">
        <f>HYPERLINK("http://ts.21cn.com/tousu/show/id/1341869","停止威胁恐吓")</f>
        <v>停止威胁恐吓</v>
      </c>
      <c r="C10642" s="2" t="s">
        <v>9</v>
      </c>
      <c r="D10642" s="2" t="s">
        <v>10</v>
      </c>
      <c r="E10642" s="2" t="str">
        <f>HYPERLINK("http://ts.21cn.com/tousu/show/id/1341869","http://ts.21cn.com/tousu/show/id/1341869")</f>
        <v>http://ts.21cn.com/tousu/show/id/1341869</v>
      </c>
      <c r="F10642" s="2" t="s">
        <v>11</v>
      </c>
      <c r="G10642" s="2" t="s">
        <v>23235</v>
      </c>
      <c r="H10642" s="2" t="s">
        <v>23236</v>
      </c>
    </row>
    <row r="10643" spans="1:8" ht="25.05" customHeight="1" x14ac:dyDescent="0.25">
      <c r="A10643" s="2" t="s">
        <v>8</v>
      </c>
      <c r="B10643" s="2" t="str">
        <f>HYPERLINK("http://ts.21cn.com/tousu/show/id/1341871","百世惠普评估费")</f>
        <v>百世惠普评估费</v>
      </c>
      <c r="C10643" s="2" t="s">
        <v>9</v>
      </c>
      <c r="D10643" s="2" t="s">
        <v>10</v>
      </c>
      <c r="E10643" s="2" t="str">
        <f>HYPERLINK("http://ts.21cn.com/tousu/show/id/1341871","http://ts.21cn.com/tousu/show/id/1341871")</f>
        <v>http://ts.21cn.com/tousu/show/id/1341871</v>
      </c>
      <c r="F10643" s="2" t="s">
        <v>11</v>
      </c>
      <c r="G10643" s="2" t="s">
        <v>23233</v>
      </c>
      <c r="H10643" s="2" t="s">
        <v>23234</v>
      </c>
    </row>
    <row r="10644" spans="1:8" ht="25.05" customHeight="1" x14ac:dyDescent="0.25">
      <c r="A10644" s="2" t="s">
        <v>8</v>
      </c>
      <c r="B10644" s="2" t="str">
        <f>HYPERLINK("http://ts.21cn.com/tousu/show/id/1341870","闪电借款")</f>
        <v>闪电借款</v>
      </c>
      <c r="C10644" s="2" t="s">
        <v>9</v>
      </c>
      <c r="D10644" s="2" t="s">
        <v>10</v>
      </c>
      <c r="E10644" s="2" t="str">
        <f>HYPERLINK("http://ts.21cn.com/tousu/show/id/1341870","http://ts.21cn.com/tousu/show/id/1341870")</f>
        <v>http://ts.21cn.com/tousu/show/id/1341870</v>
      </c>
      <c r="F10644" s="2" t="s">
        <v>11</v>
      </c>
      <c r="G10644" s="2" t="s">
        <v>23231</v>
      </c>
      <c r="H10644" s="2" t="s">
        <v>23232</v>
      </c>
    </row>
    <row r="10645" spans="1:8" ht="25.05" customHeight="1" x14ac:dyDescent="0.25">
      <c r="A10645" s="2" t="s">
        <v>8</v>
      </c>
      <c r="B10645" s="2" t="str">
        <f>HYPERLINK("http://ts.21cn.com/tousu/show/id/1341873","阴阳合同，综合利率远超规定。")</f>
        <v>阴阳合同，综合利率远超规定。</v>
      </c>
      <c r="C10645" s="2" t="s">
        <v>9</v>
      </c>
      <c r="D10645" s="2" t="s">
        <v>10</v>
      </c>
      <c r="E10645" s="2" t="str">
        <f>HYPERLINK("http://ts.21cn.com/tousu/show/id/1341873","http://ts.21cn.com/tousu/show/id/1341873")</f>
        <v>http://ts.21cn.com/tousu/show/id/1341873</v>
      </c>
      <c r="F10645" s="2" t="s">
        <v>11</v>
      </c>
      <c r="G10645" s="2" t="s">
        <v>23229</v>
      </c>
      <c r="H10645" s="2" t="s">
        <v>23230</v>
      </c>
    </row>
    <row r="10646" spans="1:8" ht="25.05" customHeight="1" x14ac:dyDescent="0.25">
      <c r="A10646" s="2" t="s">
        <v>8</v>
      </c>
      <c r="B10646" s="2" t="str">
        <f>HYPERLINK("http://ts.21cn.com/tousu/show/id/1341872","手机借款---多宝分期，利息超高，本金适当利息销账")</f>
        <v>手机借款---多宝分期，利息超高，本金适当利息销账</v>
      </c>
      <c r="C10646" s="2" t="s">
        <v>9</v>
      </c>
      <c r="D10646" s="2" t="s">
        <v>10</v>
      </c>
      <c r="E10646" s="2" t="str">
        <f>HYPERLINK("http://ts.21cn.com/tousu/show/id/1341872","http://ts.21cn.com/tousu/show/id/1341872")</f>
        <v>http://ts.21cn.com/tousu/show/id/1341872</v>
      </c>
      <c r="F10646" s="2" t="s">
        <v>11</v>
      </c>
      <c r="G10646" s="2" t="s">
        <v>23227</v>
      </c>
      <c r="H10646" s="2" t="s">
        <v>23228</v>
      </c>
    </row>
    <row r="10647" spans="1:8" ht="25.05" customHeight="1" x14ac:dyDescent="0.25">
      <c r="A10647" s="2" t="s">
        <v>8</v>
      </c>
      <c r="B10647" s="2" t="str">
        <f>HYPERLINK("http://ts.21cn.com/tousu/show/id/1341874","拍拍贷套路大曝光，建议媒体曝光，上报国家机构")</f>
        <v>拍拍贷套路大曝光，建议媒体曝光，上报国家机构</v>
      </c>
      <c r="C10647" s="2" t="s">
        <v>9</v>
      </c>
      <c r="D10647" s="2" t="s">
        <v>10</v>
      </c>
      <c r="E10647" s="2" t="str">
        <f>HYPERLINK("http://ts.21cn.com/tousu/show/id/1341874","http://ts.21cn.com/tousu/show/id/1341874")</f>
        <v>http://ts.21cn.com/tousu/show/id/1341874</v>
      </c>
      <c r="F10647" s="2" t="s">
        <v>11</v>
      </c>
      <c r="G10647" s="2" t="s">
        <v>23225</v>
      </c>
      <c r="H10647" s="2" t="s">
        <v>23226</v>
      </c>
    </row>
    <row r="10648" spans="1:8" ht="25.05" customHeight="1" x14ac:dyDescent="0.25">
      <c r="A10648" s="2" t="s">
        <v>8</v>
      </c>
      <c r="B10648" s="2" t="str">
        <f>HYPERLINK("http://ts.21cn.com/tousu/show/id/1341875","长城宽带故障五天投诉无果也没人来修")</f>
        <v>长城宽带故障五天投诉无果也没人来修</v>
      </c>
      <c r="C10648" s="2" t="s">
        <v>9</v>
      </c>
      <c r="D10648" s="2" t="s">
        <v>10</v>
      </c>
      <c r="E10648" s="2" t="str">
        <f>HYPERLINK("http://ts.21cn.com/tousu/show/id/1341875","http://ts.21cn.com/tousu/show/id/1341875")</f>
        <v>http://ts.21cn.com/tousu/show/id/1341875</v>
      </c>
      <c r="F10648" s="2" t="s">
        <v>11</v>
      </c>
      <c r="G10648" s="2" t="s">
        <v>23223</v>
      </c>
      <c r="H10648" s="2" t="s">
        <v>23224</v>
      </c>
    </row>
    <row r="10649" spans="1:8" ht="25.05" customHeight="1" x14ac:dyDescent="0.25">
      <c r="A10649" s="2" t="s">
        <v>8</v>
      </c>
      <c r="B10649" s="2" t="str">
        <f>HYPERLINK("http://ts.21cn.com/tousu/show/id/1341877","钱站砍头息实际借款3800，合同写成6000多。借款时没有明确费用")</f>
        <v>钱站砍头息实际借款3800，合同写成6000多。借款时没有明确费用</v>
      </c>
      <c r="C10649" s="2" t="s">
        <v>9</v>
      </c>
      <c r="D10649" s="2" t="s">
        <v>10</v>
      </c>
      <c r="E10649" s="2" t="str">
        <f>HYPERLINK("http://ts.21cn.com/tousu/show/id/1341877","http://ts.21cn.com/tousu/show/id/1341877")</f>
        <v>http://ts.21cn.com/tousu/show/id/1341877</v>
      </c>
      <c r="F10649" s="2" t="s">
        <v>11</v>
      </c>
      <c r="G10649" s="2" t="s">
        <v>23221</v>
      </c>
      <c r="H10649" s="2" t="s">
        <v>23222</v>
      </c>
    </row>
    <row r="10650" spans="1:8" ht="25.05" customHeight="1" x14ac:dyDescent="0.25">
      <c r="A10650" s="2" t="s">
        <v>8</v>
      </c>
      <c r="B10650" s="2" t="str">
        <f>HYPERLINK("http://ts.21cn.com/tousu/show/id/1341876","私自扣款")</f>
        <v>私自扣款</v>
      </c>
      <c r="C10650" s="2" t="s">
        <v>9</v>
      </c>
      <c r="D10650" s="2" t="s">
        <v>10</v>
      </c>
      <c r="E10650" s="2" t="str">
        <f>HYPERLINK("http://ts.21cn.com/tousu/show/id/1341876","http://ts.21cn.com/tousu/show/id/1341876")</f>
        <v>http://ts.21cn.com/tousu/show/id/1341876</v>
      </c>
      <c r="F10650" s="2" t="s">
        <v>11</v>
      </c>
      <c r="G10650" s="2" t="s">
        <v>23219</v>
      </c>
      <c r="H10650" s="2" t="s">
        <v>23220</v>
      </c>
    </row>
    <row r="10651" spans="1:8" ht="25.05" customHeight="1" x14ac:dyDescent="0.25">
      <c r="A10651" s="2" t="s">
        <v>8</v>
      </c>
      <c r="B10651" s="2" t="str">
        <f>HYPERLINK("http://ts.21cn.com/tousu/show/id/1341878","平安普惠恶意催款")</f>
        <v>平安普惠恶意催款</v>
      </c>
      <c r="C10651" s="2" t="s">
        <v>9</v>
      </c>
      <c r="D10651" s="2" t="s">
        <v>10</v>
      </c>
      <c r="E10651" s="2" t="str">
        <f>HYPERLINK("http://ts.21cn.com/tousu/show/id/1341878","http://ts.21cn.com/tousu/show/id/1341878")</f>
        <v>http://ts.21cn.com/tousu/show/id/1341878</v>
      </c>
      <c r="F10651" s="2" t="s">
        <v>11</v>
      </c>
      <c r="G10651" s="2" t="s">
        <v>23217</v>
      </c>
      <c r="H10651" s="2" t="s">
        <v>23218</v>
      </c>
    </row>
    <row r="10652" spans="1:8" ht="25.05" customHeight="1" x14ac:dyDescent="0.25">
      <c r="A10652" s="2" t="s">
        <v>8</v>
      </c>
      <c r="B10652" s="2" t="str">
        <f>HYPERLINK("http://ts.21cn.com/tousu/show/id/1341879","提前结清减免费用")</f>
        <v>提前结清减免费用</v>
      </c>
      <c r="C10652" s="2" t="s">
        <v>9</v>
      </c>
      <c r="D10652" s="2" t="s">
        <v>10</v>
      </c>
      <c r="E10652" s="2" t="str">
        <f>HYPERLINK("http://ts.21cn.com/tousu/show/id/1341879","http://ts.21cn.com/tousu/show/id/1341879")</f>
        <v>http://ts.21cn.com/tousu/show/id/1341879</v>
      </c>
      <c r="F10652" s="2" t="s">
        <v>11</v>
      </c>
      <c r="G10652" s="2" t="s">
        <v>23215</v>
      </c>
      <c r="H10652" s="2" t="s">
        <v>23216</v>
      </c>
    </row>
    <row r="10653" spans="1:8" ht="25.05" customHeight="1" x14ac:dyDescent="0.25">
      <c r="A10653" s="2" t="s">
        <v>8</v>
      </c>
      <c r="B10653" s="2" t="str">
        <f>HYPERLINK("http://ts.21cn.com/tousu/show/id/1341882","百事普惠无故扣款")</f>
        <v>百事普惠无故扣款</v>
      </c>
      <c r="C10653" s="2" t="s">
        <v>34</v>
      </c>
      <c r="D10653" s="2" t="s">
        <v>10</v>
      </c>
      <c r="E10653" s="2" t="str">
        <f>HYPERLINK("http://ts.21cn.com/tousu/show/id/1341882","http://ts.21cn.com/tousu/show/id/1341882")</f>
        <v>http://ts.21cn.com/tousu/show/id/1341882</v>
      </c>
      <c r="F10653" s="2" t="s">
        <v>11</v>
      </c>
      <c r="G10653" s="2" t="s">
        <v>23213</v>
      </c>
      <c r="H10653" s="2" t="s">
        <v>23214</v>
      </c>
    </row>
    <row r="10654" spans="1:8" ht="25.05" customHeight="1" x14ac:dyDescent="0.25">
      <c r="A10654" s="2" t="s">
        <v>8</v>
      </c>
      <c r="B10654" s="2" t="str">
        <f>HYPERLINK("http://ts.21cn.com/tousu/show/id/1341883","你我贷暴力催收威胁")</f>
        <v>你我贷暴力催收威胁</v>
      </c>
      <c r="C10654" s="2" t="s">
        <v>9</v>
      </c>
      <c r="D10654" s="2" t="s">
        <v>10</v>
      </c>
      <c r="E10654" s="2" t="str">
        <f>HYPERLINK("http://ts.21cn.com/tousu/show/id/1341883","http://ts.21cn.com/tousu/show/id/1341883")</f>
        <v>http://ts.21cn.com/tousu/show/id/1341883</v>
      </c>
      <c r="F10654" s="2" t="s">
        <v>11</v>
      </c>
      <c r="G10654" s="2" t="s">
        <v>23211</v>
      </c>
      <c r="H10654" s="2" t="s">
        <v>23212</v>
      </c>
    </row>
    <row r="10655" spans="1:8" ht="25.05" customHeight="1" x14ac:dyDescent="0.25">
      <c r="A10655" s="2" t="s">
        <v>8</v>
      </c>
      <c r="B10655" s="2" t="str">
        <f>HYPERLINK("http://ts.21cn.com/tousu/show/id/1341884","指上旅行砍头息")</f>
        <v>指上旅行砍头息</v>
      </c>
      <c r="C10655" s="2" t="s">
        <v>34</v>
      </c>
      <c r="D10655" s="2" t="s">
        <v>10</v>
      </c>
      <c r="E10655" s="2" t="str">
        <f>HYPERLINK("http://ts.21cn.com/tousu/show/id/1341884","http://ts.21cn.com/tousu/show/id/1341884")</f>
        <v>http://ts.21cn.com/tousu/show/id/1341884</v>
      </c>
      <c r="F10655" s="2" t="s">
        <v>11</v>
      </c>
      <c r="G10655" s="2" t="s">
        <v>23209</v>
      </c>
      <c r="H10655" s="2" t="s">
        <v>23210</v>
      </c>
    </row>
    <row r="10656" spans="1:8" ht="25.05" customHeight="1" x14ac:dyDescent="0.25">
      <c r="A10656" s="2" t="s">
        <v>8</v>
      </c>
      <c r="B10656" s="2" t="str">
        <f>HYPERLINK("http://ts.21cn.com/tousu/show/id/1341886","玖富万卡高利贷")</f>
        <v>玖富万卡高利贷</v>
      </c>
      <c r="C10656" s="2" t="s">
        <v>9</v>
      </c>
      <c r="D10656" s="2" t="s">
        <v>10</v>
      </c>
      <c r="E10656" s="2" t="str">
        <f>HYPERLINK("http://ts.21cn.com/tousu/show/id/1341886","http://ts.21cn.com/tousu/show/id/1341886")</f>
        <v>http://ts.21cn.com/tousu/show/id/1341886</v>
      </c>
      <c r="F10656" s="2" t="s">
        <v>11</v>
      </c>
      <c r="G10656" s="2" t="s">
        <v>23207</v>
      </c>
      <c r="H10656" s="2" t="s">
        <v>23208</v>
      </c>
    </row>
    <row r="10657" spans="1:8" ht="25.05" customHeight="1" x14ac:dyDescent="0.25">
      <c r="A10657" s="2" t="s">
        <v>8</v>
      </c>
      <c r="B10657" s="2" t="str">
        <f>HYPERLINK("http://ts.21cn.com/tousu/show/id/1341887","退款")</f>
        <v>退款</v>
      </c>
      <c r="C10657" s="2" t="s">
        <v>9</v>
      </c>
      <c r="D10657" s="2" t="s">
        <v>10</v>
      </c>
      <c r="E10657" s="2" t="str">
        <f>HYPERLINK("http://ts.21cn.com/tousu/show/id/1341887","http://ts.21cn.com/tousu/show/id/1341887")</f>
        <v>http://ts.21cn.com/tousu/show/id/1341887</v>
      </c>
      <c r="F10657" s="2" t="s">
        <v>11</v>
      </c>
      <c r="G10657" s="2" t="s">
        <v>23205</v>
      </c>
      <c r="H10657" s="2" t="s">
        <v>23206</v>
      </c>
    </row>
    <row r="10658" spans="1:8" ht="25.05" customHeight="1" x14ac:dyDescent="0.25">
      <c r="A10658" s="2" t="s">
        <v>8</v>
      </c>
      <c r="B10658" s="2" t="str">
        <f>HYPERLINK("http://ts.21cn.com/tousu/show/id/1341888","及贷暴力催收")</f>
        <v>及贷暴力催收</v>
      </c>
      <c r="C10658" s="2" t="s">
        <v>9</v>
      </c>
      <c r="D10658" s="2" t="s">
        <v>10</v>
      </c>
      <c r="E10658" s="2" t="str">
        <f>HYPERLINK("http://ts.21cn.com/tousu/show/id/1341888","http://ts.21cn.com/tousu/show/id/1341888")</f>
        <v>http://ts.21cn.com/tousu/show/id/1341888</v>
      </c>
      <c r="F10658" s="2" t="s">
        <v>11</v>
      </c>
      <c r="G10658" s="2" t="s">
        <v>23203</v>
      </c>
      <c r="H10658" s="2" t="s">
        <v>23204</v>
      </c>
    </row>
    <row r="10659" spans="1:8" ht="25.05" customHeight="1" x14ac:dyDescent="0.25">
      <c r="A10659" s="2" t="s">
        <v>8</v>
      </c>
      <c r="B10659" s="2" t="str">
        <f>HYPERLINK("http://ts.21cn.com/tousu/show/id/1341890","中信银行信用卡催收逼死人")</f>
        <v>中信银行信用卡催收逼死人</v>
      </c>
      <c r="C10659" s="2" t="s">
        <v>9</v>
      </c>
      <c r="D10659" s="2" t="s">
        <v>10</v>
      </c>
      <c r="E10659" s="2" t="str">
        <f>HYPERLINK("http://ts.21cn.com/tousu/show/id/1341890","http://ts.21cn.com/tousu/show/id/1341890")</f>
        <v>http://ts.21cn.com/tousu/show/id/1341890</v>
      </c>
      <c r="F10659" s="2" t="s">
        <v>11</v>
      </c>
      <c r="G10659" s="2" t="s">
        <v>23201</v>
      </c>
      <c r="H10659" s="2" t="s">
        <v>23202</v>
      </c>
    </row>
    <row r="10660" spans="1:8" ht="25.05" customHeight="1" x14ac:dyDescent="0.25">
      <c r="A10660" s="2" t="s">
        <v>8</v>
      </c>
      <c r="B10660" s="2" t="str">
        <f>HYPERLINK("http://ts.21cn.com/tousu/show/id/1341891","玖富万卡，高利贷阴阳合同暴力催收报通话录")</f>
        <v>玖富万卡，高利贷阴阳合同暴力催收报通话录</v>
      </c>
      <c r="C10660" s="2" t="s">
        <v>9</v>
      </c>
      <c r="D10660" s="2" t="s">
        <v>10</v>
      </c>
      <c r="E10660" s="2" t="str">
        <f>HYPERLINK("http://ts.21cn.com/tousu/show/id/1341891","http://ts.21cn.com/tousu/show/id/1341891")</f>
        <v>http://ts.21cn.com/tousu/show/id/1341891</v>
      </c>
      <c r="F10660" s="2" t="s">
        <v>11</v>
      </c>
      <c r="G10660" s="2" t="s">
        <v>23199</v>
      </c>
      <c r="H10660" s="2" t="s">
        <v>23200</v>
      </c>
    </row>
    <row r="10661" spans="1:8" ht="25.05" customHeight="1" x14ac:dyDescent="0.25">
      <c r="A10661" s="2" t="s">
        <v>8</v>
      </c>
      <c r="B10661" s="2" t="str">
        <f>HYPERLINK("http://ts.21cn.com/tousu/show/id/1341893","小米金融短信骚扰无关人士")</f>
        <v>小米金融短信骚扰无关人士</v>
      </c>
      <c r="C10661" s="2" t="s">
        <v>9</v>
      </c>
      <c r="D10661" s="2" t="s">
        <v>10</v>
      </c>
      <c r="E10661" s="2" t="str">
        <f>HYPERLINK("http://ts.21cn.com/tousu/show/id/1341893","http://ts.21cn.com/tousu/show/id/1341893")</f>
        <v>http://ts.21cn.com/tousu/show/id/1341893</v>
      </c>
      <c r="F10661" s="2" t="s">
        <v>11</v>
      </c>
      <c r="G10661" s="2" t="s">
        <v>23197</v>
      </c>
      <c r="H10661" s="2" t="s">
        <v>23198</v>
      </c>
    </row>
    <row r="10662" spans="1:8" ht="25.05" customHeight="1" x14ac:dyDescent="0.25">
      <c r="A10662" s="2" t="s">
        <v>8</v>
      </c>
      <c r="B10662" s="2" t="str">
        <f>HYPERLINK("http://ts.21cn.com/tousu/show/id/1341892","要求钱橙无忧退还个人风险评估费")</f>
        <v>要求钱橙无忧退还个人风险评估费</v>
      </c>
      <c r="C10662" s="2" t="s">
        <v>9</v>
      </c>
      <c r="D10662" s="2" t="s">
        <v>10</v>
      </c>
      <c r="E10662" s="2" t="str">
        <f>HYPERLINK("http://ts.21cn.com/tousu/show/id/1341892","http://ts.21cn.com/tousu/show/id/1341892")</f>
        <v>http://ts.21cn.com/tousu/show/id/1341892</v>
      </c>
      <c r="F10662" s="2" t="s">
        <v>11</v>
      </c>
      <c r="G10662" s="2" t="s">
        <v>23195</v>
      </c>
      <c r="H10662" s="2" t="s">
        <v>23196</v>
      </c>
    </row>
    <row r="10663" spans="1:8" ht="25.05" customHeight="1" x14ac:dyDescent="0.25">
      <c r="A10663" s="2" t="s">
        <v>8</v>
      </c>
      <c r="B10663" s="2" t="str">
        <f>HYPERLINK("http://ts.21cn.com/tousu/show/id/1341894","暴力催收，利息高达3142元")</f>
        <v>暴力催收，利息高达3142元</v>
      </c>
      <c r="C10663" s="2" t="s">
        <v>9</v>
      </c>
      <c r="D10663" s="2" t="s">
        <v>10</v>
      </c>
      <c r="E10663" s="2" t="str">
        <f>HYPERLINK("http://ts.21cn.com/tousu/show/id/1341894","http://ts.21cn.com/tousu/show/id/1341894")</f>
        <v>http://ts.21cn.com/tousu/show/id/1341894</v>
      </c>
      <c r="F10663" s="2" t="s">
        <v>11</v>
      </c>
      <c r="G10663" s="2" t="s">
        <v>23193</v>
      </c>
      <c r="H10663" s="2" t="s">
        <v>23194</v>
      </c>
    </row>
    <row r="10664" spans="1:8" ht="25.05" customHeight="1" x14ac:dyDescent="0.25">
      <c r="A10664" s="2" t="s">
        <v>8</v>
      </c>
      <c r="B10664" s="2" t="str">
        <f>HYPERLINK("http://ts.21cn.com/tousu/show/id/1341895","洋钱罐现金借款利息畸高要求返还不合法利息")</f>
        <v>洋钱罐现金借款利息畸高要求返还不合法利息</v>
      </c>
      <c r="C10664" s="2" t="s">
        <v>34</v>
      </c>
      <c r="D10664" s="2" t="s">
        <v>10</v>
      </c>
      <c r="E10664" s="2" t="str">
        <f>HYPERLINK("http://ts.21cn.com/tousu/show/id/1341895","http://ts.21cn.com/tousu/show/id/1341895")</f>
        <v>http://ts.21cn.com/tousu/show/id/1341895</v>
      </c>
      <c r="F10664" s="2" t="s">
        <v>11</v>
      </c>
      <c r="G10664" s="2" t="s">
        <v>23191</v>
      </c>
      <c r="H10664" s="2" t="s">
        <v>23192</v>
      </c>
    </row>
    <row r="10665" spans="1:8" ht="25.05" customHeight="1" x14ac:dyDescent="0.25">
      <c r="A10665" s="2" t="s">
        <v>8</v>
      </c>
      <c r="B10665" s="2" t="str">
        <f>HYPERLINK("http://ts.21cn.com/tousu/show/id/1341896","714高炮砍头息")</f>
        <v>714高炮砍头息</v>
      </c>
      <c r="C10665" s="2" t="s">
        <v>9</v>
      </c>
      <c r="D10665" s="2" t="s">
        <v>10</v>
      </c>
      <c r="E10665" s="2" t="str">
        <f>HYPERLINK("http://ts.21cn.com/tousu/show/id/1341896","http://ts.21cn.com/tousu/show/id/1341896")</f>
        <v>http://ts.21cn.com/tousu/show/id/1341896</v>
      </c>
      <c r="F10665" s="2" t="s">
        <v>11</v>
      </c>
      <c r="G10665" s="2" t="s">
        <v>23189</v>
      </c>
      <c r="H10665" s="2" t="s">
        <v>23190</v>
      </c>
    </row>
    <row r="10666" spans="1:8" ht="25.05" customHeight="1" x14ac:dyDescent="0.25">
      <c r="A10666" s="2" t="s">
        <v>8</v>
      </c>
      <c r="B10666" s="2" t="str">
        <f>HYPERLINK("http://ts.21cn.com/tousu/show/id/1341897","未联系我直接联系我通讯录，不同意协商还款，高利息")</f>
        <v>未联系我直接联系我通讯录，不同意协商还款，高利息</v>
      </c>
      <c r="C10666" s="2" t="s">
        <v>9</v>
      </c>
      <c r="D10666" s="2" t="s">
        <v>10</v>
      </c>
      <c r="E10666" s="2" t="str">
        <f>HYPERLINK("http://ts.21cn.com/tousu/show/id/1341897","http://ts.21cn.com/tousu/show/id/1341897")</f>
        <v>http://ts.21cn.com/tousu/show/id/1341897</v>
      </c>
      <c r="F10666" s="2" t="s">
        <v>11</v>
      </c>
      <c r="G10666" s="2" t="s">
        <v>23187</v>
      </c>
      <c r="H10666" s="2" t="s">
        <v>23188</v>
      </c>
    </row>
    <row r="10667" spans="1:8" ht="25.05" customHeight="1" x14ac:dyDescent="0.25">
      <c r="A10667" s="2" t="s">
        <v>8</v>
      </c>
      <c r="B10667" s="2" t="str">
        <f>HYPERLINK("http://ts.21cn.com/tousu/show/id/1341898","凡普信贷砍头息高利贷")</f>
        <v>凡普信贷砍头息高利贷</v>
      </c>
      <c r="C10667" s="2" t="s">
        <v>9</v>
      </c>
      <c r="D10667" s="2" t="s">
        <v>10</v>
      </c>
      <c r="E10667" s="2" t="str">
        <f>HYPERLINK("http://ts.21cn.com/tousu/show/id/1341898","http://ts.21cn.com/tousu/show/id/1341898")</f>
        <v>http://ts.21cn.com/tousu/show/id/1341898</v>
      </c>
      <c r="F10667" s="2" t="s">
        <v>11</v>
      </c>
      <c r="G10667" s="2" t="s">
        <v>23185</v>
      </c>
      <c r="H10667" s="2" t="s">
        <v>23186</v>
      </c>
    </row>
    <row r="10668" spans="1:8" ht="25.05" customHeight="1" x14ac:dyDescent="0.25">
      <c r="A10668" s="2" t="s">
        <v>8</v>
      </c>
      <c r="B10668" s="2" t="str">
        <f>HYPERLINK("http://ts.21cn.com/tousu/show/id/1341899","华夏信财")</f>
        <v>华夏信财</v>
      </c>
      <c r="C10668" s="2" t="s">
        <v>34</v>
      </c>
      <c r="D10668" s="2" t="s">
        <v>10</v>
      </c>
      <c r="E10668" s="2" t="str">
        <f>HYPERLINK("http://ts.21cn.com/tousu/show/id/1341899","http://ts.21cn.com/tousu/show/id/1341899")</f>
        <v>http://ts.21cn.com/tousu/show/id/1341899</v>
      </c>
      <c r="F10668" s="2" t="s">
        <v>11</v>
      </c>
      <c r="G10668" s="2" t="s">
        <v>23183</v>
      </c>
      <c r="H10668" s="2" t="s">
        <v>23184</v>
      </c>
    </row>
    <row r="10669" spans="1:8" ht="25.05" customHeight="1" x14ac:dyDescent="0.25">
      <c r="A10669" s="2" t="s">
        <v>8</v>
      </c>
      <c r="B10669" s="2" t="str">
        <f>HYPERLINK("http://ts.21cn.com/tousu/show/id/1341900","速金服。高利贷，阴阳合同，无视法律法规")</f>
        <v>速金服。高利贷，阴阳合同，无视法律法规</v>
      </c>
      <c r="C10669" s="2" t="s">
        <v>9</v>
      </c>
      <c r="D10669" s="2" t="s">
        <v>10</v>
      </c>
      <c r="E10669" s="2" t="str">
        <f>HYPERLINK("http://ts.21cn.com/tousu/show/id/1341900","http://ts.21cn.com/tousu/show/id/1341900")</f>
        <v>http://ts.21cn.com/tousu/show/id/1341900</v>
      </c>
      <c r="F10669" s="2" t="s">
        <v>11</v>
      </c>
      <c r="G10669" s="2" t="s">
        <v>23181</v>
      </c>
      <c r="H10669" s="2" t="s">
        <v>23182</v>
      </c>
    </row>
    <row r="10670" spans="1:8" ht="25.05" customHeight="1" x14ac:dyDescent="0.25">
      <c r="A10670" s="2" t="s">
        <v>8</v>
      </c>
      <c r="B10670" s="2" t="str">
        <f>HYPERLINK("http://ts.21cn.com/tousu/show/id/1341901","温州银行卡报通讯录，影响家人和朋友")</f>
        <v>温州银行卡报通讯录，影响家人和朋友</v>
      </c>
      <c r="C10670" s="2" t="s">
        <v>9</v>
      </c>
      <c r="D10670" s="2" t="s">
        <v>10</v>
      </c>
      <c r="E10670" s="2" t="str">
        <f>HYPERLINK("http://ts.21cn.com/tousu/show/id/1341901","http://ts.21cn.com/tousu/show/id/1341901")</f>
        <v>http://ts.21cn.com/tousu/show/id/1341901</v>
      </c>
      <c r="F10670" s="2" t="s">
        <v>11</v>
      </c>
      <c r="G10670" s="2" t="s">
        <v>23179</v>
      </c>
      <c r="H10670" s="2" t="s">
        <v>23180</v>
      </c>
    </row>
    <row r="10671" spans="1:8" ht="25.05" customHeight="1" x14ac:dyDescent="0.25">
      <c r="A10671" s="2" t="s">
        <v>8</v>
      </c>
      <c r="B10671" s="2" t="str">
        <f>HYPERLINK("http://ts.21cn.com/tousu/show/id/1341902","拒绝注销账号。")</f>
        <v>拒绝注销账号。</v>
      </c>
      <c r="C10671" s="2" t="s">
        <v>34</v>
      </c>
      <c r="D10671" s="2" t="s">
        <v>10</v>
      </c>
      <c r="E10671" s="2" t="str">
        <f>HYPERLINK("http://ts.21cn.com/tousu/show/id/1341902","http://ts.21cn.com/tousu/show/id/1341902")</f>
        <v>http://ts.21cn.com/tousu/show/id/1341902</v>
      </c>
      <c r="F10671" s="2" t="s">
        <v>11</v>
      </c>
      <c r="G10671" s="2" t="s">
        <v>23177</v>
      </c>
      <c r="H10671" s="2" t="s">
        <v>23178</v>
      </c>
    </row>
    <row r="10672" spans="1:8" ht="25.05" customHeight="1" x14ac:dyDescent="0.25">
      <c r="A10672" s="2" t="s">
        <v>8</v>
      </c>
      <c r="B10672" s="2" t="str">
        <f>HYPERLINK("http://ts.21cn.com/tousu/show/id/1341903","别人借钱，不停的电话骚扰我！严重影响我的生活了")</f>
        <v>别人借钱，不停的电话骚扰我！严重影响我的生活了</v>
      </c>
      <c r="C10672" s="2" t="s">
        <v>9</v>
      </c>
      <c r="D10672" s="2" t="s">
        <v>10</v>
      </c>
      <c r="E10672" s="2" t="str">
        <f>HYPERLINK("http://ts.21cn.com/tousu/show/id/1341903","http://ts.21cn.com/tousu/show/id/1341903")</f>
        <v>http://ts.21cn.com/tousu/show/id/1341903</v>
      </c>
      <c r="F10672" s="2" t="s">
        <v>11</v>
      </c>
      <c r="G10672" s="2" t="s">
        <v>23175</v>
      </c>
      <c r="H10672" s="2" t="s">
        <v>23176</v>
      </c>
    </row>
    <row r="10673" spans="1:8" ht="25.05" customHeight="1" x14ac:dyDescent="0.25">
      <c r="A10673" s="2" t="s">
        <v>8</v>
      </c>
      <c r="B10673" s="2" t="str">
        <f>HYPERLINK("http://ts.21cn.com/tousu/show/id/1341904","拼多多天天领现金活动虚假诱导")</f>
        <v>拼多多天天领现金活动虚假诱导</v>
      </c>
      <c r="C10673" s="2" t="s">
        <v>9</v>
      </c>
      <c r="D10673" s="2" t="s">
        <v>10</v>
      </c>
      <c r="E10673" s="2" t="str">
        <f>HYPERLINK("http://ts.21cn.com/tousu/show/id/1341904","http://ts.21cn.com/tousu/show/id/1341904")</f>
        <v>http://ts.21cn.com/tousu/show/id/1341904</v>
      </c>
      <c r="F10673" s="2" t="s">
        <v>11</v>
      </c>
      <c r="G10673" s="2" t="s">
        <v>23173</v>
      </c>
      <c r="H10673" s="2" t="s">
        <v>23174</v>
      </c>
    </row>
    <row r="10674" spans="1:8" ht="25.05" customHeight="1" x14ac:dyDescent="0.25">
      <c r="A10674" s="2" t="s">
        <v>8</v>
      </c>
      <c r="B10674" s="2" t="str">
        <f>HYPERLINK("http://ts.21cn.com/tousu/show/id/1341906","辱骂家人")</f>
        <v>辱骂家人</v>
      </c>
      <c r="C10674" s="2" t="s">
        <v>9</v>
      </c>
      <c r="D10674" s="2" t="s">
        <v>10</v>
      </c>
      <c r="E10674" s="2" t="str">
        <f>HYPERLINK("http://ts.21cn.com/tousu/show/id/1341906","http://ts.21cn.com/tousu/show/id/1341906")</f>
        <v>http://ts.21cn.com/tousu/show/id/1341906</v>
      </c>
      <c r="F10674" s="2" t="s">
        <v>11</v>
      </c>
      <c r="G10674" s="2" t="s">
        <v>23171</v>
      </c>
      <c r="H10674" s="2" t="s">
        <v>23172</v>
      </c>
    </row>
    <row r="10675" spans="1:8" ht="25.05" customHeight="1" x14ac:dyDescent="0.25">
      <c r="A10675" s="2" t="s">
        <v>8</v>
      </c>
      <c r="B10675" s="2" t="str">
        <f>HYPERLINK("http://ts.21cn.com/tousu/show/id/1341907","微品分期还款失败联系不到客服导致逾期")</f>
        <v>微品分期还款失败联系不到客服导致逾期</v>
      </c>
      <c r="C10675" s="2" t="s">
        <v>9</v>
      </c>
      <c r="D10675" s="2" t="s">
        <v>10</v>
      </c>
      <c r="E10675" s="2" t="str">
        <f>HYPERLINK("http://ts.21cn.com/tousu/show/id/1341907","http://ts.21cn.com/tousu/show/id/1341907")</f>
        <v>http://ts.21cn.com/tousu/show/id/1341907</v>
      </c>
      <c r="F10675" s="2" t="s">
        <v>11</v>
      </c>
      <c r="G10675" s="2" t="s">
        <v>23169</v>
      </c>
      <c r="H10675" s="2" t="s">
        <v>23170</v>
      </c>
    </row>
    <row r="10676" spans="1:8" ht="25.05" customHeight="1" x14ac:dyDescent="0.25">
      <c r="A10676" s="2" t="s">
        <v>8</v>
      </c>
      <c r="B10676" s="2" t="str">
        <f>HYPERLINK("http://ts.21cn.com/tousu/show/id/1341908","中腾信还款日未过，威胁爆通讯录")</f>
        <v>中腾信还款日未过，威胁爆通讯录</v>
      </c>
      <c r="C10676" s="2" t="s">
        <v>9</v>
      </c>
      <c r="D10676" s="2" t="s">
        <v>10</v>
      </c>
      <c r="E10676" s="2" t="str">
        <f>HYPERLINK("http://ts.21cn.com/tousu/show/id/1341908","http://ts.21cn.com/tousu/show/id/1341908")</f>
        <v>http://ts.21cn.com/tousu/show/id/1341908</v>
      </c>
      <c r="F10676" s="2" t="s">
        <v>11</v>
      </c>
      <c r="G10676" s="2" t="s">
        <v>23167</v>
      </c>
      <c r="H10676" s="2" t="s">
        <v>23168</v>
      </c>
    </row>
    <row r="10677" spans="1:8" ht="25.05" customHeight="1" x14ac:dyDescent="0.25">
      <c r="A10677" s="2" t="s">
        <v>8</v>
      </c>
      <c r="B10677" s="2" t="str">
        <f>HYPERLINK("http://ts.21cn.com/tousu/show/id/1341909","喜鹊快贷高利息暴力催收")</f>
        <v>喜鹊快贷高利息暴力催收</v>
      </c>
      <c r="C10677" s="2" t="s">
        <v>9</v>
      </c>
      <c r="D10677" s="2" t="s">
        <v>10</v>
      </c>
      <c r="E10677" s="2" t="str">
        <f>HYPERLINK("http://ts.21cn.com/tousu/show/id/1341909","http://ts.21cn.com/tousu/show/id/1341909")</f>
        <v>http://ts.21cn.com/tousu/show/id/1341909</v>
      </c>
      <c r="F10677" s="2" t="s">
        <v>11</v>
      </c>
      <c r="G10677" s="2" t="s">
        <v>23165</v>
      </c>
      <c r="H10677" s="2" t="s">
        <v>23166</v>
      </c>
    </row>
    <row r="10678" spans="1:8" ht="25.05" customHeight="1" x14ac:dyDescent="0.25">
      <c r="A10678" s="2" t="s">
        <v>8</v>
      </c>
      <c r="B10678" s="2" t="str">
        <f>HYPERLINK("http://ts.21cn.com/tousu/show/id/1341911","信用管家里面的豹子贷登录app盗取信息银行卡钱财！")</f>
        <v>信用管家里面的豹子贷登录app盗取信息银行卡钱财！</v>
      </c>
      <c r="C10678" s="2" t="s">
        <v>9</v>
      </c>
      <c r="D10678" s="2" t="s">
        <v>10</v>
      </c>
      <c r="E10678" s="2" t="str">
        <f>HYPERLINK("http://ts.21cn.com/tousu/show/id/1341911","http://ts.21cn.com/tousu/show/id/1341911")</f>
        <v>http://ts.21cn.com/tousu/show/id/1341911</v>
      </c>
      <c r="F10678" s="2" t="s">
        <v>11</v>
      </c>
      <c r="G10678" s="2" t="s">
        <v>23163</v>
      </c>
      <c r="H10678" s="2" t="s">
        <v>23164</v>
      </c>
    </row>
    <row r="10679" spans="1:8" ht="25.05" customHeight="1" x14ac:dyDescent="0.25">
      <c r="A10679" s="2" t="s">
        <v>8</v>
      </c>
      <c r="B10679" s="2" t="str">
        <f>HYPERLINK("http://ts.21cn.com/tousu/show/id/1341912","小浦优客未经同意扣款")</f>
        <v>小浦优客未经同意扣款</v>
      </c>
      <c r="C10679" s="2" t="s">
        <v>34</v>
      </c>
      <c r="D10679" s="2" t="s">
        <v>10</v>
      </c>
      <c r="E10679" s="2" t="str">
        <f>HYPERLINK("http://ts.21cn.com/tousu/show/id/1341912","http://ts.21cn.com/tousu/show/id/1341912")</f>
        <v>http://ts.21cn.com/tousu/show/id/1341912</v>
      </c>
      <c r="F10679" s="2" t="s">
        <v>11</v>
      </c>
      <c r="G10679" s="2" t="s">
        <v>23161</v>
      </c>
      <c r="H10679" s="2" t="s">
        <v>23162</v>
      </c>
    </row>
    <row r="10680" spans="1:8" ht="25.05" customHeight="1" x14ac:dyDescent="0.25">
      <c r="A10680" s="2" t="s">
        <v>8</v>
      </c>
      <c r="B10680" s="2" t="str">
        <f>HYPERLINK("http://ts.21cn.com/tousu/show/id/1341913","上海造艺网络技术有限公司")</f>
        <v>上海造艺网络技术有限公司</v>
      </c>
      <c r="C10680" s="2" t="s">
        <v>9</v>
      </c>
      <c r="D10680" s="2" t="s">
        <v>10</v>
      </c>
      <c r="E10680" s="2" t="str">
        <f>HYPERLINK("http://ts.21cn.com/tousu/show/id/1341913","http://ts.21cn.com/tousu/show/id/1341913")</f>
        <v>http://ts.21cn.com/tousu/show/id/1341913</v>
      </c>
      <c r="F10680" s="2" t="s">
        <v>11</v>
      </c>
      <c r="G10680" s="2" t="s">
        <v>23159</v>
      </c>
      <c r="H10680" s="2" t="s">
        <v>23160</v>
      </c>
    </row>
    <row r="10681" spans="1:8" ht="25.05" customHeight="1" x14ac:dyDescent="0.25">
      <c r="A10681" s="2" t="s">
        <v>8</v>
      </c>
      <c r="B10681" s="2" t="str">
        <f>HYPERLINK("http://ts.21cn.com/tousu/show/id/1341914","捷信被恶意贷款")</f>
        <v>捷信被恶意贷款</v>
      </c>
      <c r="C10681" s="2" t="s">
        <v>9</v>
      </c>
      <c r="D10681" s="2" t="s">
        <v>10</v>
      </c>
      <c r="E10681" s="2" t="str">
        <f>HYPERLINK("http://ts.21cn.com/tousu/show/id/1341914","http://ts.21cn.com/tousu/show/id/1341914")</f>
        <v>http://ts.21cn.com/tousu/show/id/1341914</v>
      </c>
      <c r="F10681" s="2" t="s">
        <v>11</v>
      </c>
      <c r="G10681" s="2" t="s">
        <v>23157</v>
      </c>
      <c r="H10681" s="2" t="s">
        <v>23158</v>
      </c>
    </row>
    <row r="10682" spans="1:8" ht="25.05" customHeight="1" x14ac:dyDescent="0.25">
      <c r="A10682" s="2" t="s">
        <v>8</v>
      </c>
      <c r="B10682" s="2" t="str">
        <f>HYPERLINK("http://ts.21cn.com/tousu/show/id/1341917","未经授权骚扰通讯录联系人")</f>
        <v>未经授权骚扰通讯录联系人</v>
      </c>
      <c r="C10682" s="2" t="s">
        <v>9</v>
      </c>
      <c r="D10682" s="2" t="s">
        <v>10</v>
      </c>
      <c r="E10682" s="2" t="str">
        <f>HYPERLINK("http://ts.21cn.com/tousu/show/id/1341917","http://ts.21cn.com/tousu/show/id/1341917")</f>
        <v>http://ts.21cn.com/tousu/show/id/1341917</v>
      </c>
      <c r="F10682" s="2" t="s">
        <v>11</v>
      </c>
      <c r="G10682" s="2" t="s">
        <v>23155</v>
      </c>
      <c r="H10682" s="2" t="s">
        <v>23156</v>
      </c>
    </row>
    <row r="10683" spans="1:8" ht="25.05" customHeight="1" x14ac:dyDescent="0.25">
      <c r="A10683" s="2" t="s">
        <v>8</v>
      </c>
      <c r="B10683" s="2" t="str">
        <f>HYPERLINK("http://ts.21cn.com/tousu/show/id/1341910","自动交保证金")</f>
        <v>自动交保证金</v>
      </c>
      <c r="C10683" s="2" t="s">
        <v>9</v>
      </c>
      <c r="D10683" s="2" t="s">
        <v>10</v>
      </c>
      <c r="E10683" s="2" t="str">
        <f>HYPERLINK("http://ts.21cn.com/tousu/show/id/1341910","http://ts.21cn.com/tousu/show/id/1341910")</f>
        <v>http://ts.21cn.com/tousu/show/id/1341910</v>
      </c>
      <c r="F10683" s="2" t="s">
        <v>11</v>
      </c>
      <c r="G10683" s="2" t="s">
        <v>23153</v>
      </c>
      <c r="H10683" s="2" t="s">
        <v>23154</v>
      </c>
    </row>
    <row r="10684" spans="1:8" ht="25.05" customHeight="1" x14ac:dyDescent="0.25">
      <c r="A10684" s="2" t="s">
        <v>8</v>
      </c>
      <c r="B10684" s="2" t="str">
        <f>HYPERLINK("http://ts.21cn.com/tousu/show/id/1341915","浦发信用卡卡")</f>
        <v>浦发信用卡卡</v>
      </c>
      <c r="C10684" s="2" t="s">
        <v>9</v>
      </c>
      <c r="D10684" s="2" t="s">
        <v>10</v>
      </c>
      <c r="E10684" s="2" t="str">
        <f>HYPERLINK("http://ts.21cn.com/tousu/show/id/1341915","http://ts.21cn.com/tousu/show/id/1341915")</f>
        <v>http://ts.21cn.com/tousu/show/id/1341915</v>
      </c>
      <c r="F10684" s="2" t="s">
        <v>11</v>
      </c>
      <c r="G10684" s="2" t="s">
        <v>23151</v>
      </c>
      <c r="H10684" s="2" t="s">
        <v>23152</v>
      </c>
    </row>
    <row r="10685" spans="1:8" ht="25.05" customHeight="1" x14ac:dyDescent="0.25">
      <c r="A10685" s="2" t="s">
        <v>8</v>
      </c>
      <c r="B10685" s="2" t="str">
        <f>HYPERLINK("http://ts.21cn.com/tousu/show/id/1341918","好易贷高利贷")</f>
        <v>好易贷高利贷</v>
      </c>
      <c r="C10685" s="2" t="s">
        <v>9</v>
      </c>
      <c r="D10685" s="2" t="s">
        <v>10</v>
      </c>
      <c r="E10685" s="2" t="str">
        <f>HYPERLINK("http://ts.21cn.com/tousu/show/id/1341918","http://ts.21cn.com/tousu/show/id/1341918")</f>
        <v>http://ts.21cn.com/tousu/show/id/1341918</v>
      </c>
      <c r="F10685" s="2" t="s">
        <v>11</v>
      </c>
      <c r="G10685" s="2" t="s">
        <v>23149</v>
      </c>
      <c r="H10685" s="2" t="s">
        <v>23150</v>
      </c>
    </row>
    <row r="10686" spans="1:8" ht="25.05" customHeight="1" x14ac:dyDescent="0.25">
      <c r="A10686" s="2" t="s">
        <v>8</v>
      </c>
      <c r="B10686" s="2" t="str">
        <f>HYPERLINK("http://ts.21cn.com/tousu/show/id/1341919","读秒电话骚扰")</f>
        <v>读秒电话骚扰</v>
      </c>
      <c r="C10686" s="2" t="s">
        <v>9</v>
      </c>
      <c r="D10686" s="2" t="s">
        <v>10</v>
      </c>
      <c r="E10686" s="2" t="str">
        <f>HYPERLINK("http://ts.21cn.com/tousu/show/id/1341919","http://ts.21cn.com/tousu/show/id/1341919")</f>
        <v>http://ts.21cn.com/tousu/show/id/1341919</v>
      </c>
      <c r="F10686" s="2" t="s">
        <v>11</v>
      </c>
      <c r="G10686" s="2" t="s">
        <v>23147</v>
      </c>
      <c r="H10686" s="2" t="s">
        <v>23148</v>
      </c>
    </row>
    <row r="10687" spans="1:8" ht="25.05" customHeight="1" x14ac:dyDescent="0.25">
      <c r="A10687" s="2" t="s">
        <v>8</v>
      </c>
      <c r="B10687" s="2" t="str">
        <f>HYPERLINK("http://ts.21cn.com/tousu/show/id/1341920","支付宝催收不成就搞这种事")</f>
        <v>支付宝催收不成就搞这种事</v>
      </c>
      <c r="C10687" s="2" t="s">
        <v>9</v>
      </c>
      <c r="D10687" s="2" t="s">
        <v>10</v>
      </c>
      <c r="E10687" s="2" t="str">
        <f>HYPERLINK("http://ts.21cn.com/tousu/show/id/1341920","http://ts.21cn.com/tousu/show/id/1341920")</f>
        <v>http://ts.21cn.com/tousu/show/id/1341920</v>
      </c>
      <c r="F10687" s="2" t="s">
        <v>11</v>
      </c>
      <c r="G10687" s="2" t="s">
        <v>23145</v>
      </c>
      <c r="H10687" s="2" t="s">
        <v>23146</v>
      </c>
    </row>
    <row r="10688" spans="1:8" ht="25.05" customHeight="1" x14ac:dyDescent="0.25">
      <c r="A10688" s="2" t="s">
        <v>8</v>
      </c>
      <c r="B10688" s="2" t="str">
        <f>HYPERLINK("http://ts.21cn.com/tousu/show/id/1341921","投诉小浦优客未经允许私自扣钱")</f>
        <v>投诉小浦优客未经允许私自扣钱</v>
      </c>
      <c r="C10688" s="2" t="s">
        <v>9</v>
      </c>
      <c r="D10688" s="2" t="s">
        <v>10</v>
      </c>
      <c r="E10688" s="2" t="str">
        <f>HYPERLINK("http://ts.21cn.com/tousu/show/id/1341921","http://ts.21cn.com/tousu/show/id/1341921")</f>
        <v>http://ts.21cn.com/tousu/show/id/1341921</v>
      </c>
      <c r="F10688" s="2" t="s">
        <v>11</v>
      </c>
      <c r="G10688" s="2" t="s">
        <v>23143</v>
      </c>
      <c r="H10688" s="2" t="s">
        <v>23144</v>
      </c>
    </row>
    <row r="10689" spans="1:8" ht="25.05" customHeight="1" x14ac:dyDescent="0.25">
      <c r="A10689" s="2" t="s">
        <v>8</v>
      </c>
      <c r="B10689" s="2" t="str">
        <f>HYPERLINK("http://ts.21cn.com/tousu/show/id/1341922","淘宝商家售假")</f>
        <v>淘宝商家售假</v>
      </c>
      <c r="C10689" s="2" t="s">
        <v>9</v>
      </c>
      <c r="D10689" s="2" t="s">
        <v>10</v>
      </c>
      <c r="E10689" s="2" t="str">
        <f>HYPERLINK("http://ts.21cn.com/tousu/show/id/1341922","http://ts.21cn.com/tousu/show/id/1341922")</f>
        <v>http://ts.21cn.com/tousu/show/id/1341922</v>
      </c>
      <c r="F10689" s="2" t="s">
        <v>11</v>
      </c>
      <c r="G10689" s="2" t="s">
        <v>23141</v>
      </c>
      <c r="H10689" s="2" t="s">
        <v>23142</v>
      </c>
    </row>
    <row r="10690" spans="1:8" ht="25.05" customHeight="1" x14ac:dyDescent="0.25">
      <c r="A10690" s="2" t="s">
        <v>8</v>
      </c>
      <c r="B10690" s="2" t="str">
        <f>HYPERLINK("http://ts.21cn.com/tousu/show/id/1341923","我来贷高利贷")</f>
        <v>我来贷高利贷</v>
      </c>
      <c r="C10690" s="2" t="s">
        <v>9</v>
      </c>
      <c r="D10690" s="2" t="s">
        <v>10</v>
      </c>
      <c r="E10690" s="2" t="str">
        <f>HYPERLINK("http://ts.21cn.com/tousu/show/id/1341923","http://ts.21cn.com/tousu/show/id/1341923")</f>
        <v>http://ts.21cn.com/tousu/show/id/1341923</v>
      </c>
      <c r="F10690" s="2" t="s">
        <v>11</v>
      </c>
      <c r="G10690" s="2" t="s">
        <v>23139</v>
      </c>
      <c r="H10690" s="2" t="s">
        <v>23140</v>
      </c>
    </row>
    <row r="10691" spans="1:8" ht="25.05" customHeight="1" x14ac:dyDescent="0.25">
      <c r="A10691" s="2" t="s">
        <v>8</v>
      </c>
      <c r="B10691" s="2" t="str">
        <f>HYPERLINK("http://ts.21cn.com/tousu/show/id/1341924","投诉小米专卖店购买产品不开发票，购买后不予售后")</f>
        <v>投诉小米专卖店购买产品不开发票，购买后不予售后</v>
      </c>
      <c r="C10691" s="2" t="s">
        <v>9</v>
      </c>
      <c r="D10691" s="2" t="s">
        <v>10</v>
      </c>
      <c r="E10691" s="2" t="str">
        <f>HYPERLINK("http://ts.21cn.com/tousu/show/id/1341924","http://ts.21cn.com/tousu/show/id/1341924")</f>
        <v>http://ts.21cn.com/tousu/show/id/1341924</v>
      </c>
      <c r="F10691" s="2" t="s">
        <v>11</v>
      </c>
      <c r="G10691" s="2" t="s">
        <v>23137</v>
      </c>
      <c r="H10691" s="2" t="s">
        <v>23138</v>
      </c>
    </row>
    <row r="10692" spans="1:8" ht="25.05" customHeight="1" x14ac:dyDescent="0.25">
      <c r="A10692" s="2" t="s">
        <v>8</v>
      </c>
      <c r="B10692" s="2" t="str">
        <f>HYPERLINK("http://ts.21cn.com/tousu/show/id/1341881","及贷智享贷套路贷误导消费者")</f>
        <v>及贷智享贷套路贷误导消费者</v>
      </c>
      <c r="C10692" s="2" t="s">
        <v>9</v>
      </c>
      <c r="D10692" s="2" t="s">
        <v>10</v>
      </c>
      <c r="E10692" s="2" t="str">
        <f>HYPERLINK("http://ts.21cn.com/tousu/show/id/1341881","http://ts.21cn.com/tousu/show/id/1341881")</f>
        <v>http://ts.21cn.com/tousu/show/id/1341881</v>
      </c>
      <c r="F10692" s="2" t="s">
        <v>11</v>
      </c>
      <c r="G10692" s="2" t="s">
        <v>23135</v>
      </c>
      <c r="H10692" s="2" t="s">
        <v>23136</v>
      </c>
    </row>
    <row r="10693" spans="1:8" ht="25.05" customHeight="1" x14ac:dyDescent="0.25">
      <c r="A10693" s="2" t="s">
        <v>8</v>
      </c>
      <c r="B10693" s="2" t="str">
        <f>HYPERLINK("http://ts.21cn.com/tousu/show/id/1341925","钱站高利贷阴阳合同")</f>
        <v>钱站高利贷阴阳合同</v>
      </c>
      <c r="C10693" s="2" t="s">
        <v>9</v>
      </c>
      <c r="D10693" s="2" t="s">
        <v>10</v>
      </c>
      <c r="E10693" s="2" t="str">
        <f>HYPERLINK("http://ts.21cn.com/tousu/show/id/1341925","http://ts.21cn.com/tousu/show/id/1341925")</f>
        <v>http://ts.21cn.com/tousu/show/id/1341925</v>
      </c>
      <c r="F10693" s="2" t="s">
        <v>11</v>
      </c>
      <c r="G10693" s="2" t="s">
        <v>23133</v>
      </c>
      <c r="H10693" s="2" t="s">
        <v>23134</v>
      </c>
    </row>
    <row r="10694" spans="1:8" ht="25.05" customHeight="1" x14ac:dyDescent="0.25">
      <c r="A10694" s="2" t="s">
        <v>8</v>
      </c>
      <c r="B10694" s="2" t="str">
        <f>HYPERLINK("http://ts.21cn.com/tousu/show/id/1341926","携趣网络技术上海有限公司乱扣费")</f>
        <v>携趣网络技术上海有限公司乱扣费</v>
      </c>
      <c r="C10694" s="2" t="s">
        <v>9</v>
      </c>
      <c r="D10694" s="2" t="s">
        <v>10</v>
      </c>
      <c r="E10694" s="2" t="str">
        <f>HYPERLINK("http://ts.21cn.com/tousu/show/id/1341926","http://ts.21cn.com/tousu/show/id/1341926")</f>
        <v>http://ts.21cn.com/tousu/show/id/1341926</v>
      </c>
      <c r="F10694" s="2" t="s">
        <v>11</v>
      </c>
      <c r="G10694" s="2" t="s">
        <v>23131</v>
      </c>
      <c r="H10694" s="2" t="s">
        <v>23132</v>
      </c>
    </row>
    <row r="10695" spans="1:8" ht="25.05" customHeight="1" x14ac:dyDescent="0.25">
      <c r="A10695" s="2" t="s">
        <v>8</v>
      </c>
      <c r="B10695" s="2" t="str">
        <f>HYPERLINK("http://ts.21cn.com/tousu/show/id/1341927","百度有钱花违规催收发恐吓短信")</f>
        <v>百度有钱花违规催收发恐吓短信</v>
      </c>
      <c r="C10695" s="2" t="s">
        <v>9</v>
      </c>
      <c r="D10695" s="2" t="s">
        <v>10</v>
      </c>
      <c r="E10695" s="2" t="str">
        <f>HYPERLINK("http://ts.21cn.com/tousu/show/id/1341927","http://ts.21cn.com/tousu/show/id/1341927")</f>
        <v>http://ts.21cn.com/tousu/show/id/1341927</v>
      </c>
      <c r="F10695" s="2" t="s">
        <v>11</v>
      </c>
      <c r="G10695" s="2" t="s">
        <v>23129</v>
      </c>
      <c r="H10695" s="2" t="s">
        <v>23130</v>
      </c>
    </row>
    <row r="10696" spans="1:8" ht="25.05" customHeight="1" x14ac:dyDescent="0.25">
      <c r="A10696" s="2" t="s">
        <v>8</v>
      </c>
      <c r="B10696" s="2" t="str">
        <f>HYPERLINK("http://ts.21cn.com/tousu/show/id/1341928","小当家平台恶意催收砍头息")</f>
        <v>小当家平台恶意催收砍头息</v>
      </c>
      <c r="C10696" s="2" t="s">
        <v>9</v>
      </c>
      <c r="D10696" s="2" t="s">
        <v>10</v>
      </c>
      <c r="E10696" s="2" t="str">
        <f>HYPERLINK("http://ts.21cn.com/tousu/show/id/1341928","http://ts.21cn.com/tousu/show/id/1341928")</f>
        <v>http://ts.21cn.com/tousu/show/id/1341928</v>
      </c>
      <c r="F10696" s="2" t="s">
        <v>11</v>
      </c>
      <c r="G10696" s="2" t="s">
        <v>23127</v>
      </c>
      <c r="H10696" s="2" t="s">
        <v>23128</v>
      </c>
    </row>
    <row r="10697" spans="1:8" ht="25.05" customHeight="1" x14ac:dyDescent="0.25">
      <c r="A10697" s="2" t="s">
        <v>8</v>
      </c>
      <c r="B10697" s="2" t="str">
        <f>HYPERLINK("http://ts.21cn.com/tousu/show/id/1341930","钱站高利贷阴阳合同")</f>
        <v>钱站高利贷阴阳合同</v>
      </c>
      <c r="C10697" s="2" t="s">
        <v>9</v>
      </c>
      <c r="D10697" s="2" t="s">
        <v>10</v>
      </c>
      <c r="E10697" s="2" t="str">
        <f>HYPERLINK("http://ts.21cn.com/tousu/show/id/1341930","http://ts.21cn.com/tousu/show/id/1341930")</f>
        <v>http://ts.21cn.com/tousu/show/id/1341930</v>
      </c>
      <c r="F10697" s="2" t="s">
        <v>11</v>
      </c>
      <c r="G10697" s="2" t="s">
        <v>23125</v>
      </c>
      <c r="H10697" s="2" t="s">
        <v>23126</v>
      </c>
    </row>
    <row r="10698" spans="1:8" ht="25.05" customHeight="1" x14ac:dyDescent="0.25">
      <c r="A10698" s="2" t="s">
        <v>8</v>
      </c>
      <c r="B10698" s="2" t="str">
        <f>HYPERLINK("http://ts.21cn.com/tousu/show/id/1341931","闪电借款，暴力催收，极其恶劣，爆通讯录")</f>
        <v>闪电借款，暴力催收，极其恶劣，爆通讯录</v>
      </c>
      <c r="C10698" s="2" t="s">
        <v>9</v>
      </c>
      <c r="D10698" s="2" t="s">
        <v>10</v>
      </c>
      <c r="E10698" s="2" t="str">
        <f>HYPERLINK("http://ts.21cn.com/tousu/show/id/1341931","http://ts.21cn.com/tousu/show/id/1341931")</f>
        <v>http://ts.21cn.com/tousu/show/id/1341931</v>
      </c>
      <c r="F10698" s="2" t="s">
        <v>11</v>
      </c>
      <c r="G10698" s="2" t="s">
        <v>23123</v>
      </c>
      <c r="H10698" s="2" t="s">
        <v>23124</v>
      </c>
    </row>
    <row r="10699" spans="1:8" ht="25.05" customHeight="1" x14ac:dyDescent="0.25">
      <c r="A10699" s="2" t="s">
        <v>8</v>
      </c>
      <c r="B10699" s="2" t="str">
        <f>HYPERLINK("http://ts.21cn.com/tousu/show/id/1341932","小黄车ofo不退还押金、客服挂客户电话")</f>
        <v>小黄车ofo不退还押金、客服挂客户电话</v>
      </c>
      <c r="C10699" s="2" t="s">
        <v>34</v>
      </c>
      <c r="D10699" s="2" t="s">
        <v>10</v>
      </c>
      <c r="E10699" s="2" t="str">
        <f>HYPERLINK("http://ts.21cn.com/tousu/show/id/1341932","http://ts.21cn.com/tousu/show/id/1341932")</f>
        <v>http://ts.21cn.com/tousu/show/id/1341932</v>
      </c>
      <c r="F10699" s="2" t="s">
        <v>11</v>
      </c>
      <c r="G10699" s="2" t="s">
        <v>23121</v>
      </c>
      <c r="H10699" s="2" t="s">
        <v>23122</v>
      </c>
    </row>
    <row r="10700" spans="1:8" ht="25.05" customHeight="1" x14ac:dyDescent="0.25">
      <c r="A10700" s="2" t="s">
        <v>8</v>
      </c>
      <c r="B10700" s="2" t="str">
        <f>HYPERLINK("http://ts.21cn.com/tousu/show/id/1341933","招商银行信用卡委托第三方严重骚扰")</f>
        <v>招商银行信用卡委托第三方严重骚扰</v>
      </c>
      <c r="C10700" s="2" t="s">
        <v>9</v>
      </c>
      <c r="D10700" s="2" t="s">
        <v>10</v>
      </c>
      <c r="E10700" s="2" t="str">
        <f>HYPERLINK("http://ts.21cn.com/tousu/show/id/1341933","http://ts.21cn.com/tousu/show/id/1341933")</f>
        <v>http://ts.21cn.com/tousu/show/id/1341933</v>
      </c>
      <c r="F10700" s="2" t="s">
        <v>11</v>
      </c>
      <c r="G10700" s="2" t="s">
        <v>23119</v>
      </c>
      <c r="H10700" s="2" t="s">
        <v>23120</v>
      </c>
    </row>
    <row r="10701" spans="1:8" ht="25.05" customHeight="1" x14ac:dyDescent="0.25">
      <c r="A10701" s="2" t="s">
        <v>8</v>
      </c>
      <c r="B10701" s="2" t="str">
        <f>HYPERLINK("http://ts.21cn.com/tousu/show/id/1341934","诺诺镑客名校贷公司欺骗学生")</f>
        <v>诺诺镑客名校贷公司欺骗学生</v>
      </c>
      <c r="C10701" s="2" t="s">
        <v>9</v>
      </c>
      <c r="D10701" s="2" t="s">
        <v>10</v>
      </c>
      <c r="E10701" s="2" t="str">
        <f>HYPERLINK("http://ts.21cn.com/tousu/show/id/1341934","http://ts.21cn.com/tousu/show/id/1341934")</f>
        <v>http://ts.21cn.com/tousu/show/id/1341934</v>
      </c>
      <c r="F10701" s="2" t="s">
        <v>11</v>
      </c>
      <c r="G10701" s="2" t="s">
        <v>23117</v>
      </c>
      <c r="H10701" s="2" t="s">
        <v>23118</v>
      </c>
    </row>
    <row r="10702" spans="1:8" ht="25.05" customHeight="1" x14ac:dyDescent="0.25">
      <c r="A10702" s="2" t="s">
        <v>8</v>
      </c>
      <c r="B10702" s="2" t="str">
        <f>HYPERLINK("http://ts.21cn.com/tousu/show/id/1341935","钱站高利贷，逾期一天短信轰炸恐吓，")</f>
        <v>钱站高利贷，逾期一天短信轰炸恐吓，</v>
      </c>
      <c r="C10702" s="2" t="s">
        <v>9</v>
      </c>
      <c r="D10702" s="2" t="s">
        <v>10</v>
      </c>
      <c r="E10702" s="2" t="str">
        <f>HYPERLINK("http://ts.21cn.com/tousu/show/id/1341935","http://ts.21cn.com/tousu/show/id/1341935")</f>
        <v>http://ts.21cn.com/tousu/show/id/1341935</v>
      </c>
      <c r="F10702" s="2" t="s">
        <v>11</v>
      </c>
      <c r="G10702" s="2" t="s">
        <v>23115</v>
      </c>
      <c r="H10702" s="2" t="s">
        <v>23116</v>
      </c>
    </row>
    <row r="10703" spans="1:8" ht="25.05" customHeight="1" x14ac:dyDescent="0.25">
      <c r="A10703" s="2" t="s">
        <v>8</v>
      </c>
      <c r="B10703" s="2" t="str">
        <f>HYPERLINK("http://ts.21cn.com/tousu/show/id/1341936","我来贷赔偿我精神损失费")</f>
        <v>我来贷赔偿我精神损失费</v>
      </c>
      <c r="C10703" s="2" t="s">
        <v>9</v>
      </c>
      <c r="D10703" s="2" t="s">
        <v>10</v>
      </c>
      <c r="E10703" s="2" t="str">
        <f>HYPERLINK("http://ts.21cn.com/tousu/show/id/1341936","http://ts.21cn.com/tousu/show/id/1341936")</f>
        <v>http://ts.21cn.com/tousu/show/id/1341936</v>
      </c>
      <c r="F10703" s="2" t="s">
        <v>11</v>
      </c>
      <c r="G10703" s="2" t="s">
        <v>23113</v>
      </c>
      <c r="H10703" s="2" t="s">
        <v>23114</v>
      </c>
    </row>
    <row r="10704" spans="1:8" ht="25.05" customHeight="1" x14ac:dyDescent="0.25">
      <c r="A10704" s="2" t="s">
        <v>8</v>
      </c>
      <c r="B10704" s="2" t="str">
        <f>HYPERLINK("http://ts.21cn.com/tousu/show/id/1341937","信用管家平台涉嫌分流高利端口，钱小咖砍头息，超高利息，无法还款无法联系一直不停逾期")</f>
        <v>信用管家平台涉嫌分流高利端口，钱小咖砍头息，超高利息，无法还款无法联系一直不停逾期</v>
      </c>
      <c r="C10704" s="2" t="s">
        <v>9</v>
      </c>
      <c r="D10704" s="2" t="s">
        <v>10</v>
      </c>
      <c r="E10704" s="2" t="str">
        <f>HYPERLINK("http://ts.21cn.com/tousu/show/id/1341937","http://ts.21cn.com/tousu/show/id/1341937")</f>
        <v>http://ts.21cn.com/tousu/show/id/1341937</v>
      </c>
      <c r="F10704" s="2" t="s">
        <v>11</v>
      </c>
      <c r="G10704" s="2" t="s">
        <v>23111</v>
      </c>
      <c r="H10704" s="2" t="s">
        <v>23112</v>
      </c>
    </row>
    <row r="10705" spans="1:8" ht="25.05" customHeight="1" x14ac:dyDescent="0.25">
      <c r="A10705" s="2" t="s">
        <v>8</v>
      </c>
      <c r="B10705" s="2" t="str">
        <f>HYPERLINK("http://ts.21cn.com/tousu/show/id/1341938","浦发银行信用卡无下限催收")</f>
        <v>浦发银行信用卡无下限催收</v>
      </c>
      <c r="C10705" s="2" t="s">
        <v>9</v>
      </c>
      <c r="D10705" s="2" t="s">
        <v>10</v>
      </c>
      <c r="E10705" s="2" t="str">
        <f>HYPERLINK("http://ts.21cn.com/tousu/show/id/1341938","http://ts.21cn.com/tousu/show/id/1341938")</f>
        <v>http://ts.21cn.com/tousu/show/id/1341938</v>
      </c>
      <c r="F10705" s="2" t="s">
        <v>11</v>
      </c>
      <c r="G10705" s="2" t="s">
        <v>23109</v>
      </c>
      <c r="H10705" s="2" t="s">
        <v>23110</v>
      </c>
    </row>
    <row r="10706" spans="1:8" ht="25.05" customHeight="1" x14ac:dyDescent="0.25">
      <c r="A10706" s="2" t="s">
        <v>8</v>
      </c>
      <c r="B10706" s="2" t="str">
        <f>HYPERLINK("http://ts.21cn.com/tousu/show/id/1341939","尚德机构报名老师骂我")</f>
        <v>尚德机构报名老师骂我</v>
      </c>
      <c r="C10706" s="2" t="s">
        <v>9</v>
      </c>
      <c r="D10706" s="2" t="s">
        <v>10</v>
      </c>
      <c r="E10706" s="2" t="str">
        <f>HYPERLINK("http://ts.21cn.com/tousu/show/id/1341939","http://ts.21cn.com/tousu/show/id/1341939")</f>
        <v>http://ts.21cn.com/tousu/show/id/1341939</v>
      </c>
      <c r="F10706" s="2" t="s">
        <v>11</v>
      </c>
      <c r="G10706" s="2" t="s">
        <v>23107</v>
      </c>
      <c r="H10706" s="2" t="s">
        <v>23108</v>
      </c>
    </row>
    <row r="10707" spans="1:8" ht="25.05" customHeight="1" x14ac:dyDescent="0.25">
      <c r="A10707" s="2" t="s">
        <v>8</v>
      </c>
      <c r="B10707" s="2" t="str">
        <f>HYPERLINK("http://ts.21cn.com/tousu/show/id/1341941","新橙优品，砍头息+高利贷")</f>
        <v>新橙优品，砍头息+高利贷</v>
      </c>
      <c r="C10707" s="2" t="s">
        <v>9</v>
      </c>
      <c r="D10707" s="2" t="s">
        <v>10</v>
      </c>
      <c r="E10707" s="2" t="str">
        <f>HYPERLINK("http://ts.21cn.com/tousu/show/id/1341941","http://ts.21cn.com/tousu/show/id/1341941")</f>
        <v>http://ts.21cn.com/tousu/show/id/1341941</v>
      </c>
      <c r="F10707" s="2" t="s">
        <v>11</v>
      </c>
      <c r="G10707" s="2" t="s">
        <v>23105</v>
      </c>
      <c r="H10707" s="2" t="s">
        <v>23106</v>
      </c>
    </row>
    <row r="10708" spans="1:8" ht="25.05" customHeight="1" x14ac:dyDescent="0.25">
      <c r="A10708" s="2" t="s">
        <v>8</v>
      </c>
      <c r="B10708" s="2" t="str">
        <f>HYPERLINK("http://ts.21cn.com/tousu/show/id/1341940","暴力催收威胁爆通讯录")</f>
        <v>暴力催收威胁爆通讯录</v>
      </c>
      <c r="C10708" s="2" t="s">
        <v>9</v>
      </c>
      <c r="D10708" s="2" t="s">
        <v>10</v>
      </c>
      <c r="E10708" s="2" t="str">
        <f>HYPERLINK("http://ts.21cn.com/tousu/show/id/1341940","http://ts.21cn.com/tousu/show/id/1341940")</f>
        <v>http://ts.21cn.com/tousu/show/id/1341940</v>
      </c>
      <c r="F10708" s="2" t="s">
        <v>11</v>
      </c>
      <c r="G10708" s="2" t="s">
        <v>23103</v>
      </c>
      <c r="H10708" s="2" t="s">
        <v>23104</v>
      </c>
    </row>
    <row r="10709" spans="1:8" ht="25.05" customHeight="1" x14ac:dyDescent="0.25">
      <c r="A10709" s="2" t="s">
        <v>8</v>
      </c>
      <c r="B10709" s="2" t="str">
        <f>HYPERLINK("http://ts.21cn.com/tousu/show/id/1341942","百世快递没人处理")</f>
        <v>百世快递没人处理</v>
      </c>
      <c r="C10709" s="2" t="s">
        <v>9</v>
      </c>
      <c r="D10709" s="2" t="s">
        <v>10</v>
      </c>
      <c r="E10709" s="2" t="str">
        <f>HYPERLINK("http://ts.21cn.com/tousu/show/id/1341942","http://ts.21cn.com/tousu/show/id/1341942")</f>
        <v>http://ts.21cn.com/tousu/show/id/1341942</v>
      </c>
      <c r="F10709" s="2" t="s">
        <v>11</v>
      </c>
      <c r="G10709" s="2" t="s">
        <v>23101</v>
      </c>
      <c r="H10709" s="2" t="s">
        <v>23102</v>
      </c>
    </row>
    <row r="10710" spans="1:8" ht="25.05" customHeight="1" x14ac:dyDescent="0.25">
      <c r="A10710" s="2" t="s">
        <v>8</v>
      </c>
      <c r="B10710" s="2" t="str">
        <f>HYPERLINK("http://ts.21cn.com/tousu/show/id/1341943","分期通恶意收取会员费用")</f>
        <v>分期通恶意收取会员费用</v>
      </c>
      <c r="C10710" s="2" t="s">
        <v>9</v>
      </c>
      <c r="D10710" s="2" t="s">
        <v>10</v>
      </c>
      <c r="E10710" s="2" t="str">
        <f>HYPERLINK("http://ts.21cn.com/tousu/show/id/1341943","http://ts.21cn.com/tousu/show/id/1341943")</f>
        <v>http://ts.21cn.com/tousu/show/id/1341943</v>
      </c>
      <c r="F10710" s="2" t="s">
        <v>11</v>
      </c>
      <c r="G10710" s="2" t="s">
        <v>23099</v>
      </c>
      <c r="H10710" s="2" t="s">
        <v>23100</v>
      </c>
    </row>
    <row r="10711" spans="1:8" ht="25.05" customHeight="1" x14ac:dyDescent="0.25">
      <c r="A10711" s="2" t="s">
        <v>8</v>
      </c>
      <c r="B10711" s="2" t="str">
        <f>HYPERLINK("http://ts.21cn.com/tousu/show/id/1341944","高利息，实际到账金额1000以还还让在还五百")</f>
        <v>高利息，实际到账金额1000以还还让在还五百</v>
      </c>
      <c r="C10711" s="2" t="s">
        <v>34</v>
      </c>
      <c r="D10711" s="2" t="s">
        <v>10</v>
      </c>
      <c r="E10711" s="2" t="str">
        <f>HYPERLINK("http://ts.21cn.com/tousu/show/id/1341944","http://ts.21cn.com/tousu/show/id/1341944")</f>
        <v>http://ts.21cn.com/tousu/show/id/1341944</v>
      </c>
      <c r="F10711" s="2" t="s">
        <v>11</v>
      </c>
      <c r="G10711" s="2" t="s">
        <v>23097</v>
      </c>
      <c r="H10711" s="2" t="s">
        <v>23098</v>
      </c>
    </row>
    <row r="10712" spans="1:8" ht="25.05" customHeight="1" x14ac:dyDescent="0.25">
      <c r="A10712" s="2" t="s">
        <v>8</v>
      </c>
      <c r="B10712" s="2" t="str">
        <f>HYPERLINK("http://ts.21cn.com/tousu/show/id/1341929","网络兼职")</f>
        <v>网络兼职</v>
      </c>
      <c r="C10712" s="2" t="s">
        <v>9</v>
      </c>
      <c r="D10712" s="2" t="s">
        <v>10</v>
      </c>
      <c r="E10712" s="2" t="str">
        <f>HYPERLINK("http://ts.21cn.com/tousu/show/id/1341929","http://ts.21cn.com/tousu/show/id/1341929")</f>
        <v>http://ts.21cn.com/tousu/show/id/1341929</v>
      </c>
      <c r="F10712" s="2" t="s">
        <v>11</v>
      </c>
      <c r="G10712" s="2" t="s">
        <v>23095</v>
      </c>
      <c r="H10712" s="2" t="s">
        <v>23096</v>
      </c>
    </row>
    <row r="10713" spans="1:8" ht="25.05" customHeight="1" x14ac:dyDescent="0.25">
      <c r="A10713" s="2" t="s">
        <v>8</v>
      </c>
      <c r="B10713" s="2" t="str">
        <f>HYPERLINK("http://ts.21cn.com/tousu/show/id/1341945","钱站高利贷阴阳合同")</f>
        <v>钱站高利贷阴阳合同</v>
      </c>
      <c r="C10713" s="2" t="s">
        <v>9</v>
      </c>
      <c r="D10713" s="2" t="s">
        <v>10</v>
      </c>
      <c r="E10713" s="2" t="str">
        <f>HYPERLINK("http://ts.21cn.com/tousu/show/id/1341945","http://ts.21cn.com/tousu/show/id/1341945")</f>
        <v>http://ts.21cn.com/tousu/show/id/1341945</v>
      </c>
      <c r="F10713" s="2" t="s">
        <v>11</v>
      </c>
      <c r="G10713" s="2" t="s">
        <v>23093</v>
      </c>
      <c r="H10713" s="2" t="s">
        <v>23094</v>
      </c>
    </row>
    <row r="10714" spans="1:8" ht="25.05" customHeight="1" x14ac:dyDescent="0.25">
      <c r="A10714" s="2" t="s">
        <v>8</v>
      </c>
      <c r="B10714" s="2" t="str">
        <f>HYPERLINK("http://ts.21cn.com/tousu/show/id/1341946","套路贷高利贷")</f>
        <v>套路贷高利贷</v>
      </c>
      <c r="C10714" s="2" t="s">
        <v>9</v>
      </c>
      <c r="D10714" s="2" t="s">
        <v>10</v>
      </c>
      <c r="E10714" s="2" t="str">
        <f>HYPERLINK("http://ts.21cn.com/tousu/show/id/1341946","http://ts.21cn.com/tousu/show/id/1341946")</f>
        <v>http://ts.21cn.com/tousu/show/id/1341946</v>
      </c>
      <c r="F10714" s="2" t="s">
        <v>11</v>
      </c>
      <c r="G10714" s="2" t="s">
        <v>23091</v>
      </c>
      <c r="H10714" s="2" t="s">
        <v>23092</v>
      </c>
    </row>
    <row r="10715" spans="1:8" ht="25.05" customHeight="1" x14ac:dyDescent="0.25">
      <c r="A10715" s="2" t="s">
        <v>8</v>
      </c>
      <c r="B10715" s="2" t="str">
        <f>HYPERLINK("http://ts.21cn.com/tousu/show/id/1341947","微粒贷催收恐吓")</f>
        <v>微粒贷催收恐吓</v>
      </c>
      <c r="C10715" s="2" t="s">
        <v>9</v>
      </c>
      <c r="D10715" s="2" t="s">
        <v>10</v>
      </c>
      <c r="E10715" s="2" t="str">
        <f>HYPERLINK("http://ts.21cn.com/tousu/show/id/1341947","http://ts.21cn.com/tousu/show/id/1341947")</f>
        <v>http://ts.21cn.com/tousu/show/id/1341947</v>
      </c>
      <c r="F10715" s="2" t="s">
        <v>11</v>
      </c>
      <c r="G10715" s="2" t="s">
        <v>23089</v>
      </c>
      <c r="H10715" s="2" t="s">
        <v>23090</v>
      </c>
    </row>
    <row r="10716" spans="1:8" ht="25.05" customHeight="1" x14ac:dyDescent="0.25">
      <c r="A10716" s="2" t="s">
        <v>8</v>
      </c>
      <c r="B10716" s="2" t="str">
        <f>HYPERLINK("http://ts.21cn.com/tousu/show/id/1341948","暴力催收砍头息骚扰通讯录")</f>
        <v>暴力催收砍头息骚扰通讯录</v>
      </c>
      <c r="C10716" s="2" t="s">
        <v>9</v>
      </c>
      <c r="D10716" s="2" t="s">
        <v>10</v>
      </c>
      <c r="E10716" s="2" t="str">
        <f>HYPERLINK("http://ts.21cn.com/tousu/show/id/1341948","http://ts.21cn.com/tousu/show/id/1341948")</f>
        <v>http://ts.21cn.com/tousu/show/id/1341948</v>
      </c>
      <c r="F10716" s="2" t="s">
        <v>11</v>
      </c>
      <c r="G10716" s="2" t="s">
        <v>23087</v>
      </c>
      <c r="H10716" s="2" t="s">
        <v>23088</v>
      </c>
    </row>
    <row r="10717" spans="1:8" ht="25.05" customHeight="1" x14ac:dyDescent="0.25">
      <c r="A10717" s="2" t="s">
        <v>8</v>
      </c>
      <c r="B10717" s="2" t="str">
        <f>HYPERLINK("http://ts.21cn.com/tousu/show/id/1341952","招联金融恶意催收")</f>
        <v>招联金融恶意催收</v>
      </c>
      <c r="C10717" s="2" t="s">
        <v>9</v>
      </c>
      <c r="D10717" s="2" t="s">
        <v>10</v>
      </c>
      <c r="E10717" s="2" t="str">
        <f>HYPERLINK("http://ts.21cn.com/tousu/show/id/1341952","http://ts.21cn.com/tousu/show/id/1341952")</f>
        <v>http://ts.21cn.com/tousu/show/id/1341952</v>
      </c>
      <c r="F10717" s="2" t="s">
        <v>11</v>
      </c>
      <c r="G10717" s="2" t="s">
        <v>23085</v>
      </c>
      <c r="H10717" s="2" t="s">
        <v>23086</v>
      </c>
    </row>
    <row r="10718" spans="1:8" ht="25.05" customHeight="1" x14ac:dyDescent="0.25">
      <c r="A10718" s="2" t="s">
        <v>8</v>
      </c>
      <c r="B10718" s="2" t="str">
        <f>HYPERLINK("http://ts.21cn.com/tousu/show/id/1341955","及贷不能提前还款")</f>
        <v>及贷不能提前还款</v>
      </c>
      <c r="C10718" s="2" t="s">
        <v>9</v>
      </c>
      <c r="D10718" s="2" t="s">
        <v>10</v>
      </c>
      <c r="E10718" s="2" t="str">
        <f>HYPERLINK("http://ts.21cn.com/tousu/show/id/1341955","http://ts.21cn.com/tousu/show/id/1341955")</f>
        <v>http://ts.21cn.com/tousu/show/id/1341955</v>
      </c>
      <c r="F10718" s="2" t="s">
        <v>11</v>
      </c>
      <c r="G10718" s="2" t="s">
        <v>23083</v>
      </c>
      <c r="H10718" s="2" t="s">
        <v>23084</v>
      </c>
    </row>
    <row r="10719" spans="1:8" ht="25.05" customHeight="1" x14ac:dyDescent="0.25">
      <c r="A10719" s="2" t="s">
        <v>8</v>
      </c>
      <c r="B10719" s="2" t="str">
        <f>HYPERLINK("http://ts.21cn.com/tousu/show/id/1341954","宝付支付、天津金城银行")</f>
        <v>宝付支付、天津金城银行</v>
      </c>
      <c r="C10719" s="2" t="s">
        <v>9</v>
      </c>
      <c r="D10719" s="2" t="s">
        <v>10</v>
      </c>
      <c r="E10719" s="2" t="str">
        <f>HYPERLINK("http://ts.21cn.com/tousu/show/id/1341954","http://ts.21cn.com/tousu/show/id/1341954")</f>
        <v>http://ts.21cn.com/tousu/show/id/1341954</v>
      </c>
      <c r="F10719" s="2" t="s">
        <v>11</v>
      </c>
      <c r="G10719" s="2" t="s">
        <v>23081</v>
      </c>
      <c r="H10719" s="2" t="s">
        <v>23082</v>
      </c>
    </row>
    <row r="10720" spans="1:8" ht="25.05" customHeight="1" x14ac:dyDescent="0.25">
      <c r="A10720" s="2" t="s">
        <v>8</v>
      </c>
      <c r="B10720" s="2" t="str">
        <f>HYPERLINK("http://ts.21cn.com/tousu/show/id/1341957","霸王条款不予退款")</f>
        <v>霸王条款不予退款</v>
      </c>
      <c r="C10720" s="2" t="s">
        <v>9</v>
      </c>
      <c r="D10720" s="2" t="s">
        <v>10</v>
      </c>
      <c r="E10720" s="2" t="str">
        <f>HYPERLINK("http://ts.21cn.com/tousu/show/id/1341957","http://ts.21cn.com/tousu/show/id/1341957")</f>
        <v>http://ts.21cn.com/tousu/show/id/1341957</v>
      </c>
      <c r="F10720" s="2" t="s">
        <v>11</v>
      </c>
      <c r="G10720" s="2" t="s">
        <v>23079</v>
      </c>
      <c r="H10720" s="2" t="s">
        <v>23080</v>
      </c>
    </row>
    <row r="10721" spans="1:8" ht="25.05" customHeight="1" x14ac:dyDescent="0.25">
      <c r="A10721" s="2" t="s">
        <v>8</v>
      </c>
      <c r="B10721" s="2" t="str">
        <f>HYPERLINK("http://ts.21cn.com/tousu/show/id/1341951","投诉微店监控不力，异常快递单仍然能自动收货，造成商家不退款")</f>
        <v>投诉微店监控不力，异常快递单仍然能自动收货，造成商家不退款</v>
      </c>
      <c r="C10721" s="2" t="s">
        <v>9</v>
      </c>
      <c r="D10721" s="2" t="s">
        <v>10</v>
      </c>
      <c r="E10721" s="2" t="str">
        <f>HYPERLINK("http://ts.21cn.com/tousu/show/id/1341951","http://ts.21cn.com/tousu/show/id/1341951")</f>
        <v>http://ts.21cn.com/tousu/show/id/1341951</v>
      </c>
      <c r="F10721" s="2" t="s">
        <v>11</v>
      </c>
      <c r="G10721" s="2" t="s">
        <v>23077</v>
      </c>
      <c r="H10721" s="2" t="s">
        <v>23078</v>
      </c>
    </row>
    <row r="10722" spans="1:8" ht="25.05" customHeight="1" x14ac:dyDescent="0.25">
      <c r="A10722" s="2" t="s">
        <v>8</v>
      </c>
      <c r="B10722" s="2" t="str">
        <f>HYPERLINK("http://ts.21cn.com/tousu/show/id/1341959","属于高利贷，还必须让还，我只想还本金，既然借都借了我也不会不还，")</f>
        <v>属于高利贷，还必须让还，我只想还本金，既然借都借了我也不会不还，</v>
      </c>
      <c r="C10722" s="2" t="s">
        <v>9</v>
      </c>
      <c r="D10722" s="2" t="s">
        <v>10</v>
      </c>
      <c r="E10722" s="2" t="str">
        <f>HYPERLINK("http://ts.21cn.com/tousu/show/id/1341959","http://ts.21cn.com/tousu/show/id/1341959")</f>
        <v>http://ts.21cn.com/tousu/show/id/1341959</v>
      </c>
      <c r="F10722" s="2" t="s">
        <v>11</v>
      </c>
      <c r="G10722" s="2" t="s">
        <v>23075</v>
      </c>
      <c r="H10722" s="2" t="s">
        <v>23076</v>
      </c>
    </row>
    <row r="10723" spans="1:8" ht="25.05" customHeight="1" x14ac:dyDescent="0.25">
      <c r="A10723" s="2" t="s">
        <v>8</v>
      </c>
      <c r="B10723" s="2" t="str">
        <f>HYPERLINK("http://ts.21cn.com/tousu/show/id/1341960","网贷不给协商解决还款问题")</f>
        <v>网贷不给协商解决还款问题</v>
      </c>
      <c r="C10723" s="2" t="s">
        <v>9</v>
      </c>
      <c r="D10723" s="2" t="s">
        <v>10</v>
      </c>
      <c r="E10723" s="2" t="str">
        <f>HYPERLINK("http://ts.21cn.com/tousu/show/id/1341960","http://ts.21cn.com/tousu/show/id/1341960")</f>
        <v>http://ts.21cn.com/tousu/show/id/1341960</v>
      </c>
      <c r="F10723" s="2" t="s">
        <v>11</v>
      </c>
      <c r="G10723" s="2" t="s">
        <v>23073</v>
      </c>
      <c r="H10723" s="2" t="s">
        <v>23074</v>
      </c>
    </row>
    <row r="10724" spans="1:8" ht="25.05" customHeight="1" x14ac:dyDescent="0.25">
      <c r="A10724" s="2" t="s">
        <v>8</v>
      </c>
      <c r="B10724" s="2" t="str">
        <f>HYPERLINK("http://ts.21cn.com/tousu/show/id/1341961","借贷宝恶意加收高利息")</f>
        <v>借贷宝恶意加收高利息</v>
      </c>
      <c r="C10724" s="2" t="s">
        <v>9</v>
      </c>
      <c r="D10724" s="2" t="s">
        <v>10</v>
      </c>
      <c r="E10724" s="2" t="str">
        <f>HYPERLINK("http://ts.21cn.com/tousu/show/id/1341961","http://ts.21cn.com/tousu/show/id/1341961")</f>
        <v>http://ts.21cn.com/tousu/show/id/1341961</v>
      </c>
      <c r="F10724" s="2" t="s">
        <v>11</v>
      </c>
      <c r="G10724" s="2" t="s">
        <v>23071</v>
      </c>
      <c r="H10724" s="2" t="s">
        <v>23072</v>
      </c>
    </row>
    <row r="10725" spans="1:8" ht="25.05" customHeight="1" x14ac:dyDescent="0.25">
      <c r="A10725" s="2" t="s">
        <v>8</v>
      </c>
      <c r="B10725" s="2" t="str">
        <f>HYPERLINK("http://ts.21cn.com/tousu/show/id/1341962","并未按照协商核销账单")</f>
        <v>并未按照协商核销账单</v>
      </c>
      <c r="C10725" s="2" t="s">
        <v>9</v>
      </c>
      <c r="D10725" s="2" t="s">
        <v>10</v>
      </c>
      <c r="E10725" s="2" t="str">
        <f>HYPERLINK("http://ts.21cn.com/tousu/show/id/1341962","http://ts.21cn.com/tousu/show/id/1341962")</f>
        <v>http://ts.21cn.com/tousu/show/id/1341962</v>
      </c>
      <c r="F10725" s="2" t="s">
        <v>11</v>
      </c>
      <c r="G10725" s="2" t="s">
        <v>23069</v>
      </c>
      <c r="H10725" s="2" t="s">
        <v>23070</v>
      </c>
    </row>
    <row r="10726" spans="1:8" ht="25.05" customHeight="1" x14ac:dyDescent="0.25">
      <c r="A10726" s="2" t="s">
        <v>8</v>
      </c>
      <c r="B10726" s="2" t="str">
        <f>HYPERLINK("http://ts.21cn.com/tousu/show/id/1341950","阴阳合同，用高额分期费用代替利息")</f>
        <v>阴阳合同，用高额分期费用代替利息</v>
      </c>
      <c r="C10726" s="2" t="s">
        <v>9</v>
      </c>
      <c r="D10726" s="2" t="s">
        <v>10</v>
      </c>
      <c r="E10726" s="2" t="str">
        <f>HYPERLINK("http://ts.21cn.com/tousu/show/id/1341950","http://ts.21cn.com/tousu/show/id/1341950")</f>
        <v>http://ts.21cn.com/tousu/show/id/1341950</v>
      </c>
      <c r="F10726" s="2" t="s">
        <v>11</v>
      </c>
      <c r="G10726" s="2" t="s">
        <v>23067</v>
      </c>
      <c r="H10726" s="2" t="s">
        <v>23068</v>
      </c>
    </row>
    <row r="10727" spans="1:8" ht="25.05" customHeight="1" x14ac:dyDescent="0.25">
      <c r="A10727" s="2" t="s">
        <v>8</v>
      </c>
      <c r="B10727" s="2" t="str">
        <f>HYPERLINK("http://ts.21cn.com/tousu/show/id/1341956","要求杭州当贝网络科技有限公司对其欺诈行为进行退款")</f>
        <v>要求杭州当贝网络科技有限公司对其欺诈行为进行退款</v>
      </c>
      <c r="C10727" s="2" t="s">
        <v>9</v>
      </c>
      <c r="D10727" s="2" t="s">
        <v>10</v>
      </c>
      <c r="E10727" s="2" t="str">
        <f>HYPERLINK("http://ts.21cn.com/tousu/show/id/1341956","http://ts.21cn.com/tousu/show/id/1341956")</f>
        <v>http://ts.21cn.com/tousu/show/id/1341956</v>
      </c>
      <c r="F10727" s="2" t="s">
        <v>11</v>
      </c>
      <c r="G10727" s="2" t="s">
        <v>23065</v>
      </c>
      <c r="H10727" s="2" t="s">
        <v>23066</v>
      </c>
    </row>
    <row r="10728" spans="1:8" ht="25.05" customHeight="1" x14ac:dyDescent="0.25">
      <c r="A10728" s="2" t="s">
        <v>8</v>
      </c>
      <c r="B10728" s="2" t="str">
        <f>HYPERLINK("http://ts.21cn.com/tousu/show/id/1341963","洋钱罐利息高，恶意催收")</f>
        <v>洋钱罐利息高，恶意催收</v>
      </c>
      <c r="C10728" s="2" t="s">
        <v>9</v>
      </c>
      <c r="D10728" s="2" t="s">
        <v>10</v>
      </c>
      <c r="E10728" s="2" t="str">
        <f>HYPERLINK("http://ts.21cn.com/tousu/show/id/1341963","http://ts.21cn.com/tousu/show/id/1341963")</f>
        <v>http://ts.21cn.com/tousu/show/id/1341963</v>
      </c>
      <c r="F10728" s="2" t="s">
        <v>11</v>
      </c>
      <c r="G10728" s="2" t="s">
        <v>23063</v>
      </c>
      <c r="H10728" s="2" t="s">
        <v>23064</v>
      </c>
    </row>
    <row r="10729" spans="1:8" ht="25.05" customHeight="1" x14ac:dyDescent="0.25">
      <c r="A10729" s="2" t="s">
        <v>8</v>
      </c>
      <c r="B10729" s="2" t="str">
        <f>HYPERLINK("http://ts.21cn.com/tousu/show/id/1341964","360贷款催收态度恶劣")</f>
        <v>360贷款催收态度恶劣</v>
      </c>
      <c r="C10729" s="2" t="s">
        <v>9</v>
      </c>
      <c r="D10729" s="2" t="s">
        <v>10</v>
      </c>
      <c r="E10729" s="2" t="str">
        <f>HYPERLINK("http://ts.21cn.com/tousu/show/id/1341964","http://ts.21cn.com/tousu/show/id/1341964")</f>
        <v>http://ts.21cn.com/tousu/show/id/1341964</v>
      </c>
      <c r="F10729" s="2" t="s">
        <v>11</v>
      </c>
      <c r="G10729" s="2" t="s">
        <v>23061</v>
      </c>
      <c r="H10729" s="2" t="s">
        <v>23062</v>
      </c>
    </row>
    <row r="10730" spans="1:8" ht="25.05" customHeight="1" x14ac:dyDescent="0.25">
      <c r="A10730" s="2" t="s">
        <v>8</v>
      </c>
      <c r="B10730" s="2" t="str">
        <f>HYPERLINK("http://ts.21cn.com/tousu/show/id/1341965","催收骚扰家里人")</f>
        <v>催收骚扰家里人</v>
      </c>
      <c r="C10730" s="2" t="s">
        <v>9</v>
      </c>
      <c r="D10730" s="2" t="s">
        <v>10</v>
      </c>
      <c r="E10730" s="2" t="str">
        <f>HYPERLINK("http://ts.21cn.com/tousu/show/id/1341965","http://ts.21cn.com/tousu/show/id/1341965")</f>
        <v>http://ts.21cn.com/tousu/show/id/1341965</v>
      </c>
      <c r="F10730" s="2" t="s">
        <v>11</v>
      </c>
      <c r="G10730" s="2" t="s">
        <v>23059</v>
      </c>
      <c r="H10730" s="2" t="s">
        <v>23060</v>
      </c>
    </row>
    <row r="10731" spans="1:8" ht="25.05" customHeight="1" x14ac:dyDescent="0.25">
      <c r="A10731" s="2" t="s">
        <v>8</v>
      </c>
      <c r="B10731" s="2" t="str">
        <f>HYPERLINK("http://ts.21cn.com/tousu/show/id/1341966","猎豹贷款不申请贷款也被逼贷款")</f>
        <v>猎豹贷款不申请贷款也被逼贷款</v>
      </c>
      <c r="C10731" s="2" t="s">
        <v>9</v>
      </c>
      <c r="D10731" s="2" t="s">
        <v>10</v>
      </c>
      <c r="E10731" s="2" t="str">
        <f>HYPERLINK("http://ts.21cn.com/tousu/show/id/1341966","http://ts.21cn.com/tousu/show/id/1341966")</f>
        <v>http://ts.21cn.com/tousu/show/id/1341966</v>
      </c>
      <c r="F10731" s="2" t="s">
        <v>11</v>
      </c>
      <c r="G10731" s="2" t="s">
        <v>23057</v>
      </c>
      <c r="H10731" s="2" t="s">
        <v>23058</v>
      </c>
    </row>
    <row r="10732" spans="1:8" ht="25.05" customHeight="1" x14ac:dyDescent="0.25">
      <c r="A10732" s="2" t="s">
        <v>8</v>
      </c>
      <c r="B10732" s="2" t="str">
        <f>HYPERLINK("http://ts.21cn.com/tousu/show/id/1341968","捷信公司疯狂催收")</f>
        <v>捷信公司疯狂催收</v>
      </c>
      <c r="C10732" s="2" t="s">
        <v>9</v>
      </c>
      <c r="D10732" s="2" t="s">
        <v>10</v>
      </c>
      <c r="E10732" s="2" t="str">
        <f>HYPERLINK("http://ts.21cn.com/tousu/show/id/1341968","http://ts.21cn.com/tousu/show/id/1341968")</f>
        <v>http://ts.21cn.com/tousu/show/id/1341968</v>
      </c>
      <c r="F10732" s="2" t="s">
        <v>11</v>
      </c>
      <c r="G10732" s="2" t="s">
        <v>23055</v>
      </c>
      <c r="H10732" s="2" t="s">
        <v>23056</v>
      </c>
    </row>
    <row r="10733" spans="1:8" ht="25.05" customHeight="1" x14ac:dyDescent="0.25">
      <c r="A10733" s="2" t="s">
        <v>8</v>
      </c>
      <c r="B10733" s="2" t="str">
        <f>HYPERLINK("http://ts.21cn.com/tousu/show/id/1341969","及贷暴力催收，爆通讯录，恐吓，侮辱。")</f>
        <v>及贷暴力催收，爆通讯录，恐吓，侮辱。</v>
      </c>
      <c r="C10733" s="2" t="s">
        <v>9</v>
      </c>
      <c r="D10733" s="2" t="s">
        <v>10</v>
      </c>
      <c r="E10733" s="2" t="str">
        <f>HYPERLINK("http://ts.21cn.com/tousu/show/id/1341969","http://ts.21cn.com/tousu/show/id/1341969")</f>
        <v>http://ts.21cn.com/tousu/show/id/1341969</v>
      </c>
      <c r="F10733" s="2" t="s">
        <v>11</v>
      </c>
      <c r="G10733" s="2" t="s">
        <v>23053</v>
      </c>
      <c r="H10733" s="2" t="s">
        <v>23054</v>
      </c>
    </row>
    <row r="10734" spans="1:8" ht="25.05" customHeight="1" x14ac:dyDescent="0.25">
      <c r="A10734" s="2" t="s">
        <v>8</v>
      </c>
      <c r="B10734" s="2" t="str">
        <f>HYPERLINK("http://ts.21cn.com/tousu/show/id/1341975","多宝分期还款失败")</f>
        <v>多宝分期还款失败</v>
      </c>
      <c r="C10734" s="2" t="s">
        <v>9</v>
      </c>
      <c r="D10734" s="2" t="s">
        <v>10</v>
      </c>
      <c r="E10734" s="2" t="str">
        <f>HYPERLINK("http://ts.21cn.com/tousu/show/id/1341975","http://ts.21cn.com/tousu/show/id/1341975")</f>
        <v>http://ts.21cn.com/tousu/show/id/1341975</v>
      </c>
      <c r="F10734" s="2" t="s">
        <v>11</v>
      </c>
      <c r="G10734" s="2" t="s">
        <v>23051</v>
      </c>
      <c r="H10734" s="2" t="s">
        <v>23052</v>
      </c>
    </row>
    <row r="10735" spans="1:8" ht="25.05" customHeight="1" x14ac:dyDescent="0.25">
      <c r="A10735" s="2" t="s">
        <v>8</v>
      </c>
      <c r="B10735" s="2" t="str">
        <f>HYPERLINK("http://ts.21cn.com/tousu/show/id/1341970","骚扰")</f>
        <v>骚扰</v>
      </c>
      <c r="C10735" s="2" t="s">
        <v>9</v>
      </c>
      <c r="D10735" s="2" t="s">
        <v>10</v>
      </c>
      <c r="E10735" s="2" t="str">
        <f>HYPERLINK("http://ts.21cn.com/tousu/show/id/1341970","http://ts.21cn.com/tousu/show/id/1341970")</f>
        <v>http://ts.21cn.com/tousu/show/id/1341970</v>
      </c>
      <c r="F10735" s="2" t="s">
        <v>11</v>
      </c>
      <c r="G10735" s="2" t="s">
        <v>23049</v>
      </c>
      <c r="H10735" s="2" t="s">
        <v>23050</v>
      </c>
    </row>
    <row r="10736" spans="1:8" ht="25.05" customHeight="1" x14ac:dyDescent="0.25">
      <c r="A10736" s="2" t="s">
        <v>8</v>
      </c>
      <c r="B10736" s="2" t="str">
        <f>HYPERLINK("http://ts.21cn.com/tousu/show/id/1341972","及贷违规收取砍头息")</f>
        <v>及贷违规收取砍头息</v>
      </c>
      <c r="C10736" s="2" t="s">
        <v>9</v>
      </c>
      <c r="D10736" s="2" t="s">
        <v>10</v>
      </c>
      <c r="E10736" s="2" t="str">
        <f>HYPERLINK("http://ts.21cn.com/tousu/show/id/1341972","http://ts.21cn.com/tousu/show/id/1341972")</f>
        <v>http://ts.21cn.com/tousu/show/id/1341972</v>
      </c>
      <c r="F10736" s="2" t="s">
        <v>11</v>
      </c>
      <c r="G10736" s="2" t="s">
        <v>23047</v>
      </c>
      <c r="H10736" s="2" t="s">
        <v>23048</v>
      </c>
    </row>
    <row r="10737" spans="1:8" ht="25.05" customHeight="1" x14ac:dyDescent="0.25">
      <c r="A10737" s="2" t="s">
        <v>8</v>
      </c>
      <c r="B10737" s="2" t="str">
        <f>HYPERLINK("http://ts.21cn.com/tousu/show/id/1341971","质量问题天猫不给退货退款")</f>
        <v>质量问题天猫不给退货退款</v>
      </c>
      <c r="C10737" s="2" t="s">
        <v>9</v>
      </c>
      <c r="D10737" s="2" t="s">
        <v>10</v>
      </c>
      <c r="E10737" s="2" t="str">
        <f>HYPERLINK("http://ts.21cn.com/tousu/show/id/1341971","http://ts.21cn.com/tousu/show/id/1341971")</f>
        <v>http://ts.21cn.com/tousu/show/id/1341971</v>
      </c>
      <c r="F10737" s="2" t="s">
        <v>11</v>
      </c>
      <c r="G10737" s="2" t="s">
        <v>23045</v>
      </c>
      <c r="H10737" s="2" t="s">
        <v>23046</v>
      </c>
    </row>
    <row r="10738" spans="1:8" ht="25.05" customHeight="1" x14ac:dyDescent="0.25">
      <c r="A10738" s="2" t="s">
        <v>8</v>
      </c>
      <c r="B10738" s="2" t="str">
        <f>HYPERLINK("http://ts.21cn.com/tousu/show/id/1341974","乐客独角兽不予退款")</f>
        <v>乐客独角兽不予退款</v>
      </c>
      <c r="C10738" s="2" t="s">
        <v>9</v>
      </c>
      <c r="D10738" s="2" t="s">
        <v>10</v>
      </c>
      <c r="E10738" s="2" t="str">
        <f>HYPERLINK("http://ts.21cn.com/tousu/show/id/1341974","http://ts.21cn.com/tousu/show/id/1341974")</f>
        <v>http://ts.21cn.com/tousu/show/id/1341974</v>
      </c>
      <c r="F10738" s="2" t="s">
        <v>11</v>
      </c>
      <c r="G10738" s="2" t="s">
        <v>23043</v>
      </c>
      <c r="H10738" s="2" t="s">
        <v>23044</v>
      </c>
    </row>
    <row r="10739" spans="1:8" ht="25.05" customHeight="1" x14ac:dyDescent="0.25">
      <c r="A10739" s="2" t="s">
        <v>8</v>
      </c>
      <c r="B10739" s="2" t="str">
        <f>HYPERLINK("http://ts.21cn.com/tousu/show/id/1341973","家具开裂")</f>
        <v>家具开裂</v>
      </c>
      <c r="C10739" s="2" t="s">
        <v>9</v>
      </c>
      <c r="D10739" s="2" t="s">
        <v>10</v>
      </c>
      <c r="E10739" s="2" t="str">
        <f>HYPERLINK("http://ts.21cn.com/tousu/show/id/1341973","http://ts.21cn.com/tousu/show/id/1341973")</f>
        <v>http://ts.21cn.com/tousu/show/id/1341973</v>
      </c>
      <c r="F10739" s="2" t="s">
        <v>11</v>
      </c>
      <c r="G10739" s="2" t="s">
        <v>23041</v>
      </c>
      <c r="H10739" s="2" t="s">
        <v>23042</v>
      </c>
    </row>
    <row r="10740" spans="1:8" ht="25.05" customHeight="1" x14ac:dyDescent="0.25">
      <c r="A10740" s="2" t="s">
        <v>8</v>
      </c>
      <c r="B10740" s="2" t="str">
        <f>HYPERLINK("http://ts.21cn.com/tousu/show/id/1341976","【诉讼通知】关于龙家儿与钱站金融合同纠纷一案,已移交江苏司法单位律师事务所,拟于近日移交广东省中山市人民法院排期诉讼,函件")</f>
        <v>【诉讼通知】关于龙家儿与钱站金融合同纠纷一案,已移交江苏司法单位律师事务所,拟于近日移交广东省中山市人民法院排期诉讼,函件</v>
      </c>
      <c r="C10740" s="2" t="s">
        <v>9</v>
      </c>
      <c r="D10740" s="2" t="s">
        <v>10</v>
      </c>
      <c r="E10740" s="2" t="str">
        <f>HYPERLINK("http://ts.21cn.com/tousu/show/id/1341976","http://ts.21cn.com/tousu/show/id/1341976")</f>
        <v>http://ts.21cn.com/tousu/show/id/1341976</v>
      </c>
      <c r="F10740" s="2" t="s">
        <v>11</v>
      </c>
      <c r="G10740" s="2" t="s">
        <v>23039</v>
      </c>
      <c r="H10740" s="2" t="s">
        <v>23040</v>
      </c>
    </row>
    <row r="10741" spans="1:8" ht="25.05" customHeight="1" x14ac:dyDescent="0.25">
      <c r="A10741" s="2" t="s">
        <v>8</v>
      </c>
      <c r="B10741" s="2" t="str">
        <f>HYPERLINK("http://ts.21cn.com/tousu/show/id/1341977","钱站平台威胁爆通迅录")</f>
        <v>钱站平台威胁爆通迅录</v>
      </c>
      <c r="C10741" s="2" t="s">
        <v>9</v>
      </c>
      <c r="D10741" s="2" t="s">
        <v>10</v>
      </c>
      <c r="E10741" s="2" t="str">
        <f>HYPERLINK("http://ts.21cn.com/tousu/show/id/1341977","http://ts.21cn.com/tousu/show/id/1341977")</f>
        <v>http://ts.21cn.com/tousu/show/id/1341977</v>
      </c>
      <c r="F10741" s="2" t="s">
        <v>11</v>
      </c>
      <c r="G10741" s="2" t="s">
        <v>23037</v>
      </c>
      <c r="H10741" s="2" t="s">
        <v>23038</v>
      </c>
    </row>
    <row r="10742" spans="1:8" ht="25.05" customHeight="1" x14ac:dyDescent="0.25">
      <c r="A10742" s="2" t="s">
        <v>8</v>
      </c>
      <c r="B10742" s="2" t="str">
        <f>HYPERLINK("http://ts.21cn.com/tousu/show/id/1341978","暴力催收")</f>
        <v>暴力催收</v>
      </c>
      <c r="C10742" s="2" t="s">
        <v>9</v>
      </c>
      <c r="D10742" s="2" t="s">
        <v>10</v>
      </c>
      <c r="E10742" s="2" t="str">
        <f>HYPERLINK("http://ts.21cn.com/tousu/show/id/1341978","http://ts.21cn.com/tousu/show/id/1341978")</f>
        <v>http://ts.21cn.com/tousu/show/id/1341978</v>
      </c>
      <c r="F10742" s="2" t="s">
        <v>11</v>
      </c>
      <c r="G10742" s="2" t="s">
        <v>23035</v>
      </c>
      <c r="H10742" s="2" t="s">
        <v>23036</v>
      </c>
    </row>
    <row r="10743" spans="1:8" ht="25.05" customHeight="1" x14ac:dyDescent="0.25">
      <c r="A10743" s="2" t="s">
        <v>8</v>
      </c>
      <c r="B10743" s="2" t="str">
        <f>HYPERLINK("http://ts.21cn.com/tousu/show/id/1341979","微众银行催收疯狂轰炸")</f>
        <v>微众银行催收疯狂轰炸</v>
      </c>
      <c r="C10743" s="2" t="s">
        <v>9</v>
      </c>
      <c r="D10743" s="2" t="s">
        <v>10</v>
      </c>
      <c r="E10743" s="2" t="str">
        <f>HYPERLINK("http://ts.21cn.com/tousu/show/id/1341979","http://ts.21cn.com/tousu/show/id/1341979")</f>
        <v>http://ts.21cn.com/tousu/show/id/1341979</v>
      </c>
      <c r="F10743" s="2" t="s">
        <v>11</v>
      </c>
      <c r="G10743" s="2" t="s">
        <v>23033</v>
      </c>
      <c r="H10743" s="2" t="s">
        <v>23034</v>
      </c>
    </row>
    <row r="10744" spans="1:8" ht="25.05" customHeight="1" x14ac:dyDescent="0.25">
      <c r="A10744" s="2" t="s">
        <v>8</v>
      </c>
      <c r="B10744" s="2" t="str">
        <f>HYPERLINK("http://ts.21cn.com/tousu/show/id/1341980","交易猫恶意收取保险费不退款")</f>
        <v>交易猫恶意收取保险费不退款</v>
      </c>
      <c r="C10744" s="2" t="s">
        <v>9</v>
      </c>
      <c r="D10744" s="2" t="s">
        <v>10</v>
      </c>
      <c r="E10744" s="2" t="str">
        <f>HYPERLINK("http://ts.21cn.com/tousu/show/id/1341980","http://ts.21cn.com/tousu/show/id/1341980")</f>
        <v>http://ts.21cn.com/tousu/show/id/1341980</v>
      </c>
      <c r="F10744" s="2" t="s">
        <v>11</v>
      </c>
      <c r="G10744" s="2" t="s">
        <v>23031</v>
      </c>
      <c r="H10744" s="2" t="s">
        <v>23032</v>
      </c>
    </row>
    <row r="10745" spans="1:8" ht="25.05" customHeight="1" x14ac:dyDescent="0.25">
      <c r="A10745" s="2" t="s">
        <v>8</v>
      </c>
      <c r="B10745" s="2" t="str">
        <f>HYPERLINK("http://ts.21cn.com/tousu/show/id/1341981","催收恐吓，威胁家里老人")</f>
        <v>催收恐吓，威胁家里老人</v>
      </c>
      <c r="C10745" s="2" t="s">
        <v>9</v>
      </c>
      <c r="D10745" s="2" t="s">
        <v>10</v>
      </c>
      <c r="E10745" s="2" t="str">
        <f>HYPERLINK("http://ts.21cn.com/tousu/show/id/1341981","http://ts.21cn.com/tousu/show/id/1341981")</f>
        <v>http://ts.21cn.com/tousu/show/id/1341981</v>
      </c>
      <c r="F10745" s="2" t="s">
        <v>11</v>
      </c>
      <c r="G10745" s="2" t="s">
        <v>23029</v>
      </c>
      <c r="H10745" s="2" t="s">
        <v>23030</v>
      </c>
    </row>
    <row r="10746" spans="1:8" ht="25.05" customHeight="1" x14ac:dyDescent="0.25">
      <c r="A10746" s="2" t="s">
        <v>8</v>
      </c>
      <c r="B10746" s="2" t="str">
        <f>HYPERLINK("http://ts.21cn.com/tousu/show/id/1341982","拍拍贷疯狂电话催收")</f>
        <v>拍拍贷疯狂电话催收</v>
      </c>
      <c r="C10746" s="2" t="s">
        <v>9</v>
      </c>
      <c r="D10746" s="2" t="s">
        <v>10</v>
      </c>
      <c r="E10746" s="2" t="str">
        <f>HYPERLINK("http://ts.21cn.com/tousu/show/id/1341982","http://ts.21cn.com/tousu/show/id/1341982")</f>
        <v>http://ts.21cn.com/tousu/show/id/1341982</v>
      </c>
      <c r="F10746" s="2" t="s">
        <v>11</v>
      </c>
      <c r="G10746" s="2" t="s">
        <v>23027</v>
      </c>
      <c r="H10746" s="2" t="s">
        <v>23028</v>
      </c>
    </row>
    <row r="10747" spans="1:8" ht="25.05" customHeight="1" x14ac:dyDescent="0.25">
      <c r="A10747" s="2" t="s">
        <v>8</v>
      </c>
      <c r="B10747" s="2" t="str">
        <f>HYPERLINK("http://ts.21cn.com/tousu/show/id/1341983","现控达人")</f>
        <v>现控达人</v>
      </c>
      <c r="C10747" s="2" t="s">
        <v>9</v>
      </c>
      <c r="D10747" s="2" t="s">
        <v>10</v>
      </c>
      <c r="E10747" s="2" t="str">
        <f>HYPERLINK("http://ts.21cn.com/tousu/show/id/1341983","http://ts.21cn.com/tousu/show/id/1341983")</f>
        <v>http://ts.21cn.com/tousu/show/id/1341983</v>
      </c>
      <c r="F10747" s="2" t="s">
        <v>11</v>
      </c>
      <c r="G10747" s="2" t="s">
        <v>23025</v>
      </c>
      <c r="H10747" s="2" t="s">
        <v>23026</v>
      </c>
    </row>
    <row r="10748" spans="1:8" ht="25.05" customHeight="1" x14ac:dyDescent="0.25">
      <c r="A10748" s="2" t="s">
        <v>8</v>
      </c>
      <c r="B10748" s="2" t="str">
        <f>HYPERLINK("http://ts.21cn.com/tousu/show/id/1341984","投诉广东信汇，银行卡被恶意盗刷")</f>
        <v>投诉广东信汇，银行卡被恶意盗刷</v>
      </c>
      <c r="C10748" s="2" t="s">
        <v>9</v>
      </c>
      <c r="D10748" s="2" t="s">
        <v>10</v>
      </c>
      <c r="E10748" s="2" t="str">
        <f>HYPERLINK("http://ts.21cn.com/tousu/show/id/1341984","http://ts.21cn.com/tousu/show/id/1341984")</f>
        <v>http://ts.21cn.com/tousu/show/id/1341984</v>
      </c>
      <c r="F10748" s="2" t="s">
        <v>11</v>
      </c>
      <c r="G10748" s="2" t="s">
        <v>23023</v>
      </c>
      <c r="H10748" s="2" t="s">
        <v>23024</v>
      </c>
    </row>
    <row r="10749" spans="1:8" ht="25.05" customHeight="1" x14ac:dyDescent="0.25">
      <c r="A10749" s="2" t="s">
        <v>8</v>
      </c>
      <c r="B10749" s="2" t="str">
        <f>HYPERLINK("http://ts.21cn.com/tousu/show/id/1341985","ETC坏了不给更换")</f>
        <v>ETC坏了不给更换</v>
      </c>
      <c r="C10749" s="2" t="s">
        <v>9</v>
      </c>
      <c r="D10749" s="2" t="s">
        <v>10</v>
      </c>
      <c r="E10749" s="2" t="str">
        <f>HYPERLINK("http://ts.21cn.com/tousu/show/id/1341985","http://ts.21cn.com/tousu/show/id/1341985")</f>
        <v>http://ts.21cn.com/tousu/show/id/1341985</v>
      </c>
      <c r="F10749" s="2" t="s">
        <v>11</v>
      </c>
      <c r="G10749" s="2" t="s">
        <v>23021</v>
      </c>
      <c r="H10749" s="2" t="s">
        <v>23022</v>
      </c>
    </row>
    <row r="10750" spans="1:8" ht="25.05" customHeight="1" x14ac:dyDescent="0.25">
      <c r="A10750" s="2" t="s">
        <v>8</v>
      </c>
      <c r="B10750" s="2" t="str">
        <f>HYPERLINK("http://ts.21cn.com/tousu/show/id/1341986","小象优品提前还款仍有高额利息")</f>
        <v>小象优品提前还款仍有高额利息</v>
      </c>
      <c r="C10750" s="2" t="s">
        <v>9</v>
      </c>
      <c r="D10750" s="2" t="s">
        <v>10</v>
      </c>
      <c r="E10750" s="2" t="str">
        <f>HYPERLINK("http://ts.21cn.com/tousu/show/id/1341986","http://ts.21cn.com/tousu/show/id/1341986")</f>
        <v>http://ts.21cn.com/tousu/show/id/1341986</v>
      </c>
      <c r="F10750" s="2" t="s">
        <v>11</v>
      </c>
      <c r="G10750" s="2" t="s">
        <v>23019</v>
      </c>
      <c r="H10750" s="2" t="s">
        <v>23020</v>
      </c>
    </row>
    <row r="10751" spans="1:8" ht="25.05" customHeight="1" x14ac:dyDescent="0.25">
      <c r="A10751" s="2" t="s">
        <v>8</v>
      </c>
      <c r="B10751" s="2" t="str">
        <f>HYPERLINK("http://ts.21cn.com/tousu/show/id/1341987","星Poss管家无故冻结私自划走我账户资金")</f>
        <v>星Poss管家无故冻结私自划走我账户资金</v>
      </c>
      <c r="C10751" s="2" t="s">
        <v>9</v>
      </c>
      <c r="D10751" s="2" t="s">
        <v>10</v>
      </c>
      <c r="E10751" s="2" t="str">
        <f>HYPERLINK("http://ts.21cn.com/tousu/show/id/1341987","http://ts.21cn.com/tousu/show/id/1341987")</f>
        <v>http://ts.21cn.com/tousu/show/id/1341987</v>
      </c>
      <c r="F10751" s="2" t="s">
        <v>11</v>
      </c>
      <c r="G10751" s="2" t="s">
        <v>23017</v>
      </c>
      <c r="H10751" s="2" t="s">
        <v>23018</v>
      </c>
    </row>
    <row r="10752" spans="1:8" ht="25.05" customHeight="1" x14ac:dyDescent="0.25">
      <c r="A10752" s="2" t="s">
        <v>8</v>
      </c>
      <c r="B10752" s="2" t="str">
        <f>HYPERLINK("http://ts.21cn.com/tousu/show/id/1341989","最后4期。爱咋的就咋的")</f>
        <v>最后4期。爱咋的就咋的</v>
      </c>
      <c r="C10752" s="2" t="s">
        <v>9</v>
      </c>
      <c r="D10752" s="2" t="s">
        <v>10</v>
      </c>
      <c r="E10752" s="2" t="str">
        <f>HYPERLINK("http://ts.21cn.com/tousu/show/id/1341989","http://ts.21cn.com/tousu/show/id/1341989")</f>
        <v>http://ts.21cn.com/tousu/show/id/1341989</v>
      </c>
      <c r="F10752" s="2" t="s">
        <v>11</v>
      </c>
      <c r="G10752" s="2" t="s">
        <v>23015</v>
      </c>
      <c r="H10752" s="2" t="s">
        <v>23016</v>
      </c>
    </row>
    <row r="10753" spans="1:8" ht="25.05" customHeight="1" x14ac:dyDescent="0.25">
      <c r="A10753" s="2" t="s">
        <v>8</v>
      </c>
      <c r="B10753" s="2" t="str">
        <f>HYPERLINK("http://ts.21cn.com/tousu/show/id/1341990","还了钱还一直骚扰")</f>
        <v>还了钱还一直骚扰</v>
      </c>
      <c r="C10753" s="2" t="s">
        <v>9</v>
      </c>
      <c r="D10753" s="2" t="s">
        <v>10</v>
      </c>
      <c r="E10753" s="2" t="str">
        <f>HYPERLINK("http://ts.21cn.com/tousu/show/id/1341990","http://ts.21cn.com/tousu/show/id/1341990")</f>
        <v>http://ts.21cn.com/tousu/show/id/1341990</v>
      </c>
      <c r="F10753" s="2" t="s">
        <v>11</v>
      </c>
      <c r="G10753" s="2" t="s">
        <v>23013</v>
      </c>
      <c r="H10753" s="2" t="s">
        <v>23014</v>
      </c>
    </row>
    <row r="10754" spans="1:8" ht="25.05" customHeight="1" x14ac:dyDescent="0.25">
      <c r="A10754" s="2" t="s">
        <v>8</v>
      </c>
      <c r="B10754" s="2" t="str">
        <f>HYPERLINK("http://ts.21cn.com/tousu/show/id/1341988","我在贷上钱借款一次两千一次两千五，逾期一天打爆通讯，我不是不还，只是它隔一个小时就打电话骚扰我亲朋好友，希望停止骚扰，欠")</f>
        <v>我在贷上钱借款一次两千一次两千五，逾期一天打爆通讯，我不是不还，只是它隔一个小时就打电话骚扰我亲朋好友，希望停止骚扰，欠</v>
      </c>
      <c r="C10754" s="2" t="s">
        <v>9</v>
      </c>
      <c r="D10754" s="2" t="s">
        <v>10</v>
      </c>
      <c r="E10754" s="2" t="str">
        <f>HYPERLINK("http://ts.21cn.com/tousu/show/id/1341988","http://ts.21cn.com/tousu/show/id/1341988")</f>
        <v>http://ts.21cn.com/tousu/show/id/1341988</v>
      </c>
      <c r="F10754" s="2" t="s">
        <v>11</v>
      </c>
      <c r="G10754" s="2" t="s">
        <v>23012</v>
      </c>
      <c r="H10754" s="2" t="s">
        <v>20442</v>
      </c>
    </row>
    <row r="10755" spans="1:8" ht="25.05" customHeight="1" x14ac:dyDescent="0.25">
      <c r="A10755" s="2" t="s">
        <v>8</v>
      </c>
      <c r="B10755" s="2" t="str">
        <f>HYPERLINK("http://ts.21cn.com/tousu/show/id/1341992","活力花逾期费用过高")</f>
        <v>活力花逾期费用过高</v>
      </c>
      <c r="C10755" s="2" t="s">
        <v>9</v>
      </c>
      <c r="D10755" s="2" t="s">
        <v>10</v>
      </c>
      <c r="E10755" s="2" t="str">
        <f>HYPERLINK("http://ts.21cn.com/tousu/show/id/1341992","http://ts.21cn.com/tousu/show/id/1341992")</f>
        <v>http://ts.21cn.com/tousu/show/id/1341992</v>
      </c>
      <c r="F10755" s="2" t="s">
        <v>11</v>
      </c>
      <c r="G10755" s="2" t="s">
        <v>23010</v>
      </c>
      <c r="H10755" s="2" t="s">
        <v>23011</v>
      </c>
    </row>
    <row r="10756" spans="1:8" ht="25.05" customHeight="1" x14ac:dyDescent="0.25">
      <c r="A10756" s="2" t="s">
        <v>8</v>
      </c>
      <c r="B10756" s="2" t="str">
        <f>HYPERLINK("http://ts.21cn.com/tousu/show/id/1341993","凡普催收人员侮辱人威胁我爆我通讯录")</f>
        <v>凡普催收人员侮辱人威胁我爆我通讯录</v>
      </c>
      <c r="C10756" s="2" t="s">
        <v>9</v>
      </c>
      <c r="D10756" s="2" t="s">
        <v>10</v>
      </c>
      <c r="E10756" s="2" t="str">
        <f>HYPERLINK("http://ts.21cn.com/tousu/show/id/1341993","http://ts.21cn.com/tousu/show/id/1341993")</f>
        <v>http://ts.21cn.com/tousu/show/id/1341993</v>
      </c>
      <c r="F10756" s="2" t="s">
        <v>11</v>
      </c>
      <c r="G10756" s="2" t="s">
        <v>23008</v>
      </c>
      <c r="H10756" s="2" t="s">
        <v>23009</v>
      </c>
    </row>
    <row r="10757" spans="1:8" ht="25.05" customHeight="1" x14ac:dyDescent="0.25">
      <c r="A10757" s="2" t="s">
        <v>8</v>
      </c>
      <c r="B10757" s="2" t="str">
        <f>HYPERLINK("http://ts.21cn.com/tousu/show/id/1341994","美团平台恶意扣款")</f>
        <v>美团平台恶意扣款</v>
      </c>
      <c r="C10757" s="2" t="s">
        <v>9</v>
      </c>
      <c r="D10757" s="2" t="s">
        <v>10</v>
      </c>
      <c r="E10757" s="2" t="str">
        <f>HYPERLINK("http://ts.21cn.com/tousu/show/id/1341994","http://ts.21cn.com/tousu/show/id/1341994")</f>
        <v>http://ts.21cn.com/tousu/show/id/1341994</v>
      </c>
      <c r="F10757" s="2" t="s">
        <v>11</v>
      </c>
      <c r="G10757" s="2" t="s">
        <v>23006</v>
      </c>
      <c r="H10757" s="2" t="s">
        <v>23007</v>
      </c>
    </row>
    <row r="10758" spans="1:8" ht="25.05" customHeight="1" x14ac:dyDescent="0.25">
      <c r="A10758" s="2" t="s">
        <v>8</v>
      </c>
      <c r="B10758" s="2" t="str">
        <f>HYPERLINK("http://ts.21cn.com/tousu/show/id/1341996","借现金")</f>
        <v>借现金</v>
      </c>
      <c r="C10758" s="2" t="s">
        <v>9</v>
      </c>
      <c r="D10758" s="2" t="s">
        <v>10</v>
      </c>
      <c r="E10758" s="2" t="str">
        <f>HYPERLINK("http://ts.21cn.com/tousu/show/id/1341996","http://ts.21cn.com/tousu/show/id/1341996")</f>
        <v>http://ts.21cn.com/tousu/show/id/1341996</v>
      </c>
      <c r="F10758" s="2" t="s">
        <v>11</v>
      </c>
      <c r="G10758" s="2" t="s">
        <v>23004</v>
      </c>
      <c r="H10758" s="2" t="s">
        <v>23005</v>
      </c>
    </row>
    <row r="10759" spans="1:8" ht="25.05" customHeight="1" x14ac:dyDescent="0.25">
      <c r="A10759" s="2" t="s">
        <v>8</v>
      </c>
      <c r="B10759" s="2" t="str">
        <f>HYPERLINK("http://ts.21cn.com/tousu/show/id/1341995","9月份结清账款未销账")</f>
        <v>9月份结清账款未销账</v>
      </c>
      <c r="C10759" s="2" t="s">
        <v>9</v>
      </c>
      <c r="D10759" s="2" t="s">
        <v>10</v>
      </c>
      <c r="E10759" s="2" t="str">
        <f>HYPERLINK("http://ts.21cn.com/tousu/show/id/1341995","http://ts.21cn.com/tousu/show/id/1341995")</f>
        <v>http://ts.21cn.com/tousu/show/id/1341995</v>
      </c>
      <c r="F10759" s="2" t="s">
        <v>11</v>
      </c>
      <c r="G10759" s="2" t="s">
        <v>23002</v>
      </c>
      <c r="H10759" s="2" t="s">
        <v>23003</v>
      </c>
    </row>
    <row r="10760" spans="1:8" ht="25.05" customHeight="1" x14ac:dyDescent="0.25">
      <c r="A10760" s="2" t="s">
        <v>8</v>
      </c>
      <c r="B10760" s="2" t="str">
        <f>HYPERLINK("http://ts.21cn.com/tousu/show/id/1341997","小浦优客未经同意扣款")</f>
        <v>小浦优客未经同意扣款</v>
      </c>
      <c r="C10760" s="2" t="s">
        <v>34</v>
      </c>
      <c r="D10760" s="2" t="s">
        <v>10</v>
      </c>
      <c r="E10760" s="2" t="str">
        <f>HYPERLINK("http://ts.21cn.com/tousu/show/id/1341997","http://ts.21cn.com/tousu/show/id/1341997")</f>
        <v>http://ts.21cn.com/tousu/show/id/1341997</v>
      </c>
      <c r="F10760" s="2" t="s">
        <v>11</v>
      </c>
      <c r="G10760" s="2" t="s">
        <v>23000</v>
      </c>
      <c r="H10760" s="2" t="s">
        <v>23001</v>
      </c>
    </row>
    <row r="10761" spans="1:8" ht="25.05" customHeight="1" x14ac:dyDescent="0.25">
      <c r="A10761" s="2" t="s">
        <v>8</v>
      </c>
      <c r="B10761" s="2" t="str">
        <f>HYPERLINK("http://ts.21cn.com/tousu/show/id/1341998","自由魔卡平台")</f>
        <v>自由魔卡平台</v>
      </c>
      <c r="C10761" s="2" t="s">
        <v>9</v>
      </c>
      <c r="D10761" s="2" t="s">
        <v>10</v>
      </c>
      <c r="E10761" s="2" t="str">
        <f>HYPERLINK("http://ts.21cn.com/tousu/show/id/1341998","http://ts.21cn.com/tousu/show/id/1341998")</f>
        <v>http://ts.21cn.com/tousu/show/id/1341998</v>
      </c>
      <c r="F10761" s="2" t="s">
        <v>11</v>
      </c>
      <c r="G10761" s="2" t="s">
        <v>22998</v>
      </c>
      <c r="H10761" s="2" t="s">
        <v>22999</v>
      </c>
    </row>
    <row r="10762" spans="1:8" ht="25.05" customHeight="1" x14ac:dyDescent="0.25">
      <c r="A10762" s="2" t="s">
        <v>8</v>
      </c>
      <c r="B10762" s="2" t="str">
        <f>HYPERLINK("http://ts.21cn.com/tousu/show/id/1341999","京东金融暴力催收")</f>
        <v>京东金融暴力催收</v>
      </c>
      <c r="C10762" s="2" t="s">
        <v>9</v>
      </c>
      <c r="D10762" s="2" t="s">
        <v>10</v>
      </c>
      <c r="E10762" s="2" t="str">
        <f>HYPERLINK("http://ts.21cn.com/tousu/show/id/1341999","http://ts.21cn.com/tousu/show/id/1341999")</f>
        <v>http://ts.21cn.com/tousu/show/id/1341999</v>
      </c>
      <c r="F10762" s="2" t="s">
        <v>11</v>
      </c>
      <c r="G10762" s="2" t="s">
        <v>22996</v>
      </c>
      <c r="H10762" s="2" t="s">
        <v>22997</v>
      </c>
    </row>
    <row r="10763" spans="1:8" ht="25.05" customHeight="1" x14ac:dyDescent="0.25">
      <c r="A10763" s="2" t="s">
        <v>8</v>
      </c>
      <c r="B10763" s="2" t="str">
        <f>HYPERLINK("http://ts.21cn.com/tousu/show/id/1342001","易起来超利贷暴力催收")</f>
        <v>易起来超利贷暴力催收</v>
      </c>
      <c r="C10763" s="2" t="s">
        <v>9</v>
      </c>
      <c r="D10763" s="2" t="s">
        <v>10</v>
      </c>
      <c r="E10763" s="2" t="str">
        <f>HYPERLINK("http://ts.21cn.com/tousu/show/id/1342001","http://ts.21cn.com/tousu/show/id/1342001")</f>
        <v>http://ts.21cn.com/tousu/show/id/1342001</v>
      </c>
      <c r="F10763" s="2" t="s">
        <v>11</v>
      </c>
      <c r="G10763" s="2" t="s">
        <v>22994</v>
      </c>
      <c r="H10763" s="2" t="s">
        <v>22995</v>
      </c>
    </row>
    <row r="10764" spans="1:8" ht="25.05" customHeight="1" x14ac:dyDescent="0.25">
      <c r="A10764" s="2" t="s">
        <v>8</v>
      </c>
      <c r="B10764" s="2" t="str">
        <f>HYPERLINK("http://ts.21cn.com/tousu/show/id/1342000","拇指下款私自扣款")</f>
        <v>拇指下款私自扣款</v>
      </c>
      <c r="C10764" s="2" t="s">
        <v>9</v>
      </c>
      <c r="D10764" s="2" t="s">
        <v>10</v>
      </c>
      <c r="E10764" s="2" t="str">
        <f>HYPERLINK("http://ts.21cn.com/tousu/show/id/1342000","http://ts.21cn.com/tousu/show/id/1342000")</f>
        <v>http://ts.21cn.com/tousu/show/id/1342000</v>
      </c>
      <c r="F10764" s="2" t="s">
        <v>11</v>
      </c>
      <c r="G10764" s="2" t="s">
        <v>22992</v>
      </c>
      <c r="H10764" s="2" t="s">
        <v>22993</v>
      </c>
    </row>
    <row r="10765" spans="1:8" ht="25.05" customHeight="1" x14ac:dyDescent="0.25">
      <c r="A10765" s="2" t="s">
        <v>8</v>
      </c>
      <c r="B10765" s="2" t="str">
        <f>HYPERLINK("http://ts.21cn.com/tousu/show/id/1342002","我是美团众包的一名骑手，一直在正常跑单，从上周到现在突然抢不了跑腿订单，我联系平台客服，客服说系统检测我疑似使用外挂抢单")</f>
        <v>我是美团众包的一名骑手，一直在正常跑单，从上周到现在突然抢不了跑腿订单，我联系平台客服，客服说系统检测我疑似使用外挂抢单</v>
      </c>
      <c r="C10765" s="2" t="s">
        <v>9</v>
      </c>
      <c r="D10765" s="2" t="s">
        <v>10</v>
      </c>
      <c r="E10765" s="2" t="str">
        <f>HYPERLINK("http://ts.21cn.com/tousu/show/id/1342002","http://ts.21cn.com/tousu/show/id/1342002")</f>
        <v>http://ts.21cn.com/tousu/show/id/1342002</v>
      </c>
      <c r="F10765" s="2" t="s">
        <v>11</v>
      </c>
      <c r="G10765" s="2" t="s">
        <v>22990</v>
      </c>
      <c r="H10765" s="2" t="s">
        <v>22991</v>
      </c>
    </row>
    <row r="10766" spans="1:8" ht="25.05" customHeight="1" x14ac:dyDescent="0.25">
      <c r="A10766" s="2" t="s">
        <v>8</v>
      </c>
      <c r="B10766" s="2" t="str">
        <f>HYPERLINK("http://ts.21cn.com/tousu/show/id/1342003","拍拍贷暴力催收")</f>
        <v>拍拍贷暴力催收</v>
      </c>
      <c r="C10766" s="2" t="s">
        <v>9</v>
      </c>
      <c r="D10766" s="2" t="s">
        <v>10</v>
      </c>
      <c r="E10766" s="2" t="str">
        <f>HYPERLINK("http://ts.21cn.com/tousu/show/id/1342003","http://ts.21cn.com/tousu/show/id/1342003")</f>
        <v>http://ts.21cn.com/tousu/show/id/1342003</v>
      </c>
      <c r="F10766" s="2" t="s">
        <v>11</v>
      </c>
      <c r="G10766" s="2" t="s">
        <v>22988</v>
      </c>
      <c r="H10766" s="2" t="s">
        <v>22989</v>
      </c>
    </row>
    <row r="10767" spans="1:8" ht="25.05" customHeight="1" x14ac:dyDescent="0.25">
      <c r="A10767" s="2" t="s">
        <v>8</v>
      </c>
      <c r="B10767" s="2" t="str">
        <f>HYPERLINK("http://ts.21cn.com/tousu/show/id/1342004","收保费，变相高利贷，")</f>
        <v>收保费，变相高利贷，</v>
      </c>
      <c r="C10767" s="2" t="s">
        <v>9</v>
      </c>
      <c r="D10767" s="2" t="s">
        <v>10</v>
      </c>
      <c r="E10767" s="2" t="str">
        <f>HYPERLINK("http://ts.21cn.com/tousu/show/id/1342004","http://ts.21cn.com/tousu/show/id/1342004")</f>
        <v>http://ts.21cn.com/tousu/show/id/1342004</v>
      </c>
      <c r="F10767" s="2" t="s">
        <v>11</v>
      </c>
      <c r="G10767" s="2" t="s">
        <v>22986</v>
      </c>
      <c r="H10767" s="2" t="s">
        <v>22987</v>
      </c>
    </row>
    <row r="10768" spans="1:8" ht="25.05" customHeight="1" x14ac:dyDescent="0.25">
      <c r="A10768" s="2" t="s">
        <v>8</v>
      </c>
      <c r="B10768" s="2" t="str">
        <f>HYPERLINK("http://ts.21cn.com/tousu/show/id/1341967","今日头条")</f>
        <v>今日头条</v>
      </c>
      <c r="C10768" s="2" t="s">
        <v>9</v>
      </c>
      <c r="D10768" s="2" t="s">
        <v>10</v>
      </c>
      <c r="E10768" s="2" t="str">
        <f>HYPERLINK("http://ts.21cn.com/tousu/show/id/1341967","http://ts.21cn.com/tousu/show/id/1341967")</f>
        <v>http://ts.21cn.com/tousu/show/id/1341967</v>
      </c>
      <c r="F10768" s="2" t="s">
        <v>11</v>
      </c>
      <c r="G10768" s="2" t="s">
        <v>22984</v>
      </c>
      <c r="H10768" s="2" t="s">
        <v>22985</v>
      </c>
    </row>
    <row r="10769" spans="1:8" ht="25.05" customHeight="1" x14ac:dyDescent="0.25">
      <c r="A10769" s="2" t="s">
        <v>8</v>
      </c>
      <c r="B10769" s="2" t="str">
        <f>HYPERLINK("http://ts.21cn.com/tousu/show/id/1342005","价格和实际价格不一样")</f>
        <v>价格和实际价格不一样</v>
      </c>
      <c r="C10769" s="2" t="s">
        <v>34</v>
      </c>
      <c r="D10769" s="2" t="s">
        <v>10</v>
      </c>
      <c r="E10769" s="2" t="str">
        <f>HYPERLINK("http://ts.21cn.com/tousu/show/id/1342005","http://ts.21cn.com/tousu/show/id/1342005")</f>
        <v>http://ts.21cn.com/tousu/show/id/1342005</v>
      </c>
      <c r="F10769" s="2" t="s">
        <v>11</v>
      </c>
      <c r="G10769" s="2" t="s">
        <v>22982</v>
      </c>
      <c r="H10769" s="2" t="s">
        <v>22983</v>
      </c>
    </row>
    <row r="10770" spans="1:8" ht="25.05" customHeight="1" x14ac:dyDescent="0.25">
      <c r="A10770" s="2" t="s">
        <v>8</v>
      </c>
      <c r="B10770" s="2" t="str">
        <f>HYPERLINK("http://ts.21cn.com/tousu/show/id/1342006","不明扣款")</f>
        <v>不明扣款</v>
      </c>
      <c r="C10770" s="2" t="s">
        <v>34</v>
      </c>
      <c r="D10770" s="2" t="s">
        <v>10</v>
      </c>
      <c r="E10770" s="2" t="str">
        <f>HYPERLINK("http://ts.21cn.com/tousu/show/id/1342006","http://ts.21cn.com/tousu/show/id/1342006")</f>
        <v>http://ts.21cn.com/tousu/show/id/1342006</v>
      </c>
      <c r="F10770" s="2" t="s">
        <v>11</v>
      </c>
      <c r="G10770" s="2" t="s">
        <v>22980</v>
      </c>
      <c r="H10770" s="2" t="s">
        <v>22981</v>
      </c>
    </row>
    <row r="10771" spans="1:8" ht="25.05" customHeight="1" x14ac:dyDescent="0.25">
      <c r="A10771" s="2" t="s">
        <v>8</v>
      </c>
      <c r="B10771" s="2" t="str">
        <f>HYPERLINK("http://ts.21cn.com/tousu/show/id/1342007","分期乐软暴力催收")</f>
        <v>分期乐软暴力催收</v>
      </c>
      <c r="C10771" s="2" t="s">
        <v>9</v>
      </c>
      <c r="D10771" s="2" t="s">
        <v>10</v>
      </c>
      <c r="E10771" s="2" t="str">
        <f>HYPERLINK("http://ts.21cn.com/tousu/show/id/1342007","http://ts.21cn.com/tousu/show/id/1342007")</f>
        <v>http://ts.21cn.com/tousu/show/id/1342007</v>
      </c>
      <c r="F10771" s="2" t="s">
        <v>11</v>
      </c>
      <c r="G10771" s="2" t="s">
        <v>22978</v>
      </c>
      <c r="H10771" s="2" t="s">
        <v>22979</v>
      </c>
    </row>
    <row r="10772" spans="1:8" ht="25.05" customHeight="1" x14ac:dyDescent="0.25">
      <c r="A10772" s="2" t="s">
        <v>8</v>
      </c>
      <c r="B10772" s="2" t="str">
        <f>HYPERLINK("http://ts.21cn.com/tousu/show/id/1342009","浦发信用卡雇佣不明身份第三方到单位骚扰")</f>
        <v>浦发信用卡雇佣不明身份第三方到单位骚扰</v>
      </c>
      <c r="C10772" s="2" t="s">
        <v>9</v>
      </c>
      <c r="D10772" s="2" t="s">
        <v>10</v>
      </c>
      <c r="E10772" s="2" t="str">
        <f>HYPERLINK("http://ts.21cn.com/tousu/show/id/1342009","http://ts.21cn.com/tousu/show/id/1342009")</f>
        <v>http://ts.21cn.com/tousu/show/id/1342009</v>
      </c>
      <c r="F10772" s="2" t="s">
        <v>11</v>
      </c>
      <c r="G10772" s="2" t="s">
        <v>22976</v>
      </c>
      <c r="H10772" s="2" t="s">
        <v>22977</v>
      </c>
    </row>
    <row r="10773" spans="1:8" ht="25.05" customHeight="1" x14ac:dyDescent="0.25">
      <c r="A10773" s="2" t="s">
        <v>8</v>
      </c>
      <c r="B10773" s="2" t="str">
        <f>HYPERLINK("http://ts.21cn.com/tousu/show/id/1342010","骂人催收")</f>
        <v>骂人催收</v>
      </c>
      <c r="C10773" s="2" t="s">
        <v>9</v>
      </c>
      <c r="D10773" s="2" t="s">
        <v>10</v>
      </c>
      <c r="E10773" s="2" t="str">
        <f>HYPERLINK("http://ts.21cn.com/tousu/show/id/1342010","http://ts.21cn.com/tousu/show/id/1342010")</f>
        <v>http://ts.21cn.com/tousu/show/id/1342010</v>
      </c>
      <c r="F10773" s="2" t="s">
        <v>11</v>
      </c>
      <c r="G10773" s="2" t="s">
        <v>22974</v>
      </c>
      <c r="H10773" s="2" t="s">
        <v>22975</v>
      </c>
    </row>
    <row r="10774" spans="1:8" ht="25.05" customHeight="1" x14ac:dyDescent="0.25">
      <c r="A10774" s="2" t="s">
        <v>8</v>
      </c>
      <c r="B10774" s="2" t="str">
        <f>HYPERLINK("http://ts.21cn.com/tousu/show/id/1342011","支付宝账户无法注销")</f>
        <v>支付宝账户无法注销</v>
      </c>
      <c r="C10774" s="2" t="s">
        <v>34</v>
      </c>
      <c r="D10774" s="2" t="s">
        <v>10</v>
      </c>
      <c r="E10774" s="2" t="str">
        <f>HYPERLINK("http://ts.21cn.com/tousu/show/id/1342011","http://ts.21cn.com/tousu/show/id/1342011")</f>
        <v>http://ts.21cn.com/tousu/show/id/1342011</v>
      </c>
      <c r="F10774" s="2" t="s">
        <v>11</v>
      </c>
      <c r="G10774" s="2" t="s">
        <v>22972</v>
      </c>
      <c r="H10774" s="2" t="s">
        <v>22973</v>
      </c>
    </row>
    <row r="10775" spans="1:8" ht="25.05" customHeight="1" x14ac:dyDescent="0.25">
      <c r="A10775" s="2" t="s">
        <v>8</v>
      </c>
      <c r="B10775" s="2" t="str">
        <f>HYPERLINK("http://ts.21cn.com/tousu/show/id/1342013","招联金融一而再再而三的骚扰家人和朋友")</f>
        <v>招联金融一而再再而三的骚扰家人和朋友</v>
      </c>
      <c r="C10775" s="2" t="s">
        <v>9</v>
      </c>
      <c r="D10775" s="2" t="s">
        <v>10</v>
      </c>
      <c r="E10775" s="2" t="str">
        <f>HYPERLINK("http://ts.21cn.com/tousu/show/id/1342013","http://ts.21cn.com/tousu/show/id/1342013")</f>
        <v>http://ts.21cn.com/tousu/show/id/1342013</v>
      </c>
      <c r="F10775" s="2" t="s">
        <v>11</v>
      </c>
      <c r="G10775" s="2" t="s">
        <v>22970</v>
      </c>
      <c r="H10775" s="2" t="s">
        <v>22971</v>
      </c>
    </row>
    <row r="10776" spans="1:8" ht="25.05" customHeight="1" x14ac:dyDescent="0.25">
      <c r="A10776" s="2" t="s">
        <v>8</v>
      </c>
      <c r="B10776" s="2" t="str">
        <f>HYPERLINK("http://ts.21cn.com/tousu/show/id/1342014","鄂尔多斯机场易通行商旅卡退卡")</f>
        <v>鄂尔多斯机场易通行商旅卡退卡</v>
      </c>
      <c r="C10776" s="2" t="s">
        <v>9</v>
      </c>
      <c r="D10776" s="2" t="s">
        <v>10</v>
      </c>
      <c r="E10776" s="2" t="str">
        <f>HYPERLINK("http://ts.21cn.com/tousu/show/id/1342014","http://ts.21cn.com/tousu/show/id/1342014")</f>
        <v>http://ts.21cn.com/tousu/show/id/1342014</v>
      </c>
      <c r="F10776" s="2" t="s">
        <v>11</v>
      </c>
      <c r="G10776" s="2" t="s">
        <v>22968</v>
      </c>
      <c r="H10776" s="2" t="s">
        <v>22969</v>
      </c>
    </row>
    <row r="10777" spans="1:8" ht="25.05" customHeight="1" x14ac:dyDescent="0.25">
      <c r="A10777" s="2" t="s">
        <v>8</v>
      </c>
      <c r="B10777" s="2" t="str">
        <f>HYPERLINK("http://ts.21cn.com/tousu/show/id/1342015","贷上钱暴力催收，非法获取通讯录详情单以游戏豆为由砍头息高利贷")</f>
        <v>贷上钱暴力催收，非法获取通讯录详情单以游戏豆为由砍头息高利贷</v>
      </c>
      <c r="C10777" s="2" t="s">
        <v>9</v>
      </c>
      <c r="D10777" s="2" t="s">
        <v>10</v>
      </c>
      <c r="E10777" s="2" t="str">
        <f>HYPERLINK("http://ts.21cn.com/tousu/show/id/1342015","http://ts.21cn.com/tousu/show/id/1342015")</f>
        <v>http://ts.21cn.com/tousu/show/id/1342015</v>
      </c>
      <c r="F10777" s="2" t="s">
        <v>11</v>
      </c>
      <c r="G10777" s="2" t="s">
        <v>22966</v>
      </c>
      <c r="H10777" s="2" t="s">
        <v>22967</v>
      </c>
    </row>
    <row r="10778" spans="1:8" ht="25.05" customHeight="1" x14ac:dyDescent="0.25">
      <c r="A10778" s="2" t="s">
        <v>8</v>
      </c>
      <c r="B10778" s="2" t="str">
        <f>HYPERLINK("http://ts.21cn.com/tousu/show/id/1342016","爱又米还有没有一点守法意识")</f>
        <v>爱又米还有没有一点守法意识</v>
      </c>
      <c r="C10778" s="2" t="s">
        <v>34</v>
      </c>
      <c r="D10778" s="2" t="s">
        <v>10</v>
      </c>
      <c r="E10778" s="2" t="str">
        <f>HYPERLINK("http://ts.21cn.com/tousu/show/id/1342016","http://ts.21cn.com/tousu/show/id/1342016")</f>
        <v>http://ts.21cn.com/tousu/show/id/1342016</v>
      </c>
      <c r="F10778" s="2" t="s">
        <v>11</v>
      </c>
      <c r="G10778" s="2" t="s">
        <v>22964</v>
      </c>
      <c r="H10778" s="2" t="s">
        <v>22965</v>
      </c>
    </row>
    <row r="10779" spans="1:8" ht="25.05" customHeight="1" x14ac:dyDescent="0.25">
      <c r="A10779" s="2" t="s">
        <v>8</v>
      </c>
      <c r="B10779" s="2" t="str">
        <f>HYPERLINK("http://ts.21cn.com/tousu/show/id/1342017","强行还款")</f>
        <v>强行还款</v>
      </c>
      <c r="C10779" s="2" t="s">
        <v>9</v>
      </c>
      <c r="D10779" s="2" t="s">
        <v>10</v>
      </c>
      <c r="E10779" s="2" t="str">
        <f>HYPERLINK("http://ts.21cn.com/tousu/show/id/1342017","http://ts.21cn.com/tousu/show/id/1342017")</f>
        <v>http://ts.21cn.com/tousu/show/id/1342017</v>
      </c>
      <c r="F10779" s="2" t="s">
        <v>11</v>
      </c>
      <c r="G10779" s="2" t="s">
        <v>22962</v>
      </c>
      <c r="H10779" s="2" t="s">
        <v>22963</v>
      </c>
    </row>
    <row r="10780" spans="1:8" ht="25.05" customHeight="1" x14ac:dyDescent="0.25">
      <c r="A10780" s="2" t="s">
        <v>8</v>
      </c>
      <c r="B10780" s="2" t="str">
        <f>HYPERLINK("http://ts.21cn.com/tousu/show/id/1342019","马上金融超高利息客服拒绝协商结清金额！")</f>
        <v>马上金融超高利息客服拒绝协商结清金额！</v>
      </c>
      <c r="C10780" s="2" t="s">
        <v>9</v>
      </c>
      <c r="D10780" s="2" t="s">
        <v>10</v>
      </c>
      <c r="E10780" s="2" t="str">
        <f>HYPERLINK("http://ts.21cn.com/tousu/show/id/1342019","http://ts.21cn.com/tousu/show/id/1342019")</f>
        <v>http://ts.21cn.com/tousu/show/id/1342019</v>
      </c>
      <c r="F10780" s="2" t="s">
        <v>11</v>
      </c>
      <c r="G10780" s="2" t="s">
        <v>22960</v>
      </c>
      <c r="H10780" s="2" t="s">
        <v>22961</v>
      </c>
    </row>
    <row r="10781" spans="1:8" ht="25.05" customHeight="1" x14ac:dyDescent="0.25">
      <c r="A10781" s="2" t="s">
        <v>8</v>
      </c>
      <c r="B10781" s="2" t="str">
        <f>HYPERLINK("http://ts.21cn.com/tousu/show/id/1342018","恒富创融科技钱橙无忧恶意扣款168")</f>
        <v>恒富创融科技钱橙无忧恶意扣款168</v>
      </c>
      <c r="C10781" s="2" t="s">
        <v>9</v>
      </c>
      <c r="D10781" s="2" t="s">
        <v>10</v>
      </c>
      <c r="E10781" s="2" t="str">
        <f>HYPERLINK("http://ts.21cn.com/tousu/show/id/1342018","http://ts.21cn.com/tousu/show/id/1342018")</f>
        <v>http://ts.21cn.com/tousu/show/id/1342018</v>
      </c>
      <c r="F10781" s="2" t="s">
        <v>11</v>
      </c>
      <c r="G10781" s="2" t="s">
        <v>22958</v>
      </c>
      <c r="H10781" s="2" t="s">
        <v>22959</v>
      </c>
    </row>
    <row r="10782" spans="1:8" ht="25.05" customHeight="1" x14ac:dyDescent="0.25">
      <c r="A10782" s="2" t="s">
        <v>8</v>
      </c>
      <c r="B10782" s="2" t="str">
        <f>HYPERLINK("http://ts.21cn.com/tousu/show/id/1342020","发票抬头错误，不愿意更改")</f>
        <v>发票抬头错误，不愿意更改</v>
      </c>
      <c r="C10782" s="2" t="s">
        <v>34</v>
      </c>
      <c r="D10782" s="2" t="s">
        <v>10</v>
      </c>
      <c r="E10782" s="2" t="str">
        <f>HYPERLINK("http://ts.21cn.com/tousu/show/id/1342020","http://ts.21cn.com/tousu/show/id/1342020")</f>
        <v>http://ts.21cn.com/tousu/show/id/1342020</v>
      </c>
      <c r="F10782" s="2" t="s">
        <v>11</v>
      </c>
      <c r="G10782" s="2" t="s">
        <v>22956</v>
      </c>
      <c r="H10782" s="2" t="s">
        <v>22957</v>
      </c>
    </row>
    <row r="10783" spans="1:8" ht="25.05" customHeight="1" x14ac:dyDescent="0.25">
      <c r="A10783" s="2" t="s">
        <v>8</v>
      </c>
      <c r="B10783" s="2" t="str">
        <f>HYPERLINK("http://ts.21cn.com/tousu/show/id/1342021","阳光保险贷款高额保险费和管理费")</f>
        <v>阳光保险贷款高额保险费和管理费</v>
      </c>
      <c r="C10783" s="2" t="s">
        <v>9</v>
      </c>
      <c r="D10783" s="2" t="s">
        <v>10</v>
      </c>
      <c r="E10783" s="2" t="str">
        <f>HYPERLINK("http://ts.21cn.com/tousu/show/id/1342021","http://ts.21cn.com/tousu/show/id/1342021")</f>
        <v>http://ts.21cn.com/tousu/show/id/1342021</v>
      </c>
      <c r="F10783" s="2" t="s">
        <v>11</v>
      </c>
      <c r="G10783" s="2" t="s">
        <v>22954</v>
      </c>
      <c r="H10783" s="2" t="s">
        <v>22955</v>
      </c>
    </row>
    <row r="10784" spans="1:8" ht="25.05" customHeight="1" x14ac:dyDescent="0.25">
      <c r="A10784" s="2" t="s">
        <v>8</v>
      </c>
      <c r="B10784" s="2" t="str">
        <f>HYPERLINK("http://ts.21cn.com/tousu/show/id/1342023","钱站高利贷阴阳合同")</f>
        <v>钱站高利贷阴阳合同</v>
      </c>
      <c r="C10784" s="2" t="s">
        <v>9</v>
      </c>
      <c r="D10784" s="2" t="s">
        <v>10</v>
      </c>
      <c r="E10784" s="2" t="str">
        <f>HYPERLINK("http://ts.21cn.com/tousu/show/id/1342023","http://ts.21cn.com/tousu/show/id/1342023")</f>
        <v>http://ts.21cn.com/tousu/show/id/1342023</v>
      </c>
      <c r="F10784" s="2" t="s">
        <v>11</v>
      </c>
      <c r="G10784" s="2" t="s">
        <v>22952</v>
      </c>
      <c r="H10784" s="2" t="s">
        <v>22953</v>
      </c>
    </row>
    <row r="10785" spans="1:8" ht="25.05" customHeight="1" x14ac:dyDescent="0.25">
      <c r="A10785" s="2" t="s">
        <v>8</v>
      </c>
      <c r="B10785" s="2" t="str">
        <f>HYPERLINK("http://ts.21cn.com/tousu/show/id/1342024","信用卡还款问题")</f>
        <v>信用卡还款问题</v>
      </c>
      <c r="C10785" s="2" t="s">
        <v>9</v>
      </c>
      <c r="D10785" s="2" t="s">
        <v>10</v>
      </c>
      <c r="E10785" s="2" t="str">
        <f>HYPERLINK("http://ts.21cn.com/tousu/show/id/1342024","http://ts.21cn.com/tousu/show/id/1342024")</f>
        <v>http://ts.21cn.com/tousu/show/id/1342024</v>
      </c>
      <c r="F10785" s="2" t="s">
        <v>11</v>
      </c>
      <c r="G10785" s="2" t="s">
        <v>22950</v>
      </c>
      <c r="H10785" s="2" t="s">
        <v>22951</v>
      </c>
    </row>
    <row r="10786" spans="1:8" ht="25.05" customHeight="1" x14ac:dyDescent="0.25">
      <c r="A10786" s="2" t="s">
        <v>8</v>
      </c>
      <c r="B10786" s="2" t="str">
        <f>HYPERLINK("http://ts.21cn.com/tousu/show/id/1342025","投诉揭阳电信乱扣费，在欠费停机状态下继续扣1年费用。")</f>
        <v>投诉揭阳电信乱扣费，在欠费停机状态下继续扣1年费用。</v>
      </c>
      <c r="C10786" s="2" t="s">
        <v>9</v>
      </c>
      <c r="D10786" s="2" t="s">
        <v>10</v>
      </c>
      <c r="E10786" s="2" t="str">
        <f>HYPERLINK("http://ts.21cn.com/tousu/show/id/1342025","http://ts.21cn.com/tousu/show/id/1342025")</f>
        <v>http://ts.21cn.com/tousu/show/id/1342025</v>
      </c>
      <c r="F10786" s="2" t="s">
        <v>11</v>
      </c>
      <c r="G10786" s="2" t="s">
        <v>22948</v>
      </c>
      <c r="H10786" s="2" t="s">
        <v>22949</v>
      </c>
    </row>
    <row r="10787" spans="1:8" ht="25.05" customHeight="1" x14ac:dyDescent="0.25">
      <c r="A10787" s="2" t="s">
        <v>8</v>
      </c>
      <c r="B10787" s="2" t="str">
        <f>HYPERLINK("http://ts.21cn.com/tousu/show/id/1342026","万达普惠催收态度极其恶劣")</f>
        <v>万达普惠催收态度极其恶劣</v>
      </c>
      <c r="C10787" s="2" t="s">
        <v>9</v>
      </c>
      <c r="D10787" s="2" t="s">
        <v>10</v>
      </c>
      <c r="E10787" s="2" t="str">
        <f>HYPERLINK("http://ts.21cn.com/tousu/show/id/1342026","http://ts.21cn.com/tousu/show/id/1342026")</f>
        <v>http://ts.21cn.com/tousu/show/id/1342026</v>
      </c>
      <c r="F10787" s="2" t="s">
        <v>11</v>
      </c>
      <c r="G10787" s="2" t="s">
        <v>22946</v>
      </c>
      <c r="H10787" s="2" t="s">
        <v>22947</v>
      </c>
    </row>
    <row r="10788" spans="1:8" ht="25.05" customHeight="1" x14ac:dyDescent="0.25">
      <c r="A10788" s="2" t="s">
        <v>8</v>
      </c>
      <c r="B10788" s="2" t="str">
        <f>HYPERLINK("http://ts.21cn.com/tousu/show/id/1342027","分期乐再次打电话给到我公司，导致我被开除")</f>
        <v>分期乐再次打电话给到我公司，导致我被开除</v>
      </c>
      <c r="C10788" s="2" t="s">
        <v>9</v>
      </c>
      <c r="D10788" s="2" t="s">
        <v>10</v>
      </c>
      <c r="E10788" s="2" t="str">
        <f>HYPERLINK("http://ts.21cn.com/tousu/show/id/1342027","http://ts.21cn.com/tousu/show/id/1342027")</f>
        <v>http://ts.21cn.com/tousu/show/id/1342027</v>
      </c>
      <c r="F10788" s="2" t="s">
        <v>11</v>
      </c>
      <c r="G10788" s="2" t="s">
        <v>22944</v>
      </c>
      <c r="H10788" s="2" t="s">
        <v>22945</v>
      </c>
    </row>
    <row r="10789" spans="1:8" ht="25.05" customHeight="1" x14ac:dyDescent="0.25">
      <c r="A10789" s="2" t="s">
        <v>8</v>
      </c>
      <c r="B10789" s="2" t="str">
        <f>HYPERLINK("http://ts.21cn.com/tousu/show/id/1342028","聚富分期恶意扣款，要求退款299元")</f>
        <v>聚富分期恶意扣款，要求退款299元</v>
      </c>
      <c r="C10789" s="2" t="s">
        <v>9</v>
      </c>
      <c r="D10789" s="2" t="s">
        <v>10</v>
      </c>
      <c r="E10789" s="2" t="str">
        <f>HYPERLINK("http://ts.21cn.com/tousu/show/id/1342028","http://ts.21cn.com/tousu/show/id/1342028")</f>
        <v>http://ts.21cn.com/tousu/show/id/1342028</v>
      </c>
      <c r="F10789" s="2" t="s">
        <v>11</v>
      </c>
      <c r="G10789" s="2" t="s">
        <v>22942</v>
      </c>
      <c r="H10789" s="2" t="s">
        <v>22943</v>
      </c>
    </row>
    <row r="10790" spans="1:8" ht="25.05" customHeight="1" x14ac:dyDescent="0.25">
      <c r="A10790" s="2" t="s">
        <v>8</v>
      </c>
      <c r="B10790" s="2" t="str">
        <f>HYPERLINK("http://ts.21cn.com/tousu/show/id/1342032","平安信用卡催收恶劣")</f>
        <v>平安信用卡催收恶劣</v>
      </c>
      <c r="C10790" s="2" t="s">
        <v>9</v>
      </c>
      <c r="D10790" s="2" t="s">
        <v>10</v>
      </c>
      <c r="E10790" s="2" t="str">
        <f>HYPERLINK("http://ts.21cn.com/tousu/show/id/1342032","http://ts.21cn.com/tousu/show/id/1342032")</f>
        <v>http://ts.21cn.com/tousu/show/id/1342032</v>
      </c>
      <c r="F10790" s="2" t="s">
        <v>11</v>
      </c>
      <c r="G10790" s="2" t="s">
        <v>22940</v>
      </c>
      <c r="H10790" s="2" t="s">
        <v>22941</v>
      </c>
    </row>
    <row r="10791" spans="1:8" ht="25.05" customHeight="1" x14ac:dyDescent="0.25">
      <c r="A10791" s="2" t="s">
        <v>8</v>
      </c>
      <c r="B10791" s="2" t="str">
        <f>HYPERLINK("http://ts.21cn.com/tousu/show/id/1342030","闪银及贷暴力催收，电话轰炸，辱骂家人。。。")</f>
        <v>闪银及贷暴力催收，电话轰炸，辱骂家人。。。</v>
      </c>
      <c r="C10791" s="2" t="s">
        <v>9</v>
      </c>
      <c r="D10791" s="2" t="s">
        <v>10</v>
      </c>
      <c r="E10791" s="2" t="str">
        <f>HYPERLINK("http://ts.21cn.com/tousu/show/id/1342030","http://ts.21cn.com/tousu/show/id/1342030")</f>
        <v>http://ts.21cn.com/tousu/show/id/1342030</v>
      </c>
      <c r="F10791" s="2" t="s">
        <v>11</v>
      </c>
      <c r="G10791" s="2" t="s">
        <v>22938</v>
      </c>
      <c r="H10791" s="2" t="s">
        <v>22939</v>
      </c>
    </row>
    <row r="10792" spans="1:8" ht="25.05" customHeight="1" x14ac:dyDescent="0.25">
      <c r="A10792" s="2" t="s">
        <v>8</v>
      </c>
      <c r="B10792" s="2" t="str">
        <f>HYPERLINK("http://ts.21cn.com/tousu/show/id/1342031","国美易卡强制扣费变相收取砍头息")</f>
        <v>国美易卡强制扣费变相收取砍头息</v>
      </c>
      <c r="C10792" s="2" t="s">
        <v>9</v>
      </c>
      <c r="D10792" s="2" t="s">
        <v>10</v>
      </c>
      <c r="E10792" s="2" t="str">
        <f>HYPERLINK("http://ts.21cn.com/tousu/show/id/1342031","http://ts.21cn.com/tousu/show/id/1342031")</f>
        <v>http://ts.21cn.com/tousu/show/id/1342031</v>
      </c>
      <c r="F10792" s="2" t="s">
        <v>11</v>
      </c>
      <c r="G10792" s="2" t="s">
        <v>22936</v>
      </c>
      <c r="H10792" s="2" t="s">
        <v>22937</v>
      </c>
    </row>
    <row r="10793" spans="1:8" ht="25.05" customHeight="1" x14ac:dyDescent="0.25">
      <c r="A10793" s="2" t="s">
        <v>8</v>
      </c>
      <c r="B10793" s="2" t="str">
        <f>HYPERLINK("http://ts.21cn.com/tousu/show/id/1342033","51公积金管家平台的51金智货砍头息，60.94的利率高利贷")</f>
        <v>51公积金管家平台的51金智货砍头息，60.94的利率高利贷</v>
      </c>
      <c r="C10793" s="2" t="s">
        <v>9</v>
      </c>
      <c r="D10793" s="2" t="s">
        <v>10</v>
      </c>
      <c r="E10793" s="2" t="str">
        <f>HYPERLINK("http://ts.21cn.com/tousu/show/id/1342033","http://ts.21cn.com/tousu/show/id/1342033")</f>
        <v>http://ts.21cn.com/tousu/show/id/1342033</v>
      </c>
      <c r="F10793" s="2" t="s">
        <v>11</v>
      </c>
      <c r="G10793" s="2" t="s">
        <v>22934</v>
      </c>
      <c r="H10793" s="2" t="s">
        <v>22935</v>
      </c>
    </row>
    <row r="10794" spans="1:8" ht="25.05" customHeight="1" x14ac:dyDescent="0.25">
      <c r="A10794" s="2" t="s">
        <v>8</v>
      </c>
      <c r="B10794" s="2" t="str">
        <f>HYPERLINK("http://ts.21cn.com/tousu/show/id/1342035","及贷收取砍头息阴阳借款合同")</f>
        <v>及贷收取砍头息阴阳借款合同</v>
      </c>
      <c r="C10794" s="2" t="s">
        <v>9</v>
      </c>
      <c r="D10794" s="2" t="s">
        <v>10</v>
      </c>
      <c r="E10794" s="2" t="str">
        <f>HYPERLINK("http://ts.21cn.com/tousu/show/id/1342035","http://ts.21cn.com/tousu/show/id/1342035")</f>
        <v>http://ts.21cn.com/tousu/show/id/1342035</v>
      </c>
      <c r="F10794" s="2" t="s">
        <v>11</v>
      </c>
      <c r="G10794" s="2" t="s">
        <v>22932</v>
      </c>
      <c r="H10794" s="2" t="s">
        <v>22933</v>
      </c>
    </row>
    <row r="10795" spans="1:8" ht="25.05" customHeight="1" x14ac:dyDescent="0.25">
      <c r="A10795" s="2" t="s">
        <v>8</v>
      </c>
      <c r="B10795" s="2" t="str">
        <f>HYPERLINK("http://ts.21cn.com/tousu/show/id/1342034","哈罗出行，去东莞路上要求加价，然后把我女朋友一个人丢在高速上，人跑了")</f>
        <v>哈罗出行，去东莞路上要求加价，然后把我女朋友一个人丢在高速上，人跑了</v>
      </c>
      <c r="C10795" s="2" t="s">
        <v>9</v>
      </c>
      <c r="D10795" s="2" t="s">
        <v>10</v>
      </c>
      <c r="E10795" s="2" t="str">
        <f>HYPERLINK("http://ts.21cn.com/tousu/show/id/1342034","http://ts.21cn.com/tousu/show/id/1342034")</f>
        <v>http://ts.21cn.com/tousu/show/id/1342034</v>
      </c>
      <c r="F10795" s="2" t="s">
        <v>11</v>
      </c>
      <c r="G10795" s="2" t="s">
        <v>22930</v>
      </c>
      <c r="H10795" s="2" t="s">
        <v>22931</v>
      </c>
    </row>
    <row r="10796" spans="1:8" ht="25.05" customHeight="1" x14ac:dyDescent="0.25">
      <c r="A10796" s="2" t="s">
        <v>8</v>
      </c>
      <c r="B10796" s="2" t="str">
        <f>HYPERLINK("http://ts.21cn.com/tousu/show/id/1342036","浦发银行乱扣利息，故意给客户造成高额罚息")</f>
        <v>浦发银行乱扣利息，故意给客户造成高额罚息</v>
      </c>
      <c r="C10796" s="2" t="s">
        <v>9</v>
      </c>
      <c r="D10796" s="2" t="s">
        <v>10</v>
      </c>
      <c r="E10796" s="2" t="str">
        <f>HYPERLINK("http://ts.21cn.com/tousu/show/id/1342036","http://ts.21cn.com/tousu/show/id/1342036")</f>
        <v>http://ts.21cn.com/tousu/show/id/1342036</v>
      </c>
      <c r="F10796" s="2" t="s">
        <v>11</v>
      </c>
      <c r="G10796" s="2" t="s">
        <v>22928</v>
      </c>
      <c r="H10796" s="2" t="s">
        <v>22929</v>
      </c>
    </row>
    <row r="10797" spans="1:8" ht="25.05" customHeight="1" x14ac:dyDescent="0.25">
      <c r="A10797" s="2" t="s">
        <v>8</v>
      </c>
      <c r="B10797" s="2" t="str">
        <f>HYPERLINK("http://ts.21cn.com/tousu/show/id/1342038","你我贷不同意协商还款，暴力催收")</f>
        <v>你我贷不同意协商还款，暴力催收</v>
      </c>
      <c r="C10797" s="2" t="s">
        <v>9</v>
      </c>
      <c r="D10797" s="2" t="s">
        <v>10</v>
      </c>
      <c r="E10797" s="2" t="str">
        <f>HYPERLINK("http://ts.21cn.com/tousu/show/id/1342038","http://ts.21cn.com/tousu/show/id/1342038")</f>
        <v>http://ts.21cn.com/tousu/show/id/1342038</v>
      </c>
      <c r="F10797" s="2" t="s">
        <v>11</v>
      </c>
      <c r="G10797" s="2" t="s">
        <v>22926</v>
      </c>
      <c r="H10797" s="2" t="s">
        <v>22927</v>
      </c>
    </row>
    <row r="10798" spans="1:8" ht="25.05" customHeight="1" x14ac:dyDescent="0.25">
      <c r="A10798" s="2" t="s">
        <v>8</v>
      </c>
      <c r="B10798" s="2" t="str">
        <f>HYPERLINK("http://ts.21cn.com/tousu/show/id/1342040","爱钱进")</f>
        <v>爱钱进</v>
      </c>
      <c r="C10798" s="2" t="s">
        <v>9</v>
      </c>
      <c r="D10798" s="2" t="s">
        <v>10</v>
      </c>
      <c r="E10798" s="2" t="str">
        <f>HYPERLINK("http://ts.21cn.com/tousu/show/id/1342040","http://ts.21cn.com/tousu/show/id/1342040")</f>
        <v>http://ts.21cn.com/tousu/show/id/1342040</v>
      </c>
      <c r="F10798" s="2" t="s">
        <v>11</v>
      </c>
      <c r="G10798" s="2" t="s">
        <v>22924</v>
      </c>
      <c r="H10798" s="2" t="s">
        <v>22925</v>
      </c>
    </row>
    <row r="10799" spans="1:8" ht="25.05" customHeight="1" x14ac:dyDescent="0.25">
      <c r="A10799" s="2" t="s">
        <v>8</v>
      </c>
      <c r="B10799" s="2" t="str">
        <f>HYPERLINK("http://ts.21cn.com/tousu/show/id/1342039","应急贷为高炮平台")</f>
        <v>应急贷为高炮平台</v>
      </c>
      <c r="C10799" s="2" t="s">
        <v>9</v>
      </c>
      <c r="D10799" s="2" t="s">
        <v>10</v>
      </c>
      <c r="E10799" s="2" t="str">
        <f>HYPERLINK("http://ts.21cn.com/tousu/show/id/1342039","http://ts.21cn.com/tousu/show/id/1342039")</f>
        <v>http://ts.21cn.com/tousu/show/id/1342039</v>
      </c>
      <c r="F10799" s="2" t="s">
        <v>11</v>
      </c>
      <c r="G10799" s="2" t="s">
        <v>22922</v>
      </c>
      <c r="H10799" s="2" t="s">
        <v>22923</v>
      </c>
    </row>
    <row r="10800" spans="1:8" ht="25.05" customHeight="1" x14ac:dyDescent="0.25">
      <c r="A10800" s="2" t="s">
        <v>8</v>
      </c>
      <c r="B10800" s="2" t="str">
        <f>HYPERLINK("http://ts.21cn.com/tousu/show/id/1342042","暴力催收")</f>
        <v>暴力催收</v>
      </c>
      <c r="C10800" s="2" t="s">
        <v>9</v>
      </c>
      <c r="D10800" s="2" t="s">
        <v>10</v>
      </c>
      <c r="E10800" s="2" t="str">
        <f>HYPERLINK("http://ts.21cn.com/tousu/show/id/1342042","http://ts.21cn.com/tousu/show/id/1342042")</f>
        <v>http://ts.21cn.com/tousu/show/id/1342042</v>
      </c>
      <c r="F10800" s="2" t="s">
        <v>11</v>
      </c>
      <c r="G10800" s="2" t="s">
        <v>22920</v>
      </c>
      <c r="H10800" s="2" t="s">
        <v>22921</v>
      </c>
    </row>
    <row r="10801" spans="1:8" ht="25.05" customHeight="1" x14ac:dyDescent="0.25">
      <c r="A10801" s="2" t="s">
        <v>8</v>
      </c>
      <c r="B10801" s="2" t="str">
        <f>HYPERLINK("http://ts.21cn.com/tousu/show/id/1342048","退货不退款")</f>
        <v>退货不退款</v>
      </c>
      <c r="C10801" s="2" t="s">
        <v>9</v>
      </c>
      <c r="D10801" s="2" t="s">
        <v>10</v>
      </c>
      <c r="E10801" s="2" t="str">
        <f>HYPERLINK("http://ts.21cn.com/tousu/show/id/1342048","http://ts.21cn.com/tousu/show/id/1342048")</f>
        <v>http://ts.21cn.com/tousu/show/id/1342048</v>
      </c>
      <c r="F10801" s="2" t="s">
        <v>11</v>
      </c>
      <c r="G10801" s="2" t="s">
        <v>22917</v>
      </c>
      <c r="H10801" s="2" t="s">
        <v>22918</v>
      </c>
    </row>
    <row r="10802" spans="1:8" ht="25.05" customHeight="1" x14ac:dyDescent="0.25">
      <c r="A10802" s="2" t="s">
        <v>8</v>
      </c>
      <c r="B10802" s="2" t="str">
        <f>HYPERLINK("http://ts.21cn.com/tousu/show/id/1342044","浦发信用卡申请协商还款")</f>
        <v>浦发信用卡申请协商还款</v>
      </c>
      <c r="C10802" s="2" t="s">
        <v>9</v>
      </c>
      <c r="D10802" s="2" t="s">
        <v>10</v>
      </c>
      <c r="E10802" s="2" t="str">
        <f>HYPERLINK("http://ts.21cn.com/tousu/show/id/1342044","http://ts.21cn.com/tousu/show/id/1342044")</f>
        <v>http://ts.21cn.com/tousu/show/id/1342044</v>
      </c>
      <c r="F10802" s="2" t="s">
        <v>11</v>
      </c>
      <c r="G10802" s="2" t="s">
        <v>22917</v>
      </c>
      <c r="H10802" s="2" t="s">
        <v>22919</v>
      </c>
    </row>
    <row r="10803" spans="1:8" ht="25.05" customHeight="1" x14ac:dyDescent="0.25">
      <c r="A10803" s="2" t="s">
        <v>8</v>
      </c>
      <c r="B10803" s="2" t="str">
        <f>HYPERLINK("http://ts.21cn.com/tousu/show/id/1342045","本人学生着急用钱。押金退还时间太长")</f>
        <v>本人学生着急用钱。押金退还时间太长</v>
      </c>
      <c r="C10803" s="2" t="s">
        <v>9</v>
      </c>
      <c r="D10803" s="2" t="s">
        <v>10</v>
      </c>
      <c r="E10803" s="2" t="str">
        <f>HYPERLINK("http://ts.21cn.com/tousu/show/id/1342045","http://ts.21cn.com/tousu/show/id/1342045")</f>
        <v>http://ts.21cn.com/tousu/show/id/1342045</v>
      </c>
      <c r="F10803" s="2" t="s">
        <v>11</v>
      </c>
      <c r="G10803" s="2" t="s">
        <v>22915</v>
      </c>
      <c r="H10803" s="2" t="s">
        <v>22916</v>
      </c>
    </row>
    <row r="10804" spans="1:8" ht="25.05" customHeight="1" x14ac:dyDescent="0.25">
      <c r="A10804" s="2" t="s">
        <v>8</v>
      </c>
      <c r="B10804" s="2" t="str">
        <f>HYPERLINK("http://ts.21cn.com/tousu/show/id/1342047","电信宽带合同到期，并且手机和宽带都停止服务，还进行长期扣费")</f>
        <v>电信宽带合同到期，并且手机和宽带都停止服务，还进行长期扣费</v>
      </c>
      <c r="C10804" s="2" t="s">
        <v>34</v>
      </c>
      <c r="D10804" s="2" t="s">
        <v>10</v>
      </c>
      <c r="E10804" s="2" t="str">
        <f>HYPERLINK("http://ts.21cn.com/tousu/show/id/1342047","http://ts.21cn.com/tousu/show/id/1342047")</f>
        <v>http://ts.21cn.com/tousu/show/id/1342047</v>
      </c>
      <c r="F10804" s="2" t="s">
        <v>11</v>
      </c>
      <c r="G10804" s="2" t="s">
        <v>22913</v>
      </c>
      <c r="H10804" s="2" t="s">
        <v>22914</v>
      </c>
    </row>
    <row r="10805" spans="1:8" ht="25.05" customHeight="1" x14ac:dyDescent="0.25">
      <c r="A10805" s="2" t="s">
        <v>8</v>
      </c>
      <c r="B10805" s="2" t="str">
        <f>HYPERLINK("http://ts.21cn.com/tousu/show/id/949314","严重骚扰家人，家人无法正常生活，")</f>
        <v>严重骚扰家人，家人无法正常生活，</v>
      </c>
      <c r="C10805" s="2" t="s">
        <v>9</v>
      </c>
      <c r="D10805" s="2" t="s">
        <v>10</v>
      </c>
      <c r="E10805" s="2" t="str">
        <f>HYPERLINK("http://ts.21cn.com/tousu/show/id/949314","http://ts.21cn.com/tousu/show/id/949314")</f>
        <v>http://ts.21cn.com/tousu/show/id/949314</v>
      </c>
      <c r="F10805" s="2" t="s">
        <v>11</v>
      </c>
      <c r="G10805" s="2" t="s">
        <v>22911</v>
      </c>
      <c r="H10805" s="2" t="s">
        <v>22912</v>
      </c>
    </row>
    <row r="10806" spans="1:8" ht="25.05" customHeight="1" x14ac:dyDescent="0.25">
      <c r="A10806" s="2" t="s">
        <v>8</v>
      </c>
      <c r="B10806" s="2" t="str">
        <f>HYPERLINK("http://ts.21cn.com/tousu/show/id/1342049","长虹chiq电视机，升级系统后开机15s广告，无法关闭")</f>
        <v>长虹chiq电视机，升级系统后开机15s广告，无法关闭</v>
      </c>
      <c r="C10806" s="2" t="s">
        <v>34</v>
      </c>
      <c r="D10806" s="2" t="s">
        <v>10</v>
      </c>
      <c r="E10806" s="2" t="str">
        <f>HYPERLINK("http://ts.21cn.com/tousu/show/id/1342049","http://ts.21cn.com/tousu/show/id/1342049")</f>
        <v>http://ts.21cn.com/tousu/show/id/1342049</v>
      </c>
      <c r="F10806" s="2" t="s">
        <v>11</v>
      </c>
      <c r="G10806" s="2" t="s">
        <v>22909</v>
      </c>
      <c r="H10806" s="2" t="s">
        <v>22910</v>
      </c>
    </row>
    <row r="10807" spans="1:8" ht="25.05" customHeight="1" x14ac:dyDescent="0.25">
      <c r="A10807" s="2" t="s">
        <v>8</v>
      </c>
      <c r="B10807" s="2" t="str">
        <f>HYPERLINK("http://ts.21cn.com/tousu/show/id/1342051","恒企霸王条款不给退款")</f>
        <v>恒企霸王条款不给退款</v>
      </c>
      <c r="C10807" s="2" t="s">
        <v>9</v>
      </c>
      <c r="D10807" s="2" t="s">
        <v>10</v>
      </c>
      <c r="E10807" s="2" t="str">
        <f>HYPERLINK("http://ts.21cn.com/tousu/show/id/1342051","http://ts.21cn.com/tousu/show/id/1342051")</f>
        <v>http://ts.21cn.com/tousu/show/id/1342051</v>
      </c>
      <c r="F10807" s="2" t="s">
        <v>11</v>
      </c>
      <c r="G10807" s="2" t="s">
        <v>22907</v>
      </c>
      <c r="H10807" s="2" t="s">
        <v>22908</v>
      </c>
    </row>
    <row r="10808" spans="1:8" ht="25.05" customHeight="1" x14ac:dyDescent="0.25">
      <c r="A10808" s="2" t="s">
        <v>8</v>
      </c>
      <c r="B10808" s="2" t="str">
        <f>HYPERLINK("http://ts.21cn.com/tousu/show/id/1342052","未经本人同意私自乱扣费")</f>
        <v>未经本人同意私自乱扣费</v>
      </c>
      <c r="C10808" s="2" t="s">
        <v>9</v>
      </c>
      <c r="D10808" s="2" t="s">
        <v>10</v>
      </c>
      <c r="E10808" s="2" t="str">
        <f>HYPERLINK("http://ts.21cn.com/tousu/show/id/1342052","http://ts.21cn.com/tousu/show/id/1342052")</f>
        <v>http://ts.21cn.com/tousu/show/id/1342052</v>
      </c>
      <c r="F10808" s="2" t="s">
        <v>11</v>
      </c>
      <c r="G10808" s="2" t="s">
        <v>22905</v>
      </c>
      <c r="H10808" s="2" t="s">
        <v>22906</v>
      </c>
    </row>
    <row r="10809" spans="1:8" ht="25.05" customHeight="1" x14ac:dyDescent="0.25">
      <c r="A10809" s="2" t="s">
        <v>8</v>
      </c>
      <c r="B10809" s="2" t="str">
        <f>HYPERLINK("http://ts.21cn.com/tousu/show/id/1342055","豹子贷无故扣钱不需要还要扣")</f>
        <v>豹子贷无故扣钱不需要还要扣</v>
      </c>
      <c r="C10809" s="2" t="s">
        <v>9</v>
      </c>
      <c r="D10809" s="2" t="s">
        <v>10</v>
      </c>
      <c r="E10809" s="2" t="str">
        <f>HYPERLINK("http://ts.21cn.com/tousu/show/id/1342055","http://ts.21cn.com/tousu/show/id/1342055")</f>
        <v>http://ts.21cn.com/tousu/show/id/1342055</v>
      </c>
      <c r="F10809" s="2" t="s">
        <v>11</v>
      </c>
      <c r="G10809" s="2" t="s">
        <v>22903</v>
      </c>
      <c r="H10809" s="2" t="s">
        <v>22904</v>
      </c>
    </row>
    <row r="10810" spans="1:8" ht="25.05" customHeight="1" x14ac:dyDescent="0.25">
      <c r="A10810" s="2" t="s">
        <v>8</v>
      </c>
      <c r="B10810" s="2" t="str">
        <f>HYPERLINK("http://ts.21cn.com/tousu/show/id/1342053","万惠及贷变相收取高额息费以及暴力催收")</f>
        <v>万惠及贷变相收取高额息费以及暴力催收</v>
      </c>
      <c r="C10810" s="2" t="s">
        <v>9</v>
      </c>
      <c r="D10810" s="2" t="s">
        <v>10</v>
      </c>
      <c r="E10810" s="2" t="str">
        <f>HYPERLINK("http://ts.21cn.com/tousu/show/id/1342053","http://ts.21cn.com/tousu/show/id/1342053")</f>
        <v>http://ts.21cn.com/tousu/show/id/1342053</v>
      </c>
      <c r="F10810" s="2" t="s">
        <v>11</v>
      </c>
      <c r="G10810" s="2" t="s">
        <v>22901</v>
      </c>
      <c r="H10810" s="2" t="s">
        <v>22902</v>
      </c>
    </row>
    <row r="10811" spans="1:8" ht="25.05" customHeight="1" x14ac:dyDescent="0.25">
      <c r="A10811" s="2" t="s">
        <v>8</v>
      </c>
      <c r="B10811" s="2" t="str">
        <f>HYPERLINK("http://ts.21cn.com/tousu/show/id/1342054","小赢卡贷，未经过我同意的情况下让借款人写我作为紧急联系人，一直打电话骚扰")</f>
        <v>小赢卡贷，未经过我同意的情况下让借款人写我作为紧急联系人，一直打电话骚扰</v>
      </c>
      <c r="C10811" s="2" t="s">
        <v>9</v>
      </c>
      <c r="D10811" s="2" t="s">
        <v>10</v>
      </c>
      <c r="E10811" s="2" t="str">
        <f>HYPERLINK("http://ts.21cn.com/tousu/show/id/1342054","http://ts.21cn.com/tousu/show/id/1342054")</f>
        <v>http://ts.21cn.com/tousu/show/id/1342054</v>
      </c>
      <c r="F10811" s="2" t="s">
        <v>11</v>
      </c>
      <c r="G10811" s="2" t="s">
        <v>22899</v>
      </c>
      <c r="H10811" s="2" t="s">
        <v>22900</v>
      </c>
    </row>
    <row r="10812" spans="1:8" ht="25.05" customHeight="1" x14ac:dyDescent="0.25">
      <c r="A10812" s="2" t="s">
        <v>8</v>
      </c>
      <c r="B10812" s="2" t="str">
        <f>HYPERLINK("http://ts.21cn.com/tousu/show/id/1342057","多宝分期")</f>
        <v>多宝分期</v>
      </c>
      <c r="C10812" s="2" t="s">
        <v>9</v>
      </c>
      <c r="D10812" s="2" t="s">
        <v>10</v>
      </c>
      <c r="E10812" s="2" t="str">
        <f>HYPERLINK("http://ts.21cn.com/tousu/show/id/1342057","http://ts.21cn.com/tousu/show/id/1342057")</f>
        <v>http://ts.21cn.com/tousu/show/id/1342057</v>
      </c>
      <c r="F10812" s="2" t="s">
        <v>11</v>
      </c>
      <c r="G10812" s="2" t="s">
        <v>22897</v>
      </c>
      <c r="H10812" s="2" t="s">
        <v>22898</v>
      </c>
    </row>
    <row r="10813" spans="1:8" ht="25.05" customHeight="1" x14ac:dyDescent="0.25">
      <c r="A10813" s="2" t="s">
        <v>8</v>
      </c>
      <c r="B10813" s="2" t="str">
        <f>HYPERLINK("http://ts.21cn.com/tousu/show/id/1342058","网贷公司钱站砍头息，贷款金额6500，下款金额5000，多次交涉无果。")</f>
        <v>网贷公司钱站砍头息，贷款金额6500，下款金额5000，多次交涉无果。</v>
      </c>
      <c r="C10813" s="2" t="s">
        <v>9</v>
      </c>
      <c r="D10813" s="2" t="s">
        <v>10</v>
      </c>
      <c r="E10813" s="2" t="str">
        <f>HYPERLINK("http://ts.21cn.com/tousu/show/id/1342058","http://ts.21cn.com/tousu/show/id/1342058")</f>
        <v>http://ts.21cn.com/tousu/show/id/1342058</v>
      </c>
      <c r="F10813" s="2" t="s">
        <v>11</v>
      </c>
      <c r="G10813" s="2" t="s">
        <v>22895</v>
      </c>
      <c r="H10813" s="2" t="s">
        <v>22896</v>
      </c>
    </row>
    <row r="10814" spans="1:8" ht="25.05" customHeight="1" x14ac:dyDescent="0.25">
      <c r="A10814" s="2" t="s">
        <v>8</v>
      </c>
      <c r="B10814" s="2" t="str">
        <f>HYPERLINK("http://ts.21cn.com/tousu/show/id/1342059","51人品贷催收态度恶略，无法有效沟通")</f>
        <v>51人品贷催收态度恶略，无法有效沟通</v>
      </c>
      <c r="C10814" s="2" t="s">
        <v>9</v>
      </c>
      <c r="D10814" s="2" t="s">
        <v>10</v>
      </c>
      <c r="E10814" s="2" t="str">
        <f>HYPERLINK("http://ts.21cn.com/tousu/show/id/1342059","http://ts.21cn.com/tousu/show/id/1342059")</f>
        <v>http://ts.21cn.com/tousu/show/id/1342059</v>
      </c>
      <c r="F10814" s="2" t="s">
        <v>11</v>
      </c>
      <c r="G10814" s="2" t="s">
        <v>22893</v>
      </c>
      <c r="H10814" s="2" t="s">
        <v>22894</v>
      </c>
    </row>
    <row r="10815" spans="1:8" ht="25.05" customHeight="1" x14ac:dyDescent="0.25">
      <c r="A10815" s="2" t="s">
        <v>8</v>
      </c>
      <c r="B10815" s="2" t="str">
        <f>HYPERLINK("http://ts.21cn.com/tousu/show/id/1342060","钱站")</f>
        <v>钱站</v>
      </c>
      <c r="C10815" s="2" t="s">
        <v>9</v>
      </c>
      <c r="D10815" s="2" t="s">
        <v>10</v>
      </c>
      <c r="E10815" s="2" t="str">
        <f>HYPERLINK("http://ts.21cn.com/tousu/show/id/1342060","http://ts.21cn.com/tousu/show/id/1342060")</f>
        <v>http://ts.21cn.com/tousu/show/id/1342060</v>
      </c>
      <c r="F10815" s="2" t="s">
        <v>11</v>
      </c>
      <c r="G10815" s="2" t="s">
        <v>22891</v>
      </c>
      <c r="H10815" s="2" t="s">
        <v>22892</v>
      </c>
    </row>
    <row r="10816" spans="1:8" ht="25.05" customHeight="1" x14ac:dyDescent="0.25">
      <c r="A10816" s="2" t="s">
        <v>8</v>
      </c>
      <c r="B10816" s="2" t="str">
        <f>HYPERLINK("http://ts.21cn.com/tousu/show/id/1342061","拍拍贷")</f>
        <v>拍拍贷</v>
      </c>
      <c r="C10816" s="2" t="s">
        <v>9</v>
      </c>
      <c r="D10816" s="2" t="s">
        <v>10</v>
      </c>
      <c r="E10816" s="2" t="str">
        <f>HYPERLINK("http://ts.21cn.com/tousu/show/id/1342061","http://ts.21cn.com/tousu/show/id/1342061")</f>
        <v>http://ts.21cn.com/tousu/show/id/1342061</v>
      </c>
      <c r="F10816" s="2" t="s">
        <v>11</v>
      </c>
      <c r="G10816" s="2" t="s">
        <v>22889</v>
      </c>
      <c r="H10816" s="2" t="s">
        <v>22890</v>
      </c>
    </row>
    <row r="10817" spans="1:8" ht="25.05" customHeight="1" x14ac:dyDescent="0.25">
      <c r="A10817" s="2" t="s">
        <v>8</v>
      </c>
      <c r="B10817" s="2" t="str">
        <f>HYPERLINK("http://ts.21cn.com/tousu/show/id/1342063","钱站高利贷阴阳合同")</f>
        <v>钱站高利贷阴阳合同</v>
      </c>
      <c r="C10817" s="2" t="s">
        <v>9</v>
      </c>
      <c r="D10817" s="2" t="s">
        <v>10</v>
      </c>
      <c r="E10817" s="2" t="str">
        <f>HYPERLINK("http://ts.21cn.com/tousu/show/id/1342063","http://ts.21cn.com/tousu/show/id/1342063")</f>
        <v>http://ts.21cn.com/tousu/show/id/1342063</v>
      </c>
      <c r="F10817" s="2" t="s">
        <v>11</v>
      </c>
      <c r="G10817" s="2" t="s">
        <v>22887</v>
      </c>
      <c r="H10817" s="2" t="s">
        <v>22888</v>
      </c>
    </row>
    <row r="10818" spans="1:8" ht="25.05" customHeight="1" x14ac:dyDescent="0.25">
      <c r="A10818" s="2" t="s">
        <v>8</v>
      </c>
      <c r="B10818" s="2" t="str">
        <f>HYPERLINK("http://ts.21cn.com/tousu/show/id/1342064","阳光保险集团公司违规办理车贷，逾期一天就威胁拖车")</f>
        <v>阳光保险集团公司违规办理车贷，逾期一天就威胁拖车</v>
      </c>
      <c r="C10818" s="2" t="s">
        <v>9</v>
      </c>
      <c r="D10818" s="2" t="s">
        <v>10</v>
      </c>
      <c r="E10818" s="2" t="str">
        <f>HYPERLINK("http://ts.21cn.com/tousu/show/id/1342064","http://ts.21cn.com/tousu/show/id/1342064")</f>
        <v>http://ts.21cn.com/tousu/show/id/1342064</v>
      </c>
      <c r="F10818" s="2" t="s">
        <v>11</v>
      </c>
      <c r="G10818" s="2" t="s">
        <v>22885</v>
      </c>
      <c r="H10818" s="2" t="s">
        <v>22886</v>
      </c>
    </row>
    <row r="10819" spans="1:8" ht="25.05" customHeight="1" x14ac:dyDescent="0.25">
      <c r="A10819" s="2" t="s">
        <v>8</v>
      </c>
      <c r="B10819" s="2" t="str">
        <f>HYPERLINK("http://ts.21cn.com/tousu/show/id/1342065","支付宝未经练习人同意情况之下联系紧急联系人")</f>
        <v>支付宝未经练习人同意情况之下联系紧急联系人</v>
      </c>
      <c r="C10819" s="2" t="s">
        <v>9</v>
      </c>
      <c r="D10819" s="2" t="s">
        <v>10</v>
      </c>
      <c r="E10819" s="2" t="str">
        <f>HYPERLINK("http://ts.21cn.com/tousu/show/id/1342065","http://ts.21cn.com/tousu/show/id/1342065")</f>
        <v>http://ts.21cn.com/tousu/show/id/1342065</v>
      </c>
      <c r="F10819" s="2" t="s">
        <v>11</v>
      </c>
      <c r="G10819" s="2" t="s">
        <v>22883</v>
      </c>
      <c r="H10819" s="2" t="s">
        <v>22884</v>
      </c>
    </row>
    <row r="10820" spans="1:8" ht="25.05" customHeight="1" x14ac:dyDescent="0.25">
      <c r="A10820" s="2" t="s">
        <v>8</v>
      </c>
      <c r="B10820" s="2" t="str">
        <f>HYPERLINK("http://ts.21cn.com/tousu/show/id/1342066","蟹老弟砍头息高利贷")</f>
        <v>蟹老弟砍头息高利贷</v>
      </c>
      <c r="C10820" s="2" t="s">
        <v>9</v>
      </c>
      <c r="D10820" s="2" t="s">
        <v>10</v>
      </c>
      <c r="E10820" s="2" t="str">
        <f>HYPERLINK("http://ts.21cn.com/tousu/show/id/1342066","http://ts.21cn.com/tousu/show/id/1342066")</f>
        <v>http://ts.21cn.com/tousu/show/id/1342066</v>
      </c>
      <c r="F10820" s="2" t="s">
        <v>11</v>
      </c>
      <c r="G10820" s="2" t="s">
        <v>22881</v>
      </c>
      <c r="H10820" s="2" t="s">
        <v>22882</v>
      </c>
    </row>
    <row r="10821" spans="1:8" ht="25.05" customHeight="1" x14ac:dyDescent="0.25">
      <c r="A10821" s="2" t="s">
        <v>8</v>
      </c>
      <c r="B10821" s="2" t="str">
        <f>HYPERLINK("http://ts.21cn.com/tousu/show/id/1342012","小树时代砍头息，乱收费，暴力催收")</f>
        <v>小树时代砍头息，乱收费，暴力催收</v>
      </c>
      <c r="C10821" s="2" t="s">
        <v>9</v>
      </c>
      <c r="D10821" s="2" t="s">
        <v>10</v>
      </c>
      <c r="E10821" s="2" t="str">
        <f>HYPERLINK("http://ts.21cn.com/tousu/show/id/1342012","http://ts.21cn.com/tousu/show/id/1342012")</f>
        <v>http://ts.21cn.com/tousu/show/id/1342012</v>
      </c>
      <c r="F10821" s="2" t="s">
        <v>11</v>
      </c>
      <c r="G10821" s="2" t="s">
        <v>22879</v>
      </c>
      <c r="H10821" s="2" t="s">
        <v>22880</v>
      </c>
    </row>
    <row r="10822" spans="1:8" ht="25.05" customHeight="1" x14ac:dyDescent="0.25">
      <c r="A10822" s="2" t="s">
        <v>8</v>
      </c>
      <c r="B10822" s="2" t="str">
        <f>HYPERLINK("http://ts.21cn.com/tousu/show/id/1342067","天游彩票娱乐")</f>
        <v>天游彩票娱乐</v>
      </c>
      <c r="C10822" s="2" t="s">
        <v>34</v>
      </c>
      <c r="D10822" s="2" t="s">
        <v>10</v>
      </c>
      <c r="E10822" s="2" t="str">
        <f>HYPERLINK("http://ts.21cn.com/tousu/show/id/1342067","http://ts.21cn.com/tousu/show/id/1342067")</f>
        <v>http://ts.21cn.com/tousu/show/id/1342067</v>
      </c>
      <c r="F10822" s="2" t="s">
        <v>11</v>
      </c>
      <c r="G10822" s="2" t="s">
        <v>22877</v>
      </c>
      <c r="H10822" s="2" t="s">
        <v>22878</v>
      </c>
    </row>
    <row r="10823" spans="1:8" ht="25.05" customHeight="1" x14ac:dyDescent="0.25">
      <c r="A10823" s="2" t="s">
        <v>8</v>
      </c>
      <c r="B10823" s="2" t="str">
        <f>HYPERLINK("http://ts.21cn.com/tousu/show/id/1342068","招联金融疯狂催收")</f>
        <v>招联金融疯狂催收</v>
      </c>
      <c r="C10823" s="2" t="s">
        <v>9</v>
      </c>
      <c r="D10823" s="2" t="s">
        <v>10</v>
      </c>
      <c r="E10823" s="2" t="str">
        <f>HYPERLINK("http://ts.21cn.com/tousu/show/id/1342068","http://ts.21cn.com/tousu/show/id/1342068")</f>
        <v>http://ts.21cn.com/tousu/show/id/1342068</v>
      </c>
      <c r="F10823" s="2" t="s">
        <v>11</v>
      </c>
      <c r="G10823" s="2" t="s">
        <v>22875</v>
      </c>
      <c r="H10823" s="2" t="s">
        <v>22876</v>
      </c>
    </row>
    <row r="10824" spans="1:8" ht="25.05" customHeight="1" x14ac:dyDescent="0.25">
      <c r="A10824" s="2" t="s">
        <v>8</v>
      </c>
      <c r="B10824" s="2" t="str">
        <f>HYPERLINK("http://ts.21cn.com/tousu/show/id/1342070","拍拍贷高利贷，要求归还超36%非法收益")</f>
        <v>拍拍贷高利贷，要求归还超36%非法收益</v>
      </c>
      <c r="C10824" s="2" t="s">
        <v>9</v>
      </c>
      <c r="D10824" s="2" t="s">
        <v>10</v>
      </c>
      <c r="E10824" s="2" t="str">
        <f>HYPERLINK("http://ts.21cn.com/tousu/show/id/1342070","http://ts.21cn.com/tousu/show/id/1342070")</f>
        <v>http://ts.21cn.com/tousu/show/id/1342070</v>
      </c>
      <c r="F10824" s="2" t="s">
        <v>11</v>
      </c>
      <c r="G10824" s="2" t="s">
        <v>22873</v>
      </c>
      <c r="H10824" s="2" t="s">
        <v>22874</v>
      </c>
    </row>
    <row r="10825" spans="1:8" ht="25.05" customHeight="1" x14ac:dyDescent="0.25">
      <c r="A10825" s="2" t="s">
        <v>8</v>
      </c>
      <c r="B10825" s="2" t="str">
        <f>HYPERLINK("http://ts.21cn.com/tousu/show/id/1342069","钱站没人处理")</f>
        <v>钱站没人处理</v>
      </c>
      <c r="C10825" s="2" t="s">
        <v>9</v>
      </c>
      <c r="D10825" s="2" t="s">
        <v>10</v>
      </c>
      <c r="E10825" s="2" t="str">
        <f>HYPERLINK("http://ts.21cn.com/tousu/show/id/1342069","http://ts.21cn.com/tousu/show/id/1342069")</f>
        <v>http://ts.21cn.com/tousu/show/id/1342069</v>
      </c>
      <c r="F10825" s="2" t="s">
        <v>11</v>
      </c>
      <c r="G10825" s="2" t="s">
        <v>22871</v>
      </c>
      <c r="H10825" s="2" t="s">
        <v>22872</v>
      </c>
    </row>
    <row r="10826" spans="1:8" ht="25.05" customHeight="1" x14ac:dyDescent="0.25">
      <c r="A10826" s="2" t="s">
        <v>8</v>
      </c>
      <c r="B10826" s="2" t="str">
        <f>HYPERLINK("http://ts.21cn.com/tousu/show/id/1342071","拼多多恶意退款给客户")</f>
        <v>拼多多恶意退款给客户</v>
      </c>
      <c r="C10826" s="2" t="s">
        <v>9</v>
      </c>
      <c r="D10826" s="2" t="s">
        <v>10</v>
      </c>
      <c r="E10826" s="2" t="str">
        <f>HYPERLINK("http://ts.21cn.com/tousu/show/id/1342071","http://ts.21cn.com/tousu/show/id/1342071")</f>
        <v>http://ts.21cn.com/tousu/show/id/1342071</v>
      </c>
      <c r="F10826" s="2" t="s">
        <v>11</v>
      </c>
      <c r="G10826" s="2" t="s">
        <v>22869</v>
      </c>
      <c r="H10826" s="2" t="s">
        <v>22870</v>
      </c>
    </row>
    <row r="10827" spans="1:8" ht="25.05" customHeight="1" x14ac:dyDescent="0.25">
      <c r="A10827" s="2" t="s">
        <v>8</v>
      </c>
      <c r="B10827" s="2" t="str">
        <f>HYPERLINK("http://ts.21cn.com/tousu/show/id/1342046","贷款欺诈")</f>
        <v>贷款欺诈</v>
      </c>
      <c r="C10827" s="2" t="s">
        <v>9</v>
      </c>
      <c r="D10827" s="2" t="s">
        <v>10</v>
      </c>
      <c r="E10827" s="2" t="str">
        <f>HYPERLINK("http://ts.21cn.com/tousu/show/id/1342046","http://ts.21cn.com/tousu/show/id/1342046")</f>
        <v>http://ts.21cn.com/tousu/show/id/1342046</v>
      </c>
      <c r="F10827" s="2" t="s">
        <v>11</v>
      </c>
      <c r="G10827" s="2" t="s">
        <v>22867</v>
      </c>
      <c r="H10827" s="2" t="s">
        <v>22868</v>
      </c>
    </row>
    <row r="10828" spans="1:8" ht="25.05" customHeight="1" x14ac:dyDescent="0.25">
      <c r="A10828" s="2" t="s">
        <v>8</v>
      </c>
      <c r="B10828" s="2" t="str">
        <f>HYPERLINK("http://ts.21cn.com/tousu/show/id/1342073","钱橙无忧随意扣费")</f>
        <v>钱橙无忧随意扣费</v>
      </c>
      <c r="C10828" s="2" t="s">
        <v>9</v>
      </c>
      <c r="D10828" s="2" t="s">
        <v>10</v>
      </c>
      <c r="E10828" s="2" t="str">
        <f>HYPERLINK("http://ts.21cn.com/tousu/show/id/1342073","http://ts.21cn.com/tousu/show/id/1342073")</f>
        <v>http://ts.21cn.com/tousu/show/id/1342073</v>
      </c>
      <c r="F10828" s="2" t="s">
        <v>11</v>
      </c>
      <c r="G10828" s="2" t="s">
        <v>22865</v>
      </c>
      <c r="H10828" s="2" t="s">
        <v>22866</v>
      </c>
    </row>
    <row r="10829" spans="1:8" ht="25.05" customHeight="1" x14ac:dyDescent="0.25">
      <c r="A10829" s="2" t="s">
        <v>8</v>
      </c>
      <c r="B10829" s="2" t="str">
        <f>HYPERLINK("http://ts.21cn.com/tousu/show/id/1342072","诺诺镑客旗下现金贷产品麦子金服&amp;白领金库非法高利息")</f>
        <v>诺诺镑客旗下现金贷产品麦子金服&amp;白领金库非法高利息</v>
      </c>
      <c r="C10829" s="2" t="s">
        <v>9</v>
      </c>
      <c r="D10829" s="2" t="s">
        <v>10</v>
      </c>
      <c r="E10829" s="2" t="str">
        <f>HYPERLINK("http://ts.21cn.com/tousu/show/id/1342072","http://ts.21cn.com/tousu/show/id/1342072")</f>
        <v>http://ts.21cn.com/tousu/show/id/1342072</v>
      </c>
      <c r="F10829" s="2" t="s">
        <v>11</v>
      </c>
      <c r="G10829" s="2" t="s">
        <v>22863</v>
      </c>
      <c r="H10829" s="2" t="s">
        <v>22864</v>
      </c>
    </row>
    <row r="10830" spans="1:8" ht="25.05" customHeight="1" x14ac:dyDescent="0.25">
      <c r="A10830" s="2" t="s">
        <v>8</v>
      </c>
      <c r="B10830" s="2" t="str">
        <f>HYPERLINK("http://ts.21cn.com/tousu/show/id/1342074","无缘无故扣我卡里的钱")</f>
        <v>无缘无故扣我卡里的钱</v>
      </c>
      <c r="C10830" s="2" t="s">
        <v>9</v>
      </c>
      <c r="D10830" s="2" t="s">
        <v>10</v>
      </c>
      <c r="E10830" s="2" t="str">
        <f>HYPERLINK("http://ts.21cn.com/tousu/show/id/1342074","http://ts.21cn.com/tousu/show/id/1342074")</f>
        <v>http://ts.21cn.com/tousu/show/id/1342074</v>
      </c>
      <c r="F10830" s="2" t="s">
        <v>11</v>
      </c>
      <c r="G10830" s="2" t="s">
        <v>22861</v>
      </c>
      <c r="H10830" s="2" t="s">
        <v>22862</v>
      </c>
    </row>
    <row r="10831" spans="1:8" ht="25.05" customHeight="1" x14ac:dyDescent="0.25">
      <c r="A10831" s="2" t="s">
        <v>8</v>
      </c>
      <c r="B10831" s="2" t="str">
        <f>HYPERLINK("http://ts.21cn.com/tousu/show/id/1342076","猫眼邀请新人活动不给提现")</f>
        <v>猫眼邀请新人活动不给提现</v>
      </c>
      <c r="C10831" s="2" t="s">
        <v>34</v>
      </c>
      <c r="D10831" s="2" t="s">
        <v>10</v>
      </c>
      <c r="E10831" s="2" t="str">
        <f>HYPERLINK("http://ts.21cn.com/tousu/show/id/1342076","http://ts.21cn.com/tousu/show/id/1342076")</f>
        <v>http://ts.21cn.com/tousu/show/id/1342076</v>
      </c>
      <c r="F10831" s="2" t="s">
        <v>11</v>
      </c>
      <c r="G10831" s="2" t="s">
        <v>22859</v>
      </c>
      <c r="H10831" s="2" t="s">
        <v>22860</v>
      </c>
    </row>
    <row r="10832" spans="1:8" ht="25.05" customHeight="1" x14ac:dyDescent="0.25">
      <c r="A10832" s="2" t="s">
        <v>8</v>
      </c>
      <c r="B10832" s="2" t="str">
        <f>HYPERLINK("http://ts.21cn.com/tousu/show/id/1342077","人人贷砍头息高息")</f>
        <v>人人贷砍头息高息</v>
      </c>
      <c r="C10832" s="2" t="s">
        <v>34</v>
      </c>
      <c r="D10832" s="2" t="s">
        <v>10</v>
      </c>
      <c r="E10832" s="2" t="str">
        <f>HYPERLINK("http://ts.21cn.com/tousu/show/id/1342077","http://ts.21cn.com/tousu/show/id/1342077")</f>
        <v>http://ts.21cn.com/tousu/show/id/1342077</v>
      </c>
      <c r="F10832" s="2" t="s">
        <v>11</v>
      </c>
      <c r="G10832" s="2" t="s">
        <v>22857</v>
      </c>
      <c r="H10832" s="2" t="s">
        <v>22858</v>
      </c>
    </row>
    <row r="10833" spans="1:8" ht="25.05" customHeight="1" x14ac:dyDescent="0.25">
      <c r="A10833" s="2" t="s">
        <v>8</v>
      </c>
      <c r="B10833" s="2" t="str">
        <f>HYPERLINK("http://ts.21cn.com/tousu/show/id/1342078","关于美约app乱扣费问题，免费试用后，自动续费会员一年298元")</f>
        <v>关于美约app乱扣费问题，免费试用后，自动续费会员一年298元</v>
      </c>
      <c r="C10833" s="2" t="s">
        <v>34</v>
      </c>
      <c r="D10833" s="2" t="s">
        <v>10</v>
      </c>
      <c r="E10833" s="2" t="str">
        <f>HYPERLINK("http://ts.21cn.com/tousu/show/id/1342078","http://ts.21cn.com/tousu/show/id/1342078")</f>
        <v>http://ts.21cn.com/tousu/show/id/1342078</v>
      </c>
      <c r="F10833" s="2" t="s">
        <v>11</v>
      </c>
      <c r="G10833" s="2" t="s">
        <v>22855</v>
      </c>
      <c r="H10833" s="2" t="s">
        <v>22856</v>
      </c>
    </row>
    <row r="10834" spans="1:8" ht="25.05" customHeight="1" x14ac:dyDescent="0.25">
      <c r="A10834" s="2" t="s">
        <v>8</v>
      </c>
      <c r="B10834" s="2" t="str">
        <f>HYPERLINK("http://ts.21cn.com/tousu/show/id/1342079","美团违法催收")</f>
        <v>美团违法催收</v>
      </c>
      <c r="C10834" s="2" t="s">
        <v>9</v>
      </c>
      <c r="D10834" s="2" t="s">
        <v>10</v>
      </c>
      <c r="E10834" s="2" t="str">
        <f>HYPERLINK("http://ts.21cn.com/tousu/show/id/1342079","http://ts.21cn.com/tousu/show/id/1342079")</f>
        <v>http://ts.21cn.com/tousu/show/id/1342079</v>
      </c>
      <c r="F10834" s="2" t="s">
        <v>11</v>
      </c>
      <c r="G10834" s="2" t="s">
        <v>22853</v>
      </c>
      <c r="H10834" s="2" t="s">
        <v>22854</v>
      </c>
    </row>
    <row r="10835" spans="1:8" ht="25.05" customHeight="1" x14ac:dyDescent="0.25">
      <c r="A10835" s="2" t="s">
        <v>8</v>
      </c>
      <c r="B10835" s="2" t="str">
        <f>HYPERLINK("http://ts.21cn.com/tousu/show/id/1342080","小浦优客未经许可乱扣费")</f>
        <v>小浦优客未经许可乱扣费</v>
      </c>
      <c r="C10835" s="2" t="s">
        <v>9</v>
      </c>
      <c r="D10835" s="2" t="s">
        <v>10</v>
      </c>
      <c r="E10835" s="2" t="str">
        <f>HYPERLINK("http://ts.21cn.com/tousu/show/id/1342080","http://ts.21cn.com/tousu/show/id/1342080")</f>
        <v>http://ts.21cn.com/tousu/show/id/1342080</v>
      </c>
      <c r="F10835" s="2" t="s">
        <v>11</v>
      </c>
      <c r="G10835" s="2" t="s">
        <v>22851</v>
      </c>
      <c r="H10835" s="2" t="s">
        <v>22852</v>
      </c>
    </row>
    <row r="10836" spans="1:8" ht="25.05" customHeight="1" x14ac:dyDescent="0.25">
      <c r="A10836" s="2" t="s">
        <v>8</v>
      </c>
      <c r="B10836" s="2" t="str">
        <f>HYPERLINK("http://ts.21cn.com/tousu/show/id/1342081","高利贷")</f>
        <v>高利贷</v>
      </c>
      <c r="C10836" s="2" t="s">
        <v>9</v>
      </c>
      <c r="D10836" s="2" t="s">
        <v>10</v>
      </c>
      <c r="E10836" s="2" t="str">
        <f>HYPERLINK("http://ts.21cn.com/tousu/show/id/1342081","http://ts.21cn.com/tousu/show/id/1342081")</f>
        <v>http://ts.21cn.com/tousu/show/id/1342081</v>
      </c>
      <c r="F10836" s="2" t="s">
        <v>11</v>
      </c>
      <c r="G10836" s="2" t="s">
        <v>22848</v>
      </c>
      <c r="H10836" s="2" t="s">
        <v>22849</v>
      </c>
    </row>
    <row r="10837" spans="1:8" ht="25.05" customHeight="1" x14ac:dyDescent="0.25">
      <c r="A10837" s="2" t="s">
        <v>8</v>
      </c>
      <c r="B10837" s="2" t="str">
        <f>HYPERLINK("http://ts.21cn.com/tousu/show/id/1342083","中金支付四川分公司恶意扣款")</f>
        <v>中金支付四川分公司恶意扣款</v>
      </c>
      <c r="C10837" s="2" t="s">
        <v>9</v>
      </c>
      <c r="D10837" s="2" t="s">
        <v>10</v>
      </c>
      <c r="E10837" s="2" t="str">
        <f>HYPERLINK("http://ts.21cn.com/tousu/show/id/1342083","http://ts.21cn.com/tousu/show/id/1342083")</f>
        <v>http://ts.21cn.com/tousu/show/id/1342083</v>
      </c>
      <c r="F10837" s="2" t="s">
        <v>11</v>
      </c>
      <c r="G10837" s="2" t="s">
        <v>22848</v>
      </c>
      <c r="H10837" s="2" t="s">
        <v>22850</v>
      </c>
    </row>
    <row r="10838" spans="1:8" ht="25.05" customHeight="1" x14ac:dyDescent="0.25">
      <c r="A10838" s="2" t="s">
        <v>8</v>
      </c>
      <c r="B10838" s="2" t="str">
        <f>HYPERLINK("http://ts.21cn.com/tousu/show/id/1342082","新橙优品变相保障金砍头息费")</f>
        <v>新橙优品变相保障金砍头息费</v>
      </c>
      <c r="C10838" s="2" t="s">
        <v>9</v>
      </c>
      <c r="D10838" s="2" t="s">
        <v>10</v>
      </c>
      <c r="E10838" s="2" t="str">
        <f>HYPERLINK("http://ts.21cn.com/tousu/show/id/1342082","http://ts.21cn.com/tousu/show/id/1342082")</f>
        <v>http://ts.21cn.com/tousu/show/id/1342082</v>
      </c>
      <c r="F10838" s="2" t="s">
        <v>11</v>
      </c>
      <c r="G10838" s="2" t="s">
        <v>22846</v>
      </c>
      <c r="H10838" s="2" t="s">
        <v>22847</v>
      </c>
    </row>
    <row r="10839" spans="1:8" ht="25.05" customHeight="1" x14ac:dyDescent="0.25">
      <c r="A10839" s="2" t="s">
        <v>8</v>
      </c>
      <c r="B10839" s="2" t="str">
        <f>HYPERLINK("http://ts.21cn.com/tousu/show/id/1342084","诱导欺诈消费者")</f>
        <v>诱导欺诈消费者</v>
      </c>
      <c r="C10839" s="2" t="s">
        <v>9</v>
      </c>
      <c r="D10839" s="2" t="s">
        <v>10</v>
      </c>
      <c r="E10839" s="2" t="str">
        <f>HYPERLINK("http://ts.21cn.com/tousu/show/id/1342084","http://ts.21cn.com/tousu/show/id/1342084")</f>
        <v>http://ts.21cn.com/tousu/show/id/1342084</v>
      </c>
      <c r="F10839" s="2" t="s">
        <v>11</v>
      </c>
      <c r="G10839" s="2" t="s">
        <v>22844</v>
      </c>
      <c r="H10839" s="2" t="s">
        <v>22845</v>
      </c>
    </row>
    <row r="10840" spans="1:8" ht="25.05" customHeight="1" x14ac:dyDescent="0.25">
      <c r="A10840" s="2" t="s">
        <v>8</v>
      </c>
      <c r="B10840" s="2" t="str">
        <f>HYPERLINK("http://ts.21cn.com/tousu/show/id/1342086","投诉水莲金条，高利率")</f>
        <v>投诉水莲金条，高利率</v>
      </c>
      <c r="C10840" s="2" t="s">
        <v>9</v>
      </c>
      <c r="D10840" s="2" t="s">
        <v>10</v>
      </c>
      <c r="E10840" s="2" t="str">
        <f>HYPERLINK("http://ts.21cn.com/tousu/show/id/1342086","http://ts.21cn.com/tousu/show/id/1342086")</f>
        <v>http://ts.21cn.com/tousu/show/id/1342086</v>
      </c>
      <c r="F10840" s="2" t="s">
        <v>11</v>
      </c>
      <c r="G10840" s="2" t="s">
        <v>22842</v>
      </c>
      <c r="H10840" s="2" t="s">
        <v>22843</v>
      </c>
    </row>
    <row r="10841" spans="1:8" ht="25.05" customHeight="1" x14ac:dyDescent="0.25">
      <c r="A10841" s="2" t="s">
        <v>8</v>
      </c>
      <c r="B10841" s="2" t="str">
        <f>HYPERLINK("http://ts.21cn.com/tousu/show/id/1342085","投诉支付宝，微信，京东为网上非法博彩平台提供充值通道")</f>
        <v>投诉支付宝，微信，京东为网上非法博彩平台提供充值通道</v>
      </c>
      <c r="C10841" s="2" t="s">
        <v>9</v>
      </c>
      <c r="D10841" s="2" t="s">
        <v>10</v>
      </c>
      <c r="E10841" s="2" t="str">
        <f>HYPERLINK("http://ts.21cn.com/tousu/show/id/1342085","http://ts.21cn.com/tousu/show/id/1342085")</f>
        <v>http://ts.21cn.com/tousu/show/id/1342085</v>
      </c>
      <c r="F10841" s="2" t="s">
        <v>11</v>
      </c>
      <c r="G10841" s="2" t="s">
        <v>22840</v>
      </c>
      <c r="H10841" s="2" t="s">
        <v>22841</v>
      </c>
    </row>
    <row r="10842" spans="1:8" ht="25.05" customHeight="1" x14ac:dyDescent="0.25">
      <c r="A10842" s="2" t="s">
        <v>8</v>
      </c>
      <c r="B10842" s="2" t="str">
        <f>HYPERLINK("http://ts.21cn.com/tousu/show/id/1342087","小黑鱼爆通讯录手段威胁我接受44%高额利息")</f>
        <v>小黑鱼爆通讯录手段威胁我接受44%高额利息</v>
      </c>
      <c r="C10842" s="2" t="s">
        <v>9</v>
      </c>
      <c r="D10842" s="2" t="s">
        <v>10</v>
      </c>
      <c r="E10842" s="2" t="str">
        <f>HYPERLINK("http://ts.21cn.com/tousu/show/id/1342087","http://ts.21cn.com/tousu/show/id/1342087")</f>
        <v>http://ts.21cn.com/tousu/show/id/1342087</v>
      </c>
      <c r="F10842" s="2" t="s">
        <v>11</v>
      </c>
      <c r="G10842" s="2" t="s">
        <v>22838</v>
      </c>
      <c r="H10842" s="2" t="s">
        <v>22839</v>
      </c>
    </row>
    <row r="10843" spans="1:8" ht="25.05" customHeight="1" x14ac:dyDescent="0.25">
      <c r="A10843" s="2" t="s">
        <v>8</v>
      </c>
      <c r="B10843" s="2" t="str">
        <f>HYPERLINK("http://ts.21cn.com/tousu/show/id/1342088","退款迟迟不退")</f>
        <v>退款迟迟不退</v>
      </c>
      <c r="C10843" s="2" t="s">
        <v>9</v>
      </c>
      <c r="D10843" s="2" t="s">
        <v>10</v>
      </c>
      <c r="E10843" s="2" t="str">
        <f>HYPERLINK("http://ts.21cn.com/tousu/show/id/1342088","http://ts.21cn.com/tousu/show/id/1342088")</f>
        <v>http://ts.21cn.com/tousu/show/id/1342088</v>
      </c>
      <c r="F10843" s="2" t="s">
        <v>11</v>
      </c>
      <c r="G10843" s="2" t="s">
        <v>22836</v>
      </c>
      <c r="H10843" s="2" t="s">
        <v>22837</v>
      </c>
    </row>
    <row r="10844" spans="1:8" ht="25.05" customHeight="1" x14ac:dyDescent="0.25">
      <c r="A10844" s="2" t="s">
        <v>8</v>
      </c>
      <c r="B10844" s="2" t="str">
        <f>HYPERLINK("http://ts.21cn.com/tousu/show/id/1342089","洋码头长时间不发货退款时说已经发货不退款")</f>
        <v>洋码头长时间不发货退款时说已经发货不退款</v>
      </c>
      <c r="C10844" s="2" t="s">
        <v>34</v>
      </c>
      <c r="D10844" s="2" t="s">
        <v>10</v>
      </c>
      <c r="E10844" s="2" t="str">
        <f>HYPERLINK("http://ts.21cn.com/tousu/show/id/1342089","http://ts.21cn.com/tousu/show/id/1342089")</f>
        <v>http://ts.21cn.com/tousu/show/id/1342089</v>
      </c>
      <c r="F10844" s="2" t="s">
        <v>11</v>
      </c>
      <c r="G10844" s="2" t="s">
        <v>22834</v>
      </c>
      <c r="H10844" s="2" t="s">
        <v>22835</v>
      </c>
    </row>
    <row r="10845" spans="1:8" ht="25.05" customHeight="1" x14ac:dyDescent="0.25">
      <c r="A10845" s="2" t="s">
        <v>8</v>
      </c>
      <c r="B10845" s="2" t="str">
        <f>HYPERLINK("http://ts.21cn.com/tousu/show/id/1342092","浦发信用卡协商还款利息太高")</f>
        <v>浦发信用卡协商还款利息太高</v>
      </c>
      <c r="C10845" s="2" t="s">
        <v>9</v>
      </c>
      <c r="D10845" s="2" t="s">
        <v>10</v>
      </c>
      <c r="E10845" s="2" t="str">
        <f>HYPERLINK("http://ts.21cn.com/tousu/show/id/1342092","http://ts.21cn.com/tousu/show/id/1342092")</f>
        <v>http://ts.21cn.com/tousu/show/id/1342092</v>
      </c>
      <c r="F10845" s="2" t="s">
        <v>11</v>
      </c>
      <c r="G10845" s="2" t="s">
        <v>22832</v>
      </c>
      <c r="H10845" s="2" t="s">
        <v>22833</v>
      </c>
    </row>
    <row r="10846" spans="1:8" ht="25.05" customHeight="1" x14ac:dyDescent="0.25">
      <c r="A10846" s="2" t="s">
        <v>8</v>
      </c>
      <c r="B10846" s="2" t="str">
        <f>HYPERLINK("http://ts.21cn.com/tousu/show/id/1342091","爱白条高利贷，借款通过了不让取消")</f>
        <v>爱白条高利贷，借款通过了不让取消</v>
      </c>
      <c r="C10846" s="2" t="s">
        <v>9</v>
      </c>
      <c r="D10846" s="2" t="s">
        <v>10</v>
      </c>
      <c r="E10846" s="2" t="str">
        <f>HYPERLINK("http://ts.21cn.com/tousu/show/id/1342091","http://ts.21cn.com/tousu/show/id/1342091")</f>
        <v>http://ts.21cn.com/tousu/show/id/1342091</v>
      </c>
      <c r="F10846" s="2" t="s">
        <v>11</v>
      </c>
      <c r="G10846" s="2" t="s">
        <v>22830</v>
      </c>
      <c r="H10846" s="2" t="s">
        <v>22831</v>
      </c>
    </row>
    <row r="10847" spans="1:8" ht="25.05" customHeight="1" x14ac:dyDescent="0.25">
      <c r="A10847" s="2" t="s">
        <v>8</v>
      </c>
      <c r="B10847" s="2" t="str">
        <f>HYPERLINK("http://ts.21cn.com/tousu/show/id/1342093","利用小额免密制服恶意扣款249元，在我本人未输入支付密码的情况下恶意扣款")</f>
        <v>利用小额免密制服恶意扣款249元，在我本人未输入支付密码的情况下恶意扣款</v>
      </c>
      <c r="C10847" s="2" t="s">
        <v>9</v>
      </c>
      <c r="D10847" s="2" t="s">
        <v>10</v>
      </c>
      <c r="E10847" s="2" t="str">
        <f>HYPERLINK("http://ts.21cn.com/tousu/show/id/1342093","http://ts.21cn.com/tousu/show/id/1342093")</f>
        <v>http://ts.21cn.com/tousu/show/id/1342093</v>
      </c>
      <c r="F10847" s="2" t="s">
        <v>11</v>
      </c>
      <c r="G10847" s="2" t="s">
        <v>22828</v>
      </c>
      <c r="H10847" s="2" t="s">
        <v>22829</v>
      </c>
    </row>
    <row r="10848" spans="1:8" ht="25.05" customHeight="1" x14ac:dyDescent="0.25">
      <c r="A10848" s="2" t="s">
        <v>8</v>
      </c>
      <c r="B10848" s="2" t="str">
        <f>HYPERLINK("http://ts.21cn.com/tousu/show/id/1341067","拼多多为提供第三方支付接口")</f>
        <v>拼多多为提供第三方支付接口</v>
      </c>
      <c r="C10848" s="2" t="s">
        <v>9</v>
      </c>
      <c r="D10848" s="2" t="s">
        <v>10</v>
      </c>
      <c r="E10848" s="2" t="str">
        <f>HYPERLINK("http://ts.21cn.com/tousu/show/id/1341067","http://ts.21cn.com/tousu/show/id/1341067")</f>
        <v>http://ts.21cn.com/tousu/show/id/1341067</v>
      </c>
      <c r="F10848" s="2" t="s">
        <v>11</v>
      </c>
      <c r="G10848" s="2" t="s">
        <v>22826</v>
      </c>
      <c r="H10848" s="2" t="s">
        <v>22827</v>
      </c>
    </row>
    <row r="10849" spans="1:8" ht="25.05" customHeight="1" x14ac:dyDescent="0.25">
      <c r="A10849" s="2" t="s">
        <v>8</v>
      </c>
      <c r="B10849" s="2" t="str">
        <f>HYPERLINK("http://ts.21cn.com/tousu/show/id/1342094","网贷还清，还让还钱")</f>
        <v>网贷还清，还让还钱</v>
      </c>
      <c r="C10849" s="2" t="s">
        <v>9</v>
      </c>
      <c r="D10849" s="2" t="s">
        <v>10</v>
      </c>
      <c r="E10849" s="2" t="str">
        <f>HYPERLINK("http://ts.21cn.com/tousu/show/id/1342094","http://ts.21cn.com/tousu/show/id/1342094")</f>
        <v>http://ts.21cn.com/tousu/show/id/1342094</v>
      </c>
      <c r="F10849" s="2" t="s">
        <v>11</v>
      </c>
      <c r="G10849" s="2" t="s">
        <v>22824</v>
      </c>
      <c r="H10849" s="2" t="s">
        <v>22825</v>
      </c>
    </row>
    <row r="10850" spans="1:8" ht="25.05" customHeight="1" x14ac:dyDescent="0.25">
      <c r="A10850" s="2" t="s">
        <v>8</v>
      </c>
      <c r="B10850" s="2" t="str">
        <f>HYPERLINK("http://ts.21cn.com/tousu/show/id/1342095","在消费者不知情况下扣费")</f>
        <v>在消费者不知情况下扣费</v>
      </c>
      <c r="C10850" s="2" t="s">
        <v>9</v>
      </c>
      <c r="D10850" s="2" t="s">
        <v>10</v>
      </c>
      <c r="E10850" s="2" t="str">
        <f>HYPERLINK("http://ts.21cn.com/tousu/show/id/1342095","http://ts.21cn.com/tousu/show/id/1342095")</f>
        <v>http://ts.21cn.com/tousu/show/id/1342095</v>
      </c>
      <c r="F10850" s="2" t="s">
        <v>11</v>
      </c>
      <c r="G10850" s="2" t="s">
        <v>22822</v>
      </c>
      <c r="H10850" s="2" t="s">
        <v>22823</v>
      </c>
    </row>
    <row r="10851" spans="1:8" ht="25.05" customHeight="1" x14ac:dyDescent="0.25">
      <c r="A10851" s="2" t="s">
        <v>8</v>
      </c>
      <c r="B10851" s="2" t="str">
        <f>HYPERLINK("http://ts.21cn.com/tousu/show/id/1342096","马上消费金融，暴力催收，群发短信，恐吓催收")</f>
        <v>马上消费金融，暴力催收，群发短信，恐吓催收</v>
      </c>
      <c r="C10851" s="2" t="s">
        <v>9</v>
      </c>
      <c r="D10851" s="2" t="s">
        <v>10</v>
      </c>
      <c r="E10851" s="2" t="str">
        <f>HYPERLINK("http://ts.21cn.com/tousu/show/id/1342096","http://ts.21cn.com/tousu/show/id/1342096")</f>
        <v>http://ts.21cn.com/tousu/show/id/1342096</v>
      </c>
      <c r="F10851" s="2" t="s">
        <v>11</v>
      </c>
      <c r="G10851" s="2" t="s">
        <v>22820</v>
      </c>
      <c r="H10851" s="2" t="s">
        <v>22821</v>
      </c>
    </row>
    <row r="10852" spans="1:8" ht="25.05" customHeight="1" x14ac:dyDescent="0.25">
      <c r="A10852" s="2" t="s">
        <v>8</v>
      </c>
      <c r="B10852" s="2" t="str">
        <f>HYPERLINK("http://ts.21cn.com/tousu/show/id/1342097","上海爱吉房地产公司")</f>
        <v>上海爱吉房地产公司</v>
      </c>
      <c r="C10852" s="2" t="s">
        <v>34</v>
      </c>
      <c r="D10852" s="2" t="s">
        <v>10</v>
      </c>
      <c r="E10852" s="2" t="str">
        <f>HYPERLINK("http://ts.21cn.com/tousu/show/id/1342097","http://ts.21cn.com/tousu/show/id/1342097")</f>
        <v>http://ts.21cn.com/tousu/show/id/1342097</v>
      </c>
      <c r="F10852" s="2" t="s">
        <v>11</v>
      </c>
      <c r="G10852" s="2" t="s">
        <v>22818</v>
      </c>
      <c r="H10852" s="2" t="s">
        <v>22819</v>
      </c>
    </row>
    <row r="10853" spans="1:8" ht="25.05" customHeight="1" x14ac:dyDescent="0.25">
      <c r="A10853" s="2" t="s">
        <v>8</v>
      </c>
      <c r="B10853" s="2" t="str">
        <f>HYPERLINK("http://ts.21cn.com/tousu/show/id/1342098","天猫阿迪达斯官方旗舰店买的鞋子几个月就开胶严重")</f>
        <v>天猫阿迪达斯官方旗舰店买的鞋子几个月就开胶严重</v>
      </c>
      <c r="C10853" s="2" t="s">
        <v>9</v>
      </c>
      <c r="D10853" s="2" t="s">
        <v>10</v>
      </c>
      <c r="E10853" s="2" t="str">
        <f>HYPERLINK("http://ts.21cn.com/tousu/show/id/1342098","http://ts.21cn.com/tousu/show/id/1342098")</f>
        <v>http://ts.21cn.com/tousu/show/id/1342098</v>
      </c>
      <c r="F10853" s="2" t="s">
        <v>11</v>
      </c>
      <c r="G10853" s="2" t="s">
        <v>22816</v>
      </c>
      <c r="H10853" s="2" t="s">
        <v>22817</v>
      </c>
    </row>
    <row r="10854" spans="1:8" ht="25.05" customHeight="1" x14ac:dyDescent="0.25">
      <c r="A10854" s="2" t="s">
        <v>8</v>
      </c>
      <c r="B10854" s="2" t="str">
        <f>HYPERLINK("http://ts.21cn.com/tousu/show/id/1342099","周周花花高利贷")</f>
        <v>周周花花高利贷</v>
      </c>
      <c r="C10854" s="2" t="s">
        <v>9</v>
      </c>
      <c r="D10854" s="2" t="s">
        <v>10</v>
      </c>
      <c r="E10854" s="2" t="str">
        <f>HYPERLINK("http://ts.21cn.com/tousu/show/id/1342099","http://ts.21cn.com/tousu/show/id/1342099")</f>
        <v>http://ts.21cn.com/tousu/show/id/1342099</v>
      </c>
      <c r="F10854" s="2" t="s">
        <v>11</v>
      </c>
      <c r="G10854" s="2" t="s">
        <v>22814</v>
      </c>
      <c r="H10854" s="2" t="s">
        <v>22815</v>
      </c>
    </row>
    <row r="10855" spans="1:8" ht="25.05" customHeight="1" x14ac:dyDescent="0.25">
      <c r="A10855" s="2" t="s">
        <v>8</v>
      </c>
      <c r="B10855" s="2" t="str">
        <f>HYPERLINK("http://ts.21cn.com/tousu/show/id/1342101","不是不还")</f>
        <v>不是不还</v>
      </c>
      <c r="C10855" s="2" t="s">
        <v>34</v>
      </c>
      <c r="D10855" s="2" t="s">
        <v>10</v>
      </c>
      <c r="E10855" s="2" t="str">
        <f>HYPERLINK("http://ts.21cn.com/tousu/show/id/1342101","http://ts.21cn.com/tousu/show/id/1342101")</f>
        <v>http://ts.21cn.com/tousu/show/id/1342101</v>
      </c>
      <c r="F10855" s="2" t="s">
        <v>11</v>
      </c>
      <c r="G10855" s="2" t="s">
        <v>22812</v>
      </c>
      <c r="H10855" s="2" t="s">
        <v>22813</v>
      </c>
    </row>
    <row r="10856" spans="1:8" ht="25.05" customHeight="1" x14ac:dyDescent="0.25">
      <c r="A10856" s="2" t="s">
        <v>8</v>
      </c>
      <c r="B10856" s="2" t="str">
        <f>HYPERLINK("http://ts.21cn.com/tousu/show/id/1342102","随手记骚扰家人")</f>
        <v>随手记骚扰家人</v>
      </c>
      <c r="C10856" s="2" t="s">
        <v>9</v>
      </c>
      <c r="D10856" s="2" t="s">
        <v>10</v>
      </c>
      <c r="E10856" s="2" t="str">
        <f>HYPERLINK("http://ts.21cn.com/tousu/show/id/1342102","http://ts.21cn.com/tousu/show/id/1342102")</f>
        <v>http://ts.21cn.com/tousu/show/id/1342102</v>
      </c>
      <c r="F10856" s="2" t="s">
        <v>11</v>
      </c>
      <c r="G10856" s="2" t="s">
        <v>22810</v>
      </c>
      <c r="H10856" s="2" t="s">
        <v>22811</v>
      </c>
    </row>
    <row r="10857" spans="1:8" ht="25.05" customHeight="1" x14ac:dyDescent="0.25">
      <c r="A10857" s="2" t="s">
        <v>8</v>
      </c>
      <c r="B10857" s="2" t="str">
        <f>HYPERLINK("http://ts.21cn.com/tousu/show/id/1342103","解除身份证下非本人的手机账号绑定")</f>
        <v>解除身份证下非本人的手机账号绑定</v>
      </c>
      <c r="C10857" s="2" t="s">
        <v>34</v>
      </c>
      <c r="D10857" s="2" t="s">
        <v>10</v>
      </c>
      <c r="E10857" s="2" t="str">
        <f>HYPERLINK("http://ts.21cn.com/tousu/show/id/1342103","http://ts.21cn.com/tousu/show/id/1342103")</f>
        <v>http://ts.21cn.com/tousu/show/id/1342103</v>
      </c>
      <c r="F10857" s="2" t="s">
        <v>11</v>
      </c>
      <c r="G10857" s="2" t="s">
        <v>22808</v>
      </c>
      <c r="H10857" s="2" t="s">
        <v>22809</v>
      </c>
    </row>
    <row r="10858" spans="1:8" ht="25.05" customHeight="1" x14ac:dyDescent="0.25">
      <c r="A10858" s="2" t="s">
        <v>8</v>
      </c>
      <c r="B10858" s="2" t="str">
        <f>HYPERLINK("http://ts.21cn.com/tousu/show/id/1342104","海格力斯")</f>
        <v>海格力斯</v>
      </c>
      <c r="C10858" s="2" t="s">
        <v>34</v>
      </c>
      <c r="D10858" s="2" t="s">
        <v>10</v>
      </c>
      <c r="E10858" s="2" t="str">
        <f>HYPERLINK("http://ts.21cn.com/tousu/show/id/1342104","http://ts.21cn.com/tousu/show/id/1342104")</f>
        <v>http://ts.21cn.com/tousu/show/id/1342104</v>
      </c>
      <c r="F10858" s="2" t="s">
        <v>11</v>
      </c>
      <c r="G10858" s="2" t="s">
        <v>22806</v>
      </c>
      <c r="H10858" s="2" t="s">
        <v>22807</v>
      </c>
    </row>
    <row r="10859" spans="1:8" ht="25.05" customHeight="1" x14ac:dyDescent="0.25">
      <c r="A10859" s="2" t="s">
        <v>8</v>
      </c>
      <c r="B10859" s="2" t="str">
        <f>HYPERLINK("http://ts.21cn.com/tousu/show/id/1342106","平安信用卡催收人员威胁，恐吓")</f>
        <v>平安信用卡催收人员威胁，恐吓</v>
      </c>
      <c r="C10859" s="2" t="s">
        <v>9</v>
      </c>
      <c r="D10859" s="2" t="s">
        <v>10</v>
      </c>
      <c r="E10859" s="2" t="str">
        <f>HYPERLINK("http://ts.21cn.com/tousu/show/id/1342106","http://ts.21cn.com/tousu/show/id/1342106")</f>
        <v>http://ts.21cn.com/tousu/show/id/1342106</v>
      </c>
      <c r="F10859" s="2" t="s">
        <v>11</v>
      </c>
      <c r="G10859" s="2" t="s">
        <v>22804</v>
      </c>
      <c r="H10859" s="2" t="s">
        <v>22805</v>
      </c>
    </row>
    <row r="10860" spans="1:8" ht="25.05" customHeight="1" x14ac:dyDescent="0.25">
      <c r="A10860" s="2" t="s">
        <v>8</v>
      </c>
      <c r="B10860" s="2" t="str">
        <f>HYPERLINK("http://ts.21cn.com/tousu/show/id/1342107","砍头息，高利贷")</f>
        <v>砍头息，高利贷</v>
      </c>
      <c r="C10860" s="2" t="s">
        <v>9</v>
      </c>
      <c r="D10860" s="2" t="s">
        <v>10</v>
      </c>
      <c r="E10860" s="2" t="str">
        <f>HYPERLINK("http://ts.21cn.com/tousu/show/id/1342107","http://ts.21cn.com/tousu/show/id/1342107")</f>
        <v>http://ts.21cn.com/tousu/show/id/1342107</v>
      </c>
      <c r="F10860" s="2" t="s">
        <v>11</v>
      </c>
      <c r="G10860" s="2" t="s">
        <v>22802</v>
      </c>
      <c r="H10860" s="2" t="s">
        <v>22803</v>
      </c>
    </row>
    <row r="10861" spans="1:8" ht="25.05" customHeight="1" x14ac:dyDescent="0.25">
      <c r="A10861" s="2" t="s">
        <v>8</v>
      </c>
      <c r="B10861" s="2" t="str">
        <f>HYPERLINK("http://ts.21cn.com/tousu/show/id/1342105","牛人有品高额利息恐吓催收")</f>
        <v>牛人有品高额利息恐吓催收</v>
      </c>
      <c r="C10861" s="2" t="s">
        <v>9</v>
      </c>
      <c r="D10861" s="2" t="s">
        <v>10</v>
      </c>
      <c r="E10861" s="2" t="str">
        <f>HYPERLINK("http://ts.21cn.com/tousu/show/id/1342105","http://ts.21cn.com/tousu/show/id/1342105")</f>
        <v>http://ts.21cn.com/tousu/show/id/1342105</v>
      </c>
      <c r="F10861" s="2" t="s">
        <v>11</v>
      </c>
      <c r="G10861" s="2" t="s">
        <v>22800</v>
      </c>
      <c r="H10861" s="2" t="s">
        <v>22801</v>
      </c>
    </row>
    <row r="10862" spans="1:8" ht="25.05" customHeight="1" x14ac:dyDescent="0.25">
      <c r="A10862" s="2" t="s">
        <v>8</v>
      </c>
      <c r="B10862" s="2" t="str">
        <f>HYPERLINK("http://ts.21cn.com/tousu/show/id/1342108","交通银行催收有恐吓，威胁行为")</f>
        <v>交通银行催收有恐吓，威胁行为</v>
      </c>
      <c r="C10862" s="2" t="s">
        <v>9</v>
      </c>
      <c r="D10862" s="2" t="s">
        <v>10</v>
      </c>
      <c r="E10862" s="2" t="str">
        <f>HYPERLINK("http://ts.21cn.com/tousu/show/id/1342108","http://ts.21cn.com/tousu/show/id/1342108")</f>
        <v>http://ts.21cn.com/tousu/show/id/1342108</v>
      </c>
      <c r="F10862" s="2" t="s">
        <v>11</v>
      </c>
      <c r="G10862" s="2" t="s">
        <v>22798</v>
      </c>
      <c r="H10862" s="2" t="s">
        <v>22799</v>
      </c>
    </row>
    <row r="10863" spans="1:8" ht="25.05" customHeight="1" x14ac:dyDescent="0.25">
      <c r="A10863" s="2" t="s">
        <v>8</v>
      </c>
      <c r="B10863" s="2" t="str">
        <f>HYPERLINK("http://ts.21cn.com/tousu/show/id/1342050","借款金额与贷款合同金额不一致")</f>
        <v>借款金额与贷款合同金额不一致</v>
      </c>
      <c r="C10863" s="2" t="s">
        <v>34</v>
      </c>
      <c r="D10863" s="2" t="s">
        <v>10</v>
      </c>
      <c r="E10863" s="2" t="str">
        <f>HYPERLINK("http://ts.21cn.com/tousu/show/id/1342050","http://ts.21cn.com/tousu/show/id/1342050")</f>
        <v>http://ts.21cn.com/tousu/show/id/1342050</v>
      </c>
      <c r="F10863" s="2" t="s">
        <v>11</v>
      </c>
      <c r="G10863" s="2" t="s">
        <v>22796</v>
      </c>
      <c r="H10863" s="2" t="s">
        <v>22797</v>
      </c>
    </row>
    <row r="10864" spans="1:8" ht="25.05" customHeight="1" x14ac:dyDescent="0.25">
      <c r="A10864" s="2" t="s">
        <v>8</v>
      </c>
      <c r="B10864" s="2" t="str">
        <f>HYPERLINK("http://ts.21cn.com/tousu/show/id/1342110","马上金融联合无德律师发律师函")</f>
        <v>马上金融联合无德律师发律师函</v>
      </c>
      <c r="C10864" s="2" t="s">
        <v>9</v>
      </c>
      <c r="D10864" s="2" t="s">
        <v>10</v>
      </c>
      <c r="E10864" s="2" t="str">
        <f>HYPERLINK("http://ts.21cn.com/tousu/show/id/1342110","http://ts.21cn.com/tousu/show/id/1342110")</f>
        <v>http://ts.21cn.com/tousu/show/id/1342110</v>
      </c>
      <c r="F10864" s="2" t="s">
        <v>11</v>
      </c>
      <c r="G10864" s="2" t="s">
        <v>22794</v>
      </c>
      <c r="H10864" s="2" t="s">
        <v>22795</v>
      </c>
    </row>
    <row r="10865" spans="1:8" ht="25.05" customHeight="1" x14ac:dyDescent="0.25">
      <c r="A10865" s="2" t="s">
        <v>8</v>
      </c>
      <c r="B10865" s="2" t="str">
        <f>HYPERLINK("http://ts.21cn.com/tousu/show/id/1342111","侵犯消费者权益，不承担责任")</f>
        <v>侵犯消费者权益，不承担责任</v>
      </c>
      <c r="C10865" s="2" t="s">
        <v>9</v>
      </c>
      <c r="D10865" s="2" t="s">
        <v>10</v>
      </c>
      <c r="E10865" s="2" t="str">
        <f>HYPERLINK("http://ts.21cn.com/tousu/show/id/1342111","http://ts.21cn.com/tousu/show/id/1342111")</f>
        <v>http://ts.21cn.com/tousu/show/id/1342111</v>
      </c>
      <c r="F10865" s="2" t="s">
        <v>11</v>
      </c>
      <c r="G10865" s="2" t="s">
        <v>22792</v>
      </c>
      <c r="H10865" s="2" t="s">
        <v>22793</v>
      </c>
    </row>
    <row r="10866" spans="1:8" ht="25.05" customHeight="1" x14ac:dyDescent="0.25">
      <c r="A10866" s="2" t="s">
        <v>8</v>
      </c>
      <c r="B10866" s="2" t="str">
        <f>HYPERLINK("http://ts.21cn.com/tousu/show/id/1342112","腾讯恶意封QQ群")</f>
        <v>腾讯恶意封QQ群</v>
      </c>
      <c r="C10866" s="2" t="s">
        <v>9</v>
      </c>
      <c r="D10866" s="2" t="s">
        <v>10</v>
      </c>
      <c r="E10866" s="2" t="str">
        <f>HYPERLINK("http://ts.21cn.com/tousu/show/id/1342112","http://ts.21cn.com/tousu/show/id/1342112")</f>
        <v>http://ts.21cn.com/tousu/show/id/1342112</v>
      </c>
      <c r="F10866" s="2" t="s">
        <v>11</v>
      </c>
      <c r="G10866" s="2" t="s">
        <v>22790</v>
      </c>
      <c r="H10866" s="2" t="s">
        <v>22791</v>
      </c>
    </row>
    <row r="10867" spans="1:8" ht="25.05" customHeight="1" x14ac:dyDescent="0.25">
      <c r="A10867" s="2" t="s">
        <v>8</v>
      </c>
      <c r="B10867" s="2" t="str">
        <f>HYPERLINK("http://ts.21cn.com/tousu/show/id/1342113","暴力催收")</f>
        <v>暴力催收</v>
      </c>
      <c r="C10867" s="2" t="s">
        <v>9</v>
      </c>
      <c r="D10867" s="2" t="s">
        <v>10</v>
      </c>
      <c r="E10867" s="2" t="str">
        <f>HYPERLINK("http://ts.21cn.com/tousu/show/id/1342113","http://ts.21cn.com/tousu/show/id/1342113")</f>
        <v>http://ts.21cn.com/tousu/show/id/1342113</v>
      </c>
      <c r="F10867" s="2" t="s">
        <v>11</v>
      </c>
      <c r="G10867" s="2" t="s">
        <v>22788</v>
      </c>
      <c r="H10867" s="2" t="s">
        <v>22789</v>
      </c>
    </row>
    <row r="10868" spans="1:8" ht="25.05" customHeight="1" x14ac:dyDescent="0.25">
      <c r="A10868" s="2" t="s">
        <v>8</v>
      </c>
      <c r="B10868" s="2" t="str">
        <f>HYPERLINK("http://ts.21cn.com/tousu/show/id/1342115","为何66元押金没有退押金窗口")</f>
        <v>为何66元押金没有退押金窗口</v>
      </c>
      <c r="C10868" s="2" t="s">
        <v>9</v>
      </c>
      <c r="D10868" s="2" t="s">
        <v>10</v>
      </c>
      <c r="E10868" s="2" t="str">
        <f>HYPERLINK("http://ts.21cn.com/tousu/show/id/1342115","http://ts.21cn.com/tousu/show/id/1342115")</f>
        <v>http://ts.21cn.com/tousu/show/id/1342115</v>
      </c>
      <c r="F10868" s="2" t="s">
        <v>11</v>
      </c>
      <c r="G10868" s="2" t="s">
        <v>22786</v>
      </c>
      <c r="H10868" s="2" t="s">
        <v>22787</v>
      </c>
    </row>
    <row r="10869" spans="1:8" ht="25.05" customHeight="1" x14ac:dyDescent="0.25">
      <c r="A10869" s="2" t="s">
        <v>8</v>
      </c>
      <c r="B10869" s="2" t="str">
        <f>HYPERLINK("http://ts.21cn.com/tousu/show/id/1342118","支付机构违规向风险客户提供资金清结算服务")</f>
        <v>支付机构违规向风险客户提供资金清结算服务</v>
      </c>
      <c r="C10869" s="2" t="s">
        <v>9</v>
      </c>
      <c r="D10869" s="2" t="s">
        <v>10</v>
      </c>
      <c r="E10869" s="2" t="str">
        <f>HYPERLINK("http://ts.21cn.com/tousu/show/id/1342118","http://ts.21cn.com/tousu/show/id/1342118")</f>
        <v>http://ts.21cn.com/tousu/show/id/1342118</v>
      </c>
      <c r="F10869" s="2" t="s">
        <v>11</v>
      </c>
      <c r="G10869" s="2" t="s">
        <v>22784</v>
      </c>
      <c r="H10869" s="2" t="s">
        <v>22785</v>
      </c>
    </row>
    <row r="10870" spans="1:8" ht="25.05" customHeight="1" x14ac:dyDescent="0.25">
      <c r="A10870" s="2" t="s">
        <v>8</v>
      </c>
      <c r="B10870" s="2" t="str">
        <f>HYPERLINK("http://ts.21cn.com/tousu/show/id/1342117","逾期一天爆通讯录")</f>
        <v>逾期一天爆通讯录</v>
      </c>
      <c r="C10870" s="2" t="s">
        <v>9</v>
      </c>
      <c r="D10870" s="2" t="s">
        <v>10</v>
      </c>
      <c r="E10870" s="2" t="str">
        <f>HYPERLINK("http://ts.21cn.com/tousu/show/id/1342117","http://ts.21cn.com/tousu/show/id/1342117")</f>
        <v>http://ts.21cn.com/tousu/show/id/1342117</v>
      </c>
      <c r="F10870" s="2" t="s">
        <v>11</v>
      </c>
      <c r="G10870" s="2" t="s">
        <v>22781</v>
      </c>
      <c r="H10870" s="2" t="s">
        <v>22782</v>
      </c>
    </row>
    <row r="10871" spans="1:8" ht="25.05" customHeight="1" x14ac:dyDescent="0.25">
      <c r="A10871" s="2" t="s">
        <v>8</v>
      </c>
      <c r="B10871" s="2" t="str">
        <f>HYPERLINK("http://ts.21cn.com/tousu/show/id/1342116","平安普惠高额管理费")</f>
        <v>平安普惠高额管理费</v>
      </c>
      <c r="C10871" s="2" t="s">
        <v>34</v>
      </c>
      <c r="D10871" s="2" t="s">
        <v>10</v>
      </c>
      <c r="E10871" s="2" t="str">
        <f>HYPERLINK("http://ts.21cn.com/tousu/show/id/1342116","http://ts.21cn.com/tousu/show/id/1342116")</f>
        <v>http://ts.21cn.com/tousu/show/id/1342116</v>
      </c>
      <c r="F10871" s="2" t="s">
        <v>11</v>
      </c>
      <c r="G10871" s="2" t="s">
        <v>22781</v>
      </c>
      <c r="H10871" s="2" t="s">
        <v>22783</v>
      </c>
    </row>
    <row r="10872" spans="1:8" ht="25.05" customHeight="1" x14ac:dyDescent="0.25">
      <c r="A10872" s="2" t="s">
        <v>8</v>
      </c>
      <c r="B10872" s="2" t="str">
        <f>HYPERLINK("http://ts.21cn.com/tousu/show/id/1342119","上海瀚银为非法平台提供收款渠道")</f>
        <v>上海瀚银为非法平台提供收款渠道</v>
      </c>
      <c r="C10872" s="2" t="s">
        <v>9</v>
      </c>
      <c r="D10872" s="2" t="s">
        <v>10</v>
      </c>
      <c r="E10872" s="2" t="str">
        <f>HYPERLINK("http://ts.21cn.com/tousu/show/id/1342119","http://ts.21cn.com/tousu/show/id/1342119")</f>
        <v>http://ts.21cn.com/tousu/show/id/1342119</v>
      </c>
      <c r="F10872" s="2" t="s">
        <v>11</v>
      </c>
      <c r="G10872" s="2" t="s">
        <v>22779</v>
      </c>
      <c r="H10872" s="2" t="s">
        <v>22780</v>
      </c>
    </row>
    <row r="10873" spans="1:8" ht="25.05" customHeight="1" x14ac:dyDescent="0.25">
      <c r="A10873" s="2" t="s">
        <v>8</v>
      </c>
      <c r="B10873" s="2" t="str">
        <f>HYPERLINK("http://ts.21cn.com/tousu/show/id/1342120","工商银行信用卡被冻结")</f>
        <v>工商银行信用卡被冻结</v>
      </c>
      <c r="C10873" s="2" t="s">
        <v>9</v>
      </c>
      <c r="D10873" s="2" t="s">
        <v>10</v>
      </c>
      <c r="E10873" s="2" t="str">
        <f>HYPERLINK("http://ts.21cn.com/tousu/show/id/1342120","http://ts.21cn.com/tousu/show/id/1342120")</f>
        <v>http://ts.21cn.com/tousu/show/id/1342120</v>
      </c>
      <c r="F10873" s="2" t="s">
        <v>11</v>
      </c>
      <c r="G10873" s="2" t="s">
        <v>22777</v>
      </c>
      <c r="H10873" s="2" t="s">
        <v>22778</v>
      </c>
    </row>
    <row r="10874" spans="1:8" ht="25.05" customHeight="1" x14ac:dyDescent="0.25">
      <c r="A10874" s="2" t="s">
        <v>8</v>
      </c>
      <c r="B10874" s="2" t="str">
        <f>HYPERLINK("http://ts.21cn.com/tousu/show/id/1342121","中健银座迟迟不予退款")</f>
        <v>中健银座迟迟不予退款</v>
      </c>
      <c r="C10874" s="2" t="s">
        <v>9</v>
      </c>
      <c r="D10874" s="2" t="s">
        <v>10</v>
      </c>
      <c r="E10874" s="2" t="str">
        <f>HYPERLINK("http://ts.21cn.com/tousu/show/id/1342121","http://ts.21cn.com/tousu/show/id/1342121")</f>
        <v>http://ts.21cn.com/tousu/show/id/1342121</v>
      </c>
      <c r="F10874" s="2" t="s">
        <v>11</v>
      </c>
      <c r="G10874" s="2" t="s">
        <v>22775</v>
      </c>
      <c r="H10874" s="2" t="s">
        <v>22776</v>
      </c>
    </row>
    <row r="10875" spans="1:8" ht="25.05" customHeight="1" x14ac:dyDescent="0.25">
      <c r="A10875" s="2" t="s">
        <v>8</v>
      </c>
      <c r="B10875" s="2" t="str">
        <f>HYPERLINK("http://ts.21cn.com/tousu/show/id/1342122","闪电借款")</f>
        <v>闪电借款</v>
      </c>
      <c r="C10875" s="2" t="s">
        <v>9</v>
      </c>
      <c r="D10875" s="2" t="s">
        <v>10</v>
      </c>
      <c r="E10875" s="2" t="str">
        <f>HYPERLINK("http://ts.21cn.com/tousu/show/id/1342122","http://ts.21cn.com/tousu/show/id/1342122")</f>
        <v>http://ts.21cn.com/tousu/show/id/1342122</v>
      </c>
      <c r="F10875" s="2" t="s">
        <v>11</v>
      </c>
      <c r="G10875" s="2" t="s">
        <v>22773</v>
      </c>
      <c r="H10875" s="2" t="s">
        <v>22774</v>
      </c>
    </row>
    <row r="10876" spans="1:8" ht="25.05" customHeight="1" x14ac:dyDescent="0.25">
      <c r="A10876" s="2" t="s">
        <v>8</v>
      </c>
      <c r="B10876" s="2" t="str">
        <f>HYPERLINK("http://ts.21cn.com/tousu/show/id/1342124","砍头息套路贷要求销账")</f>
        <v>砍头息套路贷要求销账</v>
      </c>
      <c r="C10876" s="2" t="s">
        <v>9</v>
      </c>
      <c r="D10876" s="2" t="s">
        <v>10</v>
      </c>
      <c r="E10876" s="2" t="str">
        <f>HYPERLINK("http://ts.21cn.com/tousu/show/id/1342124","http://ts.21cn.com/tousu/show/id/1342124")</f>
        <v>http://ts.21cn.com/tousu/show/id/1342124</v>
      </c>
      <c r="F10876" s="2" t="s">
        <v>11</v>
      </c>
      <c r="G10876" s="2" t="s">
        <v>22771</v>
      </c>
      <c r="H10876" s="2" t="s">
        <v>22772</v>
      </c>
    </row>
    <row r="10877" spans="1:8" ht="25.05" customHeight="1" x14ac:dyDescent="0.25">
      <c r="A10877" s="2" t="s">
        <v>8</v>
      </c>
      <c r="B10877" s="2" t="str">
        <f>HYPERLINK("http://ts.21cn.com/tousu/show/id/1342123","浦发信用卡威胁，每经同意私拉通讯录恶语恶言态度极其恶劣")</f>
        <v>浦发信用卡威胁，每经同意私拉通讯录恶语恶言态度极其恶劣</v>
      </c>
      <c r="C10877" s="2" t="s">
        <v>9</v>
      </c>
      <c r="D10877" s="2" t="s">
        <v>10</v>
      </c>
      <c r="E10877" s="2" t="str">
        <f>HYPERLINK("http://ts.21cn.com/tousu/show/id/1342123","http://ts.21cn.com/tousu/show/id/1342123")</f>
        <v>http://ts.21cn.com/tousu/show/id/1342123</v>
      </c>
      <c r="F10877" s="2" t="s">
        <v>11</v>
      </c>
      <c r="G10877" s="2" t="s">
        <v>22769</v>
      </c>
      <c r="H10877" s="2" t="s">
        <v>22770</v>
      </c>
    </row>
    <row r="10878" spans="1:8" ht="25.05" customHeight="1" x14ac:dyDescent="0.25">
      <c r="A10878" s="2" t="s">
        <v>8</v>
      </c>
      <c r="B10878" s="2" t="str">
        <f>HYPERLINK("http://ts.21cn.com/tousu/show/id/1342126","云闪付为博彩平台提供充值通道")</f>
        <v>云闪付为博彩平台提供充值通道</v>
      </c>
      <c r="C10878" s="2" t="s">
        <v>9</v>
      </c>
      <c r="D10878" s="2" t="s">
        <v>10</v>
      </c>
      <c r="E10878" s="2" t="str">
        <f>HYPERLINK("http://ts.21cn.com/tousu/show/id/1342126","http://ts.21cn.com/tousu/show/id/1342126")</f>
        <v>http://ts.21cn.com/tousu/show/id/1342126</v>
      </c>
      <c r="F10878" s="2" t="s">
        <v>11</v>
      </c>
      <c r="G10878" s="2" t="s">
        <v>22767</v>
      </c>
      <c r="H10878" s="2" t="s">
        <v>22768</v>
      </c>
    </row>
    <row r="10879" spans="1:8" ht="25.05" customHeight="1" x14ac:dyDescent="0.25">
      <c r="A10879" s="2" t="s">
        <v>8</v>
      </c>
      <c r="B10879" s="2" t="str">
        <f>HYPERLINK("http://ts.21cn.com/tousu/show/id/1342125","周周花花借款2000到账才1400")</f>
        <v>周周花花借款2000到账才1400</v>
      </c>
      <c r="C10879" s="2" t="s">
        <v>9</v>
      </c>
      <c r="D10879" s="2" t="s">
        <v>10</v>
      </c>
      <c r="E10879" s="2" t="str">
        <f>HYPERLINK("http://ts.21cn.com/tousu/show/id/1342125","http://ts.21cn.com/tousu/show/id/1342125")</f>
        <v>http://ts.21cn.com/tousu/show/id/1342125</v>
      </c>
      <c r="F10879" s="2" t="s">
        <v>11</v>
      </c>
      <c r="G10879" s="2" t="s">
        <v>22765</v>
      </c>
      <c r="H10879" s="2" t="s">
        <v>22766</v>
      </c>
    </row>
    <row r="10880" spans="1:8" ht="25.05" customHeight="1" x14ac:dyDescent="0.25">
      <c r="A10880" s="2" t="s">
        <v>8</v>
      </c>
      <c r="B10880" s="2" t="str">
        <f>HYPERLINK("http://ts.21cn.com/tousu/show/id/1342127","暴力催收，自称法务部人员")</f>
        <v>暴力催收，自称法务部人员</v>
      </c>
      <c r="C10880" s="2" t="s">
        <v>9</v>
      </c>
      <c r="D10880" s="2" t="s">
        <v>10</v>
      </c>
      <c r="E10880" s="2" t="str">
        <f>HYPERLINK("http://ts.21cn.com/tousu/show/id/1342127","http://ts.21cn.com/tousu/show/id/1342127")</f>
        <v>http://ts.21cn.com/tousu/show/id/1342127</v>
      </c>
      <c r="F10880" s="2" t="s">
        <v>11</v>
      </c>
      <c r="G10880" s="2" t="s">
        <v>22763</v>
      </c>
      <c r="H10880" s="2" t="s">
        <v>22764</v>
      </c>
    </row>
    <row r="10881" spans="1:8" ht="25.05" customHeight="1" x14ac:dyDescent="0.25">
      <c r="A10881" s="2" t="s">
        <v>8</v>
      </c>
      <c r="B10881" s="2" t="str">
        <f>HYPERLINK("http://ts.21cn.com/tousu/show/id/1342128","百度有钱花违法催收，恐吓和暴力催收")</f>
        <v>百度有钱花违法催收，恐吓和暴力催收</v>
      </c>
      <c r="C10881" s="2" t="s">
        <v>9</v>
      </c>
      <c r="D10881" s="2" t="s">
        <v>10</v>
      </c>
      <c r="E10881" s="2" t="str">
        <f>HYPERLINK("http://ts.21cn.com/tousu/show/id/1342128","http://ts.21cn.com/tousu/show/id/1342128")</f>
        <v>http://ts.21cn.com/tousu/show/id/1342128</v>
      </c>
      <c r="F10881" s="2" t="s">
        <v>11</v>
      </c>
      <c r="G10881" s="2" t="s">
        <v>22761</v>
      </c>
      <c r="H10881" s="2" t="s">
        <v>22762</v>
      </c>
    </row>
    <row r="10882" spans="1:8" ht="25.05" customHeight="1" x14ac:dyDescent="0.25">
      <c r="A10882" s="2" t="s">
        <v>8</v>
      </c>
      <c r="B10882" s="2" t="str">
        <f>HYPERLINK("http://ts.21cn.com/tousu/show/id/1342129","小浦优客未经同意扣款")</f>
        <v>小浦优客未经同意扣款</v>
      </c>
      <c r="C10882" s="2" t="s">
        <v>9</v>
      </c>
      <c r="D10882" s="2" t="s">
        <v>10</v>
      </c>
      <c r="E10882" s="2" t="str">
        <f>HYPERLINK("http://ts.21cn.com/tousu/show/id/1342129","http://ts.21cn.com/tousu/show/id/1342129")</f>
        <v>http://ts.21cn.com/tousu/show/id/1342129</v>
      </c>
      <c r="F10882" s="2" t="s">
        <v>11</v>
      </c>
      <c r="G10882" s="2" t="s">
        <v>22759</v>
      </c>
      <c r="H10882" s="2" t="s">
        <v>22760</v>
      </c>
    </row>
    <row r="10883" spans="1:8" ht="25.05" customHeight="1" x14ac:dyDescent="0.25">
      <c r="A10883" s="2" t="s">
        <v>8</v>
      </c>
      <c r="B10883" s="2" t="str">
        <f>HYPERLINK("http://ts.21cn.com/tousu/show/id/1342131","投诉，腾讯游戏王者荣耀，投诉苹果官网")</f>
        <v>投诉，腾讯游戏王者荣耀，投诉苹果官网</v>
      </c>
      <c r="C10883" s="2" t="s">
        <v>9</v>
      </c>
      <c r="D10883" s="2" t="s">
        <v>10</v>
      </c>
      <c r="E10883" s="2" t="str">
        <f>HYPERLINK("http://ts.21cn.com/tousu/show/id/1342131","http://ts.21cn.com/tousu/show/id/1342131")</f>
        <v>http://ts.21cn.com/tousu/show/id/1342131</v>
      </c>
      <c r="F10883" s="2" t="s">
        <v>11</v>
      </c>
      <c r="G10883" s="2" t="s">
        <v>22757</v>
      </c>
      <c r="H10883" s="2" t="s">
        <v>22758</v>
      </c>
    </row>
    <row r="10884" spans="1:8" ht="25.05" customHeight="1" x14ac:dyDescent="0.25">
      <c r="A10884" s="2" t="s">
        <v>8</v>
      </c>
      <c r="B10884" s="2" t="str">
        <f>HYPERLINK("http://ts.21cn.com/tousu/show/id/1342130","分期花呗恶意骚扰虚假传播")</f>
        <v>分期花呗恶意骚扰虚假传播</v>
      </c>
      <c r="C10884" s="2" t="s">
        <v>9</v>
      </c>
      <c r="D10884" s="2" t="s">
        <v>10</v>
      </c>
      <c r="E10884" s="2" t="str">
        <f>HYPERLINK("http://ts.21cn.com/tousu/show/id/1342130","http://ts.21cn.com/tousu/show/id/1342130")</f>
        <v>http://ts.21cn.com/tousu/show/id/1342130</v>
      </c>
      <c r="F10884" s="2" t="s">
        <v>11</v>
      </c>
      <c r="G10884" s="2" t="s">
        <v>22755</v>
      </c>
      <c r="H10884" s="2" t="s">
        <v>22756</v>
      </c>
    </row>
    <row r="10885" spans="1:8" ht="25.05" customHeight="1" x14ac:dyDescent="0.25">
      <c r="A10885" s="2" t="s">
        <v>8</v>
      </c>
      <c r="B10885" s="2" t="str">
        <f>HYPERLINK("http://ts.21cn.com/tousu/show/id/1342132","微信支付")</f>
        <v>微信支付</v>
      </c>
      <c r="C10885" s="2" t="s">
        <v>9</v>
      </c>
      <c r="D10885" s="2" t="s">
        <v>10</v>
      </c>
      <c r="E10885" s="2" t="str">
        <f>HYPERLINK("http://ts.21cn.com/tousu/show/id/1342132","http://ts.21cn.com/tousu/show/id/1342132")</f>
        <v>http://ts.21cn.com/tousu/show/id/1342132</v>
      </c>
      <c r="F10885" s="2" t="s">
        <v>11</v>
      </c>
      <c r="G10885" s="2" t="s">
        <v>22753</v>
      </c>
      <c r="H10885" s="2" t="s">
        <v>22754</v>
      </c>
    </row>
    <row r="10886" spans="1:8" ht="25.05" customHeight="1" x14ac:dyDescent="0.25">
      <c r="A10886" s="2" t="s">
        <v>8</v>
      </c>
      <c r="B10886" s="2" t="str">
        <f>HYPERLINK("http://ts.21cn.com/tousu/show/id/1342133","百度有钱花暴力催收爆通讯录")</f>
        <v>百度有钱花暴力催收爆通讯录</v>
      </c>
      <c r="C10886" s="2" t="s">
        <v>9</v>
      </c>
      <c r="D10886" s="2" t="s">
        <v>10</v>
      </c>
      <c r="E10886" s="2" t="str">
        <f>HYPERLINK("http://ts.21cn.com/tousu/show/id/1342133","http://ts.21cn.com/tousu/show/id/1342133")</f>
        <v>http://ts.21cn.com/tousu/show/id/1342133</v>
      </c>
      <c r="F10886" s="2" t="s">
        <v>11</v>
      </c>
      <c r="G10886" s="2" t="s">
        <v>22751</v>
      </c>
      <c r="H10886" s="2" t="s">
        <v>22752</v>
      </c>
    </row>
    <row r="10887" spans="1:8" ht="25.05" customHeight="1" x14ac:dyDescent="0.25">
      <c r="A10887" s="2" t="s">
        <v>8</v>
      </c>
      <c r="B10887" s="2" t="str">
        <f>HYPERLINK("http://ts.21cn.com/tousu/show/id/1342135","联通易借暴力催收")</f>
        <v>联通易借暴力催收</v>
      </c>
      <c r="C10887" s="2" t="s">
        <v>9</v>
      </c>
      <c r="D10887" s="2" t="s">
        <v>10</v>
      </c>
      <c r="E10887" s="2" t="str">
        <f>HYPERLINK("http://ts.21cn.com/tousu/show/id/1342135","http://ts.21cn.com/tousu/show/id/1342135")</f>
        <v>http://ts.21cn.com/tousu/show/id/1342135</v>
      </c>
      <c r="F10887" s="2" t="s">
        <v>11</v>
      </c>
      <c r="G10887" s="2" t="s">
        <v>22749</v>
      </c>
      <c r="H10887" s="2" t="s">
        <v>22750</v>
      </c>
    </row>
    <row r="10888" spans="1:8" ht="25.05" customHeight="1" x14ac:dyDescent="0.25">
      <c r="A10888" s="2" t="s">
        <v>8</v>
      </c>
      <c r="B10888" s="2" t="str">
        <f>HYPERLINK("http://ts.21cn.com/tousu/show/id/1342137","畅捷支付违规为高利贷平台神马借提供支付通道")</f>
        <v>畅捷支付违规为高利贷平台神马借提供支付通道</v>
      </c>
      <c r="C10888" s="2" t="s">
        <v>9</v>
      </c>
      <c r="D10888" s="2" t="s">
        <v>10</v>
      </c>
      <c r="E10888" s="2" t="str">
        <f>HYPERLINK("http://ts.21cn.com/tousu/show/id/1342137","http://ts.21cn.com/tousu/show/id/1342137")</f>
        <v>http://ts.21cn.com/tousu/show/id/1342137</v>
      </c>
      <c r="F10888" s="2" t="s">
        <v>11</v>
      </c>
      <c r="G10888" s="2" t="s">
        <v>22747</v>
      </c>
      <c r="H10888" s="2" t="s">
        <v>22748</v>
      </c>
    </row>
    <row r="10889" spans="1:8" ht="25.05" customHeight="1" x14ac:dyDescent="0.25">
      <c r="A10889" s="2" t="s">
        <v>8</v>
      </c>
      <c r="B10889" s="2" t="str">
        <f>HYPERLINK("http://ts.21cn.com/tousu/show/id/1342136","聚富分期恶意扣款299")</f>
        <v>聚富分期恶意扣款299</v>
      </c>
      <c r="C10889" s="2" t="s">
        <v>9</v>
      </c>
      <c r="D10889" s="2" t="s">
        <v>10</v>
      </c>
      <c r="E10889" s="2" t="str">
        <f>HYPERLINK("http://ts.21cn.com/tousu/show/id/1342136","http://ts.21cn.com/tousu/show/id/1342136")</f>
        <v>http://ts.21cn.com/tousu/show/id/1342136</v>
      </c>
      <c r="F10889" s="2" t="s">
        <v>11</v>
      </c>
      <c r="G10889" s="2" t="s">
        <v>22745</v>
      </c>
      <c r="H10889" s="2" t="s">
        <v>22746</v>
      </c>
    </row>
    <row r="10890" spans="1:8" ht="25.05" customHeight="1" x14ac:dyDescent="0.25">
      <c r="A10890" s="2" t="s">
        <v>8</v>
      </c>
      <c r="B10890" s="2" t="str">
        <f>HYPERLINK("http://ts.21cn.com/tousu/show/id/1342138","钱伴现金借款高利贷违法催收骚扰")</f>
        <v>钱伴现金借款高利贷违法催收骚扰</v>
      </c>
      <c r="C10890" s="2" t="s">
        <v>9</v>
      </c>
      <c r="D10890" s="2" t="s">
        <v>10</v>
      </c>
      <c r="E10890" s="2" t="str">
        <f>HYPERLINK("http://ts.21cn.com/tousu/show/id/1342138","http://ts.21cn.com/tousu/show/id/1342138")</f>
        <v>http://ts.21cn.com/tousu/show/id/1342138</v>
      </c>
      <c r="F10890" s="2" t="s">
        <v>11</v>
      </c>
      <c r="G10890" s="2" t="s">
        <v>22743</v>
      </c>
      <c r="H10890" s="2" t="s">
        <v>22744</v>
      </c>
    </row>
    <row r="10891" spans="1:8" ht="25.05" customHeight="1" x14ac:dyDescent="0.25">
      <c r="A10891" s="2" t="s">
        <v>8</v>
      </c>
      <c r="B10891" s="2" t="str">
        <f>HYPERLINK("http://ts.21cn.com/tousu/show/id/1342139","携程买机票，一天降价两百一！我要退差价")</f>
        <v>携程买机票，一天降价两百一！我要退差价</v>
      </c>
      <c r="C10891" s="2" t="s">
        <v>9</v>
      </c>
      <c r="D10891" s="2" t="s">
        <v>10</v>
      </c>
      <c r="E10891" s="2" t="str">
        <f>HYPERLINK("http://ts.21cn.com/tousu/show/id/1342139","http://ts.21cn.com/tousu/show/id/1342139")</f>
        <v>http://ts.21cn.com/tousu/show/id/1342139</v>
      </c>
      <c r="F10891" s="2" t="s">
        <v>11</v>
      </c>
      <c r="G10891" s="2" t="s">
        <v>22741</v>
      </c>
      <c r="H10891" s="2" t="s">
        <v>22742</v>
      </c>
    </row>
    <row r="10892" spans="1:8" ht="25.05" customHeight="1" x14ac:dyDescent="0.25">
      <c r="A10892" s="2" t="s">
        <v>8</v>
      </c>
      <c r="B10892" s="2" t="str">
        <f>HYPERLINK("http://ts.21cn.com/tousu/show/id/1342141","恶意诱导购买评估报告，扣款")</f>
        <v>恶意诱导购买评估报告，扣款</v>
      </c>
      <c r="C10892" s="2" t="s">
        <v>9</v>
      </c>
      <c r="D10892" s="2" t="s">
        <v>10</v>
      </c>
      <c r="E10892" s="2" t="str">
        <f>HYPERLINK("http://ts.21cn.com/tousu/show/id/1342141","http://ts.21cn.com/tousu/show/id/1342141")</f>
        <v>http://ts.21cn.com/tousu/show/id/1342141</v>
      </c>
      <c r="F10892" s="2" t="s">
        <v>11</v>
      </c>
      <c r="G10892" s="2" t="s">
        <v>22739</v>
      </c>
      <c r="H10892" s="2" t="s">
        <v>22740</v>
      </c>
    </row>
    <row r="10893" spans="1:8" ht="25.05" customHeight="1" x14ac:dyDescent="0.25">
      <c r="A10893" s="2" t="s">
        <v>8</v>
      </c>
      <c r="B10893" s="2" t="str">
        <f>HYPERLINK("http://ts.21cn.com/tousu/show/id/1342142","窃取个人信息恶意催收")</f>
        <v>窃取个人信息恶意催收</v>
      </c>
      <c r="C10893" s="2" t="s">
        <v>9</v>
      </c>
      <c r="D10893" s="2" t="s">
        <v>10</v>
      </c>
      <c r="E10893" s="2" t="str">
        <f>HYPERLINK("http://ts.21cn.com/tousu/show/id/1342142","http://ts.21cn.com/tousu/show/id/1342142")</f>
        <v>http://ts.21cn.com/tousu/show/id/1342142</v>
      </c>
      <c r="F10893" s="2" t="s">
        <v>11</v>
      </c>
      <c r="G10893" s="2" t="s">
        <v>22737</v>
      </c>
      <c r="H10893" s="2" t="s">
        <v>22738</v>
      </c>
    </row>
    <row r="10894" spans="1:8" ht="25.05" customHeight="1" x14ac:dyDescent="0.25">
      <c r="A10894" s="2" t="s">
        <v>8</v>
      </c>
      <c r="B10894" s="2" t="str">
        <f>HYPERLINK("http://ts.21cn.com/tousu/show/id/1342143","暴力催收威胁恐吓")</f>
        <v>暴力催收威胁恐吓</v>
      </c>
      <c r="C10894" s="2" t="s">
        <v>9</v>
      </c>
      <c r="D10894" s="2" t="s">
        <v>10</v>
      </c>
      <c r="E10894" s="2" t="str">
        <f>HYPERLINK("http://ts.21cn.com/tousu/show/id/1342143","http://ts.21cn.com/tousu/show/id/1342143")</f>
        <v>http://ts.21cn.com/tousu/show/id/1342143</v>
      </c>
      <c r="F10894" s="2" t="s">
        <v>11</v>
      </c>
      <c r="G10894" s="2" t="s">
        <v>22735</v>
      </c>
      <c r="H10894" s="2" t="s">
        <v>22736</v>
      </c>
    </row>
    <row r="10895" spans="1:8" ht="25.05" customHeight="1" x14ac:dyDescent="0.25">
      <c r="A10895" s="2" t="s">
        <v>8</v>
      </c>
      <c r="B10895" s="2" t="str">
        <f>HYPERLINK("http://ts.21cn.com/tousu/show/id/1342145","网贷公司叫闪银涉嫌违法乱收费")</f>
        <v>网贷公司叫闪银涉嫌违法乱收费</v>
      </c>
      <c r="C10895" s="2" t="s">
        <v>9</v>
      </c>
      <c r="D10895" s="2" t="s">
        <v>10</v>
      </c>
      <c r="E10895" s="2" t="str">
        <f>HYPERLINK("http://ts.21cn.com/tousu/show/id/1342145","http://ts.21cn.com/tousu/show/id/1342145")</f>
        <v>http://ts.21cn.com/tousu/show/id/1342145</v>
      </c>
      <c r="F10895" s="2" t="s">
        <v>11</v>
      </c>
      <c r="G10895" s="2" t="s">
        <v>22733</v>
      </c>
      <c r="H10895" s="2" t="s">
        <v>22734</v>
      </c>
    </row>
    <row r="10896" spans="1:8" ht="25.05" customHeight="1" x14ac:dyDescent="0.25">
      <c r="A10896" s="2" t="s">
        <v>8</v>
      </c>
      <c r="B10896" s="2" t="str">
        <f>HYPERLINK("http://ts.21cn.com/tousu/show/id/1342146","投诉苏宁虚假宣传")</f>
        <v>投诉苏宁虚假宣传</v>
      </c>
      <c r="C10896" s="2" t="s">
        <v>9</v>
      </c>
      <c r="D10896" s="2" t="s">
        <v>10</v>
      </c>
      <c r="E10896" s="2" t="str">
        <f>HYPERLINK("http://ts.21cn.com/tousu/show/id/1342146","http://ts.21cn.com/tousu/show/id/1342146")</f>
        <v>http://ts.21cn.com/tousu/show/id/1342146</v>
      </c>
      <c r="F10896" s="2" t="s">
        <v>11</v>
      </c>
      <c r="G10896" s="2" t="s">
        <v>22731</v>
      </c>
      <c r="H10896" s="2" t="s">
        <v>22732</v>
      </c>
    </row>
    <row r="10897" spans="1:8" ht="25.05" customHeight="1" x14ac:dyDescent="0.25">
      <c r="A10897" s="2" t="s">
        <v>8</v>
      </c>
      <c r="B10897" s="2" t="str">
        <f>HYPERLINK("http://ts.21cn.com/tousu/show/id/1342144","洋钱罐，现金借款高额利息违法")</f>
        <v>洋钱罐，现金借款高额利息违法</v>
      </c>
      <c r="C10897" s="2" t="s">
        <v>9</v>
      </c>
      <c r="D10897" s="2" t="s">
        <v>10</v>
      </c>
      <c r="E10897" s="2" t="str">
        <f>HYPERLINK("http://ts.21cn.com/tousu/show/id/1342144","http://ts.21cn.com/tousu/show/id/1342144")</f>
        <v>http://ts.21cn.com/tousu/show/id/1342144</v>
      </c>
      <c r="F10897" s="2" t="s">
        <v>11</v>
      </c>
      <c r="G10897" s="2" t="s">
        <v>22729</v>
      </c>
      <c r="H10897" s="2" t="s">
        <v>22730</v>
      </c>
    </row>
    <row r="10898" spans="1:8" ht="25.05" customHeight="1" x14ac:dyDescent="0.25">
      <c r="A10898" s="2" t="s">
        <v>8</v>
      </c>
      <c r="B10898" s="2" t="str">
        <f>HYPERLINK("http://ts.21cn.com/tousu/show/id/1342114","小浦优客未经同意私自扣费")</f>
        <v>小浦优客未经同意私自扣费</v>
      </c>
      <c r="C10898" s="2" t="s">
        <v>9</v>
      </c>
      <c r="D10898" s="2" t="s">
        <v>10</v>
      </c>
      <c r="E10898" s="2" t="str">
        <f>HYPERLINK("http://ts.21cn.com/tousu/show/id/1342114","http://ts.21cn.com/tousu/show/id/1342114")</f>
        <v>http://ts.21cn.com/tousu/show/id/1342114</v>
      </c>
      <c r="F10898" s="2" t="s">
        <v>11</v>
      </c>
      <c r="G10898" s="2" t="s">
        <v>22727</v>
      </c>
      <c r="H10898" s="2" t="s">
        <v>22728</v>
      </c>
    </row>
    <row r="10899" spans="1:8" ht="25.05" customHeight="1" x14ac:dyDescent="0.25">
      <c r="A10899" s="2" t="s">
        <v>8</v>
      </c>
      <c r="B10899" s="2" t="str">
        <f>HYPERLINK("http://ts.21cn.com/tousu/show/id/1342147","平安普惠暴力催收")</f>
        <v>平安普惠暴力催收</v>
      </c>
      <c r="C10899" s="2" t="s">
        <v>9</v>
      </c>
      <c r="D10899" s="2" t="s">
        <v>10</v>
      </c>
      <c r="E10899" s="2" t="str">
        <f>HYPERLINK("http://ts.21cn.com/tousu/show/id/1342147","http://ts.21cn.com/tousu/show/id/1342147")</f>
        <v>http://ts.21cn.com/tousu/show/id/1342147</v>
      </c>
      <c r="F10899" s="2" t="s">
        <v>11</v>
      </c>
      <c r="G10899" s="2" t="s">
        <v>22725</v>
      </c>
      <c r="H10899" s="2" t="s">
        <v>22726</v>
      </c>
    </row>
    <row r="10900" spans="1:8" ht="25.05" customHeight="1" x14ac:dyDescent="0.25">
      <c r="A10900" s="2" t="s">
        <v>8</v>
      </c>
      <c r="B10900" s="2" t="str">
        <f>HYPERLINK("http://ts.21cn.com/tousu/show/id/1342148","中邮消费金融涉嫌高利贷，套路贷")</f>
        <v>中邮消费金融涉嫌高利贷，套路贷</v>
      </c>
      <c r="C10900" s="2" t="s">
        <v>9</v>
      </c>
      <c r="D10900" s="2" t="s">
        <v>10</v>
      </c>
      <c r="E10900" s="2" t="str">
        <f>HYPERLINK("http://ts.21cn.com/tousu/show/id/1342148","http://ts.21cn.com/tousu/show/id/1342148")</f>
        <v>http://ts.21cn.com/tousu/show/id/1342148</v>
      </c>
      <c r="F10900" s="2" t="s">
        <v>11</v>
      </c>
      <c r="G10900" s="2" t="s">
        <v>22723</v>
      </c>
      <c r="H10900" s="2" t="s">
        <v>22724</v>
      </c>
    </row>
    <row r="10901" spans="1:8" ht="25.05" customHeight="1" x14ac:dyDescent="0.25">
      <c r="A10901" s="2" t="s">
        <v>8</v>
      </c>
      <c r="B10901" s="2" t="str">
        <f>HYPERLINK("http://ts.21cn.com/tousu/show/id/1342134","希望大家注意了")</f>
        <v>希望大家注意了</v>
      </c>
      <c r="C10901" s="2" t="s">
        <v>9</v>
      </c>
      <c r="D10901" s="2" t="s">
        <v>10</v>
      </c>
      <c r="E10901" s="2" t="str">
        <f>HYPERLINK("http://ts.21cn.com/tousu/show/id/1342134","http://ts.21cn.com/tousu/show/id/1342134")</f>
        <v>http://ts.21cn.com/tousu/show/id/1342134</v>
      </c>
      <c r="F10901" s="2" t="s">
        <v>11</v>
      </c>
      <c r="G10901" s="2" t="s">
        <v>22721</v>
      </c>
      <c r="H10901" s="2" t="s">
        <v>22722</v>
      </c>
    </row>
    <row r="10902" spans="1:8" ht="25.05" customHeight="1" x14ac:dyDescent="0.25">
      <c r="A10902" s="2" t="s">
        <v>8</v>
      </c>
      <c r="B10902" s="2" t="str">
        <f>HYPERLINK("http://ts.21cn.com/tousu/show/id/1342149","要求优信二手车退还多出的服务费及终止不透明签约手段")</f>
        <v>要求优信二手车退还多出的服务费及终止不透明签约手段</v>
      </c>
      <c r="C10902" s="2" t="s">
        <v>9</v>
      </c>
      <c r="D10902" s="2" t="s">
        <v>10</v>
      </c>
      <c r="E10902" s="2" t="str">
        <f>HYPERLINK("http://ts.21cn.com/tousu/show/id/1342149","http://ts.21cn.com/tousu/show/id/1342149")</f>
        <v>http://ts.21cn.com/tousu/show/id/1342149</v>
      </c>
      <c r="F10902" s="2" t="s">
        <v>11</v>
      </c>
      <c r="G10902" s="2" t="s">
        <v>22719</v>
      </c>
      <c r="H10902" s="2" t="s">
        <v>22720</v>
      </c>
    </row>
    <row r="10903" spans="1:8" ht="25.05" customHeight="1" x14ac:dyDescent="0.25">
      <c r="A10903" s="2" t="s">
        <v>8</v>
      </c>
      <c r="B10903" s="2" t="str">
        <f>HYPERLINK("http://ts.21cn.com/tousu/show/id/1342150","帮赌博平台收款")</f>
        <v>帮赌博平台收款</v>
      </c>
      <c r="C10903" s="2" t="s">
        <v>9</v>
      </c>
      <c r="D10903" s="2" t="s">
        <v>10</v>
      </c>
      <c r="E10903" s="2" t="str">
        <f>HYPERLINK("http://ts.21cn.com/tousu/show/id/1342150","http://ts.21cn.com/tousu/show/id/1342150")</f>
        <v>http://ts.21cn.com/tousu/show/id/1342150</v>
      </c>
      <c r="F10903" s="2" t="s">
        <v>11</v>
      </c>
      <c r="G10903" s="2" t="s">
        <v>22717</v>
      </c>
      <c r="H10903" s="2" t="s">
        <v>22718</v>
      </c>
    </row>
    <row r="10904" spans="1:8" ht="25.05" customHeight="1" x14ac:dyDescent="0.25">
      <c r="A10904" s="2" t="s">
        <v>8</v>
      </c>
      <c r="B10904" s="2" t="str">
        <f>HYPERLINK("http://ts.21cn.com/tousu/show/id/1342152","拍拍贷高利息")</f>
        <v>拍拍贷高利息</v>
      </c>
      <c r="C10904" s="2" t="s">
        <v>9</v>
      </c>
      <c r="D10904" s="2" t="s">
        <v>10</v>
      </c>
      <c r="E10904" s="2" t="str">
        <f>HYPERLINK("http://ts.21cn.com/tousu/show/id/1342152","http://ts.21cn.com/tousu/show/id/1342152")</f>
        <v>http://ts.21cn.com/tousu/show/id/1342152</v>
      </c>
      <c r="F10904" s="2" t="s">
        <v>11</v>
      </c>
      <c r="G10904" s="2" t="s">
        <v>22715</v>
      </c>
      <c r="H10904" s="2" t="s">
        <v>22716</v>
      </c>
    </row>
    <row r="10905" spans="1:8" ht="25.05" customHeight="1" x14ac:dyDescent="0.25">
      <c r="A10905" s="2" t="s">
        <v>8</v>
      </c>
      <c r="B10905" s="2" t="str">
        <f>HYPERLINK("http://ts.21cn.com/tousu/show/id/1342154","乱扣费用")</f>
        <v>乱扣费用</v>
      </c>
      <c r="C10905" s="2" t="s">
        <v>9</v>
      </c>
      <c r="D10905" s="2" t="s">
        <v>10</v>
      </c>
      <c r="E10905" s="2" t="str">
        <f>HYPERLINK("http://ts.21cn.com/tousu/show/id/1342154","http://ts.21cn.com/tousu/show/id/1342154")</f>
        <v>http://ts.21cn.com/tousu/show/id/1342154</v>
      </c>
      <c r="F10905" s="2" t="s">
        <v>11</v>
      </c>
      <c r="G10905" s="2" t="s">
        <v>22713</v>
      </c>
      <c r="H10905" s="2" t="s">
        <v>22714</v>
      </c>
    </row>
    <row r="10906" spans="1:8" ht="25.05" customHeight="1" x14ac:dyDescent="0.25">
      <c r="A10906" s="2" t="s">
        <v>8</v>
      </c>
      <c r="B10906" s="2" t="str">
        <f>HYPERLINK("http://ts.21cn.com/tousu/show/id/1342155","该平台为714高炮借款1300元，7天后需还2000元")</f>
        <v>该平台为714高炮借款1300元，7天后需还2000元</v>
      </c>
      <c r="C10906" s="2" t="s">
        <v>9</v>
      </c>
      <c r="D10906" s="2" t="s">
        <v>10</v>
      </c>
      <c r="E10906" s="2" t="str">
        <f>HYPERLINK("http://ts.21cn.com/tousu/show/id/1342155","http://ts.21cn.com/tousu/show/id/1342155")</f>
        <v>http://ts.21cn.com/tousu/show/id/1342155</v>
      </c>
      <c r="F10906" s="2" t="s">
        <v>11</v>
      </c>
      <c r="G10906" s="2" t="s">
        <v>22711</v>
      </c>
      <c r="H10906" s="2" t="s">
        <v>22712</v>
      </c>
    </row>
    <row r="10907" spans="1:8" ht="25.05" customHeight="1" x14ac:dyDescent="0.25">
      <c r="A10907" s="2" t="s">
        <v>8</v>
      </c>
      <c r="B10907" s="2" t="str">
        <f>HYPERLINK("http://ts.21cn.com/tousu/show/id/1342156","微贷网多米贷暴力催收")</f>
        <v>微贷网多米贷暴力催收</v>
      </c>
      <c r="C10907" s="2" t="s">
        <v>9</v>
      </c>
      <c r="D10907" s="2" t="s">
        <v>10</v>
      </c>
      <c r="E10907" s="2" t="str">
        <f>HYPERLINK("http://ts.21cn.com/tousu/show/id/1342156","http://ts.21cn.com/tousu/show/id/1342156")</f>
        <v>http://ts.21cn.com/tousu/show/id/1342156</v>
      </c>
      <c r="F10907" s="2" t="s">
        <v>11</v>
      </c>
      <c r="G10907" s="2" t="s">
        <v>22709</v>
      </c>
      <c r="H10907" s="2" t="s">
        <v>22710</v>
      </c>
    </row>
    <row r="10908" spans="1:8" ht="25.05" customHeight="1" x14ac:dyDescent="0.25">
      <c r="A10908" s="2" t="s">
        <v>8</v>
      </c>
      <c r="B10908" s="2" t="str">
        <f>HYPERLINK("http://ts.21cn.com/tousu/show/id/1342158","微贷平台注销账户无人接听")</f>
        <v>微贷平台注销账户无人接听</v>
      </c>
      <c r="C10908" s="2" t="s">
        <v>9</v>
      </c>
      <c r="D10908" s="2" t="s">
        <v>10</v>
      </c>
      <c r="E10908" s="2" t="str">
        <f>HYPERLINK("http://ts.21cn.com/tousu/show/id/1342158","http://ts.21cn.com/tousu/show/id/1342158")</f>
        <v>http://ts.21cn.com/tousu/show/id/1342158</v>
      </c>
      <c r="F10908" s="2" t="s">
        <v>11</v>
      </c>
      <c r="G10908" s="2" t="s">
        <v>22707</v>
      </c>
      <c r="H10908" s="2" t="s">
        <v>22708</v>
      </c>
    </row>
    <row r="10909" spans="1:8" ht="25.05" customHeight="1" x14ac:dyDescent="0.25">
      <c r="A10909" s="2" t="s">
        <v>8</v>
      </c>
      <c r="B10909" s="2" t="str">
        <f>HYPERLINK("http://ts.21cn.com/tousu/show/id/1342162","恶意催收，人身攻击，滋扰家人孕妇")</f>
        <v>恶意催收，人身攻击，滋扰家人孕妇</v>
      </c>
      <c r="C10909" s="2" t="s">
        <v>9</v>
      </c>
      <c r="D10909" s="2" t="s">
        <v>10</v>
      </c>
      <c r="E10909" s="2" t="str">
        <f>HYPERLINK("http://ts.21cn.com/tousu/show/id/1342162","http://ts.21cn.com/tousu/show/id/1342162")</f>
        <v>http://ts.21cn.com/tousu/show/id/1342162</v>
      </c>
      <c r="F10909" s="2" t="s">
        <v>11</v>
      </c>
      <c r="G10909" s="2" t="s">
        <v>22705</v>
      </c>
      <c r="H10909" s="2" t="s">
        <v>22706</v>
      </c>
    </row>
    <row r="10910" spans="1:8" ht="25.05" customHeight="1" x14ac:dyDescent="0.25">
      <c r="A10910" s="2" t="s">
        <v>8</v>
      </c>
      <c r="B10910" s="2" t="str">
        <f>HYPERLINK("http://ts.21cn.com/tousu/show/id/1342159","高利贷")</f>
        <v>高利贷</v>
      </c>
      <c r="C10910" s="2" t="s">
        <v>9</v>
      </c>
      <c r="D10910" s="2" t="s">
        <v>10</v>
      </c>
      <c r="E10910" s="2" t="str">
        <f>HYPERLINK("http://ts.21cn.com/tousu/show/id/1342159","http://ts.21cn.com/tousu/show/id/1342159")</f>
        <v>http://ts.21cn.com/tousu/show/id/1342159</v>
      </c>
      <c r="F10910" s="2" t="s">
        <v>11</v>
      </c>
      <c r="G10910" s="2" t="s">
        <v>22703</v>
      </c>
      <c r="H10910" s="2" t="s">
        <v>22704</v>
      </c>
    </row>
    <row r="10911" spans="1:8" ht="25.05" customHeight="1" x14ac:dyDescent="0.25">
      <c r="A10911" s="2" t="s">
        <v>8</v>
      </c>
      <c r="B10911" s="2" t="str">
        <f>HYPERLINK("http://ts.21cn.com/tousu/show/id/1342161","暴力催收")</f>
        <v>暴力催收</v>
      </c>
      <c r="C10911" s="2" t="s">
        <v>9</v>
      </c>
      <c r="D10911" s="2" t="s">
        <v>10</v>
      </c>
      <c r="E10911" s="2" t="str">
        <f>HYPERLINK("http://ts.21cn.com/tousu/show/id/1342161","http://ts.21cn.com/tousu/show/id/1342161")</f>
        <v>http://ts.21cn.com/tousu/show/id/1342161</v>
      </c>
      <c r="F10911" s="2" t="s">
        <v>11</v>
      </c>
      <c r="G10911" s="2" t="s">
        <v>22701</v>
      </c>
      <c r="H10911" s="2" t="s">
        <v>22702</v>
      </c>
    </row>
    <row r="10912" spans="1:8" ht="25.05" customHeight="1" x14ac:dyDescent="0.25">
      <c r="A10912" s="2" t="s">
        <v>8</v>
      </c>
      <c r="B10912" s="2" t="str">
        <f>HYPERLINK("http://ts.21cn.com/tousu/show/id/1342163","存在误导消费者")</f>
        <v>存在误导消费者</v>
      </c>
      <c r="C10912" s="2" t="s">
        <v>9</v>
      </c>
      <c r="D10912" s="2" t="s">
        <v>10</v>
      </c>
      <c r="E10912" s="2" t="str">
        <f>HYPERLINK("http://ts.21cn.com/tousu/show/id/1342163","http://ts.21cn.com/tousu/show/id/1342163")</f>
        <v>http://ts.21cn.com/tousu/show/id/1342163</v>
      </c>
      <c r="F10912" s="2" t="s">
        <v>11</v>
      </c>
      <c r="G10912" s="2" t="s">
        <v>22699</v>
      </c>
      <c r="H10912" s="2" t="s">
        <v>22700</v>
      </c>
    </row>
    <row r="10913" spans="1:8" ht="25.05" customHeight="1" x14ac:dyDescent="0.25">
      <c r="A10913" s="2" t="s">
        <v>8</v>
      </c>
      <c r="B10913" s="2" t="str">
        <f>HYPERLINK("http://ts.21cn.com/tousu/show/id/1342075","要求退款")</f>
        <v>要求退款</v>
      </c>
      <c r="C10913" s="2" t="s">
        <v>9</v>
      </c>
      <c r="D10913" s="2" t="s">
        <v>10</v>
      </c>
      <c r="E10913" s="2" t="str">
        <f>HYPERLINK("http://ts.21cn.com/tousu/show/id/1342075","http://ts.21cn.com/tousu/show/id/1342075")</f>
        <v>http://ts.21cn.com/tousu/show/id/1342075</v>
      </c>
      <c r="F10913" s="2" t="s">
        <v>11</v>
      </c>
      <c r="G10913" s="2" t="s">
        <v>22697</v>
      </c>
      <c r="H10913" s="2" t="s">
        <v>22698</v>
      </c>
    </row>
    <row r="10914" spans="1:8" ht="25.05" customHeight="1" x14ac:dyDescent="0.25">
      <c r="A10914" s="2" t="s">
        <v>8</v>
      </c>
      <c r="B10914" s="2" t="str">
        <f>HYPERLINK("http://ts.21cn.com/tousu/show/id/1342164","暴力催收，严重骚扰")</f>
        <v>暴力催收，严重骚扰</v>
      </c>
      <c r="C10914" s="2" t="s">
        <v>9</v>
      </c>
      <c r="D10914" s="2" t="s">
        <v>10</v>
      </c>
      <c r="E10914" s="2" t="str">
        <f>HYPERLINK("http://ts.21cn.com/tousu/show/id/1342164","http://ts.21cn.com/tousu/show/id/1342164")</f>
        <v>http://ts.21cn.com/tousu/show/id/1342164</v>
      </c>
      <c r="F10914" s="2" t="s">
        <v>11</v>
      </c>
      <c r="G10914" s="2" t="s">
        <v>22695</v>
      </c>
      <c r="H10914" s="2" t="s">
        <v>22696</v>
      </c>
    </row>
    <row r="10915" spans="1:8" ht="25.05" customHeight="1" x14ac:dyDescent="0.25">
      <c r="A10915" s="2" t="s">
        <v>8</v>
      </c>
      <c r="B10915" s="2" t="str">
        <f>HYPERLINK("http://ts.21cn.com/tousu/show/id/1342165","威胁，恐吓")</f>
        <v>威胁，恐吓</v>
      </c>
      <c r="C10915" s="2" t="s">
        <v>9</v>
      </c>
      <c r="D10915" s="2" t="s">
        <v>10</v>
      </c>
      <c r="E10915" s="2" t="str">
        <f>HYPERLINK("http://ts.21cn.com/tousu/show/id/1342165","http://ts.21cn.com/tousu/show/id/1342165")</f>
        <v>http://ts.21cn.com/tousu/show/id/1342165</v>
      </c>
      <c r="F10915" s="2" t="s">
        <v>11</v>
      </c>
      <c r="G10915" s="2" t="s">
        <v>22693</v>
      </c>
      <c r="H10915" s="2" t="s">
        <v>22694</v>
      </c>
    </row>
    <row r="10916" spans="1:8" ht="25.05" customHeight="1" x14ac:dyDescent="0.25">
      <c r="A10916" s="2" t="s">
        <v>8</v>
      </c>
      <c r="B10916" s="2" t="str">
        <f>HYPERLINK("http://ts.21cn.com/tousu/show/id/1342166","银盛通大pos机不退押金")</f>
        <v>银盛通大pos机不退押金</v>
      </c>
      <c r="C10916" s="2" t="s">
        <v>9</v>
      </c>
      <c r="D10916" s="2" t="s">
        <v>10</v>
      </c>
      <c r="E10916" s="2" t="str">
        <f>HYPERLINK("http://ts.21cn.com/tousu/show/id/1342166","http://ts.21cn.com/tousu/show/id/1342166")</f>
        <v>http://ts.21cn.com/tousu/show/id/1342166</v>
      </c>
      <c r="F10916" s="2" t="s">
        <v>11</v>
      </c>
      <c r="G10916" s="2" t="s">
        <v>22691</v>
      </c>
      <c r="H10916" s="2" t="s">
        <v>22692</v>
      </c>
    </row>
    <row r="10917" spans="1:8" ht="25.05" customHeight="1" x14ac:dyDescent="0.25">
      <c r="A10917" s="2" t="s">
        <v>8</v>
      </c>
      <c r="B10917" s="2" t="str">
        <f>HYPERLINK("http://ts.21cn.com/tousu/show/id/1342151","闪电借款以购买黑卡名义砍头息以及高额逾期费")</f>
        <v>闪电借款以购买黑卡名义砍头息以及高额逾期费</v>
      </c>
      <c r="C10917" s="2" t="s">
        <v>9</v>
      </c>
      <c r="D10917" s="2" t="s">
        <v>10</v>
      </c>
      <c r="E10917" s="2" t="str">
        <f>HYPERLINK("http://ts.21cn.com/tousu/show/id/1342151","http://ts.21cn.com/tousu/show/id/1342151")</f>
        <v>http://ts.21cn.com/tousu/show/id/1342151</v>
      </c>
      <c r="F10917" s="2" t="s">
        <v>11</v>
      </c>
      <c r="G10917" s="2" t="s">
        <v>22689</v>
      </c>
      <c r="H10917" s="2" t="s">
        <v>22690</v>
      </c>
    </row>
    <row r="10918" spans="1:8" ht="25.05" customHeight="1" x14ac:dyDescent="0.25">
      <c r="A10918" s="2" t="s">
        <v>8</v>
      </c>
      <c r="B10918" s="2" t="str">
        <f>HYPERLINK("http://ts.21cn.com/tousu/show/id/1342168","退还改签费216元")</f>
        <v>退还改签费216元</v>
      </c>
      <c r="C10918" s="2" t="s">
        <v>9</v>
      </c>
      <c r="D10918" s="2" t="s">
        <v>10</v>
      </c>
      <c r="E10918" s="2" t="str">
        <f>HYPERLINK("http://ts.21cn.com/tousu/show/id/1342168","http://ts.21cn.com/tousu/show/id/1342168")</f>
        <v>http://ts.21cn.com/tousu/show/id/1342168</v>
      </c>
      <c r="F10918" s="2" t="s">
        <v>11</v>
      </c>
      <c r="G10918" s="2" t="s">
        <v>22687</v>
      </c>
      <c r="H10918" s="2" t="s">
        <v>22688</v>
      </c>
    </row>
    <row r="10919" spans="1:8" ht="25.05" customHeight="1" x14ac:dyDescent="0.25">
      <c r="A10919" s="2" t="s">
        <v>8</v>
      </c>
      <c r="B10919" s="2" t="str">
        <f>HYPERLINK("http://ts.21cn.com/tousu/show/id/1342167","BetterMe在未使用下，通过微信扣款140元")</f>
        <v>BetterMe在未使用下，通过微信扣款140元</v>
      </c>
      <c r="C10919" s="2" t="s">
        <v>34</v>
      </c>
      <c r="D10919" s="2" t="s">
        <v>10</v>
      </c>
      <c r="E10919" s="2" t="str">
        <f>HYPERLINK("http://ts.21cn.com/tousu/show/id/1342167","http://ts.21cn.com/tousu/show/id/1342167")</f>
        <v>http://ts.21cn.com/tousu/show/id/1342167</v>
      </c>
      <c r="F10919" s="2" t="s">
        <v>11</v>
      </c>
      <c r="G10919" s="2" t="s">
        <v>22685</v>
      </c>
      <c r="H10919" s="2" t="s">
        <v>22686</v>
      </c>
    </row>
    <row r="10920" spans="1:8" ht="25.05" customHeight="1" x14ac:dyDescent="0.25">
      <c r="A10920" s="2" t="s">
        <v>8</v>
      </c>
      <c r="B10920" s="2" t="str">
        <f>HYPERLINK("http://ts.21cn.com/tousu/show/id/1342169","威胁，恐吓")</f>
        <v>威胁，恐吓</v>
      </c>
      <c r="C10920" s="2" t="s">
        <v>9</v>
      </c>
      <c r="D10920" s="2" t="s">
        <v>10</v>
      </c>
      <c r="E10920" s="2" t="str">
        <f>HYPERLINK("http://ts.21cn.com/tousu/show/id/1342169","http://ts.21cn.com/tousu/show/id/1342169")</f>
        <v>http://ts.21cn.com/tousu/show/id/1342169</v>
      </c>
      <c r="F10920" s="2" t="s">
        <v>11</v>
      </c>
      <c r="G10920" s="2" t="s">
        <v>22683</v>
      </c>
      <c r="H10920" s="2" t="s">
        <v>22684</v>
      </c>
    </row>
    <row r="10921" spans="1:8" ht="25.05" customHeight="1" x14ac:dyDescent="0.25">
      <c r="A10921" s="2" t="s">
        <v>8</v>
      </c>
      <c r="B10921" s="2" t="str">
        <f>HYPERLINK("http://ts.21cn.com/tousu/show/id/1342170","714高炮，砍头息")</f>
        <v>714高炮，砍头息</v>
      </c>
      <c r="C10921" s="2" t="s">
        <v>9</v>
      </c>
      <c r="D10921" s="2" t="s">
        <v>10</v>
      </c>
      <c r="E10921" s="2" t="str">
        <f>HYPERLINK("http://ts.21cn.com/tousu/show/id/1342170","http://ts.21cn.com/tousu/show/id/1342170")</f>
        <v>http://ts.21cn.com/tousu/show/id/1342170</v>
      </c>
      <c r="F10921" s="2" t="s">
        <v>11</v>
      </c>
      <c r="G10921" s="2" t="s">
        <v>22681</v>
      </c>
      <c r="H10921" s="2" t="s">
        <v>22682</v>
      </c>
    </row>
    <row r="10922" spans="1:8" ht="25.05" customHeight="1" x14ac:dyDescent="0.25">
      <c r="A10922" s="2" t="s">
        <v>8</v>
      </c>
      <c r="B10922" s="2" t="str">
        <f>HYPERLINK("http://ts.21cn.com/tousu/show/id/1342171","建设银行委外催收骚扰家人")</f>
        <v>建设银行委外催收骚扰家人</v>
      </c>
      <c r="C10922" s="2" t="s">
        <v>9</v>
      </c>
      <c r="D10922" s="2" t="s">
        <v>10</v>
      </c>
      <c r="E10922" s="2" t="str">
        <f>HYPERLINK("http://ts.21cn.com/tousu/show/id/1342171","http://ts.21cn.com/tousu/show/id/1342171")</f>
        <v>http://ts.21cn.com/tousu/show/id/1342171</v>
      </c>
      <c r="F10922" s="2" t="s">
        <v>11</v>
      </c>
      <c r="G10922" s="2" t="s">
        <v>22679</v>
      </c>
      <c r="H10922" s="2" t="s">
        <v>22680</v>
      </c>
    </row>
    <row r="10923" spans="1:8" ht="25.05" customHeight="1" x14ac:dyDescent="0.25">
      <c r="A10923" s="2" t="s">
        <v>8</v>
      </c>
      <c r="B10923" s="2" t="str">
        <f>HYPERLINK("http://ts.21cn.com/tousu/show/id/1342172","钱站的高利贷，商量偿还本金也没人理")</f>
        <v>钱站的高利贷，商量偿还本金也没人理</v>
      </c>
      <c r="C10923" s="2" t="s">
        <v>9</v>
      </c>
      <c r="D10923" s="2" t="s">
        <v>10</v>
      </c>
      <c r="E10923" s="2" t="str">
        <f>HYPERLINK("http://ts.21cn.com/tousu/show/id/1342172","http://ts.21cn.com/tousu/show/id/1342172")</f>
        <v>http://ts.21cn.com/tousu/show/id/1342172</v>
      </c>
      <c r="F10923" s="2" t="s">
        <v>11</v>
      </c>
      <c r="G10923" s="2" t="s">
        <v>22677</v>
      </c>
      <c r="H10923" s="2" t="s">
        <v>22678</v>
      </c>
    </row>
    <row r="10924" spans="1:8" ht="25.05" customHeight="1" x14ac:dyDescent="0.25">
      <c r="A10924" s="2" t="s">
        <v>8</v>
      </c>
      <c r="B10924" s="2" t="str">
        <f>HYPERLINK("http://ts.21cn.com/tousu/show/id/1342173","乱打通讯录电话")</f>
        <v>乱打通讯录电话</v>
      </c>
      <c r="C10924" s="2" t="s">
        <v>9</v>
      </c>
      <c r="D10924" s="2" t="s">
        <v>10</v>
      </c>
      <c r="E10924" s="2" t="str">
        <f>HYPERLINK("http://ts.21cn.com/tousu/show/id/1342173","http://ts.21cn.com/tousu/show/id/1342173")</f>
        <v>http://ts.21cn.com/tousu/show/id/1342173</v>
      </c>
      <c r="F10924" s="2" t="s">
        <v>11</v>
      </c>
      <c r="G10924" s="2" t="s">
        <v>22675</v>
      </c>
      <c r="H10924" s="2" t="s">
        <v>22676</v>
      </c>
    </row>
    <row r="10925" spans="1:8" ht="25.05" customHeight="1" x14ac:dyDescent="0.25">
      <c r="A10925" s="2" t="s">
        <v>8</v>
      </c>
      <c r="B10925" s="2" t="str">
        <f>HYPERLINK("http://ts.21cn.com/tousu/show/id/1342174","误入短信链接付款")</f>
        <v>误入短信链接付款</v>
      </c>
      <c r="C10925" s="2" t="s">
        <v>9</v>
      </c>
      <c r="D10925" s="2" t="s">
        <v>10</v>
      </c>
      <c r="E10925" s="2" t="str">
        <f>HYPERLINK("http://ts.21cn.com/tousu/show/id/1342174","http://ts.21cn.com/tousu/show/id/1342174")</f>
        <v>http://ts.21cn.com/tousu/show/id/1342174</v>
      </c>
      <c r="F10925" s="2" t="s">
        <v>11</v>
      </c>
      <c r="G10925" s="2" t="s">
        <v>22673</v>
      </c>
      <c r="H10925" s="2" t="s">
        <v>22674</v>
      </c>
    </row>
    <row r="10926" spans="1:8" ht="25.05" customHeight="1" x14ac:dyDescent="0.25">
      <c r="A10926" s="2" t="s">
        <v>8</v>
      </c>
      <c r="B10926" s="2" t="str">
        <f>HYPERLINK("http://ts.21cn.com/tousu/show/id/1342175","暴力催收")</f>
        <v>暴力催收</v>
      </c>
      <c r="C10926" s="2" t="s">
        <v>9</v>
      </c>
      <c r="D10926" s="2" t="s">
        <v>10</v>
      </c>
      <c r="E10926" s="2" t="str">
        <f>HYPERLINK("http://ts.21cn.com/tousu/show/id/1342175","http://ts.21cn.com/tousu/show/id/1342175")</f>
        <v>http://ts.21cn.com/tousu/show/id/1342175</v>
      </c>
      <c r="F10926" s="2" t="s">
        <v>11</v>
      </c>
      <c r="G10926" s="2" t="s">
        <v>22671</v>
      </c>
      <c r="H10926" s="2" t="s">
        <v>22672</v>
      </c>
    </row>
    <row r="10927" spans="1:8" ht="25.05" customHeight="1" x14ac:dyDescent="0.25">
      <c r="A10927" s="2" t="s">
        <v>8</v>
      </c>
      <c r="B10927" s="2" t="str">
        <f>HYPERLINK("http://ts.21cn.com/tousu/show/id/1342176","平安普惠高利贷暴力催收")</f>
        <v>平安普惠高利贷暴力催收</v>
      </c>
      <c r="C10927" s="2" t="s">
        <v>9</v>
      </c>
      <c r="D10927" s="2" t="s">
        <v>10</v>
      </c>
      <c r="E10927" s="2" t="str">
        <f>HYPERLINK("http://ts.21cn.com/tousu/show/id/1342176","http://ts.21cn.com/tousu/show/id/1342176")</f>
        <v>http://ts.21cn.com/tousu/show/id/1342176</v>
      </c>
      <c r="F10927" s="2" t="s">
        <v>11</v>
      </c>
      <c r="G10927" s="2" t="s">
        <v>22669</v>
      </c>
      <c r="H10927" s="2" t="s">
        <v>22670</v>
      </c>
    </row>
    <row r="10928" spans="1:8" ht="25.05" customHeight="1" x14ac:dyDescent="0.25">
      <c r="A10928" s="2" t="s">
        <v>8</v>
      </c>
      <c r="B10928" s="2" t="str">
        <f>HYPERLINK("http://ts.21cn.com/tousu/show/id/1342177","小浦优客未经同意扣款")</f>
        <v>小浦优客未经同意扣款</v>
      </c>
      <c r="C10928" s="2" t="s">
        <v>9</v>
      </c>
      <c r="D10928" s="2" t="s">
        <v>10</v>
      </c>
      <c r="E10928" s="2" t="str">
        <f>HYPERLINK("http://ts.21cn.com/tousu/show/id/1342177","http://ts.21cn.com/tousu/show/id/1342177")</f>
        <v>http://ts.21cn.com/tousu/show/id/1342177</v>
      </c>
      <c r="F10928" s="2" t="s">
        <v>11</v>
      </c>
      <c r="G10928" s="2" t="s">
        <v>22667</v>
      </c>
      <c r="H10928" s="2" t="s">
        <v>22668</v>
      </c>
    </row>
    <row r="10929" spans="1:8" ht="25.05" customHeight="1" x14ac:dyDescent="0.25">
      <c r="A10929" s="2" t="s">
        <v>8</v>
      </c>
      <c r="B10929" s="2" t="str">
        <f>HYPERLINK("http://ts.21cn.com/tousu/show/id/1342178","创客黑心软件，任由商家胡乱标记，导致个人信誉受损")</f>
        <v>创客黑心软件，任由商家胡乱标记，导致个人信誉受损</v>
      </c>
      <c r="C10929" s="2" t="s">
        <v>9</v>
      </c>
      <c r="D10929" s="2" t="s">
        <v>10</v>
      </c>
      <c r="E10929" s="2" t="str">
        <f>HYPERLINK("http://ts.21cn.com/tousu/show/id/1342178","http://ts.21cn.com/tousu/show/id/1342178")</f>
        <v>http://ts.21cn.com/tousu/show/id/1342178</v>
      </c>
      <c r="F10929" s="2" t="s">
        <v>11</v>
      </c>
      <c r="G10929" s="2" t="s">
        <v>22665</v>
      </c>
      <c r="H10929" s="2" t="s">
        <v>22666</v>
      </c>
    </row>
    <row r="10930" spans="1:8" ht="25.05" customHeight="1" x14ac:dyDescent="0.25">
      <c r="A10930" s="2" t="s">
        <v>8</v>
      </c>
      <c r="B10930" s="2" t="str">
        <f>HYPERLINK("http://ts.21cn.com/tousu/show/id/1342181","没有在平台借款缺被无故扣款")</f>
        <v>没有在平台借款缺被无故扣款</v>
      </c>
      <c r="C10930" s="2" t="s">
        <v>34</v>
      </c>
      <c r="D10930" s="2" t="s">
        <v>10</v>
      </c>
      <c r="E10930" s="2" t="str">
        <f>HYPERLINK("http://ts.21cn.com/tousu/show/id/1342181","http://ts.21cn.com/tousu/show/id/1342181")</f>
        <v>http://ts.21cn.com/tousu/show/id/1342181</v>
      </c>
      <c r="F10930" s="2" t="s">
        <v>11</v>
      </c>
      <c r="G10930" s="2" t="s">
        <v>22663</v>
      </c>
      <c r="H10930" s="2" t="s">
        <v>22664</v>
      </c>
    </row>
    <row r="10931" spans="1:8" ht="25.05" customHeight="1" x14ac:dyDescent="0.25">
      <c r="A10931" s="2" t="s">
        <v>8</v>
      </c>
      <c r="B10931" s="2" t="str">
        <f>HYPERLINK("http://ts.21cn.com/tousu/show/id/1342180","我上午投诉立借平台下午就他们客服打电话说跟我协商然后给我一天时间说的好好的可是有人突然加我QQ威胁我，爆通讯录")</f>
        <v>我上午投诉立借平台下午就他们客服打电话说跟我协商然后给我一天时间说的好好的可是有人突然加我QQ威胁我，爆通讯录</v>
      </c>
      <c r="C10931" s="2" t="s">
        <v>9</v>
      </c>
      <c r="D10931" s="2" t="s">
        <v>10</v>
      </c>
      <c r="E10931" s="2" t="str">
        <f>HYPERLINK("http://ts.21cn.com/tousu/show/id/1342180","http://ts.21cn.com/tousu/show/id/1342180")</f>
        <v>http://ts.21cn.com/tousu/show/id/1342180</v>
      </c>
      <c r="F10931" s="2" t="s">
        <v>11</v>
      </c>
      <c r="G10931" s="2" t="s">
        <v>22661</v>
      </c>
      <c r="H10931" s="2" t="s">
        <v>22662</v>
      </c>
    </row>
    <row r="10932" spans="1:8" ht="25.05" customHeight="1" x14ac:dyDescent="0.25">
      <c r="A10932" s="2" t="s">
        <v>8</v>
      </c>
      <c r="B10932" s="2" t="str">
        <f>HYPERLINK("http://ts.21cn.com/tousu/show/id/1342182","你我贷砍头息暴力催收")</f>
        <v>你我贷砍头息暴力催收</v>
      </c>
      <c r="C10932" s="2" t="s">
        <v>9</v>
      </c>
      <c r="D10932" s="2" t="s">
        <v>10</v>
      </c>
      <c r="E10932" s="2" t="str">
        <f>HYPERLINK("http://ts.21cn.com/tousu/show/id/1342182","http://ts.21cn.com/tousu/show/id/1342182")</f>
        <v>http://ts.21cn.com/tousu/show/id/1342182</v>
      </c>
      <c r="F10932" s="2" t="s">
        <v>11</v>
      </c>
      <c r="G10932" s="2" t="s">
        <v>22659</v>
      </c>
      <c r="H10932" s="2" t="s">
        <v>22660</v>
      </c>
    </row>
    <row r="10933" spans="1:8" ht="25.05" customHeight="1" x14ac:dyDescent="0.25">
      <c r="A10933" s="2" t="s">
        <v>8</v>
      </c>
      <c r="B10933" s="2" t="str">
        <f>HYPERLINK("http://ts.21cn.com/tousu/show/id/1342183","小魔鱼恶意催收爆私人信息")</f>
        <v>小魔鱼恶意催收爆私人信息</v>
      </c>
      <c r="C10933" s="2" t="s">
        <v>9</v>
      </c>
      <c r="D10933" s="2" t="s">
        <v>10</v>
      </c>
      <c r="E10933" s="2" t="str">
        <f>HYPERLINK("http://ts.21cn.com/tousu/show/id/1342183","http://ts.21cn.com/tousu/show/id/1342183")</f>
        <v>http://ts.21cn.com/tousu/show/id/1342183</v>
      </c>
      <c r="F10933" s="2" t="s">
        <v>11</v>
      </c>
      <c r="G10933" s="2" t="s">
        <v>22657</v>
      </c>
      <c r="H10933" s="2" t="s">
        <v>22658</v>
      </c>
    </row>
    <row r="10934" spans="1:8" ht="25.05" customHeight="1" x14ac:dyDescent="0.25">
      <c r="A10934" s="2" t="s">
        <v>8</v>
      </c>
      <c r="B10934" s="2" t="str">
        <f>HYPERLINK("http://ts.21cn.com/tousu/show/id/1342184","未经本人同意，恶意扣费")</f>
        <v>未经本人同意，恶意扣费</v>
      </c>
      <c r="C10934" s="2" t="s">
        <v>9</v>
      </c>
      <c r="D10934" s="2" t="s">
        <v>10</v>
      </c>
      <c r="E10934" s="2" t="str">
        <f>HYPERLINK("http://ts.21cn.com/tousu/show/id/1342184","http://ts.21cn.com/tousu/show/id/1342184")</f>
        <v>http://ts.21cn.com/tousu/show/id/1342184</v>
      </c>
      <c r="F10934" s="2" t="s">
        <v>11</v>
      </c>
      <c r="G10934" s="2" t="s">
        <v>22655</v>
      </c>
      <c r="H10934" s="2" t="s">
        <v>22656</v>
      </c>
    </row>
    <row r="10935" spans="1:8" ht="25.05" customHeight="1" x14ac:dyDescent="0.25">
      <c r="A10935" s="2" t="s">
        <v>8</v>
      </c>
      <c r="B10935" s="2" t="str">
        <f>HYPERLINK("http://ts.21cn.com/tousu/show/id/1340851","群发短信，暴力催收")</f>
        <v>群发短信，暴力催收</v>
      </c>
      <c r="C10935" s="2" t="s">
        <v>9</v>
      </c>
      <c r="D10935" s="2" t="s">
        <v>10</v>
      </c>
      <c r="E10935" s="2" t="str">
        <f>HYPERLINK("http://ts.21cn.com/tousu/show/id/1340851","http://ts.21cn.com/tousu/show/id/1340851")</f>
        <v>http://ts.21cn.com/tousu/show/id/1340851</v>
      </c>
      <c r="F10935" s="2" t="s">
        <v>11</v>
      </c>
      <c r="G10935" s="2" t="s">
        <v>22653</v>
      </c>
      <c r="H10935" s="2" t="s">
        <v>22654</v>
      </c>
    </row>
    <row r="10936" spans="1:8" ht="25.05" customHeight="1" x14ac:dyDescent="0.25">
      <c r="A10936" s="2" t="s">
        <v>8</v>
      </c>
      <c r="B10936" s="2" t="str">
        <f>HYPERLINK("http://ts.21cn.com/tousu/show/id/1342186","来分期有额度不让用要销户又推诿不给销户")</f>
        <v>来分期有额度不让用要销户又推诿不给销户</v>
      </c>
      <c r="C10936" s="2" t="s">
        <v>9</v>
      </c>
      <c r="D10936" s="2" t="s">
        <v>10</v>
      </c>
      <c r="E10936" s="2" t="str">
        <f>HYPERLINK("http://ts.21cn.com/tousu/show/id/1342186","http://ts.21cn.com/tousu/show/id/1342186")</f>
        <v>http://ts.21cn.com/tousu/show/id/1342186</v>
      </c>
      <c r="F10936" s="2" t="s">
        <v>11</v>
      </c>
      <c r="G10936" s="2" t="s">
        <v>22651</v>
      </c>
      <c r="H10936" s="2" t="s">
        <v>22652</v>
      </c>
    </row>
    <row r="10937" spans="1:8" ht="25.05" customHeight="1" x14ac:dyDescent="0.25">
      <c r="A10937" s="2" t="s">
        <v>8</v>
      </c>
      <c r="B10937" s="2" t="str">
        <f>HYPERLINK("http://ts.21cn.com/tousu/show/id/1342185","分期乐群发短信")</f>
        <v>分期乐群发短信</v>
      </c>
      <c r="C10937" s="2" t="s">
        <v>9</v>
      </c>
      <c r="D10937" s="2" t="s">
        <v>10</v>
      </c>
      <c r="E10937" s="2" t="str">
        <f>HYPERLINK("http://ts.21cn.com/tousu/show/id/1342185","http://ts.21cn.com/tousu/show/id/1342185")</f>
        <v>http://ts.21cn.com/tousu/show/id/1342185</v>
      </c>
      <c r="F10937" s="2" t="s">
        <v>11</v>
      </c>
      <c r="G10937" s="2" t="s">
        <v>22649</v>
      </c>
      <c r="H10937" s="2" t="s">
        <v>22650</v>
      </c>
    </row>
    <row r="10938" spans="1:8" ht="25.05" customHeight="1" x14ac:dyDescent="0.25">
      <c r="A10938" s="2" t="s">
        <v>8</v>
      </c>
      <c r="B10938" s="2" t="str">
        <f>HYPERLINK("http://ts.21cn.com/tousu/show/id/1342188","砍头息高利贷")</f>
        <v>砍头息高利贷</v>
      </c>
      <c r="C10938" s="2" t="s">
        <v>9</v>
      </c>
      <c r="D10938" s="2" t="s">
        <v>10</v>
      </c>
      <c r="E10938" s="2" t="str">
        <f>HYPERLINK("http://ts.21cn.com/tousu/show/id/1342188","http://ts.21cn.com/tousu/show/id/1342188")</f>
        <v>http://ts.21cn.com/tousu/show/id/1342188</v>
      </c>
      <c r="F10938" s="2" t="s">
        <v>11</v>
      </c>
      <c r="G10938" s="2" t="s">
        <v>22647</v>
      </c>
      <c r="H10938" s="2" t="s">
        <v>22648</v>
      </c>
    </row>
    <row r="10939" spans="1:8" ht="25.05" customHeight="1" x14ac:dyDescent="0.25">
      <c r="A10939" s="2" t="s">
        <v>8</v>
      </c>
      <c r="B10939" s="2" t="str">
        <f>HYPERLINK("http://ts.21cn.com/tousu/show/id/1342189","小浦优客app未提示扣取报告费要求退回")</f>
        <v>小浦优客app未提示扣取报告费要求退回</v>
      </c>
      <c r="C10939" s="2" t="s">
        <v>9</v>
      </c>
      <c r="D10939" s="2" t="s">
        <v>10</v>
      </c>
      <c r="E10939" s="2" t="str">
        <f>HYPERLINK("http://ts.21cn.com/tousu/show/id/1342189","http://ts.21cn.com/tousu/show/id/1342189")</f>
        <v>http://ts.21cn.com/tousu/show/id/1342189</v>
      </c>
      <c r="F10939" s="2" t="s">
        <v>11</v>
      </c>
      <c r="G10939" s="2" t="s">
        <v>22646</v>
      </c>
      <c r="H10939" s="2" t="s">
        <v>11904</v>
      </c>
    </row>
    <row r="10940" spans="1:8" ht="25.05" customHeight="1" x14ac:dyDescent="0.25">
      <c r="A10940" s="2" t="s">
        <v>8</v>
      </c>
      <c r="B10940" s="2" t="str">
        <f>HYPERLINK("http://ts.21cn.com/tousu/show/id/1342190","豹子贷无故扣钱不需要还要扣")</f>
        <v>豹子贷无故扣钱不需要还要扣</v>
      </c>
      <c r="C10940" s="2" t="s">
        <v>9</v>
      </c>
      <c r="D10940" s="2" t="s">
        <v>10</v>
      </c>
      <c r="E10940" s="2" t="str">
        <f>HYPERLINK("http://ts.21cn.com/tousu/show/id/1342190","http://ts.21cn.com/tousu/show/id/1342190")</f>
        <v>http://ts.21cn.com/tousu/show/id/1342190</v>
      </c>
      <c r="F10940" s="2" t="s">
        <v>11</v>
      </c>
      <c r="G10940" s="2" t="s">
        <v>22645</v>
      </c>
      <c r="H10940" s="2" t="s">
        <v>15916</v>
      </c>
    </row>
    <row r="10941" spans="1:8" ht="25.05" customHeight="1" x14ac:dyDescent="0.25">
      <c r="A10941" s="2" t="s">
        <v>8</v>
      </c>
      <c r="B10941" s="2" t="str">
        <f>HYPERLINK("http://ts.21cn.com/tousu/show/id/1342193","我把钱还了但是没有给我结清")</f>
        <v>我把钱还了但是没有给我结清</v>
      </c>
      <c r="C10941" s="2" t="s">
        <v>9</v>
      </c>
      <c r="D10941" s="2" t="s">
        <v>10</v>
      </c>
      <c r="E10941" s="2" t="str">
        <f>HYPERLINK("http://ts.21cn.com/tousu/show/id/1342193","http://ts.21cn.com/tousu/show/id/1342193")</f>
        <v>http://ts.21cn.com/tousu/show/id/1342193</v>
      </c>
      <c r="F10941" s="2" t="s">
        <v>11</v>
      </c>
      <c r="G10941" s="2" t="s">
        <v>22643</v>
      </c>
      <c r="H10941" s="2" t="s">
        <v>22644</v>
      </c>
    </row>
    <row r="10942" spans="1:8" ht="25.05" customHeight="1" x14ac:dyDescent="0.25">
      <c r="A10942" s="2" t="s">
        <v>8</v>
      </c>
      <c r="B10942" s="2" t="str">
        <f>HYPERLINK("http://ts.21cn.com/tousu/show/id/1342194","上海拍拍贷委托的催收机构多次暴力催收电话骚扰我通讯录里的亲朋好友")</f>
        <v>上海拍拍贷委托的催收机构多次暴力催收电话骚扰我通讯录里的亲朋好友</v>
      </c>
      <c r="C10942" s="2" t="s">
        <v>9</v>
      </c>
      <c r="D10942" s="2" t="s">
        <v>10</v>
      </c>
      <c r="E10942" s="2" t="str">
        <f>HYPERLINK("http://ts.21cn.com/tousu/show/id/1342194","http://ts.21cn.com/tousu/show/id/1342194")</f>
        <v>http://ts.21cn.com/tousu/show/id/1342194</v>
      </c>
      <c r="F10942" s="2" t="s">
        <v>11</v>
      </c>
      <c r="G10942" s="2" t="s">
        <v>22641</v>
      </c>
      <c r="H10942" s="2" t="s">
        <v>22642</v>
      </c>
    </row>
    <row r="10943" spans="1:8" ht="25.05" customHeight="1" x14ac:dyDescent="0.25">
      <c r="A10943" s="2" t="s">
        <v>8</v>
      </c>
      <c r="B10943" s="2" t="str">
        <f>HYPERLINK("http://ts.21cn.com/tousu/show/id/1342191","乱打通讯录电话")</f>
        <v>乱打通讯录电话</v>
      </c>
      <c r="C10943" s="2" t="s">
        <v>9</v>
      </c>
      <c r="D10943" s="2" t="s">
        <v>10</v>
      </c>
      <c r="E10943" s="2" t="str">
        <f>HYPERLINK("http://ts.21cn.com/tousu/show/id/1342191","http://ts.21cn.com/tousu/show/id/1342191")</f>
        <v>http://ts.21cn.com/tousu/show/id/1342191</v>
      </c>
      <c r="F10943" s="2" t="s">
        <v>11</v>
      </c>
      <c r="G10943" s="2" t="s">
        <v>22639</v>
      </c>
      <c r="H10943" s="2" t="s">
        <v>22640</v>
      </c>
    </row>
    <row r="10944" spans="1:8" ht="25.05" customHeight="1" x14ac:dyDescent="0.25">
      <c r="A10944" s="2" t="s">
        <v>8</v>
      </c>
      <c r="B10944" s="2" t="str">
        <f>HYPERLINK("http://ts.21cn.com/tousu/show/id/1342192","拼多多无故下架我店铺商品")</f>
        <v>拼多多无故下架我店铺商品</v>
      </c>
      <c r="C10944" s="2" t="s">
        <v>34</v>
      </c>
      <c r="D10944" s="2" t="s">
        <v>10</v>
      </c>
      <c r="E10944" s="2" t="str">
        <f>HYPERLINK("http://ts.21cn.com/tousu/show/id/1342192","http://ts.21cn.com/tousu/show/id/1342192")</f>
        <v>http://ts.21cn.com/tousu/show/id/1342192</v>
      </c>
      <c r="F10944" s="2" t="s">
        <v>11</v>
      </c>
      <c r="G10944" s="2" t="s">
        <v>22637</v>
      </c>
      <c r="H10944" s="2" t="s">
        <v>22638</v>
      </c>
    </row>
    <row r="10945" spans="1:8" ht="25.05" customHeight="1" x14ac:dyDescent="0.25">
      <c r="A10945" s="2" t="s">
        <v>8</v>
      </c>
      <c r="B10945" s="2" t="str">
        <f>HYPERLINK("http://ts.21cn.com/tousu/show/id/1342195","闪银通过中融创融资担保有限公司收取担保费")</f>
        <v>闪银通过中融创融资担保有限公司收取担保费</v>
      </c>
      <c r="C10945" s="2" t="s">
        <v>9</v>
      </c>
      <c r="D10945" s="2" t="s">
        <v>10</v>
      </c>
      <c r="E10945" s="2" t="str">
        <f>HYPERLINK("http://ts.21cn.com/tousu/show/id/1342195","http://ts.21cn.com/tousu/show/id/1342195")</f>
        <v>http://ts.21cn.com/tousu/show/id/1342195</v>
      </c>
      <c r="F10945" s="2" t="s">
        <v>11</v>
      </c>
      <c r="G10945" s="2" t="s">
        <v>22635</v>
      </c>
      <c r="H10945" s="2" t="s">
        <v>22636</v>
      </c>
    </row>
    <row r="10946" spans="1:8" ht="25.05" customHeight="1" x14ac:dyDescent="0.25">
      <c r="A10946" s="2" t="s">
        <v>8</v>
      </c>
      <c r="B10946" s="2" t="str">
        <f>HYPERLINK("http://ts.21cn.com/tousu/show/id/1342196","恶意扣款")</f>
        <v>恶意扣款</v>
      </c>
      <c r="C10946" s="2" t="s">
        <v>9</v>
      </c>
      <c r="D10946" s="2" t="s">
        <v>10</v>
      </c>
      <c r="E10946" s="2" t="str">
        <f>HYPERLINK("http://ts.21cn.com/tousu/show/id/1342196","http://ts.21cn.com/tousu/show/id/1342196")</f>
        <v>http://ts.21cn.com/tousu/show/id/1342196</v>
      </c>
      <c r="F10946" s="2" t="s">
        <v>11</v>
      </c>
      <c r="G10946" s="2" t="s">
        <v>22633</v>
      </c>
      <c r="H10946" s="2" t="s">
        <v>22634</v>
      </c>
    </row>
    <row r="10947" spans="1:8" ht="25.05" customHeight="1" x14ac:dyDescent="0.25">
      <c r="A10947" s="2" t="s">
        <v>8</v>
      </c>
      <c r="B10947" s="2" t="str">
        <f>HYPERLINK("http://ts.21cn.com/tousu/show/id/1342197","大鹅购")</f>
        <v>大鹅购</v>
      </c>
      <c r="C10947" s="2" t="s">
        <v>9</v>
      </c>
      <c r="D10947" s="2" t="s">
        <v>10</v>
      </c>
      <c r="E10947" s="2" t="str">
        <f>HYPERLINK("http://ts.21cn.com/tousu/show/id/1342197","http://ts.21cn.com/tousu/show/id/1342197")</f>
        <v>http://ts.21cn.com/tousu/show/id/1342197</v>
      </c>
      <c r="F10947" s="2" t="s">
        <v>11</v>
      </c>
      <c r="G10947" s="2" t="s">
        <v>22631</v>
      </c>
      <c r="H10947" s="2" t="s">
        <v>22632</v>
      </c>
    </row>
    <row r="10948" spans="1:8" ht="25.05" customHeight="1" x14ac:dyDescent="0.25">
      <c r="A10948" s="2" t="s">
        <v>8</v>
      </c>
      <c r="B10948" s="2" t="str">
        <f>HYPERLINK("http://ts.21cn.com/tousu/show/id/1342199","现控达人恶意造成逾期高额费用")</f>
        <v>现控达人恶意造成逾期高额费用</v>
      </c>
      <c r="C10948" s="2" t="s">
        <v>9</v>
      </c>
      <c r="D10948" s="2" t="s">
        <v>10</v>
      </c>
      <c r="E10948" s="2" t="str">
        <f>HYPERLINK("http://ts.21cn.com/tousu/show/id/1342199","http://ts.21cn.com/tousu/show/id/1342199")</f>
        <v>http://ts.21cn.com/tousu/show/id/1342199</v>
      </c>
      <c r="F10948" s="2" t="s">
        <v>11</v>
      </c>
      <c r="G10948" s="2" t="s">
        <v>22629</v>
      </c>
      <c r="H10948" s="2" t="s">
        <v>22630</v>
      </c>
    </row>
    <row r="10949" spans="1:8" ht="25.05" customHeight="1" x14ac:dyDescent="0.25">
      <c r="A10949" s="2" t="s">
        <v>8</v>
      </c>
      <c r="B10949" s="2" t="str">
        <f>HYPERLINK("http://ts.21cn.com/tousu/show/id/1342200","拍拍贷暴力催收")</f>
        <v>拍拍贷暴力催收</v>
      </c>
      <c r="C10949" s="2" t="s">
        <v>9</v>
      </c>
      <c r="D10949" s="2" t="s">
        <v>10</v>
      </c>
      <c r="E10949" s="2" t="str">
        <f>HYPERLINK("http://ts.21cn.com/tousu/show/id/1342200","http://ts.21cn.com/tousu/show/id/1342200")</f>
        <v>http://ts.21cn.com/tousu/show/id/1342200</v>
      </c>
      <c r="F10949" s="2" t="s">
        <v>11</v>
      </c>
      <c r="G10949" s="2" t="s">
        <v>22627</v>
      </c>
      <c r="H10949" s="2" t="s">
        <v>22628</v>
      </c>
    </row>
    <row r="10950" spans="1:8" ht="25.05" customHeight="1" x14ac:dyDescent="0.25">
      <c r="A10950" s="2" t="s">
        <v>8</v>
      </c>
      <c r="B10950" s="2" t="str">
        <f>HYPERLINK("http://ts.21cn.com/tousu/show/id/1342202","平安普惠还款后爆通讯录")</f>
        <v>平安普惠还款后爆通讯录</v>
      </c>
      <c r="C10950" s="2" t="s">
        <v>9</v>
      </c>
      <c r="D10950" s="2" t="s">
        <v>10</v>
      </c>
      <c r="E10950" s="2" t="str">
        <f>HYPERLINK("http://ts.21cn.com/tousu/show/id/1342202","http://ts.21cn.com/tousu/show/id/1342202")</f>
        <v>http://ts.21cn.com/tousu/show/id/1342202</v>
      </c>
      <c r="F10950" s="2" t="s">
        <v>11</v>
      </c>
      <c r="G10950" s="2" t="s">
        <v>22625</v>
      </c>
      <c r="H10950" s="2" t="s">
        <v>22626</v>
      </c>
    </row>
    <row r="10951" spans="1:8" ht="25.05" customHeight="1" x14ac:dyDescent="0.25">
      <c r="A10951" s="2" t="s">
        <v>8</v>
      </c>
      <c r="B10951" s="2" t="str">
        <f>HYPERLINK("http://ts.21cn.com/tousu/show/id/1342203","信而富违规高利贷砍头息套路贷")</f>
        <v>信而富违规高利贷砍头息套路贷</v>
      </c>
      <c r="C10951" s="2" t="s">
        <v>9</v>
      </c>
      <c r="D10951" s="2" t="s">
        <v>10</v>
      </c>
      <c r="E10951" s="2" t="str">
        <f>HYPERLINK("http://ts.21cn.com/tousu/show/id/1342203","http://ts.21cn.com/tousu/show/id/1342203")</f>
        <v>http://ts.21cn.com/tousu/show/id/1342203</v>
      </c>
      <c r="F10951" s="2" t="s">
        <v>11</v>
      </c>
      <c r="G10951" s="2" t="s">
        <v>22623</v>
      </c>
      <c r="H10951" s="2" t="s">
        <v>22624</v>
      </c>
    </row>
    <row r="10952" spans="1:8" ht="25.05" customHeight="1" x14ac:dyDescent="0.25">
      <c r="A10952" s="2" t="s">
        <v>8</v>
      </c>
      <c r="B10952" s="2" t="str">
        <f>HYPERLINK("http://ts.21cn.com/tousu/show/id/1342204","贷款8万多做的吸脂项目失败")</f>
        <v>贷款8万多做的吸脂项目失败</v>
      </c>
      <c r="C10952" s="2" t="s">
        <v>9</v>
      </c>
      <c r="D10952" s="2" t="s">
        <v>10</v>
      </c>
      <c r="E10952" s="2" t="str">
        <f>HYPERLINK("http://ts.21cn.com/tousu/show/id/1342204","http://ts.21cn.com/tousu/show/id/1342204")</f>
        <v>http://ts.21cn.com/tousu/show/id/1342204</v>
      </c>
      <c r="F10952" s="2" t="s">
        <v>11</v>
      </c>
      <c r="G10952" s="2" t="s">
        <v>22621</v>
      </c>
      <c r="H10952" s="2" t="s">
        <v>22622</v>
      </c>
    </row>
    <row r="10953" spans="1:8" ht="25.05" customHeight="1" x14ac:dyDescent="0.25">
      <c r="A10953" s="2" t="s">
        <v>8</v>
      </c>
      <c r="B10953" s="2" t="str">
        <f>HYPERLINK("http://ts.21cn.com/tousu/show/id/1342205","中信银行信用卡")</f>
        <v>中信银行信用卡</v>
      </c>
      <c r="C10953" s="2" t="s">
        <v>9</v>
      </c>
      <c r="D10953" s="2" t="s">
        <v>10</v>
      </c>
      <c r="E10953" s="2" t="str">
        <f>HYPERLINK("http://ts.21cn.com/tousu/show/id/1342205","http://ts.21cn.com/tousu/show/id/1342205")</f>
        <v>http://ts.21cn.com/tousu/show/id/1342205</v>
      </c>
      <c r="F10953" s="2" t="s">
        <v>11</v>
      </c>
      <c r="G10953" s="2" t="s">
        <v>22619</v>
      </c>
      <c r="H10953" s="2" t="s">
        <v>22620</v>
      </c>
    </row>
    <row r="10954" spans="1:8" ht="25.05" customHeight="1" x14ac:dyDescent="0.25">
      <c r="A10954" s="2" t="s">
        <v>8</v>
      </c>
      <c r="B10954" s="2" t="str">
        <f>HYPERLINK("http://ts.21cn.com/tousu/show/id/1342206","拍拍贷严重骚扰通讯录里家人朋友")</f>
        <v>拍拍贷严重骚扰通讯录里家人朋友</v>
      </c>
      <c r="C10954" s="2" t="s">
        <v>9</v>
      </c>
      <c r="D10954" s="2" t="s">
        <v>10</v>
      </c>
      <c r="E10954" s="2" t="str">
        <f>HYPERLINK("http://ts.21cn.com/tousu/show/id/1342206","http://ts.21cn.com/tousu/show/id/1342206")</f>
        <v>http://ts.21cn.com/tousu/show/id/1342206</v>
      </c>
      <c r="F10954" s="2" t="s">
        <v>11</v>
      </c>
      <c r="G10954" s="2" t="s">
        <v>22617</v>
      </c>
      <c r="H10954" s="2" t="s">
        <v>22618</v>
      </c>
    </row>
    <row r="10955" spans="1:8" ht="25.05" customHeight="1" x14ac:dyDescent="0.25">
      <c r="A10955" s="2" t="s">
        <v>8</v>
      </c>
      <c r="B10955" s="2" t="str">
        <f>HYPERLINK("http://ts.21cn.com/tousu/show/id/1342207","大量用户无法退还立刻出行499元押金")</f>
        <v>大量用户无法退还立刻出行499元押金</v>
      </c>
      <c r="C10955" s="2" t="s">
        <v>34</v>
      </c>
      <c r="D10955" s="2" t="s">
        <v>10</v>
      </c>
      <c r="E10955" s="2" t="str">
        <f>HYPERLINK("http://ts.21cn.com/tousu/show/id/1342207","http://ts.21cn.com/tousu/show/id/1342207")</f>
        <v>http://ts.21cn.com/tousu/show/id/1342207</v>
      </c>
      <c r="F10955" s="2" t="s">
        <v>11</v>
      </c>
      <c r="G10955" s="2" t="s">
        <v>22615</v>
      </c>
      <c r="H10955" s="2" t="s">
        <v>22616</v>
      </c>
    </row>
    <row r="10956" spans="1:8" ht="25.05" customHeight="1" x14ac:dyDescent="0.25">
      <c r="A10956" s="2" t="s">
        <v>8</v>
      </c>
      <c r="B10956" s="2" t="str">
        <f>HYPERLINK("http://ts.21cn.com/tousu/show/id/1342208","信而富暴力催收")</f>
        <v>信而富暴力催收</v>
      </c>
      <c r="C10956" s="2" t="s">
        <v>9</v>
      </c>
      <c r="D10956" s="2" t="s">
        <v>10</v>
      </c>
      <c r="E10956" s="2" t="str">
        <f>HYPERLINK("http://ts.21cn.com/tousu/show/id/1342208","http://ts.21cn.com/tousu/show/id/1342208")</f>
        <v>http://ts.21cn.com/tousu/show/id/1342208</v>
      </c>
      <c r="F10956" s="2" t="s">
        <v>11</v>
      </c>
      <c r="G10956" s="2" t="s">
        <v>22613</v>
      </c>
      <c r="H10956" s="2" t="s">
        <v>22614</v>
      </c>
    </row>
    <row r="10957" spans="1:8" ht="25.05" customHeight="1" x14ac:dyDescent="0.25">
      <c r="A10957" s="2" t="s">
        <v>8</v>
      </c>
      <c r="B10957" s="2" t="str">
        <f>HYPERLINK("http://ts.21cn.com/tousu/show/id/1342209","京东361度童装官方旗舰店不发货！")</f>
        <v>京东361度童装官方旗舰店不发货！</v>
      </c>
      <c r="C10957" s="2" t="s">
        <v>9</v>
      </c>
      <c r="D10957" s="2" t="s">
        <v>10</v>
      </c>
      <c r="E10957" s="2" t="str">
        <f>HYPERLINK("http://ts.21cn.com/tousu/show/id/1342209","http://ts.21cn.com/tousu/show/id/1342209")</f>
        <v>http://ts.21cn.com/tousu/show/id/1342209</v>
      </c>
      <c r="F10957" s="2" t="s">
        <v>11</v>
      </c>
      <c r="G10957" s="2" t="s">
        <v>22611</v>
      </c>
      <c r="H10957" s="2" t="s">
        <v>22612</v>
      </c>
    </row>
    <row r="10958" spans="1:8" ht="25.05" customHeight="1" x14ac:dyDescent="0.25">
      <c r="A10958" s="2" t="s">
        <v>8</v>
      </c>
      <c r="B10958" s="2" t="str">
        <f>HYPERLINK("http://ts.21cn.com/tousu/show/id/1342212","时光分期高利贷啊！")</f>
        <v>时光分期高利贷啊！</v>
      </c>
      <c r="C10958" s="2" t="s">
        <v>9</v>
      </c>
      <c r="D10958" s="2" t="s">
        <v>10</v>
      </c>
      <c r="E10958" s="2" t="str">
        <f>HYPERLINK("http://ts.21cn.com/tousu/show/id/1342212","http://ts.21cn.com/tousu/show/id/1342212")</f>
        <v>http://ts.21cn.com/tousu/show/id/1342212</v>
      </c>
      <c r="F10958" s="2" t="s">
        <v>11</v>
      </c>
      <c r="G10958" s="2" t="s">
        <v>22609</v>
      </c>
      <c r="H10958" s="2" t="s">
        <v>22610</v>
      </c>
    </row>
    <row r="10959" spans="1:8" ht="25.05" customHeight="1" x14ac:dyDescent="0.25">
      <c r="A10959" s="2" t="s">
        <v>8</v>
      </c>
      <c r="B10959" s="2" t="str">
        <f>HYPERLINK("http://ts.21cn.com/tousu/show/id/1342213","中原金融电话威胁骚扰暴力催收")</f>
        <v>中原金融电话威胁骚扰暴力催收</v>
      </c>
      <c r="C10959" s="2" t="s">
        <v>9</v>
      </c>
      <c r="D10959" s="2" t="s">
        <v>10</v>
      </c>
      <c r="E10959" s="2" t="str">
        <f>HYPERLINK("http://ts.21cn.com/tousu/show/id/1342213","http://ts.21cn.com/tousu/show/id/1342213")</f>
        <v>http://ts.21cn.com/tousu/show/id/1342213</v>
      </c>
      <c r="F10959" s="2" t="s">
        <v>11</v>
      </c>
      <c r="G10959" s="2" t="s">
        <v>22607</v>
      </c>
      <c r="H10959" s="2" t="s">
        <v>22608</v>
      </c>
    </row>
    <row r="10960" spans="1:8" ht="25.05" customHeight="1" x14ac:dyDescent="0.25">
      <c r="A10960" s="2" t="s">
        <v>8</v>
      </c>
      <c r="B10960" s="2" t="str">
        <f>HYPERLINK("http://ts.21cn.com/tousu/show/id/1342201","拼多多不给退款，关闭退款")</f>
        <v>拼多多不给退款，关闭退款</v>
      </c>
      <c r="C10960" s="2" t="s">
        <v>9</v>
      </c>
      <c r="D10960" s="2" t="s">
        <v>10</v>
      </c>
      <c r="E10960" s="2" t="str">
        <f>HYPERLINK("http://ts.21cn.com/tousu/show/id/1342201","http://ts.21cn.com/tousu/show/id/1342201")</f>
        <v>http://ts.21cn.com/tousu/show/id/1342201</v>
      </c>
      <c r="F10960" s="2" t="s">
        <v>11</v>
      </c>
      <c r="G10960" s="2" t="s">
        <v>22605</v>
      </c>
      <c r="H10960" s="2" t="s">
        <v>22606</v>
      </c>
    </row>
    <row r="10961" spans="1:8" ht="25.05" customHeight="1" x14ac:dyDescent="0.25">
      <c r="A10961" s="2" t="s">
        <v>8</v>
      </c>
      <c r="B10961" s="2" t="str">
        <f>HYPERLINK("http://ts.21cn.com/tousu/show/id/1342214","平安普惠多次蒙哄催收，忽悠客户")</f>
        <v>平安普惠多次蒙哄催收，忽悠客户</v>
      </c>
      <c r="C10961" s="2" t="s">
        <v>9</v>
      </c>
      <c r="D10961" s="2" t="s">
        <v>10</v>
      </c>
      <c r="E10961" s="2" t="str">
        <f>HYPERLINK("http://ts.21cn.com/tousu/show/id/1342214","http://ts.21cn.com/tousu/show/id/1342214")</f>
        <v>http://ts.21cn.com/tousu/show/id/1342214</v>
      </c>
      <c r="F10961" s="2" t="s">
        <v>11</v>
      </c>
      <c r="G10961" s="2" t="s">
        <v>22603</v>
      </c>
      <c r="H10961" s="2" t="s">
        <v>22604</v>
      </c>
    </row>
    <row r="10962" spans="1:8" ht="25.05" customHeight="1" x14ac:dyDescent="0.25">
      <c r="A10962" s="2" t="s">
        <v>8</v>
      </c>
      <c r="B10962" s="2" t="str">
        <f>HYPERLINK("http://ts.21cn.com/tousu/show/id/1342215","洋钱罐借款逾期不是恶意拖欠，第一天催告费达到60多，让给个解释，做出合理安排无果今天直接爆通讯录，亲朋好友直接打电话问我")</f>
        <v>洋钱罐借款逾期不是恶意拖欠，第一天催告费达到60多，让给个解释，做出合理安排无果今天直接爆通讯录，亲朋好友直接打电话问我</v>
      </c>
      <c r="C10962" s="2" t="s">
        <v>9</v>
      </c>
      <c r="D10962" s="2" t="s">
        <v>10</v>
      </c>
      <c r="E10962" s="2" t="str">
        <f>HYPERLINK("http://ts.21cn.com/tousu/show/id/1342215","http://ts.21cn.com/tousu/show/id/1342215")</f>
        <v>http://ts.21cn.com/tousu/show/id/1342215</v>
      </c>
      <c r="F10962" s="2" t="s">
        <v>11</v>
      </c>
      <c r="G10962" s="2" t="s">
        <v>22601</v>
      </c>
      <c r="H10962" s="2" t="s">
        <v>22602</v>
      </c>
    </row>
    <row r="10963" spans="1:8" ht="25.05" customHeight="1" x14ac:dyDescent="0.25">
      <c r="A10963" s="2" t="s">
        <v>8</v>
      </c>
      <c r="B10963" s="2" t="str">
        <f>HYPERLINK("http://ts.21cn.com/tousu/show/id/1342217","贷上钱违法催收")</f>
        <v>贷上钱违法催收</v>
      </c>
      <c r="C10963" s="2" t="s">
        <v>9</v>
      </c>
      <c r="D10963" s="2" t="s">
        <v>10</v>
      </c>
      <c r="E10963" s="2" t="str">
        <f>HYPERLINK("http://ts.21cn.com/tousu/show/id/1342217","http://ts.21cn.com/tousu/show/id/1342217")</f>
        <v>http://ts.21cn.com/tousu/show/id/1342217</v>
      </c>
      <c r="F10963" s="2" t="s">
        <v>11</v>
      </c>
      <c r="G10963" s="2" t="s">
        <v>22599</v>
      </c>
      <c r="H10963" s="2" t="s">
        <v>22600</v>
      </c>
    </row>
    <row r="10964" spans="1:8" ht="25.05" customHeight="1" x14ac:dyDescent="0.25">
      <c r="A10964" s="2" t="s">
        <v>8</v>
      </c>
      <c r="B10964" s="2" t="str">
        <f>HYPERLINK("http://ts.21cn.com/tousu/show/id/1342219","钱站高利贷")</f>
        <v>钱站高利贷</v>
      </c>
      <c r="C10964" s="2" t="s">
        <v>9</v>
      </c>
      <c r="D10964" s="2" t="s">
        <v>10</v>
      </c>
      <c r="E10964" s="2" t="str">
        <f>HYPERLINK("http://ts.21cn.com/tousu/show/id/1342219","http://ts.21cn.com/tousu/show/id/1342219")</f>
        <v>http://ts.21cn.com/tousu/show/id/1342219</v>
      </c>
      <c r="F10964" s="2" t="s">
        <v>11</v>
      </c>
      <c r="G10964" s="2" t="s">
        <v>22597</v>
      </c>
      <c r="H10964" s="2" t="s">
        <v>22598</v>
      </c>
    </row>
    <row r="10965" spans="1:8" ht="25.05" customHeight="1" x14ac:dyDescent="0.25">
      <c r="A10965" s="2" t="s">
        <v>8</v>
      </c>
      <c r="B10965" s="2" t="str">
        <f>HYPERLINK("http://ts.21cn.com/tousu/show/id/1342218","盛pos销售存在欺骗销费者")</f>
        <v>盛pos销售存在欺骗销费者</v>
      </c>
      <c r="C10965" s="2" t="s">
        <v>9</v>
      </c>
      <c r="D10965" s="2" t="s">
        <v>10</v>
      </c>
      <c r="E10965" s="2" t="str">
        <f>HYPERLINK("http://ts.21cn.com/tousu/show/id/1342218","http://ts.21cn.com/tousu/show/id/1342218")</f>
        <v>http://ts.21cn.com/tousu/show/id/1342218</v>
      </c>
      <c r="F10965" s="2" t="s">
        <v>11</v>
      </c>
      <c r="G10965" s="2" t="s">
        <v>22595</v>
      </c>
      <c r="H10965" s="2" t="s">
        <v>22596</v>
      </c>
    </row>
    <row r="10966" spans="1:8" ht="25.05" customHeight="1" x14ac:dyDescent="0.25">
      <c r="A10966" s="2" t="s">
        <v>8</v>
      </c>
      <c r="B10966" s="2" t="str">
        <f>HYPERLINK("http://ts.21cn.com/tousu/show/id/1342220","拍拍贷恶意骚扰")</f>
        <v>拍拍贷恶意骚扰</v>
      </c>
      <c r="C10966" s="2" t="s">
        <v>9</v>
      </c>
      <c r="D10966" s="2" t="s">
        <v>10</v>
      </c>
      <c r="E10966" s="2" t="str">
        <f>HYPERLINK("http://ts.21cn.com/tousu/show/id/1342220","http://ts.21cn.com/tousu/show/id/1342220")</f>
        <v>http://ts.21cn.com/tousu/show/id/1342220</v>
      </c>
      <c r="F10966" s="2" t="s">
        <v>11</v>
      </c>
      <c r="G10966" s="2" t="s">
        <v>22593</v>
      </c>
      <c r="H10966" s="2" t="s">
        <v>22594</v>
      </c>
    </row>
    <row r="10967" spans="1:8" ht="25.05" customHeight="1" x14ac:dyDescent="0.25">
      <c r="A10967" s="2" t="s">
        <v>8</v>
      </c>
      <c r="B10967" s="2" t="str">
        <f>HYPERLINK("http://ts.21cn.com/tousu/show/id/1342222","桔子分期威胁通过拨打读取通讯录号码来毁坏名誉且拒绝协商")</f>
        <v>桔子分期威胁通过拨打读取通讯录号码来毁坏名誉且拒绝协商</v>
      </c>
      <c r="C10967" s="2" t="s">
        <v>9</v>
      </c>
      <c r="D10967" s="2" t="s">
        <v>10</v>
      </c>
      <c r="E10967" s="2" t="str">
        <f>HYPERLINK("http://ts.21cn.com/tousu/show/id/1342222","http://ts.21cn.com/tousu/show/id/1342222")</f>
        <v>http://ts.21cn.com/tousu/show/id/1342222</v>
      </c>
      <c r="F10967" s="2" t="s">
        <v>11</v>
      </c>
      <c r="G10967" s="2" t="s">
        <v>22591</v>
      </c>
      <c r="H10967" s="2" t="s">
        <v>22592</v>
      </c>
    </row>
    <row r="10968" spans="1:8" ht="25.05" customHeight="1" x14ac:dyDescent="0.25">
      <c r="A10968" s="2" t="s">
        <v>8</v>
      </c>
      <c r="B10968" s="2" t="str">
        <f>HYPERLINK("http://ts.21cn.com/tousu/show/id/1342224","退保险费")</f>
        <v>退保险费</v>
      </c>
      <c r="C10968" s="2" t="s">
        <v>34</v>
      </c>
      <c r="D10968" s="2" t="s">
        <v>10</v>
      </c>
      <c r="E10968" s="2" t="str">
        <f>HYPERLINK("http://ts.21cn.com/tousu/show/id/1342224","http://ts.21cn.com/tousu/show/id/1342224")</f>
        <v>http://ts.21cn.com/tousu/show/id/1342224</v>
      </c>
      <c r="F10968" s="2" t="s">
        <v>11</v>
      </c>
      <c r="G10968" s="2" t="s">
        <v>22589</v>
      </c>
      <c r="H10968" s="2" t="s">
        <v>22590</v>
      </c>
    </row>
    <row r="10969" spans="1:8" ht="25.05" customHeight="1" x14ac:dyDescent="0.25">
      <c r="A10969" s="2" t="s">
        <v>8</v>
      </c>
      <c r="B10969" s="2" t="str">
        <f>HYPERLINK("http://ts.21cn.com/tousu/show/id/1342223","牛人有品高利贷")</f>
        <v>牛人有品高利贷</v>
      </c>
      <c r="C10969" s="2" t="s">
        <v>9</v>
      </c>
      <c r="D10969" s="2" t="s">
        <v>10</v>
      </c>
      <c r="E10969" s="2" t="str">
        <f>HYPERLINK("http://ts.21cn.com/tousu/show/id/1342223","http://ts.21cn.com/tousu/show/id/1342223")</f>
        <v>http://ts.21cn.com/tousu/show/id/1342223</v>
      </c>
      <c r="F10969" s="2" t="s">
        <v>11</v>
      </c>
      <c r="G10969" s="2" t="s">
        <v>22587</v>
      </c>
      <c r="H10969" s="2" t="s">
        <v>22588</v>
      </c>
    </row>
    <row r="10970" spans="1:8" ht="25.05" customHeight="1" x14ac:dyDescent="0.25">
      <c r="A10970" s="2" t="s">
        <v>8</v>
      </c>
      <c r="B10970" s="2" t="str">
        <f>HYPERLINK("http://ts.21cn.com/tousu/show/id/1342226","跨行无卡消费")</f>
        <v>跨行无卡消费</v>
      </c>
      <c r="C10970" s="2" t="s">
        <v>34</v>
      </c>
      <c r="D10970" s="2" t="s">
        <v>10</v>
      </c>
      <c r="E10970" s="2" t="str">
        <f>HYPERLINK("http://ts.21cn.com/tousu/show/id/1342226","http://ts.21cn.com/tousu/show/id/1342226")</f>
        <v>http://ts.21cn.com/tousu/show/id/1342226</v>
      </c>
      <c r="F10970" s="2" t="s">
        <v>11</v>
      </c>
      <c r="G10970" s="2" t="s">
        <v>22585</v>
      </c>
      <c r="H10970" s="2" t="s">
        <v>22586</v>
      </c>
    </row>
    <row r="10971" spans="1:8" ht="25.05" customHeight="1" x14ac:dyDescent="0.25">
      <c r="A10971" s="2" t="s">
        <v>8</v>
      </c>
      <c r="B10971" s="2" t="str">
        <f>HYPERLINK("http://ts.21cn.com/tousu/show/id/1342225","吸血虫网贷")</f>
        <v>吸血虫网贷</v>
      </c>
      <c r="C10971" s="2" t="s">
        <v>9</v>
      </c>
      <c r="D10971" s="2" t="s">
        <v>10</v>
      </c>
      <c r="E10971" s="2" t="str">
        <f>HYPERLINK("http://ts.21cn.com/tousu/show/id/1342225","http://ts.21cn.com/tousu/show/id/1342225")</f>
        <v>http://ts.21cn.com/tousu/show/id/1342225</v>
      </c>
      <c r="F10971" s="2" t="s">
        <v>11</v>
      </c>
      <c r="G10971" s="2" t="s">
        <v>22583</v>
      </c>
      <c r="H10971" s="2" t="s">
        <v>22584</v>
      </c>
    </row>
    <row r="10972" spans="1:8" ht="25.05" customHeight="1" x14ac:dyDescent="0.25">
      <c r="A10972" s="2" t="s">
        <v>8</v>
      </c>
      <c r="B10972" s="2" t="str">
        <f>HYPERLINK("http://ts.21cn.com/tousu/show/id/1342228","现金速递暴力催收高利贷")</f>
        <v>现金速递暴力催收高利贷</v>
      </c>
      <c r="C10972" s="2" t="s">
        <v>9</v>
      </c>
      <c r="D10972" s="2" t="s">
        <v>10</v>
      </c>
      <c r="E10972" s="2" t="str">
        <f>HYPERLINK("http://ts.21cn.com/tousu/show/id/1342228","http://ts.21cn.com/tousu/show/id/1342228")</f>
        <v>http://ts.21cn.com/tousu/show/id/1342228</v>
      </c>
      <c r="F10972" s="2" t="s">
        <v>11</v>
      </c>
      <c r="G10972" s="2" t="s">
        <v>22581</v>
      </c>
      <c r="H10972" s="2" t="s">
        <v>22582</v>
      </c>
    </row>
    <row r="10973" spans="1:8" ht="25.05" customHeight="1" x14ac:dyDescent="0.25">
      <c r="A10973" s="2" t="s">
        <v>8</v>
      </c>
      <c r="B10973" s="2" t="str">
        <f>HYPERLINK("http://ts.21cn.com/tousu/show/id/1342229","好易贷协商还款后不销账")</f>
        <v>好易贷协商还款后不销账</v>
      </c>
      <c r="C10973" s="2" t="s">
        <v>9</v>
      </c>
      <c r="D10973" s="2" t="s">
        <v>10</v>
      </c>
      <c r="E10973" s="2" t="str">
        <f>HYPERLINK("http://ts.21cn.com/tousu/show/id/1342229","http://ts.21cn.com/tousu/show/id/1342229")</f>
        <v>http://ts.21cn.com/tousu/show/id/1342229</v>
      </c>
      <c r="F10973" s="2" t="s">
        <v>11</v>
      </c>
      <c r="G10973" s="2" t="s">
        <v>22579</v>
      </c>
      <c r="H10973" s="2" t="s">
        <v>22580</v>
      </c>
    </row>
    <row r="10974" spans="1:8" ht="25.05" customHeight="1" x14ac:dyDescent="0.25">
      <c r="A10974" s="2" t="s">
        <v>8</v>
      </c>
      <c r="B10974" s="2" t="str">
        <f>HYPERLINK("http://ts.21cn.com/tousu/show/id/1342230","小浦优客乱扣费296元")</f>
        <v>小浦优客乱扣费296元</v>
      </c>
      <c r="C10974" s="2" t="s">
        <v>9</v>
      </c>
      <c r="D10974" s="2" t="s">
        <v>10</v>
      </c>
      <c r="E10974" s="2" t="str">
        <f>HYPERLINK("http://ts.21cn.com/tousu/show/id/1342230","http://ts.21cn.com/tousu/show/id/1342230")</f>
        <v>http://ts.21cn.com/tousu/show/id/1342230</v>
      </c>
      <c r="F10974" s="2" t="s">
        <v>11</v>
      </c>
      <c r="G10974" s="2" t="s">
        <v>22577</v>
      </c>
      <c r="H10974" s="2" t="s">
        <v>22578</v>
      </c>
    </row>
    <row r="10975" spans="1:8" ht="25.05" customHeight="1" x14ac:dyDescent="0.25">
      <c r="A10975" s="2" t="s">
        <v>8</v>
      </c>
      <c r="B10975" s="2" t="str">
        <f>HYPERLINK("http://ts.21cn.com/tousu/show/id/1342231","玖富万卡高利贷还了四五万还有2.5万是在还不起了")</f>
        <v>玖富万卡高利贷还了四五万还有2.5万是在还不起了</v>
      </c>
      <c r="C10975" s="2" t="s">
        <v>9</v>
      </c>
      <c r="D10975" s="2" t="s">
        <v>10</v>
      </c>
      <c r="E10975" s="2" t="str">
        <f>HYPERLINK("http://ts.21cn.com/tousu/show/id/1342231","http://ts.21cn.com/tousu/show/id/1342231")</f>
        <v>http://ts.21cn.com/tousu/show/id/1342231</v>
      </c>
      <c r="F10975" s="2" t="s">
        <v>11</v>
      </c>
      <c r="G10975" s="2" t="s">
        <v>22575</v>
      </c>
      <c r="H10975" s="2" t="s">
        <v>22576</v>
      </c>
    </row>
    <row r="10976" spans="1:8" ht="25.05" customHeight="1" x14ac:dyDescent="0.25">
      <c r="A10976" s="2" t="s">
        <v>8</v>
      </c>
      <c r="B10976" s="2" t="str">
        <f>HYPERLINK("http://ts.21cn.com/tousu/show/id/1342232","暴力催收,恐吓")</f>
        <v>暴力催收,恐吓</v>
      </c>
      <c r="C10976" s="2" t="s">
        <v>9</v>
      </c>
      <c r="D10976" s="2" t="s">
        <v>10</v>
      </c>
      <c r="E10976" s="2" t="str">
        <f>HYPERLINK("http://ts.21cn.com/tousu/show/id/1342232","http://ts.21cn.com/tousu/show/id/1342232")</f>
        <v>http://ts.21cn.com/tousu/show/id/1342232</v>
      </c>
      <c r="F10976" s="2" t="s">
        <v>11</v>
      </c>
      <c r="G10976" s="2" t="s">
        <v>22573</v>
      </c>
      <c r="H10976" s="2" t="s">
        <v>22574</v>
      </c>
    </row>
    <row r="10977" spans="1:8" ht="25.05" customHeight="1" x14ac:dyDescent="0.25">
      <c r="A10977" s="2" t="s">
        <v>8</v>
      </c>
      <c r="B10977" s="2" t="str">
        <f>HYPERLINK("http://ts.21cn.com/tousu/show/id/1342233","快狗打车不退还押金")</f>
        <v>快狗打车不退还押金</v>
      </c>
      <c r="C10977" s="2" t="s">
        <v>9</v>
      </c>
      <c r="D10977" s="2" t="s">
        <v>10</v>
      </c>
      <c r="E10977" s="2" t="str">
        <f>HYPERLINK("http://ts.21cn.com/tousu/show/id/1342233","http://ts.21cn.com/tousu/show/id/1342233")</f>
        <v>http://ts.21cn.com/tousu/show/id/1342233</v>
      </c>
      <c r="F10977" s="2" t="s">
        <v>11</v>
      </c>
      <c r="G10977" s="2" t="s">
        <v>22571</v>
      </c>
      <c r="H10977" s="2" t="s">
        <v>22572</v>
      </c>
    </row>
    <row r="10978" spans="1:8" ht="25.05" customHeight="1" x14ac:dyDescent="0.25">
      <c r="A10978" s="2" t="s">
        <v>8</v>
      </c>
      <c r="B10978" s="2" t="str">
        <f>HYPERLINK("http://ts.21cn.com/tousu/show/id/1342234","滴答顺风车歪风邪气")</f>
        <v>滴答顺风车歪风邪气</v>
      </c>
      <c r="C10978" s="2" t="s">
        <v>9</v>
      </c>
      <c r="D10978" s="2" t="s">
        <v>10</v>
      </c>
      <c r="E10978" s="2" t="str">
        <f>HYPERLINK("http://ts.21cn.com/tousu/show/id/1342234","http://ts.21cn.com/tousu/show/id/1342234")</f>
        <v>http://ts.21cn.com/tousu/show/id/1342234</v>
      </c>
      <c r="F10978" s="2" t="s">
        <v>11</v>
      </c>
      <c r="G10978" s="2" t="s">
        <v>22569</v>
      </c>
      <c r="H10978" s="2" t="s">
        <v>22570</v>
      </c>
    </row>
    <row r="10979" spans="1:8" ht="25.05" customHeight="1" x14ac:dyDescent="0.25">
      <c r="A10979" s="2" t="s">
        <v>8</v>
      </c>
      <c r="B10979" s="2" t="str">
        <f>HYPERLINK("http://ts.21cn.com/tousu/show/id/1342235","买的大闸蟹全死了，售后客服没人理我")</f>
        <v>买的大闸蟹全死了，售后客服没人理我</v>
      </c>
      <c r="C10979" s="2" t="s">
        <v>9</v>
      </c>
      <c r="D10979" s="2" t="s">
        <v>10</v>
      </c>
      <c r="E10979" s="2" t="str">
        <f>HYPERLINK("http://ts.21cn.com/tousu/show/id/1342235","http://ts.21cn.com/tousu/show/id/1342235")</f>
        <v>http://ts.21cn.com/tousu/show/id/1342235</v>
      </c>
      <c r="F10979" s="2" t="s">
        <v>11</v>
      </c>
      <c r="G10979" s="2" t="s">
        <v>22567</v>
      </c>
      <c r="H10979" s="2" t="s">
        <v>22568</v>
      </c>
    </row>
    <row r="10980" spans="1:8" ht="25.05" customHeight="1" x14ac:dyDescent="0.25">
      <c r="A10980" s="2" t="s">
        <v>8</v>
      </c>
      <c r="B10980" s="2" t="str">
        <f>HYPERLINK("http://ts.21cn.com/tousu/show/id/1342236","拍拍贷平台催收冒充法院恐吓威胁本人")</f>
        <v>拍拍贷平台催收冒充法院恐吓威胁本人</v>
      </c>
      <c r="C10980" s="2" t="s">
        <v>9</v>
      </c>
      <c r="D10980" s="2" t="s">
        <v>10</v>
      </c>
      <c r="E10980" s="2" t="str">
        <f>HYPERLINK("http://ts.21cn.com/tousu/show/id/1342236","http://ts.21cn.com/tousu/show/id/1342236")</f>
        <v>http://ts.21cn.com/tousu/show/id/1342236</v>
      </c>
      <c r="F10980" s="2" t="s">
        <v>11</v>
      </c>
      <c r="G10980" s="2" t="s">
        <v>22565</v>
      </c>
      <c r="H10980" s="2" t="s">
        <v>22566</v>
      </c>
    </row>
    <row r="10981" spans="1:8" ht="25.05" customHeight="1" x14ac:dyDescent="0.25">
      <c r="A10981" s="2" t="s">
        <v>8</v>
      </c>
      <c r="B10981" s="2" t="str">
        <f>HYPERLINK("http://ts.21cn.com/tousu/show/id/1342237","协商还款本金及合法相应的利息")</f>
        <v>协商还款本金及合法相应的利息</v>
      </c>
      <c r="C10981" s="2" t="s">
        <v>9</v>
      </c>
      <c r="D10981" s="2" t="s">
        <v>10</v>
      </c>
      <c r="E10981" s="2" t="str">
        <f>HYPERLINK("http://ts.21cn.com/tousu/show/id/1342237","http://ts.21cn.com/tousu/show/id/1342237")</f>
        <v>http://ts.21cn.com/tousu/show/id/1342237</v>
      </c>
      <c r="F10981" s="2" t="s">
        <v>11</v>
      </c>
      <c r="G10981" s="2" t="s">
        <v>22563</v>
      </c>
      <c r="H10981" s="2" t="s">
        <v>22564</v>
      </c>
    </row>
    <row r="10982" spans="1:8" ht="25.05" customHeight="1" x14ac:dyDescent="0.25">
      <c r="A10982" s="2" t="s">
        <v>8</v>
      </c>
      <c r="B10982" s="2" t="str">
        <f>HYPERLINK("http://ts.21cn.com/tousu/show/id/1342238","美团订酒店返现不足")</f>
        <v>美团订酒店返现不足</v>
      </c>
      <c r="C10982" s="2" t="s">
        <v>34</v>
      </c>
      <c r="D10982" s="2" t="s">
        <v>10</v>
      </c>
      <c r="E10982" s="2" t="str">
        <f>HYPERLINK("http://ts.21cn.com/tousu/show/id/1342238","http://ts.21cn.com/tousu/show/id/1342238")</f>
        <v>http://ts.21cn.com/tousu/show/id/1342238</v>
      </c>
      <c r="F10982" s="2" t="s">
        <v>11</v>
      </c>
      <c r="G10982" s="2" t="s">
        <v>22561</v>
      </c>
      <c r="H10982" s="2" t="s">
        <v>22562</v>
      </c>
    </row>
    <row r="10983" spans="1:8" ht="25.05" customHeight="1" x14ac:dyDescent="0.25">
      <c r="A10983" s="2" t="s">
        <v>8</v>
      </c>
      <c r="B10983" s="2" t="str">
        <f>HYPERLINK("http://ts.21cn.com/tousu/show/id/1342239","捷信恶意骚扰发传票")</f>
        <v>捷信恶意骚扰发传票</v>
      </c>
      <c r="C10983" s="2" t="s">
        <v>9</v>
      </c>
      <c r="D10983" s="2" t="s">
        <v>10</v>
      </c>
      <c r="E10983" s="2" t="str">
        <f>HYPERLINK("http://ts.21cn.com/tousu/show/id/1342239","http://ts.21cn.com/tousu/show/id/1342239")</f>
        <v>http://ts.21cn.com/tousu/show/id/1342239</v>
      </c>
      <c r="F10983" s="2" t="s">
        <v>11</v>
      </c>
      <c r="G10983" s="2" t="s">
        <v>22559</v>
      </c>
      <c r="H10983" s="2" t="s">
        <v>22560</v>
      </c>
    </row>
    <row r="10984" spans="1:8" ht="25.05" customHeight="1" x14ac:dyDescent="0.25">
      <c r="A10984" s="2" t="s">
        <v>8</v>
      </c>
      <c r="B10984" s="2" t="str">
        <f>HYPERLINK("http://ts.21cn.com/tousu/show/id/1342240","钱站高利贷伪造合同")</f>
        <v>钱站高利贷伪造合同</v>
      </c>
      <c r="C10984" s="2" t="s">
        <v>9</v>
      </c>
      <c r="D10984" s="2" t="s">
        <v>10</v>
      </c>
      <c r="E10984" s="2" t="str">
        <f>HYPERLINK("http://ts.21cn.com/tousu/show/id/1342240","http://ts.21cn.com/tousu/show/id/1342240")</f>
        <v>http://ts.21cn.com/tousu/show/id/1342240</v>
      </c>
      <c r="F10984" s="2" t="s">
        <v>11</v>
      </c>
      <c r="G10984" s="2" t="s">
        <v>22557</v>
      </c>
      <c r="H10984" s="2" t="s">
        <v>22558</v>
      </c>
    </row>
    <row r="10985" spans="1:8" ht="25.05" customHeight="1" x14ac:dyDescent="0.25">
      <c r="A10985" s="2" t="s">
        <v>8</v>
      </c>
      <c r="B10985" s="2" t="str">
        <f>HYPERLINK("http://ts.21cn.com/tousu/show/id/1342227","变相收取高额砍头息购买人寿保险")</f>
        <v>变相收取高额砍头息购买人寿保险</v>
      </c>
      <c r="C10985" s="2" t="s">
        <v>9</v>
      </c>
      <c r="D10985" s="2" t="s">
        <v>10</v>
      </c>
      <c r="E10985" s="2" t="str">
        <f>HYPERLINK("http://ts.21cn.com/tousu/show/id/1342227","http://ts.21cn.com/tousu/show/id/1342227")</f>
        <v>http://ts.21cn.com/tousu/show/id/1342227</v>
      </c>
      <c r="F10985" s="2" t="s">
        <v>11</v>
      </c>
      <c r="G10985" s="2" t="s">
        <v>22555</v>
      </c>
      <c r="H10985" s="2" t="s">
        <v>22556</v>
      </c>
    </row>
    <row r="10986" spans="1:8" ht="25.05" customHeight="1" x14ac:dyDescent="0.25">
      <c r="A10986" s="2" t="s">
        <v>8</v>
      </c>
      <c r="B10986" s="2" t="str">
        <f>HYPERLINK("http://ts.21cn.com/tousu/show/id/1342241","游戏找不到了，百度说停服了")</f>
        <v>游戏找不到了，百度说停服了</v>
      </c>
      <c r="C10986" s="2" t="s">
        <v>34</v>
      </c>
      <c r="D10986" s="2" t="s">
        <v>10</v>
      </c>
      <c r="E10986" s="2" t="str">
        <f>HYPERLINK("http://ts.21cn.com/tousu/show/id/1342241","http://ts.21cn.com/tousu/show/id/1342241")</f>
        <v>http://ts.21cn.com/tousu/show/id/1342241</v>
      </c>
      <c r="F10986" s="2" t="s">
        <v>11</v>
      </c>
      <c r="G10986" s="2" t="s">
        <v>22553</v>
      </c>
      <c r="H10986" s="2" t="s">
        <v>22554</v>
      </c>
    </row>
    <row r="10987" spans="1:8" ht="25.05" customHeight="1" x14ac:dyDescent="0.25">
      <c r="A10987" s="2" t="s">
        <v>8</v>
      </c>
      <c r="B10987" s="2" t="str">
        <f>HYPERLINK("http://ts.21cn.com/tousu/show/id/1342198","聚美不给退款")</f>
        <v>聚美不给退款</v>
      </c>
      <c r="C10987" s="2" t="s">
        <v>9</v>
      </c>
      <c r="D10987" s="2" t="s">
        <v>10</v>
      </c>
      <c r="E10987" s="2" t="str">
        <f>HYPERLINK("http://ts.21cn.com/tousu/show/id/1342198","http://ts.21cn.com/tousu/show/id/1342198")</f>
        <v>http://ts.21cn.com/tousu/show/id/1342198</v>
      </c>
      <c r="F10987" s="2" t="s">
        <v>11</v>
      </c>
      <c r="G10987" s="2" t="s">
        <v>22551</v>
      </c>
      <c r="H10987" s="2" t="s">
        <v>22552</v>
      </c>
    </row>
    <row r="10988" spans="1:8" ht="25.05" customHeight="1" x14ac:dyDescent="0.25">
      <c r="A10988" s="2" t="s">
        <v>8</v>
      </c>
      <c r="B10988" s="2" t="str">
        <f>HYPERLINK("http://ts.21cn.com/tousu/show/id/1342242","乐汇支付提供非法结算")</f>
        <v>乐汇支付提供非法结算</v>
      </c>
      <c r="C10988" s="2" t="s">
        <v>9</v>
      </c>
      <c r="D10988" s="2" t="s">
        <v>10</v>
      </c>
      <c r="E10988" s="2" t="str">
        <f>HYPERLINK("http://ts.21cn.com/tousu/show/id/1342242","http://ts.21cn.com/tousu/show/id/1342242")</f>
        <v>http://ts.21cn.com/tousu/show/id/1342242</v>
      </c>
      <c r="F10988" s="2" t="s">
        <v>11</v>
      </c>
      <c r="G10988" s="2" t="s">
        <v>22549</v>
      </c>
      <c r="H10988" s="2" t="s">
        <v>22550</v>
      </c>
    </row>
    <row r="10989" spans="1:8" ht="25.05" customHeight="1" x14ac:dyDescent="0.25">
      <c r="A10989" s="2" t="s">
        <v>8</v>
      </c>
      <c r="B10989" s="2" t="str">
        <f>HYPERLINK("http://ts.21cn.com/tousu/show/id/1342244","六便士变相收取高额费用暴力催收")</f>
        <v>六便士变相收取高额费用暴力催收</v>
      </c>
      <c r="C10989" s="2" t="s">
        <v>9</v>
      </c>
      <c r="D10989" s="2" t="s">
        <v>10</v>
      </c>
      <c r="E10989" s="2" t="str">
        <f>HYPERLINK("http://ts.21cn.com/tousu/show/id/1342244","http://ts.21cn.com/tousu/show/id/1342244")</f>
        <v>http://ts.21cn.com/tousu/show/id/1342244</v>
      </c>
      <c r="F10989" s="2" t="s">
        <v>11</v>
      </c>
      <c r="G10989" s="2" t="s">
        <v>22547</v>
      </c>
      <c r="H10989" s="2" t="s">
        <v>22548</v>
      </c>
    </row>
    <row r="10990" spans="1:8" ht="25.05" customHeight="1" x14ac:dyDescent="0.25">
      <c r="A10990" s="2" t="s">
        <v>8</v>
      </c>
      <c r="B10990" s="2" t="str">
        <f>HYPERLINK("http://ts.21cn.com/tousu/show/id/1342243","莫名被扣款")</f>
        <v>莫名被扣款</v>
      </c>
      <c r="C10990" s="2" t="s">
        <v>9</v>
      </c>
      <c r="D10990" s="2" t="s">
        <v>10</v>
      </c>
      <c r="E10990" s="2" t="str">
        <f>HYPERLINK("http://ts.21cn.com/tousu/show/id/1342243","http://ts.21cn.com/tousu/show/id/1342243")</f>
        <v>http://ts.21cn.com/tousu/show/id/1342243</v>
      </c>
      <c r="F10990" s="2" t="s">
        <v>11</v>
      </c>
      <c r="G10990" s="2" t="s">
        <v>22545</v>
      </c>
      <c r="H10990" s="2" t="s">
        <v>22546</v>
      </c>
    </row>
    <row r="10991" spans="1:8" ht="25.05" customHeight="1" x14ac:dyDescent="0.25">
      <c r="A10991" s="2" t="s">
        <v>8</v>
      </c>
      <c r="B10991" s="2" t="str">
        <f>HYPERLINK("http://ts.21cn.com/tousu/show/id/1342246","恶意中伤催收")</f>
        <v>恶意中伤催收</v>
      </c>
      <c r="C10991" s="2" t="s">
        <v>9</v>
      </c>
      <c r="D10991" s="2" t="s">
        <v>10</v>
      </c>
      <c r="E10991" s="2" t="str">
        <f>HYPERLINK("http://ts.21cn.com/tousu/show/id/1342246","http://ts.21cn.com/tousu/show/id/1342246")</f>
        <v>http://ts.21cn.com/tousu/show/id/1342246</v>
      </c>
      <c r="F10991" s="2" t="s">
        <v>11</v>
      </c>
      <c r="G10991" s="2" t="s">
        <v>22543</v>
      </c>
      <c r="H10991" s="2" t="s">
        <v>22544</v>
      </c>
    </row>
    <row r="10992" spans="1:8" ht="25.05" customHeight="1" x14ac:dyDescent="0.25">
      <c r="A10992" s="2" t="s">
        <v>8</v>
      </c>
      <c r="B10992" s="2" t="str">
        <f>HYPERLINK("http://ts.21cn.com/tousu/show/id/1342245","捷信，就是高利贷")</f>
        <v>捷信，就是高利贷</v>
      </c>
      <c r="C10992" s="2" t="s">
        <v>9</v>
      </c>
      <c r="D10992" s="2" t="s">
        <v>10</v>
      </c>
      <c r="E10992" s="2" t="str">
        <f>HYPERLINK("http://ts.21cn.com/tousu/show/id/1342245","http://ts.21cn.com/tousu/show/id/1342245")</f>
        <v>http://ts.21cn.com/tousu/show/id/1342245</v>
      </c>
      <c r="F10992" s="2" t="s">
        <v>11</v>
      </c>
      <c r="G10992" s="2" t="s">
        <v>22541</v>
      </c>
      <c r="H10992" s="2" t="s">
        <v>22542</v>
      </c>
    </row>
    <row r="10993" spans="1:8" ht="25.05" customHeight="1" x14ac:dyDescent="0.25">
      <c r="A10993" s="2" t="s">
        <v>8</v>
      </c>
      <c r="B10993" s="2" t="str">
        <f>HYPERLINK("http://ts.21cn.com/tousu/show/id/1342248","小赢卡带高利贷")</f>
        <v>小赢卡带高利贷</v>
      </c>
      <c r="C10993" s="2" t="s">
        <v>9</v>
      </c>
      <c r="D10993" s="2" t="s">
        <v>10</v>
      </c>
      <c r="E10993" s="2" t="str">
        <f>HYPERLINK("http://ts.21cn.com/tousu/show/id/1342248","http://ts.21cn.com/tousu/show/id/1342248")</f>
        <v>http://ts.21cn.com/tousu/show/id/1342248</v>
      </c>
      <c r="F10993" s="2" t="s">
        <v>11</v>
      </c>
      <c r="G10993" s="2" t="s">
        <v>22539</v>
      </c>
      <c r="H10993" s="2" t="s">
        <v>22540</v>
      </c>
    </row>
    <row r="10994" spans="1:8" ht="25.05" customHeight="1" x14ac:dyDescent="0.25">
      <c r="A10994" s="2" t="s">
        <v>8</v>
      </c>
      <c r="B10994" s="2" t="str">
        <f>HYPERLINK("http://ts.21cn.com/tousu/show/id/1342249","百度有钱花客服态度差")</f>
        <v>百度有钱花客服态度差</v>
      </c>
      <c r="C10994" s="2" t="s">
        <v>9</v>
      </c>
      <c r="D10994" s="2" t="s">
        <v>10</v>
      </c>
      <c r="E10994" s="2" t="str">
        <f>HYPERLINK("http://ts.21cn.com/tousu/show/id/1342249","http://ts.21cn.com/tousu/show/id/1342249")</f>
        <v>http://ts.21cn.com/tousu/show/id/1342249</v>
      </c>
      <c r="F10994" s="2" t="s">
        <v>11</v>
      </c>
      <c r="G10994" s="2" t="s">
        <v>22537</v>
      </c>
      <c r="H10994" s="2" t="s">
        <v>22538</v>
      </c>
    </row>
    <row r="10995" spans="1:8" ht="25.05" customHeight="1" x14ac:dyDescent="0.25">
      <c r="A10995" s="2" t="s">
        <v>8</v>
      </c>
      <c r="B10995" s="2" t="str">
        <f>HYPERLINK("http://ts.21cn.com/tousu/show/id/1342250","酷宝支付,北京雅酷时空信息产业有限公司")</f>
        <v>酷宝支付,北京雅酷时空信息产业有限公司</v>
      </c>
      <c r="C10995" s="2" t="s">
        <v>9</v>
      </c>
      <c r="D10995" s="2" t="s">
        <v>10</v>
      </c>
      <c r="E10995" s="2" t="str">
        <f>HYPERLINK("http://ts.21cn.com/tousu/show/id/1342250","http://ts.21cn.com/tousu/show/id/1342250")</f>
        <v>http://ts.21cn.com/tousu/show/id/1342250</v>
      </c>
      <c r="F10995" s="2" t="s">
        <v>11</v>
      </c>
      <c r="G10995" s="2" t="s">
        <v>22535</v>
      </c>
      <c r="H10995" s="2" t="s">
        <v>22536</v>
      </c>
    </row>
    <row r="10996" spans="1:8" ht="25.05" customHeight="1" x14ac:dyDescent="0.25">
      <c r="A10996" s="2" t="s">
        <v>8</v>
      </c>
      <c r="B10996" s="2" t="str">
        <f>HYPERLINK("http://ts.21cn.com/tousu/show/id/1342251","顺丰快递服务态度极差")</f>
        <v>顺丰快递服务态度极差</v>
      </c>
      <c r="C10996" s="2" t="s">
        <v>9</v>
      </c>
      <c r="D10996" s="2" t="s">
        <v>10</v>
      </c>
      <c r="E10996" s="2" t="str">
        <f>HYPERLINK("http://ts.21cn.com/tousu/show/id/1342251","http://ts.21cn.com/tousu/show/id/1342251")</f>
        <v>http://ts.21cn.com/tousu/show/id/1342251</v>
      </c>
      <c r="F10996" s="2" t="s">
        <v>11</v>
      </c>
      <c r="G10996" s="2" t="s">
        <v>22533</v>
      </c>
      <c r="H10996" s="2" t="s">
        <v>22534</v>
      </c>
    </row>
    <row r="10997" spans="1:8" ht="25.05" customHeight="1" x14ac:dyDescent="0.25">
      <c r="A10997" s="2" t="s">
        <v>8</v>
      </c>
      <c r="B10997" s="2" t="str">
        <f>HYPERLINK("http://ts.21cn.com/tousu/show/id/1342252","他人逾期，被暴力催收，影响正常生活")</f>
        <v>他人逾期，被暴力催收，影响正常生活</v>
      </c>
      <c r="C10997" s="2" t="s">
        <v>9</v>
      </c>
      <c r="D10997" s="2" t="s">
        <v>10</v>
      </c>
      <c r="E10997" s="2" t="str">
        <f>HYPERLINK("http://ts.21cn.com/tousu/show/id/1342252","http://ts.21cn.com/tousu/show/id/1342252")</f>
        <v>http://ts.21cn.com/tousu/show/id/1342252</v>
      </c>
      <c r="F10997" s="2" t="s">
        <v>11</v>
      </c>
      <c r="G10997" s="2" t="s">
        <v>22531</v>
      </c>
      <c r="H10997" s="2" t="s">
        <v>22532</v>
      </c>
    </row>
    <row r="10998" spans="1:8" ht="25.05" customHeight="1" x14ac:dyDescent="0.25">
      <c r="A10998" s="2" t="s">
        <v>8</v>
      </c>
      <c r="B10998" s="2" t="str">
        <f>HYPERLINK("http://ts.21cn.com/tousu/show/id/1342253","豆豆钱爆我通讯录")</f>
        <v>豆豆钱爆我通讯录</v>
      </c>
      <c r="C10998" s="2" t="s">
        <v>9</v>
      </c>
      <c r="D10998" s="2" t="s">
        <v>10</v>
      </c>
      <c r="E10998" s="2" t="str">
        <f>HYPERLINK("http://ts.21cn.com/tousu/show/id/1342253","http://ts.21cn.com/tousu/show/id/1342253")</f>
        <v>http://ts.21cn.com/tousu/show/id/1342253</v>
      </c>
      <c r="F10998" s="2" t="s">
        <v>11</v>
      </c>
      <c r="G10998" s="2" t="s">
        <v>22529</v>
      </c>
      <c r="H10998" s="2" t="s">
        <v>22530</v>
      </c>
    </row>
    <row r="10999" spans="1:8" ht="25.05" customHeight="1" x14ac:dyDescent="0.25">
      <c r="A10999" s="2" t="s">
        <v>8</v>
      </c>
      <c r="B10999" s="2" t="str">
        <f>HYPERLINK("http://ts.21cn.com/tousu/show/id/1342254","交易猫客服不回信息")</f>
        <v>交易猫客服不回信息</v>
      </c>
      <c r="C10999" s="2" t="s">
        <v>34</v>
      </c>
      <c r="D10999" s="2" t="s">
        <v>10</v>
      </c>
      <c r="E10999" s="2" t="str">
        <f>HYPERLINK("http://ts.21cn.com/tousu/show/id/1342254","http://ts.21cn.com/tousu/show/id/1342254")</f>
        <v>http://ts.21cn.com/tousu/show/id/1342254</v>
      </c>
      <c r="F10999" s="2" t="s">
        <v>11</v>
      </c>
      <c r="G10999" s="2" t="s">
        <v>22527</v>
      </c>
      <c r="H10999" s="2" t="s">
        <v>22528</v>
      </c>
    </row>
    <row r="11000" spans="1:8" ht="25.05" customHeight="1" x14ac:dyDescent="0.25">
      <c r="A11000" s="2" t="s">
        <v>8</v>
      </c>
      <c r="B11000" s="2" t="str">
        <f>HYPERLINK("http://ts.21cn.com/tousu/show/id/1342255","还款日未到，受到暴力催收，导致母亲旧病复发。")</f>
        <v>还款日未到，受到暴力催收，导致母亲旧病复发。</v>
      </c>
      <c r="C11000" s="2" t="s">
        <v>9</v>
      </c>
      <c r="D11000" s="2" t="s">
        <v>10</v>
      </c>
      <c r="E11000" s="2" t="str">
        <f>HYPERLINK("http://ts.21cn.com/tousu/show/id/1342255","http://ts.21cn.com/tousu/show/id/1342255")</f>
        <v>http://ts.21cn.com/tousu/show/id/1342255</v>
      </c>
      <c r="F11000" s="2" t="s">
        <v>11</v>
      </c>
      <c r="G11000" s="2" t="s">
        <v>22525</v>
      </c>
      <c r="H11000" s="2" t="s">
        <v>22526</v>
      </c>
    </row>
    <row r="11001" spans="1:8" ht="25.05" customHeight="1" x14ac:dyDescent="0.25">
      <c r="A11001" s="2" t="s">
        <v>8</v>
      </c>
      <c r="B11001" s="2" t="str">
        <f>HYPERLINK("http://ts.21cn.com/tousu/show/id/1342257","享换机恶意催收逾期一天疯狂爆通信录")</f>
        <v>享换机恶意催收逾期一天疯狂爆通信录</v>
      </c>
      <c r="C11001" s="2" t="s">
        <v>9</v>
      </c>
      <c r="D11001" s="2" t="s">
        <v>10</v>
      </c>
      <c r="E11001" s="2" t="str">
        <f>HYPERLINK("http://ts.21cn.com/tousu/show/id/1342257","http://ts.21cn.com/tousu/show/id/1342257")</f>
        <v>http://ts.21cn.com/tousu/show/id/1342257</v>
      </c>
      <c r="F11001" s="2" t="s">
        <v>11</v>
      </c>
      <c r="G11001" s="2" t="s">
        <v>22523</v>
      </c>
      <c r="H11001" s="2" t="s">
        <v>22524</v>
      </c>
    </row>
    <row r="11002" spans="1:8" ht="25.05" customHeight="1" x14ac:dyDescent="0.25">
      <c r="A11002" s="2" t="s">
        <v>8</v>
      </c>
      <c r="B11002" s="2" t="str">
        <f>HYPERLINK("http://ts.21cn.com/tousu/show/id/1342259","套路贷前期扣款")</f>
        <v>套路贷前期扣款</v>
      </c>
      <c r="C11002" s="2" t="s">
        <v>9</v>
      </c>
      <c r="D11002" s="2" t="s">
        <v>10</v>
      </c>
      <c r="E11002" s="2" t="str">
        <f>HYPERLINK("http://ts.21cn.com/tousu/show/id/1342259","http://ts.21cn.com/tousu/show/id/1342259")</f>
        <v>http://ts.21cn.com/tousu/show/id/1342259</v>
      </c>
      <c r="F11002" s="2" t="s">
        <v>11</v>
      </c>
      <c r="G11002" s="2" t="s">
        <v>22521</v>
      </c>
      <c r="H11002" s="2" t="s">
        <v>22522</v>
      </c>
    </row>
    <row r="11003" spans="1:8" ht="25.05" customHeight="1" x14ac:dyDescent="0.25">
      <c r="A11003" s="2" t="s">
        <v>8</v>
      </c>
      <c r="B11003" s="2" t="str">
        <f>HYPERLINK("http://ts.21cn.com/tousu/show/id/1342258","龙行管家虚假宣传误导办卡")</f>
        <v>龙行管家虚假宣传误导办卡</v>
      </c>
      <c r="C11003" s="2" t="s">
        <v>9</v>
      </c>
      <c r="D11003" s="2" t="s">
        <v>10</v>
      </c>
      <c r="E11003" s="2" t="str">
        <f>HYPERLINK("http://ts.21cn.com/tousu/show/id/1342258","http://ts.21cn.com/tousu/show/id/1342258")</f>
        <v>http://ts.21cn.com/tousu/show/id/1342258</v>
      </c>
      <c r="F11003" s="2" t="s">
        <v>11</v>
      </c>
      <c r="G11003" s="2" t="s">
        <v>22519</v>
      </c>
      <c r="H11003" s="2" t="s">
        <v>22520</v>
      </c>
    </row>
    <row r="11004" spans="1:8" ht="25.05" customHeight="1" x14ac:dyDescent="0.25">
      <c r="A11004" s="2" t="s">
        <v>8</v>
      </c>
      <c r="B11004" s="2" t="str">
        <f>HYPERLINK("http://ts.21cn.com/tousu/show/id/1342261","闪银砍头息")</f>
        <v>闪银砍头息</v>
      </c>
      <c r="C11004" s="2" t="s">
        <v>9</v>
      </c>
      <c r="D11004" s="2" t="s">
        <v>10</v>
      </c>
      <c r="E11004" s="2" t="str">
        <f>HYPERLINK("http://ts.21cn.com/tousu/show/id/1342261","http://ts.21cn.com/tousu/show/id/1342261")</f>
        <v>http://ts.21cn.com/tousu/show/id/1342261</v>
      </c>
      <c r="F11004" s="2" t="s">
        <v>11</v>
      </c>
      <c r="G11004" s="2" t="s">
        <v>22517</v>
      </c>
      <c r="H11004" s="2" t="s">
        <v>22518</v>
      </c>
    </row>
    <row r="11005" spans="1:8" ht="25.05" customHeight="1" x14ac:dyDescent="0.25">
      <c r="A11005" s="2" t="s">
        <v>8</v>
      </c>
      <c r="B11005" s="2" t="str">
        <f>HYPERLINK("http://ts.21cn.com/tousu/show/id/1342262","莫名被坑")</f>
        <v>莫名被坑</v>
      </c>
      <c r="C11005" s="2" t="s">
        <v>9</v>
      </c>
      <c r="D11005" s="2" t="s">
        <v>10</v>
      </c>
      <c r="E11005" s="2" t="str">
        <f>HYPERLINK("http://ts.21cn.com/tousu/show/id/1342262","http://ts.21cn.com/tousu/show/id/1342262")</f>
        <v>http://ts.21cn.com/tousu/show/id/1342262</v>
      </c>
      <c r="F11005" s="2" t="s">
        <v>11</v>
      </c>
      <c r="G11005" s="2" t="s">
        <v>22515</v>
      </c>
      <c r="H11005" s="2" t="s">
        <v>22516</v>
      </c>
    </row>
    <row r="11006" spans="1:8" ht="25.05" customHeight="1" x14ac:dyDescent="0.25">
      <c r="A11006" s="2" t="s">
        <v>8</v>
      </c>
      <c r="B11006" s="2" t="str">
        <f>HYPERLINK("http://ts.21cn.com/tousu/show/id/1342263","肥猫贷高利息")</f>
        <v>肥猫贷高利息</v>
      </c>
      <c r="C11006" s="2" t="s">
        <v>9</v>
      </c>
      <c r="D11006" s="2" t="s">
        <v>10</v>
      </c>
      <c r="E11006" s="2" t="str">
        <f>HYPERLINK("http://ts.21cn.com/tousu/show/id/1342263","http://ts.21cn.com/tousu/show/id/1342263")</f>
        <v>http://ts.21cn.com/tousu/show/id/1342263</v>
      </c>
      <c r="F11006" s="2" t="s">
        <v>11</v>
      </c>
      <c r="G11006" s="2" t="s">
        <v>22513</v>
      </c>
      <c r="H11006" s="2" t="s">
        <v>22514</v>
      </c>
    </row>
    <row r="11007" spans="1:8" ht="25.05" customHeight="1" x14ac:dyDescent="0.25">
      <c r="A11007" s="2" t="s">
        <v>8</v>
      </c>
      <c r="B11007" s="2" t="str">
        <f>HYPERLINK("http://ts.21cn.com/tousu/show/id/1342265","360借条污蔑我恶意拖欠，不还款，威胁")</f>
        <v>360借条污蔑我恶意拖欠，不还款，威胁</v>
      </c>
      <c r="C11007" s="2" t="s">
        <v>9</v>
      </c>
      <c r="D11007" s="2" t="s">
        <v>10</v>
      </c>
      <c r="E11007" s="2" t="str">
        <f>HYPERLINK("http://ts.21cn.com/tousu/show/id/1342265","http://ts.21cn.com/tousu/show/id/1342265")</f>
        <v>http://ts.21cn.com/tousu/show/id/1342265</v>
      </c>
      <c r="F11007" s="2" t="s">
        <v>11</v>
      </c>
      <c r="G11007" s="2" t="s">
        <v>22511</v>
      </c>
      <c r="H11007" s="2" t="s">
        <v>22512</v>
      </c>
    </row>
    <row r="11008" spans="1:8" ht="25.05" customHeight="1" x14ac:dyDescent="0.25">
      <c r="A11008" s="2" t="s">
        <v>8</v>
      </c>
      <c r="B11008" s="2" t="str">
        <f>HYPERLINK("http://ts.21cn.com/tousu/show/id/1342264","兴业银行电话误导用户开通备用金业务")</f>
        <v>兴业银行电话误导用户开通备用金业务</v>
      </c>
      <c r="C11008" s="2" t="s">
        <v>9</v>
      </c>
      <c r="D11008" s="2" t="s">
        <v>10</v>
      </c>
      <c r="E11008" s="2" t="str">
        <f>HYPERLINK("http://ts.21cn.com/tousu/show/id/1342264","http://ts.21cn.com/tousu/show/id/1342264")</f>
        <v>http://ts.21cn.com/tousu/show/id/1342264</v>
      </c>
      <c r="F11008" s="2" t="s">
        <v>11</v>
      </c>
      <c r="G11008" s="2" t="s">
        <v>22509</v>
      </c>
      <c r="H11008" s="2" t="s">
        <v>22510</v>
      </c>
    </row>
    <row r="11009" spans="1:8" ht="25.05" customHeight="1" x14ac:dyDescent="0.25">
      <c r="A11009" s="2" t="s">
        <v>8</v>
      </c>
      <c r="B11009" s="2" t="str">
        <f>HYPERLINK("http://ts.21cn.com/tousu/show/id/1342267","威胁骚扰通讯录")</f>
        <v>威胁骚扰通讯录</v>
      </c>
      <c r="C11009" s="2" t="s">
        <v>9</v>
      </c>
      <c r="D11009" s="2" t="s">
        <v>10</v>
      </c>
      <c r="E11009" s="2" t="str">
        <f>HYPERLINK("http://ts.21cn.com/tousu/show/id/1342267","http://ts.21cn.com/tousu/show/id/1342267")</f>
        <v>http://ts.21cn.com/tousu/show/id/1342267</v>
      </c>
      <c r="F11009" s="2" t="s">
        <v>11</v>
      </c>
      <c r="G11009" s="2" t="s">
        <v>22507</v>
      </c>
      <c r="H11009" s="2" t="s">
        <v>22508</v>
      </c>
    </row>
    <row r="11010" spans="1:8" ht="25.05" customHeight="1" x14ac:dyDescent="0.25">
      <c r="A11010" s="2" t="s">
        <v>8</v>
      </c>
      <c r="B11010" s="2" t="str">
        <f>HYPERLINK("http://ts.21cn.com/tousu/show/id/1342266","滴滴出行乱扣成交率和服务分")</f>
        <v>滴滴出行乱扣成交率和服务分</v>
      </c>
      <c r="C11010" s="2" t="s">
        <v>9</v>
      </c>
      <c r="D11010" s="2" t="s">
        <v>10</v>
      </c>
      <c r="E11010" s="2" t="str">
        <f>HYPERLINK("http://ts.21cn.com/tousu/show/id/1342266","http://ts.21cn.com/tousu/show/id/1342266")</f>
        <v>http://ts.21cn.com/tousu/show/id/1342266</v>
      </c>
      <c r="F11010" s="2" t="s">
        <v>11</v>
      </c>
      <c r="G11010" s="2" t="s">
        <v>22505</v>
      </c>
      <c r="H11010" s="2" t="s">
        <v>22506</v>
      </c>
    </row>
    <row r="11011" spans="1:8" ht="25.05" customHeight="1" x14ac:dyDescent="0.25">
      <c r="A11011" s="2" t="s">
        <v>8</v>
      </c>
      <c r="B11011" s="2" t="str">
        <f>HYPERLINK("http://ts.21cn.com/tousu/show/id/1342269","泄露个人信息")</f>
        <v>泄露个人信息</v>
      </c>
      <c r="C11011" s="2" t="s">
        <v>9</v>
      </c>
      <c r="D11011" s="2" t="s">
        <v>10</v>
      </c>
      <c r="E11011" s="2" t="str">
        <f>HYPERLINK("http://ts.21cn.com/tousu/show/id/1342269","http://ts.21cn.com/tousu/show/id/1342269")</f>
        <v>http://ts.21cn.com/tousu/show/id/1342269</v>
      </c>
      <c r="F11011" s="2" t="s">
        <v>11</v>
      </c>
      <c r="G11011" s="2" t="s">
        <v>22503</v>
      </c>
      <c r="H11011" s="2" t="s">
        <v>22504</v>
      </c>
    </row>
    <row r="11012" spans="1:8" ht="25.05" customHeight="1" x14ac:dyDescent="0.25">
      <c r="A11012" s="2" t="s">
        <v>8</v>
      </c>
      <c r="B11012" s="2" t="str">
        <f>HYPERLINK("http://ts.21cn.com/tousu/show/id/1342270","及贷放款时直接扣除所谓的保费，存在欺诈消费行为")</f>
        <v>及贷放款时直接扣除所谓的保费，存在欺诈消费行为</v>
      </c>
      <c r="C11012" s="2" t="s">
        <v>9</v>
      </c>
      <c r="D11012" s="2" t="s">
        <v>10</v>
      </c>
      <c r="E11012" s="2" t="str">
        <f>HYPERLINK("http://ts.21cn.com/tousu/show/id/1342270","http://ts.21cn.com/tousu/show/id/1342270")</f>
        <v>http://ts.21cn.com/tousu/show/id/1342270</v>
      </c>
      <c r="F11012" s="2" t="s">
        <v>11</v>
      </c>
      <c r="G11012" s="2" t="s">
        <v>22501</v>
      </c>
      <c r="H11012" s="2" t="s">
        <v>22502</v>
      </c>
    </row>
    <row r="11013" spans="1:8" ht="25.05" customHeight="1" x14ac:dyDescent="0.25">
      <c r="A11013" s="2" t="s">
        <v>8</v>
      </c>
      <c r="B11013" s="2" t="str">
        <f>HYPERLINK("http://ts.21cn.com/tousu/show/id/1342271","小黄车ofo不退还押金、客服挂客户电话")</f>
        <v>小黄车ofo不退还押金、客服挂客户电话</v>
      </c>
      <c r="C11013" s="2" t="s">
        <v>9</v>
      </c>
      <c r="D11013" s="2" t="s">
        <v>10</v>
      </c>
      <c r="E11013" s="2" t="str">
        <f>HYPERLINK("http://ts.21cn.com/tousu/show/id/1342271","http://ts.21cn.com/tousu/show/id/1342271")</f>
        <v>http://ts.21cn.com/tousu/show/id/1342271</v>
      </c>
      <c r="F11013" s="2" t="s">
        <v>11</v>
      </c>
      <c r="G11013" s="2" t="s">
        <v>22499</v>
      </c>
      <c r="H11013" s="2" t="s">
        <v>22500</v>
      </c>
    </row>
    <row r="11014" spans="1:8" ht="25.05" customHeight="1" x14ac:dyDescent="0.25">
      <c r="A11014" s="2" t="s">
        <v>8</v>
      </c>
      <c r="B11014" s="2" t="str">
        <f>HYPERLINK("http://ts.21cn.com/tousu/show/id/1342272","小浦优客未经同意扣款")</f>
        <v>小浦优客未经同意扣款</v>
      </c>
      <c r="C11014" s="2" t="s">
        <v>9</v>
      </c>
      <c r="D11014" s="2" t="s">
        <v>10</v>
      </c>
      <c r="E11014" s="2" t="str">
        <f>HYPERLINK("http://ts.21cn.com/tousu/show/id/1342272","http://ts.21cn.com/tousu/show/id/1342272")</f>
        <v>http://ts.21cn.com/tousu/show/id/1342272</v>
      </c>
      <c r="F11014" s="2" t="s">
        <v>11</v>
      </c>
      <c r="G11014" s="2" t="s">
        <v>22497</v>
      </c>
      <c r="H11014" s="2" t="s">
        <v>22498</v>
      </c>
    </row>
    <row r="11015" spans="1:8" ht="25.05" customHeight="1" x14ac:dyDescent="0.25">
      <c r="A11015" s="2" t="s">
        <v>8</v>
      </c>
      <c r="B11015" s="2" t="str">
        <f>HYPERLINK("http://ts.21cn.com/tousu/show/id/1342275","支付宝蚂蚁金服旗下金鸡下蛋套路贷，欺诈消费者")</f>
        <v>支付宝蚂蚁金服旗下金鸡下蛋套路贷，欺诈消费者</v>
      </c>
      <c r="C11015" s="2" t="s">
        <v>9</v>
      </c>
      <c r="D11015" s="2" t="s">
        <v>10</v>
      </c>
      <c r="E11015" s="2" t="str">
        <f>HYPERLINK("http://ts.21cn.com/tousu/show/id/1342275","http://ts.21cn.com/tousu/show/id/1342275")</f>
        <v>http://ts.21cn.com/tousu/show/id/1342275</v>
      </c>
      <c r="F11015" s="2" t="s">
        <v>11</v>
      </c>
      <c r="G11015" s="2" t="s">
        <v>22495</v>
      </c>
      <c r="H11015" s="2" t="s">
        <v>22496</v>
      </c>
    </row>
    <row r="11016" spans="1:8" ht="25.05" customHeight="1" x14ac:dyDescent="0.25">
      <c r="A11016" s="2" t="s">
        <v>8</v>
      </c>
      <c r="B11016" s="2" t="str">
        <f>HYPERLINK("http://ts.21cn.com/tousu/show/id/1342273","你我贷，客服人员威胁恐吓本人")</f>
        <v>你我贷，客服人员威胁恐吓本人</v>
      </c>
      <c r="C11016" s="2" t="s">
        <v>9</v>
      </c>
      <c r="D11016" s="2" t="s">
        <v>10</v>
      </c>
      <c r="E11016" s="2" t="str">
        <f>HYPERLINK("http://ts.21cn.com/tousu/show/id/1342273","http://ts.21cn.com/tousu/show/id/1342273")</f>
        <v>http://ts.21cn.com/tousu/show/id/1342273</v>
      </c>
      <c r="F11016" s="2" t="s">
        <v>11</v>
      </c>
      <c r="G11016" s="2" t="s">
        <v>22493</v>
      </c>
      <c r="H11016" s="2" t="s">
        <v>22494</v>
      </c>
    </row>
    <row r="11017" spans="1:8" ht="25.05" customHeight="1" x14ac:dyDescent="0.25">
      <c r="A11017" s="2" t="s">
        <v>8</v>
      </c>
      <c r="B11017" s="2" t="str">
        <f>HYPERLINK("http://ts.21cn.com/tousu/show/id/1342274","有网贷老给我打电话")</f>
        <v>有网贷老给我打电话</v>
      </c>
      <c r="C11017" s="2" t="s">
        <v>34</v>
      </c>
      <c r="D11017" s="2" t="s">
        <v>10</v>
      </c>
      <c r="E11017" s="2" t="str">
        <f>HYPERLINK("http://ts.21cn.com/tousu/show/id/1342274","http://ts.21cn.com/tousu/show/id/1342274")</f>
        <v>http://ts.21cn.com/tousu/show/id/1342274</v>
      </c>
      <c r="F11017" s="2" t="s">
        <v>11</v>
      </c>
      <c r="G11017" s="2" t="s">
        <v>22491</v>
      </c>
      <c r="H11017" s="2" t="s">
        <v>22492</v>
      </c>
    </row>
    <row r="11018" spans="1:8" ht="25.05" customHeight="1" x14ac:dyDescent="0.25">
      <c r="A11018" s="2" t="s">
        <v>8</v>
      </c>
      <c r="B11018" s="2" t="str">
        <f>HYPERLINK("http://ts.21cn.com/tousu/show/id/1342276","恶意骚扰")</f>
        <v>恶意骚扰</v>
      </c>
      <c r="C11018" s="2" t="s">
        <v>9</v>
      </c>
      <c r="D11018" s="2" t="s">
        <v>10</v>
      </c>
      <c r="E11018" s="2" t="str">
        <f>HYPERLINK("http://ts.21cn.com/tousu/show/id/1342276","http://ts.21cn.com/tousu/show/id/1342276")</f>
        <v>http://ts.21cn.com/tousu/show/id/1342276</v>
      </c>
      <c r="F11018" s="2" t="s">
        <v>11</v>
      </c>
      <c r="G11018" s="2" t="s">
        <v>22489</v>
      </c>
      <c r="H11018" s="2" t="s">
        <v>22490</v>
      </c>
    </row>
    <row r="11019" spans="1:8" ht="25.05" customHeight="1" x14ac:dyDescent="0.25">
      <c r="A11019" s="2" t="s">
        <v>8</v>
      </c>
      <c r="B11019" s="2" t="str">
        <f>HYPERLINK("http://ts.21cn.com/tousu/show/id/1342277","7.14高炮")</f>
        <v>7.14高炮</v>
      </c>
      <c r="C11019" s="2" t="s">
        <v>9</v>
      </c>
      <c r="D11019" s="2" t="s">
        <v>10</v>
      </c>
      <c r="E11019" s="2" t="str">
        <f>HYPERLINK("http://ts.21cn.com/tousu/show/id/1342277","http://ts.21cn.com/tousu/show/id/1342277")</f>
        <v>http://ts.21cn.com/tousu/show/id/1342277</v>
      </c>
      <c r="F11019" s="2" t="s">
        <v>11</v>
      </c>
      <c r="G11019" s="2" t="s">
        <v>22487</v>
      </c>
      <c r="H11019" s="2" t="s">
        <v>22488</v>
      </c>
    </row>
    <row r="11020" spans="1:8" ht="25.05" customHeight="1" x14ac:dyDescent="0.25">
      <c r="A11020" s="2" t="s">
        <v>8</v>
      </c>
      <c r="B11020" s="2" t="str">
        <f>HYPERLINK("http://ts.21cn.com/tousu/show/id/1342279","失易得软件无法恢复数据要求退款不同意")</f>
        <v>失易得软件无法恢复数据要求退款不同意</v>
      </c>
      <c r="C11020" s="2" t="s">
        <v>9</v>
      </c>
      <c r="D11020" s="2" t="s">
        <v>10</v>
      </c>
      <c r="E11020" s="2" t="str">
        <f>HYPERLINK("http://ts.21cn.com/tousu/show/id/1342279","http://ts.21cn.com/tousu/show/id/1342279")</f>
        <v>http://ts.21cn.com/tousu/show/id/1342279</v>
      </c>
      <c r="F11020" s="2" t="s">
        <v>11</v>
      </c>
      <c r="G11020" s="2" t="s">
        <v>22485</v>
      </c>
      <c r="H11020" s="2" t="s">
        <v>22486</v>
      </c>
    </row>
    <row r="11021" spans="1:8" ht="25.05" customHeight="1" x14ac:dyDescent="0.25">
      <c r="A11021" s="2" t="s">
        <v>8</v>
      </c>
      <c r="B11021" s="2" t="str">
        <f>HYPERLINK("http://ts.21cn.com/tousu/show/id/1342280","小浦优客乱收服务费用")</f>
        <v>小浦优客乱收服务费用</v>
      </c>
      <c r="C11021" s="2" t="s">
        <v>9</v>
      </c>
      <c r="D11021" s="2" t="s">
        <v>10</v>
      </c>
      <c r="E11021" s="2" t="str">
        <f>HYPERLINK("http://ts.21cn.com/tousu/show/id/1342280","http://ts.21cn.com/tousu/show/id/1342280")</f>
        <v>http://ts.21cn.com/tousu/show/id/1342280</v>
      </c>
      <c r="F11021" s="2" t="s">
        <v>11</v>
      </c>
      <c r="G11021" s="2" t="s">
        <v>22483</v>
      </c>
      <c r="H11021" s="2" t="s">
        <v>22484</v>
      </c>
    </row>
    <row r="11022" spans="1:8" ht="25.05" customHeight="1" x14ac:dyDescent="0.25">
      <c r="A11022" s="2" t="s">
        <v>8</v>
      </c>
      <c r="B11022" s="2" t="str">
        <f>HYPERLINK("http://ts.21cn.com/tousu/show/id/1342281","买买乐购太黑高额费用，爆通讯录骚扰家人")</f>
        <v>买买乐购太黑高额费用，爆通讯录骚扰家人</v>
      </c>
      <c r="C11022" s="2" t="s">
        <v>9</v>
      </c>
      <c r="D11022" s="2" t="s">
        <v>10</v>
      </c>
      <c r="E11022" s="2" t="str">
        <f>HYPERLINK("http://ts.21cn.com/tousu/show/id/1342281","http://ts.21cn.com/tousu/show/id/1342281")</f>
        <v>http://ts.21cn.com/tousu/show/id/1342281</v>
      </c>
      <c r="F11022" s="2" t="s">
        <v>11</v>
      </c>
      <c r="G11022" s="2" t="s">
        <v>22481</v>
      </c>
      <c r="H11022" s="2" t="s">
        <v>22482</v>
      </c>
    </row>
    <row r="11023" spans="1:8" ht="25.05" customHeight="1" x14ac:dyDescent="0.25">
      <c r="A11023" s="2" t="s">
        <v>8</v>
      </c>
      <c r="B11023" s="2" t="str">
        <f>HYPERLINK("http://ts.21cn.com/tousu/show/id/1342284","51人品贷暴力催收爆我通讯录")</f>
        <v>51人品贷暴力催收爆我通讯录</v>
      </c>
      <c r="C11023" s="2" t="s">
        <v>9</v>
      </c>
      <c r="D11023" s="2" t="s">
        <v>10</v>
      </c>
      <c r="E11023" s="2" t="str">
        <f>HYPERLINK("http://ts.21cn.com/tousu/show/id/1342284","http://ts.21cn.com/tousu/show/id/1342284")</f>
        <v>http://ts.21cn.com/tousu/show/id/1342284</v>
      </c>
      <c r="F11023" s="2" t="s">
        <v>11</v>
      </c>
      <c r="G11023" s="2" t="s">
        <v>22479</v>
      </c>
      <c r="H11023" s="2" t="s">
        <v>22480</v>
      </c>
    </row>
    <row r="11024" spans="1:8" ht="25.05" customHeight="1" x14ac:dyDescent="0.25">
      <c r="A11024" s="2" t="s">
        <v>8</v>
      </c>
      <c r="B11024" s="2" t="str">
        <f>HYPERLINK("http://ts.21cn.com/tousu/show/id/1342283","不处理问题态度恶劣")</f>
        <v>不处理问题态度恶劣</v>
      </c>
      <c r="C11024" s="2" t="s">
        <v>9</v>
      </c>
      <c r="D11024" s="2" t="s">
        <v>10</v>
      </c>
      <c r="E11024" s="2" t="str">
        <f>HYPERLINK("http://ts.21cn.com/tousu/show/id/1342283","http://ts.21cn.com/tousu/show/id/1342283")</f>
        <v>http://ts.21cn.com/tousu/show/id/1342283</v>
      </c>
      <c r="F11024" s="2" t="s">
        <v>11</v>
      </c>
      <c r="G11024" s="2" t="s">
        <v>22477</v>
      </c>
      <c r="H11024" s="2" t="s">
        <v>22478</v>
      </c>
    </row>
    <row r="11025" spans="1:8" ht="25.05" customHeight="1" x14ac:dyDescent="0.25">
      <c r="A11025" s="2" t="s">
        <v>8</v>
      </c>
      <c r="B11025" s="2" t="str">
        <f>HYPERLINK("http://ts.21cn.com/tousu/show/id/1342282","信用管家违法委托第三方黑社会份子上门威逼借款人")</f>
        <v>信用管家违法委托第三方黑社会份子上门威逼借款人</v>
      </c>
      <c r="C11025" s="2" t="s">
        <v>9</v>
      </c>
      <c r="D11025" s="2" t="s">
        <v>10</v>
      </c>
      <c r="E11025" s="2" t="str">
        <f>HYPERLINK("http://ts.21cn.com/tousu/show/id/1342282","http://ts.21cn.com/tousu/show/id/1342282")</f>
        <v>http://ts.21cn.com/tousu/show/id/1342282</v>
      </c>
      <c r="F11025" s="2" t="s">
        <v>11</v>
      </c>
      <c r="G11025" s="2" t="s">
        <v>22475</v>
      </c>
      <c r="H11025" s="2" t="s">
        <v>22476</v>
      </c>
    </row>
    <row r="11026" spans="1:8" ht="25.05" customHeight="1" x14ac:dyDescent="0.25">
      <c r="A11026" s="2" t="s">
        <v>8</v>
      </c>
      <c r="B11026" s="2" t="str">
        <f>HYPERLINK("http://ts.21cn.com/tousu/show/id/1342286","钱伴提前还款越还竟然越多")</f>
        <v>钱伴提前还款越还竟然越多</v>
      </c>
      <c r="C11026" s="2" t="s">
        <v>9</v>
      </c>
      <c r="D11026" s="2" t="s">
        <v>10</v>
      </c>
      <c r="E11026" s="2" t="str">
        <f>HYPERLINK("http://ts.21cn.com/tousu/show/id/1342286","http://ts.21cn.com/tousu/show/id/1342286")</f>
        <v>http://ts.21cn.com/tousu/show/id/1342286</v>
      </c>
      <c r="F11026" s="2" t="s">
        <v>11</v>
      </c>
      <c r="G11026" s="2" t="s">
        <v>22473</v>
      </c>
      <c r="H11026" s="2" t="s">
        <v>22474</v>
      </c>
    </row>
    <row r="11027" spans="1:8" ht="25.05" customHeight="1" x14ac:dyDescent="0.25">
      <c r="A11027" s="2" t="s">
        <v>8</v>
      </c>
      <c r="B11027" s="2" t="str">
        <f>HYPERLINK("http://ts.21cn.com/tousu/show/id/1342288","壹心分期高利贷高额砍头贷款")</f>
        <v>壹心分期高利贷高额砍头贷款</v>
      </c>
      <c r="C11027" s="2" t="s">
        <v>9</v>
      </c>
      <c r="D11027" s="2" t="s">
        <v>10</v>
      </c>
      <c r="E11027" s="2" t="str">
        <f>HYPERLINK("http://ts.21cn.com/tousu/show/id/1342288","http://ts.21cn.com/tousu/show/id/1342288")</f>
        <v>http://ts.21cn.com/tousu/show/id/1342288</v>
      </c>
      <c r="F11027" s="2" t="s">
        <v>11</v>
      </c>
      <c r="G11027" s="2" t="s">
        <v>22471</v>
      </c>
      <c r="H11027" s="2" t="s">
        <v>22472</v>
      </c>
    </row>
    <row r="11028" spans="1:8" ht="25.05" customHeight="1" x14ac:dyDescent="0.25">
      <c r="A11028" s="2" t="s">
        <v>8</v>
      </c>
      <c r="B11028" s="2" t="str">
        <f>HYPERLINK("http://ts.21cn.com/tousu/show/id/1342289","马上消费金融，暴力催收，群发短信，恐吓催收")</f>
        <v>马上消费金融，暴力催收，群发短信，恐吓催收</v>
      </c>
      <c r="C11028" s="2" t="s">
        <v>9</v>
      </c>
      <c r="D11028" s="2" t="s">
        <v>10</v>
      </c>
      <c r="E11028" s="2" t="str">
        <f>HYPERLINK("http://ts.21cn.com/tousu/show/id/1342289","http://ts.21cn.com/tousu/show/id/1342289")</f>
        <v>http://ts.21cn.com/tousu/show/id/1342289</v>
      </c>
      <c r="F11028" s="2" t="s">
        <v>11</v>
      </c>
      <c r="G11028" s="2" t="s">
        <v>22469</v>
      </c>
      <c r="H11028" s="2" t="s">
        <v>22470</v>
      </c>
    </row>
    <row r="11029" spans="1:8" ht="25.05" customHeight="1" x14ac:dyDescent="0.25">
      <c r="A11029" s="2" t="s">
        <v>8</v>
      </c>
      <c r="B11029" s="2" t="str">
        <f>HYPERLINK("http://ts.21cn.com/tousu/show/id/1342290","捷信暴力催收")</f>
        <v>捷信暴力催收</v>
      </c>
      <c r="C11029" s="2" t="s">
        <v>9</v>
      </c>
      <c r="D11029" s="2" t="s">
        <v>10</v>
      </c>
      <c r="E11029" s="2" t="str">
        <f>HYPERLINK("http://ts.21cn.com/tousu/show/id/1342290","http://ts.21cn.com/tousu/show/id/1342290")</f>
        <v>http://ts.21cn.com/tousu/show/id/1342290</v>
      </c>
      <c r="F11029" s="2" t="s">
        <v>11</v>
      </c>
      <c r="G11029" s="2" t="s">
        <v>22467</v>
      </c>
      <c r="H11029" s="2" t="s">
        <v>22468</v>
      </c>
    </row>
    <row r="11030" spans="1:8" ht="25.05" customHeight="1" x14ac:dyDescent="0.25">
      <c r="A11030" s="2" t="s">
        <v>8</v>
      </c>
      <c r="B11030" s="2" t="str">
        <f>HYPERLINK("http://ts.21cn.com/tousu/show/id/1342291","微品分期电话威胁")</f>
        <v>微品分期电话威胁</v>
      </c>
      <c r="C11030" s="2" t="s">
        <v>9</v>
      </c>
      <c r="D11030" s="2" t="s">
        <v>10</v>
      </c>
      <c r="E11030" s="2" t="str">
        <f>HYPERLINK("http://ts.21cn.com/tousu/show/id/1342291","http://ts.21cn.com/tousu/show/id/1342291")</f>
        <v>http://ts.21cn.com/tousu/show/id/1342291</v>
      </c>
      <c r="F11030" s="2" t="s">
        <v>11</v>
      </c>
      <c r="G11030" s="2" t="s">
        <v>22465</v>
      </c>
      <c r="H11030" s="2" t="s">
        <v>22466</v>
      </c>
    </row>
    <row r="11031" spans="1:8" ht="25.05" customHeight="1" x14ac:dyDescent="0.25">
      <c r="A11031" s="2" t="s">
        <v>8</v>
      </c>
      <c r="B11031" s="2" t="str">
        <f>HYPERLINK("http://ts.21cn.com/tousu/show/id/1342210","网商贷是黑平台")</f>
        <v>网商贷是黑平台</v>
      </c>
      <c r="C11031" s="2" t="s">
        <v>9</v>
      </c>
      <c r="D11031" s="2" t="s">
        <v>10</v>
      </c>
      <c r="E11031" s="2" t="str">
        <f>HYPERLINK("http://ts.21cn.com/tousu/show/id/1342210","http://ts.21cn.com/tousu/show/id/1342210")</f>
        <v>http://ts.21cn.com/tousu/show/id/1342210</v>
      </c>
      <c r="F11031" s="2" t="s">
        <v>11</v>
      </c>
      <c r="G11031" s="2" t="s">
        <v>22463</v>
      </c>
      <c r="H11031" s="2" t="s">
        <v>22464</v>
      </c>
    </row>
    <row r="11032" spans="1:8" ht="25.05" customHeight="1" x14ac:dyDescent="0.25">
      <c r="A11032" s="2" t="s">
        <v>8</v>
      </c>
      <c r="B11032" s="2" t="str">
        <f>HYPERLINK("http://ts.21cn.com/tousu/show/id/1342293","暴力催收，威胁辱骂")</f>
        <v>暴力催收，威胁辱骂</v>
      </c>
      <c r="C11032" s="2" t="s">
        <v>9</v>
      </c>
      <c r="D11032" s="2" t="s">
        <v>10</v>
      </c>
      <c r="E11032" s="2" t="str">
        <f>HYPERLINK("http://ts.21cn.com/tousu/show/id/1342293","http://ts.21cn.com/tousu/show/id/1342293")</f>
        <v>http://ts.21cn.com/tousu/show/id/1342293</v>
      </c>
      <c r="F11032" s="2" t="s">
        <v>11</v>
      </c>
      <c r="G11032" s="2" t="s">
        <v>22461</v>
      </c>
      <c r="H11032" s="2" t="s">
        <v>22462</v>
      </c>
    </row>
    <row r="11033" spans="1:8" ht="25.05" customHeight="1" x14ac:dyDescent="0.25">
      <c r="A11033" s="2" t="s">
        <v>8</v>
      </c>
      <c r="B11033" s="2" t="str">
        <f>HYPERLINK("http://ts.21cn.com/tousu/show/id/1342295","工行投诉无回访！！！")</f>
        <v>工行投诉无回访！！！</v>
      </c>
      <c r="C11033" s="2" t="s">
        <v>9</v>
      </c>
      <c r="D11033" s="2" t="s">
        <v>10</v>
      </c>
      <c r="E11033" s="2" t="str">
        <f>HYPERLINK("http://ts.21cn.com/tousu/show/id/1342295","http://ts.21cn.com/tousu/show/id/1342295")</f>
        <v>http://ts.21cn.com/tousu/show/id/1342295</v>
      </c>
      <c r="F11033" s="2" t="s">
        <v>11</v>
      </c>
      <c r="G11033" s="2" t="s">
        <v>22459</v>
      </c>
      <c r="H11033" s="2" t="s">
        <v>22460</v>
      </c>
    </row>
    <row r="11034" spans="1:8" ht="25.05" customHeight="1" x14ac:dyDescent="0.25">
      <c r="A11034" s="2" t="s">
        <v>8</v>
      </c>
      <c r="B11034" s="2" t="str">
        <f>HYPERLINK("http://ts.21cn.com/tousu/show/id/1342296","在本人不知情的情况下进行扣款")</f>
        <v>在本人不知情的情况下进行扣款</v>
      </c>
      <c r="C11034" s="2" t="s">
        <v>9</v>
      </c>
      <c r="D11034" s="2" t="s">
        <v>10</v>
      </c>
      <c r="E11034" s="2" t="str">
        <f>HYPERLINK("http://ts.21cn.com/tousu/show/id/1342296","http://ts.21cn.com/tousu/show/id/1342296")</f>
        <v>http://ts.21cn.com/tousu/show/id/1342296</v>
      </c>
      <c r="F11034" s="2" t="s">
        <v>11</v>
      </c>
      <c r="G11034" s="2" t="s">
        <v>22457</v>
      </c>
      <c r="H11034" s="2" t="s">
        <v>22458</v>
      </c>
    </row>
    <row r="11035" spans="1:8" ht="25.05" customHeight="1" x14ac:dyDescent="0.25">
      <c r="A11035" s="2" t="s">
        <v>8</v>
      </c>
      <c r="B11035" s="2" t="str">
        <f>HYPERLINK("http://ts.21cn.com/tousu/show/id/1342297","浦发银行恶意获取我的通讯录")</f>
        <v>浦发银行恶意获取我的通讯录</v>
      </c>
      <c r="C11035" s="2" t="s">
        <v>9</v>
      </c>
      <c r="D11035" s="2" t="s">
        <v>10</v>
      </c>
      <c r="E11035" s="2" t="str">
        <f>HYPERLINK("http://ts.21cn.com/tousu/show/id/1342297","http://ts.21cn.com/tousu/show/id/1342297")</f>
        <v>http://ts.21cn.com/tousu/show/id/1342297</v>
      </c>
      <c r="F11035" s="2" t="s">
        <v>11</v>
      </c>
      <c r="G11035" s="2" t="s">
        <v>22455</v>
      </c>
      <c r="H11035" s="2" t="s">
        <v>22456</v>
      </c>
    </row>
    <row r="11036" spans="1:8" ht="25.05" customHeight="1" x14ac:dyDescent="0.25">
      <c r="A11036" s="2" t="s">
        <v>8</v>
      </c>
      <c r="B11036" s="2" t="str">
        <f>HYPERLINK("http://ts.21cn.com/tousu/show/id/1342298","停止暴力催收")</f>
        <v>停止暴力催收</v>
      </c>
      <c r="C11036" s="2" t="s">
        <v>9</v>
      </c>
      <c r="D11036" s="2" t="s">
        <v>10</v>
      </c>
      <c r="E11036" s="2" t="str">
        <f>HYPERLINK("http://ts.21cn.com/tousu/show/id/1342298","http://ts.21cn.com/tousu/show/id/1342298")</f>
        <v>http://ts.21cn.com/tousu/show/id/1342298</v>
      </c>
      <c r="F11036" s="2" t="s">
        <v>11</v>
      </c>
      <c r="G11036" s="2" t="s">
        <v>22453</v>
      </c>
      <c r="H11036" s="2" t="s">
        <v>22454</v>
      </c>
    </row>
    <row r="11037" spans="1:8" ht="25.05" customHeight="1" x14ac:dyDescent="0.25">
      <c r="A11037" s="2" t="s">
        <v>8</v>
      </c>
      <c r="B11037" s="2" t="str">
        <f>HYPERLINK("http://ts.21cn.com/tousu/show/id/1342300","小花钱包暴力催收，验证码轰炸")</f>
        <v>小花钱包暴力催收，验证码轰炸</v>
      </c>
      <c r="C11037" s="2" t="s">
        <v>9</v>
      </c>
      <c r="D11037" s="2" t="s">
        <v>10</v>
      </c>
      <c r="E11037" s="2" t="str">
        <f>HYPERLINK("http://ts.21cn.com/tousu/show/id/1342300","http://ts.21cn.com/tousu/show/id/1342300")</f>
        <v>http://ts.21cn.com/tousu/show/id/1342300</v>
      </c>
      <c r="F11037" s="2" t="s">
        <v>11</v>
      </c>
      <c r="G11037" s="2" t="s">
        <v>22451</v>
      </c>
      <c r="H11037" s="2" t="s">
        <v>22452</v>
      </c>
    </row>
    <row r="11038" spans="1:8" ht="25.05" customHeight="1" x14ac:dyDescent="0.25">
      <c r="A11038" s="2" t="s">
        <v>8</v>
      </c>
      <c r="B11038" s="2" t="str">
        <f>HYPERLINK("http://ts.21cn.com/tousu/show/id/1342301","高铁管家抢票失败不退款")</f>
        <v>高铁管家抢票失败不退款</v>
      </c>
      <c r="C11038" s="2" t="s">
        <v>34</v>
      </c>
      <c r="D11038" s="2" t="s">
        <v>10</v>
      </c>
      <c r="E11038" s="2" t="str">
        <f>HYPERLINK("http://ts.21cn.com/tousu/show/id/1342301","http://ts.21cn.com/tousu/show/id/1342301")</f>
        <v>http://ts.21cn.com/tousu/show/id/1342301</v>
      </c>
      <c r="F11038" s="2" t="s">
        <v>11</v>
      </c>
      <c r="G11038" s="2" t="s">
        <v>22449</v>
      </c>
      <c r="H11038" s="2" t="s">
        <v>22450</v>
      </c>
    </row>
    <row r="11039" spans="1:8" ht="25.05" customHeight="1" x14ac:dyDescent="0.25">
      <c r="A11039" s="2" t="s">
        <v>8</v>
      </c>
      <c r="B11039" s="2" t="str">
        <f>HYPERLINK("http://ts.21cn.com/tousu/show/id/1342304","米多点高利贷违规砍头息")</f>
        <v>米多点高利贷违规砍头息</v>
      </c>
      <c r="C11039" s="2" t="s">
        <v>9</v>
      </c>
      <c r="D11039" s="2" t="s">
        <v>10</v>
      </c>
      <c r="E11039" s="2" t="str">
        <f>HYPERLINK("http://ts.21cn.com/tousu/show/id/1342304","http://ts.21cn.com/tousu/show/id/1342304")</f>
        <v>http://ts.21cn.com/tousu/show/id/1342304</v>
      </c>
      <c r="F11039" s="2" t="s">
        <v>11</v>
      </c>
      <c r="G11039" s="2" t="s">
        <v>22447</v>
      </c>
      <c r="H11039" s="2" t="s">
        <v>22448</v>
      </c>
    </row>
    <row r="11040" spans="1:8" ht="25.05" customHeight="1" x14ac:dyDescent="0.25">
      <c r="A11040" s="2" t="s">
        <v>8</v>
      </c>
      <c r="B11040" s="2" t="str">
        <f>HYPERLINK("http://ts.21cn.com/tousu/show/id/1342299","聚福钱包未经许可私自扣款")</f>
        <v>聚福钱包未经许可私自扣款</v>
      </c>
      <c r="C11040" s="2" t="s">
        <v>9</v>
      </c>
      <c r="D11040" s="2" t="s">
        <v>10</v>
      </c>
      <c r="E11040" s="2" t="str">
        <f>HYPERLINK("http://ts.21cn.com/tousu/show/id/1342299","http://ts.21cn.com/tousu/show/id/1342299")</f>
        <v>http://ts.21cn.com/tousu/show/id/1342299</v>
      </c>
      <c r="F11040" s="2" t="s">
        <v>11</v>
      </c>
      <c r="G11040" s="2" t="s">
        <v>22445</v>
      </c>
      <c r="H11040" s="2" t="s">
        <v>22446</v>
      </c>
    </row>
    <row r="11041" spans="1:8" ht="25.05" customHeight="1" x14ac:dyDescent="0.25">
      <c r="A11041" s="2" t="s">
        <v>8</v>
      </c>
      <c r="B11041" s="2" t="str">
        <f>HYPERLINK("http://ts.21cn.com/tousu/show/id/1342303","民生银行恶心骚扰恐吓")</f>
        <v>民生银行恶心骚扰恐吓</v>
      </c>
      <c r="C11041" s="2" t="s">
        <v>9</v>
      </c>
      <c r="D11041" s="2" t="s">
        <v>10</v>
      </c>
      <c r="E11041" s="2" t="str">
        <f>HYPERLINK("http://ts.21cn.com/tousu/show/id/1342303","http://ts.21cn.com/tousu/show/id/1342303")</f>
        <v>http://ts.21cn.com/tousu/show/id/1342303</v>
      </c>
      <c r="F11041" s="2" t="s">
        <v>11</v>
      </c>
      <c r="G11041" s="2" t="s">
        <v>22443</v>
      </c>
      <c r="H11041" s="2" t="s">
        <v>22444</v>
      </c>
    </row>
    <row r="11042" spans="1:8" ht="25.05" customHeight="1" x14ac:dyDescent="0.25">
      <c r="A11042" s="2" t="s">
        <v>8</v>
      </c>
      <c r="B11042" s="2" t="str">
        <f>HYPERLINK("http://ts.21cn.com/tousu/show/id/1342305","714高炮暴力骚扰")</f>
        <v>714高炮暴力骚扰</v>
      </c>
      <c r="C11042" s="2" t="s">
        <v>9</v>
      </c>
      <c r="D11042" s="2" t="s">
        <v>10</v>
      </c>
      <c r="E11042" s="2" t="str">
        <f>HYPERLINK("http://ts.21cn.com/tousu/show/id/1342305","http://ts.21cn.com/tousu/show/id/1342305")</f>
        <v>http://ts.21cn.com/tousu/show/id/1342305</v>
      </c>
      <c r="F11042" s="2" t="s">
        <v>11</v>
      </c>
      <c r="G11042" s="2" t="s">
        <v>22441</v>
      </c>
      <c r="H11042" s="2" t="s">
        <v>22442</v>
      </c>
    </row>
    <row r="11043" spans="1:8" ht="25.05" customHeight="1" x14ac:dyDescent="0.25">
      <c r="A11043" s="2" t="s">
        <v>8</v>
      </c>
      <c r="B11043" s="2" t="str">
        <f>HYPERLINK("http://ts.21cn.com/tousu/show/id/1342306","平安普惠")</f>
        <v>平安普惠</v>
      </c>
      <c r="C11043" s="2" t="s">
        <v>9</v>
      </c>
      <c r="D11043" s="2" t="s">
        <v>10</v>
      </c>
      <c r="E11043" s="2" t="str">
        <f>HYPERLINK("http://ts.21cn.com/tousu/show/id/1342306","http://ts.21cn.com/tousu/show/id/1342306")</f>
        <v>http://ts.21cn.com/tousu/show/id/1342306</v>
      </c>
      <c r="F11043" s="2" t="s">
        <v>11</v>
      </c>
      <c r="G11043" s="2" t="s">
        <v>22439</v>
      </c>
      <c r="H11043" s="2" t="s">
        <v>22440</v>
      </c>
    </row>
    <row r="11044" spans="1:8" ht="25.05" customHeight="1" x14ac:dyDescent="0.25">
      <c r="A11044" s="2" t="s">
        <v>8</v>
      </c>
      <c r="B11044" s="2" t="str">
        <f>HYPERLINK("http://ts.21cn.com/tousu/show/id/1342307","52租机取消订单后不退押金和租金")</f>
        <v>52租机取消订单后不退押金和租金</v>
      </c>
      <c r="C11044" s="2" t="s">
        <v>9</v>
      </c>
      <c r="D11044" s="2" t="s">
        <v>10</v>
      </c>
      <c r="E11044" s="2" t="str">
        <f>HYPERLINK("http://ts.21cn.com/tousu/show/id/1342307","http://ts.21cn.com/tousu/show/id/1342307")</f>
        <v>http://ts.21cn.com/tousu/show/id/1342307</v>
      </c>
      <c r="F11044" s="2" t="s">
        <v>11</v>
      </c>
      <c r="G11044" s="2" t="s">
        <v>22437</v>
      </c>
      <c r="H11044" s="2" t="s">
        <v>22438</v>
      </c>
    </row>
    <row r="11045" spans="1:8" ht="25.05" customHeight="1" x14ac:dyDescent="0.25">
      <c r="A11045" s="2" t="s">
        <v>8</v>
      </c>
      <c r="B11045" s="2" t="str">
        <f>HYPERLINK("http://ts.21cn.com/tousu/show/id/1342294","收取消费者费用不退还")</f>
        <v>收取消费者费用不退还</v>
      </c>
      <c r="C11045" s="2" t="s">
        <v>9</v>
      </c>
      <c r="D11045" s="2" t="s">
        <v>10</v>
      </c>
      <c r="E11045" s="2" t="str">
        <f>HYPERLINK("http://ts.21cn.com/tousu/show/id/1342294","http://ts.21cn.com/tousu/show/id/1342294")</f>
        <v>http://ts.21cn.com/tousu/show/id/1342294</v>
      </c>
      <c r="F11045" s="2" t="s">
        <v>11</v>
      </c>
      <c r="G11045" s="2" t="s">
        <v>22435</v>
      </c>
      <c r="H11045" s="2" t="s">
        <v>22436</v>
      </c>
    </row>
    <row r="11046" spans="1:8" ht="25.05" customHeight="1" x14ac:dyDescent="0.25">
      <c r="A11046" s="2" t="s">
        <v>8</v>
      </c>
      <c r="B11046" s="2" t="str">
        <f>HYPERLINK("http://ts.21cn.com/tousu/show/id/1342308","宜人贷信息费协商还款")</f>
        <v>宜人贷信息费协商还款</v>
      </c>
      <c r="C11046" s="2" t="s">
        <v>9</v>
      </c>
      <c r="D11046" s="2" t="s">
        <v>10</v>
      </c>
      <c r="E11046" s="2" t="str">
        <f>HYPERLINK("http://ts.21cn.com/tousu/show/id/1342308","http://ts.21cn.com/tousu/show/id/1342308")</f>
        <v>http://ts.21cn.com/tousu/show/id/1342308</v>
      </c>
      <c r="F11046" s="2" t="s">
        <v>11</v>
      </c>
      <c r="G11046" s="2" t="s">
        <v>22433</v>
      </c>
      <c r="H11046" s="2" t="s">
        <v>22434</v>
      </c>
    </row>
    <row r="11047" spans="1:8" ht="25.05" customHeight="1" x14ac:dyDescent="0.25">
      <c r="A11047" s="2" t="s">
        <v>8</v>
      </c>
      <c r="B11047" s="2" t="str">
        <f>HYPERLINK("http://ts.21cn.com/tousu/show/id/1342310","侵犯他人权益，乱给正常淘宝号打标")</f>
        <v>侵犯他人权益，乱给正常淘宝号打标</v>
      </c>
      <c r="C11047" s="2" t="s">
        <v>9</v>
      </c>
      <c r="D11047" s="2" t="s">
        <v>10</v>
      </c>
      <c r="E11047" s="2" t="str">
        <f>HYPERLINK("http://ts.21cn.com/tousu/show/id/1342310","http://ts.21cn.com/tousu/show/id/1342310")</f>
        <v>http://ts.21cn.com/tousu/show/id/1342310</v>
      </c>
      <c r="F11047" s="2" t="s">
        <v>11</v>
      </c>
      <c r="G11047" s="2" t="s">
        <v>22431</v>
      </c>
      <c r="H11047" s="2" t="s">
        <v>22432</v>
      </c>
    </row>
    <row r="11048" spans="1:8" ht="25.05" customHeight="1" x14ac:dyDescent="0.25">
      <c r="A11048" s="2" t="s">
        <v>8</v>
      </c>
      <c r="B11048" s="2" t="str">
        <f>HYPERLINK("http://ts.21cn.com/tousu/show/id/1342312","你我贷未放款也不能取消贷款")</f>
        <v>你我贷未放款也不能取消贷款</v>
      </c>
      <c r="C11048" s="2" t="s">
        <v>9</v>
      </c>
      <c r="D11048" s="2" t="s">
        <v>10</v>
      </c>
      <c r="E11048" s="2" t="str">
        <f>HYPERLINK("http://ts.21cn.com/tousu/show/id/1342312","http://ts.21cn.com/tousu/show/id/1342312")</f>
        <v>http://ts.21cn.com/tousu/show/id/1342312</v>
      </c>
      <c r="F11048" s="2" t="s">
        <v>11</v>
      </c>
      <c r="G11048" s="2" t="s">
        <v>22429</v>
      </c>
      <c r="H11048" s="2" t="s">
        <v>22430</v>
      </c>
    </row>
    <row r="11049" spans="1:8" ht="25.05" customHeight="1" x14ac:dyDescent="0.25">
      <c r="A11049" s="2" t="s">
        <v>8</v>
      </c>
      <c r="B11049" s="2" t="str">
        <f>HYPERLINK("http://ts.21cn.com/tousu/show/id/1342313","借款金额到账后直接扣除推荐服务用")</f>
        <v>借款金额到账后直接扣除推荐服务用</v>
      </c>
      <c r="C11049" s="2" t="s">
        <v>34</v>
      </c>
      <c r="D11049" s="2" t="s">
        <v>10</v>
      </c>
      <c r="E11049" s="2" t="str">
        <f>HYPERLINK("http://ts.21cn.com/tousu/show/id/1342313","http://ts.21cn.com/tousu/show/id/1342313")</f>
        <v>http://ts.21cn.com/tousu/show/id/1342313</v>
      </c>
      <c r="F11049" s="2" t="s">
        <v>11</v>
      </c>
      <c r="G11049" s="2" t="s">
        <v>22427</v>
      </c>
      <c r="H11049" s="2" t="s">
        <v>22428</v>
      </c>
    </row>
    <row r="11050" spans="1:8" ht="25.05" customHeight="1" x14ac:dyDescent="0.25">
      <c r="A11050" s="2" t="s">
        <v>8</v>
      </c>
      <c r="B11050" s="2" t="str">
        <f>HYPERLINK("http://ts.21cn.com/tousu/show/id/1342314","支付宝蚂蚁金服恶意！霸王条款！，未按照合同规定履行业务，强制行为")</f>
        <v>支付宝蚂蚁金服恶意！霸王条款！，未按照合同规定履行业务，强制行为</v>
      </c>
      <c r="C11050" s="2" t="s">
        <v>9</v>
      </c>
      <c r="D11050" s="2" t="s">
        <v>10</v>
      </c>
      <c r="E11050" s="2" t="str">
        <f>HYPERLINK("http://ts.21cn.com/tousu/show/id/1342314","http://ts.21cn.com/tousu/show/id/1342314")</f>
        <v>http://ts.21cn.com/tousu/show/id/1342314</v>
      </c>
      <c r="F11050" s="2" t="s">
        <v>11</v>
      </c>
      <c r="G11050" s="2" t="s">
        <v>22425</v>
      </c>
      <c r="H11050" s="2" t="s">
        <v>22426</v>
      </c>
    </row>
    <row r="11051" spans="1:8" ht="25.05" customHeight="1" x14ac:dyDescent="0.25">
      <c r="A11051" s="2" t="s">
        <v>8</v>
      </c>
      <c r="B11051" s="2" t="str">
        <f>HYPERLINK("http://ts.21cn.com/tousu/show/id/1342316","协商还款本金及相应合法利息")</f>
        <v>协商还款本金及相应合法利息</v>
      </c>
      <c r="C11051" s="2" t="s">
        <v>9</v>
      </c>
      <c r="D11051" s="2" t="s">
        <v>10</v>
      </c>
      <c r="E11051" s="2" t="str">
        <f>HYPERLINK("http://ts.21cn.com/tousu/show/id/1342316","http://ts.21cn.com/tousu/show/id/1342316")</f>
        <v>http://ts.21cn.com/tousu/show/id/1342316</v>
      </c>
      <c r="F11051" s="2" t="s">
        <v>11</v>
      </c>
      <c r="G11051" s="2" t="s">
        <v>22423</v>
      </c>
      <c r="H11051" s="2" t="s">
        <v>22424</v>
      </c>
    </row>
    <row r="11052" spans="1:8" ht="25.05" customHeight="1" x14ac:dyDescent="0.25">
      <c r="A11052" s="2" t="s">
        <v>8</v>
      </c>
      <c r="B11052" s="2" t="str">
        <f>HYPERLINK("http://ts.21cn.com/tousu/show/id/1342317","闪掌柜（原闪管家app）收取高额砍头息")</f>
        <v>闪掌柜（原闪管家app）收取高额砍头息</v>
      </c>
      <c r="C11052" s="2" t="s">
        <v>9</v>
      </c>
      <c r="D11052" s="2" t="s">
        <v>10</v>
      </c>
      <c r="E11052" s="2" t="str">
        <f>HYPERLINK("http://ts.21cn.com/tousu/show/id/1342317","http://ts.21cn.com/tousu/show/id/1342317")</f>
        <v>http://ts.21cn.com/tousu/show/id/1342317</v>
      </c>
      <c r="F11052" s="2" t="s">
        <v>11</v>
      </c>
      <c r="G11052" s="2" t="s">
        <v>22421</v>
      </c>
      <c r="H11052" s="2" t="s">
        <v>22422</v>
      </c>
    </row>
    <row r="11053" spans="1:8" ht="25.05" customHeight="1" x14ac:dyDescent="0.25">
      <c r="A11053" s="2" t="s">
        <v>8</v>
      </c>
      <c r="B11053" s="2" t="str">
        <f>HYPERLINK("http://ts.21cn.com/tousu/show/id/1342318","商家漏送少送，无处罚")</f>
        <v>商家漏送少送，无处罚</v>
      </c>
      <c r="C11053" s="2" t="s">
        <v>9</v>
      </c>
      <c r="D11053" s="2" t="s">
        <v>10</v>
      </c>
      <c r="E11053" s="2" t="str">
        <f>HYPERLINK("http://ts.21cn.com/tousu/show/id/1342318","http://ts.21cn.com/tousu/show/id/1342318")</f>
        <v>http://ts.21cn.com/tousu/show/id/1342318</v>
      </c>
      <c r="F11053" s="2" t="s">
        <v>11</v>
      </c>
      <c r="G11053" s="2" t="s">
        <v>22419</v>
      </c>
      <c r="H11053" s="2" t="s">
        <v>22420</v>
      </c>
    </row>
    <row r="11054" spans="1:8" ht="25.05" customHeight="1" x14ac:dyDescent="0.25">
      <c r="A11054" s="2" t="s">
        <v>8</v>
      </c>
      <c r="B11054" s="2" t="str">
        <f>HYPERLINK("http://ts.21cn.com/tousu/show/id/1342319","暴力催收威胁群发通讯录P裸照")</f>
        <v>暴力催收威胁群发通讯录P裸照</v>
      </c>
      <c r="C11054" s="2" t="s">
        <v>9</v>
      </c>
      <c r="D11054" s="2" t="s">
        <v>10</v>
      </c>
      <c r="E11054" s="2" t="str">
        <f>HYPERLINK("http://ts.21cn.com/tousu/show/id/1342319","http://ts.21cn.com/tousu/show/id/1342319")</f>
        <v>http://ts.21cn.com/tousu/show/id/1342319</v>
      </c>
      <c r="F11054" s="2" t="s">
        <v>11</v>
      </c>
      <c r="G11054" s="2" t="s">
        <v>22417</v>
      </c>
      <c r="H11054" s="2" t="s">
        <v>22418</v>
      </c>
    </row>
    <row r="11055" spans="1:8" ht="25.05" customHeight="1" x14ac:dyDescent="0.25">
      <c r="A11055" s="2" t="s">
        <v>8</v>
      </c>
      <c r="B11055" s="2" t="str">
        <f>HYPERLINK("http://ts.21cn.com/tousu/show/id/1342321","分期乐多次拒绝退货退款")</f>
        <v>分期乐多次拒绝退货退款</v>
      </c>
      <c r="C11055" s="2" t="s">
        <v>34</v>
      </c>
      <c r="D11055" s="2" t="s">
        <v>10</v>
      </c>
      <c r="E11055" s="2" t="str">
        <f>HYPERLINK("http://ts.21cn.com/tousu/show/id/1342321","http://ts.21cn.com/tousu/show/id/1342321")</f>
        <v>http://ts.21cn.com/tousu/show/id/1342321</v>
      </c>
      <c r="F11055" s="2" t="s">
        <v>11</v>
      </c>
      <c r="G11055" s="2" t="s">
        <v>22415</v>
      </c>
      <c r="H11055" s="2" t="s">
        <v>22416</v>
      </c>
    </row>
    <row r="11056" spans="1:8" ht="25.05" customHeight="1" x14ac:dyDescent="0.25">
      <c r="A11056" s="2" t="s">
        <v>8</v>
      </c>
      <c r="B11056" s="2" t="str">
        <f>HYPERLINK("http://ts.21cn.com/tousu/show/id/1342320","小通商城乱扣款")</f>
        <v>小通商城乱扣款</v>
      </c>
      <c r="C11056" s="2" t="s">
        <v>9</v>
      </c>
      <c r="D11056" s="2" t="s">
        <v>10</v>
      </c>
      <c r="E11056" s="2" t="str">
        <f>HYPERLINK("http://ts.21cn.com/tousu/show/id/1342320","http://ts.21cn.com/tousu/show/id/1342320")</f>
        <v>http://ts.21cn.com/tousu/show/id/1342320</v>
      </c>
      <c r="F11056" s="2" t="s">
        <v>11</v>
      </c>
      <c r="G11056" s="2" t="s">
        <v>22413</v>
      </c>
      <c r="H11056" s="2" t="s">
        <v>22414</v>
      </c>
    </row>
    <row r="11057" spans="1:8" ht="25.05" customHeight="1" x14ac:dyDescent="0.25">
      <c r="A11057" s="2" t="s">
        <v>8</v>
      </c>
      <c r="B11057" s="2" t="str">
        <f>HYPERLINK("http://ts.21cn.com/tousu/show/id/1342322","烟台交运莱州至北京路线司机不称职")</f>
        <v>烟台交运莱州至北京路线司机不称职</v>
      </c>
      <c r="C11057" s="2" t="s">
        <v>9</v>
      </c>
      <c r="D11057" s="2" t="s">
        <v>10</v>
      </c>
      <c r="E11057" s="2" t="str">
        <f>HYPERLINK("http://ts.21cn.com/tousu/show/id/1342322","http://ts.21cn.com/tousu/show/id/1342322")</f>
        <v>http://ts.21cn.com/tousu/show/id/1342322</v>
      </c>
      <c r="F11057" s="2" t="s">
        <v>11</v>
      </c>
      <c r="G11057" s="2" t="s">
        <v>22411</v>
      </c>
      <c r="H11057" s="2" t="s">
        <v>22412</v>
      </c>
    </row>
    <row r="11058" spans="1:8" ht="25.05" customHeight="1" x14ac:dyDescent="0.25">
      <c r="A11058" s="2" t="s">
        <v>8</v>
      </c>
      <c r="B11058" s="2" t="str">
        <f>HYPERLINK("http://ts.21cn.com/tousu/show/id/1342323","平安普惠暴力催收")</f>
        <v>平安普惠暴力催收</v>
      </c>
      <c r="C11058" s="2" t="s">
        <v>9</v>
      </c>
      <c r="D11058" s="2" t="s">
        <v>10</v>
      </c>
      <c r="E11058" s="2" t="str">
        <f>HYPERLINK("http://ts.21cn.com/tousu/show/id/1342323","http://ts.21cn.com/tousu/show/id/1342323")</f>
        <v>http://ts.21cn.com/tousu/show/id/1342323</v>
      </c>
      <c r="F11058" s="2" t="s">
        <v>11</v>
      </c>
      <c r="G11058" s="2" t="s">
        <v>22409</v>
      </c>
      <c r="H11058" s="2" t="s">
        <v>22410</v>
      </c>
    </row>
    <row r="11059" spans="1:8" ht="25.05" customHeight="1" x14ac:dyDescent="0.25">
      <c r="A11059" s="2" t="s">
        <v>8</v>
      </c>
      <c r="B11059" s="2" t="str">
        <f>HYPERLINK("http://ts.21cn.com/tousu/show/id/1342324","信用管家贷款时扣下高额通过费，")</f>
        <v>信用管家贷款时扣下高额通过费，</v>
      </c>
      <c r="C11059" s="2" t="s">
        <v>9</v>
      </c>
      <c r="D11059" s="2" t="s">
        <v>10</v>
      </c>
      <c r="E11059" s="2" t="str">
        <f>HYPERLINK("http://ts.21cn.com/tousu/show/id/1342324","http://ts.21cn.com/tousu/show/id/1342324")</f>
        <v>http://ts.21cn.com/tousu/show/id/1342324</v>
      </c>
      <c r="F11059" s="2" t="s">
        <v>11</v>
      </c>
      <c r="G11059" s="2" t="s">
        <v>22407</v>
      </c>
      <c r="H11059" s="2" t="s">
        <v>22408</v>
      </c>
    </row>
    <row r="11060" spans="1:8" ht="25.05" customHeight="1" x14ac:dyDescent="0.25">
      <c r="A11060" s="2" t="s">
        <v>8</v>
      </c>
      <c r="B11060" s="2" t="str">
        <f>HYPERLINK("http://ts.21cn.com/tousu/show/id/1342325","玖富万卡合同太高了")</f>
        <v>玖富万卡合同太高了</v>
      </c>
      <c r="C11060" s="2" t="s">
        <v>9</v>
      </c>
      <c r="D11060" s="2" t="s">
        <v>10</v>
      </c>
      <c r="E11060" s="2" t="str">
        <f>HYPERLINK("http://ts.21cn.com/tousu/show/id/1342325","http://ts.21cn.com/tousu/show/id/1342325")</f>
        <v>http://ts.21cn.com/tousu/show/id/1342325</v>
      </c>
      <c r="F11060" s="2" t="s">
        <v>11</v>
      </c>
      <c r="G11060" s="2" t="s">
        <v>22405</v>
      </c>
      <c r="H11060" s="2" t="s">
        <v>22406</v>
      </c>
    </row>
    <row r="11061" spans="1:8" ht="25.05" customHeight="1" x14ac:dyDescent="0.25">
      <c r="A11061" s="2" t="s">
        <v>8</v>
      </c>
      <c r="B11061" s="2" t="str">
        <f>HYPERLINK("http://ts.21cn.com/tousu/show/id/1342326","暴力催收威胁恐吓")</f>
        <v>暴力催收威胁恐吓</v>
      </c>
      <c r="C11061" s="2" t="s">
        <v>9</v>
      </c>
      <c r="D11061" s="2" t="s">
        <v>10</v>
      </c>
      <c r="E11061" s="2" t="str">
        <f>HYPERLINK("http://ts.21cn.com/tousu/show/id/1342326","http://ts.21cn.com/tousu/show/id/1342326")</f>
        <v>http://ts.21cn.com/tousu/show/id/1342326</v>
      </c>
      <c r="F11061" s="2" t="s">
        <v>11</v>
      </c>
      <c r="G11061" s="2" t="s">
        <v>22403</v>
      </c>
      <c r="H11061" s="2" t="s">
        <v>22404</v>
      </c>
    </row>
    <row r="11062" spans="1:8" ht="25.05" customHeight="1" x14ac:dyDescent="0.25">
      <c r="A11062" s="2" t="s">
        <v>8</v>
      </c>
      <c r="B11062" s="2" t="str">
        <f>HYPERLINK("http://ts.21cn.com/tousu/show/id/1342327","拍拍贷平台冒充催收恐吓威胁本人")</f>
        <v>拍拍贷平台冒充催收恐吓威胁本人</v>
      </c>
      <c r="C11062" s="2" t="s">
        <v>9</v>
      </c>
      <c r="D11062" s="2" t="s">
        <v>10</v>
      </c>
      <c r="E11062" s="2" t="str">
        <f>HYPERLINK("http://ts.21cn.com/tousu/show/id/1342327","http://ts.21cn.com/tousu/show/id/1342327")</f>
        <v>http://ts.21cn.com/tousu/show/id/1342327</v>
      </c>
      <c r="F11062" s="2" t="s">
        <v>11</v>
      </c>
      <c r="G11062" s="2" t="s">
        <v>22401</v>
      </c>
      <c r="H11062" s="2" t="s">
        <v>22402</v>
      </c>
    </row>
    <row r="11063" spans="1:8" ht="25.05" customHeight="1" x14ac:dyDescent="0.25">
      <c r="A11063" s="2" t="s">
        <v>8</v>
      </c>
      <c r="B11063" s="2" t="str">
        <f>HYPERLINK("http://ts.21cn.com/tousu/show/id/1342328","短信轰炸联系人，暴力催收")</f>
        <v>短信轰炸联系人，暴力催收</v>
      </c>
      <c r="C11063" s="2" t="s">
        <v>9</v>
      </c>
      <c r="D11063" s="2" t="s">
        <v>10</v>
      </c>
      <c r="E11063" s="2" t="str">
        <f>HYPERLINK("http://ts.21cn.com/tousu/show/id/1342328","http://ts.21cn.com/tousu/show/id/1342328")</f>
        <v>http://ts.21cn.com/tousu/show/id/1342328</v>
      </c>
      <c r="F11063" s="2" t="s">
        <v>11</v>
      </c>
      <c r="G11063" s="2" t="s">
        <v>22399</v>
      </c>
      <c r="H11063" s="2" t="s">
        <v>22400</v>
      </c>
    </row>
    <row r="11064" spans="1:8" ht="25.05" customHeight="1" x14ac:dyDescent="0.25">
      <c r="A11064" s="2" t="s">
        <v>8</v>
      </c>
      <c r="B11064" s="2" t="str">
        <f>HYPERLINK("http://ts.21cn.com/tousu/show/id/1342329","未下款却要你还款")</f>
        <v>未下款却要你还款</v>
      </c>
      <c r="C11064" s="2" t="s">
        <v>9</v>
      </c>
      <c r="D11064" s="2" t="s">
        <v>10</v>
      </c>
      <c r="E11064" s="2" t="str">
        <f>HYPERLINK("http://ts.21cn.com/tousu/show/id/1342329","http://ts.21cn.com/tousu/show/id/1342329")</f>
        <v>http://ts.21cn.com/tousu/show/id/1342329</v>
      </c>
      <c r="F11064" s="2" t="s">
        <v>11</v>
      </c>
      <c r="G11064" s="2" t="s">
        <v>22397</v>
      </c>
      <c r="H11064" s="2" t="s">
        <v>22398</v>
      </c>
    </row>
    <row r="11065" spans="1:8" ht="25.05" customHeight="1" x14ac:dyDescent="0.25">
      <c r="A11065" s="2" t="s">
        <v>8</v>
      </c>
      <c r="B11065" s="2" t="str">
        <f>HYPERLINK("http://ts.21cn.com/tousu/show/id/1342330","捷信高利贷")</f>
        <v>捷信高利贷</v>
      </c>
      <c r="C11065" s="2" t="s">
        <v>9</v>
      </c>
      <c r="D11065" s="2" t="s">
        <v>10</v>
      </c>
      <c r="E11065" s="2" t="str">
        <f>HYPERLINK("http://ts.21cn.com/tousu/show/id/1342330","http://ts.21cn.com/tousu/show/id/1342330")</f>
        <v>http://ts.21cn.com/tousu/show/id/1342330</v>
      </c>
      <c r="F11065" s="2" t="s">
        <v>11</v>
      </c>
      <c r="G11065" s="2" t="s">
        <v>22395</v>
      </c>
      <c r="H11065" s="2" t="s">
        <v>22396</v>
      </c>
    </row>
    <row r="11066" spans="1:8" ht="25.05" customHeight="1" x14ac:dyDescent="0.25">
      <c r="A11066" s="2" t="s">
        <v>8</v>
      </c>
      <c r="B11066" s="2" t="str">
        <f>HYPERLINK("http://ts.21cn.com/tousu/show/id/1342302","立借高利贷套路贷")</f>
        <v>立借高利贷套路贷</v>
      </c>
      <c r="C11066" s="2" t="s">
        <v>9</v>
      </c>
      <c r="D11066" s="2" t="s">
        <v>10</v>
      </c>
      <c r="E11066" s="2" t="str">
        <f>HYPERLINK("http://ts.21cn.com/tousu/show/id/1342302","http://ts.21cn.com/tousu/show/id/1342302")</f>
        <v>http://ts.21cn.com/tousu/show/id/1342302</v>
      </c>
      <c r="F11066" s="2" t="s">
        <v>11</v>
      </c>
      <c r="G11066" s="2" t="s">
        <v>22393</v>
      </c>
      <c r="H11066" s="2" t="s">
        <v>22394</v>
      </c>
    </row>
    <row r="11067" spans="1:8" ht="25.05" customHeight="1" x14ac:dyDescent="0.25">
      <c r="A11067" s="2" t="s">
        <v>8</v>
      </c>
      <c r="B11067" s="2" t="str">
        <f>HYPERLINK("http://ts.21cn.com/tousu/show/id/1342331","投诉中腾信未逾期的情况下骚扰和威胁")</f>
        <v>投诉中腾信未逾期的情况下骚扰和威胁</v>
      </c>
      <c r="C11067" s="2" t="s">
        <v>9</v>
      </c>
      <c r="D11067" s="2" t="s">
        <v>10</v>
      </c>
      <c r="E11067" s="2" t="str">
        <f>HYPERLINK("http://ts.21cn.com/tousu/show/id/1342331","http://ts.21cn.com/tousu/show/id/1342331")</f>
        <v>http://ts.21cn.com/tousu/show/id/1342331</v>
      </c>
      <c r="F11067" s="2" t="s">
        <v>11</v>
      </c>
      <c r="G11067" s="2" t="s">
        <v>22391</v>
      </c>
      <c r="H11067" s="2" t="s">
        <v>22392</v>
      </c>
    </row>
    <row r="11068" spans="1:8" ht="25.05" customHeight="1" x14ac:dyDescent="0.25">
      <c r="A11068" s="2" t="s">
        <v>8</v>
      </c>
      <c r="B11068" s="2" t="str">
        <f>HYPERLINK("http://ts.21cn.com/tousu/show/id/1342332","微信狐狸")</f>
        <v>微信狐狸</v>
      </c>
      <c r="C11068" s="2" t="s">
        <v>34</v>
      </c>
      <c r="D11068" s="2" t="s">
        <v>10</v>
      </c>
      <c r="E11068" s="2" t="str">
        <f>HYPERLINK("http://ts.21cn.com/tousu/show/id/1342332","http://ts.21cn.com/tousu/show/id/1342332")</f>
        <v>http://ts.21cn.com/tousu/show/id/1342332</v>
      </c>
      <c r="F11068" s="2" t="s">
        <v>11</v>
      </c>
      <c r="G11068" s="2" t="s">
        <v>22389</v>
      </c>
      <c r="H11068" s="2" t="s">
        <v>22390</v>
      </c>
    </row>
    <row r="11069" spans="1:8" ht="25.05" customHeight="1" x14ac:dyDescent="0.25">
      <c r="A11069" s="2" t="s">
        <v>8</v>
      </c>
      <c r="B11069" s="2" t="str">
        <f>HYPERLINK("http://ts.21cn.com/tousu/show/id/1342285","找靓机买假货")</f>
        <v>找靓机买假货</v>
      </c>
      <c r="C11069" s="2" t="s">
        <v>9</v>
      </c>
      <c r="D11069" s="2" t="s">
        <v>10</v>
      </c>
      <c r="E11069" s="2" t="str">
        <f>HYPERLINK("http://ts.21cn.com/tousu/show/id/1342285","http://ts.21cn.com/tousu/show/id/1342285")</f>
        <v>http://ts.21cn.com/tousu/show/id/1342285</v>
      </c>
      <c r="F11069" s="2" t="s">
        <v>11</v>
      </c>
      <c r="G11069" s="2" t="s">
        <v>22387</v>
      </c>
      <c r="H11069" s="2" t="s">
        <v>22388</v>
      </c>
    </row>
    <row r="11070" spans="1:8" ht="25.05" customHeight="1" x14ac:dyDescent="0.25">
      <c r="A11070" s="2" t="s">
        <v>8</v>
      </c>
      <c r="B11070" s="2" t="str">
        <f>HYPERLINK("http://ts.21cn.com/tousu/show/id/1342333","痘博士诱骗客户贷款，退款后不进行退款")</f>
        <v>痘博士诱骗客户贷款，退款后不进行退款</v>
      </c>
      <c r="C11070" s="2" t="s">
        <v>9</v>
      </c>
      <c r="D11070" s="2" t="s">
        <v>10</v>
      </c>
      <c r="E11070" s="2" t="str">
        <f>HYPERLINK("http://ts.21cn.com/tousu/show/id/1342333","http://ts.21cn.com/tousu/show/id/1342333")</f>
        <v>http://ts.21cn.com/tousu/show/id/1342333</v>
      </c>
      <c r="F11070" s="2" t="s">
        <v>11</v>
      </c>
      <c r="G11070" s="2" t="s">
        <v>22385</v>
      </c>
      <c r="H11070" s="2" t="s">
        <v>22386</v>
      </c>
    </row>
    <row r="11071" spans="1:8" ht="25.05" customHeight="1" x14ac:dyDescent="0.25">
      <c r="A11071" s="2" t="s">
        <v>8</v>
      </c>
      <c r="B11071" s="2" t="str">
        <f>HYPERLINK("http://ts.21cn.com/tousu/show/id/1342334","未到期中腾信提前暴力催收，恐吓威胁")</f>
        <v>未到期中腾信提前暴力催收，恐吓威胁</v>
      </c>
      <c r="C11071" s="2" t="s">
        <v>9</v>
      </c>
      <c r="D11071" s="2" t="s">
        <v>10</v>
      </c>
      <c r="E11071" s="2" t="str">
        <f>HYPERLINK("http://ts.21cn.com/tousu/show/id/1342334","http://ts.21cn.com/tousu/show/id/1342334")</f>
        <v>http://ts.21cn.com/tousu/show/id/1342334</v>
      </c>
      <c r="F11071" s="2" t="s">
        <v>11</v>
      </c>
      <c r="G11071" s="2" t="s">
        <v>22383</v>
      </c>
      <c r="H11071" s="2" t="s">
        <v>22384</v>
      </c>
    </row>
    <row r="11072" spans="1:8" ht="25.05" customHeight="1" x14ac:dyDescent="0.25">
      <c r="A11072" s="2" t="s">
        <v>8</v>
      </c>
      <c r="B11072" s="2" t="str">
        <f>HYPERLINK("http://ts.21cn.com/tousu/show/id/1124191","捷信高利贷")</f>
        <v>捷信高利贷</v>
      </c>
      <c r="C11072" s="2" t="s">
        <v>9</v>
      </c>
      <c r="D11072" s="2" t="s">
        <v>10</v>
      </c>
      <c r="E11072" s="2" t="str">
        <f>HYPERLINK("http://ts.21cn.com/tousu/show/id/1124191","http://ts.21cn.com/tousu/show/id/1124191")</f>
        <v>http://ts.21cn.com/tousu/show/id/1124191</v>
      </c>
      <c r="F11072" s="2" t="s">
        <v>11</v>
      </c>
      <c r="G11072" s="2" t="s">
        <v>22381</v>
      </c>
      <c r="H11072" s="2" t="s">
        <v>22382</v>
      </c>
    </row>
    <row r="11073" spans="1:8" ht="25.05" customHeight="1" x14ac:dyDescent="0.25">
      <c r="A11073" s="2" t="s">
        <v>8</v>
      </c>
      <c r="B11073" s="2" t="str">
        <f>HYPERLINK("http://ts.21cn.com/tousu/show/id/1342335","玖富万卡高利贷，阴阳合同")</f>
        <v>玖富万卡高利贷，阴阳合同</v>
      </c>
      <c r="C11073" s="2" t="s">
        <v>9</v>
      </c>
      <c r="D11073" s="2" t="s">
        <v>10</v>
      </c>
      <c r="E11073" s="2" t="str">
        <f>HYPERLINK("http://ts.21cn.com/tousu/show/id/1342335","http://ts.21cn.com/tousu/show/id/1342335")</f>
        <v>http://ts.21cn.com/tousu/show/id/1342335</v>
      </c>
      <c r="F11073" s="2" t="s">
        <v>11</v>
      </c>
      <c r="G11073" s="2" t="s">
        <v>22379</v>
      </c>
      <c r="H11073" s="2" t="s">
        <v>22380</v>
      </c>
    </row>
    <row r="11074" spans="1:8" ht="25.05" customHeight="1" x14ac:dyDescent="0.25">
      <c r="A11074" s="2" t="s">
        <v>8</v>
      </c>
      <c r="B11074" s="2" t="str">
        <f>HYPERLINK("http://ts.21cn.com/tousu/show/id/1342336","好分期乱收费")</f>
        <v>好分期乱收费</v>
      </c>
      <c r="C11074" s="2" t="s">
        <v>9</v>
      </c>
      <c r="D11074" s="2" t="s">
        <v>10</v>
      </c>
      <c r="E11074" s="2" t="str">
        <f>HYPERLINK("http://ts.21cn.com/tousu/show/id/1342336","http://ts.21cn.com/tousu/show/id/1342336")</f>
        <v>http://ts.21cn.com/tousu/show/id/1342336</v>
      </c>
      <c r="F11074" s="2" t="s">
        <v>11</v>
      </c>
      <c r="G11074" s="2" t="s">
        <v>22377</v>
      </c>
      <c r="H11074" s="2" t="s">
        <v>22378</v>
      </c>
    </row>
    <row r="11075" spans="1:8" ht="25.05" customHeight="1" x14ac:dyDescent="0.25">
      <c r="A11075" s="2" t="s">
        <v>8</v>
      </c>
      <c r="B11075" s="2" t="str">
        <f>HYPERLINK("http://ts.21cn.com/tousu/show/id/1342337","豹子贷恶意扣款了250元")</f>
        <v>豹子贷恶意扣款了250元</v>
      </c>
      <c r="C11075" s="2" t="s">
        <v>9</v>
      </c>
      <c r="D11075" s="2" t="s">
        <v>10</v>
      </c>
      <c r="E11075" s="2" t="str">
        <f>HYPERLINK("http://ts.21cn.com/tousu/show/id/1342337","http://ts.21cn.com/tousu/show/id/1342337")</f>
        <v>http://ts.21cn.com/tousu/show/id/1342337</v>
      </c>
      <c r="F11075" s="2" t="s">
        <v>11</v>
      </c>
      <c r="G11075" s="2" t="s">
        <v>22375</v>
      </c>
      <c r="H11075" s="2" t="s">
        <v>22376</v>
      </c>
    </row>
    <row r="11076" spans="1:8" ht="25.05" customHeight="1" x14ac:dyDescent="0.25">
      <c r="A11076" s="2" t="s">
        <v>8</v>
      </c>
      <c r="B11076" s="2" t="str">
        <f>HYPERLINK("http://ts.21cn.com/tousu/show/id/1342338","佰仟金融威胁")</f>
        <v>佰仟金融威胁</v>
      </c>
      <c r="C11076" s="2" t="s">
        <v>9</v>
      </c>
      <c r="D11076" s="2" t="s">
        <v>10</v>
      </c>
      <c r="E11076" s="2" t="str">
        <f>HYPERLINK("http://ts.21cn.com/tousu/show/id/1342338","http://ts.21cn.com/tousu/show/id/1342338")</f>
        <v>http://ts.21cn.com/tousu/show/id/1342338</v>
      </c>
      <c r="F11076" s="2" t="s">
        <v>11</v>
      </c>
      <c r="G11076" s="2" t="s">
        <v>22373</v>
      </c>
      <c r="H11076" s="2" t="s">
        <v>22374</v>
      </c>
    </row>
    <row r="11077" spans="1:8" ht="25.05" customHeight="1" x14ac:dyDescent="0.25">
      <c r="A11077" s="2" t="s">
        <v>8</v>
      </c>
      <c r="B11077" s="2" t="str">
        <f>HYPERLINK("http://ts.21cn.com/tousu/show/id/1342339","盛pos首笔186元欢乐返激活钱不退")</f>
        <v>盛pos首笔186元欢乐返激活钱不退</v>
      </c>
      <c r="C11077" s="2" t="s">
        <v>9</v>
      </c>
      <c r="D11077" s="2" t="s">
        <v>10</v>
      </c>
      <c r="E11077" s="2" t="str">
        <f>HYPERLINK("http://ts.21cn.com/tousu/show/id/1342339","http://ts.21cn.com/tousu/show/id/1342339")</f>
        <v>http://ts.21cn.com/tousu/show/id/1342339</v>
      </c>
      <c r="F11077" s="2" t="s">
        <v>11</v>
      </c>
      <c r="G11077" s="2" t="s">
        <v>22371</v>
      </c>
      <c r="H11077" s="2" t="s">
        <v>22372</v>
      </c>
    </row>
    <row r="11078" spans="1:8" ht="25.05" customHeight="1" x14ac:dyDescent="0.25">
      <c r="A11078" s="2" t="s">
        <v>8</v>
      </c>
      <c r="B11078" s="2" t="str">
        <f>HYPERLINK("http://ts.21cn.com/tousu/show/id/1342341","黑心的维新金科金融公司")</f>
        <v>黑心的维新金科金融公司</v>
      </c>
      <c r="C11078" s="2" t="s">
        <v>9</v>
      </c>
      <c r="D11078" s="2" t="s">
        <v>10</v>
      </c>
      <c r="E11078" s="2" t="str">
        <f>HYPERLINK("http://ts.21cn.com/tousu/show/id/1342341","http://ts.21cn.com/tousu/show/id/1342341")</f>
        <v>http://ts.21cn.com/tousu/show/id/1342341</v>
      </c>
      <c r="F11078" s="2" t="s">
        <v>11</v>
      </c>
      <c r="G11078" s="2" t="s">
        <v>22369</v>
      </c>
      <c r="H11078" s="2" t="s">
        <v>22370</v>
      </c>
    </row>
    <row r="11079" spans="1:8" ht="25.05" customHeight="1" x14ac:dyDescent="0.25">
      <c r="A11079" s="2" t="s">
        <v>8</v>
      </c>
      <c r="B11079" s="2" t="str">
        <f>HYPERLINK("http://ts.21cn.com/tousu/show/id/1342340","交易猫商品信息不完善买后才知道结果商家拖欠退款人工客服也没有！")</f>
        <v>交易猫商品信息不完善买后才知道结果商家拖欠退款人工客服也没有！</v>
      </c>
      <c r="C11079" s="2" t="s">
        <v>9</v>
      </c>
      <c r="D11079" s="2" t="s">
        <v>10</v>
      </c>
      <c r="E11079" s="2" t="str">
        <f>HYPERLINK("http://ts.21cn.com/tousu/show/id/1342340","http://ts.21cn.com/tousu/show/id/1342340")</f>
        <v>http://ts.21cn.com/tousu/show/id/1342340</v>
      </c>
      <c r="F11079" s="2" t="s">
        <v>11</v>
      </c>
      <c r="G11079" s="2" t="s">
        <v>22367</v>
      </c>
      <c r="H11079" s="2" t="s">
        <v>22368</v>
      </c>
    </row>
    <row r="11080" spans="1:8" ht="25.05" customHeight="1" x14ac:dyDescent="0.25">
      <c r="A11080" s="2" t="s">
        <v>8</v>
      </c>
      <c r="B11080" s="2" t="str">
        <f>HYPERLINK("http://ts.21cn.com/tousu/show/id/1342268","停止骚扰，停止威胁停止一切恐吓行动")</f>
        <v>停止骚扰，停止威胁停止一切恐吓行动</v>
      </c>
      <c r="C11080" s="2" t="s">
        <v>9</v>
      </c>
      <c r="D11080" s="2" t="s">
        <v>10</v>
      </c>
      <c r="E11080" s="2" t="str">
        <f>HYPERLINK("http://ts.21cn.com/tousu/show/id/1342268","http://ts.21cn.com/tousu/show/id/1342268")</f>
        <v>http://ts.21cn.com/tousu/show/id/1342268</v>
      </c>
      <c r="F11080" s="2" t="s">
        <v>11</v>
      </c>
      <c r="G11080" s="2" t="s">
        <v>22365</v>
      </c>
      <c r="H11080" s="2" t="s">
        <v>22366</v>
      </c>
    </row>
    <row r="11081" spans="1:8" ht="25.05" customHeight="1" x14ac:dyDescent="0.25">
      <c r="A11081" s="2" t="s">
        <v>8</v>
      </c>
      <c r="B11081" s="2" t="str">
        <f>HYPERLINK("http://ts.21cn.com/tousu/show/id/1342062","香港航空退机票，局势动荡人身安全不能保证")</f>
        <v>香港航空退机票，局势动荡人身安全不能保证</v>
      </c>
      <c r="C11081" s="2" t="s">
        <v>9</v>
      </c>
      <c r="D11081" s="2" t="s">
        <v>10</v>
      </c>
      <c r="E11081" s="2" t="str">
        <f>HYPERLINK("http://ts.21cn.com/tousu/show/id/1342062","http://ts.21cn.com/tousu/show/id/1342062")</f>
        <v>http://ts.21cn.com/tousu/show/id/1342062</v>
      </c>
      <c r="F11081" s="2" t="s">
        <v>11</v>
      </c>
      <c r="G11081" s="2" t="s">
        <v>22363</v>
      </c>
      <c r="H11081" s="2" t="s">
        <v>22364</v>
      </c>
    </row>
    <row r="11082" spans="1:8" ht="25.05" customHeight="1" x14ac:dyDescent="0.25">
      <c r="A11082" s="2" t="s">
        <v>8</v>
      </c>
      <c r="B11082" s="2" t="str">
        <f>HYPERLINK("http://ts.21cn.com/tousu/show/id/1342342","小花钱包暴力催收")</f>
        <v>小花钱包暴力催收</v>
      </c>
      <c r="C11082" s="2" t="s">
        <v>9</v>
      </c>
      <c r="D11082" s="2" t="s">
        <v>10</v>
      </c>
      <c r="E11082" s="2" t="str">
        <f>HYPERLINK("http://ts.21cn.com/tousu/show/id/1342342","http://ts.21cn.com/tousu/show/id/1342342")</f>
        <v>http://ts.21cn.com/tousu/show/id/1342342</v>
      </c>
      <c r="F11082" s="2" t="s">
        <v>11</v>
      </c>
      <c r="G11082" s="2" t="s">
        <v>22361</v>
      </c>
      <c r="H11082" s="2" t="s">
        <v>22362</v>
      </c>
    </row>
    <row r="11083" spans="1:8" ht="25.05" customHeight="1" x14ac:dyDescent="0.25">
      <c r="A11083" s="2" t="s">
        <v>8</v>
      </c>
      <c r="B11083" s="2" t="str">
        <f>HYPERLINK("http://ts.21cn.com/tousu/show/id/1342343","钱袋宝不明扣费")</f>
        <v>钱袋宝不明扣费</v>
      </c>
      <c r="C11083" s="2" t="s">
        <v>34</v>
      </c>
      <c r="D11083" s="2" t="s">
        <v>10</v>
      </c>
      <c r="E11083" s="2" t="str">
        <f>HYPERLINK("http://ts.21cn.com/tousu/show/id/1342343","http://ts.21cn.com/tousu/show/id/1342343")</f>
        <v>http://ts.21cn.com/tousu/show/id/1342343</v>
      </c>
      <c r="F11083" s="2" t="s">
        <v>11</v>
      </c>
      <c r="G11083" s="2" t="s">
        <v>22359</v>
      </c>
      <c r="H11083" s="2" t="s">
        <v>22360</v>
      </c>
    </row>
    <row r="11084" spans="1:8" ht="25.05" customHeight="1" x14ac:dyDescent="0.25">
      <c r="A11084" s="2" t="s">
        <v>8</v>
      </c>
      <c r="B11084" s="2" t="str">
        <f>HYPERLINK("http://ts.21cn.com/tousu/show/id/1342344","你我贷电话骚扰")</f>
        <v>你我贷电话骚扰</v>
      </c>
      <c r="C11084" s="2" t="s">
        <v>9</v>
      </c>
      <c r="D11084" s="2" t="s">
        <v>10</v>
      </c>
      <c r="E11084" s="2" t="str">
        <f>HYPERLINK("http://ts.21cn.com/tousu/show/id/1342344","http://ts.21cn.com/tousu/show/id/1342344")</f>
        <v>http://ts.21cn.com/tousu/show/id/1342344</v>
      </c>
      <c r="F11084" s="2" t="s">
        <v>11</v>
      </c>
      <c r="G11084" s="2" t="s">
        <v>22357</v>
      </c>
      <c r="H11084" s="2" t="s">
        <v>22358</v>
      </c>
    </row>
    <row r="11085" spans="1:8" ht="25.05" customHeight="1" x14ac:dyDescent="0.25">
      <c r="A11085" s="2" t="s">
        <v>8</v>
      </c>
      <c r="B11085" s="2" t="str">
        <f>HYPERLINK("http://ts.21cn.com/tousu/show/id/1342348","恐吓七天利息将近一千")</f>
        <v>恐吓七天利息将近一千</v>
      </c>
      <c r="C11085" s="2" t="s">
        <v>9</v>
      </c>
      <c r="D11085" s="2" t="s">
        <v>10</v>
      </c>
      <c r="E11085" s="2" t="str">
        <f>HYPERLINK("http://ts.21cn.com/tousu/show/id/1342348","http://ts.21cn.com/tousu/show/id/1342348")</f>
        <v>http://ts.21cn.com/tousu/show/id/1342348</v>
      </c>
      <c r="F11085" s="2" t="s">
        <v>11</v>
      </c>
      <c r="G11085" s="2" t="s">
        <v>22355</v>
      </c>
      <c r="H11085" s="2" t="s">
        <v>22356</v>
      </c>
    </row>
    <row r="11086" spans="1:8" ht="25.05" customHeight="1" x14ac:dyDescent="0.25">
      <c r="A11086" s="2" t="s">
        <v>8</v>
      </c>
      <c r="B11086" s="2" t="str">
        <f>HYPERLINK("http://ts.21cn.com/tousu/show/id/1342347","信用飞砍头息扣高额保险费")</f>
        <v>信用飞砍头息扣高额保险费</v>
      </c>
      <c r="C11086" s="2" t="s">
        <v>34</v>
      </c>
      <c r="D11086" s="2" t="s">
        <v>10</v>
      </c>
      <c r="E11086" s="2" t="str">
        <f>HYPERLINK("http://ts.21cn.com/tousu/show/id/1342347","http://ts.21cn.com/tousu/show/id/1342347")</f>
        <v>http://ts.21cn.com/tousu/show/id/1342347</v>
      </c>
      <c r="F11086" s="2" t="s">
        <v>11</v>
      </c>
      <c r="G11086" s="2" t="s">
        <v>22352</v>
      </c>
      <c r="H11086" s="2" t="s">
        <v>22353</v>
      </c>
    </row>
    <row r="11087" spans="1:8" ht="25.05" customHeight="1" x14ac:dyDescent="0.25">
      <c r="A11087" s="2" t="s">
        <v>8</v>
      </c>
      <c r="B11087" s="2" t="str">
        <f>HYPERLINK("http://ts.21cn.com/tousu/show/id/1342346","呗呗分期2天高炮，到期日当天就爆通讯录")</f>
        <v>呗呗分期2天高炮，到期日当天就爆通讯录</v>
      </c>
      <c r="C11087" s="2" t="s">
        <v>9</v>
      </c>
      <c r="D11087" s="2" t="s">
        <v>10</v>
      </c>
      <c r="E11087" s="2" t="str">
        <f>HYPERLINK("http://ts.21cn.com/tousu/show/id/1342346","http://ts.21cn.com/tousu/show/id/1342346")</f>
        <v>http://ts.21cn.com/tousu/show/id/1342346</v>
      </c>
      <c r="F11087" s="2" t="s">
        <v>11</v>
      </c>
      <c r="G11087" s="2" t="s">
        <v>22352</v>
      </c>
      <c r="H11087" s="2" t="s">
        <v>22354</v>
      </c>
    </row>
    <row r="11088" spans="1:8" ht="25.05" customHeight="1" x14ac:dyDescent="0.25">
      <c r="A11088" s="2" t="s">
        <v>8</v>
      </c>
      <c r="B11088" s="2" t="str">
        <f>HYPERLINK("http://ts.21cn.com/tousu/show/id/1342349","你我贷高额服务费，畸高年利率")</f>
        <v>你我贷高额服务费，畸高年利率</v>
      </c>
      <c r="C11088" s="2" t="s">
        <v>9</v>
      </c>
      <c r="D11088" s="2" t="s">
        <v>10</v>
      </c>
      <c r="E11088" s="2" t="str">
        <f>HYPERLINK("http://ts.21cn.com/tousu/show/id/1342349","http://ts.21cn.com/tousu/show/id/1342349")</f>
        <v>http://ts.21cn.com/tousu/show/id/1342349</v>
      </c>
      <c r="F11088" s="2" t="s">
        <v>11</v>
      </c>
      <c r="G11088" s="2" t="s">
        <v>22350</v>
      </c>
      <c r="H11088" s="2" t="s">
        <v>22351</v>
      </c>
    </row>
    <row r="11089" spans="1:8" ht="25.05" customHeight="1" x14ac:dyDescent="0.25">
      <c r="A11089" s="2" t="s">
        <v>8</v>
      </c>
      <c r="B11089" s="2" t="str">
        <f>HYPERLINK("http://ts.21cn.com/tousu/show/id/1342350","上海造艺网络技术有限公司旗下迅付泸快百事普惠恶意扣款299元")</f>
        <v>上海造艺网络技术有限公司旗下迅付泸快百事普惠恶意扣款299元</v>
      </c>
      <c r="C11089" s="2" t="s">
        <v>9</v>
      </c>
      <c r="D11089" s="2" t="s">
        <v>10</v>
      </c>
      <c r="E11089" s="2" t="str">
        <f>HYPERLINK("http://ts.21cn.com/tousu/show/id/1342350","http://ts.21cn.com/tousu/show/id/1342350")</f>
        <v>http://ts.21cn.com/tousu/show/id/1342350</v>
      </c>
      <c r="F11089" s="2" t="s">
        <v>11</v>
      </c>
      <c r="G11089" s="2" t="s">
        <v>22348</v>
      </c>
      <c r="H11089" s="2" t="s">
        <v>22349</v>
      </c>
    </row>
    <row r="11090" spans="1:8" ht="25.05" customHeight="1" x14ac:dyDescent="0.25">
      <c r="A11090" s="2" t="s">
        <v>8</v>
      </c>
      <c r="B11090" s="2" t="str">
        <f>HYPERLINK("http://ts.21cn.com/tousu/show/id/1342351","通联沪快未经同意私自扣款")</f>
        <v>通联沪快未经同意私自扣款</v>
      </c>
      <c r="C11090" s="2" t="s">
        <v>9</v>
      </c>
      <c r="D11090" s="2" t="s">
        <v>10</v>
      </c>
      <c r="E11090" s="2" t="str">
        <f>HYPERLINK("http://ts.21cn.com/tousu/show/id/1342351","http://ts.21cn.com/tousu/show/id/1342351")</f>
        <v>http://ts.21cn.com/tousu/show/id/1342351</v>
      </c>
      <c r="F11090" s="2" t="s">
        <v>11</v>
      </c>
      <c r="G11090" s="2" t="s">
        <v>22346</v>
      </c>
      <c r="H11090" s="2" t="s">
        <v>22347</v>
      </c>
    </row>
    <row r="11091" spans="1:8" ht="25.05" customHeight="1" x14ac:dyDescent="0.25">
      <c r="A11091" s="2" t="s">
        <v>8</v>
      </c>
      <c r="B11091" s="2" t="str">
        <f>HYPERLINK("http://ts.21cn.com/tousu/show/id/1342353","好分期乱收费")</f>
        <v>好分期乱收费</v>
      </c>
      <c r="C11091" s="2" t="s">
        <v>9</v>
      </c>
      <c r="D11091" s="2" t="s">
        <v>10</v>
      </c>
      <c r="E11091" s="2" t="str">
        <f>HYPERLINK("http://ts.21cn.com/tousu/show/id/1342353","http://ts.21cn.com/tousu/show/id/1342353")</f>
        <v>http://ts.21cn.com/tousu/show/id/1342353</v>
      </c>
      <c r="F11091" s="2" t="s">
        <v>11</v>
      </c>
      <c r="G11091" s="2" t="s">
        <v>22344</v>
      </c>
      <c r="H11091" s="2" t="s">
        <v>22345</v>
      </c>
    </row>
    <row r="11092" spans="1:8" ht="25.05" customHeight="1" x14ac:dyDescent="0.25">
      <c r="A11092" s="2" t="s">
        <v>8</v>
      </c>
      <c r="B11092" s="2" t="str">
        <f>HYPERLINK("http://ts.21cn.com/tousu/show/id/1342352","珍爱网未产生实质性服务要求退费")</f>
        <v>珍爱网未产生实质性服务要求退费</v>
      </c>
      <c r="C11092" s="2" t="s">
        <v>9</v>
      </c>
      <c r="D11092" s="2" t="s">
        <v>10</v>
      </c>
      <c r="E11092" s="2" t="str">
        <f>HYPERLINK("http://ts.21cn.com/tousu/show/id/1342352","http://ts.21cn.com/tousu/show/id/1342352")</f>
        <v>http://ts.21cn.com/tousu/show/id/1342352</v>
      </c>
      <c r="F11092" s="2" t="s">
        <v>11</v>
      </c>
      <c r="G11092" s="2" t="s">
        <v>22342</v>
      </c>
      <c r="H11092" s="2" t="s">
        <v>22343</v>
      </c>
    </row>
    <row r="11093" spans="1:8" ht="25.05" customHeight="1" x14ac:dyDescent="0.25">
      <c r="A11093" s="2" t="s">
        <v>8</v>
      </c>
      <c r="B11093" s="2" t="str">
        <f>HYPERLINK("http://ts.21cn.com/tousu/show/id/1342354","电信宽带在欠费停机的情况下累积产生费用")</f>
        <v>电信宽带在欠费停机的情况下累积产生费用</v>
      </c>
      <c r="C11093" s="2" t="s">
        <v>9</v>
      </c>
      <c r="D11093" s="2" t="s">
        <v>10</v>
      </c>
      <c r="E11093" s="2" t="str">
        <f>HYPERLINK("http://ts.21cn.com/tousu/show/id/1342354","http://ts.21cn.com/tousu/show/id/1342354")</f>
        <v>http://ts.21cn.com/tousu/show/id/1342354</v>
      </c>
      <c r="F11093" s="2" t="s">
        <v>11</v>
      </c>
      <c r="G11093" s="2" t="s">
        <v>22340</v>
      </c>
      <c r="H11093" s="2" t="s">
        <v>22341</v>
      </c>
    </row>
    <row r="11094" spans="1:8" ht="25.05" customHeight="1" x14ac:dyDescent="0.25">
      <c r="A11094" s="2" t="s">
        <v>8</v>
      </c>
      <c r="B11094" s="2" t="str">
        <f>HYPERLINK("http://ts.21cn.com/tousu/show/id/1342356","诚信买家维权困难")</f>
        <v>诚信买家维权困难</v>
      </c>
      <c r="C11094" s="2" t="s">
        <v>9</v>
      </c>
      <c r="D11094" s="2" t="s">
        <v>10</v>
      </c>
      <c r="E11094" s="2" t="str">
        <f>HYPERLINK("http://ts.21cn.com/tousu/show/id/1342356","http://ts.21cn.com/tousu/show/id/1342356")</f>
        <v>http://ts.21cn.com/tousu/show/id/1342356</v>
      </c>
      <c r="F11094" s="2" t="s">
        <v>11</v>
      </c>
      <c r="G11094" s="2" t="s">
        <v>22338</v>
      </c>
      <c r="H11094" s="2" t="s">
        <v>22339</v>
      </c>
    </row>
    <row r="11095" spans="1:8" ht="25.05" customHeight="1" x14ac:dyDescent="0.25">
      <c r="A11095" s="2" t="s">
        <v>8</v>
      </c>
      <c r="B11095" s="2" t="str">
        <f>HYPERLINK("http://ts.21cn.com/tousu/show/id/1342355","百事普惠恶意扣费")</f>
        <v>百事普惠恶意扣费</v>
      </c>
      <c r="C11095" s="2" t="s">
        <v>9</v>
      </c>
      <c r="D11095" s="2" t="s">
        <v>10</v>
      </c>
      <c r="E11095" s="2" t="str">
        <f>HYPERLINK("http://ts.21cn.com/tousu/show/id/1342355","http://ts.21cn.com/tousu/show/id/1342355")</f>
        <v>http://ts.21cn.com/tousu/show/id/1342355</v>
      </c>
      <c r="F11095" s="2" t="s">
        <v>11</v>
      </c>
      <c r="G11095" s="2" t="s">
        <v>22336</v>
      </c>
      <c r="H11095" s="2" t="s">
        <v>22337</v>
      </c>
    </row>
    <row r="11096" spans="1:8" ht="25.05" customHeight="1" x14ac:dyDescent="0.25">
      <c r="A11096" s="2" t="s">
        <v>8</v>
      </c>
      <c r="B11096" s="2" t="str">
        <f>HYPERLINK("http://ts.21cn.com/tousu/show/id/1342358","美团外卖客服不作为，不处理问题")</f>
        <v>美团外卖客服不作为，不处理问题</v>
      </c>
      <c r="C11096" s="2" t="s">
        <v>9</v>
      </c>
      <c r="D11096" s="2" t="s">
        <v>10</v>
      </c>
      <c r="E11096" s="2" t="str">
        <f>HYPERLINK("http://ts.21cn.com/tousu/show/id/1342358","http://ts.21cn.com/tousu/show/id/1342358")</f>
        <v>http://ts.21cn.com/tousu/show/id/1342358</v>
      </c>
      <c r="F11096" s="2" t="s">
        <v>11</v>
      </c>
      <c r="G11096" s="2" t="s">
        <v>22334</v>
      </c>
      <c r="H11096" s="2" t="s">
        <v>22335</v>
      </c>
    </row>
    <row r="11097" spans="1:8" ht="25.05" customHeight="1" x14ac:dyDescent="0.25">
      <c r="A11097" s="2" t="s">
        <v>8</v>
      </c>
      <c r="B11097" s="2" t="str">
        <f>HYPERLINK("http://ts.21cn.com/tousu/show/id/1342359","卖家私自把换货改成了退货，导致红包过期")</f>
        <v>卖家私自把换货改成了退货，导致红包过期</v>
      </c>
      <c r="C11097" s="2" t="s">
        <v>9</v>
      </c>
      <c r="D11097" s="2" t="s">
        <v>10</v>
      </c>
      <c r="E11097" s="2" t="str">
        <f>HYPERLINK("http://ts.21cn.com/tousu/show/id/1342359","http://ts.21cn.com/tousu/show/id/1342359")</f>
        <v>http://ts.21cn.com/tousu/show/id/1342359</v>
      </c>
      <c r="F11097" s="2" t="s">
        <v>11</v>
      </c>
      <c r="G11097" s="2" t="s">
        <v>22332</v>
      </c>
      <c r="H11097" s="2" t="s">
        <v>22333</v>
      </c>
    </row>
    <row r="11098" spans="1:8" ht="25.05" customHeight="1" x14ac:dyDescent="0.25">
      <c r="A11098" s="2" t="s">
        <v>8</v>
      </c>
      <c r="B11098" s="2" t="str">
        <f>HYPERLINK("http://ts.21cn.com/tousu/show/id/1342360","因为相信了阿里巴巴支付宝，在弹个车卖了车")</f>
        <v>因为相信了阿里巴巴支付宝，在弹个车卖了车</v>
      </c>
      <c r="C11098" s="2" t="s">
        <v>9</v>
      </c>
      <c r="D11098" s="2" t="s">
        <v>10</v>
      </c>
      <c r="E11098" s="2" t="str">
        <f>HYPERLINK("http://ts.21cn.com/tousu/show/id/1342360","http://ts.21cn.com/tousu/show/id/1342360")</f>
        <v>http://ts.21cn.com/tousu/show/id/1342360</v>
      </c>
      <c r="F11098" s="2" t="s">
        <v>11</v>
      </c>
      <c r="G11098" s="2" t="s">
        <v>22330</v>
      </c>
      <c r="H11098" s="2" t="s">
        <v>22331</v>
      </c>
    </row>
    <row r="11099" spans="1:8" ht="25.05" customHeight="1" x14ac:dyDescent="0.25">
      <c r="A11099" s="2" t="s">
        <v>8</v>
      </c>
      <c r="B11099" s="2" t="str">
        <f>HYPERLINK("http://ts.21cn.com/tousu/show/id/1342361","平安银行信用卡催收有问题，没有最低还款")</f>
        <v>平安银行信用卡催收有问题，没有最低还款</v>
      </c>
      <c r="C11099" s="2" t="s">
        <v>9</v>
      </c>
      <c r="D11099" s="2" t="s">
        <v>10</v>
      </c>
      <c r="E11099" s="2" t="str">
        <f>HYPERLINK("http://ts.21cn.com/tousu/show/id/1342361","http://ts.21cn.com/tousu/show/id/1342361")</f>
        <v>http://ts.21cn.com/tousu/show/id/1342361</v>
      </c>
      <c r="F11099" s="2" t="s">
        <v>11</v>
      </c>
      <c r="G11099" s="2" t="s">
        <v>22328</v>
      </c>
      <c r="H11099" s="2" t="s">
        <v>22329</v>
      </c>
    </row>
    <row r="11100" spans="1:8" ht="25.05" customHeight="1" x14ac:dyDescent="0.25">
      <c r="A11100" s="2" t="s">
        <v>8</v>
      </c>
      <c r="B11100" s="2" t="str">
        <f>HYPERLINK("http://ts.21cn.com/tousu/show/id/1342362","银行卡被中国移动电子商务长沙分公司扣费")</f>
        <v>银行卡被中国移动电子商务长沙分公司扣费</v>
      </c>
      <c r="C11100" s="2" t="s">
        <v>34</v>
      </c>
      <c r="D11100" s="2" t="s">
        <v>10</v>
      </c>
      <c r="E11100" s="2" t="str">
        <f>HYPERLINK("http://ts.21cn.com/tousu/show/id/1342362","http://ts.21cn.com/tousu/show/id/1342362")</f>
        <v>http://ts.21cn.com/tousu/show/id/1342362</v>
      </c>
      <c r="F11100" s="2" t="s">
        <v>11</v>
      </c>
      <c r="G11100" s="2" t="s">
        <v>22326</v>
      </c>
      <c r="H11100" s="2" t="s">
        <v>22327</v>
      </c>
    </row>
    <row r="11101" spans="1:8" ht="25.05" customHeight="1" x14ac:dyDescent="0.25">
      <c r="A11101" s="2" t="s">
        <v>8</v>
      </c>
      <c r="B11101" s="2" t="str">
        <f>HYPERLINK("http://ts.21cn.com/tousu/show/id/1342364","你我贷催收存在黑社会性质")</f>
        <v>你我贷催收存在黑社会性质</v>
      </c>
      <c r="C11101" s="2" t="s">
        <v>9</v>
      </c>
      <c r="D11101" s="2" t="s">
        <v>10</v>
      </c>
      <c r="E11101" s="2" t="str">
        <f>HYPERLINK("http://ts.21cn.com/tousu/show/id/1342364","http://ts.21cn.com/tousu/show/id/1342364")</f>
        <v>http://ts.21cn.com/tousu/show/id/1342364</v>
      </c>
      <c r="F11101" s="2" t="s">
        <v>11</v>
      </c>
      <c r="G11101" s="2" t="s">
        <v>22324</v>
      </c>
      <c r="H11101" s="2" t="s">
        <v>22325</v>
      </c>
    </row>
    <row r="11102" spans="1:8" ht="25.05" customHeight="1" x14ac:dyDescent="0.25">
      <c r="A11102" s="2" t="s">
        <v>8</v>
      </c>
      <c r="B11102" s="2" t="str">
        <f>HYPERLINK("http://ts.21cn.com/tousu/show/id/1342363","乱发消息侵害名声")</f>
        <v>乱发消息侵害名声</v>
      </c>
      <c r="C11102" s="2" t="s">
        <v>9</v>
      </c>
      <c r="D11102" s="2" t="s">
        <v>10</v>
      </c>
      <c r="E11102" s="2" t="str">
        <f>HYPERLINK("http://ts.21cn.com/tousu/show/id/1342363","http://ts.21cn.com/tousu/show/id/1342363")</f>
        <v>http://ts.21cn.com/tousu/show/id/1342363</v>
      </c>
      <c r="F11102" s="2" t="s">
        <v>11</v>
      </c>
      <c r="G11102" s="2" t="s">
        <v>22322</v>
      </c>
      <c r="H11102" s="2" t="s">
        <v>22323</v>
      </c>
    </row>
    <row r="11103" spans="1:8" ht="25.05" customHeight="1" x14ac:dyDescent="0.25">
      <c r="A11103" s="2" t="s">
        <v>8</v>
      </c>
      <c r="B11103" s="2" t="str">
        <f>HYPERLINK("http://ts.21cn.com/tousu/show/id/1342365","没天理，电信宽带合同到期，手机和宽带都无法使用，还进行扣费！")</f>
        <v>没天理，电信宽带合同到期，手机和宽带都无法使用，还进行扣费！</v>
      </c>
      <c r="C11103" s="2" t="s">
        <v>9</v>
      </c>
      <c r="D11103" s="2" t="s">
        <v>10</v>
      </c>
      <c r="E11103" s="2" t="str">
        <f>HYPERLINK("http://ts.21cn.com/tousu/show/id/1342365","http://ts.21cn.com/tousu/show/id/1342365")</f>
        <v>http://ts.21cn.com/tousu/show/id/1342365</v>
      </c>
      <c r="F11103" s="2" t="s">
        <v>11</v>
      </c>
      <c r="G11103" s="2" t="s">
        <v>22320</v>
      </c>
      <c r="H11103" s="2" t="s">
        <v>22321</v>
      </c>
    </row>
    <row r="11104" spans="1:8" ht="25.05" customHeight="1" x14ac:dyDescent="0.25">
      <c r="A11104" s="2" t="s">
        <v>8</v>
      </c>
      <c r="B11104" s="2" t="str">
        <f>HYPERLINK("http://ts.21cn.com/tousu/show/id/1342368","91买呗砍头息和钱咖分期高利贷")</f>
        <v>91买呗砍头息和钱咖分期高利贷</v>
      </c>
      <c r="C11104" s="2" t="s">
        <v>9</v>
      </c>
      <c r="D11104" s="2" t="s">
        <v>10</v>
      </c>
      <c r="E11104" s="2" t="str">
        <f>HYPERLINK("http://ts.21cn.com/tousu/show/id/1342368","http://ts.21cn.com/tousu/show/id/1342368")</f>
        <v>http://ts.21cn.com/tousu/show/id/1342368</v>
      </c>
      <c r="F11104" s="2" t="s">
        <v>11</v>
      </c>
      <c r="G11104" s="2" t="s">
        <v>22318</v>
      </c>
      <c r="H11104" s="2" t="s">
        <v>22319</v>
      </c>
    </row>
    <row r="11105" spans="1:8" ht="25.05" customHeight="1" x14ac:dyDescent="0.25">
      <c r="A11105" s="2" t="s">
        <v>8</v>
      </c>
      <c r="B11105" s="2" t="str">
        <f>HYPERLINK("http://ts.21cn.com/tousu/show/id/1342367","现金巴士会员费无实质性服务")</f>
        <v>现金巴士会员费无实质性服务</v>
      </c>
      <c r="C11105" s="2" t="s">
        <v>34</v>
      </c>
      <c r="D11105" s="2" t="s">
        <v>10</v>
      </c>
      <c r="E11105" s="2" t="str">
        <f>HYPERLINK("http://ts.21cn.com/tousu/show/id/1342367","http://ts.21cn.com/tousu/show/id/1342367")</f>
        <v>http://ts.21cn.com/tousu/show/id/1342367</v>
      </c>
      <c r="F11105" s="2" t="s">
        <v>11</v>
      </c>
      <c r="G11105" s="2" t="s">
        <v>22316</v>
      </c>
      <c r="H11105" s="2" t="s">
        <v>22317</v>
      </c>
    </row>
    <row r="11106" spans="1:8" ht="25.05" customHeight="1" x14ac:dyDescent="0.25">
      <c r="A11106" s="2" t="s">
        <v>8</v>
      </c>
      <c r="B11106" s="2" t="str">
        <f>HYPERLINK("http://ts.21cn.com/tousu/show/id/1342366","小黑鲨")</f>
        <v>小黑鲨</v>
      </c>
      <c r="C11106" s="2" t="s">
        <v>34</v>
      </c>
      <c r="D11106" s="2" t="s">
        <v>10</v>
      </c>
      <c r="E11106" s="2" t="str">
        <f>HYPERLINK("http://ts.21cn.com/tousu/show/id/1342366","http://ts.21cn.com/tousu/show/id/1342366")</f>
        <v>http://ts.21cn.com/tousu/show/id/1342366</v>
      </c>
      <c r="F11106" s="2" t="s">
        <v>11</v>
      </c>
      <c r="G11106" s="2" t="s">
        <v>22314</v>
      </c>
      <c r="H11106" s="2" t="s">
        <v>22315</v>
      </c>
    </row>
    <row r="11107" spans="1:8" ht="25.05" customHeight="1" x14ac:dyDescent="0.25">
      <c r="A11107" s="2" t="s">
        <v>8</v>
      </c>
      <c r="B11107" s="2" t="str">
        <f>HYPERLINK("http://ts.21cn.com/tousu/show/id/1342369","深圳市融关资产管理有限公司涉嫌买卖公民信息")</f>
        <v>深圳市融关资产管理有限公司涉嫌买卖公民信息</v>
      </c>
      <c r="C11107" s="2" t="s">
        <v>9</v>
      </c>
      <c r="D11107" s="2" t="s">
        <v>10</v>
      </c>
      <c r="E11107" s="2" t="str">
        <f>HYPERLINK("http://ts.21cn.com/tousu/show/id/1342369","http://ts.21cn.com/tousu/show/id/1342369")</f>
        <v>http://ts.21cn.com/tousu/show/id/1342369</v>
      </c>
      <c r="F11107" s="2" t="s">
        <v>11</v>
      </c>
      <c r="G11107" s="2" t="s">
        <v>22312</v>
      </c>
      <c r="H11107" s="2" t="s">
        <v>22313</v>
      </c>
    </row>
    <row r="11108" spans="1:8" ht="25.05" customHeight="1" x14ac:dyDescent="0.25">
      <c r="A11108" s="2" t="s">
        <v>8</v>
      </c>
      <c r="B11108" s="2" t="str">
        <f>HYPERLINK("http://ts.21cn.com/tousu/show/id/1342370","百事普惠在不知情的情况下扣费")</f>
        <v>百事普惠在不知情的情况下扣费</v>
      </c>
      <c r="C11108" s="2" t="s">
        <v>34</v>
      </c>
      <c r="D11108" s="2" t="s">
        <v>10</v>
      </c>
      <c r="E11108" s="2" t="str">
        <f>HYPERLINK("http://ts.21cn.com/tousu/show/id/1342370","http://ts.21cn.com/tousu/show/id/1342370")</f>
        <v>http://ts.21cn.com/tousu/show/id/1342370</v>
      </c>
      <c r="F11108" s="2" t="s">
        <v>11</v>
      </c>
      <c r="G11108" s="2" t="s">
        <v>22310</v>
      </c>
      <c r="H11108" s="2" t="s">
        <v>22311</v>
      </c>
    </row>
    <row r="11109" spans="1:8" ht="25.05" customHeight="1" x14ac:dyDescent="0.25">
      <c r="A11109" s="2" t="s">
        <v>8</v>
      </c>
      <c r="B11109" s="2" t="str">
        <f>HYPERLINK("http://ts.21cn.com/tousu/show/id/1340972","和平精英游戏无法正常进行要求退回所有充值款项")</f>
        <v>和平精英游戏无法正常进行要求退回所有充值款项</v>
      </c>
      <c r="C11109" s="2" t="s">
        <v>9</v>
      </c>
      <c r="D11109" s="2" t="s">
        <v>10</v>
      </c>
      <c r="E11109" s="2" t="str">
        <f>HYPERLINK("http://ts.21cn.com/tousu/show/id/1340972","http://ts.21cn.com/tousu/show/id/1340972")</f>
        <v>http://ts.21cn.com/tousu/show/id/1340972</v>
      </c>
      <c r="F11109" s="2" t="s">
        <v>11</v>
      </c>
      <c r="G11109" s="2" t="s">
        <v>22308</v>
      </c>
      <c r="H11109" s="2" t="s">
        <v>22309</v>
      </c>
    </row>
    <row r="11110" spans="1:8" ht="25.05" customHeight="1" x14ac:dyDescent="0.25">
      <c r="A11110" s="2" t="s">
        <v>8</v>
      </c>
      <c r="B11110" s="2" t="str">
        <f>HYPERLINK("http://ts.21cn.com/tousu/show/id/1342372","钱老哥心意转app还不了款导致逾期")</f>
        <v>钱老哥心意转app还不了款导致逾期</v>
      </c>
      <c r="C11110" s="2" t="s">
        <v>9</v>
      </c>
      <c r="D11110" s="2" t="s">
        <v>10</v>
      </c>
      <c r="E11110" s="2" t="str">
        <f>HYPERLINK("http://ts.21cn.com/tousu/show/id/1342372","http://ts.21cn.com/tousu/show/id/1342372")</f>
        <v>http://ts.21cn.com/tousu/show/id/1342372</v>
      </c>
      <c r="F11110" s="2" t="s">
        <v>11</v>
      </c>
      <c r="G11110" s="2" t="s">
        <v>22306</v>
      </c>
      <c r="H11110" s="2" t="s">
        <v>22307</v>
      </c>
    </row>
    <row r="11111" spans="1:8" ht="25.05" customHeight="1" x14ac:dyDescent="0.25">
      <c r="A11111" s="2" t="s">
        <v>8</v>
      </c>
      <c r="B11111" s="2" t="str">
        <f>HYPERLINK("http://ts.21cn.com/tousu/show/id/1342371","快闪卡贷收取高额手续费和利息我要求快闪卡贷归还高于国家法律规定之外的利息")</f>
        <v>快闪卡贷收取高额手续费和利息我要求快闪卡贷归还高于国家法律规定之外的利息</v>
      </c>
      <c r="C11111" s="2" t="s">
        <v>9</v>
      </c>
      <c r="D11111" s="2" t="s">
        <v>10</v>
      </c>
      <c r="E11111" s="2" t="str">
        <f>HYPERLINK("http://ts.21cn.com/tousu/show/id/1342371","http://ts.21cn.com/tousu/show/id/1342371")</f>
        <v>http://ts.21cn.com/tousu/show/id/1342371</v>
      </c>
      <c r="F11111" s="2" t="s">
        <v>11</v>
      </c>
      <c r="G11111" s="2" t="s">
        <v>22304</v>
      </c>
      <c r="H11111" s="2" t="s">
        <v>22305</v>
      </c>
    </row>
    <row r="11112" spans="1:8" ht="25.05" customHeight="1" x14ac:dyDescent="0.25">
      <c r="A11112" s="2" t="s">
        <v>8</v>
      </c>
      <c r="B11112" s="2" t="str">
        <f>HYPERLINK("http://ts.21cn.com/tousu/show/id/1342374","支付宝乱扣费")</f>
        <v>支付宝乱扣费</v>
      </c>
      <c r="C11112" s="2" t="s">
        <v>9</v>
      </c>
      <c r="D11112" s="2" t="s">
        <v>10</v>
      </c>
      <c r="E11112" s="2" t="str">
        <f>HYPERLINK("http://ts.21cn.com/tousu/show/id/1342374","http://ts.21cn.com/tousu/show/id/1342374")</f>
        <v>http://ts.21cn.com/tousu/show/id/1342374</v>
      </c>
      <c r="F11112" s="2" t="s">
        <v>11</v>
      </c>
      <c r="G11112" s="2" t="s">
        <v>22301</v>
      </c>
      <c r="H11112" s="2" t="s">
        <v>22302</v>
      </c>
    </row>
    <row r="11113" spans="1:8" ht="25.05" customHeight="1" x14ac:dyDescent="0.25">
      <c r="A11113" s="2" t="s">
        <v>8</v>
      </c>
      <c r="B11113" s="2" t="str">
        <f>HYPERLINK("http://ts.21cn.com/tousu/show/id/1342373","充电宝是否归还处赔偿问题")</f>
        <v>充电宝是否归还处赔偿问题</v>
      </c>
      <c r="C11113" s="2" t="s">
        <v>34</v>
      </c>
      <c r="D11113" s="2" t="s">
        <v>10</v>
      </c>
      <c r="E11113" s="2" t="str">
        <f>HYPERLINK("http://ts.21cn.com/tousu/show/id/1342373","http://ts.21cn.com/tousu/show/id/1342373")</f>
        <v>http://ts.21cn.com/tousu/show/id/1342373</v>
      </c>
      <c r="F11113" s="2" t="s">
        <v>11</v>
      </c>
      <c r="G11113" s="2" t="s">
        <v>22301</v>
      </c>
      <c r="H11113" s="2" t="s">
        <v>22303</v>
      </c>
    </row>
    <row r="11114" spans="1:8" ht="25.05" customHeight="1" x14ac:dyDescent="0.25">
      <c r="A11114" s="2" t="s">
        <v>8</v>
      </c>
      <c r="B11114" s="2" t="str">
        <f>HYPERLINK("http://ts.21cn.com/tousu/show/id/1342375","退学退款")</f>
        <v>退学退款</v>
      </c>
      <c r="C11114" s="2" t="s">
        <v>9</v>
      </c>
      <c r="D11114" s="2" t="s">
        <v>10</v>
      </c>
      <c r="E11114" s="2" t="str">
        <f>HYPERLINK("http://ts.21cn.com/tousu/show/id/1342375","http://ts.21cn.com/tousu/show/id/1342375")</f>
        <v>http://ts.21cn.com/tousu/show/id/1342375</v>
      </c>
      <c r="F11114" s="2" t="s">
        <v>11</v>
      </c>
      <c r="G11114" s="2" t="s">
        <v>22299</v>
      </c>
      <c r="H11114" s="2" t="s">
        <v>22300</v>
      </c>
    </row>
    <row r="11115" spans="1:8" ht="25.05" customHeight="1" x14ac:dyDescent="0.25">
      <c r="A11115" s="2" t="s">
        <v>8</v>
      </c>
      <c r="B11115" s="2" t="str">
        <f>HYPERLINK("http://ts.21cn.com/tousu/show/id/1342376","创客工具箱无端恶意打标")</f>
        <v>创客工具箱无端恶意打标</v>
      </c>
      <c r="C11115" s="2" t="s">
        <v>34</v>
      </c>
      <c r="D11115" s="2" t="s">
        <v>10</v>
      </c>
      <c r="E11115" s="2" t="str">
        <f>HYPERLINK("http://ts.21cn.com/tousu/show/id/1342376","http://ts.21cn.com/tousu/show/id/1342376")</f>
        <v>http://ts.21cn.com/tousu/show/id/1342376</v>
      </c>
      <c r="F11115" s="2" t="s">
        <v>11</v>
      </c>
      <c r="G11115" s="2" t="s">
        <v>22297</v>
      </c>
      <c r="H11115" s="2" t="s">
        <v>22298</v>
      </c>
    </row>
    <row r="11116" spans="1:8" ht="25.05" customHeight="1" x14ac:dyDescent="0.25">
      <c r="A11116" s="2" t="s">
        <v>8</v>
      </c>
      <c r="B11116" s="2" t="str">
        <f>HYPERLINK("http://ts.21cn.com/tousu/show/id/1342377","你我贷app套路贷高息")</f>
        <v>你我贷app套路贷高息</v>
      </c>
      <c r="C11116" s="2" t="s">
        <v>9</v>
      </c>
      <c r="D11116" s="2" t="s">
        <v>10</v>
      </c>
      <c r="E11116" s="2" t="str">
        <f>HYPERLINK("http://ts.21cn.com/tousu/show/id/1342377","http://ts.21cn.com/tousu/show/id/1342377")</f>
        <v>http://ts.21cn.com/tousu/show/id/1342377</v>
      </c>
      <c r="F11116" s="2" t="s">
        <v>11</v>
      </c>
      <c r="G11116" s="2" t="s">
        <v>22295</v>
      </c>
      <c r="H11116" s="2" t="s">
        <v>22296</v>
      </c>
    </row>
    <row r="11117" spans="1:8" ht="25.05" customHeight="1" x14ac:dyDescent="0.25">
      <c r="A11117" s="2" t="s">
        <v>8</v>
      </c>
      <c r="B11117" s="2" t="str">
        <f>HYPERLINK("http://ts.21cn.com/tousu/show/id/1342378","款已经还了，还威胁")</f>
        <v>款已经还了，还威胁</v>
      </c>
      <c r="C11117" s="2" t="s">
        <v>9</v>
      </c>
      <c r="D11117" s="2" t="s">
        <v>10</v>
      </c>
      <c r="E11117" s="2" t="str">
        <f>HYPERLINK("http://ts.21cn.com/tousu/show/id/1342378","http://ts.21cn.com/tousu/show/id/1342378")</f>
        <v>http://ts.21cn.com/tousu/show/id/1342378</v>
      </c>
      <c r="F11117" s="2" t="s">
        <v>11</v>
      </c>
      <c r="G11117" s="2" t="s">
        <v>22293</v>
      </c>
      <c r="H11117" s="2" t="s">
        <v>22294</v>
      </c>
    </row>
    <row r="11118" spans="1:8" ht="25.05" customHeight="1" x14ac:dyDescent="0.25">
      <c r="A11118" s="2" t="s">
        <v>8</v>
      </c>
      <c r="B11118" s="2" t="str">
        <f>HYPERLINK("http://ts.21cn.com/tousu/show/id/1342379","嗨钱砍头息高利贷")</f>
        <v>嗨钱砍头息高利贷</v>
      </c>
      <c r="C11118" s="2" t="s">
        <v>9</v>
      </c>
      <c r="D11118" s="2" t="s">
        <v>10</v>
      </c>
      <c r="E11118" s="2" t="str">
        <f>HYPERLINK("http://ts.21cn.com/tousu/show/id/1342379","http://ts.21cn.com/tousu/show/id/1342379")</f>
        <v>http://ts.21cn.com/tousu/show/id/1342379</v>
      </c>
      <c r="F11118" s="2" t="s">
        <v>11</v>
      </c>
      <c r="G11118" s="2" t="s">
        <v>22291</v>
      </c>
      <c r="H11118" s="2" t="s">
        <v>22292</v>
      </c>
    </row>
    <row r="11119" spans="1:8" ht="25.05" customHeight="1" x14ac:dyDescent="0.25">
      <c r="A11119" s="2" t="s">
        <v>8</v>
      </c>
      <c r="B11119" s="2" t="str">
        <f>HYPERLINK("http://ts.21cn.com/tousu/show/id/1342380","暴力催收，骚扰电话")</f>
        <v>暴力催收，骚扰电话</v>
      </c>
      <c r="C11119" s="2" t="s">
        <v>9</v>
      </c>
      <c r="D11119" s="2" t="s">
        <v>10</v>
      </c>
      <c r="E11119" s="2" t="str">
        <f>HYPERLINK("http://ts.21cn.com/tousu/show/id/1342380","http://ts.21cn.com/tousu/show/id/1342380")</f>
        <v>http://ts.21cn.com/tousu/show/id/1342380</v>
      </c>
      <c r="F11119" s="2" t="s">
        <v>11</v>
      </c>
      <c r="G11119" s="2" t="s">
        <v>22289</v>
      </c>
      <c r="H11119" s="2" t="s">
        <v>22290</v>
      </c>
    </row>
    <row r="11120" spans="1:8" ht="25.05" customHeight="1" x14ac:dyDescent="0.25">
      <c r="A11120" s="2" t="s">
        <v>8</v>
      </c>
      <c r="B11120" s="2" t="str">
        <f>HYPERLINK("http://ts.21cn.com/tousu/show/id/1342384","东亚银行冻结信用卡")</f>
        <v>东亚银行冻结信用卡</v>
      </c>
      <c r="C11120" s="2" t="s">
        <v>9</v>
      </c>
      <c r="D11120" s="2" t="s">
        <v>10</v>
      </c>
      <c r="E11120" s="2" t="str">
        <f>HYPERLINK("http://ts.21cn.com/tousu/show/id/1342384","http://ts.21cn.com/tousu/show/id/1342384")</f>
        <v>http://ts.21cn.com/tousu/show/id/1342384</v>
      </c>
      <c r="F11120" s="2" t="s">
        <v>11</v>
      </c>
      <c r="G11120" s="2" t="s">
        <v>22287</v>
      </c>
      <c r="H11120" s="2" t="s">
        <v>22288</v>
      </c>
    </row>
    <row r="11121" spans="1:8" ht="25.05" customHeight="1" x14ac:dyDescent="0.25">
      <c r="A11121" s="2" t="s">
        <v>8</v>
      </c>
      <c r="B11121" s="2" t="str">
        <f>HYPERLINK("http://ts.21cn.com/tousu/show/id/1342382","国美易卡贷款强制购买金融服务780")</f>
        <v>国美易卡贷款强制购买金融服务780</v>
      </c>
      <c r="C11121" s="2" t="s">
        <v>9</v>
      </c>
      <c r="D11121" s="2" t="s">
        <v>10</v>
      </c>
      <c r="E11121" s="2" t="str">
        <f>HYPERLINK("http://ts.21cn.com/tousu/show/id/1342382","http://ts.21cn.com/tousu/show/id/1342382")</f>
        <v>http://ts.21cn.com/tousu/show/id/1342382</v>
      </c>
      <c r="F11121" s="2" t="s">
        <v>11</v>
      </c>
      <c r="G11121" s="2" t="s">
        <v>22285</v>
      </c>
      <c r="H11121" s="2" t="s">
        <v>22286</v>
      </c>
    </row>
    <row r="11122" spans="1:8" ht="25.05" customHeight="1" x14ac:dyDescent="0.25">
      <c r="A11122" s="2" t="s">
        <v>8</v>
      </c>
      <c r="B11122" s="2" t="str">
        <f>HYPERLINK("http://ts.21cn.com/tousu/show/id/1342383","一个中介公司诱导我网贷，并在安逸花借出6800")</f>
        <v>一个中介公司诱导我网贷，并在安逸花借出6800</v>
      </c>
      <c r="C11122" s="2" t="s">
        <v>9</v>
      </c>
      <c r="D11122" s="2" t="s">
        <v>10</v>
      </c>
      <c r="E11122" s="2" t="str">
        <f>HYPERLINK("http://ts.21cn.com/tousu/show/id/1342383","http://ts.21cn.com/tousu/show/id/1342383")</f>
        <v>http://ts.21cn.com/tousu/show/id/1342383</v>
      </c>
      <c r="F11122" s="2" t="s">
        <v>11</v>
      </c>
      <c r="G11122" s="2" t="s">
        <v>22283</v>
      </c>
      <c r="H11122" s="2" t="s">
        <v>22284</v>
      </c>
    </row>
    <row r="11123" spans="1:8" ht="25.05" customHeight="1" x14ac:dyDescent="0.25">
      <c r="A11123" s="2" t="s">
        <v>8</v>
      </c>
      <c r="B11123" s="2" t="str">
        <f>HYPERLINK("http://ts.21cn.com/tousu/show/id/1342385","深圳光华普惠恶意投诉，恐吓，侮辱")</f>
        <v>深圳光华普惠恶意投诉，恐吓，侮辱</v>
      </c>
      <c r="C11123" s="2" t="s">
        <v>9</v>
      </c>
      <c r="D11123" s="2" t="s">
        <v>10</v>
      </c>
      <c r="E11123" s="2" t="str">
        <f>HYPERLINK("http://ts.21cn.com/tousu/show/id/1342385","http://ts.21cn.com/tousu/show/id/1342385")</f>
        <v>http://ts.21cn.com/tousu/show/id/1342385</v>
      </c>
      <c r="F11123" s="2" t="s">
        <v>11</v>
      </c>
      <c r="G11123" s="2" t="s">
        <v>22281</v>
      </c>
      <c r="H11123" s="2" t="s">
        <v>22282</v>
      </c>
    </row>
    <row r="11124" spans="1:8" ht="25.05" customHeight="1" x14ac:dyDescent="0.25">
      <c r="A11124" s="2" t="s">
        <v>8</v>
      </c>
      <c r="B11124" s="2" t="str">
        <f>HYPERLINK("http://ts.21cn.com/tousu/show/id/1342387","贷款平台乱扣费")</f>
        <v>贷款平台乱扣费</v>
      </c>
      <c r="C11124" s="2" t="s">
        <v>9</v>
      </c>
      <c r="D11124" s="2" t="s">
        <v>10</v>
      </c>
      <c r="E11124" s="2" t="str">
        <f>HYPERLINK("http://ts.21cn.com/tousu/show/id/1342387","http://ts.21cn.com/tousu/show/id/1342387")</f>
        <v>http://ts.21cn.com/tousu/show/id/1342387</v>
      </c>
      <c r="F11124" s="2" t="s">
        <v>11</v>
      </c>
      <c r="G11124" s="2" t="s">
        <v>22279</v>
      </c>
      <c r="H11124" s="2" t="s">
        <v>22280</v>
      </c>
    </row>
    <row r="11125" spans="1:8" ht="25.05" customHeight="1" x14ac:dyDescent="0.25">
      <c r="A11125" s="2" t="s">
        <v>8</v>
      </c>
      <c r="B11125" s="2" t="str">
        <f>HYPERLINK("http://ts.21cn.com/tousu/show/id/1342388","聚福钱包未经许可私自扣款")</f>
        <v>聚福钱包未经许可私自扣款</v>
      </c>
      <c r="C11125" s="2" t="s">
        <v>9</v>
      </c>
      <c r="D11125" s="2" t="s">
        <v>10</v>
      </c>
      <c r="E11125" s="2" t="str">
        <f>HYPERLINK("http://ts.21cn.com/tousu/show/id/1342388","http://ts.21cn.com/tousu/show/id/1342388")</f>
        <v>http://ts.21cn.com/tousu/show/id/1342388</v>
      </c>
      <c r="F11125" s="2" t="s">
        <v>11</v>
      </c>
      <c r="G11125" s="2" t="s">
        <v>22277</v>
      </c>
      <c r="H11125" s="2" t="s">
        <v>22278</v>
      </c>
    </row>
    <row r="11126" spans="1:8" ht="25.05" customHeight="1" x14ac:dyDescent="0.25">
      <c r="A11126" s="2" t="s">
        <v>8</v>
      </c>
      <c r="B11126" s="2" t="str">
        <f>HYPERLINK("http://ts.21cn.com/tousu/show/id/1342390","支付宝平台制造虚假宣传")</f>
        <v>支付宝平台制造虚假宣传</v>
      </c>
      <c r="C11126" s="2" t="s">
        <v>9</v>
      </c>
      <c r="D11126" s="2" t="s">
        <v>10</v>
      </c>
      <c r="E11126" s="2" t="str">
        <f>HYPERLINK("http://ts.21cn.com/tousu/show/id/1342390","http://ts.21cn.com/tousu/show/id/1342390")</f>
        <v>http://ts.21cn.com/tousu/show/id/1342390</v>
      </c>
      <c r="F11126" s="2" t="s">
        <v>11</v>
      </c>
      <c r="G11126" s="2" t="s">
        <v>22275</v>
      </c>
      <c r="H11126" s="2" t="s">
        <v>22276</v>
      </c>
    </row>
    <row r="11127" spans="1:8" ht="25.05" customHeight="1" x14ac:dyDescent="0.25">
      <c r="A11127" s="2" t="s">
        <v>8</v>
      </c>
      <c r="B11127" s="2" t="str">
        <f>HYPERLINK("http://ts.21cn.com/tousu/show/id/1342389","变相收取巨额担保费")</f>
        <v>变相收取巨额担保费</v>
      </c>
      <c r="C11127" s="2" t="s">
        <v>9</v>
      </c>
      <c r="D11127" s="2" t="s">
        <v>10</v>
      </c>
      <c r="E11127" s="2" t="str">
        <f>HYPERLINK("http://ts.21cn.com/tousu/show/id/1342389","http://ts.21cn.com/tousu/show/id/1342389")</f>
        <v>http://ts.21cn.com/tousu/show/id/1342389</v>
      </c>
      <c r="F11127" s="2" t="s">
        <v>11</v>
      </c>
      <c r="G11127" s="2" t="s">
        <v>22273</v>
      </c>
      <c r="H11127" s="2" t="s">
        <v>22274</v>
      </c>
    </row>
    <row r="11128" spans="1:8" ht="25.05" customHeight="1" x14ac:dyDescent="0.25">
      <c r="A11128" s="2" t="s">
        <v>8</v>
      </c>
      <c r="B11128" s="2" t="str">
        <f>HYPERLINK("http://ts.21cn.com/tousu/show/id/1342391","我来贷逾期费不合理")</f>
        <v>我来贷逾期费不合理</v>
      </c>
      <c r="C11128" s="2" t="s">
        <v>9</v>
      </c>
      <c r="D11128" s="2" t="s">
        <v>10</v>
      </c>
      <c r="E11128" s="2" t="str">
        <f>HYPERLINK("http://ts.21cn.com/tousu/show/id/1342391","http://ts.21cn.com/tousu/show/id/1342391")</f>
        <v>http://ts.21cn.com/tousu/show/id/1342391</v>
      </c>
      <c r="F11128" s="2" t="s">
        <v>11</v>
      </c>
      <c r="G11128" s="2" t="s">
        <v>22271</v>
      </c>
      <c r="H11128" s="2" t="s">
        <v>22272</v>
      </c>
    </row>
    <row r="11129" spans="1:8" ht="25.05" customHeight="1" x14ac:dyDescent="0.25">
      <c r="A11129" s="2" t="s">
        <v>8</v>
      </c>
      <c r="B11129" s="2" t="str">
        <f>HYPERLINK("http://ts.21cn.com/tousu/show/id/1342392","深圳市前海如期科技有限公司")</f>
        <v>深圳市前海如期科技有限公司</v>
      </c>
      <c r="C11129" s="2" t="s">
        <v>9</v>
      </c>
      <c r="D11129" s="2" t="s">
        <v>10</v>
      </c>
      <c r="E11129" s="2" t="str">
        <f>HYPERLINK("http://ts.21cn.com/tousu/show/id/1342392","http://ts.21cn.com/tousu/show/id/1342392")</f>
        <v>http://ts.21cn.com/tousu/show/id/1342392</v>
      </c>
      <c r="F11129" s="2" t="s">
        <v>11</v>
      </c>
      <c r="G11129" s="2" t="s">
        <v>22269</v>
      </c>
      <c r="H11129" s="2" t="s">
        <v>22270</v>
      </c>
    </row>
    <row r="11130" spans="1:8" ht="25.05" customHeight="1" x14ac:dyDescent="0.25">
      <c r="A11130" s="2" t="s">
        <v>8</v>
      </c>
      <c r="B11130" s="2" t="str">
        <f>HYPERLINK("http://ts.21cn.com/tousu/show/id/1342393","涉嫌违规欺诈申请退款")</f>
        <v>涉嫌违规欺诈申请退款</v>
      </c>
      <c r="C11130" s="2" t="s">
        <v>9</v>
      </c>
      <c r="D11130" s="2" t="s">
        <v>10</v>
      </c>
      <c r="E11130" s="2" t="str">
        <f>HYPERLINK("http://ts.21cn.com/tousu/show/id/1342393","http://ts.21cn.com/tousu/show/id/1342393")</f>
        <v>http://ts.21cn.com/tousu/show/id/1342393</v>
      </c>
      <c r="F11130" s="2" t="s">
        <v>11</v>
      </c>
      <c r="G11130" s="2" t="s">
        <v>22267</v>
      </c>
      <c r="H11130" s="2" t="s">
        <v>22268</v>
      </c>
    </row>
    <row r="11131" spans="1:8" ht="25.05" customHeight="1" x14ac:dyDescent="0.25">
      <c r="A11131" s="2" t="s">
        <v>8</v>
      </c>
      <c r="B11131" s="2" t="str">
        <f>HYPERLINK("http://ts.21cn.com/tousu/show/id/1342394","随行付还到恶意催收，爆通讯录")</f>
        <v>随行付还到恶意催收，爆通讯录</v>
      </c>
      <c r="C11131" s="2" t="s">
        <v>9</v>
      </c>
      <c r="D11131" s="2" t="s">
        <v>10</v>
      </c>
      <c r="E11131" s="2" t="str">
        <f>HYPERLINK("http://ts.21cn.com/tousu/show/id/1342394","http://ts.21cn.com/tousu/show/id/1342394")</f>
        <v>http://ts.21cn.com/tousu/show/id/1342394</v>
      </c>
      <c r="F11131" s="2" t="s">
        <v>11</v>
      </c>
      <c r="G11131" s="2" t="s">
        <v>22265</v>
      </c>
      <c r="H11131" s="2" t="s">
        <v>22266</v>
      </c>
    </row>
    <row r="11132" spans="1:8" ht="25.05" customHeight="1" x14ac:dyDescent="0.25">
      <c r="A11132" s="2" t="s">
        <v>8</v>
      </c>
      <c r="B11132" s="2" t="str">
        <f>HYPERLINK("http://ts.21cn.com/tousu/show/id/1342315","趣看天下签到未兑现，诱导签到")</f>
        <v>趣看天下签到未兑现，诱导签到</v>
      </c>
      <c r="C11132" s="2" t="s">
        <v>9</v>
      </c>
      <c r="D11132" s="2" t="s">
        <v>10</v>
      </c>
      <c r="E11132" s="2" t="str">
        <f>HYPERLINK("http://ts.21cn.com/tousu/show/id/1342315","http://ts.21cn.com/tousu/show/id/1342315")</f>
        <v>http://ts.21cn.com/tousu/show/id/1342315</v>
      </c>
      <c r="F11132" s="2" t="s">
        <v>11</v>
      </c>
      <c r="G11132" s="2" t="s">
        <v>22263</v>
      </c>
      <c r="H11132" s="2" t="s">
        <v>22264</v>
      </c>
    </row>
    <row r="11133" spans="1:8" ht="25.05" customHeight="1" x14ac:dyDescent="0.25">
      <c r="A11133" s="2" t="s">
        <v>8</v>
      </c>
      <c r="B11133" s="2" t="str">
        <f>HYPERLINK("http://ts.21cn.com/tousu/show/id/1342395","电脑主板多次维修还是坏的，拒绝三包服务退货或换新")</f>
        <v>电脑主板多次维修还是坏的，拒绝三包服务退货或换新</v>
      </c>
      <c r="C11133" s="2" t="s">
        <v>9</v>
      </c>
      <c r="D11133" s="2" t="s">
        <v>10</v>
      </c>
      <c r="E11133" s="2" t="str">
        <f>HYPERLINK("http://ts.21cn.com/tousu/show/id/1342395","http://ts.21cn.com/tousu/show/id/1342395")</f>
        <v>http://ts.21cn.com/tousu/show/id/1342395</v>
      </c>
      <c r="F11133" s="2" t="s">
        <v>11</v>
      </c>
      <c r="G11133" s="2" t="s">
        <v>22261</v>
      </c>
      <c r="H11133" s="2" t="s">
        <v>22262</v>
      </c>
    </row>
    <row r="11134" spans="1:8" ht="25.05" customHeight="1" x14ac:dyDescent="0.25">
      <c r="A11134" s="2" t="s">
        <v>8</v>
      </c>
      <c r="B11134" s="2" t="str">
        <f>HYPERLINK("http://ts.21cn.com/tousu/show/id/1342397","上海点融网暴力催收，威胁，恐吓")</f>
        <v>上海点融网暴力催收，威胁，恐吓</v>
      </c>
      <c r="C11134" s="2" t="s">
        <v>9</v>
      </c>
      <c r="D11134" s="2" t="s">
        <v>10</v>
      </c>
      <c r="E11134" s="2" t="str">
        <f>HYPERLINK("http://ts.21cn.com/tousu/show/id/1342397","http://ts.21cn.com/tousu/show/id/1342397")</f>
        <v>http://ts.21cn.com/tousu/show/id/1342397</v>
      </c>
      <c r="F11134" s="2" t="s">
        <v>11</v>
      </c>
      <c r="G11134" s="2" t="s">
        <v>22259</v>
      </c>
      <c r="H11134" s="2" t="s">
        <v>22260</v>
      </c>
    </row>
    <row r="11135" spans="1:8" ht="25.05" customHeight="1" x14ac:dyDescent="0.25">
      <c r="A11135" s="2" t="s">
        <v>8</v>
      </c>
      <c r="B11135" s="2" t="str">
        <f>HYPERLINK("http://ts.21cn.com/tousu/show/id/1342396","宁波银行工作人员上单位给办理工资卡未经本人同意开通证券基金账户")</f>
        <v>宁波银行工作人员上单位给办理工资卡未经本人同意开通证券基金账户</v>
      </c>
      <c r="C11135" s="2" t="s">
        <v>9</v>
      </c>
      <c r="D11135" s="2" t="s">
        <v>10</v>
      </c>
      <c r="E11135" s="2" t="str">
        <f>HYPERLINK("http://ts.21cn.com/tousu/show/id/1342396","http://ts.21cn.com/tousu/show/id/1342396")</f>
        <v>http://ts.21cn.com/tousu/show/id/1342396</v>
      </c>
      <c r="F11135" s="2" t="s">
        <v>11</v>
      </c>
      <c r="G11135" s="2" t="s">
        <v>22257</v>
      </c>
      <c r="H11135" s="2" t="s">
        <v>22258</v>
      </c>
    </row>
    <row r="11136" spans="1:8" ht="25.05" customHeight="1" x14ac:dyDescent="0.25">
      <c r="A11136" s="2" t="s">
        <v>8</v>
      </c>
      <c r="B11136" s="2" t="str">
        <f>HYPERLINK("http://ts.21cn.com/tousu/show/id/1342398","拍拍贷暴力恐吓")</f>
        <v>拍拍贷暴力恐吓</v>
      </c>
      <c r="C11136" s="2" t="s">
        <v>9</v>
      </c>
      <c r="D11136" s="2" t="s">
        <v>10</v>
      </c>
      <c r="E11136" s="2" t="str">
        <f>HYPERLINK("http://ts.21cn.com/tousu/show/id/1342398","http://ts.21cn.com/tousu/show/id/1342398")</f>
        <v>http://ts.21cn.com/tousu/show/id/1342398</v>
      </c>
      <c r="F11136" s="2" t="s">
        <v>11</v>
      </c>
      <c r="G11136" s="2" t="s">
        <v>22255</v>
      </c>
      <c r="H11136" s="2" t="s">
        <v>22256</v>
      </c>
    </row>
    <row r="11137" spans="1:8" ht="25.05" customHeight="1" x14ac:dyDescent="0.25">
      <c r="A11137" s="2" t="s">
        <v>8</v>
      </c>
      <c r="B11137" s="2" t="str">
        <f>HYPERLINK("http://ts.21cn.com/tousu/show/id/1342399","在此软件用预付款抢票没抢到票且未退回预付款，希望商家退还我所支付的174元")</f>
        <v>在此软件用预付款抢票没抢到票且未退回预付款，希望商家退还我所支付的174元</v>
      </c>
      <c r="C11137" s="2" t="s">
        <v>34</v>
      </c>
      <c r="D11137" s="2" t="s">
        <v>10</v>
      </c>
      <c r="E11137" s="2" t="str">
        <f>HYPERLINK("http://ts.21cn.com/tousu/show/id/1342399","http://ts.21cn.com/tousu/show/id/1342399")</f>
        <v>http://ts.21cn.com/tousu/show/id/1342399</v>
      </c>
      <c r="F11137" s="2" t="s">
        <v>11</v>
      </c>
      <c r="G11137" s="2" t="s">
        <v>22253</v>
      </c>
      <c r="H11137" s="2" t="s">
        <v>22254</v>
      </c>
    </row>
    <row r="11138" spans="1:8" ht="25.05" customHeight="1" x14ac:dyDescent="0.25">
      <c r="A11138" s="2" t="s">
        <v>8</v>
      </c>
      <c r="B11138" s="2" t="str">
        <f>HYPERLINK("http://ts.21cn.com/tousu/show/id/1342109","平安银行第三方骚扰")</f>
        <v>平安银行第三方骚扰</v>
      </c>
      <c r="C11138" s="2" t="s">
        <v>9</v>
      </c>
      <c r="D11138" s="2" t="s">
        <v>10</v>
      </c>
      <c r="E11138" s="2" t="str">
        <f>HYPERLINK("http://ts.21cn.com/tousu/show/id/1342109","http://ts.21cn.com/tousu/show/id/1342109")</f>
        <v>http://ts.21cn.com/tousu/show/id/1342109</v>
      </c>
      <c r="F11138" s="2" t="s">
        <v>11</v>
      </c>
      <c r="G11138" s="2" t="s">
        <v>22251</v>
      </c>
      <c r="H11138" s="2" t="s">
        <v>22252</v>
      </c>
    </row>
    <row r="11139" spans="1:8" ht="25.05" customHeight="1" x14ac:dyDescent="0.25">
      <c r="A11139" s="2" t="s">
        <v>8</v>
      </c>
      <c r="B11139" s="2" t="str">
        <f>HYPERLINK("http://ts.21cn.com/tousu/show/id/1342400","拍拍贷")</f>
        <v>拍拍贷</v>
      </c>
      <c r="C11139" s="2" t="s">
        <v>9</v>
      </c>
      <c r="D11139" s="2" t="s">
        <v>10</v>
      </c>
      <c r="E11139" s="2" t="str">
        <f>HYPERLINK("http://ts.21cn.com/tousu/show/id/1342400","http://ts.21cn.com/tousu/show/id/1342400")</f>
        <v>http://ts.21cn.com/tousu/show/id/1342400</v>
      </c>
      <c r="F11139" s="2" t="s">
        <v>11</v>
      </c>
      <c r="G11139" s="2" t="s">
        <v>22249</v>
      </c>
      <c r="H11139" s="2" t="s">
        <v>22250</v>
      </c>
    </row>
    <row r="11140" spans="1:8" ht="25.05" customHeight="1" x14ac:dyDescent="0.25">
      <c r="A11140" s="2" t="s">
        <v>8</v>
      </c>
      <c r="B11140" s="2" t="str">
        <f>HYPERLINK("http://ts.21cn.com/tousu/show/id/1342401","信用管家平台冒充法院，恶意恐吓借款人，要到当地法院去报到")</f>
        <v>信用管家平台冒充法院，恶意恐吓借款人，要到当地法院去报到</v>
      </c>
      <c r="C11140" s="2" t="s">
        <v>9</v>
      </c>
      <c r="D11140" s="2" t="s">
        <v>10</v>
      </c>
      <c r="E11140" s="2" t="str">
        <f>HYPERLINK("http://ts.21cn.com/tousu/show/id/1342401","http://ts.21cn.com/tousu/show/id/1342401")</f>
        <v>http://ts.21cn.com/tousu/show/id/1342401</v>
      </c>
      <c r="F11140" s="2" t="s">
        <v>11</v>
      </c>
      <c r="G11140" s="2" t="s">
        <v>22247</v>
      </c>
      <c r="H11140" s="2" t="s">
        <v>22248</v>
      </c>
    </row>
    <row r="11141" spans="1:8" ht="25.05" customHeight="1" x14ac:dyDescent="0.25">
      <c r="A11141" s="2" t="s">
        <v>8</v>
      </c>
      <c r="B11141" s="2" t="str">
        <f>HYPERLINK("http://ts.21cn.com/tousu/show/id/1342090","达内教育")</f>
        <v>达内教育</v>
      </c>
      <c r="C11141" s="2" t="s">
        <v>9</v>
      </c>
      <c r="D11141" s="2" t="s">
        <v>10</v>
      </c>
      <c r="E11141" s="2" t="str">
        <f>HYPERLINK("http://ts.21cn.com/tousu/show/id/1342090","http://ts.21cn.com/tousu/show/id/1342090")</f>
        <v>http://ts.21cn.com/tousu/show/id/1342090</v>
      </c>
      <c r="F11141" s="2" t="s">
        <v>11</v>
      </c>
      <c r="G11141" s="2" t="s">
        <v>22245</v>
      </c>
      <c r="H11141" s="2" t="s">
        <v>22246</v>
      </c>
    </row>
    <row r="11142" spans="1:8" ht="25.05" customHeight="1" x14ac:dyDescent="0.25">
      <c r="A11142" s="2" t="s">
        <v>8</v>
      </c>
      <c r="B11142" s="2" t="str">
        <f>HYPERLINK("http://ts.21cn.com/tousu/show/id/1342402","小黑鲨高利贷")</f>
        <v>小黑鲨高利贷</v>
      </c>
      <c r="C11142" s="2" t="s">
        <v>9</v>
      </c>
      <c r="D11142" s="2" t="s">
        <v>10</v>
      </c>
      <c r="E11142" s="2" t="str">
        <f>HYPERLINK("http://ts.21cn.com/tousu/show/id/1342402","http://ts.21cn.com/tousu/show/id/1342402")</f>
        <v>http://ts.21cn.com/tousu/show/id/1342402</v>
      </c>
      <c r="F11142" s="2" t="s">
        <v>11</v>
      </c>
      <c r="G11142" s="2" t="s">
        <v>22244</v>
      </c>
      <c r="H11142" s="2" t="s">
        <v>1323</v>
      </c>
    </row>
    <row r="11143" spans="1:8" ht="25.05" customHeight="1" x14ac:dyDescent="0.25">
      <c r="A11143" s="2" t="s">
        <v>8</v>
      </c>
      <c r="B11143" s="2" t="str">
        <f>HYPERLINK("http://ts.21cn.com/tousu/show/id/1342404","中金支付不明扣款")</f>
        <v>中金支付不明扣款</v>
      </c>
      <c r="C11143" s="2" t="s">
        <v>34</v>
      </c>
      <c r="D11143" s="2" t="s">
        <v>10</v>
      </c>
      <c r="E11143" s="2" t="str">
        <f>HYPERLINK("http://ts.21cn.com/tousu/show/id/1342404","http://ts.21cn.com/tousu/show/id/1342404")</f>
        <v>http://ts.21cn.com/tousu/show/id/1342404</v>
      </c>
      <c r="F11143" s="2" t="s">
        <v>11</v>
      </c>
      <c r="G11143" s="2" t="s">
        <v>22242</v>
      </c>
      <c r="H11143" s="2" t="s">
        <v>22243</v>
      </c>
    </row>
    <row r="11144" spans="1:8" ht="25.05" customHeight="1" x14ac:dyDescent="0.25">
      <c r="A11144" s="2" t="s">
        <v>8</v>
      </c>
      <c r="B11144" s="2" t="str">
        <f>HYPERLINK("http://ts.21cn.com/tousu/show/id/1340939","浙江航天电子信息产业有限公司和天下支付科技有限公司违规提供支付通道")</f>
        <v>浙江航天电子信息产业有限公司和天下支付科技有限公司违规提供支付通道</v>
      </c>
      <c r="C11144" s="2" t="s">
        <v>9</v>
      </c>
      <c r="D11144" s="2" t="s">
        <v>10</v>
      </c>
      <c r="E11144" s="2" t="str">
        <f>HYPERLINK("http://ts.21cn.com/tousu/show/id/1340939","http://ts.21cn.com/tousu/show/id/1340939")</f>
        <v>http://ts.21cn.com/tousu/show/id/1340939</v>
      </c>
      <c r="F11144" s="2" t="s">
        <v>11</v>
      </c>
      <c r="G11144" s="2" t="s">
        <v>22240</v>
      </c>
      <c r="H11144" s="2" t="s">
        <v>22241</v>
      </c>
    </row>
    <row r="11145" spans="1:8" ht="25.05" customHeight="1" x14ac:dyDescent="0.25">
      <c r="A11145" s="2" t="s">
        <v>8</v>
      </c>
      <c r="B11145" s="2" t="str">
        <f>HYPERLINK("http://ts.21cn.com/tousu/show/id/1342405","苏宁易购迟迟不退店")</f>
        <v>苏宁易购迟迟不退店</v>
      </c>
      <c r="C11145" s="2" t="s">
        <v>9</v>
      </c>
      <c r="D11145" s="2" t="s">
        <v>10</v>
      </c>
      <c r="E11145" s="2" t="str">
        <f>HYPERLINK("http://ts.21cn.com/tousu/show/id/1342405","http://ts.21cn.com/tousu/show/id/1342405")</f>
        <v>http://ts.21cn.com/tousu/show/id/1342405</v>
      </c>
      <c r="F11145" s="2" t="s">
        <v>11</v>
      </c>
      <c r="G11145" s="2" t="s">
        <v>22238</v>
      </c>
      <c r="H11145" s="2" t="s">
        <v>22239</v>
      </c>
    </row>
    <row r="11146" spans="1:8" ht="25.05" customHeight="1" x14ac:dyDescent="0.25">
      <c r="A11146" s="2" t="s">
        <v>8</v>
      </c>
      <c r="B11146" s="2" t="str">
        <f>HYPERLINK("http://ts.21cn.com/tousu/show/id/1342406","本人没有在捷信金融存在借款行为，一直电话骚扰")</f>
        <v>本人没有在捷信金融存在借款行为，一直电话骚扰</v>
      </c>
      <c r="C11146" s="2" t="s">
        <v>9</v>
      </c>
      <c r="D11146" s="2" t="s">
        <v>10</v>
      </c>
      <c r="E11146" s="2" t="str">
        <f>HYPERLINK("http://ts.21cn.com/tousu/show/id/1342406","http://ts.21cn.com/tousu/show/id/1342406")</f>
        <v>http://ts.21cn.com/tousu/show/id/1342406</v>
      </c>
      <c r="F11146" s="2" t="s">
        <v>11</v>
      </c>
      <c r="G11146" s="2" t="s">
        <v>22236</v>
      </c>
      <c r="H11146" s="2" t="s">
        <v>22237</v>
      </c>
    </row>
    <row r="11147" spans="1:8" ht="25.05" customHeight="1" x14ac:dyDescent="0.25">
      <c r="A11147" s="2" t="s">
        <v>8</v>
      </c>
      <c r="B11147" s="2" t="str">
        <f>HYPERLINK("http://ts.21cn.com/tousu/show/id/1342407","收砍头息，暴力催收，冒充私发人员")</f>
        <v>收砍头息，暴力催收，冒充私发人员</v>
      </c>
      <c r="C11147" s="2" t="s">
        <v>9</v>
      </c>
      <c r="D11147" s="2" t="s">
        <v>10</v>
      </c>
      <c r="E11147" s="2" t="str">
        <f>HYPERLINK("http://ts.21cn.com/tousu/show/id/1342407","http://ts.21cn.com/tousu/show/id/1342407")</f>
        <v>http://ts.21cn.com/tousu/show/id/1342407</v>
      </c>
      <c r="F11147" s="2" t="s">
        <v>11</v>
      </c>
      <c r="G11147" s="2" t="s">
        <v>22234</v>
      </c>
      <c r="H11147" s="2" t="s">
        <v>22235</v>
      </c>
    </row>
    <row r="11148" spans="1:8" ht="25.05" customHeight="1" x14ac:dyDescent="0.25">
      <c r="A11148" s="2" t="s">
        <v>8</v>
      </c>
      <c r="B11148" s="2" t="str">
        <f>HYPERLINK("http://ts.21cn.com/tousu/show/id/1342411","支付宝旗下想有钱高利贷威胁还款支付宝协助还款渠道1100还1500")</f>
        <v>支付宝旗下想有钱高利贷威胁还款支付宝协助还款渠道1100还1500</v>
      </c>
      <c r="C11148" s="2" t="s">
        <v>9</v>
      </c>
      <c r="D11148" s="2" t="s">
        <v>10</v>
      </c>
      <c r="E11148" s="2" t="str">
        <f>HYPERLINK("http://ts.21cn.com/tousu/show/id/1342411","http://ts.21cn.com/tousu/show/id/1342411")</f>
        <v>http://ts.21cn.com/tousu/show/id/1342411</v>
      </c>
      <c r="F11148" s="2" t="s">
        <v>11</v>
      </c>
      <c r="G11148" s="2" t="s">
        <v>22232</v>
      </c>
      <c r="H11148" s="2" t="s">
        <v>22233</v>
      </c>
    </row>
    <row r="11149" spans="1:8" ht="25.05" customHeight="1" x14ac:dyDescent="0.25">
      <c r="A11149" s="2" t="s">
        <v>8</v>
      </c>
      <c r="B11149" s="2" t="str">
        <f>HYPERLINK("http://ts.21cn.com/tousu/show/id/1342412","投诉招商银行")</f>
        <v>投诉招商银行</v>
      </c>
      <c r="C11149" s="2" t="s">
        <v>9</v>
      </c>
      <c r="D11149" s="2" t="s">
        <v>10</v>
      </c>
      <c r="E11149" s="2" t="str">
        <f>HYPERLINK("http://ts.21cn.com/tousu/show/id/1342412","http://ts.21cn.com/tousu/show/id/1342412")</f>
        <v>http://ts.21cn.com/tousu/show/id/1342412</v>
      </c>
      <c r="F11149" s="2" t="s">
        <v>11</v>
      </c>
      <c r="G11149" s="2" t="s">
        <v>22230</v>
      </c>
      <c r="H11149" s="2" t="s">
        <v>22231</v>
      </c>
    </row>
    <row r="11150" spans="1:8" ht="25.05" customHeight="1" x14ac:dyDescent="0.25">
      <c r="A11150" s="2" t="s">
        <v>8</v>
      </c>
      <c r="B11150" s="2" t="str">
        <f>HYPERLINK("http://ts.21cn.com/tousu/show/id/1342413","微贷网多米贷恐吓催收")</f>
        <v>微贷网多米贷恐吓催收</v>
      </c>
      <c r="C11150" s="2" t="s">
        <v>9</v>
      </c>
      <c r="D11150" s="2" t="s">
        <v>10</v>
      </c>
      <c r="E11150" s="2" t="str">
        <f>HYPERLINK("http://ts.21cn.com/tousu/show/id/1342413","http://ts.21cn.com/tousu/show/id/1342413")</f>
        <v>http://ts.21cn.com/tousu/show/id/1342413</v>
      </c>
      <c r="F11150" s="2" t="s">
        <v>11</v>
      </c>
      <c r="G11150" s="2" t="s">
        <v>22228</v>
      </c>
      <c r="H11150" s="2" t="s">
        <v>22229</v>
      </c>
    </row>
    <row r="11151" spans="1:8" ht="25.05" customHeight="1" x14ac:dyDescent="0.25">
      <c r="A11151" s="2" t="s">
        <v>8</v>
      </c>
      <c r="B11151" s="2" t="str">
        <f>HYPERLINK("http://ts.21cn.com/tousu/show/id/1342414","武汉善学教育不退款霸王条款")</f>
        <v>武汉善学教育不退款霸王条款</v>
      </c>
      <c r="C11151" s="2" t="s">
        <v>9</v>
      </c>
      <c r="D11151" s="2" t="s">
        <v>10</v>
      </c>
      <c r="E11151" s="2" t="str">
        <f>HYPERLINK("http://ts.21cn.com/tousu/show/id/1342414","http://ts.21cn.com/tousu/show/id/1342414")</f>
        <v>http://ts.21cn.com/tousu/show/id/1342414</v>
      </c>
      <c r="F11151" s="2" t="s">
        <v>11</v>
      </c>
      <c r="G11151" s="2" t="s">
        <v>22226</v>
      </c>
      <c r="H11151" s="2" t="s">
        <v>22227</v>
      </c>
    </row>
    <row r="11152" spans="1:8" ht="25.05" customHeight="1" x14ac:dyDescent="0.25">
      <c r="A11152" s="2" t="s">
        <v>8</v>
      </c>
      <c r="B11152" s="2" t="str">
        <f>HYPERLINK("http://ts.21cn.com/tousu/show/id/1342415","小浦优客恶意扣款不退钱")</f>
        <v>小浦优客恶意扣款不退钱</v>
      </c>
      <c r="C11152" s="2" t="s">
        <v>9</v>
      </c>
      <c r="D11152" s="2" t="s">
        <v>10</v>
      </c>
      <c r="E11152" s="2" t="str">
        <f>HYPERLINK("http://ts.21cn.com/tousu/show/id/1342415","http://ts.21cn.com/tousu/show/id/1342415")</f>
        <v>http://ts.21cn.com/tousu/show/id/1342415</v>
      </c>
      <c r="F11152" s="2" t="s">
        <v>11</v>
      </c>
      <c r="G11152" s="2" t="s">
        <v>22224</v>
      </c>
      <c r="H11152" s="2" t="s">
        <v>22225</v>
      </c>
    </row>
    <row r="11153" spans="1:8" ht="25.05" customHeight="1" x14ac:dyDescent="0.25">
      <c r="A11153" s="2" t="s">
        <v>8</v>
      </c>
      <c r="B11153" s="2" t="str">
        <f>HYPERLINK("http://ts.21cn.com/tousu/show/id/1342416","催收乱打电话")</f>
        <v>催收乱打电话</v>
      </c>
      <c r="C11153" s="2" t="s">
        <v>9</v>
      </c>
      <c r="D11153" s="2" t="s">
        <v>10</v>
      </c>
      <c r="E11153" s="2" t="str">
        <f>HYPERLINK("http://ts.21cn.com/tousu/show/id/1342416","http://ts.21cn.com/tousu/show/id/1342416")</f>
        <v>http://ts.21cn.com/tousu/show/id/1342416</v>
      </c>
      <c r="F11153" s="2" t="s">
        <v>11</v>
      </c>
      <c r="G11153" s="2" t="s">
        <v>22222</v>
      </c>
      <c r="H11153" s="2" t="s">
        <v>22223</v>
      </c>
    </row>
    <row r="11154" spans="1:8" ht="25.05" customHeight="1" x14ac:dyDescent="0.25">
      <c r="A11154" s="2" t="s">
        <v>8</v>
      </c>
      <c r="B11154" s="2" t="str">
        <f>HYPERLINK("http://ts.21cn.com/tousu/show/id/1342419","信用管家平台恶意捆绑收费，行为严重")</f>
        <v>信用管家平台恶意捆绑收费，行为严重</v>
      </c>
      <c r="C11154" s="2" t="s">
        <v>9</v>
      </c>
      <c r="D11154" s="2" t="s">
        <v>10</v>
      </c>
      <c r="E11154" s="2" t="str">
        <f>HYPERLINK("http://ts.21cn.com/tousu/show/id/1342419","http://ts.21cn.com/tousu/show/id/1342419")</f>
        <v>http://ts.21cn.com/tousu/show/id/1342419</v>
      </c>
      <c r="F11154" s="2" t="s">
        <v>11</v>
      </c>
      <c r="G11154" s="2" t="s">
        <v>22220</v>
      </c>
      <c r="H11154" s="2" t="s">
        <v>22221</v>
      </c>
    </row>
    <row r="11155" spans="1:8" ht="25.05" customHeight="1" x14ac:dyDescent="0.25">
      <c r="A11155" s="2" t="s">
        <v>8</v>
      </c>
      <c r="B11155" s="2" t="str">
        <f>HYPERLINK("http://ts.21cn.com/tousu/show/id/1342417","自由魔卡里的泉友贷变相砍头息")</f>
        <v>自由魔卡里的泉友贷变相砍头息</v>
      </c>
      <c r="C11155" s="2" t="s">
        <v>9</v>
      </c>
      <c r="D11155" s="2" t="s">
        <v>10</v>
      </c>
      <c r="E11155" s="2" t="str">
        <f>HYPERLINK("http://ts.21cn.com/tousu/show/id/1342417","http://ts.21cn.com/tousu/show/id/1342417")</f>
        <v>http://ts.21cn.com/tousu/show/id/1342417</v>
      </c>
      <c r="F11155" s="2" t="s">
        <v>11</v>
      </c>
      <c r="G11155" s="2" t="s">
        <v>22218</v>
      </c>
      <c r="H11155" s="2" t="s">
        <v>22219</v>
      </c>
    </row>
    <row r="11156" spans="1:8" ht="25.05" customHeight="1" x14ac:dyDescent="0.25">
      <c r="A11156" s="2" t="s">
        <v>8</v>
      </c>
      <c r="B11156" s="2" t="str">
        <f>HYPERLINK("http://ts.21cn.com/tousu/show/id/1342409","你我货阴阳合同")</f>
        <v>你我货阴阳合同</v>
      </c>
      <c r="C11156" s="2" t="s">
        <v>9</v>
      </c>
      <c r="D11156" s="2" t="s">
        <v>10</v>
      </c>
      <c r="E11156" s="2" t="str">
        <f>HYPERLINK("http://ts.21cn.com/tousu/show/id/1342409","http://ts.21cn.com/tousu/show/id/1342409")</f>
        <v>http://ts.21cn.com/tousu/show/id/1342409</v>
      </c>
      <c r="F11156" s="2" t="s">
        <v>11</v>
      </c>
      <c r="G11156" s="2" t="s">
        <v>22216</v>
      </c>
      <c r="H11156" s="2" t="s">
        <v>22217</v>
      </c>
    </row>
    <row r="11157" spans="1:8" ht="25.05" customHeight="1" x14ac:dyDescent="0.25">
      <c r="A11157" s="2" t="s">
        <v>8</v>
      </c>
      <c r="B11157" s="2" t="str">
        <f>HYPERLINK("http://ts.21cn.com/tousu/show/id/1342418","申通快递员")</f>
        <v>申通快递员</v>
      </c>
      <c r="C11157" s="2" t="s">
        <v>9</v>
      </c>
      <c r="D11157" s="2" t="s">
        <v>10</v>
      </c>
      <c r="E11157" s="2" t="str">
        <f>HYPERLINK("http://ts.21cn.com/tousu/show/id/1342418","http://ts.21cn.com/tousu/show/id/1342418")</f>
        <v>http://ts.21cn.com/tousu/show/id/1342418</v>
      </c>
      <c r="F11157" s="2" t="s">
        <v>11</v>
      </c>
      <c r="G11157" s="2" t="s">
        <v>22214</v>
      </c>
      <c r="H11157" s="2" t="s">
        <v>22215</v>
      </c>
    </row>
    <row r="11158" spans="1:8" ht="25.05" customHeight="1" x14ac:dyDescent="0.25">
      <c r="A11158" s="2" t="s">
        <v>8</v>
      </c>
      <c r="B11158" s="2" t="str">
        <f>HYPERLINK("http://ts.21cn.com/tousu/show/id/1342421","苹果APP.EnlightVideoleapVideoEditor未经本人允许扣费")</f>
        <v>苹果APP.EnlightVideoleapVideoEditor未经本人允许扣费</v>
      </c>
      <c r="C11158" s="2" t="s">
        <v>9</v>
      </c>
      <c r="D11158" s="2" t="s">
        <v>10</v>
      </c>
      <c r="E11158" s="2" t="str">
        <f>HYPERLINK("http://ts.21cn.com/tousu/show/id/1342421","http://ts.21cn.com/tousu/show/id/1342421")</f>
        <v>http://ts.21cn.com/tousu/show/id/1342421</v>
      </c>
      <c r="F11158" s="2" t="s">
        <v>11</v>
      </c>
      <c r="G11158" s="2" t="s">
        <v>22212</v>
      </c>
      <c r="H11158" s="2" t="s">
        <v>22213</v>
      </c>
    </row>
    <row r="11159" spans="1:8" ht="25.05" customHeight="1" x14ac:dyDescent="0.25">
      <c r="A11159" s="2" t="s">
        <v>8</v>
      </c>
      <c r="B11159" s="2" t="str">
        <f>HYPERLINK("http://ts.21cn.com/tousu/show/id/1342408","韵达快递四五天不配送不更新")</f>
        <v>韵达快递四五天不配送不更新</v>
      </c>
      <c r="C11159" s="2" t="s">
        <v>9</v>
      </c>
      <c r="D11159" s="2" t="s">
        <v>10</v>
      </c>
      <c r="E11159" s="2" t="str">
        <f>HYPERLINK("http://ts.21cn.com/tousu/show/id/1342408","http://ts.21cn.com/tousu/show/id/1342408")</f>
        <v>http://ts.21cn.com/tousu/show/id/1342408</v>
      </c>
      <c r="F11159" s="2" t="s">
        <v>11</v>
      </c>
      <c r="G11159" s="2" t="s">
        <v>22210</v>
      </c>
      <c r="H11159" s="2" t="s">
        <v>22211</v>
      </c>
    </row>
    <row r="11160" spans="1:8" ht="25.05" customHeight="1" x14ac:dyDescent="0.25">
      <c r="A11160" s="2" t="s">
        <v>8</v>
      </c>
      <c r="B11160" s="2" t="str">
        <f>HYPERLINK("http://ts.21cn.com/tousu/show/id/1342423","聚福钱包未经许可私自扣款")</f>
        <v>聚福钱包未经许可私自扣款</v>
      </c>
      <c r="C11160" s="2" t="s">
        <v>9</v>
      </c>
      <c r="D11160" s="2" t="s">
        <v>10</v>
      </c>
      <c r="E11160" s="2" t="str">
        <f>HYPERLINK("http://ts.21cn.com/tousu/show/id/1342423","http://ts.21cn.com/tousu/show/id/1342423")</f>
        <v>http://ts.21cn.com/tousu/show/id/1342423</v>
      </c>
      <c r="F11160" s="2" t="s">
        <v>11</v>
      </c>
      <c r="G11160" s="2" t="s">
        <v>22208</v>
      </c>
      <c r="H11160" s="2" t="s">
        <v>22209</v>
      </c>
    </row>
    <row r="11161" spans="1:8" ht="25.05" customHeight="1" x14ac:dyDescent="0.25">
      <c r="A11161" s="2" t="s">
        <v>8</v>
      </c>
      <c r="B11161" s="2" t="str">
        <f>HYPERLINK("http://ts.21cn.com/tousu/show/id/1342345","骚扰严重影响生活")</f>
        <v>骚扰严重影响生活</v>
      </c>
      <c r="C11161" s="2" t="s">
        <v>9</v>
      </c>
      <c r="D11161" s="2" t="s">
        <v>10</v>
      </c>
      <c r="E11161" s="2" t="str">
        <f>HYPERLINK("http://ts.21cn.com/tousu/show/id/1342345","http://ts.21cn.com/tousu/show/id/1342345")</f>
        <v>http://ts.21cn.com/tousu/show/id/1342345</v>
      </c>
      <c r="F11161" s="2" t="s">
        <v>11</v>
      </c>
      <c r="G11161" s="2" t="s">
        <v>22206</v>
      </c>
      <c r="H11161" s="2" t="s">
        <v>22207</v>
      </c>
    </row>
    <row r="11162" spans="1:8" ht="25.05" customHeight="1" x14ac:dyDescent="0.25">
      <c r="A11162" s="2" t="s">
        <v>8</v>
      </c>
      <c r="B11162" s="2" t="str">
        <f>HYPERLINK("http://ts.21cn.com/tousu/show/id/1342422","请求与招商银行信用卡中心协商还款")</f>
        <v>请求与招商银行信用卡中心协商还款</v>
      </c>
      <c r="C11162" s="2" t="s">
        <v>9</v>
      </c>
      <c r="D11162" s="2" t="s">
        <v>10</v>
      </c>
      <c r="E11162" s="2" t="str">
        <f>HYPERLINK("http://ts.21cn.com/tousu/show/id/1342422","http://ts.21cn.com/tousu/show/id/1342422")</f>
        <v>http://ts.21cn.com/tousu/show/id/1342422</v>
      </c>
      <c r="F11162" s="2" t="s">
        <v>11</v>
      </c>
      <c r="G11162" s="2" t="s">
        <v>22204</v>
      </c>
      <c r="H11162" s="2" t="s">
        <v>22205</v>
      </c>
    </row>
    <row r="11163" spans="1:8" ht="25.05" customHeight="1" x14ac:dyDescent="0.25">
      <c r="A11163" s="2" t="s">
        <v>8</v>
      </c>
      <c r="B11163" s="2" t="str">
        <f>HYPERLINK("http://ts.21cn.com/tousu/show/id/1342424","逾期后不停的乱打骚扰电话")</f>
        <v>逾期后不停的乱打骚扰电话</v>
      </c>
      <c r="C11163" s="2" t="s">
        <v>9</v>
      </c>
      <c r="D11163" s="2" t="s">
        <v>10</v>
      </c>
      <c r="E11163" s="2" t="str">
        <f>HYPERLINK("http://ts.21cn.com/tousu/show/id/1342424","http://ts.21cn.com/tousu/show/id/1342424")</f>
        <v>http://ts.21cn.com/tousu/show/id/1342424</v>
      </c>
      <c r="F11163" s="2" t="s">
        <v>11</v>
      </c>
      <c r="G11163" s="2" t="s">
        <v>22202</v>
      </c>
      <c r="H11163" s="2" t="s">
        <v>22203</v>
      </c>
    </row>
    <row r="11164" spans="1:8" ht="25.05" customHeight="1" x14ac:dyDescent="0.25">
      <c r="A11164" s="2" t="s">
        <v>8</v>
      </c>
      <c r="B11164" s="2" t="str">
        <f>HYPERLINK("http://ts.21cn.com/tousu/show/id/1342428","百事普惠恶意扣款299")</f>
        <v>百事普惠恶意扣款299</v>
      </c>
      <c r="C11164" s="2" t="s">
        <v>9</v>
      </c>
      <c r="D11164" s="2" t="s">
        <v>10</v>
      </c>
      <c r="E11164" s="2" t="str">
        <f>HYPERLINK("http://ts.21cn.com/tousu/show/id/1342428","http://ts.21cn.com/tousu/show/id/1342428")</f>
        <v>http://ts.21cn.com/tousu/show/id/1342428</v>
      </c>
      <c r="F11164" s="2" t="s">
        <v>11</v>
      </c>
      <c r="G11164" s="2" t="s">
        <v>22200</v>
      </c>
      <c r="H11164" s="2" t="s">
        <v>22201</v>
      </c>
    </row>
    <row r="11165" spans="1:8" ht="25.05" customHeight="1" x14ac:dyDescent="0.25">
      <c r="A11165" s="2" t="s">
        <v>8</v>
      </c>
      <c r="B11165" s="2" t="str">
        <f>HYPERLINK("http://ts.21cn.com/tousu/show/id/1342429","乱扣费")</f>
        <v>乱扣费</v>
      </c>
      <c r="C11165" s="2" t="s">
        <v>9</v>
      </c>
      <c r="D11165" s="2" t="s">
        <v>10</v>
      </c>
      <c r="E11165" s="2" t="str">
        <f>HYPERLINK("http://ts.21cn.com/tousu/show/id/1342429","http://ts.21cn.com/tousu/show/id/1342429")</f>
        <v>http://ts.21cn.com/tousu/show/id/1342429</v>
      </c>
      <c r="F11165" s="2" t="s">
        <v>11</v>
      </c>
      <c r="G11165" s="2" t="s">
        <v>22198</v>
      </c>
      <c r="H11165" s="2" t="s">
        <v>22199</v>
      </c>
    </row>
    <row r="11166" spans="1:8" ht="25.05" customHeight="1" x14ac:dyDescent="0.25">
      <c r="A11166" s="2" t="s">
        <v>8</v>
      </c>
      <c r="B11166" s="2" t="str">
        <f>HYPERLINK("http://ts.21cn.com/tousu/show/id/1342426","月光侠分期存在砍头息，高利贷")</f>
        <v>月光侠分期存在砍头息，高利贷</v>
      </c>
      <c r="C11166" s="2" t="s">
        <v>9</v>
      </c>
      <c r="D11166" s="2" t="s">
        <v>10</v>
      </c>
      <c r="E11166" s="2" t="str">
        <f>HYPERLINK("http://ts.21cn.com/tousu/show/id/1342426","http://ts.21cn.com/tousu/show/id/1342426")</f>
        <v>http://ts.21cn.com/tousu/show/id/1342426</v>
      </c>
      <c r="F11166" s="2" t="s">
        <v>11</v>
      </c>
      <c r="G11166" s="2" t="s">
        <v>22196</v>
      </c>
      <c r="H11166" s="2" t="s">
        <v>22197</v>
      </c>
    </row>
    <row r="11167" spans="1:8" ht="25.05" customHeight="1" x14ac:dyDescent="0.25">
      <c r="A11167" s="2" t="s">
        <v>8</v>
      </c>
      <c r="B11167" s="2" t="str">
        <f>HYPERLINK("http://ts.21cn.com/tousu/show/id/1342427","平安普惠贷款隐瞒隐藏并强制收取高额保险费管理费投诉事宜")</f>
        <v>平安普惠贷款隐瞒隐藏并强制收取高额保险费管理费投诉事宜</v>
      </c>
      <c r="C11167" s="2" t="s">
        <v>9</v>
      </c>
      <c r="D11167" s="2" t="s">
        <v>10</v>
      </c>
      <c r="E11167" s="2" t="str">
        <f>HYPERLINK("http://ts.21cn.com/tousu/show/id/1342427","http://ts.21cn.com/tousu/show/id/1342427")</f>
        <v>http://ts.21cn.com/tousu/show/id/1342427</v>
      </c>
      <c r="F11167" s="2" t="s">
        <v>11</v>
      </c>
      <c r="G11167" s="2" t="s">
        <v>22194</v>
      </c>
      <c r="H11167" s="2" t="s">
        <v>22195</v>
      </c>
    </row>
    <row r="11168" spans="1:8" ht="25.05" customHeight="1" x14ac:dyDescent="0.25">
      <c r="A11168" s="2" t="s">
        <v>8</v>
      </c>
      <c r="B11168" s="2" t="str">
        <f>HYPERLINK("http://ts.21cn.com/tousu/show/id/1342430","套路贷款恐吓")</f>
        <v>套路贷款恐吓</v>
      </c>
      <c r="C11168" s="2" t="s">
        <v>9</v>
      </c>
      <c r="D11168" s="2" t="s">
        <v>10</v>
      </c>
      <c r="E11168" s="2" t="str">
        <f>HYPERLINK("http://ts.21cn.com/tousu/show/id/1342430","http://ts.21cn.com/tousu/show/id/1342430")</f>
        <v>http://ts.21cn.com/tousu/show/id/1342430</v>
      </c>
      <c r="F11168" s="2" t="s">
        <v>11</v>
      </c>
      <c r="G11168" s="2" t="s">
        <v>22192</v>
      </c>
      <c r="H11168" s="2" t="s">
        <v>22193</v>
      </c>
    </row>
    <row r="11169" spans="1:8" ht="25.05" customHeight="1" x14ac:dyDescent="0.25">
      <c r="A11169" s="2" t="s">
        <v>8</v>
      </c>
      <c r="B11169" s="2" t="str">
        <f>HYPERLINK("http://ts.21cn.com/tousu/show/id/1342431","百度有钱花非法催收")</f>
        <v>百度有钱花非法催收</v>
      </c>
      <c r="C11169" s="2" t="s">
        <v>9</v>
      </c>
      <c r="D11169" s="2" t="s">
        <v>10</v>
      </c>
      <c r="E11169" s="2" t="str">
        <f>HYPERLINK("http://ts.21cn.com/tousu/show/id/1342431","http://ts.21cn.com/tousu/show/id/1342431")</f>
        <v>http://ts.21cn.com/tousu/show/id/1342431</v>
      </c>
      <c r="F11169" s="2" t="s">
        <v>11</v>
      </c>
      <c r="G11169" s="2" t="s">
        <v>22190</v>
      </c>
      <c r="H11169" s="2" t="s">
        <v>22191</v>
      </c>
    </row>
    <row r="11170" spans="1:8" ht="25.05" customHeight="1" x14ac:dyDescent="0.25">
      <c r="A11170" s="2" t="s">
        <v>8</v>
      </c>
      <c r="B11170" s="2" t="str">
        <f>HYPERLINK("http://ts.21cn.com/tousu/show/id/1342432","利息高达百分之七十，出口侮辱人，一直联系不到客服")</f>
        <v>利息高达百分之七十，出口侮辱人，一直联系不到客服</v>
      </c>
      <c r="C11170" s="2" t="s">
        <v>9</v>
      </c>
      <c r="D11170" s="2" t="s">
        <v>10</v>
      </c>
      <c r="E11170" s="2" t="str">
        <f>HYPERLINK("http://ts.21cn.com/tousu/show/id/1342432","http://ts.21cn.com/tousu/show/id/1342432")</f>
        <v>http://ts.21cn.com/tousu/show/id/1342432</v>
      </c>
      <c r="F11170" s="2" t="s">
        <v>11</v>
      </c>
      <c r="G11170" s="2" t="s">
        <v>22188</v>
      </c>
      <c r="H11170" s="2" t="s">
        <v>22189</v>
      </c>
    </row>
    <row r="11171" spans="1:8" ht="25.05" customHeight="1" x14ac:dyDescent="0.25">
      <c r="A11171" s="2" t="s">
        <v>8</v>
      </c>
      <c r="B11171" s="2" t="str">
        <f>HYPERLINK("http://ts.21cn.com/tousu/show/id/1342403","中腾信，高利贷下款额度与合同金额不符合")</f>
        <v>中腾信，高利贷下款额度与合同金额不符合</v>
      </c>
      <c r="C11171" s="2" t="s">
        <v>9</v>
      </c>
      <c r="D11171" s="2" t="s">
        <v>10</v>
      </c>
      <c r="E11171" s="2" t="str">
        <f>HYPERLINK("http://ts.21cn.com/tousu/show/id/1342403","http://ts.21cn.com/tousu/show/id/1342403")</f>
        <v>http://ts.21cn.com/tousu/show/id/1342403</v>
      </c>
      <c r="F11171" s="2" t="s">
        <v>11</v>
      </c>
      <c r="G11171" s="2" t="s">
        <v>22186</v>
      </c>
      <c r="H11171" s="2" t="s">
        <v>22187</v>
      </c>
    </row>
    <row r="11172" spans="1:8" ht="25.05" customHeight="1" x14ac:dyDescent="0.25">
      <c r="A11172" s="2" t="s">
        <v>8</v>
      </c>
      <c r="B11172" s="2" t="str">
        <f>HYPERLINK("http://ts.21cn.com/tousu/show/id/1342435","立借阴阳合同暴力催收")</f>
        <v>立借阴阳合同暴力催收</v>
      </c>
      <c r="C11172" s="2" t="s">
        <v>9</v>
      </c>
      <c r="D11172" s="2" t="s">
        <v>10</v>
      </c>
      <c r="E11172" s="2" t="str">
        <f>HYPERLINK("http://ts.21cn.com/tousu/show/id/1342435","http://ts.21cn.com/tousu/show/id/1342435")</f>
        <v>http://ts.21cn.com/tousu/show/id/1342435</v>
      </c>
      <c r="F11172" s="2" t="s">
        <v>11</v>
      </c>
      <c r="G11172" s="2" t="s">
        <v>22183</v>
      </c>
      <c r="H11172" s="2" t="s">
        <v>22184</v>
      </c>
    </row>
    <row r="11173" spans="1:8" ht="25.05" customHeight="1" x14ac:dyDescent="0.25">
      <c r="A11173" s="2" t="s">
        <v>8</v>
      </c>
      <c r="B11173" s="2" t="str">
        <f>HYPERLINK("http://ts.21cn.com/tousu/show/id/1342436","被暴力催收的女大学生")</f>
        <v>被暴力催收的女大学生</v>
      </c>
      <c r="C11173" s="2" t="s">
        <v>9</v>
      </c>
      <c r="D11173" s="2" t="s">
        <v>10</v>
      </c>
      <c r="E11173" s="2" t="str">
        <f>HYPERLINK("http://ts.21cn.com/tousu/show/id/1342436","http://ts.21cn.com/tousu/show/id/1342436")</f>
        <v>http://ts.21cn.com/tousu/show/id/1342436</v>
      </c>
      <c r="F11173" s="2" t="s">
        <v>11</v>
      </c>
      <c r="G11173" s="2" t="s">
        <v>22183</v>
      </c>
      <c r="H11173" s="2" t="s">
        <v>22185</v>
      </c>
    </row>
    <row r="11174" spans="1:8" ht="25.05" customHeight="1" x14ac:dyDescent="0.25">
      <c r="A11174" s="2" t="s">
        <v>8</v>
      </c>
      <c r="B11174" s="2" t="str">
        <f>HYPERLINK("http://ts.21cn.com/tousu/show/id/1342437","闪银还清欠款后冻结借款")</f>
        <v>闪银还清欠款后冻结借款</v>
      </c>
      <c r="C11174" s="2" t="s">
        <v>34</v>
      </c>
      <c r="D11174" s="2" t="s">
        <v>10</v>
      </c>
      <c r="E11174" s="2" t="str">
        <f>HYPERLINK("http://ts.21cn.com/tousu/show/id/1342437","http://ts.21cn.com/tousu/show/id/1342437")</f>
        <v>http://ts.21cn.com/tousu/show/id/1342437</v>
      </c>
      <c r="F11174" s="2" t="s">
        <v>11</v>
      </c>
      <c r="G11174" s="2" t="s">
        <v>22181</v>
      </c>
      <c r="H11174" s="2" t="s">
        <v>22182</v>
      </c>
    </row>
    <row r="11175" spans="1:8" ht="25.05" customHeight="1" x14ac:dyDescent="0.25">
      <c r="A11175" s="2" t="s">
        <v>8</v>
      </c>
      <c r="B11175" s="2" t="str">
        <f>HYPERLINK("http://ts.21cn.com/tousu/show/id/1342438","钱站催收张口辱骂宽限还款日")</f>
        <v>钱站催收张口辱骂宽限还款日</v>
      </c>
      <c r="C11175" s="2" t="s">
        <v>9</v>
      </c>
      <c r="D11175" s="2" t="s">
        <v>10</v>
      </c>
      <c r="E11175" s="2" t="str">
        <f>HYPERLINK("http://ts.21cn.com/tousu/show/id/1342438","http://ts.21cn.com/tousu/show/id/1342438")</f>
        <v>http://ts.21cn.com/tousu/show/id/1342438</v>
      </c>
      <c r="F11175" s="2" t="s">
        <v>11</v>
      </c>
      <c r="G11175" s="2" t="s">
        <v>22179</v>
      </c>
      <c r="H11175" s="2" t="s">
        <v>22180</v>
      </c>
    </row>
    <row r="11176" spans="1:8" ht="25.05" customHeight="1" x14ac:dyDescent="0.25">
      <c r="A11176" s="2" t="s">
        <v>8</v>
      </c>
      <c r="B11176" s="2" t="str">
        <f>HYPERLINK("http://ts.21cn.com/tousu/show/id/1342420","来分期大额借款17800分12期，征信报告显示23800，高达5000的利息")</f>
        <v>来分期大额借款17800分12期，征信报告显示23800，高达5000的利息</v>
      </c>
      <c r="C11176" s="2" t="s">
        <v>9</v>
      </c>
      <c r="D11176" s="2" t="s">
        <v>10</v>
      </c>
      <c r="E11176" s="2" t="str">
        <f>HYPERLINK("http://ts.21cn.com/tousu/show/id/1342420","http://ts.21cn.com/tousu/show/id/1342420")</f>
        <v>http://ts.21cn.com/tousu/show/id/1342420</v>
      </c>
      <c r="F11176" s="2" t="s">
        <v>11</v>
      </c>
      <c r="G11176" s="2" t="s">
        <v>22177</v>
      </c>
      <c r="H11176" s="2" t="s">
        <v>22178</v>
      </c>
    </row>
    <row r="11177" spans="1:8" ht="25.05" customHeight="1" x14ac:dyDescent="0.25">
      <c r="A11177" s="2" t="s">
        <v>8</v>
      </c>
      <c r="B11177" s="2" t="str">
        <f>HYPERLINK("http://ts.21cn.com/tousu/show/id/1342440","长沙哼缘客栈卫生环境差")</f>
        <v>长沙哼缘客栈卫生环境差</v>
      </c>
      <c r="C11177" s="2" t="s">
        <v>9</v>
      </c>
      <c r="D11177" s="2" t="s">
        <v>10</v>
      </c>
      <c r="E11177" s="2" t="str">
        <f>HYPERLINK("http://ts.21cn.com/tousu/show/id/1342440","http://ts.21cn.com/tousu/show/id/1342440")</f>
        <v>http://ts.21cn.com/tousu/show/id/1342440</v>
      </c>
      <c r="F11177" s="2" t="s">
        <v>11</v>
      </c>
      <c r="G11177" s="2" t="s">
        <v>22175</v>
      </c>
      <c r="H11177" s="2" t="s">
        <v>22176</v>
      </c>
    </row>
    <row r="11178" spans="1:8" ht="25.05" customHeight="1" x14ac:dyDescent="0.25">
      <c r="A11178" s="2" t="s">
        <v>8</v>
      </c>
      <c r="B11178" s="2" t="str">
        <f>HYPERLINK("http://ts.21cn.com/tousu/show/id/1342441","智行火车票抢票出现漏洞")</f>
        <v>智行火车票抢票出现漏洞</v>
      </c>
      <c r="C11178" s="2" t="s">
        <v>9</v>
      </c>
      <c r="D11178" s="2" t="s">
        <v>10</v>
      </c>
      <c r="E11178" s="2" t="str">
        <f>HYPERLINK("http://ts.21cn.com/tousu/show/id/1342441","http://ts.21cn.com/tousu/show/id/1342441")</f>
        <v>http://ts.21cn.com/tousu/show/id/1342441</v>
      </c>
      <c r="F11178" s="2" t="s">
        <v>11</v>
      </c>
      <c r="G11178" s="2" t="s">
        <v>22173</v>
      </c>
      <c r="H11178" s="2" t="s">
        <v>22174</v>
      </c>
    </row>
    <row r="11179" spans="1:8" ht="25.05" customHeight="1" x14ac:dyDescent="0.25">
      <c r="A11179" s="2" t="s">
        <v>8</v>
      </c>
      <c r="B11179" s="2" t="str">
        <f>HYPERLINK("http://ts.21cn.com/tousu/show/id/1342433","合同欺诈，私自扣款")</f>
        <v>合同欺诈，私自扣款</v>
      </c>
      <c r="C11179" s="2" t="s">
        <v>9</v>
      </c>
      <c r="D11179" s="2" t="s">
        <v>10</v>
      </c>
      <c r="E11179" s="2" t="str">
        <f>HYPERLINK("http://ts.21cn.com/tousu/show/id/1342433","http://ts.21cn.com/tousu/show/id/1342433")</f>
        <v>http://ts.21cn.com/tousu/show/id/1342433</v>
      </c>
      <c r="F11179" s="2" t="s">
        <v>11</v>
      </c>
      <c r="G11179" s="2" t="s">
        <v>22171</v>
      </c>
      <c r="H11179" s="2" t="s">
        <v>22172</v>
      </c>
    </row>
    <row r="11180" spans="1:8" ht="25.05" customHeight="1" x14ac:dyDescent="0.25">
      <c r="A11180" s="2" t="s">
        <v>8</v>
      </c>
      <c r="B11180" s="2" t="str">
        <f>HYPERLINK("http://ts.21cn.com/tousu/show/id/1342444","你我贷对公还款不销账")</f>
        <v>你我贷对公还款不销账</v>
      </c>
      <c r="C11180" s="2" t="s">
        <v>34</v>
      </c>
      <c r="D11180" s="2" t="s">
        <v>10</v>
      </c>
      <c r="E11180" s="2" t="str">
        <f>HYPERLINK("http://ts.21cn.com/tousu/show/id/1342444","http://ts.21cn.com/tousu/show/id/1342444")</f>
        <v>http://ts.21cn.com/tousu/show/id/1342444</v>
      </c>
      <c r="F11180" s="2" t="s">
        <v>11</v>
      </c>
      <c r="G11180" s="2" t="s">
        <v>22169</v>
      </c>
      <c r="H11180" s="2" t="s">
        <v>22170</v>
      </c>
    </row>
    <row r="11181" spans="1:8" ht="25.05" customHeight="1" x14ac:dyDescent="0.25">
      <c r="A11181" s="2" t="s">
        <v>8</v>
      </c>
      <c r="B11181" s="2" t="str">
        <f>HYPERLINK("http://ts.21cn.com/tousu/show/id/1342445","请求额度恢复可用")</f>
        <v>请求额度恢复可用</v>
      </c>
      <c r="C11181" s="2" t="s">
        <v>9</v>
      </c>
      <c r="D11181" s="2" t="s">
        <v>10</v>
      </c>
      <c r="E11181" s="2" t="str">
        <f>HYPERLINK("http://ts.21cn.com/tousu/show/id/1342445","http://ts.21cn.com/tousu/show/id/1342445")</f>
        <v>http://ts.21cn.com/tousu/show/id/1342445</v>
      </c>
      <c r="F11181" s="2" t="s">
        <v>11</v>
      </c>
      <c r="G11181" s="2" t="s">
        <v>22167</v>
      </c>
      <c r="H11181" s="2" t="s">
        <v>22168</v>
      </c>
    </row>
    <row r="11182" spans="1:8" ht="25.05" customHeight="1" x14ac:dyDescent="0.25">
      <c r="A11182" s="2" t="s">
        <v>8</v>
      </c>
      <c r="B11182" s="2" t="str">
        <f>HYPERLINK("http://ts.21cn.com/tousu/show/id/1342446","高利贷、砍头息、骚扰电话")</f>
        <v>高利贷、砍头息、骚扰电话</v>
      </c>
      <c r="C11182" s="2" t="s">
        <v>9</v>
      </c>
      <c r="D11182" s="2" t="s">
        <v>10</v>
      </c>
      <c r="E11182" s="2" t="str">
        <f>HYPERLINK("http://ts.21cn.com/tousu/show/id/1342446","http://ts.21cn.com/tousu/show/id/1342446")</f>
        <v>http://ts.21cn.com/tousu/show/id/1342446</v>
      </c>
      <c r="F11182" s="2" t="s">
        <v>11</v>
      </c>
      <c r="G11182" s="2" t="s">
        <v>22165</v>
      </c>
      <c r="H11182" s="2" t="s">
        <v>22166</v>
      </c>
    </row>
    <row r="11183" spans="1:8" ht="25.05" customHeight="1" x14ac:dyDescent="0.25">
      <c r="A11183" s="2" t="s">
        <v>8</v>
      </c>
      <c r="B11183" s="2" t="str">
        <f>HYPERLINK("http://ts.21cn.com/tousu/show/id/1342447","钱站高利贷疯狂骚扰我")</f>
        <v>钱站高利贷疯狂骚扰我</v>
      </c>
      <c r="C11183" s="2" t="s">
        <v>9</v>
      </c>
      <c r="D11183" s="2" t="s">
        <v>10</v>
      </c>
      <c r="E11183" s="2" t="str">
        <f>HYPERLINK("http://ts.21cn.com/tousu/show/id/1342447","http://ts.21cn.com/tousu/show/id/1342447")</f>
        <v>http://ts.21cn.com/tousu/show/id/1342447</v>
      </c>
      <c r="F11183" s="2" t="s">
        <v>11</v>
      </c>
      <c r="G11183" s="2" t="s">
        <v>22163</v>
      </c>
      <c r="H11183" s="2" t="s">
        <v>22164</v>
      </c>
    </row>
    <row r="11184" spans="1:8" ht="25.05" customHeight="1" x14ac:dyDescent="0.25">
      <c r="A11184" s="2" t="s">
        <v>8</v>
      </c>
      <c r="B11184" s="2" t="str">
        <f>HYPERLINK("http://ts.21cn.com/tousu/show/id/1342448","在本人不知情的情况下私自扣除我银行卡的钱，")</f>
        <v>在本人不知情的情况下私自扣除我银行卡的钱，</v>
      </c>
      <c r="C11184" s="2" t="s">
        <v>9</v>
      </c>
      <c r="D11184" s="2" t="s">
        <v>10</v>
      </c>
      <c r="E11184" s="2" t="str">
        <f>HYPERLINK("http://ts.21cn.com/tousu/show/id/1342448","http://ts.21cn.com/tousu/show/id/1342448")</f>
        <v>http://ts.21cn.com/tousu/show/id/1342448</v>
      </c>
      <c r="F11184" s="2" t="s">
        <v>11</v>
      </c>
      <c r="G11184" s="2" t="s">
        <v>22161</v>
      </c>
      <c r="H11184" s="2" t="s">
        <v>22162</v>
      </c>
    </row>
    <row r="11185" spans="1:8" ht="25.05" customHeight="1" x14ac:dyDescent="0.25">
      <c r="A11185" s="2" t="s">
        <v>8</v>
      </c>
      <c r="B11185" s="2" t="str">
        <f>HYPERLINK("http://ts.21cn.com/tousu/show/id/1342449","冒充国家执法机关")</f>
        <v>冒充国家执法机关</v>
      </c>
      <c r="C11185" s="2" t="s">
        <v>9</v>
      </c>
      <c r="D11185" s="2" t="s">
        <v>10</v>
      </c>
      <c r="E11185" s="2" t="str">
        <f>HYPERLINK("http://ts.21cn.com/tousu/show/id/1342449","http://ts.21cn.com/tousu/show/id/1342449")</f>
        <v>http://ts.21cn.com/tousu/show/id/1342449</v>
      </c>
      <c r="F11185" s="2" t="s">
        <v>11</v>
      </c>
      <c r="G11185" s="2" t="s">
        <v>22159</v>
      </c>
      <c r="H11185" s="2" t="s">
        <v>22160</v>
      </c>
    </row>
    <row r="11186" spans="1:8" ht="25.05" customHeight="1" x14ac:dyDescent="0.25">
      <c r="A11186" s="2" t="s">
        <v>8</v>
      </c>
      <c r="B11186" s="2" t="str">
        <f>HYPERLINK("http://ts.21cn.com/tousu/show/id/1342450","信用管家对消费者恶意盗刷银行卡里的人民币，")</f>
        <v>信用管家对消费者恶意盗刷银行卡里的人民币，</v>
      </c>
      <c r="C11186" s="2" t="s">
        <v>9</v>
      </c>
      <c r="D11186" s="2" t="s">
        <v>10</v>
      </c>
      <c r="E11186" s="2" t="str">
        <f>HYPERLINK("http://ts.21cn.com/tousu/show/id/1342450","http://ts.21cn.com/tousu/show/id/1342450")</f>
        <v>http://ts.21cn.com/tousu/show/id/1342450</v>
      </c>
      <c r="F11186" s="2" t="s">
        <v>11</v>
      </c>
      <c r="G11186" s="2" t="s">
        <v>22157</v>
      </c>
      <c r="H11186" s="2" t="s">
        <v>22158</v>
      </c>
    </row>
    <row r="11187" spans="1:8" ht="25.05" customHeight="1" x14ac:dyDescent="0.25">
      <c r="A11187" s="2" t="s">
        <v>8</v>
      </c>
      <c r="B11187" s="2" t="str">
        <f>HYPERLINK("http://ts.21cn.com/tousu/show/id/1342439","同程旅游钻石与玫瑰涉嫌违规")</f>
        <v>同程旅游钻石与玫瑰涉嫌违规</v>
      </c>
      <c r="C11187" s="2" t="s">
        <v>9</v>
      </c>
      <c r="D11187" s="2" t="s">
        <v>10</v>
      </c>
      <c r="E11187" s="2" t="str">
        <f>HYPERLINK("http://ts.21cn.com/tousu/show/id/1342439","http://ts.21cn.com/tousu/show/id/1342439")</f>
        <v>http://ts.21cn.com/tousu/show/id/1342439</v>
      </c>
      <c r="F11187" s="2" t="s">
        <v>11</v>
      </c>
      <c r="G11187" s="2" t="s">
        <v>22155</v>
      </c>
      <c r="H11187" s="2" t="s">
        <v>22156</v>
      </c>
    </row>
    <row r="11188" spans="1:8" ht="25.05" customHeight="1" x14ac:dyDescent="0.25">
      <c r="A11188" s="2" t="s">
        <v>8</v>
      </c>
      <c r="B11188" s="2" t="str">
        <f>HYPERLINK("http://ts.21cn.com/tousu/show/id/1342451","还呗暴利催收态度恶劣")</f>
        <v>还呗暴利催收态度恶劣</v>
      </c>
      <c r="C11188" s="2" t="s">
        <v>9</v>
      </c>
      <c r="D11188" s="2" t="s">
        <v>10</v>
      </c>
      <c r="E11188" s="2" t="str">
        <f>HYPERLINK("http://ts.21cn.com/tousu/show/id/1342451","http://ts.21cn.com/tousu/show/id/1342451")</f>
        <v>http://ts.21cn.com/tousu/show/id/1342451</v>
      </c>
      <c r="F11188" s="2" t="s">
        <v>11</v>
      </c>
      <c r="G11188" s="2" t="s">
        <v>22153</v>
      </c>
      <c r="H11188" s="2" t="s">
        <v>22154</v>
      </c>
    </row>
    <row r="11189" spans="1:8" ht="25.05" customHeight="1" x14ac:dyDescent="0.25">
      <c r="A11189" s="2" t="s">
        <v>8</v>
      </c>
      <c r="B11189" s="2" t="str">
        <f>HYPERLINK("http://ts.21cn.com/tousu/show/id/1342452","万达贷逾期催收骚扰联系人，公司老板")</f>
        <v>万达贷逾期催收骚扰联系人，公司老板</v>
      </c>
      <c r="C11189" s="2" t="s">
        <v>9</v>
      </c>
      <c r="D11189" s="2" t="s">
        <v>10</v>
      </c>
      <c r="E11189" s="2" t="str">
        <f>HYPERLINK("http://ts.21cn.com/tousu/show/id/1342452","http://ts.21cn.com/tousu/show/id/1342452")</f>
        <v>http://ts.21cn.com/tousu/show/id/1342452</v>
      </c>
      <c r="F11189" s="2" t="s">
        <v>11</v>
      </c>
      <c r="G11189" s="2" t="s">
        <v>22151</v>
      </c>
      <c r="H11189" s="2" t="s">
        <v>22152</v>
      </c>
    </row>
    <row r="11190" spans="1:8" ht="25.05" customHeight="1" x14ac:dyDescent="0.25">
      <c r="A11190" s="2" t="s">
        <v>8</v>
      </c>
      <c r="B11190" s="2" t="str">
        <f>HYPERLINK("http://ts.21cn.com/tousu/show/id/1342454","闪银高利贷")</f>
        <v>闪银高利贷</v>
      </c>
      <c r="C11190" s="2" t="s">
        <v>9</v>
      </c>
      <c r="D11190" s="2" t="s">
        <v>10</v>
      </c>
      <c r="E11190" s="2" t="str">
        <f>HYPERLINK("http://ts.21cn.com/tousu/show/id/1342454","http://ts.21cn.com/tousu/show/id/1342454")</f>
        <v>http://ts.21cn.com/tousu/show/id/1342454</v>
      </c>
      <c r="F11190" s="2" t="s">
        <v>11</v>
      </c>
      <c r="G11190" s="2" t="s">
        <v>22149</v>
      </c>
      <c r="H11190" s="2" t="s">
        <v>22150</v>
      </c>
    </row>
    <row r="11191" spans="1:8" ht="25.05" customHeight="1" x14ac:dyDescent="0.25">
      <c r="A11191" s="2" t="s">
        <v>8</v>
      </c>
      <c r="B11191" s="2" t="str">
        <f>HYPERLINK("http://ts.21cn.com/tousu/show/id/1342455","钱站高利贷阴阳合同")</f>
        <v>钱站高利贷阴阳合同</v>
      </c>
      <c r="C11191" s="2" t="s">
        <v>9</v>
      </c>
      <c r="D11191" s="2" t="s">
        <v>10</v>
      </c>
      <c r="E11191" s="2" t="str">
        <f>HYPERLINK("http://ts.21cn.com/tousu/show/id/1342455","http://ts.21cn.com/tousu/show/id/1342455")</f>
        <v>http://ts.21cn.com/tousu/show/id/1342455</v>
      </c>
      <c r="F11191" s="2" t="s">
        <v>11</v>
      </c>
      <c r="G11191" s="2" t="s">
        <v>22147</v>
      </c>
      <c r="H11191" s="2" t="s">
        <v>22148</v>
      </c>
    </row>
    <row r="11192" spans="1:8" ht="25.05" customHeight="1" x14ac:dyDescent="0.25">
      <c r="A11192" s="2" t="s">
        <v>8</v>
      </c>
      <c r="B11192" s="2" t="str">
        <f>HYPERLINK("http://ts.21cn.com/tousu/show/id/1342434","催收公司暴力催收，辱骂，威胁泄漏信息")</f>
        <v>催收公司暴力催收，辱骂，威胁泄漏信息</v>
      </c>
      <c r="C11192" s="2" t="s">
        <v>9</v>
      </c>
      <c r="D11192" s="2" t="s">
        <v>10</v>
      </c>
      <c r="E11192" s="2" t="str">
        <f>HYPERLINK("http://ts.21cn.com/tousu/show/id/1342434","http://ts.21cn.com/tousu/show/id/1342434")</f>
        <v>http://ts.21cn.com/tousu/show/id/1342434</v>
      </c>
      <c r="F11192" s="2" t="s">
        <v>11</v>
      </c>
      <c r="G11192" s="2" t="s">
        <v>22145</v>
      </c>
      <c r="H11192" s="2" t="s">
        <v>22146</v>
      </c>
    </row>
    <row r="11193" spans="1:8" ht="25.05" customHeight="1" x14ac:dyDescent="0.25">
      <c r="A11193" s="2" t="s">
        <v>8</v>
      </c>
      <c r="B11193" s="2" t="str">
        <f>HYPERLINK("http://ts.21cn.com/tousu/show/id/1342456","支付保下面的趣惠买涉嫌非法砍头息，请退回非法所得砍头息")</f>
        <v>支付保下面的趣惠买涉嫌非法砍头息，请退回非法所得砍头息</v>
      </c>
      <c r="C11193" s="2" t="s">
        <v>9</v>
      </c>
      <c r="D11193" s="2" t="s">
        <v>10</v>
      </c>
      <c r="E11193" s="2" t="str">
        <f>HYPERLINK("http://ts.21cn.com/tousu/show/id/1342456","http://ts.21cn.com/tousu/show/id/1342456")</f>
        <v>http://ts.21cn.com/tousu/show/id/1342456</v>
      </c>
      <c r="F11193" s="2" t="s">
        <v>11</v>
      </c>
      <c r="G11193" s="2" t="s">
        <v>22143</v>
      </c>
      <c r="H11193" s="2" t="s">
        <v>22144</v>
      </c>
    </row>
    <row r="11194" spans="1:8" ht="25.05" customHeight="1" x14ac:dyDescent="0.25">
      <c r="A11194" s="2" t="s">
        <v>8</v>
      </c>
      <c r="B11194" s="2" t="str">
        <f>HYPERLINK("http://ts.21cn.com/tousu/show/id/1342457","小浦优客未经同意扣款")</f>
        <v>小浦优客未经同意扣款</v>
      </c>
      <c r="C11194" s="2" t="s">
        <v>9</v>
      </c>
      <c r="D11194" s="2" t="s">
        <v>10</v>
      </c>
      <c r="E11194" s="2" t="str">
        <f>HYPERLINK("http://ts.21cn.com/tousu/show/id/1342457","http://ts.21cn.com/tousu/show/id/1342457")</f>
        <v>http://ts.21cn.com/tousu/show/id/1342457</v>
      </c>
      <c r="F11194" s="2" t="s">
        <v>11</v>
      </c>
      <c r="G11194" s="2" t="s">
        <v>22141</v>
      </c>
      <c r="H11194" s="2" t="s">
        <v>22142</v>
      </c>
    </row>
    <row r="11195" spans="1:8" ht="25.05" customHeight="1" x14ac:dyDescent="0.25">
      <c r="A11195" s="2" t="s">
        <v>8</v>
      </c>
      <c r="B11195" s="2" t="str">
        <f>HYPERLINK("http://ts.21cn.com/tousu/show/id/1342458","夸客金融高利贷")</f>
        <v>夸客金融高利贷</v>
      </c>
      <c r="C11195" s="2" t="s">
        <v>9</v>
      </c>
      <c r="D11195" s="2" t="s">
        <v>10</v>
      </c>
      <c r="E11195" s="2" t="str">
        <f>HYPERLINK("http://ts.21cn.com/tousu/show/id/1342458","http://ts.21cn.com/tousu/show/id/1342458")</f>
        <v>http://ts.21cn.com/tousu/show/id/1342458</v>
      </c>
      <c r="F11195" s="2" t="s">
        <v>11</v>
      </c>
      <c r="G11195" s="2" t="s">
        <v>22139</v>
      </c>
      <c r="H11195" s="2" t="s">
        <v>22140</v>
      </c>
    </row>
    <row r="11196" spans="1:8" ht="25.05" customHeight="1" x14ac:dyDescent="0.25">
      <c r="A11196" s="2" t="s">
        <v>8</v>
      </c>
      <c r="B11196" s="2" t="str">
        <f>HYPERLINK("http://ts.21cn.com/tousu/show/id/1342453","以前投诉过来分期后来协商说提前还款就可以减免百分之20利息，过一个多月我提前还款了然后又说没有减免了！")</f>
        <v>以前投诉过来分期后来协商说提前还款就可以减免百分之20利息，过一个多月我提前还款了然后又说没有减免了！</v>
      </c>
      <c r="C11196" s="2" t="s">
        <v>34</v>
      </c>
      <c r="D11196" s="2" t="s">
        <v>10</v>
      </c>
      <c r="E11196" s="2" t="str">
        <f>HYPERLINK("http://ts.21cn.com/tousu/show/id/1342453","http://ts.21cn.com/tousu/show/id/1342453")</f>
        <v>http://ts.21cn.com/tousu/show/id/1342453</v>
      </c>
      <c r="F11196" s="2" t="s">
        <v>11</v>
      </c>
      <c r="G11196" s="2" t="s">
        <v>22137</v>
      </c>
      <c r="H11196" s="2" t="s">
        <v>22138</v>
      </c>
    </row>
    <row r="11197" spans="1:8" ht="25.05" customHeight="1" x14ac:dyDescent="0.25">
      <c r="A11197" s="2" t="s">
        <v>8</v>
      </c>
      <c r="B11197" s="2" t="str">
        <f>HYPERLINK("http://ts.21cn.com/tousu/show/id/1342459","天猫雷士官方旗舰店欺骗消费者")</f>
        <v>天猫雷士官方旗舰店欺骗消费者</v>
      </c>
      <c r="C11197" s="2" t="s">
        <v>9</v>
      </c>
      <c r="D11197" s="2" t="s">
        <v>10</v>
      </c>
      <c r="E11197" s="2" t="str">
        <f>HYPERLINK("http://ts.21cn.com/tousu/show/id/1342459","http://ts.21cn.com/tousu/show/id/1342459")</f>
        <v>http://ts.21cn.com/tousu/show/id/1342459</v>
      </c>
      <c r="F11197" s="2" t="s">
        <v>11</v>
      </c>
      <c r="G11197" s="2" t="s">
        <v>22135</v>
      </c>
      <c r="H11197" s="2" t="s">
        <v>22136</v>
      </c>
    </row>
    <row r="11198" spans="1:8" ht="25.05" customHeight="1" x14ac:dyDescent="0.25">
      <c r="A11198" s="2" t="s">
        <v>8</v>
      </c>
      <c r="B11198" s="2" t="str">
        <f>HYPERLINK("http://ts.21cn.com/tousu/show/id/1342460","立借高利贷")</f>
        <v>立借高利贷</v>
      </c>
      <c r="C11198" s="2" t="s">
        <v>9</v>
      </c>
      <c r="D11198" s="2" t="s">
        <v>10</v>
      </c>
      <c r="E11198" s="2" t="str">
        <f>HYPERLINK("http://ts.21cn.com/tousu/show/id/1342460","http://ts.21cn.com/tousu/show/id/1342460")</f>
        <v>http://ts.21cn.com/tousu/show/id/1342460</v>
      </c>
      <c r="F11198" s="2" t="s">
        <v>11</v>
      </c>
      <c r="G11198" s="2" t="s">
        <v>22133</v>
      </c>
      <c r="H11198" s="2" t="s">
        <v>22134</v>
      </c>
    </row>
    <row r="11199" spans="1:8" ht="25.05" customHeight="1" x14ac:dyDescent="0.25">
      <c r="A11199" s="2" t="s">
        <v>8</v>
      </c>
      <c r="B11199" s="2" t="str">
        <f>HYPERLINK("http://ts.21cn.com/tousu/show/id/1342461","支付宝网商贷")</f>
        <v>支付宝网商贷</v>
      </c>
      <c r="C11199" s="2" t="s">
        <v>9</v>
      </c>
      <c r="D11199" s="2" t="s">
        <v>10</v>
      </c>
      <c r="E11199" s="2" t="str">
        <f>HYPERLINK("http://ts.21cn.com/tousu/show/id/1342461","http://ts.21cn.com/tousu/show/id/1342461")</f>
        <v>http://ts.21cn.com/tousu/show/id/1342461</v>
      </c>
      <c r="F11199" s="2" t="s">
        <v>11</v>
      </c>
      <c r="G11199" s="2" t="s">
        <v>22131</v>
      </c>
      <c r="H11199" s="2" t="s">
        <v>22132</v>
      </c>
    </row>
    <row r="11200" spans="1:8" ht="25.05" customHeight="1" x14ac:dyDescent="0.25">
      <c r="A11200" s="2" t="s">
        <v>8</v>
      </c>
      <c r="B11200" s="2" t="str">
        <f>HYPERLINK("http://ts.21cn.com/tousu/show/id/1342462","你我贷恶意套取高额服务费涉嫌高利贷并放纵第三方暴力催款")</f>
        <v>你我贷恶意套取高额服务费涉嫌高利贷并放纵第三方暴力催款</v>
      </c>
      <c r="C11200" s="2" t="s">
        <v>9</v>
      </c>
      <c r="D11200" s="2" t="s">
        <v>10</v>
      </c>
      <c r="E11200" s="2" t="str">
        <f>HYPERLINK("http://ts.21cn.com/tousu/show/id/1342462","http://ts.21cn.com/tousu/show/id/1342462")</f>
        <v>http://ts.21cn.com/tousu/show/id/1342462</v>
      </c>
      <c r="F11200" s="2" t="s">
        <v>11</v>
      </c>
      <c r="G11200" s="2" t="s">
        <v>22129</v>
      </c>
      <c r="H11200" s="2" t="s">
        <v>22130</v>
      </c>
    </row>
    <row r="11201" spans="1:8" ht="25.05" customHeight="1" x14ac:dyDescent="0.25">
      <c r="A11201" s="2" t="s">
        <v>8</v>
      </c>
      <c r="B11201" s="2" t="str">
        <f>HYPERLINK("http://ts.21cn.com/tousu/show/id/1342463","捷信电话骚扰")</f>
        <v>捷信电话骚扰</v>
      </c>
      <c r="C11201" s="2" t="s">
        <v>9</v>
      </c>
      <c r="D11201" s="2" t="s">
        <v>10</v>
      </c>
      <c r="E11201" s="2" t="str">
        <f>HYPERLINK("http://ts.21cn.com/tousu/show/id/1342463","http://ts.21cn.com/tousu/show/id/1342463")</f>
        <v>http://ts.21cn.com/tousu/show/id/1342463</v>
      </c>
      <c r="F11201" s="2" t="s">
        <v>11</v>
      </c>
      <c r="G11201" s="2" t="s">
        <v>22127</v>
      </c>
      <c r="H11201" s="2" t="s">
        <v>22128</v>
      </c>
    </row>
    <row r="11202" spans="1:8" ht="25.05" customHeight="1" x14ac:dyDescent="0.25">
      <c r="A11202" s="2" t="s">
        <v>8</v>
      </c>
      <c r="B11202" s="2" t="str">
        <f>HYPERLINK("http://ts.21cn.com/tousu/show/id/1342464","10月7号下午5点多突然就扣费了，没有签约也没有消费，就扣费，不用密码都可以扣费，望主持公道")</f>
        <v>10月7号下午5点多突然就扣费了，没有签约也没有消费，就扣费，不用密码都可以扣费，望主持公道</v>
      </c>
      <c r="C11202" s="2" t="s">
        <v>9</v>
      </c>
      <c r="D11202" s="2" t="s">
        <v>10</v>
      </c>
      <c r="E11202" s="2" t="str">
        <f>HYPERLINK("http://ts.21cn.com/tousu/show/id/1342464","http://ts.21cn.com/tousu/show/id/1342464")</f>
        <v>http://ts.21cn.com/tousu/show/id/1342464</v>
      </c>
      <c r="F11202" s="2" t="s">
        <v>11</v>
      </c>
      <c r="G11202" s="2" t="s">
        <v>22125</v>
      </c>
      <c r="H11202" s="2" t="s">
        <v>22126</v>
      </c>
    </row>
    <row r="11203" spans="1:8" ht="25.05" customHeight="1" x14ac:dyDescent="0.25">
      <c r="A11203" s="2" t="s">
        <v>8</v>
      </c>
      <c r="B11203" s="2" t="str">
        <f>HYPERLINK("http://ts.21cn.com/tousu/show/id/1342465","自由魔卡里的诺和信用计划以买会员收取砍头息")</f>
        <v>自由魔卡里的诺和信用计划以买会员收取砍头息</v>
      </c>
      <c r="C11203" s="2" t="s">
        <v>9</v>
      </c>
      <c r="D11203" s="2" t="s">
        <v>10</v>
      </c>
      <c r="E11203" s="2" t="str">
        <f>HYPERLINK("http://ts.21cn.com/tousu/show/id/1342465","http://ts.21cn.com/tousu/show/id/1342465")</f>
        <v>http://ts.21cn.com/tousu/show/id/1342465</v>
      </c>
      <c r="F11203" s="2" t="s">
        <v>11</v>
      </c>
      <c r="G11203" s="2" t="s">
        <v>22123</v>
      </c>
      <c r="H11203" s="2" t="s">
        <v>22124</v>
      </c>
    </row>
    <row r="11204" spans="1:8" ht="25.05" customHeight="1" x14ac:dyDescent="0.25">
      <c r="A11204" s="2" t="s">
        <v>8</v>
      </c>
      <c r="B11204" s="2" t="str">
        <f>HYPERLINK("http://ts.21cn.com/tousu/show/id/1342466","信用管家合同欺诈，私自扣款")</f>
        <v>信用管家合同欺诈，私自扣款</v>
      </c>
      <c r="C11204" s="2" t="s">
        <v>9</v>
      </c>
      <c r="D11204" s="2" t="s">
        <v>10</v>
      </c>
      <c r="E11204" s="2" t="str">
        <f>HYPERLINK("http://ts.21cn.com/tousu/show/id/1342466","http://ts.21cn.com/tousu/show/id/1342466")</f>
        <v>http://ts.21cn.com/tousu/show/id/1342466</v>
      </c>
      <c r="F11204" s="2" t="s">
        <v>11</v>
      </c>
      <c r="G11204" s="2" t="s">
        <v>22121</v>
      </c>
      <c r="H11204" s="2" t="s">
        <v>22122</v>
      </c>
    </row>
    <row r="11205" spans="1:8" ht="25.05" customHeight="1" x14ac:dyDescent="0.25">
      <c r="A11205" s="2" t="s">
        <v>8</v>
      </c>
      <c r="B11205" s="2" t="str">
        <f>HYPERLINK("http://ts.21cn.com/tousu/show/id/1342467","砍头息、电话骚扰")</f>
        <v>砍头息、电话骚扰</v>
      </c>
      <c r="C11205" s="2" t="s">
        <v>9</v>
      </c>
      <c r="D11205" s="2" t="s">
        <v>10</v>
      </c>
      <c r="E11205" s="2" t="str">
        <f>HYPERLINK("http://ts.21cn.com/tousu/show/id/1342467","http://ts.21cn.com/tousu/show/id/1342467")</f>
        <v>http://ts.21cn.com/tousu/show/id/1342467</v>
      </c>
      <c r="F11205" s="2" t="s">
        <v>11</v>
      </c>
      <c r="G11205" s="2" t="s">
        <v>22119</v>
      </c>
      <c r="H11205" s="2" t="s">
        <v>22120</v>
      </c>
    </row>
    <row r="11206" spans="1:8" ht="25.05" customHeight="1" x14ac:dyDescent="0.25">
      <c r="A11206" s="2" t="s">
        <v>8</v>
      </c>
      <c r="B11206" s="2" t="str">
        <f>HYPERLINK("http://ts.21cn.com/tousu/show/id/1342468","平台给学生贷款")</f>
        <v>平台给学生贷款</v>
      </c>
      <c r="C11206" s="2" t="s">
        <v>9</v>
      </c>
      <c r="D11206" s="2" t="s">
        <v>10</v>
      </c>
      <c r="E11206" s="2" t="str">
        <f>HYPERLINK("http://ts.21cn.com/tousu/show/id/1342468","http://ts.21cn.com/tousu/show/id/1342468")</f>
        <v>http://ts.21cn.com/tousu/show/id/1342468</v>
      </c>
      <c r="F11206" s="2" t="s">
        <v>11</v>
      </c>
      <c r="G11206" s="2" t="s">
        <v>22117</v>
      </c>
      <c r="H11206" s="2" t="s">
        <v>22118</v>
      </c>
    </row>
    <row r="11207" spans="1:8" ht="25.05" customHeight="1" x14ac:dyDescent="0.25">
      <c r="A11207" s="2" t="s">
        <v>8</v>
      </c>
      <c r="B11207" s="2" t="str">
        <f>HYPERLINK("http://ts.21cn.com/tousu/show/id/1342469","好易贷7天高利贷")</f>
        <v>好易贷7天高利贷</v>
      </c>
      <c r="C11207" s="2" t="s">
        <v>9</v>
      </c>
      <c r="D11207" s="2" t="s">
        <v>10</v>
      </c>
      <c r="E11207" s="2" t="str">
        <f>HYPERLINK("http://ts.21cn.com/tousu/show/id/1342469","http://ts.21cn.com/tousu/show/id/1342469")</f>
        <v>http://ts.21cn.com/tousu/show/id/1342469</v>
      </c>
      <c r="F11207" s="2" t="s">
        <v>11</v>
      </c>
      <c r="G11207" s="2" t="s">
        <v>22116</v>
      </c>
      <c r="H11207" s="2" t="s">
        <v>17562</v>
      </c>
    </row>
    <row r="11208" spans="1:8" ht="25.05" customHeight="1" x14ac:dyDescent="0.25">
      <c r="A11208" s="2" t="s">
        <v>8</v>
      </c>
      <c r="B11208" s="2" t="str">
        <f>HYPERLINK("http://ts.21cn.com/tousu/show/id/1342470","捷信公司还款日期没到，恐吓借款人")</f>
        <v>捷信公司还款日期没到，恐吓借款人</v>
      </c>
      <c r="C11208" s="2" t="s">
        <v>9</v>
      </c>
      <c r="D11208" s="2" t="s">
        <v>10</v>
      </c>
      <c r="E11208" s="2" t="str">
        <f>HYPERLINK("http://ts.21cn.com/tousu/show/id/1342470","http://ts.21cn.com/tousu/show/id/1342470")</f>
        <v>http://ts.21cn.com/tousu/show/id/1342470</v>
      </c>
      <c r="F11208" s="2" t="s">
        <v>11</v>
      </c>
      <c r="G11208" s="2" t="s">
        <v>22114</v>
      </c>
      <c r="H11208" s="2" t="s">
        <v>22115</v>
      </c>
    </row>
    <row r="11209" spans="1:8" ht="25.05" customHeight="1" x14ac:dyDescent="0.25">
      <c r="A11209" s="2" t="s">
        <v>8</v>
      </c>
      <c r="B11209" s="2" t="str">
        <f>HYPERLINK("http://ts.21cn.com/tousu/show/id/1342471","恐吓催收，通讯录被骚扰")</f>
        <v>恐吓催收，通讯录被骚扰</v>
      </c>
      <c r="C11209" s="2" t="s">
        <v>9</v>
      </c>
      <c r="D11209" s="2" t="s">
        <v>10</v>
      </c>
      <c r="E11209" s="2" t="str">
        <f>HYPERLINK("http://ts.21cn.com/tousu/show/id/1342471","http://ts.21cn.com/tousu/show/id/1342471")</f>
        <v>http://ts.21cn.com/tousu/show/id/1342471</v>
      </c>
      <c r="F11209" s="2" t="s">
        <v>11</v>
      </c>
      <c r="G11209" s="2" t="s">
        <v>22112</v>
      </c>
      <c r="H11209" s="2" t="s">
        <v>22113</v>
      </c>
    </row>
    <row r="11210" spans="1:8" ht="25.05" customHeight="1" x14ac:dyDescent="0.25">
      <c r="A11210" s="2" t="s">
        <v>8</v>
      </c>
      <c r="B11210" s="2" t="str">
        <f>HYPERLINK("http://ts.21cn.com/tousu/show/id/1342472","白条分期私自扣我银行卡里199元钱，说是会员费")</f>
        <v>白条分期私自扣我银行卡里199元钱，说是会员费</v>
      </c>
      <c r="C11210" s="2" t="s">
        <v>9</v>
      </c>
      <c r="D11210" s="2" t="s">
        <v>10</v>
      </c>
      <c r="E11210" s="2" t="str">
        <f>HYPERLINK("http://ts.21cn.com/tousu/show/id/1342472","http://ts.21cn.com/tousu/show/id/1342472")</f>
        <v>http://ts.21cn.com/tousu/show/id/1342472</v>
      </c>
      <c r="F11210" s="2" t="s">
        <v>11</v>
      </c>
      <c r="G11210" s="2" t="s">
        <v>22110</v>
      </c>
      <c r="H11210" s="2" t="s">
        <v>22111</v>
      </c>
    </row>
    <row r="11211" spans="1:8" ht="25.05" customHeight="1" x14ac:dyDescent="0.25">
      <c r="A11211" s="2" t="s">
        <v>8</v>
      </c>
      <c r="B11211" s="2" t="str">
        <f>HYPERLINK("http://ts.21cn.com/tousu/show/id/1342475","《上海淇毓信息科技有限公司》下属360借条利用非法渠道获取客服手机通讯录，违法侵害客户权益，行为恶劣，请求严惩")</f>
        <v>《上海淇毓信息科技有限公司》下属360借条利用非法渠道获取客服手机通讯录，违法侵害客户权益，行为恶劣，请求严惩</v>
      </c>
      <c r="C11211" s="2" t="s">
        <v>9</v>
      </c>
      <c r="D11211" s="2" t="s">
        <v>10</v>
      </c>
      <c r="E11211" s="2" t="str">
        <f>HYPERLINK("http://ts.21cn.com/tousu/show/id/1342475","http://ts.21cn.com/tousu/show/id/1342475")</f>
        <v>http://ts.21cn.com/tousu/show/id/1342475</v>
      </c>
      <c r="F11211" s="2" t="s">
        <v>11</v>
      </c>
      <c r="G11211" s="2" t="s">
        <v>22108</v>
      </c>
      <c r="H11211" s="2" t="s">
        <v>22109</v>
      </c>
    </row>
    <row r="11212" spans="1:8" ht="25.05" customHeight="1" x14ac:dyDescent="0.25">
      <c r="A11212" s="2" t="s">
        <v>8</v>
      </c>
      <c r="B11212" s="2" t="str">
        <f>HYPERLINK("http://ts.21cn.com/tousu/show/id/1342474","支付宝私自泄漏个人信息给第三方催收人员")</f>
        <v>支付宝私自泄漏个人信息给第三方催收人员</v>
      </c>
      <c r="C11212" s="2" t="s">
        <v>9</v>
      </c>
      <c r="D11212" s="2" t="s">
        <v>10</v>
      </c>
      <c r="E11212" s="2" t="str">
        <f>HYPERLINK("http://ts.21cn.com/tousu/show/id/1342474","http://ts.21cn.com/tousu/show/id/1342474")</f>
        <v>http://ts.21cn.com/tousu/show/id/1342474</v>
      </c>
      <c r="F11212" s="2" t="s">
        <v>11</v>
      </c>
      <c r="G11212" s="2" t="s">
        <v>22106</v>
      </c>
      <c r="H11212" s="2" t="s">
        <v>22107</v>
      </c>
    </row>
    <row r="11213" spans="1:8" ht="25.05" customHeight="1" x14ac:dyDescent="0.25">
      <c r="A11213" s="2" t="s">
        <v>8</v>
      </c>
      <c r="B11213" s="2" t="str">
        <f>HYPERLINK("http://ts.21cn.com/tousu/show/id/1342476","无存管银行合同无盖章到期不兑付")</f>
        <v>无存管银行合同无盖章到期不兑付</v>
      </c>
      <c r="C11213" s="2" t="s">
        <v>9</v>
      </c>
      <c r="D11213" s="2" t="s">
        <v>10</v>
      </c>
      <c r="E11213" s="2" t="str">
        <f>HYPERLINK("http://ts.21cn.com/tousu/show/id/1342476","http://ts.21cn.com/tousu/show/id/1342476")</f>
        <v>http://ts.21cn.com/tousu/show/id/1342476</v>
      </c>
      <c r="F11213" s="2" t="s">
        <v>11</v>
      </c>
      <c r="G11213" s="2" t="s">
        <v>22104</v>
      </c>
      <c r="H11213" s="2" t="s">
        <v>22105</v>
      </c>
    </row>
    <row r="11214" spans="1:8" ht="25.05" customHeight="1" x14ac:dyDescent="0.25">
      <c r="A11214" s="2" t="s">
        <v>8</v>
      </c>
      <c r="B11214" s="2" t="str">
        <f>HYPERLINK("http://ts.21cn.com/tousu/show/id/1342478","要求减免最后一期销账")</f>
        <v>要求减免最后一期销账</v>
      </c>
      <c r="C11214" s="2" t="s">
        <v>34</v>
      </c>
      <c r="D11214" s="2" t="s">
        <v>10</v>
      </c>
      <c r="E11214" s="2" t="str">
        <f>HYPERLINK("http://ts.21cn.com/tousu/show/id/1342478","http://ts.21cn.com/tousu/show/id/1342478")</f>
        <v>http://ts.21cn.com/tousu/show/id/1342478</v>
      </c>
      <c r="F11214" s="2" t="s">
        <v>11</v>
      </c>
      <c r="G11214" s="2" t="s">
        <v>22102</v>
      </c>
      <c r="H11214" s="2" t="s">
        <v>22103</v>
      </c>
    </row>
    <row r="11215" spans="1:8" ht="25.05" customHeight="1" x14ac:dyDescent="0.25">
      <c r="A11215" s="2" t="s">
        <v>8</v>
      </c>
      <c r="B11215" s="2" t="str">
        <f>HYPERLINK("http://ts.21cn.com/tousu/show/id/1342480","易融云商涉嫌欺诈")</f>
        <v>易融云商涉嫌欺诈</v>
      </c>
      <c r="C11215" s="2" t="s">
        <v>9</v>
      </c>
      <c r="D11215" s="2" t="s">
        <v>10</v>
      </c>
      <c r="E11215" s="2" t="str">
        <f>HYPERLINK("http://ts.21cn.com/tousu/show/id/1342480","http://ts.21cn.com/tousu/show/id/1342480")</f>
        <v>http://ts.21cn.com/tousu/show/id/1342480</v>
      </c>
      <c r="F11215" s="2" t="s">
        <v>11</v>
      </c>
      <c r="G11215" s="2" t="s">
        <v>22100</v>
      </c>
      <c r="H11215" s="2" t="s">
        <v>22101</v>
      </c>
    </row>
    <row r="11216" spans="1:8" ht="25.05" customHeight="1" x14ac:dyDescent="0.25">
      <c r="A11216" s="2" t="s">
        <v>8</v>
      </c>
      <c r="B11216" s="2" t="str">
        <f>HYPERLINK("http://ts.21cn.com/tousu/show/id/1342482","交通银行违规催收")</f>
        <v>交通银行违规催收</v>
      </c>
      <c r="C11216" s="2" t="s">
        <v>9</v>
      </c>
      <c r="D11216" s="2" t="s">
        <v>10</v>
      </c>
      <c r="E11216" s="2" t="str">
        <f>HYPERLINK("http://ts.21cn.com/tousu/show/id/1342482","http://ts.21cn.com/tousu/show/id/1342482")</f>
        <v>http://ts.21cn.com/tousu/show/id/1342482</v>
      </c>
      <c r="F11216" s="2" t="s">
        <v>11</v>
      </c>
      <c r="G11216" s="2" t="s">
        <v>22098</v>
      </c>
      <c r="H11216" s="2" t="s">
        <v>22099</v>
      </c>
    </row>
    <row r="11217" spans="1:8" ht="25.05" customHeight="1" x14ac:dyDescent="0.25">
      <c r="A11217" s="2" t="s">
        <v>8</v>
      </c>
      <c r="B11217" s="2" t="str">
        <f>HYPERLINK("http://ts.21cn.com/tousu/show/id/1342481","信用管家在放款时收取所谓的会员费用才能放款")</f>
        <v>信用管家在放款时收取所谓的会员费用才能放款</v>
      </c>
      <c r="C11217" s="2" t="s">
        <v>9</v>
      </c>
      <c r="D11217" s="2" t="s">
        <v>10</v>
      </c>
      <c r="E11217" s="2" t="str">
        <f>HYPERLINK("http://ts.21cn.com/tousu/show/id/1342481","http://ts.21cn.com/tousu/show/id/1342481")</f>
        <v>http://ts.21cn.com/tousu/show/id/1342481</v>
      </c>
      <c r="F11217" s="2" t="s">
        <v>11</v>
      </c>
      <c r="G11217" s="2" t="s">
        <v>22096</v>
      </c>
      <c r="H11217" s="2" t="s">
        <v>22097</v>
      </c>
    </row>
    <row r="11218" spans="1:8" ht="25.05" customHeight="1" x14ac:dyDescent="0.25">
      <c r="A11218" s="2" t="s">
        <v>8</v>
      </c>
      <c r="B11218" s="2" t="str">
        <f>HYPERLINK("http://ts.21cn.com/tousu/show/id/1342483","他人盗取我的个人信息在你我贷平台申请贷款")</f>
        <v>他人盗取我的个人信息在你我贷平台申请贷款</v>
      </c>
      <c r="C11218" s="2" t="s">
        <v>9</v>
      </c>
      <c r="D11218" s="2" t="s">
        <v>10</v>
      </c>
      <c r="E11218" s="2" t="str">
        <f>HYPERLINK("http://ts.21cn.com/tousu/show/id/1342483","http://ts.21cn.com/tousu/show/id/1342483")</f>
        <v>http://ts.21cn.com/tousu/show/id/1342483</v>
      </c>
      <c r="F11218" s="2" t="s">
        <v>11</v>
      </c>
      <c r="G11218" s="2" t="s">
        <v>22094</v>
      </c>
      <c r="H11218" s="2" t="s">
        <v>22095</v>
      </c>
    </row>
    <row r="11219" spans="1:8" ht="25.05" customHeight="1" x14ac:dyDescent="0.25">
      <c r="A11219" s="2" t="s">
        <v>8</v>
      </c>
      <c r="B11219" s="2" t="str">
        <f>HYPERLINK("http://ts.21cn.com/tousu/show/id/1342484","暴力催收骚扰")</f>
        <v>暴力催收骚扰</v>
      </c>
      <c r="C11219" s="2" t="s">
        <v>9</v>
      </c>
      <c r="D11219" s="2" t="s">
        <v>10</v>
      </c>
      <c r="E11219" s="2" t="str">
        <f>HYPERLINK("http://ts.21cn.com/tousu/show/id/1342484","http://ts.21cn.com/tousu/show/id/1342484")</f>
        <v>http://ts.21cn.com/tousu/show/id/1342484</v>
      </c>
      <c r="F11219" s="2" t="s">
        <v>11</v>
      </c>
      <c r="G11219" s="2" t="s">
        <v>22092</v>
      </c>
      <c r="H11219" s="2" t="s">
        <v>22093</v>
      </c>
    </row>
    <row r="11220" spans="1:8" ht="25.05" customHeight="1" x14ac:dyDescent="0.25">
      <c r="A11220" s="2" t="s">
        <v>8</v>
      </c>
      <c r="B11220" s="2" t="str">
        <f>HYPERLINK("http://ts.21cn.com/tousu/show/id/1342485","聚富分期恶意盗取银行卡299元")</f>
        <v>聚富分期恶意盗取银行卡299元</v>
      </c>
      <c r="C11220" s="2" t="s">
        <v>9</v>
      </c>
      <c r="D11220" s="2" t="s">
        <v>10</v>
      </c>
      <c r="E11220" s="2" t="str">
        <f>HYPERLINK("http://ts.21cn.com/tousu/show/id/1342485","http://ts.21cn.com/tousu/show/id/1342485")</f>
        <v>http://ts.21cn.com/tousu/show/id/1342485</v>
      </c>
      <c r="F11220" s="2" t="s">
        <v>11</v>
      </c>
      <c r="G11220" s="2" t="s">
        <v>22090</v>
      </c>
      <c r="H11220" s="2" t="s">
        <v>22091</v>
      </c>
    </row>
    <row r="11221" spans="1:8" ht="25.05" customHeight="1" x14ac:dyDescent="0.25">
      <c r="A11221" s="2" t="s">
        <v>8</v>
      </c>
      <c r="B11221" s="2" t="str">
        <f>HYPERLINK("http://ts.21cn.com/tousu/show/id/1342486","立借高利贷前三期就需要还清")</f>
        <v>立借高利贷前三期就需要还清</v>
      </c>
      <c r="C11221" s="2" t="s">
        <v>9</v>
      </c>
      <c r="D11221" s="2" t="s">
        <v>10</v>
      </c>
      <c r="E11221" s="2" t="str">
        <f>HYPERLINK("http://ts.21cn.com/tousu/show/id/1342486","http://ts.21cn.com/tousu/show/id/1342486")</f>
        <v>http://ts.21cn.com/tousu/show/id/1342486</v>
      </c>
      <c r="F11221" s="2" t="s">
        <v>11</v>
      </c>
      <c r="G11221" s="2" t="s">
        <v>22088</v>
      </c>
      <c r="H11221" s="2" t="s">
        <v>22089</v>
      </c>
    </row>
    <row r="11222" spans="1:8" ht="25.05" customHeight="1" x14ac:dyDescent="0.25">
      <c r="A11222" s="2" t="s">
        <v>8</v>
      </c>
      <c r="B11222" s="2" t="str">
        <f>HYPERLINK("http://ts.21cn.com/tousu/show/id/1342488","拍拍贷高利贷")</f>
        <v>拍拍贷高利贷</v>
      </c>
      <c r="C11222" s="2" t="s">
        <v>9</v>
      </c>
      <c r="D11222" s="2" t="s">
        <v>10</v>
      </c>
      <c r="E11222" s="2" t="str">
        <f>HYPERLINK("http://ts.21cn.com/tousu/show/id/1342488","http://ts.21cn.com/tousu/show/id/1342488")</f>
        <v>http://ts.21cn.com/tousu/show/id/1342488</v>
      </c>
      <c r="F11222" s="2" t="s">
        <v>11</v>
      </c>
      <c r="G11222" s="2" t="s">
        <v>22086</v>
      </c>
      <c r="H11222" s="2" t="s">
        <v>22087</v>
      </c>
    </row>
    <row r="11223" spans="1:8" ht="25.05" customHeight="1" x14ac:dyDescent="0.25">
      <c r="A11223" s="2" t="s">
        <v>8</v>
      </c>
      <c r="B11223" s="2" t="str">
        <f>HYPERLINK("http://ts.21cn.com/tousu/show/id/1342489","平台恶意加收服务费")</f>
        <v>平台恶意加收服务费</v>
      </c>
      <c r="C11223" s="2" t="s">
        <v>9</v>
      </c>
      <c r="D11223" s="2" t="s">
        <v>10</v>
      </c>
      <c r="E11223" s="2" t="str">
        <f>HYPERLINK("http://ts.21cn.com/tousu/show/id/1342489","http://ts.21cn.com/tousu/show/id/1342489")</f>
        <v>http://ts.21cn.com/tousu/show/id/1342489</v>
      </c>
      <c r="F11223" s="2" t="s">
        <v>11</v>
      </c>
      <c r="G11223" s="2" t="s">
        <v>22084</v>
      </c>
      <c r="H11223" s="2" t="s">
        <v>22085</v>
      </c>
    </row>
    <row r="11224" spans="1:8" ht="25.05" customHeight="1" x14ac:dyDescent="0.25">
      <c r="A11224" s="2" t="s">
        <v>8</v>
      </c>
      <c r="B11224" s="2" t="str">
        <f>HYPERLINK("http://ts.21cn.com/tousu/show/id/1342490","人人快递提现半个月没有到账，很多人的都是")</f>
        <v>人人快递提现半个月没有到账，很多人的都是</v>
      </c>
      <c r="C11224" s="2" t="s">
        <v>9</v>
      </c>
      <c r="D11224" s="2" t="s">
        <v>10</v>
      </c>
      <c r="E11224" s="2" t="str">
        <f>HYPERLINK("http://ts.21cn.com/tousu/show/id/1342490","http://ts.21cn.com/tousu/show/id/1342490")</f>
        <v>http://ts.21cn.com/tousu/show/id/1342490</v>
      </c>
      <c r="F11224" s="2" t="s">
        <v>11</v>
      </c>
      <c r="G11224" s="2" t="s">
        <v>22082</v>
      </c>
      <c r="H11224" s="2" t="s">
        <v>22083</v>
      </c>
    </row>
    <row r="11225" spans="1:8" ht="25.05" customHeight="1" x14ac:dyDescent="0.25">
      <c r="A11225" s="2" t="s">
        <v>8</v>
      </c>
      <c r="B11225" s="2" t="str">
        <f>HYPERLINK("http://ts.21cn.com/tousu/show/id/1341463","贷上钱暴力催收爆我通讯录威胁我全家")</f>
        <v>贷上钱暴力催收爆我通讯录威胁我全家</v>
      </c>
      <c r="C11225" s="2" t="s">
        <v>9</v>
      </c>
      <c r="D11225" s="2" t="s">
        <v>10</v>
      </c>
      <c r="E11225" s="2" t="str">
        <f>HYPERLINK("http://ts.21cn.com/tousu/show/id/1341463","http://ts.21cn.com/tousu/show/id/1341463")</f>
        <v>http://ts.21cn.com/tousu/show/id/1341463</v>
      </c>
      <c r="F11225" s="2" t="s">
        <v>11</v>
      </c>
      <c r="G11225" s="2" t="s">
        <v>22080</v>
      </c>
      <c r="H11225" s="2" t="s">
        <v>22081</v>
      </c>
    </row>
    <row r="11226" spans="1:8" ht="25.05" customHeight="1" x14ac:dyDescent="0.25">
      <c r="A11226" s="2" t="s">
        <v>8</v>
      </c>
      <c r="B11226" s="2" t="str">
        <f>HYPERLINK("http://ts.21cn.com/tousu/show/id/1342491","珠海韩妃医院强制消费")</f>
        <v>珠海韩妃医院强制消费</v>
      </c>
      <c r="C11226" s="2" t="s">
        <v>9</v>
      </c>
      <c r="D11226" s="2" t="s">
        <v>10</v>
      </c>
      <c r="E11226" s="2" t="str">
        <f>HYPERLINK("http://ts.21cn.com/tousu/show/id/1342491","http://ts.21cn.com/tousu/show/id/1342491")</f>
        <v>http://ts.21cn.com/tousu/show/id/1342491</v>
      </c>
      <c r="F11226" s="2" t="s">
        <v>11</v>
      </c>
      <c r="G11226" s="2" t="s">
        <v>22078</v>
      </c>
      <c r="H11226" s="2" t="s">
        <v>22079</v>
      </c>
    </row>
    <row r="11227" spans="1:8" ht="25.05" customHeight="1" x14ac:dyDescent="0.25">
      <c r="A11227" s="2" t="s">
        <v>8</v>
      </c>
      <c r="B11227" s="2" t="str">
        <f>HYPERLINK("http://ts.21cn.com/tousu/show/id/1342492","派单和设置的顺路订单路线相反！？")</f>
        <v>派单和设置的顺路订单路线相反！？</v>
      </c>
      <c r="C11227" s="2" t="s">
        <v>34</v>
      </c>
      <c r="D11227" s="2" t="s">
        <v>10</v>
      </c>
      <c r="E11227" s="2" t="str">
        <f>HYPERLINK("http://ts.21cn.com/tousu/show/id/1342492","http://ts.21cn.com/tousu/show/id/1342492")</f>
        <v>http://ts.21cn.com/tousu/show/id/1342492</v>
      </c>
      <c r="F11227" s="2" t="s">
        <v>11</v>
      </c>
      <c r="G11227" s="2" t="s">
        <v>22076</v>
      </c>
      <c r="H11227" s="2" t="s">
        <v>22077</v>
      </c>
    </row>
    <row r="11228" spans="1:8" ht="25.05" customHeight="1" x14ac:dyDescent="0.25">
      <c r="A11228" s="2" t="s">
        <v>8</v>
      </c>
      <c r="B11228" s="2" t="str">
        <f>HYPERLINK("http://ts.21cn.com/tousu/show/id/1342493","玖富万卡高利贷")</f>
        <v>玖富万卡高利贷</v>
      </c>
      <c r="C11228" s="2" t="s">
        <v>9</v>
      </c>
      <c r="D11228" s="2" t="s">
        <v>10</v>
      </c>
      <c r="E11228" s="2" t="str">
        <f>HYPERLINK("http://ts.21cn.com/tousu/show/id/1342493","http://ts.21cn.com/tousu/show/id/1342493")</f>
        <v>http://ts.21cn.com/tousu/show/id/1342493</v>
      </c>
      <c r="F11228" s="2" t="s">
        <v>11</v>
      </c>
      <c r="G11228" s="2" t="s">
        <v>22074</v>
      </c>
      <c r="H11228" s="2" t="s">
        <v>22075</v>
      </c>
    </row>
    <row r="11229" spans="1:8" ht="25.05" customHeight="1" x14ac:dyDescent="0.25">
      <c r="A11229" s="2" t="s">
        <v>8</v>
      </c>
      <c r="B11229" s="2" t="str">
        <f>HYPERLINK("http://ts.21cn.com/tousu/show/id/1342494","投诉对啊网教育")</f>
        <v>投诉对啊网教育</v>
      </c>
      <c r="C11229" s="2" t="s">
        <v>9</v>
      </c>
      <c r="D11229" s="2" t="s">
        <v>10</v>
      </c>
      <c r="E11229" s="2" t="str">
        <f>HYPERLINK("http://ts.21cn.com/tousu/show/id/1342494","http://ts.21cn.com/tousu/show/id/1342494")</f>
        <v>http://ts.21cn.com/tousu/show/id/1342494</v>
      </c>
      <c r="F11229" s="2" t="s">
        <v>11</v>
      </c>
      <c r="G11229" s="2" t="s">
        <v>22072</v>
      </c>
      <c r="H11229" s="2" t="s">
        <v>22073</v>
      </c>
    </row>
    <row r="11230" spans="1:8" ht="25.05" customHeight="1" x14ac:dyDescent="0.25">
      <c r="A11230" s="2" t="s">
        <v>8</v>
      </c>
      <c r="B11230" s="2" t="str">
        <f>HYPERLINK("http://ts.21cn.com/tousu/show/id/1342496","“省呗”违法催收，打电话给不相关人员")</f>
        <v>“省呗”违法催收，打电话给不相关人员</v>
      </c>
      <c r="C11230" s="2" t="s">
        <v>9</v>
      </c>
      <c r="D11230" s="2" t="s">
        <v>10</v>
      </c>
      <c r="E11230" s="2" t="str">
        <f>HYPERLINK("http://ts.21cn.com/tousu/show/id/1342496","http://ts.21cn.com/tousu/show/id/1342496")</f>
        <v>http://ts.21cn.com/tousu/show/id/1342496</v>
      </c>
      <c r="F11230" s="2" t="s">
        <v>11</v>
      </c>
      <c r="G11230" s="2" t="s">
        <v>22069</v>
      </c>
      <c r="H11230" s="2" t="s">
        <v>22070</v>
      </c>
    </row>
    <row r="11231" spans="1:8" ht="25.05" customHeight="1" x14ac:dyDescent="0.25">
      <c r="A11231" s="2" t="s">
        <v>8</v>
      </c>
      <c r="B11231" s="2" t="str">
        <f>HYPERLINK("http://ts.21cn.com/tousu/show/id/1342495","暴力催收，骚扰朋友家人")</f>
        <v>暴力催收，骚扰朋友家人</v>
      </c>
      <c r="C11231" s="2" t="s">
        <v>9</v>
      </c>
      <c r="D11231" s="2" t="s">
        <v>10</v>
      </c>
      <c r="E11231" s="2" t="str">
        <f>HYPERLINK("http://ts.21cn.com/tousu/show/id/1342495","http://ts.21cn.com/tousu/show/id/1342495")</f>
        <v>http://ts.21cn.com/tousu/show/id/1342495</v>
      </c>
      <c r="F11231" s="2" t="s">
        <v>11</v>
      </c>
      <c r="G11231" s="2" t="s">
        <v>22069</v>
      </c>
      <c r="H11231" s="2" t="s">
        <v>22071</v>
      </c>
    </row>
    <row r="11232" spans="1:8" ht="25.05" customHeight="1" x14ac:dyDescent="0.25">
      <c r="A11232" s="2" t="s">
        <v>8</v>
      </c>
      <c r="B11232" s="2" t="str">
        <f>HYPERLINK("http://ts.21cn.com/tousu/show/id/1342497","京东商城欺骗消费者不提醒消费者就随意取消订单")</f>
        <v>京东商城欺骗消费者不提醒消费者就随意取消订单</v>
      </c>
      <c r="C11232" s="2" t="s">
        <v>9</v>
      </c>
      <c r="D11232" s="2" t="s">
        <v>10</v>
      </c>
      <c r="E11232" s="2" t="str">
        <f>HYPERLINK("http://ts.21cn.com/tousu/show/id/1342497","http://ts.21cn.com/tousu/show/id/1342497")</f>
        <v>http://ts.21cn.com/tousu/show/id/1342497</v>
      </c>
      <c r="F11232" s="2" t="s">
        <v>11</v>
      </c>
      <c r="G11232" s="2" t="s">
        <v>22067</v>
      </c>
      <c r="H11232" s="2" t="s">
        <v>22068</v>
      </c>
    </row>
    <row r="11233" spans="1:8" ht="25.05" customHeight="1" x14ac:dyDescent="0.25">
      <c r="A11233" s="2" t="s">
        <v>8</v>
      </c>
      <c r="B11233" s="2" t="str">
        <f>HYPERLINK("http://ts.21cn.com/tousu/show/id/1342499","网贷套路欺诈")</f>
        <v>网贷套路欺诈</v>
      </c>
      <c r="C11233" s="2" t="s">
        <v>9</v>
      </c>
      <c r="D11233" s="2" t="s">
        <v>10</v>
      </c>
      <c r="E11233" s="2" t="str">
        <f>HYPERLINK("http://ts.21cn.com/tousu/show/id/1342499","http://ts.21cn.com/tousu/show/id/1342499")</f>
        <v>http://ts.21cn.com/tousu/show/id/1342499</v>
      </c>
      <c r="F11233" s="2" t="s">
        <v>11</v>
      </c>
      <c r="G11233" s="2" t="s">
        <v>22065</v>
      </c>
      <c r="H11233" s="2" t="s">
        <v>22066</v>
      </c>
    </row>
    <row r="11234" spans="1:8" ht="25.05" customHeight="1" x14ac:dyDescent="0.25">
      <c r="A11234" s="2" t="s">
        <v>8</v>
      </c>
      <c r="B11234" s="2" t="str">
        <f>HYPERLINK("http://ts.21cn.com/tousu/show/id/1342498","天猫超市未按时送达，客服态度欠佳且互相踢皮球")</f>
        <v>天猫超市未按时送达，客服态度欠佳且互相踢皮球</v>
      </c>
      <c r="C11234" s="2" t="s">
        <v>9</v>
      </c>
      <c r="D11234" s="2" t="s">
        <v>10</v>
      </c>
      <c r="E11234" s="2" t="str">
        <f>HYPERLINK("http://ts.21cn.com/tousu/show/id/1342498","http://ts.21cn.com/tousu/show/id/1342498")</f>
        <v>http://ts.21cn.com/tousu/show/id/1342498</v>
      </c>
      <c r="F11234" s="2" t="s">
        <v>11</v>
      </c>
      <c r="G11234" s="2" t="s">
        <v>22063</v>
      </c>
      <c r="H11234" s="2" t="s">
        <v>22064</v>
      </c>
    </row>
    <row r="11235" spans="1:8" ht="25.05" customHeight="1" x14ac:dyDescent="0.25">
      <c r="A11235" s="2" t="s">
        <v>8</v>
      </c>
      <c r="B11235" s="2" t="str">
        <f>HYPERLINK("http://ts.21cn.com/tousu/show/id/1342500","强制扣费、客服说好处理问题但各种拖延。反复反馈遭客服轻视")</f>
        <v>强制扣费、客服说好处理问题但各种拖延。反复反馈遭客服轻视</v>
      </c>
      <c r="C11235" s="2" t="s">
        <v>9</v>
      </c>
      <c r="D11235" s="2" t="s">
        <v>10</v>
      </c>
      <c r="E11235" s="2" t="str">
        <f>HYPERLINK("http://ts.21cn.com/tousu/show/id/1342500","http://ts.21cn.com/tousu/show/id/1342500")</f>
        <v>http://ts.21cn.com/tousu/show/id/1342500</v>
      </c>
      <c r="F11235" s="2" t="s">
        <v>11</v>
      </c>
      <c r="G11235" s="2" t="s">
        <v>22061</v>
      </c>
      <c r="H11235" s="2" t="s">
        <v>22062</v>
      </c>
    </row>
    <row r="11236" spans="1:8" ht="25.05" customHeight="1" x14ac:dyDescent="0.25">
      <c r="A11236" s="2" t="s">
        <v>8</v>
      </c>
      <c r="B11236" s="2" t="str">
        <f>HYPERLINK("http://ts.21cn.com/tousu/show/id/1342501","小浦优客在用户不知道的情况下扣取296元服务费")</f>
        <v>小浦优客在用户不知道的情况下扣取296元服务费</v>
      </c>
      <c r="C11236" s="2" t="s">
        <v>9</v>
      </c>
      <c r="D11236" s="2" t="s">
        <v>10</v>
      </c>
      <c r="E11236" s="2" t="str">
        <f>HYPERLINK("http://ts.21cn.com/tousu/show/id/1342501","http://ts.21cn.com/tousu/show/id/1342501")</f>
        <v>http://ts.21cn.com/tousu/show/id/1342501</v>
      </c>
      <c r="F11236" s="2" t="s">
        <v>11</v>
      </c>
      <c r="G11236" s="2" t="s">
        <v>22059</v>
      </c>
      <c r="H11236" s="2" t="s">
        <v>22060</v>
      </c>
    </row>
    <row r="11237" spans="1:8" ht="25.05" customHeight="1" x14ac:dyDescent="0.25">
      <c r="A11237" s="2" t="s">
        <v>8</v>
      </c>
      <c r="B11237" s="2" t="str">
        <f>HYPERLINK("http://ts.21cn.com/tousu/show/id/1342504","达飞云贷垃圾高利贷")</f>
        <v>达飞云贷垃圾高利贷</v>
      </c>
      <c r="C11237" s="2" t="s">
        <v>9</v>
      </c>
      <c r="D11237" s="2" t="s">
        <v>10</v>
      </c>
      <c r="E11237" s="2" t="str">
        <f>HYPERLINK("http://ts.21cn.com/tousu/show/id/1342504","http://ts.21cn.com/tousu/show/id/1342504")</f>
        <v>http://ts.21cn.com/tousu/show/id/1342504</v>
      </c>
      <c r="F11237" s="2" t="s">
        <v>11</v>
      </c>
      <c r="G11237" s="2" t="s">
        <v>22057</v>
      </c>
      <c r="H11237" s="2" t="s">
        <v>22058</v>
      </c>
    </row>
    <row r="11238" spans="1:8" ht="25.05" customHeight="1" x14ac:dyDescent="0.25">
      <c r="A11238" s="2" t="s">
        <v>8</v>
      </c>
      <c r="B11238" s="2" t="str">
        <f>HYPERLINK("http://ts.21cn.com/tousu/show/id/1342503","小浦优客阴阳协议，直接扣款")</f>
        <v>小浦优客阴阳协议，直接扣款</v>
      </c>
      <c r="C11238" s="2" t="s">
        <v>9</v>
      </c>
      <c r="D11238" s="2" t="s">
        <v>10</v>
      </c>
      <c r="E11238" s="2" t="str">
        <f>HYPERLINK("http://ts.21cn.com/tousu/show/id/1342503","http://ts.21cn.com/tousu/show/id/1342503")</f>
        <v>http://ts.21cn.com/tousu/show/id/1342503</v>
      </c>
      <c r="F11238" s="2" t="s">
        <v>11</v>
      </c>
      <c r="G11238" s="2" t="s">
        <v>22055</v>
      </c>
      <c r="H11238" s="2" t="s">
        <v>22056</v>
      </c>
    </row>
    <row r="11239" spans="1:8" ht="25.05" customHeight="1" x14ac:dyDescent="0.25">
      <c r="A11239" s="2" t="s">
        <v>8</v>
      </c>
      <c r="B11239" s="2" t="str">
        <f>HYPERLINK("http://ts.21cn.com/tousu/show/id/1342505","在可以联系上本人的情况下，依然不停拨打家人电话进行骚扰，恐吓，本人确实存在逾期行为")</f>
        <v>在可以联系上本人的情况下，依然不停拨打家人电话进行骚扰，恐吓，本人确实存在逾期行为</v>
      </c>
      <c r="C11239" s="2" t="s">
        <v>9</v>
      </c>
      <c r="D11239" s="2" t="s">
        <v>10</v>
      </c>
      <c r="E11239" s="2" t="str">
        <f>HYPERLINK("http://ts.21cn.com/tousu/show/id/1342505","http://ts.21cn.com/tousu/show/id/1342505")</f>
        <v>http://ts.21cn.com/tousu/show/id/1342505</v>
      </c>
      <c r="F11239" s="2" t="s">
        <v>11</v>
      </c>
      <c r="G11239" s="2" t="s">
        <v>22053</v>
      </c>
      <c r="H11239" s="2" t="s">
        <v>22054</v>
      </c>
    </row>
    <row r="11240" spans="1:8" ht="25.05" customHeight="1" x14ac:dyDescent="0.25">
      <c r="A11240" s="2" t="s">
        <v>8</v>
      </c>
      <c r="B11240" s="2" t="str">
        <f>HYPERLINK("http://ts.21cn.com/tousu/show/id/1342507","微网贷多米贷还清了还催")</f>
        <v>微网贷多米贷还清了还催</v>
      </c>
      <c r="C11240" s="2" t="s">
        <v>9</v>
      </c>
      <c r="D11240" s="2" t="s">
        <v>10</v>
      </c>
      <c r="E11240" s="2" t="str">
        <f>HYPERLINK("http://ts.21cn.com/tousu/show/id/1342507","http://ts.21cn.com/tousu/show/id/1342507")</f>
        <v>http://ts.21cn.com/tousu/show/id/1342507</v>
      </c>
      <c r="F11240" s="2" t="s">
        <v>11</v>
      </c>
      <c r="G11240" s="2" t="s">
        <v>22051</v>
      </c>
      <c r="H11240" s="2" t="s">
        <v>22052</v>
      </c>
    </row>
    <row r="11241" spans="1:8" ht="25.05" customHeight="1" x14ac:dyDescent="0.25">
      <c r="A11241" s="2" t="s">
        <v>8</v>
      </c>
      <c r="B11241" s="2" t="str">
        <f>HYPERLINK("http://ts.21cn.com/tousu/show/id/1342510","除紧急联系人之外我朋友家人也收到了催收的电话，损毁个人名誉，以及威胁恐吓")</f>
        <v>除紧急联系人之外我朋友家人也收到了催收的电话，损毁个人名誉，以及威胁恐吓</v>
      </c>
      <c r="C11241" s="2" t="s">
        <v>9</v>
      </c>
      <c r="D11241" s="2" t="s">
        <v>10</v>
      </c>
      <c r="E11241" s="2" t="str">
        <f>HYPERLINK("http://ts.21cn.com/tousu/show/id/1342510","http://ts.21cn.com/tousu/show/id/1342510")</f>
        <v>http://ts.21cn.com/tousu/show/id/1342510</v>
      </c>
      <c r="F11241" s="2" t="s">
        <v>11</v>
      </c>
      <c r="G11241" s="2" t="s">
        <v>22049</v>
      </c>
      <c r="H11241" s="2" t="s">
        <v>22050</v>
      </c>
    </row>
    <row r="11242" spans="1:8" ht="25.05" customHeight="1" x14ac:dyDescent="0.25">
      <c r="A11242" s="2" t="s">
        <v>8</v>
      </c>
      <c r="B11242" s="2" t="str">
        <f>HYPERLINK("http://ts.21cn.com/tousu/show/id/1342508","支付宝无法实名认证，提示上限导致余额不能提现，要求赔偿损失")</f>
        <v>支付宝无法实名认证，提示上限导致余额不能提现，要求赔偿损失</v>
      </c>
      <c r="C11242" s="2" t="s">
        <v>9</v>
      </c>
      <c r="D11242" s="2" t="s">
        <v>10</v>
      </c>
      <c r="E11242" s="2" t="str">
        <f>HYPERLINK("http://ts.21cn.com/tousu/show/id/1342508","http://ts.21cn.com/tousu/show/id/1342508")</f>
        <v>http://ts.21cn.com/tousu/show/id/1342508</v>
      </c>
      <c r="F11242" s="2" t="s">
        <v>11</v>
      </c>
      <c r="G11242" s="2" t="s">
        <v>22047</v>
      </c>
      <c r="H11242" s="2" t="s">
        <v>22048</v>
      </c>
    </row>
    <row r="11243" spans="1:8" ht="25.05" customHeight="1" x14ac:dyDescent="0.25">
      <c r="A11243" s="2" t="s">
        <v>8</v>
      </c>
      <c r="B11243" s="2" t="str">
        <f>HYPERLINK("http://ts.21cn.com/tousu/show/id/1342513","投诉月光侠分期高利贷")</f>
        <v>投诉月光侠分期高利贷</v>
      </c>
      <c r="C11243" s="2" t="s">
        <v>9</v>
      </c>
      <c r="D11243" s="2" t="s">
        <v>10</v>
      </c>
      <c r="E11243" s="2" t="str">
        <f>HYPERLINK("http://ts.21cn.com/tousu/show/id/1342513","http://ts.21cn.com/tousu/show/id/1342513")</f>
        <v>http://ts.21cn.com/tousu/show/id/1342513</v>
      </c>
      <c r="F11243" s="2" t="s">
        <v>11</v>
      </c>
      <c r="G11243" s="2" t="s">
        <v>22045</v>
      </c>
      <c r="H11243" s="2" t="s">
        <v>22046</v>
      </c>
    </row>
    <row r="11244" spans="1:8" ht="25.05" customHeight="1" x14ac:dyDescent="0.25">
      <c r="A11244" s="2" t="s">
        <v>8</v>
      </c>
      <c r="B11244" s="2" t="str">
        <f>HYPERLINK("http://ts.21cn.com/tousu/show/id/1342511","回收退回机器屏幕划伤")</f>
        <v>回收退回机器屏幕划伤</v>
      </c>
      <c r="C11244" s="2" t="s">
        <v>9</v>
      </c>
      <c r="D11244" s="2" t="s">
        <v>10</v>
      </c>
      <c r="E11244" s="2" t="str">
        <f>HYPERLINK("http://ts.21cn.com/tousu/show/id/1342511","http://ts.21cn.com/tousu/show/id/1342511")</f>
        <v>http://ts.21cn.com/tousu/show/id/1342511</v>
      </c>
      <c r="F11244" s="2" t="s">
        <v>11</v>
      </c>
      <c r="G11244" s="2" t="s">
        <v>22043</v>
      </c>
      <c r="H11244" s="2" t="s">
        <v>22044</v>
      </c>
    </row>
    <row r="11245" spans="1:8" ht="25.05" customHeight="1" x14ac:dyDescent="0.25">
      <c r="A11245" s="2" t="s">
        <v>8</v>
      </c>
      <c r="B11245" s="2" t="str">
        <f>HYPERLINK("http://ts.21cn.com/tousu/show/id/1342512","救急白卡欺诈")</f>
        <v>救急白卡欺诈</v>
      </c>
      <c r="C11245" s="2" t="s">
        <v>9</v>
      </c>
      <c r="D11245" s="2" t="s">
        <v>10</v>
      </c>
      <c r="E11245" s="2" t="str">
        <f>HYPERLINK("http://ts.21cn.com/tousu/show/id/1342512","http://ts.21cn.com/tousu/show/id/1342512")</f>
        <v>http://ts.21cn.com/tousu/show/id/1342512</v>
      </c>
      <c r="F11245" s="2" t="s">
        <v>11</v>
      </c>
      <c r="G11245" s="2" t="s">
        <v>22041</v>
      </c>
      <c r="H11245" s="2" t="s">
        <v>22042</v>
      </c>
    </row>
    <row r="11246" spans="1:8" ht="25.05" customHeight="1" x14ac:dyDescent="0.25">
      <c r="A11246" s="2" t="s">
        <v>8</v>
      </c>
      <c r="B11246" s="2" t="str">
        <f>HYPERLINK("http://ts.21cn.com/tousu/show/id/1342514","恒易贷高利贷")</f>
        <v>恒易贷高利贷</v>
      </c>
      <c r="C11246" s="2" t="s">
        <v>9</v>
      </c>
      <c r="D11246" s="2" t="s">
        <v>10</v>
      </c>
      <c r="E11246" s="2" t="str">
        <f>HYPERLINK("http://ts.21cn.com/tousu/show/id/1342514","http://ts.21cn.com/tousu/show/id/1342514")</f>
        <v>http://ts.21cn.com/tousu/show/id/1342514</v>
      </c>
      <c r="F11246" s="2" t="s">
        <v>11</v>
      </c>
      <c r="G11246" s="2" t="s">
        <v>22039</v>
      </c>
      <c r="H11246" s="2" t="s">
        <v>22040</v>
      </c>
    </row>
    <row r="11247" spans="1:8" ht="25.05" customHeight="1" x14ac:dyDescent="0.25">
      <c r="A11247" s="2" t="s">
        <v>8</v>
      </c>
      <c r="B11247" s="2" t="str">
        <f>HYPERLINK("http://ts.21cn.com/tousu/show/id/1342515","省呗逾期不接受协商直接要求还全款")</f>
        <v>省呗逾期不接受协商直接要求还全款</v>
      </c>
      <c r="C11247" s="2" t="s">
        <v>9</v>
      </c>
      <c r="D11247" s="2" t="s">
        <v>10</v>
      </c>
      <c r="E11247" s="2" t="str">
        <f>HYPERLINK("http://ts.21cn.com/tousu/show/id/1342515","http://ts.21cn.com/tousu/show/id/1342515")</f>
        <v>http://ts.21cn.com/tousu/show/id/1342515</v>
      </c>
      <c r="F11247" s="2" t="s">
        <v>11</v>
      </c>
      <c r="G11247" s="2" t="s">
        <v>22037</v>
      </c>
      <c r="H11247" s="2" t="s">
        <v>22038</v>
      </c>
    </row>
    <row r="11248" spans="1:8" ht="25.05" customHeight="1" x14ac:dyDescent="0.25">
      <c r="A11248" s="2" t="s">
        <v>8</v>
      </c>
      <c r="B11248" s="2" t="str">
        <f>HYPERLINK("http://ts.21cn.com/tousu/show/id/1342517","停止诉讼协商还款停止骚扰")</f>
        <v>停止诉讼协商还款停止骚扰</v>
      </c>
      <c r="C11248" s="2" t="s">
        <v>9</v>
      </c>
      <c r="D11248" s="2" t="s">
        <v>10</v>
      </c>
      <c r="E11248" s="2" t="str">
        <f>HYPERLINK("http://ts.21cn.com/tousu/show/id/1342517","http://ts.21cn.com/tousu/show/id/1342517")</f>
        <v>http://ts.21cn.com/tousu/show/id/1342517</v>
      </c>
      <c r="F11248" s="2" t="s">
        <v>11</v>
      </c>
      <c r="G11248" s="2" t="s">
        <v>22035</v>
      </c>
      <c r="H11248" s="2" t="s">
        <v>22036</v>
      </c>
    </row>
    <row r="11249" spans="1:8" ht="25.05" customHeight="1" x14ac:dyDescent="0.25">
      <c r="A11249" s="2" t="s">
        <v>8</v>
      </c>
      <c r="B11249" s="2" t="str">
        <f>HYPERLINK("http://ts.21cn.com/tousu/show/id/1342518","立借")</f>
        <v>立借</v>
      </c>
      <c r="C11249" s="2" t="s">
        <v>9</v>
      </c>
      <c r="D11249" s="2" t="s">
        <v>10</v>
      </c>
      <c r="E11249" s="2" t="str">
        <f>HYPERLINK("http://ts.21cn.com/tousu/show/id/1342518","http://ts.21cn.com/tousu/show/id/1342518")</f>
        <v>http://ts.21cn.com/tousu/show/id/1342518</v>
      </c>
      <c r="F11249" s="2" t="s">
        <v>11</v>
      </c>
      <c r="G11249" s="2" t="s">
        <v>22033</v>
      </c>
      <c r="H11249" s="2" t="s">
        <v>22034</v>
      </c>
    </row>
    <row r="11250" spans="1:8" ht="25.05" customHeight="1" x14ac:dyDescent="0.25">
      <c r="A11250" s="2" t="s">
        <v>8</v>
      </c>
      <c r="B11250" s="2" t="str">
        <f>HYPERLINK("http://ts.21cn.com/tousu/show/id/1342519","暴力催收，辱骂家人暴打通讯率")</f>
        <v>暴力催收，辱骂家人暴打通讯率</v>
      </c>
      <c r="C11250" s="2" t="s">
        <v>9</v>
      </c>
      <c r="D11250" s="2" t="s">
        <v>10</v>
      </c>
      <c r="E11250" s="2" t="str">
        <f>HYPERLINK("http://ts.21cn.com/tousu/show/id/1342519","http://ts.21cn.com/tousu/show/id/1342519")</f>
        <v>http://ts.21cn.com/tousu/show/id/1342519</v>
      </c>
      <c r="F11250" s="2" t="s">
        <v>11</v>
      </c>
      <c r="G11250" s="2" t="s">
        <v>22031</v>
      </c>
      <c r="H11250" s="2" t="s">
        <v>22032</v>
      </c>
    </row>
    <row r="11251" spans="1:8" ht="25.05" customHeight="1" x14ac:dyDescent="0.25">
      <c r="A11251" s="2" t="s">
        <v>8</v>
      </c>
      <c r="B11251" s="2" t="str">
        <f>HYPERLINK("http://ts.21cn.com/tousu/show/id/1342522","微信零钱无法提现")</f>
        <v>微信零钱无法提现</v>
      </c>
      <c r="C11251" s="2" t="s">
        <v>9</v>
      </c>
      <c r="D11251" s="2" t="s">
        <v>10</v>
      </c>
      <c r="E11251" s="2" t="str">
        <f>HYPERLINK("http://ts.21cn.com/tousu/show/id/1342522","http://ts.21cn.com/tousu/show/id/1342522")</f>
        <v>http://ts.21cn.com/tousu/show/id/1342522</v>
      </c>
      <c r="F11251" s="2" t="s">
        <v>11</v>
      </c>
      <c r="G11251" s="2" t="s">
        <v>22029</v>
      </c>
      <c r="H11251" s="2" t="s">
        <v>22030</v>
      </c>
    </row>
    <row r="11252" spans="1:8" ht="25.05" customHeight="1" x14ac:dyDescent="0.25">
      <c r="A11252" s="2" t="s">
        <v>8</v>
      </c>
      <c r="B11252" s="2" t="str">
        <f>HYPERLINK("http://ts.21cn.com/tousu/show/id/1342520","拍拍贷催款员恐吓自己打电话给我朋友说一些很难听的话")</f>
        <v>拍拍贷催款员恐吓自己打电话给我朋友说一些很难听的话</v>
      </c>
      <c r="C11252" s="2" t="s">
        <v>9</v>
      </c>
      <c r="D11252" s="2" t="s">
        <v>10</v>
      </c>
      <c r="E11252" s="2" t="str">
        <f>HYPERLINK("http://ts.21cn.com/tousu/show/id/1342520","http://ts.21cn.com/tousu/show/id/1342520")</f>
        <v>http://ts.21cn.com/tousu/show/id/1342520</v>
      </c>
      <c r="F11252" s="2" t="s">
        <v>11</v>
      </c>
      <c r="G11252" s="2" t="s">
        <v>22027</v>
      </c>
      <c r="H11252" s="2" t="s">
        <v>22028</v>
      </c>
    </row>
    <row r="11253" spans="1:8" ht="25.05" customHeight="1" x14ac:dyDescent="0.25">
      <c r="A11253" s="2" t="s">
        <v>8</v>
      </c>
      <c r="B11253" s="2" t="str">
        <f>HYPERLINK("http://ts.21cn.com/tousu/show/id/1342521","高利贷，套路贷")</f>
        <v>高利贷，套路贷</v>
      </c>
      <c r="C11253" s="2" t="s">
        <v>9</v>
      </c>
      <c r="D11253" s="2" t="s">
        <v>10</v>
      </c>
      <c r="E11253" s="2" t="str">
        <f>HYPERLINK("http://ts.21cn.com/tousu/show/id/1342521","http://ts.21cn.com/tousu/show/id/1342521")</f>
        <v>http://ts.21cn.com/tousu/show/id/1342521</v>
      </c>
      <c r="F11253" s="2" t="s">
        <v>11</v>
      </c>
      <c r="G11253" s="2" t="s">
        <v>22025</v>
      </c>
      <c r="H11253" s="2" t="s">
        <v>22026</v>
      </c>
    </row>
    <row r="11254" spans="1:8" ht="25.05" customHeight="1" x14ac:dyDescent="0.25">
      <c r="A11254" s="2" t="s">
        <v>8</v>
      </c>
      <c r="B11254" s="2" t="str">
        <f>HYPERLINK("http://ts.21cn.com/tousu/show/id/1342523","信而富拒绝注销账户")</f>
        <v>信而富拒绝注销账户</v>
      </c>
      <c r="C11254" s="2" t="s">
        <v>9</v>
      </c>
      <c r="D11254" s="2" t="s">
        <v>10</v>
      </c>
      <c r="E11254" s="2" t="str">
        <f>HYPERLINK("http://ts.21cn.com/tousu/show/id/1342523","http://ts.21cn.com/tousu/show/id/1342523")</f>
        <v>http://ts.21cn.com/tousu/show/id/1342523</v>
      </c>
      <c r="F11254" s="2" t="s">
        <v>11</v>
      </c>
      <c r="G11254" s="2" t="s">
        <v>22023</v>
      </c>
      <c r="H11254" s="2" t="s">
        <v>22024</v>
      </c>
    </row>
    <row r="11255" spans="1:8" ht="25.05" customHeight="1" x14ac:dyDescent="0.25">
      <c r="A11255" s="2" t="s">
        <v>8</v>
      </c>
      <c r="B11255" s="2" t="str">
        <f>HYPERLINK("http://ts.21cn.com/tousu/show/id/1342524","山东移动新老用户套餐差异化")</f>
        <v>山东移动新老用户套餐差异化</v>
      </c>
      <c r="C11255" s="2" t="s">
        <v>9</v>
      </c>
      <c r="D11255" s="2" t="s">
        <v>10</v>
      </c>
      <c r="E11255" s="2" t="str">
        <f>HYPERLINK("http://ts.21cn.com/tousu/show/id/1342524","http://ts.21cn.com/tousu/show/id/1342524")</f>
        <v>http://ts.21cn.com/tousu/show/id/1342524</v>
      </c>
      <c r="F11255" s="2" t="s">
        <v>11</v>
      </c>
      <c r="G11255" s="2" t="s">
        <v>22021</v>
      </c>
      <c r="H11255" s="2" t="s">
        <v>22022</v>
      </c>
    </row>
    <row r="11256" spans="1:8" ht="25.05" customHeight="1" x14ac:dyDescent="0.25">
      <c r="A11256" s="2" t="s">
        <v>8</v>
      </c>
      <c r="B11256" s="2" t="str">
        <f>HYPERLINK("http://ts.21cn.com/tousu/show/id/1342526","支付宝下面理财周期恶意非法集资洗黑钱，")</f>
        <v>支付宝下面理财周期恶意非法集资洗黑钱，</v>
      </c>
      <c r="C11256" s="2" t="s">
        <v>9</v>
      </c>
      <c r="D11256" s="2" t="s">
        <v>10</v>
      </c>
      <c r="E11256" s="2" t="str">
        <f>HYPERLINK("http://ts.21cn.com/tousu/show/id/1342526","http://ts.21cn.com/tousu/show/id/1342526")</f>
        <v>http://ts.21cn.com/tousu/show/id/1342526</v>
      </c>
      <c r="F11256" s="2" t="s">
        <v>11</v>
      </c>
      <c r="G11256" s="2" t="s">
        <v>22019</v>
      </c>
      <c r="H11256" s="2" t="s">
        <v>22020</v>
      </c>
    </row>
    <row r="11257" spans="1:8" ht="25.05" customHeight="1" x14ac:dyDescent="0.25">
      <c r="A11257" s="2" t="s">
        <v>8</v>
      </c>
      <c r="B11257" s="2" t="str">
        <f>HYPERLINK("http://ts.21cn.com/tousu/show/id/1342527","承诺额度长期有效的，现在冻结了可用金额")</f>
        <v>承诺额度长期有效的，现在冻结了可用金额</v>
      </c>
      <c r="C11257" s="2" t="s">
        <v>9</v>
      </c>
      <c r="D11257" s="2" t="s">
        <v>10</v>
      </c>
      <c r="E11257" s="2" t="str">
        <f>HYPERLINK("http://ts.21cn.com/tousu/show/id/1342527","http://ts.21cn.com/tousu/show/id/1342527")</f>
        <v>http://ts.21cn.com/tousu/show/id/1342527</v>
      </c>
      <c r="F11257" s="2" t="s">
        <v>11</v>
      </c>
      <c r="G11257" s="2" t="s">
        <v>22017</v>
      </c>
      <c r="H11257" s="2" t="s">
        <v>22018</v>
      </c>
    </row>
    <row r="11258" spans="1:8" ht="25.05" customHeight="1" x14ac:dyDescent="0.25">
      <c r="A11258" s="2" t="s">
        <v>8</v>
      </c>
      <c r="B11258" s="2" t="str">
        <f>HYPERLINK("http://ts.21cn.com/tousu/show/id/1342529","苏宁金融借款利息")</f>
        <v>苏宁金融借款利息</v>
      </c>
      <c r="C11258" s="2" t="s">
        <v>9</v>
      </c>
      <c r="D11258" s="2" t="s">
        <v>10</v>
      </c>
      <c r="E11258" s="2" t="str">
        <f>HYPERLINK("http://ts.21cn.com/tousu/show/id/1342529","http://ts.21cn.com/tousu/show/id/1342529")</f>
        <v>http://ts.21cn.com/tousu/show/id/1342529</v>
      </c>
      <c r="F11258" s="2" t="s">
        <v>11</v>
      </c>
      <c r="G11258" s="2" t="s">
        <v>22015</v>
      </c>
      <c r="H11258" s="2" t="s">
        <v>22016</v>
      </c>
    </row>
    <row r="11259" spans="1:8" ht="25.05" customHeight="1" x14ac:dyDescent="0.25">
      <c r="A11259" s="2" t="s">
        <v>8</v>
      </c>
      <c r="B11259" s="2" t="str">
        <f>HYPERLINK("http://ts.21cn.com/tousu/show/id/1342528","马上消费金融，暴力催收，恐吓短信，")</f>
        <v>马上消费金融，暴力催收，恐吓短信，</v>
      </c>
      <c r="C11259" s="2" t="s">
        <v>9</v>
      </c>
      <c r="D11259" s="2" t="s">
        <v>10</v>
      </c>
      <c r="E11259" s="2" t="str">
        <f>HYPERLINK("http://ts.21cn.com/tousu/show/id/1342528","http://ts.21cn.com/tousu/show/id/1342528")</f>
        <v>http://ts.21cn.com/tousu/show/id/1342528</v>
      </c>
      <c r="F11259" s="2" t="s">
        <v>11</v>
      </c>
      <c r="G11259" s="2" t="s">
        <v>22013</v>
      </c>
      <c r="H11259" s="2" t="s">
        <v>22014</v>
      </c>
    </row>
    <row r="11260" spans="1:8" ht="25.05" customHeight="1" x14ac:dyDescent="0.25">
      <c r="A11260" s="2" t="s">
        <v>8</v>
      </c>
      <c r="B11260" s="2" t="str">
        <f>HYPERLINK("http://ts.21cn.com/tousu/show/id/1342532","小浦优客高额逾期费用")</f>
        <v>小浦优客高额逾期费用</v>
      </c>
      <c r="C11260" s="2" t="s">
        <v>34</v>
      </c>
      <c r="D11260" s="2" t="s">
        <v>10</v>
      </c>
      <c r="E11260" s="2" t="str">
        <f>HYPERLINK("http://ts.21cn.com/tousu/show/id/1342532","http://ts.21cn.com/tousu/show/id/1342532")</f>
        <v>http://ts.21cn.com/tousu/show/id/1342532</v>
      </c>
      <c r="F11260" s="2" t="s">
        <v>11</v>
      </c>
      <c r="G11260" s="2" t="s">
        <v>22011</v>
      </c>
      <c r="H11260" s="2" t="s">
        <v>22012</v>
      </c>
    </row>
    <row r="11261" spans="1:8" ht="25.05" customHeight="1" x14ac:dyDescent="0.25">
      <c r="A11261" s="2" t="s">
        <v>8</v>
      </c>
      <c r="B11261" s="2" t="str">
        <f>HYPERLINK("http://ts.21cn.com/tousu/show/id/1342530","广州瑞银信小贷暴力催收")</f>
        <v>广州瑞银信小贷暴力催收</v>
      </c>
      <c r="C11261" s="2" t="s">
        <v>9</v>
      </c>
      <c r="D11261" s="2" t="s">
        <v>10</v>
      </c>
      <c r="E11261" s="2" t="str">
        <f>HYPERLINK("http://ts.21cn.com/tousu/show/id/1342530","http://ts.21cn.com/tousu/show/id/1342530")</f>
        <v>http://ts.21cn.com/tousu/show/id/1342530</v>
      </c>
      <c r="F11261" s="2" t="s">
        <v>11</v>
      </c>
      <c r="G11261" s="2" t="s">
        <v>22009</v>
      </c>
      <c r="H11261" s="2" t="s">
        <v>22010</v>
      </c>
    </row>
    <row r="11262" spans="1:8" ht="25.05" customHeight="1" x14ac:dyDescent="0.25">
      <c r="A11262" s="2" t="s">
        <v>8</v>
      </c>
      <c r="B11262" s="2" t="str">
        <f>HYPERLINK("http://ts.21cn.com/tousu/show/id/1342533","到合同生效打款到账3000，合同显示金额5100")</f>
        <v>到合同生效打款到账3000，合同显示金额5100</v>
      </c>
      <c r="C11262" s="2" t="s">
        <v>9</v>
      </c>
      <c r="D11262" s="2" t="s">
        <v>10</v>
      </c>
      <c r="E11262" s="2" t="str">
        <f>HYPERLINK("http://ts.21cn.com/tousu/show/id/1342533","http://ts.21cn.com/tousu/show/id/1342533")</f>
        <v>http://ts.21cn.com/tousu/show/id/1342533</v>
      </c>
      <c r="F11262" s="2" t="s">
        <v>11</v>
      </c>
      <c r="G11262" s="2" t="s">
        <v>22007</v>
      </c>
      <c r="H11262" s="2" t="s">
        <v>22008</v>
      </c>
    </row>
    <row r="11263" spans="1:8" ht="25.05" customHeight="1" x14ac:dyDescent="0.25">
      <c r="A11263" s="2" t="s">
        <v>8</v>
      </c>
      <c r="B11263" s="2" t="str">
        <f>HYPERLINK("http://ts.21cn.com/tousu/show/id/1342531","锦莹能源还我血汗钱")</f>
        <v>锦莹能源还我血汗钱</v>
      </c>
      <c r="C11263" s="2" t="s">
        <v>9</v>
      </c>
      <c r="D11263" s="2" t="s">
        <v>10</v>
      </c>
      <c r="E11263" s="2" t="str">
        <f>HYPERLINK("http://ts.21cn.com/tousu/show/id/1342531","http://ts.21cn.com/tousu/show/id/1342531")</f>
        <v>http://ts.21cn.com/tousu/show/id/1342531</v>
      </c>
      <c r="F11263" s="2" t="s">
        <v>11</v>
      </c>
      <c r="G11263" s="2" t="s">
        <v>22005</v>
      </c>
      <c r="H11263" s="2" t="s">
        <v>22006</v>
      </c>
    </row>
    <row r="11264" spans="1:8" ht="25.05" customHeight="1" x14ac:dyDescent="0.25">
      <c r="A11264" s="2" t="s">
        <v>8</v>
      </c>
      <c r="B11264" s="2" t="str">
        <f>HYPERLINK("http://ts.21cn.com/tousu/show/id/1342534","易宝支付为威力贷以及大鹅购高利贷提供清算服务要求退还高额利息")</f>
        <v>易宝支付为威力贷以及大鹅购高利贷提供清算服务要求退还高额利息</v>
      </c>
      <c r="C11264" s="2" t="s">
        <v>9</v>
      </c>
      <c r="D11264" s="2" t="s">
        <v>10</v>
      </c>
      <c r="E11264" s="2" t="str">
        <f>HYPERLINK("http://ts.21cn.com/tousu/show/id/1342534","http://ts.21cn.com/tousu/show/id/1342534")</f>
        <v>http://ts.21cn.com/tousu/show/id/1342534</v>
      </c>
      <c r="F11264" s="2" t="s">
        <v>11</v>
      </c>
      <c r="G11264" s="2" t="s">
        <v>22003</v>
      </c>
      <c r="H11264" s="2" t="s">
        <v>22004</v>
      </c>
    </row>
    <row r="11265" spans="1:8" ht="25.05" customHeight="1" x14ac:dyDescent="0.25">
      <c r="A11265" s="2" t="s">
        <v>8</v>
      </c>
      <c r="B11265" s="2" t="str">
        <f>HYPERLINK("http://ts.21cn.com/tousu/show/id/1342536","易宝支付为套路贷平台佩琪帮提供放款服务要求退还非法利息及砍头息")</f>
        <v>易宝支付为套路贷平台佩琪帮提供放款服务要求退还非法利息及砍头息</v>
      </c>
      <c r="C11265" s="2" t="s">
        <v>9</v>
      </c>
      <c r="D11265" s="2" t="s">
        <v>10</v>
      </c>
      <c r="E11265" s="2" t="str">
        <f>HYPERLINK("http://ts.21cn.com/tousu/show/id/1342536","http://ts.21cn.com/tousu/show/id/1342536")</f>
        <v>http://ts.21cn.com/tousu/show/id/1342536</v>
      </c>
      <c r="F11265" s="2" t="s">
        <v>11</v>
      </c>
      <c r="G11265" s="2" t="s">
        <v>22001</v>
      </c>
      <c r="H11265" s="2" t="s">
        <v>22002</v>
      </c>
    </row>
    <row r="11266" spans="1:8" ht="25.05" customHeight="1" x14ac:dyDescent="0.25">
      <c r="A11266" s="2" t="s">
        <v>8</v>
      </c>
      <c r="B11266" s="2" t="str">
        <f>HYPERLINK("http://ts.21cn.com/tousu/show/id/1342537","中腾信暴力催收骚扰联系人")</f>
        <v>中腾信暴力催收骚扰联系人</v>
      </c>
      <c r="C11266" s="2" t="s">
        <v>9</v>
      </c>
      <c r="D11266" s="2" t="s">
        <v>10</v>
      </c>
      <c r="E11266" s="2" t="str">
        <f>HYPERLINK("http://ts.21cn.com/tousu/show/id/1342537","http://ts.21cn.com/tousu/show/id/1342537")</f>
        <v>http://ts.21cn.com/tousu/show/id/1342537</v>
      </c>
      <c r="F11266" s="2" t="s">
        <v>11</v>
      </c>
      <c r="G11266" s="2" t="s">
        <v>21999</v>
      </c>
      <c r="H11266" s="2" t="s">
        <v>22000</v>
      </c>
    </row>
    <row r="11267" spans="1:8" ht="25.05" customHeight="1" x14ac:dyDescent="0.25">
      <c r="A11267" s="2" t="s">
        <v>8</v>
      </c>
      <c r="B11267" s="2" t="str">
        <f>HYPERLINK("http://ts.21cn.com/tousu/show/id/1342535","点融借款利息超过国家利率")</f>
        <v>点融借款利息超过国家利率</v>
      </c>
      <c r="C11267" s="2" t="s">
        <v>34</v>
      </c>
      <c r="D11267" s="2" t="s">
        <v>10</v>
      </c>
      <c r="E11267" s="2" t="str">
        <f>HYPERLINK("http://ts.21cn.com/tousu/show/id/1342535","http://ts.21cn.com/tousu/show/id/1342535")</f>
        <v>http://ts.21cn.com/tousu/show/id/1342535</v>
      </c>
      <c r="F11267" s="2" t="s">
        <v>11</v>
      </c>
      <c r="G11267" s="2" t="s">
        <v>21997</v>
      </c>
      <c r="H11267" s="2" t="s">
        <v>21998</v>
      </c>
    </row>
    <row r="11268" spans="1:8" ht="25.05" customHeight="1" x14ac:dyDescent="0.25">
      <c r="A11268" s="2" t="s">
        <v>8</v>
      </c>
      <c r="B11268" s="2" t="str">
        <f>HYPERLINK("http://ts.21cn.com/tousu/show/id/1342540","支付宝无由限制支付功能影响信用分以及正常生活，无法解决，客服处理不了")</f>
        <v>支付宝无由限制支付功能影响信用分以及正常生活，无法解决，客服处理不了</v>
      </c>
      <c r="C11268" s="2" t="s">
        <v>9</v>
      </c>
      <c r="D11268" s="2" t="s">
        <v>10</v>
      </c>
      <c r="E11268" s="2" t="str">
        <f>HYPERLINK("http://ts.21cn.com/tousu/show/id/1342540","http://ts.21cn.com/tousu/show/id/1342540")</f>
        <v>http://ts.21cn.com/tousu/show/id/1342540</v>
      </c>
      <c r="F11268" s="2" t="s">
        <v>11</v>
      </c>
      <c r="G11268" s="2" t="s">
        <v>21995</v>
      </c>
      <c r="H11268" s="2" t="s">
        <v>21996</v>
      </c>
    </row>
    <row r="11269" spans="1:8" ht="25.05" customHeight="1" x14ac:dyDescent="0.25">
      <c r="A11269" s="2" t="s">
        <v>8</v>
      </c>
      <c r="B11269" s="2" t="str">
        <f>HYPERLINK("http://ts.21cn.com/tousu/show/id/1342541","其他要求安国家允许正常利息还")</f>
        <v>其他要求安国家允许正常利息还</v>
      </c>
      <c r="C11269" s="2" t="s">
        <v>34</v>
      </c>
      <c r="D11269" s="2" t="s">
        <v>10</v>
      </c>
      <c r="E11269" s="2" t="str">
        <f>HYPERLINK("http://ts.21cn.com/tousu/show/id/1342541","http://ts.21cn.com/tousu/show/id/1342541")</f>
        <v>http://ts.21cn.com/tousu/show/id/1342541</v>
      </c>
      <c r="F11269" s="2" t="s">
        <v>11</v>
      </c>
      <c r="G11269" s="2" t="s">
        <v>21993</v>
      </c>
      <c r="H11269" s="2" t="s">
        <v>21994</v>
      </c>
    </row>
    <row r="11270" spans="1:8" ht="25.05" customHeight="1" x14ac:dyDescent="0.25">
      <c r="A11270" s="2" t="s">
        <v>8</v>
      </c>
      <c r="B11270" s="2" t="str">
        <f>HYPERLINK("http://ts.21cn.com/tousu/show/id/1342543","借款一分钟收700利息")</f>
        <v>借款一分钟收700利息</v>
      </c>
      <c r="C11270" s="2" t="s">
        <v>34</v>
      </c>
      <c r="D11270" s="2" t="s">
        <v>10</v>
      </c>
      <c r="E11270" s="2" t="str">
        <f>HYPERLINK("http://ts.21cn.com/tousu/show/id/1342543","http://ts.21cn.com/tousu/show/id/1342543")</f>
        <v>http://ts.21cn.com/tousu/show/id/1342543</v>
      </c>
      <c r="F11270" s="2" t="s">
        <v>11</v>
      </c>
      <c r="G11270" s="2" t="s">
        <v>21991</v>
      </c>
      <c r="H11270" s="2" t="s">
        <v>21992</v>
      </c>
    </row>
    <row r="11271" spans="1:8" ht="25.05" customHeight="1" x14ac:dyDescent="0.25">
      <c r="A11271" s="2" t="s">
        <v>8</v>
      </c>
      <c r="B11271" s="2" t="str">
        <f>HYPERLINK("http://ts.21cn.com/tousu/show/id/1342542","付临门pos")</f>
        <v>付临门pos</v>
      </c>
      <c r="C11271" s="2" t="s">
        <v>9</v>
      </c>
      <c r="D11271" s="2" t="s">
        <v>10</v>
      </c>
      <c r="E11271" s="2" t="str">
        <f>HYPERLINK("http://ts.21cn.com/tousu/show/id/1342542","http://ts.21cn.com/tousu/show/id/1342542")</f>
        <v>http://ts.21cn.com/tousu/show/id/1342542</v>
      </c>
      <c r="F11271" s="2" t="s">
        <v>11</v>
      </c>
      <c r="G11271" s="2" t="s">
        <v>21989</v>
      </c>
      <c r="H11271" s="2" t="s">
        <v>21990</v>
      </c>
    </row>
    <row r="11272" spans="1:8" ht="25.05" customHeight="1" x14ac:dyDescent="0.25">
      <c r="A11272" s="2" t="s">
        <v>8</v>
      </c>
      <c r="B11272" s="2" t="str">
        <f>HYPERLINK("http://ts.21cn.com/tousu/show/id/1342544","拍拍贷高利贷")</f>
        <v>拍拍贷高利贷</v>
      </c>
      <c r="C11272" s="2" t="s">
        <v>9</v>
      </c>
      <c r="D11272" s="2" t="s">
        <v>10</v>
      </c>
      <c r="E11272" s="2" t="str">
        <f>HYPERLINK("http://ts.21cn.com/tousu/show/id/1342544","http://ts.21cn.com/tousu/show/id/1342544")</f>
        <v>http://ts.21cn.com/tousu/show/id/1342544</v>
      </c>
      <c r="F11272" s="2" t="s">
        <v>11</v>
      </c>
      <c r="G11272" s="2" t="s">
        <v>21986</v>
      </c>
      <c r="H11272" s="2" t="s">
        <v>21987</v>
      </c>
    </row>
    <row r="11273" spans="1:8" ht="25.05" customHeight="1" x14ac:dyDescent="0.25">
      <c r="A11273" s="2" t="s">
        <v>8</v>
      </c>
      <c r="B11273" s="2" t="str">
        <f>HYPERLINK("http://ts.21cn.com/tousu/show/id/1342546","乱扣银行卡的钱")</f>
        <v>乱扣银行卡的钱</v>
      </c>
      <c r="C11273" s="2" t="s">
        <v>9</v>
      </c>
      <c r="D11273" s="2" t="s">
        <v>10</v>
      </c>
      <c r="E11273" s="2" t="str">
        <f>HYPERLINK("http://ts.21cn.com/tousu/show/id/1342546","http://ts.21cn.com/tousu/show/id/1342546")</f>
        <v>http://ts.21cn.com/tousu/show/id/1342546</v>
      </c>
      <c r="F11273" s="2" t="s">
        <v>11</v>
      </c>
      <c r="G11273" s="2" t="s">
        <v>21986</v>
      </c>
      <c r="H11273" s="2" t="s">
        <v>21988</v>
      </c>
    </row>
    <row r="11274" spans="1:8" ht="25.05" customHeight="1" x14ac:dyDescent="0.25">
      <c r="A11274" s="2" t="s">
        <v>8</v>
      </c>
      <c r="B11274" s="2" t="str">
        <f>HYPERLINK("http://ts.21cn.com/tousu/show/id/1342545","电影院禁止消费者自带饮料")</f>
        <v>电影院禁止消费者自带饮料</v>
      </c>
      <c r="C11274" s="2" t="s">
        <v>34</v>
      </c>
      <c r="D11274" s="2" t="s">
        <v>10</v>
      </c>
      <c r="E11274" s="2" t="str">
        <f>HYPERLINK("http://ts.21cn.com/tousu/show/id/1342545","http://ts.21cn.com/tousu/show/id/1342545")</f>
        <v>http://ts.21cn.com/tousu/show/id/1342545</v>
      </c>
      <c r="F11274" s="2" t="s">
        <v>11</v>
      </c>
      <c r="G11274" s="2" t="s">
        <v>21984</v>
      </c>
      <c r="H11274" s="2" t="s">
        <v>21985</v>
      </c>
    </row>
    <row r="11275" spans="1:8" ht="25.05" customHeight="1" x14ac:dyDescent="0.25">
      <c r="A11275" s="2" t="s">
        <v>8</v>
      </c>
      <c r="B11275" s="2" t="str">
        <f>HYPERLINK("http://ts.21cn.com/tousu/show/id/1342547","垃圾合同服务费等等！")</f>
        <v>垃圾合同服务费等等！</v>
      </c>
      <c r="C11275" s="2" t="s">
        <v>9</v>
      </c>
      <c r="D11275" s="2" t="s">
        <v>10</v>
      </c>
      <c r="E11275" s="2" t="str">
        <f>HYPERLINK("http://ts.21cn.com/tousu/show/id/1342547","http://ts.21cn.com/tousu/show/id/1342547")</f>
        <v>http://ts.21cn.com/tousu/show/id/1342547</v>
      </c>
      <c r="F11275" s="2" t="s">
        <v>11</v>
      </c>
      <c r="G11275" s="2" t="s">
        <v>21982</v>
      </c>
      <c r="H11275" s="2" t="s">
        <v>21983</v>
      </c>
    </row>
    <row r="11276" spans="1:8" ht="25.05" customHeight="1" x14ac:dyDescent="0.25">
      <c r="A11276" s="2" t="s">
        <v>8</v>
      </c>
      <c r="B11276" s="2" t="str">
        <f>HYPERLINK("http://ts.21cn.com/tousu/show/id/1342548","捷信恐吓家人")</f>
        <v>捷信恐吓家人</v>
      </c>
      <c r="C11276" s="2" t="s">
        <v>9</v>
      </c>
      <c r="D11276" s="2" t="s">
        <v>10</v>
      </c>
      <c r="E11276" s="2" t="str">
        <f>HYPERLINK("http://ts.21cn.com/tousu/show/id/1342548","http://ts.21cn.com/tousu/show/id/1342548")</f>
        <v>http://ts.21cn.com/tousu/show/id/1342548</v>
      </c>
      <c r="F11276" s="2" t="s">
        <v>11</v>
      </c>
      <c r="G11276" s="2" t="s">
        <v>21980</v>
      </c>
      <c r="H11276" s="2" t="s">
        <v>21981</v>
      </c>
    </row>
    <row r="11277" spans="1:8" ht="25.05" customHeight="1" x14ac:dyDescent="0.25">
      <c r="A11277" s="2" t="s">
        <v>8</v>
      </c>
      <c r="B11277" s="2" t="str">
        <f>HYPERLINK("http://ts.21cn.com/tousu/show/id/1342551","支付宝上面的来分期利息高套路贷拒绝提前还款")</f>
        <v>支付宝上面的来分期利息高套路贷拒绝提前还款</v>
      </c>
      <c r="C11277" s="2" t="s">
        <v>9</v>
      </c>
      <c r="D11277" s="2" t="s">
        <v>10</v>
      </c>
      <c r="E11277" s="2" t="str">
        <f>HYPERLINK("http://ts.21cn.com/tousu/show/id/1342551","http://ts.21cn.com/tousu/show/id/1342551")</f>
        <v>http://ts.21cn.com/tousu/show/id/1342551</v>
      </c>
      <c r="F11277" s="2" t="s">
        <v>11</v>
      </c>
      <c r="G11277" s="2" t="s">
        <v>21978</v>
      </c>
      <c r="H11277" s="2" t="s">
        <v>21979</v>
      </c>
    </row>
    <row r="11278" spans="1:8" ht="25.05" customHeight="1" x14ac:dyDescent="0.25">
      <c r="A11278" s="2" t="s">
        <v>8</v>
      </c>
      <c r="B11278" s="2" t="str">
        <f>HYPERLINK("http://ts.21cn.com/tousu/show/id/1342553","钱站高利贷阴阳合同")</f>
        <v>钱站高利贷阴阳合同</v>
      </c>
      <c r="C11278" s="2" t="s">
        <v>9</v>
      </c>
      <c r="D11278" s="2" t="s">
        <v>10</v>
      </c>
      <c r="E11278" s="2" t="str">
        <f>HYPERLINK("http://ts.21cn.com/tousu/show/id/1342553","http://ts.21cn.com/tousu/show/id/1342553")</f>
        <v>http://ts.21cn.com/tousu/show/id/1342553</v>
      </c>
      <c r="F11278" s="2" t="s">
        <v>11</v>
      </c>
      <c r="G11278" s="2" t="s">
        <v>21976</v>
      </c>
      <c r="H11278" s="2" t="s">
        <v>21977</v>
      </c>
    </row>
    <row r="11279" spans="1:8" ht="25.05" customHeight="1" x14ac:dyDescent="0.25">
      <c r="A11279" s="2" t="s">
        <v>8</v>
      </c>
      <c r="B11279" s="2" t="str">
        <f>HYPERLINK("http://ts.21cn.com/tousu/show/id/1342552","涉嫌套路贷砍头息高利贷。照这样下去永远还不完。")</f>
        <v>涉嫌套路贷砍头息高利贷。照这样下去永远还不完。</v>
      </c>
      <c r="C11279" s="2" t="s">
        <v>9</v>
      </c>
      <c r="D11279" s="2" t="s">
        <v>10</v>
      </c>
      <c r="E11279" s="2" t="str">
        <f>HYPERLINK("http://ts.21cn.com/tousu/show/id/1342552","http://ts.21cn.com/tousu/show/id/1342552")</f>
        <v>http://ts.21cn.com/tousu/show/id/1342552</v>
      </c>
      <c r="F11279" s="2" t="s">
        <v>11</v>
      </c>
      <c r="G11279" s="2" t="s">
        <v>21974</v>
      </c>
      <c r="H11279" s="2" t="s">
        <v>21975</v>
      </c>
    </row>
    <row r="11280" spans="1:8" ht="25.05" customHeight="1" x14ac:dyDescent="0.25">
      <c r="A11280" s="2" t="s">
        <v>8</v>
      </c>
      <c r="B11280" s="2" t="str">
        <f>HYPERLINK("http://ts.21cn.com/tousu/show/id/1342554","小浦优客信息作假")</f>
        <v>小浦优客信息作假</v>
      </c>
      <c r="C11280" s="2" t="s">
        <v>9</v>
      </c>
      <c r="D11280" s="2" t="s">
        <v>10</v>
      </c>
      <c r="E11280" s="2" t="str">
        <f>HYPERLINK("http://ts.21cn.com/tousu/show/id/1342554","http://ts.21cn.com/tousu/show/id/1342554")</f>
        <v>http://ts.21cn.com/tousu/show/id/1342554</v>
      </c>
      <c r="F11280" s="2" t="s">
        <v>11</v>
      </c>
      <c r="G11280" s="2" t="s">
        <v>21972</v>
      </c>
      <c r="H11280" s="2" t="s">
        <v>21973</v>
      </c>
    </row>
    <row r="11281" spans="1:8" ht="25.05" customHeight="1" x14ac:dyDescent="0.25">
      <c r="A11281" s="2" t="s">
        <v>8</v>
      </c>
      <c r="B11281" s="2" t="str">
        <f>HYPERLINK("http://ts.21cn.com/tousu/show/id/1342555","得仕股份有限公司违法经营")</f>
        <v>得仕股份有限公司违法经营</v>
      </c>
      <c r="C11281" s="2" t="s">
        <v>9</v>
      </c>
      <c r="D11281" s="2" t="s">
        <v>10</v>
      </c>
      <c r="E11281" s="2" t="str">
        <f>HYPERLINK("http://ts.21cn.com/tousu/show/id/1342555","http://ts.21cn.com/tousu/show/id/1342555")</f>
        <v>http://ts.21cn.com/tousu/show/id/1342555</v>
      </c>
      <c r="F11281" s="2" t="s">
        <v>11</v>
      </c>
      <c r="G11281" s="2" t="s">
        <v>21970</v>
      </c>
      <c r="H11281" s="2" t="s">
        <v>21971</v>
      </c>
    </row>
    <row r="11282" spans="1:8" ht="25.05" customHeight="1" x14ac:dyDescent="0.25">
      <c r="A11282" s="2" t="s">
        <v>8</v>
      </c>
      <c r="B11282" s="2" t="str">
        <f>HYPERLINK("http://ts.21cn.com/tousu/show/id/1342556","贷上钱抓紧停止骚扰")</f>
        <v>贷上钱抓紧停止骚扰</v>
      </c>
      <c r="C11282" s="2" t="s">
        <v>9</v>
      </c>
      <c r="D11282" s="2" t="s">
        <v>10</v>
      </c>
      <c r="E11282" s="2" t="str">
        <f>HYPERLINK("http://ts.21cn.com/tousu/show/id/1342556","http://ts.21cn.com/tousu/show/id/1342556")</f>
        <v>http://ts.21cn.com/tousu/show/id/1342556</v>
      </c>
      <c r="F11282" s="2" t="s">
        <v>11</v>
      </c>
      <c r="G11282" s="2" t="s">
        <v>21968</v>
      </c>
      <c r="H11282" s="2" t="s">
        <v>21969</v>
      </c>
    </row>
    <row r="11283" spans="1:8" ht="25.05" customHeight="1" x14ac:dyDescent="0.25">
      <c r="A11283" s="2" t="s">
        <v>8</v>
      </c>
      <c r="B11283" s="2" t="str">
        <f>HYPERLINK("http://ts.21cn.com/tousu/show/id/1342557","闲鱼客资金盘拿钱跑路坑我1100元血汗钱")</f>
        <v>闲鱼客资金盘拿钱跑路坑我1100元血汗钱</v>
      </c>
      <c r="C11283" s="2" t="s">
        <v>9</v>
      </c>
      <c r="D11283" s="2" t="s">
        <v>10</v>
      </c>
      <c r="E11283" s="2" t="str">
        <f>HYPERLINK("http://ts.21cn.com/tousu/show/id/1342557","http://ts.21cn.com/tousu/show/id/1342557")</f>
        <v>http://ts.21cn.com/tousu/show/id/1342557</v>
      </c>
      <c r="F11283" s="2" t="s">
        <v>11</v>
      </c>
      <c r="G11283" s="2" t="s">
        <v>21966</v>
      </c>
      <c r="H11283" s="2" t="s">
        <v>21967</v>
      </c>
    </row>
    <row r="11284" spans="1:8" ht="25.05" customHeight="1" x14ac:dyDescent="0.25">
      <c r="A11284" s="2" t="s">
        <v>8</v>
      </c>
      <c r="B11284" s="2" t="str">
        <f>HYPERLINK("http://ts.21cn.com/tousu/show/id/1340861","深圳市乐到家科技有限公司不履行合同义务也不退款")</f>
        <v>深圳市乐到家科技有限公司不履行合同义务也不退款</v>
      </c>
      <c r="C11284" s="2" t="s">
        <v>9</v>
      </c>
      <c r="D11284" s="2" t="s">
        <v>10</v>
      </c>
      <c r="E11284" s="2" t="str">
        <f>HYPERLINK("http://ts.21cn.com/tousu/show/id/1340861","http://ts.21cn.com/tousu/show/id/1340861")</f>
        <v>http://ts.21cn.com/tousu/show/id/1340861</v>
      </c>
      <c r="F11284" s="2" t="s">
        <v>11</v>
      </c>
      <c r="G11284" s="2" t="s">
        <v>21964</v>
      </c>
      <c r="H11284" s="2" t="s">
        <v>21965</v>
      </c>
    </row>
    <row r="11285" spans="1:8" ht="25.05" customHeight="1" x14ac:dyDescent="0.25">
      <c r="A11285" s="2" t="s">
        <v>8</v>
      </c>
      <c r="B11285" s="2" t="str">
        <f>HYPERLINK("http://ts.21cn.com/tousu/show/id/1342558","中腾信高利贷公司公然骚扰恐吓联系人")</f>
        <v>中腾信高利贷公司公然骚扰恐吓联系人</v>
      </c>
      <c r="C11285" s="2" t="s">
        <v>9</v>
      </c>
      <c r="D11285" s="2" t="s">
        <v>10</v>
      </c>
      <c r="E11285" s="2" t="str">
        <f>HYPERLINK("http://ts.21cn.com/tousu/show/id/1342558","http://ts.21cn.com/tousu/show/id/1342558")</f>
        <v>http://ts.21cn.com/tousu/show/id/1342558</v>
      </c>
      <c r="F11285" s="2" t="s">
        <v>11</v>
      </c>
      <c r="G11285" s="2" t="s">
        <v>21962</v>
      </c>
      <c r="H11285" s="2" t="s">
        <v>21963</v>
      </c>
    </row>
    <row r="11286" spans="1:8" ht="25.05" customHeight="1" x14ac:dyDescent="0.25">
      <c r="A11286" s="2" t="s">
        <v>8</v>
      </c>
      <c r="B11286" s="2" t="str">
        <f>HYPERLINK("http://ts.21cn.com/tousu/show/id/1342539","睿美展示柜质量问题三个月坏四次")</f>
        <v>睿美展示柜质量问题三个月坏四次</v>
      </c>
      <c r="C11286" s="2" t="s">
        <v>9</v>
      </c>
      <c r="D11286" s="2" t="s">
        <v>10</v>
      </c>
      <c r="E11286" s="2" t="str">
        <f>HYPERLINK("http://ts.21cn.com/tousu/show/id/1342539","http://ts.21cn.com/tousu/show/id/1342539")</f>
        <v>http://ts.21cn.com/tousu/show/id/1342539</v>
      </c>
      <c r="F11286" s="2" t="s">
        <v>11</v>
      </c>
      <c r="G11286" s="2" t="s">
        <v>21960</v>
      </c>
      <c r="H11286" s="2" t="s">
        <v>21961</v>
      </c>
    </row>
    <row r="11287" spans="1:8" ht="25.05" customHeight="1" x14ac:dyDescent="0.25">
      <c r="A11287" s="2" t="s">
        <v>8</v>
      </c>
      <c r="B11287" s="2" t="str">
        <f>HYPERLINK("http://ts.21cn.com/tousu/show/id/1342559","我在平台充了钱然后提现迟迟不到账，客服平台也关了。")</f>
        <v>我在平台充了钱然后提现迟迟不到账，客服平台也关了。</v>
      </c>
      <c r="C11287" s="2" t="s">
        <v>9</v>
      </c>
      <c r="D11287" s="2" t="s">
        <v>10</v>
      </c>
      <c r="E11287" s="2" t="str">
        <f>HYPERLINK("http://ts.21cn.com/tousu/show/id/1342559","http://ts.21cn.com/tousu/show/id/1342559")</f>
        <v>http://ts.21cn.com/tousu/show/id/1342559</v>
      </c>
      <c r="F11287" s="2" t="s">
        <v>11</v>
      </c>
      <c r="G11287" s="2" t="s">
        <v>21958</v>
      </c>
      <c r="H11287" s="2" t="s">
        <v>21959</v>
      </c>
    </row>
    <row r="11288" spans="1:8" ht="25.05" customHeight="1" x14ac:dyDescent="0.25">
      <c r="A11288" s="2" t="s">
        <v>8</v>
      </c>
      <c r="B11288" s="2" t="str">
        <f>HYPERLINK("http://ts.21cn.com/tousu/show/id/1342560","来分期电话骚扰严重影响生活")</f>
        <v>来分期电话骚扰严重影响生活</v>
      </c>
      <c r="C11288" s="2" t="s">
        <v>9</v>
      </c>
      <c r="D11288" s="2" t="s">
        <v>10</v>
      </c>
      <c r="E11288" s="2" t="str">
        <f>HYPERLINK("http://ts.21cn.com/tousu/show/id/1342560","http://ts.21cn.com/tousu/show/id/1342560")</f>
        <v>http://ts.21cn.com/tousu/show/id/1342560</v>
      </c>
      <c r="F11288" s="2" t="s">
        <v>11</v>
      </c>
      <c r="G11288" s="2" t="s">
        <v>21956</v>
      </c>
      <c r="H11288" s="2" t="s">
        <v>21957</v>
      </c>
    </row>
    <row r="11289" spans="1:8" ht="25.05" customHeight="1" x14ac:dyDescent="0.25">
      <c r="A11289" s="2" t="s">
        <v>8</v>
      </c>
      <c r="B11289" s="2" t="str">
        <f>HYPERLINK("http://ts.21cn.com/tousu/show/id/1342561","恒昌暴力催收")</f>
        <v>恒昌暴力催收</v>
      </c>
      <c r="C11289" s="2" t="s">
        <v>9</v>
      </c>
      <c r="D11289" s="2" t="s">
        <v>10</v>
      </c>
      <c r="E11289" s="2" t="str">
        <f>HYPERLINK("http://ts.21cn.com/tousu/show/id/1342561","http://ts.21cn.com/tousu/show/id/1342561")</f>
        <v>http://ts.21cn.com/tousu/show/id/1342561</v>
      </c>
      <c r="F11289" s="2" t="s">
        <v>11</v>
      </c>
      <c r="G11289" s="2" t="s">
        <v>21954</v>
      </c>
      <c r="H11289" s="2" t="s">
        <v>21955</v>
      </c>
    </row>
    <row r="11290" spans="1:8" ht="25.05" customHeight="1" x14ac:dyDescent="0.25">
      <c r="A11290" s="2" t="s">
        <v>8</v>
      </c>
      <c r="B11290" s="2" t="str">
        <f>HYPERLINK("http://ts.21cn.com/tousu/show/id/1342562","投诉支付宝莫名其妙限制收款并不予解决")</f>
        <v>投诉支付宝莫名其妙限制收款并不予解决</v>
      </c>
      <c r="C11290" s="2" t="s">
        <v>9</v>
      </c>
      <c r="D11290" s="2" t="s">
        <v>10</v>
      </c>
      <c r="E11290" s="2" t="str">
        <f>HYPERLINK("http://ts.21cn.com/tousu/show/id/1342562","http://ts.21cn.com/tousu/show/id/1342562")</f>
        <v>http://ts.21cn.com/tousu/show/id/1342562</v>
      </c>
      <c r="F11290" s="2" t="s">
        <v>11</v>
      </c>
      <c r="G11290" s="2" t="s">
        <v>21952</v>
      </c>
      <c r="H11290" s="2" t="s">
        <v>21953</v>
      </c>
    </row>
    <row r="11291" spans="1:8" ht="25.05" customHeight="1" x14ac:dyDescent="0.25">
      <c r="A11291" s="2" t="s">
        <v>8</v>
      </c>
      <c r="B11291" s="2" t="str">
        <f>HYPERLINK("http://ts.21cn.com/tousu/show/id/1342563","招联金融严重骚扰到本人")</f>
        <v>招联金融严重骚扰到本人</v>
      </c>
      <c r="C11291" s="2" t="s">
        <v>9</v>
      </c>
      <c r="D11291" s="2" t="s">
        <v>10</v>
      </c>
      <c r="E11291" s="2" t="str">
        <f>HYPERLINK("http://ts.21cn.com/tousu/show/id/1342563","http://ts.21cn.com/tousu/show/id/1342563")</f>
        <v>http://ts.21cn.com/tousu/show/id/1342563</v>
      </c>
      <c r="F11291" s="2" t="s">
        <v>11</v>
      </c>
      <c r="G11291" s="2" t="s">
        <v>21950</v>
      </c>
      <c r="H11291" s="2" t="s">
        <v>21951</v>
      </c>
    </row>
    <row r="11292" spans="1:8" ht="25.05" customHeight="1" x14ac:dyDescent="0.25">
      <c r="A11292" s="2" t="s">
        <v>8</v>
      </c>
      <c r="B11292" s="2" t="str">
        <f>HYPERLINK("http://ts.21cn.com/tousu/show/id/1342564","中医大挂了号，没看病也没开药  却不退挂号费")</f>
        <v>中医大挂了号，没看病也没开药  却不退挂号费</v>
      </c>
      <c r="C11292" s="2" t="s">
        <v>9</v>
      </c>
      <c r="D11292" s="2" t="s">
        <v>10</v>
      </c>
      <c r="E11292" s="2" t="str">
        <f>HYPERLINK("http://ts.21cn.com/tousu/show/id/1342564","http://ts.21cn.com/tousu/show/id/1342564")</f>
        <v>http://ts.21cn.com/tousu/show/id/1342564</v>
      </c>
      <c r="F11292" s="2" t="s">
        <v>11</v>
      </c>
      <c r="G11292" s="2" t="s">
        <v>21948</v>
      </c>
      <c r="H11292" s="2" t="s">
        <v>21949</v>
      </c>
    </row>
    <row r="11293" spans="1:8" ht="25.05" customHeight="1" x14ac:dyDescent="0.25">
      <c r="A11293" s="2" t="s">
        <v>8</v>
      </c>
      <c r="B11293" s="2" t="str">
        <f>HYPERLINK("http://ts.21cn.com/tousu/show/id/1342565","虚假诱导消费者")</f>
        <v>虚假诱导消费者</v>
      </c>
      <c r="C11293" s="2" t="s">
        <v>9</v>
      </c>
      <c r="D11293" s="2" t="s">
        <v>10</v>
      </c>
      <c r="E11293" s="2" t="str">
        <f>HYPERLINK("http://ts.21cn.com/tousu/show/id/1342565","http://ts.21cn.com/tousu/show/id/1342565")</f>
        <v>http://ts.21cn.com/tousu/show/id/1342565</v>
      </c>
      <c r="F11293" s="2" t="s">
        <v>11</v>
      </c>
      <c r="G11293" s="2" t="s">
        <v>21946</v>
      </c>
      <c r="H11293" s="2" t="s">
        <v>21947</v>
      </c>
    </row>
    <row r="11294" spans="1:8" ht="25.05" customHeight="1" x14ac:dyDescent="0.25">
      <c r="A11294" s="2" t="s">
        <v>8</v>
      </c>
      <c r="B11294" s="2" t="str">
        <f>HYPERLINK("http://ts.21cn.com/tousu/show/id/1342566","来我家闹了几天。邻居都看不下去要他们走。差点打起来")</f>
        <v>来我家闹了几天。邻居都看不下去要他们走。差点打起来</v>
      </c>
      <c r="C11294" s="2" t="s">
        <v>34</v>
      </c>
      <c r="D11294" s="2" t="s">
        <v>10</v>
      </c>
      <c r="E11294" s="2" t="str">
        <f>HYPERLINK("http://ts.21cn.com/tousu/show/id/1342566","http://ts.21cn.com/tousu/show/id/1342566")</f>
        <v>http://ts.21cn.com/tousu/show/id/1342566</v>
      </c>
      <c r="F11294" s="2" t="s">
        <v>11</v>
      </c>
      <c r="G11294" s="2" t="s">
        <v>21944</v>
      </c>
      <c r="H11294" s="2" t="s">
        <v>21945</v>
      </c>
    </row>
    <row r="11295" spans="1:8" ht="25.05" customHeight="1" x14ac:dyDescent="0.25">
      <c r="A11295" s="2" t="s">
        <v>8</v>
      </c>
      <c r="B11295" s="2" t="str">
        <f>HYPERLINK("http://ts.21cn.com/tousu/show/id/1342567","钱站利息太高")</f>
        <v>钱站利息太高</v>
      </c>
      <c r="C11295" s="2" t="s">
        <v>9</v>
      </c>
      <c r="D11295" s="2" t="s">
        <v>10</v>
      </c>
      <c r="E11295" s="2" t="str">
        <f>HYPERLINK("http://ts.21cn.com/tousu/show/id/1342567","http://ts.21cn.com/tousu/show/id/1342567")</f>
        <v>http://ts.21cn.com/tousu/show/id/1342567</v>
      </c>
      <c r="F11295" s="2" t="s">
        <v>11</v>
      </c>
      <c r="G11295" s="2" t="s">
        <v>21943</v>
      </c>
      <c r="H11295" s="2" t="s">
        <v>21263</v>
      </c>
    </row>
    <row r="11296" spans="1:8" ht="25.05" customHeight="1" x14ac:dyDescent="0.25">
      <c r="A11296" s="2" t="s">
        <v>8</v>
      </c>
      <c r="B11296" s="2" t="str">
        <f>HYPERLINK("http://ts.21cn.com/tousu/show/id/1342568","榕树贷高利贷")</f>
        <v>榕树贷高利贷</v>
      </c>
      <c r="C11296" s="2" t="s">
        <v>9</v>
      </c>
      <c r="D11296" s="2" t="s">
        <v>10</v>
      </c>
      <c r="E11296" s="2" t="str">
        <f>HYPERLINK("http://ts.21cn.com/tousu/show/id/1342568","http://ts.21cn.com/tousu/show/id/1342568")</f>
        <v>http://ts.21cn.com/tousu/show/id/1342568</v>
      </c>
      <c r="F11296" s="2" t="s">
        <v>11</v>
      </c>
      <c r="G11296" s="2" t="s">
        <v>21940</v>
      </c>
      <c r="H11296" s="2" t="s">
        <v>21941</v>
      </c>
    </row>
    <row r="11297" spans="1:8" ht="25.05" customHeight="1" x14ac:dyDescent="0.25">
      <c r="A11297" s="2" t="s">
        <v>8</v>
      </c>
      <c r="B11297" s="2" t="str">
        <f>HYPERLINK("http://ts.21cn.com/tousu/show/id/1342569","平安普惠暴力催收")</f>
        <v>平安普惠暴力催收</v>
      </c>
      <c r="C11297" s="2" t="s">
        <v>9</v>
      </c>
      <c r="D11297" s="2" t="s">
        <v>10</v>
      </c>
      <c r="E11297" s="2" t="str">
        <f>HYPERLINK("http://ts.21cn.com/tousu/show/id/1342569","http://ts.21cn.com/tousu/show/id/1342569")</f>
        <v>http://ts.21cn.com/tousu/show/id/1342569</v>
      </c>
      <c r="F11297" s="2" t="s">
        <v>11</v>
      </c>
      <c r="G11297" s="2" t="s">
        <v>21940</v>
      </c>
      <c r="H11297" s="2" t="s">
        <v>21942</v>
      </c>
    </row>
    <row r="11298" spans="1:8" ht="25.05" customHeight="1" x14ac:dyDescent="0.25">
      <c r="A11298" s="2" t="s">
        <v>8</v>
      </c>
      <c r="B11298" s="2" t="str">
        <f>HYPERLINK("http://ts.21cn.com/tousu/show/id/1342570","捷信违法催收")</f>
        <v>捷信违法催收</v>
      </c>
      <c r="C11298" s="2" t="s">
        <v>9</v>
      </c>
      <c r="D11298" s="2" t="s">
        <v>10</v>
      </c>
      <c r="E11298" s="2" t="str">
        <f>HYPERLINK("http://ts.21cn.com/tousu/show/id/1342570","http://ts.21cn.com/tousu/show/id/1342570")</f>
        <v>http://ts.21cn.com/tousu/show/id/1342570</v>
      </c>
      <c r="F11298" s="2" t="s">
        <v>11</v>
      </c>
      <c r="G11298" s="2" t="s">
        <v>21938</v>
      </c>
      <c r="H11298" s="2" t="s">
        <v>21939</v>
      </c>
    </row>
    <row r="11299" spans="1:8" ht="25.05" customHeight="1" x14ac:dyDescent="0.25">
      <c r="A11299" s="2" t="s">
        <v>8</v>
      </c>
      <c r="B11299" s="2" t="str">
        <f>HYPERLINK("http://ts.21cn.com/tousu/show/id/1342571","换了好几次催收，频繁骚扰，威胁恐吓")</f>
        <v>换了好几次催收，频繁骚扰，威胁恐吓</v>
      </c>
      <c r="C11299" s="2" t="s">
        <v>9</v>
      </c>
      <c r="D11299" s="2" t="s">
        <v>10</v>
      </c>
      <c r="E11299" s="2" t="str">
        <f>HYPERLINK("http://ts.21cn.com/tousu/show/id/1342571","http://ts.21cn.com/tousu/show/id/1342571")</f>
        <v>http://ts.21cn.com/tousu/show/id/1342571</v>
      </c>
      <c r="F11299" s="2" t="s">
        <v>11</v>
      </c>
      <c r="G11299" s="2" t="s">
        <v>21936</v>
      </c>
      <c r="H11299" s="2" t="s">
        <v>21937</v>
      </c>
    </row>
    <row r="11300" spans="1:8" ht="25.05" customHeight="1" x14ac:dyDescent="0.25">
      <c r="A11300" s="2" t="s">
        <v>8</v>
      </c>
      <c r="B11300" s="2" t="str">
        <f>HYPERLINK("http://ts.21cn.com/tousu/show/id/1342572","支付宝借呗还未逾期就对借款人开始催收，违反合同规定，")</f>
        <v>支付宝借呗还未逾期就对借款人开始催收，违反合同规定，</v>
      </c>
      <c r="C11300" s="2" t="s">
        <v>9</v>
      </c>
      <c r="D11300" s="2" t="s">
        <v>10</v>
      </c>
      <c r="E11300" s="2" t="str">
        <f>HYPERLINK("http://ts.21cn.com/tousu/show/id/1342572","http://ts.21cn.com/tousu/show/id/1342572")</f>
        <v>http://ts.21cn.com/tousu/show/id/1342572</v>
      </c>
      <c r="F11300" s="2" t="s">
        <v>11</v>
      </c>
      <c r="G11300" s="2" t="s">
        <v>21934</v>
      </c>
      <c r="H11300" s="2" t="s">
        <v>21935</v>
      </c>
    </row>
    <row r="11301" spans="1:8" ht="25.05" customHeight="1" x14ac:dyDescent="0.25">
      <c r="A11301" s="2" t="s">
        <v>8</v>
      </c>
      <c r="B11301" s="2" t="str">
        <f>HYPERLINK("http://ts.21cn.com/tousu/show/id/1342573","算了下好像多出了一个月的利息。去讨要无果")</f>
        <v>算了下好像多出了一个月的利息。去讨要无果</v>
      </c>
      <c r="C11301" s="2" t="s">
        <v>9</v>
      </c>
      <c r="D11301" s="2" t="s">
        <v>10</v>
      </c>
      <c r="E11301" s="2" t="str">
        <f>HYPERLINK("http://ts.21cn.com/tousu/show/id/1342573","http://ts.21cn.com/tousu/show/id/1342573")</f>
        <v>http://ts.21cn.com/tousu/show/id/1342573</v>
      </c>
      <c r="F11301" s="2" t="s">
        <v>11</v>
      </c>
      <c r="G11301" s="2" t="s">
        <v>21932</v>
      </c>
      <c r="H11301" s="2" t="s">
        <v>21933</v>
      </c>
    </row>
    <row r="11302" spans="1:8" ht="25.05" customHeight="1" x14ac:dyDescent="0.25">
      <c r="A11302" s="2" t="s">
        <v>8</v>
      </c>
      <c r="B11302" s="2" t="str">
        <f>HYPERLINK("http://ts.21cn.com/tousu/show/id/1342574","安全带高利贷")</f>
        <v>安全带高利贷</v>
      </c>
      <c r="C11302" s="2" t="s">
        <v>9</v>
      </c>
      <c r="D11302" s="2" t="s">
        <v>10</v>
      </c>
      <c r="E11302" s="2" t="str">
        <f>HYPERLINK("http://ts.21cn.com/tousu/show/id/1342574","http://ts.21cn.com/tousu/show/id/1342574")</f>
        <v>http://ts.21cn.com/tousu/show/id/1342574</v>
      </c>
      <c r="F11302" s="2" t="s">
        <v>11</v>
      </c>
      <c r="G11302" s="2" t="s">
        <v>21930</v>
      </c>
      <c r="H11302" s="2" t="s">
        <v>21931</v>
      </c>
    </row>
    <row r="11303" spans="1:8" ht="25.05" customHeight="1" x14ac:dyDescent="0.25">
      <c r="A11303" s="2" t="s">
        <v>8</v>
      </c>
      <c r="B11303" s="2" t="str">
        <f>HYPERLINK("http://ts.21cn.com/tousu/show/id/1342575","小浦优客未经同意扣款")</f>
        <v>小浦优客未经同意扣款</v>
      </c>
      <c r="C11303" s="2" t="s">
        <v>9</v>
      </c>
      <c r="D11303" s="2" t="s">
        <v>10</v>
      </c>
      <c r="E11303" s="2" t="str">
        <f>HYPERLINK("http://ts.21cn.com/tousu/show/id/1342575","http://ts.21cn.com/tousu/show/id/1342575")</f>
        <v>http://ts.21cn.com/tousu/show/id/1342575</v>
      </c>
      <c r="F11303" s="2" t="s">
        <v>11</v>
      </c>
      <c r="G11303" s="2" t="s">
        <v>21929</v>
      </c>
      <c r="H11303" s="2" t="s">
        <v>11904</v>
      </c>
    </row>
    <row r="11304" spans="1:8" ht="25.05" customHeight="1" x14ac:dyDescent="0.25">
      <c r="A11304" s="2" t="s">
        <v>8</v>
      </c>
      <c r="B11304" s="2" t="str">
        <f>HYPERLINK("http://ts.21cn.com/tousu/show/id/1342576","不退款、维修所需时间过长、售后维修不作为违约")</f>
        <v>不退款、维修所需时间过长、售后维修不作为违约</v>
      </c>
      <c r="C11304" s="2" t="s">
        <v>9</v>
      </c>
      <c r="D11304" s="2" t="s">
        <v>10</v>
      </c>
      <c r="E11304" s="2" t="str">
        <f>HYPERLINK("http://ts.21cn.com/tousu/show/id/1342576","http://ts.21cn.com/tousu/show/id/1342576")</f>
        <v>http://ts.21cn.com/tousu/show/id/1342576</v>
      </c>
      <c r="F11304" s="2" t="s">
        <v>11</v>
      </c>
      <c r="G11304" s="2" t="s">
        <v>21927</v>
      </c>
      <c r="H11304" s="2" t="s">
        <v>21928</v>
      </c>
    </row>
    <row r="11305" spans="1:8" ht="25.05" customHeight="1" x14ac:dyDescent="0.25">
      <c r="A11305" s="2" t="s">
        <v>8</v>
      </c>
      <c r="B11305" s="2" t="str">
        <f>HYPERLINK("http://ts.21cn.com/tousu/show/id/1342179","平安普惠高额利息不合理，请求挂帐免息以及从已还款额里扣除相应的剩余还款额度")</f>
        <v>平安普惠高额利息不合理，请求挂帐免息以及从已还款额里扣除相应的剩余还款额度</v>
      </c>
      <c r="C11305" s="2" t="s">
        <v>9</v>
      </c>
      <c r="D11305" s="2" t="s">
        <v>10</v>
      </c>
      <c r="E11305" s="2" t="str">
        <f>HYPERLINK("http://ts.21cn.com/tousu/show/id/1342179","http://ts.21cn.com/tousu/show/id/1342179")</f>
        <v>http://ts.21cn.com/tousu/show/id/1342179</v>
      </c>
      <c r="F11305" s="2" t="s">
        <v>11</v>
      </c>
      <c r="G11305" s="2" t="s">
        <v>21925</v>
      </c>
      <c r="H11305" s="2" t="s">
        <v>21926</v>
      </c>
    </row>
    <row r="11306" spans="1:8" ht="25.05" customHeight="1" x14ac:dyDescent="0.25">
      <c r="A11306" s="2" t="s">
        <v>8</v>
      </c>
      <c r="B11306" s="2" t="str">
        <f>HYPERLINK("http://ts.21cn.com/tousu/show/id/1342582","暴露我的个人资料")</f>
        <v>暴露我的个人资料</v>
      </c>
      <c r="C11306" s="2" t="s">
        <v>9</v>
      </c>
      <c r="D11306" s="2" t="s">
        <v>10</v>
      </c>
      <c r="E11306" s="2" t="str">
        <f>HYPERLINK("http://ts.21cn.com/tousu/show/id/1342582","http://ts.21cn.com/tousu/show/id/1342582")</f>
        <v>http://ts.21cn.com/tousu/show/id/1342582</v>
      </c>
      <c r="F11306" s="2" t="s">
        <v>11</v>
      </c>
      <c r="G11306" s="2" t="s">
        <v>21921</v>
      </c>
      <c r="H11306" s="2" t="s">
        <v>21922</v>
      </c>
    </row>
    <row r="11307" spans="1:8" ht="25.05" customHeight="1" x14ac:dyDescent="0.25">
      <c r="A11307" s="2" t="s">
        <v>8</v>
      </c>
      <c r="B11307" s="2" t="str">
        <f>HYPERLINK("http://ts.21cn.com/tousu/show/id/1342585","绥化太平洋保险公司太坑人坑钱坑保单")</f>
        <v>绥化太平洋保险公司太坑人坑钱坑保单</v>
      </c>
      <c r="C11307" s="2" t="s">
        <v>9</v>
      </c>
      <c r="D11307" s="2" t="s">
        <v>10</v>
      </c>
      <c r="E11307" s="2" t="str">
        <f>HYPERLINK("http://ts.21cn.com/tousu/show/id/1342585","http://ts.21cn.com/tousu/show/id/1342585")</f>
        <v>http://ts.21cn.com/tousu/show/id/1342585</v>
      </c>
      <c r="F11307" s="2" t="s">
        <v>11</v>
      </c>
      <c r="G11307" s="2" t="s">
        <v>21921</v>
      </c>
      <c r="H11307" s="2" t="s">
        <v>21923</v>
      </c>
    </row>
    <row r="11308" spans="1:8" ht="25.05" customHeight="1" x14ac:dyDescent="0.25">
      <c r="A11308" s="2" t="s">
        <v>8</v>
      </c>
      <c r="B11308" s="2" t="str">
        <f>HYPERLINK("http://ts.21cn.com/tousu/show/id/1342586","钱置宝高利贷")</f>
        <v>钱置宝高利贷</v>
      </c>
      <c r="C11308" s="2" t="s">
        <v>9</v>
      </c>
      <c r="D11308" s="2" t="s">
        <v>10</v>
      </c>
      <c r="E11308" s="2" t="str">
        <f>HYPERLINK("http://ts.21cn.com/tousu/show/id/1342586","http://ts.21cn.com/tousu/show/id/1342586")</f>
        <v>http://ts.21cn.com/tousu/show/id/1342586</v>
      </c>
      <c r="F11308" s="2" t="s">
        <v>11</v>
      </c>
      <c r="G11308" s="2" t="s">
        <v>21921</v>
      </c>
      <c r="H11308" s="2" t="s">
        <v>21924</v>
      </c>
    </row>
    <row r="11309" spans="1:8" ht="25.05" customHeight="1" x14ac:dyDescent="0.25">
      <c r="A11309" s="2" t="s">
        <v>8</v>
      </c>
      <c r="B11309" s="2" t="str">
        <f>HYPERLINK("http://ts.21cn.com/tousu/show/id/1342578","支付宝莫名其妙冻结资金，让周转不过来，")</f>
        <v>支付宝莫名其妙冻结资金，让周转不过来，</v>
      </c>
      <c r="C11309" s="2" t="s">
        <v>9</v>
      </c>
      <c r="D11309" s="2" t="s">
        <v>10</v>
      </c>
      <c r="E11309" s="2" t="str">
        <f>HYPERLINK("http://ts.21cn.com/tousu/show/id/1342578","http://ts.21cn.com/tousu/show/id/1342578")</f>
        <v>http://ts.21cn.com/tousu/show/id/1342578</v>
      </c>
      <c r="F11309" s="2" t="s">
        <v>11</v>
      </c>
      <c r="G11309" s="2" t="s">
        <v>21919</v>
      </c>
      <c r="H11309" s="2" t="s">
        <v>21920</v>
      </c>
    </row>
    <row r="11310" spans="1:8" ht="25.05" customHeight="1" x14ac:dyDescent="0.25">
      <c r="A11310" s="2" t="s">
        <v>8</v>
      </c>
      <c r="B11310" s="2" t="str">
        <f>HYPERLINK("http://ts.21cn.com/tousu/show/id/1342579","高额手续费加捆绑优客白条")</f>
        <v>高额手续费加捆绑优客白条</v>
      </c>
      <c r="C11310" s="2" t="s">
        <v>9</v>
      </c>
      <c r="D11310" s="2" t="s">
        <v>10</v>
      </c>
      <c r="E11310" s="2" t="str">
        <f>HYPERLINK("http://ts.21cn.com/tousu/show/id/1342579","http://ts.21cn.com/tousu/show/id/1342579")</f>
        <v>http://ts.21cn.com/tousu/show/id/1342579</v>
      </c>
      <c r="F11310" s="2" t="s">
        <v>11</v>
      </c>
      <c r="G11310" s="2" t="s">
        <v>21917</v>
      </c>
      <c r="H11310" s="2" t="s">
        <v>21918</v>
      </c>
    </row>
    <row r="11311" spans="1:8" ht="25.05" customHeight="1" x14ac:dyDescent="0.25">
      <c r="A11311" s="2" t="s">
        <v>8</v>
      </c>
      <c r="B11311" s="2" t="str">
        <f>HYPERLINK("http://ts.21cn.com/tousu/show/id/1342580","咸鱼客提现不出来")</f>
        <v>咸鱼客提现不出来</v>
      </c>
      <c r="C11311" s="2" t="s">
        <v>34</v>
      </c>
      <c r="D11311" s="2" t="s">
        <v>10</v>
      </c>
      <c r="E11311" s="2" t="str">
        <f>HYPERLINK("http://ts.21cn.com/tousu/show/id/1342580","http://ts.21cn.com/tousu/show/id/1342580")</f>
        <v>http://ts.21cn.com/tousu/show/id/1342580</v>
      </c>
      <c r="F11311" s="2" t="s">
        <v>11</v>
      </c>
      <c r="G11311" s="2" t="s">
        <v>21915</v>
      </c>
      <c r="H11311" s="2" t="s">
        <v>21916</v>
      </c>
    </row>
    <row r="11312" spans="1:8" ht="25.05" customHeight="1" x14ac:dyDescent="0.25">
      <c r="A11312" s="2" t="s">
        <v>8</v>
      </c>
      <c r="B11312" s="2" t="str">
        <f>HYPERLINK("http://ts.21cn.com/tousu/show/id/1342581","要求OFO小黄车立即退还押金")</f>
        <v>要求OFO小黄车立即退还押金</v>
      </c>
      <c r="C11312" s="2" t="s">
        <v>9</v>
      </c>
      <c r="D11312" s="2" t="s">
        <v>10</v>
      </c>
      <c r="E11312" s="2" t="str">
        <f>HYPERLINK("http://ts.21cn.com/tousu/show/id/1342581","http://ts.21cn.com/tousu/show/id/1342581")</f>
        <v>http://ts.21cn.com/tousu/show/id/1342581</v>
      </c>
      <c r="F11312" s="2" t="s">
        <v>11</v>
      </c>
      <c r="G11312" s="2" t="s">
        <v>21913</v>
      </c>
      <c r="H11312" s="2" t="s">
        <v>21914</v>
      </c>
    </row>
    <row r="11313" spans="1:8" ht="25.05" customHeight="1" x14ac:dyDescent="0.25">
      <c r="A11313" s="2" t="s">
        <v>8</v>
      </c>
      <c r="B11313" s="2" t="str">
        <f>HYPERLINK("http://ts.21cn.com/tousu/show/id/1342583","维信卡卡贷")</f>
        <v>维信卡卡贷</v>
      </c>
      <c r="C11313" s="2" t="s">
        <v>9</v>
      </c>
      <c r="D11313" s="2" t="s">
        <v>10</v>
      </c>
      <c r="E11313" s="2" t="str">
        <f>HYPERLINK("http://ts.21cn.com/tousu/show/id/1342583","http://ts.21cn.com/tousu/show/id/1342583")</f>
        <v>http://ts.21cn.com/tousu/show/id/1342583</v>
      </c>
      <c r="F11313" s="2" t="s">
        <v>11</v>
      </c>
      <c r="G11313" s="2" t="s">
        <v>21911</v>
      </c>
      <c r="H11313" s="2" t="s">
        <v>21912</v>
      </c>
    </row>
    <row r="11314" spans="1:8" ht="25.05" customHeight="1" x14ac:dyDescent="0.25">
      <c r="A11314" s="2" t="s">
        <v>8</v>
      </c>
      <c r="B11314" s="2" t="str">
        <f>HYPERLINK("http://ts.21cn.com/tousu/show/id/1342584","优品商城分期利息高，刚收到手机发现型号我拍错了要退货")</f>
        <v>优品商城分期利息高，刚收到手机发现型号我拍错了要退货</v>
      </c>
      <c r="C11314" s="2" t="s">
        <v>9</v>
      </c>
      <c r="D11314" s="2" t="s">
        <v>10</v>
      </c>
      <c r="E11314" s="2" t="str">
        <f>HYPERLINK("http://ts.21cn.com/tousu/show/id/1342584","http://ts.21cn.com/tousu/show/id/1342584")</f>
        <v>http://ts.21cn.com/tousu/show/id/1342584</v>
      </c>
      <c r="F11314" s="2" t="s">
        <v>11</v>
      </c>
      <c r="G11314" s="2" t="s">
        <v>21909</v>
      </c>
      <c r="H11314" s="2" t="s">
        <v>21910</v>
      </c>
    </row>
    <row r="11315" spans="1:8" ht="25.05" customHeight="1" x14ac:dyDescent="0.25">
      <c r="A11315" s="2" t="s">
        <v>8</v>
      </c>
      <c r="B11315" s="2" t="str">
        <f>HYPERLINK("http://ts.21cn.com/tousu/show/id/1342587","分期乐工作人员冒充政府机关人员催收")</f>
        <v>分期乐工作人员冒充政府机关人员催收</v>
      </c>
      <c r="C11315" s="2" t="s">
        <v>9</v>
      </c>
      <c r="D11315" s="2" t="s">
        <v>10</v>
      </c>
      <c r="E11315" s="2" t="str">
        <f>HYPERLINK("http://ts.21cn.com/tousu/show/id/1342587","http://ts.21cn.com/tousu/show/id/1342587")</f>
        <v>http://ts.21cn.com/tousu/show/id/1342587</v>
      </c>
      <c r="F11315" s="2" t="s">
        <v>11</v>
      </c>
      <c r="G11315" s="2" t="s">
        <v>21907</v>
      </c>
      <c r="H11315" s="2" t="s">
        <v>21908</v>
      </c>
    </row>
    <row r="11316" spans="1:8" ht="25.05" customHeight="1" x14ac:dyDescent="0.25">
      <c r="A11316" s="2" t="s">
        <v>8</v>
      </c>
      <c r="B11316" s="2" t="str">
        <f>HYPERLINK("http://ts.21cn.com/tousu/show/id/1342588","高利贷威胁")</f>
        <v>高利贷威胁</v>
      </c>
      <c r="C11316" s="2" t="s">
        <v>9</v>
      </c>
      <c r="D11316" s="2" t="s">
        <v>10</v>
      </c>
      <c r="E11316" s="2" t="str">
        <f>HYPERLINK("http://ts.21cn.com/tousu/show/id/1342588","http://ts.21cn.com/tousu/show/id/1342588")</f>
        <v>http://ts.21cn.com/tousu/show/id/1342588</v>
      </c>
      <c r="F11316" s="2" t="s">
        <v>11</v>
      </c>
      <c r="G11316" s="2" t="s">
        <v>21905</v>
      </c>
      <c r="H11316" s="2" t="s">
        <v>21906</v>
      </c>
    </row>
    <row r="11317" spans="1:8" ht="25.05" customHeight="1" x14ac:dyDescent="0.25">
      <c r="A11317" s="2" t="s">
        <v>8</v>
      </c>
      <c r="B11317" s="2" t="str">
        <f>HYPERLINK("http://ts.21cn.com/tousu/show/id/1342589","挽回服务敷衍，浪费时间金钱，还浪费了挽回机会，要求退款及赔偿精神损失费")</f>
        <v>挽回服务敷衍，浪费时间金钱，还浪费了挽回机会，要求退款及赔偿精神损失费</v>
      </c>
      <c r="C11317" s="2" t="s">
        <v>9</v>
      </c>
      <c r="D11317" s="2" t="s">
        <v>10</v>
      </c>
      <c r="E11317" s="2" t="str">
        <f>HYPERLINK("http://ts.21cn.com/tousu/show/id/1342589","http://ts.21cn.com/tousu/show/id/1342589")</f>
        <v>http://ts.21cn.com/tousu/show/id/1342589</v>
      </c>
      <c r="F11317" s="2" t="s">
        <v>11</v>
      </c>
      <c r="G11317" s="2" t="s">
        <v>21903</v>
      </c>
      <c r="H11317" s="2" t="s">
        <v>21904</v>
      </c>
    </row>
    <row r="11318" spans="1:8" ht="25.05" customHeight="1" x14ac:dyDescent="0.25">
      <c r="A11318" s="2" t="s">
        <v>8</v>
      </c>
      <c r="B11318" s="2" t="str">
        <f>HYPERLINK("http://ts.21cn.com/tousu/show/id/1342591","北京恒昌恶意催收，辱骂，非法侵犯公民隐私，扰乱工作生活")</f>
        <v>北京恒昌恶意催收，辱骂，非法侵犯公民隐私，扰乱工作生活</v>
      </c>
      <c r="C11318" s="2" t="s">
        <v>9</v>
      </c>
      <c r="D11318" s="2" t="s">
        <v>10</v>
      </c>
      <c r="E11318" s="2" t="str">
        <f>HYPERLINK("http://ts.21cn.com/tousu/show/id/1342591","http://ts.21cn.com/tousu/show/id/1342591")</f>
        <v>http://ts.21cn.com/tousu/show/id/1342591</v>
      </c>
      <c r="F11318" s="2" t="s">
        <v>11</v>
      </c>
      <c r="G11318" s="2" t="s">
        <v>21901</v>
      </c>
      <c r="H11318" s="2" t="s">
        <v>21902</v>
      </c>
    </row>
    <row r="11319" spans="1:8" ht="25.05" customHeight="1" x14ac:dyDescent="0.25">
      <c r="A11319" s="2" t="s">
        <v>8</v>
      </c>
      <c r="B11319" s="2" t="str">
        <f>HYPERLINK("http://ts.21cn.com/tousu/show/id/1342593","用“呼死你”等软件轰炸")</f>
        <v>用“呼死你”等软件轰炸</v>
      </c>
      <c r="C11319" s="2" t="s">
        <v>9</v>
      </c>
      <c r="D11319" s="2" t="s">
        <v>10</v>
      </c>
      <c r="E11319" s="2" t="str">
        <f>HYPERLINK("http://ts.21cn.com/tousu/show/id/1342593","http://ts.21cn.com/tousu/show/id/1342593")</f>
        <v>http://ts.21cn.com/tousu/show/id/1342593</v>
      </c>
      <c r="F11319" s="2" t="s">
        <v>11</v>
      </c>
      <c r="G11319" s="2" t="s">
        <v>21899</v>
      </c>
      <c r="H11319" s="2" t="s">
        <v>21900</v>
      </c>
    </row>
    <row r="11320" spans="1:8" ht="25.05" customHeight="1" x14ac:dyDescent="0.25">
      <c r="A11320" s="2" t="s">
        <v>8</v>
      </c>
      <c r="B11320" s="2" t="str">
        <f>HYPERLINK("http://ts.21cn.com/tousu/show/id/1342592","蚂蚁花呗客服打电话骂人，侮辱，要定位，这样正规的平台也这样真的是让人无语")</f>
        <v>蚂蚁花呗客服打电话骂人，侮辱，要定位，这样正规的平台也这样真的是让人无语</v>
      </c>
      <c r="C11320" s="2" t="s">
        <v>9</v>
      </c>
      <c r="D11320" s="2" t="s">
        <v>10</v>
      </c>
      <c r="E11320" s="2" t="str">
        <f>HYPERLINK("http://ts.21cn.com/tousu/show/id/1342592","http://ts.21cn.com/tousu/show/id/1342592")</f>
        <v>http://ts.21cn.com/tousu/show/id/1342592</v>
      </c>
      <c r="F11320" s="2" t="s">
        <v>11</v>
      </c>
      <c r="G11320" s="2" t="s">
        <v>21897</v>
      </c>
      <c r="H11320" s="2" t="s">
        <v>21898</v>
      </c>
    </row>
    <row r="11321" spans="1:8" ht="25.05" customHeight="1" x14ac:dyDescent="0.25">
      <c r="A11321" s="2" t="s">
        <v>8</v>
      </c>
      <c r="B11321" s="2" t="str">
        <f>HYPERLINK("http://ts.21cn.com/tousu/show/id/1342594","冒充国家执法机关")</f>
        <v>冒充国家执法机关</v>
      </c>
      <c r="C11321" s="2" t="s">
        <v>9</v>
      </c>
      <c r="D11321" s="2" t="s">
        <v>10</v>
      </c>
      <c r="E11321" s="2" t="str">
        <f>HYPERLINK("http://ts.21cn.com/tousu/show/id/1342594","http://ts.21cn.com/tousu/show/id/1342594")</f>
        <v>http://ts.21cn.com/tousu/show/id/1342594</v>
      </c>
      <c r="F11321" s="2" t="s">
        <v>11</v>
      </c>
      <c r="G11321" s="2" t="s">
        <v>21895</v>
      </c>
      <c r="H11321" s="2" t="s">
        <v>21896</v>
      </c>
    </row>
    <row r="11322" spans="1:8" ht="25.05" customHeight="1" x14ac:dyDescent="0.25">
      <c r="A11322" s="2" t="s">
        <v>8</v>
      </c>
      <c r="B11322" s="2" t="str">
        <f>HYPERLINK("http://ts.21cn.com/tousu/show/id/1342595","不知道没什么扣我款")</f>
        <v>不知道没什么扣我款</v>
      </c>
      <c r="C11322" s="2" t="s">
        <v>9</v>
      </c>
      <c r="D11322" s="2" t="s">
        <v>10</v>
      </c>
      <c r="E11322" s="2" t="str">
        <f>HYPERLINK("http://ts.21cn.com/tousu/show/id/1342595","http://ts.21cn.com/tousu/show/id/1342595")</f>
        <v>http://ts.21cn.com/tousu/show/id/1342595</v>
      </c>
      <c r="F11322" s="2" t="s">
        <v>11</v>
      </c>
      <c r="G11322" s="2" t="s">
        <v>21893</v>
      </c>
      <c r="H11322" s="2" t="s">
        <v>21894</v>
      </c>
    </row>
    <row r="11323" spans="1:8" ht="25.05" customHeight="1" x14ac:dyDescent="0.25">
      <c r="A11323" s="2" t="s">
        <v>8</v>
      </c>
      <c r="B11323" s="2" t="str">
        <f>HYPERLINK("http://ts.21cn.com/tousu/show/id/1342597","小浦优客引诱消费者上当")</f>
        <v>小浦优客引诱消费者上当</v>
      </c>
      <c r="C11323" s="2" t="s">
        <v>9</v>
      </c>
      <c r="D11323" s="2" t="s">
        <v>10</v>
      </c>
      <c r="E11323" s="2" t="str">
        <f>HYPERLINK("http://ts.21cn.com/tousu/show/id/1342597","http://ts.21cn.com/tousu/show/id/1342597")</f>
        <v>http://ts.21cn.com/tousu/show/id/1342597</v>
      </c>
      <c r="F11323" s="2" t="s">
        <v>11</v>
      </c>
      <c r="G11323" s="2" t="s">
        <v>21891</v>
      </c>
      <c r="H11323" s="2" t="s">
        <v>21892</v>
      </c>
    </row>
    <row r="11324" spans="1:8" ht="25.05" customHeight="1" x14ac:dyDescent="0.25">
      <c r="A11324" s="2" t="s">
        <v>8</v>
      </c>
      <c r="B11324" s="2" t="str">
        <f>HYPERLINK("http://ts.21cn.com/tousu/show/id/1342598","套路贷高利贷")</f>
        <v>套路贷高利贷</v>
      </c>
      <c r="C11324" s="2" t="s">
        <v>9</v>
      </c>
      <c r="D11324" s="2" t="s">
        <v>10</v>
      </c>
      <c r="E11324" s="2" t="str">
        <f>HYPERLINK("http://ts.21cn.com/tousu/show/id/1342598","http://ts.21cn.com/tousu/show/id/1342598")</f>
        <v>http://ts.21cn.com/tousu/show/id/1342598</v>
      </c>
      <c r="F11324" s="2" t="s">
        <v>11</v>
      </c>
      <c r="G11324" s="2" t="s">
        <v>21889</v>
      </c>
      <c r="H11324" s="2" t="s">
        <v>21890</v>
      </c>
    </row>
    <row r="11325" spans="1:8" ht="25.05" customHeight="1" x14ac:dyDescent="0.25">
      <c r="A11325" s="2" t="s">
        <v>8</v>
      </c>
      <c r="B11325" s="2" t="str">
        <f>HYPERLINK("http://ts.21cn.com/tousu/show/id/1342599","要个说法这么难吗？")</f>
        <v>要个说法这么难吗？</v>
      </c>
      <c r="C11325" s="2" t="s">
        <v>9</v>
      </c>
      <c r="D11325" s="2" t="s">
        <v>10</v>
      </c>
      <c r="E11325" s="2" t="str">
        <f>HYPERLINK("http://ts.21cn.com/tousu/show/id/1342599","http://ts.21cn.com/tousu/show/id/1342599")</f>
        <v>http://ts.21cn.com/tousu/show/id/1342599</v>
      </c>
      <c r="F11325" s="2" t="s">
        <v>11</v>
      </c>
      <c r="G11325" s="2" t="s">
        <v>21887</v>
      </c>
      <c r="H11325" s="2" t="s">
        <v>21888</v>
      </c>
    </row>
    <row r="11326" spans="1:8" ht="25.05" customHeight="1" x14ac:dyDescent="0.25">
      <c r="A11326" s="2" t="s">
        <v>8</v>
      </c>
      <c r="B11326" s="2" t="str">
        <f>HYPERLINK("http://ts.21cn.com/tousu/show/id/1342600","群发短信")</f>
        <v>群发短信</v>
      </c>
      <c r="C11326" s="2" t="s">
        <v>34</v>
      </c>
      <c r="D11326" s="2" t="s">
        <v>10</v>
      </c>
      <c r="E11326" s="2" t="str">
        <f>HYPERLINK("http://ts.21cn.com/tousu/show/id/1342600","http://ts.21cn.com/tousu/show/id/1342600")</f>
        <v>http://ts.21cn.com/tousu/show/id/1342600</v>
      </c>
      <c r="F11326" s="2" t="s">
        <v>11</v>
      </c>
      <c r="G11326" s="2" t="s">
        <v>21885</v>
      </c>
      <c r="H11326" s="2" t="s">
        <v>21886</v>
      </c>
    </row>
    <row r="11327" spans="1:8" ht="25.05" customHeight="1" x14ac:dyDescent="0.25">
      <c r="A11327" s="2" t="s">
        <v>8</v>
      </c>
      <c r="B11327" s="2" t="str">
        <f>HYPERLINK("http://ts.21cn.com/tousu/show/id/1342603","上门暴力收款")</f>
        <v>上门暴力收款</v>
      </c>
      <c r="C11327" s="2" t="s">
        <v>9</v>
      </c>
      <c r="D11327" s="2" t="s">
        <v>10</v>
      </c>
      <c r="E11327" s="2" t="str">
        <f>HYPERLINK("http://ts.21cn.com/tousu/show/id/1342603","http://ts.21cn.com/tousu/show/id/1342603")</f>
        <v>http://ts.21cn.com/tousu/show/id/1342603</v>
      </c>
      <c r="F11327" s="2" t="s">
        <v>11</v>
      </c>
      <c r="G11327" s="2" t="s">
        <v>21883</v>
      </c>
      <c r="H11327" s="2" t="s">
        <v>21884</v>
      </c>
    </row>
    <row r="11328" spans="1:8" ht="25.05" customHeight="1" x14ac:dyDescent="0.25">
      <c r="A11328" s="2" t="s">
        <v>8</v>
      </c>
      <c r="B11328" s="2" t="str">
        <f>HYPERLINK("http://ts.21cn.com/tousu/show/id/1342601","支付宝不作为，借呗结清证明迟迟拖延不开具结清证明")</f>
        <v>支付宝不作为，借呗结清证明迟迟拖延不开具结清证明</v>
      </c>
      <c r="C11328" s="2" t="s">
        <v>9</v>
      </c>
      <c r="D11328" s="2" t="s">
        <v>10</v>
      </c>
      <c r="E11328" s="2" t="str">
        <f>HYPERLINK("http://ts.21cn.com/tousu/show/id/1342601","http://ts.21cn.com/tousu/show/id/1342601")</f>
        <v>http://ts.21cn.com/tousu/show/id/1342601</v>
      </c>
      <c r="F11328" s="2" t="s">
        <v>11</v>
      </c>
      <c r="G11328" s="2" t="s">
        <v>21881</v>
      </c>
      <c r="H11328" s="2" t="s">
        <v>21882</v>
      </c>
    </row>
    <row r="11329" spans="1:8" ht="25.05" customHeight="1" x14ac:dyDescent="0.25">
      <c r="A11329" s="2" t="s">
        <v>8</v>
      </c>
      <c r="B11329" s="2" t="str">
        <f>HYPERLINK("http://ts.21cn.com/tousu/show/id/1342602","你我贷")</f>
        <v>你我贷</v>
      </c>
      <c r="C11329" s="2" t="s">
        <v>34</v>
      </c>
      <c r="D11329" s="2" t="s">
        <v>10</v>
      </c>
      <c r="E11329" s="2" t="str">
        <f>HYPERLINK("http://ts.21cn.com/tousu/show/id/1342602","http://ts.21cn.com/tousu/show/id/1342602")</f>
        <v>http://ts.21cn.com/tousu/show/id/1342602</v>
      </c>
      <c r="F11329" s="2" t="s">
        <v>11</v>
      </c>
      <c r="G11329" s="2" t="s">
        <v>21879</v>
      </c>
      <c r="H11329" s="2" t="s">
        <v>21880</v>
      </c>
    </row>
    <row r="11330" spans="1:8" ht="25.05" customHeight="1" x14ac:dyDescent="0.25">
      <c r="A11330" s="2" t="s">
        <v>8</v>
      </c>
      <c r="B11330" s="2" t="str">
        <f>HYPERLINK("http://ts.21cn.com/tousu/show/id/1342577","投诉交易猫。买号被找回，交易猫平台不作为")</f>
        <v>投诉交易猫。买号被找回，交易猫平台不作为</v>
      </c>
      <c r="C11330" s="2" t="s">
        <v>9</v>
      </c>
      <c r="D11330" s="2" t="s">
        <v>10</v>
      </c>
      <c r="E11330" s="2" t="str">
        <f>HYPERLINK("http://ts.21cn.com/tousu/show/id/1342577","http://ts.21cn.com/tousu/show/id/1342577")</f>
        <v>http://ts.21cn.com/tousu/show/id/1342577</v>
      </c>
      <c r="F11330" s="2" t="s">
        <v>11</v>
      </c>
      <c r="G11330" s="2" t="s">
        <v>21877</v>
      </c>
      <c r="H11330" s="2" t="s">
        <v>21878</v>
      </c>
    </row>
    <row r="11331" spans="1:8" ht="25.05" customHeight="1" x14ac:dyDescent="0.25">
      <c r="A11331" s="2" t="s">
        <v>8</v>
      </c>
      <c r="B11331" s="2" t="str">
        <f>HYPERLINK("http://ts.21cn.com/tousu/show/id/1342604","高利贷，套路贷，当日我打电话给客服取消，没人接我电话，当天没人接电话，可下款就有人，客服态度恶劣")</f>
        <v>高利贷，套路贷，当日我打电话给客服取消，没人接我电话，当天没人接电话，可下款就有人，客服态度恶劣</v>
      </c>
      <c r="C11331" s="2" t="s">
        <v>9</v>
      </c>
      <c r="D11331" s="2" t="s">
        <v>10</v>
      </c>
      <c r="E11331" s="2" t="str">
        <f>HYPERLINK("http://ts.21cn.com/tousu/show/id/1342604","http://ts.21cn.com/tousu/show/id/1342604")</f>
        <v>http://ts.21cn.com/tousu/show/id/1342604</v>
      </c>
      <c r="F11331" s="2" t="s">
        <v>11</v>
      </c>
      <c r="G11331" s="2" t="s">
        <v>21875</v>
      </c>
      <c r="H11331" s="2" t="s">
        <v>21876</v>
      </c>
    </row>
    <row r="11332" spans="1:8" ht="25.05" customHeight="1" x14ac:dyDescent="0.25">
      <c r="A11332" s="2" t="s">
        <v>8</v>
      </c>
      <c r="B11332" s="2" t="str">
        <f>HYPERLINK("http://ts.21cn.com/tousu/show/id/1342606","强制收取评估费")</f>
        <v>强制收取评估费</v>
      </c>
      <c r="C11332" s="2" t="s">
        <v>9</v>
      </c>
      <c r="D11332" s="2" t="s">
        <v>10</v>
      </c>
      <c r="E11332" s="2" t="str">
        <f>HYPERLINK("http://ts.21cn.com/tousu/show/id/1342606","http://ts.21cn.com/tousu/show/id/1342606")</f>
        <v>http://ts.21cn.com/tousu/show/id/1342606</v>
      </c>
      <c r="F11332" s="2" t="s">
        <v>11</v>
      </c>
      <c r="G11332" s="2" t="s">
        <v>21873</v>
      </c>
      <c r="H11332" s="2" t="s">
        <v>21874</v>
      </c>
    </row>
    <row r="11333" spans="1:8" ht="25.05" customHeight="1" x14ac:dyDescent="0.25">
      <c r="A11333" s="2" t="s">
        <v>8</v>
      </c>
      <c r="B11333" s="2" t="str">
        <f>HYPERLINK("http://ts.21cn.com/tousu/show/id/1342608","小浦优客电话恐吓威胁")</f>
        <v>小浦优客电话恐吓威胁</v>
      </c>
      <c r="C11333" s="2" t="s">
        <v>9</v>
      </c>
      <c r="D11333" s="2" t="s">
        <v>10</v>
      </c>
      <c r="E11333" s="2" t="str">
        <f>HYPERLINK("http://ts.21cn.com/tousu/show/id/1342608","http://ts.21cn.com/tousu/show/id/1342608")</f>
        <v>http://ts.21cn.com/tousu/show/id/1342608</v>
      </c>
      <c r="F11333" s="2" t="s">
        <v>11</v>
      </c>
      <c r="G11333" s="2" t="s">
        <v>21871</v>
      </c>
      <c r="H11333" s="2" t="s">
        <v>21872</v>
      </c>
    </row>
    <row r="11334" spans="1:8" ht="25.05" customHeight="1" x14ac:dyDescent="0.25">
      <c r="A11334" s="2" t="s">
        <v>8</v>
      </c>
      <c r="B11334" s="2" t="str">
        <f>HYPERLINK("http://ts.21cn.com/tousu/show/id/1342607","未经允许。并不退还。强制收取")</f>
        <v>未经允许。并不退还。强制收取</v>
      </c>
      <c r="C11334" s="2" t="s">
        <v>9</v>
      </c>
      <c r="D11334" s="2" t="s">
        <v>10</v>
      </c>
      <c r="E11334" s="2" t="str">
        <f>HYPERLINK("http://ts.21cn.com/tousu/show/id/1342607","http://ts.21cn.com/tousu/show/id/1342607")</f>
        <v>http://ts.21cn.com/tousu/show/id/1342607</v>
      </c>
      <c r="F11334" s="2" t="s">
        <v>11</v>
      </c>
      <c r="G11334" s="2" t="s">
        <v>21869</v>
      </c>
      <c r="H11334" s="2" t="s">
        <v>21870</v>
      </c>
    </row>
    <row r="11335" spans="1:8" ht="25.05" customHeight="1" x14ac:dyDescent="0.25">
      <c r="A11335" s="2" t="s">
        <v>8</v>
      </c>
      <c r="B11335" s="2" t="str">
        <f>HYPERLINK("http://ts.21cn.com/tousu/show/id/1342477","按合同还款")</f>
        <v>按合同还款</v>
      </c>
      <c r="C11335" s="2" t="s">
        <v>34</v>
      </c>
      <c r="D11335" s="2" t="s">
        <v>10</v>
      </c>
      <c r="E11335" s="2" t="str">
        <f>HYPERLINK("http://ts.21cn.com/tousu/show/id/1342477","http://ts.21cn.com/tousu/show/id/1342477")</f>
        <v>http://ts.21cn.com/tousu/show/id/1342477</v>
      </c>
      <c r="F11335" s="2" t="s">
        <v>11</v>
      </c>
      <c r="G11335" s="2" t="s">
        <v>21867</v>
      </c>
      <c r="H11335" s="2" t="s">
        <v>21868</v>
      </c>
    </row>
    <row r="11336" spans="1:8" ht="25.05" customHeight="1" x14ac:dyDescent="0.25">
      <c r="A11336" s="2" t="s">
        <v>8</v>
      </c>
      <c r="B11336" s="2" t="str">
        <f>HYPERLINK("http://ts.21cn.com/tousu/show/id/1342610","美团外卖严重违约要求赔偿损失")</f>
        <v>美团外卖严重违约要求赔偿损失</v>
      </c>
      <c r="C11336" s="2" t="s">
        <v>9</v>
      </c>
      <c r="D11336" s="2" t="s">
        <v>10</v>
      </c>
      <c r="E11336" s="2" t="str">
        <f>HYPERLINK("http://ts.21cn.com/tousu/show/id/1342610","http://ts.21cn.com/tousu/show/id/1342610")</f>
        <v>http://ts.21cn.com/tousu/show/id/1342610</v>
      </c>
      <c r="F11336" s="2" t="s">
        <v>11</v>
      </c>
      <c r="G11336" s="2" t="s">
        <v>21865</v>
      </c>
      <c r="H11336" s="2" t="s">
        <v>21866</v>
      </c>
    </row>
    <row r="11337" spans="1:8" ht="25.05" customHeight="1" x14ac:dyDescent="0.25">
      <c r="A11337" s="2" t="s">
        <v>8</v>
      </c>
      <c r="B11337" s="2" t="str">
        <f>HYPERLINK("http://ts.21cn.com/tousu/show/id/1342611","涉嫌违规欺诈申请退款")</f>
        <v>涉嫌违规欺诈申请退款</v>
      </c>
      <c r="C11337" s="2" t="s">
        <v>9</v>
      </c>
      <c r="D11337" s="2" t="s">
        <v>10</v>
      </c>
      <c r="E11337" s="2" t="str">
        <f>HYPERLINK("http://ts.21cn.com/tousu/show/id/1342611","http://ts.21cn.com/tousu/show/id/1342611")</f>
        <v>http://ts.21cn.com/tousu/show/id/1342611</v>
      </c>
      <c r="F11337" s="2" t="s">
        <v>11</v>
      </c>
      <c r="G11337" s="2" t="s">
        <v>21863</v>
      </c>
      <c r="H11337" s="2" t="s">
        <v>21864</v>
      </c>
    </row>
    <row r="11338" spans="1:8" ht="25.05" customHeight="1" x14ac:dyDescent="0.25">
      <c r="A11338" s="2" t="s">
        <v>8</v>
      </c>
      <c r="B11338" s="2" t="str">
        <f>HYPERLINK("http://ts.21cn.com/tousu/show/id/1342614","已还清借款还显示逾期")</f>
        <v>已还清借款还显示逾期</v>
      </c>
      <c r="C11338" s="2" t="s">
        <v>9</v>
      </c>
      <c r="D11338" s="2" t="s">
        <v>10</v>
      </c>
      <c r="E11338" s="2" t="str">
        <f>HYPERLINK("http://ts.21cn.com/tousu/show/id/1342614","http://ts.21cn.com/tousu/show/id/1342614")</f>
        <v>http://ts.21cn.com/tousu/show/id/1342614</v>
      </c>
      <c r="F11338" s="2" t="s">
        <v>11</v>
      </c>
      <c r="G11338" s="2" t="s">
        <v>21860</v>
      </c>
      <c r="H11338" s="2" t="s">
        <v>21861</v>
      </c>
    </row>
    <row r="11339" spans="1:8" ht="25.05" customHeight="1" x14ac:dyDescent="0.25">
      <c r="A11339" s="2" t="s">
        <v>8</v>
      </c>
      <c r="B11339" s="2" t="str">
        <f>HYPERLINK("http://ts.21cn.com/tousu/show/id/1342613","欺骗")</f>
        <v>欺骗</v>
      </c>
      <c r="C11339" s="2" t="s">
        <v>9</v>
      </c>
      <c r="D11339" s="2" t="s">
        <v>10</v>
      </c>
      <c r="E11339" s="2" t="str">
        <f>HYPERLINK("http://ts.21cn.com/tousu/show/id/1342613","http://ts.21cn.com/tousu/show/id/1342613")</f>
        <v>http://ts.21cn.com/tousu/show/id/1342613</v>
      </c>
      <c r="F11339" s="2" t="s">
        <v>11</v>
      </c>
      <c r="G11339" s="2" t="s">
        <v>21860</v>
      </c>
      <c r="H11339" s="2" t="s">
        <v>21862</v>
      </c>
    </row>
    <row r="11340" spans="1:8" ht="25.05" customHeight="1" x14ac:dyDescent="0.25">
      <c r="A11340" s="2" t="s">
        <v>8</v>
      </c>
      <c r="B11340" s="2" t="str">
        <f>HYPERLINK("http://ts.21cn.com/tousu/show/id/1342612","拍拍贷恶意骚扰")</f>
        <v>拍拍贷恶意骚扰</v>
      </c>
      <c r="C11340" s="2" t="s">
        <v>9</v>
      </c>
      <c r="D11340" s="2" t="s">
        <v>10</v>
      </c>
      <c r="E11340" s="2" t="str">
        <f>HYPERLINK("http://ts.21cn.com/tousu/show/id/1342612","http://ts.21cn.com/tousu/show/id/1342612")</f>
        <v>http://ts.21cn.com/tousu/show/id/1342612</v>
      </c>
      <c r="F11340" s="2" t="s">
        <v>11</v>
      </c>
      <c r="G11340" s="2" t="s">
        <v>21858</v>
      </c>
      <c r="H11340" s="2" t="s">
        <v>21859</v>
      </c>
    </row>
    <row r="11341" spans="1:8" ht="25.05" customHeight="1" x14ac:dyDescent="0.25">
      <c r="A11341" s="2" t="s">
        <v>8</v>
      </c>
      <c r="B11341" s="2" t="str">
        <f>HYPERLINK("http://ts.21cn.com/tousu/show/id/1342615","51信用卡管家平台不作为")</f>
        <v>51信用卡管家平台不作为</v>
      </c>
      <c r="C11341" s="2" t="s">
        <v>9</v>
      </c>
      <c r="D11341" s="2" t="s">
        <v>10</v>
      </c>
      <c r="E11341" s="2" t="str">
        <f>HYPERLINK("http://ts.21cn.com/tousu/show/id/1342615","http://ts.21cn.com/tousu/show/id/1342615")</f>
        <v>http://ts.21cn.com/tousu/show/id/1342615</v>
      </c>
      <c r="F11341" s="2" t="s">
        <v>11</v>
      </c>
      <c r="G11341" s="2" t="s">
        <v>21856</v>
      </c>
      <c r="H11341" s="2" t="s">
        <v>21857</v>
      </c>
    </row>
    <row r="11342" spans="1:8" ht="25.05" customHeight="1" x14ac:dyDescent="0.25">
      <c r="A11342" s="2" t="s">
        <v>8</v>
      </c>
      <c r="B11342" s="2" t="str">
        <f>HYPERLINK("http://ts.21cn.com/tousu/show/id/1342616","乐客独角兽虚假宣传，夸大宣传，诱导消费")</f>
        <v>乐客独角兽虚假宣传，夸大宣传，诱导消费</v>
      </c>
      <c r="C11342" s="2" t="s">
        <v>9</v>
      </c>
      <c r="D11342" s="2" t="s">
        <v>10</v>
      </c>
      <c r="E11342" s="2" t="str">
        <f>HYPERLINK("http://ts.21cn.com/tousu/show/id/1342616","http://ts.21cn.com/tousu/show/id/1342616")</f>
        <v>http://ts.21cn.com/tousu/show/id/1342616</v>
      </c>
      <c r="F11342" s="2" t="s">
        <v>11</v>
      </c>
      <c r="G11342" s="2" t="s">
        <v>21854</v>
      </c>
      <c r="H11342" s="2" t="s">
        <v>21855</v>
      </c>
    </row>
    <row r="11343" spans="1:8" ht="25.05" customHeight="1" x14ac:dyDescent="0.25">
      <c r="A11343" s="2" t="s">
        <v>8</v>
      </c>
      <c r="B11343" s="2" t="str">
        <f>HYPERLINK("http://ts.21cn.com/tousu/show/id/1342617","损毁个人名誉，以及威胁恐吓")</f>
        <v>损毁个人名誉，以及威胁恐吓</v>
      </c>
      <c r="C11343" s="2" t="s">
        <v>9</v>
      </c>
      <c r="D11343" s="2" t="s">
        <v>10</v>
      </c>
      <c r="E11343" s="2" t="str">
        <f>HYPERLINK("http://ts.21cn.com/tousu/show/id/1342617","http://ts.21cn.com/tousu/show/id/1342617")</f>
        <v>http://ts.21cn.com/tousu/show/id/1342617</v>
      </c>
      <c r="F11343" s="2" t="s">
        <v>11</v>
      </c>
      <c r="G11343" s="2" t="s">
        <v>21852</v>
      </c>
      <c r="H11343" s="2" t="s">
        <v>21853</v>
      </c>
    </row>
    <row r="11344" spans="1:8" ht="25.05" customHeight="1" x14ac:dyDescent="0.25">
      <c r="A11344" s="2" t="s">
        <v>8</v>
      </c>
      <c r="B11344" s="2" t="str">
        <f>HYPERLINK("http://ts.21cn.com/tousu/show/id/1342618","利息问题，需要解决，不然一直投诉，希望得到帮助")</f>
        <v>利息问题，需要解决，不然一直投诉，希望得到帮助</v>
      </c>
      <c r="C11344" s="2" t="s">
        <v>34</v>
      </c>
      <c r="D11344" s="2" t="s">
        <v>10</v>
      </c>
      <c r="E11344" s="2" t="str">
        <f>HYPERLINK("http://ts.21cn.com/tousu/show/id/1342618","http://ts.21cn.com/tousu/show/id/1342618")</f>
        <v>http://ts.21cn.com/tousu/show/id/1342618</v>
      </c>
      <c r="F11344" s="2" t="s">
        <v>11</v>
      </c>
      <c r="G11344" s="2" t="s">
        <v>21850</v>
      </c>
      <c r="H11344" s="2" t="s">
        <v>21851</v>
      </c>
    </row>
    <row r="11345" spans="1:8" ht="25.05" customHeight="1" x14ac:dyDescent="0.25">
      <c r="A11345" s="2" t="s">
        <v>8</v>
      </c>
      <c r="B11345" s="2" t="str">
        <f>HYPERLINK("http://ts.21cn.com/tousu/show/id/1342619","广发银行暴力催收，违规调查个人信息，投诉一年半不与处理")</f>
        <v>广发银行暴力催收，违规调查个人信息，投诉一年半不与处理</v>
      </c>
      <c r="C11345" s="2" t="s">
        <v>9</v>
      </c>
      <c r="D11345" s="2" t="s">
        <v>10</v>
      </c>
      <c r="E11345" s="2" t="str">
        <f>HYPERLINK("http://ts.21cn.com/tousu/show/id/1342619","http://ts.21cn.com/tousu/show/id/1342619")</f>
        <v>http://ts.21cn.com/tousu/show/id/1342619</v>
      </c>
      <c r="F11345" s="2" t="s">
        <v>11</v>
      </c>
      <c r="G11345" s="2" t="s">
        <v>21848</v>
      </c>
      <c r="H11345" s="2" t="s">
        <v>21849</v>
      </c>
    </row>
    <row r="11346" spans="1:8" ht="25.05" customHeight="1" x14ac:dyDescent="0.25">
      <c r="A11346" s="2" t="s">
        <v>8</v>
      </c>
      <c r="B11346" s="2" t="str">
        <f>HYPERLINK("http://ts.21cn.com/tousu/show/id/1342620","小浦优客频繁电话骚扰让我借款")</f>
        <v>小浦优客频繁电话骚扰让我借款</v>
      </c>
      <c r="C11346" s="2" t="s">
        <v>9</v>
      </c>
      <c r="D11346" s="2" t="s">
        <v>10</v>
      </c>
      <c r="E11346" s="2" t="str">
        <f>HYPERLINK("http://ts.21cn.com/tousu/show/id/1342620","http://ts.21cn.com/tousu/show/id/1342620")</f>
        <v>http://ts.21cn.com/tousu/show/id/1342620</v>
      </c>
      <c r="F11346" s="2" t="s">
        <v>11</v>
      </c>
      <c r="G11346" s="2" t="s">
        <v>21846</v>
      </c>
      <c r="H11346" s="2" t="s">
        <v>21847</v>
      </c>
    </row>
    <row r="11347" spans="1:8" ht="25.05" customHeight="1" x14ac:dyDescent="0.25">
      <c r="A11347" s="2" t="s">
        <v>8</v>
      </c>
      <c r="B11347" s="2" t="str">
        <f>HYPERLINK("http://ts.21cn.com/tousu/show/id/1342621","欺负平民")</f>
        <v>欺负平民</v>
      </c>
      <c r="C11347" s="2" t="s">
        <v>9</v>
      </c>
      <c r="D11347" s="2" t="s">
        <v>10</v>
      </c>
      <c r="E11347" s="2" t="str">
        <f>HYPERLINK("http://ts.21cn.com/tousu/show/id/1342621","http://ts.21cn.com/tousu/show/id/1342621")</f>
        <v>http://ts.21cn.com/tousu/show/id/1342621</v>
      </c>
      <c r="F11347" s="2" t="s">
        <v>11</v>
      </c>
      <c r="G11347" s="2" t="s">
        <v>21844</v>
      </c>
      <c r="H11347" s="2" t="s">
        <v>21845</v>
      </c>
    </row>
    <row r="11348" spans="1:8" ht="25.05" customHeight="1" x14ac:dyDescent="0.25">
      <c r="A11348" s="2" t="s">
        <v>8</v>
      </c>
      <c r="B11348" s="2" t="str">
        <f>HYPERLINK("http://ts.21cn.com/tousu/show/id/1342605","通联沪快无故代扣且无短信提醒")</f>
        <v>通联沪快无故代扣且无短信提醒</v>
      </c>
      <c r="C11348" s="2" t="s">
        <v>34</v>
      </c>
      <c r="D11348" s="2" t="s">
        <v>10</v>
      </c>
      <c r="E11348" s="2" t="str">
        <f>HYPERLINK("http://ts.21cn.com/tousu/show/id/1342605","http://ts.21cn.com/tousu/show/id/1342605")</f>
        <v>http://ts.21cn.com/tousu/show/id/1342605</v>
      </c>
      <c r="F11348" s="2" t="s">
        <v>11</v>
      </c>
      <c r="G11348" s="2" t="s">
        <v>21842</v>
      </c>
      <c r="H11348" s="2" t="s">
        <v>21843</v>
      </c>
    </row>
    <row r="11349" spans="1:8" ht="25.05" customHeight="1" x14ac:dyDescent="0.25">
      <c r="A11349" s="2" t="s">
        <v>8</v>
      </c>
      <c r="B11349" s="2" t="str">
        <f>HYPERLINK("http://ts.21cn.com/tousu/show/id/1342622","小赢卡贷高利贷，众安保险捆绑销售")</f>
        <v>小赢卡贷高利贷，众安保险捆绑销售</v>
      </c>
      <c r="C11349" s="2" t="s">
        <v>9</v>
      </c>
      <c r="D11349" s="2" t="s">
        <v>10</v>
      </c>
      <c r="E11349" s="2" t="str">
        <f>HYPERLINK("http://ts.21cn.com/tousu/show/id/1342622","http://ts.21cn.com/tousu/show/id/1342622")</f>
        <v>http://ts.21cn.com/tousu/show/id/1342622</v>
      </c>
      <c r="F11349" s="2" t="s">
        <v>11</v>
      </c>
      <c r="G11349" s="2" t="s">
        <v>21840</v>
      </c>
      <c r="H11349" s="2" t="s">
        <v>21841</v>
      </c>
    </row>
    <row r="11350" spans="1:8" ht="25.05" customHeight="1" x14ac:dyDescent="0.25">
      <c r="A11350" s="2" t="s">
        <v>8</v>
      </c>
      <c r="B11350" s="2" t="str">
        <f>HYPERLINK("http://ts.21cn.com/tousu/show/id/1342623","六天砍头贷，不同意协商")</f>
        <v>六天砍头贷，不同意协商</v>
      </c>
      <c r="C11350" s="2" t="s">
        <v>9</v>
      </c>
      <c r="D11350" s="2" t="s">
        <v>10</v>
      </c>
      <c r="E11350" s="2" t="str">
        <f>HYPERLINK("http://ts.21cn.com/tousu/show/id/1342623","http://ts.21cn.com/tousu/show/id/1342623")</f>
        <v>http://ts.21cn.com/tousu/show/id/1342623</v>
      </c>
      <c r="F11350" s="2" t="s">
        <v>11</v>
      </c>
      <c r="G11350" s="2" t="s">
        <v>21838</v>
      </c>
      <c r="H11350" s="2" t="s">
        <v>21839</v>
      </c>
    </row>
    <row r="11351" spans="1:8" ht="25.05" customHeight="1" x14ac:dyDescent="0.25">
      <c r="A11351" s="2" t="s">
        <v>8</v>
      </c>
      <c r="B11351" s="2" t="str">
        <f>HYPERLINK("http://ts.21cn.com/tousu/show/id/1342626","借款1000，利息600多")</f>
        <v>借款1000，利息600多</v>
      </c>
      <c r="C11351" s="2" t="s">
        <v>34</v>
      </c>
      <c r="D11351" s="2" t="s">
        <v>10</v>
      </c>
      <c r="E11351" s="2" t="str">
        <f>HYPERLINK("http://ts.21cn.com/tousu/show/id/1342626","http://ts.21cn.com/tousu/show/id/1342626")</f>
        <v>http://ts.21cn.com/tousu/show/id/1342626</v>
      </c>
      <c r="F11351" s="2" t="s">
        <v>11</v>
      </c>
      <c r="G11351" s="2" t="s">
        <v>21835</v>
      </c>
      <c r="H11351" s="2" t="s">
        <v>21836</v>
      </c>
    </row>
    <row r="11352" spans="1:8" ht="25.05" customHeight="1" x14ac:dyDescent="0.25">
      <c r="A11352" s="2" t="s">
        <v>8</v>
      </c>
      <c r="B11352" s="2" t="str">
        <f>HYPERLINK("http://ts.21cn.com/tousu/show/id/1342625","学生贷款利率高")</f>
        <v>学生贷款利率高</v>
      </c>
      <c r="C11352" s="2" t="s">
        <v>34</v>
      </c>
      <c r="D11352" s="2" t="s">
        <v>10</v>
      </c>
      <c r="E11352" s="2" t="str">
        <f>HYPERLINK("http://ts.21cn.com/tousu/show/id/1342625","http://ts.21cn.com/tousu/show/id/1342625")</f>
        <v>http://ts.21cn.com/tousu/show/id/1342625</v>
      </c>
      <c r="F11352" s="2" t="s">
        <v>11</v>
      </c>
      <c r="G11352" s="2" t="s">
        <v>21835</v>
      </c>
      <c r="H11352" s="2" t="s">
        <v>21837</v>
      </c>
    </row>
    <row r="11353" spans="1:8" ht="25.05" customHeight="1" x14ac:dyDescent="0.25">
      <c r="A11353" s="2" t="s">
        <v>8</v>
      </c>
      <c r="B11353" s="2" t="str">
        <f>HYPERLINK("http://ts.21cn.com/tousu/show/id/1342624","小浦优客倾犯个人隐私，辱骂，恐吓。")</f>
        <v>小浦优客倾犯个人隐私，辱骂，恐吓。</v>
      </c>
      <c r="C11353" s="2" t="s">
        <v>9</v>
      </c>
      <c r="D11353" s="2" t="s">
        <v>10</v>
      </c>
      <c r="E11353" s="2" t="str">
        <f>HYPERLINK("http://ts.21cn.com/tousu/show/id/1342624","http://ts.21cn.com/tousu/show/id/1342624")</f>
        <v>http://ts.21cn.com/tousu/show/id/1342624</v>
      </c>
      <c r="F11353" s="2" t="s">
        <v>11</v>
      </c>
      <c r="G11353" s="2" t="s">
        <v>21833</v>
      </c>
      <c r="H11353" s="2" t="s">
        <v>21834</v>
      </c>
    </row>
    <row r="11354" spans="1:8" ht="25.05" customHeight="1" x14ac:dyDescent="0.25">
      <c r="A11354" s="2" t="s">
        <v>8</v>
      </c>
      <c r="B11354" s="2" t="str">
        <f>HYPERLINK("http://ts.21cn.com/tousu/show/id/1342627","小浦优客无故扣款")</f>
        <v>小浦优客无故扣款</v>
      </c>
      <c r="C11354" s="2" t="s">
        <v>9</v>
      </c>
      <c r="D11354" s="2" t="s">
        <v>10</v>
      </c>
      <c r="E11354" s="2" t="str">
        <f>HYPERLINK("http://ts.21cn.com/tousu/show/id/1342627","http://ts.21cn.com/tousu/show/id/1342627")</f>
        <v>http://ts.21cn.com/tousu/show/id/1342627</v>
      </c>
      <c r="F11354" s="2" t="s">
        <v>11</v>
      </c>
      <c r="G11354" s="2" t="s">
        <v>21831</v>
      </c>
      <c r="H11354" s="2" t="s">
        <v>21832</v>
      </c>
    </row>
    <row r="11355" spans="1:8" ht="25.05" customHeight="1" x14ac:dyDescent="0.25">
      <c r="A11355" s="2" t="s">
        <v>8</v>
      </c>
      <c r="B11355" s="2" t="str">
        <f>HYPERLINK("http://ts.21cn.com/tousu/show/id/1342628","王者钱包五天超级高炮")</f>
        <v>王者钱包五天超级高炮</v>
      </c>
      <c r="C11355" s="2" t="s">
        <v>9</v>
      </c>
      <c r="D11355" s="2" t="s">
        <v>10</v>
      </c>
      <c r="E11355" s="2" t="str">
        <f>HYPERLINK("http://ts.21cn.com/tousu/show/id/1342628","http://ts.21cn.com/tousu/show/id/1342628")</f>
        <v>http://ts.21cn.com/tousu/show/id/1342628</v>
      </c>
      <c r="F11355" s="2" t="s">
        <v>11</v>
      </c>
      <c r="G11355" s="2" t="s">
        <v>21829</v>
      </c>
      <c r="H11355" s="2" t="s">
        <v>21830</v>
      </c>
    </row>
    <row r="11356" spans="1:8" ht="25.05" customHeight="1" x14ac:dyDescent="0.25">
      <c r="A11356" s="2" t="s">
        <v>8</v>
      </c>
      <c r="B11356" s="2" t="str">
        <f>HYPERLINK("http://ts.21cn.com/tousu/show/id/1342629","高利息，暴力催")</f>
        <v>高利息，暴力催</v>
      </c>
      <c r="C11356" s="2" t="s">
        <v>9</v>
      </c>
      <c r="D11356" s="2" t="s">
        <v>10</v>
      </c>
      <c r="E11356" s="2" t="str">
        <f>HYPERLINK("http://ts.21cn.com/tousu/show/id/1342629","http://ts.21cn.com/tousu/show/id/1342629")</f>
        <v>http://ts.21cn.com/tousu/show/id/1342629</v>
      </c>
      <c r="F11356" s="2" t="s">
        <v>11</v>
      </c>
      <c r="G11356" s="2" t="s">
        <v>21828</v>
      </c>
      <c r="H11356" s="2" t="s">
        <v>21242</v>
      </c>
    </row>
    <row r="11357" spans="1:8" ht="25.05" customHeight="1" x14ac:dyDescent="0.25">
      <c r="A11357" s="2" t="s">
        <v>8</v>
      </c>
      <c r="B11357" s="2" t="str">
        <f>HYPERLINK("http://ts.21cn.com/tousu/show/id/1342630","洋钱罐现金借款暴力催收")</f>
        <v>洋钱罐现金借款暴力催收</v>
      </c>
      <c r="C11357" s="2" t="s">
        <v>9</v>
      </c>
      <c r="D11357" s="2" t="s">
        <v>10</v>
      </c>
      <c r="E11357" s="2" t="str">
        <f>HYPERLINK("http://ts.21cn.com/tousu/show/id/1342630","http://ts.21cn.com/tousu/show/id/1342630")</f>
        <v>http://ts.21cn.com/tousu/show/id/1342630</v>
      </c>
      <c r="F11357" s="2" t="s">
        <v>11</v>
      </c>
      <c r="G11357" s="2" t="s">
        <v>21826</v>
      </c>
      <c r="H11357" s="2" t="s">
        <v>21827</v>
      </c>
    </row>
    <row r="11358" spans="1:8" ht="25.05" customHeight="1" x14ac:dyDescent="0.25">
      <c r="A11358" s="2" t="s">
        <v>8</v>
      </c>
      <c r="B11358" s="2" t="str">
        <f>HYPERLINK("http://ts.21cn.com/tousu/show/id/1342631","交通银行催收，骚扰家人及影响名誉")</f>
        <v>交通银行催收，骚扰家人及影响名誉</v>
      </c>
      <c r="C11358" s="2" t="s">
        <v>9</v>
      </c>
      <c r="D11358" s="2" t="s">
        <v>10</v>
      </c>
      <c r="E11358" s="2" t="str">
        <f>HYPERLINK("http://ts.21cn.com/tousu/show/id/1342631","http://ts.21cn.com/tousu/show/id/1342631")</f>
        <v>http://ts.21cn.com/tousu/show/id/1342631</v>
      </c>
      <c r="F11358" s="2" t="s">
        <v>11</v>
      </c>
      <c r="G11358" s="2" t="s">
        <v>21824</v>
      </c>
      <c r="H11358" s="2" t="s">
        <v>21825</v>
      </c>
    </row>
    <row r="11359" spans="1:8" ht="25.05" customHeight="1" x14ac:dyDescent="0.25">
      <c r="A11359" s="2" t="s">
        <v>8</v>
      </c>
      <c r="B11359" s="2" t="str">
        <f>HYPERLINK("http://ts.21cn.com/tousu/show/id/1342632","美团生活费威胁通告函")</f>
        <v>美团生活费威胁通告函</v>
      </c>
      <c r="C11359" s="2" t="s">
        <v>9</v>
      </c>
      <c r="D11359" s="2" t="s">
        <v>10</v>
      </c>
      <c r="E11359" s="2" t="str">
        <f>HYPERLINK("http://ts.21cn.com/tousu/show/id/1342632","http://ts.21cn.com/tousu/show/id/1342632")</f>
        <v>http://ts.21cn.com/tousu/show/id/1342632</v>
      </c>
      <c r="F11359" s="2" t="s">
        <v>11</v>
      </c>
      <c r="G11359" s="2" t="s">
        <v>21822</v>
      </c>
      <c r="H11359" s="2" t="s">
        <v>21823</v>
      </c>
    </row>
    <row r="11360" spans="1:8" ht="25.05" customHeight="1" x14ac:dyDescent="0.25">
      <c r="A11360" s="2" t="s">
        <v>8</v>
      </c>
      <c r="B11360" s="2" t="str">
        <f>HYPERLINK("http://ts.21cn.com/tousu/show/id/1342634","自称安逸借平台客服要求还款")</f>
        <v>自称安逸借平台客服要求还款</v>
      </c>
      <c r="C11360" s="2" t="s">
        <v>9</v>
      </c>
      <c r="D11360" s="2" t="s">
        <v>10</v>
      </c>
      <c r="E11360" s="2" t="str">
        <f>HYPERLINK("http://ts.21cn.com/tousu/show/id/1342634","http://ts.21cn.com/tousu/show/id/1342634")</f>
        <v>http://ts.21cn.com/tousu/show/id/1342634</v>
      </c>
      <c r="F11360" s="2" t="s">
        <v>11</v>
      </c>
      <c r="G11360" s="2" t="s">
        <v>21820</v>
      </c>
      <c r="H11360" s="2" t="s">
        <v>21821</v>
      </c>
    </row>
    <row r="11361" spans="1:8" ht="25.05" customHeight="1" x14ac:dyDescent="0.25">
      <c r="A11361" s="2" t="s">
        <v>8</v>
      </c>
      <c r="B11361" s="2" t="str">
        <f>HYPERLINK("http://ts.21cn.com/tousu/show/id/1342633","支付宝蚂蚁借呗欺瞒消费者")</f>
        <v>支付宝蚂蚁借呗欺瞒消费者</v>
      </c>
      <c r="C11361" s="2" t="s">
        <v>9</v>
      </c>
      <c r="D11361" s="2" t="s">
        <v>10</v>
      </c>
      <c r="E11361" s="2" t="str">
        <f>HYPERLINK("http://ts.21cn.com/tousu/show/id/1342633","http://ts.21cn.com/tousu/show/id/1342633")</f>
        <v>http://ts.21cn.com/tousu/show/id/1342633</v>
      </c>
      <c r="F11361" s="2" t="s">
        <v>11</v>
      </c>
      <c r="G11361" s="2" t="s">
        <v>21818</v>
      </c>
      <c r="H11361" s="2" t="s">
        <v>21819</v>
      </c>
    </row>
    <row r="11362" spans="1:8" ht="25.05" customHeight="1" x14ac:dyDescent="0.25">
      <c r="A11362" s="2" t="s">
        <v>8</v>
      </c>
      <c r="B11362" s="2" t="str">
        <f>HYPERLINK("http://ts.21cn.com/tousu/show/id/1342637","合同金额33000，与实际借款金额不符")</f>
        <v>合同金额33000，与实际借款金额不符</v>
      </c>
      <c r="C11362" s="2" t="s">
        <v>34</v>
      </c>
      <c r="D11362" s="2" t="s">
        <v>10</v>
      </c>
      <c r="E11362" s="2" t="str">
        <f>HYPERLINK("http://ts.21cn.com/tousu/show/id/1342637","http://ts.21cn.com/tousu/show/id/1342637")</f>
        <v>http://ts.21cn.com/tousu/show/id/1342637</v>
      </c>
      <c r="F11362" s="2" t="s">
        <v>11</v>
      </c>
      <c r="G11362" s="2" t="s">
        <v>21816</v>
      </c>
      <c r="H11362" s="2" t="s">
        <v>21817</v>
      </c>
    </row>
    <row r="11363" spans="1:8" ht="25.05" customHeight="1" x14ac:dyDescent="0.25">
      <c r="A11363" s="2" t="s">
        <v>8</v>
      </c>
      <c r="B11363" s="2" t="str">
        <f>HYPERLINK("http://ts.21cn.com/tousu/show/id/1342635","京东白条暴力催收，扬言要上门")</f>
        <v>京东白条暴力催收，扬言要上门</v>
      </c>
      <c r="C11363" s="2" t="s">
        <v>9</v>
      </c>
      <c r="D11363" s="2" t="s">
        <v>10</v>
      </c>
      <c r="E11363" s="2" t="str">
        <f>HYPERLINK("http://ts.21cn.com/tousu/show/id/1342635","http://ts.21cn.com/tousu/show/id/1342635")</f>
        <v>http://ts.21cn.com/tousu/show/id/1342635</v>
      </c>
      <c r="F11363" s="2" t="s">
        <v>11</v>
      </c>
      <c r="G11363" s="2" t="s">
        <v>21814</v>
      </c>
      <c r="H11363" s="2" t="s">
        <v>21815</v>
      </c>
    </row>
    <row r="11364" spans="1:8" ht="25.05" customHeight="1" x14ac:dyDescent="0.25">
      <c r="A11364" s="2" t="s">
        <v>8</v>
      </c>
      <c r="B11364" s="2" t="str">
        <f>HYPERLINK("http://ts.21cn.com/tousu/show/id/1342636","逾期之前请求协商，客服以系统拒绝为由导致逾期")</f>
        <v>逾期之前请求协商，客服以系统拒绝为由导致逾期</v>
      </c>
      <c r="C11364" s="2" t="s">
        <v>9</v>
      </c>
      <c r="D11364" s="2" t="s">
        <v>10</v>
      </c>
      <c r="E11364" s="2" t="str">
        <f>HYPERLINK("http://ts.21cn.com/tousu/show/id/1342636","http://ts.21cn.com/tousu/show/id/1342636")</f>
        <v>http://ts.21cn.com/tousu/show/id/1342636</v>
      </c>
      <c r="F11364" s="2" t="s">
        <v>11</v>
      </c>
      <c r="G11364" s="2" t="s">
        <v>21812</v>
      </c>
      <c r="H11364" s="2" t="s">
        <v>21813</v>
      </c>
    </row>
    <row r="11365" spans="1:8" ht="25.05" customHeight="1" x14ac:dyDescent="0.25">
      <c r="A11365" s="2" t="s">
        <v>8</v>
      </c>
      <c r="B11365" s="2" t="str">
        <f>HYPERLINK("http://ts.21cn.com/tousu/show/id/1342638","支付宝蚂蚁金服包庇套路贷公司，玷污用户信用记录")</f>
        <v>支付宝蚂蚁金服包庇套路贷公司，玷污用户信用记录</v>
      </c>
      <c r="C11365" s="2" t="s">
        <v>9</v>
      </c>
      <c r="D11365" s="2" t="s">
        <v>10</v>
      </c>
      <c r="E11365" s="2" t="str">
        <f>HYPERLINK("http://ts.21cn.com/tousu/show/id/1342638","http://ts.21cn.com/tousu/show/id/1342638")</f>
        <v>http://ts.21cn.com/tousu/show/id/1342638</v>
      </c>
      <c r="F11365" s="2" t="s">
        <v>11</v>
      </c>
      <c r="G11365" s="2" t="s">
        <v>21810</v>
      </c>
      <c r="H11365" s="2" t="s">
        <v>21811</v>
      </c>
    </row>
    <row r="11366" spans="1:8" ht="25.05" customHeight="1" x14ac:dyDescent="0.25">
      <c r="A11366" s="2" t="s">
        <v>8</v>
      </c>
      <c r="B11366" s="2" t="str">
        <f>HYPERLINK("http://ts.21cn.com/tousu/show/id/1342639","王者钱包，高利贷。砍头息，威胁联系通讯录所有好友")</f>
        <v>王者钱包，高利贷。砍头息，威胁联系通讯录所有好友</v>
      </c>
      <c r="C11366" s="2" t="s">
        <v>9</v>
      </c>
      <c r="D11366" s="2" t="s">
        <v>10</v>
      </c>
      <c r="E11366" s="2" t="str">
        <f>HYPERLINK("http://ts.21cn.com/tousu/show/id/1342639","http://ts.21cn.com/tousu/show/id/1342639")</f>
        <v>http://ts.21cn.com/tousu/show/id/1342639</v>
      </c>
      <c r="F11366" s="2" t="s">
        <v>11</v>
      </c>
      <c r="G11366" s="2" t="s">
        <v>21808</v>
      </c>
      <c r="H11366" s="2" t="s">
        <v>21809</v>
      </c>
    </row>
    <row r="11367" spans="1:8" ht="25.05" customHeight="1" x14ac:dyDescent="0.25">
      <c r="A11367" s="2" t="s">
        <v>8</v>
      </c>
      <c r="B11367" s="2" t="str">
        <f>HYPERLINK("http://ts.21cn.com/tousu/show/id/1342640","飞猪卖家“冠途酒店专营店”不开发票")</f>
        <v>飞猪卖家“冠途酒店专营店”不开发票</v>
      </c>
      <c r="C11367" s="2" t="s">
        <v>9</v>
      </c>
      <c r="D11367" s="2" t="s">
        <v>10</v>
      </c>
      <c r="E11367" s="2" t="str">
        <f>HYPERLINK("http://ts.21cn.com/tousu/show/id/1342640","http://ts.21cn.com/tousu/show/id/1342640")</f>
        <v>http://ts.21cn.com/tousu/show/id/1342640</v>
      </c>
      <c r="F11367" s="2" t="s">
        <v>11</v>
      </c>
      <c r="G11367" s="2" t="s">
        <v>21806</v>
      </c>
      <c r="H11367" s="2" t="s">
        <v>21807</v>
      </c>
    </row>
    <row r="11368" spans="1:8" ht="25.05" customHeight="1" x14ac:dyDescent="0.25">
      <c r="A11368" s="2" t="s">
        <v>8</v>
      </c>
      <c r="B11368" s="2" t="str">
        <f>HYPERLINK("http://ts.21cn.com/tousu/show/id/1342641","即付宝首刷一百激活可是钱不到账")</f>
        <v>即付宝首刷一百激活可是钱不到账</v>
      </c>
      <c r="C11368" s="2" t="s">
        <v>9</v>
      </c>
      <c r="D11368" s="2" t="s">
        <v>10</v>
      </c>
      <c r="E11368" s="2" t="str">
        <f>HYPERLINK("http://ts.21cn.com/tousu/show/id/1342641","http://ts.21cn.com/tousu/show/id/1342641")</f>
        <v>http://ts.21cn.com/tousu/show/id/1342641</v>
      </c>
      <c r="F11368" s="2" t="s">
        <v>11</v>
      </c>
      <c r="G11368" s="2" t="s">
        <v>21804</v>
      </c>
      <c r="H11368" s="2" t="s">
        <v>21805</v>
      </c>
    </row>
    <row r="11369" spans="1:8" ht="25.05" customHeight="1" x14ac:dyDescent="0.25">
      <c r="A11369" s="2" t="s">
        <v>8</v>
      </c>
      <c r="B11369" s="2" t="str">
        <f>HYPERLINK("http://ts.21cn.com/tousu/show/id/1342642","小浦优客超级高利贷")</f>
        <v>小浦优客超级高利贷</v>
      </c>
      <c r="C11369" s="2" t="s">
        <v>9</v>
      </c>
      <c r="D11369" s="2" t="s">
        <v>10</v>
      </c>
      <c r="E11369" s="2" t="str">
        <f>HYPERLINK("http://ts.21cn.com/tousu/show/id/1342642","http://ts.21cn.com/tousu/show/id/1342642")</f>
        <v>http://ts.21cn.com/tousu/show/id/1342642</v>
      </c>
      <c r="F11369" s="2" t="s">
        <v>11</v>
      </c>
      <c r="G11369" s="2" t="s">
        <v>21802</v>
      </c>
      <c r="H11369" s="2" t="s">
        <v>21803</v>
      </c>
    </row>
    <row r="11370" spans="1:8" ht="25.05" customHeight="1" x14ac:dyDescent="0.25">
      <c r="A11370" s="2" t="s">
        <v>8</v>
      </c>
      <c r="B11370" s="2" t="str">
        <f>HYPERLINK("http://ts.21cn.com/tousu/show/id/1342643","借4000三个月要还5000多")</f>
        <v>借4000三个月要还5000多</v>
      </c>
      <c r="C11370" s="2" t="s">
        <v>34</v>
      </c>
      <c r="D11370" s="2" t="s">
        <v>10</v>
      </c>
      <c r="E11370" s="2" t="str">
        <f>HYPERLINK("http://ts.21cn.com/tousu/show/id/1342643","http://ts.21cn.com/tousu/show/id/1342643")</f>
        <v>http://ts.21cn.com/tousu/show/id/1342643</v>
      </c>
      <c r="F11370" s="2" t="s">
        <v>11</v>
      </c>
      <c r="G11370" s="2" t="s">
        <v>21800</v>
      </c>
      <c r="H11370" s="2" t="s">
        <v>21801</v>
      </c>
    </row>
    <row r="11371" spans="1:8" ht="25.05" customHeight="1" x14ac:dyDescent="0.25">
      <c r="A11371" s="2" t="s">
        <v>8</v>
      </c>
      <c r="B11371" s="2" t="str">
        <f>HYPERLINK("http://ts.21cn.com/tousu/show/id/1342644","支付宝莫名其妙出现限制收款并不予解决，出了问题就推三阻四，这就是老平台的态度？")</f>
        <v>支付宝莫名其妙出现限制收款并不予解决，出了问题就推三阻四，这就是老平台的态度？</v>
      </c>
      <c r="C11371" s="2" t="s">
        <v>9</v>
      </c>
      <c r="D11371" s="2" t="s">
        <v>10</v>
      </c>
      <c r="E11371" s="2" t="str">
        <f>HYPERLINK("http://ts.21cn.com/tousu/show/id/1342644","http://ts.21cn.com/tousu/show/id/1342644")</f>
        <v>http://ts.21cn.com/tousu/show/id/1342644</v>
      </c>
      <c r="F11371" s="2" t="s">
        <v>11</v>
      </c>
      <c r="G11371" s="2" t="s">
        <v>21798</v>
      </c>
      <c r="H11371" s="2" t="s">
        <v>21799</v>
      </c>
    </row>
    <row r="11372" spans="1:8" ht="25.05" customHeight="1" x14ac:dyDescent="0.25">
      <c r="A11372" s="2" t="s">
        <v>8</v>
      </c>
      <c r="B11372" s="2" t="str">
        <f>HYPERLINK("http://ts.21cn.com/tousu/show/id/1342645","招联金融骚扰家人")</f>
        <v>招联金融骚扰家人</v>
      </c>
      <c r="C11372" s="2" t="s">
        <v>9</v>
      </c>
      <c r="D11372" s="2" t="s">
        <v>10</v>
      </c>
      <c r="E11372" s="2" t="str">
        <f>HYPERLINK("http://ts.21cn.com/tousu/show/id/1342645","http://ts.21cn.com/tousu/show/id/1342645")</f>
        <v>http://ts.21cn.com/tousu/show/id/1342645</v>
      </c>
      <c r="F11372" s="2" t="s">
        <v>11</v>
      </c>
      <c r="G11372" s="2" t="s">
        <v>21796</v>
      </c>
      <c r="H11372" s="2" t="s">
        <v>21797</v>
      </c>
    </row>
    <row r="11373" spans="1:8" ht="25.05" customHeight="1" x14ac:dyDescent="0.25">
      <c r="A11373" s="2" t="s">
        <v>8</v>
      </c>
      <c r="B11373" s="2" t="str">
        <f>HYPERLINK("http://ts.21cn.com/tousu/show/id/1342646","涉嫌套路贷砍头息高利贷")</f>
        <v>涉嫌套路贷砍头息高利贷</v>
      </c>
      <c r="C11373" s="2" t="s">
        <v>9</v>
      </c>
      <c r="D11373" s="2" t="s">
        <v>10</v>
      </c>
      <c r="E11373" s="2" t="str">
        <f>HYPERLINK("http://ts.21cn.com/tousu/show/id/1342646","http://ts.21cn.com/tousu/show/id/1342646")</f>
        <v>http://ts.21cn.com/tousu/show/id/1342646</v>
      </c>
      <c r="F11373" s="2" t="s">
        <v>11</v>
      </c>
      <c r="G11373" s="2" t="s">
        <v>21794</v>
      </c>
      <c r="H11373" s="2" t="s">
        <v>21795</v>
      </c>
    </row>
    <row r="11374" spans="1:8" ht="25.05" customHeight="1" x14ac:dyDescent="0.25">
      <c r="A11374" s="2" t="s">
        <v>8</v>
      </c>
      <c r="B11374" s="2" t="str">
        <f>HYPERLINK("http://ts.21cn.com/tousu/show/id/1342648","微贷多米贷非法变相砍头息")</f>
        <v>微贷多米贷非法变相砍头息</v>
      </c>
      <c r="C11374" s="2" t="s">
        <v>9</v>
      </c>
      <c r="D11374" s="2" t="s">
        <v>10</v>
      </c>
      <c r="E11374" s="2" t="str">
        <f>HYPERLINK("http://ts.21cn.com/tousu/show/id/1342648","http://ts.21cn.com/tousu/show/id/1342648")</f>
        <v>http://ts.21cn.com/tousu/show/id/1342648</v>
      </c>
      <c r="F11374" s="2" t="s">
        <v>11</v>
      </c>
      <c r="G11374" s="2" t="s">
        <v>21792</v>
      </c>
      <c r="H11374" s="2" t="s">
        <v>21793</v>
      </c>
    </row>
    <row r="11375" spans="1:8" ht="25.05" customHeight="1" x14ac:dyDescent="0.25">
      <c r="A11375" s="2" t="s">
        <v>8</v>
      </c>
      <c r="B11375" s="2" t="str">
        <f>HYPERLINK("http://ts.21cn.com/tousu/show/id/1342647","盈盈有钱里推荐协融借多宝分期未到还款时间暴利催收骚扰家人态度恶劣")</f>
        <v>盈盈有钱里推荐协融借多宝分期未到还款时间暴利催收骚扰家人态度恶劣</v>
      </c>
      <c r="C11375" s="2" t="s">
        <v>9</v>
      </c>
      <c r="D11375" s="2" t="s">
        <v>10</v>
      </c>
      <c r="E11375" s="2" t="str">
        <f>HYPERLINK("http://ts.21cn.com/tousu/show/id/1342647","http://ts.21cn.com/tousu/show/id/1342647")</f>
        <v>http://ts.21cn.com/tousu/show/id/1342647</v>
      </c>
      <c r="F11375" s="2" t="s">
        <v>11</v>
      </c>
      <c r="G11375" s="2" t="s">
        <v>21790</v>
      </c>
      <c r="H11375" s="2" t="s">
        <v>21791</v>
      </c>
    </row>
    <row r="11376" spans="1:8" ht="25.05" customHeight="1" x14ac:dyDescent="0.25">
      <c r="A11376" s="2" t="s">
        <v>8</v>
      </c>
      <c r="B11376" s="2" t="str">
        <f>HYPERLINK("http://ts.21cn.com/tousu/show/id/1342649","聚福钱包乱扣费")</f>
        <v>聚福钱包乱扣费</v>
      </c>
      <c r="C11376" s="2" t="s">
        <v>9</v>
      </c>
      <c r="D11376" s="2" t="s">
        <v>10</v>
      </c>
      <c r="E11376" s="2" t="str">
        <f>HYPERLINK("http://ts.21cn.com/tousu/show/id/1342649","http://ts.21cn.com/tousu/show/id/1342649")</f>
        <v>http://ts.21cn.com/tousu/show/id/1342649</v>
      </c>
      <c r="F11376" s="2" t="s">
        <v>11</v>
      </c>
      <c r="G11376" s="2" t="s">
        <v>21788</v>
      </c>
      <c r="H11376" s="2" t="s">
        <v>21789</v>
      </c>
    </row>
    <row r="11377" spans="1:8" ht="25.05" customHeight="1" x14ac:dyDescent="0.25">
      <c r="A11377" s="2" t="s">
        <v>8</v>
      </c>
      <c r="B11377" s="2" t="str">
        <f>HYPERLINK("http://ts.21cn.com/tousu/show/id/1342650","及贷年利息已经超过了百分之二十四")</f>
        <v>及贷年利息已经超过了百分之二十四</v>
      </c>
      <c r="C11377" s="2" t="s">
        <v>9</v>
      </c>
      <c r="D11377" s="2" t="s">
        <v>10</v>
      </c>
      <c r="E11377" s="2" t="str">
        <f>HYPERLINK("http://ts.21cn.com/tousu/show/id/1342650","http://ts.21cn.com/tousu/show/id/1342650")</f>
        <v>http://ts.21cn.com/tousu/show/id/1342650</v>
      </c>
      <c r="F11377" s="2" t="s">
        <v>11</v>
      </c>
      <c r="G11377" s="2" t="s">
        <v>21786</v>
      </c>
      <c r="H11377" s="2" t="s">
        <v>21787</v>
      </c>
    </row>
    <row r="11378" spans="1:8" ht="25.05" customHeight="1" x14ac:dyDescent="0.25">
      <c r="A11378" s="2" t="s">
        <v>8</v>
      </c>
      <c r="B11378" s="2" t="str">
        <f>HYPERLINK("http://ts.21cn.com/tousu/show/id/1342651","私自串改合同利息，强制收取保险费")</f>
        <v>私自串改合同利息，强制收取保险费</v>
      </c>
      <c r="C11378" s="2" t="s">
        <v>9</v>
      </c>
      <c r="D11378" s="2" t="s">
        <v>10</v>
      </c>
      <c r="E11378" s="2" t="str">
        <f>HYPERLINK("http://ts.21cn.com/tousu/show/id/1342651","http://ts.21cn.com/tousu/show/id/1342651")</f>
        <v>http://ts.21cn.com/tousu/show/id/1342651</v>
      </c>
      <c r="F11378" s="2" t="s">
        <v>11</v>
      </c>
      <c r="G11378" s="2" t="s">
        <v>21784</v>
      </c>
      <c r="H11378" s="2" t="s">
        <v>21785</v>
      </c>
    </row>
    <row r="11379" spans="1:8" ht="25.05" customHeight="1" x14ac:dyDescent="0.25">
      <c r="A11379" s="2" t="s">
        <v>8</v>
      </c>
      <c r="B11379" s="2" t="str">
        <f>HYPERLINK("http://ts.21cn.com/tousu/show/id/1342653","小浦优客收取非法砍头息")</f>
        <v>小浦优客收取非法砍头息</v>
      </c>
      <c r="C11379" s="2" t="s">
        <v>9</v>
      </c>
      <c r="D11379" s="2" t="s">
        <v>10</v>
      </c>
      <c r="E11379" s="2" t="str">
        <f>HYPERLINK("http://ts.21cn.com/tousu/show/id/1342653","http://ts.21cn.com/tousu/show/id/1342653")</f>
        <v>http://ts.21cn.com/tousu/show/id/1342653</v>
      </c>
      <c r="F11379" s="2" t="s">
        <v>11</v>
      </c>
      <c r="G11379" s="2" t="s">
        <v>21782</v>
      </c>
      <c r="H11379" s="2" t="s">
        <v>21783</v>
      </c>
    </row>
    <row r="11380" spans="1:8" ht="25.05" customHeight="1" x14ac:dyDescent="0.25">
      <c r="A11380" s="2" t="s">
        <v>8</v>
      </c>
      <c r="B11380" s="2" t="str">
        <f>HYPERLINK("http://ts.21cn.com/tousu/show/id/1342652","蚂蚁金服服务态度及其差，客服处理不了问题")</f>
        <v>蚂蚁金服服务态度及其差，客服处理不了问题</v>
      </c>
      <c r="C11380" s="2" t="s">
        <v>9</v>
      </c>
      <c r="D11380" s="2" t="s">
        <v>10</v>
      </c>
      <c r="E11380" s="2" t="str">
        <f>HYPERLINK("http://ts.21cn.com/tousu/show/id/1342652","http://ts.21cn.com/tousu/show/id/1342652")</f>
        <v>http://ts.21cn.com/tousu/show/id/1342652</v>
      </c>
      <c r="F11380" s="2" t="s">
        <v>11</v>
      </c>
      <c r="G11380" s="2" t="s">
        <v>21780</v>
      </c>
      <c r="H11380" s="2" t="s">
        <v>21781</v>
      </c>
    </row>
    <row r="11381" spans="1:8" ht="25.05" customHeight="1" x14ac:dyDescent="0.25">
      <c r="A11381" s="2" t="s">
        <v>8</v>
      </c>
      <c r="B11381" s="2" t="str">
        <f>HYPERLINK("http://ts.21cn.com/tousu/show/id/1342654","恒企教育霸王条款不予退费")</f>
        <v>恒企教育霸王条款不予退费</v>
      </c>
      <c r="C11381" s="2" t="s">
        <v>9</v>
      </c>
      <c r="D11381" s="2" t="s">
        <v>10</v>
      </c>
      <c r="E11381" s="2" t="str">
        <f>HYPERLINK("http://ts.21cn.com/tousu/show/id/1342654","http://ts.21cn.com/tousu/show/id/1342654")</f>
        <v>http://ts.21cn.com/tousu/show/id/1342654</v>
      </c>
      <c r="F11381" s="2" t="s">
        <v>11</v>
      </c>
      <c r="G11381" s="2" t="s">
        <v>21778</v>
      </c>
      <c r="H11381" s="2" t="s">
        <v>21779</v>
      </c>
    </row>
    <row r="11382" spans="1:8" ht="25.05" customHeight="1" x14ac:dyDescent="0.25">
      <c r="A11382" s="2" t="s">
        <v>8</v>
      </c>
      <c r="B11382" s="2" t="str">
        <f>HYPERLINK("http://ts.21cn.com/tousu/show/id/1342655","高利息黑网贷")</f>
        <v>高利息黑网贷</v>
      </c>
      <c r="C11382" s="2" t="s">
        <v>9</v>
      </c>
      <c r="D11382" s="2" t="s">
        <v>10</v>
      </c>
      <c r="E11382" s="2" t="str">
        <f>HYPERLINK("http://ts.21cn.com/tousu/show/id/1342655","http://ts.21cn.com/tousu/show/id/1342655")</f>
        <v>http://ts.21cn.com/tousu/show/id/1342655</v>
      </c>
      <c r="F11382" s="2" t="s">
        <v>11</v>
      </c>
      <c r="G11382" s="2" t="s">
        <v>21776</v>
      </c>
      <c r="H11382" s="2" t="s">
        <v>21777</v>
      </c>
    </row>
    <row r="11383" spans="1:8" ht="25.05" customHeight="1" x14ac:dyDescent="0.25">
      <c r="A11383" s="2" t="s">
        <v>8</v>
      </c>
      <c r="B11383" s="2" t="str">
        <f>HYPERLINK("http://ts.21cn.com/tousu/show/id/1342657","每天催我家里人")</f>
        <v>每天催我家里人</v>
      </c>
      <c r="C11383" s="2" t="s">
        <v>9</v>
      </c>
      <c r="D11383" s="2" t="s">
        <v>10</v>
      </c>
      <c r="E11383" s="2" t="str">
        <f>HYPERLINK("http://ts.21cn.com/tousu/show/id/1342657","http://ts.21cn.com/tousu/show/id/1342657")</f>
        <v>http://ts.21cn.com/tousu/show/id/1342657</v>
      </c>
      <c r="F11383" s="2" t="s">
        <v>11</v>
      </c>
      <c r="G11383" s="2" t="s">
        <v>21774</v>
      </c>
      <c r="H11383" s="2" t="s">
        <v>21775</v>
      </c>
    </row>
    <row r="11384" spans="1:8" ht="25.05" customHeight="1" x14ac:dyDescent="0.25">
      <c r="A11384" s="2" t="s">
        <v>8</v>
      </c>
      <c r="B11384" s="2" t="str">
        <f>HYPERLINK("http://ts.21cn.com/tousu/show/id/1342658","卡卡贷恶意骚扰我朋友公司单位")</f>
        <v>卡卡贷恶意骚扰我朋友公司单位</v>
      </c>
      <c r="C11384" s="2" t="s">
        <v>9</v>
      </c>
      <c r="D11384" s="2" t="s">
        <v>10</v>
      </c>
      <c r="E11384" s="2" t="str">
        <f>HYPERLINK("http://ts.21cn.com/tousu/show/id/1342658","http://ts.21cn.com/tousu/show/id/1342658")</f>
        <v>http://ts.21cn.com/tousu/show/id/1342658</v>
      </c>
      <c r="F11384" s="2" t="s">
        <v>11</v>
      </c>
      <c r="G11384" s="2" t="s">
        <v>21772</v>
      </c>
      <c r="H11384" s="2" t="s">
        <v>21773</v>
      </c>
    </row>
    <row r="11385" spans="1:8" ht="25.05" customHeight="1" x14ac:dyDescent="0.25">
      <c r="A11385" s="2" t="s">
        <v>8</v>
      </c>
      <c r="B11385" s="2" t="str">
        <f>HYPERLINK("http://ts.21cn.com/tousu/show/id/1342659","支付宝和闲鱼对违规用户不作为，芝麻信用成为无用的东西")</f>
        <v>支付宝和闲鱼对违规用户不作为，芝麻信用成为无用的东西</v>
      </c>
      <c r="C11385" s="2" t="s">
        <v>9</v>
      </c>
      <c r="D11385" s="2" t="s">
        <v>10</v>
      </c>
      <c r="E11385" s="2" t="str">
        <f>HYPERLINK("http://ts.21cn.com/tousu/show/id/1342659","http://ts.21cn.com/tousu/show/id/1342659")</f>
        <v>http://ts.21cn.com/tousu/show/id/1342659</v>
      </c>
      <c r="F11385" s="2" t="s">
        <v>11</v>
      </c>
      <c r="G11385" s="2" t="s">
        <v>21770</v>
      </c>
      <c r="H11385" s="2" t="s">
        <v>21771</v>
      </c>
    </row>
    <row r="11386" spans="1:8" ht="25.05" customHeight="1" x14ac:dyDescent="0.25">
      <c r="A11386" s="2" t="s">
        <v>8</v>
      </c>
      <c r="B11386" s="2" t="str">
        <f>HYPERLINK("http://ts.21cn.com/tousu/show/id/1342660","拍拍贷催收恶意群发经过P图的立案通知涵")</f>
        <v>拍拍贷催收恶意群发经过P图的立案通知涵</v>
      </c>
      <c r="C11386" s="2" t="s">
        <v>9</v>
      </c>
      <c r="D11386" s="2" t="s">
        <v>10</v>
      </c>
      <c r="E11386" s="2" t="str">
        <f>HYPERLINK("http://ts.21cn.com/tousu/show/id/1342660","http://ts.21cn.com/tousu/show/id/1342660")</f>
        <v>http://ts.21cn.com/tousu/show/id/1342660</v>
      </c>
      <c r="F11386" s="2" t="s">
        <v>11</v>
      </c>
      <c r="G11386" s="2" t="s">
        <v>21768</v>
      </c>
      <c r="H11386" s="2" t="s">
        <v>21769</v>
      </c>
    </row>
    <row r="11387" spans="1:8" ht="25.05" customHeight="1" x14ac:dyDescent="0.25">
      <c r="A11387" s="2" t="s">
        <v>8</v>
      </c>
      <c r="B11387" s="2" t="str">
        <f>HYPERLINK("http://ts.21cn.com/tousu/show/id/1342662","高利贷，套路贷，暴力催收。")</f>
        <v>高利贷，套路贷，暴力催收。</v>
      </c>
      <c r="C11387" s="2" t="s">
        <v>9</v>
      </c>
      <c r="D11387" s="2" t="s">
        <v>10</v>
      </c>
      <c r="E11387" s="2" t="str">
        <f>HYPERLINK("http://ts.21cn.com/tousu/show/id/1342662","http://ts.21cn.com/tousu/show/id/1342662")</f>
        <v>http://ts.21cn.com/tousu/show/id/1342662</v>
      </c>
      <c r="F11387" s="2" t="s">
        <v>11</v>
      </c>
      <c r="G11387" s="2" t="s">
        <v>21766</v>
      </c>
      <c r="H11387" s="2" t="s">
        <v>21767</v>
      </c>
    </row>
    <row r="11388" spans="1:8" ht="25.05" customHeight="1" x14ac:dyDescent="0.25">
      <c r="A11388" s="2" t="s">
        <v>8</v>
      </c>
      <c r="B11388" s="2" t="str">
        <f>HYPERLINK("http://ts.21cn.com/tousu/show/id/1342661","小浦优客未经同意扣款")</f>
        <v>小浦优客未经同意扣款</v>
      </c>
      <c r="C11388" s="2" t="s">
        <v>9</v>
      </c>
      <c r="D11388" s="2" t="s">
        <v>10</v>
      </c>
      <c r="E11388" s="2" t="str">
        <f>HYPERLINK("http://ts.21cn.com/tousu/show/id/1342661","http://ts.21cn.com/tousu/show/id/1342661")</f>
        <v>http://ts.21cn.com/tousu/show/id/1342661</v>
      </c>
      <c r="F11388" s="2" t="s">
        <v>11</v>
      </c>
      <c r="G11388" s="2" t="s">
        <v>21764</v>
      </c>
      <c r="H11388" s="2" t="s">
        <v>21765</v>
      </c>
    </row>
    <row r="11389" spans="1:8" ht="25.05" customHeight="1" x14ac:dyDescent="0.25">
      <c r="A11389" s="2" t="s">
        <v>8</v>
      </c>
      <c r="B11389" s="2" t="str">
        <f>HYPERLINK("http://ts.21cn.com/tousu/show/id/1342664","浦发银行信用卡催收部")</f>
        <v>浦发银行信用卡催收部</v>
      </c>
      <c r="C11389" s="2" t="s">
        <v>9</v>
      </c>
      <c r="D11389" s="2" t="s">
        <v>10</v>
      </c>
      <c r="E11389" s="2" t="str">
        <f>HYPERLINK("http://ts.21cn.com/tousu/show/id/1342664","http://ts.21cn.com/tousu/show/id/1342664")</f>
        <v>http://ts.21cn.com/tousu/show/id/1342664</v>
      </c>
      <c r="F11389" s="2" t="s">
        <v>11</v>
      </c>
      <c r="G11389" s="2" t="s">
        <v>21762</v>
      </c>
      <c r="H11389" s="2" t="s">
        <v>21763</v>
      </c>
    </row>
    <row r="11390" spans="1:8" ht="25.05" customHeight="1" x14ac:dyDescent="0.25">
      <c r="A11390" s="2" t="s">
        <v>8</v>
      </c>
      <c r="B11390" s="2" t="str">
        <f>HYPERLINK("http://ts.21cn.com/tousu/show/id/1342665","投诉来分期一直没有解决问题")</f>
        <v>投诉来分期一直没有解决问题</v>
      </c>
      <c r="C11390" s="2" t="s">
        <v>9</v>
      </c>
      <c r="D11390" s="2" t="s">
        <v>10</v>
      </c>
      <c r="E11390" s="2" t="str">
        <f>HYPERLINK("http://ts.21cn.com/tousu/show/id/1342665","http://ts.21cn.com/tousu/show/id/1342665")</f>
        <v>http://ts.21cn.com/tousu/show/id/1342665</v>
      </c>
      <c r="F11390" s="2" t="s">
        <v>11</v>
      </c>
      <c r="G11390" s="2" t="s">
        <v>21760</v>
      </c>
      <c r="H11390" s="2" t="s">
        <v>21761</v>
      </c>
    </row>
    <row r="11391" spans="1:8" ht="25.05" customHeight="1" x14ac:dyDescent="0.25">
      <c r="A11391" s="2" t="s">
        <v>8</v>
      </c>
      <c r="B11391" s="2" t="str">
        <f>HYPERLINK("http://ts.21cn.com/tousu/show/id/1342663","招联金融")</f>
        <v>招联金融</v>
      </c>
      <c r="C11391" s="2" t="s">
        <v>34</v>
      </c>
      <c r="D11391" s="2" t="s">
        <v>10</v>
      </c>
      <c r="E11391" s="2" t="str">
        <f>HYPERLINK("http://ts.21cn.com/tousu/show/id/1342663","http://ts.21cn.com/tousu/show/id/1342663")</f>
        <v>http://ts.21cn.com/tousu/show/id/1342663</v>
      </c>
      <c r="F11391" s="2" t="s">
        <v>11</v>
      </c>
      <c r="G11391" s="2" t="s">
        <v>21758</v>
      </c>
      <c r="H11391" s="2" t="s">
        <v>21759</v>
      </c>
    </row>
    <row r="11392" spans="1:8" ht="25.05" customHeight="1" x14ac:dyDescent="0.25">
      <c r="A11392" s="2" t="s">
        <v>8</v>
      </c>
      <c r="B11392" s="2" t="str">
        <f>HYPERLINK("http://ts.21cn.com/tousu/show/id/1342666","阴阳合同、利息过高，违法的边缘")</f>
        <v>阴阳合同、利息过高，违法的边缘</v>
      </c>
      <c r="C11392" s="2" t="s">
        <v>9</v>
      </c>
      <c r="D11392" s="2" t="s">
        <v>10</v>
      </c>
      <c r="E11392" s="2" t="str">
        <f>HYPERLINK("http://ts.21cn.com/tousu/show/id/1342666","http://ts.21cn.com/tousu/show/id/1342666")</f>
        <v>http://ts.21cn.com/tousu/show/id/1342666</v>
      </c>
      <c r="F11392" s="2" t="s">
        <v>11</v>
      </c>
      <c r="G11392" s="2" t="s">
        <v>21756</v>
      </c>
      <c r="H11392" s="2" t="s">
        <v>21757</v>
      </c>
    </row>
    <row r="11393" spans="1:8" ht="25.05" customHeight="1" x14ac:dyDescent="0.25">
      <c r="A11393" s="2" t="s">
        <v>8</v>
      </c>
      <c r="B11393" s="2" t="str">
        <f>HYPERLINK("http://ts.21cn.com/tousu/show/id/1342667","高额服务费砍头利息")</f>
        <v>高额服务费砍头利息</v>
      </c>
      <c r="C11393" s="2" t="s">
        <v>9</v>
      </c>
      <c r="D11393" s="2" t="s">
        <v>10</v>
      </c>
      <c r="E11393" s="2" t="str">
        <f>HYPERLINK("http://ts.21cn.com/tousu/show/id/1342667","http://ts.21cn.com/tousu/show/id/1342667")</f>
        <v>http://ts.21cn.com/tousu/show/id/1342667</v>
      </c>
      <c r="F11393" s="2" t="s">
        <v>11</v>
      </c>
      <c r="G11393" s="2" t="s">
        <v>21754</v>
      </c>
      <c r="H11393" s="2" t="s">
        <v>21755</v>
      </c>
    </row>
    <row r="11394" spans="1:8" ht="25.05" customHeight="1" x14ac:dyDescent="0.25">
      <c r="A11394" s="2" t="s">
        <v>8</v>
      </c>
      <c r="B11394" s="2" t="str">
        <f>HYPERLINK("http://ts.21cn.com/tousu/show/id/1342669","我来贷逾期费")</f>
        <v>我来贷逾期费</v>
      </c>
      <c r="C11394" s="2" t="s">
        <v>9</v>
      </c>
      <c r="D11394" s="2" t="s">
        <v>10</v>
      </c>
      <c r="E11394" s="2" t="str">
        <f>HYPERLINK("http://ts.21cn.com/tousu/show/id/1342669","http://ts.21cn.com/tousu/show/id/1342669")</f>
        <v>http://ts.21cn.com/tousu/show/id/1342669</v>
      </c>
      <c r="F11394" s="2" t="s">
        <v>11</v>
      </c>
      <c r="G11394" s="2" t="s">
        <v>21752</v>
      </c>
      <c r="H11394" s="2" t="s">
        <v>21753</v>
      </c>
    </row>
    <row r="11395" spans="1:8" ht="25.05" customHeight="1" x14ac:dyDescent="0.25">
      <c r="A11395" s="2" t="s">
        <v>8</v>
      </c>
      <c r="B11395" s="2" t="str">
        <f>HYPERLINK("http://ts.21cn.com/tousu/show/id/1342670","暴力催收")</f>
        <v>暴力催收</v>
      </c>
      <c r="C11395" s="2" t="s">
        <v>9</v>
      </c>
      <c r="D11395" s="2" t="s">
        <v>10</v>
      </c>
      <c r="E11395" s="2" t="str">
        <f>HYPERLINK("http://ts.21cn.com/tousu/show/id/1342670","http://ts.21cn.com/tousu/show/id/1342670")</f>
        <v>http://ts.21cn.com/tousu/show/id/1342670</v>
      </c>
      <c r="F11395" s="2" t="s">
        <v>11</v>
      </c>
      <c r="G11395" s="2" t="s">
        <v>21750</v>
      </c>
      <c r="H11395" s="2" t="s">
        <v>21751</v>
      </c>
    </row>
    <row r="11396" spans="1:8" ht="25.05" customHeight="1" x14ac:dyDescent="0.25">
      <c r="A11396" s="2" t="s">
        <v>8</v>
      </c>
      <c r="B11396" s="2" t="str">
        <f>HYPERLINK("http://ts.21cn.com/tousu/show/id/1342671","中信银行信用卡委托外部催收威胁用户")</f>
        <v>中信银行信用卡委托外部催收威胁用户</v>
      </c>
      <c r="C11396" s="2" t="s">
        <v>9</v>
      </c>
      <c r="D11396" s="2" t="s">
        <v>10</v>
      </c>
      <c r="E11396" s="2" t="str">
        <f>HYPERLINK("http://ts.21cn.com/tousu/show/id/1342671","http://ts.21cn.com/tousu/show/id/1342671")</f>
        <v>http://ts.21cn.com/tousu/show/id/1342671</v>
      </c>
      <c r="F11396" s="2" t="s">
        <v>11</v>
      </c>
      <c r="G11396" s="2" t="s">
        <v>21748</v>
      </c>
      <c r="H11396" s="2" t="s">
        <v>21749</v>
      </c>
    </row>
    <row r="11397" spans="1:8" ht="25.05" customHeight="1" x14ac:dyDescent="0.25">
      <c r="A11397" s="2" t="s">
        <v>8</v>
      </c>
      <c r="B11397" s="2" t="str">
        <f>HYPERLINK("http://ts.21cn.com/tousu/show/id/1342672","喜鹊快贷未逾期暴力催收")</f>
        <v>喜鹊快贷未逾期暴力催收</v>
      </c>
      <c r="C11397" s="2" t="s">
        <v>9</v>
      </c>
      <c r="D11397" s="2" t="s">
        <v>10</v>
      </c>
      <c r="E11397" s="2" t="str">
        <f>HYPERLINK("http://ts.21cn.com/tousu/show/id/1342672","http://ts.21cn.com/tousu/show/id/1342672")</f>
        <v>http://ts.21cn.com/tousu/show/id/1342672</v>
      </c>
      <c r="F11397" s="2" t="s">
        <v>11</v>
      </c>
      <c r="G11397" s="2" t="s">
        <v>21746</v>
      </c>
      <c r="H11397" s="2" t="s">
        <v>21747</v>
      </c>
    </row>
    <row r="11398" spans="1:8" ht="25.05" customHeight="1" x14ac:dyDescent="0.25">
      <c r="A11398" s="2" t="s">
        <v>8</v>
      </c>
      <c r="B11398" s="2" t="str">
        <f>HYPERLINK("http://ts.21cn.com/tousu/show/id/1342673","退款时间长")</f>
        <v>退款时间长</v>
      </c>
      <c r="C11398" s="2" t="s">
        <v>34</v>
      </c>
      <c r="D11398" s="2" t="s">
        <v>10</v>
      </c>
      <c r="E11398" s="2" t="str">
        <f>HYPERLINK("http://ts.21cn.com/tousu/show/id/1342673","http://ts.21cn.com/tousu/show/id/1342673")</f>
        <v>http://ts.21cn.com/tousu/show/id/1342673</v>
      </c>
      <c r="F11398" s="2" t="s">
        <v>11</v>
      </c>
      <c r="G11398" s="2" t="s">
        <v>21744</v>
      </c>
      <c r="H11398" s="2" t="s">
        <v>21745</v>
      </c>
    </row>
    <row r="11399" spans="1:8" ht="25.05" customHeight="1" x14ac:dyDescent="0.25">
      <c r="A11399" s="2" t="s">
        <v>8</v>
      </c>
      <c r="B11399" s="2" t="str">
        <f>HYPERLINK("http://ts.21cn.com/tousu/show/id/1342675","捷信恶意骚扰联系人及家人，")</f>
        <v>捷信恶意骚扰联系人及家人，</v>
      </c>
      <c r="C11399" s="2" t="s">
        <v>9</v>
      </c>
      <c r="D11399" s="2" t="s">
        <v>10</v>
      </c>
      <c r="E11399" s="2" t="str">
        <f>HYPERLINK("http://ts.21cn.com/tousu/show/id/1342675","http://ts.21cn.com/tousu/show/id/1342675")</f>
        <v>http://ts.21cn.com/tousu/show/id/1342675</v>
      </c>
      <c r="F11399" s="2" t="s">
        <v>11</v>
      </c>
      <c r="G11399" s="2" t="s">
        <v>21742</v>
      </c>
      <c r="H11399" s="2" t="s">
        <v>21743</v>
      </c>
    </row>
    <row r="11400" spans="1:8" ht="25.05" customHeight="1" x14ac:dyDescent="0.25">
      <c r="A11400" s="2" t="s">
        <v>8</v>
      </c>
      <c r="B11400" s="2" t="str">
        <f>HYPERLINK("http://ts.21cn.com/tousu/show/id/1342676","中腾信未到最后还款时间恶意发短信威胁")</f>
        <v>中腾信未到最后还款时间恶意发短信威胁</v>
      </c>
      <c r="C11400" s="2" t="s">
        <v>9</v>
      </c>
      <c r="D11400" s="2" t="s">
        <v>10</v>
      </c>
      <c r="E11400" s="2" t="str">
        <f>HYPERLINK("http://ts.21cn.com/tousu/show/id/1342676","http://ts.21cn.com/tousu/show/id/1342676")</f>
        <v>http://ts.21cn.com/tousu/show/id/1342676</v>
      </c>
      <c r="F11400" s="2" t="s">
        <v>11</v>
      </c>
      <c r="G11400" s="2" t="s">
        <v>21740</v>
      </c>
      <c r="H11400" s="2" t="s">
        <v>21741</v>
      </c>
    </row>
    <row r="11401" spans="1:8" ht="25.05" customHeight="1" x14ac:dyDescent="0.25">
      <c r="A11401" s="2" t="s">
        <v>8</v>
      </c>
      <c r="B11401" s="2" t="str">
        <f>HYPERLINK("http://ts.21cn.com/tousu/show/id/1342677","速金服11天还没放款，想取消借款，说无法取消")</f>
        <v>速金服11天还没放款，想取消借款，说无法取消</v>
      </c>
      <c r="C11401" s="2" t="s">
        <v>9</v>
      </c>
      <c r="D11401" s="2" t="s">
        <v>10</v>
      </c>
      <c r="E11401" s="2" t="str">
        <f>HYPERLINK("http://ts.21cn.com/tousu/show/id/1342677","http://ts.21cn.com/tousu/show/id/1342677")</f>
        <v>http://ts.21cn.com/tousu/show/id/1342677</v>
      </c>
      <c r="F11401" s="2" t="s">
        <v>11</v>
      </c>
      <c r="G11401" s="2" t="s">
        <v>21738</v>
      </c>
      <c r="H11401" s="2" t="s">
        <v>21739</v>
      </c>
    </row>
    <row r="11402" spans="1:8" ht="25.05" customHeight="1" x14ac:dyDescent="0.25">
      <c r="A11402" s="2" t="s">
        <v>8</v>
      </c>
      <c r="B11402" s="2" t="str">
        <f>HYPERLINK("http://ts.21cn.com/tousu/show/id/1342679","洋钱罐高利贷")</f>
        <v>洋钱罐高利贷</v>
      </c>
      <c r="C11402" s="2" t="s">
        <v>9</v>
      </c>
      <c r="D11402" s="2" t="s">
        <v>10</v>
      </c>
      <c r="E11402" s="2" t="str">
        <f>HYPERLINK("http://ts.21cn.com/tousu/show/id/1342679","http://ts.21cn.com/tousu/show/id/1342679")</f>
        <v>http://ts.21cn.com/tousu/show/id/1342679</v>
      </c>
      <c r="F11402" s="2" t="s">
        <v>11</v>
      </c>
      <c r="G11402" s="2" t="s">
        <v>21736</v>
      </c>
      <c r="H11402" s="2" t="s">
        <v>21737</v>
      </c>
    </row>
    <row r="11403" spans="1:8" ht="25.05" customHeight="1" x14ac:dyDescent="0.25">
      <c r="A11403" s="2" t="s">
        <v>8</v>
      </c>
      <c r="B11403" s="2" t="str">
        <f>HYPERLINK("http://ts.21cn.com/tousu/show/id/1342680","诊号4529267在中山大学附属东华医院总院10月6日就诊开药导致第二天睡不醒，无法工作")</f>
        <v>诊号4529267在中山大学附属东华医院总院10月6日就诊开药导致第二天睡不醒，无法工作</v>
      </c>
      <c r="C11403" s="2" t="s">
        <v>9</v>
      </c>
      <c r="D11403" s="2" t="s">
        <v>10</v>
      </c>
      <c r="E11403" s="2" t="str">
        <f>HYPERLINK("http://ts.21cn.com/tousu/show/id/1342680","http://ts.21cn.com/tousu/show/id/1342680")</f>
        <v>http://ts.21cn.com/tousu/show/id/1342680</v>
      </c>
      <c r="F11403" s="2" t="s">
        <v>11</v>
      </c>
      <c r="G11403" s="2" t="s">
        <v>21734</v>
      </c>
      <c r="H11403" s="2" t="s">
        <v>21735</v>
      </c>
    </row>
    <row r="11404" spans="1:8" ht="25.05" customHeight="1" x14ac:dyDescent="0.25">
      <c r="A11404" s="2" t="s">
        <v>8</v>
      </c>
      <c r="B11404" s="2" t="str">
        <f>HYPERLINK("http://ts.21cn.com/tousu/show/id/1342681","砍头息高利贷")</f>
        <v>砍头息高利贷</v>
      </c>
      <c r="C11404" s="2" t="s">
        <v>9</v>
      </c>
      <c r="D11404" s="2" t="s">
        <v>10</v>
      </c>
      <c r="E11404" s="2" t="str">
        <f>HYPERLINK("http://ts.21cn.com/tousu/show/id/1342681","http://ts.21cn.com/tousu/show/id/1342681")</f>
        <v>http://ts.21cn.com/tousu/show/id/1342681</v>
      </c>
      <c r="F11404" s="2" t="s">
        <v>11</v>
      </c>
      <c r="G11404" s="2" t="s">
        <v>21732</v>
      </c>
      <c r="H11404" s="2" t="s">
        <v>21733</v>
      </c>
    </row>
    <row r="11405" spans="1:8" ht="25.05" customHeight="1" x14ac:dyDescent="0.25">
      <c r="A11405" s="2" t="s">
        <v>8</v>
      </c>
      <c r="B11405" s="2" t="str">
        <f>HYPERLINK("http://ts.21cn.com/tousu/show/id/1342682","豹子贷没有任何提醒的情况下乱扣费")</f>
        <v>豹子贷没有任何提醒的情况下乱扣费</v>
      </c>
      <c r="C11405" s="2" t="s">
        <v>9</v>
      </c>
      <c r="D11405" s="2" t="s">
        <v>10</v>
      </c>
      <c r="E11405" s="2" t="str">
        <f>HYPERLINK("http://ts.21cn.com/tousu/show/id/1342682","http://ts.21cn.com/tousu/show/id/1342682")</f>
        <v>http://ts.21cn.com/tousu/show/id/1342682</v>
      </c>
      <c r="F11405" s="2" t="s">
        <v>11</v>
      </c>
      <c r="G11405" s="2" t="s">
        <v>21730</v>
      </c>
      <c r="H11405" s="2" t="s">
        <v>21731</v>
      </c>
    </row>
    <row r="11406" spans="1:8" ht="25.05" customHeight="1" x14ac:dyDescent="0.25">
      <c r="A11406" s="2" t="s">
        <v>8</v>
      </c>
      <c r="B11406" s="2" t="str">
        <f>HYPERLINK("http://ts.21cn.com/tousu/show/id/1342685","飞贷账户无法注销，搪塞消费者")</f>
        <v>飞贷账户无法注销，搪塞消费者</v>
      </c>
      <c r="C11406" s="2" t="s">
        <v>9</v>
      </c>
      <c r="D11406" s="2" t="s">
        <v>10</v>
      </c>
      <c r="E11406" s="2" t="str">
        <f>HYPERLINK("http://ts.21cn.com/tousu/show/id/1342685","http://ts.21cn.com/tousu/show/id/1342685")</f>
        <v>http://ts.21cn.com/tousu/show/id/1342685</v>
      </c>
      <c r="F11406" s="2" t="s">
        <v>11</v>
      </c>
      <c r="G11406" s="2" t="s">
        <v>21728</v>
      </c>
      <c r="H11406" s="2" t="s">
        <v>21729</v>
      </c>
    </row>
    <row r="11407" spans="1:8" ht="25.05" customHeight="1" x14ac:dyDescent="0.25">
      <c r="A11407" s="2" t="s">
        <v>8</v>
      </c>
      <c r="B11407" s="2" t="str">
        <f>HYPERLINK("http://ts.21cn.com/tousu/show/id/1342684","高利贷，还没到期就威胁爆通讯录")</f>
        <v>高利贷，还没到期就威胁爆通讯录</v>
      </c>
      <c r="C11407" s="2" t="s">
        <v>9</v>
      </c>
      <c r="D11407" s="2" t="s">
        <v>10</v>
      </c>
      <c r="E11407" s="2" t="str">
        <f>HYPERLINK("http://ts.21cn.com/tousu/show/id/1342684","http://ts.21cn.com/tousu/show/id/1342684")</f>
        <v>http://ts.21cn.com/tousu/show/id/1342684</v>
      </c>
      <c r="F11407" s="2" t="s">
        <v>11</v>
      </c>
      <c r="G11407" s="2" t="s">
        <v>21726</v>
      </c>
      <c r="H11407" s="2" t="s">
        <v>21727</v>
      </c>
    </row>
    <row r="11408" spans="1:8" ht="25.05" customHeight="1" x14ac:dyDescent="0.25">
      <c r="A11408" s="2" t="s">
        <v>8</v>
      </c>
      <c r="B11408" s="2" t="str">
        <f>HYPERLINK("http://ts.21cn.com/tousu/show/id/1342686","梧桐诚选大肆折让老百姓血汗钱")</f>
        <v>梧桐诚选大肆折让老百姓血汗钱</v>
      </c>
      <c r="C11408" s="2" t="s">
        <v>9</v>
      </c>
      <c r="D11408" s="2" t="s">
        <v>10</v>
      </c>
      <c r="E11408" s="2" t="str">
        <f>HYPERLINK("http://ts.21cn.com/tousu/show/id/1342686","http://ts.21cn.com/tousu/show/id/1342686")</f>
        <v>http://ts.21cn.com/tousu/show/id/1342686</v>
      </c>
      <c r="F11408" s="2" t="s">
        <v>11</v>
      </c>
      <c r="G11408" s="2" t="s">
        <v>21724</v>
      </c>
      <c r="H11408" s="2" t="s">
        <v>21725</v>
      </c>
    </row>
    <row r="11409" spans="1:8" ht="25.05" customHeight="1" x14ac:dyDescent="0.25">
      <c r="A11409" s="2" t="s">
        <v>8</v>
      </c>
      <c r="B11409" s="2" t="str">
        <f>HYPERLINK("http://ts.21cn.com/tousu/show/id/1342687","套路贷，借款一千，3个月还款两千，借款1千，合同却是1330")</f>
        <v>套路贷，借款一千，3个月还款两千，借款1千，合同却是1330</v>
      </c>
      <c r="C11409" s="2" t="s">
        <v>9</v>
      </c>
      <c r="D11409" s="2" t="s">
        <v>10</v>
      </c>
      <c r="E11409" s="2" t="str">
        <f>HYPERLINK("http://ts.21cn.com/tousu/show/id/1342687","http://ts.21cn.com/tousu/show/id/1342687")</f>
        <v>http://ts.21cn.com/tousu/show/id/1342687</v>
      </c>
      <c r="F11409" s="2" t="s">
        <v>11</v>
      </c>
      <c r="G11409" s="2" t="s">
        <v>21722</v>
      </c>
      <c r="H11409" s="2" t="s">
        <v>21723</v>
      </c>
    </row>
    <row r="11410" spans="1:8" ht="25.05" customHeight="1" x14ac:dyDescent="0.25">
      <c r="A11410" s="2" t="s">
        <v>8</v>
      </c>
      <c r="B11410" s="2" t="str">
        <f>HYPERLINK("http://ts.21cn.com/tousu/show/id/1342689","无良的玖富")</f>
        <v>无良的玖富</v>
      </c>
      <c r="C11410" s="2" t="s">
        <v>9</v>
      </c>
      <c r="D11410" s="2" t="s">
        <v>10</v>
      </c>
      <c r="E11410" s="2" t="str">
        <f>HYPERLINK("http://ts.21cn.com/tousu/show/id/1342689","http://ts.21cn.com/tousu/show/id/1342689")</f>
        <v>http://ts.21cn.com/tousu/show/id/1342689</v>
      </c>
      <c r="F11410" s="2" t="s">
        <v>11</v>
      </c>
      <c r="G11410" s="2" t="s">
        <v>21720</v>
      </c>
      <c r="H11410" s="2" t="s">
        <v>21721</v>
      </c>
    </row>
    <row r="11411" spans="1:8" ht="25.05" customHeight="1" x14ac:dyDescent="0.25">
      <c r="A11411" s="2" t="s">
        <v>8</v>
      </c>
      <c r="B11411" s="2" t="str">
        <f>HYPERLINK("http://ts.21cn.com/tousu/show/id/1342688","我来贷催收人员，人格侮辱")</f>
        <v>我来贷催收人员，人格侮辱</v>
      </c>
      <c r="C11411" s="2" t="s">
        <v>9</v>
      </c>
      <c r="D11411" s="2" t="s">
        <v>10</v>
      </c>
      <c r="E11411" s="2" t="str">
        <f>HYPERLINK("http://ts.21cn.com/tousu/show/id/1342688","http://ts.21cn.com/tousu/show/id/1342688")</f>
        <v>http://ts.21cn.com/tousu/show/id/1342688</v>
      </c>
      <c r="F11411" s="2" t="s">
        <v>11</v>
      </c>
      <c r="G11411" s="2" t="s">
        <v>21718</v>
      </c>
      <c r="H11411" s="2" t="s">
        <v>21719</v>
      </c>
    </row>
    <row r="11412" spans="1:8" ht="25.05" customHeight="1" x14ac:dyDescent="0.25">
      <c r="A11412" s="2" t="s">
        <v>8</v>
      </c>
      <c r="B11412" s="2" t="str">
        <f>HYPERLINK("http://ts.21cn.com/tousu/show/id/1342691","投诉立借钱置宝")</f>
        <v>投诉立借钱置宝</v>
      </c>
      <c r="C11412" s="2" t="s">
        <v>34</v>
      </c>
      <c r="D11412" s="2" t="s">
        <v>10</v>
      </c>
      <c r="E11412" s="2" t="str">
        <f>HYPERLINK("http://ts.21cn.com/tousu/show/id/1342691","http://ts.21cn.com/tousu/show/id/1342691")</f>
        <v>http://ts.21cn.com/tousu/show/id/1342691</v>
      </c>
      <c r="F11412" s="2" t="s">
        <v>11</v>
      </c>
      <c r="G11412" s="2" t="s">
        <v>21716</v>
      </c>
      <c r="H11412" s="2" t="s">
        <v>21717</v>
      </c>
    </row>
    <row r="11413" spans="1:8" ht="25.05" customHeight="1" x14ac:dyDescent="0.25">
      <c r="A11413" s="2" t="s">
        <v>8</v>
      </c>
      <c r="B11413" s="2" t="str">
        <f>HYPERLINK("http://ts.21cn.com/tousu/show/id/1342692","拖欠工资")</f>
        <v>拖欠工资</v>
      </c>
      <c r="C11413" s="2" t="s">
        <v>9</v>
      </c>
      <c r="D11413" s="2" t="s">
        <v>10</v>
      </c>
      <c r="E11413" s="2" t="str">
        <f>HYPERLINK("http://ts.21cn.com/tousu/show/id/1342692","http://ts.21cn.com/tousu/show/id/1342692")</f>
        <v>http://ts.21cn.com/tousu/show/id/1342692</v>
      </c>
      <c r="F11413" s="2" t="s">
        <v>11</v>
      </c>
      <c r="G11413" s="2" t="s">
        <v>21714</v>
      </c>
      <c r="H11413" s="2" t="s">
        <v>21715</v>
      </c>
    </row>
    <row r="11414" spans="1:8" ht="25.05" customHeight="1" x14ac:dyDescent="0.25">
      <c r="A11414" s="2" t="s">
        <v>8</v>
      </c>
      <c r="B11414" s="2" t="str">
        <f>HYPERLINK("http://ts.21cn.com/tousu/show/id/1342693","高铁管家没抢到票却不退票款")</f>
        <v>高铁管家没抢到票却不退票款</v>
      </c>
      <c r="C11414" s="2" t="s">
        <v>34</v>
      </c>
      <c r="D11414" s="2" t="s">
        <v>10</v>
      </c>
      <c r="E11414" s="2" t="str">
        <f>HYPERLINK("http://ts.21cn.com/tousu/show/id/1342693","http://ts.21cn.com/tousu/show/id/1342693")</f>
        <v>http://ts.21cn.com/tousu/show/id/1342693</v>
      </c>
      <c r="F11414" s="2" t="s">
        <v>11</v>
      </c>
      <c r="G11414" s="2" t="s">
        <v>21712</v>
      </c>
      <c r="H11414" s="2" t="s">
        <v>21713</v>
      </c>
    </row>
    <row r="11415" spans="1:8" ht="25.05" customHeight="1" x14ac:dyDescent="0.25">
      <c r="A11415" s="2" t="s">
        <v>8</v>
      </c>
      <c r="B11415" s="2" t="str">
        <f>HYPERLINK("http://ts.21cn.com/tousu/show/id/1342695","马上消费金融电话骚扰恶意恐吓非欠款人")</f>
        <v>马上消费金融电话骚扰恶意恐吓非欠款人</v>
      </c>
      <c r="C11415" s="2" t="s">
        <v>9</v>
      </c>
      <c r="D11415" s="2" t="s">
        <v>10</v>
      </c>
      <c r="E11415" s="2" t="str">
        <f>HYPERLINK("http://ts.21cn.com/tousu/show/id/1342695","http://ts.21cn.com/tousu/show/id/1342695")</f>
        <v>http://ts.21cn.com/tousu/show/id/1342695</v>
      </c>
      <c r="F11415" s="2" t="s">
        <v>11</v>
      </c>
      <c r="G11415" s="2" t="s">
        <v>21710</v>
      </c>
      <c r="H11415" s="2" t="s">
        <v>21711</v>
      </c>
    </row>
    <row r="11416" spans="1:8" ht="25.05" customHeight="1" x14ac:dyDescent="0.25">
      <c r="A11416" s="2" t="s">
        <v>8</v>
      </c>
      <c r="B11416" s="2" t="str">
        <f>HYPERLINK("http://ts.21cn.com/tousu/show/id/1342683","交易猫卖家不发货，借换绑忽悠买家交易猫登录验证码然后删除买家交易记录和订单号")</f>
        <v>交易猫卖家不发货，借换绑忽悠买家交易猫登录验证码然后删除买家交易记录和订单号</v>
      </c>
      <c r="C11416" s="2" t="s">
        <v>9</v>
      </c>
      <c r="D11416" s="2" t="s">
        <v>10</v>
      </c>
      <c r="E11416" s="2" t="str">
        <f>HYPERLINK("http://ts.21cn.com/tousu/show/id/1342683","http://ts.21cn.com/tousu/show/id/1342683")</f>
        <v>http://ts.21cn.com/tousu/show/id/1342683</v>
      </c>
      <c r="F11416" s="2" t="s">
        <v>11</v>
      </c>
      <c r="G11416" s="2" t="s">
        <v>21708</v>
      </c>
      <c r="H11416" s="2" t="s">
        <v>21709</v>
      </c>
    </row>
    <row r="11417" spans="1:8" ht="25.05" customHeight="1" x14ac:dyDescent="0.25">
      <c r="A11417" s="2" t="s">
        <v>8</v>
      </c>
      <c r="B11417" s="2" t="str">
        <f>HYPERLINK("http://ts.21cn.com/tousu/show/id/1342696","麦子高利贷！")</f>
        <v>麦子高利贷！</v>
      </c>
      <c r="C11417" s="2" t="s">
        <v>9</v>
      </c>
      <c r="D11417" s="2" t="s">
        <v>10</v>
      </c>
      <c r="E11417" s="2" t="str">
        <f>HYPERLINK("http://ts.21cn.com/tousu/show/id/1342696","http://ts.21cn.com/tousu/show/id/1342696")</f>
        <v>http://ts.21cn.com/tousu/show/id/1342696</v>
      </c>
      <c r="F11417" s="2" t="s">
        <v>11</v>
      </c>
      <c r="G11417" s="2" t="s">
        <v>21706</v>
      </c>
      <c r="H11417" s="2" t="s">
        <v>21707</v>
      </c>
    </row>
    <row r="11418" spans="1:8" ht="25.05" customHeight="1" x14ac:dyDescent="0.25">
      <c r="A11418" s="2" t="s">
        <v>8</v>
      </c>
      <c r="B11418" s="2" t="str">
        <f>HYPERLINK("http://ts.21cn.com/tousu/show/id/1342697","拍拍贷")</f>
        <v>拍拍贷</v>
      </c>
      <c r="C11418" s="2" t="s">
        <v>9</v>
      </c>
      <c r="D11418" s="2" t="s">
        <v>10</v>
      </c>
      <c r="E11418" s="2" t="str">
        <f>HYPERLINK("http://ts.21cn.com/tousu/show/id/1342697","http://ts.21cn.com/tousu/show/id/1342697")</f>
        <v>http://ts.21cn.com/tousu/show/id/1342697</v>
      </c>
      <c r="F11418" s="2" t="s">
        <v>11</v>
      </c>
      <c r="G11418" s="2" t="s">
        <v>21704</v>
      </c>
      <c r="H11418" s="2" t="s">
        <v>21705</v>
      </c>
    </row>
    <row r="11419" spans="1:8" ht="25.05" customHeight="1" x14ac:dyDescent="0.25">
      <c r="A11419" s="2" t="s">
        <v>8</v>
      </c>
      <c r="B11419" s="2" t="str">
        <f>HYPERLINK("http://ts.21cn.com/tousu/show/id/1342698","光大银行信用卡暴力骚扰")</f>
        <v>光大银行信用卡暴力骚扰</v>
      </c>
      <c r="C11419" s="2" t="s">
        <v>9</v>
      </c>
      <c r="D11419" s="2" t="s">
        <v>10</v>
      </c>
      <c r="E11419" s="2" t="str">
        <f>HYPERLINK("http://ts.21cn.com/tousu/show/id/1342698","http://ts.21cn.com/tousu/show/id/1342698")</f>
        <v>http://ts.21cn.com/tousu/show/id/1342698</v>
      </c>
      <c r="F11419" s="2" t="s">
        <v>11</v>
      </c>
      <c r="G11419" s="2" t="s">
        <v>21702</v>
      </c>
      <c r="H11419" s="2" t="s">
        <v>21703</v>
      </c>
    </row>
    <row r="11420" spans="1:8" ht="25.05" customHeight="1" x14ac:dyDescent="0.25">
      <c r="A11420" s="2" t="s">
        <v>8</v>
      </c>
      <c r="B11420" s="2" t="str">
        <f>HYPERLINK("http://ts.21cn.com/tousu/show/id/1342699","借贷宝纵容高利贷")</f>
        <v>借贷宝纵容高利贷</v>
      </c>
      <c r="C11420" s="2" t="s">
        <v>9</v>
      </c>
      <c r="D11420" s="2" t="s">
        <v>10</v>
      </c>
      <c r="E11420" s="2" t="str">
        <f>HYPERLINK("http://ts.21cn.com/tousu/show/id/1342699","http://ts.21cn.com/tousu/show/id/1342699")</f>
        <v>http://ts.21cn.com/tousu/show/id/1342699</v>
      </c>
      <c r="F11420" s="2" t="s">
        <v>11</v>
      </c>
      <c r="G11420" s="2" t="s">
        <v>21700</v>
      </c>
      <c r="H11420" s="2" t="s">
        <v>21701</v>
      </c>
    </row>
    <row r="11421" spans="1:8" ht="25.05" customHeight="1" x14ac:dyDescent="0.25">
      <c r="A11421" s="2" t="s">
        <v>8</v>
      </c>
      <c r="B11421" s="2" t="str">
        <f>HYPERLINK("http://ts.21cn.com/tousu/show/id/1342700","高利贷恶意骚扰严重影响日常生活")</f>
        <v>高利贷恶意骚扰严重影响日常生活</v>
      </c>
      <c r="C11421" s="2" t="s">
        <v>9</v>
      </c>
      <c r="D11421" s="2" t="s">
        <v>10</v>
      </c>
      <c r="E11421" s="2" t="str">
        <f>HYPERLINK("http://ts.21cn.com/tousu/show/id/1342700","http://ts.21cn.com/tousu/show/id/1342700")</f>
        <v>http://ts.21cn.com/tousu/show/id/1342700</v>
      </c>
      <c r="F11421" s="2" t="s">
        <v>11</v>
      </c>
      <c r="G11421" s="2" t="s">
        <v>21698</v>
      </c>
      <c r="H11421" s="2" t="s">
        <v>21699</v>
      </c>
    </row>
    <row r="11422" spans="1:8" ht="25.05" customHeight="1" x14ac:dyDescent="0.25">
      <c r="A11422" s="2" t="s">
        <v>8</v>
      </c>
      <c r="B11422" s="2" t="str">
        <f>HYPERLINK("http://ts.21cn.com/tousu/show/id/1342702","聚富分期强制扣钱")</f>
        <v>聚富分期强制扣钱</v>
      </c>
      <c r="C11422" s="2" t="s">
        <v>9</v>
      </c>
      <c r="D11422" s="2" t="s">
        <v>10</v>
      </c>
      <c r="E11422" s="2" t="str">
        <f>HYPERLINK("http://ts.21cn.com/tousu/show/id/1342702","http://ts.21cn.com/tousu/show/id/1342702")</f>
        <v>http://ts.21cn.com/tousu/show/id/1342702</v>
      </c>
      <c r="F11422" s="2" t="s">
        <v>11</v>
      </c>
      <c r="G11422" s="2" t="s">
        <v>21696</v>
      </c>
      <c r="H11422" s="2" t="s">
        <v>21697</v>
      </c>
    </row>
    <row r="11423" spans="1:8" ht="25.05" customHeight="1" x14ac:dyDescent="0.25">
      <c r="A11423" s="2" t="s">
        <v>8</v>
      </c>
      <c r="B11423" s="2" t="str">
        <f>HYPERLINK("http://ts.21cn.com/tousu/show/id/1342701","活力花暴力催收")</f>
        <v>活力花暴力催收</v>
      </c>
      <c r="C11423" s="2" t="s">
        <v>9</v>
      </c>
      <c r="D11423" s="2" t="s">
        <v>10</v>
      </c>
      <c r="E11423" s="2" t="str">
        <f>HYPERLINK("http://ts.21cn.com/tousu/show/id/1342701","http://ts.21cn.com/tousu/show/id/1342701")</f>
        <v>http://ts.21cn.com/tousu/show/id/1342701</v>
      </c>
      <c r="F11423" s="2" t="s">
        <v>11</v>
      </c>
      <c r="G11423" s="2" t="s">
        <v>21694</v>
      </c>
      <c r="H11423" s="2" t="s">
        <v>21695</v>
      </c>
    </row>
    <row r="11424" spans="1:8" ht="25.05" customHeight="1" x14ac:dyDescent="0.25">
      <c r="A11424" s="2" t="s">
        <v>8</v>
      </c>
      <c r="B11424" s="2" t="str">
        <f>HYPERLINK("http://ts.21cn.com/tousu/show/id/1342703","绿源电动车行驶过程中车头卡死")</f>
        <v>绿源电动车行驶过程中车头卡死</v>
      </c>
      <c r="C11424" s="2" t="s">
        <v>9</v>
      </c>
      <c r="D11424" s="2" t="s">
        <v>10</v>
      </c>
      <c r="E11424" s="2" t="str">
        <f>HYPERLINK("http://ts.21cn.com/tousu/show/id/1342703","http://ts.21cn.com/tousu/show/id/1342703")</f>
        <v>http://ts.21cn.com/tousu/show/id/1342703</v>
      </c>
      <c r="F11424" s="2" t="s">
        <v>11</v>
      </c>
      <c r="G11424" s="2" t="s">
        <v>21692</v>
      </c>
      <c r="H11424" s="2" t="s">
        <v>21693</v>
      </c>
    </row>
    <row r="11425" spans="1:8" ht="25.05" customHeight="1" x14ac:dyDescent="0.25">
      <c r="A11425" s="2" t="s">
        <v>8</v>
      </c>
      <c r="B11425" s="2" t="str">
        <f>HYPERLINK("http://ts.21cn.com/tousu/show/id/1342705","淘宝店小二不看凭证随意判结果")</f>
        <v>淘宝店小二不看凭证随意判结果</v>
      </c>
      <c r="C11425" s="2" t="s">
        <v>9</v>
      </c>
      <c r="D11425" s="2" t="s">
        <v>10</v>
      </c>
      <c r="E11425" s="2" t="str">
        <f>HYPERLINK("http://ts.21cn.com/tousu/show/id/1342705","http://ts.21cn.com/tousu/show/id/1342705")</f>
        <v>http://ts.21cn.com/tousu/show/id/1342705</v>
      </c>
      <c r="F11425" s="2" t="s">
        <v>11</v>
      </c>
      <c r="G11425" s="2" t="s">
        <v>21690</v>
      </c>
      <c r="H11425" s="2" t="s">
        <v>21691</v>
      </c>
    </row>
    <row r="11426" spans="1:8" ht="25.05" customHeight="1" x14ac:dyDescent="0.25">
      <c r="A11426" s="2" t="s">
        <v>8</v>
      </c>
      <c r="B11426" s="2" t="str">
        <f>HYPERLINK("http://ts.21cn.com/tousu/show/id/1342706","12306智行系统漏洞重复扣款")</f>
        <v>12306智行系统漏洞重复扣款</v>
      </c>
      <c r="C11426" s="2" t="s">
        <v>9</v>
      </c>
      <c r="D11426" s="2" t="s">
        <v>10</v>
      </c>
      <c r="E11426" s="2" t="str">
        <f>HYPERLINK("http://ts.21cn.com/tousu/show/id/1342706","http://ts.21cn.com/tousu/show/id/1342706")</f>
        <v>http://ts.21cn.com/tousu/show/id/1342706</v>
      </c>
      <c r="F11426" s="2" t="s">
        <v>11</v>
      </c>
      <c r="G11426" s="2" t="s">
        <v>21688</v>
      </c>
      <c r="H11426" s="2" t="s">
        <v>21689</v>
      </c>
    </row>
    <row r="11427" spans="1:8" ht="25.05" customHeight="1" x14ac:dyDescent="0.25">
      <c r="A11427" s="2" t="s">
        <v>8</v>
      </c>
      <c r="B11427" s="2" t="str">
        <f>HYPERLINK("http://ts.21cn.com/tousu/show/id/1342707","附近约爱欺诈消费者")</f>
        <v>附近约爱欺诈消费者</v>
      </c>
      <c r="C11427" s="2" t="s">
        <v>9</v>
      </c>
      <c r="D11427" s="2" t="s">
        <v>10</v>
      </c>
      <c r="E11427" s="2" t="str">
        <f>HYPERLINK("http://ts.21cn.com/tousu/show/id/1342707","http://ts.21cn.com/tousu/show/id/1342707")</f>
        <v>http://ts.21cn.com/tousu/show/id/1342707</v>
      </c>
      <c r="F11427" s="2" t="s">
        <v>11</v>
      </c>
      <c r="G11427" s="2" t="s">
        <v>21686</v>
      </c>
      <c r="H11427" s="2" t="s">
        <v>21687</v>
      </c>
    </row>
    <row r="11428" spans="1:8" ht="25.05" customHeight="1" x14ac:dyDescent="0.25">
      <c r="A11428" s="2" t="s">
        <v>8</v>
      </c>
      <c r="B11428" s="2" t="str">
        <f>HYPERLINK("http://ts.21cn.com/tousu/show/id/1342708","国美易卡无法还款")</f>
        <v>国美易卡无法还款</v>
      </c>
      <c r="C11428" s="2" t="s">
        <v>34</v>
      </c>
      <c r="D11428" s="2" t="s">
        <v>10</v>
      </c>
      <c r="E11428" s="2" t="str">
        <f>HYPERLINK("http://ts.21cn.com/tousu/show/id/1342708","http://ts.21cn.com/tousu/show/id/1342708")</f>
        <v>http://ts.21cn.com/tousu/show/id/1342708</v>
      </c>
      <c r="F11428" s="2" t="s">
        <v>11</v>
      </c>
      <c r="G11428" s="2" t="s">
        <v>21684</v>
      </c>
      <c r="H11428" s="2" t="s">
        <v>21685</v>
      </c>
    </row>
    <row r="11429" spans="1:8" ht="25.05" customHeight="1" x14ac:dyDescent="0.25">
      <c r="A11429" s="2" t="s">
        <v>8</v>
      </c>
      <c r="B11429" s="2" t="str">
        <f>HYPERLINK("http://ts.21cn.com/tousu/show/id/1342709","电话恐吓父母")</f>
        <v>电话恐吓父母</v>
      </c>
      <c r="C11429" s="2" t="s">
        <v>9</v>
      </c>
      <c r="D11429" s="2" t="s">
        <v>10</v>
      </c>
      <c r="E11429" s="2" t="str">
        <f>HYPERLINK("http://ts.21cn.com/tousu/show/id/1342709","http://ts.21cn.com/tousu/show/id/1342709")</f>
        <v>http://ts.21cn.com/tousu/show/id/1342709</v>
      </c>
      <c r="F11429" s="2" t="s">
        <v>11</v>
      </c>
      <c r="G11429" s="2" t="s">
        <v>21682</v>
      </c>
      <c r="H11429" s="2" t="s">
        <v>21683</v>
      </c>
    </row>
    <row r="11430" spans="1:8" ht="25.05" customHeight="1" x14ac:dyDescent="0.25">
      <c r="A11430" s="2" t="s">
        <v>8</v>
      </c>
      <c r="B11430" s="2" t="str">
        <f>HYPERLINK("http://ts.21cn.com/tousu/show/id/1342710","豹子贷恶意扣款了")</f>
        <v>豹子贷恶意扣款了</v>
      </c>
      <c r="C11430" s="2" t="s">
        <v>9</v>
      </c>
      <c r="D11430" s="2" t="s">
        <v>10</v>
      </c>
      <c r="E11430" s="2" t="str">
        <f>HYPERLINK("http://ts.21cn.com/tousu/show/id/1342710","http://ts.21cn.com/tousu/show/id/1342710")</f>
        <v>http://ts.21cn.com/tousu/show/id/1342710</v>
      </c>
      <c r="F11430" s="2" t="s">
        <v>11</v>
      </c>
      <c r="G11430" s="2" t="s">
        <v>21680</v>
      </c>
      <c r="H11430" s="2" t="s">
        <v>21681</v>
      </c>
    </row>
    <row r="11431" spans="1:8" ht="25.05" customHeight="1" x14ac:dyDescent="0.25">
      <c r="A11431" s="2" t="s">
        <v>8</v>
      </c>
      <c r="B11431" s="2" t="str">
        <f>HYPERLINK("http://ts.21cn.com/tousu/show/id/1342711","钱站高利贷阴阳合同")</f>
        <v>钱站高利贷阴阳合同</v>
      </c>
      <c r="C11431" s="2" t="s">
        <v>9</v>
      </c>
      <c r="D11431" s="2" t="s">
        <v>10</v>
      </c>
      <c r="E11431" s="2" t="str">
        <f>HYPERLINK("http://ts.21cn.com/tousu/show/id/1342711","http://ts.21cn.com/tousu/show/id/1342711")</f>
        <v>http://ts.21cn.com/tousu/show/id/1342711</v>
      </c>
      <c r="F11431" s="2" t="s">
        <v>11</v>
      </c>
      <c r="G11431" s="2" t="s">
        <v>21678</v>
      </c>
      <c r="H11431" s="2" t="s">
        <v>21679</v>
      </c>
    </row>
    <row r="11432" spans="1:8" ht="25.05" customHeight="1" x14ac:dyDescent="0.25">
      <c r="A11432" s="2" t="s">
        <v>8</v>
      </c>
      <c r="B11432" s="2" t="str">
        <f>HYPERLINK("http://ts.21cn.com/tousu/show/id/1342694","贷上钱红盒子高利贷")</f>
        <v>贷上钱红盒子高利贷</v>
      </c>
      <c r="C11432" s="2" t="s">
        <v>9</v>
      </c>
      <c r="D11432" s="2" t="s">
        <v>10</v>
      </c>
      <c r="E11432" s="2" t="str">
        <f>HYPERLINK("http://ts.21cn.com/tousu/show/id/1342694","http://ts.21cn.com/tousu/show/id/1342694")</f>
        <v>http://ts.21cn.com/tousu/show/id/1342694</v>
      </c>
      <c r="F11432" s="2" t="s">
        <v>11</v>
      </c>
      <c r="G11432" s="2" t="s">
        <v>21676</v>
      </c>
      <c r="H11432" s="2" t="s">
        <v>21677</v>
      </c>
    </row>
    <row r="11433" spans="1:8" ht="25.05" customHeight="1" x14ac:dyDescent="0.25">
      <c r="A11433" s="2" t="s">
        <v>8</v>
      </c>
      <c r="B11433" s="2" t="str">
        <f>HYPERLINK("http://ts.21cn.com/tousu/show/id/1342712","催收进行威胁恐吓，辱骂人生攻击")</f>
        <v>催收进行威胁恐吓，辱骂人生攻击</v>
      </c>
      <c r="C11433" s="2" t="s">
        <v>9</v>
      </c>
      <c r="D11433" s="2" t="s">
        <v>10</v>
      </c>
      <c r="E11433" s="2" t="str">
        <f>HYPERLINK("http://ts.21cn.com/tousu/show/id/1342712","http://ts.21cn.com/tousu/show/id/1342712")</f>
        <v>http://ts.21cn.com/tousu/show/id/1342712</v>
      </c>
      <c r="F11433" s="2" t="s">
        <v>11</v>
      </c>
      <c r="G11433" s="2" t="s">
        <v>21674</v>
      </c>
      <c r="H11433" s="2" t="s">
        <v>21675</v>
      </c>
    </row>
    <row r="11434" spans="1:8" ht="25.05" customHeight="1" x14ac:dyDescent="0.25">
      <c r="A11434" s="2" t="s">
        <v>8</v>
      </c>
      <c r="B11434" s="2" t="str">
        <f>HYPERLINK("http://ts.21cn.com/tousu/show/id/1342714","爆通讯录")</f>
        <v>爆通讯录</v>
      </c>
      <c r="C11434" s="2" t="s">
        <v>9</v>
      </c>
      <c r="D11434" s="2" t="s">
        <v>10</v>
      </c>
      <c r="E11434" s="2" t="str">
        <f>HYPERLINK("http://ts.21cn.com/tousu/show/id/1342714","http://ts.21cn.com/tousu/show/id/1342714")</f>
        <v>http://ts.21cn.com/tousu/show/id/1342714</v>
      </c>
      <c r="F11434" s="2" t="s">
        <v>11</v>
      </c>
      <c r="G11434" s="2" t="s">
        <v>21672</v>
      </c>
      <c r="H11434" s="2" t="s">
        <v>21673</v>
      </c>
    </row>
    <row r="11435" spans="1:8" ht="25.05" customHeight="1" x14ac:dyDescent="0.25">
      <c r="A11435" s="2" t="s">
        <v>8</v>
      </c>
      <c r="B11435" s="2" t="str">
        <f>HYPERLINK("http://ts.21cn.com/tousu/show/id/1342715","要求杭州乐客独角兽退回抖音企业认证推广费")</f>
        <v>要求杭州乐客独角兽退回抖音企业认证推广费</v>
      </c>
      <c r="C11435" s="2" t="s">
        <v>9</v>
      </c>
      <c r="D11435" s="2" t="s">
        <v>10</v>
      </c>
      <c r="E11435" s="2" t="str">
        <f>HYPERLINK("http://ts.21cn.com/tousu/show/id/1342715","http://ts.21cn.com/tousu/show/id/1342715")</f>
        <v>http://ts.21cn.com/tousu/show/id/1342715</v>
      </c>
      <c r="F11435" s="2" t="s">
        <v>11</v>
      </c>
      <c r="G11435" s="2" t="s">
        <v>21670</v>
      </c>
      <c r="H11435" s="2" t="s">
        <v>21671</v>
      </c>
    </row>
    <row r="11436" spans="1:8" ht="25.05" customHeight="1" x14ac:dyDescent="0.25">
      <c r="A11436" s="2" t="s">
        <v>8</v>
      </c>
      <c r="B11436" s="2" t="str">
        <f>HYPERLINK("http://ts.21cn.com/tousu/show/id/1342717","顺丰骑士退保证金快一个月了没人管")</f>
        <v>顺丰骑士退保证金快一个月了没人管</v>
      </c>
      <c r="C11436" s="2" t="s">
        <v>9</v>
      </c>
      <c r="D11436" s="2" t="s">
        <v>10</v>
      </c>
      <c r="E11436" s="2" t="str">
        <f>HYPERLINK("http://ts.21cn.com/tousu/show/id/1342717","http://ts.21cn.com/tousu/show/id/1342717")</f>
        <v>http://ts.21cn.com/tousu/show/id/1342717</v>
      </c>
      <c r="F11436" s="2" t="s">
        <v>11</v>
      </c>
      <c r="G11436" s="2" t="s">
        <v>21668</v>
      </c>
      <c r="H11436" s="2" t="s">
        <v>21669</v>
      </c>
    </row>
    <row r="11437" spans="1:8" ht="25.05" customHeight="1" x14ac:dyDescent="0.25">
      <c r="A11437" s="2" t="s">
        <v>8</v>
      </c>
      <c r="B11437" s="2" t="str">
        <f>HYPERLINK("http://ts.21cn.com/tousu/show/id/1342716","没有逾期恶意拨打通讯录")</f>
        <v>没有逾期恶意拨打通讯录</v>
      </c>
      <c r="C11437" s="2" t="s">
        <v>9</v>
      </c>
      <c r="D11437" s="2" t="s">
        <v>10</v>
      </c>
      <c r="E11437" s="2" t="str">
        <f>HYPERLINK("http://ts.21cn.com/tousu/show/id/1342716","http://ts.21cn.com/tousu/show/id/1342716")</f>
        <v>http://ts.21cn.com/tousu/show/id/1342716</v>
      </c>
      <c r="F11437" s="2" t="s">
        <v>11</v>
      </c>
      <c r="G11437" s="2" t="s">
        <v>21666</v>
      </c>
      <c r="H11437" s="2" t="s">
        <v>21667</v>
      </c>
    </row>
    <row r="11438" spans="1:8" ht="25.05" customHeight="1" x14ac:dyDescent="0.25">
      <c r="A11438" s="2" t="s">
        <v>8</v>
      </c>
      <c r="B11438" s="2" t="str">
        <f>HYPERLINK("http://ts.21cn.com/tousu/show/id/1342718","小象优品暴力催收，骚扰通讯录")</f>
        <v>小象优品暴力催收，骚扰通讯录</v>
      </c>
      <c r="C11438" s="2" t="s">
        <v>9</v>
      </c>
      <c r="D11438" s="2" t="s">
        <v>10</v>
      </c>
      <c r="E11438" s="2" t="str">
        <f>HYPERLINK("http://ts.21cn.com/tousu/show/id/1342718","http://ts.21cn.com/tousu/show/id/1342718")</f>
        <v>http://ts.21cn.com/tousu/show/id/1342718</v>
      </c>
      <c r="F11438" s="2" t="s">
        <v>11</v>
      </c>
      <c r="G11438" s="2" t="s">
        <v>21664</v>
      </c>
      <c r="H11438" s="2" t="s">
        <v>21665</v>
      </c>
    </row>
    <row r="11439" spans="1:8" ht="25.05" customHeight="1" x14ac:dyDescent="0.25">
      <c r="A11439" s="2" t="s">
        <v>8</v>
      </c>
      <c r="B11439" s="2" t="str">
        <f>HYPERLINK("http://ts.21cn.com/tousu/show/id/1342719","浦发信用卡人员之前暴力催收冒充她人跟我协商被我")</f>
        <v>浦发信用卡人员之前暴力催收冒充她人跟我协商被我</v>
      </c>
      <c r="C11439" s="2" t="s">
        <v>9</v>
      </c>
      <c r="D11439" s="2" t="s">
        <v>10</v>
      </c>
      <c r="E11439" s="2" t="str">
        <f>HYPERLINK("http://ts.21cn.com/tousu/show/id/1342719","http://ts.21cn.com/tousu/show/id/1342719")</f>
        <v>http://ts.21cn.com/tousu/show/id/1342719</v>
      </c>
      <c r="F11439" s="2" t="s">
        <v>11</v>
      </c>
      <c r="G11439" s="2" t="s">
        <v>21662</v>
      </c>
      <c r="H11439" s="2" t="s">
        <v>21663</v>
      </c>
    </row>
    <row r="11440" spans="1:8" ht="25.05" customHeight="1" x14ac:dyDescent="0.25">
      <c r="A11440" s="2" t="s">
        <v>8</v>
      </c>
      <c r="B11440" s="2" t="str">
        <f>HYPERLINK("http://ts.21cn.com/tousu/show/id/1342721","注册时没显示收费，成功用强制扣费")</f>
        <v>注册时没显示收费，成功用强制扣费</v>
      </c>
      <c r="C11440" s="2" t="s">
        <v>9</v>
      </c>
      <c r="D11440" s="2" t="s">
        <v>10</v>
      </c>
      <c r="E11440" s="2" t="str">
        <f>HYPERLINK("http://ts.21cn.com/tousu/show/id/1342721","http://ts.21cn.com/tousu/show/id/1342721")</f>
        <v>http://ts.21cn.com/tousu/show/id/1342721</v>
      </c>
      <c r="F11440" s="2" t="s">
        <v>11</v>
      </c>
      <c r="G11440" s="2" t="s">
        <v>21660</v>
      </c>
      <c r="H11440" s="2" t="s">
        <v>21661</v>
      </c>
    </row>
    <row r="11441" spans="1:8" ht="25.05" customHeight="1" x14ac:dyDescent="0.25">
      <c r="A11441" s="2" t="s">
        <v>8</v>
      </c>
      <c r="B11441" s="2" t="str">
        <f>HYPERLINK("http://ts.21cn.com/tousu/show/id/1342722","闪电借款超国家规定收费，暴力催收")</f>
        <v>闪电借款超国家规定收费，暴力催收</v>
      </c>
      <c r="C11441" s="2" t="s">
        <v>9</v>
      </c>
      <c r="D11441" s="2" t="s">
        <v>10</v>
      </c>
      <c r="E11441" s="2" t="str">
        <f>HYPERLINK("http://ts.21cn.com/tousu/show/id/1342722","http://ts.21cn.com/tousu/show/id/1342722")</f>
        <v>http://ts.21cn.com/tousu/show/id/1342722</v>
      </c>
      <c r="F11441" s="2" t="s">
        <v>11</v>
      </c>
      <c r="G11441" s="2" t="s">
        <v>21658</v>
      </c>
      <c r="H11441" s="2" t="s">
        <v>21659</v>
      </c>
    </row>
    <row r="11442" spans="1:8" ht="25.05" customHeight="1" x14ac:dyDescent="0.25">
      <c r="A11442" s="2" t="s">
        <v>8</v>
      </c>
      <c r="B11442" s="2" t="str">
        <f>HYPERLINK("http://ts.21cn.com/tousu/show/id/1342725","你我贷的钱我已经全部还了。请不要打电话了")</f>
        <v>你我贷的钱我已经全部还了。请不要打电话了</v>
      </c>
      <c r="C11442" s="2" t="s">
        <v>9</v>
      </c>
      <c r="D11442" s="2" t="s">
        <v>10</v>
      </c>
      <c r="E11442" s="2" t="str">
        <f>HYPERLINK("http://ts.21cn.com/tousu/show/id/1342725","http://ts.21cn.com/tousu/show/id/1342725")</f>
        <v>http://ts.21cn.com/tousu/show/id/1342725</v>
      </c>
      <c r="F11442" s="2" t="s">
        <v>11</v>
      </c>
      <c r="G11442" s="2" t="s">
        <v>21656</v>
      </c>
      <c r="H11442" s="2" t="s">
        <v>21657</v>
      </c>
    </row>
    <row r="11443" spans="1:8" ht="25.05" customHeight="1" x14ac:dyDescent="0.25">
      <c r="A11443" s="2" t="s">
        <v>8</v>
      </c>
      <c r="B11443" s="2" t="str">
        <f>HYPERLINK("http://ts.21cn.com/tousu/show/id/1342723","申请信用卡没经过我们允许。现在欠款找我们？？？")</f>
        <v>申请信用卡没经过我们允许。现在欠款找我们？？？</v>
      </c>
      <c r="C11443" s="2" t="s">
        <v>9</v>
      </c>
      <c r="D11443" s="2" t="s">
        <v>10</v>
      </c>
      <c r="E11443" s="2" t="str">
        <f>HYPERLINK("http://ts.21cn.com/tousu/show/id/1342723","http://ts.21cn.com/tousu/show/id/1342723")</f>
        <v>http://ts.21cn.com/tousu/show/id/1342723</v>
      </c>
      <c r="F11443" s="2" t="s">
        <v>11</v>
      </c>
      <c r="G11443" s="2" t="s">
        <v>21654</v>
      </c>
      <c r="H11443" s="2" t="s">
        <v>21655</v>
      </c>
    </row>
    <row r="11444" spans="1:8" ht="25.05" customHeight="1" x14ac:dyDescent="0.25">
      <c r="A11444" s="2" t="s">
        <v>8</v>
      </c>
      <c r="B11444" s="2" t="str">
        <f>HYPERLINK("http://ts.21cn.com/tousu/show/id/1342724","交通银行协商还款")</f>
        <v>交通银行协商还款</v>
      </c>
      <c r="C11444" s="2" t="s">
        <v>9</v>
      </c>
      <c r="D11444" s="2" t="s">
        <v>10</v>
      </c>
      <c r="E11444" s="2" t="str">
        <f>HYPERLINK("http://ts.21cn.com/tousu/show/id/1342724","http://ts.21cn.com/tousu/show/id/1342724")</f>
        <v>http://ts.21cn.com/tousu/show/id/1342724</v>
      </c>
      <c r="F11444" s="2" t="s">
        <v>11</v>
      </c>
      <c r="G11444" s="2" t="s">
        <v>21652</v>
      </c>
      <c r="H11444" s="2" t="s">
        <v>21653</v>
      </c>
    </row>
    <row r="11445" spans="1:8" ht="25.05" customHeight="1" x14ac:dyDescent="0.25">
      <c r="A11445" s="2" t="s">
        <v>8</v>
      </c>
      <c r="B11445" s="2" t="str">
        <f>HYPERLINK("http://ts.21cn.com/tousu/show/id/1342726","私自扣款")</f>
        <v>私自扣款</v>
      </c>
      <c r="C11445" s="2" t="s">
        <v>9</v>
      </c>
      <c r="D11445" s="2" t="s">
        <v>10</v>
      </c>
      <c r="E11445" s="2" t="str">
        <f>HYPERLINK("http://ts.21cn.com/tousu/show/id/1342726","http://ts.21cn.com/tousu/show/id/1342726")</f>
        <v>http://ts.21cn.com/tousu/show/id/1342726</v>
      </c>
      <c r="F11445" s="2" t="s">
        <v>11</v>
      </c>
      <c r="G11445" s="2" t="s">
        <v>21650</v>
      </c>
      <c r="H11445" s="2" t="s">
        <v>21651</v>
      </c>
    </row>
    <row r="11446" spans="1:8" ht="25.05" customHeight="1" x14ac:dyDescent="0.25">
      <c r="A11446" s="2" t="s">
        <v>8</v>
      </c>
      <c r="B11446" s="2" t="str">
        <f>HYPERLINK("http://ts.21cn.com/tousu/show/id/1342728","套路贷")</f>
        <v>套路贷</v>
      </c>
      <c r="C11446" s="2" t="s">
        <v>9</v>
      </c>
      <c r="D11446" s="2" t="s">
        <v>10</v>
      </c>
      <c r="E11446" s="2" t="str">
        <f>HYPERLINK("http://ts.21cn.com/tousu/show/id/1342728","http://ts.21cn.com/tousu/show/id/1342728")</f>
        <v>http://ts.21cn.com/tousu/show/id/1342728</v>
      </c>
      <c r="F11446" s="2" t="s">
        <v>11</v>
      </c>
      <c r="G11446" s="2" t="s">
        <v>21648</v>
      </c>
      <c r="H11446" s="2" t="s">
        <v>21649</v>
      </c>
    </row>
    <row r="11447" spans="1:8" ht="25.05" customHeight="1" x14ac:dyDescent="0.25">
      <c r="A11447" s="2" t="s">
        <v>8</v>
      </c>
      <c r="B11447" s="2" t="str">
        <f>HYPERLINK("http://ts.21cn.com/tousu/show/id/1342727","高德客服连续2次给我发送错误的打车发票")</f>
        <v>高德客服连续2次给我发送错误的打车发票</v>
      </c>
      <c r="C11447" s="2" t="s">
        <v>34</v>
      </c>
      <c r="D11447" s="2" t="s">
        <v>10</v>
      </c>
      <c r="E11447" s="2" t="str">
        <f>HYPERLINK("http://ts.21cn.com/tousu/show/id/1342727","http://ts.21cn.com/tousu/show/id/1342727")</f>
        <v>http://ts.21cn.com/tousu/show/id/1342727</v>
      </c>
      <c r="F11447" s="2" t="s">
        <v>11</v>
      </c>
      <c r="G11447" s="2" t="s">
        <v>21646</v>
      </c>
      <c r="H11447" s="2" t="s">
        <v>21647</v>
      </c>
    </row>
    <row r="11448" spans="1:8" ht="25.05" customHeight="1" x14ac:dyDescent="0.25">
      <c r="A11448" s="2" t="s">
        <v>8</v>
      </c>
      <c r="B11448" s="2" t="str">
        <f>HYPERLINK("http://ts.21cn.com/tousu/show/id/1342729","诱导用户开通会员")</f>
        <v>诱导用户开通会员</v>
      </c>
      <c r="C11448" s="2" t="s">
        <v>9</v>
      </c>
      <c r="D11448" s="2" t="s">
        <v>10</v>
      </c>
      <c r="E11448" s="2" t="str">
        <f>HYPERLINK("http://ts.21cn.com/tousu/show/id/1342729","http://ts.21cn.com/tousu/show/id/1342729")</f>
        <v>http://ts.21cn.com/tousu/show/id/1342729</v>
      </c>
      <c r="F11448" s="2" t="s">
        <v>11</v>
      </c>
      <c r="G11448" s="2" t="s">
        <v>21643</v>
      </c>
      <c r="H11448" s="2" t="s">
        <v>21644</v>
      </c>
    </row>
    <row r="11449" spans="1:8" ht="25.05" customHeight="1" x14ac:dyDescent="0.25">
      <c r="A11449" s="2" t="s">
        <v>8</v>
      </c>
      <c r="B11449" s="2" t="str">
        <f>HYPERLINK("http://ts.21cn.com/tousu/show/id/1342730","莫名其妙的蚂蚁花呗就不能用来购买东西，，希望能处理一下，要不然影响正常")</f>
        <v>莫名其妙的蚂蚁花呗就不能用来购买东西，，希望能处理一下，要不然影响正常</v>
      </c>
      <c r="C11449" s="2" t="s">
        <v>9</v>
      </c>
      <c r="D11449" s="2" t="s">
        <v>10</v>
      </c>
      <c r="E11449" s="2" t="str">
        <f>HYPERLINK("http://ts.21cn.com/tousu/show/id/1342730","http://ts.21cn.com/tousu/show/id/1342730")</f>
        <v>http://ts.21cn.com/tousu/show/id/1342730</v>
      </c>
      <c r="F11449" s="2" t="s">
        <v>11</v>
      </c>
      <c r="G11449" s="2" t="s">
        <v>21643</v>
      </c>
      <c r="H11449" s="2" t="s">
        <v>21645</v>
      </c>
    </row>
    <row r="11450" spans="1:8" ht="25.05" customHeight="1" x14ac:dyDescent="0.25">
      <c r="A11450" s="2" t="s">
        <v>8</v>
      </c>
      <c r="B11450" s="2" t="str">
        <f>HYPERLINK("http://ts.21cn.com/tousu/show/id/1342731","百事普惠恶意扣款")</f>
        <v>百事普惠恶意扣款</v>
      </c>
      <c r="C11450" s="2" t="s">
        <v>9</v>
      </c>
      <c r="D11450" s="2" t="s">
        <v>10</v>
      </c>
      <c r="E11450" s="2" t="str">
        <f>HYPERLINK("http://ts.21cn.com/tousu/show/id/1342731","http://ts.21cn.com/tousu/show/id/1342731")</f>
        <v>http://ts.21cn.com/tousu/show/id/1342731</v>
      </c>
      <c r="F11450" s="2" t="s">
        <v>11</v>
      </c>
      <c r="G11450" s="2" t="s">
        <v>21641</v>
      </c>
      <c r="H11450" s="2" t="s">
        <v>21642</v>
      </c>
    </row>
    <row r="11451" spans="1:8" ht="25.05" customHeight="1" x14ac:dyDescent="0.25">
      <c r="A11451" s="2" t="s">
        <v>8</v>
      </c>
      <c r="B11451" s="2" t="str">
        <f>HYPERLINK("http://ts.21cn.com/tousu/show/id/1342732","拼多多以虚假发货跟欺诈发货对我店铺进行30多万的罚款与租金冻结")</f>
        <v>拼多多以虚假发货跟欺诈发货对我店铺进行30多万的罚款与租金冻结</v>
      </c>
      <c r="C11451" s="2" t="s">
        <v>9</v>
      </c>
      <c r="D11451" s="2" t="s">
        <v>10</v>
      </c>
      <c r="E11451" s="2" t="str">
        <f>HYPERLINK("http://ts.21cn.com/tousu/show/id/1342732","http://ts.21cn.com/tousu/show/id/1342732")</f>
        <v>http://ts.21cn.com/tousu/show/id/1342732</v>
      </c>
      <c r="F11451" s="2" t="s">
        <v>11</v>
      </c>
      <c r="G11451" s="2" t="s">
        <v>21639</v>
      </c>
      <c r="H11451" s="2" t="s">
        <v>21640</v>
      </c>
    </row>
    <row r="11452" spans="1:8" ht="25.05" customHeight="1" x14ac:dyDescent="0.25">
      <c r="A11452" s="2" t="s">
        <v>8</v>
      </c>
      <c r="B11452" s="2" t="str">
        <f>HYPERLINK("http://ts.21cn.com/tousu/show/id/1342733","小浦优客为714高炮提供支付通道")</f>
        <v>小浦优客为714高炮提供支付通道</v>
      </c>
      <c r="C11452" s="2" t="s">
        <v>9</v>
      </c>
      <c r="D11452" s="2" t="s">
        <v>10</v>
      </c>
      <c r="E11452" s="2" t="str">
        <f>HYPERLINK("http://ts.21cn.com/tousu/show/id/1342733","http://ts.21cn.com/tousu/show/id/1342733")</f>
        <v>http://ts.21cn.com/tousu/show/id/1342733</v>
      </c>
      <c r="F11452" s="2" t="s">
        <v>11</v>
      </c>
      <c r="G11452" s="2" t="s">
        <v>21637</v>
      </c>
      <c r="H11452" s="2" t="s">
        <v>21638</v>
      </c>
    </row>
    <row r="11453" spans="1:8" ht="25.05" customHeight="1" x14ac:dyDescent="0.25">
      <c r="A11453" s="2" t="s">
        <v>8</v>
      </c>
      <c r="B11453" s="2" t="str">
        <f>HYPERLINK("http://ts.21cn.com/tousu/show/id/1342734","砍头息，刚逾期2天，")</f>
        <v>砍头息，刚逾期2天，</v>
      </c>
      <c r="C11453" s="2" t="s">
        <v>9</v>
      </c>
      <c r="D11453" s="2" t="s">
        <v>10</v>
      </c>
      <c r="E11453" s="2" t="str">
        <f>HYPERLINK("http://ts.21cn.com/tousu/show/id/1342734","http://ts.21cn.com/tousu/show/id/1342734")</f>
        <v>http://ts.21cn.com/tousu/show/id/1342734</v>
      </c>
      <c r="F11453" s="2" t="s">
        <v>11</v>
      </c>
      <c r="G11453" s="2" t="s">
        <v>21635</v>
      </c>
      <c r="H11453" s="2" t="s">
        <v>21636</v>
      </c>
    </row>
    <row r="11454" spans="1:8" ht="25.05" customHeight="1" x14ac:dyDescent="0.25">
      <c r="A11454" s="2" t="s">
        <v>8</v>
      </c>
      <c r="B11454" s="2" t="str">
        <f>HYPERLINK("http://ts.21cn.com/tousu/show/id/1342735","陌陌充值错误，要求退款")</f>
        <v>陌陌充值错误，要求退款</v>
      </c>
      <c r="C11454" s="2" t="s">
        <v>34</v>
      </c>
      <c r="D11454" s="2" t="s">
        <v>10</v>
      </c>
      <c r="E11454" s="2" t="str">
        <f>HYPERLINK("http://ts.21cn.com/tousu/show/id/1342735","http://ts.21cn.com/tousu/show/id/1342735")</f>
        <v>http://ts.21cn.com/tousu/show/id/1342735</v>
      </c>
      <c r="F11454" s="2" t="s">
        <v>11</v>
      </c>
      <c r="G11454" s="2" t="s">
        <v>21633</v>
      </c>
      <c r="H11454" s="2" t="s">
        <v>21634</v>
      </c>
    </row>
    <row r="11455" spans="1:8" ht="25.05" customHeight="1" x14ac:dyDescent="0.25">
      <c r="A11455" s="2" t="s">
        <v>8</v>
      </c>
      <c r="B11455" s="2" t="str">
        <f>HYPERLINK("http://ts.21cn.com/tousu/show/id/1342737","随你分期7天高炮收砍头息")</f>
        <v>随你分期7天高炮收砍头息</v>
      </c>
      <c r="C11455" s="2" t="s">
        <v>34</v>
      </c>
      <c r="D11455" s="2" t="s">
        <v>10</v>
      </c>
      <c r="E11455" s="2" t="str">
        <f>HYPERLINK("http://ts.21cn.com/tousu/show/id/1342737","http://ts.21cn.com/tousu/show/id/1342737")</f>
        <v>http://ts.21cn.com/tousu/show/id/1342737</v>
      </c>
      <c r="F11455" s="2" t="s">
        <v>11</v>
      </c>
      <c r="G11455" s="2" t="s">
        <v>21631</v>
      </c>
      <c r="H11455" s="2" t="s">
        <v>21632</v>
      </c>
    </row>
    <row r="11456" spans="1:8" ht="25.05" customHeight="1" x14ac:dyDescent="0.25">
      <c r="A11456" s="2" t="s">
        <v>8</v>
      </c>
      <c r="B11456" s="2" t="str">
        <f>HYPERLINK("http://ts.21cn.com/tousu/show/id/1342740","买卖账号被骗")</f>
        <v>买卖账号被骗</v>
      </c>
      <c r="C11456" s="2" t="s">
        <v>9</v>
      </c>
      <c r="D11456" s="2" t="s">
        <v>10</v>
      </c>
      <c r="E11456" s="2" t="str">
        <f>HYPERLINK("http://ts.21cn.com/tousu/show/id/1342740","http://ts.21cn.com/tousu/show/id/1342740")</f>
        <v>http://ts.21cn.com/tousu/show/id/1342740</v>
      </c>
      <c r="F11456" s="2" t="s">
        <v>11</v>
      </c>
      <c r="G11456" s="2" t="s">
        <v>21627</v>
      </c>
      <c r="H11456" s="2" t="s">
        <v>21628</v>
      </c>
    </row>
    <row r="11457" spans="1:8" ht="25.05" customHeight="1" x14ac:dyDescent="0.25">
      <c r="A11457" s="2" t="s">
        <v>8</v>
      </c>
      <c r="B11457" s="2" t="str">
        <f>HYPERLINK("http://ts.21cn.com/tousu/show/id/1342742","小浦优客在我不知情的情况下私扣余额")</f>
        <v>小浦优客在我不知情的情况下私扣余额</v>
      </c>
      <c r="C11457" s="2" t="s">
        <v>9</v>
      </c>
      <c r="D11457" s="2" t="s">
        <v>10</v>
      </c>
      <c r="E11457" s="2" t="str">
        <f>HYPERLINK("http://ts.21cn.com/tousu/show/id/1342742","http://ts.21cn.com/tousu/show/id/1342742")</f>
        <v>http://ts.21cn.com/tousu/show/id/1342742</v>
      </c>
      <c r="F11457" s="2" t="s">
        <v>11</v>
      </c>
      <c r="G11457" s="2" t="s">
        <v>21627</v>
      </c>
      <c r="H11457" s="2" t="s">
        <v>21629</v>
      </c>
    </row>
    <row r="11458" spans="1:8" ht="25.05" customHeight="1" x14ac:dyDescent="0.25">
      <c r="A11458" s="2" t="s">
        <v>8</v>
      </c>
      <c r="B11458" s="2" t="str">
        <f>HYPERLINK("http://ts.21cn.com/tousu/show/id/1342741","上海造艺科技恶意扣款，请求退款！")</f>
        <v>上海造艺科技恶意扣款，请求退款！</v>
      </c>
      <c r="C11458" s="2" t="s">
        <v>9</v>
      </c>
      <c r="D11458" s="2" t="s">
        <v>10</v>
      </c>
      <c r="E11458" s="2" t="str">
        <f>HYPERLINK("http://ts.21cn.com/tousu/show/id/1342741","http://ts.21cn.com/tousu/show/id/1342741")</f>
        <v>http://ts.21cn.com/tousu/show/id/1342741</v>
      </c>
      <c r="F11458" s="2" t="s">
        <v>11</v>
      </c>
      <c r="G11458" s="2" t="s">
        <v>21627</v>
      </c>
      <c r="H11458" s="2" t="s">
        <v>21630</v>
      </c>
    </row>
    <row r="11459" spans="1:8" ht="25.05" customHeight="1" x14ac:dyDescent="0.25">
      <c r="A11459" s="2" t="s">
        <v>8</v>
      </c>
      <c r="B11459" s="2" t="str">
        <f>HYPERLINK("http://ts.21cn.com/tousu/show/id/1342738","经常发假的律师函还有寄纸制的到家里还有乡下村委会，严重影响")</f>
        <v>经常发假的律师函还有寄纸制的到家里还有乡下村委会，严重影响</v>
      </c>
      <c r="C11459" s="2" t="s">
        <v>9</v>
      </c>
      <c r="D11459" s="2" t="s">
        <v>10</v>
      </c>
      <c r="E11459" s="2" t="str">
        <f>HYPERLINK("http://ts.21cn.com/tousu/show/id/1342738","http://ts.21cn.com/tousu/show/id/1342738")</f>
        <v>http://ts.21cn.com/tousu/show/id/1342738</v>
      </c>
      <c r="F11459" s="2" t="s">
        <v>11</v>
      </c>
      <c r="G11459" s="2" t="s">
        <v>21625</v>
      </c>
      <c r="H11459" s="2" t="s">
        <v>21626</v>
      </c>
    </row>
    <row r="11460" spans="1:8" ht="25.05" customHeight="1" x14ac:dyDescent="0.25">
      <c r="A11460" s="2" t="s">
        <v>8</v>
      </c>
      <c r="B11460" s="2" t="str">
        <f>HYPERLINK("http://ts.21cn.com/tousu/show/id/1342713","信用管家里的云享贷通过易宝支付，收取高额砍头息")</f>
        <v>信用管家里的云享贷通过易宝支付，收取高额砍头息</v>
      </c>
      <c r="C11460" s="2" t="s">
        <v>9</v>
      </c>
      <c r="D11460" s="2" t="s">
        <v>10</v>
      </c>
      <c r="E11460" s="2" t="str">
        <f>HYPERLINK("http://ts.21cn.com/tousu/show/id/1342713","http://ts.21cn.com/tousu/show/id/1342713")</f>
        <v>http://ts.21cn.com/tousu/show/id/1342713</v>
      </c>
      <c r="F11460" s="2" t="s">
        <v>11</v>
      </c>
      <c r="G11460" s="2" t="s">
        <v>21623</v>
      </c>
      <c r="H11460" s="2" t="s">
        <v>21624</v>
      </c>
    </row>
    <row r="11461" spans="1:8" ht="25.05" customHeight="1" x14ac:dyDescent="0.25">
      <c r="A11461" s="2" t="s">
        <v>8</v>
      </c>
      <c r="B11461" s="2" t="str">
        <f>HYPERLINK("http://ts.21cn.com/tousu/show/id/1342743","账户金额解冻并提现成功")</f>
        <v>账户金额解冻并提现成功</v>
      </c>
      <c r="C11461" s="2" t="s">
        <v>34</v>
      </c>
      <c r="D11461" s="2" t="s">
        <v>10</v>
      </c>
      <c r="E11461" s="2" t="str">
        <f>HYPERLINK("http://ts.21cn.com/tousu/show/id/1342743","http://ts.21cn.com/tousu/show/id/1342743")</f>
        <v>http://ts.21cn.com/tousu/show/id/1342743</v>
      </c>
      <c r="F11461" s="2" t="s">
        <v>11</v>
      </c>
      <c r="G11461" s="2" t="s">
        <v>21621</v>
      </c>
      <c r="H11461" s="2" t="s">
        <v>21622</v>
      </c>
    </row>
    <row r="11462" spans="1:8" ht="25.05" customHeight="1" x14ac:dyDescent="0.25">
      <c r="A11462" s="2" t="s">
        <v>8</v>
      </c>
      <c r="B11462" s="2" t="str">
        <f>HYPERLINK("http://ts.21cn.com/tousu/show/id/1342744","网贷变相收费")</f>
        <v>网贷变相收费</v>
      </c>
      <c r="C11462" s="2" t="s">
        <v>9</v>
      </c>
      <c r="D11462" s="2" t="s">
        <v>10</v>
      </c>
      <c r="E11462" s="2" t="str">
        <f>HYPERLINK("http://ts.21cn.com/tousu/show/id/1342744","http://ts.21cn.com/tousu/show/id/1342744")</f>
        <v>http://ts.21cn.com/tousu/show/id/1342744</v>
      </c>
      <c r="F11462" s="2" t="s">
        <v>11</v>
      </c>
      <c r="G11462" s="2" t="s">
        <v>21619</v>
      </c>
      <c r="H11462" s="2" t="s">
        <v>21620</v>
      </c>
    </row>
    <row r="11463" spans="1:8" ht="25.05" customHeight="1" x14ac:dyDescent="0.25">
      <c r="A11463" s="2" t="s">
        <v>8</v>
      </c>
      <c r="B11463" s="2" t="str">
        <f>HYPERLINK("http://ts.21cn.com/tousu/show/id/1342745","逾期款项协商还款，")</f>
        <v>逾期款项协商还款，</v>
      </c>
      <c r="C11463" s="2" t="s">
        <v>34</v>
      </c>
      <c r="D11463" s="2" t="s">
        <v>10</v>
      </c>
      <c r="E11463" s="2" t="str">
        <f>HYPERLINK("http://ts.21cn.com/tousu/show/id/1342745","http://ts.21cn.com/tousu/show/id/1342745")</f>
        <v>http://ts.21cn.com/tousu/show/id/1342745</v>
      </c>
      <c r="F11463" s="2" t="s">
        <v>11</v>
      </c>
      <c r="G11463" s="2" t="s">
        <v>21617</v>
      </c>
      <c r="H11463" s="2" t="s">
        <v>21618</v>
      </c>
    </row>
    <row r="11464" spans="1:8" ht="25.05" customHeight="1" x14ac:dyDescent="0.25">
      <c r="A11464" s="2" t="s">
        <v>8</v>
      </c>
      <c r="B11464" s="2" t="str">
        <f>HYPERLINK("http://ts.21cn.com/tousu/show/id/1342746","恶劣的霸王条款，不予退款，欺诈行为")</f>
        <v>恶劣的霸王条款，不予退款，欺诈行为</v>
      </c>
      <c r="C11464" s="2" t="s">
        <v>9</v>
      </c>
      <c r="D11464" s="2" t="s">
        <v>10</v>
      </c>
      <c r="E11464" s="2" t="str">
        <f>HYPERLINK("http://ts.21cn.com/tousu/show/id/1342746","http://ts.21cn.com/tousu/show/id/1342746")</f>
        <v>http://ts.21cn.com/tousu/show/id/1342746</v>
      </c>
      <c r="F11464" s="2" t="s">
        <v>11</v>
      </c>
      <c r="G11464" s="2" t="s">
        <v>21615</v>
      </c>
      <c r="H11464" s="2" t="s">
        <v>21616</v>
      </c>
    </row>
    <row r="11465" spans="1:8" ht="25.05" customHeight="1" x14ac:dyDescent="0.25">
      <c r="A11465" s="2" t="s">
        <v>8</v>
      </c>
      <c r="B11465" s="2" t="str">
        <f>HYPERLINK("http://ts.21cn.com/tousu/show/id/1342747","饿了么拖欠工资")</f>
        <v>饿了么拖欠工资</v>
      </c>
      <c r="C11465" s="2" t="s">
        <v>9</v>
      </c>
      <c r="D11465" s="2" t="s">
        <v>10</v>
      </c>
      <c r="E11465" s="2" t="str">
        <f>HYPERLINK("http://ts.21cn.com/tousu/show/id/1342747","http://ts.21cn.com/tousu/show/id/1342747")</f>
        <v>http://ts.21cn.com/tousu/show/id/1342747</v>
      </c>
      <c r="F11465" s="2" t="s">
        <v>11</v>
      </c>
      <c r="G11465" s="2" t="s">
        <v>21613</v>
      </c>
      <c r="H11465" s="2" t="s">
        <v>21614</v>
      </c>
    </row>
    <row r="11466" spans="1:8" ht="25.05" customHeight="1" x14ac:dyDescent="0.25">
      <c r="A11466" s="2" t="s">
        <v>8</v>
      </c>
      <c r="B11466" s="2" t="str">
        <f>HYPERLINK("http://ts.21cn.com/tousu/show/id/1342748","百联优力作为第三方支付平台给非法赌博平台提供支付渠道")</f>
        <v>百联优力作为第三方支付平台给非法赌博平台提供支付渠道</v>
      </c>
      <c r="C11466" s="2" t="s">
        <v>9</v>
      </c>
      <c r="D11466" s="2" t="s">
        <v>10</v>
      </c>
      <c r="E11466" s="2" t="str">
        <f>HYPERLINK("http://ts.21cn.com/tousu/show/id/1342748","http://ts.21cn.com/tousu/show/id/1342748")</f>
        <v>http://ts.21cn.com/tousu/show/id/1342748</v>
      </c>
      <c r="F11466" s="2" t="s">
        <v>11</v>
      </c>
      <c r="G11466" s="2" t="s">
        <v>21611</v>
      </c>
      <c r="H11466" s="2" t="s">
        <v>21612</v>
      </c>
    </row>
    <row r="11467" spans="1:8" ht="25.05" customHeight="1" x14ac:dyDescent="0.25">
      <c r="A11467" s="2" t="s">
        <v>8</v>
      </c>
      <c r="B11467" s="2" t="str">
        <f>HYPERLINK("http://ts.21cn.com/tousu/show/id/1342749","钱站高利贷阴阳合同")</f>
        <v>钱站高利贷阴阳合同</v>
      </c>
      <c r="C11467" s="2" t="s">
        <v>9</v>
      </c>
      <c r="D11467" s="2" t="s">
        <v>10</v>
      </c>
      <c r="E11467" s="2" t="str">
        <f>HYPERLINK("http://ts.21cn.com/tousu/show/id/1342749","http://ts.21cn.com/tousu/show/id/1342749")</f>
        <v>http://ts.21cn.com/tousu/show/id/1342749</v>
      </c>
      <c r="F11467" s="2" t="s">
        <v>11</v>
      </c>
      <c r="G11467" s="2" t="s">
        <v>21609</v>
      </c>
      <c r="H11467" s="2" t="s">
        <v>21610</v>
      </c>
    </row>
    <row r="11468" spans="1:8" ht="25.05" customHeight="1" x14ac:dyDescent="0.25">
      <c r="A11468" s="2" t="s">
        <v>8</v>
      </c>
      <c r="B11468" s="2" t="str">
        <f>HYPERLINK("http://ts.21cn.com/tousu/show/id/1342750","中国平安普惠高利贷/暴力催收/威胁狠话")</f>
        <v>中国平安普惠高利贷/暴力催收/威胁狠话</v>
      </c>
      <c r="C11468" s="2" t="s">
        <v>9</v>
      </c>
      <c r="D11468" s="2" t="s">
        <v>10</v>
      </c>
      <c r="E11468" s="2" t="str">
        <f>HYPERLINK("http://ts.21cn.com/tousu/show/id/1342750","http://ts.21cn.com/tousu/show/id/1342750")</f>
        <v>http://ts.21cn.com/tousu/show/id/1342750</v>
      </c>
      <c r="F11468" s="2" t="s">
        <v>11</v>
      </c>
      <c r="G11468" s="2" t="s">
        <v>21607</v>
      </c>
      <c r="H11468" s="2" t="s">
        <v>21608</v>
      </c>
    </row>
    <row r="11469" spans="1:8" ht="25.05" customHeight="1" x14ac:dyDescent="0.25">
      <c r="A11469" s="2" t="s">
        <v>8</v>
      </c>
      <c r="B11469" s="2" t="str">
        <f>HYPERLINK("http://ts.21cn.com/tousu/show/id/1342751","请百联优力退款")</f>
        <v>请百联优力退款</v>
      </c>
      <c r="C11469" s="2" t="s">
        <v>9</v>
      </c>
      <c r="D11469" s="2" t="s">
        <v>10</v>
      </c>
      <c r="E11469" s="2" t="str">
        <f>HYPERLINK("http://ts.21cn.com/tousu/show/id/1342751","http://ts.21cn.com/tousu/show/id/1342751")</f>
        <v>http://ts.21cn.com/tousu/show/id/1342751</v>
      </c>
      <c r="F11469" s="2" t="s">
        <v>11</v>
      </c>
      <c r="G11469" s="2" t="s">
        <v>21605</v>
      </c>
      <c r="H11469" s="2" t="s">
        <v>21606</v>
      </c>
    </row>
    <row r="11470" spans="1:8" ht="25.05" customHeight="1" x14ac:dyDescent="0.25">
      <c r="A11470" s="2" t="s">
        <v>8</v>
      </c>
      <c r="B11470" s="2" t="str">
        <f>HYPERLINK("http://ts.21cn.com/tousu/show/id/1342752","小电充电宝设坑乱收费")</f>
        <v>小电充电宝设坑乱收费</v>
      </c>
      <c r="C11470" s="2" t="s">
        <v>9</v>
      </c>
      <c r="D11470" s="2" t="s">
        <v>10</v>
      </c>
      <c r="E11470" s="2" t="str">
        <f>HYPERLINK("http://ts.21cn.com/tousu/show/id/1342752","http://ts.21cn.com/tousu/show/id/1342752")</f>
        <v>http://ts.21cn.com/tousu/show/id/1342752</v>
      </c>
      <c r="F11470" s="2" t="s">
        <v>11</v>
      </c>
      <c r="G11470" s="2" t="s">
        <v>21603</v>
      </c>
      <c r="H11470" s="2" t="s">
        <v>21604</v>
      </c>
    </row>
    <row r="11471" spans="1:8" ht="25.05" customHeight="1" x14ac:dyDescent="0.25">
      <c r="A11471" s="2" t="s">
        <v>8</v>
      </c>
      <c r="B11471" s="2" t="str">
        <f>HYPERLINK("http://ts.21cn.com/tousu/show/id/1342753","高利贷，阴阳合同，暴力催收")</f>
        <v>高利贷，阴阳合同，暴力催收</v>
      </c>
      <c r="C11471" s="2" t="s">
        <v>9</v>
      </c>
      <c r="D11471" s="2" t="s">
        <v>10</v>
      </c>
      <c r="E11471" s="2" t="str">
        <f>HYPERLINK("http://ts.21cn.com/tousu/show/id/1342753","http://ts.21cn.com/tousu/show/id/1342753")</f>
        <v>http://ts.21cn.com/tousu/show/id/1342753</v>
      </c>
      <c r="F11471" s="2" t="s">
        <v>11</v>
      </c>
      <c r="G11471" s="2" t="s">
        <v>21601</v>
      </c>
      <c r="H11471" s="2" t="s">
        <v>21602</v>
      </c>
    </row>
    <row r="11472" spans="1:8" ht="25.05" customHeight="1" x14ac:dyDescent="0.25">
      <c r="A11472" s="2" t="s">
        <v>8</v>
      </c>
      <c r="B11472" s="2" t="str">
        <f>HYPERLINK("http://ts.21cn.com/tousu/show/id/1342754","联通手机号给移动发不出短信")</f>
        <v>联通手机号给移动发不出短信</v>
      </c>
      <c r="C11472" s="2" t="s">
        <v>9</v>
      </c>
      <c r="D11472" s="2" t="s">
        <v>10</v>
      </c>
      <c r="E11472" s="2" t="str">
        <f>HYPERLINK("http://ts.21cn.com/tousu/show/id/1342754","http://ts.21cn.com/tousu/show/id/1342754")</f>
        <v>http://ts.21cn.com/tousu/show/id/1342754</v>
      </c>
      <c r="F11472" s="2" t="s">
        <v>11</v>
      </c>
      <c r="G11472" s="2" t="s">
        <v>21599</v>
      </c>
      <c r="H11472" s="2" t="s">
        <v>21600</v>
      </c>
    </row>
    <row r="11473" spans="1:8" ht="25.05" customHeight="1" x14ac:dyDescent="0.25">
      <c r="A11473" s="2" t="s">
        <v>8</v>
      </c>
      <c r="B11473" s="2" t="str">
        <f>HYPERLINK("http://ts.21cn.com/tousu/show/id/1342755","暴力催收，骚扰，恐吓")</f>
        <v>暴力催收，骚扰，恐吓</v>
      </c>
      <c r="C11473" s="2" t="s">
        <v>9</v>
      </c>
      <c r="D11473" s="2" t="s">
        <v>10</v>
      </c>
      <c r="E11473" s="2" t="str">
        <f>HYPERLINK("http://ts.21cn.com/tousu/show/id/1342755","http://ts.21cn.com/tousu/show/id/1342755")</f>
        <v>http://ts.21cn.com/tousu/show/id/1342755</v>
      </c>
      <c r="F11473" s="2" t="s">
        <v>11</v>
      </c>
      <c r="G11473" s="2" t="s">
        <v>21597</v>
      </c>
      <c r="H11473" s="2" t="s">
        <v>21598</v>
      </c>
    </row>
    <row r="11474" spans="1:8" ht="25.05" customHeight="1" x14ac:dyDescent="0.25">
      <c r="A11474" s="2" t="s">
        <v>8</v>
      </c>
      <c r="B11474" s="2" t="str">
        <f>HYPERLINK("http://ts.21cn.com/tousu/show/id/1342757","来电充电乱收费")</f>
        <v>来电充电乱收费</v>
      </c>
      <c r="C11474" s="2" t="s">
        <v>9</v>
      </c>
      <c r="D11474" s="2" t="s">
        <v>10</v>
      </c>
      <c r="E11474" s="2" t="str">
        <f>HYPERLINK("http://ts.21cn.com/tousu/show/id/1342757","http://ts.21cn.com/tousu/show/id/1342757")</f>
        <v>http://ts.21cn.com/tousu/show/id/1342757</v>
      </c>
      <c r="F11474" s="2" t="s">
        <v>11</v>
      </c>
      <c r="G11474" s="2" t="s">
        <v>21595</v>
      </c>
      <c r="H11474" s="2" t="s">
        <v>21596</v>
      </c>
    </row>
    <row r="11475" spans="1:8" ht="25.05" customHeight="1" x14ac:dyDescent="0.25">
      <c r="A11475" s="2" t="s">
        <v>8</v>
      </c>
      <c r="B11475" s="2" t="str">
        <f>HYPERLINK("http://ts.21cn.com/tousu/show/id/1342758","商家不退款，客服不作为。不积极协助处理")</f>
        <v>商家不退款，客服不作为。不积极协助处理</v>
      </c>
      <c r="C11475" s="2" t="s">
        <v>9</v>
      </c>
      <c r="D11475" s="2" t="s">
        <v>10</v>
      </c>
      <c r="E11475" s="2" t="str">
        <f>HYPERLINK("http://ts.21cn.com/tousu/show/id/1342758","http://ts.21cn.com/tousu/show/id/1342758")</f>
        <v>http://ts.21cn.com/tousu/show/id/1342758</v>
      </c>
      <c r="F11475" s="2" t="s">
        <v>11</v>
      </c>
      <c r="G11475" s="2" t="s">
        <v>21593</v>
      </c>
      <c r="H11475" s="2" t="s">
        <v>21594</v>
      </c>
    </row>
    <row r="11476" spans="1:8" ht="25.05" customHeight="1" x14ac:dyDescent="0.25">
      <c r="A11476" s="2" t="s">
        <v>8</v>
      </c>
      <c r="B11476" s="2" t="str">
        <f>HYPERLINK("http://ts.21cn.com/tousu/show/id/1342759","钱站违法砍头息，并且不能如约下款，还不给取消")</f>
        <v>钱站违法砍头息，并且不能如约下款，还不给取消</v>
      </c>
      <c r="C11476" s="2" t="s">
        <v>9</v>
      </c>
      <c r="D11476" s="2" t="s">
        <v>10</v>
      </c>
      <c r="E11476" s="2" t="str">
        <f>HYPERLINK("http://ts.21cn.com/tousu/show/id/1342759","http://ts.21cn.com/tousu/show/id/1342759")</f>
        <v>http://ts.21cn.com/tousu/show/id/1342759</v>
      </c>
      <c r="F11476" s="2" t="s">
        <v>11</v>
      </c>
      <c r="G11476" s="2" t="s">
        <v>21591</v>
      </c>
      <c r="H11476" s="2" t="s">
        <v>21592</v>
      </c>
    </row>
    <row r="11477" spans="1:8" ht="25.05" customHeight="1" x14ac:dyDescent="0.25">
      <c r="A11477" s="2" t="s">
        <v>8</v>
      </c>
      <c r="B11477" s="2" t="str">
        <f>HYPERLINK("http://ts.21cn.com/tousu/show/id/1342760","钱站高利贷阴阳合同")</f>
        <v>钱站高利贷阴阳合同</v>
      </c>
      <c r="C11477" s="2" t="s">
        <v>9</v>
      </c>
      <c r="D11477" s="2" t="s">
        <v>10</v>
      </c>
      <c r="E11477" s="2" t="str">
        <f>HYPERLINK("http://ts.21cn.com/tousu/show/id/1342760","http://ts.21cn.com/tousu/show/id/1342760")</f>
        <v>http://ts.21cn.com/tousu/show/id/1342760</v>
      </c>
      <c r="F11477" s="2" t="s">
        <v>11</v>
      </c>
      <c r="G11477" s="2" t="s">
        <v>21589</v>
      </c>
      <c r="H11477" s="2" t="s">
        <v>21590</v>
      </c>
    </row>
    <row r="11478" spans="1:8" ht="25.05" customHeight="1" x14ac:dyDescent="0.25">
      <c r="A11478" s="2" t="s">
        <v>8</v>
      </c>
      <c r="B11478" s="2" t="str">
        <f>HYPERLINK("http://ts.21cn.com/tousu/show/id/1342761","淘宝天猫店铺有消费欺诈行为")</f>
        <v>淘宝天猫店铺有消费欺诈行为</v>
      </c>
      <c r="C11478" s="2" t="s">
        <v>9</v>
      </c>
      <c r="D11478" s="2" t="s">
        <v>10</v>
      </c>
      <c r="E11478" s="2" t="str">
        <f>HYPERLINK("http://ts.21cn.com/tousu/show/id/1342761","http://ts.21cn.com/tousu/show/id/1342761")</f>
        <v>http://ts.21cn.com/tousu/show/id/1342761</v>
      </c>
      <c r="F11478" s="2" t="s">
        <v>11</v>
      </c>
      <c r="G11478" s="2" t="s">
        <v>21587</v>
      </c>
      <c r="H11478" s="2" t="s">
        <v>21588</v>
      </c>
    </row>
    <row r="11479" spans="1:8" ht="25.05" customHeight="1" x14ac:dyDescent="0.25">
      <c r="A11479" s="2" t="s">
        <v>8</v>
      </c>
      <c r="B11479" s="2" t="str">
        <f>HYPERLINK("http://ts.21cn.com/tousu/show/id/1342763","道歉清除负面协商结清相关贷款")</f>
        <v>道歉清除负面协商结清相关贷款</v>
      </c>
      <c r="C11479" s="2" t="s">
        <v>9</v>
      </c>
      <c r="D11479" s="2" t="s">
        <v>10</v>
      </c>
      <c r="E11479" s="2" t="str">
        <f>HYPERLINK("http://ts.21cn.com/tousu/show/id/1342763","http://ts.21cn.com/tousu/show/id/1342763")</f>
        <v>http://ts.21cn.com/tousu/show/id/1342763</v>
      </c>
      <c r="F11479" s="2" t="s">
        <v>11</v>
      </c>
      <c r="G11479" s="2" t="s">
        <v>21585</v>
      </c>
      <c r="H11479" s="2" t="s">
        <v>21586</v>
      </c>
    </row>
    <row r="11480" spans="1:8" ht="25.05" customHeight="1" x14ac:dyDescent="0.25">
      <c r="A11480" s="2" t="s">
        <v>8</v>
      </c>
      <c r="B11480" s="2" t="str">
        <f>HYPERLINK("http://ts.21cn.com/tousu/show/id/1342764","捆绑销售")</f>
        <v>捆绑销售</v>
      </c>
      <c r="C11480" s="2" t="s">
        <v>9</v>
      </c>
      <c r="D11480" s="2" t="s">
        <v>10</v>
      </c>
      <c r="E11480" s="2" t="str">
        <f>HYPERLINK("http://ts.21cn.com/tousu/show/id/1342764","http://ts.21cn.com/tousu/show/id/1342764")</f>
        <v>http://ts.21cn.com/tousu/show/id/1342764</v>
      </c>
      <c r="F11480" s="2" t="s">
        <v>11</v>
      </c>
      <c r="G11480" s="2" t="s">
        <v>21583</v>
      </c>
      <c r="H11480" s="2" t="s">
        <v>21584</v>
      </c>
    </row>
    <row r="11481" spans="1:8" ht="25.05" customHeight="1" x14ac:dyDescent="0.25">
      <c r="A11481" s="2" t="s">
        <v>8</v>
      </c>
      <c r="B11481" s="2" t="str">
        <f>HYPERLINK("http://ts.21cn.com/tousu/show/id/1342766","投诉支付宝为赌博平台提供充值渠道")</f>
        <v>投诉支付宝为赌博平台提供充值渠道</v>
      </c>
      <c r="C11481" s="2" t="s">
        <v>9</v>
      </c>
      <c r="D11481" s="2" t="s">
        <v>10</v>
      </c>
      <c r="E11481" s="2" t="str">
        <f>HYPERLINK("http://ts.21cn.com/tousu/show/id/1342766","http://ts.21cn.com/tousu/show/id/1342766")</f>
        <v>http://ts.21cn.com/tousu/show/id/1342766</v>
      </c>
      <c r="F11481" s="2" t="s">
        <v>11</v>
      </c>
      <c r="G11481" s="2" t="s">
        <v>21581</v>
      </c>
      <c r="H11481" s="2" t="s">
        <v>21582</v>
      </c>
    </row>
    <row r="11482" spans="1:8" ht="25.05" customHeight="1" x14ac:dyDescent="0.25">
      <c r="A11482" s="2" t="s">
        <v>8</v>
      </c>
      <c r="B11482" s="2" t="str">
        <f>HYPERLINK("http://ts.21cn.com/tousu/show/id/1342767","丽人汇逾期一天393利息")</f>
        <v>丽人汇逾期一天393利息</v>
      </c>
      <c r="C11482" s="2" t="s">
        <v>34</v>
      </c>
      <c r="D11482" s="2" t="s">
        <v>10</v>
      </c>
      <c r="E11482" s="2" t="str">
        <f>HYPERLINK("http://ts.21cn.com/tousu/show/id/1342767","http://ts.21cn.com/tousu/show/id/1342767")</f>
        <v>http://ts.21cn.com/tousu/show/id/1342767</v>
      </c>
      <c r="F11482" s="2" t="s">
        <v>11</v>
      </c>
      <c r="G11482" s="2" t="s">
        <v>21579</v>
      </c>
      <c r="H11482" s="2" t="s">
        <v>21580</v>
      </c>
    </row>
    <row r="11483" spans="1:8" ht="25.05" customHeight="1" x14ac:dyDescent="0.25">
      <c r="A11483" s="2" t="s">
        <v>8</v>
      </c>
      <c r="B11483" s="2" t="str">
        <f>HYPERLINK("http://ts.21cn.com/tousu/show/id/1342768","赔偿方案不兑现")</f>
        <v>赔偿方案不兑现</v>
      </c>
      <c r="C11483" s="2" t="s">
        <v>9</v>
      </c>
      <c r="D11483" s="2" t="s">
        <v>10</v>
      </c>
      <c r="E11483" s="2" t="str">
        <f>HYPERLINK("http://ts.21cn.com/tousu/show/id/1342768","http://ts.21cn.com/tousu/show/id/1342768")</f>
        <v>http://ts.21cn.com/tousu/show/id/1342768</v>
      </c>
      <c r="F11483" s="2" t="s">
        <v>11</v>
      </c>
      <c r="G11483" s="2" t="s">
        <v>21577</v>
      </c>
      <c r="H11483" s="2" t="s">
        <v>21578</v>
      </c>
    </row>
    <row r="11484" spans="1:8" ht="25.05" customHeight="1" x14ac:dyDescent="0.25">
      <c r="A11484" s="2" t="s">
        <v>8</v>
      </c>
      <c r="B11484" s="2" t="str">
        <f>HYPERLINK("http://ts.21cn.com/tousu/show/id/1342769","钱站套路贷、阴阳合同、高利贷")</f>
        <v>钱站套路贷、阴阳合同、高利贷</v>
      </c>
      <c r="C11484" s="2" t="s">
        <v>9</v>
      </c>
      <c r="D11484" s="2" t="s">
        <v>10</v>
      </c>
      <c r="E11484" s="2" t="str">
        <f>HYPERLINK("http://ts.21cn.com/tousu/show/id/1342769","http://ts.21cn.com/tousu/show/id/1342769")</f>
        <v>http://ts.21cn.com/tousu/show/id/1342769</v>
      </c>
      <c r="F11484" s="2" t="s">
        <v>11</v>
      </c>
      <c r="G11484" s="2" t="s">
        <v>21575</v>
      </c>
      <c r="H11484" s="2" t="s">
        <v>21576</v>
      </c>
    </row>
    <row r="11485" spans="1:8" ht="25.05" customHeight="1" x14ac:dyDescent="0.25">
      <c r="A11485" s="2" t="s">
        <v>8</v>
      </c>
      <c r="B11485" s="2" t="str">
        <f>HYPERLINK("http://ts.21cn.com/tousu/show/id/1342770","私自扣费要求退还")</f>
        <v>私自扣费要求退还</v>
      </c>
      <c r="C11485" s="2" t="s">
        <v>9</v>
      </c>
      <c r="D11485" s="2" t="s">
        <v>10</v>
      </c>
      <c r="E11485" s="2" t="str">
        <f>HYPERLINK("http://ts.21cn.com/tousu/show/id/1342770","http://ts.21cn.com/tousu/show/id/1342770")</f>
        <v>http://ts.21cn.com/tousu/show/id/1342770</v>
      </c>
      <c r="F11485" s="2" t="s">
        <v>11</v>
      </c>
      <c r="G11485" s="2" t="s">
        <v>21573</v>
      </c>
      <c r="H11485" s="2" t="s">
        <v>21574</v>
      </c>
    </row>
    <row r="11486" spans="1:8" ht="25.05" customHeight="1" x14ac:dyDescent="0.25">
      <c r="A11486" s="2" t="s">
        <v>8</v>
      </c>
      <c r="B11486" s="2" t="str">
        <f>HYPERLINK("http://ts.21cn.com/tousu/show/id/1342771","时光分期高利贷")</f>
        <v>时光分期高利贷</v>
      </c>
      <c r="C11486" s="2" t="s">
        <v>9</v>
      </c>
      <c r="D11486" s="2" t="s">
        <v>10</v>
      </c>
      <c r="E11486" s="2" t="str">
        <f>HYPERLINK("http://ts.21cn.com/tousu/show/id/1342771","http://ts.21cn.com/tousu/show/id/1342771")</f>
        <v>http://ts.21cn.com/tousu/show/id/1342771</v>
      </c>
      <c r="F11486" s="2" t="s">
        <v>11</v>
      </c>
      <c r="G11486" s="2" t="s">
        <v>21571</v>
      </c>
      <c r="H11486" s="2" t="s">
        <v>21572</v>
      </c>
    </row>
    <row r="11487" spans="1:8" ht="25.05" customHeight="1" x14ac:dyDescent="0.25">
      <c r="A11487" s="2" t="s">
        <v>8</v>
      </c>
      <c r="B11487" s="2" t="str">
        <f>HYPERLINK("http://ts.21cn.com/tousu/show/id/1342772","平安信用卡")</f>
        <v>平安信用卡</v>
      </c>
      <c r="C11487" s="2" t="s">
        <v>9</v>
      </c>
      <c r="D11487" s="2" t="s">
        <v>10</v>
      </c>
      <c r="E11487" s="2" t="str">
        <f>HYPERLINK("http://ts.21cn.com/tousu/show/id/1342772","http://ts.21cn.com/tousu/show/id/1342772")</f>
        <v>http://ts.21cn.com/tousu/show/id/1342772</v>
      </c>
      <c r="F11487" s="2" t="s">
        <v>11</v>
      </c>
      <c r="G11487" s="2" t="s">
        <v>21569</v>
      </c>
      <c r="H11487" s="2" t="s">
        <v>21570</v>
      </c>
    </row>
    <row r="11488" spans="1:8" ht="25.05" customHeight="1" x14ac:dyDescent="0.25">
      <c r="A11488" s="2" t="s">
        <v>8</v>
      </c>
      <c r="B11488" s="2" t="str">
        <f>HYPERLINK("http://ts.21cn.com/tousu/show/id/1342773","兴业银行信用卡")</f>
        <v>兴业银行信用卡</v>
      </c>
      <c r="C11488" s="2" t="s">
        <v>9</v>
      </c>
      <c r="D11488" s="2" t="s">
        <v>10</v>
      </c>
      <c r="E11488" s="2" t="str">
        <f>HYPERLINK("http://ts.21cn.com/tousu/show/id/1342773","http://ts.21cn.com/tousu/show/id/1342773")</f>
        <v>http://ts.21cn.com/tousu/show/id/1342773</v>
      </c>
      <c r="F11488" s="2" t="s">
        <v>11</v>
      </c>
      <c r="G11488" s="2" t="s">
        <v>21567</v>
      </c>
      <c r="H11488" s="2" t="s">
        <v>21568</v>
      </c>
    </row>
    <row r="11489" spans="1:8" ht="25.05" customHeight="1" x14ac:dyDescent="0.25">
      <c r="A11489" s="2" t="s">
        <v>8</v>
      </c>
      <c r="B11489" s="2" t="str">
        <f>HYPERLINK("http://ts.21cn.com/tousu/show/id/1342774","二维码扫码支付未到账")</f>
        <v>二维码扫码支付未到账</v>
      </c>
      <c r="C11489" s="2" t="s">
        <v>34</v>
      </c>
      <c r="D11489" s="2" t="s">
        <v>10</v>
      </c>
      <c r="E11489" s="2" t="str">
        <f>HYPERLINK("http://ts.21cn.com/tousu/show/id/1342774","http://ts.21cn.com/tousu/show/id/1342774")</f>
        <v>http://ts.21cn.com/tousu/show/id/1342774</v>
      </c>
      <c r="F11489" s="2" t="s">
        <v>11</v>
      </c>
      <c r="G11489" s="2" t="s">
        <v>21565</v>
      </c>
      <c r="H11489" s="2" t="s">
        <v>21566</v>
      </c>
    </row>
    <row r="11490" spans="1:8" ht="25.05" customHeight="1" x14ac:dyDescent="0.25">
      <c r="A11490" s="2" t="s">
        <v>8</v>
      </c>
      <c r="B11490" s="2" t="str">
        <f>HYPERLINK("http://ts.21cn.com/tousu/show/id/1342775","暴力催收")</f>
        <v>暴力催收</v>
      </c>
      <c r="C11490" s="2" t="s">
        <v>9</v>
      </c>
      <c r="D11490" s="2" t="s">
        <v>10</v>
      </c>
      <c r="E11490" s="2" t="str">
        <f>HYPERLINK("http://ts.21cn.com/tousu/show/id/1342775","http://ts.21cn.com/tousu/show/id/1342775")</f>
        <v>http://ts.21cn.com/tousu/show/id/1342775</v>
      </c>
      <c r="F11490" s="2" t="s">
        <v>11</v>
      </c>
      <c r="G11490" s="2" t="s">
        <v>21563</v>
      </c>
      <c r="H11490" s="2" t="s">
        <v>21564</v>
      </c>
    </row>
    <row r="11491" spans="1:8" ht="25.05" customHeight="1" x14ac:dyDescent="0.25">
      <c r="A11491" s="2" t="s">
        <v>8</v>
      </c>
      <c r="B11491" s="2" t="str">
        <f>HYPERLINK("http://ts.21cn.com/tousu/show/id/1342776","信用管家元宝宝高利贷，泄露信息，电话骚扰")</f>
        <v>信用管家元宝宝高利贷，泄露信息，电话骚扰</v>
      </c>
      <c r="C11491" s="2" t="s">
        <v>9</v>
      </c>
      <c r="D11491" s="2" t="s">
        <v>10</v>
      </c>
      <c r="E11491" s="2" t="str">
        <f>HYPERLINK("http://ts.21cn.com/tousu/show/id/1342776","http://ts.21cn.com/tousu/show/id/1342776")</f>
        <v>http://ts.21cn.com/tousu/show/id/1342776</v>
      </c>
      <c r="F11491" s="2" t="s">
        <v>11</v>
      </c>
      <c r="G11491" s="2" t="s">
        <v>21561</v>
      </c>
      <c r="H11491" s="2" t="s">
        <v>21562</v>
      </c>
    </row>
    <row r="11492" spans="1:8" ht="25.05" customHeight="1" x14ac:dyDescent="0.25">
      <c r="A11492" s="2" t="s">
        <v>8</v>
      </c>
      <c r="B11492" s="2" t="str">
        <f>HYPERLINK("http://ts.21cn.com/tousu/show/id/1342777","骚扰，威胁")</f>
        <v>骚扰，威胁</v>
      </c>
      <c r="C11492" s="2" t="s">
        <v>9</v>
      </c>
      <c r="D11492" s="2" t="s">
        <v>10</v>
      </c>
      <c r="E11492" s="2" t="str">
        <f>HYPERLINK("http://ts.21cn.com/tousu/show/id/1342777","http://ts.21cn.com/tousu/show/id/1342777")</f>
        <v>http://ts.21cn.com/tousu/show/id/1342777</v>
      </c>
      <c r="F11492" s="2" t="s">
        <v>11</v>
      </c>
      <c r="G11492" s="2" t="s">
        <v>21559</v>
      </c>
      <c r="H11492" s="2" t="s">
        <v>21560</v>
      </c>
    </row>
    <row r="11493" spans="1:8" ht="25.05" customHeight="1" x14ac:dyDescent="0.25">
      <c r="A11493" s="2" t="s">
        <v>8</v>
      </c>
      <c r="B11493" s="2" t="str">
        <f>HYPERLINK("http://ts.21cn.com/tousu/show/id/1342780","涉嫌违规欺诈申请退款")</f>
        <v>涉嫌违规欺诈申请退款</v>
      </c>
      <c r="C11493" s="2" t="s">
        <v>9</v>
      </c>
      <c r="D11493" s="2" t="s">
        <v>10</v>
      </c>
      <c r="E11493" s="2" t="str">
        <f>HYPERLINK("http://ts.21cn.com/tousu/show/id/1342780","http://ts.21cn.com/tousu/show/id/1342780")</f>
        <v>http://ts.21cn.com/tousu/show/id/1342780</v>
      </c>
      <c r="F11493" s="2" t="s">
        <v>11</v>
      </c>
      <c r="G11493" s="2" t="s">
        <v>21557</v>
      </c>
      <c r="H11493" s="2" t="s">
        <v>21558</v>
      </c>
    </row>
    <row r="11494" spans="1:8" ht="25.05" customHeight="1" x14ac:dyDescent="0.25">
      <c r="A11494" s="2" t="s">
        <v>8</v>
      </c>
      <c r="B11494" s="2" t="str">
        <f>HYPERLINK("http://ts.21cn.com/tousu/show/id/1342781","新意花本金还完现在仍销还款记录")</f>
        <v>新意花本金还完现在仍销还款记录</v>
      </c>
      <c r="C11494" s="2" t="s">
        <v>9</v>
      </c>
      <c r="D11494" s="2" t="s">
        <v>10</v>
      </c>
      <c r="E11494" s="2" t="str">
        <f>HYPERLINK("http://ts.21cn.com/tousu/show/id/1342781","http://ts.21cn.com/tousu/show/id/1342781")</f>
        <v>http://ts.21cn.com/tousu/show/id/1342781</v>
      </c>
      <c r="F11494" s="2" t="s">
        <v>11</v>
      </c>
      <c r="G11494" s="2" t="s">
        <v>21555</v>
      </c>
      <c r="H11494" s="2" t="s">
        <v>21556</v>
      </c>
    </row>
    <row r="11495" spans="1:8" ht="25.05" customHeight="1" x14ac:dyDescent="0.25">
      <c r="A11495" s="2" t="s">
        <v>8</v>
      </c>
      <c r="B11495" s="2" t="str">
        <f>HYPERLINK("http://ts.21cn.com/tousu/show/id/1342782","马上金融高利贷骗保")</f>
        <v>马上金融高利贷骗保</v>
      </c>
      <c r="C11495" s="2" t="s">
        <v>9</v>
      </c>
      <c r="D11495" s="2" t="s">
        <v>10</v>
      </c>
      <c r="E11495" s="2" t="str">
        <f>HYPERLINK("http://ts.21cn.com/tousu/show/id/1342782","http://ts.21cn.com/tousu/show/id/1342782")</f>
        <v>http://ts.21cn.com/tousu/show/id/1342782</v>
      </c>
      <c r="F11495" s="2" t="s">
        <v>11</v>
      </c>
      <c r="G11495" s="2" t="s">
        <v>21553</v>
      </c>
      <c r="H11495" s="2" t="s">
        <v>21554</v>
      </c>
    </row>
    <row r="11496" spans="1:8" ht="25.05" customHeight="1" x14ac:dyDescent="0.25">
      <c r="A11496" s="2" t="s">
        <v>8</v>
      </c>
      <c r="B11496" s="2" t="str">
        <f>HYPERLINK("http://ts.21cn.com/tousu/show/id/1342783","暴力催收态度恶劣言语辱骂")</f>
        <v>暴力催收态度恶劣言语辱骂</v>
      </c>
      <c r="C11496" s="2" t="s">
        <v>9</v>
      </c>
      <c r="D11496" s="2" t="s">
        <v>10</v>
      </c>
      <c r="E11496" s="2" t="str">
        <f>HYPERLINK("http://ts.21cn.com/tousu/show/id/1342783","http://ts.21cn.com/tousu/show/id/1342783")</f>
        <v>http://ts.21cn.com/tousu/show/id/1342783</v>
      </c>
      <c r="F11496" s="2" t="s">
        <v>11</v>
      </c>
      <c r="G11496" s="2" t="s">
        <v>21551</v>
      </c>
      <c r="H11496" s="2" t="s">
        <v>21552</v>
      </c>
    </row>
    <row r="11497" spans="1:8" ht="25.05" customHeight="1" x14ac:dyDescent="0.25">
      <c r="A11497" s="2" t="s">
        <v>8</v>
      </c>
      <c r="B11497" s="2" t="str">
        <f>HYPERLINK("http://ts.21cn.com/tousu/show/id/1342784","读秒高利贷年利率达到55%，高利贷，阴阳合同")</f>
        <v>读秒高利贷年利率达到55%，高利贷，阴阳合同</v>
      </c>
      <c r="C11497" s="2" t="s">
        <v>9</v>
      </c>
      <c r="D11497" s="2" t="s">
        <v>10</v>
      </c>
      <c r="E11497" s="2" t="str">
        <f>HYPERLINK("http://ts.21cn.com/tousu/show/id/1342784","http://ts.21cn.com/tousu/show/id/1342784")</f>
        <v>http://ts.21cn.com/tousu/show/id/1342784</v>
      </c>
      <c r="F11497" s="2" t="s">
        <v>11</v>
      </c>
      <c r="G11497" s="2" t="s">
        <v>21549</v>
      </c>
      <c r="H11497" s="2" t="s">
        <v>21550</v>
      </c>
    </row>
    <row r="11498" spans="1:8" ht="25.05" customHeight="1" x14ac:dyDescent="0.25">
      <c r="A11498" s="2" t="s">
        <v>8</v>
      </c>
      <c r="B11498" s="2" t="str">
        <f>HYPERLINK("http://ts.21cn.com/tousu/show/id/1342785","好分期高利贷")</f>
        <v>好分期高利贷</v>
      </c>
      <c r="C11498" s="2" t="s">
        <v>9</v>
      </c>
      <c r="D11498" s="2" t="s">
        <v>10</v>
      </c>
      <c r="E11498" s="2" t="str">
        <f>HYPERLINK("http://ts.21cn.com/tousu/show/id/1342785","http://ts.21cn.com/tousu/show/id/1342785")</f>
        <v>http://ts.21cn.com/tousu/show/id/1342785</v>
      </c>
      <c r="F11498" s="2" t="s">
        <v>11</v>
      </c>
      <c r="G11498" s="2" t="s">
        <v>21547</v>
      </c>
      <c r="H11498" s="2" t="s">
        <v>21548</v>
      </c>
    </row>
    <row r="11499" spans="1:8" ht="25.05" customHeight="1" x14ac:dyDescent="0.25">
      <c r="A11499" s="2" t="s">
        <v>8</v>
      </c>
      <c r="B11499" s="2" t="str">
        <f>HYPERLINK("http://ts.21cn.com/tousu/show/id/1342787","未成年玩游戏充值1700多元")</f>
        <v>未成年玩游戏充值1700多元</v>
      </c>
      <c r="C11499" s="2" t="s">
        <v>34</v>
      </c>
      <c r="D11499" s="2" t="s">
        <v>10</v>
      </c>
      <c r="E11499" s="2" t="str">
        <f>HYPERLINK("http://ts.21cn.com/tousu/show/id/1342787","http://ts.21cn.com/tousu/show/id/1342787")</f>
        <v>http://ts.21cn.com/tousu/show/id/1342787</v>
      </c>
      <c r="F11499" s="2" t="s">
        <v>11</v>
      </c>
      <c r="G11499" s="2" t="s">
        <v>21545</v>
      </c>
      <c r="H11499" s="2" t="s">
        <v>21546</v>
      </c>
    </row>
    <row r="11500" spans="1:8" ht="25.05" customHeight="1" x14ac:dyDescent="0.25">
      <c r="A11500" s="2" t="s">
        <v>8</v>
      </c>
      <c r="B11500" s="2" t="str">
        <f>HYPERLINK("http://ts.21cn.com/tousu/show/id/1342788","租车，退款")</f>
        <v>租车，退款</v>
      </c>
      <c r="C11500" s="2" t="s">
        <v>9</v>
      </c>
      <c r="D11500" s="2" t="s">
        <v>10</v>
      </c>
      <c r="E11500" s="2" t="str">
        <f>HYPERLINK("http://ts.21cn.com/tousu/show/id/1342788","http://ts.21cn.com/tousu/show/id/1342788")</f>
        <v>http://ts.21cn.com/tousu/show/id/1342788</v>
      </c>
      <c r="F11500" s="2" t="s">
        <v>11</v>
      </c>
      <c r="G11500" s="2" t="s">
        <v>21543</v>
      </c>
      <c r="H11500" s="2" t="s">
        <v>21544</v>
      </c>
    </row>
    <row r="11501" spans="1:8" ht="25.05" customHeight="1" x14ac:dyDescent="0.25">
      <c r="A11501" s="2" t="s">
        <v>8</v>
      </c>
      <c r="B11501" s="2" t="str">
        <f>HYPERLINK("http://ts.21cn.com/tousu/show/id/1342789","闪银高利贷套路贷")</f>
        <v>闪银高利贷套路贷</v>
      </c>
      <c r="C11501" s="2" t="s">
        <v>9</v>
      </c>
      <c r="D11501" s="2" t="s">
        <v>10</v>
      </c>
      <c r="E11501" s="2" t="str">
        <f>HYPERLINK("http://ts.21cn.com/tousu/show/id/1342789","http://ts.21cn.com/tousu/show/id/1342789")</f>
        <v>http://ts.21cn.com/tousu/show/id/1342789</v>
      </c>
      <c r="F11501" s="2" t="s">
        <v>11</v>
      </c>
      <c r="G11501" s="2" t="s">
        <v>21541</v>
      </c>
      <c r="H11501" s="2" t="s">
        <v>21542</v>
      </c>
    </row>
    <row r="11502" spans="1:8" ht="25.05" customHeight="1" x14ac:dyDescent="0.25">
      <c r="A11502" s="2" t="s">
        <v>8</v>
      </c>
      <c r="B11502" s="2" t="str">
        <f>HYPERLINK("http://ts.21cn.com/tousu/show/id/1342790","同程旅游借款高利贷强制购买会员卡放款")</f>
        <v>同程旅游借款高利贷强制购买会员卡放款</v>
      </c>
      <c r="C11502" s="2" t="s">
        <v>9</v>
      </c>
      <c r="D11502" s="2" t="s">
        <v>10</v>
      </c>
      <c r="E11502" s="2" t="str">
        <f>HYPERLINK("http://ts.21cn.com/tousu/show/id/1342790","http://ts.21cn.com/tousu/show/id/1342790")</f>
        <v>http://ts.21cn.com/tousu/show/id/1342790</v>
      </c>
      <c r="F11502" s="2" t="s">
        <v>11</v>
      </c>
      <c r="G11502" s="2" t="s">
        <v>21539</v>
      </c>
      <c r="H11502" s="2" t="s">
        <v>21540</v>
      </c>
    </row>
    <row r="11503" spans="1:8" ht="25.05" customHeight="1" x14ac:dyDescent="0.25">
      <c r="A11503" s="2" t="s">
        <v>8</v>
      </c>
      <c r="B11503" s="2" t="str">
        <f>HYPERLINK("http://ts.21cn.com/tousu/show/id/1342794","周周花花恶意催收，恐吓骚扰家人")</f>
        <v>周周花花恶意催收，恐吓骚扰家人</v>
      </c>
      <c r="C11503" s="2" t="s">
        <v>9</v>
      </c>
      <c r="D11503" s="2" t="s">
        <v>10</v>
      </c>
      <c r="E11503" s="2" t="str">
        <f>HYPERLINK("http://ts.21cn.com/tousu/show/id/1342794","http://ts.21cn.com/tousu/show/id/1342794")</f>
        <v>http://ts.21cn.com/tousu/show/id/1342794</v>
      </c>
      <c r="F11503" s="2" t="s">
        <v>11</v>
      </c>
      <c r="G11503" s="2" t="s">
        <v>21537</v>
      </c>
      <c r="H11503" s="2" t="s">
        <v>21538</v>
      </c>
    </row>
    <row r="11504" spans="1:8" ht="25.05" customHeight="1" x14ac:dyDescent="0.25">
      <c r="A11504" s="2" t="s">
        <v>8</v>
      </c>
      <c r="B11504" s="2" t="str">
        <f>HYPERLINK("http://ts.21cn.com/tousu/show/id/1342795","美团平台下半夜克扣骑手")</f>
        <v>美团平台下半夜克扣骑手</v>
      </c>
      <c r="C11504" s="2" t="s">
        <v>9</v>
      </c>
      <c r="D11504" s="2" t="s">
        <v>10</v>
      </c>
      <c r="E11504" s="2" t="str">
        <f>HYPERLINK("http://ts.21cn.com/tousu/show/id/1342795","http://ts.21cn.com/tousu/show/id/1342795")</f>
        <v>http://ts.21cn.com/tousu/show/id/1342795</v>
      </c>
      <c r="F11504" s="2" t="s">
        <v>11</v>
      </c>
      <c r="G11504" s="2" t="s">
        <v>21535</v>
      </c>
      <c r="H11504" s="2" t="s">
        <v>21536</v>
      </c>
    </row>
    <row r="11505" spans="1:8" ht="25.05" customHeight="1" x14ac:dyDescent="0.25">
      <c r="A11505" s="2" t="s">
        <v>8</v>
      </c>
      <c r="B11505" s="2" t="str">
        <f>HYPERLINK("http://ts.21cn.com/tousu/show/id/1342797","微品分期软件涉嫌放高利贷")</f>
        <v>微品分期软件涉嫌放高利贷</v>
      </c>
      <c r="C11505" s="2" t="s">
        <v>9</v>
      </c>
      <c r="D11505" s="2" t="s">
        <v>10</v>
      </c>
      <c r="E11505" s="2" t="str">
        <f>HYPERLINK("http://ts.21cn.com/tousu/show/id/1342797","http://ts.21cn.com/tousu/show/id/1342797")</f>
        <v>http://ts.21cn.com/tousu/show/id/1342797</v>
      </c>
      <c r="F11505" s="2" t="s">
        <v>11</v>
      </c>
      <c r="G11505" s="2" t="s">
        <v>21533</v>
      </c>
      <c r="H11505" s="2" t="s">
        <v>21534</v>
      </c>
    </row>
    <row r="11506" spans="1:8" ht="25.05" customHeight="1" x14ac:dyDescent="0.25">
      <c r="A11506" s="2" t="s">
        <v>8</v>
      </c>
      <c r="B11506" s="2" t="str">
        <f>HYPERLINK("http://ts.21cn.com/tousu/show/id/1342792","乱投医，不退会费")</f>
        <v>乱投医，不退会费</v>
      </c>
      <c r="C11506" s="2" t="s">
        <v>34</v>
      </c>
      <c r="D11506" s="2" t="s">
        <v>10</v>
      </c>
      <c r="E11506" s="2" t="str">
        <f>HYPERLINK("http://ts.21cn.com/tousu/show/id/1342792","http://ts.21cn.com/tousu/show/id/1342792")</f>
        <v>http://ts.21cn.com/tousu/show/id/1342792</v>
      </c>
      <c r="F11506" s="2" t="s">
        <v>11</v>
      </c>
      <c r="G11506" s="2" t="s">
        <v>21531</v>
      </c>
      <c r="H11506" s="2" t="s">
        <v>21532</v>
      </c>
    </row>
    <row r="11507" spans="1:8" ht="25.05" customHeight="1" x14ac:dyDescent="0.25">
      <c r="A11507" s="2" t="s">
        <v>8</v>
      </c>
      <c r="B11507" s="2" t="str">
        <f>HYPERLINK("http://ts.21cn.com/tousu/show/id/1342799","小赢卡贷高利贷太不人性")</f>
        <v>小赢卡贷高利贷太不人性</v>
      </c>
      <c r="C11507" s="2" t="s">
        <v>9</v>
      </c>
      <c r="D11507" s="2" t="s">
        <v>10</v>
      </c>
      <c r="E11507" s="2" t="str">
        <f>HYPERLINK("http://ts.21cn.com/tousu/show/id/1342799","http://ts.21cn.com/tousu/show/id/1342799")</f>
        <v>http://ts.21cn.com/tousu/show/id/1342799</v>
      </c>
      <c r="F11507" s="2" t="s">
        <v>11</v>
      </c>
      <c r="G11507" s="2" t="s">
        <v>21529</v>
      </c>
      <c r="H11507" s="2" t="s">
        <v>21530</v>
      </c>
    </row>
    <row r="11508" spans="1:8" ht="25.05" customHeight="1" x14ac:dyDescent="0.25">
      <c r="A11508" s="2" t="s">
        <v>8</v>
      </c>
      <c r="B11508" s="2" t="str">
        <f>HYPERLINK("http://ts.21cn.com/tousu/show/id/1342800","投诉淘宝客服判决不公，要求退款")</f>
        <v>投诉淘宝客服判决不公，要求退款</v>
      </c>
      <c r="C11508" s="2" t="s">
        <v>9</v>
      </c>
      <c r="D11508" s="2" t="s">
        <v>10</v>
      </c>
      <c r="E11508" s="2" t="str">
        <f>HYPERLINK("http://ts.21cn.com/tousu/show/id/1342800","http://ts.21cn.com/tousu/show/id/1342800")</f>
        <v>http://ts.21cn.com/tousu/show/id/1342800</v>
      </c>
      <c r="F11508" s="2" t="s">
        <v>11</v>
      </c>
      <c r="G11508" s="2" t="s">
        <v>21527</v>
      </c>
      <c r="H11508" s="2" t="s">
        <v>21528</v>
      </c>
    </row>
    <row r="11509" spans="1:8" ht="25.05" customHeight="1" x14ac:dyDescent="0.25">
      <c r="A11509" s="2" t="s">
        <v>8</v>
      </c>
      <c r="B11509" s="2" t="str">
        <f>HYPERLINK("http://ts.21cn.com/tousu/show/id/1342803","光大银行信用卡年费1188")</f>
        <v>光大银行信用卡年费1188</v>
      </c>
      <c r="C11509" s="2" t="s">
        <v>9</v>
      </c>
      <c r="D11509" s="2" t="s">
        <v>10</v>
      </c>
      <c r="E11509" s="2" t="str">
        <f>HYPERLINK("http://ts.21cn.com/tousu/show/id/1342803","http://ts.21cn.com/tousu/show/id/1342803")</f>
        <v>http://ts.21cn.com/tousu/show/id/1342803</v>
      </c>
      <c r="F11509" s="2" t="s">
        <v>11</v>
      </c>
      <c r="G11509" s="2" t="s">
        <v>21525</v>
      </c>
      <c r="H11509" s="2" t="s">
        <v>21526</v>
      </c>
    </row>
    <row r="11510" spans="1:8" ht="25.05" customHeight="1" x14ac:dyDescent="0.25">
      <c r="A11510" s="2" t="s">
        <v>8</v>
      </c>
      <c r="B11510" s="2" t="str">
        <f>HYPERLINK("http://ts.21cn.com/tousu/show/id/1342801","拍拍贷逾期骚扰亲戚朋友")</f>
        <v>拍拍贷逾期骚扰亲戚朋友</v>
      </c>
      <c r="C11510" s="2" t="s">
        <v>9</v>
      </c>
      <c r="D11510" s="2" t="s">
        <v>10</v>
      </c>
      <c r="E11510" s="2" t="str">
        <f>HYPERLINK("http://ts.21cn.com/tousu/show/id/1342801","http://ts.21cn.com/tousu/show/id/1342801")</f>
        <v>http://ts.21cn.com/tousu/show/id/1342801</v>
      </c>
      <c r="F11510" s="2" t="s">
        <v>11</v>
      </c>
      <c r="G11510" s="2" t="s">
        <v>21523</v>
      </c>
      <c r="H11510" s="2" t="s">
        <v>21524</v>
      </c>
    </row>
    <row r="11511" spans="1:8" ht="25.05" customHeight="1" x14ac:dyDescent="0.25">
      <c r="A11511" s="2" t="s">
        <v>8</v>
      </c>
      <c r="B11511" s="2" t="str">
        <f>HYPERLINK("http://ts.21cn.com/tousu/show/id/1342804","网贷")</f>
        <v>网贷</v>
      </c>
      <c r="C11511" s="2" t="s">
        <v>9</v>
      </c>
      <c r="D11511" s="2" t="s">
        <v>10</v>
      </c>
      <c r="E11511" s="2" t="str">
        <f>HYPERLINK("http://ts.21cn.com/tousu/show/id/1342804","http://ts.21cn.com/tousu/show/id/1342804")</f>
        <v>http://ts.21cn.com/tousu/show/id/1342804</v>
      </c>
      <c r="F11511" s="2" t="s">
        <v>11</v>
      </c>
      <c r="G11511" s="2" t="s">
        <v>21521</v>
      </c>
      <c r="H11511" s="2" t="s">
        <v>21522</v>
      </c>
    </row>
    <row r="11512" spans="1:8" ht="25.05" customHeight="1" x14ac:dyDescent="0.25">
      <c r="A11512" s="2" t="s">
        <v>8</v>
      </c>
      <c r="B11512" s="2" t="str">
        <f>HYPERLINK("http://ts.21cn.com/tousu/show/id/1342805","高利贷。套路贷")</f>
        <v>高利贷。套路贷</v>
      </c>
      <c r="C11512" s="2" t="s">
        <v>9</v>
      </c>
      <c r="D11512" s="2" t="s">
        <v>10</v>
      </c>
      <c r="E11512" s="2" t="str">
        <f>HYPERLINK("http://ts.21cn.com/tousu/show/id/1342805","http://ts.21cn.com/tousu/show/id/1342805")</f>
        <v>http://ts.21cn.com/tousu/show/id/1342805</v>
      </c>
      <c r="F11512" s="2" t="s">
        <v>11</v>
      </c>
      <c r="G11512" s="2" t="s">
        <v>21519</v>
      </c>
      <c r="H11512" s="2" t="s">
        <v>21520</v>
      </c>
    </row>
    <row r="11513" spans="1:8" ht="25.05" customHeight="1" x14ac:dyDescent="0.25">
      <c r="A11513" s="2" t="s">
        <v>8</v>
      </c>
      <c r="B11513" s="2" t="str">
        <f>HYPERLINK("http://ts.21cn.com/tousu/show/id/1342806","我来贷高利贷")</f>
        <v>我来贷高利贷</v>
      </c>
      <c r="C11513" s="2" t="s">
        <v>9</v>
      </c>
      <c r="D11513" s="2" t="s">
        <v>10</v>
      </c>
      <c r="E11513" s="2" t="str">
        <f>HYPERLINK("http://ts.21cn.com/tousu/show/id/1342806","http://ts.21cn.com/tousu/show/id/1342806")</f>
        <v>http://ts.21cn.com/tousu/show/id/1342806</v>
      </c>
      <c r="F11513" s="2" t="s">
        <v>11</v>
      </c>
      <c r="G11513" s="2" t="s">
        <v>21517</v>
      </c>
      <c r="H11513" s="2" t="s">
        <v>21518</v>
      </c>
    </row>
    <row r="11514" spans="1:8" ht="25.05" customHeight="1" x14ac:dyDescent="0.25">
      <c r="A11514" s="2" t="s">
        <v>8</v>
      </c>
      <c r="B11514" s="2" t="str">
        <f>HYPERLINK("http://ts.21cn.com/tousu/show/id/1342808","上海拍拍贷群发短信")</f>
        <v>上海拍拍贷群发短信</v>
      </c>
      <c r="C11514" s="2" t="s">
        <v>34</v>
      </c>
      <c r="D11514" s="2" t="s">
        <v>10</v>
      </c>
      <c r="E11514" s="2" t="str">
        <f>HYPERLINK("http://ts.21cn.com/tousu/show/id/1342808","http://ts.21cn.com/tousu/show/id/1342808")</f>
        <v>http://ts.21cn.com/tousu/show/id/1342808</v>
      </c>
      <c r="F11514" s="2" t="s">
        <v>11</v>
      </c>
      <c r="G11514" s="2" t="s">
        <v>21515</v>
      </c>
      <c r="H11514" s="2" t="s">
        <v>21516</v>
      </c>
    </row>
    <row r="11515" spans="1:8" ht="25.05" customHeight="1" x14ac:dyDescent="0.25">
      <c r="A11515" s="2" t="s">
        <v>8</v>
      </c>
      <c r="B11515" s="2" t="str">
        <f>HYPERLINK("http://ts.21cn.com/tousu/show/id/1342798","微博返现30元虚假宣传误导消费者")</f>
        <v>微博返现30元虚假宣传误导消费者</v>
      </c>
      <c r="C11515" s="2" t="s">
        <v>9</v>
      </c>
      <c r="D11515" s="2" t="s">
        <v>10</v>
      </c>
      <c r="E11515" s="2" t="str">
        <f>HYPERLINK("http://ts.21cn.com/tousu/show/id/1342798","http://ts.21cn.com/tousu/show/id/1342798")</f>
        <v>http://ts.21cn.com/tousu/show/id/1342798</v>
      </c>
      <c r="F11515" s="2" t="s">
        <v>11</v>
      </c>
      <c r="G11515" s="2" t="s">
        <v>21513</v>
      </c>
      <c r="H11515" s="2" t="s">
        <v>21514</v>
      </c>
    </row>
    <row r="11516" spans="1:8" ht="25.05" customHeight="1" x14ac:dyDescent="0.25">
      <c r="A11516" s="2" t="s">
        <v>8</v>
      </c>
      <c r="B11516" s="2" t="str">
        <f>HYPERLINK("http://ts.21cn.com/tousu/show/id/1342809","车置宝霸王条款，强制扣除保证金")</f>
        <v>车置宝霸王条款，强制扣除保证金</v>
      </c>
      <c r="C11516" s="2" t="s">
        <v>9</v>
      </c>
      <c r="D11516" s="2" t="s">
        <v>10</v>
      </c>
      <c r="E11516" s="2" t="str">
        <f>HYPERLINK("http://ts.21cn.com/tousu/show/id/1342809","http://ts.21cn.com/tousu/show/id/1342809")</f>
        <v>http://ts.21cn.com/tousu/show/id/1342809</v>
      </c>
      <c r="F11516" s="2" t="s">
        <v>11</v>
      </c>
      <c r="G11516" s="2" t="s">
        <v>21511</v>
      </c>
      <c r="H11516" s="2" t="s">
        <v>21512</v>
      </c>
    </row>
    <row r="11517" spans="1:8" ht="25.05" customHeight="1" x14ac:dyDescent="0.25">
      <c r="A11517" s="2" t="s">
        <v>8</v>
      </c>
      <c r="B11517" s="2" t="str">
        <f>HYPERLINK("http://ts.21cn.com/tousu/show/id/1342811","甩手网工具箱逃避退款！")</f>
        <v>甩手网工具箱逃避退款！</v>
      </c>
      <c r="C11517" s="2" t="s">
        <v>9</v>
      </c>
      <c r="D11517" s="2" t="s">
        <v>10</v>
      </c>
      <c r="E11517" s="2" t="str">
        <f>HYPERLINK("http://ts.21cn.com/tousu/show/id/1342811","http://ts.21cn.com/tousu/show/id/1342811")</f>
        <v>http://ts.21cn.com/tousu/show/id/1342811</v>
      </c>
      <c r="F11517" s="2" t="s">
        <v>11</v>
      </c>
      <c r="G11517" s="2" t="s">
        <v>21509</v>
      </c>
      <c r="H11517" s="2" t="s">
        <v>21510</v>
      </c>
    </row>
    <row r="11518" spans="1:8" ht="25.05" customHeight="1" x14ac:dyDescent="0.25">
      <c r="A11518" s="2" t="s">
        <v>8</v>
      </c>
      <c r="B11518" s="2" t="str">
        <f>HYPERLINK("http://ts.21cn.com/tousu/show/id/1342810","钱站收砍头息")</f>
        <v>钱站收砍头息</v>
      </c>
      <c r="C11518" s="2" t="s">
        <v>9</v>
      </c>
      <c r="D11518" s="2" t="s">
        <v>10</v>
      </c>
      <c r="E11518" s="2" t="str">
        <f>HYPERLINK("http://ts.21cn.com/tousu/show/id/1342810","http://ts.21cn.com/tousu/show/id/1342810")</f>
        <v>http://ts.21cn.com/tousu/show/id/1342810</v>
      </c>
      <c r="F11518" s="2" t="s">
        <v>11</v>
      </c>
      <c r="G11518" s="2" t="s">
        <v>21507</v>
      </c>
      <c r="H11518" s="2" t="s">
        <v>21508</v>
      </c>
    </row>
    <row r="11519" spans="1:8" ht="25.05" customHeight="1" x14ac:dyDescent="0.25">
      <c r="A11519" s="2" t="s">
        <v>8</v>
      </c>
      <c r="B11519" s="2" t="str">
        <f>HYPERLINK("http://ts.21cn.com/tousu/show/id/1342813","应急袋还款不销账，还一直催收，报通讯录")</f>
        <v>应急袋还款不销账，还一直催收，报通讯录</v>
      </c>
      <c r="C11519" s="2" t="s">
        <v>9</v>
      </c>
      <c r="D11519" s="2" t="s">
        <v>10</v>
      </c>
      <c r="E11519" s="2" t="str">
        <f>HYPERLINK("http://ts.21cn.com/tousu/show/id/1342813","http://ts.21cn.com/tousu/show/id/1342813")</f>
        <v>http://ts.21cn.com/tousu/show/id/1342813</v>
      </c>
      <c r="F11519" s="2" t="s">
        <v>11</v>
      </c>
      <c r="G11519" s="2" t="s">
        <v>21505</v>
      </c>
      <c r="H11519" s="2" t="s">
        <v>21506</v>
      </c>
    </row>
    <row r="11520" spans="1:8" ht="25.05" customHeight="1" x14ac:dyDescent="0.25">
      <c r="A11520" s="2" t="s">
        <v>8</v>
      </c>
      <c r="B11520" s="2" t="str">
        <f>HYPERLINK("http://ts.21cn.com/tousu/show/id/1342814","店大欺客，霸王条款不处理问题")</f>
        <v>店大欺客，霸王条款不处理问题</v>
      </c>
      <c r="C11520" s="2" t="s">
        <v>9</v>
      </c>
      <c r="D11520" s="2" t="s">
        <v>10</v>
      </c>
      <c r="E11520" s="2" t="str">
        <f>HYPERLINK("http://ts.21cn.com/tousu/show/id/1342814","http://ts.21cn.com/tousu/show/id/1342814")</f>
        <v>http://ts.21cn.com/tousu/show/id/1342814</v>
      </c>
      <c r="F11520" s="2" t="s">
        <v>11</v>
      </c>
      <c r="G11520" s="2" t="s">
        <v>21503</v>
      </c>
      <c r="H11520" s="2" t="s">
        <v>21504</v>
      </c>
    </row>
    <row r="11521" spans="1:8" ht="25.05" customHeight="1" x14ac:dyDescent="0.25">
      <c r="A11521" s="2" t="s">
        <v>8</v>
      </c>
      <c r="B11521" s="2" t="str">
        <f>HYPERLINK("http://ts.21cn.com/tousu/show/id/1342816","“零花钱平台”恶意私自扣钱199元，联系不上，无法退款")</f>
        <v>“零花钱平台”恶意私自扣钱199元，联系不上，无法退款</v>
      </c>
      <c r="C11521" s="2" t="s">
        <v>9</v>
      </c>
      <c r="D11521" s="2" t="s">
        <v>10</v>
      </c>
      <c r="E11521" s="2" t="str">
        <f>HYPERLINK("http://ts.21cn.com/tousu/show/id/1342816","http://ts.21cn.com/tousu/show/id/1342816")</f>
        <v>http://ts.21cn.com/tousu/show/id/1342816</v>
      </c>
      <c r="F11521" s="2" t="s">
        <v>11</v>
      </c>
      <c r="G11521" s="2" t="s">
        <v>21501</v>
      </c>
      <c r="H11521" s="2" t="s">
        <v>21502</v>
      </c>
    </row>
    <row r="11522" spans="1:8" ht="25.05" customHeight="1" x14ac:dyDescent="0.25">
      <c r="A11522" s="2" t="s">
        <v>8</v>
      </c>
      <c r="B11522" s="2" t="str">
        <f>HYPERLINK("http://ts.21cn.com/tousu/show/id/1342815","玖富万卡高利贷套路贷")</f>
        <v>玖富万卡高利贷套路贷</v>
      </c>
      <c r="C11522" s="2" t="s">
        <v>9</v>
      </c>
      <c r="D11522" s="2" t="s">
        <v>10</v>
      </c>
      <c r="E11522" s="2" t="str">
        <f>HYPERLINK("http://ts.21cn.com/tousu/show/id/1342815","http://ts.21cn.com/tousu/show/id/1342815")</f>
        <v>http://ts.21cn.com/tousu/show/id/1342815</v>
      </c>
      <c r="F11522" s="2" t="s">
        <v>11</v>
      </c>
      <c r="G11522" s="2" t="s">
        <v>21499</v>
      </c>
      <c r="H11522" s="2" t="s">
        <v>21500</v>
      </c>
    </row>
    <row r="11523" spans="1:8" ht="25.05" customHeight="1" x14ac:dyDescent="0.25">
      <c r="A11523" s="2" t="s">
        <v>8</v>
      </c>
      <c r="B11523" s="2" t="str">
        <f>HYPERLINK("http://ts.21cn.com/tousu/show/id/1342817","维信卡卡贷高利贷")</f>
        <v>维信卡卡贷高利贷</v>
      </c>
      <c r="C11523" s="2" t="s">
        <v>9</v>
      </c>
      <c r="D11523" s="2" t="s">
        <v>10</v>
      </c>
      <c r="E11523" s="2" t="str">
        <f>HYPERLINK("http://ts.21cn.com/tousu/show/id/1342817","http://ts.21cn.com/tousu/show/id/1342817")</f>
        <v>http://ts.21cn.com/tousu/show/id/1342817</v>
      </c>
      <c r="F11523" s="2" t="s">
        <v>11</v>
      </c>
      <c r="G11523" s="2" t="s">
        <v>21497</v>
      </c>
      <c r="H11523" s="2" t="s">
        <v>21498</v>
      </c>
    </row>
    <row r="11524" spans="1:8" ht="25.05" customHeight="1" x14ac:dyDescent="0.25">
      <c r="A11524" s="2" t="s">
        <v>8</v>
      </c>
      <c r="B11524" s="2" t="str">
        <f>HYPERLINK("http://ts.21cn.com/tousu/show/id/1342820","360借条暴力催收！威胁本人，不断骚扰，已严重影响本人工作及生活，现又骚扰本人父亲，我要求停止骚扰和威胁！")</f>
        <v>360借条暴力催收！威胁本人，不断骚扰，已严重影响本人工作及生活，现又骚扰本人父亲，我要求停止骚扰和威胁！</v>
      </c>
      <c r="C11524" s="2" t="s">
        <v>9</v>
      </c>
      <c r="D11524" s="2" t="s">
        <v>10</v>
      </c>
      <c r="E11524" s="2" t="str">
        <f>HYPERLINK("http://ts.21cn.com/tousu/show/id/1342820","http://ts.21cn.com/tousu/show/id/1342820")</f>
        <v>http://ts.21cn.com/tousu/show/id/1342820</v>
      </c>
      <c r="F11524" s="2" t="s">
        <v>11</v>
      </c>
      <c r="G11524" s="2" t="s">
        <v>21494</v>
      </c>
      <c r="H11524" s="2" t="s">
        <v>21495</v>
      </c>
    </row>
    <row r="11525" spans="1:8" ht="25.05" customHeight="1" x14ac:dyDescent="0.25">
      <c r="A11525" s="2" t="s">
        <v>8</v>
      </c>
      <c r="B11525" s="2" t="str">
        <f>HYPERLINK("http://ts.21cn.com/tousu/show/id/1342818","拇指下款恶意扣取账户资金")</f>
        <v>拇指下款恶意扣取账户资金</v>
      </c>
      <c r="C11525" s="2" t="s">
        <v>9</v>
      </c>
      <c r="D11525" s="2" t="s">
        <v>10</v>
      </c>
      <c r="E11525" s="2" t="str">
        <f>HYPERLINK("http://ts.21cn.com/tousu/show/id/1342818","http://ts.21cn.com/tousu/show/id/1342818")</f>
        <v>http://ts.21cn.com/tousu/show/id/1342818</v>
      </c>
      <c r="F11525" s="2" t="s">
        <v>11</v>
      </c>
      <c r="G11525" s="2" t="s">
        <v>21494</v>
      </c>
      <c r="H11525" s="2" t="s">
        <v>21496</v>
      </c>
    </row>
    <row r="11526" spans="1:8" ht="25.05" customHeight="1" x14ac:dyDescent="0.25">
      <c r="A11526" s="2" t="s">
        <v>8</v>
      </c>
      <c r="B11526" s="2" t="str">
        <f>HYPERLINK("http://ts.21cn.com/tousu/show/id/1342819","小浦优客未经同意私自扣款")</f>
        <v>小浦优客未经同意私自扣款</v>
      </c>
      <c r="C11526" s="2" t="s">
        <v>9</v>
      </c>
      <c r="D11526" s="2" t="s">
        <v>10</v>
      </c>
      <c r="E11526" s="2" t="str">
        <f>HYPERLINK("http://ts.21cn.com/tousu/show/id/1342819","http://ts.21cn.com/tousu/show/id/1342819")</f>
        <v>http://ts.21cn.com/tousu/show/id/1342819</v>
      </c>
      <c r="F11526" s="2" t="s">
        <v>11</v>
      </c>
      <c r="G11526" s="2" t="s">
        <v>21492</v>
      </c>
      <c r="H11526" s="2" t="s">
        <v>21493</v>
      </c>
    </row>
    <row r="11527" spans="1:8" ht="25.05" customHeight="1" x14ac:dyDescent="0.25">
      <c r="A11527" s="2" t="s">
        <v>8</v>
      </c>
      <c r="B11527" s="2" t="str">
        <f>HYPERLINK("http://ts.21cn.com/tousu/show/id/1342821","易宝支付为不法商家提供支付")</f>
        <v>易宝支付为不法商家提供支付</v>
      </c>
      <c r="C11527" s="2" t="s">
        <v>9</v>
      </c>
      <c r="D11527" s="2" t="s">
        <v>10</v>
      </c>
      <c r="E11527" s="2" t="str">
        <f>HYPERLINK("http://ts.21cn.com/tousu/show/id/1342821","http://ts.21cn.com/tousu/show/id/1342821")</f>
        <v>http://ts.21cn.com/tousu/show/id/1342821</v>
      </c>
      <c r="F11527" s="2" t="s">
        <v>11</v>
      </c>
      <c r="G11527" s="2" t="s">
        <v>21490</v>
      </c>
      <c r="H11527" s="2" t="s">
        <v>21491</v>
      </c>
    </row>
    <row r="11528" spans="1:8" ht="25.05" customHeight="1" x14ac:dyDescent="0.25">
      <c r="A11528" s="2" t="s">
        <v>8</v>
      </c>
      <c r="B11528" s="2" t="str">
        <f>HYPERLINK("http://ts.21cn.com/tousu/show/id/1342812","钱站爱钱进阴阳合同高利贷砍头息")</f>
        <v>钱站爱钱进阴阳合同高利贷砍头息</v>
      </c>
      <c r="C11528" s="2" t="s">
        <v>9</v>
      </c>
      <c r="D11528" s="2" t="s">
        <v>10</v>
      </c>
      <c r="E11528" s="2" t="str">
        <f>HYPERLINK("http://ts.21cn.com/tousu/show/id/1342812","http://ts.21cn.com/tousu/show/id/1342812")</f>
        <v>http://ts.21cn.com/tousu/show/id/1342812</v>
      </c>
      <c r="F11528" s="2" t="s">
        <v>11</v>
      </c>
      <c r="G11528" s="2" t="s">
        <v>21488</v>
      </c>
      <c r="H11528" s="2" t="s">
        <v>21489</v>
      </c>
    </row>
    <row r="11529" spans="1:8" ht="25.05" customHeight="1" x14ac:dyDescent="0.25">
      <c r="A11529" s="2" t="s">
        <v>8</v>
      </c>
      <c r="B11529" s="2" t="str">
        <f>HYPERLINK("http://ts.21cn.com/tousu/show/id/1342822","平安银行信用卡暴力催收")</f>
        <v>平安银行信用卡暴力催收</v>
      </c>
      <c r="C11529" s="2" t="s">
        <v>9</v>
      </c>
      <c r="D11529" s="2" t="s">
        <v>10</v>
      </c>
      <c r="E11529" s="2" t="str">
        <f>HYPERLINK("http://ts.21cn.com/tousu/show/id/1342822","http://ts.21cn.com/tousu/show/id/1342822")</f>
        <v>http://ts.21cn.com/tousu/show/id/1342822</v>
      </c>
      <c r="F11529" s="2" t="s">
        <v>11</v>
      </c>
      <c r="G11529" s="2" t="s">
        <v>21486</v>
      </c>
      <c r="H11529" s="2" t="s">
        <v>21487</v>
      </c>
    </row>
    <row r="11530" spans="1:8" ht="25.05" customHeight="1" x14ac:dyDescent="0.25">
      <c r="A11530" s="2" t="s">
        <v>8</v>
      </c>
      <c r="B11530" s="2" t="str">
        <f>HYPERLINK("http://ts.21cn.com/tousu/show/id/1342823","夸大宣传套路创业者支付9800加入会员")</f>
        <v>夸大宣传套路创业者支付9800加入会员</v>
      </c>
      <c r="C11530" s="2" t="s">
        <v>9</v>
      </c>
      <c r="D11530" s="2" t="s">
        <v>10</v>
      </c>
      <c r="E11530" s="2" t="str">
        <f>HYPERLINK("http://ts.21cn.com/tousu/show/id/1342823","http://ts.21cn.com/tousu/show/id/1342823")</f>
        <v>http://ts.21cn.com/tousu/show/id/1342823</v>
      </c>
      <c r="F11530" s="2" t="s">
        <v>11</v>
      </c>
      <c r="G11530" s="2" t="s">
        <v>21484</v>
      </c>
      <c r="H11530" s="2" t="s">
        <v>21485</v>
      </c>
    </row>
    <row r="11531" spans="1:8" ht="25.05" customHeight="1" x14ac:dyDescent="0.25">
      <c r="A11531" s="2" t="s">
        <v>8</v>
      </c>
      <c r="B11531" s="2" t="str">
        <f>HYPERLINK("http://ts.21cn.com/tousu/show/id/1342824","非法爆我通讯录，骚扰我的家人朋友同事")</f>
        <v>非法爆我通讯录，骚扰我的家人朋友同事</v>
      </c>
      <c r="C11531" s="2" t="s">
        <v>9</v>
      </c>
      <c r="D11531" s="2" t="s">
        <v>10</v>
      </c>
      <c r="E11531" s="2" t="str">
        <f>HYPERLINK("http://ts.21cn.com/tousu/show/id/1342824","http://ts.21cn.com/tousu/show/id/1342824")</f>
        <v>http://ts.21cn.com/tousu/show/id/1342824</v>
      </c>
      <c r="F11531" s="2" t="s">
        <v>11</v>
      </c>
      <c r="G11531" s="2" t="s">
        <v>21482</v>
      </c>
      <c r="H11531" s="2" t="s">
        <v>21483</v>
      </c>
    </row>
    <row r="11532" spans="1:8" ht="25.05" customHeight="1" x14ac:dyDescent="0.25">
      <c r="A11532" s="2" t="s">
        <v>8</v>
      </c>
      <c r="B11532" s="2" t="str">
        <f>HYPERLINK("http://ts.21cn.com/tousu/show/id/1342826","小赢卡贷高利贷砍头息")</f>
        <v>小赢卡贷高利贷砍头息</v>
      </c>
      <c r="C11532" s="2" t="s">
        <v>9</v>
      </c>
      <c r="D11532" s="2" t="s">
        <v>10</v>
      </c>
      <c r="E11532" s="2" t="str">
        <f>HYPERLINK("http://ts.21cn.com/tousu/show/id/1342826","http://ts.21cn.com/tousu/show/id/1342826")</f>
        <v>http://ts.21cn.com/tousu/show/id/1342826</v>
      </c>
      <c r="F11532" s="2" t="s">
        <v>11</v>
      </c>
      <c r="G11532" s="2" t="s">
        <v>21480</v>
      </c>
      <c r="H11532" s="2" t="s">
        <v>21481</v>
      </c>
    </row>
    <row r="11533" spans="1:8" ht="25.05" customHeight="1" x14ac:dyDescent="0.25">
      <c r="A11533" s="2" t="s">
        <v>8</v>
      </c>
      <c r="B11533" s="2" t="str">
        <f>HYPERLINK("http://ts.21cn.com/tousu/show/id/1342825","网易游戏歧视苹果端玩家")</f>
        <v>网易游戏歧视苹果端玩家</v>
      </c>
      <c r="C11533" s="2" t="s">
        <v>9</v>
      </c>
      <c r="D11533" s="2" t="s">
        <v>10</v>
      </c>
      <c r="E11533" s="2" t="str">
        <f>HYPERLINK("http://ts.21cn.com/tousu/show/id/1342825","http://ts.21cn.com/tousu/show/id/1342825")</f>
        <v>http://ts.21cn.com/tousu/show/id/1342825</v>
      </c>
      <c r="F11533" s="2" t="s">
        <v>11</v>
      </c>
      <c r="G11533" s="2" t="s">
        <v>21478</v>
      </c>
      <c r="H11533" s="2" t="s">
        <v>21479</v>
      </c>
    </row>
    <row r="11534" spans="1:8" ht="25.05" customHeight="1" x14ac:dyDescent="0.25">
      <c r="A11534" s="2" t="s">
        <v>8</v>
      </c>
      <c r="B11534" s="2" t="str">
        <f>HYPERLINK("http://ts.21cn.com/tousu/show/id/1342807","付临门pos欺诈")</f>
        <v>付临门pos欺诈</v>
      </c>
      <c r="C11534" s="2" t="s">
        <v>9</v>
      </c>
      <c r="D11534" s="2" t="s">
        <v>10</v>
      </c>
      <c r="E11534" s="2" t="str">
        <f>HYPERLINK("http://ts.21cn.com/tousu/show/id/1342807","http://ts.21cn.com/tousu/show/id/1342807")</f>
        <v>http://ts.21cn.com/tousu/show/id/1342807</v>
      </c>
      <c r="F11534" s="2" t="s">
        <v>11</v>
      </c>
      <c r="G11534" s="2" t="s">
        <v>21476</v>
      </c>
      <c r="H11534" s="2" t="s">
        <v>21477</v>
      </c>
    </row>
    <row r="11535" spans="1:8" ht="25.05" customHeight="1" x14ac:dyDescent="0.25">
      <c r="A11535" s="2" t="s">
        <v>8</v>
      </c>
      <c r="B11535" s="2" t="str">
        <f>HYPERLINK("http://ts.21cn.com/tousu/show/id/1342827","甩手工具箱客服不回复退不了款")</f>
        <v>甩手工具箱客服不回复退不了款</v>
      </c>
      <c r="C11535" s="2" t="s">
        <v>9</v>
      </c>
      <c r="D11535" s="2" t="s">
        <v>10</v>
      </c>
      <c r="E11535" s="2" t="str">
        <f>HYPERLINK("http://ts.21cn.com/tousu/show/id/1342827","http://ts.21cn.com/tousu/show/id/1342827")</f>
        <v>http://ts.21cn.com/tousu/show/id/1342827</v>
      </c>
      <c r="F11535" s="2" t="s">
        <v>11</v>
      </c>
      <c r="G11535" s="2" t="s">
        <v>21474</v>
      </c>
      <c r="H11535" s="2" t="s">
        <v>21475</v>
      </c>
    </row>
    <row r="11536" spans="1:8" ht="25.05" customHeight="1" x14ac:dyDescent="0.25">
      <c r="A11536" s="2" t="s">
        <v>8</v>
      </c>
      <c r="B11536" s="2" t="str">
        <f>HYPERLINK("http://ts.21cn.com/tousu/show/id/1342828","美团平台处罚不合理")</f>
        <v>美团平台处罚不合理</v>
      </c>
      <c r="C11536" s="2" t="s">
        <v>9</v>
      </c>
      <c r="D11536" s="2" t="s">
        <v>10</v>
      </c>
      <c r="E11536" s="2" t="str">
        <f>HYPERLINK("http://ts.21cn.com/tousu/show/id/1342828","http://ts.21cn.com/tousu/show/id/1342828")</f>
        <v>http://ts.21cn.com/tousu/show/id/1342828</v>
      </c>
      <c r="F11536" s="2" t="s">
        <v>11</v>
      </c>
      <c r="G11536" s="2" t="s">
        <v>21472</v>
      </c>
      <c r="H11536" s="2" t="s">
        <v>21473</v>
      </c>
    </row>
    <row r="11537" spans="1:8" ht="25.05" customHeight="1" x14ac:dyDescent="0.25">
      <c r="A11537" s="2" t="s">
        <v>8</v>
      </c>
      <c r="B11537" s="2" t="str">
        <f>HYPERLINK("http://ts.21cn.com/tousu/show/id/1342829","左右钱包暴力催收")</f>
        <v>左右钱包暴力催收</v>
      </c>
      <c r="C11537" s="2" t="s">
        <v>9</v>
      </c>
      <c r="D11537" s="2" t="s">
        <v>10</v>
      </c>
      <c r="E11537" s="2" t="str">
        <f>HYPERLINK("http://ts.21cn.com/tousu/show/id/1342829","http://ts.21cn.com/tousu/show/id/1342829")</f>
        <v>http://ts.21cn.com/tousu/show/id/1342829</v>
      </c>
      <c r="F11537" s="2" t="s">
        <v>11</v>
      </c>
      <c r="G11537" s="2" t="s">
        <v>21470</v>
      </c>
      <c r="H11537" s="2" t="s">
        <v>21471</v>
      </c>
    </row>
    <row r="11538" spans="1:8" ht="25.05" customHeight="1" x14ac:dyDescent="0.25">
      <c r="A11538" s="2" t="s">
        <v>8</v>
      </c>
      <c r="B11538" s="2" t="str">
        <f>HYPERLINK("http://ts.21cn.com/tousu/show/id/1342830","卖家长时间不发货我退款了就给我购物限制")</f>
        <v>卖家长时间不发货我退款了就给我购物限制</v>
      </c>
      <c r="C11538" s="2" t="s">
        <v>34</v>
      </c>
      <c r="D11538" s="2" t="s">
        <v>10</v>
      </c>
      <c r="E11538" s="2" t="str">
        <f>HYPERLINK("http://ts.21cn.com/tousu/show/id/1342830","http://ts.21cn.com/tousu/show/id/1342830")</f>
        <v>http://ts.21cn.com/tousu/show/id/1342830</v>
      </c>
      <c r="F11538" s="2" t="s">
        <v>11</v>
      </c>
      <c r="G11538" s="2" t="s">
        <v>21468</v>
      </c>
      <c r="H11538" s="2" t="s">
        <v>21469</v>
      </c>
    </row>
    <row r="11539" spans="1:8" ht="25.05" customHeight="1" x14ac:dyDescent="0.25">
      <c r="A11539" s="2" t="s">
        <v>8</v>
      </c>
      <c r="B11539" s="2" t="str">
        <f>HYPERLINK("http://ts.21cn.com/tousu/show/id/1342832","滴滴平台乱扣服务分")</f>
        <v>滴滴平台乱扣服务分</v>
      </c>
      <c r="C11539" s="2" t="s">
        <v>9</v>
      </c>
      <c r="D11539" s="2" t="s">
        <v>10</v>
      </c>
      <c r="E11539" s="2" t="str">
        <f>HYPERLINK("http://ts.21cn.com/tousu/show/id/1342832","http://ts.21cn.com/tousu/show/id/1342832")</f>
        <v>http://ts.21cn.com/tousu/show/id/1342832</v>
      </c>
      <c r="F11539" s="2" t="s">
        <v>11</v>
      </c>
      <c r="G11539" s="2" t="s">
        <v>21466</v>
      </c>
      <c r="H11539" s="2" t="s">
        <v>21467</v>
      </c>
    </row>
    <row r="11540" spans="1:8" ht="25.05" customHeight="1" x14ac:dyDescent="0.25">
      <c r="A11540" s="2" t="s">
        <v>8</v>
      </c>
      <c r="B11540" s="2" t="str">
        <f>HYPERLINK("http://ts.21cn.com/tousu/show/id/1342834","钱站高利贷阴阳合同")</f>
        <v>钱站高利贷阴阳合同</v>
      </c>
      <c r="C11540" s="2" t="s">
        <v>9</v>
      </c>
      <c r="D11540" s="2" t="s">
        <v>10</v>
      </c>
      <c r="E11540" s="2" t="str">
        <f>HYPERLINK("http://ts.21cn.com/tousu/show/id/1342834","http://ts.21cn.com/tousu/show/id/1342834")</f>
        <v>http://ts.21cn.com/tousu/show/id/1342834</v>
      </c>
      <c r="F11540" s="2" t="s">
        <v>11</v>
      </c>
      <c r="G11540" s="2" t="s">
        <v>21464</v>
      </c>
      <c r="H11540" s="2" t="s">
        <v>21465</v>
      </c>
    </row>
    <row r="11541" spans="1:8" ht="25.05" customHeight="1" x14ac:dyDescent="0.25">
      <c r="A11541" s="2" t="s">
        <v>8</v>
      </c>
      <c r="B11541" s="2" t="str">
        <f>HYPERLINK("http://ts.21cn.com/tousu/show/id/1342656","起来嗨高利贷套路贷平台")</f>
        <v>起来嗨高利贷套路贷平台</v>
      </c>
      <c r="C11541" s="2" t="s">
        <v>9</v>
      </c>
      <c r="D11541" s="2" t="s">
        <v>10</v>
      </c>
      <c r="E11541" s="2" t="str">
        <f>HYPERLINK("http://ts.21cn.com/tousu/show/id/1342656","http://ts.21cn.com/tousu/show/id/1342656")</f>
        <v>http://ts.21cn.com/tousu/show/id/1342656</v>
      </c>
      <c r="F11541" s="2" t="s">
        <v>11</v>
      </c>
      <c r="G11541" s="2" t="s">
        <v>21462</v>
      </c>
      <c r="H11541" s="2" t="s">
        <v>21463</v>
      </c>
    </row>
    <row r="11542" spans="1:8" ht="25.05" customHeight="1" x14ac:dyDescent="0.25">
      <c r="A11542" s="2" t="s">
        <v>8</v>
      </c>
      <c r="B11542" s="2" t="str">
        <f>HYPERLINK("http://ts.21cn.com/tousu/show/id/1342837","拼多多不予退款")</f>
        <v>拼多多不予退款</v>
      </c>
      <c r="C11542" s="2" t="s">
        <v>9</v>
      </c>
      <c r="D11542" s="2" t="s">
        <v>10</v>
      </c>
      <c r="E11542" s="2" t="str">
        <f>HYPERLINK("http://ts.21cn.com/tousu/show/id/1342837","http://ts.21cn.com/tousu/show/id/1342837")</f>
        <v>http://ts.21cn.com/tousu/show/id/1342837</v>
      </c>
      <c r="F11542" s="2" t="s">
        <v>11</v>
      </c>
      <c r="G11542" s="2" t="s">
        <v>21460</v>
      </c>
      <c r="H11542" s="2" t="s">
        <v>21461</v>
      </c>
    </row>
    <row r="11543" spans="1:8" ht="25.05" customHeight="1" x14ac:dyDescent="0.25">
      <c r="A11543" s="2" t="s">
        <v>8</v>
      </c>
      <c r="B11543" s="2" t="str">
        <f>HYPERLINK("http://ts.21cn.com/tousu/show/id/1342838","微信支付无故被永久冻结零钱不让提现")</f>
        <v>微信支付无故被永久冻结零钱不让提现</v>
      </c>
      <c r="C11543" s="2" t="s">
        <v>9</v>
      </c>
      <c r="D11543" s="2" t="s">
        <v>10</v>
      </c>
      <c r="E11543" s="2" t="str">
        <f>HYPERLINK("http://ts.21cn.com/tousu/show/id/1342838","http://ts.21cn.com/tousu/show/id/1342838")</f>
        <v>http://ts.21cn.com/tousu/show/id/1342838</v>
      </c>
      <c r="F11543" s="2" t="s">
        <v>11</v>
      </c>
      <c r="G11543" s="2" t="s">
        <v>21458</v>
      </c>
      <c r="H11543" s="2" t="s">
        <v>21459</v>
      </c>
    </row>
    <row r="11544" spans="1:8" ht="25.05" customHeight="1" x14ac:dyDescent="0.25">
      <c r="A11544" s="2" t="s">
        <v>8</v>
      </c>
      <c r="B11544" s="2" t="str">
        <f>HYPERLINK("http://ts.21cn.com/tousu/show/id/1342840","在网上看到升学教育在他们的诱惑下报名了报名后态度不一样了我想申请退款却不行")</f>
        <v>在网上看到升学教育在他们的诱惑下报名了报名后态度不一样了我想申请退款却不行</v>
      </c>
      <c r="C11544" s="2" t="s">
        <v>34</v>
      </c>
      <c r="D11544" s="2" t="s">
        <v>10</v>
      </c>
      <c r="E11544" s="2" t="str">
        <f>HYPERLINK("http://ts.21cn.com/tousu/show/id/1342840","http://ts.21cn.com/tousu/show/id/1342840")</f>
        <v>http://ts.21cn.com/tousu/show/id/1342840</v>
      </c>
      <c r="F11544" s="2" t="s">
        <v>11</v>
      </c>
      <c r="G11544" s="2" t="s">
        <v>21456</v>
      </c>
      <c r="H11544" s="2" t="s">
        <v>21457</v>
      </c>
    </row>
    <row r="11545" spans="1:8" ht="25.05" customHeight="1" x14ac:dyDescent="0.25">
      <c r="A11545" s="2" t="s">
        <v>8</v>
      </c>
      <c r="B11545" s="2" t="str">
        <f>HYPERLINK("http://ts.21cn.com/tousu/show/id/1342841","转转账号冻结，平台不打款")</f>
        <v>转转账号冻结，平台不打款</v>
      </c>
      <c r="C11545" s="2" t="s">
        <v>34</v>
      </c>
      <c r="D11545" s="2" t="s">
        <v>10</v>
      </c>
      <c r="E11545" s="2" t="str">
        <f>HYPERLINK("http://ts.21cn.com/tousu/show/id/1342841","http://ts.21cn.com/tousu/show/id/1342841")</f>
        <v>http://ts.21cn.com/tousu/show/id/1342841</v>
      </c>
      <c r="F11545" s="2" t="s">
        <v>11</v>
      </c>
      <c r="G11545" s="2" t="s">
        <v>21454</v>
      </c>
      <c r="H11545" s="2" t="s">
        <v>21455</v>
      </c>
    </row>
    <row r="11546" spans="1:8" ht="25.05" customHeight="1" x14ac:dyDescent="0.25">
      <c r="A11546" s="2" t="s">
        <v>8</v>
      </c>
      <c r="B11546" s="2" t="str">
        <f>HYPERLINK("http://ts.21cn.com/tousu/show/id/1342842","51金钱贷提前结清手续费太高")</f>
        <v>51金钱贷提前结清手续费太高</v>
      </c>
      <c r="C11546" s="2" t="s">
        <v>9</v>
      </c>
      <c r="D11546" s="2" t="s">
        <v>10</v>
      </c>
      <c r="E11546" s="2" t="str">
        <f>HYPERLINK("http://ts.21cn.com/tousu/show/id/1342842","http://ts.21cn.com/tousu/show/id/1342842")</f>
        <v>http://ts.21cn.com/tousu/show/id/1342842</v>
      </c>
      <c r="F11546" s="2" t="s">
        <v>11</v>
      </c>
      <c r="G11546" s="2" t="s">
        <v>21452</v>
      </c>
      <c r="H11546" s="2" t="s">
        <v>21453</v>
      </c>
    </row>
    <row r="11547" spans="1:8" ht="25.05" customHeight="1" x14ac:dyDescent="0.25">
      <c r="A11547" s="2" t="s">
        <v>8</v>
      </c>
      <c r="B11547" s="2" t="str">
        <f>HYPERLINK("http://ts.21cn.com/tousu/show/id/1342843","主良缘服务乱象销售手法不当签约过程不规范")</f>
        <v>主良缘服务乱象销售手法不当签约过程不规范</v>
      </c>
      <c r="C11547" s="2" t="s">
        <v>9</v>
      </c>
      <c r="D11547" s="2" t="s">
        <v>10</v>
      </c>
      <c r="E11547" s="2" t="str">
        <f>HYPERLINK("http://ts.21cn.com/tousu/show/id/1342843","http://ts.21cn.com/tousu/show/id/1342843")</f>
        <v>http://ts.21cn.com/tousu/show/id/1342843</v>
      </c>
      <c r="F11547" s="2" t="s">
        <v>11</v>
      </c>
      <c r="G11547" s="2" t="s">
        <v>21450</v>
      </c>
      <c r="H11547" s="2" t="s">
        <v>21451</v>
      </c>
    </row>
    <row r="11548" spans="1:8" ht="25.05" customHeight="1" x14ac:dyDescent="0.25">
      <c r="A11548" s="2" t="s">
        <v>8</v>
      </c>
      <c r="B11548" s="2" t="str">
        <f>HYPERLINK("http://ts.21cn.com/tousu/show/id/1342844","钱站阴阳合同高利贷暴力催收")</f>
        <v>钱站阴阳合同高利贷暴力催收</v>
      </c>
      <c r="C11548" s="2" t="s">
        <v>9</v>
      </c>
      <c r="D11548" s="2" t="s">
        <v>10</v>
      </c>
      <c r="E11548" s="2" t="str">
        <f>HYPERLINK("http://ts.21cn.com/tousu/show/id/1342844","http://ts.21cn.com/tousu/show/id/1342844")</f>
        <v>http://ts.21cn.com/tousu/show/id/1342844</v>
      </c>
      <c r="F11548" s="2" t="s">
        <v>11</v>
      </c>
      <c r="G11548" s="2" t="s">
        <v>21448</v>
      </c>
      <c r="H11548" s="2" t="s">
        <v>21449</v>
      </c>
    </row>
    <row r="11549" spans="1:8" ht="25.05" customHeight="1" x14ac:dyDescent="0.25">
      <c r="A11549" s="2" t="s">
        <v>8</v>
      </c>
      <c r="B11549" s="2" t="str">
        <f>HYPERLINK("http://ts.21cn.com/tousu/show/id/1342845","上海跃吉旗下拇指下款私自扣钱")</f>
        <v>上海跃吉旗下拇指下款私自扣钱</v>
      </c>
      <c r="C11549" s="2" t="s">
        <v>9</v>
      </c>
      <c r="D11549" s="2" t="s">
        <v>10</v>
      </c>
      <c r="E11549" s="2" t="str">
        <f>HYPERLINK("http://ts.21cn.com/tousu/show/id/1342845","http://ts.21cn.com/tousu/show/id/1342845")</f>
        <v>http://ts.21cn.com/tousu/show/id/1342845</v>
      </c>
      <c r="F11549" s="2" t="s">
        <v>11</v>
      </c>
      <c r="G11549" s="2" t="s">
        <v>21446</v>
      </c>
      <c r="H11549" s="2" t="s">
        <v>21447</v>
      </c>
    </row>
    <row r="11550" spans="1:8" ht="25.05" customHeight="1" x14ac:dyDescent="0.25">
      <c r="A11550" s="2" t="s">
        <v>8</v>
      </c>
      <c r="B11550" s="2" t="str">
        <f>HYPERLINK("http://ts.21cn.com/tousu/show/id/1342846","电话短信恐吓催收")</f>
        <v>电话短信恐吓催收</v>
      </c>
      <c r="C11550" s="2" t="s">
        <v>9</v>
      </c>
      <c r="D11550" s="2" t="s">
        <v>10</v>
      </c>
      <c r="E11550" s="2" t="str">
        <f>HYPERLINK("http://ts.21cn.com/tousu/show/id/1342846","http://ts.21cn.com/tousu/show/id/1342846")</f>
        <v>http://ts.21cn.com/tousu/show/id/1342846</v>
      </c>
      <c r="F11550" s="2" t="s">
        <v>11</v>
      </c>
      <c r="G11550" s="2" t="s">
        <v>21444</v>
      </c>
      <c r="H11550" s="2" t="s">
        <v>21445</v>
      </c>
    </row>
    <row r="11551" spans="1:8" ht="25.05" customHeight="1" x14ac:dyDescent="0.25">
      <c r="A11551" s="2" t="s">
        <v>8</v>
      </c>
      <c r="B11551" s="2" t="str">
        <f>HYPERLINK("http://ts.21cn.com/tousu/show/id/1342847","高升本，退本科款")</f>
        <v>高升本，退本科款</v>
      </c>
      <c r="C11551" s="2" t="s">
        <v>34</v>
      </c>
      <c r="D11551" s="2" t="s">
        <v>10</v>
      </c>
      <c r="E11551" s="2" t="str">
        <f>HYPERLINK("http://ts.21cn.com/tousu/show/id/1342847","http://ts.21cn.com/tousu/show/id/1342847")</f>
        <v>http://ts.21cn.com/tousu/show/id/1342847</v>
      </c>
      <c r="F11551" s="2" t="s">
        <v>11</v>
      </c>
      <c r="G11551" s="2" t="s">
        <v>21442</v>
      </c>
      <c r="H11551" s="2" t="s">
        <v>21443</v>
      </c>
    </row>
    <row r="11552" spans="1:8" ht="25.05" customHeight="1" x14ac:dyDescent="0.25">
      <c r="A11552" s="2" t="s">
        <v>8</v>
      </c>
      <c r="B11552" s="2" t="str">
        <f>HYPERLINK("http://ts.21cn.com/tousu/show/id/1342848","佰仟金融借款利息高于国家规定，要求退还多还款金额并销账")</f>
        <v>佰仟金融借款利息高于国家规定，要求退还多还款金额并销账</v>
      </c>
      <c r="C11552" s="2" t="s">
        <v>34</v>
      </c>
      <c r="D11552" s="2" t="s">
        <v>10</v>
      </c>
      <c r="E11552" s="2" t="str">
        <f>HYPERLINK("http://ts.21cn.com/tousu/show/id/1342848","http://ts.21cn.com/tousu/show/id/1342848")</f>
        <v>http://ts.21cn.com/tousu/show/id/1342848</v>
      </c>
      <c r="F11552" s="2" t="s">
        <v>11</v>
      </c>
      <c r="G11552" s="2" t="s">
        <v>21440</v>
      </c>
      <c r="H11552" s="2" t="s">
        <v>21441</v>
      </c>
    </row>
    <row r="11553" spans="1:8" ht="25.05" customHeight="1" x14ac:dyDescent="0.25">
      <c r="A11553" s="2" t="s">
        <v>8</v>
      </c>
      <c r="B11553" s="2" t="str">
        <f>HYPERLINK("http://ts.21cn.com/tousu/show/id/1342849","消费不提供快件重量，说少件，拼多多支持退款还要判责商家。")</f>
        <v>消费不提供快件重量，说少件，拼多多支持退款还要判责商家。</v>
      </c>
      <c r="C11553" s="2" t="s">
        <v>9</v>
      </c>
      <c r="D11553" s="2" t="s">
        <v>10</v>
      </c>
      <c r="E11553" s="2" t="str">
        <f>HYPERLINK("http://ts.21cn.com/tousu/show/id/1342849","http://ts.21cn.com/tousu/show/id/1342849")</f>
        <v>http://ts.21cn.com/tousu/show/id/1342849</v>
      </c>
      <c r="F11553" s="2" t="s">
        <v>11</v>
      </c>
      <c r="G11553" s="2" t="s">
        <v>21438</v>
      </c>
      <c r="H11553" s="2" t="s">
        <v>21439</v>
      </c>
    </row>
    <row r="11554" spans="1:8" ht="25.05" customHeight="1" x14ac:dyDescent="0.25">
      <c r="A11554" s="2" t="s">
        <v>8</v>
      </c>
      <c r="B11554" s="2" t="str">
        <f>HYPERLINK("http://ts.21cn.com/tousu/show/id/1342850","玖富万卡欺诈")</f>
        <v>玖富万卡欺诈</v>
      </c>
      <c r="C11554" s="2" t="s">
        <v>9</v>
      </c>
      <c r="D11554" s="2" t="s">
        <v>10</v>
      </c>
      <c r="E11554" s="2" t="str">
        <f>HYPERLINK("http://ts.21cn.com/tousu/show/id/1342850","http://ts.21cn.com/tousu/show/id/1342850")</f>
        <v>http://ts.21cn.com/tousu/show/id/1342850</v>
      </c>
      <c r="F11554" s="2" t="s">
        <v>11</v>
      </c>
      <c r="G11554" s="2" t="s">
        <v>21436</v>
      </c>
      <c r="H11554" s="2" t="s">
        <v>21437</v>
      </c>
    </row>
    <row r="11555" spans="1:8" ht="25.05" customHeight="1" x14ac:dyDescent="0.25">
      <c r="A11555" s="2" t="s">
        <v>8</v>
      </c>
      <c r="B11555" s="2" t="str">
        <f>HYPERLINK("http://ts.21cn.com/tousu/show/id/1342851","投诉造艺科技与聚福钱包恶意扣款")</f>
        <v>投诉造艺科技与聚福钱包恶意扣款</v>
      </c>
      <c r="C11555" s="2" t="s">
        <v>9</v>
      </c>
      <c r="D11555" s="2" t="s">
        <v>10</v>
      </c>
      <c r="E11555" s="2" t="str">
        <f>HYPERLINK("http://ts.21cn.com/tousu/show/id/1342851","http://ts.21cn.com/tousu/show/id/1342851")</f>
        <v>http://ts.21cn.com/tousu/show/id/1342851</v>
      </c>
      <c r="F11555" s="2" t="s">
        <v>11</v>
      </c>
      <c r="G11555" s="2" t="s">
        <v>21434</v>
      </c>
      <c r="H11555" s="2" t="s">
        <v>21435</v>
      </c>
    </row>
    <row r="11556" spans="1:8" ht="25.05" customHeight="1" x14ac:dyDescent="0.25">
      <c r="A11556" s="2" t="s">
        <v>8</v>
      </c>
      <c r="B11556" s="2" t="str">
        <f>HYPERLINK("http://ts.21cn.com/tousu/show/id/1342852","拼多多恶意拖欠商家保证金")</f>
        <v>拼多多恶意拖欠商家保证金</v>
      </c>
      <c r="C11556" s="2" t="s">
        <v>9</v>
      </c>
      <c r="D11556" s="2" t="s">
        <v>10</v>
      </c>
      <c r="E11556" s="2" t="str">
        <f>HYPERLINK("http://ts.21cn.com/tousu/show/id/1342852","http://ts.21cn.com/tousu/show/id/1342852")</f>
        <v>http://ts.21cn.com/tousu/show/id/1342852</v>
      </c>
      <c r="F11556" s="2" t="s">
        <v>11</v>
      </c>
      <c r="G11556" s="2" t="s">
        <v>21432</v>
      </c>
      <c r="H11556" s="2" t="s">
        <v>21433</v>
      </c>
    </row>
    <row r="11557" spans="1:8" ht="25.05" customHeight="1" x14ac:dyDescent="0.25">
      <c r="A11557" s="2" t="s">
        <v>8</v>
      </c>
      <c r="B11557" s="2" t="str">
        <f>HYPERLINK("http://ts.21cn.com/tousu/show/id/1342853","美团骑手不配送客服不作为主动挂电话")</f>
        <v>美团骑手不配送客服不作为主动挂电话</v>
      </c>
      <c r="C11557" s="2" t="s">
        <v>9</v>
      </c>
      <c r="D11557" s="2" t="s">
        <v>10</v>
      </c>
      <c r="E11557" s="2" t="str">
        <f>HYPERLINK("http://ts.21cn.com/tousu/show/id/1342853","http://ts.21cn.com/tousu/show/id/1342853")</f>
        <v>http://ts.21cn.com/tousu/show/id/1342853</v>
      </c>
      <c r="F11557" s="2" t="s">
        <v>11</v>
      </c>
      <c r="G11557" s="2" t="s">
        <v>21430</v>
      </c>
      <c r="H11557" s="2" t="s">
        <v>21431</v>
      </c>
    </row>
    <row r="11558" spans="1:8" ht="25.05" customHeight="1" x14ac:dyDescent="0.25">
      <c r="A11558" s="2" t="s">
        <v>8</v>
      </c>
      <c r="B11558" s="2" t="str">
        <f>HYPERLINK("http://ts.21cn.com/tousu/show/id/1342854","拉卡拉小额贷款公司套路贷")</f>
        <v>拉卡拉小额贷款公司套路贷</v>
      </c>
      <c r="C11558" s="2" t="s">
        <v>9</v>
      </c>
      <c r="D11558" s="2" t="s">
        <v>10</v>
      </c>
      <c r="E11558" s="2" t="str">
        <f>HYPERLINK("http://ts.21cn.com/tousu/show/id/1342854","http://ts.21cn.com/tousu/show/id/1342854")</f>
        <v>http://ts.21cn.com/tousu/show/id/1342854</v>
      </c>
      <c r="F11558" s="2" t="s">
        <v>11</v>
      </c>
      <c r="G11558" s="2" t="s">
        <v>21428</v>
      </c>
      <c r="H11558" s="2" t="s">
        <v>21429</v>
      </c>
    </row>
    <row r="11559" spans="1:8" ht="25.05" customHeight="1" x14ac:dyDescent="0.25">
      <c r="A11559" s="2" t="s">
        <v>8</v>
      </c>
      <c r="B11559" s="2" t="str">
        <f>HYPERLINK("http://ts.21cn.com/tousu/show/id/1342855","我来贷阴阳合同，高利贷")</f>
        <v>我来贷阴阳合同，高利贷</v>
      </c>
      <c r="C11559" s="2" t="s">
        <v>9</v>
      </c>
      <c r="D11559" s="2" t="s">
        <v>10</v>
      </c>
      <c r="E11559" s="2" t="str">
        <f>HYPERLINK("http://ts.21cn.com/tousu/show/id/1342855","http://ts.21cn.com/tousu/show/id/1342855")</f>
        <v>http://ts.21cn.com/tousu/show/id/1342855</v>
      </c>
      <c r="F11559" s="2" t="s">
        <v>11</v>
      </c>
      <c r="G11559" s="2" t="s">
        <v>21426</v>
      </c>
      <c r="H11559" s="2" t="s">
        <v>21427</v>
      </c>
    </row>
    <row r="11560" spans="1:8" ht="25.05" customHeight="1" x14ac:dyDescent="0.25">
      <c r="A11560" s="2" t="s">
        <v>8</v>
      </c>
      <c r="B11560" s="2" t="str">
        <f>HYPERLINK("http://ts.21cn.com/tousu/show/id/1342856","高利贷")</f>
        <v>高利贷</v>
      </c>
      <c r="C11560" s="2" t="s">
        <v>9</v>
      </c>
      <c r="D11560" s="2" t="s">
        <v>10</v>
      </c>
      <c r="E11560" s="2" t="str">
        <f>HYPERLINK("http://ts.21cn.com/tousu/show/id/1342856","http://ts.21cn.com/tousu/show/id/1342856")</f>
        <v>http://ts.21cn.com/tousu/show/id/1342856</v>
      </c>
      <c r="F11560" s="2" t="s">
        <v>11</v>
      </c>
      <c r="G11560" s="2" t="s">
        <v>21424</v>
      </c>
      <c r="H11560" s="2" t="s">
        <v>21425</v>
      </c>
    </row>
    <row r="11561" spans="1:8" ht="25.05" customHeight="1" x14ac:dyDescent="0.25">
      <c r="A11561" s="2" t="s">
        <v>8</v>
      </c>
      <c r="B11561" s="2" t="str">
        <f>HYPERLINK("http://ts.21cn.com/tousu/show/id/1342857","支付宝不作为")</f>
        <v>支付宝不作为</v>
      </c>
      <c r="C11561" s="2" t="s">
        <v>9</v>
      </c>
      <c r="D11561" s="2" t="s">
        <v>10</v>
      </c>
      <c r="E11561" s="2" t="str">
        <f>HYPERLINK("http://ts.21cn.com/tousu/show/id/1342857","http://ts.21cn.com/tousu/show/id/1342857")</f>
        <v>http://ts.21cn.com/tousu/show/id/1342857</v>
      </c>
      <c r="F11561" s="2" t="s">
        <v>11</v>
      </c>
      <c r="G11561" s="2" t="s">
        <v>21422</v>
      </c>
      <c r="H11561" s="2" t="s">
        <v>21423</v>
      </c>
    </row>
    <row r="11562" spans="1:8" ht="25.05" customHeight="1" x14ac:dyDescent="0.25">
      <c r="A11562" s="2" t="s">
        <v>8</v>
      </c>
      <c r="B11562" s="2" t="str">
        <f>HYPERLINK("http://ts.21cn.com/tousu/show/id/1342858","云充吧驿站坑人，客服不给处理")</f>
        <v>云充吧驿站坑人，客服不给处理</v>
      </c>
      <c r="C11562" s="2" t="s">
        <v>9</v>
      </c>
      <c r="D11562" s="2" t="s">
        <v>10</v>
      </c>
      <c r="E11562" s="2" t="str">
        <f>HYPERLINK("http://ts.21cn.com/tousu/show/id/1342858","http://ts.21cn.com/tousu/show/id/1342858")</f>
        <v>http://ts.21cn.com/tousu/show/id/1342858</v>
      </c>
      <c r="F11562" s="2" t="s">
        <v>11</v>
      </c>
      <c r="G11562" s="2" t="s">
        <v>21420</v>
      </c>
      <c r="H11562" s="2" t="s">
        <v>21421</v>
      </c>
    </row>
    <row r="11563" spans="1:8" ht="25.05" customHeight="1" x14ac:dyDescent="0.25">
      <c r="A11563" s="2" t="s">
        <v>8</v>
      </c>
      <c r="B11563" s="2" t="str">
        <f>HYPERLINK("http://ts.21cn.com/tousu/show/id/1342859","投诉北京博学教育")</f>
        <v>投诉北京博学教育</v>
      </c>
      <c r="C11563" s="2" t="s">
        <v>9</v>
      </c>
      <c r="D11563" s="2" t="s">
        <v>10</v>
      </c>
      <c r="E11563" s="2" t="str">
        <f>HYPERLINK("http://ts.21cn.com/tousu/show/id/1342859","http://ts.21cn.com/tousu/show/id/1342859")</f>
        <v>http://ts.21cn.com/tousu/show/id/1342859</v>
      </c>
      <c r="F11563" s="2" t="s">
        <v>11</v>
      </c>
      <c r="G11563" s="2" t="s">
        <v>21418</v>
      </c>
      <c r="H11563" s="2" t="s">
        <v>21419</v>
      </c>
    </row>
    <row r="11564" spans="1:8" ht="25.05" customHeight="1" x14ac:dyDescent="0.25">
      <c r="A11564" s="2" t="s">
        <v>8</v>
      </c>
      <c r="B11564" s="2" t="str">
        <f>HYPERLINK("http://ts.21cn.com/tousu/show/id/1342778","拍拍贷一个月13.45%利息")</f>
        <v>拍拍贷一个月13.45%利息</v>
      </c>
      <c r="C11564" s="2" t="s">
        <v>9</v>
      </c>
      <c r="D11564" s="2" t="s">
        <v>10</v>
      </c>
      <c r="E11564" s="2" t="str">
        <f>HYPERLINK("http://ts.21cn.com/tousu/show/id/1342778","http://ts.21cn.com/tousu/show/id/1342778")</f>
        <v>http://ts.21cn.com/tousu/show/id/1342778</v>
      </c>
      <c r="F11564" s="2" t="s">
        <v>11</v>
      </c>
      <c r="G11564" s="2" t="s">
        <v>21416</v>
      </c>
      <c r="H11564" s="2" t="s">
        <v>21417</v>
      </c>
    </row>
    <row r="11565" spans="1:8" ht="25.05" customHeight="1" x14ac:dyDescent="0.25">
      <c r="A11565" s="2" t="s">
        <v>8</v>
      </c>
      <c r="B11565" s="2" t="str">
        <f>HYPERLINK("http://ts.21cn.com/tousu/show/id/1342860","群发信息，对个人声誉造成不良影响。")</f>
        <v>群发信息，对个人声誉造成不良影响。</v>
      </c>
      <c r="C11565" s="2" t="s">
        <v>9</v>
      </c>
      <c r="D11565" s="2" t="s">
        <v>10</v>
      </c>
      <c r="E11565" s="2" t="str">
        <f>HYPERLINK("http://ts.21cn.com/tousu/show/id/1342860","http://ts.21cn.com/tousu/show/id/1342860")</f>
        <v>http://ts.21cn.com/tousu/show/id/1342860</v>
      </c>
      <c r="F11565" s="2" t="s">
        <v>11</v>
      </c>
      <c r="G11565" s="2" t="s">
        <v>21414</v>
      </c>
      <c r="H11565" s="2" t="s">
        <v>21415</v>
      </c>
    </row>
    <row r="11566" spans="1:8" ht="25.05" customHeight="1" x14ac:dyDescent="0.25">
      <c r="A11566" s="2" t="s">
        <v>8</v>
      </c>
      <c r="B11566" s="2" t="str">
        <f>HYPERLINK("http://ts.21cn.com/tousu/show/id/1342861","有赞云商城不予退款，")</f>
        <v>有赞云商城不予退款，</v>
      </c>
      <c r="C11566" s="2" t="s">
        <v>9</v>
      </c>
      <c r="D11566" s="2" t="s">
        <v>10</v>
      </c>
      <c r="E11566" s="2" t="str">
        <f>HYPERLINK("http://ts.21cn.com/tousu/show/id/1342861","http://ts.21cn.com/tousu/show/id/1342861")</f>
        <v>http://ts.21cn.com/tousu/show/id/1342861</v>
      </c>
      <c r="F11566" s="2" t="s">
        <v>11</v>
      </c>
      <c r="G11566" s="2" t="s">
        <v>21412</v>
      </c>
      <c r="H11566" s="2" t="s">
        <v>21413</v>
      </c>
    </row>
    <row r="11567" spans="1:8" ht="25.05" customHeight="1" x14ac:dyDescent="0.25">
      <c r="A11567" s="2" t="s">
        <v>8</v>
      </c>
      <c r="B11567" s="2" t="str">
        <f>HYPERLINK("http://ts.21cn.com/tousu/show/id/1342862","未经同意私自扣款")</f>
        <v>未经同意私自扣款</v>
      </c>
      <c r="C11567" s="2" t="s">
        <v>9</v>
      </c>
      <c r="D11567" s="2" t="s">
        <v>10</v>
      </c>
      <c r="E11567" s="2" t="str">
        <f>HYPERLINK("http://ts.21cn.com/tousu/show/id/1342862","http://ts.21cn.com/tousu/show/id/1342862")</f>
        <v>http://ts.21cn.com/tousu/show/id/1342862</v>
      </c>
      <c r="F11567" s="2" t="s">
        <v>11</v>
      </c>
      <c r="G11567" s="2" t="s">
        <v>21410</v>
      </c>
      <c r="H11567" s="2" t="s">
        <v>21411</v>
      </c>
    </row>
    <row r="11568" spans="1:8" ht="25.05" customHeight="1" x14ac:dyDescent="0.25">
      <c r="A11568" s="2" t="s">
        <v>8</v>
      </c>
      <c r="B11568" s="2" t="str">
        <f>HYPERLINK("http://ts.21cn.com/tousu/show/id/1342863","谁来监管玖富万卡高利贷")</f>
        <v>谁来监管玖富万卡高利贷</v>
      </c>
      <c r="C11568" s="2" t="s">
        <v>9</v>
      </c>
      <c r="D11568" s="2" t="s">
        <v>10</v>
      </c>
      <c r="E11568" s="2" t="str">
        <f>HYPERLINK("http://ts.21cn.com/tousu/show/id/1342863","http://ts.21cn.com/tousu/show/id/1342863")</f>
        <v>http://ts.21cn.com/tousu/show/id/1342863</v>
      </c>
      <c r="F11568" s="2" t="s">
        <v>11</v>
      </c>
      <c r="G11568" s="2" t="s">
        <v>21408</v>
      </c>
      <c r="H11568" s="2" t="s">
        <v>21409</v>
      </c>
    </row>
    <row r="11569" spans="1:8" ht="25.05" customHeight="1" x14ac:dyDescent="0.25">
      <c r="A11569" s="2" t="s">
        <v>8</v>
      </c>
      <c r="B11569" s="2" t="str">
        <f>HYPERLINK("http://ts.21cn.com/tousu/show/id/1342864","京东第三方商家商品质量差却不同意退货退款")</f>
        <v>京东第三方商家商品质量差却不同意退货退款</v>
      </c>
      <c r="C11569" s="2" t="s">
        <v>9</v>
      </c>
      <c r="D11569" s="2" t="s">
        <v>10</v>
      </c>
      <c r="E11569" s="2" t="str">
        <f>HYPERLINK("http://ts.21cn.com/tousu/show/id/1342864","http://ts.21cn.com/tousu/show/id/1342864")</f>
        <v>http://ts.21cn.com/tousu/show/id/1342864</v>
      </c>
      <c r="F11569" s="2" t="s">
        <v>11</v>
      </c>
      <c r="G11569" s="2" t="s">
        <v>21406</v>
      </c>
      <c r="H11569" s="2" t="s">
        <v>21407</v>
      </c>
    </row>
    <row r="11570" spans="1:8" ht="25.05" customHeight="1" x14ac:dyDescent="0.25">
      <c r="A11570" s="2" t="s">
        <v>8</v>
      </c>
      <c r="B11570" s="2" t="str">
        <f>HYPERLINK("http://ts.21cn.com/tousu/show/id/1342865","来这分期高利贷")</f>
        <v>来这分期高利贷</v>
      </c>
      <c r="C11570" s="2" t="s">
        <v>9</v>
      </c>
      <c r="D11570" s="2" t="s">
        <v>10</v>
      </c>
      <c r="E11570" s="2" t="str">
        <f>HYPERLINK("http://ts.21cn.com/tousu/show/id/1342865","http://ts.21cn.com/tousu/show/id/1342865")</f>
        <v>http://ts.21cn.com/tousu/show/id/1342865</v>
      </c>
      <c r="F11570" s="2" t="s">
        <v>11</v>
      </c>
      <c r="G11570" s="2" t="s">
        <v>21404</v>
      </c>
      <c r="H11570" s="2" t="s">
        <v>21405</v>
      </c>
    </row>
    <row r="11571" spans="1:8" ht="25.05" customHeight="1" x14ac:dyDescent="0.25">
      <c r="A11571" s="2" t="s">
        <v>8</v>
      </c>
      <c r="B11571" s="2" t="str">
        <f>HYPERLINK("http://ts.21cn.com/tousu/show/id/1342867","在皮皮搞笑的广告内，看到一个交友网站了，就进去然后0块钱领三天会员，不经过我同意扣我99块钱还有69块钱")</f>
        <v>在皮皮搞笑的广告内，看到一个交友网站了，就进去然后0块钱领三天会员，不经过我同意扣我99块钱还有69块钱</v>
      </c>
      <c r="C11571" s="2" t="s">
        <v>34</v>
      </c>
      <c r="D11571" s="2" t="s">
        <v>10</v>
      </c>
      <c r="E11571" s="2" t="str">
        <f>HYPERLINK("http://ts.21cn.com/tousu/show/id/1342867","http://ts.21cn.com/tousu/show/id/1342867")</f>
        <v>http://ts.21cn.com/tousu/show/id/1342867</v>
      </c>
      <c r="F11571" s="2" t="s">
        <v>11</v>
      </c>
      <c r="G11571" s="2" t="s">
        <v>21402</v>
      </c>
      <c r="H11571" s="2" t="s">
        <v>21403</v>
      </c>
    </row>
    <row r="11572" spans="1:8" ht="25.05" customHeight="1" x14ac:dyDescent="0.25">
      <c r="A11572" s="2" t="s">
        <v>8</v>
      </c>
      <c r="B11572" s="2" t="str">
        <f>HYPERLINK("http://ts.21cn.com/tousu/show/id/1342833","圆通快递弄破损货物请赔偿我170元")</f>
        <v>圆通快递弄破损货物请赔偿我170元</v>
      </c>
      <c r="C11572" s="2" t="s">
        <v>9</v>
      </c>
      <c r="D11572" s="2" t="s">
        <v>10</v>
      </c>
      <c r="E11572" s="2" t="str">
        <f>HYPERLINK("http://ts.21cn.com/tousu/show/id/1342833","http://ts.21cn.com/tousu/show/id/1342833")</f>
        <v>http://ts.21cn.com/tousu/show/id/1342833</v>
      </c>
      <c r="F11572" s="2" t="s">
        <v>11</v>
      </c>
      <c r="G11572" s="2" t="s">
        <v>21400</v>
      </c>
      <c r="H11572" s="2" t="s">
        <v>21401</v>
      </c>
    </row>
    <row r="11573" spans="1:8" ht="25.05" customHeight="1" x14ac:dyDescent="0.25">
      <c r="A11573" s="2" t="s">
        <v>8</v>
      </c>
      <c r="B11573" s="2" t="str">
        <f>HYPERLINK("http://ts.21cn.com/tousu/show/id/1342868","现金巴士砍头息高利贷")</f>
        <v>现金巴士砍头息高利贷</v>
      </c>
      <c r="C11573" s="2" t="s">
        <v>9</v>
      </c>
      <c r="D11573" s="2" t="s">
        <v>10</v>
      </c>
      <c r="E11573" s="2" t="str">
        <f>HYPERLINK("http://ts.21cn.com/tousu/show/id/1342868","http://ts.21cn.com/tousu/show/id/1342868")</f>
        <v>http://ts.21cn.com/tousu/show/id/1342868</v>
      </c>
      <c r="F11573" s="2" t="s">
        <v>11</v>
      </c>
      <c r="G11573" s="2" t="s">
        <v>21398</v>
      </c>
      <c r="H11573" s="2" t="s">
        <v>21399</v>
      </c>
    </row>
    <row r="11574" spans="1:8" ht="25.05" customHeight="1" x14ac:dyDescent="0.25">
      <c r="A11574" s="2" t="s">
        <v>8</v>
      </c>
      <c r="B11574" s="2" t="str">
        <f>HYPERLINK("http://ts.21cn.com/tousu/show/id/1342870","恶意扣款")</f>
        <v>恶意扣款</v>
      </c>
      <c r="C11574" s="2" t="s">
        <v>9</v>
      </c>
      <c r="D11574" s="2" t="s">
        <v>10</v>
      </c>
      <c r="E11574" s="2" t="str">
        <f>HYPERLINK("http://ts.21cn.com/tousu/show/id/1342870","http://ts.21cn.com/tousu/show/id/1342870")</f>
        <v>http://ts.21cn.com/tousu/show/id/1342870</v>
      </c>
      <c r="F11574" s="2" t="s">
        <v>11</v>
      </c>
      <c r="G11574" s="2" t="s">
        <v>21396</v>
      </c>
      <c r="H11574" s="2" t="s">
        <v>21397</v>
      </c>
    </row>
    <row r="11575" spans="1:8" ht="25.05" customHeight="1" x14ac:dyDescent="0.25">
      <c r="A11575" s="2" t="s">
        <v>8</v>
      </c>
      <c r="B11575" s="2" t="str">
        <f>HYPERLINK("http://ts.21cn.com/tousu/show/id/1342869","闪银砍头息，阴阳合同")</f>
        <v>闪银砍头息，阴阳合同</v>
      </c>
      <c r="C11575" s="2" t="s">
        <v>9</v>
      </c>
      <c r="D11575" s="2" t="s">
        <v>10</v>
      </c>
      <c r="E11575" s="2" t="str">
        <f>HYPERLINK("http://ts.21cn.com/tousu/show/id/1342869","http://ts.21cn.com/tousu/show/id/1342869")</f>
        <v>http://ts.21cn.com/tousu/show/id/1342869</v>
      </c>
      <c r="F11575" s="2" t="s">
        <v>11</v>
      </c>
      <c r="G11575" s="2" t="s">
        <v>21394</v>
      </c>
      <c r="H11575" s="2" t="s">
        <v>21395</v>
      </c>
    </row>
    <row r="11576" spans="1:8" ht="25.05" customHeight="1" x14ac:dyDescent="0.25">
      <c r="A11576" s="2" t="s">
        <v>8</v>
      </c>
      <c r="B11576" s="2" t="str">
        <f>HYPERLINK("http://ts.21cn.com/tousu/show/id/1342871","斑马会员不予退款")</f>
        <v>斑马会员不予退款</v>
      </c>
      <c r="C11576" s="2" t="s">
        <v>9</v>
      </c>
      <c r="D11576" s="2" t="s">
        <v>10</v>
      </c>
      <c r="E11576" s="2" t="str">
        <f>HYPERLINK("http://ts.21cn.com/tousu/show/id/1342871","http://ts.21cn.com/tousu/show/id/1342871")</f>
        <v>http://ts.21cn.com/tousu/show/id/1342871</v>
      </c>
      <c r="F11576" s="2" t="s">
        <v>11</v>
      </c>
      <c r="G11576" s="2" t="s">
        <v>21392</v>
      </c>
      <c r="H11576" s="2" t="s">
        <v>21393</v>
      </c>
    </row>
    <row r="11577" spans="1:8" ht="25.05" customHeight="1" x14ac:dyDescent="0.25">
      <c r="A11577" s="2" t="s">
        <v>8</v>
      </c>
      <c r="B11577" s="2" t="str">
        <f>HYPERLINK("http://ts.21cn.com/tousu/show/id/1342836","交易猫出售账号未收到一分钱！")</f>
        <v>交易猫出售账号未收到一分钱！</v>
      </c>
      <c r="C11577" s="2" t="s">
        <v>9</v>
      </c>
      <c r="D11577" s="2" t="s">
        <v>10</v>
      </c>
      <c r="E11577" s="2" t="str">
        <f>HYPERLINK("http://ts.21cn.com/tousu/show/id/1342836","http://ts.21cn.com/tousu/show/id/1342836")</f>
        <v>http://ts.21cn.com/tousu/show/id/1342836</v>
      </c>
      <c r="F11577" s="2" t="s">
        <v>11</v>
      </c>
      <c r="G11577" s="2" t="s">
        <v>21390</v>
      </c>
      <c r="H11577" s="2" t="s">
        <v>21391</v>
      </c>
    </row>
    <row r="11578" spans="1:8" ht="25.05" customHeight="1" x14ac:dyDescent="0.25">
      <c r="A11578" s="2" t="s">
        <v>8</v>
      </c>
      <c r="B11578" s="2" t="str">
        <f>HYPERLINK("http://ts.21cn.com/tousu/show/id/1342873","高利贷")</f>
        <v>高利贷</v>
      </c>
      <c r="C11578" s="2" t="s">
        <v>9</v>
      </c>
      <c r="D11578" s="2" t="s">
        <v>10</v>
      </c>
      <c r="E11578" s="2" t="str">
        <f>HYPERLINK("http://ts.21cn.com/tousu/show/id/1342873","http://ts.21cn.com/tousu/show/id/1342873")</f>
        <v>http://ts.21cn.com/tousu/show/id/1342873</v>
      </c>
      <c r="F11578" s="2" t="s">
        <v>11</v>
      </c>
      <c r="G11578" s="2" t="s">
        <v>21388</v>
      </c>
      <c r="H11578" s="2" t="s">
        <v>21389</v>
      </c>
    </row>
    <row r="11579" spans="1:8" ht="25.05" customHeight="1" x14ac:dyDescent="0.25">
      <c r="A11579" s="2" t="s">
        <v>8</v>
      </c>
      <c r="B11579" s="2" t="str">
        <f>HYPERLINK("http://ts.21cn.com/tousu/show/id/1342875","快递发货屏幕碎裂，拒不解决")</f>
        <v>快递发货屏幕碎裂，拒不解决</v>
      </c>
      <c r="C11579" s="2" t="s">
        <v>9</v>
      </c>
      <c r="D11579" s="2" t="s">
        <v>10</v>
      </c>
      <c r="E11579" s="2" t="str">
        <f>HYPERLINK("http://ts.21cn.com/tousu/show/id/1342875","http://ts.21cn.com/tousu/show/id/1342875")</f>
        <v>http://ts.21cn.com/tousu/show/id/1342875</v>
      </c>
      <c r="F11579" s="2" t="s">
        <v>11</v>
      </c>
      <c r="G11579" s="2" t="s">
        <v>21386</v>
      </c>
      <c r="H11579" s="2" t="s">
        <v>21387</v>
      </c>
    </row>
    <row r="11580" spans="1:8" ht="25.05" customHeight="1" x14ac:dyDescent="0.25">
      <c r="A11580" s="2" t="s">
        <v>8</v>
      </c>
      <c r="B11580" s="2" t="str">
        <f>HYPERLINK("http://ts.21cn.com/tousu/show/id/1342876","信用管家里的神马借套路贷")</f>
        <v>信用管家里的神马借套路贷</v>
      </c>
      <c r="C11580" s="2" t="s">
        <v>9</v>
      </c>
      <c r="D11580" s="2" t="s">
        <v>10</v>
      </c>
      <c r="E11580" s="2" t="str">
        <f>HYPERLINK("http://ts.21cn.com/tousu/show/id/1342876","http://ts.21cn.com/tousu/show/id/1342876")</f>
        <v>http://ts.21cn.com/tousu/show/id/1342876</v>
      </c>
      <c r="F11580" s="2" t="s">
        <v>11</v>
      </c>
      <c r="G11580" s="2" t="s">
        <v>21384</v>
      </c>
      <c r="H11580" s="2" t="s">
        <v>21385</v>
      </c>
    </row>
    <row r="11581" spans="1:8" ht="25.05" customHeight="1" x14ac:dyDescent="0.25">
      <c r="A11581" s="2" t="s">
        <v>8</v>
      </c>
      <c r="B11581" s="2" t="str">
        <f>HYPERLINK("http://ts.21cn.com/tousu/show/id/1342877","拍拍暴力催收")</f>
        <v>拍拍暴力催收</v>
      </c>
      <c r="C11581" s="2" t="s">
        <v>9</v>
      </c>
      <c r="D11581" s="2" t="s">
        <v>10</v>
      </c>
      <c r="E11581" s="2" t="str">
        <f>HYPERLINK("http://ts.21cn.com/tousu/show/id/1342877","http://ts.21cn.com/tousu/show/id/1342877")</f>
        <v>http://ts.21cn.com/tousu/show/id/1342877</v>
      </c>
      <c r="F11581" s="2" t="s">
        <v>11</v>
      </c>
      <c r="G11581" s="2" t="s">
        <v>21382</v>
      </c>
      <c r="H11581" s="2" t="s">
        <v>21383</v>
      </c>
    </row>
    <row r="11582" spans="1:8" ht="25.05" customHeight="1" x14ac:dyDescent="0.25">
      <c r="A11582" s="2" t="s">
        <v>8</v>
      </c>
      <c r="B11582" s="2" t="str">
        <f>HYPERLINK("http://ts.21cn.com/tousu/show/id/1342879","威胁恐吓")</f>
        <v>威胁恐吓</v>
      </c>
      <c r="C11582" s="2" t="s">
        <v>9</v>
      </c>
      <c r="D11582" s="2" t="s">
        <v>10</v>
      </c>
      <c r="E11582" s="2" t="str">
        <f>HYPERLINK("http://ts.21cn.com/tousu/show/id/1342879","http://ts.21cn.com/tousu/show/id/1342879")</f>
        <v>http://ts.21cn.com/tousu/show/id/1342879</v>
      </c>
      <c r="F11582" s="2" t="s">
        <v>11</v>
      </c>
      <c r="G11582" s="2" t="s">
        <v>21380</v>
      </c>
      <c r="H11582" s="2" t="s">
        <v>21381</v>
      </c>
    </row>
    <row r="11583" spans="1:8" ht="25.05" customHeight="1" x14ac:dyDescent="0.25">
      <c r="A11583" s="2" t="s">
        <v>8</v>
      </c>
      <c r="B11583" s="2" t="str">
        <f>HYPERLINK("http://ts.21cn.com/tousu/show/id/1342880","安逸花强制购物")</f>
        <v>安逸花强制购物</v>
      </c>
      <c r="C11583" s="2" t="s">
        <v>9</v>
      </c>
      <c r="D11583" s="2" t="s">
        <v>10</v>
      </c>
      <c r="E11583" s="2" t="str">
        <f>HYPERLINK("http://ts.21cn.com/tousu/show/id/1342880","http://ts.21cn.com/tousu/show/id/1342880")</f>
        <v>http://ts.21cn.com/tousu/show/id/1342880</v>
      </c>
      <c r="F11583" s="2" t="s">
        <v>11</v>
      </c>
      <c r="G11583" s="2" t="s">
        <v>21378</v>
      </c>
      <c r="H11583" s="2" t="s">
        <v>21379</v>
      </c>
    </row>
    <row r="11584" spans="1:8" ht="25.05" customHeight="1" x14ac:dyDescent="0.25">
      <c r="A11584" s="2" t="s">
        <v>8</v>
      </c>
      <c r="B11584" s="2" t="str">
        <f>HYPERLINK("http://ts.21cn.com/tousu/show/id/1342882","未经同意私自扣钱")</f>
        <v>未经同意私自扣钱</v>
      </c>
      <c r="C11584" s="2" t="s">
        <v>9</v>
      </c>
      <c r="D11584" s="2" t="s">
        <v>10</v>
      </c>
      <c r="E11584" s="2" t="str">
        <f>HYPERLINK("http://ts.21cn.com/tousu/show/id/1342882","http://ts.21cn.com/tousu/show/id/1342882")</f>
        <v>http://ts.21cn.com/tousu/show/id/1342882</v>
      </c>
      <c r="F11584" s="2" t="s">
        <v>11</v>
      </c>
      <c r="G11584" s="2" t="s">
        <v>21376</v>
      </c>
      <c r="H11584" s="2" t="s">
        <v>21377</v>
      </c>
    </row>
    <row r="11585" spans="1:8" ht="25.05" customHeight="1" x14ac:dyDescent="0.25">
      <c r="A11585" s="2" t="s">
        <v>8</v>
      </c>
      <c r="B11585" s="2" t="str">
        <f>HYPERLINK("http://ts.21cn.com/tousu/show/id/1342883","说好的分期，成了小额贷款")</f>
        <v>说好的分期，成了小额贷款</v>
      </c>
      <c r="C11585" s="2" t="s">
        <v>9</v>
      </c>
      <c r="D11585" s="2" t="s">
        <v>10</v>
      </c>
      <c r="E11585" s="2" t="str">
        <f>HYPERLINK("http://ts.21cn.com/tousu/show/id/1342883","http://ts.21cn.com/tousu/show/id/1342883")</f>
        <v>http://ts.21cn.com/tousu/show/id/1342883</v>
      </c>
      <c r="F11585" s="2" t="s">
        <v>11</v>
      </c>
      <c r="G11585" s="2" t="s">
        <v>21374</v>
      </c>
      <c r="H11585" s="2" t="s">
        <v>21375</v>
      </c>
    </row>
    <row r="11586" spans="1:8" ht="25.05" customHeight="1" x14ac:dyDescent="0.25">
      <c r="A11586" s="2" t="s">
        <v>8</v>
      </c>
      <c r="B11586" s="2" t="str">
        <f>HYPERLINK("http://ts.21cn.com/tousu/show/id/1342884","闲鱼永封")</f>
        <v>闲鱼永封</v>
      </c>
      <c r="C11586" s="2" t="s">
        <v>34</v>
      </c>
      <c r="D11586" s="2" t="s">
        <v>10</v>
      </c>
      <c r="E11586" s="2" t="str">
        <f>HYPERLINK("http://ts.21cn.com/tousu/show/id/1342884","http://ts.21cn.com/tousu/show/id/1342884")</f>
        <v>http://ts.21cn.com/tousu/show/id/1342884</v>
      </c>
      <c r="F11586" s="2" t="s">
        <v>11</v>
      </c>
      <c r="G11586" s="2" t="s">
        <v>21372</v>
      </c>
      <c r="H11586" s="2" t="s">
        <v>21373</v>
      </c>
    </row>
    <row r="11587" spans="1:8" ht="25.05" customHeight="1" x14ac:dyDescent="0.25">
      <c r="A11587" s="2" t="s">
        <v>8</v>
      </c>
      <c r="B11587" s="2" t="str">
        <f>HYPERLINK("http://ts.21cn.com/tousu/show/id/1342835","让我刷单")</f>
        <v>让我刷单</v>
      </c>
      <c r="C11587" s="2" t="s">
        <v>9</v>
      </c>
      <c r="D11587" s="2" t="s">
        <v>10</v>
      </c>
      <c r="E11587" s="2" t="str">
        <f>HYPERLINK("http://ts.21cn.com/tousu/show/id/1342835","http://ts.21cn.com/tousu/show/id/1342835")</f>
        <v>http://ts.21cn.com/tousu/show/id/1342835</v>
      </c>
      <c r="F11587" s="2" t="s">
        <v>11</v>
      </c>
      <c r="G11587" s="2" t="s">
        <v>21370</v>
      </c>
      <c r="H11587" s="2" t="s">
        <v>21371</v>
      </c>
    </row>
    <row r="11588" spans="1:8" ht="25.05" customHeight="1" x14ac:dyDescent="0.25">
      <c r="A11588" s="2" t="s">
        <v>8</v>
      </c>
      <c r="B11588" s="2" t="str">
        <f>HYPERLINK("http://ts.21cn.com/tousu/show/id/1342885","oyo酒店平台退款不到账")</f>
        <v>oyo酒店平台退款不到账</v>
      </c>
      <c r="C11588" s="2" t="s">
        <v>9</v>
      </c>
      <c r="D11588" s="2" t="s">
        <v>10</v>
      </c>
      <c r="E11588" s="2" t="str">
        <f>HYPERLINK("http://ts.21cn.com/tousu/show/id/1342885","http://ts.21cn.com/tousu/show/id/1342885")</f>
        <v>http://ts.21cn.com/tousu/show/id/1342885</v>
      </c>
      <c r="F11588" s="2" t="s">
        <v>11</v>
      </c>
      <c r="G11588" s="2" t="s">
        <v>21368</v>
      </c>
      <c r="H11588" s="2" t="s">
        <v>21369</v>
      </c>
    </row>
    <row r="11589" spans="1:8" ht="25.05" customHeight="1" x14ac:dyDescent="0.25">
      <c r="A11589" s="2" t="s">
        <v>8</v>
      </c>
      <c r="B11589" s="2" t="str">
        <f>HYPERLINK("http://ts.21cn.com/tousu/show/id/1342878","上海拍拍贷公司委外第三方催收公司，冒充公检法部门P图伪造开庭公告，群发本人通讯录造成严重影响，本人要求赔偿及道歉。")</f>
        <v>上海拍拍贷公司委外第三方催收公司，冒充公检法部门P图伪造开庭公告，群发本人通讯录造成严重影响，本人要求赔偿及道歉。</v>
      </c>
      <c r="C11589" s="2" t="s">
        <v>9</v>
      </c>
      <c r="D11589" s="2" t="s">
        <v>10</v>
      </c>
      <c r="E11589" s="2" t="str">
        <f>HYPERLINK("http://ts.21cn.com/tousu/show/id/1342878","http://ts.21cn.com/tousu/show/id/1342878")</f>
        <v>http://ts.21cn.com/tousu/show/id/1342878</v>
      </c>
      <c r="F11589" s="2" t="s">
        <v>11</v>
      </c>
      <c r="G11589" s="2" t="s">
        <v>21366</v>
      </c>
      <c r="H11589" s="2" t="s">
        <v>21367</v>
      </c>
    </row>
    <row r="11590" spans="1:8" ht="25.05" customHeight="1" x14ac:dyDescent="0.25">
      <c r="A11590" s="2" t="s">
        <v>8</v>
      </c>
      <c r="B11590" s="2" t="str">
        <f>HYPERLINK("http://ts.21cn.com/tousu/show/id/1342887","省呗无法提前还款")</f>
        <v>省呗无法提前还款</v>
      </c>
      <c r="C11590" s="2" t="s">
        <v>9</v>
      </c>
      <c r="D11590" s="2" t="s">
        <v>10</v>
      </c>
      <c r="E11590" s="2" t="str">
        <f>HYPERLINK("http://ts.21cn.com/tousu/show/id/1342887","http://ts.21cn.com/tousu/show/id/1342887")</f>
        <v>http://ts.21cn.com/tousu/show/id/1342887</v>
      </c>
      <c r="F11590" s="2" t="s">
        <v>11</v>
      </c>
      <c r="G11590" s="2" t="s">
        <v>21364</v>
      </c>
      <c r="H11590" s="2" t="s">
        <v>21365</v>
      </c>
    </row>
    <row r="11591" spans="1:8" ht="25.05" customHeight="1" x14ac:dyDescent="0.25">
      <c r="A11591" s="2" t="s">
        <v>8</v>
      </c>
      <c r="B11591" s="2" t="str">
        <f>HYPERLINK("http://ts.21cn.com/tousu/show/id/1342888","浦发信用卡拒绝协商，直接发律师函")</f>
        <v>浦发信用卡拒绝协商，直接发律师函</v>
      </c>
      <c r="C11591" s="2" t="s">
        <v>9</v>
      </c>
      <c r="D11591" s="2" t="s">
        <v>10</v>
      </c>
      <c r="E11591" s="2" t="str">
        <f>HYPERLINK("http://ts.21cn.com/tousu/show/id/1342888","http://ts.21cn.com/tousu/show/id/1342888")</f>
        <v>http://ts.21cn.com/tousu/show/id/1342888</v>
      </c>
      <c r="F11591" s="2" t="s">
        <v>11</v>
      </c>
      <c r="G11591" s="2" t="s">
        <v>21362</v>
      </c>
      <c r="H11591" s="2" t="s">
        <v>21363</v>
      </c>
    </row>
    <row r="11592" spans="1:8" ht="25.05" customHeight="1" x14ac:dyDescent="0.25">
      <c r="A11592" s="2" t="s">
        <v>8</v>
      </c>
      <c r="B11592" s="2" t="str">
        <f>HYPERLINK("http://ts.21cn.com/tousu/show/id/1342881","小浦优客app恶意扣费")</f>
        <v>小浦优客app恶意扣费</v>
      </c>
      <c r="C11592" s="2" t="s">
        <v>9</v>
      </c>
      <c r="D11592" s="2" t="s">
        <v>10</v>
      </c>
      <c r="E11592" s="2" t="str">
        <f>HYPERLINK("http://ts.21cn.com/tousu/show/id/1342881","http://ts.21cn.com/tousu/show/id/1342881")</f>
        <v>http://ts.21cn.com/tousu/show/id/1342881</v>
      </c>
      <c r="F11592" s="2" t="s">
        <v>11</v>
      </c>
      <c r="G11592" s="2" t="s">
        <v>21360</v>
      </c>
      <c r="H11592" s="2" t="s">
        <v>21361</v>
      </c>
    </row>
    <row r="11593" spans="1:8" ht="25.05" customHeight="1" x14ac:dyDescent="0.25">
      <c r="A11593" s="2" t="s">
        <v>8</v>
      </c>
      <c r="B11593" s="2" t="str">
        <f>HYPERLINK("http://ts.21cn.com/tousu/show/id/1342891","壹心分期套路贷")</f>
        <v>壹心分期套路贷</v>
      </c>
      <c r="C11593" s="2" t="s">
        <v>9</v>
      </c>
      <c r="D11593" s="2" t="s">
        <v>10</v>
      </c>
      <c r="E11593" s="2" t="str">
        <f>HYPERLINK("http://ts.21cn.com/tousu/show/id/1342891","http://ts.21cn.com/tousu/show/id/1342891")</f>
        <v>http://ts.21cn.com/tousu/show/id/1342891</v>
      </c>
      <c r="F11593" s="2" t="s">
        <v>11</v>
      </c>
      <c r="G11593" s="2" t="s">
        <v>21358</v>
      </c>
      <c r="H11593" s="2" t="s">
        <v>21359</v>
      </c>
    </row>
    <row r="11594" spans="1:8" ht="25.05" customHeight="1" x14ac:dyDescent="0.25">
      <c r="A11594" s="2" t="s">
        <v>8</v>
      </c>
      <c r="B11594" s="2" t="str">
        <f>HYPERLINK("http://ts.21cn.com/tousu/show/id/1342892","淘宝身份认证复核一直不通过，店铺宝贝被下架。")</f>
        <v>淘宝身份认证复核一直不通过，店铺宝贝被下架。</v>
      </c>
      <c r="C11594" s="2" t="s">
        <v>9</v>
      </c>
      <c r="D11594" s="2" t="s">
        <v>10</v>
      </c>
      <c r="E11594" s="2" t="str">
        <f>HYPERLINK("http://ts.21cn.com/tousu/show/id/1342892","http://ts.21cn.com/tousu/show/id/1342892")</f>
        <v>http://ts.21cn.com/tousu/show/id/1342892</v>
      </c>
      <c r="F11594" s="2" t="s">
        <v>11</v>
      </c>
      <c r="G11594" s="2" t="s">
        <v>21356</v>
      </c>
      <c r="H11594" s="2" t="s">
        <v>21357</v>
      </c>
    </row>
    <row r="11595" spans="1:8" ht="25.05" customHeight="1" x14ac:dyDescent="0.25">
      <c r="A11595" s="2" t="s">
        <v>8</v>
      </c>
      <c r="B11595" s="2" t="str">
        <f>HYPERLINK("http://ts.21cn.com/tousu/show/id/1342893","支付宝花呗为什么冻结")</f>
        <v>支付宝花呗为什么冻结</v>
      </c>
      <c r="C11595" s="2" t="s">
        <v>9</v>
      </c>
      <c r="D11595" s="2" t="s">
        <v>10</v>
      </c>
      <c r="E11595" s="2" t="str">
        <f>HYPERLINK("http://ts.21cn.com/tousu/show/id/1342893","http://ts.21cn.com/tousu/show/id/1342893")</f>
        <v>http://ts.21cn.com/tousu/show/id/1342893</v>
      </c>
      <c r="F11595" s="2" t="s">
        <v>11</v>
      </c>
      <c r="G11595" s="2" t="s">
        <v>21354</v>
      </c>
      <c r="H11595" s="2" t="s">
        <v>21355</v>
      </c>
    </row>
    <row r="11596" spans="1:8" ht="25.05" customHeight="1" x14ac:dyDescent="0.25">
      <c r="A11596" s="2" t="s">
        <v>8</v>
      </c>
      <c r="B11596" s="2" t="str">
        <f>HYPERLINK("http://ts.21cn.com/tousu/show/id/1342894","威胁，恐吓，骚扰通讯录")</f>
        <v>威胁，恐吓，骚扰通讯录</v>
      </c>
      <c r="C11596" s="2" t="s">
        <v>9</v>
      </c>
      <c r="D11596" s="2" t="s">
        <v>10</v>
      </c>
      <c r="E11596" s="2" t="str">
        <f>HYPERLINK("http://ts.21cn.com/tousu/show/id/1342894","http://ts.21cn.com/tousu/show/id/1342894")</f>
        <v>http://ts.21cn.com/tousu/show/id/1342894</v>
      </c>
      <c r="F11596" s="2" t="s">
        <v>11</v>
      </c>
      <c r="G11596" s="2" t="s">
        <v>21352</v>
      </c>
      <c r="H11596" s="2" t="s">
        <v>21353</v>
      </c>
    </row>
    <row r="11597" spans="1:8" ht="25.05" customHeight="1" x14ac:dyDescent="0.25">
      <c r="A11597" s="2" t="s">
        <v>8</v>
      </c>
      <c r="B11597" s="2" t="str">
        <f>HYPERLINK("http://ts.21cn.com/tousu/show/id/1342895","交了手续费，银行卡信心错误不给下款，要交保证金，客服不给处理")</f>
        <v>交了手续费，银行卡信心错误不给下款，要交保证金，客服不给处理</v>
      </c>
      <c r="C11597" s="2" t="s">
        <v>9</v>
      </c>
      <c r="D11597" s="2" t="s">
        <v>10</v>
      </c>
      <c r="E11597" s="2" t="str">
        <f>HYPERLINK("http://ts.21cn.com/tousu/show/id/1342895","http://ts.21cn.com/tousu/show/id/1342895")</f>
        <v>http://ts.21cn.com/tousu/show/id/1342895</v>
      </c>
      <c r="F11597" s="2" t="s">
        <v>11</v>
      </c>
      <c r="G11597" s="2" t="s">
        <v>21350</v>
      </c>
      <c r="H11597" s="2" t="s">
        <v>21351</v>
      </c>
    </row>
    <row r="11598" spans="1:8" ht="25.05" customHeight="1" x14ac:dyDescent="0.25">
      <c r="A11598" s="2" t="s">
        <v>8</v>
      </c>
      <c r="B11598" s="2" t="str">
        <f>HYPERLINK("http://ts.21cn.com/tousu/show/id/1342898","（助借通）恶意乱扣费")</f>
        <v>（助借通）恶意乱扣费</v>
      </c>
      <c r="C11598" s="2" t="s">
        <v>9</v>
      </c>
      <c r="D11598" s="2" t="s">
        <v>10</v>
      </c>
      <c r="E11598" s="2" t="str">
        <f>HYPERLINK("http://ts.21cn.com/tousu/show/id/1342898","http://ts.21cn.com/tousu/show/id/1342898")</f>
        <v>http://ts.21cn.com/tousu/show/id/1342898</v>
      </c>
      <c r="F11598" s="2" t="s">
        <v>11</v>
      </c>
      <c r="G11598" s="2" t="s">
        <v>21348</v>
      </c>
      <c r="H11598" s="2" t="s">
        <v>21349</v>
      </c>
    </row>
    <row r="11599" spans="1:8" ht="25.05" customHeight="1" x14ac:dyDescent="0.25">
      <c r="A11599" s="2" t="s">
        <v>8</v>
      </c>
      <c r="B11599" s="2" t="str">
        <f>HYPERLINK("http://ts.21cn.com/tousu/show/id/1342899","OPPOR9SPLUS大规模无限重启变砖")</f>
        <v>OPPOR9SPLUS大规模无限重启变砖</v>
      </c>
      <c r="C11599" s="2" t="s">
        <v>9</v>
      </c>
      <c r="D11599" s="2" t="s">
        <v>10</v>
      </c>
      <c r="E11599" s="2" t="str">
        <f>HYPERLINK("http://ts.21cn.com/tousu/show/id/1342899","http://ts.21cn.com/tousu/show/id/1342899")</f>
        <v>http://ts.21cn.com/tousu/show/id/1342899</v>
      </c>
      <c r="F11599" s="2" t="s">
        <v>11</v>
      </c>
      <c r="G11599" s="2" t="s">
        <v>21346</v>
      </c>
      <c r="H11599" s="2" t="s">
        <v>21347</v>
      </c>
    </row>
    <row r="11600" spans="1:8" ht="25.05" customHeight="1" x14ac:dyDescent="0.25">
      <c r="A11600" s="2" t="s">
        <v>8</v>
      </c>
      <c r="B11600" s="2" t="str">
        <f>HYPERLINK("http://ts.21cn.com/tousu/show/id/1342900","爆我的通讯录")</f>
        <v>爆我的通讯录</v>
      </c>
      <c r="C11600" s="2" t="s">
        <v>34</v>
      </c>
      <c r="D11600" s="2" t="s">
        <v>10</v>
      </c>
      <c r="E11600" s="2" t="str">
        <f>HYPERLINK("http://ts.21cn.com/tousu/show/id/1342900","http://ts.21cn.com/tousu/show/id/1342900")</f>
        <v>http://ts.21cn.com/tousu/show/id/1342900</v>
      </c>
      <c r="F11600" s="2" t="s">
        <v>11</v>
      </c>
      <c r="G11600" s="2" t="s">
        <v>21344</v>
      </c>
      <c r="H11600" s="2" t="s">
        <v>21345</v>
      </c>
    </row>
    <row r="11601" spans="1:8" ht="25.05" customHeight="1" x14ac:dyDescent="0.25">
      <c r="A11601" s="2" t="s">
        <v>8</v>
      </c>
      <c r="B11601" s="2" t="str">
        <f>HYPERLINK("http://ts.21cn.com/tousu/show/id/1342901","平安银行信用卡多次协商无果第三方手机号发所谓的法律通知书威逼我")</f>
        <v>平安银行信用卡多次协商无果第三方手机号发所谓的法律通知书威逼我</v>
      </c>
      <c r="C11601" s="2" t="s">
        <v>9</v>
      </c>
      <c r="D11601" s="2" t="s">
        <v>10</v>
      </c>
      <c r="E11601" s="2" t="str">
        <f>HYPERLINK("http://ts.21cn.com/tousu/show/id/1342901","http://ts.21cn.com/tousu/show/id/1342901")</f>
        <v>http://ts.21cn.com/tousu/show/id/1342901</v>
      </c>
      <c r="F11601" s="2" t="s">
        <v>11</v>
      </c>
      <c r="G11601" s="2" t="s">
        <v>21342</v>
      </c>
      <c r="H11601" s="2" t="s">
        <v>21343</v>
      </c>
    </row>
    <row r="11602" spans="1:8" ht="25.05" customHeight="1" x14ac:dyDescent="0.25">
      <c r="A11602" s="2" t="s">
        <v>8</v>
      </c>
      <c r="B11602" s="2" t="str">
        <f>HYPERLINK("http://ts.21cn.com/tousu/show/id/1342902","威力贷，套路贷")</f>
        <v>威力贷，套路贷</v>
      </c>
      <c r="C11602" s="2" t="s">
        <v>9</v>
      </c>
      <c r="D11602" s="2" t="s">
        <v>10</v>
      </c>
      <c r="E11602" s="2" t="str">
        <f>HYPERLINK("http://ts.21cn.com/tousu/show/id/1342902","http://ts.21cn.com/tousu/show/id/1342902")</f>
        <v>http://ts.21cn.com/tousu/show/id/1342902</v>
      </c>
      <c r="F11602" s="2" t="s">
        <v>11</v>
      </c>
      <c r="G11602" s="2" t="s">
        <v>21340</v>
      </c>
      <c r="H11602" s="2" t="s">
        <v>21341</v>
      </c>
    </row>
    <row r="11603" spans="1:8" ht="25.05" customHeight="1" x14ac:dyDescent="0.25">
      <c r="A11603" s="2" t="s">
        <v>8</v>
      </c>
      <c r="B11603" s="2" t="str">
        <f>HYPERLINK("http://ts.21cn.com/tousu/show/id/1342903","利息高")</f>
        <v>利息高</v>
      </c>
      <c r="C11603" s="2" t="s">
        <v>9</v>
      </c>
      <c r="D11603" s="2" t="s">
        <v>10</v>
      </c>
      <c r="E11603" s="2" t="str">
        <f>HYPERLINK("http://ts.21cn.com/tousu/show/id/1342903","http://ts.21cn.com/tousu/show/id/1342903")</f>
        <v>http://ts.21cn.com/tousu/show/id/1342903</v>
      </c>
      <c r="F11603" s="2" t="s">
        <v>11</v>
      </c>
      <c r="G11603" s="2" t="s">
        <v>21338</v>
      </c>
      <c r="H11603" s="2" t="s">
        <v>21339</v>
      </c>
    </row>
    <row r="11604" spans="1:8" ht="25.05" customHeight="1" x14ac:dyDescent="0.25">
      <c r="A11604" s="2" t="s">
        <v>8</v>
      </c>
      <c r="B11604" s="2" t="str">
        <f>HYPERLINK("http://ts.21cn.com/tousu/show/id/1342904","微信为非法博彩提供充值通道")</f>
        <v>微信为非法博彩提供充值通道</v>
      </c>
      <c r="C11604" s="2" t="s">
        <v>9</v>
      </c>
      <c r="D11604" s="2" t="s">
        <v>10</v>
      </c>
      <c r="E11604" s="2" t="str">
        <f>HYPERLINK("http://ts.21cn.com/tousu/show/id/1342904","http://ts.21cn.com/tousu/show/id/1342904")</f>
        <v>http://ts.21cn.com/tousu/show/id/1342904</v>
      </c>
      <c r="F11604" s="2" t="s">
        <v>11</v>
      </c>
      <c r="G11604" s="2" t="s">
        <v>21336</v>
      </c>
      <c r="H11604" s="2" t="s">
        <v>21337</v>
      </c>
    </row>
    <row r="11605" spans="1:8" ht="25.05" customHeight="1" x14ac:dyDescent="0.25">
      <c r="A11605" s="2" t="s">
        <v>8</v>
      </c>
      <c r="B11605" s="2" t="str">
        <f>HYPERLINK("http://ts.21cn.com/tousu/show/id/1342906","绑定了个什么恶魔游戏我连游戏是啥都不知")</f>
        <v>绑定了个什么恶魔游戏我连游戏是啥都不知</v>
      </c>
      <c r="C11605" s="2" t="s">
        <v>9</v>
      </c>
      <c r="D11605" s="2" t="s">
        <v>10</v>
      </c>
      <c r="E11605" s="2" t="str">
        <f>HYPERLINK("http://ts.21cn.com/tousu/show/id/1342906","http://ts.21cn.com/tousu/show/id/1342906")</f>
        <v>http://ts.21cn.com/tousu/show/id/1342906</v>
      </c>
      <c r="F11605" s="2" t="s">
        <v>11</v>
      </c>
      <c r="G11605" s="2" t="s">
        <v>21334</v>
      </c>
      <c r="H11605" s="2" t="s">
        <v>21335</v>
      </c>
    </row>
    <row r="11606" spans="1:8" ht="25.05" customHeight="1" x14ac:dyDescent="0.25">
      <c r="A11606" s="2" t="s">
        <v>8</v>
      </c>
      <c r="B11606" s="2" t="str">
        <f>HYPERLINK("http://ts.21cn.com/tousu/show/id/1342907","百合网线下门店-静安区，12800套餐安排托")</f>
        <v>百合网线下门店-静安区，12800套餐安排托</v>
      </c>
      <c r="C11606" s="2" t="s">
        <v>9</v>
      </c>
      <c r="D11606" s="2" t="s">
        <v>10</v>
      </c>
      <c r="E11606" s="2" t="str">
        <f>HYPERLINK("http://ts.21cn.com/tousu/show/id/1342907","http://ts.21cn.com/tousu/show/id/1342907")</f>
        <v>http://ts.21cn.com/tousu/show/id/1342907</v>
      </c>
      <c r="F11606" s="2" t="s">
        <v>11</v>
      </c>
      <c r="G11606" s="2" t="s">
        <v>21332</v>
      </c>
      <c r="H11606" s="2" t="s">
        <v>21333</v>
      </c>
    </row>
    <row r="11607" spans="1:8" ht="25.05" customHeight="1" x14ac:dyDescent="0.25">
      <c r="A11607" s="2" t="s">
        <v>8</v>
      </c>
      <c r="B11607" s="2" t="str">
        <f>HYPERLINK("http://ts.21cn.com/tousu/show/id/1342909","无缘无故被扣款")</f>
        <v>无缘无故被扣款</v>
      </c>
      <c r="C11607" s="2" t="s">
        <v>9</v>
      </c>
      <c r="D11607" s="2" t="s">
        <v>10</v>
      </c>
      <c r="E11607" s="2" t="str">
        <f>HYPERLINK("http://ts.21cn.com/tousu/show/id/1342909","http://ts.21cn.com/tousu/show/id/1342909")</f>
        <v>http://ts.21cn.com/tousu/show/id/1342909</v>
      </c>
      <c r="F11607" s="2" t="s">
        <v>11</v>
      </c>
      <c r="G11607" s="2" t="s">
        <v>21330</v>
      </c>
      <c r="H11607" s="2" t="s">
        <v>21331</v>
      </c>
    </row>
    <row r="11608" spans="1:8" ht="25.05" customHeight="1" x14ac:dyDescent="0.25">
      <c r="A11608" s="2" t="s">
        <v>8</v>
      </c>
      <c r="B11608" s="2" t="str">
        <f>HYPERLINK("http://ts.21cn.com/tousu/show/id/1342908","升学教育机构不退款")</f>
        <v>升学教育机构不退款</v>
      </c>
      <c r="C11608" s="2" t="s">
        <v>9</v>
      </c>
      <c r="D11608" s="2" t="s">
        <v>10</v>
      </c>
      <c r="E11608" s="2" t="str">
        <f>HYPERLINK("http://ts.21cn.com/tousu/show/id/1342908","http://ts.21cn.com/tousu/show/id/1342908")</f>
        <v>http://ts.21cn.com/tousu/show/id/1342908</v>
      </c>
      <c r="F11608" s="2" t="s">
        <v>11</v>
      </c>
      <c r="G11608" s="2" t="s">
        <v>21328</v>
      </c>
      <c r="H11608" s="2" t="s">
        <v>21329</v>
      </c>
    </row>
    <row r="11609" spans="1:8" ht="25.05" customHeight="1" x14ac:dyDescent="0.25">
      <c r="A11609" s="2" t="s">
        <v>8</v>
      </c>
      <c r="B11609" s="2" t="str">
        <f>HYPERLINK("http://ts.21cn.com/tousu/show/id/1342910","美团打车恶意绕路无人处理")</f>
        <v>美团打车恶意绕路无人处理</v>
      </c>
      <c r="C11609" s="2" t="s">
        <v>9</v>
      </c>
      <c r="D11609" s="2" t="s">
        <v>10</v>
      </c>
      <c r="E11609" s="2" t="str">
        <f>HYPERLINK("http://ts.21cn.com/tousu/show/id/1342910","http://ts.21cn.com/tousu/show/id/1342910")</f>
        <v>http://ts.21cn.com/tousu/show/id/1342910</v>
      </c>
      <c r="F11609" s="2" t="s">
        <v>11</v>
      </c>
      <c r="G11609" s="2" t="s">
        <v>21326</v>
      </c>
      <c r="H11609" s="2" t="s">
        <v>21327</v>
      </c>
    </row>
    <row r="11610" spans="1:8" ht="25.05" customHeight="1" x14ac:dyDescent="0.25">
      <c r="A11610" s="2" t="s">
        <v>8</v>
      </c>
      <c r="B11610" s="2" t="str">
        <f>HYPERLINK("http://ts.21cn.com/tousu/show/id/1342911","支付宝芝麻信用无法反映正常信用状况，影响很大")</f>
        <v>支付宝芝麻信用无法反映正常信用状况，影响很大</v>
      </c>
      <c r="C11610" s="2" t="s">
        <v>9</v>
      </c>
      <c r="D11610" s="2" t="s">
        <v>10</v>
      </c>
      <c r="E11610" s="2" t="str">
        <f>HYPERLINK("http://ts.21cn.com/tousu/show/id/1342911","http://ts.21cn.com/tousu/show/id/1342911")</f>
        <v>http://ts.21cn.com/tousu/show/id/1342911</v>
      </c>
      <c r="F11610" s="2" t="s">
        <v>11</v>
      </c>
      <c r="G11610" s="2" t="s">
        <v>21324</v>
      </c>
      <c r="H11610" s="2" t="s">
        <v>21325</v>
      </c>
    </row>
    <row r="11611" spans="1:8" ht="25.05" customHeight="1" x14ac:dyDescent="0.25">
      <c r="A11611" s="2" t="s">
        <v>8</v>
      </c>
      <c r="B11611" s="2" t="str">
        <f>HYPERLINK("http://ts.21cn.com/tousu/show/id/1342913","强制捆绑保险，变相收取高额利息")</f>
        <v>强制捆绑保险，变相收取高额利息</v>
      </c>
      <c r="C11611" s="2" t="s">
        <v>9</v>
      </c>
      <c r="D11611" s="2" t="s">
        <v>10</v>
      </c>
      <c r="E11611" s="2" t="str">
        <f>HYPERLINK("http://ts.21cn.com/tousu/show/id/1342913","http://ts.21cn.com/tousu/show/id/1342913")</f>
        <v>http://ts.21cn.com/tousu/show/id/1342913</v>
      </c>
      <c r="F11611" s="2" t="s">
        <v>11</v>
      </c>
      <c r="G11611" s="2" t="s">
        <v>21322</v>
      </c>
      <c r="H11611" s="2" t="s">
        <v>21323</v>
      </c>
    </row>
    <row r="11612" spans="1:8" ht="25.05" customHeight="1" x14ac:dyDescent="0.25">
      <c r="A11612" s="2" t="s">
        <v>8</v>
      </c>
      <c r="B11612" s="2" t="str">
        <f>HYPERLINK("http://ts.21cn.com/tousu/show/id/1342914","信用管家上个借款平台收取高额利息砍头息")</f>
        <v>信用管家上个借款平台收取高额利息砍头息</v>
      </c>
      <c r="C11612" s="2" t="s">
        <v>9</v>
      </c>
      <c r="D11612" s="2" t="s">
        <v>10</v>
      </c>
      <c r="E11612" s="2" t="str">
        <f>HYPERLINK("http://ts.21cn.com/tousu/show/id/1342914","http://ts.21cn.com/tousu/show/id/1342914")</f>
        <v>http://ts.21cn.com/tousu/show/id/1342914</v>
      </c>
      <c r="F11612" s="2" t="s">
        <v>11</v>
      </c>
      <c r="G11612" s="2" t="s">
        <v>21320</v>
      </c>
      <c r="H11612" s="2" t="s">
        <v>21321</v>
      </c>
    </row>
    <row r="11613" spans="1:8" ht="25.05" customHeight="1" x14ac:dyDescent="0.25">
      <c r="A11613" s="2" t="s">
        <v>8</v>
      </c>
      <c r="B11613" s="2" t="str">
        <f>HYPERLINK("http://ts.21cn.com/tousu/show/id/1342916","拒绝支付高利贷")</f>
        <v>拒绝支付高利贷</v>
      </c>
      <c r="C11613" s="2" t="s">
        <v>9</v>
      </c>
      <c r="D11613" s="2" t="s">
        <v>10</v>
      </c>
      <c r="E11613" s="2" t="str">
        <f>HYPERLINK("http://ts.21cn.com/tousu/show/id/1342916","http://ts.21cn.com/tousu/show/id/1342916")</f>
        <v>http://ts.21cn.com/tousu/show/id/1342916</v>
      </c>
      <c r="F11613" s="2" t="s">
        <v>11</v>
      </c>
      <c r="G11613" s="2" t="s">
        <v>21318</v>
      </c>
      <c r="H11613" s="2" t="s">
        <v>21319</v>
      </c>
    </row>
    <row r="11614" spans="1:8" ht="25.05" customHeight="1" x14ac:dyDescent="0.25">
      <c r="A11614" s="2" t="s">
        <v>8</v>
      </c>
      <c r="B11614" s="2" t="str">
        <f>HYPERLINK("http://ts.21cn.com/tousu/show/id/1342917","小银奇异暴力催收")</f>
        <v>小银奇异暴力催收</v>
      </c>
      <c r="C11614" s="2" t="s">
        <v>9</v>
      </c>
      <c r="D11614" s="2" t="s">
        <v>10</v>
      </c>
      <c r="E11614" s="2" t="str">
        <f>HYPERLINK("http://ts.21cn.com/tousu/show/id/1342917","http://ts.21cn.com/tousu/show/id/1342917")</f>
        <v>http://ts.21cn.com/tousu/show/id/1342917</v>
      </c>
      <c r="F11614" s="2" t="s">
        <v>11</v>
      </c>
      <c r="G11614" s="2" t="s">
        <v>21316</v>
      </c>
      <c r="H11614" s="2" t="s">
        <v>21317</v>
      </c>
    </row>
    <row r="11615" spans="1:8" ht="25.05" customHeight="1" x14ac:dyDescent="0.25">
      <c r="A11615" s="2" t="s">
        <v>8</v>
      </c>
      <c r="B11615" s="2" t="str">
        <f>HYPERLINK("http://ts.21cn.com/tousu/show/id/1342919","无故扣款失败，故意造成逾期记录")</f>
        <v>无故扣款失败，故意造成逾期记录</v>
      </c>
      <c r="C11615" s="2" t="s">
        <v>9</v>
      </c>
      <c r="D11615" s="2" t="s">
        <v>10</v>
      </c>
      <c r="E11615" s="2" t="str">
        <f>HYPERLINK("http://ts.21cn.com/tousu/show/id/1342919","http://ts.21cn.com/tousu/show/id/1342919")</f>
        <v>http://ts.21cn.com/tousu/show/id/1342919</v>
      </c>
      <c r="F11615" s="2" t="s">
        <v>11</v>
      </c>
      <c r="G11615" s="2" t="s">
        <v>21314</v>
      </c>
      <c r="H11615" s="2" t="s">
        <v>21315</v>
      </c>
    </row>
    <row r="11616" spans="1:8" ht="25.05" customHeight="1" x14ac:dyDescent="0.25">
      <c r="A11616" s="2" t="s">
        <v>8</v>
      </c>
      <c r="B11616" s="2" t="str">
        <f>HYPERLINK("http://ts.21cn.com/tousu/show/id/1342921","及贷放款时捆绑保险费")</f>
        <v>及贷放款时捆绑保险费</v>
      </c>
      <c r="C11616" s="2" t="s">
        <v>9</v>
      </c>
      <c r="D11616" s="2" t="s">
        <v>10</v>
      </c>
      <c r="E11616" s="2" t="str">
        <f>HYPERLINK("http://ts.21cn.com/tousu/show/id/1342921","http://ts.21cn.com/tousu/show/id/1342921")</f>
        <v>http://ts.21cn.com/tousu/show/id/1342921</v>
      </c>
      <c r="F11616" s="2" t="s">
        <v>11</v>
      </c>
      <c r="G11616" s="2" t="s">
        <v>21312</v>
      </c>
      <c r="H11616" s="2" t="s">
        <v>21313</v>
      </c>
    </row>
    <row r="11617" spans="1:8" ht="25.05" customHeight="1" x14ac:dyDescent="0.25">
      <c r="A11617" s="2" t="s">
        <v>8</v>
      </c>
      <c r="B11617" s="2" t="str">
        <f>HYPERLINK("http://ts.21cn.com/tousu/show/id/1342920","马蜂窝")</f>
        <v>马蜂窝</v>
      </c>
      <c r="C11617" s="2" t="s">
        <v>9</v>
      </c>
      <c r="D11617" s="2" t="s">
        <v>10</v>
      </c>
      <c r="E11617" s="2" t="str">
        <f>HYPERLINK("http://ts.21cn.com/tousu/show/id/1342920","http://ts.21cn.com/tousu/show/id/1342920")</f>
        <v>http://ts.21cn.com/tousu/show/id/1342920</v>
      </c>
      <c r="F11617" s="2" t="s">
        <v>11</v>
      </c>
      <c r="G11617" s="2" t="s">
        <v>21310</v>
      </c>
      <c r="H11617" s="2" t="s">
        <v>21311</v>
      </c>
    </row>
    <row r="11618" spans="1:8" ht="25.05" customHeight="1" x14ac:dyDescent="0.25">
      <c r="A11618" s="2" t="s">
        <v>8</v>
      </c>
      <c r="B11618" s="2" t="str">
        <f>HYPERLINK("http://ts.21cn.com/tousu/show/id/1342922","恶意电话骚扰家庭成员，严重影响日常生活")</f>
        <v>恶意电话骚扰家庭成员，严重影响日常生活</v>
      </c>
      <c r="C11618" s="2" t="s">
        <v>9</v>
      </c>
      <c r="D11618" s="2" t="s">
        <v>10</v>
      </c>
      <c r="E11618" s="2" t="str">
        <f>HYPERLINK("http://ts.21cn.com/tousu/show/id/1342922","http://ts.21cn.com/tousu/show/id/1342922")</f>
        <v>http://ts.21cn.com/tousu/show/id/1342922</v>
      </c>
      <c r="F11618" s="2" t="s">
        <v>11</v>
      </c>
      <c r="G11618" s="2" t="s">
        <v>21308</v>
      </c>
      <c r="H11618" s="2" t="s">
        <v>21309</v>
      </c>
    </row>
    <row r="11619" spans="1:8" ht="25.05" customHeight="1" x14ac:dyDescent="0.25">
      <c r="A11619" s="2" t="s">
        <v>8</v>
      </c>
      <c r="B11619" s="2" t="str">
        <f>HYPERLINK("http://ts.21cn.com/tousu/show/id/1342923","招商银行暴力催收")</f>
        <v>招商银行暴力催收</v>
      </c>
      <c r="C11619" s="2" t="s">
        <v>9</v>
      </c>
      <c r="D11619" s="2" t="s">
        <v>10</v>
      </c>
      <c r="E11619" s="2" t="str">
        <f>HYPERLINK("http://ts.21cn.com/tousu/show/id/1342923","http://ts.21cn.com/tousu/show/id/1342923")</f>
        <v>http://ts.21cn.com/tousu/show/id/1342923</v>
      </c>
      <c r="F11619" s="2" t="s">
        <v>11</v>
      </c>
      <c r="G11619" s="2" t="s">
        <v>21306</v>
      </c>
      <c r="H11619" s="2" t="s">
        <v>21307</v>
      </c>
    </row>
    <row r="11620" spans="1:8" ht="25.05" customHeight="1" x14ac:dyDescent="0.25">
      <c r="A11620" s="2" t="s">
        <v>8</v>
      </c>
      <c r="B11620" s="2" t="str">
        <f>HYPERLINK("http://ts.21cn.com/tousu/show/id/1342924","及贷平台乱收利息，要求退还利息！")</f>
        <v>及贷平台乱收利息，要求退还利息！</v>
      </c>
      <c r="C11620" s="2" t="s">
        <v>9</v>
      </c>
      <c r="D11620" s="2" t="s">
        <v>10</v>
      </c>
      <c r="E11620" s="2" t="str">
        <f>HYPERLINK("http://ts.21cn.com/tousu/show/id/1342924","http://ts.21cn.com/tousu/show/id/1342924")</f>
        <v>http://ts.21cn.com/tousu/show/id/1342924</v>
      </c>
      <c r="F11620" s="2" t="s">
        <v>11</v>
      </c>
      <c r="G11620" s="2" t="s">
        <v>21304</v>
      </c>
      <c r="H11620" s="2" t="s">
        <v>21305</v>
      </c>
    </row>
    <row r="11621" spans="1:8" ht="25.05" customHeight="1" x14ac:dyDescent="0.25">
      <c r="A11621" s="2" t="s">
        <v>8</v>
      </c>
      <c r="B11621" s="2" t="str">
        <f>HYPERLINK("http://ts.21cn.com/tousu/show/id/1342926","百合网忽悠遭集体投诉：造假会员信息、诱导贷款……")</f>
        <v>百合网忽悠遭集体投诉：造假会员信息、诱导贷款……</v>
      </c>
      <c r="C11621" s="2" t="s">
        <v>9</v>
      </c>
      <c r="D11621" s="2" t="s">
        <v>10</v>
      </c>
      <c r="E11621" s="2" t="str">
        <f>HYPERLINK("http://ts.21cn.com/tousu/show/id/1342926","http://ts.21cn.com/tousu/show/id/1342926")</f>
        <v>http://ts.21cn.com/tousu/show/id/1342926</v>
      </c>
      <c r="F11621" s="2" t="s">
        <v>11</v>
      </c>
      <c r="G11621" s="2" t="s">
        <v>21302</v>
      </c>
      <c r="H11621" s="2" t="s">
        <v>21303</v>
      </c>
    </row>
    <row r="11622" spans="1:8" ht="25.05" customHeight="1" x14ac:dyDescent="0.25">
      <c r="A11622" s="2" t="s">
        <v>8</v>
      </c>
      <c r="B11622" s="2" t="str">
        <f>HYPERLINK("http://ts.21cn.com/tousu/show/id/1342915","联动云理赔退款一直拖着不处理")</f>
        <v>联动云理赔退款一直拖着不处理</v>
      </c>
      <c r="C11622" s="2" t="s">
        <v>9</v>
      </c>
      <c r="D11622" s="2" t="s">
        <v>10</v>
      </c>
      <c r="E11622" s="2" t="str">
        <f>HYPERLINK("http://ts.21cn.com/tousu/show/id/1342915","http://ts.21cn.com/tousu/show/id/1342915")</f>
        <v>http://ts.21cn.com/tousu/show/id/1342915</v>
      </c>
      <c r="F11622" s="2" t="s">
        <v>11</v>
      </c>
      <c r="G11622" s="2" t="s">
        <v>21300</v>
      </c>
      <c r="H11622" s="2" t="s">
        <v>21301</v>
      </c>
    </row>
    <row r="11623" spans="1:8" ht="25.05" customHeight="1" x14ac:dyDescent="0.25">
      <c r="A11623" s="2" t="s">
        <v>8</v>
      </c>
      <c r="B11623" s="2" t="str">
        <f>HYPERLINK("http://ts.21cn.com/tousu/show/id/1342927","用钱宝催收手段暴力轰炸本人通讯录群发本人私照还发侮辱短信")</f>
        <v>用钱宝催收手段暴力轰炸本人通讯录群发本人私照还发侮辱短信</v>
      </c>
      <c r="C11623" s="2" t="s">
        <v>9</v>
      </c>
      <c r="D11623" s="2" t="s">
        <v>10</v>
      </c>
      <c r="E11623" s="2" t="str">
        <f>HYPERLINK("http://ts.21cn.com/tousu/show/id/1342927","http://ts.21cn.com/tousu/show/id/1342927")</f>
        <v>http://ts.21cn.com/tousu/show/id/1342927</v>
      </c>
      <c r="F11623" s="2" t="s">
        <v>11</v>
      </c>
      <c r="G11623" s="2" t="s">
        <v>21298</v>
      </c>
      <c r="H11623" s="2" t="s">
        <v>21299</v>
      </c>
    </row>
    <row r="11624" spans="1:8" ht="25.05" customHeight="1" x14ac:dyDescent="0.25">
      <c r="A11624" s="2" t="s">
        <v>8</v>
      </c>
      <c r="B11624" s="2" t="str">
        <f>HYPERLINK("http://ts.21cn.com/tousu/show/id/1342929","阴阳合同")</f>
        <v>阴阳合同</v>
      </c>
      <c r="C11624" s="2" t="s">
        <v>9</v>
      </c>
      <c r="D11624" s="2" t="s">
        <v>10</v>
      </c>
      <c r="E11624" s="2" t="str">
        <f>HYPERLINK("http://ts.21cn.com/tousu/show/id/1342929","http://ts.21cn.com/tousu/show/id/1342929")</f>
        <v>http://ts.21cn.com/tousu/show/id/1342929</v>
      </c>
      <c r="F11624" s="2" t="s">
        <v>11</v>
      </c>
      <c r="G11624" s="2" t="s">
        <v>21296</v>
      </c>
      <c r="H11624" s="2" t="s">
        <v>21297</v>
      </c>
    </row>
    <row r="11625" spans="1:8" ht="25.05" customHeight="1" x14ac:dyDescent="0.25">
      <c r="A11625" s="2" t="s">
        <v>8</v>
      </c>
      <c r="B11625" s="2" t="str">
        <f>HYPERLINK("http://ts.21cn.com/tousu/show/id/1342930","利率畸高爆通讯录")</f>
        <v>利率畸高爆通讯录</v>
      </c>
      <c r="C11625" s="2" t="s">
        <v>9</v>
      </c>
      <c r="D11625" s="2" t="s">
        <v>10</v>
      </c>
      <c r="E11625" s="2" t="str">
        <f>HYPERLINK("http://ts.21cn.com/tousu/show/id/1342930","http://ts.21cn.com/tousu/show/id/1342930")</f>
        <v>http://ts.21cn.com/tousu/show/id/1342930</v>
      </c>
      <c r="F11625" s="2" t="s">
        <v>11</v>
      </c>
      <c r="G11625" s="2" t="s">
        <v>21294</v>
      </c>
      <c r="H11625" s="2" t="s">
        <v>21295</v>
      </c>
    </row>
    <row r="11626" spans="1:8" ht="25.05" customHeight="1" x14ac:dyDescent="0.25">
      <c r="A11626" s="2" t="s">
        <v>8</v>
      </c>
      <c r="B11626" s="2" t="str">
        <f>HYPERLINK("http://ts.21cn.com/tousu/show/id/1342931","借款金额与到账金额不符")</f>
        <v>借款金额与到账金额不符</v>
      </c>
      <c r="C11626" s="2" t="s">
        <v>34</v>
      </c>
      <c r="D11626" s="2" t="s">
        <v>10</v>
      </c>
      <c r="E11626" s="2" t="str">
        <f>HYPERLINK("http://ts.21cn.com/tousu/show/id/1342931","http://ts.21cn.com/tousu/show/id/1342931")</f>
        <v>http://ts.21cn.com/tousu/show/id/1342931</v>
      </c>
      <c r="F11626" s="2" t="s">
        <v>11</v>
      </c>
      <c r="G11626" s="2" t="s">
        <v>21292</v>
      </c>
      <c r="H11626" s="2" t="s">
        <v>21293</v>
      </c>
    </row>
    <row r="11627" spans="1:8" ht="25.05" customHeight="1" x14ac:dyDescent="0.25">
      <c r="A11627" s="2" t="s">
        <v>8</v>
      </c>
      <c r="B11627" s="2" t="str">
        <f>HYPERLINK("http://ts.21cn.com/tousu/show/id/1342932","没在融360贷款过，支付宝芝麻分确显示有一笔贷款逾期记录，支付宝是怎么搞的？")</f>
        <v>没在融360贷款过，支付宝芝麻分确显示有一笔贷款逾期记录，支付宝是怎么搞的？</v>
      </c>
      <c r="C11627" s="2" t="s">
        <v>34</v>
      </c>
      <c r="D11627" s="2" t="s">
        <v>10</v>
      </c>
      <c r="E11627" s="2" t="str">
        <f>HYPERLINK("http://ts.21cn.com/tousu/show/id/1342932","http://ts.21cn.com/tousu/show/id/1342932")</f>
        <v>http://ts.21cn.com/tousu/show/id/1342932</v>
      </c>
      <c r="F11627" s="2" t="s">
        <v>11</v>
      </c>
      <c r="G11627" s="2" t="s">
        <v>21290</v>
      </c>
      <c r="H11627" s="2" t="s">
        <v>21291</v>
      </c>
    </row>
    <row r="11628" spans="1:8" ht="25.05" customHeight="1" x14ac:dyDescent="0.25">
      <c r="A11628" s="2" t="s">
        <v>8</v>
      </c>
      <c r="B11628" s="2" t="str">
        <f>HYPERLINK("http://ts.21cn.com/tousu/show/id/1342933","信用管家高利贷砍头息")</f>
        <v>信用管家高利贷砍头息</v>
      </c>
      <c r="C11628" s="2" t="s">
        <v>9</v>
      </c>
      <c r="D11628" s="2" t="s">
        <v>10</v>
      </c>
      <c r="E11628" s="2" t="str">
        <f>HYPERLINK("http://ts.21cn.com/tousu/show/id/1342933","http://ts.21cn.com/tousu/show/id/1342933")</f>
        <v>http://ts.21cn.com/tousu/show/id/1342933</v>
      </c>
      <c r="F11628" s="2" t="s">
        <v>11</v>
      </c>
      <c r="G11628" s="2" t="s">
        <v>21288</v>
      </c>
      <c r="H11628" s="2" t="s">
        <v>21289</v>
      </c>
    </row>
    <row r="11629" spans="1:8" ht="25.05" customHeight="1" x14ac:dyDescent="0.25">
      <c r="A11629" s="2" t="s">
        <v>8</v>
      </c>
      <c r="B11629" s="2" t="str">
        <f>HYPERLINK("http://ts.21cn.com/tousu/show/id/1342934","你我贷高利贷伪造合同")</f>
        <v>你我贷高利贷伪造合同</v>
      </c>
      <c r="C11629" s="2" t="s">
        <v>9</v>
      </c>
      <c r="D11629" s="2" t="s">
        <v>10</v>
      </c>
      <c r="E11629" s="2" t="str">
        <f>HYPERLINK("http://ts.21cn.com/tousu/show/id/1342934","http://ts.21cn.com/tousu/show/id/1342934")</f>
        <v>http://ts.21cn.com/tousu/show/id/1342934</v>
      </c>
      <c r="F11629" s="2" t="s">
        <v>11</v>
      </c>
      <c r="G11629" s="2" t="s">
        <v>21286</v>
      </c>
      <c r="H11629" s="2" t="s">
        <v>21287</v>
      </c>
    </row>
    <row r="11630" spans="1:8" ht="25.05" customHeight="1" x14ac:dyDescent="0.25">
      <c r="A11630" s="2" t="s">
        <v>8</v>
      </c>
      <c r="B11630" s="2" t="str">
        <f>HYPERLINK("http://ts.21cn.com/tousu/show/id/1342925","希望洛基英语能够退款")</f>
        <v>希望洛基英语能够退款</v>
      </c>
      <c r="C11630" s="2" t="s">
        <v>9</v>
      </c>
      <c r="D11630" s="2" t="s">
        <v>10</v>
      </c>
      <c r="E11630" s="2" t="str">
        <f>HYPERLINK("http://ts.21cn.com/tousu/show/id/1342925","http://ts.21cn.com/tousu/show/id/1342925")</f>
        <v>http://ts.21cn.com/tousu/show/id/1342925</v>
      </c>
      <c r="F11630" s="2" t="s">
        <v>11</v>
      </c>
      <c r="G11630" s="2" t="s">
        <v>21284</v>
      </c>
      <c r="H11630" s="2" t="s">
        <v>21285</v>
      </c>
    </row>
    <row r="11631" spans="1:8" ht="25.05" customHeight="1" x14ac:dyDescent="0.25">
      <c r="A11631" s="2" t="s">
        <v>8</v>
      </c>
      <c r="B11631" s="2" t="str">
        <f>HYPERLINK("http://ts.21cn.com/tousu/show/id/1342936","京东金融早已结清乱发信息给我通讯录里的人")</f>
        <v>京东金融早已结清乱发信息给我通讯录里的人</v>
      </c>
      <c r="C11631" s="2" t="s">
        <v>9</v>
      </c>
      <c r="D11631" s="2" t="s">
        <v>10</v>
      </c>
      <c r="E11631" s="2" t="str">
        <f>HYPERLINK("http://ts.21cn.com/tousu/show/id/1342936","http://ts.21cn.com/tousu/show/id/1342936")</f>
        <v>http://ts.21cn.com/tousu/show/id/1342936</v>
      </c>
      <c r="F11631" s="2" t="s">
        <v>11</v>
      </c>
      <c r="G11631" s="2" t="s">
        <v>21282</v>
      </c>
      <c r="H11631" s="2" t="s">
        <v>21283</v>
      </c>
    </row>
    <row r="11632" spans="1:8" ht="25.05" customHeight="1" x14ac:dyDescent="0.25">
      <c r="A11632" s="2" t="s">
        <v>8</v>
      </c>
      <c r="B11632" s="2" t="str">
        <f>HYPERLINK("http://ts.21cn.com/tousu/show/id/1342937","捷信骚扰")</f>
        <v>捷信骚扰</v>
      </c>
      <c r="C11632" s="2" t="s">
        <v>9</v>
      </c>
      <c r="D11632" s="2" t="s">
        <v>10</v>
      </c>
      <c r="E11632" s="2" t="str">
        <f>HYPERLINK("http://ts.21cn.com/tousu/show/id/1342937","http://ts.21cn.com/tousu/show/id/1342937")</f>
        <v>http://ts.21cn.com/tousu/show/id/1342937</v>
      </c>
      <c r="F11632" s="2" t="s">
        <v>11</v>
      </c>
      <c r="G11632" s="2" t="s">
        <v>21280</v>
      </c>
      <c r="H11632" s="2" t="s">
        <v>21281</v>
      </c>
    </row>
    <row r="11633" spans="1:8" ht="25.05" customHeight="1" x14ac:dyDescent="0.25">
      <c r="A11633" s="2" t="s">
        <v>8</v>
      </c>
      <c r="B11633" s="2" t="str">
        <f>HYPERLINK("http://ts.21cn.com/tousu/show/id/1342928","合同欺诈，私自扣款")</f>
        <v>合同欺诈，私自扣款</v>
      </c>
      <c r="C11633" s="2" t="s">
        <v>9</v>
      </c>
      <c r="D11633" s="2" t="s">
        <v>10</v>
      </c>
      <c r="E11633" s="2" t="str">
        <f>HYPERLINK("http://ts.21cn.com/tousu/show/id/1342928","http://ts.21cn.com/tousu/show/id/1342928")</f>
        <v>http://ts.21cn.com/tousu/show/id/1342928</v>
      </c>
      <c r="F11633" s="2" t="s">
        <v>11</v>
      </c>
      <c r="G11633" s="2" t="s">
        <v>21278</v>
      </c>
      <c r="H11633" s="2" t="s">
        <v>21279</v>
      </c>
    </row>
    <row r="11634" spans="1:8" ht="25.05" customHeight="1" x14ac:dyDescent="0.25">
      <c r="A11634" s="2" t="s">
        <v>8</v>
      </c>
      <c r="B11634" s="2" t="str">
        <f>HYPERLINK("http://ts.21cn.com/tousu/show/id/1342839","通联支付海南分公司给提供不正规支付通道")</f>
        <v>通联支付海南分公司给提供不正规支付通道</v>
      </c>
      <c r="C11634" s="2" t="s">
        <v>9</v>
      </c>
      <c r="D11634" s="2" t="s">
        <v>10</v>
      </c>
      <c r="E11634" s="2" t="str">
        <f>HYPERLINK("http://ts.21cn.com/tousu/show/id/1342839","http://ts.21cn.com/tousu/show/id/1342839")</f>
        <v>http://ts.21cn.com/tousu/show/id/1342839</v>
      </c>
      <c r="F11634" s="2" t="s">
        <v>11</v>
      </c>
      <c r="G11634" s="2" t="s">
        <v>21276</v>
      </c>
      <c r="H11634" s="2" t="s">
        <v>21277</v>
      </c>
    </row>
    <row r="11635" spans="1:8" ht="25.05" customHeight="1" x14ac:dyDescent="0.25">
      <c r="A11635" s="2" t="s">
        <v>8</v>
      </c>
      <c r="B11635" s="2" t="str">
        <f>HYPERLINK("http://ts.21cn.com/tousu/show/id/1342938","滴滴平台不公平派单")</f>
        <v>滴滴平台不公平派单</v>
      </c>
      <c r="C11635" s="2" t="s">
        <v>9</v>
      </c>
      <c r="D11635" s="2" t="s">
        <v>10</v>
      </c>
      <c r="E11635" s="2" t="str">
        <f>HYPERLINK("http://ts.21cn.com/tousu/show/id/1342938","http://ts.21cn.com/tousu/show/id/1342938")</f>
        <v>http://ts.21cn.com/tousu/show/id/1342938</v>
      </c>
      <c r="F11635" s="2" t="s">
        <v>11</v>
      </c>
      <c r="G11635" s="2" t="s">
        <v>21274</v>
      </c>
      <c r="H11635" s="2" t="s">
        <v>21275</v>
      </c>
    </row>
    <row r="11636" spans="1:8" ht="25.05" customHeight="1" x14ac:dyDescent="0.25">
      <c r="A11636" s="2" t="s">
        <v>8</v>
      </c>
      <c r="B11636" s="2" t="str">
        <f>HYPERLINK("http://ts.21cn.com/tousu/show/id/1342939","腾讯游戏退回我27元")</f>
        <v>腾讯游戏退回我27元</v>
      </c>
      <c r="C11636" s="2" t="s">
        <v>34</v>
      </c>
      <c r="D11636" s="2" t="s">
        <v>10</v>
      </c>
      <c r="E11636" s="2" t="str">
        <f>HYPERLINK("http://ts.21cn.com/tousu/show/id/1342939","http://ts.21cn.com/tousu/show/id/1342939")</f>
        <v>http://ts.21cn.com/tousu/show/id/1342939</v>
      </c>
      <c r="F11636" s="2" t="s">
        <v>11</v>
      </c>
      <c r="G11636" s="2" t="s">
        <v>21272</v>
      </c>
      <c r="H11636" s="2" t="s">
        <v>21273</v>
      </c>
    </row>
    <row r="11637" spans="1:8" ht="25.05" customHeight="1" x14ac:dyDescent="0.25">
      <c r="A11637" s="2" t="s">
        <v>8</v>
      </c>
      <c r="B11637" s="2" t="str">
        <f>HYPERLINK("http://ts.21cn.com/tousu/show/id/1342943","畅行商旅VIP诱导消费")</f>
        <v>畅行商旅VIP诱导消费</v>
      </c>
      <c r="C11637" s="2" t="s">
        <v>9</v>
      </c>
      <c r="D11637" s="2" t="s">
        <v>10</v>
      </c>
      <c r="E11637" s="2" t="str">
        <f>HYPERLINK("http://ts.21cn.com/tousu/show/id/1342943","http://ts.21cn.com/tousu/show/id/1342943")</f>
        <v>http://ts.21cn.com/tousu/show/id/1342943</v>
      </c>
      <c r="F11637" s="2" t="s">
        <v>11</v>
      </c>
      <c r="G11637" s="2" t="s">
        <v>21270</v>
      </c>
      <c r="H11637" s="2" t="s">
        <v>21271</v>
      </c>
    </row>
    <row r="11638" spans="1:8" ht="25.05" customHeight="1" x14ac:dyDescent="0.25">
      <c r="A11638" s="2" t="s">
        <v>8</v>
      </c>
      <c r="B11638" s="2" t="str">
        <f>HYPERLINK("http://ts.21cn.com/tousu/show/id/1342944","暴力催收恐吓威胁敲诈")</f>
        <v>暴力催收恐吓威胁敲诈</v>
      </c>
      <c r="C11638" s="2" t="s">
        <v>9</v>
      </c>
      <c r="D11638" s="2" t="s">
        <v>10</v>
      </c>
      <c r="E11638" s="2" t="str">
        <f>HYPERLINK("http://ts.21cn.com/tousu/show/id/1342944","http://ts.21cn.com/tousu/show/id/1342944")</f>
        <v>http://ts.21cn.com/tousu/show/id/1342944</v>
      </c>
      <c r="F11638" s="2" t="s">
        <v>11</v>
      </c>
      <c r="G11638" s="2" t="s">
        <v>21268</v>
      </c>
      <c r="H11638" s="2" t="s">
        <v>21269</v>
      </c>
    </row>
    <row r="11639" spans="1:8" ht="25.05" customHeight="1" x14ac:dyDescent="0.25">
      <c r="A11639" s="2" t="s">
        <v>8</v>
      </c>
      <c r="B11639" s="2" t="str">
        <f>HYPERLINK("http://ts.21cn.com/tousu/show/id/1342940","支付宝，快钱，协助非法714高炮，利息太高")</f>
        <v>支付宝，快钱，协助非法714高炮，利息太高</v>
      </c>
      <c r="C11639" s="2" t="s">
        <v>9</v>
      </c>
      <c r="D11639" s="2" t="s">
        <v>10</v>
      </c>
      <c r="E11639" s="2" t="str">
        <f>HYPERLINK("http://ts.21cn.com/tousu/show/id/1342940","http://ts.21cn.com/tousu/show/id/1342940")</f>
        <v>http://ts.21cn.com/tousu/show/id/1342940</v>
      </c>
      <c r="F11639" s="2" t="s">
        <v>11</v>
      </c>
      <c r="G11639" s="2" t="s">
        <v>21266</v>
      </c>
      <c r="H11639" s="2" t="s">
        <v>21267</v>
      </c>
    </row>
    <row r="11640" spans="1:8" ht="25.05" customHeight="1" x14ac:dyDescent="0.25">
      <c r="A11640" s="2" t="s">
        <v>8</v>
      </c>
      <c r="B11640" s="2" t="str">
        <f>HYPERLINK("http://ts.21cn.com/tousu/show/id/1342941","首汽约车不作为存在欺诈违约行为")</f>
        <v>首汽约车不作为存在欺诈违约行为</v>
      </c>
      <c r="C11640" s="2" t="s">
        <v>9</v>
      </c>
      <c r="D11640" s="2" t="s">
        <v>10</v>
      </c>
      <c r="E11640" s="2" t="str">
        <f>HYPERLINK("http://ts.21cn.com/tousu/show/id/1342941","http://ts.21cn.com/tousu/show/id/1342941")</f>
        <v>http://ts.21cn.com/tousu/show/id/1342941</v>
      </c>
      <c r="F11640" s="2" t="s">
        <v>11</v>
      </c>
      <c r="G11640" s="2" t="s">
        <v>21264</v>
      </c>
      <c r="H11640" s="2" t="s">
        <v>21265</v>
      </c>
    </row>
    <row r="11641" spans="1:8" ht="25.05" customHeight="1" x14ac:dyDescent="0.25">
      <c r="A11641" s="2" t="s">
        <v>8</v>
      </c>
      <c r="B11641" s="2" t="str">
        <f>HYPERLINK("http://ts.21cn.com/tousu/show/id/1342942","你我贷老高的套路贷")</f>
        <v>你我贷老高的套路贷</v>
      </c>
      <c r="C11641" s="2" t="s">
        <v>9</v>
      </c>
      <c r="D11641" s="2" t="s">
        <v>10</v>
      </c>
      <c r="E11641" s="2" t="str">
        <f>HYPERLINK("http://ts.21cn.com/tousu/show/id/1342942","http://ts.21cn.com/tousu/show/id/1342942")</f>
        <v>http://ts.21cn.com/tousu/show/id/1342942</v>
      </c>
      <c r="F11641" s="2" t="s">
        <v>11</v>
      </c>
      <c r="G11641" s="2" t="s">
        <v>21262</v>
      </c>
      <c r="H11641" s="2" t="s">
        <v>21263</v>
      </c>
    </row>
    <row r="11642" spans="1:8" ht="25.05" customHeight="1" x14ac:dyDescent="0.25">
      <c r="A11642" s="2" t="s">
        <v>8</v>
      </c>
      <c r="B11642" s="2" t="str">
        <f>HYPERLINK("http://ts.21cn.com/tousu/show/id/1342945","信用管家软件里面的钱咖分期高利贷，在未逾期的情况下恐吓")</f>
        <v>信用管家软件里面的钱咖分期高利贷，在未逾期的情况下恐吓</v>
      </c>
      <c r="C11642" s="2" t="s">
        <v>9</v>
      </c>
      <c r="D11642" s="2" t="s">
        <v>10</v>
      </c>
      <c r="E11642" s="2" t="str">
        <f>HYPERLINK("http://ts.21cn.com/tousu/show/id/1342945","http://ts.21cn.com/tousu/show/id/1342945")</f>
        <v>http://ts.21cn.com/tousu/show/id/1342945</v>
      </c>
      <c r="F11642" s="2" t="s">
        <v>11</v>
      </c>
      <c r="G11642" s="2" t="s">
        <v>21260</v>
      </c>
      <c r="H11642" s="2" t="s">
        <v>21261</v>
      </c>
    </row>
    <row r="11643" spans="1:8" ht="25.05" customHeight="1" x14ac:dyDescent="0.25">
      <c r="A11643" s="2" t="s">
        <v>8</v>
      </c>
      <c r="B11643" s="2" t="str">
        <f>HYPERLINK("http://ts.21cn.com/tousu/show/id/1342946","浦发信用卡要求全额还款")</f>
        <v>浦发信用卡要求全额还款</v>
      </c>
      <c r="C11643" s="2" t="s">
        <v>9</v>
      </c>
      <c r="D11643" s="2" t="s">
        <v>10</v>
      </c>
      <c r="E11643" s="2" t="str">
        <f>HYPERLINK("http://ts.21cn.com/tousu/show/id/1342946","http://ts.21cn.com/tousu/show/id/1342946")</f>
        <v>http://ts.21cn.com/tousu/show/id/1342946</v>
      </c>
      <c r="F11643" s="2" t="s">
        <v>11</v>
      </c>
      <c r="G11643" s="2" t="s">
        <v>21258</v>
      </c>
      <c r="H11643" s="2" t="s">
        <v>21259</v>
      </c>
    </row>
    <row r="11644" spans="1:8" ht="25.05" customHeight="1" x14ac:dyDescent="0.25">
      <c r="A11644" s="2" t="s">
        <v>8</v>
      </c>
      <c r="B11644" s="2" t="str">
        <f>HYPERLINK("http://ts.21cn.com/tousu/show/id/1342947","用钱宝暴力催收轰炸通讯录群发侮辱短信")</f>
        <v>用钱宝暴力催收轰炸通讯录群发侮辱短信</v>
      </c>
      <c r="C11644" s="2" t="s">
        <v>9</v>
      </c>
      <c r="D11644" s="2" t="s">
        <v>10</v>
      </c>
      <c r="E11644" s="2" t="str">
        <f>HYPERLINK("http://ts.21cn.com/tousu/show/id/1342947","http://ts.21cn.com/tousu/show/id/1342947")</f>
        <v>http://ts.21cn.com/tousu/show/id/1342947</v>
      </c>
      <c r="F11644" s="2" t="s">
        <v>11</v>
      </c>
      <c r="G11644" s="2" t="s">
        <v>21256</v>
      </c>
      <c r="H11644" s="2" t="s">
        <v>21257</v>
      </c>
    </row>
    <row r="11645" spans="1:8" ht="25.05" customHeight="1" x14ac:dyDescent="0.25">
      <c r="A11645" s="2" t="s">
        <v>8</v>
      </c>
      <c r="B11645" s="2" t="str">
        <f>HYPERLINK("http://ts.21cn.com/tousu/show/id/1342948","美团砍券无法领取，客服敷衍了事不解决")</f>
        <v>美团砍券无法领取，客服敷衍了事不解决</v>
      </c>
      <c r="C11645" s="2" t="s">
        <v>9</v>
      </c>
      <c r="D11645" s="2" t="s">
        <v>10</v>
      </c>
      <c r="E11645" s="2" t="str">
        <f>HYPERLINK("http://ts.21cn.com/tousu/show/id/1342948","http://ts.21cn.com/tousu/show/id/1342948")</f>
        <v>http://ts.21cn.com/tousu/show/id/1342948</v>
      </c>
      <c r="F11645" s="2" t="s">
        <v>11</v>
      </c>
      <c r="G11645" s="2" t="s">
        <v>21255</v>
      </c>
      <c r="H11645" s="2" t="s">
        <v>14640</v>
      </c>
    </row>
    <row r="11646" spans="1:8" ht="25.05" customHeight="1" x14ac:dyDescent="0.25">
      <c r="A11646" s="2" t="s">
        <v>8</v>
      </c>
      <c r="B11646" s="2" t="str">
        <f>HYPERLINK("http://ts.21cn.com/tousu/show/id/1342949","美团外卖吃出异物商家嚣张美团无动于衷")</f>
        <v>美团外卖吃出异物商家嚣张美团无动于衷</v>
      </c>
      <c r="C11646" s="2" t="s">
        <v>9</v>
      </c>
      <c r="D11646" s="2" t="s">
        <v>10</v>
      </c>
      <c r="E11646" s="2" t="str">
        <f>HYPERLINK("http://ts.21cn.com/tousu/show/id/1342949","http://ts.21cn.com/tousu/show/id/1342949")</f>
        <v>http://ts.21cn.com/tousu/show/id/1342949</v>
      </c>
      <c r="F11646" s="2" t="s">
        <v>11</v>
      </c>
      <c r="G11646" s="2" t="s">
        <v>21253</v>
      </c>
      <c r="H11646" s="2" t="s">
        <v>21254</v>
      </c>
    </row>
    <row r="11647" spans="1:8" ht="25.05" customHeight="1" x14ac:dyDescent="0.25">
      <c r="A11647" s="2" t="s">
        <v>8</v>
      </c>
      <c r="B11647" s="2" t="str">
        <f>HYPERLINK("http://ts.21cn.com/tousu/show/id/1342950","及贷强制支付管理费及保险费")</f>
        <v>及贷强制支付管理费及保险费</v>
      </c>
      <c r="C11647" s="2" t="s">
        <v>9</v>
      </c>
      <c r="D11647" s="2" t="s">
        <v>10</v>
      </c>
      <c r="E11647" s="2" t="str">
        <f>HYPERLINK("http://ts.21cn.com/tousu/show/id/1342950","http://ts.21cn.com/tousu/show/id/1342950")</f>
        <v>http://ts.21cn.com/tousu/show/id/1342950</v>
      </c>
      <c r="F11647" s="2" t="s">
        <v>11</v>
      </c>
      <c r="G11647" s="2" t="s">
        <v>21251</v>
      </c>
      <c r="H11647" s="2" t="s">
        <v>21252</v>
      </c>
    </row>
    <row r="11648" spans="1:8" ht="25.05" customHeight="1" x14ac:dyDescent="0.25">
      <c r="A11648" s="2" t="s">
        <v>8</v>
      </c>
      <c r="B11648" s="2" t="str">
        <f>HYPERLINK("http://ts.21cn.com/tousu/show/id/1342952","租房前后两副面孔，不仅不退押金还需要额外支付一笔活动金")</f>
        <v>租房前后两副面孔，不仅不退押金还需要额外支付一笔活动金</v>
      </c>
      <c r="C11648" s="2" t="s">
        <v>9</v>
      </c>
      <c r="D11648" s="2" t="s">
        <v>10</v>
      </c>
      <c r="E11648" s="2" t="str">
        <f>HYPERLINK("http://ts.21cn.com/tousu/show/id/1342952","http://ts.21cn.com/tousu/show/id/1342952")</f>
        <v>http://ts.21cn.com/tousu/show/id/1342952</v>
      </c>
      <c r="F11648" s="2" t="s">
        <v>11</v>
      </c>
      <c r="G11648" s="2" t="s">
        <v>21249</v>
      </c>
      <c r="H11648" s="2" t="s">
        <v>21250</v>
      </c>
    </row>
    <row r="11649" spans="1:8" ht="25.05" customHeight="1" x14ac:dyDescent="0.25">
      <c r="A11649" s="2" t="s">
        <v>8</v>
      </c>
      <c r="B11649" s="2" t="str">
        <f>HYPERLINK("http://ts.21cn.com/tousu/show/id/1342953","强制收取保费借款和还款金额不符")</f>
        <v>强制收取保费借款和还款金额不符</v>
      </c>
      <c r="C11649" s="2" t="s">
        <v>9</v>
      </c>
      <c r="D11649" s="2" t="s">
        <v>10</v>
      </c>
      <c r="E11649" s="2" t="str">
        <f>HYPERLINK("http://ts.21cn.com/tousu/show/id/1342953","http://ts.21cn.com/tousu/show/id/1342953")</f>
        <v>http://ts.21cn.com/tousu/show/id/1342953</v>
      </c>
      <c r="F11649" s="2" t="s">
        <v>11</v>
      </c>
      <c r="G11649" s="2" t="s">
        <v>21247</v>
      </c>
      <c r="H11649" s="2" t="s">
        <v>21248</v>
      </c>
    </row>
    <row r="11650" spans="1:8" ht="25.05" customHeight="1" x14ac:dyDescent="0.25">
      <c r="A11650" s="2" t="s">
        <v>8</v>
      </c>
      <c r="B11650" s="2" t="str">
        <f>HYPERLINK("http://ts.21cn.com/tousu/show/id/1342954","遇网络套路贷")</f>
        <v>遇网络套路贷</v>
      </c>
      <c r="C11650" s="2" t="s">
        <v>9</v>
      </c>
      <c r="D11650" s="2" t="s">
        <v>10</v>
      </c>
      <c r="E11650" s="2" t="str">
        <f>HYPERLINK("http://ts.21cn.com/tousu/show/id/1342954","http://ts.21cn.com/tousu/show/id/1342954")</f>
        <v>http://ts.21cn.com/tousu/show/id/1342954</v>
      </c>
      <c r="F11650" s="2" t="s">
        <v>11</v>
      </c>
      <c r="G11650" s="2" t="s">
        <v>21245</v>
      </c>
      <c r="H11650" s="2" t="s">
        <v>21246</v>
      </c>
    </row>
    <row r="11651" spans="1:8" ht="25.05" customHeight="1" x14ac:dyDescent="0.25">
      <c r="A11651" s="2" t="s">
        <v>8</v>
      </c>
      <c r="B11651" s="2" t="str">
        <f>HYPERLINK("http://ts.21cn.com/tousu/show/id/1342955","钱站高利贷，阴阳合同")</f>
        <v>钱站高利贷，阴阳合同</v>
      </c>
      <c r="C11651" s="2" t="s">
        <v>9</v>
      </c>
      <c r="D11651" s="2" t="s">
        <v>10</v>
      </c>
      <c r="E11651" s="2" t="str">
        <f>HYPERLINK("http://ts.21cn.com/tousu/show/id/1342955","http://ts.21cn.com/tousu/show/id/1342955")</f>
        <v>http://ts.21cn.com/tousu/show/id/1342955</v>
      </c>
      <c r="F11651" s="2" t="s">
        <v>11</v>
      </c>
      <c r="G11651" s="2" t="s">
        <v>21243</v>
      </c>
      <c r="H11651" s="2" t="s">
        <v>21244</v>
      </c>
    </row>
    <row r="11652" spans="1:8" ht="25.05" customHeight="1" x14ac:dyDescent="0.25">
      <c r="A11652" s="2" t="s">
        <v>8</v>
      </c>
      <c r="B11652" s="2" t="str">
        <f>HYPERLINK("http://ts.21cn.com/tousu/show/id/1342956","高利息，暴力催")</f>
        <v>高利息，暴力催</v>
      </c>
      <c r="C11652" s="2" t="s">
        <v>9</v>
      </c>
      <c r="D11652" s="2" t="s">
        <v>10</v>
      </c>
      <c r="E11652" s="2" t="str">
        <f>HYPERLINK("http://ts.21cn.com/tousu/show/id/1342956","http://ts.21cn.com/tousu/show/id/1342956")</f>
        <v>http://ts.21cn.com/tousu/show/id/1342956</v>
      </c>
      <c r="F11652" s="2" t="s">
        <v>11</v>
      </c>
      <c r="G11652" s="2" t="s">
        <v>21241</v>
      </c>
      <c r="H11652" s="2" t="s">
        <v>21242</v>
      </c>
    </row>
    <row r="11653" spans="1:8" ht="25.05" customHeight="1" x14ac:dyDescent="0.25">
      <c r="A11653" s="2" t="s">
        <v>8</v>
      </c>
      <c r="B11653" s="2" t="str">
        <f>HYPERLINK("http://ts.21cn.com/tousu/show/id/1342957","新意花套路贷高利贷要求协商还款结清")</f>
        <v>新意花套路贷高利贷要求协商还款结清</v>
      </c>
      <c r="C11653" s="2" t="s">
        <v>9</v>
      </c>
      <c r="D11653" s="2" t="s">
        <v>10</v>
      </c>
      <c r="E11653" s="2" t="str">
        <f>HYPERLINK("http://ts.21cn.com/tousu/show/id/1342957","http://ts.21cn.com/tousu/show/id/1342957")</f>
        <v>http://ts.21cn.com/tousu/show/id/1342957</v>
      </c>
      <c r="F11653" s="2" t="s">
        <v>11</v>
      </c>
      <c r="G11653" s="2" t="s">
        <v>21239</v>
      </c>
      <c r="H11653" s="2" t="s">
        <v>21240</v>
      </c>
    </row>
    <row r="11654" spans="1:8" ht="25.05" customHeight="1" x14ac:dyDescent="0.25">
      <c r="A11654" s="2" t="s">
        <v>8</v>
      </c>
      <c r="B11654" s="2" t="str">
        <f>HYPERLINK("http://ts.21cn.com/tousu/show/id/1342959","第二次借款时收取所谓的续借费用，多余的费用没听说过，")</f>
        <v>第二次借款时收取所谓的续借费用，多余的费用没听说过，</v>
      </c>
      <c r="C11654" s="2" t="s">
        <v>9</v>
      </c>
      <c r="D11654" s="2" t="s">
        <v>10</v>
      </c>
      <c r="E11654" s="2" t="str">
        <f>HYPERLINK("http://ts.21cn.com/tousu/show/id/1342959","http://ts.21cn.com/tousu/show/id/1342959")</f>
        <v>http://ts.21cn.com/tousu/show/id/1342959</v>
      </c>
      <c r="F11654" s="2" t="s">
        <v>11</v>
      </c>
      <c r="G11654" s="2" t="s">
        <v>21236</v>
      </c>
      <c r="H11654" s="2" t="s">
        <v>21237</v>
      </c>
    </row>
    <row r="11655" spans="1:8" ht="25.05" customHeight="1" x14ac:dyDescent="0.25">
      <c r="A11655" s="2" t="s">
        <v>8</v>
      </c>
      <c r="B11655" s="2" t="str">
        <f>HYPERLINK("http://ts.21cn.com/tousu/show/id/1342958","我来贷借款平台违规收取逾期利息")</f>
        <v>我来贷借款平台违规收取逾期利息</v>
      </c>
      <c r="C11655" s="2" t="s">
        <v>9</v>
      </c>
      <c r="D11655" s="2" t="s">
        <v>10</v>
      </c>
      <c r="E11655" s="2" t="str">
        <f>HYPERLINK("http://ts.21cn.com/tousu/show/id/1342958","http://ts.21cn.com/tousu/show/id/1342958")</f>
        <v>http://ts.21cn.com/tousu/show/id/1342958</v>
      </c>
      <c r="F11655" s="2" t="s">
        <v>11</v>
      </c>
      <c r="G11655" s="2" t="s">
        <v>21236</v>
      </c>
      <c r="H11655" s="2" t="s">
        <v>21238</v>
      </c>
    </row>
    <row r="11656" spans="1:8" ht="25.05" customHeight="1" x14ac:dyDescent="0.25">
      <c r="A11656" s="2" t="s">
        <v>8</v>
      </c>
      <c r="B11656" s="2" t="str">
        <f>HYPERLINK("http://ts.21cn.com/tousu/show/id/1342960","你我贷暴力催收！！！威胁恐吓！短信电话轰炸！！")</f>
        <v>你我贷暴力催收！！！威胁恐吓！短信电话轰炸！！</v>
      </c>
      <c r="C11656" s="2" t="s">
        <v>9</v>
      </c>
      <c r="D11656" s="2" t="s">
        <v>10</v>
      </c>
      <c r="E11656" s="2" t="str">
        <f>HYPERLINK("http://ts.21cn.com/tousu/show/id/1342960","http://ts.21cn.com/tousu/show/id/1342960")</f>
        <v>http://ts.21cn.com/tousu/show/id/1342960</v>
      </c>
      <c r="F11656" s="2" t="s">
        <v>11</v>
      </c>
      <c r="G11656" s="2" t="s">
        <v>21234</v>
      </c>
      <c r="H11656" s="2" t="s">
        <v>21235</v>
      </c>
    </row>
    <row r="11657" spans="1:8" ht="25.05" customHeight="1" x14ac:dyDescent="0.25">
      <c r="A11657" s="2" t="s">
        <v>8</v>
      </c>
      <c r="B11657" s="2" t="str">
        <f>HYPERLINK("http://ts.21cn.com/tousu/show/id/1342961","快闪卡贷高利贷收取高额砍头息")</f>
        <v>快闪卡贷高利贷收取高额砍头息</v>
      </c>
      <c r="C11657" s="2" t="s">
        <v>9</v>
      </c>
      <c r="D11657" s="2" t="s">
        <v>10</v>
      </c>
      <c r="E11657" s="2" t="str">
        <f>HYPERLINK("http://ts.21cn.com/tousu/show/id/1342961","http://ts.21cn.com/tousu/show/id/1342961")</f>
        <v>http://ts.21cn.com/tousu/show/id/1342961</v>
      </c>
      <c r="F11657" s="2" t="s">
        <v>11</v>
      </c>
      <c r="G11657" s="2" t="s">
        <v>21232</v>
      </c>
      <c r="H11657" s="2" t="s">
        <v>21233</v>
      </c>
    </row>
    <row r="11658" spans="1:8" ht="25.05" customHeight="1" x14ac:dyDescent="0.25">
      <c r="A11658" s="2" t="s">
        <v>8</v>
      </c>
      <c r="B11658" s="2" t="str">
        <f>HYPERLINK("http://ts.21cn.com/tousu/show/id/1342962","信用管家里的神马借高利贷，阴阳合同，砍头息")</f>
        <v>信用管家里的神马借高利贷，阴阳合同，砍头息</v>
      </c>
      <c r="C11658" s="2" t="s">
        <v>9</v>
      </c>
      <c r="D11658" s="2" t="s">
        <v>10</v>
      </c>
      <c r="E11658" s="2" t="str">
        <f>HYPERLINK("http://ts.21cn.com/tousu/show/id/1342962","http://ts.21cn.com/tousu/show/id/1342962")</f>
        <v>http://ts.21cn.com/tousu/show/id/1342962</v>
      </c>
      <c r="F11658" s="2" t="s">
        <v>11</v>
      </c>
      <c r="G11658" s="2" t="s">
        <v>21230</v>
      </c>
      <c r="H11658" s="2" t="s">
        <v>21231</v>
      </c>
    </row>
    <row r="11659" spans="1:8" ht="25.05" customHeight="1" x14ac:dyDescent="0.25">
      <c r="A11659" s="2" t="s">
        <v>8</v>
      </c>
      <c r="B11659" s="2" t="str">
        <f>HYPERLINK("http://ts.21cn.com/tousu/show/id/1342963","乱扣费用，扣的都是一些消费者不明白的，提前也没有说明")</f>
        <v>乱扣费用，扣的都是一些消费者不明白的，提前也没有说明</v>
      </c>
      <c r="C11659" s="2" t="s">
        <v>9</v>
      </c>
      <c r="D11659" s="2" t="s">
        <v>10</v>
      </c>
      <c r="E11659" s="2" t="str">
        <f>HYPERLINK("http://ts.21cn.com/tousu/show/id/1342963","http://ts.21cn.com/tousu/show/id/1342963")</f>
        <v>http://ts.21cn.com/tousu/show/id/1342963</v>
      </c>
      <c r="F11659" s="2" t="s">
        <v>11</v>
      </c>
      <c r="G11659" s="2" t="s">
        <v>21228</v>
      </c>
      <c r="H11659" s="2" t="s">
        <v>21229</v>
      </c>
    </row>
    <row r="11660" spans="1:8" ht="25.05" customHeight="1" x14ac:dyDescent="0.25">
      <c r="A11660" s="2" t="s">
        <v>8</v>
      </c>
      <c r="B11660" s="2" t="str">
        <f>HYPERLINK("http://ts.21cn.com/tousu/show/id/1342965","高额服务费砍头利息")</f>
        <v>高额服务费砍头利息</v>
      </c>
      <c r="C11660" s="2" t="s">
        <v>9</v>
      </c>
      <c r="D11660" s="2" t="s">
        <v>10</v>
      </c>
      <c r="E11660" s="2" t="str">
        <f>HYPERLINK("http://ts.21cn.com/tousu/show/id/1342965","http://ts.21cn.com/tousu/show/id/1342965")</f>
        <v>http://ts.21cn.com/tousu/show/id/1342965</v>
      </c>
      <c r="F11660" s="2" t="s">
        <v>11</v>
      </c>
      <c r="G11660" s="2" t="s">
        <v>21226</v>
      </c>
      <c r="H11660" s="2" t="s">
        <v>21227</v>
      </c>
    </row>
    <row r="11661" spans="1:8" ht="25.05" customHeight="1" x14ac:dyDescent="0.25">
      <c r="A11661" s="2" t="s">
        <v>8</v>
      </c>
      <c r="B11661" s="2" t="str">
        <f>HYPERLINK("http://ts.21cn.com/tousu/show/id/1342964","联合现金巴士砍头息")</f>
        <v>联合现金巴士砍头息</v>
      </c>
      <c r="C11661" s="2" t="s">
        <v>9</v>
      </c>
      <c r="D11661" s="2" t="s">
        <v>10</v>
      </c>
      <c r="E11661" s="2" t="str">
        <f>HYPERLINK("http://ts.21cn.com/tousu/show/id/1342964","http://ts.21cn.com/tousu/show/id/1342964")</f>
        <v>http://ts.21cn.com/tousu/show/id/1342964</v>
      </c>
      <c r="F11661" s="2" t="s">
        <v>11</v>
      </c>
      <c r="G11661" s="2" t="s">
        <v>21224</v>
      </c>
      <c r="H11661" s="2" t="s">
        <v>21225</v>
      </c>
    </row>
    <row r="11662" spans="1:8" ht="25.05" customHeight="1" x14ac:dyDescent="0.25">
      <c r="A11662" s="2" t="s">
        <v>8</v>
      </c>
      <c r="B11662" s="2" t="str">
        <f>HYPERLINK("http://ts.21cn.com/tousu/show/id/1342951","暴力催收")</f>
        <v>暴力催收</v>
      </c>
      <c r="C11662" s="2" t="s">
        <v>9</v>
      </c>
      <c r="D11662" s="2" t="s">
        <v>10</v>
      </c>
      <c r="E11662" s="2" t="str">
        <f>HYPERLINK("http://ts.21cn.com/tousu/show/id/1342951","http://ts.21cn.com/tousu/show/id/1342951")</f>
        <v>http://ts.21cn.com/tousu/show/id/1342951</v>
      </c>
      <c r="F11662" s="2" t="s">
        <v>11</v>
      </c>
      <c r="G11662" s="2" t="s">
        <v>21222</v>
      </c>
      <c r="H11662" s="2" t="s">
        <v>21223</v>
      </c>
    </row>
    <row r="11663" spans="1:8" ht="25.05" customHeight="1" x14ac:dyDescent="0.25">
      <c r="A11663" s="2" t="s">
        <v>8</v>
      </c>
      <c r="B11663" s="2" t="str">
        <f>HYPERLINK("http://ts.21cn.com/tousu/show/id/1342966","钱站高利贷阴阳合同")</f>
        <v>钱站高利贷阴阳合同</v>
      </c>
      <c r="C11663" s="2" t="s">
        <v>9</v>
      </c>
      <c r="D11663" s="2" t="s">
        <v>10</v>
      </c>
      <c r="E11663" s="2" t="str">
        <f>HYPERLINK("http://ts.21cn.com/tousu/show/id/1342966","http://ts.21cn.com/tousu/show/id/1342966")</f>
        <v>http://ts.21cn.com/tousu/show/id/1342966</v>
      </c>
      <c r="F11663" s="2" t="s">
        <v>11</v>
      </c>
      <c r="G11663" s="2" t="s">
        <v>21220</v>
      </c>
      <c r="H11663" s="2" t="s">
        <v>21221</v>
      </c>
    </row>
    <row r="11664" spans="1:8" ht="25.05" customHeight="1" x14ac:dyDescent="0.25">
      <c r="A11664" s="2" t="s">
        <v>8</v>
      </c>
      <c r="B11664" s="2" t="str">
        <f>HYPERLINK("http://ts.21cn.com/tousu/show/id/1342968","诉蚂蚁借呗和花呗恐吓，威胁，冒充公检人员要上门催收")</f>
        <v>诉蚂蚁借呗和花呗恐吓，威胁，冒充公检人员要上门催收</v>
      </c>
      <c r="C11664" s="2" t="s">
        <v>9</v>
      </c>
      <c r="D11664" s="2" t="s">
        <v>10</v>
      </c>
      <c r="E11664" s="2" t="str">
        <f>HYPERLINK("http://ts.21cn.com/tousu/show/id/1342968","http://ts.21cn.com/tousu/show/id/1342968")</f>
        <v>http://ts.21cn.com/tousu/show/id/1342968</v>
      </c>
      <c r="F11664" s="2" t="s">
        <v>11</v>
      </c>
      <c r="G11664" s="2" t="s">
        <v>21218</v>
      </c>
      <c r="H11664" s="2" t="s">
        <v>21219</v>
      </c>
    </row>
    <row r="11665" spans="1:8" ht="25.05" customHeight="1" x14ac:dyDescent="0.25">
      <c r="A11665" s="2" t="s">
        <v>8</v>
      </c>
      <c r="B11665" s="2" t="str">
        <f>HYPERLINK("http://ts.21cn.com/tousu/show/id/1342971","勐海瑞平信息科技有限公司714贷钱花")</f>
        <v>勐海瑞平信息科技有限公司714贷钱花</v>
      </c>
      <c r="C11665" s="2" t="s">
        <v>9</v>
      </c>
      <c r="D11665" s="2" t="s">
        <v>10</v>
      </c>
      <c r="E11665" s="2" t="str">
        <f>HYPERLINK("http://ts.21cn.com/tousu/show/id/1342971","http://ts.21cn.com/tousu/show/id/1342971")</f>
        <v>http://ts.21cn.com/tousu/show/id/1342971</v>
      </c>
      <c r="F11665" s="2" t="s">
        <v>11</v>
      </c>
      <c r="G11665" s="2" t="s">
        <v>21216</v>
      </c>
      <c r="H11665" s="2" t="s">
        <v>21217</v>
      </c>
    </row>
    <row r="11666" spans="1:8" ht="25.05" customHeight="1" x14ac:dyDescent="0.25">
      <c r="A11666" s="2" t="s">
        <v>8</v>
      </c>
      <c r="B11666" s="2" t="str">
        <f>HYPERLINK("http://ts.21cn.com/tousu/show/id/1342970","交通银")</f>
        <v>交通银</v>
      </c>
      <c r="C11666" s="2" t="s">
        <v>9</v>
      </c>
      <c r="D11666" s="2" t="s">
        <v>10</v>
      </c>
      <c r="E11666" s="2" t="str">
        <f>HYPERLINK("http://ts.21cn.com/tousu/show/id/1342970","http://ts.21cn.com/tousu/show/id/1342970")</f>
        <v>http://ts.21cn.com/tousu/show/id/1342970</v>
      </c>
      <c r="F11666" s="2" t="s">
        <v>11</v>
      </c>
      <c r="G11666" s="2" t="s">
        <v>21214</v>
      </c>
      <c r="H11666" s="2" t="s">
        <v>21215</v>
      </c>
    </row>
    <row r="11667" spans="1:8" ht="25.05" customHeight="1" x14ac:dyDescent="0.25">
      <c r="A11667" s="2" t="s">
        <v>8</v>
      </c>
      <c r="B11667" s="2" t="str">
        <f>HYPERLINK("http://ts.21cn.com/tousu/show/id/1342972","服务态度不好")</f>
        <v>服务态度不好</v>
      </c>
      <c r="C11667" s="2" t="s">
        <v>9</v>
      </c>
      <c r="D11667" s="2" t="s">
        <v>10</v>
      </c>
      <c r="E11667" s="2" t="str">
        <f>HYPERLINK("http://ts.21cn.com/tousu/show/id/1342972","http://ts.21cn.com/tousu/show/id/1342972")</f>
        <v>http://ts.21cn.com/tousu/show/id/1342972</v>
      </c>
      <c r="F11667" s="2" t="s">
        <v>11</v>
      </c>
      <c r="G11667" s="2" t="s">
        <v>21212</v>
      </c>
      <c r="H11667" s="2" t="s">
        <v>21213</v>
      </c>
    </row>
    <row r="11668" spans="1:8" ht="25.05" customHeight="1" x14ac:dyDescent="0.25">
      <c r="A11668" s="2" t="s">
        <v>8</v>
      </c>
      <c r="B11668" s="2" t="str">
        <f>HYPERLINK("http://ts.21cn.com/tousu/show/id/1342973","360玩文字游戏放高利贷")</f>
        <v>360玩文字游戏放高利贷</v>
      </c>
      <c r="C11668" s="2" t="s">
        <v>9</v>
      </c>
      <c r="D11668" s="2" t="s">
        <v>10</v>
      </c>
      <c r="E11668" s="2" t="str">
        <f>HYPERLINK("http://ts.21cn.com/tousu/show/id/1342973","http://ts.21cn.com/tousu/show/id/1342973")</f>
        <v>http://ts.21cn.com/tousu/show/id/1342973</v>
      </c>
      <c r="F11668" s="2" t="s">
        <v>11</v>
      </c>
      <c r="G11668" s="2" t="s">
        <v>21210</v>
      </c>
      <c r="H11668" s="2" t="s">
        <v>21211</v>
      </c>
    </row>
    <row r="11669" spans="1:8" ht="25.05" customHeight="1" x14ac:dyDescent="0.25">
      <c r="A11669" s="2" t="s">
        <v>8</v>
      </c>
      <c r="B11669" s="2" t="str">
        <f>HYPERLINK("http://ts.21cn.com/tousu/show/id/1342967","商家不发货，饿了么平台投诉也不处理，虚假宣传")</f>
        <v>商家不发货，饿了么平台投诉也不处理，虚假宣传</v>
      </c>
      <c r="C11669" s="2" t="s">
        <v>9</v>
      </c>
      <c r="D11669" s="2" t="s">
        <v>10</v>
      </c>
      <c r="E11669" s="2" t="str">
        <f>HYPERLINK("http://ts.21cn.com/tousu/show/id/1342967","http://ts.21cn.com/tousu/show/id/1342967")</f>
        <v>http://ts.21cn.com/tousu/show/id/1342967</v>
      </c>
      <c r="F11669" s="2" t="s">
        <v>11</v>
      </c>
      <c r="G11669" s="2" t="s">
        <v>21208</v>
      </c>
      <c r="H11669" s="2" t="s">
        <v>21209</v>
      </c>
    </row>
    <row r="11670" spans="1:8" ht="25.05" customHeight="1" x14ac:dyDescent="0.25">
      <c r="A11670" s="2" t="s">
        <v>8</v>
      </c>
      <c r="B11670" s="2" t="str">
        <f>HYPERLINK("http://ts.21cn.com/tousu/show/id/1342974","招商银行暴力催收")</f>
        <v>招商银行暴力催收</v>
      </c>
      <c r="C11670" s="2" t="s">
        <v>9</v>
      </c>
      <c r="D11670" s="2" t="s">
        <v>10</v>
      </c>
      <c r="E11670" s="2" t="str">
        <f>HYPERLINK("http://ts.21cn.com/tousu/show/id/1342974","http://ts.21cn.com/tousu/show/id/1342974")</f>
        <v>http://ts.21cn.com/tousu/show/id/1342974</v>
      </c>
      <c r="F11670" s="2" t="s">
        <v>11</v>
      </c>
      <c r="G11670" s="2" t="s">
        <v>21206</v>
      </c>
      <c r="H11670" s="2" t="s">
        <v>21207</v>
      </c>
    </row>
    <row r="11671" spans="1:8" ht="25.05" customHeight="1" x14ac:dyDescent="0.25">
      <c r="A11671" s="2" t="s">
        <v>8</v>
      </c>
      <c r="B11671" s="2" t="str">
        <f>HYPERLINK("http://ts.21cn.com/tousu/show/id/1342975","安逸花暴力催收")</f>
        <v>安逸花暴力催收</v>
      </c>
      <c r="C11671" s="2" t="s">
        <v>9</v>
      </c>
      <c r="D11671" s="2" t="s">
        <v>10</v>
      </c>
      <c r="E11671" s="2" t="str">
        <f>HYPERLINK("http://ts.21cn.com/tousu/show/id/1342975","http://ts.21cn.com/tousu/show/id/1342975")</f>
        <v>http://ts.21cn.com/tousu/show/id/1342975</v>
      </c>
      <c r="F11671" s="2" t="s">
        <v>11</v>
      </c>
      <c r="G11671" s="2" t="s">
        <v>21204</v>
      </c>
      <c r="H11671" s="2" t="s">
        <v>21205</v>
      </c>
    </row>
    <row r="11672" spans="1:8" ht="25.05" customHeight="1" x14ac:dyDescent="0.25">
      <c r="A11672" s="2" t="s">
        <v>8</v>
      </c>
      <c r="B11672" s="2" t="str">
        <f>HYPERLINK("http://ts.21cn.com/tousu/show/id/1342976","高利贷利息太高了")</f>
        <v>高利贷利息太高了</v>
      </c>
      <c r="C11672" s="2" t="s">
        <v>9</v>
      </c>
      <c r="D11672" s="2" t="s">
        <v>10</v>
      </c>
      <c r="E11672" s="2" t="str">
        <f>HYPERLINK("http://ts.21cn.com/tousu/show/id/1342976","http://ts.21cn.com/tousu/show/id/1342976")</f>
        <v>http://ts.21cn.com/tousu/show/id/1342976</v>
      </c>
      <c r="F11672" s="2" t="s">
        <v>11</v>
      </c>
      <c r="G11672" s="2" t="s">
        <v>21202</v>
      </c>
      <c r="H11672" s="2" t="s">
        <v>21203</v>
      </c>
    </row>
    <row r="11673" spans="1:8" ht="25.05" customHeight="1" x14ac:dyDescent="0.25">
      <c r="A11673" s="2" t="s">
        <v>8</v>
      </c>
      <c r="B11673" s="2" t="str">
        <f>HYPERLINK("http://ts.21cn.com/tousu/show/id/1342977","有400的服务费")</f>
        <v>有400的服务费</v>
      </c>
      <c r="C11673" s="2" t="s">
        <v>9</v>
      </c>
      <c r="D11673" s="2" t="s">
        <v>10</v>
      </c>
      <c r="E11673" s="2" t="str">
        <f>HYPERLINK("http://ts.21cn.com/tousu/show/id/1342977","http://ts.21cn.com/tousu/show/id/1342977")</f>
        <v>http://ts.21cn.com/tousu/show/id/1342977</v>
      </c>
      <c r="F11673" s="2" t="s">
        <v>11</v>
      </c>
      <c r="G11673" s="2" t="s">
        <v>21200</v>
      </c>
      <c r="H11673" s="2" t="s">
        <v>21201</v>
      </c>
    </row>
    <row r="11674" spans="1:8" ht="25.05" customHeight="1" x14ac:dyDescent="0.25">
      <c r="A11674" s="2" t="s">
        <v>8</v>
      </c>
      <c r="B11674" s="2" t="str">
        <f>HYPERLINK("http://ts.21cn.com/tousu/show/id/1342978","活力花高利贷")</f>
        <v>活力花高利贷</v>
      </c>
      <c r="C11674" s="2" t="s">
        <v>9</v>
      </c>
      <c r="D11674" s="2" t="s">
        <v>10</v>
      </c>
      <c r="E11674" s="2" t="str">
        <f>HYPERLINK("http://ts.21cn.com/tousu/show/id/1342978","http://ts.21cn.com/tousu/show/id/1342978")</f>
        <v>http://ts.21cn.com/tousu/show/id/1342978</v>
      </c>
      <c r="F11674" s="2" t="s">
        <v>11</v>
      </c>
      <c r="G11674" s="2" t="s">
        <v>21198</v>
      </c>
      <c r="H11674" s="2" t="s">
        <v>21199</v>
      </c>
    </row>
    <row r="11675" spans="1:8" ht="25.05" customHeight="1" x14ac:dyDescent="0.25">
      <c r="A11675" s="2" t="s">
        <v>8</v>
      </c>
      <c r="B11675" s="2" t="str">
        <f>HYPERLINK("http://ts.21cn.com/tousu/show/id/1342979","无故被扣钱")</f>
        <v>无故被扣钱</v>
      </c>
      <c r="C11675" s="2" t="s">
        <v>9</v>
      </c>
      <c r="D11675" s="2" t="s">
        <v>10</v>
      </c>
      <c r="E11675" s="2" t="str">
        <f>HYPERLINK("http://ts.21cn.com/tousu/show/id/1342979","http://ts.21cn.com/tousu/show/id/1342979")</f>
        <v>http://ts.21cn.com/tousu/show/id/1342979</v>
      </c>
      <c r="F11675" s="2" t="s">
        <v>11</v>
      </c>
      <c r="G11675" s="2" t="s">
        <v>21196</v>
      </c>
      <c r="H11675" s="2" t="s">
        <v>21197</v>
      </c>
    </row>
    <row r="11676" spans="1:8" ht="25.05" customHeight="1" x14ac:dyDescent="0.25">
      <c r="A11676" s="2" t="s">
        <v>8</v>
      </c>
      <c r="B11676" s="2" t="str">
        <f>HYPERLINK("http://ts.21cn.com/tousu/show/id/1342980","帮我朋友来投诉的")</f>
        <v>帮我朋友来投诉的</v>
      </c>
      <c r="C11676" s="2" t="s">
        <v>9</v>
      </c>
      <c r="D11676" s="2" t="s">
        <v>10</v>
      </c>
      <c r="E11676" s="2" t="str">
        <f>HYPERLINK("http://ts.21cn.com/tousu/show/id/1342980","http://ts.21cn.com/tousu/show/id/1342980")</f>
        <v>http://ts.21cn.com/tousu/show/id/1342980</v>
      </c>
      <c r="F11676" s="2" t="s">
        <v>11</v>
      </c>
      <c r="G11676" s="2" t="s">
        <v>21194</v>
      </c>
      <c r="H11676" s="2" t="s">
        <v>21195</v>
      </c>
    </row>
    <row r="11677" spans="1:8" ht="25.05" customHeight="1" x14ac:dyDescent="0.25">
      <c r="A11677" s="2" t="s">
        <v>8</v>
      </c>
      <c r="B11677" s="2" t="str">
        <f>HYPERLINK("http://ts.21cn.com/tousu/show/id/1342982","支付宝网贷商贷款前需要支付一定的费用，而且不明确的告诉借款人，")</f>
        <v>支付宝网贷商贷款前需要支付一定的费用，而且不明确的告诉借款人，</v>
      </c>
      <c r="C11677" s="2" t="s">
        <v>9</v>
      </c>
      <c r="D11677" s="2" t="s">
        <v>10</v>
      </c>
      <c r="E11677" s="2" t="str">
        <f>HYPERLINK("http://ts.21cn.com/tousu/show/id/1342982","http://ts.21cn.com/tousu/show/id/1342982")</f>
        <v>http://ts.21cn.com/tousu/show/id/1342982</v>
      </c>
      <c r="F11677" s="2" t="s">
        <v>11</v>
      </c>
      <c r="G11677" s="2" t="s">
        <v>21192</v>
      </c>
      <c r="H11677" s="2" t="s">
        <v>21193</v>
      </c>
    </row>
    <row r="11678" spans="1:8" ht="25.05" customHeight="1" x14ac:dyDescent="0.25">
      <c r="A11678" s="2" t="s">
        <v>8</v>
      </c>
      <c r="B11678" s="2" t="str">
        <f>HYPERLINK("http://ts.21cn.com/tousu/show/id/1342983","私自爆他人通讯录")</f>
        <v>私自爆他人通讯录</v>
      </c>
      <c r="C11678" s="2" t="s">
        <v>9</v>
      </c>
      <c r="D11678" s="2" t="s">
        <v>10</v>
      </c>
      <c r="E11678" s="2" t="str">
        <f>HYPERLINK("http://ts.21cn.com/tousu/show/id/1342983","http://ts.21cn.com/tousu/show/id/1342983")</f>
        <v>http://ts.21cn.com/tousu/show/id/1342983</v>
      </c>
      <c r="F11678" s="2" t="s">
        <v>11</v>
      </c>
      <c r="G11678" s="2" t="s">
        <v>21190</v>
      </c>
      <c r="H11678" s="2" t="s">
        <v>21191</v>
      </c>
    </row>
    <row r="11679" spans="1:8" ht="25.05" customHeight="1" x14ac:dyDescent="0.25">
      <c r="A11679" s="2" t="s">
        <v>8</v>
      </c>
      <c r="B11679" s="2" t="str">
        <f>HYPERLINK("http://ts.21cn.com/tousu/show/id/1342984","滴滴公司乱扣服务分")</f>
        <v>滴滴公司乱扣服务分</v>
      </c>
      <c r="C11679" s="2" t="s">
        <v>9</v>
      </c>
      <c r="D11679" s="2" t="s">
        <v>10</v>
      </c>
      <c r="E11679" s="2" t="str">
        <f>HYPERLINK("http://ts.21cn.com/tousu/show/id/1342984","http://ts.21cn.com/tousu/show/id/1342984")</f>
        <v>http://ts.21cn.com/tousu/show/id/1342984</v>
      </c>
      <c r="F11679" s="2" t="s">
        <v>11</v>
      </c>
      <c r="G11679" s="2" t="s">
        <v>21188</v>
      </c>
      <c r="H11679" s="2" t="s">
        <v>21189</v>
      </c>
    </row>
    <row r="11680" spans="1:8" ht="25.05" customHeight="1" x14ac:dyDescent="0.25">
      <c r="A11680" s="2" t="s">
        <v>8</v>
      </c>
      <c r="B11680" s="2" t="str">
        <f>HYPERLINK("http://ts.21cn.com/tousu/show/id/1342985","悦城出行机场办卡坑人")</f>
        <v>悦城出行机场办卡坑人</v>
      </c>
      <c r="C11680" s="2" t="s">
        <v>9</v>
      </c>
      <c r="D11680" s="2" t="s">
        <v>10</v>
      </c>
      <c r="E11680" s="2" t="str">
        <f>HYPERLINK("http://ts.21cn.com/tousu/show/id/1342985","http://ts.21cn.com/tousu/show/id/1342985")</f>
        <v>http://ts.21cn.com/tousu/show/id/1342985</v>
      </c>
      <c r="F11680" s="2" t="s">
        <v>11</v>
      </c>
      <c r="G11680" s="2" t="s">
        <v>21186</v>
      </c>
      <c r="H11680" s="2" t="s">
        <v>21187</v>
      </c>
    </row>
    <row r="11681" spans="1:8" ht="25.05" customHeight="1" x14ac:dyDescent="0.25">
      <c r="A11681" s="2" t="s">
        <v>8</v>
      </c>
      <c r="B11681" s="2" t="str">
        <f>HYPERLINK("http://ts.21cn.com/tousu/show/id/1342987","他人错转的几千块钱，被蚂蚁花呗扣走了，客服又不处理已发布，损失有谁来赔偿")</f>
        <v>他人错转的几千块钱，被蚂蚁花呗扣走了，客服又不处理已发布，损失有谁来赔偿</v>
      </c>
      <c r="C11681" s="2" t="s">
        <v>9</v>
      </c>
      <c r="D11681" s="2" t="s">
        <v>10</v>
      </c>
      <c r="E11681" s="2" t="str">
        <f>HYPERLINK("http://ts.21cn.com/tousu/show/id/1342987","http://ts.21cn.com/tousu/show/id/1342987")</f>
        <v>http://ts.21cn.com/tousu/show/id/1342987</v>
      </c>
      <c r="F11681" s="2" t="s">
        <v>11</v>
      </c>
      <c r="G11681" s="2" t="s">
        <v>21184</v>
      </c>
      <c r="H11681" s="2" t="s">
        <v>21185</v>
      </c>
    </row>
    <row r="11682" spans="1:8" ht="25.05" customHeight="1" x14ac:dyDescent="0.25">
      <c r="A11682" s="2" t="s">
        <v>8</v>
      </c>
      <c r="B11682" s="2" t="str">
        <f>HYPERLINK("http://ts.21cn.com/tousu/show/id/1342988","并非恶意逾期，要求撤销上报征信")</f>
        <v>并非恶意逾期，要求撤销上报征信</v>
      </c>
      <c r="C11682" s="2" t="s">
        <v>9</v>
      </c>
      <c r="D11682" s="2" t="s">
        <v>10</v>
      </c>
      <c r="E11682" s="2" t="str">
        <f>HYPERLINK("http://ts.21cn.com/tousu/show/id/1342988","http://ts.21cn.com/tousu/show/id/1342988")</f>
        <v>http://ts.21cn.com/tousu/show/id/1342988</v>
      </c>
      <c r="F11682" s="2" t="s">
        <v>11</v>
      </c>
      <c r="G11682" s="2" t="s">
        <v>21182</v>
      </c>
      <c r="H11682" s="2" t="s">
        <v>21183</v>
      </c>
    </row>
    <row r="11683" spans="1:8" ht="25.05" customHeight="1" x14ac:dyDescent="0.25">
      <c r="A11683" s="2" t="s">
        <v>8</v>
      </c>
      <c r="B11683" s="2" t="str">
        <f>HYPERLINK("http://ts.21cn.com/tousu/show/id/1342989","说是开了黑卡百分百下款，不下款包赔，之前都是五十天期限，开了黑卡变成中介了")</f>
        <v>说是开了黑卡百分百下款，不下款包赔，之前都是五十天期限，开了黑卡变成中介了</v>
      </c>
      <c r="C11683" s="2" t="s">
        <v>9</v>
      </c>
      <c r="D11683" s="2" t="s">
        <v>10</v>
      </c>
      <c r="E11683" s="2" t="str">
        <f>HYPERLINK("http://ts.21cn.com/tousu/show/id/1342989","http://ts.21cn.com/tousu/show/id/1342989")</f>
        <v>http://ts.21cn.com/tousu/show/id/1342989</v>
      </c>
      <c r="F11683" s="2" t="s">
        <v>11</v>
      </c>
      <c r="G11683" s="2" t="s">
        <v>21180</v>
      </c>
      <c r="H11683" s="2" t="s">
        <v>21181</v>
      </c>
    </row>
    <row r="11684" spans="1:8" ht="25.05" customHeight="1" x14ac:dyDescent="0.25">
      <c r="A11684" s="2" t="s">
        <v>8</v>
      </c>
      <c r="B11684" s="2" t="str">
        <f>HYPERLINK("http://ts.21cn.com/tousu/show/id/1342990","苏宁易购华硕笔记本出现故障")</f>
        <v>苏宁易购华硕笔记本出现故障</v>
      </c>
      <c r="C11684" s="2" t="s">
        <v>34</v>
      </c>
      <c r="D11684" s="2" t="s">
        <v>10</v>
      </c>
      <c r="E11684" s="2" t="str">
        <f>HYPERLINK("http://ts.21cn.com/tousu/show/id/1342990","http://ts.21cn.com/tousu/show/id/1342990")</f>
        <v>http://ts.21cn.com/tousu/show/id/1342990</v>
      </c>
      <c r="F11684" s="2" t="s">
        <v>11</v>
      </c>
      <c r="G11684" s="2" t="s">
        <v>21178</v>
      </c>
      <c r="H11684" s="2" t="s">
        <v>21179</v>
      </c>
    </row>
    <row r="11685" spans="1:8" ht="25.05" customHeight="1" x14ac:dyDescent="0.25">
      <c r="A11685" s="2" t="s">
        <v>8</v>
      </c>
      <c r="B11685" s="2" t="str">
        <f>HYPERLINK("http://ts.21cn.com/tousu/show/id/1342991","OYO酒店欺诈")</f>
        <v>OYO酒店欺诈</v>
      </c>
      <c r="C11685" s="2" t="s">
        <v>9</v>
      </c>
      <c r="D11685" s="2" t="s">
        <v>10</v>
      </c>
      <c r="E11685" s="2" t="str">
        <f>HYPERLINK("http://ts.21cn.com/tousu/show/id/1342991","http://ts.21cn.com/tousu/show/id/1342991")</f>
        <v>http://ts.21cn.com/tousu/show/id/1342991</v>
      </c>
      <c r="F11685" s="2" t="s">
        <v>11</v>
      </c>
      <c r="G11685" s="2" t="s">
        <v>21176</v>
      </c>
      <c r="H11685" s="2" t="s">
        <v>21177</v>
      </c>
    </row>
    <row r="11686" spans="1:8" ht="25.05" customHeight="1" x14ac:dyDescent="0.25">
      <c r="A11686" s="2" t="s">
        <v>8</v>
      </c>
      <c r="B11686" s="2" t="str">
        <f>HYPERLINK("http://ts.21cn.com/tousu/show/id/1342992","360借条玩文字游戏放高利贷")</f>
        <v>360借条玩文字游戏放高利贷</v>
      </c>
      <c r="C11686" s="2" t="s">
        <v>9</v>
      </c>
      <c r="D11686" s="2" t="s">
        <v>10</v>
      </c>
      <c r="E11686" s="2" t="str">
        <f>HYPERLINK("http://ts.21cn.com/tousu/show/id/1342992","http://ts.21cn.com/tousu/show/id/1342992")</f>
        <v>http://ts.21cn.com/tousu/show/id/1342992</v>
      </c>
      <c r="F11686" s="2" t="s">
        <v>11</v>
      </c>
      <c r="G11686" s="2" t="s">
        <v>21175</v>
      </c>
      <c r="H11686" s="2" t="s">
        <v>11705</v>
      </c>
    </row>
    <row r="11687" spans="1:8" ht="25.05" customHeight="1" x14ac:dyDescent="0.25">
      <c r="A11687" s="2" t="s">
        <v>8</v>
      </c>
      <c r="B11687" s="2" t="str">
        <f>HYPERLINK("http://ts.21cn.com/tousu/show/id/1342993","带路贷款非法扣费")</f>
        <v>带路贷款非法扣费</v>
      </c>
      <c r="C11687" s="2" t="s">
        <v>9</v>
      </c>
      <c r="D11687" s="2" t="s">
        <v>10</v>
      </c>
      <c r="E11687" s="2" t="str">
        <f>HYPERLINK("http://ts.21cn.com/tousu/show/id/1342993","http://ts.21cn.com/tousu/show/id/1342993")</f>
        <v>http://ts.21cn.com/tousu/show/id/1342993</v>
      </c>
      <c r="F11687" s="2" t="s">
        <v>11</v>
      </c>
      <c r="G11687" s="2" t="s">
        <v>21173</v>
      </c>
      <c r="H11687" s="2" t="s">
        <v>21174</v>
      </c>
    </row>
    <row r="11688" spans="1:8" ht="25.05" customHeight="1" x14ac:dyDescent="0.25">
      <c r="A11688" s="2" t="s">
        <v>8</v>
      </c>
      <c r="B11688" s="2" t="str">
        <f>HYPERLINK("http://ts.21cn.com/tousu/show/id/1342994","卡牛管家恶意扣款")</f>
        <v>卡牛管家恶意扣款</v>
      </c>
      <c r="C11688" s="2" t="s">
        <v>9</v>
      </c>
      <c r="D11688" s="2" t="s">
        <v>10</v>
      </c>
      <c r="E11688" s="2" t="str">
        <f>HYPERLINK("http://ts.21cn.com/tousu/show/id/1342994","http://ts.21cn.com/tousu/show/id/1342994")</f>
        <v>http://ts.21cn.com/tousu/show/id/1342994</v>
      </c>
      <c r="F11688" s="2" t="s">
        <v>11</v>
      </c>
      <c r="G11688" s="2" t="s">
        <v>21171</v>
      </c>
      <c r="H11688" s="2" t="s">
        <v>21172</v>
      </c>
    </row>
    <row r="11689" spans="1:8" ht="25.05" customHeight="1" x14ac:dyDescent="0.25">
      <c r="A11689" s="2" t="s">
        <v>8</v>
      </c>
      <c r="B11689" s="2" t="str">
        <f>HYPERLINK("http://ts.21cn.com/tousu/show/id/1342995","候补订单退单但未退款")</f>
        <v>候补订单退单但未退款</v>
      </c>
      <c r="C11689" s="2" t="s">
        <v>34</v>
      </c>
      <c r="D11689" s="2" t="s">
        <v>10</v>
      </c>
      <c r="E11689" s="2" t="str">
        <f>HYPERLINK("http://ts.21cn.com/tousu/show/id/1342995","http://ts.21cn.com/tousu/show/id/1342995")</f>
        <v>http://ts.21cn.com/tousu/show/id/1342995</v>
      </c>
      <c r="F11689" s="2" t="s">
        <v>11</v>
      </c>
      <c r="G11689" s="2" t="s">
        <v>21169</v>
      </c>
      <c r="H11689" s="2" t="s">
        <v>21170</v>
      </c>
    </row>
    <row r="11690" spans="1:8" ht="25.05" customHeight="1" x14ac:dyDescent="0.25">
      <c r="A11690" s="2" t="s">
        <v>8</v>
      </c>
      <c r="B11690" s="2" t="str">
        <f>HYPERLINK("http://ts.21cn.com/tousu/show/id/1342996","拖欠工资，工资发放不明")</f>
        <v>拖欠工资，工资发放不明</v>
      </c>
      <c r="C11690" s="2" t="s">
        <v>9</v>
      </c>
      <c r="D11690" s="2" t="s">
        <v>10</v>
      </c>
      <c r="E11690" s="2" t="str">
        <f>HYPERLINK("http://ts.21cn.com/tousu/show/id/1342996","http://ts.21cn.com/tousu/show/id/1342996")</f>
        <v>http://ts.21cn.com/tousu/show/id/1342996</v>
      </c>
      <c r="F11690" s="2" t="s">
        <v>11</v>
      </c>
      <c r="G11690" s="2" t="s">
        <v>21167</v>
      </c>
      <c r="H11690" s="2" t="s">
        <v>21168</v>
      </c>
    </row>
    <row r="11691" spans="1:8" ht="25.05" customHeight="1" x14ac:dyDescent="0.25">
      <c r="A11691" s="2" t="s">
        <v>8</v>
      </c>
      <c r="B11691" s="2" t="str">
        <f>HYPERLINK("http://ts.21cn.com/tousu/show/id/1342998","活力花停止催收。高利贷只还本金")</f>
        <v>活力花停止催收。高利贷只还本金</v>
      </c>
      <c r="C11691" s="2" t="s">
        <v>9</v>
      </c>
      <c r="D11691" s="2" t="s">
        <v>10</v>
      </c>
      <c r="E11691" s="2" t="str">
        <f>HYPERLINK("http://ts.21cn.com/tousu/show/id/1342998","http://ts.21cn.com/tousu/show/id/1342998")</f>
        <v>http://ts.21cn.com/tousu/show/id/1342998</v>
      </c>
      <c r="F11691" s="2" t="s">
        <v>11</v>
      </c>
      <c r="G11691" s="2" t="s">
        <v>21165</v>
      </c>
      <c r="H11691" s="2" t="s">
        <v>21166</v>
      </c>
    </row>
    <row r="11692" spans="1:8" ht="25.05" customHeight="1" x14ac:dyDescent="0.25">
      <c r="A11692" s="2" t="s">
        <v>8</v>
      </c>
      <c r="B11692" s="2" t="str">
        <f>HYPERLINK("http://ts.21cn.com/tousu/show/id/1342999","天津银行北京分行不及时更新我已还贷款的个人征信")</f>
        <v>天津银行北京分行不及时更新我已还贷款的个人征信</v>
      </c>
      <c r="C11692" s="2" t="s">
        <v>9</v>
      </c>
      <c r="D11692" s="2" t="s">
        <v>10</v>
      </c>
      <c r="E11692" s="2" t="str">
        <f>HYPERLINK("http://ts.21cn.com/tousu/show/id/1342999","http://ts.21cn.com/tousu/show/id/1342999")</f>
        <v>http://ts.21cn.com/tousu/show/id/1342999</v>
      </c>
      <c r="F11692" s="2" t="s">
        <v>11</v>
      </c>
      <c r="G11692" s="2" t="s">
        <v>21163</v>
      </c>
      <c r="H11692" s="2" t="s">
        <v>21164</v>
      </c>
    </row>
    <row r="11693" spans="1:8" ht="25.05" customHeight="1" x14ac:dyDescent="0.25">
      <c r="A11693" s="2" t="s">
        <v>8</v>
      </c>
      <c r="B11693" s="2" t="str">
        <f>HYPERLINK("http://ts.21cn.com/tousu/show/id/1343001","信用飞收取砍头息")</f>
        <v>信用飞收取砍头息</v>
      </c>
      <c r="C11693" s="2" t="s">
        <v>9</v>
      </c>
      <c r="D11693" s="2" t="s">
        <v>10</v>
      </c>
      <c r="E11693" s="2" t="str">
        <f>HYPERLINK("http://ts.21cn.com/tousu/show/id/1343001","http://ts.21cn.com/tousu/show/id/1343001")</f>
        <v>http://ts.21cn.com/tousu/show/id/1343001</v>
      </c>
      <c r="F11693" s="2" t="s">
        <v>11</v>
      </c>
      <c r="G11693" s="2" t="s">
        <v>21161</v>
      </c>
      <c r="H11693" s="2" t="s">
        <v>21162</v>
      </c>
    </row>
    <row r="11694" spans="1:8" ht="25.05" customHeight="1" x14ac:dyDescent="0.25">
      <c r="A11694" s="2" t="s">
        <v>8</v>
      </c>
      <c r="B11694" s="2" t="str">
        <f>HYPERLINK("http://ts.21cn.com/tousu/show/id/1343002","要求贷上钱销账，销账，销账")</f>
        <v>要求贷上钱销账，销账，销账</v>
      </c>
      <c r="C11694" s="2" t="s">
        <v>34</v>
      </c>
      <c r="D11694" s="2" t="s">
        <v>10</v>
      </c>
      <c r="E11694" s="2" t="str">
        <f>HYPERLINK("http://ts.21cn.com/tousu/show/id/1343002","http://ts.21cn.com/tousu/show/id/1343002")</f>
        <v>http://ts.21cn.com/tousu/show/id/1343002</v>
      </c>
      <c r="F11694" s="2" t="s">
        <v>11</v>
      </c>
      <c r="G11694" s="2" t="s">
        <v>21159</v>
      </c>
      <c r="H11694" s="2" t="s">
        <v>21160</v>
      </c>
    </row>
    <row r="11695" spans="1:8" ht="25.05" customHeight="1" x14ac:dyDescent="0.25">
      <c r="A11695" s="2" t="s">
        <v>8</v>
      </c>
      <c r="B11695" s="2" t="str">
        <f>HYPERLINK("http://ts.21cn.com/tousu/show/id/1343003","携程网预订酒店不可取消，霸王条款，严重侵犯消费者权利")</f>
        <v>携程网预订酒店不可取消，霸王条款，严重侵犯消费者权利</v>
      </c>
      <c r="C11695" s="2" t="s">
        <v>9</v>
      </c>
      <c r="D11695" s="2" t="s">
        <v>10</v>
      </c>
      <c r="E11695" s="2" t="str">
        <f>HYPERLINK("http://ts.21cn.com/tousu/show/id/1343003","http://ts.21cn.com/tousu/show/id/1343003")</f>
        <v>http://ts.21cn.com/tousu/show/id/1343003</v>
      </c>
      <c r="F11695" s="2" t="s">
        <v>11</v>
      </c>
      <c r="G11695" s="2" t="s">
        <v>21157</v>
      </c>
      <c r="H11695" s="2" t="s">
        <v>21158</v>
      </c>
    </row>
    <row r="11696" spans="1:8" ht="25.05" customHeight="1" x14ac:dyDescent="0.25">
      <c r="A11696" s="2" t="s">
        <v>8</v>
      </c>
      <c r="B11696" s="2" t="str">
        <f>HYPERLINK("http://ts.21cn.com/tousu/show/id/1343004","京小租取消订单后一只不退款")</f>
        <v>京小租取消订单后一只不退款</v>
      </c>
      <c r="C11696" s="2" t="s">
        <v>9</v>
      </c>
      <c r="D11696" s="2" t="s">
        <v>10</v>
      </c>
      <c r="E11696" s="2" t="str">
        <f>HYPERLINK("http://ts.21cn.com/tousu/show/id/1343004","http://ts.21cn.com/tousu/show/id/1343004")</f>
        <v>http://ts.21cn.com/tousu/show/id/1343004</v>
      </c>
      <c r="F11696" s="2" t="s">
        <v>11</v>
      </c>
      <c r="G11696" s="2" t="s">
        <v>21155</v>
      </c>
      <c r="H11696" s="2" t="s">
        <v>21156</v>
      </c>
    </row>
    <row r="11697" spans="1:8" ht="25.05" customHeight="1" x14ac:dyDescent="0.25">
      <c r="A11697" s="2" t="s">
        <v>8</v>
      </c>
      <c r="B11697" s="2" t="str">
        <f>HYPERLINK("http://ts.21cn.com/tousu/show/id/1343006","恒昌公司旗下恒易贷合同金额远高于实际借款金额")</f>
        <v>恒昌公司旗下恒易贷合同金额远高于实际借款金额</v>
      </c>
      <c r="C11697" s="2" t="s">
        <v>9</v>
      </c>
      <c r="D11697" s="2" t="s">
        <v>10</v>
      </c>
      <c r="E11697" s="2" t="str">
        <f>HYPERLINK("http://ts.21cn.com/tousu/show/id/1343006","http://ts.21cn.com/tousu/show/id/1343006")</f>
        <v>http://ts.21cn.com/tousu/show/id/1343006</v>
      </c>
      <c r="F11697" s="2" t="s">
        <v>11</v>
      </c>
      <c r="G11697" s="2" t="s">
        <v>21153</v>
      </c>
      <c r="H11697" s="2" t="s">
        <v>21154</v>
      </c>
    </row>
    <row r="11698" spans="1:8" ht="25.05" customHeight="1" x14ac:dyDescent="0.25">
      <c r="A11698" s="2" t="s">
        <v>8</v>
      </c>
      <c r="B11698" s="2" t="str">
        <f>HYPERLINK("http://ts.21cn.com/tousu/show/id/1343005","造艺科技")</f>
        <v>造艺科技</v>
      </c>
      <c r="C11698" s="2" t="s">
        <v>9</v>
      </c>
      <c r="D11698" s="2" t="s">
        <v>10</v>
      </c>
      <c r="E11698" s="2" t="str">
        <f>HYPERLINK("http://ts.21cn.com/tousu/show/id/1343005","http://ts.21cn.com/tousu/show/id/1343005")</f>
        <v>http://ts.21cn.com/tousu/show/id/1343005</v>
      </c>
      <c r="F11698" s="2" t="s">
        <v>11</v>
      </c>
      <c r="G11698" s="2" t="s">
        <v>21151</v>
      </c>
      <c r="H11698" s="2" t="s">
        <v>21152</v>
      </c>
    </row>
    <row r="11699" spans="1:8" ht="25.05" customHeight="1" x14ac:dyDescent="0.25">
      <c r="A11699" s="2" t="s">
        <v>8</v>
      </c>
      <c r="B11699" s="2" t="str">
        <f>HYPERLINK("http://ts.21cn.com/tousu/show/id/1343007","发信息不回，打电话不接")</f>
        <v>发信息不回，打电话不接</v>
      </c>
      <c r="C11699" s="2" t="s">
        <v>9</v>
      </c>
      <c r="D11699" s="2" t="s">
        <v>10</v>
      </c>
      <c r="E11699" s="2" t="str">
        <f>HYPERLINK("http://ts.21cn.com/tousu/show/id/1343007","http://ts.21cn.com/tousu/show/id/1343007")</f>
        <v>http://ts.21cn.com/tousu/show/id/1343007</v>
      </c>
      <c r="F11699" s="2" t="s">
        <v>11</v>
      </c>
      <c r="G11699" s="2" t="s">
        <v>21149</v>
      </c>
      <c r="H11699" s="2" t="s">
        <v>21150</v>
      </c>
    </row>
    <row r="11700" spans="1:8" ht="25.05" customHeight="1" x14ac:dyDescent="0.25">
      <c r="A11700" s="2" t="s">
        <v>8</v>
      </c>
      <c r="B11700" s="2" t="str">
        <f>HYPERLINK("http://ts.21cn.com/tousu/show/id/1343008","电信公司信号坑爹")</f>
        <v>电信公司信号坑爹</v>
      </c>
      <c r="C11700" s="2" t="s">
        <v>9</v>
      </c>
      <c r="D11700" s="2" t="s">
        <v>10</v>
      </c>
      <c r="E11700" s="2" t="str">
        <f>HYPERLINK("http://ts.21cn.com/tousu/show/id/1343008","http://ts.21cn.com/tousu/show/id/1343008")</f>
        <v>http://ts.21cn.com/tousu/show/id/1343008</v>
      </c>
      <c r="F11700" s="2" t="s">
        <v>11</v>
      </c>
      <c r="G11700" s="2" t="s">
        <v>21147</v>
      </c>
      <c r="H11700" s="2" t="s">
        <v>21148</v>
      </c>
    </row>
    <row r="11701" spans="1:8" ht="25.05" customHeight="1" x14ac:dyDescent="0.25">
      <c r="A11701" s="2" t="s">
        <v>8</v>
      </c>
      <c r="B11701" s="2" t="str">
        <f>HYPERLINK("http://ts.21cn.com/tousu/show/id/1343010","分期通恶意收取会员费用")</f>
        <v>分期通恶意收取会员费用</v>
      </c>
      <c r="C11701" s="2" t="s">
        <v>9</v>
      </c>
      <c r="D11701" s="2" t="s">
        <v>10</v>
      </c>
      <c r="E11701" s="2" t="str">
        <f>HYPERLINK("http://ts.21cn.com/tousu/show/id/1343010","http://ts.21cn.com/tousu/show/id/1343010")</f>
        <v>http://ts.21cn.com/tousu/show/id/1343010</v>
      </c>
      <c r="F11701" s="2" t="s">
        <v>11</v>
      </c>
      <c r="G11701" s="2" t="s">
        <v>21145</v>
      </c>
      <c r="H11701" s="2" t="s">
        <v>21146</v>
      </c>
    </row>
    <row r="11702" spans="1:8" ht="25.05" customHeight="1" x14ac:dyDescent="0.25">
      <c r="A11702" s="2" t="s">
        <v>8</v>
      </c>
      <c r="B11702" s="2" t="str">
        <f>HYPERLINK("http://ts.21cn.com/tousu/show/id/1343011","钱站高利贷阴阳合同")</f>
        <v>钱站高利贷阴阳合同</v>
      </c>
      <c r="C11702" s="2" t="s">
        <v>9</v>
      </c>
      <c r="D11702" s="2" t="s">
        <v>10</v>
      </c>
      <c r="E11702" s="2" t="str">
        <f>HYPERLINK("http://ts.21cn.com/tousu/show/id/1343011","http://ts.21cn.com/tousu/show/id/1343011")</f>
        <v>http://ts.21cn.com/tousu/show/id/1343011</v>
      </c>
      <c r="F11702" s="2" t="s">
        <v>11</v>
      </c>
      <c r="G11702" s="2" t="s">
        <v>21143</v>
      </c>
      <c r="H11702" s="2" t="s">
        <v>21144</v>
      </c>
    </row>
    <row r="11703" spans="1:8" ht="25.05" customHeight="1" x14ac:dyDescent="0.25">
      <c r="A11703" s="2" t="s">
        <v>8</v>
      </c>
      <c r="B11703" s="2" t="str">
        <f>HYPERLINK("http://ts.21cn.com/tousu/show/id/1343012","广发信用卡延期几天还款")</f>
        <v>广发信用卡延期几天还款</v>
      </c>
      <c r="C11703" s="2" t="s">
        <v>9</v>
      </c>
      <c r="D11703" s="2" t="s">
        <v>10</v>
      </c>
      <c r="E11703" s="2" t="str">
        <f>HYPERLINK("http://ts.21cn.com/tousu/show/id/1343012","http://ts.21cn.com/tousu/show/id/1343012")</f>
        <v>http://ts.21cn.com/tousu/show/id/1343012</v>
      </c>
      <c r="F11703" s="2" t="s">
        <v>11</v>
      </c>
      <c r="G11703" s="2" t="s">
        <v>21142</v>
      </c>
      <c r="H11703" s="2" t="s">
        <v>21129</v>
      </c>
    </row>
    <row r="11704" spans="1:8" ht="25.05" customHeight="1" x14ac:dyDescent="0.25">
      <c r="A11704" s="2" t="s">
        <v>8</v>
      </c>
      <c r="B11704" s="2" t="str">
        <f>HYPERLINK("http://ts.21cn.com/tousu/show/id/1343014","高额砍头息")</f>
        <v>高额砍头息</v>
      </c>
      <c r="C11704" s="2" t="s">
        <v>9</v>
      </c>
      <c r="D11704" s="2" t="s">
        <v>10</v>
      </c>
      <c r="E11704" s="2" t="str">
        <f>HYPERLINK("http://ts.21cn.com/tousu/show/id/1343014","http://ts.21cn.com/tousu/show/id/1343014")</f>
        <v>http://ts.21cn.com/tousu/show/id/1343014</v>
      </c>
      <c r="F11704" s="2" t="s">
        <v>11</v>
      </c>
      <c r="G11704" s="2" t="s">
        <v>21140</v>
      </c>
      <c r="H11704" s="2" t="s">
        <v>21141</v>
      </c>
    </row>
    <row r="11705" spans="1:8" ht="25.05" customHeight="1" x14ac:dyDescent="0.25">
      <c r="A11705" s="2" t="s">
        <v>8</v>
      </c>
      <c r="B11705" s="2" t="str">
        <f>HYPERLINK("http://ts.21cn.com/tousu/show/id/1343015","国庆节旅游报团乱收费")</f>
        <v>国庆节旅游报团乱收费</v>
      </c>
      <c r="C11705" s="2" t="s">
        <v>9</v>
      </c>
      <c r="D11705" s="2" t="s">
        <v>10</v>
      </c>
      <c r="E11705" s="2" t="str">
        <f>HYPERLINK("http://ts.21cn.com/tousu/show/id/1343015","http://ts.21cn.com/tousu/show/id/1343015")</f>
        <v>http://ts.21cn.com/tousu/show/id/1343015</v>
      </c>
      <c r="F11705" s="2" t="s">
        <v>11</v>
      </c>
      <c r="G11705" s="2" t="s">
        <v>21138</v>
      </c>
      <c r="H11705" s="2" t="s">
        <v>21139</v>
      </c>
    </row>
    <row r="11706" spans="1:8" ht="25.05" customHeight="1" x14ac:dyDescent="0.25">
      <c r="A11706" s="2" t="s">
        <v>8</v>
      </c>
      <c r="B11706" s="2" t="str">
        <f>HYPERLINK("http://ts.21cn.com/tousu/show/id/1343017","小浦优客app未提示扣取报告费要求退回")</f>
        <v>小浦优客app未提示扣取报告费要求退回</v>
      </c>
      <c r="C11706" s="2" t="s">
        <v>9</v>
      </c>
      <c r="D11706" s="2" t="s">
        <v>10</v>
      </c>
      <c r="E11706" s="2" t="str">
        <f>HYPERLINK("http://ts.21cn.com/tousu/show/id/1343017","http://ts.21cn.com/tousu/show/id/1343017")</f>
        <v>http://ts.21cn.com/tousu/show/id/1343017</v>
      </c>
      <c r="F11706" s="2" t="s">
        <v>11</v>
      </c>
      <c r="G11706" s="2" t="s">
        <v>21136</v>
      </c>
      <c r="H11706" s="2" t="s">
        <v>21137</v>
      </c>
    </row>
    <row r="11707" spans="1:8" ht="25.05" customHeight="1" x14ac:dyDescent="0.25">
      <c r="A11707" s="2" t="s">
        <v>8</v>
      </c>
      <c r="B11707" s="2" t="str">
        <f>HYPERLINK("http://ts.21cn.com/tousu/show/id/1343019","摩羯贷联系不上，打不开本人在摩羯贷借款2500。2019年7.28日是最后还款日，")</f>
        <v>摩羯贷联系不上，打不开本人在摩羯贷借款2500。2019年7.28日是最后还款日，</v>
      </c>
      <c r="C11707" s="2" t="s">
        <v>34</v>
      </c>
      <c r="D11707" s="2" t="s">
        <v>10</v>
      </c>
      <c r="E11707" s="2" t="str">
        <f>HYPERLINK("http://ts.21cn.com/tousu/show/id/1343019","http://ts.21cn.com/tousu/show/id/1343019")</f>
        <v>http://ts.21cn.com/tousu/show/id/1343019</v>
      </c>
      <c r="F11707" s="2" t="s">
        <v>11</v>
      </c>
      <c r="G11707" s="2" t="s">
        <v>21134</v>
      </c>
      <c r="H11707" s="2" t="s">
        <v>21135</v>
      </c>
    </row>
    <row r="11708" spans="1:8" ht="25.05" customHeight="1" x14ac:dyDescent="0.25">
      <c r="A11708" s="2" t="s">
        <v>8</v>
      </c>
      <c r="B11708" s="2" t="str">
        <f>HYPERLINK("http://ts.21cn.com/tousu/show/id/1343018","协商分期还款")</f>
        <v>协商分期还款</v>
      </c>
      <c r="C11708" s="2" t="s">
        <v>9</v>
      </c>
      <c r="D11708" s="2" t="s">
        <v>10</v>
      </c>
      <c r="E11708" s="2" t="str">
        <f>HYPERLINK("http://ts.21cn.com/tousu/show/id/1343018","http://ts.21cn.com/tousu/show/id/1343018")</f>
        <v>http://ts.21cn.com/tousu/show/id/1343018</v>
      </c>
      <c r="F11708" s="2" t="s">
        <v>11</v>
      </c>
      <c r="G11708" s="2" t="s">
        <v>21132</v>
      </c>
      <c r="H11708" s="2" t="s">
        <v>21133</v>
      </c>
    </row>
    <row r="11709" spans="1:8" ht="25.05" customHeight="1" x14ac:dyDescent="0.25">
      <c r="A11709" s="2" t="s">
        <v>8</v>
      </c>
      <c r="B11709" s="2" t="str">
        <f>HYPERLINK("http://ts.21cn.com/tousu/show/id/1343020","青海银行两个月不更新征信贷款结清信息")</f>
        <v>青海银行两个月不更新征信贷款结清信息</v>
      </c>
      <c r="C11709" s="2" t="s">
        <v>9</v>
      </c>
      <c r="D11709" s="2" t="s">
        <v>10</v>
      </c>
      <c r="E11709" s="2" t="str">
        <f>HYPERLINK("http://ts.21cn.com/tousu/show/id/1343020","http://ts.21cn.com/tousu/show/id/1343020")</f>
        <v>http://ts.21cn.com/tousu/show/id/1343020</v>
      </c>
      <c r="F11709" s="2" t="s">
        <v>11</v>
      </c>
      <c r="G11709" s="2" t="s">
        <v>21130</v>
      </c>
      <c r="H11709" s="2" t="s">
        <v>21131</v>
      </c>
    </row>
    <row r="11710" spans="1:8" ht="25.05" customHeight="1" x14ac:dyDescent="0.25">
      <c r="A11710" s="2" t="s">
        <v>8</v>
      </c>
      <c r="B11710" s="2" t="str">
        <f>HYPERLINK("http://ts.21cn.com/tousu/show/id/1343021","申请延期几天还款")</f>
        <v>申请延期几天还款</v>
      </c>
      <c r="C11710" s="2" t="s">
        <v>9</v>
      </c>
      <c r="D11710" s="2" t="s">
        <v>10</v>
      </c>
      <c r="E11710" s="2" t="str">
        <f>HYPERLINK("http://ts.21cn.com/tousu/show/id/1343021","http://ts.21cn.com/tousu/show/id/1343021")</f>
        <v>http://ts.21cn.com/tousu/show/id/1343021</v>
      </c>
      <c r="F11710" s="2" t="s">
        <v>11</v>
      </c>
      <c r="G11710" s="2" t="s">
        <v>21128</v>
      </c>
      <c r="H11710" s="2" t="s">
        <v>21129</v>
      </c>
    </row>
    <row r="11711" spans="1:8" ht="25.05" customHeight="1" x14ac:dyDescent="0.25">
      <c r="A11711" s="2" t="s">
        <v>8</v>
      </c>
      <c r="B11711" s="2" t="str">
        <f>HYPERLINK("http://ts.21cn.com/tousu/show/id/1342997","360借条套路消费者高利息")</f>
        <v>360借条套路消费者高利息</v>
      </c>
      <c r="C11711" s="2" t="s">
        <v>9</v>
      </c>
      <c r="D11711" s="2" t="s">
        <v>10</v>
      </c>
      <c r="E11711" s="2" t="str">
        <f>HYPERLINK("http://ts.21cn.com/tousu/show/id/1342997","http://ts.21cn.com/tousu/show/id/1342997")</f>
        <v>http://ts.21cn.com/tousu/show/id/1342997</v>
      </c>
      <c r="F11711" s="2" t="s">
        <v>11</v>
      </c>
      <c r="G11711" s="2" t="s">
        <v>21126</v>
      </c>
      <c r="H11711" s="2" t="s">
        <v>21127</v>
      </c>
    </row>
    <row r="11712" spans="1:8" ht="25.05" customHeight="1" x14ac:dyDescent="0.25">
      <c r="A11712" s="2" t="s">
        <v>8</v>
      </c>
      <c r="B11712" s="2" t="str">
        <f>HYPERLINK("http://ts.21cn.com/tousu/show/id/1343022","证大财富高利息")</f>
        <v>证大财富高利息</v>
      </c>
      <c r="C11712" s="2" t="s">
        <v>9</v>
      </c>
      <c r="D11712" s="2" t="s">
        <v>10</v>
      </c>
      <c r="E11712" s="2" t="str">
        <f>HYPERLINK("http://ts.21cn.com/tousu/show/id/1343022","http://ts.21cn.com/tousu/show/id/1343022")</f>
        <v>http://ts.21cn.com/tousu/show/id/1343022</v>
      </c>
      <c r="F11712" s="2" t="s">
        <v>11</v>
      </c>
      <c r="G11712" s="2" t="s">
        <v>21124</v>
      </c>
      <c r="H11712" s="2" t="s">
        <v>21125</v>
      </c>
    </row>
    <row r="11713" spans="1:8" ht="25.05" customHeight="1" x14ac:dyDescent="0.25">
      <c r="A11713" s="2" t="s">
        <v>8</v>
      </c>
      <c r="B11713" s="2" t="str">
        <f>HYPERLINK("http://ts.21cn.com/tousu/show/id/1343023","中国联通客服居然不知道什么是公网")</f>
        <v>中国联通客服居然不知道什么是公网</v>
      </c>
      <c r="C11713" s="2" t="s">
        <v>9</v>
      </c>
      <c r="D11713" s="2" t="s">
        <v>10</v>
      </c>
      <c r="E11713" s="2" t="str">
        <f>HYPERLINK("http://ts.21cn.com/tousu/show/id/1343023","http://ts.21cn.com/tousu/show/id/1343023")</f>
        <v>http://ts.21cn.com/tousu/show/id/1343023</v>
      </c>
      <c r="F11713" s="2" t="s">
        <v>11</v>
      </c>
      <c r="G11713" s="2" t="s">
        <v>21122</v>
      </c>
      <c r="H11713" s="2" t="s">
        <v>21123</v>
      </c>
    </row>
    <row r="11714" spans="1:8" ht="25.05" customHeight="1" x14ac:dyDescent="0.25">
      <c r="A11714" s="2" t="s">
        <v>8</v>
      </c>
      <c r="B11714" s="2" t="str">
        <f>HYPERLINK("http://ts.21cn.com/tousu/show/id/1343025","豆瓣账号无故被举报")</f>
        <v>豆瓣账号无故被举报</v>
      </c>
      <c r="C11714" s="2" t="s">
        <v>9</v>
      </c>
      <c r="D11714" s="2" t="s">
        <v>10</v>
      </c>
      <c r="E11714" s="2" t="str">
        <f>HYPERLINK("http://ts.21cn.com/tousu/show/id/1343025","http://ts.21cn.com/tousu/show/id/1343025")</f>
        <v>http://ts.21cn.com/tousu/show/id/1343025</v>
      </c>
      <c r="F11714" s="2" t="s">
        <v>11</v>
      </c>
      <c r="G11714" s="2" t="s">
        <v>21120</v>
      </c>
      <c r="H11714" s="2" t="s">
        <v>21121</v>
      </c>
    </row>
    <row r="11715" spans="1:8" ht="25.05" customHeight="1" x14ac:dyDescent="0.25">
      <c r="A11715" s="2" t="s">
        <v>8</v>
      </c>
      <c r="B11715" s="2" t="str">
        <f>HYPERLINK("http://ts.21cn.com/tousu/show/id/1343027","新意花，小木钱包高利贷砍头息")</f>
        <v>新意花，小木钱包高利贷砍头息</v>
      </c>
      <c r="C11715" s="2" t="s">
        <v>9</v>
      </c>
      <c r="D11715" s="2" t="s">
        <v>10</v>
      </c>
      <c r="E11715" s="2" t="str">
        <f>HYPERLINK("http://ts.21cn.com/tousu/show/id/1343027","http://ts.21cn.com/tousu/show/id/1343027")</f>
        <v>http://ts.21cn.com/tousu/show/id/1343027</v>
      </c>
      <c r="F11715" s="2" t="s">
        <v>11</v>
      </c>
      <c r="G11715" s="2" t="s">
        <v>21118</v>
      </c>
      <c r="H11715" s="2" t="s">
        <v>21119</v>
      </c>
    </row>
    <row r="11716" spans="1:8" ht="25.05" customHeight="1" x14ac:dyDescent="0.25">
      <c r="A11716" s="2" t="s">
        <v>8</v>
      </c>
      <c r="B11716" s="2" t="str">
        <f>HYPERLINK("http://ts.21cn.com/tousu/show/id/1343026","捷信")</f>
        <v>捷信</v>
      </c>
      <c r="C11716" s="2" t="s">
        <v>9</v>
      </c>
      <c r="D11716" s="2" t="s">
        <v>10</v>
      </c>
      <c r="E11716" s="2" t="str">
        <f>HYPERLINK("http://ts.21cn.com/tousu/show/id/1343026","http://ts.21cn.com/tousu/show/id/1343026")</f>
        <v>http://ts.21cn.com/tousu/show/id/1343026</v>
      </c>
      <c r="F11716" s="2" t="s">
        <v>11</v>
      </c>
      <c r="G11716" s="2" t="s">
        <v>21116</v>
      </c>
      <c r="H11716" s="2" t="s">
        <v>21117</v>
      </c>
    </row>
    <row r="11717" spans="1:8" ht="25.05" customHeight="1" x14ac:dyDescent="0.25">
      <c r="A11717" s="2" t="s">
        <v>8</v>
      </c>
      <c r="B11717" s="2" t="str">
        <f>HYPERLINK("http://ts.21cn.com/tousu/show/id/1343028","欺诈")</f>
        <v>欺诈</v>
      </c>
      <c r="C11717" s="2" t="s">
        <v>9</v>
      </c>
      <c r="D11717" s="2" t="s">
        <v>10</v>
      </c>
      <c r="E11717" s="2" t="str">
        <f>HYPERLINK("http://ts.21cn.com/tousu/show/id/1343028","http://ts.21cn.com/tousu/show/id/1343028")</f>
        <v>http://ts.21cn.com/tousu/show/id/1343028</v>
      </c>
      <c r="F11717" s="2" t="s">
        <v>11</v>
      </c>
      <c r="G11717" s="2" t="s">
        <v>21114</v>
      </c>
      <c r="H11717" s="2" t="s">
        <v>21115</v>
      </c>
    </row>
    <row r="11718" spans="1:8" ht="25.05" customHeight="1" x14ac:dyDescent="0.25">
      <c r="A11718" s="2" t="s">
        <v>8</v>
      </c>
      <c r="B11718" s="2" t="str">
        <f>HYPERLINK("http://ts.21cn.com/tousu/show/id/1343029","趣头条推广博彩类棋牌游戏")</f>
        <v>趣头条推广博彩类棋牌游戏</v>
      </c>
      <c r="C11718" s="2" t="s">
        <v>34</v>
      </c>
      <c r="D11718" s="2" t="s">
        <v>10</v>
      </c>
      <c r="E11718" s="2" t="str">
        <f>HYPERLINK("http://ts.21cn.com/tousu/show/id/1343029","http://ts.21cn.com/tousu/show/id/1343029")</f>
        <v>http://ts.21cn.com/tousu/show/id/1343029</v>
      </c>
      <c r="F11718" s="2" t="s">
        <v>11</v>
      </c>
      <c r="G11718" s="2" t="s">
        <v>21112</v>
      </c>
      <c r="H11718" s="2" t="s">
        <v>21113</v>
      </c>
    </row>
    <row r="11719" spans="1:8" ht="25.05" customHeight="1" x14ac:dyDescent="0.25">
      <c r="A11719" s="2" t="s">
        <v>8</v>
      </c>
      <c r="B11719" s="2" t="str">
        <f>HYPERLINK("http://ts.21cn.com/tousu/show/id/1343030","借款平台逾期没有及时提醒且利息贵得离谱")</f>
        <v>借款平台逾期没有及时提醒且利息贵得离谱</v>
      </c>
      <c r="C11719" s="2" t="s">
        <v>9</v>
      </c>
      <c r="D11719" s="2" t="s">
        <v>10</v>
      </c>
      <c r="E11719" s="2" t="str">
        <f>HYPERLINK("http://ts.21cn.com/tousu/show/id/1343030","http://ts.21cn.com/tousu/show/id/1343030")</f>
        <v>http://ts.21cn.com/tousu/show/id/1343030</v>
      </c>
      <c r="F11719" s="2" t="s">
        <v>11</v>
      </c>
      <c r="G11719" s="2" t="s">
        <v>21111</v>
      </c>
      <c r="H11719" s="2" t="s">
        <v>20593</v>
      </c>
    </row>
    <row r="11720" spans="1:8" ht="25.05" customHeight="1" x14ac:dyDescent="0.25">
      <c r="A11720" s="2" t="s">
        <v>8</v>
      </c>
      <c r="B11720" s="2" t="str">
        <f>HYPERLINK("http://ts.21cn.com/tousu/show/id/1343031","暴力催收，利息高")</f>
        <v>暴力催收，利息高</v>
      </c>
      <c r="C11720" s="2" t="s">
        <v>9</v>
      </c>
      <c r="D11720" s="2" t="s">
        <v>10</v>
      </c>
      <c r="E11720" s="2" t="str">
        <f>HYPERLINK("http://ts.21cn.com/tousu/show/id/1343031","http://ts.21cn.com/tousu/show/id/1343031")</f>
        <v>http://ts.21cn.com/tousu/show/id/1343031</v>
      </c>
      <c r="F11720" s="2" t="s">
        <v>11</v>
      </c>
      <c r="G11720" s="2" t="s">
        <v>21109</v>
      </c>
      <c r="H11720" s="2" t="s">
        <v>21110</v>
      </c>
    </row>
    <row r="11721" spans="1:8" ht="25.05" customHeight="1" x14ac:dyDescent="0.25">
      <c r="A11721" s="2" t="s">
        <v>8</v>
      </c>
      <c r="B11721" s="2" t="str">
        <f>HYPERLINK("http://ts.21cn.com/tousu/show/id/1343034","套路贷款")</f>
        <v>套路贷款</v>
      </c>
      <c r="C11721" s="2" t="s">
        <v>9</v>
      </c>
      <c r="D11721" s="2" t="s">
        <v>10</v>
      </c>
      <c r="E11721" s="2" t="str">
        <f>HYPERLINK("http://ts.21cn.com/tousu/show/id/1343034","http://ts.21cn.com/tousu/show/id/1343034")</f>
        <v>http://ts.21cn.com/tousu/show/id/1343034</v>
      </c>
      <c r="F11721" s="2" t="s">
        <v>11</v>
      </c>
      <c r="G11721" s="2" t="s">
        <v>21107</v>
      </c>
      <c r="H11721" s="2" t="s">
        <v>21108</v>
      </c>
    </row>
    <row r="11722" spans="1:8" ht="25.05" customHeight="1" x14ac:dyDescent="0.25">
      <c r="A11722" s="2" t="s">
        <v>8</v>
      </c>
      <c r="B11722" s="2" t="str">
        <f>HYPERLINK("http://ts.21cn.com/tousu/show/id/1343032","我来数科不扣款导致逾期")</f>
        <v>我来数科不扣款导致逾期</v>
      </c>
      <c r="C11722" s="2" t="s">
        <v>9</v>
      </c>
      <c r="D11722" s="2" t="s">
        <v>10</v>
      </c>
      <c r="E11722" s="2" t="str">
        <f>HYPERLINK("http://ts.21cn.com/tousu/show/id/1343032","http://ts.21cn.com/tousu/show/id/1343032")</f>
        <v>http://ts.21cn.com/tousu/show/id/1343032</v>
      </c>
      <c r="F11722" s="2" t="s">
        <v>11</v>
      </c>
      <c r="G11722" s="2" t="s">
        <v>21105</v>
      </c>
      <c r="H11722" s="2" t="s">
        <v>21106</v>
      </c>
    </row>
    <row r="11723" spans="1:8" ht="25.05" customHeight="1" x14ac:dyDescent="0.25">
      <c r="A11723" s="2" t="s">
        <v>8</v>
      </c>
      <c r="B11723" s="2" t="str">
        <f>HYPERLINK("http://ts.21cn.com/tousu/show/id/1343033","太恐怖，51人品贷，涉嫌高利贷")</f>
        <v>太恐怖，51人品贷，涉嫌高利贷</v>
      </c>
      <c r="C11723" s="2" t="s">
        <v>9</v>
      </c>
      <c r="D11723" s="2" t="s">
        <v>10</v>
      </c>
      <c r="E11723" s="2" t="str">
        <f>HYPERLINK("http://ts.21cn.com/tousu/show/id/1343033","http://ts.21cn.com/tousu/show/id/1343033")</f>
        <v>http://ts.21cn.com/tousu/show/id/1343033</v>
      </c>
      <c r="F11723" s="2" t="s">
        <v>11</v>
      </c>
      <c r="G11723" s="2" t="s">
        <v>21103</v>
      </c>
      <c r="H11723" s="2" t="s">
        <v>21104</v>
      </c>
    </row>
    <row r="11724" spans="1:8" ht="25.05" customHeight="1" x14ac:dyDescent="0.25">
      <c r="A11724" s="2" t="s">
        <v>8</v>
      </c>
      <c r="B11724" s="2" t="str">
        <f>HYPERLINK("http://ts.21cn.com/tousu/show/id/1343035","钱橙无忧恶意扣费")</f>
        <v>钱橙无忧恶意扣费</v>
      </c>
      <c r="C11724" s="2" t="s">
        <v>9</v>
      </c>
      <c r="D11724" s="2" t="s">
        <v>10</v>
      </c>
      <c r="E11724" s="2" t="str">
        <f>HYPERLINK("http://ts.21cn.com/tousu/show/id/1343035","http://ts.21cn.com/tousu/show/id/1343035")</f>
        <v>http://ts.21cn.com/tousu/show/id/1343035</v>
      </c>
      <c r="F11724" s="2" t="s">
        <v>11</v>
      </c>
      <c r="G11724" s="2" t="s">
        <v>21101</v>
      </c>
      <c r="H11724" s="2" t="s">
        <v>21102</v>
      </c>
    </row>
    <row r="11725" spans="1:8" ht="25.05" customHeight="1" x14ac:dyDescent="0.25">
      <c r="A11725" s="2" t="s">
        <v>8</v>
      </c>
      <c r="B11725" s="2" t="str">
        <f>HYPERLINK("http://ts.21cn.com/tousu/show/id/1343036","多宝分期协商还款后继续暴力催收")</f>
        <v>多宝分期协商还款后继续暴力催收</v>
      </c>
      <c r="C11725" s="2" t="s">
        <v>9</v>
      </c>
      <c r="D11725" s="2" t="s">
        <v>10</v>
      </c>
      <c r="E11725" s="2" t="str">
        <f>HYPERLINK("http://ts.21cn.com/tousu/show/id/1343036","http://ts.21cn.com/tousu/show/id/1343036")</f>
        <v>http://ts.21cn.com/tousu/show/id/1343036</v>
      </c>
      <c r="F11725" s="2" t="s">
        <v>11</v>
      </c>
      <c r="G11725" s="2" t="s">
        <v>21099</v>
      </c>
      <c r="H11725" s="2" t="s">
        <v>21100</v>
      </c>
    </row>
    <row r="11726" spans="1:8" ht="25.05" customHeight="1" x14ac:dyDescent="0.25">
      <c r="A11726" s="2" t="s">
        <v>8</v>
      </c>
      <c r="B11726" s="2" t="str">
        <f>HYPERLINK("http://ts.21cn.com/tousu/show/id/1343037","投诉豆豆钱平台恶意制造逾期不能主动还款")</f>
        <v>投诉豆豆钱平台恶意制造逾期不能主动还款</v>
      </c>
      <c r="C11726" s="2" t="s">
        <v>9</v>
      </c>
      <c r="D11726" s="2" t="s">
        <v>10</v>
      </c>
      <c r="E11726" s="2" t="str">
        <f>HYPERLINK("http://ts.21cn.com/tousu/show/id/1343037","http://ts.21cn.com/tousu/show/id/1343037")</f>
        <v>http://ts.21cn.com/tousu/show/id/1343037</v>
      </c>
      <c r="F11726" s="2" t="s">
        <v>11</v>
      </c>
      <c r="G11726" s="2" t="s">
        <v>21097</v>
      </c>
      <c r="H11726" s="2" t="s">
        <v>21098</v>
      </c>
    </row>
    <row r="11727" spans="1:8" ht="25.05" customHeight="1" x14ac:dyDescent="0.25">
      <c r="A11727" s="2" t="s">
        <v>8</v>
      </c>
      <c r="B11727" s="2" t="str">
        <f>HYPERLINK("http://ts.21cn.com/tousu/show/id/1343039","高利贷")</f>
        <v>高利贷</v>
      </c>
      <c r="C11727" s="2" t="s">
        <v>9</v>
      </c>
      <c r="D11727" s="2" t="s">
        <v>10</v>
      </c>
      <c r="E11727" s="2" t="str">
        <f>HYPERLINK("http://ts.21cn.com/tousu/show/id/1343039","http://ts.21cn.com/tousu/show/id/1343039")</f>
        <v>http://ts.21cn.com/tousu/show/id/1343039</v>
      </c>
      <c r="F11727" s="2" t="s">
        <v>11</v>
      </c>
      <c r="G11727" s="2" t="s">
        <v>21095</v>
      </c>
      <c r="H11727" s="2" t="s">
        <v>21096</v>
      </c>
    </row>
    <row r="11728" spans="1:8" ht="25.05" customHeight="1" x14ac:dyDescent="0.25">
      <c r="A11728" s="2" t="s">
        <v>8</v>
      </c>
      <c r="B11728" s="2" t="str">
        <f>HYPERLINK("http://ts.21cn.com/tousu/show/id/1343040","湘潭恒大坑")</f>
        <v>湘潭恒大坑</v>
      </c>
      <c r="C11728" s="2" t="s">
        <v>9</v>
      </c>
      <c r="D11728" s="2" t="s">
        <v>10</v>
      </c>
      <c r="E11728" s="2" t="str">
        <f>HYPERLINK("http://ts.21cn.com/tousu/show/id/1343040","http://ts.21cn.com/tousu/show/id/1343040")</f>
        <v>http://ts.21cn.com/tousu/show/id/1343040</v>
      </c>
      <c r="F11728" s="2" t="s">
        <v>11</v>
      </c>
      <c r="G11728" s="2" t="s">
        <v>21093</v>
      </c>
      <c r="H11728" s="2" t="s">
        <v>21094</v>
      </c>
    </row>
    <row r="11729" spans="1:8" ht="25.05" customHeight="1" x14ac:dyDescent="0.25">
      <c r="A11729" s="2" t="s">
        <v>8</v>
      </c>
      <c r="B11729" s="2" t="str">
        <f>HYPERLINK("http://ts.21cn.com/tousu/show/id/1343041","欺诈")</f>
        <v>欺诈</v>
      </c>
      <c r="C11729" s="2" t="s">
        <v>9</v>
      </c>
      <c r="D11729" s="2" t="s">
        <v>10</v>
      </c>
      <c r="E11729" s="2" t="str">
        <f>HYPERLINK("http://ts.21cn.com/tousu/show/id/1343041","http://ts.21cn.com/tousu/show/id/1343041")</f>
        <v>http://ts.21cn.com/tousu/show/id/1343041</v>
      </c>
      <c r="F11729" s="2" t="s">
        <v>11</v>
      </c>
      <c r="G11729" s="2" t="s">
        <v>21091</v>
      </c>
      <c r="H11729" s="2" t="s">
        <v>21092</v>
      </c>
    </row>
    <row r="11730" spans="1:8" ht="25.05" customHeight="1" x14ac:dyDescent="0.25">
      <c r="A11730" s="2" t="s">
        <v>8</v>
      </c>
      <c r="B11730" s="2" t="str">
        <f>HYPERLINK("http://ts.21cn.com/tousu/show/id/1343043","转转app收费不提供服务")</f>
        <v>转转app收费不提供服务</v>
      </c>
      <c r="C11730" s="2" t="s">
        <v>9</v>
      </c>
      <c r="D11730" s="2" t="s">
        <v>10</v>
      </c>
      <c r="E11730" s="2" t="str">
        <f>HYPERLINK("http://ts.21cn.com/tousu/show/id/1343043","http://ts.21cn.com/tousu/show/id/1343043")</f>
        <v>http://ts.21cn.com/tousu/show/id/1343043</v>
      </c>
      <c r="F11730" s="2" t="s">
        <v>11</v>
      </c>
      <c r="G11730" s="2" t="s">
        <v>21089</v>
      </c>
      <c r="H11730" s="2" t="s">
        <v>21090</v>
      </c>
    </row>
    <row r="11731" spans="1:8" ht="25.05" customHeight="1" x14ac:dyDescent="0.25">
      <c r="A11731" s="2" t="s">
        <v>8</v>
      </c>
      <c r="B11731" s="2" t="str">
        <f>HYPERLINK("http://ts.21cn.com/tousu/show/id/1343045","小牛消费联系不到客服无法办理还款")</f>
        <v>小牛消费联系不到客服无法办理还款</v>
      </c>
      <c r="C11731" s="2" t="s">
        <v>9</v>
      </c>
      <c r="D11731" s="2" t="s">
        <v>10</v>
      </c>
      <c r="E11731" s="2" t="str">
        <f>HYPERLINK("http://ts.21cn.com/tousu/show/id/1343045","http://ts.21cn.com/tousu/show/id/1343045")</f>
        <v>http://ts.21cn.com/tousu/show/id/1343045</v>
      </c>
      <c r="F11731" s="2" t="s">
        <v>11</v>
      </c>
      <c r="G11731" s="2" t="s">
        <v>21087</v>
      </c>
      <c r="H11731" s="2" t="s">
        <v>21088</v>
      </c>
    </row>
    <row r="11732" spans="1:8" ht="25.05" customHeight="1" x14ac:dyDescent="0.25">
      <c r="A11732" s="2" t="s">
        <v>8</v>
      </c>
      <c r="B11732" s="2" t="str">
        <f>HYPERLINK("http://ts.21cn.com/tousu/show/id/1343038","买单侠")</f>
        <v>买单侠</v>
      </c>
      <c r="C11732" s="2" t="s">
        <v>9</v>
      </c>
      <c r="D11732" s="2" t="s">
        <v>10</v>
      </c>
      <c r="E11732" s="2" t="str">
        <f>HYPERLINK("http://ts.21cn.com/tousu/show/id/1343038","http://ts.21cn.com/tousu/show/id/1343038")</f>
        <v>http://ts.21cn.com/tousu/show/id/1343038</v>
      </c>
      <c r="F11732" s="2" t="s">
        <v>11</v>
      </c>
      <c r="G11732" s="2" t="s">
        <v>21085</v>
      </c>
      <c r="H11732" s="2" t="s">
        <v>21086</v>
      </c>
    </row>
    <row r="11733" spans="1:8" ht="25.05" customHeight="1" x14ac:dyDescent="0.25">
      <c r="A11733" s="2" t="s">
        <v>8</v>
      </c>
      <c r="B11733" s="2" t="str">
        <f>HYPERLINK("http://ts.21cn.com/tousu/show/id/1343047","海小葵威胁人生安全")</f>
        <v>海小葵威胁人生安全</v>
      </c>
      <c r="C11733" s="2" t="s">
        <v>9</v>
      </c>
      <c r="D11733" s="2" t="s">
        <v>10</v>
      </c>
      <c r="E11733" s="2" t="str">
        <f>HYPERLINK("http://ts.21cn.com/tousu/show/id/1343047","http://ts.21cn.com/tousu/show/id/1343047")</f>
        <v>http://ts.21cn.com/tousu/show/id/1343047</v>
      </c>
      <c r="F11733" s="2" t="s">
        <v>11</v>
      </c>
      <c r="G11733" s="2" t="s">
        <v>21083</v>
      </c>
      <c r="H11733" s="2" t="s">
        <v>21084</v>
      </c>
    </row>
    <row r="11734" spans="1:8" ht="25.05" customHeight="1" x14ac:dyDescent="0.25">
      <c r="A11734" s="2" t="s">
        <v>8</v>
      </c>
      <c r="B11734" s="2" t="str">
        <f>HYPERLINK("http://ts.21cn.com/tousu/show/id/1343049","百事普惠恶意扣款")</f>
        <v>百事普惠恶意扣款</v>
      </c>
      <c r="C11734" s="2" t="s">
        <v>9</v>
      </c>
      <c r="D11734" s="2" t="s">
        <v>10</v>
      </c>
      <c r="E11734" s="2" t="str">
        <f>HYPERLINK("http://ts.21cn.com/tousu/show/id/1343049","http://ts.21cn.com/tousu/show/id/1343049")</f>
        <v>http://ts.21cn.com/tousu/show/id/1343049</v>
      </c>
      <c r="F11734" s="2" t="s">
        <v>11</v>
      </c>
      <c r="G11734" s="2" t="s">
        <v>21081</v>
      </c>
      <c r="H11734" s="2" t="s">
        <v>21082</v>
      </c>
    </row>
    <row r="11735" spans="1:8" ht="25.05" customHeight="1" x14ac:dyDescent="0.25">
      <c r="A11735" s="2" t="s">
        <v>8</v>
      </c>
      <c r="B11735" s="2" t="str">
        <f>HYPERLINK("http://ts.21cn.com/tousu/show/id/1343050","自由魔卡六便士高利贷砍头息畅捷支付提供通道")</f>
        <v>自由魔卡六便士高利贷砍头息畅捷支付提供通道</v>
      </c>
      <c r="C11735" s="2" t="s">
        <v>9</v>
      </c>
      <c r="D11735" s="2" t="s">
        <v>10</v>
      </c>
      <c r="E11735" s="2" t="str">
        <f>HYPERLINK("http://ts.21cn.com/tousu/show/id/1343050","http://ts.21cn.com/tousu/show/id/1343050")</f>
        <v>http://ts.21cn.com/tousu/show/id/1343050</v>
      </c>
      <c r="F11735" s="2" t="s">
        <v>11</v>
      </c>
      <c r="G11735" s="2" t="s">
        <v>21079</v>
      </c>
      <c r="H11735" s="2" t="s">
        <v>21080</v>
      </c>
    </row>
    <row r="11736" spans="1:8" ht="25.05" customHeight="1" x14ac:dyDescent="0.25">
      <c r="A11736" s="2" t="s">
        <v>8</v>
      </c>
      <c r="B11736" s="2" t="str">
        <f>HYPERLINK("http://ts.21cn.com/tousu/show/id/1343051","点点通砍头息骚扰家人")</f>
        <v>点点通砍头息骚扰家人</v>
      </c>
      <c r="C11736" s="2" t="s">
        <v>9</v>
      </c>
      <c r="D11736" s="2" t="s">
        <v>10</v>
      </c>
      <c r="E11736" s="2" t="str">
        <f>HYPERLINK("http://ts.21cn.com/tousu/show/id/1343051","http://ts.21cn.com/tousu/show/id/1343051")</f>
        <v>http://ts.21cn.com/tousu/show/id/1343051</v>
      </c>
      <c r="F11736" s="2" t="s">
        <v>11</v>
      </c>
      <c r="G11736" s="2" t="s">
        <v>21077</v>
      </c>
      <c r="H11736" s="2" t="s">
        <v>21078</v>
      </c>
    </row>
    <row r="11737" spans="1:8" ht="25.05" customHeight="1" x14ac:dyDescent="0.25">
      <c r="A11737" s="2" t="s">
        <v>8</v>
      </c>
      <c r="B11737" s="2" t="str">
        <f>HYPERLINK("http://ts.21cn.com/tousu/show/id/1343052","诱导消费、首付贷")</f>
        <v>诱导消费、首付贷</v>
      </c>
      <c r="C11737" s="2" t="s">
        <v>9</v>
      </c>
      <c r="D11737" s="2" t="s">
        <v>10</v>
      </c>
      <c r="E11737" s="2" t="str">
        <f>HYPERLINK("http://ts.21cn.com/tousu/show/id/1343052","http://ts.21cn.com/tousu/show/id/1343052")</f>
        <v>http://ts.21cn.com/tousu/show/id/1343052</v>
      </c>
      <c r="F11737" s="2" t="s">
        <v>11</v>
      </c>
      <c r="G11737" s="2" t="s">
        <v>21075</v>
      </c>
      <c r="H11737" s="2" t="s">
        <v>21076</v>
      </c>
    </row>
    <row r="11738" spans="1:8" ht="25.05" customHeight="1" x14ac:dyDescent="0.25">
      <c r="A11738" s="2" t="s">
        <v>8</v>
      </c>
      <c r="B11738" s="2" t="str">
        <f>HYPERLINK("http://ts.21cn.com/tousu/show/id/1343054","爱回收恶意压低回收价造成损失")</f>
        <v>爱回收恶意压低回收价造成损失</v>
      </c>
      <c r="C11738" s="2" t="s">
        <v>9</v>
      </c>
      <c r="D11738" s="2" t="s">
        <v>10</v>
      </c>
      <c r="E11738" s="2" t="str">
        <f>HYPERLINK("http://ts.21cn.com/tousu/show/id/1343054","http://ts.21cn.com/tousu/show/id/1343054")</f>
        <v>http://ts.21cn.com/tousu/show/id/1343054</v>
      </c>
      <c r="F11738" s="2" t="s">
        <v>11</v>
      </c>
      <c r="G11738" s="2" t="s">
        <v>21073</v>
      </c>
      <c r="H11738" s="2" t="s">
        <v>21074</v>
      </c>
    </row>
    <row r="11739" spans="1:8" ht="25.05" customHeight="1" x14ac:dyDescent="0.25">
      <c r="A11739" s="2" t="s">
        <v>8</v>
      </c>
      <c r="B11739" s="2" t="str">
        <f>HYPERLINK("http://ts.21cn.com/tousu/show/id/1343057","支付宝、中国银联、商银信、中国农业银行为非法网站及商户提供支付接口、支付服务，涉嫌合伙欺诈，导致大量用户蒙受巨大损失。")</f>
        <v>支付宝、中国银联、商银信、中国农业银行为非法网站及商户提供支付接口、支付服务，涉嫌合伙欺诈，导致大量用户蒙受巨大损失。</v>
      </c>
      <c r="C11739" s="2" t="s">
        <v>9</v>
      </c>
      <c r="D11739" s="2" t="s">
        <v>10</v>
      </c>
      <c r="E11739" s="2" t="str">
        <f>HYPERLINK("http://ts.21cn.com/tousu/show/id/1343057","http://ts.21cn.com/tousu/show/id/1343057")</f>
        <v>http://ts.21cn.com/tousu/show/id/1343057</v>
      </c>
      <c r="F11739" s="2" t="s">
        <v>11</v>
      </c>
      <c r="G11739" s="2" t="s">
        <v>21071</v>
      </c>
      <c r="H11739" s="2" t="s">
        <v>21072</v>
      </c>
    </row>
    <row r="11740" spans="1:8" ht="25.05" customHeight="1" x14ac:dyDescent="0.25">
      <c r="A11740" s="2" t="s">
        <v>8</v>
      </c>
      <c r="B11740" s="2" t="str">
        <f>HYPERLINK("http://ts.21cn.com/tousu/show/id/1343058","和田机场值机态度")</f>
        <v>和田机场值机态度</v>
      </c>
      <c r="C11740" s="2" t="s">
        <v>9</v>
      </c>
      <c r="D11740" s="2" t="s">
        <v>10</v>
      </c>
      <c r="E11740" s="2" t="str">
        <f>HYPERLINK("http://ts.21cn.com/tousu/show/id/1343058","http://ts.21cn.com/tousu/show/id/1343058")</f>
        <v>http://ts.21cn.com/tousu/show/id/1343058</v>
      </c>
      <c r="F11740" s="2" t="s">
        <v>11</v>
      </c>
      <c r="G11740" s="2" t="s">
        <v>21069</v>
      </c>
      <c r="H11740" s="2" t="s">
        <v>21070</v>
      </c>
    </row>
    <row r="11741" spans="1:8" ht="25.05" customHeight="1" x14ac:dyDescent="0.25">
      <c r="A11741" s="2" t="s">
        <v>8</v>
      </c>
      <c r="B11741" s="2" t="str">
        <f>HYPERLINK("http://ts.21cn.com/tousu/show/id/1343053","借钱花盗用个人信息伪造借款记录催款")</f>
        <v>借钱花盗用个人信息伪造借款记录催款</v>
      </c>
      <c r="C11741" s="2" t="s">
        <v>9</v>
      </c>
      <c r="D11741" s="2" t="s">
        <v>10</v>
      </c>
      <c r="E11741" s="2" t="str">
        <f>HYPERLINK("http://ts.21cn.com/tousu/show/id/1343053","http://ts.21cn.com/tousu/show/id/1343053")</f>
        <v>http://ts.21cn.com/tousu/show/id/1343053</v>
      </c>
      <c r="F11741" s="2" t="s">
        <v>11</v>
      </c>
      <c r="G11741" s="2" t="s">
        <v>21067</v>
      </c>
      <c r="H11741" s="2" t="s">
        <v>21068</v>
      </c>
    </row>
    <row r="11742" spans="1:8" ht="25.05" customHeight="1" x14ac:dyDescent="0.25">
      <c r="A11742" s="2" t="s">
        <v>8</v>
      </c>
      <c r="B11742" s="2" t="str">
        <f>HYPERLINK("http://ts.21cn.com/tousu/show/id/1343059","招商银行上门催收")</f>
        <v>招商银行上门催收</v>
      </c>
      <c r="C11742" s="2" t="s">
        <v>9</v>
      </c>
      <c r="D11742" s="2" t="s">
        <v>10</v>
      </c>
      <c r="E11742" s="2" t="str">
        <f>HYPERLINK("http://ts.21cn.com/tousu/show/id/1343059","http://ts.21cn.com/tousu/show/id/1343059")</f>
        <v>http://ts.21cn.com/tousu/show/id/1343059</v>
      </c>
      <c r="F11742" s="2" t="s">
        <v>11</v>
      </c>
      <c r="G11742" s="2" t="s">
        <v>21065</v>
      </c>
      <c r="H11742" s="2" t="s">
        <v>21066</v>
      </c>
    </row>
    <row r="11743" spans="1:8" ht="25.05" customHeight="1" x14ac:dyDescent="0.25">
      <c r="A11743" s="2" t="s">
        <v>8</v>
      </c>
      <c r="B11743" s="2" t="str">
        <f>HYPERLINK("http://ts.21cn.com/tousu/show/id/1343060","所谓的“保费”就是变相收取高额砍头息+")</f>
        <v>所谓的“保费”就是变相收取高额砍头息+</v>
      </c>
      <c r="C11743" s="2" t="s">
        <v>9</v>
      </c>
      <c r="D11743" s="2" t="s">
        <v>10</v>
      </c>
      <c r="E11743" s="2" t="str">
        <f>HYPERLINK("http://ts.21cn.com/tousu/show/id/1343060","http://ts.21cn.com/tousu/show/id/1343060")</f>
        <v>http://ts.21cn.com/tousu/show/id/1343060</v>
      </c>
      <c r="F11743" s="2" t="s">
        <v>11</v>
      </c>
      <c r="G11743" s="2" t="s">
        <v>21063</v>
      </c>
      <c r="H11743" s="2" t="s">
        <v>21064</v>
      </c>
    </row>
    <row r="11744" spans="1:8" ht="25.05" customHeight="1" x14ac:dyDescent="0.25">
      <c r="A11744" s="2" t="s">
        <v>8</v>
      </c>
      <c r="B11744" s="2" t="str">
        <f>HYPERLINK("http://ts.21cn.com/tousu/show/id/1343062","手机不能取消申请？要求取消订单")</f>
        <v>手机不能取消申请？要求取消订单</v>
      </c>
      <c r="C11744" s="2" t="s">
        <v>9</v>
      </c>
      <c r="D11744" s="2" t="s">
        <v>10</v>
      </c>
      <c r="E11744" s="2" t="str">
        <f>HYPERLINK("http://ts.21cn.com/tousu/show/id/1343062","http://ts.21cn.com/tousu/show/id/1343062")</f>
        <v>http://ts.21cn.com/tousu/show/id/1343062</v>
      </c>
      <c r="F11744" s="2" t="s">
        <v>11</v>
      </c>
      <c r="G11744" s="2" t="s">
        <v>21061</v>
      </c>
      <c r="H11744" s="2" t="s">
        <v>21062</v>
      </c>
    </row>
    <row r="11745" spans="1:8" ht="25.05" customHeight="1" x14ac:dyDescent="0.25">
      <c r="A11745" s="2" t="s">
        <v>8</v>
      </c>
      <c r="B11745" s="2" t="str">
        <f>HYPERLINK("http://ts.21cn.com/tousu/show/id/1343042","钱站阴阳合同高利贷暴力催收")</f>
        <v>钱站阴阳合同高利贷暴力催收</v>
      </c>
      <c r="C11745" s="2" t="s">
        <v>9</v>
      </c>
      <c r="D11745" s="2" t="s">
        <v>10</v>
      </c>
      <c r="E11745" s="2" t="str">
        <f>HYPERLINK("http://ts.21cn.com/tousu/show/id/1343042","http://ts.21cn.com/tousu/show/id/1343042")</f>
        <v>http://ts.21cn.com/tousu/show/id/1343042</v>
      </c>
      <c r="F11745" s="2" t="s">
        <v>11</v>
      </c>
      <c r="G11745" s="2" t="s">
        <v>21059</v>
      </c>
      <c r="H11745" s="2" t="s">
        <v>21060</v>
      </c>
    </row>
    <row r="11746" spans="1:8" ht="25.05" customHeight="1" x14ac:dyDescent="0.25">
      <c r="A11746" s="2" t="s">
        <v>8</v>
      </c>
      <c r="B11746" s="2" t="str">
        <f>HYPERLINK("http://ts.21cn.com/tousu/show/id/1343063","投诉名校贷（白领金库）未返还咨询费")</f>
        <v>投诉名校贷（白领金库）未返还咨询费</v>
      </c>
      <c r="C11746" s="2" t="s">
        <v>9</v>
      </c>
      <c r="D11746" s="2" t="s">
        <v>10</v>
      </c>
      <c r="E11746" s="2" t="str">
        <f>HYPERLINK("http://ts.21cn.com/tousu/show/id/1343063","http://ts.21cn.com/tousu/show/id/1343063")</f>
        <v>http://ts.21cn.com/tousu/show/id/1343063</v>
      </c>
      <c r="F11746" s="2" t="s">
        <v>11</v>
      </c>
      <c r="G11746" s="2" t="s">
        <v>21057</v>
      </c>
      <c r="H11746" s="2" t="s">
        <v>21058</v>
      </c>
    </row>
    <row r="11747" spans="1:8" ht="25.05" customHeight="1" x14ac:dyDescent="0.25">
      <c r="A11747" s="2" t="s">
        <v>8</v>
      </c>
      <c r="B11747" s="2" t="str">
        <f>HYPERLINK("http://ts.21cn.com/tousu/show/id/1343061","银行卡被盗刷")</f>
        <v>银行卡被盗刷</v>
      </c>
      <c r="C11747" s="2" t="s">
        <v>9</v>
      </c>
      <c r="D11747" s="2" t="s">
        <v>10</v>
      </c>
      <c r="E11747" s="2" t="str">
        <f>HYPERLINK("http://ts.21cn.com/tousu/show/id/1343061","http://ts.21cn.com/tousu/show/id/1343061")</f>
        <v>http://ts.21cn.com/tousu/show/id/1343061</v>
      </c>
      <c r="F11747" s="2" t="s">
        <v>11</v>
      </c>
      <c r="G11747" s="2" t="s">
        <v>21055</v>
      </c>
      <c r="H11747" s="2" t="s">
        <v>21056</v>
      </c>
    </row>
    <row r="11748" spans="1:8" ht="25.05" customHeight="1" x14ac:dyDescent="0.25">
      <c r="A11748" s="2" t="s">
        <v>8</v>
      </c>
      <c r="B11748" s="2" t="str">
        <f>HYPERLINK("http://ts.21cn.com/tousu/show/id/1343065","攒钱花威胁人生安全")</f>
        <v>攒钱花威胁人生安全</v>
      </c>
      <c r="C11748" s="2" t="s">
        <v>9</v>
      </c>
      <c r="D11748" s="2" t="s">
        <v>10</v>
      </c>
      <c r="E11748" s="2" t="str">
        <f>HYPERLINK("http://ts.21cn.com/tousu/show/id/1343065","http://ts.21cn.com/tousu/show/id/1343065")</f>
        <v>http://ts.21cn.com/tousu/show/id/1343065</v>
      </c>
      <c r="F11748" s="2" t="s">
        <v>11</v>
      </c>
      <c r="G11748" s="2" t="s">
        <v>21053</v>
      </c>
      <c r="H11748" s="2" t="s">
        <v>21054</v>
      </c>
    </row>
    <row r="11749" spans="1:8" ht="25.05" customHeight="1" x14ac:dyDescent="0.25">
      <c r="A11749" s="2" t="s">
        <v>8</v>
      </c>
      <c r="B11749" s="2" t="str">
        <f>HYPERLINK("http://ts.21cn.com/tousu/show/id/1343067","龙行管家虚假宣传误导办卡")</f>
        <v>龙行管家虚假宣传误导办卡</v>
      </c>
      <c r="C11749" s="2" t="s">
        <v>9</v>
      </c>
      <c r="D11749" s="2" t="s">
        <v>10</v>
      </c>
      <c r="E11749" s="2" t="str">
        <f>HYPERLINK("http://ts.21cn.com/tousu/show/id/1343067","http://ts.21cn.com/tousu/show/id/1343067")</f>
        <v>http://ts.21cn.com/tousu/show/id/1343067</v>
      </c>
      <c r="F11749" s="2" t="s">
        <v>11</v>
      </c>
      <c r="G11749" s="2" t="s">
        <v>21050</v>
      </c>
      <c r="H11749" s="2" t="s">
        <v>21051</v>
      </c>
    </row>
    <row r="11750" spans="1:8" ht="25.05" customHeight="1" x14ac:dyDescent="0.25">
      <c r="A11750" s="2" t="s">
        <v>8</v>
      </c>
      <c r="B11750" s="2" t="str">
        <f>HYPERLINK("http://ts.21cn.com/tousu/show/id/1343066","强迫消费不予退款")</f>
        <v>强迫消费不予退款</v>
      </c>
      <c r="C11750" s="2" t="s">
        <v>9</v>
      </c>
      <c r="D11750" s="2" t="s">
        <v>10</v>
      </c>
      <c r="E11750" s="2" t="str">
        <f>HYPERLINK("http://ts.21cn.com/tousu/show/id/1343066","http://ts.21cn.com/tousu/show/id/1343066")</f>
        <v>http://ts.21cn.com/tousu/show/id/1343066</v>
      </c>
      <c r="F11750" s="2" t="s">
        <v>11</v>
      </c>
      <c r="G11750" s="2" t="s">
        <v>21050</v>
      </c>
      <c r="H11750" s="2" t="s">
        <v>21052</v>
      </c>
    </row>
    <row r="11751" spans="1:8" ht="25.05" customHeight="1" x14ac:dyDescent="0.25">
      <c r="A11751" s="2" t="s">
        <v>8</v>
      </c>
      <c r="B11751" s="2" t="str">
        <f>HYPERLINK("http://ts.21cn.com/tousu/show/id/1343068","高额收取利息，高利贷")</f>
        <v>高额收取利息，高利贷</v>
      </c>
      <c r="C11751" s="2" t="s">
        <v>9</v>
      </c>
      <c r="D11751" s="2" t="s">
        <v>10</v>
      </c>
      <c r="E11751" s="2" t="str">
        <f>HYPERLINK("http://ts.21cn.com/tousu/show/id/1343068","http://ts.21cn.com/tousu/show/id/1343068")</f>
        <v>http://ts.21cn.com/tousu/show/id/1343068</v>
      </c>
      <c r="F11751" s="2" t="s">
        <v>11</v>
      </c>
      <c r="G11751" s="2" t="s">
        <v>21048</v>
      </c>
      <c r="H11751" s="2" t="s">
        <v>21049</v>
      </c>
    </row>
    <row r="11752" spans="1:8" ht="25.05" customHeight="1" x14ac:dyDescent="0.25">
      <c r="A11752" s="2" t="s">
        <v>8</v>
      </c>
      <c r="B11752" s="2" t="str">
        <f>HYPERLINK("http://ts.21cn.com/tousu/show/id/1343069","不能取消贷款申请")</f>
        <v>不能取消贷款申请</v>
      </c>
      <c r="C11752" s="2" t="s">
        <v>9</v>
      </c>
      <c r="D11752" s="2" t="s">
        <v>10</v>
      </c>
      <c r="E11752" s="2" t="str">
        <f>HYPERLINK("http://ts.21cn.com/tousu/show/id/1343069","http://ts.21cn.com/tousu/show/id/1343069")</f>
        <v>http://ts.21cn.com/tousu/show/id/1343069</v>
      </c>
      <c r="F11752" s="2" t="s">
        <v>11</v>
      </c>
      <c r="G11752" s="2" t="s">
        <v>21046</v>
      </c>
      <c r="H11752" s="2" t="s">
        <v>21047</v>
      </c>
    </row>
    <row r="11753" spans="1:8" ht="25.05" customHeight="1" x14ac:dyDescent="0.25">
      <c r="A11753" s="2" t="s">
        <v>8</v>
      </c>
      <c r="B11753" s="2" t="str">
        <f>HYPERLINK("http://ts.21cn.com/tousu/show/id/1343056","哆米黑卡欺诈")</f>
        <v>哆米黑卡欺诈</v>
      </c>
      <c r="C11753" s="2" t="s">
        <v>9</v>
      </c>
      <c r="D11753" s="2" t="s">
        <v>10</v>
      </c>
      <c r="E11753" s="2" t="str">
        <f>HYPERLINK("http://ts.21cn.com/tousu/show/id/1343056","http://ts.21cn.com/tousu/show/id/1343056")</f>
        <v>http://ts.21cn.com/tousu/show/id/1343056</v>
      </c>
      <c r="F11753" s="2" t="s">
        <v>11</v>
      </c>
      <c r="G11753" s="2" t="s">
        <v>21044</v>
      </c>
      <c r="H11753" s="2" t="s">
        <v>21045</v>
      </c>
    </row>
    <row r="11754" spans="1:8" ht="25.05" customHeight="1" x14ac:dyDescent="0.25">
      <c r="A11754" s="2" t="s">
        <v>8</v>
      </c>
      <c r="B11754" s="2" t="str">
        <f>HYPERLINK("http://ts.21cn.com/tousu/show/id/1343070","中腾信")</f>
        <v>中腾信</v>
      </c>
      <c r="C11754" s="2" t="s">
        <v>9</v>
      </c>
      <c r="D11754" s="2" t="s">
        <v>10</v>
      </c>
      <c r="E11754" s="2" t="str">
        <f>HYPERLINK("http://ts.21cn.com/tousu/show/id/1343070","http://ts.21cn.com/tousu/show/id/1343070")</f>
        <v>http://ts.21cn.com/tousu/show/id/1343070</v>
      </c>
      <c r="F11754" s="2" t="s">
        <v>11</v>
      </c>
      <c r="G11754" s="2" t="s">
        <v>21042</v>
      </c>
      <c r="H11754" s="2" t="s">
        <v>21043</v>
      </c>
    </row>
    <row r="11755" spans="1:8" ht="25.05" customHeight="1" x14ac:dyDescent="0.25">
      <c r="A11755" s="2" t="s">
        <v>8</v>
      </c>
      <c r="B11755" s="2" t="str">
        <f>HYPERLINK("http://ts.21cn.com/tousu/show/id/1342831","小象优品暴力催收，骚扰通讯录")</f>
        <v>小象优品暴力催收，骚扰通讯录</v>
      </c>
      <c r="C11755" s="2" t="s">
        <v>9</v>
      </c>
      <c r="D11755" s="2" t="s">
        <v>10</v>
      </c>
      <c r="E11755" s="2" t="str">
        <f>HYPERLINK("http://ts.21cn.com/tousu/show/id/1342831","http://ts.21cn.com/tousu/show/id/1342831")</f>
        <v>http://ts.21cn.com/tousu/show/id/1342831</v>
      </c>
      <c r="F11755" s="2" t="s">
        <v>11</v>
      </c>
      <c r="G11755" s="2" t="s">
        <v>21040</v>
      </c>
      <c r="H11755" s="2" t="s">
        <v>21041</v>
      </c>
    </row>
    <row r="11756" spans="1:8" ht="25.05" customHeight="1" x14ac:dyDescent="0.25">
      <c r="A11756" s="2" t="s">
        <v>8</v>
      </c>
      <c r="B11756" s="2" t="str">
        <f>HYPERLINK("http://ts.21cn.com/tousu/show/id/1343071","暴力催收拍拍贷")</f>
        <v>暴力催收拍拍贷</v>
      </c>
      <c r="C11756" s="2" t="s">
        <v>9</v>
      </c>
      <c r="D11756" s="2" t="s">
        <v>10</v>
      </c>
      <c r="E11756" s="2" t="str">
        <f>HYPERLINK("http://ts.21cn.com/tousu/show/id/1343071","http://ts.21cn.com/tousu/show/id/1343071")</f>
        <v>http://ts.21cn.com/tousu/show/id/1343071</v>
      </c>
      <c r="F11756" s="2" t="s">
        <v>11</v>
      </c>
      <c r="G11756" s="2" t="s">
        <v>21038</v>
      </c>
      <c r="H11756" s="2" t="s">
        <v>21039</v>
      </c>
    </row>
    <row r="11757" spans="1:8" ht="25.05" customHeight="1" x14ac:dyDescent="0.25">
      <c r="A11757" s="2" t="s">
        <v>8</v>
      </c>
      <c r="B11757" s="2" t="str">
        <f>HYPERLINK("http://ts.21cn.com/tousu/show/id/1343072","高利贷")</f>
        <v>高利贷</v>
      </c>
      <c r="C11757" s="2" t="s">
        <v>9</v>
      </c>
      <c r="D11757" s="2" t="s">
        <v>10</v>
      </c>
      <c r="E11757" s="2" t="str">
        <f>HYPERLINK("http://ts.21cn.com/tousu/show/id/1343072","http://ts.21cn.com/tousu/show/id/1343072")</f>
        <v>http://ts.21cn.com/tousu/show/id/1343072</v>
      </c>
      <c r="F11757" s="2" t="s">
        <v>11</v>
      </c>
      <c r="G11757" s="2" t="s">
        <v>21036</v>
      </c>
      <c r="H11757" s="2" t="s">
        <v>21037</v>
      </c>
    </row>
    <row r="11758" spans="1:8" ht="25.05" customHeight="1" x14ac:dyDescent="0.25">
      <c r="A11758" s="2" t="s">
        <v>8</v>
      </c>
      <c r="B11758" s="2" t="str">
        <f>HYPERLINK("http://ts.21cn.com/tousu/show/id/1343079","利息高")</f>
        <v>利息高</v>
      </c>
      <c r="C11758" s="2" t="s">
        <v>34</v>
      </c>
      <c r="D11758" s="2" t="s">
        <v>10</v>
      </c>
      <c r="E11758" s="2" t="str">
        <f>HYPERLINK("http://ts.21cn.com/tousu/show/id/1343079","http://ts.21cn.com/tousu/show/id/1343079")</f>
        <v>http://ts.21cn.com/tousu/show/id/1343079</v>
      </c>
      <c r="F11758" s="2" t="s">
        <v>11</v>
      </c>
      <c r="G11758" s="2" t="s">
        <v>21033</v>
      </c>
      <c r="H11758" s="2" t="s">
        <v>21034</v>
      </c>
    </row>
    <row r="11759" spans="1:8" ht="25.05" customHeight="1" x14ac:dyDescent="0.25">
      <c r="A11759" s="2" t="s">
        <v>8</v>
      </c>
      <c r="B11759" s="2" t="str">
        <f>HYPERLINK("http://ts.21cn.com/tousu/show/id/1343077","套路贷无故扣款")</f>
        <v>套路贷无故扣款</v>
      </c>
      <c r="C11759" s="2" t="s">
        <v>9</v>
      </c>
      <c r="D11759" s="2" t="s">
        <v>10</v>
      </c>
      <c r="E11759" s="2" t="str">
        <f>HYPERLINK("http://ts.21cn.com/tousu/show/id/1343077","http://ts.21cn.com/tousu/show/id/1343077")</f>
        <v>http://ts.21cn.com/tousu/show/id/1343077</v>
      </c>
      <c r="F11759" s="2" t="s">
        <v>11</v>
      </c>
      <c r="G11759" s="2" t="s">
        <v>21033</v>
      </c>
      <c r="H11759" s="2" t="s">
        <v>21035</v>
      </c>
    </row>
    <row r="11760" spans="1:8" ht="25.05" customHeight="1" x14ac:dyDescent="0.25">
      <c r="A11760" s="2" t="s">
        <v>8</v>
      </c>
      <c r="B11760" s="2" t="str">
        <f>HYPERLINK("http://ts.21cn.com/tousu/show/id/1343075","拼多多客服袒护违规商家")</f>
        <v>拼多多客服袒护违规商家</v>
      </c>
      <c r="C11760" s="2" t="s">
        <v>9</v>
      </c>
      <c r="D11760" s="2" t="s">
        <v>10</v>
      </c>
      <c r="E11760" s="2" t="str">
        <f>HYPERLINK("http://ts.21cn.com/tousu/show/id/1343075","http://ts.21cn.com/tousu/show/id/1343075")</f>
        <v>http://ts.21cn.com/tousu/show/id/1343075</v>
      </c>
      <c r="F11760" s="2" t="s">
        <v>11</v>
      </c>
      <c r="G11760" s="2" t="s">
        <v>21031</v>
      </c>
      <c r="H11760" s="2" t="s">
        <v>21032</v>
      </c>
    </row>
    <row r="11761" spans="1:8" ht="25.05" customHeight="1" x14ac:dyDescent="0.25">
      <c r="A11761" s="2" t="s">
        <v>8</v>
      </c>
      <c r="B11761" s="2" t="str">
        <f>HYPERLINK("http://ts.21cn.com/tousu/show/id/1343074","高利贷，高额收取利息")</f>
        <v>高利贷，高额收取利息</v>
      </c>
      <c r="C11761" s="2" t="s">
        <v>9</v>
      </c>
      <c r="D11761" s="2" t="s">
        <v>10</v>
      </c>
      <c r="E11761" s="2" t="str">
        <f>HYPERLINK("http://ts.21cn.com/tousu/show/id/1343074","http://ts.21cn.com/tousu/show/id/1343074")</f>
        <v>http://ts.21cn.com/tousu/show/id/1343074</v>
      </c>
      <c r="F11761" s="2" t="s">
        <v>11</v>
      </c>
      <c r="G11761" s="2" t="s">
        <v>21029</v>
      </c>
      <c r="H11761" s="2" t="s">
        <v>21030</v>
      </c>
    </row>
    <row r="11762" spans="1:8" ht="25.05" customHeight="1" x14ac:dyDescent="0.25">
      <c r="A11762" s="2" t="s">
        <v>8</v>
      </c>
      <c r="B11762" s="2" t="str">
        <f>HYPERLINK("http://ts.21cn.com/tousu/show/id/1343076","钱站高利贷阴阳合同")</f>
        <v>钱站高利贷阴阳合同</v>
      </c>
      <c r="C11762" s="2" t="s">
        <v>9</v>
      </c>
      <c r="D11762" s="2" t="s">
        <v>10</v>
      </c>
      <c r="E11762" s="2" t="str">
        <f>HYPERLINK("http://ts.21cn.com/tousu/show/id/1343076","http://ts.21cn.com/tousu/show/id/1343076")</f>
        <v>http://ts.21cn.com/tousu/show/id/1343076</v>
      </c>
      <c r="F11762" s="2" t="s">
        <v>11</v>
      </c>
      <c r="G11762" s="2" t="s">
        <v>21027</v>
      </c>
      <c r="H11762" s="2" t="s">
        <v>21028</v>
      </c>
    </row>
    <row r="11763" spans="1:8" ht="25.05" customHeight="1" x14ac:dyDescent="0.25">
      <c r="A11763" s="2" t="s">
        <v>8</v>
      </c>
      <c r="B11763" s="2" t="str">
        <f>HYPERLINK("http://ts.21cn.com/tousu/show/id/1343078","壹心分期严重违法行为")</f>
        <v>壹心分期严重违法行为</v>
      </c>
      <c r="C11763" s="2" t="s">
        <v>9</v>
      </c>
      <c r="D11763" s="2" t="s">
        <v>10</v>
      </c>
      <c r="E11763" s="2" t="str">
        <f>HYPERLINK("http://ts.21cn.com/tousu/show/id/1343078","http://ts.21cn.com/tousu/show/id/1343078")</f>
        <v>http://ts.21cn.com/tousu/show/id/1343078</v>
      </c>
      <c r="F11763" s="2" t="s">
        <v>11</v>
      </c>
      <c r="G11763" s="2" t="s">
        <v>21025</v>
      </c>
      <c r="H11763" s="2" t="s">
        <v>21026</v>
      </c>
    </row>
    <row r="11764" spans="1:8" ht="25.05" customHeight="1" x14ac:dyDescent="0.25">
      <c r="A11764" s="2" t="s">
        <v>8</v>
      </c>
      <c r="B11764" s="2" t="str">
        <f>HYPERLINK("http://ts.21cn.com/tousu/show/id/1343080","拍拍贷还款一直失败，四个小时没还款成功，导致逾期")</f>
        <v>拍拍贷还款一直失败，四个小时没还款成功，导致逾期</v>
      </c>
      <c r="C11764" s="2" t="s">
        <v>9</v>
      </c>
      <c r="D11764" s="2" t="s">
        <v>10</v>
      </c>
      <c r="E11764" s="2" t="str">
        <f>HYPERLINK("http://ts.21cn.com/tousu/show/id/1343080","http://ts.21cn.com/tousu/show/id/1343080")</f>
        <v>http://ts.21cn.com/tousu/show/id/1343080</v>
      </c>
      <c r="F11764" s="2" t="s">
        <v>11</v>
      </c>
      <c r="G11764" s="2" t="s">
        <v>21023</v>
      </c>
      <c r="H11764" s="2" t="s">
        <v>21024</v>
      </c>
    </row>
    <row r="11765" spans="1:8" ht="25.05" customHeight="1" x14ac:dyDescent="0.25">
      <c r="A11765" s="2" t="s">
        <v>8</v>
      </c>
      <c r="B11765" s="2" t="str">
        <f>HYPERLINK("http://ts.21cn.com/tousu/show/id/1343081","车贷砍头息")</f>
        <v>车贷砍头息</v>
      </c>
      <c r="C11765" s="2" t="s">
        <v>34</v>
      </c>
      <c r="D11765" s="2" t="s">
        <v>10</v>
      </c>
      <c r="E11765" s="2" t="str">
        <f>HYPERLINK("http://ts.21cn.com/tousu/show/id/1343081","http://ts.21cn.com/tousu/show/id/1343081")</f>
        <v>http://ts.21cn.com/tousu/show/id/1343081</v>
      </c>
      <c r="F11765" s="2" t="s">
        <v>11</v>
      </c>
      <c r="G11765" s="2" t="s">
        <v>21021</v>
      </c>
      <c r="H11765" s="2" t="s">
        <v>21022</v>
      </c>
    </row>
    <row r="11766" spans="1:8" ht="25.05" customHeight="1" x14ac:dyDescent="0.25">
      <c r="A11766" s="2" t="s">
        <v>8</v>
      </c>
      <c r="B11766" s="2" t="str">
        <f>HYPERLINK("http://ts.21cn.com/tousu/show/id/1343083","滴滴不顾司机安危，判责不公，恶意扣款")</f>
        <v>滴滴不顾司机安危，判责不公，恶意扣款</v>
      </c>
      <c r="C11766" s="2" t="s">
        <v>9</v>
      </c>
      <c r="D11766" s="2" t="s">
        <v>10</v>
      </c>
      <c r="E11766" s="2" t="str">
        <f>HYPERLINK("http://ts.21cn.com/tousu/show/id/1343083","http://ts.21cn.com/tousu/show/id/1343083")</f>
        <v>http://ts.21cn.com/tousu/show/id/1343083</v>
      </c>
      <c r="F11766" s="2" t="s">
        <v>11</v>
      </c>
      <c r="G11766" s="2" t="s">
        <v>21019</v>
      </c>
      <c r="H11766" s="2" t="s">
        <v>21020</v>
      </c>
    </row>
    <row r="11767" spans="1:8" ht="25.05" customHeight="1" x14ac:dyDescent="0.25">
      <c r="A11767" s="2" t="s">
        <v>8</v>
      </c>
      <c r="B11767" s="2" t="str">
        <f>HYPERLINK("http://ts.21cn.com/tousu/show/id/1343084","平安普惠")</f>
        <v>平安普惠</v>
      </c>
      <c r="C11767" s="2" t="s">
        <v>34</v>
      </c>
      <c r="D11767" s="2" t="s">
        <v>10</v>
      </c>
      <c r="E11767" s="2" t="str">
        <f>HYPERLINK("http://ts.21cn.com/tousu/show/id/1343084","http://ts.21cn.com/tousu/show/id/1343084")</f>
        <v>http://ts.21cn.com/tousu/show/id/1343084</v>
      </c>
      <c r="F11767" s="2" t="s">
        <v>11</v>
      </c>
      <c r="G11767" s="2" t="s">
        <v>21017</v>
      </c>
      <c r="H11767" s="2" t="s">
        <v>21018</v>
      </c>
    </row>
    <row r="11768" spans="1:8" ht="25.05" customHeight="1" x14ac:dyDescent="0.25">
      <c r="A11768" s="2" t="s">
        <v>8</v>
      </c>
      <c r="B11768" s="2" t="str">
        <f>HYPERLINK("http://ts.21cn.com/tousu/show/id/1343086","交易猫代练不退款")</f>
        <v>交易猫代练不退款</v>
      </c>
      <c r="C11768" s="2" t="s">
        <v>34</v>
      </c>
      <c r="D11768" s="2" t="s">
        <v>10</v>
      </c>
      <c r="E11768" s="2" t="str">
        <f>HYPERLINK("http://ts.21cn.com/tousu/show/id/1343086","http://ts.21cn.com/tousu/show/id/1343086")</f>
        <v>http://ts.21cn.com/tousu/show/id/1343086</v>
      </c>
      <c r="F11768" s="2" t="s">
        <v>11</v>
      </c>
      <c r="G11768" s="2" t="s">
        <v>21015</v>
      </c>
      <c r="H11768" s="2" t="s">
        <v>21016</v>
      </c>
    </row>
    <row r="11769" spans="1:8" ht="25.05" customHeight="1" x14ac:dyDescent="0.25">
      <c r="A11769" s="2" t="s">
        <v>8</v>
      </c>
      <c r="B11769" s="2" t="str">
        <f>HYPERLINK("http://ts.21cn.com/tousu/show/id/1343087","高额收取利息，高利贷")</f>
        <v>高额收取利息，高利贷</v>
      </c>
      <c r="C11769" s="2" t="s">
        <v>9</v>
      </c>
      <c r="D11769" s="2" t="s">
        <v>10</v>
      </c>
      <c r="E11769" s="2" t="str">
        <f>HYPERLINK("http://ts.21cn.com/tousu/show/id/1343087","http://ts.21cn.com/tousu/show/id/1343087")</f>
        <v>http://ts.21cn.com/tousu/show/id/1343087</v>
      </c>
      <c r="F11769" s="2" t="s">
        <v>11</v>
      </c>
      <c r="G11769" s="2" t="s">
        <v>21013</v>
      </c>
      <c r="H11769" s="2" t="s">
        <v>21014</v>
      </c>
    </row>
    <row r="11770" spans="1:8" ht="25.05" customHeight="1" x14ac:dyDescent="0.25">
      <c r="A11770" s="2" t="s">
        <v>8</v>
      </c>
      <c r="B11770" s="2" t="str">
        <f>HYPERLINK("http://ts.21cn.com/tousu/show/id/1343089","豆豆钱，多次还款还不上，逾期收费高还上征信")</f>
        <v>豆豆钱，多次还款还不上，逾期收费高还上征信</v>
      </c>
      <c r="C11770" s="2" t="s">
        <v>9</v>
      </c>
      <c r="D11770" s="2" t="s">
        <v>10</v>
      </c>
      <c r="E11770" s="2" t="str">
        <f>HYPERLINK("http://ts.21cn.com/tousu/show/id/1343089","http://ts.21cn.com/tousu/show/id/1343089")</f>
        <v>http://ts.21cn.com/tousu/show/id/1343089</v>
      </c>
      <c r="F11770" s="2" t="s">
        <v>11</v>
      </c>
      <c r="G11770" s="2" t="s">
        <v>21011</v>
      </c>
      <c r="H11770" s="2" t="s">
        <v>21012</v>
      </c>
    </row>
    <row r="11771" spans="1:8" ht="25.05" customHeight="1" x14ac:dyDescent="0.25">
      <c r="A11771" s="2" t="s">
        <v>8</v>
      </c>
      <c r="B11771" s="2" t="str">
        <f>HYPERLINK("http://ts.21cn.com/tousu/show/id/1343090","存钱宝7147高炮砍头息，快钱违规提供通道")</f>
        <v>存钱宝7147高炮砍头息，快钱违规提供通道</v>
      </c>
      <c r="C11771" s="2" t="s">
        <v>9</v>
      </c>
      <c r="D11771" s="2" t="s">
        <v>10</v>
      </c>
      <c r="E11771" s="2" t="str">
        <f>HYPERLINK("http://ts.21cn.com/tousu/show/id/1343090","http://ts.21cn.com/tousu/show/id/1343090")</f>
        <v>http://ts.21cn.com/tousu/show/id/1343090</v>
      </c>
      <c r="F11771" s="2" t="s">
        <v>11</v>
      </c>
      <c r="G11771" s="2" t="s">
        <v>21009</v>
      </c>
      <c r="H11771" s="2" t="s">
        <v>21010</v>
      </c>
    </row>
    <row r="11772" spans="1:8" ht="25.05" customHeight="1" x14ac:dyDescent="0.25">
      <c r="A11772" s="2" t="s">
        <v>8</v>
      </c>
      <c r="B11772" s="2" t="str">
        <f>HYPERLINK("http://ts.21cn.com/tousu/show/id/1343088","自动扣费")</f>
        <v>自动扣费</v>
      </c>
      <c r="C11772" s="2" t="s">
        <v>9</v>
      </c>
      <c r="D11772" s="2" t="s">
        <v>10</v>
      </c>
      <c r="E11772" s="2" t="str">
        <f>HYPERLINK("http://ts.21cn.com/tousu/show/id/1343088","http://ts.21cn.com/tousu/show/id/1343088")</f>
        <v>http://ts.21cn.com/tousu/show/id/1343088</v>
      </c>
      <c r="F11772" s="2" t="s">
        <v>11</v>
      </c>
      <c r="G11772" s="2" t="s">
        <v>21007</v>
      </c>
      <c r="H11772" s="2" t="s">
        <v>21008</v>
      </c>
    </row>
    <row r="11773" spans="1:8" ht="25.05" customHeight="1" x14ac:dyDescent="0.25">
      <c r="A11773" s="2" t="s">
        <v>8</v>
      </c>
      <c r="B11773" s="2" t="str">
        <f>HYPERLINK("http://ts.21cn.com/tousu/show/id/1343091","现控达人高利贷砍头息")</f>
        <v>现控达人高利贷砍头息</v>
      </c>
      <c r="C11773" s="2" t="s">
        <v>9</v>
      </c>
      <c r="D11773" s="2" t="s">
        <v>10</v>
      </c>
      <c r="E11773" s="2" t="str">
        <f>HYPERLINK("http://ts.21cn.com/tousu/show/id/1343091","http://ts.21cn.com/tousu/show/id/1343091")</f>
        <v>http://ts.21cn.com/tousu/show/id/1343091</v>
      </c>
      <c r="F11773" s="2" t="s">
        <v>11</v>
      </c>
      <c r="G11773" s="2" t="s">
        <v>21005</v>
      </c>
      <c r="H11773" s="2" t="s">
        <v>21006</v>
      </c>
    </row>
    <row r="11774" spans="1:8" ht="25.05" customHeight="1" x14ac:dyDescent="0.25">
      <c r="A11774" s="2" t="s">
        <v>8</v>
      </c>
      <c r="B11774" s="2" t="str">
        <f>HYPERLINK("http://ts.21cn.com/tousu/show/id/1343093","集体投诉乐游商旅拖延退款")</f>
        <v>集体投诉乐游商旅拖延退款</v>
      </c>
      <c r="C11774" s="2" t="s">
        <v>9</v>
      </c>
      <c r="D11774" s="2" t="s">
        <v>10</v>
      </c>
      <c r="E11774" s="2" t="str">
        <f>HYPERLINK("http://ts.21cn.com/tousu/show/id/1343093","http://ts.21cn.com/tousu/show/id/1343093")</f>
        <v>http://ts.21cn.com/tousu/show/id/1343093</v>
      </c>
      <c r="F11774" s="2" t="s">
        <v>11</v>
      </c>
      <c r="G11774" s="2" t="s">
        <v>21003</v>
      </c>
      <c r="H11774" s="2" t="s">
        <v>21004</v>
      </c>
    </row>
    <row r="11775" spans="1:8" ht="25.05" customHeight="1" x14ac:dyDescent="0.25">
      <c r="A11775" s="2" t="s">
        <v>8</v>
      </c>
      <c r="B11775" s="2" t="str">
        <f>HYPERLINK("http://ts.21cn.com/tousu/show/id/1343085","口袋玩乐无良商家")</f>
        <v>口袋玩乐无良商家</v>
      </c>
      <c r="C11775" s="2" t="s">
        <v>9</v>
      </c>
      <c r="D11775" s="2" t="s">
        <v>10</v>
      </c>
      <c r="E11775" s="2" t="str">
        <f>HYPERLINK("http://ts.21cn.com/tousu/show/id/1343085","http://ts.21cn.com/tousu/show/id/1343085")</f>
        <v>http://ts.21cn.com/tousu/show/id/1343085</v>
      </c>
      <c r="F11775" s="2" t="s">
        <v>11</v>
      </c>
      <c r="G11775" s="2" t="s">
        <v>21001</v>
      </c>
      <c r="H11775" s="2" t="s">
        <v>21002</v>
      </c>
    </row>
    <row r="11776" spans="1:8" ht="25.05" customHeight="1" x14ac:dyDescent="0.25">
      <c r="A11776" s="2" t="s">
        <v>8</v>
      </c>
      <c r="B11776" s="2" t="str">
        <f>HYPERLINK("http://ts.21cn.com/tousu/show/id/1343094","找歪理由，拒绝退款申请，并且电话打不通")</f>
        <v>找歪理由，拒绝退款申请，并且电话打不通</v>
      </c>
      <c r="C11776" s="2" t="s">
        <v>9</v>
      </c>
      <c r="D11776" s="2" t="s">
        <v>10</v>
      </c>
      <c r="E11776" s="2" t="str">
        <f>HYPERLINK("http://ts.21cn.com/tousu/show/id/1343094","http://ts.21cn.com/tousu/show/id/1343094")</f>
        <v>http://ts.21cn.com/tousu/show/id/1343094</v>
      </c>
      <c r="F11776" s="2" t="s">
        <v>11</v>
      </c>
      <c r="G11776" s="2" t="s">
        <v>20999</v>
      </c>
      <c r="H11776" s="2" t="s">
        <v>21000</v>
      </c>
    </row>
    <row r="11777" spans="1:8" ht="25.05" customHeight="1" x14ac:dyDescent="0.25">
      <c r="A11777" s="2" t="s">
        <v>8</v>
      </c>
      <c r="B11777" s="2" t="str">
        <f>HYPERLINK("http://ts.21cn.com/tousu/show/id/1343095","特约中智盗刷我银行卡无故扣款")</f>
        <v>特约中智盗刷我银行卡无故扣款</v>
      </c>
      <c r="C11777" s="2" t="s">
        <v>9</v>
      </c>
      <c r="D11777" s="2" t="s">
        <v>10</v>
      </c>
      <c r="E11777" s="2" t="str">
        <f>HYPERLINK("http://ts.21cn.com/tousu/show/id/1343095","http://ts.21cn.com/tousu/show/id/1343095")</f>
        <v>http://ts.21cn.com/tousu/show/id/1343095</v>
      </c>
      <c r="F11777" s="2" t="s">
        <v>11</v>
      </c>
      <c r="G11777" s="2" t="s">
        <v>20997</v>
      </c>
      <c r="H11777" s="2" t="s">
        <v>20998</v>
      </c>
    </row>
    <row r="11778" spans="1:8" ht="25.05" customHeight="1" x14ac:dyDescent="0.25">
      <c r="A11778" s="2" t="s">
        <v>8</v>
      </c>
      <c r="B11778" s="2" t="str">
        <f>HYPERLINK("http://ts.21cn.com/tousu/show/id/1343092","买家恶意仲裁，交易猫，处理结果让人心寒")</f>
        <v>买家恶意仲裁，交易猫，处理结果让人心寒</v>
      </c>
      <c r="C11778" s="2" t="s">
        <v>9</v>
      </c>
      <c r="D11778" s="2" t="s">
        <v>10</v>
      </c>
      <c r="E11778" s="2" t="str">
        <f>HYPERLINK("http://ts.21cn.com/tousu/show/id/1343092","http://ts.21cn.com/tousu/show/id/1343092")</f>
        <v>http://ts.21cn.com/tousu/show/id/1343092</v>
      </c>
      <c r="F11778" s="2" t="s">
        <v>11</v>
      </c>
      <c r="G11778" s="2" t="s">
        <v>20995</v>
      </c>
      <c r="H11778" s="2" t="s">
        <v>20996</v>
      </c>
    </row>
    <row r="11779" spans="1:8" ht="25.05" customHeight="1" x14ac:dyDescent="0.25">
      <c r="A11779" s="2" t="s">
        <v>8</v>
      </c>
      <c r="B11779" s="2" t="str">
        <f>HYPERLINK("http://ts.21cn.com/tousu/show/id/1343096","交易猫退钱")</f>
        <v>交易猫退钱</v>
      </c>
      <c r="C11779" s="2" t="s">
        <v>9</v>
      </c>
      <c r="D11779" s="2" t="s">
        <v>10</v>
      </c>
      <c r="E11779" s="2" t="str">
        <f>HYPERLINK("http://ts.21cn.com/tousu/show/id/1343096","http://ts.21cn.com/tousu/show/id/1343096")</f>
        <v>http://ts.21cn.com/tousu/show/id/1343096</v>
      </c>
      <c r="F11779" s="2" t="s">
        <v>11</v>
      </c>
      <c r="G11779" s="2" t="s">
        <v>20993</v>
      </c>
      <c r="H11779" s="2" t="s">
        <v>20994</v>
      </c>
    </row>
    <row r="11780" spans="1:8" ht="25.05" customHeight="1" x14ac:dyDescent="0.25">
      <c r="A11780" s="2" t="s">
        <v>8</v>
      </c>
      <c r="B11780" s="2" t="str">
        <f>HYPERLINK("http://ts.21cn.com/tousu/show/id/1343097","约会吧  微信")</f>
        <v>约会吧  微信</v>
      </c>
      <c r="C11780" s="2" t="s">
        <v>34</v>
      </c>
      <c r="D11780" s="2" t="s">
        <v>10</v>
      </c>
      <c r="E11780" s="2" t="str">
        <f>HYPERLINK("http://ts.21cn.com/tousu/show/id/1343097","http://ts.21cn.com/tousu/show/id/1343097")</f>
        <v>http://ts.21cn.com/tousu/show/id/1343097</v>
      </c>
      <c r="F11780" s="2" t="s">
        <v>11</v>
      </c>
      <c r="G11780" s="2" t="s">
        <v>20991</v>
      </c>
      <c r="H11780" s="2" t="s">
        <v>20992</v>
      </c>
    </row>
    <row r="11781" spans="1:8" ht="25.05" customHeight="1" x14ac:dyDescent="0.25">
      <c r="A11781" s="2" t="s">
        <v>8</v>
      </c>
      <c r="B11781" s="2" t="str">
        <f>HYPERLINK("http://ts.21cn.com/tousu/show/id/1343098","自动确认收货时间到还显示等待收货中")</f>
        <v>自动确认收货时间到还显示等待收货中</v>
      </c>
      <c r="C11781" s="2" t="s">
        <v>34</v>
      </c>
      <c r="D11781" s="2" t="s">
        <v>10</v>
      </c>
      <c r="E11781" s="2" t="str">
        <f>HYPERLINK("http://ts.21cn.com/tousu/show/id/1343098","http://ts.21cn.com/tousu/show/id/1343098")</f>
        <v>http://ts.21cn.com/tousu/show/id/1343098</v>
      </c>
      <c r="F11781" s="2" t="s">
        <v>11</v>
      </c>
      <c r="G11781" s="2" t="s">
        <v>20989</v>
      </c>
      <c r="H11781" s="2" t="s">
        <v>20990</v>
      </c>
    </row>
    <row r="11782" spans="1:8" ht="25.05" customHeight="1" x14ac:dyDescent="0.25">
      <c r="A11782" s="2" t="s">
        <v>8</v>
      </c>
      <c r="B11782" s="2" t="str">
        <f>HYPERLINK("http://ts.21cn.com/tousu/show/id/1343100","小浦优客未经同意扣款")</f>
        <v>小浦优客未经同意扣款</v>
      </c>
      <c r="C11782" s="2" t="s">
        <v>34</v>
      </c>
      <c r="D11782" s="2" t="s">
        <v>10</v>
      </c>
      <c r="E11782" s="2" t="str">
        <f>HYPERLINK("http://ts.21cn.com/tousu/show/id/1343100","http://ts.21cn.com/tousu/show/id/1343100")</f>
        <v>http://ts.21cn.com/tousu/show/id/1343100</v>
      </c>
      <c r="F11782" s="2" t="s">
        <v>11</v>
      </c>
      <c r="G11782" s="2" t="s">
        <v>20987</v>
      </c>
      <c r="H11782" s="2" t="s">
        <v>20988</v>
      </c>
    </row>
    <row r="11783" spans="1:8" ht="25.05" customHeight="1" x14ac:dyDescent="0.25">
      <c r="A11783" s="2" t="s">
        <v>8</v>
      </c>
      <c r="B11783" s="2" t="str">
        <f>HYPERLINK("http://ts.21cn.com/tousu/show/id/1343101","现金巴士套路贷，砍头息")</f>
        <v>现金巴士套路贷，砍头息</v>
      </c>
      <c r="C11783" s="2" t="s">
        <v>9</v>
      </c>
      <c r="D11783" s="2" t="s">
        <v>10</v>
      </c>
      <c r="E11783" s="2" t="str">
        <f>HYPERLINK("http://ts.21cn.com/tousu/show/id/1343101","http://ts.21cn.com/tousu/show/id/1343101")</f>
        <v>http://ts.21cn.com/tousu/show/id/1343101</v>
      </c>
      <c r="F11783" s="2" t="s">
        <v>11</v>
      </c>
      <c r="G11783" s="2" t="s">
        <v>20985</v>
      </c>
      <c r="H11783" s="2" t="s">
        <v>20986</v>
      </c>
    </row>
    <row r="11784" spans="1:8" ht="25.05" customHeight="1" x14ac:dyDescent="0.25">
      <c r="A11784" s="2" t="s">
        <v>8</v>
      </c>
      <c r="B11784" s="2" t="str">
        <f>HYPERLINK("http://ts.21cn.com/tousu/show/id/1343102","砍头网贷")</f>
        <v>砍头网贷</v>
      </c>
      <c r="C11784" s="2" t="s">
        <v>9</v>
      </c>
      <c r="D11784" s="2" t="s">
        <v>10</v>
      </c>
      <c r="E11784" s="2" t="str">
        <f>HYPERLINK("http://ts.21cn.com/tousu/show/id/1343102","http://ts.21cn.com/tousu/show/id/1343102")</f>
        <v>http://ts.21cn.com/tousu/show/id/1343102</v>
      </c>
      <c r="F11784" s="2" t="s">
        <v>11</v>
      </c>
      <c r="G11784" s="2" t="s">
        <v>20983</v>
      </c>
      <c r="H11784" s="2" t="s">
        <v>20984</v>
      </c>
    </row>
    <row r="11785" spans="1:8" ht="25.05" customHeight="1" x14ac:dyDescent="0.25">
      <c r="A11785" s="2" t="s">
        <v>8</v>
      </c>
      <c r="B11785" s="2" t="str">
        <f>HYPERLINK("http://ts.21cn.com/tousu/show/id/1343099","我来贷暴力催收，高利贷")</f>
        <v>我来贷暴力催收，高利贷</v>
      </c>
      <c r="C11785" s="2" t="s">
        <v>9</v>
      </c>
      <c r="D11785" s="2" t="s">
        <v>10</v>
      </c>
      <c r="E11785" s="2" t="str">
        <f>HYPERLINK("http://ts.21cn.com/tousu/show/id/1343099","http://ts.21cn.com/tousu/show/id/1343099")</f>
        <v>http://ts.21cn.com/tousu/show/id/1343099</v>
      </c>
      <c r="F11785" s="2" t="s">
        <v>11</v>
      </c>
      <c r="G11785" s="2" t="s">
        <v>20981</v>
      </c>
      <c r="H11785" s="2" t="s">
        <v>20982</v>
      </c>
    </row>
    <row r="11786" spans="1:8" ht="25.05" customHeight="1" x14ac:dyDescent="0.25">
      <c r="A11786" s="2" t="s">
        <v>8</v>
      </c>
      <c r="B11786" s="2" t="str">
        <f>HYPERLINK("http://ts.21cn.com/tousu/show/id/1343103","京东第三方老是骚扰")</f>
        <v>京东第三方老是骚扰</v>
      </c>
      <c r="C11786" s="2" t="s">
        <v>9</v>
      </c>
      <c r="D11786" s="2" t="s">
        <v>10</v>
      </c>
      <c r="E11786" s="2" t="str">
        <f>HYPERLINK("http://ts.21cn.com/tousu/show/id/1343103","http://ts.21cn.com/tousu/show/id/1343103")</f>
        <v>http://ts.21cn.com/tousu/show/id/1343103</v>
      </c>
      <c r="F11786" s="2" t="s">
        <v>11</v>
      </c>
      <c r="G11786" s="2" t="s">
        <v>20979</v>
      </c>
      <c r="H11786" s="2" t="s">
        <v>20980</v>
      </c>
    </row>
    <row r="11787" spans="1:8" ht="25.05" customHeight="1" x14ac:dyDescent="0.25">
      <c r="A11787" s="2" t="s">
        <v>8</v>
      </c>
      <c r="B11787" s="2" t="str">
        <f>HYPERLINK("http://ts.21cn.com/tousu/show/id/1343048","国美易卡，小赢e贷利息太高。")</f>
        <v>国美易卡，小赢e贷利息太高。</v>
      </c>
      <c r="C11787" s="2" t="s">
        <v>9</v>
      </c>
      <c r="D11787" s="2" t="s">
        <v>10</v>
      </c>
      <c r="E11787" s="2" t="str">
        <f>HYPERLINK("http://ts.21cn.com/tousu/show/id/1343048","http://ts.21cn.com/tousu/show/id/1343048")</f>
        <v>http://ts.21cn.com/tousu/show/id/1343048</v>
      </c>
      <c r="F11787" s="2" t="s">
        <v>11</v>
      </c>
      <c r="G11787" s="2" t="s">
        <v>20977</v>
      </c>
      <c r="H11787" s="2" t="s">
        <v>20978</v>
      </c>
    </row>
    <row r="11788" spans="1:8" ht="25.05" customHeight="1" x14ac:dyDescent="0.25">
      <c r="A11788" s="2" t="s">
        <v>8</v>
      </c>
      <c r="B11788" s="2" t="str">
        <f>HYPERLINK("http://ts.21cn.com/tousu/show/id/1343104","中邮消费金融")</f>
        <v>中邮消费金融</v>
      </c>
      <c r="C11788" s="2" t="s">
        <v>9</v>
      </c>
      <c r="D11788" s="2" t="s">
        <v>10</v>
      </c>
      <c r="E11788" s="2" t="str">
        <f>HYPERLINK("http://ts.21cn.com/tousu/show/id/1343104","http://ts.21cn.com/tousu/show/id/1343104")</f>
        <v>http://ts.21cn.com/tousu/show/id/1343104</v>
      </c>
      <c r="F11788" s="2" t="s">
        <v>11</v>
      </c>
      <c r="G11788" s="2" t="s">
        <v>20975</v>
      </c>
      <c r="H11788" s="2" t="s">
        <v>20976</v>
      </c>
    </row>
    <row r="11789" spans="1:8" ht="25.05" customHeight="1" x14ac:dyDescent="0.25">
      <c r="A11789" s="2" t="s">
        <v>8</v>
      </c>
      <c r="B11789" s="2" t="str">
        <f>HYPERLINK("http://ts.21cn.com/tousu/show/id/1343105","钱站高利贷阴阳合同")</f>
        <v>钱站高利贷阴阳合同</v>
      </c>
      <c r="C11789" s="2" t="s">
        <v>9</v>
      </c>
      <c r="D11789" s="2" t="s">
        <v>10</v>
      </c>
      <c r="E11789" s="2" t="str">
        <f>HYPERLINK("http://ts.21cn.com/tousu/show/id/1343105","http://ts.21cn.com/tousu/show/id/1343105")</f>
        <v>http://ts.21cn.com/tousu/show/id/1343105</v>
      </c>
      <c r="F11789" s="2" t="s">
        <v>11</v>
      </c>
      <c r="G11789" s="2" t="s">
        <v>20973</v>
      </c>
      <c r="H11789" s="2" t="s">
        <v>20974</v>
      </c>
    </row>
    <row r="11790" spans="1:8" ht="25.05" customHeight="1" x14ac:dyDescent="0.25">
      <c r="A11790" s="2" t="s">
        <v>8</v>
      </c>
      <c r="B11790" s="2" t="str">
        <f>HYPERLINK("http://ts.21cn.com/tousu/show/id/1343106","一个上市公司玩着砍头息的把戏")</f>
        <v>一个上市公司玩着砍头息的把戏</v>
      </c>
      <c r="C11790" s="2" t="s">
        <v>9</v>
      </c>
      <c r="D11790" s="2" t="s">
        <v>10</v>
      </c>
      <c r="E11790" s="2" t="str">
        <f>HYPERLINK("http://ts.21cn.com/tousu/show/id/1343106","http://ts.21cn.com/tousu/show/id/1343106")</f>
        <v>http://ts.21cn.com/tousu/show/id/1343106</v>
      </c>
      <c r="F11790" s="2" t="s">
        <v>11</v>
      </c>
      <c r="G11790" s="2" t="s">
        <v>20971</v>
      </c>
      <c r="H11790" s="2" t="s">
        <v>20972</v>
      </c>
    </row>
    <row r="11791" spans="1:8" ht="25.05" customHeight="1" x14ac:dyDescent="0.25">
      <c r="A11791" s="2" t="s">
        <v>8</v>
      </c>
      <c r="B11791" s="2" t="str">
        <f>HYPERLINK("http://ts.21cn.com/tousu/show/id/1343107","我正常提前还款，就被任性付冻结额度，然后信息显示3个月解冻，但已经4个月还是冻结")</f>
        <v>我正常提前还款，就被任性付冻结额度，然后信息显示3个月解冻，但已经4个月还是冻结</v>
      </c>
      <c r="C11791" s="2" t="s">
        <v>34</v>
      </c>
      <c r="D11791" s="2" t="s">
        <v>10</v>
      </c>
      <c r="E11791" s="2" t="str">
        <f>HYPERLINK("http://ts.21cn.com/tousu/show/id/1343107","http://ts.21cn.com/tousu/show/id/1343107")</f>
        <v>http://ts.21cn.com/tousu/show/id/1343107</v>
      </c>
      <c r="F11791" s="2" t="s">
        <v>11</v>
      </c>
      <c r="G11791" s="2" t="s">
        <v>20969</v>
      </c>
      <c r="H11791" s="2" t="s">
        <v>20970</v>
      </c>
    </row>
    <row r="11792" spans="1:8" ht="25.05" customHeight="1" x14ac:dyDescent="0.25">
      <c r="A11792" s="2" t="s">
        <v>8</v>
      </c>
      <c r="B11792" s="2" t="str">
        <f>HYPERLINK("http://ts.21cn.com/tousu/show/id/1343108","滴滴公司乱扣钱")</f>
        <v>滴滴公司乱扣钱</v>
      </c>
      <c r="C11792" s="2" t="s">
        <v>9</v>
      </c>
      <c r="D11792" s="2" t="s">
        <v>10</v>
      </c>
      <c r="E11792" s="2" t="str">
        <f>HYPERLINK("http://ts.21cn.com/tousu/show/id/1343108","http://ts.21cn.com/tousu/show/id/1343108")</f>
        <v>http://ts.21cn.com/tousu/show/id/1343108</v>
      </c>
      <c r="F11792" s="2" t="s">
        <v>11</v>
      </c>
      <c r="G11792" s="2" t="s">
        <v>20967</v>
      </c>
      <c r="H11792" s="2" t="s">
        <v>20968</v>
      </c>
    </row>
    <row r="11793" spans="1:8" ht="25.05" customHeight="1" x14ac:dyDescent="0.25">
      <c r="A11793" s="2" t="s">
        <v>8</v>
      </c>
      <c r="B11793" s="2" t="str">
        <f>HYPERLINK("http://ts.21cn.com/tousu/show/id/1343110","my钱包软暴力催收")</f>
        <v>my钱包软暴力催收</v>
      </c>
      <c r="C11793" s="2" t="s">
        <v>9</v>
      </c>
      <c r="D11793" s="2" t="s">
        <v>10</v>
      </c>
      <c r="E11793" s="2" t="str">
        <f>HYPERLINK("http://ts.21cn.com/tousu/show/id/1343110","http://ts.21cn.com/tousu/show/id/1343110")</f>
        <v>http://ts.21cn.com/tousu/show/id/1343110</v>
      </c>
      <c r="F11793" s="2" t="s">
        <v>11</v>
      </c>
      <c r="G11793" s="2" t="s">
        <v>20965</v>
      </c>
      <c r="H11793" s="2" t="s">
        <v>20966</v>
      </c>
    </row>
    <row r="11794" spans="1:8" ht="25.05" customHeight="1" x14ac:dyDescent="0.25">
      <c r="A11794" s="2" t="s">
        <v>8</v>
      </c>
      <c r="B11794" s="2" t="str">
        <f>HYPERLINK("http://ts.21cn.com/tousu/show/id/1343111","恶意盗取银行卡内金钱")</f>
        <v>恶意盗取银行卡内金钱</v>
      </c>
      <c r="C11794" s="2" t="s">
        <v>9</v>
      </c>
      <c r="D11794" s="2" t="s">
        <v>10</v>
      </c>
      <c r="E11794" s="2" t="str">
        <f>HYPERLINK("http://ts.21cn.com/tousu/show/id/1343111","http://ts.21cn.com/tousu/show/id/1343111")</f>
        <v>http://ts.21cn.com/tousu/show/id/1343111</v>
      </c>
      <c r="F11794" s="2" t="s">
        <v>11</v>
      </c>
      <c r="G11794" s="2" t="s">
        <v>20963</v>
      </c>
      <c r="H11794" s="2" t="s">
        <v>20964</v>
      </c>
    </row>
    <row r="11795" spans="1:8" ht="25.05" customHeight="1" x14ac:dyDescent="0.25">
      <c r="A11795" s="2" t="s">
        <v>8</v>
      </c>
      <c r="B11795" s="2" t="str">
        <f>HYPERLINK("http://ts.21cn.com/tousu/show/id/1343112","你们说欺诈单就欺诈单还不能申诉")</f>
        <v>你们说欺诈单就欺诈单还不能申诉</v>
      </c>
      <c r="C11795" s="2" t="s">
        <v>9</v>
      </c>
      <c r="D11795" s="2" t="s">
        <v>10</v>
      </c>
      <c r="E11795" s="2" t="str">
        <f>HYPERLINK("http://ts.21cn.com/tousu/show/id/1343112","http://ts.21cn.com/tousu/show/id/1343112")</f>
        <v>http://ts.21cn.com/tousu/show/id/1343112</v>
      </c>
      <c r="F11795" s="2" t="s">
        <v>11</v>
      </c>
      <c r="G11795" s="2" t="s">
        <v>20961</v>
      </c>
      <c r="H11795" s="2" t="s">
        <v>20962</v>
      </c>
    </row>
    <row r="11796" spans="1:8" ht="25.05" customHeight="1" x14ac:dyDescent="0.25">
      <c r="A11796" s="2" t="s">
        <v>8</v>
      </c>
      <c r="B11796" s="2" t="str">
        <f>HYPERLINK("http://ts.21cn.com/tousu/show/id/1343113","非法催收爆通讯录")</f>
        <v>非法催收爆通讯录</v>
      </c>
      <c r="C11796" s="2" t="s">
        <v>9</v>
      </c>
      <c r="D11796" s="2" t="s">
        <v>10</v>
      </c>
      <c r="E11796" s="2" t="str">
        <f>HYPERLINK("http://ts.21cn.com/tousu/show/id/1343113","http://ts.21cn.com/tousu/show/id/1343113")</f>
        <v>http://ts.21cn.com/tousu/show/id/1343113</v>
      </c>
      <c r="F11796" s="2" t="s">
        <v>11</v>
      </c>
      <c r="G11796" s="2" t="s">
        <v>20959</v>
      </c>
      <c r="H11796" s="2" t="s">
        <v>20960</v>
      </c>
    </row>
    <row r="11797" spans="1:8" ht="25.05" customHeight="1" x14ac:dyDescent="0.25">
      <c r="A11797" s="2" t="s">
        <v>8</v>
      </c>
      <c r="B11797" s="2" t="str">
        <f>HYPERLINK("http://ts.21cn.com/tousu/show/id/1343114","闪银高利贷砍头息强制购物")</f>
        <v>闪银高利贷砍头息强制购物</v>
      </c>
      <c r="C11797" s="2" t="s">
        <v>9</v>
      </c>
      <c r="D11797" s="2" t="s">
        <v>10</v>
      </c>
      <c r="E11797" s="2" t="str">
        <f>HYPERLINK("http://ts.21cn.com/tousu/show/id/1343114","http://ts.21cn.com/tousu/show/id/1343114")</f>
        <v>http://ts.21cn.com/tousu/show/id/1343114</v>
      </c>
      <c r="F11797" s="2" t="s">
        <v>11</v>
      </c>
      <c r="G11797" s="2" t="s">
        <v>20957</v>
      </c>
      <c r="H11797" s="2" t="s">
        <v>20958</v>
      </c>
    </row>
    <row r="11798" spans="1:8" ht="25.05" customHeight="1" x14ac:dyDescent="0.25">
      <c r="A11798" s="2" t="s">
        <v>8</v>
      </c>
      <c r="B11798" s="2" t="str">
        <f>HYPERLINK("http://ts.21cn.com/tousu/show/id/1343115","立借非法高利贷")</f>
        <v>立借非法高利贷</v>
      </c>
      <c r="C11798" s="2" t="s">
        <v>9</v>
      </c>
      <c r="D11798" s="2" t="s">
        <v>10</v>
      </c>
      <c r="E11798" s="2" t="str">
        <f>HYPERLINK("http://ts.21cn.com/tousu/show/id/1343115","http://ts.21cn.com/tousu/show/id/1343115")</f>
        <v>http://ts.21cn.com/tousu/show/id/1343115</v>
      </c>
      <c r="F11798" s="2" t="s">
        <v>11</v>
      </c>
      <c r="G11798" s="2" t="s">
        <v>20955</v>
      </c>
      <c r="H11798" s="2" t="s">
        <v>20956</v>
      </c>
    </row>
    <row r="11799" spans="1:8" ht="25.05" customHeight="1" x14ac:dyDescent="0.25">
      <c r="A11799" s="2" t="s">
        <v>8</v>
      </c>
      <c r="B11799" s="2" t="str">
        <f>HYPERLINK("http://ts.21cn.com/tousu/show/id/1343116","钱站高利贷阴阳合同")</f>
        <v>钱站高利贷阴阳合同</v>
      </c>
      <c r="C11799" s="2" t="s">
        <v>9</v>
      </c>
      <c r="D11799" s="2" t="s">
        <v>10</v>
      </c>
      <c r="E11799" s="2" t="str">
        <f>HYPERLINK("http://ts.21cn.com/tousu/show/id/1343116","http://ts.21cn.com/tousu/show/id/1343116")</f>
        <v>http://ts.21cn.com/tousu/show/id/1343116</v>
      </c>
      <c r="F11799" s="2" t="s">
        <v>11</v>
      </c>
      <c r="G11799" s="2" t="s">
        <v>20953</v>
      </c>
      <c r="H11799" s="2" t="s">
        <v>20954</v>
      </c>
    </row>
    <row r="11800" spans="1:8" ht="25.05" customHeight="1" x14ac:dyDescent="0.25">
      <c r="A11800" s="2" t="s">
        <v>8</v>
      </c>
      <c r="B11800" s="2" t="str">
        <f>HYPERLINK("http://ts.21cn.com/tousu/show/id/1343117","携趣网络技术上海有限公司乱扣费")</f>
        <v>携趣网络技术上海有限公司乱扣费</v>
      </c>
      <c r="C11800" s="2" t="s">
        <v>9</v>
      </c>
      <c r="D11800" s="2" t="s">
        <v>10</v>
      </c>
      <c r="E11800" s="2" t="str">
        <f>HYPERLINK("http://ts.21cn.com/tousu/show/id/1343117","http://ts.21cn.com/tousu/show/id/1343117")</f>
        <v>http://ts.21cn.com/tousu/show/id/1343117</v>
      </c>
      <c r="F11800" s="2" t="s">
        <v>11</v>
      </c>
      <c r="G11800" s="2" t="s">
        <v>20951</v>
      </c>
      <c r="H11800" s="2" t="s">
        <v>20952</v>
      </c>
    </row>
    <row r="11801" spans="1:8" ht="25.05" customHeight="1" x14ac:dyDescent="0.25">
      <c r="A11801" s="2" t="s">
        <v>8</v>
      </c>
      <c r="B11801" s="2" t="str">
        <f>HYPERLINK("http://ts.21cn.com/tousu/show/id/1343109","豆豆钱高利贷违规扣款")</f>
        <v>豆豆钱高利贷违规扣款</v>
      </c>
      <c r="C11801" s="2" t="s">
        <v>9</v>
      </c>
      <c r="D11801" s="2" t="s">
        <v>10</v>
      </c>
      <c r="E11801" s="2" t="str">
        <f>HYPERLINK("http://ts.21cn.com/tousu/show/id/1343109","http://ts.21cn.com/tousu/show/id/1343109")</f>
        <v>http://ts.21cn.com/tousu/show/id/1343109</v>
      </c>
      <c r="F11801" s="2" t="s">
        <v>11</v>
      </c>
      <c r="G11801" s="2" t="s">
        <v>20949</v>
      </c>
      <c r="H11801" s="2" t="s">
        <v>20950</v>
      </c>
    </row>
    <row r="11802" spans="1:8" ht="25.05" customHeight="1" x14ac:dyDescent="0.25">
      <c r="A11802" s="2" t="s">
        <v>8</v>
      </c>
      <c r="B11802" s="2" t="str">
        <f>HYPERLINK("http://ts.21cn.com/tousu/show/id/1343118","京东海淘全球以不正当理由拒绝取消订单")</f>
        <v>京东海淘全球以不正当理由拒绝取消订单</v>
      </c>
      <c r="C11802" s="2" t="s">
        <v>9</v>
      </c>
      <c r="D11802" s="2" t="s">
        <v>10</v>
      </c>
      <c r="E11802" s="2" t="str">
        <f>HYPERLINK("http://ts.21cn.com/tousu/show/id/1343118","http://ts.21cn.com/tousu/show/id/1343118")</f>
        <v>http://ts.21cn.com/tousu/show/id/1343118</v>
      </c>
      <c r="F11802" s="2" t="s">
        <v>11</v>
      </c>
      <c r="G11802" s="2" t="s">
        <v>20947</v>
      </c>
      <c r="H11802" s="2" t="s">
        <v>20948</v>
      </c>
    </row>
    <row r="11803" spans="1:8" ht="25.05" customHeight="1" x14ac:dyDescent="0.25">
      <c r="A11803" s="2" t="s">
        <v>8</v>
      </c>
      <c r="B11803" s="2" t="str">
        <f>HYPERLINK("http://ts.21cn.com/tousu/show/id/1343119","拍拍贷高利贷")</f>
        <v>拍拍贷高利贷</v>
      </c>
      <c r="C11803" s="2" t="s">
        <v>9</v>
      </c>
      <c r="D11803" s="2" t="s">
        <v>10</v>
      </c>
      <c r="E11803" s="2" t="str">
        <f>HYPERLINK("http://ts.21cn.com/tousu/show/id/1343119","http://ts.21cn.com/tousu/show/id/1343119")</f>
        <v>http://ts.21cn.com/tousu/show/id/1343119</v>
      </c>
      <c r="F11803" s="2" t="s">
        <v>11</v>
      </c>
      <c r="G11803" s="2" t="s">
        <v>20945</v>
      </c>
      <c r="H11803" s="2" t="s">
        <v>20946</v>
      </c>
    </row>
    <row r="11804" spans="1:8" ht="25.05" customHeight="1" x14ac:dyDescent="0.25">
      <c r="A11804" s="2" t="s">
        <v>8</v>
      </c>
      <c r="B11804" s="2" t="str">
        <f>HYPERLINK("http://ts.21cn.com/tousu/show/id/1343122","半夜骚扰")</f>
        <v>半夜骚扰</v>
      </c>
      <c r="C11804" s="2" t="s">
        <v>34</v>
      </c>
      <c r="D11804" s="2" t="s">
        <v>10</v>
      </c>
      <c r="E11804" s="2" t="str">
        <f>HYPERLINK("http://ts.21cn.com/tousu/show/id/1343122","http://ts.21cn.com/tousu/show/id/1343122")</f>
        <v>http://ts.21cn.com/tousu/show/id/1343122</v>
      </c>
      <c r="F11804" s="2" t="s">
        <v>11</v>
      </c>
      <c r="G11804" s="2" t="s">
        <v>20943</v>
      </c>
      <c r="H11804" s="2" t="s">
        <v>20944</v>
      </c>
    </row>
    <row r="11805" spans="1:8" ht="25.05" customHeight="1" x14ac:dyDescent="0.25">
      <c r="A11805" s="2" t="s">
        <v>8</v>
      </c>
      <c r="B11805" s="2" t="str">
        <f>HYPERLINK("http://ts.21cn.com/tousu/show/id/1343123","高利贷，暴力催收，炸通讯录，威胁他人，")</f>
        <v>高利贷，暴力催收，炸通讯录，威胁他人，</v>
      </c>
      <c r="C11805" s="2" t="s">
        <v>9</v>
      </c>
      <c r="D11805" s="2" t="s">
        <v>10</v>
      </c>
      <c r="E11805" s="2" t="str">
        <f>HYPERLINK("http://ts.21cn.com/tousu/show/id/1343123","http://ts.21cn.com/tousu/show/id/1343123")</f>
        <v>http://ts.21cn.com/tousu/show/id/1343123</v>
      </c>
      <c r="F11805" s="2" t="s">
        <v>11</v>
      </c>
      <c r="G11805" s="2" t="s">
        <v>20941</v>
      </c>
      <c r="H11805" s="2" t="s">
        <v>20942</v>
      </c>
    </row>
    <row r="11806" spans="1:8" ht="25.05" customHeight="1" x14ac:dyDescent="0.25">
      <c r="A11806" s="2" t="s">
        <v>8</v>
      </c>
      <c r="B11806" s="2" t="str">
        <f>HYPERLINK("http://ts.21cn.com/tousu/show/id/1343124","其它代理业务资金银联广东分公司专户09")</f>
        <v>其它代理业务资金银联广东分公司专户09</v>
      </c>
      <c r="C11806" s="2" t="s">
        <v>9</v>
      </c>
      <c r="D11806" s="2" t="s">
        <v>10</v>
      </c>
      <c r="E11806" s="2" t="str">
        <f>HYPERLINK("http://ts.21cn.com/tousu/show/id/1343124","http://ts.21cn.com/tousu/show/id/1343124")</f>
        <v>http://ts.21cn.com/tousu/show/id/1343124</v>
      </c>
      <c r="F11806" s="2" t="s">
        <v>11</v>
      </c>
      <c r="G11806" s="2" t="s">
        <v>20939</v>
      </c>
      <c r="H11806" s="2" t="s">
        <v>20940</v>
      </c>
    </row>
    <row r="11807" spans="1:8" ht="25.05" customHeight="1" x14ac:dyDescent="0.25">
      <c r="A11807" s="2" t="s">
        <v>8</v>
      </c>
      <c r="B11807" s="2" t="str">
        <f>HYPERLINK("http://ts.21cn.com/tousu/show/id/1343121","拍拍贷协商还款后不结清账户")</f>
        <v>拍拍贷协商还款后不结清账户</v>
      </c>
      <c r="C11807" s="2" t="s">
        <v>9</v>
      </c>
      <c r="D11807" s="2" t="s">
        <v>10</v>
      </c>
      <c r="E11807" s="2" t="str">
        <f>HYPERLINK("http://ts.21cn.com/tousu/show/id/1343121","http://ts.21cn.com/tousu/show/id/1343121")</f>
        <v>http://ts.21cn.com/tousu/show/id/1343121</v>
      </c>
      <c r="F11807" s="2" t="s">
        <v>11</v>
      </c>
      <c r="G11807" s="2" t="s">
        <v>20937</v>
      </c>
      <c r="H11807" s="2" t="s">
        <v>20938</v>
      </c>
    </row>
    <row r="11808" spans="1:8" ht="25.05" customHeight="1" x14ac:dyDescent="0.25">
      <c r="A11808" s="2" t="s">
        <v>8</v>
      </c>
      <c r="B11808" s="2" t="str">
        <f>HYPERLINK("http://ts.21cn.com/tousu/show/id/1343125","京东全球购拒绝取消订单")</f>
        <v>京东全球购拒绝取消订单</v>
      </c>
      <c r="C11808" s="2" t="s">
        <v>9</v>
      </c>
      <c r="D11808" s="2" t="s">
        <v>10</v>
      </c>
      <c r="E11808" s="2" t="str">
        <f>HYPERLINK("http://ts.21cn.com/tousu/show/id/1343125","http://ts.21cn.com/tousu/show/id/1343125")</f>
        <v>http://ts.21cn.com/tousu/show/id/1343125</v>
      </c>
      <c r="F11808" s="2" t="s">
        <v>11</v>
      </c>
      <c r="G11808" s="2" t="s">
        <v>20935</v>
      </c>
      <c r="H11808" s="2" t="s">
        <v>20936</v>
      </c>
    </row>
    <row r="11809" spans="1:8" ht="25.05" customHeight="1" x14ac:dyDescent="0.25">
      <c r="A11809" s="2" t="s">
        <v>8</v>
      </c>
      <c r="B11809" s="2" t="str">
        <f>HYPERLINK("http://ts.21cn.com/tousu/show/id/1343126","高利贷")</f>
        <v>高利贷</v>
      </c>
      <c r="C11809" s="2" t="s">
        <v>9</v>
      </c>
      <c r="D11809" s="2" t="s">
        <v>10</v>
      </c>
      <c r="E11809" s="2" t="str">
        <f>HYPERLINK("http://ts.21cn.com/tousu/show/id/1343126","http://ts.21cn.com/tousu/show/id/1343126")</f>
        <v>http://ts.21cn.com/tousu/show/id/1343126</v>
      </c>
      <c r="F11809" s="2" t="s">
        <v>11</v>
      </c>
      <c r="G11809" s="2" t="s">
        <v>20933</v>
      </c>
      <c r="H11809" s="2" t="s">
        <v>20934</v>
      </c>
    </row>
    <row r="11810" spans="1:8" ht="25.05" customHeight="1" x14ac:dyDescent="0.25">
      <c r="A11810" s="2" t="s">
        <v>8</v>
      </c>
      <c r="B11810" s="2" t="str">
        <f>HYPERLINK("http://ts.21cn.com/tousu/show/id/1342935","小通商城扣款")</f>
        <v>小通商城扣款</v>
      </c>
      <c r="C11810" s="2" t="s">
        <v>9</v>
      </c>
      <c r="D11810" s="2" t="s">
        <v>10</v>
      </c>
      <c r="E11810" s="2" t="str">
        <f>HYPERLINK("http://ts.21cn.com/tousu/show/id/1342935","http://ts.21cn.com/tousu/show/id/1342935")</f>
        <v>http://ts.21cn.com/tousu/show/id/1342935</v>
      </c>
      <c r="F11810" s="2" t="s">
        <v>11</v>
      </c>
      <c r="G11810" s="2" t="s">
        <v>20931</v>
      </c>
      <c r="H11810" s="2" t="s">
        <v>20932</v>
      </c>
    </row>
    <row r="11811" spans="1:8" ht="25.05" customHeight="1" x14ac:dyDescent="0.25">
      <c r="A11811" s="2" t="s">
        <v>8</v>
      </c>
      <c r="B11811" s="2" t="str">
        <f>HYPERLINK("http://ts.21cn.com/tousu/show/id/1343127","玖富万卡上借了六千，分两次借的，三十六期，这黑的，光是利息就快五千块钱，没办法只能找聚投诉了")</f>
        <v>玖富万卡上借了六千，分两次借的，三十六期，这黑的，光是利息就快五千块钱，没办法只能找聚投诉了</v>
      </c>
      <c r="C11811" s="2" t="s">
        <v>9</v>
      </c>
      <c r="D11811" s="2" t="s">
        <v>10</v>
      </c>
      <c r="E11811" s="2" t="str">
        <f>HYPERLINK("http://ts.21cn.com/tousu/show/id/1343127","http://ts.21cn.com/tousu/show/id/1343127")</f>
        <v>http://ts.21cn.com/tousu/show/id/1343127</v>
      </c>
      <c r="F11811" s="2" t="s">
        <v>11</v>
      </c>
      <c r="G11811" s="2" t="s">
        <v>20929</v>
      </c>
      <c r="H11811" s="2" t="s">
        <v>20930</v>
      </c>
    </row>
    <row r="11812" spans="1:8" ht="25.05" customHeight="1" x14ac:dyDescent="0.25">
      <c r="A11812" s="2" t="s">
        <v>8</v>
      </c>
      <c r="B11812" s="2" t="str">
        <f>HYPERLINK("http://ts.21cn.com/tousu/show/id/1343128","携趣网络技术上海有限公司乱扣费")</f>
        <v>携趣网络技术上海有限公司乱扣费</v>
      </c>
      <c r="C11812" s="2" t="s">
        <v>9</v>
      </c>
      <c r="D11812" s="2" t="s">
        <v>10</v>
      </c>
      <c r="E11812" s="2" t="str">
        <f>HYPERLINK("http://ts.21cn.com/tousu/show/id/1343128","http://ts.21cn.com/tousu/show/id/1343128")</f>
        <v>http://ts.21cn.com/tousu/show/id/1343128</v>
      </c>
      <c r="F11812" s="2" t="s">
        <v>11</v>
      </c>
      <c r="G11812" s="2" t="s">
        <v>20927</v>
      </c>
      <c r="H11812" s="2" t="s">
        <v>20928</v>
      </c>
    </row>
    <row r="11813" spans="1:8" ht="25.05" customHeight="1" x14ac:dyDescent="0.25">
      <c r="A11813" s="2" t="s">
        <v>8</v>
      </c>
      <c r="B11813" s="2" t="str">
        <f>HYPERLINK("http://ts.21cn.com/tousu/show/id/1343129","即有分期高利贷")</f>
        <v>即有分期高利贷</v>
      </c>
      <c r="C11813" s="2" t="s">
        <v>9</v>
      </c>
      <c r="D11813" s="2" t="s">
        <v>10</v>
      </c>
      <c r="E11813" s="2" t="str">
        <f>HYPERLINK("http://ts.21cn.com/tousu/show/id/1343129","http://ts.21cn.com/tousu/show/id/1343129")</f>
        <v>http://ts.21cn.com/tousu/show/id/1343129</v>
      </c>
      <c r="F11813" s="2" t="s">
        <v>11</v>
      </c>
      <c r="G11813" s="2" t="s">
        <v>20925</v>
      </c>
      <c r="H11813" s="2" t="s">
        <v>20926</v>
      </c>
    </row>
    <row r="11814" spans="1:8" ht="25.05" customHeight="1" x14ac:dyDescent="0.25">
      <c r="A11814" s="2" t="s">
        <v>8</v>
      </c>
      <c r="B11814" s="2" t="str">
        <f>HYPERLINK("http://ts.21cn.com/tousu/show/id/1343130","小红书自动续费年卡")</f>
        <v>小红书自动续费年卡</v>
      </c>
      <c r="C11814" s="2" t="s">
        <v>9</v>
      </c>
      <c r="D11814" s="2" t="s">
        <v>10</v>
      </c>
      <c r="E11814" s="2" t="str">
        <f>HYPERLINK("http://ts.21cn.com/tousu/show/id/1343130","http://ts.21cn.com/tousu/show/id/1343130")</f>
        <v>http://ts.21cn.com/tousu/show/id/1343130</v>
      </c>
      <c r="F11814" s="2" t="s">
        <v>11</v>
      </c>
      <c r="G11814" s="2" t="s">
        <v>20923</v>
      </c>
      <c r="H11814" s="2" t="s">
        <v>20924</v>
      </c>
    </row>
    <row r="11815" spans="1:8" ht="25.05" customHeight="1" x14ac:dyDescent="0.25">
      <c r="A11815" s="2" t="s">
        <v>8</v>
      </c>
      <c r="B11815" s="2" t="str">
        <f>HYPERLINK("http://ts.21cn.com/tousu/show/id/1343131","恶意催收")</f>
        <v>恶意催收</v>
      </c>
      <c r="C11815" s="2" t="s">
        <v>9</v>
      </c>
      <c r="D11815" s="2" t="s">
        <v>10</v>
      </c>
      <c r="E11815" s="2" t="str">
        <f>HYPERLINK("http://ts.21cn.com/tousu/show/id/1343131","http://ts.21cn.com/tousu/show/id/1343131")</f>
        <v>http://ts.21cn.com/tousu/show/id/1343131</v>
      </c>
      <c r="F11815" s="2" t="s">
        <v>11</v>
      </c>
      <c r="G11815" s="2" t="s">
        <v>20921</v>
      </c>
      <c r="H11815" s="2" t="s">
        <v>20922</v>
      </c>
    </row>
    <row r="11816" spans="1:8" ht="25.05" customHeight="1" x14ac:dyDescent="0.25">
      <c r="A11816" s="2" t="s">
        <v>8</v>
      </c>
      <c r="B11816" s="2" t="str">
        <f>HYPERLINK("http://ts.21cn.com/tousu/show/id/1343132","中信信用卡越还越多圆梦金利息也非常高的吓人。")</f>
        <v>中信信用卡越还越多圆梦金利息也非常高的吓人。</v>
      </c>
      <c r="C11816" s="2" t="s">
        <v>9</v>
      </c>
      <c r="D11816" s="2" t="s">
        <v>10</v>
      </c>
      <c r="E11816" s="2" t="str">
        <f>HYPERLINK("http://ts.21cn.com/tousu/show/id/1343132","http://ts.21cn.com/tousu/show/id/1343132")</f>
        <v>http://ts.21cn.com/tousu/show/id/1343132</v>
      </c>
      <c r="F11816" s="2" t="s">
        <v>11</v>
      </c>
      <c r="G11816" s="2" t="s">
        <v>20919</v>
      </c>
      <c r="H11816" s="2" t="s">
        <v>20920</v>
      </c>
    </row>
    <row r="11817" spans="1:8" ht="25.05" customHeight="1" x14ac:dyDescent="0.25">
      <c r="A11817" s="2" t="s">
        <v>8</v>
      </c>
      <c r="B11817" s="2" t="str">
        <f>HYPERLINK("http://ts.21cn.com/tousu/show/id/1343134","钱站肆意获取用户淘宝联系人信息并暴力催收")</f>
        <v>钱站肆意获取用户淘宝联系人信息并暴力催收</v>
      </c>
      <c r="C11817" s="2" t="s">
        <v>9</v>
      </c>
      <c r="D11817" s="2" t="s">
        <v>10</v>
      </c>
      <c r="E11817" s="2" t="str">
        <f>HYPERLINK("http://ts.21cn.com/tousu/show/id/1343134","http://ts.21cn.com/tousu/show/id/1343134")</f>
        <v>http://ts.21cn.com/tousu/show/id/1343134</v>
      </c>
      <c r="F11817" s="2" t="s">
        <v>11</v>
      </c>
      <c r="G11817" s="2" t="s">
        <v>20917</v>
      </c>
      <c r="H11817" s="2" t="s">
        <v>20918</v>
      </c>
    </row>
    <row r="11818" spans="1:8" ht="25.05" customHeight="1" x14ac:dyDescent="0.25">
      <c r="A11818" s="2" t="s">
        <v>8</v>
      </c>
      <c r="B11818" s="2" t="str">
        <f>HYPERLINK("http://ts.21cn.com/tousu/show/id/1343135","拼多多违反广告法")</f>
        <v>拼多多违反广告法</v>
      </c>
      <c r="C11818" s="2" t="s">
        <v>9</v>
      </c>
      <c r="D11818" s="2" t="s">
        <v>10</v>
      </c>
      <c r="E11818" s="2" t="str">
        <f>HYPERLINK("http://ts.21cn.com/tousu/show/id/1343135","http://ts.21cn.com/tousu/show/id/1343135")</f>
        <v>http://ts.21cn.com/tousu/show/id/1343135</v>
      </c>
      <c r="F11818" s="2" t="s">
        <v>11</v>
      </c>
      <c r="G11818" s="2" t="s">
        <v>20915</v>
      </c>
      <c r="H11818" s="2" t="s">
        <v>20916</v>
      </c>
    </row>
    <row r="11819" spans="1:8" ht="25.05" customHeight="1" x14ac:dyDescent="0.25">
      <c r="A11819" s="2" t="s">
        <v>8</v>
      </c>
      <c r="B11819" s="2" t="str">
        <f>HYPERLINK("http://ts.21cn.com/tousu/show/id/1343136","立刻出现的押金退不出来")</f>
        <v>立刻出现的押金退不出来</v>
      </c>
      <c r="C11819" s="2" t="s">
        <v>9</v>
      </c>
      <c r="D11819" s="2" t="s">
        <v>10</v>
      </c>
      <c r="E11819" s="2" t="str">
        <f>HYPERLINK("http://ts.21cn.com/tousu/show/id/1343136","http://ts.21cn.com/tousu/show/id/1343136")</f>
        <v>http://ts.21cn.com/tousu/show/id/1343136</v>
      </c>
      <c r="F11819" s="2" t="s">
        <v>11</v>
      </c>
      <c r="G11819" s="2" t="s">
        <v>20913</v>
      </c>
      <c r="H11819" s="2" t="s">
        <v>20914</v>
      </c>
    </row>
    <row r="11820" spans="1:8" ht="25.05" customHeight="1" x14ac:dyDescent="0.25">
      <c r="A11820" s="2" t="s">
        <v>8</v>
      </c>
      <c r="B11820" s="2" t="str">
        <f>HYPERLINK("http://ts.21cn.com/tousu/show/id/1343137","东方融资网未办理贷款，拒退服务费！")</f>
        <v>东方融资网未办理贷款，拒退服务费！</v>
      </c>
      <c r="C11820" s="2" t="s">
        <v>9</v>
      </c>
      <c r="D11820" s="2" t="s">
        <v>10</v>
      </c>
      <c r="E11820" s="2" t="str">
        <f>HYPERLINK("http://ts.21cn.com/tousu/show/id/1343137","http://ts.21cn.com/tousu/show/id/1343137")</f>
        <v>http://ts.21cn.com/tousu/show/id/1343137</v>
      </c>
      <c r="F11820" s="2" t="s">
        <v>11</v>
      </c>
      <c r="G11820" s="2" t="s">
        <v>20911</v>
      </c>
      <c r="H11820" s="2" t="s">
        <v>20912</v>
      </c>
    </row>
    <row r="11821" spans="1:8" ht="25.05" customHeight="1" x14ac:dyDescent="0.25">
      <c r="A11821" s="2" t="s">
        <v>8</v>
      </c>
      <c r="B11821" s="2" t="str">
        <f>HYPERLINK("http://ts.21cn.com/tousu/show/id/1343138","钱站高利贷阴阳合同")</f>
        <v>钱站高利贷阴阳合同</v>
      </c>
      <c r="C11821" s="2" t="s">
        <v>9</v>
      </c>
      <c r="D11821" s="2" t="s">
        <v>10</v>
      </c>
      <c r="E11821" s="2" t="str">
        <f>HYPERLINK("http://ts.21cn.com/tousu/show/id/1343138","http://ts.21cn.com/tousu/show/id/1343138")</f>
        <v>http://ts.21cn.com/tousu/show/id/1343138</v>
      </c>
      <c r="F11821" s="2" t="s">
        <v>11</v>
      </c>
      <c r="G11821" s="2" t="s">
        <v>20909</v>
      </c>
      <c r="H11821" s="2" t="s">
        <v>20910</v>
      </c>
    </row>
    <row r="11822" spans="1:8" ht="25.05" customHeight="1" x14ac:dyDescent="0.25">
      <c r="A11822" s="2" t="s">
        <v>8</v>
      </c>
      <c r="B11822" s="2" t="str">
        <f>HYPERLINK("http://ts.21cn.com/tousu/show/id/1343139","充值会员付款后根本不能用 一直让充值")</f>
        <v>充值会员付款后根本不能用 一直让充值</v>
      </c>
      <c r="C11822" s="2" t="s">
        <v>34</v>
      </c>
      <c r="D11822" s="2" t="s">
        <v>10</v>
      </c>
      <c r="E11822" s="2" t="str">
        <f>HYPERLINK("http://ts.21cn.com/tousu/show/id/1343139","http://ts.21cn.com/tousu/show/id/1343139")</f>
        <v>http://ts.21cn.com/tousu/show/id/1343139</v>
      </c>
      <c r="F11822" s="2" t="s">
        <v>11</v>
      </c>
      <c r="G11822" s="2" t="s">
        <v>20907</v>
      </c>
      <c r="H11822" s="2" t="s">
        <v>20908</v>
      </c>
    </row>
    <row r="11823" spans="1:8" ht="25.05" customHeight="1" x14ac:dyDescent="0.25">
      <c r="A11823" s="2" t="s">
        <v>8</v>
      </c>
      <c r="B11823" s="2" t="str">
        <f>HYPERLINK("http://ts.21cn.com/tousu/show/id/1343140","不合法高利")</f>
        <v>不合法高利</v>
      </c>
      <c r="C11823" s="2" t="s">
        <v>9</v>
      </c>
      <c r="D11823" s="2" t="s">
        <v>10</v>
      </c>
      <c r="E11823" s="2" t="str">
        <f>HYPERLINK("http://ts.21cn.com/tousu/show/id/1343140","http://ts.21cn.com/tousu/show/id/1343140")</f>
        <v>http://ts.21cn.com/tousu/show/id/1343140</v>
      </c>
      <c r="F11823" s="2" t="s">
        <v>11</v>
      </c>
      <c r="G11823" s="2" t="s">
        <v>20905</v>
      </c>
      <c r="H11823" s="2" t="s">
        <v>20906</v>
      </c>
    </row>
    <row r="11824" spans="1:8" ht="25.05" customHeight="1" x14ac:dyDescent="0.25">
      <c r="A11824" s="2" t="s">
        <v>8</v>
      </c>
      <c r="B11824" s="2" t="str">
        <f>HYPERLINK("http://ts.21cn.com/tousu/show/id/1343141","高利贷砍头息")</f>
        <v>高利贷砍头息</v>
      </c>
      <c r="C11824" s="2" t="s">
        <v>9</v>
      </c>
      <c r="D11824" s="2" t="s">
        <v>10</v>
      </c>
      <c r="E11824" s="2" t="str">
        <f>HYPERLINK("http://ts.21cn.com/tousu/show/id/1343141","http://ts.21cn.com/tousu/show/id/1343141")</f>
        <v>http://ts.21cn.com/tousu/show/id/1343141</v>
      </c>
      <c r="F11824" s="2" t="s">
        <v>11</v>
      </c>
      <c r="G11824" s="2" t="s">
        <v>20903</v>
      </c>
      <c r="H11824" s="2" t="s">
        <v>20904</v>
      </c>
    </row>
    <row r="11825" spans="1:8" ht="25.05" customHeight="1" x14ac:dyDescent="0.25">
      <c r="A11825" s="2" t="s">
        <v>8</v>
      </c>
      <c r="B11825" s="2" t="str">
        <f>HYPERLINK("http://ts.21cn.com/tousu/show/id/1343143","诱导欺诈消费")</f>
        <v>诱导欺诈消费</v>
      </c>
      <c r="C11825" s="2" t="s">
        <v>9</v>
      </c>
      <c r="D11825" s="2" t="s">
        <v>10</v>
      </c>
      <c r="E11825" s="2" t="str">
        <f>HYPERLINK("http://ts.21cn.com/tousu/show/id/1343143","http://ts.21cn.com/tousu/show/id/1343143")</f>
        <v>http://ts.21cn.com/tousu/show/id/1343143</v>
      </c>
      <c r="F11825" s="2" t="s">
        <v>11</v>
      </c>
      <c r="G11825" s="2" t="s">
        <v>20901</v>
      </c>
      <c r="H11825" s="2" t="s">
        <v>20902</v>
      </c>
    </row>
    <row r="11826" spans="1:8" ht="25.05" customHeight="1" x14ac:dyDescent="0.25">
      <c r="A11826" s="2" t="s">
        <v>8</v>
      </c>
      <c r="B11826" s="2" t="str">
        <f>HYPERLINK("http://ts.21cn.com/tousu/show/id/1343142","申信用钱包没下款，还款账单出来了。")</f>
        <v>申信用钱包没下款，还款账单出来了。</v>
      </c>
      <c r="C11826" s="2" t="s">
        <v>9</v>
      </c>
      <c r="D11826" s="2" t="s">
        <v>10</v>
      </c>
      <c r="E11826" s="2" t="str">
        <f>HYPERLINK("http://ts.21cn.com/tousu/show/id/1343142","http://ts.21cn.com/tousu/show/id/1343142")</f>
        <v>http://ts.21cn.com/tousu/show/id/1343142</v>
      </c>
      <c r="F11826" s="2" t="s">
        <v>11</v>
      </c>
      <c r="G11826" s="2" t="s">
        <v>20899</v>
      </c>
      <c r="H11826" s="2" t="s">
        <v>20900</v>
      </c>
    </row>
    <row r="11827" spans="1:8" ht="25.05" customHeight="1" x14ac:dyDescent="0.25">
      <c r="A11827" s="2" t="s">
        <v>8</v>
      </c>
      <c r="B11827" s="2" t="str">
        <f>HYPERLINK("http://ts.21cn.com/tousu/show/id/1343144","借款105006期还17640")</f>
        <v>借款105006期还17640</v>
      </c>
      <c r="C11827" s="2" t="s">
        <v>9</v>
      </c>
      <c r="D11827" s="2" t="s">
        <v>10</v>
      </c>
      <c r="E11827" s="2" t="str">
        <f>HYPERLINK("http://ts.21cn.com/tousu/show/id/1343144","http://ts.21cn.com/tousu/show/id/1343144")</f>
        <v>http://ts.21cn.com/tousu/show/id/1343144</v>
      </c>
      <c r="F11827" s="2" t="s">
        <v>11</v>
      </c>
      <c r="G11827" s="2" t="s">
        <v>20897</v>
      </c>
      <c r="H11827" s="2" t="s">
        <v>20898</v>
      </c>
    </row>
    <row r="11828" spans="1:8" ht="25.05" customHeight="1" x14ac:dyDescent="0.25">
      <c r="A11828" s="2" t="s">
        <v>8</v>
      </c>
      <c r="B11828" s="2" t="str">
        <f>HYPERLINK("http://ts.21cn.com/tousu/show/id/1343145","自由魔卡信用计划砍头息")</f>
        <v>自由魔卡信用计划砍头息</v>
      </c>
      <c r="C11828" s="2" t="s">
        <v>9</v>
      </c>
      <c r="D11828" s="2" t="s">
        <v>10</v>
      </c>
      <c r="E11828" s="2" t="str">
        <f>HYPERLINK("http://ts.21cn.com/tousu/show/id/1343145","http://ts.21cn.com/tousu/show/id/1343145")</f>
        <v>http://ts.21cn.com/tousu/show/id/1343145</v>
      </c>
      <c r="F11828" s="2" t="s">
        <v>11</v>
      </c>
      <c r="G11828" s="2" t="s">
        <v>20895</v>
      </c>
      <c r="H11828" s="2" t="s">
        <v>20896</v>
      </c>
    </row>
    <row r="11829" spans="1:8" ht="25.05" customHeight="1" x14ac:dyDescent="0.25">
      <c r="A11829" s="2" t="s">
        <v>8</v>
      </c>
      <c r="B11829" s="2" t="str">
        <f>HYPERLINK("http://ts.21cn.com/tousu/show/id/1343147","现金巴士高额砍头息")</f>
        <v>现金巴士高额砍头息</v>
      </c>
      <c r="C11829" s="2" t="s">
        <v>34</v>
      </c>
      <c r="D11829" s="2" t="s">
        <v>10</v>
      </c>
      <c r="E11829" s="2" t="str">
        <f>HYPERLINK("http://ts.21cn.com/tousu/show/id/1343147","http://ts.21cn.com/tousu/show/id/1343147")</f>
        <v>http://ts.21cn.com/tousu/show/id/1343147</v>
      </c>
      <c r="F11829" s="2" t="s">
        <v>11</v>
      </c>
      <c r="G11829" s="2" t="s">
        <v>20893</v>
      </c>
      <c r="H11829" s="2" t="s">
        <v>20894</v>
      </c>
    </row>
    <row r="11830" spans="1:8" ht="25.05" customHeight="1" x14ac:dyDescent="0.25">
      <c r="A11830" s="2" t="s">
        <v>8</v>
      </c>
      <c r="B11830" s="2" t="str">
        <f>HYPERLINK("http://ts.21cn.com/tousu/show/id/1339981","中信银行催收短信、电话不断，已严重警影响正常生活。")</f>
        <v>中信银行催收短信、电话不断，已严重警影响正常生活。</v>
      </c>
      <c r="C11830" s="2" t="s">
        <v>9</v>
      </c>
      <c r="D11830" s="2" t="s">
        <v>10</v>
      </c>
      <c r="E11830" s="2" t="str">
        <f>HYPERLINK("http://ts.21cn.com/tousu/show/id/1339981","http://ts.21cn.com/tousu/show/id/1339981")</f>
        <v>http://ts.21cn.com/tousu/show/id/1339981</v>
      </c>
      <c r="F11830" s="2" t="s">
        <v>11</v>
      </c>
      <c r="G11830" s="2" t="s">
        <v>20891</v>
      </c>
      <c r="H11830" s="2" t="s">
        <v>20892</v>
      </c>
    </row>
    <row r="11831" spans="1:8" ht="25.05" customHeight="1" x14ac:dyDescent="0.25">
      <c r="A11831" s="2" t="s">
        <v>8</v>
      </c>
      <c r="B11831" s="2" t="str">
        <f>HYPERLINK("http://ts.21cn.com/tousu/show/id/1343148","钱站高利贷阴阳合同")</f>
        <v>钱站高利贷阴阳合同</v>
      </c>
      <c r="C11831" s="2" t="s">
        <v>9</v>
      </c>
      <c r="D11831" s="2" t="s">
        <v>10</v>
      </c>
      <c r="E11831" s="2" t="str">
        <f>HYPERLINK("http://ts.21cn.com/tousu/show/id/1343148","http://ts.21cn.com/tousu/show/id/1343148")</f>
        <v>http://ts.21cn.com/tousu/show/id/1343148</v>
      </c>
      <c r="F11831" s="2" t="s">
        <v>11</v>
      </c>
      <c r="G11831" s="2" t="s">
        <v>20889</v>
      </c>
      <c r="H11831" s="2" t="s">
        <v>20890</v>
      </c>
    </row>
    <row r="11832" spans="1:8" ht="25.05" customHeight="1" x14ac:dyDescent="0.25">
      <c r="A11832" s="2" t="s">
        <v>8</v>
      </c>
      <c r="B11832" s="2" t="str">
        <f>HYPERLINK("http://ts.21cn.com/tousu/show/id/1343149","高利贷，电话骚扰，威胁恐吓，高炮贷")</f>
        <v>高利贷，电话骚扰，威胁恐吓，高炮贷</v>
      </c>
      <c r="C11832" s="2" t="s">
        <v>9</v>
      </c>
      <c r="D11832" s="2" t="s">
        <v>10</v>
      </c>
      <c r="E11832" s="2" t="str">
        <f>HYPERLINK("http://ts.21cn.com/tousu/show/id/1343149","http://ts.21cn.com/tousu/show/id/1343149")</f>
        <v>http://ts.21cn.com/tousu/show/id/1343149</v>
      </c>
      <c r="F11832" s="2" t="s">
        <v>11</v>
      </c>
      <c r="G11832" s="2" t="s">
        <v>20886</v>
      </c>
      <c r="H11832" s="2" t="s">
        <v>20887</v>
      </c>
    </row>
    <row r="11833" spans="1:8" ht="25.05" customHeight="1" x14ac:dyDescent="0.25">
      <c r="A11833" s="2" t="s">
        <v>8</v>
      </c>
      <c r="B11833" s="2" t="str">
        <f>HYPERLINK("http://ts.21cn.com/tousu/show/id/1343150","要求只偿还本金")</f>
        <v>要求只偿还本金</v>
      </c>
      <c r="C11833" s="2" t="s">
        <v>34</v>
      </c>
      <c r="D11833" s="2" t="s">
        <v>10</v>
      </c>
      <c r="E11833" s="2" t="str">
        <f>HYPERLINK("http://ts.21cn.com/tousu/show/id/1343150","http://ts.21cn.com/tousu/show/id/1343150")</f>
        <v>http://ts.21cn.com/tousu/show/id/1343150</v>
      </c>
      <c r="F11833" s="2" t="s">
        <v>11</v>
      </c>
      <c r="G11833" s="2" t="s">
        <v>20886</v>
      </c>
      <c r="H11833" s="2" t="s">
        <v>20888</v>
      </c>
    </row>
    <row r="11834" spans="1:8" ht="25.05" customHeight="1" x14ac:dyDescent="0.25">
      <c r="A11834" s="2" t="s">
        <v>8</v>
      </c>
      <c r="B11834" s="2" t="str">
        <f>HYPERLINK("http://ts.21cn.com/tousu/show/id/1343151","QQ上面赌博群太多了")</f>
        <v>QQ上面赌博群太多了</v>
      </c>
      <c r="C11834" s="2" t="s">
        <v>9</v>
      </c>
      <c r="D11834" s="2" t="s">
        <v>10</v>
      </c>
      <c r="E11834" s="2" t="str">
        <f>HYPERLINK("http://ts.21cn.com/tousu/show/id/1343151","http://ts.21cn.com/tousu/show/id/1343151")</f>
        <v>http://ts.21cn.com/tousu/show/id/1343151</v>
      </c>
      <c r="F11834" s="2" t="s">
        <v>11</v>
      </c>
      <c r="G11834" s="2" t="s">
        <v>20884</v>
      </c>
      <c r="H11834" s="2" t="s">
        <v>20885</v>
      </c>
    </row>
    <row r="11835" spans="1:8" ht="25.05" customHeight="1" x14ac:dyDescent="0.25">
      <c r="A11835" s="2" t="s">
        <v>8</v>
      </c>
      <c r="B11835" s="2" t="str">
        <f>HYPERLINK("http://ts.21cn.com/tousu/show/id/1343152","转转集体投诉专题")</f>
        <v>转转集体投诉专题</v>
      </c>
      <c r="C11835" s="2" t="s">
        <v>9</v>
      </c>
      <c r="D11835" s="2" t="s">
        <v>10</v>
      </c>
      <c r="E11835" s="2" t="str">
        <f>HYPERLINK("http://ts.21cn.com/tousu/show/id/1343152","http://ts.21cn.com/tousu/show/id/1343152")</f>
        <v>http://ts.21cn.com/tousu/show/id/1343152</v>
      </c>
      <c r="F11835" s="2" t="s">
        <v>11</v>
      </c>
      <c r="G11835" s="2" t="s">
        <v>20882</v>
      </c>
      <c r="H11835" s="2" t="s">
        <v>20883</v>
      </c>
    </row>
    <row r="11836" spans="1:8" ht="25.05" customHeight="1" x14ac:dyDescent="0.25">
      <c r="A11836" s="2" t="s">
        <v>8</v>
      </c>
      <c r="B11836" s="2" t="str">
        <f>HYPERLINK("http://ts.21cn.com/tousu/show/id/1343153","平安普惠每天催收电话不断！短信不断！工作人员加微信还要客户以贷养贷")</f>
        <v>平安普惠每天催收电话不断！短信不断！工作人员加微信还要客户以贷养贷</v>
      </c>
      <c r="C11836" s="2" t="s">
        <v>9</v>
      </c>
      <c r="D11836" s="2" t="s">
        <v>10</v>
      </c>
      <c r="E11836" s="2" t="str">
        <f>HYPERLINK("http://ts.21cn.com/tousu/show/id/1343153","http://ts.21cn.com/tousu/show/id/1343153")</f>
        <v>http://ts.21cn.com/tousu/show/id/1343153</v>
      </c>
      <c r="F11836" s="2" t="s">
        <v>11</v>
      </c>
      <c r="G11836" s="2" t="s">
        <v>20880</v>
      </c>
      <c r="H11836" s="2" t="s">
        <v>20881</v>
      </c>
    </row>
    <row r="11837" spans="1:8" ht="25.05" customHeight="1" x14ac:dyDescent="0.25">
      <c r="A11837" s="2" t="s">
        <v>8</v>
      </c>
      <c r="B11837" s="2" t="str">
        <f>HYPERLINK("http://ts.21cn.com/tousu/show/id/1343154","利息过高，电话骚扰，暴力催收")</f>
        <v>利息过高，电话骚扰，暴力催收</v>
      </c>
      <c r="C11837" s="2" t="s">
        <v>9</v>
      </c>
      <c r="D11837" s="2" t="s">
        <v>10</v>
      </c>
      <c r="E11837" s="2" t="str">
        <f>HYPERLINK("http://ts.21cn.com/tousu/show/id/1343154","http://ts.21cn.com/tousu/show/id/1343154")</f>
        <v>http://ts.21cn.com/tousu/show/id/1343154</v>
      </c>
      <c r="F11837" s="2" t="s">
        <v>11</v>
      </c>
      <c r="G11837" s="2" t="s">
        <v>20878</v>
      </c>
      <c r="H11837" s="2" t="s">
        <v>20879</v>
      </c>
    </row>
    <row r="11838" spans="1:8" ht="25.05" customHeight="1" x14ac:dyDescent="0.25">
      <c r="A11838" s="2" t="s">
        <v>8</v>
      </c>
      <c r="B11838" s="2" t="str">
        <f>HYPERLINK("http://ts.21cn.com/tousu/show/id/1343155","京东keep旗舰店质量问题")</f>
        <v>京东keep旗舰店质量问题</v>
      </c>
      <c r="C11838" s="2" t="s">
        <v>9</v>
      </c>
      <c r="D11838" s="2" t="s">
        <v>10</v>
      </c>
      <c r="E11838" s="2" t="str">
        <f>HYPERLINK("http://ts.21cn.com/tousu/show/id/1343155","http://ts.21cn.com/tousu/show/id/1343155")</f>
        <v>http://ts.21cn.com/tousu/show/id/1343155</v>
      </c>
      <c r="F11838" s="2" t="s">
        <v>11</v>
      </c>
      <c r="G11838" s="2" t="s">
        <v>20876</v>
      </c>
      <c r="H11838" s="2" t="s">
        <v>20877</v>
      </c>
    </row>
    <row r="11839" spans="1:8" ht="25.05" customHeight="1" x14ac:dyDescent="0.25">
      <c r="A11839" s="2" t="s">
        <v>8</v>
      </c>
      <c r="B11839" s="2" t="str">
        <f>HYPERLINK("http://ts.21cn.com/tousu/show/id/1343156","瞎扣费")</f>
        <v>瞎扣费</v>
      </c>
      <c r="C11839" s="2" t="s">
        <v>9</v>
      </c>
      <c r="D11839" s="2" t="s">
        <v>10</v>
      </c>
      <c r="E11839" s="2" t="str">
        <f>HYPERLINK("http://ts.21cn.com/tousu/show/id/1343156","http://ts.21cn.com/tousu/show/id/1343156")</f>
        <v>http://ts.21cn.com/tousu/show/id/1343156</v>
      </c>
      <c r="F11839" s="2" t="s">
        <v>11</v>
      </c>
      <c r="G11839" s="2" t="s">
        <v>20874</v>
      </c>
      <c r="H11839" s="2" t="s">
        <v>20875</v>
      </c>
    </row>
    <row r="11840" spans="1:8" ht="25.05" customHeight="1" x14ac:dyDescent="0.25">
      <c r="A11840" s="2" t="s">
        <v>8</v>
      </c>
      <c r="B11840" s="2" t="str">
        <f>HYPERLINK("http://ts.21cn.com/tousu/show/id/1343157","违规为非法商户提供结算")</f>
        <v>违规为非法商户提供结算</v>
      </c>
      <c r="C11840" s="2" t="s">
        <v>9</v>
      </c>
      <c r="D11840" s="2" t="s">
        <v>10</v>
      </c>
      <c r="E11840" s="2" t="str">
        <f>HYPERLINK("http://ts.21cn.com/tousu/show/id/1343157","http://ts.21cn.com/tousu/show/id/1343157")</f>
        <v>http://ts.21cn.com/tousu/show/id/1343157</v>
      </c>
      <c r="F11840" s="2" t="s">
        <v>11</v>
      </c>
      <c r="G11840" s="2" t="s">
        <v>20872</v>
      </c>
      <c r="H11840" s="2" t="s">
        <v>20873</v>
      </c>
    </row>
    <row r="11841" spans="1:8" ht="25.05" customHeight="1" x14ac:dyDescent="0.25">
      <c r="A11841" s="2" t="s">
        <v>8</v>
      </c>
      <c r="B11841" s="2" t="str">
        <f>HYPERLINK("http://ts.21cn.com/tousu/show/id/1343158","分期还呗短信骚扰，诱导借款714，窃取个人信息")</f>
        <v>分期还呗短信骚扰，诱导借款714，窃取个人信息</v>
      </c>
      <c r="C11841" s="2" t="s">
        <v>9</v>
      </c>
      <c r="D11841" s="2" t="s">
        <v>10</v>
      </c>
      <c r="E11841" s="2" t="str">
        <f>HYPERLINK("http://ts.21cn.com/tousu/show/id/1343158","http://ts.21cn.com/tousu/show/id/1343158")</f>
        <v>http://ts.21cn.com/tousu/show/id/1343158</v>
      </c>
      <c r="F11841" s="2" t="s">
        <v>11</v>
      </c>
      <c r="G11841" s="2" t="s">
        <v>20870</v>
      </c>
      <c r="H11841" s="2" t="s">
        <v>20871</v>
      </c>
    </row>
    <row r="11842" spans="1:8" ht="25.05" customHeight="1" x14ac:dyDescent="0.25">
      <c r="A11842" s="2" t="s">
        <v>8</v>
      </c>
      <c r="B11842" s="2" t="str">
        <f>HYPERLINK("http://ts.21cn.com/tousu/show/id/1343159","借15000可合同上是19000")</f>
        <v>借15000可合同上是19000</v>
      </c>
      <c r="C11842" s="2" t="s">
        <v>34</v>
      </c>
      <c r="D11842" s="2" t="s">
        <v>10</v>
      </c>
      <c r="E11842" s="2" t="str">
        <f>HYPERLINK("http://ts.21cn.com/tousu/show/id/1343159","http://ts.21cn.com/tousu/show/id/1343159")</f>
        <v>http://ts.21cn.com/tousu/show/id/1343159</v>
      </c>
      <c r="F11842" s="2" t="s">
        <v>11</v>
      </c>
      <c r="G11842" s="2" t="s">
        <v>20868</v>
      </c>
      <c r="H11842" s="2" t="s">
        <v>20869</v>
      </c>
    </row>
    <row r="11843" spans="1:8" ht="25.05" customHeight="1" x14ac:dyDescent="0.25">
      <c r="A11843" s="2" t="s">
        <v>8</v>
      </c>
      <c r="B11843" s="2" t="str">
        <f>HYPERLINK("http://ts.21cn.com/tousu/show/id/1343160","证大财富每天电话不断短信不断，已严重影响其正常生活")</f>
        <v>证大财富每天电话不断短信不断，已严重影响其正常生活</v>
      </c>
      <c r="C11843" s="2" t="s">
        <v>9</v>
      </c>
      <c r="D11843" s="2" t="s">
        <v>10</v>
      </c>
      <c r="E11843" s="2" t="str">
        <f>HYPERLINK("http://ts.21cn.com/tousu/show/id/1343160","http://ts.21cn.com/tousu/show/id/1343160")</f>
        <v>http://ts.21cn.com/tousu/show/id/1343160</v>
      </c>
      <c r="F11843" s="2" t="s">
        <v>11</v>
      </c>
      <c r="G11843" s="2" t="s">
        <v>20866</v>
      </c>
      <c r="H11843" s="2" t="s">
        <v>20867</v>
      </c>
    </row>
    <row r="11844" spans="1:8" ht="25.05" customHeight="1" x14ac:dyDescent="0.25">
      <c r="A11844" s="2" t="s">
        <v>8</v>
      </c>
      <c r="B11844" s="2" t="str">
        <f>HYPERLINK("http://ts.21cn.com/tousu/show/id/1343161","捷信金融利息过高")</f>
        <v>捷信金融利息过高</v>
      </c>
      <c r="C11844" s="2" t="s">
        <v>9</v>
      </c>
      <c r="D11844" s="2" t="s">
        <v>10</v>
      </c>
      <c r="E11844" s="2" t="str">
        <f>HYPERLINK("http://ts.21cn.com/tousu/show/id/1343161","http://ts.21cn.com/tousu/show/id/1343161")</f>
        <v>http://ts.21cn.com/tousu/show/id/1343161</v>
      </c>
      <c r="F11844" s="2" t="s">
        <v>11</v>
      </c>
      <c r="G11844" s="2" t="s">
        <v>20864</v>
      </c>
      <c r="H11844" s="2" t="s">
        <v>20865</v>
      </c>
    </row>
    <row r="11845" spans="1:8" ht="25.05" customHeight="1" x14ac:dyDescent="0.25">
      <c r="A11845" s="2" t="s">
        <v>8</v>
      </c>
      <c r="B11845" s="2" t="str">
        <f>HYPERLINK("http://ts.21cn.com/tousu/show/id/1343163","快易花每天电话不断，已经严重影响生活")</f>
        <v>快易花每天电话不断，已经严重影响生活</v>
      </c>
      <c r="C11845" s="2" t="s">
        <v>9</v>
      </c>
      <c r="D11845" s="2" t="s">
        <v>10</v>
      </c>
      <c r="E11845" s="2" t="str">
        <f>HYPERLINK("http://ts.21cn.com/tousu/show/id/1343163","http://ts.21cn.com/tousu/show/id/1343163")</f>
        <v>http://ts.21cn.com/tousu/show/id/1343163</v>
      </c>
      <c r="F11845" s="2" t="s">
        <v>11</v>
      </c>
      <c r="G11845" s="2" t="s">
        <v>20862</v>
      </c>
      <c r="H11845" s="2" t="s">
        <v>20863</v>
      </c>
    </row>
    <row r="11846" spans="1:8" ht="25.05" customHeight="1" x14ac:dyDescent="0.25">
      <c r="A11846" s="2" t="s">
        <v>8</v>
      </c>
      <c r="B11846" s="2" t="str">
        <f>HYPERLINK("http://ts.21cn.com/tousu/show/id/1343164","我一个产品，卖都没卖过，直接宣布售假，然后我第一提交申诉不过，打电话给小二，小二让我去香港认证，认证完也不让通过")</f>
        <v>我一个产品，卖都没卖过，直接宣布售假，然后我第一提交申诉不过，打电话给小二，小二让我去香港认证，认证完也不让通过</v>
      </c>
      <c r="C11846" s="2" t="s">
        <v>9</v>
      </c>
      <c r="D11846" s="2" t="s">
        <v>10</v>
      </c>
      <c r="E11846" s="2" t="str">
        <f>HYPERLINK("http://ts.21cn.com/tousu/show/id/1343164","http://ts.21cn.com/tousu/show/id/1343164")</f>
        <v>http://ts.21cn.com/tousu/show/id/1343164</v>
      </c>
      <c r="F11846" s="2" t="s">
        <v>11</v>
      </c>
      <c r="G11846" s="2" t="s">
        <v>20860</v>
      </c>
      <c r="H11846" s="2" t="s">
        <v>20861</v>
      </c>
    </row>
    <row r="11847" spans="1:8" ht="25.05" customHeight="1" x14ac:dyDescent="0.25">
      <c r="A11847" s="2" t="s">
        <v>8</v>
      </c>
      <c r="B11847" s="2" t="str">
        <f>HYPERLINK("http://ts.21cn.com/tousu/show/id/1343165","51人品贷提前还款仍然要收取高额的服务费")</f>
        <v>51人品贷提前还款仍然要收取高额的服务费</v>
      </c>
      <c r="C11847" s="2" t="s">
        <v>9</v>
      </c>
      <c r="D11847" s="2" t="s">
        <v>10</v>
      </c>
      <c r="E11847" s="2" t="str">
        <f>HYPERLINK("http://ts.21cn.com/tousu/show/id/1343165","http://ts.21cn.com/tousu/show/id/1343165")</f>
        <v>http://ts.21cn.com/tousu/show/id/1343165</v>
      </c>
      <c r="F11847" s="2" t="s">
        <v>11</v>
      </c>
      <c r="G11847" s="2" t="s">
        <v>20858</v>
      </c>
      <c r="H11847" s="2" t="s">
        <v>20859</v>
      </c>
    </row>
    <row r="11848" spans="1:8" ht="25.05" customHeight="1" x14ac:dyDescent="0.25">
      <c r="A11848" s="2" t="s">
        <v>8</v>
      </c>
      <c r="B11848" s="2" t="str">
        <f>HYPERLINK("http://ts.21cn.com/tousu/show/id/1343166","佰仟金融态度恶劣")</f>
        <v>佰仟金融态度恶劣</v>
      </c>
      <c r="C11848" s="2" t="s">
        <v>9</v>
      </c>
      <c r="D11848" s="2" t="s">
        <v>10</v>
      </c>
      <c r="E11848" s="2" t="str">
        <f>HYPERLINK("http://ts.21cn.com/tousu/show/id/1343166","http://ts.21cn.com/tousu/show/id/1343166")</f>
        <v>http://ts.21cn.com/tousu/show/id/1343166</v>
      </c>
      <c r="F11848" s="2" t="s">
        <v>11</v>
      </c>
      <c r="G11848" s="2" t="s">
        <v>20856</v>
      </c>
      <c r="H11848" s="2" t="s">
        <v>20857</v>
      </c>
    </row>
    <row r="11849" spans="1:8" ht="25.05" customHeight="1" x14ac:dyDescent="0.25">
      <c r="A11849" s="2" t="s">
        <v>8</v>
      </c>
      <c r="B11849" s="2" t="str">
        <f>HYPERLINK("http://ts.21cn.com/tousu/show/id/1343167","玖富万卡催收严重，严重警影响我的生活")</f>
        <v>玖富万卡催收严重，严重警影响我的生活</v>
      </c>
      <c r="C11849" s="2" t="s">
        <v>9</v>
      </c>
      <c r="D11849" s="2" t="s">
        <v>10</v>
      </c>
      <c r="E11849" s="2" t="str">
        <f>HYPERLINK("http://ts.21cn.com/tousu/show/id/1343167","http://ts.21cn.com/tousu/show/id/1343167")</f>
        <v>http://ts.21cn.com/tousu/show/id/1343167</v>
      </c>
      <c r="F11849" s="2" t="s">
        <v>11</v>
      </c>
      <c r="G11849" s="2" t="s">
        <v>20854</v>
      </c>
      <c r="H11849" s="2" t="s">
        <v>20855</v>
      </c>
    </row>
    <row r="11850" spans="1:8" ht="25.05" customHeight="1" x14ac:dyDescent="0.25">
      <c r="A11850" s="2" t="s">
        <v>8</v>
      </c>
      <c r="B11850" s="2" t="str">
        <f>HYPERLINK("http://ts.21cn.com/tousu/show/id/1343168","拍拍贷催收恶意")</f>
        <v>拍拍贷催收恶意</v>
      </c>
      <c r="C11850" s="2" t="s">
        <v>9</v>
      </c>
      <c r="D11850" s="2" t="s">
        <v>10</v>
      </c>
      <c r="E11850" s="2" t="str">
        <f>HYPERLINK("http://ts.21cn.com/tousu/show/id/1343168","http://ts.21cn.com/tousu/show/id/1343168")</f>
        <v>http://ts.21cn.com/tousu/show/id/1343168</v>
      </c>
      <c r="F11850" s="2" t="s">
        <v>11</v>
      </c>
      <c r="G11850" s="2" t="s">
        <v>20852</v>
      </c>
      <c r="H11850" s="2" t="s">
        <v>20853</v>
      </c>
    </row>
    <row r="11851" spans="1:8" ht="25.05" customHeight="1" x14ac:dyDescent="0.25">
      <c r="A11851" s="2" t="s">
        <v>8</v>
      </c>
      <c r="B11851" s="2" t="str">
        <f>HYPERLINK("http://ts.21cn.com/tousu/show/id/1343169","马上金融欺诈，恐吓")</f>
        <v>马上金融欺诈，恐吓</v>
      </c>
      <c r="C11851" s="2" t="s">
        <v>9</v>
      </c>
      <c r="D11851" s="2" t="s">
        <v>10</v>
      </c>
      <c r="E11851" s="2" t="str">
        <f>HYPERLINK("http://ts.21cn.com/tousu/show/id/1343169","http://ts.21cn.com/tousu/show/id/1343169")</f>
        <v>http://ts.21cn.com/tousu/show/id/1343169</v>
      </c>
      <c r="F11851" s="2" t="s">
        <v>11</v>
      </c>
      <c r="G11851" s="2" t="s">
        <v>20850</v>
      </c>
      <c r="H11851" s="2" t="s">
        <v>20851</v>
      </c>
    </row>
    <row r="11852" spans="1:8" ht="25.05" customHeight="1" x14ac:dyDescent="0.25">
      <c r="A11852" s="2" t="s">
        <v>8</v>
      </c>
      <c r="B11852" s="2" t="str">
        <f>HYPERLINK("http://ts.21cn.com/tousu/show/id/1343170","平安普惠未经允许不停骚扰通讯录")</f>
        <v>平安普惠未经允许不停骚扰通讯录</v>
      </c>
      <c r="C11852" s="2" t="s">
        <v>9</v>
      </c>
      <c r="D11852" s="2" t="s">
        <v>10</v>
      </c>
      <c r="E11852" s="2" t="str">
        <f>HYPERLINK("http://ts.21cn.com/tousu/show/id/1343170","http://ts.21cn.com/tousu/show/id/1343170")</f>
        <v>http://ts.21cn.com/tousu/show/id/1343170</v>
      </c>
      <c r="F11852" s="2" t="s">
        <v>11</v>
      </c>
      <c r="G11852" s="2" t="s">
        <v>20848</v>
      </c>
      <c r="H11852" s="2" t="s">
        <v>20849</v>
      </c>
    </row>
    <row r="11853" spans="1:8" ht="25.05" customHeight="1" x14ac:dyDescent="0.25">
      <c r="A11853" s="2" t="s">
        <v>8</v>
      </c>
      <c r="B11853" s="2" t="str">
        <f>HYPERLINK("http://ts.21cn.com/tousu/show/id/1343171","度小满金融骚扰不断")</f>
        <v>度小满金融骚扰不断</v>
      </c>
      <c r="C11853" s="2" t="s">
        <v>9</v>
      </c>
      <c r="D11853" s="2" t="s">
        <v>10</v>
      </c>
      <c r="E11853" s="2" t="str">
        <f>HYPERLINK("http://ts.21cn.com/tousu/show/id/1343171","http://ts.21cn.com/tousu/show/id/1343171")</f>
        <v>http://ts.21cn.com/tousu/show/id/1343171</v>
      </c>
      <c r="F11853" s="2" t="s">
        <v>11</v>
      </c>
      <c r="G11853" s="2" t="s">
        <v>20846</v>
      </c>
      <c r="H11853" s="2" t="s">
        <v>20847</v>
      </c>
    </row>
    <row r="11854" spans="1:8" ht="25.05" customHeight="1" x14ac:dyDescent="0.25">
      <c r="A11854" s="2" t="s">
        <v>8</v>
      </c>
      <c r="B11854" s="2" t="str">
        <f>HYPERLINK("http://ts.21cn.com/tousu/show/id/1343173","工商银行信用卡雇佣第三方机构威胁恐吓进行催收")</f>
        <v>工商银行信用卡雇佣第三方机构威胁恐吓进行催收</v>
      </c>
      <c r="C11854" s="2" t="s">
        <v>9</v>
      </c>
      <c r="D11854" s="2" t="s">
        <v>10</v>
      </c>
      <c r="E11854" s="2" t="str">
        <f>HYPERLINK("http://ts.21cn.com/tousu/show/id/1343173","http://ts.21cn.com/tousu/show/id/1343173")</f>
        <v>http://ts.21cn.com/tousu/show/id/1343173</v>
      </c>
      <c r="F11854" s="2" t="s">
        <v>11</v>
      </c>
      <c r="G11854" s="2" t="s">
        <v>20844</v>
      </c>
      <c r="H11854" s="2" t="s">
        <v>20845</v>
      </c>
    </row>
    <row r="11855" spans="1:8" ht="25.05" customHeight="1" x14ac:dyDescent="0.25">
      <c r="A11855" s="2" t="s">
        <v>8</v>
      </c>
      <c r="B11855" s="2" t="str">
        <f>HYPERLINK("http://ts.21cn.com/tousu/show/id/1343174","诱导缴纳保证金才帮代购然后要我直接打款钱款到他们账户才帮我联系卖家")</f>
        <v>诱导缴纳保证金才帮代购然后要我直接打款钱款到他们账户才帮我联系卖家</v>
      </c>
      <c r="C11855" s="2" t="s">
        <v>9</v>
      </c>
      <c r="D11855" s="2" t="s">
        <v>10</v>
      </c>
      <c r="E11855" s="2" t="str">
        <f>HYPERLINK("http://ts.21cn.com/tousu/show/id/1343174","http://ts.21cn.com/tousu/show/id/1343174")</f>
        <v>http://ts.21cn.com/tousu/show/id/1343174</v>
      </c>
      <c r="F11855" s="2" t="s">
        <v>11</v>
      </c>
      <c r="G11855" s="2" t="s">
        <v>20842</v>
      </c>
      <c r="H11855" s="2" t="s">
        <v>20843</v>
      </c>
    </row>
    <row r="11856" spans="1:8" ht="25.05" customHeight="1" x14ac:dyDescent="0.25">
      <c r="A11856" s="2" t="s">
        <v>8</v>
      </c>
      <c r="B11856" s="2" t="str">
        <f>HYPERLINK("http://ts.21cn.com/tousu/show/id/1343176","喜鹊快贷阴阳合同高利贷")</f>
        <v>喜鹊快贷阴阳合同高利贷</v>
      </c>
      <c r="C11856" s="2" t="s">
        <v>9</v>
      </c>
      <c r="D11856" s="2" t="s">
        <v>10</v>
      </c>
      <c r="E11856" s="2" t="str">
        <f>HYPERLINK("http://ts.21cn.com/tousu/show/id/1343176","http://ts.21cn.com/tousu/show/id/1343176")</f>
        <v>http://ts.21cn.com/tousu/show/id/1343176</v>
      </c>
      <c r="F11856" s="2" t="s">
        <v>11</v>
      </c>
      <c r="G11856" s="2" t="s">
        <v>20840</v>
      </c>
      <c r="H11856" s="2" t="s">
        <v>20841</v>
      </c>
    </row>
    <row r="11857" spans="1:8" ht="25.05" customHeight="1" x14ac:dyDescent="0.25">
      <c r="A11857" s="2" t="s">
        <v>8</v>
      </c>
      <c r="B11857" s="2" t="str">
        <f>HYPERLINK("http://ts.21cn.com/tousu/show/id/1343175","蛋壳公寓，延期违约金未按合同补偿")</f>
        <v>蛋壳公寓，延期违约金未按合同补偿</v>
      </c>
      <c r="C11857" s="2" t="s">
        <v>9</v>
      </c>
      <c r="D11857" s="2" t="s">
        <v>10</v>
      </c>
      <c r="E11857" s="2" t="str">
        <f>HYPERLINK("http://ts.21cn.com/tousu/show/id/1343175","http://ts.21cn.com/tousu/show/id/1343175")</f>
        <v>http://ts.21cn.com/tousu/show/id/1343175</v>
      </c>
      <c r="F11857" s="2" t="s">
        <v>11</v>
      </c>
      <c r="G11857" s="2" t="s">
        <v>20838</v>
      </c>
      <c r="H11857" s="2" t="s">
        <v>20839</v>
      </c>
    </row>
    <row r="11858" spans="1:8" ht="25.05" customHeight="1" x14ac:dyDescent="0.25">
      <c r="A11858" s="2" t="s">
        <v>8</v>
      </c>
      <c r="B11858" s="2" t="str">
        <f>HYPERLINK("http://ts.21cn.com/tousu/show/id/1343177","中腾信暴力催收")</f>
        <v>中腾信暴力催收</v>
      </c>
      <c r="C11858" s="2" t="s">
        <v>9</v>
      </c>
      <c r="D11858" s="2" t="s">
        <v>10</v>
      </c>
      <c r="E11858" s="2" t="str">
        <f>HYPERLINK("http://ts.21cn.com/tousu/show/id/1343177","http://ts.21cn.com/tousu/show/id/1343177")</f>
        <v>http://ts.21cn.com/tousu/show/id/1343177</v>
      </c>
      <c r="F11858" s="2" t="s">
        <v>11</v>
      </c>
      <c r="G11858" s="2" t="s">
        <v>20836</v>
      </c>
      <c r="H11858" s="2" t="s">
        <v>20837</v>
      </c>
    </row>
    <row r="11859" spans="1:8" ht="25.05" customHeight="1" x14ac:dyDescent="0.25">
      <c r="A11859" s="2" t="s">
        <v>8</v>
      </c>
      <c r="B11859" s="2" t="str">
        <f>HYPERLINK("http://ts.21cn.com/tousu/show/id/1343178","滴滴车主对待司机不太公平")</f>
        <v>滴滴车主对待司机不太公平</v>
      </c>
      <c r="C11859" s="2" t="s">
        <v>9</v>
      </c>
      <c r="D11859" s="2" t="s">
        <v>10</v>
      </c>
      <c r="E11859" s="2" t="str">
        <f>HYPERLINK("http://ts.21cn.com/tousu/show/id/1343178","http://ts.21cn.com/tousu/show/id/1343178")</f>
        <v>http://ts.21cn.com/tousu/show/id/1343178</v>
      </c>
      <c r="F11859" s="2" t="s">
        <v>11</v>
      </c>
      <c r="G11859" s="2" t="s">
        <v>20834</v>
      </c>
      <c r="H11859" s="2" t="s">
        <v>20835</v>
      </c>
    </row>
    <row r="11860" spans="1:8" ht="25.05" customHeight="1" x14ac:dyDescent="0.25">
      <c r="A11860" s="2" t="s">
        <v>8</v>
      </c>
      <c r="B11860" s="2" t="str">
        <f>HYPERLINK("http://ts.21cn.com/tousu/show/id/1343179","滴滴平台乱判责，乘客取消判司机有责")</f>
        <v>滴滴平台乱判责，乘客取消判司机有责</v>
      </c>
      <c r="C11860" s="2" t="s">
        <v>9</v>
      </c>
      <c r="D11860" s="2" t="s">
        <v>10</v>
      </c>
      <c r="E11860" s="2" t="str">
        <f>HYPERLINK("http://ts.21cn.com/tousu/show/id/1343179","http://ts.21cn.com/tousu/show/id/1343179")</f>
        <v>http://ts.21cn.com/tousu/show/id/1343179</v>
      </c>
      <c r="F11860" s="2" t="s">
        <v>11</v>
      </c>
      <c r="G11860" s="2" t="s">
        <v>20832</v>
      </c>
      <c r="H11860" s="2" t="s">
        <v>20833</v>
      </c>
    </row>
    <row r="11861" spans="1:8" ht="25.05" customHeight="1" x14ac:dyDescent="0.25">
      <c r="A11861" s="2" t="s">
        <v>8</v>
      </c>
      <c r="B11861" s="2" t="str">
        <f>HYPERLINK("http://ts.21cn.com/tousu/show/id/1343181","中信信用卡催收")</f>
        <v>中信信用卡催收</v>
      </c>
      <c r="C11861" s="2" t="s">
        <v>9</v>
      </c>
      <c r="D11861" s="2" t="s">
        <v>10</v>
      </c>
      <c r="E11861" s="2" t="str">
        <f>HYPERLINK("http://ts.21cn.com/tousu/show/id/1343181","http://ts.21cn.com/tousu/show/id/1343181")</f>
        <v>http://ts.21cn.com/tousu/show/id/1343181</v>
      </c>
      <c r="F11861" s="2" t="s">
        <v>11</v>
      </c>
      <c r="G11861" s="2" t="s">
        <v>20830</v>
      </c>
      <c r="H11861" s="2" t="s">
        <v>20831</v>
      </c>
    </row>
    <row r="11862" spans="1:8" ht="25.05" customHeight="1" x14ac:dyDescent="0.25">
      <c r="A11862" s="2" t="s">
        <v>8</v>
      </c>
      <c r="B11862" s="2" t="str">
        <f>HYPERLINK("http://ts.21cn.com/tousu/show/id/1343182","上海翰银为赌博输平台收单，请求瀚银为我退款挽回经济损失")</f>
        <v>上海翰银为赌博输平台收单，请求瀚银为我退款挽回经济损失</v>
      </c>
      <c r="C11862" s="2" t="s">
        <v>9</v>
      </c>
      <c r="D11862" s="2" t="s">
        <v>10</v>
      </c>
      <c r="E11862" s="2" t="str">
        <f>HYPERLINK("http://ts.21cn.com/tousu/show/id/1343182","http://ts.21cn.com/tousu/show/id/1343182")</f>
        <v>http://ts.21cn.com/tousu/show/id/1343182</v>
      </c>
      <c r="F11862" s="2" t="s">
        <v>11</v>
      </c>
      <c r="G11862" s="2" t="s">
        <v>20828</v>
      </c>
      <c r="H11862" s="2" t="s">
        <v>20829</v>
      </c>
    </row>
    <row r="11863" spans="1:8" ht="25.05" customHeight="1" x14ac:dyDescent="0.25">
      <c r="A11863" s="2" t="s">
        <v>8</v>
      </c>
      <c r="B11863" s="2" t="str">
        <f>HYPERLINK("http://ts.21cn.com/tousu/show/id/1343183","中邮贷款催收")</f>
        <v>中邮贷款催收</v>
      </c>
      <c r="C11863" s="2" t="s">
        <v>9</v>
      </c>
      <c r="D11863" s="2" t="s">
        <v>10</v>
      </c>
      <c r="E11863" s="2" t="str">
        <f>HYPERLINK("http://ts.21cn.com/tousu/show/id/1343183","http://ts.21cn.com/tousu/show/id/1343183")</f>
        <v>http://ts.21cn.com/tousu/show/id/1343183</v>
      </c>
      <c r="F11863" s="2" t="s">
        <v>11</v>
      </c>
      <c r="G11863" s="2" t="s">
        <v>20826</v>
      </c>
      <c r="H11863" s="2" t="s">
        <v>20827</v>
      </c>
    </row>
    <row r="11864" spans="1:8" ht="25.05" customHeight="1" x14ac:dyDescent="0.25">
      <c r="A11864" s="2" t="s">
        <v>8</v>
      </c>
      <c r="B11864" s="2" t="str">
        <f>HYPERLINK("http://ts.21cn.com/tousu/show/id/1343184","玖富万卡合同欺诈套路贷")</f>
        <v>玖富万卡合同欺诈套路贷</v>
      </c>
      <c r="C11864" s="2" t="s">
        <v>9</v>
      </c>
      <c r="D11864" s="2" t="s">
        <v>10</v>
      </c>
      <c r="E11864" s="2" t="str">
        <f>HYPERLINK("http://ts.21cn.com/tousu/show/id/1343184","http://ts.21cn.com/tousu/show/id/1343184")</f>
        <v>http://ts.21cn.com/tousu/show/id/1343184</v>
      </c>
      <c r="F11864" s="2" t="s">
        <v>11</v>
      </c>
      <c r="G11864" s="2" t="s">
        <v>20824</v>
      </c>
      <c r="H11864" s="2" t="s">
        <v>20825</v>
      </c>
    </row>
    <row r="11865" spans="1:8" ht="25.05" customHeight="1" x14ac:dyDescent="0.25">
      <c r="A11865" s="2" t="s">
        <v>8</v>
      </c>
      <c r="B11865" s="2" t="str">
        <f>HYPERLINK("http://ts.21cn.com/tousu/show/id/1343185","分期通恶意收取会员费用")</f>
        <v>分期通恶意收取会员费用</v>
      </c>
      <c r="C11865" s="2" t="s">
        <v>9</v>
      </c>
      <c r="D11865" s="2" t="s">
        <v>10</v>
      </c>
      <c r="E11865" s="2" t="str">
        <f>HYPERLINK("http://ts.21cn.com/tousu/show/id/1343185","http://ts.21cn.com/tousu/show/id/1343185")</f>
        <v>http://ts.21cn.com/tousu/show/id/1343185</v>
      </c>
      <c r="F11865" s="2" t="s">
        <v>11</v>
      </c>
      <c r="G11865" s="2" t="s">
        <v>20822</v>
      </c>
      <c r="H11865" s="2" t="s">
        <v>20823</v>
      </c>
    </row>
    <row r="11866" spans="1:8" ht="25.05" customHeight="1" x14ac:dyDescent="0.25">
      <c r="A11866" s="2" t="s">
        <v>8</v>
      </c>
      <c r="B11866" s="2" t="str">
        <f>HYPERLINK("http://ts.21cn.com/tousu/show/id/1343186","洋钱罐高利贷校园贷")</f>
        <v>洋钱罐高利贷校园贷</v>
      </c>
      <c r="C11866" s="2" t="s">
        <v>9</v>
      </c>
      <c r="D11866" s="2" t="s">
        <v>10</v>
      </c>
      <c r="E11866" s="2" t="str">
        <f>HYPERLINK("http://ts.21cn.com/tousu/show/id/1343186","http://ts.21cn.com/tousu/show/id/1343186")</f>
        <v>http://ts.21cn.com/tousu/show/id/1343186</v>
      </c>
      <c r="F11866" s="2" t="s">
        <v>11</v>
      </c>
      <c r="G11866" s="2" t="s">
        <v>20820</v>
      </c>
      <c r="H11866" s="2" t="s">
        <v>20821</v>
      </c>
    </row>
    <row r="11867" spans="1:8" ht="25.05" customHeight="1" x14ac:dyDescent="0.25">
      <c r="A11867" s="2" t="s">
        <v>8</v>
      </c>
      <c r="B11867" s="2" t="str">
        <f>HYPERLINK("http://ts.21cn.com/tousu/show/id/1343187","银生宝交易不正常")</f>
        <v>银生宝交易不正常</v>
      </c>
      <c r="C11867" s="2" t="s">
        <v>9</v>
      </c>
      <c r="D11867" s="2" t="s">
        <v>10</v>
      </c>
      <c r="E11867" s="2" t="str">
        <f>HYPERLINK("http://ts.21cn.com/tousu/show/id/1343187","http://ts.21cn.com/tousu/show/id/1343187")</f>
        <v>http://ts.21cn.com/tousu/show/id/1343187</v>
      </c>
      <c r="F11867" s="2" t="s">
        <v>11</v>
      </c>
      <c r="G11867" s="2" t="s">
        <v>20818</v>
      </c>
      <c r="H11867" s="2" t="s">
        <v>20819</v>
      </c>
    </row>
    <row r="11868" spans="1:8" ht="25.05" customHeight="1" x14ac:dyDescent="0.25">
      <c r="A11868" s="2" t="s">
        <v>8</v>
      </c>
      <c r="B11868" s="2" t="str">
        <f>HYPERLINK("http://ts.21cn.com/tousu/show/id/1343188","要求用钱宝删除我支付宝负面记录")</f>
        <v>要求用钱宝删除我支付宝负面记录</v>
      </c>
      <c r="C11868" s="2" t="s">
        <v>9</v>
      </c>
      <c r="D11868" s="2" t="s">
        <v>10</v>
      </c>
      <c r="E11868" s="2" t="str">
        <f>HYPERLINK("http://ts.21cn.com/tousu/show/id/1343188","http://ts.21cn.com/tousu/show/id/1343188")</f>
        <v>http://ts.21cn.com/tousu/show/id/1343188</v>
      </c>
      <c r="F11868" s="2" t="s">
        <v>11</v>
      </c>
      <c r="G11868" s="2" t="s">
        <v>20816</v>
      </c>
      <c r="H11868" s="2" t="s">
        <v>20817</v>
      </c>
    </row>
    <row r="11869" spans="1:8" ht="25.05" customHeight="1" x14ac:dyDescent="0.25">
      <c r="A11869" s="2" t="s">
        <v>8</v>
      </c>
      <c r="B11869" s="2" t="str">
        <f>HYPERLINK("http://ts.21cn.com/tousu/show/id/1343190","高利贷及套路陷阱")</f>
        <v>高利贷及套路陷阱</v>
      </c>
      <c r="C11869" s="2" t="s">
        <v>9</v>
      </c>
      <c r="D11869" s="2" t="s">
        <v>10</v>
      </c>
      <c r="E11869" s="2" t="str">
        <f>HYPERLINK("http://ts.21cn.com/tousu/show/id/1343190","http://ts.21cn.com/tousu/show/id/1343190")</f>
        <v>http://ts.21cn.com/tousu/show/id/1343190</v>
      </c>
      <c r="F11869" s="2" t="s">
        <v>11</v>
      </c>
      <c r="G11869" s="2" t="s">
        <v>20814</v>
      </c>
      <c r="H11869" s="2" t="s">
        <v>20815</v>
      </c>
    </row>
    <row r="11870" spans="1:8" ht="25.05" customHeight="1" x14ac:dyDescent="0.25">
      <c r="A11870" s="2" t="s">
        <v>8</v>
      </c>
      <c r="B11870" s="2" t="str">
        <f>HYPERLINK("http://ts.21cn.com/tousu/show/id/1343189","北京爱农全额退款")</f>
        <v>北京爱农全额退款</v>
      </c>
      <c r="C11870" s="2" t="s">
        <v>34</v>
      </c>
      <c r="D11870" s="2" t="s">
        <v>10</v>
      </c>
      <c r="E11870" s="2" t="str">
        <f>HYPERLINK("http://ts.21cn.com/tousu/show/id/1343189","http://ts.21cn.com/tousu/show/id/1343189")</f>
        <v>http://ts.21cn.com/tousu/show/id/1343189</v>
      </c>
      <c r="F11870" s="2" t="s">
        <v>11</v>
      </c>
      <c r="G11870" s="2" t="s">
        <v>20812</v>
      </c>
      <c r="H11870" s="2" t="s">
        <v>20813</v>
      </c>
    </row>
    <row r="11871" spans="1:8" ht="25.05" customHeight="1" x14ac:dyDescent="0.25">
      <c r="A11871" s="2" t="s">
        <v>8</v>
      </c>
      <c r="B11871" s="2" t="str">
        <f>HYPERLINK("http://ts.21cn.com/tousu/show/id/1343191","中信银行信用卡暴力催收，解释多次骚扰不断，")</f>
        <v>中信银行信用卡暴力催收，解释多次骚扰不断，</v>
      </c>
      <c r="C11871" s="2" t="s">
        <v>9</v>
      </c>
      <c r="D11871" s="2" t="s">
        <v>10</v>
      </c>
      <c r="E11871" s="2" t="str">
        <f>HYPERLINK("http://ts.21cn.com/tousu/show/id/1343191","http://ts.21cn.com/tousu/show/id/1343191")</f>
        <v>http://ts.21cn.com/tousu/show/id/1343191</v>
      </c>
      <c r="F11871" s="2" t="s">
        <v>11</v>
      </c>
      <c r="G11871" s="2" t="s">
        <v>20810</v>
      </c>
      <c r="H11871" s="2" t="s">
        <v>20811</v>
      </c>
    </row>
    <row r="11872" spans="1:8" ht="25.05" customHeight="1" x14ac:dyDescent="0.25">
      <c r="A11872" s="2" t="s">
        <v>8</v>
      </c>
      <c r="B11872" s="2" t="str">
        <f>HYPERLINK("http://ts.21cn.com/tousu/show/id/1343192","豹子贷无故扣钱不需要还要扣")</f>
        <v>豹子贷无故扣钱不需要还要扣</v>
      </c>
      <c r="C11872" s="2" t="s">
        <v>9</v>
      </c>
      <c r="D11872" s="2" t="s">
        <v>10</v>
      </c>
      <c r="E11872" s="2" t="str">
        <f>HYPERLINK("http://ts.21cn.com/tousu/show/id/1343192","http://ts.21cn.com/tousu/show/id/1343192")</f>
        <v>http://ts.21cn.com/tousu/show/id/1343192</v>
      </c>
      <c r="F11872" s="2" t="s">
        <v>11</v>
      </c>
      <c r="G11872" s="2" t="s">
        <v>20808</v>
      </c>
      <c r="H11872" s="2" t="s">
        <v>20809</v>
      </c>
    </row>
    <row r="11873" spans="1:8" ht="25.05" customHeight="1" x14ac:dyDescent="0.25">
      <c r="A11873" s="2" t="s">
        <v>8</v>
      </c>
      <c r="B11873" s="2" t="str">
        <f>HYPERLINK("http://ts.21cn.com/tousu/show/id/1343193","被爆通讯录")</f>
        <v>被爆通讯录</v>
      </c>
      <c r="C11873" s="2" t="s">
        <v>9</v>
      </c>
      <c r="D11873" s="2" t="s">
        <v>10</v>
      </c>
      <c r="E11873" s="2" t="str">
        <f>HYPERLINK("http://ts.21cn.com/tousu/show/id/1343193","http://ts.21cn.com/tousu/show/id/1343193")</f>
        <v>http://ts.21cn.com/tousu/show/id/1343193</v>
      </c>
      <c r="F11873" s="2" t="s">
        <v>11</v>
      </c>
      <c r="G11873" s="2" t="s">
        <v>20806</v>
      </c>
      <c r="H11873" s="2" t="s">
        <v>20807</v>
      </c>
    </row>
    <row r="11874" spans="1:8" ht="25.05" customHeight="1" x14ac:dyDescent="0.25">
      <c r="A11874" s="2" t="s">
        <v>8</v>
      </c>
      <c r="B11874" s="2" t="str">
        <f>HYPERLINK("http://ts.21cn.com/tousu/show/id/1343195","p1.cc")</f>
        <v>p1.cc</v>
      </c>
      <c r="C11874" s="2" t="s">
        <v>9</v>
      </c>
      <c r="D11874" s="2" t="s">
        <v>10</v>
      </c>
      <c r="E11874" s="2" t="str">
        <f>HYPERLINK("http://ts.21cn.com/tousu/show/id/1343195","http://ts.21cn.com/tousu/show/id/1343195")</f>
        <v>http://ts.21cn.com/tousu/show/id/1343195</v>
      </c>
      <c r="F11874" s="2" t="s">
        <v>11</v>
      </c>
      <c r="G11874" s="2" t="s">
        <v>20804</v>
      </c>
      <c r="H11874" s="2" t="s">
        <v>20805</v>
      </c>
    </row>
    <row r="11875" spans="1:8" ht="25.05" customHeight="1" x14ac:dyDescent="0.25">
      <c r="A11875" s="2" t="s">
        <v>8</v>
      </c>
      <c r="B11875" s="2" t="str">
        <f>HYPERLINK("http://ts.21cn.com/tousu/show/id/1343196","在萌推上面第一次下单说好新人免单可以返现，又吃了买的食物现在犊子疼了，简直说质量有问题")</f>
        <v>在萌推上面第一次下单说好新人免单可以返现，又吃了买的食物现在犊子疼了，简直说质量有问题</v>
      </c>
      <c r="C11875" s="2" t="s">
        <v>9</v>
      </c>
      <c r="D11875" s="2" t="s">
        <v>10</v>
      </c>
      <c r="E11875" s="2" t="str">
        <f>HYPERLINK("http://ts.21cn.com/tousu/show/id/1343196","http://ts.21cn.com/tousu/show/id/1343196")</f>
        <v>http://ts.21cn.com/tousu/show/id/1343196</v>
      </c>
      <c r="F11875" s="2" t="s">
        <v>11</v>
      </c>
      <c r="G11875" s="2" t="s">
        <v>20802</v>
      </c>
      <c r="H11875" s="2" t="s">
        <v>20803</v>
      </c>
    </row>
    <row r="11876" spans="1:8" ht="25.05" customHeight="1" x14ac:dyDescent="0.25">
      <c r="A11876" s="2" t="s">
        <v>8</v>
      </c>
      <c r="B11876" s="2" t="str">
        <f>HYPERLINK("http://ts.21cn.com/tousu/show/id/1343197","蟹老弟高额砍头息")</f>
        <v>蟹老弟高额砍头息</v>
      </c>
      <c r="C11876" s="2" t="s">
        <v>34</v>
      </c>
      <c r="D11876" s="2" t="s">
        <v>10</v>
      </c>
      <c r="E11876" s="2" t="str">
        <f>HYPERLINK("http://ts.21cn.com/tousu/show/id/1343197","http://ts.21cn.com/tousu/show/id/1343197")</f>
        <v>http://ts.21cn.com/tousu/show/id/1343197</v>
      </c>
      <c r="F11876" s="2" t="s">
        <v>11</v>
      </c>
      <c r="G11876" s="2" t="s">
        <v>20800</v>
      </c>
      <c r="H11876" s="2" t="s">
        <v>20801</v>
      </c>
    </row>
    <row r="11877" spans="1:8" ht="25.05" customHeight="1" x14ac:dyDescent="0.25">
      <c r="A11877" s="2" t="s">
        <v>8</v>
      </c>
      <c r="B11877" s="2" t="str">
        <f>HYPERLINK("http://ts.21cn.com/tousu/show/id/1343198","微信零钱冻结不可使用")</f>
        <v>微信零钱冻结不可使用</v>
      </c>
      <c r="C11877" s="2" t="s">
        <v>9</v>
      </c>
      <c r="D11877" s="2" t="s">
        <v>10</v>
      </c>
      <c r="E11877" s="2" t="str">
        <f>HYPERLINK("http://ts.21cn.com/tousu/show/id/1343198","http://ts.21cn.com/tousu/show/id/1343198")</f>
        <v>http://ts.21cn.com/tousu/show/id/1343198</v>
      </c>
      <c r="F11877" s="2" t="s">
        <v>11</v>
      </c>
      <c r="G11877" s="2" t="s">
        <v>20798</v>
      </c>
      <c r="H11877" s="2" t="s">
        <v>20799</v>
      </c>
    </row>
    <row r="11878" spans="1:8" ht="25.05" customHeight="1" x14ac:dyDescent="0.25">
      <c r="A11878" s="2" t="s">
        <v>8</v>
      </c>
      <c r="B11878" s="2" t="str">
        <f>HYPERLINK("http://ts.21cn.com/tousu/show/id/1343200","广发信用卡高利贷好高额违约金和利息")</f>
        <v>广发信用卡高利贷好高额违约金和利息</v>
      </c>
      <c r="C11878" s="2" t="s">
        <v>9</v>
      </c>
      <c r="D11878" s="2" t="s">
        <v>10</v>
      </c>
      <c r="E11878" s="2" t="str">
        <f>HYPERLINK("http://ts.21cn.com/tousu/show/id/1343200","http://ts.21cn.com/tousu/show/id/1343200")</f>
        <v>http://ts.21cn.com/tousu/show/id/1343200</v>
      </c>
      <c r="F11878" s="2" t="s">
        <v>11</v>
      </c>
      <c r="G11878" s="2" t="s">
        <v>20795</v>
      </c>
      <c r="H11878" s="2" t="s">
        <v>20796</v>
      </c>
    </row>
    <row r="11879" spans="1:8" ht="25.05" customHeight="1" x14ac:dyDescent="0.25">
      <c r="A11879" s="2" t="s">
        <v>8</v>
      </c>
      <c r="B11879" s="2" t="str">
        <f>HYPERLINK("http://ts.21cn.com/tousu/show/id/1343201","豆豆钱捆绑非法保险，评估费用")</f>
        <v>豆豆钱捆绑非法保险，评估费用</v>
      </c>
      <c r="C11879" s="2" t="s">
        <v>9</v>
      </c>
      <c r="D11879" s="2" t="s">
        <v>10</v>
      </c>
      <c r="E11879" s="2" t="str">
        <f>HYPERLINK("http://ts.21cn.com/tousu/show/id/1343201","http://ts.21cn.com/tousu/show/id/1343201")</f>
        <v>http://ts.21cn.com/tousu/show/id/1343201</v>
      </c>
      <c r="F11879" s="2" t="s">
        <v>11</v>
      </c>
      <c r="G11879" s="2" t="s">
        <v>20795</v>
      </c>
      <c r="H11879" s="2" t="s">
        <v>20797</v>
      </c>
    </row>
    <row r="11880" spans="1:8" ht="25.05" customHeight="1" x14ac:dyDescent="0.25">
      <c r="A11880" s="2" t="s">
        <v>8</v>
      </c>
      <c r="B11880" s="2" t="str">
        <f>HYPERLINK("http://ts.21cn.com/tousu/show/id/1343202","高利贷网贷")</f>
        <v>高利贷网贷</v>
      </c>
      <c r="C11880" s="2" t="s">
        <v>9</v>
      </c>
      <c r="D11880" s="2" t="s">
        <v>10</v>
      </c>
      <c r="E11880" s="2" t="str">
        <f>HYPERLINK("http://ts.21cn.com/tousu/show/id/1343202","http://ts.21cn.com/tousu/show/id/1343202")</f>
        <v>http://ts.21cn.com/tousu/show/id/1343202</v>
      </c>
      <c r="F11880" s="2" t="s">
        <v>11</v>
      </c>
      <c r="G11880" s="2" t="s">
        <v>20793</v>
      </c>
      <c r="H11880" s="2" t="s">
        <v>20794</v>
      </c>
    </row>
    <row r="11881" spans="1:8" ht="25.05" customHeight="1" x14ac:dyDescent="0.25">
      <c r="A11881" s="2" t="s">
        <v>8</v>
      </c>
      <c r="B11881" s="2" t="str">
        <f>HYPERLINK("http://ts.21cn.com/tousu/show/id/1343194","群发短信，泄露信息")</f>
        <v>群发短信，泄露信息</v>
      </c>
      <c r="C11881" s="2" t="s">
        <v>9</v>
      </c>
      <c r="D11881" s="2" t="s">
        <v>10</v>
      </c>
      <c r="E11881" s="2" t="str">
        <f>HYPERLINK("http://ts.21cn.com/tousu/show/id/1343194","http://ts.21cn.com/tousu/show/id/1343194")</f>
        <v>http://ts.21cn.com/tousu/show/id/1343194</v>
      </c>
      <c r="F11881" s="2" t="s">
        <v>11</v>
      </c>
      <c r="G11881" s="2" t="s">
        <v>20791</v>
      </c>
      <c r="H11881" s="2" t="s">
        <v>20792</v>
      </c>
    </row>
    <row r="11882" spans="1:8" ht="25.05" customHeight="1" x14ac:dyDescent="0.25">
      <c r="A11882" s="2" t="s">
        <v>8</v>
      </c>
      <c r="B11882" s="2" t="str">
        <f>HYPERLINK("http://ts.21cn.com/tousu/show/id/1343204","拉卡拉首扣贷款金额，超高逾期费等，利用国家征信系统变相要挟用户！！！")</f>
        <v>拉卡拉首扣贷款金额，超高逾期费等，利用国家征信系统变相要挟用户！！！</v>
      </c>
      <c r="C11882" s="2" t="s">
        <v>9</v>
      </c>
      <c r="D11882" s="2" t="s">
        <v>10</v>
      </c>
      <c r="E11882" s="2" t="str">
        <f>HYPERLINK("http://ts.21cn.com/tousu/show/id/1343204","http://ts.21cn.com/tousu/show/id/1343204")</f>
        <v>http://ts.21cn.com/tousu/show/id/1343204</v>
      </c>
      <c r="F11882" s="2" t="s">
        <v>11</v>
      </c>
      <c r="G11882" s="2" t="s">
        <v>20789</v>
      </c>
      <c r="H11882" s="2" t="s">
        <v>20790</v>
      </c>
    </row>
    <row r="11883" spans="1:8" ht="25.05" customHeight="1" x14ac:dyDescent="0.25">
      <c r="A11883" s="2" t="s">
        <v>8</v>
      </c>
      <c r="B11883" s="2" t="str">
        <f>HYPERLINK("http://ts.21cn.com/tousu/show/id/1343206","米米罐超利贷")</f>
        <v>米米罐超利贷</v>
      </c>
      <c r="C11883" s="2" t="s">
        <v>9</v>
      </c>
      <c r="D11883" s="2" t="s">
        <v>10</v>
      </c>
      <c r="E11883" s="2" t="str">
        <f>HYPERLINK("http://ts.21cn.com/tousu/show/id/1343206","http://ts.21cn.com/tousu/show/id/1343206")</f>
        <v>http://ts.21cn.com/tousu/show/id/1343206</v>
      </c>
      <c r="F11883" s="2" t="s">
        <v>11</v>
      </c>
      <c r="G11883" s="2" t="s">
        <v>20786</v>
      </c>
      <c r="H11883" s="2" t="s">
        <v>20787</v>
      </c>
    </row>
    <row r="11884" spans="1:8" ht="25.05" customHeight="1" x14ac:dyDescent="0.25">
      <c r="A11884" s="2" t="s">
        <v>8</v>
      </c>
      <c r="B11884" s="2" t="str">
        <f>HYPERLINK("http://ts.21cn.com/tousu/show/id/1343205","钱站网络贷款")</f>
        <v>钱站网络贷款</v>
      </c>
      <c r="C11884" s="2" t="s">
        <v>9</v>
      </c>
      <c r="D11884" s="2" t="s">
        <v>10</v>
      </c>
      <c r="E11884" s="2" t="str">
        <f>HYPERLINK("http://ts.21cn.com/tousu/show/id/1343205","http://ts.21cn.com/tousu/show/id/1343205")</f>
        <v>http://ts.21cn.com/tousu/show/id/1343205</v>
      </c>
      <c r="F11884" s="2" t="s">
        <v>11</v>
      </c>
      <c r="G11884" s="2" t="s">
        <v>20786</v>
      </c>
      <c r="H11884" s="2" t="s">
        <v>20788</v>
      </c>
    </row>
    <row r="11885" spans="1:8" ht="25.05" customHeight="1" x14ac:dyDescent="0.25">
      <c r="A11885" s="2" t="s">
        <v>8</v>
      </c>
      <c r="B11885" s="2" t="str">
        <f>HYPERLINK("http://ts.21cn.com/tousu/show/id/1343207","乐客虚假宣传夸大其项目收益")</f>
        <v>乐客虚假宣传夸大其项目收益</v>
      </c>
      <c r="C11885" s="2" t="s">
        <v>9</v>
      </c>
      <c r="D11885" s="2" t="s">
        <v>10</v>
      </c>
      <c r="E11885" s="2" t="str">
        <f>HYPERLINK("http://ts.21cn.com/tousu/show/id/1343207","http://ts.21cn.com/tousu/show/id/1343207")</f>
        <v>http://ts.21cn.com/tousu/show/id/1343207</v>
      </c>
      <c r="F11885" s="2" t="s">
        <v>11</v>
      </c>
      <c r="G11885" s="2" t="s">
        <v>20784</v>
      </c>
      <c r="H11885" s="2" t="s">
        <v>20785</v>
      </c>
    </row>
    <row r="11886" spans="1:8" ht="25.05" customHeight="1" x14ac:dyDescent="0.25">
      <c r="A11886" s="2" t="s">
        <v>8</v>
      </c>
      <c r="B11886" s="2" t="str">
        <f>HYPERLINK("http://ts.21cn.com/tousu/show/id/1343208","恶意扣款")</f>
        <v>恶意扣款</v>
      </c>
      <c r="C11886" s="2" t="s">
        <v>9</v>
      </c>
      <c r="D11886" s="2" t="s">
        <v>10</v>
      </c>
      <c r="E11886" s="2" t="str">
        <f>HYPERLINK("http://ts.21cn.com/tousu/show/id/1343208","http://ts.21cn.com/tousu/show/id/1343208")</f>
        <v>http://ts.21cn.com/tousu/show/id/1343208</v>
      </c>
      <c r="F11886" s="2" t="s">
        <v>11</v>
      </c>
      <c r="G11886" s="2" t="s">
        <v>20782</v>
      </c>
      <c r="H11886" s="2" t="s">
        <v>20783</v>
      </c>
    </row>
    <row r="11887" spans="1:8" ht="25.05" customHeight="1" x14ac:dyDescent="0.25">
      <c r="A11887" s="2" t="s">
        <v>8</v>
      </c>
      <c r="B11887" s="2" t="str">
        <f>HYPERLINK("http://ts.21cn.com/tousu/show/id/1343209","汇潮支付.卧龙钱包")</f>
        <v>汇潮支付.卧龙钱包</v>
      </c>
      <c r="C11887" s="2" t="s">
        <v>9</v>
      </c>
      <c r="D11887" s="2" t="s">
        <v>10</v>
      </c>
      <c r="E11887" s="2" t="str">
        <f>HYPERLINK("http://ts.21cn.com/tousu/show/id/1343209","http://ts.21cn.com/tousu/show/id/1343209")</f>
        <v>http://ts.21cn.com/tousu/show/id/1343209</v>
      </c>
      <c r="F11887" s="2" t="s">
        <v>11</v>
      </c>
      <c r="G11887" s="2" t="s">
        <v>20781</v>
      </c>
      <c r="H11887" s="2" t="s">
        <v>20766</v>
      </c>
    </row>
    <row r="11888" spans="1:8" ht="25.05" customHeight="1" x14ac:dyDescent="0.25">
      <c r="A11888" s="2" t="s">
        <v>8</v>
      </c>
      <c r="B11888" s="2" t="str">
        <f>HYPERLINK("http://ts.21cn.com/tousu/show/id/1343210","虚假宣传")</f>
        <v>虚假宣传</v>
      </c>
      <c r="C11888" s="2" t="s">
        <v>9</v>
      </c>
      <c r="D11888" s="2" t="s">
        <v>10</v>
      </c>
      <c r="E11888" s="2" t="str">
        <f>HYPERLINK("http://ts.21cn.com/tousu/show/id/1343210","http://ts.21cn.com/tousu/show/id/1343210")</f>
        <v>http://ts.21cn.com/tousu/show/id/1343210</v>
      </c>
      <c r="F11888" s="2" t="s">
        <v>11</v>
      </c>
      <c r="G11888" s="2" t="s">
        <v>20779</v>
      </c>
      <c r="H11888" s="2" t="s">
        <v>20780</v>
      </c>
    </row>
    <row r="11889" spans="1:8" ht="25.05" customHeight="1" x14ac:dyDescent="0.25">
      <c r="A11889" s="2" t="s">
        <v>8</v>
      </c>
      <c r="B11889" s="2" t="str">
        <f>HYPERLINK("http://ts.21cn.com/tousu/show/id/1343203","钱站爱钱进阴阳合同、高利贷")</f>
        <v>钱站爱钱进阴阳合同、高利贷</v>
      </c>
      <c r="C11889" s="2" t="s">
        <v>9</v>
      </c>
      <c r="D11889" s="2" t="s">
        <v>10</v>
      </c>
      <c r="E11889" s="2" t="str">
        <f>HYPERLINK("http://ts.21cn.com/tousu/show/id/1343203","http://ts.21cn.com/tousu/show/id/1343203")</f>
        <v>http://ts.21cn.com/tousu/show/id/1343203</v>
      </c>
      <c r="F11889" s="2" t="s">
        <v>11</v>
      </c>
      <c r="G11889" s="2" t="s">
        <v>20777</v>
      </c>
      <c r="H11889" s="2" t="s">
        <v>20778</v>
      </c>
    </row>
    <row r="11890" spans="1:8" ht="25.05" customHeight="1" x14ac:dyDescent="0.25">
      <c r="A11890" s="2" t="s">
        <v>8</v>
      </c>
      <c r="B11890" s="2" t="str">
        <f>HYPERLINK("http://ts.21cn.com/tousu/show/id/1343211","银行卡被盗刷")</f>
        <v>银行卡被盗刷</v>
      </c>
      <c r="C11890" s="2" t="s">
        <v>9</v>
      </c>
      <c r="D11890" s="2" t="s">
        <v>10</v>
      </c>
      <c r="E11890" s="2" t="str">
        <f>HYPERLINK("http://ts.21cn.com/tousu/show/id/1343211","http://ts.21cn.com/tousu/show/id/1343211")</f>
        <v>http://ts.21cn.com/tousu/show/id/1343211</v>
      </c>
      <c r="F11890" s="2" t="s">
        <v>11</v>
      </c>
      <c r="G11890" s="2" t="s">
        <v>20775</v>
      </c>
      <c r="H11890" s="2" t="s">
        <v>20776</v>
      </c>
    </row>
    <row r="11891" spans="1:8" ht="25.05" customHeight="1" x14ac:dyDescent="0.25">
      <c r="A11891" s="2" t="s">
        <v>8</v>
      </c>
      <c r="B11891" s="2" t="str">
        <f>HYPERLINK("http://ts.21cn.com/tousu/show/id/1343212","豹子贷登录app盗取信息银行卡钱财！")</f>
        <v>豹子贷登录app盗取信息银行卡钱财！</v>
      </c>
      <c r="C11891" s="2" t="s">
        <v>9</v>
      </c>
      <c r="D11891" s="2" t="s">
        <v>10</v>
      </c>
      <c r="E11891" s="2" t="str">
        <f>HYPERLINK("http://ts.21cn.com/tousu/show/id/1343212","http://ts.21cn.com/tousu/show/id/1343212")</f>
        <v>http://ts.21cn.com/tousu/show/id/1343212</v>
      </c>
      <c r="F11891" s="2" t="s">
        <v>11</v>
      </c>
      <c r="G11891" s="2" t="s">
        <v>20773</v>
      </c>
      <c r="H11891" s="2" t="s">
        <v>20774</v>
      </c>
    </row>
    <row r="11892" spans="1:8" ht="25.05" customHeight="1" x14ac:dyDescent="0.25">
      <c r="A11892" s="2" t="s">
        <v>8</v>
      </c>
      <c r="B11892" s="2" t="str">
        <f>HYPERLINK("http://ts.21cn.com/tousu/show/id/1343214","滴滴诱导乘客取消订单")</f>
        <v>滴滴诱导乘客取消订单</v>
      </c>
      <c r="C11892" s="2" t="s">
        <v>9</v>
      </c>
      <c r="D11892" s="2" t="s">
        <v>10</v>
      </c>
      <c r="E11892" s="2" t="str">
        <f>HYPERLINK("http://ts.21cn.com/tousu/show/id/1343214","http://ts.21cn.com/tousu/show/id/1343214")</f>
        <v>http://ts.21cn.com/tousu/show/id/1343214</v>
      </c>
      <c r="F11892" s="2" t="s">
        <v>11</v>
      </c>
      <c r="G11892" s="2" t="s">
        <v>20771</v>
      </c>
      <c r="H11892" s="2" t="s">
        <v>20772</v>
      </c>
    </row>
    <row r="11893" spans="1:8" ht="25.05" customHeight="1" x14ac:dyDescent="0.25">
      <c r="A11893" s="2" t="s">
        <v>8</v>
      </c>
      <c r="B11893" s="2" t="str">
        <f>HYPERLINK("http://ts.21cn.com/tousu/show/id/1343215","汇潮支付为高炮来花花提供放款渠道")</f>
        <v>汇潮支付为高炮来花花提供放款渠道</v>
      </c>
      <c r="C11893" s="2" t="s">
        <v>9</v>
      </c>
      <c r="D11893" s="2" t="s">
        <v>10</v>
      </c>
      <c r="E11893" s="2" t="str">
        <f>HYPERLINK("http://ts.21cn.com/tousu/show/id/1343215","http://ts.21cn.com/tousu/show/id/1343215")</f>
        <v>http://ts.21cn.com/tousu/show/id/1343215</v>
      </c>
      <c r="F11893" s="2" t="s">
        <v>11</v>
      </c>
      <c r="G11893" s="2" t="s">
        <v>20769</v>
      </c>
      <c r="H11893" s="2" t="s">
        <v>20770</v>
      </c>
    </row>
    <row r="11894" spans="1:8" ht="25.05" customHeight="1" x14ac:dyDescent="0.25">
      <c r="A11894" s="2" t="s">
        <v>8</v>
      </c>
      <c r="B11894" s="2" t="str">
        <f>HYPERLINK("http://ts.21cn.com/tousu/show/id/1343216","砍头息高利贷")</f>
        <v>砍头息高利贷</v>
      </c>
      <c r="C11894" s="2" t="s">
        <v>9</v>
      </c>
      <c r="D11894" s="2" t="s">
        <v>10</v>
      </c>
      <c r="E11894" s="2" t="str">
        <f>HYPERLINK("http://ts.21cn.com/tousu/show/id/1343216","http://ts.21cn.com/tousu/show/id/1343216")</f>
        <v>http://ts.21cn.com/tousu/show/id/1343216</v>
      </c>
      <c r="F11894" s="2" t="s">
        <v>11</v>
      </c>
      <c r="G11894" s="2" t="s">
        <v>20767</v>
      </c>
      <c r="H11894" s="2" t="s">
        <v>20768</v>
      </c>
    </row>
    <row r="11895" spans="1:8" ht="25.05" customHeight="1" x14ac:dyDescent="0.25">
      <c r="A11895" s="2" t="s">
        <v>8</v>
      </c>
      <c r="B11895" s="2" t="str">
        <f>HYPERLINK("http://ts.21cn.com/tousu/show/id/1343217","汇潮支付为高炮卧龙钱包提供汇款渠道")</f>
        <v>汇潮支付为高炮卧龙钱包提供汇款渠道</v>
      </c>
      <c r="C11895" s="2" t="s">
        <v>9</v>
      </c>
      <c r="D11895" s="2" t="s">
        <v>10</v>
      </c>
      <c r="E11895" s="2" t="str">
        <f>HYPERLINK("http://ts.21cn.com/tousu/show/id/1343217","http://ts.21cn.com/tousu/show/id/1343217")</f>
        <v>http://ts.21cn.com/tousu/show/id/1343217</v>
      </c>
      <c r="F11895" s="2" t="s">
        <v>11</v>
      </c>
      <c r="G11895" s="2" t="s">
        <v>20765</v>
      </c>
      <c r="H11895" s="2" t="s">
        <v>20766</v>
      </c>
    </row>
    <row r="11896" spans="1:8" ht="25.05" customHeight="1" x14ac:dyDescent="0.25">
      <c r="A11896" s="2" t="s">
        <v>8</v>
      </c>
      <c r="B11896" s="2" t="str">
        <f>HYPERLINK("http://ts.21cn.com/tousu/show/id/1343218","钱站高利贷阴阳合同")</f>
        <v>钱站高利贷阴阳合同</v>
      </c>
      <c r="C11896" s="2" t="s">
        <v>9</v>
      </c>
      <c r="D11896" s="2" t="s">
        <v>10</v>
      </c>
      <c r="E11896" s="2" t="str">
        <f>HYPERLINK("http://ts.21cn.com/tousu/show/id/1343218","http://ts.21cn.com/tousu/show/id/1343218")</f>
        <v>http://ts.21cn.com/tousu/show/id/1343218</v>
      </c>
      <c r="F11896" s="2" t="s">
        <v>11</v>
      </c>
      <c r="G11896" s="2" t="s">
        <v>20763</v>
      </c>
      <c r="H11896" s="2" t="s">
        <v>20764</v>
      </c>
    </row>
    <row r="11897" spans="1:8" ht="25.05" customHeight="1" x14ac:dyDescent="0.25">
      <c r="A11897" s="2" t="s">
        <v>8</v>
      </c>
      <c r="B11897" s="2" t="str">
        <f>HYPERLINK("http://ts.21cn.com/tousu/show/id/1343219","聚福分期私自扣款")</f>
        <v>聚福分期私自扣款</v>
      </c>
      <c r="C11897" s="2" t="s">
        <v>9</v>
      </c>
      <c r="D11897" s="2" t="s">
        <v>10</v>
      </c>
      <c r="E11897" s="2" t="str">
        <f>HYPERLINK("http://ts.21cn.com/tousu/show/id/1343219","http://ts.21cn.com/tousu/show/id/1343219")</f>
        <v>http://ts.21cn.com/tousu/show/id/1343219</v>
      </c>
      <c r="F11897" s="2" t="s">
        <v>11</v>
      </c>
      <c r="G11897" s="2" t="s">
        <v>20761</v>
      </c>
      <c r="H11897" s="2" t="s">
        <v>20762</v>
      </c>
    </row>
    <row r="11898" spans="1:8" ht="25.05" customHeight="1" x14ac:dyDescent="0.25">
      <c r="A11898" s="2" t="s">
        <v>8</v>
      </c>
      <c r="B11898" s="2" t="str">
        <f>HYPERLINK("http://ts.21cn.com/tousu/show/id/1343220","西部明珠vip会员卡虚假宣传，故意隐瞒，误导消费")</f>
        <v>西部明珠vip会员卡虚假宣传，故意隐瞒，误导消费</v>
      </c>
      <c r="C11898" s="2" t="s">
        <v>9</v>
      </c>
      <c r="D11898" s="2" t="s">
        <v>10</v>
      </c>
      <c r="E11898" s="2" t="str">
        <f>HYPERLINK("http://ts.21cn.com/tousu/show/id/1343220","http://ts.21cn.com/tousu/show/id/1343220")</f>
        <v>http://ts.21cn.com/tousu/show/id/1343220</v>
      </c>
      <c r="F11898" s="2" t="s">
        <v>11</v>
      </c>
      <c r="G11898" s="2" t="s">
        <v>20759</v>
      </c>
      <c r="H11898" s="2" t="s">
        <v>20760</v>
      </c>
    </row>
    <row r="11899" spans="1:8" ht="25.05" customHeight="1" x14ac:dyDescent="0.25">
      <c r="A11899" s="2" t="s">
        <v>8</v>
      </c>
      <c r="B11899" s="2" t="str">
        <f>HYPERLINK("http://ts.21cn.com/tousu/show/id/1343222","信用管家有盈好贷高额利息砍头息")</f>
        <v>信用管家有盈好贷高额利息砍头息</v>
      </c>
      <c r="C11899" s="2" t="s">
        <v>9</v>
      </c>
      <c r="D11899" s="2" t="s">
        <v>10</v>
      </c>
      <c r="E11899" s="2" t="str">
        <f>HYPERLINK("http://ts.21cn.com/tousu/show/id/1343222","http://ts.21cn.com/tousu/show/id/1343222")</f>
        <v>http://ts.21cn.com/tousu/show/id/1343222</v>
      </c>
      <c r="F11899" s="2" t="s">
        <v>11</v>
      </c>
      <c r="G11899" s="2" t="s">
        <v>20757</v>
      </c>
      <c r="H11899" s="2" t="s">
        <v>20758</v>
      </c>
    </row>
    <row r="11900" spans="1:8" ht="25.05" customHeight="1" x14ac:dyDescent="0.25">
      <c r="A11900" s="2" t="s">
        <v>8</v>
      </c>
      <c r="B11900" s="2" t="str">
        <f>HYPERLINK("http://ts.21cn.com/tousu/show/id/1343223","维信卡卡贷变相收取砍头息")</f>
        <v>维信卡卡贷变相收取砍头息</v>
      </c>
      <c r="C11900" s="2" t="s">
        <v>9</v>
      </c>
      <c r="D11900" s="2" t="s">
        <v>10</v>
      </c>
      <c r="E11900" s="2" t="str">
        <f>HYPERLINK("http://ts.21cn.com/tousu/show/id/1343223","http://ts.21cn.com/tousu/show/id/1343223")</f>
        <v>http://ts.21cn.com/tousu/show/id/1343223</v>
      </c>
      <c r="F11900" s="2" t="s">
        <v>11</v>
      </c>
      <c r="G11900" s="2" t="s">
        <v>20755</v>
      </c>
      <c r="H11900" s="2" t="s">
        <v>20756</v>
      </c>
    </row>
    <row r="11901" spans="1:8" ht="25.05" customHeight="1" x14ac:dyDescent="0.25">
      <c r="A11901" s="2" t="s">
        <v>8</v>
      </c>
      <c r="B11901" s="2" t="str">
        <f>HYPERLINK("http://ts.21cn.com/tousu/show/id/1343224","微信公众号传播淫秽色情照片进行线下交易")</f>
        <v>微信公众号传播淫秽色情照片进行线下交易</v>
      </c>
      <c r="C11901" s="2" t="s">
        <v>9</v>
      </c>
      <c r="D11901" s="2" t="s">
        <v>10</v>
      </c>
      <c r="E11901" s="2" t="str">
        <f>HYPERLINK("http://ts.21cn.com/tousu/show/id/1343224","http://ts.21cn.com/tousu/show/id/1343224")</f>
        <v>http://ts.21cn.com/tousu/show/id/1343224</v>
      </c>
      <c r="F11901" s="2" t="s">
        <v>11</v>
      </c>
      <c r="G11901" s="2" t="s">
        <v>20753</v>
      </c>
      <c r="H11901" s="2" t="s">
        <v>20754</v>
      </c>
    </row>
    <row r="11902" spans="1:8" ht="25.05" customHeight="1" x14ac:dyDescent="0.25">
      <c r="A11902" s="2" t="s">
        <v>8</v>
      </c>
      <c r="B11902" s="2" t="str">
        <f>HYPERLINK("http://ts.21cn.com/tousu/show/id/1343225","平安银行第三方暴力催收")</f>
        <v>平安银行第三方暴力催收</v>
      </c>
      <c r="C11902" s="2" t="s">
        <v>9</v>
      </c>
      <c r="D11902" s="2" t="s">
        <v>10</v>
      </c>
      <c r="E11902" s="2" t="str">
        <f>HYPERLINK("http://ts.21cn.com/tousu/show/id/1343225","http://ts.21cn.com/tousu/show/id/1343225")</f>
        <v>http://ts.21cn.com/tousu/show/id/1343225</v>
      </c>
      <c r="F11902" s="2" t="s">
        <v>11</v>
      </c>
      <c r="G11902" s="2" t="s">
        <v>20751</v>
      </c>
      <c r="H11902" s="2" t="s">
        <v>20752</v>
      </c>
    </row>
    <row r="11903" spans="1:8" ht="25.05" customHeight="1" x14ac:dyDescent="0.25">
      <c r="A11903" s="2" t="s">
        <v>8</v>
      </c>
      <c r="B11903" s="2" t="str">
        <f>HYPERLINK("http://ts.21cn.com/tousu/show/id/1343226","高利贷套路贷")</f>
        <v>高利贷套路贷</v>
      </c>
      <c r="C11903" s="2" t="s">
        <v>9</v>
      </c>
      <c r="D11903" s="2" t="s">
        <v>10</v>
      </c>
      <c r="E11903" s="2" t="str">
        <f>HYPERLINK("http://ts.21cn.com/tousu/show/id/1343226","http://ts.21cn.com/tousu/show/id/1343226")</f>
        <v>http://ts.21cn.com/tousu/show/id/1343226</v>
      </c>
      <c r="F11903" s="2" t="s">
        <v>11</v>
      </c>
      <c r="G11903" s="2" t="s">
        <v>20749</v>
      </c>
      <c r="H11903" s="2" t="s">
        <v>20750</v>
      </c>
    </row>
    <row r="11904" spans="1:8" ht="25.05" customHeight="1" x14ac:dyDescent="0.25">
      <c r="A11904" s="2" t="s">
        <v>8</v>
      </c>
      <c r="B11904" s="2" t="str">
        <f>HYPERLINK("http://ts.21cn.com/tousu/show/id/1343227","你我贷高利贷，利息超高")</f>
        <v>你我贷高利贷，利息超高</v>
      </c>
      <c r="C11904" s="2" t="s">
        <v>9</v>
      </c>
      <c r="D11904" s="2" t="s">
        <v>10</v>
      </c>
      <c r="E11904" s="2" t="str">
        <f>HYPERLINK("http://ts.21cn.com/tousu/show/id/1343227","http://ts.21cn.com/tousu/show/id/1343227")</f>
        <v>http://ts.21cn.com/tousu/show/id/1343227</v>
      </c>
      <c r="F11904" s="2" t="s">
        <v>11</v>
      </c>
      <c r="G11904" s="2" t="s">
        <v>20747</v>
      </c>
      <c r="H11904" s="2" t="s">
        <v>20748</v>
      </c>
    </row>
    <row r="11905" spans="1:8" ht="25.05" customHeight="1" x14ac:dyDescent="0.25">
      <c r="A11905" s="2" t="s">
        <v>8</v>
      </c>
      <c r="B11905" s="2" t="str">
        <f>HYPERLINK("http://ts.21cn.com/tousu/show/id/1343228","来花花高利贷高额砍头息714")</f>
        <v>来花花高利贷高额砍头息714</v>
      </c>
      <c r="C11905" s="2" t="s">
        <v>9</v>
      </c>
      <c r="D11905" s="2" t="s">
        <v>10</v>
      </c>
      <c r="E11905" s="2" t="str">
        <f>HYPERLINK("http://ts.21cn.com/tousu/show/id/1343228","http://ts.21cn.com/tousu/show/id/1343228")</f>
        <v>http://ts.21cn.com/tousu/show/id/1343228</v>
      </c>
      <c r="F11905" s="2" t="s">
        <v>11</v>
      </c>
      <c r="G11905" s="2" t="s">
        <v>20745</v>
      </c>
      <c r="H11905" s="2" t="s">
        <v>20746</v>
      </c>
    </row>
    <row r="11906" spans="1:8" ht="25.05" customHeight="1" x14ac:dyDescent="0.25">
      <c r="A11906" s="2" t="s">
        <v>8</v>
      </c>
      <c r="B11906" s="2" t="str">
        <f>HYPERLINK("http://ts.21cn.com/tousu/show/id/1343230","如期分期滥收费")</f>
        <v>如期分期滥收费</v>
      </c>
      <c r="C11906" s="2" t="s">
        <v>9</v>
      </c>
      <c r="D11906" s="2" t="s">
        <v>10</v>
      </c>
      <c r="E11906" s="2" t="str">
        <f>HYPERLINK("http://ts.21cn.com/tousu/show/id/1343230","http://ts.21cn.com/tousu/show/id/1343230")</f>
        <v>http://ts.21cn.com/tousu/show/id/1343230</v>
      </c>
      <c r="F11906" s="2" t="s">
        <v>11</v>
      </c>
      <c r="G11906" s="2" t="s">
        <v>20743</v>
      </c>
      <c r="H11906" s="2" t="s">
        <v>20744</v>
      </c>
    </row>
    <row r="11907" spans="1:8" ht="25.05" customHeight="1" x14ac:dyDescent="0.25">
      <c r="A11907" s="2" t="s">
        <v>8</v>
      </c>
      <c r="B11907" s="2" t="str">
        <f>HYPERLINK("http://ts.21cn.com/tousu/show/id/1343232","消费中金-嘉盈顺乱扣我卡里钱")</f>
        <v>消费中金-嘉盈顺乱扣我卡里钱</v>
      </c>
      <c r="C11907" s="2" t="s">
        <v>9</v>
      </c>
      <c r="D11907" s="2" t="s">
        <v>10</v>
      </c>
      <c r="E11907" s="2" t="str">
        <f>HYPERLINK("http://ts.21cn.com/tousu/show/id/1343232","http://ts.21cn.com/tousu/show/id/1343232")</f>
        <v>http://ts.21cn.com/tousu/show/id/1343232</v>
      </c>
      <c r="F11907" s="2" t="s">
        <v>11</v>
      </c>
      <c r="G11907" s="2" t="s">
        <v>20741</v>
      </c>
      <c r="H11907" s="2" t="s">
        <v>20742</v>
      </c>
    </row>
    <row r="11908" spans="1:8" ht="25.05" customHeight="1" x14ac:dyDescent="0.25">
      <c r="A11908" s="2" t="s">
        <v>8</v>
      </c>
      <c r="B11908" s="2" t="str">
        <f>HYPERLINK("http://ts.21cn.com/tousu/show/id/1343234","投诉安亿花app，退回欺诈的198元钱。")</f>
        <v>投诉安亿花app，退回欺诈的198元钱。</v>
      </c>
      <c r="C11908" s="2" t="s">
        <v>9</v>
      </c>
      <c r="D11908" s="2" t="s">
        <v>10</v>
      </c>
      <c r="E11908" s="2" t="str">
        <f>HYPERLINK("http://ts.21cn.com/tousu/show/id/1343234","http://ts.21cn.com/tousu/show/id/1343234")</f>
        <v>http://ts.21cn.com/tousu/show/id/1343234</v>
      </c>
      <c r="F11908" s="2" t="s">
        <v>11</v>
      </c>
      <c r="G11908" s="2" t="s">
        <v>20739</v>
      </c>
      <c r="H11908" s="2" t="s">
        <v>20740</v>
      </c>
    </row>
    <row r="11909" spans="1:8" ht="25.05" customHeight="1" x14ac:dyDescent="0.25">
      <c r="A11909" s="2" t="s">
        <v>8</v>
      </c>
      <c r="B11909" s="2" t="str">
        <f>HYPERLINK("http://ts.21cn.com/tousu/show/id/1343236","拍拍贷利息严重超出国家搞定范围")</f>
        <v>拍拍贷利息严重超出国家搞定范围</v>
      </c>
      <c r="C11909" s="2" t="s">
        <v>9</v>
      </c>
      <c r="D11909" s="2" t="s">
        <v>10</v>
      </c>
      <c r="E11909" s="2" t="str">
        <f>HYPERLINK("http://ts.21cn.com/tousu/show/id/1343236","http://ts.21cn.com/tousu/show/id/1343236")</f>
        <v>http://ts.21cn.com/tousu/show/id/1343236</v>
      </c>
      <c r="F11909" s="2" t="s">
        <v>11</v>
      </c>
      <c r="G11909" s="2" t="s">
        <v>20737</v>
      </c>
      <c r="H11909" s="2" t="s">
        <v>20738</v>
      </c>
    </row>
    <row r="11910" spans="1:8" ht="25.05" customHeight="1" x14ac:dyDescent="0.25">
      <c r="A11910" s="2" t="s">
        <v>8</v>
      </c>
      <c r="B11910" s="2" t="str">
        <f>HYPERLINK("http://ts.21cn.com/tousu/show/id/1343237","马上金融安逸花无故锁定账户")</f>
        <v>马上金融安逸花无故锁定账户</v>
      </c>
      <c r="C11910" s="2" t="s">
        <v>9</v>
      </c>
      <c r="D11910" s="2" t="s">
        <v>10</v>
      </c>
      <c r="E11910" s="2" t="str">
        <f>HYPERLINK("http://ts.21cn.com/tousu/show/id/1343237","http://ts.21cn.com/tousu/show/id/1343237")</f>
        <v>http://ts.21cn.com/tousu/show/id/1343237</v>
      </c>
      <c r="F11910" s="2" t="s">
        <v>11</v>
      </c>
      <c r="G11910" s="2" t="s">
        <v>20735</v>
      </c>
      <c r="H11910" s="2" t="s">
        <v>20736</v>
      </c>
    </row>
    <row r="11911" spans="1:8" ht="25.05" customHeight="1" x14ac:dyDescent="0.25">
      <c r="A11911" s="2" t="s">
        <v>8</v>
      </c>
      <c r="B11911" s="2" t="str">
        <f>HYPERLINK("http://ts.21cn.com/tousu/show/id/1343238","钱站收取砍头息，阴阳合同。高利贷")</f>
        <v>钱站收取砍头息，阴阳合同。高利贷</v>
      </c>
      <c r="C11911" s="2" t="s">
        <v>9</v>
      </c>
      <c r="D11911" s="2" t="s">
        <v>10</v>
      </c>
      <c r="E11911" s="2" t="str">
        <f>HYPERLINK("http://ts.21cn.com/tousu/show/id/1343238","http://ts.21cn.com/tousu/show/id/1343238")</f>
        <v>http://ts.21cn.com/tousu/show/id/1343238</v>
      </c>
      <c r="F11911" s="2" t="s">
        <v>11</v>
      </c>
      <c r="G11911" s="2" t="s">
        <v>20733</v>
      </c>
      <c r="H11911" s="2" t="s">
        <v>20734</v>
      </c>
    </row>
    <row r="11912" spans="1:8" ht="25.05" customHeight="1" x14ac:dyDescent="0.25">
      <c r="A11912" s="2" t="s">
        <v>8</v>
      </c>
      <c r="B11912" s="2" t="str">
        <f>HYPERLINK("http://ts.21cn.com/tousu/show/id/1343239","友信信贷在未逾期的时间内对借款人进行暴力催收")</f>
        <v>友信信贷在未逾期的时间内对借款人进行暴力催收</v>
      </c>
      <c r="C11912" s="2" t="s">
        <v>9</v>
      </c>
      <c r="D11912" s="2" t="s">
        <v>10</v>
      </c>
      <c r="E11912" s="2" t="str">
        <f>HYPERLINK("http://ts.21cn.com/tousu/show/id/1343239","http://ts.21cn.com/tousu/show/id/1343239")</f>
        <v>http://ts.21cn.com/tousu/show/id/1343239</v>
      </c>
      <c r="F11912" s="2" t="s">
        <v>11</v>
      </c>
      <c r="G11912" s="2" t="s">
        <v>20731</v>
      </c>
      <c r="H11912" s="2" t="s">
        <v>20732</v>
      </c>
    </row>
    <row r="11913" spans="1:8" ht="25.05" customHeight="1" x14ac:dyDescent="0.25">
      <c r="A11913" s="2" t="s">
        <v>8</v>
      </c>
      <c r="B11913" s="2" t="str">
        <f>HYPERLINK("http://ts.21cn.com/tousu/show/id/1343240","用钱宝无法还款，看不到借款页面，导致我逾期")</f>
        <v>用钱宝无法还款，看不到借款页面，导致我逾期</v>
      </c>
      <c r="C11913" s="2" t="s">
        <v>34</v>
      </c>
      <c r="D11913" s="2" t="s">
        <v>10</v>
      </c>
      <c r="E11913" s="2" t="str">
        <f>HYPERLINK("http://ts.21cn.com/tousu/show/id/1343240","http://ts.21cn.com/tousu/show/id/1343240")</f>
        <v>http://ts.21cn.com/tousu/show/id/1343240</v>
      </c>
      <c r="F11913" s="2" t="s">
        <v>11</v>
      </c>
      <c r="G11913" s="2" t="s">
        <v>20729</v>
      </c>
      <c r="H11913" s="2" t="s">
        <v>20730</v>
      </c>
    </row>
    <row r="11914" spans="1:8" ht="25.05" customHeight="1" x14ac:dyDescent="0.25">
      <c r="A11914" s="2" t="s">
        <v>8</v>
      </c>
      <c r="B11914" s="2" t="str">
        <f>HYPERLINK("http://ts.21cn.com/tousu/show/id/1343241","及贷催收人员暴力催收")</f>
        <v>及贷催收人员暴力催收</v>
      </c>
      <c r="C11914" s="2" t="s">
        <v>9</v>
      </c>
      <c r="D11914" s="2" t="s">
        <v>10</v>
      </c>
      <c r="E11914" s="2" t="str">
        <f>HYPERLINK("http://ts.21cn.com/tousu/show/id/1343241","http://ts.21cn.com/tousu/show/id/1343241")</f>
        <v>http://ts.21cn.com/tousu/show/id/1343241</v>
      </c>
      <c r="F11914" s="2" t="s">
        <v>11</v>
      </c>
      <c r="G11914" s="2" t="s">
        <v>20727</v>
      </c>
      <c r="H11914" s="2" t="s">
        <v>20728</v>
      </c>
    </row>
    <row r="11915" spans="1:8" ht="25.05" customHeight="1" x14ac:dyDescent="0.25">
      <c r="A11915" s="2" t="s">
        <v>8</v>
      </c>
      <c r="B11915" s="2" t="str">
        <f>HYPERLINK("http://ts.21cn.com/tousu/show/id/1343242","360借条和有钱花")</f>
        <v>360借条和有钱花</v>
      </c>
      <c r="C11915" s="2" t="s">
        <v>34</v>
      </c>
      <c r="D11915" s="2" t="s">
        <v>10</v>
      </c>
      <c r="E11915" s="2" t="str">
        <f>HYPERLINK("http://ts.21cn.com/tousu/show/id/1343242","http://ts.21cn.com/tousu/show/id/1343242")</f>
        <v>http://ts.21cn.com/tousu/show/id/1343242</v>
      </c>
      <c r="F11915" s="2" t="s">
        <v>11</v>
      </c>
      <c r="G11915" s="2" t="s">
        <v>20725</v>
      </c>
      <c r="H11915" s="2" t="s">
        <v>20726</v>
      </c>
    </row>
    <row r="11916" spans="1:8" ht="25.05" customHeight="1" x14ac:dyDescent="0.25">
      <c r="A11916" s="2" t="s">
        <v>8</v>
      </c>
      <c r="B11916" s="2" t="str">
        <f>HYPERLINK("http://ts.21cn.com/tousu/show/id/1343243","钱站违法乱纪收取高额逾期费")</f>
        <v>钱站违法乱纪收取高额逾期费</v>
      </c>
      <c r="C11916" s="2" t="s">
        <v>9</v>
      </c>
      <c r="D11916" s="2" t="s">
        <v>10</v>
      </c>
      <c r="E11916" s="2" t="str">
        <f>HYPERLINK("http://ts.21cn.com/tousu/show/id/1343243","http://ts.21cn.com/tousu/show/id/1343243")</f>
        <v>http://ts.21cn.com/tousu/show/id/1343243</v>
      </c>
      <c r="F11916" s="2" t="s">
        <v>11</v>
      </c>
      <c r="G11916" s="2" t="s">
        <v>20723</v>
      </c>
      <c r="H11916" s="2" t="s">
        <v>20724</v>
      </c>
    </row>
    <row r="11917" spans="1:8" ht="25.05" customHeight="1" x14ac:dyDescent="0.25">
      <c r="A11917" s="2" t="s">
        <v>8</v>
      </c>
      <c r="B11917" s="2" t="str">
        <f>HYPERLINK("http://ts.21cn.com/tousu/show/id/1343244","钱站套路贷，暴力催收")</f>
        <v>钱站套路贷，暴力催收</v>
      </c>
      <c r="C11917" s="2" t="s">
        <v>9</v>
      </c>
      <c r="D11917" s="2" t="s">
        <v>10</v>
      </c>
      <c r="E11917" s="2" t="str">
        <f>HYPERLINK("http://ts.21cn.com/tousu/show/id/1343244","http://ts.21cn.com/tousu/show/id/1343244")</f>
        <v>http://ts.21cn.com/tousu/show/id/1343244</v>
      </c>
      <c r="F11917" s="2" t="s">
        <v>11</v>
      </c>
      <c r="G11917" s="2" t="s">
        <v>20721</v>
      </c>
      <c r="H11917" s="2" t="s">
        <v>20722</v>
      </c>
    </row>
    <row r="11918" spans="1:8" ht="25.05" customHeight="1" x14ac:dyDescent="0.25">
      <c r="A11918" s="2" t="s">
        <v>8</v>
      </c>
      <c r="B11918" s="2" t="str">
        <f>HYPERLINK("http://ts.21cn.com/tousu/show/id/1343245","南京玉恒商业管理有限公司疑似跑路")</f>
        <v>南京玉恒商业管理有限公司疑似跑路</v>
      </c>
      <c r="C11918" s="2" t="s">
        <v>9</v>
      </c>
      <c r="D11918" s="2" t="s">
        <v>10</v>
      </c>
      <c r="E11918" s="2" t="str">
        <f>HYPERLINK("http://ts.21cn.com/tousu/show/id/1343245","http://ts.21cn.com/tousu/show/id/1343245")</f>
        <v>http://ts.21cn.com/tousu/show/id/1343245</v>
      </c>
      <c r="F11918" s="2" t="s">
        <v>11</v>
      </c>
      <c r="G11918" s="2" t="s">
        <v>20719</v>
      </c>
      <c r="H11918" s="2" t="s">
        <v>20720</v>
      </c>
    </row>
    <row r="11919" spans="1:8" ht="25.05" customHeight="1" x14ac:dyDescent="0.25">
      <c r="A11919" s="2" t="s">
        <v>8</v>
      </c>
      <c r="B11919" s="2" t="str">
        <f>HYPERLINK("http://ts.21cn.com/tousu/show/id/1343246","有钱花还款超限")</f>
        <v>有钱花还款超限</v>
      </c>
      <c r="C11919" s="2" t="s">
        <v>9</v>
      </c>
      <c r="D11919" s="2" t="s">
        <v>10</v>
      </c>
      <c r="E11919" s="2" t="str">
        <f>HYPERLINK("http://ts.21cn.com/tousu/show/id/1343246","http://ts.21cn.com/tousu/show/id/1343246")</f>
        <v>http://ts.21cn.com/tousu/show/id/1343246</v>
      </c>
      <c r="F11919" s="2" t="s">
        <v>11</v>
      </c>
      <c r="G11919" s="2" t="s">
        <v>20717</v>
      </c>
      <c r="H11919" s="2" t="s">
        <v>20718</v>
      </c>
    </row>
    <row r="11920" spans="1:8" ht="25.05" customHeight="1" x14ac:dyDescent="0.25">
      <c r="A11920" s="2" t="s">
        <v>8</v>
      </c>
      <c r="B11920" s="2" t="str">
        <f>HYPERLINK("http://ts.21cn.com/tousu/show/id/1343247","苹果扣费问题")</f>
        <v>苹果扣费问题</v>
      </c>
      <c r="C11920" s="2" t="s">
        <v>9</v>
      </c>
      <c r="D11920" s="2" t="s">
        <v>10</v>
      </c>
      <c r="E11920" s="2" t="str">
        <f>HYPERLINK("http://ts.21cn.com/tousu/show/id/1343247","http://ts.21cn.com/tousu/show/id/1343247")</f>
        <v>http://ts.21cn.com/tousu/show/id/1343247</v>
      </c>
      <c r="F11920" s="2" t="s">
        <v>11</v>
      </c>
      <c r="G11920" s="2" t="s">
        <v>20715</v>
      </c>
      <c r="H11920" s="2" t="s">
        <v>20716</v>
      </c>
    </row>
    <row r="11921" spans="1:8" ht="25.05" customHeight="1" x14ac:dyDescent="0.25">
      <c r="A11921" s="2" t="s">
        <v>8</v>
      </c>
      <c r="B11921" s="2" t="str">
        <f>HYPERLINK("http://ts.21cn.com/tousu/show/id/1343248","高利息")</f>
        <v>高利息</v>
      </c>
      <c r="C11921" s="2" t="s">
        <v>9</v>
      </c>
      <c r="D11921" s="2" t="s">
        <v>10</v>
      </c>
      <c r="E11921" s="2" t="str">
        <f>HYPERLINK("http://ts.21cn.com/tousu/show/id/1343248","http://ts.21cn.com/tousu/show/id/1343248")</f>
        <v>http://ts.21cn.com/tousu/show/id/1343248</v>
      </c>
      <c r="F11921" s="2" t="s">
        <v>11</v>
      </c>
      <c r="G11921" s="2" t="s">
        <v>20713</v>
      </c>
      <c r="H11921" s="2" t="s">
        <v>20714</v>
      </c>
    </row>
    <row r="11922" spans="1:8" ht="25.05" customHeight="1" x14ac:dyDescent="0.25">
      <c r="A11922" s="2" t="s">
        <v>8</v>
      </c>
      <c r="B11922" s="2" t="str">
        <f>HYPERLINK("http://ts.21cn.com/tousu/show/id/1343249","立借高利贷，放款过后显示还款计划")</f>
        <v>立借高利贷，放款过后显示还款计划</v>
      </c>
      <c r="C11922" s="2" t="s">
        <v>9</v>
      </c>
      <c r="D11922" s="2" t="s">
        <v>10</v>
      </c>
      <c r="E11922" s="2" t="str">
        <f>HYPERLINK("http://ts.21cn.com/tousu/show/id/1343249","http://ts.21cn.com/tousu/show/id/1343249")</f>
        <v>http://ts.21cn.com/tousu/show/id/1343249</v>
      </c>
      <c r="F11922" s="2" t="s">
        <v>11</v>
      </c>
      <c r="G11922" s="2" t="s">
        <v>20711</v>
      </c>
      <c r="H11922" s="2" t="s">
        <v>20712</v>
      </c>
    </row>
    <row r="11923" spans="1:8" ht="25.05" customHeight="1" x14ac:dyDescent="0.25">
      <c r="A11923" s="2" t="s">
        <v>8</v>
      </c>
      <c r="B11923" s="2" t="str">
        <f>HYPERLINK("http://ts.21cn.com/tousu/show/id/1343250","业务员办理时说利息低，实际是高利息，说的和实际情况差很远。")</f>
        <v>业务员办理时说利息低，实际是高利息，说的和实际情况差很远。</v>
      </c>
      <c r="C11923" s="2" t="s">
        <v>34</v>
      </c>
      <c r="D11923" s="2" t="s">
        <v>10</v>
      </c>
      <c r="E11923" s="2" t="str">
        <f>HYPERLINK("http://ts.21cn.com/tousu/show/id/1343250","http://ts.21cn.com/tousu/show/id/1343250")</f>
        <v>http://ts.21cn.com/tousu/show/id/1343250</v>
      </c>
      <c r="F11923" s="2" t="s">
        <v>11</v>
      </c>
      <c r="G11923" s="2" t="s">
        <v>20709</v>
      </c>
      <c r="H11923" s="2" t="s">
        <v>20710</v>
      </c>
    </row>
    <row r="11924" spans="1:8" ht="25.05" customHeight="1" x14ac:dyDescent="0.25">
      <c r="A11924" s="2" t="s">
        <v>8</v>
      </c>
      <c r="B11924" s="2" t="str">
        <f>HYPERLINK("http://ts.21cn.com/tousu/show/id/1343251","聚富分期私自扣款")</f>
        <v>聚富分期私自扣款</v>
      </c>
      <c r="C11924" s="2" t="s">
        <v>9</v>
      </c>
      <c r="D11924" s="2" t="s">
        <v>10</v>
      </c>
      <c r="E11924" s="2" t="str">
        <f>HYPERLINK("http://ts.21cn.com/tousu/show/id/1343251","http://ts.21cn.com/tousu/show/id/1343251")</f>
        <v>http://ts.21cn.com/tousu/show/id/1343251</v>
      </c>
      <c r="F11924" s="2" t="s">
        <v>11</v>
      </c>
      <c r="G11924" s="2" t="s">
        <v>20707</v>
      </c>
      <c r="H11924" s="2" t="s">
        <v>20708</v>
      </c>
    </row>
    <row r="11925" spans="1:8" ht="25.05" customHeight="1" x14ac:dyDescent="0.25">
      <c r="A11925" s="2" t="s">
        <v>8</v>
      </c>
      <c r="B11925" s="2" t="str">
        <f>HYPERLINK("http://ts.21cn.com/tousu/show/id/1343252","万分期贷，取消订单")</f>
        <v>万分期贷，取消订单</v>
      </c>
      <c r="C11925" s="2" t="s">
        <v>9</v>
      </c>
      <c r="D11925" s="2" t="s">
        <v>10</v>
      </c>
      <c r="E11925" s="2" t="str">
        <f>HYPERLINK("http://ts.21cn.com/tousu/show/id/1343252","http://ts.21cn.com/tousu/show/id/1343252")</f>
        <v>http://ts.21cn.com/tousu/show/id/1343252</v>
      </c>
      <c r="F11925" s="2" t="s">
        <v>11</v>
      </c>
      <c r="G11925" s="2" t="s">
        <v>20705</v>
      </c>
      <c r="H11925" s="2" t="s">
        <v>20706</v>
      </c>
    </row>
    <row r="11926" spans="1:8" ht="25.05" customHeight="1" x14ac:dyDescent="0.25">
      <c r="A11926" s="2" t="s">
        <v>8</v>
      </c>
      <c r="B11926" s="2" t="str">
        <f>HYPERLINK("http://ts.21cn.com/tousu/show/id/1343253","投诉安逸花暴力催收")</f>
        <v>投诉安逸花暴力催收</v>
      </c>
      <c r="C11926" s="2" t="s">
        <v>9</v>
      </c>
      <c r="D11926" s="2" t="s">
        <v>10</v>
      </c>
      <c r="E11926" s="2" t="str">
        <f>HYPERLINK("http://ts.21cn.com/tousu/show/id/1343253","http://ts.21cn.com/tousu/show/id/1343253")</f>
        <v>http://ts.21cn.com/tousu/show/id/1343253</v>
      </c>
      <c r="F11926" s="2" t="s">
        <v>11</v>
      </c>
      <c r="G11926" s="2" t="s">
        <v>20703</v>
      </c>
      <c r="H11926" s="2" t="s">
        <v>20704</v>
      </c>
    </row>
    <row r="11927" spans="1:8" ht="25.05" customHeight="1" x14ac:dyDescent="0.25">
      <c r="A11927" s="2" t="s">
        <v>8</v>
      </c>
      <c r="B11927" s="2" t="str">
        <f>HYPERLINK("http://ts.21cn.com/tousu/show/id/1343254","微粒贷在未经本人同意情况下，上门催收")</f>
        <v>微粒贷在未经本人同意情况下，上门催收</v>
      </c>
      <c r="C11927" s="2" t="s">
        <v>9</v>
      </c>
      <c r="D11927" s="2" t="s">
        <v>10</v>
      </c>
      <c r="E11927" s="2" t="str">
        <f>HYPERLINK("http://ts.21cn.com/tousu/show/id/1343254","http://ts.21cn.com/tousu/show/id/1343254")</f>
        <v>http://ts.21cn.com/tousu/show/id/1343254</v>
      </c>
      <c r="F11927" s="2" t="s">
        <v>11</v>
      </c>
      <c r="G11927" s="2" t="s">
        <v>20701</v>
      </c>
      <c r="H11927" s="2" t="s">
        <v>20702</v>
      </c>
    </row>
    <row r="11928" spans="1:8" ht="25.05" customHeight="1" x14ac:dyDescent="0.25">
      <c r="A11928" s="2" t="s">
        <v>8</v>
      </c>
      <c r="B11928" s="2" t="str">
        <f>HYPERLINK("http://ts.21cn.com/tousu/show/id/1343255","滴滴出行，不根据实际情况随意扣除司机服务分")</f>
        <v>滴滴出行，不根据实际情况随意扣除司机服务分</v>
      </c>
      <c r="C11928" s="2" t="s">
        <v>34</v>
      </c>
      <c r="D11928" s="2" t="s">
        <v>10</v>
      </c>
      <c r="E11928" s="2" t="str">
        <f>HYPERLINK("http://ts.21cn.com/tousu/show/id/1343255","http://ts.21cn.com/tousu/show/id/1343255")</f>
        <v>http://ts.21cn.com/tousu/show/id/1343255</v>
      </c>
      <c r="F11928" s="2" t="s">
        <v>11</v>
      </c>
      <c r="G11928" s="2" t="s">
        <v>20699</v>
      </c>
      <c r="H11928" s="2" t="s">
        <v>20700</v>
      </c>
    </row>
    <row r="11929" spans="1:8" ht="25.05" customHeight="1" x14ac:dyDescent="0.25">
      <c r="A11929" s="2" t="s">
        <v>8</v>
      </c>
      <c r="B11929" s="2" t="str">
        <f>HYPERLINK("http://ts.21cn.com/tousu/show/id/1343256","拍拍贷违法催收")</f>
        <v>拍拍贷违法催收</v>
      </c>
      <c r="C11929" s="2" t="s">
        <v>9</v>
      </c>
      <c r="D11929" s="2" t="s">
        <v>10</v>
      </c>
      <c r="E11929" s="2" t="str">
        <f>HYPERLINK("http://ts.21cn.com/tousu/show/id/1343256","http://ts.21cn.com/tousu/show/id/1343256")</f>
        <v>http://ts.21cn.com/tousu/show/id/1343256</v>
      </c>
      <c r="F11929" s="2" t="s">
        <v>11</v>
      </c>
      <c r="G11929" s="2" t="s">
        <v>20697</v>
      </c>
      <c r="H11929" s="2" t="s">
        <v>20698</v>
      </c>
    </row>
    <row r="11930" spans="1:8" ht="25.05" customHeight="1" x14ac:dyDescent="0.25">
      <c r="A11930" s="2" t="s">
        <v>8</v>
      </c>
      <c r="B11930" s="2" t="str">
        <f>HYPERLINK("http://ts.21cn.com/tousu/show/id/1343258","聚富分期恶意扣费")</f>
        <v>聚富分期恶意扣费</v>
      </c>
      <c r="C11930" s="2" t="s">
        <v>9</v>
      </c>
      <c r="D11930" s="2" t="s">
        <v>10</v>
      </c>
      <c r="E11930" s="2" t="str">
        <f>HYPERLINK("http://ts.21cn.com/tousu/show/id/1343258","http://ts.21cn.com/tousu/show/id/1343258")</f>
        <v>http://ts.21cn.com/tousu/show/id/1343258</v>
      </c>
      <c r="F11930" s="2" t="s">
        <v>11</v>
      </c>
      <c r="G11930" s="2" t="s">
        <v>20695</v>
      </c>
      <c r="H11930" s="2" t="s">
        <v>20696</v>
      </c>
    </row>
    <row r="11931" spans="1:8" ht="25.05" customHeight="1" x14ac:dyDescent="0.25">
      <c r="A11931" s="2" t="s">
        <v>8</v>
      </c>
      <c r="B11931" s="2" t="str">
        <f>HYPERLINK("http://ts.21cn.com/tousu/show/id/1343259","银行卡盗刷")</f>
        <v>银行卡盗刷</v>
      </c>
      <c r="C11931" s="2" t="s">
        <v>9</v>
      </c>
      <c r="D11931" s="2" t="s">
        <v>10</v>
      </c>
      <c r="E11931" s="2" t="str">
        <f>HYPERLINK("http://ts.21cn.com/tousu/show/id/1343259","http://ts.21cn.com/tousu/show/id/1343259")</f>
        <v>http://ts.21cn.com/tousu/show/id/1343259</v>
      </c>
      <c r="F11931" s="2" t="s">
        <v>11</v>
      </c>
      <c r="G11931" s="2" t="s">
        <v>20693</v>
      </c>
      <c r="H11931" s="2" t="s">
        <v>20694</v>
      </c>
    </row>
    <row r="11932" spans="1:8" ht="25.05" customHeight="1" x14ac:dyDescent="0.25">
      <c r="A11932" s="2" t="s">
        <v>8</v>
      </c>
      <c r="B11932" s="2" t="str">
        <f>HYPERLINK("http://ts.21cn.com/tousu/show/id/1343260","钱站高利贷阴阳合同")</f>
        <v>钱站高利贷阴阳合同</v>
      </c>
      <c r="C11932" s="2" t="s">
        <v>9</v>
      </c>
      <c r="D11932" s="2" t="s">
        <v>10</v>
      </c>
      <c r="E11932" s="2" t="str">
        <f>HYPERLINK("http://ts.21cn.com/tousu/show/id/1343260","http://ts.21cn.com/tousu/show/id/1343260")</f>
        <v>http://ts.21cn.com/tousu/show/id/1343260</v>
      </c>
      <c r="F11932" s="2" t="s">
        <v>11</v>
      </c>
      <c r="G11932" s="2" t="s">
        <v>20691</v>
      </c>
      <c r="H11932" s="2" t="s">
        <v>20692</v>
      </c>
    </row>
    <row r="11933" spans="1:8" ht="25.05" customHeight="1" x14ac:dyDescent="0.25">
      <c r="A11933" s="2" t="s">
        <v>8</v>
      </c>
      <c r="B11933" s="2" t="str">
        <f>HYPERLINK("http://ts.21cn.com/tousu/show/id/1343261","钱站高利贷阴阳合同")</f>
        <v>钱站高利贷阴阳合同</v>
      </c>
      <c r="C11933" s="2" t="s">
        <v>9</v>
      </c>
      <c r="D11933" s="2" t="s">
        <v>10</v>
      </c>
      <c r="E11933" s="2" t="str">
        <f>HYPERLINK("http://ts.21cn.com/tousu/show/id/1343261","http://ts.21cn.com/tousu/show/id/1343261")</f>
        <v>http://ts.21cn.com/tousu/show/id/1343261</v>
      </c>
      <c r="F11933" s="2" t="s">
        <v>11</v>
      </c>
      <c r="G11933" s="2" t="s">
        <v>20689</v>
      </c>
      <c r="H11933" s="2" t="s">
        <v>20690</v>
      </c>
    </row>
    <row r="11934" spans="1:8" ht="25.05" customHeight="1" x14ac:dyDescent="0.25">
      <c r="A11934" s="2" t="s">
        <v>8</v>
      </c>
      <c r="B11934" s="2" t="str">
        <f>HYPERLINK("http://ts.21cn.com/tousu/show/id/1343262","中国银行扣款不给销户")</f>
        <v>中国银行扣款不给销户</v>
      </c>
      <c r="C11934" s="2" t="s">
        <v>9</v>
      </c>
      <c r="D11934" s="2" t="s">
        <v>10</v>
      </c>
      <c r="E11934" s="2" t="str">
        <f>HYPERLINK("http://ts.21cn.com/tousu/show/id/1343262","http://ts.21cn.com/tousu/show/id/1343262")</f>
        <v>http://ts.21cn.com/tousu/show/id/1343262</v>
      </c>
      <c r="F11934" s="2" t="s">
        <v>11</v>
      </c>
      <c r="G11934" s="2" t="s">
        <v>20687</v>
      </c>
      <c r="H11934" s="2" t="s">
        <v>20688</v>
      </c>
    </row>
    <row r="11935" spans="1:8" ht="25.05" customHeight="1" x14ac:dyDescent="0.25">
      <c r="A11935" s="2" t="s">
        <v>8</v>
      </c>
      <c r="B11935" s="2" t="str">
        <f>HYPERLINK("http://ts.21cn.com/tousu/show/id/1343263","交通银行骚扰老人")</f>
        <v>交通银行骚扰老人</v>
      </c>
      <c r="C11935" s="2" t="s">
        <v>9</v>
      </c>
      <c r="D11935" s="2" t="s">
        <v>10</v>
      </c>
      <c r="E11935" s="2" t="str">
        <f>HYPERLINK("http://ts.21cn.com/tousu/show/id/1343263","http://ts.21cn.com/tousu/show/id/1343263")</f>
        <v>http://ts.21cn.com/tousu/show/id/1343263</v>
      </c>
      <c r="F11935" s="2" t="s">
        <v>11</v>
      </c>
      <c r="G11935" s="2" t="s">
        <v>20685</v>
      </c>
      <c r="H11935" s="2" t="s">
        <v>20686</v>
      </c>
    </row>
    <row r="11936" spans="1:8" ht="25.05" customHeight="1" x14ac:dyDescent="0.25">
      <c r="A11936" s="2" t="s">
        <v>8</v>
      </c>
      <c r="B11936" s="2" t="str">
        <f>HYPERLINK("http://ts.21cn.com/tousu/show/id/1343264","飞行钱包，要求退款")</f>
        <v>飞行钱包，要求退款</v>
      </c>
      <c r="C11936" s="2" t="s">
        <v>9</v>
      </c>
      <c r="D11936" s="2" t="s">
        <v>10</v>
      </c>
      <c r="E11936" s="2" t="str">
        <f>HYPERLINK("http://ts.21cn.com/tousu/show/id/1343264","http://ts.21cn.com/tousu/show/id/1343264")</f>
        <v>http://ts.21cn.com/tousu/show/id/1343264</v>
      </c>
      <c r="F11936" s="2" t="s">
        <v>11</v>
      </c>
      <c r="G11936" s="2" t="s">
        <v>20683</v>
      </c>
      <c r="H11936" s="2" t="s">
        <v>20684</v>
      </c>
    </row>
    <row r="11937" spans="1:8" ht="25.05" customHeight="1" x14ac:dyDescent="0.25">
      <c r="A11937" s="2" t="s">
        <v>8</v>
      </c>
      <c r="B11937" s="2" t="str">
        <f>HYPERLINK("http://ts.21cn.com/tousu/show/id/1343266","打电话致高德地图客服反应导航问题，超过7天未处理")</f>
        <v>打电话致高德地图客服反应导航问题，超过7天未处理</v>
      </c>
      <c r="C11937" s="2" t="s">
        <v>9</v>
      </c>
      <c r="D11937" s="2" t="s">
        <v>10</v>
      </c>
      <c r="E11937" s="2" t="str">
        <f>HYPERLINK("http://ts.21cn.com/tousu/show/id/1343266","http://ts.21cn.com/tousu/show/id/1343266")</f>
        <v>http://ts.21cn.com/tousu/show/id/1343266</v>
      </c>
      <c r="F11937" s="2" t="s">
        <v>11</v>
      </c>
      <c r="G11937" s="2" t="s">
        <v>20681</v>
      </c>
      <c r="H11937" s="2" t="s">
        <v>20682</v>
      </c>
    </row>
    <row r="11938" spans="1:8" ht="25.05" customHeight="1" x14ac:dyDescent="0.25">
      <c r="A11938" s="2" t="s">
        <v>8</v>
      </c>
      <c r="B11938" s="2" t="str">
        <f>HYPERLINK("http://ts.21cn.com/tousu/show/id/1343267","及贷贷暴力催收高利贷")</f>
        <v>及贷贷暴力催收高利贷</v>
      </c>
      <c r="C11938" s="2" t="s">
        <v>9</v>
      </c>
      <c r="D11938" s="2" t="s">
        <v>10</v>
      </c>
      <c r="E11938" s="2" t="str">
        <f>HYPERLINK("http://ts.21cn.com/tousu/show/id/1343267","http://ts.21cn.com/tousu/show/id/1343267")</f>
        <v>http://ts.21cn.com/tousu/show/id/1343267</v>
      </c>
      <c r="F11938" s="2" t="s">
        <v>11</v>
      </c>
      <c r="G11938" s="2" t="s">
        <v>20679</v>
      </c>
      <c r="H11938" s="2" t="s">
        <v>20680</v>
      </c>
    </row>
    <row r="11939" spans="1:8" ht="25.05" customHeight="1" x14ac:dyDescent="0.25">
      <c r="A11939" s="2" t="s">
        <v>8</v>
      </c>
      <c r="B11939" s="2" t="str">
        <f>HYPERLINK("http://ts.21cn.com/tousu/show/id/1343268","立借钱置宝高利贷")</f>
        <v>立借钱置宝高利贷</v>
      </c>
      <c r="C11939" s="2" t="s">
        <v>9</v>
      </c>
      <c r="D11939" s="2" t="s">
        <v>10</v>
      </c>
      <c r="E11939" s="2" t="str">
        <f>HYPERLINK("http://ts.21cn.com/tousu/show/id/1343268","http://ts.21cn.com/tousu/show/id/1343268")</f>
        <v>http://ts.21cn.com/tousu/show/id/1343268</v>
      </c>
      <c r="F11939" s="2" t="s">
        <v>11</v>
      </c>
      <c r="G11939" s="2" t="s">
        <v>20677</v>
      </c>
      <c r="H11939" s="2" t="s">
        <v>20678</v>
      </c>
    </row>
    <row r="11940" spans="1:8" ht="25.05" customHeight="1" x14ac:dyDescent="0.25">
      <c r="A11940" s="2" t="s">
        <v>8</v>
      </c>
      <c r="B11940" s="2" t="str">
        <f>HYPERLINK("http://ts.21cn.com/tousu/show/id/1343269","微粒贷逾期微众银行一直不和我联系")</f>
        <v>微粒贷逾期微众银行一直不和我联系</v>
      </c>
      <c r="C11940" s="2" t="s">
        <v>9</v>
      </c>
      <c r="D11940" s="2" t="s">
        <v>10</v>
      </c>
      <c r="E11940" s="2" t="str">
        <f>HYPERLINK("http://ts.21cn.com/tousu/show/id/1343269","http://ts.21cn.com/tousu/show/id/1343269")</f>
        <v>http://ts.21cn.com/tousu/show/id/1343269</v>
      </c>
      <c r="F11940" s="2" t="s">
        <v>11</v>
      </c>
      <c r="G11940" s="2" t="s">
        <v>20675</v>
      </c>
      <c r="H11940" s="2" t="s">
        <v>20676</v>
      </c>
    </row>
    <row r="11941" spans="1:8" ht="25.05" customHeight="1" x14ac:dyDescent="0.25">
      <c r="A11941" s="2" t="s">
        <v>8</v>
      </c>
      <c r="B11941" s="2" t="str">
        <f>HYPERLINK("http://ts.21cn.com/tousu/show/id/1343271","上海跃吉恶意扣款")</f>
        <v>上海跃吉恶意扣款</v>
      </c>
      <c r="C11941" s="2" t="s">
        <v>9</v>
      </c>
      <c r="D11941" s="2" t="s">
        <v>10</v>
      </c>
      <c r="E11941" s="2" t="str">
        <f>HYPERLINK("http://ts.21cn.com/tousu/show/id/1343271","http://ts.21cn.com/tousu/show/id/1343271")</f>
        <v>http://ts.21cn.com/tousu/show/id/1343271</v>
      </c>
      <c r="F11941" s="2" t="s">
        <v>11</v>
      </c>
      <c r="G11941" s="2" t="s">
        <v>20673</v>
      </c>
      <c r="H11941" s="2" t="s">
        <v>20674</v>
      </c>
    </row>
    <row r="11942" spans="1:8" ht="25.05" customHeight="1" x14ac:dyDescent="0.25">
      <c r="A11942" s="2" t="s">
        <v>8</v>
      </c>
      <c r="B11942" s="2" t="str">
        <f>HYPERLINK("http://ts.21cn.com/tousu/show/id/1343272","自由魔卡会员费")</f>
        <v>自由魔卡会员费</v>
      </c>
      <c r="C11942" s="2" t="s">
        <v>9</v>
      </c>
      <c r="D11942" s="2" t="s">
        <v>10</v>
      </c>
      <c r="E11942" s="2" t="str">
        <f>HYPERLINK("http://ts.21cn.com/tousu/show/id/1343272","http://ts.21cn.com/tousu/show/id/1343272")</f>
        <v>http://ts.21cn.com/tousu/show/id/1343272</v>
      </c>
      <c r="F11942" s="2" t="s">
        <v>11</v>
      </c>
      <c r="G11942" s="2" t="s">
        <v>20671</v>
      </c>
      <c r="H11942" s="2" t="s">
        <v>20672</v>
      </c>
    </row>
    <row r="11943" spans="1:8" ht="25.05" customHeight="1" x14ac:dyDescent="0.25">
      <c r="A11943" s="2" t="s">
        <v>8</v>
      </c>
      <c r="B11943" s="2" t="str">
        <f>HYPERLINK("http://ts.21cn.com/tousu/show/id/1343273","珍爱网虚假宣传诱导消费")</f>
        <v>珍爱网虚假宣传诱导消费</v>
      </c>
      <c r="C11943" s="2" t="s">
        <v>9</v>
      </c>
      <c r="D11943" s="2" t="s">
        <v>10</v>
      </c>
      <c r="E11943" s="2" t="str">
        <f>HYPERLINK("http://ts.21cn.com/tousu/show/id/1343273","http://ts.21cn.com/tousu/show/id/1343273")</f>
        <v>http://ts.21cn.com/tousu/show/id/1343273</v>
      </c>
      <c r="F11943" s="2" t="s">
        <v>11</v>
      </c>
      <c r="G11943" s="2" t="s">
        <v>20669</v>
      </c>
      <c r="H11943" s="2" t="s">
        <v>20670</v>
      </c>
    </row>
    <row r="11944" spans="1:8" ht="25.05" customHeight="1" x14ac:dyDescent="0.25">
      <c r="A11944" s="2" t="s">
        <v>8</v>
      </c>
      <c r="B11944" s="2" t="str">
        <f>HYPERLINK("http://ts.21cn.com/tousu/show/id/1343276","人人贷平台利息太高")</f>
        <v>人人贷平台利息太高</v>
      </c>
      <c r="C11944" s="2" t="s">
        <v>9</v>
      </c>
      <c r="D11944" s="2" t="s">
        <v>10</v>
      </c>
      <c r="E11944" s="2" t="str">
        <f>HYPERLINK("http://ts.21cn.com/tousu/show/id/1343276","http://ts.21cn.com/tousu/show/id/1343276")</f>
        <v>http://ts.21cn.com/tousu/show/id/1343276</v>
      </c>
      <c r="F11944" s="2" t="s">
        <v>11</v>
      </c>
      <c r="G11944" s="2" t="s">
        <v>20667</v>
      </c>
      <c r="H11944" s="2" t="s">
        <v>20668</v>
      </c>
    </row>
    <row r="11945" spans="1:8" ht="25.05" customHeight="1" x14ac:dyDescent="0.25">
      <c r="A11945" s="2" t="s">
        <v>8</v>
      </c>
      <c r="B11945" s="2" t="str">
        <f>HYPERLINK("http://ts.21cn.com/tousu/show/id/1343275","创客工具箱恶意标记淘宝买家账号")</f>
        <v>创客工具箱恶意标记淘宝买家账号</v>
      </c>
      <c r="C11945" s="2" t="s">
        <v>34</v>
      </c>
      <c r="D11945" s="2" t="s">
        <v>10</v>
      </c>
      <c r="E11945" s="2" t="str">
        <f>HYPERLINK("http://ts.21cn.com/tousu/show/id/1343275","http://ts.21cn.com/tousu/show/id/1343275")</f>
        <v>http://ts.21cn.com/tousu/show/id/1343275</v>
      </c>
      <c r="F11945" s="2" t="s">
        <v>11</v>
      </c>
      <c r="G11945" s="2" t="s">
        <v>20665</v>
      </c>
      <c r="H11945" s="2" t="s">
        <v>20666</v>
      </c>
    </row>
    <row r="11946" spans="1:8" ht="25.05" customHeight="1" x14ac:dyDescent="0.25">
      <c r="A11946" s="2" t="s">
        <v>8</v>
      </c>
      <c r="B11946" s="2" t="str">
        <f>HYPERLINK("http://ts.21cn.com/tousu/show/id/1343277","暴力催收，")</f>
        <v>暴力催收，</v>
      </c>
      <c r="C11946" s="2" t="s">
        <v>9</v>
      </c>
      <c r="D11946" s="2" t="s">
        <v>10</v>
      </c>
      <c r="E11946" s="2" t="str">
        <f>HYPERLINK("http://ts.21cn.com/tousu/show/id/1343277","http://ts.21cn.com/tousu/show/id/1343277")</f>
        <v>http://ts.21cn.com/tousu/show/id/1343277</v>
      </c>
      <c r="F11946" s="2" t="s">
        <v>11</v>
      </c>
      <c r="G11946" s="2" t="s">
        <v>20663</v>
      </c>
      <c r="H11946" s="2" t="s">
        <v>20664</v>
      </c>
    </row>
    <row r="11947" spans="1:8" ht="25.05" customHeight="1" x14ac:dyDescent="0.25">
      <c r="A11947" s="2" t="s">
        <v>8</v>
      </c>
      <c r="B11947" s="2" t="str">
        <f>HYPERLINK("http://ts.21cn.com/tousu/show/id/1343278","怪兽充电宝乱扣费")</f>
        <v>怪兽充电宝乱扣费</v>
      </c>
      <c r="C11947" s="2" t="s">
        <v>9</v>
      </c>
      <c r="D11947" s="2" t="s">
        <v>10</v>
      </c>
      <c r="E11947" s="2" t="str">
        <f>HYPERLINK("http://ts.21cn.com/tousu/show/id/1343278","http://ts.21cn.com/tousu/show/id/1343278")</f>
        <v>http://ts.21cn.com/tousu/show/id/1343278</v>
      </c>
      <c r="F11947" s="2" t="s">
        <v>11</v>
      </c>
      <c r="G11947" s="2" t="s">
        <v>20661</v>
      </c>
      <c r="H11947" s="2" t="s">
        <v>20662</v>
      </c>
    </row>
    <row r="11948" spans="1:8" ht="25.05" customHeight="1" x14ac:dyDescent="0.25">
      <c r="A11948" s="2" t="s">
        <v>8</v>
      </c>
      <c r="B11948" s="2" t="str">
        <f>HYPERLINK("http://ts.21cn.com/tousu/show/id/1343280","闪银高利息")</f>
        <v>闪银高利息</v>
      </c>
      <c r="C11948" s="2" t="s">
        <v>34</v>
      </c>
      <c r="D11948" s="2" t="s">
        <v>10</v>
      </c>
      <c r="E11948" s="2" t="str">
        <f>HYPERLINK("http://ts.21cn.com/tousu/show/id/1343280","http://ts.21cn.com/tousu/show/id/1343280")</f>
        <v>http://ts.21cn.com/tousu/show/id/1343280</v>
      </c>
      <c r="F11948" s="2" t="s">
        <v>11</v>
      </c>
      <c r="G11948" s="2" t="s">
        <v>20659</v>
      </c>
      <c r="H11948" s="2" t="s">
        <v>20660</v>
      </c>
    </row>
    <row r="11949" spans="1:8" ht="25.05" customHeight="1" x14ac:dyDescent="0.25">
      <c r="A11949" s="2" t="s">
        <v>8</v>
      </c>
      <c r="B11949" s="2" t="str">
        <f>HYPERLINK("http://ts.21cn.com/tousu/show/id/1343281","徳邦物流差，8天不收件")</f>
        <v>徳邦物流差，8天不收件</v>
      </c>
      <c r="C11949" s="2" t="s">
        <v>34</v>
      </c>
      <c r="D11949" s="2" t="s">
        <v>10</v>
      </c>
      <c r="E11949" s="2" t="str">
        <f>HYPERLINK("http://ts.21cn.com/tousu/show/id/1343281","http://ts.21cn.com/tousu/show/id/1343281")</f>
        <v>http://ts.21cn.com/tousu/show/id/1343281</v>
      </c>
      <c r="F11949" s="2" t="s">
        <v>11</v>
      </c>
      <c r="G11949" s="2" t="s">
        <v>20657</v>
      </c>
      <c r="H11949" s="2" t="s">
        <v>20658</v>
      </c>
    </row>
    <row r="11950" spans="1:8" ht="25.05" customHeight="1" x14ac:dyDescent="0.25">
      <c r="A11950" s="2" t="s">
        <v>8</v>
      </c>
      <c r="B11950" s="2" t="str">
        <f>HYPERLINK("http://ts.21cn.com/tousu/show/id/1343279","佰仟金融恶意坑客户钱")</f>
        <v>佰仟金融恶意坑客户钱</v>
      </c>
      <c r="C11950" s="2" t="s">
        <v>9</v>
      </c>
      <c r="D11950" s="2" t="s">
        <v>10</v>
      </c>
      <c r="E11950" s="2" t="str">
        <f>HYPERLINK("http://ts.21cn.com/tousu/show/id/1343279","http://ts.21cn.com/tousu/show/id/1343279")</f>
        <v>http://ts.21cn.com/tousu/show/id/1343279</v>
      </c>
      <c r="F11950" s="2" t="s">
        <v>11</v>
      </c>
      <c r="G11950" s="2" t="s">
        <v>20655</v>
      </c>
      <c r="H11950" s="2" t="s">
        <v>20656</v>
      </c>
    </row>
    <row r="11951" spans="1:8" ht="25.05" customHeight="1" x14ac:dyDescent="0.25">
      <c r="A11951" s="2" t="s">
        <v>8</v>
      </c>
      <c r="B11951" s="2" t="str">
        <f>HYPERLINK("http://ts.21cn.com/tousu/show/id/1343282","网贷平台高额利息")</f>
        <v>网贷平台高额利息</v>
      </c>
      <c r="C11951" s="2" t="s">
        <v>9</v>
      </c>
      <c r="D11951" s="2" t="s">
        <v>10</v>
      </c>
      <c r="E11951" s="2" t="str">
        <f>HYPERLINK("http://ts.21cn.com/tousu/show/id/1343282","http://ts.21cn.com/tousu/show/id/1343282")</f>
        <v>http://ts.21cn.com/tousu/show/id/1343282</v>
      </c>
      <c r="F11951" s="2" t="s">
        <v>11</v>
      </c>
      <c r="G11951" s="2" t="s">
        <v>20653</v>
      </c>
      <c r="H11951" s="2" t="s">
        <v>20654</v>
      </c>
    </row>
    <row r="11952" spans="1:8" ht="25.05" customHeight="1" x14ac:dyDescent="0.25">
      <c r="A11952" s="2" t="s">
        <v>8</v>
      </c>
      <c r="B11952" s="2" t="str">
        <f>HYPERLINK("http://ts.21cn.com/tousu/show/id/1343283","暴力催收影响单位日常办公")</f>
        <v>暴力催收影响单位日常办公</v>
      </c>
      <c r="C11952" s="2" t="s">
        <v>9</v>
      </c>
      <c r="D11952" s="2" t="s">
        <v>10</v>
      </c>
      <c r="E11952" s="2" t="str">
        <f>HYPERLINK("http://ts.21cn.com/tousu/show/id/1343283","http://ts.21cn.com/tousu/show/id/1343283")</f>
        <v>http://ts.21cn.com/tousu/show/id/1343283</v>
      </c>
      <c r="F11952" s="2" t="s">
        <v>11</v>
      </c>
      <c r="G11952" s="2" t="s">
        <v>20651</v>
      </c>
      <c r="H11952" s="2" t="s">
        <v>20652</v>
      </c>
    </row>
    <row r="11953" spans="1:8" ht="25.05" customHeight="1" x14ac:dyDescent="0.25">
      <c r="A11953" s="2" t="s">
        <v>8</v>
      </c>
      <c r="B11953" s="2" t="str">
        <f>HYPERLINK("http://ts.21cn.com/tousu/show/id/1343270","豹子贷强制扣款200元")</f>
        <v>豹子贷强制扣款200元</v>
      </c>
      <c r="C11953" s="2" t="s">
        <v>9</v>
      </c>
      <c r="D11953" s="2" t="s">
        <v>10</v>
      </c>
      <c r="E11953" s="2" t="str">
        <f>HYPERLINK("http://ts.21cn.com/tousu/show/id/1343270","http://ts.21cn.com/tousu/show/id/1343270")</f>
        <v>http://ts.21cn.com/tousu/show/id/1343270</v>
      </c>
      <c r="F11953" s="2" t="s">
        <v>11</v>
      </c>
      <c r="G11953" s="2" t="s">
        <v>20649</v>
      </c>
      <c r="H11953" s="2" t="s">
        <v>20650</v>
      </c>
    </row>
    <row r="11954" spans="1:8" ht="25.05" customHeight="1" x14ac:dyDescent="0.25">
      <c r="A11954" s="2" t="s">
        <v>8</v>
      </c>
      <c r="B11954" s="2" t="str">
        <f>HYPERLINK("http://ts.21cn.com/tousu/show/id/1343274","逾期未发货，造成经济损失")</f>
        <v>逾期未发货，造成经济损失</v>
      </c>
      <c r="C11954" s="2" t="s">
        <v>9</v>
      </c>
      <c r="D11954" s="2" t="s">
        <v>10</v>
      </c>
      <c r="E11954" s="2" t="str">
        <f>HYPERLINK("http://ts.21cn.com/tousu/show/id/1343274","http://ts.21cn.com/tousu/show/id/1343274")</f>
        <v>http://ts.21cn.com/tousu/show/id/1343274</v>
      </c>
      <c r="F11954" s="2" t="s">
        <v>11</v>
      </c>
      <c r="G11954" s="2" t="s">
        <v>20647</v>
      </c>
      <c r="H11954" s="2" t="s">
        <v>20648</v>
      </c>
    </row>
    <row r="11955" spans="1:8" ht="25.05" customHeight="1" x14ac:dyDescent="0.25">
      <c r="A11955" s="2" t="s">
        <v>8</v>
      </c>
      <c r="B11955" s="2" t="str">
        <f>HYPERLINK("http://ts.21cn.com/tousu/show/id/1343289","轻周转打不开无法还款导致逾期")</f>
        <v>轻周转打不开无法还款导致逾期</v>
      </c>
      <c r="C11955" s="2" t="s">
        <v>34</v>
      </c>
      <c r="D11955" s="2" t="s">
        <v>10</v>
      </c>
      <c r="E11955" s="2" t="str">
        <f>HYPERLINK("http://ts.21cn.com/tousu/show/id/1343289","http://ts.21cn.com/tousu/show/id/1343289")</f>
        <v>http://ts.21cn.com/tousu/show/id/1343289</v>
      </c>
      <c r="F11955" s="2" t="s">
        <v>11</v>
      </c>
      <c r="G11955" s="2" t="s">
        <v>20645</v>
      </c>
      <c r="H11955" s="2" t="s">
        <v>20646</v>
      </c>
    </row>
    <row r="11956" spans="1:8" ht="25.05" customHeight="1" x14ac:dyDescent="0.25">
      <c r="A11956" s="2" t="s">
        <v>8</v>
      </c>
      <c r="B11956" s="2" t="str">
        <f>HYPERLINK("http://ts.21cn.com/tousu/show/id/1343287","及贷拒不提供违法高额担保费用发票！！")</f>
        <v>及贷拒不提供违法高额担保费用发票！！</v>
      </c>
      <c r="C11956" s="2" t="s">
        <v>9</v>
      </c>
      <c r="D11956" s="2" t="s">
        <v>10</v>
      </c>
      <c r="E11956" s="2" t="str">
        <f>HYPERLINK("http://ts.21cn.com/tousu/show/id/1343287","http://ts.21cn.com/tousu/show/id/1343287")</f>
        <v>http://ts.21cn.com/tousu/show/id/1343287</v>
      </c>
      <c r="F11956" s="2" t="s">
        <v>11</v>
      </c>
      <c r="G11956" s="2" t="s">
        <v>20643</v>
      </c>
      <c r="H11956" s="2" t="s">
        <v>20644</v>
      </c>
    </row>
    <row r="11957" spans="1:8" ht="25.05" customHeight="1" x14ac:dyDescent="0.25">
      <c r="A11957" s="2" t="s">
        <v>8</v>
      </c>
      <c r="B11957" s="2" t="str">
        <f>HYPERLINK("http://ts.21cn.com/tousu/show/id/1343288","系统原因逾期不给处理")</f>
        <v>系统原因逾期不给处理</v>
      </c>
      <c r="C11957" s="2" t="s">
        <v>9</v>
      </c>
      <c r="D11957" s="2" t="s">
        <v>10</v>
      </c>
      <c r="E11957" s="2" t="str">
        <f>HYPERLINK("http://ts.21cn.com/tousu/show/id/1343288","http://ts.21cn.com/tousu/show/id/1343288")</f>
        <v>http://ts.21cn.com/tousu/show/id/1343288</v>
      </c>
      <c r="F11957" s="2" t="s">
        <v>11</v>
      </c>
      <c r="G11957" s="2" t="s">
        <v>20641</v>
      </c>
      <c r="H11957" s="2" t="s">
        <v>20642</v>
      </c>
    </row>
    <row r="11958" spans="1:8" ht="25.05" customHeight="1" x14ac:dyDescent="0.25">
      <c r="A11958" s="2" t="s">
        <v>8</v>
      </c>
      <c r="B11958" s="2" t="str">
        <f>HYPERLINK("http://ts.21cn.com/tousu/show/id/1343290","中国平安保险不履行保险合同")</f>
        <v>中国平安保险不履行保险合同</v>
      </c>
      <c r="C11958" s="2" t="s">
        <v>9</v>
      </c>
      <c r="D11958" s="2" t="s">
        <v>10</v>
      </c>
      <c r="E11958" s="2" t="str">
        <f>HYPERLINK("http://ts.21cn.com/tousu/show/id/1343290","http://ts.21cn.com/tousu/show/id/1343290")</f>
        <v>http://ts.21cn.com/tousu/show/id/1343290</v>
      </c>
      <c r="F11958" s="2" t="s">
        <v>11</v>
      </c>
      <c r="G11958" s="2" t="s">
        <v>20639</v>
      </c>
      <c r="H11958" s="2" t="s">
        <v>20640</v>
      </c>
    </row>
    <row r="11959" spans="1:8" ht="25.05" customHeight="1" x14ac:dyDescent="0.25">
      <c r="A11959" s="2" t="s">
        <v>8</v>
      </c>
      <c r="B11959" s="2" t="str">
        <f>HYPERLINK("http://ts.21cn.com/tousu/show/id/1343291","余额不给提现")</f>
        <v>余额不给提现</v>
      </c>
      <c r="C11959" s="2" t="s">
        <v>9</v>
      </c>
      <c r="D11959" s="2" t="s">
        <v>10</v>
      </c>
      <c r="E11959" s="2" t="str">
        <f>HYPERLINK("http://ts.21cn.com/tousu/show/id/1343291","http://ts.21cn.com/tousu/show/id/1343291")</f>
        <v>http://ts.21cn.com/tousu/show/id/1343291</v>
      </c>
      <c r="F11959" s="2" t="s">
        <v>11</v>
      </c>
      <c r="G11959" s="2" t="s">
        <v>20637</v>
      </c>
      <c r="H11959" s="2" t="s">
        <v>20638</v>
      </c>
    </row>
    <row r="11960" spans="1:8" ht="25.05" customHeight="1" x14ac:dyDescent="0.25">
      <c r="A11960" s="2" t="s">
        <v>8</v>
      </c>
      <c r="B11960" s="2" t="str">
        <f>HYPERLINK("http://ts.21cn.com/tousu/show/id/1343292","投诉安亿花app，退回欺诈的198元钱。")</f>
        <v>投诉安亿花app，退回欺诈的198元钱。</v>
      </c>
      <c r="C11960" s="2" t="s">
        <v>9</v>
      </c>
      <c r="D11960" s="2" t="s">
        <v>10</v>
      </c>
      <c r="E11960" s="2" t="str">
        <f>HYPERLINK("http://ts.21cn.com/tousu/show/id/1343292","http://ts.21cn.com/tousu/show/id/1343292")</f>
        <v>http://ts.21cn.com/tousu/show/id/1343292</v>
      </c>
      <c r="F11960" s="2" t="s">
        <v>11</v>
      </c>
      <c r="G11960" s="2" t="s">
        <v>20635</v>
      </c>
      <c r="H11960" s="2" t="s">
        <v>20636</v>
      </c>
    </row>
    <row r="11961" spans="1:8" ht="25.05" customHeight="1" x14ac:dyDescent="0.25">
      <c r="A11961" s="2" t="s">
        <v>8</v>
      </c>
      <c r="B11961" s="2" t="str">
        <f>HYPERLINK("http://ts.21cn.com/tousu/show/id/1343293","暴力催收骚扰")</f>
        <v>暴力催收骚扰</v>
      </c>
      <c r="C11961" s="2" t="s">
        <v>9</v>
      </c>
      <c r="D11961" s="2" t="s">
        <v>10</v>
      </c>
      <c r="E11961" s="2" t="str">
        <f>HYPERLINK("http://ts.21cn.com/tousu/show/id/1343293","http://ts.21cn.com/tousu/show/id/1343293")</f>
        <v>http://ts.21cn.com/tousu/show/id/1343293</v>
      </c>
      <c r="F11961" s="2" t="s">
        <v>11</v>
      </c>
      <c r="G11961" s="2" t="s">
        <v>20633</v>
      </c>
      <c r="H11961" s="2" t="s">
        <v>20634</v>
      </c>
    </row>
    <row r="11962" spans="1:8" ht="25.05" customHeight="1" x14ac:dyDescent="0.25">
      <c r="A11962" s="2" t="s">
        <v>8</v>
      </c>
      <c r="B11962" s="2" t="str">
        <f>HYPERLINK("http://ts.21cn.com/tousu/show/id/1343294","环球黑卡虚假宣传，无任何实际作用，要求退会员费")</f>
        <v>环球黑卡虚假宣传，无任何实际作用，要求退会员费</v>
      </c>
      <c r="C11962" s="2" t="s">
        <v>9</v>
      </c>
      <c r="D11962" s="2" t="s">
        <v>10</v>
      </c>
      <c r="E11962" s="2" t="str">
        <f>HYPERLINK("http://ts.21cn.com/tousu/show/id/1343294","http://ts.21cn.com/tousu/show/id/1343294")</f>
        <v>http://ts.21cn.com/tousu/show/id/1343294</v>
      </c>
      <c r="F11962" s="2" t="s">
        <v>11</v>
      </c>
      <c r="G11962" s="2" t="s">
        <v>20631</v>
      </c>
      <c r="H11962" s="2" t="s">
        <v>20632</v>
      </c>
    </row>
    <row r="11963" spans="1:8" ht="25.05" customHeight="1" x14ac:dyDescent="0.25">
      <c r="A11963" s="2" t="s">
        <v>8</v>
      </c>
      <c r="B11963" s="2" t="str">
        <f>HYPERLINK("http://ts.21cn.com/tousu/show/id/1343295","车置宝霸王条款未见车直接扣除购买人保证金")</f>
        <v>车置宝霸王条款未见车直接扣除购买人保证金</v>
      </c>
      <c r="C11963" s="2" t="s">
        <v>9</v>
      </c>
      <c r="D11963" s="2" t="s">
        <v>10</v>
      </c>
      <c r="E11963" s="2" t="str">
        <f>HYPERLINK("http://ts.21cn.com/tousu/show/id/1343295","http://ts.21cn.com/tousu/show/id/1343295")</f>
        <v>http://ts.21cn.com/tousu/show/id/1343295</v>
      </c>
      <c r="F11963" s="2" t="s">
        <v>11</v>
      </c>
      <c r="G11963" s="2" t="s">
        <v>20629</v>
      </c>
      <c r="H11963" s="2" t="s">
        <v>20630</v>
      </c>
    </row>
    <row r="11964" spans="1:8" ht="25.05" customHeight="1" x14ac:dyDescent="0.25">
      <c r="A11964" s="2" t="s">
        <v>8</v>
      </c>
      <c r="B11964" s="2" t="str">
        <f>HYPERLINK("http://ts.21cn.com/tousu/show/id/1343296","我要投诉拍拍贷")</f>
        <v>我要投诉拍拍贷</v>
      </c>
      <c r="C11964" s="2" t="s">
        <v>9</v>
      </c>
      <c r="D11964" s="2" t="s">
        <v>10</v>
      </c>
      <c r="E11964" s="2" t="str">
        <f>HYPERLINK("http://ts.21cn.com/tousu/show/id/1343296","http://ts.21cn.com/tousu/show/id/1343296")</f>
        <v>http://ts.21cn.com/tousu/show/id/1343296</v>
      </c>
      <c r="F11964" s="2" t="s">
        <v>11</v>
      </c>
      <c r="G11964" s="2" t="s">
        <v>20627</v>
      </c>
      <c r="H11964" s="2" t="s">
        <v>20628</v>
      </c>
    </row>
    <row r="11965" spans="1:8" ht="25.05" customHeight="1" x14ac:dyDescent="0.25">
      <c r="A11965" s="2" t="s">
        <v>8</v>
      </c>
      <c r="B11965" s="2" t="str">
        <f>HYPERLINK("http://ts.21cn.com/tousu/show/id/1343297","遭遇黑网贷，暴力催收")</f>
        <v>遭遇黑网贷，暴力催收</v>
      </c>
      <c r="C11965" s="2" t="s">
        <v>9</v>
      </c>
      <c r="D11965" s="2" t="s">
        <v>10</v>
      </c>
      <c r="E11965" s="2" t="str">
        <f>HYPERLINK("http://ts.21cn.com/tousu/show/id/1343297","http://ts.21cn.com/tousu/show/id/1343297")</f>
        <v>http://ts.21cn.com/tousu/show/id/1343297</v>
      </c>
      <c r="F11965" s="2" t="s">
        <v>11</v>
      </c>
      <c r="G11965" s="2" t="s">
        <v>20625</v>
      </c>
      <c r="H11965" s="2" t="s">
        <v>20626</v>
      </c>
    </row>
    <row r="11966" spans="1:8" ht="25.05" customHeight="1" x14ac:dyDescent="0.25">
      <c r="A11966" s="2" t="s">
        <v>8</v>
      </c>
      <c r="B11966" s="2" t="str">
        <f>HYPERLINK("http://ts.21cn.com/tousu/show/id/1343298","好易借威胁恐吓暴通迅录催收")</f>
        <v>好易借威胁恐吓暴通迅录催收</v>
      </c>
      <c r="C11966" s="2" t="s">
        <v>9</v>
      </c>
      <c r="D11966" s="2" t="s">
        <v>10</v>
      </c>
      <c r="E11966" s="2" t="str">
        <f>HYPERLINK("http://ts.21cn.com/tousu/show/id/1343298","http://ts.21cn.com/tousu/show/id/1343298")</f>
        <v>http://ts.21cn.com/tousu/show/id/1343298</v>
      </c>
      <c r="F11966" s="2" t="s">
        <v>11</v>
      </c>
      <c r="G11966" s="2" t="s">
        <v>20623</v>
      </c>
      <c r="H11966" s="2" t="s">
        <v>20624</v>
      </c>
    </row>
    <row r="11967" spans="1:8" ht="25.05" customHeight="1" x14ac:dyDescent="0.25">
      <c r="A11967" s="2" t="s">
        <v>8</v>
      </c>
      <c r="B11967" s="2" t="str">
        <f>HYPERLINK("http://ts.21cn.com/tousu/show/id/1332966","拼多多说我店铺售假3级限制！店铺里面800多元加2000元资金提现不了了！")</f>
        <v>拼多多说我店铺售假3级限制！店铺里面800多元加2000元资金提现不了了！</v>
      </c>
      <c r="C11967" s="2" t="s">
        <v>9</v>
      </c>
      <c r="D11967" s="2" t="s">
        <v>10</v>
      </c>
      <c r="E11967" s="2" t="str">
        <f>HYPERLINK("http://ts.21cn.com/tousu/show/id/1332966","http://ts.21cn.com/tousu/show/id/1332966")</f>
        <v>http://ts.21cn.com/tousu/show/id/1332966</v>
      </c>
      <c r="F11967" s="2" t="s">
        <v>11</v>
      </c>
      <c r="G11967" s="2" t="s">
        <v>20621</v>
      </c>
      <c r="H11967" s="2" t="s">
        <v>20622</v>
      </c>
    </row>
    <row r="11968" spans="1:8" ht="25.05" customHeight="1" x14ac:dyDescent="0.25">
      <c r="A11968" s="2" t="s">
        <v>8</v>
      </c>
      <c r="B11968" s="2" t="str">
        <f>HYPERLINK("http://ts.21cn.com/tousu/show/id/1343300","分期通恶意收取会员费用")</f>
        <v>分期通恶意收取会员费用</v>
      </c>
      <c r="C11968" s="2" t="s">
        <v>9</v>
      </c>
      <c r="D11968" s="2" t="s">
        <v>10</v>
      </c>
      <c r="E11968" s="2" t="str">
        <f>HYPERLINK("http://ts.21cn.com/tousu/show/id/1343300","http://ts.21cn.com/tousu/show/id/1343300")</f>
        <v>http://ts.21cn.com/tousu/show/id/1343300</v>
      </c>
      <c r="F11968" s="2" t="s">
        <v>11</v>
      </c>
      <c r="G11968" s="2" t="s">
        <v>20619</v>
      </c>
      <c r="H11968" s="2" t="s">
        <v>20620</v>
      </c>
    </row>
    <row r="11969" spans="1:8" ht="25.05" customHeight="1" x14ac:dyDescent="0.25">
      <c r="A11969" s="2" t="s">
        <v>8</v>
      </c>
      <c r="B11969" s="2" t="str">
        <f>HYPERLINK("http://ts.21cn.com/tousu/show/id/1343301","立借网贷平台收取高额利息")</f>
        <v>立借网贷平台收取高额利息</v>
      </c>
      <c r="C11969" s="2" t="s">
        <v>9</v>
      </c>
      <c r="D11969" s="2" t="s">
        <v>10</v>
      </c>
      <c r="E11969" s="2" t="str">
        <f>HYPERLINK("http://ts.21cn.com/tousu/show/id/1343301","http://ts.21cn.com/tousu/show/id/1343301")</f>
        <v>http://ts.21cn.com/tousu/show/id/1343301</v>
      </c>
      <c r="F11969" s="2" t="s">
        <v>11</v>
      </c>
      <c r="G11969" s="2" t="s">
        <v>20617</v>
      </c>
      <c r="H11969" s="2" t="s">
        <v>20618</v>
      </c>
    </row>
    <row r="11970" spans="1:8" ht="25.05" customHeight="1" x14ac:dyDescent="0.25">
      <c r="A11970" s="2" t="s">
        <v>8</v>
      </c>
      <c r="B11970" s="2" t="str">
        <f>HYPERLINK("http://ts.21cn.com/tousu/show/id/1343303","我要投诉你我贷")</f>
        <v>我要投诉你我贷</v>
      </c>
      <c r="C11970" s="2" t="s">
        <v>9</v>
      </c>
      <c r="D11970" s="2" t="s">
        <v>10</v>
      </c>
      <c r="E11970" s="2" t="str">
        <f>HYPERLINK("http://ts.21cn.com/tousu/show/id/1343303","http://ts.21cn.com/tousu/show/id/1343303")</f>
        <v>http://ts.21cn.com/tousu/show/id/1343303</v>
      </c>
      <c r="F11970" s="2" t="s">
        <v>11</v>
      </c>
      <c r="G11970" s="2" t="s">
        <v>20615</v>
      </c>
      <c r="H11970" s="2" t="s">
        <v>20616</v>
      </c>
    </row>
    <row r="11971" spans="1:8" ht="25.05" customHeight="1" x14ac:dyDescent="0.25">
      <c r="A11971" s="2" t="s">
        <v>8</v>
      </c>
      <c r="B11971" s="2" t="str">
        <f>HYPERLINK("http://ts.21cn.com/tousu/show/id/1343286","拼多多买家恶意下单，平台不分青红皂白胡乱判定")</f>
        <v>拼多多买家恶意下单，平台不分青红皂白胡乱判定</v>
      </c>
      <c r="C11971" s="2" t="s">
        <v>9</v>
      </c>
      <c r="D11971" s="2" t="s">
        <v>10</v>
      </c>
      <c r="E11971" s="2" t="str">
        <f>HYPERLINK("http://ts.21cn.com/tousu/show/id/1343286","http://ts.21cn.com/tousu/show/id/1343286")</f>
        <v>http://ts.21cn.com/tousu/show/id/1343286</v>
      </c>
      <c r="F11971" s="2" t="s">
        <v>11</v>
      </c>
      <c r="G11971" s="2" t="s">
        <v>20613</v>
      </c>
      <c r="H11971" s="2" t="s">
        <v>20614</v>
      </c>
    </row>
    <row r="11972" spans="1:8" ht="25.05" customHeight="1" x14ac:dyDescent="0.25">
      <c r="A11972" s="2" t="s">
        <v>8</v>
      </c>
      <c r="B11972" s="2" t="str">
        <f>HYPERLINK("http://ts.21cn.com/tousu/show/id/1343304","电话催收")</f>
        <v>电话催收</v>
      </c>
      <c r="C11972" s="2" t="s">
        <v>9</v>
      </c>
      <c r="D11972" s="2" t="s">
        <v>10</v>
      </c>
      <c r="E11972" s="2" t="str">
        <f>HYPERLINK("http://ts.21cn.com/tousu/show/id/1343304","http://ts.21cn.com/tousu/show/id/1343304")</f>
        <v>http://ts.21cn.com/tousu/show/id/1343304</v>
      </c>
      <c r="F11972" s="2" t="s">
        <v>11</v>
      </c>
      <c r="G11972" s="2" t="s">
        <v>20611</v>
      </c>
      <c r="H11972" s="2" t="s">
        <v>20612</v>
      </c>
    </row>
    <row r="11973" spans="1:8" ht="25.05" customHeight="1" x14ac:dyDescent="0.25">
      <c r="A11973" s="2" t="s">
        <v>8</v>
      </c>
      <c r="B11973" s="2" t="str">
        <f>HYPERLINK("http://ts.21cn.com/tousu/show/id/1343305","高炮非法秒变合法。")</f>
        <v>高炮非法秒变合法。</v>
      </c>
      <c r="C11973" s="2" t="s">
        <v>9</v>
      </c>
      <c r="D11973" s="2" t="s">
        <v>10</v>
      </c>
      <c r="E11973" s="2" t="str">
        <f>HYPERLINK("http://ts.21cn.com/tousu/show/id/1343305","http://ts.21cn.com/tousu/show/id/1343305")</f>
        <v>http://ts.21cn.com/tousu/show/id/1343305</v>
      </c>
      <c r="F11973" s="2" t="s">
        <v>11</v>
      </c>
      <c r="G11973" s="2" t="s">
        <v>20609</v>
      </c>
      <c r="H11973" s="2" t="s">
        <v>20610</v>
      </c>
    </row>
    <row r="11974" spans="1:8" ht="25.05" customHeight="1" x14ac:dyDescent="0.25">
      <c r="A11974" s="2" t="s">
        <v>8</v>
      </c>
      <c r="B11974" s="2" t="str">
        <f>HYPERLINK("http://ts.21cn.com/tousu/show/id/1343306","银生宝还有一部分订单未处理")</f>
        <v>银生宝还有一部分订单未处理</v>
      </c>
      <c r="C11974" s="2" t="s">
        <v>34</v>
      </c>
      <c r="D11974" s="2" t="s">
        <v>10</v>
      </c>
      <c r="E11974" s="2" t="str">
        <f>HYPERLINK("http://ts.21cn.com/tousu/show/id/1343306","http://ts.21cn.com/tousu/show/id/1343306")</f>
        <v>http://ts.21cn.com/tousu/show/id/1343306</v>
      </c>
      <c r="F11974" s="2" t="s">
        <v>11</v>
      </c>
      <c r="G11974" s="2" t="s">
        <v>20607</v>
      </c>
      <c r="H11974" s="2" t="s">
        <v>20608</v>
      </c>
    </row>
    <row r="11975" spans="1:8" ht="25.05" customHeight="1" x14ac:dyDescent="0.25">
      <c r="A11975" s="2" t="s">
        <v>8</v>
      </c>
      <c r="B11975" s="2" t="str">
        <f>HYPERLINK("http://ts.21cn.com/tousu/show/id/1343307","暴力催收恐吓")</f>
        <v>暴力催收恐吓</v>
      </c>
      <c r="C11975" s="2" t="s">
        <v>9</v>
      </c>
      <c r="D11975" s="2" t="s">
        <v>10</v>
      </c>
      <c r="E11975" s="2" t="str">
        <f>HYPERLINK("http://ts.21cn.com/tousu/show/id/1343307","http://ts.21cn.com/tousu/show/id/1343307")</f>
        <v>http://ts.21cn.com/tousu/show/id/1343307</v>
      </c>
      <c r="F11975" s="2" t="s">
        <v>11</v>
      </c>
      <c r="G11975" s="2" t="s">
        <v>20605</v>
      </c>
      <c r="H11975" s="2" t="s">
        <v>20606</v>
      </c>
    </row>
    <row r="11976" spans="1:8" ht="25.05" customHeight="1" x14ac:dyDescent="0.25">
      <c r="A11976" s="2" t="s">
        <v>8</v>
      </c>
      <c r="B11976" s="2" t="str">
        <f>HYPERLINK("http://ts.21cn.com/tousu/show/id/1343308","暴力催收，威胁")</f>
        <v>暴力催收，威胁</v>
      </c>
      <c r="C11976" s="2" t="s">
        <v>9</v>
      </c>
      <c r="D11976" s="2" t="s">
        <v>10</v>
      </c>
      <c r="E11976" s="2" t="str">
        <f>HYPERLINK("http://ts.21cn.com/tousu/show/id/1343308","http://ts.21cn.com/tousu/show/id/1343308")</f>
        <v>http://ts.21cn.com/tousu/show/id/1343308</v>
      </c>
      <c r="F11976" s="2" t="s">
        <v>11</v>
      </c>
      <c r="G11976" s="2" t="s">
        <v>20602</v>
      </c>
      <c r="H11976" s="2" t="s">
        <v>20603</v>
      </c>
    </row>
    <row r="11977" spans="1:8" ht="25.05" customHeight="1" x14ac:dyDescent="0.25">
      <c r="A11977" s="2" t="s">
        <v>8</v>
      </c>
      <c r="B11977" s="2" t="str">
        <f>HYPERLINK("http://ts.21cn.com/tousu/show/id/1343310","快贷希望能延长几天还款")</f>
        <v>快贷希望能延长几天还款</v>
      </c>
      <c r="C11977" s="2" t="s">
        <v>9</v>
      </c>
      <c r="D11977" s="2" t="s">
        <v>10</v>
      </c>
      <c r="E11977" s="2" t="str">
        <f>HYPERLINK("http://ts.21cn.com/tousu/show/id/1343310","http://ts.21cn.com/tousu/show/id/1343310")</f>
        <v>http://ts.21cn.com/tousu/show/id/1343310</v>
      </c>
      <c r="F11977" s="2" t="s">
        <v>11</v>
      </c>
      <c r="G11977" s="2" t="s">
        <v>20602</v>
      </c>
      <c r="H11977" s="2" t="s">
        <v>20604</v>
      </c>
    </row>
    <row r="11978" spans="1:8" ht="25.05" customHeight="1" x14ac:dyDescent="0.25">
      <c r="A11978" s="2" t="s">
        <v>8</v>
      </c>
      <c r="B11978" s="2" t="str">
        <f>HYPERLINK("http://ts.21cn.com/tousu/show/id/1343309","活力花催收大半夜对我进行电话骚扰，纰漏我隐私，让我无法正常生活")</f>
        <v>活力花催收大半夜对我进行电话骚扰，纰漏我隐私，让我无法正常生活</v>
      </c>
      <c r="C11978" s="2" t="s">
        <v>9</v>
      </c>
      <c r="D11978" s="2" t="s">
        <v>10</v>
      </c>
      <c r="E11978" s="2" t="str">
        <f>HYPERLINK("http://ts.21cn.com/tousu/show/id/1343309","http://ts.21cn.com/tousu/show/id/1343309")</f>
        <v>http://ts.21cn.com/tousu/show/id/1343309</v>
      </c>
      <c r="F11978" s="2" t="s">
        <v>11</v>
      </c>
      <c r="G11978" s="2" t="s">
        <v>20600</v>
      </c>
      <c r="H11978" s="2" t="s">
        <v>20601</v>
      </c>
    </row>
    <row r="11979" spans="1:8" ht="25.05" customHeight="1" x14ac:dyDescent="0.25">
      <c r="A11979" s="2" t="s">
        <v>8</v>
      </c>
      <c r="B11979" s="2" t="str">
        <f>HYPERLINK("http://ts.21cn.com/tousu/show/id/1343313","钱站高利贷阴阳合同")</f>
        <v>钱站高利贷阴阳合同</v>
      </c>
      <c r="C11979" s="2" t="s">
        <v>9</v>
      </c>
      <c r="D11979" s="2" t="s">
        <v>10</v>
      </c>
      <c r="E11979" s="2" t="str">
        <f>HYPERLINK("http://ts.21cn.com/tousu/show/id/1343313","http://ts.21cn.com/tousu/show/id/1343313")</f>
        <v>http://ts.21cn.com/tousu/show/id/1343313</v>
      </c>
      <c r="F11979" s="2" t="s">
        <v>11</v>
      </c>
      <c r="G11979" s="2" t="s">
        <v>20598</v>
      </c>
      <c r="H11979" s="2" t="s">
        <v>20599</v>
      </c>
    </row>
    <row r="11980" spans="1:8" ht="25.05" customHeight="1" x14ac:dyDescent="0.25">
      <c r="A11980" s="2" t="s">
        <v>8</v>
      </c>
      <c r="B11980" s="2" t="str">
        <f>HYPERLINK("http://ts.21cn.com/tousu/show/id/1343314","我来贷恶意让客户逾期收取高额逾期费，不发送短信提醒，高利贷！")</f>
        <v>我来贷恶意让客户逾期收取高额逾期费，不发送短信提醒，高利贷！</v>
      </c>
      <c r="C11980" s="2" t="s">
        <v>9</v>
      </c>
      <c r="D11980" s="2" t="s">
        <v>10</v>
      </c>
      <c r="E11980" s="2" t="str">
        <f>HYPERLINK("http://ts.21cn.com/tousu/show/id/1343314","http://ts.21cn.com/tousu/show/id/1343314")</f>
        <v>http://ts.21cn.com/tousu/show/id/1343314</v>
      </c>
      <c r="F11980" s="2" t="s">
        <v>11</v>
      </c>
      <c r="G11980" s="2" t="s">
        <v>20596</v>
      </c>
      <c r="H11980" s="2" t="s">
        <v>20597</v>
      </c>
    </row>
    <row r="11981" spans="1:8" ht="25.05" customHeight="1" x14ac:dyDescent="0.25">
      <c r="A11981" s="2" t="s">
        <v>8</v>
      </c>
      <c r="B11981" s="2" t="str">
        <f>HYPERLINK("http://ts.21cn.com/tousu/show/id/1343316","用钱宝催收恶劣")</f>
        <v>用钱宝催收恶劣</v>
      </c>
      <c r="C11981" s="2" t="s">
        <v>9</v>
      </c>
      <c r="D11981" s="2" t="s">
        <v>10</v>
      </c>
      <c r="E11981" s="2" t="str">
        <f>HYPERLINK("http://ts.21cn.com/tousu/show/id/1343316","http://ts.21cn.com/tousu/show/id/1343316")</f>
        <v>http://ts.21cn.com/tousu/show/id/1343316</v>
      </c>
      <c r="F11981" s="2" t="s">
        <v>11</v>
      </c>
      <c r="G11981" s="2" t="s">
        <v>20594</v>
      </c>
      <c r="H11981" s="2" t="s">
        <v>20595</v>
      </c>
    </row>
    <row r="11982" spans="1:8" ht="25.05" customHeight="1" x14ac:dyDescent="0.25">
      <c r="A11982" s="2" t="s">
        <v>8</v>
      </c>
      <c r="B11982" s="2" t="str">
        <f>HYPERLINK("http://ts.21cn.com/tousu/show/id/1343317","各种辱骂恐吓恶意催债")</f>
        <v>各种辱骂恐吓恶意催债</v>
      </c>
      <c r="C11982" s="2" t="s">
        <v>9</v>
      </c>
      <c r="D11982" s="2" t="s">
        <v>10</v>
      </c>
      <c r="E11982" s="2" t="str">
        <f>HYPERLINK("http://ts.21cn.com/tousu/show/id/1343317","http://ts.21cn.com/tousu/show/id/1343317")</f>
        <v>http://ts.21cn.com/tousu/show/id/1343317</v>
      </c>
      <c r="F11982" s="2" t="s">
        <v>11</v>
      </c>
      <c r="G11982" s="2" t="s">
        <v>20592</v>
      </c>
      <c r="H11982" s="2" t="s">
        <v>20593</v>
      </c>
    </row>
    <row r="11983" spans="1:8" ht="25.05" customHeight="1" x14ac:dyDescent="0.25">
      <c r="A11983" s="2" t="s">
        <v>8</v>
      </c>
      <c r="B11983" s="2" t="str">
        <f>HYPERLINK("http://ts.21cn.com/tousu/show/id/1343318","畅捷支付违规为高利贷提供支付通道")</f>
        <v>畅捷支付违规为高利贷提供支付通道</v>
      </c>
      <c r="C11983" s="2" t="s">
        <v>9</v>
      </c>
      <c r="D11983" s="2" t="s">
        <v>10</v>
      </c>
      <c r="E11983" s="2" t="str">
        <f>HYPERLINK("http://ts.21cn.com/tousu/show/id/1343318","http://ts.21cn.com/tousu/show/id/1343318")</f>
        <v>http://ts.21cn.com/tousu/show/id/1343318</v>
      </c>
      <c r="F11983" s="2" t="s">
        <v>11</v>
      </c>
      <c r="G11983" s="2" t="s">
        <v>20590</v>
      </c>
      <c r="H11983" s="2" t="s">
        <v>20591</v>
      </c>
    </row>
    <row r="11984" spans="1:8" ht="25.05" customHeight="1" x14ac:dyDescent="0.25">
      <c r="A11984" s="2" t="s">
        <v>8</v>
      </c>
      <c r="B11984" s="2" t="str">
        <f>HYPERLINK("http://ts.21cn.com/tousu/show/id/1343319","淘手游账号无缘无故被冻结，我钱提现不了")</f>
        <v>淘手游账号无缘无故被冻结，我钱提现不了</v>
      </c>
      <c r="C11984" s="2" t="s">
        <v>9</v>
      </c>
      <c r="D11984" s="2" t="s">
        <v>10</v>
      </c>
      <c r="E11984" s="2" t="str">
        <f>HYPERLINK("http://ts.21cn.com/tousu/show/id/1343319","http://ts.21cn.com/tousu/show/id/1343319")</f>
        <v>http://ts.21cn.com/tousu/show/id/1343319</v>
      </c>
      <c r="F11984" s="2" t="s">
        <v>11</v>
      </c>
      <c r="G11984" s="2" t="s">
        <v>20588</v>
      </c>
      <c r="H11984" s="2" t="s">
        <v>20589</v>
      </c>
    </row>
    <row r="11985" spans="1:8" ht="25.05" customHeight="1" x14ac:dyDescent="0.25">
      <c r="A11985" s="2" t="s">
        <v>8</v>
      </c>
      <c r="B11985" s="2" t="str">
        <f>HYPERLINK("http://ts.21cn.com/tousu/show/id/1343321","聚富分期违规扣款，造艺科技提供违规支付通道")</f>
        <v>聚富分期违规扣款，造艺科技提供违规支付通道</v>
      </c>
      <c r="C11985" s="2" t="s">
        <v>9</v>
      </c>
      <c r="D11985" s="2" t="s">
        <v>10</v>
      </c>
      <c r="E11985" s="2" t="str">
        <f>HYPERLINK("http://ts.21cn.com/tousu/show/id/1343321","http://ts.21cn.com/tousu/show/id/1343321")</f>
        <v>http://ts.21cn.com/tousu/show/id/1343321</v>
      </c>
      <c r="F11985" s="2" t="s">
        <v>11</v>
      </c>
      <c r="G11985" s="2" t="s">
        <v>20586</v>
      </c>
      <c r="H11985" s="2" t="s">
        <v>20587</v>
      </c>
    </row>
    <row r="11986" spans="1:8" ht="25.05" customHeight="1" x14ac:dyDescent="0.25">
      <c r="A11986" s="2" t="s">
        <v>8</v>
      </c>
      <c r="B11986" s="2" t="str">
        <f>HYPERLINK("http://ts.21cn.com/tousu/show/id/1343322","协商还款")</f>
        <v>协商还款</v>
      </c>
      <c r="C11986" s="2" t="s">
        <v>34</v>
      </c>
      <c r="D11986" s="2" t="s">
        <v>10</v>
      </c>
      <c r="E11986" s="2" t="str">
        <f>HYPERLINK("http://ts.21cn.com/tousu/show/id/1343322","http://ts.21cn.com/tousu/show/id/1343322")</f>
        <v>http://ts.21cn.com/tousu/show/id/1343322</v>
      </c>
      <c r="F11986" s="2" t="s">
        <v>11</v>
      </c>
      <c r="G11986" s="2" t="s">
        <v>20584</v>
      </c>
      <c r="H11986" s="2" t="s">
        <v>20585</v>
      </c>
    </row>
    <row r="11987" spans="1:8" ht="25.05" customHeight="1" x14ac:dyDescent="0.25">
      <c r="A11987" s="2" t="s">
        <v>8</v>
      </c>
      <c r="B11987" s="2" t="str">
        <f>HYPERLINK("http://ts.21cn.com/tousu/show/id/1343320","中信银行信用卡")</f>
        <v>中信银行信用卡</v>
      </c>
      <c r="C11987" s="2" t="s">
        <v>9</v>
      </c>
      <c r="D11987" s="2" t="s">
        <v>10</v>
      </c>
      <c r="E11987" s="2" t="str">
        <f>HYPERLINK("http://ts.21cn.com/tousu/show/id/1343320","http://ts.21cn.com/tousu/show/id/1343320")</f>
        <v>http://ts.21cn.com/tousu/show/id/1343320</v>
      </c>
      <c r="F11987" s="2" t="s">
        <v>11</v>
      </c>
      <c r="G11987" s="2" t="s">
        <v>20582</v>
      </c>
      <c r="H11987" s="2" t="s">
        <v>20583</v>
      </c>
    </row>
    <row r="11988" spans="1:8" ht="25.05" customHeight="1" x14ac:dyDescent="0.25">
      <c r="A11988" s="2" t="s">
        <v>8</v>
      </c>
      <c r="B11988" s="2" t="str">
        <f>HYPERLINK("http://ts.21cn.com/tousu/show/id/1343323","玖富万卡虚假宣传高利贷")</f>
        <v>玖富万卡虚假宣传高利贷</v>
      </c>
      <c r="C11988" s="2" t="s">
        <v>9</v>
      </c>
      <c r="D11988" s="2" t="s">
        <v>10</v>
      </c>
      <c r="E11988" s="2" t="str">
        <f>HYPERLINK("http://ts.21cn.com/tousu/show/id/1343323","http://ts.21cn.com/tousu/show/id/1343323")</f>
        <v>http://ts.21cn.com/tousu/show/id/1343323</v>
      </c>
      <c r="F11988" s="2" t="s">
        <v>11</v>
      </c>
      <c r="G11988" s="2" t="s">
        <v>20580</v>
      </c>
      <c r="H11988" s="2" t="s">
        <v>20581</v>
      </c>
    </row>
    <row r="11989" spans="1:8" ht="25.05" customHeight="1" x14ac:dyDescent="0.25">
      <c r="A11989" s="2" t="s">
        <v>8</v>
      </c>
      <c r="B11989" s="2" t="str">
        <f>HYPERLINK("http://ts.21cn.com/tousu/show/id/1343311","卓越律师事务所涉嫌恐吓造假威胁")</f>
        <v>卓越律师事务所涉嫌恐吓造假威胁</v>
      </c>
      <c r="C11989" s="2" t="s">
        <v>9</v>
      </c>
      <c r="D11989" s="2" t="s">
        <v>10</v>
      </c>
      <c r="E11989" s="2" t="str">
        <f>HYPERLINK("http://ts.21cn.com/tousu/show/id/1343311","http://ts.21cn.com/tousu/show/id/1343311")</f>
        <v>http://ts.21cn.com/tousu/show/id/1343311</v>
      </c>
      <c r="F11989" s="2" t="s">
        <v>11</v>
      </c>
      <c r="G11989" s="2" t="s">
        <v>20578</v>
      </c>
      <c r="H11989" s="2" t="s">
        <v>20579</v>
      </c>
    </row>
    <row r="11990" spans="1:8" ht="25.05" customHeight="1" x14ac:dyDescent="0.25">
      <c r="A11990" s="2" t="s">
        <v>8</v>
      </c>
      <c r="B11990" s="2" t="str">
        <f>HYPERLINK("http://ts.21cn.com/tousu/show/id/1343324","要求取消放款")</f>
        <v>要求取消放款</v>
      </c>
      <c r="C11990" s="2" t="s">
        <v>9</v>
      </c>
      <c r="D11990" s="2" t="s">
        <v>10</v>
      </c>
      <c r="E11990" s="2" t="str">
        <f>HYPERLINK("http://ts.21cn.com/tousu/show/id/1343324","http://ts.21cn.com/tousu/show/id/1343324")</f>
        <v>http://ts.21cn.com/tousu/show/id/1343324</v>
      </c>
      <c r="F11990" s="2" t="s">
        <v>11</v>
      </c>
      <c r="G11990" s="2" t="s">
        <v>20576</v>
      </c>
      <c r="H11990" s="2" t="s">
        <v>20577</v>
      </c>
    </row>
    <row r="11991" spans="1:8" ht="25.05" customHeight="1" x14ac:dyDescent="0.25">
      <c r="A11991" s="2" t="s">
        <v>8</v>
      </c>
      <c r="B11991" s="2" t="str">
        <f>HYPERLINK("http://ts.21cn.com/tousu/show/id/1343325","我来贷重复收费")</f>
        <v>我来贷重复收费</v>
      </c>
      <c r="C11991" s="2" t="s">
        <v>9</v>
      </c>
      <c r="D11991" s="2" t="s">
        <v>10</v>
      </c>
      <c r="E11991" s="2" t="str">
        <f>HYPERLINK("http://ts.21cn.com/tousu/show/id/1343325","http://ts.21cn.com/tousu/show/id/1343325")</f>
        <v>http://ts.21cn.com/tousu/show/id/1343325</v>
      </c>
      <c r="F11991" s="2" t="s">
        <v>11</v>
      </c>
      <c r="G11991" s="2" t="s">
        <v>20574</v>
      </c>
      <c r="H11991" s="2" t="s">
        <v>20575</v>
      </c>
    </row>
    <row r="11992" spans="1:8" ht="25.05" customHeight="1" x14ac:dyDescent="0.25">
      <c r="A11992" s="2" t="s">
        <v>8</v>
      </c>
      <c r="B11992" s="2" t="str">
        <f>HYPERLINK("http://ts.21cn.com/tousu/show/id/1343327","闪银高额砍头息")</f>
        <v>闪银高额砍头息</v>
      </c>
      <c r="C11992" s="2" t="s">
        <v>34</v>
      </c>
      <c r="D11992" s="2" t="s">
        <v>10</v>
      </c>
      <c r="E11992" s="2" t="str">
        <f>HYPERLINK("http://ts.21cn.com/tousu/show/id/1343327","http://ts.21cn.com/tousu/show/id/1343327")</f>
        <v>http://ts.21cn.com/tousu/show/id/1343327</v>
      </c>
      <c r="F11992" s="2" t="s">
        <v>11</v>
      </c>
      <c r="G11992" s="2" t="s">
        <v>20572</v>
      </c>
      <c r="H11992" s="2" t="s">
        <v>20573</v>
      </c>
    </row>
    <row r="11993" spans="1:8" ht="25.05" customHeight="1" x14ac:dyDescent="0.25">
      <c r="A11993" s="2" t="s">
        <v>8</v>
      </c>
      <c r="B11993" s="2" t="str">
        <f>HYPERLINK("http://ts.21cn.com/tousu/show/id/1343326","闪银砍头息太重")</f>
        <v>闪银砍头息太重</v>
      </c>
      <c r="C11993" s="2" t="s">
        <v>9</v>
      </c>
      <c r="D11993" s="2" t="s">
        <v>10</v>
      </c>
      <c r="E11993" s="2" t="str">
        <f>HYPERLINK("http://ts.21cn.com/tousu/show/id/1343326","http://ts.21cn.com/tousu/show/id/1343326")</f>
        <v>http://ts.21cn.com/tousu/show/id/1343326</v>
      </c>
      <c r="F11993" s="2" t="s">
        <v>11</v>
      </c>
      <c r="G11993" s="2" t="s">
        <v>20570</v>
      </c>
      <c r="H11993" s="2" t="s">
        <v>20571</v>
      </c>
    </row>
    <row r="11994" spans="1:8" ht="25.05" customHeight="1" x14ac:dyDescent="0.25">
      <c r="A11994" s="2" t="s">
        <v>8</v>
      </c>
      <c r="B11994" s="2" t="str">
        <f>HYPERLINK("http://ts.21cn.com/tousu/show/id/1343328","拇指下款扣款")</f>
        <v>拇指下款扣款</v>
      </c>
      <c r="C11994" s="2" t="s">
        <v>9</v>
      </c>
      <c r="D11994" s="2" t="s">
        <v>10</v>
      </c>
      <c r="E11994" s="2" t="str">
        <f>HYPERLINK("http://ts.21cn.com/tousu/show/id/1343328","http://ts.21cn.com/tousu/show/id/1343328")</f>
        <v>http://ts.21cn.com/tousu/show/id/1343328</v>
      </c>
      <c r="F11994" s="2" t="s">
        <v>11</v>
      </c>
      <c r="G11994" s="2" t="s">
        <v>20568</v>
      </c>
      <c r="H11994" s="2" t="s">
        <v>20569</v>
      </c>
    </row>
    <row r="11995" spans="1:8" ht="25.05" customHeight="1" x14ac:dyDescent="0.25">
      <c r="A11995" s="2" t="s">
        <v>8</v>
      </c>
      <c r="B11995" s="2" t="str">
        <f>HYPERLINK("http://ts.21cn.com/tousu/show/id/1343330","无良优信，线下工作人员一直诱导我线下交钱，未看到实车没有签任何合同！")</f>
        <v>无良优信，线下工作人员一直诱导我线下交钱，未看到实车没有签任何合同！</v>
      </c>
      <c r="C11995" s="2" t="s">
        <v>9</v>
      </c>
      <c r="D11995" s="2" t="s">
        <v>10</v>
      </c>
      <c r="E11995" s="2" t="str">
        <f>HYPERLINK("http://ts.21cn.com/tousu/show/id/1343330","http://ts.21cn.com/tousu/show/id/1343330")</f>
        <v>http://ts.21cn.com/tousu/show/id/1343330</v>
      </c>
      <c r="F11995" s="2" t="s">
        <v>11</v>
      </c>
      <c r="G11995" s="2" t="s">
        <v>20566</v>
      </c>
      <c r="H11995" s="2" t="s">
        <v>20567</v>
      </c>
    </row>
    <row r="11996" spans="1:8" ht="25.05" customHeight="1" x14ac:dyDescent="0.25">
      <c r="A11996" s="2" t="s">
        <v>8</v>
      </c>
      <c r="B11996" s="2" t="str">
        <f>HYPERLINK("http://ts.21cn.com/tousu/show/id/1343331","闪银逾期后协商续期找不到客服")</f>
        <v>闪银逾期后协商续期找不到客服</v>
      </c>
      <c r="C11996" s="2" t="s">
        <v>9</v>
      </c>
      <c r="D11996" s="2" t="s">
        <v>10</v>
      </c>
      <c r="E11996" s="2" t="str">
        <f>HYPERLINK("http://ts.21cn.com/tousu/show/id/1343331","http://ts.21cn.com/tousu/show/id/1343331")</f>
        <v>http://ts.21cn.com/tousu/show/id/1343331</v>
      </c>
      <c r="F11996" s="2" t="s">
        <v>11</v>
      </c>
      <c r="G11996" s="2" t="s">
        <v>20564</v>
      </c>
      <c r="H11996" s="2" t="s">
        <v>20565</v>
      </c>
    </row>
    <row r="11997" spans="1:8" ht="25.05" customHeight="1" x14ac:dyDescent="0.25">
      <c r="A11997" s="2" t="s">
        <v>8</v>
      </c>
      <c r="B11997" s="2" t="str">
        <f>HYPERLINK("http://ts.21cn.com/tousu/show/id/1343332","不明扣费")</f>
        <v>不明扣费</v>
      </c>
      <c r="C11997" s="2" t="s">
        <v>34</v>
      </c>
      <c r="D11997" s="2" t="s">
        <v>10</v>
      </c>
      <c r="E11997" s="2" t="str">
        <f>HYPERLINK("http://ts.21cn.com/tousu/show/id/1343332","http://ts.21cn.com/tousu/show/id/1343332")</f>
        <v>http://ts.21cn.com/tousu/show/id/1343332</v>
      </c>
      <c r="F11997" s="2" t="s">
        <v>11</v>
      </c>
      <c r="G11997" s="2" t="s">
        <v>20562</v>
      </c>
      <c r="H11997" s="2" t="s">
        <v>20563</v>
      </c>
    </row>
    <row r="11998" spans="1:8" ht="25.05" customHeight="1" x14ac:dyDescent="0.25">
      <c r="A11998" s="2" t="s">
        <v>8</v>
      </c>
      <c r="B11998" s="2" t="str">
        <f>HYPERLINK("http://ts.21cn.com/tousu/show/id/1343333","闪电借款超国家规定收费，暴力催收")</f>
        <v>闪电借款超国家规定收费，暴力催收</v>
      </c>
      <c r="C11998" s="2" t="s">
        <v>9</v>
      </c>
      <c r="D11998" s="2" t="s">
        <v>10</v>
      </c>
      <c r="E11998" s="2" t="str">
        <f>HYPERLINK("http://ts.21cn.com/tousu/show/id/1343333","http://ts.21cn.com/tousu/show/id/1343333")</f>
        <v>http://ts.21cn.com/tousu/show/id/1343333</v>
      </c>
      <c r="F11998" s="2" t="s">
        <v>11</v>
      </c>
      <c r="G11998" s="2" t="s">
        <v>20560</v>
      </c>
      <c r="H11998" s="2" t="s">
        <v>20561</v>
      </c>
    </row>
    <row r="11999" spans="1:8" ht="25.05" customHeight="1" x14ac:dyDescent="0.25">
      <c r="A11999" s="2" t="s">
        <v>8</v>
      </c>
      <c r="B11999" s="2" t="str">
        <f>HYPERLINK("http://ts.21cn.com/tousu/show/id/1343334","高利贷套路贷")</f>
        <v>高利贷套路贷</v>
      </c>
      <c r="C11999" s="2" t="s">
        <v>9</v>
      </c>
      <c r="D11999" s="2" t="s">
        <v>10</v>
      </c>
      <c r="E11999" s="2" t="str">
        <f>HYPERLINK("http://ts.21cn.com/tousu/show/id/1343334","http://ts.21cn.com/tousu/show/id/1343334")</f>
        <v>http://ts.21cn.com/tousu/show/id/1343334</v>
      </c>
      <c r="F11999" s="2" t="s">
        <v>11</v>
      </c>
      <c r="G11999" s="2" t="s">
        <v>20558</v>
      </c>
      <c r="H11999" s="2" t="s">
        <v>20559</v>
      </c>
    </row>
    <row r="12000" spans="1:8" ht="25.05" customHeight="1" x14ac:dyDescent="0.25">
      <c r="A12000" s="2" t="s">
        <v>8</v>
      </c>
      <c r="B12000" s="2" t="str">
        <f>HYPERLINK("http://ts.21cn.com/tousu/show/id/1343336","中国银联为高利贷米米罐提供支付通道")</f>
        <v>中国银联为高利贷米米罐提供支付通道</v>
      </c>
      <c r="C12000" s="2" t="s">
        <v>9</v>
      </c>
      <c r="D12000" s="2" t="s">
        <v>10</v>
      </c>
      <c r="E12000" s="2" t="str">
        <f>HYPERLINK("http://ts.21cn.com/tousu/show/id/1343336","http://ts.21cn.com/tousu/show/id/1343336")</f>
        <v>http://ts.21cn.com/tousu/show/id/1343336</v>
      </c>
      <c r="F12000" s="2" t="s">
        <v>11</v>
      </c>
      <c r="G12000" s="2" t="s">
        <v>20556</v>
      </c>
      <c r="H12000" s="2" t="s">
        <v>20557</v>
      </c>
    </row>
    <row r="12001" spans="1:8" ht="25.05" customHeight="1" x14ac:dyDescent="0.25">
      <c r="A12001" s="2" t="s">
        <v>8</v>
      </c>
      <c r="B12001" s="2" t="str">
        <f>HYPERLINK("http://ts.21cn.com/tousu/show/id/1343337","绕路也看看时间，上班迟到谁负责？")</f>
        <v>绕路也看看时间，上班迟到谁负责？</v>
      </c>
      <c r="C12001" s="2" t="s">
        <v>9</v>
      </c>
      <c r="D12001" s="2" t="s">
        <v>10</v>
      </c>
      <c r="E12001" s="2" t="str">
        <f>HYPERLINK("http://ts.21cn.com/tousu/show/id/1343337","http://ts.21cn.com/tousu/show/id/1343337")</f>
        <v>http://ts.21cn.com/tousu/show/id/1343337</v>
      </c>
      <c r="F12001" s="2" t="s">
        <v>11</v>
      </c>
      <c r="G12001" s="2" t="s">
        <v>20555</v>
      </c>
      <c r="H12001" s="2" t="s">
        <v>16509</v>
      </c>
    </row>
    <row r="12002" spans="1:8" ht="25.05" customHeight="1" x14ac:dyDescent="0.25">
      <c r="A12002" s="2" t="s">
        <v>8</v>
      </c>
      <c r="B12002" s="2" t="str">
        <f>HYPERLINK("http://ts.21cn.com/tousu/show/id/1343338","借贷app百事普惠恶意扣款前期")</f>
        <v>借贷app百事普惠恶意扣款前期</v>
      </c>
      <c r="C12002" s="2" t="s">
        <v>9</v>
      </c>
      <c r="D12002" s="2" t="s">
        <v>10</v>
      </c>
      <c r="E12002" s="2" t="str">
        <f>HYPERLINK("http://ts.21cn.com/tousu/show/id/1343338","http://ts.21cn.com/tousu/show/id/1343338")</f>
        <v>http://ts.21cn.com/tousu/show/id/1343338</v>
      </c>
      <c r="F12002" s="2" t="s">
        <v>11</v>
      </c>
      <c r="G12002" s="2" t="s">
        <v>20553</v>
      </c>
      <c r="H12002" s="2" t="s">
        <v>20554</v>
      </c>
    </row>
    <row r="12003" spans="1:8" ht="25.05" customHeight="1" x14ac:dyDescent="0.25">
      <c r="A12003" s="2" t="s">
        <v>8</v>
      </c>
      <c r="B12003" s="2" t="str">
        <f>HYPERLINK("http://ts.21cn.com/tousu/show/id/1343339","钱站暴力催收，爆我的联系人，客服人员态度不好，还非法自动从我的账上扣钱")</f>
        <v>钱站暴力催收，爆我的联系人，客服人员态度不好，还非法自动从我的账上扣钱</v>
      </c>
      <c r="C12003" s="2" t="s">
        <v>9</v>
      </c>
      <c r="D12003" s="2" t="s">
        <v>10</v>
      </c>
      <c r="E12003" s="2" t="str">
        <f>HYPERLINK("http://ts.21cn.com/tousu/show/id/1343339","http://ts.21cn.com/tousu/show/id/1343339")</f>
        <v>http://ts.21cn.com/tousu/show/id/1343339</v>
      </c>
      <c r="F12003" s="2" t="s">
        <v>11</v>
      </c>
      <c r="G12003" s="2" t="s">
        <v>20551</v>
      </c>
      <c r="H12003" s="2" t="s">
        <v>20552</v>
      </c>
    </row>
    <row r="12004" spans="1:8" ht="25.05" customHeight="1" x14ac:dyDescent="0.25">
      <c r="A12004" s="2" t="s">
        <v>8</v>
      </c>
      <c r="B12004" s="2" t="str">
        <f>HYPERLINK("http://ts.21cn.com/tousu/show/id/1343340","砍头息高利贷，恶意催收")</f>
        <v>砍头息高利贷，恶意催收</v>
      </c>
      <c r="C12004" s="2" t="s">
        <v>9</v>
      </c>
      <c r="D12004" s="2" t="s">
        <v>10</v>
      </c>
      <c r="E12004" s="2" t="str">
        <f>HYPERLINK("http://ts.21cn.com/tousu/show/id/1343340","http://ts.21cn.com/tousu/show/id/1343340")</f>
        <v>http://ts.21cn.com/tousu/show/id/1343340</v>
      </c>
      <c r="F12004" s="2" t="s">
        <v>11</v>
      </c>
      <c r="G12004" s="2" t="s">
        <v>20549</v>
      </c>
      <c r="H12004" s="2" t="s">
        <v>20550</v>
      </c>
    </row>
    <row r="12005" spans="1:8" ht="25.05" customHeight="1" x14ac:dyDescent="0.25">
      <c r="A12005" s="2" t="s">
        <v>8</v>
      </c>
      <c r="B12005" s="2" t="str">
        <f>HYPERLINK("http://ts.21cn.com/tousu/show/id/1343341","智行火车票软件不给退汽车票")</f>
        <v>智行火车票软件不给退汽车票</v>
      </c>
      <c r="C12005" s="2" t="s">
        <v>9</v>
      </c>
      <c r="D12005" s="2" t="s">
        <v>10</v>
      </c>
      <c r="E12005" s="2" t="str">
        <f>HYPERLINK("http://ts.21cn.com/tousu/show/id/1343341","http://ts.21cn.com/tousu/show/id/1343341")</f>
        <v>http://ts.21cn.com/tousu/show/id/1343341</v>
      </c>
      <c r="F12005" s="2" t="s">
        <v>11</v>
      </c>
      <c r="G12005" s="2" t="s">
        <v>20547</v>
      </c>
      <c r="H12005" s="2" t="s">
        <v>20548</v>
      </c>
    </row>
    <row r="12006" spans="1:8" ht="25.05" customHeight="1" x14ac:dyDescent="0.25">
      <c r="A12006" s="2" t="s">
        <v>8</v>
      </c>
      <c r="B12006" s="2" t="str">
        <f>HYPERLINK("http://ts.21cn.com/tousu/show/id/1343342","未经同意，自动扣费")</f>
        <v>未经同意，自动扣费</v>
      </c>
      <c r="C12006" s="2" t="s">
        <v>9</v>
      </c>
      <c r="D12006" s="2" t="s">
        <v>10</v>
      </c>
      <c r="E12006" s="2" t="str">
        <f>HYPERLINK("http://ts.21cn.com/tousu/show/id/1343342","http://ts.21cn.com/tousu/show/id/1343342")</f>
        <v>http://ts.21cn.com/tousu/show/id/1343342</v>
      </c>
      <c r="F12006" s="2" t="s">
        <v>11</v>
      </c>
      <c r="G12006" s="2" t="s">
        <v>20545</v>
      </c>
      <c r="H12006" s="2" t="s">
        <v>20546</v>
      </c>
    </row>
    <row r="12007" spans="1:8" ht="25.05" customHeight="1" x14ac:dyDescent="0.25">
      <c r="A12007" s="2" t="s">
        <v>8</v>
      </c>
      <c r="B12007" s="2" t="str">
        <f>HYPERLINK("http://ts.21cn.com/tousu/show/id/1343335","关于大众彩票平台下载送18.可提现，永远不到账问题")</f>
        <v>关于大众彩票平台下载送18.可提现，永远不到账问题</v>
      </c>
      <c r="C12007" s="2" t="s">
        <v>9</v>
      </c>
      <c r="D12007" s="2" t="s">
        <v>10</v>
      </c>
      <c r="E12007" s="2" t="str">
        <f>HYPERLINK("http://ts.21cn.com/tousu/show/id/1343335","http://ts.21cn.com/tousu/show/id/1343335")</f>
        <v>http://ts.21cn.com/tousu/show/id/1343335</v>
      </c>
      <c r="F12007" s="2" t="s">
        <v>11</v>
      </c>
      <c r="G12007" s="2" t="s">
        <v>20543</v>
      </c>
      <c r="H12007" s="2" t="s">
        <v>20544</v>
      </c>
    </row>
    <row r="12008" spans="1:8" ht="25.05" customHeight="1" x14ac:dyDescent="0.25">
      <c r="A12008" s="2" t="s">
        <v>8</v>
      </c>
      <c r="B12008" s="2" t="str">
        <f>HYPERLINK("http://ts.21cn.com/tousu/show/id/1343312","石榴快袋")</f>
        <v>石榴快袋</v>
      </c>
      <c r="C12008" s="2" t="s">
        <v>9</v>
      </c>
      <c r="D12008" s="2" t="s">
        <v>10</v>
      </c>
      <c r="E12008" s="2" t="str">
        <f>HYPERLINK("http://ts.21cn.com/tousu/show/id/1343312","http://ts.21cn.com/tousu/show/id/1343312")</f>
        <v>http://ts.21cn.com/tousu/show/id/1343312</v>
      </c>
      <c r="F12008" s="2" t="s">
        <v>11</v>
      </c>
      <c r="G12008" s="2" t="s">
        <v>20541</v>
      </c>
      <c r="H12008" s="2" t="s">
        <v>20542</v>
      </c>
    </row>
    <row r="12009" spans="1:8" ht="25.05" customHeight="1" x14ac:dyDescent="0.25">
      <c r="A12009" s="2" t="s">
        <v>8</v>
      </c>
      <c r="B12009" s="2" t="str">
        <f>HYPERLINK("http://ts.21cn.com/tousu/show/id/1343343","月光侠分期套路贷")</f>
        <v>月光侠分期套路贷</v>
      </c>
      <c r="C12009" s="2" t="s">
        <v>9</v>
      </c>
      <c r="D12009" s="2" t="s">
        <v>10</v>
      </c>
      <c r="E12009" s="2" t="str">
        <f>HYPERLINK("http://ts.21cn.com/tousu/show/id/1343343","http://ts.21cn.com/tousu/show/id/1343343")</f>
        <v>http://ts.21cn.com/tousu/show/id/1343343</v>
      </c>
      <c r="F12009" s="2" t="s">
        <v>11</v>
      </c>
      <c r="G12009" s="2" t="s">
        <v>20539</v>
      </c>
      <c r="H12009" s="2" t="s">
        <v>20540</v>
      </c>
    </row>
    <row r="12010" spans="1:8" ht="25.05" customHeight="1" x14ac:dyDescent="0.25">
      <c r="A12010" s="2" t="s">
        <v>8</v>
      </c>
      <c r="B12010" s="2" t="str">
        <f>HYPERLINK("http://ts.21cn.com/tousu/show/id/1343348","信而富恶意扣款")</f>
        <v>信而富恶意扣款</v>
      </c>
      <c r="C12010" s="2" t="s">
        <v>9</v>
      </c>
      <c r="D12010" s="2" t="s">
        <v>10</v>
      </c>
      <c r="E12010" s="2" t="str">
        <f>HYPERLINK("http://ts.21cn.com/tousu/show/id/1343348","http://ts.21cn.com/tousu/show/id/1343348")</f>
        <v>http://ts.21cn.com/tousu/show/id/1343348</v>
      </c>
      <c r="F12010" s="2" t="s">
        <v>11</v>
      </c>
      <c r="G12010" s="2" t="s">
        <v>20537</v>
      </c>
      <c r="H12010" s="2" t="s">
        <v>20538</v>
      </c>
    </row>
    <row r="12011" spans="1:8" ht="25.05" customHeight="1" x14ac:dyDescent="0.25">
      <c r="A12011" s="2" t="s">
        <v>8</v>
      </c>
      <c r="B12011" s="2" t="str">
        <f>HYPERLINK("http://ts.21cn.com/tousu/show/id/1343344","浦发信用卡")</f>
        <v>浦发信用卡</v>
      </c>
      <c r="C12011" s="2" t="s">
        <v>9</v>
      </c>
      <c r="D12011" s="2" t="s">
        <v>10</v>
      </c>
      <c r="E12011" s="2" t="str">
        <f>HYPERLINK("http://ts.21cn.com/tousu/show/id/1343344","http://ts.21cn.com/tousu/show/id/1343344")</f>
        <v>http://ts.21cn.com/tousu/show/id/1343344</v>
      </c>
      <c r="F12011" s="2" t="s">
        <v>11</v>
      </c>
      <c r="G12011" s="2" t="s">
        <v>20535</v>
      </c>
      <c r="H12011" s="2" t="s">
        <v>20536</v>
      </c>
    </row>
    <row r="12012" spans="1:8" ht="25.05" customHeight="1" x14ac:dyDescent="0.25">
      <c r="A12012" s="2" t="s">
        <v>8</v>
      </c>
      <c r="B12012" s="2" t="str">
        <f>HYPERLINK("http://ts.21cn.com/tousu/show/id/1343346","微粒贷暴力催收，严重侮辱")</f>
        <v>微粒贷暴力催收，严重侮辱</v>
      </c>
      <c r="C12012" s="2" t="s">
        <v>9</v>
      </c>
      <c r="D12012" s="2" t="s">
        <v>10</v>
      </c>
      <c r="E12012" s="2" t="str">
        <f>HYPERLINK("http://ts.21cn.com/tousu/show/id/1343346","http://ts.21cn.com/tousu/show/id/1343346")</f>
        <v>http://ts.21cn.com/tousu/show/id/1343346</v>
      </c>
      <c r="F12012" s="2" t="s">
        <v>11</v>
      </c>
      <c r="G12012" s="2" t="s">
        <v>20532</v>
      </c>
      <c r="H12012" s="2" t="s">
        <v>20533</v>
      </c>
    </row>
    <row r="12013" spans="1:8" ht="25.05" customHeight="1" x14ac:dyDescent="0.25">
      <c r="A12013" s="2" t="s">
        <v>8</v>
      </c>
      <c r="B12013" s="2" t="str">
        <f>HYPERLINK("http://ts.21cn.com/tousu/show/id/1343345","小树时代不退还保证金")</f>
        <v>小树时代不退还保证金</v>
      </c>
      <c r="C12013" s="2" t="s">
        <v>9</v>
      </c>
      <c r="D12013" s="2" t="s">
        <v>10</v>
      </c>
      <c r="E12013" s="2" t="str">
        <f>HYPERLINK("http://ts.21cn.com/tousu/show/id/1343345","http://ts.21cn.com/tousu/show/id/1343345")</f>
        <v>http://ts.21cn.com/tousu/show/id/1343345</v>
      </c>
      <c r="F12013" s="2" t="s">
        <v>11</v>
      </c>
      <c r="G12013" s="2" t="s">
        <v>20532</v>
      </c>
      <c r="H12013" s="2" t="s">
        <v>20534</v>
      </c>
    </row>
    <row r="12014" spans="1:8" ht="25.05" customHeight="1" x14ac:dyDescent="0.25">
      <c r="A12014" s="2" t="s">
        <v>8</v>
      </c>
      <c r="B12014" s="2" t="str">
        <f>HYPERLINK("http://ts.21cn.com/tousu/show/id/1343347","聚富分期私自扣款299")</f>
        <v>聚富分期私自扣款299</v>
      </c>
      <c r="C12014" s="2" t="s">
        <v>9</v>
      </c>
      <c r="D12014" s="2" t="s">
        <v>10</v>
      </c>
      <c r="E12014" s="2" t="str">
        <f>HYPERLINK("http://ts.21cn.com/tousu/show/id/1343347","http://ts.21cn.com/tousu/show/id/1343347")</f>
        <v>http://ts.21cn.com/tousu/show/id/1343347</v>
      </c>
      <c r="F12014" s="2" t="s">
        <v>11</v>
      </c>
      <c r="G12014" s="2" t="s">
        <v>20531</v>
      </c>
      <c r="H12014" s="2" t="s">
        <v>20372</v>
      </c>
    </row>
    <row r="12015" spans="1:8" ht="25.05" customHeight="1" x14ac:dyDescent="0.25">
      <c r="A12015" s="2" t="s">
        <v>8</v>
      </c>
      <c r="B12015" s="2" t="str">
        <f>HYPERLINK("http://ts.21cn.com/tousu/show/id/1343349","轻借贷款违法收取会员费")</f>
        <v>轻借贷款违法收取会员费</v>
      </c>
      <c r="C12015" s="2" t="s">
        <v>9</v>
      </c>
      <c r="D12015" s="2" t="s">
        <v>10</v>
      </c>
      <c r="E12015" s="2" t="str">
        <f>HYPERLINK("http://ts.21cn.com/tousu/show/id/1343349","http://ts.21cn.com/tousu/show/id/1343349")</f>
        <v>http://ts.21cn.com/tousu/show/id/1343349</v>
      </c>
      <c r="F12015" s="2" t="s">
        <v>11</v>
      </c>
      <c r="G12015" s="2" t="s">
        <v>20529</v>
      </c>
      <c r="H12015" s="2" t="s">
        <v>20530</v>
      </c>
    </row>
    <row r="12016" spans="1:8" ht="25.05" customHeight="1" x14ac:dyDescent="0.25">
      <c r="A12016" s="2" t="s">
        <v>8</v>
      </c>
      <c r="B12016" s="2" t="str">
        <f>HYPERLINK("http://ts.21cn.com/tousu/show/id/1343350","因为车贷有逾期，当然逾期不是我恶意的，只是暂时，和催收人员说三天内会解决，不听，非要让到处借，给两个小时，不行就家访")</f>
        <v>因为车贷有逾期，当然逾期不是我恶意的，只是暂时，和催收人员说三天内会解决，不听，非要让到处借，给两个小时，不行就家访</v>
      </c>
      <c r="C12016" s="2" t="s">
        <v>9</v>
      </c>
      <c r="D12016" s="2" t="s">
        <v>10</v>
      </c>
      <c r="E12016" s="2" t="str">
        <f>HYPERLINK("http://ts.21cn.com/tousu/show/id/1343350","http://ts.21cn.com/tousu/show/id/1343350")</f>
        <v>http://ts.21cn.com/tousu/show/id/1343350</v>
      </c>
      <c r="F12016" s="2" t="s">
        <v>11</v>
      </c>
      <c r="G12016" s="2" t="s">
        <v>20527</v>
      </c>
      <c r="H12016" s="2" t="s">
        <v>20528</v>
      </c>
    </row>
    <row r="12017" spans="1:8" ht="25.05" customHeight="1" x14ac:dyDescent="0.25">
      <c r="A12017" s="2" t="s">
        <v>8</v>
      </c>
      <c r="B12017" s="2" t="str">
        <f>HYPERLINK("http://ts.21cn.com/tousu/show/id/1343351","马上消费金融催收对我造成严重骚扰")</f>
        <v>马上消费金融催收对我造成严重骚扰</v>
      </c>
      <c r="C12017" s="2" t="s">
        <v>9</v>
      </c>
      <c r="D12017" s="2" t="s">
        <v>10</v>
      </c>
      <c r="E12017" s="2" t="str">
        <f>HYPERLINK("http://ts.21cn.com/tousu/show/id/1343351","http://ts.21cn.com/tousu/show/id/1343351")</f>
        <v>http://ts.21cn.com/tousu/show/id/1343351</v>
      </c>
      <c r="F12017" s="2" t="s">
        <v>11</v>
      </c>
      <c r="G12017" s="2" t="s">
        <v>20525</v>
      </c>
      <c r="H12017" s="2" t="s">
        <v>20526</v>
      </c>
    </row>
    <row r="12018" spans="1:8" ht="25.05" customHeight="1" x14ac:dyDescent="0.25">
      <c r="A12018" s="2" t="s">
        <v>8</v>
      </c>
      <c r="B12018" s="2" t="str">
        <f>HYPERLINK("http://ts.21cn.com/tousu/show/id/1343352","贷上钱高利贷威胁及恐吓")</f>
        <v>贷上钱高利贷威胁及恐吓</v>
      </c>
      <c r="C12018" s="2" t="s">
        <v>9</v>
      </c>
      <c r="D12018" s="2" t="s">
        <v>10</v>
      </c>
      <c r="E12018" s="2" t="str">
        <f>HYPERLINK("http://ts.21cn.com/tousu/show/id/1343352","http://ts.21cn.com/tousu/show/id/1343352")</f>
        <v>http://ts.21cn.com/tousu/show/id/1343352</v>
      </c>
      <c r="F12018" s="2" t="s">
        <v>11</v>
      </c>
      <c r="G12018" s="2" t="s">
        <v>20523</v>
      </c>
      <c r="H12018" s="2" t="s">
        <v>20524</v>
      </c>
    </row>
    <row r="12019" spans="1:8" ht="25.05" customHeight="1" x14ac:dyDescent="0.25">
      <c r="A12019" s="2" t="s">
        <v>8</v>
      </c>
      <c r="B12019" s="2" t="str">
        <f>HYPERLINK("http://ts.21cn.com/tousu/show/id/1343353","造艺科技盗刷钱财")</f>
        <v>造艺科技盗刷钱财</v>
      </c>
      <c r="C12019" s="2" t="s">
        <v>9</v>
      </c>
      <c r="D12019" s="2" t="s">
        <v>10</v>
      </c>
      <c r="E12019" s="2" t="str">
        <f>HYPERLINK("http://ts.21cn.com/tousu/show/id/1343353","http://ts.21cn.com/tousu/show/id/1343353")</f>
        <v>http://ts.21cn.com/tousu/show/id/1343353</v>
      </c>
      <c r="F12019" s="2" t="s">
        <v>11</v>
      </c>
      <c r="G12019" s="2" t="s">
        <v>20521</v>
      </c>
      <c r="H12019" s="2" t="s">
        <v>20522</v>
      </c>
    </row>
    <row r="12020" spans="1:8" ht="25.05" customHeight="1" x14ac:dyDescent="0.25">
      <c r="A12020" s="2" t="s">
        <v>8</v>
      </c>
      <c r="B12020" s="2" t="str">
        <f>HYPERLINK("http://ts.21cn.com/tousu/show/id/1343355","钱包易贷电话骚扰家人")</f>
        <v>钱包易贷电话骚扰家人</v>
      </c>
      <c r="C12020" s="2" t="s">
        <v>9</v>
      </c>
      <c r="D12020" s="2" t="s">
        <v>10</v>
      </c>
      <c r="E12020" s="2" t="str">
        <f>HYPERLINK("http://ts.21cn.com/tousu/show/id/1343355","http://ts.21cn.com/tousu/show/id/1343355")</f>
        <v>http://ts.21cn.com/tousu/show/id/1343355</v>
      </c>
      <c r="F12020" s="2" t="s">
        <v>11</v>
      </c>
      <c r="G12020" s="2" t="s">
        <v>20519</v>
      </c>
      <c r="H12020" s="2" t="s">
        <v>20520</v>
      </c>
    </row>
    <row r="12021" spans="1:8" ht="25.05" customHeight="1" x14ac:dyDescent="0.25">
      <c r="A12021" s="2" t="s">
        <v>8</v>
      </c>
      <c r="B12021" s="2" t="str">
        <f>HYPERLINK("http://ts.21cn.com/tousu/show/id/1343357","无良商家移动，设置陷阱欺诈消费者")</f>
        <v>无良商家移动，设置陷阱欺诈消费者</v>
      </c>
      <c r="C12021" s="2" t="s">
        <v>9</v>
      </c>
      <c r="D12021" s="2" t="s">
        <v>10</v>
      </c>
      <c r="E12021" s="2" t="str">
        <f>HYPERLINK("http://ts.21cn.com/tousu/show/id/1343357","http://ts.21cn.com/tousu/show/id/1343357")</f>
        <v>http://ts.21cn.com/tousu/show/id/1343357</v>
      </c>
      <c r="F12021" s="2" t="s">
        <v>11</v>
      </c>
      <c r="G12021" s="2" t="s">
        <v>20517</v>
      </c>
      <c r="H12021" s="2" t="s">
        <v>20518</v>
      </c>
    </row>
    <row r="12022" spans="1:8" ht="25.05" customHeight="1" x14ac:dyDescent="0.25">
      <c r="A12022" s="2" t="s">
        <v>8</v>
      </c>
      <c r="B12022" s="2" t="str">
        <f>HYPERLINK("http://ts.21cn.com/tousu/show/id/1343358","捷信分期违法骚扰我")</f>
        <v>捷信分期违法骚扰我</v>
      </c>
      <c r="C12022" s="2" t="s">
        <v>9</v>
      </c>
      <c r="D12022" s="2" t="s">
        <v>10</v>
      </c>
      <c r="E12022" s="2" t="str">
        <f>HYPERLINK("http://ts.21cn.com/tousu/show/id/1343358","http://ts.21cn.com/tousu/show/id/1343358")</f>
        <v>http://ts.21cn.com/tousu/show/id/1343358</v>
      </c>
      <c r="F12022" s="2" t="s">
        <v>11</v>
      </c>
      <c r="G12022" s="2" t="s">
        <v>20515</v>
      </c>
      <c r="H12022" s="2" t="s">
        <v>20516</v>
      </c>
    </row>
    <row r="12023" spans="1:8" ht="25.05" customHeight="1" x14ac:dyDescent="0.25">
      <c r="A12023" s="2" t="s">
        <v>8</v>
      </c>
      <c r="B12023" s="2" t="str">
        <f>HYPERLINK("http://ts.21cn.com/tousu/show/id/1343360","小赢卡贷打电话威胁我")</f>
        <v>小赢卡贷打电话威胁我</v>
      </c>
      <c r="C12023" s="2" t="s">
        <v>9</v>
      </c>
      <c r="D12023" s="2" t="s">
        <v>10</v>
      </c>
      <c r="E12023" s="2" t="str">
        <f>HYPERLINK("http://ts.21cn.com/tousu/show/id/1343360","http://ts.21cn.com/tousu/show/id/1343360")</f>
        <v>http://ts.21cn.com/tousu/show/id/1343360</v>
      </c>
      <c r="F12023" s="2" t="s">
        <v>11</v>
      </c>
      <c r="G12023" s="2" t="s">
        <v>20513</v>
      </c>
      <c r="H12023" s="2" t="s">
        <v>20514</v>
      </c>
    </row>
    <row r="12024" spans="1:8" ht="25.05" customHeight="1" x14ac:dyDescent="0.25">
      <c r="A12024" s="2" t="s">
        <v>8</v>
      </c>
      <c r="B12024" s="2" t="str">
        <f>HYPERLINK("http://ts.21cn.com/tousu/show/id/1343359","你我贷出尔反尔")</f>
        <v>你我贷出尔反尔</v>
      </c>
      <c r="C12024" s="2" t="s">
        <v>9</v>
      </c>
      <c r="D12024" s="2" t="s">
        <v>10</v>
      </c>
      <c r="E12024" s="2" t="str">
        <f>HYPERLINK("http://ts.21cn.com/tousu/show/id/1343359","http://ts.21cn.com/tousu/show/id/1343359")</f>
        <v>http://ts.21cn.com/tousu/show/id/1343359</v>
      </c>
      <c r="F12024" s="2" t="s">
        <v>11</v>
      </c>
      <c r="G12024" s="2" t="s">
        <v>20511</v>
      </c>
      <c r="H12024" s="2" t="s">
        <v>20512</v>
      </c>
    </row>
    <row r="12025" spans="1:8" ht="25.05" customHeight="1" x14ac:dyDescent="0.25">
      <c r="A12025" s="2" t="s">
        <v>8</v>
      </c>
      <c r="B12025" s="2" t="str">
        <f>HYPERLINK("http://ts.21cn.com/tousu/show/id/1343361","客服态度恶劣")</f>
        <v>客服态度恶劣</v>
      </c>
      <c r="C12025" s="2" t="s">
        <v>9</v>
      </c>
      <c r="D12025" s="2" t="s">
        <v>10</v>
      </c>
      <c r="E12025" s="2" t="str">
        <f>HYPERLINK("http://ts.21cn.com/tousu/show/id/1343361","http://ts.21cn.com/tousu/show/id/1343361")</f>
        <v>http://ts.21cn.com/tousu/show/id/1343361</v>
      </c>
      <c r="F12025" s="2" t="s">
        <v>11</v>
      </c>
      <c r="G12025" s="2" t="s">
        <v>20509</v>
      </c>
      <c r="H12025" s="2" t="s">
        <v>20510</v>
      </c>
    </row>
    <row r="12026" spans="1:8" ht="25.05" customHeight="1" x14ac:dyDescent="0.25">
      <c r="A12026" s="2" t="s">
        <v>8</v>
      </c>
      <c r="B12026" s="2" t="str">
        <f>HYPERLINK("http://ts.21cn.com/tousu/show/id/1343362","要求退回之前的保险费用")</f>
        <v>要求退回之前的保险费用</v>
      </c>
      <c r="C12026" s="2" t="s">
        <v>9</v>
      </c>
      <c r="D12026" s="2" t="s">
        <v>10</v>
      </c>
      <c r="E12026" s="2" t="str">
        <f>HYPERLINK("http://ts.21cn.com/tousu/show/id/1343362","http://ts.21cn.com/tousu/show/id/1343362")</f>
        <v>http://ts.21cn.com/tousu/show/id/1343362</v>
      </c>
      <c r="F12026" s="2" t="s">
        <v>11</v>
      </c>
      <c r="G12026" s="2" t="s">
        <v>20507</v>
      </c>
      <c r="H12026" s="2" t="s">
        <v>20508</v>
      </c>
    </row>
    <row r="12027" spans="1:8" ht="25.05" customHeight="1" x14ac:dyDescent="0.25">
      <c r="A12027" s="2" t="s">
        <v>8</v>
      </c>
      <c r="B12027" s="2" t="str">
        <f>HYPERLINK("http://ts.21cn.com/tousu/show/id/1343363","EVCARD危害人身安全")</f>
        <v>EVCARD危害人身安全</v>
      </c>
      <c r="C12027" s="2" t="s">
        <v>9</v>
      </c>
      <c r="D12027" s="2" t="s">
        <v>10</v>
      </c>
      <c r="E12027" s="2" t="str">
        <f>HYPERLINK("http://ts.21cn.com/tousu/show/id/1343363","http://ts.21cn.com/tousu/show/id/1343363")</f>
        <v>http://ts.21cn.com/tousu/show/id/1343363</v>
      </c>
      <c r="F12027" s="2" t="s">
        <v>11</v>
      </c>
      <c r="G12027" s="2" t="s">
        <v>20505</v>
      </c>
      <c r="H12027" s="2" t="s">
        <v>20506</v>
      </c>
    </row>
    <row r="12028" spans="1:8" ht="25.05" customHeight="1" x14ac:dyDescent="0.25">
      <c r="A12028" s="2" t="s">
        <v>8</v>
      </c>
      <c r="B12028" s="2" t="str">
        <f>HYPERLINK("http://ts.21cn.com/tousu/show/id/1343364","小赢钱包。摇钱花暴力催收")</f>
        <v>小赢钱包。摇钱花暴力催收</v>
      </c>
      <c r="C12028" s="2" t="s">
        <v>9</v>
      </c>
      <c r="D12028" s="2" t="s">
        <v>10</v>
      </c>
      <c r="E12028" s="2" t="str">
        <f>HYPERLINK("http://ts.21cn.com/tousu/show/id/1343364","http://ts.21cn.com/tousu/show/id/1343364")</f>
        <v>http://ts.21cn.com/tousu/show/id/1343364</v>
      </c>
      <c r="F12028" s="2" t="s">
        <v>11</v>
      </c>
      <c r="G12028" s="2" t="s">
        <v>20503</v>
      </c>
      <c r="H12028" s="2" t="s">
        <v>20504</v>
      </c>
    </row>
    <row r="12029" spans="1:8" ht="25.05" customHeight="1" x14ac:dyDescent="0.25">
      <c r="A12029" s="2" t="s">
        <v>8</v>
      </c>
      <c r="B12029" s="2" t="str">
        <f>HYPERLINK("http://ts.21cn.com/tousu/show/id/1343366","新橙优品高利贷")</f>
        <v>新橙优品高利贷</v>
      </c>
      <c r="C12029" s="2" t="s">
        <v>9</v>
      </c>
      <c r="D12029" s="2" t="s">
        <v>10</v>
      </c>
      <c r="E12029" s="2" t="str">
        <f>HYPERLINK("http://ts.21cn.com/tousu/show/id/1343366","http://ts.21cn.com/tousu/show/id/1343366")</f>
        <v>http://ts.21cn.com/tousu/show/id/1343366</v>
      </c>
      <c r="F12029" s="2" t="s">
        <v>11</v>
      </c>
      <c r="G12029" s="2" t="s">
        <v>20501</v>
      </c>
      <c r="H12029" s="2" t="s">
        <v>20502</v>
      </c>
    </row>
    <row r="12030" spans="1:8" ht="25.05" customHeight="1" x14ac:dyDescent="0.25">
      <c r="A12030" s="2" t="s">
        <v>8</v>
      </c>
      <c r="B12030" s="2" t="str">
        <f>HYPERLINK("http://ts.21cn.com/tousu/show/id/1343365","嗨钱光华惠普砍头息还钱不销账")</f>
        <v>嗨钱光华惠普砍头息还钱不销账</v>
      </c>
      <c r="C12030" s="2" t="s">
        <v>34</v>
      </c>
      <c r="D12030" s="2" t="s">
        <v>10</v>
      </c>
      <c r="E12030" s="2" t="str">
        <f>HYPERLINK("http://ts.21cn.com/tousu/show/id/1343365","http://ts.21cn.com/tousu/show/id/1343365")</f>
        <v>http://ts.21cn.com/tousu/show/id/1343365</v>
      </c>
      <c r="F12030" s="2" t="s">
        <v>11</v>
      </c>
      <c r="G12030" s="2" t="s">
        <v>20499</v>
      </c>
      <c r="H12030" s="2" t="s">
        <v>20500</v>
      </c>
    </row>
    <row r="12031" spans="1:8" ht="25.05" customHeight="1" x14ac:dyDescent="0.25">
      <c r="A12031" s="2" t="s">
        <v>8</v>
      </c>
      <c r="B12031" s="2" t="str">
        <f>HYPERLINK("http://ts.21cn.com/tousu/show/id/1343367","闪银还款困难请求延期")</f>
        <v>闪银还款困难请求延期</v>
      </c>
      <c r="C12031" s="2" t="s">
        <v>9</v>
      </c>
      <c r="D12031" s="2" t="s">
        <v>10</v>
      </c>
      <c r="E12031" s="2" t="str">
        <f>HYPERLINK("http://ts.21cn.com/tousu/show/id/1343367","http://ts.21cn.com/tousu/show/id/1343367")</f>
        <v>http://ts.21cn.com/tousu/show/id/1343367</v>
      </c>
      <c r="F12031" s="2" t="s">
        <v>11</v>
      </c>
      <c r="G12031" s="2" t="s">
        <v>20497</v>
      </c>
      <c r="H12031" s="2" t="s">
        <v>20498</v>
      </c>
    </row>
    <row r="12032" spans="1:8" ht="25.05" customHeight="1" x14ac:dyDescent="0.25">
      <c r="A12032" s="2" t="s">
        <v>8</v>
      </c>
      <c r="B12032" s="2" t="str">
        <f>HYPERLINK("http://ts.21cn.com/tousu/show/id/1343368","银行卡被银联私自扣款1290")</f>
        <v>银行卡被银联私自扣款1290</v>
      </c>
      <c r="C12032" s="2" t="s">
        <v>9</v>
      </c>
      <c r="D12032" s="2" t="s">
        <v>10</v>
      </c>
      <c r="E12032" s="2" t="str">
        <f>HYPERLINK("http://ts.21cn.com/tousu/show/id/1343368","http://ts.21cn.com/tousu/show/id/1343368")</f>
        <v>http://ts.21cn.com/tousu/show/id/1343368</v>
      </c>
      <c r="F12032" s="2" t="s">
        <v>11</v>
      </c>
      <c r="G12032" s="2" t="s">
        <v>20495</v>
      </c>
      <c r="H12032" s="2" t="s">
        <v>20496</v>
      </c>
    </row>
    <row r="12033" spans="1:8" ht="25.05" customHeight="1" x14ac:dyDescent="0.25">
      <c r="A12033" s="2" t="s">
        <v>8</v>
      </c>
      <c r="B12033" s="2" t="str">
        <f>HYPERLINK("http://ts.21cn.com/tousu/show/id/1343369","贷上钱高利贷")</f>
        <v>贷上钱高利贷</v>
      </c>
      <c r="C12033" s="2" t="s">
        <v>9</v>
      </c>
      <c r="D12033" s="2" t="s">
        <v>10</v>
      </c>
      <c r="E12033" s="2" t="str">
        <f>HYPERLINK("http://ts.21cn.com/tousu/show/id/1343369","http://ts.21cn.com/tousu/show/id/1343369")</f>
        <v>http://ts.21cn.com/tousu/show/id/1343369</v>
      </c>
      <c r="F12033" s="2" t="s">
        <v>11</v>
      </c>
      <c r="G12033" s="2" t="s">
        <v>20493</v>
      </c>
      <c r="H12033" s="2" t="s">
        <v>20494</v>
      </c>
    </row>
    <row r="12034" spans="1:8" ht="25.05" customHeight="1" x14ac:dyDescent="0.25">
      <c r="A12034" s="2" t="s">
        <v>8</v>
      </c>
      <c r="B12034" s="2" t="str">
        <f>HYPERLINK("http://ts.21cn.com/tousu/show/id/1343370","及贷以学堂会员名义收取高额服务费")</f>
        <v>及贷以学堂会员名义收取高额服务费</v>
      </c>
      <c r="C12034" s="2" t="s">
        <v>9</v>
      </c>
      <c r="D12034" s="2" t="s">
        <v>10</v>
      </c>
      <c r="E12034" s="2" t="str">
        <f>HYPERLINK("http://ts.21cn.com/tousu/show/id/1343370","http://ts.21cn.com/tousu/show/id/1343370")</f>
        <v>http://ts.21cn.com/tousu/show/id/1343370</v>
      </c>
      <c r="F12034" s="2" t="s">
        <v>11</v>
      </c>
      <c r="G12034" s="2" t="s">
        <v>20491</v>
      </c>
      <c r="H12034" s="2" t="s">
        <v>20492</v>
      </c>
    </row>
    <row r="12035" spans="1:8" ht="25.05" customHeight="1" x14ac:dyDescent="0.25">
      <c r="A12035" s="2" t="s">
        <v>8</v>
      </c>
      <c r="B12035" s="2" t="str">
        <f>HYPERLINK("http://ts.21cn.com/tousu/show/id/1343372","交通银行信用卡暴力催收")</f>
        <v>交通银行信用卡暴力催收</v>
      </c>
      <c r="C12035" s="2" t="s">
        <v>9</v>
      </c>
      <c r="D12035" s="2" t="s">
        <v>10</v>
      </c>
      <c r="E12035" s="2" t="str">
        <f>HYPERLINK("http://ts.21cn.com/tousu/show/id/1343372","http://ts.21cn.com/tousu/show/id/1343372")</f>
        <v>http://ts.21cn.com/tousu/show/id/1343372</v>
      </c>
      <c r="F12035" s="2" t="s">
        <v>11</v>
      </c>
      <c r="G12035" s="2" t="s">
        <v>20489</v>
      </c>
      <c r="H12035" s="2" t="s">
        <v>20490</v>
      </c>
    </row>
    <row r="12036" spans="1:8" ht="25.05" customHeight="1" x14ac:dyDescent="0.25">
      <c r="A12036" s="2" t="s">
        <v>8</v>
      </c>
      <c r="B12036" s="2" t="str">
        <f>HYPERLINK("http://ts.21cn.com/tousu/show/id/1343371","宝付支付闪电借款砍头息支付通道")</f>
        <v>宝付支付闪电借款砍头息支付通道</v>
      </c>
      <c r="C12036" s="2" t="s">
        <v>9</v>
      </c>
      <c r="D12036" s="2" t="s">
        <v>10</v>
      </c>
      <c r="E12036" s="2" t="str">
        <f>HYPERLINK("http://ts.21cn.com/tousu/show/id/1343371","http://ts.21cn.com/tousu/show/id/1343371")</f>
        <v>http://ts.21cn.com/tousu/show/id/1343371</v>
      </c>
      <c r="F12036" s="2" t="s">
        <v>11</v>
      </c>
      <c r="G12036" s="2" t="s">
        <v>20487</v>
      </c>
      <c r="H12036" s="2" t="s">
        <v>20488</v>
      </c>
    </row>
    <row r="12037" spans="1:8" ht="25.05" customHeight="1" x14ac:dyDescent="0.25">
      <c r="A12037" s="2" t="s">
        <v>8</v>
      </c>
      <c r="B12037" s="2" t="str">
        <f>HYPERLINK("http://ts.21cn.com/tousu/show/id/1343374","招商银行信用卡暴力催收")</f>
        <v>招商银行信用卡暴力催收</v>
      </c>
      <c r="C12037" s="2" t="s">
        <v>9</v>
      </c>
      <c r="D12037" s="2" t="s">
        <v>10</v>
      </c>
      <c r="E12037" s="2" t="str">
        <f>HYPERLINK("http://ts.21cn.com/tousu/show/id/1343374","http://ts.21cn.com/tousu/show/id/1343374")</f>
        <v>http://ts.21cn.com/tousu/show/id/1343374</v>
      </c>
      <c r="F12037" s="2" t="s">
        <v>11</v>
      </c>
      <c r="G12037" s="2" t="s">
        <v>20485</v>
      </c>
      <c r="H12037" s="2" t="s">
        <v>20486</v>
      </c>
    </row>
    <row r="12038" spans="1:8" ht="25.05" customHeight="1" x14ac:dyDescent="0.25">
      <c r="A12038" s="2" t="s">
        <v>8</v>
      </c>
      <c r="B12038" s="2" t="str">
        <f>HYPERLINK("http://ts.21cn.com/tousu/show/id/1343375","马上消费金融分期购物不满意不给退")</f>
        <v>马上消费金融分期购物不满意不给退</v>
      </c>
      <c r="C12038" s="2" t="s">
        <v>9</v>
      </c>
      <c r="D12038" s="2" t="s">
        <v>10</v>
      </c>
      <c r="E12038" s="2" t="str">
        <f>HYPERLINK("http://ts.21cn.com/tousu/show/id/1343375","http://ts.21cn.com/tousu/show/id/1343375")</f>
        <v>http://ts.21cn.com/tousu/show/id/1343375</v>
      </c>
      <c r="F12038" s="2" t="s">
        <v>11</v>
      </c>
      <c r="G12038" s="2" t="s">
        <v>20483</v>
      </c>
      <c r="H12038" s="2" t="s">
        <v>20484</v>
      </c>
    </row>
    <row r="12039" spans="1:8" ht="25.05" customHeight="1" x14ac:dyDescent="0.25">
      <c r="A12039" s="2" t="s">
        <v>8</v>
      </c>
      <c r="B12039" s="2" t="str">
        <f>HYPERLINK("http://ts.21cn.com/tousu/show/id/1343376","淘发卡跑路不结算")</f>
        <v>淘发卡跑路不结算</v>
      </c>
      <c r="C12039" s="2" t="s">
        <v>9</v>
      </c>
      <c r="D12039" s="2" t="s">
        <v>10</v>
      </c>
      <c r="E12039" s="2" t="str">
        <f>HYPERLINK("http://ts.21cn.com/tousu/show/id/1343376","http://ts.21cn.com/tousu/show/id/1343376")</f>
        <v>http://ts.21cn.com/tousu/show/id/1343376</v>
      </c>
      <c r="F12039" s="2" t="s">
        <v>11</v>
      </c>
      <c r="G12039" s="2" t="s">
        <v>20481</v>
      </c>
      <c r="H12039" s="2" t="s">
        <v>20482</v>
      </c>
    </row>
    <row r="12040" spans="1:8" ht="25.05" customHeight="1" x14ac:dyDescent="0.25">
      <c r="A12040" s="2" t="s">
        <v>8</v>
      </c>
      <c r="B12040" s="2" t="str">
        <f>HYPERLINK("http://ts.21cn.com/tousu/show/id/1343378","闪银至尊侮辱骚扰借款人")</f>
        <v>闪银至尊侮辱骚扰借款人</v>
      </c>
      <c r="C12040" s="2" t="s">
        <v>9</v>
      </c>
      <c r="D12040" s="2" t="s">
        <v>10</v>
      </c>
      <c r="E12040" s="2" t="str">
        <f>HYPERLINK("http://ts.21cn.com/tousu/show/id/1343378","http://ts.21cn.com/tousu/show/id/1343378")</f>
        <v>http://ts.21cn.com/tousu/show/id/1343378</v>
      </c>
      <c r="F12040" s="2" t="s">
        <v>11</v>
      </c>
      <c r="G12040" s="2" t="s">
        <v>20479</v>
      </c>
      <c r="H12040" s="2" t="s">
        <v>20480</v>
      </c>
    </row>
    <row r="12041" spans="1:8" ht="25.05" customHeight="1" x14ac:dyDescent="0.25">
      <c r="A12041" s="2" t="s">
        <v>8</v>
      </c>
      <c r="B12041" s="2" t="str">
        <f>HYPERLINK("http://ts.21cn.com/tousu/show/id/1343379","交通银行雇佣催收")</f>
        <v>交通银行雇佣催收</v>
      </c>
      <c r="C12041" s="2" t="s">
        <v>9</v>
      </c>
      <c r="D12041" s="2" t="s">
        <v>10</v>
      </c>
      <c r="E12041" s="2" t="str">
        <f>HYPERLINK("http://ts.21cn.com/tousu/show/id/1343379","http://ts.21cn.com/tousu/show/id/1343379")</f>
        <v>http://ts.21cn.com/tousu/show/id/1343379</v>
      </c>
      <c r="F12041" s="2" t="s">
        <v>11</v>
      </c>
      <c r="G12041" s="2" t="s">
        <v>20477</v>
      </c>
      <c r="H12041" s="2" t="s">
        <v>20478</v>
      </c>
    </row>
    <row r="12042" spans="1:8" ht="25.05" customHeight="1" x14ac:dyDescent="0.25">
      <c r="A12042" s="2" t="s">
        <v>8</v>
      </c>
      <c r="B12042" s="2" t="str">
        <f>HYPERLINK("http://ts.21cn.com/tousu/show/id/1343381","侮辱他人，暴力催收恶心")</f>
        <v>侮辱他人，暴力催收恶心</v>
      </c>
      <c r="C12042" s="2" t="s">
        <v>9</v>
      </c>
      <c r="D12042" s="2" t="s">
        <v>10</v>
      </c>
      <c r="E12042" s="2" t="str">
        <f>HYPERLINK("http://ts.21cn.com/tousu/show/id/1343381","http://ts.21cn.com/tousu/show/id/1343381")</f>
        <v>http://ts.21cn.com/tousu/show/id/1343381</v>
      </c>
      <c r="F12042" s="2" t="s">
        <v>11</v>
      </c>
      <c r="G12042" s="2" t="s">
        <v>20475</v>
      </c>
      <c r="H12042" s="2" t="s">
        <v>20476</v>
      </c>
    </row>
    <row r="12043" spans="1:8" ht="25.05" customHeight="1" x14ac:dyDescent="0.25">
      <c r="A12043" s="2" t="s">
        <v>8</v>
      </c>
      <c r="B12043" s="2" t="str">
        <f>HYPERLINK("http://ts.21cn.com/tousu/show/id/1343380","暴击催收爆通讯录，威胁恐吓")</f>
        <v>暴击催收爆通讯录，威胁恐吓</v>
      </c>
      <c r="C12043" s="2" t="s">
        <v>9</v>
      </c>
      <c r="D12043" s="2" t="s">
        <v>10</v>
      </c>
      <c r="E12043" s="2" t="str">
        <f>HYPERLINK("http://ts.21cn.com/tousu/show/id/1343380","http://ts.21cn.com/tousu/show/id/1343380")</f>
        <v>http://ts.21cn.com/tousu/show/id/1343380</v>
      </c>
      <c r="F12043" s="2" t="s">
        <v>11</v>
      </c>
      <c r="G12043" s="2" t="s">
        <v>20473</v>
      </c>
      <c r="H12043" s="2" t="s">
        <v>20474</v>
      </c>
    </row>
    <row r="12044" spans="1:8" ht="25.05" customHeight="1" x14ac:dyDescent="0.25">
      <c r="A12044" s="2" t="s">
        <v>8</v>
      </c>
      <c r="B12044" s="2" t="str">
        <f>HYPERLINK("http://ts.21cn.com/tousu/show/id/1343382","贷上钱恶意推诿，如期还款付足砍头息要求撤销投诉！")</f>
        <v>贷上钱恶意推诿，如期还款付足砍头息要求撤销投诉！</v>
      </c>
      <c r="C12044" s="2" t="s">
        <v>9</v>
      </c>
      <c r="D12044" s="2" t="s">
        <v>10</v>
      </c>
      <c r="E12044" s="2" t="str">
        <f>HYPERLINK("http://ts.21cn.com/tousu/show/id/1343382","http://ts.21cn.com/tousu/show/id/1343382")</f>
        <v>http://ts.21cn.com/tousu/show/id/1343382</v>
      </c>
      <c r="F12044" s="2" t="s">
        <v>11</v>
      </c>
      <c r="G12044" s="2" t="s">
        <v>20471</v>
      </c>
      <c r="H12044" s="2" t="s">
        <v>20472</v>
      </c>
    </row>
    <row r="12045" spans="1:8" ht="25.05" customHeight="1" x14ac:dyDescent="0.25">
      <c r="A12045" s="2" t="s">
        <v>8</v>
      </c>
      <c r="B12045" s="2" t="str">
        <f>HYPERLINK("http://ts.21cn.com/tousu/show/id/1343383","网贷")</f>
        <v>网贷</v>
      </c>
      <c r="C12045" s="2" t="s">
        <v>34</v>
      </c>
      <c r="D12045" s="2" t="s">
        <v>10</v>
      </c>
      <c r="E12045" s="2" t="str">
        <f>HYPERLINK("http://ts.21cn.com/tousu/show/id/1343383","http://ts.21cn.com/tousu/show/id/1343383")</f>
        <v>http://ts.21cn.com/tousu/show/id/1343383</v>
      </c>
      <c r="F12045" s="2" t="s">
        <v>11</v>
      </c>
      <c r="G12045" s="2" t="s">
        <v>20469</v>
      </c>
      <c r="H12045" s="2" t="s">
        <v>20470</v>
      </c>
    </row>
    <row r="12046" spans="1:8" ht="25.05" customHeight="1" x14ac:dyDescent="0.25">
      <c r="A12046" s="2" t="s">
        <v>8</v>
      </c>
      <c r="B12046" s="2" t="str">
        <f>HYPERLINK("http://ts.21cn.com/tousu/show/id/1343384","好易贷高额利息，不能协商还款。")</f>
        <v>好易贷高额利息，不能协商还款。</v>
      </c>
      <c r="C12046" s="2" t="s">
        <v>9</v>
      </c>
      <c r="D12046" s="2" t="s">
        <v>10</v>
      </c>
      <c r="E12046" s="2" t="str">
        <f>HYPERLINK("http://ts.21cn.com/tousu/show/id/1343384","http://ts.21cn.com/tousu/show/id/1343384")</f>
        <v>http://ts.21cn.com/tousu/show/id/1343384</v>
      </c>
      <c r="F12046" s="2" t="s">
        <v>11</v>
      </c>
      <c r="G12046" s="2" t="s">
        <v>20467</v>
      </c>
      <c r="H12046" s="2" t="s">
        <v>20468</v>
      </c>
    </row>
    <row r="12047" spans="1:8" ht="25.05" customHeight="1" x14ac:dyDescent="0.25">
      <c r="A12047" s="2" t="s">
        <v>8</v>
      </c>
      <c r="B12047" s="2" t="str">
        <f>HYPERLINK("http://ts.21cn.com/tousu/show/id/1343385","微品分期收取高额利息")</f>
        <v>微品分期收取高额利息</v>
      </c>
      <c r="C12047" s="2" t="s">
        <v>9</v>
      </c>
      <c r="D12047" s="2" t="s">
        <v>10</v>
      </c>
      <c r="E12047" s="2" t="str">
        <f>HYPERLINK("http://ts.21cn.com/tousu/show/id/1343385","http://ts.21cn.com/tousu/show/id/1343385")</f>
        <v>http://ts.21cn.com/tousu/show/id/1343385</v>
      </c>
      <c r="F12047" s="2" t="s">
        <v>11</v>
      </c>
      <c r="G12047" s="2" t="s">
        <v>20465</v>
      </c>
      <c r="H12047" s="2" t="s">
        <v>20466</v>
      </c>
    </row>
    <row r="12048" spans="1:8" ht="25.05" customHeight="1" x14ac:dyDescent="0.25">
      <c r="A12048" s="2" t="s">
        <v>8</v>
      </c>
      <c r="B12048" s="2" t="str">
        <f>HYPERLINK("http://ts.21cn.com/tousu/show/id/1343386","闪银说了无法延期催收态度恶劣")</f>
        <v>闪银说了无法延期催收态度恶劣</v>
      </c>
      <c r="C12048" s="2" t="s">
        <v>9</v>
      </c>
      <c r="D12048" s="2" t="s">
        <v>10</v>
      </c>
      <c r="E12048" s="2" t="str">
        <f>HYPERLINK("http://ts.21cn.com/tousu/show/id/1343386","http://ts.21cn.com/tousu/show/id/1343386")</f>
        <v>http://ts.21cn.com/tousu/show/id/1343386</v>
      </c>
      <c r="F12048" s="2" t="s">
        <v>11</v>
      </c>
      <c r="G12048" s="2" t="s">
        <v>20463</v>
      </c>
      <c r="H12048" s="2" t="s">
        <v>20464</v>
      </c>
    </row>
    <row r="12049" spans="1:8" ht="25.05" customHeight="1" x14ac:dyDescent="0.25">
      <c r="A12049" s="2" t="s">
        <v>8</v>
      </c>
      <c r="B12049" s="2" t="str">
        <f>HYPERLINK("http://ts.21cn.com/tousu/show/id/1343387","闪银至尊暴力催收")</f>
        <v>闪银至尊暴力催收</v>
      </c>
      <c r="C12049" s="2" t="s">
        <v>9</v>
      </c>
      <c r="D12049" s="2" t="s">
        <v>10</v>
      </c>
      <c r="E12049" s="2" t="str">
        <f>HYPERLINK("http://ts.21cn.com/tousu/show/id/1343387","http://ts.21cn.com/tousu/show/id/1343387")</f>
        <v>http://ts.21cn.com/tousu/show/id/1343387</v>
      </c>
      <c r="F12049" s="2" t="s">
        <v>11</v>
      </c>
      <c r="G12049" s="2" t="s">
        <v>20461</v>
      </c>
      <c r="H12049" s="2" t="s">
        <v>20462</v>
      </c>
    </row>
    <row r="12050" spans="1:8" ht="25.05" customHeight="1" x14ac:dyDescent="0.25">
      <c r="A12050" s="2" t="s">
        <v>8</v>
      </c>
      <c r="B12050" s="2" t="str">
        <f>HYPERLINK("http://ts.21cn.com/tousu/show/id/1343388","暴力催收")</f>
        <v>暴力催收</v>
      </c>
      <c r="C12050" s="2" t="s">
        <v>9</v>
      </c>
      <c r="D12050" s="2" t="s">
        <v>10</v>
      </c>
      <c r="E12050" s="2" t="str">
        <f>HYPERLINK("http://ts.21cn.com/tousu/show/id/1343388","http://ts.21cn.com/tousu/show/id/1343388")</f>
        <v>http://ts.21cn.com/tousu/show/id/1343388</v>
      </c>
      <c r="F12050" s="2" t="s">
        <v>11</v>
      </c>
      <c r="G12050" s="2" t="s">
        <v>20459</v>
      </c>
      <c r="H12050" s="2" t="s">
        <v>20460</v>
      </c>
    </row>
    <row r="12051" spans="1:8" ht="25.05" customHeight="1" x14ac:dyDescent="0.25">
      <c r="A12051" s="2" t="s">
        <v>8</v>
      </c>
      <c r="B12051" s="2" t="str">
        <f>HYPERLINK("http://ts.21cn.com/tousu/show/id/1343389","闪银平台推高利息，高砍头息的产品")</f>
        <v>闪银平台推高利息，高砍头息的产品</v>
      </c>
      <c r="C12051" s="2" t="s">
        <v>34</v>
      </c>
      <c r="D12051" s="2" t="s">
        <v>10</v>
      </c>
      <c r="E12051" s="2" t="str">
        <f>HYPERLINK("http://ts.21cn.com/tousu/show/id/1343389","http://ts.21cn.com/tousu/show/id/1343389")</f>
        <v>http://ts.21cn.com/tousu/show/id/1343389</v>
      </c>
      <c r="F12051" s="2" t="s">
        <v>11</v>
      </c>
      <c r="G12051" s="2" t="s">
        <v>20457</v>
      </c>
      <c r="H12051" s="2" t="s">
        <v>20458</v>
      </c>
    </row>
    <row r="12052" spans="1:8" ht="25.05" customHeight="1" x14ac:dyDescent="0.25">
      <c r="A12052" s="2" t="s">
        <v>8</v>
      </c>
      <c r="B12052" s="2" t="str">
        <f>HYPERLINK("http://ts.21cn.com/tousu/show/id/1343390","小当家暴力催收")</f>
        <v>小当家暴力催收</v>
      </c>
      <c r="C12052" s="2" t="s">
        <v>9</v>
      </c>
      <c r="D12052" s="2" t="s">
        <v>10</v>
      </c>
      <c r="E12052" s="2" t="str">
        <f>HYPERLINK("http://ts.21cn.com/tousu/show/id/1343390","http://ts.21cn.com/tousu/show/id/1343390")</f>
        <v>http://ts.21cn.com/tousu/show/id/1343390</v>
      </c>
      <c r="F12052" s="2" t="s">
        <v>11</v>
      </c>
      <c r="G12052" s="2" t="s">
        <v>20455</v>
      </c>
      <c r="H12052" s="2" t="s">
        <v>20456</v>
      </c>
    </row>
    <row r="12053" spans="1:8" ht="25.05" customHeight="1" x14ac:dyDescent="0.25">
      <c r="A12053" s="2" t="s">
        <v>8</v>
      </c>
      <c r="B12053" s="2" t="str">
        <f>HYPERLINK("http://ts.21cn.com/tousu/show/id/1343391","皮卡丘砍头息多收利息")</f>
        <v>皮卡丘砍头息多收利息</v>
      </c>
      <c r="C12053" s="2" t="s">
        <v>9</v>
      </c>
      <c r="D12053" s="2" t="s">
        <v>10</v>
      </c>
      <c r="E12053" s="2" t="str">
        <f>HYPERLINK("http://ts.21cn.com/tousu/show/id/1343391","http://ts.21cn.com/tousu/show/id/1343391")</f>
        <v>http://ts.21cn.com/tousu/show/id/1343391</v>
      </c>
      <c r="F12053" s="2" t="s">
        <v>11</v>
      </c>
      <c r="G12053" s="2" t="s">
        <v>20453</v>
      </c>
      <c r="H12053" s="2" t="s">
        <v>20454</v>
      </c>
    </row>
    <row r="12054" spans="1:8" ht="25.05" customHeight="1" x14ac:dyDescent="0.25">
      <c r="A12054" s="2" t="s">
        <v>8</v>
      </c>
      <c r="B12054" s="2" t="str">
        <f>HYPERLINK("http://ts.21cn.com/tousu/show/id/1343392","取消订单已5天，途虎养车一直未予退款")</f>
        <v>取消订单已5天，途虎养车一直未予退款</v>
      </c>
      <c r="C12054" s="2" t="s">
        <v>9</v>
      </c>
      <c r="D12054" s="2" t="s">
        <v>10</v>
      </c>
      <c r="E12054" s="2" t="str">
        <f>HYPERLINK("http://ts.21cn.com/tousu/show/id/1343392","http://ts.21cn.com/tousu/show/id/1343392")</f>
        <v>http://ts.21cn.com/tousu/show/id/1343392</v>
      </c>
      <c r="F12054" s="2" t="s">
        <v>11</v>
      </c>
      <c r="G12054" s="2" t="s">
        <v>20451</v>
      </c>
      <c r="H12054" s="2" t="s">
        <v>20452</v>
      </c>
    </row>
    <row r="12055" spans="1:8" ht="25.05" customHeight="1" x14ac:dyDescent="0.25">
      <c r="A12055" s="2" t="s">
        <v>8</v>
      </c>
      <c r="B12055" s="2" t="str">
        <f>HYPERLINK("http://ts.21cn.com/tousu/show/id/1343393","高利贷，砍头息")</f>
        <v>高利贷，砍头息</v>
      </c>
      <c r="C12055" s="2" t="s">
        <v>9</v>
      </c>
      <c r="D12055" s="2" t="s">
        <v>10</v>
      </c>
      <c r="E12055" s="2" t="str">
        <f>HYPERLINK("http://ts.21cn.com/tousu/show/id/1343393","http://ts.21cn.com/tousu/show/id/1343393")</f>
        <v>http://ts.21cn.com/tousu/show/id/1343393</v>
      </c>
      <c r="F12055" s="2" t="s">
        <v>11</v>
      </c>
      <c r="G12055" s="2" t="s">
        <v>20449</v>
      </c>
      <c r="H12055" s="2" t="s">
        <v>20450</v>
      </c>
    </row>
    <row r="12056" spans="1:8" ht="25.05" customHeight="1" x14ac:dyDescent="0.25">
      <c r="A12056" s="2" t="s">
        <v>8</v>
      </c>
      <c r="B12056" s="2" t="str">
        <f>HYPERLINK("http://ts.21cn.com/tousu/show/id/1343394","嗨影，99元看电影卡圈钱跑人")</f>
        <v>嗨影，99元看电影卡圈钱跑人</v>
      </c>
      <c r="C12056" s="2" t="s">
        <v>9</v>
      </c>
      <c r="D12056" s="2" t="s">
        <v>10</v>
      </c>
      <c r="E12056" s="2" t="str">
        <f>HYPERLINK("http://ts.21cn.com/tousu/show/id/1343394","http://ts.21cn.com/tousu/show/id/1343394")</f>
        <v>http://ts.21cn.com/tousu/show/id/1343394</v>
      </c>
      <c r="F12056" s="2" t="s">
        <v>11</v>
      </c>
      <c r="G12056" s="2" t="s">
        <v>20447</v>
      </c>
      <c r="H12056" s="2" t="s">
        <v>20448</v>
      </c>
    </row>
    <row r="12057" spans="1:8" ht="25.05" customHeight="1" x14ac:dyDescent="0.25">
      <c r="A12057" s="2" t="s">
        <v>8</v>
      </c>
      <c r="B12057" s="2" t="str">
        <f>HYPERLINK("http://ts.21cn.com/tousu/show/id/1343395","聚富钱包私自扣款，打电话多次要求退款不退")</f>
        <v>聚富钱包私自扣款，打电话多次要求退款不退</v>
      </c>
      <c r="C12057" s="2" t="s">
        <v>9</v>
      </c>
      <c r="D12057" s="2" t="s">
        <v>10</v>
      </c>
      <c r="E12057" s="2" t="str">
        <f>HYPERLINK("http://ts.21cn.com/tousu/show/id/1343395","http://ts.21cn.com/tousu/show/id/1343395")</f>
        <v>http://ts.21cn.com/tousu/show/id/1343395</v>
      </c>
      <c r="F12057" s="2" t="s">
        <v>11</v>
      </c>
      <c r="G12057" s="2" t="s">
        <v>20445</v>
      </c>
      <c r="H12057" s="2" t="s">
        <v>20446</v>
      </c>
    </row>
    <row r="12058" spans="1:8" ht="25.05" customHeight="1" x14ac:dyDescent="0.25">
      <c r="A12058" s="2" t="s">
        <v>8</v>
      </c>
      <c r="B12058" s="2" t="str">
        <f>HYPERLINK("http://ts.21cn.com/tousu/show/id/1343396","小花钱包暴力催收")</f>
        <v>小花钱包暴力催收</v>
      </c>
      <c r="C12058" s="2" t="s">
        <v>9</v>
      </c>
      <c r="D12058" s="2" t="s">
        <v>10</v>
      </c>
      <c r="E12058" s="2" t="str">
        <f>HYPERLINK("http://ts.21cn.com/tousu/show/id/1343396","http://ts.21cn.com/tousu/show/id/1343396")</f>
        <v>http://ts.21cn.com/tousu/show/id/1343396</v>
      </c>
      <c r="F12058" s="2" t="s">
        <v>11</v>
      </c>
      <c r="G12058" s="2" t="s">
        <v>20443</v>
      </c>
      <c r="H12058" s="2" t="s">
        <v>20444</v>
      </c>
    </row>
    <row r="12059" spans="1:8" ht="25.05" customHeight="1" x14ac:dyDescent="0.25">
      <c r="A12059" s="2" t="s">
        <v>8</v>
      </c>
      <c r="B12059" s="2" t="str">
        <f>HYPERLINK("http://ts.21cn.com/tousu/show/id/1343397","高利贷平台暴力催收")</f>
        <v>高利贷平台暴力催收</v>
      </c>
      <c r="C12059" s="2" t="s">
        <v>9</v>
      </c>
      <c r="D12059" s="2" t="s">
        <v>10</v>
      </c>
      <c r="E12059" s="2" t="str">
        <f>HYPERLINK("http://ts.21cn.com/tousu/show/id/1343397","http://ts.21cn.com/tousu/show/id/1343397")</f>
        <v>http://ts.21cn.com/tousu/show/id/1343397</v>
      </c>
      <c r="F12059" s="2" t="s">
        <v>11</v>
      </c>
      <c r="G12059" s="2" t="s">
        <v>20441</v>
      </c>
      <c r="H12059" s="2" t="s">
        <v>20442</v>
      </c>
    </row>
    <row r="12060" spans="1:8" ht="25.05" customHeight="1" x14ac:dyDescent="0.25">
      <c r="A12060" s="2" t="s">
        <v>8</v>
      </c>
      <c r="B12060" s="2" t="str">
        <f>HYPERLINK("http://ts.21cn.com/tousu/show/id/1343398","交通银行骚扰恐吓亲朋好友")</f>
        <v>交通银行骚扰恐吓亲朋好友</v>
      </c>
      <c r="C12060" s="2" t="s">
        <v>9</v>
      </c>
      <c r="D12060" s="2" t="s">
        <v>10</v>
      </c>
      <c r="E12060" s="2" t="str">
        <f>HYPERLINK("http://ts.21cn.com/tousu/show/id/1343398","http://ts.21cn.com/tousu/show/id/1343398")</f>
        <v>http://ts.21cn.com/tousu/show/id/1343398</v>
      </c>
      <c r="F12060" s="2" t="s">
        <v>11</v>
      </c>
      <c r="G12060" s="2" t="s">
        <v>20439</v>
      </c>
      <c r="H12060" s="2" t="s">
        <v>20440</v>
      </c>
    </row>
    <row r="12061" spans="1:8" ht="25.05" customHeight="1" x14ac:dyDescent="0.25">
      <c r="A12061" s="2" t="s">
        <v>8</v>
      </c>
      <c r="B12061" s="2" t="str">
        <f>HYPERLINK("http://ts.21cn.com/tousu/show/id/1343400","春夏秋冬空港易行虚假宣传")</f>
        <v>春夏秋冬空港易行虚假宣传</v>
      </c>
      <c r="C12061" s="2" t="s">
        <v>9</v>
      </c>
      <c r="D12061" s="2" t="s">
        <v>10</v>
      </c>
      <c r="E12061" s="2" t="str">
        <f>HYPERLINK("http://ts.21cn.com/tousu/show/id/1343400","http://ts.21cn.com/tousu/show/id/1343400")</f>
        <v>http://ts.21cn.com/tousu/show/id/1343400</v>
      </c>
      <c r="F12061" s="2" t="s">
        <v>11</v>
      </c>
      <c r="G12061" s="2" t="s">
        <v>20437</v>
      </c>
      <c r="H12061" s="2" t="s">
        <v>20438</v>
      </c>
    </row>
    <row r="12062" spans="1:8" ht="25.05" customHeight="1" x14ac:dyDescent="0.25">
      <c r="A12062" s="2" t="s">
        <v>8</v>
      </c>
      <c r="B12062" s="2" t="str">
        <f>HYPERLINK("http://ts.21cn.com/tousu/show/id/1343401","易鑫租赁有限公司不归还汽车解压资料")</f>
        <v>易鑫租赁有限公司不归还汽车解压资料</v>
      </c>
      <c r="C12062" s="2" t="s">
        <v>34</v>
      </c>
      <c r="D12062" s="2" t="s">
        <v>10</v>
      </c>
      <c r="E12062" s="2" t="str">
        <f>HYPERLINK("http://ts.21cn.com/tousu/show/id/1343401","http://ts.21cn.com/tousu/show/id/1343401")</f>
        <v>http://ts.21cn.com/tousu/show/id/1343401</v>
      </c>
      <c r="F12062" s="2" t="s">
        <v>11</v>
      </c>
      <c r="G12062" s="2" t="s">
        <v>20435</v>
      </c>
      <c r="H12062" s="2" t="s">
        <v>20436</v>
      </c>
    </row>
    <row r="12063" spans="1:8" ht="25.05" customHeight="1" x14ac:dyDescent="0.25">
      <c r="A12063" s="2" t="s">
        <v>8</v>
      </c>
      <c r="B12063" s="2" t="str">
        <f>HYPERLINK("http://ts.21cn.com/tousu/show/id/1343403","现控达人高利贷并恶意造成逾期")</f>
        <v>现控达人高利贷并恶意造成逾期</v>
      </c>
      <c r="C12063" s="2" t="s">
        <v>9</v>
      </c>
      <c r="D12063" s="2" t="s">
        <v>10</v>
      </c>
      <c r="E12063" s="2" t="str">
        <f>HYPERLINK("http://ts.21cn.com/tousu/show/id/1343403","http://ts.21cn.com/tousu/show/id/1343403")</f>
        <v>http://ts.21cn.com/tousu/show/id/1343403</v>
      </c>
      <c r="F12063" s="2" t="s">
        <v>11</v>
      </c>
      <c r="G12063" s="2" t="s">
        <v>20433</v>
      </c>
      <c r="H12063" s="2" t="s">
        <v>20434</v>
      </c>
    </row>
    <row r="12064" spans="1:8" ht="25.05" customHeight="1" x14ac:dyDescent="0.25">
      <c r="A12064" s="2" t="s">
        <v>8</v>
      </c>
      <c r="B12064" s="2" t="str">
        <f>HYPERLINK("http://ts.21cn.com/tousu/show/id/1343406","月光侠高利贷")</f>
        <v>月光侠高利贷</v>
      </c>
      <c r="C12064" s="2" t="s">
        <v>9</v>
      </c>
      <c r="D12064" s="2" t="s">
        <v>10</v>
      </c>
      <c r="E12064" s="2" t="str">
        <f>HYPERLINK("http://ts.21cn.com/tousu/show/id/1343406","http://ts.21cn.com/tousu/show/id/1343406")</f>
        <v>http://ts.21cn.com/tousu/show/id/1343406</v>
      </c>
      <c r="F12064" s="2" t="s">
        <v>11</v>
      </c>
      <c r="G12064" s="2" t="s">
        <v>20431</v>
      </c>
      <c r="H12064" s="2" t="s">
        <v>20432</v>
      </c>
    </row>
    <row r="12065" spans="1:8" ht="25.05" customHeight="1" x14ac:dyDescent="0.25">
      <c r="A12065" s="2" t="s">
        <v>8</v>
      </c>
      <c r="B12065" s="2" t="str">
        <f>HYPERLINK("http://ts.21cn.com/tousu/show/id/1343408","钱包商家招财贷高利息砍头息")</f>
        <v>钱包商家招财贷高利息砍头息</v>
      </c>
      <c r="C12065" s="2" t="s">
        <v>9</v>
      </c>
      <c r="D12065" s="2" t="s">
        <v>10</v>
      </c>
      <c r="E12065" s="2" t="str">
        <f>HYPERLINK("http://ts.21cn.com/tousu/show/id/1343408","http://ts.21cn.com/tousu/show/id/1343408")</f>
        <v>http://ts.21cn.com/tousu/show/id/1343408</v>
      </c>
      <c r="F12065" s="2" t="s">
        <v>11</v>
      </c>
      <c r="G12065" s="2" t="s">
        <v>20429</v>
      </c>
      <c r="H12065" s="2" t="s">
        <v>20430</v>
      </c>
    </row>
    <row r="12066" spans="1:8" ht="25.05" customHeight="1" x14ac:dyDescent="0.25">
      <c r="A12066" s="2" t="s">
        <v>8</v>
      </c>
      <c r="B12066" s="2" t="str">
        <f>HYPERLINK("http://ts.21cn.com/tousu/show/id/1343329","神马借砍头息高额利息")</f>
        <v>神马借砍头息高额利息</v>
      </c>
      <c r="C12066" s="2" t="s">
        <v>9</v>
      </c>
      <c r="D12066" s="2" t="s">
        <v>10</v>
      </c>
      <c r="E12066" s="2" t="str">
        <f>HYPERLINK("http://ts.21cn.com/tousu/show/id/1343329","http://ts.21cn.com/tousu/show/id/1343329")</f>
        <v>http://ts.21cn.com/tousu/show/id/1343329</v>
      </c>
      <c r="F12066" s="2" t="s">
        <v>11</v>
      </c>
      <c r="G12066" s="2" t="s">
        <v>20426</v>
      </c>
      <c r="H12066" s="2" t="s">
        <v>20427</v>
      </c>
    </row>
    <row r="12067" spans="1:8" ht="25.05" customHeight="1" x14ac:dyDescent="0.25">
      <c r="A12067" s="2" t="s">
        <v>8</v>
      </c>
      <c r="B12067" s="2" t="str">
        <f>HYPERLINK("http://ts.21cn.com/tousu/show/id/1343409","拼多多应用邀请码审核一直不处理")</f>
        <v>拼多多应用邀请码审核一直不处理</v>
      </c>
      <c r="C12067" s="2" t="s">
        <v>9</v>
      </c>
      <c r="D12067" s="2" t="s">
        <v>10</v>
      </c>
      <c r="E12067" s="2" t="str">
        <f>HYPERLINK("http://ts.21cn.com/tousu/show/id/1343409","http://ts.21cn.com/tousu/show/id/1343409")</f>
        <v>http://ts.21cn.com/tousu/show/id/1343409</v>
      </c>
      <c r="F12067" s="2" t="s">
        <v>11</v>
      </c>
      <c r="G12067" s="2" t="s">
        <v>20426</v>
      </c>
      <c r="H12067" s="2" t="s">
        <v>20428</v>
      </c>
    </row>
    <row r="12068" spans="1:8" ht="25.05" customHeight="1" x14ac:dyDescent="0.25">
      <c r="A12068" s="2" t="s">
        <v>8</v>
      </c>
      <c r="B12068" s="2" t="str">
        <f>HYPERLINK("http://ts.21cn.com/tousu/show/id/1343410","没经过同意就扣款")</f>
        <v>没经过同意就扣款</v>
      </c>
      <c r="C12068" s="2" t="s">
        <v>9</v>
      </c>
      <c r="D12068" s="2" t="s">
        <v>10</v>
      </c>
      <c r="E12068" s="2" t="str">
        <f>HYPERLINK("http://ts.21cn.com/tousu/show/id/1343410","http://ts.21cn.com/tousu/show/id/1343410")</f>
        <v>http://ts.21cn.com/tousu/show/id/1343410</v>
      </c>
      <c r="F12068" s="2" t="s">
        <v>11</v>
      </c>
      <c r="G12068" s="2" t="s">
        <v>20424</v>
      </c>
      <c r="H12068" s="2" t="s">
        <v>20425</v>
      </c>
    </row>
    <row r="12069" spans="1:8" ht="25.05" customHeight="1" x14ac:dyDescent="0.25">
      <c r="A12069" s="2" t="s">
        <v>8</v>
      </c>
      <c r="B12069" s="2" t="str">
        <f>HYPERLINK("http://ts.21cn.com/tousu/show/id/1343412","骚扰")</f>
        <v>骚扰</v>
      </c>
      <c r="C12069" s="2" t="s">
        <v>9</v>
      </c>
      <c r="D12069" s="2" t="s">
        <v>10</v>
      </c>
      <c r="E12069" s="2" t="str">
        <f>HYPERLINK("http://ts.21cn.com/tousu/show/id/1343412","http://ts.21cn.com/tousu/show/id/1343412")</f>
        <v>http://ts.21cn.com/tousu/show/id/1343412</v>
      </c>
      <c r="F12069" s="2" t="s">
        <v>11</v>
      </c>
      <c r="G12069" s="2" t="s">
        <v>20422</v>
      </c>
      <c r="H12069" s="2" t="s">
        <v>20423</v>
      </c>
    </row>
    <row r="12070" spans="1:8" ht="25.05" customHeight="1" x14ac:dyDescent="0.25">
      <c r="A12070" s="2" t="s">
        <v>8</v>
      </c>
      <c r="B12070" s="2" t="str">
        <f>HYPERLINK("http://ts.21cn.com/tousu/show/id/1343413","闪银砍头息严重年利率达到200%以上")</f>
        <v>闪银砍头息严重年利率达到200%以上</v>
      </c>
      <c r="C12070" s="2" t="s">
        <v>9</v>
      </c>
      <c r="D12070" s="2" t="s">
        <v>10</v>
      </c>
      <c r="E12070" s="2" t="str">
        <f>HYPERLINK("http://ts.21cn.com/tousu/show/id/1343413","http://ts.21cn.com/tousu/show/id/1343413")</f>
        <v>http://ts.21cn.com/tousu/show/id/1343413</v>
      </c>
      <c r="F12070" s="2" t="s">
        <v>11</v>
      </c>
      <c r="G12070" s="2" t="s">
        <v>20420</v>
      </c>
      <c r="H12070" s="2" t="s">
        <v>20421</v>
      </c>
    </row>
    <row r="12071" spans="1:8" ht="25.05" customHeight="1" x14ac:dyDescent="0.25">
      <c r="A12071" s="2" t="s">
        <v>8</v>
      </c>
      <c r="B12071" s="2" t="str">
        <f>HYPERLINK("http://ts.21cn.com/tousu/show/id/1343414","玖富万卡高利贷")</f>
        <v>玖富万卡高利贷</v>
      </c>
      <c r="C12071" s="2" t="s">
        <v>9</v>
      </c>
      <c r="D12071" s="2" t="s">
        <v>10</v>
      </c>
      <c r="E12071" s="2" t="str">
        <f>HYPERLINK("http://ts.21cn.com/tousu/show/id/1343414","http://ts.21cn.com/tousu/show/id/1343414")</f>
        <v>http://ts.21cn.com/tousu/show/id/1343414</v>
      </c>
      <c r="F12071" s="2" t="s">
        <v>11</v>
      </c>
      <c r="G12071" s="2" t="s">
        <v>20418</v>
      </c>
      <c r="H12071" s="2" t="s">
        <v>20419</v>
      </c>
    </row>
    <row r="12072" spans="1:8" ht="25.05" customHeight="1" x14ac:dyDescent="0.25">
      <c r="A12072" s="2" t="s">
        <v>8</v>
      </c>
      <c r="B12072" s="2" t="str">
        <f>HYPERLINK("http://ts.21cn.com/tousu/show/id/1343416","钱站高利贷")</f>
        <v>钱站高利贷</v>
      </c>
      <c r="C12072" s="2" t="s">
        <v>9</v>
      </c>
      <c r="D12072" s="2" t="s">
        <v>10</v>
      </c>
      <c r="E12072" s="2" t="str">
        <f>HYPERLINK("http://ts.21cn.com/tousu/show/id/1343416","http://ts.21cn.com/tousu/show/id/1343416")</f>
        <v>http://ts.21cn.com/tousu/show/id/1343416</v>
      </c>
      <c r="F12072" s="2" t="s">
        <v>11</v>
      </c>
      <c r="G12072" s="2" t="s">
        <v>20416</v>
      </c>
      <c r="H12072" s="2" t="s">
        <v>20417</v>
      </c>
    </row>
    <row r="12073" spans="1:8" ht="25.05" customHeight="1" x14ac:dyDescent="0.25">
      <c r="A12073" s="2" t="s">
        <v>8</v>
      </c>
      <c r="B12073" s="2" t="str">
        <f>HYPERLINK("http://ts.21cn.com/tousu/show/id/1343417","小当家砍头息，威胁我不肯协商")</f>
        <v>小当家砍头息，威胁我不肯协商</v>
      </c>
      <c r="C12073" s="2" t="s">
        <v>9</v>
      </c>
      <c r="D12073" s="2" t="s">
        <v>10</v>
      </c>
      <c r="E12073" s="2" t="str">
        <f>HYPERLINK("http://ts.21cn.com/tousu/show/id/1343417","http://ts.21cn.com/tousu/show/id/1343417")</f>
        <v>http://ts.21cn.com/tousu/show/id/1343417</v>
      </c>
      <c r="F12073" s="2" t="s">
        <v>11</v>
      </c>
      <c r="G12073" s="2" t="s">
        <v>20414</v>
      </c>
      <c r="H12073" s="2" t="s">
        <v>20415</v>
      </c>
    </row>
    <row r="12074" spans="1:8" ht="25.05" customHeight="1" x14ac:dyDescent="0.25">
      <c r="A12074" s="2" t="s">
        <v>8</v>
      </c>
      <c r="B12074" s="2" t="str">
        <f>HYPERLINK("http://ts.21cn.com/tousu/show/id/1343418","信用卡暴力催收")</f>
        <v>信用卡暴力催收</v>
      </c>
      <c r="C12074" s="2" t="s">
        <v>9</v>
      </c>
      <c r="D12074" s="2" t="s">
        <v>10</v>
      </c>
      <c r="E12074" s="2" t="str">
        <f>HYPERLINK("http://ts.21cn.com/tousu/show/id/1343418","http://ts.21cn.com/tousu/show/id/1343418")</f>
        <v>http://ts.21cn.com/tousu/show/id/1343418</v>
      </c>
      <c r="F12074" s="2" t="s">
        <v>11</v>
      </c>
      <c r="G12074" s="2" t="s">
        <v>20412</v>
      </c>
      <c r="H12074" s="2" t="s">
        <v>20413</v>
      </c>
    </row>
    <row r="12075" spans="1:8" ht="25.05" customHeight="1" x14ac:dyDescent="0.25">
      <c r="A12075" s="2" t="s">
        <v>8</v>
      </c>
      <c r="B12075" s="2" t="str">
        <f>HYPERLINK("http://ts.21cn.com/tousu/show/id/1343420","钱站砍头息乱收担保费")</f>
        <v>钱站砍头息乱收担保费</v>
      </c>
      <c r="C12075" s="2" t="s">
        <v>9</v>
      </c>
      <c r="D12075" s="2" t="s">
        <v>10</v>
      </c>
      <c r="E12075" s="2" t="str">
        <f>HYPERLINK("http://ts.21cn.com/tousu/show/id/1343420","http://ts.21cn.com/tousu/show/id/1343420")</f>
        <v>http://ts.21cn.com/tousu/show/id/1343420</v>
      </c>
      <c r="F12075" s="2" t="s">
        <v>11</v>
      </c>
      <c r="G12075" s="2" t="s">
        <v>20410</v>
      </c>
      <c r="H12075" s="2" t="s">
        <v>20411</v>
      </c>
    </row>
    <row r="12076" spans="1:8" ht="25.05" customHeight="1" x14ac:dyDescent="0.25">
      <c r="A12076" s="2" t="s">
        <v>8</v>
      </c>
      <c r="B12076" s="2" t="str">
        <f>HYPERLINK("http://ts.21cn.com/tousu/show/id/1343421","恶意扣除银行卡内钱款")</f>
        <v>恶意扣除银行卡内钱款</v>
      </c>
      <c r="C12076" s="2" t="s">
        <v>9</v>
      </c>
      <c r="D12076" s="2" t="s">
        <v>10</v>
      </c>
      <c r="E12076" s="2" t="str">
        <f>HYPERLINK("http://ts.21cn.com/tousu/show/id/1343421","http://ts.21cn.com/tousu/show/id/1343421")</f>
        <v>http://ts.21cn.com/tousu/show/id/1343421</v>
      </c>
      <c r="F12076" s="2" t="s">
        <v>11</v>
      </c>
      <c r="G12076" s="2" t="s">
        <v>20408</v>
      </c>
      <c r="H12076" s="2" t="s">
        <v>20409</v>
      </c>
    </row>
    <row r="12077" spans="1:8" ht="25.05" customHeight="1" x14ac:dyDescent="0.25">
      <c r="A12077" s="2" t="s">
        <v>8</v>
      </c>
      <c r="B12077" s="2" t="str">
        <f>HYPERLINK("http://ts.21cn.com/tousu/show/id/1343422","砍头息，三千五扣一千多。")</f>
        <v>砍头息，三千五扣一千多。</v>
      </c>
      <c r="C12077" s="2" t="s">
        <v>9</v>
      </c>
      <c r="D12077" s="2" t="s">
        <v>10</v>
      </c>
      <c r="E12077" s="2" t="str">
        <f>HYPERLINK("http://ts.21cn.com/tousu/show/id/1343422","http://ts.21cn.com/tousu/show/id/1343422")</f>
        <v>http://ts.21cn.com/tousu/show/id/1343422</v>
      </c>
      <c r="F12077" s="2" t="s">
        <v>11</v>
      </c>
      <c r="G12077" s="2" t="s">
        <v>20406</v>
      </c>
      <c r="H12077" s="2" t="s">
        <v>20407</v>
      </c>
    </row>
    <row r="12078" spans="1:8" ht="25.05" customHeight="1" x14ac:dyDescent="0.25">
      <c r="A12078" s="2" t="s">
        <v>8</v>
      </c>
      <c r="B12078" s="2" t="str">
        <f>HYPERLINK("http://ts.21cn.com/tousu/show/id/1343424","爱白条挂羊头卖狗肉，违反国家法律，放高利贷，危害社会")</f>
        <v>爱白条挂羊头卖狗肉，违反国家法律，放高利贷，危害社会</v>
      </c>
      <c r="C12078" s="2" t="s">
        <v>9</v>
      </c>
      <c r="D12078" s="2" t="s">
        <v>10</v>
      </c>
      <c r="E12078" s="2" t="str">
        <f>HYPERLINK("http://ts.21cn.com/tousu/show/id/1343424","http://ts.21cn.com/tousu/show/id/1343424")</f>
        <v>http://ts.21cn.com/tousu/show/id/1343424</v>
      </c>
      <c r="F12078" s="2" t="s">
        <v>11</v>
      </c>
      <c r="G12078" s="2" t="s">
        <v>20404</v>
      </c>
      <c r="H12078" s="2" t="s">
        <v>20405</v>
      </c>
    </row>
    <row r="12079" spans="1:8" ht="25.05" customHeight="1" x14ac:dyDescent="0.25">
      <c r="A12079" s="2" t="s">
        <v>8</v>
      </c>
      <c r="B12079" s="2" t="str">
        <f>HYPERLINK("http://ts.21cn.com/tousu/show/id/1343425","苹果商店误充值拒绝退款")</f>
        <v>苹果商店误充值拒绝退款</v>
      </c>
      <c r="C12079" s="2" t="s">
        <v>9</v>
      </c>
      <c r="D12079" s="2" t="s">
        <v>10</v>
      </c>
      <c r="E12079" s="2" t="str">
        <f>HYPERLINK("http://ts.21cn.com/tousu/show/id/1343425","http://ts.21cn.com/tousu/show/id/1343425")</f>
        <v>http://ts.21cn.com/tousu/show/id/1343425</v>
      </c>
      <c r="F12079" s="2" t="s">
        <v>11</v>
      </c>
      <c r="G12079" s="2" t="s">
        <v>20402</v>
      </c>
      <c r="H12079" s="2" t="s">
        <v>20403</v>
      </c>
    </row>
    <row r="12080" spans="1:8" ht="25.05" customHeight="1" x14ac:dyDescent="0.25">
      <c r="A12080" s="2" t="s">
        <v>8</v>
      </c>
      <c r="B12080" s="2" t="str">
        <f>HYPERLINK("http://ts.21cn.com/tousu/show/id/1343427","乐客独角兽夸大宣传言不符实")</f>
        <v>乐客独角兽夸大宣传言不符实</v>
      </c>
      <c r="C12080" s="2" t="s">
        <v>9</v>
      </c>
      <c r="D12080" s="2" t="s">
        <v>10</v>
      </c>
      <c r="E12080" s="2" t="str">
        <f>HYPERLINK("http://ts.21cn.com/tousu/show/id/1343427","http://ts.21cn.com/tousu/show/id/1343427")</f>
        <v>http://ts.21cn.com/tousu/show/id/1343427</v>
      </c>
      <c r="F12080" s="2" t="s">
        <v>11</v>
      </c>
      <c r="G12080" s="2" t="s">
        <v>20400</v>
      </c>
      <c r="H12080" s="2" t="s">
        <v>20401</v>
      </c>
    </row>
    <row r="12081" spans="1:8" ht="25.05" customHeight="1" x14ac:dyDescent="0.25">
      <c r="A12081" s="2" t="s">
        <v>8</v>
      </c>
      <c r="B12081" s="2" t="str">
        <f>HYPERLINK("http://ts.21cn.com/tousu/show/id/1343428","桔子快贷以会员为幌子，收取高额会员费砍头息")</f>
        <v>桔子快贷以会员为幌子，收取高额会员费砍头息</v>
      </c>
      <c r="C12081" s="2" t="s">
        <v>34</v>
      </c>
      <c r="D12081" s="2" t="s">
        <v>10</v>
      </c>
      <c r="E12081" s="2" t="str">
        <f>HYPERLINK("http://ts.21cn.com/tousu/show/id/1343428","http://ts.21cn.com/tousu/show/id/1343428")</f>
        <v>http://ts.21cn.com/tousu/show/id/1343428</v>
      </c>
      <c r="F12081" s="2" t="s">
        <v>11</v>
      </c>
      <c r="G12081" s="2" t="s">
        <v>20398</v>
      </c>
      <c r="H12081" s="2" t="s">
        <v>20399</v>
      </c>
    </row>
    <row r="12082" spans="1:8" ht="25.05" customHeight="1" x14ac:dyDescent="0.25">
      <c r="A12082" s="2" t="s">
        <v>8</v>
      </c>
      <c r="B12082" s="2" t="str">
        <f>HYPERLINK("http://ts.21cn.com/tousu/show/id/1343429","小浦优客未经同意扣款")</f>
        <v>小浦优客未经同意扣款</v>
      </c>
      <c r="C12082" s="2" t="s">
        <v>34</v>
      </c>
      <c r="D12082" s="2" t="s">
        <v>10</v>
      </c>
      <c r="E12082" s="2" t="str">
        <f>HYPERLINK("http://ts.21cn.com/tousu/show/id/1343429","http://ts.21cn.com/tousu/show/id/1343429")</f>
        <v>http://ts.21cn.com/tousu/show/id/1343429</v>
      </c>
      <c r="F12082" s="2" t="s">
        <v>11</v>
      </c>
      <c r="G12082" s="2" t="s">
        <v>20396</v>
      </c>
      <c r="H12082" s="2" t="s">
        <v>20397</v>
      </c>
    </row>
    <row r="12083" spans="1:8" ht="25.05" customHeight="1" x14ac:dyDescent="0.25">
      <c r="A12083" s="2" t="s">
        <v>8</v>
      </c>
      <c r="B12083" s="2" t="str">
        <f>HYPERLINK("http://ts.21cn.com/tousu/show/id/1343430","打我父母骚扰电话")</f>
        <v>打我父母骚扰电话</v>
      </c>
      <c r="C12083" s="2" t="s">
        <v>9</v>
      </c>
      <c r="D12083" s="2" t="s">
        <v>10</v>
      </c>
      <c r="E12083" s="2" t="str">
        <f>HYPERLINK("http://ts.21cn.com/tousu/show/id/1343430","http://ts.21cn.com/tousu/show/id/1343430")</f>
        <v>http://ts.21cn.com/tousu/show/id/1343430</v>
      </c>
      <c r="F12083" s="2" t="s">
        <v>11</v>
      </c>
      <c r="G12083" s="2" t="s">
        <v>20394</v>
      </c>
      <c r="H12083" s="2" t="s">
        <v>20395</v>
      </c>
    </row>
    <row r="12084" spans="1:8" ht="25.05" customHeight="1" x14ac:dyDescent="0.25">
      <c r="A12084" s="2" t="s">
        <v>8</v>
      </c>
      <c r="B12084" s="2" t="str">
        <f>HYPERLINK("http://ts.21cn.com/tousu/show/id/1343432","米米罐暴力催收，高额利息")</f>
        <v>米米罐暴力催收，高额利息</v>
      </c>
      <c r="C12084" s="2" t="s">
        <v>9</v>
      </c>
      <c r="D12084" s="2" t="s">
        <v>10</v>
      </c>
      <c r="E12084" s="2" t="str">
        <f>HYPERLINK("http://ts.21cn.com/tousu/show/id/1343432","http://ts.21cn.com/tousu/show/id/1343432")</f>
        <v>http://ts.21cn.com/tousu/show/id/1343432</v>
      </c>
      <c r="F12084" s="2" t="s">
        <v>11</v>
      </c>
      <c r="G12084" s="2" t="s">
        <v>20392</v>
      </c>
      <c r="H12084" s="2" t="s">
        <v>20393</v>
      </c>
    </row>
    <row r="12085" spans="1:8" ht="25.05" customHeight="1" x14ac:dyDescent="0.25">
      <c r="A12085" s="2" t="s">
        <v>8</v>
      </c>
      <c r="B12085" s="2" t="str">
        <f>HYPERLINK("http://ts.21cn.com/tousu/show/id/1343433","语言威胁暴利催收")</f>
        <v>语言威胁暴利催收</v>
      </c>
      <c r="C12085" s="2" t="s">
        <v>9</v>
      </c>
      <c r="D12085" s="2" t="s">
        <v>10</v>
      </c>
      <c r="E12085" s="2" t="str">
        <f>HYPERLINK("http://ts.21cn.com/tousu/show/id/1343433","http://ts.21cn.com/tousu/show/id/1343433")</f>
        <v>http://ts.21cn.com/tousu/show/id/1343433</v>
      </c>
      <c r="F12085" s="2" t="s">
        <v>11</v>
      </c>
      <c r="G12085" s="2" t="s">
        <v>20390</v>
      </c>
      <c r="H12085" s="2" t="s">
        <v>20391</v>
      </c>
    </row>
    <row r="12086" spans="1:8" ht="25.05" customHeight="1" x14ac:dyDescent="0.25">
      <c r="A12086" s="2" t="s">
        <v>8</v>
      </c>
      <c r="B12086" s="2" t="str">
        <f>HYPERLINK("http://ts.21cn.com/tousu/show/id/1343435","（立借app）高利贷恶意催收")</f>
        <v>（立借app）高利贷恶意催收</v>
      </c>
      <c r="C12086" s="2" t="s">
        <v>9</v>
      </c>
      <c r="D12086" s="2" t="s">
        <v>10</v>
      </c>
      <c r="E12086" s="2" t="str">
        <f>HYPERLINK("http://ts.21cn.com/tousu/show/id/1343435","http://ts.21cn.com/tousu/show/id/1343435")</f>
        <v>http://ts.21cn.com/tousu/show/id/1343435</v>
      </c>
      <c r="F12086" s="2" t="s">
        <v>11</v>
      </c>
      <c r="G12086" s="2" t="s">
        <v>20388</v>
      </c>
      <c r="H12086" s="2" t="s">
        <v>20389</v>
      </c>
    </row>
    <row r="12087" spans="1:8" ht="25.05" customHeight="1" x14ac:dyDescent="0.25">
      <c r="A12087" s="2" t="s">
        <v>8</v>
      </c>
      <c r="B12087" s="2" t="str">
        <f>HYPERLINK("http://ts.21cn.com/tousu/show/id/1343434","要求退回第三方套餐费")</f>
        <v>要求退回第三方套餐费</v>
      </c>
      <c r="C12087" s="2" t="s">
        <v>9</v>
      </c>
      <c r="D12087" s="2" t="s">
        <v>10</v>
      </c>
      <c r="E12087" s="2" t="str">
        <f>HYPERLINK("http://ts.21cn.com/tousu/show/id/1343434","http://ts.21cn.com/tousu/show/id/1343434")</f>
        <v>http://ts.21cn.com/tousu/show/id/1343434</v>
      </c>
      <c r="F12087" s="2" t="s">
        <v>11</v>
      </c>
      <c r="G12087" s="2" t="s">
        <v>20386</v>
      </c>
      <c r="H12087" s="2" t="s">
        <v>20387</v>
      </c>
    </row>
    <row r="12088" spans="1:8" ht="25.05" customHeight="1" x14ac:dyDescent="0.25">
      <c r="A12088" s="2" t="s">
        <v>8</v>
      </c>
      <c r="B12088" s="2" t="str">
        <f>HYPERLINK("http://ts.21cn.com/tousu/show/id/1343405","信用管家的金钱保高利贷还威胁爆通讯录")</f>
        <v>信用管家的金钱保高利贷还威胁爆通讯录</v>
      </c>
      <c r="C12088" s="2" t="s">
        <v>9</v>
      </c>
      <c r="D12088" s="2" t="s">
        <v>10</v>
      </c>
      <c r="E12088" s="2" t="str">
        <f>HYPERLINK("http://ts.21cn.com/tousu/show/id/1343405","http://ts.21cn.com/tousu/show/id/1343405")</f>
        <v>http://ts.21cn.com/tousu/show/id/1343405</v>
      </c>
      <c r="F12088" s="2" t="s">
        <v>11</v>
      </c>
      <c r="G12088" s="2" t="s">
        <v>20384</v>
      </c>
      <c r="H12088" s="2" t="s">
        <v>20385</v>
      </c>
    </row>
    <row r="12089" spans="1:8" ht="25.05" customHeight="1" x14ac:dyDescent="0.25">
      <c r="A12089" s="2" t="s">
        <v>8</v>
      </c>
      <c r="B12089" s="2" t="str">
        <f>HYPERLINK("http://ts.21cn.com/tousu/show/id/1343438","银生宝违规给非法平台提供支付通道")</f>
        <v>银生宝违规给非法平台提供支付通道</v>
      </c>
      <c r="C12089" s="2" t="s">
        <v>9</v>
      </c>
      <c r="D12089" s="2" t="s">
        <v>10</v>
      </c>
      <c r="E12089" s="2" t="str">
        <f>HYPERLINK("http://ts.21cn.com/tousu/show/id/1343438","http://ts.21cn.com/tousu/show/id/1343438")</f>
        <v>http://ts.21cn.com/tousu/show/id/1343438</v>
      </c>
      <c r="F12089" s="2" t="s">
        <v>11</v>
      </c>
      <c r="G12089" s="2" t="s">
        <v>20382</v>
      </c>
      <c r="H12089" s="2" t="s">
        <v>20383</v>
      </c>
    </row>
    <row r="12090" spans="1:8" ht="25.05" customHeight="1" x14ac:dyDescent="0.25">
      <c r="A12090" s="2" t="s">
        <v>8</v>
      </c>
      <c r="B12090" s="2" t="str">
        <f>HYPERLINK("http://ts.21cn.com/tousu/show/id/1343436","中原消费金融乱加好友发信息骚扰家人")</f>
        <v>中原消费金融乱加好友发信息骚扰家人</v>
      </c>
      <c r="C12090" s="2" t="s">
        <v>9</v>
      </c>
      <c r="D12090" s="2" t="s">
        <v>10</v>
      </c>
      <c r="E12090" s="2" t="str">
        <f>HYPERLINK("http://ts.21cn.com/tousu/show/id/1343436","http://ts.21cn.com/tousu/show/id/1343436")</f>
        <v>http://ts.21cn.com/tousu/show/id/1343436</v>
      </c>
      <c r="F12090" s="2" t="s">
        <v>11</v>
      </c>
      <c r="G12090" s="2" t="s">
        <v>20380</v>
      </c>
      <c r="H12090" s="2" t="s">
        <v>20381</v>
      </c>
    </row>
    <row r="12091" spans="1:8" ht="25.05" customHeight="1" x14ac:dyDescent="0.25">
      <c r="A12091" s="2" t="s">
        <v>8</v>
      </c>
      <c r="B12091" s="2" t="str">
        <f>HYPERLINK("http://ts.21cn.com/tousu/show/id/1343437","咨询")</f>
        <v>咨询</v>
      </c>
      <c r="C12091" s="2" t="s">
        <v>9</v>
      </c>
      <c r="D12091" s="2" t="s">
        <v>10</v>
      </c>
      <c r="E12091" s="2" t="str">
        <f>HYPERLINK("http://ts.21cn.com/tousu/show/id/1343437","http://ts.21cn.com/tousu/show/id/1343437")</f>
        <v>http://ts.21cn.com/tousu/show/id/1343437</v>
      </c>
      <c r="F12091" s="2" t="s">
        <v>11</v>
      </c>
      <c r="G12091" s="2" t="s">
        <v>20378</v>
      </c>
      <c r="H12091" s="2" t="s">
        <v>20379</v>
      </c>
    </row>
    <row r="12092" spans="1:8" ht="25.05" customHeight="1" x14ac:dyDescent="0.25">
      <c r="A12092" s="2" t="s">
        <v>8</v>
      </c>
      <c r="B12092" s="2" t="str">
        <f>HYPERLINK("http://ts.21cn.com/tousu/show/id/1343442","分期通恶意收取会员费用")</f>
        <v>分期通恶意收取会员费用</v>
      </c>
      <c r="C12092" s="2" t="s">
        <v>9</v>
      </c>
      <c r="D12092" s="2" t="s">
        <v>10</v>
      </c>
      <c r="E12092" s="2" t="str">
        <f>HYPERLINK("http://ts.21cn.com/tousu/show/id/1343442","http://ts.21cn.com/tousu/show/id/1343442")</f>
        <v>http://ts.21cn.com/tousu/show/id/1343442</v>
      </c>
      <c r="F12092" s="2" t="s">
        <v>11</v>
      </c>
      <c r="G12092" s="2" t="s">
        <v>20376</v>
      </c>
      <c r="H12092" s="2" t="s">
        <v>20377</v>
      </c>
    </row>
    <row r="12093" spans="1:8" ht="25.05" customHeight="1" x14ac:dyDescent="0.25">
      <c r="A12093" s="2" t="s">
        <v>8</v>
      </c>
      <c r="B12093" s="2" t="str">
        <f>HYPERLINK("http://ts.21cn.com/tousu/show/id/1343439","福建天信投顾公司投顾夸大收益虚假宣传诱导我加入损失惨重！")</f>
        <v>福建天信投顾公司投顾夸大收益虚假宣传诱导我加入损失惨重！</v>
      </c>
      <c r="C12093" s="2" t="s">
        <v>9</v>
      </c>
      <c r="D12093" s="2" t="s">
        <v>10</v>
      </c>
      <c r="E12093" s="2" t="str">
        <f>HYPERLINK("http://ts.21cn.com/tousu/show/id/1343439","http://ts.21cn.com/tousu/show/id/1343439")</f>
        <v>http://ts.21cn.com/tousu/show/id/1343439</v>
      </c>
      <c r="F12093" s="2" t="s">
        <v>11</v>
      </c>
      <c r="G12093" s="2" t="s">
        <v>20374</v>
      </c>
      <c r="H12093" s="2" t="s">
        <v>20375</v>
      </c>
    </row>
    <row r="12094" spans="1:8" ht="25.05" customHeight="1" x14ac:dyDescent="0.25">
      <c r="A12094" s="2" t="s">
        <v>8</v>
      </c>
      <c r="B12094" s="2" t="str">
        <f>HYPERLINK("http://ts.21cn.com/tousu/show/id/1343441","造艺科技，私自扣款299")</f>
        <v>造艺科技，私自扣款299</v>
      </c>
      <c r="C12094" s="2" t="s">
        <v>9</v>
      </c>
      <c r="D12094" s="2" t="s">
        <v>10</v>
      </c>
      <c r="E12094" s="2" t="str">
        <f>HYPERLINK("http://ts.21cn.com/tousu/show/id/1343441","http://ts.21cn.com/tousu/show/id/1343441")</f>
        <v>http://ts.21cn.com/tousu/show/id/1343441</v>
      </c>
      <c r="F12094" s="2" t="s">
        <v>11</v>
      </c>
      <c r="G12094" s="2" t="s">
        <v>20371</v>
      </c>
      <c r="H12094" s="2" t="s">
        <v>20372</v>
      </c>
    </row>
    <row r="12095" spans="1:8" ht="25.05" customHeight="1" x14ac:dyDescent="0.25">
      <c r="A12095" s="2" t="s">
        <v>8</v>
      </c>
      <c r="B12095" s="2" t="str">
        <f>HYPERLINK("http://ts.21cn.com/tousu/show/id/1343440","急速借砍头息多收取利息")</f>
        <v>急速借砍头息多收取利息</v>
      </c>
      <c r="C12095" s="2" t="s">
        <v>9</v>
      </c>
      <c r="D12095" s="2" t="s">
        <v>10</v>
      </c>
      <c r="E12095" s="2" t="str">
        <f>HYPERLINK("http://ts.21cn.com/tousu/show/id/1343440","http://ts.21cn.com/tousu/show/id/1343440")</f>
        <v>http://ts.21cn.com/tousu/show/id/1343440</v>
      </c>
      <c r="F12095" s="2" t="s">
        <v>11</v>
      </c>
      <c r="G12095" s="2" t="s">
        <v>20371</v>
      </c>
      <c r="H12095" s="2" t="s">
        <v>20373</v>
      </c>
    </row>
    <row r="12096" spans="1:8" ht="25.05" customHeight="1" x14ac:dyDescent="0.25">
      <c r="A12096" s="2" t="s">
        <v>8</v>
      </c>
      <c r="B12096" s="2" t="str">
        <f>HYPERLINK("http://ts.21cn.com/tousu/show/id/1343443","韵达工作人员代客户收件反馈问题沟通及其嚣张")</f>
        <v>韵达工作人员代客户收件反馈问题沟通及其嚣张</v>
      </c>
      <c r="C12096" s="2" t="s">
        <v>9</v>
      </c>
      <c r="D12096" s="2" t="s">
        <v>10</v>
      </c>
      <c r="E12096" s="2" t="str">
        <f>HYPERLINK("http://ts.21cn.com/tousu/show/id/1343443","http://ts.21cn.com/tousu/show/id/1343443")</f>
        <v>http://ts.21cn.com/tousu/show/id/1343443</v>
      </c>
      <c r="F12096" s="2" t="s">
        <v>11</v>
      </c>
      <c r="G12096" s="2" t="s">
        <v>20369</v>
      </c>
      <c r="H12096" s="2" t="s">
        <v>20370</v>
      </c>
    </row>
    <row r="12097" spans="1:8" ht="25.05" customHeight="1" x14ac:dyDescent="0.25">
      <c r="A12097" s="2" t="s">
        <v>8</v>
      </c>
      <c r="B12097" s="2" t="str">
        <f>HYPERLINK("http://ts.21cn.com/tousu/show/id/1343444","京东购买商品1个月不发货，恶心至极")</f>
        <v>京东购买商品1个月不发货，恶心至极</v>
      </c>
      <c r="C12097" s="2" t="s">
        <v>9</v>
      </c>
      <c r="D12097" s="2" t="s">
        <v>10</v>
      </c>
      <c r="E12097" s="2" t="str">
        <f>HYPERLINK("http://ts.21cn.com/tousu/show/id/1343444","http://ts.21cn.com/tousu/show/id/1343444")</f>
        <v>http://ts.21cn.com/tousu/show/id/1343444</v>
      </c>
      <c r="F12097" s="2" t="s">
        <v>11</v>
      </c>
      <c r="G12097" s="2" t="s">
        <v>20367</v>
      </c>
      <c r="H12097" s="2" t="s">
        <v>20368</v>
      </c>
    </row>
    <row r="12098" spans="1:8" ht="25.05" customHeight="1" x14ac:dyDescent="0.25">
      <c r="A12098" s="2" t="s">
        <v>8</v>
      </c>
      <c r="B12098" s="2" t="str">
        <f>HYPERLINK("http://ts.21cn.com/tousu/show/id/1342100","我怀疑上海富友支付服务有限公司涉嫌洗钱")</f>
        <v>我怀疑上海富友支付服务有限公司涉嫌洗钱</v>
      </c>
      <c r="C12098" s="2" t="s">
        <v>9</v>
      </c>
      <c r="D12098" s="2" t="s">
        <v>10</v>
      </c>
      <c r="E12098" s="2" t="str">
        <f>HYPERLINK("http://ts.21cn.com/tousu/show/id/1342100","http://ts.21cn.com/tousu/show/id/1342100")</f>
        <v>http://ts.21cn.com/tousu/show/id/1342100</v>
      </c>
      <c r="F12098" s="2" t="s">
        <v>11</v>
      </c>
      <c r="G12098" s="2" t="s">
        <v>20365</v>
      </c>
      <c r="H12098" s="2" t="s">
        <v>20366</v>
      </c>
    </row>
    <row r="12099" spans="1:8" ht="25.05" customHeight="1" x14ac:dyDescent="0.25">
      <c r="A12099" s="2" t="s">
        <v>8</v>
      </c>
      <c r="B12099" s="2" t="str">
        <f>HYPERLINK("http://ts.21cn.com/tousu/show/id/1343445","51人品贷黑心高利贷，暴利催收骚扰联系人")</f>
        <v>51人品贷黑心高利贷，暴利催收骚扰联系人</v>
      </c>
      <c r="C12099" s="2" t="s">
        <v>9</v>
      </c>
      <c r="D12099" s="2" t="s">
        <v>10</v>
      </c>
      <c r="E12099" s="2" t="str">
        <f>HYPERLINK("http://ts.21cn.com/tousu/show/id/1343445","http://ts.21cn.com/tousu/show/id/1343445")</f>
        <v>http://ts.21cn.com/tousu/show/id/1343445</v>
      </c>
      <c r="F12099" s="2" t="s">
        <v>11</v>
      </c>
      <c r="G12099" s="2" t="s">
        <v>20363</v>
      </c>
      <c r="H12099" s="2" t="s">
        <v>20364</v>
      </c>
    </row>
    <row r="12100" spans="1:8" ht="25.05" customHeight="1" x14ac:dyDescent="0.25">
      <c r="A12100" s="2" t="s">
        <v>8</v>
      </c>
      <c r="B12100" s="2" t="str">
        <f>HYPERLINK("http://ts.21cn.com/tousu/show/id/1343446","拍拍贷高利贷")</f>
        <v>拍拍贷高利贷</v>
      </c>
      <c r="C12100" s="2" t="s">
        <v>9</v>
      </c>
      <c r="D12100" s="2" t="s">
        <v>10</v>
      </c>
      <c r="E12100" s="2" t="str">
        <f>HYPERLINK("http://ts.21cn.com/tousu/show/id/1343446","http://ts.21cn.com/tousu/show/id/1343446")</f>
        <v>http://ts.21cn.com/tousu/show/id/1343446</v>
      </c>
      <c r="F12100" s="2" t="s">
        <v>11</v>
      </c>
      <c r="G12100" s="2" t="s">
        <v>20361</v>
      </c>
      <c r="H12100" s="2" t="s">
        <v>20362</v>
      </c>
    </row>
    <row r="12101" spans="1:8" ht="25.05" customHeight="1" x14ac:dyDescent="0.25">
      <c r="A12101" s="2" t="s">
        <v>8</v>
      </c>
      <c r="B12101" s="2" t="str">
        <f>HYPERLINK("http://ts.21cn.com/tousu/show/id/1343448","你我贷催收骚扰")</f>
        <v>你我贷催收骚扰</v>
      </c>
      <c r="C12101" s="2" t="s">
        <v>9</v>
      </c>
      <c r="D12101" s="2" t="s">
        <v>10</v>
      </c>
      <c r="E12101" s="2" t="str">
        <f>HYPERLINK("http://ts.21cn.com/tousu/show/id/1343448","http://ts.21cn.com/tousu/show/id/1343448")</f>
        <v>http://ts.21cn.com/tousu/show/id/1343448</v>
      </c>
      <c r="F12101" s="2" t="s">
        <v>11</v>
      </c>
      <c r="G12101" s="2" t="s">
        <v>20359</v>
      </c>
      <c r="H12101" s="2" t="s">
        <v>20360</v>
      </c>
    </row>
    <row r="12102" spans="1:8" ht="25.05" customHeight="1" x14ac:dyDescent="0.25">
      <c r="A12102" s="2" t="s">
        <v>8</v>
      </c>
      <c r="B12102" s="2" t="str">
        <f>HYPERLINK("http://ts.21cn.com/tousu/show/id/1343450","投诉新橙优品利率超高")</f>
        <v>投诉新橙优品利率超高</v>
      </c>
      <c r="C12102" s="2" t="s">
        <v>9</v>
      </c>
      <c r="D12102" s="2" t="s">
        <v>10</v>
      </c>
      <c r="E12102" s="2" t="str">
        <f>HYPERLINK("http://ts.21cn.com/tousu/show/id/1343450","http://ts.21cn.com/tousu/show/id/1343450")</f>
        <v>http://ts.21cn.com/tousu/show/id/1343450</v>
      </c>
      <c r="F12102" s="2" t="s">
        <v>11</v>
      </c>
      <c r="G12102" s="2" t="s">
        <v>20357</v>
      </c>
      <c r="H12102" s="2" t="s">
        <v>20358</v>
      </c>
    </row>
    <row r="12103" spans="1:8" ht="25.05" customHeight="1" x14ac:dyDescent="0.25">
      <c r="A12103" s="2" t="s">
        <v>8</v>
      </c>
      <c r="B12103" s="2" t="str">
        <f>HYPERLINK("http://ts.21cn.com/tousu/show/id/1343451","想有钱支付宝汇潮支付")</f>
        <v>想有钱支付宝汇潮支付</v>
      </c>
      <c r="C12103" s="2" t="s">
        <v>9</v>
      </c>
      <c r="D12103" s="2" t="s">
        <v>10</v>
      </c>
      <c r="E12103" s="2" t="str">
        <f>HYPERLINK("http://ts.21cn.com/tousu/show/id/1343451","http://ts.21cn.com/tousu/show/id/1343451")</f>
        <v>http://ts.21cn.com/tousu/show/id/1343451</v>
      </c>
      <c r="F12103" s="2" t="s">
        <v>11</v>
      </c>
      <c r="G12103" s="2" t="s">
        <v>20355</v>
      </c>
      <c r="H12103" s="2" t="s">
        <v>20356</v>
      </c>
    </row>
    <row r="12104" spans="1:8" ht="25.05" customHeight="1" x14ac:dyDescent="0.25">
      <c r="A12104" s="2" t="s">
        <v>8</v>
      </c>
      <c r="B12104" s="2" t="str">
        <f>HYPERLINK("http://ts.21cn.com/tousu/show/id/1343452","恒易贷是高利贷利率远超国家规定最高利率")</f>
        <v>恒易贷是高利贷利率远超国家规定最高利率</v>
      </c>
      <c r="C12104" s="2" t="s">
        <v>9</v>
      </c>
      <c r="D12104" s="2" t="s">
        <v>10</v>
      </c>
      <c r="E12104" s="2" t="str">
        <f>HYPERLINK("http://ts.21cn.com/tousu/show/id/1343452","http://ts.21cn.com/tousu/show/id/1343452")</f>
        <v>http://ts.21cn.com/tousu/show/id/1343452</v>
      </c>
      <c r="F12104" s="2" t="s">
        <v>11</v>
      </c>
      <c r="G12104" s="2" t="s">
        <v>20353</v>
      </c>
      <c r="H12104" s="2" t="s">
        <v>20354</v>
      </c>
    </row>
    <row r="12105" spans="1:8" ht="25.05" customHeight="1" x14ac:dyDescent="0.25">
      <c r="A12105" s="2" t="s">
        <v>8</v>
      </c>
      <c r="B12105" s="2" t="str">
        <f>HYPERLINK("http://ts.21cn.com/tousu/show/id/1343453","申请延迟还款，并让催收不得骚扰我亲朋好友")</f>
        <v>申请延迟还款，并让催收不得骚扰我亲朋好友</v>
      </c>
      <c r="C12105" s="2" t="s">
        <v>9</v>
      </c>
      <c r="D12105" s="2" t="s">
        <v>10</v>
      </c>
      <c r="E12105" s="2" t="str">
        <f>HYPERLINK("http://ts.21cn.com/tousu/show/id/1343453","http://ts.21cn.com/tousu/show/id/1343453")</f>
        <v>http://ts.21cn.com/tousu/show/id/1343453</v>
      </c>
      <c r="F12105" s="2" t="s">
        <v>11</v>
      </c>
      <c r="G12105" s="2" t="s">
        <v>20351</v>
      </c>
      <c r="H12105" s="2" t="s">
        <v>20352</v>
      </c>
    </row>
    <row r="12106" spans="1:8" ht="25.05" customHeight="1" x14ac:dyDescent="0.25">
      <c r="A12106" s="2" t="s">
        <v>8</v>
      </c>
      <c r="B12106" s="2" t="str">
        <f>HYPERLINK("http://ts.21cn.com/tousu/show/id/1343455","要求退回第三方费用")</f>
        <v>要求退回第三方费用</v>
      </c>
      <c r="C12106" s="2" t="s">
        <v>9</v>
      </c>
      <c r="D12106" s="2" t="s">
        <v>10</v>
      </c>
      <c r="E12106" s="2" t="str">
        <f>HYPERLINK("http://ts.21cn.com/tousu/show/id/1343455","http://ts.21cn.com/tousu/show/id/1343455")</f>
        <v>http://ts.21cn.com/tousu/show/id/1343455</v>
      </c>
      <c r="F12106" s="2" t="s">
        <v>11</v>
      </c>
      <c r="G12106" s="2" t="s">
        <v>20349</v>
      </c>
      <c r="H12106" s="2" t="s">
        <v>20350</v>
      </c>
    </row>
    <row r="12107" spans="1:8" ht="25.05" customHeight="1" x14ac:dyDescent="0.25">
      <c r="A12107" s="2" t="s">
        <v>8</v>
      </c>
      <c r="B12107" s="2" t="str">
        <f>HYPERLINK("http://ts.21cn.com/tousu/show/id/1343456","海风教育不给员工足额交社保和公积金，大量节假日加班没有加班费")</f>
        <v>海风教育不给员工足额交社保和公积金，大量节假日加班没有加班费</v>
      </c>
      <c r="C12107" s="2" t="s">
        <v>9</v>
      </c>
      <c r="D12107" s="2" t="s">
        <v>10</v>
      </c>
      <c r="E12107" s="2" t="str">
        <f>HYPERLINK("http://ts.21cn.com/tousu/show/id/1343456","http://ts.21cn.com/tousu/show/id/1343456")</f>
        <v>http://ts.21cn.com/tousu/show/id/1343456</v>
      </c>
      <c r="F12107" s="2" t="s">
        <v>11</v>
      </c>
      <c r="G12107" s="2" t="s">
        <v>20347</v>
      </c>
      <c r="H12107" s="2" t="s">
        <v>20348</v>
      </c>
    </row>
    <row r="12108" spans="1:8" ht="25.05" customHeight="1" x14ac:dyDescent="0.25">
      <c r="A12108" s="2" t="s">
        <v>8</v>
      </c>
      <c r="B12108" s="2" t="str">
        <f>HYPERLINK("http://ts.21cn.com/tousu/show/id/1343457","恶意扣费")</f>
        <v>恶意扣费</v>
      </c>
      <c r="C12108" s="2" t="s">
        <v>9</v>
      </c>
      <c r="D12108" s="2" t="s">
        <v>10</v>
      </c>
      <c r="E12108" s="2" t="str">
        <f>HYPERLINK("http://ts.21cn.com/tousu/show/id/1343457","http://ts.21cn.com/tousu/show/id/1343457")</f>
        <v>http://ts.21cn.com/tousu/show/id/1343457</v>
      </c>
      <c r="F12108" s="2" t="s">
        <v>11</v>
      </c>
      <c r="G12108" s="2" t="s">
        <v>20345</v>
      </c>
      <c r="H12108" s="2" t="s">
        <v>20346</v>
      </c>
    </row>
    <row r="12109" spans="1:8" ht="25.05" customHeight="1" x14ac:dyDescent="0.25">
      <c r="A12109" s="2" t="s">
        <v>8</v>
      </c>
      <c r="B12109" s="2" t="str">
        <f>HYPERLINK("http://ts.21cn.com/tousu/show/id/1343459","玖富高利贷")</f>
        <v>玖富高利贷</v>
      </c>
      <c r="C12109" s="2" t="s">
        <v>9</v>
      </c>
      <c r="D12109" s="2" t="s">
        <v>10</v>
      </c>
      <c r="E12109" s="2" t="str">
        <f>HYPERLINK("http://ts.21cn.com/tousu/show/id/1343459","http://ts.21cn.com/tousu/show/id/1343459")</f>
        <v>http://ts.21cn.com/tousu/show/id/1343459</v>
      </c>
      <c r="F12109" s="2" t="s">
        <v>11</v>
      </c>
      <c r="G12109" s="2" t="s">
        <v>20343</v>
      </c>
      <c r="H12109" s="2" t="s">
        <v>20344</v>
      </c>
    </row>
    <row r="12110" spans="1:8" ht="25.05" customHeight="1" x14ac:dyDescent="0.25">
      <c r="A12110" s="2" t="s">
        <v>8</v>
      </c>
      <c r="B12110" s="2" t="str">
        <f>HYPERLINK("http://ts.21cn.com/tousu/show/id/1343463","快闪卡贷砍头息高利贷")</f>
        <v>快闪卡贷砍头息高利贷</v>
      </c>
      <c r="C12110" s="2" t="s">
        <v>9</v>
      </c>
      <c r="D12110" s="2" t="s">
        <v>10</v>
      </c>
      <c r="E12110" s="2" t="str">
        <f>HYPERLINK("http://ts.21cn.com/tousu/show/id/1343463","http://ts.21cn.com/tousu/show/id/1343463")</f>
        <v>http://ts.21cn.com/tousu/show/id/1343463</v>
      </c>
      <c r="F12110" s="2" t="s">
        <v>11</v>
      </c>
      <c r="G12110" s="2" t="s">
        <v>20341</v>
      </c>
      <c r="H12110" s="2" t="s">
        <v>20342</v>
      </c>
    </row>
    <row r="12111" spans="1:8" ht="25.05" customHeight="1" x14ac:dyDescent="0.25">
      <c r="A12111" s="2" t="s">
        <v>8</v>
      </c>
      <c r="B12111" s="2" t="str">
        <f>HYPERLINK("http://ts.21cn.com/tousu/show/id/1343460","借贷平台暴力催收")</f>
        <v>借贷平台暴力催收</v>
      </c>
      <c r="C12111" s="2" t="s">
        <v>9</v>
      </c>
      <c r="D12111" s="2" t="s">
        <v>10</v>
      </c>
      <c r="E12111" s="2" t="str">
        <f>HYPERLINK("http://ts.21cn.com/tousu/show/id/1343460","http://ts.21cn.com/tousu/show/id/1343460")</f>
        <v>http://ts.21cn.com/tousu/show/id/1343460</v>
      </c>
      <c r="F12111" s="2" t="s">
        <v>11</v>
      </c>
      <c r="G12111" s="2" t="s">
        <v>20339</v>
      </c>
      <c r="H12111" s="2" t="s">
        <v>20340</v>
      </c>
    </row>
    <row r="12112" spans="1:8" ht="25.05" customHeight="1" x14ac:dyDescent="0.25">
      <c r="A12112" s="2" t="s">
        <v>8</v>
      </c>
      <c r="B12112" s="2" t="str">
        <f>HYPERLINK("http://ts.21cn.com/tousu/show/id/1343461","51人品贷中，人品宝存在着砍头息")</f>
        <v>51人品贷中，人品宝存在着砍头息</v>
      </c>
      <c r="C12112" s="2" t="s">
        <v>9</v>
      </c>
      <c r="D12112" s="2" t="s">
        <v>10</v>
      </c>
      <c r="E12112" s="2" t="str">
        <f>HYPERLINK("http://ts.21cn.com/tousu/show/id/1343461","http://ts.21cn.com/tousu/show/id/1343461")</f>
        <v>http://ts.21cn.com/tousu/show/id/1343461</v>
      </c>
      <c r="F12112" s="2" t="s">
        <v>11</v>
      </c>
      <c r="G12112" s="2" t="s">
        <v>20337</v>
      </c>
      <c r="H12112" s="2" t="s">
        <v>20338</v>
      </c>
    </row>
    <row r="12113" spans="1:8" ht="25.05" customHeight="1" x14ac:dyDescent="0.25">
      <c r="A12113" s="2" t="s">
        <v>8</v>
      </c>
      <c r="B12113" s="2" t="str">
        <f>HYPERLINK("http://ts.21cn.com/tousu/show/id/1343462","拍拍贷高利贷")</f>
        <v>拍拍贷高利贷</v>
      </c>
      <c r="C12113" s="2" t="s">
        <v>9</v>
      </c>
      <c r="D12113" s="2" t="s">
        <v>10</v>
      </c>
      <c r="E12113" s="2" t="str">
        <f>HYPERLINK("http://ts.21cn.com/tousu/show/id/1343462","http://ts.21cn.com/tousu/show/id/1343462")</f>
        <v>http://ts.21cn.com/tousu/show/id/1343462</v>
      </c>
      <c r="F12113" s="2" t="s">
        <v>11</v>
      </c>
      <c r="G12113" s="2" t="s">
        <v>20335</v>
      </c>
      <c r="H12113" s="2" t="s">
        <v>20336</v>
      </c>
    </row>
    <row r="12114" spans="1:8" ht="25.05" customHeight="1" x14ac:dyDescent="0.25">
      <c r="A12114" s="2" t="s">
        <v>8</v>
      </c>
      <c r="B12114" s="2" t="str">
        <f>HYPERLINK("http://ts.21cn.com/tousu/show/id/1343466","钱站高利贷阴阳合同")</f>
        <v>钱站高利贷阴阳合同</v>
      </c>
      <c r="C12114" s="2" t="s">
        <v>9</v>
      </c>
      <c r="D12114" s="2" t="s">
        <v>10</v>
      </c>
      <c r="E12114" s="2" t="str">
        <f>HYPERLINK("http://ts.21cn.com/tousu/show/id/1343466","http://ts.21cn.com/tousu/show/id/1343466")</f>
        <v>http://ts.21cn.com/tousu/show/id/1343466</v>
      </c>
      <c r="F12114" s="2" t="s">
        <v>11</v>
      </c>
      <c r="G12114" s="2" t="s">
        <v>20333</v>
      </c>
      <c r="H12114" s="2" t="s">
        <v>20334</v>
      </c>
    </row>
    <row r="12115" spans="1:8" ht="25.05" customHeight="1" x14ac:dyDescent="0.25">
      <c r="A12115" s="2" t="s">
        <v>8</v>
      </c>
      <c r="B12115" s="2" t="str">
        <f>HYPERLINK("http://ts.21cn.com/tousu/show/id/1343464","平安普惠")</f>
        <v>平安普惠</v>
      </c>
      <c r="C12115" s="2" t="s">
        <v>9</v>
      </c>
      <c r="D12115" s="2" t="s">
        <v>10</v>
      </c>
      <c r="E12115" s="2" t="str">
        <f>HYPERLINK("http://ts.21cn.com/tousu/show/id/1343464","http://ts.21cn.com/tousu/show/id/1343464")</f>
        <v>http://ts.21cn.com/tousu/show/id/1343464</v>
      </c>
      <c r="F12115" s="2" t="s">
        <v>11</v>
      </c>
      <c r="G12115" s="2" t="s">
        <v>20331</v>
      </c>
      <c r="H12115" s="2" t="s">
        <v>20332</v>
      </c>
    </row>
    <row r="12116" spans="1:8" ht="25.05" customHeight="1" x14ac:dyDescent="0.25">
      <c r="A12116" s="2" t="s">
        <v>8</v>
      </c>
      <c r="B12116" s="2" t="str">
        <f>HYPERLINK("http://ts.21cn.com/tousu/show/id/1343467","因广发信用卡逾期，催收人员去户籍地骚扰我家人")</f>
        <v>因广发信用卡逾期，催收人员去户籍地骚扰我家人</v>
      </c>
      <c r="C12116" s="2" t="s">
        <v>9</v>
      </c>
      <c r="D12116" s="2" t="s">
        <v>10</v>
      </c>
      <c r="E12116" s="2" t="str">
        <f>HYPERLINK("http://ts.21cn.com/tousu/show/id/1343467","http://ts.21cn.com/tousu/show/id/1343467")</f>
        <v>http://ts.21cn.com/tousu/show/id/1343467</v>
      </c>
      <c r="F12116" s="2" t="s">
        <v>11</v>
      </c>
      <c r="G12116" s="2" t="s">
        <v>20329</v>
      </c>
      <c r="H12116" s="2" t="s">
        <v>20330</v>
      </c>
    </row>
    <row r="12117" spans="1:8" ht="25.05" customHeight="1" x14ac:dyDescent="0.25">
      <c r="A12117" s="2" t="s">
        <v>8</v>
      </c>
      <c r="B12117" s="2" t="str">
        <f>HYPERLINK("http://ts.21cn.com/tousu/show/id/1343468","佛山移动不给我更换全球通套餐")</f>
        <v>佛山移动不给我更换全球通套餐</v>
      </c>
      <c r="C12117" s="2" t="s">
        <v>9</v>
      </c>
      <c r="D12117" s="2" t="s">
        <v>10</v>
      </c>
      <c r="E12117" s="2" t="str">
        <f>HYPERLINK("http://ts.21cn.com/tousu/show/id/1343468","http://ts.21cn.com/tousu/show/id/1343468")</f>
        <v>http://ts.21cn.com/tousu/show/id/1343468</v>
      </c>
      <c r="F12117" s="2" t="s">
        <v>11</v>
      </c>
      <c r="G12117" s="2" t="s">
        <v>20327</v>
      </c>
      <c r="H12117" s="2" t="s">
        <v>20328</v>
      </c>
    </row>
    <row r="12118" spans="1:8" ht="25.05" customHeight="1" x14ac:dyDescent="0.25">
      <c r="A12118" s="2" t="s">
        <v>8</v>
      </c>
      <c r="B12118" s="2" t="str">
        <f>HYPERLINK("http://ts.21cn.com/tousu/show/id/1343470","闪银骚扰我家人。")</f>
        <v>闪银骚扰我家人。</v>
      </c>
      <c r="C12118" s="2" t="s">
        <v>34</v>
      </c>
      <c r="D12118" s="2" t="s">
        <v>10</v>
      </c>
      <c r="E12118" s="2" t="str">
        <f>HYPERLINK("http://ts.21cn.com/tousu/show/id/1343470","http://ts.21cn.com/tousu/show/id/1343470")</f>
        <v>http://ts.21cn.com/tousu/show/id/1343470</v>
      </c>
      <c r="F12118" s="2" t="s">
        <v>11</v>
      </c>
      <c r="G12118" s="2" t="s">
        <v>20325</v>
      </c>
      <c r="H12118" s="2" t="s">
        <v>20326</v>
      </c>
    </row>
    <row r="12119" spans="1:8" ht="25.05" customHeight="1" x14ac:dyDescent="0.25">
      <c r="A12119" s="2" t="s">
        <v>8</v>
      </c>
      <c r="B12119" s="2" t="str">
        <f>HYPERLINK("http://ts.21cn.com/tousu/show/id/1343471","万利分期，砍头息")</f>
        <v>万利分期，砍头息</v>
      </c>
      <c r="C12119" s="2" t="s">
        <v>34</v>
      </c>
      <c r="D12119" s="2" t="s">
        <v>10</v>
      </c>
      <c r="E12119" s="2" t="str">
        <f>HYPERLINK("http://ts.21cn.com/tousu/show/id/1343471","http://ts.21cn.com/tousu/show/id/1343471")</f>
        <v>http://ts.21cn.com/tousu/show/id/1343471</v>
      </c>
      <c r="F12119" s="2" t="s">
        <v>11</v>
      </c>
      <c r="G12119" s="2" t="s">
        <v>20323</v>
      </c>
      <c r="H12119" s="2" t="s">
        <v>20324</v>
      </c>
    </row>
    <row r="12120" spans="1:8" ht="25.05" customHeight="1" x14ac:dyDescent="0.25">
      <c r="A12120" s="2" t="s">
        <v>8</v>
      </c>
      <c r="B12120" s="2" t="str">
        <f>HYPERLINK("http://ts.21cn.com/tousu/show/id/1343473","万达快易花暴力催收")</f>
        <v>万达快易花暴力催收</v>
      </c>
      <c r="C12120" s="2" t="s">
        <v>9</v>
      </c>
      <c r="D12120" s="2" t="s">
        <v>10</v>
      </c>
      <c r="E12120" s="2" t="str">
        <f>HYPERLINK("http://ts.21cn.com/tousu/show/id/1343473","http://ts.21cn.com/tousu/show/id/1343473")</f>
        <v>http://ts.21cn.com/tousu/show/id/1343473</v>
      </c>
      <c r="F12120" s="2" t="s">
        <v>11</v>
      </c>
      <c r="G12120" s="2" t="s">
        <v>20321</v>
      </c>
      <c r="H12120" s="2" t="s">
        <v>20322</v>
      </c>
    </row>
    <row r="12121" spans="1:8" ht="25.05" customHeight="1" x14ac:dyDescent="0.25">
      <c r="A12121" s="2" t="s">
        <v>8</v>
      </c>
      <c r="B12121" s="2" t="str">
        <f>HYPERLINK("http://ts.21cn.com/tousu/show/id/1343474","提前还款需要收取全部利息而且竟然还有服务费")</f>
        <v>提前还款需要收取全部利息而且竟然还有服务费</v>
      </c>
      <c r="C12121" s="2" t="s">
        <v>34</v>
      </c>
      <c r="D12121" s="2" t="s">
        <v>10</v>
      </c>
      <c r="E12121" s="2" t="str">
        <f>HYPERLINK("http://ts.21cn.com/tousu/show/id/1343474","http://ts.21cn.com/tousu/show/id/1343474")</f>
        <v>http://ts.21cn.com/tousu/show/id/1343474</v>
      </c>
      <c r="F12121" s="2" t="s">
        <v>11</v>
      </c>
      <c r="G12121" s="2" t="s">
        <v>20319</v>
      </c>
      <c r="H12121" s="2" t="s">
        <v>20320</v>
      </c>
    </row>
    <row r="12122" spans="1:8" ht="25.05" customHeight="1" x14ac:dyDescent="0.25">
      <c r="A12122" s="2" t="s">
        <v>8</v>
      </c>
      <c r="B12122" s="2" t="str">
        <f>HYPERLINK("http://ts.21cn.com/tousu/show/id/1343475","国美易卡拒绝注销账户的投诉")</f>
        <v>国美易卡拒绝注销账户的投诉</v>
      </c>
      <c r="C12122" s="2" t="s">
        <v>9</v>
      </c>
      <c r="D12122" s="2" t="s">
        <v>10</v>
      </c>
      <c r="E12122" s="2" t="str">
        <f>HYPERLINK("http://ts.21cn.com/tousu/show/id/1343475","http://ts.21cn.com/tousu/show/id/1343475")</f>
        <v>http://ts.21cn.com/tousu/show/id/1343475</v>
      </c>
      <c r="F12122" s="2" t="s">
        <v>11</v>
      </c>
      <c r="G12122" s="2" t="s">
        <v>20317</v>
      </c>
      <c r="H12122" s="2" t="s">
        <v>20318</v>
      </c>
    </row>
    <row r="12123" spans="1:8" ht="25.05" customHeight="1" x14ac:dyDescent="0.25">
      <c r="A12123" s="2" t="s">
        <v>8</v>
      </c>
      <c r="B12123" s="2" t="str">
        <f>HYPERLINK("http://ts.21cn.com/tousu/show/id/1343476","滴滴平台")</f>
        <v>滴滴平台</v>
      </c>
      <c r="C12123" s="2" t="s">
        <v>9</v>
      </c>
      <c r="D12123" s="2" t="s">
        <v>10</v>
      </c>
      <c r="E12123" s="2" t="str">
        <f>HYPERLINK("http://ts.21cn.com/tousu/show/id/1343476","http://ts.21cn.com/tousu/show/id/1343476")</f>
        <v>http://ts.21cn.com/tousu/show/id/1343476</v>
      </c>
      <c r="F12123" s="2" t="s">
        <v>11</v>
      </c>
      <c r="G12123" s="2" t="s">
        <v>20315</v>
      </c>
      <c r="H12123" s="2" t="s">
        <v>20316</v>
      </c>
    </row>
    <row r="12124" spans="1:8" ht="25.05" customHeight="1" x14ac:dyDescent="0.25">
      <c r="A12124" s="2" t="s">
        <v>8</v>
      </c>
      <c r="B12124" s="2" t="str">
        <f>HYPERLINK("http://ts.21cn.com/tousu/show/id/1343477","佛山祈福南湾半岛随意委托车队乱收费")</f>
        <v>佛山祈福南湾半岛随意委托车队乱收费</v>
      </c>
      <c r="C12124" s="2" t="s">
        <v>9</v>
      </c>
      <c r="D12124" s="2" t="s">
        <v>10</v>
      </c>
      <c r="E12124" s="2" t="str">
        <f>HYPERLINK("http://ts.21cn.com/tousu/show/id/1343477","http://ts.21cn.com/tousu/show/id/1343477")</f>
        <v>http://ts.21cn.com/tousu/show/id/1343477</v>
      </c>
      <c r="F12124" s="2" t="s">
        <v>11</v>
      </c>
      <c r="G12124" s="2" t="s">
        <v>20313</v>
      </c>
      <c r="H12124" s="2" t="s">
        <v>20314</v>
      </c>
    </row>
    <row r="12125" spans="1:8" ht="25.05" customHeight="1" x14ac:dyDescent="0.25">
      <c r="A12125" s="2" t="s">
        <v>8</v>
      </c>
      <c r="B12125" s="2" t="str">
        <f>HYPERLINK("http://ts.21cn.com/tousu/show/id/1343454","宝付为714不法平台提供支付渠道不负责")</f>
        <v>宝付为714不法平台提供支付渠道不负责</v>
      </c>
      <c r="C12125" s="2" t="s">
        <v>9</v>
      </c>
      <c r="D12125" s="2" t="s">
        <v>10</v>
      </c>
      <c r="E12125" s="2" t="str">
        <f>HYPERLINK("http://ts.21cn.com/tousu/show/id/1343454","http://ts.21cn.com/tousu/show/id/1343454")</f>
        <v>http://ts.21cn.com/tousu/show/id/1343454</v>
      </c>
      <c r="F12125" s="2" t="s">
        <v>11</v>
      </c>
      <c r="G12125" s="2" t="s">
        <v>20311</v>
      </c>
      <c r="H12125" s="2" t="s">
        <v>20312</v>
      </c>
    </row>
    <row r="12126" spans="1:8" ht="25.05" customHeight="1" x14ac:dyDescent="0.25">
      <c r="A12126" s="2" t="s">
        <v>8</v>
      </c>
      <c r="B12126" s="2" t="str">
        <f>HYPERLINK("http://ts.21cn.com/tousu/show/id/1343478","投诉百事普惠个人评估费用不退还")</f>
        <v>投诉百事普惠个人评估费用不退还</v>
      </c>
      <c r="C12126" s="2" t="s">
        <v>9</v>
      </c>
      <c r="D12126" s="2" t="s">
        <v>10</v>
      </c>
      <c r="E12126" s="2" t="str">
        <f>HYPERLINK("http://ts.21cn.com/tousu/show/id/1343478","http://ts.21cn.com/tousu/show/id/1343478")</f>
        <v>http://ts.21cn.com/tousu/show/id/1343478</v>
      </c>
      <c r="F12126" s="2" t="s">
        <v>11</v>
      </c>
      <c r="G12126" s="2" t="s">
        <v>20309</v>
      </c>
      <c r="H12126" s="2" t="s">
        <v>20310</v>
      </c>
    </row>
    <row r="12127" spans="1:8" ht="25.05" customHeight="1" x14ac:dyDescent="0.25">
      <c r="A12127" s="2" t="s">
        <v>8</v>
      </c>
      <c r="B12127" s="2" t="str">
        <f>HYPERLINK("http://ts.21cn.com/tousu/show/id/1343479","高利贷")</f>
        <v>高利贷</v>
      </c>
      <c r="C12127" s="2" t="s">
        <v>9</v>
      </c>
      <c r="D12127" s="2" t="s">
        <v>10</v>
      </c>
      <c r="E12127" s="2" t="str">
        <f>HYPERLINK("http://ts.21cn.com/tousu/show/id/1343479","http://ts.21cn.com/tousu/show/id/1343479")</f>
        <v>http://ts.21cn.com/tousu/show/id/1343479</v>
      </c>
      <c r="F12127" s="2" t="s">
        <v>11</v>
      </c>
      <c r="G12127" s="2" t="s">
        <v>20307</v>
      </c>
      <c r="H12127" s="2" t="s">
        <v>20308</v>
      </c>
    </row>
    <row r="12128" spans="1:8" ht="25.05" customHeight="1" x14ac:dyDescent="0.25">
      <c r="A12128" s="2" t="s">
        <v>8</v>
      </c>
      <c r="B12128" s="2" t="str">
        <f>HYPERLINK("http://ts.21cn.com/tousu/show/id/1343481","恳请小花钱包提前结清")</f>
        <v>恳请小花钱包提前结清</v>
      </c>
      <c r="C12128" s="2" t="s">
        <v>9</v>
      </c>
      <c r="D12128" s="2" t="s">
        <v>10</v>
      </c>
      <c r="E12128" s="2" t="str">
        <f>HYPERLINK("http://ts.21cn.com/tousu/show/id/1343481","http://ts.21cn.com/tousu/show/id/1343481")</f>
        <v>http://ts.21cn.com/tousu/show/id/1343481</v>
      </c>
      <c r="F12128" s="2" t="s">
        <v>11</v>
      </c>
      <c r="G12128" s="2" t="s">
        <v>20305</v>
      </c>
      <c r="H12128" s="2" t="s">
        <v>20306</v>
      </c>
    </row>
    <row r="12129" spans="1:8" ht="25.05" customHeight="1" x14ac:dyDescent="0.25">
      <c r="A12129" s="2" t="s">
        <v>8</v>
      </c>
      <c r="B12129" s="2" t="str">
        <f>HYPERLINK("http://ts.21cn.com/tousu/show/id/1343482","快易熊威胁恐吓。")</f>
        <v>快易熊威胁恐吓。</v>
      </c>
      <c r="C12129" s="2" t="s">
        <v>9</v>
      </c>
      <c r="D12129" s="2" t="s">
        <v>10</v>
      </c>
      <c r="E12129" s="2" t="str">
        <f>HYPERLINK("http://ts.21cn.com/tousu/show/id/1343482","http://ts.21cn.com/tousu/show/id/1343482")</f>
        <v>http://ts.21cn.com/tousu/show/id/1343482</v>
      </c>
      <c r="F12129" s="2" t="s">
        <v>11</v>
      </c>
      <c r="G12129" s="2" t="s">
        <v>20303</v>
      </c>
      <c r="H12129" s="2" t="s">
        <v>20304</v>
      </c>
    </row>
    <row r="12130" spans="1:8" ht="25.05" customHeight="1" x14ac:dyDescent="0.25">
      <c r="A12130" s="2" t="s">
        <v>8</v>
      </c>
      <c r="B12130" s="2" t="str">
        <f>HYPERLINK("http://ts.21cn.com/tousu/show/id/1343483","钱站高利贷阴阳合同")</f>
        <v>钱站高利贷阴阳合同</v>
      </c>
      <c r="C12130" s="2" t="s">
        <v>9</v>
      </c>
      <c r="D12130" s="2" t="s">
        <v>10</v>
      </c>
      <c r="E12130" s="2" t="str">
        <f>HYPERLINK("http://ts.21cn.com/tousu/show/id/1343483","http://ts.21cn.com/tousu/show/id/1343483")</f>
        <v>http://ts.21cn.com/tousu/show/id/1343483</v>
      </c>
      <c r="F12130" s="2" t="s">
        <v>11</v>
      </c>
      <c r="G12130" s="2" t="s">
        <v>20301</v>
      </c>
      <c r="H12130" s="2" t="s">
        <v>20302</v>
      </c>
    </row>
    <row r="12131" spans="1:8" ht="25.05" customHeight="1" x14ac:dyDescent="0.25">
      <c r="A12131" s="2" t="s">
        <v>8</v>
      </c>
      <c r="B12131" s="2" t="str">
        <f>HYPERLINK("http://ts.21cn.com/tousu/show/id/1343465","小当家高利贷")</f>
        <v>小当家高利贷</v>
      </c>
      <c r="C12131" s="2" t="s">
        <v>9</v>
      </c>
      <c r="D12131" s="2" t="s">
        <v>10</v>
      </c>
      <c r="E12131" s="2" t="str">
        <f>HYPERLINK("http://ts.21cn.com/tousu/show/id/1343465","http://ts.21cn.com/tousu/show/id/1343465")</f>
        <v>http://ts.21cn.com/tousu/show/id/1343465</v>
      </c>
      <c r="F12131" s="2" t="s">
        <v>11</v>
      </c>
      <c r="G12131" s="2" t="s">
        <v>20299</v>
      </c>
      <c r="H12131" s="2" t="s">
        <v>20300</v>
      </c>
    </row>
    <row r="12132" spans="1:8" ht="25.05" customHeight="1" x14ac:dyDescent="0.25">
      <c r="A12132" s="2" t="s">
        <v>8</v>
      </c>
      <c r="B12132" s="2" t="str">
        <f>HYPERLINK("http://ts.21cn.com/tousu/show/id/1343484","云闪付为赌博网站开通通道")</f>
        <v>云闪付为赌博网站开通通道</v>
      </c>
      <c r="C12132" s="2" t="s">
        <v>9</v>
      </c>
      <c r="D12132" s="2" t="s">
        <v>10</v>
      </c>
      <c r="E12132" s="2" t="str">
        <f>HYPERLINK("http://ts.21cn.com/tousu/show/id/1343484","http://ts.21cn.com/tousu/show/id/1343484")</f>
        <v>http://ts.21cn.com/tousu/show/id/1343484</v>
      </c>
      <c r="F12132" s="2" t="s">
        <v>11</v>
      </c>
      <c r="G12132" s="2" t="s">
        <v>20297</v>
      </c>
      <c r="H12132" s="2" t="s">
        <v>20298</v>
      </c>
    </row>
    <row r="12133" spans="1:8" ht="25.05" customHeight="1" x14ac:dyDescent="0.25">
      <c r="A12133" s="2" t="s">
        <v>8</v>
      </c>
      <c r="B12133" s="2" t="str">
        <f>HYPERLINK("http://ts.21cn.com/tousu/show/id/1343485","支付宝蚂蚁借呗暴力催收涉黑违法")</f>
        <v>支付宝蚂蚁借呗暴力催收涉黑违法</v>
      </c>
      <c r="C12133" s="2" t="s">
        <v>9</v>
      </c>
      <c r="D12133" s="2" t="s">
        <v>10</v>
      </c>
      <c r="E12133" s="2" t="str">
        <f>HYPERLINK("http://ts.21cn.com/tousu/show/id/1343485","http://ts.21cn.com/tousu/show/id/1343485")</f>
        <v>http://ts.21cn.com/tousu/show/id/1343485</v>
      </c>
      <c r="F12133" s="2" t="s">
        <v>11</v>
      </c>
      <c r="G12133" s="2" t="s">
        <v>20295</v>
      </c>
      <c r="H12133" s="2" t="s">
        <v>20296</v>
      </c>
    </row>
    <row r="12134" spans="1:8" ht="25.05" customHeight="1" x14ac:dyDescent="0.25">
      <c r="A12134" s="2" t="s">
        <v>8</v>
      </c>
      <c r="B12134" s="2" t="str">
        <f>HYPERLINK("http://ts.21cn.com/tousu/show/id/1343487","百度钱包威胁天天打骚扰电话")</f>
        <v>百度钱包威胁天天打骚扰电话</v>
      </c>
      <c r="C12134" s="2" t="s">
        <v>9</v>
      </c>
      <c r="D12134" s="2" t="s">
        <v>10</v>
      </c>
      <c r="E12134" s="2" t="str">
        <f>HYPERLINK("http://ts.21cn.com/tousu/show/id/1343487","http://ts.21cn.com/tousu/show/id/1343487")</f>
        <v>http://ts.21cn.com/tousu/show/id/1343487</v>
      </c>
      <c r="F12134" s="2" t="s">
        <v>11</v>
      </c>
      <c r="G12134" s="2" t="s">
        <v>20293</v>
      </c>
      <c r="H12134" s="2" t="s">
        <v>20294</v>
      </c>
    </row>
    <row r="12135" spans="1:8" ht="25.05" customHeight="1" x14ac:dyDescent="0.25">
      <c r="A12135" s="2" t="s">
        <v>8</v>
      </c>
      <c r="B12135" s="2" t="str">
        <f>HYPERLINK("http://ts.21cn.com/tousu/show/id/1343488","微信上申请ETC用不了")</f>
        <v>微信上申请ETC用不了</v>
      </c>
      <c r="C12135" s="2" t="s">
        <v>34</v>
      </c>
      <c r="D12135" s="2" t="s">
        <v>10</v>
      </c>
      <c r="E12135" s="2" t="str">
        <f>HYPERLINK("http://ts.21cn.com/tousu/show/id/1343488","http://ts.21cn.com/tousu/show/id/1343488")</f>
        <v>http://ts.21cn.com/tousu/show/id/1343488</v>
      </c>
      <c r="F12135" s="2" t="s">
        <v>11</v>
      </c>
      <c r="G12135" s="2" t="s">
        <v>20291</v>
      </c>
      <c r="H12135" s="2" t="s">
        <v>20292</v>
      </c>
    </row>
    <row r="12136" spans="1:8" ht="25.05" customHeight="1" x14ac:dyDescent="0.25">
      <c r="A12136" s="2" t="s">
        <v>8</v>
      </c>
      <c r="B12136" s="2" t="str">
        <f>HYPERLINK("http://ts.21cn.com/tousu/show/id/1343490","高利贷还款")</f>
        <v>高利贷还款</v>
      </c>
      <c r="C12136" s="2" t="s">
        <v>9</v>
      </c>
      <c r="D12136" s="2" t="s">
        <v>10</v>
      </c>
      <c r="E12136" s="2" t="str">
        <f>HYPERLINK("http://ts.21cn.com/tousu/show/id/1343490","http://ts.21cn.com/tousu/show/id/1343490")</f>
        <v>http://ts.21cn.com/tousu/show/id/1343490</v>
      </c>
      <c r="F12136" s="2" t="s">
        <v>11</v>
      </c>
      <c r="G12136" s="2" t="s">
        <v>20289</v>
      </c>
      <c r="H12136" s="2" t="s">
        <v>20290</v>
      </c>
    </row>
    <row r="12137" spans="1:8" ht="25.05" customHeight="1" x14ac:dyDescent="0.25">
      <c r="A12137" s="2" t="s">
        <v>8</v>
      </c>
      <c r="B12137" s="2" t="str">
        <f>HYPERLINK("http://ts.21cn.com/tousu/show/id/1343491","快闪卡贷利息率超高")</f>
        <v>快闪卡贷利息率超高</v>
      </c>
      <c r="C12137" s="2" t="s">
        <v>9</v>
      </c>
      <c r="D12137" s="2" t="s">
        <v>10</v>
      </c>
      <c r="E12137" s="2" t="str">
        <f>HYPERLINK("http://ts.21cn.com/tousu/show/id/1343491","http://ts.21cn.com/tousu/show/id/1343491")</f>
        <v>http://ts.21cn.com/tousu/show/id/1343491</v>
      </c>
      <c r="F12137" s="2" t="s">
        <v>11</v>
      </c>
      <c r="G12137" s="2" t="s">
        <v>20287</v>
      </c>
      <c r="H12137" s="2" t="s">
        <v>20288</v>
      </c>
    </row>
    <row r="12138" spans="1:8" ht="25.05" customHeight="1" x14ac:dyDescent="0.25">
      <c r="A12138" s="2" t="s">
        <v>8</v>
      </c>
      <c r="B12138" s="2" t="str">
        <f>HYPERLINK("http://ts.21cn.com/tousu/show/id/1343493","花月钱包")</f>
        <v>花月钱包</v>
      </c>
      <c r="C12138" s="2" t="s">
        <v>34</v>
      </c>
      <c r="D12138" s="2" t="s">
        <v>10</v>
      </c>
      <c r="E12138" s="2" t="str">
        <f>HYPERLINK("http://ts.21cn.com/tousu/show/id/1343493","http://ts.21cn.com/tousu/show/id/1343493")</f>
        <v>http://ts.21cn.com/tousu/show/id/1343493</v>
      </c>
      <c r="F12138" s="2" t="s">
        <v>11</v>
      </c>
      <c r="G12138" s="2" t="s">
        <v>20285</v>
      </c>
      <c r="H12138" s="2" t="s">
        <v>20286</v>
      </c>
    </row>
    <row r="12139" spans="1:8" ht="25.05" customHeight="1" x14ac:dyDescent="0.25">
      <c r="A12139" s="2" t="s">
        <v>8</v>
      </c>
      <c r="B12139" s="2" t="str">
        <f>HYPERLINK("http://ts.21cn.com/tousu/show/id/1343494","国美易卡暴力催收")</f>
        <v>国美易卡暴力催收</v>
      </c>
      <c r="C12139" s="2" t="s">
        <v>9</v>
      </c>
      <c r="D12139" s="2" t="s">
        <v>10</v>
      </c>
      <c r="E12139" s="2" t="str">
        <f>HYPERLINK("http://ts.21cn.com/tousu/show/id/1343494","http://ts.21cn.com/tousu/show/id/1343494")</f>
        <v>http://ts.21cn.com/tousu/show/id/1343494</v>
      </c>
      <c r="F12139" s="2" t="s">
        <v>11</v>
      </c>
      <c r="G12139" s="2" t="s">
        <v>20283</v>
      </c>
      <c r="H12139" s="2" t="s">
        <v>20284</v>
      </c>
    </row>
    <row r="12140" spans="1:8" ht="25.05" customHeight="1" x14ac:dyDescent="0.25">
      <c r="A12140" s="2" t="s">
        <v>8</v>
      </c>
      <c r="B12140" s="2" t="str">
        <f>HYPERLINK("http://ts.21cn.com/tousu/show/id/1232749","捷信高利贷")</f>
        <v>捷信高利贷</v>
      </c>
      <c r="C12140" s="2" t="s">
        <v>9</v>
      </c>
      <c r="D12140" s="2" t="s">
        <v>10</v>
      </c>
      <c r="E12140" s="2" t="str">
        <f>HYPERLINK("http://ts.21cn.com/tousu/show/id/1232749","http://ts.21cn.com/tousu/show/id/1232749")</f>
        <v>http://ts.21cn.com/tousu/show/id/1232749</v>
      </c>
      <c r="F12140" s="2" t="s">
        <v>11</v>
      </c>
      <c r="G12140" s="2" t="s">
        <v>20281</v>
      </c>
      <c r="H12140" s="2" t="s">
        <v>20282</v>
      </c>
    </row>
    <row r="12141" spans="1:8" ht="25.05" customHeight="1" x14ac:dyDescent="0.25">
      <c r="A12141" s="2" t="s">
        <v>8</v>
      </c>
      <c r="B12141" s="2" t="str">
        <f>HYPERLINK("http://ts.21cn.com/tousu/show/id/1343449","中行聪明购商城无法退款")</f>
        <v>中行聪明购商城无法退款</v>
      </c>
      <c r="C12141" s="2" t="s">
        <v>9</v>
      </c>
      <c r="D12141" s="2" t="s">
        <v>10</v>
      </c>
      <c r="E12141" s="2" t="str">
        <f>HYPERLINK("http://ts.21cn.com/tousu/show/id/1343449","http://ts.21cn.com/tousu/show/id/1343449")</f>
        <v>http://ts.21cn.com/tousu/show/id/1343449</v>
      </c>
      <c r="F12141" s="2" t="s">
        <v>11</v>
      </c>
      <c r="G12141" s="2" t="s">
        <v>20279</v>
      </c>
      <c r="H12141" s="2" t="s">
        <v>20280</v>
      </c>
    </row>
    <row r="12142" spans="1:8" ht="25.05" customHeight="1" x14ac:dyDescent="0.25">
      <c r="A12142" s="2" t="s">
        <v>8</v>
      </c>
      <c r="B12142" s="2" t="str">
        <f>HYPERLINK("http://ts.21cn.com/tousu/show/id/1343495","银生宝包庇商户不给处理")</f>
        <v>银生宝包庇商户不给处理</v>
      </c>
      <c r="C12142" s="2" t="s">
        <v>9</v>
      </c>
      <c r="D12142" s="2" t="s">
        <v>10</v>
      </c>
      <c r="E12142" s="2" t="str">
        <f>HYPERLINK("http://ts.21cn.com/tousu/show/id/1343495","http://ts.21cn.com/tousu/show/id/1343495")</f>
        <v>http://ts.21cn.com/tousu/show/id/1343495</v>
      </c>
      <c r="F12142" s="2" t="s">
        <v>11</v>
      </c>
      <c r="G12142" s="2" t="s">
        <v>20277</v>
      </c>
      <c r="H12142" s="2" t="s">
        <v>20278</v>
      </c>
    </row>
    <row r="12143" spans="1:8" ht="25.05" customHeight="1" x14ac:dyDescent="0.25">
      <c r="A12143" s="2" t="s">
        <v>8</v>
      </c>
      <c r="B12143" s="2" t="str">
        <f>HYPERLINK("http://ts.21cn.com/tousu/show/id/1343496","微粒贷威胁上门调查")</f>
        <v>微粒贷威胁上门调查</v>
      </c>
      <c r="C12143" s="2" t="s">
        <v>9</v>
      </c>
      <c r="D12143" s="2" t="s">
        <v>10</v>
      </c>
      <c r="E12143" s="2" t="str">
        <f>HYPERLINK("http://ts.21cn.com/tousu/show/id/1343496","http://ts.21cn.com/tousu/show/id/1343496")</f>
        <v>http://ts.21cn.com/tousu/show/id/1343496</v>
      </c>
      <c r="F12143" s="2" t="s">
        <v>11</v>
      </c>
      <c r="G12143" s="2" t="s">
        <v>20275</v>
      </c>
      <c r="H12143" s="2" t="s">
        <v>20276</v>
      </c>
    </row>
    <row r="12144" spans="1:8" ht="25.05" customHeight="1" x14ac:dyDescent="0.25">
      <c r="A12144" s="2" t="s">
        <v>8</v>
      </c>
      <c r="B12144" s="2" t="str">
        <f>HYPERLINK("http://ts.21cn.com/tousu/show/id/1343497","恒易贷打单位电话造成不良影响")</f>
        <v>恒易贷打单位电话造成不良影响</v>
      </c>
      <c r="C12144" s="2" t="s">
        <v>9</v>
      </c>
      <c r="D12144" s="2" t="s">
        <v>10</v>
      </c>
      <c r="E12144" s="2" t="str">
        <f>HYPERLINK("http://ts.21cn.com/tousu/show/id/1343497","http://ts.21cn.com/tousu/show/id/1343497")</f>
        <v>http://ts.21cn.com/tousu/show/id/1343497</v>
      </c>
      <c r="F12144" s="2" t="s">
        <v>11</v>
      </c>
      <c r="G12144" s="2" t="s">
        <v>20273</v>
      </c>
      <c r="H12144" s="2" t="s">
        <v>20274</v>
      </c>
    </row>
    <row r="12145" spans="1:8" ht="25.05" customHeight="1" x14ac:dyDescent="0.25">
      <c r="A12145" s="2" t="s">
        <v>8</v>
      </c>
      <c r="B12145" s="2" t="str">
        <f>HYPERLINK("http://ts.21cn.com/tousu/show/id/1343498","淘宝买电动车，买完就关门，毫无宣传时的售后。")</f>
        <v>淘宝买电动车，买完就关门，毫无宣传时的售后。</v>
      </c>
      <c r="C12145" s="2" t="s">
        <v>9</v>
      </c>
      <c r="D12145" s="2" t="s">
        <v>10</v>
      </c>
      <c r="E12145" s="2" t="str">
        <f>HYPERLINK("http://ts.21cn.com/tousu/show/id/1343498","http://ts.21cn.com/tousu/show/id/1343498")</f>
        <v>http://ts.21cn.com/tousu/show/id/1343498</v>
      </c>
      <c r="F12145" s="2" t="s">
        <v>11</v>
      </c>
      <c r="G12145" s="2" t="s">
        <v>20271</v>
      </c>
      <c r="H12145" s="2" t="s">
        <v>20272</v>
      </c>
    </row>
    <row r="12146" spans="1:8" ht="25.05" customHeight="1" x14ac:dyDescent="0.25">
      <c r="A12146" s="2" t="s">
        <v>8</v>
      </c>
      <c r="B12146" s="2" t="str">
        <f>HYPERLINK("http://ts.21cn.com/tousu/show/id/1343503","苏宁账户被盗，被套现")</f>
        <v>苏宁账户被盗，被套现</v>
      </c>
      <c r="C12146" s="2" t="s">
        <v>9</v>
      </c>
      <c r="D12146" s="2" t="s">
        <v>10</v>
      </c>
      <c r="E12146" s="2" t="str">
        <f>HYPERLINK("http://ts.21cn.com/tousu/show/id/1343503","http://ts.21cn.com/tousu/show/id/1343503")</f>
        <v>http://ts.21cn.com/tousu/show/id/1343503</v>
      </c>
      <c r="F12146" s="2" t="s">
        <v>11</v>
      </c>
      <c r="G12146" s="2" t="s">
        <v>20269</v>
      </c>
      <c r="H12146" s="2" t="s">
        <v>20270</v>
      </c>
    </row>
    <row r="12147" spans="1:8" ht="25.05" customHeight="1" x14ac:dyDescent="0.25">
      <c r="A12147" s="2" t="s">
        <v>8</v>
      </c>
      <c r="B12147" s="2" t="str">
        <f>HYPERLINK("http://ts.21cn.com/tousu/show/id/1343499","拼多多拒绝注销账号的投入")</f>
        <v>拼多多拒绝注销账号的投入</v>
      </c>
      <c r="C12147" s="2" t="s">
        <v>9</v>
      </c>
      <c r="D12147" s="2" t="s">
        <v>10</v>
      </c>
      <c r="E12147" s="2" t="str">
        <f>HYPERLINK("http://ts.21cn.com/tousu/show/id/1343499","http://ts.21cn.com/tousu/show/id/1343499")</f>
        <v>http://ts.21cn.com/tousu/show/id/1343499</v>
      </c>
      <c r="F12147" s="2" t="s">
        <v>11</v>
      </c>
      <c r="G12147" s="2" t="s">
        <v>20267</v>
      </c>
      <c r="H12147" s="2" t="s">
        <v>20268</v>
      </c>
    </row>
    <row r="12148" spans="1:8" ht="25.05" customHeight="1" x14ac:dyDescent="0.25">
      <c r="A12148" s="2" t="s">
        <v>8</v>
      </c>
      <c r="B12148" s="2" t="str">
        <f>HYPERLINK("http://ts.21cn.com/tousu/show/id/1343501","周转花高利贷学生放贷")</f>
        <v>周转花高利贷学生放贷</v>
      </c>
      <c r="C12148" s="2" t="s">
        <v>9</v>
      </c>
      <c r="D12148" s="2" t="s">
        <v>10</v>
      </c>
      <c r="E12148" s="2" t="str">
        <f>HYPERLINK("http://ts.21cn.com/tousu/show/id/1343501","http://ts.21cn.com/tousu/show/id/1343501")</f>
        <v>http://ts.21cn.com/tousu/show/id/1343501</v>
      </c>
      <c r="F12148" s="2" t="s">
        <v>11</v>
      </c>
      <c r="G12148" s="2" t="s">
        <v>20265</v>
      </c>
      <c r="H12148" s="2" t="s">
        <v>20266</v>
      </c>
    </row>
    <row r="12149" spans="1:8" ht="25.05" customHeight="1" x14ac:dyDescent="0.25">
      <c r="A12149" s="2" t="s">
        <v>8</v>
      </c>
      <c r="B12149" s="2" t="str">
        <f>HYPERLINK("http://ts.21cn.com/tousu/show/id/1343502","昨天跟用钱宝客服约定10月9号还款客服也答应了，没想到刚刚催收又打电话过来叫我12点之前还款不然就打我的通讯录")</f>
        <v>昨天跟用钱宝客服约定10月9号还款客服也答应了，没想到刚刚催收又打电话过来叫我12点之前还款不然就打我的通讯录</v>
      </c>
      <c r="C12149" s="2" t="s">
        <v>9</v>
      </c>
      <c r="D12149" s="2" t="s">
        <v>10</v>
      </c>
      <c r="E12149" s="2" t="str">
        <f>HYPERLINK("http://ts.21cn.com/tousu/show/id/1343502","http://ts.21cn.com/tousu/show/id/1343502")</f>
        <v>http://ts.21cn.com/tousu/show/id/1343502</v>
      </c>
      <c r="F12149" s="2" t="s">
        <v>11</v>
      </c>
      <c r="G12149" s="2" t="s">
        <v>20263</v>
      </c>
      <c r="H12149" s="2" t="s">
        <v>20264</v>
      </c>
    </row>
    <row r="12150" spans="1:8" ht="25.05" customHeight="1" x14ac:dyDescent="0.25">
      <c r="A12150" s="2" t="s">
        <v>8</v>
      </c>
      <c r="B12150" s="2" t="str">
        <f>HYPERLINK("http://ts.21cn.com/tousu/show/id/1343505","时光分期高利贷")</f>
        <v>时光分期高利贷</v>
      </c>
      <c r="C12150" s="2" t="s">
        <v>9</v>
      </c>
      <c r="D12150" s="2" t="s">
        <v>10</v>
      </c>
      <c r="E12150" s="2" t="str">
        <f>HYPERLINK("http://ts.21cn.com/tousu/show/id/1343505","http://ts.21cn.com/tousu/show/id/1343505")</f>
        <v>http://ts.21cn.com/tousu/show/id/1343505</v>
      </c>
      <c r="F12150" s="2" t="s">
        <v>11</v>
      </c>
      <c r="G12150" s="2" t="s">
        <v>20259</v>
      </c>
      <c r="H12150" s="2" t="s">
        <v>20260</v>
      </c>
    </row>
    <row r="12151" spans="1:8" ht="25.05" customHeight="1" x14ac:dyDescent="0.25">
      <c r="A12151" s="2" t="s">
        <v>8</v>
      </c>
      <c r="B12151" s="2" t="str">
        <f>HYPERLINK("http://ts.21cn.com/tousu/show/id/1343506","玖富万卡逼人")</f>
        <v>玖富万卡逼人</v>
      </c>
      <c r="C12151" s="2" t="s">
        <v>9</v>
      </c>
      <c r="D12151" s="2" t="s">
        <v>10</v>
      </c>
      <c r="E12151" s="2" t="str">
        <f>HYPERLINK("http://ts.21cn.com/tousu/show/id/1343506","http://ts.21cn.com/tousu/show/id/1343506")</f>
        <v>http://ts.21cn.com/tousu/show/id/1343506</v>
      </c>
      <c r="F12151" s="2" t="s">
        <v>11</v>
      </c>
      <c r="G12151" s="2" t="s">
        <v>20259</v>
      </c>
      <c r="H12151" s="2" t="s">
        <v>20261</v>
      </c>
    </row>
    <row r="12152" spans="1:8" ht="25.05" customHeight="1" x14ac:dyDescent="0.25">
      <c r="A12152" s="2" t="s">
        <v>8</v>
      </c>
      <c r="B12152" s="2" t="str">
        <f>HYPERLINK("http://ts.21cn.com/tousu/show/id/1343504","玖富万卡高额利息不合理，请求挂帐免息以及从已还款额里扣除相应的剩余还款额度")</f>
        <v>玖富万卡高额利息不合理，请求挂帐免息以及从已还款额里扣除相应的剩余还款额度</v>
      </c>
      <c r="C12152" s="2" t="s">
        <v>9</v>
      </c>
      <c r="D12152" s="2" t="s">
        <v>10</v>
      </c>
      <c r="E12152" s="2" t="str">
        <f>HYPERLINK("http://ts.21cn.com/tousu/show/id/1343504","http://ts.21cn.com/tousu/show/id/1343504")</f>
        <v>http://ts.21cn.com/tousu/show/id/1343504</v>
      </c>
      <c r="F12152" s="2" t="s">
        <v>11</v>
      </c>
      <c r="G12152" s="2" t="s">
        <v>20259</v>
      </c>
      <c r="H12152" s="2" t="s">
        <v>20262</v>
      </c>
    </row>
    <row r="12153" spans="1:8" ht="25.05" customHeight="1" x14ac:dyDescent="0.25">
      <c r="A12153" s="2" t="s">
        <v>8</v>
      </c>
      <c r="B12153" s="2" t="str">
        <f>HYPERLINK("http://ts.21cn.com/tousu/show/id/1343508","借花钱，成都安睿旺蜀网络科技有限公司恶意扣费")</f>
        <v>借花钱，成都安睿旺蜀网络科技有限公司恶意扣费</v>
      </c>
      <c r="C12153" s="2" t="s">
        <v>9</v>
      </c>
      <c r="D12153" s="2" t="s">
        <v>10</v>
      </c>
      <c r="E12153" s="2" t="str">
        <f>HYPERLINK("http://ts.21cn.com/tousu/show/id/1343508","http://ts.21cn.com/tousu/show/id/1343508")</f>
        <v>http://ts.21cn.com/tousu/show/id/1343508</v>
      </c>
      <c r="F12153" s="2" t="s">
        <v>11</v>
      </c>
      <c r="G12153" s="2" t="s">
        <v>20257</v>
      </c>
      <c r="H12153" s="2" t="s">
        <v>20258</v>
      </c>
    </row>
    <row r="12154" spans="1:8" ht="25.05" customHeight="1" x14ac:dyDescent="0.25">
      <c r="A12154" s="2" t="s">
        <v>8</v>
      </c>
      <c r="B12154" s="2" t="str">
        <f>HYPERLINK("http://ts.21cn.com/tousu/show/id/1343507","玖富万卡高利贷，阴阳合同")</f>
        <v>玖富万卡高利贷，阴阳合同</v>
      </c>
      <c r="C12154" s="2" t="s">
        <v>9</v>
      </c>
      <c r="D12154" s="2" t="s">
        <v>10</v>
      </c>
      <c r="E12154" s="2" t="str">
        <f>HYPERLINK("http://ts.21cn.com/tousu/show/id/1343507","http://ts.21cn.com/tousu/show/id/1343507")</f>
        <v>http://ts.21cn.com/tousu/show/id/1343507</v>
      </c>
      <c r="F12154" s="2" t="s">
        <v>11</v>
      </c>
      <c r="G12154" s="2" t="s">
        <v>20255</v>
      </c>
      <c r="H12154" s="2" t="s">
        <v>20256</v>
      </c>
    </row>
    <row r="12155" spans="1:8" ht="25.05" customHeight="1" x14ac:dyDescent="0.25">
      <c r="A12155" s="2" t="s">
        <v>8</v>
      </c>
      <c r="B12155" s="2" t="str">
        <f>HYPERLINK("http://ts.21cn.com/tousu/show/id/1343509","捷信公司催收骂人")</f>
        <v>捷信公司催收骂人</v>
      </c>
      <c r="C12155" s="2" t="s">
        <v>9</v>
      </c>
      <c r="D12155" s="2" t="s">
        <v>10</v>
      </c>
      <c r="E12155" s="2" t="str">
        <f>HYPERLINK("http://ts.21cn.com/tousu/show/id/1343509","http://ts.21cn.com/tousu/show/id/1343509")</f>
        <v>http://ts.21cn.com/tousu/show/id/1343509</v>
      </c>
      <c r="F12155" s="2" t="s">
        <v>11</v>
      </c>
      <c r="G12155" s="2" t="s">
        <v>20253</v>
      </c>
      <c r="H12155" s="2" t="s">
        <v>20254</v>
      </c>
    </row>
    <row r="12156" spans="1:8" ht="25.05" customHeight="1" x14ac:dyDescent="0.25">
      <c r="A12156" s="2" t="s">
        <v>8</v>
      </c>
      <c r="B12156" s="2" t="str">
        <f>HYPERLINK("http://ts.21cn.com/tousu/show/id/1343511","小伍钱包")</f>
        <v>小伍钱包</v>
      </c>
      <c r="C12156" s="2" t="s">
        <v>9</v>
      </c>
      <c r="D12156" s="2" t="s">
        <v>10</v>
      </c>
      <c r="E12156" s="2" t="str">
        <f>HYPERLINK("http://ts.21cn.com/tousu/show/id/1343511","http://ts.21cn.com/tousu/show/id/1343511")</f>
        <v>http://ts.21cn.com/tousu/show/id/1343511</v>
      </c>
      <c r="F12156" s="2" t="s">
        <v>11</v>
      </c>
      <c r="G12156" s="2" t="s">
        <v>20251</v>
      </c>
      <c r="H12156" s="2" t="s">
        <v>20252</v>
      </c>
    </row>
    <row r="12157" spans="1:8" ht="25.05" customHeight="1" x14ac:dyDescent="0.25">
      <c r="A12157" s="2" t="s">
        <v>8</v>
      </c>
      <c r="B12157" s="2" t="str">
        <f>HYPERLINK("http://ts.21cn.com/tousu/show/id/1343510","平安普惠贷款隐瞒隐藏并强制收取高额保险费管理费投诉事宜")</f>
        <v>平安普惠贷款隐瞒隐藏并强制收取高额保险费管理费投诉事宜</v>
      </c>
      <c r="C12157" s="2" t="s">
        <v>9</v>
      </c>
      <c r="D12157" s="2" t="s">
        <v>10</v>
      </c>
      <c r="E12157" s="2" t="str">
        <f>HYPERLINK("http://ts.21cn.com/tousu/show/id/1343510","http://ts.21cn.com/tousu/show/id/1343510")</f>
        <v>http://ts.21cn.com/tousu/show/id/1343510</v>
      </c>
      <c r="F12157" s="2" t="s">
        <v>11</v>
      </c>
      <c r="G12157" s="2" t="s">
        <v>20249</v>
      </c>
      <c r="H12157" s="2" t="s">
        <v>20250</v>
      </c>
    </row>
    <row r="12158" spans="1:8" ht="25.05" customHeight="1" x14ac:dyDescent="0.25">
      <c r="A12158" s="2" t="s">
        <v>8</v>
      </c>
      <c r="B12158" s="2" t="str">
        <f>HYPERLINK("http://ts.21cn.com/tousu/show/id/1343512","月光侠分期出现高额利息")</f>
        <v>月光侠分期出现高额利息</v>
      </c>
      <c r="C12158" s="2" t="s">
        <v>9</v>
      </c>
      <c r="D12158" s="2" t="s">
        <v>10</v>
      </c>
      <c r="E12158" s="2" t="str">
        <f>HYPERLINK("http://ts.21cn.com/tousu/show/id/1343512","http://ts.21cn.com/tousu/show/id/1343512")</f>
        <v>http://ts.21cn.com/tousu/show/id/1343512</v>
      </c>
      <c r="F12158" s="2" t="s">
        <v>11</v>
      </c>
      <c r="G12158" s="2" t="s">
        <v>20247</v>
      </c>
      <c r="H12158" s="2" t="s">
        <v>20248</v>
      </c>
    </row>
    <row r="12159" spans="1:8" ht="25.05" customHeight="1" x14ac:dyDescent="0.25">
      <c r="A12159" s="2" t="s">
        <v>8</v>
      </c>
      <c r="B12159" s="2" t="str">
        <f>HYPERLINK("http://ts.21cn.com/tousu/show/id/1343513","天猫海信旗舰店新买电视，安装人员安装发现屏幕碎裂")</f>
        <v>天猫海信旗舰店新买电视，安装人员安装发现屏幕碎裂</v>
      </c>
      <c r="C12159" s="2" t="s">
        <v>9</v>
      </c>
      <c r="D12159" s="2" t="s">
        <v>10</v>
      </c>
      <c r="E12159" s="2" t="str">
        <f>HYPERLINK("http://ts.21cn.com/tousu/show/id/1343513","http://ts.21cn.com/tousu/show/id/1343513")</f>
        <v>http://ts.21cn.com/tousu/show/id/1343513</v>
      </c>
      <c r="F12159" s="2" t="s">
        <v>11</v>
      </c>
      <c r="G12159" s="2" t="s">
        <v>20245</v>
      </c>
      <c r="H12159" s="2" t="s">
        <v>20246</v>
      </c>
    </row>
    <row r="12160" spans="1:8" ht="25.05" customHeight="1" x14ac:dyDescent="0.25">
      <c r="A12160" s="2" t="s">
        <v>8</v>
      </c>
      <c r="B12160" s="2" t="str">
        <f>HYPERLINK("http://ts.21cn.com/tousu/show/id/1343514","砍头息，借款2300，到账1600，还款逾期了要还2566，多还了一千")</f>
        <v>砍头息，借款2300，到账1600，还款逾期了要还2566，多还了一千</v>
      </c>
      <c r="C12160" s="2" t="s">
        <v>34</v>
      </c>
      <c r="D12160" s="2" t="s">
        <v>10</v>
      </c>
      <c r="E12160" s="2" t="str">
        <f>HYPERLINK("http://ts.21cn.com/tousu/show/id/1343514","http://ts.21cn.com/tousu/show/id/1343514")</f>
        <v>http://ts.21cn.com/tousu/show/id/1343514</v>
      </c>
      <c r="F12160" s="2" t="s">
        <v>11</v>
      </c>
      <c r="G12160" s="2" t="s">
        <v>20243</v>
      </c>
      <c r="H12160" s="2" t="s">
        <v>20244</v>
      </c>
    </row>
    <row r="12161" spans="1:8" ht="25.05" customHeight="1" x14ac:dyDescent="0.25">
      <c r="A12161" s="2" t="s">
        <v>8</v>
      </c>
      <c r="B12161" s="2" t="str">
        <f>HYPERLINK("http://ts.21cn.com/tousu/show/id/1343515","支付宝借呗暴力催收恐吓")</f>
        <v>支付宝借呗暴力催收恐吓</v>
      </c>
      <c r="C12161" s="2" t="s">
        <v>9</v>
      </c>
      <c r="D12161" s="2" t="s">
        <v>10</v>
      </c>
      <c r="E12161" s="2" t="str">
        <f>HYPERLINK("http://ts.21cn.com/tousu/show/id/1343515","http://ts.21cn.com/tousu/show/id/1343515")</f>
        <v>http://ts.21cn.com/tousu/show/id/1343515</v>
      </c>
      <c r="F12161" s="2" t="s">
        <v>11</v>
      </c>
      <c r="G12161" s="2" t="s">
        <v>20241</v>
      </c>
      <c r="H12161" s="2" t="s">
        <v>20242</v>
      </c>
    </row>
    <row r="12162" spans="1:8" ht="25.05" customHeight="1" x14ac:dyDescent="0.25">
      <c r="A12162" s="2" t="s">
        <v>8</v>
      </c>
      <c r="B12162" s="2" t="str">
        <f>HYPERLINK("http://ts.21cn.com/tousu/show/id/1343516","高利贷恶性催收")</f>
        <v>高利贷恶性催收</v>
      </c>
      <c r="C12162" s="2" t="s">
        <v>9</v>
      </c>
      <c r="D12162" s="2" t="s">
        <v>10</v>
      </c>
      <c r="E12162" s="2" t="str">
        <f>HYPERLINK("http://ts.21cn.com/tousu/show/id/1343516","http://ts.21cn.com/tousu/show/id/1343516")</f>
        <v>http://ts.21cn.com/tousu/show/id/1343516</v>
      </c>
      <c r="F12162" s="2" t="s">
        <v>11</v>
      </c>
      <c r="G12162" s="2" t="s">
        <v>20239</v>
      </c>
      <c r="H12162" s="2" t="s">
        <v>20240</v>
      </c>
    </row>
    <row r="12163" spans="1:8" ht="25.05" customHeight="1" x14ac:dyDescent="0.25">
      <c r="A12163" s="2" t="s">
        <v>8</v>
      </c>
      <c r="B12163" s="2" t="str">
        <f>HYPERLINK("http://ts.21cn.com/tousu/show/id/1343517","云南国际信托恶意扣费")</f>
        <v>云南国际信托恶意扣费</v>
      </c>
      <c r="C12163" s="2" t="s">
        <v>9</v>
      </c>
      <c r="D12163" s="2" t="s">
        <v>10</v>
      </c>
      <c r="E12163" s="2" t="str">
        <f>HYPERLINK("http://ts.21cn.com/tousu/show/id/1343517","http://ts.21cn.com/tousu/show/id/1343517")</f>
        <v>http://ts.21cn.com/tousu/show/id/1343517</v>
      </c>
      <c r="F12163" s="2" t="s">
        <v>11</v>
      </c>
      <c r="G12163" s="2" t="s">
        <v>20237</v>
      </c>
      <c r="H12163" s="2" t="s">
        <v>20238</v>
      </c>
    </row>
    <row r="12164" spans="1:8" ht="25.05" customHeight="1" x14ac:dyDescent="0.25">
      <c r="A12164" s="2" t="s">
        <v>8</v>
      </c>
      <c r="B12164" s="2" t="str">
        <f>HYPERLINK("http://ts.21cn.com/tousu/show/id/1343520","众安保险伙同贷款机构强制捆绑销售")</f>
        <v>众安保险伙同贷款机构强制捆绑销售</v>
      </c>
      <c r="C12164" s="2" t="s">
        <v>9</v>
      </c>
      <c r="D12164" s="2" t="s">
        <v>10</v>
      </c>
      <c r="E12164" s="2" t="str">
        <f>HYPERLINK("http://ts.21cn.com/tousu/show/id/1343520","http://ts.21cn.com/tousu/show/id/1343520")</f>
        <v>http://ts.21cn.com/tousu/show/id/1343520</v>
      </c>
      <c r="F12164" s="2" t="s">
        <v>11</v>
      </c>
      <c r="G12164" s="2" t="s">
        <v>20235</v>
      </c>
      <c r="H12164" s="2" t="s">
        <v>20236</v>
      </c>
    </row>
    <row r="12165" spans="1:8" ht="25.05" customHeight="1" x14ac:dyDescent="0.25">
      <c r="A12165" s="2" t="s">
        <v>8</v>
      </c>
      <c r="B12165" s="2" t="str">
        <f>HYPERLINK("http://ts.21cn.com/tousu/show/id/1343518","闪电借款协商延期还款，逾期费")</f>
        <v>闪电借款协商延期还款，逾期费</v>
      </c>
      <c r="C12165" s="2" t="s">
        <v>34</v>
      </c>
      <c r="D12165" s="2" t="s">
        <v>10</v>
      </c>
      <c r="E12165" s="2" t="str">
        <f>HYPERLINK("http://ts.21cn.com/tousu/show/id/1343518","http://ts.21cn.com/tousu/show/id/1343518")</f>
        <v>http://ts.21cn.com/tousu/show/id/1343518</v>
      </c>
      <c r="F12165" s="2" t="s">
        <v>11</v>
      </c>
      <c r="G12165" s="2" t="s">
        <v>20233</v>
      </c>
      <c r="H12165" s="2" t="s">
        <v>20234</v>
      </c>
    </row>
    <row r="12166" spans="1:8" ht="25.05" customHeight="1" x14ac:dyDescent="0.25">
      <c r="A12166" s="2" t="s">
        <v>8</v>
      </c>
      <c r="B12166" s="2" t="str">
        <f>HYPERLINK("http://ts.21cn.com/tousu/show/id/1343529","高额砍头，高额利息")</f>
        <v>高额砍头，高额利息</v>
      </c>
      <c r="C12166" s="2" t="s">
        <v>9</v>
      </c>
      <c r="D12166" s="2" t="s">
        <v>10</v>
      </c>
      <c r="E12166" s="2" t="str">
        <f>HYPERLINK("http://ts.21cn.com/tousu/show/id/1343529","http://ts.21cn.com/tousu/show/id/1343529")</f>
        <v>http://ts.21cn.com/tousu/show/id/1343529</v>
      </c>
      <c r="F12166" s="2" t="s">
        <v>11</v>
      </c>
      <c r="G12166" s="2" t="s">
        <v>20231</v>
      </c>
      <c r="H12166" s="2" t="s">
        <v>20232</v>
      </c>
    </row>
    <row r="12167" spans="1:8" ht="25.05" customHeight="1" x14ac:dyDescent="0.25">
      <c r="A12167" s="2" t="s">
        <v>8</v>
      </c>
      <c r="B12167" s="2" t="str">
        <f>HYPERLINK("http://ts.21cn.com/tousu/show/id/1343519","武汉善学进智教育咨询有限公司不退款")</f>
        <v>武汉善学进智教育咨询有限公司不退款</v>
      </c>
      <c r="C12167" s="2" t="s">
        <v>9</v>
      </c>
      <c r="D12167" s="2" t="s">
        <v>10</v>
      </c>
      <c r="E12167" s="2" t="str">
        <f>HYPERLINK("http://ts.21cn.com/tousu/show/id/1343519","http://ts.21cn.com/tousu/show/id/1343519")</f>
        <v>http://ts.21cn.com/tousu/show/id/1343519</v>
      </c>
      <c r="F12167" s="2" t="s">
        <v>11</v>
      </c>
      <c r="G12167" s="2" t="s">
        <v>20229</v>
      </c>
      <c r="H12167" s="2" t="s">
        <v>20230</v>
      </c>
    </row>
    <row r="12168" spans="1:8" ht="25.05" customHeight="1" x14ac:dyDescent="0.25">
      <c r="A12168" s="2" t="s">
        <v>8</v>
      </c>
      <c r="B12168" s="2" t="str">
        <f>HYPERLINK("http://ts.21cn.com/tousu/show/id/1343521","归还砍头息")</f>
        <v>归还砍头息</v>
      </c>
      <c r="C12168" s="2" t="s">
        <v>34</v>
      </c>
      <c r="D12168" s="2" t="s">
        <v>10</v>
      </c>
      <c r="E12168" s="2" t="str">
        <f>HYPERLINK("http://ts.21cn.com/tousu/show/id/1343521","http://ts.21cn.com/tousu/show/id/1343521")</f>
        <v>http://ts.21cn.com/tousu/show/id/1343521</v>
      </c>
      <c r="F12168" s="2" t="s">
        <v>11</v>
      </c>
      <c r="G12168" s="2" t="s">
        <v>20227</v>
      </c>
      <c r="H12168" s="2" t="s">
        <v>20228</v>
      </c>
    </row>
    <row r="12169" spans="1:8" ht="25.05" customHeight="1" x14ac:dyDescent="0.25">
      <c r="A12169" s="2" t="s">
        <v>8</v>
      </c>
      <c r="B12169" s="2" t="str">
        <f>HYPERLINK("http://ts.21cn.com/tousu/show/id/1343522","停止骚扰，协商还款")</f>
        <v>停止骚扰，协商还款</v>
      </c>
      <c r="C12169" s="2" t="s">
        <v>9</v>
      </c>
      <c r="D12169" s="2" t="s">
        <v>10</v>
      </c>
      <c r="E12169" s="2" t="str">
        <f>HYPERLINK("http://ts.21cn.com/tousu/show/id/1343522","http://ts.21cn.com/tousu/show/id/1343522")</f>
        <v>http://ts.21cn.com/tousu/show/id/1343522</v>
      </c>
      <c r="F12169" s="2" t="s">
        <v>11</v>
      </c>
      <c r="G12169" s="2" t="s">
        <v>20225</v>
      </c>
      <c r="H12169" s="2" t="s">
        <v>20226</v>
      </c>
    </row>
    <row r="12170" spans="1:8" ht="25.05" customHeight="1" x14ac:dyDescent="0.25">
      <c r="A12170" s="2" t="s">
        <v>8</v>
      </c>
      <c r="B12170" s="2" t="str">
        <f>HYPERLINK("http://ts.21cn.com/tousu/show/id/1343523","乱骂我亲属不停的骚扰还发送多个冒充工检法短信给我以及家人")</f>
        <v>乱骂我亲属不停的骚扰还发送多个冒充工检法短信给我以及家人</v>
      </c>
      <c r="C12170" s="2" t="s">
        <v>9</v>
      </c>
      <c r="D12170" s="2" t="s">
        <v>10</v>
      </c>
      <c r="E12170" s="2" t="str">
        <f>HYPERLINK("http://ts.21cn.com/tousu/show/id/1343523","http://ts.21cn.com/tousu/show/id/1343523")</f>
        <v>http://ts.21cn.com/tousu/show/id/1343523</v>
      </c>
      <c r="F12170" s="2" t="s">
        <v>11</v>
      </c>
      <c r="G12170" s="2" t="s">
        <v>20223</v>
      </c>
      <c r="H12170" s="2" t="s">
        <v>20224</v>
      </c>
    </row>
    <row r="12171" spans="1:8" ht="25.05" customHeight="1" x14ac:dyDescent="0.25">
      <c r="A12171" s="2" t="s">
        <v>8</v>
      </c>
      <c r="B12171" s="2" t="str">
        <f>HYPERLINK("http://ts.21cn.com/tousu/show/id/1343524","浦发信用卡扣除利息")</f>
        <v>浦发信用卡扣除利息</v>
      </c>
      <c r="C12171" s="2" t="s">
        <v>34</v>
      </c>
      <c r="D12171" s="2" t="s">
        <v>10</v>
      </c>
      <c r="E12171" s="2" t="str">
        <f>HYPERLINK("http://ts.21cn.com/tousu/show/id/1343524","http://ts.21cn.com/tousu/show/id/1343524")</f>
        <v>http://ts.21cn.com/tousu/show/id/1343524</v>
      </c>
      <c r="F12171" s="2" t="s">
        <v>11</v>
      </c>
      <c r="G12171" s="2" t="s">
        <v>20221</v>
      </c>
      <c r="H12171" s="2" t="s">
        <v>20222</v>
      </c>
    </row>
    <row r="12172" spans="1:8" ht="25.05" customHeight="1" x14ac:dyDescent="0.25">
      <c r="A12172" s="2" t="s">
        <v>8</v>
      </c>
      <c r="B12172" s="2" t="str">
        <f>HYPERLINK("http://ts.21cn.com/tousu/show/id/1343526","今日头条鲁班平台2万元保证金不退")</f>
        <v>今日头条鲁班平台2万元保证金不退</v>
      </c>
      <c r="C12172" s="2" t="s">
        <v>9</v>
      </c>
      <c r="D12172" s="2" t="s">
        <v>10</v>
      </c>
      <c r="E12172" s="2" t="str">
        <f>HYPERLINK("http://ts.21cn.com/tousu/show/id/1343526","http://ts.21cn.com/tousu/show/id/1343526")</f>
        <v>http://ts.21cn.com/tousu/show/id/1343526</v>
      </c>
      <c r="F12172" s="2" t="s">
        <v>11</v>
      </c>
      <c r="G12172" s="2" t="s">
        <v>20219</v>
      </c>
      <c r="H12172" s="2" t="s">
        <v>20220</v>
      </c>
    </row>
    <row r="12173" spans="1:8" ht="25.05" customHeight="1" x14ac:dyDescent="0.25">
      <c r="A12173" s="2" t="s">
        <v>8</v>
      </c>
      <c r="B12173" s="2" t="str">
        <f>HYPERLINK("http://ts.21cn.com/tousu/show/id/1343525","你我贷暴力催收")</f>
        <v>你我贷暴力催收</v>
      </c>
      <c r="C12173" s="2" t="s">
        <v>9</v>
      </c>
      <c r="D12173" s="2" t="s">
        <v>10</v>
      </c>
      <c r="E12173" s="2" t="str">
        <f>HYPERLINK("http://ts.21cn.com/tousu/show/id/1343525","http://ts.21cn.com/tousu/show/id/1343525")</f>
        <v>http://ts.21cn.com/tousu/show/id/1343525</v>
      </c>
      <c r="F12173" s="2" t="s">
        <v>11</v>
      </c>
      <c r="G12173" s="2" t="s">
        <v>20217</v>
      </c>
      <c r="H12173" s="2" t="s">
        <v>20218</v>
      </c>
    </row>
    <row r="12174" spans="1:8" ht="25.05" customHeight="1" x14ac:dyDescent="0.25">
      <c r="A12174" s="2" t="s">
        <v>8</v>
      </c>
      <c r="B12174" s="2" t="str">
        <f>HYPERLINK("http://ts.21cn.com/tousu/show/id/1343527","玖富万卡还款成功仍然催收")</f>
        <v>玖富万卡还款成功仍然催收</v>
      </c>
      <c r="C12174" s="2" t="s">
        <v>9</v>
      </c>
      <c r="D12174" s="2" t="s">
        <v>10</v>
      </c>
      <c r="E12174" s="2" t="str">
        <f>HYPERLINK("http://ts.21cn.com/tousu/show/id/1343527","http://ts.21cn.com/tousu/show/id/1343527")</f>
        <v>http://ts.21cn.com/tousu/show/id/1343527</v>
      </c>
      <c r="F12174" s="2" t="s">
        <v>11</v>
      </c>
      <c r="G12174" s="2" t="s">
        <v>20215</v>
      </c>
      <c r="H12174" s="2" t="s">
        <v>20216</v>
      </c>
    </row>
    <row r="12175" spans="1:8" ht="25.05" customHeight="1" x14ac:dyDescent="0.25">
      <c r="A12175" s="2" t="s">
        <v>8</v>
      </c>
      <c r="B12175" s="2" t="str">
        <f>HYPERLINK("http://ts.21cn.com/tousu/show/id/1343528","你我贷想提前结清但是要收我2000多手续费")</f>
        <v>你我贷想提前结清但是要收我2000多手续费</v>
      </c>
      <c r="C12175" s="2" t="s">
        <v>9</v>
      </c>
      <c r="D12175" s="2" t="s">
        <v>10</v>
      </c>
      <c r="E12175" s="2" t="str">
        <f>HYPERLINK("http://ts.21cn.com/tousu/show/id/1343528","http://ts.21cn.com/tousu/show/id/1343528")</f>
        <v>http://ts.21cn.com/tousu/show/id/1343528</v>
      </c>
      <c r="F12175" s="2" t="s">
        <v>11</v>
      </c>
      <c r="G12175" s="2" t="s">
        <v>20213</v>
      </c>
      <c r="H12175" s="2" t="s">
        <v>20214</v>
      </c>
    </row>
    <row r="12176" spans="1:8" ht="25.05" customHeight="1" x14ac:dyDescent="0.25">
      <c r="A12176" s="2" t="s">
        <v>8</v>
      </c>
      <c r="B12176" s="2" t="str">
        <f>HYPERLINK("http://ts.21cn.com/tousu/show/id/1343530","借款前后利息不一样，高额保费")</f>
        <v>借款前后利息不一样，高额保费</v>
      </c>
      <c r="C12176" s="2" t="s">
        <v>34</v>
      </c>
      <c r="D12176" s="2" t="s">
        <v>10</v>
      </c>
      <c r="E12176" s="2" t="str">
        <f>HYPERLINK("http://ts.21cn.com/tousu/show/id/1343530","http://ts.21cn.com/tousu/show/id/1343530")</f>
        <v>http://ts.21cn.com/tousu/show/id/1343530</v>
      </c>
      <c r="F12176" s="2" t="s">
        <v>11</v>
      </c>
      <c r="G12176" s="2" t="s">
        <v>20211</v>
      </c>
      <c r="H12176" s="2" t="s">
        <v>20212</v>
      </c>
    </row>
    <row r="12177" spans="1:8" ht="25.05" customHeight="1" x14ac:dyDescent="0.25">
      <c r="A12177" s="2" t="s">
        <v>8</v>
      </c>
      <c r="B12177" s="2" t="str">
        <f>HYPERLINK("http://ts.21cn.com/tousu/show/id/1343531","卖家找回账号仲裁拖了几天没结果")</f>
        <v>卖家找回账号仲裁拖了几天没结果</v>
      </c>
      <c r="C12177" s="2" t="s">
        <v>34</v>
      </c>
      <c r="D12177" s="2" t="s">
        <v>10</v>
      </c>
      <c r="E12177" s="2" t="str">
        <f>HYPERLINK("http://ts.21cn.com/tousu/show/id/1343531","http://ts.21cn.com/tousu/show/id/1343531")</f>
        <v>http://ts.21cn.com/tousu/show/id/1343531</v>
      </c>
      <c r="F12177" s="2" t="s">
        <v>11</v>
      </c>
      <c r="G12177" s="2" t="s">
        <v>20209</v>
      </c>
      <c r="H12177" s="2" t="s">
        <v>20210</v>
      </c>
    </row>
    <row r="12178" spans="1:8" ht="25.05" customHeight="1" x14ac:dyDescent="0.25">
      <c r="A12178" s="2" t="s">
        <v>8</v>
      </c>
      <c r="B12178" s="2" t="str">
        <f>HYPERLINK("http://ts.21cn.com/tousu/show/id/1343532","拍拍贷恶意拒绝还款导致逾期")</f>
        <v>拍拍贷恶意拒绝还款导致逾期</v>
      </c>
      <c r="C12178" s="2" t="s">
        <v>9</v>
      </c>
      <c r="D12178" s="2" t="s">
        <v>10</v>
      </c>
      <c r="E12178" s="2" t="str">
        <f>HYPERLINK("http://ts.21cn.com/tousu/show/id/1343532","http://ts.21cn.com/tousu/show/id/1343532")</f>
        <v>http://ts.21cn.com/tousu/show/id/1343532</v>
      </c>
      <c r="F12178" s="2" t="s">
        <v>11</v>
      </c>
      <c r="G12178" s="2" t="s">
        <v>20207</v>
      </c>
      <c r="H12178" s="2" t="s">
        <v>20208</v>
      </c>
    </row>
    <row r="12179" spans="1:8" ht="25.05" customHeight="1" x14ac:dyDescent="0.25">
      <c r="A12179" s="2" t="s">
        <v>8</v>
      </c>
      <c r="B12179" s="2" t="str">
        <f>HYPERLINK("http://ts.21cn.com/tousu/show/id/1343533","京东自营商城不予退货")</f>
        <v>京东自营商城不予退货</v>
      </c>
      <c r="C12179" s="2" t="s">
        <v>34</v>
      </c>
      <c r="D12179" s="2" t="s">
        <v>10</v>
      </c>
      <c r="E12179" s="2" t="str">
        <f>HYPERLINK("http://ts.21cn.com/tousu/show/id/1343533","http://ts.21cn.com/tousu/show/id/1343533")</f>
        <v>http://ts.21cn.com/tousu/show/id/1343533</v>
      </c>
      <c r="F12179" s="2" t="s">
        <v>11</v>
      </c>
      <c r="G12179" s="2" t="s">
        <v>20205</v>
      </c>
      <c r="H12179" s="2" t="s">
        <v>20206</v>
      </c>
    </row>
    <row r="12180" spans="1:8" ht="25.05" customHeight="1" x14ac:dyDescent="0.25">
      <c r="A12180" s="2" t="s">
        <v>8</v>
      </c>
      <c r="B12180" s="2" t="str">
        <f>HYPERLINK("http://ts.21cn.com/tousu/show/id/1343535","你我贷高利贷、暴力催收")</f>
        <v>你我贷高利贷、暴力催收</v>
      </c>
      <c r="C12180" s="2" t="s">
        <v>9</v>
      </c>
      <c r="D12180" s="2" t="s">
        <v>10</v>
      </c>
      <c r="E12180" s="2" t="str">
        <f>HYPERLINK("http://ts.21cn.com/tousu/show/id/1343535","http://ts.21cn.com/tousu/show/id/1343535")</f>
        <v>http://ts.21cn.com/tousu/show/id/1343535</v>
      </c>
      <c r="F12180" s="2" t="s">
        <v>11</v>
      </c>
      <c r="G12180" s="2" t="s">
        <v>20203</v>
      </c>
      <c r="H12180" s="2" t="s">
        <v>20204</v>
      </c>
    </row>
    <row r="12181" spans="1:8" ht="25.05" customHeight="1" x14ac:dyDescent="0.25">
      <c r="A12181" s="2" t="s">
        <v>8</v>
      </c>
      <c r="B12181" s="2" t="str">
        <f>HYPERLINK("http://ts.21cn.com/tousu/show/id/1343536","借贷宝纵容放高利贷")</f>
        <v>借贷宝纵容放高利贷</v>
      </c>
      <c r="C12181" s="2" t="s">
        <v>9</v>
      </c>
      <c r="D12181" s="2" t="s">
        <v>10</v>
      </c>
      <c r="E12181" s="2" t="str">
        <f>HYPERLINK("http://ts.21cn.com/tousu/show/id/1343536","http://ts.21cn.com/tousu/show/id/1343536")</f>
        <v>http://ts.21cn.com/tousu/show/id/1343536</v>
      </c>
      <c r="F12181" s="2" t="s">
        <v>11</v>
      </c>
      <c r="G12181" s="2" t="s">
        <v>20201</v>
      </c>
      <c r="H12181" s="2" t="s">
        <v>20202</v>
      </c>
    </row>
    <row r="12182" spans="1:8" ht="25.05" customHeight="1" x14ac:dyDescent="0.25">
      <c r="A12182" s="2" t="s">
        <v>8</v>
      </c>
      <c r="B12182" s="2" t="str">
        <f>HYPERLINK("http://ts.21cn.com/tousu/show/id/1343537","马上花第三方催收")</f>
        <v>马上花第三方催收</v>
      </c>
      <c r="C12182" s="2" t="s">
        <v>9</v>
      </c>
      <c r="D12182" s="2" t="s">
        <v>10</v>
      </c>
      <c r="E12182" s="2" t="str">
        <f>HYPERLINK("http://ts.21cn.com/tousu/show/id/1343537","http://ts.21cn.com/tousu/show/id/1343537")</f>
        <v>http://ts.21cn.com/tousu/show/id/1343537</v>
      </c>
      <c r="F12182" s="2" t="s">
        <v>11</v>
      </c>
      <c r="G12182" s="2" t="s">
        <v>20199</v>
      </c>
      <c r="H12182" s="2" t="s">
        <v>20200</v>
      </c>
    </row>
    <row r="12183" spans="1:8" ht="25.05" customHeight="1" x14ac:dyDescent="0.25">
      <c r="A12183" s="2" t="s">
        <v>8</v>
      </c>
      <c r="B12183" s="2" t="str">
        <f>HYPERLINK("http://ts.21cn.com/tousu/show/id/1343538","闪银哼哼不可以开延期")</f>
        <v>闪银哼哼不可以开延期</v>
      </c>
      <c r="C12183" s="2" t="s">
        <v>9</v>
      </c>
      <c r="D12183" s="2" t="s">
        <v>10</v>
      </c>
      <c r="E12183" s="2" t="str">
        <f>HYPERLINK("http://ts.21cn.com/tousu/show/id/1343538","http://ts.21cn.com/tousu/show/id/1343538")</f>
        <v>http://ts.21cn.com/tousu/show/id/1343538</v>
      </c>
      <c r="F12183" s="2" t="s">
        <v>11</v>
      </c>
      <c r="G12183" s="2" t="s">
        <v>20197</v>
      </c>
      <c r="H12183" s="2" t="s">
        <v>20198</v>
      </c>
    </row>
    <row r="12184" spans="1:8" ht="25.05" customHeight="1" x14ac:dyDescent="0.25">
      <c r="A12184" s="2" t="s">
        <v>8</v>
      </c>
      <c r="B12184" s="2" t="str">
        <f>HYPERLINK("http://ts.21cn.com/tousu/show/id/1343539","不给退款，虚假发货")</f>
        <v>不给退款，虚假发货</v>
      </c>
      <c r="C12184" s="2" t="s">
        <v>9</v>
      </c>
      <c r="D12184" s="2" t="s">
        <v>10</v>
      </c>
      <c r="E12184" s="2" t="str">
        <f>HYPERLINK("http://ts.21cn.com/tousu/show/id/1343539","http://ts.21cn.com/tousu/show/id/1343539")</f>
        <v>http://ts.21cn.com/tousu/show/id/1343539</v>
      </c>
      <c r="F12184" s="2" t="s">
        <v>11</v>
      </c>
      <c r="G12184" s="2" t="s">
        <v>20195</v>
      </c>
      <c r="H12184" s="2" t="s">
        <v>20196</v>
      </c>
    </row>
    <row r="12185" spans="1:8" ht="25.05" customHeight="1" x14ac:dyDescent="0.25">
      <c r="A12185" s="2" t="s">
        <v>8</v>
      </c>
      <c r="B12185" s="2" t="str">
        <f>HYPERLINK("http://ts.21cn.com/tousu/show/id/1343541","有自称随心花的工作人员要求我支付宝转账到公司财务")</f>
        <v>有自称随心花的工作人员要求我支付宝转账到公司财务</v>
      </c>
      <c r="C12185" s="2" t="s">
        <v>9</v>
      </c>
      <c r="D12185" s="2" t="s">
        <v>10</v>
      </c>
      <c r="E12185" s="2" t="str">
        <f>HYPERLINK("http://ts.21cn.com/tousu/show/id/1343541","http://ts.21cn.com/tousu/show/id/1343541")</f>
        <v>http://ts.21cn.com/tousu/show/id/1343541</v>
      </c>
      <c r="F12185" s="2" t="s">
        <v>11</v>
      </c>
      <c r="G12185" s="2" t="s">
        <v>20193</v>
      </c>
      <c r="H12185" s="2" t="s">
        <v>20194</v>
      </c>
    </row>
    <row r="12186" spans="1:8" ht="25.05" customHeight="1" x14ac:dyDescent="0.25">
      <c r="A12186" s="2" t="s">
        <v>8</v>
      </c>
      <c r="B12186" s="2" t="str">
        <f>HYPERLINK("http://ts.21cn.com/tousu/show/id/1343540","充值的电子面单被收回")</f>
        <v>充值的电子面单被收回</v>
      </c>
      <c r="C12186" s="2" t="s">
        <v>9</v>
      </c>
      <c r="D12186" s="2" t="s">
        <v>10</v>
      </c>
      <c r="E12186" s="2" t="str">
        <f>HYPERLINK("http://ts.21cn.com/tousu/show/id/1343540","http://ts.21cn.com/tousu/show/id/1343540")</f>
        <v>http://ts.21cn.com/tousu/show/id/1343540</v>
      </c>
      <c r="F12186" s="2" t="s">
        <v>11</v>
      </c>
      <c r="G12186" s="2" t="s">
        <v>20191</v>
      </c>
      <c r="H12186" s="2" t="s">
        <v>20192</v>
      </c>
    </row>
    <row r="12187" spans="1:8" ht="25.05" customHeight="1" x14ac:dyDescent="0.25">
      <c r="A12187" s="2" t="s">
        <v>8</v>
      </c>
      <c r="B12187" s="2" t="str">
        <f>HYPERLINK("http://ts.21cn.com/tousu/show/id/1343543","弹个车买车变租车，退车要收一万多违约金")</f>
        <v>弹个车买车变租车，退车要收一万多违约金</v>
      </c>
      <c r="C12187" s="2" t="s">
        <v>9</v>
      </c>
      <c r="D12187" s="2" t="s">
        <v>10</v>
      </c>
      <c r="E12187" s="2" t="str">
        <f>HYPERLINK("http://ts.21cn.com/tousu/show/id/1343543","http://ts.21cn.com/tousu/show/id/1343543")</f>
        <v>http://ts.21cn.com/tousu/show/id/1343543</v>
      </c>
      <c r="F12187" s="2" t="s">
        <v>11</v>
      </c>
      <c r="G12187" s="2" t="s">
        <v>20189</v>
      </c>
      <c r="H12187" s="2" t="s">
        <v>20190</v>
      </c>
    </row>
    <row r="12188" spans="1:8" ht="25.05" customHeight="1" x14ac:dyDescent="0.25">
      <c r="A12188" s="2" t="s">
        <v>8</v>
      </c>
      <c r="B12188" s="2" t="str">
        <f>HYPERLINK("http://ts.21cn.com/tousu/show/id/1343546","暴力催收，语言攻击")</f>
        <v>暴力催收，语言攻击</v>
      </c>
      <c r="C12188" s="2" t="s">
        <v>9</v>
      </c>
      <c r="D12188" s="2" t="s">
        <v>10</v>
      </c>
      <c r="E12188" s="2" t="str">
        <f>HYPERLINK("http://ts.21cn.com/tousu/show/id/1343546","http://ts.21cn.com/tousu/show/id/1343546")</f>
        <v>http://ts.21cn.com/tousu/show/id/1343546</v>
      </c>
      <c r="F12188" s="2" t="s">
        <v>11</v>
      </c>
      <c r="G12188" s="2" t="s">
        <v>20187</v>
      </c>
      <c r="H12188" s="2" t="s">
        <v>20188</v>
      </c>
    </row>
    <row r="12189" spans="1:8" ht="25.05" customHeight="1" x14ac:dyDescent="0.25">
      <c r="A12189" s="2" t="s">
        <v>8</v>
      </c>
      <c r="B12189" s="2" t="str">
        <f>HYPERLINK("http://ts.21cn.com/tousu/show/id/1343547","招商银行信用卡恶意催收")</f>
        <v>招商银行信用卡恶意催收</v>
      </c>
      <c r="C12189" s="2" t="s">
        <v>9</v>
      </c>
      <c r="D12189" s="2" t="s">
        <v>10</v>
      </c>
      <c r="E12189" s="2" t="str">
        <f>HYPERLINK("http://ts.21cn.com/tousu/show/id/1343547","http://ts.21cn.com/tousu/show/id/1343547")</f>
        <v>http://ts.21cn.com/tousu/show/id/1343547</v>
      </c>
      <c r="F12189" s="2" t="s">
        <v>11</v>
      </c>
      <c r="G12189" s="2" t="s">
        <v>20185</v>
      </c>
      <c r="H12189" s="2" t="s">
        <v>20186</v>
      </c>
    </row>
    <row r="12190" spans="1:8" ht="25.05" customHeight="1" x14ac:dyDescent="0.25">
      <c r="A12190" s="2" t="s">
        <v>8</v>
      </c>
      <c r="B12190" s="2" t="str">
        <f>HYPERLINK("http://ts.21cn.com/tousu/show/id/1343549","现金巴士不可协商还款")</f>
        <v>现金巴士不可协商还款</v>
      </c>
      <c r="C12190" s="2" t="s">
        <v>9</v>
      </c>
      <c r="D12190" s="2" t="s">
        <v>10</v>
      </c>
      <c r="E12190" s="2" t="str">
        <f>HYPERLINK("http://ts.21cn.com/tousu/show/id/1343549","http://ts.21cn.com/tousu/show/id/1343549")</f>
        <v>http://ts.21cn.com/tousu/show/id/1343549</v>
      </c>
      <c r="F12190" s="2" t="s">
        <v>11</v>
      </c>
      <c r="G12190" s="2" t="s">
        <v>20183</v>
      </c>
      <c r="H12190" s="2" t="s">
        <v>20184</v>
      </c>
    </row>
    <row r="12191" spans="1:8" ht="25.05" customHeight="1" x14ac:dyDescent="0.25">
      <c r="A12191" s="2" t="s">
        <v>8</v>
      </c>
      <c r="B12191" s="2" t="str">
        <f>HYPERLINK("http://ts.21cn.com/tousu/show/id/1343548","广东信汇")</f>
        <v>广东信汇</v>
      </c>
      <c r="C12191" s="2" t="s">
        <v>34</v>
      </c>
      <c r="D12191" s="2" t="s">
        <v>10</v>
      </c>
      <c r="E12191" s="2" t="str">
        <f>HYPERLINK("http://ts.21cn.com/tousu/show/id/1343548","http://ts.21cn.com/tousu/show/id/1343548")</f>
        <v>http://ts.21cn.com/tousu/show/id/1343548</v>
      </c>
      <c r="F12191" s="2" t="s">
        <v>11</v>
      </c>
      <c r="G12191" s="2" t="s">
        <v>20181</v>
      </c>
      <c r="H12191" s="2" t="s">
        <v>20182</v>
      </c>
    </row>
    <row r="12192" spans="1:8" ht="25.05" customHeight="1" x14ac:dyDescent="0.25">
      <c r="A12192" s="2" t="s">
        <v>8</v>
      </c>
      <c r="B12192" s="2" t="str">
        <f>HYPERLINK("http://ts.21cn.com/tousu/show/id/1343552","蟹老弟账单已经还款还发来还款链接")</f>
        <v>蟹老弟账单已经还款还发来还款链接</v>
      </c>
      <c r="C12192" s="2" t="s">
        <v>9</v>
      </c>
      <c r="D12192" s="2" t="s">
        <v>10</v>
      </c>
      <c r="E12192" s="2" t="str">
        <f>HYPERLINK("http://ts.21cn.com/tousu/show/id/1343552","http://ts.21cn.com/tousu/show/id/1343552")</f>
        <v>http://ts.21cn.com/tousu/show/id/1343552</v>
      </c>
      <c r="F12192" s="2" t="s">
        <v>11</v>
      </c>
      <c r="G12192" s="2" t="s">
        <v>20179</v>
      </c>
      <c r="H12192" s="2" t="s">
        <v>20180</v>
      </c>
    </row>
    <row r="12193" spans="1:8" ht="25.05" customHeight="1" x14ac:dyDescent="0.25">
      <c r="A12193" s="2" t="s">
        <v>8</v>
      </c>
      <c r="B12193" s="2" t="str">
        <f>HYPERLINK("http://ts.21cn.com/tousu/show/id/1343550","立马理财请归还本金及收益")</f>
        <v>立马理财请归还本金及收益</v>
      </c>
      <c r="C12193" s="2" t="s">
        <v>34</v>
      </c>
      <c r="D12193" s="2" t="s">
        <v>10</v>
      </c>
      <c r="E12193" s="2" t="str">
        <f>HYPERLINK("http://ts.21cn.com/tousu/show/id/1343550","http://ts.21cn.com/tousu/show/id/1343550")</f>
        <v>http://ts.21cn.com/tousu/show/id/1343550</v>
      </c>
      <c r="F12193" s="2" t="s">
        <v>11</v>
      </c>
      <c r="G12193" s="2" t="s">
        <v>20177</v>
      </c>
      <c r="H12193" s="2" t="s">
        <v>20178</v>
      </c>
    </row>
    <row r="12194" spans="1:8" ht="25.05" customHeight="1" x14ac:dyDescent="0.25">
      <c r="A12194" s="2" t="s">
        <v>8</v>
      </c>
      <c r="B12194" s="2" t="str">
        <f>HYPERLINK("http://ts.21cn.com/tousu/show/id/1343551","宜人贷砍头息")</f>
        <v>宜人贷砍头息</v>
      </c>
      <c r="C12194" s="2" t="s">
        <v>9</v>
      </c>
      <c r="D12194" s="2" t="s">
        <v>10</v>
      </c>
      <c r="E12194" s="2" t="str">
        <f>HYPERLINK("http://ts.21cn.com/tousu/show/id/1343551","http://ts.21cn.com/tousu/show/id/1343551")</f>
        <v>http://ts.21cn.com/tousu/show/id/1343551</v>
      </c>
      <c r="F12194" s="2" t="s">
        <v>11</v>
      </c>
      <c r="G12194" s="2" t="s">
        <v>20175</v>
      </c>
      <c r="H12194" s="2" t="s">
        <v>20176</v>
      </c>
    </row>
    <row r="12195" spans="1:8" ht="25.05" customHeight="1" x14ac:dyDescent="0.25">
      <c r="A12195" s="2" t="s">
        <v>8</v>
      </c>
      <c r="B12195" s="2" t="str">
        <f>HYPERLINK("http://ts.21cn.com/tousu/show/id/1343553","信而富砍头息未发货")</f>
        <v>信而富砍头息未发货</v>
      </c>
      <c r="C12195" s="2" t="s">
        <v>9</v>
      </c>
      <c r="D12195" s="2" t="s">
        <v>10</v>
      </c>
      <c r="E12195" s="2" t="str">
        <f>HYPERLINK("http://ts.21cn.com/tousu/show/id/1343553","http://ts.21cn.com/tousu/show/id/1343553")</f>
        <v>http://ts.21cn.com/tousu/show/id/1343553</v>
      </c>
      <c r="F12195" s="2" t="s">
        <v>11</v>
      </c>
      <c r="G12195" s="2" t="s">
        <v>20173</v>
      </c>
      <c r="H12195" s="2" t="s">
        <v>20174</v>
      </c>
    </row>
    <row r="12196" spans="1:8" ht="25.05" customHeight="1" x14ac:dyDescent="0.25">
      <c r="A12196" s="2" t="s">
        <v>8</v>
      </c>
      <c r="B12196" s="2" t="str">
        <f>HYPERLINK("http://ts.21cn.com/tousu/show/id/1343554","你我贷骚扰，刻意影响别人正常工作")</f>
        <v>你我贷骚扰，刻意影响别人正常工作</v>
      </c>
      <c r="C12196" s="2" t="s">
        <v>9</v>
      </c>
      <c r="D12196" s="2" t="s">
        <v>10</v>
      </c>
      <c r="E12196" s="2" t="str">
        <f>HYPERLINK("http://ts.21cn.com/tousu/show/id/1343554","http://ts.21cn.com/tousu/show/id/1343554")</f>
        <v>http://ts.21cn.com/tousu/show/id/1343554</v>
      </c>
      <c r="F12196" s="2" t="s">
        <v>11</v>
      </c>
      <c r="G12196" s="2" t="s">
        <v>20171</v>
      </c>
      <c r="H12196" s="2" t="s">
        <v>20172</v>
      </c>
    </row>
    <row r="12197" spans="1:8" ht="25.05" customHeight="1" x14ac:dyDescent="0.25">
      <c r="A12197" s="2" t="s">
        <v>8</v>
      </c>
      <c r="B12197" s="2" t="str">
        <f>HYPERLINK("http://ts.21cn.com/tousu/show/id/1343555","京保养过期京东不予退款")</f>
        <v>京保养过期京东不予退款</v>
      </c>
      <c r="C12197" s="2" t="s">
        <v>9</v>
      </c>
      <c r="D12197" s="2" t="s">
        <v>10</v>
      </c>
      <c r="E12197" s="2" t="str">
        <f>HYPERLINK("http://ts.21cn.com/tousu/show/id/1343555","http://ts.21cn.com/tousu/show/id/1343555")</f>
        <v>http://ts.21cn.com/tousu/show/id/1343555</v>
      </c>
      <c r="F12197" s="2" t="s">
        <v>11</v>
      </c>
      <c r="G12197" s="2" t="s">
        <v>20169</v>
      </c>
      <c r="H12197" s="2" t="s">
        <v>20170</v>
      </c>
    </row>
    <row r="12198" spans="1:8" ht="25.05" customHeight="1" x14ac:dyDescent="0.25">
      <c r="A12198" s="2" t="s">
        <v>8</v>
      </c>
      <c r="B12198" s="2" t="str">
        <f>HYPERLINK("http://ts.21cn.com/tousu/show/id/1343556","与图乐贷贷款平台协商处理欠款")</f>
        <v>与图乐贷贷款平台协商处理欠款</v>
      </c>
      <c r="C12198" s="2" t="s">
        <v>9</v>
      </c>
      <c r="D12198" s="2" t="s">
        <v>10</v>
      </c>
      <c r="E12198" s="2" t="str">
        <f>HYPERLINK("http://ts.21cn.com/tousu/show/id/1343556","http://ts.21cn.com/tousu/show/id/1343556")</f>
        <v>http://ts.21cn.com/tousu/show/id/1343556</v>
      </c>
      <c r="F12198" s="2" t="s">
        <v>11</v>
      </c>
      <c r="G12198" s="2" t="s">
        <v>20167</v>
      </c>
      <c r="H12198" s="2" t="s">
        <v>20168</v>
      </c>
    </row>
    <row r="12199" spans="1:8" ht="25.05" customHeight="1" x14ac:dyDescent="0.25">
      <c r="A12199" s="2" t="s">
        <v>8</v>
      </c>
      <c r="B12199" s="2" t="str">
        <f>HYPERLINK("http://ts.21cn.com/tousu/show/id/1343557","小当家快点联系我")</f>
        <v>小当家快点联系我</v>
      </c>
      <c r="C12199" s="2" t="s">
        <v>34</v>
      </c>
      <c r="D12199" s="2" t="s">
        <v>10</v>
      </c>
      <c r="E12199" s="2" t="str">
        <f>HYPERLINK("http://ts.21cn.com/tousu/show/id/1343557","http://ts.21cn.com/tousu/show/id/1343557")</f>
        <v>http://ts.21cn.com/tousu/show/id/1343557</v>
      </c>
      <c r="F12199" s="2" t="s">
        <v>11</v>
      </c>
      <c r="G12199" s="2" t="s">
        <v>20165</v>
      </c>
      <c r="H12199" s="2" t="s">
        <v>20166</v>
      </c>
    </row>
    <row r="12200" spans="1:8" ht="25.05" customHeight="1" x14ac:dyDescent="0.25">
      <c r="A12200" s="2" t="s">
        <v>8</v>
      </c>
      <c r="B12200" s="2" t="str">
        <f>HYPERLINK("http://ts.21cn.com/tousu/show/id/1343558","贷上钱以会员名义收取高额度利息")</f>
        <v>贷上钱以会员名义收取高额度利息</v>
      </c>
      <c r="C12200" s="2" t="s">
        <v>9</v>
      </c>
      <c r="D12200" s="2" t="s">
        <v>10</v>
      </c>
      <c r="E12200" s="2" t="str">
        <f>HYPERLINK("http://ts.21cn.com/tousu/show/id/1343558","http://ts.21cn.com/tousu/show/id/1343558")</f>
        <v>http://ts.21cn.com/tousu/show/id/1343558</v>
      </c>
      <c r="F12200" s="2" t="s">
        <v>11</v>
      </c>
      <c r="G12200" s="2" t="s">
        <v>20163</v>
      </c>
      <c r="H12200" s="2" t="s">
        <v>20164</v>
      </c>
    </row>
    <row r="12201" spans="1:8" ht="25.05" customHeight="1" x14ac:dyDescent="0.25">
      <c r="A12201" s="2" t="s">
        <v>8</v>
      </c>
      <c r="B12201" s="2" t="str">
        <f>HYPERLINK("http://ts.21cn.com/tousu/show/id/1343415","嗨钱网还款了不入账一直显示逾期")</f>
        <v>嗨钱网还款了不入账一直显示逾期</v>
      </c>
      <c r="C12201" s="2" t="s">
        <v>9</v>
      </c>
      <c r="D12201" s="2" t="s">
        <v>10</v>
      </c>
      <c r="E12201" s="2" t="str">
        <f>HYPERLINK("http://ts.21cn.com/tousu/show/id/1343415","http://ts.21cn.com/tousu/show/id/1343415")</f>
        <v>http://ts.21cn.com/tousu/show/id/1343415</v>
      </c>
      <c r="F12201" s="2" t="s">
        <v>11</v>
      </c>
      <c r="G12201" s="2" t="s">
        <v>20161</v>
      </c>
      <c r="H12201" s="2" t="s">
        <v>20162</v>
      </c>
    </row>
    <row r="12202" spans="1:8" ht="25.05" customHeight="1" x14ac:dyDescent="0.25">
      <c r="A12202" s="2" t="s">
        <v>8</v>
      </c>
      <c r="B12202" s="2" t="str">
        <f>HYPERLINK("http://ts.21cn.com/tousu/show/id/1342216","携程霸王条款")</f>
        <v>携程霸王条款</v>
      </c>
      <c r="C12202" s="2" t="s">
        <v>9</v>
      </c>
      <c r="D12202" s="2" t="s">
        <v>10</v>
      </c>
      <c r="E12202" s="2" t="str">
        <f>HYPERLINK("http://ts.21cn.com/tousu/show/id/1342216","http://ts.21cn.com/tousu/show/id/1342216")</f>
        <v>http://ts.21cn.com/tousu/show/id/1342216</v>
      </c>
      <c r="F12202" s="2" t="s">
        <v>11</v>
      </c>
      <c r="G12202" s="2" t="s">
        <v>20159</v>
      </c>
      <c r="H12202" s="2" t="s">
        <v>20160</v>
      </c>
    </row>
    <row r="12203" spans="1:8" ht="25.05" customHeight="1" x14ac:dyDescent="0.25">
      <c r="A12203" s="2" t="s">
        <v>8</v>
      </c>
      <c r="B12203" s="2" t="str">
        <f>HYPERLINK("http://ts.21cn.com/tousu/show/id/1343559","非法泄露个人信息")</f>
        <v>非法泄露个人信息</v>
      </c>
      <c r="C12203" s="2" t="s">
        <v>9</v>
      </c>
      <c r="D12203" s="2" t="s">
        <v>10</v>
      </c>
      <c r="E12203" s="2" t="str">
        <f>HYPERLINK("http://ts.21cn.com/tousu/show/id/1343559","http://ts.21cn.com/tousu/show/id/1343559")</f>
        <v>http://ts.21cn.com/tousu/show/id/1343559</v>
      </c>
      <c r="F12203" s="2" t="s">
        <v>11</v>
      </c>
      <c r="G12203" s="2" t="s">
        <v>20157</v>
      </c>
      <c r="H12203" s="2" t="s">
        <v>20158</v>
      </c>
    </row>
    <row r="12204" spans="1:8" ht="25.05" customHeight="1" x14ac:dyDescent="0.25">
      <c r="A12204" s="2" t="s">
        <v>8</v>
      </c>
      <c r="B12204" s="2" t="str">
        <f>HYPERLINK("http://ts.21cn.com/tousu/show/id/1343542","聚富分期违规扣款！！")</f>
        <v>聚富分期违规扣款！！</v>
      </c>
      <c r="C12204" s="2" t="s">
        <v>9</v>
      </c>
      <c r="D12204" s="2" t="s">
        <v>10</v>
      </c>
      <c r="E12204" s="2" t="str">
        <f>HYPERLINK("http://ts.21cn.com/tousu/show/id/1343542","http://ts.21cn.com/tousu/show/id/1343542")</f>
        <v>http://ts.21cn.com/tousu/show/id/1343542</v>
      </c>
      <c r="F12204" s="2" t="s">
        <v>11</v>
      </c>
      <c r="G12204" s="2" t="s">
        <v>20155</v>
      </c>
      <c r="H12204" s="2" t="s">
        <v>20156</v>
      </c>
    </row>
    <row r="12205" spans="1:8" ht="25.05" customHeight="1" x14ac:dyDescent="0.25">
      <c r="A12205" s="2" t="s">
        <v>8</v>
      </c>
      <c r="B12205" s="2" t="str">
        <f>HYPERLINK("http://ts.21cn.com/tousu/show/id/1343560","及贷高利贷，放款时扣除保费")</f>
        <v>及贷高利贷，放款时扣除保费</v>
      </c>
      <c r="C12205" s="2" t="s">
        <v>9</v>
      </c>
      <c r="D12205" s="2" t="s">
        <v>10</v>
      </c>
      <c r="E12205" s="2" t="str">
        <f>HYPERLINK("http://ts.21cn.com/tousu/show/id/1343560","http://ts.21cn.com/tousu/show/id/1343560")</f>
        <v>http://ts.21cn.com/tousu/show/id/1343560</v>
      </c>
      <c r="F12205" s="2" t="s">
        <v>11</v>
      </c>
      <c r="G12205" s="2" t="s">
        <v>20153</v>
      </c>
      <c r="H12205" s="2" t="s">
        <v>20154</v>
      </c>
    </row>
    <row r="12206" spans="1:8" ht="25.05" customHeight="1" x14ac:dyDescent="0.25">
      <c r="A12206" s="2" t="s">
        <v>8</v>
      </c>
      <c r="B12206" s="2" t="str">
        <f>HYPERLINK("http://ts.21cn.com/tousu/show/id/1343561","小黑鱼快易熊")</f>
        <v>小黑鱼快易熊</v>
      </c>
      <c r="C12206" s="2" t="s">
        <v>9</v>
      </c>
      <c r="D12206" s="2" t="s">
        <v>10</v>
      </c>
      <c r="E12206" s="2" t="str">
        <f>HYPERLINK("http://ts.21cn.com/tousu/show/id/1343561","http://ts.21cn.com/tousu/show/id/1343561")</f>
        <v>http://ts.21cn.com/tousu/show/id/1343561</v>
      </c>
      <c r="F12206" s="2" t="s">
        <v>11</v>
      </c>
      <c r="G12206" s="2" t="s">
        <v>20151</v>
      </c>
      <c r="H12206" s="2" t="s">
        <v>20152</v>
      </c>
    </row>
    <row r="12207" spans="1:8" ht="25.05" customHeight="1" x14ac:dyDescent="0.25">
      <c r="A12207" s="2" t="s">
        <v>8</v>
      </c>
      <c r="B12207" s="2" t="str">
        <f>HYPERLINK("http://ts.21cn.com/tousu/show/id/1343562","途牛虚假宣传，泄露投诉信息")</f>
        <v>途牛虚假宣传，泄露投诉信息</v>
      </c>
      <c r="C12207" s="2" t="s">
        <v>9</v>
      </c>
      <c r="D12207" s="2" t="s">
        <v>10</v>
      </c>
      <c r="E12207" s="2" t="str">
        <f>HYPERLINK("http://ts.21cn.com/tousu/show/id/1343562","http://ts.21cn.com/tousu/show/id/1343562")</f>
        <v>http://ts.21cn.com/tousu/show/id/1343562</v>
      </c>
      <c r="F12207" s="2" t="s">
        <v>11</v>
      </c>
      <c r="G12207" s="2" t="s">
        <v>20149</v>
      </c>
      <c r="H12207" s="2" t="s">
        <v>20150</v>
      </c>
    </row>
    <row r="12208" spans="1:8" ht="25.05" customHeight="1" x14ac:dyDescent="0.25">
      <c r="A12208" s="2" t="s">
        <v>8</v>
      </c>
      <c r="B12208" s="2" t="str">
        <f>HYPERLINK("http://ts.21cn.com/tousu/show/id/1343563","浦发暴力催款,不予协商还款。")</f>
        <v>浦发暴力催款,不予协商还款。</v>
      </c>
      <c r="C12208" s="2" t="s">
        <v>9</v>
      </c>
      <c r="D12208" s="2" t="s">
        <v>10</v>
      </c>
      <c r="E12208" s="2" t="str">
        <f>HYPERLINK("http://ts.21cn.com/tousu/show/id/1343563","http://ts.21cn.com/tousu/show/id/1343563")</f>
        <v>http://ts.21cn.com/tousu/show/id/1343563</v>
      </c>
      <c r="F12208" s="2" t="s">
        <v>11</v>
      </c>
      <c r="G12208" s="2" t="s">
        <v>20147</v>
      </c>
      <c r="H12208" s="2" t="s">
        <v>20148</v>
      </c>
    </row>
    <row r="12209" spans="1:8" ht="25.05" customHeight="1" x14ac:dyDescent="0.25">
      <c r="A12209" s="2" t="s">
        <v>8</v>
      </c>
      <c r="B12209" s="2" t="str">
        <f>HYPERLINK("http://ts.21cn.com/tousu/show/id/1343565","立借高利贷阴阳合同")</f>
        <v>立借高利贷阴阳合同</v>
      </c>
      <c r="C12209" s="2" t="s">
        <v>9</v>
      </c>
      <c r="D12209" s="2" t="s">
        <v>10</v>
      </c>
      <c r="E12209" s="2" t="str">
        <f>HYPERLINK("http://ts.21cn.com/tousu/show/id/1343565","http://ts.21cn.com/tousu/show/id/1343565")</f>
        <v>http://ts.21cn.com/tousu/show/id/1343565</v>
      </c>
      <c r="F12209" s="2" t="s">
        <v>11</v>
      </c>
      <c r="G12209" s="2" t="s">
        <v>20145</v>
      </c>
      <c r="H12209" s="2" t="s">
        <v>20146</v>
      </c>
    </row>
    <row r="12210" spans="1:8" ht="25.05" customHeight="1" x14ac:dyDescent="0.25">
      <c r="A12210" s="2" t="s">
        <v>8</v>
      </c>
      <c r="B12210" s="2" t="str">
        <f>HYPERLINK("http://ts.21cn.com/tousu/show/id/1343568","714高炮")</f>
        <v>714高炮</v>
      </c>
      <c r="C12210" s="2" t="s">
        <v>9</v>
      </c>
      <c r="D12210" s="2" t="s">
        <v>10</v>
      </c>
      <c r="E12210" s="2" t="str">
        <f>HYPERLINK("http://ts.21cn.com/tousu/show/id/1343568","http://ts.21cn.com/tousu/show/id/1343568")</f>
        <v>http://ts.21cn.com/tousu/show/id/1343568</v>
      </c>
      <c r="F12210" s="2" t="s">
        <v>11</v>
      </c>
      <c r="G12210" s="2" t="s">
        <v>20143</v>
      </c>
      <c r="H12210" s="2" t="s">
        <v>20144</v>
      </c>
    </row>
    <row r="12211" spans="1:8" ht="25.05" customHeight="1" x14ac:dyDescent="0.25">
      <c r="A12211" s="2" t="s">
        <v>8</v>
      </c>
      <c r="B12211" s="2" t="str">
        <f>HYPERLINK("http://ts.21cn.com/tousu/show/id/1343566","催收部门恐吓，威胁")</f>
        <v>催收部门恐吓，威胁</v>
      </c>
      <c r="C12211" s="2" t="s">
        <v>9</v>
      </c>
      <c r="D12211" s="2" t="s">
        <v>10</v>
      </c>
      <c r="E12211" s="2" t="str">
        <f>HYPERLINK("http://ts.21cn.com/tousu/show/id/1343566","http://ts.21cn.com/tousu/show/id/1343566")</f>
        <v>http://ts.21cn.com/tousu/show/id/1343566</v>
      </c>
      <c r="F12211" s="2" t="s">
        <v>11</v>
      </c>
      <c r="G12211" s="2" t="s">
        <v>20141</v>
      </c>
      <c r="H12211" s="2" t="s">
        <v>20142</v>
      </c>
    </row>
    <row r="12212" spans="1:8" ht="25.05" customHeight="1" x14ac:dyDescent="0.25">
      <c r="A12212" s="2" t="s">
        <v>8</v>
      </c>
      <c r="B12212" s="2" t="str">
        <f>HYPERLINK("http://ts.21cn.com/tousu/show/id/1343567","借贷宝不作为")</f>
        <v>借贷宝不作为</v>
      </c>
      <c r="C12212" s="2" t="s">
        <v>9</v>
      </c>
      <c r="D12212" s="2" t="s">
        <v>10</v>
      </c>
      <c r="E12212" s="2" t="str">
        <f>HYPERLINK("http://ts.21cn.com/tousu/show/id/1343567","http://ts.21cn.com/tousu/show/id/1343567")</f>
        <v>http://ts.21cn.com/tousu/show/id/1343567</v>
      </c>
      <c r="F12212" s="2" t="s">
        <v>11</v>
      </c>
      <c r="G12212" s="2" t="s">
        <v>20139</v>
      </c>
      <c r="H12212" s="2" t="s">
        <v>20140</v>
      </c>
    </row>
    <row r="12213" spans="1:8" ht="25.05" customHeight="1" x14ac:dyDescent="0.25">
      <c r="A12213" s="2" t="s">
        <v>8</v>
      </c>
      <c r="B12213" s="2" t="str">
        <f>HYPERLINK("http://ts.21cn.com/tousu/show/id/1343569","百度有钱花催收烦人")</f>
        <v>百度有钱花催收烦人</v>
      </c>
      <c r="C12213" s="2" t="s">
        <v>9</v>
      </c>
      <c r="D12213" s="2" t="s">
        <v>10</v>
      </c>
      <c r="E12213" s="2" t="str">
        <f>HYPERLINK("http://ts.21cn.com/tousu/show/id/1343569","http://ts.21cn.com/tousu/show/id/1343569")</f>
        <v>http://ts.21cn.com/tousu/show/id/1343569</v>
      </c>
      <c r="F12213" s="2" t="s">
        <v>11</v>
      </c>
      <c r="G12213" s="2" t="s">
        <v>20137</v>
      </c>
      <c r="H12213" s="2" t="s">
        <v>20138</v>
      </c>
    </row>
    <row r="12214" spans="1:8" ht="25.05" customHeight="1" x14ac:dyDescent="0.25">
      <c r="A12214" s="2" t="s">
        <v>8</v>
      </c>
      <c r="B12214" s="2" t="str">
        <f>HYPERLINK("http://ts.21cn.com/tousu/show/id/1343571","提前预定酒店，入住后发现当天价格更低")</f>
        <v>提前预定酒店，入住后发现当天价格更低</v>
      </c>
      <c r="C12214" s="2" t="s">
        <v>9</v>
      </c>
      <c r="D12214" s="2" t="s">
        <v>10</v>
      </c>
      <c r="E12214" s="2" t="str">
        <f>HYPERLINK("http://ts.21cn.com/tousu/show/id/1343571","http://ts.21cn.com/tousu/show/id/1343571")</f>
        <v>http://ts.21cn.com/tousu/show/id/1343571</v>
      </c>
      <c r="F12214" s="2" t="s">
        <v>11</v>
      </c>
      <c r="G12214" s="2" t="s">
        <v>20135</v>
      </c>
      <c r="H12214" s="2" t="s">
        <v>20136</v>
      </c>
    </row>
    <row r="12215" spans="1:8" ht="25.05" customHeight="1" x14ac:dyDescent="0.25">
      <c r="A12215" s="2" t="s">
        <v>8</v>
      </c>
      <c r="B12215" s="2" t="str">
        <f>HYPERLINK("http://ts.21cn.com/tousu/show/id/1343492","美利车金融高利息")</f>
        <v>美利车金融高利息</v>
      </c>
      <c r="C12215" s="2" t="s">
        <v>9</v>
      </c>
      <c r="D12215" s="2" t="s">
        <v>10</v>
      </c>
      <c r="E12215" s="2" t="str">
        <f>HYPERLINK("http://ts.21cn.com/tousu/show/id/1343492","http://ts.21cn.com/tousu/show/id/1343492")</f>
        <v>http://ts.21cn.com/tousu/show/id/1343492</v>
      </c>
      <c r="F12215" s="2" t="s">
        <v>11</v>
      </c>
      <c r="G12215" s="2" t="s">
        <v>20133</v>
      </c>
      <c r="H12215" s="2" t="s">
        <v>20134</v>
      </c>
    </row>
    <row r="12216" spans="1:8" ht="25.05" customHeight="1" x14ac:dyDescent="0.25">
      <c r="A12216" s="2" t="s">
        <v>8</v>
      </c>
      <c r="B12216" s="2" t="str">
        <f>HYPERLINK("http://ts.21cn.com/tousu/show/id/1343572","光华惠普给通讯录紧急联系人打电话辱骂")</f>
        <v>光华惠普给通讯录紧急联系人打电话辱骂</v>
      </c>
      <c r="C12216" s="2" t="s">
        <v>9</v>
      </c>
      <c r="D12216" s="2" t="s">
        <v>10</v>
      </c>
      <c r="E12216" s="2" t="str">
        <f>HYPERLINK("http://ts.21cn.com/tousu/show/id/1343572","http://ts.21cn.com/tousu/show/id/1343572")</f>
        <v>http://ts.21cn.com/tousu/show/id/1343572</v>
      </c>
      <c r="F12216" s="2" t="s">
        <v>11</v>
      </c>
      <c r="G12216" s="2" t="s">
        <v>20131</v>
      </c>
      <c r="H12216" s="2" t="s">
        <v>20132</v>
      </c>
    </row>
    <row r="12217" spans="1:8" ht="25.05" customHeight="1" x14ac:dyDescent="0.25">
      <c r="A12217" s="2" t="s">
        <v>8</v>
      </c>
      <c r="B12217" s="2" t="str">
        <f>HYPERLINK("http://ts.21cn.com/tousu/show/id/1343575","安全带高利贷")</f>
        <v>安全带高利贷</v>
      </c>
      <c r="C12217" s="2" t="s">
        <v>9</v>
      </c>
      <c r="D12217" s="2" t="s">
        <v>10</v>
      </c>
      <c r="E12217" s="2" t="str">
        <f>HYPERLINK("http://ts.21cn.com/tousu/show/id/1343575","http://ts.21cn.com/tousu/show/id/1343575")</f>
        <v>http://ts.21cn.com/tousu/show/id/1343575</v>
      </c>
      <c r="F12217" s="2" t="s">
        <v>11</v>
      </c>
      <c r="G12217" s="2" t="s">
        <v>20129</v>
      </c>
      <c r="H12217" s="2" t="s">
        <v>20130</v>
      </c>
    </row>
    <row r="12218" spans="1:8" ht="25.05" customHeight="1" x14ac:dyDescent="0.25">
      <c r="A12218" s="2" t="s">
        <v>8</v>
      </c>
      <c r="B12218" s="2" t="str">
        <f>HYPERLINK("http://ts.21cn.com/tousu/show/id/1343577","微品分期高利贷")</f>
        <v>微品分期高利贷</v>
      </c>
      <c r="C12218" s="2" t="s">
        <v>9</v>
      </c>
      <c r="D12218" s="2" t="s">
        <v>10</v>
      </c>
      <c r="E12218" s="2" t="str">
        <f>HYPERLINK("http://ts.21cn.com/tousu/show/id/1343577","http://ts.21cn.com/tousu/show/id/1343577")</f>
        <v>http://ts.21cn.com/tousu/show/id/1343577</v>
      </c>
      <c r="F12218" s="2" t="s">
        <v>11</v>
      </c>
      <c r="G12218" s="2" t="s">
        <v>20127</v>
      </c>
      <c r="H12218" s="2" t="s">
        <v>20128</v>
      </c>
    </row>
    <row r="12219" spans="1:8" ht="25.05" customHeight="1" x14ac:dyDescent="0.25">
      <c r="A12219" s="2" t="s">
        <v>8</v>
      </c>
      <c r="B12219" s="2" t="str">
        <f>HYPERLINK("http://ts.21cn.com/tousu/show/id/1343576","汇潮支付为高炮金银钱包提供汇款渠道")</f>
        <v>汇潮支付为高炮金银钱包提供汇款渠道</v>
      </c>
      <c r="C12219" s="2" t="s">
        <v>9</v>
      </c>
      <c r="D12219" s="2" t="s">
        <v>10</v>
      </c>
      <c r="E12219" s="2" t="str">
        <f>HYPERLINK("http://ts.21cn.com/tousu/show/id/1343576","http://ts.21cn.com/tousu/show/id/1343576")</f>
        <v>http://ts.21cn.com/tousu/show/id/1343576</v>
      </c>
      <c r="F12219" s="2" t="s">
        <v>11</v>
      </c>
      <c r="G12219" s="2" t="s">
        <v>20125</v>
      </c>
      <c r="H12219" s="2" t="s">
        <v>20126</v>
      </c>
    </row>
    <row r="12220" spans="1:8" ht="25.05" customHeight="1" x14ac:dyDescent="0.25">
      <c r="A12220" s="2" t="s">
        <v>8</v>
      </c>
      <c r="B12220" s="2" t="str">
        <f>HYPERLINK("http://ts.21cn.com/tousu/show/id/1343574","去花花保险变相高额砍头息")</f>
        <v>去花花保险变相高额砍头息</v>
      </c>
      <c r="C12220" s="2" t="s">
        <v>9</v>
      </c>
      <c r="D12220" s="2" t="s">
        <v>10</v>
      </c>
      <c r="E12220" s="2" t="str">
        <f>HYPERLINK("http://ts.21cn.com/tousu/show/id/1343574","http://ts.21cn.com/tousu/show/id/1343574")</f>
        <v>http://ts.21cn.com/tousu/show/id/1343574</v>
      </c>
      <c r="F12220" s="2" t="s">
        <v>11</v>
      </c>
      <c r="G12220" s="2" t="s">
        <v>20123</v>
      </c>
      <c r="H12220" s="2" t="s">
        <v>20124</v>
      </c>
    </row>
    <row r="12221" spans="1:8" ht="25.05" customHeight="1" x14ac:dyDescent="0.25">
      <c r="A12221" s="2" t="s">
        <v>8</v>
      </c>
      <c r="B12221" s="2" t="str">
        <f>HYPERLINK("http://ts.21cn.com/tousu/show/id/1343578","马上金融安逸花乱收费")</f>
        <v>马上金融安逸花乱收费</v>
      </c>
      <c r="C12221" s="2" t="s">
        <v>9</v>
      </c>
      <c r="D12221" s="2" t="s">
        <v>10</v>
      </c>
      <c r="E12221" s="2" t="str">
        <f>HYPERLINK("http://ts.21cn.com/tousu/show/id/1343578","http://ts.21cn.com/tousu/show/id/1343578")</f>
        <v>http://ts.21cn.com/tousu/show/id/1343578</v>
      </c>
      <c r="F12221" s="2" t="s">
        <v>11</v>
      </c>
      <c r="G12221" s="2" t="s">
        <v>20121</v>
      </c>
      <c r="H12221" s="2" t="s">
        <v>20122</v>
      </c>
    </row>
    <row r="12222" spans="1:8" ht="25.05" customHeight="1" x14ac:dyDescent="0.25">
      <c r="A12222" s="2" t="s">
        <v>8</v>
      </c>
      <c r="B12222" s="2" t="str">
        <f>HYPERLINK("http://ts.21cn.com/tousu/show/id/1343579","拇指下款违规扣款！！！")</f>
        <v>拇指下款违规扣款！！！</v>
      </c>
      <c r="C12222" s="2" t="s">
        <v>9</v>
      </c>
      <c r="D12222" s="2" t="s">
        <v>10</v>
      </c>
      <c r="E12222" s="2" t="str">
        <f>HYPERLINK("http://ts.21cn.com/tousu/show/id/1343579","http://ts.21cn.com/tousu/show/id/1343579")</f>
        <v>http://ts.21cn.com/tousu/show/id/1343579</v>
      </c>
      <c r="F12222" s="2" t="s">
        <v>11</v>
      </c>
      <c r="G12222" s="2" t="s">
        <v>20119</v>
      </c>
      <c r="H12222" s="2" t="s">
        <v>20120</v>
      </c>
    </row>
    <row r="12223" spans="1:8" ht="25.05" customHeight="1" x14ac:dyDescent="0.25">
      <c r="A12223" s="2" t="s">
        <v>8</v>
      </c>
      <c r="B12223" s="2" t="str">
        <f>HYPERLINK("http://ts.21cn.com/tousu/show/id/1343534","手机借钱高利贷阴阳合同")</f>
        <v>手机借钱高利贷阴阳合同</v>
      </c>
      <c r="C12223" s="2" t="s">
        <v>9</v>
      </c>
      <c r="D12223" s="2" t="s">
        <v>10</v>
      </c>
      <c r="E12223" s="2" t="str">
        <f>HYPERLINK("http://ts.21cn.com/tousu/show/id/1343534","http://ts.21cn.com/tousu/show/id/1343534")</f>
        <v>http://ts.21cn.com/tousu/show/id/1343534</v>
      </c>
      <c r="F12223" s="2" t="s">
        <v>11</v>
      </c>
      <c r="G12223" s="2" t="s">
        <v>20117</v>
      </c>
      <c r="H12223" s="2" t="s">
        <v>20118</v>
      </c>
    </row>
    <row r="12224" spans="1:8" ht="25.05" customHeight="1" x14ac:dyDescent="0.25">
      <c r="A12224" s="2" t="s">
        <v>8</v>
      </c>
      <c r="B12224" s="2" t="str">
        <f>HYPERLINK("http://ts.21cn.com/tousu/show/id/1343580","九游有违规操作，客服不予处理，游戏内部工作人员伪装玩家诱导真实玩家充值从而达到盈利，没有任何服务，也没有任何技术人员对接")</f>
        <v>九游有违规操作，客服不予处理，游戏内部工作人员伪装玩家诱导真实玩家充值从而达到盈利，没有任何服务，也没有任何技术人员对接</v>
      </c>
      <c r="C12224" s="2" t="s">
        <v>9</v>
      </c>
      <c r="D12224" s="2" t="s">
        <v>10</v>
      </c>
      <c r="E12224" s="2" t="str">
        <f>HYPERLINK("http://ts.21cn.com/tousu/show/id/1343580","http://ts.21cn.com/tousu/show/id/1343580")</f>
        <v>http://ts.21cn.com/tousu/show/id/1343580</v>
      </c>
      <c r="F12224" s="2" t="s">
        <v>11</v>
      </c>
      <c r="G12224" s="2" t="s">
        <v>20115</v>
      </c>
      <c r="H12224" s="2" t="s">
        <v>20116</v>
      </c>
    </row>
    <row r="12225" spans="1:8" ht="25.05" customHeight="1" x14ac:dyDescent="0.25">
      <c r="A12225" s="2" t="s">
        <v>8</v>
      </c>
      <c r="B12225" s="2" t="str">
        <f>HYPERLINK("http://ts.21cn.com/tousu/show/id/1343581","宜信恶意催收")</f>
        <v>宜信恶意催收</v>
      </c>
      <c r="C12225" s="2" t="s">
        <v>9</v>
      </c>
      <c r="D12225" s="2" t="s">
        <v>10</v>
      </c>
      <c r="E12225" s="2" t="str">
        <f>HYPERLINK("http://ts.21cn.com/tousu/show/id/1343581","http://ts.21cn.com/tousu/show/id/1343581")</f>
        <v>http://ts.21cn.com/tousu/show/id/1343581</v>
      </c>
      <c r="F12225" s="2" t="s">
        <v>11</v>
      </c>
      <c r="G12225" s="2" t="s">
        <v>20113</v>
      </c>
      <c r="H12225" s="2" t="s">
        <v>20114</v>
      </c>
    </row>
    <row r="12226" spans="1:8" ht="25.05" customHeight="1" x14ac:dyDescent="0.25">
      <c r="A12226" s="2" t="s">
        <v>8</v>
      </c>
      <c r="B12226" s="2" t="str">
        <f>HYPERLINK("http://ts.21cn.com/tousu/show/id/1343582","你我贷催收特别厉害")</f>
        <v>你我贷催收特别厉害</v>
      </c>
      <c r="C12226" s="2" t="s">
        <v>9</v>
      </c>
      <c r="D12226" s="2" t="s">
        <v>10</v>
      </c>
      <c r="E12226" s="2" t="str">
        <f>HYPERLINK("http://ts.21cn.com/tousu/show/id/1343582","http://ts.21cn.com/tousu/show/id/1343582")</f>
        <v>http://ts.21cn.com/tousu/show/id/1343582</v>
      </c>
      <c r="F12226" s="2" t="s">
        <v>11</v>
      </c>
      <c r="G12226" s="2" t="s">
        <v>20111</v>
      </c>
      <c r="H12226" s="2" t="s">
        <v>20112</v>
      </c>
    </row>
    <row r="12227" spans="1:8" ht="25.05" customHeight="1" x14ac:dyDescent="0.25">
      <c r="A12227" s="2" t="s">
        <v>8</v>
      </c>
      <c r="B12227" s="2" t="str">
        <f>HYPERLINK("http://ts.21cn.com/tousu/show/id/1343585","点心贷退保")</f>
        <v>点心贷退保</v>
      </c>
      <c r="C12227" s="2" t="s">
        <v>9</v>
      </c>
      <c r="D12227" s="2" t="s">
        <v>10</v>
      </c>
      <c r="E12227" s="2" t="str">
        <f>HYPERLINK("http://ts.21cn.com/tousu/show/id/1343585","http://ts.21cn.com/tousu/show/id/1343585")</f>
        <v>http://ts.21cn.com/tousu/show/id/1343585</v>
      </c>
      <c r="F12227" s="2" t="s">
        <v>11</v>
      </c>
      <c r="G12227" s="2" t="s">
        <v>20109</v>
      </c>
      <c r="H12227" s="2" t="s">
        <v>20110</v>
      </c>
    </row>
    <row r="12228" spans="1:8" ht="25.05" customHeight="1" x14ac:dyDescent="0.25">
      <c r="A12228" s="2" t="s">
        <v>8</v>
      </c>
      <c r="B12228" s="2" t="str">
        <f>HYPERLINK("http://ts.21cn.com/tousu/show/id/1343583","乱收费")</f>
        <v>乱收费</v>
      </c>
      <c r="C12228" s="2" t="s">
        <v>9</v>
      </c>
      <c r="D12228" s="2" t="s">
        <v>10</v>
      </c>
      <c r="E12228" s="2" t="str">
        <f>HYPERLINK("http://ts.21cn.com/tousu/show/id/1343583","http://ts.21cn.com/tousu/show/id/1343583")</f>
        <v>http://ts.21cn.com/tousu/show/id/1343583</v>
      </c>
      <c r="F12228" s="2" t="s">
        <v>11</v>
      </c>
      <c r="G12228" s="2" t="s">
        <v>20107</v>
      </c>
      <c r="H12228" s="2" t="s">
        <v>20108</v>
      </c>
    </row>
    <row r="12229" spans="1:8" ht="25.05" customHeight="1" x14ac:dyDescent="0.25">
      <c r="A12229" s="2" t="s">
        <v>8</v>
      </c>
      <c r="B12229" s="2" t="str">
        <f>HYPERLINK("http://ts.21cn.com/tousu/show/id/1343586","浦发银行万用金")</f>
        <v>浦发银行万用金</v>
      </c>
      <c r="C12229" s="2" t="s">
        <v>9</v>
      </c>
      <c r="D12229" s="2" t="s">
        <v>10</v>
      </c>
      <c r="E12229" s="2" t="str">
        <f>HYPERLINK("http://ts.21cn.com/tousu/show/id/1343586","http://ts.21cn.com/tousu/show/id/1343586")</f>
        <v>http://ts.21cn.com/tousu/show/id/1343586</v>
      </c>
      <c r="F12229" s="2" t="s">
        <v>11</v>
      </c>
      <c r="G12229" s="2" t="s">
        <v>20105</v>
      </c>
      <c r="H12229" s="2" t="s">
        <v>20106</v>
      </c>
    </row>
    <row r="12230" spans="1:8" ht="25.05" customHeight="1" x14ac:dyDescent="0.25">
      <c r="A12230" s="2" t="s">
        <v>8</v>
      </c>
      <c r="B12230" s="2" t="str">
        <f>HYPERLINK("http://ts.21cn.com/tousu/show/id/1343587","借款已还清却未销帐导致逾期")</f>
        <v>借款已还清却未销帐导致逾期</v>
      </c>
      <c r="C12230" s="2" t="s">
        <v>9</v>
      </c>
      <c r="D12230" s="2" t="s">
        <v>10</v>
      </c>
      <c r="E12230" s="2" t="str">
        <f>HYPERLINK("http://ts.21cn.com/tousu/show/id/1343587","http://ts.21cn.com/tousu/show/id/1343587")</f>
        <v>http://ts.21cn.com/tousu/show/id/1343587</v>
      </c>
      <c r="F12230" s="2" t="s">
        <v>11</v>
      </c>
      <c r="G12230" s="2" t="s">
        <v>20103</v>
      </c>
      <c r="H12230" s="2" t="s">
        <v>20104</v>
      </c>
    </row>
    <row r="12231" spans="1:8" ht="25.05" customHeight="1" x14ac:dyDescent="0.25">
      <c r="A12231" s="2" t="s">
        <v>8</v>
      </c>
      <c r="B12231" s="2" t="str">
        <f>HYPERLINK("http://ts.21cn.com/tousu/show/id/1343588","骚扰电话")</f>
        <v>骚扰电话</v>
      </c>
      <c r="C12231" s="2" t="s">
        <v>9</v>
      </c>
      <c r="D12231" s="2" t="s">
        <v>10</v>
      </c>
      <c r="E12231" s="2" t="str">
        <f>HYPERLINK("http://ts.21cn.com/tousu/show/id/1343588","http://ts.21cn.com/tousu/show/id/1343588")</f>
        <v>http://ts.21cn.com/tousu/show/id/1343588</v>
      </c>
      <c r="F12231" s="2" t="s">
        <v>11</v>
      </c>
      <c r="G12231" s="2" t="s">
        <v>20101</v>
      </c>
      <c r="H12231" s="2" t="s">
        <v>20102</v>
      </c>
    </row>
    <row r="12232" spans="1:8" ht="25.05" customHeight="1" x14ac:dyDescent="0.25">
      <c r="A12232" s="2" t="s">
        <v>8</v>
      </c>
      <c r="B12232" s="2" t="str">
        <f>HYPERLINK("http://ts.21cn.com/tousu/show/id/1343590","时光分期综合年利率接近60%为高利贷平台")</f>
        <v>时光分期综合年利率接近60%为高利贷平台</v>
      </c>
      <c r="C12232" s="2" t="s">
        <v>9</v>
      </c>
      <c r="D12232" s="2" t="s">
        <v>10</v>
      </c>
      <c r="E12232" s="2" t="str">
        <f>HYPERLINK("http://ts.21cn.com/tousu/show/id/1343590","http://ts.21cn.com/tousu/show/id/1343590")</f>
        <v>http://ts.21cn.com/tousu/show/id/1343590</v>
      </c>
      <c r="F12232" s="2" t="s">
        <v>11</v>
      </c>
      <c r="G12232" s="2" t="s">
        <v>20099</v>
      </c>
      <c r="H12232" s="2" t="s">
        <v>20100</v>
      </c>
    </row>
    <row r="12233" spans="1:8" ht="25.05" customHeight="1" x14ac:dyDescent="0.25">
      <c r="A12233" s="2" t="s">
        <v>8</v>
      </c>
      <c r="B12233" s="2" t="str">
        <f>HYPERLINK("http://ts.21cn.com/tousu/show/id/1343423","即有分期骚扰公司同事")</f>
        <v>即有分期骚扰公司同事</v>
      </c>
      <c r="C12233" s="2" t="s">
        <v>9</v>
      </c>
      <c r="D12233" s="2" t="s">
        <v>10</v>
      </c>
      <c r="E12233" s="2" t="str">
        <f>HYPERLINK("http://ts.21cn.com/tousu/show/id/1343423","http://ts.21cn.com/tousu/show/id/1343423")</f>
        <v>http://ts.21cn.com/tousu/show/id/1343423</v>
      </c>
      <c r="F12233" s="2" t="s">
        <v>11</v>
      </c>
      <c r="G12233" s="2" t="s">
        <v>20097</v>
      </c>
      <c r="H12233" s="2" t="s">
        <v>20098</v>
      </c>
    </row>
    <row r="12234" spans="1:8" ht="25.05" customHeight="1" x14ac:dyDescent="0.25">
      <c r="A12234" s="2" t="s">
        <v>8</v>
      </c>
      <c r="B12234" s="2" t="str">
        <f>HYPERLINK("http://ts.21cn.com/tousu/show/id/1343591","平安普惠诱导以贷养贷软暴力恐吓")</f>
        <v>平安普惠诱导以贷养贷软暴力恐吓</v>
      </c>
      <c r="C12234" s="2" t="s">
        <v>9</v>
      </c>
      <c r="D12234" s="2" t="s">
        <v>10</v>
      </c>
      <c r="E12234" s="2" t="str">
        <f>HYPERLINK("http://ts.21cn.com/tousu/show/id/1343591","http://ts.21cn.com/tousu/show/id/1343591")</f>
        <v>http://ts.21cn.com/tousu/show/id/1343591</v>
      </c>
      <c r="F12234" s="2" t="s">
        <v>11</v>
      </c>
      <c r="G12234" s="2" t="s">
        <v>20095</v>
      </c>
      <c r="H12234" s="2" t="s">
        <v>20096</v>
      </c>
    </row>
    <row r="12235" spans="1:8" ht="25.05" customHeight="1" x14ac:dyDescent="0.25">
      <c r="A12235" s="2" t="s">
        <v>8</v>
      </c>
      <c r="B12235" s="2" t="str">
        <f>HYPERLINK("http://ts.21cn.com/tousu/show/id/1343592","暴击催收")</f>
        <v>暴击催收</v>
      </c>
      <c r="C12235" s="2" t="s">
        <v>9</v>
      </c>
      <c r="D12235" s="2" t="s">
        <v>10</v>
      </c>
      <c r="E12235" s="2" t="str">
        <f>HYPERLINK("http://ts.21cn.com/tousu/show/id/1343592","http://ts.21cn.com/tousu/show/id/1343592")</f>
        <v>http://ts.21cn.com/tousu/show/id/1343592</v>
      </c>
      <c r="F12235" s="2" t="s">
        <v>11</v>
      </c>
      <c r="G12235" s="2" t="s">
        <v>20093</v>
      </c>
      <c r="H12235" s="2" t="s">
        <v>20094</v>
      </c>
    </row>
    <row r="12236" spans="1:8" ht="25.05" customHeight="1" x14ac:dyDescent="0.25">
      <c r="A12236" s="2" t="s">
        <v>8</v>
      </c>
      <c r="B12236" s="2" t="str">
        <f>HYPERLINK("http://ts.21cn.com/tousu/show/id/1343593","714超利小额贷款催收")</f>
        <v>714超利小额贷款催收</v>
      </c>
      <c r="C12236" s="2" t="s">
        <v>9</v>
      </c>
      <c r="D12236" s="2" t="s">
        <v>10</v>
      </c>
      <c r="E12236" s="2" t="str">
        <f>HYPERLINK("http://ts.21cn.com/tousu/show/id/1343593","http://ts.21cn.com/tousu/show/id/1343593")</f>
        <v>http://ts.21cn.com/tousu/show/id/1343593</v>
      </c>
      <c r="F12236" s="2" t="s">
        <v>11</v>
      </c>
      <c r="G12236" s="2" t="s">
        <v>20091</v>
      </c>
      <c r="H12236" s="2" t="s">
        <v>20092</v>
      </c>
    </row>
    <row r="12237" spans="1:8" ht="25.05" customHeight="1" x14ac:dyDescent="0.25">
      <c r="A12237" s="2" t="s">
        <v>8</v>
      </c>
      <c r="B12237" s="2" t="str">
        <f>HYPERLINK("http://ts.21cn.com/tousu/show/id/1343595","安全带套路贷暴力催收")</f>
        <v>安全带套路贷暴力催收</v>
      </c>
      <c r="C12237" s="2" t="s">
        <v>9</v>
      </c>
      <c r="D12237" s="2" t="s">
        <v>10</v>
      </c>
      <c r="E12237" s="2" t="str">
        <f>HYPERLINK("http://ts.21cn.com/tousu/show/id/1343595","http://ts.21cn.com/tousu/show/id/1343595")</f>
        <v>http://ts.21cn.com/tousu/show/id/1343595</v>
      </c>
      <c r="F12237" s="2" t="s">
        <v>11</v>
      </c>
      <c r="G12237" s="2" t="s">
        <v>20089</v>
      </c>
      <c r="H12237" s="2" t="s">
        <v>20090</v>
      </c>
    </row>
    <row r="12238" spans="1:8" ht="25.05" customHeight="1" x14ac:dyDescent="0.25">
      <c r="A12238" s="2" t="s">
        <v>8</v>
      </c>
      <c r="B12238" s="2" t="str">
        <f>HYPERLINK("http://ts.21cn.com/tousu/show/id/1343597","及贷变相收取高额砍头息利息要求只还本金")</f>
        <v>及贷变相收取高额砍头息利息要求只还本金</v>
      </c>
      <c r="C12238" s="2" t="s">
        <v>9</v>
      </c>
      <c r="D12238" s="2" t="s">
        <v>10</v>
      </c>
      <c r="E12238" s="2" t="str">
        <f>HYPERLINK("http://ts.21cn.com/tousu/show/id/1343597","http://ts.21cn.com/tousu/show/id/1343597")</f>
        <v>http://ts.21cn.com/tousu/show/id/1343597</v>
      </c>
      <c r="F12238" s="2" t="s">
        <v>11</v>
      </c>
      <c r="G12238" s="2" t="s">
        <v>20087</v>
      </c>
      <c r="H12238" s="2" t="s">
        <v>20088</v>
      </c>
    </row>
    <row r="12239" spans="1:8" ht="25.05" customHeight="1" x14ac:dyDescent="0.25">
      <c r="A12239" s="2" t="s">
        <v>8</v>
      </c>
      <c r="B12239" s="2" t="str">
        <f>HYPERLINK("http://ts.21cn.com/tousu/show/id/1343596","兴业银行信用卡暴力催收")</f>
        <v>兴业银行信用卡暴力催收</v>
      </c>
      <c r="C12239" s="2" t="s">
        <v>9</v>
      </c>
      <c r="D12239" s="2" t="s">
        <v>10</v>
      </c>
      <c r="E12239" s="2" t="str">
        <f>HYPERLINK("http://ts.21cn.com/tousu/show/id/1343596","http://ts.21cn.com/tousu/show/id/1343596")</f>
        <v>http://ts.21cn.com/tousu/show/id/1343596</v>
      </c>
      <c r="F12239" s="2" t="s">
        <v>11</v>
      </c>
      <c r="G12239" s="2" t="s">
        <v>20085</v>
      </c>
      <c r="H12239" s="2" t="s">
        <v>20086</v>
      </c>
    </row>
    <row r="12240" spans="1:8" ht="25.05" customHeight="1" x14ac:dyDescent="0.25">
      <c r="A12240" s="2" t="s">
        <v>8</v>
      </c>
      <c r="B12240" s="2" t="str">
        <f>HYPERLINK("http://ts.21cn.com/tousu/show/id/1343598","花转转（樱桃小借）7天一期高利息")</f>
        <v>花转转（樱桃小借）7天一期高利息</v>
      </c>
      <c r="C12240" s="2" t="s">
        <v>9</v>
      </c>
      <c r="D12240" s="2" t="s">
        <v>10</v>
      </c>
      <c r="E12240" s="2" t="str">
        <f>HYPERLINK("http://ts.21cn.com/tousu/show/id/1343598","http://ts.21cn.com/tousu/show/id/1343598")</f>
        <v>http://ts.21cn.com/tousu/show/id/1343598</v>
      </c>
      <c r="F12240" s="2" t="s">
        <v>11</v>
      </c>
      <c r="G12240" s="2" t="s">
        <v>20083</v>
      </c>
      <c r="H12240" s="2" t="s">
        <v>20084</v>
      </c>
    </row>
    <row r="12241" spans="1:8" ht="25.05" customHeight="1" x14ac:dyDescent="0.25">
      <c r="A12241" s="2" t="s">
        <v>8</v>
      </c>
      <c r="B12241" s="2" t="str">
        <f>HYPERLINK("http://ts.21cn.com/tousu/show/id/1343599","立借钱置宝砍头息")</f>
        <v>立借钱置宝砍头息</v>
      </c>
      <c r="C12241" s="2" t="s">
        <v>34</v>
      </c>
      <c r="D12241" s="2" t="s">
        <v>10</v>
      </c>
      <c r="E12241" s="2" t="str">
        <f>HYPERLINK("http://ts.21cn.com/tousu/show/id/1343599","http://ts.21cn.com/tousu/show/id/1343599")</f>
        <v>http://ts.21cn.com/tousu/show/id/1343599</v>
      </c>
      <c r="F12241" s="2" t="s">
        <v>11</v>
      </c>
      <c r="G12241" s="2" t="s">
        <v>20081</v>
      </c>
      <c r="H12241" s="2" t="s">
        <v>20082</v>
      </c>
    </row>
    <row r="12242" spans="1:8" ht="25.05" customHeight="1" x14ac:dyDescent="0.25">
      <c r="A12242" s="2" t="s">
        <v>8</v>
      </c>
      <c r="B12242" s="2" t="str">
        <f>HYPERLINK("http://ts.21cn.com/tousu/show/id/1343600","哈啰单车恶意收取调度费")</f>
        <v>哈啰单车恶意收取调度费</v>
      </c>
      <c r="C12242" s="2" t="s">
        <v>9</v>
      </c>
      <c r="D12242" s="2" t="s">
        <v>10</v>
      </c>
      <c r="E12242" s="2" t="str">
        <f>HYPERLINK("http://ts.21cn.com/tousu/show/id/1343600","http://ts.21cn.com/tousu/show/id/1343600")</f>
        <v>http://ts.21cn.com/tousu/show/id/1343600</v>
      </c>
      <c r="F12242" s="2" t="s">
        <v>11</v>
      </c>
      <c r="G12242" s="2" t="s">
        <v>20079</v>
      </c>
      <c r="H12242" s="2" t="s">
        <v>20080</v>
      </c>
    </row>
    <row r="12243" spans="1:8" ht="25.05" customHeight="1" x14ac:dyDescent="0.25">
      <c r="A12243" s="2" t="s">
        <v>8</v>
      </c>
      <c r="B12243" s="2" t="str">
        <f>HYPERLINK("http://ts.21cn.com/tousu/show/id/1343601","你我贷")</f>
        <v>你我贷</v>
      </c>
      <c r="C12243" s="2" t="s">
        <v>34</v>
      </c>
      <c r="D12243" s="2" t="s">
        <v>10</v>
      </c>
      <c r="E12243" s="2" t="str">
        <f>HYPERLINK("http://ts.21cn.com/tousu/show/id/1343601","http://ts.21cn.com/tousu/show/id/1343601")</f>
        <v>http://ts.21cn.com/tousu/show/id/1343601</v>
      </c>
      <c r="F12243" s="2" t="s">
        <v>11</v>
      </c>
      <c r="G12243" s="2" t="s">
        <v>20076</v>
      </c>
      <c r="H12243" s="2" t="s">
        <v>20077</v>
      </c>
    </row>
    <row r="12244" spans="1:8" ht="25.05" customHeight="1" x14ac:dyDescent="0.25">
      <c r="A12244" s="2" t="s">
        <v>8</v>
      </c>
      <c r="B12244" s="2" t="str">
        <f>HYPERLINK("http://ts.21cn.com/tousu/show/id/1343602","滴滴九江公司的负责人不作为，我们广大九江滴滴司机早已向滴滴平台提出诉求要求办理个人车辆运营资格证，可是公司管理人员就是不")</f>
        <v>滴滴九江公司的负责人不作为，我们广大九江滴滴司机早已向滴滴平台提出诉求要求办理个人车辆运营资格证，可是公司管理人员就是不</v>
      </c>
      <c r="C12244" s="2" t="s">
        <v>9</v>
      </c>
      <c r="D12244" s="2" t="s">
        <v>10</v>
      </c>
      <c r="E12244" s="2" t="str">
        <f>HYPERLINK("http://ts.21cn.com/tousu/show/id/1343602","http://ts.21cn.com/tousu/show/id/1343602")</f>
        <v>http://ts.21cn.com/tousu/show/id/1343602</v>
      </c>
      <c r="F12244" s="2" t="s">
        <v>11</v>
      </c>
      <c r="G12244" s="2" t="s">
        <v>20076</v>
      </c>
      <c r="H12244" s="2" t="s">
        <v>20078</v>
      </c>
    </row>
    <row r="12245" spans="1:8" ht="25.05" customHeight="1" x14ac:dyDescent="0.25">
      <c r="A12245" s="2" t="s">
        <v>8</v>
      </c>
      <c r="B12245" s="2" t="str">
        <f>HYPERLINK("http://ts.21cn.com/tousu/show/id/1343603","红宝石客服联系不上")</f>
        <v>红宝石客服联系不上</v>
      </c>
      <c r="C12245" s="2" t="s">
        <v>34</v>
      </c>
      <c r="D12245" s="2" t="s">
        <v>10</v>
      </c>
      <c r="E12245" s="2" t="str">
        <f>HYPERLINK("http://ts.21cn.com/tousu/show/id/1343603","http://ts.21cn.com/tousu/show/id/1343603")</f>
        <v>http://ts.21cn.com/tousu/show/id/1343603</v>
      </c>
      <c r="F12245" s="2" t="s">
        <v>11</v>
      </c>
      <c r="G12245" s="2" t="s">
        <v>20074</v>
      </c>
      <c r="H12245" s="2" t="s">
        <v>20075</v>
      </c>
    </row>
    <row r="12246" spans="1:8" ht="25.05" customHeight="1" x14ac:dyDescent="0.25">
      <c r="A12246" s="2" t="s">
        <v>8</v>
      </c>
      <c r="B12246" s="2" t="str">
        <f>HYPERLINK("http://ts.21cn.com/tousu/show/id/1343604","好分期高利息，提前结清还要全部利息")</f>
        <v>好分期高利息，提前结清还要全部利息</v>
      </c>
      <c r="C12246" s="2" t="s">
        <v>9</v>
      </c>
      <c r="D12246" s="2" t="s">
        <v>10</v>
      </c>
      <c r="E12246" s="2" t="str">
        <f>HYPERLINK("http://ts.21cn.com/tousu/show/id/1343604","http://ts.21cn.com/tousu/show/id/1343604")</f>
        <v>http://ts.21cn.com/tousu/show/id/1343604</v>
      </c>
      <c r="F12246" s="2" t="s">
        <v>11</v>
      </c>
      <c r="G12246" s="2" t="s">
        <v>20072</v>
      </c>
      <c r="H12246" s="2" t="s">
        <v>20073</v>
      </c>
    </row>
    <row r="12247" spans="1:8" ht="25.05" customHeight="1" x14ac:dyDescent="0.25">
      <c r="A12247" s="2" t="s">
        <v>8</v>
      </c>
      <c r="B12247" s="2" t="str">
        <f>HYPERLINK("http://ts.21cn.com/tousu/show/id/1343605","拼多多商家未按照规定时间发货，要求退款拒绝退款。")</f>
        <v>拼多多商家未按照规定时间发货，要求退款拒绝退款。</v>
      </c>
      <c r="C12247" s="2" t="s">
        <v>9</v>
      </c>
      <c r="D12247" s="2" t="s">
        <v>10</v>
      </c>
      <c r="E12247" s="2" t="str">
        <f>HYPERLINK("http://ts.21cn.com/tousu/show/id/1343605","http://ts.21cn.com/tousu/show/id/1343605")</f>
        <v>http://ts.21cn.com/tousu/show/id/1343605</v>
      </c>
      <c r="F12247" s="2" t="s">
        <v>11</v>
      </c>
      <c r="G12247" s="2" t="s">
        <v>20070</v>
      </c>
      <c r="H12247" s="2" t="s">
        <v>20071</v>
      </c>
    </row>
    <row r="12248" spans="1:8" ht="25.05" customHeight="1" x14ac:dyDescent="0.25">
      <c r="A12248" s="2" t="s">
        <v>8</v>
      </c>
      <c r="B12248" s="2" t="str">
        <f>HYPERLINK("http://ts.21cn.com/tousu/show/id/1343607","贷款三万，实到帐二万三，7千砍头息")</f>
        <v>贷款三万，实到帐二万三，7千砍头息</v>
      </c>
      <c r="C12248" s="2" t="s">
        <v>9</v>
      </c>
      <c r="D12248" s="2" t="s">
        <v>10</v>
      </c>
      <c r="E12248" s="2" t="str">
        <f>HYPERLINK("http://ts.21cn.com/tousu/show/id/1343607","http://ts.21cn.com/tousu/show/id/1343607")</f>
        <v>http://ts.21cn.com/tousu/show/id/1343607</v>
      </c>
      <c r="F12248" s="2" t="s">
        <v>11</v>
      </c>
      <c r="G12248" s="2" t="s">
        <v>20068</v>
      </c>
      <c r="H12248" s="2" t="s">
        <v>20069</v>
      </c>
    </row>
    <row r="12249" spans="1:8" ht="25.05" customHeight="1" x14ac:dyDescent="0.25">
      <c r="A12249" s="2" t="s">
        <v>8</v>
      </c>
      <c r="B12249" s="2" t="str">
        <f>HYPERLINK("http://ts.21cn.com/tousu/show/id/1343606","蜂窝钱包砍头息")</f>
        <v>蜂窝钱包砍头息</v>
      </c>
      <c r="C12249" s="2" t="s">
        <v>9</v>
      </c>
      <c r="D12249" s="2" t="s">
        <v>10</v>
      </c>
      <c r="E12249" s="2" t="str">
        <f>HYPERLINK("http://ts.21cn.com/tousu/show/id/1343606","http://ts.21cn.com/tousu/show/id/1343606")</f>
        <v>http://ts.21cn.com/tousu/show/id/1343606</v>
      </c>
      <c r="F12249" s="2" t="s">
        <v>11</v>
      </c>
      <c r="G12249" s="2" t="s">
        <v>20066</v>
      </c>
      <c r="H12249" s="2" t="s">
        <v>20067</v>
      </c>
    </row>
    <row r="12250" spans="1:8" ht="25.05" customHeight="1" x14ac:dyDescent="0.25">
      <c r="A12250" s="2" t="s">
        <v>8</v>
      </c>
      <c r="B12250" s="2" t="str">
        <f>HYPERLINK("http://ts.21cn.com/tousu/show/id/1343608","证大财富高利贷")</f>
        <v>证大财富高利贷</v>
      </c>
      <c r="C12250" s="2" t="s">
        <v>9</v>
      </c>
      <c r="D12250" s="2" t="s">
        <v>10</v>
      </c>
      <c r="E12250" s="2" t="str">
        <f>HYPERLINK("http://ts.21cn.com/tousu/show/id/1343608","http://ts.21cn.com/tousu/show/id/1343608")</f>
        <v>http://ts.21cn.com/tousu/show/id/1343608</v>
      </c>
      <c r="F12250" s="2" t="s">
        <v>11</v>
      </c>
      <c r="G12250" s="2" t="s">
        <v>20064</v>
      </c>
      <c r="H12250" s="2" t="s">
        <v>20065</v>
      </c>
    </row>
    <row r="12251" spans="1:8" ht="25.05" customHeight="1" x14ac:dyDescent="0.25">
      <c r="A12251" s="2" t="s">
        <v>8</v>
      </c>
      <c r="B12251" s="2" t="str">
        <f>HYPERLINK("http://ts.21cn.com/tousu/show/id/1343610","贷上钱，砍头费用，骚扰通信录")</f>
        <v>贷上钱，砍头费用，骚扰通信录</v>
      </c>
      <c r="C12251" s="2" t="s">
        <v>9</v>
      </c>
      <c r="D12251" s="2" t="s">
        <v>10</v>
      </c>
      <c r="E12251" s="2" t="str">
        <f>HYPERLINK("http://ts.21cn.com/tousu/show/id/1343610","http://ts.21cn.com/tousu/show/id/1343610")</f>
        <v>http://ts.21cn.com/tousu/show/id/1343610</v>
      </c>
      <c r="F12251" s="2" t="s">
        <v>11</v>
      </c>
      <c r="G12251" s="2" t="s">
        <v>20062</v>
      </c>
      <c r="H12251" s="2" t="s">
        <v>20063</v>
      </c>
    </row>
    <row r="12252" spans="1:8" ht="25.05" customHeight="1" x14ac:dyDescent="0.25">
      <c r="A12252" s="2" t="s">
        <v>8</v>
      </c>
      <c r="B12252" s="2" t="str">
        <f>HYPERLINK("http://ts.21cn.com/tousu/show/id/1343609","高利贷，分三期高达800多")</f>
        <v>高利贷，分三期高达800多</v>
      </c>
      <c r="C12252" s="2" t="s">
        <v>9</v>
      </c>
      <c r="D12252" s="2" t="s">
        <v>10</v>
      </c>
      <c r="E12252" s="2" t="str">
        <f>HYPERLINK("http://ts.21cn.com/tousu/show/id/1343609","http://ts.21cn.com/tousu/show/id/1343609")</f>
        <v>http://ts.21cn.com/tousu/show/id/1343609</v>
      </c>
      <c r="F12252" s="2" t="s">
        <v>11</v>
      </c>
      <c r="G12252" s="2" t="s">
        <v>20060</v>
      </c>
      <c r="H12252" s="2" t="s">
        <v>20061</v>
      </c>
    </row>
    <row r="12253" spans="1:8" ht="25.05" customHeight="1" x14ac:dyDescent="0.25">
      <c r="A12253" s="2" t="s">
        <v>8</v>
      </c>
      <c r="B12253" s="2" t="str">
        <f>HYPERLINK("http://ts.21cn.com/tousu/show/id/1343612","骚扰，恐吓")</f>
        <v>骚扰，恐吓</v>
      </c>
      <c r="C12253" s="2" t="s">
        <v>9</v>
      </c>
      <c r="D12253" s="2" t="s">
        <v>10</v>
      </c>
      <c r="E12253" s="2" t="str">
        <f>HYPERLINK("http://ts.21cn.com/tousu/show/id/1343612","http://ts.21cn.com/tousu/show/id/1343612")</f>
        <v>http://ts.21cn.com/tousu/show/id/1343612</v>
      </c>
      <c r="F12253" s="2" t="s">
        <v>11</v>
      </c>
      <c r="G12253" s="2" t="s">
        <v>20058</v>
      </c>
      <c r="H12253" s="2" t="s">
        <v>20059</v>
      </c>
    </row>
    <row r="12254" spans="1:8" ht="25.05" customHeight="1" x14ac:dyDescent="0.25">
      <c r="A12254" s="2" t="s">
        <v>8</v>
      </c>
      <c r="B12254" s="2" t="str">
        <f>HYPERLINK("http://ts.21cn.com/tousu/show/id/1343611","小黄车欺诈营销，将199押金转年卡")</f>
        <v>小黄车欺诈营销，将199押金转年卡</v>
      </c>
      <c r="C12254" s="2" t="s">
        <v>9</v>
      </c>
      <c r="D12254" s="2" t="s">
        <v>10</v>
      </c>
      <c r="E12254" s="2" t="str">
        <f>HYPERLINK("http://ts.21cn.com/tousu/show/id/1343611","http://ts.21cn.com/tousu/show/id/1343611")</f>
        <v>http://ts.21cn.com/tousu/show/id/1343611</v>
      </c>
      <c r="F12254" s="2" t="s">
        <v>11</v>
      </c>
      <c r="G12254" s="2" t="s">
        <v>20056</v>
      </c>
      <c r="H12254" s="2" t="s">
        <v>20057</v>
      </c>
    </row>
    <row r="12255" spans="1:8" ht="25.05" customHeight="1" x14ac:dyDescent="0.25">
      <c r="A12255" s="2" t="s">
        <v>8</v>
      </c>
      <c r="B12255" s="2" t="str">
        <f>HYPERLINK("http://ts.21cn.com/tousu/show/id/1343613","10.8号进入东莞北收费站，走的人工服务站员在弄闸口的机器，示意直接放行。但到广州科韵路收费站被告知停车查看后多缴25元")</f>
        <v>10.8号进入东莞北收费站，走的人工服务站员在弄闸口的机器，示意直接放行。但到广州科韵路收费站被告知停车查看后多缴25元</v>
      </c>
      <c r="C12255" s="2" t="s">
        <v>9</v>
      </c>
      <c r="D12255" s="2" t="s">
        <v>10</v>
      </c>
      <c r="E12255" s="2" t="str">
        <f>HYPERLINK("http://ts.21cn.com/tousu/show/id/1343613","http://ts.21cn.com/tousu/show/id/1343613")</f>
        <v>http://ts.21cn.com/tousu/show/id/1343613</v>
      </c>
      <c r="F12255" s="2" t="s">
        <v>11</v>
      </c>
      <c r="G12255" s="2" t="s">
        <v>20054</v>
      </c>
      <c r="H12255" s="2" t="s">
        <v>20055</v>
      </c>
    </row>
    <row r="12256" spans="1:8" ht="25.05" customHeight="1" x14ac:dyDescent="0.25">
      <c r="A12256" s="2" t="s">
        <v>8</v>
      </c>
      <c r="B12256" s="2" t="str">
        <f>HYPERLINK("http://ts.21cn.com/tousu/show/id/1343615","富友支付为信尔富这类高利贷提供自动扣费业务")</f>
        <v>富友支付为信尔富这类高利贷提供自动扣费业务</v>
      </c>
      <c r="C12256" s="2" t="s">
        <v>9</v>
      </c>
      <c r="D12256" s="2" t="s">
        <v>10</v>
      </c>
      <c r="E12256" s="2" t="str">
        <f>HYPERLINK("http://ts.21cn.com/tousu/show/id/1343615","http://ts.21cn.com/tousu/show/id/1343615")</f>
        <v>http://ts.21cn.com/tousu/show/id/1343615</v>
      </c>
      <c r="F12256" s="2" t="s">
        <v>11</v>
      </c>
      <c r="G12256" s="2" t="s">
        <v>20052</v>
      </c>
      <c r="H12256" s="2" t="s">
        <v>20053</v>
      </c>
    </row>
    <row r="12257" spans="1:8" ht="25.05" customHeight="1" x14ac:dyDescent="0.25">
      <c r="A12257" s="2" t="s">
        <v>8</v>
      </c>
      <c r="B12257" s="2" t="str">
        <f>HYPERLINK("http://ts.21cn.com/tousu/show/id/1343614","东亚银行暴力催收")</f>
        <v>东亚银行暴力催收</v>
      </c>
      <c r="C12257" s="2" t="s">
        <v>9</v>
      </c>
      <c r="D12257" s="2" t="s">
        <v>10</v>
      </c>
      <c r="E12257" s="2" t="str">
        <f>HYPERLINK("http://ts.21cn.com/tousu/show/id/1343614","http://ts.21cn.com/tousu/show/id/1343614")</f>
        <v>http://ts.21cn.com/tousu/show/id/1343614</v>
      </c>
      <c r="F12257" s="2" t="s">
        <v>11</v>
      </c>
      <c r="G12257" s="2" t="s">
        <v>20050</v>
      </c>
      <c r="H12257" s="2" t="s">
        <v>20051</v>
      </c>
    </row>
    <row r="12258" spans="1:8" ht="25.05" customHeight="1" x14ac:dyDescent="0.25">
      <c r="A12258" s="2" t="s">
        <v>8</v>
      </c>
      <c r="B12258" s="2" t="str">
        <f>HYPERLINK("http://ts.21cn.com/tousu/show/id/1343616","苏宁欺诈行为")</f>
        <v>苏宁欺诈行为</v>
      </c>
      <c r="C12258" s="2" t="s">
        <v>9</v>
      </c>
      <c r="D12258" s="2" t="s">
        <v>10</v>
      </c>
      <c r="E12258" s="2" t="str">
        <f>HYPERLINK("http://ts.21cn.com/tousu/show/id/1343616","http://ts.21cn.com/tousu/show/id/1343616")</f>
        <v>http://ts.21cn.com/tousu/show/id/1343616</v>
      </c>
      <c r="F12258" s="2" t="s">
        <v>11</v>
      </c>
      <c r="G12258" s="2" t="s">
        <v>20048</v>
      </c>
      <c r="H12258" s="2" t="s">
        <v>20049</v>
      </c>
    </row>
    <row r="12259" spans="1:8" ht="25.05" customHeight="1" x14ac:dyDescent="0.25">
      <c r="A12259" s="2" t="s">
        <v>8</v>
      </c>
      <c r="B12259" s="2" t="str">
        <f>HYPERLINK("http://ts.21cn.com/tousu/show/id/1343617","催收骚扰家人，恶语相向")</f>
        <v>催收骚扰家人，恶语相向</v>
      </c>
      <c r="C12259" s="2" t="s">
        <v>9</v>
      </c>
      <c r="D12259" s="2" t="s">
        <v>10</v>
      </c>
      <c r="E12259" s="2" t="str">
        <f>HYPERLINK("http://ts.21cn.com/tousu/show/id/1343617","http://ts.21cn.com/tousu/show/id/1343617")</f>
        <v>http://ts.21cn.com/tousu/show/id/1343617</v>
      </c>
      <c r="F12259" s="2" t="s">
        <v>11</v>
      </c>
      <c r="G12259" s="2" t="s">
        <v>20046</v>
      </c>
      <c r="H12259" s="2" t="s">
        <v>20047</v>
      </c>
    </row>
    <row r="12260" spans="1:8" ht="25.05" customHeight="1" x14ac:dyDescent="0.25">
      <c r="A12260" s="2" t="s">
        <v>8</v>
      </c>
      <c r="B12260" s="2" t="str">
        <f>HYPERLINK("http://ts.21cn.com/tousu/show/id/1343619","不知情的情况下随意扣费")</f>
        <v>不知情的情况下随意扣费</v>
      </c>
      <c r="C12260" s="2" t="s">
        <v>9</v>
      </c>
      <c r="D12260" s="2" t="s">
        <v>10</v>
      </c>
      <c r="E12260" s="2" t="str">
        <f>HYPERLINK("http://ts.21cn.com/tousu/show/id/1343619","http://ts.21cn.com/tousu/show/id/1343619")</f>
        <v>http://ts.21cn.com/tousu/show/id/1343619</v>
      </c>
      <c r="F12260" s="2" t="s">
        <v>11</v>
      </c>
      <c r="G12260" s="2" t="s">
        <v>20044</v>
      </c>
      <c r="H12260" s="2" t="s">
        <v>20045</v>
      </c>
    </row>
    <row r="12261" spans="1:8" ht="25.05" customHeight="1" x14ac:dyDescent="0.25">
      <c r="A12261" s="2" t="s">
        <v>8</v>
      </c>
      <c r="B12261" s="2" t="str">
        <f>HYPERLINK("http://ts.21cn.com/tousu/show/id/1343620","造艺科技扣除299至今没有返还")</f>
        <v>造艺科技扣除299至今没有返还</v>
      </c>
      <c r="C12261" s="2" t="s">
        <v>9</v>
      </c>
      <c r="D12261" s="2" t="s">
        <v>10</v>
      </c>
      <c r="E12261" s="2" t="str">
        <f>HYPERLINK("http://ts.21cn.com/tousu/show/id/1343620","http://ts.21cn.com/tousu/show/id/1343620")</f>
        <v>http://ts.21cn.com/tousu/show/id/1343620</v>
      </c>
      <c r="F12261" s="2" t="s">
        <v>11</v>
      </c>
      <c r="G12261" s="2" t="s">
        <v>20042</v>
      </c>
      <c r="H12261" s="2" t="s">
        <v>20043</v>
      </c>
    </row>
    <row r="12262" spans="1:8" ht="25.05" customHeight="1" x14ac:dyDescent="0.25">
      <c r="A12262" s="2" t="s">
        <v>8</v>
      </c>
      <c r="B12262" s="2" t="str">
        <f>HYPERLINK("http://ts.21cn.com/tousu/show/id/1343621","暴力催收，太嚣张了。")</f>
        <v>暴力催收，太嚣张了。</v>
      </c>
      <c r="C12262" s="2" t="s">
        <v>9</v>
      </c>
      <c r="D12262" s="2" t="s">
        <v>10</v>
      </c>
      <c r="E12262" s="2" t="str">
        <f>HYPERLINK("http://ts.21cn.com/tousu/show/id/1343621","http://ts.21cn.com/tousu/show/id/1343621")</f>
        <v>http://ts.21cn.com/tousu/show/id/1343621</v>
      </c>
      <c r="F12262" s="2" t="s">
        <v>11</v>
      </c>
      <c r="G12262" s="2" t="s">
        <v>20040</v>
      </c>
      <c r="H12262" s="2" t="s">
        <v>20041</v>
      </c>
    </row>
    <row r="12263" spans="1:8" ht="25.05" customHeight="1" x14ac:dyDescent="0.25">
      <c r="A12263" s="2" t="s">
        <v>8</v>
      </c>
      <c r="B12263" s="2" t="str">
        <f>HYPERLINK("http://ts.21cn.com/tousu/show/id/1343623","安逸花催收恶劣")</f>
        <v>安逸花催收恶劣</v>
      </c>
      <c r="C12263" s="2" t="s">
        <v>9</v>
      </c>
      <c r="D12263" s="2" t="s">
        <v>10</v>
      </c>
      <c r="E12263" s="2" t="str">
        <f>HYPERLINK("http://ts.21cn.com/tousu/show/id/1343623","http://ts.21cn.com/tousu/show/id/1343623")</f>
        <v>http://ts.21cn.com/tousu/show/id/1343623</v>
      </c>
      <c r="F12263" s="2" t="s">
        <v>11</v>
      </c>
      <c r="G12263" s="2" t="s">
        <v>20038</v>
      </c>
      <c r="H12263" s="2" t="s">
        <v>20039</v>
      </c>
    </row>
    <row r="12264" spans="1:8" ht="25.05" customHeight="1" x14ac:dyDescent="0.25">
      <c r="A12264" s="2" t="s">
        <v>8</v>
      </c>
      <c r="B12264" s="2" t="str">
        <f>HYPERLINK("http://ts.21cn.com/tousu/show/id/1343624","通联支付违法代扣")</f>
        <v>通联支付违法代扣</v>
      </c>
      <c r="C12264" s="2" t="s">
        <v>9</v>
      </c>
      <c r="D12264" s="2" t="s">
        <v>10</v>
      </c>
      <c r="E12264" s="2" t="str">
        <f>HYPERLINK("http://ts.21cn.com/tousu/show/id/1343624","http://ts.21cn.com/tousu/show/id/1343624")</f>
        <v>http://ts.21cn.com/tousu/show/id/1343624</v>
      </c>
      <c r="F12264" s="2" t="s">
        <v>11</v>
      </c>
      <c r="G12264" s="2" t="s">
        <v>20036</v>
      </c>
      <c r="H12264" s="2" t="s">
        <v>20037</v>
      </c>
    </row>
    <row r="12265" spans="1:8" ht="25.05" customHeight="1" x14ac:dyDescent="0.25">
      <c r="A12265" s="2" t="s">
        <v>8</v>
      </c>
      <c r="B12265" s="2" t="str">
        <f>HYPERLINK("http://ts.21cn.com/tousu/show/id/1343625","交易猫买了理赔账号被找回不理陪")</f>
        <v>交易猫买了理赔账号被找回不理陪</v>
      </c>
      <c r="C12265" s="2" t="s">
        <v>9</v>
      </c>
      <c r="D12265" s="2" t="s">
        <v>10</v>
      </c>
      <c r="E12265" s="2" t="str">
        <f>HYPERLINK("http://ts.21cn.com/tousu/show/id/1343625","http://ts.21cn.com/tousu/show/id/1343625")</f>
        <v>http://ts.21cn.com/tousu/show/id/1343625</v>
      </c>
      <c r="F12265" s="2" t="s">
        <v>11</v>
      </c>
      <c r="G12265" s="2" t="s">
        <v>20034</v>
      </c>
      <c r="H12265" s="2" t="s">
        <v>20035</v>
      </c>
    </row>
    <row r="12266" spans="1:8" ht="25.05" customHeight="1" x14ac:dyDescent="0.25">
      <c r="A12266" s="2" t="s">
        <v>8</v>
      </c>
      <c r="B12266" s="2" t="str">
        <f>HYPERLINK("http://ts.21cn.com/tousu/show/id/1343629","销账，调整利息")</f>
        <v>销账，调整利息</v>
      </c>
      <c r="C12266" s="2" t="s">
        <v>9</v>
      </c>
      <c r="D12266" s="2" t="s">
        <v>10</v>
      </c>
      <c r="E12266" s="2" t="str">
        <f>HYPERLINK("http://ts.21cn.com/tousu/show/id/1343629","http://ts.21cn.com/tousu/show/id/1343629")</f>
        <v>http://ts.21cn.com/tousu/show/id/1343629</v>
      </c>
      <c r="F12266" s="2" t="s">
        <v>11</v>
      </c>
      <c r="G12266" s="2" t="s">
        <v>20032</v>
      </c>
      <c r="H12266" s="2" t="s">
        <v>20033</v>
      </c>
    </row>
    <row r="12267" spans="1:8" ht="25.05" customHeight="1" x14ac:dyDescent="0.25">
      <c r="A12267" s="2" t="s">
        <v>8</v>
      </c>
      <c r="B12267" s="2" t="str">
        <f>HYPERLINK("http://ts.21cn.com/tousu/show/id/1343628","高利贷")</f>
        <v>高利贷</v>
      </c>
      <c r="C12267" s="2" t="s">
        <v>9</v>
      </c>
      <c r="D12267" s="2" t="s">
        <v>10</v>
      </c>
      <c r="E12267" s="2" t="str">
        <f>HYPERLINK("http://ts.21cn.com/tousu/show/id/1343628","http://ts.21cn.com/tousu/show/id/1343628")</f>
        <v>http://ts.21cn.com/tousu/show/id/1343628</v>
      </c>
      <c r="F12267" s="2" t="s">
        <v>11</v>
      </c>
      <c r="G12267" s="2" t="s">
        <v>20030</v>
      </c>
      <c r="H12267" s="2" t="s">
        <v>20031</v>
      </c>
    </row>
    <row r="12268" spans="1:8" ht="25.05" customHeight="1" x14ac:dyDescent="0.25">
      <c r="A12268" s="2" t="s">
        <v>8</v>
      </c>
      <c r="B12268" s="2" t="str">
        <f>HYPERLINK("http://ts.21cn.com/tousu/show/id/1343626","信用卡骚扰电话")</f>
        <v>信用卡骚扰电话</v>
      </c>
      <c r="C12268" s="2" t="s">
        <v>9</v>
      </c>
      <c r="D12268" s="2" t="s">
        <v>10</v>
      </c>
      <c r="E12268" s="2" t="str">
        <f>HYPERLINK("http://ts.21cn.com/tousu/show/id/1343626","http://ts.21cn.com/tousu/show/id/1343626")</f>
        <v>http://ts.21cn.com/tousu/show/id/1343626</v>
      </c>
      <c r="F12268" s="2" t="s">
        <v>11</v>
      </c>
      <c r="G12268" s="2" t="s">
        <v>20028</v>
      </c>
      <c r="H12268" s="2" t="s">
        <v>20029</v>
      </c>
    </row>
    <row r="12269" spans="1:8" ht="25.05" customHeight="1" x14ac:dyDescent="0.25">
      <c r="A12269" s="2" t="s">
        <v>8</v>
      </c>
      <c r="B12269" s="2" t="str">
        <f>HYPERLINK("http://ts.21cn.com/tousu/show/id/1343627","暴力催收砍头息高利贷")</f>
        <v>暴力催收砍头息高利贷</v>
      </c>
      <c r="C12269" s="2" t="s">
        <v>9</v>
      </c>
      <c r="D12269" s="2" t="s">
        <v>10</v>
      </c>
      <c r="E12269" s="2" t="str">
        <f>HYPERLINK("http://ts.21cn.com/tousu/show/id/1343627","http://ts.21cn.com/tousu/show/id/1343627")</f>
        <v>http://ts.21cn.com/tousu/show/id/1343627</v>
      </c>
      <c r="F12269" s="2" t="s">
        <v>11</v>
      </c>
      <c r="G12269" s="2" t="s">
        <v>20026</v>
      </c>
      <c r="H12269" s="2" t="s">
        <v>20027</v>
      </c>
    </row>
    <row r="12270" spans="1:8" ht="25.05" customHeight="1" x14ac:dyDescent="0.25">
      <c r="A12270" s="2" t="s">
        <v>8</v>
      </c>
      <c r="B12270" s="2" t="str">
        <f>HYPERLINK("http://ts.21cn.com/tousu/show/id/1343630","借趣花旗下百信银行威胁我要爆通讯录要联系我公司")</f>
        <v>借趣花旗下百信银行威胁我要爆通讯录要联系我公司</v>
      </c>
      <c r="C12270" s="2" t="s">
        <v>9</v>
      </c>
      <c r="D12270" s="2" t="s">
        <v>10</v>
      </c>
      <c r="E12270" s="2" t="str">
        <f>HYPERLINK("http://ts.21cn.com/tousu/show/id/1343630","http://ts.21cn.com/tousu/show/id/1343630")</f>
        <v>http://ts.21cn.com/tousu/show/id/1343630</v>
      </c>
      <c r="F12270" s="2" t="s">
        <v>11</v>
      </c>
      <c r="G12270" s="2" t="s">
        <v>20024</v>
      </c>
      <c r="H12270" s="2" t="s">
        <v>20025</v>
      </c>
    </row>
    <row r="12271" spans="1:8" ht="25.05" customHeight="1" x14ac:dyDescent="0.25">
      <c r="A12271" s="2" t="s">
        <v>8</v>
      </c>
      <c r="B12271" s="2" t="str">
        <f>HYPERLINK("http://ts.21cn.com/tousu/show/id/1343631","泄露隐私")</f>
        <v>泄露隐私</v>
      </c>
      <c r="C12271" s="2" t="s">
        <v>9</v>
      </c>
      <c r="D12271" s="2" t="s">
        <v>10</v>
      </c>
      <c r="E12271" s="2" t="str">
        <f>HYPERLINK("http://ts.21cn.com/tousu/show/id/1343631","http://ts.21cn.com/tousu/show/id/1343631")</f>
        <v>http://ts.21cn.com/tousu/show/id/1343631</v>
      </c>
      <c r="F12271" s="2" t="s">
        <v>11</v>
      </c>
      <c r="G12271" s="2" t="s">
        <v>20022</v>
      </c>
      <c r="H12271" s="2" t="s">
        <v>20023</v>
      </c>
    </row>
    <row r="12272" spans="1:8" ht="25.05" customHeight="1" x14ac:dyDescent="0.25">
      <c r="A12272" s="2" t="s">
        <v>8</v>
      </c>
      <c r="B12272" s="2" t="str">
        <f>HYPERLINK("http://ts.21cn.com/tousu/show/id/1343633","在苏宁易购参加活动买的螃蟹，八只死了五只")</f>
        <v>在苏宁易购参加活动买的螃蟹，八只死了五只</v>
      </c>
      <c r="C12272" s="2" t="s">
        <v>34</v>
      </c>
      <c r="D12272" s="2" t="s">
        <v>10</v>
      </c>
      <c r="E12272" s="2" t="str">
        <f>HYPERLINK("http://ts.21cn.com/tousu/show/id/1343633","http://ts.21cn.com/tousu/show/id/1343633")</f>
        <v>http://ts.21cn.com/tousu/show/id/1343633</v>
      </c>
      <c r="F12272" s="2" t="s">
        <v>11</v>
      </c>
      <c r="G12272" s="2" t="s">
        <v>20020</v>
      </c>
      <c r="H12272" s="2" t="s">
        <v>20021</v>
      </c>
    </row>
    <row r="12273" spans="1:8" ht="25.05" customHeight="1" x14ac:dyDescent="0.25">
      <c r="A12273" s="2" t="s">
        <v>8</v>
      </c>
      <c r="B12273" s="2" t="str">
        <f>HYPERLINK("http://ts.21cn.com/tousu/show/id/1343634","新浪分期收费不合理")</f>
        <v>新浪分期收费不合理</v>
      </c>
      <c r="C12273" s="2" t="s">
        <v>9</v>
      </c>
      <c r="D12273" s="2" t="s">
        <v>10</v>
      </c>
      <c r="E12273" s="2" t="str">
        <f>HYPERLINK("http://ts.21cn.com/tousu/show/id/1343634","http://ts.21cn.com/tousu/show/id/1343634")</f>
        <v>http://ts.21cn.com/tousu/show/id/1343634</v>
      </c>
      <c r="F12273" s="2" t="s">
        <v>11</v>
      </c>
      <c r="G12273" s="2" t="s">
        <v>20018</v>
      </c>
      <c r="H12273" s="2" t="s">
        <v>20019</v>
      </c>
    </row>
    <row r="12274" spans="1:8" ht="25.05" customHeight="1" x14ac:dyDescent="0.25">
      <c r="A12274" s="2" t="s">
        <v>8</v>
      </c>
      <c r="B12274" s="2" t="str">
        <f>HYPERLINK("http://ts.21cn.com/tousu/show/id/1343635","暴力催收威胁爆通讯录")</f>
        <v>暴力催收威胁爆通讯录</v>
      </c>
      <c r="C12274" s="2" t="s">
        <v>9</v>
      </c>
      <c r="D12274" s="2" t="s">
        <v>10</v>
      </c>
      <c r="E12274" s="2" t="str">
        <f>HYPERLINK("http://ts.21cn.com/tousu/show/id/1343635","http://ts.21cn.com/tousu/show/id/1343635")</f>
        <v>http://ts.21cn.com/tousu/show/id/1343635</v>
      </c>
      <c r="F12274" s="2" t="s">
        <v>11</v>
      </c>
      <c r="G12274" s="2" t="s">
        <v>20016</v>
      </c>
      <c r="H12274" s="2" t="s">
        <v>20017</v>
      </c>
    </row>
    <row r="12275" spans="1:8" ht="25.05" customHeight="1" x14ac:dyDescent="0.25">
      <c r="A12275" s="2" t="s">
        <v>8</v>
      </c>
      <c r="B12275" s="2" t="str">
        <f>HYPERLINK("http://ts.21cn.com/tousu/show/id/1343636","广发银行信用卡催收人员直接骚扰家人")</f>
        <v>广发银行信用卡催收人员直接骚扰家人</v>
      </c>
      <c r="C12275" s="2" t="s">
        <v>9</v>
      </c>
      <c r="D12275" s="2" t="s">
        <v>10</v>
      </c>
      <c r="E12275" s="2" t="str">
        <f>HYPERLINK("http://ts.21cn.com/tousu/show/id/1343636","http://ts.21cn.com/tousu/show/id/1343636")</f>
        <v>http://ts.21cn.com/tousu/show/id/1343636</v>
      </c>
      <c r="F12275" s="2" t="s">
        <v>11</v>
      </c>
      <c r="G12275" s="2" t="s">
        <v>20014</v>
      </c>
      <c r="H12275" s="2" t="s">
        <v>20015</v>
      </c>
    </row>
    <row r="12276" spans="1:8" ht="25.05" customHeight="1" x14ac:dyDescent="0.25">
      <c r="A12276" s="2" t="s">
        <v>8</v>
      </c>
      <c r="B12276" s="2" t="str">
        <f>HYPERLINK("http://ts.21cn.com/tousu/show/id/1343638","非法扣款")</f>
        <v>非法扣款</v>
      </c>
      <c r="C12276" s="2" t="s">
        <v>9</v>
      </c>
      <c r="D12276" s="2" t="s">
        <v>10</v>
      </c>
      <c r="E12276" s="2" t="str">
        <f>HYPERLINK("http://ts.21cn.com/tousu/show/id/1343638","http://ts.21cn.com/tousu/show/id/1343638")</f>
        <v>http://ts.21cn.com/tousu/show/id/1343638</v>
      </c>
      <c r="F12276" s="2" t="s">
        <v>11</v>
      </c>
      <c r="G12276" s="2" t="s">
        <v>20012</v>
      </c>
      <c r="H12276" s="2" t="s">
        <v>20013</v>
      </c>
    </row>
    <row r="12277" spans="1:8" ht="25.05" customHeight="1" x14ac:dyDescent="0.25">
      <c r="A12277" s="2" t="s">
        <v>8</v>
      </c>
      <c r="B12277" s="2" t="str">
        <f>HYPERLINK("http://ts.21cn.com/tousu/show/id/1343637","这个造艺科技，和涨盈普惠是一起黑平台")</f>
        <v>这个造艺科技，和涨盈普惠是一起黑平台</v>
      </c>
      <c r="C12277" s="2" t="s">
        <v>9</v>
      </c>
      <c r="D12277" s="2" t="s">
        <v>10</v>
      </c>
      <c r="E12277" s="2" t="str">
        <f>HYPERLINK("http://ts.21cn.com/tousu/show/id/1343637","http://ts.21cn.com/tousu/show/id/1343637")</f>
        <v>http://ts.21cn.com/tousu/show/id/1343637</v>
      </c>
      <c r="F12277" s="2" t="s">
        <v>11</v>
      </c>
      <c r="G12277" s="2" t="s">
        <v>20010</v>
      </c>
      <c r="H12277" s="2" t="s">
        <v>20011</v>
      </c>
    </row>
    <row r="12278" spans="1:8" ht="25.05" customHeight="1" x14ac:dyDescent="0.25">
      <c r="A12278" s="2" t="s">
        <v>8</v>
      </c>
      <c r="B12278" s="2" t="str">
        <f>HYPERLINK("http://ts.21cn.com/tousu/show/id/1343640","快手帐号登录问题")</f>
        <v>快手帐号登录问题</v>
      </c>
      <c r="C12278" s="2" t="s">
        <v>9</v>
      </c>
      <c r="D12278" s="2" t="s">
        <v>10</v>
      </c>
      <c r="E12278" s="2" t="str">
        <f>HYPERLINK("http://ts.21cn.com/tousu/show/id/1343640","http://ts.21cn.com/tousu/show/id/1343640")</f>
        <v>http://ts.21cn.com/tousu/show/id/1343640</v>
      </c>
      <c r="F12278" s="2" t="s">
        <v>11</v>
      </c>
      <c r="G12278" s="2" t="s">
        <v>20008</v>
      </c>
      <c r="H12278" s="2" t="s">
        <v>20009</v>
      </c>
    </row>
    <row r="12279" spans="1:8" ht="25.05" customHeight="1" x14ac:dyDescent="0.25">
      <c r="A12279" s="2" t="s">
        <v>8</v>
      </c>
      <c r="B12279" s="2" t="str">
        <f>HYPERLINK("http://ts.21cn.com/tousu/show/id/1343639","交通银行爆力催收")</f>
        <v>交通银行爆力催收</v>
      </c>
      <c r="C12279" s="2" t="s">
        <v>9</v>
      </c>
      <c r="D12279" s="2" t="s">
        <v>10</v>
      </c>
      <c r="E12279" s="2" t="str">
        <f>HYPERLINK("http://ts.21cn.com/tousu/show/id/1343639","http://ts.21cn.com/tousu/show/id/1343639")</f>
        <v>http://ts.21cn.com/tousu/show/id/1343639</v>
      </c>
      <c r="F12279" s="2" t="s">
        <v>11</v>
      </c>
      <c r="G12279" s="2" t="s">
        <v>20006</v>
      </c>
      <c r="H12279" s="2" t="s">
        <v>20007</v>
      </c>
    </row>
    <row r="12280" spans="1:8" ht="25.05" customHeight="1" x14ac:dyDescent="0.25">
      <c r="A12280" s="2" t="s">
        <v>8</v>
      </c>
      <c r="B12280" s="2" t="str">
        <f>HYPERLINK("http://ts.21cn.com/tousu/show/id/1343643","小浦优客昨晚扣除我银行卡296元！没经过我本人同意就扣钱！联系客服没人搭理！296没说就扣了！请贵平台帮忙处理！这个小浦")</f>
        <v>小浦优客昨晚扣除我银行卡296元！没经过我本人同意就扣钱！联系客服没人搭理！296没说就扣了！请贵平台帮忙处理！这个小浦</v>
      </c>
      <c r="C12280" s="2" t="s">
        <v>9</v>
      </c>
      <c r="D12280" s="2" t="s">
        <v>10</v>
      </c>
      <c r="E12280" s="2" t="str">
        <f>HYPERLINK("http://ts.21cn.com/tousu/show/id/1343643","http://ts.21cn.com/tousu/show/id/1343643")</f>
        <v>http://ts.21cn.com/tousu/show/id/1343643</v>
      </c>
      <c r="F12280" s="2" t="s">
        <v>11</v>
      </c>
      <c r="G12280" s="2" t="s">
        <v>20004</v>
      </c>
      <c r="H12280" s="2" t="s">
        <v>20005</v>
      </c>
    </row>
    <row r="12281" spans="1:8" ht="25.05" customHeight="1" x14ac:dyDescent="0.25">
      <c r="A12281" s="2" t="s">
        <v>8</v>
      </c>
      <c r="B12281" s="2" t="str">
        <f>HYPERLINK("http://ts.21cn.com/tousu/show/id/1343642","新橙优品砍头息、高利贷")</f>
        <v>新橙优品砍头息、高利贷</v>
      </c>
      <c r="C12281" s="2" t="s">
        <v>9</v>
      </c>
      <c r="D12281" s="2" t="s">
        <v>10</v>
      </c>
      <c r="E12281" s="2" t="str">
        <f>HYPERLINK("http://ts.21cn.com/tousu/show/id/1343642","http://ts.21cn.com/tousu/show/id/1343642")</f>
        <v>http://ts.21cn.com/tousu/show/id/1343642</v>
      </c>
      <c r="F12281" s="2" t="s">
        <v>11</v>
      </c>
      <c r="G12281" s="2" t="s">
        <v>20002</v>
      </c>
      <c r="H12281" s="2" t="s">
        <v>20003</v>
      </c>
    </row>
    <row r="12282" spans="1:8" ht="25.05" customHeight="1" x14ac:dyDescent="0.25">
      <c r="A12282" s="2" t="s">
        <v>8</v>
      </c>
      <c r="B12282" s="2" t="str">
        <f>HYPERLINK("http://ts.21cn.com/tousu/show/id/1343622","北京敬钰科技有限公司糊弄消费者")</f>
        <v>北京敬钰科技有限公司糊弄消费者</v>
      </c>
      <c r="C12282" s="2" t="s">
        <v>9</v>
      </c>
      <c r="D12282" s="2" t="s">
        <v>10</v>
      </c>
      <c r="E12282" s="2" t="str">
        <f>HYPERLINK("http://ts.21cn.com/tousu/show/id/1343622","http://ts.21cn.com/tousu/show/id/1343622")</f>
        <v>http://ts.21cn.com/tousu/show/id/1343622</v>
      </c>
      <c r="F12282" s="2" t="s">
        <v>11</v>
      </c>
      <c r="G12282" s="2" t="s">
        <v>20000</v>
      </c>
      <c r="H12282" s="2" t="s">
        <v>20001</v>
      </c>
    </row>
    <row r="12283" spans="1:8" ht="25.05" customHeight="1" x14ac:dyDescent="0.25">
      <c r="A12283" s="2" t="s">
        <v>8</v>
      </c>
      <c r="B12283" s="2" t="str">
        <f>HYPERLINK("http://ts.21cn.com/tousu/show/id/788750","贷上钱以买游戏豆为由收取高额贷款通过费")</f>
        <v>贷上钱以买游戏豆为由收取高额贷款通过费</v>
      </c>
      <c r="C12283" s="2" t="s">
        <v>9</v>
      </c>
      <c r="D12283" s="2" t="s">
        <v>10</v>
      </c>
      <c r="E12283" s="2" t="str">
        <f>HYPERLINK("http://ts.21cn.com/tousu/show/id/788750","http://ts.21cn.com/tousu/show/id/788750")</f>
        <v>http://ts.21cn.com/tousu/show/id/788750</v>
      </c>
      <c r="F12283" s="2" t="s">
        <v>11</v>
      </c>
      <c r="G12283" s="2" t="s">
        <v>19998</v>
      </c>
      <c r="H12283" s="2" t="s">
        <v>19999</v>
      </c>
    </row>
    <row r="12284" spans="1:8" ht="25.05" customHeight="1" x14ac:dyDescent="0.25">
      <c r="A12284" s="2" t="s">
        <v>8</v>
      </c>
      <c r="B12284" s="2" t="str">
        <f>HYPERLINK("http://ts.21cn.com/tousu/show/id/1343644","立刻出行不退换押金")</f>
        <v>立刻出行不退换押金</v>
      </c>
      <c r="C12284" s="2" t="s">
        <v>9</v>
      </c>
      <c r="D12284" s="2" t="s">
        <v>10</v>
      </c>
      <c r="E12284" s="2" t="str">
        <f>HYPERLINK("http://ts.21cn.com/tousu/show/id/1343644","http://ts.21cn.com/tousu/show/id/1343644")</f>
        <v>http://ts.21cn.com/tousu/show/id/1343644</v>
      </c>
      <c r="F12284" s="2" t="s">
        <v>11</v>
      </c>
      <c r="G12284" s="2" t="s">
        <v>19996</v>
      </c>
      <c r="H12284" s="2" t="s">
        <v>19997</v>
      </c>
    </row>
    <row r="12285" spans="1:8" ht="25.05" customHeight="1" x14ac:dyDescent="0.25">
      <c r="A12285" s="2" t="s">
        <v>8</v>
      </c>
      <c r="B12285" s="2" t="str">
        <f>HYPERLINK("http://ts.21cn.com/tousu/show/id/1343647","铁路12306退改签政策霸王条款，火车票无法办理退改签")</f>
        <v>铁路12306退改签政策霸王条款，火车票无法办理退改签</v>
      </c>
      <c r="C12285" s="2" t="s">
        <v>9</v>
      </c>
      <c r="D12285" s="2" t="s">
        <v>10</v>
      </c>
      <c r="E12285" s="2" t="str">
        <f>HYPERLINK("http://ts.21cn.com/tousu/show/id/1343647","http://ts.21cn.com/tousu/show/id/1343647")</f>
        <v>http://ts.21cn.com/tousu/show/id/1343647</v>
      </c>
      <c r="F12285" s="2" t="s">
        <v>11</v>
      </c>
      <c r="G12285" s="2" t="s">
        <v>19994</v>
      </c>
      <c r="H12285" s="2" t="s">
        <v>19995</v>
      </c>
    </row>
    <row r="12286" spans="1:8" ht="25.05" customHeight="1" x14ac:dyDescent="0.25">
      <c r="A12286" s="2" t="s">
        <v>8</v>
      </c>
      <c r="B12286" s="2" t="str">
        <f>HYPERLINK("http://ts.21cn.com/tousu/show/id/1343645","投诉今日头条放心购不退还保证金")</f>
        <v>投诉今日头条放心购不退还保证金</v>
      </c>
      <c r="C12286" s="2" t="s">
        <v>9</v>
      </c>
      <c r="D12286" s="2" t="s">
        <v>10</v>
      </c>
      <c r="E12286" s="2" t="str">
        <f>HYPERLINK("http://ts.21cn.com/tousu/show/id/1343645","http://ts.21cn.com/tousu/show/id/1343645")</f>
        <v>http://ts.21cn.com/tousu/show/id/1343645</v>
      </c>
      <c r="F12286" s="2" t="s">
        <v>11</v>
      </c>
      <c r="G12286" s="2" t="s">
        <v>19992</v>
      </c>
      <c r="H12286" s="2" t="s">
        <v>19993</v>
      </c>
    </row>
    <row r="12287" spans="1:8" ht="25.05" customHeight="1" x14ac:dyDescent="0.25">
      <c r="A12287" s="2" t="s">
        <v>8</v>
      </c>
      <c r="B12287" s="2" t="str">
        <f>HYPERLINK("http://ts.21cn.com/tousu/show/id/1343646","承诺退款，没退款")</f>
        <v>承诺退款，没退款</v>
      </c>
      <c r="C12287" s="2" t="s">
        <v>34</v>
      </c>
      <c r="D12287" s="2" t="s">
        <v>10</v>
      </c>
      <c r="E12287" s="2" t="str">
        <f>HYPERLINK("http://ts.21cn.com/tousu/show/id/1343646","http://ts.21cn.com/tousu/show/id/1343646")</f>
        <v>http://ts.21cn.com/tousu/show/id/1343646</v>
      </c>
      <c r="F12287" s="2" t="s">
        <v>11</v>
      </c>
      <c r="G12287" s="2" t="s">
        <v>19990</v>
      </c>
      <c r="H12287" s="2" t="s">
        <v>19991</v>
      </c>
    </row>
    <row r="12288" spans="1:8" ht="25.05" customHeight="1" x14ac:dyDescent="0.25">
      <c r="A12288" s="2" t="s">
        <v>8</v>
      </c>
      <c r="B12288" s="2" t="str">
        <f>HYPERLINK("http://ts.21cn.com/tousu/show/id/1343632","交通银行未经本人同意透露他人隐私暴力催收")</f>
        <v>交通银行未经本人同意透露他人隐私暴力催收</v>
      </c>
      <c r="C12288" s="2" t="s">
        <v>9</v>
      </c>
      <c r="D12288" s="2" t="s">
        <v>10</v>
      </c>
      <c r="E12288" s="2" t="str">
        <f>HYPERLINK("http://ts.21cn.com/tousu/show/id/1343632","http://ts.21cn.com/tousu/show/id/1343632")</f>
        <v>http://ts.21cn.com/tousu/show/id/1343632</v>
      </c>
      <c r="F12288" s="2" t="s">
        <v>11</v>
      </c>
      <c r="G12288" s="2" t="s">
        <v>19988</v>
      </c>
      <c r="H12288" s="2" t="s">
        <v>19989</v>
      </c>
    </row>
    <row r="12289" spans="1:8" ht="25.05" customHeight="1" x14ac:dyDescent="0.25">
      <c r="A12289" s="2" t="s">
        <v>8</v>
      </c>
      <c r="B12289" s="2" t="str">
        <f>HYPERLINK("http://ts.21cn.com/tousu/show/id/1343618","钱站高利贷阴阳合同")</f>
        <v>钱站高利贷阴阳合同</v>
      </c>
      <c r="C12289" s="2" t="s">
        <v>9</v>
      </c>
      <c r="D12289" s="2" t="s">
        <v>10</v>
      </c>
      <c r="E12289" s="2" t="str">
        <f>HYPERLINK("http://ts.21cn.com/tousu/show/id/1343618","http://ts.21cn.com/tousu/show/id/1343618")</f>
        <v>http://ts.21cn.com/tousu/show/id/1343618</v>
      </c>
      <c r="F12289" s="2" t="s">
        <v>11</v>
      </c>
      <c r="G12289" s="2" t="s">
        <v>19986</v>
      </c>
      <c r="H12289" s="2" t="s">
        <v>19987</v>
      </c>
    </row>
    <row r="12290" spans="1:8" ht="25.05" customHeight="1" x14ac:dyDescent="0.25">
      <c r="A12290" s="2" t="s">
        <v>8</v>
      </c>
      <c r="B12290" s="2" t="str">
        <f>HYPERLINK("http://ts.21cn.com/tousu/show/id/1343648","信用卡失效导致无法还款，银行却电话骚扰")</f>
        <v>信用卡失效导致无法还款，银行却电话骚扰</v>
      </c>
      <c r="C12290" s="2" t="s">
        <v>9</v>
      </c>
      <c r="D12290" s="2" t="s">
        <v>10</v>
      </c>
      <c r="E12290" s="2" t="str">
        <f>HYPERLINK("http://ts.21cn.com/tousu/show/id/1343648","http://ts.21cn.com/tousu/show/id/1343648")</f>
        <v>http://ts.21cn.com/tousu/show/id/1343648</v>
      </c>
      <c r="F12290" s="2" t="s">
        <v>11</v>
      </c>
      <c r="G12290" s="2" t="s">
        <v>19984</v>
      </c>
      <c r="H12290" s="2" t="s">
        <v>19985</v>
      </c>
    </row>
    <row r="12291" spans="1:8" ht="25.05" customHeight="1" x14ac:dyDescent="0.25">
      <c r="A12291" s="2" t="s">
        <v>8</v>
      </c>
      <c r="B12291" s="2" t="str">
        <f>HYPERLINK("http://ts.21cn.com/tousu/show/id/1343649","催收恶劣")</f>
        <v>催收恶劣</v>
      </c>
      <c r="C12291" s="2" t="s">
        <v>9</v>
      </c>
      <c r="D12291" s="2" t="s">
        <v>10</v>
      </c>
      <c r="E12291" s="2" t="str">
        <f>HYPERLINK("http://ts.21cn.com/tousu/show/id/1343649","http://ts.21cn.com/tousu/show/id/1343649")</f>
        <v>http://ts.21cn.com/tousu/show/id/1343649</v>
      </c>
      <c r="F12291" s="2" t="s">
        <v>11</v>
      </c>
      <c r="G12291" s="2" t="s">
        <v>19982</v>
      </c>
      <c r="H12291" s="2" t="s">
        <v>19983</v>
      </c>
    </row>
    <row r="12292" spans="1:8" ht="25.05" customHeight="1" x14ac:dyDescent="0.25">
      <c r="A12292" s="2" t="s">
        <v>8</v>
      </c>
      <c r="B12292" s="2" t="str">
        <f>HYPERLINK("http://ts.21cn.com/tousu/show/id/1343650","同程威胁")</f>
        <v>同程威胁</v>
      </c>
      <c r="C12292" s="2" t="s">
        <v>9</v>
      </c>
      <c r="D12292" s="2" t="s">
        <v>10</v>
      </c>
      <c r="E12292" s="2" t="str">
        <f>HYPERLINK("http://ts.21cn.com/tousu/show/id/1343650","http://ts.21cn.com/tousu/show/id/1343650")</f>
        <v>http://ts.21cn.com/tousu/show/id/1343650</v>
      </c>
      <c r="F12292" s="2" t="s">
        <v>11</v>
      </c>
      <c r="G12292" s="2" t="s">
        <v>19980</v>
      </c>
      <c r="H12292" s="2" t="s">
        <v>19981</v>
      </c>
    </row>
    <row r="12293" spans="1:8" ht="25.05" customHeight="1" x14ac:dyDescent="0.25">
      <c r="A12293" s="2" t="s">
        <v>8</v>
      </c>
      <c r="B12293" s="2" t="str">
        <f>HYPERLINK("http://ts.21cn.com/tousu/show/id/1343651","拼多多限制资金，欺诈行为")</f>
        <v>拼多多限制资金，欺诈行为</v>
      </c>
      <c r="C12293" s="2" t="s">
        <v>9</v>
      </c>
      <c r="D12293" s="2" t="s">
        <v>10</v>
      </c>
      <c r="E12293" s="2" t="str">
        <f>HYPERLINK("http://ts.21cn.com/tousu/show/id/1343651","http://ts.21cn.com/tousu/show/id/1343651")</f>
        <v>http://ts.21cn.com/tousu/show/id/1343651</v>
      </c>
      <c r="F12293" s="2" t="s">
        <v>11</v>
      </c>
      <c r="G12293" s="2" t="s">
        <v>19978</v>
      </c>
      <c r="H12293" s="2" t="s">
        <v>19979</v>
      </c>
    </row>
    <row r="12294" spans="1:8" ht="25.05" customHeight="1" x14ac:dyDescent="0.25">
      <c r="A12294" s="2" t="s">
        <v>8</v>
      </c>
      <c r="B12294" s="2" t="str">
        <f>HYPERLINK("http://ts.21cn.com/tousu/show/id/1343652","投诉多次一直没人解决")</f>
        <v>投诉多次一直没人解决</v>
      </c>
      <c r="C12294" s="2" t="s">
        <v>9</v>
      </c>
      <c r="D12294" s="2" t="s">
        <v>10</v>
      </c>
      <c r="E12294" s="2" t="str">
        <f>HYPERLINK("http://ts.21cn.com/tousu/show/id/1343652","http://ts.21cn.com/tousu/show/id/1343652")</f>
        <v>http://ts.21cn.com/tousu/show/id/1343652</v>
      </c>
      <c r="F12294" s="2" t="s">
        <v>11</v>
      </c>
      <c r="G12294" s="2" t="s">
        <v>19976</v>
      </c>
      <c r="H12294" s="2" t="s">
        <v>19977</v>
      </c>
    </row>
    <row r="12295" spans="1:8" ht="25.05" customHeight="1" x14ac:dyDescent="0.25">
      <c r="A12295" s="2" t="s">
        <v>8</v>
      </c>
      <c r="B12295" s="2" t="str">
        <f>HYPERLINK("http://ts.21cn.com/tousu/show/id/1343653","频繁骚扰")</f>
        <v>频繁骚扰</v>
      </c>
      <c r="C12295" s="2" t="s">
        <v>9</v>
      </c>
      <c r="D12295" s="2" t="s">
        <v>10</v>
      </c>
      <c r="E12295" s="2" t="str">
        <f>HYPERLINK("http://ts.21cn.com/tousu/show/id/1343653","http://ts.21cn.com/tousu/show/id/1343653")</f>
        <v>http://ts.21cn.com/tousu/show/id/1343653</v>
      </c>
      <c r="F12295" s="2" t="s">
        <v>11</v>
      </c>
      <c r="G12295" s="2" t="s">
        <v>19974</v>
      </c>
      <c r="H12295" s="2" t="s">
        <v>19975</v>
      </c>
    </row>
    <row r="12296" spans="1:8" ht="25.05" customHeight="1" x14ac:dyDescent="0.25">
      <c r="A12296" s="2" t="s">
        <v>8</v>
      </c>
      <c r="B12296" s="2" t="str">
        <f>HYPERLINK("http://ts.21cn.com/tousu/show/id/1343654","钱站")</f>
        <v>钱站</v>
      </c>
      <c r="C12296" s="2" t="s">
        <v>9</v>
      </c>
      <c r="D12296" s="2" t="s">
        <v>10</v>
      </c>
      <c r="E12296" s="2" t="str">
        <f>HYPERLINK("http://ts.21cn.com/tousu/show/id/1343654","http://ts.21cn.com/tousu/show/id/1343654")</f>
        <v>http://ts.21cn.com/tousu/show/id/1343654</v>
      </c>
      <c r="F12296" s="2" t="s">
        <v>11</v>
      </c>
      <c r="G12296" s="2" t="s">
        <v>19972</v>
      </c>
      <c r="H12296" s="2" t="s">
        <v>19973</v>
      </c>
    </row>
    <row r="12297" spans="1:8" ht="25.05" customHeight="1" x14ac:dyDescent="0.25">
      <c r="A12297" s="2" t="s">
        <v>8</v>
      </c>
      <c r="B12297" s="2" t="str">
        <f>HYPERLINK("http://ts.21cn.com/tousu/show/id/1343655","泄露信息，暴力催收")</f>
        <v>泄露信息，暴力催收</v>
      </c>
      <c r="C12297" s="2" t="s">
        <v>9</v>
      </c>
      <c r="D12297" s="2" t="s">
        <v>10</v>
      </c>
      <c r="E12297" s="2" t="str">
        <f>HYPERLINK("http://ts.21cn.com/tousu/show/id/1343655","http://ts.21cn.com/tousu/show/id/1343655")</f>
        <v>http://ts.21cn.com/tousu/show/id/1343655</v>
      </c>
      <c r="F12297" s="2" t="s">
        <v>11</v>
      </c>
      <c r="G12297" s="2" t="s">
        <v>19969</v>
      </c>
      <c r="H12297" s="2" t="s">
        <v>19970</v>
      </c>
    </row>
    <row r="12298" spans="1:8" ht="25.05" customHeight="1" x14ac:dyDescent="0.25">
      <c r="A12298" s="2" t="s">
        <v>8</v>
      </c>
      <c r="B12298" s="2" t="str">
        <f>HYPERLINK("http://ts.21cn.com/tousu/show/id/1343656","兴业银行你三番五次上门是几个意思")</f>
        <v>兴业银行你三番五次上门是几个意思</v>
      </c>
      <c r="C12298" s="2" t="s">
        <v>9</v>
      </c>
      <c r="D12298" s="2" t="s">
        <v>10</v>
      </c>
      <c r="E12298" s="2" t="str">
        <f>HYPERLINK("http://ts.21cn.com/tousu/show/id/1343656","http://ts.21cn.com/tousu/show/id/1343656")</f>
        <v>http://ts.21cn.com/tousu/show/id/1343656</v>
      </c>
      <c r="F12298" s="2" t="s">
        <v>11</v>
      </c>
      <c r="G12298" s="2" t="s">
        <v>19969</v>
      </c>
      <c r="H12298" s="2" t="s">
        <v>19971</v>
      </c>
    </row>
    <row r="12299" spans="1:8" ht="25.05" customHeight="1" x14ac:dyDescent="0.25">
      <c r="A12299" s="2" t="s">
        <v>8</v>
      </c>
      <c r="B12299" s="2" t="str">
        <f>HYPERLINK("http://ts.21cn.com/tousu/show/id/1343657","选择生命人寿，有你好受")</f>
        <v>选择生命人寿，有你好受</v>
      </c>
      <c r="C12299" s="2" t="s">
        <v>9</v>
      </c>
      <c r="D12299" s="2" t="s">
        <v>10</v>
      </c>
      <c r="E12299" s="2" t="str">
        <f>HYPERLINK("http://ts.21cn.com/tousu/show/id/1343657","http://ts.21cn.com/tousu/show/id/1343657")</f>
        <v>http://ts.21cn.com/tousu/show/id/1343657</v>
      </c>
      <c r="F12299" s="2" t="s">
        <v>11</v>
      </c>
      <c r="G12299" s="2" t="s">
        <v>19966</v>
      </c>
      <c r="H12299" s="2" t="s">
        <v>19967</v>
      </c>
    </row>
    <row r="12300" spans="1:8" ht="25.05" customHeight="1" x14ac:dyDescent="0.25">
      <c r="A12300" s="2" t="s">
        <v>8</v>
      </c>
      <c r="B12300" s="2" t="str">
        <f>HYPERLINK("http://ts.21cn.com/tousu/show/id/1343658","小浦优客app恶意扣款")</f>
        <v>小浦优客app恶意扣款</v>
      </c>
      <c r="C12300" s="2" t="s">
        <v>9</v>
      </c>
      <c r="D12300" s="2" t="s">
        <v>10</v>
      </c>
      <c r="E12300" s="2" t="str">
        <f>HYPERLINK("http://ts.21cn.com/tousu/show/id/1343658","http://ts.21cn.com/tousu/show/id/1343658")</f>
        <v>http://ts.21cn.com/tousu/show/id/1343658</v>
      </c>
      <c r="F12300" s="2" t="s">
        <v>11</v>
      </c>
      <c r="G12300" s="2" t="s">
        <v>19966</v>
      </c>
      <c r="H12300" s="2" t="s">
        <v>19968</v>
      </c>
    </row>
    <row r="12301" spans="1:8" ht="25.05" customHeight="1" x14ac:dyDescent="0.25">
      <c r="A12301" s="2" t="s">
        <v>8</v>
      </c>
      <c r="B12301" s="2" t="str">
        <f>HYPERLINK("http://ts.21cn.com/tousu/show/id/1343659","闪银至尊借款")</f>
        <v>闪银至尊借款</v>
      </c>
      <c r="C12301" s="2" t="s">
        <v>9</v>
      </c>
      <c r="D12301" s="2" t="s">
        <v>10</v>
      </c>
      <c r="E12301" s="2" t="str">
        <f>HYPERLINK("http://ts.21cn.com/tousu/show/id/1343659","http://ts.21cn.com/tousu/show/id/1343659")</f>
        <v>http://ts.21cn.com/tousu/show/id/1343659</v>
      </c>
      <c r="F12301" s="2" t="s">
        <v>11</v>
      </c>
      <c r="G12301" s="2" t="s">
        <v>19964</v>
      </c>
      <c r="H12301" s="2" t="s">
        <v>19965</v>
      </c>
    </row>
    <row r="12302" spans="1:8" ht="25.05" customHeight="1" x14ac:dyDescent="0.25">
      <c r="A12302" s="2" t="s">
        <v>8</v>
      </c>
      <c r="B12302" s="2" t="str">
        <f>HYPERLINK("http://ts.21cn.com/tousu/show/id/1343660","借贷宝催收威胁骚扰我和朋友")</f>
        <v>借贷宝催收威胁骚扰我和朋友</v>
      </c>
      <c r="C12302" s="2" t="s">
        <v>9</v>
      </c>
      <c r="D12302" s="2" t="s">
        <v>10</v>
      </c>
      <c r="E12302" s="2" t="str">
        <f>HYPERLINK("http://ts.21cn.com/tousu/show/id/1343660","http://ts.21cn.com/tousu/show/id/1343660")</f>
        <v>http://ts.21cn.com/tousu/show/id/1343660</v>
      </c>
      <c r="F12302" s="2" t="s">
        <v>11</v>
      </c>
      <c r="G12302" s="2" t="s">
        <v>19962</v>
      </c>
      <c r="H12302" s="2" t="s">
        <v>19963</v>
      </c>
    </row>
    <row r="12303" spans="1:8" ht="25.05" customHeight="1" x14ac:dyDescent="0.25">
      <c r="A12303" s="2" t="s">
        <v>8</v>
      </c>
      <c r="B12303" s="2" t="str">
        <f>HYPERLINK("http://ts.21cn.com/tousu/show/id/1343662","平安普惠贷款隐瞒隐藏并强制收取高额保险费管理费投诉事宜")</f>
        <v>平安普惠贷款隐瞒隐藏并强制收取高额保险费管理费投诉事宜</v>
      </c>
      <c r="C12303" s="2" t="s">
        <v>9</v>
      </c>
      <c r="D12303" s="2" t="s">
        <v>10</v>
      </c>
      <c r="E12303" s="2" t="str">
        <f>HYPERLINK("http://ts.21cn.com/tousu/show/id/1343662","http://ts.21cn.com/tousu/show/id/1343662")</f>
        <v>http://ts.21cn.com/tousu/show/id/1343662</v>
      </c>
      <c r="F12303" s="2" t="s">
        <v>11</v>
      </c>
      <c r="G12303" s="2" t="s">
        <v>19960</v>
      </c>
      <c r="H12303" s="2" t="s">
        <v>19961</v>
      </c>
    </row>
    <row r="12304" spans="1:8" ht="25.05" customHeight="1" x14ac:dyDescent="0.25">
      <c r="A12304" s="2" t="s">
        <v>8</v>
      </c>
      <c r="B12304" s="2" t="str">
        <f>HYPERLINK("http://ts.21cn.com/tousu/show/id/1343661","信而富催收语言全是威胁")</f>
        <v>信而富催收语言全是威胁</v>
      </c>
      <c r="C12304" s="2" t="s">
        <v>9</v>
      </c>
      <c r="D12304" s="2" t="s">
        <v>10</v>
      </c>
      <c r="E12304" s="2" t="str">
        <f>HYPERLINK("http://ts.21cn.com/tousu/show/id/1343661","http://ts.21cn.com/tousu/show/id/1343661")</f>
        <v>http://ts.21cn.com/tousu/show/id/1343661</v>
      </c>
      <c r="F12304" s="2" t="s">
        <v>11</v>
      </c>
      <c r="G12304" s="2" t="s">
        <v>19958</v>
      </c>
      <c r="H12304" s="2" t="s">
        <v>19959</v>
      </c>
    </row>
    <row r="12305" spans="1:8" ht="25.05" customHeight="1" x14ac:dyDescent="0.25">
      <c r="A12305" s="2" t="s">
        <v>8</v>
      </c>
      <c r="B12305" s="2" t="str">
        <f>HYPERLINK("http://ts.21cn.com/tousu/show/id/1343663","大量用户无法退还立刻出行499元押金")</f>
        <v>大量用户无法退还立刻出行499元押金</v>
      </c>
      <c r="C12305" s="2" t="s">
        <v>9</v>
      </c>
      <c r="D12305" s="2" t="s">
        <v>10</v>
      </c>
      <c r="E12305" s="2" t="str">
        <f>HYPERLINK("http://ts.21cn.com/tousu/show/id/1343663","http://ts.21cn.com/tousu/show/id/1343663")</f>
        <v>http://ts.21cn.com/tousu/show/id/1343663</v>
      </c>
      <c r="F12305" s="2" t="s">
        <v>11</v>
      </c>
      <c r="G12305" s="2" t="s">
        <v>19956</v>
      </c>
      <c r="H12305" s="2" t="s">
        <v>19957</v>
      </c>
    </row>
    <row r="12306" spans="1:8" ht="25.05" customHeight="1" x14ac:dyDescent="0.25">
      <c r="A12306" s="2" t="s">
        <v>8</v>
      </c>
      <c r="B12306" s="2" t="str">
        <f>HYPERLINK("http://ts.21cn.com/tousu/show/id/1343664","轻周转芒果筹系统升级导致逾期")</f>
        <v>轻周转芒果筹系统升级导致逾期</v>
      </c>
      <c r="C12306" s="2" t="s">
        <v>9</v>
      </c>
      <c r="D12306" s="2" t="s">
        <v>10</v>
      </c>
      <c r="E12306" s="2" t="str">
        <f>HYPERLINK("http://ts.21cn.com/tousu/show/id/1343664","http://ts.21cn.com/tousu/show/id/1343664")</f>
        <v>http://ts.21cn.com/tousu/show/id/1343664</v>
      </c>
      <c r="F12306" s="2" t="s">
        <v>11</v>
      </c>
      <c r="G12306" s="2" t="s">
        <v>19954</v>
      </c>
      <c r="H12306" s="2" t="s">
        <v>19955</v>
      </c>
    </row>
    <row r="12307" spans="1:8" ht="25.05" customHeight="1" x14ac:dyDescent="0.25">
      <c r="A12307" s="2" t="s">
        <v>8</v>
      </c>
      <c r="B12307" s="2" t="str">
        <f>HYPERLINK("http://ts.21cn.com/tousu/show/id/1343666","非法网贷")</f>
        <v>非法网贷</v>
      </c>
      <c r="C12307" s="2" t="s">
        <v>9</v>
      </c>
      <c r="D12307" s="2" t="s">
        <v>10</v>
      </c>
      <c r="E12307" s="2" t="str">
        <f>HYPERLINK("http://ts.21cn.com/tousu/show/id/1343666","http://ts.21cn.com/tousu/show/id/1343666")</f>
        <v>http://ts.21cn.com/tousu/show/id/1343666</v>
      </c>
      <c r="F12307" s="2" t="s">
        <v>11</v>
      </c>
      <c r="G12307" s="2" t="s">
        <v>19952</v>
      </c>
      <c r="H12307" s="2" t="s">
        <v>19953</v>
      </c>
    </row>
    <row r="12308" spans="1:8" ht="25.05" customHeight="1" x14ac:dyDescent="0.25">
      <c r="A12308" s="2" t="s">
        <v>8</v>
      </c>
      <c r="B12308" s="2" t="str">
        <f>HYPERLINK("http://ts.21cn.com/tousu/show/id/1343667","催收凌晨一点打通讯录")</f>
        <v>催收凌晨一点打通讯录</v>
      </c>
      <c r="C12308" s="2" t="s">
        <v>9</v>
      </c>
      <c r="D12308" s="2" t="s">
        <v>10</v>
      </c>
      <c r="E12308" s="2" t="str">
        <f>HYPERLINK("http://ts.21cn.com/tousu/show/id/1343667","http://ts.21cn.com/tousu/show/id/1343667")</f>
        <v>http://ts.21cn.com/tousu/show/id/1343667</v>
      </c>
      <c r="F12308" s="2" t="s">
        <v>11</v>
      </c>
      <c r="G12308" s="2" t="s">
        <v>19950</v>
      </c>
      <c r="H12308" s="2" t="s">
        <v>19951</v>
      </c>
    </row>
    <row r="12309" spans="1:8" ht="25.05" customHeight="1" x14ac:dyDescent="0.25">
      <c r="A12309" s="2" t="s">
        <v>8</v>
      </c>
      <c r="B12309" s="2" t="str">
        <f>HYPERLINK("http://ts.21cn.com/tousu/show/id/1343668","翼支付不经本人同意自动开通话费代交业务并从客户银行卡扣款，此前并未了解有这项业务的开通")</f>
        <v>翼支付不经本人同意自动开通话费代交业务并从客户银行卡扣款，此前并未了解有这项业务的开通</v>
      </c>
      <c r="C12309" s="2" t="s">
        <v>9</v>
      </c>
      <c r="D12309" s="2" t="s">
        <v>10</v>
      </c>
      <c r="E12309" s="2" t="str">
        <f>HYPERLINK("http://ts.21cn.com/tousu/show/id/1343668","http://ts.21cn.com/tousu/show/id/1343668")</f>
        <v>http://ts.21cn.com/tousu/show/id/1343668</v>
      </c>
      <c r="F12309" s="2" t="s">
        <v>11</v>
      </c>
      <c r="G12309" s="2" t="s">
        <v>19948</v>
      </c>
      <c r="H12309" s="2" t="s">
        <v>19949</v>
      </c>
    </row>
    <row r="12310" spans="1:8" ht="25.05" customHeight="1" x14ac:dyDescent="0.25">
      <c r="A12310" s="2" t="s">
        <v>8</v>
      </c>
      <c r="B12310" s="2" t="str">
        <f>HYPERLINK("http://ts.21cn.com/tousu/show/id/1343670","上海造艺网络技术有限公司")</f>
        <v>上海造艺网络技术有限公司</v>
      </c>
      <c r="C12310" s="2" t="s">
        <v>9</v>
      </c>
      <c r="D12310" s="2" t="s">
        <v>10</v>
      </c>
      <c r="E12310" s="2" t="str">
        <f>HYPERLINK("http://ts.21cn.com/tousu/show/id/1343670","http://ts.21cn.com/tousu/show/id/1343670")</f>
        <v>http://ts.21cn.com/tousu/show/id/1343670</v>
      </c>
      <c r="F12310" s="2" t="s">
        <v>11</v>
      </c>
      <c r="G12310" s="2" t="s">
        <v>19946</v>
      </c>
      <c r="H12310" s="2" t="s">
        <v>19947</v>
      </c>
    </row>
    <row r="12311" spans="1:8" ht="25.05" customHeight="1" x14ac:dyDescent="0.25">
      <c r="A12311" s="2" t="s">
        <v>8</v>
      </c>
      <c r="B12311" s="2" t="str">
        <f>HYPERLINK("http://ts.21cn.com/tousu/show/id/1343672","投诉喜鹊快贷，高利贷，非法泄露个人信息，恶意骚扰")</f>
        <v>投诉喜鹊快贷，高利贷，非法泄露个人信息，恶意骚扰</v>
      </c>
      <c r="C12311" s="2" t="s">
        <v>9</v>
      </c>
      <c r="D12311" s="2" t="s">
        <v>10</v>
      </c>
      <c r="E12311" s="2" t="str">
        <f>HYPERLINK("http://ts.21cn.com/tousu/show/id/1343672","http://ts.21cn.com/tousu/show/id/1343672")</f>
        <v>http://ts.21cn.com/tousu/show/id/1343672</v>
      </c>
      <c r="F12311" s="2" t="s">
        <v>11</v>
      </c>
      <c r="G12311" s="2" t="s">
        <v>19944</v>
      </c>
      <c r="H12311" s="2" t="s">
        <v>19945</v>
      </c>
    </row>
    <row r="12312" spans="1:8" ht="25.05" customHeight="1" x14ac:dyDescent="0.25">
      <c r="A12312" s="2" t="s">
        <v>8</v>
      </c>
      <c r="B12312" s="2" t="str">
        <f>HYPERLINK("http://ts.21cn.com/tousu/show/id/1343671","骚扰电话，恐吓！")</f>
        <v>骚扰电话，恐吓！</v>
      </c>
      <c r="C12312" s="2" t="s">
        <v>9</v>
      </c>
      <c r="D12312" s="2" t="s">
        <v>10</v>
      </c>
      <c r="E12312" s="2" t="str">
        <f>HYPERLINK("http://ts.21cn.com/tousu/show/id/1343671","http://ts.21cn.com/tousu/show/id/1343671")</f>
        <v>http://ts.21cn.com/tousu/show/id/1343671</v>
      </c>
      <c r="F12312" s="2" t="s">
        <v>11</v>
      </c>
      <c r="G12312" s="2" t="s">
        <v>19942</v>
      </c>
      <c r="H12312" s="2" t="s">
        <v>19943</v>
      </c>
    </row>
    <row r="12313" spans="1:8" ht="25.05" customHeight="1" x14ac:dyDescent="0.25">
      <c r="A12313" s="2" t="s">
        <v>8</v>
      </c>
      <c r="B12313" s="2" t="str">
        <f>HYPERLINK("http://ts.21cn.com/tousu/show/id/1343673","没有申请贷款，豹子贷在我银行卡里扣除299元")</f>
        <v>没有申请贷款，豹子贷在我银行卡里扣除299元</v>
      </c>
      <c r="C12313" s="2" t="s">
        <v>9</v>
      </c>
      <c r="D12313" s="2" t="s">
        <v>10</v>
      </c>
      <c r="E12313" s="2" t="str">
        <f>HYPERLINK("http://ts.21cn.com/tousu/show/id/1343673","http://ts.21cn.com/tousu/show/id/1343673")</f>
        <v>http://ts.21cn.com/tousu/show/id/1343673</v>
      </c>
      <c r="F12313" s="2" t="s">
        <v>11</v>
      </c>
      <c r="G12313" s="2" t="s">
        <v>19940</v>
      </c>
      <c r="H12313" s="2" t="s">
        <v>19941</v>
      </c>
    </row>
    <row r="12314" spans="1:8" ht="25.05" customHeight="1" x14ac:dyDescent="0.25">
      <c r="A12314" s="2" t="s">
        <v>8</v>
      </c>
      <c r="B12314" s="2" t="str">
        <f>HYPERLINK("http://ts.21cn.com/tousu/show/id/1343674","平安普惠高利贷")</f>
        <v>平安普惠高利贷</v>
      </c>
      <c r="C12314" s="2" t="s">
        <v>9</v>
      </c>
      <c r="D12314" s="2" t="s">
        <v>10</v>
      </c>
      <c r="E12314" s="2" t="str">
        <f>HYPERLINK("http://ts.21cn.com/tousu/show/id/1343674","http://ts.21cn.com/tousu/show/id/1343674")</f>
        <v>http://ts.21cn.com/tousu/show/id/1343674</v>
      </c>
      <c r="F12314" s="2" t="s">
        <v>11</v>
      </c>
      <c r="G12314" s="2" t="s">
        <v>19938</v>
      </c>
      <c r="H12314" s="2" t="s">
        <v>19939</v>
      </c>
    </row>
    <row r="12315" spans="1:8" ht="25.05" customHeight="1" x14ac:dyDescent="0.25">
      <c r="A12315" s="2" t="s">
        <v>8</v>
      </c>
      <c r="B12315" s="2" t="str">
        <f>HYPERLINK("http://ts.21cn.com/tousu/show/id/1343675","海南移动卡开通套餐，基本短信功能无法使用，致电客服三天了没人回电话处理")</f>
        <v>海南移动卡开通套餐，基本短信功能无法使用，致电客服三天了没人回电话处理</v>
      </c>
      <c r="C12315" s="2" t="s">
        <v>9</v>
      </c>
      <c r="D12315" s="2" t="s">
        <v>10</v>
      </c>
      <c r="E12315" s="2" t="str">
        <f>HYPERLINK("http://ts.21cn.com/tousu/show/id/1343675","http://ts.21cn.com/tousu/show/id/1343675")</f>
        <v>http://ts.21cn.com/tousu/show/id/1343675</v>
      </c>
      <c r="F12315" s="2" t="s">
        <v>11</v>
      </c>
      <c r="G12315" s="2" t="s">
        <v>19936</v>
      </c>
      <c r="H12315" s="2" t="s">
        <v>19937</v>
      </c>
    </row>
    <row r="12316" spans="1:8" ht="25.05" customHeight="1" x14ac:dyDescent="0.25">
      <c r="A12316" s="2" t="s">
        <v>8</v>
      </c>
      <c r="B12316" s="2" t="str">
        <f>HYPERLINK("http://ts.21cn.com/tousu/show/id/1343676","王卡助手话费礼包迟迟不发放")</f>
        <v>王卡助手话费礼包迟迟不发放</v>
      </c>
      <c r="C12316" s="2" t="s">
        <v>9</v>
      </c>
      <c r="D12316" s="2" t="s">
        <v>10</v>
      </c>
      <c r="E12316" s="2" t="str">
        <f>HYPERLINK("http://ts.21cn.com/tousu/show/id/1343676","http://ts.21cn.com/tousu/show/id/1343676")</f>
        <v>http://ts.21cn.com/tousu/show/id/1343676</v>
      </c>
      <c r="F12316" s="2" t="s">
        <v>11</v>
      </c>
      <c r="G12316" s="2" t="s">
        <v>19934</v>
      </c>
      <c r="H12316" s="2" t="s">
        <v>19935</v>
      </c>
    </row>
    <row r="12317" spans="1:8" ht="25.05" customHeight="1" x14ac:dyDescent="0.25">
      <c r="A12317" s="2" t="s">
        <v>8</v>
      </c>
      <c r="B12317" s="2" t="str">
        <f>HYPERLINK("http://ts.21cn.com/tousu/show/id/1343677","宜人贷阴阳合同变相收取砍头息")</f>
        <v>宜人贷阴阳合同变相收取砍头息</v>
      </c>
      <c r="C12317" s="2" t="s">
        <v>9</v>
      </c>
      <c r="D12317" s="2" t="s">
        <v>10</v>
      </c>
      <c r="E12317" s="2" t="str">
        <f>HYPERLINK("http://ts.21cn.com/tousu/show/id/1343677","http://ts.21cn.com/tousu/show/id/1343677")</f>
        <v>http://ts.21cn.com/tousu/show/id/1343677</v>
      </c>
      <c r="F12317" s="2" t="s">
        <v>11</v>
      </c>
      <c r="G12317" s="2" t="s">
        <v>19932</v>
      </c>
      <c r="H12317" s="2" t="s">
        <v>19933</v>
      </c>
    </row>
    <row r="12318" spans="1:8" ht="25.05" customHeight="1" x14ac:dyDescent="0.25">
      <c r="A12318" s="2" t="s">
        <v>8</v>
      </c>
      <c r="B12318" s="2" t="str">
        <f>HYPERLINK("http://ts.21cn.com/tousu/show/id/1343678","闪银至尊暴击威胁催收")</f>
        <v>闪银至尊暴击威胁催收</v>
      </c>
      <c r="C12318" s="2" t="s">
        <v>9</v>
      </c>
      <c r="D12318" s="2" t="s">
        <v>10</v>
      </c>
      <c r="E12318" s="2" t="str">
        <f>HYPERLINK("http://ts.21cn.com/tousu/show/id/1343678","http://ts.21cn.com/tousu/show/id/1343678")</f>
        <v>http://ts.21cn.com/tousu/show/id/1343678</v>
      </c>
      <c r="F12318" s="2" t="s">
        <v>11</v>
      </c>
      <c r="G12318" s="2" t="s">
        <v>19930</v>
      </c>
      <c r="H12318" s="2" t="s">
        <v>19931</v>
      </c>
    </row>
    <row r="12319" spans="1:8" ht="25.05" customHeight="1" x14ac:dyDescent="0.25">
      <c r="A12319" s="2" t="s">
        <v>8</v>
      </c>
      <c r="B12319" s="2" t="str">
        <f>HYPERLINK("http://ts.21cn.com/tousu/show/id/1343680","玖富万卡捆绑收取高额费用")</f>
        <v>玖富万卡捆绑收取高额费用</v>
      </c>
      <c r="C12319" s="2" t="s">
        <v>9</v>
      </c>
      <c r="D12319" s="2" t="s">
        <v>10</v>
      </c>
      <c r="E12319" s="2" t="str">
        <f>HYPERLINK("http://ts.21cn.com/tousu/show/id/1343680","http://ts.21cn.com/tousu/show/id/1343680")</f>
        <v>http://ts.21cn.com/tousu/show/id/1343680</v>
      </c>
      <c r="F12319" s="2" t="s">
        <v>11</v>
      </c>
      <c r="G12319" s="2" t="s">
        <v>19928</v>
      </c>
      <c r="H12319" s="2" t="s">
        <v>19929</v>
      </c>
    </row>
    <row r="12320" spans="1:8" ht="25.05" customHeight="1" x14ac:dyDescent="0.25">
      <c r="A12320" s="2" t="s">
        <v>8</v>
      </c>
      <c r="B12320" s="2" t="str">
        <f>HYPERLINK("http://ts.21cn.com/tousu/show/id/1343681","花闪银高利贷")</f>
        <v>花闪银高利贷</v>
      </c>
      <c r="C12320" s="2" t="s">
        <v>9</v>
      </c>
      <c r="D12320" s="2" t="s">
        <v>10</v>
      </c>
      <c r="E12320" s="2" t="str">
        <f>HYPERLINK("http://ts.21cn.com/tousu/show/id/1343681","http://ts.21cn.com/tousu/show/id/1343681")</f>
        <v>http://ts.21cn.com/tousu/show/id/1343681</v>
      </c>
      <c r="F12320" s="2" t="s">
        <v>11</v>
      </c>
      <c r="G12320" s="2" t="s">
        <v>19926</v>
      </c>
      <c r="H12320" s="2" t="s">
        <v>19927</v>
      </c>
    </row>
    <row r="12321" spans="1:8" ht="25.05" customHeight="1" x14ac:dyDescent="0.25">
      <c r="A12321" s="2" t="s">
        <v>8</v>
      </c>
      <c r="B12321" s="2" t="str">
        <f>HYPERLINK("http://ts.21cn.com/tousu/show/id/1343682","小微商户提现处罚除退款外出资金")</f>
        <v>小微商户提现处罚除退款外出资金</v>
      </c>
      <c r="C12321" s="2" t="s">
        <v>9</v>
      </c>
      <c r="D12321" s="2" t="s">
        <v>10</v>
      </c>
      <c r="E12321" s="2" t="str">
        <f>HYPERLINK("http://ts.21cn.com/tousu/show/id/1343682","http://ts.21cn.com/tousu/show/id/1343682")</f>
        <v>http://ts.21cn.com/tousu/show/id/1343682</v>
      </c>
      <c r="F12321" s="2" t="s">
        <v>11</v>
      </c>
      <c r="G12321" s="2" t="s">
        <v>19924</v>
      </c>
      <c r="H12321" s="2" t="s">
        <v>19925</v>
      </c>
    </row>
    <row r="12322" spans="1:8" ht="25.05" customHeight="1" x14ac:dyDescent="0.25">
      <c r="A12322" s="2" t="s">
        <v>8</v>
      </c>
      <c r="B12322" s="2" t="str">
        <f>HYPERLINK("http://ts.21cn.com/tousu/show/id/1343684","捷信公司骚扰单位")</f>
        <v>捷信公司骚扰单位</v>
      </c>
      <c r="C12322" s="2" t="s">
        <v>9</v>
      </c>
      <c r="D12322" s="2" t="s">
        <v>10</v>
      </c>
      <c r="E12322" s="2" t="str">
        <f>HYPERLINK("http://ts.21cn.com/tousu/show/id/1343684","http://ts.21cn.com/tousu/show/id/1343684")</f>
        <v>http://ts.21cn.com/tousu/show/id/1343684</v>
      </c>
      <c r="F12322" s="2" t="s">
        <v>11</v>
      </c>
      <c r="G12322" s="2" t="s">
        <v>19922</v>
      </c>
      <c r="H12322" s="2" t="s">
        <v>19923</v>
      </c>
    </row>
    <row r="12323" spans="1:8" ht="25.05" customHeight="1" x14ac:dyDescent="0.25">
      <c r="A12323" s="2" t="s">
        <v>8</v>
      </c>
      <c r="B12323" s="2" t="str">
        <f>HYPERLINK("http://ts.21cn.com/tousu/show/id/1343686","阴阳合同暴力催收")</f>
        <v>阴阳合同暴力催收</v>
      </c>
      <c r="C12323" s="2" t="s">
        <v>9</v>
      </c>
      <c r="D12323" s="2" t="s">
        <v>10</v>
      </c>
      <c r="E12323" s="2" t="str">
        <f>HYPERLINK("http://ts.21cn.com/tousu/show/id/1343686","http://ts.21cn.com/tousu/show/id/1343686")</f>
        <v>http://ts.21cn.com/tousu/show/id/1343686</v>
      </c>
      <c r="F12323" s="2" t="s">
        <v>11</v>
      </c>
      <c r="G12323" s="2" t="s">
        <v>19920</v>
      </c>
      <c r="H12323" s="2" t="s">
        <v>19921</v>
      </c>
    </row>
    <row r="12324" spans="1:8" ht="25.05" customHeight="1" x14ac:dyDescent="0.25">
      <c r="A12324" s="2" t="s">
        <v>8</v>
      </c>
      <c r="B12324" s="2" t="str">
        <f>HYPERLINK("http://ts.21cn.com/tousu/show/id/1343687","拍拍贷骚扰通讯录联系人，乱发短信，侵犯用户隐私")</f>
        <v>拍拍贷骚扰通讯录联系人，乱发短信，侵犯用户隐私</v>
      </c>
      <c r="C12324" s="2" t="s">
        <v>9</v>
      </c>
      <c r="D12324" s="2" t="s">
        <v>10</v>
      </c>
      <c r="E12324" s="2" t="str">
        <f>HYPERLINK("http://ts.21cn.com/tousu/show/id/1343687","http://ts.21cn.com/tousu/show/id/1343687")</f>
        <v>http://ts.21cn.com/tousu/show/id/1343687</v>
      </c>
      <c r="F12324" s="2" t="s">
        <v>11</v>
      </c>
      <c r="G12324" s="2" t="s">
        <v>19918</v>
      </c>
      <c r="H12324" s="2" t="s">
        <v>19919</v>
      </c>
    </row>
    <row r="12325" spans="1:8" ht="25.05" customHeight="1" x14ac:dyDescent="0.25">
      <c r="A12325" s="2" t="s">
        <v>8</v>
      </c>
      <c r="B12325" s="2" t="str">
        <f>HYPERLINK("http://ts.21cn.com/tousu/show/id/1343689","上海造艺网络技术有限公司")</f>
        <v>上海造艺网络技术有限公司</v>
      </c>
      <c r="C12325" s="2" t="s">
        <v>9</v>
      </c>
      <c r="D12325" s="2" t="s">
        <v>10</v>
      </c>
      <c r="E12325" s="2" t="str">
        <f>HYPERLINK("http://ts.21cn.com/tousu/show/id/1343689","http://ts.21cn.com/tousu/show/id/1343689")</f>
        <v>http://ts.21cn.com/tousu/show/id/1343689</v>
      </c>
      <c r="F12325" s="2" t="s">
        <v>11</v>
      </c>
      <c r="G12325" s="2" t="s">
        <v>19916</v>
      </c>
      <c r="H12325" s="2" t="s">
        <v>19917</v>
      </c>
    </row>
    <row r="12326" spans="1:8" ht="25.05" customHeight="1" x14ac:dyDescent="0.25">
      <c r="A12326" s="2" t="s">
        <v>8</v>
      </c>
      <c r="B12326" s="2" t="str">
        <f>HYPERLINK("http://ts.21cn.com/tousu/show/id/1343688","大量用户无法退还立刻出行499元押金")</f>
        <v>大量用户无法退还立刻出行499元押金</v>
      </c>
      <c r="C12326" s="2" t="s">
        <v>9</v>
      </c>
      <c r="D12326" s="2" t="s">
        <v>10</v>
      </c>
      <c r="E12326" s="2" t="str">
        <f>HYPERLINK("http://ts.21cn.com/tousu/show/id/1343688","http://ts.21cn.com/tousu/show/id/1343688")</f>
        <v>http://ts.21cn.com/tousu/show/id/1343688</v>
      </c>
      <c r="F12326" s="2" t="s">
        <v>11</v>
      </c>
      <c r="G12326" s="2" t="s">
        <v>19914</v>
      </c>
      <c r="H12326" s="2" t="s">
        <v>19915</v>
      </c>
    </row>
    <row r="12327" spans="1:8" ht="25.05" customHeight="1" x14ac:dyDescent="0.25">
      <c r="A12327" s="2" t="s">
        <v>8</v>
      </c>
      <c r="B12327" s="2" t="str">
        <f>HYPERLINK("http://ts.21cn.com/tousu/show/id/1343690","侮辱")</f>
        <v>侮辱</v>
      </c>
      <c r="C12327" s="2" t="s">
        <v>9</v>
      </c>
      <c r="D12327" s="2" t="s">
        <v>10</v>
      </c>
      <c r="E12327" s="2" t="str">
        <f>HYPERLINK("http://ts.21cn.com/tousu/show/id/1343690","http://ts.21cn.com/tousu/show/id/1343690")</f>
        <v>http://ts.21cn.com/tousu/show/id/1343690</v>
      </c>
      <c r="F12327" s="2" t="s">
        <v>11</v>
      </c>
      <c r="G12327" s="2" t="s">
        <v>19912</v>
      </c>
      <c r="H12327" s="2" t="s">
        <v>19913</v>
      </c>
    </row>
    <row r="12328" spans="1:8" ht="25.05" customHeight="1" x14ac:dyDescent="0.25">
      <c r="A12328" s="2" t="s">
        <v>8</v>
      </c>
      <c r="B12328" s="2" t="str">
        <f>HYPERLINK("http://ts.21cn.com/tousu/show/id/1343691","快易熊恐吓威胁")</f>
        <v>快易熊恐吓威胁</v>
      </c>
      <c r="C12328" s="2" t="s">
        <v>9</v>
      </c>
      <c r="D12328" s="2" t="s">
        <v>10</v>
      </c>
      <c r="E12328" s="2" t="str">
        <f>HYPERLINK("http://ts.21cn.com/tousu/show/id/1343691","http://ts.21cn.com/tousu/show/id/1343691")</f>
        <v>http://ts.21cn.com/tousu/show/id/1343691</v>
      </c>
      <c r="F12328" s="2" t="s">
        <v>11</v>
      </c>
      <c r="G12328" s="2" t="s">
        <v>19910</v>
      </c>
      <c r="H12328" s="2" t="s">
        <v>19911</v>
      </c>
    </row>
    <row r="12329" spans="1:8" ht="25.05" customHeight="1" x14ac:dyDescent="0.25">
      <c r="A12329" s="2" t="s">
        <v>8</v>
      </c>
      <c r="B12329" s="2" t="str">
        <f>HYPERLINK("http://ts.21cn.com/tousu/show/id/1343693","池州九华山机场真情万里行金卡涉嫌欺诈")</f>
        <v>池州九华山机场真情万里行金卡涉嫌欺诈</v>
      </c>
      <c r="C12329" s="2" t="s">
        <v>9</v>
      </c>
      <c r="D12329" s="2" t="s">
        <v>10</v>
      </c>
      <c r="E12329" s="2" t="str">
        <f>HYPERLINK("http://ts.21cn.com/tousu/show/id/1343693","http://ts.21cn.com/tousu/show/id/1343693")</f>
        <v>http://ts.21cn.com/tousu/show/id/1343693</v>
      </c>
      <c r="F12329" s="2" t="s">
        <v>11</v>
      </c>
      <c r="G12329" s="2" t="s">
        <v>19908</v>
      </c>
      <c r="H12329" s="2" t="s">
        <v>19909</v>
      </c>
    </row>
    <row r="12330" spans="1:8" ht="25.05" customHeight="1" x14ac:dyDescent="0.25">
      <c r="A12330" s="2" t="s">
        <v>8</v>
      </c>
      <c r="B12330" s="2" t="str">
        <f>HYPERLINK("http://ts.21cn.com/tousu/show/id/1343694","中国人寿押金已有4个月左右了，仍未退还")</f>
        <v>中国人寿押金已有4个月左右了，仍未退还</v>
      </c>
      <c r="C12330" s="2" t="s">
        <v>34</v>
      </c>
      <c r="D12330" s="2" t="s">
        <v>10</v>
      </c>
      <c r="E12330" s="2" t="str">
        <f>HYPERLINK("http://ts.21cn.com/tousu/show/id/1343694","http://ts.21cn.com/tousu/show/id/1343694")</f>
        <v>http://ts.21cn.com/tousu/show/id/1343694</v>
      </c>
      <c r="F12330" s="2" t="s">
        <v>11</v>
      </c>
      <c r="G12330" s="2" t="s">
        <v>19906</v>
      </c>
      <c r="H12330" s="2" t="s">
        <v>19907</v>
      </c>
    </row>
    <row r="12331" spans="1:8" ht="25.05" customHeight="1" x14ac:dyDescent="0.25">
      <c r="A12331" s="2" t="s">
        <v>8</v>
      </c>
      <c r="B12331" s="2" t="str">
        <f>HYPERLINK("http://ts.21cn.com/tousu/show/id/1343695","是否高利贷？")</f>
        <v>是否高利贷？</v>
      </c>
      <c r="C12331" s="2" t="s">
        <v>9</v>
      </c>
      <c r="D12331" s="2" t="s">
        <v>10</v>
      </c>
      <c r="E12331" s="2" t="str">
        <f>HYPERLINK("http://ts.21cn.com/tousu/show/id/1343695","http://ts.21cn.com/tousu/show/id/1343695")</f>
        <v>http://ts.21cn.com/tousu/show/id/1343695</v>
      </c>
      <c r="F12331" s="2" t="s">
        <v>11</v>
      </c>
      <c r="G12331" s="2" t="s">
        <v>19904</v>
      </c>
      <c r="H12331" s="2" t="s">
        <v>19905</v>
      </c>
    </row>
    <row r="12332" spans="1:8" ht="25.05" customHeight="1" x14ac:dyDescent="0.25">
      <c r="A12332" s="2" t="s">
        <v>8</v>
      </c>
      <c r="B12332" s="2" t="str">
        <f>HYPERLINK("http://ts.21cn.com/tousu/show/id/1343697","乘坐香港永东巴士的车在半路把乘客丢下")</f>
        <v>乘坐香港永东巴士的车在半路把乘客丢下</v>
      </c>
      <c r="C12332" s="2" t="s">
        <v>9</v>
      </c>
      <c r="D12332" s="2" t="s">
        <v>10</v>
      </c>
      <c r="E12332" s="2" t="str">
        <f>HYPERLINK("http://ts.21cn.com/tousu/show/id/1343697","http://ts.21cn.com/tousu/show/id/1343697")</f>
        <v>http://ts.21cn.com/tousu/show/id/1343697</v>
      </c>
      <c r="F12332" s="2" t="s">
        <v>11</v>
      </c>
      <c r="G12332" s="2" t="s">
        <v>19903</v>
      </c>
      <c r="H12332" s="2" t="s">
        <v>19346</v>
      </c>
    </row>
    <row r="12333" spans="1:8" ht="25.05" customHeight="1" x14ac:dyDescent="0.25">
      <c r="A12333" s="2" t="s">
        <v>8</v>
      </c>
      <c r="B12333" s="2" t="str">
        <f>HYPERLINK("http://ts.21cn.com/tousu/show/id/1343698","私自扣款不予退款")</f>
        <v>私自扣款不予退款</v>
      </c>
      <c r="C12333" s="2" t="s">
        <v>9</v>
      </c>
      <c r="D12333" s="2" t="s">
        <v>10</v>
      </c>
      <c r="E12333" s="2" t="str">
        <f>HYPERLINK("http://ts.21cn.com/tousu/show/id/1343698","http://ts.21cn.com/tousu/show/id/1343698")</f>
        <v>http://ts.21cn.com/tousu/show/id/1343698</v>
      </c>
      <c r="F12333" s="2" t="s">
        <v>11</v>
      </c>
      <c r="G12333" s="2" t="s">
        <v>19901</v>
      </c>
      <c r="H12333" s="2" t="s">
        <v>19902</v>
      </c>
    </row>
    <row r="12334" spans="1:8" ht="25.05" customHeight="1" x14ac:dyDescent="0.25">
      <c r="A12334" s="2" t="s">
        <v>8</v>
      </c>
      <c r="B12334" s="2" t="str">
        <f>HYPERLINK("http://ts.21cn.com/tousu/show/id/1343699","钱站高利贷")</f>
        <v>钱站高利贷</v>
      </c>
      <c r="C12334" s="2" t="s">
        <v>9</v>
      </c>
      <c r="D12334" s="2" t="s">
        <v>10</v>
      </c>
      <c r="E12334" s="2" t="str">
        <f>HYPERLINK("http://ts.21cn.com/tousu/show/id/1343699","http://ts.21cn.com/tousu/show/id/1343699")</f>
        <v>http://ts.21cn.com/tousu/show/id/1343699</v>
      </c>
      <c r="F12334" s="2" t="s">
        <v>11</v>
      </c>
      <c r="G12334" s="2" t="s">
        <v>19899</v>
      </c>
      <c r="H12334" s="2" t="s">
        <v>19900</v>
      </c>
    </row>
    <row r="12335" spans="1:8" ht="25.05" customHeight="1" x14ac:dyDescent="0.25">
      <c r="A12335" s="2" t="s">
        <v>8</v>
      </c>
      <c r="B12335" s="2" t="str">
        <f>HYPERLINK("http://ts.21cn.com/tousu/show/id/1343700","钱包易贷非法骚扰")</f>
        <v>钱包易贷非法骚扰</v>
      </c>
      <c r="C12335" s="2" t="s">
        <v>9</v>
      </c>
      <c r="D12335" s="2" t="s">
        <v>10</v>
      </c>
      <c r="E12335" s="2" t="str">
        <f>HYPERLINK("http://ts.21cn.com/tousu/show/id/1343700","http://ts.21cn.com/tousu/show/id/1343700")</f>
        <v>http://ts.21cn.com/tousu/show/id/1343700</v>
      </c>
      <c r="F12335" s="2" t="s">
        <v>11</v>
      </c>
      <c r="G12335" s="2" t="s">
        <v>19897</v>
      </c>
      <c r="H12335" s="2" t="s">
        <v>19898</v>
      </c>
    </row>
    <row r="12336" spans="1:8" ht="25.05" customHeight="1" x14ac:dyDescent="0.25">
      <c r="A12336" s="2" t="s">
        <v>8</v>
      </c>
      <c r="B12336" s="2" t="str">
        <f>HYPERLINK("http://ts.21cn.com/tousu/show/id/1343701","关于携程私自调低个人程信分，导致相关功能无法使用")</f>
        <v>关于携程私自调低个人程信分，导致相关功能无法使用</v>
      </c>
      <c r="C12336" s="2" t="s">
        <v>9</v>
      </c>
      <c r="D12336" s="2" t="s">
        <v>10</v>
      </c>
      <c r="E12336" s="2" t="str">
        <f>HYPERLINK("http://ts.21cn.com/tousu/show/id/1343701","http://ts.21cn.com/tousu/show/id/1343701")</f>
        <v>http://ts.21cn.com/tousu/show/id/1343701</v>
      </c>
      <c r="F12336" s="2" t="s">
        <v>11</v>
      </c>
      <c r="G12336" s="2" t="s">
        <v>19895</v>
      </c>
      <c r="H12336" s="2" t="s">
        <v>19896</v>
      </c>
    </row>
    <row r="12337" spans="1:8" ht="25.05" customHeight="1" x14ac:dyDescent="0.25">
      <c r="A12337" s="2" t="s">
        <v>8</v>
      </c>
      <c r="B12337" s="2" t="str">
        <f>HYPERLINK("http://ts.21cn.com/tousu/show/id/1343702","轻周转芒果筹高利贷")</f>
        <v>轻周转芒果筹高利贷</v>
      </c>
      <c r="C12337" s="2" t="s">
        <v>9</v>
      </c>
      <c r="D12337" s="2" t="s">
        <v>10</v>
      </c>
      <c r="E12337" s="2" t="str">
        <f>HYPERLINK("http://ts.21cn.com/tousu/show/id/1343702","http://ts.21cn.com/tousu/show/id/1343702")</f>
        <v>http://ts.21cn.com/tousu/show/id/1343702</v>
      </c>
      <c r="F12337" s="2" t="s">
        <v>11</v>
      </c>
      <c r="G12337" s="2" t="s">
        <v>19893</v>
      </c>
      <c r="H12337" s="2" t="s">
        <v>19894</v>
      </c>
    </row>
    <row r="12338" spans="1:8" ht="25.05" customHeight="1" x14ac:dyDescent="0.25">
      <c r="A12338" s="2" t="s">
        <v>8</v>
      </c>
      <c r="B12338" s="2" t="str">
        <f>HYPERLINK("http://ts.21cn.com/tousu/show/id/1343703","京东金融天天不停打电话骚扰")</f>
        <v>京东金融天天不停打电话骚扰</v>
      </c>
      <c r="C12338" s="2" t="s">
        <v>9</v>
      </c>
      <c r="D12338" s="2" t="s">
        <v>10</v>
      </c>
      <c r="E12338" s="2" t="str">
        <f>HYPERLINK("http://ts.21cn.com/tousu/show/id/1343703","http://ts.21cn.com/tousu/show/id/1343703")</f>
        <v>http://ts.21cn.com/tousu/show/id/1343703</v>
      </c>
      <c r="F12338" s="2" t="s">
        <v>11</v>
      </c>
      <c r="G12338" s="2" t="s">
        <v>19891</v>
      </c>
      <c r="H12338" s="2" t="s">
        <v>19892</v>
      </c>
    </row>
    <row r="12339" spans="1:8" ht="25.05" customHeight="1" x14ac:dyDescent="0.25">
      <c r="A12339" s="2" t="s">
        <v>8</v>
      </c>
      <c r="B12339" s="2" t="str">
        <f>HYPERLINK("http://ts.21cn.com/tousu/show/id/1343704","网贷平台爱又米钻着国家空子乱收费")</f>
        <v>网贷平台爱又米钻着国家空子乱收费</v>
      </c>
      <c r="C12339" s="2" t="s">
        <v>9</v>
      </c>
      <c r="D12339" s="2" t="s">
        <v>10</v>
      </c>
      <c r="E12339" s="2" t="str">
        <f>HYPERLINK("http://ts.21cn.com/tousu/show/id/1343704","http://ts.21cn.com/tousu/show/id/1343704")</f>
        <v>http://ts.21cn.com/tousu/show/id/1343704</v>
      </c>
      <c r="F12339" s="2" t="s">
        <v>11</v>
      </c>
      <c r="G12339" s="2" t="s">
        <v>19889</v>
      </c>
      <c r="H12339" s="2" t="s">
        <v>19890</v>
      </c>
    </row>
    <row r="12340" spans="1:8" ht="25.05" customHeight="1" x14ac:dyDescent="0.25">
      <c r="A12340" s="2" t="s">
        <v>8</v>
      </c>
      <c r="B12340" s="2" t="str">
        <f>HYPERLINK("http://ts.21cn.com/tousu/show/id/1343705","高利贷，砍头贷")</f>
        <v>高利贷，砍头贷</v>
      </c>
      <c r="C12340" s="2" t="s">
        <v>9</v>
      </c>
      <c r="D12340" s="2" t="s">
        <v>10</v>
      </c>
      <c r="E12340" s="2" t="str">
        <f>HYPERLINK("http://ts.21cn.com/tousu/show/id/1343705","http://ts.21cn.com/tousu/show/id/1343705")</f>
        <v>http://ts.21cn.com/tousu/show/id/1343705</v>
      </c>
      <c r="F12340" s="2" t="s">
        <v>11</v>
      </c>
      <c r="G12340" s="2" t="s">
        <v>19887</v>
      </c>
      <c r="H12340" s="2" t="s">
        <v>19888</v>
      </c>
    </row>
    <row r="12341" spans="1:8" ht="25.05" customHeight="1" x14ac:dyDescent="0.25">
      <c r="A12341" s="2" t="s">
        <v>8</v>
      </c>
      <c r="B12341" s="2" t="str">
        <f>HYPERLINK("http://ts.21cn.com/tousu/show/id/1343706","立借青春宝")</f>
        <v>立借青春宝</v>
      </c>
      <c r="C12341" s="2" t="s">
        <v>9</v>
      </c>
      <c r="D12341" s="2" t="s">
        <v>10</v>
      </c>
      <c r="E12341" s="2" t="str">
        <f>HYPERLINK("http://ts.21cn.com/tousu/show/id/1343706","http://ts.21cn.com/tousu/show/id/1343706")</f>
        <v>http://ts.21cn.com/tousu/show/id/1343706</v>
      </c>
      <c r="F12341" s="2" t="s">
        <v>11</v>
      </c>
      <c r="G12341" s="2" t="s">
        <v>19885</v>
      </c>
      <c r="H12341" s="2" t="s">
        <v>19886</v>
      </c>
    </row>
    <row r="12342" spans="1:8" ht="25.05" customHeight="1" x14ac:dyDescent="0.25">
      <c r="A12342" s="2" t="s">
        <v>8</v>
      </c>
      <c r="B12342" s="2" t="str">
        <f>HYPERLINK("http://ts.21cn.com/tousu/show/id/1343707","省呗app莫名贷款，想还上却发现需要交付很多")</f>
        <v>省呗app莫名贷款，想还上却发现需要交付很多</v>
      </c>
      <c r="C12342" s="2" t="s">
        <v>34</v>
      </c>
      <c r="D12342" s="2" t="s">
        <v>10</v>
      </c>
      <c r="E12342" s="2" t="str">
        <f>HYPERLINK("http://ts.21cn.com/tousu/show/id/1343707","http://ts.21cn.com/tousu/show/id/1343707")</f>
        <v>http://ts.21cn.com/tousu/show/id/1343707</v>
      </c>
      <c r="F12342" s="2" t="s">
        <v>11</v>
      </c>
      <c r="G12342" s="2" t="s">
        <v>19883</v>
      </c>
      <c r="H12342" s="2" t="s">
        <v>19884</v>
      </c>
    </row>
    <row r="12343" spans="1:8" ht="25.05" customHeight="1" x14ac:dyDescent="0.25">
      <c r="A12343" s="2" t="s">
        <v>8</v>
      </c>
      <c r="B12343" s="2" t="str">
        <f>HYPERLINK("http://ts.21cn.com/tousu/show/id/1343708","牛人有品巨额砍头息高利贷")</f>
        <v>牛人有品巨额砍头息高利贷</v>
      </c>
      <c r="C12343" s="2" t="s">
        <v>9</v>
      </c>
      <c r="D12343" s="2" t="s">
        <v>10</v>
      </c>
      <c r="E12343" s="2" t="str">
        <f>HYPERLINK("http://ts.21cn.com/tousu/show/id/1343708","http://ts.21cn.com/tousu/show/id/1343708")</f>
        <v>http://ts.21cn.com/tousu/show/id/1343708</v>
      </c>
      <c r="F12343" s="2" t="s">
        <v>11</v>
      </c>
      <c r="G12343" s="2" t="s">
        <v>19881</v>
      </c>
      <c r="H12343" s="2" t="s">
        <v>19882</v>
      </c>
    </row>
    <row r="12344" spans="1:8" ht="25.05" customHeight="1" x14ac:dyDescent="0.25">
      <c r="A12344" s="2" t="s">
        <v>8</v>
      </c>
      <c r="B12344" s="2" t="str">
        <f>HYPERLINK("http://ts.21cn.com/tousu/show/id/1343710","乱收费")</f>
        <v>乱收费</v>
      </c>
      <c r="C12344" s="2" t="s">
        <v>9</v>
      </c>
      <c r="D12344" s="2" t="s">
        <v>10</v>
      </c>
      <c r="E12344" s="2" t="str">
        <f>HYPERLINK("http://ts.21cn.com/tousu/show/id/1343710","http://ts.21cn.com/tousu/show/id/1343710")</f>
        <v>http://ts.21cn.com/tousu/show/id/1343710</v>
      </c>
      <c r="F12344" s="2" t="s">
        <v>11</v>
      </c>
      <c r="G12344" s="2" t="s">
        <v>19880</v>
      </c>
      <c r="H12344" s="2" t="s">
        <v>10273</v>
      </c>
    </row>
    <row r="12345" spans="1:8" ht="25.05" customHeight="1" x14ac:dyDescent="0.25">
      <c r="A12345" s="2" t="s">
        <v>8</v>
      </c>
      <c r="B12345" s="2" t="str">
        <f>HYPERLINK("http://ts.21cn.com/tousu/show/id/1343711","逾期的金额已经处理但是还是发短信威胁我家人")</f>
        <v>逾期的金额已经处理但是还是发短信威胁我家人</v>
      </c>
      <c r="C12345" s="2" t="s">
        <v>9</v>
      </c>
      <c r="D12345" s="2" t="s">
        <v>10</v>
      </c>
      <c r="E12345" s="2" t="str">
        <f>HYPERLINK("http://ts.21cn.com/tousu/show/id/1343711","http://ts.21cn.com/tousu/show/id/1343711")</f>
        <v>http://ts.21cn.com/tousu/show/id/1343711</v>
      </c>
      <c r="F12345" s="2" t="s">
        <v>11</v>
      </c>
      <c r="G12345" s="2" t="s">
        <v>19878</v>
      </c>
      <c r="H12345" s="2" t="s">
        <v>19879</v>
      </c>
    </row>
    <row r="12346" spans="1:8" ht="25.05" customHeight="1" x14ac:dyDescent="0.25">
      <c r="A12346" s="2" t="s">
        <v>8</v>
      </c>
      <c r="B12346" s="2" t="str">
        <f>HYPERLINK("http://ts.21cn.com/tousu/show/id/1343713","携趣信息科技无故扣款")</f>
        <v>携趣信息科技无故扣款</v>
      </c>
      <c r="C12346" s="2" t="s">
        <v>9</v>
      </c>
      <c r="D12346" s="2" t="s">
        <v>10</v>
      </c>
      <c r="E12346" s="2" t="str">
        <f>HYPERLINK("http://ts.21cn.com/tousu/show/id/1343713","http://ts.21cn.com/tousu/show/id/1343713")</f>
        <v>http://ts.21cn.com/tousu/show/id/1343713</v>
      </c>
      <c r="F12346" s="2" t="s">
        <v>11</v>
      </c>
      <c r="G12346" s="2" t="s">
        <v>19876</v>
      </c>
      <c r="H12346" s="2" t="s">
        <v>19877</v>
      </c>
    </row>
    <row r="12347" spans="1:8" ht="25.05" customHeight="1" x14ac:dyDescent="0.25">
      <c r="A12347" s="2" t="s">
        <v>8</v>
      </c>
      <c r="B12347" s="2" t="str">
        <f>HYPERLINK("http://ts.21cn.com/tousu/show/id/1343712","来分期暴力催收")</f>
        <v>来分期暴力催收</v>
      </c>
      <c r="C12347" s="2" t="s">
        <v>9</v>
      </c>
      <c r="D12347" s="2" t="s">
        <v>10</v>
      </c>
      <c r="E12347" s="2" t="str">
        <f>HYPERLINK("http://ts.21cn.com/tousu/show/id/1343712","http://ts.21cn.com/tousu/show/id/1343712")</f>
        <v>http://ts.21cn.com/tousu/show/id/1343712</v>
      </c>
      <c r="F12347" s="2" t="s">
        <v>11</v>
      </c>
      <c r="G12347" s="2" t="s">
        <v>19874</v>
      </c>
      <c r="H12347" s="2" t="s">
        <v>19875</v>
      </c>
    </row>
    <row r="12348" spans="1:8" ht="25.05" customHeight="1" x14ac:dyDescent="0.25">
      <c r="A12348" s="2" t="s">
        <v>8</v>
      </c>
      <c r="B12348" s="2" t="str">
        <f>HYPERLINK("http://ts.21cn.com/tousu/show/id/1343716","香港快运霸王条款不退票")</f>
        <v>香港快运霸王条款不退票</v>
      </c>
      <c r="C12348" s="2" t="s">
        <v>9</v>
      </c>
      <c r="D12348" s="2" t="s">
        <v>10</v>
      </c>
      <c r="E12348" s="2" t="str">
        <f>HYPERLINK("http://ts.21cn.com/tousu/show/id/1343716","http://ts.21cn.com/tousu/show/id/1343716")</f>
        <v>http://ts.21cn.com/tousu/show/id/1343716</v>
      </c>
      <c r="F12348" s="2" t="s">
        <v>11</v>
      </c>
      <c r="G12348" s="2" t="s">
        <v>19872</v>
      </c>
      <c r="H12348" s="2" t="s">
        <v>19873</v>
      </c>
    </row>
    <row r="12349" spans="1:8" ht="25.05" customHeight="1" x14ac:dyDescent="0.25">
      <c r="A12349" s="2" t="s">
        <v>8</v>
      </c>
      <c r="B12349" s="2" t="str">
        <f>HYPERLINK("http://ts.21cn.com/tousu/show/id/1343715","不给提现")</f>
        <v>不给提现</v>
      </c>
      <c r="C12349" s="2" t="s">
        <v>9</v>
      </c>
      <c r="D12349" s="2" t="s">
        <v>10</v>
      </c>
      <c r="E12349" s="2" t="str">
        <f>HYPERLINK("http://ts.21cn.com/tousu/show/id/1343715","http://ts.21cn.com/tousu/show/id/1343715")</f>
        <v>http://ts.21cn.com/tousu/show/id/1343715</v>
      </c>
      <c r="F12349" s="2" t="s">
        <v>11</v>
      </c>
      <c r="G12349" s="2" t="s">
        <v>19870</v>
      </c>
      <c r="H12349" s="2" t="s">
        <v>19871</v>
      </c>
    </row>
    <row r="12350" spans="1:8" ht="25.05" customHeight="1" x14ac:dyDescent="0.25">
      <c r="A12350" s="2" t="s">
        <v>8</v>
      </c>
      <c r="B12350" s="2" t="str">
        <f>HYPERLINK("http://ts.21cn.com/tousu/show/id/1343679","多多分期高额砍头费用，富友支付提供渠道")</f>
        <v>多多分期高额砍头费用，富友支付提供渠道</v>
      </c>
      <c r="C12350" s="2" t="s">
        <v>34</v>
      </c>
      <c r="D12350" s="2" t="s">
        <v>10</v>
      </c>
      <c r="E12350" s="2" t="str">
        <f>HYPERLINK("http://ts.21cn.com/tousu/show/id/1343679","http://ts.21cn.com/tousu/show/id/1343679")</f>
        <v>http://ts.21cn.com/tousu/show/id/1343679</v>
      </c>
      <c r="F12350" s="2" t="s">
        <v>11</v>
      </c>
      <c r="G12350" s="2" t="s">
        <v>19868</v>
      </c>
      <c r="H12350" s="2" t="s">
        <v>19869</v>
      </c>
    </row>
    <row r="12351" spans="1:8" ht="25.05" customHeight="1" x14ac:dyDescent="0.25">
      <c r="A12351" s="2" t="s">
        <v>8</v>
      </c>
      <c r="B12351" s="2" t="str">
        <f>HYPERLINK("http://ts.21cn.com/tousu/show/id/1343718","砍头贷套路贷逾期利息高的不得了")</f>
        <v>砍头贷套路贷逾期利息高的不得了</v>
      </c>
      <c r="C12351" s="2" t="s">
        <v>9</v>
      </c>
      <c r="D12351" s="2" t="s">
        <v>10</v>
      </c>
      <c r="E12351" s="2" t="str">
        <f>HYPERLINK("http://ts.21cn.com/tousu/show/id/1343718","http://ts.21cn.com/tousu/show/id/1343718")</f>
        <v>http://ts.21cn.com/tousu/show/id/1343718</v>
      </c>
      <c r="F12351" s="2" t="s">
        <v>11</v>
      </c>
      <c r="G12351" s="2" t="s">
        <v>19866</v>
      </c>
      <c r="H12351" s="2" t="s">
        <v>19867</v>
      </c>
    </row>
    <row r="12352" spans="1:8" ht="25.05" customHeight="1" x14ac:dyDescent="0.25">
      <c r="A12352" s="2" t="s">
        <v>8</v>
      </c>
      <c r="B12352" s="2" t="str">
        <f>HYPERLINK("http://ts.21cn.com/tousu/show/id/1343717","你我贷暴力催收，轰炸联系人单位")</f>
        <v>你我贷暴力催收，轰炸联系人单位</v>
      </c>
      <c r="C12352" s="2" t="s">
        <v>9</v>
      </c>
      <c r="D12352" s="2" t="s">
        <v>10</v>
      </c>
      <c r="E12352" s="2" t="str">
        <f>HYPERLINK("http://ts.21cn.com/tousu/show/id/1343717","http://ts.21cn.com/tousu/show/id/1343717")</f>
        <v>http://ts.21cn.com/tousu/show/id/1343717</v>
      </c>
      <c r="F12352" s="2" t="s">
        <v>11</v>
      </c>
      <c r="G12352" s="2" t="s">
        <v>19864</v>
      </c>
      <c r="H12352" s="2" t="s">
        <v>19865</v>
      </c>
    </row>
    <row r="12353" spans="1:8" ht="25.05" customHeight="1" x14ac:dyDescent="0.25">
      <c r="A12353" s="2" t="s">
        <v>8</v>
      </c>
      <c r="B12353" s="2" t="str">
        <f>HYPERLINK("http://ts.21cn.com/tousu/show/id/1343720","投诉来米巴士")</f>
        <v>投诉来米巴士</v>
      </c>
      <c r="C12353" s="2" t="s">
        <v>9</v>
      </c>
      <c r="D12353" s="2" t="s">
        <v>10</v>
      </c>
      <c r="E12353" s="2" t="str">
        <f>HYPERLINK("http://ts.21cn.com/tousu/show/id/1343720","http://ts.21cn.com/tousu/show/id/1343720")</f>
        <v>http://ts.21cn.com/tousu/show/id/1343720</v>
      </c>
      <c r="F12353" s="2" t="s">
        <v>11</v>
      </c>
      <c r="G12353" s="2" t="s">
        <v>19862</v>
      </c>
      <c r="H12353" s="2" t="s">
        <v>19863</v>
      </c>
    </row>
    <row r="12354" spans="1:8" ht="25.05" customHeight="1" x14ac:dyDescent="0.25">
      <c r="A12354" s="2" t="s">
        <v>8</v>
      </c>
      <c r="B12354" s="2" t="str">
        <f>HYPERLINK("http://ts.21cn.com/tousu/show/id/1343721","交通银行信用卡，踢皮球式协商，严重制造个人债务雪球")</f>
        <v>交通银行信用卡，踢皮球式协商，严重制造个人债务雪球</v>
      </c>
      <c r="C12354" s="2" t="s">
        <v>9</v>
      </c>
      <c r="D12354" s="2" t="s">
        <v>10</v>
      </c>
      <c r="E12354" s="2" t="str">
        <f>HYPERLINK("http://ts.21cn.com/tousu/show/id/1343721","http://ts.21cn.com/tousu/show/id/1343721")</f>
        <v>http://ts.21cn.com/tousu/show/id/1343721</v>
      </c>
      <c r="F12354" s="2" t="s">
        <v>11</v>
      </c>
      <c r="G12354" s="2" t="s">
        <v>19860</v>
      </c>
      <c r="H12354" s="2" t="s">
        <v>19861</v>
      </c>
    </row>
    <row r="12355" spans="1:8" ht="25.05" customHeight="1" x14ac:dyDescent="0.25">
      <c r="A12355" s="2" t="s">
        <v>8</v>
      </c>
      <c r="B12355" s="2" t="str">
        <f>HYPERLINK("http://ts.21cn.com/tousu/show/id/1343722","小花钱包套路催收")</f>
        <v>小花钱包套路催收</v>
      </c>
      <c r="C12355" s="2" t="s">
        <v>9</v>
      </c>
      <c r="D12355" s="2" t="s">
        <v>10</v>
      </c>
      <c r="E12355" s="2" t="str">
        <f>HYPERLINK("http://ts.21cn.com/tousu/show/id/1343722","http://ts.21cn.com/tousu/show/id/1343722")</f>
        <v>http://ts.21cn.com/tousu/show/id/1343722</v>
      </c>
      <c r="F12355" s="2" t="s">
        <v>11</v>
      </c>
      <c r="G12355" s="2" t="s">
        <v>19858</v>
      </c>
      <c r="H12355" s="2" t="s">
        <v>19859</v>
      </c>
    </row>
    <row r="12356" spans="1:8" ht="25.05" customHeight="1" x14ac:dyDescent="0.25">
      <c r="A12356" s="2" t="s">
        <v>8</v>
      </c>
      <c r="B12356" s="2" t="str">
        <f>HYPERLINK("http://ts.21cn.com/tousu/show/id/1343724","高利贷砍头息")</f>
        <v>高利贷砍头息</v>
      </c>
      <c r="C12356" s="2" t="s">
        <v>9</v>
      </c>
      <c r="D12356" s="2" t="s">
        <v>10</v>
      </c>
      <c r="E12356" s="2" t="str">
        <f>HYPERLINK("http://ts.21cn.com/tousu/show/id/1343724","http://ts.21cn.com/tousu/show/id/1343724")</f>
        <v>http://ts.21cn.com/tousu/show/id/1343724</v>
      </c>
      <c r="F12356" s="2" t="s">
        <v>11</v>
      </c>
      <c r="G12356" s="2" t="s">
        <v>19856</v>
      </c>
      <c r="H12356" s="2" t="s">
        <v>19857</v>
      </c>
    </row>
    <row r="12357" spans="1:8" ht="25.05" customHeight="1" x14ac:dyDescent="0.25">
      <c r="A12357" s="2" t="s">
        <v>8</v>
      </c>
      <c r="B12357" s="2" t="str">
        <f>HYPERLINK("http://ts.21cn.com/tousu/show/id/1343725","要求延期还款")</f>
        <v>要求延期还款</v>
      </c>
      <c r="C12357" s="2" t="s">
        <v>34</v>
      </c>
      <c r="D12357" s="2" t="s">
        <v>10</v>
      </c>
      <c r="E12357" s="2" t="str">
        <f>HYPERLINK("http://ts.21cn.com/tousu/show/id/1343725","http://ts.21cn.com/tousu/show/id/1343725")</f>
        <v>http://ts.21cn.com/tousu/show/id/1343725</v>
      </c>
      <c r="F12357" s="2" t="s">
        <v>11</v>
      </c>
      <c r="G12357" s="2" t="s">
        <v>19854</v>
      </c>
      <c r="H12357" s="2" t="s">
        <v>19855</v>
      </c>
    </row>
    <row r="12358" spans="1:8" ht="25.05" customHeight="1" x14ac:dyDescent="0.25">
      <c r="A12358" s="2" t="s">
        <v>8</v>
      </c>
      <c r="B12358" s="2" t="str">
        <f>HYPERLINK("http://ts.21cn.com/tousu/show/id/1343726","百合网没有签合同，但是却拿钱不退")</f>
        <v>百合网没有签合同，但是却拿钱不退</v>
      </c>
      <c r="C12358" s="2" t="s">
        <v>9</v>
      </c>
      <c r="D12358" s="2" t="s">
        <v>10</v>
      </c>
      <c r="E12358" s="2" t="str">
        <f>HYPERLINK("http://ts.21cn.com/tousu/show/id/1343726","http://ts.21cn.com/tousu/show/id/1343726")</f>
        <v>http://ts.21cn.com/tousu/show/id/1343726</v>
      </c>
      <c r="F12358" s="2" t="s">
        <v>11</v>
      </c>
      <c r="G12358" s="2" t="s">
        <v>19852</v>
      </c>
      <c r="H12358" s="2" t="s">
        <v>19853</v>
      </c>
    </row>
    <row r="12359" spans="1:8" ht="25.05" customHeight="1" x14ac:dyDescent="0.25">
      <c r="A12359" s="2" t="s">
        <v>8</v>
      </c>
      <c r="B12359" s="2" t="str">
        <f>HYPERLINK("http://ts.21cn.com/tousu/show/id/1343696","闪银科技变相高利贷砍头息")</f>
        <v>闪银科技变相高利贷砍头息</v>
      </c>
      <c r="C12359" s="2" t="s">
        <v>9</v>
      </c>
      <c r="D12359" s="2" t="s">
        <v>10</v>
      </c>
      <c r="E12359" s="2" t="str">
        <f>HYPERLINK("http://ts.21cn.com/tousu/show/id/1343696","http://ts.21cn.com/tousu/show/id/1343696")</f>
        <v>http://ts.21cn.com/tousu/show/id/1343696</v>
      </c>
      <c r="F12359" s="2" t="s">
        <v>11</v>
      </c>
      <c r="G12359" s="2" t="s">
        <v>19850</v>
      </c>
      <c r="H12359" s="2" t="s">
        <v>19851</v>
      </c>
    </row>
    <row r="12360" spans="1:8" ht="25.05" customHeight="1" x14ac:dyDescent="0.25">
      <c r="A12360" s="2" t="s">
        <v>8</v>
      </c>
      <c r="B12360" s="2" t="str">
        <f>HYPERLINK("http://ts.21cn.com/tousu/show/id/1343727","闪电借款逾期费不合理")</f>
        <v>闪电借款逾期费不合理</v>
      </c>
      <c r="C12360" s="2" t="s">
        <v>9</v>
      </c>
      <c r="D12360" s="2" t="s">
        <v>10</v>
      </c>
      <c r="E12360" s="2" t="str">
        <f>HYPERLINK("http://ts.21cn.com/tousu/show/id/1343727","http://ts.21cn.com/tousu/show/id/1343727")</f>
        <v>http://ts.21cn.com/tousu/show/id/1343727</v>
      </c>
      <c r="F12360" s="2" t="s">
        <v>11</v>
      </c>
      <c r="G12360" s="2" t="s">
        <v>19848</v>
      </c>
      <c r="H12360" s="2" t="s">
        <v>19849</v>
      </c>
    </row>
    <row r="12361" spans="1:8" ht="25.05" customHeight="1" x14ac:dyDescent="0.25">
      <c r="A12361" s="2" t="s">
        <v>8</v>
      </c>
      <c r="B12361" s="2" t="str">
        <f>HYPERLINK("http://ts.21cn.com/tousu/show/id/1343728","已经明确告知拍拍贷，号码是新买的，仍然天天打电话，暴力催收，还骂人，态度极其恶劣，录音已经保存，")</f>
        <v>已经明确告知拍拍贷，号码是新买的，仍然天天打电话，暴力催收，还骂人，态度极其恶劣，录音已经保存，</v>
      </c>
      <c r="C12361" s="2" t="s">
        <v>9</v>
      </c>
      <c r="D12361" s="2" t="s">
        <v>10</v>
      </c>
      <c r="E12361" s="2" t="str">
        <f>HYPERLINK("http://ts.21cn.com/tousu/show/id/1343728","http://ts.21cn.com/tousu/show/id/1343728")</f>
        <v>http://ts.21cn.com/tousu/show/id/1343728</v>
      </c>
      <c r="F12361" s="2" t="s">
        <v>11</v>
      </c>
      <c r="G12361" s="2" t="s">
        <v>19846</v>
      </c>
      <c r="H12361" s="2" t="s">
        <v>19847</v>
      </c>
    </row>
    <row r="12362" spans="1:8" ht="25.05" customHeight="1" x14ac:dyDescent="0.25">
      <c r="A12362" s="2" t="s">
        <v>8</v>
      </c>
      <c r="B12362" s="2" t="str">
        <f>HYPERLINK("http://ts.21cn.com/tousu/show/id/1343731","中腾信暴力催收，威胁恐吓，中腾信威武呀")</f>
        <v>中腾信暴力催收，威胁恐吓，中腾信威武呀</v>
      </c>
      <c r="C12362" s="2" t="s">
        <v>9</v>
      </c>
      <c r="D12362" s="2" t="s">
        <v>10</v>
      </c>
      <c r="E12362" s="2" t="str">
        <f>HYPERLINK("http://ts.21cn.com/tousu/show/id/1343731","http://ts.21cn.com/tousu/show/id/1343731")</f>
        <v>http://ts.21cn.com/tousu/show/id/1343731</v>
      </c>
      <c r="F12362" s="2" t="s">
        <v>11</v>
      </c>
      <c r="G12362" s="2" t="s">
        <v>19844</v>
      </c>
      <c r="H12362" s="2" t="s">
        <v>19845</v>
      </c>
    </row>
    <row r="12363" spans="1:8" ht="25.05" customHeight="1" x14ac:dyDescent="0.25">
      <c r="A12363" s="2" t="s">
        <v>8</v>
      </c>
      <c r="B12363" s="2" t="str">
        <f>HYPERLINK("http://ts.21cn.com/tousu/show/id/1343732","骚扰亲朋好友")</f>
        <v>骚扰亲朋好友</v>
      </c>
      <c r="C12363" s="2" t="s">
        <v>9</v>
      </c>
      <c r="D12363" s="2" t="s">
        <v>10</v>
      </c>
      <c r="E12363" s="2" t="str">
        <f>HYPERLINK("http://ts.21cn.com/tousu/show/id/1343732","http://ts.21cn.com/tousu/show/id/1343732")</f>
        <v>http://ts.21cn.com/tousu/show/id/1343732</v>
      </c>
      <c r="F12363" s="2" t="s">
        <v>11</v>
      </c>
      <c r="G12363" s="2" t="s">
        <v>19842</v>
      </c>
      <c r="H12363" s="2" t="s">
        <v>19843</v>
      </c>
    </row>
    <row r="12364" spans="1:8" ht="25.05" customHeight="1" x14ac:dyDescent="0.25">
      <c r="A12364" s="2" t="s">
        <v>8</v>
      </c>
      <c r="B12364" s="2" t="str">
        <f>HYPERLINK("http://ts.21cn.com/tousu/show/id/1343733","读秒钱包未经本人同意骚扰家人")</f>
        <v>读秒钱包未经本人同意骚扰家人</v>
      </c>
      <c r="C12364" s="2" t="s">
        <v>9</v>
      </c>
      <c r="D12364" s="2" t="s">
        <v>10</v>
      </c>
      <c r="E12364" s="2" t="str">
        <f>HYPERLINK("http://ts.21cn.com/tousu/show/id/1343733","http://ts.21cn.com/tousu/show/id/1343733")</f>
        <v>http://ts.21cn.com/tousu/show/id/1343733</v>
      </c>
      <c r="F12364" s="2" t="s">
        <v>11</v>
      </c>
      <c r="G12364" s="2" t="s">
        <v>19840</v>
      </c>
      <c r="H12364" s="2" t="s">
        <v>19841</v>
      </c>
    </row>
    <row r="12365" spans="1:8" ht="25.05" customHeight="1" x14ac:dyDescent="0.25">
      <c r="A12365" s="2" t="s">
        <v>8</v>
      </c>
      <c r="B12365" s="2" t="str">
        <f>HYPERLINK("http://ts.21cn.com/tousu/show/id/1343734","贷上钱高利贷")</f>
        <v>贷上钱高利贷</v>
      </c>
      <c r="C12365" s="2" t="s">
        <v>9</v>
      </c>
      <c r="D12365" s="2" t="s">
        <v>10</v>
      </c>
      <c r="E12365" s="2" t="str">
        <f>HYPERLINK("http://ts.21cn.com/tousu/show/id/1343734","http://ts.21cn.com/tousu/show/id/1343734")</f>
        <v>http://ts.21cn.com/tousu/show/id/1343734</v>
      </c>
      <c r="F12365" s="2" t="s">
        <v>11</v>
      </c>
      <c r="G12365" s="2" t="s">
        <v>19838</v>
      </c>
      <c r="H12365" s="2" t="s">
        <v>19839</v>
      </c>
    </row>
    <row r="12366" spans="1:8" ht="25.05" customHeight="1" x14ac:dyDescent="0.25">
      <c r="A12366" s="2" t="s">
        <v>8</v>
      </c>
      <c r="B12366" s="2" t="str">
        <f>HYPERLINK("http://ts.21cn.com/tousu/show/id/1343735","闪电借款财神黑卡问题")</f>
        <v>闪电借款财神黑卡问题</v>
      </c>
      <c r="C12366" s="2" t="s">
        <v>34</v>
      </c>
      <c r="D12366" s="2" t="s">
        <v>10</v>
      </c>
      <c r="E12366" s="2" t="str">
        <f>HYPERLINK("http://ts.21cn.com/tousu/show/id/1343735","http://ts.21cn.com/tousu/show/id/1343735")</f>
        <v>http://ts.21cn.com/tousu/show/id/1343735</v>
      </c>
      <c r="F12366" s="2" t="s">
        <v>11</v>
      </c>
      <c r="G12366" s="2" t="s">
        <v>19836</v>
      </c>
      <c r="H12366" s="2" t="s">
        <v>19837</v>
      </c>
    </row>
    <row r="12367" spans="1:8" ht="25.05" customHeight="1" x14ac:dyDescent="0.25">
      <c r="A12367" s="2" t="s">
        <v>8</v>
      </c>
      <c r="B12367" s="2" t="str">
        <f>HYPERLINK("http://ts.21cn.com/tousu/show/id/1343736","钱站砍头息高利贷套路贷")</f>
        <v>钱站砍头息高利贷套路贷</v>
      </c>
      <c r="C12367" s="2" t="s">
        <v>9</v>
      </c>
      <c r="D12367" s="2" t="s">
        <v>10</v>
      </c>
      <c r="E12367" s="2" t="str">
        <f>HYPERLINK("http://ts.21cn.com/tousu/show/id/1343736","http://ts.21cn.com/tousu/show/id/1343736")</f>
        <v>http://ts.21cn.com/tousu/show/id/1343736</v>
      </c>
      <c r="F12367" s="2" t="s">
        <v>11</v>
      </c>
      <c r="G12367" s="2" t="s">
        <v>19834</v>
      </c>
      <c r="H12367" s="2" t="s">
        <v>19835</v>
      </c>
    </row>
    <row r="12368" spans="1:8" ht="25.05" customHeight="1" x14ac:dyDescent="0.25">
      <c r="A12368" s="2" t="s">
        <v>8</v>
      </c>
      <c r="B12368" s="2" t="str">
        <f>HYPERLINK("http://ts.21cn.com/tousu/show/id/1343738","团贷网从来没有逾期过，因为他们暴雷，几个月不扣款就没有偿还上")</f>
        <v>团贷网从来没有逾期过，因为他们暴雷，几个月不扣款就没有偿还上</v>
      </c>
      <c r="C12368" s="2" t="s">
        <v>9</v>
      </c>
      <c r="D12368" s="2" t="s">
        <v>10</v>
      </c>
      <c r="E12368" s="2" t="str">
        <f>HYPERLINK("http://ts.21cn.com/tousu/show/id/1343738","http://ts.21cn.com/tousu/show/id/1343738")</f>
        <v>http://ts.21cn.com/tousu/show/id/1343738</v>
      </c>
      <c r="F12368" s="2" t="s">
        <v>11</v>
      </c>
      <c r="G12368" s="2" t="s">
        <v>19832</v>
      </c>
      <c r="H12368" s="2" t="s">
        <v>19833</v>
      </c>
    </row>
    <row r="12369" spans="1:8" ht="25.05" customHeight="1" x14ac:dyDescent="0.25">
      <c r="A12369" s="2" t="s">
        <v>8</v>
      </c>
      <c r="B12369" s="2" t="str">
        <f>HYPERLINK("http://ts.21cn.com/tousu/show/id/1343714","恶意扣款盗取钱财")</f>
        <v>恶意扣款盗取钱财</v>
      </c>
      <c r="C12369" s="2" t="s">
        <v>9</v>
      </c>
      <c r="D12369" s="2" t="s">
        <v>10</v>
      </c>
      <c r="E12369" s="2" t="str">
        <f>HYPERLINK("http://ts.21cn.com/tousu/show/id/1343714","http://ts.21cn.com/tousu/show/id/1343714")</f>
        <v>http://ts.21cn.com/tousu/show/id/1343714</v>
      </c>
      <c r="F12369" s="2" t="s">
        <v>11</v>
      </c>
      <c r="G12369" s="2" t="s">
        <v>19830</v>
      </c>
      <c r="H12369" s="2" t="s">
        <v>19831</v>
      </c>
    </row>
    <row r="12370" spans="1:8" ht="25.05" customHeight="1" x14ac:dyDescent="0.25">
      <c r="A12370" s="2" t="s">
        <v>8</v>
      </c>
      <c r="B12370" s="2" t="str">
        <f>HYPERLINK("http://ts.21cn.com/tousu/show/id/1343739","车贷结清一直无法办理后续手续")</f>
        <v>车贷结清一直无法办理后续手续</v>
      </c>
      <c r="C12370" s="2" t="s">
        <v>9</v>
      </c>
      <c r="D12370" s="2" t="s">
        <v>10</v>
      </c>
      <c r="E12370" s="2" t="str">
        <f>HYPERLINK("http://ts.21cn.com/tousu/show/id/1343739","http://ts.21cn.com/tousu/show/id/1343739")</f>
        <v>http://ts.21cn.com/tousu/show/id/1343739</v>
      </c>
      <c r="F12370" s="2" t="s">
        <v>11</v>
      </c>
      <c r="G12370" s="2" t="s">
        <v>19828</v>
      </c>
      <c r="H12370" s="2" t="s">
        <v>19829</v>
      </c>
    </row>
    <row r="12371" spans="1:8" ht="25.05" customHeight="1" x14ac:dyDescent="0.25">
      <c r="A12371" s="2" t="s">
        <v>8</v>
      </c>
      <c r="B12371" s="2" t="str">
        <f>HYPERLINK("http://ts.21cn.com/tousu/show/id/1343740","百万钱包收取高额砍头息")</f>
        <v>百万钱包收取高额砍头息</v>
      </c>
      <c r="C12371" s="2" t="s">
        <v>9</v>
      </c>
      <c r="D12371" s="2" t="s">
        <v>10</v>
      </c>
      <c r="E12371" s="2" t="str">
        <f>HYPERLINK("http://ts.21cn.com/tousu/show/id/1343740","http://ts.21cn.com/tousu/show/id/1343740")</f>
        <v>http://ts.21cn.com/tousu/show/id/1343740</v>
      </c>
      <c r="F12371" s="2" t="s">
        <v>11</v>
      </c>
      <c r="G12371" s="2" t="s">
        <v>19826</v>
      </c>
      <c r="H12371" s="2" t="s">
        <v>19827</v>
      </c>
    </row>
    <row r="12372" spans="1:8" ht="25.05" customHeight="1" x14ac:dyDescent="0.25">
      <c r="A12372" s="2" t="s">
        <v>8</v>
      </c>
      <c r="B12372" s="2" t="str">
        <f>HYPERLINK("http://ts.21cn.com/tousu/show/id/1343741","花木范扣除高额砍头息现要求归还")</f>
        <v>花木范扣除高额砍头息现要求归还</v>
      </c>
      <c r="C12372" s="2" t="s">
        <v>34</v>
      </c>
      <c r="D12372" s="2" t="s">
        <v>10</v>
      </c>
      <c r="E12372" s="2" t="str">
        <f>HYPERLINK("http://ts.21cn.com/tousu/show/id/1343741","http://ts.21cn.com/tousu/show/id/1343741")</f>
        <v>http://ts.21cn.com/tousu/show/id/1343741</v>
      </c>
      <c r="F12372" s="2" t="s">
        <v>11</v>
      </c>
      <c r="G12372" s="2" t="s">
        <v>19824</v>
      </c>
      <c r="H12372" s="2" t="s">
        <v>19825</v>
      </c>
    </row>
    <row r="12373" spans="1:8" ht="25.05" customHeight="1" x14ac:dyDescent="0.25">
      <c r="A12373" s="2" t="s">
        <v>8</v>
      </c>
      <c r="B12373" s="2" t="str">
        <f>HYPERLINK("http://ts.21cn.com/tousu/show/id/1343742","聚福钱包未经许可私自扣款")</f>
        <v>聚福钱包未经许可私自扣款</v>
      </c>
      <c r="C12373" s="2" t="s">
        <v>9</v>
      </c>
      <c r="D12373" s="2" t="s">
        <v>10</v>
      </c>
      <c r="E12373" s="2" t="str">
        <f>HYPERLINK("http://ts.21cn.com/tousu/show/id/1343742","http://ts.21cn.com/tousu/show/id/1343742")</f>
        <v>http://ts.21cn.com/tousu/show/id/1343742</v>
      </c>
      <c r="F12373" s="2" t="s">
        <v>11</v>
      </c>
      <c r="G12373" s="2" t="s">
        <v>19822</v>
      </c>
      <c r="H12373" s="2" t="s">
        <v>19823</v>
      </c>
    </row>
    <row r="12374" spans="1:8" ht="25.05" customHeight="1" x14ac:dyDescent="0.25">
      <c r="A12374" s="2" t="s">
        <v>8</v>
      </c>
      <c r="B12374" s="2" t="str">
        <f>HYPERLINK("http://ts.21cn.com/tousu/show/id/1343743","购买哈佛H6高位刹车灯无故损坏，厂家不算质保，要求厂家免费提供维修")</f>
        <v>购买哈佛H6高位刹车灯无故损坏，厂家不算质保，要求厂家免费提供维修</v>
      </c>
      <c r="C12374" s="2" t="s">
        <v>9</v>
      </c>
      <c r="D12374" s="2" t="s">
        <v>10</v>
      </c>
      <c r="E12374" s="2" t="str">
        <f>HYPERLINK("http://ts.21cn.com/tousu/show/id/1343743","http://ts.21cn.com/tousu/show/id/1343743")</f>
        <v>http://ts.21cn.com/tousu/show/id/1343743</v>
      </c>
      <c r="F12374" s="2" t="s">
        <v>11</v>
      </c>
      <c r="G12374" s="2" t="s">
        <v>19820</v>
      </c>
      <c r="H12374" s="2" t="s">
        <v>19821</v>
      </c>
    </row>
    <row r="12375" spans="1:8" ht="25.05" customHeight="1" x14ac:dyDescent="0.25">
      <c r="A12375" s="2" t="s">
        <v>8</v>
      </c>
      <c r="B12375" s="2" t="str">
        <f>HYPERLINK("http://ts.21cn.com/tousu/show/id/1343744","12306候补抢票没有短信提醒导致不知道抢票成功错过车次无法退费")</f>
        <v>12306候补抢票没有短信提醒导致不知道抢票成功错过车次无法退费</v>
      </c>
      <c r="C12375" s="2" t="s">
        <v>9</v>
      </c>
      <c r="D12375" s="2" t="s">
        <v>10</v>
      </c>
      <c r="E12375" s="2" t="str">
        <f>HYPERLINK("http://ts.21cn.com/tousu/show/id/1343744","http://ts.21cn.com/tousu/show/id/1343744")</f>
        <v>http://ts.21cn.com/tousu/show/id/1343744</v>
      </c>
      <c r="F12375" s="2" t="s">
        <v>11</v>
      </c>
      <c r="G12375" s="2" t="s">
        <v>19818</v>
      </c>
      <c r="H12375" s="2" t="s">
        <v>19819</v>
      </c>
    </row>
    <row r="12376" spans="1:8" ht="25.05" customHeight="1" x14ac:dyDescent="0.25">
      <c r="A12376" s="2" t="s">
        <v>8</v>
      </c>
      <c r="B12376" s="2" t="str">
        <f>HYPERLINK("http://ts.21cn.com/tousu/show/id/1343745","平台暴力催收，发布广告不真是，")</f>
        <v>平台暴力催收，发布广告不真是，</v>
      </c>
      <c r="C12376" s="2" t="s">
        <v>9</v>
      </c>
      <c r="D12376" s="2" t="s">
        <v>10</v>
      </c>
      <c r="E12376" s="2" t="str">
        <f>HYPERLINK("http://ts.21cn.com/tousu/show/id/1343745","http://ts.21cn.com/tousu/show/id/1343745")</f>
        <v>http://ts.21cn.com/tousu/show/id/1343745</v>
      </c>
      <c r="F12376" s="2" t="s">
        <v>11</v>
      </c>
      <c r="G12376" s="2" t="s">
        <v>19816</v>
      </c>
      <c r="H12376" s="2" t="s">
        <v>19817</v>
      </c>
    </row>
    <row r="12377" spans="1:8" ht="25.05" customHeight="1" x14ac:dyDescent="0.25">
      <c r="A12377" s="2" t="s">
        <v>8</v>
      </c>
      <c r="B12377" s="2" t="str">
        <f>HYPERLINK("http://ts.21cn.com/tousu/show/id/1343746","宙斯钱包暴力催收恐吓爆通讯录")</f>
        <v>宙斯钱包暴力催收恐吓爆通讯录</v>
      </c>
      <c r="C12377" s="2" t="s">
        <v>9</v>
      </c>
      <c r="D12377" s="2" t="s">
        <v>10</v>
      </c>
      <c r="E12377" s="2" t="str">
        <f>HYPERLINK("http://ts.21cn.com/tousu/show/id/1343746","http://ts.21cn.com/tousu/show/id/1343746")</f>
        <v>http://ts.21cn.com/tousu/show/id/1343746</v>
      </c>
      <c r="F12377" s="2" t="s">
        <v>11</v>
      </c>
      <c r="G12377" s="2" t="s">
        <v>19813</v>
      </c>
      <c r="H12377" s="2" t="s">
        <v>19814</v>
      </c>
    </row>
    <row r="12378" spans="1:8" ht="25.05" customHeight="1" x14ac:dyDescent="0.25">
      <c r="A12378" s="2" t="s">
        <v>8</v>
      </c>
      <c r="B12378" s="2" t="str">
        <f>HYPERLINK("http://ts.21cn.com/tousu/show/id/1343748","按月还款仍遭暴力催收")</f>
        <v>按月还款仍遭暴力催收</v>
      </c>
      <c r="C12378" s="2" t="s">
        <v>9</v>
      </c>
      <c r="D12378" s="2" t="s">
        <v>10</v>
      </c>
      <c r="E12378" s="2" t="str">
        <f>HYPERLINK("http://ts.21cn.com/tousu/show/id/1343748","http://ts.21cn.com/tousu/show/id/1343748")</f>
        <v>http://ts.21cn.com/tousu/show/id/1343748</v>
      </c>
      <c r="F12378" s="2" t="s">
        <v>11</v>
      </c>
      <c r="G12378" s="2" t="s">
        <v>19813</v>
      </c>
      <c r="H12378" s="2" t="s">
        <v>19815</v>
      </c>
    </row>
    <row r="12379" spans="1:8" ht="25.05" customHeight="1" x14ac:dyDescent="0.25">
      <c r="A12379" s="2" t="s">
        <v>8</v>
      </c>
      <c r="B12379" s="2" t="str">
        <f>HYPERLINK("http://ts.21cn.com/tousu/show/id/1343747","钱站还款异常")</f>
        <v>钱站还款异常</v>
      </c>
      <c r="C12379" s="2" t="s">
        <v>9</v>
      </c>
      <c r="D12379" s="2" t="s">
        <v>10</v>
      </c>
      <c r="E12379" s="2" t="str">
        <f>HYPERLINK("http://ts.21cn.com/tousu/show/id/1343747","http://ts.21cn.com/tousu/show/id/1343747")</f>
        <v>http://ts.21cn.com/tousu/show/id/1343747</v>
      </c>
      <c r="F12379" s="2" t="s">
        <v>11</v>
      </c>
      <c r="G12379" s="2" t="s">
        <v>19811</v>
      </c>
      <c r="H12379" s="2" t="s">
        <v>19812</v>
      </c>
    </row>
    <row r="12380" spans="1:8" ht="25.05" customHeight="1" x14ac:dyDescent="0.25">
      <c r="A12380" s="2" t="s">
        <v>8</v>
      </c>
      <c r="B12380" s="2" t="str">
        <f>HYPERLINK("http://ts.21cn.com/tousu/show/id/1343723","请求客服帮找回我的账号")</f>
        <v>请求客服帮找回我的账号</v>
      </c>
      <c r="C12380" s="2" t="s">
        <v>9</v>
      </c>
      <c r="D12380" s="2" t="s">
        <v>10</v>
      </c>
      <c r="E12380" s="2" t="str">
        <f>HYPERLINK("http://ts.21cn.com/tousu/show/id/1343723","http://ts.21cn.com/tousu/show/id/1343723")</f>
        <v>http://ts.21cn.com/tousu/show/id/1343723</v>
      </c>
      <c r="F12380" s="2" t="s">
        <v>11</v>
      </c>
      <c r="G12380" s="2" t="s">
        <v>19809</v>
      </c>
      <c r="H12380" s="2" t="s">
        <v>19810</v>
      </c>
    </row>
    <row r="12381" spans="1:8" ht="25.05" customHeight="1" x14ac:dyDescent="0.25">
      <c r="A12381" s="2" t="s">
        <v>8</v>
      </c>
      <c r="B12381" s="2" t="str">
        <f>HYPERLINK("http://ts.21cn.com/tousu/show/id/1343749","钱站高利贷，阴阳合同")</f>
        <v>钱站高利贷，阴阳合同</v>
      </c>
      <c r="C12381" s="2" t="s">
        <v>9</v>
      </c>
      <c r="D12381" s="2" t="s">
        <v>10</v>
      </c>
      <c r="E12381" s="2" t="str">
        <f>HYPERLINK("http://ts.21cn.com/tousu/show/id/1343749","http://ts.21cn.com/tousu/show/id/1343749")</f>
        <v>http://ts.21cn.com/tousu/show/id/1343749</v>
      </c>
      <c r="F12381" s="2" t="s">
        <v>11</v>
      </c>
      <c r="G12381" s="2" t="s">
        <v>19807</v>
      </c>
      <c r="H12381" s="2" t="s">
        <v>19808</v>
      </c>
    </row>
    <row r="12382" spans="1:8" ht="25.05" customHeight="1" x14ac:dyDescent="0.25">
      <c r="A12382" s="2" t="s">
        <v>8</v>
      </c>
      <c r="B12382" s="2" t="str">
        <f>HYPERLINK("http://ts.21cn.com/tousu/show/id/1343750","你我贷高利贷年利率35以上")</f>
        <v>你我贷高利贷年利率35以上</v>
      </c>
      <c r="C12382" s="2" t="s">
        <v>9</v>
      </c>
      <c r="D12382" s="2" t="s">
        <v>10</v>
      </c>
      <c r="E12382" s="2" t="str">
        <f>HYPERLINK("http://ts.21cn.com/tousu/show/id/1343750","http://ts.21cn.com/tousu/show/id/1343750")</f>
        <v>http://ts.21cn.com/tousu/show/id/1343750</v>
      </c>
      <c r="F12382" s="2" t="s">
        <v>11</v>
      </c>
      <c r="G12382" s="2" t="s">
        <v>19805</v>
      </c>
      <c r="H12382" s="2" t="s">
        <v>19806</v>
      </c>
    </row>
    <row r="12383" spans="1:8" ht="25.05" customHeight="1" x14ac:dyDescent="0.25">
      <c r="A12383" s="2" t="s">
        <v>8</v>
      </c>
      <c r="B12383" s="2" t="str">
        <f>HYPERLINK("http://ts.21cn.com/tousu/show/id/1343751","投诉今日头条鲁班保证金2万元不退还")</f>
        <v>投诉今日头条鲁班保证金2万元不退还</v>
      </c>
      <c r="C12383" s="2" t="s">
        <v>9</v>
      </c>
      <c r="D12383" s="2" t="s">
        <v>10</v>
      </c>
      <c r="E12383" s="2" t="str">
        <f>HYPERLINK("http://ts.21cn.com/tousu/show/id/1343751","http://ts.21cn.com/tousu/show/id/1343751")</f>
        <v>http://ts.21cn.com/tousu/show/id/1343751</v>
      </c>
      <c r="F12383" s="2" t="s">
        <v>11</v>
      </c>
      <c r="G12383" s="2" t="s">
        <v>19803</v>
      </c>
      <c r="H12383" s="2" t="s">
        <v>19804</v>
      </c>
    </row>
    <row r="12384" spans="1:8" ht="25.05" customHeight="1" x14ac:dyDescent="0.25">
      <c r="A12384" s="2" t="s">
        <v>8</v>
      </c>
      <c r="B12384" s="2" t="str">
        <f>HYPERLINK("http://ts.21cn.com/tousu/show/id/1343753","顺分期APP打不开，无法还款")</f>
        <v>顺分期APP打不开，无法还款</v>
      </c>
      <c r="C12384" s="2" t="s">
        <v>34</v>
      </c>
      <c r="D12384" s="2" t="s">
        <v>10</v>
      </c>
      <c r="E12384" s="2" t="str">
        <f>HYPERLINK("http://ts.21cn.com/tousu/show/id/1343753","http://ts.21cn.com/tousu/show/id/1343753")</f>
        <v>http://ts.21cn.com/tousu/show/id/1343753</v>
      </c>
      <c r="F12384" s="2" t="s">
        <v>11</v>
      </c>
      <c r="G12384" s="2" t="s">
        <v>19801</v>
      </c>
      <c r="H12384" s="2" t="s">
        <v>19802</v>
      </c>
    </row>
    <row r="12385" spans="1:8" ht="25.05" customHeight="1" x14ac:dyDescent="0.25">
      <c r="A12385" s="2" t="s">
        <v>8</v>
      </c>
      <c r="B12385" s="2" t="str">
        <f>HYPERLINK("http://ts.21cn.com/tousu/show/id/1343754","微信官方无缘无故封微信")</f>
        <v>微信官方无缘无故封微信</v>
      </c>
      <c r="C12385" s="2" t="s">
        <v>9</v>
      </c>
      <c r="D12385" s="2" t="s">
        <v>10</v>
      </c>
      <c r="E12385" s="2" t="str">
        <f>HYPERLINK("http://ts.21cn.com/tousu/show/id/1343754","http://ts.21cn.com/tousu/show/id/1343754")</f>
        <v>http://ts.21cn.com/tousu/show/id/1343754</v>
      </c>
      <c r="F12385" s="2" t="s">
        <v>11</v>
      </c>
      <c r="G12385" s="2" t="s">
        <v>19799</v>
      </c>
      <c r="H12385" s="2" t="s">
        <v>19800</v>
      </c>
    </row>
    <row r="12386" spans="1:8" ht="25.05" customHeight="1" x14ac:dyDescent="0.25">
      <c r="A12386" s="2" t="s">
        <v>8</v>
      </c>
      <c r="B12386" s="2" t="str">
        <f>HYPERLINK("http://ts.21cn.com/tousu/show/id/1343756","马上消费金融，暴力催收，群发短信，恐吓催收")</f>
        <v>马上消费金融，暴力催收，群发短信，恐吓催收</v>
      </c>
      <c r="C12386" s="2" t="s">
        <v>9</v>
      </c>
      <c r="D12386" s="2" t="s">
        <v>10</v>
      </c>
      <c r="E12386" s="2" t="str">
        <f>HYPERLINK("http://ts.21cn.com/tousu/show/id/1343756","http://ts.21cn.com/tousu/show/id/1343756")</f>
        <v>http://ts.21cn.com/tousu/show/id/1343756</v>
      </c>
      <c r="F12386" s="2" t="s">
        <v>11</v>
      </c>
      <c r="G12386" s="2" t="s">
        <v>19797</v>
      </c>
      <c r="H12386" s="2" t="s">
        <v>19798</v>
      </c>
    </row>
    <row r="12387" spans="1:8" ht="25.05" customHeight="1" x14ac:dyDescent="0.25">
      <c r="A12387" s="2" t="s">
        <v>8</v>
      </c>
      <c r="B12387" s="2" t="str">
        <f>HYPERLINK("http://ts.21cn.com/tousu/show/id/1343737","嗨学网诱导消费者签订霸王条款，不退费")</f>
        <v>嗨学网诱导消费者签订霸王条款，不退费</v>
      </c>
      <c r="C12387" s="2" t="s">
        <v>9</v>
      </c>
      <c r="D12387" s="2" t="s">
        <v>10</v>
      </c>
      <c r="E12387" s="2" t="str">
        <f>HYPERLINK("http://ts.21cn.com/tousu/show/id/1343737","http://ts.21cn.com/tousu/show/id/1343737")</f>
        <v>http://ts.21cn.com/tousu/show/id/1343737</v>
      </c>
      <c r="F12387" s="2" t="s">
        <v>11</v>
      </c>
      <c r="G12387" s="2" t="s">
        <v>19795</v>
      </c>
      <c r="H12387" s="2" t="s">
        <v>19796</v>
      </c>
    </row>
    <row r="12388" spans="1:8" ht="25.05" customHeight="1" x14ac:dyDescent="0.25">
      <c r="A12388" s="2" t="s">
        <v>8</v>
      </c>
      <c r="B12388" s="2" t="str">
        <f>HYPERLINK("http://ts.21cn.com/tousu/show/id/1343757","“电信翼支付”捆绑销售，欺诈消费者。")</f>
        <v>“电信翼支付”捆绑销售，欺诈消费者。</v>
      </c>
      <c r="C12388" s="2" t="s">
        <v>9</v>
      </c>
      <c r="D12388" s="2" t="s">
        <v>10</v>
      </c>
      <c r="E12388" s="2" t="str">
        <f>HYPERLINK("http://ts.21cn.com/tousu/show/id/1343757","http://ts.21cn.com/tousu/show/id/1343757")</f>
        <v>http://ts.21cn.com/tousu/show/id/1343757</v>
      </c>
      <c r="F12388" s="2" t="s">
        <v>11</v>
      </c>
      <c r="G12388" s="2" t="s">
        <v>19793</v>
      </c>
      <c r="H12388" s="2" t="s">
        <v>19794</v>
      </c>
    </row>
    <row r="12389" spans="1:8" ht="25.05" customHeight="1" x14ac:dyDescent="0.25">
      <c r="A12389" s="2" t="s">
        <v>8</v>
      </c>
      <c r="B12389" s="2" t="str">
        <f>HYPERLINK("http://ts.21cn.com/tousu/show/id/1343759","小花钱包恶心催收")</f>
        <v>小花钱包恶心催收</v>
      </c>
      <c r="C12389" s="2" t="s">
        <v>9</v>
      </c>
      <c r="D12389" s="2" t="s">
        <v>10</v>
      </c>
      <c r="E12389" s="2" t="str">
        <f>HYPERLINK("http://ts.21cn.com/tousu/show/id/1343759","http://ts.21cn.com/tousu/show/id/1343759")</f>
        <v>http://ts.21cn.com/tousu/show/id/1343759</v>
      </c>
      <c r="F12389" s="2" t="s">
        <v>11</v>
      </c>
      <c r="G12389" s="2" t="s">
        <v>19791</v>
      </c>
      <c r="H12389" s="2" t="s">
        <v>19792</v>
      </c>
    </row>
    <row r="12390" spans="1:8" ht="25.05" customHeight="1" x14ac:dyDescent="0.25">
      <c r="A12390" s="2" t="s">
        <v>8</v>
      </c>
      <c r="B12390" s="2" t="str">
        <f>HYPERLINK("http://ts.21cn.com/tousu/show/id/1343763","有票网霸王条款恶意扣钱")</f>
        <v>有票网霸王条款恶意扣钱</v>
      </c>
      <c r="C12390" s="2" t="s">
        <v>9</v>
      </c>
      <c r="D12390" s="2" t="s">
        <v>10</v>
      </c>
      <c r="E12390" s="2" t="str">
        <f>HYPERLINK("http://ts.21cn.com/tousu/show/id/1343763","http://ts.21cn.com/tousu/show/id/1343763")</f>
        <v>http://ts.21cn.com/tousu/show/id/1343763</v>
      </c>
      <c r="F12390" s="2" t="s">
        <v>11</v>
      </c>
      <c r="G12390" s="2" t="s">
        <v>19789</v>
      </c>
      <c r="H12390" s="2" t="s">
        <v>19790</v>
      </c>
    </row>
    <row r="12391" spans="1:8" ht="25.05" customHeight="1" x14ac:dyDescent="0.25">
      <c r="A12391" s="2" t="s">
        <v>8</v>
      </c>
      <c r="B12391" s="2" t="str">
        <f>HYPERLINK("http://ts.21cn.com/tousu/show/id/1343760","水莲金条极速版暴力催收辱骂我父母")</f>
        <v>水莲金条极速版暴力催收辱骂我父母</v>
      </c>
      <c r="C12391" s="2" t="s">
        <v>9</v>
      </c>
      <c r="D12391" s="2" t="s">
        <v>10</v>
      </c>
      <c r="E12391" s="2" t="str">
        <f>HYPERLINK("http://ts.21cn.com/tousu/show/id/1343760","http://ts.21cn.com/tousu/show/id/1343760")</f>
        <v>http://ts.21cn.com/tousu/show/id/1343760</v>
      </c>
      <c r="F12391" s="2" t="s">
        <v>11</v>
      </c>
      <c r="G12391" s="2" t="s">
        <v>19787</v>
      </c>
      <c r="H12391" s="2" t="s">
        <v>19788</v>
      </c>
    </row>
    <row r="12392" spans="1:8" ht="25.05" customHeight="1" x14ac:dyDescent="0.25">
      <c r="A12392" s="2" t="s">
        <v>8</v>
      </c>
      <c r="B12392" s="2" t="str">
        <f>HYPERLINK("http://ts.21cn.com/tousu/show/id/1343761","凡普打骚扰电话影响周围亲朋好友")</f>
        <v>凡普打骚扰电话影响周围亲朋好友</v>
      </c>
      <c r="C12392" s="2" t="s">
        <v>9</v>
      </c>
      <c r="D12392" s="2" t="s">
        <v>10</v>
      </c>
      <c r="E12392" s="2" t="str">
        <f>HYPERLINK("http://ts.21cn.com/tousu/show/id/1343761","http://ts.21cn.com/tousu/show/id/1343761")</f>
        <v>http://ts.21cn.com/tousu/show/id/1343761</v>
      </c>
      <c r="F12392" s="2" t="s">
        <v>11</v>
      </c>
      <c r="G12392" s="2" t="s">
        <v>19785</v>
      </c>
      <c r="H12392" s="2" t="s">
        <v>19786</v>
      </c>
    </row>
    <row r="12393" spans="1:8" ht="25.05" customHeight="1" x14ac:dyDescent="0.25">
      <c r="A12393" s="2" t="s">
        <v>8</v>
      </c>
      <c r="B12393" s="2" t="str">
        <f>HYPERLINK("http://ts.21cn.com/tousu/show/id/1343762","高利贷")</f>
        <v>高利贷</v>
      </c>
      <c r="C12393" s="2" t="s">
        <v>9</v>
      </c>
      <c r="D12393" s="2" t="s">
        <v>10</v>
      </c>
      <c r="E12393" s="2" t="str">
        <f>HYPERLINK("http://ts.21cn.com/tousu/show/id/1343762","http://ts.21cn.com/tousu/show/id/1343762")</f>
        <v>http://ts.21cn.com/tousu/show/id/1343762</v>
      </c>
      <c r="F12393" s="2" t="s">
        <v>11</v>
      </c>
      <c r="G12393" s="2" t="s">
        <v>19783</v>
      </c>
      <c r="H12393" s="2" t="s">
        <v>19784</v>
      </c>
    </row>
    <row r="12394" spans="1:8" ht="25.05" customHeight="1" x14ac:dyDescent="0.25">
      <c r="A12394" s="2" t="s">
        <v>8</v>
      </c>
      <c r="B12394" s="2" t="str">
        <f>HYPERLINK("http://ts.21cn.com/tousu/show/id/1343764","小赢卡贷暴力催收威胁")</f>
        <v>小赢卡贷暴力催收威胁</v>
      </c>
      <c r="C12394" s="2" t="s">
        <v>9</v>
      </c>
      <c r="D12394" s="2" t="s">
        <v>10</v>
      </c>
      <c r="E12394" s="2" t="str">
        <f>HYPERLINK("http://ts.21cn.com/tousu/show/id/1343764","http://ts.21cn.com/tousu/show/id/1343764")</f>
        <v>http://ts.21cn.com/tousu/show/id/1343764</v>
      </c>
      <c r="F12394" s="2" t="s">
        <v>11</v>
      </c>
      <c r="G12394" s="2" t="s">
        <v>19781</v>
      </c>
      <c r="H12394" s="2" t="s">
        <v>19782</v>
      </c>
    </row>
    <row r="12395" spans="1:8" ht="25.05" customHeight="1" x14ac:dyDescent="0.25">
      <c r="A12395" s="2" t="s">
        <v>8</v>
      </c>
      <c r="B12395" s="2" t="str">
        <f>HYPERLINK("http://ts.21cn.com/tousu/show/id/1343730","闪银闪豆高额砍头息")</f>
        <v>闪银闪豆高额砍头息</v>
      </c>
      <c r="C12395" s="2" t="s">
        <v>34</v>
      </c>
      <c r="D12395" s="2" t="s">
        <v>10</v>
      </c>
      <c r="E12395" s="2" t="str">
        <f>HYPERLINK("http://ts.21cn.com/tousu/show/id/1343730","http://ts.21cn.com/tousu/show/id/1343730")</f>
        <v>http://ts.21cn.com/tousu/show/id/1343730</v>
      </c>
      <c r="F12395" s="2" t="s">
        <v>11</v>
      </c>
      <c r="G12395" s="2" t="s">
        <v>19779</v>
      </c>
      <c r="H12395" s="2" t="s">
        <v>19780</v>
      </c>
    </row>
    <row r="12396" spans="1:8" ht="25.05" customHeight="1" x14ac:dyDescent="0.25">
      <c r="A12396" s="2" t="s">
        <v>8</v>
      </c>
      <c r="B12396" s="2" t="str">
        <f>HYPERLINK("http://ts.21cn.com/tousu/show/id/1343765","（特约）中智消费无视个人财产安全，不经同意恶意扣费")</f>
        <v>（特约）中智消费无视个人财产安全，不经同意恶意扣费</v>
      </c>
      <c r="C12396" s="2" t="s">
        <v>9</v>
      </c>
      <c r="D12396" s="2" t="s">
        <v>10</v>
      </c>
      <c r="E12396" s="2" t="str">
        <f>HYPERLINK("http://ts.21cn.com/tousu/show/id/1343765","http://ts.21cn.com/tousu/show/id/1343765")</f>
        <v>http://ts.21cn.com/tousu/show/id/1343765</v>
      </c>
      <c r="F12396" s="2" t="s">
        <v>11</v>
      </c>
      <c r="G12396" s="2" t="s">
        <v>19777</v>
      </c>
      <c r="H12396" s="2" t="s">
        <v>19778</v>
      </c>
    </row>
    <row r="12397" spans="1:8" ht="25.05" customHeight="1" x14ac:dyDescent="0.25">
      <c r="A12397" s="2" t="s">
        <v>8</v>
      </c>
      <c r="B12397" s="2" t="str">
        <f>HYPERLINK("http://ts.21cn.com/tousu/show/id/1343766","白领贷高额利息")</f>
        <v>白领贷高额利息</v>
      </c>
      <c r="C12397" s="2" t="s">
        <v>9</v>
      </c>
      <c r="D12397" s="2" t="s">
        <v>10</v>
      </c>
      <c r="E12397" s="2" t="str">
        <f>HYPERLINK("http://ts.21cn.com/tousu/show/id/1343766","http://ts.21cn.com/tousu/show/id/1343766")</f>
        <v>http://ts.21cn.com/tousu/show/id/1343766</v>
      </c>
      <c r="F12397" s="2" t="s">
        <v>11</v>
      </c>
      <c r="G12397" s="2" t="s">
        <v>19775</v>
      </c>
      <c r="H12397" s="2" t="s">
        <v>19776</v>
      </c>
    </row>
    <row r="12398" spans="1:8" ht="25.05" customHeight="1" x14ac:dyDescent="0.25">
      <c r="A12398" s="2" t="s">
        <v>8</v>
      </c>
      <c r="B12398" s="2" t="str">
        <f>HYPERLINK("http://ts.21cn.com/tousu/show/id/1343767","携趣信息科技上海有限公司乱扣款")</f>
        <v>携趣信息科技上海有限公司乱扣款</v>
      </c>
      <c r="C12398" s="2" t="s">
        <v>9</v>
      </c>
      <c r="D12398" s="2" t="s">
        <v>10</v>
      </c>
      <c r="E12398" s="2" t="str">
        <f>HYPERLINK("http://ts.21cn.com/tousu/show/id/1343767","http://ts.21cn.com/tousu/show/id/1343767")</f>
        <v>http://ts.21cn.com/tousu/show/id/1343767</v>
      </c>
      <c r="F12398" s="2" t="s">
        <v>11</v>
      </c>
      <c r="G12398" s="2" t="s">
        <v>19773</v>
      </c>
      <c r="H12398" s="2" t="s">
        <v>19774</v>
      </c>
    </row>
    <row r="12399" spans="1:8" ht="25.05" customHeight="1" x14ac:dyDescent="0.25">
      <c r="A12399" s="2" t="s">
        <v>8</v>
      </c>
      <c r="B12399" s="2" t="str">
        <f>HYPERLINK("http://ts.21cn.com/tousu/show/id/1343768","广发信用卡")</f>
        <v>广发信用卡</v>
      </c>
      <c r="C12399" s="2" t="s">
        <v>9</v>
      </c>
      <c r="D12399" s="2" t="s">
        <v>10</v>
      </c>
      <c r="E12399" s="2" t="str">
        <f>HYPERLINK("http://ts.21cn.com/tousu/show/id/1343768","http://ts.21cn.com/tousu/show/id/1343768")</f>
        <v>http://ts.21cn.com/tousu/show/id/1343768</v>
      </c>
      <c r="F12399" s="2" t="s">
        <v>11</v>
      </c>
      <c r="G12399" s="2" t="s">
        <v>19771</v>
      </c>
      <c r="H12399" s="2" t="s">
        <v>19772</v>
      </c>
    </row>
    <row r="12400" spans="1:8" ht="25.05" customHeight="1" x14ac:dyDescent="0.25">
      <c r="A12400" s="2" t="s">
        <v>8</v>
      </c>
      <c r="B12400" s="2" t="str">
        <f>HYPERLINK("http://ts.21cn.com/tousu/show/id/1343770","钱智金融前期收费后期推脱不退款")</f>
        <v>钱智金融前期收费后期推脱不退款</v>
      </c>
      <c r="C12400" s="2" t="s">
        <v>9</v>
      </c>
      <c r="D12400" s="2" t="s">
        <v>10</v>
      </c>
      <c r="E12400" s="2" t="str">
        <f>HYPERLINK("http://ts.21cn.com/tousu/show/id/1343770","http://ts.21cn.com/tousu/show/id/1343770")</f>
        <v>http://ts.21cn.com/tousu/show/id/1343770</v>
      </c>
      <c r="F12400" s="2" t="s">
        <v>11</v>
      </c>
      <c r="G12400" s="2" t="s">
        <v>19769</v>
      </c>
      <c r="H12400" s="2" t="s">
        <v>19770</v>
      </c>
    </row>
    <row r="12401" spans="1:8" ht="25.05" customHeight="1" x14ac:dyDescent="0.25">
      <c r="A12401" s="2" t="s">
        <v>8</v>
      </c>
      <c r="B12401" s="2" t="str">
        <f>HYPERLINK("http://ts.21cn.com/tousu/show/id/1343771","高额砍头息")</f>
        <v>高额砍头息</v>
      </c>
      <c r="C12401" s="2" t="s">
        <v>9</v>
      </c>
      <c r="D12401" s="2" t="s">
        <v>10</v>
      </c>
      <c r="E12401" s="2" t="str">
        <f>HYPERLINK("http://ts.21cn.com/tousu/show/id/1343771","http://ts.21cn.com/tousu/show/id/1343771")</f>
        <v>http://ts.21cn.com/tousu/show/id/1343771</v>
      </c>
      <c r="F12401" s="2" t="s">
        <v>11</v>
      </c>
      <c r="G12401" s="2" t="s">
        <v>19767</v>
      </c>
      <c r="H12401" s="2" t="s">
        <v>19768</v>
      </c>
    </row>
    <row r="12402" spans="1:8" ht="25.05" customHeight="1" x14ac:dyDescent="0.25">
      <c r="A12402" s="2" t="s">
        <v>8</v>
      </c>
      <c r="B12402" s="2" t="str">
        <f>HYPERLINK("http://ts.21cn.com/tousu/show/id/1343773","中信银行违规办理信用卡，引诱误导设陷乱收费")</f>
        <v>中信银行违规办理信用卡，引诱误导设陷乱收费</v>
      </c>
      <c r="C12402" s="2" t="s">
        <v>9</v>
      </c>
      <c r="D12402" s="2" t="s">
        <v>10</v>
      </c>
      <c r="E12402" s="2" t="str">
        <f>HYPERLINK("http://ts.21cn.com/tousu/show/id/1343773","http://ts.21cn.com/tousu/show/id/1343773")</f>
        <v>http://ts.21cn.com/tousu/show/id/1343773</v>
      </c>
      <c r="F12402" s="2" t="s">
        <v>11</v>
      </c>
      <c r="G12402" s="2" t="s">
        <v>19765</v>
      </c>
      <c r="H12402" s="2" t="s">
        <v>19766</v>
      </c>
    </row>
    <row r="12403" spans="1:8" ht="25.05" customHeight="1" x14ac:dyDescent="0.25">
      <c r="A12403" s="2" t="s">
        <v>8</v>
      </c>
      <c r="B12403" s="2" t="str">
        <f>HYPERLINK("http://ts.21cn.com/tousu/show/id/1343774","骚扰恐吓家人")</f>
        <v>骚扰恐吓家人</v>
      </c>
      <c r="C12403" s="2" t="s">
        <v>9</v>
      </c>
      <c r="D12403" s="2" t="s">
        <v>10</v>
      </c>
      <c r="E12403" s="2" t="str">
        <f>HYPERLINK("http://ts.21cn.com/tousu/show/id/1343774","http://ts.21cn.com/tousu/show/id/1343774")</f>
        <v>http://ts.21cn.com/tousu/show/id/1343774</v>
      </c>
      <c r="F12403" s="2" t="s">
        <v>11</v>
      </c>
      <c r="G12403" s="2" t="s">
        <v>19763</v>
      </c>
      <c r="H12403" s="2" t="s">
        <v>19764</v>
      </c>
    </row>
    <row r="12404" spans="1:8" ht="25.05" customHeight="1" x14ac:dyDescent="0.25">
      <c r="A12404" s="2" t="s">
        <v>8</v>
      </c>
      <c r="B12404" s="2" t="str">
        <f>HYPERLINK("http://ts.21cn.com/tousu/show/id/1343775","暴力催收")</f>
        <v>暴力催收</v>
      </c>
      <c r="C12404" s="2" t="s">
        <v>9</v>
      </c>
      <c r="D12404" s="2" t="s">
        <v>10</v>
      </c>
      <c r="E12404" s="2" t="str">
        <f>HYPERLINK("http://ts.21cn.com/tousu/show/id/1343775","http://ts.21cn.com/tousu/show/id/1343775")</f>
        <v>http://ts.21cn.com/tousu/show/id/1343775</v>
      </c>
      <c r="F12404" s="2" t="s">
        <v>11</v>
      </c>
      <c r="G12404" s="2" t="s">
        <v>19761</v>
      </c>
      <c r="H12404" s="2" t="s">
        <v>19762</v>
      </c>
    </row>
    <row r="12405" spans="1:8" ht="25.05" customHeight="1" x14ac:dyDescent="0.25">
      <c r="A12405" s="2" t="s">
        <v>8</v>
      </c>
      <c r="B12405" s="2" t="str">
        <f>HYPERLINK("http://ts.21cn.com/tousu/show/id/1343776","利率高")</f>
        <v>利率高</v>
      </c>
      <c r="C12405" s="2" t="s">
        <v>34</v>
      </c>
      <c r="D12405" s="2" t="s">
        <v>10</v>
      </c>
      <c r="E12405" s="2" t="str">
        <f>HYPERLINK("http://ts.21cn.com/tousu/show/id/1343776","http://ts.21cn.com/tousu/show/id/1343776")</f>
        <v>http://ts.21cn.com/tousu/show/id/1343776</v>
      </c>
      <c r="F12405" s="2" t="s">
        <v>11</v>
      </c>
      <c r="G12405" s="2" t="s">
        <v>19758</v>
      </c>
      <c r="H12405" s="2" t="s">
        <v>19759</v>
      </c>
    </row>
    <row r="12406" spans="1:8" ht="25.05" customHeight="1" x14ac:dyDescent="0.25">
      <c r="A12406" s="2" t="s">
        <v>8</v>
      </c>
      <c r="B12406" s="2" t="str">
        <f>HYPERLINK("http://ts.21cn.com/tousu/show/id/1343777","投诉钱站威胁骚扰")</f>
        <v>投诉钱站威胁骚扰</v>
      </c>
      <c r="C12406" s="2" t="s">
        <v>9</v>
      </c>
      <c r="D12406" s="2" t="s">
        <v>10</v>
      </c>
      <c r="E12406" s="2" t="str">
        <f>HYPERLINK("http://ts.21cn.com/tousu/show/id/1343777","http://ts.21cn.com/tousu/show/id/1343777")</f>
        <v>http://ts.21cn.com/tousu/show/id/1343777</v>
      </c>
      <c r="F12406" s="2" t="s">
        <v>11</v>
      </c>
      <c r="G12406" s="2" t="s">
        <v>19758</v>
      </c>
      <c r="H12406" s="2" t="s">
        <v>19760</v>
      </c>
    </row>
    <row r="12407" spans="1:8" ht="25.05" customHeight="1" x14ac:dyDescent="0.25">
      <c r="A12407" s="2" t="s">
        <v>8</v>
      </c>
      <c r="B12407" s="2" t="str">
        <f>HYPERLINK("http://ts.21cn.com/tousu/show/id/1343778","平安普惠贷款隐瞒隐藏并强制收取高额保险费管理费投诉事宜")</f>
        <v>平安普惠贷款隐瞒隐藏并强制收取高额保险费管理费投诉事宜</v>
      </c>
      <c r="C12407" s="2" t="s">
        <v>9</v>
      </c>
      <c r="D12407" s="2" t="s">
        <v>10</v>
      </c>
      <c r="E12407" s="2" t="str">
        <f>HYPERLINK("http://ts.21cn.com/tousu/show/id/1343778","http://ts.21cn.com/tousu/show/id/1343778")</f>
        <v>http://ts.21cn.com/tousu/show/id/1343778</v>
      </c>
      <c r="F12407" s="2" t="s">
        <v>11</v>
      </c>
      <c r="G12407" s="2" t="s">
        <v>19756</v>
      </c>
      <c r="H12407" s="2" t="s">
        <v>19757</v>
      </c>
    </row>
    <row r="12408" spans="1:8" ht="25.05" customHeight="1" x14ac:dyDescent="0.25">
      <c r="A12408" s="2" t="s">
        <v>8</v>
      </c>
      <c r="B12408" s="2" t="str">
        <f>HYPERLINK("http://ts.21cn.com/tousu/show/id/1343781","我来贷变相收取高额催收费")</f>
        <v>我来贷变相收取高额催收费</v>
      </c>
      <c r="C12408" s="2" t="s">
        <v>9</v>
      </c>
      <c r="D12408" s="2" t="s">
        <v>10</v>
      </c>
      <c r="E12408" s="2" t="str">
        <f>HYPERLINK("http://ts.21cn.com/tousu/show/id/1343781","http://ts.21cn.com/tousu/show/id/1343781")</f>
        <v>http://ts.21cn.com/tousu/show/id/1343781</v>
      </c>
      <c r="F12408" s="2" t="s">
        <v>11</v>
      </c>
      <c r="G12408" s="2" t="s">
        <v>19754</v>
      </c>
      <c r="H12408" s="2" t="s">
        <v>19755</v>
      </c>
    </row>
    <row r="12409" spans="1:8" ht="25.05" customHeight="1" x14ac:dyDescent="0.25">
      <c r="A12409" s="2" t="s">
        <v>8</v>
      </c>
      <c r="B12409" s="2" t="str">
        <f>HYPERLINK("http://ts.21cn.com/tousu/show/id/1343782","严重骚扰骚扰通讯录暴力催收")</f>
        <v>严重骚扰骚扰通讯录暴力催收</v>
      </c>
      <c r="C12409" s="2" t="s">
        <v>9</v>
      </c>
      <c r="D12409" s="2" t="s">
        <v>10</v>
      </c>
      <c r="E12409" s="2" t="str">
        <f>HYPERLINK("http://ts.21cn.com/tousu/show/id/1343782","http://ts.21cn.com/tousu/show/id/1343782")</f>
        <v>http://ts.21cn.com/tousu/show/id/1343782</v>
      </c>
      <c r="F12409" s="2" t="s">
        <v>11</v>
      </c>
      <c r="G12409" s="2" t="s">
        <v>19752</v>
      </c>
      <c r="H12409" s="2" t="s">
        <v>19753</v>
      </c>
    </row>
    <row r="12410" spans="1:8" ht="25.05" customHeight="1" x14ac:dyDescent="0.25">
      <c r="A12410" s="2" t="s">
        <v>8</v>
      </c>
      <c r="B12410" s="2" t="str">
        <f>HYPERLINK("http://ts.21cn.com/tousu/show/id/1343783","特别理所当然存在的高利贷啊")</f>
        <v>特别理所当然存在的高利贷啊</v>
      </c>
      <c r="C12410" s="2" t="s">
        <v>9</v>
      </c>
      <c r="D12410" s="2" t="s">
        <v>10</v>
      </c>
      <c r="E12410" s="2" t="str">
        <f>HYPERLINK("http://ts.21cn.com/tousu/show/id/1343783","http://ts.21cn.com/tousu/show/id/1343783")</f>
        <v>http://ts.21cn.com/tousu/show/id/1343783</v>
      </c>
      <c r="F12410" s="2" t="s">
        <v>11</v>
      </c>
      <c r="G12410" s="2" t="s">
        <v>19750</v>
      </c>
      <c r="H12410" s="2" t="s">
        <v>19751</v>
      </c>
    </row>
    <row r="12411" spans="1:8" ht="25.05" customHeight="1" x14ac:dyDescent="0.25">
      <c r="A12411" s="2" t="s">
        <v>8</v>
      </c>
      <c r="B12411" s="2" t="str">
        <f>HYPERLINK("http://ts.21cn.com/tousu/show/id/1343779","鑫圣金业还我血汗钱")</f>
        <v>鑫圣金业还我血汗钱</v>
      </c>
      <c r="C12411" s="2" t="s">
        <v>9</v>
      </c>
      <c r="D12411" s="2" t="s">
        <v>10</v>
      </c>
      <c r="E12411" s="2" t="str">
        <f>HYPERLINK("http://ts.21cn.com/tousu/show/id/1343779","http://ts.21cn.com/tousu/show/id/1343779")</f>
        <v>http://ts.21cn.com/tousu/show/id/1343779</v>
      </c>
      <c r="F12411" s="2" t="s">
        <v>11</v>
      </c>
      <c r="G12411" s="2" t="s">
        <v>19748</v>
      </c>
      <c r="H12411" s="2" t="s">
        <v>19749</v>
      </c>
    </row>
    <row r="12412" spans="1:8" ht="25.05" customHeight="1" x14ac:dyDescent="0.25">
      <c r="A12412" s="2" t="s">
        <v>8</v>
      </c>
      <c r="B12412" s="2" t="str">
        <f>HYPERLINK("http://ts.21cn.com/tousu/show/id/1343785","兴业银行委托催收机构恐吓盗取信息")</f>
        <v>兴业银行委托催收机构恐吓盗取信息</v>
      </c>
      <c r="C12412" s="2" t="s">
        <v>9</v>
      </c>
      <c r="D12412" s="2" t="s">
        <v>10</v>
      </c>
      <c r="E12412" s="2" t="str">
        <f>HYPERLINK("http://ts.21cn.com/tousu/show/id/1343785","http://ts.21cn.com/tousu/show/id/1343785")</f>
        <v>http://ts.21cn.com/tousu/show/id/1343785</v>
      </c>
      <c r="F12412" s="2" t="s">
        <v>11</v>
      </c>
      <c r="G12412" s="2" t="s">
        <v>19746</v>
      </c>
      <c r="H12412" s="2" t="s">
        <v>19747</v>
      </c>
    </row>
    <row r="12413" spans="1:8" ht="25.05" customHeight="1" x14ac:dyDescent="0.25">
      <c r="A12413" s="2" t="s">
        <v>8</v>
      </c>
      <c r="B12413" s="2" t="str">
        <f>HYPERLINK("http://ts.21cn.com/tousu/show/id/1343786","马上消费金融公司存在暴力催收利率超限本人申请后两期只还本金")</f>
        <v>马上消费金融公司存在暴力催收利率超限本人申请后两期只还本金</v>
      </c>
      <c r="C12413" s="2" t="s">
        <v>9</v>
      </c>
      <c r="D12413" s="2" t="s">
        <v>10</v>
      </c>
      <c r="E12413" s="2" t="str">
        <f>HYPERLINK("http://ts.21cn.com/tousu/show/id/1343786","http://ts.21cn.com/tousu/show/id/1343786")</f>
        <v>http://ts.21cn.com/tousu/show/id/1343786</v>
      </c>
      <c r="F12413" s="2" t="s">
        <v>11</v>
      </c>
      <c r="G12413" s="2" t="s">
        <v>19744</v>
      </c>
      <c r="H12413" s="2" t="s">
        <v>19745</v>
      </c>
    </row>
    <row r="12414" spans="1:8" ht="25.05" customHeight="1" x14ac:dyDescent="0.25">
      <c r="A12414" s="2" t="s">
        <v>8</v>
      </c>
      <c r="B12414" s="2" t="str">
        <f>HYPERLINK("http://ts.21cn.com/tousu/show/id/1343787","不正规网贷暴力催收威胁爆通讯录")</f>
        <v>不正规网贷暴力催收威胁爆通讯录</v>
      </c>
      <c r="C12414" s="2" t="s">
        <v>9</v>
      </c>
      <c r="D12414" s="2" t="s">
        <v>10</v>
      </c>
      <c r="E12414" s="2" t="str">
        <f>HYPERLINK("http://ts.21cn.com/tousu/show/id/1343787","http://ts.21cn.com/tousu/show/id/1343787")</f>
        <v>http://ts.21cn.com/tousu/show/id/1343787</v>
      </c>
      <c r="F12414" s="2" t="s">
        <v>11</v>
      </c>
      <c r="G12414" s="2" t="s">
        <v>19742</v>
      </c>
      <c r="H12414" s="2" t="s">
        <v>19743</v>
      </c>
    </row>
    <row r="12415" spans="1:8" ht="25.05" customHeight="1" x14ac:dyDescent="0.25">
      <c r="A12415" s="2" t="s">
        <v>8</v>
      </c>
      <c r="B12415" s="2" t="str">
        <f>HYPERLINK("http://ts.21cn.com/tousu/show/id/1343683","展鸿科技旗下套路贷")</f>
        <v>展鸿科技旗下套路贷</v>
      </c>
      <c r="C12415" s="2" t="s">
        <v>9</v>
      </c>
      <c r="D12415" s="2" t="s">
        <v>10</v>
      </c>
      <c r="E12415" s="2" t="str">
        <f>HYPERLINK("http://ts.21cn.com/tousu/show/id/1343683","http://ts.21cn.com/tousu/show/id/1343683")</f>
        <v>http://ts.21cn.com/tousu/show/id/1343683</v>
      </c>
      <c r="F12415" s="2" t="s">
        <v>11</v>
      </c>
      <c r="G12415" s="2" t="s">
        <v>19740</v>
      </c>
      <c r="H12415" s="2" t="s">
        <v>19741</v>
      </c>
    </row>
    <row r="12416" spans="1:8" ht="25.05" customHeight="1" x14ac:dyDescent="0.25">
      <c r="A12416" s="2" t="s">
        <v>8</v>
      </c>
      <c r="B12416" s="2" t="str">
        <f>HYPERLINK("http://ts.21cn.com/tousu/show/id/1343788","苏宁易购自营监管混乱，胡乱发货")</f>
        <v>苏宁易购自营监管混乱，胡乱发货</v>
      </c>
      <c r="C12416" s="2" t="s">
        <v>9</v>
      </c>
      <c r="D12416" s="2" t="s">
        <v>10</v>
      </c>
      <c r="E12416" s="2" t="str">
        <f>HYPERLINK("http://ts.21cn.com/tousu/show/id/1343788","http://ts.21cn.com/tousu/show/id/1343788")</f>
        <v>http://ts.21cn.com/tousu/show/id/1343788</v>
      </c>
      <c r="F12416" s="2" t="s">
        <v>11</v>
      </c>
      <c r="G12416" s="2" t="s">
        <v>19738</v>
      </c>
      <c r="H12416" s="2" t="s">
        <v>19739</v>
      </c>
    </row>
    <row r="12417" spans="1:8" ht="25.05" customHeight="1" x14ac:dyDescent="0.25">
      <c r="A12417" s="2" t="s">
        <v>8</v>
      </c>
      <c r="B12417" s="2" t="str">
        <f>HYPERLINK("http://ts.21cn.com/tousu/show/id/1343772","暴力催收")</f>
        <v>暴力催收</v>
      </c>
      <c r="C12417" s="2" t="s">
        <v>9</v>
      </c>
      <c r="D12417" s="2" t="s">
        <v>10</v>
      </c>
      <c r="E12417" s="2" t="str">
        <f>HYPERLINK("http://ts.21cn.com/tousu/show/id/1343772","http://ts.21cn.com/tousu/show/id/1343772")</f>
        <v>http://ts.21cn.com/tousu/show/id/1343772</v>
      </c>
      <c r="F12417" s="2" t="s">
        <v>11</v>
      </c>
      <c r="G12417" s="2" t="s">
        <v>19736</v>
      </c>
      <c r="H12417" s="2" t="s">
        <v>19737</v>
      </c>
    </row>
    <row r="12418" spans="1:8" ht="25.05" customHeight="1" x14ac:dyDescent="0.25">
      <c r="A12418" s="2" t="s">
        <v>8</v>
      </c>
      <c r="B12418" s="2" t="str">
        <f>HYPERLINK("http://ts.21cn.com/tousu/show/id/1343789","贷上钱高利贷暴力催收")</f>
        <v>贷上钱高利贷暴力催收</v>
      </c>
      <c r="C12418" s="2" t="s">
        <v>9</v>
      </c>
      <c r="D12418" s="2" t="s">
        <v>10</v>
      </c>
      <c r="E12418" s="2" t="str">
        <f>HYPERLINK("http://ts.21cn.com/tousu/show/id/1343789","http://ts.21cn.com/tousu/show/id/1343789")</f>
        <v>http://ts.21cn.com/tousu/show/id/1343789</v>
      </c>
      <c r="F12418" s="2" t="s">
        <v>11</v>
      </c>
      <c r="G12418" s="2" t="s">
        <v>19734</v>
      </c>
      <c r="H12418" s="2" t="s">
        <v>19735</v>
      </c>
    </row>
    <row r="12419" spans="1:8" ht="25.05" customHeight="1" x14ac:dyDescent="0.25">
      <c r="A12419" s="2" t="s">
        <v>8</v>
      </c>
      <c r="B12419" s="2" t="str">
        <f>HYPERLINK("http://ts.21cn.com/tousu/show/id/1343790","你我贷高额平台服务费、风险保障费")</f>
        <v>你我贷高额平台服务费、风险保障费</v>
      </c>
      <c r="C12419" s="2" t="s">
        <v>9</v>
      </c>
      <c r="D12419" s="2" t="s">
        <v>10</v>
      </c>
      <c r="E12419" s="2" t="str">
        <f>HYPERLINK("http://ts.21cn.com/tousu/show/id/1343790","http://ts.21cn.com/tousu/show/id/1343790")</f>
        <v>http://ts.21cn.com/tousu/show/id/1343790</v>
      </c>
      <c r="F12419" s="2" t="s">
        <v>11</v>
      </c>
      <c r="G12419" s="2" t="s">
        <v>19732</v>
      </c>
      <c r="H12419" s="2" t="s">
        <v>19733</v>
      </c>
    </row>
    <row r="12420" spans="1:8" ht="25.05" customHeight="1" x14ac:dyDescent="0.25">
      <c r="A12420" s="2" t="s">
        <v>8</v>
      </c>
      <c r="B12420" s="2" t="str">
        <f>HYPERLINK("http://ts.21cn.com/tousu/show/id/1343791","长恨歌门票退款")</f>
        <v>长恨歌门票退款</v>
      </c>
      <c r="C12420" s="2" t="s">
        <v>34</v>
      </c>
      <c r="D12420" s="2" t="s">
        <v>10</v>
      </c>
      <c r="E12420" s="2" t="str">
        <f>HYPERLINK("http://ts.21cn.com/tousu/show/id/1343791","http://ts.21cn.com/tousu/show/id/1343791")</f>
        <v>http://ts.21cn.com/tousu/show/id/1343791</v>
      </c>
      <c r="F12420" s="2" t="s">
        <v>11</v>
      </c>
      <c r="G12420" s="2" t="s">
        <v>19730</v>
      </c>
      <c r="H12420" s="2" t="s">
        <v>19731</v>
      </c>
    </row>
    <row r="12421" spans="1:8" ht="25.05" customHeight="1" x14ac:dyDescent="0.25">
      <c r="A12421" s="2" t="s">
        <v>8</v>
      </c>
      <c r="B12421" s="2" t="str">
        <f>HYPERLINK("http://ts.21cn.com/tousu/show/id/1343780","连酷套路，套路推广,30的酒卖98元，说好的承诺说变就变")</f>
        <v>连酷套路，套路推广,30的酒卖98元，说好的承诺说变就变</v>
      </c>
      <c r="C12421" s="2" t="s">
        <v>9</v>
      </c>
      <c r="D12421" s="2" t="s">
        <v>10</v>
      </c>
      <c r="E12421" s="2" t="str">
        <f>HYPERLINK("http://ts.21cn.com/tousu/show/id/1343780","http://ts.21cn.com/tousu/show/id/1343780")</f>
        <v>http://ts.21cn.com/tousu/show/id/1343780</v>
      </c>
      <c r="F12421" s="2" t="s">
        <v>11</v>
      </c>
      <c r="G12421" s="2" t="s">
        <v>19728</v>
      </c>
      <c r="H12421" s="2" t="s">
        <v>19729</v>
      </c>
    </row>
    <row r="12422" spans="1:8" ht="25.05" customHeight="1" x14ac:dyDescent="0.25">
      <c r="A12422" s="2" t="s">
        <v>8</v>
      </c>
      <c r="B12422" s="2" t="str">
        <f>HYPERLINK("http://ts.21cn.com/tousu/show/id/1343792","故意恐吓骚扰")</f>
        <v>故意恐吓骚扰</v>
      </c>
      <c r="C12422" s="2" t="s">
        <v>9</v>
      </c>
      <c r="D12422" s="2" t="s">
        <v>10</v>
      </c>
      <c r="E12422" s="2" t="str">
        <f>HYPERLINK("http://ts.21cn.com/tousu/show/id/1343792","http://ts.21cn.com/tousu/show/id/1343792")</f>
        <v>http://ts.21cn.com/tousu/show/id/1343792</v>
      </c>
      <c r="F12422" s="2" t="s">
        <v>11</v>
      </c>
      <c r="G12422" s="2" t="s">
        <v>19726</v>
      </c>
      <c r="H12422" s="2" t="s">
        <v>19727</v>
      </c>
    </row>
    <row r="12423" spans="1:8" ht="25.05" customHeight="1" x14ac:dyDescent="0.25">
      <c r="A12423" s="2" t="s">
        <v>8</v>
      </c>
      <c r="B12423" s="2" t="str">
        <f>HYPERLINK("http://ts.21cn.com/tousu/show/id/1343793","小米金融侵犯个人隐私，频繁恐吓骚扰我家人")</f>
        <v>小米金融侵犯个人隐私，频繁恐吓骚扰我家人</v>
      </c>
      <c r="C12423" s="2" t="s">
        <v>9</v>
      </c>
      <c r="D12423" s="2" t="s">
        <v>10</v>
      </c>
      <c r="E12423" s="2" t="str">
        <f>HYPERLINK("http://ts.21cn.com/tousu/show/id/1343793","http://ts.21cn.com/tousu/show/id/1343793")</f>
        <v>http://ts.21cn.com/tousu/show/id/1343793</v>
      </c>
      <c r="F12423" s="2" t="s">
        <v>11</v>
      </c>
      <c r="G12423" s="2" t="s">
        <v>19724</v>
      </c>
      <c r="H12423" s="2" t="s">
        <v>19725</v>
      </c>
    </row>
    <row r="12424" spans="1:8" ht="25.05" customHeight="1" x14ac:dyDescent="0.25">
      <c r="A12424" s="2" t="s">
        <v>8</v>
      </c>
      <c r="B12424" s="2" t="str">
        <f>HYPERLINK("http://ts.21cn.com/tousu/show/id/1343794","智行火车票app账号无法注销")</f>
        <v>智行火车票app账号无法注销</v>
      </c>
      <c r="C12424" s="2" t="s">
        <v>9</v>
      </c>
      <c r="D12424" s="2" t="s">
        <v>10</v>
      </c>
      <c r="E12424" s="2" t="str">
        <f>HYPERLINK("http://ts.21cn.com/tousu/show/id/1343794","http://ts.21cn.com/tousu/show/id/1343794")</f>
        <v>http://ts.21cn.com/tousu/show/id/1343794</v>
      </c>
      <c r="F12424" s="2" t="s">
        <v>11</v>
      </c>
      <c r="G12424" s="2" t="s">
        <v>19722</v>
      </c>
      <c r="H12424" s="2" t="s">
        <v>19723</v>
      </c>
    </row>
    <row r="12425" spans="1:8" ht="25.05" customHeight="1" x14ac:dyDescent="0.25">
      <c r="A12425" s="2" t="s">
        <v>8</v>
      </c>
      <c r="B12425" s="2" t="str">
        <f>HYPERLINK("http://ts.21cn.com/tousu/show/id/1343795","恶意催收")</f>
        <v>恶意催收</v>
      </c>
      <c r="C12425" s="2" t="s">
        <v>9</v>
      </c>
      <c r="D12425" s="2" t="s">
        <v>10</v>
      </c>
      <c r="E12425" s="2" t="str">
        <f>HYPERLINK("http://ts.21cn.com/tousu/show/id/1343795","http://ts.21cn.com/tousu/show/id/1343795")</f>
        <v>http://ts.21cn.com/tousu/show/id/1343795</v>
      </c>
      <c r="F12425" s="2" t="s">
        <v>11</v>
      </c>
      <c r="G12425" s="2" t="s">
        <v>19720</v>
      </c>
      <c r="H12425" s="2" t="s">
        <v>19721</v>
      </c>
    </row>
    <row r="12426" spans="1:8" ht="25.05" customHeight="1" x14ac:dyDescent="0.25">
      <c r="A12426" s="2" t="s">
        <v>8</v>
      </c>
      <c r="B12426" s="2" t="str">
        <f>HYPERLINK("http://ts.21cn.com/tousu/show/id/1343796","闪银客服威胁走流程")</f>
        <v>闪银客服威胁走流程</v>
      </c>
      <c r="C12426" s="2" t="s">
        <v>9</v>
      </c>
      <c r="D12426" s="2" t="s">
        <v>10</v>
      </c>
      <c r="E12426" s="2" t="str">
        <f>HYPERLINK("http://ts.21cn.com/tousu/show/id/1343796","http://ts.21cn.com/tousu/show/id/1343796")</f>
        <v>http://ts.21cn.com/tousu/show/id/1343796</v>
      </c>
      <c r="F12426" s="2" t="s">
        <v>11</v>
      </c>
      <c r="G12426" s="2" t="s">
        <v>19718</v>
      </c>
      <c r="H12426" s="2" t="s">
        <v>19719</v>
      </c>
    </row>
    <row r="12427" spans="1:8" ht="25.05" customHeight="1" x14ac:dyDescent="0.25">
      <c r="A12427" s="2" t="s">
        <v>8</v>
      </c>
      <c r="B12427" s="2" t="str">
        <f>HYPERLINK("http://ts.21cn.com/tousu/show/id/1343799","恶意扣钱")</f>
        <v>恶意扣钱</v>
      </c>
      <c r="C12427" s="2" t="s">
        <v>9</v>
      </c>
      <c r="D12427" s="2" t="s">
        <v>10</v>
      </c>
      <c r="E12427" s="2" t="str">
        <f>HYPERLINK("http://ts.21cn.com/tousu/show/id/1343799","http://ts.21cn.com/tousu/show/id/1343799")</f>
        <v>http://ts.21cn.com/tousu/show/id/1343799</v>
      </c>
      <c r="F12427" s="2" t="s">
        <v>11</v>
      </c>
      <c r="G12427" s="2" t="s">
        <v>19716</v>
      </c>
      <c r="H12427" s="2" t="s">
        <v>19717</v>
      </c>
    </row>
    <row r="12428" spans="1:8" ht="25.05" customHeight="1" x14ac:dyDescent="0.25">
      <c r="A12428" s="2" t="s">
        <v>8</v>
      </c>
      <c r="B12428" s="2" t="str">
        <f>HYPERLINK("http://ts.21cn.com/tousu/show/id/1343797","悦如客服联系不到，押金迟迟不退")</f>
        <v>悦如客服联系不到，押金迟迟不退</v>
      </c>
      <c r="C12428" s="2" t="s">
        <v>9</v>
      </c>
      <c r="D12428" s="2" t="s">
        <v>10</v>
      </c>
      <c r="E12428" s="2" t="str">
        <f>HYPERLINK("http://ts.21cn.com/tousu/show/id/1343797","http://ts.21cn.com/tousu/show/id/1343797")</f>
        <v>http://ts.21cn.com/tousu/show/id/1343797</v>
      </c>
      <c r="F12428" s="2" t="s">
        <v>11</v>
      </c>
      <c r="G12428" s="2" t="s">
        <v>19714</v>
      </c>
      <c r="H12428" s="2" t="s">
        <v>19715</v>
      </c>
    </row>
    <row r="12429" spans="1:8" ht="25.05" customHeight="1" x14ac:dyDescent="0.25">
      <c r="A12429" s="2" t="s">
        <v>8</v>
      </c>
      <c r="B12429" s="2" t="str">
        <f>HYPERLINK("http://ts.21cn.com/tousu/show/id/1343798","天猫苏宁旗舰店购买红米note7pro频繁死机，无响应")</f>
        <v>天猫苏宁旗舰店购买红米note7pro频繁死机，无响应</v>
      </c>
      <c r="C12429" s="2" t="s">
        <v>9</v>
      </c>
      <c r="D12429" s="2" t="s">
        <v>10</v>
      </c>
      <c r="E12429" s="2" t="str">
        <f>HYPERLINK("http://ts.21cn.com/tousu/show/id/1343798","http://ts.21cn.com/tousu/show/id/1343798")</f>
        <v>http://ts.21cn.com/tousu/show/id/1343798</v>
      </c>
      <c r="F12429" s="2" t="s">
        <v>11</v>
      </c>
      <c r="G12429" s="2" t="s">
        <v>19712</v>
      </c>
      <c r="H12429" s="2" t="s">
        <v>19713</v>
      </c>
    </row>
    <row r="12430" spans="1:8" ht="25.05" customHeight="1" x14ac:dyDescent="0.25">
      <c r="A12430" s="2" t="s">
        <v>8</v>
      </c>
      <c r="B12430" s="2" t="str">
        <f>HYPERLINK("http://ts.21cn.com/tousu/show/id/1343800","宝龙物业给业主私自断电、电价过高")</f>
        <v>宝龙物业给业主私自断电、电价过高</v>
      </c>
      <c r="C12430" s="2" t="s">
        <v>9</v>
      </c>
      <c r="D12430" s="2" t="s">
        <v>10</v>
      </c>
      <c r="E12430" s="2" t="str">
        <f>HYPERLINK("http://ts.21cn.com/tousu/show/id/1343800","http://ts.21cn.com/tousu/show/id/1343800")</f>
        <v>http://ts.21cn.com/tousu/show/id/1343800</v>
      </c>
      <c r="F12430" s="2" t="s">
        <v>11</v>
      </c>
      <c r="G12430" s="2" t="s">
        <v>19710</v>
      </c>
      <c r="H12430" s="2" t="s">
        <v>19711</v>
      </c>
    </row>
    <row r="12431" spans="1:8" ht="25.05" customHeight="1" x14ac:dyDescent="0.25">
      <c r="A12431" s="2" t="s">
        <v>8</v>
      </c>
      <c r="B12431" s="2" t="str">
        <f>HYPERLINK("http://ts.21cn.com/tousu/show/id/1343802","立借乐信优品高利贷套路贷合利宝为非法平台提供扣款通道")</f>
        <v>立借乐信优品高利贷套路贷合利宝为非法平台提供扣款通道</v>
      </c>
      <c r="C12431" s="2" t="s">
        <v>9</v>
      </c>
      <c r="D12431" s="2" t="s">
        <v>10</v>
      </c>
      <c r="E12431" s="2" t="str">
        <f>HYPERLINK("http://ts.21cn.com/tousu/show/id/1343802","http://ts.21cn.com/tousu/show/id/1343802")</f>
        <v>http://ts.21cn.com/tousu/show/id/1343802</v>
      </c>
      <c r="F12431" s="2" t="s">
        <v>11</v>
      </c>
      <c r="G12431" s="2" t="s">
        <v>19708</v>
      </c>
      <c r="H12431" s="2" t="s">
        <v>19709</v>
      </c>
    </row>
    <row r="12432" spans="1:8" ht="25.05" customHeight="1" x14ac:dyDescent="0.25">
      <c r="A12432" s="2" t="s">
        <v>8</v>
      </c>
      <c r="B12432" s="2" t="str">
        <f>HYPERLINK("http://ts.21cn.com/tousu/show/id/1343804","贷上钱以买游戏豆为由收取高额贷款通过费")</f>
        <v>贷上钱以买游戏豆为由收取高额贷款通过费</v>
      </c>
      <c r="C12432" s="2" t="s">
        <v>9</v>
      </c>
      <c r="D12432" s="2" t="s">
        <v>10</v>
      </c>
      <c r="E12432" s="2" t="str">
        <f>HYPERLINK("http://ts.21cn.com/tousu/show/id/1343804","http://ts.21cn.com/tousu/show/id/1343804")</f>
        <v>http://ts.21cn.com/tousu/show/id/1343804</v>
      </c>
      <c r="F12432" s="2" t="s">
        <v>11</v>
      </c>
      <c r="G12432" s="2" t="s">
        <v>19706</v>
      </c>
      <c r="H12432" s="2" t="s">
        <v>19707</v>
      </c>
    </row>
    <row r="12433" spans="1:8" ht="25.05" customHeight="1" x14ac:dyDescent="0.25">
      <c r="A12433" s="2" t="s">
        <v>8</v>
      </c>
      <c r="B12433" s="2" t="str">
        <f>HYPERLINK("http://ts.21cn.com/tousu/show/id/1343803","交通银行停止催收")</f>
        <v>交通银行停止催收</v>
      </c>
      <c r="C12433" s="2" t="s">
        <v>9</v>
      </c>
      <c r="D12433" s="2" t="s">
        <v>10</v>
      </c>
      <c r="E12433" s="2" t="str">
        <f>HYPERLINK("http://ts.21cn.com/tousu/show/id/1343803","http://ts.21cn.com/tousu/show/id/1343803")</f>
        <v>http://ts.21cn.com/tousu/show/id/1343803</v>
      </c>
      <c r="F12433" s="2" t="s">
        <v>11</v>
      </c>
      <c r="G12433" s="2" t="s">
        <v>19704</v>
      </c>
      <c r="H12433" s="2" t="s">
        <v>19705</v>
      </c>
    </row>
    <row r="12434" spans="1:8" ht="25.05" customHeight="1" x14ac:dyDescent="0.25">
      <c r="A12434" s="2" t="s">
        <v>8</v>
      </c>
      <c r="B12434" s="2" t="str">
        <f>HYPERLINK("http://ts.21cn.com/tousu/show/id/1343805","非法购买他人信息")</f>
        <v>非法购买他人信息</v>
      </c>
      <c r="C12434" s="2" t="s">
        <v>9</v>
      </c>
      <c r="D12434" s="2" t="s">
        <v>10</v>
      </c>
      <c r="E12434" s="2" t="str">
        <f>HYPERLINK("http://ts.21cn.com/tousu/show/id/1343805","http://ts.21cn.com/tousu/show/id/1343805")</f>
        <v>http://ts.21cn.com/tousu/show/id/1343805</v>
      </c>
      <c r="F12434" s="2" t="s">
        <v>11</v>
      </c>
      <c r="G12434" s="2" t="s">
        <v>19702</v>
      </c>
      <c r="H12434" s="2" t="s">
        <v>19703</v>
      </c>
    </row>
    <row r="12435" spans="1:8" ht="25.05" customHeight="1" x14ac:dyDescent="0.25">
      <c r="A12435" s="2" t="s">
        <v>8</v>
      </c>
      <c r="B12435" s="2" t="str">
        <f>HYPERLINK("http://ts.21cn.com/tousu/show/id/1343806","钱橙无忧恶意扣费")</f>
        <v>钱橙无忧恶意扣费</v>
      </c>
      <c r="C12435" s="2" t="s">
        <v>9</v>
      </c>
      <c r="D12435" s="2" t="s">
        <v>10</v>
      </c>
      <c r="E12435" s="2" t="str">
        <f>HYPERLINK("http://ts.21cn.com/tousu/show/id/1343806","http://ts.21cn.com/tousu/show/id/1343806")</f>
        <v>http://ts.21cn.com/tousu/show/id/1343806</v>
      </c>
      <c r="F12435" s="2" t="s">
        <v>11</v>
      </c>
      <c r="G12435" s="2" t="s">
        <v>19700</v>
      </c>
      <c r="H12435" s="2" t="s">
        <v>19701</v>
      </c>
    </row>
    <row r="12436" spans="1:8" ht="25.05" customHeight="1" x14ac:dyDescent="0.25">
      <c r="A12436" s="2" t="s">
        <v>8</v>
      </c>
      <c r="B12436" s="2" t="str">
        <f>HYPERLINK("http://ts.21cn.com/tousu/show/id/1289732","高额服务费畸高利率")</f>
        <v>高额服务费畸高利率</v>
      </c>
      <c r="C12436" s="2" t="s">
        <v>9</v>
      </c>
      <c r="D12436" s="2" t="s">
        <v>10</v>
      </c>
      <c r="E12436" s="2" t="str">
        <f>HYPERLINK("http://ts.21cn.com/tousu/show/id/1289732","http://ts.21cn.com/tousu/show/id/1289732")</f>
        <v>http://ts.21cn.com/tousu/show/id/1289732</v>
      </c>
      <c r="F12436" s="2" t="s">
        <v>11</v>
      </c>
      <c r="G12436" s="2" t="s">
        <v>19698</v>
      </c>
      <c r="H12436" s="2" t="s">
        <v>19699</v>
      </c>
    </row>
    <row r="12437" spans="1:8" ht="25.05" customHeight="1" x14ac:dyDescent="0.25">
      <c r="A12437" s="2" t="s">
        <v>8</v>
      </c>
      <c r="B12437" s="2" t="str">
        <f>HYPERLINK("http://ts.21cn.com/tousu/show/id/1343807","强制买卡，暴力催收")</f>
        <v>强制买卡，暴力催收</v>
      </c>
      <c r="C12437" s="2" t="s">
        <v>9</v>
      </c>
      <c r="D12437" s="2" t="s">
        <v>10</v>
      </c>
      <c r="E12437" s="2" t="str">
        <f>HYPERLINK("http://ts.21cn.com/tousu/show/id/1343807","http://ts.21cn.com/tousu/show/id/1343807")</f>
        <v>http://ts.21cn.com/tousu/show/id/1343807</v>
      </c>
      <c r="F12437" s="2" t="s">
        <v>11</v>
      </c>
      <c r="G12437" s="2" t="s">
        <v>19696</v>
      </c>
      <c r="H12437" s="2" t="s">
        <v>19697</v>
      </c>
    </row>
    <row r="12438" spans="1:8" ht="25.05" customHeight="1" x14ac:dyDescent="0.25">
      <c r="A12438" s="2" t="s">
        <v>8</v>
      </c>
      <c r="B12438" s="2" t="str">
        <f>HYPERLINK("http://ts.21cn.com/tousu/show/id/1343808","我来数科这高利贷也太高了吧？")</f>
        <v>我来数科这高利贷也太高了吧？</v>
      </c>
      <c r="C12438" s="2" t="s">
        <v>9</v>
      </c>
      <c r="D12438" s="2" t="s">
        <v>10</v>
      </c>
      <c r="E12438" s="2" t="str">
        <f>HYPERLINK("http://ts.21cn.com/tousu/show/id/1343808","http://ts.21cn.com/tousu/show/id/1343808")</f>
        <v>http://ts.21cn.com/tousu/show/id/1343808</v>
      </c>
      <c r="F12438" s="2" t="s">
        <v>11</v>
      </c>
      <c r="G12438" s="2" t="s">
        <v>19694</v>
      </c>
      <c r="H12438" s="2" t="s">
        <v>19695</v>
      </c>
    </row>
    <row r="12439" spans="1:8" ht="25.05" customHeight="1" x14ac:dyDescent="0.25">
      <c r="A12439" s="2" t="s">
        <v>8</v>
      </c>
      <c r="B12439" s="2" t="str">
        <f>HYPERLINK("http://ts.21cn.com/tousu/show/id/1343811","退款299元评估费！")</f>
        <v>退款299元评估费！</v>
      </c>
      <c r="C12439" s="2" t="s">
        <v>34</v>
      </c>
      <c r="D12439" s="2" t="s">
        <v>10</v>
      </c>
      <c r="E12439" s="2" t="str">
        <f>HYPERLINK("http://ts.21cn.com/tousu/show/id/1343811","http://ts.21cn.com/tousu/show/id/1343811")</f>
        <v>http://ts.21cn.com/tousu/show/id/1343811</v>
      </c>
      <c r="F12439" s="2" t="s">
        <v>11</v>
      </c>
      <c r="G12439" s="2" t="s">
        <v>19692</v>
      </c>
      <c r="H12439" s="2" t="s">
        <v>19693</v>
      </c>
    </row>
    <row r="12440" spans="1:8" ht="25.05" customHeight="1" x14ac:dyDescent="0.25">
      <c r="A12440" s="2" t="s">
        <v>8</v>
      </c>
      <c r="B12440" s="2" t="str">
        <f>HYPERLINK("http://ts.21cn.com/tousu/show/id/1343812","我于2019年10月8号11点，被平安付未经允许，擅自转账277元，本人并不知情，急需要回！")</f>
        <v>我于2019年10月8号11点，被平安付未经允许，擅自转账277元，本人并不知情，急需要回！</v>
      </c>
      <c r="C12440" s="2" t="s">
        <v>9</v>
      </c>
      <c r="D12440" s="2" t="s">
        <v>10</v>
      </c>
      <c r="E12440" s="2" t="str">
        <f>HYPERLINK("http://ts.21cn.com/tousu/show/id/1343812","http://ts.21cn.com/tousu/show/id/1343812")</f>
        <v>http://ts.21cn.com/tousu/show/id/1343812</v>
      </c>
      <c r="F12440" s="2" t="s">
        <v>11</v>
      </c>
      <c r="G12440" s="2" t="s">
        <v>19690</v>
      </c>
      <c r="H12440" s="2" t="s">
        <v>19691</v>
      </c>
    </row>
    <row r="12441" spans="1:8" ht="25.05" customHeight="1" x14ac:dyDescent="0.25">
      <c r="A12441" s="2" t="s">
        <v>8</v>
      </c>
      <c r="B12441" s="2" t="str">
        <f>HYPERLINK("http://ts.21cn.com/tousu/show/id/1343814","凡普信贷暴力催款骚扰我亲朋好友")</f>
        <v>凡普信贷暴力催款骚扰我亲朋好友</v>
      </c>
      <c r="C12441" s="2" t="s">
        <v>9</v>
      </c>
      <c r="D12441" s="2" t="s">
        <v>10</v>
      </c>
      <c r="E12441" s="2" t="str">
        <f>HYPERLINK("http://ts.21cn.com/tousu/show/id/1343814","http://ts.21cn.com/tousu/show/id/1343814")</f>
        <v>http://ts.21cn.com/tousu/show/id/1343814</v>
      </c>
      <c r="F12441" s="2" t="s">
        <v>11</v>
      </c>
      <c r="G12441" s="2" t="s">
        <v>19688</v>
      </c>
      <c r="H12441" s="2" t="s">
        <v>19689</v>
      </c>
    </row>
    <row r="12442" spans="1:8" ht="25.05" customHeight="1" x14ac:dyDescent="0.25">
      <c r="A12442" s="2" t="s">
        <v>8</v>
      </c>
      <c r="B12442" s="2" t="str">
        <f>HYPERLINK("http://ts.21cn.com/tousu/show/id/1343813","关于预订香港快运航空航班在距登记前不到12小时的时间被无故更改的导致无法正常乘坐飞机的投诉")</f>
        <v>关于预订香港快运航空航班在距登记前不到12小时的时间被无故更改的导致无法正常乘坐飞机的投诉</v>
      </c>
      <c r="C12442" s="2" t="s">
        <v>9</v>
      </c>
      <c r="D12442" s="2" t="s">
        <v>10</v>
      </c>
      <c r="E12442" s="2" t="str">
        <f>HYPERLINK("http://ts.21cn.com/tousu/show/id/1343813","http://ts.21cn.com/tousu/show/id/1343813")</f>
        <v>http://ts.21cn.com/tousu/show/id/1343813</v>
      </c>
      <c r="F12442" s="2" t="s">
        <v>11</v>
      </c>
      <c r="G12442" s="2" t="s">
        <v>19686</v>
      </c>
      <c r="H12442" s="2" t="s">
        <v>19687</v>
      </c>
    </row>
    <row r="12443" spans="1:8" ht="25.05" customHeight="1" x14ac:dyDescent="0.25">
      <c r="A12443" s="2" t="s">
        <v>8</v>
      </c>
      <c r="B12443" s="2" t="str">
        <f>HYPERLINK("http://ts.21cn.com/tousu/show/id/1343815","卡卡贷爆通讯录")</f>
        <v>卡卡贷爆通讯录</v>
      </c>
      <c r="C12443" s="2" t="s">
        <v>9</v>
      </c>
      <c r="D12443" s="2" t="s">
        <v>10</v>
      </c>
      <c r="E12443" s="2" t="str">
        <f>HYPERLINK("http://ts.21cn.com/tousu/show/id/1343815","http://ts.21cn.com/tousu/show/id/1343815")</f>
        <v>http://ts.21cn.com/tousu/show/id/1343815</v>
      </c>
      <c r="F12443" s="2" t="s">
        <v>11</v>
      </c>
      <c r="G12443" s="2" t="s">
        <v>19684</v>
      </c>
      <c r="H12443" s="2" t="s">
        <v>19685</v>
      </c>
    </row>
    <row r="12444" spans="1:8" ht="25.05" customHeight="1" x14ac:dyDescent="0.25">
      <c r="A12444" s="2" t="s">
        <v>8</v>
      </c>
      <c r="B12444" s="2" t="str">
        <f>HYPERLINK("http://ts.21cn.com/tousu/show/id/1343816","快钱支付违规为养乐多，贝壳，富丽宝714短炮平台提供支付渠道")</f>
        <v>快钱支付违规为养乐多，贝壳，富丽宝714短炮平台提供支付渠道</v>
      </c>
      <c r="C12444" s="2" t="s">
        <v>9</v>
      </c>
      <c r="D12444" s="2" t="s">
        <v>10</v>
      </c>
      <c r="E12444" s="2" t="str">
        <f>HYPERLINK("http://ts.21cn.com/tousu/show/id/1343816","http://ts.21cn.com/tousu/show/id/1343816")</f>
        <v>http://ts.21cn.com/tousu/show/id/1343816</v>
      </c>
      <c r="F12444" s="2" t="s">
        <v>11</v>
      </c>
      <c r="G12444" s="2" t="s">
        <v>19682</v>
      </c>
      <c r="H12444" s="2" t="s">
        <v>19683</v>
      </c>
    </row>
    <row r="12445" spans="1:8" ht="25.05" customHeight="1" x14ac:dyDescent="0.25">
      <c r="A12445" s="2" t="s">
        <v>8</v>
      </c>
      <c r="B12445" s="2" t="str">
        <f>HYPERLINK("http://ts.21cn.com/tousu/show/id/1343817","河南悦如资产管理有限公司违约终止《悦如房屋委托代理合同》，欠房租和违约金")</f>
        <v>河南悦如资产管理有限公司违约终止《悦如房屋委托代理合同》，欠房租和违约金</v>
      </c>
      <c r="C12445" s="2" t="s">
        <v>9</v>
      </c>
      <c r="D12445" s="2" t="s">
        <v>10</v>
      </c>
      <c r="E12445" s="2" t="str">
        <f>HYPERLINK("http://ts.21cn.com/tousu/show/id/1343817","http://ts.21cn.com/tousu/show/id/1343817")</f>
        <v>http://ts.21cn.com/tousu/show/id/1343817</v>
      </c>
      <c r="F12445" s="2" t="s">
        <v>11</v>
      </c>
      <c r="G12445" s="2" t="s">
        <v>19680</v>
      </c>
      <c r="H12445" s="2" t="s">
        <v>19681</v>
      </c>
    </row>
    <row r="12446" spans="1:8" ht="25.05" customHeight="1" x14ac:dyDescent="0.25">
      <c r="A12446" s="2" t="s">
        <v>8</v>
      </c>
      <c r="B12446" s="2" t="str">
        <f>HYPERLINK("http://ts.21cn.com/tousu/show/id/1343819","暴力恐吓")</f>
        <v>暴力恐吓</v>
      </c>
      <c r="C12446" s="2" t="s">
        <v>9</v>
      </c>
      <c r="D12446" s="2" t="s">
        <v>10</v>
      </c>
      <c r="E12446" s="2" t="str">
        <f>HYPERLINK("http://ts.21cn.com/tousu/show/id/1343819","http://ts.21cn.com/tousu/show/id/1343819")</f>
        <v>http://ts.21cn.com/tousu/show/id/1343819</v>
      </c>
      <c r="F12446" s="2" t="s">
        <v>11</v>
      </c>
      <c r="G12446" s="2" t="s">
        <v>19678</v>
      </c>
      <c r="H12446" s="2" t="s">
        <v>19679</v>
      </c>
    </row>
    <row r="12447" spans="1:8" ht="25.05" customHeight="1" x14ac:dyDescent="0.25">
      <c r="A12447" s="2" t="s">
        <v>8</v>
      </c>
      <c r="B12447" s="2" t="str">
        <f>HYPERLINK("http://ts.21cn.com/tousu/show/id/1343818","闪银一直不放款，马上账单要还款")</f>
        <v>闪银一直不放款，马上账单要还款</v>
      </c>
      <c r="C12447" s="2" t="s">
        <v>34</v>
      </c>
      <c r="D12447" s="2" t="s">
        <v>10</v>
      </c>
      <c r="E12447" s="2" t="str">
        <f>HYPERLINK("http://ts.21cn.com/tousu/show/id/1343818","http://ts.21cn.com/tousu/show/id/1343818")</f>
        <v>http://ts.21cn.com/tousu/show/id/1343818</v>
      </c>
      <c r="F12447" s="2" t="s">
        <v>11</v>
      </c>
      <c r="G12447" s="2" t="s">
        <v>19676</v>
      </c>
      <c r="H12447" s="2" t="s">
        <v>19677</v>
      </c>
    </row>
    <row r="12448" spans="1:8" ht="25.05" customHeight="1" x14ac:dyDescent="0.25">
      <c r="A12448" s="2" t="s">
        <v>8</v>
      </c>
      <c r="B12448" s="2" t="str">
        <f>HYPERLINK("http://ts.21cn.com/tousu/show/id/1343820","嗨钱网还款了不入账一直显示逾期")</f>
        <v>嗨钱网还款了不入账一直显示逾期</v>
      </c>
      <c r="C12448" s="2" t="s">
        <v>9</v>
      </c>
      <c r="D12448" s="2" t="s">
        <v>10</v>
      </c>
      <c r="E12448" s="2" t="str">
        <f>HYPERLINK("http://ts.21cn.com/tousu/show/id/1343820","http://ts.21cn.com/tousu/show/id/1343820")</f>
        <v>http://ts.21cn.com/tousu/show/id/1343820</v>
      </c>
      <c r="F12448" s="2" t="s">
        <v>11</v>
      </c>
      <c r="G12448" s="2" t="s">
        <v>19674</v>
      </c>
      <c r="H12448" s="2" t="s">
        <v>19675</v>
      </c>
    </row>
    <row r="12449" spans="1:8" ht="25.05" customHeight="1" x14ac:dyDescent="0.25">
      <c r="A12449" s="2" t="s">
        <v>8</v>
      </c>
      <c r="B12449" s="2" t="str">
        <f>HYPERLINK("http://ts.21cn.com/tousu/show/id/1343822","马上金融暴高利贷力骚扰")</f>
        <v>马上金融暴高利贷力骚扰</v>
      </c>
      <c r="C12449" s="2" t="s">
        <v>9</v>
      </c>
      <c r="D12449" s="2" t="s">
        <v>10</v>
      </c>
      <c r="E12449" s="2" t="str">
        <f>HYPERLINK("http://ts.21cn.com/tousu/show/id/1343822","http://ts.21cn.com/tousu/show/id/1343822")</f>
        <v>http://ts.21cn.com/tousu/show/id/1343822</v>
      </c>
      <c r="F12449" s="2" t="s">
        <v>11</v>
      </c>
      <c r="G12449" s="2" t="s">
        <v>19672</v>
      </c>
      <c r="H12449" s="2" t="s">
        <v>19673</v>
      </c>
    </row>
    <row r="12450" spans="1:8" ht="25.05" customHeight="1" x14ac:dyDescent="0.25">
      <c r="A12450" s="2" t="s">
        <v>8</v>
      </c>
      <c r="B12450" s="2" t="str">
        <f>HYPERLINK("http://ts.21cn.com/tousu/show/id/1343823","车小喜充值油卡每月返还未兑现")</f>
        <v>车小喜充值油卡每月返还未兑现</v>
      </c>
      <c r="C12450" s="2" t="s">
        <v>34</v>
      </c>
      <c r="D12450" s="2" t="s">
        <v>10</v>
      </c>
      <c r="E12450" s="2" t="str">
        <f>HYPERLINK("http://ts.21cn.com/tousu/show/id/1343823","http://ts.21cn.com/tousu/show/id/1343823")</f>
        <v>http://ts.21cn.com/tousu/show/id/1343823</v>
      </c>
      <c r="F12450" s="2" t="s">
        <v>11</v>
      </c>
      <c r="G12450" s="2" t="s">
        <v>19670</v>
      </c>
      <c r="H12450" s="2" t="s">
        <v>19671</v>
      </c>
    </row>
    <row r="12451" spans="1:8" ht="25.05" customHeight="1" x14ac:dyDescent="0.25">
      <c r="A12451" s="2" t="s">
        <v>8</v>
      </c>
      <c r="B12451" s="2" t="str">
        <f>HYPERLINK("http://ts.21cn.com/tousu/show/id/1343824","钱橙无忧随意扣费")</f>
        <v>钱橙无忧随意扣费</v>
      </c>
      <c r="C12451" s="2" t="s">
        <v>34</v>
      </c>
      <c r="D12451" s="2" t="s">
        <v>10</v>
      </c>
      <c r="E12451" s="2" t="str">
        <f>HYPERLINK("http://ts.21cn.com/tousu/show/id/1343824","http://ts.21cn.com/tousu/show/id/1343824")</f>
        <v>http://ts.21cn.com/tousu/show/id/1343824</v>
      </c>
      <c r="F12451" s="2" t="s">
        <v>11</v>
      </c>
      <c r="G12451" s="2" t="s">
        <v>19668</v>
      </c>
      <c r="H12451" s="2" t="s">
        <v>19669</v>
      </c>
    </row>
    <row r="12452" spans="1:8" ht="25.05" customHeight="1" x14ac:dyDescent="0.25">
      <c r="A12452" s="2" t="s">
        <v>8</v>
      </c>
      <c r="B12452" s="2" t="str">
        <f>HYPERLINK("http://ts.21cn.com/tousu/show/id/1343825","快闪卡贷高利贷")</f>
        <v>快闪卡贷高利贷</v>
      </c>
      <c r="C12452" s="2" t="s">
        <v>9</v>
      </c>
      <c r="D12452" s="2" t="s">
        <v>10</v>
      </c>
      <c r="E12452" s="2" t="str">
        <f>HYPERLINK("http://ts.21cn.com/tousu/show/id/1343825","http://ts.21cn.com/tousu/show/id/1343825")</f>
        <v>http://ts.21cn.com/tousu/show/id/1343825</v>
      </c>
      <c r="F12452" s="2" t="s">
        <v>11</v>
      </c>
      <c r="G12452" s="2" t="s">
        <v>19666</v>
      </c>
      <c r="H12452" s="2" t="s">
        <v>19667</v>
      </c>
    </row>
    <row r="12453" spans="1:8" ht="25.05" customHeight="1" x14ac:dyDescent="0.25">
      <c r="A12453" s="2" t="s">
        <v>8</v>
      </c>
      <c r="B12453" s="2" t="str">
        <f>HYPERLINK("http://ts.21cn.com/tousu/show/id/1343826","苏宁易购拒绝退换问题商品")</f>
        <v>苏宁易购拒绝退换问题商品</v>
      </c>
      <c r="C12453" s="2" t="s">
        <v>9</v>
      </c>
      <c r="D12453" s="2" t="s">
        <v>10</v>
      </c>
      <c r="E12453" s="2" t="str">
        <f>HYPERLINK("http://ts.21cn.com/tousu/show/id/1343826","http://ts.21cn.com/tousu/show/id/1343826")</f>
        <v>http://ts.21cn.com/tousu/show/id/1343826</v>
      </c>
      <c r="F12453" s="2" t="s">
        <v>11</v>
      </c>
      <c r="G12453" s="2" t="s">
        <v>19664</v>
      </c>
      <c r="H12453" s="2" t="s">
        <v>19665</v>
      </c>
    </row>
    <row r="12454" spans="1:8" ht="25.05" customHeight="1" x14ac:dyDescent="0.25">
      <c r="A12454" s="2" t="s">
        <v>8</v>
      </c>
      <c r="B12454" s="2" t="str">
        <f>HYPERLINK("http://ts.21cn.com/tousu/show/id/1343827","软暴力恐吓催收")</f>
        <v>软暴力恐吓催收</v>
      </c>
      <c r="C12454" s="2" t="s">
        <v>9</v>
      </c>
      <c r="D12454" s="2" t="s">
        <v>10</v>
      </c>
      <c r="E12454" s="2" t="str">
        <f>HYPERLINK("http://ts.21cn.com/tousu/show/id/1343827","http://ts.21cn.com/tousu/show/id/1343827")</f>
        <v>http://ts.21cn.com/tousu/show/id/1343827</v>
      </c>
      <c r="F12454" s="2" t="s">
        <v>11</v>
      </c>
      <c r="G12454" s="2" t="s">
        <v>19662</v>
      </c>
      <c r="H12454" s="2" t="s">
        <v>19663</v>
      </c>
    </row>
    <row r="12455" spans="1:8" ht="25.05" customHeight="1" x14ac:dyDescent="0.25">
      <c r="A12455" s="2" t="s">
        <v>8</v>
      </c>
      <c r="B12455" s="2" t="str">
        <f>HYPERLINK("http://ts.21cn.com/tousu/show/id/1343828","网贷暴力催收")</f>
        <v>网贷暴力催收</v>
      </c>
      <c r="C12455" s="2" t="s">
        <v>9</v>
      </c>
      <c r="D12455" s="2" t="s">
        <v>10</v>
      </c>
      <c r="E12455" s="2" t="str">
        <f>HYPERLINK("http://ts.21cn.com/tousu/show/id/1343828","http://ts.21cn.com/tousu/show/id/1343828")</f>
        <v>http://ts.21cn.com/tousu/show/id/1343828</v>
      </c>
      <c r="F12455" s="2" t="s">
        <v>11</v>
      </c>
      <c r="G12455" s="2" t="s">
        <v>19660</v>
      </c>
      <c r="H12455" s="2" t="s">
        <v>19661</v>
      </c>
    </row>
    <row r="12456" spans="1:8" ht="25.05" customHeight="1" x14ac:dyDescent="0.25">
      <c r="A12456" s="2" t="s">
        <v>8</v>
      </c>
      <c r="B12456" s="2" t="str">
        <f>HYPERLINK("http://ts.21cn.com/tousu/show/id/1343829","马上消费金融")</f>
        <v>马上消费金融</v>
      </c>
      <c r="C12456" s="2" t="s">
        <v>9</v>
      </c>
      <c r="D12456" s="2" t="s">
        <v>10</v>
      </c>
      <c r="E12456" s="2" t="str">
        <f>HYPERLINK("http://ts.21cn.com/tousu/show/id/1343829","http://ts.21cn.com/tousu/show/id/1343829")</f>
        <v>http://ts.21cn.com/tousu/show/id/1343829</v>
      </c>
      <c r="F12456" s="2" t="s">
        <v>11</v>
      </c>
      <c r="G12456" s="2" t="s">
        <v>19658</v>
      </c>
      <c r="H12456" s="2" t="s">
        <v>19659</v>
      </c>
    </row>
    <row r="12457" spans="1:8" ht="25.05" customHeight="1" x14ac:dyDescent="0.25">
      <c r="A12457" s="2" t="s">
        <v>8</v>
      </c>
      <c r="B12457" s="2" t="str">
        <f>HYPERLINK("http://ts.21cn.com/tousu/show/id/1343831","投诉360暴力催收")</f>
        <v>投诉360暴力催收</v>
      </c>
      <c r="C12457" s="2" t="s">
        <v>9</v>
      </c>
      <c r="D12457" s="2" t="s">
        <v>10</v>
      </c>
      <c r="E12457" s="2" t="str">
        <f>HYPERLINK("http://ts.21cn.com/tousu/show/id/1343831","http://ts.21cn.com/tousu/show/id/1343831")</f>
        <v>http://ts.21cn.com/tousu/show/id/1343831</v>
      </c>
      <c r="F12457" s="2" t="s">
        <v>11</v>
      </c>
      <c r="G12457" s="2" t="s">
        <v>19656</v>
      </c>
      <c r="H12457" s="2" t="s">
        <v>19657</v>
      </c>
    </row>
    <row r="12458" spans="1:8" ht="25.05" customHeight="1" x14ac:dyDescent="0.25">
      <c r="A12458" s="2" t="s">
        <v>8</v>
      </c>
      <c r="B12458" s="2" t="str">
        <f>HYPERLINK("http://ts.21cn.com/tousu/show/id/1343832","玖富万卡催收不当")</f>
        <v>玖富万卡催收不当</v>
      </c>
      <c r="C12458" s="2" t="s">
        <v>34</v>
      </c>
      <c r="D12458" s="2" t="s">
        <v>10</v>
      </c>
      <c r="E12458" s="2" t="str">
        <f>HYPERLINK("http://ts.21cn.com/tousu/show/id/1343832","http://ts.21cn.com/tousu/show/id/1343832")</f>
        <v>http://ts.21cn.com/tousu/show/id/1343832</v>
      </c>
      <c r="F12458" s="2" t="s">
        <v>11</v>
      </c>
      <c r="G12458" s="2" t="s">
        <v>19654</v>
      </c>
      <c r="H12458" s="2" t="s">
        <v>19655</v>
      </c>
    </row>
    <row r="12459" spans="1:8" ht="25.05" customHeight="1" x14ac:dyDescent="0.25">
      <c r="A12459" s="2" t="s">
        <v>8</v>
      </c>
      <c r="B12459" s="2" t="str">
        <f>HYPERLINK("http://ts.21cn.com/tousu/show/id/1343834","威胁恐吓")</f>
        <v>威胁恐吓</v>
      </c>
      <c r="C12459" s="2" t="s">
        <v>9</v>
      </c>
      <c r="D12459" s="2" t="s">
        <v>10</v>
      </c>
      <c r="E12459" s="2" t="str">
        <f>HYPERLINK("http://ts.21cn.com/tousu/show/id/1343834","http://ts.21cn.com/tousu/show/id/1343834")</f>
        <v>http://ts.21cn.com/tousu/show/id/1343834</v>
      </c>
      <c r="F12459" s="2" t="s">
        <v>11</v>
      </c>
      <c r="G12459" s="2" t="s">
        <v>19652</v>
      </c>
      <c r="H12459" s="2" t="s">
        <v>19653</v>
      </c>
    </row>
    <row r="12460" spans="1:8" ht="25.05" customHeight="1" x14ac:dyDescent="0.25">
      <c r="A12460" s="2" t="s">
        <v>8</v>
      </c>
      <c r="B12460" s="2" t="str">
        <f>HYPERLINK("http://ts.21cn.com/tousu/show/id/1343833","平安普惠骚扰公司同事")</f>
        <v>平安普惠骚扰公司同事</v>
      </c>
      <c r="C12460" s="2" t="s">
        <v>9</v>
      </c>
      <c r="D12460" s="2" t="s">
        <v>10</v>
      </c>
      <c r="E12460" s="2" t="str">
        <f>HYPERLINK("http://ts.21cn.com/tousu/show/id/1343833","http://ts.21cn.com/tousu/show/id/1343833")</f>
        <v>http://ts.21cn.com/tousu/show/id/1343833</v>
      </c>
      <c r="F12460" s="2" t="s">
        <v>11</v>
      </c>
      <c r="G12460" s="2" t="s">
        <v>19650</v>
      </c>
      <c r="H12460" s="2" t="s">
        <v>19651</v>
      </c>
    </row>
    <row r="12461" spans="1:8" ht="25.05" customHeight="1" x14ac:dyDescent="0.25">
      <c r="A12461" s="2" t="s">
        <v>8</v>
      </c>
      <c r="B12461" s="2" t="str">
        <f>HYPERLINK("http://ts.21cn.com/tousu/show/id/1343835","移动手机号码无缘无故被停了，信息也不发")</f>
        <v>移动手机号码无缘无故被停了，信息也不发</v>
      </c>
      <c r="C12461" s="2" t="s">
        <v>9</v>
      </c>
      <c r="D12461" s="2" t="s">
        <v>10</v>
      </c>
      <c r="E12461" s="2" t="str">
        <f>HYPERLINK("http://ts.21cn.com/tousu/show/id/1343835","http://ts.21cn.com/tousu/show/id/1343835")</f>
        <v>http://ts.21cn.com/tousu/show/id/1343835</v>
      </c>
      <c r="F12461" s="2" t="s">
        <v>11</v>
      </c>
      <c r="G12461" s="2" t="s">
        <v>19648</v>
      </c>
      <c r="H12461" s="2" t="s">
        <v>19649</v>
      </c>
    </row>
    <row r="12462" spans="1:8" ht="25.05" customHeight="1" x14ac:dyDescent="0.25">
      <c r="A12462" s="2" t="s">
        <v>8</v>
      </c>
      <c r="B12462" s="2" t="str">
        <f>HYPERLINK("http://ts.21cn.com/tousu/show/id/1343836","惠金逾期一天30块钱")</f>
        <v>惠金逾期一天30块钱</v>
      </c>
      <c r="C12462" s="2" t="s">
        <v>34</v>
      </c>
      <c r="D12462" s="2" t="s">
        <v>10</v>
      </c>
      <c r="E12462" s="2" t="str">
        <f>HYPERLINK("http://ts.21cn.com/tousu/show/id/1343836","http://ts.21cn.com/tousu/show/id/1343836")</f>
        <v>http://ts.21cn.com/tousu/show/id/1343836</v>
      </c>
      <c r="F12462" s="2" t="s">
        <v>11</v>
      </c>
      <c r="G12462" s="2" t="s">
        <v>19646</v>
      </c>
      <c r="H12462" s="2" t="s">
        <v>19647</v>
      </c>
    </row>
    <row r="12463" spans="1:8" ht="25.05" customHeight="1" x14ac:dyDescent="0.25">
      <c r="A12463" s="2" t="s">
        <v>8</v>
      </c>
      <c r="B12463" s="2" t="str">
        <f>HYPERLINK("http://ts.21cn.com/tousu/show/id/1343837","钱站app砍头息，签署假合同，合同金额和到账金额不同，9号到账下月7号让还款，未逾期一直拨打催款电话")</f>
        <v>钱站app砍头息，签署假合同，合同金额和到账金额不同，9号到账下月7号让还款，未逾期一直拨打催款电话</v>
      </c>
      <c r="C12463" s="2" t="s">
        <v>9</v>
      </c>
      <c r="D12463" s="2" t="s">
        <v>10</v>
      </c>
      <c r="E12463" s="2" t="str">
        <f>HYPERLINK("http://ts.21cn.com/tousu/show/id/1343837","http://ts.21cn.com/tousu/show/id/1343837")</f>
        <v>http://ts.21cn.com/tousu/show/id/1343837</v>
      </c>
      <c r="F12463" s="2" t="s">
        <v>11</v>
      </c>
      <c r="G12463" s="2" t="s">
        <v>19644</v>
      </c>
      <c r="H12463" s="2" t="s">
        <v>19645</v>
      </c>
    </row>
    <row r="12464" spans="1:8" ht="25.05" customHeight="1" x14ac:dyDescent="0.25">
      <c r="A12464" s="2" t="s">
        <v>8</v>
      </c>
      <c r="B12464" s="2" t="str">
        <f>HYPERLINK("http://ts.21cn.com/tousu/show/id/1343839","快闪卡贷收取不合理保险费用利息过高")</f>
        <v>快闪卡贷收取不合理保险费用利息过高</v>
      </c>
      <c r="C12464" s="2" t="s">
        <v>9</v>
      </c>
      <c r="D12464" s="2" t="s">
        <v>10</v>
      </c>
      <c r="E12464" s="2" t="str">
        <f>HYPERLINK("http://ts.21cn.com/tousu/show/id/1343839","http://ts.21cn.com/tousu/show/id/1343839")</f>
        <v>http://ts.21cn.com/tousu/show/id/1343839</v>
      </c>
      <c r="F12464" s="2" t="s">
        <v>11</v>
      </c>
      <c r="G12464" s="2" t="s">
        <v>19642</v>
      </c>
      <c r="H12464" s="2" t="s">
        <v>19643</v>
      </c>
    </row>
    <row r="12465" spans="1:8" ht="25.05" customHeight="1" x14ac:dyDescent="0.25">
      <c r="A12465" s="2" t="s">
        <v>8</v>
      </c>
      <c r="B12465" s="2" t="str">
        <f>HYPERLINK("http://ts.21cn.com/tousu/show/id/1343840","聚福钱包恶意扣款")</f>
        <v>聚福钱包恶意扣款</v>
      </c>
      <c r="C12465" s="2" t="s">
        <v>9</v>
      </c>
      <c r="D12465" s="2" t="s">
        <v>10</v>
      </c>
      <c r="E12465" s="2" t="str">
        <f>HYPERLINK("http://ts.21cn.com/tousu/show/id/1343840","http://ts.21cn.com/tousu/show/id/1343840")</f>
        <v>http://ts.21cn.com/tousu/show/id/1343840</v>
      </c>
      <c r="F12465" s="2" t="s">
        <v>11</v>
      </c>
      <c r="G12465" s="2" t="s">
        <v>19640</v>
      </c>
      <c r="H12465" s="2" t="s">
        <v>19641</v>
      </c>
    </row>
    <row r="12466" spans="1:8" ht="25.05" customHeight="1" x14ac:dyDescent="0.25">
      <c r="A12466" s="2" t="s">
        <v>8</v>
      </c>
      <c r="B12466" s="2" t="str">
        <f>HYPERLINK("http://ts.21cn.com/tousu/show/id/1343841","购分期APP黑网贷乱扣费")</f>
        <v>购分期APP黑网贷乱扣费</v>
      </c>
      <c r="C12466" s="2" t="s">
        <v>9</v>
      </c>
      <c r="D12466" s="2" t="s">
        <v>10</v>
      </c>
      <c r="E12466" s="2" t="str">
        <f>HYPERLINK("http://ts.21cn.com/tousu/show/id/1343841","http://ts.21cn.com/tousu/show/id/1343841")</f>
        <v>http://ts.21cn.com/tousu/show/id/1343841</v>
      </c>
      <c r="F12466" s="2" t="s">
        <v>11</v>
      </c>
      <c r="G12466" s="2" t="s">
        <v>19638</v>
      </c>
      <c r="H12466" s="2" t="s">
        <v>19639</v>
      </c>
    </row>
    <row r="12467" spans="1:8" ht="25.05" customHeight="1" x14ac:dyDescent="0.25">
      <c r="A12467" s="2" t="s">
        <v>8</v>
      </c>
      <c r="B12467" s="2" t="str">
        <f>HYPERLINK("http://ts.21cn.com/tousu/show/id/1343842","百度有钱花爆通讯录")</f>
        <v>百度有钱花爆通讯录</v>
      </c>
      <c r="C12467" s="2" t="s">
        <v>9</v>
      </c>
      <c r="D12467" s="2" t="s">
        <v>10</v>
      </c>
      <c r="E12467" s="2" t="str">
        <f>HYPERLINK("http://ts.21cn.com/tousu/show/id/1343842","http://ts.21cn.com/tousu/show/id/1343842")</f>
        <v>http://ts.21cn.com/tousu/show/id/1343842</v>
      </c>
      <c r="F12467" s="2" t="s">
        <v>11</v>
      </c>
      <c r="G12467" s="2" t="s">
        <v>19636</v>
      </c>
      <c r="H12467" s="2" t="s">
        <v>19637</v>
      </c>
    </row>
    <row r="12468" spans="1:8" ht="25.05" customHeight="1" x14ac:dyDescent="0.25">
      <c r="A12468" s="2" t="s">
        <v>8</v>
      </c>
      <c r="B12468" s="2" t="str">
        <f>HYPERLINK("http://ts.21cn.com/tousu/show/id/1343843","达飞云贷垃圾高利贷")</f>
        <v>达飞云贷垃圾高利贷</v>
      </c>
      <c r="C12468" s="2" t="s">
        <v>9</v>
      </c>
      <c r="D12468" s="2" t="s">
        <v>10</v>
      </c>
      <c r="E12468" s="2" t="str">
        <f>HYPERLINK("http://ts.21cn.com/tousu/show/id/1343843","http://ts.21cn.com/tousu/show/id/1343843")</f>
        <v>http://ts.21cn.com/tousu/show/id/1343843</v>
      </c>
      <c r="F12468" s="2" t="s">
        <v>11</v>
      </c>
      <c r="G12468" s="2" t="s">
        <v>19634</v>
      </c>
      <c r="H12468" s="2" t="s">
        <v>19635</v>
      </c>
    </row>
    <row r="12469" spans="1:8" ht="25.05" customHeight="1" x14ac:dyDescent="0.25">
      <c r="A12469" s="2" t="s">
        <v>8</v>
      </c>
      <c r="B12469" s="2" t="str">
        <f>HYPERLINK("http://ts.21cn.com/tousu/show/id/1343844","水莲金条暴力催收")</f>
        <v>水莲金条暴力催收</v>
      </c>
      <c r="C12469" s="2" t="s">
        <v>9</v>
      </c>
      <c r="D12469" s="2" t="s">
        <v>10</v>
      </c>
      <c r="E12469" s="2" t="str">
        <f>HYPERLINK("http://ts.21cn.com/tousu/show/id/1343844","http://ts.21cn.com/tousu/show/id/1343844")</f>
        <v>http://ts.21cn.com/tousu/show/id/1343844</v>
      </c>
      <c r="F12469" s="2" t="s">
        <v>11</v>
      </c>
      <c r="G12469" s="2" t="s">
        <v>19632</v>
      </c>
      <c r="H12469" s="2" t="s">
        <v>19633</v>
      </c>
    </row>
    <row r="12470" spans="1:8" ht="25.05" customHeight="1" x14ac:dyDescent="0.25">
      <c r="A12470" s="2" t="s">
        <v>8</v>
      </c>
      <c r="B12470" s="2" t="str">
        <f>HYPERLINK("http://ts.21cn.com/tousu/show/id/1343845","给你花境外电话轰炸")</f>
        <v>给你花境外电话轰炸</v>
      </c>
      <c r="C12470" s="2" t="s">
        <v>9</v>
      </c>
      <c r="D12470" s="2" t="s">
        <v>10</v>
      </c>
      <c r="E12470" s="2" t="str">
        <f>HYPERLINK("http://ts.21cn.com/tousu/show/id/1343845","http://ts.21cn.com/tousu/show/id/1343845")</f>
        <v>http://ts.21cn.com/tousu/show/id/1343845</v>
      </c>
      <c r="F12470" s="2" t="s">
        <v>11</v>
      </c>
      <c r="G12470" s="2" t="s">
        <v>19630</v>
      </c>
      <c r="H12470" s="2" t="s">
        <v>19631</v>
      </c>
    </row>
    <row r="12471" spans="1:8" ht="25.05" customHeight="1" x14ac:dyDescent="0.25">
      <c r="A12471" s="2" t="s">
        <v>8</v>
      </c>
      <c r="B12471" s="2" t="str">
        <f>HYPERLINK("http://ts.21cn.com/tousu/show/id/1343846","529.15元闪银至尊借款、2066.59元哼哼协商10月17日还款")</f>
        <v>529.15元闪银至尊借款、2066.59元哼哼协商10月17日还款</v>
      </c>
      <c r="C12471" s="2" t="s">
        <v>9</v>
      </c>
      <c r="D12471" s="2" t="s">
        <v>10</v>
      </c>
      <c r="E12471" s="2" t="str">
        <f>HYPERLINK("http://ts.21cn.com/tousu/show/id/1343846","http://ts.21cn.com/tousu/show/id/1343846")</f>
        <v>http://ts.21cn.com/tousu/show/id/1343846</v>
      </c>
      <c r="F12471" s="2" t="s">
        <v>11</v>
      </c>
      <c r="G12471" s="2" t="s">
        <v>19628</v>
      </c>
      <c r="H12471" s="2" t="s">
        <v>19629</v>
      </c>
    </row>
    <row r="12472" spans="1:8" ht="25.05" customHeight="1" x14ac:dyDescent="0.25">
      <c r="A12472" s="2" t="s">
        <v>8</v>
      </c>
      <c r="B12472" s="2" t="str">
        <f>HYPERLINK("http://ts.21cn.com/tousu/show/id/1343847","暴力催收")</f>
        <v>暴力催收</v>
      </c>
      <c r="C12472" s="2" t="s">
        <v>9</v>
      </c>
      <c r="D12472" s="2" t="s">
        <v>10</v>
      </c>
      <c r="E12472" s="2" t="str">
        <f>HYPERLINK("http://ts.21cn.com/tousu/show/id/1343847","http://ts.21cn.com/tousu/show/id/1343847")</f>
        <v>http://ts.21cn.com/tousu/show/id/1343847</v>
      </c>
      <c r="F12472" s="2" t="s">
        <v>11</v>
      </c>
      <c r="G12472" s="2" t="s">
        <v>19626</v>
      </c>
      <c r="H12472" s="2" t="s">
        <v>19627</v>
      </c>
    </row>
    <row r="12473" spans="1:8" ht="25.05" customHeight="1" x14ac:dyDescent="0.25">
      <c r="A12473" s="2" t="s">
        <v>8</v>
      </c>
      <c r="B12473" s="2" t="str">
        <f>HYPERLINK("http://ts.21cn.com/tousu/show/id/1343849","招商信用卡逾期催收问题")</f>
        <v>招商信用卡逾期催收问题</v>
      </c>
      <c r="C12473" s="2" t="s">
        <v>9</v>
      </c>
      <c r="D12473" s="2" t="s">
        <v>10</v>
      </c>
      <c r="E12473" s="2" t="str">
        <f>HYPERLINK("http://ts.21cn.com/tousu/show/id/1343849","http://ts.21cn.com/tousu/show/id/1343849")</f>
        <v>http://ts.21cn.com/tousu/show/id/1343849</v>
      </c>
      <c r="F12473" s="2" t="s">
        <v>11</v>
      </c>
      <c r="G12473" s="2" t="s">
        <v>19624</v>
      </c>
      <c r="H12473" s="2" t="s">
        <v>19625</v>
      </c>
    </row>
    <row r="12474" spans="1:8" ht="25.05" customHeight="1" x14ac:dyDescent="0.25">
      <c r="A12474" s="2" t="s">
        <v>8</v>
      </c>
      <c r="B12474" s="2" t="str">
        <f>HYPERLINK("http://ts.21cn.com/tousu/show/id/1343848","携趣网络技术上海有限公司乱扣费")</f>
        <v>携趣网络技术上海有限公司乱扣费</v>
      </c>
      <c r="C12474" s="2" t="s">
        <v>9</v>
      </c>
      <c r="D12474" s="2" t="s">
        <v>10</v>
      </c>
      <c r="E12474" s="2" t="str">
        <f>HYPERLINK("http://ts.21cn.com/tousu/show/id/1343848","http://ts.21cn.com/tousu/show/id/1343848")</f>
        <v>http://ts.21cn.com/tousu/show/id/1343848</v>
      </c>
      <c r="F12474" s="2" t="s">
        <v>11</v>
      </c>
      <c r="G12474" s="2" t="s">
        <v>19622</v>
      </c>
      <c r="H12474" s="2" t="s">
        <v>19623</v>
      </c>
    </row>
    <row r="12475" spans="1:8" ht="25.05" customHeight="1" x14ac:dyDescent="0.25">
      <c r="A12475" s="2" t="s">
        <v>8</v>
      </c>
      <c r="B12475" s="2" t="str">
        <f>HYPERLINK("http://ts.21cn.com/tousu/show/id/1343850","小浦优客app未提示无理扣取报告费要求退款")</f>
        <v>小浦优客app未提示无理扣取报告费要求退款</v>
      </c>
      <c r="C12475" s="2" t="s">
        <v>9</v>
      </c>
      <c r="D12475" s="2" t="s">
        <v>10</v>
      </c>
      <c r="E12475" s="2" t="str">
        <f>HYPERLINK("http://ts.21cn.com/tousu/show/id/1343850","http://ts.21cn.com/tousu/show/id/1343850")</f>
        <v>http://ts.21cn.com/tousu/show/id/1343850</v>
      </c>
      <c r="F12475" s="2" t="s">
        <v>11</v>
      </c>
      <c r="G12475" s="2" t="s">
        <v>19620</v>
      </c>
      <c r="H12475" s="2" t="s">
        <v>19621</v>
      </c>
    </row>
    <row r="12476" spans="1:8" ht="25.05" customHeight="1" x14ac:dyDescent="0.25">
      <c r="A12476" s="2" t="s">
        <v>8</v>
      </c>
      <c r="B12476" s="2" t="str">
        <f>HYPERLINK("http://ts.21cn.com/tousu/show/id/1343851","今日头条鲁班押金不退")</f>
        <v>今日头条鲁班押金不退</v>
      </c>
      <c r="C12476" s="2" t="s">
        <v>9</v>
      </c>
      <c r="D12476" s="2" t="s">
        <v>10</v>
      </c>
      <c r="E12476" s="2" t="str">
        <f>HYPERLINK("http://ts.21cn.com/tousu/show/id/1343851","http://ts.21cn.com/tousu/show/id/1343851")</f>
        <v>http://ts.21cn.com/tousu/show/id/1343851</v>
      </c>
      <c r="F12476" s="2" t="s">
        <v>11</v>
      </c>
      <c r="G12476" s="2" t="s">
        <v>19618</v>
      </c>
      <c r="H12476" s="2" t="s">
        <v>19619</v>
      </c>
    </row>
    <row r="12477" spans="1:8" ht="25.05" customHeight="1" x14ac:dyDescent="0.25">
      <c r="A12477" s="2" t="s">
        <v>8</v>
      </c>
      <c r="B12477" s="2" t="str">
        <f>HYPERLINK("http://ts.21cn.com/tousu/show/id/1343830","香港快运霸王条款不退票")</f>
        <v>香港快运霸王条款不退票</v>
      </c>
      <c r="C12477" s="2" t="s">
        <v>9</v>
      </c>
      <c r="D12477" s="2" t="s">
        <v>10</v>
      </c>
      <c r="E12477" s="2" t="str">
        <f>HYPERLINK("http://ts.21cn.com/tousu/show/id/1343830","http://ts.21cn.com/tousu/show/id/1343830")</f>
        <v>http://ts.21cn.com/tousu/show/id/1343830</v>
      </c>
      <c r="F12477" s="2" t="s">
        <v>11</v>
      </c>
      <c r="G12477" s="2" t="s">
        <v>19616</v>
      </c>
      <c r="H12477" s="2" t="s">
        <v>19617</v>
      </c>
    </row>
    <row r="12478" spans="1:8" ht="25.05" customHeight="1" x14ac:dyDescent="0.25">
      <c r="A12478" s="2" t="s">
        <v>8</v>
      </c>
      <c r="B12478" s="2" t="str">
        <f>HYPERLINK("http://ts.21cn.com/tousu/show/id/1343853","银行卡被宝付盗刷")</f>
        <v>银行卡被宝付盗刷</v>
      </c>
      <c r="C12478" s="2" t="s">
        <v>9</v>
      </c>
      <c r="D12478" s="2" t="s">
        <v>10</v>
      </c>
      <c r="E12478" s="2" t="str">
        <f>HYPERLINK("http://ts.21cn.com/tousu/show/id/1343853","http://ts.21cn.com/tousu/show/id/1343853")</f>
        <v>http://ts.21cn.com/tousu/show/id/1343853</v>
      </c>
      <c r="F12478" s="2" t="s">
        <v>11</v>
      </c>
      <c r="G12478" s="2" t="s">
        <v>19614</v>
      </c>
      <c r="H12478" s="2" t="s">
        <v>19615</v>
      </c>
    </row>
    <row r="12479" spans="1:8" ht="25.05" customHeight="1" x14ac:dyDescent="0.25">
      <c r="A12479" s="2" t="s">
        <v>8</v>
      </c>
      <c r="B12479" s="2" t="str">
        <f>HYPERLINK("http://ts.21cn.com/tousu/show/id/1343854","信用飞高额保费。骚扰家人")</f>
        <v>信用飞高额保费。骚扰家人</v>
      </c>
      <c r="C12479" s="2" t="s">
        <v>9</v>
      </c>
      <c r="D12479" s="2" t="s">
        <v>10</v>
      </c>
      <c r="E12479" s="2" t="str">
        <f>HYPERLINK("http://ts.21cn.com/tousu/show/id/1343854","http://ts.21cn.com/tousu/show/id/1343854")</f>
        <v>http://ts.21cn.com/tousu/show/id/1343854</v>
      </c>
      <c r="F12479" s="2" t="s">
        <v>11</v>
      </c>
      <c r="G12479" s="2" t="s">
        <v>19612</v>
      </c>
      <c r="H12479" s="2" t="s">
        <v>19613</v>
      </c>
    </row>
    <row r="12480" spans="1:8" ht="25.05" customHeight="1" x14ac:dyDescent="0.25">
      <c r="A12480" s="2" t="s">
        <v>8</v>
      </c>
      <c r="B12480" s="2" t="str">
        <f>HYPERLINK("http://ts.21cn.com/tousu/show/id/1343855","联动云到期不退押金")</f>
        <v>联动云到期不退押金</v>
      </c>
      <c r="C12480" s="2" t="s">
        <v>9</v>
      </c>
      <c r="D12480" s="2" t="s">
        <v>10</v>
      </c>
      <c r="E12480" s="2" t="str">
        <f>HYPERLINK("http://ts.21cn.com/tousu/show/id/1343855","http://ts.21cn.com/tousu/show/id/1343855")</f>
        <v>http://ts.21cn.com/tousu/show/id/1343855</v>
      </c>
      <c r="F12480" s="2" t="s">
        <v>11</v>
      </c>
      <c r="G12480" s="2" t="s">
        <v>19610</v>
      </c>
      <c r="H12480" s="2" t="s">
        <v>19611</v>
      </c>
    </row>
    <row r="12481" spans="1:8" ht="25.05" customHeight="1" x14ac:dyDescent="0.25">
      <c r="A12481" s="2" t="s">
        <v>8</v>
      </c>
      <c r="B12481" s="2" t="str">
        <f>HYPERLINK("http://ts.21cn.com/tousu/show/id/1343856","暴力催收高利贷")</f>
        <v>暴力催收高利贷</v>
      </c>
      <c r="C12481" s="2" t="s">
        <v>9</v>
      </c>
      <c r="D12481" s="2" t="s">
        <v>10</v>
      </c>
      <c r="E12481" s="2" t="str">
        <f>HYPERLINK("http://ts.21cn.com/tousu/show/id/1343856","http://ts.21cn.com/tousu/show/id/1343856")</f>
        <v>http://ts.21cn.com/tousu/show/id/1343856</v>
      </c>
      <c r="F12481" s="2" t="s">
        <v>11</v>
      </c>
      <c r="G12481" s="2" t="s">
        <v>19608</v>
      </c>
      <c r="H12481" s="2" t="s">
        <v>19609</v>
      </c>
    </row>
    <row r="12482" spans="1:8" ht="25.05" customHeight="1" x14ac:dyDescent="0.25">
      <c r="A12482" s="2" t="s">
        <v>8</v>
      </c>
      <c r="B12482" s="2" t="str">
        <f>HYPERLINK("http://ts.21cn.com/tousu/show/id/1343857","闪送随意处罚")</f>
        <v>闪送随意处罚</v>
      </c>
      <c r="C12482" s="2" t="s">
        <v>9</v>
      </c>
      <c r="D12482" s="2" t="s">
        <v>10</v>
      </c>
      <c r="E12482" s="2" t="str">
        <f>HYPERLINK("http://ts.21cn.com/tousu/show/id/1343857","http://ts.21cn.com/tousu/show/id/1343857")</f>
        <v>http://ts.21cn.com/tousu/show/id/1343857</v>
      </c>
      <c r="F12482" s="2" t="s">
        <v>11</v>
      </c>
      <c r="G12482" s="2" t="s">
        <v>19606</v>
      </c>
      <c r="H12482" s="2" t="s">
        <v>19607</v>
      </c>
    </row>
    <row r="12483" spans="1:8" ht="25.05" customHeight="1" x14ac:dyDescent="0.25">
      <c r="A12483" s="2" t="s">
        <v>8</v>
      </c>
      <c r="B12483" s="2" t="str">
        <f>HYPERLINK("http://ts.21cn.com/tousu/show/id/1343858","合利宝违规为小虎优品，猫头鹰，小海豚，吉祥草，兜有用，安薪花等714平台提供支付渠道")</f>
        <v>合利宝违规为小虎优品，猫头鹰，小海豚，吉祥草，兜有用，安薪花等714平台提供支付渠道</v>
      </c>
      <c r="C12483" s="2" t="s">
        <v>9</v>
      </c>
      <c r="D12483" s="2" t="s">
        <v>10</v>
      </c>
      <c r="E12483" s="2" t="str">
        <f>HYPERLINK("http://ts.21cn.com/tousu/show/id/1343858","http://ts.21cn.com/tousu/show/id/1343858")</f>
        <v>http://ts.21cn.com/tousu/show/id/1343858</v>
      </c>
      <c r="F12483" s="2" t="s">
        <v>11</v>
      </c>
      <c r="G12483" s="2" t="s">
        <v>19604</v>
      </c>
      <c r="H12483" s="2" t="s">
        <v>19605</v>
      </c>
    </row>
    <row r="12484" spans="1:8" ht="25.05" customHeight="1" x14ac:dyDescent="0.25">
      <c r="A12484" s="2" t="s">
        <v>8</v>
      </c>
      <c r="B12484" s="2" t="str">
        <f>HYPERLINK("http://ts.21cn.com/tousu/show/id/1343859","苏打优选擅自扣除客户卡内钱")</f>
        <v>苏打优选擅自扣除客户卡内钱</v>
      </c>
      <c r="C12484" s="2" t="s">
        <v>9</v>
      </c>
      <c r="D12484" s="2" t="s">
        <v>10</v>
      </c>
      <c r="E12484" s="2" t="str">
        <f>HYPERLINK("http://ts.21cn.com/tousu/show/id/1343859","http://ts.21cn.com/tousu/show/id/1343859")</f>
        <v>http://ts.21cn.com/tousu/show/id/1343859</v>
      </c>
      <c r="F12484" s="2" t="s">
        <v>11</v>
      </c>
      <c r="G12484" s="2" t="s">
        <v>19602</v>
      </c>
      <c r="H12484" s="2" t="s">
        <v>19603</v>
      </c>
    </row>
    <row r="12485" spans="1:8" ht="25.05" customHeight="1" x14ac:dyDescent="0.25">
      <c r="A12485" s="2" t="s">
        <v>8</v>
      </c>
      <c r="B12485" s="2" t="str">
        <f>HYPERLINK("http://ts.21cn.com/tousu/show/id/1343861","分期乐短信轰炸恐吓")</f>
        <v>分期乐短信轰炸恐吓</v>
      </c>
      <c r="C12485" s="2" t="s">
        <v>34</v>
      </c>
      <c r="D12485" s="2" t="s">
        <v>10</v>
      </c>
      <c r="E12485" s="2" t="str">
        <f>HYPERLINK("http://ts.21cn.com/tousu/show/id/1343861","http://ts.21cn.com/tousu/show/id/1343861")</f>
        <v>http://ts.21cn.com/tousu/show/id/1343861</v>
      </c>
      <c r="F12485" s="2" t="s">
        <v>11</v>
      </c>
      <c r="G12485" s="2" t="s">
        <v>19600</v>
      </c>
      <c r="H12485" s="2" t="s">
        <v>19601</v>
      </c>
    </row>
    <row r="12486" spans="1:8" ht="25.05" customHeight="1" x14ac:dyDescent="0.25">
      <c r="A12486" s="2" t="s">
        <v>8</v>
      </c>
      <c r="B12486" s="2" t="str">
        <f>HYPERLINK("http://ts.21cn.com/tousu/show/id/1343862","拉卡拉账户被关闭，无法提现")</f>
        <v>拉卡拉账户被关闭，无法提现</v>
      </c>
      <c r="C12486" s="2" t="s">
        <v>9</v>
      </c>
      <c r="D12486" s="2" t="s">
        <v>10</v>
      </c>
      <c r="E12486" s="2" t="str">
        <f>HYPERLINK("http://ts.21cn.com/tousu/show/id/1343862","http://ts.21cn.com/tousu/show/id/1343862")</f>
        <v>http://ts.21cn.com/tousu/show/id/1343862</v>
      </c>
      <c r="F12486" s="2" t="s">
        <v>11</v>
      </c>
      <c r="G12486" s="2" t="s">
        <v>19598</v>
      </c>
      <c r="H12486" s="2" t="s">
        <v>19599</v>
      </c>
    </row>
    <row r="12487" spans="1:8" ht="25.05" customHeight="1" x14ac:dyDescent="0.25">
      <c r="A12487" s="2" t="s">
        <v>8</v>
      </c>
      <c r="B12487" s="2" t="str">
        <f>HYPERLINK("http://ts.21cn.com/tousu/show/id/1343863","马上消费金融，暴力催收，群发短信，恐吓催收")</f>
        <v>马上消费金融，暴力催收，群发短信，恐吓催收</v>
      </c>
      <c r="C12487" s="2" t="s">
        <v>9</v>
      </c>
      <c r="D12487" s="2" t="s">
        <v>10</v>
      </c>
      <c r="E12487" s="2" t="str">
        <f>HYPERLINK("http://ts.21cn.com/tousu/show/id/1343863","http://ts.21cn.com/tousu/show/id/1343863")</f>
        <v>http://ts.21cn.com/tousu/show/id/1343863</v>
      </c>
      <c r="F12487" s="2" t="s">
        <v>11</v>
      </c>
      <c r="G12487" s="2" t="s">
        <v>19596</v>
      </c>
      <c r="H12487" s="2" t="s">
        <v>19597</v>
      </c>
    </row>
    <row r="12488" spans="1:8" ht="25.05" customHeight="1" x14ac:dyDescent="0.25">
      <c r="A12488" s="2" t="s">
        <v>8</v>
      </c>
      <c r="B12488" s="2" t="str">
        <f>HYPERLINK("http://ts.21cn.com/tousu/show/id/1343864","弹棉花暴力催收")</f>
        <v>弹棉花暴力催收</v>
      </c>
      <c r="C12488" s="2" t="s">
        <v>9</v>
      </c>
      <c r="D12488" s="2" t="s">
        <v>10</v>
      </c>
      <c r="E12488" s="2" t="str">
        <f>HYPERLINK("http://ts.21cn.com/tousu/show/id/1343864","http://ts.21cn.com/tousu/show/id/1343864")</f>
        <v>http://ts.21cn.com/tousu/show/id/1343864</v>
      </c>
      <c r="F12488" s="2" t="s">
        <v>11</v>
      </c>
      <c r="G12488" s="2" t="s">
        <v>19594</v>
      </c>
      <c r="H12488" s="2" t="s">
        <v>19595</v>
      </c>
    </row>
    <row r="12489" spans="1:8" ht="25.05" customHeight="1" x14ac:dyDescent="0.25">
      <c r="A12489" s="2" t="s">
        <v>8</v>
      </c>
      <c r="B12489" s="2" t="str">
        <f>HYPERLINK("http://ts.21cn.com/tousu/show/id/1343865","不要在涨利息了")</f>
        <v>不要在涨利息了</v>
      </c>
      <c r="C12489" s="2" t="s">
        <v>9</v>
      </c>
      <c r="D12489" s="2" t="s">
        <v>10</v>
      </c>
      <c r="E12489" s="2" t="str">
        <f>HYPERLINK("http://ts.21cn.com/tousu/show/id/1343865","http://ts.21cn.com/tousu/show/id/1343865")</f>
        <v>http://ts.21cn.com/tousu/show/id/1343865</v>
      </c>
      <c r="F12489" s="2" t="s">
        <v>11</v>
      </c>
      <c r="G12489" s="2" t="s">
        <v>19592</v>
      </c>
      <c r="H12489" s="2" t="s">
        <v>19593</v>
      </c>
    </row>
    <row r="12490" spans="1:8" ht="25.05" customHeight="1" x14ac:dyDescent="0.25">
      <c r="A12490" s="2" t="s">
        <v>8</v>
      </c>
      <c r="B12490" s="2" t="str">
        <f>HYPERLINK("http://ts.21cn.com/tousu/show/id/1343868","闪银套路贷，威胁爆通讯录")</f>
        <v>闪银套路贷，威胁爆通讯录</v>
      </c>
      <c r="C12490" s="2" t="s">
        <v>9</v>
      </c>
      <c r="D12490" s="2" t="s">
        <v>10</v>
      </c>
      <c r="E12490" s="2" t="str">
        <f>HYPERLINK("http://ts.21cn.com/tousu/show/id/1343868","http://ts.21cn.com/tousu/show/id/1343868")</f>
        <v>http://ts.21cn.com/tousu/show/id/1343868</v>
      </c>
      <c r="F12490" s="2" t="s">
        <v>11</v>
      </c>
      <c r="G12490" s="2" t="s">
        <v>19590</v>
      </c>
      <c r="H12490" s="2" t="s">
        <v>19591</v>
      </c>
    </row>
    <row r="12491" spans="1:8" ht="25.05" customHeight="1" x14ac:dyDescent="0.25">
      <c r="A12491" s="2" t="s">
        <v>8</v>
      </c>
      <c r="B12491" s="2" t="str">
        <f>HYPERLINK("http://ts.21cn.com/tousu/show/id/1343867","光大银行信用卡逾期")</f>
        <v>光大银行信用卡逾期</v>
      </c>
      <c r="C12491" s="2" t="s">
        <v>9</v>
      </c>
      <c r="D12491" s="2" t="s">
        <v>10</v>
      </c>
      <c r="E12491" s="2" t="str">
        <f>HYPERLINK("http://ts.21cn.com/tousu/show/id/1343867","http://ts.21cn.com/tousu/show/id/1343867")</f>
        <v>http://ts.21cn.com/tousu/show/id/1343867</v>
      </c>
      <c r="F12491" s="2" t="s">
        <v>11</v>
      </c>
      <c r="G12491" s="2" t="s">
        <v>19588</v>
      </c>
      <c r="H12491" s="2" t="s">
        <v>19589</v>
      </c>
    </row>
    <row r="12492" spans="1:8" ht="25.05" customHeight="1" x14ac:dyDescent="0.25">
      <c r="A12492" s="2" t="s">
        <v>8</v>
      </c>
      <c r="B12492" s="2" t="str">
        <f>HYPERLINK("http://ts.21cn.com/tousu/show/id/1343866","恶意催手，曝通讯录")</f>
        <v>恶意催手，曝通讯录</v>
      </c>
      <c r="C12492" s="2" t="s">
        <v>9</v>
      </c>
      <c r="D12492" s="2" t="s">
        <v>10</v>
      </c>
      <c r="E12492" s="2" t="str">
        <f>HYPERLINK("http://ts.21cn.com/tousu/show/id/1343866","http://ts.21cn.com/tousu/show/id/1343866")</f>
        <v>http://ts.21cn.com/tousu/show/id/1343866</v>
      </c>
      <c r="F12492" s="2" t="s">
        <v>11</v>
      </c>
      <c r="G12492" s="2" t="s">
        <v>19586</v>
      </c>
      <c r="H12492" s="2" t="s">
        <v>19587</v>
      </c>
    </row>
    <row r="12493" spans="1:8" ht="25.05" customHeight="1" x14ac:dyDescent="0.25">
      <c r="A12493" s="2" t="s">
        <v>8</v>
      </c>
      <c r="B12493" s="2" t="str">
        <f>HYPERLINK("http://ts.21cn.com/tousu/show/id/1343869","达内培训班不给退费")</f>
        <v>达内培训班不给退费</v>
      </c>
      <c r="C12493" s="2" t="s">
        <v>9</v>
      </c>
      <c r="D12493" s="2" t="s">
        <v>10</v>
      </c>
      <c r="E12493" s="2" t="str">
        <f>HYPERLINK("http://ts.21cn.com/tousu/show/id/1343869","http://ts.21cn.com/tousu/show/id/1343869")</f>
        <v>http://ts.21cn.com/tousu/show/id/1343869</v>
      </c>
      <c r="F12493" s="2" t="s">
        <v>11</v>
      </c>
      <c r="G12493" s="2" t="s">
        <v>19584</v>
      </c>
      <c r="H12493" s="2" t="s">
        <v>19585</v>
      </c>
    </row>
    <row r="12494" spans="1:8" ht="25.05" customHeight="1" x14ac:dyDescent="0.25">
      <c r="A12494" s="2" t="s">
        <v>8</v>
      </c>
      <c r="B12494" s="2" t="str">
        <f>HYPERLINK("http://ts.21cn.com/tousu/show/id/1343870","平安普惠高利贷")</f>
        <v>平安普惠高利贷</v>
      </c>
      <c r="C12494" s="2" t="s">
        <v>9</v>
      </c>
      <c r="D12494" s="2" t="s">
        <v>10</v>
      </c>
      <c r="E12494" s="2" t="str">
        <f>HYPERLINK("http://ts.21cn.com/tousu/show/id/1343870","http://ts.21cn.com/tousu/show/id/1343870")</f>
        <v>http://ts.21cn.com/tousu/show/id/1343870</v>
      </c>
      <c r="F12494" s="2" t="s">
        <v>11</v>
      </c>
      <c r="G12494" s="2" t="s">
        <v>19582</v>
      </c>
      <c r="H12494" s="2" t="s">
        <v>19583</v>
      </c>
    </row>
    <row r="12495" spans="1:8" ht="25.05" customHeight="1" x14ac:dyDescent="0.25">
      <c r="A12495" s="2" t="s">
        <v>8</v>
      </c>
      <c r="B12495" s="2" t="str">
        <f>HYPERLINK("http://ts.21cn.com/tousu/show/id/1343872","及贷高利贷非法催收")</f>
        <v>及贷高利贷非法催收</v>
      </c>
      <c r="C12495" s="2" t="s">
        <v>9</v>
      </c>
      <c r="D12495" s="2" t="s">
        <v>10</v>
      </c>
      <c r="E12495" s="2" t="str">
        <f>HYPERLINK("http://ts.21cn.com/tousu/show/id/1343872","http://ts.21cn.com/tousu/show/id/1343872")</f>
        <v>http://ts.21cn.com/tousu/show/id/1343872</v>
      </c>
      <c r="F12495" s="2" t="s">
        <v>11</v>
      </c>
      <c r="G12495" s="2" t="s">
        <v>19580</v>
      </c>
      <c r="H12495" s="2" t="s">
        <v>19581</v>
      </c>
    </row>
    <row r="12496" spans="1:8" ht="25.05" customHeight="1" x14ac:dyDescent="0.25">
      <c r="A12496" s="2" t="s">
        <v>8</v>
      </c>
      <c r="B12496" s="2" t="str">
        <f>HYPERLINK("http://ts.21cn.com/tousu/show/id/1343874","随意扣款")</f>
        <v>随意扣款</v>
      </c>
      <c r="C12496" s="2" t="s">
        <v>9</v>
      </c>
      <c r="D12496" s="2" t="s">
        <v>10</v>
      </c>
      <c r="E12496" s="2" t="str">
        <f>HYPERLINK("http://ts.21cn.com/tousu/show/id/1343874","http://ts.21cn.com/tousu/show/id/1343874")</f>
        <v>http://ts.21cn.com/tousu/show/id/1343874</v>
      </c>
      <c r="F12496" s="2" t="s">
        <v>11</v>
      </c>
      <c r="G12496" s="2" t="s">
        <v>19578</v>
      </c>
      <c r="H12496" s="2" t="s">
        <v>19579</v>
      </c>
    </row>
    <row r="12497" spans="1:8" ht="25.05" customHeight="1" x14ac:dyDescent="0.25">
      <c r="A12497" s="2" t="s">
        <v>8</v>
      </c>
      <c r="B12497" s="2" t="str">
        <f>HYPERLINK("http://ts.21cn.com/tousu/show/id/1343875","黑网贷")</f>
        <v>黑网贷</v>
      </c>
      <c r="C12497" s="2" t="s">
        <v>34</v>
      </c>
      <c r="D12497" s="2" t="s">
        <v>10</v>
      </c>
      <c r="E12497" s="2" t="str">
        <f>HYPERLINK("http://ts.21cn.com/tousu/show/id/1343875","http://ts.21cn.com/tousu/show/id/1343875")</f>
        <v>http://ts.21cn.com/tousu/show/id/1343875</v>
      </c>
      <c r="F12497" s="2" t="s">
        <v>11</v>
      </c>
      <c r="G12497" s="2" t="s">
        <v>19576</v>
      </c>
      <c r="H12497" s="2" t="s">
        <v>19577</v>
      </c>
    </row>
    <row r="12498" spans="1:8" ht="25.05" customHeight="1" x14ac:dyDescent="0.25">
      <c r="A12498" s="2" t="s">
        <v>8</v>
      </c>
      <c r="B12498" s="2" t="str">
        <f>HYPERLINK("http://ts.21cn.com/tousu/show/id/1343873","及贷")</f>
        <v>及贷</v>
      </c>
      <c r="C12498" s="2" t="s">
        <v>9</v>
      </c>
      <c r="D12498" s="2" t="s">
        <v>10</v>
      </c>
      <c r="E12498" s="2" t="str">
        <f>HYPERLINK("http://ts.21cn.com/tousu/show/id/1343873","http://ts.21cn.com/tousu/show/id/1343873")</f>
        <v>http://ts.21cn.com/tousu/show/id/1343873</v>
      </c>
      <c r="F12498" s="2" t="s">
        <v>11</v>
      </c>
      <c r="G12498" s="2" t="s">
        <v>19574</v>
      </c>
      <c r="H12498" s="2" t="s">
        <v>19575</v>
      </c>
    </row>
    <row r="12499" spans="1:8" ht="25.05" customHeight="1" x14ac:dyDescent="0.25">
      <c r="A12499" s="2" t="s">
        <v>8</v>
      </c>
      <c r="B12499" s="2" t="str">
        <f>HYPERLINK("http://ts.21cn.com/tousu/show/id/1343877","新橙优品高利贷")</f>
        <v>新橙优品高利贷</v>
      </c>
      <c r="C12499" s="2" t="s">
        <v>9</v>
      </c>
      <c r="D12499" s="2" t="s">
        <v>10</v>
      </c>
      <c r="E12499" s="2" t="str">
        <f>HYPERLINK("http://ts.21cn.com/tousu/show/id/1343877","http://ts.21cn.com/tousu/show/id/1343877")</f>
        <v>http://ts.21cn.com/tousu/show/id/1343877</v>
      </c>
      <c r="F12499" s="2" t="s">
        <v>11</v>
      </c>
      <c r="G12499" s="2" t="s">
        <v>19572</v>
      </c>
      <c r="H12499" s="2" t="s">
        <v>19573</v>
      </c>
    </row>
    <row r="12500" spans="1:8" ht="25.05" customHeight="1" x14ac:dyDescent="0.25">
      <c r="A12500" s="2" t="s">
        <v>8</v>
      </c>
      <c r="B12500" s="2" t="str">
        <f>HYPERLINK("http://ts.21cn.com/tousu/show/id/1343879","立借里面的青春宝不能还款，并且要客户承担逾期费用，威胁爆通讯录")</f>
        <v>立借里面的青春宝不能还款，并且要客户承担逾期费用，威胁爆通讯录</v>
      </c>
      <c r="C12500" s="2" t="s">
        <v>9</v>
      </c>
      <c r="D12500" s="2" t="s">
        <v>10</v>
      </c>
      <c r="E12500" s="2" t="str">
        <f>HYPERLINK("http://ts.21cn.com/tousu/show/id/1343879","http://ts.21cn.com/tousu/show/id/1343879")</f>
        <v>http://ts.21cn.com/tousu/show/id/1343879</v>
      </c>
      <c r="F12500" s="2" t="s">
        <v>11</v>
      </c>
      <c r="G12500" s="2" t="s">
        <v>19570</v>
      </c>
      <c r="H12500" s="2" t="s">
        <v>19571</v>
      </c>
    </row>
    <row r="12501" spans="1:8" ht="25.05" customHeight="1" x14ac:dyDescent="0.25">
      <c r="A12501" s="2" t="s">
        <v>8</v>
      </c>
      <c r="B12501" s="2" t="str">
        <f>HYPERLINK("http://ts.21cn.com/tousu/show/id/1343880","易鑫集团不接通电话不回复")</f>
        <v>易鑫集团不接通电话不回复</v>
      </c>
      <c r="C12501" s="2" t="s">
        <v>9</v>
      </c>
      <c r="D12501" s="2" t="s">
        <v>10</v>
      </c>
      <c r="E12501" s="2" t="str">
        <f>HYPERLINK("http://ts.21cn.com/tousu/show/id/1343880","http://ts.21cn.com/tousu/show/id/1343880")</f>
        <v>http://ts.21cn.com/tousu/show/id/1343880</v>
      </c>
      <c r="F12501" s="2" t="s">
        <v>11</v>
      </c>
      <c r="G12501" s="2" t="s">
        <v>19568</v>
      </c>
      <c r="H12501" s="2" t="s">
        <v>19569</v>
      </c>
    </row>
    <row r="12502" spans="1:8" ht="25.05" customHeight="1" x14ac:dyDescent="0.25">
      <c r="A12502" s="2" t="s">
        <v>8</v>
      </c>
      <c r="B12502" s="2" t="str">
        <f>HYPERLINK("http://ts.21cn.com/tousu/show/id/1343881","京东今巴大闸蟹不发货")</f>
        <v>京东今巴大闸蟹不发货</v>
      </c>
      <c r="C12502" s="2" t="s">
        <v>9</v>
      </c>
      <c r="D12502" s="2" t="s">
        <v>10</v>
      </c>
      <c r="E12502" s="2" t="str">
        <f>HYPERLINK("http://ts.21cn.com/tousu/show/id/1343881","http://ts.21cn.com/tousu/show/id/1343881")</f>
        <v>http://ts.21cn.com/tousu/show/id/1343881</v>
      </c>
      <c r="F12502" s="2" t="s">
        <v>11</v>
      </c>
      <c r="G12502" s="2" t="s">
        <v>19566</v>
      </c>
      <c r="H12502" s="2" t="s">
        <v>19567</v>
      </c>
    </row>
    <row r="12503" spans="1:8" ht="25.05" customHeight="1" x14ac:dyDescent="0.25">
      <c r="A12503" s="2" t="s">
        <v>8</v>
      </c>
      <c r="B12503" s="2" t="str">
        <f>HYPERLINK("http://ts.21cn.com/tousu/show/id/1343882","砍头息恶意催收")</f>
        <v>砍头息恶意催收</v>
      </c>
      <c r="C12503" s="2" t="s">
        <v>9</v>
      </c>
      <c r="D12503" s="2" t="s">
        <v>10</v>
      </c>
      <c r="E12503" s="2" t="str">
        <f>HYPERLINK("http://ts.21cn.com/tousu/show/id/1343882","http://ts.21cn.com/tousu/show/id/1343882")</f>
        <v>http://ts.21cn.com/tousu/show/id/1343882</v>
      </c>
      <c r="F12503" s="2" t="s">
        <v>11</v>
      </c>
      <c r="G12503" s="2" t="s">
        <v>19564</v>
      </c>
      <c r="H12503" s="2" t="s">
        <v>19565</v>
      </c>
    </row>
    <row r="12504" spans="1:8" ht="25.05" customHeight="1" x14ac:dyDescent="0.25">
      <c r="A12504" s="2" t="s">
        <v>8</v>
      </c>
      <c r="B12504" s="2" t="str">
        <f>HYPERLINK("http://ts.21cn.com/tousu/show/id/1343883","立借高利贷，暴力催收")</f>
        <v>立借高利贷，暴力催收</v>
      </c>
      <c r="C12504" s="2" t="s">
        <v>9</v>
      </c>
      <c r="D12504" s="2" t="s">
        <v>10</v>
      </c>
      <c r="E12504" s="2" t="str">
        <f>HYPERLINK("http://ts.21cn.com/tousu/show/id/1343883","http://ts.21cn.com/tousu/show/id/1343883")</f>
        <v>http://ts.21cn.com/tousu/show/id/1343883</v>
      </c>
      <c r="F12504" s="2" t="s">
        <v>11</v>
      </c>
      <c r="G12504" s="2" t="s">
        <v>19562</v>
      </c>
      <c r="H12504" s="2" t="s">
        <v>19563</v>
      </c>
    </row>
    <row r="12505" spans="1:8" ht="25.05" customHeight="1" x14ac:dyDescent="0.25">
      <c r="A12505" s="2" t="s">
        <v>8</v>
      </c>
      <c r="B12505" s="2" t="str">
        <f>HYPERLINK("http://ts.21cn.com/tousu/show/id/1343885","信用卡逾期利息太高")</f>
        <v>信用卡逾期利息太高</v>
      </c>
      <c r="C12505" s="2" t="s">
        <v>9</v>
      </c>
      <c r="D12505" s="2" t="s">
        <v>10</v>
      </c>
      <c r="E12505" s="2" t="str">
        <f>HYPERLINK("http://ts.21cn.com/tousu/show/id/1343885","http://ts.21cn.com/tousu/show/id/1343885")</f>
        <v>http://ts.21cn.com/tousu/show/id/1343885</v>
      </c>
      <c r="F12505" s="2" t="s">
        <v>11</v>
      </c>
      <c r="G12505" s="2" t="s">
        <v>19560</v>
      </c>
      <c r="H12505" s="2" t="s">
        <v>19561</v>
      </c>
    </row>
    <row r="12506" spans="1:8" ht="25.05" customHeight="1" x14ac:dyDescent="0.25">
      <c r="A12506" s="2" t="s">
        <v>8</v>
      </c>
      <c r="B12506" s="2" t="str">
        <f>HYPERLINK("http://ts.21cn.com/tousu/show/id/1343886","一个不诚信商家，怎能让消费者守信呢？")</f>
        <v>一个不诚信商家，怎能让消费者守信呢？</v>
      </c>
      <c r="C12506" s="2" t="s">
        <v>9</v>
      </c>
      <c r="D12506" s="2" t="s">
        <v>10</v>
      </c>
      <c r="E12506" s="2" t="str">
        <f>HYPERLINK("http://ts.21cn.com/tousu/show/id/1343886","http://ts.21cn.com/tousu/show/id/1343886")</f>
        <v>http://ts.21cn.com/tousu/show/id/1343886</v>
      </c>
      <c r="F12506" s="2" t="s">
        <v>11</v>
      </c>
      <c r="G12506" s="2" t="s">
        <v>19558</v>
      </c>
      <c r="H12506" s="2" t="s">
        <v>19559</v>
      </c>
    </row>
    <row r="12507" spans="1:8" ht="25.05" customHeight="1" x14ac:dyDescent="0.25">
      <c r="A12507" s="2" t="s">
        <v>8</v>
      </c>
      <c r="B12507" s="2" t="str">
        <f>HYPERLINK("http://ts.21cn.com/tousu/show/id/1343887","百事普惠扣款299元不退")</f>
        <v>百事普惠扣款299元不退</v>
      </c>
      <c r="C12507" s="2" t="s">
        <v>34</v>
      </c>
      <c r="D12507" s="2" t="s">
        <v>10</v>
      </c>
      <c r="E12507" s="2" t="str">
        <f>HYPERLINK("http://ts.21cn.com/tousu/show/id/1343887","http://ts.21cn.com/tousu/show/id/1343887")</f>
        <v>http://ts.21cn.com/tousu/show/id/1343887</v>
      </c>
      <c r="F12507" s="2" t="s">
        <v>11</v>
      </c>
      <c r="G12507" s="2" t="s">
        <v>19556</v>
      </c>
      <c r="H12507" s="2" t="s">
        <v>19557</v>
      </c>
    </row>
    <row r="12508" spans="1:8" ht="25.05" customHeight="1" x14ac:dyDescent="0.25">
      <c r="A12508" s="2" t="s">
        <v>8</v>
      </c>
      <c r="B12508" s="2" t="str">
        <f>HYPERLINK("http://ts.21cn.com/tousu/show/id/1343888","及贷金融")</f>
        <v>及贷金融</v>
      </c>
      <c r="C12508" s="2" t="s">
        <v>9</v>
      </c>
      <c r="D12508" s="2" t="s">
        <v>10</v>
      </c>
      <c r="E12508" s="2" t="str">
        <f>HYPERLINK("http://ts.21cn.com/tousu/show/id/1343888","http://ts.21cn.com/tousu/show/id/1343888")</f>
        <v>http://ts.21cn.com/tousu/show/id/1343888</v>
      </c>
      <c r="F12508" s="2" t="s">
        <v>11</v>
      </c>
      <c r="G12508" s="2" t="s">
        <v>19554</v>
      </c>
      <c r="H12508" s="2" t="s">
        <v>19555</v>
      </c>
    </row>
    <row r="12509" spans="1:8" ht="25.05" customHeight="1" x14ac:dyDescent="0.25">
      <c r="A12509" s="2" t="s">
        <v>8</v>
      </c>
      <c r="B12509" s="2" t="str">
        <f>HYPERLINK("http://ts.21cn.com/tousu/show/id/1343852","乐客网络科技有限公司 虚假宣传诱导我加入会员 收了会员费没有履行当初承诺的服务 ❗️要求全额退款并道歉❗️")</f>
        <v>乐客网络科技有限公司 虚假宣传诱导我加入会员 收了会员费没有履行当初承诺的服务 ❗️要求全额退款并道歉❗️</v>
      </c>
      <c r="C12509" s="2" t="s">
        <v>34</v>
      </c>
      <c r="D12509" s="2" t="s">
        <v>10</v>
      </c>
      <c r="E12509" s="2" t="str">
        <f>HYPERLINK("http://ts.21cn.com/tousu/show/id/1343852","http://ts.21cn.com/tousu/show/id/1343852")</f>
        <v>http://ts.21cn.com/tousu/show/id/1343852</v>
      </c>
      <c r="F12509" s="2" t="s">
        <v>11</v>
      </c>
      <c r="G12509" s="2" t="s">
        <v>19552</v>
      </c>
      <c r="H12509" s="2" t="s">
        <v>19553</v>
      </c>
    </row>
    <row r="12510" spans="1:8" ht="25.05" customHeight="1" x14ac:dyDescent="0.25">
      <c r="A12510" s="2" t="s">
        <v>8</v>
      </c>
      <c r="B12510" s="2" t="str">
        <f>HYPERLINK("http://ts.21cn.com/tousu/show/id/1343889","哆咪黑卡恶意扣款")</f>
        <v>哆咪黑卡恶意扣款</v>
      </c>
      <c r="C12510" s="2" t="s">
        <v>9</v>
      </c>
      <c r="D12510" s="2" t="s">
        <v>10</v>
      </c>
      <c r="E12510" s="2" t="str">
        <f>HYPERLINK("http://ts.21cn.com/tousu/show/id/1343889","http://ts.21cn.com/tousu/show/id/1343889")</f>
        <v>http://ts.21cn.com/tousu/show/id/1343889</v>
      </c>
      <c r="F12510" s="2" t="s">
        <v>11</v>
      </c>
      <c r="G12510" s="2" t="s">
        <v>19550</v>
      </c>
      <c r="H12510" s="2" t="s">
        <v>19551</v>
      </c>
    </row>
    <row r="12511" spans="1:8" ht="25.05" customHeight="1" x14ac:dyDescent="0.25">
      <c r="A12511" s="2" t="s">
        <v>8</v>
      </c>
      <c r="B12511" s="2" t="str">
        <f>HYPERLINK("http://ts.21cn.com/tousu/show/id/1343891","大地时贷骚扰家人")</f>
        <v>大地时贷骚扰家人</v>
      </c>
      <c r="C12511" s="2" t="s">
        <v>9</v>
      </c>
      <c r="D12511" s="2" t="s">
        <v>10</v>
      </c>
      <c r="E12511" s="2" t="str">
        <f>HYPERLINK("http://ts.21cn.com/tousu/show/id/1343891","http://ts.21cn.com/tousu/show/id/1343891")</f>
        <v>http://ts.21cn.com/tousu/show/id/1343891</v>
      </c>
      <c r="F12511" s="2" t="s">
        <v>11</v>
      </c>
      <c r="G12511" s="2" t="s">
        <v>19548</v>
      </c>
      <c r="H12511" s="2" t="s">
        <v>19549</v>
      </c>
    </row>
    <row r="12512" spans="1:8" ht="25.05" customHeight="1" x14ac:dyDescent="0.25">
      <c r="A12512" s="2" t="s">
        <v>8</v>
      </c>
      <c r="B12512" s="2" t="str">
        <f>HYPERLINK("http://ts.21cn.com/tousu/show/id/1343893","给你花向在校大学生贷款侵犯个人隐私并高利贷")</f>
        <v>给你花向在校大学生贷款侵犯个人隐私并高利贷</v>
      </c>
      <c r="C12512" s="2" t="s">
        <v>9</v>
      </c>
      <c r="D12512" s="2" t="s">
        <v>10</v>
      </c>
      <c r="E12512" s="2" t="str">
        <f>HYPERLINK("http://ts.21cn.com/tousu/show/id/1343893","http://ts.21cn.com/tousu/show/id/1343893")</f>
        <v>http://ts.21cn.com/tousu/show/id/1343893</v>
      </c>
      <c r="F12512" s="2" t="s">
        <v>11</v>
      </c>
      <c r="G12512" s="2" t="s">
        <v>19546</v>
      </c>
      <c r="H12512" s="2" t="s">
        <v>19547</v>
      </c>
    </row>
    <row r="12513" spans="1:8" ht="25.05" customHeight="1" x14ac:dyDescent="0.25">
      <c r="A12513" s="2" t="s">
        <v>8</v>
      </c>
      <c r="B12513" s="2" t="str">
        <f>HYPERLINK("http://ts.21cn.com/tousu/show/id/1343896","闪管家")</f>
        <v>闪管家</v>
      </c>
      <c r="C12513" s="2" t="s">
        <v>34</v>
      </c>
      <c r="D12513" s="2" t="s">
        <v>10</v>
      </c>
      <c r="E12513" s="2" t="str">
        <f>HYPERLINK("http://ts.21cn.com/tousu/show/id/1343896","http://ts.21cn.com/tousu/show/id/1343896")</f>
        <v>http://ts.21cn.com/tousu/show/id/1343896</v>
      </c>
      <c r="F12513" s="2" t="s">
        <v>11</v>
      </c>
      <c r="G12513" s="2" t="s">
        <v>19544</v>
      </c>
      <c r="H12513" s="2" t="s">
        <v>19545</v>
      </c>
    </row>
    <row r="12514" spans="1:8" ht="25.05" customHeight="1" x14ac:dyDescent="0.25">
      <c r="A12514" s="2" t="s">
        <v>8</v>
      </c>
      <c r="B12514" s="2" t="str">
        <f>HYPERLINK("http://ts.21cn.com/tousu/show/id/1343894","说了把车卖了就还钱，交通银行凭什么爆我通讯记录，交通银行你们那里来的我的通讯录？爆通讯录难道不是暴力催收？")</f>
        <v>说了把车卖了就还钱，交通银行凭什么爆我通讯记录，交通银行你们那里来的我的通讯录？爆通讯录难道不是暴力催收？</v>
      </c>
      <c r="C12514" s="2" t="s">
        <v>9</v>
      </c>
      <c r="D12514" s="2" t="s">
        <v>10</v>
      </c>
      <c r="E12514" s="2" t="str">
        <f>HYPERLINK("http://ts.21cn.com/tousu/show/id/1343894","http://ts.21cn.com/tousu/show/id/1343894")</f>
        <v>http://ts.21cn.com/tousu/show/id/1343894</v>
      </c>
      <c r="F12514" s="2" t="s">
        <v>11</v>
      </c>
      <c r="G12514" s="2" t="s">
        <v>19542</v>
      </c>
      <c r="H12514" s="2" t="s">
        <v>19543</v>
      </c>
    </row>
    <row r="12515" spans="1:8" ht="25.05" customHeight="1" x14ac:dyDescent="0.25">
      <c r="A12515" s="2" t="s">
        <v>8</v>
      </c>
      <c r="B12515" s="2" t="str">
        <f>HYPERLINK("http://ts.21cn.com/tousu/show/id/1343895","信而富，高利贷，暴力催收，威胁，爆通讯录")</f>
        <v>信而富，高利贷，暴力催收，威胁，爆通讯录</v>
      </c>
      <c r="C12515" s="2" t="s">
        <v>9</v>
      </c>
      <c r="D12515" s="2" t="s">
        <v>10</v>
      </c>
      <c r="E12515" s="2" t="str">
        <f>HYPERLINK("http://ts.21cn.com/tousu/show/id/1343895","http://ts.21cn.com/tousu/show/id/1343895")</f>
        <v>http://ts.21cn.com/tousu/show/id/1343895</v>
      </c>
      <c r="F12515" s="2" t="s">
        <v>11</v>
      </c>
      <c r="G12515" s="2" t="s">
        <v>19540</v>
      </c>
      <c r="H12515" s="2" t="s">
        <v>19541</v>
      </c>
    </row>
    <row r="12516" spans="1:8" ht="25.05" customHeight="1" x14ac:dyDescent="0.25">
      <c r="A12516" s="2" t="s">
        <v>8</v>
      </c>
      <c r="B12516" s="2" t="str">
        <f>HYPERLINK("http://ts.21cn.com/tousu/show/id/1343897","暴力催收高利贷合同欺诈")</f>
        <v>暴力催收高利贷合同欺诈</v>
      </c>
      <c r="C12516" s="2" t="s">
        <v>9</v>
      </c>
      <c r="D12516" s="2" t="s">
        <v>10</v>
      </c>
      <c r="E12516" s="2" t="str">
        <f>HYPERLINK("http://ts.21cn.com/tousu/show/id/1343897","http://ts.21cn.com/tousu/show/id/1343897")</f>
        <v>http://ts.21cn.com/tousu/show/id/1343897</v>
      </c>
      <c r="F12516" s="2" t="s">
        <v>11</v>
      </c>
      <c r="G12516" s="2" t="s">
        <v>19538</v>
      </c>
      <c r="H12516" s="2" t="s">
        <v>19539</v>
      </c>
    </row>
    <row r="12517" spans="1:8" ht="25.05" customHeight="1" x14ac:dyDescent="0.25">
      <c r="A12517" s="2" t="s">
        <v>8</v>
      </c>
      <c r="B12517" s="2" t="str">
        <f>HYPERLINK("http://ts.21cn.com/tousu/show/id/1343899","安逸花，话费充错，第一时间反应给安逸花平台，不处理")</f>
        <v>安逸花，话费充错，第一时间反应给安逸花平台，不处理</v>
      </c>
      <c r="C12517" s="2" t="s">
        <v>9</v>
      </c>
      <c r="D12517" s="2" t="s">
        <v>10</v>
      </c>
      <c r="E12517" s="2" t="str">
        <f>HYPERLINK("http://ts.21cn.com/tousu/show/id/1343899","http://ts.21cn.com/tousu/show/id/1343899")</f>
        <v>http://ts.21cn.com/tousu/show/id/1343899</v>
      </c>
      <c r="F12517" s="2" t="s">
        <v>11</v>
      </c>
      <c r="G12517" s="2" t="s">
        <v>19536</v>
      </c>
      <c r="H12517" s="2" t="s">
        <v>19537</v>
      </c>
    </row>
    <row r="12518" spans="1:8" ht="25.05" customHeight="1" x14ac:dyDescent="0.25">
      <c r="A12518" s="2" t="s">
        <v>8</v>
      </c>
      <c r="B12518" s="2" t="str">
        <f>HYPERLINK("http://ts.21cn.com/tousu/show/id/1343898","点融魔借骚扰")</f>
        <v>点融魔借骚扰</v>
      </c>
      <c r="C12518" s="2" t="s">
        <v>9</v>
      </c>
      <c r="D12518" s="2" t="s">
        <v>10</v>
      </c>
      <c r="E12518" s="2" t="str">
        <f>HYPERLINK("http://ts.21cn.com/tousu/show/id/1343898","http://ts.21cn.com/tousu/show/id/1343898")</f>
        <v>http://ts.21cn.com/tousu/show/id/1343898</v>
      </c>
      <c r="F12518" s="2" t="s">
        <v>11</v>
      </c>
      <c r="G12518" s="2" t="s">
        <v>19534</v>
      </c>
      <c r="H12518" s="2" t="s">
        <v>19535</v>
      </c>
    </row>
    <row r="12519" spans="1:8" ht="25.05" customHeight="1" x14ac:dyDescent="0.25">
      <c r="A12519" s="2" t="s">
        <v>8</v>
      </c>
      <c r="B12519" s="2" t="str">
        <f>HYPERLINK("http://ts.21cn.com/tousu/show/id/1343901","月光侠暴力催收")</f>
        <v>月光侠暴力催收</v>
      </c>
      <c r="C12519" s="2" t="s">
        <v>9</v>
      </c>
      <c r="D12519" s="2" t="s">
        <v>10</v>
      </c>
      <c r="E12519" s="2" t="str">
        <f>HYPERLINK("http://ts.21cn.com/tousu/show/id/1343901","http://ts.21cn.com/tousu/show/id/1343901")</f>
        <v>http://ts.21cn.com/tousu/show/id/1343901</v>
      </c>
      <c r="F12519" s="2" t="s">
        <v>11</v>
      </c>
      <c r="G12519" s="2" t="s">
        <v>19532</v>
      </c>
      <c r="H12519" s="2" t="s">
        <v>19533</v>
      </c>
    </row>
    <row r="12520" spans="1:8" ht="25.05" customHeight="1" x14ac:dyDescent="0.25">
      <c r="A12520" s="2" t="s">
        <v>8</v>
      </c>
      <c r="B12520" s="2" t="str">
        <f>HYPERLINK("http://ts.21cn.com/tousu/show/id/1343902","投诉拉卡拉无故冻结商户的钱")</f>
        <v>投诉拉卡拉无故冻结商户的钱</v>
      </c>
      <c r="C12520" s="2" t="s">
        <v>9</v>
      </c>
      <c r="D12520" s="2" t="s">
        <v>10</v>
      </c>
      <c r="E12520" s="2" t="str">
        <f>HYPERLINK("http://ts.21cn.com/tousu/show/id/1343902","http://ts.21cn.com/tousu/show/id/1343902")</f>
        <v>http://ts.21cn.com/tousu/show/id/1343902</v>
      </c>
      <c r="F12520" s="2" t="s">
        <v>11</v>
      </c>
      <c r="G12520" s="2" t="s">
        <v>19530</v>
      </c>
      <c r="H12520" s="2" t="s">
        <v>19531</v>
      </c>
    </row>
    <row r="12521" spans="1:8" ht="25.05" customHeight="1" x14ac:dyDescent="0.25">
      <c r="A12521" s="2" t="s">
        <v>8</v>
      </c>
      <c r="B12521" s="2" t="str">
        <f>HYPERLINK("http://ts.21cn.com/tousu/show/id/1343903","小象优品骚扰家人")</f>
        <v>小象优品骚扰家人</v>
      </c>
      <c r="C12521" s="2" t="s">
        <v>9</v>
      </c>
      <c r="D12521" s="2" t="s">
        <v>10</v>
      </c>
      <c r="E12521" s="2" t="str">
        <f>HYPERLINK("http://ts.21cn.com/tousu/show/id/1343903","http://ts.21cn.com/tousu/show/id/1343903")</f>
        <v>http://ts.21cn.com/tousu/show/id/1343903</v>
      </c>
      <c r="F12521" s="2" t="s">
        <v>11</v>
      </c>
      <c r="G12521" s="2" t="s">
        <v>19528</v>
      </c>
      <c r="H12521" s="2" t="s">
        <v>19529</v>
      </c>
    </row>
    <row r="12522" spans="1:8" ht="25.05" customHeight="1" x14ac:dyDescent="0.25">
      <c r="A12522" s="2" t="s">
        <v>8</v>
      </c>
      <c r="B12522" s="2" t="str">
        <f>HYPERLINK("http://ts.21cn.com/tousu/show/id/1343904","玖富恶意仲裁")</f>
        <v>玖富恶意仲裁</v>
      </c>
      <c r="C12522" s="2" t="s">
        <v>9</v>
      </c>
      <c r="D12522" s="2" t="s">
        <v>10</v>
      </c>
      <c r="E12522" s="2" t="str">
        <f>HYPERLINK("http://ts.21cn.com/tousu/show/id/1343904","http://ts.21cn.com/tousu/show/id/1343904")</f>
        <v>http://ts.21cn.com/tousu/show/id/1343904</v>
      </c>
      <c r="F12522" s="2" t="s">
        <v>11</v>
      </c>
      <c r="G12522" s="2" t="s">
        <v>19526</v>
      </c>
      <c r="H12522" s="2" t="s">
        <v>19527</v>
      </c>
    </row>
    <row r="12523" spans="1:8" ht="25.05" customHeight="1" x14ac:dyDescent="0.25">
      <c r="A12523" s="2" t="s">
        <v>8</v>
      </c>
      <c r="B12523" s="2" t="str">
        <f>HYPERLINK("http://ts.21cn.com/tousu/show/id/1343906","闪管家暴力催收")</f>
        <v>闪管家暴力催收</v>
      </c>
      <c r="C12523" s="2" t="s">
        <v>9</v>
      </c>
      <c r="D12523" s="2" t="s">
        <v>10</v>
      </c>
      <c r="E12523" s="2" t="str">
        <f>HYPERLINK("http://ts.21cn.com/tousu/show/id/1343906","http://ts.21cn.com/tousu/show/id/1343906")</f>
        <v>http://ts.21cn.com/tousu/show/id/1343906</v>
      </c>
      <c r="F12523" s="2" t="s">
        <v>11</v>
      </c>
      <c r="G12523" s="2" t="s">
        <v>19524</v>
      </c>
      <c r="H12523" s="2" t="s">
        <v>19525</v>
      </c>
    </row>
    <row r="12524" spans="1:8" ht="25.05" customHeight="1" x14ac:dyDescent="0.25">
      <c r="A12524" s="2" t="s">
        <v>8</v>
      </c>
      <c r="B12524" s="2" t="str">
        <f>HYPERLINK("http://ts.21cn.com/tousu/show/id/1343907","闪电借款延期还款，暂停催收")</f>
        <v>闪电借款延期还款，暂停催收</v>
      </c>
      <c r="C12524" s="2" t="s">
        <v>34</v>
      </c>
      <c r="D12524" s="2" t="s">
        <v>10</v>
      </c>
      <c r="E12524" s="2" t="str">
        <f>HYPERLINK("http://ts.21cn.com/tousu/show/id/1343907","http://ts.21cn.com/tousu/show/id/1343907")</f>
        <v>http://ts.21cn.com/tousu/show/id/1343907</v>
      </c>
      <c r="F12524" s="2" t="s">
        <v>11</v>
      </c>
      <c r="G12524" s="2" t="s">
        <v>19522</v>
      </c>
      <c r="H12524" s="2" t="s">
        <v>19523</v>
      </c>
    </row>
    <row r="12525" spans="1:8" ht="25.05" customHeight="1" x14ac:dyDescent="0.25">
      <c r="A12525" s="2" t="s">
        <v>8</v>
      </c>
      <c r="B12525" s="2" t="str">
        <f>HYPERLINK("http://ts.21cn.com/tousu/show/id/1343908","自动扣费")</f>
        <v>自动扣费</v>
      </c>
      <c r="C12525" s="2" t="s">
        <v>34</v>
      </c>
      <c r="D12525" s="2" t="s">
        <v>10</v>
      </c>
      <c r="E12525" s="2" t="str">
        <f>HYPERLINK("http://ts.21cn.com/tousu/show/id/1343908","http://ts.21cn.com/tousu/show/id/1343908")</f>
        <v>http://ts.21cn.com/tousu/show/id/1343908</v>
      </c>
      <c r="F12525" s="2" t="s">
        <v>11</v>
      </c>
      <c r="G12525" s="2" t="s">
        <v>19520</v>
      </c>
      <c r="H12525" s="2" t="s">
        <v>19521</v>
      </c>
    </row>
    <row r="12526" spans="1:8" ht="25.05" customHeight="1" x14ac:dyDescent="0.25">
      <c r="A12526" s="2" t="s">
        <v>8</v>
      </c>
      <c r="B12526" s="2" t="str">
        <f>HYPERLINK("http://ts.21cn.com/tousu/show/id/1343909","钱伴催收客服恐吓爆我通讯录")</f>
        <v>钱伴催收客服恐吓爆我通讯录</v>
      </c>
      <c r="C12526" s="2" t="s">
        <v>9</v>
      </c>
      <c r="D12526" s="2" t="s">
        <v>10</v>
      </c>
      <c r="E12526" s="2" t="str">
        <f>HYPERLINK("http://ts.21cn.com/tousu/show/id/1343909","http://ts.21cn.com/tousu/show/id/1343909")</f>
        <v>http://ts.21cn.com/tousu/show/id/1343909</v>
      </c>
      <c r="F12526" s="2" t="s">
        <v>11</v>
      </c>
      <c r="G12526" s="2" t="s">
        <v>19518</v>
      </c>
      <c r="H12526" s="2" t="s">
        <v>19519</v>
      </c>
    </row>
    <row r="12527" spans="1:8" ht="25.05" customHeight="1" x14ac:dyDescent="0.25">
      <c r="A12527" s="2" t="s">
        <v>8</v>
      </c>
      <c r="B12527" s="2" t="str">
        <f>HYPERLINK("http://ts.21cn.com/tousu/show/id/1343910","好易贷7天高利贷")</f>
        <v>好易贷7天高利贷</v>
      </c>
      <c r="C12527" s="2" t="s">
        <v>9</v>
      </c>
      <c r="D12527" s="2" t="s">
        <v>10</v>
      </c>
      <c r="E12527" s="2" t="str">
        <f>HYPERLINK("http://ts.21cn.com/tousu/show/id/1343910","http://ts.21cn.com/tousu/show/id/1343910")</f>
        <v>http://ts.21cn.com/tousu/show/id/1343910</v>
      </c>
      <c r="F12527" s="2" t="s">
        <v>11</v>
      </c>
      <c r="G12527" s="2" t="s">
        <v>19516</v>
      </c>
      <c r="H12527" s="2" t="s">
        <v>19517</v>
      </c>
    </row>
    <row r="12528" spans="1:8" ht="25.05" customHeight="1" x14ac:dyDescent="0.25">
      <c r="A12528" s="2" t="s">
        <v>8</v>
      </c>
      <c r="B12528" s="2" t="str">
        <f>HYPERLINK("http://ts.21cn.com/tousu/show/id/1343911","蟹老弟高利贷")</f>
        <v>蟹老弟高利贷</v>
      </c>
      <c r="C12528" s="2" t="s">
        <v>9</v>
      </c>
      <c r="D12528" s="2" t="s">
        <v>10</v>
      </c>
      <c r="E12528" s="2" t="str">
        <f>HYPERLINK("http://ts.21cn.com/tousu/show/id/1343911","http://ts.21cn.com/tousu/show/id/1343911")</f>
        <v>http://ts.21cn.com/tousu/show/id/1343911</v>
      </c>
      <c r="F12528" s="2" t="s">
        <v>11</v>
      </c>
      <c r="G12528" s="2" t="s">
        <v>19514</v>
      </c>
      <c r="H12528" s="2" t="s">
        <v>19515</v>
      </c>
    </row>
    <row r="12529" spans="1:8" ht="25.05" customHeight="1" x14ac:dyDescent="0.25">
      <c r="A12529" s="2" t="s">
        <v>8</v>
      </c>
      <c r="B12529" s="2" t="str">
        <f>HYPERLINK("http://ts.21cn.com/tousu/show/id/1343871","汇潮支付为714喵下贷提供下款渠道")</f>
        <v>汇潮支付为714喵下贷提供下款渠道</v>
      </c>
      <c r="C12529" s="2" t="s">
        <v>9</v>
      </c>
      <c r="D12529" s="2" t="s">
        <v>10</v>
      </c>
      <c r="E12529" s="2" t="str">
        <f>HYPERLINK("http://ts.21cn.com/tousu/show/id/1343871","http://ts.21cn.com/tousu/show/id/1343871")</f>
        <v>http://ts.21cn.com/tousu/show/id/1343871</v>
      </c>
      <c r="F12529" s="2" t="s">
        <v>11</v>
      </c>
      <c r="G12529" s="2" t="s">
        <v>19512</v>
      </c>
      <c r="H12529" s="2" t="s">
        <v>19513</v>
      </c>
    </row>
    <row r="12530" spans="1:8" ht="25.05" customHeight="1" x14ac:dyDescent="0.25">
      <c r="A12530" s="2" t="s">
        <v>8</v>
      </c>
      <c r="B12530" s="2" t="str">
        <f>HYPERLINK("http://ts.21cn.com/tousu/show/id/1343914","现金巴士协商还款问题")</f>
        <v>现金巴士协商还款问题</v>
      </c>
      <c r="C12530" s="2" t="s">
        <v>9</v>
      </c>
      <c r="D12530" s="2" t="s">
        <v>10</v>
      </c>
      <c r="E12530" s="2" t="str">
        <f>HYPERLINK("http://ts.21cn.com/tousu/show/id/1343914","http://ts.21cn.com/tousu/show/id/1343914")</f>
        <v>http://ts.21cn.com/tousu/show/id/1343914</v>
      </c>
      <c r="F12530" s="2" t="s">
        <v>11</v>
      </c>
      <c r="G12530" s="2" t="s">
        <v>19510</v>
      </c>
      <c r="H12530" s="2" t="s">
        <v>19511</v>
      </c>
    </row>
    <row r="12531" spans="1:8" ht="25.05" customHeight="1" x14ac:dyDescent="0.25">
      <c r="A12531" s="2" t="s">
        <v>8</v>
      </c>
      <c r="B12531" s="2" t="str">
        <f>HYPERLINK("http://ts.21cn.com/tousu/show/id/1343915","招联金融到处打电话说我借款信息")</f>
        <v>招联金融到处打电话说我借款信息</v>
      </c>
      <c r="C12531" s="2" t="s">
        <v>9</v>
      </c>
      <c r="D12531" s="2" t="s">
        <v>10</v>
      </c>
      <c r="E12531" s="2" t="str">
        <f>HYPERLINK("http://ts.21cn.com/tousu/show/id/1343915","http://ts.21cn.com/tousu/show/id/1343915")</f>
        <v>http://ts.21cn.com/tousu/show/id/1343915</v>
      </c>
      <c r="F12531" s="2" t="s">
        <v>11</v>
      </c>
      <c r="G12531" s="2" t="s">
        <v>19508</v>
      </c>
      <c r="H12531" s="2" t="s">
        <v>19509</v>
      </c>
    </row>
    <row r="12532" spans="1:8" ht="25.05" customHeight="1" x14ac:dyDescent="0.25">
      <c r="A12532" s="2" t="s">
        <v>8</v>
      </c>
      <c r="B12532" s="2" t="str">
        <f>HYPERLINK("http://ts.21cn.com/tousu/show/id/1343916","黑社会暴力催收")</f>
        <v>黑社会暴力催收</v>
      </c>
      <c r="C12532" s="2" t="s">
        <v>9</v>
      </c>
      <c r="D12532" s="2" t="s">
        <v>10</v>
      </c>
      <c r="E12532" s="2" t="str">
        <f>HYPERLINK("http://ts.21cn.com/tousu/show/id/1343916","http://ts.21cn.com/tousu/show/id/1343916")</f>
        <v>http://ts.21cn.com/tousu/show/id/1343916</v>
      </c>
      <c r="F12532" s="2" t="s">
        <v>11</v>
      </c>
      <c r="G12532" s="2" t="s">
        <v>19506</v>
      </c>
      <c r="H12532" s="2" t="s">
        <v>19507</v>
      </c>
    </row>
    <row r="12533" spans="1:8" ht="25.05" customHeight="1" x14ac:dyDescent="0.25">
      <c r="A12533" s="2" t="s">
        <v>8</v>
      </c>
      <c r="B12533" s="2" t="str">
        <f>HYPERLINK("http://ts.21cn.com/tousu/show/id/1343729","砍头息，暴力催收，骚扰通讯录")</f>
        <v>砍头息，暴力催收，骚扰通讯录</v>
      </c>
      <c r="C12533" s="2" t="s">
        <v>9</v>
      </c>
      <c r="D12533" s="2" t="s">
        <v>10</v>
      </c>
      <c r="E12533" s="2" t="str">
        <f>HYPERLINK("http://ts.21cn.com/tousu/show/id/1343729","http://ts.21cn.com/tousu/show/id/1343729")</f>
        <v>http://ts.21cn.com/tousu/show/id/1343729</v>
      </c>
      <c r="F12533" s="2" t="s">
        <v>11</v>
      </c>
      <c r="G12533" s="2" t="s">
        <v>19504</v>
      </c>
      <c r="H12533" s="2" t="s">
        <v>19505</v>
      </c>
    </row>
    <row r="12534" spans="1:8" ht="25.05" customHeight="1" x14ac:dyDescent="0.25">
      <c r="A12534" s="2" t="s">
        <v>8</v>
      </c>
      <c r="B12534" s="2" t="str">
        <f>HYPERLINK("http://ts.21cn.com/tousu/show/id/1343917","骚扰，高利贷，收取砍头息")</f>
        <v>骚扰，高利贷，收取砍头息</v>
      </c>
      <c r="C12534" s="2" t="s">
        <v>9</v>
      </c>
      <c r="D12534" s="2" t="s">
        <v>10</v>
      </c>
      <c r="E12534" s="2" t="str">
        <f>HYPERLINK("http://ts.21cn.com/tousu/show/id/1343917","http://ts.21cn.com/tousu/show/id/1343917")</f>
        <v>http://ts.21cn.com/tousu/show/id/1343917</v>
      </c>
      <c r="F12534" s="2" t="s">
        <v>11</v>
      </c>
      <c r="G12534" s="2" t="s">
        <v>19502</v>
      </c>
      <c r="H12534" s="2" t="s">
        <v>19503</v>
      </c>
    </row>
    <row r="12535" spans="1:8" ht="25.05" customHeight="1" x14ac:dyDescent="0.25">
      <c r="A12535" s="2" t="s">
        <v>8</v>
      </c>
      <c r="B12535" s="2" t="str">
        <f>HYPERLINK("http://ts.21cn.com/tousu/show/id/1343918","暴力催收高利贷砍头息")</f>
        <v>暴力催收高利贷砍头息</v>
      </c>
      <c r="C12535" s="2" t="s">
        <v>9</v>
      </c>
      <c r="D12535" s="2" t="s">
        <v>10</v>
      </c>
      <c r="E12535" s="2" t="str">
        <f>HYPERLINK("http://ts.21cn.com/tousu/show/id/1343918","http://ts.21cn.com/tousu/show/id/1343918")</f>
        <v>http://ts.21cn.com/tousu/show/id/1343918</v>
      </c>
      <c r="F12535" s="2" t="s">
        <v>11</v>
      </c>
      <c r="G12535" s="2" t="s">
        <v>19500</v>
      </c>
      <c r="H12535" s="2" t="s">
        <v>19501</v>
      </c>
    </row>
    <row r="12536" spans="1:8" ht="25.05" customHeight="1" x14ac:dyDescent="0.25">
      <c r="A12536" s="2" t="s">
        <v>8</v>
      </c>
      <c r="B12536" s="2" t="str">
        <f>HYPERLINK("http://ts.21cn.com/tousu/show/id/1343919","宜信套路贷")</f>
        <v>宜信套路贷</v>
      </c>
      <c r="C12536" s="2" t="s">
        <v>9</v>
      </c>
      <c r="D12536" s="2" t="s">
        <v>10</v>
      </c>
      <c r="E12536" s="2" t="str">
        <f>HYPERLINK("http://ts.21cn.com/tousu/show/id/1343919","http://ts.21cn.com/tousu/show/id/1343919")</f>
        <v>http://ts.21cn.com/tousu/show/id/1343919</v>
      </c>
      <c r="F12536" s="2" t="s">
        <v>11</v>
      </c>
      <c r="G12536" s="2" t="s">
        <v>19498</v>
      </c>
      <c r="H12536" s="2" t="s">
        <v>19499</v>
      </c>
    </row>
    <row r="12537" spans="1:8" ht="25.05" customHeight="1" x14ac:dyDescent="0.25">
      <c r="A12537" s="2" t="s">
        <v>8</v>
      </c>
      <c r="B12537" s="2" t="str">
        <f>HYPERLINK("http://ts.21cn.com/tousu/show/id/1343920","高利贷")</f>
        <v>高利贷</v>
      </c>
      <c r="C12537" s="2" t="s">
        <v>9</v>
      </c>
      <c r="D12537" s="2" t="s">
        <v>10</v>
      </c>
      <c r="E12537" s="2" t="str">
        <f>HYPERLINK("http://ts.21cn.com/tousu/show/id/1343920","http://ts.21cn.com/tousu/show/id/1343920")</f>
        <v>http://ts.21cn.com/tousu/show/id/1343920</v>
      </c>
      <c r="F12537" s="2" t="s">
        <v>11</v>
      </c>
      <c r="G12537" s="2" t="s">
        <v>19496</v>
      </c>
      <c r="H12537" s="2" t="s">
        <v>19497</v>
      </c>
    </row>
    <row r="12538" spans="1:8" ht="25.05" customHeight="1" x14ac:dyDescent="0.25">
      <c r="A12538" s="2" t="s">
        <v>8</v>
      </c>
      <c r="B12538" s="2" t="str">
        <f>HYPERLINK("http://ts.21cn.com/tousu/show/id/1343922","贷上钱高利贷加暴力催收")</f>
        <v>贷上钱高利贷加暴力催收</v>
      </c>
      <c r="C12538" s="2" t="s">
        <v>9</v>
      </c>
      <c r="D12538" s="2" t="s">
        <v>10</v>
      </c>
      <c r="E12538" s="2" t="str">
        <f>HYPERLINK("http://ts.21cn.com/tousu/show/id/1343922","http://ts.21cn.com/tousu/show/id/1343922")</f>
        <v>http://ts.21cn.com/tousu/show/id/1343922</v>
      </c>
      <c r="F12538" s="2" t="s">
        <v>11</v>
      </c>
      <c r="G12538" s="2" t="s">
        <v>19494</v>
      </c>
      <c r="H12538" s="2" t="s">
        <v>19495</v>
      </c>
    </row>
    <row r="12539" spans="1:8" ht="25.05" customHeight="1" x14ac:dyDescent="0.25">
      <c r="A12539" s="2" t="s">
        <v>8</v>
      </c>
      <c r="B12539" s="2" t="str">
        <f>HYPERLINK("http://ts.21cn.com/tousu/show/id/1343923","贷上钱无协商暴力威胁我通讯录亲朋好友")</f>
        <v>贷上钱无协商暴力威胁我通讯录亲朋好友</v>
      </c>
      <c r="C12539" s="2" t="s">
        <v>9</v>
      </c>
      <c r="D12539" s="2" t="s">
        <v>10</v>
      </c>
      <c r="E12539" s="2" t="str">
        <f>HYPERLINK("http://ts.21cn.com/tousu/show/id/1343923","http://ts.21cn.com/tousu/show/id/1343923")</f>
        <v>http://ts.21cn.com/tousu/show/id/1343923</v>
      </c>
      <c r="F12539" s="2" t="s">
        <v>11</v>
      </c>
      <c r="G12539" s="2" t="s">
        <v>19492</v>
      </c>
      <c r="H12539" s="2" t="s">
        <v>19493</v>
      </c>
    </row>
    <row r="12540" spans="1:8" ht="25.05" customHeight="1" x14ac:dyDescent="0.25">
      <c r="A12540" s="2" t="s">
        <v>8</v>
      </c>
      <c r="B12540" s="2" t="str">
        <f>HYPERLINK("http://ts.21cn.com/tousu/show/id/1343927","上海造艺网络技术有限公司旗下迅付泸快百事普惠恶意扣款299元")</f>
        <v>上海造艺网络技术有限公司旗下迅付泸快百事普惠恶意扣款299元</v>
      </c>
      <c r="C12540" s="2" t="s">
        <v>9</v>
      </c>
      <c r="D12540" s="2" t="s">
        <v>10</v>
      </c>
      <c r="E12540" s="2" t="str">
        <f>HYPERLINK("http://ts.21cn.com/tousu/show/id/1343927","http://ts.21cn.com/tousu/show/id/1343927")</f>
        <v>http://ts.21cn.com/tousu/show/id/1343927</v>
      </c>
      <c r="F12540" s="2" t="s">
        <v>11</v>
      </c>
      <c r="G12540" s="2" t="s">
        <v>19489</v>
      </c>
      <c r="H12540" s="2" t="s">
        <v>19490</v>
      </c>
    </row>
    <row r="12541" spans="1:8" ht="25.05" customHeight="1" x14ac:dyDescent="0.25">
      <c r="A12541" s="2" t="s">
        <v>8</v>
      </c>
      <c r="B12541" s="2" t="str">
        <f>HYPERLINK("http://ts.21cn.com/tousu/show/id/1343924","现金巴士高利贷砍头息")</f>
        <v>现金巴士高利贷砍头息</v>
      </c>
      <c r="C12541" s="2" t="s">
        <v>9</v>
      </c>
      <c r="D12541" s="2" t="s">
        <v>10</v>
      </c>
      <c r="E12541" s="2" t="str">
        <f>HYPERLINK("http://ts.21cn.com/tousu/show/id/1343924","http://ts.21cn.com/tousu/show/id/1343924")</f>
        <v>http://ts.21cn.com/tousu/show/id/1343924</v>
      </c>
      <c r="F12541" s="2" t="s">
        <v>11</v>
      </c>
      <c r="G12541" s="2" t="s">
        <v>19489</v>
      </c>
      <c r="H12541" s="2" t="s">
        <v>19491</v>
      </c>
    </row>
    <row r="12542" spans="1:8" ht="25.05" customHeight="1" x14ac:dyDescent="0.25">
      <c r="A12542" s="2" t="s">
        <v>8</v>
      </c>
      <c r="B12542" s="2" t="str">
        <f>HYPERLINK("http://ts.21cn.com/tousu/show/id/1343925","骚扰诱惑短信")</f>
        <v>骚扰诱惑短信</v>
      </c>
      <c r="C12542" s="2" t="s">
        <v>9</v>
      </c>
      <c r="D12542" s="2" t="s">
        <v>10</v>
      </c>
      <c r="E12542" s="2" t="str">
        <f>HYPERLINK("http://ts.21cn.com/tousu/show/id/1343925","http://ts.21cn.com/tousu/show/id/1343925")</f>
        <v>http://ts.21cn.com/tousu/show/id/1343925</v>
      </c>
      <c r="F12542" s="2" t="s">
        <v>11</v>
      </c>
      <c r="G12542" s="2" t="s">
        <v>19487</v>
      </c>
      <c r="H12542" s="2" t="s">
        <v>19488</v>
      </c>
    </row>
    <row r="12543" spans="1:8" ht="25.05" customHeight="1" x14ac:dyDescent="0.25">
      <c r="A12543" s="2" t="s">
        <v>8</v>
      </c>
      <c r="B12543" s="2" t="str">
        <f>HYPERLINK("http://ts.21cn.com/tousu/show/id/1343930","欲一次性结清网贷无奈利息太高还不起")</f>
        <v>欲一次性结清网贷无奈利息太高还不起</v>
      </c>
      <c r="C12543" s="2" t="s">
        <v>9</v>
      </c>
      <c r="D12543" s="2" t="s">
        <v>10</v>
      </c>
      <c r="E12543" s="2" t="str">
        <f>HYPERLINK("http://ts.21cn.com/tousu/show/id/1343930","http://ts.21cn.com/tousu/show/id/1343930")</f>
        <v>http://ts.21cn.com/tousu/show/id/1343930</v>
      </c>
      <c r="F12543" s="2" t="s">
        <v>11</v>
      </c>
      <c r="G12543" s="2" t="s">
        <v>19485</v>
      </c>
      <c r="H12543" s="2" t="s">
        <v>19486</v>
      </c>
    </row>
    <row r="12544" spans="1:8" ht="25.05" customHeight="1" x14ac:dyDescent="0.25">
      <c r="A12544" s="2" t="s">
        <v>8</v>
      </c>
      <c r="B12544" s="2" t="str">
        <f>HYPERLINK("http://ts.21cn.com/tousu/show/id/1343931","闪银哼哼要求开延期")</f>
        <v>闪银哼哼要求开延期</v>
      </c>
      <c r="C12544" s="2" t="s">
        <v>9</v>
      </c>
      <c r="D12544" s="2" t="s">
        <v>10</v>
      </c>
      <c r="E12544" s="2" t="str">
        <f>HYPERLINK("http://ts.21cn.com/tousu/show/id/1343931","http://ts.21cn.com/tousu/show/id/1343931")</f>
        <v>http://ts.21cn.com/tousu/show/id/1343931</v>
      </c>
      <c r="F12544" s="2" t="s">
        <v>11</v>
      </c>
      <c r="G12544" s="2" t="s">
        <v>19483</v>
      </c>
      <c r="H12544" s="2" t="s">
        <v>19484</v>
      </c>
    </row>
    <row r="12545" spans="1:8" ht="25.05" customHeight="1" x14ac:dyDescent="0.25">
      <c r="A12545" s="2" t="s">
        <v>8</v>
      </c>
      <c r="B12545" s="2" t="str">
        <f>HYPERLINK("http://ts.21cn.com/tousu/show/id/1343932","微信百万保障虚假不申赔")</f>
        <v>微信百万保障虚假不申赔</v>
      </c>
      <c r="C12545" s="2" t="s">
        <v>9</v>
      </c>
      <c r="D12545" s="2" t="s">
        <v>10</v>
      </c>
      <c r="E12545" s="2" t="str">
        <f>HYPERLINK("http://ts.21cn.com/tousu/show/id/1343932","http://ts.21cn.com/tousu/show/id/1343932")</f>
        <v>http://ts.21cn.com/tousu/show/id/1343932</v>
      </c>
      <c r="F12545" s="2" t="s">
        <v>11</v>
      </c>
      <c r="G12545" s="2" t="s">
        <v>19481</v>
      </c>
      <c r="H12545" s="2" t="s">
        <v>19482</v>
      </c>
    </row>
    <row r="12546" spans="1:8" ht="25.05" customHeight="1" x14ac:dyDescent="0.25">
      <c r="A12546" s="2" t="s">
        <v>8</v>
      </c>
      <c r="B12546" s="2" t="str">
        <f>HYPERLINK("http://ts.21cn.com/tousu/show/id/1343933","京东金融长期暴力催收电话恐吓父母短信群发")</f>
        <v>京东金融长期暴力催收电话恐吓父母短信群发</v>
      </c>
      <c r="C12546" s="2" t="s">
        <v>9</v>
      </c>
      <c r="D12546" s="2" t="s">
        <v>10</v>
      </c>
      <c r="E12546" s="2" t="str">
        <f>HYPERLINK("http://ts.21cn.com/tousu/show/id/1343933","http://ts.21cn.com/tousu/show/id/1343933")</f>
        <v>http://ts.21cn.com/tousu/show/id/1343933</v>
      </c>
      <c r="F12546" s="2" t="s">
        <v>11</v>
      </c>
      <c r="G12546" s="2" t="s">
        <v>19479</v>
      </c>
      <c r="H12546" s="2" t="s">
        <v>19480</v>
      </c>
    </row>
    <row r="12547" spans="1:8" ht="25.05" customHeight="1" x14ac:dyDescent="0.25">
      <c r="A12547" s="2" t="s">
        <v>8</v>
      </c>
      <c r="B12547" s="2" t="str">
        <f>HYPERLINK("http://ts.21cn.com/tousu/show/id/1343934","快贷高额利息，服务费")</f>
        <v>快贷高额利息，服务费</v>
      </c>
      <c r="C12547" s="2" t="s">
        <v>9</v>
      </c>
      <c r="D12547" s="2" t="s">
        <v>10</v>
      </c>
      <c r="E12547" s="2" t="str">
        <f>HYPERLINK("http://ts.21cn.com/tousu/show/id/1343934","http://ts.21cn.com/tousu/show/id/1343934")</f>
        <v>http://ts.21cn.com/tousu/show/id/1343934</v>
      </c>
      <c r="F12547" s="2" t="s">
        <v>11</v>
      </c>
      <c r="G12547" s="2" t="s">
        <v>19477</v>
      </c>
      <c r="H12547" s="2" t="s">
        <v>19478</v>
      </c>
    </row>
    <row r="12548" spans="1:8" ht="25.05" customHeight="1" x14ac:dyDescent="0.25">
      <c r="A12548" s="2" t="s">
        <v>8</v>
      </c>
      <c r="B12548" s="2" t="str">
        <f>HYPERLINK("http://ts.21cn.com/tousu/show/id/1343936","豆豆钱私自划拨我的银行卡")</f>
        <v>豆豆钱私自划拨我的银行卡</v>
      </c>
      <c r="C12548" s="2" t="s">
        <v>9</v>
      </c>
      <c r="D12548" s="2" t="s">
        <v>10</v>
      </c>
      <c r="E12548" s="2" t="str">
        <f>HYPERLINK("http://ts.21cn.com/tousu/show/id/1343936","http://ts.21cn.com/tousu/show/id/1343936")</f>
        <v>http://ts.21cn.com/tousu/show/id/1343936</v>
      </c>
      <c r="F12548" s="2" t="s">
        <v>11</v>
      </c>
      <c r="G12548" s="2" t="s">
        <v>19475</v>
      </c>
      <c r="H12548" s="2" t="s">
        <v>19476</v>
      </c>
    </row>
    <row r="12549" spans="1:8" ht="25.05" customHeight="1" x14ac:dyDescent="0.25">
      <c r="A12549" s="2" t="s">
        <v>8</v>
      </c>
      <c r="B12549" s="2" t="str">
        <f>HYPERLINK("http://ts.21cn.com/tousu/show/id/1343935","暴力催收")</f>
        <v>暴力催收</v>
      </c>
      <c r="C12549" s="2" t="s">
        <v>9</v>
      </c>
      <c r="D12549" s="2" t="s">
        <v>10</v>
      </c>
      <c r="E12549" s="2" t="str">
        <f>HYPERLINK("http://ts.21cn.com/tousu/show/id/1343935","http://ts.21cn.com/tousu/show/id/1343935")</f>
        <v>http://ts.21cn.com/tousu/show/id/1343935</v>
      </c>
      <c r="F12549" s="2" t="s">
        <v>11</v>
      </c>
      <c r="G12549" s="2" t="s">
        <v>19473</v>
      </c>
      <c r="H12549" s="2" t="s">
        <v>19474</v>
      </c>
    </row>
    <row r="12550" spans="1:8" ht="25.05" customHeight="1" x14ac:dyDescent="0.25">
      <c r="A12550" s="2" t="s">
        <v>8</v>
      </c>
      <c r="B12550" s="2" t="str">
        <f>HYPERLINK("http://ts.21cn.com/tousu/show/id/1343943","花薪高利息暴利催收")</f>
        <v>花薪高利息暴利催收</v>
      </c>
      <c r="C12550" s="2" t="s">
        <v>9</v>
      </c>
      <c r="D12550" s="2" t="s">
        <v>10</v>
      </c>
      <c r="E12550" s="2" t="str">
        <f>HYPERLINK("http://ts.21cn.com/tousu/show/id/1343943","http://ts.21cn.com/tousu/show/id/1343943")</f>
        <v>http://ts.21cn.com/tousu/show/id/1343943</v>
      </c>
      <c r="F12550" s="2" t="s">
        <v>11</v>
      </c>
      <c r="G12550" s="2" t="s">
        <v>19470</v>
      </c>
      <c r="H12550" s="2" t="s">
        <v>19471</v>
      </c>
    </row>
    <row r="12551" spans="1:8" ht="25.05" customHeight="1" x14ac:dyDescent="0.25">
      <c r="A12551" s="2" t="s">
        <v>8</v>
      </c>
      <c r="B12551" s="2" t="str">
        <f>HYPERLINK("http://ts.21cn.com/tousu/show/id/1343939","借款十天了一直不到账")</f>
        <v>借款十天了一直不到账</v>
      </c>
      <c r="C12551" s="2" t="s">
        <v>9</v>
      </c>
      <c r="D12551" s="2" t="s">
        <v>10</v>
      </c>
      <c r="E12551" s="2" t="str">
        <f>HYPERLINK("http://ts.21cn.com/tousu/show/id/1343939","http://ts.21cn.com/tousu/show/id/1343939")</f>
        <v>http://ts.21cn.com/tousu/show/id/1343939</v>
      </c>
      <c r="F12551" s="2" t="s">
        <v>11</v>
      </c>
      <c r="G12551" s="2" t="s">
        <v>19470</v>
      </c>
      <c r="H12551" s="2" t="s">
        <v>19472</v>
      </c>
    </row>
    <row r="12552" spans="1:8" ht="25.05" customHeight="1" x14ac:dyDescent="0.25">
      <c r="A12552" s="2" t="s">
        <v>8</v>
      </c>
      <c r="B12552" s="2" t="str">
        <f>HYPERLINK("http://ts.21cn.com/tousu/show/id/1343801","钱站高利贷阴阳合同")</f>
        <v>钱站高利贷阴阳合同</v>
      </c>
      <c r="C12552" s="2" t="s">
        <v>9</v>
      </c>
      <c r="D12552" s="2" t="s">
        <v>10</v>
      </c>
      <c r="E12552" s="2" t="str">
        <f>HYPERLINK("http://ts.21cn.com/tousu/show/id/1343801","http://ts.21cn.com/tousu/show/id/1343801")</f>
        <v>http://ts.21cn.com/tousu/show/id/1343801</v>
      </c>
      <c r="F12552" s="2" t="s">
        <v>11</v>
      </c>
      <c r="G12552" s="2" t="s">
        <v>19468</v>
      </c>
      <c r="H12552" s="2" t="s">
        <v>19469</v>
      </c>
    </row>
    <row r="12553" spans="1:8" ht="25.05" customHeight="1" x14ac:dyDescent="0.25">
      <c r="A12553" s="2" t="s">
        <v>8</v>
      </c>
      <c r="B12553" s="2" t="str">
        <f>HYPERLINK("http://ts.21cn.com/tousu/show/id/1343938","小当家都还完款了，还给我通讯录打电话")</f>
        <v>小当家都还完款了，还给我通讯录打电话</v>
      </c>
      <c r="C12553" s="2" t="s">
        <v>9</v>
      </c>
      <c r="D12553" s="2" t="s">
        <v>10</v>
      </c>
      <c r="E12553" s="2" t="str">
        <f>HYPERLINK("http://ts.21cn.com/tousu/show/id/1343938","http://ts.21cn.com/tousu/show/id/1343938")</f>
        <v>http://ts.21cn.com/tousu/show/id/1343938</v>
      </c>
      <c r="F12553" s="2" t="s">
        <v>11</v>
      </c>
      <c r="G12553" s="2" t="s">
        <v>19466</v>
      </c>
      <c r="H12553" s="2" t="s">
        <v>19467</v>
      </c>
    </row>
    <row r="12554" spans="1:8" ht="25.05" customHeight="1" x14ac:dyDescent="0.25">
      <c r="A12554" s="2" t="s">
        <v>8</v>
      </c>
      <c r="B12554" s="2" t="str">
        <f>HYPERLINK("http://ts.21cn.com/tousu/show/id/1343900","网贷高利息")</f>
        <v>网贷高利息</v>
      </c>
      <c r="C12554" s="2" t="s">
        <v>34</v>
      </c>
      <c r="D12554" s="2" t="s">
        <v>10</v>
      </c>
      <c r="E12554" s="2" t="str">
        <f>HYPERLINK("http://ts.21cn.com/tousu/show/id/1343900","http://ts.21cn.com/tousu/show/id/1343900")</f>
        <v>http://ts.21cn.com/tousu/show/id/1343900</v>
      </c>
      <c r="F12554" s="2" t="s">
        <v>11</v>
      </c>
      <c r="G12554" s="2" t="s">
        <v>19464</v>
      </c>
      <c r="H12554" s="2" t="s">
        <v>19465</v>
      </c>
    </row>
    <row r="12555" spans="1:8" ht="25.05" customHeight="1" x14ac:dyDescent="0.25">
      <c r="A12555" s="2" t="s">
        <v>8</v>
      </c>
      <c r="B12555" s="2" t="str">
        <f>HYPERLINK("http://ts.21cn.com/tousu/show/id/1343941","余赚网里有诱惑赌博的任务")</f>
        <v>余赚网里有诱惑赌博的任务</v>
      </c>
      <c r="C12555" s="2" t="s">
        <v>34</v>
      </c>
      <c r="D12555" s="2" t="s">
        <v>10</v>
      </c>
      <c r="E12555" s="2" t="str">
        <f>HYPERLINK("http://ts.21cn.com/tousu/show/id/1343941","http://ts.21cn.com/tousu/show/id/1343941")</f>
        <v>http://ts.21cn.com/tousu/show/id/1343941</v>
      </c>
      <c r="F12555" s="2" t="s">
        <v>11</v>
      </c>
      <c r="G12555" s="2" t="s">
        <v>19462</v>
      </c>
      <c r="H12555" s="2" t="s">
        <v>19463</v>
      </c>
    </row>
    <row r="12556" spans="1:8" ht="25.05" customHeight="1" x14ac:dyDescent="0.25">
      <c r="A12556" s="2" t="s">
        <v>8</v>
      </c>
      <c r="B12556" s="2" t="str">
        <f>HYPERLINK("http://ts.21cn.com/tousu/show/id/1343942","饿了么霸王条款")</f>
        <v>饿了么霸王条款</v>
      </c>
      <c r="C12556" s="2" t="s">
        <v>9</v>
      </c>
      <c r="D12556" s="2" t="s">
        <v>10</v>
      </c>
      <c r="E12556" s="2" t="str">
        <f>HYPERLINK("http://ts.21cn.com/tousu/show/id/1343942","http://ts.21cn.com/tousu/show/id/1343942")</f>
        <v>http://ts.21cn.com/tousu/show/id/1343942</v>
      </c>
      <c r="F12556" s="2" t="s">
        <v>11</v>
      </c>
      <c r="G12556" s="2" t="s">
        <v>19460</v>
      </c>
      <c r="H12556" s="2" t="s">
        <v>19461</v>
      </c>
    </row>
    <row r="12557" spans="1:8" ht="25.05" customHeight="1" x14ac:dyDescent="0.25">
      <c r="A12557" s="2" t="s">
        <v>8</v>
      </c>
      <c r="B12557" s="2" t="str">
        <f>HYPERLINK("http://ts.21cn.com/tousu/show/id/1343944","小牛在线底标到期无法退出")</f>
        <v>小牛在线底标到期无法退出</v>
      </c>
      <c r="C12557" s="2" t="s">
        <v>34</v>
      </c>
      <c r="D12557" s="2" t="s">
        <v>10</v>
      </c>
      <c r="E12557" s="2" t="str">
        <f>HYPERLINK("http://ts.21cn.com/tousu/show/id/1343944","http://ts.21cn.com/tousu/show/id/1343944")</f>
        <v>http://ts.21cn.com/tousu/show/id/1343944</v>
      </c>
      <c r="F12557" s="2" t="s">
        <v>11</v>
      </c>
      <c r="G12557" s="2" t="s">
        <v>19458</v>
      </c>
      <c r="H12557" s="2" t="s">
        <v>19459</v>
      </c>
    </row>
    <row r="12558" spans="1:8" ht="25.05" customHeight="1" x14ac:dyDescent="0.25">
      <c r="A12558" s="2" t="s">
        <v>8</v>
      </c>
      <c r="B12558" s="2" t="str">
        <f>HYPERLINK("http://ts.21cn.com/tousu/show/id/1343945","高利息，主动还款还不了")</f>
        <v>高利息，主动还款还不了</v>
      </c>
      <c r="C12558" s="2" t="s">
        <v>9</v>
      </c>
      <c r="D12558" s="2" t="s">
        <v>10</v>
      </c>
      <c r="E12558" s="2" t="str">
        <f>HYPERLINK("http://ts.21cn.com/tousu/show/id/1343945","http://ts.21cn.com/tousu/show/id/1343945")</f>
        <v>http://ts.21cn.com/tousu/show/id/1343945</v>
      </c>
      <c r="F12558" s="2" t="s">
        <v>11</v>
      </c>
      <c r="G12558" s="2" t="s">
        <v>19456</v>
      </c>
      <c r="H12558" s="2" t="s">
        <v>19457</v>
      </c>
    </row>
    <row r="12559" spans="1:8" ht="25.05" customHeight="1" x14ac:dyDescent="0.25">
      <c r="A12559" s="2" t="s">
        <v>8</v>
      </c>
      <c r="B12559" s="2" t="str">
        <f>HYPERLINK("http://ts.21cn.com/tousu/show/id/1343947","利息高，催收恐怖")</f>
        <v>利息高，催收恐怖</v>
      </c>
      <c r="C12559" s="2" t="s">
        <v>9</v>
      </c>
      <c r="D12559" s="2" t="s">
        <v>10</v>
      </c>
      <c r="E12559" s="2" t="str">
        <f>HYPERLINK("http://ts.21cn.com/tousu/show/id/1343947","http://ts.21cn.com/tousu/show/id/1343947")</f>
        <v>http://ts.21cn.com/tousu/show/id/1343947</v>
      </c>
      <c r="F12559" s="2" t="s">
        <v>11</v>
      </c>
      <c r="G12559" s="2" t="s">
        <v>19454</v>
      </c>
      <c r="H12559" s="2" t="s">
        <v>19455</v>
      </c>
    </row>
    <row r="12560" spans="1:8" ht="25.05" customHeight="1" x14ac:dyDescent="0.25">
      <c r="A12560" s="2" t="s">
        <v>8</v>
      </c>
      <c r="B12560" s="2" t="str">
        <f>HYPERLINK("http://ts.21cn.com/tousu/show/id/1343929","点点借款平台与众安保险强行搭售保险合同")</f>
        <v>点点借款平台与众安保险强行搭售保险合同</v>
      </c>
      <c r="C12560" s="2" t="s">
        <v>9</v>
      </c>
      <c r="D12560" s="2" t="s">
        <v>10</v>
      </c>
      <c r="E12560" s="2" t="str">
        <f>HYPERLINK("http://ts.21cn.com/tousu/show/id/1343929","http://ts.21cn.com/tousu/show/id/1343929")</f>
        <v>http://ts.21cn.com/tousu/show/id/1343929</v>
      </c>
      <c r="F12560" s="2" t="s">
        <v>11</v>
      </c>
      <c r="G12560" s="2" t="s">
        <v>19452</v>
      </c>
      <c r="H12560" s="2" t="s">
        <v>19453</v>
      </c>
    </row>
    <row r="12561" spans="1:8" ht="25.05" customHeight="1" x14ac:dyDescent="0.25">
      <c r="A12561" s="2" t="s">
        <v>8</v>
      </c>
      <c r="B12561" s="2" t="str">
        <f>HYPERLINK("http://ts.21cn.com/tousu/show/id/1343948","撤销呆帐")</f>
        <v>撤销呆帐</v>
      </c>
      <c r="C12561" s="2" t="s">
        <v>9</v>
      </c>
      <c r="D12561" s="2" t="s">
        <v>10</v>
      </c>
      <c r="E12561" s="2" t="str">
        <f>HYPERLINK("http://ts.21cn.com/tousu/show/id/1343948","http://ts.21cn.com/tousu/show/id/1343948")</f>
        <v>http://ts.21cn.com/tousu/show/id/1343948</v>
      </c>
      <c r="F12561" s="2" t="s">
        <v>11</v>
      </c>
      <c r="G12561" s="2" t="s">
        <v>19450</v>
      </c>
      <c r="H12561" s="2" t="s">
        <v>19451</v>
      </c>
    </row>
    <row r="12562" spans="1:8" ht="25.05" customHeight="1" x14ac:dyDescent="0.25">
      <c r="A12562" s="2" t="s">
        <v>8</v>
      </c>
      <c r="B12562" s="2" t="str">
        <f>HYPERLINK("http://ts.21cn.com/tousu/show/id/1343821","投诉航天电子违法违规")</f>
        <v>投诉航天电子违法违规</v>
      </c>
      <c r="C12562" s="2" t="s">
        <v>9</v>
      </c>
      <c r="D12562" s="2" t="s">
        <v>10</v>
      </c>
      <c r="E12562" s="2" t="str">
        <f>HYPERLINK("http://ts.21cn.com/tousu/show/id/1343821","http://ts.21cn.com/tousu/show/id/1343821")</f>
        <v>http://ts.21cn.com/tousu/show/id/1343821</v>
      </c>
      <c r="F12562" s="2" t="s">
        <v>11</v>
      </c>
      <c r="G12562" s="2" t="s">
        <v>19448</v>
      </c>
      <c r="H12562" s="2" t="s">
        <v>19449</v>
      </c>
    </row>
    <row r="12563" spans="1:8" ht="25.05" customHeight="1" x14ac:dyDescent="0.25">
      <c r="A12563" s="2" t="s">
        <v>8</v>
      </c>
      <c r="B12563" s="2" t="str">
        <f>HYPERLINK("http://ts.21cn.com/tousu/show/id/1343949","北京现代汽车金融有限公司恐吓客户")</f>
        <v>北京现代汽车金融有限公司恐吓客户</v>
      </c>
      <c r="C12563" s="2" t="s">
        <v>9</v>
      </c>
      <c r="D12563" s="2" t="s">
        <v>10</v>
      </c>
      <c r="E12563" s="2" t="str">
        <f>HYPERLINK("http://ts.21cn.com/tousu/show/id/1343949","http://ts.21cn.com/tousu/show/id/1343949")</f>
        <v>http://ts.21cn.com/tousu/show/id/1343949</v>
      </c>
      <c r="F12563" s="2" t="s">
        <v>11</v>
      </c>
      <c r="G12563" s="2" t="s">
        <v>19446</v>
      </c>
      <c r="H12563" s="2" t="s">
        <v>19447</v>
      </c>
    </row>
    <row r="12564" spans="1:8" ht="25.05" customHeight="1" x14ac:dyDescent="0.25">
      <c r="A12564" s="2" t="s">
        <v>8</v>
      </c>
      <c r="B12564" s="2" t="str">
        <f>HYPERLINK("http://ts.21cn.com/tousu/show/id/1343940","虚假宣传提现不到账")</f>
        <v>虚假宣传提现不到账</v>
      </c>
      <c r="C12564" s="2" t="s">
        <v>9</v>
      </c>
      <c r="D12564" s="2" t="s">
        <v>10</v>
      </c>
      <c r="E12564" s="2" t="str">
        <f>HYPERLINK("http://ts.21cn.com/tousu/show/id/1343940","http://ts.21cn.com/tousu/show/id/1343940")</f>
        <v>http://ts.21cn.com/tousu/show/id/1343940</v>
      </c>
      <c r="F12564" s="2" t="s">
        <v>11</v>
      </c>
      <c r="G12564" s="2" t="s">
        <v>19444</v>
      </c>
      <c r="H12564" s="2" t="s">
        <v>19445</v>
      </c>
    </row>
    <row r="12565" spans="1:8" ht="25.05" customHeight="1" x14ac:dyDescent="0.25">
      <c r="A12565" s="2" t="s">
        <v>8</v>
      </c>
      <c r="B12565" s="2" t="str">
        <f>HYPERLINK("http://ts.21cn.com/tousu/show/id/1343950","百事普惠恶意扣款")</f>
        <v>百事普惠恶意扣款</v>
      </c>
      <c r="C12565" s="2" t="s">
        <v>9</v>
      </c>
      <c r="D12565" s="2" t="s">
        <v>10</v>
      </c>
      <c r="E12565" s="2" t="str">
        <f>HYPERLINK("http://ts.21cn.com/tousu/show/id/1343950","http://ts.21cn.com/tousu/show/id/1343950")</f>
        <v>http://ts.21cn.com/tousu/show/id/1343950</v>
      </c>
      <c r="F12565" s="2" t="s">
        <v>11</v>
      </c>
      <c r="G12565" s="2" t="s">
        <v>19442</v>
      </c>
      <c r="H12565" s="2" t="s">
        <v>19443</v>
      </c>
    </row>
    <row r="12566" spans="1:8" ht="25.05" customHeight="1" x14ac:dyDescent="0.25">
      <c r="A12566" s="2" t="s">
        <v>8</v>
      </c>
      <c r="B12566" s="2" t="str">
        <f>HYPERLINK("http://ts.21cn.com/tousu/show/id/1343952","贷上钱高利息,爆通讯录,骚扰家人朋友")</f>
        <v>贷上钱高利息,爆通讯录,骚扰家人朋友</v>
      </c>
      <c r="C12566" s="2" t="s">
        <v>9</v>
      </c>
      <c r="D12566" s="2" t="s">
        <v>10</v>
      </c>
      <c r="E12566" s="2" t="str">
        <f>HYPERLINK("http://ts.21cn.com/tousu/show/id/1343952","http://ts.21cn.com/tousu/show/id/1343952")</f>
        <v>http://ts.21cn.com/tousu/show/id/1343952</v>
      </c>
      <c r="F12566" s="2" t="s">
        <v>11</v>
      </c>
      <c r="G12566" s="2" t="s">
        <v>19440</v>
      </c>
      <c r="H12566" s="2" t="s">
        <v>19441</v>
      </c>
    </row>
    <row r="12567" spans="1:8" ht="25.05" customHeight="1" x14ac:dyDescent="0.25">
      <c r="A12567" s="2" t="s">
        <v>8</v>
      </c>
      <c r="B12567" s="2" t="str">
        <f>HYPERLINK("http://ts.21cn.com/tousu/show/id/1343951","北京钱站爆通讯录，砍头息")</f>
        <v>北京钱站爆通讯录，砍头息</v>
      </c>
      <c r="C12567" s="2" t="s">
        <v>9</v>
      </c>
      <c r="D12567" s="2" t="s">
        <v>10</v>
      </c>
      <c r="E12567" s="2" t="str">
        <f>HYPERLINK("http://ts.21cn.com/tousu/show/id/1343951","http://ts.21cn.com/tousu/show/id/1343951")</f>
        <v>http://ts.21cn.com/tousu/show/id/1343951</v>
      </c>
      <c r="F12567" s="2" t="s">
        <v>11</v>
      </c>
      <c r="G12567" s="2" t="s">
        <v>19438</v>
      </c>
      <c r="H12567" s="2" t="s">
        <v>19439</v>
      </c>
    </row>
    <row r="12568" spans="1:8" ht="25.05" customHeight="1" x14ac:dyDescent="0.25">
      <c r="A12568" s="2" t="s">
        <v>8</v>
      </c>
      <c r="B12568" s="2" t="str">
        <f>HYPERLINK("http://ts.21cn.com/tousu/show/id/1343956","为赌博平台提供收款，要求挽回损失")</f>
        <v>为赌博平台提供收款，要求挽回损失</v>
      </c>
      <c r="C12568" s="2" t="s">
        <v>9</v>
      </c>
      <c r="D12568" s="2" t="s">
        <v>10</v>
      </c>
      <c r="E12568" s="2" t="str">
        <f>HYPERLINK("http://ts.21cn.com/tousu/show/id/1343956","http://ts.21cn.com/tousu/show/id/1343956")</f>
        <v>http://ts.21cn.com/tousu/show/id/1343956</v>
      </c>
      <c r="F12568" s="2" t="s">
        <v>11</v>
      </c>
      <c r="G12568" s="2" t="s">
        <v>19436</v>
      </c>
      <c r="H12568" s="2" t="s">
        <v>19437</v>
      </c>
    </row>
    <row r="12569" spans="1:8" ht="25.05" customHeight="1" x14ac:dyDescent="0.25">
      <c r="A12569" s="2" t="s">
        <v>8</v>
      </c>
      <c r="B12569" s="2" t="str">
        <f>HYPERLINK("http://ts.21cn.com/tousu/show/id/1343957","宏萨上海信息科技有限公司盗刷资金")</f>
        <v>宏萨上海信息科技有限公司盗刷资金</v>
      </c>
      <c r="C12569" s="2" t="s">
        <v>9</v>
      </c>
      <c r="D12569" s="2" t="s">
        <v>10</v>
      </c>
      <c r="E12569" s="2" t="str">
        <f>HYPERLINK("http://ts.21cn.com/tousu/show/id/1343957","http://ts.21cn.com/tousu/show/id/1343957")</f>
        <v>http://ts.21cn.com/tousu/show/id/1343957</v>
      </c>
      <c r="F12569" s="2" t="s">
        <v>11</v>
      </c>
      <c r="G12569" s="2" t="s">
        <v>19434</v>
      </c>
      <c r="H12569" s="2" t="s">
        <v>19435</v>
      </c>
    </row>
    <row r="12570" spans="1:8" ht="25.05" customHeight="1" x14ac:dyDescent="0.25">
      <c r="A12570" s="2" t="s">
        <v>8</v>
      </c>
      <c r="B12570" s="2" t="str">
        <f>HYPERLINK("http://ts.21cn.com/tousu/show/id/1343928","办信用卡pos押金不退")</f>
        <v>办信用卡pos押金不退</v>
      </c>
      <c r="C12570" s="2" t="s">
        <v>9</v>
      </c>
      <c r="D12570" s="2" t="s">
        <v>10</v>
      </c>
      <c r="E12570" s="2" t="str">
        <f>HYPERLINK("http://ts.21cn.com/tousu/show/id/1343928","http://ts.21cn.com/tousu/show/id/1343928")</f>
        <v>http://ts.21cn.com/tousu/show/id/1343928</v>
      </c>
      <c r="F12570" s="2" t="s">
        <v>11</v>
      </c>
      <c r="G12570" s="2" t="s">
        <v>19432</v>
      </c>
      <c r="H12570" s="2" t="s">
        <v>19433</v>
      </c>
    </row>
    <row r="12571" spans="1:8" ht="25.05" customHeight="1" x14ac:dyDescent="0.25">
      <c r="A12571" s="2" t="s">
        <v>8</v>
      </c>
      <c r="B12571" s="2" t="str">
        <f>HYPERLINK("http://ts.21cn.com/tousu/show/id/1343958","小象优品霸王条款，高利息要求提前结清，客服拒绝协商")</f>
        <v>小象优品霸王条款，高利息要求提前结清，客服拒绝协商</v>
      </c>
      <c r="C12571" s="2" t="s">
        <v>9</v>
      </c>
      <c r="D12571" s="2" t="s">
        <v>10</v>
      </c>
      <c r="E12571" s="2" t="str">
        <f>HYPERLINK("http://ts.21cn.com/tousu/show/id/1343958","http://ts.21cn.com/tousu/show/id/1343958")</f>
        <v>http://ts.21cn.com/tousu/show/id/1343958</v>
      </c>
      <c r="F12571" s="2" t="s">
        <v>11</v>
      </c>
      <c r="G12571" s="2" t="s">
        <v>19430</v>
      </c>
      <c r="H12571" s="2" t="s">
        <v>19431</v>
      </c>
    </row>
    <row r="12572" spans="1:8" ht="25.05" customHeight="1" x14ac:dyDescent="0.25">
      <c r="A12572" s="2" t="s">
        <v>8</v>
      </c>
      <c r="B12572" s="2" t="str">
        <f>HYPERLINK("http://ts.21cn.com/tousu/show/id/1343921","天猫客服偏袒商家")</f>
        <v>天猫客服偏袒商家</v>
      </c>
      <c r="C12572" s="2" t="s">
        <v>9</v>
      </c>
      <c r="D12572" s="2" t="s">
        <v>10</v>
      </c>
      <c r="E12572" s="2" t="str">
        <f>HYPERLINK("http://ts.21cn.com/tousu/show/id/1343921","http://ts.21cn.com/tousu/show/id/1343921")</f>
        <v>http://ts.21cn.com/tousu/show/id/1343921</v>
      </c>
      <c r="F12572" s="2" t="s">
        <v>11</v>
      </c>
      <c r="G12572" s="2" t="s">
        <v>19428</v>
      </c>
      <c r="H12572" s="2" t="s">
        <v>19429</v>
      </c>
    </row>
    <row r="12573" spans="1:8" ht="25.05" customHeight="1" x14ac:dyDescent="0.25">
      <c r="A12573" s="2" t="s">
        <v>8</v>
      </c>
      <c r="B12573" s="2" t="str">
        <f>HYPERLINK("http://ts.21cn.com/tousu/show/id/1343959","玖富万卡高利贷，阴阳合同")</f>
        <v>玖富万卡高利贷，阴阳合同</v>
      </c>
      <c r="C12573" s="2" t="s">
        <v>9</v>
      </c>
      <c r="D12573" s="2" t="s">
        <v>10</v>
      </c>
      <c r="E12573" s="2" t="str">
        <f>HYPERLINK("http://ts.21cn.com/tousu/show/id/1343959","http://ts.21cn.com/tousu/show/id/1343959")</f>
        <v>http://ts.21cn.com/tousu/show/id/1343959</v>
      </c>
      <c r="F12573" s="2" t="s">
        <v>11</v>
      </c>
      <c r="G12573" s="2" t="s">
        <v>19426</v>
      </c>
      <c r="H12573" s="2" t="s">
        <v>19427</v>
      </c>
    </row>
    <row r="12574" spans="1:8" ht="25.05" customHeight="1" x14ac:dyDescent="0.25">
      <c r="A12574" s="2" t="s">
        <v>8</v>
      </c>
      <c r="B12574" s="2" t="str">
        <f>HYPERLINK("http://ts.21cn.com/tousu/show/id/1343960","拍拍贷冒充法院人员恐吓威胁家人，爆通讯录")</f>
        <v>拍拍贷冒充法院人员恐吓威胁家人，爆通讯录</v>
      </c>
      <c r="C12574" s="2" t="s">
        <v>9</v>
      </c>
      <c r="D12574" s="2" t="s">
        <v>10</v>
      </c>
      <c r="E12574" s="2" t="str">
        <f>HYPERLINK("http://ts.21cn.com/tousu/show/id/1343960","http://ts.21cn.com/tousu/show/id/1343960")</f>
        <v>http://ts.21cn.com/tousu/show/id/1343960</v>
      </c>
      <c r="F12574" s="2" t="s">
        <v>11</v>
      </c>
      <c r="G12574" s="2" t="s">
        <v>19424</v>
      </c>
      <c r="H12574" s="2" t="s">
        <v>19425</v>
      </c>
    </row>
    <row r="12575" spans="1:8" ht="25.05" customHeight="1" x14ac:dyDescent="0.25">
      <c r="A12575" s="2" t="s">
        <v>8</v>
      </c>
      <c r="B12575" s="2" t="str">
        <f>HYPERLINK("http://ts.21cn.com/tousu/show/id/1343810","壹心分期高利贷、砍头息、收取高额手续费")</f>
        <v>壹心分期高利贷、砍头息、收取高额手续费</v>
      </c>
      <c r="C12575" s="2" t="s">
        <v>9</v>
      </c>
      <c r="D12575" s="2" t="s">
        <v>10</v>
      </c>
      <c r="E12575" s="2" t="str">
        <f>HYPERLINK("http://ts.21cn.com/tousu/show/id/1343810","http://ts.21cn.com/tousu/show/id/1343810")</f>
        <v>http://ts.21cn.com/tousu/show/id/1343810</v>
      </c>
      <c r="F12575" s="2" t="s">
        <v>11</v>
      </c>
      <c r="G12575" s="2" t="s">
        <v>19422</v>
      </c>
      <c r="H12575" s="2" t="s">
        <v>19423</v>
      </c>
    </row>
    <row r="12576" spans="1:8" ht="25.05" customHeight="1" x14ac:dyDescent="0.25">
      <c r="A12576" s="2" t="s">
        <v>8</v>
      </c>
      <c r="B12576" s="2" t="str">
        <f>HYPERLINK("http://ts.21cn.com/tousu/show/id/1343961","拼多多月卡不退差费")</f>
        <v>拼多多月卡不退差费</v>
      </c>
      <c r="C12576" s="2" t="s">
        <v>9</v>
      </c>
      <c r="D12576" s="2" t="s">
        <v>10</v>
      </c>
      <c r="E12576" s="2" t="str">
        <f>HYPERLINK("http://ts.21cn.com/tousu/show/id/1343961","http://ts.21cn.com/tousu/show/id/1343961")</f>
        <v>http://ts.21cn.com/tousu/show/id/1343961</v>
      </c>
      <c r="F12576" s="2" t="s">
        <v>11</v>
      </c>
      <c r="G12576" s="2" t="s">
        <v>19420</v>
      </c>
      <c r="H12576" s="2" t="s">
        <v>19421</v>
      </c>
    </row>
    <row r="12577" spans="1:8" ht="25.05" customHeight="1" x14ac:dyDescent="0.25">
      <c r="A12577" s="2" t="s">
        <v>8</v>
      </c>
      <c r="B12577" s="2" t="str">
        <f>HYPERLINK("http://ts.21cn.com/tousu/show/id/1341763","深圳聚友e家长城宽带退网一年，退款未到账")</f>
        <v>深圳聚友e家长城宽带退网一年，退款未到账</v>
      </c>
      <c r="C12577" s="2" t="s">
        <v>9</v>
      </c>
      <c r="D12577" s="2" t="s">
        <v>10</v>
      </c>
      <c r="E12577" s="2" t="str">
        <f>HYPERLINK("http://ts.21cn.com/tousu/show/id/1341763","http://ts.21cn.com/tousu/show/id/1341763")</f>
        <v>http://ts.21cn.com/tousu/show/id/1341763</v>
      </c>
      <c r="F12577" s="2" t="s">
        <v>11</v>
      </c>
      <c r="G12577" s="2" t="s">
        <v>19418</v>
      </c>
      <c r="H12577" s="2" t="s">
        <v>19419</v>
      </c>
    </row>
    <row r="12578" spans="1:8" ht="25.05" customHeight="1" x14ac:dyDescent="0.25">
      <c r="A12578" s="2" t="s">
        <v>8</v>
      </c>
      <c r="B12578" s="2" t="str">
        <f>HYPERLINK("http://ts.21cn.com/tousu/show/id/1343964","大量用户无法退还立刻出行499元押金")</f>
        <v>大量用户无法退还立刻出行499元押金</v>
      </c>
      <c r="C12578" s="2" t="s">
        <v>9</v>
      </c>
      <c r="D12578" s="2" t="s">
        <v>10</v>
      </c>
      <c r="E12578" s="2" t="str">
        <f>HYPERLINK("http://ts.21cn.com/tousu/show/id/1343964","http://ts.21cn.com/tousu/show/id/1343964")</f>
        <v>http://ts.21cn.com/tousu/show/id/1343964</v>
      </c>
      <c r="F12578" s="2" t="s">
        <v>11</v>
      </c>
      <c r="G12578" s="2" t="s">
        <v>19416</v>
      </c>
      <c r="H12578" s="2" t="s">
        <v>19417</v>
      </c>
    </row>
    <row r="12579" spans="1:8" ht="25.05" customHeight="1" x14ac:dyDescent="0.25">
      <c r="A12579" s="2" t="s">
        <v>8</v>
      </c>
      <c r="B12579" s="2" t="str">
        <f>HYPERLINK("http://ts.21cn.com/tousu/show/id/1343966","贷上钱高利贷，暴力催收")</f>
        <v>贷上钱高利贷，暴力催收</v>
      </c>
      <c r="C12579" s="2" t="s">
        <v>9</v>
      </c>
      <c r="D12579" s="2" t="s">
        <v>10</v>
      </c>
      <c r="E12579" s="2" t="str">
        <f>HYPERLINK("http://ts.21cn.com/tousu/show/id/1343966","http://ts.21cn.com/tousu/show/id/1343966")</f>
        <v>http://ts.21cn.com/tousu/show/id/1343966</v>
      </c>
      <c r="F12579" s="2" t="s">
        <v>11</v>
      </c>
      <c r="G12579" s="2" t="s">
        <v>19414</v>
      </c>
      <c r="H12579" s="2" t="s">
        <v>19415</v>
      </c>
    </row>
    <row r="12580" spans="1:8" ht="25.05" customHeight="1" x14ac:dyDescent="0.25">
      <c r="A12580" s="2" t="s">
        <v>8</v>
      </c>
      <c r="B12580" s="2" t="str">
        <f>HYPERLINK("http://ts.21cn.com/tousu/show/id/1343965","不下款，导致逾期")</f>
        <v>不下款，导致逾期</v>
      </c>
      <c r="C12580" s="2" t="s">
        <v>9</v>
      </c>
      <c r="D12580" s="2" t="s">
        <v>10</v>
      </c>
      <c r="E12580" s="2" t="str">
        <f>HYPERLINK("http://ts.21cn.com/tousu/show/id/1343965","http://ts.21cn.com/tousu/show/id/1343965")</f>
        <v>http://ts.21cn.com/tousu/show/id/1343965</v>
      </c>
      <c r="F12580" s="2" t="s">
        <v>11</v>
      </c>
      <c r="G12580" s="2" t="s">
        <v>19412</v>
      </c>
      <c r="H12580" s="2" t="s">
        <v>19413</v>
      </c>
    </row>
    <row r="12581" spans="1:8" ht="25.05" customHeight="1" x14ac:dyDescent="0.25">
      <c r="A12581" s="2" t="s">
        <v>8</v>
      </c>
      <c r="B12581" s="2" t="str">
        <f>HYPERLINK("http://ts.21cn.com/tousu/show/id/1343967","招商银行频繁骚扰")</f>
        <v>招商银行频繁骚扰</v>
      </c>
      <c r="C12581" s="2" t="s">
        <v>9</v>
      </c>
      <c r="D12581" s="2" t="s">
        <v>10</v>
      </c>
      <c r="E12581" s="2" t="str">
        <f>HYPERLINK("http://ts.21cn.com/tousu/show/id/1343967","http://ts.21cn.com/tousu/show/id/1343967")</f>
        <v>http://ts.21cn.com/tousu/show/id/1343967</v>
      </c>
      <c r="F12581" s="2" t="s">
        <v>11</v>
      </c>
      <c r="G12581" s="2" t="s">
        <v>19410</v>
      </c>
      <c r="H12581" s="2" t="s">
        <v>19411</v>
      </c>
    </row>
    <row r="12582" spans="1:8" ht="25.05" customHeight="1" x14ac:dyDescent="0.25">
      <c r="A12582" s="2" t="s">
        <v>8</v>
      </c>
      <c r="B12582" s="2" t="str">
        <f>HYPERLINK("http://ts.21cn.com/tousu/show/id/1343968","乱扣流量")</f>
        <v>乱扣流量</v>
      </c>
      <c r="C12582" s="2" t="s">
        <v>9</v>
      </c>
      <c r="D12582" s="2" t="s">
        <v>10</v>
      </c>
      <c r="E12582" s="2" t="str">
        <f>HYPERLINK("http://ts.21cn.com/tousu/show/id/1343968","http://ts.21cn.com/tousu/show/id/1343968")</f>
        <v>http://ts.21cn.com/tousu/show/id/1343968</v>
      </c>
      <c r="F12582" s="2" t="s">
        <v>11</v>
      </c>
      <c r="G12582" s="2" t="s">
        <v>19408</v>
      </c>
      <c r="H12582" s="2" t="s">
        <v>19409</v>
      </c>
    </row>
    <row r="12583" spans="1:8" ht="25.05" customHeight="1" x14ac:dyDescent="0.25">
      <c r="A12583" s="2" t="s">
        <v>8</v>
      </c>
      <c r="B12583" s="2" t="str">
        <f>HYPERLINK("http://ts.21cn.com/tousu/show/id/1343970","乘客乱投诉")</f>
        <v>乘客乱投诉</v>
      </c>
      <c r="C12583" s="2" t="s">
        <v>9</v>
      </c>
      <c r="D12583" s="2" t="s">
        <v>10</v>
      </c>
      <c r="E12583" s="2" t="str">
        <f>HYPERLINK("http://ts.21cn.com/tousu/show/id/1343970","http://ts.21cn.com/tousu/show/id/1343970")</f>
        <v>http://ts.21cn.com/tousu/show/id/1343970</v>
      </c>
      <c r="F12583" s="2" t="s">
        <v>11</v>
      </c>
      <c r="G12583" s="2" t="s">
        <v>19406</v>
      </c>
      <c r="H12583" s="2" t="s">
        <v>19407</v>
      </c>
    </row>
    <row r="12584" spans="1:8" ht="25.05" customHeight="1" x14ac:dyDescent="0.25">
      <c r="A12584" s="2" t="s">
        <v>8</v>
      </c>
      <c r="B12584" s="2" t="str">
        <f>HYPERLINK("http://ts.21cn.com/tousu/show/id/1343971","还款日还没到又是电话又是短信，是不是逾期了就直接爆通讯录了")</f>
        <v>还款日还没到又是电话又是短信，是不是逾期了就直接爆通讯录了</v>
      </c>
      <c r="C12584" s="2" t="s">
        <v>9</v>
      </c>
      <c r="D12584" s="2" t="s">
        <v>10</v>
      </c>
      <c r="E12584" s="2" t="str">
        <f>HYPERLINK("http://ts.21cn.com/tousu/show/id/1343971","http://ts.21cn.com/tousu/show/id/1343971")</f>
        <v>http://ts.21cn.com/tousu/show/id/1343971</v>
      </c>
      <c r="F12584" s="2" t="s">
        <v>11</v>
      </c>
      <c r="G12584" s="2" t="s">
        <v>19404</v>
      </c>
      <c r="H12584" s="2" t="s">
        <v>19405</v>
      </c>
    </row>
    <row r="12585" spans="1:8" ht="25.05" customHeight="1" x14ac:dyDescent="0.25">
      <c r="A12585" s="2" t="s">
        <v>8</v>
      </c>
      <c r="B12585" s="2" t="str">
        <f>HYPERLINK("http://ts.21cn.com/tousu/show/id/1343954","支付宝高铁票退票不退钱")</f>
        <v>支付宝高铁票退票不退钱</v>
      </c>
      <c r="C12585" s="2" t="s">
        <v>9</v>
      </c>
      <c r="D12585" s="2" t="s">
        <v>10</v>
      </c>
      <c r="E12585" s="2" t="str">
        <f>HYPERLINK("http://ts.21cn.com/tousu/show/id/1343954","http://ts.21cn.com/tousu/show/id/1343954")</f>
        <v>http://ts.21cn.com/tousu/show/id/1343954</v>
      </c>
      <c r="F12585" s="2" t="s">
        <v>11</v>
      </c>
      <c r="G12585" s="2" t="s">
        <v>19402</v>
      </c>
      <c r="H12585" s="2" t="s">
        <v>19403</v>
      </c>
    </row>
    <row r="12586" spans="1:8" ht="25.05" customHeight="1" x14ac:dyDescent="0.25">
      <c r="A12586" s="2" t="s">
        <v>8</v>
      </c>
      <c r="B12586" s="2" t="str">
        <f>HYPERLINK("http://ts.21cn.com/tousu/show/id/1343972","豆豆钱有砍头保险等多收费用")</f>
        <v>豆豆钱有砍头保险等多收费用</v>
      </c>
      <c r="C12586" s="2" t="s">
        <v>9</v>
      </c>
      <c r="D12586" s="2" t="s">
        <v>10</v>
      </c>
      <c r="E12586" s="2" t="str">
        <f>HYPERLINK("http://ts.21cn.com/tousu/show/id/1343972","http://ts.21cn.com/tousu/show/id/1343972")</f>
        <v>http://ts.21cn.com/tousu/show/id/1343972</v>
      </c>
      <c r="F12586" s="2" t="s">
        <v>11</v>
      </c>
      <c r="G12586" s="2" t="s">
        <v>19400</v>
      </c>
      <c r="H12586" s="2" t="s">
        <v>19401</v>
      </c>
    </row>
    <row r="12587" spans="1:8" ht="25.05" customHeight="1" x14ac:dyDescent="0.25">
      <c r="A12587" s="2" t="s">
        <v>8</v>
      </c>
      <c r="B12587" s="2" t="str">
        <f>HYPERLINK("http://ts.21cn.com/tousu/show/id/1343975","协商闪电借款宽限到20号")</f>
        <v>协商闪电借款宽限到20号</v>
      </c>
      <c r="C12587" s="2" t="s">
        <v>9</v>
      </c>
      <c r="D12587" s="2" t="s">
        <v>10</v>
      </c>
      <c r="E12587" s="2" t="str">
        <f>HYPERLINK("http://ts.21cn.com/tousu/show/id/1343975","http://ts.21cn.com/tousu/show/id/1343975")</f>
        <v>http://ts.21cn.com/tousu/show/id/1343975</v>
      </c>
      <c r="F12587" s="2" t="s">
        <v>11</v>
      </c>
      <c r="G12587" s="2" t="s">
        <v>19398</v>
      </c>
      <c r="H12587" s="2" t="s">
        <v>19399</v>
      </c>
    </row>
    <row r="12588" spans="1:8" ht="25.05" customHeight="1" x14ac:dyDescent="0.25">
      <c r="A12588" s="2" t="s">
        <v>8</v>
      </c>
      <c r="B12588" s="2" t="str">
        <f>HYPERLINK("http://ts.21cn.com/tousu/show/id/1343976","闪银暴力催收爆通讯录，态度恶劣，辱骂。")</f>
        <v>闪银暴力催收爆通讯录，态度恶劣，辱骂。</v>
      </c>
      <c r="C12588" s="2" t="s">
        <v>9</v>
      </c>
      <c r="D12588" s="2" t="s">
        <v>10</v>
      </c>
      <c r="E12588" s="2" t="str">
        <f>HYPERLINK("http://ts.21cn.com/tousu/show/id/1343976","http://ts.21cn.com/tousu/show/id/1343976")</f>
        <v>http://ts.21cn.com/tousu/show/id/1343976</v>
      </c>
      <c r="F12588" s="2" t="s">
        <v>11</v>
      </c>
      <c r="G12588" s="2" t="s">
        <v>19396</v>
      </c>
      <c r="H12588" s="2" t="s">
        <v>19397</v>
      </c>
    </row>
    <row r="12589" spans="1:8" ht="25.05" customHeight="1" x14ac:dyDescent="0.25">
      <c r="A12589" s="2" t="s">
        <v>8</v>
      </c>
      <c r="B12589" s="2" t="str">
        <f>HYPERLINK("http://ts.21cn.com/tousu/show/id/1343946","闪银的闪豆电话骚扰")</f>
        <v>闪银的闪豆电话骚扰</v>
      </c>
      <c r="C12589" s="2" t="s">
        <v>9</v>
      </c>
      <c r="D12589" s="2" t="s">
        <v>10</v>
      </c>
      <c r="E12589" s="2" t="str">
        <f>HYPERLINK("http://ts.21cn.com/tousu/show/id/1343946","http://ts.21cn.com/tousu/show/id/1343946")</f>
        <v>http://ts.21cn.com/tousu/show/id/1343946</v>
      </c>
      <c r="F12589" s="2" t="s">
        <v>11</v>
      </c>
      <c r="G12589" s="2" t="s">
        <v>19394</v>
      </c>
      <c r="H12589" s="2" t="s">
        <v>19395</v>
      </c>
    </row>
    <row r="12590" spans="1:8" ht="25.05" customHeight="1" x14ac:dyDescent="0.25">
      <c r="A12590" s="2" t="s">
        <v>8</v>
      </c>
      <c r="B12590" s="2" t="str">
        <f>HYPERLINK("http://ts.21cn.com/tousu/show/id/1343973","快钱支付给高利贷违规提供支付通道")</f>
        <v>快钱支付给高利贷违规提供支付通道</v>
      </c>
      <c r="C12590" s="2" t="s">
        <v>9</v>
      </c>
      <c r="D12590" s="2" t="s">
        <v>10</v>
      </c>
      <c r="E12590" s="2" t="str">
        <f>HYPERLINK("http://ts.21cn.com/tousu/show/id/1343973","http://ts.21cn.com/tousu/show/id/1343973")</f>
        <v>http://ts.21cn.com/tousu/show/id/1343973</v>
      </c>
      <c r="F12590" s="2" t="s">
        <v>11</v>
      </c>
      <c r="G12590" s="2" t="s">
        <v>19392</v>
      </c>
      <c r="H12590" s="2" t="s">
        <v>19393</v>
      </c>
    </row>
    <row r="12591" spans="1:8" ht="25.05" customHeight="1" x14ac:dyDescent="0.25">
      <c r="A12591" s="2" t="s">
        <v>8</v>
      </c>
      <c r="B12591" s="2" t="str">
        <f>HYPERLINK("http://ts.21cn.com/tousu/show/id/1343978","拼多多付定金违约不发货")</f>
        <v>拼多多付定金违约不发货</v>
      </c>
      <c r="C12591" s="2" t="s">
        <v>9</v>
      </c>
      <c r="D12591" s="2" t="s">
        <v>10</v>
      </c>
      <c r="E12591" s="2" t="str">
        <f>HYPERLINK("http://ts.21cn.com/tousu/show/id/1343978","http://ts.21cn.com/tousu/show/id/1343978")</f>
        <v>http://ts.21cn.com/tousu/show/id/1343978</v>
      </c>
      <c r="F12591" s="2" t="s">
        <v>11</v>
      </c>
      <c r="G12591" s="2" t="s">
        <v>19390</v>
      </c>
      <c r="H12591" s="2" t="s">
        <v>19391</v>
      </c>
    </row>
    <row r="12592" spans="1:8" ht="25.05" customHeight="1" x14ac:dyDescent="0.25">
      <c r="A12592" s="2" t="s">
        <v>8</v>
      </c>
      <c r="B12592" s="2" t="str">
        <f>HYPERLINK("http://ts.21cn.com/tousu/show/id/1343979","高利贷   不合理")</f>
        <v>高利贷   不合理</v>
      </c>
      <c r="C12592" s="2" t="s">
        <v>9</v>
      </c>
      <c r="D12592" s="2" t="s">
        <v>10</v>
      </c>
      <c r="E12592" s="2" t="str">
        <f>HYPERLINK("http://ts.21cn.com/tousu/show/id/1343979","http://ts.21cn.com/tousu/show/id/1343979")</f>
        <v>http://ts.21cn.com/tousu/show/id/1343979</v>
      </c>
      <c r="F12592" s="2" t="s">
        <v>11</v>
      </c>
      <c r="G12592" s="2" t="s">
        <v>19388</v>
      </c>
      <c r="H12592" s="2" t="s">
        <v>19389</v>
      </c>
    </row>
    <row r="12593" spans="1:8" ht="25.05" customHeight="1" x14ac:dyDescent="0.25">
      <c r="A12593" s="2" t="s">
        <v>8</v>
      </c>
      <c r="B12593" s="2" t="str">
        <f>HYPERLINK("http://ts.21cn.com/tousu/show/id/1343984","哆咪黑卡免密扣款")</f>
        <v>哆咪黑卡免密扣款</v>
      </c>
      <c r="C12593" s="2" t="s">
        <v>9</v>
      </c>
      <c r="D12593" s="2" t="s">
        <v>10</v>
      </c>
      <c r="E12593" s="2" t="str">
        <f>HYPERLINK("http://ts.21cn.com/tousu/show/id/1343984","http://ts.21cn.com/tousu/show/id/1343984")</f>
        <v>http://ts.21cn.com/tousu/show/id/1343984</v>
      </c>
      <c r="F12593" s="2" t="s">
        <v>11</v>
      </c>
      <c r="G12593" s="2" t="s">
        <v>19386</v>
      </c>
      <c r="H12593" s="2" t="s">
        <v>19387</v>
      </c>
    </row>
    <row r="12594" spans="1:8" ht="25.05" customHeight="1" x14ac:dyDescent="0.25">
      <c r="A12594" s="2" t="s">
        <v>8</v>
      </c>
      <c r="B12594" s="2" t="str">
        <f>HYPERLINK("http://ts.21cn.com/tousu/show/id/1343980","立借钱置宝高利贷砍头息")</f>
        <v>立借钱置宝高利贷砍头息</v>
      </c>
      <c r="C12594" s="2" t="s">
        <v>9</v>
      </c>
      <c r="D12594" s="2" t="s">
        <v>10</v>
      </c>
      <c r="E12594" s="2" t="str">
        <f>HYPERLINK("http://ts.21cn.com/tousu/show/id/1343980","http://ts.21cn.com/tousu/show/id/1343980")</f>
        <v>http://ts.21cn.com/tousu/show/id/1343980</v>
      </c>
      <c r="F12594" s="2" t="s">
        <v>11</v>
      </c>
      <c r="G12594" s="2" t="s">
        <v>19384</v>
      </c>
      <c r="H12594" s="2" t="s">
        <v>19385</v>
      </c>
    </row>
    <row r="12595" spans="1:8" ht="25.05" customHeight="1" x14ac:dyDescent="0.25">
      <c r="A12595" s="2" t="s">
        <v>8</v>
      </c>
      <c r="B12595" s="2" t="str">
        <f>HYPERLINK("http://ts.21cn.com/tousu/show/id/1343981","乐刷的快POS收取150元费用，不退费")</f>
        <v>乐刷的快POS收取150元费用，不退费</v>
      </c>
      <c r="C12595" s="2" t="s">
        <v>9</v>
      </c>
      <c r="D12595" s="2" t="s">
        <v>10</v>
      </c>
      <c r="E12595" s="2" t="str">
        <f>HYPERLINK("http://ts.21cn.com/tousu/show/id/1343981","http://ts.21cn.com/tousu/show/id/1343981")</f>
        <v>http://ts.21cn.com/tousu/show/id/1343981</v>
      </c>
      <c r="F12595" s="2" t="s">
        <v>11</v>
      </c>
      <c r="G12595" s="2" t="s">
        <v>19382</v>
      </c>
      <c r="H12595" s="2" t="s">
        <v>19383</v>
      </c>
    </row>
    <row r="12596" spans="1:8" ht="25.05" customHeight="1" x14ac:dyDescent="0.25">
      <c r="A12596" s="2" t="s">
        <v>8</v>
      </c>
      <c r="B12596" s="2" t="str">
        <f>HYPERLINK("http://ts.21cn.com/tousu/show/id/1343985","360借条恢复借款")</f>
        <v>360借条恢复借款</v>
      </c>
      <c r="C12596" s="2" t="s">
        <v>34</v>
      </c>
      <c r="D12596" s="2" t="s">
        <v>10</v>
      </c>
      <c r="E12596" s="2" t="str">
        <f>HYPERLINK("http://ts.21cn.com/tousu/show/id/1343985","http://ts.21cn.com/tousu/show/id/1343985")</f>
        <v>http://ts.21cn.com/tousu/show/id/1343985</v>
      </c>
      <c r="F12596" s="2" t="s">
        <v>11</v>
      </c>
      <c r="G12596" s="2" t="s">
        <v>19379</v>
      </c>
      <c r="H12596" s="2" t="s">
        <v>19380</v>
      </c>
    </row>
    <row r="12597" spans="1:8" ht="25.05" customHeight="1" x14ac:dyDescent="0.25">
      <c r="A12597" s="2" t="s">
        <v>8</v>
      </c>
      <c r="B12597" s="2" t="str">
        <f>HYPERLINK("http://ts.21cn.com/tousu/show/id/1343983","闪管家闪掌柜暴力催收威胁恐吓")</f>
        <v>闪管家闪掌柜暴力催收威胁恐吓</v>
      </c>
      <c r="C12597" s="2" t="s">
        <v>9</v>
      </c>
      <c r="D12597" s="2" t="s">
        <v>10</v>
      </c>
      <c r="E12597" s="2" t="str">
        <f>HYPERLINK("http://ts.21cn.com/tousu/show/id/1343983","http://ts.21cn.com/tousu/show/id/1343983")</f>
        <v>http://ts.21cn.com/tousu/show/id/1343983</v>
      </c>
      <c r="F12597" s="2" t="s">
        <v>11</v>
      </c>
      <c r="G12597" s="2" t="s">
        <v>19379</v>
      </c>
      <c r="H12597" s="2" t="s">
        <v>19381</v>
      </c>
    </row>
    <row r="12598" spans="1:8" ht="25.05" customHeight="1" x14ac:dyDescent="0.25">
      <c r="A12598" s="2" t="s">
        <v>8</v>
      </c>
      <c r="B12598" s="2" t="str">
        <f>HYPERLINK("http://ts.21cn.com/tousu/show/id/1343982","蚂蚁花呗恶意骚扰")</f>
        <v>蚂蚁花呗恶意骚扰</v>
      </c>
      <c r="C12598" s="2" t="s">
        <v>9</v>
      </c>
      <c r="D12598" s="2" t="s">
        <v>10</v>
      </c>
      <c r="E12598" s="2" t="str">
        <f>HYPERLINK("http://ts.21cn.com/tousu/show/id/1343982","http://ts.21cn.com/tousu/show/id/1343982")</f>
        <v>http://ts.21cn.com/tousu/show/id/1343982</v>
      </c>
      <c r="F12598" s="2" t="s">
        <v>11</v>
      </c>
      <c r="G12598" s="2" t="s">
        <v>19377</v>
      </c>
      <c r="H12598" s="2" t="s">
        <v>19378</v>
      </c>
    </row>
    <row r="12599" spans="1:8" ht="25.05" customHeight="1" x14ac:dyDescent="0.25">
      <c r="A12599" s="2" t="s">
        <v>8</v>
      </c>
      <c r="B12599" s="2" t="str">
        <f>HYPERLINK("http://ts.21cn.com/tousu/show/id/1343986","闪银奇异变相高利贷，砍头息，客服催收态度恶劣")</f>
        <v>闪银奇异变相高利贷，砍头息，客服催收态度恶劣</v>
      </c>
      <c r="C12599" s="2" t="s">
        <v>9</v>
      </c>
      <c r="D12599" s="2" t="s">
        <v>10</v>
      </c>
      <c r="E12599" s="2" t="str">
        <f>HYPERLINK("http://ts.21cn.com/tousu/show/id/1343986","http://ts.21cn.com/tousu/show/id/1343986")</f>
        <v>http://ts.21cn.com/tousu/show/id/1343986</v>
      </c>
      <c r="F12599" s="2" t="s">
        <v>11</v>
      </c>
      <c r="G12599" s="2" t="s">
        <v>19375</v>
      </c>
      <c r="H12599" s="2" t="s">
        <v>19376</v>
      </c>
    </row>
    <row r="12600" spans="1:8" ht="25.05" customHeight="1" x14ac:dyDescent="0.25">
      <c r="A12600" s="2" t="s">
        <v>8</v>
      </c>
      <c r="B12600" s="2" t="str">
        <f>HYPERLINK("http://ts.21cn.com/tousu/show/id/1343987","闪电借款收费不放款虚假宣传不退款")</f>
        <v>闪电借款收费不放款虚假宣传不退款</v>
      </c>
      <c r="C12600" s="2" t="s">
        <v>9</v>
      </c>
      <c r="D12600" s="2" t="s">
        <v>10</v>
      </c>
      <c r="E12600" s="2" t="str">
        <f>HYPERLINK("http://ts.21cn.com/tousu/show/id/1343987","http://ts.21cn.com/tousu/show/id/1343987")</f>
        <v>http://ts.21cn.com/tousu/show/id/1343987</v>
      </c>
      <c r="F12600" s="2" t="s">
        <v>11</v>
      </c>
      <c r="G12600" s="2" t="s">
        <v>19373</v>
      </c>
      <c r="H12600" s="2" t="s">
        <v>19374</v>
      </c>
    </row>
    <row r="12601" spans="1:8" ht="25.05" customHeight="1" x14ac:dyDescent="0.25">
      <c r="A12601" s="2" t="s">
        <v>8</v>
      </c>
      <c r="B12601" s="2" t="str">
        <f>HYPERLINK("http://ts.21cn.com/tousu/show/id/1343989","掌buy商城（即前闪电贷app）故意拖延还款就给收取逾期费用")</f>
        <v>掌buy商城（即前闪电贷app）故意拖延还款就给收取逾期费用</v>
      </c>
      <c r="C12601" s="2" t="s">
        <v>9</v>
      </c>
      <c r="D12601" s="2" t="s">
        <v>10</v>
      </c>
      <c r="E12601" s="2" t="str">
        <f>HYPERLINK("http://ts.21cn.com/tousu/show/id/1343989","http://ts.21cn.com/tousu/show/id/1343989")</f>
        <v>http://ts.21cn.com/tousu/show/id/1343989</v>
      </c>
      <c r="F12601" s="2" t="s">
        <v>11</v>
      </c>
      <c r="G12601" s="2" t="s">
        <v>19371</v>
      </c>
      <c r="H12601" s="2" t="s">
        <v>19372</v>
      </c>
    </row>
    <row r="12602" spans="1:8" ht="25.05" customHeight="1" x14ac:dyDescent="0.25">
      <c r="A12602" s="2" t="s">
        <v>8</v>
      </c>
      <c r="B12602" s="2" t="str">
        <f>HYPERLINK("http://ts.21cn.com/tousu/show/id/1343990","滴滴默许司机多次恶性修改乘客订单目的地，投诉无果")</f>
        <v>滴滴默许司机多次恶性修改乘客订单目的地，投诉无果</v>
      </c>
      <c r="C12602" s="2" t="s">
        <v>9</v>
      </c>
      <c r="D12602" s="2" t="s">
        <v>10</v>
      </c>
      <c r="E12602" s="2" t="str">
        <f>HYPERLINK("http://ts.21cn.com/tousu/show/id/1343990","http://ts.21cn.com/tousu/show/id/1343990")</f>
        <v>http://ts.21cn.com/tousu/show/id/1343990</v>
      </c>
      <c r="F12602" s="2" t="s">
        <v>11</v>
      </c>
      <c r="G12602" s="2" t="s">
        <v>19369</v>
      </c>
      <c r="H12602" s="2" t="s">
        <v>19370</v>
      </c>
    </row>
    <row r="12603" spans="1:8" ht="25.05" customHeight="1" x14ac:dyDescent="0.25">
      <c r="A12603" s="2" t="s">
        <v>8</v>
      </c>
      <c r="B12603" s="2" t="str">
        <f>HYPERLINK("http://ts.21cn.com/tousu/show/id/1343991","一天20几个电话骚扰电话")</f>
        <v>一天20几个电话骚扰电话</v>
      </c>
      <c r="C12603" s="2" t="s">
        <v>9</v>
      </c>
      <c r="D12603" s="2" t="s">
        <v>10</v>
      </c>
      <c r="E12603" s="2" t="str">
        <f>HYPERLINK("http://ts.21cn.com/tousu/show/id/1343991","http://ts.21cn.com/tousu/show/id/1343991")</f>
        <v>http://ts.21cn.com/tousu/show/id/1343991</v>
      </c>
      <c r="F12603" s="2" t="s">
        <v>11</v>
      </c>
      <c r="G12603" s="2" t="s">
        <v>19367</v>
      </c>
      <c r="H12603" s="2" t="s">
        <v>19368</v>
      </c>
    </row>
    <row r="12604" spans="1:8" ht="25.05" customHeight="1" x14ac:dyDescent="0.25">
      <c r="A12604" s="2" t="s">
        <v>8</v>
      </c>
      <c r="B12604" s="2" t="str">
        <f>HYPERLINK("http://ts.21cn.com/tousu/show/id/1343992","莫名扣费请求退款")</f>
        <v>莫名扣费请求退款</v>
      </c>
      <c r="C12604" s="2" t="s">
        <v>9</v>
      </c>
      <c r="D12604" s="2" t="s">
        <v>10</v>
      </c>
      <c r="E12604" s="2" t="str">
        <f>HYPERLINK("http://ts.21cn.com/tousu/show/id/1343992","http://ts.21cn.com/tousu/show/id/1343992")</f>
        <v>http://ts.21cn.com/tousu/show/id/1343992</v>
      </c>
      <c r="F12604" s="2" t="s">
        <v>11</v>
      </c>
      <c r="G12604" s="2" t="s">
        <v>19365</v>
      </c>
      <c r="H12604" s="2" t="s">
        <v>19366</v>
      </c>
    </row>
    <row r="12605" spans="1:8" ht="25.05" customHeight="1" x14ac:dyDescent="0.25">
      <c r="A12605" s="2" t="s">
        <v>8</v>
      </c>
      <c r="B12605" s="2" t="str">
        <f>HYPERLINK("http://ts.21cn.com/tousu/show/id/1343993","购买商品未收到货客服不介入")</f>
        <v>购买商品未收到货客服不介入</v>
      </c>
      <c r="C12605" s="2" t="s">
        <v>9</v>
      </c>
      <c r="D12605" s="2" t="s">
        <v>10</v>
      </c>
      <c r="E12605" s="2" t="str">
        <f>HYPERLINK("http://ts.21cn.com/tousu/show/id/1343993","http://ts.21cn.com/tousu/show/id/1343993")</f>
        <v>http://ts.21cn.com/tousu/show/id/1343993</v>
      </c>
      <c r="F12605" s="2" t="s">
        <v>11</v>
      </c>
      <c r="G12605" s="2" t="s">
        <v>19363</v>
      </c>
      <c r="H12605" s="2" t="s">
        <v>19364</v>
      </c>
    </row>
    <row r="12606" spans="1:8" ht="25.05" customHeight="1" x14ac:dyDescent="0.25">
      <c r="A12606" s="2" t="s">
        <v>8</v>
      </c>
      <c r="B12606" s="2" t="str">
        <f>HYPERLINK("http://ts.21cn.com/tousu/show/id/1343994","贵州龙洞堡机场被忽悠办理金色麦田商务vip卡")</f>
        <v>贵州龙洞堡机场被忽悠办理金色麦田商务vip卡</v>
      </c>
      <c r="C12606" s="2" t="s">
        <v>9</v>
      </c>
      <c r="D12606" s="2" t="s">
        <v>10</v>
      </c>
      <c r="E12606" s="2" t="str">
        <f>HYPERLINK("http://ts.21cn.com/tousu/show/id/1343994","http://ts.21cn.com/tousu/show/id/1343994")</f>
        <v>http://ts.21cn.com/tousu/show/id/1343994</v>
      </c>
      <c r="F12606" s="2" t="s">
        <v>11</v>
      </c>
      <c r="G12606" s="2" t="s">
        <v>19361</v>
      </c>
      <c r="H12606" s="2" t="s">
        <v>19362</v>
      </c>
    </row>
    <row r="12607" spans="1:8" ht="25.05" customHeight="1" x14ac:dyDescent="0.25">
      <c r="A12607" s="2" t="s">
        <v>8</v>
      </c>
      <c r="B12607" s="2" t="str">
        <f>HYPERLINK("http://ts.21cn.com/tousu/show/id/1343995","京东申请退款没有到账")</f>
        <v>京东申请退款没有到账</v>
      </c>
      <c r="C12607" s="2" t="s">
        <v>9</v>
      </c>
      <c r="D12607" s="2" t="s">
        <v>10</v>
      </c>
      <c r="E12607" s="2" t="str">
        <f>HYPERLINK("http://ts.21cn.com/tousu/show/id/1343995","http://ts.21cn.com/tousu/show/id/1343995")</f>
        <v>http://ts.21cn.com/tousu/show/id/1343995</v>
      </c>
      <c r="F12607" s="2" t="s">
        <v>11</v>
      </c>
      <c r="G12607" s="2" t="s">
        <v>19359</v>
      </c>
      <c r="H12607" s="2" t="s">
        <v>19360</v>
      </c>
    </row>
    <row r="12608" spans="1:8" ht="25.05" customHeight="1" x14ac:dyDescent="0.25">
      <c r="A12608" s="2" t="s">
        <v>8</v>
      </c>
      <c r="B12608" s="2" t="str">
        <f>HYPERLINK("http://ts.21cn.com/tousu/show/id/1343997","小象优品爆通讯录骚扰")</f>
        <v>小象优品爆通讯录骚扰</v>
      </c>
      <c r="C12608" s="2" t="s">
        <v>9</v>
      </c>
      <c r="D12608" s="2" t="s">
        <v>10</v>
      </c>
      <c r="E12608" s="2" t="str">
        <f>HYPERLINK("http://ts.21cn.com/tousu/show/id/1343997","http://ts.21cn.com/tousu/show/id/1343997")</f>
        <v>http://ts.21cn.com/tousu/show/id/1343997</v>
      </c>
      <c r="F12608" s="2" t="s">
        <v>11</v>
      </c>
      <c r="G12608" s="2" t="s">
        <v>19357</v>
      </c>
      <c r="H12608" s="2" t="s">
        <v>19358</v>
      </c>
    </row>
    <row r="12609" spans="1:8" ht="25.05" customHeight="1" x14ac:dyDescent="0.25">
      <c r="A12609" s="2" t="s">
        <v>8</v>
      </c>
      <c r="B12609" s="2" t="str">
        <f>HYPERLINK("http://ts.21cn.com/tousu/show/id/1343998","闪银高利贷请求减免")</f>
        <v>闪银高利贷请求减免</v>
      </c>
      <c r="C12609" s="2" t="s">
        <v>9</v>
      </c>
      <c r="D12609" s="2" t="s">
        <v>10</v>
      </c>
      <c r="E12609" s="2" t="str">
        <f>HYPERLINK("http://ts.21cn.com/tousu/show/id/1343998","http://ts.21cn.com/tousu/show/id/1343998")</f>
        <v>http://ts.21cn.com/tousu/show/id/1343998</v>
      </c>
      <c r="F12609" s="2" t="s">
        <v>11</v>
      </c>
      <c r="G12609" s="2" t="s">
        <v>19355</v>
      </c>
      <c r="H12609" s="2" t="s">
        <v>19356</v>
      </c>
    </row>
    <row r="12610" spans="1:8" ht="25.05" customHeight="1" x14ac:dyDescent="0.25">
      <c r="A12610" s="2" t="s">
        <v>8</v>
      </c>
      <c r="B12610" s="2" t="str">
        <f>HYPERLINK("http://ts.21cn.com/tousu/show/id/1343999","小浦优客app未提示扣取报告费要求退回")</f>
        <v>小浦优客app未提示扣取报告费要求退回</v>
      </c>
      <c r="C12610" s="2" t="s">
        <v>9</v>
      </c>
      <c r="D12610" s="2" t="s">
        <v>10</v>
      </c>
      <c r="E12610" s="2" t="str">
        <f>HYPERLINK("http://ts.21cn.com/tousu/show/id/1343999","http://ts.21cn.com/tousu/show/id/1343999")</f>
        <v>http://ts.21cn.com/tousu/show/id/1343999</v>
      </c>
      <c r="F12610" s="2" t="s">
        <v>11</v>
      </c>
      <c r="G12610" s="2" t="s">
        <v>19353</v>
      </c>
      <c r="H12610" s="2" t="s">
        <v>19354</v>
      </c>
    </row>
    <row r="12611" spans="1:8" ht="25.05" customHeight="1" x14ac:dyDescent="0.25">
      <c r="A12611" s="2" t="s">
        <v>8</v>
      </c>
      <c r="B12611" s="2" t="str">
        <f>HYPERLINK("http://ts.21cn.com/tousu/show/id/1344000","小象优品恐吓威胁")</f>
        <v>小象优品恐吓威胁</v>
      </c>
      <c r="C12611" s="2" t="s">
        <v>9</v>
      </c>
      <c r="D12611" s="2" t="s">
        <v>10</v>
      </c>
      <c r="E12611" s="2" t="str">
        <f>HYPERLINK("http://ts.21cn.com/tousu/show/id/1344000","http://ts.21cn.com/tousu/show/id/1344000")</f>
        <v>http://ts.21cn.com/tousu/show/id/1344000</v>
      </c>
      <c r="F12611" s="2" t="s">
        <v>11</v>
      </c>
      <c r="G12611" s="2" t="s">
        <v>19351</v>
      </c>
      <c r="H12611" s="2" t="s">
        <v>19352</v>
      </c>
    </row>
    <row r="12612" spans="1:8" ht="25.05" customHeight="1" x14ac:dyDescent="0.25">
      <c r="A12612" s="2" t="s">
        <v>8</v>
      </c>
      <c r="B12612" s="2" t="str">
        <f>HYPERLINK("http://ts.21cn.com/tousu/show/id/1344003","博威物业擅自处理业主私人物品且态度恶劣")</f>
        <v>博威物业擅自处理业主私人物品且态度恶劣</v>
      </c>
      <c r="C12612" s="2" t="s">
        <v>9</v>
      </c>
      <c r="D12612" s="2" t="s">
        <v>10</v>
      </c>
      <c r="E12612" s="2" t="str">
        <f>HYPERLINK("http://ts.21cn.com/tousu/show/id/1344003","http://ts.21cn.com/tousu/show/id/1344003")</f>
        <v>http://ts.21cn.com/tousu/show/id/1344003</v>
      </c>
      <c r="F12612" s="2" t="s">
        <v>11</v>
      </c>
      <c r="G12612" s="2" t="s">
        <v>19349</v>
      </c>
      <c r="H12612" s="2" t="s">
        <v>19350</v>
      </c>
    </row>
    <row r="12613" spans="1:8" ht="25.05" customHeight="1" x14ac:dyDescent="0.25">
      <c r="A12613" s="2" t="s">
        <v>8</v>
      </c>
      <c r="B12613" s="2" t="str">
        <f>HYPERLINK("http://ts.21cn.com/tousu/show/id/1344002","玖富万卡提前结清要求减免剩余不当利息实行本金还款")</f>
        <v>玖富万卡提前结清要求减免剩余不当利息实行本金还款</v>
      </c>
      <c r="C12613" s="2" t="s">
        <v>34</v>
      </c>
      <c r="D12613" s="2" t="s">
        <v>10</v>
      </c>
      <c r="E12613" s="2" t="str">
        <f>HYPERLINK("http://ts.21cn.com/tousu/show/id/1344002","http://ts.21cn.com/tousu/show/id/1344002")</f>
        <v>http://ts.21cn.com/tousu/show/id/1344002</v>
      </c>
      <c r="F12613" s="2" t="s">
        <v>11</v>
      </c>
      <c r="G12613" s="2" t="s">
        <v>19347</v>
      </c>
      <c r="H12613" s="2" t="s">
        <v>19348</v>
      </c>
    </row>
    <row r="12614" spans="1:8" ht="25.05" customHeight="1" x14ac:dyDescent="0.25">
      <c r="A12614" s="2" t="s">
        <v>8</v>
      </c>
      <c r="B12614" s="2" t="str">
        <f>HYPERLINK("http://ts.21cn.com/tousu/show/id/1344001","乘坐香港永东巴士的车在半路把乘客丢下")</f>
        <v>乘坐香港永东巴士的车在半路把乘客丢下</v>
      </c>
      <c r="C12614" s="2" t="s">
        <v>9</v>
      </c>
      <c r="D12614" s="2" t="s">
        <v>10</v>
      </c>
      <c r="E12614" s="2" t="str">
        <f>HYPERLINK("http://ts.21cn.com/tousu/show/id/1344001","http://ts.21cn.com/tousu/show/id/1344001")</f>
        <v>http://ts.21cn.com/tousu/show/id/1344001</v>
      </c>
      <c r="F12614" s="2" t="s">
        <v>11</v>
      </c>
      <c r="G12614" s="2" t="s">
        <v>19345</v>
      </c>
      <c r="H12614" s="2" t="s">
        <v>19346</v>
      </c>
    </row>
    <row r="12615" spans="1:8" ht="25.05" customHeight="1" x14ac:dyDescent="0.25">
      <c r="A12615" s="2" t="s">
        <v>8</v>
      </c>
      <c r="B12615" s="2" t="str">
        <f>HYPERLINK("http://ts.21cn.com/tousu/show/id/1344004","平台卖号买家恶意仲裁")</f>
        <v>平台卖号买家恶意仲裁</v>
      </c>
      <c r="C12615" s="2" t="s">
        <v>34</v>
      </c>
      <c r="D12615" s="2" t="s">
        <v>10</v>
      </c>
      <c r="E12615" s="2" t="str">
        <f>HYPERLINK("http://ts.21cn.com/tousu/show/id/1344004","http://ts.21cn.com/tousu/show/id/1344004")</f>
        <v>http://ts.21cn.com/tousu/show/id/1344004</v>
      </c>
      <c r="F12615" s="2" t="s">
        <v>11</v>
      </c>
      <c r="G12615" s="2" t="s">
        <v>19343</v>
      </c>
      <c r="H12615" s="2" t="s">
        <v>19344</v>
      </c>
    </row>
    <row r="12616" spans="1:8" ht="25.05" customHeight="1" x14ac:dyDescent="0.25">
      <c r="A12616" s="2" t="s">
        <v>8</v>
      </c>
      <c r="B12616" s="2" t="str">
        <f>HYPERLINK("http://ts.21cn.com/tousu/show/id/1344005","祈福南湾半岛楼巴")</f>
        <v>祈福南湾半岛楼巴</v>
      </c>
      <c r="C12616" s="2" t="s">
        <v>9</v>
      </c>
      <c r="D12616" s="2" t="s">
        <v>10</v>
      </c>
      <c r="E12616" s="2" t="str">
        <f>HYPERLINK("http://ts.21cn.com/tousu/show/id/1344005","http://ts.21cn.com/tousu/show/id/1344005")</f>
        <v>http://ts.21cn.com/tousu/show/id/1344005</v>
      </c>
      <c r="F12616" s="2" t="s">
        <v>11</v>
      </c>
      <c r="G12616" s="2" t="s">
        <v>19341</v>
      </c>
      <c r="H12616" s="2" t="s">
        <v>19342</v>
      </c>
    </row>
    <row r="12617" spans="1:8" ht="25.05" customHeight="1" x14ac:dyDescent="0.25">
      <c r="A12617" s="2" t="s">
        <v>8</v>
      </c>
      <c r="B12617" s="2" t="str">
        <f>HYPERLINK("http://ts.21cn.com/tousu/show/id/1344008","投诉自由魔卡，超级马力贷，零压贷，收取砍头息500买会员，属于高利贷！")</f>
        <v>投诉自由魔卡，超级马力贷，零压贷，收取砍头息500买会员，属于高利贷！</v>
      </c>
      <c r="C12617" s="2" t="s">
        <v>9</v>
      </c>
      <c r="D12617" s="2" t="s">
        <v>10</v>
      </c>
      <c r="E12617" s="2" t="str">
        <f>HYPERLINK("http://ts.21cn.com/tousu/show/id/1344008","http://ts.21cn.com/tousu/show/id/1344008")</f>
        <v>http://ts.21cn.com/tousu/show/id/1344008</v>
      </c>
      <c r="F12617" s="2" t="s">
        <v>11</v>
      </c>
      <c r="G12617" s="2" t="s">
        <v>19339</v>
      </c>
      <c r="H12617" s="2" t="s">
        <v>19340</v>
      </c>
    </row>
    <row r="12618" spans="1:8" ht="25.05" customHeight="1" x14ac:dyDescent="0.25">
      <c r="A12618" s="2" t="s">
        <v>8</v>
      </c>
      <c r="B12618" s="2" t="str">
        <f>HYPERLINK("http://ts.21cn.com/tousu/show/id/1344010","恶意催款")</f>
        <v>恶意催款</v>
      </c>
      <c r="C12618" s="2" t="s">
        <v>9</v>
      </c>
      <c r="D12618" s="2" t="s">
        <v>10</v>
      </c>
      <c r="E12618" s="2" t="str">
        <f>HYPERLINK("http://ts.21cn.com/tousu/show/id/1344010","http://ts.21cn.com/tousu/show/id/1344010")</f>
        <v>http://ts.21cn.com/tousu/show/id/1344010</v>
      </c>
      <c r="F12618" s="2" t="s">
        <v>11</v>
      </c>
      <c r="G12618" s="2" t="s">
        <v>19337</v>
      </c>
      <c r="H12618" s="2" t="s">
        <v>19338</v>
      </c>
    </row>
    <row r="12619" spans="1:8" ht="25.05" customHeight="1" x14ac:dyDescent="0.25">
      <c r="A12619" s="2" t="s">
        <v>8</v>
      </c>
      <c r="B12619" s="2" t="str">
        <f>HYPERLINK("http://ts.21cn.com/tousu/show/id/1344009","恶意扣款")</f>
        <v>恶意扣款</v>
      </c>
      <c r="C12619" s="2" t="s">
        <v>9</v>
      </c>
      <c r="D12619" s="2" t="s">
        <v>10</v>
      </c>
      <c r="E12619" s="2" t="str">
        <f>HYPERLINK("http://ts.21cn.com/tousu/show/id/1344009","http://ts.21cn.com/tousu/show/id/1344009")</f>
        <v>http://ts.21cn.com/tousu/show/id/1344009</v>
      </c>
      <c r="F12619" s="2" t="s">
        <v>11</v>
      </c>
      <c r="G12619" s="2" t="s">
        <v>19335</v>
      </c>
      <c r="H12619" s="2" t="s">
        <v>19336</v>
      </c>
    </row>
    <row r="12620" spans="1:8" ht="25.05" customHeight="1" x14ac:dyDescent="0.25">
      <c r="A12620" s="2" t="s">
        <v>8</v>
      </c>
      <c r="B12620" s="2" t="str">
        <f>HYPERLINK("http://ts.21cn.com/tousu/show/id/1344011","平安普惠保单贷款问题")</f>
        <v>平安普惠保单贷款问题</v>
      </c>
      <c r="C12620" s="2" t="s">
        <v>9</v>
      </c>
      <c r="D12620" s="2" t="s">
        <v>10</v>
      </c>
      <c r="E12620" s="2" t="str">
        <f>HYPERLINK("http://ts.21cn.com/tousu/show/id/1344011","http://ts.21cn.com/tousu/show/id/1344011")</f>
        <v>http://ts.21cn.com/tousu/show/id/1344011</v>
      </c>
      <c r="F12620" s="2" t="s">
        <v>11</v>
      </c>
      <c r="G12620" s="2" t="s">
        <v>19333</v>
      </c>
      <c r="H12620" s="2" t="s">
        <v>19334</v>
      </c>
    </row>
    <row r="12621" spans="1:8" ht="25.05" customHeight="1" x14ac:dyDescent="0.25">
      <c r="A12621" s="2" t="s">
        <v>8</v>
      </c>
      <c r="B12621" s="2" t="str">
        <f>HYPERLINK("http://ts.21cn.com/tousu/show/id/1344012","立借，高利贷，收取违规费用，电话骚扰")</f>
        <v>立借，高利贷，收取违规费用，电话骚扰</v>
      </c>
      <c r="C12621" s="2" t="s">
        <v>9</v>
      </c>
      <c r="D12621" s="2" t="s">
        <v>10</v>
      </c>
      <c r="E12621" s="2" t="str">
        <f>HYPERLINK("http://ts.21cn.com/tousu/show/id/1344012","http://ts.21cn.com/tousu/show/id/1344012")</f>
        <v>http://ts.21cn.com/tousu/show/id/1344012</v>
      </c>
      <c r="F12621" s="2" t="s">
        <v>11</v>
      </c>
      <c r="G12621" s="2" t="s">
        <v>19331</v>
      </c>
      <c r="H12621" s="2" t="s">
        <v>19332</v>
      </c>
    </row>
    <row r="12622" spans="1:8" ht="25.05" customHeight="1" x14ac:dyDescent="0.25">
      <c r="A12622" s="2" t="s">
        <v>8</v>
      </c>
      <c r="B12622" s="2" t="str">
        <f>HYPERLINK("http://ts.21cn.com/tousu/show/id/1344013","首汽啃司机的停车费")</f>
        <v>首汽啃司机的停车费</v>
      </c>
      <c r="C12622" s="2" t="s">
        <v>9</v>
      </c>
      <c r="D12622" s="2" t="s">
        <v>10</v>
      </c>
      <c r="E12622" s="2" t="str">
        <f>HYPERLINK("http://ts.21cn.com/tousu/show/id/1344013","http://ts.21cn.com/tousu/show/id/1344013")</f>
        <v>http://ts.21cn.com/tousu/show/id/1344013</v>
      </c>
      <c r="F12622" s="2" t="s">
        <v>11</v>
      </c>
      <c r="G12622" s="2" t="s">
        <v>19329</v>
      </c>
      <c r="H12622" s="2" t="s">
        <v>19330</v>
      </c>
    </row>
    <row r="12623" spans="1:8" ht="25.05" customHeight="1" x14ac:dyDescent="0.25">
      <c r="A12623" s="2" t="s">
        <v>8</v>
      </c>
      <c r="B12623" s="2" t="str">
        <f>HYPERLINK("http://ts.21cn.com/tousu/show/id/1344014","贷上钱催收暴力，骚扰无关家人，还拿孩子威胁我家人，")</f>
        <v>贷上钱催收暴力，骚扰无关家人，还拿孩子威胁我家人，</v>
      </c>
      <c r="C12623" s="2" t="s">
        <v>9</v>
      </c>
      <c r="D12623" s="2" t="s">
        <v>10</v>
      </c>
      <c r="E12623" s="2" t="str">
        <f>HYPERLINK("http://ts.21cn.com/tousu/show/id/1344014","http://ts.21cn.com/tousu/show/id/1344014")</f>
        <v>http://ts.21cn.com/tousu/show/id/1344014</v>
      </c>
      <c r="F12623" s="2" t="s">
        <v>11</v>
      </c>
      <c r="G12623" s="2" t="s">
        <v>19327</v>
      </c>
      <c r="H12623" s="2" t="s">
        <v>19328</v>
      </c>
    </row>
    <row r="12624" spans="1:8" ht="25.05" customHeight="1" x14ac:dyDescent="0.25">
      <c r="A12624" s="2" t="s">
        <v>8</v>
      </c>
      <c r="B12624" s="2" t="str">
        <f>HYPERLINK("http://ts.21cn.com/tousu/show/id/1344015","闪银黑心贷")</f>
        <v>闪银黑心贷</v>
      </c>
      <c r="C12624" s="2" t="s">
        <v>9</v>
      </c>
      <c r="D12624" s="2" t="s">
        <v>10</v>
      </c>
      <c r="E12624" s="2" t="str">
        <f>HYPERLINK("http://ts.21cn.com/tousu/show/id/1344015","http://ts.21cn.com/tousu/show/id/1344015")</f>
        <v>http://ts.21cn.com/tousu/show/id/1344015</v>
      </c>
      <c r="F12624" s="2" t="s">
        <v>11</v>
      </c>
      <c r="G12624" s="2" t="s">
        <v>19325</v>
      </c>
      <c r="H12624" s="2" t="s">
        <v>19326</v>
      </c>
    </row>
    <row r="12625" spans="1:8" ht="25.05" customHeight="1" x14ac:dyDescent="0.25">
      <c r="A12625" s="2" t="s">
        <v>8</v>
      </c>
      <c r="B12625" s="2" t="str">
        <f>HYPERLINK("http://ts.21cn.com/tousu/show/id/1344016","嗨钱网还款了不入账一直显示逾期")</f>
        <v>嗨钱网还款了不入账一直显示逾期</v>
      </c>
      <c r="C12625" s="2" t="s">
        <v>9</v>
      </c>
      <c r="D12625" s="2" t="s">
        <v>10</v>
      </c>
      <c r="E12625" s="2" t="str">
        <f>HYPERLINK("http://ts.21cn.com/tousu/show/id/1344016","http://ts.21cn.com/tousu/show/id/1344016")</f>
        <v>http://ts.21cn.com/tousu/show/id/1344016</v>
      </c>
      <c r="F12625" s="2" t="s">
        <v>11</v>
      </c>
      <c r="G12625" s="2" t="s">
        <v>19323</v>
      </c>
      <c r="H12625" s="2" t="s">
        <v>19324</v>
      </c>
    </row>
    <row r="12626" spans="1:8" ht="25.05" customHeight="1" x14ac:dyDescent="0.25">
      <c r="A12626" s="2" t="s">
        <v>8</v>
      </c>
      <c r="B12626" s="2" t="str">
        <f>HYPERLINK("http://ts.21cn.com/tousu/show/id/1344018","高利贷砍头息")</f>
        <v>高利贷砍头息</v>
      </c>
      <c r="C12626" s="2" t="s">
        <v>9</v>
      </c>
      <c r="D12626" s="2" t="s">
        <v>10</v>
      </c>
      <c r="E12626" s="2" t="str">
        <f>HYPERLINK("http://ts.21cn.com/tousu/show/id/1344018","http://ts.21cn.com/tousu/show/id/1344018")</f>
        <v>http://ts.21cn.com/tousu/show/id/1344018</v>
      </c>
      <c r="F12626" s="2" t="s">
        <v>11</v>
      </c>
      <c r="G12626" s="2" t="s">
        <v>19321</v>
      </c>
      <c r="H12626" s="2" t="s">
        <v>19322</v>
      </c>
    </row>
    <row r="12627" spans="1:8" ht="25.05" customHeight="1" x14ac:dyDescent="0.25">
      <c r="A12627" s="2" t="s">
        <v>8</v>
      </c>
      <c r="B12627" s="2" t="str">
        <f>HYPERLINK("http://ts.21cn.com/tousu/show/id/1344020","因为抖音APP的广告误导以为是按天计算的利息。")</f>
        <v>因为抖音APP的广告误导以为是按天计算的利息。</v>
      </c>
      <c r="C12627" s="2" t="s">
        <v>9</v>
      </c>
      <c r="D12627" s="2" t="s">
        <v>10</v>
      </c>
      <c r="E12627" s="2" t="str">
        <f>HYPERLINK("http://ts.21cn.com/tousu/show/id/1344020","http://ts.21cn.com/tousu/show/id/1344020")</f>
        <v>http://ts.21cn.com/tousu/show/id/1344020</v>
      </c>
      <c r="F12627" s="2" t="s">
        <v>11</v>
      </c>
      <c r="G12627" s="2" t="s">
        <v>19319</v>
      </c>
      <c r="H12627" s="2" t="s">
        <v>19320</v>
      </c>
    </row>
    <row r="12628" spans="1:8" ht="25.05" customHeight="1" x14ac:dyDescent="0.25">
      <c r="A12628" s="2" t="s">
        <v>8</v>
      </c>
      <c r="B12628" s="2" t="str">
        <f>HYPERLINK("http://ts.21cn.com/tousu/show/id/1344021","特约百度服务")</f>
        <v>特约百度服务</v>
      </c>
      <c r="C12628" s="2" t="s">
        <v>34</v>
      </c>
      <c r="D12628" s="2" t="s">
        <v>10</v>
      </c>
      <c r="E12628" s="2" t="str">
        <f>HYPERLINK("http://ts.21cn.com/tousu/show/id/1344021","http://ts.21cn.com/tousu/show/id/1344021")</f>
        <v>http://ts.21cn.com/tousu/show/id/1344021</v>
      </c>
      <c r="F12628" s="2" t="s">
        <v>11</v>
      </c>
      <c r="G12628" s="2" t="s">
        <v>19317</v>
      </c>
      <c r="H12628" s="2" t="s">
        <v>19318</v>
      </c>
    </row>
    <row r="12629" spans="1:8" ht="25.05" customHeight="1" x14ac:dyDescent="0.25">
      <c r="A12629" s="2" t="s">
        <v>8</v>
      </c>
      <c r="B12629" s="2" t="str">
        <f>HYPERLINK("http://ts.21cn.com/tousu/show/id/1344022","爱又米涉嫌虚假广告")</f>
        <v>爱又米涉嫌虚假广告</v>
      </c>
      <c r="C12629" s="2" t="s">
        <v>9</v>
      </c>
      <c r="D12629" s="2" t="s">
        <v>10</v>
      </c>
      <c r="E12629" s="2" t="str">
        <f>HYPERLINK("http://ts.21cn.com/tousu/show/id/1344022","http://ts.21cn.com/tousu/show/id/1344022")</f>
        <v>http://ts.21cn.com/tousu/show/id/1344022</v>
      </c>
      <c r="F12629" s="2" t="s">
        <v>11</v>
      </c>
      <c r="G12629" s="2" t="s">
        <v>19315</v>
      </c>
      <c r="H12629" s="2" t="s">
        <v>19316</v>
      </c>
    </row>
    <row r="12630" spans="1:8" ht="25.05" customHeight="1" x14ac:dyDescent="0.25">
      <c r="A12630" s="2" t="s">
        <v>8</v>
      </c>
      <c r="B12630" s="2" t="str">
        <f>HYPERLINK("http://ts.21cn.com/tousu/show/id/1344024","小浦优客乱扣费")</f>
        <v>小浦优客乱扣费</v>
      </c>
      <c r="C12630" s="2" t="s">
        <v>9</v>
      </c>
      <c r="D12630" s="2" t="s">
        <v>10</v>
      </c>
      <c r="E12630" s="2" t="str">
        <f>HYPERLINK("http://ts.21cn.com/tousu/show/id/1344024","http://ts.21cn.com/tousu/show/id/1344024")</f>
        <v>http://ts.21cn.com/tousu/show/id/1344024</v>
      </c>
      <c r="F12630" s="2" t="s">
        <v>11</v>
      </c>
      <c r="G12630" s="2" t="s">
        <v>19313</v>
      </c>
      <c r="H12630" s="2" t="s">
        <v>19314</v>
      </c>
    </row>
    <row r="12631" spans="1:8" ht="25.05" customHeight="1" x14ac:dyDescent="0.25">
      <c r="A12631" s="2" t="s">
        <v>8</v>
      </c>
      <c r="B12631" s="2" t="str">
        <f>HYPERLINK("http://ts.21cn.com/tousu/show/id/1343937","百世快递没经过我同意私自收回我的10000单号")</f>
        <v>百世快递没经过我同意私自收回我的10000单号</v>
      </c>
      <c r="C12631" s="2" t="s">
        <v>9</v>
      </c>
      <c r="D12631" s="2" t="s">
        <v>10</v>
      </c>
      <c r="E12631" s="2" t="str">
        <f>HYPERLINK("http://ts.21cn.com/tousu/show/id/1343937","http://ts.21cn.com/tousu/show/id/1343937")</f>
        <v>http://ts.21cn.com/tousu/show/id/1343937</v>
      </c>
      <c r="F12631" s="2" t="s">
        <v>11</v>
      </c>
      <c r="G12631" s="2" t="s">
        <v>19311</v>
      </c>
      <c r="H12631" s="2" t="s">
        <v>19312</v>
      </c>
    </row>
    <row r="12632" spans="1:8" ht="25.05" customHeight="1" x14ac:dyDescent="0.25">
      <c r="A12632" s="2" t="s">
        <v>8</v>
      </c>
      <c r="B12632" s="2" t="str">
        <f>HYPERLINK("http://ts.21cn.com/tousu/show/id/1344025","小贷鱼违法砍头息，到账金额不符")</f>
        <v>小贷鱼违法砍头息，到账金额不符</v>
      </c>
      <c r="C12632" s="2" t="s">
        <v>9</v>
      </c>
      <c r="D12632" s="2" t="s">
        <v>10</v>
      </c>
      <c r="E12632" s="2" t="str">
        <f>HYPERLINK("http://ts.21cn.com/tousu/show/id/1344025","http://ts.21cn.com/tousu/show/id/1344025")</f>
        <v>http://ts.21cn.com/tousu/show/id/1344025</v>
      </c>
      <c r="F12632" s="2" t="s">
        <v>11</v>
      </c>
      <c r="G12632" s="2" t="s">
        <v>19309</v>
      </c>
      <c r="H12632" s="2" t="s">
        <v>19310</v>
      </c>
    </row>
    <row r="12633" spans="1:8" ht="25.05" customHeight="1" x14ac:dyDescent="0.25">
      <c r="A12633" s="2" t="s">
        <v>8</v>
      </c>
      <c r="B12633" s="2" t="str">
        <f>HYPERLINK("http://ts.21cn.com/tousu/show/id/1344028","网贷高利贷")</f>
        <v>网贷高利贷</v>
      </c>
      <c r="C12633" s="2" t="s">
        <v>9</v>
      </c>
      <c r="D12633" s="2" t="s">
        <v>10</v>
      </c>
      <c r="E12633" s="2" t="str">
        <f>HYPERLINK("http://ts.21cn.com/tousu/show/id/1344028","http://ts.21cn.com/tousu/show/id/1344028")</f>
        <v>http://ts.21cn.com/tousu/show/id/1344028</v>
      </c>
      <c r="F12633" s="2" t="s">
        <v>11</v>
      </c>
      <c r="G12633" s="2" t="s">
        <v>19307</v>
      </c>
      <c r="H12633" s="2" t="s">
        <v>19308</v>
      </c>
    </row>
    <row r="12634" spans="1:8" ht="25.05" customHeight="1" x14ac:dyDescent="0.25">
      <c r="A12634" s="2" t="s">
        <v>8</v>
      </c>
      <c r="B12634" s="2" t="str">
        <f>HYPERLINK("http://ts.21cn.com/tousu/show/id/1344027","要求分期乐给个最低还款")</f>
        <v>要求分期乐给个最低还款</v>
      </c>
      <c r="C12634" s="2" t="s">
        <v>34</v>
      </c>
      <c r="D12634" s="2" t="s">
        <v>10</v>
      </c>
      <c r="E12634" s="2" t="str">
        <f>HYPERLINK("http://ts.21cn.com/tousu/show/id/1344027","http://ts.21cn.com/tousu/show/id/1344027")</f>
        <v>http://ts.21cn.com/tousu/show/id/1344027</v>
      </c>
      <c r="F12634" s="2" t="s">
        <v>11</v>
      </c>
      <c r="G12634" s="2" t="s">
        <v>19305</v>
      </c>
      <c r="H12634" s="2" t="s">
        <v>19306</v>
      </c>
    </row>
    <row r="12635" spans="1:8" ht="25.05" customHeight="1" x14ac:dyDescent="0.25">
      <c r="A12635" s="2" t="s">
        <v>8</v>
      </c>
      <c r="B12635" s="2" t="str">
        <f>HYPERLINK("http://ts.21cn.com/tousu/show/id/1344007","钱橙无忧随意扣费")</f>
        <v>钱橙无忧随意扣费</v>
      </c>
      <c r="C12635" s="2" t="s">
        <v>9</v>
      </c>
      <c r="D12635" s="2" t="s">
        <v>10</v>
      </c>
      <c r="E12635" s="2" t="str">
        <f>HYPERLINK("http://ts.21cn.com/tousu/show/id/1344007","http://ts.21cn.com/tousu/show/id/1344007")</f>
        <v>http://ts.21cn.com/tousu/show/id/1344007</v>
      </c>
      <c r="F12635" s="2" t="s">
        <v>11</v>
      </c>
      <c r="G12635" s="2" t="s">
        <v>19303</v>
      </c>
      <c r="H12635" s="2" t="s">
        <v>19304</v>
      </c>
    </row>
    <row r="12636" spans="1:8" ht="25.05" customHeight="1" x14ac:dyDescent="0.25">
      <c r="A12636" s="2" t="s">
        <v>8</v>
      </c>
      <c r="B12636" s="2" t="str">
        <f>HYPERLINK("http://ts.21cn.com/tousu/show/id/1344032","牛人有品高利贷砍头息")</f>
        <v>牛人有品高利贷砍头息</v>
      </c>
      <c r="C12636" s="2" t="s">
        <v>9</v>
      </c>
      <c r="D12636" s="2" t="s">
        <v>10</v>
      </c>
      <c r="E12636" s="2" t="str">
        <f>HYPERLINK("http://ts.21cn.com/tousu/show/id/1344032","http://ts.21cn.com/tousu/show/id/1344032")</f>
        <v>http://ts.21cn.com/tousu/show/id/1344032</v>
      </c>
      <c r="F12636" s="2" t="s">
        <v>11</v>
      </c>
      <c r="G12636" s="2" t="s">
        <v>19301</v>
      </c>
      <c r="H12636" s="2" t="s">
        <v>19302</v>
      </c>
    </row>
    <row r="12637" spans="1:8" ht="25.05" customHeight="1" x14ac:dyDescent="0.25">
      <c r="A12637" s="2" t="s">
        <v>8</v>
      </c>
      <c r="B12637" s="2" t="str">
        <f>HYPERLINK("http://ts.21cn.com/tousu/show/id/1344030","米花包恶意扣款")</f>
        <v>米花包恶意扣款</v>
      </c>
      <c r="C12637" s="2" t="s">
        <v>9</v>
      </c>
      <c r="D12637" s="2" t="s">
        <v>10</v>
      </c>
      <c r="E12637" s="2" t="str">
        <f>HYPERLINK("http://ts.21cn.com/tousu/show/id/1344030","http://ts.21cn.com/tousu/show/id/1344030")</f>
        <v>http://ts.21cn.com/tousu/show/id/1344030</v>
      </c>
      <c r="F12637" s="2" t="s">
        <v>11</v>
      </c>
      <c r="G12637" s="2" t="s">
        <v>19299</v>
      </c>
      <c r="H12637" s="2" t="s">
        <v>19300</v>
      </c>
    </row>
    <row r="12638" spans="1:8" ht="25.05" customHeight="1" x14ac:dyDescent="0.25">
      <c r="A12638" s="2" t="s">
        <v>8</v>
      </c>
      <c r="B12638" s="2" t="str">
        <f>HYPERLINK("http://ts.21cn.com/tousu/show/id/1344031","51金钱贷利息太高")</f>
        <v>51金钱贷利息太高</v>
      </c>
      <c r="C12638" s="2" t="s">
        <v>34</v>
      </c>
      <c r="D12638" s="2" t="s">
        <v>10</v>
      </c>
      <c r="E12638" s="2" t="str">
        <f>HYPERLINK("http://ts.21cn.com/tousu/show/id/1344031","http://ts.21cn.com/tousu/show/id/1344031")</f>
        <v>http://ts.21cn.com/tousu/show/id/1344031</v>
      </c>
      <c r="F12638" s="2" t="s">
        <v>11</v>
      </c>
      <c r="G12638" s="2" t="s">
        <v>19297</v>
      </c>
      <c r="H12638" s="2" t="s">
        <v>19298</v>
      </c>
    </row>
    <row r="12639" spans="1:8" ht="25.05" customHeight="1" x14ac:dyDescent="0.25">
      <c r="A12639" s="2" t="s">
        <v>8</v>
      </c>
      <c r="B12639" s="2" t="str">
        <f>HYPERLINK("http://ts.21cn.com/tousu/show/id/1344006","豆豆钱说退保险费，到现在也没退。")</f>
        <v>豆豆钱说退保险费，到现在也没退。</v>
      </c>
      <c r="C12639" s="2" t="s">
        <v>9</v>
      </c>
      <c r="D12639" s="2" t="s">
        <v>10</v>
      </c>
      <c r="E12639" s="2" t="str">
        <f>HYPERLINK("http://ts.21cn.com/tousu/show/id/1344006","http://ts.21cn.com/tousu/show/id/1344006")</f>
        <v>http://ts.21cn.com/tousu/show/id/1344006</v>
      </c>
      <c r="F12639" s="2" t="s">
        <v>11</v>
      </c>
      <c r="G12639" s="2" t="s">
        <v>19295</v>
      </c>
      <c r="H12639" s="2" t="s">
        <v>19296</v>
      </c>
    </row>
    <row r="12640" spans="1:8" ht="25.05" customHeight="1" x14ac:dyDescent="0.25">
      <c r="A12640" s="2" t="s">
        <v>8</v>
      </c>
      <c r="B12640" s="2" t="str">
        <f>HYPERLINK("http://ts.21cn.com/tousu/show/id/1344017","中国银联股份有限公司广东分公司专户14，为玖富万卡开启存管业务，盗刷用户银行资金，砍头息")</f>
        <v>中国银联股份有限公司广东分公司专户14，为玖富万卡开启存管业务，盗刷用户银行资金，砍头息</v>
      </c>
      <c r="C12640" s="2" t="s">
        <v>9</v>
      </c>
      <c r="D12640" s="2" t="s">
        <v>10</v>
      </c>
      <c r="E12640" s="2" t="str">
        <f>HYPERLINK("http://ts.21cn.com/tousu/show/id/1344017","http://ts.21cn.com/tousu/show/id/1344017")</f>
        <v>http://ts.21cn.com/tousu/show/id/1344017</v>
      </c>
      <c r="F12640" s="2" t="s">
        <v>11</v>
      </c>
      <c r="G12640" s="2" t="s">
        <v>19293</v>
      </c>
      <c r="H12640" s="2" t="s">
        <v>19294</v>
      </c>
    </row>
    <row r="12641" spans="1:8" ht="25.05" customHeight="1" x14ac:dyDescent="0.25">
      <c r="A12641" s="2" t="s">
        <v>8</v>
      </c>
      <c r="B12641" s="2" t="str">
        <f>HYPERLINK("http://ts.21cn.com/tousu/show/id/1344035","安徽依维妮圈钱不办事")</f>
        <v>安徽依维妮圈钱不办事</v>
      </c>
      <c r="C12641" s="2" t="s">
        <v>9</v>
      </c>
      <c r="D12641" s="2" t="s">
        <v>10</v>
      </c>
      <c r="E12641" s="2" t="str">
        <f>HYPERLINK("http://ts.21cn.com/tousu/show/id/1344035","http://ts.21cn.com/tousu/show/id/1344035")</f>
        <v>http://ts.21cn.com/tousu/show/id/1344035</v>
      </c>
      <c r="F12641" s="2" t="s">
        <v>11</v>
      </c>
      <c r="G12641" s="2" t="s">
        <v>19291</v>
      </c>
      <c r="H12641" s="2" t="s">
        <v>19292</v>
      </c>
    </row>
    <row r="12642" spans="1:8" ht="25.05" customHeight="1" x14ac:dyDescent="0.25">
      <c r="A12642" s="2" t="s">
        <v>8</v>
      </c>
      <c r="B12642" s="2" t="str">
        <f>HYPERLINK("http://ts.21cn.com/tousu/show/id/1344036","借款3000需还4500")</f>
        <v>借款3000需还4500</v>
      </c>
      <c r="C12642" s="2" t="s">
        <v>34</v>
      </c>
      <c r="D12642" s="2" t="s">
        <v>10</v>
      </c>
      <c r="E12642" s="2" t="str">
        <f>HYPERLINK("http://ts.21cn.com/tousu/show/id/1344036","http://ts.21cn.com/tousu/show/id/1344036")</f>
        <v>http://ts.21cn.com/tousu/show/id/1344036</v>
      </c>
      <c r="F12642" s="2" t="s">
        <v>11</v>
      </c>
      <c r="G12642" s="2" t="s">
        <v>19289</v>
      </c>
      <c r="H12642" s="2" t="s">
        <v>19290</v>
      </c>
    </row>
    <row r="12643" spans="1:8" ht="25.05" customHeight="1" x14ac:dyDescent="0.25">
      <c r="A12643" s="2" t="s">
        <v>8</v>
      </c>
      <c r="B12643" s="2" t="str">
        <f>HYPERLINK("http://ts.21cn.com/tousu/show/id/1344037","钱站空吓")</f>
        <v>钱站空吓</v>
      </c>
      <c r="C12643" s="2" t="s">
        <v>34</v>
      </c>
      <c r="D12643" s="2" t="s">
        <v>10</v>
      </c>
      <c r="E12643" s="2" t="str">
        <f>HYPERLINK("http://ts.21cn.com/tousu/show/id/1344037","http://ts.21cn.com/tousu/show/id/1344037")</f>
        <v>http://ts.21cn.com/tousu/show/id/1344037</v>
      </c>
      <c r="F12643" s="2" t="s">
        <v>11</v>
      </c>
      <c r="G12643" s="2" t="s">
        <v>19286</v>
      </c>
      <c r="H12643" s="2" t="s">
        <v>19287</v>
      </c>
    </row>
    <row r="12644" spans="1:8" ht="25.05" customHeight="1" x14ac:dyDescent="0.25">
      <c r="A12644" s="2" t="s">
        <v>8</v>
      </c>
      <c r="B12644" s="2" t="str">
        <f>HYPERLINK("http://ts.21cn.com/tousu/show/id/1344038","捷信发信息称上门违规催收")</f>
        <v>捷信发信息称上门违规催收</v>
      </c>
      <c r="C12644" s="2" t="s">
        <v>9</v>
      </c>
      <c r="D12644" s="2" t="s">
        <v>10</v>
      </c>
      <c r="E12644" s="2" t="str">
        <f>HYPERLINK("http://ts.21cn.com/tousu/show/id/1344038","http://ts.21cn.com/tousu/show/id/1344038")</f>
        <v>http://ts.21cn.com/tousu/show/id/1344038</v>
      </c>
      <c r="F12644" s="2" t="s">
        <v>11</v>
      </c>
      <c r="G12644" s="2" t="s">
        <v>19286</v>
      </c>
      <c r="H12644" s="2" t="s">
        <v>19288</v>
      </c>
    </row>
    <row r="12645" spans="1:8" ht="25.05" customHeight="1" x14ac:dyDescent="0.25">
      <c r="A12645" s="2" t="s">
        <v>8</v>
      </c>
      <c r="B12645" s="2" t="str">
        <f>HYPERLINK("http://ts.21cn.com/tousu/show/id/1344040","合同与还款金额不符")</f>
        <v>合同与还款金额不符</v>
      </c>
      <c r="C12645" s="2" t="s">
        <v>9</v>
      </c>
      <c r="D12645" s="2" t="s">
        <v>10</v>
      </c>
      <c r="E12645" s="2" t="str">
        <f>HYPERLINK("http://ts.21cn.com/tousu/show/id/1344040","http://ts.21cn.com/tousu/show/id/1344040")</f>
        <v>http://ts.21cn.com/tousu/show/id/1344040</v>
      </c>
      <c r="F12645" s="2" t="s">
        <v>11</v>
      </c>
      <c r="G12645" s="2" t="s">
        <v>19284</v>
      </c>
      <c r="H12645" s="2" t="s">
        <v>19285</v>
      </c>
    </row>
    <row r="12646" spans="1:8" ht="25.05" customHeight="1" x14ac:dyDescent="0.25">
      <c r="A12646" s="2" t="s">
        <v>8</v>
      </c>
      <c r="B12646" s="2" t="str">
        <f>HYPERLINK("http://ts.21cn.com/tousu/show/id/1344041","蘑菇街骚扰我家人")</f>
        <v>蘑菇街骚扰我家人</v>
      </c>
      <c r="C12646" s="2" t="s">
        <v>9</v>
      </c>
      <c r="D12646" s="2" t="s">
        <v>10</v>
      </c>
      <c r="E12646" s="2" t="str">
        <f>HYPERLINK("http://ts.21cn.com/tousu/show/id/1344041","http://ts.21cn.com/tousu/show/id/1344041")</f>
        <v>http://ts.21cn.com/tousu/show/id/1344041</v>
      </c>
      <c r="F12646" s="2" t="s">
        <v>11</v>
      </c>
      <c r="G12646" s="2" t="s">
        <v>19282</v>
      </c>
      <c r="H12646" s="2" t="s">
        <v>19283</v>
      </c>
    </row>
    <row r="12647" spans="1:8" ht="25.05" customHeight="1" x14ac:dyDescent="0.25">
      <c r="A12647" s="2" t="s">
        <v>8</v>
      </c>
      <c r="B12647" s="2" t="str">
        <f>HYPERLINK("http://ts.21cn.com/tousu/show/id/1344042","欠8万本金协商还13万是否合理")</f>
        <v>欠8万本金协商还13万是否合理</v>
      </c>
      <c r="C12647" s="2" t="s">
        <v>9</v>
      </c>
      <c r="D12647" s="2" t="s">
        <v>10</v>
      </c>
      <c r="E12647" s="2" t="str">
        <f>HYPERLINK("http://ts.21cn.com/tousu/show/id/1344042","http://ts.21cn.com/tousu/show/id/1344042")</f>
        <v>http://ts.21cn.com/tousu/show/id/1344042</v>
      </c>
      <c r="F12647" s="2" t="s">
        <v>11</v>
      </c>
      <c r="G12647" s="2" t="s">
        <v>19280</v>
      </c>
      <c r="H12647" s="2" t="s">
        <v>19281</v>
      </c>
    </row>
    <row r="12648" spans="1:8" ht="25.05" customHeight="1" x14ac:dyDescent="0.25">
      <c r="A12648" s="2" t="s">
        <v>8</v>
      </c>
      <c r="B12648" s="2" t="str">
        <f>HYPERLINK("http://ts.21cn.com/tousu/show/id/1344043","合同欺诈，私自扣款")</f>
        <v>合同欺诈，私自扣款</v>
      </c>
      <c r="C12648" s="2" t="s">
        <v>9</v>
      </c>
      <c r="D12648" s="2" t="s">
        <v>10</v>
      </c>
      <c r="E12648" s="2" t="str">
        <f>HYPERLINK("http://ts.21cn.com/tousu/show/id/1344043","http://ts.21cn.com/tousu/show/id/1344043")</f>
        <v>http://ts.21cn.com/tousu/show/id/1344043</v>
      </c>
      <c r="F12648" s="2" t="s">
        <v>11</v>
      </c>
      <c r="G12648" s="2" t="s">
        <v>19278</v>
      </c>
      <c r="H12648" s="2" t="s">
        <v>19279</v>
      </c>
    </row>
    <row r="12649" spans="1:8" ht="25.05" customHeight="1" x14ac:dyDescent="0.25">
      <c r="A12649" s="2" t="s">
        <v>8</v>
      </c>
      <c r="B12649" s="2" t="str">
        <f>HYPERLINK("http://ts.21cn.com/tousu/show/id/1344044","恶意扣款")</f>
        <v>恶意扣款</v>
      </c>
      <c r="C12649" s="2" t="s">
        <v>9</v>
      </c>
      <c r="D12649" s="2" t="s">
        <v>10</v>
      </c>
      <c r="E12649" s="2" t="str">
        <f>HYPERLINK("http://ts.21cn.com/tousu/show/id/1344044","http://ts.21cn.com/tousu/show/id/1344044")</f>
        <v>http://ts.21cn.com/tousu/show/id/1344044</v>
      </c>
      <c r="F12649" s="2" t="s">
        <v>11</v>
      </c>
      <c r="G12649" s="2" t="s">
        <v>19276</v>
      </c>
      <c r="H12649" s="2" t="s">
        <v>19277</v>
      </c>
    </row>
    <row r="12650" spans="1:8" ht="25.05" customHeight="1" x14ac:dyDescent="0.25">
      <c r="A12650" s="2" t="s">
        <v>8</v>
      </c>
      <c r="B12650" s="2" t="str">
        <f>HYPERLINK("http://ts.21cn.com/tousu/show/id/1344029","小牛普惠提前结清后扔催收扣款")</f>
        <v>小牛普惠提前结清后扔催收扣款</v>
      </c>
      <c r="C12650" s="2" t="s">
        <v>9</v>
      </c>
      <c r="D12650" s="2" t="s">
        <v>10</v>
      </c>
      <c r="E12650" s="2" t="str">
        <f>HYPERLINK("http://ts.21cn.com/tousu/show/id/1344029","http://ts.21cn.com/tousu/show/id/1344029")</f>
        <v>http://ts.21cn.com/tousu/show/id/1344029</v>
      </c>
      <c r="F12650" s="2" t="s">
        <v>11</v>
      </c>
      <c r="G12650" s="2" t="s">
        <v>19274</v>
      </c>
      <c r="H12650" s="2" t="s">
        <v>19275</v>
      </c>
    </row>
    <row r="12651" spans="1:8" ht="25.05" customHeight="1" x14ac:dyDescent="0.25">
      <c r="A12651" s="2" t="s">
        <v>8</v>
      </c>
      <c r="B12651" s="2" t="str">
        <f>HYPERLINK("http://ts.21cn.com/tousu/show/id/1344047","饿了么后台私自修改合同修改抽成")</f>
        <v>饿了么后台私自修改合同修改抽成</v>
      </c>
      <c r="C12651" s="2" t="s">
        <v>9</v>
      </c>
      <c r="D12651" s="2" t="s">
        <v>10</v>
      </c>
      <c r="E12651" s="2" t="str">
        <f>HYPERLINK("http://ts.21cn.com/tousu/show/id/1344047","http://ts.21cn.com/tousu/show/id/1344047")</f>
        <v>http://ts.21cn.com/tousu/show/id/1344047</v>
      </c>
      <c r="F12651" s="2" t="s">
        <v>11</v>
      </c>
      <c r="G12651" s="2" t="s">
        <v>19272</v>
      </c>
      <c r="H12651" s="2" t="s">
        <v>19273</v>
      </c>
    </row>
    <row r="12652" spans="1:8" ht="25.05" customHeight="1" x14ac:dyDescent="0.25">
      <c r="A12652" s="2" t="s">
        <v>8</v>
      </c>
      <c r="B12652" s="2" t="str">
        <f>HYPERLINK("http://ts.21cn.com/tousu/show/id/1344039","合同欺诈，私自扣款")</f>
        <v>合同欺诈，私自扣款</v>
      </c>
      <c r="C12652" s="2" t="s">
        <v>9</v>
      </c>
      <c r="D12652" s="2" t="s">
        <v>10</v>
      </c>
      <c r="E12652" s="2" t="str">
        <f>HYPERLINK("http://ts.21cn.com/tousu/show/id/1344039","http://ts.21cn.com/tousu/show/id/1344039")</f>
        <v>http://ts.21cn.com/tousu/show/id/1344039</v>
      </c>
      <c r="F12652" s="2" t="s">
        <v>11</v>
      </c>
      <c r="G12652" s="2" t="s">
        <v>19270</v>
      </c>
      <c r="H12652" s="2" t="s">
        <v>19271</v>
      </c>
    </row>
    <row r="12653" spans="1:8" ht="25.05" customHeight="1" x14ac:dyDescent="0.25">
      <c r="A12653" s="2" t="s">
        <v>8</v>
      </c>
      <c r="B12653" s="2" t="str">
        <f>HYPERLINK("http://ts.21cn.com/tousu/show/id/1344019","招联金融")</f>
        <v>招联金融</v>
      </c>
      <c r="C12653" s="2" t="s">
        <v>9</v>
      </c>
      <c r="D12653" s="2" t="s">
        <v>10</v>
      </c>
      <c r="E12653" s="2" t="str">
        <f>HYPERLINK("http://ts.21cn.com/tousu/show/id/1344019","http://ts.21cn.com/tousu/show/id/1344019")</f>
        <v>http://ts.21cn.com/tousu/show/id/1344019</v>
      </c>
      <c r="F12653" s="2" t="s">
        <v>11</v>
      </c>
      <c r="G12653" s="2" t="s">
        <v>19268</v>
      </c>
      <c r="H12653" s="2" t="s">
        <v>19269</v>
      </c>
    </row>
    <row r="12654" spans="1:8" ht="25.05" customHeight="1" x14ac:dyDescent="0.25">
      <c r="A12654" s="2" t="s">
        <v>8</v>
      </c>
      <c r="B12654" s="2" t="str">
        <f>HYPERLINK("http://ts.21cn.com/tousu/show/id/1344049","我在闲鱼客平台充了钱，然后一直提现失败，钱提不出来。")</f>
        <v>我在闲鱼客平台充了钱，然后一直提现失败，钱提不出来。</v>
      </c>
      <c r="C12654" s="2" t="s">
        <v>9</v>
      </c>
      <c r="D12654" s="2" t="s">
        <v>10</v>
      </c>
      <c r="E12654" s="2" t="str">
        <f>HYPERLINK("http://ts.21cn.com/tousu/show/id/1344049","http://ts.21cn.com/tousu/show/id/1344049")</f>
        <v>http://ts.21cn.com/tousu/show/id/1344049</v>
      </c>
      <c r="F12654" s="2" t="s">
        <v>11</v>
      </c>
      <c r="G12654" s="2" t="s">
        <v>19266</v>
      </c>
      <c r="H12654" s="2" t="s">
        <v>19267</v>
      </c>
    </row>
    <row r="12655" spans="1:8" ht="25.05" customHeight="1" x14ac:dyDescent="0.25">
      <c r="A12655" s="2" t="s">
        <v>8</v>
      </c>
      <c r="B12655" s="2" t="str">
        <f>HYPERLINK("http://ts.21cn.com/tousu/show/id/1344052","窝窝营销私自冻结我的账户金额:26199")</f>
        <v>窝窝营销私自冻结我的账户金额:26199</v>
      </c>
      <c r="C12655" s="2" t="s">
        <v>9</v>
      </c>
      <c r="D12655" s="2" t="s">
        <v>10</v>
      </c>
      <c r="E12655" s="2" t="str">
        <f>HYPERLINK("http://ts.21cn.com/tousu/show/id/1344052","http://ts.21cn.com/tousu/show/id/1344052")</f>
        <v>http://ts.21cn.com/tousu/show/id/1344052</v>
      </c>
      <c r="F12655" s="2" t="s">
        <v>11</v>
      </c>
      <c r="G12655" s="2" t="s">
        <v>19264</v>
      </c>
      <c r="H12655" s="2" t="s">
        <v>19265</v>
      </c>
    </row>
    <row r="12656" spans="1:8" ht="25.05" customHeight="1" x14ac:dyDescent="0.25">
      <c r="A12656" s="2" t="s">
        <v>8</v>
      </c>
      <c r="B12656" s="2" t="str">
        <f>HYPERLINK("http://ts.21cn.com/tousu/show/id/1344053","平安普惠罔顾国法")</f>
        <v>平安普惠罔顾国法</v>
      </c>
      <c r="C12656" s="2" t="s">
        <v>9</v>
      </c>
      <c r="D12656" s="2" t="s">
        <v>10</v>
      </c>
      <c r="E12656" s="2" t="str">
        <f>HYPERLINK("http://ts.21cn.com/tousu/show/id/1344053","http://ts.21cn.com/tousu/show/id/1344053")</f>
        <v>http://ts.21cn.com/tousu/show/id/1344053</v>
      </c>
      <c r="F12656" s="2" t="s">
        <v>11</v>
      </c>
      <c r="G12656" s="2" t="s">
        <v>19262</v>
      </c>
      <c r="H12656" s="2" t="s">
        <v>19263</v>
      </c>
    </row>
    <row r="12657" spans="1:8" ht="25.05" customHeight="1" x14ac:dyDescent="0.25">
      <c r="A12657" s="2" t="s">
        <v>8</v>
      </c>
      <c r="B12657" s="2" t="str">
        <f>HYPERLINK("http://ts.21cn.com/tousu/show/id/1344054","产品显示与实际使用不符")</f>
        <v>产品显示与实际使用不符</v>
      </c>
      <c r="C12657" s="2" t="s">
        <v>9</v>
      </c>
      <c r="D12657" s="2" t="s">
        <v>10</v>
      </c>
      <c r="E12657" s="2" t="str">
        <f>HYPERLINK("http://ts.21cn.com/tousu/show/id/1344054","http://ts.21cn.com/tousu/show/id/1344054")</f>
        <v>http://ts.21cn.com/tousu/show/id/1344054</v>
      </c>
      <c r="F12657" s="2" t="s">
        <v>11</v>
      </c>
      <c r="G12657" s="2" t="s">
        <v>19260</v>
      </c>
      <c r="H12657" s="2" t="s">
        <v>19261</v>
      </c>
    </row>
    <row r="12658" spans="1:8" ht="25.05" customHeight="1" x14ac:dyDescent="0.25">
      <c r="A12658" s="2" t="s">
        <v>8</v>
      </c>
      <c r="B12658" s="2" t="str">
        <f>HYPERLINK("http://ts.21cn.com/tousu/show/id/1344055","及贷骚扰通讯录")</f>
        <v>及贷骚扰通讯录</v>
      </c>
      <c r="C12658" s="2" t="s">
        <v>34</v>
      </c>
      <c r="D12658" s="2" t="s">
        <v>10</v>
      </c>
      <c r="E12658" s="2" t="str">
        <f>HYPERLINK("http://ts.21cn.com/tousu/show/id/1344055","http://ts.21cn.com/tousu/show/id/1344055")</f>
        <v>http://ts.21cn.com/tousu/show/id/1344055</v>
      </c>
      <c r="F12658" s="2" t="s">
        <v>11</v>
      </c>
      <c r="G12658" s="2" t="s">
        <v>19258</v>
      </c>
      <c r="H12658" s="2" t="s">
        <v>19259</v>
      </c>
    </row>
    <row r="12659" spans="1:8" ht="25.05" customHeight="1" x14ac:dyDescent="0.25">
      <c r="A12659" s="2" t="s">
        <v>8</v>
      </c>
      <c r="B12659" s="2" t="str">
        <f>HYPERLINK("http://ts.21cn.com/tousu/show/id/1344056","被莫名扣款")</f>
        <v>被莫名扣款</v>
      </c>
      <c r="C12659" s="2" t="s">
        <v>9</v>
      </c>
      <c r="D12659" s="2" t="s">
        <v>10</v>
      </c>
      <c r="E12659" s="2" t="str">
        <f>HYPERLINK("http://ts.21cn.com/tousu/show/id/1344056","http://ts.21cn.com/tousu/show/id/1344056")</f>
        <v>http://ts.21cn.com/tousu/show/id/1344056</v>
      </c>
      <c r="F12659" s="2" t="s">
        <v>11</v>
      </c>
      <c r="G12659" s="2" t="s">
        <v>19256</v>
      </c>
      <c r="H12659" s="2" t="s">
        <v>19257</v>
      </c>
    </row>
    <row r="12660" spans="1:8" ht="25.05" customHeight="1" x14ac:dyDescent="0.25">
      <c r="A12660" s="2" t="s">
        <v>8</v>
      </c>
      <c r="B12660" s="2" t="str">
        <f>HYPERLINK("http://ts.21cn.com/tousu/show/id/1344057","拒绝还超出国家规定部分综合利率")</f>
        <v>拒绝还超出国家规定部分综合利率</v>
      </c>
      <c r="C12660" s="2" t="s">
        <v>9</v>
      </c>
      <c r="D12660" s="2" t="s">
        <v>10</v>
      </c>
      <c r="E12660" s="2" t="str">
        <f>HYPERLINK("http://ts.21cn.com/tousu/show/id/1344057","http://ts.21cn.com/tousu/show/id/1344057")</f>
        <v>http://ts.21cn.com/tousu/show/id/1344057</v>
      </c>
      <c r="F12660" s="2" t="s">
        <v>11</v>
      </c>
      <c r="G12660" s="2" t="s">
        <v>19254</v>
      </c>
      <c r="H12660" s="2" t="s">
        <v>19255</v>
      </c>
    </row>
    <row r="12661" spans="1:8" ht="25.05" customHeight="1" x14ac:dyDescent="0.25">
      <c r="A12661" s="2" t="s">
        <v>8</v>
      </c>
      <c r="B12661" s="2" t="str">
        <f>HYPERLINK("http://ts.21cn.com/tousu/show/id/1344058","小浦优客未经同意扣款")</f>
        <v>小浦优客未经同意扣款</v>
      </c>
      <c r="C12661" s="2" t="s">
        <v>9</v>
      </c>
      <c r="D12661" s="2" t="s">
        <v>10</v>
      </c>
      <c r="E12661" s="2" t="str">
        <f>HYPERLINK("http://ts.21cn.com/tousu/show/id/1344058","http://ts.21cn.com/tousu/show/id/1344058")</f>
        <v>http://ts.21cn.com/tousu/show/id/1344058</v>
      </c>
      <c r="F12661" s="2" t="s">
        <v>11</v>
      </c>
      <c r="G12661" s="2" t="s">
        <v>19252</v>
      </c>
      <c r="H12661" s="2" t="s">
        <v>19253</v>
      </c>
    </row>
    <row r="12662" spans="1:8" ht="25.05" customHeight="1" x14ac:dyDescent="0.25">
      <c r="A12662" s="2" t="s">
        <v>8</v>
      </c>
      <c r="B12662" s="2" t="str">
        <f>HYPERLINK("http://ts.21cn.com/tousu/show/id/1344060","苏宁生鲜变质不解决")</f>
        <v>苏宁生鲜变质不解决</v>
      </c>
      <c r="C12662" s="2" t="s">
        <v>9</v>
      </c>
      <c r="D12662" s="2" t="s">
        <v>10</v>
      </c>
      <c r="E12662" s="2" t="str">
        <f>HYPERLINK("http://ts.21cn.com/tousu/show/id/1344060","http://ts.21cn.com/tousu/show/id/1344060")</f>
        <v>http://ts.21cn.com/tousu/show/id/1344060</v>
      </c>
      <c r="F12662" s="2" t="s">
        <v>11</v>
      </c>
      <c r="G12662" s="2" t="s">
        <v>19250</v>
      </c>
      <c r="H12662" s="2" t="s">
        <v>19251</v>
      </c>
    </row>
    <row r="12663" spans="1:8" ht="25.05" customHeight="1" x14ac:dyDescent="0.25">
      <c r="A12663" s="2" t="s">
        <v>8</v>
      </c>
      <c r="B12663" s="2" t="str">
        <f>HYPERLINK("http://ts.21cn.com/tousu/show/id/1344062","中国人民保险勾结快闪卡贷变相收取砍头息")</f>
        <v>中国人民保险勾结快闪卡贷变相收取砍头息</v>
      </c>
      <c r="C12663" s="2" t="s">
        <v>9</v>
      </c>
      <c r="D12663" s="2" t="s">
        <v>10</v>
      </c>
      <c r="E12663" s="2" t="str">
        <f>HYPERLINK("http://ts.21cn.com/tousu/show/id/1344062","http://ts.21cn.com/tousu/show/id/1344062")</f>
        <v>http://ts.21cn.com/tousu/show/id/1344062</v>
      </c>
      <c r="F12663" s="2" t="s">
        <v>11</v>
      </c>
      <c r="G12663" s="2" t="s">
        <v>19248</v>
      </c>
      <c r="H12663" s="2" t="s">
        <v>19249</v>
      </c>
    </row>
    <row r="12664" spans="1:8" ht="25.05" customHeight="1" x14ac:dyDescent="0.25">
      <c r="A12664" s="2" t="s">
        <v>8</v>
      </c>
      <c r="B12664" s="2" t="str">
        <f>HYPERLINK("http://ts.21cn.com/tousu/show/id/1344033","快闪卡贷蔑视国家法律本人不知情前提下扣保险还款金额与贷款金额模糊")</f>
        <v>快闪卡贷蔑视国家法律本人不知情前提下扣保险还款金额与贷款金额模糊</v>
      </c>
      <c r="C12664" s="2" t="s">
        <v>9</v>
      </c>
      <c r="D12664" s="2" t="s">
        <v>10</v>
      </c>
      <c r="E12664" s="2" t="str">
        <f>HYPERLINK("http://ts.21cn.com/tousu/show/id/1344033","http://ts.21cn.com/tousu/show/id/1344033")</f>
        <v>http://ts.21cn.com/tousu/show/id/1344033</v>
      </c>
      <c r="F12664" s="2" t="s">
        <v>11</v>
      </c>
      <c r="G12664" s="2" t="s">
        <v>19246</v>
      </c>
      <c r="H12664" s="2" t="s">
        <v>19247</v>
      </c>
    </row>
    <row r="12665" spans="1:8" ht="25.05" customHeight="1" x14ac:dyDescent="0.25">
      <c r="A12665" s="2" t="s">
        <v>8</v>
      </c>
      <c r="B12665" s="2" t="str">
        <f>HYPERLINK("http://ts.21cn.com/tousu/show/id/1344065","投诉拍拍贷暴力催收，威胁，骚扰")</f>
        <v>投诉拍拍贷暴力催收，威胁，骚扰</v>
      </c>
      <c r="C12665" s="2" t="s">
        <v>9</v>
      </c>
      <c r="D12665" s="2" t="s">
        <v>10</v>
      </c>
      <c r="E12665" s="2" t="str">
        <f>HYPERLINK("http://ts.21cn.com/tousu/show/id/1344065","http://ts.21cn.com/tousu/show/id/1344065")</f>
        <v>http://ts.21cn.com/tousu/show/id/1344065</v>
      </c>
      <c r="F12665" s="2" t="s">
        <v>11</v>
      </c>
      <c r="G12665" s="2" t="s">
        <v>19244</v>
      </c>
      <c r="H12665" s="2" t="s">
        <v>19245</v>
      </c>
    </row>
    <row r="12666" spans="1:8" ht="25.05" customHeight="1" x14ac:dyDescent="0.25">
      <c r="A12666" s="2" t="s">
        <v>8</v>
      </c>
      <c r="B12666" s="2" t="str">
        <f>HYPERLINK("http://ts.21cn.com/tousu/show/id/1344050","随手记旗下APP卡牛信用管家，存在高利贷，乱收费，砍头息")</f>
        <v>随手记旗下APP卡牛信用管家，存在高利贷，乱收费，砍头息</v>
      </c>
      <c r="C12666" s="2" t="s">
        <v>9</v>
      </c>
      <c r="D12666" s="2" t="s">
        <v>10</v>
      </c>
      <c r="E12666" s="2" t="str">
        <f>HYPERLINK("http://ts.21cn.com/tousu/show/id/1344050","http://ts.21cn.com/tousu/show/id/1344050")</f>
        <v>http://ts.21cn.com/tousu/show/id/1344050</v>
      </c>
      <c r="F12666" s="2" t="s">
        <v>11</v>
      </c>
      <c r="G12666" s="2" t="s">
        <v>19241</v>
      </c>
      <c r="H12666" s="2" t="s">
        <v>19242</v>
      </c>
    </row>
    <row r="12667" spans="1:8" ht="25.05" customHeight="1" x14ac:dyDescent="0.25">
      <c r="A12667" s="2" t="s">
        <v>8</v>
      </c>
      <c r="B12667" s="2" t="str">
        <f>HYPERLINK("http://ts.21cn.com/tousu/show/id/1344064","未经当事人同意私自大范围联系通讯录亲朋好友")</f>
        <v>未经当事人同意私自大范围联系通讯录亲朋好友</v>
      </c>
      <c r="C12667" s="2" t="s">
        <v>9</v>
      </c>
      <c r="D12667" s="2" t="s">
        <v>10</v>
      </c>
      <c r="E12667" s="2" t="str">
        <f>HYPERLINK("http://ts.21cn.com/tousu/show/id/1344064","http://ts.21cn.com/tousu/show/id/1344064")</f>
        <v>http://ts.21cn.com/tousu/show/id/1344064</v>
      </c>
      <c r="F12667" s="2" t="s">
        <v>11</v>
      </c>
      <c r="G12667" s="2" t="s">
        <v>19241</v>
      </c>
      <c r="H12667" s="2" t="s">
        <v>19243</v>
      </c>
    </row>
    <row r="12668" spans="1:8" ht="25.05" customHeight="1" x14ac:dyDescent="0.25">
      <c r="A12668" s="2" t="s">
        <v>8</v>
      </c>
      <c r="B12668" s="2" t="str">
        <f>HYPERLINK("http://ts.21cn.com/tousu/show/id/1344034","51人品贷到账金额与合同金额不符，砍头息，违规收取服务费等")</f>
        <v>51人品贷到账金额与合同金额不符，砍头息，违规收取服务费等</v>
      </c>
      <c r="C12668" s="2" t="s">
        <v>9</v>
      </c>
      <c r="D12668" s="2" t="s">
        <v>10</v>
      </c>
      <c r="E12668" s="2" t="str">
        <f>HYPERLINK("http://ts.21cn.com/tousu/show/id/1344034","http://ts.21cn.com/tousu/show/id/1344034")</f>
        <v>http://ts.21cn.com/tousu/show/id/1344034</v>
      </c>
      <c r="F12668" s="2" t="s">
        <v>11</v>
      </c>
      <c r="G12668" s="2" t="s">
        <v>19239</v>
      </c>
      <c r="H12668" s="2" t="s">
        <v>19240</v>
      </c>
    </row>
    <row r="12669" spans="1:8" ht="25.05" customHeight="1" x14ac:dyDescent="0.25">
      <c r="A12669" s="2" t="s">
        <v>8</v>
      </c>
      <c r="B12669" s="2" t="str">
        <f>HYPERLINK("http://ts.21cn.com/tousu/show/id/1343969","利用大众想创业的心理，夸大宣传抖音蓝V项目，要求交9800的会员费")</f>
        <v>利用大众想创业的心理，夸大宣传抖音蓝V项目，要求交9800的会员费</v>
      </c>
      <c r="C12669" s="2" t="s">
        <v>9</v>
      </c>
      <c r="D12669" s="2" t="s">
        <v>10</v>
      </c>
      <c r="E12669" s="2" t="str">
        <f>HYPERLINK("http://ts.21cn.com/tousu/show/id/1343969","http://ts.21cn.com/tousu/show/id/1343969")</f>
        <v>http://ts.21cn.com/tousu/show/id/1343969</v>
      </c>
      <c r="F12669" s="2" t="s">
        <v>11</v>
      </c>
      <c r="G12669" s="2" t="s">
        <v>19237</v>
      </c>
      <c r="H12669" s="2" t="s">
        <v>19238</v>
      </c>
    </row>
    <row r="12670" spans="1:8" ht="25.05" customHeight="1" x14ac:dyDescent="0.25">
      <c r="A12670" s="2" t="s">
        <v>8</v>
      </c>
      <c r="B12670" s="2" t="str">
        <f>HYPERLINK("http://ts.21cn.com/tousu/show/id/1344066","卡卡贷退保")</f>
        <v>卡卡贷退保</v>
      </c>
      <c r="C12670" s="2" t="s">
        <v>34</v>
      </c>
      <c r="D12670" s="2" t="s">
        <v>10</v>
      </c>
      <c r="E12670" s="2" t="str">
        <f>HYPERLINK("http://ts.21cn.com/tousu/show/id/1344066","http://ts.21cn.com/tousu/show/id/1344066")</f>
        <v>http://ts.21cn.com/tousu/show/id/1344066</v>
      </c>
      <c r="F12670" s="2" t="s">
        <v>11</v>
      </c>
      <c r="G12670" s="2" t="s">
        <v>19235</v>
      </c>
      <c r="H12670" s="2" t="s">
        <v>19236</v>
      </c>
    </row>
    <row r="12671" spans="1:8" ht="25.05" customHeight="1" x14ac:dyDescent="0.25">
      <c r="A12671" s="2" t="s">
        <v>8</v>
      </c>
      <c r="B12671" s="2" t="str">
        <f>HYPERLINK("http://ts.21cn.com/tousu/show/id/1344068","玖富资本工作人员恶意喊单造成我巨大亏损")</f>
        <v>玖富资本工作人员恶意喊单造成我巨大亏损</v>
      </c>
      <c r="C12671" s="2" t="s">
        <v>9</v>
      </c>
      <c r="D12671" s="2" t="s">
        <v>10</v>
      </c>
      <c r="E12671" s="2" t="str">
        <f>HYPERLINK("http://ts.21cn.com/tousu/show/id/1344068","http://ts.21cn.com/tousu/show/id/1344068")</f>
        <v>http://ts.21cn.com/tousu/show/id/1344068</v>
      </c>
      <c r="F12671" s="2" t="s">
        <v>11</v>
      </c>
      <c r="G12671" s="2" t="s">
        <v>19233</v>
      </c>
      <c r="H12671" s="2" t="s">
        <v>19234</v>
      </c>
    </row>
    <row r="12672" spans="1:8" ht="25.05" customHeight="1" x14ac:dyDescent="0.25">
      <c r="A12672" s="2" t="s">
        <v>8</v>
      </c>
      <c r="B12672" s="2" t="str">
        <f>HYPERLINK("http://ts.21cn.com/tousu/show/id/1344070","群发短信")</f>
        <v>群发短信</v>
      </c>
      <c r="C12672" s="2" t="s">
        <v>9</v>
      </c>
      <c r="D12672" s="2" t="s">
        <v>10</v>
      </c>
      <c r="E12672" s="2" t="str">
        <f>HYPERLINK("http://ts.21cn.com/tousu/show/id/1344070","http://ts.21cn.com/tousu/show/id/1344070")</f>
        <v>http://ts.21cn.com/tousu/show/id/1344070</v>
      </c>
      <c r="F12672" s="2" t="s">
        <v>11</v>
      </c>
      <c r="G12672" s="2" t="s">
        <v>19231</v>
      </c>
      <c r="H12672" s="2" t="s">
        <v>19232</v>
      </c>
    </row>
    <row r="12673" spans="1:8" ht="25.05" customHeight="1" x14ac:dyDescent="0.25">
      <c r="A12673" s="2" t="s">
        <v>8</v>
      </c>
      <c r="B12673" s="2" t="str">
        <f>HYPERLINK("http://ts.21cn.com/tousu/show/id/1344072","活力花借款平台收取高额利息、逾期费，律师函恐吓")</f>
        <v>活力花借款平台收取高额利息、逾期费，律师函恐吓</v>
      </c>
      <c r="C12673" s="2" t="s">
        <v>9</v>
      </c>
      <c r="D12673" s="2" t="s">
        <v>10</v>
      </c>
      <c r="E12673" s="2" t="str">
        <f>HYPERLINK("http://ts.21cn.com/tousu/show/id/1344072","http://ts.21cn.com/tousu/show/id/1344072")</f>
        <v>http://ts.21cn.com/tousu/show/id/1344072</v>
      </c>
      <c r="F12673" s="2" t="s">
        <v>11</v>
      </c>
      <c r="G12673" s="2" t="s">
        <v>19229</v>
      </c>
      <c r="H12673" s="2" t="s">
        <v>19230</v>
      </c>
    </row>
    <row r="12674" spans="1:8" ht="25.05" customHeight="1" x14ac:dyDescent="0.25">
      <c r="A12674" s="2" t="s">
        <v>8</v>
      </c>
      <c r="B12674" s="2" t="str">
        <f>HYPERLINK("http://ts.21cn.com/tousu/show/id/1344073","有钱用平台利息太高")</f>
        <v>有钱用平台利息太高</v>
      </c>
      <c r="C12674" s="2" t="s">
        <v>9</v>
      </c>
      <c r="D12674" s="2" t="s">
        <v>10</v>
      </c>
      <c r="E12674" s="2" t="str">
        <f>HYPERLINK("http://ts.21cn.com/tousu/show/id/1344073","http://ts.21cn.com/tousu/show/id/1344073")</f>
        <v>http://ts.21cn.com/tousu/show/id/1344073</v>
      </c>
      <c r="F12674" s="2" t="s">
        <v>11</v>
      </c>
      <c r="G12674" s="2" t="s">
        <v>19227</v>
      </c>
      <c r="H12674" s="2" t="s">
        <v>19228</v>
      </c>
    </row>
    <row r="12675" spans="1:8" ht="25.05" customHeight="1" x14ac:dyDescent="0.25">
      <c r="A12675" s="2" t="s">
        <v>8</v>
      </c>
      <c r="B12675" s="2" t="str">
        <f>HYPERLINK("http://ts.21cn.com/tousu/show/id/1344074","拍拍贷高利贷")</f>
        <v>拍拍贷高利贷</v>
      </c>
      <c r="C12675" s="2" t="s">
        <v>9</v>
      </c>
      <c r="D12675" s="2" t="s">
        <v>10</v>
      </c>
      <c r="E12675" s="2" t="str">
        <f>HYPERLINK("http://ts.21cn.com/tousu/show/id/1344074","http://ts.21cn.com/tousu/show/id/1344074")</f>
        <v>http://ts.21cn.com/tousu/show/id/1344074</v>
      </c>
      <c r="F12675" s="2" t="s">
        <v>11</v>
      </c>
      <c r="G12675" s="2" t="s">
        <v>19225</v>
      </c>
      <c r="H12675" s="2" t="s">
        <v>19226</v>
      </c>
    </row>
    <row r="12676" spans="1:8" ht="25.05" customHeight="1" x14ac:dyDescent="0.25">
      <c r="A12676" s="2" t="s">
        <v>8</v>
      </c>
      <c r="B12676" s="2" t="str">
        <f>HYPERLINK("http://ts.21cn.com/tousu/show/id/1344075","投诉招联金融")</f>
        <v>投诉招联金融</v>
      </c>
      <c r="C12676" s="2" t="s">
        <v>9</v>
      </c>
      <c r="D12676" s="2" t="s">
        <v>10</v>
      </c>
      <c r="E12676" s="2" t="str">
        <f>HYPERLINK("http://ts.21cn.com/tousu/show/id/1344075","http://ts.21cn.com/tousu/show/id/1344075")</f>
        <v>http://ts.21cn.com/tousu/show/id/1344075</v>
      </c>
      <c r="F12676" s="2" t="s">
        <v>11</v>
      </c>
      <c r="G12676" s="2" t="s">
        <v>19223</v>
      </c>
      <c r="H12676" s="2" t="s">
        <v>19224</v>
      </c>
    </row>
    <row r="12677" spans="1:8" ht="25.05" customHeight="1" x14ac:dyDescent="0.25">
      <c r="A12677" s="2" t="s">
        <v>8</v>
      </c>
      <c r="B12677" s="2" t="str">
        <f>HYPERLINK("http://ts.21cn.com/tousu/show/id/1344076","招商银行和高德打车忽悠客户，不履行承诺。")</f>
        <v>招商银行和高德打车忽悠客户，不履行承诺。</v>
      </c>
      <c r="C12677" s="2" t="s">
        <v>9</v>
      </c>
      <c r="D12677" s="2" t="s">
        <v>10</v>
      </c>
      <c r="E12677" s="2" t="str">
        <f>HYPERLINK("http://ts.21cn.com/tousu/show/id/1344076","http://ts.21cn.com/tousu/show/id/1344076")</f>
        <v>http://ts.21cn.com/tousu/show/id/1344076</v>
      </c>
      <c r="F12677" s="2" t="s">
        <v>11</v>
      </c>
      <c r="G12677" s="2" t="s">
        <v>19221</v>
      </c>
      <c r="H12677" s="2" t="s">
        <v>19222</v>
      </c>
    </row>
    <row r="12678" spans="1:8" ht="25.05" customHeight="1" x14ac:dyDescent="0.25">
      <c r="A12678" s="2" t="s">
        <v>8</v>
      </c>
      <c r="B12678" s="2" t="str">
        <f>HYPERLINK("http://ts.21cn.com/tousu/show/id/1344077","胡乱扣服务费")</f>
        <v>胡乱扣服务费</v>
      </c>
      <c r="C12678" s="2" t="s">
        <v>9</v>
      </c>
      <c r="D12678" s="2" t="s">
        <v>10</v>
      </c>
      <c r="E12678" s="2" t="str">
        <f>HYPERLINK("http://ts.21cn.com/tousu/show/id/1344077","http://ts.21cn.com/tousu/show/id/1344077")</f>
        <v>http://ts.21cn.com/tousu/show/id/1344077</v>
      </c>
      <c r="F12678" s="2" t="s">
        <v>11</v>
      </c>
      <c r="G12678" s="2" t="s">
        <v>19219</v>
      </c>
      <c r="H12678" s="2" t="s">
        <v>19220</v>
      </c>
    </row>
    <row r="12679" spans="1:8" ht="25.05" customHeight="1" x14ac:dyDescent="0.25">
      <c r="A12679" s="2" t="s">
        <v>8</v>
      </c>
      <c r="B12679" s="2" t="str">
        <f>HYPERLINK("http://ts.21cn.com/tousu/show/id/1344078","玖富万卡高利息，")</f>
        <v>玖富万卡高利息，</v>
      </c>
      <c r="C12679" s="2" t="s">
        <v>34</v>
      </c>
      <c r="D12679" s="2" t="s">
        <v>10</v>
      </c>
      <c r="E12679" s="2" t="str">
        <f>HYPERLINK("http://ts.21cn.com/tousu/show/id/1344078","http://ts.21cn.com/tousu/show/id/1344078")</f>
        <v>http://ts.21cn.com/tousu/show/id/1344078</v>
      </c>
      <c r="F12679" s="2" t="s">
        <v>11</v>
      </c>
      <c r="G12679" s="2" t="s">
        <v>19217</v>
      </c>
      <c r="H12679" s="2" t="s">
        <v>19218</v>
      </c>
    </row>
    <row r="12680" spans="1:8" ht="25.05" customHeight="1" x14ac:dyDescent="0.25">
      <c r="A12680" s="2" t="s">
        <v>8</v>
      </c>
      <c r="B12680" s="2" t="str">
        <f>HYPERLINK("http://ts.21cn.com/tousu/show/id/1344080","海尔消费金融利息很高，接近高利贷，提前结清还有高额手续费和利息")</f>
        <v>海尔消费金融利息很高，接近高利贷，提前结清还有高额手续费和利息</v>
      </c>
      <c r="C12680" s="2" t="s">
        <v>9</v>
      </c>
      <c r="D12680" s="2" t="s">
        <v>10</v>
      </c>
      <c r="E12680" s="2" t="str">
        <f>HYPERLINK("http://ts.21cn.com/tousu/show/id/1344080","http://ts.21cn.com/tousu/show/id/1344080")</f>
        <v>http://ts.21cn.com/tousu/show/id/1344080</v>
      </c>
      <c r="F12680" s="2" t="s">
        <v>11</v>
      </c>
      <c r="G12680" s="2" t="s">
        <v>19215</v>
      </c>
      <c r="H12680" s="2" t="s">
        <v>19216</v>
      </c>
    </row>
    <row r="12681" spans="1:8" ht="25.05" customHeight="1" x14ac:dyDescent="0.25">
      <c r="A12681" s="2" t="s">
        <v>8</v>
      </c>
      <c r="B12681" s="2" t="str">
        <f>HYPERLINK("http://ts.21cn.com/tousu/show/id/1344081","买的打印机，刚到货，由于不合适要退货，不给退货。")</f>
        <v>买的打印机，刚到货，由于不合适要退货，不给退货。</v>
      </c>
      <c r="C12681" s="2" t="s">
        <v>9</v>
      </c>
      <c r="D12681" s="2" t="s">
        <v>10</v>
      </c>
      <c r="E12681" s="2" t="str">
        <f>HYPERLINK("http://ts.21cn.com/tousu/show/id/1344081","http://ts.21cn.com/tousu/show/id/1344081")</f>
        <v>http://ts.21cn.com/tousu/show/id/1344081</v>
      </c>
      <c r="F12681" s="2" t="s">
        <v>11</v>
      </c>
      <c r="G12681" s="2" t="s">
        <v>19213</v>
      </c>
      <c r="H12681" s="2" t="s">
        <v>19214</v>
      </c>
    </row>
    <row r="12682" spans="1:8" ht="25.05" customHeight="1" x14ac:dyDescent="0.25">
      <c r="A12682" s="2" t="s">
        <v>8</v>
      </c>
      <c r="B12682" s="2" t="str">
        <f>HYPERLINK("http://ts.21cn.com/tousu/show/id/1344071","乐客独角兽虚假宣传诱导我加入会员收了会费没有履行当初承诺和服务要求全额退款并道歉")</f>
        <v>乐客独角兽虚假宣传诱导我加入会员收了会费没有履行当初承诺和服务要求全额退款并道歉</v>
      </c>
      <c r="C12682" s="2" t="s">
        <v>9</v>
      </c>
      <c r="D12682" s="2" t="s">
        <v>10</v>
      </c>
      <c r="E12682" s="2" t="str">
        <f>HYPERLINK("http://ts.21cn.com/tousu/show/id/1344071","http://ts.21cn.com/tousu/show/id/1344071")</f>
        <v>http://ts.21cn.com/tousu/show/id/1344071</v>
      </c>
      <c r="F12682" s="2" t="s">
        <v>11</v>
      </c>
      <c r="G12682" s="2" t="s">
        <v>19211</v>
      </c>
      <c r="H12682" s="2" t="s">
        <v>19212</v>
      </c>
    </row>
    <row r="12683" spans="1:8" ht="25.05" customHeight="1" x14ac:dyDescent="0.25">
      <c r="A12683" s="2" t="s">
        <v>8</v>
      </c>
      <c r="B12683" s="2" t="str">
        <f>HYPERLINK("http://ts.21cn.com/tousu/show/id/1344084","有钱花")</f>
        <v>有钱花</v>
      </c>
      <c r="C12683" s="2" t="s">
        <v>34</v>
      </c>
      <c r="D12683" s="2" t="s">
        <v>10</v>
      </c>
      <c r="E12683" s="2" t="str">
        <f>HYPERLINK("http://ts.21cn.com/tousu/show/id/1344084","http://ts.21cn.com/tousu/show/id/1344084")</f>
        <v>http://ts.21cn.com/tousu/show/id/1344084</v>
      </c>
      <c r="F12683" s="2" t="s">
        <v>11</v>
      </c>
      <c r="G12683" s="2" t="s">
        <v>19209</v>
      </c>
      <c r="H12683" s="2" t="s">
        <v>19210</v>
      </c>
    </row>
    <row r="12684" spans="1:8" ht="25.05" customHeight="1" x14ac:dyDescent="0.25">
      <c r="A12684" s="2" t="s">
        <v>8</v>
      </c>
      <c r="B12684" s="2" t="str">
        <f>HYPERLINK("http://ts.21cn.com/tousu/show/id/1344085","快钱支付为高炮平台违规提供支付渠道")</f>
        <v>快钱支付为高炮平台违规提供支付渠道</v>
      </c>
      <c r="C12684" s="2" t="s">
        <v>9</v>
      </c>
      <c r="D12684" s="2" t="s">
        <v>10</v>
      </c>
      <c r="E12684" s="2" t="str">
        <f>HYPERLINK("http://ts.21cn.com/tousu/show/id/1344085","http://ts.21cn.com/tousu/show/id/1344085")</f>
        <v>http://ts.21cn.com/tousu/show/id/1344085</v>
      </c>
      <c r="F12684" s="2" t="s">
        <v>11</v>
      </c>
      <c r="G12684" s="2" t="s">
        <v>19207</v>
      </c>
      <c r="H12684" s="2" t="s">
        <v>19208</v>
      </c>
    </row>
    <row r="12685" spans="1:8" ht="25.05" customHeight="1" x14ac:dyDescent="0.25">
      <c r="A12685" s="2" t="s">
        <v>8</v>
      </c>
      <c r="B12685" s="2" t="str">
        <f>HYPERLINK("http://ts.21cn.com/tousu/show/id/1344086","乱扣费")</f>
        <v>乱扣费</v>
      </c>
      <c r="C12685" s="2" t="s">
        <v>9</v>
      </c>
      <c r="D12685" s="2" t="s">
        <v>10</v>
      </c>
      <c r="E12685" s="2" t="str">
        <f>HYPERLINK("http://ts.21cn.com/tousu/show/id/1344086","http://ts.21cn.com/tousu/show/id/1344086")</f>
        <v>http://ts.21cn.com/tousu/show/id/1344086</v>
      </c>
      <c r="F12685" s="2" t="s">
        <v>11</v>
      </c>
      <c r="G12685" s="2" t="s">
        <v>19205</v>
      </c>
      <c r="H12685" s="2" t="s">
        <v>19206</v>
      </c>
    </row>
    <row r="12686" spans="1:8" ht="25.05" customHeight="1" x14ac:dyDescent="0.25">
      <c r="A12686" s="2" t="s">
        <v>8</v>
      </c>
      <c r="B12686" s="2" t="str">
        <f>HYPERLINK("http://ts.21cn.com/tousu/show/id/1344045","爱钱进")</f>
        <v>爱钱进</v>
      </c>
      <c r="C12686" s="2" t="s">
        <v>9</v>
      </c>
      <c r="D12686" s="2" t="s">
        <v>10</v>
      </c>
      <c r="E12686" s="2" t="str">
        <f>HYPERLINK("http://ts.21cn.com/tousu/show/id/1344045","http://ts.21cn.com/tousu/show/id/1344045")</f>
        <v>http://ts.21cn.com/tousu/show/id/1344045</v>
      </c>
      <c r="F12686" s="2" t="s">
        <v>11</v>
      </c>
      <c r="G12686" s="2" t="s">
        <v>19203</v>
      </c>
      <c r="H12686" s="2" t="s">
        <v>19204</v>
      </c>
    </row>
    <row r="12687" spans="1:8" ht="25.05" customHeight="1" x14ac:dyDescent="0.25">
      <c r="A12687" s="2" t="s">
        <v>8</v>
      </c>
      <c r="B12687" s="2" t="str">
        <f>HYPERLINK("http://ts.21cn.com/tousu/show/id/1344087","用钱宝套路贷")</f>
        <v>用钱宝套路贷</v>
      </c>
      <c r="C12687" s="2" t="s">
        <v>9</v>
      </c>
      <c r="D12687" s="2" t="s">
        <v>10</v>
      </c>
      <c r="E12687" s="2" t="str">
        <f>HYPERLINK("http://ts.21cn.com/tousu/show/id/1344087","http://ts.21cn.com/tousu/show/id/1344087")</f>
        <v>http://ts.21cn.com/tousu/show/id/1344087</v>
      </c>
      <c r="F12687" s="2" t="s">
        <v>11</v>
      </c>
      <c r="G12687" s="2" t="s">
        <v>19201</v>
      </c>
      <c r="H12687" s="2" t="s">
        <v>19202</v>
      </c>
    </row>
    <row r="12688" spans="1:8" ht="25.05" customHeight="1" x14ac:dyDescent="0.25">
      <c r="A12688" s="2" t="s">
        <v>8</v>
      </c>
      <c r="B12688" s="2" t="str">
        <f>HYPERLINK("http://ts.21cn.com/tousu/show/id/1344088","滴滴平台派单不合理")</f>
        <v>滴滴平台派单不合理</v>
      </c>
      <c r="C12688" s="2" t="s">
        <v>9</v>
      </c>
      <c r="D12688" s="2" t="s">
        <v>10</v>
      </c>
      <c r="E12688" s="2" t="str">
        <f>HYPERLINK("http://ts.21cn.com/tousu/show/id/1344088","http://ts.21cn.com/tousu/show/id/1344088")</f>
        <v>http://ts.21cn.com/tousu/show/id/1344088</v>
      </c>
      <c r="F12688" s="2" t="s">
        <v>11</v>
      </c>
      <c r="G12688" s="2" t="s">
        <v>19199</v>
      </c>
      <c r="H12688" s="2" t="s">
        <v>19200</v>
      </c>
    </row>
    <row r="12689" spans="1:8" ht="25.05" customHeight="1" x14ac:dyDescent="0.25">
      <c r="A12689" s="2" t="s">
        <v>8</v>
      </c>
      <c r="B12689" s="2" t="str">
        <f>HYPERLINK("http://ts.21cn.com/tousu/show/id/1344089","玖富和宝付未通过持卡人直接从银行卡里扣款")</f>
        <v>玖富和宝付未通过持卡人直接从银行卡里扣款</v>
      </c>
      <c r="C12689" s="2" t="s">
        <v>9</v>
      </c>
      <c r="D12689" s="2" t="s">
        <v>10</v>
      </c>
      <c r="E12689" s="2" t="str">
        <f>HYPERLINK("http://ts.21cn.com/tousu/show/id/1344089","http://ts.21cn.com/tousu/show/id/1344089")</f>
        <v>http://ts.21cn.com/tousu/show/id/1344089</v>
      </c>
      <c r="F12689" s="2" t="s">
        <v>11</v>
      </c>
      <c r="G12689" s="2" t="s">
        <v>19197</v>
      </c>
      <c r="H12689" s="2" t="s">
        <v>19198</v>
      </c>
    </row>
    <row r="12690" spans="1:8" ht="25.05" customHeight="1" x14ac:dyDescent="0.25">
      <c r="A12690" s="2" t="s">
        <v>8</v>
      </c>
      <c r="B12690" s="2" t="str">
        <f>HYPERLINK("http://ts.21cn.com/tousu/show/id/1344090","高息暴力催收")</f>
        <v>高息暴力催收</v>
      </c>
      <c r="C12690" s="2" t="s">
        <v>9</v>
      </c>
      <c r="D12690" s="2" t="s">
        <v>10</v>
      </c>
      <c r="E12690" s="2" t="str">
        <f>HYPERLINK("http://ts.21cn.com/tousu/show/id/1344090","http://ts.21cn.com/tousu/show/id/1344090")</f>
        <v>http://ts.21cn.com/tousu/show/id/1344090</v>
      </c>
      <c r="F12690" s="2" t="s">
        <v>11</v>
      </c>
      <c r="G12690" s="2" t="s">
        <v>19195</v>
      </c>
      <c r="H12690" s="2" t="s">
        <v>19196</v>
      </c>
    </row>
    <row r="12691" spans="1:8" ht="25.05" customHeight="1" x14ac:dyDescent="0.25">
      <c r="A12691" s="2" t="s">
        <v>8</v>
      </c>
      <c r="B12691" s="2" t="str">
        <f>HYPERLINK("http://ts.21cn.com/tousu/show/id/1344091","贷上钱乱收费")</f>
        <v>贷上钱乱收费</v>
      </c>
      <c r="C12691" s="2" t="s">
        <v>9</v>
      </c>
      <c r="D12691" s="2" t="s">
        <v>10</v>
      </c>
      <c r="E12691" s="2" t="str">
        <f>HYPERLINK("http://ts.21cn.com/tousu/show/id/1344091","http://ts.21cn.com/tousu/show/id/1344091")</f>
        <v>http://ts.21cn.com/tousu/show/id/1344091</v>
      </c>
      <c r="F12691" s="2" t="s">
        <v>11</v>
      </c>
      <c r="G12691" s="2" t="s">
        <v>19193</v>
      </c>
      <c r="H12691" s="2" t="s">
        <v>19194</v>
      </c>
    </row>
    <row r="12692" spans="1:8" ht="25.05" customHeight="1" x14ac:dyDescent="0.25">
      <c r="A12692" s="2" t="s">
        <v>8</v>
      </c>
      <c r="B12692" s="2" t="str">
        <f>HYPERLINK("http://ts.21cn.com/tousu/show/id/1344092","分期乐暴力催收骚扰家人高利贷套路贷")</f>
        <v>分期乐暴力催收骚扰家人高利贷套路贷</v>
      </c>
      <c r="C12692" s="2" t="s">
        <v>9</v>
      </c>
      <c r="D12692" s="2" t="s">
        <v>10</v>
      </c>
      <c r="E12692" s="2" t="str">
        <f>HYPERLINK("http://ts.21cn.com/tousu/show/id/1344092","http://ts.21cn.com/tousu/show/id/1344092")</f>
        <v>http://ts.21cn.com/tousu/show/id/1344092</v>
      </c>
      <c r="F12692" s="2" t="s">
        <v>11</v>
      </c>
      <c r="G12692" s="2" t="s">
        <v>19191</v>
      </c>
      <c r="H12692" s="2" t="s">
        <v>19192</v>
      </c>
    </row>
    <row r="12693" spans="1:8" ht="25.05" customHeight="1" x14ac:dyDescent="0.25">
      <c r="A12693" s="2" t="s">
        <v>8</v>
      </c>
      <c r="B12693" s="2" t="str">
        <f>HYPERLINK("http://ts.21cn.com/tousu/show/id/1344093","及贷放款时直接扣除所谓的保费，存在欺诈消费行为")</f>
        <v>及贷放款时直接扣除所谓的保费，存在欺诈消费行为</v>
      </c>
      <c r="C12693" s="2" t="s">
        <v>9</v>
      </c>
      <c r="D12693" s="2" t="s">
        <v>10</v>
      </c>
      <c r="E12693" s="2" t="str">
        <f>HYPERLINK("http://ts.21cn.com/tousu/show/id/1344093","http://ts.21cn.com/tousu/show/id/1344093")</f>
        <v>http://ts.21cn.com/tousu/show/id/1344093</v>
      </c>
      <c r="F12693" s="2" t="s">
        <v>11</v>
      </c>
      <c r="G12693" s="2" t="s">
        <v>19189</v>
      </c>
      <c r="H12693" s="2" t="s">
        <v>19190</v>
      </c>
    </row>
    <row r="12694" spans="1:8" ht="25.05" customHeight="1" x14ac:dyDescent="0.25">
      <c r="A12694" s="2" t="s">
        <v>8</v>
      </c>
      <c r="B12694" s="2" t="str">
        <f>HYPERLINK("http://ts.21cn.com/tousu/show/id/1344094","今巴蟹业不发货")</f>
        <v>今巴蟹业不发货</v>
      </c>
      <c r="C12694" s="2" t="s">
        <v>34</v>
      </c>
      <c r="D12694" s="2" t="s">
        <v>10</v>
      </c>
      <c r="E12694" s="2" t="str">
        <f>HYPERLINK("http://ts.21cn.com/tousu/show/id/1344094","http://ts.21cn.com/tousu/show/id/1344094")</f>
        <v>http://ts.21cn.com/tousu/show/id/1344094</v>
      </c>
      <c r="F12694" s="2" t="s">
        <v>11</v>
      </c>
      <c r="G12694" s="2" t="s">
        <v>19187</v>
      </c>
      <c r="H12694" s="2" t="s">
        <v>19188</v>
      </c>
    </row>
    <row r="12695" spans="1:8" ht="25.05" customHeight="1" x14ac:dyDescent="0.25">
      <c r="A12695" s="2" t="s">
        <v>8</v>
      </c>
      <c r="B12695" s="2" t="str">
        <f>HYPERLINK("http://ts.21cn.com/tousu/show/id/1344095","涉嫌违规欺诈申请退款")</f>
        <v>涉嫌违规欺诈申请退款</v>
      </c>
      <c r="C12695" s="2" t="s">
        <v>9</v>
      </c>
      <c r="D12695" s="2" t="s">
        <v>10</v>
      </c>
      <c r="E12695" s="2" t="str">
        <f>HYPERLINK("http://ts.21cn.com/tousu/show/id/1344095","http://ts.21cn.com/tousu/show/id/1344095")</f>
        <v>http://ts.21cn.com/tousu/show/id/1344095</v>
      </c>
      <c r="F12695" s="2" t="s">
        <v>11</v>
      </c>
      <c r="G12695" s="2" t="s">
        <v>19185</v>
      </c>
      <c r="H12695" s="2" t="s">
        <v>19186</v>
      </c>
    </row>
    <row r="12696" spans="1:8" ht="25.05" customHeight="1" x14ac:dyDescent="0.25">
      <c r="A12696" s="2" t="s">
        <v>8</v>
      </c>
      <c r="B12696" s="2" t="str">
        <f>HYPERLINK("http://ts.21cn.com/tousu/show/id/1344096","广州速得分期涉高利贷")</f>
        <v>广州速得分期涉高利贷</v>
      </c>
      <c r="C12696" s="2" t="s">
        <v>9</v>
      </c>
      <c r="D12696" s="2" t="s">
        <v>10</v>
      </c>
      <c r="E12696" s="2" t="str">
        <f>HYPERLINK("http://ts.21cn.com/tousu/show/id/1344096","http://ts.21cn.com/tousu/show/id/1344096")</f>
        <v>http://ts.21cn.com/tousu/show/id/1344096</v>
      </c>
      <c r="F12696" s="2" t="s">
        <v>11</v>
      </c>
      <c r="G12696" s="2" t="s">
        <v>19183</v>
      </c>
      <c r="H12696" s="2" t="s">
        <v>19184</v>
      </c>
    </row>
    <row r="12697" spans="1:8" ht="25.05" customHeight="1" x14ac:dyDescent="0.25">
      <c r="A12697" s="2" t="s">
        <v>8</v>
      </c>
      <c r="B12697" s="2" t="str">
        <f>HYPERLINK("http://ts.21cn.com/tousu/show/id/1344069","壹心分期砍头息、手续高额中介费")</f>
        <v>壹心分期砍头息、手续高额中介费</v>
      </c>
      <c r="C12697" s="2" t="s">
        <v>9</v>
      </c>
      <c r="D12697" s="2" t="s">
        <v>10</v>
      </c>
      <c r="E12697" s="2" t="str">
        <f>HYPERLINK("http://ts.21cn.com/tousu/show/id/1344069","http://ts.21cn.com/tousu/show/id/1344069")</f>
        <v>http://ts.21cn.com/tousu/show/id/1344069</v>
      </c>
      <c r="F12697" s="2" t="s">
        <v>11</v>
      </c>
      <c r="G12697" s="2" t="s">
        <v>19181</v>
      </c>
      <c r="H12697" s="2" t="s">
        <v>19182</v>
      </c>
    </row>
    <row r="12698" spans="1:8" ht="25.05" customHeight="1" x14ac:dyDescent="0.25">
      <c r="A12698" s="2" t="s">
        <v>8</v>
      </c>
      <c r="B12698" s="2" t="str">
        <f>HYPERLINK("http://ts.21cn.com/tousu/show/id/1344098","要求金银钱包借款APP取消借款")</f>
        <v>要求金银钱包借款APP取消借款</v>
      </c>
      <c r="C12698" s="2" t="s">
        <v>34</v>
      </c>
      <c r="D12698" s="2" t="s">
        <v>10</v>
      </c>
      <c r="E12698" s="2" t="str">
        <f>HYPERLINK("http://ts.21cn.com/tousu/show/id/1344098","http://ts.21cn.com/tousu/show/id/1344098")</f>
        <v>http://ts.21cn.com/tousu/show/id/1344098</v>
      </c>
      <c r="F12698" s="2" t="s">
        <v>11</v>
      </c>
      <c r="G12698" s="2" t="s">
        <v>19179</v>
      </c>
      <c r="H12698" s="2" t="s">
        <v>19180</v>
      </c>
    </row>
    <row r="12699" spans="1:8" ht="25.05" customHeight="1" x14ac:dyDescent="0.25">
      <c r="A12699" s="2" t="s">
        <v>8</v>
      </c>
      <c r="B12699" s="2" t="str">
        <f>HYPERLINK("http://ts.21cn.com/tousu/show/id/1344099","工商银行暴力催收")</f>
        <v>工商银行暴力催收</v>
      </c>
      <c r="C12699" s="2" t="s">
        <v>9</v>
      </c>
      <c r="D12699" s="2" t="s">
        <v>10</v>
      </c>
      <c r="E12699" s="2" t="str">
        <f>HYPERLINK("http://ts.21cn.com/tousu/show/id/1344099","http://ts.21cn.com/tousu/show/id/1344099")</f>
        <v>http://ts.21cn.com/tousu/show/id/1344099</v>
      </c>
      <c r="F12699" s="2" t="s">
        <v>11</v>
      </c>
      <c r="G12699" s="2" t="s">
        <v>19177</v>
      </c>
      <c r="H12699" s="2" t="s">
        <v>19178</v>
      </c>
    </row>
    <row r="12700" spans="1:8" ht="25.05" customHeight="1" x14ac:dyDescent="0.25">
      <c r="A12700" s="2" t="s">
        <v>8</v>
      </c>
      <c r="B12700" s="2" t="str">
        <f>HYPERLINK("http://ts.21cn.com/tousu/show/id/1344104","云闪付违背国家法律为赌博网站充当收款方！！！")</f>
        <v>云闪付违背国家法律为赌博网站充当收款方！！！</v>
      </c>
      <c r="C12700" s="2" t="s">
        <v>9</v>
      </c>
      <c r="D12700" s="2" t="s">
        <v>10</v>
      </c>
      <c r="E12700" s="2" t="str">
        <f>HYPERLINK("http://ts.21cn.com/tousu/show/id/1344104","http://ts.21cn.com/tousu/show/id/1344104")</f>
        <v>http://ts.21cn.com/tousu/show/id/1344104</v>
      </c>
      <c r="F12700" s="2" t="s">
        <v>11</v>
      </c>
      <c r="G12700" s="2" t="s">
        <v>19175</v>
      </c>
      <c r="H12700" s="2" t="s">
        <v>19176</v>
      </c>
    </row>
    <row r="12701" spans="1:8" ht="25.05" customHeight="1" x14ac:dyDescent="0.25">
      <c r="A12701" s="2" t="s">
        <v>8</v>
      </c>
      <c r="B12701" s="2" t="str">
        <f>HYPERLINK("http://ts.21cn.com/tousu/show/id/1344106","利息高")</f>
        <v>利息高</v>
      </c>
      <c r="C12701" s="2" t="s">
        <v>9</v>
      </c>
      <c r="D12701" s="2" t="s">
        <v>10</v>
      </c>
      <c r="E12701" s="2" t="str">
        <f>HYPERLINK("http://ts.21cn.com/tousu/show/id/1344106","http://ts.21cn.com/tousu/show/id/1344106")</f>
        <v>http://ts.21cn.com/tousu/show/id/1344106</v>
      </c>
      <c r="F12701" s="2" t="s">
        <v>11</v>
      </c>
      <c r="G12701" s="2" t="s">
        <v>19173</v>
      </c>
      <c r="H12701" s="2" t="s">
        <v>19174</v>
      </c>
    </row>
    <row r="12702" spans="1:8" ht="25.05" customHeight="1" x14ac:dyDescent="0.25">
      <c r="A12702" s="2" t="s">
        <v>8</v>
      </c>
      <c r="B12702" s="2" t="str">
        <f>HYPERLINK("http://ts.21cn.com/tousu/show/id/1344107","尚德机构收费后不能提供服务，要求退费推诿不解决")</f>
        <v>尚德机构收费后不能提供服务，要求退费推诿不解决</v>
      </c>
      <c r="C12702" s="2" t="s">
        <v>9</v>
      </c>
      <c r="D12702" s="2" t="s">
        <v>10</v>
      </c>
      <c r="E12702" s="2" t="str">
        <f>HYPERLINK("http://ts.21cn.com/tousu/show/id/1344107","http://ts.21cn.com/tousu/show/id/1344107")</f>
        <v>http://ts.21cn.com/tousu/show/id/1344107</v>
      </c>
      <c r="F12702" s="2" t="s">
        <v>11</v>
      </c>
      <c r="G12702" s="2" t="s">
        <v>19171</v>
      </c>
      <c r="H12702" s="2" t="s">
        <v>19172</v>
      </c>
    </row>
    <row r="12703" spans="1:8" ht="25.05" customHeight="1" x14ac:dyDescent="0.25">
      <c r="A12703" s="2" t="s">
        <v>8</v>
      </c>
      <c r="B12703" s="2" t="str">
        <f>HYPERLINK("http://ts.21cn.com/tousu/show/id/1344108","聚富分期合同虚构私自扣款")</f>
        <v>聚富分期合同虚构私自扣款</v>
      </c>
      <c r="C12703" s="2" t="s">
        <v>9</v>
      </c>
      <c r="D12703" s="2" t="s">
        <v>10</v>
      </c>
      <c r="E12703" s="2" t="str">
        <f>HYPERLINK("http://ts.21cn.com/tousu/show/id/1344108","http://ts.21cn.com/tousu/show/id/1344108")</f>
        <v>http://ts.21cn.com/tousu/show/id/1344108</v>
      </c>
      <c r="F12703" s="2" t="s">
        <v>11</v>
      </c>
      <c r="G12703" s="2" t="s">
        <v>19169</v>
      </c>
      <c r="H12703" s="2" t="s">
        <v>19170</v>
      </c>
    </row>
    <row r="12704" spans="1:8" ht="25.05" customHeight="1" x14ac:dyDescent="0.25">
      <c r="A12704" s="2" t="s">
        <v>8</v>
      </c>
      <c r="B12704" s="2" t="str">
        <f>HYPERLINK("http://ts.21cn.com/tousu/show/id/1344097","电信翼支付借款违约金高额利息客服蛮横不讲理")</f>
        <v>电信翼支付借款违约金高额利息客服蛮横不讲理</v>
      </c>
      <c r="C12704" s="2" t="s">
        <v>9</v>
      </c>
      <c r="D12704" s="2" t="s">
        <v>10</v>
      </c>
      <c r="E12704" s="2" t="str">
        <f>HYPERLINK("http://ts.21cn.com/tousu/show/id/1344097","http://ts.21cn.com/tousu/show/id/1344097")</f>
        <v>http://ts.21cn.com/tousu/show/id/1344097</v>
      </c>
      <c r="F12704" s="2" t="s">
        <v>11</v>
      </c>
      <c r="G12704" s="2" t="s">
        <v>19167</v>
      </c>
      <c r="H12704" s="2" t="s">
        <v>19168</v>
      </c>
    </row>
    <row r="12705" spans="1:8" ht="25.05" customHeight="1" x14ac:dyDescent="0.25">
      <c r="A12705" s="2" t="s">
        <v>8</v>
      </c>
      <c r="B12705" s="2" t="str">
        <f>HYPERLINK("http://ts.21cn.com/tousu/show/id/1344110","无辜扣款")</f>
        <v>无辜扣款</v>
      </c>
      <c r="C12705" s="2" t="s">
        <v>34</v>
      </c>
      <c r="D12705" s="2" t="s">
        <v>10</v>
      </c>
      <c r="E12705" s="2" t="str">
        <f>HYPERLINK("http://ts.21cn.com/tousu/show/id/1344110","http://ts.21cn.com/tousu/show/id/1344110")</f>
        <v>http://ts.21cn.com/tousu/show/id/1344110</v>
      </c>
      <c r="F12705" s="2" t="s">
        <v>11</v>
      </c>
      <c r="G12705" s="2" t="s">
        <v>19165</v>
      </c>
      <c r="H12705" s="2" t="s">
        <v>19166</v>
      </c>
    </row>
    <row r="12706" spans="1:8" ht="25.05" customHeight="1" x14ac:dyDescent="0.25">
      <c r="A12706" s="2" t="s">
        <v>8</v>
      </c>
      <c r="B12706" s="2" t="str">
        <f>HYPERLINK("http://ts.21cn.com/tousu/show/id/1344111","暴力催收，高频率爆通讯录，恐吓")</f>
        <v>暴力催收，高频率爆通讯录，恐吓</v>
      </c>
      <c r="C12706" s="2" t="s">
        <v>9</v>
      </c>
      <c r="D12706" s="2" t="s">
        <v>10</v>
      </c>
      <c r="E12706" s="2" t="str">
        <f>HYPERLINK("http://ts.21cn.com/tousu/show/id/1344111","http://ts.21cn.com/tousu/show/id/1344111")</f>
        <v>http://ts.21cn.com/tousu/show/id/1344111</v>
      </c>
      <c r="F12706" s="2" t="s">
        <v>11</v>
      </c>
      <c r="G12706" s="2" t="s">
        <v>19163</v>
      </c>
      <c r="H12706" s="2" t="s">
        <v>19164</v>
      </c>
    </row>
    <row r="12707" spans="1:8" ht="25.05" customHeight="1" x14ac:dyDescent="0.25">
      <c r="A12707" s="2" t="s">
        <v>8</v>
      </c>
      <c r="B12707" s="2" t="str">
        <f>HYPERLINK("http://ts.21cn.com/tousu/show/id/1344113","贷款逾期被爆通讯录")</f>
        <v>贷款逾期被爆通讯录</v>
      </c>
      <c r="C12707" s="2" t="s">
        <v>9</v>
      </c>
      <c r="D12707" s="2" t="s">
        <v>10</v>
      </c>
      <c r="E12707" s="2" t="str">
        <f>HYPERLINK("http://ts.21cn.com/tousu/show/id/1344113","http://ts.21cn.com/tousu/show/id/1344113")</f>
        <v>http://ts.21cn.com/tousu/show/id/1344113</v>
      </c>
      <c r="F12707" s="2" t="s">
        <v>11</v>
      </c>
      <c r="G12707" s="2" t="s">
        <v>19161</v>
      </c>
      <c r="H12707" s="2" t="s">
        <v>19162</v>
      </c>
    </row>
    <row r="12708" spans="1:8" ht="25.05" customHeight="1" x14ac:dyDescent="0.25">
      <c r="A12708" s="2" t="s">
        <v>8</v>
      </c>
      <c r="B12708" s="2" t="str">
        <f>HYPERLINK("http://ts.21cn.com/tousu/show/id/1344103","退会员费")</f>
        <v>退会员费</v>
      </c>
      <c r="C12708" s="2" t="s">
        <v>34</v>
      </c>
      <c r="D12708" s="2" t="s">
        <v>10</v>
      </c>
      <c r="E12708" s="2" t="str">
        <f>HYPERLINK("http://ts.21cn.com/tousu/show/id/1344103","http://ts.21cn.com/tousu/show/id/1344103")</f>
        <v>http://ts.21cn.com/tousu/show/id/1344103</v>
      </c>
      <c r="F12708" s="2" t="s">
        <v>11</v>
      </c>
      <c r="G12708" s="2" t="s">
        <v>19158</v>
      </c>
      <c r="H12708" s="2" t="s">
        <v>19159</v>
      </c>
    </row>
    <row r="12709" spans="1:8" ht="25.05" customHeight="1" x14ac:dyDescent="0.25">
      <c r="A12709" s="2" t="s">
        <v>8</v>
      </c>
      <c r="B12709" s="2" t="str">
        <f>HYPERLINK("http://ts.21cn.com/tousu/show/id/1344083","高利贷，变相收取高额费用，诉求调整利率，撤销变相收费")</f>
        <v>高利贷，变相收取高额费用，诉求调整利率，撤销变相收费</v>
      </c>
      <c r="C12709" s="2" t="s">
        <v>9</v>
      </c>
      <c r="D12709" s="2" t="s">
        <v>10</v>
      </c>
      <c r="E12709" s="2" t="str">
        <f>HYPERLINK("http://ts.21cn.com/tousu/show/id/1344083","http://ts.21cn.com/tousu/show/id/1344083")</f>
        <v>http://ts.21cn.com/tousu/show/id/1344083</v>
      </c>
      <c r="F12709" s="2" t="s">
        <v>11</v>
      </c>
      <c r="G12709" s="2" t="s">
        <v>19158</v>
      </c>
      <c r="H12709" s="2" t="s">
        <v>19160</v>
      </c>
    </row>
    <row r="12710" spans="1:8" ht="25.05" customHeight="1" x14ac:dyDescent="0.25">
      <c r="A12710" s="2" t="s">
        <v>8</v>
      </c>
      <c r="B12710" s="2" t="str">
        <f>HYPERLINK("http://ts.21cn.com/tousu/show/id/1344114","为赌博平台支付渠道")</f>
        <v>为赌博平台支付渠道</v>
      </c>
      <c r="C12710" s="2" t="s">
        <v>9</v>
      </c>
      <c r="D12710" s="2" t="s">
        <v>10</v>
      </c>
      <c r="E12710" s="2" t="str">
        <f>HYPERLINK("http://ts.21cn.com/tousu/show/id/1344114","http://ts.21cn.com/tousu/show/id/1344114")</f>
        <v>http://ts.21cn.com/tousu/show/id/1344114</v>
      </c>
      <c r="F12710" s="2" t="s">
        <v>11</v>
      </c>
      <c r="G12710" s="2" t="s">
        <v>19156</v>
      </c>
      <c r="H12710" s="2" t="s">
        <v>19157</v>
      </c>
    </row>
    <row r="12711" spans="1:8" ht="25.05" customHeight="1" x14ac:dyDescent="0.25">
      <c r="A12711" s="2" t="s">
        <v>8</v>
      </c>
      <c r="B12711" s="2" t="str">
        <f>HYPERLINK("http://ts.21cn.com/tousu/show/id/1344115","投诉兴业银行信用卡中心泄露个人信息给第三方催收公司骚扰，多次打电话无人与我协商还款的问题")</f>
        <v>投诉兴业银行信用卡中心泄露个人信息给第三方催收公司骚扰，多次打电话无人与我协商还款的问题</v>
      </c>
      <c r="C12711" s="2" t="s">
        <v>9</v>
      </c>
      <c r="D12711" s="2" t="s">
        <v>10</v>
      </c>
      <c r="E12711" s="2" t="str">
        <f>HYPERLINK("http://ts.21cn.com/tousu/show/id/1344115","http://ts.21cn.com/tousu/show/id/1344115")</f>
        <v>http://ts.21cn.com/tousu/show/id/1344115</v>
      </c>
      <c r="F12711" s="2" t="s">
        <v>11</v>
      </c>
      <c r="G12711" s="2" t="s">
        <v>19154</v>
      </c>
      <c r="H12711" s="2" t="s">
        <v>19155</v>
      </c>
    </row>
    <row r="12712" spans="1:8" ht="25.05" customHeight="1" x14ac:dyDescent="0.25">
      <c r="A12712" s="2" t="s">
        <v>8</v>
      </c>
      <c r="B12712" s="2" t="str">
        <f>HYPERLINK("http://ts.21cn.com/tousu/show/id/1344116","接不到单")</f>
        <v>接不到单</v>
      </c>
      <c r="C12712" s="2" t="s">
        <v>9</v>
      </c>
      <c r="D12712" s="2" t="s">
        <v>10</v>
      </c>
      <c r="E12712" s="2" t="str">
        <f>HYPERLINK("http://ts.21cn.com/tousu/show/id/1344116","http://ts.21cn.com/tousu/show/id/1344116")</f>
        <v>http://ts.21cn.com/tousu/show/id/1344116</v>
      </c>
      <c r="F12712" s="2" t="s">
        <v>11</v>
      </c>
      <c r="G12712" s="2" t="s">
        <v>19152</v>
      </c>
      <c r="H12712" s="2" t="s">
        <v>19153</v>
      </c>
    </row>
    <row r="12713" spans="1:8" ht="25.05" customHeight="1" x14ac:dyDescent="0.25">
      <c r="A12713" s="2" t="s">
        <v>8</v>
      </c>
      <c r="B12713" s="2" t="str">
        <f>HYPERLINK("http://ts.21cn.com/tousu/show/id/1344117","今借到纵容违法高利贷")</f>
        <v>今借到纵容违法高利贷</v>
      </c>
      <c r="C12713" s="2" t="s">
        <v>9</v>
      </c>
      <c r="D12713" s="2" t="s">
        <v>10</v>
      </c>
      <c r="E12713" s="2" t="str">
        <f>HYPERLINK("http://ts.21cn.com/tousu/show/id/1344117","http://ts.21cn.com/tousu/show/id/1344117")</f>
        <v>http://ts.21cn.com/tousu/show/id/1344117</v>
      </c>
      <c r="F12713" s="2" t="s">
        <v>11</v>
      </c>
      <c r="G12713" s="2" t="s">
        <v>19150</v>
      </c>
      <c r="H12713" s="2" t="s">
        <v>19151</v>
      </c>
    </row>
    <row r="12714" spans="1:8" ht="25.05" customHeight="1" x14ac:dyDescent="0.25">
      <c r="A12714" s="2" t="s">
        <v>8</v>
      </c>
      <c r="B12714" s="2" t="str">
        <f>HYPERLINK("http://ts.21cn.com/tousu/show/id/1344118","黑网贷")</f>
        <v>黑网贷</v>
      </c>
      <c r="C12714" s="2" t="s">
        <v>34</v>
      </c>
      <c r="D12714" s="2" t="s">
        <v>10</v>
      </c>
      <c r="E12714" s="2" t="str">
        <f>HYPERLINK("http://ts.21cn.com/tousu/show/id/1344118","http://ts.21cn.com/tousu/show/id/1344118")</f>
        <v>http://ts.21cn.com/tousu/show/id/1344118</v>
      </c>
      <c r="F12714" s="2" t="s">
        <v>11</v>
      </c>
      <c r="G12714" s="2" t="s">
        <v>19148</v>
      </c>
      <c r="H12714" s="2" t="s">
        <v>19149</v>
      </c>
    </row>
    <row r="12715" spans="1:8" ht="25.05" customHeight="1" x14ac:dyDescent="0.25">
      <c r="A12715" s="2" t="s">
        <v>8</v>
      </c>
      <c r="B12715" s="2" t="str">
        <f>HYPERLINK("http://ts.21cn.com/tousu/show/id/1344119","厦门快乐时代有限公司在支付宝乱扣钱")</f>
        <v>厦门快乐时代有限公司在支付宝乱扣钱</v>
      </c>
      <c r="C12715" s="2" t="s">
        <v>9</v>
      </c>
      <c r="D12715" s="2" t="s">
        <v>10</v>
      </c>
      <c r="E12715" s="2" t="str">
        <f>HYPERLINK("http://ts.21cn.com/tousu/show/id/1344119","http://ts.21cn.com/tousu/show/id/1344119")</f>
        <v>http://ts.21cn.com/tousu/show/id/1344119</v>
      </c>
      <c r="F12715" s="2" t="s">
        <v>11</v>
      </c>
      <c r="G12715" s="2" t="s">
        <v>19146</v>
      </c>
      <c r="H12715" s="2" t="s">
        <v>19147</v>
      </c>
    </row>
    <row r="12716" spans="1:8" ht="25.05" customHeight="1" x14ac:dyDescent="0.25">
      <c r="A12716" s="2" t="s">
        <v>8</v>
      </c>
      <c r="B12716" s="2" t="str">
        <f>HYPERLINK("http://ts.21cn.com/tousu/show/id/1344120","追回所有赌博资金")</f>
        <v>追回所有赌博资金</v>
      </c>
      <c r="C12716" s="2" t="s">
        <v>9</v>
      </c>
      <c r="D12716" s="2" t="s">
        <v>10</v>
      </c>
      <c r="E12716" s="2" t="str">
        <f>HYPERLINK("http://ts.21cn.com/tousu/show/id/1344120","http://ts.21cn.com/tousu/show/id/1344120")</f>
        <v>http://ts.21cn.com/tousu/show/id/1344120</v>
      </c>
      <c r="F12716" s="2" t="s">
        <v>11</v>
      </c>
      <c r="G12716" s="2" t="s">
        <v>19144</v>
      </c>
      <c r="H12716" s="2" t="s">
        <v>19145</v>
      </c>
    </row>
    <row r="12717" spans="1:8" ht="25.05" customHeight="1" x14ac:dyDescent="0.25">
      <c r="A12717" s="2" t="s">
        <v>8</v>
      </c>
      <c r="B12717" s="2" t="str">
        <f>HYPERLINK("http://ts.21cn.com/tousu/show/id/1344121","淘钱钱爆利催收。恐吓")</f>
        <v>淘钱钱爆利催收。恐吓</v>
      </c>
      <c r="C12717" s="2" t="s">
        <v>9</v>
      </c>
      <c r="D12717" s="2" t="s">
        <v>10</v>
      </c>
      <c r="E12717" s="2" t="str">
        <f>HYPERLINK("http://ts.21cn.com/tousu/show/id/1344121","http://ts.21cn.com/tousu/show/id/1344121")</f>
        <v>http://ts.21cn.com/tousu/show/id/1344121</v>
      </c>
      <c r="F12717" s="2" t="s">
        <v>11</v>
      </c>
      <c r="G12717" s="2" t="s">
        <v>19142</v>
      </c>
      <c r="H12717" s="2" t="s">
        <v>19143</v>
      </c>
    </row>
    <row r="12718" spans="1:8" ht="25.05" customHeight="1" x14ac:dyDescent="0.25">
      <c r="A12718" s="2" t="s">
        <v>8</v>
      </c>
      <c r="B12718" s="2" t="str">
        <f>HYPERLINK("http://ts.21cn.com/tousu/show/id/1344123","14天物流停滞，商家拒绝退款后，申请平台介入仍拒绝")</f>
        <v>14天物流停滞，商家拒绝退款后，申请平台介入仍拒绝</v>
      </c>
      <c r="C12718" s="2" t="s">
        <v>9</v>
      </c>
      <c r="D12718" s="2" t="s">
        <v>10</v>
      </c>
      <c r="E12718" s="2" t="str">
        <f>HYPERLINK("http://ts.21cn.com/tousu/show/id/1344123","http://ts.21cn.com/tousu/show/id/1344123")</f>
        <v>http://ts.21cn.com/tousu/show/id/1344123</v>
      </c>
      <c r="F12718" s="2" t="s">
        <v>11</v>
      </c>
      <c r="G12718" s="2" t="s">
        <v>19140</v>
      </c>
      <c r="H12718" s="2" t="s">
        <v>19141</v>
      </c>
    </row>
    <row r="12719" spans="1:8" ht="25.05" customHeight="1" x14ac:dyDescent="0.25">
      <c r="A12719" s="2" t="s">
        <v>8</v>
      </c>
      <c r="B12719" s="2" t="str">
        <f>HYPERLINK("http://ts.21cn.com/tousu/show/id/1344124","淘宝信誉评级被降")</f>
        <v>淘宝信誉评级被降</v>
      </c>
      <c r="C12719" s="2" t="s">
        <v>34</v>
      </c>
      <c r="D12719" s="2" t="s">
        <v>10</v>
      </c>
      <c r="E12719" s="2" t="str">
        <f>HYPERLINK("http://ts.21cn.com/tousu/show/id/1344124","http://ts.21cn.com/tousu/show/id/1344124")</f>
        <v>http://ts.21cn.com/tousu/show/id/1344124</v>
      </c>
      <c r="F12719" s="2" t="s">
        <v>11</v>
      </c>
      <c r="G12719" s="2" t="s">
        <v>19138</v>
      </c>
      <c r="H12719" s="2" t="s">
        <v>19139</v>
      </c>
    </row>
    <row r="12720" spans="1:8" ht="25.05" customHeight="1" x14ac:dyDescent="0.25">
      <c r="A12720" s="2" t="s">
        <v>8</v>
      </c>
      <c r="B12720" s="2" t="str">
        <f>HYPERLINK("http://ts.21cn.com/tousu/show/id/1344125","拇指下款软件使用合同漏洞对我的银行卡进行恶意扣款！")</f>
        <v>拇指下款软件使用合同漏洞对我的银行卡进行恶意扣款！</v>
      </c>
      <c r="C12720" s="2" t="s">
        <v>9</v>
      </c>
      <c r="D12720" s="2" t="s">
        <v>10</v>
      </c>
      <c r="E12720" s="2" t="str">
        <f>HYPERLINK("http://ts.21cn.com/tousu/show/id/1344125","http://ts.21cn.com/tousu/show/id/1344125")</f>
        <v>http://ts.21cn.com/tousu/show/id/1344125</v>
      </c>
      <c r="F12720" s="2" t="s">
        <v>11</v>
      </c>
      <c r="G12720" s="2" t="s">
        <v>19136</v>
      </c>
      <c r="H12720" s="2" t="s">
        <v>19137</v>
      </c>
    </row>
    <row r="12721" spans="1:8" ht="25.05" customHeight="1" x14ac:dyDescent="0.25">
      <c r="A12721" s="2" t="s">
        <v>8</v>
      </c>
      <c r="B12721" s="2" t="str">
        <f>HYPERLINK("http://ts.21cn.com/tousu/show/id/1344126","注销账户")</f>
        <v>注销账户</v>
      </c>
      <c r="C12721" s="2" t="s">
        <v>34</v>
      </c>
      <c r="D12721" s="2" t="s">
        <v>10</v>
      </c>
      <c r="E12721" s="2" t="str">
        <f>HYPERLINK("http://ts.21cn.com/tousu/show/id/1344126","http://ts.21cn.com/tousu/show/id/1344126")</f>
        <v>http://ts.21cn.com/tousu/show/id/1344126</v>
      </c>
      <c r="F12721" s="2" t="s">
        <v>11</v>
      </c>
      <c r="G12721" s="2" t="s">
        <v>19134</v>
      </c>
      <c r="H12721" s="2" t="s">
        <v>19135</v>
      </c>
    </row>
    <row r="12722" spans="1:8" ht="25.05" customHeight="1" x14ac:dyDescent="0.25">
      <c r="A12722" s="2" t="s">
        <v>8</v>
      </c>
      <c r="B12722" s="2" t="str">
        <f>HYPERLINK("http://ts.21cn.com/tousu/show/id/1344129","及贷给通讯录里所有人发信息")</f>
        <v>及贷给通讯录里所有人发信息</v>
      </c>
      <c r="C12722" s="2" t="s">
        <v>9</v>
      </c>
      <c r="D12722" s="2" t="s">
        <v>10</v>
      </c>
      <c r="E12722" s="2" t="str">
        <f>HYPERLINK("http://ts.21cn.com/tousu/show/id/1344129","http://ts.21cn.com/tousu/show/id/1344129")</f>
        <v>http://ts.21cn.com/tousu/show/id/1344129</v>
      </c>
      <c r="F12722" s="2" t="s">
        <v>11</v>
      </c>
      <c r="G12722" s="2" t="s">
        <v>19132</v>
      </c>
      <c r="H12722" s="2" t="s">
        <v>19133</v>
      </c>
    </row>
    <row r="12723" spans="1:8" ht="25.05" customHeight="1" x14ac:dyDescent="0.25">
      <c r="A12723" s="2" t="s">
        <v>8</v>
      </c>
      <c r="B12723" s="2" t="str">
        <f>HYPERLINK("http://ts.21cn.com/tousu/show/id/1344128","拍拍贷对通讯录骚扰")</f>
        <v>拍拍贷对通讯录骚扰</v>
      </c>
      <c r="C12723" s="2" t="s">
        <v>9</v>
      </c>
      <c r="D12723" s="2" t="s">
        <v>10</v>
      </c>
      <c r="E12723" s="2" t="str">
        <f>HYPERLINK("http://ts.21cn.com/tousu/show/id/1344128","http://ts.21cn.com/tousu/show/id/1344128")</f>
        <v>http://ts.21cn.com/tousu/show/id/1344128</v>
      </c>
      <c r="F12723" s="2" t="s">
        <v>11</v>
      </c>
      <c r="G12723" s="2" t="s">
        <v>19129</v>
      </c>
      <c r="H12723" s="2" t="s">
        <v>19130</v>
      </c>
    </row>
    <row r="12724" spans="1:8" ht="25.05" customHeight="1" x14ac:dyDescent="0.25">
      <c r="A12724" s="2" t="s">
        <v>8</v>
      </c>
      <c r="B12724" s="2" t="str">
        <f>HYPERLINK("http://ts.21cn.com/tousu/show/id/1344130","高利贷，爆通讯录，威胁要搞掉别人工作")</f>
        <v>高利贷，爆通讯录，威胁要搞掉别人工作</v>
      </c>
      <c r="C12724" s="2" t="s">
        <v>9</v>
      </c>
      <c r="D12724" s="2" t="s">
        <v>10</v>
      </c>
      <c r="E12724" s="2" t="str">
        <f>HYPERLINK("http://ts.21cn.com/tousu/show/id/1344130","http://ts.21cn.com/tousu/show/id/1344130")</f>
        <v>http://ts.21cn.com/tousu/show/id/1344130</v>
      </c>
      <c r="F12724" s="2" t="s">
        <v>11</v>
      </c>
      <c r="G12724" s="2" t="s">
        <v>19129</v>
      </c>
      <c r="H12724" s="2" t="s">
        <v>19131</v>
      </c>
    </row>
    <row r="12725" spans="1:8" ht="25.05" customHeight="1" x14ac:dyDescent="0.25">
      <c r="A12725" s="2" t="s">
        <v>8</v>
      </c>
      <c r="B12725" s="2" t="str">
        <f>HYPERLINK("http://ts.21cn.com/tousu/show/id/1344131","钱易贷催收成狂")</f>
        <v>钱易贷催收成狂</v>
      </c>
      <c r="C12725" s="2" t="s">
        <v>9</v>
      </c>
      <c r="D12725" s="2" t="s">
        <v>10</v>
      </c>
      <c r="E12725" s="2" t="str">
        <f>HYPERLINK("http://ts.21cn.com/tousu/show/id/1344131","http://ts.21cn.com/tousu/show/id/1344131")</f>
        <v>http://ts.21cn.com/tousu/show/id/1344131</v>
      </c>
      <c r="F12725" s="2" t="s">
        <v>11</v>
      </c>
      <c r="G12725" s="2" t="s">
        <v>19127</v>
      </c>
      <c r="H12725" s="2" t="s">
        <v>19128</v>
      </c>
    </row>
    <row r="12726" spans="1:8" ht="25.05" customHeight="1" x14ac:dyDescent="0.25">
      <c r="A12726" s="2" t="s">
        <v>8</v>
      </c>
      <c r="B12726" s="2" t="str">
        <f>HYPERLINK("http://ts.21cn.com/tousu/show/id/1344134","网贷高利贷")</f>
        <v>网贷高利贷</v>
      </c>
      <c r="C12726" s="2" t="s">
        <v>9</v>
      </c>
      <c r="D12726" s="2" t="s">
        <v>10</v>
      </c>
      <c r="E12726" s="2" t="str">
        <f>HYPERLINK("http://ts.21cn.com/tousu/show/id/1344134","http://ts.21cn.com/tousu/show/id/1344134")</f>
        <v>http://ts.21cn.com/tousu/show/id/1344134</v>
      </c>
      <c r="F12726" s="2" t="s">
        <v>11</v>
      </c>
      <c r="G12726" s="2" t="s">
        <v>19125</v>
      </c>
      <c r="H12726" s="2" t="s">
        <v>19126</v>
      </c>
    </row>
    <row r="12727" spans="1:8" ht="25.05" customHeight="1" x14ac:dyDescent="0.25">
      <c r="A12727" s="2" t="s">
        <v>8</v>
      </c>
      <c r="B12727" s="2" t="str">
        <f>HYPERLINK("http://ts.21cn.com/tousu/show/id/1344135","米花包恶意扣款")</f>
        <v>米花包恶意扣款</v>
      </c>
      <c r="C12727" s="2" t="s">
        <v>9</v>
      </c>
      <c r="D12727" s="2" t="s">
        <v>10</v>
      </c>
      <c r="E12727" s="2" t="str">
        <f>HYPERLINK("http://ts.21cn.com/tousu/show/id/1344135","http://ts.21cn.com/tousu/show/id/1344135")</f>
        <v>http://ts.21cn.com/tousu/show/id/1344135</v>
      </c>
      <c r="F12727" s="2" t="s">
        <v>11</v>
      </c>
      <c r="G12727" s="2" t="s">
        <v>19123</v>
      </c>
      <c r="H12727" s="2" t="s">
        <v>19124</v>
      </c>
    </row>
    <row r="12728" spans="1:8" ht="25.05" customHeight="1" x14ac:dyDescent="0.25">
      <c r="A12728" s="2" t="s">
        <v>8</v>
      </c>
      <c r="B12728" s="2" t="str">
        <f>HYPERLINK("http://ts.21cn.com/tousu/show/id/1344137","支付宝暴力催收爆通讯恐吓老人")</f>
        <v>支付宝暴力催收爆通讯恐吓老人</v>
      </c>
      <c r="C12728" s="2" t="s">
        <v>9</v>
      </c>
      <c r="D12728" s="2" t="s">
        <v>10</v>
      </c>
      <c r="E12728" s="2" t="str">
        <f>HYPERLINK("http://ts.21cn.com/tousu/show/id/1344137","http://ts.21cn.com/tousu/show/id/1344137")</f>
        <v>http://ts.21cn.com/tousu/show/id/1344137</v>
      </c>
      <c r="F12728" s="2" t="s">
        <v>11</v>
      </c>
      <c r="G12728" s="2" t="s">
        <v>19121</v>
      </c>
      <c r="H12728" s="2" t="s">
        <v>19122</v>
      </c>
    </row>
    <row r="12729" spans="1:8" ht="25.05" customHeight="1" x14ac:dyDescent="0.25">
      <c r="A12729" s="2" t="s">
        <v>8</v>
      </c>
      <c r="B12729" s="2" t="str">
        <f>HYPERLINK("http://ts.21cn.com/tousu/show/id/1344138","放款失败还要求还款")</f>
        <v>放款失败还要求还款</v>
      </c>
      <c r="C12729" s="2" t="s">
        <v>9</v>
      </c>
      <c r="D12729" s="2" t="s">
        <v>10</v>
      </c>
      <c r="E12729" s="2" t="str">
        <f>HYPERLINK("http://ts.21cn.com/tousu/show/id/1344138","http://ts.21cn.com/tousu/show/id/1344138")</f>
        <v>http://ts.21cn.com/tousu/show/id/1344138</v>
      </c>
      <c r="F12729" s="2" t="s">
        <v>11</v>
      </c>
      <c r="G12729" s="2" t="s">
        <v>19119</v>
      </c>
      <c r="H12729" s="2" t="s">
        <v>19120</v>
      </c>
    </row>
    <row r="12730" spans="1:8" ht="25.05" customHeight="1" x14ac:dyDescent="0.25">
      <c r="A12730" s="2" t="s">
        <v>8</v>
      </c>
      <c r="B12730" s="2" t="str">
        <f>HYPERLINK("http://ts.21cn.com/tousu/show/id/1344139","经常收到拍拍贷的催收信息")</f>
        <v>经常收到拍拍贷的催收信息</v>
      </c>
      <c r="C12730" s="2" t="s">
        <v>34</v>
      </c>
      <c r="D12730" s="2" t="s">
        <v>10</v>
      </c>
      <c r="E12730" s="2" t="str">
        <f>HYPERLINK("http://ts.21cn.com/tousu/show/id/1344139","http://ts.21cn.com/tousu/show/id/1344139")</f>
        <v>http://ts.21cn.com/tousu/show/id/1344139</v>
      </c>
      <c r="F12730" s="2" t="s">
        <v>11</v>
      </c>
      <c r="G12730" s="2" t="s">
        <v>19117</v>
      </c>
      <c r="H12730" s="2" t="s">
        <v>19118</v>
      </c>
    </row>
    <row r="12731" spans="1:8" ht="25.05" customHeight="1" x14ac:dyDescent="0.25">
      <c r="A12731" s="2" t="s">
        <v>8</v>
      </c>
      <c r="B12731" s="2" t="str">
        <f>HYPERLINK("http://ts.21cn.com/tousu/show/id/1344140","ponycar退款问题")</f>
        <v>ponycar退款问题</v>
      </c>
      <c r="C12731" s="2" t="s">
        <v>9</v>
      </c>
      <c r="D12731" s="2" t="s">
        <v>10</v>
      </c>
      <c r="E12731" s="2" t="str">
        <f>HYPERLINK("http://ts.21cn.com/tousu/show/id/1344140","http://ts.21cn.com/tousu/show/id/1344140")</f>
        <v>http://ts.21cn.com/tousu/show/id/1344140</v>
      </c>
      <c r="F12731" s="2" t="s">
        <v>11</v>
      </c>
      <c r="G12731" s="2" t="s">
        <v>19115</v>
      </c>
      <c r="H12731" s="2" t="s">
        <v>19116</v>
      </c>
    </row>
    <row r="12732" spans="1:8" ht="25.05" customHeight="1" x14ac:dyDescent="0.25">
      <c r="A12732" s="2" t="s">
        <v>8</v>
      </c>
      <c r="B12732" s="2" t="str">
        <f>HYPERLINK("http://ts.21cn.com/tousu/show/id/1344109","多米贷砍头息高利贷")</f>
        <v>多米贷砍头息高利贷</v>
      </c>
      <c r="C12732" s="2" t="s">
        <v>9</v>
      </c>
      <c r="D12732" s="2" t="s">
        <v>10</v>
      </c>
      <c r="E12732" s="2" t="str">
        <f>HYPERLINK("http://ts.21cn.com/tousu/show/id/1344109","http://ts.21cn.com/tousu/show/id/1344109")</f>
        <v>http://ts.21cn.com/tousu/show/id/1344109</v>
      </c>
      <c r="F12732" s="2" t="s">
        <v>11</v>
      </c>
      <c r="G12732" s="2" t="s">
        <v>19113</v>
      </c>
      <c r="H12732" s="2" t="s">
        <v>19114</v>
      </c>
    </row>
    <row r="12733" spans="1:8" ht="25.05" customHeight="1" x14ac:dyDescent="0.25">
      <c r="A12733" s="2" t="s">
        <v>8</v>
      </c>
      <c r="B12733" s="2" t="str">
        <f>HYPERLINK("http://ts.21cn.com/tousu/show/id/1344141","豹子贷恶意扣款")</f>
        <v>豹子贷恶意扣款</v>
      </c>
      <c r="C12733" s="2" t="s">
        <v>9</v>
      </c>
      <c r="D12733" s="2" t="s">
        <v>10</v>
      </c>
      <c r="E12733" s="2" t="str">
        <f>HYPERLINK("http://ts.21cn.com/tousu/show/id/1344141","http://ts.21cn.com/tousu/show/id/1344141")</f>
        <v>http://ts.21cn.com/tousu/show/id/1344141</v>
      </c>
      <c r="F12733" s="2" t="s">
        <v>11</v>
      </c>
      <c r="G12733" s="2" t="s">
        <v>19111</v>
      </c>
      <c r="H12733" s="2" t="s">
        <v>19112</v>
      </c>
    </row>
    <row r="12734" spans="1:8" ht="25.05" customHeight="1" x14ac:dyDescent="0.25">
      <c r="A12734" s="2" t="s">
        <v>8</v>
      </c>
      <c r="B12734" s="2" t="str">
        <f>HYPERLINK("http://ts.21cn.com/tousu/show/id/1344142","高利贷，利息太高了")</f>
        <v>高利贷，利息太高了</v>
      </c>
      <c r="C12734" s="2" t="s">
        <v>9</v>
      </c>
      <c r="D12734" s="2" t="s">
        <v>10</v>
      </c>
      <c r="E12734" s="2" t="str">
        <f>HYPERLINK("http://ts.21cn.com/tousu/show/id/1344142","http://ts.21cn.com/tousu/show/id/1344142")</f>
        <v>http://ts.21cn.com/tousu/show/id/1344142</v>
      </c>
      <c r="F12734" s="2" t="s">
        <v>11</v>
      </c>
      <c r="G12734" s="2" t="s">
        <v>19109</v>
      </c>
      <c r="H12734" s="2" t="s">
        <v>19110</v>
      </c>
    </row>
    <row r="12735" spans="1:8" ht="25.05" customHeight="1" x14ac:dyDescent="0.25">
      <c r="A12735" s="2" t="s">
        <v>8</v>
      </c>
      <c r="B12735" s="2" t="str">
        <f>HYPERLINK("http://ts.21cn.com/tousu/show/id/1344144","不放款，收取前期费用")</f>
        <v>不放款，收取前期费用</v>
      </c>
      <c r="C12735" s="2" t="s">
        <v>34</v>
      </c>
      <c r="D12735" s="2" t="s">
        <v>10</v>
      </c>
      <c r="E12735" s="2" t="str">
        <f>HYPERLINK("http://ts.21cn.com/tousu/show/id/1344144","http://ts.21cn.com/tousu/show/id/1344144")</f>
        <v>http://ts.21cn.com/tousu/show/id/1344144</v>
      </c>
      <c r="F12735" s="2" t="s">
        <v>11</v>
      </c>
      <c r="G12735" s="2" t="s">
        <v>19107</v>
      </c>
      <c r="H12735" s="2" t="s">
        <v>19108</v>
      </c>
    </row>
    <row r="12736" spans="1:8" ht="25.05" customHeight="1" x14ac:dyDescent="0.25">
      <c r="A12736" s="2" t="s">
        <v>8</v>
      </c>
      <c r="B12736" s="2" t="str">
        <f>HYPERLINK("http://ts.21cn.com/tousu/show/id/1344145","长海城建966公交司机杨荣富服务态度极其恶劣")</f>
        <v>长海城建966公交司机杨荣富服务态度极其恶劣</v>
      </c>
      <c r="C12736" s="2" t="s">
        <v>9</v>
      </c>
      <c r="D12736" s="2" t="s">
        <v>10</v>
      </c>
      <c r="E12736" s="2" t="str">
        <f>HYPERLINK("http://ts.21cn.com/tousu/show/id/1344145","http://ts.21cn.com/tousu/show/id/1344145")</f>
        <v>http://ts.21cn.com/tousu/show/id/1344145</v>
      </c>
      <c r="F12736" s="2" t="s">
        <v>11</v>
      </c>
      <c r="G12736" s="2" t="s">
        <v>19105</v>
      </c>
      <c r="H12736" s="2" t="s">
        <v>19106</v>
      </c>
    </row>
    <row r="12737" spans="1:8" ht="25.05" customHeight="1" x14ac:dyDescent="0.25">
      <c r="A12737" s="2" t="s">
        <v>8</v>
      </c>
      <c r="B12737" s="2" t="str">
        <f>HYPERLINK("http://ts.21cn.com/tousu/show/id/1344146","钱站高利贷")</f>
        <v>钱站高利贷</v>
      </c>
      <c r="C12737" s="2" t="s">
        <v>9</v>
      </c>
      <c r="D12737" s="2" t="s">
        <v>10</v>
      </c>
      <c r="E12737" s="2" t="str">
        <f>HYPERLINK("http://ts.21cn.com/tousu/show/id/1344146","http://ts.21cn.com/tousu/show/id/1344146")</f>
        <v>http://ts.21cn.com/tousu/show/id/1344146</v>
      </c>
      <c r="F12737" s="2" t="s">
        <v>11</v>
      </c>
      <c r="G12737" s="2" t="s">
        <v>19103</v>
      </c>
      <c r="H12737" s="2" t="s">
        <v>19104</v>
      </c>
    </row>
    <row r="12738" spans="1:8" ht="25.05" customHeight="1" x14ac:dyDescent="0.25">
      <c r="A12738" s="2" t="s">
        <v>8</v>
      </c>
      <c r="B12738" s="2" t="str">
        <f>HYPERLINK("http://ts.21cn.com/tousu/show/id/1344148","小象通讯卡没用直接退钱吧")</f>
        <v>小象通讯卡没用直接退钱吧</v>
      </c>
      <c r="C12738" s="2" t="s">
        <v>9</v>
      </c>
      <c r="D12738" s="2" t="s">
        <v>10</v>
      </c>
      <c r="E12738" s="2" t="str">
        <f>HYPERLINK("http://ts.21cn.com/tousu/show/id/1344148","http://ts.21cn.com/tousu/show/id/1344148")</f>
        <v>http://ts.21cn.com/tousu/show/id/1344148</v>
      </c>
      <c r="F12738" s="2" t="s">
        <v>11</v>
      </c>
      <c r="G12738" s="2" t="s">
        <v>19101</v>
      </c>
      <c r="H12738" s="2" t="s">
        <v>19102</v>
      </c>
    </row>
    <row r="12739" spans="1:8" ht="25.05" customHeight="1" x14ac:dyDescent="0.25">
      <c r="A12739" s="2" t="s">
        <v>8</v>
      </c>
      <c r="B12739" s="2" t="str">
        <f>HYPERLINK("http://ts.21cn.com/tousu/show/id/1344147","投诉功夫贷高利贷、欺诈")</f>
        <v>投诉功夫贷高利贷、欺诈</v>
      </c>
      <c r="C12739" s="2" t="s">
        <v>9</v>
      </c>
      <c r="D12739" s="2" t="s">
        <v>10</v>
      </c>
      <c r="E12739" s="2" t="str">
        <f>HYPERLINK("http://ts.21cn.com/tousu/show/id/1344147","http://ts.21cn.com/tousu/show/id/1344147")</f>
        <v>http://ts.21cn.com/tousu/show/id/1344147</v>
      </c>
      <c r="F12739" s="2" t="s">
        <v>11</v>
      </c>
      <c r="G12739" s="2" t="s">
        <v>19099</v>
      </c>
      <c r="H12739" s="2" t="s">
        <v>19100</v>
      </c>
    </row>
    <row r="12740" spans="1:8" ht="25.05" customHeight="1" x14ac:dyDescent="0.25">
      <c r="A12740" s="2" t="s">
        <v>8</v>
      </c>
      <c r="B12740" s="2" t="str">
        <f>HYPERLINK("http://ts.21cn.com/tousu/show/id/1344151","哇塞！要来拆迁了！")</f>
        <v>哇塞！要来拆迁了！</v>
      </c>
      <c r="C12740" s="2" t="s">
        <v>9</v>
      </c>
      <c r="D12740" s="2" t="s">
        <v>10</v>
      </c>
      <c r="E12740" s="2" t="str">
        <f>HYPERLINK("http://ts.21cn.com/tousu/show/id/1344151","http://ts.21cn.com/tousu/show/id/1344151")</f>
        <v>http://ts.21cn.com/tousu/show/id/1344151</v>
      </c>
      <c r="F12740" s="2" t="s">
        <v>11</v>
      </c>
      <c r="G12740" s="2" t="s">
        <v>19097</v>
      </c>
      <c r="H12740" s="2" t="s">
        <v>19098</v>
      </c>
    </row>
    <row r="12741" spans="1:8" ht="25.05" customHeight="1" x14ac:dyDescent="0.25">
      <c r="A12741" s="2" t="s">
        <v>8</v>
      </c>
      <c r="B12741" s="2" t="str">
        <f>HYPERLINK("http://ts.21cn.com/tousu/show/id/1344153","立借高利贷")</f>
        <v>立借高利贷</v>
      </c>
      <c r="C12741" s="2" t="s">
        <v>9</v>
      </c>
      <c r="D12741" s="2" t="s">
        <v>10</v>
      </c>
      <c r="E12741" s="2" t="str">
        <f>HYPERLINK("http://ts.21cn.com/tousu/show/id/1344153","http://ts.21cn.com/tousu/show/id/1344153")</f>
        <v>http://ts.21cn.com/tousu/show/id/1344153</v>
      </c>
      <c r="F12741" s="2" t="s">
        <v>11</v>
      </c>
      <c r="G12741" s="2" t="s">
        <v>19095</v>
      </c>
      <c r="H12741" s="2" t="s">
        <v>19096</v>
      </c>
    </row>
    <row r="12742" spans="1:8" ht="25.05" customHeight="1" x14ac:dyDescent="0.25">
      <c r="A12742" s="2" t="s">
        <v>8</v>
      </c>
      <c r="B12742" s="2" t="str">
        <f>HYPERLINK("http://ts.21cn.com/tousu/show/id/1344154","好易借-爱分期平台砍头息")</f>
        <v>好易借-爱分期平台砍头息</v>
      </c>
      <c r="C12742" s="2" t="s">
        <v>9</v>
      </c>
      <c r="D12742" s="2" t="s">
        <v>10</v>
      </c>
      <c r="E12742" s="2" t="str">
        <f>HYPERLINK("http://ts.21cn.com/tousu/show/id/1344154","http://ts.21cn.com/tousu/show/id/1344154")</f>
        <v>http://ts.21cn.com/tousu/show/id/1344154</v>
      </c>
      <c r="F12742" s="2" t="s">
        <v>11</v>
      </c>
      <c r="G12742" s="2" t="s">
        <v>19093</v>
      </c>
      <c r="H12742" s="2" t="s">
        <v>19094</v>
      </c>
    </row>
    <row r="12743" spans="1:8" ht="25.05" customHeight="1" x14ac:dyDescent="0.25">
      <c r="A12743" s="2" t="s">
        <v>8</v>
      </c>
      <c r="B12743" s="2" t="str">
        <f>HYPERLINK("http://ts.21cn.com/tousu/show/id/1344152","办理了会员卡不洗内饰")</f>
        <v>办理了会员卡不洗内饰</v>
      </c>
      <c r="C12743" s="2" t="s">
        <v>9</v>
      </c>
      <c r="D12743" s="2" t="s">
        <v>10</v>
      </c>
      <c r="E12743" s="2" t="str">
        <f>HYPERLINK("http://ts.21cn.com/tousu/show/id/1344152","http://ts.21cn.com/tousu/show/id/1344152")</f>
        <v>http://ts.21cn.com/tousu/show/id/1344152</v>
      </c>
      <c r="F12743" s="2" t="s">
        <v>11</v>
      </c>
      <c r="G12743" s="2" t="s">
        <v>19091</v>
      </c>
      <c r="H12743" s="2" t="s">
        <v>19092</v>
      </c>
    </row>
    <row r="12744" spans="1:8" ht="25.05" customHeight="1" x14ac:dyDescent="0.25">
      <c r="A12744" s="2" t="s">
        <v>8</v>
      </c>
      <c r="B12744" s="2" t="str">
        <f>HYPERLINK("http://ts.21cn.com/tousu/show/id/1344155","高利贷利息高的吓人")</f>
        <v>高利贷利息高的吓人</v>
      </c>
      <c r="C12744" s="2" t="s">
        <v>9</v>
      </c>
      <c r="D12744" s="2" t="s">
        <v>10</v>
      </c>
      <c r="E12744" s="2" t="str">
        <f>HYPERLINK("http://ts.21cn.com/tousu/show/id/1344155","http://ts.21cn.com/tousu/show/id/1344155")</f>
        <v>http://ts.21cn.com/tousu/show/id/1344155</v>
      </c>
      <c r="F12744" s="2" t="s">
        <v>11</v>
      </c>
      <c r="G12744" s="2" t="s">
        <v>19089</v>
      </c>
      <c r="H12744" s="2" t="s">
        <v>19090</v>
      </c>
    </row>
    <row r="12745" spans="1:8" ht="25.05" customHeight="1" x14ac:dyDescent="0.25">
      <c r="A12745" s="2" t="s">
        <v>8</v>
      </c>
      <c r="B12745" s="2" t="str">
        <f>HYPERLINK("http://ts.21cn.com/tousu/show/id/1344156","余额提现功能关闭")</f>
        <v>余额提现功能关闭</v>
      </c>
      <c r="C12745" s="2" t="s">
        <v>9</v>
      </c>
      <c r="D12745" s="2" t="s">
        <v>10</v>
      </c>
      <c r="E12745" s="2" t="str">
        <f>HYPERLINK("http://ts.21cn.com/tousu/show/id/1344156","http://ts.21cn.com/tousu/show/id/1344156")</f>
        <v>http://ts.21cn.com/tousu/show/id/1344156</v>
      </c>
      <c r="F12745" s="2" t="s">
        <v>11</v>
      </c>
      <c r="G12745" s="2" t="s">
        <v>19087</v>
      </c>
      <c r="H12745" s="2" t="s">
        <v>19088</v>
      </c>
    </row>
    <row r="12746" spans="1:8" ht="25.05" customHeight="1" x14ac:dyDescent="0.25">
      <c r="A12746" s="2" t="s">
        <v>8</v>
      </c>
      <c r="B12746" s="2" t="str">
        <f>HYPERLINK("http://ts.21cn.com/tousu/show/id/1344127","北京钱站暴击威胁辱骂")</f>
        <v>北京钱站暴击威胁辱骂</v>
      </c>
      <c r="C12746" s="2" t="s">
        <v>9</v>
      </c>
      <c r="D12746" s="2" t="s">
        <v>10</v>
      </c>
      <c r="E12746" s="2" t="str">
        <f>HYPERLINK("http://ts.21cn.com/tousu/show/id/1344127","http://ts.21cn.com/tousu/show/id/1344127")</f>
        <v>http://ts.21cn.com/tousu/show/id/1344127</v>
      </c>
      <c r="F12746" s="2" t="s">
        <v>11</v>
      </c>
      <c r="G12746" s="2" t="s">
        <v>19085</v>
      </c>
      <c r="H12746" s="2" t="s">
        <v>19086</v>
      </c>
    </row>
    <row r="12747" spans="1:8" ht="25.05" customHeight="1" x14ac:dyDescent="0.25">
      <c r="A12747" s="2" t="s">
        <v>8</v>
      </c>
      <c r="B12747" s="2" t="str">
        <f>HYPERLINK("http://ts.21cn.com/tousu/show/id/1344157","不审核发布者内容是否真实，造成我们店被诬陷，对生意造成很大影响，")</f>
        <v>不审核发布者内容是否真实，造成我们店被诬陷，对生意造成很大影响，</v>
      </c>
      <c r="C12747" s="2" t="s">
        <v>9</v>
      </c>
      <c r="D12747" s="2" t="s">
        <v>10</v>
      </c>
      <c r="E12747" s="2" t="str">
        <f>HYPERLINK("http://ts.21cn.com/tousu/show/id/1344157","http://ts.21cn.com/tousu/show/id/1344157")</f>
        <v>http://ts.21cn.com/tousu/show/id/1344157</v>
      </c>
      <c r="F12747" s="2" t="s">
        <v>11</v>
      </c>
      <c r="G12747" s="2" t="s">
        <v>19083</v>
      </c>
      <c r="H12747" s="2" t="s">
        <v>19084</v>
      </c>
    </row>
    <row r="12748" spans="1:8" ht="25.05" customHeight="1" x14ac:dyDescent="0.25">
      <c r="A12748" s="2" t="s">
        <v>8</v>
      </c>
      <c r="B12748" s="2" t="str">
        <f>HYPERLINK("http://ts.21cn.com/tousu/show/id/1344158","高利贷，爆通讯录骚扰家人朋友")</f>
        <v>高利贷，爆通讯录骚扰家人朋友</v>
      </c>
      <c r="C12748" s="2" t="s">
        <v>9</v>
      </c>
      <c r="D12748" s="2" t="s">
        <v>10</v>
      </c>
      <c r="E12748" s="2" t="str">
        <f>HYPERLINK("http://ts.21cn.com/tousu/show/id/1344158","http://ts.21cn.com/tousu/show/id/1344158")</f>
        <v>http://ts.21cn.com/tousu/show/id/1344158</v>
      </c>
      <c r="F12748" s="2" t="s">
        <v>11</v>
      </c>
      <c r="G12748" s="2" t="s">
        <v>19081</v>
      </c>
      <c r="H12748" s="2" t="s">
        <v>19082</v>
      </c>
    </row>
    <row r="12749" spans="1:8" ht="25.05" customHeight="1" x14ac:dyDescent="0.25">
      <c r="A12749" s="2" t="s">
        <v>8</v>
      </c>
      <c r="B12749" s="2" t="str">
        <f>HYPERLINK("http://ts.21cn.com/tousu/show/id/1344159","点融魔借随意修改借款人金额")</f>
        <v>点融魔借随意修改借款人金额</v>
      </c>
      <c r="C12749" s="2" t="s">
        <v>9</v>
      </c>
      <c r="D12749" s="2" t="s">
        <v>10</v>
      </c>
      <c r="E12749" s="2" t="str">
        <f>HYPERLINK("http://ts.21cn.com/tousu/show/id/1344159","http://ts.21cn.com/tousu/show/id/1344159")</f>
        <v>http://ts.21cn.com/tousu/show/id/1344159</v>
      </c>
      <c r="F12749" s="2" t="s">
        <v>11</v>
      </c>
      <c r="G12749" s="2" t="s">
        <v>19079</v>
      </c>
      <c r="H12749" s="2" t="s">
        <v>19080</v>
      </c>
    </row>
    <row r="12750" spans="1:8" ht="25.05" customHeight="1" x14ac:dyDescent="0.25">
      <c r="A12750" s="2" t="s">
        <v>8</v>
      </c>
      <c r="B12750" s="2" t="str">
        <f>HYPERLINK("http://ts.21cn.com/tousu/show/id/1344160","网贷高利贷")</f>
        <v>网贷高利贷</v>
      </c>
      <c r="C12750" s="2" t="s">
        <v>9</v>
      </c>
      <c r="D12750" s="2" t="s">
        <v>10</v>
      </c>
      <c r="E12750" s="2" t="str">
        <f>HYPERLINK("http://ts.21cn.com/tousu/show/id/1344160","http://ts.21cn.com/tousu/show/id/1344160")</f>
        <v>http://ts.21cn.com/tousu/show/id/1344160</v>
      </c>
      <c r="F12750" s="2" t="s">
        <v>11</v>
      </c>
      <c r="G12750" s="2" t="s">
        <v>19077</v>
      </c>
      <c r="H12750" s="2" t="s">
        <v>19078</v>
      </c>
    </row>
    <row r="12751" spans="1:8" ht="25.05" customHeight="1" x14ac:dyDescent="0.25">
      <c r="A12751" s="2" t="s">
        <v>8</v>
      </c>
      <c r="B12751" s="2" t="str">
        <f>HYPERLINK("http://ts.21cn.com/tousu/show/id/1344161","暴力催收高利贷")</f>
        <v>暴力催收高利贷</v>
      </c>
      <c r="C12751" s="2" t="s">
        <v>9</v>
      </c>
      <c r="D12751" s="2" t="s">
        <v>10</v>
      </c>
      <c r="E12751" s="2" t="str">
        <f>HYPERLINK("http://ts.21cn.com/tousu/show/id/1344161","http://ts.21cn.com/tousu/show/id/1344161")</f>
        <v>http://ts.21cn.com/tousu/show/id/1344161</v>
      </c>
      <c r="F12751" s="2" t="s">
        <v>11</v>
      </c>
      <c r="G12751" s="2" t="s">
        <v>19075</v>
      </c>
      <c r="H12751" s="2" t="s">
        <v>19076</v>
      </c>
    </row>
    <row r="12752" spans="1:8" ht="25.05" customHeight="1" x14ac:dyDescent="0.25">
      <c r="A12752" s="2" t="s">
        <v>8</v>
      </c>
      <c r="B12752" s="2" t="str">
        <f>HYPERLINK("http://ts.21cn.com/tousu/show/id/1344162","砍头息高利贷扣了一万八保费")</f>
        <v>砍头息高利贷扣了一万八保费</v>
      </c>
      <c r="C12752" s="2" t="s">
        <v>9</v>
      </c>
      <c r="D12752" s="2" t="s">
        <v>10</v>
      </c>
      <c r="E12752" s="2" t="str">
        <f>HYPERLINK("http://ts.21cn.com/tousu/show/id/1344162","http://ts.21cn.com/tousu/show/id/1344162")</f>
        <v>http://ts.21cn.com/tousu/show/id/1344162</v>
      </c>
      <c r="F12752" s="2" t="s">
        <v>11</v>
      </c>
      <c r="G12752" s="2" t="s">
        <v>19073</v>
      </c>
      <c r="H12752" s="2" t="s">
        <v>19074</v>
      </c>
    </row>
    <row r="12753" spans="1:8" ht="25.05" customHeight="1" x14ac:dyDescent="0.25">
      <c r="A12753" s="2" t="s">
        <v>8</v>
      </c>
      <c r="B12753" s="2" t="str">
        <f>HYPERLINK("http://ts.21cn.com/tousu/show/id/1344165","钱站高利贷")</f>
        <v>钱站高利贷</v>
      </c>
      <c r="C12753" s="2" t="s">
        <v>9</v>
      </c>
      <c r="D12753" s="2" t="s">
        <v>10</v>
      </c>
      <c r="E12753" s="2" t="str">
        <f>HYPERLINK("http://ts.21cn.com/tousu/show/id/1344165","http://ts.21cn.com/tousu/show/id/1344165")</f>
        <v>http://ts.21cn.com/tousu/show/id/1344165</v>
      </c>
      <c r="F12753" s="2" t="s">
        <v>11</v>
      </c>
      <c r="G12753" s="2" t="s">
        <v>19071</v>
      </c>
      <c r="H12753" s="2" t="s">
        <v>19072</v>
      </c>
    </row>
    <row r="12754" spans="1:8" ht="25.05" customHeight="1" x14ac:dyDescent="0.25">
      <c r="A12754" s="2" t="s">
        <v>8</v>
      </c>
      <c r="B12754" s="2" t="str">
        <f>HYPERLINK("http://ts.21cn.com/tousu/show/id/1344166","暴力催收")</f>
        <v>暴力催收</v>
      </c>
      <c r="C12754" s="2" t="s">
        <v>9</v>
      </c>
      <c r="D12754" s="2" t="s">
        <v>10</v>
      </c>
      <c r="E12754" s="2" t="str">
        <f>HYPERLINK("http://ts.21cn.com/tousu/show/id/1344166","http://ts.21cn.com/tousu/show/id/1344166")</f>
        <v>http://ts.21cn.com/tousu/show/id/1344166</v>
      </c>
      <c r="F12754" s="2" t="s">
        <v>11</v>
      </c>
      <c r="G12754" s="2" t="s">
        <v>19069</v>
      </c>
      <c r="H12754" s="2" t="s">
        <v>19070</v>
      </c>
    </row>
    <row r="12755" spans="1:8" ht="25.05" customHeight="1" x14ac:dyDescent="0.25">
      <c r="A12755" s="2" t="s">
        <v>8</v>
      </c>
      <c r="B12755" s="2" t="str">
        <f>HYPERLINK("http://ts.21cn.com/tousu/show/id/1344167","招联金融暴力催收")</f>
        <v>招联金融暴力催收</v>
      </c>
      <c r="C12755" s="2" t="s">
        <v>9</v>
      </c>
      <c r="D12755" s="2" t="s">
        <v>10</v>
      </c>
      <c r="E12755" s="2" t="str">
        <f>HYPERLINK("http://ts.21cn.com/tousu/show/id/1344167","http://ts.21cn.com/tousu/show/id/1344167")</f>
        <v>http://ts.21cn.com/tousu/show/id/1344167</v>
      </c>
      <c r="F12755" s="2" t="s">
        <v>11</v>
      </c>
      <c r="G12755" s="2" t="s">
        <v>19067</v>
      </c>
      <c r="H12755" s="2" t="s">
        <v>19068</v>
      </c>
    </row>
    <row r="12756" spans="1:8" ht="25.05" customHeight="1" x14ac:dyDescent="0.25">
      <c r="A12756" s="2" t="s">
        <v>8</v>
      </c>
      <c r="B12756" s="2" t="str">
        <f>HYPERLINK("http://ts.21cn.com/tousu/show/id/1344169","立借高利贷，借款后显示还款计划，12个月的还款期限，却要在3个月内还清本金加利息")</f>
        <v>立借高利贷，借款后显示还款计划，12个月的还款期限，却要在3个月内还清本金加利息</v>
      </c>
      <c r="C12756" s="2" t="s">
        <v>9</v>
      </c>
      <c r="D12756" s="2" t="s">
        <v>10</v>
      </c>
      <c r="E12756" s="2" t="str">
        <f>HYPERLINK("http://ts.21cn.com/tousu/show/id/1344169","http://ts.21cn.com/tousu/show/id/1344169")</f>
        <v>http://ts.21cn.com/tousu/show/id/1344169</v>
      </c>
      <c r="F12756" s="2" t="s">
        <v>11</v>
      </c>
      <c r="G12756" s="2" t="s">
        <v>19065</v>
      </c>
      <c r="H12756" s="2" t="s">
        <v>19066</v>
      </c>
    </row>
    <row r="12757" spans="1:8" ht="25.05" customHeight="1" x14ac:dyDescent="0.25">
      <c r="A12757" s="2" t="s">
        <v>8</v>
      </c>
      <c r="B12757" s="2" t="str">
        <f>HYPERLINK("http://ts.21cn.com/tousu/show/id/1344168","高利贷砍头息暴力催收踢皮球不处理问题")</f>
        <v>高利贷砍头息暴力催收踢皮球不处理问题</v>
      </c>
      <c r="C12757" s="2" t="s">
        <v>9</v>
      </c>
      <c r="D12757" s="2" t="s">
        <v>10</v>
      </c>
      <c r="E12757" s="2" t="str">
        <f>HYPERLINK("http://ts.21cn.com/tousu/show/id/1344168","http://ts.21cn.com/tousu/show/id/1344168")</f>
        <v>http://ts.21cn.com/tousu/show/id/1344168</v>
      </c>
      <c r="F12757" s="2" t="s">
        <v>11</v>
      </c>
      <c r="G12757" s="2" t="s">
        <v>19063</v>
      </c>
      <c r="H12757" s="2" t="s">
        <v>19064</v>
      </c>
    </row>
    <row r="12758" spans="1:8" ht="25.05" customHeight="1" x14ac:dyDescent="0.25">
      <c r="A12758" s="2" t="s">
        <v>8</v>
      </c>
      <c r="B12758" s="2" t="str">
        <f>HYPERLINK("http://ts.21cn.com/tousu/show/id/1344170","功夫贷！高利贷砍头息！")</f>
        <v>功夫贷！高利贷砍头息！</v>
      </c>
      <c r="C12758" s="2" t="s">
        <v>9</v>
      </c>
      <c r="D12758" s="2" t="s">
        <v>10</v>
      </c>
      <c r="E12758" s="2" t="str">
        <f>HYPERLINK("http://ts.21cn.com/tousu/show/id/1344170","http://ts.21cn.com/tousu/show/id/1344170")</f>
        <v>http://ts.21cn.com/tousu/show/id/1344170</v>
      </c>
      <c r="F12758" s="2" t="s">
        <v>11</v>
      </c>
      <c r="G12758" s="2" t="s">
        <v>19061</v>
      </c>
      <c r="H12758" s="2" t="s">
        <v>19062</v>
      </c>
    </row>
    <row r="12759" spans="1:8" ht="25.05" customHeight="1" x14ac:dyDescent="0.25">
      <c r="A12759" s="2" t="s">
        <v>8</v>
      </c>
      <c r="B12759" s="2" t="str">
        <f>HYPERLINK("http://ts.21cn.com/tousu/show/id/1344171","新浪分期")</f>
        <v>新浪分期</v>
      </c>
      <c r="C12759" s="2" t="s">
        <v>9</v>
      </c>
      <c r="D12759" s="2" t="s">
        <v>10</v>
      </c>
      <c r="E12759" s="2" t="str">
        <f>HYPERLINK("http://ts.21cn.com/tousu/show/id/1344171","http://ts.21cn.com/tousu/show/id/1344171")</f>
        <v>http://ts.21cn.com/tousu/show/id/1344171</v>
      </c>
      <c r="F12759" s="2" t="s">
        <v>11</v>
      </c>
      <c r="G12759" s="2" t="s">
        <v>19059</v>
      </c>
      <c r="H12759" s="2" t="s">
        <v>19060</v>
      </c>
    </row>
    <row r="12760" spans="1:8" ht="25.05" customHeight="1" x14ac:dyDescent="0.25">
      <c r="A12760" s="2" t="s">
        <v>8</v>
      </c>
      <c r="B12760" s="2" t="str">
        <f>HYPERLINK("http://ts.21cn.com/tousu/show/id/1344174","美团外卖")</f>
        <v>美团外卖</v>
      </c>
      <c r="C12760" s="2" t="s">
        <v>9</v>
      </c>
      <c r="D12760" s="2" t="s">
        <v>10</v>
      </c>
      <c r="E12760" s="2" t="str">
        <f>HYPERLINK("http://ts.21cn.com/tousu/show/id/1344174","http://ts.21cn.com/tousu/show/id/1344174")</f>
        <v>http://ts.21cn.com/tousu/show/id/1344174</v>
      </c>
      <c r="F12760" s="2" t="s">
        <v>11</v>
      </c>
      <c r="G12760" s="2" t="s">
        <v>19057</v>
      </c>
      <c r="H12760" s="2" t="s">
        <v>19058</v>
      </c>
    </row>
    <row r="12761" spans="1:8" ht="25.05" customHeight="1" x14ac:dyDescent="0.25">
      <c r="A12761" s="2" t="s">
        <v>8</v>
      </c>
      <c r="B12761" s="2" t="str">
        <f>HYPERLINK("http://ts.21cn.com/tousu/show/id/1344173","协商还款")</f>
        <v>协商还款</v>
      </c>
      <c r="C12761" s="2" t="s">
        <v>9</v>
      </c>
      <c r="D12761" s="2" t="s">
        <v>10</v>
      </c>
      <c r="E12761" s="2" t="str">
        <f>HYPERLINK("http://ts.21cn.com/tousu/show/id/1344173","http://ts.21cn.com/tousu/show/id/1344173")</f>
        <v>http://ts.21cn.com/tousu/show/id/1344173</v>
      </c>
      <c r="F12761" s="2" t="s">
        <v>11</v>
      </c>
      <c r="G12761" s="2" t="s">
        <v>19055</v>
      </c>
      <c r="H12761" s="2" t="s">
        <v>19056</v>
      </c>
    </row>
    <row r="12762" spans="1:8" ht="25.05" customHeight="1" x14ac:dyDescent="0.25">
      <c r="A12762" s="2" t="s">
        <v>8</v>
      </c>
      <c r="B12762" s="2" t="str">
        <f>HYPERLINK("http://ts.21cn.com/tousu/show/id/1344175","快手平台拒绝退款")</f>
        <v>快手平台拒绝退款</v>
      </c>
      <c r="C12762" s="2" t="s">
        <v>9</v>
      </c>
      <c r="D12762" s="2" t="s">
        <v>10</v>
      </c>
      <c r="E12762" s="2" t="str">
        <f>HYPERLINK("http://ts.21cn.com/tousu/show/id/1344175","http://ts.21cn.com/tousu/show/id/1344175")</f>
        <v>http://ts.21cn.com/tousu/show/id/1344175</v>
      </c>
      <c r="F12762" s="2" t="s">
        <v>11</v>
      </c>
      <c r="G12762" s="2" t="s">
        <v>19053</v>
      </c>
      <c r="H12762" s="2" t="s">
        <v>19054</v>
      </c>
    </row>
    <row r="12763" spans="1:8" ht="25.05" customHeight="1" x14ac:dyDescent="0.25">
      <c r="A12763" s="2" t="s">
        <v>8</v>
      </c>
      <c r="B12763" s="2" t="str">
        <f>HYPERLINK("http://ts.21cn.com/tousu/show/id/1344105","小沃科技tv平台不经过客户允许乱扣费")</f>
        <v>小沃科技tv平台不经过客户允许乱扣费</v>
      </c>
      <c r="C12763" s="2" t="s">
        <v>9</v>
      </c>
      <c r="D12763" s="2" t="s">
        <v>10</v>
      </c>
      <c r="E12763" s="2" t="str">
        <f>HYPERLINK("http://ts.21cn.com/tousu/show/id/1344105","http://ts.21cn.com/tousu/show/id/1344105")</f>
        <v>http://ts.21cn.com/tousu/show/id/1344105</v>
      </c>
      <c r="F12763" s="2" t="s">
        <v>11</v>
      </c>
      <c r="G12763" s="2" t="s">
        <v>19051</v>
      </c>
      <c r="H12763" s="2" t="s">
        <v>19052</v>
      </c>
    </row>
    <row r="12764" spans="1:8" ht="25.05" customHeight="1" x14ac:dyDescent="0.25">
      <c r="A12764" s="2" t="s">
        <v>8</v>
      </c>
      <c r="B12764" s="2" t="str">
        <f>HYPERLINK("http://ts.21cn.com/tousu/show/id/1344176","马上消费金额爆力催收")</f>
        <v>马上消费金额爆力催收</v>
      </c>
      <c r="C12764" s="2" t="s">
        <v>9</v>
      </c>
      <c r="D12764" s="2" t="s">
        <v>10</v>
      </c>
      <c r="E12764" s="2" t="str">
        <f>HYPERLINK("http://ts.21cn.com/tousu/show/id/1344176","http://ts.21cn.com/tousu/show/id/1344176")</f>
        <v>http://ts.21cn.com/tousu/show/id/1344176</v>
      </c>
      <c r="F12764" s="2" t="s">
        <v>11</v>
      </c>
      <c r="G12764" s="2" t="s">
        <v>19049</v>
      </c>
      <c r="H12764" s="2" t="s">
        <v>19050</v>
      </c>
    </row>
    <row r="12765" spans="1:8" ht="25.05" customHeight="1" x14ac:dyDescent="0.25">
      <c r="A12765" s="2" t="s">
        <v>8</v>
      </c>
      <c r="B12765" s="2" t="str">
        <f>HYPERLINK("http://ts.21cn.com/tousu/show/id/1344178","钱站高利贷阴阳合同")</f>
        <v>钱站高利贷阴阳合同</v>
      </c>
      <c r="C12765" s="2" t="s">
        <v>9</v>
      </c>
      <c r="D12765" s="2" t="s">
        <v>10</v>
      </c>
      <c r="E12765" s="2" t="str">
        <f>HYPERLINK("http://ts.21cn.com/tousu/show/id/1344178","http://ts.21cn.com/tousu/show/id/1344178")</f>
        <v>http://ts.21cn.com/tousu/show/id/1344178</v>
      </c>
      <c r="F12765" s="2" t="s">
        <v>11</v>
      </c>
      <c r="G12765" s="2" t="s">
        <v>19047</v>
      </c>
      <c r="H12765" s="2" t="s">
        <v>19048</v>
      </c>
    </row>
    <row r="12766" spans="1:8" ht="25.05" customHeight="1" x14ac:dyDescent="0.25">
      <c r="A12766" s="2" t="s">
        <v>8</v>
      </c>
      <c r="B12766" s="2" t="str">
        <f>HYPERLINK("http://ts.21cn.com/tousu/show/id/1344179","高利贷")</f>
        <v>高利贷</v>
      </c>
      <c r="C12766" s="2" t="s">
        <v>9</v>
      </c>
      <c r="D12766" s="2" t="s">
        <v>10</v>
      </c>
      <c r="E12766" s="2" t="str">
        <f>HYPERLINK("http://ts.21cn.com/tousu/show/id/1344179","http://ts.21cn.com/tousu/show/id/1344179")</f>
        <v>http://ts.21cn.com/tousu/show/id/1344179</v>
      </c>
      <c r="F12766" s="2" t="s">
        <v>11</v>
      </c>
      <c r="G12766" s="2" t="s">
        <v>19045</v>
      </c>
      <c r="H12766" s="2" t="s">
        <v>19046</v>
      </c>
    </row>
    <row r="12767" spans="1:8" ht="25.05" customHeight="1" x14ac:dyDescent="0.25">
      <c r="A12767" s="2" t="s">
        <v>8</v>
      </c>
      <c r="B12767" s="2" t="str">
        <f>HYPERLINK("http://ts.21cn.com/tousu/show/id/1344180","钱橙无忧随意扣费")</f>
        <v>钱橙无忧随意扣费</v>
      </c>
      <c r="C12767" s="2" t="s">
        <v>9</v>
      </c>
      <c r="D12767" s="2" t="s">
        <v>10</v>
      </c>
      <c r="E12767" s="2" t="str">
        <f>HYPERLINK("http://ts.21cn.com/tousu/show/id/1344180","http://ts.21cn.com/tousu/show/id/1344180")</f>
        <v>http://ts.21cn.com/tousu/show/id/1344180</v>
      </c>
      <c r="F12767" s="2" t="s">
        <v>11</v>
      </c>
      <c r="G12767" s="2" t="s">
        <v>19043</v>
      </c>
      <c r="H12767" s="2" t="s">
        <v>19044</v>
      </c>
    </row>
    <row r="12768" spans="1:8" ht="25.05" customHeight="1" x14ac:dyDescent="0.25">
      <c r="A12768" s="2" t="s">
        <v>8</v>
      </c>
      <c r="B12768" s="2" t="str">
        <f>HYPERLINK("http://ts.21cn.com/tousu/show/id/1344181","芝麻信用泄露个人信息")</f>
        <v>芝麻信用泄露个人信息</v>
      </c>
      <c r="C12768" s="2" t="s">
        <v>9</v>
      </c>
      <c r="D12768" s="2" t="s">
        <v>10</v>
      </c>
      <c r="E12768" s="2" t="str">
        <f>HYPERLINK("http://ts.21cn.com/tousu/show/id/1344181","http://ts.21cn.com/tousu/show/id/1344181")</f>
        <v>http://ts.21cn.com/tousu/show/id/1344181</v>
      </c>
      <c r="F12768" s="2" t="s">
        <v>11</v>
      </c>
      <c r="G12768" s="2" t="s">
        <v>19041</v>
      </c>
      <c r="H12768" s="2" t="s">
        <v>19042</v>
      </c>
    </row>
    <row r="12769" spans="1:8" ht="25.05" customHeight="1" x14ac:dyDescent="0.25">
      <c r="A12769" s="2" t="s">
        <v>8</v>
      </c>
      <c r="B12769" s="2" t="str">
        <f>HYPERLINK("http://ts.21cn.com/tousu/show/id/1344182","招商银行法务部。恶意催收")</f>
        <v>招商银行法务部。恶意催收</v>
      </c>
      <c r="C12769" s="2" t="s">
        <v>9</v>
      </c>
      <c r="D12769" s="2" t="s">
        <v>10</v>
      </c>
      <c r="E12769" s="2" t="str">
        <f>HYPERLINK("http://ts.21cn.com/tousu/show/id/1344182","http://ts.21cn.com/tousu/show/id/1344182")</f>
        <v>http://ts.21cn.com/tousu/show/id/1344182</v>
      </c>
      <c r="F12769" s="2" t="s">
        <v>11</v>
      </c>
      <c r="G12769" s="2" t="s">
        <v>19039</v>
      </c>
      <c r="H12769" s="2" t="s">
        <v>19040</v>
      </c>
    </row>
    <row r="12770" spans="1:8" ht="25.05" customHeight="1" x14ac:dyDescent="0.25">
      <c r="A12770" s="2" t="s">
        <v>8</v>
      </c>
      <c r="B12770" s="2" t="str">
        <f>HYPERLINK("http://ts.21cn.com/tousu/show/id/1344183","要求退回之前的保险费用")</f>
        <v>要求退回之前的保险费用</v>
      </c>
      <c r="C12770" s="2" t="s">
        <v>9</v>
      </c>
      <c r="D12770" s="2" t="s">
        <v>10</v>
      </c>
      <c r="E12770" s="2" t="str">
        <f>HYPERLINK("http://ts.21cn.com/tousu/show/id/1344183","http://ts.21cn.com/tousu/show/id/1344183")</f>
        <v>http://ts.21cn.com/tousu/show/id/1344183</v>
      </c>
      <c r="F12770" s="2" t="s">
        <v>11</v>
      </c>
      <c r="G12770" s="2" t="s">
        <v>19037</v>
      </c>
      <c r="H12770" s="2" t="s">
        <v>19038</v>
      </c>
    </row>
    <row r="12771" spans="1:8" ht="25.05" customHeight="1" x14ac:dyDescent="0.25">
      <c r="A12771" s="2" t="s">
        <v>8</v>
      </c>
      <c r="B12771" s="2" t="str">
        <f>HYPERLINK("http://ts.21cn.com/tousu/show/id/1344184","女神派单方更改条款")</f>
        <v>女神派单方更改条款</v>
      </c>
      <c r="C12771" s="2" t="s">
        <v>34</v>
      </c>
      <c r="D12771" s="2" t="s">
        <v>10</v>
      </c>
      <c r="E12771" s="2" t="str">
        <f>HYPERLINK("http://ts.21cn.com/tousu/show/id/1344184","http://ts.21cn.com/tousu/show/id/1344184")</f>
        <v>http://ts.21cn.com/tousu/show/id/1344184</v>
      </c>
      <c r="F12771" s="2" t="s">
        <v>11</v>
      </c>
      <c r="G12771" s="2" t="s">
        <v>19035</v>
      </c>
      <c r="H12771" s="2" t="s">
        <v>19036</v>
      </c>
    </row>
    <row r="12772" spans="1:8" ht="25.05" customHeight="1" x14ac:dyDescent="0.25">
      <c r="A12772" s="2" t="s">
        <v>8</v>
      </c>
      <c r="B12772" s="2" t="str">
        <f>HYPERLINK("http://ts.21cn.com/tousu/show/id/1344186","钱站高利贷阴阳合同")</f>
        <v>钱站高利贷阴阳合同</v>
      </c>
      <c r="C12772" s="2" t="s">
        <v>9</v>
      </c>
      <c r="D12772" s="2" t="s">
        <v>10</v>
      </c>
      <c r="E12772" s="2" t="str">
        <f>HYPERLINK("http://ts.21cn.com/tousu/show/id/1344186","http://ts.21cn.com/tousu/show/id/1344186")</f>
        <v>http://ts.21cn.com/tousu/show/id/1344186</v>
      </c>
      <c r="F12772" s="2" t="s">
        <v>11</v>
      </c>
      <c r="G12772" s="2" t="s">
        <v>19033</v>
      </c>
      <c r="H12772" s="2" t="s">
        <v>19034</v>
      </c>
    </row>
    <row r="12773" spans="1:8" ht="25.05" customHeight="1" x14ac:dyDescent="0.25">
      <c r="A12773" s="2" t="s">
        <v>8</v>
      </c>
      <c r="B12773" s="2" t="str">
        <f>HYPERLINK("http://ts.21cn.com/tousu/show/id/1344187","顺风车乘客未支付，平台不作为")</f>
        <v>顺风车乘客未支付，平台不作为</v>
      </c>
      <c r="C12773" s="2" t="s">
        <v>9</v>
      </c>
      <c r="D12773" s="2" t="s">
        <v>10</v>
      </c>
      <c r="E12773" s="2" t="str">
        <f>HYPERLINK("http://ts.21cn.com/tousu/show/id/1344187","http://ts.21cn.com/tousu/show/id/1344187")</f>
        <v>http://ts.21cn.com/tousu/show/id/1344187</v>
      </c>
      <c r="F12773" s="2" t="s">
        <v>11</v>
      </c>
      <c r="G12773" s="2" t="s">
        <v>19031</v>
      </c>
      <c r="H12773" s="2" t="s">
        <v>19032</v>
      </c>
    </row>
    <row r="12774" spans="1:8" ht="25.05" customHeight="1" x14ac:dyDescent="0.25">
      <c r="A12774" s="2" t="s">
        <v>8</v>
      </c>
      <c r="B12774" s="2" t="str">
        <f>HYPERLINK("http://ts.21cn.com/tousu/show/id/1344188","济南畅和企业管理公司为博彩软件提供充值渠道")</f>
        <v>济南畅和企业管理公司为博彩软件提供充值渠道</v>
      </c>
      <c r="C12774" s="2" t="s">
        <v>9</v>
      </c>
      <c r="D12774" s="2" t="s">
        <v>10</v>
      </c>
      <c r="E12774" s="2" t="str">
        <f>HYPERLINK("http://ts.21cn.com/tousu/show/id/1344188","http://ts.21cn.com/tousu/show/id/1344188")</f>
        <v>http://ts.21cn.com/tousu/show/id/1344188</v>
      </c>
      <c r="F12774" s="2" t="s">
        <v>11</v>
      </c>
      <c r="G12774" s="2" t="s">
        <v>19028</v>
      </c>
      <c r="H12774" s="2" t="s">
        <v>19029</v>
      </c>
    </row>
    <row r="12775" spans="1:8" ht="25.05" customHeight="1" x14ac:dyDescent="0.25">
      <c r="A12775" s="2" t="s">
        <v>8</v>
      </c>
      <c r="B12775" s="2" t="str">
        <f>HYPERLINK("http://ts.21cn.com/tousu/show/id/1344189","冻结我资金")</f>
        <v>冻结我资金</v>
      </c>
      <c r="C12775" s="2" t="s">
        <v>9</v>
      </c>
      <c r="D12775" s="2" t="s">
        <v>10</v>
      </c>
      <c r="E12775" s="2" t="str">
        <f>HYPERLINK("http://ts.21cn.com/tousu/show/id/1344189","http://ts.21cn.com/tousu/show/id/1344189")</f>
        <v>http://ts.21cn.com/tousu/show/id/1344189</v>
      </c>
      <c r="F12775" s="2" t="s">
        <v>11</v>
      </c>
      <c r="G12775" s="2" t="s">
        <v>19028</v>
      </c>
      <c r="H12775" s="2" t="s">
        <v>19030</v>
      </c>
    </row>
    <row r="12776" spans="1:8" ht="25.05" customHeight="1" x14ac:dyDescent="0.25">
      <c r="A12776" s="2" t="s">
        <v>8</v>
      </c>
      <c r="B12776" s="2" t="str">
        <f>HYPERLINK("http://ts.21cn.com/tousu/show/id/1344192","要求升学教育快速退款")</f>
        <v>要求升学教育快速退款</v>
      </c>
      <c r="C12776" s="2" t="s">
        <v>9</v>
      </c>
      <c r="D12776" s="2" t="s">
        <v>10</v>
      </c>
      <c r="E12776" s="2" t="str">
        <f>HYPERLINK("http://ts.21cn.com/tousu/show/id/1344192","http://ts.21cn.com/tousu/show/id/1344192")</f>
        <v>http://ts.21cn.com/tousu/show/id/1344192</v>
      </c>
      <c r="F12776" s="2" t="s">
        <v>11</v>
      </c>
      <c r="G12776" s="2" t="s">
        <v>19026</v>
      </c>
      <c r="H12776" s="2" t="s">
        <v>19027</v>
      </c>
    </row>
    <row r="12777" spans="1:8" ht="25.05" customHeight="1" x14ac:dyDescent="0.25">
      <c r="A12777" s="2" t="s">
        <v>8</v>
      </c>
      <c r="B12777" s="2" t="str">
        <f>HYPERLINK("http://ts.21cn.com/tousu/show/id/1344190","不给注销账户，电话客服无人回应")</f>
        <v>不给注销账户，电话客服无人回应</v>
      </c>
      <c r="C12777" s="2" t="s">
        <v>34</v>
      </c>
      <c r="D12777" s="2" t="s">
        <v>10</v>
      </c>
      <c r="E12777" s="2" t="str">
        <f>HYPERLINK("http://ts.21cn.com/tousu/show/id/1344190","http://ts.21cn.com/tousu/show/id/1344190")</f>
        <v>http://ts.21cn.com/tousu/show/id/1344190</v>
      </c>
      <c r="F12777" s="2" t="s">
        <v>11</v>
      </c>
      <c r="G12777" s="2" t="s">
        <v>19024</v>
      </c>
      <c r="H12777" s="2" t="s">
        <v>19025</v>
      </c>
    </row>
    <row r="12778" spans="1:8" ht="25.05" customHeight="1" x14ac:dyDescent="0.25">
      <c r="A12778" s="2" t="s">
        <v>8</v>
      </c>
      <c r="B12778" s="2" t="str">
        <f>HYPERLINK("http://ts.21cn.com/tousu/show/id/1344191","你我贷暴力催收高利贷")</f>
        <v>你我贷暴力催收高利贷</v>
      </c>
      <c r="C12778" s="2" t="s">
        <v>9</v>
      </c>
      <c r="D12778" s="2" t="s">
        <v>10</v>
      </c>
      <c r="E12778" s="2" t="str">
        <f>HYPERLINK("http://ts.21cn.com/tousu/show/id/1344191","http://ts.21cn.com/tousu/show/id/1344191")</f>
        <v>http://ts.21cn.com/tousu/show/id/1344191</v>
      </c>
      <c r="F12778" s="2" t="s">
        <v>11</v>
      </c>
      <c r="G12778" s="2" t="s">
        <v>19022</v>
      </c>
      <c r="H12778" s="2" t="s">
        <v>19023</v>
      </c>
    </row>
    <row r="12779" spans="1:8" ht="25.05" customHeight="1" x14ac:dyDescent="0.25">
      <c r="A12779" s="2" t="s">
        <v>8</v>
      </c>
      <c r="B12779" s="2" t="str">
        <f>HYPERLINK("http://ts.21cn.com/tousu/show/id/1344193","借贷宝套路贷")</f>
        <v>借贷宝套路贷</v>
      </c>
      <c r="C12779" s="2" t="s">
        <v>9</v>
      </c>
      <c r="D12779" s="2" t="s">
        <v>10</v>
      </c>
      <c r="E12779" s="2" t="str">
        <f>HYPERLINK("http://ts.21cn.com/tousu/show/id/1344193","http://ts.21cn.com/tousu/show/id/1344193")</f>
        <v>http://ts.21cn.com/tousu/show/id/1344193</v>
      </c>
      <c r="F12779" s="2" t="s">
        <v>11</v>
      </c>
      <c r="G12779" s="2" t="s">
        <v>19020</v>
      </c>
      <c r="H12779" s="2" t="s">
        <v>19021</v>
      </c>
    </row>
    <row r="12780" spans="1:8" ht="25.05" customHeight="1" x14ac:dyDescent="0.25">
      <c r="A12780" s="2" t="s">
        <v>8</v>
      </c>
      <c r="B12780" s="2" t="str">
        <f>HYPERLINK("http://ts.21cn.com/tousu/show/id/1344194","爆通讯录，恐吓，骚扰，威胁")</f>
        <v>爆通讯录，恐吓，骚扰，威胁</v>
      </c>
      <c r="C12780" s="2" t="s">
        <v>9</v>
      </c>
      <c r="D12780" s="2" t="s">
        <v>10</v>
      </c>
      <c r="E12780" s="2" t="str">
        <f>HYPERLINK("http://ts.21cn.com/tousu/show/id/1344194","http://ts.21cn.com/tousu/show/id/1344194")</f>
        <v>http://ts.21cn.com/tousu/show/id/1344194</v>
      </c>
      <c r="F12780" s="2" t="s">
        <v>11</v>
      </c>
      <c r="G12780" s="2" t="s">
        <v>19018</v>
      </c>
      <c r="H12780" s="2" t="s">
        <v>19019</v>
      </c>
    </row>
    <row r="12781" spans="1:8" ht="25.05" customHeight="1" x14ac:dyDescent="0.25">
      <c r="A12781" s="2" t="s">
        <v>8</v>
      </c>
      <c r="B12781" s="2" t="str">
        <f>HYPERLINK("http://ts.21cn.com/tousu/show/id/1344195","你我贷变相高利贷收取平台中介费用")</f>
        <v>你我贷变相高利贷收取平台中介费用</v>
      </c>
      <c r="C12781" s="2" t="s">
        <v>9</v>
      </c>
      <c r="D12781" s="2" t="s">
        <v>10</v>
      </c>
      <c r="E12781" s="2" t="str">
        <f>HYPERLINK("http://ts.21cn.com/tousu/show/id/1344195","http://ts.21cn.com/tousu/show/id/1344195")</f>
        <v>http://ts.21cn.com/tousu/show/id/1344195</v>
      </c>
      <c r="F12781" s="2" t="s">
        <v>11</v>
      </c>
      <c r="G12781" s="2" t="s">
        <v>19016</v>
      </c>
      <c r="H12781" s="2" t="s">
        <v>19017</v>
      </c>
    </row>
    <row r="12782" spans="1:8" ht="25.05" customHeight="1" x14ac:dyDescent="0.25">
      <c r="A12782" s="2" t="s">
        <v>8</v>
      </c>
      <c r="B12782" s="2" t="str">
        <f>HYPERLINK("http://ts.21cn.com/tousu/show/id/1344199","浦发银行协商还款")</f>
        <v>浦发银行协商还款</v>
      </c>
      <c r="C12782" s="2" t="s">
        <v>9</v>
      </c>
      <c r="D12782" s="2" t="s">
        <v>10</v>
      </c>
      <c r="E12782" s="2" t="str">
        <f>HYPERLINK("http://ts.21cn.com/tousu/show/id/1344199","http://ts.21cn.com/tousu/show/id/1344199")</f>
        <v>http://ts.21cn.com/tousu/show/id/1344199</v>
      </c>
      <c r="F12782" s="2" t="s">
        <v>11</v>
      </c>
      <c r="G12782" s="2" t="s">
        <v>19014</v>
      </c>
      <c r="H12782" s="2" t="s">
        <v>19015</v>
      </c>
    </row>
    <row r="12783" spans="1:8" ht="25.05" customHeight="1" x14ac:dyDescent="0.25">
      <c r="A12783" s="2" t="s">
        <v>8</v>
      </c>
      <c r="B12783" s="2" t="str">
        <f>HYPERLINK("http://ts.21cn.com/tousu/show/id/1344198","飞猪汽车票服务霸王条款")</f>
        <v>飞猪汽车票服务霸王条款</v>
      </c>
      <c r="C12783" s="2" t="s">
        <v>9</v>
      </c>
      <c r="D12783" s="2" t="s">
        <v>10</v>
      </c>
      <c r="E12783" s="2" t="str">
        <f>HYPERLINK("http://ts.21cn.com/tousu/show/id/1344198","http://ts.21cn.com/tousu/show/id/1344198")</f>
        <v>http://ts.21cn.com/tousu/show/id/1344198</v>
      </c>
      <c r="F12783" s="2" t="s">
        <v>11</v>
      </c>
      <c r="G12783" s="2" t="s">
        <v>19012</v>
      </c>
      <c r="H12783" s="2" t="s">
        <v>19013</v>
      </c>
    </row>
    <row r="12784" spans="1:8" ht="25.05" customHeight="1" x14ac:dyDescent="0.25">
      <c r="A12784" s="2" t="s">
        <v>8</v>
      </c>
      <c r="B12784" s="2" t="str">
        <f>HYPERLINK("http://ts.21cn.com/tousu/show/id/1344200","携趣网络技术上海有限公司乱扣费")</f>
        <v>携趣网络技术上海有限公司乱扣费</v>
      </c>
      <c r="C12784" s="2" t="s">
        <v>9</v>
      </c>
      <c r="D12784" s="2" t="s">
        <v>10</v>
      </c>
      <c r="E12784" s="2" t="str">
        <f>HYPERLINK("http://ts.21cn.com/tousu/show/id/1344200","http://ts.21cn.com/tousu/show/id/1344200")</f>
        <v>http://ts.21cn.com/tousu/show/id/1344200</v>
      </c>
      <c r="F12784" s="2" t="s">
        <v>11</v>
      </c>
      <c r="G12784" s="2" t="s">
        <v>19011</v>
      </c>
      <c r="H12784" s="2" t="s">
        <v>16638</v>
      </c>
    </row>
    <row r="12785" spans="1:8" ht="25.05" customHeight="1" x14ac:dyDescent="0.25">
      <c r="A12785" s="2" t="s">
        <v>8</v>
      </c>
      <c r="B12785" s="2" t="str">
        <f>HYPERLINK("http://ts.21cn.com/tousu/show/id/1344201","有缘信袋协商还款尽快联系我")</f>
        <v>有缘信袋协商还款尽快联系我</v>
      </c>
      <c r="C12785" s="2" t="s">
        <v>9</v>
      </c>
      <c r="D12785" s="2" t="s">
        <v>10</v>
      </c>
      <c r="E12785" s="2" t="str">
        <f>HYPERLINK("http://ts.21cn.com/tousu/show/id/1344201","http://ts.21cn.com/tousu/show/id/1344201")</f>
        <v>http://ts.21cn.com/tousu/show/id/1344201</v>
      </c>
      <c r="F12785" s="2" t="s">
        <v>11</v>
      </c>
      <c r="G12785" s="2" t="s">
        <v>19009</v>
      </c>
      <c r="H12785" s="2" t="s">
        <v>19010</v>
      </c>
    </row>
    <row r="12786" spans="1:8" ht="25.05" customHeight="1" x14ac:dyDescent="0.25">
      <c r="A12786" s="2" t="s">
        <v>8</v>
      </c>
      <c r="B12786" s="2" t="str">
        <f>HYPERLINK("http://ts.21cn.com/tousu/show/id/1344177","通过贷后还款新橙优品app还是逾期且上征信")</f>
        <v>通过贷后还款新橙优品app还是逾期且上征信</v>
      </c>
      <c r="C12786" s="2" t="s">
        <v>34</v>
      </c>
      <c r="D12786" s="2" t="s">
        <v>10</v>
      </c>
      <c r="E12786" s="2" t="str">
        <f>HYPERLINK("http://ts.21cn.com/tousu/show/id/1344177","http://ts.21cn.com/tousu/show/id/1344177")</f>
        <v>http://ts.21cn.com/tousu/show/id/1344177</v>
      </c>
      <c r="F12786" s="2" t="s">
        <v>11</v>
      </c>
      <c r="G12786" s="2" t="s">
        <v>19006</v>
      </c>
      <c r="H12786" s="2" t="s">
        <v>19007</v>
      </c>
    </row>
    <row r="12787" spans="1:8" ht="25.05" customHeight="1" x14ac:dyDescent="0.25">
      <c r="A12787" s="2" t="s">
        <v>8</v>
      </c>
      <c r="B12787" s="2" t="str">
        <f>HYPERLINK("http://ts.21cn.com/tousu/show/id/1344205","京东白条不提醒还款，逾期立马上征信，要求征信维护")</f>
        <v>京东白条不提醒还款，逾期立马上征信，要求征信维护</v>
      </c>
      <c r="C12787" s="2" t="s">
        <v>9</v>
      </c>
      <c r="D12787" s="2" t="s">
        <v>10</v>
      </c>
      <c r="E12787" s="2" t="str">
        <f>HYPERLINK("http://ts.21cn.com/tousu/show/id/1344205","http://ts.21cn.com/tousu/show/id/1344205")</f>
        <v>http://ts.21cn.com/tousu/show/id/1344205</v>
      </c>
      <c r="F12787" s="2" t="s">
        <v>11</v>
      </c>
      <c r="G12787" s="2" t="s">
        <v>19006</v>
      </c>
      <c r="H12787" s="2" t="s">
        <v>19008</v>
      </c>
    </row>
    <row r="12788" spans="1:8" ht="25.05" customHeight="1" x14ac:dyDescent="0.25">
      <c r="A12788" s="2" t="s">
        <v>8</v>
      </c>
      <c r="B12788" s="2" t="str">
        <f>HYPERLINK("http://ts.21cn.com/tousu/show/id/1344203","哈啰单车乱收费")</f>
        <v>哈啰单车乱收费</v>
      </c>
      <c r="C12788" s="2" t="s">
        <v>9</v>
      </c>
      <c r="D12788" s="2" t="s">
        <v>10</v>
      </c>
      <c r="E12788" s="2" t="str">
        <f>HYPERLINK("http://ts.21cn.com/tousu/show/id/1344203","http://ts.21cn.com/tousu/show/id/1344203")</f>
        <v>http://ts.21cn.com/tousu/show/id/1344203</v>
      </c>
      <c r="F12788" s="2" t="s">
        <v>11</v>
      </c>
      <c r="G12788" s="2" t="s">
        <v>19004</v>
      </c>
      <c r="H12788" s="2" t="s">
        <v>19005</v>
      </c>
    </row>
    <row r="12789" spans="1:8" ht="25.05" customHeight="1" x14ac:dyDescent="0.25">
      <c r="A12789" s="2" t="s">
        <v>8</v>
      </c>
      <c r="B12789" s="2" t="str">
        <f>HYPERLINK("http://ts.21cn.com/tousu/show/id/1344204","优智借逾期")</f>
        <v>优智借逾期</v>
      </c>
      <c r="C12789" s="2" t="s">
        <v>9</v>
      </c>
      <c r="D12789" s="2" t="s">
        <v>10</v>
      </c>
      <c r="E12789" s="2" t="str">
        <f>HYPERLINK("http://ts.21cn.com/tousu/show/id/1344204","http://ts.21cn.com/tousu/show/id/1344204")</f>
        <v>http://ts.21cn.com/tousu/show/id/1344204</v>
      </c>
      <c r="F12789" s="2" t="s">
        <v>11</v>
      </c>
      <c r="G12789" s="2" t="s">
        <v>19002</v>
      </c>
      <c r="H12789" s="2" t="s">
        <v>19003</v>
      </c>
    </row>
    <row r="12790" spans="1:8" ht="25.05" customHeight="1" x14ac:dyDescent="0.25">
      <c r="A12790" s="2" t="s">
        <v>8</v>
      </c>
      <c r="B12790" s="2" t="str">
        <f>HYPERLINK("http://ts.21cn.com/tousu/show/id/1344206","重庆金科天元道项目变相强制引导业主签订其内部合作除渣公司")</f>
        <v>重庆金科天元道项目变相强制引导业主签订其内部合作除渣公司</v>
      </c>
      <c r="C12790" s="2" t="s">
        <v>9</v>
      </c>
      <c r="D12790" s="2" t="s">
        <v>10</v>
      </c>
      <c r="E12790" s="2" t="str">
        <f>HYPERLINK("http://ts.21cn.com/tousu/show/id/1344206","http://ts.21cn.com/tousu/show/id/1344206")</f>
        <v>http://ts.21cn.com/tousu/show/id/1344206</v>
      </c>
      <c r="F12790" s="2" t="s">
        <v>11</v>
      </c>
      <c r="G12790" s="2" t="s">
        <v>19000</v>
      </c>
      <c r="H12790" s="2" t="s">
        <v>19001</v>
      </c>
    </row>
    <row r="12791" spans="1:8" ht="25.05" customHeight="1" x14ac:dyDescent="0.25">
      <c r="A12791" s="2" t="s">
        <v>8</v>
      </c>
      <c r="B12791" s="2" t="str">
        <f>HYPERLINK("http://ts.21cn.com/tousu/show/id/1344208","如期分期砍头息")</f>
        <v>如期分期砍头息</v>
      </c>
      <c r="C12791" s="2" t="s">
        <v>9</v>
      </c>
      <c r="D12791" s="2" t="s">
        <v>10</v>
      </c>
      <c r="E12791" s="2" t="str">
        <f>HYPERLINK("http://ts.21cn.com/tousu/show/id/1344208","http://ts.21cn.com/tousu/show/id/1344208")</f>
        <v>http://ts.21cn.com/tousu/show/id/1344208</v>
      </c>
      <c r="F12791" s="2" t="s">
        <v>11</v>
      </c>
      <c r="G12791" s="2" t="s">
        <v>18998</v>
      </c>
      <c r="H12791" s="2" t="s">
        <v>18999</v>
      </c>
    </row>
    <row r="12792" spans="1:8" ht="25.05" customHeight="1" x14ac:dyDescent="0.25">
      <c r="A12792" s="2" t="s">
        <v>8</v>
      </c>
      <c r="B12792" s="2" t="str">
        <f>HYPERLINK("http://ts.21cn.com/tousu/show/id/1344207","新浪分期骚扰")</f>
        <v>新浪分期骚扰</v>
      </c>
      <c r="C12792" s="2" t="s">
        <v>34</v>
      </c>
      <c r="D12792" s="2" t="s">
        <v>10</v>
      </c>
      <c r="E12792" s="2" t="str">
        <f>HYPERLINK("http://ts.21cn.com/tousu/show/id/1344207","http://ts.21cn.com/tousu/show/id/1344207")</f>
        <v>http://ts.21cn.com/tousu/show/id/1344207</v>
      </c>
      <c r="F12792" s="2" t="s">
        <v>11</v>
      </c>
      <c r="G12792" s="2" t="s">
        <v>18996</v>
      </c>
      <c r="H12792" s="2" t="s">
        <v>18997</v>
      </c>
    </row>
    <row r="12793" spans="1:8" ht="25.05" customHeight="1" x14ac:dyDescent="0.25">
      <c r="A12793" s="2" t="s">
        <v>8</v>
      </c>
      <c r="B12793" s="2" t="str">
        <f>HYPERLINK("http://ts.21cn.com/tousu/show/id/1344209","骚扰通讯录")</f>
        <v>骚扰通讯录</v>
      </c>
      <c r="C12793" s="2" t="s">
        <v>9</v>
      </c>
      <c r="D12793" s="2" t="s">
        <v>10</v>
      </c>
      <c r="E12793" s="2" t="str">
        <f>HYPERLINK("http://ts.21cn.com/tousu/show/id/1344209","http://ts.21cn.com/tousu/show/id/1344209")</f>
        <v>http://ts.21cn.com/tousu/show/id/1344209</v>
      </c>
      <c r="F12793" s="2" t="s">
        <v>11</v>
      </c>
      <c r="G12793" s="2" t="s">
        <v>18994</v>
      </c>
      <c r="H12793" s="2" t="s">
        <v>18995</v>
      </c>
    </row>
    <row r="12794" spans="1:8" ht="25.05" customHeight="1" x14ac:dyDescent="0.25">
      <c r="A12794" s="2" t="s">
        <v>8</v>
      </c>
      <c r="B12794" s="2" t="str">
        <f>HYPERLINK("http://ts.21cn.com/tousu/show/id/1344210","暴力催收")</f>
        <v>暴力催收</v>
      </c>
      <c r="C12794" s="2" t="s">
        <v>9</v>
      </c>
      <c r="D12794" s="2" t="s">
        <v>10</v>
      </c>
      <c r="E12794" s="2" t="str">
        <f>HYPERLINK("http://ts.21cn.com/tousu/show/id/1344210","http://ts.21cn.com/tousu/show/id/1344210")</f>
        <v>http://ts.21cn.com/tousu/show/id/1344210</v>
      </c>
      <c r="F12794" s="2" t="s">
        <v>11</v>
      </c>
      <c r="G12794" s="2" t="s">
        <v>18992</v>
      </c>
      <c r="H12794" s="2" t="s">
        <v>18993</v>
      </c>
    </row>
    <row r="12795" spans="1:8" ht="25.05" customHeight="1" x14ac:dyDescent="0.25">
      <c r="A12795" s="2" t="s">
        <v>8</v>
      </c>
      <c r="B12795" s="2" t="str">
        <f>HYPERLINK("http://ts.21cn.com/tousu/show/id/1344185","点融魔借高利贷砍头息")</f>
        <v>点融魔借高利贷砍头息</v>
      </c>
      <c r="C12795" s="2" t="s">
        <v>9</v>
      </c>
      <c r="D12795" s="2" t="s">
        <v>10</v>
      </c>
      <c r="E12795" s="2" t="str">
        <f>HYPERLINK("http://ts.21cn.com/tousu/show/id/1344185","http://ts.21cn.com/tousu/show/id/1344185")</f>
        <v>http://ts.21cn.com/tousu/show/id/1344185</v>
      </c>
      <c r="F12795" s="2" t="s">
        <v>11</v>
      </c>
      <c r="G12795" s="2" t="s">
        <v>18990</v>
      </c>
      <c r="H12795" s="2" t="s">
        <v>18991</v>
      </c>
    </row>
    <row r="12796" spans="1:8" ht="25.05" customHeight="1" x14ac:dyDescent="0.25">
      <c r="A12796" s="2" t="s">
        <v>8</v>
      </c>
      <c r="B12796" s="2" t="str">
        <f>HYPERLINK("http://ts.21cn.com/tousu/show/id/1344212","贷上钱暴力催收，高利息，威胁，恐吓，")</f>
        <v>贷上钱暴力催收，高利息，威胁，恐吓，</v>
      </c>
      <c r="C12796" s="2" t="s">
        <v>9</v>
      </c>
      <c r="D12796" s="2" t="s">
        <v>10</v>
      </c>
      <c r="E12796" s="2" t="str">
        <f>HYPERLINK("http://ts.21cn.com/tousu/show/id/1344212","http://ts.21cn.com/tousu/show/id/1344212")</f>
        <v>http://ts.21cn.com/tousu/show/id/1344212</v>
      </c>
      <c r="F12796" s="2" t="s">
        <v>11</v>
      </c>
      <c r="G12796" s="2" t="s">
        <v>18988</v>
      </c>
      <c r="H12796" s="2" t="s">
        <v>18989</v>
      </c>
    </row>
    <row r="12797" spans="1:8" ht="25.05" customHeight="1" x14ac:dyDescent="0.25">
      <c r="A12797" s="2" t="s">
        <v>8</v>
      </c>
      <c r="B12797" s="2" t="str">
        <f>HYPERLINK("http://ts.21cn.com/tousu/show/id/1344215","交通银行信用卡骚扰，误导本人录音，")</f>
        <v>交通银行信用卡骚扰，误导本人录音，</v>
      </c>
      <c r="C12797" s="2" t="s">
        <v>9</v>
      </c>
      <c r="D12797" s="2" t="s">
        <v>10</v>
      </c>
      <c r="E12797" s="2" t="str">
        <f>HYPERLINK("http://ts.21cn.com/tousu/show/id/1344215","http://ts.21cn.com/tousu/show/id/1344215")</f>
        <v>http://ts.21cn.com/tousu/show/id/1344215</v>
      </c>
      <c r="F12797" s="2" t="s">
        <v>11</v>
      </c>
      <c r="G12797" s="2" t="s">
        <v>18986</v>
      </c>
      <c r="H12797" s="2" t="s">
        <v>18987</v>
      </c>
    </row>
    <row r="12798" spans="1:8" ht="25.05" customHeight="1" x14ac:dyDescent="0.25">
      <c r="A12798" s="2" t="s">
        <v>8</v>
      </c>
      <c r="B12798" s="2" t="str">
        <f>HYPERLINK("http://ts.21cn.com/tousu/show/id/1344214","腾讯公司旗下本人QQ被盗申诉不回公司客服一直不接电话用早期聊系的朋友仍然不能找回")</f>
        <v>腾讯公司旗下本人QQ被盗申诉不回公司客服一直不接电话用早期聊系的朋友仍然不能找回</v>
      </c>
      <c r="C12798" s="2" t="s">
        <v>9</v>
      </c>
      <c r="D12798" s="2" t="s">
        <v>10</v>
      </c>
      <c r="E12798" s="2" t="str">
        <f>HYPERLINK("http://ts.21cn.com/tousu/show/id/1344214","http://ts.21cn.com/tousu/show/id/1344214")</f>
        <v>http://ts.21cn.com/tousu/show/id/1344214</v>
      </c>
      <c r="F12798" s="2" t="s">
        <v>11</v>
      </c>
      <c r="G12798" s="2" t="s">
        <v>18984</v>
      </c>
      <c r="H12798" s="2" t="s">
        <v>18985</v>
      </c>
    </row>
    <row r="12799" spans="1:8" ht="25.05" customHeight="1" x14ac:dyDescent="0.25">
      <c r="A12799" s="2" t="s">
        <v>8</v>
      </c>
      <c r="B12799" s="2" t="str">
        <f>HYPERLINK("http://ts.21cn.com/tousu/show/id/1344216","你我贷")</f>
        <v>你我贷</v>
      </c>
      <c r="C12799" s="2" t="s">
        <v>9</v>
      </c>
      <c r="D12799" s="2" t="s">
        <v>10</v>
      </c>
      <c r="E12799" s="2" t="str">
        <f>HYPERLINK("http://ts.21cn.com/tousu/show/id/1344216","http://ts.21cn.com/tousu/show/id/1344216")</f>
        <v>http://ts.21cn.com/tousu/show/id/1344216</v>
      </c>
      <c r="F12799" s="2" t="s">
        <v>11</v>
      </c>
      <c r="G12799" s="2" t="s">
        <v>18982</v>
      </c>
      <c r="H12799" s="2" t="s">
        <v>18983</v>
      </c>
    </row>
    <row r="12800" spans="1:8" ht="25.05" customHeight="1" x14ac:dyDescent="0.25">
      <c r="A12800" s="2" t="s">
        <v>8</v>
      </c>
      <c r="B12800" s="2" t="str">
        <f>HYPERLINK("http://ts.21cn.com/tousu/show/id/1344172","小花钱包恶意催收，威胁借款人")</f>
        <v>小花钱包恶意催收，威胁借款人</v>
      </c>
      <c r="C12800" s="2" t="s">
        <v>9</v>
      </c>
      <c r="D12800" s="2" t="s">
        <v>10</v>
      </c>
      <c r="E12800" s="2" t="str">
        <f>HYPERLINK("http://ts.21cn.com/tousu/show/id/1344172","http://ts.21cn.com/tousu/show/id/1344172")</f>
        <v>http://ts.21cn.com/tousu/show/id/1344172</v>
      </c>
      <c r="F12800" s="2" t="s">
        <v>11</v>
      </c>
      <c r="G12800" s="2" t="s">
        <v>18980</v>
      </c>
      <c r="H12800" s="2" t="s">
        <v>18981</v>
      </c>
    </row>
    <row r="12801" spans="1:8" ht="25.05" customHeight="1" x14ac:dyDescent="0.25">
      <c r="A12801" s="2" t="s">
        <v>8</v>
      </c>
      <c r="B12801" s="2" t="str">
        <f>HYPERLINK("http://ts.21cn.com/tousu/show/id/1344217","微粒贷")</f>
        <v>微粒贷</v>
      </c>
      <c r="C12801" s="2" t="s">
        <v>34</v>
      </c>
      <c r="D12801" s="2" t="s">
        <v>10</v>
      </c>
      <c r="E12801" s="2" t="str">
        <f>HYPERLINK("http://ts.21cn.com/tousu/show/id/1344217","http://ts.21cn.com/tousu/show/id/1344217")</f>
        <v>http://ts.21cn.com/tousu/show/id/1344217</v>
      </c>
      <c r="F12801" s="2" t="s">
        <v>11</v>
      </c>
      <c r="G12801" s="2" t="s">
        <v>18977</v>
      </c>
      <c r="H12801" s="2" t="s">
        <v>18978</v>
      </c>
    </row>
    <row r="12802" spans="1:8" ht="25.05" customHeight="1" x14ac:dyDescent="0.25">
      <c r="A12802" s="2" t="s">
        <v>8</v>
      </c>
      <c r="B12802" s="2" t="str">
        <f>HYPERLINK("http://ts.21cn.com/tousu/show/id/1344220","光大银行信用卡无故降低信用卡额度")</f>
        <v>光大银行信用卡无故降低信用卡额度</v>
      </c>
      <c r="C12802" s="2" t="s">
        <v>9</v>
      </c>
      <c r="D12802" s="2" t="s">
        <v>10</v>
      </c>
      <c r="E12802" s="2" t="str">
        <f>HYPERLINK("http://ts.21cn.com/tousu/show/id/1344220","http://ts.21cn.com/tousu/show/id/1344220")</f>
        <v>http://ts.21cn.com/tousu/show/id/1344220</v>
      </c>
      <c r="F12802" s="2" t="s">
        <v>11</v>
      </c>
      <c r="G12802" s="2" t="s">
        <v>18977</v>
      </c>
      <c r="H12802" s="2" t="s">
        <v>18979</v>
      </c>
    </row>
    <row r="12803" spans="1:8" ht="25.05" customHeight="1" x14ac:dyDescent="0.25">
      <c r="A12803" s="2" t="s">
        <v>8</v>
      </c>
      <c r="B12803" s="2" t="str">
        <f>HYPERLINK("http://ts.21cn.com/tousu/show/id/1344218","牛人有品协商无效费用越来越高")</f>
        <v>牛人有品协商无效费用越来越高</v>
      </c>
      <c r="C12803" s="2" t="s">
        <v>9</v>
      </c>
      <c r="D12803" s="2" t="s">
        <v>10</v>
      </c>
      <c r="E12803" s="2" t="str">
        <f>HYPERLINK("http://ts.21cn.com/tousu/show/id/1344218","http://ts.21cn.com/tousu/show/id/1344218")</f>
        <v>http://ts.21cn.com/tousu/show/id/1344218</v>
      </c>
      <c r="F12803" s="2" t="s">
        <v>11</v>
      </c>
      <c r="G12803" s="2" t="s">
        <v>18975</v>
      </c>
      <c r="H12803" s="2" t="s">
        <v>18976</v>
      </c>
    </row>
    <row r="12804" spans="1:8" ht="25.05" customHeight="1" x14ac:dyDescent="0.25">
      <c r="A12804" s="2" t="s">
        <v>8</v>
      </c>
      <c r="B12804" s="2" t="str">
        <f>HYPERLINK("http://ts.21cn.com/tousu/show/id/1343692","冒充好友，让我转钱")</f>
        <v>冒充好友，让我转钱</v>
      </c>
      <c r="C12804" s="2" t="s">
        <v>34</v>
      </c>
      <c r="D12804" s="2" t="s">
        <v>10</v>
      </c>
      <c r="E12804" s="2" t="str">
        <f>HYPERLINK("http://ts.21cn.com/tousu/show/id/1343692","http://ts.21cn.com/tousu/show/id/1343692")</f>
        <v>http://ts.21cn.com/tousu/show/id/1343692</v>
      </c>
      <c r="F12804" s="2" t="s">
        <v>11</v>
      </c>
      <c r="G12804" s="2" t="s">
        <v>18973</v>
      </c>
      <c r="H12804" s="2" t="s">
        <v>18974</v>
      </c>
    </row>
    <row r="12805" spans="1:8" ht="25.05" customHeight="1" x14ac:dyDescent="0.25">
      <c r="A12805" s="2" t="s">
        <v>8</v>
      </c>
      <c r="B12805" s="2" t="str">
        <f>HYPERLINK("http://ts.21cn.com/tousu/show/id/1344219","钱站，账单欺诈，阴阳合同")</f>
        <v>钱站，账单欺诈，阴阳合同</v>
      </c>
      <c r="C12805" s="2" t="s">
        <v>9</v>
      </c>
      <c r="D12805" s="2" t="s">
        <v>10</v>
      </c>
      <c r="E12805" s="2" t="str">
        <f>HYPERLINK("http://ts.21cn.com/tousu/show/id/1344219","http://ts.21cn.com/tousu/show/id/1344219")</f>
        <v>http://ts.21cn.com/tousu/show/id/1344219</v>
      </c>
      <c r="F12805" s="2" t="s">
        <v>11</v>
      </c>
      <c r="G12805" s="2" t="s">
        <v>18971</v>
      </c>
      <c r="H12805" s="2" t="s">
        <v>18972</v>
      </c>
    </row>
    <row r="12806" spans="1:8" ht="25.05" customHeight="1" x14ac:dyDescent="0.25">
      <c r="A12806" s="2" t="s">
        <v>8</v>
      </c>
      <c r="B12806" s="2" t="str">
        <f>HYPERLINK("http://ts.21cn.com/tousu/show/id/1344221","闪银哼哼高利贷")</f>
        <v>闪银哼哼高利贷</v>
      </c>
      <c r="C12806" s="2" t="s">
        <v>9</v>
      </c>
      <c r="D12806" s="2" t="s">
        <v>10</v>
      </c>
      <c r="E12806" s="2" t="str">
        <f>HYPERLINK("http://ts.21cn.com/tousu/show/id/1344221","http://ts.21cn.com/tousu/show/id/1344221")</f>
        <v>http://ts.21cn.com/tousu/show/id/1344221</v>
      </c>
      <c r="F12806" s="2" t="s">
        <v>11</v>
      </c>
      <c r="G12806" s="2" t="s">
        <v>18969</v>
      </c>
      <c r="H12806" s="2" t="s">
        <v>18970</v>
      </c>
    </row>
    <row r="12807" spans="1:8" ht="25.05" customHeight="1" x14ac:dyDescent="0.25">
      <c r="A12807" s="2" t="s">
        <v>8</v>
      </c>
      <c r="B12807" s="2" t="str">
        <f>HYPERLINK("http://ts.21cn.com/tousu/show/id/1344222","维信卡卡贷恶意催收")</f>
        <v>维信卡卡贷恶意催收</v>
      </c>
      <c r="C12807" s="2" t="s">
        <v>9</v>
      </c>
      <c r="D12807" s="2" t="s">
        <v>10</v>
      </c>
      <c r="E12807" s="2" t="str">
        <f>HYPERLINK("http://ts.21cn.com/tousu/show/id/1344222","http://ts.21cn.com/tousu/show/id/1344222")</f>
        <v>http://ts.21cn.com/tousu/show/id/1344222</v>
      </c>
      <c r="F12807" s="2" t="s">
        <v>11</v>
      </c>
      <c r="G12807" s="2" t="s">
        <v>18967</v>
      </c>
      <c r="H12807" s="2" t="s">
        <v>18968</v>
      </c>
    </row>
    <row r="12808" spans="1:8" ht="25.05" customHeight="1" x14ac:dyDescent="0.25">
      <c r="A12808" s="2" t="s">
        <v>8</v>
      </c>
      <c r="B12808" s="2" t="str">
        <f>HYPERLINK("http://ts.21cn.com/tousu/show/id/1344223","严肃追究违规企业责任")</f>
        <v>严肃追究违规企业责任</v>
      </c>
      <c r="C12808" s="2" t="s">
        <v>9</v>
      </c>
      <c r="D12808" s="2" t="s">
        <v>10</v>
      </c>
      <c r="E12808" s="2" t="str">
        <f>HYPERLINK("http://ts.21cn.com/tousu/show/id/1344223","http://ts.21cn.com/tousu/show/id/1344223")</f>
        <v>http://ts.21cn.com/tousu/show/id/1344223</v>
      </c>
      <c r="F12808" s="2" t="s">
        <v>11</v>
      </c>
      <c r="G12808" s="2" t="s">
        <v>18965</v>
      </c>
      <c r="H12808" s="2" t="s">
        <v>18966</v>
      </c>
    </row>
    <row r="12809" spans="1:8" ht="25.05" customHeight="1" x14ac:dyDescent="0.25">
      <c r="A12809" s="2" t="s">
        <v>8</v>
      </c>
      <c r="B12809" s="2" t="str">
        <f>HYPERLINK("http://ts.21cn.com/tousu/show/id/1344224","唯品会漏发商品不肯担责问题")</f>
        <v>唯品会漏发商品不肯担责问题</v>
      </c>
      <c r="C12809" s="2" t="s">
        <v>9</v>
      </c>
      <c r="D12809" s="2" t="s">
        <v>10</v>
      </c>
      <c r="E12809" s="2" t="str">
        <f>HYPERLINK("http://ts.21cn.com/tousu/show/id/1344224","http://ts.21cn.com/tousu/show/id/1344224")</f>
        <v>http://ts.21cn.com/tousu/show/id/1344224</v>
      </c>
      <c r="F12809" s="2" t="s">
        <v>11</v>
      </c>
      <c r="G12809" s="2" t="s">
        <v>18963</v>
      </c>
      <c r="H12809" s="2" t="s">
        <v>18964</v>
      </c>
    </row>
    <row r="12810" spans="1:8" ht="25.05" customHeight="1" x14ac:dyDescent="0.25">
      <c r="A12810" s="2" t="s">
        <v>8</v>
      </c>
      <c r="B12810" s="2" t="str">
        <f>HYPERLINK("http://ts.21cn.com/tousu/show/id/1344225","火影帮高利贷")</f>
        <v>火影帮高利贷</v>
      </c>
      <c r="C12810" s="2" t="s">
        <v>9</v>
      </c>
      <c r="D12810" s="2" t="s">
        <v>10</v>
      </c>
      <c r="E12810" s="2" t="str">
        <f>HYPERLINK("http://ts.21cn.com/tousu/show/id/1344225","http://ts.21cn.com/tousu/show/id/1344225")</f>
        <v>http://ts.21cn.com/tousu/show/id/1344225</v>
      </c>
      <c r="F12810" s="2" t="s">
        <v>11</v>
      </c>
      <c r="G12810" s="2" t="s">
        <v>18961</v>
      </c>
      <c r="H12810" s="2" t="s">
        <v>18962</v>
      </c>
    </row>
    <row r="12811" spans="1:8" ht="25.05" customHeight="1" x14ac:dyDescent="0.25">
      <c r="A12811" s="2" t="s">
        <v>8</v>
      </c>
      <c r="B12811" s="2" t="str">
        <f>HYPERLINK("http://ts.21cn.com/tousu/show/id/1344226","浦发银行暴利催收")</f>
        <v>浦发银行暴利催收</v>
      </c>
      <c r="C12811" s="2" t="s">
        <v>9</v>
      </c>
      <c r="D12811" s="2" t="s">
        <v>10</v>
      </c>
      <c r="E12811" s="2" t="str">
        <f>HYPERLINK("http://ts.21cn.com/tousu/show/id/1344226","http://ts.21cn.com/tousu/show/id/1344226")</f>
        <v>http://ts.21cn.com/tousu/show/id/1344226</v>
      </c>
      <c r="F12811" s="2" t="s">
        <v>11</v>
      </c>
      <c r="G12811" s="2" t="s">
        <v>18959</v>
      </c>
      <c r="H12811" s="2" t="s">
        <v>18960</v>
      </c>
    </row>
    <row r="12812" spans="1:8" ht="25.05" customHeight="1" x14ac:dyDescent="0.25">
      <c r="A12812" s="2" t="s">
        <v>8</v>
      </c>
      <c r="B12812" s="2" t="str">
        <f>HYPERLINK("http://ts.21cn.com/tousu/show/id/1344227","闲鱼客，淘米提现不出来")</f>
        <v>闲鱼客，淘米提现不出来</v>
      </c>
      <c r="C12812" s="2" t="s">
        <v>34</v>
      </c>
      <c r="D12812" s="2" t="s">
        <v>10</v>
      </c>
      <c r="E12812" s="2" t="str">
        <f>HYPERLINK("http://ts.21cn.com/tousu/show/id/1344227","http://ts.21cn.com/tousu/show/id/1344227")</f>
        <v>http://ts.21cn.com/tousu/show/id/1344227</v>
      </c>
      <c r="F12812" s="2" t="s">
        <v>11</v>
      </c>
      <c r="G12812" s="2" t="s">
        <v>18957</v>
      </c>
      <c r="H12812" s="2" t="s">
        <v>18958</v>
      </c>
    </row>
    <row r="12813" spans="1:8" ht="25.05" customHeight="1" x14ac:dyDescent="0.25">
      <c r="A12813" s="2" t="s">
        <v>8</v>
      </c>
      <c r="B12813" s="2" t="str">
        <f>HYPERLINK("http://ts.21cn.com/tousu/show/id/1344229","洋钱罐暴力催收")</f>
        <v>洋钱罐暴力催收</v>
      </c>
      <c r="C12813" s="2" t="s">
        <v>9</v>
      </c>
      <c r="D12813" s="2" t="s">
        <v>10</v>
      </c>
      <c r="E12813" s="2" t="str">
        <f>HYPERLINK("http://ts.21cn.com/tousu/show/id/1344229","http://ts.21cn.com/tousu/show/id/1344229")</f>
        <v>http://ts.21cn.com/tousu/show/id/1344229</v>
      </c>
      <c r="F12813" s="2" t="s">
        <v>11</v>
      </c>
      <c r="G12813" s="2" t="s">
        <v>18955</v>
      </c>
      <c r="H12813" s="2" t="s">
        <v>18956</v>
      </c>
    </row>
    <row r="12814" spans="1:8" ht="25.05" customHeight="1" x14ac:dyDescent="0.25">
      <c r="A12814" s="2" t="s">
        <v>8</v>
      </c>
      <c r="B12814" s="2" t="str">
        <f>HYPERLINK("http://ts.21cn.com/tousu/show/id/1344230","高利贷，砍头贷")</f>
        <v>高利贷，砍头贷</v>
      </c>
      <c r="C12814" s="2" t="s">
        <v>9</v>
      </c>
      <c r="D12814" s="2" t="s">
        <v>10</v>
      </c>
      <c r="E12814" s="2" t="str">
        <f>HYPERLINK("http://ts.21cn.com/tousu/show/id/1344230","http://ts.21cn.com/tousu/show/id/1344230")</f>
        <v>http://ts.21cn.com/tousu/show/id/1344230</v>
      </c>
      <c r="F12814" s="2" t="s">
        <v>11</v>
      </c>
      <c r="G12814" s="2" t="s">
        <v>18953</v>
      </c>
      <c r="H12814" s="2" t="s">
        <v>18954</v>
      </c>
    </row>
    <row r="12815" spans="1:8" ht="25.05" customHeight="1" x14ac:dyDescent="0.25">
      <c r="A12815" s="2" t="s">
        <v>8</v>
      </c>
      <c r="B12815" s="2" t="str">
        <f>HYPERLINK("http://ts.21cn.com/tousu/show/id/1344232","小花钱包爆通讯录，给通讯录里的人暴露我个人隐私")</f>
        <v>小花钱包爆通讯录，给通讯录里的人暴露我个人隐私</v>
      </c>
      <c r="C12815" s="2" t="s">
        <v>9</v>
      </c>
      <c r="D12815" s="2" t="s">
        <v>10</v>
      </c>
      <c r="E12815" s="2" t="str">
        <f>HYPERLINK("http://ts.21cn.com/tousu/show/id/1344232","http://ts.21cn.com/tousu/show/id/1344232")</f>
        <v>http://ts.21cn.com/tousu/show/id/1344232</v>
      </c>
      <c r="F12815" s="2" t="s">
        <v>11</v>
      </c>
      <c r="G12815" s="2" t="s">
        <v>18951</v>
      </c>
      <c r="H12815" s="2" t="s">
        <v>18952</v>
      </c>
    </row>
    <row r="12816" spans="1:8" ht="25.05" customHeight="1" x14ac:dyDescent="0.25">
      <c r="A12816" s="2" t="s">
        <v>8</v>
      </c>
      <c r="B12816" s="2" t="str">
        <f>HYPERLINK("http://ts.21cn.com/tousu/show/id/1344233","拼多多专员的处理退款问题")</f>
        <v>拼多多专员的处理退款问题</v>
      </c>
      <c r="C12816" s="2" t="s">
        <v>34</v>
      </c>
      <c r="D12816" s="2" t="s">
        <v>10</v>
      </c>
      <c r="E12816" s="2" t="str">
        <f>HYPERLINK("http://ts.21cn.com/tousu/show/id/1344233","http://ts.21cn.com/tousu/show/id/1344233")</f>
        <v>http://ts.21cn.com/tousu/show/id/1344233</v>
      </c>
      <c r="F12816" s="2" t="s">
        <v>11</v>
      </c>
      <c r="G12816" s="2" t="s">
        <v>18949</v>
      </c>
      <c r="H12816" s="2" t="s">
        <v>18950</v>
      </c>
    </row>
    <row r="12817" spans="1:8" ht="25.05" customHeight="1" x14ac:dyDescent="0.25">
      <c r="A12817" s="2" t="s">
        <v>8</v>
      </c>
      <c r="B12817" s="2" t="str">
        <f>HYPERLINK("http://ts.21cn.com/tousu/show/id/1344234","小黄车ofo不退还押金、客服挂客户电话")</f>
        <v>小黄车ofo不退还押金、客服挂客户电话</v>
      </c>
      <c r="C12817" s="2" t="s">
        <v>9</v>
      </c>
      <c r="D12817" s="2" t="s">
        <v>10</v>
      </c>
      <c r="E12817" s="2" t="str">
        <f>HYPERLINK("http://ts.21cn.com/tousu/show/id/1344234","http://ts.21cn.com/tousu/show/id/1344234")</f>
        <v>http://ts.21cn.com/tousu/show/id/1344234</v>
      </c>
      <c r="F12817" s="2" t="s">
        <v>11</v>
      </c>
      <c r="G12817" s="2" t="s">
        <v>18947</v>
      </c>
      <c r="H12817" s="2" t="s">
        <v>18948</v>
      </c>
    </row>
    <row r="12818" spans="1:8" ht="25.05" customHeight="1" x14ac:dyDescent="0.25">
      <c r="A12818" s="2" t="s">
        <v>8</v>
      </c>
      <c r="B12818" s="2" t="str">
        <f>HYPERLINK("http://ts.21cn.com/tousu/show/id/1344235","建设银行")</f>
        <v>建设银行</v>
      </c>
      <c r="C12818" s="2" t="s">
        <v>9</v>
      </c>
      <c r="D12818" s="2" t="s">
        <v>10</v>
      </c>
      <c r="E12818" s="2" t="str">
        <f>HYPERLINK("http://ts.21cn.com/tousu/show/id/1344235","http://ts.21cn.com/tousu/show/id/1344235")</f>
        <v>http://ts.21cn.com/tousu/show/id/1344235</v>
      </c>
      <c r="F12818" s="2" t="s">
        <v>11</v>
      </c>
      <c r="G12818" s="2" t="s">
        <v>18945</v>
      </c>
      <c r="H12818" s="2" t="s">
        <v>18946</v>
      </c>
    </row>
    <row r="12819" spans="1:8" ht="25.05" customHeight="1" x14ac:dyDescent="0.25">
      <c r="A12819" s="2" t="s">
        <v>8</v>
      </c>
      <c r="B12819" s="2" t="str">
        <f>HYPERLINK("http://ts.21cn.com/tousu/show/id/1344236","微贷网催收暴力")</f>
        <v>微贷网催收暴力</v>
      </c>
      <c r="C12819" s="2" t="s">
        <v>9</v>
      </c>
      <c r="D12819" s="2" t="s">
        <v>10</v>
      </c>
      <c r="E12819" s="2" t="str">
        <f>HYPERLINK("http://ts.21cn.com/tousu/show/id/1344236","http://ts.21cn.com/tousu/show/id/1344236")</f>
        <v>http://ts.21cn.com/tousu/show/id/1344236</v>
      </c>
      <c r="F12819" s="2" t="s">
        <v>11</v>
      </c>
      <c r="G12819" s="2" t="s">
        <v>18943</v>
      </c>
      <c r="H12819" s="2" t="s">
        <v>18944</v>
      </c>
    </row>
    <row r="12820" spans="1:8" ht="25.05" customHeight="1" x14ac:dyDescent="0.25">
      <c r="A12820" s="2" t="s">
        <v>8</v>
      </c>
      <c r="B12820" s="2" t="str">
        <f>HYPERLINK("http://ts.21cn.com/tousu/show/id/1344122","恶劣坑贷公司")</f>
        <v>恶劣坑贷公司</v>
      </c>
      <c r="C12820" s="2" t="s">
        <v>9</v>
      </c>
      <c r="D12820" s="2" t="s">
        <v>10</v>
      </c>
      <c r="E12820" s="2" t="str">
        <f>HYPERLINK("http://ts.21cn.com/tousu/show/id/1344122","http://ts.21cn.com/tousu/show/id/1344122")</f>
        <v>http://ts.21cn.com/tousu/show/id/1344122</v>
      </c>
      <c r="F12820" s="2" t="s">
        <v>11</v>
      </c>
      <c r="G12820" s="2" t="s">
        <v>18941</v>
      </c>
      <c r="H12820" s="2" t="s">
        <v>18942</v>
      </c>
    </row>
    <row r="12821" spans="1:8" ht="25.05" customHeight="1" x14ac:dyDescent="0.25">
      <c r="A12821" s="2" t="s">
        <v>8</v>
      </c>
      <c r="B12821" s="2" t="str">
        <f>HYPERLINK("http://ts.21cn.com/tousu/show/id/1344237","万家乐")</f>
        <v>万家乐</v>
      </c>
      <c r="C12821" s="2" t="s">
        <v>9</v>
      </c>
      <c r="D12821" s="2" t="s">
        <v>10</v>
      </c>
      <c r="E12821" s="2" t="str">
        <f>HYPERLINK("http://ts.21cn.com/tousu/show/id/1344237","http://ts.21cn.com/tousu/show/id/1344237")</f>
        <v>http://ts.21cn.com/tousu/show/id/1344237</v>
      </c>
      <c r="F12821" s="2" t="s">
        <v>11</v>
      </c>
      <c r="G12821" s="2" t="s">
        <v>18939</v>
      </c>
      <c r="H12821" s="2" t="s">
        <v>18940</v>
      </c>
    </row>
    <row r="12822" spans="1:8" ht="25.05" customHeight="1" x14ac:dyDescent="0.25">
      <c r="A12822" s="2" t="s">
        <v>8</v>
      </c>
      <c r="B12822" s="2" t="str">
        <f>HYPERLINK("http://ts.21cn.com/tousu/show/id/1344228","平台无法登录，无法还款")</f>
        <v>平台无法登录，无法还款</v>
      </c>
      <c r="C12822" s="2" t="s">
        <v>9</v>
      </c>
      <c r="D12822" s="2" t="s">
        <v>10</v>
      </c>
      <c r="E12822" s="2" t="str">
        <f>HYPERLINK("http://ts.21cn.com/tousu/show/id/1344228","http://ts.21cn.com/tousu/show/id/1344228")</f>
        <v>http://ts.21cn.com/tousu/show/id/1344228</v>
      </c>
      <c r="F12822" s="2" t="s">
        <v>11</v>
      </c>
      <c r="G12822" s="2" t="s">
        <v>18937</v>
      </c>
      <c r="H12822" s="2" t="s">
        <v>18938</v>
      </c>
    </row>
    <row r="12823" spans="1:8" ht="25.05" customHeight="1" x14ac:dyDescent="0.25">
      <c r="A12823" s="2" t="s">
        <v>8</v>
      </c>
      <c r="B12823" s="2" t="str">
        <f>HYPERLINK("http://ts.21cn.com/tousu/show/id/1344238","拍拍贷对通讯录骚扰")</f>
        <v>拍拍贷对通讯录骚扰</v>
      </c>
      <c r="C12823" s="2" t="s">
        <v>9</v>
      </c>
      <c r="D12823" s="2" t="s">
        <v>10</v>
      </c>
      <c r="E12823" s="2" t="str">
        <f>HYPERLINK("http://ts.21cn.com/tousu/show/id/1344238","http://ts.21cn.com/tousu/show/id/1344238")</f>
        <v>http://ts.21cn.com/tousu/show/id/1344238</v>
      </c>
      <c r="F12823" s="2" t="s">
        <v>11</v>
      </c>
      <c r="G12823" s="2" t="s">
        <v>18935</v>
      </c>
      <c r="H12823" s="2" t="s">
        <v>18936</v>
      </c>
    </row>
    <row r="12824" spans="1:8" ht="25.05" customHeight="1" x14ac:dyDescent="0.25">
      <c r="A12824" s="2" t="s">
        <v>8</v>
      </c>
      <c r="B12824" s="2" t="str">
        <f>HYPERLINK("http://ts.21cn.com/tousu/show/id/1344240","360借条")</f>
        <v>360借条</v>
      </c>
      <c r="C12824" s="2" t="s">
        <v>34</v>
      </c>
      <c r="D12824" s="2" t="s">
        <v>10</v>
      </c>
      <c r="E12824" s="2" t="str">
        <f>HYPERLINK("http://ts.21cn.com/tousu/show/id/1344240","http://ts.21cn.com/tousu/show/id/1344240")</f>
        <v>http://ts.21cn.com/tousu/show/id/1344240</v>
      </c>
      <c r="F12824" s="2" t="s">
        <v>11</v>
      </c>
      <c r="G12824" s="2" t="s">
        <v>18933</v>
      </c>
      <c r="H12824" s="2" t="s">
        <v>18934</v>
      </c>
    </row>
    <row r="12825" spans="1:8" ht="25.05" customHeight="1" x14ac:dyDescent="0.25">
      <c r="A12825" s="2" t="s">
        <v>8</v>
      </c>
      <c r="B12825" s="2" t="str">
        <f>HYPERLINK("http://ts.21cn.com/tousu/show/id/1344196","网贷高利贷")</f>
        <v>网贷高利贷</v>
      </c>
      <c r="C12825" s="2" t="s">
        <v>9</v>
      </c>
      <c r="D12825" s="2" t="s">
        <v>10</v>
      </c>
      <c r="E12825" s="2" t="str">
        <f>HYPERLINK("http://ts.21cn.com/tousu/show/id/1344196","http://ts.21cn.com/tousu/show/id/1344196")</f>
        <v>http://ts.21cn.com/tousu/show/id/1344196</v>
      </c>
      <c r="F12825" s="2" t="s">
        <v>11</v>
      </c>
      <c r="G12825" s="2" t="s">
        <v>18931</v>
      </c>
      <c r="H12825" s="2" t="s">
        <v>18932</v>
      </c>
    </row>
    <row r="12826" spans="1:8" ht="25.05" customHeight="1" x14ac:dyDescent="0.25">
      <c r="A12826" s="2" t="s">
        <v>8</v>
      </c>
      <c r="B12826" s="2" t="str">
        <f>HYPERLINK("http://ts.21cn.com/tousu/show/id/1344241","催收态度恶劣，威胁行为")</f>
        <v>催收态度恶劣，威胁行为</v>
      </c>
      <c r="C12826" s="2" t="s">
        <v>9</v>
      </c>
      <c r="D12826" s="2" t="s">
        <v>10</v>
      </c>
      <c r="E12826" s="2" t="str">
        <f>HYPERLINK("http://ts.21cn.com/tousu/show/id/1344241","http://ts.21cn.com/tousu/show/id/1344241")</f>
        <v>http://ts.21cn.com/tousu/show/id/1344241</v>
      </c>
      <c r="F12826" s="2" t="s">
        <v>11</v>
      </c>
      <c r="G12826" s="2" t="s">
        <v>18929</v>
      </c>
      <c r="H12826" s="2" t="s">
        <v>18930</v>
      </c>
    </row>
    <row r="12827" spans="1:8" ht="25.05" customHeight="1" x14ac:dyDescent="0.25">
      <c r="A12827" s="2" t="s">
        <v>8</v>
      </c>
      <c r="B12827" s="2" t="str">
        <f>HYPERLINK("http://ts.21cn.com/tousu/show/id/1344244","众人帮赏金无法提现")</f>
        <v>众人帮赏金无法提现</v>
      </c>
      <c r="C12827" s="2" t="s">
        <v>9</v>
      </c>
      <c r="D12827" s="2" t="s">
        <v>10</v>
      </c>
      <c r="E12827" s="2" t="str">
        <f>HYPERLINK("http://ts.21cn.com/tousu/show/id/1344244","http://ts.21cn.com/tousu/show/id/1344244")</f>
        <v>http://ts.21cn.com/tousu/show/id/1344244</v>
      </c>
      <c r="F12827" s="2" t="s">
        <v>11</v>
      </c>
      <c r="G12827" s="2" t="s">
        <v>18927</v>
      </c>
      <c r="H12827" s="2" t="s">
        <v>18928</v>
      </c>
    </row>
    <row r="12828" spans="1:8" ht="25.05" customHeight="1" x14ac:dyDescent="0.25">
      <c r="A12828" s="2" t="s">
        <v>8</v>
      </c>
      <c r="B12828" s="2" t="str">
        <f>HYPERLINK("http://ts.21cn.com/tousu/show/id/1344245","你我贷利息高骚扰通讯录")</f>
        <v>你我贷利息高骚扰通讯录</v>
      </c>
      <c r="C12828" s="2" t="s">
        <v>9</v>
      </c>
      <c r="D12828" s="2" t="s">
        <v>10</v>
      </c>
      <c r="E12828" s="2" t="str">
        <f>HYPERLINK("http://ts.21cn.com/tousu/show/id/1344245","http://ts.21cn.com/tousu/show/id/1344245")</f>
        <v>http://ts.21cn.com/tousu/show/id/1344245</v>
      </c>
      <c r="F12828" s="2" t="s">
        <v>11</v>
      </c>
      <c r="G12828" s="2" t="s">
        <v>18925</v>
      </c>
      <c r="H12828" s="2" t="s">
        <v>18926</v>
      </c>
    </row>
    <row r="12829" spans="1:8" ht="25.05" customHeight="1" x14ac:dyDescent="0.25">
      <c r="A12829" s="2" t="s">
        <v>8</v>
      </c>
      <c r="B12829" s="2" t="str">
        <f>HYPERLINK("http://ts.21cn.com/tousu/show/id/1344246","360借条逾期并主动联系说明情况，几天后360轰炸我通讯录，造成还有威胁成分")</f>
        <v>360借条逾期并主动联系说明情况，几天后360轰炸我通讯录，造成还有威胁成分</v>
      </c>
      <c r="C12829" s="2" t="s">
        <v>9</v>
      </c>
      <c r="D12829" s="2" t="s">
        <v>10</v>
      </c>
      <c r="E12829" s="2" t="str">
        <f>HYPERLINK("http://ts.21cn.com/tousu/show/id/1344246","http://ts.21cn.com/tousu/show/id/1344246")</f>
        <v>http://ts.21cn.com/tousu/show/id/1344246</v>
      </c>
      <c r="F12829" s="2" t="s">
        <v>11</v>
      </c>
      <c r="G12829" s="2" t="s">
        <v>18923</v>
      </c>
      <c r="H12829" s="2" t="s">
        <v>18924</v>
      </c>
    </row>
    <row r="12830" spans="1:8" ht="25.05" customHeight="1" x14ac:dyDescent="0.25">
      <c r="A12830" s="2" t="s">
        <v>8</v>
      </c>
      <c r="B12830" s="2" t="str">
        <f>HYPERLINK("http://ts.21cn.com/tousu/show/id/1344247","微博备用金发短信恐吓")</f>
        <v>微博备用金发短信恐吓</v>
      </c>
      <c r="C12830" s="2" t="s">
        <v>9</v>
      </c>
      <c r="D12830" s="2" t="s">
        <v>10</v>
      </c>
      <c r="E12830" s="2" t="str">
        <f>HYPERLINK("http://ts.21cn.com/tousu/show/id/1344247","http://ts.21cn.com/tousu/show/id/1344247")</f>
        <v>http://ts.21cn.com/tousu/show/id/1344247</v>
      </c>
      <c r="F12830" s="2" t="s">
        <v>11</v>
      </c>
      <c r="G12830" s="2" t="s">
        <v>18921</v>
      </c>
      <c r="H12830" s="2" t="s">
        <v>18922</v>
      </c>
    </row>
    <row r="12831" spans="1:8" ht="25.05" customHeight="1" x14ac:dyDescent="0.25">
      <c r="A12831" s="2" t="s">
        <v>8</v>
      </c>
      <c r="B12831" s="2" t="str">
        <f>HYPERLINK("http://ts.21cn.com/tousu/show/id/1344249","威胁和恶意催款")</f>
        <v>威胁和恶意催款</v>
      </c>
      <c r="C12831" s="2" t="s">
        <v>9</v>
      </c>
      <c r="D12831" s="2" t="s">
        <v>10</v>
      </c>
      <c r="E12831" s="2" t="str">
        <f>HYPERLINK("http://ts.21cn.com/tousu/show/id/1344249","http://ts.21cn.com/tousu/show/id/1344249")</f>
        <v>http://ts.21cn.com/tousu/show/id/1344249</v>
      </c>
      <c r="F12831" s="2" t="s">
        <v>11</v>
      </c>
      <c r="G12831" s="2" t="s">
        <v>18919</v>
      </c>
      <c r="H12831" s="2" t="s">
        <v>18920</v>
      </c>
    </row>
    <row r="12832" spans="1:8" ht="25.05" customHeight="1" x14ac:dyDescent="0.25">
      <c r="A12832" s="2" t="s">
        <v>8</v>
      </c>
      <c r="B12832" s="2" t="str">
        <f>HYPERLINK("http://ts.21cn.com/tousu/show/id/1344250","要求退还bilibili支付的大会员费用")</f>
        <v>要求退还bilibili支付的大会员费用</v>
      </c>
      <c r="C12832" s="2" t="s">
        <v>34</v>
      </c>
      <c r="D12832" s="2" t="s">
        <v>10</v>
      </c>
      <c r="E12832" s="2" t="str">
        <f>HYPERLINK("http://ts.21cn.com/tousu/show/id/1344250","http://ts.21cn.com/tousu/show/id/1344250")</f>
        <v>http://ts.21cn.com/tousu/show/id/1344250</v>
      </c>
      <c r="F12832" s="2" t="s">
        <v>11</v>
      </c>
      <c r="G12832" s="2" t="s">
        <v>18917</v>
      </c>
      <c r="H12832" s="2" t="s">
        <v>18918</v>
      </c>
    </row>
    <row r="12833" spans="1:8" ht="25.05" customHeight="1" x14ac:dyDescent="0.25">
      <c r="A12833" s="2" t="s">
        <v>8</v>
      </c>
      <c r="B12833" s="2" t="str">
        <f>HYPERLINK("http://ts.21cn.com/tousu/show/id/1344248","受理了的保险被我无缘无故撤销")</f>
        <v>受理了的保险被我无缘无故撤销</v>
      </c>
      <c r="C12833" s="2" t="s">
        <v>9</v>
      </c>
      <c r="D12833" s="2" t="s">
        <v>10</v>
      </c>
      <c r="E12833" s="2" t="str">
        <f>HYPERLINK("http://ts.21cn.com/tousu/show/id/1344248","http://ts.21cn.com/tousu/show/id/1344248")</f>
        <v>http://ts.21cn.com/tousu/show/id/1344248</v>
      </c>
      <c r="F12833" s="2" t="s">
        <v>11</v>
      </c>
      <c r="G12833" s="2" t="s">
        <v>18915</v>
      </c>
      <c r="H12833" s="2" t="s">
        <v>18916</v>
      </c>
    </row>
    <row r="12834" spans="1:8" ht="25.05" customHeight="1" x14ac:dyDescent="0.25">
      <c r="A12834" s="2" t="s">
        <v>8</v>
      </c>
      <c r="B12834" s="2" t="str">
        <f>HYPERLINK("http://ts.21cn.com/tousu/show/id/1344251","转眼十多天过去了，上次投诉是不是没用。还是我瞎了")</f>
        <v>转眼十多天过去了，上次投诉是不是没用。还是我瞎了</v>
      </c>
      <c r="C12834" s="2" t="s">
        <v>9</v>
      </c>
      <c r="D12834" s="2" t="s">
        <v>10</v>
      </c>
      <c r="E12834" s="2" t="str">
        <f>HYPERLINK("http://ts.21cn.com/tousu/show/id/1344251","http://ts.21cn.com/tousu/show/id/1344251")</f>
        <v>http://ts.21cn.com/tousu/show/id/1344251</v>
      </c>
      <c r="F12834" s="2" t="s">
        <v>11</v>
      </c>
      <c r="G12834" s="2" t="s">
        <v>18913</v>
      </c>
      <c r="H12834" s="2" t="s">
        <v>18914</v>
      </c>
    </row>
    <row r="12835" spans="1:8" ht="25.05" customHeight="1" x14ac:dyDescent="0.25">
      <c r="A12835" s="2" t="s">
        <v>8</v>
      </c>
      <c r="B12835" s="2" t="str">
        <f>HYPERLINK("http://ts.21cn.com/tousu/show/id/1344254","年少无知诱入高利贷")</f>
        <v>年少无知诱入高利贷</v>
      </c>
      <c r="C12835" s="2" t="s">
        <v>9</v>
      </c>
      <c r="D12835" s="2" t="s">
        <v>10</v>
      </c>
      <c r="E12835" s="2" t="str">
        <f>HYPERLINK("http://ts.21cn.com/tousu/show/id/1344254","http://ts.21cn.com/tousu/show/id/1344254")</f>
        <v>http://ts.21cn.com/tousu/show/id/1344254</v>
      </c>
      <c r="F12835" s="2" t="s">
        <v>11</v>
      </c>
      <c r="G12835" s="2" t="s">
        <v>18911</v>
      </c>
      <c r="H12835" s="2" t="s">
        <v>18912</v>
      </c>
    </row>
    <row r="12836" spans="1:8" ht="25.05" customHeight="1" x14ac:dyDescent="0.25">
      <c r="A12836" s="2" t="s">
        <v>8</v>
      </c>
      <c r="B12836" s="2" t="str">
        <f>HYPERLINK("http://ts.21cn.com/tousu/show/id/1344255","闪银暴力催收不协商还款")</f>
        <v>闪银暴力催收不协商还款</v>
      </c>
      <c r="C12836" s="2" t="s">
        <v>9</v>
      </c>
      <c r="D12836" s="2" t="s">
        <v>10</v>
      </c>
      <c r="E12836" s="2" t="str">
        <f>HYPERLINK("http://ts.21cn.com/tousu/show/id/1344255","http://ts.21cn.com/tousu/show/id/1344255")</f>
        <v>http://ts.21cn.com/tousu/show/id/1344255</v>
      </c>
      <c r="F12836" s="2" t="s">
        <v>11</v>
      </c>
      <c r="G12836" s="2" t="s">
        <v>18909</v>
      </c>
      <c r="H12836" s="2" t="s">
        <v>18910</v>
      </c>
    </row>
    <row r="12837" spans="1:8" ht="25.05" customHeight="1" x14ac:dyDescent="0.25">
      <c r="A12837" s="2" t="s">
        <v>8</v>
      </c>
      <c r="B12837" s="2" t="str">
        <f>HYPERLINK("http://ts.21cn.com/tousu/show/id/1344252","小黄车ofo退还押金")</f>
        <v>小黄车ofo退还押金</v>
      </c>
      <c r="C12837" s="2" t="s">
        <v>34</v>
      </c>
      <c r="D12837" s="2" t="s">
        <v>10</v>
      </c>
      <c r="E12837" s="2" t="str">
        <f>HYPERLINK("http://ts.21cn.com/tousu/show/id/1344252","http://ts.21cn.com/tousu/show/id/1344252")</f>
        <v>http://ts.21cn.com/tousu/show/id/1344252</v>
      </c>
      <c r="F12837" s="2" t="s">
        <v>11</v>
      </c>
      <c r="G12837" s="2" t="s">
        <v>18907</v>
      </c>
      <c r="H12837" s="2" t="s">
        <v>18908</v>
      </c>
    </row>
    <row r="12838" spans="1:8" ht="25.05" customHeight="1" x14ac:dyDescent="0.25">
      <c r="A12838" s="2" t="s">
        <v>8</v>
      </c>
      <c r="B12838" s="2" t="str">
        <f>HYPERLINK("http://ts.21cn.com/tousu/show/id/1344211","速金服高利贷砍头息")</f>
        <v>速金服高利贷砍头息</v>
      </c>
      <c r="C12838" s="2" t="s">
        <v>9</v>
      </c>
      <c r="D12838" s="2" t="s">
        <v>10</v>
      </c>
      <c r="E12838" s="2" t="str">
        <f>HYPERLINK("http://ts.21cn.com/tousu/show/id/1344211","http://ts.21cn.com/tousu/show/id/1344211")</f>
        <v>http://ts.21cn.com/tousu/show/id/1344211</v>
      </c>
      <c r="F12838" s="2" t="s">
        <v>11</v>
      </c>
      <c r="G12838" s="2" t="s">
        <v>18905</v>
      </c>
      <c r="H12838" s="2" t="s">
        <v>18906</v>
      </c>
    </row>
    <row r="12839" spans="1:8" ht="25.05" customHeight="1" x14ac:dyDescent="0.25">
      <c r="A12839" s="2" t="s">
        <v>8</v>
      </c>
      <c r="B12839" s="2" t="str">
        <f>HYPERLINK("http://ts.21cn.com/tousu/show/id/1344256","未经允许，私自扣款")</f>
        <v>未经允许，私自扣款</v>
      </c>
      <c r="C12839" s="2" t="s">
        <v>9</v>
      </c>
      <c r="D12839" s="2" t="s">
        <v>10</v>
      </c>
      <c r="E12839" s="2" t="str">
        <f>HYPERLINK("http://ts.21cn.com/tousu/show/id/1344256","http://ts.21cn.com/tousu/show/id/1344256")</f>
        <v>http://ts.21cn.com/tousu/show/id/1344256</v>
      </c>
      <c r="F12839" s="2" t="s">
        <v>11</v>
      </c>
      <c r="G12839" s="2" t="s">
        <v>18903</v>
      </c>
      <c r="H12839" s="2" t="s">
        <v>18904</v>
      </c>
    </row>
    <row r="12840" spans="1:8" ht="25.05" customHeight="1" x14ac:dyDescent="0.25">
      <c r="A12840" s="2" t="s">
        <v>8</v>
      </c>
      <c r="B12840" s="2" t="str">
        <f>HYPERLINK("http://ts.21cn.com/tousu/show/id/1344242","拍拍贷高利贷行为，骚扰通讯录联系人")</f>
        <v>拍拍贷高利贷行为，骚扰通讯录联系人</v>
      </c>
      <c r="C12840" s="2" t="s">
        <v>9</v>
      </c>
      <c r="D12840" s="2" t="s">
        <v>10</v>
      </c>
      <c r="E12840" s="2" t="str">
        <f>HYPERLINK("http://ts.21cn.com/tousu/show/id/1344242","http://ts.21cn.com/tousu/show/id/1344242")</f>
        <v>http://ts.21cn.com/tousu/show/id/1344242</v>
      </c>
      <c r="F12840" s="2" t="s">
        <v>11</v>
      </c>
      <c r="G12840" s="2" t="s">
        <v>18900</v>
      </c>
      <c r="H12840" s="2" t="s">
        <v>18901</v>
      </c>
    </row>
    <row r="12841" spans="1:8" ht="25.05" customHeight="1" x14ac:dyDescent="0.25">
      <c r="A12841" s="2" t="s">
        <v>8</v>
      </c>
      <c r="B12841" s="2" t="str">
        <f>HYPERLINK("http://ts.21cn.com/tousu/show/id/1344257","贷上钱公司暴力催收")</f>
        <v>贷上钱公司暴力催收</v>
      </c>
      <c r="C12841" s="2" t="s">
        <v>9</v>
      </c>
      <c r="D12841" s="2" t="s">
        <v>10</v>
      </c>
      <c r="E12841" s="2" t="str">
        <f>HYPERLINK("http://ts.21cn.com/tousu/show/id/1344257","http://ts.21cn.com/tousu/show/id/1344257")</f>
        <v>http://ts.21cn.com/tousu/show/id/1344257</v>
      </c>
      <c r="F12841" s="2" t="s">
        <v>11</v>
      </c>
      <c r="G12841" s="2" t="s">
        <v>18900</v>
      </c>
      <c r="H12841" s="2" t="s">
        <v>18902</v>
      </c>
    </row>
    <row r="12842" spans="1:8" ht="25.05" customHeight="1" x14ac:dyDescent="0.25">
      <c r="A12842" s="2" t="s">
        <v>8</v>
      </c>
      <c r="B12842" s="2" t="str">
        <f>HYPERLINK("http://ts.21cn.com/tousu/show/id/1344258","小牛分期无法还款")</f>
        <v>小牛分期无法还款</v>
      </c>
      <c r="C12842" s="2" t="s">
        <v>9</v>
      </c>
      <c r="D12842" s="2" t="s">
        <v>10</v>
      </c>
      <c r="E12842" s="2" t="str">
        <f>HYPERLINK("http://ts.21cn.com/tousu/show/id/1344258","http://ts.21cn.com/tousu/show/id/1344258")</f>
        <v>http://ts.21cn.com/tousu/show/id/1344258</v>
      </c>
      <c r="F12842" s="2" t="s">
        <v>11</v>
      </c>
      <c r="G12842" s="2" t="s">
        <v>18898</v>
      </c>
      <c r="H12842" s="2" t="s">
        <v>18899</v>
      </c>
    </row>
    <row r="12843" spans="1:8" ht="25.05" customHeight="1" x14ac:dyDescent="0.25">
      <c r="A12843" s="2" t="s">
        <v>8</v>
      </c>
      <c r="B12843" s="2" t="str">
        <f>HYPERLINK("http://ts.21cn.com/tousu/show/id/1344259","我来贷变相收取高额催收费")</f>
        <v>我来贷变相收取高额催收费</v>
      </c>
      <c r="C12843" s="2" t="s">
        <v>9</v>
      </c>
      <c r="D12843" s="2" t="s">
        <v>10</v>
      </c>
      <c r="E12843" s="2" t="str">
        <f>HYPERLINK("http://ts.21cn.com/tousu/show/id/1344259","http://ts.21cn.com/tousu/show/id/1344259")</f>
        <v>http://ts.21cn.com/tousu/show/id/1344259</v>
      </c>
      <c r="F12843" s="2" t="s">
        <v>11</v>
      </c>
      <c r="G12843" s="2" t="s">
        <v>18896</v>
      </c>
      <c r="H12843" s="2" t="s">
        <v>18897</v>
      </c>
    </row>
    <row r="12844" spans="1:8" ht="25.05" customHeight="1" x14ac:dyDescent="0.25">
      <c r="A12844" s="2" t="s">
        <v>8</v>
      </c>
      <c r="B12844" s="2" t="str">
        <f>HYPERLINK("http://ts.21cn.com/tousu/show/id/1344260","拼多多商户涉嫌为博彩黑平台收款")</f>
        <v>拼多多商户涉嫌为博彩黑平台收款</v>
      </c>
      <c r="C12844" s="2" t="s">
        <v>9</v>
      </c>
      <c r="D12844" s="2" t="s">
        <v>10</v>
      </c>
      <c r="E12844" s="2" t="str">
        <f>HYPERLINK("http://ts.21cn.com/tousu/show/id/1344260","http://ts.21cn.com/tousu/show/id/1344260")</f>
        <v>http://ts.21cn.com/tousu/show/id/1344260</v>
      </c>
      <c r="F12844" s="2" t="s">
        <v>11</v>
      </c>
      <c r="G12844" s="2" t="s">
        <v>18894</v>
      </c>
      <c r="H12844" s="2" t="s">
        <v>18895</v>
      </c>
    </row>
    <row r="12845" spans="1:8" ht="25.05" customHeight="1" x14ac:dyDescent="0.25">
      <c r="A12845" s="2" t="s">
        <v>8</v>
      </c>
      <c r="B12845" s="2" t="str">
        <f>HYPERLINK("http://ts.21cn.com/tousu/show/id/1344264","畅捷支付推卸责任，给高利贷平台提供放款渠道")</f>
        <v>畅捷支付推卸责任，给高利贷平台提供放款渠道</v>
      </c>
      <c r="C12845" s="2" t="s">
        <v>9</v>
      </c>
      <c r="D12845" s="2" t="s">
        <v>10</v>
      </c>
      <c r="E12845" s="2" t="str">
        <f>HYPERLINK("http://ts.21cn.com/tousu/show/id/1344264","http://ts.21cn.com/tousu/show/id/1344264")</f>
        <v>http://ts.21cn.com/tousu/show/id/1344264</v>
      </c>
      <c r="F12845" s="2" t="s">
        <v>11</v>
      </c>
      <c r="G12845" s="2" t="s">
        <v>18892</v>
      </c>
      <c r="H12845" s="2" t="s">
        <v>18893</v>
      </c>
    </row>
    <row r="12846" spans="1:8" ht="25.05" customHeight="1" x14ac:dyDescent="0.25">
      <c r="A12846" s="2" t="s">
        <v>8</v>
      </c>
      <c r="B12846" s="2" t="str">
        <f>HYPERLINK("http://ts.21cn.com/tousu/show/id/1344261","骚扰家人朋友")</f>
        <v>骚扰家人朋友</v>
      </c>
      <c r="C12846" s="2" t="s">
        <v>9</v>
      </c>
      <c r="D12846" s="2" t="s">
        <v>10</v>
      </c>
      <c r="E12846" s="2" t="str">
        <f>HYPERLINK("http://ts.21cn.com/tousu/show/id/1344261","http://ts.21cn.com/tousu/show/id/1344261")</f>
        <v>http://ts.21cn.com/tousu/show/id/1344261</v>
      </c>
      <c r="F12846" s="2" t="s">
        <v>11</v>
      </c>
      <c r="G12846" s="2" t="s">
        <v>18890</v>
      </c>
      <c r="H12846" s="2" t="s">
        <v>18891</v>
      </c>
    </row>
    <row r="12847" spans="1:8" ht="25.05" customHeight="1" x14ac:dyDescent="0.25">
      <c r="A12847" s="2" t="s">
        <v>8</v>
      </c>
      <c r="B12847" s="2" t="str">
        <f>HYPERLINK("http://ts.21cn.com/tousu/show/id/1344263","桔子分期高利贷，高额展期费以及催收不停骚扰！！！！！")</f>
        <v>桔子分期高利贷，高额展期费以及催收不停骚扰！！！！！</v>
      </c>
      <c r="C12847" s="2" t="s">
        <v>9</v>
      </c>
      <c r="D12847" s="2" t="s">
        <v>10</v>
      </c>
      <c r="E12847" s="2" t="str">
        <f>HYPERLINK("http://ts.21cn.com/tousu/show/id/1344263","http://ts.21cn.com/tousu/show/id/1344263")</f>
        <v>http://ts.21cn.com/tousu/show/id/1344263</v>
      </c>
      <c r="F12847" s="2" t="s">
        <v>11</v>
      </c>
      <c r="G12847" s="2" t="s">
        <v>18888</v>
      </c>
      <c r="H12847" s="2" t="s">
        <v>18889</v>
      </c>
    </row>
    <row r="12848" spans="1:8" ht="25.05" customHeight="1" x14ac:dyDescent="0.25">
      <c r="A12848" s="2" t="s">
        <v>8</v>
      </c>
      <c r="B12848" s="2" t="str">
        <f>HYPERLINK("http://ts.21cn.com/tousu/show/id/1344265","马上金融涉嫌高利贷")</f>
        <v>马上金融涉嫌高利贷</v>
      </c>
      <c r="C12848" s="2" t="s">
        <v>9</v>
      </c>
      <c r="D12848" s="2" t="s">
        <v>10</v>
      </c>
      <c r="E12848" s="2" t="str">
        <f>HYPERLINK("http://ts.21cn.com/tousu/show/id/1344265","http://ts.21cn.com/tousu/show/id/1344265")</f>
        <v>http://ts.21cn.com/tousu/show/id/1344265</v>
      </c>
      <c r="F12848" s="2" t="s">
        <v>11</v>
      </c>
      <c r="G12848" s="2" t="s">
        <v>18886</v>
      </c>
      <c r="H12848" s="2" t="s">
        <v>18887</v>
      </c>
    </row>
    <row r="12849" spans="1:8" ht="25.05" customHeight="1" x14ac:dyDescent="0.25">
      <c r="A12849" s="2" t="s">
        <v>8</v>
      </c>
      <c r="B12849" s="2" t="str">
        <f>HYPERLINK("http://ts.21cn.com/tousu/show/id/1344267","家政公司坑消费者")</f>
        <v>家政公司坑消费者</v>
      </c>
      <c r="C12849" s="2" t="s">
        <v>9</v>
      </c>
      <c r="D12849" s="2" t="s">
        <v>10</v>
      </c>
      <c r="E12849" s="2" t="str">
        <f>HYPERLINK("http://ts.21cn.com/tousu/show/id/1344267","http://ts.21cn.com/tousu/show/id/1344267")</f>
        <v>http://ts.21cn.com/tousu/show/id/1344267</v>
      </c>
      <c r="F12849" s="2" t="s">
        <v>11</v>
      </c>
      <c r="G12849" s="2" t="s">
        <v>18883</v>
      </c>
      <c r="H12849" s="2" t="s">
        <v>18884</v>
      </c>
    </row>
    <row r="12850" spans="1:8" ht="25.05" customHeight="1" x14ac:dyDescent="0.25">
      <c r="A12850" s="2" t="s">
        <v>8</v>
      </c>
      <c r="B12850" s="2" t="str">
        <f>HYPERLINK("http://ts.21cn.com/tousu/show/id/1344262","分期乐购物机票退款已收到不清账单")</f>
        <v>分期乐购物机票退款已收到不清账单</v>
      </c>
      <c r="C12850" s="2" t="s">
        <v>9</v>
      </c>
      <c r="D12850" s="2" t="s">
        <v>10</v>
      </c>
      <c r="E12850" s="2" t="str">
        <f>HYPERLINK("http://ts.21cn.com/tousu/show/id/1344262","http://ts.21cn.com/tousu/show/id/1344262")</f>
        <v>http://ts.21cn.com/tousu/show/id/1344262</v>
      </c>
      <c r="F12850" s="2" t="s">
        <v>11</v>
      </c>
      <c r="G12850" s="2" t="s">
        <v>18883</v>
      </c>
      <c r="H12850" s="2" t="s">
        <v>18885</v>
      </c>
    </row>
    <row r="12851" spans="1:8" ht="25.05" customHeight="1" x14ac:dyDescent="0.25">
      <c r="A12851" s="2" t="s">
        <v>8</v>
      </c>
      <c r="B12851" s="2" t="str">
        <f>HYPERLINK("http://ts.21cn.com/tousu/show/id/1344268","新橙优品逾期一天爆通讯录")</f>
        <v>新橙优品逾期一天爆通讯录</v>
      </c>
      <c r="C12851" s="2" t="s">
        <v>9</v>
      </c>
      <c r="D12851" s="2" t="s">
        <v>10</v>
      </c>
      <c r="E12851" s="2" t="str">
        <f>HYPERLINK("http://ts.21cn.com/tousu/show/id/1344268","http://ts.21cn.com/tousu/show/id/1344268")</f>
        <v>http://ts.21cn.com/tousu/show/id/1344268</v>
      </c>
      <c r="F12851" s="2" t="s">
        <v>11</v>
      </c>
      <c r="G12851" s="2" t="s">
        <v>18881</v>
      </c>
      <c r="H12851" s="2" t="s">
        <v>18882</v>
      </c>
    </row>
    <row r="12852" spans="1:8" ht="25.05" customHeight="1" x14ac:dyDescent="0.25">
      <c r="A12852" s="2" t="s">
        <v>8</v>
      </c>
      <c r="B12852" s="2" t="str">
        <f>HYPERLINK("http://ts.21cn.com/tousu/show/id/1344269","趣花分期手机贷收取高额砍头息")</f>
        <v>趣花分期手机贷收取高额砍头息</v>
      </c>
      <c r="C12852" s="2" t="s">
        <v>9</v>
      </c>
      <c r="D12852" s="2" t="s">
        <v>10</v>
      </c>
      <c r="E12852" s="2" t="str">
        <f>HYPERLINK("http://ts.21cn.com/tousu/show/id/1344269","http://ts.21cn.com/tousu/show/id/1344269")</f>
        <v>http://ts.21cn.com/tousu/show/id/1344269</v>
      </c>
      <c r="F12852" s="2" t="s">
        <v>11</v>
      </c>
      <c r="G12852" s="2" t="s">
        <v>18879</v>
      </c>
      <c r="H12852" s="2" t="s">
        <v>18880</v>
      </c>
    </row>
    <row r="12853" spans="1:8" ht="25.05" customHeight="1" x14ac:dyDescent="0.25">
      <c r="A12853" s="2" t="s">
        <v>8</v>
      </c>
      <c r="B12853" s="2" t="str">
        <f>HYPERLINK("http://ts.21cn.com/tousu/show/id/1344270","电话恐吓")</f>
        <v>电话恐吓</v>
      </c>
      <c r="C12853" s="2" t="s">
        <v>9</v>
      </c>
      <c r="D12853" s="2" t="s">
        <v>10</v>
      </c>
      <c r="E12853" s="2" t="str">
        <f>HYPERLINK("http://ts.21cn.com/tousu/show/id/1344270","http://ts.21cn.com/tousu/show/id/1344270")</f>
        <v>http://ts.21cn.com/tousu/show/id/1344270</v>
      </c>
      <c r="F12853" s="2" t="s">
        <v>11</v>
      </c>
      <c r="G12853" s="2" t="s">
        <v>18876</v>
      </c>
      <c r="H12853" s="2" t="s">
        <v>18877</v>
      </c>
    </row>
    <row r="12854" spans="1:8" ht="25.05" customHeight="1" x14ac:dyDescent="0.25">
      <c r="A12854" s="2" t="s">
        <v>8</v>
      </c>
      <c r="B12854" s="2" t="str">
        <f>HYPERLINK("http://ts.21cn.com/tousu/show/id/1344271","上海造艺网络科技恶意扣款")</f>
        <v>上海造艺网络科技恶意扣款</v>
      </c>
      <c r="C12854" s="2" t="s">
        <v>9</v>
      </c>
      <c r="D12854" s="2" t="s">
        <v>10</v>
      </c>
      <c r="E12854" s="2" t="str">
        <f>HYPERLINK("http://ts.21cn.com/tousu/show/id/1344271","http://ts.21cn.com/tousu/show/id/1344271")</f>
        <v>http://ts.21cn.com/tousu/show/id/1344271</v>
      </c>
      <c r="F12854" s="2" t="s">
        <v>11</v>
      </c>
      <c r="G12854" s="2" t="s">
        <v>18876</v>
      </c>
      <c r="H12854" s="2" t="s">
        <v>18878</v>
      </c>
    </row>
    <row r="12855" spans="1:8" ht="25.05" customHeight="1" x14ac:dyDescent="0.25">
      <c r="A12855" s="2" t="s">
        <v>8</v>
      </c>
      <c r="B12855" s="2" t="str">
        <f>HYPERLINK("http://ts.21cn.com/tousu/show/id/1344272","急用钱委托第三方催收")</f>
        <v>急用钱委托第三方催收</v>
      </c>
      <c r="C12855" s="2" t="s">
        <v>34</v>
      </c>
      <c r="D12855" s="2" t="s">
        <v>10</v>
      </c>
      <c r="E12855" s="2" t="str">
        <f>HYPERLINK("http://ts.21cn.com/tousu/show/id/1344272","http://ts.21cn.com/tousu/show/id/1344272")</f>
        <v>http://ts.21cn.com/tousu/show/id/1344272</v>
      </c>
      <c r="F12855" s="2" t="s">
        <v>11</v>
      </c>
      <c r="G12855" s="2" t="s">
        <v>18874</v>
      </c>
      <c r="H12855" s="2" t="s">
        <v>18875</v>
      </c>
    </row>
    <row r="12856" spans="1:8" ht="25.05" customHeight="1" x14ac:dyDescent="0.25">
      <c r="A12856" s="2" t="s">
        <v>8</v>
      </c>
      <c r="B12856" s="2" t="str">
        <f>HYPERLINK("http://ts.21cn.com/tousu/show/id/1344274","时光分期高利贷，年利率超过36%")</f>
        <v>时光分期高利贷，年利率超过36%</v>
      </c>
      <c r="C12856" s="2" t="s">
        <v>9</v>
      </c>
      <c r="D12856" s="2" t="s">
        <v>10</v>
      </c>
      <c r="E12856" s="2" t="str">
        <f>HYPERLINK("http://ts.21cn.com/tousu/show/id/1344274","http://ts.21cn.com/tousu/show/id/1344274")</f>
        <v>http://ts.21cn.com/tousu/show/id/1344274</v>
      </c>
      <c r="F12856" s="2" t="s">
        <v>11</v>
      </c>
      <c r="G12856" s="2" t="s">
        <v>18872</v>
      </c>
      <c r="H12856" s="2" t="s">
        <v>18873</v>
      </c>
    </row>
    <row r="12857" spans="1:8" ht="25.05" customHeight="1" x14ac:dyDescent="0.25">
      <c r="A12857" s="2" t="s">
        <v>8</v>
      </c>
      <c r="B12857" s="2" t="str">
        <f>HYPERLINK("http://ts.21cn.com/tousu/show/id/1344275","微信支付投诉")</f>
        <v>微信支付投诉</v>
      </c>
      <c r="C12857" s="2" t="s">
        <v>9</v>
      </c>
      <c r="D12857" s="2" t="s">
        <v>10</v>
      </c>
      <c r="E12857" s="2" t="str">
        <f>HYPERLINK("http://ts.21cn.com/tousu/show/id/1344275","http://ts.21cn.com/tousu/show/id/1344275")</f>
        <v>http://ts.21cn.com/tousu/show/id/1344275</v>
      </c>
      <c r="F12857" s="2" t="s">
        <v>11</v>
      </c>
      <c r="G12857" s="2" t="s">
        <v>18870</v>
      </c>
      <c r="H12857" s="2" t="s">
        <v>18871</v>
      </c>
    </row>
    <row r="12858" spans="1:8" ht="25.05" customHeight="1" x14ac:dyDescent="0.25">
      <c r="A12858" s="2" t="s">
        <v>8</v>
      </c>
      <c r="B12858" s="2" t="str">
        <f>HYPERLINK("http://ts.21cn.com/tousu/show/id/1344276","钱站高利贷")</f>
        <v>钱站高利贷</v>
      </c>
      <c r="C12858" s="2" t="s">
        <v>9</v>
      </c>
      <c r="D12858" s="2" t="s">
        <v>10</v>
      </c>
      <c r="E12858" s="2" t="str">
        <f>HYPERLINK("http://ts.21cn.com/tousu/show/id/1344276","http://ts.21cn.com/tousu/show/id/1344276")</f>
        <v>http://ts.21cn.com/tousu/show/id/1344276</v>
      </c>
      <c r="F12858" s="2" t="s">
        <v>11</v>
      </c>
      <c r="G12858" s="2" t="s">
        <v>18868</v>
      </c>
      <c r="H12858" s="2" t="s">
        <v>18869</v>
      </c>
    </row>
    <row r="12859" spans="1:8" ht="25.05" customHeight="1" x14ac:dyDescent="0.25">
      <c r="A12859" s="2" t="s">
        <v>8</v>
      </c>
      <c r="B12859" s="2" t="str">
        <f>HYPERLINK("http://ts.21cn.com/tousu/show/id/1344277","法人作风不检点")</f>
        <v>法人作风不检点</v>
      </c>
      <c r="C12859" s="2" t="s">
        <v>9</v>
      </c>
      <c r="D12859" s="2" t="s">
        <v>10</v>
      </c>
      <c r="E12859" s="2" t="str">
        <f>HYPERLINK("http://ts.21cn.com/tousu/show/id/1344277","http://ts.21cn.com/tousu/show/id/1344277")</f>
        <v>http://ts.21cn.com/tousu/show/id/1344277</v>
      </c>
      <c r="F12859" s="2" t="s">
        <v>11</v>
      </c>
      <c r="G12859" s="2" t="s">
        <v>18866</v>
      </c>
      <c r="H12859" s="2" t="s">
        <v>18867</v>
      </c>
    </row>
    <row r="12860" spans="1:8" ht="25.05" customHeight="1" x14ac:dyDescent="0.25">
      <c r="A12860" s="2" t="s">
        <v>8</v>
      </c>
      <c r="B12860" s="2" t="str">
        <f>HYPERLINK("http://ts.21cn.com/tousu/show/id/1344278","祈福南湾半岛通勤车收费标准")</f>
        <v>祈福南湾半岛通勤车收费标准</v>
      </c>
      <c r="C12860" s="2" t="s">
        <v>9</v>
      </c>
      <c r="D12860" s="2" t="s">
        <v>10</v>
      </c>
      <c r="E12860" s="2" t="str">
        <f>HYPERLINK("http://ts.21cn.com/tousu/show/id/1344278","http://ts.21cn.com/tousu/show/id/1344278")</f>
        <v>http://ts.21cn.com/tousu/show/id/1344278</v>
      </c>
      <c r="F12860" s="2" t="s">
        <v>11</v>
      </c>
      <c r="G12860" s="2" t="s">
        <v>18864</v>
      </c>
      <c r="H12860" s="2" t="s">
        <v>18865</v>
      </c>
    </row>
    <row r="12861" spans="1:8" ht="25.05" customHeight="1" x14ac:dyDescent="0.25">
      <c r="A12861" s="2" t="s">
        <v>8</v>
      </c>
      <c r="B12861" s="2" t="str">
        <f>HYPERLINK("http://ts.21cn.com/tousu/show/id/1344279","度小满金融恶意骚扰威胁我")</f>
        <v>度小满金融恶意骚扰威胁我</v>
      </c>
      <c r="C12861" s="2" t="s">
        <v>9</v>
      </c>
      <c r="D12861" s="2" t="s">
        <v>10</v>
      </c>
      <c r="E12861" s="2" t="str">
        <f>HYPERLINK("http://ts.21cn.com/tousu/show/id/1344279","http://ts.21cn.com/tousu/show/id/1344279")</f>
        <v>http://ts.21cn.com/tousu/show/id/1344279</v>
      </c>
      <c r="F12861" s="2" t="s">
        <v>11</v>
      </c>
      <c r="G12861" s="2" t="s">
        <v>18862</v>
      </c>
      <c r="H12861" s="2" t="s">
        <v>18863</v>
      </c>
    </row>
    <row r="12862" spans="1:8" ht="25.05" customHeight="1" x14ac:dyDescent="0.25">
      <c r="A12862" s="2" t="s">
        <v>8</v>
      </c>
      <c r="B12862" s="2" t="str">
        <f>HYPERLINK("http://ts.21cn.com/tousu/show/id/1344280","腾讯课堂火鸟电商虚假宣传，霸王条款，不予退款")</f>
        <v>腾讯课堂火鸟电商虚假宣传，霸王条款，不予退款</v>
      </c>
      <c r="C12862" s="2" t="s">
        <v>9</v>
      </c>
      <c r="D12862" s="2" t="s">
        <v>10</v>
      </c>
      <c r="E12862" s="2" t="str">
        <f>HYPERLINK("http://ts.21cn.com/tousu/show/id/1344280","http://ts.21cn.com/tousu/show/id/1344280")</f>
        <v>http://ts.21cn.com/tousu/show/id/1344280</v>
      </c>
      <c r="F12862" s="2" t="s">
        <v>11</v>
      </c>
      <c r="G12862" s="2" t="s">
        <v>18860</v>
      </c>
      <c r="H12862" s="2" t="s">
        <v>18861</v>
      </c>
    </row>
    <row r="12863" spans="1:8" ht="25.05" customHeight="1" x14ac:dyDescent="0.25">
      <c r="A12863" s="2" t="s">
        <v>8</v>
      </c>
      <c r="B12863" s="2" t="str">
        <f>HYPERLINK("http://ts.21cn.com/tousu/show/id/1344281","高炮")</f>
        <v>高炮</v>
      </c>
      <c r="C12863" s="2" t="s">
        <v>9</v>
      </c>
      <c r="D12863" s="2" t="s">
        <v>10</v>
      </c>
      <c r="E12863" s="2" t="str">
        <f>HYPERLINK("http://ts.21cn.com/tousu/show/id/1344281","http://ts.21cn.com/tousu/show/id/1344281")</f>
        <v>http://ts.21cn.com/tousu/show/id/1344281</v>
      </c>
      <c r="F12863" s="2" t="s">
        <v>11</v>
      </c>
      <c r="G12863" s="2" t="s">
        <v>18857</v>
      </c>
      <c r="H12863" s="2" t="s">
        <v>18858</v>
      </c>
    </row>
    <row r="12864" spans="1:8" ht="25.05" customHeight="1" x14ac:dyDescent="0.25">
      <c r="A12864" s="2" t="s">
        <v>8</v>
      </c>
      <c r="B12864" s="2" t="str">
        <f>HYPERLINK("http://ts.21cn.com/tousu/show/id/1344283","购买不足一月iPhone11摄像头玻璃破损不提供维修服务，只能三千多换新机")</f>
        <v>购买不足一月iPhone11摄像头玻璃破损不提供维修服务，只能三千多换新机</v>
      </c>
      <c r="C12864" s="2" t="s">
        <v>9</v>
      </c>
      <c r="D12864" s="2" t="s">
        <v>10</v>
      </c>
      <c r="E12864" s="2" t="str">
        <f>HYPERLINK("http://ts.21cn.com/tousu/show/id/1344283","http://ts.21cn.com/tousu/show/id/1344283")</f>
        <v>http://ts.21cn.com/tousu/show/id/1344283</v>
      </c>
      <c r="F12864" s="2" t="s">
        <v>11</v>
      </c>
      <c r="G12864" s="2" t="s">
        <v>18857</v>
      </c>
      <c r="H12864" s="2" t="s">
        <v>18859</v>
      </c>
    </row>
    <row r="12865" spans="1:8" ht="25.05" customHeight="1" x14ac:dyDescent="0.25">
      <c r="A12865" s="2" t="s">
        <v>8</v>
      </c>
      <c r="B12865" s="2" t="str">
        <f>HYPERLINK("http://ts.21cn.com/tousu/show/id/1344288","网贷恶意催收")</f>
        <v>网贷恶意催收</v>
      </c>
      <c r="C12865" s="2" t="s">
        <v>9</v>
      </c>
      <c r="D12865" s="2" t="s">
        <v>10</v>
      </c>
      <c r="E12865" s="2" t="str">
        <f>HYPERLINK("http://ts.21cn.com/tousu/show/id/1344288","http://ts.21cn.com/tousu/show/id/1344288")</f>
        <v>http://ts.21cn.com/tousu/show/id/1344288</v>
      </c>
      <c r="F12865" s="2" t="s">
        <v>11</v>
      </c>
      <c r="G12865" s="2" t="s">
        <v>18855</v>
      </c>
      <c r="H12865" s="2" t="s">
        <v>18856</v>
      </c>
    </row>
    <row r="12866" spans="1:8" ht="25.05" customHeight="1" x14ac:dyDescent="0.25">
      <c r="A12866" s="2" t="s">
        <v>8</v>
      </c>
      <c r="B12866" s="2" t="str">
        <f>HYPERLINK("http://ts.21cn.com/tousu/show/id/1344284","闪银科技催收")</f>
        <v>闪银科技催收</v>
      </c>
      <c r="C12866" s="2" t="s">
        <v>9</v>
      </c>
      <c r="D12866" s="2" t="s">
        <v>10</v>
      </c>
      <c r="E12866" s="2" t="str">
        <f>HYPERLINK("http://ts.21cn.com/tousu/show/id/1344284","http://ts.21cn.com/tousu/show/id/1344284")</f>
        <v>http://ts.21cn.com/tousu/show/id/1344284</v>
      </c>
      <c r="F12866" s="2" t="s">
        <v>11</v>
      </c>
      <c r="G12866" s="2" t="s">
        <v>18853</v>
      </c>
      <c r="H12866" s="2" t="s">
        <v>18854</v>
      </c>
    </row>
    <row r="12867" spans="1:8" ht="25.05" customHeight="1" x14ac:dyDescent="0.25">
      <c r="A12867" s="2" t="s">
        <v>8</v>
      </c>
      <c r="B12867" s="2" t="str">
        <f>HYPERLINK("http://ts.21cn.com/tousu/show/id/1344285","暴力催收，骚扰家人")</f>
        <v>暴力催收，骚扰家人</v>
      </c>
      <c r="C12867" s="2" t="s">
        <v>9</v>
      </c>
      <c r="D12867" s="2" t="s">
        <v>10</v>
      </c>
      <c r="E12867" s="2" t="str">
        <f>HYPERLINK("http://ts.21cn.com/tousu/show/id/1344285","http://ts.21cn.com/tousu/show/id/1344285")</f>
        <v>http://ts.21cn.com/tousu/show/id/1344285</v>
      </c>
      <c r="F12867" s="2" t="s">
        <v>11</v>
      </c>
      <c r="G12867" s="2" t="s">
        <v>18851</v>
      </c>
      <c r="H12867" s="2" t="s">
        <v>18852</v>
      </c>
    </row>
    <row r="12868" spans="1:8" ht="25.05" customHeight="1" x14ac:dyDescent="0.25">
      <c r="A12868" s="2" t="s">
        <v>8</v>
      </c>
      <c r="B12868" s="2" t="str">
        <f>HYPERLINK("http://ts.21cn.com/tousu/show/id/1344286","乱扣款，要求退款")</f>
        <v>乱扣款，要求退款</v>
      </c>
      <c r="C12868" s="2" t="s">
        <v>9</v>
      </c>
      <c r="D12868" s="2" t="s">
        <v>10</v>
      </c>
      <c r="E12868" s="2" t="str">
        <f>HYPERLINK("http://ts.21cn.com/tousu/show/id/1344286","http://ts.21cn.com/tousu/show/id/1344286")</f>
        <v>http://ts.21cn.com/tousu/show/id/1344286</v>
      </c>
      <c r="F12868" s="2" t="s">
        <v>11</v>
      </c>
      <c r="G12868" s="2" t="s">
        <v>18849</v>
      </c>
      <c r="H12868" s="2" t="s">
        <v>18850</v>
      </c>
    </row>
    <row r="12869" spans="1:8" ht="25.05" customHeight="1" x14ac:dyDescent="0.25">
      <c r="A12869" s="2" t="s">
        <v>8</v>
      </c>
      <c r="B12869" s="2" t="str">
        <f>HYPERLINK("http://ts.21cn.com/tousu/show/id/1344287","保利催收打我通讯录的电话影响我的正常生活")</f>
        <v>保利催收打我通讯录的电话影响我的正常生活</v>
      </c>
      <c r="C12869" s="2" t="s">
        <v>9</v>
      </c>
      <c r="D12869" s="2" t="s">
        <v>10</v>
      </c>
      <c r="E12869" s="2" t="str">
        <f>HYPERLINK("http://ts.21cn.com/tousu/show/id/1344287","http://ts.21cn.com/tousu/show/id/1344287")</f>
        <v>http://ts.21cn.com/tousu/show/id/1344287</v>
      </c>
      <c r="F12869" s="2" t="s">
        <v>11</v>
      </c>
      <c r="G12869" s="2" t="s">
        <v>18847</v>
      </c>
      <c r="H12869" s="2" t="s">
        <v>18848</v>
      </c>
    </row>
    <row r="12870" spans="1:8" ht="25.05" customHeight="1" x14ac:dyDescent="0.25">
      <c r="A12870" s="2" t="s">
        <v>8</v>
      </c>
      <c r="B12870" s="2" t="str">
        <f>HYPERLINK("http://ts.21cn.com/tousu/show/id/1344291","闪电借款暴力催收")</f>
        <v>闪电借款暴力催收</v>
      </c>
      <c r="C12870" s="2" t="s">
        <v>9</v>
      </c>
      <c r="D12870" s="2" t="s">
        <v>10</v>
      </c>
      <c r="E12870" s="2" t="str">
        <f>HYPERLINK("http://ts.21cn.com/tousu/show/id/1344291","http://ts.21cn.com/tousu/show/id/1344291")</f>
        <v>http://ts.21cn.com/tousu/show/id/1344291</v>
      </c>
      <c r="F12870" s="2" t="s">
        <v>11</v>
      </c>
      <c r="G12870" s="2" t="s">
        <v>18845</v>
      </c>
      <c r="H12870" s="2" t="s">
        <v>18846</v>
      </c>
    </row>
    <row r="12871" spans="1:8" ht="25.05" customHeight="1" x14ac:dyDescent="0.25">
      <c r="A12871" s="2" t="s">
        <v>8</v>
      </c>
      <c r="B12871" s="2" t="str">
        <f>HYPERLINK("http://ts.21cn.com/tousu/show/id/1344289","小浦优客未经同意扣款")</f>
        <v>小浦优客未经同意扣款</v>
      </c>
      <c r="C12871" s="2" t="s">
        <v>34</v>
      </c>
      <c r="D12871" s="2" t="s">
        <v>10</v>
      </c>
      <c r="E12871" s="2" t="str">
        <f>HYPERLINK("http://ts.21cn.com/tousu/show/id/1344289","http://ts.21cn.com/tousu/show/id/1344289")</f>
        <v>http://ts.21cn.com/tousu/show/id/1344289</v>
      </c>
      <c r="F12871" s="2" t="s">
        <v>11</v>
      </c>
      <c r="G12871" s="2" t="s">
        <v>18843</v>
      </c>
      <c r="H12871" s="2" t="s">
        <v>18844</v>
      </c>
    </row>
    <row r="12872" spans="1:8" ht="25.05" customHeight="1" x14ac:dyDescent="0.25">
      <c r="A12872" s="2" t="s">
        <v>8</v>
      </c>
      <c r="B12872" s="2" t="str">
        <f>HYPERLINK("http://ts.21cn.com/tousu/show/id/1344292","钱站恶意收取高额违约金")</f>
        <v>钱站恶意收取高额违约金</v>
      </c>
      <c r="C12872" s="2" t="s">
        <v>9</v>
      </c>
      <c r="D12872" s="2" t="s">
        <v>10</v>
      </c>
      <c r="E12872" s="2" t="str">
        <f>HYPERLINK("http://ts.21cn.com/tousu/show/id/1344292","http://ts.21cn.com/tousu/show/id/1344292")</f>
        <v>http://ts.21cn.com/tousu/show/id/1344292</v>
      </c>
      <c r="F12872" s="2" t="s">
        <v>11</v>
      </c>
      <c r="G12872" s="2" t="s">
        <v>18841</v>
      </c>
      <c r="H12872" s="2" t="s">
        <v>18842</v>
      </c>
    </row>
    <row r="12873" spans="1:8" ht="25.05" customHeight="1" x14ac:dyDescent="0.25">
      <c r="A12873" s="2" t="s">
        <v>8</v>
      </c>
      <c r="B12873" s="2" t="str">
        <f>HYPERLINK("http://ts.21cn.com/tousu/show/id/1344293","恒昌旗下恒易贷套路贷，阴阳合同，砍头息")</f>
        <v>恒昌旗下恒易贷套路贷，阴阳合同，砍头息</v>
      </c>
      <c r="C12873" s="2" t="s">
        <v>9</v>
      </c>
      <c r="D12873" s="2" t="s">
        <v>10</v>
      </c>
      <c r="E12873" s="2" t="str">
        <f>HYPERLINK("http://ts.21cn.com/tousu/show/id/1344293","http://ts.21cn.com/tousu/show/id/1344293")</f>
        <v>http://ts.21cn.com/tousu/show/id/1344293</v>
      </c>
      <c r="F12873" s="2" t="s">
        <v>11</v>
      </c>
      <c r="G12873" s="2" t="s">
        <v>18838</v>
      </c>
      <c r="H12873" s="2" t="s">
        <v>18839</v>
      </c>
    </row>
    <row r="12874" spans="1:8" ht="25.05" customHeight="1" x14ac:dyDescent="0.25">
      <c r="A12874" s="2" t="s">
        <v>8</v>
      </c>
      <c r="B12874" s="2" t="str">
        <f>HYPERLINK("http://ts.21cn.com/tousu/show/id/1344294","全能车购买年卡无法使用")</f>
        <v>全能车购买年卡无法使用</v>
      </c>
      <c r="C12874" s="2" t="s">
        <v>9</v>
      </c>
      <c r="D12874" s="2" t="s">
        <v>10</v>
      </c>
      <c r="E12874" s="2" t="str">
        <f>HYPERLINK("http://ts.21cn.com/tousu/show/id/1344294","http://ts.21cn.com/tousu/show/id/1344294")</f>
        <v>http://ts.21cn.com/tousu/show/id/1344294</v>
      </c>
      <c r="F12874" s="2" t="s">
        <v>11</v>
      </c>
      <c r="G12874" s="2" t="s">
        <v>18838</v>
      </c>
      <c r="H12874" s="2" t="s">
        <v>18840</v>
      </c>
    </row>
    <row r="12875" spans="1:8" ht="25.05" customHeight="1" x14ac:dyDescent="0.25">
      <c r="A12875" s="2" t="s">
        <v>8</v>
      </c>
      <c r="B12875" s="2" t="str">
        <f>HYPERLINK("http://ts.21cn.com/tousu/show/id/1344295","京东白条逾期，月底发工资还钱，不料接到催收的各方面骚扰以及说上门的威胁，我坐等他上门")</f>
        <v>京东白条逾期，月底发工资还钱，不料接到催收的各方面骚扰以及说上门的威胁，我坐等他上门</v>
      </c>
      <c r="C12875" s="2" t="s">
        <v>9</v>
      </c>
      <c r="D12875" s="2" t="s">
        <v>10</v>
      </c>
      <c r="E12875" s="2" t="str">
        <f>HYPERLINK("http://ts.21cn.com/tousu/show/id/1344295","http://ts.21cn.com/tousu/show/id/1344295")</f>
        <v>http://ts.21cn.com/tousu/show/id/1344295</v>
      </c>
      <c r="F12875" s="2" t="s">
        <v>11</v>
      </c>
      <c r="G12875" s="2" t="s">
        <v>18836</v>
      </c>
      <c r="H12875" s="2" t="s">
        <v>18837</v>
      </c>
    </row>
    <row r="12876" spans="1:8" ht="25.05" customHeight="1" x14ac:dyDescent="0.25">
      <c r="A12876" s="2" t="s">
        <v>8</v>
      </c>
      <c r="B12876" s="2" t="str">
        <f>HYPERLINK("http://ts.21cn.com/tousu/show/id/1344297","频繁骚扰并爆通讯录协商一次性结清")</f>
        <v>频繁骚扰并爆通讯录协商一次性结清</v>
      </c>
      <c r="C12876" s="2" t="s">
        <v>9</v>
      </c>
      <c r="D12876" s="2" t="s">
        <v>10</v>
      </c>
      <c r="E12876" s="2" t="str">
        <f>HYPERLINK("http://ts.21cn.com/tousu/show/id/1344297","http://ts.21cn.com/tousu/show/id/1344297")</f>
        <v>http://ts.21cn.com/tousu/show/id/1344297</v>
      </c>
      <c r="F12876" s="2" t="s">
        <v>11</v>
      </c>
      <c r="G12876" s="2" t="s">
        <v>18834</v>
      </c>
      <c r="H12876" s="2" t="s">
        <v>18835</v>
      </c>
    </row>
    <row r="12877" spans="1:8" ht="25.05" customHeight="1" x14ac:dyDescent="0.25">
      <c r="A12877" s="2" t="s">
        <v>8</v>
      </c>
      <c r="B12877" s="2" t="str">
        <f>HYPERLINK("http://ts.21cn.com/tousu/show/id/1344296","大鹅购高利贷，砍头息，高炮，无法无天")</f>
        <v>大鹅购高利贷，砍头息，高炮，无法无天</v>
      </c>
      <c r="C12877" s="2" t="s">
        <v>9</v>
      </c>
      <c r="D12877" s="2" t="s">
        <v>10</v>
      </c>
      <c r="E12877" s="2" t="str">
        <f>HYPERLINK("http://ts.21cn.com/tousu/show/id/1344296","http://ts.21cn.com/tousu/show/id/1344296")</f>
        <v>http://ts.21cn.com/tousu/show/id/1344296</v>
      </c>
      <c r="F12877" s="2" t="s">
        <v>11</v>
      </c>
      <c r="G12877" s="2" t="s">
        <v>18831</v>
      </c>
      <c r="H12877" s="2" t="s">
        <v>18832</v>
      </c>
    </row>
    <row r="12878" spans="1:8" ht="25.05" customHeight="1" x14ac:dyDescent="0.25">
      <c r="A12878" s="2" t="s">
        <v>8</v>
      </c>
      <c r="B12878" s="2" t="str">
        <f>HYPERLINK("http://ts.21cn.com/tousu/show/id/1344298","我来贷不同意协商，恐吓我骚扰我通讯录朋友")</f>
        <v>我来贷不同意协商，恐吓我骚扰我通讯录朋友</v>
      </c>
      <c r="C12878" s="2" t="s">
        <v>9</v>
      </c>
      <c r="D12878" s="2" t="s">
        <v>10</v>
      </c>
      <c r="E12878" s="2" t="str">
        <f>HYPERLINK("http://ts.21cn.com/tousu/show/id/1344298","http://ts.21cn.com/tousu/show/id/1344298")</f>
        <v>http://ts.21cn.com/tousu/show/id/1344298</v>
      </c>
      <c r="F12878" s="2" t="s">
        <v>11</v>
      </c>
      <c r="G12878" s="2" t="s">
        <v>18831</v>
      </c>
      <c r="H12878" s="2" t="s">
        <v>18833</v>
      </c>
    </row>
    <row r="12879" spans="1:8" ht="25.05" customHeight="1" x14ac:dyDescent="0.25">
      <c r="A12879" s="2" t="s">
        <v>8</v>
      </c>
      <c r="B12879" s="2" t="str">
        <f>HYPERLINK("http://ts.21cn.com/tousu/show/id/1344305","有关你我贷服务费投诉")</f>
        <v>有关你我贷服务费投诉</v>
      </c>
      <c r="C12879" s="2" t="s">
        <v>9</v>
      </c>
      <c r="D12879" s="2" t="s">
        <v>10</v>
      </c>
      <c r="E12879" s="2" t="str">
        <f>HYPERLINK("http://ts.21cn.com/tousu/show/id/1344305","http://ts.21cn.com/tousu/show/id/1344305")</f>
        <v>http://ts.21cn.com/tousu/show/id/1344305</v>
      </c>
      <c r="F12879" s="2" t="s">
        <v>11</v>
      </c>
      <c r="G12879" s="2" t="s">
        <v>18829</v>
      </c>
      <c r="H12879" s="2" t="s">
        <v>18830</v>
      </c>
    </row>
    <row r="12880" spans="1:8" ht="25.05" customHeight="1" x14ac:dyDescent="0.25">
      <c r="A12880" s="2" t="s">
        <v>8</v>
      </c>
      <c r="B12880" s="2" t="str">
        <f>HYPERLINK("http://ts.21cn.com/tousu/show/id/1344299","小象优品高利贷提前结清贷款还需要高额手续费")</f>
        <v>小象优品高利贷提前结清贷款还需要高额手续费</v>
      </c>
      <c r="C12880" s="2" t="s">
        <v>9</v>
      </c>
      <c r="D12880" s="2" t="s">
        <v>10</v>
      </c>
      <c r="E12880" s="2" t="str">
        <f>HYPERLINK("http://ts.21cn.com/tousu/show/id/1344299","http://ts.21cn.com/tousu/show/id/1344299")</f>
        <v>http://ts.21cn.com/tousu/show/id/1344299</v>
      </c>
      <c r="F12880" s="2" t="s">
        <v>11</v>
      </c>
      <c r="G12880" s="2" t="s">
        <v>18827</v>
      </c>
      <c r="H12880" s="2" t="s">
        <v>18828</v>
      </c>
    </row>
    <row r="12881" spans="1:8" ht="25.05" customHeight="1" x14ac:dyDescent="0.25">
      <c r="A12881" s="2" t="s">
        <v>8</v>
      </c>
      <c r="B12881" s="2" t="str">
        <f>HYPERLINK("http://ts.21cn.com/tousu/show/id/1344300","你我贷高利贷")</f>
        <v>你我贷高利贷</v>
      </c>
      <c r="C12881" s="2" t="s">
        <v>9</v>
      </c>
      <c r="D12881" s="2" t="s">
        <v>10</v>
      </c>
      <c r="E12881" s="2" t="str">
        <f>HYPERLINK("http://ts.21cn.com/tousu/show/id/1344300","http://ts.21cn.com/tousu/show/id/1344300")</f>
        <v>http://ts.21cn.com/tousu/show/id/1344300</v>
      </c>
      <c r="F12881" s="2" t="s">
        <v>11</v>
      </c>
      <c r="G12881" s="2" t="s">
        <v>18825</v>
      </c>
      <c r="H12881" s="2" t="s">
        <v>18826</v>
      </c>
    </row>
    <row r="12882" spans="1:8" ht="25.05" customHeight="1" x14ac:dyDescent="0.25">
      <c r="A12882" s="2" t="s">
        <v>8</v>
      </c>
      <c r="B12882" s="2" t="str">
        <f>HYPERLINK("http://ts.21cn.com/tousu/show/id/1344302","平安普惠贷款隐瞒隐藏并强制收取高额保险费管理费投诉事宜")</f>
        <v>平安普惠贷款隐瞒隐藏并强制收取高额保险费管理费投诉事宜</v>
      </c>
      <c r="C12882" s="2" t="s">
        <v>9</v>
      </c>
      <c r="D12882" s="2" t="s">
        <v>10</v>
      </c>
      <c r="E12882" s="2" t="str">
        <f>HYPERLINK("http://ts.21cn.com/tousu/show/id/1344302","http://ts.21cn.com/tousu/show/id/1344302")</f>
        <v>http://ts.21cn.com/tousu/show/id/1344302</v>
      </c>
      <c r="F12882" s="2" t="s">
        <v>11</v>
      </c>
      <c r="G12882" s="2" t="s">
        <v>18823</v>
      </c>
      <c r="H12882" s="2" t="s">
        <v>18824</v>
      </c>
    </row>
    <row r="12883" spans="1:8" ht="25.05" customHeight="1" x14ac:dyDescent="0.25">
      <c r="A12883" s="2" t="s">
        <v>8</v>
      </c>
      <c r="B12883" s="2" t="str">
        <f>HYPERLINK("http://ts.21cn.com/tousu/show/id/1344301","在小浦优客平台注册了一个账号。之前没有这个费用，注册之后就收到银行信息说卡里被扣了296")</f>
        <v>在小浦优客平台注册了一个账号。之前没有这个费用，注册之后就收到银行信息说卡里被扣了296</v>
      </c>
      <c r="C12883" s="2" t="s">
        <v>9</v>
      </c>
      <c r="D12883" s="2" t="s">
        <v>10</v>
      </c>
      <c r="E12883" s="2" t="str">
        <f>HYPERLINK("http://ts.21cn.com/tousu/show/id/1344301","http://ts.21cn.com/tousu/show/id/1344301")</f>
        <v>http://ts.21cn.com/tousu/show/id/1344301</v>
      </c>
      <c r="F12883" s="2" t="s">
        <v>11</v>
      </c>
      <c r="G12883" s="2" t="s">
        <v>18821</v>
      </c>
      <c r="H12883" s="2" t="s">
        <v>18822</v>
      </c>
    </row>
    <row r="12884" spans="1:8" ht="25.05" customHeight="1" x14ac:dyDescent="0.25">
      <c r="A12884" s="2" t="s">
        <v>8</v>
      </c>
      <c r="B12884" s="2" t="str">
        <f>HYPERLINK("http://ts.21cn.com/tousu/show/id/1344303","停止骚扰，道歉！")</f>
        <v>停止骚扰，道歉！</v>
      </c>
      <c r="C12884" s="2" t="s">
        <v>9</v>
      </c>
      <c r="D12884" s="2" t="s">
        <v>10</v>
      </c>
      <c r="E12884" s="2" t="str">
        <f>HYPERLINK("http://ts.21cn.com/tousu/show/id/1344303","http://ts.21cn.com/tousu/show/id/1344303")</f>
        <v>http://ts.21cn.com/tousu/show/id/1344303</v>
      </c>
      <c r="F12884" s="2" t="s">
        <v>11</v>
      </c>
      <c r="G12884" s="2" t="s">
        <v>18819</v>
      </c>
      <c r="H12884" s="2" t="s">
        <v>18820</v>
      </c>
    </row>
    <row r="12885" spans="1:8" ht="25.05" customHeight="1" x14ac:dyDescent="0.25">
      <c r="A12885" s="2" t="s">
        <v>8</v>
      </c>
      <c r="B12885" s="2" t="str">
        <f>HYPERLINK("http://ts.21cn.com/tousu/show/id/1344304","小黄车ofo不退还押金、客服挂客户电话")</f>
        <v>小黄车ofo不退还押金、客服挂客户电话</v>
      </c>
      <c r="C12885" s="2" t="s">
        <v>9</v>
      </c>
      <c r="D12885" s="2" t="s">
        <v>10</v>
      </c>
      <c r="E12885" s="2" t="str">
        <f>HYPERLINK("http://ts.21cn.com/tousu/show/id/1344304","http://ts.21cn.com/tousu/show/id/1344304")</f>
        <v>http://ts.21cn.com/tousu/show/id/1344304</v>
      </c>
      <c r="F12885" s="2" t="s">
        <v>11</v>
      </c>
      <c r="G12885" s="2" t="s">
        <v>18817</v>
      </c>
      <c r="H12885" s="2" t="s">
        <v>18818</v>
      </c>
    </row>
    <row r="12886" spans="1:8" ht="25.05" customHeight="1" x14ac:dyDescent="0.25">
      <c r="A12886" s="2" t="s">
        <v>8</v>
      </c>
      <c r="B12886" s="2" t="str">
        <f>HYPERLINK("http://ts.21cn.com/tousu/show/id/1344307","车置宝竞拍平台拖欠购车款不退")</f>
        <v>车置宝竞拍平台拖欠购车款不退</v>
      </c>
      <c r="C12886" s="2" t="s">
        <v>9</v>
      </c>
      <c r="D12886" s="2" t="s">
        <v>10</v>
      </c>
      <c r="E12886" s="2" t="str">
        <f>HYPERLINK("http://ts.21cn.com/tousu/show/id/1344307","http://ts.21cn.com/tousu/show/id/1344307")</f>
        <v>http://ts.21cn.com/tousu/show/id/1344307</v>
      </c>
      <c r="F12886" s="2" t="s">
        <v>11</v>
      </c>
      <c r="G12886" s="2" t="s">
        <v>18815</v>
      </c>
      <c r="H12886" s="2" t="s">
        <v>18816</v>
      </c>
    </row>
    <row r="12887" spans="1:8" ht="25.05" customHeight="1" x14ac:dyDescent="0.25">
      <c r="A12887" s="2" t="s">
        <v>8</v>
      </c>
      <c r="B12887" s="2" t="str">
        <f>HYPERLINK("http://ts.21cn.com/tousu/show/id/1344308","闲鱼客提现不到账")</f>
        <v>闲鱼客提现不到账</v>
      </c>
      <c r="C12887" s="2" t="s">
        <v>9</v>
      </c>
      <c r="D12887" s="2" t="s">
        <v>10</v>
      </c>
      <c r="E12887" s="2" t="str">
        <f>HYPERLINK("http://ts.21cn.com/tousu/show/id/1344308","http://ts.21cn.com/tousu/show/id/1344308")</f>
        <v>http://ts.21cn.com/tousu/show/id/1344308</v>
      </c>
      <c r="F12887" s="2" t="s">
        <v>11</v>
      </c>
      <c r="G12887" s="2" t="s">
        <v>18813</v>
      </c>
      <c r="H12887" s="2" t="s">
        <v>18814</v>
      </c>
    </row>
    <row r="12888" spans="1:8" ht="25.05" customHeight="1" x14ac:dyDescent="0.25">
      <c r="A12888" s="2" t="s">
        <v>8</v>
      </c>
      <c r="B12888" s="2" t="str">
        <f>HYPERLINK("http://ts.21cn.com/tousu/show/id/1344266","商家欺瞒消费者")</f>
        <v>商家欺瞒消费者</v>
      </c>
      <c r="C12888" s="2" t="s">
        <v>9</v>
      </c>
      <c r="D12888" s="2" t="s">
        <v>10</v>
      </c>
      <c r="E12888" s="2" t="str">
        <f>HYPERLINK("http://ts.21cn.com/tousu/show/id/1344266","http://ts.21cn.com/tousu/show/id/1344266")</f>
        <v>http://ts.21cn.com/tousu/show/id/1344266</v>
      </c>
      <c r="F12888" s="2" t="s">
        <v>11</v>
      </c>
      <c r="G12888" s="2" t="s">
        <v>18811</v>
      </c>
      <c r="H12888" s="2" t="s">
        <v>18812</v>
      </c>
    </row>
    <row r="12889" spans="1:8" ht="25.05" customHeight="1" x14ac:dyDescent="0.25">
      <c r="A12889" s="2" t="s">
        <v>8</v>
      </c>
      <c r="B12889" s="2" t="str">
        <f>HYPERLINK("http://ts.21cn.com/tousu/show/id/1344311","投诉闪银旗下瞬瞬，高利贷，砍头息")</f>
        <v>投诉闪银旗下瞬瞬，高利贷，砍头息</v>
      </c>
      <c r="C12889" s="2" t="s">
        <v>9</v>
      </c>
      <c r="D12889" s="2" t="s">
        <v>10</v>
      </c>
      <c r="E12889" s="2" t="str">
        <f>HYPERLINK("http://ts.21cn.com/tousu/show/id/1344311","http://ts.21cn.com/tousu/show/id/1344311")</f>
        <v>http://ts.21cn.com/tousu/show/id/1344311</v>
      </c>
      <c r="F12889" s="2" t="s">
        <v>11</v>
      </c>
      <c r="G12889" s="2" t="s">
        <v>18809</v>
      </c>
      <c r="H12889" s="2" t="s">
        <v>18810</v>
      </c>
    </row>
    <row r="12890" spans="1:8" ht="25.05" customHeight="1" x14ac:dyDescent="0.25">
      <c r="A12890" s="2" t="s">
        <v>8</v>
      </c>
      <c r="B12890" s="2" t="str">
        <f>HYPERLINK("http://ts.21cn.com/tousu/show/id/1344314","此公司高息贷款，高额加速费，望改进")</f>
        <v>此公司高息贷款，高额加速费，望改进</v>
      </c>
      <c r="C12890" s="2" t="s">
        <v>34</v>
      </c>
      <c r="D12890" s="2" t="s">
        <v>10</v>
      </c>
      <c r="E12890" s="2" t="str">
        <f>HYPERLINK("http://ts.21cn.com/tousu/show/id/1344314","http://ts.21cn.com/tousu/show/id/1344314")</f>
        <v>http://ts.21cn.com/tousu/show/id/1344314</v>
      </c>
      <c r="F12890" s="2" t="s">
        <v>11</v>
      </c>
      <c r="G12890" s="2" t="s">
        <v>18807</v>
      </c>
      <c r="H12890" s="2" t="s">
        <v>18808</v>
      </c>
    </row>
    <row r="12891" spans="1:8" ht="25.05" customHeight="1" x14ac:dyDescent="0.25">
      <c r="A12891" s="2" t="s">
        <v>8</v>
      </c>
      <c r="B12891" s="2" t="str">
        <f>HYPERLINK("http://ts.21cn.com/tousu/show/id/1344315","外传外语故意诱导人缴费故意不给人退费")</f>
        <v>外传外语故意诱导人缴费故意不给人退费</v>
      </c>
      <c r="C12891" s="2" t="s">
        <v>9</v>
      </c>
      <c r="D12891" s="2" t="s">
        <v>10</v>
      </c>
      <c r="E12891" s="2" t="str">
        <f>HYPERLINK("http://ts.21cn.com/tousu/show/id/1344315","http://ts.21cn.com/tousu/show/id/1344315")</f>
        <v>http://ts.21cn.com/tousu/show/id/1344315</v>
      </c>
      <c r="F12891" s="2" t="s">
        <v>11</v>
      </c>
      <c r="G12891" s="2" t="s">
        <v>18805</v>
      </c>
      <c r="H12891" s="2" t="s">
        <v>18806</v>
      </c>
    </row>
    <row r="12892" spans="1:8" ht="25.05" customHeight="1" x14ac:dyDescent="0.25">
      <c r="A12892" s="2" t="s">
        <v>8</v>
      </c>
      <c r="B12892" s="2" t="str">
        <f>HYPERLINK("http://ts.21cn.com/tousu/show/id/1344316","百朗网校为达到收款目的，诱使学员贷款交费，后因其所做承诺未做到要求其退款却不退")</f>
        <v>百朗网校为达到收款目的，诱使学员贷款交费，后因其所做承诺未做到要求其退款却不退</v>
      </c>
      <c r="C12892" s="2" t="s">
        <v>9</v>
      </c>
      <c r="D12892" s="2" t="s">
        <v>10</v>
      </c>
      <c r="E12892" s="2" t="str">
        <f>HYPERLINK("http://ts.21cn.com/tousu/show/id/1344316","http://ts.21cn.com/tousu/show/id/1344316")</f>
        <v>http://ts.21cn.com/tousu/show/id/1344316</v>
      </c>
      <c r="F12892" s="2" t="s">
        <v>11</v>
      </c>
      <c r="G12892" s="2" t="s">
        <v>18803</v>
      </c>
      <c r="H12892" s="2" t="s">
        <v>18804</v>
      </c>
    </row>
    <row r="12893" spans="1:8" ht="25.05" customHeight="1" x14ac:dyDescent="0.25">
      <c r="A12893" s="2" t="s">
        <v>8</v>
      </c>
      <c r="B12893" s="2" t="str">
        <f>HYPERLINK("http://ts.21cn.com/tousu/show/id/1344318","支付宝为来分期提供渠道非法套路贷，高利贷")</f>
        <v>支付宝为来分期提供渠道非法套路贷，高利贷</v>
      </c>
      <c r="C12893" s="2" t="s">
        <v>9</v>
      </c>
      <c r="D12893" s="2" t="s">
        <v>10</v>
      </c>
      <c r="E12893" s="2" t="str">
        <f>HYPERLINK("http://ts.21cn.com/tousu/show/id/1344318","http://ts.21cn.com/tousu/show/id/1344318")</f>
        <v>http://ts.21cn.com/tousu/show/id/1344318</v>
      </c>
      <c r="F12893" s="2" t="s">
        <v>11</v>
      </c>
      <c r="G12893" s="2" t="s">
        <v>18801</v>
      </c>
      <c r="H12893" s="2" t="s">
        <v>18802</v>
      </c>
    </row>
    <row r="12894" spans="1:8" ht="25.05" customHeight="1" x14ac:dyDescent="0.25">
      <c r="A12894" s="2" t="s">
        <v>8</v>
      </c>
      <c r="B12894" s="2" t="str">
        <f>HYPERLINK("http://ts.21cn.com/tousu/show/id/1344320","百万钱包变相砍头息，暴利催收")</f>
        <v>百万钱包变相砍头息，暴利催收</v>
      </c>
      <c r="C12894" s="2" t="s">
        <v>9</v>
      </c>
      <c r="D12894" s="2" t="s">
        <v>10</v>
      </c>
      <c r="E12894" s="2" t="str">
        <f>HYPERLINK("http://ts.21cn.com/tousu/show/id/1344320","http://ts.21cn.com/tousu/show/id/1344320")</f>
        <v>http://ts.21cn.com/tousu/show/id/1344320</v>
      </c>
      <c r="F12894" s="2" t="s">
        <v>11</v>
      </c>
      <c r="G12894" s="2" t="s">
        <v>18798</v>
      </c>
      <c r="H12894" s="2" t="s">
        <v>18799</v>
      </c>
    </row>
    <row r="12895" spans="1:8" ht="25.05" customHeight="1" x14ac:dyDescent="0.25">
      <c r="A12895" s="2" t="s">
        <v>8</v>
      </c>
      <c r="B12895" s="2" t="str">
        <f>HYPERLINK("http://ts.21cn.com/tousu/show/id/1344319","凡普爆通讯录，逾期一天")</f>
        <v>凡普爆通讯录，逾期一天</v>
      </c>
      <c r="C12895" s="2" t="s">
        <v>9</v>
      </c>
      <c r="D12895" s="2" t="s">
        <v>10</v>
      </c>
      <c r="E12895" s="2" t="str">
        <f>HYPERLINK("http://ts.21cn.com/tousu/show/id/1344319","http://ts.21cn.com/tousu/show/id/1344319")</f>
        <v>http://ts.21cn.com/tousu/show/id/1344319</v>
      </c>
      <c r="F12895" s="2" t="s">
        <v>11</v>
      </c>
      <c r="G12895" s="2" t="s">
        <v>18798</v>
      </c>
      <c r="H12895" s="2" t="s">
        <v>18800</v>
      </c>
    </row>
    <row r="12896" spans="1:8" ht="25.05" customHeight="1" x14ac:dyDescent="0.25">
      <c r="A12896" s="2" t="s">
        <v>8</v>
      </c>
      <c r="B12896" s="2" t="str">
        <f>HYPERLINK("http://ts.21cn.com/tousu/show/id/1344317","小花钱包，涉嫌高利贷，暴露催收，恐吓，暴通信录")</f>
        <v>小花钱包，涉嫌高利贷，暴露催收，恐吓，暴通信录</v>
      </c>
      <c r="C12896" s="2" t="s">
        <v>9</v>
      </c>
      <c r="D12896" s="2" t="s">
        <v>10</v>
      </c>
      <c r="E12896" s="2" t="str">
        <f>HYPERLINK("http://ts.21cn.com/tousu/show/id/1344317","http://ts.21cn.com/tousu/show/id/1344317")</f>
        <v>http://ts.21cn.com/tousu/show/id/1344317</v>
      </c>
      <c r="F12896" s="2" t="s">
        <v>11</v>
      </c>
      <c r="G12896" s="2" t="s">
        <v>18796</v>
      </c>
      <c r="H12896" s="2" t="s">
        <v>18797</v>
      </c>
    </row>
    <row r="12897" spans="1:8" ht="25.05" customHeight="1" x14ac:dyDescent="0.25">
      <c r="A12897" s="2" t="s">
        <v>8</v>
      </c>
      <c r="B12897" s="2" t="str">
        <f>HYPERLINK("http://ts.21cn.com/tousu/show/id/1344321","不给注销账户，打电话客服四五次无人回应")</f>
        <v>不给注销账户，打电话客服四五次无人回应</v>
      </c>
      <c r="C12897" s="2" t="s">
        <v>9</v>
      </c>
      <c r="D12897" s="2" t="s">
        <v>10</v>
      </c>
      <c r="E12897" s="2" t="str">
        <f>HYPERLINK("http://ts.21cn.com/tousu/show/id/1344321","http://ts.21cn.com/tousu/show/id/1344321")</f>
        <v>http://ts.21cn.com/tousu/show/id/1344321</v>
      </c>
      <c r="F12897" s="2" t="s">
        <v>11</v>
      </c>
      <c r="G12897" s="2" t="s">
        <v>18794</v>
      </c>
      <c r="H12897" s="2" t="s">
        <v>18795</v>
      </c>
    </row>
    <row r="12898" spans="1:8" ht="25.05" customHeight="1" x14ac:dyDescent="0.25">
      <c r="A12898" s="2" t="s">
        <v>8</v>
      </c>
      <c r="B12898" s="2" t="str">
        <f>HYPERLINK("http://ts.21cn.com/tousu/show/id/1344322","发带有威胁性质的短信")</f>
        <v>发带有威胁性质的短信</v>
      </c>
      <c r="C12898" s="2" t="s">
        <v>9</v>
      </c>
      <c r="D12898" s="2" t="s">
        <v>10</v>
      </c>
      <c r="E12898" s="2" t="str">
        <f>HYPERLINK("http://ts.21cn.com/tousu/show/id/1344322","http://ts.21cn.com/tousu/show/id/1344322")</f>
        <v>http://ts.21cn.com/tousu/show/id/1344322</v>
      </c>
      <c r="F12898" s="2" t="s">
        <v>11</v>
      </c>
      <c r="G12898" s="2" t="s">
        <v>18792</v>
      </c>
      <c r="H12898" s="2" t="s">
        <v>18793</v>
      </c>
    </row>
    <row r="12899" spans="1:8" ht="25.05" customHeight="1" x14ac:dyDescent="0.25">
      <c r="A12899" s="2" t="s">
        <v>8</v>
      </c>
      <c r="B12899" s="2" t="str">
        <f>HYPERLINK("http://ts.21cn.com/tousu/show/id/1344323","没有经过我同意扣款")</f>
        <v>没有经过我同意扣款</v>
      </c>
      <c r="C12899" s="2" t="s">
        <v>34</v>
      </c>
      <c r="D12899" s="2" t="s">
        <v>10</v>
      </c>
      <c r="E12899" s="2" t="str">
        <f>HYPERLINK("http://ts.21cn.com/tousu/show/id/1344323","http://ts.21cn.com/tousu/show/id/1344323")</f>
        <v>http://ts.21cn.com/tousu/show/id/1344323</v>
      </c>
      <c r="F12899" s="2" t="s">
        <v>11</v>
      </c>
      <c r="G12899" s="2" t="s">
        <v>18790</v>
      </c>
      <c r="H12899" s="2" t="s">
        <v>18791</v>
      </c>
    </row>
    <row r="12900" spans="1:8" ht="25.05" customHeight="1" x14ac:dyDescent="0.25">
      <c r="A12900" s="2" t="s">
        <v>8</v>
      </c>
      <c r="B12900" s="2" t="str">
        <f>HYPERLINK("http://ts.21cn.com/tousu/show/id/1344326","大地时代保险在不知情情况下捆绑保险")</f>
        <v>大地时代保险在不知情情况下捆绑保险</v>
      </c>
      <c r="C12900" s="2" t="s">
        <v>9</v>
      </c>
      <c r="D12900" s="2" t="s">
        <v>10</v>
      </c>
      <c r="E12900" s="2" t="str">
        <f>HYPERLINK("http://ts.21cn.com/tousu/show/id/1344326","http://ts.21cn.com/tousu/show/id/1344326")</f>
        <v>http://ts.21cn.com/tousu/show/id/1344326</v>
      </c>
      <c r="F12900" s="2" t="s">
        <v>11</v>
      </c>
      <c r="G12900" s="2" t="s">
        <v>18788</v>
      </c>
      <c r="H12900" s="2" t="s">
        <v>18789</v>
      </c>
    </row>
    <row r="12901" spans="1:8" ht="25.05" customHeight="1" x14ac:dyDescent="0.25">
      <c r="A12901" s="2" t="s">
        <v>8</v>
      </c>
      <c r="B12901" s="2" t="str">
        <f>HYPERLINK("http://ts.21cn.com/tousu/show/id/1344328","好分期高利息，未到期就催收！")</f>
        <v>好分期高利息，未到期就催收！</v>
      </c>
      <c r="C12901" s="2" t="s">
        <v>9</v>
      </c>
      <c r="D12901" s="2" t="s">
        <v>10</v>
      </c>
      <c r="E12901" s="2" t="str">
        <f>HYPERLINK("http://ts.21cn.com/tousu/show/id/1344328","http://ts.21cn.com/tousu/show/id/1344328")</f>
        <v>http://ts.21cn.com/tousu/show/id/1344328</v>
      </c>
      <c r="F12901" s="2" t="s">
        <v>11</v>
      </c>
      <c r="G12901" s="2" t="s">
        <v>18786</v>
      </c>
      <c r="H12901" s="2" t="s">
        <v>18787</v>
      </c>
    </row>
    <row r="12902" spans="1:8" ht="25.05" customHeight="1" x14ac:dyDescent="0.25">
      <c r="A12902" s="2" t="s">
        <v>8</v>
      </c>
      <c r="B12902" s="2" t="str">
        <f>HYPERLINK("http://ts.21cn.com/tousu/show/id/1344312","浦发银行万佣金")</f>
        <v>浦发银行万佣金</v>
      </c>
      <c r="C12902" s="2" t="s">
        <v>9</v>
      </c>
      <c r="D12902" s="2" t="s">
        <v>10</v>
      </c>
      <c r="E12902" s="2" t="str">
        <f>HYPERLINK("http://ts.21cn.com/tousu/show/id/1344312","http://ts.21cn.com/tousu/show/id/1344312")</f>
        <v>http://ts.21cn.com/tousu/show/id/1344312</v>
      </c>
      <c r="F12902" s="2" t="s">
        <v>11</v>
      </c>
      <c r="G12902" s="2" t="s">
        <v>18784</v>
      </c>
      <c r="H12902" s="2" t="s">
        <v>18785</v>
      </c>
    </row>
    <row r="12903" spans="1:8" ht="25.05" customHeight="1" x14ac:dyDescent="0.25">
      <c r="A12903" s="2" t="s">
        <v>8</v>
      </c>
      <c r="B12903" s="2" t="str">
        <f>HYPERLINK("http://ts.21cn.com/tousu/show/id/1344329","贷上钱催收暴力利息高，给朋友打电话调查情况，说谎话")</f>
        <v>贷上钱催收暴力利息高，给朋友打电话调查情况，说谎话</v>
      </c>
      <c r="C12903" s="2" t="s">
        <v>9</v>
      </c>
      <c r="D12903" s="2" t="s">
        <v>10</v>
      </c>
      <c r="E12903" s="2" t="str">
        <f>HYPERLINK("http://ts.21cn.com/tousu/show/id/1344329","http://ts.21cn.com/tousu/show/id/1344329")</f>
        <v>http://ts.21cn.com/tousu/show/id/1344329</v>
      </c>
      <c r="F12903" s="2" t="s">
        <v>11</v>
      </c>
      <c r="G12903" s="2" t="s">
        <v>18782</v>
      </c>
      <c r="H12903" s="2" t="s">
        <v>18783</v>
      </c>
    </row>
    <row r="12904" spans="1:8" ht="25.05" customHeight="1" x14ac:dyDescent="0.25">
      <c r="A12904" s="2" t="s">
        <v>8</v>
      </c>
      <c r="B12904" s="2" t="str">
        <f>HYPERLINK("http://ts.21cn.com/tousu/show/id/1344313","中信银行套路我帮家人还款不愿告诉事情！")</f>
        <v>中信银行套路我帮家人还款不愿告诉事情！</v>
      </c>
      <c r="C12904" s="2" t="s">
        <v>9</v>
      </c>
      <c r="D12904" s="2" t="s">
        <v>10</v>
      </c>
      <c r="E12904" s="2" t="str">
        <f>HYPERLINK("http://ts.21cn.com/tousu/show/id/1344313","http://ts.21cn.com/tousu/show/id/1344313")</f>
        <v>http://ts.21cn.com/tousu/show/id/1344313</v>
      </c>
      <c r="F12904" s="2" t="s">
        <v>11</v>
      </c>
      <c r="G12904" s="2" t="s">
        <v>18780</v>
      </c>
      <c r="H12904" s="2" t="s">
        <v>18781</v>
      </c>
    </row>
    <row r="12905" spans="1:8" ht="25.05" customHeight="1" x14ac:dyDescent="0.25">
      <c r="A12905" s="2" t="s">
        <v>8</v>
      </c>
      <c r="B12905" s="2" t="str">
        <f>HYPERLINK("http://ts.21cn.com/tousu/show/id/1344330","年利率超过36％")</f>
        <v>年利率超过36％</v>
      </c>
      <c r="C12905" s="2" t="s">
        <v>34</v>
      </c>
      <c r="D12905" s="2" t="s">
        <v>10</v>
      </c>
      <c r="E12905" s="2" t="str">
        <f>HYPERLINK("http://ts.21cn.com/tousu/show/id/1344330","http://ts.21cn.com/tousu/show/id/1344330")</f>
        <v>http://ts.21cn.com/tousu/show/id/1344330</v>
      </c>
      <c r="F12905" s="2" t="s">
        <v>11</v>
      </c>
      <c r="G12905" s="2" t="s">
        <v>18778</v>
      </c>
      <c r="H12905" s="2" t="s">
        <v>18779</v>
      </c>
    </row>
    <row r="12906" spans="1:8" ht="25.05" customHeight="1" x14ac:dyDescent="0.25">
      <c r="A12906" s="2" t="s">
        <v>8</v>
      </c>
      <c r="B12906" s="2" t="str">
        <f>HYPERLINK("http://ts.21cn.com/tousu/show/id/1344331","抖音未退回购买热门的失败100元到原账户")</f>
        <v>抖音未退回购买热门的失败100元到原账户</v>
      </c>
      <c r="C12906" s="2" t="s">
        <v>34</v>
      </c>
      <c r="D12906" s="2" t="s">
        <v>10</v>
      </c>
      <c r="E12906" s="2" t="str">
        <f>HYPERLINK("http://ts.21cn.com/tousu/show/id/1344331","http://ts.21cn.com/tousu/show/id/1344331")</f>
        <v>http://ts.21cn.com/tousu/show/id/1344331</v>
      </c>
      <c r="F12906" s="2" t="s">
        <v>11</v>
      </c>
      <c r="G12906" s="2" t="s">
        <v>18776</v>
      </c>
      <c r="H12906" s="2" t="s">
        <v>18777</v>
      </c>
    </row>
    <row r="12907" spans="1:8" ht="25.05" customHeight="1" x14ac:dyDescent="0.25">
      <c r="A12907" s="2" t="s">
        <v>8</v>
      </c>
      <c r="B12907" s="2" t="str">
        <f>HYPERLINK("http://ts.21cn.com/tousu/show/id/1344337","圆通速递集体投诉专题")</f>
        <v>圆通速递集体投诉专题</v>
      </c>
      <c r="C12907" s="2" t="s">
        <v>34</v>
      </c>
      <c r="D12907" s="2" t="s">
        <v>10</v>
      </c>
      <c r="E12907" s="2" t="str">
        <f>HYPERLINK("http://ts.21cn.com/tousu/show/id/1344337","http://ts.21cn.com/tousu/show/id/1344337")</f>
        <v>http://ts.21cn.com/tousu/show/id/1344337</v>
      </c>
      <c r="F12907" s="2" t="s">
        <v>11</v>
      </c>
      <c r="G12907" s="2" t="s">
        <v>18774</v>
      </c>
      <c r="H12907" s="2" t="s">
        <v>18775</v>
      </c>
    </row>
    <row r="12908" spans="1:8" ht="25.05" customHeight="1" x14ac:dyDescent="0.25">
      <c r="A12908" s="2" t="s">
        <v>8</v>
      </c>
      <c r="B12908" s="2" t="str">
        <f>HYPERLINK("http://ts.21cn.com/tousu/show/id/1344338","淘集集退店")</f>
        <v>淘集集退店</v>
      </c>
      <c r="C12908" s="2" t="s">
        <v>34</v>
      </c>
      <c r="D12908" s="2" t="s">
        <v>10</v>
      </c>
      <c r="E12908" s="2" t="str">
        <f>HYPERLINK("http://ts.21cn.com/tousu/show/id/1344338","http://ts.21cn.com/tousu/show/id/1344338")</f>
        <v>http://ts.21cn.com/tousu/show/id/1344338</v>
      </c>
      <c r="F12908" s="2" t="s">
        <v>11</v>
      </c>
      <c r="G12908" s="2" t="s">
        <v>18772</v>
      </c>
      <c r="H12908" s="2" t="s">
        <v>18773</v>
      </c>
    </row>
    <row r="12909" spans="1:8" ht="25.05" customHeight="1" x14ac:dyDescent="0.25">
      <c r="A12909" s="2" t="s">
        <v>8</v>
      </c>
      <c r="B12909" s="2" t="str">
        <f>HYPERLINK("http://ts.21cn.com/tousu/show/id/1344340","萌推不良商家侵权我公司产品")</f>
        <v>萌推不良商家侵权我公司产品</v>
      </c>
      <c r="C12909" s="2" t="s">
        <v>9</v>
      </c>
      <c r="D12909" s="2" t="s">
        <v>10</v>
      </c>
      <c r="E12909" s="2" t="str">
        <f>HYPERLINK("http://ts.21cn.com/tousu/show/id/1344340","http://ts.21cn.com/tousu/show/id/1344340")</f>
        <v>http://ts.21cn.com/tousu/show/id/1344340</v>
      </c>
      <c r="F12909" s="2" t="s">
        <v>11</v>
      </c>
      <c r="G12909" s="2" t="s">
        <v>18770</v>
      </c>
      <c r="H12909" s="2" t="s">
        <v>18771</v>
      </c>
    </row>
    <row r="12910" spans="1:8" ht="25.05" customHeight="1" x14ac:dyDescent="0.25">
      <c r="A12910" s="2" t="s">
        <v>8</v>
      </c>
      <c r="B12910" s="2" t="str">
        <f>HYPERLINK("http://ts.21cn.com/tousu/show/id/1344341","京东金融明明还有500最低还款")</f>
        <v>京东金融明明还有500最低还款</v>
      </c>
      <c r="C12910" s="2" t="s">
        <v>34</v>
      </c>
      <c r="D12910" s="2" t="s">
        <v>10</v>
      </c>
      <c r="E12910" s="2" t="str">
        <f>HYPERLINK("http://ts.21cn.com/tousu/show/id/1344341","http://ts.21cn.com/tousu/show/id/1344341")</f>
        <v>http://ts.21cn.com/tousu/show/id/1344341</v>
      </c>
      <c r="F12910" s="2" t="s">
        <v>11</v>
      </c>
      <c r="G12910" s="2" t="s">
        <v>18768</v>
      </c>
      <c r="H12910" s="2" t="s">
        <v>18769</v>
      </c>
    </row>
    <row r="12911" spans="1:8" ht="25.05" customHeight="1" x14ac:dyDescent="0.25">
      <c r="A12911" s="2" t="s">
        <v>8</v>
      </c>
      <c r="B12911" s="2" t="str">
        <f>HYPERLINK("http://ts.21cn.com/tousu/show/id/1344342","平安i贷")</f>
        <v>平安i贷</v>
      </c>
      <c r="C12911" s="2" t="s">
        <v>9</v>
      </c>
      <c r="D12911" s="2" t="s">
        <v>10</v>
      </c>
      <c r="E12911" s="2" t="str">
        <f>HYPERLINK("http://ts.21cn.com/tousu/show/id/1344342","http://ts.21cn.com/tousu/show/id/1344342")</f>
        <v>http://ts.21cn.com/tousu/show/id/1344342</v>
      </c>
      <c r="F12911" s="2" t="s">
        <v>11</v>
      </c>
      <c r="G12911" s="2" t="s">
        <v>18766</v>
      </c>
      <c r="H12911" s="2" t="s">
        <v>18767</v>
      </c>
    </row>
    <row r="12912" spans="1:8" ht="25.05" customHeight="1" x14ac:dyDescent="0.25">
      <c r="A12912" s="2" t="s">
        <v>8</v>
      </c>
      <c r="B12912" s="2" t="str">
        <f>HYPERLINK("http://ts.21cn.com/tousu/show/id/1344306","前期费用")</f>
        <v>前期费用</v>
      </c>
      <c r="C12912" s="2" t="s">
        <v>34</v>
      </c>
      <c r="D12912" s="2" t="s">
        <v>10</v>
      </c>
      <c r="E12912" s="2" t="str">
        <f>HYPERLINK("http://ts.21cn.com/tousu/show/id/1344306","http://ts.21cn.com/tousu/show/id/1344306")</f>
        <v>http://ts.21cn.com/tousu/show/id/1344306</v>
      </c>
      <c r="F12912" s="2" t="s">
        <v>11</v>
      </c>
      <c r="G12912" s="2" t="s">
        <v>18764</v>
      </c>
      <c r="H12912" s="2" t="s">
        <v>18765</v>
      </c>
    </row>
    <row r="12913" spans="1:8" ht="25.05" customHeight="1" x14ac:dyDescent="0.25">
      <c r="A12913" s="2" t="s">
        <v>8</v>
      </c>
      <c r="B12913" s="2" t="str">
        <f>HYPERLINK("http://ts.21cn.com/tousu/show/id/1344344","造艺科技旗下的聚富分期恶意收取299元，信征查询费，要求退回299元")</f>
        <v>造艺科技旗下的聚富分期恶意收取299元，信征查询费，要求退回299元</v>
      </c>
      <c r="C12913" s="2" t="s">
        <v>9</v>
      </c>
      <c r="D12913" s="2" t="s">
        <v>10</v>
      </c>
      <c r="E12913" s="2" t="str">
        <f>HYPERLINK("http://ts.21cn.com/tousu/show/id/1344344","http://ts.21cn.com/tousu/show/id/1344344")</f>
        <v>http://ts.21cn.com/tousu/show/id/1344344</v>
      </c>
      <c r="F12913" s="2" t="s">
        <v>11</v>
      </c>
      <c r="G12913" s="2" t="s">
        <v>18762</v>
      </c>
      <c r="H12913" s="2" t="s">
        <v>18763</v>
      </c>
    </row>
    <row r="12914" spans="1:8" ht="25.05" customHeight="1" x14ac:dyDescent="0.25">
      <c r="A12914" s="2" t="s">
        <v>8</v>
      </c>
      <c r="B12914" s="2" t="str">
        <f>HYPERLINK("http://ts.21cn.com/tousu/show/id/1344345","暴力催收")</f>
        <v>暴力催收</v>
      </c>
      <c r="C12914" s="2" t="s">
        <v>9</v>
      </c>
      <c r="D12914" s="2" t="s">
        <v>10</v>
      </c>
      <c r="E12914" s="2" t="str">
        <f>HYPERLINK("http://ts.21cn.com/tousu/show/id/1344345","http://ts.21cn.com/tousu/show/id/1344345")</f>
        <v>http://ts.21cn.com/tousu/show/id/1344345</v>
      </c>
      <c r="F12914" s="2" t="s">
        <v>11</v>
      </c>
      <c r="G12914" s="2" t="s">
        <v>18760</v>
      </c>
      <c r="H12914" s="2" t="s">
        <v>18761</v>
      </c>
    </row>
    <row r="12915" spans="1:8" ht="25.05" customHeight="1" x14ac:dyDescent="0.25">
      <c r="A12915" s="2" t="s">
        <v>8</v>
      </c>
      <c r="B12915" s="2" t="str">
        <f>HYPERLINK("http://ts.21cn.com/tousu/show/id/1344327","功夫贷会员费诱导收取")</f>
        <v>功夫贷会员费诱导收取</v>
      </c>
      <c r="C12915" s="2" t="s">
        <v>9</v>
      </c>
      <c r="D12915" s="2" t="s">
        <v>10</v>
      </c>
      <c r="E12915" s="2" t="str">
        <f>HYPERLINK("http://ts.21cn.com/tousu/show/id/1344327","http://ts.21cn.com/tousu/show/id/1344327")</f>
        <v>http://ts.21cn.com/tousu/show/id/1344327</v>
      </c>
      <c r="F12915" s="2" t="s">
        <v>11</v>
      </c>
      <c r="G12915" s="2" t="s">
        <v>18758</v>
      </c>
      <c r="H12915" s="2" t="s">
        <v>18759</v>
      </c>
    </row>
    <row r="12916" spans="1:8" ht="25.05" customHeight="1" x14ac:dyDescent="0.25">
      <c r="A12916" s="2" t="s">
        <v>8</v>
      </c>
      <c r="B12916" s="2" t="str">
        <f>HYPERLINK("http://ts.21cn.com/tousu/show/id/1344346","杉德给博彩平台违法提供支付通道")</f>
        <v>杉德给博彩平台违法提供支付通道</v>
      </c>
      <c r="C12916" s="2" t="s">
        <v>9</v>
      </c>
      <c r="D12916" s="2" t="s">
        <v>10</v>
      </c>
      <c r="E12916" s="2" t="str">
        <f>HYPERLINK("http://ts.21cn.com/tousu/show/id/1344346","http://ts.21cn.com/tousu/show/id/1344346")</f>
        <v>http://ts.21cn.com/tousu/show/id/1344346</v>
      </c>
      <c r="F12916" s="2" t="s">
        <v>11</v>
      </c>
      <c r="G12916" s="2" t="s">
        <v>18756</v>
      </c>
      <c r="H12916" s="2" t="s">
        <v>18757</v>
      </c>
    </row>
    <row r="12917" spans="1:8" ht="25.05" customHeight="1" x14ac:dyDescent="0.25">
      <c r="A12917" s="2" t="s">
        <v>8</v>
      </c>
      <c r="B12917" s="2" t="str">
        <f>HYPERLINK("http://ts.21cn.com/tousu/show/id/1344348","无缘无故扣款没任何短信电话通知")</f>
        <v>无缘无故扣款没任何短信电话通知</v>
      </c>
      <c r="C12917" s="2" t="s">
        <v>9</v>
      </c>
      <c r="D12917" s="2" t="s">
        <v>10</v>
      </c>
      <c r="E12917" s="2" t="str">
        <f>HYPERLINK("http://ts.21cn.com/tousu/show/id/1344348","http://ts.21cn.com/tousu/show/id/1344348")</f>
        <v>http://ts.21cn.com/tousu/show/id/1344348</v>
      </c>
      <c r="F12917" s="2" t="s">
        <v>11</v>
      </c>
      <c r="G12917" s="2" t="s">
        <v>18754</v>
      </c>
      <c r="H12917" s="2" t="s">
        <v>18755</v>
      </c>
    </row>
    <row r="12918" spans="1:8" ht="25.05" customHeight="1" x14ac:dyDescent="0.25">
      <c r="A12918" s="2" t="s">
        <v>8</v>
      </c>
      <c r="B12918" s="2" t="str">
        <f>HYPERLINK("http://ts.21cn.com/tousu/show/id/1344347","维信豆豆钱账单日前无短信通知致逾期产生逾期费用")</f>
        <v>维信豆豆钱账单日前无短信通知致逾期产生逾期费用</v>
      </c>
      <c r="C12918" s="2" t="s">
        <v>9</v>
      </c>
      <c r="D12918" s="2" t="s">
        <v>10</v>
      </c>
      <c r="E12918" s="2" t="str">
        <f>HYPERLINK("http://ts.21cn.com/tousu/show/id/1344347","http://ts.21cn.com/tousu/show/id/1344347")</f>
        <v>http://ts.21cn.com/tousu/show/id/1344347</v>
      </c>
      <c r="F12918" s="2" t="s">
        <v>11</v>
      </c>
      <c r="G12918" s="2" t="s">
        <v>18752</v>
      </c>
      <c r="H12918" s="2" t="s">
        <v>18753</v>
      </c>
    </row>
    <row r="12919" spans="1:8" ht="25.05" customHeight="1" x14ac:dyDescent="0.25">
      <c r="A12919" s="2" t="s">
        <v>8</v>
      </c>
      <c r="B12919" s="2" t="str">
        <f>HYPERLINK("http://ts.21cn.com/tousu/show/id/1344336","马上金融消费公司，安逸花暴力催收")</f>
        <v>马上金融消费公司，安逸花暴力催收</v>
      </c>
      <c r="C12919" s="2" t="s">
        <v>9</v>
      </c>
      <c r="D12919" s="2" t="s">
        <v>10</v>
      </c>
      <c r="E12919" s="2" t="str">
        <f>HYPERLINK("http://ts.21cn.com/tousu/show/id/1344336","http://ts.21cn.com/tousu/show/id/1344336")</f>
        <v>http://ts.21cn.com/tousu/show/id/1344336</v>
      </c>
      <c r="F12919" s="2" t="s">
        <v>11</v>
      </c>
      <c r="G12919" s="2" t="s">
        <v>18750</v>
      </c>
      <c r="H12919" s="2" t="s">
        <v>18751</v>
      </c>
    </row>
    <row r="12920" spans="1:8" ht="25.05" customHeight="1" x14ac:dyDescent="0.25">
      <c r="A12920" s="2" t="s">
        <v>8</v>
      </c>
      <c r="B12920" s="2" t="str">
        <f>HYPERLINK("http://ts.21cn.com/tousu/show/id/1344349","智行火车票软件在没告知我要加速包的情况下，收了我40元加速包的费用，要求退还")</f>
        <v>智行火车票软件在没告知我要加速包的情况下，收了我40元加速包的费用，要求退还</v>
      </c>
      <c r="C12920" s="2" t="s">
        <v>34</v>
      </c>
      <c r="D12920" s="2" t="s">
        <v>10</v>
      </c>
      <c r="E12920" s="2" t="str">
        <f>HYPERLINK("http://ts.21cn.com/tousu/show/id/1344349","http://ts.21cn.com/tousu/show/id/1344349")</f>
        <v>http://ts.21cn.com/tousu/show/id/1344349</v>
      </c>
      <c r="F12920" s="2" t="s">
        <v>11</v>
      </c>
      <c r="G12920" s="2" t="s">
        <v>18748</v>
      </c>
      <c r="H12920" s="2" t="s">
        <v>18749</v>
      </c>
    </row>
    <row r="12921" spans="1:8" ht="25.05" customHeight="1" x14ac:dyDescent="0.25">
      <c r="A12921" s="2" t="s">
        <v>8</v>
      </c>
      <c r="B12921" s="2" t="str">
        <f>HYPERLINK("http://ts.21cn.com/tousu/show/id/1344351","申请提前还款")</f>
        <v>申请提前还款</v>
      </c>
      <c r="C12921" s="2" t="s">
        <v>9</v>
      </c>
      <c r="D12921" s="2" t="s">
        <v>10</v>
      </c>
      <c r="E12921" s="2" t="str">
        <f>HYPERLINK("http://ts.21cn.com/tousu/show/id/1344351","http://ts.21cn.com/tousu/show/id/1344351")</f>
        <v>http://ts.21cn.com/tousu/show/id/1344351</v>
      </c>
      <c r="F12921" s="2" t="s">
        <v>11</v>
      </c>
      <c r="G12921" s="2" t="s">
        <v>18746</v>
      </c>
      <c r="H12921" s="2" t="s">
        <v>18747</v>
      </c>
    </row>
    <row r="12922" spans="1:8" ht="25.05" customHeight="1" x14ac:dyDescent="0.25">
      <c r="A12922" s="2" t="s">
        <v>8</v>
      </c>
      <c r="B12922" s="2" t="str">
        <f>HYPERLINK("http://ts.21cn.com/tousu/show/id/1344352","蘑菇街平台白付美非法催收")</f>
        <v>蘑菇街平台白付美非法催收</v>
      </c>
      <c r="C12922" s="2" t="s">
        <v>9</v>
      </c>
      <c r="D12922" s="2" t="s">
        <v>10</v>
      </c>
      <c r="E12922" s="2" t="str">
        <f>HYPERLINK("http://ts.21cn.com/tousu/show/id/1344352","http://ts.21cn.com/tousu/show/id/1344352")</f>
        <v>http://ts.21cn.com/tousu/show/id/1344352</v>
      </c>
      <c r="F12922" s="2" t="s">
        <v>11</v>
      </c>
      <c r="G12922" s="2" t="s">
        <v>18744</v>
      </c>
      <c r="H12922" s="2" t="s">
        <v>18745</v>
      </c>
    </row>
    <row r="12923" spans="1:8" ht="25.05" customHeight="1" x14ac:dyDescent="0.25">
      <c r="A12923" s="2" t="s">
        <v>8</v>
      </c>
      <c r="B12923" s="2" t="str">
        <f>HYPERLINK("http://ts.21cn.com/tousu/show/id/1344354","玖富叮当高利贷，暴力催收，合同欺诈")</f>
        <v>玖富叮当高利贷，暴力催收，合同欺诈</v>
      </c>
      <c r="C12923" s="2" t="s">
        <v>9</v>
      </c>
      <c r="D12923" s="2" t="s">
        <v>10</v>
      </c>
      <c r="E12923" s="2" t="str">
        <f>HYPERLINK("http://ts.21cn.com/tousu/show/id/1344354","http://ts.21cn.com/tousu/show/id/1344354")</f>
        <v>http://ts.21cn.com/tousu/show/id/1344354</v>
      </c>
      <c r="F12923" s="2" t="s">
        <v>11</v>
      </c>
      <c r="G12923" s="2" t="s">
        <v>18741</v>
      </c>
      <c r="H12923" s="2" t="s">
        <v>18742</v>
      </c>
    </row>
    <row r="12924" spans="1:8" ht="25.05" customHeight="1" x14ac:dyDescent="0.25">
      <c r="A12924" s="2" t="s">
        <v>8</v>
      </c>
      <c r="B12924" s="2" t="str">
        <f>HYPERLINK("http://ts.21cn.com/tousu/show/id/1344353","龙虾分期泄漏客户信息")</f>
        <v>龙虾分期泄漏客户信息</v>
      </c>
      <c r="C12924" s="2" t="s">
        <v>9</v>
      </c>
      <c r="D12924" s="2" t="s">
        <v>10</v>
      </c>
      <c r="E12924" s="2" t="str">
        <f>HYPERLINK("http://ts.21cn.com/tousu/show/id/1344353","http://ts.21cn.com/tousu/show/id/1344353")</f>
        <v>http://ts.21cn.com/tousu/show/id/1344353</v>
      </c>
      <c r="F12924" s="2" t="s">
        <v>11</v>
      </c>
      <c r="G12924" s="2" t="s">
        <v>18741</v>
      </c>
      <c r="H12924" s="2" t="s">
        <v>18743</v>
      </c>
    </row>
    <row r="12925" spans="1:8" ht="25.05" customHeight="1" x14ac:dyDescent="0.25">
      <c r="A12925" s="2" t="s">
        <v>8</v>
      </c>
      <c r="B12925" s="2" t="str">
        <f>HYPERLINK("http://ts.21cn.com/tousu/show/id/1344355","潭州教育退课难")</f>
        <v>潭州教育退课难</v>
      </c>
      <c r="C12925" s="2" t="s">
        <v>9</v>
      </c>
      <c r="D12925" s="2" t="s">
        <v>10</v>
      </c>
      <c r="E12925" s="2" t="str">
        <f>HYPERLINK("http://ts.21cn.com/tousu/show/id/1344355","http://ts.21cn.com/tousu/show/id/1344355")</f>
        <v>http://ts.21cn.com/tousu/show/id/1344355</v>
      </c>
      <c r="F12925" s="2" t="s">
        <v>11</v>
      </c>
      <c r="G12925" s="2" t="s">
        <v>18739</v>
      </c>
      <c r="H12925" s="2" t="s">
        <v>18740</v>
      </c>
    </row>
    <row r="12926" spans="1:8" ht="25.05" customHeight="1" x14ac:dyDescent="0.25">
      <c r="A12926" s="2" t="s">
        <v>8</v>
      </c>
      <c r="B12926" s="2" t="str">
        <f>HYPERLINK("http://ts.21cn.com/tousu/show/id/1344356","投诉慧金宝违规")</f>
        <v>投诉慧金宝违规</v>
      </c>
      <c r="C12926" s="2" t="s">
        <v>9</v>
      </c>
      <c r="D12926" s="2" t="s">
        <v>10</v>
      </c>
      <c r="E12926" s="2" t="str">
        <f>HYPERLINK("http://ts.21cn.com/tousu/show/id/1344356","http://ts.21cn.com/tousu/show/id/1344356")</f>
        <v>http://ts.21cn.com/tousu/show/id/1344356</v>
      </c>
      <c r="F12926" s="2" t="s">
        <v>11</v>
      </c>
      <c r="G12926" s="2" t="s">
        <v>18737</v>
      </c>
      <c r="H12926" s="2" t="s">
        <v>18738</v>
      </c>
    </row>
    <row r="12927" spans="1:8" ht="25.05" customHeight="1" x14ac:dyDescent="0.25">
      <c r="A12927" s="2" t="s">
        <v>8</v>
      </c>
      <c r="B12927" s="2" t="str">
        <f>HYPERLINK("http://ts.21cn.com/tousu/show/id/1344335","小黑鲨714高利贷威胁催收")</f>
        <v>小黑鲨714高利贷威胁催收</v>
      </c>
      <c r="C12927" s="2" t="s">
        <v>9</v>
      </c>
      <c r="D12927" s="2" t="s">
        <v>10</v>
      </c>
      <c r="E12927" s="2" t="str">
        <f>HYPERLINK("http://ts.21cn.com/tousu/show/id/1344335","http://ts.21cn.com/tousu/show/id/1344335")</f>
        <v>http://ts.21cn.com/tousu/show/id/1344335</v>
      </c>
      <c r="F12927" s="2" t="s">
        <v>11</v>
      </c>
      <c r="G12927" s="2" t="s">
        <v>18735</v>
      </c>
      <c r="H12927" s="2" t="s">
        <v>18736</v>
      </c>
    </row>
    <row r="12928" spans="1:8" ht="25.05" customHeight="1" x14ac:dyDescent="0.25">
      <c r="A12928" s="2" t="s">
        <v>8</v>
      </c>
      <c r="B12928" s="2" t="str">
        <f>HYPERLINK("http://ts.21cn.com/tousu/show/id/1344357","协商之中，联系通讯录，暴力催收")</f>
        <v>协商之中，联系通讯录，暴力催收</v>
      </c>
      <c r="C12928" s="2" t="s">
        <v>9</v>
      </c>
      <c r="D12928" s="2" t="s">
        <v>10</v>
      </c>
      <c r="E12928" s="2" t="str">
        <f>HYPERLINK("http://ts.21cn.com/tousu/show/id/1344357","http://ts.21cn.com/tousu/show/id/1344357")</f>
        <v>http://ts.21cn.com/tousu/show/id/1344357</v>
      </c>
      <c r="F12928" s="2" t="s">
        <v>11</v>
      </c>
      <c r="G12928" s="2" t="s">
        <v>18733</v>
      </c>
      <c r="H12928" s="2" t="s">
        <v>18734</v>
      </c>
    </row>
    <row r="12929" spans="1:8" ht="25.05" customHeight="1" x14ac:dyDescent="0.25">
      <c r="A12929" s="2" t="s">
        <v>8</v>
      </c>
      <c r="B12929" s="2" t="str">
        <f>HYPERLINK("http://ts.21cn.com/tousu/show/id/1344358","鱼米分期涉嫌套路贷高利贷暴力催收")</f>
        <v>鱼米分期涉嫌套路贷高利贷暴力催收</v>
      </c>
      <c r="C12929" s="2" t="s">
        <v>9</v>
      </c>
      <c r="D12929" s="2" t="s">
        <v>10</v>
      </c>
      <c r="E12929" s="2" t="str">
        <f>HYPERLINK("http://ts.21cn.com/tousu/show/id/1344358","http://ts.21cn.com/tousu/show/id/1344358")</f>
        <v>http://ts.21cn.com/tousu/show/id/1344358</v>
      </c>
      <c r="F12929" s="2" t="s">
        <v>11</v>
      </c>
      <c r="G12929" s="2" t="s">
        <v>18731</v>
      </c>
      <c r="H12929" s="2" t="s">
        <v>18732</v>
      </c>
    </row>
    <row r="12930" spans="1:8" ht="25.05" customHeight="1" x14ac:dyDescent="0.25">
      <c r="A12930" s="2" t="s">
        <v>8</v>
      </c>
      <c r="B12930" s="2" t="str">
        <f>HYPERLINK("http://ts.21cn.com/tousu/show/id/1344359","微信收了一笔钱，微信支付就被冻结，里面的钱取不出来")</f>
        <v>微信收了一笔钱，微信支付就被冻结，里面的钱取不出来</v>
      </c>
      <c r="C12930" s="2" t="s">
        <v>9</v>
      </c>
      <c r="D12930" s="2" t="s">
        <v>10</v>
      </c>
      <c r="E12930" s="2" t="str">
        <f>HYPERLINK("http://ts.21cn.com/tousu/show/id/1344359","http://ts.21cn.com/tousu/show/id/1344359")</f>
        <v>http://ts.21cn.com/tousu/show/id/1344359</v>
      </c>
      <c r="F12930" s="2" t="s">
        <v>11</v>
      </c>
      <c r="G12930" s="2" t="s">
        <v>18729</v>
      </c>
      <c r="H12930" s="2" t="s">
        <v>18730</v>
      </c>
    </row>
    <row r="12931" spans="1:8" ht="25.05" customHeight="1" x14ac:dyDescent="0.25">
      <c r="A12931" s="2" t="s">
        <v>8</v>
      </c>
      <c r="B12931" s="2" t="str">
        <f>HYPERLINK("http://ts.21cn.com/tousu/show/id/1344360","聚富分期恶意扣款")</f>
        <v>聚富分期恶意扣款</v>
      </c>
      <c r="C12931" s="2" t="s">
        <v>9</v>
      </c>
      <c r="D12931" s="2" t="s">
        <v>10</v>
      </c>
      <c r="E12931" s="2" t="str">
        <f>HYPERLINK("http://ts.21cn.com/tousu/show/id/1344360","http://ts.21cn.com/tousu/show/id/1344360")</f>
        <v>http://ts.21cn.com/tousu/show/id/1344360</v>
      </c>
      <c r="F12931" s="2" t="s">
        <v>11</v>
      </c>
      <c r="G12931" s="2" t="s">
        <v>18727</v>
      </c>
      <c r="H12931" s="2" t="s">
        <v>18728</v>
      </c>
    </row>
    <row r="12932" spans="1:8" ht="25.05" customHeight="1" x14ac:dyDescent="0.25">
      <c r="A12932" s="2" t="s">
        <v>8</v>
      </c>
      <c r="B12932" s="2" t="str">
        <f>HYPERLINK("http://ts.21cn.com/tousu/show/id/1344361","立借暴力催收，")</f>
        <v>立借暴力催收，</v>
      </c>
      <c r="C12932" s="2" t="s">
        <v>9</v>
      </c>
      <c r="D12932" s="2" t="s">
        <v>10</v>
      </c>
      <c r="E12932" s="2" t="str">
        <f>HYPERLINK("http://ts.21cn.com/tousu/show/id/1344361","http://ts.21cn.com/tousu/show/id/1344361")</f>
        <v>http://ts.21cn.com/tousu/show/id/1344361</v>
      </c>
      <c r="F12932" s="2" t="s">
        <v>11</v>
      </c>
      <c r="G12932" s="2" t="s">
        <v>18725</v>
      </c>
      <c r="H12932" s="2" t="s">
        <v>18726</v>
      </c>
    </row>
    <row r="12933" spans="1:8" ht="25.05" customHeight="1" x14ac:dyDescent="0.25">
      <c r="A12933" s="2" t="s">
        <v>8</v>
      </c>
      <c r="B12933" s="2" t="str">
        <f>HYPERLINK("http://ts.21cn.com/tousu/show/id/1344362","高利贷，砍头息")</f>
        <v>高利贷，砍头息</v>
      </c>
      <c r="C12933" s="2" t="s">
        <v>9</v>
      </c>
      <c r="D12933" s="2" t="s">
        <v>10</v>
      </c>
      <c r="E12933" s="2" t="str">
        <f>HYPERLINK("http://ts.21cn.com/tousu/show/id/1344362","http://ts.21cn.com/tousu/show/id/1344362")</f>
        <v>http://ts.21cn.com/tousu/show/id/1344362</v>
      </c>
      <c r="F12933" s="2" t="s">
        <v>11</v>
      </c>
      <c r="G12933" s="2" t="s">
        <v>18723</v>
      </c>
      <c r="H12933" s="2" t="s">
        <v>18724</v>
      </c>
    </row>
    <row r="12934" spans="1:8" ht="25.05" customHeight="1" x14ac:dyDescent="0.25">
      <c r="A12934" s="2" t="s">
        <v>8</v>
      </c>
      <c r="B12934" s="2" t="str">
        <f>HYPERLINK("http://ts.21cn.com/tousu/show/id/1344363","钱站高利贷阴阳合同")</f>
        <v>钱站高利贷阴阳合同</v>
      </c>
      <c r="C12934" s="2" t="s">
        <v>9</v>
      </c>
      <c r="D12934" s="2" t="s">
        <v>10</v>
      </c>
      <c r="E12934" s="2" t="str">
        <f>HYPERLINK("http://ts.21cn.com/tousu/show/id/1344363","http://ts.21cn.com/tousu/show/id/1344363")</f>
        <v>http://ts.21cn.com/tousu/show/id/1344363</v>
      </c>
      <c r="F12934" s="2" t="s">
        <v>11</v>
      </c>
      <c r="G12934" s="2" t="s">
        <v>18721</v>
      </c>
      <c r="H12934" s="2" t="s">
        <v>18722</v>
      </c>
    </row>
    <row r="12935" spans="1:8" ht="25.05" customHeight="1" x14ac:dyDescent="0.25">
      <c r="A12935" s="2" t="s">
        <v>8</v>
      </c>
      <c r="B12935" s="2" t="str">
        <f>HYPERLINK("http://ts.21cn.com/tousu/show/id/1344364","豹子贷无故扣钱不需要还要扣")</f>
        <v>豹子贷无故扣钱不需要还要扣</v>
      </c>
      <c r="C12935" s="2" t="s">
        <v>9</v>
      </c>
      <c r="D12935" s="2" t="s">
        <v>10</v>
      </c>
      <c r="E12935" s="2" t="str">
        <f>HYPERLINK("http://ts.21cn.com/tousu/show/id/1344364","http://ts.21cn.com/tousu/show/id/1344364")</f>
        <v>http://ts.21cn.com/tousu/show/id/1344364</v>
      </c>
      <c r="F12935" s="2" t="s">
        <v>11</v>
      </c>
      <c r="G12935" s="2" t="s">
        <v>18719</v>
      </c>
      <c r="H12935" s="2" t="s">
        <v>18720</v>
      </c>
    </row>
    <row r="12936" spans="1:8" ht="25.05" customHeight="1" x14ac:dyDescent="0.25">
      <c r="A12936" s="2" t="s">
        <v>8</v>
      </c>
      <c r="B12936" s="2" t="str">
        <f>HYPERLINK("http://ts.21cn.com/tousu/show/id/1344366","银盛支付公司Pos收款未到账强制挪用我们商户的钱，不同意无息分期，要求全款")</f>
        <v>银盛支付公司Pos收款未到账强制挪用我们商户的钱，不同意无息分期，要求全款</v>
      </c>
      <c r="C12936" s="2" t="s">
        <v>9</v>
      </c>
      <c r="D12936" s="2" t="s">
        <v>10</v>
      </c>
      <c r="E12936" s="2" t="str">
        <f>HYPERLINK("http://ts.21cn.com/tousu/show/id/1344366","http://ts.21cn.com/tousu/show/id/1344366")</f>
        <v>http://ts.21cn.com/tousu/show/id/1344366</v>
      </c>
      <c r="F12936" s="2" t="s">
        <v>11</v>
      </c>
      <c r="G12936" s="2" t="s">
        <v>18717</v>
      </c>
      <c r="H12936" s="2" t="s">
        <v>18718</v>
      </c>
    </row>
    <row r="12937" spans="1:8" ht="25.05" customHeight="1" x14ac:dyDescent="0.25">
      <c r="A12937" s="2" t="s">
        <v>8</v>
      </c>
      <c r="B12937" s="2" t="str">
        <f>HYPERLINK("http://ts.21cn.com/tousu/show/id/1344368","微粒贷逾期不经过本人同意私自扣款")</f>
        <v>微粒贷逾期不经过本人同意私自扣款</v>
      </c>
      <c r="C12937" s="2" t="s">
        <v>9</v>
      </c>
      <c r="D12937" s="2" t="s">
        <v>10</v>
      </c>
      <c r="E12937" s="2" t="str">
        <f>HYPERLINK("http://ts.21cn.com/tousu/show/id/1344368","http://ts.21cn.com/tousu/show/id/1344368")</f>
        <v>http://ts.21cn.com/tousu/show/id/1344368</v>
      </c>
      <c r="F12937" s="2" t="s">
        <v>11</v>
      </c>
      <c r="G12937" s="2" t="s">
        <v>18715</v>
      </c>
      <c r="H12937" s="2" t="s">
        <v>18716</v>
      </c>
    </row>
    <row r="12938" spans="1:8" ht="25.05" customHeight="1" x14ac:dyDescent="0.25">
      <c r="A12938" s="2" t="s">
        <v>8</v>
      </c>
      <c r="B12938" s="2" t="str">
        <f>HYPERLINK("http://ts.21cn.com/tousu/show/id/1344370","莫名骚扰")</f>
        <v>莫名骚扰</v>
      </c>
      <c r="C12938" s="2" t="s">
        <v>34</v>
      </c>
      <c r="D12938" s="2" t="s">
        <v>10</v>
      </c>
      <c r="E12938" s="2" t="str">
        <f>HYPERLINK("http://ts.21cn.com/tousu/show/id/1344370","http://ts.21cn.com/tousu/show/id/1344370")</f>
        <v>http://ts.21cn.com/tousu/show/id/1344370</v>
      </c>
      <c r="F12938" s="2" t="s">
        <v>11</v>
      </c>
      <c r="G12938" s="2" t="s">
        <v>18713</v>
      </c>
      <c r="H12938" s="2" t="s">
        <v>18714</v>
      </c>
    </row>
    <row r="12939" spans="1:8" ht="25.05" customHeight="1" x14ac:dyDescent="0.25">
      <c r="A12939" s="2" t="s">
        <v>8</v>
      </c>
      <c r="B12939" s="2" t="str">
        <f>HYPERLINK("http://ts.21cn.com/tousu/show/id/1344371","暴力催收且高利贷")</f>
        <v>暴力催收且高利贷</v>
      </c>
      <c r="C12939" s="2" t="s">
        <v>9</v>
      </c>
      <c r="D12939" s="2" t="s">
        <v>10</v>
      </c>
      <c r="E12939" s="2" t="str">
        <f>HYPERLINK("http://ts.21cn.com/tousu/show/id/1344371","http://ts.21cn.com/tousu/show/id/1344371")</f>
        <v>http://ts.21cn.com/tousu/show/id/1344371</v>
      </c>
      <c r="F12939" s="2" t="s">
        <v>11</v>
      </c>
      <c r="G12939" s="2" t="s">
        <v>18710</v>
      </c>
      <c r="H12939" s="2" t="s">
        <v>18711</v>
      </c>
    </row>
    <row r="12940" spans="1:8" ht="25.05" customHeight="1" x14ac:dyDescent="0.25">
      <c r="A12940" s="2" t="s">
        <v>8</v>
      </c>
      <c r="B12940" s="2" t="str">
        <f>HYPERLINK("http://ts.21cn.com/tousu/show/id/1343912","上海富友支付服务股份有限公司违规为第三方714高炮平台提供支付渠道")</f>
        <v>上海富友支付服务股份有限公司违规为第三方714高炮平台提供支付渠道</v>
      </c>
      <c r="C12940" s="2" t="s">
        <v>9</v>
      </c>
      <c r="D12940" s="2" t="s">
        <v>10</v>
      </c>
      <c r="E12940" s="2" t="str">
        <f>HYPERLINK("http://ts.21cn.com/tousu/show/id/1343912","http://ts.21cn.com/tousu/show/id/1343912")</f>
        <v>http://ts.21cn.com/tousu/show/id/1343912</v>
      </c>
      <c r="F12940" s="2" t="s">
        <v>11</v>
      </c>
      <c r="G12940" s="2" t="s">
        <v>18710</v>
      </c>
      <c r="H12940" s="2" t="s">
        <v>18712</v>
      </c>
    </row>
    <row r="12941" spans="1:8" ht="25.05" customHeight="1" x14ac:dyDescent="0.25">
      <c r="A12941" s="2" t="s">
        <v>8</v>
      </c>
      <c r="B12941" s="2" t="str">
        <f>HYPERLINK("http://ts.21cn.com/tousu/show/id/1344372","盗取个人信息")</f>
        <v>盗取个人信息</v>
      </c>
      <c r="C12941" s="2" t="s">
        <v>9</v>
      </c>
      <c r="D12941" s="2" t="s">
        <v>10</v>
      </c>
      <c r="E12941" s="2" t="str">
        <f>HYPERLINK("http://ts.21cn.com/tousu/show/id/1344372","http://ts.21cn.com/tousu/show/id/1344372")</f>
        <v>http://ts.21cn.com/tousu/show/id/1344372</v>
      </c>
      <c r="F12941" s="2" t="s">
        <v>11</v>
      </c>
      <c r="G12941" s="2" t="s">
        <v>18708</v>
      </c>
      <c r="H12941" s="2" t="s">
        <v>18709</v>
      </c>
    </row>
    <row r="12942" spans="1:8" ht="25.05" customHeight="1" x14ac:dyDescent="0.25">
      <c r="A12942" s="2" t="s">
        <v>8</v>
      </c>
      <c r="B12942" s="2" t="str">
        <f>HYPERLINK("http://ts.21cn.com/tousu/show/id/1344373","投诉凡普信贷砍头息")</f>
        <v>投诉凡普信贷砍头息</v>
      </c>
      <c r="C12942" s="2" t="s">
        <v>9</v>
      </c>
      <c r="D12942" s="2" t="s">
        <v>10</v>
      </c>
      <c r="E12942" s="2" t="str">
        <f>HYPERLINK("http://ts.21cn.com/tousu/show/id/1344373","http://ts.21cn.com/tousu/show/id/1344373")</f>
        <v>http://ts.21cn.com/tousu/show/id/1344373</v>
      </c>
      <c r="F12942" s="2" t="s">
        <v>11</v>
      </c>
      <c r="G12942" s="2" t="s">
        <v>18706</v>
      </c>
      <c r="H12942" s="2" t="s">
        <v>18707</v>
      </c>
    </row>
    <row r="12943" spans="1:8" ht="25.05" customHeight="1" x14ac:dyDescent="0.25">
      <c r="A12943" s="2" t="s">
        <v>8</v>
      </c>
      <c r="B12943" s="2" t="str">
        <f>HYPERLINK("http://ts.21cn.com/tousu/show/id/1344374","来分期一直在用，每次正常还款，现在有额度却借不出来。")</f>
        <v>来分期一直在用，每次正常还款，现在有额度却借不出来。</v>
      </c>
      <c r="C12943" s="2" t="s">
        <v>34</v>
      </c>
      <c r="D12943" s="2" t="s">
        <v>10</v>
      </c>
      <c r="E12943" s="2" t="str">
        <f>HYPERLINK("http://ts.21cn.com/tousu/show/id/1344374","http://ts.21cn.com/tousu/show/id/1344374")</f>
        <v>http://ts.21cn.com/tousu/show/id/1344374</v>
      </c>
      <c r="F12943" s="2" t="s">
        <v>11</v>
      </c>
      <c r="G12943" s="2" t="s">
        <v>18704</v>
      </c>
      <c r="H12943" s="2" t="s">
        <v>18705</v>
      </c>
    </row>
    <row r="12944" spans="1:8" ht="25.05" customHeight="1" x14ac:dyDescent="0.25">
      <c r="A12944" s="2" t="s">
        <v>8</v>
      </c>
      <c r="B12944" s="2" t="str">
        <f>HYPERLINK("http://ts.21cn.com/tousu/show/id/1344367","嘀嗒出行失约平台包庇司机")</f>
        <v>嘀嗒出行失约平台包庇司机</v>
      </c>
      <c r="C12944" s="2" t="s">
        <v>9</v>
      </c>
      <c r="D12944" s="2" t="s">
        <v>10</v>
      </c>
      <c r="E12944" s="2" t="str">
        <f>HYPERLINK("http://ts.21cn.com/tousu/show/id/1344367","http://ts.21cn.com/tousu/show/id/1344367")</f>
        <v>http://ts.21cn.com/tousu/show/id/1344367</v>
      </c>
      <c r="F12944" s="2" t="s">
        <v>11</v>
      </c>
      <c r="G12944" s="2" t="s">
        <v>18702</v>
      </c>
      <c r="H12944" s="2" t="s">
        <v>18703</v>
      </c>
    </row>
    <row r="12945" spans="1:8" ht="25.05" customHeight="1" x14ac:dyDescent="0.25">
      <c r="A12945" s="2" t="s">
        <v>8</v>
      </c>
      <c r="B12945" s="2" t="str">
        <f>HYPERLINK("http://ts.21cn.com/tousu/show/id/1344376","度小满金融进行暴力催收，对我以及我的家人进行威胁")</f>
        <v>度小满金融进行暴力催收，对我以及我的家人进行威胁</v>
      </c>
      <c r="C12945" s="2" t="s">
        <v>9</v>
      </c>
      <c r="D12945" s="2" t="s">
        <v>10</v>
      </c>
      <c r="E12945" s="2" t="str">
        <f>HYPERLINK("http://ts.21cn.com/tousu/show/id/1344376","http://ts.21cn.com/tousu/show/id/1344376")</f>
        <v>http://ts.21cn.com/tousu/show/id/1344376</v>
      </c>
      <c r="F12945" s="2" t="s">
        <v>11</v>
      </c>
      <c r="G12945" s="2" t="s">
        <v>18700</v>
      </c>
      <c r="H12945" s="2" t="s">
        <v>18701</v>
      </c>
    </row>
    <row r="12946" spans="1:8" ht="25.05" customHeight="1" x14ac:dyDescent="0.25">
      <c r="A12946" s="2" t="s">
        <v>8</v>
      </c>
      <c r="B12946" s="2" t="str">
        <f>HYPERLINK("http://ts.21cn.com/tousu/show/id/1344377","胡乱扣我银行卡里的钱")</f>
        <v>胡乱扣我银行卡里的钱</v>
      </c>
      <c r="C12946" s="2" t="s">
        <v>34</v>
      </c>
      <c r="D12946" s="2" t="s">
        <v>10</v>
      </c>
      <c r="E12946" s="2" t="str">
        <f>HYPERLINK("http://ts.21cn.com/tousu/show/id/1344377","http://ts.21cn.com/tousu/show/id/1344377")</f>
        <v>http://ts.21cn.com/tousu/show/id/1344377</v>
      </c>
      <c r="F12946" s="2" t="s">
        <v>11</v>
      </c>
      <c r="G12946" s="2" t="s">
        <v>18698</v>
      </c>
      <c r="H12946" s="2" t="s">
        <v>18699</v>
      </c>
    </row>
    <row r="12947" spans="1:8" ht="25.05" customHeight="1" x14ac:dyDescent="0.25">
      <c r="A12947" s="2" t="s">
        <v>8</v>
      </c>
      <c r="B12947" s="2" t="str">
        <f>HYPERLINK("http://ts.21cn.com/tousu/show/id/1344381","物品质量有问题没有解决，态度敷衍")</f>
        <v>物品质量有问题没有解决，态度敷衍</v>
      </c>
      <c r="C12947" s="2" t="s">
        <v>9</v>
      </c>
      <c r="D12947" s="2" t="s">
        <v>10</v>
      </c>
      <c r="E12947" s="2" t="str">
        <f>HYPERLINK("http://ts.21cn.com/tousu/show/id/1344381","http://ts.21cn.com/tousu/show/id/1344381")</f>
        <v>http://ts.21cn.com/tousu/show/id/1344381</v>
      </c>
      <c r="F12947" s="2" t="s">
        <v>11</v>
      </c>
      <c r="G12947" s="2" t="s">
        <v>18696</v>
      </c>
      <c r="H12947" s="2" t="s">
        <v>18697</v>
      </c>
    </row>
    <row r="12948" spans="1:8" ht="25.05" customHeight="1" x14ac:dyDescent="0.25">
      <c r="A12948" s="2" t="s">
        <v>8</v>
      </c>
      <c r="B12948" s="2" t="str">
        <f>HYPERLINK("http://ts.21cn.com/tousu/show/id/1344378","小花钱包暴力催收恶意群发短信和生活照片")</f>
        <v>小花钱包暴力催收恶意群发短信和生活照片</v>
      </c>
      <c r="C12948" s="2" t="s">
        <v>9</v>
      </c>
      <c r="D12948" s="2" t="s">
        <v>10</v>
      </c>
      <c r="E12948" s="2" t="str">
        <f>HYPERLINK("http://ts.21cn.com/tousu/show/id/1344378","http://ts.21cn.com/tousu/show/id/1344378")</f>
        <v>http://ts.21cn.com/tousu/show/id/1344378</v>
      </c>
      <c r="F12948" s="2" t="s">
        <v>11</v>
      </c>
      <c r="G12948" s="2" t="s">
        <v>18694</v>
      </c>
      <c r="H12948" s="2" t="s">
        <v>18695</v>
      </c>
    </row>
    <row r="12949" spans="1:8" ht="25.05" customHeight="1" x14ac:dyDescent="0.25">
      <c r="A12949" s="2" t="s">
        <v>8</v>
      </c>
      <c r="B12949" s="2" t="str">
        <f>HYPERLINK("http://ts.21cn.com/tousu/show/id/1344380","授课不好")</f>
        <v>授课不好</v>
      </c>
      <c r="C12949" s="2" t="s">
        <v>34</v>
      </c>
      <c r="D12949" s="2" t="s">
        <v>10</v>
      </c>
      <c r="E12949" s="2" t="str">
        <f>HYPERLINK("http://ts.21cn.com/tousu/show/id/1344380","http://ts.21cn.com/tousu/show/id/1344380")</f>
        <v>http://ts.21cn.com/tousu/show/id/1344380</v>
      </c>
      <c r="F12949" s="2" t="s">
        <v>11</v>
      </c>
      <c r="G12949" s="2" t="s">
        <v>18692</v>
      </c>
      <c r="H12949" s="2" t="s">
        <v>18693</v>
      </c>
    </row>
    <row r="12950" spans="1:8" ht="25.05" customHeight="1" x14ac:dyDescent="0.25">
      <c r="A12950" s="2" t="s">
        <v>8</v>
      </c>
      <c r="B12950" s="2" t="str">
        <f>HYPERLINK("http://ts.21cn.com/tousu/show/id/1344382","米米罐爆通讯录p图")</f>
        <v>米米罐爆通讯录p图</v>
      </c>
      <c r="C12950" s="2" t="s">
        <v>9</v>
      </c>
      <c r="D12950" s="2" t="s">
        <v>10</v>
      </c>
      <c r="E12950" s="2" t="str">
        <f>HYPERLINK("http://ts.21cn.com/tousu/show/id/1344382","http://ts.21cn.com/tousu/show/id/1344382")</f>
        <v>http://ts.21cn.com/tousu/show/id/1344382</v>
      </c>
      <c r="F12950" s="2" t="s">
        <v>11</v>
      </c>
      <c r="G12950" s="2" t="s">
        <v>18690</v>
      </c>
      <c r="H12950" s="2" t="s">
        <v>18691</v>
      </c>
    </row>
    <row r="12951" spans="1:8" ht="25.05" customHeight="1" x14ac:dyDescent="0.25">
      <c r="A12951" s="2" t="s">
        <v>8</v>
      </c>
      <c r="B12951" s="2" t="str">
        <f>HYPERLINK("http://ts.21cn.com/tousu/show/id/1344383","向钱贷多次砍头息收取会员费且不断骚扰通讯录要求立刻销账且停止此行为")</f>
        <v>向钱贷多次砍头息收取会员费且不断骚扰通讯录要求立刻销账且停止此行为</v>
      </c>
      <c r="C12951" s="2" t="s">
        <v>9</v>
      </c>
      <c r="D12951" s="2" t="s">
        <v>10</v>
      </c>
      <c r="E12951" s="2" t="str">
        <f>HYPERLINK("http://ts.21cn.com/tousu/show/id/1344383","http://ts.21cn.com/tousu/show/id/1344383")</f>
        <v>http://ts.21cn.com/tousu/show/id/1344383</v>
      </c>
      <c r="F12951" s="2" t="s">
        <v>11</v>
      </c>
      <c r="G12951" s="2" t="s">
        <v>18688</v>
      </c>
      <c r="H12951" s="2" t="s">
        <v>18689</v>
      </c>
    </row>
    <row r="12952" spans="1:8" ht="25.05" customHeight="1" x14ac:dyDescent="0.25">
      <c r="A12952" s="2" t="s">
        <v>8</v>
      </c>
      <c r="B12952" s="2" t="str">
        <f>HYPERLINK("http://ts.21cn.com/tousu/show/id/1344384","洋钱罐借款威胁，爆通讯录，高额利息")</f>
        <v>洋钱罐借款威胁，爆通讯录，高额利息</v>
      </c>
      <c r="C12952" s="2" t="s">
        <v>9</v>
      </c>
      <c r="D12952" s="2" t="s">
        <v>10</v>
      </c>
      <c r="E12952" s="2" t="str">
        <f>HYPERLINK("http://ts.21cn.com/tousu/show/id/1344384","http://ts.21cn.com/tousu/show/id/1344384")</f>
        <v>http://ts.21cn.com/tousu/show/id/1344384</v>
      </c>
      <c r="F12952" s="2" t="s">
        <v>11</v>
      </c>
      <c r="G12952" s="2" t="s">
        <v>18686</v>
      </c>
      <c r="H12952" s="2" t="s">
        <v>18687</v>
      </c>
    </row>
    <row r="12953" spans="1:8" ht="25.05" customHeight="1" x14ac:dyDescent="0.25">
      <c r="A12953" s="2" t="s">
        <v>8</v>
      </c>
      <c r="B12953" s="2" t="str">
        <f>HYPERLINK("http://ts.21cn.com/tousu/show/id/1344343","花转转恶意逾期高息套路贷")</f>
        <v>花转转恶意逾期高息套路贷</v>
      </c>
      <c r="C12953" s="2" t="s">
        <v>9</v>
      </c>
      <c r="D12953" s="2" t="s">
        <v>10</v>
      </c>
      <c r="E12953" s="2" t="str">
        <f>HYPERLINK("http://ts.21cn.com/tousu/show/id/1344343","http://ts.21cn.com/tousu/show/id/1344343")</f>
        <v>http://ts.21cn.com/tousu/show/id/1344343</v>
      </c>
      <c r="F12953" s="2" t="s">
        <v>11</v>
      </c>
      <c r="G12953" s="2" t="s">
        <v>18684</v>
      </c>
      <c r="H12953" s="2" t="s">
        <v>18685</v>
      </c>
    </row>
    <row r="12954" spans="1:8" ht="25.05" customHeight="1" x14ac:dyDescent="0.25">
      <c r="A12954" s="2" t="s">
        <v>8</v>
      </c>
      <c r="B12954" s="2" t="str">
        <f>HYPERLINK("http://ts.21cn.com/tousu/show/id/1344385","佰仟金融联合哈尔滨银行高利贷坑人威胁骂人")</f>
        <v>佰仟金融联合哈尔滨银行高利贷坑人威胁骂人</v>
      </c>
      <c r="C12954" s="2" t="s">
        <v>9</v>
      </c>
      <c r="D12954" s="2" t="s">
        <v>10</v>
      </c>
      <c r="E12954" s="2" t="str">
        <f>HYPERLINK("http://ts.21cn.com/tousu/show/id/1344385","http://ts.21cn.com/tousu/show/id/1344385")</f>
        <v>http://ts.21cn.com/tousu/show/id/1344385</v>
      </c>
      <c r="F12954" s="2" t="s">
        <v>11</v>
      </c>
      <c r="G12954" s="2" t="s">
        <v>18682</v>
      </c>
      <c r="H12954" s="2" t="s">
        <v>18683</v>
      </c>
    </row>
    <row r="12955" spans="1:8" ht="25.05" customHeight="1" x14ac:dyDescent="0.25">
      <c r="A12955" s="2" t="s">
        <v>8</v>
      </c>
      <c r="B12955" s="2" t="str">
        <f>HYPERLINK("http://ts.21cn.com/tousu/show/id/1344386","广州立刻出行共享汽车不退还押金")</f>
        <v>广州立刻出行共享汽车不退还押金</v>
      </c>
      <c r="C12955" s="2" t="s">
        <v>9</v>
      </c>
      <c r="D12955" s="2" t="s">
        <v>10</v>
      </c>
      <c r="E12955" s="2" t="str">
        <f>HYPERLINK("http://ts.21cn.com/tousu/show/id/1344386","http://ts.21cn.com/tousu/show/id/1344386")</f>
        <v>http://ts.21cn.com/tousu/show/id/1344386</v>
      </c>
      <c r="F12955" s="2" t="s">
        <v>11</v>
      </c>
      <c r="G12955" s="2" t="s">
        <v>18680</v>
      </c>
      <c r="H12955" s="2" t="s">
        <v>18681</v>
      </c>
    </row>
    <row r="12956" spans="1:8" ht="25.05" customHeight="1" x14ac:dyDescent="0.25">
      <c r="A12956" s="2" t="s">
        <v>8</v>
      </c>
      <c r="B12956" s="2" t="str">
        <f>HYPERLINK("http://ts.21cn.com/tousu/show/id/1344387","钱站高利贷阴阳合同")</f>
        <v>钱站高利贷阴阳合同</v>
      </c>
      <c r="C12956" s="2" t="s">
        <v>9</v>
      </c>
      <c r="D12956" s="2" t="s">
        <v>10</v>
      </c>
      <c r="E12956" s="2" t="str">
        <f>HYPERLINK("http://ts.21cn.com/tousu/show/id/1344387","http://ts.21cn.com/tousu/show/id/1344387")</f>
        <v>http://ts.21cn.com/tousu/show/id/1344387</v>
      </c>
      <c r="F12956" s="2" t="s">
        <v>11</v>
      </c>
      <c r="G12956" s="2" t="s">
        <v>18678</v>
      </c>
      <c r="H12956" s="2" t="s">
        <v>18679</v>
      </c>
    </row>
    <row r="12957" spans="1:8" ht="25.05" customHeight="1" x14ac:dyDescent="0.25">
      <c r="A12957" s="2" t="s">
        <v>8</v>
      </c>
      <c r="B12957" s="2" t="str">
        <f>HYPERLINK("http://ts.21cn.com/tousu/show/id/1344388","被网贷催收恐吓，造成了个人心里障碍，天天担惊受怕，心理有阴影")</f>
        <v>被网贷催收恐吓，造成了个人心里障碍，天天担惊受怕，心理有阴影</v>
      </c>
      <c r="C12957" s="2" t="s">
        <v>9</v>
      </c>
      <c r="D12957" s="2" t="s">
        <v>10</v>
      </c>
      <c r="E12957" s="2" t="str">
        <f>HYPERLINK("http://ts.21cn.com/tousu/show/id/1344388","http://ts.21cn.com/tousu/show/id/1344388")</f>
        <v>http://ts.21cn.com/tousu/show/id/1344388</v>
      </c>
      <c r="F12957" s="2" t="s">
        <v>11</v>
      </c>
      <c r="G12957" s="2" t="s">
        <v>18676</v>
      </c>
      <c r="H12957" s="2" t="s">
        <v>18677</v>
      </c>
    </row>
    <row r="12958" spans="1:8" ht="25.05" customHeight="1" x14ac:dyDescent="0.25">
      <c r="A12958" s="2" t="s">
        <v>8</v>
      </c>
      <c r="B12958" s="2" t="str">
        <f>HYPERLINK("http://ts.21cn.com/tousu/show/id/1344379","催收")</f>
        <v>催收</v>
      </c>
      <c r="C12958" s="2" t="s">
        <v>34</v>
      </c>
      <c r="D12958" s="2" t="s">
        <v>10</v>
      </c>
      <c r="E12958" s="2" t="str">
        <f>HYPERLINK("http://ts.21cn.com/tousu/show/id/1344379","http://ts.21cn.com/tousu/show/id/1344379")</f>
        <v>http://ts.21cn.com/tousu/show/id/1344379</v>
      </c>
      <c r="F12958" s="2" t="s">
        <v>11</v>
      </c>
      <c r="G12958" s="2" t="s">
        <v>18674</v>
      </c>
      <c r="H12958" s="2" t="s">
        <v>18675</v>
      </c>
    </row>
    <row r="12959" spans="1:8" ht="25.05" customHeight="1" x14ac:dyDescent="0.25">
      <c r="A12959" s="2" t="s">
        <v>8</v>
      </c>
      <c r="B12959" s="2" t="str">
        <f>HYPERLINK("http://ts.21cn.com/tousu/show/id/1344389","滴滴车主更改城市后服务分下降")</f>
        <v>滴滴车主更改城市后服务分下降</v>
      </c>
      <c r="C12959" s="2" t="s">
        <v>34</v>
      </c>
      <c r="D12959" s="2" t="s">
        <v>10</v>
      </c>
      <c r="E12959" s="2" t="str">
        <f>HYPERLINK("http://ts.21cn.com/tousu/show/id/1344389","http://ts.21cn.com/tousu/show/id/1344389")</f>
        <v>http://ts.21cn.com/tousu/show/id/1344389</v>
      </c>
      <c r="F12959" s="2" t="s">
        <v>11</v>
      </c>
      <c r="G12959" s="2" t="s">
        <v>18672</v>
      </c>
      <c r="H12959" s="2" t="s">
        <v>18673</v>
      </c>
    </row>
    <row r="12960" spans="1:8" ht="25.05" customHeight="1" x14ac:dyDescent="0.25">
      <c r="A12960" s="2" t="s">
        <v>8</v>
      </c>
      <c r="B12960" s="2" t="str">
        <f>HYPERLINK("http://ts.21cn.com/tousu/show/id/1344391","合同欺诈，私自扣款")</f>
        <v>合同欺诈，私自扣款</v>
      </c>
      <c r="C12960" s="2" t="s">
        <v>9</v>
      </c>
      <c r="D12960" s="2" t="s">
        <v>10</v>
      </c>
      <c r="E12960" s="2" t="str">
        <f>HYPERLINK("http://ts.21cn.com/tousu/show/id/1344391","http://ts.21cn.com/tousu/show/id/1344391")</f>
        <v>http://ts.21cn.com/tousu/show/id/1344391</v>
      </c>
      <c r="F12960" s="2" t="s">
        <v>11</v>
      </c>
      <c r="G12960" s="2" t="s">
        <v>18670</v>
      </c>
      <c r="H12960" s="2" t="s">
        <v>18671</v>
      </c>
    </row>
    <row r="12961" spans="1:8" ht="25.05" customHeight="1" x14ac:dyDescent="0.25">
      <c r="A12961" s="2" t="s">
        <v>8</v>
      </c>
      <c r="B12961" s="2" t="str">
        <f>HYPERLINK("http://ts.21cn.com/tousu/show/id/1344325","自由摩卡的诺和信用计划砍头息，高利贷")</f>
        <v>自由摩卡的诺和信用计划砍头息，高利贷</v>
      </c>
      <c r="C12961" s="2" t="s">
        <v>9</v>
      </c>
      <c r="D12961" s="2" t="s">
        <v>10</v>
      </c>
      <c r="E12961" s="2" t="str">
        <f>HYPERLINK("http://ts.21cn.com/tousu/show/id/1344325","http://ts.21cn.com/tousu/show/id/1344325")</f>
        <v>http://ts.21cn.com/tousu/show/id/1344325</v>
      </c>
      <c r="F12961" s="2" t="s">
        <v>11</v>
      </c>
      <c r="G12961" s="2" t="s">
        <v>18668</v>
      </c>
      <c r="H12961" s="2" t="s">
        <v>18669</v>
      </c>
    </row>
    <row r="12962" spans="1:8" ht="25.05" customHeight="1" x14ac:dyDescent="0.25">
      <c r="A12962" s="2" t="s">
        <v>8</v>
      </c>
      <c r="B12962" s="2" t="str">
        <f>HYPERLINK("http://ts.21cn.com/tousu/show/id/1344392","微品分期变相收取高额砍头息")</f>
        <v>微品分期变相收取高额砍头息</v>
      </c>
      <c r="C12962" s="2" t="s">
        <v>9</v>
      </c>
      <c r="D12962" s="2" t="s">
        <v>10</v>
      </c>
      <c r="E12962" s="2" t="str">
        <f>HYPERLINK("http://ts.21cn.com/tousu/show/id/1344392","http://ts.21cn.com/tousu/show/id/1344392")</f>
        <v>http://ts.21cn.com/tousu/show/id/1344392</v>
      </c>
      <c r="F12962" s="2" t="s">
        <v>11</v>
      </c>
      <c r="G12962" s="2" t="s">
        <v>18666</v>
      </c>
      <c r="H12962" s="2" t="s">
        <v>18667</v>
      </c>
    </row>
    <row r="12963" spans="1:8" ht="25.05" customHeight="1" x14ac:dyDescent="0.25">
      <c r="A12963" s="2" t="s">
        <v>8</v>
      </c>
      <c r="B12963" s="2" t="str">
        <f>HYPERLINK("http://ts.21cn.com/tousu/show/id/1344394","玖富暴击催收，威胁")</f>
        <v>玖富暴击催收，威胁</v>
      </c>
      <c r="C12963" s="2" t="s">
        <v>9</v>
      </c>
      <c r="D12963" s="2" t="s">
        <v>10</v>
      </c>
      <c r="E12963" s="2" t="str">
        <f>HYPERLINK("http://ts.21cn.com/tousu/show/id/1344394","http://ts.21cn.com/tousu/show/id/1344394")</f>
        <v>http://ts.21cn.com/tousu/show/id/1344394</v>
      </c>
      <c r="F12963" s="2" t="s">
        <v>11</v>
      </c>
      <c r="G12963" s="2" t="s">
        <v>18664</v>
      </c>
      <c r="H12963" s="2" t="s">
        <v>18665</v>
      </c>
    </row>
    <row r="12964" spans="1:8" ht="25.05" customHeight="1" x14ac:dyDescent="0.25">
      <c r="A12964" s="2" t="s">
        <v>8</v>
      </c>
      <c r="B12964" s="2" t="str">
        <f>HYPERLINK("http://ts.21cn.com/tousu/show/id/1344395","新橙优品砍头息")</f>
        <v>新橙优品砍头息</v>
      </c>
      <c r="C12964" s="2" t="s">
        <v>9</v>
      </c>
      <c r="D12964" s="2" t="s">
        <v>10</v>
      </c>
      <c r="E12964" s="2" t="str">
        <f>HYPERLINK("http://ts.21cn.com/tousu/show/id/1344395","http://ts.21cn.com/tousu/show/id/1344395")</f>
        <v>http://ts.21cn.com/tousu/show/id/1344395</v>
      </c>
      <c r="F12964" s="2" t="s">
        <v>11</v>
      </c>
      <c r="G12964" s="2" t="s">
        <v>18662</v>
      </c>
      <c r="H12964" s="2" t="s">
        <v>18663</v>
      </c>
    </row>
    <row r="12965" spans="1:8" ht="25.05" customHeight="1" x14ac:dyDescent="0.25">
      <c r="A12965" s="2" t="s">
        <v>8</v>
      </c>
      <c r="B12965" s="2" t="str">
        <f>HYPERLINK("http://ts.21cn.com/tousu/show/id/1344397","立借高利贷")</f>
        <v>立借高利贷</v>
      </c>
      <c r="C12965" s="2" t="s">
        <v>9</v>
      </c>
      <c r="D12965" s="2" t="s">
        <v>10</v>
      </c>
      <c r="E12965" s="2" t="str">
        <f>HYPERLINK("http://ts.21cn.com/tousu/show/id/1344397","http://ts.21cn.com/tousu/show/id/1344397")</f>
        <v>http://ts.21cn.com/tousu/show/id/1344397</v>
      </c>
      <c r="F12965" s="2" t="s">
        <v>11</v>
      </c>
      <c r="G12965" s="2" t="s">
        <v>18660</v>
      </c>
      <c r="H12965" s="2" t="s">
        <v>18661</v>
      </c>
    </row>
    <row r="12966" spans="1:8" ht="25.05" customHeight="1" x14ac:dyDescent="0.25">
      <c r="A12966" s="2" t="s">
        <v>8</v>
      </c>
      <c r="B12966" s="2" t="str">
        <f>HYPERLINK("http://ts.21cn.com/tousu/show/id/1344398","宏萨信息科技有限公司无故扣费")</f>
        <v>宏萨信息科技有限公司无故扣费</v>
      </c>
      <c r="C12966" s="2" t="s">
        <v>9</v>
      </c>
      <c r="D12966" s="2" t="s">
        <v>10</v>
      </c>
      <c r="E12966" s="2" t="str">
        <f>HYPERLINK("http://ts.21cn.com/tousu/show/id/1344398","http://ts.21cn.com/tousu/show/id/1344398")</f>
        <v>http://ts.21cn.com/tousu/show/id/1344398</v>
      </c>
      <c r="F12966" s="2" t="s">
        <v>11</v>
      </c>
      <c r="G12966" s="2" t="s">
        <v>18658</v>
      </c>
      <c r="H12966" s="2" t="s">
        <v>18659</v>
      </c>
    </row>
    <row r="12967" spans="1:8" ht="25.05" customHeight="1" x14ac:dyDescent="0.25">
      <c r="A12967" s="2" t="s">
        <v>8</v>
      </c>
      <c r="B12967" s="2" t="str">
        <f>HYPERLINK("http://ts.21cn.com/tousu/show/id/1344400","易宝支付违规为小米包，香瓜钱包，秒速贷等提供支付渠道")</f>
        <v>易宝支付违规为小米包，香瓜钱包，秒速贷等提供支付渠道</v>
      </c>
      <c r="C12967" s="2" t="s">
        <v>9</v>
      </c>
      <c r="D12967" s="2" t="s">
        <v>10</v>
      </c>
      <c r="E12967" s="2" t="str">
        <f>HYPERLINK("http://ts.21cn.com/tousu/show/id/1344400","http://ts.21cn.com/tousu/show/id/1344400")</f>
        <v>http://ts.21cn.com/tousu/show/id/1344400</v>
      </c>
      <c r="F12967" s="2" t="s">
        <v>11</v>
      </c>
      <c r="G12967" s="2" t="s">
        <v>18656</v>
      </c>
      <c r="H12967" s="2" t="s">
        <v>18657</v>
      </c>
    </row>
    <row r="12968" spans="1:8" ht="25.05" customHeight="1" x14ac:dyDescent="0.25">
      <c r="A12968" s="2" t="s">
        <v>8</v>
      </c>
      <c r="B12968" s="2" t="str">
        <f>HYPERLINK("http://ts.21cn.com/tousu/show/id/1344401","南京玉恒商业管理有限公司疑似跑路")</f>
        <v>南京玉恒商业管理有限公司疑似跑路</v>
      </c>
      <c r="C12968" s="2" t="s">
        <v>9</v>
      </c>
      <c r="D12968" s="2" t="s">
        <v>10</v>
      </c>
      <c r="E12968" s="2" t="str">
        <f>HYPERLINK("http://ts.21cn.com/tousu/show/id/1344401","http://ts.21cn.com/tousu/show/id/1344401")</f>
        <v>http://ts.21cn.com/tousu/show/id/1344401</v>
      </c>
      <c r="F12968" s="2" t="s">
        <v>11</v>
      </c>
      <c r="G12968" s="2" t="s">
        <v>18654</v>
      </c>
      <c r="H12968" s="2" t="s">
        <v>18655</v>
      </c>
    </row>
    <row r="12969" spans="1:8" ht="25.05" customHeight="1" x14ac:dyDescent="0.25">
      <c r="A12969" s="2" t="s">
        <v>8</v>
      </c>
      <c r="B12969" s="2" t="str">
        <f>HYPERLINK("http://ts.21cn.com/tousu/show/id/1344402","小蒲优客乱扣费")</f>
        <v>小蒲优客乱扣费</v>
      </c>
      <c r="C12969" s="2" t="s">
        <v>9</v>
      </c>
      <c r="D12969" s="2" t="s">
        <v>10</v>
      </c>
      <c r="E12969" s="2" t="str">
        <f>HYPERLINK("http://ts.21cn.com/tousu/show/id/1344402","http://ts.21cn.com/tousu/show/id/1344402")</f>
        <v>http://ts.21cn.com/tousu/show/id/1344402</v>
      </c>
      <c r="F12969" s="2" t="s">
        <v>11</v>
      </c>
      <c r="G12969" s="2" t="s">
        <v>18653</v>
      </c>
      <c r="H12969" s="2" t="s">
        <v>4004</v>
      </c>
    </row>
    <row r="12970" spans="1:8" ht="25.05" customHeight="1" x14ac:dyDescent="0.25">
      <c r="A12970" s="2" t="s">
        <v>8</v>
      </c>
      <c r="B12970" s="2" t="str">
        <f>HYPERLINK("http://ts.21cn.com/tousu/show/id/1344404","浦发银行协商还款没人性要逼死人")</f>
        <v>浦发银行协商还款没人性要逼死人</v>
      </c>
      <c r="C12970" s="2" t="s">
        <v>9</v>
      </c>
      <c r="D12970" s="2" t="s">
        <v>10</v>
      </c>
      <c r="E12970" s="2" t="str">
        <f>HYPERLINK("http://ts.21cn.com/tousu/show/id/1344404","http://ts.21cn.com/tousu/show/id/1344404")</f>
        <v>http://ts.21cn.com/tousu/show/id/1344404</v>
      </c>
      <c r="F12970" s="2" t="s">
        <v>11</v>
      </c>
      <c r="G12970" s="2" t="s">
        <v>18651</v>
      </c>
      <c r="H12970" s="2" t="s">
        <v>18652</v>
      </c>
    </row>
    <row r="12971" spans="1:8" ht="25.05" customHeight="1" x14ac:dyDescent="0.25">
      <c r="A12971" s="2" t="s">
        <v>8</v>
      </c>
      <c r="B12971" s="2" t="str">
        <f>HYPERLINK("http://ts.21cn.com/tousu/show/id/1344405","高利贷砍头息")</f>
        <v>高利贷砍头息</v>
      </c>
      <c r="C12971" s="2" t="s">
        <v>9</v>
      </c>
      <c r="D12971" s="2" t="s">
        <v>10</v>
      </c>
      <c r="E12971" s="2" t="str">
        <f>HYPERLINK("http://ts.21cn.com/tousu/show/id/1344405","http://ts.21cn.com/tousu/show/id/1344405")</f>
        <v>http://ts.21cn.com/tousu/show/id/1344405</v>
      </c>
      <c r="F12971" s="2" t="s">
        <v>11</v>
      </c>
      <c r="G12971" s="2" t="s">
        <v>18649</v>
      </c>
      <c r="H12971" s="2" t="s">
        <v>18650</v>
      </c>
    </row>
    <row r="12972" spans="1:8" ht="25.05" customHeight="1" x14ac:dyDescent="0.25">
      <c r="A12972" s="2" t="s">
        <v>8</v>
      </c>
      <c r="B12972" s="2" t="str">
        <f>HYPERLINK("http://ts.21cn.com/tousu/show/id/1344406","威胁暴力催收")</f>
        <v>威胁暴力催收</v>
      </c>
      <c r="C12972" s="2" t="s">
        <v>9</v>
      </c>
      <c r="D12972" s="2" t="s">
        <v>10</v>
      </c>
      <c r="E12972" s="2" t="str">
        <f>HYPERLINK("http://ts.21cn.com/tousu/show/id/1344406","http://ts.21cn.com/tousu/show/id/1344406")</f>
        <v>http://ts.21cn.com/tousu/show/id/1344406</v>
      </c>
      <c r="F12972" s="2" t="s">
        <v>11</v>
      </c>
      <c r="G12972" s="2" t="s">
        <v>18647</v>
      </c>
      <c r="H12972" s="2" t="s">
        <v>18648</v>
      </c>
    </row>
    <row r="12973" spans="1:8" ht="25.05" customHeight="1" x14ac:dyDescent="0.25">
      <c r="A12973" s="2" t="s">
        <v>8</v>
      </c>
      <c r="B12973" s="2" t="str">
        <f>HYPERLINK("http://ts.21cn.com/tousu/show/id/1344407","京东金条开通需要把白条还完")</f>
        <v>京东金条开通需要把白条还完</v>
      </c>
      <c r="C12973" s="2" t="s">
        <v>34</v>
      </c>
      <c r="D12973" s="2" t="s">
        <v>10</v>
      </c>
      <c r="E12973" s="2" t="str">
        <f>HYPERLINK("http://ts.21cn.com/tousu/show/id/1344407","http://ts.21cn.com/tousu/show/id/1344407")</f>
        <v>http://ts.21cn.com/tousu/show/id/1344407</v>
      </c>
      <c r="F12973" s="2" t="s">
        <v>11</v>
      </c>
      <c r="G12973" s="2" t="s">
        <v>18645</v>
      </c>
      <c r="H12973" s="2" t="s">
        <v>18646</v>
      </c>
    </row>
    <row r="12974" spans="1:8" ht="25.05" customHeight="1" x14ac:dyDescent="0.25">
      <c r="A12974" s="2" t="s">
        <v>8</v>
      </c>
      <c r="B12974" s="2" t="str">
        <f>HYPERLINK("http://ts.21cn.com/tousu/show/id/1344408","网贷高利息")</f>
        <v>网贷高利息</v>
      </c>
      <c r="C12974" s="2" t="s">
        <v>9</v>
      </c>
      <c r="D12974" s="2" t="s">
        <v>10</v>
      </c>
      <c r="E12974" s="2" t="str">
        <f>HYPERLINK("http://ts.21cn.com/tousu/show/id/1344408","http://ts.21cn.com/tousu/show/id/1344408")</f>
        <v>http://ts.21cn.com/tousu/show/id/1344408</v>
      </c>
      <c r="F12974" s="2" t="s">
        <v>11</v>
      </c>
      <c r="G12974" s="2" t="s">
        <v>18643</v>
      </c>
      <c r="H12974" s="2" t="s">
        <v>18644</v>
      </c>
    </row>
    <row r="12975" spans="1:8" ht="25.05" customHeight="1" x14ac:dyDescent="0.25">
      <c r="A12975" s="2" t="s">
        <v>8</v>
      </c>
      <c r="B12975" s="2" t="str">
        <f>HYPERLINK("http://ts.21cn.com/tousu/show/id/1344410","闪银高利贷")</f>
        <v>闪银高利贷</v>
      </c>
      <c r="C12975" s="2" t="s">
        <v>9</v>
      </c>
      <c r="D12975" s="2" t="s">
        <v>10</v>
      </c>
      <c r="E12975" s="2" t="str">
        <f>HYPERLINK("http://ts.21cn.com/tousu/show/id/1344410","http://ts.21cn.com/tousu/show/id/1344410")</f>
        <v>http://ts.21cn.com/tousu/show/id/1344410</v>
      </c>
      <c r="F12975" s="2" t="s">
        <v>11</v>
      </c>
      <c r="G12975" s="2" t="s">
        <v>18641</v>
      </c>
      <c r="H12975" s="2" t="s">
        <v>18642</v>
      </c>
    </row>
    <row r="12976" spans="1:8" ht="25.05" customHeight="1" x14ac:dyDescent="0.25">
      <c r="A12976" s="2" t="s">
        <v>8</v>
      </c>
      <c r="B12976" s="2" t="str">
        <f>HYPERLINK("http://ts.21cn.com/tousu/show/id/1344409","信而富退卡")</f>
        <v>信而富退卡</v>
      </c>
      <c r="C12976" s="2" t="s">
        <v>9</v>
      </c>
      <c r="D12976" s="2" t="s">
        <v>10</v>
      </c>
      <c r="E12976" s="2" t="str">
        <f>HYPERLINK("http://ts.21cn.com/tousu/show/id/1344409","http://ts.21cn.com/tousu/show/id/1344409")</f>
        <v>http://ts.21cn.com/tousu/show/id/1344409</v>
      </c>
      <c r="F12976" s="2" t="s">
        <v>11</v>
      </c>
      <c r="G12976" s="2" t="s">
        <v>18639</v>
      </c>
      <c r="H12976" s="2" t="s">
        <v>18640</v>
      </c>
    </row>
    <row r="12977" spans="1:8" ht="25.05" customHeight="1" x14ac:dyDescent="0.25">
      <c r="A12977" s="2" t="s">
        <v>8</v>
      </c>
      <c r="B12977" s="2" t="str">
        <f>HYPERLINK("http://ts.21cn.com/tousu/show/id/1344411","骚扰和威胁我的家人和朋友")</f>
        <v>骚扰和威胁我的家人和朋友</v>
      </c>
      <c r="C12977" s="2" t="s">
        <v>9</v>
      </c>
      <c r="D12977" s="2" t="s">
        <v>10</v>
      </c>
      <c r="E12977" s="2" t="str">
        <f>HYPERLINK("http://ts.21cn.com/tousu/show/id/1344411","http://ts.21cn.com/tousu/show/id/1344411")</f>
        <v>http://ts.21cn.com/tousu/show/id/1344411</v>
      </c>
      <c r="F12977" s="2" t="s">
        <v>11</v>
      </c>
      <c r="G12977" s="2" t="s">
        <v>18637</v>
      </c>
      <c r="H12977" s="2" t="s">
        <v>18638</v>
      </c>
    </row>
    <row r="12978" spans="1:8" ht="25.05" customHeight="1" x14ac:dyDescent="0.25">
      <c r="A12978" s="2" t="s">
        <v>8</v>
      </c>
      <c r="B12978" s="2" t="str">
        <f>HYPERLINK("http://ts.21cn.com/tousu/show/id/1344414","闪银至尊还款问题")</f>
        <v>闪银至尊还款问题</v>
      </c>
      <c r="C12978" s="2" t="s">
        <v>9</v>
      </c>
      <c r="D12978" s="2" t="s">
        <v>10</v>
      </c>
      <c r="E12978" s="2" t="str">
        <f>HYPERLINK("http://ts.21cn.com/tousu/show/id/1344414","http://ts.21cn.com/tousu/show/id/1344414")</f>
        <v>http://ts.21cn.com/tousu/show/id/1344414</v>
      </c>
      <c r="F12978" s="2" t="s">
        <v>11</v>
      </c>
      <c r="G12978" s="2" t="s">
        <v>18635</v>
      </c>
      <c r="H12978" s="2" t="s">
        <v>18636</v>
      </c>
    </row>
    <row r="12979" spans="1:8" ht="25.05" customHeight="1" x14ac:dyDescent="0.25">
      <c r="A12979" s="2" t="s">
        <v>8</v>
      </c>
      <c r="B12979" s="2" t="str">
        <f>HYPERLINK("http://ts.21cn.com/tousu/show/id/1344416","杂志云冻结现金迟迟不给客户打款")</f>
        <v>杂志云冻结现金迟迟不给客户打款</v>
      </c>
      <c r="C12979" s="2" t="s">
        <v>9</v>
      </c>
      <c r="D12979" s="2" t="s">
        <v>10</v>
      </c>
      <c r="E12979" s="2" t="str">
        <f>HYPERLINK("http://ts.21cn.com/tousu/show/id/1344416","http://ts.21cn.com/tousu/show/id/1344416")</f>
        <v>http://ts.21cn.com/tousu/show/id/1344416</v>
      </c>
      <c r="F12979" s="2" t="s">
        <v>11</v>
      </c>
      <c r="G12979" s="2" t="s">
        <v>18633</v>
      </c>
      <c r="H12979" s="2" t="s">
        <v>18634</v>
      </c>
    </row>
    <row r="12980" spans="1:8" ht="25.05" customHeight="1" x14ac:dyDescent="0.25">
      <c r="A12980" s="2" t="s">
        <v>8</v>
      </c>
      <c r="B12980" s="2" t="str">
        <f>HYPERLINK("http://ts.21cn.com/tousu/show/id/1344412","要求给点时间偿还欠款")</f>
        <v>要求给点时间偿还欠款</v>
      </c>
      <c r="C12980" s="2" t="s">
        <v>9</v>
      </c>
      <c r="D12980" s="2" t="s">
        <v>10</v>
      </c>
      <c r="E12980" s="2" t="str">
        <f>HYPERLINK("http://ts.21cn.com/tousu/show/id/1344412","http://ts.21cn.com/tousu/show/id/1344412")</f>
        <v>http://ts.21cn.com/tousu/show/id/1344412</v>
      </c>
      <c r="F12980" s="2" t="s">
        <v>11</v>
      </c>
      <c r="G12980" s="2" t="s">
        <v>18631</v>
      </c>
      <c r="H12980" s="2" t="s">
        <v>18632</v>
      </c>
    </row>
    <row r="12981" spans="1:8" ht="25.05" customHeight="1" x14ac:dyDescent="0.25">
      <c r="A12981" s="2" t="s">
        <v>8</v>
      </c>
      <c r="B12981" s="2" t="str">
        <f>HYPERLINK("http://ts.21cn.com/tousu/show/id/1344418","原信用管家lc分期贷款中有盈好贷涉及高利贷砍头息")</f>
        <v>原信用管家lc分期贷款中有盈好贷涉及高利贷砍头息</v>
      </c>
      <c r="C12981" s="2" t="s">
        <v>9</v>
      </c>
      <c r="D12981" s="2" t="s">
        <v>10</v>
      </c>
      <c r="E12981" s="2" t="str">
        <f>HYPERLINK("http://ts.21cn.com/tousu/show/id/1344418","http://ts.21cn.com/tousu/show/id/1344418")</f>
        <v>http://ts.21cn.com/tousu/show/id/1344418</v>
      </c>
      <c r="F12981" s="2" t="s">
        <v>11</v>
      </c>
      <c r="G12981" s="2" t="s">
        <v>18628</v>
      </c>
      <c r="H12981" s="2" t="s">
        <v>18629</v>
      </c>
    </row>
    <row r="12982" spans="1:8" ht="25.05" customHeight="1" x14ac:dyDescent="0.25">
      <c r="A12982" s="2" t="s">
        <v>8</v>
      </c>
      <c r="B12982" s="2" t="str">
        <f>HYPERLINK("http://ts.21cn.com/tousu/show/id/1344413","暴力催收，协商还款")</f>
        <v>暴力催收，协商还款</v>
      </c>
      <c r="C12982" s="2" t="s">
        <v>9</v>
      </c>
      <c r="D12982" s="2" t="s">
        <v>10</v>
      </c>
      <c r="E12982" s="2" t="str">
        <f>HYPERLINK("http://ts.21cn.com/tousu/show/id/1344413","http://ts.21cn.com/tousu/show/id/1344413")</f>
        <v>http://ts.21cn.com/tousu/show/id/1344413</v>
      </c>
      <c r="F12982" s="2" t="s">
        <v>11</v>
      </c>
      <c r="G12982" s="2" t="s">
        <v>18628</v>
      </c>
      <c r="H12982" s="2" t="s">
        <v>18630</v>
      </c>
    </row>
    <row r="12983" spans="1:8" ht="25.05" customHeight="1" x14ac:dyDescent="0.25">
      <c r="A12983" s="2" t="s">
        <v>8</v>
      </c>
      <c r="B12983" s="2" t="str">
        <f>HYPERLINK("http://ts.21cn.com/tousu/show/id/1344417","打扰我的工作和休息，我希望能够解决，")</f>
        <v>打扰我的工作和休息，我希望能够解决，</v>
      </c>
      <c r="C12983" s="2" t="s">
        <v>34</v>
      </c>
      <c r="D12983" s="2" t="s">
        <v>10</v>
      </c>
      <c r="E12983" s="2" t="str">
        <f>HYPERLINK("http://ts.21cn.com/tousu/show/id/1344417","http://ts.21cn.com/tousu/show/id/1344417")</f>
        <v>http://ts.21cn.com/tousu/show/id/1344417</v>
      </c>
      <c r="F12983" s="2" t="s">
        <v>11</v>
      </c>
      <c r="G12983" s="2" t="s">
        <v>18626</v>
      </c>
      <c r="H12983" s="2" t="s">
        <v>18627</v>
      </c>
    </row>
    <row r="12984" spans="1:8" ht="25.05" customHeight="1" x14ac:dyDescent="0.25">
      <c r="A12984" s="2" t="s">
        <v>8</v>
      </c>
      <c r="B12984" s="2" t="str">
        <f>HYPERLINK("http://ts.21cn.com/tousu/show/id/1344419","拍拍贷对学生高利贷借款")</f>
        <v>拍拍贷对学生高利贷借款</v>
      </c>
      <c r="C12984" s="2" t="s">
        <v>9</v>
      </c>
      <c r="D12984" s="2" t="s">
        <v>10</v>
      </c>
      <c r="E12984" s="2" t="str">
        <f>HYPERLINK("http://ts.21cn.com/tousu/show/id/1344419","http://ts.21cn.com/tousu/show/id/1344419")</f>
        <v>http://ts.21cn.com/tousu/show/id/1344419</v>
      </c>
      <c r="F12984" s="2" t="s">
        <v>11</v>
      </c>
      <c r="G12984" s="2" t="s">
        <v>18624</v>
      </c>
      <c r="H12984" s="2" t="s">
        <v>18625</v>
      </c>
    </row>
    <row r="12985" spans="1:8" ht="25.05" customHeight="1" x14ac:dyDescent="0.25">
      <c r="A12985" s="2" t="s">
        <v>8</v>
      </c>
      <c r="B12985" s="2" t="str">
        <f>HYPERLINK("http://ts.21cn.com/tousu/show/id/1344420","自由摩卡六便士砍头息，高利贷")</f>
        <v>自由摩卡六便士砍头息，高利贷</v>
      </c>
      <c r="C12985" s="2" t="s">
        <v>9</v>
      </c>
      <c r="D12985" s="2" t="s">
        <v>10</v>
      </c>
      <c r="E12985" s="2" t="str">
        <f>HYPERLINK("http://ts.21cn.com/tousu/show/id/1344420","http://ts.21cn.com/tousu/show/id/1344420")</f>
        <v>http://ts.21cn.com/tousu/show/id/1344420</v>
      </c>
      <c r="F12985" s="2" t="s">
        <v>11</v>
      </c>
      <c r="G12985" s="2" t="s">
        <v>18622</v>
      </c>
      <c r="H12985" s="2" t="s">
        <v>18623</v>
      </c>
    </row>
    <row r="12986" spans="1:8" ht="25.05" customHeight="1" x14ac:dyDescent="0.25">
      <c r="A12986" s="2" t="s">
        <v>8</v>
      </c>
      <c r="B12986" s="2" t="str">
        <f>HYPERLINK("http://ts.21cn.com/tousu/show/id/1344424","光大银行电话骚扰")</f>
        <v>光大银行电话骚扰</v>
      </c>
      <c r="C12986" s="2" t="s">
        <v>9</v>
      </c>
      <c r="D12986" s="2" t="s">
        <v>10</v>
      </c>
      <c r="E12986" s="2" t="str">
        <f>HYPERLINK("http://ts.21cn.com/tousu/show/id/1344424","http://ts.21cn.com/tousu/show/id/1344424")</f>
        <v>http://ts.21cn.com/tousu/show/id/1344424</v>
      </c>
      <c r="F12986" s="2" t="s">
        <v>11</v>
      </c>
      <c r="G12986" s="2" t="s">
        <v>18620</v>
      </c>
      <c r="H12986" s="2" t="s">
        <v>18621</v>
      </c>
    </row>
    <row r="12987" spans="1:8" ht="25.05" customHeight="1" x14ac:dyDescent="0.25">
      <c r="A12987" s="2" t="s">
        <v>8</v>
      </c>
      <c r="B12987" s="2" t="str">
        <f>HYPERLINK("http://ts.21cn.com/tousu/show/id/1344422","智行退款一直不到账")</f>
        <v>智行退款一直不到账</v>
      </c>
      <c r="C12987" s="2" t="s">
        <v>34</v>
      </c>
      <c r="D12987" s="2" t="s">
        <v>10</v>
      </c>
      <c r="E12987" s="2" t="str">
        <f>HYPERLINK("http://ts.21cn.com/tousu/show/id/1344422","http://ts.21cn.com/tousu/show/id/1344422")</f>
        <v>http://ts.21cn.com/tousu/show/id/1344422</v>
      </c>
      <c r="F12987" s="2" t="s">
        <v>11</v>
      </c>
      <c r="G12987" s="2" t="s">
        <v>18618</v>
      </c>
      <c r="H12987" s="2" t="s">
        <v>18619</v>
      </c>
    </row>
    <row r="12988" spans="1:8" ht="25.05" customHeight="1" x14ac:dyDescent="0.25">
      <c r="A12988" s="2" t="s">
        <v>8</v>
      </c>
      <c r="B12988" s="2" t="str">
        <f>HYPERLINK("http://ts.21cn.com/tousu/show/id/1344423","钱站套路贷")</f>
        <v>钱站套路贷</v>
      </c>
      <c r="C12988" s="2" t="s">
        <v>9</v>
      </c>
      <c r="D12988" s="2" t="s">
        <v>10</v>
      </c>
      <c r="E12988" s="2" t="str">
        <f>HYPERLINK("http://ts.21cn.com/tousu/show/id/1344423","http://ts.21cn.com/tousu/show/id/1344423")</f>
        <v>http://ts.21cn.com/tousu/show/id/1344423</v>
      </c>
      <c r="F12988" s="2" t="s">
        <v>11</v>
      </c>
      <c r="G12988" s="2" t="s">
        <v>18616</v>
      </c>
      <c r="H12988" s="2" t="s">
        <v>18617</v>
      </c>
    </row>
    <row r="12989" spans="1:8" ht="25.05" customHeight="1" x14ac:dyDescent="0.25">
      <c r="A12989" s="2" t="s">
        <v>8</v>
      </c>
      <c r="B12989" s="2" t="str">
        <f>HYPERLINK("http://ts.21cn.com/tousu/show/id/1344425","艺龙公司不对等条款及低效服务，不再通过艺龙预订酒店和机票！！！")</f>
        <v>艺龙公司不对等条款及低效服务，不再通过艺龙预订酒店和机票！！！</v>
      </c>
      <c r="C12989" s="2" t="s">
        <v>9</v>
      </c>
      <c r="D12989" s="2" t="s">
        <v>10</v>
      </c>
      <c r="E12989" s="2" t="str">
        <f>HYPERLINK("http://ts.21cn.com/tousu/show/id/1344425","http://ts.21cn.com/tousu/show/id/1344425")</f>
        <v>http://ts.21cn.com/tousu/show/id/1344425</v>
      </c>
      <c r="F12989" s="2" t="s">
        <v>11</v>
      </c>
      <c r="G12989" s="2" t="s">
        <v>18614</v>
      </c>
      <c r="H12989" s="2" t="s">
        <v>18615</v>
      </c>
    </row>
    <row r="12990" spans="1:8" ht="25.05" customHeight="1" x14ac:dyDescent="0.25">
      <c r="A12990" s="2" t="s">
        <v>8</v>
      </c>
      <c r="B12990" s="2" t="str">
        <f>HYPERLINK("http://ts.21cn.com/tousu/show/id/1344426","众人帮做微信解封任务，悬赏主不给赏金，客服不处理")</f>
        <v>众人帮做微信解封任务，悬赏主不给赏金，客服不处理</v>
      </c>
      <c r="C12990" s="2" t="s">
        <v>9</v>
      </c>
      <c r="D12990" s="2" t="s">
        <v>10</v>
      </c>
      <c r="E12990" s="2" t="str">
        <f>HYPERLINK("http://ts.21cn.com/tousu/show/id/1344426","http://ts.21cn.com/tousu/show/id/1344426")</f>
        <v>http://ts.21cn.com/tousu/show/id/1344426</v>
      </c>
      <c r="F12990" s="2" t="s">
        <v>11</v>
      </c>
      <c r="G12990" s="2" t="s">
        <v>18612</v>
      </c>
      <c r="H12990" s="2" t="s">
        <v>18613</v>
      </c>
    </row>
    <row r="12991" spans="1:8" ht="25.05" customHeight="1" x14ac:dyDescent="0.25">
      <c r="A12991" s="2" t="s">
        <v>8</v>
      </c>
      <c r="B12991" s="2" t="str">
        <f>HYPERLINK("http://ts.21cn.com/tousu/show/id/1344427","上海嘉定通华小贷违规贷款，收取高额砍头利息")</f>
        <v>上海嘉定通华小贷违规贷款，收取高额砍头利息</v>
      </c>
      <c r="C12991" s="2" t="s">
        <v>9</v>
      </c>
      <c r="D12991" s="2" t="s">
        <v>10</v>
      </c>
      <c r="E12991" s="2" t="str">
        <f>HYPERLINK("http://ts.21cn.com/tousu/show/id/1344427","http://ts.21cn.com/tousu/show/id/1344427")</f>
        <v>http://ts.21cn.com/tousu/show/id/1344427</v>
      </c>
      <c r="F12991" s="2" t="s">
        <v>11</v>
      </c>
      <c r="G12991" s="2" t="s">
        <v>18610</v>
      </c>
      <c r="H12991" s="2" t="s">
        <v>18611</v>
      </c>
    </row>
    <row r="12992" spans="1:8" ht="25.05" customHeight="1" x14ac:dyDescent="0.25">
      <c r="A12992" s="2" t="s">
        <v>8</v>
      </c>
      <c r="B12992" s="2" t="str">
        <f>HYPERLINK("http://ts.21cn.com/tousu/show/id/1344428","严重暴力催收")</f>
        <v>严重暴力催收</v>
      </c>
      <c r="C12992" s="2" t="s">
        <v>9</v>
      </c>
      <c r="D12992" s="2" t="s">
        <v>10</v>
      </c>
      <c r="E12992" s="2" t="str">
        <f>HYPERLINK("http://ts.21cn.com/tousu/show/id/1344428","http://ts.21cn.com/tousu/show/id/1344428")</f>
        <v>http://ts.21cn.com/tousu/show/id/1344428</v>
      </c>
      <c r="F12992" s="2" t="s">
        <v>11</v>
      </c>
      <c r="G12992" s="2" t="s">
        <v>18608</v>
      </c>
      <c r="H12992" s="2" t="s">
        <v>18609</v>
      </c>
    </row>
    <row r="12993" spans="1:8" ht="25.05" customHeight="1" x14ac:dyDescent="0.25">
      <c r="A12993" s="2" t="s">
        <v>8</v>
      </c>
      <c r="B12993" s="2" t="str">
        <f>HYPERLINK("http://ts.21cn.com/tousu/show/id/1344430","充值的Q币，无缘无故扣费了元宝")</f>
        <v>充值的Q币，无缘无故扣费了元宝</v>
      </c>
      <c r="C12993" s="2" t="s">
        <v>9</v>
      </c>
      <c r="D12993" s="2" t="s">
        <v>10</v>
      </c>
      <c r="E12993" s="2" t="str">
        <f>HYPERLINK("http://ts.21cn.com/tousu/show/id/1344430","http://ts.21cn.com/tousu/show/id/1344430")</f>
        <v>http://ts.21cn.com/tousu/show/id/1344430</v>
      </c>
      <c r="F12993" s="2" t="s">
        <v>11</v>
      </c>
      <c r="G12993" s="2" t="s">
        <v>18606</v>
      </c>
      <c r="H12993" s="2" t="s">
        <v>18607</v>
      </c>
    </row>
    <row r="12994" spans="1:8" ht="25.05" customHeight="1" x14ac:dyDescent="0.25">
      <c r="A12994" s="2" t="s">
        <v>8</v>
      </c>
      <c r="B12994" s="2" t="str">
        <f>HYPERLINK("http://ts.21cn.com/tousu/show/id/1344429","钱站高利贷4000三个月还7000多")</f>
        <v>钱站高利贷4000三个月还7000多</v>
      </c>
      <c r="C12994" s="2" t="s">
        <v>9</v>
      </c>
      <c r="D12994" s="2" t="s">
        <v>10</v>
      </c>
      <c r="E12994" s="2" t="str">
        <f>HYPERLINK("http://ts.21cn.com/tousu/show/id/1344429","http://ts.21cn.com/tousu/show/id/1344429")</f>
        <v>http://ts.21cn.com/tousu/show/id/1344429</v>
      </c>
      <c r="F12994" s="2" t="s">
        <v>11</v>
      </c>
      <c r="G12994" s="2" t="s">
        <v>18604</v>
      </c>
      <c r="H12994" s="2" t="s">
        <v>18605</v>
      </c>
    </row>
    <row r="12995" spans="1:8" ht="25.05" customHeight="1" x14ac:dyDescent="0.25">
      <c r="A12995" s="2" t="s">
        <v>8</v>
      </c>
      <c r="B12995" s="2" t="str">
        <f>HYPERLINK("http://ts.21cn.com/tousu/show/id/1344432","爆通讯录")</f>
        <v>爆通讯录</v>
      </c>
      <c r="C12995" s="2" t="s">
        <v>9</v>
      </c>
      <c r="D12995" s="2" t="s">
        <v>10</v>
      </c>
      <c r="E12995" s="2" t="str">
        <f>HYPERLINK("http://ts.21cn.com/tousu/show/id/1344432","http://ts.21cn.com/tousu/show/id/1344432")</f>
        <v>http://ts.21cn.com/tousu/show/id/1344432</v>
      </c>
      <c r="F12995" s="2" t="s">
        <v>11</v>
      </c>
      <c r="G12995" s="2" t="s">
        <v>18602</v>
      </c>
      <c r="H12995" s="2" t="s">
        <v>18603</v>
      </c>
    </row>
    <row r="12996" spans="1:8" ht="25.05" customHeight="1" x14ac:dyDescent="0.25">
      <c r="A12996" s="2" t="s">
        <v>8</v>
      </c>
      <c r="B12996" s="2" t="str">
        <f>HYPERLINK("http://ts.21cn.com/tousu/show/id/1344433","让更多人知道网贷的危害")</f>
        <v>让更多人知道网贷的危害</v>
      </c>
      <c r="C12996" s="2" t="s">
        <v>9</v>
      </c>
      <c r="D12996" s="2" t="s">
        <v>10</v>
      </c>
      <c r="E12996" s="2" t="str">
        <f>HYPERLINK("http://ts.21cn.com/tousu/show/id/1344433","http://ts.21cn.com/tousu/show/id/1344433")</f>
        <v>http://ts.21cn.com/tousu/show/id/1344433</v>
      </c>
      <c r="F12996" s="2" t="s">
        <v>11</v>
      </c>
      <c r="G12996" s="2" t="s">
        <v>18600</v>
      </c>
      <c r="H12996" s="2" t="s">
        <v>18601</v>
      </c>
    </row>
    <row r="12997" spans="1:8" ht="25.05" customHeight="1" x14ac:dyDescent="0.25">
      <c r="A12997" s="2" t="s">
        <v>8</v>
      </c>
      <c r="B12997" s="2" t="str">
        <f>HYPERLINK("http://ts.21cn.com/tousu/show/id/1344434","优信优卡不能充值，合作方寺库、北京银联商务受牵连，回应协助积极处理")</f>
        <v>优信优卡不能充值，合作方寺库、北京银联商务受牵连，回应协助积极处理</v>
      </c>
      <c r="C12997" s="2" t="s">
        <v>9</v>
      </c>
      <c r="D12997" s="2" t="s">
        <v>10</v>
      </c>
      <c r="E12997" s="2" t="str">
        <f>HYPERLINK("http://ts.21cn.com/tousu/show/id/1344434","http://ts.21cn.com/tousu/show/id/1344434")</f>
        <v>http://ts.21cn.com/tousu/show/id/1344434</v>
      </c>
      <c r="F12997" s="2" t="s">
        <v>11</v>
      </c>
      <c r="G12997" s="2" t="s">
        <v>18598</v>
      </c>
      <c r="H12997" s="2" t="s">
        <v>18599</v>
      </c>
    </row>
    <row r="12998" spans="1:8" ht="25.05" customHeight="1" x14ac:dyDescent="0.25">
      <c r="A12998" s="2" t="s">
        <v>8</v>
      </c>
      <c r="B12998" s="2" t="str">
        <f>HYPERLINK("http://ts.21cn.com/tousu/show/id/1344435","现金巴士砍头息")</f>
        <v>现金巴士砍头息</v>
      </c>
      <c r="C12998" s="2" t="s">
        <v>34</v>
      </c>
      <c r="D12998" s="2" t="s">
        <v>10</v>
      </c>
      <c r="E12998" s="2" t="str">
        <f>HYPERLINK("http://ts.21cn.com/tousu/show/id/1344435","http://ts.21cn.com/tousu/show/id/1344435")</f>
        <v>http://ts.21cn.com/tousu/show/id/1344435</v>
      </c>
      <c r="F12998" s="2" t="s">
        <v>11</v>
      </c>
      <c r="G12998" s="2" t="s">
        <v>18596</v>
      </c>
      <c r="H12998" s="2" t="s">
        <v>18597</v>
      </c>
    </row>
    <row r="12999" spans="1:8" ht="25.05" customHeight="1" x14ac:dyDescent="0.25">
      <c r="A12999" s="2" t="s">
        <v>8</v>
      </c>
      <c r="B12999" s="2" t="str">
        <f>HYPERLINK("http://ts.21cn.com/tousu/show/id/1344350","高利贷平台沙琪豆退还砍头息")</f>
        <v>高利贷平台沙琪豆退还砍头息</v>
      </c>
      <c r="C12999" s="2" t="s">
        <v>9</v>
      </c>
      <c r="D12999" s="2" t="s">
        <v>10</v>
      </c>
      <c r="E12999" s="2" t="str">
        <f>HYPERLINK("http://ts.21cn.com/tousu/show/id/1344350","http://ts.21cn.com/tousu/show/id/1344350")</f>
        <v>http://ts.21cn.com/tousu/show/id/1344350</v>
      </c>
      <c r="F12999" s="2" t="s">
        <v>11</v>
      </c>
      <c r="G12999" s="2" t="s">
        <v>18594</v>
      </c>
      <c r="H12999" s="2" t="s">
        <v>18595</v>
      </c>
    </row>
    <row r="13000" spans="1:8" ht="25.05" customHeight="1" x14ac:dyDescent="0.25">
      <c r="A13000" s="2" t="s">
        <v>8</v>
      </c>
      <c r="B13000" s="2" t="str">
        <f>HYPERLINK("http://ts.21cn.com/tousu/show/id/1344436","街电乱扣费")</f>
        <v>街电乱扣费</v>
      </c>
      <c r="C13000" s="2" t="s">
        <v>9</v>
      </c>
      <c r="D13000" s="2" t="s">
        <v>10</v>
      </c>
      <c r="E13000" s="2" t="str">
        <f>HYPERLINK("http://ts.21cn.com/tousu/show/id/1344436","http://ts.21cn.com/tousu/show/id/1344436")</f>
        <v>http://ts.21cn.com/tousu/show/id/1344436</v>
      </c>
      <c r="F13000" s="2" t="s">
        <v>11</v>
      </c>
      <c r="G13000" s="2" t="s">
        <v>18592</v>
      </c>
      <c r="H13000" s="2" t="s">
        <v>18593</v>
      </c>
    </row>
    <row r="13001" spans="1:8" ht="25.05" customHeight="1" x14ac:dyDescent="0.25">
      <c r="A13001" s="2" t="s">
        <v>8</v>
      </c>
      <c r="B13001" s="2" t="str">
        <f>HYPERLINK("http://ts.21cn.com/tousu/show/id/1344440","提现不到账，客服不处理")</f>
        <v>提现不到账，客服不处理</v>
      </c>
      <c r="C13001" s="2" t="s">
        <v>9</v>
      </c>
      <c r="D13001" s="2" t="s">
        <v>10</v>
      </c>
      <c r="E13001" s="2" t="str">
        <f>HYPERLINK("http://ts.21cn.com/tousu/show/id/1344440","http://ts.21cn.com/tousu/show/id/1344440")</f>
        <v>http://ts.21cn.com/tousu/show/id/1344440</v>
      </c>
      <c r="F13001" s="2" t="s">
        <v>11</v>
      </c>
      <c r="G13001" s="2" t="s">
        <v>18590</v>
      </c>
      <c r="H13001" s="2" t="s">
        <v>18591</v>
      </c>
    </row>
    <row r="13002" spans="1:8" ht="25.05" customHeight="1" x14ac:dyDescent="0.25">
      <c r="A13002" s="2" t="s">
        <v>8</v>
      </c>
      <c r="B13002" s="2" t="str">
        <f>HYPERLINK("http://ts.21cn.com/tousu/show/id/1344438","百度有钱花对我个人进行骚扰恐吓")</f>
        <v>百度有钱花对我个人进行骚扰恐吓</v>
      </c>
      <c r="C13002" s="2" t="s">
        <v>9</v>
      </c>
      <c r="D13002" s="2" t="s">
        <v>10</v>
      </c>
      <c r="E13002" s="2" t="str">
        <f>HYPERLINK("http://ts.21cn.com/tousu/show/id/1344438","http://ts.21cn.com/tousu/show/id/1344438")</f>
        <v>http://ts.21cn.com/tousu/show/id/1344438</v>
      </c>
      <c r="F13002" s="2" t="s">
        <v>11</v>
      </c>
      <c r="G13002" s="2" t="s">
        <v>18588</v>
      </c>
      <c r="H13002" s="2" t="s">
        <v>18589</v>
      </c>
    </row>
    <row r="13003" spans="1:8" ht="25.05" customHeight="1" x14ac:dyDescent="0.25">
      <c r="A13003" s="2" t="s">
        <v>8</v>
      </c>
      <c r="B13003" s="2" t="str">
        <f>HYPERLINK("http://ts.21cn.com/tousu/show/id/1344439","防城港广纳商贸有限公司")</f>
        <v>防城港广纳商贸有限公司</v>
      </c>
      <c r="C13003" s="2" t="s">
        <v>9</v>
      </c>
      <c r="D13003" s="2" t="s">
        <v>10</v>
      </c>
      <c r="E13003" s="2" t="str">
        <f>HYPERLINK("http://ts.21cn.com/tousu/show/id/1344439","http://ts.21cn.com/tousu/show/id/1344439")</f>
        <v>http://ts.21cn.com/tousu/show/id/1344439</v>
      </c>
      <c r="F13003" s="2" t="s">
        <v>11</v>
      </c>
      <c r="G13003" s="2" t="s">
        <v>18586</v>
      </c>
      <c r="H13003" s="2" t="s">
        <v>18587</v>
      </c>
    </row>
    <row r="13004" spans="1:8" ht="25.05" customHeight="1" x14ac:dyDescent="0.25">
      <c r="A13004" s="2" t="s">
        <v>8</v>
      </c>
      <c r="B13004" s="2" t="str">
        <f>HYPERLINK("http://ts.21cn.com/tousu/show/id/1344441","你我贷暴力催收爆通讯录协商提前还款减免100")</f>
        <v>你我贷暴力催收爆通讯录协商提前还款减免100</v>
      </c>
      <c r="C13004" s="2" t="s">
        <v>9</v>
      </c>
      <c r="D13004" s="2" t="s">
        <v>10</v>
      </c>
      <c r="E13004" s="2" t="str">
        <f>HYPERLINK("http://ts.21cn.com/tousu/show/id/1344441","http://ts.21cn.com/tousu/show/id/1344441")</f>
        <v>http://ts.21cn.com/tousu/show/id/1344441</v>
      </c>
      <c r="F13004" s="2" t="s">
        <v>11</v>
      </c>
      <c r="G13004" s="2" t="s">
        <v>18584</v>
      </c>
      <c r="H13004" s="2" t="s">
        <v>18585</v>
      </c>
    </row>
    <row r="13005" spans="1:8" ht="25.05" customHeight="1" x14ac:dyDescent="0.25">
      <c r="A13005" s="2" t="s">
        <v>8</v>
      </c>
      <c r="B13005" s="2" t="str">
        <f>HYPERLINK("http://ts.21cn.com/tousu/show/id/1344443","系统进不去无法提现")</f>
        <v>系统进不去无法提现</v>
      </c>
      <c r="C13005" s="2" t="s">
        <v>9</v>
      </c>
      <c r="D13005" s="2" t="s">
        <v>10</v>
      </c>
      <c r="E13005" s="2" t="str">
        <f>HYPERLINK("http://ts.21cn.com/tousu/show/id/1344443","http://ts.21cn.com/tousu/show/id/1344443")</f>
        <v>http://ts.21cn.com/tousu/show/id/1344443</v>
      </c>
      <c r="F13005" s="2" t="s">
        <v>11</v>
      </c>
      <c r="G13005" s="2" t="s">
        <v>18582</v>
      </c>
      <c r="H13005" s="2" t="s">
        <v>18583</v>
      </c>
    </row>
    <row r="13006" spans="1:8" ht="25.05" customHeight="1" x14ac:dyDescent="0.25">
      <c r="A13006" s="2" t="s">
        <v>8</v>
      </c>
      <c r="B13006" s="2" t="str">
        <f>HYPERLINK("http://ts.21cn.com/tousu/show/id/1344445","骚扰通讯录，侵犯个人隐私")</f>
        <v>骚扰通讯录，侵犯个人隐私</v>
      </c>
      <c r="C13006" s="2" t="s">
        <v>9</v>
      </c>
      <c r="D13006" s="2" t="s">
        <v>10</v>
      </c>
      <c r="E13006" s="2" t="str">
        <f>HYPERLINK("http://ts.21cn.com/tousu/show/id/1344445","http://ts.21cn.com/tousu/show/id/1344445")</f>
        <v>http://ts.21cn.com/tousu/show/id/1344445</v>
      </c>
      <c r="F13006" s="2" t="s">
        <v>11</v>
      </c>
      <c r="G13006" s="2" t="s">
        <v>18580</v>
      </c>
      <c r="H13006" s="2" t="s">
        <v>18581</v>
      </c>
    </row>
    <row r="13007" spans="1:8" ht="25.05" customHeight="1" x14ac:dyDescent="0.25">
      <c r="A13007" s="2" t="s">
        <v>8</v>
      </c>
      <c r="B13007" s="2" t="str">
        <f>HYPERLINK("http://ts.21cn.com/tousu/show/id/1344446","威力贷平台高利息，利息和天数有问题")</f>
        <v>威力贷平台高利息，利息和天数有问题</v>
      </c>
      <c r="C13007" s="2" t="s">
        <v>34</v>
      </c>
      <c r="D13007" s="2" t="s">
        <v>10</v>
      </c>
      <c r="E13007" s="2" t="str">
        <f>HYPERLINK("http://ts.21cn.com/tousu/show/id/1344446","http://ts.21cn.com/tousu/show/id/1344446")</f>
        <v>http://ts.21cn.com/tousu/show/id/1344446</v>
      </c>
      <c r="F13007" s="2" t="s">
        <v>11</v>
      </c>
      <c r="G13007" s="2" t="s">
        <v>18578</v>
      </c>
      <c r="H13007" s="2" t="s">
        <v>18579</v>
      </c>
    </row>
    <row r="13008" spans="1:8" ht="25.05" customHeight="1" x14ac:dyDescent="0.25">
      <c r="A13008" s="2" t="s">
        <v>8</v>
      </c>
      <c r="B13008" s="2" t="str">
        <f>HYPERLINK("http://ts.21cn.com/tousu/show/id/1344447","招联金融透露个人信息")</f>
        <v>招联金融透露个人信息</v>
      </c>
      <c r="C13008" s="2" t="s">
        <v>9</v>
      </c>
      <c r="D13008" s="2" t="s">
        <v>10</v>
      </c>
      <c r="E13008" s="2" t="str">
        <f>HYPERLINK("http://ts.21cn.com/tousu/show/id/1344447","http://ts.21cn.com/tousu/show/id/1344447")</f>
        <v>http://ts.21cn.com/tousu/show/id/1344447</v>
      </c>
      <c r="F13008" s="2" t="s">
        <v>11</v>
      </c>
      <c r="G13008" s="2" t="s">
        <v>18576</v>
      </c>
      <c r="H13008" s="2" t="s">
        <v>18577</v>
      </c>
    </row>
    <row r="13009" spans="1:8" ht="25.05" customHeight="1" x14ac:dyDescent="0.25">
      <c r="A13009" s="2" t="s">
        <v>8</v>
      </c>
      <c r="B13009" s="2" t="str">
        <f>HYPERLINK("http://ts.21cn.com/tousu/show/id/1344450","nice平台查验出现纰漏强行让买家买单")</f>
        <v>nice平台查验出现纰漏强行让买家买单</v>
      </c>
      <c r="C13009" s="2" t="s">
        <v>9</v>
      </c>
      <c r="D13009" s="2" t="s">
        <v>10</v>
      </c>
      <c r="E13009" s="2" t="str">
        <f>HYPERLINK("http://ts.21cn.com/tousu/show/id/1344450","http://ts.21cn.com/tousu/show/id/1344450")</f>
        <v>http://ts.21cn.com/tousu/show/id/1344450</v>
      </c>
      <c r="F13009" s="2" t="s">
        <v>11</v>
      </c>
      <c r="G13009" s="2" t="s">
        <v>18574</v>
      </c>
      <c r="H13009" s="2" t="s">
        <v>18575</v>
      </c>
    </row>
    <row r="13010" spans="1:8" ht="25.05" customHeight="1" x14ac:dyDescent="0.25">
      <c r="A13010" s="2" t="s">
        <v>8</v>
      </c>
      <c r="B13010" s="2" t="str">
        <f>HYPERLINK("http://ts.21cn.com/tousu/show/id/1344448","现金速递骚扰")</f>
        <v>现金速递骚扰</v>
      </c>
      <c r="C13010" s="2" t="s">
        <v>9</v>
      </c>
      <c r="D13010" s="2" t="s">
        <v>10</v>
      </c>
      <c r="E13010" s="2" t="str">
        <f>HYPERLINK("http://ts.21cn.com/tousu/show/id/1344448","http://ts.21cn.com/tousu/show/id/1344448")</f>
        <v>http://ts.21cn.com/tousu/show/id/1344448</v>
      </c>
      <c r="F13010" s="2" t="s">
        <v>11</v>
      </c>
      <c r="G13010" s="2" t="s">
        <v>18572</v>
      </c>
      <c r="H13010" s="2" t="s">
        <v>18573</v>
      </c>
    </row>
    <row r="13011" spans="1:8" ht="25.05" customHeight="1" x14ac:dyDescent="0.25">
      <c r="A13011" s="2" t="s">
        <v>8</v>
      </c>
      <c r="B13011" s="2" t="str">
        <f>HYPERLINK("http://ts.21cn.com/tousu/show/id/1344449","宜人贷收取高额信息咨询服务费和高于国家规定的24%利息标准")</f>
        <v>宜人贷收取高额信息咨询服务费和高于国家规定的24%利息标准</v>
      </c>
      <c r="C13011" s="2" t="s">
        <v>9</v>
      </c>
      <c r="D13011" s="2" t="s">
        <v>10</v>
      </c>
      <c r="E13011" s="2" t="str">
        <f>HYPERLINK("http://ts.21cn.com/tousu/show/id/1344449","http://ts.21cn.com/tousu/show/id/1344449")</f>
        <v>http://ts.21cn.com/tousu/show/id/1344449</v>
      </c>
      <c r="F13011" s="2" t="s">
        <v>11</v>
      </c>
      <c r="G13011" s="2" t="s">
        <v>18570</v>
      </c>
      <c r="H13011" s="2" t="s">
        <v>18571</v>
      </c>
    </row>
    <row r="13012" spans="1:8" ht="25.05" customHeight="1" x14ac:dyDescent="0.25">
      <c r="A13012" s="2" t="s">
        <v>8</v>
      </c>
      <c r="B13012" s="2" t="str">
        <f>HYPERLINK("http://ts.21cn.com/tousu/show/id/1344451","投诉我来贷实际利率远高于合同利率，要求一次结清并只还剩余本金，而且要有结清证明")</f>
        <v>投诉我来贷实际利率远高于合同利率，要求一次结清并只还剩余本金，而且要有结清证明</v>
      </c>
      <c r="C13012" s="2" t="s">
        <v>9</v>
      </c>
      <c r="D13012" s="2" t="s">
        <v>10</v>
      </c>
      <c r="E13012" s="2" t="str">
        <f>HYPERLINK("http://ts.21cn.com/tousu/show/id/1344451","http://ts.21cn.com/tousu/show/id/1344451")</f>
        <v>http://ts.21cn.com/tousu/show/id/1344451</v>
      </c>
      <c r="F13012" s="2" t="s">
        <v>11</v>
      </c>
      <c r="G13012" s="2" t="s">
        <v>18568</v>
      </c>
      <c r="H13012" s="2" t="s">
        <v>18569</v>
      </c>
    </row>
    <row r="13013" spans="1:8" ht="25.05" customHeight="1" x14ac:dyDescent="0.25">
      <c r="A13013" s="2" t="s">
        <v>8</v>
      </c>
      <c r="B13013" s="2" t="str">
        <f>HYPERLINK("http://ts.21cn.com/tousu/show/id/1344452","催收联系通讯录好友")</f>
        <v>催收联系通讯录好友</v>
      </c>
      <c r="C13013" s="2" t="s">
        <v>9</v>
      </c>
      <c r="D13013" s="2" t="s">
        <v>10</v>
      </c>
      <c r="E13013" s="2" t="str">
        <f>HYPERLINK("http://ts.21cn.com/tousu/show/id/1344452","http://ts.21cn.com/tousu/show/id/1344452")</f>
        <v>http://ts.21cn.com/tousu/show/id/1344452</v>
      </c>
      <c r="F13013" s="2" t="s">
        <v>11</v>
      </c>
      <c r="G13013" s="2" t="s">
        <v>18566</v>
      </c>
      <c r="H13013" s="2" t="s">
        <v>18567</v>
      </c>
    </row>
    <row r="13014" spans="1:8" ht="25.05" customHeight="1" x14ac:dyDescent="0.25">
      <c r="A13014" s="2" t="s">
        <v>8</v>
      </c>
      <c r="B13014" s="2" t="str">
        <f>HYPERLINK("http://ts.21cn.com/tousu/show/id/1344453","无理信息")</f>
        <v>无理信息</v>
      </c>
      <c r="C13014" s="2" t="s">
        <v>9</v>
      </c>
      <c r="D13014" s="2" t="s">
        <v>10</v>
      </c>
      <c r="E13014" s="2" t="str">
        <f>HYPERLINK("http://ts.21cn.com/tousu/show/id/1344453","http://ts.21cn.com/tousu/show/id/1344453")</f>
        <v>http://ts.21cn.com/tousu/show/id/1344453</v>
      </c>
      <c r="F13014" s="2" t="s">
        <v>11</v>
      </c>
      <c r="G13014" s="2" t="s">
        <v>18564</v>
      </c>
      <c r="H13014" s="2" t="s">
        <v>18565</v>
      </c>
    </row>
    <row r="13015" spans="1:8" ht="25.05" customHeight="1" x14ac:dyDescent="0.25">
      <c r="A13015" s="2" t="s">
        <v>8</v>
      </c>
      <c r="B13015" s="2" t="str">
        <f>HYPERLINK("http://ts.21cn.com/tousu/show/id/1344454","深圳优卡南方能源有限公司还我血汗钱")</f>
        <v>深圳优卡南方能源有限公司还我血汗钱</v>
      </c>
      <c r="C13015" s="2" t="s">
        <v>9</v>
      </c>
      <c r="D13015" s="2" t="s">
        <v>10</v>
      </c>
      <c r="E13015" s="2" t="str">
        <f>HYPERLINK("http://ts.21cn.com/tousu/show/id/1344454","http://ts.21cn.com/tousu/show/id/1344454")</f>
        <v>http://ts.21cn.com/tousu/show/id/1344454</v>
      </c>
      <c r="F13015" s="2" t="s">
        <v>11</v>
      </c>
      <c r="G13015" s="2" t="s">
        <v>18562</v>
      </c>
      <c r="H13015" s="2" t="s">
        <v>18563</v>
      </c>
    </row>
    <row r="13016" spans="1:8" ht="25.05" customHeight="1" x14ac:dyDescent="0.25">
      <c r="A13016" s="2" t="s">
        <v>8</v>
      </c>
      <c r="B13016" s="2" t="str">
        <f>HYPERLINK("http://ts.21cn.com/tousu/show/id/1344455","拼多多平台处罚我的店铺，说我诱导非官方交易，让我交10万押金")</f>
        <v>拼多多平台处罚我的店铺，说我诱导非官方交易，让我交10万押金</v>
      </c>
      <c r="C13016" s="2" t="s">
        <v>9</v>
      </c>
      <c r="D13016" s="2" t="s">
        <v>10</v>
      </c>
      <c r="E13016" s="2" t="str">
        <f>HYPERLINK("http://ts.21cn.com/tousu/show/id/1344455","http://ts.21cn.com/tousu/show/id/1344455")</f>
        <v>http://ts.21cn.com/tousu/show/id/1344455</v>
      </c>
      <c r="F13016" s="2" t="s">
        <v>11</v>
      </c>
      <c r="G13016" s="2" t="s">
        <v>18560</v>
      </c>
      <c r="H13016" s="2" t="s">
        <v>18561</v>
      </c>
    </row>
    <row r="13017" spans="1:8" ht="25.05" customHeight="1" x14ac:dyDescent="0.25">
      <c r="A13017" s="2" t="s">
        <v>8</v>
      </c>
      <c r="B13017" s="2" t="str">
        <f>HYPERLINK("http://ts.21cn.com/tousu/show/id/1344415","福鼎美创广告公司逼死人")</f>
        <v>福鼎美创广告公司逼死人</v>
      </c>
      <c r="C13017" s="2" t="s">
        <v>9</v>
      </c>
      <c r="D13017" s="2" t="s">
        <v>10</v>
      </c>
      <c r="E13017" s="2" t="str">
        <f>HYPERLINK("http://ts.21cn.com/tousu/show/id/1344415","http://ts.21cn.com/tousu/show/id/1344415")</f>
        <v>http://ts.21cn.com/tousu/show/id/1344415</v>
      </c>
      <c r="F13017" s="2" t="s">
        <v>11</v>
      </c>
      <c r="G13017" s="2" t="s">
        <v>18558</v>
      </c>
      <c r="H13017" s="2" t="s">
        <v>18559</v>
      </c>
    </row>
    <row r="13018" spans="1:8" ht="25.05" customHeight="1" x14ac:dyDescent="0.25">
      <c r="A13018" s="2" t="s">
        <v>8</v>
      </c>
      <c r="B13018" s="2" t="str">
        <f>HYPERLINK("http://ts.21cn.com/tousu/show/id/1344457","钱站高利贷阴阳合同")</f>
        <v>钱站高利贷阴阳合同</v>
      </c>
      <c r="C13018" s="2" t="s">
        <v>9</v>
      </c>
      <c r="D13018" s="2" t="s">
        <v>10</v>
      </c>
      <c r="E13018" s="2" t="str">
        <f>HYPERLINK("http://ts.21cn.com/tousu/show/id/1344457","http://ts.21cn.com/tousu/show/id/1344457")</f>
        <v>http://ts.21cn.com/tousu/show/id/1344457</v>
      </c>
      <c r="F13018" s="2" t="s">
        <v>11</v>
      </c>
      <c r="G13018" s="2" t="s">
        <v>18556</v>
      </c>
      <c r="H13018" s="2" t="s">
        <v>18557</v>
      </c>
    </row>
    <row r="13019" spans="1:8" ht="25.05" customHeight="1" x14ac:dyDescent="0.25">
      <c r="A13019" s="2" t="s">
        <v>8</v>
      </c>
      <c r="B13019" s="2" t="str">
        <f>HYPERLINK("http://ts.21cn.com/tousu/show/id/1344458","拼多多物流已经显示签收，买家一句话没说7天后直接申请退款说没收到货，客服介入后直接给退款。")</f>
        <v>拼多多物流已经显示签收，买家一句话没说7天后直接申请退款说没收到货，客服介入后直接给退款。</v>
      </c>
      <c r="C13019" s="2" t="s">
        <v>9</v>
      </c>
      <c r="D13019" s="2" t="s">
        <v>10</v>
      </c>
      <c r="E13019" s="2" t="str">
        <f>HYPERLINK("http://ts.21cn.com/tousu/show/id/1344458","http://ts.21cn.com/tousu/show/id/1344458")</f>
        <v>http://ts.21cn.com/tousu/show/id/1344458</v>
      </c>
      <c r="F13019" s="2" t="s">
        <v>11</v>
      </c>
      <c r="G13019" s="2" t="s">
        <v>18554</v>
      </c>
      <c r="H13019" s="2" t="s">
        <v>18555</v>
      </c>
    </row>
    <row r="13020" spans="1:8" ht="25.05" customHeight="1" x14ac:dyDescent="0.25">
      <c r="A13020" s="2" t="s">
        <v>8</v>
      </c>
      <c r="B13020" s="2" t="str">
        <f>HYPERLINK("http://ts.21cn.com/tousu/show/id/1344459","高利贷暴力催收恐吓")</f>
        <v>高利贷暴力催收恐吓</v>
      </c>
      <c r="C13020" s="2" t="s">
        <v>9</v>
      </c>
      <c r="D13020" s="2" t="s">
        <v>10</v>
      </c>
      <c r="E13020" s="2" t="str">
        <f>HYPERLINK("http://ts.21cn.com/tousu/show/id/1344459","http://ts.21cn.com/tousu/show/id/1344459")</f>
        <v>http://ts.21cn.com/tousu/show/id/1344459</v>
      </c>
      <c r="F13020" s="2" t="s">
        <v>11</v>
      </c>
      <c r="G13020" s="2" t="s">
        <v>18552</v>
      </c>
      <c r="H13020" s="2" t="s">
        <v>18553</v>
      </c>
    </row>
    <row r="13021" spans="1:8" ht="25.05" customHeight="1" x14ac:dyDescent="0.25">
      <c r="A13021" s="2" t="s">
        <v>8</v>
      </c>
      <c r="B13021" s="2" t="str">
        <f>HYPERLINK("http://ts.21cn.com/tousu/show/id/1344460","多次扣款")</f>
        <v>多次扣款</v>
      </c>
      <c r="C13021" s="2" t="s">
        <v>34</v>
      </c>
      <c r="D13021" s="2" t="s">
        <v>10</v>
      </c>
      <c r="E13021" s="2" t="str">
        <f>HYPERLINK("http://ts.21cn.com/tousu/show/id/1344460","http://ts.21cn.com/tousu/show/id/1344460")</f>
        <v>http://ts.21cn.com/tousu/show/id/1344460</v>
      </c>
      <c r="F13021" s="2" t="s">
        <v>11</v>
      </c>
      <c r="G13021" s="2" t="s">
        <v>18550</v>
      </c>
      <c r="H13021" s="2" t="s">
        <v>18551</v>
      </c>
    </row>
    <row r="13022" spans="1:8" ht="25.05" customHeight="1" x14ac:dyDescent="0.25">
      <c r="A13022" s="2" t="s">
        <v>8</v>
      </c>
      <c r="B13022" s="2" t="str">
        <f>HYPERLINK("http://ts.21cn.com/tousu/show/id/1344461","月光侠分期高额砍头息暴力催收！")</f>
        <v>月光侠分期高额砍头息暴力催收！</v>
      </c>
      <c r="C13022" s="2" t="s">
        <v>9</v>
      </c>
      <c r="D13022" s="2" t="s">
        <v>10</v>
      </c>
      <c r="E13022" s="2" t="str">
        <f>HYPERLINK("http://ts.21cn.com/tousu/show/id/1344461","http://ts.21cn.com/tousu/show/id/1344461")</f>
        <v>http://ts.21cn.com/tousu/show/id/1344461</v>
      </c>
      <c r="F13022" s="2" t="s">
        <v>11</v>
      </c>
      <c r="G13022" s="2" t="s">
        <v>18548</v>
      </c>
      <c r="H13022" s="2" t="s">
        <v>18549</v>
      </c>
    </row>
    <row r="13023" spans="1:8" ht="25.05" customHeight="1" x14ac:dyDescent="0.25">
      <c r="A13023" s="2" t="s">
        <v>8</v>
      </c>
      <c r="B13023" s="2" t="str">
        <f>HYPERLINK("http://ts.21cn.com/tousu/show/id/1344463","拍拍贷对我进行恐吓骚扰")</f>
        <v>拍拍贷对我进行恐吓骚扰</v>
      </c>
      <c r="C13023" s="2" t="s">
        <v>9</v>
      </c>
      <c r="D13023" s="2" t="s">
        <v>10</v>
      </c>
      <c r="E13023" s="2" t="str">
        <f>HYPERLINK("http://ts.21cn.com/tousu/show/id/1344463","http://ts.21cn.com/tousu/show/id/1344463")</f>
        <v>http://ts.21cn.com/tousu/show/id/1344463</v>
      </c>
      <c r="F13023" s="2" t="s">
        <v>11</v>
      </c>
      <c r="G13023" s="2" t="s">
        <v>18546</v>
      </c>
      <c r="H13023" s="2" t="s">
        <v>18547</v>
      </c>
    </row>
    <row r="13024" spans="1:8" ht="25.05" customHeight="1" x14ac:dyDescent="0.25">
      <c r="A13024" s="2" t="s">
        <v>8</v>
      </c>
      <c r="B13024" s="2" t="str">
        <f>HYPERLINK("http://ts.21cn.com/tousu/show/id/1344466","闪银电话客服和催收客服打不通")</f>
        <v>闪银电话客服和催收客服打不通</v>
      </c>
      <c r="C13024" s="2" t="s">
        <v>9</v>
      </c>
      <c r="D13024" s="2" t="s">
        <v>10</v>
      </c>
      <c r="E13024" s="2" t="str">
        <f>HYPERLINK("http://ts.21cn.com/tousu/show/id/1344466","http://ts.21cn.com/tousu/show/id/1344466")</f>
        <v>http://ts.21cn.com/tousu/show/id/1344466</v>
      </c>
      <c r="F13024" s="2" t="s">
        <v>11</v>
      </c>
      <c r="G13024" s="2" t="s">
        <v>18544</v>
      </c>
      <c r="H13024" s="2" t="s">
        <v>18545</v>
      </c>
    </row>
    <row r="13025" spans="1:8" ht="25.05" customHeight="1" x14ac:dyDescent="0.25">
      <c r="A13025" s="2" t="s">
        <v>8</v>
      </c>
      <c r="B13025" s="2" t="str">
        <f>HYPERLINK("http://ts.21cn.com/tousu/show/id/1344467","维信卡卡贷涉嫌高利贷，砍头息，会员费")</f>
        <v>维信卡卡贷涉嫌高利贷，砍头息，会员费</v>
      </c>
      <c r="C13025" s="2" t="s">
        <v>9</v>
      </c>
      <c r="D13025" s="2" t="s">
        <v>10</v>
      </c>
      <c r="E13025" s="2" t="str">
        <f>HYPERLINK("http://ts.21cn.com/tousu/show/id/1344467","http://ts.21cn.com/tousu/show/id/1344467")</f>
        <v>http://ts.21cn.com/tousu/show/id/1344467</v>
      </c>
      <c r="F13025" s="2" t="s">
        <v>11</v>
      </c>
      <c r="G13025" s="2" t="s">
        <v>18542</v>
      </c>
      <c r="H13025" s="2" t="s">
        <v>18543</v>
      </c>
    </row>
    <row r="13026" spans="1:8" ht="25.05" customHeight="1" x14ac:dyDescent="0.25">
      <c r="A13026" s="2" t="s">
        <v>8</v>
      </c>
      <c r="B13026" s="2" t="str">
        <f>HYPERLINK("http://ts.21cn.com/tousu/show/id/1344468","请求撤销及贷贷款")</f>
        <v>请求撤销及贷贷款</v>
      </c>
      <c r="C13026" s="2" t="s">
        <v>9</v>
      </c>
      <c r="D13026" s="2" t="s">
        <v>10</v>
      </c>
      <c r="E13026" s="2" t="str">
        <f>HYPERLINK("http://ts.21cn.com/tousu/show/id/1344468","http://ts.21cn.com/tousu/show/id/1344468")</f>
        <v>http://ts.21cn.com/tousu/show/id/1344468</v>
      </c>
      <c r="F13026" s="2" t="s">
        <v>11</v>
      </c>
      <c r="G13026" s="2" t="s">
        <v>18540</v>
      </c>
      <c r="H13026" s="2" t="s">
        <v>18541</v>
      </c>
    </row>
    <row r="13027" spans="1:8" ht="25.05" customHeight="1" x14ac:dyDescent="0.25">
      <c r="A13027" s="2" t="s">
        <v>8</v>
      </c>
      <c r="B13027" s="2" t="str">
        <f>HYPERLINK("http://ts.21cn.com/tousu/show/id/1344403","万恶的校园贷钱站私自给学生放款")</f>
        <v>万恶的校园贷钱站私自给学生放款</v>
      </c>
      <c r="C13027" s="2" t="s">
        <v>9</v>
      </c>
      <c r="D13027" s="2" t="s">
        <v>10</v>
      </c>
      <c r="E13027" s="2" t="str">
        <f>HYPERLINK("http://ts.21cn.com/tousu/show/id/1344403","http://ts.21cn.com/tousu/show/id/1344403")</f>
        <v>http://ts.21cn.com/tousu/show/id/1344403</v>
      </c>
      <c r="F13027" s="2" t="s">
        <v>11</v>
      </c>
      <c r="G13027" s="2" t="s">
        <v>18538</v>
      </c>
      <c r="H13027" s="2" t="s">
        <v>18539</v>
      </c>
    </row>
    <row r="13028" spans="1:8" ht="25.05" customHeight="1" x14ac:dyDescent="0.25">
      <c r="A13028" s="2" t="s">
        <v>8</v>
      </c>
      <c r="B13028" s="2" t="str">
        <f>HYPERLINK("http://ts.21cn.com/tousu/show/id/1344462","空铁领航会员卡虚假宣传诱导消费")</f>
        <v>空铁领航会员卡虚假宣传诱导消费</v>
      </c>
      <c r="C13028" s="2" t="s">
        <v>9</v>
      </c>
      <c r="D13028" s="2" t="s">
        <v>10</v>
      </c>
      <c r="E13028" s="2" t="str">
        <f>HYPERLINK("http://ts.21cn.com/tousu/show/id/1344462","http://ts.21cn.com/tousu/show/id/1344462")</f>
        <v>http://ts.21cn.com/tousu/show/id/1344462</v>
      </c>
      <c r="F13028" s="2" t="s">
        <v>11</v>
      </c>
      <c r="G13028" s="2" t="s">
        <v>18536</v>
      </c>
      <c r="H13028" s="2" t="s">
        <v>18537</v>
      </c>
    </row>
    <row r="13029" spans="1:8" ht="25.05" customHeight="1" x14ac:dyDescent="0.25">
      <c r="A13029" s="2" t="s">
        <v>8</v>
      </c>
      <c r="B13029" s="2" t="str">
        <f>HYPERLINK("http://ts.21cn.com/tousu/show/id/1344469","高利贷强制借款")</f>
        <v>高利贷强制借款</v>
      </c>
      <c r="C13029" s="2" t="s">
        <v>9</v>
      </c>
      <c r="D13029" s="2" t="s">
        <v>10</v>
      </c>
      <c r="E13029" s="2" t="str">
        <f>HYPERLINK("http://ts.21cn.com/tousu/show/id/1344469","http://ts.21cn.com/tousu/show/id/1344469")</f>
        <v>http://ts.21cn.com/tousu/show/id/1344469</v>
      </c>
      <c r="F13029" s="2" t="s">
        <v>11</v>
      </c>
      <c r="G13029" s="2" t="s">
        <v>18534</v>
      </c>
      <c r="H13029" s="2" t="s">
        <v>18535</v>
      </c>
    </row>
    <row r="13030" spans="1:8" ht="25.05" customHeight="1" x14ac:dyDescent="0.25">
      <c r="A13030" s="2" t="s">
        <v>8</v>
      </c>
      <c r="B13030" s="2" t="str">
        <f>HYPERLINK("http://ts.21cn.com/tousu/show/id/1344470","新橙优品扣除砍头息")</f>
        <v>新橙优品扣除砍头息</v>
      </c>
      <c r="C13030" s="2" t="s">
        <v>9</v>
      </c>
      <c r="D13030" s="2" t="s">
        <v>10</v>
      </c>
      <c r="E13030" s="2" t="str">
        <f>HYPERLINK("http://ts.21cn.com/tousu/show/id/1344470","http://ts.21cn.com/tousu/show/id/1344470")</f>
        <v>http://ts.21cn.com/tousu/show/id/1344470</v>
      </c>
      <c r="F13030" s="2" t="s">
        <v>11</v>
      </c>
      <c r="G13030" s="2" t="s">
        <v>18532</v>
      </c>
      <c r="H13030" s="2" t="s">
        <v>18533</v>
      </c>
    </row>
    <row r="13031" spans="1:8" ht="25.05" customHeight="1" x14ac:dyDescent="0.25">
      <c r="A13031" s="2" t="s">
        <v>8</v>
      </c>
      <c r="B13031" s="2" t="str">
        <f>HYPERLINK("http://ts.21cn.com/tousu/show/id/1344472","平安i贷普惠暴力催收，群发短信")</f>
        <v>平安i贷普惠暴力催收，群发短信</v>
      </c>
      <c r="C13031" s="2" t="s">
        <v>9</v>
      </c>
      <c r="D13031" s="2" t="s">
        <v>10</v>
      </c>
      <c r="E13031" s="2" t="str">
        <f>HYPERLINK("http://ts.21cn.com/tousu/show/id/1344472","http://ts.21cn.com/tousu/show/id/1344472")</f>
        <v>http://ts.21cn.com/tousu/show/id/1344472</v>
      </c>
      <c r="F13031" s="2" t="s">
        <v>11</v>
      </c>
      <c r="G13031" s="2" t="s">
        <v>18530</v>
      </c>
      <c r="H13031" s="2" t="s">
        <v>18531</v>
      </c>
    </row>
    <row r="13032" spans="1:8" ht="25.05" customHeight="1" x14ac:dyDescent="0.25">
      <c r="A13032" s="2" t="s">
        <v>8</v>
      </c>
      <c r="B13032" s="2" t="str">
        <f>HYPERLINK("http://ts.21cn.com/tousu/show/id/1344471","拍拍贷轰炸公司固定电话")</f>
        <v>拍拍贷轰炸公司固定电话</v>
      </c>
      <c r="C13032" s="2" t="s">
        <v>9</v>
      </c>
      <c r="D13032" s="2" t="s">
        <v>10</v>
      </c>
      <c r="E13032" s="2" t="str">
        <f>HYPERLINK("http://ts.21cn.com/tousu/show/id/1344471","http://ts.21cn.com/tousu/show/id/1344471")</f>
        <v>http://ts.21cn.com/tousu/show/id/1344471</v>
      </c>
      <c r="F13032" s="2" t="s">
        <v>11</v>
      </c>
      <c r="G13032" s="2" t="s">
        <v>18528</v>
      </c>
      <c r="H13032" s="2" t="s">
        <v>18529</v>
      </c>
    </row>
    <row r="13033" spans="1:8" ht="25.05" customHeight="1" x14ac:dyDescent="0.25">
      <c r="A13033" s="2" t="s">
        <v>8</v>
      </c>
      <c r="B13033" s="2" t="str">
        <f>HYPERLINK("http://ts.21cn.com/tousu/show/id/1344473","南京玉恒商业管理有限公司疑似跑路")</f>
        <v>南京玉恒商业管理有限公司疑似跑路</v>
      </c>
      <c r="C13033" s="2" t="s">
        <v>9</v>
      </c>
      <c r="D13033" s="2" t="s">
        <v>10</v>
      </c>
      <c r="E13033" s="2" t="str">
        <f>HYPERLINK("http://ts.21cn.com/tousu/show/id/1344473","http://ts.21cn.com/tousu/show/id/1344473")</f>
        <v>http://ts.21cn.com/tousu/show/id/1344473</v>
      </c>
      <c r="F13033" s="2" t="s">
        <v>11</v>
      </c>
      <c r="G13033" s="2" t="s">
        <v>18526</v>
      </c>
      <c r="H13033" s="2" t="s">
        <v>18527</v>
      </c>
    </row>
    <row r="13034" spans="1:8" ht="25.05" customHeight="1" x14ac:dyDescent="0.25">
      <c r="A13034" s="2" t="s">
        <v>8</v>
      </c>
      <c r="B13034" s="2" t="str">
        <f>HYPERLINK("http://ts.21cn.com/tousu/show/id/1344475","现金巴士催收骚扰")</f>
        <v>现金巴士催收骚扰</v>
      </c>
      <c r="C13034" s="2" t="s">
        <v>9</v>
      </c>
      <c r="D13034" s="2" t="s">
        <v>10</v>
      </c>
      <c r="E13034" s="2" t="str">
        <f>HYPERLINK("http://ts.21cn.com/tousu/show/id/1344475","http://ts.21cn.com/tousu/show/id/1344475")</f>
        <v>http://ts.21cn.com/tousu/show/id/1344475</v>
      </c>
      <c r="F13034" s="2" t="s">
        <v>11</v>
      </c>
      <c r="G13034" s="2" t="s">
        <v>18524</v>
      </c>
      <c r="H13034" s="2" t="s">
        <v>18525</v>
      </c>
    </row>
    <row r="13035" spans="1:8" ht="25.05" customHeight="1" x14ac:dyDescent="0.25">
      <c r="A13035" s="2" t="s">
        <v>8</v>
      </c>
      <c r="B13035" s="2" t="str">
        <f>HYPERLINK("http://ts.21cn.com/tousu/show/id/1344476","小浦优客未经同意扣款")</f>
        <v>小浦优客未经同意扣款</v>
      </c>
      <c r="C13035" s="2" t="s">
        <v>9</v>
      </c>
      <c r="D13035" s="2" t="s">
        <v>10</v>
      </c>
      <c r="E13035" s="2" t="str">
        <f>HYPERLINK("http://ts.21cn.com/tousu/show/id/1344476","http://ts.21cn.com/tousu/show/id/1344476")</f>
        <v>http://ts.21cn.com/tousu/show/id/1344476</v>
      </c>
      <c r="F13035" s="2" t="s">
        <v>11</v>
      </c>
      <c r="G13035" s="2" t="s">
        <v>18523</v>
      </c>
      <c r="H13035" s="2" t="s">
        <v>11904</v>
      </c>
    </row>
    <row r="13036" spans="1:8" ht="25.05" customHeight="1" x14ac:dyDescent="0.25">
      <c r="A13036" s="2" t="s">
        <v>8</v>
      </c>
      <c r="B13036" s="2" t="str">
        <f>HYPERLINK("http://ts.21cn.com/tousu/show/id/1344477","升学教育机构不退款")</f>
        <v>升学教育机构不退款</v>
      </c>
      <c r="C13036" s="2" t="s">
        <v>9</v>
      </c>
      <c r="D13036" s="2" t="s">
        <v>10</v>
      </c>
      <c r="E13036" s="2" t="str">
        <f>HYPERLINK("http://ts.21cn.com/tousu/show/id/1344477","http://ts.21cn.com/tousu/show/id/1344477")</f>
        <v>http://ts.21cn.com/tousu/show/id/1344477</v>
      </c>
      <c r="F13036" s="2" t="s">
        <v>11</v>
      </c>
      <c r="G13036" s="2" t="s">
        <v>18521</v>
      </c>
      <c r="H13036" s="2" t="s">
        <v>18522</v>
      </c>
    </row>
    <row r="13037" spans="1:8" ht="25.05" customHeight="1" x14ac:dyDescent="0.25">
      <c r="A13037" s="2" t="s">
        <v>8</v>
      </c>
      <c r="B13037" s="2" t="str">
        <f>HYPERLINK("http://ts.21cn.com/tousu/show/id/1344456","恶意拖延奖牌交货造成重大经济损失和赛事品牌形象损失")</f>
        <v>恶意拖延奖牌交货造成重大经济损失和赛事品牌形象损失</v>
      </c>
      <c r="C13037" s="2" t="s">
        <v>9</v>
      </c>
      <c r="D13037" s="2" t="s">
        <v>10</v>
      </c>
      <c r="E13037" s="2" t="str">
        <f>HYPERLINK("http://ts.21cn.com/tousu/show/id/1344456","http://ts.21cn.com/tousu/show/id/1344456")</f>
        <v>http://ts.21cn.com/tousu/show/id/1344456</v>
      </c>
      <c r="F13037" s="2" t="s">
        <v>11</v>
      </c>
      <c r="G13037" s="2" t="s">
        <v>18519</v>
      </c>
      <c r="H13037" s="2" t="s">
        <v>18520</v>
      </c>
    </row>
    <row r="13038" spans="1:8" ht="25.05" customHeight="1" x14ac:dyDescent="0.25">
      <c r="A13038" s="2" t="s">
        <v>8</v>
      </c>
      <c r="B13038" s="2" t="str">
        <f>HYPERLINK("http://ts.21cn.com/tousu/show/id/1344479","微粒贷暴力催收")</f>
        <v>微粒贷暴力催收</v>
      </c>
      <c r="C13038" s="2" t="s">
        <v>9</v>
      </c>
      <c r="D13038" s="2" t="s">
        <v>10</v>
      </c>
      <c r="E13038" s="2" t="str">
        <f>HYPERLINK("http://ts.21cn.com/tousu/show/id/1344479","http://ts.21cn.com/tousu/show/id/1344479")</f>
        <v>http://ts.21cn.com/tousu/show/id/1344479</v>
      </c>
      <c r="F13038" s="2" t="s">
        <v>11</v>
      </c>
      <c r="G13038" s="2" t="s">
        <v>18517</v>
      </c>
      <c r="H13038" s="2" t="s">
        <v>18518</v>
      </c>
    </row>
    <row r="13039" spans="1:8" ht="25.05" customHeight="1" x14ac:dyDescent="0.25">
      <c r="A13039" s="2" t="s">
        <v>8</v>
      </c>
      <c r="B13039" s="2" t="str">
        <f>HYPERLINK("http://ts.21cn.com/tousu/show/id/1344482","小浦优客，通联支付莫名其妙扣款296")</f>
        <v>小浦优客，通联支付莫名其妙扣款296</v>
      </c>
      <c r="C13039" s="2" t="s">
        <v>34</v>
      </c>
      <c r="D13039" s="2" t="s">
        <v>10</v>
      </c>
      <c r="E13039" s="2" t="str">
        <f>HYPERLINK("http://ts.21cn.com/tousu/show/id/1344482","http://ts.21cn.com/tousu/show/id/1344482")</f>
        <v>http://ts.21cn.com/tousu/show/id/1344482</v>
      </c>
      <c r="F13039" s="2" t="s">
        <v>11</v>
      </c>
      <c r="G13039" s="2" t="s">
        <v>18515</v>
      </c>
      <c r="H13039" s="2" t="s">
        <v>18516</v>
      </c>
    </row>
    <row r="13040" spans="1:8" ht="25.05" customHeight="1" x14ac:dyDescent="0.25">
      <c r="A13040" s="2" t="s">
        <v>8</v>
      </c>
      <c r="B13040" s="2" t="str">
        <f>HYPERLINK("http://ts.21cn.com/tousu/show/id/1344483","空铁纵横合航纵横虚假宣传给消费者错误引导")</f>
        <v>空铁纵横合航纵横虚假宣传给消费者错误引导</v>
      </c>
      <c r="C13040" s="2" t="s">
        <v>9</v>
      </c>
      <c r="D13040" s="2" t="s">
        <v>10</v>
      </c>
      <c r="E13040" s="2" t="str">
        <f>HYPERLINK("http://ts.21cn.com/tousu/show/id/1344483","http://ts.21cn.com/tousu/show/id/1344483")</f>
        <v>http://ts.21cn.com/tousu/show/id/1344483</v>
      </c>
      <c r="F13040" s="2" t="s">
        <v>11</v>
      </c>
      <c r="G13040" s="2" t="s">
        <v>18513</v>
      </c>
      <c r="H13040" s="2" t="s">
        <v>18514</v>
      </c>
    </row>
    <row r="13041" spans="1:8" ht="25.05" customHeight="1" x14ac:dyDescent="0.25">
      <c r="A13041" s="2" t="s">
        <v>8</v>
      </c>
      <c r="B13041" s="2" t="str">
        <f>HYPERLINK("http://ts.21cn.com/tousu/show/id/1344484","微众银行多次电话骚扰")</f>
        <v>微众银行多次电话骚扰</v>
      </c>
      <c r="C13041" s="2" t="s">
        <v>9</v>
      </c>
      <c r="D13041" s="2" t="s">
        <v>10</v>
      </c>
      <c r="E13041" s="2" t="str">
        <f>HYPERLINK("http://ts.21cn.com/tousu/show/id/1344484","http://ts.21cn.com/tousu/show/id/1344484")</f>
        <v>http://ts.21cn.com/tousu/show/id/1344484</v>
      </c>
      <c r="F13041" s="2" t="s">
        <v>11</v>
      </c>
      <c r="G13041" s="2" t="s">
        <v>18511</v>
      </c>
      <c r="H13041" s="2" t="s">
        <v>18512</v>
      </c>
    </row>
    <row r="13042" spans="1:8" ht="25.05" customHeight="1" x14ac:dyDescent="0.25">
      <c r="A13042" s="2" t="s">
        <v>8</v>
      </c>
      <c r="B13042" s="2" t="str">
        <f>HYPERLINK("http://ts.21cn.com/tousu/show/id/1344485","不给退费")</f>
        <v>不给退费</v>
      </c>
      <c r="C13042" s="2" t="s">
        <v>9</v>
      </c>
      <c r="D13042" s="2" t="s">
        <v>10</v>
      </c>
      <c r="E13042" s="2" t="str">
        <f>HYPERLINK("http://ts.21cn.com/tousu/show/id/1344485","http://ts.21cn.com/tousu/show/id/1344485")</f>
        <v>http://ts.21cn.com/tousu/show/id/1344485</v>
      </c>
      <c r="F13042" s="2" t="s">
        <v>11</v>
      </c>
      <c r="G13042" s="2" t="s">
        <v>18509</v>
      </c>
      <c r="H13042" s="2" t="s">
        <v>18510</v>
      </c>
    </row>
    <row r="13043" spans="1:8" ht="25.05" customHeight="1" x14ac:dyDescent="0.25">
      <c r="A13043" s="2" t="s">
        <v>8</v>
      </c>
      <c r="B13043" s="2" t="str">
        <f>HYPERLINK("http://ts.21cn.com/tousu/show/id/1344486","拍拍贷对投诉不作为，个人情况十分糟糕请求协商还款")</f>
        <v>拍拍贷对投诉不作为，个人情况十分糟糕请求协商还款</v>
      </c>
      <c r="C13043" s="2" t="s">
        <v>9</v>
      </c>
      <c r="D13043" s="2" t="s">
        <v>10</v>
      </c>
      <c r="E13043" s="2" t="str">
        <f>HYPERLINK("http://ts.21cn.com/tousu/show/id/1344486","http://ts.21cn.com/tousu/show/id/1344486")</f>
        <v>http://ts.21cn.com/tousu/show/id/1344486</v>
      </c>
      <c r="F13043" s="2" t="s">
        <v>11</v>
      </c>
      <c r="G13043" s="2" t="s">
        <v>18507</v>
      </c>
      <c r="H13043" s="2" t="s">
        <v>18508</v>
      </c>
    </row>
    <row r="13044" spans="1:8" ht="25.05" customHeight="1" x14ac:dyDescent="0.25">
      <c r="A13044" s="2" t="s">
        <v>8</v>
      </c>
      <c r="B13044" s="2" t="str">
        <f>HYPERLINK("http://ts.21cn.com/tousu/show/id/1344474","用钱宝骚扰通讯录联系人")</f>
        <v>用钱宝骚扰通讯录联系人</v>
      </c>
      <c r="C13044" s="2" t="s">
        <v>9</v>
      </c>
      <c r="D13044" s="2" t="s">
        <v>10</v>
      </c>
      <c r="E13044" s="2" t="str">
        <f>HYPERLINK("http://ts.21cn.com/tousu/show/id/1344474","http://ts.21cn.com/tousu/show/id/1344474")</f>
        <v>http://ts.21cn.com/tousu/show/id/1344474</v>
      </c>
      <c r="F13044" s="2" t="s">
        <v>11</v>
      </c>
      <c r="G13044" s="2" t="s">
        <v>18505</v>
      </c>
      <c r="H13044" s="2" t="s">
        <v>18506</v>
      </c>
    </row>
    <row r="13045" spans="1:8" ht="25.05" customHeight="1" x14ac:dyDescent="0.25">
      <c r="A13045" s="2" t="s">
        <v>8</v>
      </c>
      <c r="B13045" s="2" t="str">
        <f>HYPERLINK("http://ts.21cn.com/tousu/show/id/1344487","找不到主贷人骚扰联系人")</f>
        <v>找不到主贷人骚扰联系人</v>
      </c>
      <c r="C13045" s="2" t="s">
        <v>9</v>
      </c>
      <c r="D13045" s="2" t="s">
        <v>10</v>
      </c>
      <c r="E13045" s="2" t="str">
        <f>HYPERLINK("http://ts.21cn.com/tousu/show/id/1344487","http://ts.21cn.com/tousu/show/id/1344487")</f>
        <v>http://ts.21cn.com/tousu/show/id/1344487</v>
      </c>
      <c r="F13045" s="2" t="s">
        <v>11</v>
      </c>
      <c r="G13045" s="2" t="s">
        <v>18503</v>
      </c>
      <c r="H13045" s="2" t="s">
        <v>18504</v>
      </c>
    </row>
    <row r="13046" spans="1:8" ht="25.05" customHeight="1" x14ac:dyDescent="0.25">
      <c r="A13046" s="2" t="s">
        <v>8</v>
      </c>
      <c r="B13046" s="2" t="str">
        <f>HYPERLINK("http://ts.21cn.com/tousu/show/id/1344396","小浦优客在毫不知情情况下胡乱扣款，要求退款严惩")</f>
        <v>小浦优客在毫不知情情况下胡乱扣款，要求退款严惩</v>
      </c>
      <c r="C13046" s="2" t="s">
        <v>9</v>
      </c>
      <c r="D13046" s="2" t="s">
        <v>10</v>
      </c>
      <c r="E13046" s="2" t="str">
        <f>HYPERLINK("http://ts.21cn.com/tousu/show/id/1344396","http://ts.21cn.com/tousu/show/id/1344396")</f>
        <v>http://ts.21cn.com/tousu/show/id/1344396</v>
      </c>
      <c r="F13046" s="2" t="s">
        <v>11</v>
      </c>
      <c r="G13046" s="2" t="s">
        <v>18501</v>
      </c>
      <c r="H13046" s="2" t="s">
        <v>18502</v>
      </c>
    </row>
    <row r="13047" spans="1:8" ht="25.05" customHeight="1" x14ac:dyDescent="0.25">
      <c r="A13047" s="2" t="s">
        <v>8</v>
      </c>
      <c r="B13047" s="2" t="str">
        <f>HYPERLINK("http://ts.21cn.com/tousu/show/id/1344488","合美情感挽回忽悠人")</f>
        <v>合美情感挽回忽悠人</v>
      </c>
      <c r="C13047" s="2" t="s">
        <v>9</v>
      </c>
      <c r="D13047" s="2" t="s">
        <v>10</v>
      </c>
      <c r="E13047" s="2" t="str">
        <f>HYPERLINK("http://ts.21cn.com/tousu/show/id/1344488","http://ts.21cn.com/tousu/show/id/1344488")</f>
        <v>http://ts.21cn.com/tousu/show/id/1344488</v>
      </c>
      <c r="F13047" s="2" t="s">
        <v>11</v>
      </c>
      <c r="G13047" s="2" t="s">
        <v>18499</v>
      </c>
      <c r="H13047" s="2" t="s">
        <v>18500</v>
      </c>
    </row>
    <row r="13048" spans="1:8" ht="25.05" customHeight="1" x14ac:dyDescent="0.25">
      <c r="A13048" s="2" t="s">
        <v>8</v>
      </c>
      <c r="B13048" s="2" t="str">
        <f>HYPERLINK("http://ts.21cn.com/tousu/show/id/1344490","你我贷不顾别人死活，暴力催收")</f>
        <v>你我贷不顾别人死活，暴力催收</v>
      </c>
      <c r="C13048" s="2" t="s">
        <v>9</v>
      </c>
      <c r="D13048" s="2" t="s">
        <v>10</v>
      </c>
      <c r="E13048" s="2" t="str">
        <f>HYPERLINK("http://ts.21cn.com/tousu/show/id/1344490","http://ts.21cn.com/tousu/show/id/1344490")</f>
        <v>http://ts.21cn.com/tousu/show/id/1344490</v>
      </c>
      <c r="F13048" s="2" t="s">
        <v>11</v>
      </c>
      <c r="G13048" s="2" t="s">
        <v>18497</v>
      </c>
      <c r="H13048" s="2" t="s">
        <v>18498</v>
      </c>
    </row>
    <row r="13049" spans="1:8" ht="25.05" customHeight="1" x14ac:dyDescent="0.25">
      <c r="A13049" s="2" t="s">
        <v>8</v>
      </c>
      <c r="B13049" s="2" t="str">
        <f>HYPERLINK("http://ts.21cn.com/tousu/show/id/1344489","恶意催收")</f>
        <v>恶意催收</v>
      </c>
      <c r="C13049" s="2" t="s">
        <v>9</v>
      </c>
      <c r="D13049" s="2" t="s">
        <v>10</v>
      </c>
      <c r="E13049" s="2" t="str">
        <f>HYPERLINK("http://ts.21cn.com/tousu/show/id/1344489","http://ts.21cn.com/tousu/show/id/1344489")</f>
        <v>http://ts.21cn.com/tousu/show/id/1344489</v>
      </c>
      <c r="F13049" s="2" t="s">
        <v>11</v>
      </c>
      <c r="G13049" s="2" t="s">
        <v>18495</v>
      </c>
      <c r="H13049" s="2" t="s">
        <v>18496</v>
      </c>
    </row>
    <row r="13050" spans="1:8" ht="25.05" customHeight="1" x14ac:dyDescent="0.25">
      <c r="A13050" s="2" t="s">
        <v>8</v>
      </c>
      <c r="B13050" s="2" t="str">
        <f>HYPERLINK("http://ts.21cn.com/tousu/show/id/1344444","趣花分期推荐的轻享贷")</f>
        <v>趣花分期推荐的轻享贷</v>
      </c>
      <c r="C13050" s="2" t="s">
        <v>34</v>
      </c>
      <c r="D13050" s="2" t="s">
        <v>10</v>
      </c>
      <c r="E13050" s="2" t="str">
        <f>HYPERLINK("http://ts.21cn.com/tousu/show/id/1344444","http://ts.21cn.com/tousu/show/id/1344444")</f>
        <v>http://ts.21cn.com/tousu/show/id/1344444</v>
      </c>
      <c r="F13050" s="2" t="s">
        <v>11</v>
      </c>
      <c r="G13050" s="2" t="s">
        <v>18493</v>
      </c>
      <c r="H13050" s="2" t="s">
        <v>18494</v>
      </c>
    </row>
    <row r="13051" spans="1:8" ht="25.05" customHeight="1" x14ac:dyDescent="0.25">
      <c r="A13051" s="2" t="s">
        <v>8</v>
      </c>
      <c r="B13051" s="2" t="str">
        <f>HYPERLINK("http://ts.21cn.com/tousu/show/id/1343988","赌博网站叫充值显示拼多多商家，要求拼多多退")</f>
        <v>赌博网站叫充值显示拼多多商家，要求拼多多退</v>
      </c>
      <c r="C13051" s="2" t="s">
        <v>9</v>
      </c>
      <c r="D13051" s="2" t="s">
        <v>10</v>
      </c>
      <c r="E13051" s="2" t="str">
        <f>HYPERLINK("http://ts.21cn.com/tousu/show/id/1343988","http://ts.21cn.com/tousu/show/id/1343988")</f>
        <v>http://ts.21cn.com/tousu/show/id/1343988</v>
      </c>
      <c r="F13051" s="2" t="s">
        <v>11</v>
      </c>
      <c r="G13051" s="2" t="s">
        <v>18491</v>
      </c>
      <c r="H13051" s="2" t="s">
        <v>18492</v>
      </c>
    </row>
    <row r="13052" spans="1:8" ht="25.05" customHeight="1" x14ac:dyDescent="0.25">
      <c r="A13052" s="2" t="s">
        <v>8</v>
      </c>
      <c r="B13052" s="2" t="str">
        <f>HYPERLINK("http://ts.21cn.com/tousu/show/id/1344491","被网贷骚扰")</f>
        <v>被网贷骚扰</v>
      </c>
      <c r="C13052" s="2" t="s">
        <v>9</v>
      </c>
      <c r="D13052" s="2" t="s">
        <v>10</v>
      </c>
      <c r="E13052" s="2" t="str">
        <f>HYPERLINK("http://ts.21cn.com/tousu/show/id/1344491","http://ts.21cn.com/tousu/show/id/1344491")</f>
        <v>http://ts.21cn.com/tousu/show/id/1344491</v>
      </c>
      <c r="F13052" s="2" t="s">
        <v>11</v>
      </c>
      <c r="G13052" s="2" t="s">
        <v>18489</v>
      </c>
      <c r="H13052" s="2" t="s">
        <v>18490</v>
      </c>
    </row>
    <row r="13053" spans="1:8" ht="25.05" customHeight="1" x14ac:dyDescent="0.25">
      <c r="A13053" s="2" t="s">
        <v>8</v>
      </c>
      <c r="B13053" s="2" t="str">
        <f>HYPERLINK("http://ts.21cn.com/tousu/show/id/1344494","闪管家暴力催收，协商还本金")</f>
        <v>闪管家暴力催收，协商还本金</v>
      </c>
      <c r="C13053" s="2" t="s">
        <v>9</v>
      </c>
      <c r="D13053" s="2" t="s">
        <v>10</v>
      </c>
      <c r="E13053" s="2" t="str">
        <f>HYPERLINK("http://ts.21cn.com/tousu/show/id/1344494","http://ts.21cn.com/tousu/show/id/1344494")</f>
        <v>http://ts.21cn.com/tousu/show/id/1344494</v>
      </c>
      <c r="F13053" s="2" t="s">
        <v>11</v>
      </c>
      <c r="G13053" s="2" t="s">
        <v>18487</v>
      </c>
      <c r="H13053" s="2" t="s">
        <v>18488</v>
      </c>
    </row>
    <row r="13054" spans="1:8" ht="25.05" customHeight="1" x14ac:dyDescent="0.25">
      <c r="A13054" s="2" t="s">
        <v>8</v>
      </c>
      <c r="B13054" s="2" t="str">
        <f>HYPERLINK("http://ts.21cn.com/tousu/show/id/1344492","捷信爆通讯录")</f>
        <v>捷信爆通讯录</v>
      </c>
      <c r="C13054" s="2" t="s">
        <v>9</v>
      </c>
      <c r="D13054" s="2" t="s">
        <v>10</v>
      </c>
      <c r="E13054" s="2" t="str">
        <f>HYPERLINK("http://ts.21cn.com/tousu/show/id/1344492","http://ts.21cn.com/tousu/show/id/1344492")</f>
        <v>http://ts.21cn.com/tousu/show/id/1344492</v>
      </c>
      <c r="F13054" s="2" t="s">
        <v>11</v>
      </c>
      <c r="G13054" s="2" t="s">
        <v>18485</v>
      </c>
      <c r="H13054" s="2" t="s">
        <v>18486</v>
      </c>
    </row>
    <row r="13055" spans="1:8" ht="25.05" customHeight="1" x14ac:dyDescent="0.25">
      <c r="A13055" s="2" t="s">
        <v>8</v>
      </c>
      <c r="B13055" s="2" t="str">
        <f>HYPERLINK("http://ts.21cn.com/tousu/show/id/1344493","闪电借款套路借款，买卡不给下款")</f>
        <v>闪电借款套路借款，买卡不给下款</v>
      </c>
      <c r="C13055" s="2" t="s">
        <v>9</v>
      </c>
      <c r="D13055" s="2" t="s">
        <v>10</v>
      </c>
      <c r="E13055" s="2" t="str">
        <f>HYPERLINK("http://ts.21cn.com/tousu/show/id/1344493","http://ts.21cn.com/tousu/show/id/1344493")</f>
        <v>http://ts.21cn.com/tousu/show/id/1344493</v>
      </c>
      <c r="F13055" s="2" t="s">
        <v>11</v>
      </c>
      <c r="G13055" s="2" t="s">
        <v>18483</v>
      </c>
      <c r="H13055" s="2" t="s">
        <v>18484</v>
      </c>
    </row>
    <row r="13056" spans="1:8" ht="25.05" customHeight="1" x14ac:dyDescent="0.25">
      <c r="A13056" s="2" t="s">
        <v>8</v>
      </c>
      <c r="B13056" s="2" t="str">
        <f>HYPERLINK("http://ts.21cn.com/tousu/show/id/1344495","招联金融骚扰，暴力催收")</f>
        <v>招联金融骚扰，暴力催收</v>
      </c>
      <c r="C13056" s="2" t="s">
        <v>9</v>
      </c>
      <c r="D13056" s="2" t="s">
        <v>10</v>
      </c>
      <c r="E13056" s="2" t="str">
        <f>HYPERLINK("http://ts.21cn.com/tousu/show/id/1344495","http://ts.21cn.com/tousu/show/id/1344495")</f>
        <v>http://ts.21cn.com/tousu/show/id/1344495</v>
      </c>
      <c r="F13056" s="2" t="s">
        <v>11</v>
      </c>
      <c r="G13056" s="2" t="s">
        <v>18480</v>
      </c>
      <c r="H13056" s="2" t="s">
        <v>18481</v>
      </c>
    </row>
    <row r="13057" spans="1:8" ht="25.05" customHeight="1" x14ac:dyDescent="0.25">
      <c r="A13057" s="2" t="s">
        <v>8</v>
      </c>
      <c r="B13057" s="2" t="str">
        <f>HYPERLINK("http://ts.21cn.com/tousu/show/id/1344478","拇指下款app恶意扣费")</f>
        <v>拇指下款app恶意扣费</v>
      </c>
      <c r="C13057" s="2" t="s">
        <v>9</v>
      </c>
      <c r="D13057" s="2" t="s">
        <v>10</v>
      </c>
      <c r="E13057" s="2" t="str">
        <f>HYPERLINK("http://ts.21cn.com/tousu/show/id/1344478","http://ts.21cn.com/tousu/show/id/1344478")</f>
        <v>http://ts.21cn.com/tousu/show/id/1344478</v>
      </c>
      <c r="F13057" s="2" t="s">
        <v>11</v>
      </c>
      <c r="G13057" s="2" t="s">
        <v>18480</v>
      </c>
      <c r="H13057" s="2" t="s">
        <v>18482</v>
      </c>
    </row>
    <row r="13058" spans="1:8" ht="25.05" customHeight="1" x14ac:dyDescent="0.25">
      <c r="A13058" s="2" t="s">
        <v>8</v>
      </c>
      <c r="B13058" s="2" t="str">
        <f>HYPERLINK("http://ts.21cn.com/tousu/show/id/1344496","让消费者心灰意冷")</f>
        <v>让消费者心灰意冷</v>
      </c>
      <c r="C13058" s="2" t="s">
        <v>9</v>
      </c>
      <c r="D13058" s="2" t="s">
        <v>10</v>
      </c>
      <c r="E13058" s="2" t="str">
        <f>HYPERLINK("http://ts.21cn.com/tousu/show/id/1344496","http://ts.21cn.com/tousu/show/id/1344496")</f>
        <v>http://ts.21cn.com/tousu/show/id/1344496</v>
      </c>
      <c r="F13058" s="2" t="s">
        <v>11</v>
      </c>
      <c r="G13058" s="2" t="s">
        <v>18477</v>
      </c>
      <c r="H13058" s="2" t="s">
        <v>18478</v>
      </c>
    </row>
    <row r="13059" spans="1:8" ht="25.05" customHeight="1" x14ac:dyDescent="0.25">
      <c r="A13059" s="2" t="s">
        <v>8</v>
      </c>
      <c r="B13059" s="2" t="str">
        <f>HYPERLINK("http://ts.21cn.com/tousu/show/id/1344498","暴力催收未经允许随意拨打他人电话损坏本人声誉")</f>
        <v>暴力催收未经允许随意拨打他人电话损坏本人声誉</v>
      </c>
      <c r="C13059" s="2" t="s">
        <v>9</v>
      </c>
      <c r="D13059" s="2" t="s">
        <v>10</v>
      </c>
      <c r="E13059" s="2" t="str">
        <f>HYPERLINK("http://ts.21cn.com/tousu/show/id/1344498","http://ts.21cn.com/tousu/show/id/1344498")</f>
        <v>http://ts.21cn.com/tousu/show/id/1344498</v>
      </c>
      <c r="F13059" s="2" t="s">
        <v>11</v>
      </c>
      <c r="G13059" s="2" t="s">
        <v>18477</v>
      </c>
      <c r="H13059" s="2" t="s">
        <v>18479</v>
      </c>
    </row>
    <row r="13060" spans="1:8" ht="25.05" customHeight="1" x14ac:dyDescent="0.25">
      <c r="A13060" s="2" t="s">
        <v>8</v>
      </c>
      <c r="B13060" s="2" t="str">
        <f>HYPERLINK("http://ts.21cn.com/tousu/show/id/1344497","投诉苏州开心盒子软件有限公司无法支持售后，购买了微信聊天记录恢复的服务，结果微信聊天无法恢复成功拒不退款。三包服务都没有")</f>
        <v>投诉苏州开心盒子软件有限公司无法支持售后，购买了微信聊天记录恢复的服务，结果微信聊天无法恢复成功拒不退款。三包服务都没有</v>
      </c>
      <c r="C13060" s="2" t="s">
        <v>9</v>
      </c>
      <c r="D13060" s="2" t="s">
        <v>10</v>
      </c>
      <c r="E13060" s="2" t="str">
        <f>HYPERLINK("http://ts.21cn.com/tousu/show/id/1344497","http://ts.21cn.com/tousu/show/id/1344497")</f>
        <v>http://ts.21cn.com/tousu/show/id/1344497</v>
      </c>
      <c r="F13060" s="2" t="s">
        <v>11</v>
      </c>
      <c r="G13060" s="2" t="s">
        <v>18475</v>
      </c>
      <c r="H13060" s="2" t="s">
        <v>18476</v>
      </c>
    </row>
    <row r="13061" spans="1:8" ht="25.05" customHeight="1" x14ac:dyDescent="0.25">
      <c r="A13061" s="2" t="s">
        <v>8</v>
      </c>
      <c r="B13061" s="2" t="str">
        <f>HYPERLINK("http://ts.21cn.com/tousu/show/id/1344499","来分期还款问题")</f>
        <v>来分期还款问题</v>
      </c>
      <c r="C13061" s="2" t="s">
        <v>9</v>
      </c>
      <c r="D13061" s="2" t="s">
        <v>10</v>
      </c>
      <c r="E13061" s="2" t="str">
        <f>HYPERLINK("http://ts.21cn.com/tousu/show/id/1344499","http://ts.21cn.com/tousu/show/id/1344499")</f>
        <v>http://ts.21cn.com/tousu/show/id/1344499</v>
      </c>
      <c r="F13061" s="2" t="s">
        <v>11</v>
      </c>
      <c r="G13061" s="2" t="s">
        <v>18473</v>
      </c>
      <c r="H13061" s="2" t="s">
        <v>18474</v>
      </c>
    </row>
    <row r="13062" spans="1:8" ht="25.05" customHeight="1" x14ac:dyDescent="0.25">
      <c r="A13062" s="2" t="s">
        <v>8</v>
      </c>
      <c r="B13062" s="2" t="str">
        <f>HYPERLINK("http://ts.21cn.com/tousu/show/id/1344500","360借条虚假广告多收利息")</f>
        <v>360借条虚假广告多收利息</v>
      </c>
      <c r="C13062" s="2" t="s">
        <v>9</v>
      </c>
      <c r="D13062" s="2" t="s">
        <v>10</v>
      </c>
      <c r="E13062" s="2" t="str">
        <f>HYPERLINK("http://ts.21cn.com/tousu/show/id/1344500","http://ts.21cn.com/tousu/show/id/1344500")</f>
        <v>http://ts.21cn.com/tousu/show/id/1344500</v>
      </c>
      <c r="F13062" s="2" t="s">
        <v>11</v>
      </c>
      <c r="G13062" s="2" t="s">
        <v>18471</v>
      </c>
      <c r="H13062" s="2" t="s">
        <v>18472</v>
      </c>
    </row>
    <row r="13063" spans="1:8" ht="25.05" customHeight="1" x14ac:dyDescent="0.25">
      <c r="A13063" s="2" t="s">
        <v>8</v>
      </c>
      <c r="B13063" s="2" t="str">
        <f>HYPERLINK("http://ts.21cn.com/tousu/show/id/1344501","万惠及贷变相收取高额息费以及暴力催收")</f>
        <v>万惠及贷变相收取高额息费以及暴力催收</v>
      </c>
      <c r="C13063" s="2" t="s">
        <v>9</v>
      </c>
      <c r="D13063" s="2" t="s">
        <v>10</v>
      </c>
      <c r="E13063" s="2" t="str">
        <f>HYPERLINK("http://ts.21cn.com/tousu/show/id/1344501","http://ts.21cn.com/tousu/show/id/1344501")</f>
        <v>http://ts.21cn.com/tousu/show/id/1344501</v>
      </c>
      <c r="F13063" s="2" t="s">
        <v>11</v>
      </c>
      <c r="G13063" s="2" t="s">
        <v>18469</v>
      </c>
      <c r="H13063" s="2" t="s">
        <v>18470</v>
      </c>
    </row>
    <row r="13064" spans="1:8" ht="25.05" customHeight="1" x14ac:dyDescent="0.25">
      <c r="A13064" s="2" t="s">
        <v>8</v>
      </c>
      <c r="B13064" s="2" t="str">
        <f>HYPERLINK("http://ts.21cn.com/tousu/show/id/1344502","华夏信财暴力催收，骚扰，辱骂")</f>
        <v>华夏信财暴力催收，骚扰，辱骂</v>
      </c>
      <c r="C13064" s="2" t="s">
        <v>9</v>
      </c>
      <c r="D13064" s="2" t="s">
        <v>10</v>
      </c>
      <c r="E13064" s="2" t="str">
        <f>HYPERLINK("http://ts.21cn.com/tousu/show/id/1344502","http://ts.21cn.com/tousu/show/id/1344502")</f>
        <v>http://ts.21cn.com/tousu/show/id/1344502</v>
      </c>
      <c r="F13064" s="2" t="s">
        <v>11</v>
      </c>
      <c r="G13064" s="2" t="s">
        <v>18467</v>
      </c>
      <c r="H13064" s="2" t="s">
        <v>18468</v>
      </c>
    </row>
    <row r="13065" spans="1:8" ht="25.05" customHeight="1" x14ac:dyDescent="0.25">
      <c r="A13065" s="2" t="s">
        <v>8</v>
      </c>
      <c r="B13065" s="2" t="str">
        <f>HYPERLINK("http://ts.21cn.com/tousu/show/id/1344503","天猫超市出售发霉实物，店大欺客无人处理！")</f>
        <v>天猫超市出售发霉实物，店大欺客无人处理！</v>
      </c>
      <c r="C13065" s="2" t="s">
        <v>9</v>
      </c>
      <c r="D13065" s="2" t="s">
        <v>10</v>
      </c>
      <c r="E13065" s="2" t="str">
        <f>HYPERLINK("http://ts.21cn.com/tousu/show/id/1344503","http://ts.21cn.com/tousu/show/id/1344503")</f>
        <v>http://ts.21cn.com/tousu/show/id/1344503</v>
      </c>
      <c r="F13065" s="2" t="s">
        <v>11</v>
      </c>
      <c r="G13065" s="2" t="s">
        <v>18465</v>
      </c>
      <c r="H13065" s="2" t="s">
        <v>18466</v>
      </c>
    </row>
    <row r="13066" spans="1:8" ht="25.05" customHeight="1" x14ac:dyDescent="0.25">
      <c r="A13066" s="2" t="s">
        <v>8</v>
      </c>
      <c r="B13066" s="2" t="str">
        <f>HYPERLINK("http://ts.21cn.com/tousu/show/id/1344504","拍拍贷爆力摧收违规爆通讯录")</f>
        <v>拍拍贷爆力摧收违规爆通讯录</v>
      </c>
      <c r="C13066" s="2" t="s">
        <v>9</v>
      </c>
      <c r="D13066" s="2" t="s">
        <v>10</v>
      </c>
      <c r="E13066" s="2" t="str">
        <f>HYPERLINK("http://ts.21cn.com/tousu/show/id/1344504","http://ts.21cn.com/tousu/show/id/1344504")</f>
        <v>http://ts.21cn.com/tousu/show/id/1344504</v>
      </c>
      <c r="F13066" s="2" t="s">
        <v>11</v>
      </c>
      <c r="G13066" s="2" t="s">
        <v>18463</v>
      </c>
      <c r="H13066" s="2" t="s">
        <v>18464</v>
      </c>
    </row>
    <row r="13067" spans="1:8" ht="25.05" customHeight="1" x14ac:dyDescent="0.25">
      <c r="A13067" s="2" t="s">
        <v>8</v>
      </c>
      <c r="B13067" s="2" t="str">
        <f>HYPERLINK("http://ts.21cn.com/tousu/show/id/1344505","恶意催收，高利息，砍头息")</f>
        <v>恶意催收，高利息，砍头息</v>
      </c>
      <c r="C13067" s="2" t="s">
        <v>9</v>
      </c>
      <c r="D13067" s="2" t="s">
        <v>10</v>
      </c>
      <c r="E13067" s="2" t="str">
        <f>HYPERLINK("http://ts.21cn.com/tousu/show/id/1344505","http://ts.21cn.com/tousu/show/id/1344505")</f>
        <v>http://ts.21cn.com/tousu/show/id/1344505</v>
      </c>
      <c r="F13067" s="2" t="s">
        <v>11</v>
      </c>
      <c r="G13067" s="2" t="s">
        <v>18461</v>
      </c>
      <c r="H13067" s="2" t="s">
        <v>18462</v>
      </c>
    </row>
    <row r="13068" spans="1:8" ht="25.05" customHeight="1" x14ac:dyDescent="0.25">
      <c r="A13068" s="2" t="s">
        <v>8</v>
      </c>
      <c r="B13068" s="2" t="str">
        <f>HYPERLINK("http://ts.21cn.com/tousu/show/id/1344506","现金巴士高利贷，威胁爆通讯录")</f>
        <v>现金巴士高利贷，威胁爆通讯录</v>
      </c>
      <c r="C13068" s="2" t="s">
        <v>9</v>
      </c>
      <c r="D13068" s="2" t="s">
        <v>10</v>
      </c>
      <c r="E13068" s="2" t="str">
        <f>HYPERLINK("http://ts.21cn.com/tousu/show/id/1344506","http://ts.21cn.com/tousu/show/id/1344506")</f>
        <v>http://ts.21cn.com/tousu/show/id/1344506</v>
      </c>
      <c r="F13068" s="2" t="s">
        <v>11</v>
      </c>
      <c r="G13068" s="2" t="s">
        <v>18459</v>
      </c>
      <c r="H13068" s="2" t="s">
        <v>18460</v>
      </c>
    </row>
    <row r="13069" spans="1:8" ht="25.05" customHeight="1" x14ac:dyDescent="0.25">
      <c r="A13069" s="2" t="s">
        <v>8</v>
      </c>
      <c r="B13069" s="2" t="str">
        <f>HYPERLINK("http://ts.21cn.com/tousu/show/id/1344507","马上消费金融暴力催收，威胁")</f>
        <v>马上消费金融暴力催收，威胁</v>
      </c>
      <c r="C13069" s="2" t="s">
        <v>9</v>
      </c>
      <c r="D13069" s="2" t="s">
        <v>10</v>
      </c>
      <c r="E13069" s="2" t="str">
        <f>HYPERLINK("http://ts.21cn.com/tousu/show/id/1344507","http://ts.21cn.com/tousu/show/id/1344507")</f>
        <v>http://ts.21cn.com/tousu/show/id/1344507</v>
      </c>
      <c r="F13069" s="2" t="s">
        <v>11</v>
      </c>
      <c r="G13069" s="2" t="s">
        <v>18457</v>
      </c>
      <c r="H13069" s="2" t="s">
        <v>18458</v>
      </c>
    </row>
    <row r="13070" spans="1:8" ht="25.05" customHeight="1" x14ac:dyDescent="0.25">
      <c r="A13070" s="2" t="s">
        <v>8</v>
      </c>
      <c r="B13070" s="2" t="str">
        <f>HYPERLINK("http://ts.21cn.com/tousu/show/id/1344508","钱站打电话骚扰家人")</f>
        <v>钱站打电话骚扰家人</v>
      </c>
      <c r="C13070" s="2" t="s">
        <v>9</v>
      </c>
      <c r="D13070" s="2" t="s">
        <v>10</v>
      </c>
      <c r="E13070" s="2" t="str">
        <f>HYPERLINK("http://ts.21cn.com/tousu/show/id/1344508","http://ts.21cn.com/tousu/show/id/1344508")</f>
        <v>http://ts.21cn.com/tousu/show/id/1344508</v>
      </c>
      <c r="F13070" s="2" t="s">
        <v>11</v>
      </c>
      <c r="G13070" s="2" t="s">
        <v>18455</v>
      </c>
      <c r="H13070" s="2" t="s">
        <v>18456</v>
      </c>
    </row>
    <row r="13071" spans="1:8" ht="25.05" customHeight="1" x14ac:dyDescent="0.25">
      <c r="A13071" s="2" t="s">
        <v>8</v>
      </c>
      <c r="B13071" s="2" t="str">
        <f>HYPERLINK("http://ts.21cn.com/tousu/show/id/1344509","造艺网络科技公司未经过同意私自扣款")</f>
        <v>造艺网络科技公司未经过同意私自扣款</v>
      </c>
      <c r="C13071" s="2" t="s">
        <v>9</v>
      </c>
      <c r="D13071" s="2" t="s">
        <v>10</v>
      </c>
      <c r="E13071" s="2" t="str">
        <f>HYPERLINK("http://ts.21cn.com/tousu/show/id/1344509","http://ts.21cn.com/tousu/show/id/1344509")</f>
        <v>http://ts.21cn.com/tousu/show/id/1344509</v>
      </c>
      <c r="F13071" s="2" t="s">
        <v>11</v>
      </c>
      <c r="G13071" s="2" t="s">
        <v>18453</v>
      </c>
      <c r="H13071" s="2" t="s">
        <v>18454</v>
      </c>
    </row>
    <row r="13072" spans="1:8" ht="25.05" customHeight="1" x14ac:dyDescent="0.25">
      <c r="A13072" s="2" t="s">
        <v>8</v>
      </c>
      <c r="B13072" s="2" t="str">
        <f>HYPERLINK("http://ts.21cn.com/tousu/show/id/1344510","恶意扣费申请退款")</f>
        <v>恶意扣费申请退款</v>
      </c>
      <c r="C13072" s="2" t="s">
        <v>9</v>
      </c>
      <c r="D13072" s="2" t="s">
        <v>10</v>
      </c>
      <c r="E13072" s="2" t="str">
        <f>HYPERLINK("http://ts.21cn.com/tousu/show/id/1344510","http://ts.21cn.com/tousu/show/id/1344510")</f>
        <v>http://ts.21cn.com/tousu/show/id/1344510</v>
      </c>
      <c r="F13072" s="2" t="s">
        <v>11</v>
      </c>
      <c r="G13072" s="2" t="s">
        <v>18451</v>
      </c>
      <c r="H13072" s="2" t="s">
        <v>18452</v>
      </c>
    </row>
    <row r="13073" spans="1:8" ht="25.05" customHeight="1" x14ac:dyDescent="0.25">
      <c r="A13073" s="2" t="s">
        <v>8</v>
      </c>
      <c r="B13073" s="2" t="str">
        <f>HYPERLINK("http://ts.21cn.com/tousu/show/id/1344511","龙行管家虚假宣传误导办卡")</f>
        <v>龙行管家虚假宣传误导办卡</v>
      </c>
      <c r="C13073" s="2" t="s">
        <v>9</v>
      </c>
      <c r="D13073" s="2" t="s">
        <v>10</v>
      </c>
      <c r="E13073" s="2" t="str">
        <f>HYPERLINK("http://ts.21cn.com/tousu/show/id/1344511","http://ts.21cn.com/tousu/show/id/1344511")</f>
        <v>http://ts.21cn.com/tousu/show/id/1344511</v>
      </c>
      <c r="F13073" s="2" t="s">
        <v>11</v>
      </c>
      <c r="G13073" s="2" t="s">
        <v>18449</v>
      </c>
      <c r="H13073" s="2" t="s">
        <v>18450</v>
      </c>
    </row>
    <row r="13074" spans="1:8" ht="25.05" customHeight="1" x14ac:dyDescent="0.25">
      <c r="A13074" s="2" t="s">
        <v>8</v>
      </c>
      <c r="B13074" s="2" t="str">
        <f>HYPERLINK("http://ts.21cn.com/tousu/show/id/1344513","招商银行在能联系到我的情况下骚扰家人朋友")</f>
        <v>招商银行在能联系到我的情况下骚扰家人朋友</v>
      </c>
      <c r="C13074" s="2" t="s">
        <v>9</v>
      </c>
      <c r="D13074" s="2" t="s">
        <v>10</v>
      </c>
      <c r="E13074" s="2" t="str">
        <f>HYPERLINK("http://ts.21cn.com/tousu/show/id/1344513","http://ts.21cn.com/tousu/show/id/1344513")</f>
        <v>http://ts.21cn.com/tousu/show/id/1344513</v>
      </c>
      <c r="F13074" s="2" t="s">
        <v>11</v>
      </c>
      <c r="G13074" s="2" t="s">
        <v>18447</v>
      </c>
      <c r="H13074" s="2" t="s">
        <v>18448</v>
      </c>
    </row>
    <row r="13075" spans="1:8" ht="25.05" customHeight="1" x14ac:dyDescent="0.25">
      <c r="A13075" s="2" t="s">
        <v>8</v>
      </c>
      <c r="B13075" s="2" t="str">
        <f>HYPERLINK("http://ts.21cn.com/tousu/show/id/1344514","永安保险与网贷合作强制投保")</f>
        <v>永安保险与网贷合作强制投保</v>
      </c>
      <c r="C13075" s="2" t="s">
        <v>9</v>
      </c>
      <c r="D13075" s="2" t="s">
        <v>10</v>
      </c>
      <c r="E13075" s="2" t="str">
        <f>HYPERLINK("http://ts.21cn.com/tousu/show/id/1344514","http://ts.21cn.com/tousu/show/id/1344514")</f>
        <v>http://ts.21cn.com/tousu/show/id/1344514</v>
      </c>
      <c r="F13075" s="2" t="s">
        <v>11</v>
      </c>
      <c r="G13075" s="2" t="s">
        <v>18445</v>
      </c>
      <c r="H13075" s="2" t="s">
        <v>18446</v>
      </c>
    </row>
    <row r="13076" spans="1:8" ht="25.05" customHeight="1" x14ac:dyDescent="0.25">
      <c r="A13076" s="2" t="s">
        <v>8</v>
      </c>
      <c r="B13076" s="2" t="str">
        <f>HYPERLINK("http://ts.21cn.com/tousu/show/id/1344515","小当家砍头息")</f>
        <v>小当家砍头息</v>
      </c>
      <c r="C13076" s="2" t="s">
        <v>34</v>
      </c>
      <c r="D13076" s="2" t="s">
        <v>10</v>
      </c>
      <c r="E13076" s="2" t="str">
        <f>HYPERLINK("http://ts.21cn.com/tousu/show/id/1344515","http://ts.21cn.com/tousu/show/id/1344515")</f>
        <v>http://ts.21cn.com/tousu/show/id/1344515</v>
      </c>
      <c r="F13076" s="2" t="s">
        <v>11</v>
      </c>
      <c r="G13076" s="2" t="s">
        <v>18443</v>
      </c>
      <c r="H13076" s="2" t="s">
        <v>18444</v>
      </c>
    </row>
    <row r="13077" spans="1:8" ht="25.05" customHeight="1" x14ac:dyDescent="0.25">
      <c r="A13077" s="2" t="s">
        <v>8</v>
      </c>
      <c r="B13077" s="2" t="str">
        <f>HYPERLINK("http://ts.21cn.com/tousu/show/id/1344518","活力花高利贷违法催收")</f>
        <v>活力花高利贷违法催收</v>
      </c>
      <c r="C13077" s="2" t="s">
        <v>9</v>
      </c>
      <c r="D13077" s="2" t="s">
        <v>10</v>
      </c>
      <c r="E13077" s="2" t="str">
        <f>HYPERLINK("http://ts.21cn.com/tousu/show/id/1344518","http://ts.21cn.com/tousu/show/id/1344518")</f>
        <v>http://ts.21cn.com/tousu/show/id/1344518</v>
      </c>
      <c r="F13077" s="2" t="s">
        <v>11</v>
      </c>
      <c r="G13077" s="2" t="s">
        <v>18441</v>
      </c>
      <c r="H13077" s="2" t="s">
        <v>18442</v>
      </c>
    </row>
    <row r="13078" spans="1:8" ht="25.05" customHeight="1" x14ac:dyDescent="0.25">
      <c r="A13078" s="2" t="s">
        <v>8</v>
      </c>
      <c r="B13078" s="2" t="str">
        <f>HYPERLINK("http://ts.21cn.com/tousu/show/id/1344517","最后一期提前还款结清系统还不了客服态度恶劣")</f>
        <v>最后一期提前还款结清系统还不了客服态度恶劣</v>
      </c>
      <c r="C13078" s="2" t="s">
        <v>9</v>
      </c>
      <c r="D13078" s="2" t="s">
        <v>10</v>
      </c>
      <c r="E13078" s="2" t="str">
        <f>HYPERLINK("http://ts.21cn.com/tousu/show/id/1344517","http://ts.21cn.com/tousu/show/id/1344517")</f>
        <v>http://ts.21cn.com/tousu/show/id/1344517</v>
      </c>
      <c r="F13078" s="2" t="s">
        <v>11</v>
      </c>
      <c r="G13078" s="2" t="s">
        <v>18439</v>
      </c>
      <c r="H13078" s="2" t="s">
        <v>18440</v>
      </c>
    </row>
    <row r="13079" spans="1:8" ht="25.05" customHeight="1" x14ac:dyDescent="0.25">
      <c r="A13079" s="2" t="s">
        <v>8</v>
      </c>
      <c r="B13079" s="2" t="str">
        <f>HYPERLINK("http://ts.21cn.com/tousu/show/id/1344519","马上消费金融威胁暴力催收")</f>
        <v>马上消费金融威胁暴力催收</v>
      </c>
      <c r="C13079" s="2" t="s">
        <v>9</v>
      </c>
      <c r="D13079" s="2" t="s">
        <v>10</v>
      </c>
      <c r="E13079" s="2" t="str">
        <f>HYPERLINK("http://ts.21cn.com/tousu/show/id/1344519","http://ts.21cn.com/tousu/show/id/1344519")</f>
        <v>http://ts.21cn.com/tousu/show/id/1344519</v>
      </c>
      <c r="F13079" s="2" t="s">
        <v>11</v>
      </c>
      <c r="G13079" s="2" t="s">
        <v>18437</v>
      </c>
      <c r="H13079" s="2" t="s">
        <v>18438</v>
      </c>
    </row>
    <row r="13080" spans="1:8" ht="25.05" customHeight="1" x14ac:dyDescent="0.25">
      <c r="A13080" s="2" t="s">
        <v>8</v>
      </c>
      <c r="B13080" s="2" t="str">
        <f>HYPERLINK("http://ts.21cn.com/tousu/show/id/1344520","移动公司克扣代理商押金，退还押金不及时！")</f>
        <v>移动公司克扣代理商押金，退还押金不及时！</v>
      </c>
      <c r="C13080" s="2" t="s">
        <v>9</v>
      </c>
      <c r="D13080" s="2" t="s">
        <v>10</v>
      </c>
      <c r="E13080" s="2" t="str">
        <f>HYPERLINK("http://ts.21cn.com/tousu/show/id/1344520","http://ts.21cn.com/tousu/show/id/1344520")</f>
        <v>http://ts.21cn.com/tousu/show/id/1344520</v>
      </c>
      <c r="F13080" s="2" t="s">
        <v>11</v>
      </c>
      <c r="G13080" s="2" t="s">
        <v>18435</v>
      </c>
      <c r="H13080" s="2" t="s">
        <v>18436</v>
      </c>
    </row>
    <row r="13081" spans="1:8" ht="25.05" customHeight="1" x14ac:dyDescent="0.25">
      <c r="A13081" s="2" t="s">
        <v>8</v>
      </c>
      <c r="B13081" s="2" t="str">
        <f>HYPERLINK("http://ts.21cn.com/tousu/show/id/1344521","小当家借款平台，高额利息，砍头息")</f>
        <v>小当家借款平台，高额利息，砍头息</v>
      </c>
      <c r="C13081" s="2" t="s">
        <v>9</v>
      </c>
      <c r="D13081" s="2" t="s">
        <v>10</v>
      </c>
      <c r="E13081" s="2" t="str">
        <f>HYPERLINK("http://ts.21cn.com/tousu/show/id/1344521","http://ts.21cn.com/tousu/show/id/1344521")</f>
        <v>http://ts.21cn.com/tousu/show/id/1344521</v>
      </c>
      <c r="F13081" s="2" t="s">
        <v>11</v>
      </c>
      <c r="G13081" s="2" t="s">
        <v>18433</v>
      </c>
      <c r="H13081" s="2" t="s">
        <v>18434</v>
      </c>
    </row>
    <row r="13082" spans="1:8" ht="25.05" customHeight="1" x14ac:dyDescent="0.25">
      <c r="A13082" s="2" t="s">
        <v>8</v>
      </c>
      <c r="B13082" s="2" t="str">
        <f>HYPERLINK("http://ts.21cn.com/tousu/show/id/1344522","暴力催收不给协商还款")</f>
        <v>暴力催收不给协商还款</v>
      </c>
      <c r="C13082" s="2" t="s">
        <v>9</v>
      </c>
      <c r="D13082" s="2" t="s">
        <v>10</v>
      </c>
      <c r="E13082" s="2" t="str">
        <f>HYPERLINK("http://ts.21cn.com/tousu/show/id/1344522","http://ts.21cn.com/tousu/show/id/1344522")</f>
        <v>http://ts.21cn.com/tousu/show/id/1344522</v>
      </c>
      <c r="F13082" s="2" t="s">
        <v>11</v>
      </c>
      <c r="G13082" s="2" t="s">
        <v>18431</v>
      </c>
      <c r="H13082" s="2" t="s">
        <v>18432</v>
      </c>
    </row>
    <row r="13083" spans="1:8" ht="25.05" customHeight="1" x14ac:dyDescent="0.25">
      <c r="A13083" s="2" t="s">
        <v>8</v>
      </c>
      <c r="B13083" s="2" t="str">
        <f>HYPERLINK("http://ts.21cn.com/tousu/show/id/1344524","玖富万卡提前还款利息疯狂")</f>
        <v>玖富万卡提前还款利息疯狂</v>
      </c>
      <c r="C13083" s="2" t="s">
        <v>9</v>
      </c>
      <c r="D13083" s="2" t="s">
        <v>10</v>
      </c>
      <c r="E13083" s="2" t="str">
        <f>HYPERLINK("http://ts.21cn.com/tousu/show/id/1344524","http://ts.21cn.com/tousu/show/id/1344524")</f>
        <v>http://ts.21cn.com/tousu/show/id/1344524</v>
      </c>
      <c r="F13083" s="2" t="s">
        <v>11</v>
      </c>
      <c r="G13083" s="2" t="s">
        <v>18429</v>
      </c>
      <c r="H13083" s="2" t="s">
        <v>18430</v>
      </c>
    </row>
    <row r="13084" spans="1:8" ht="25.05" customHeight="1" x14ac:dyDescent="0.25">
      <c r="A13084" s="2" t="s">
        <v>8</v>
      </c>
      <c r="B13084" s="2" t="str">
        <f>HYPERLINK("http://ts.21cn.com/tousu/show/id/1344523","爆我通讯录")</f>
        <v>爆我通讯录</v>
      </c>
      <c r="C13084" s="2" t="s">
        <v>34</v>
      </c>
      <c r="D13084" s="2" t="s">
        <v>10</v>
      </c>
      <c r="E13084" s="2" t="str">
        <f>HYPERLINK("http://ts.21cn.com/tousu/show/id/1344523","http://ts.21cn.com/tousu/show/id/1344523")</f>
        <v>http://ts.21cn.com/tousu/show/id/1344523</v>
      </c>
      <c r="F13084" s="2" t="s">
        <v>11</v>
      </c>
      <c r="G13084" s="2" t="s">
        <v>18427</v>
      </c>
      <c r="H13084" s="2" t="s">
        <v>18428</v>
      </c>
    </row>
    <row r="13085" spans="1:8" ht="25.05" customHeight="1" x14ac:dyDescent="0.25">
      <c r="A13085" s="2" t="s">
        <v>8</v>
      </c>
      <c r="B13085" s="2" t="str">
        <f>HYPERLINK("http://ts.21cn.com/tousu/show/id/1344525","轻享贷")</f>
        <v>轻享贷</v>
      </c>
      <c r="C13085" s="2" t="s">
        <v>9</v>
      </c>
      <c r="D13085" s="2" t="s">
        <v>10</v>
      </c>
      <c r="E13085" s="2" t="str">
        <f>HYPERLINK("http://ts.21cn.com/tousu/show/id/1344525","http://ts.21cn.com/tousu/show/id/1344525")</f>
        <v>http://ts.21cn.com/tousu/show/id/1344525</v>
      </c>
      <c r="F13085" s="2" t="s">
        <v>11</v>
      </c>
      <c r="G13085" s="2" t="s">
        <v>18425</v>
      </c>
      <c r="H13085" s="2" t="s">
        <v>18426</v>
      </c>
    </row>
    <row r="13086" spans="1:8" ht="25.05" customHeight="1" x14ac:dyDescent="0.25">
      <c r="A13086" s="2" t="s">
        <v>8</v>
      </c>
      <c r="B13086" s="2" t="str">
        <f>HYPERLINK("http://ts.21cn.com/tousu/show/id/1344526","上海宝付支付为714及高利贷平台提供支付服务")</f>
        <v>上海宝付支付为714及高利贷平台提供支付服务</v>
      </c>
      <c r="C13086" s="2" t="s">
        <v>9</v>
      </c>
      <c r="D13086" s="2" t="s">
        <v>10</v>
      </c>
      <c r="E13086" s="2" t="str">
        <f>HYPERLINK("http://ts.21cn.com/tousu/show/id/1344526","http://ts.21cn.com/tousu/show/id/1344526")</f>
        <v>http://ts.21cn.com/tousu/show/id/1344526</v>
      </c>
      <c r="F13086" s="2" t="s">
        <v>11</v>
      </c>
      <c r="G13086" s="2" t="s">
        <v>18423</v>
      </c>
      <c r="H13086" s="2" t="s">
        <v>18424</v>
      </c>
    </row>
    <row r="13087" spans="1:8" ht="25.05" customHeight="1" x14ac:dyDescent="0.25">
      <c r="A13087" s="2" t="s">
        <v>8</v>
      </c>
      <c r="B13087" s="2" t="str">
        <f>HYPERLINK("http://ts.21cn.com/tousu/show/id/1344527","小黑鲨高利贷3500一个月4300")</f>
        <v>小黑鲨高利贷3500一个月4300</v>
      </c>
      <c r="C13087" s="2" t="s">
        <v>9</v>
      </c>
      <c r="D13087" s="2" t="s">
        <v>10</v>
      </c>
      <c r="E13087" s="2" t="str">
        <f>HYPERLINK("http://ts.21cn.com/tousu/show/id/1344527","http://ts.21cn.com/tousu/show/id/1344527")</f>
        <v>http://ts.21cn.com/tousu/show/id/1344527</v>
      </c>
      <c r="F13087" s="2" t="s">
        <v>11</v>
      </c>
      <c r="G13087" s="2" t="s">
        <v>18421</v>
      </c>
      <c r="H13087" s="2" t="s">
        <v>18422</v>
      </c>
    </row>
    <row r="13088" spans="1:8" ht="25.05" customHeight="1" x14ac:dyDescent="0.25">
      <c r="A13088" s="2" t="s">
        <v>8</v>
      </c>
      <c r="B13088" s="2" t="str">
        <f>HYPERLINK("http://ts.21cn.com/tousu/show/id/1344528","拍拍贷软暴力催收爆通讯录")</f>
        <v>拍拍贷软暴力催收爆通讯录</v>
      </c>
      <c r="C13088" s="2" t="s">
        <v>9</v>
      </c>
      <c r="D13088" s="2" t="s">
        <v>10</v>
      </c>
      <c r="E13088" s="2" t="str">
        <f>HYPERLINK("http://ts.21cn.com/tousu/show/id/1344528","http://ts.21cn.com/tousu/show/id/1344528")</f>
        <v>http://ts.21cn.com/tousu/show/id/1344528</v>
      </c>
      <c r="F13088" s="2" t="s">
        <v>11</v>
      </c>
      <c r="G13088" s="2" t="s">
        <v>18419</v>
      </c>
      <c r="H13088" s="2" t="s">
        <v>18420</v>
      </c>
    </row>
    <row r="13089" spans="1:8" ht="25.05" customHeight="1" x14ac:dyDescent="0.25">
      <c r="A13089" s="2" t="s">
        <v>8</v>
      </c>
      <c r="B13089" s="2" t="str">
        <f>HYPERLINK("http://ts.21cn.com/tousu/show/id/1344529","由于大病一场以及手划伤缝了四针而使信用卡逾期三个月请求全款分期，我个人暂时没有能力全额偿还了")</f>
        <v>由于大病一场以及手划伤缝了四针而使信用卡逾期三个月请求全款分期，我个人暂时没有能力全额偿还了</v>
      </c>
      <c r="C13089" s="2" t="s">
        <v>9</v>
      </c>
      <c r="D13089" s="2" t="s">
        <v>10</v>
      </c>
      <c r="E13089" s="2" t="str">
        <f>HYPERLINK("http://ts.21cn.com/tousu/show/id/1344529","http://ts.21cn.com/tousu/show/id/1344529")</f>
        <v>http://ts.21cn.com/tousu/show/id/1344529</v>
      </c>
      <c r="F13089" s="2" t="s">
        <v>11</v>
      </c>
      <c r="G13089" s="2" t="s">
        <v>18417</v>
      </c>
      <c r="H13089" s="2" t="s">
        <v>18418</v>
      </c>
    </row>
    <row r="13090" spans="1:8" ht="25.05" customHeight="1" x14ac:dyDescent="0.25">
      <c r="A13090" s="2" t="s">
        <v>8</v>
      </c>
      <c r="B13090" s="2" t="str">
        <f>HYPERLINK("http://ts.21cn.com/tousu/show/id/1344532","投诉支付宝蚂蚁花呗乱扣费")</f>
        <v>投诉支付宝蚂蚁花呗乱扣费</v>
      </c>
      <c r="C13090" s="2" t="s">
        <v>9</v>
      </c>
      <c r="D13090" s="2" t="s">
        <v>10</v>
      </c>
      <c r="E13090" s="2" t="str">
        <f>HYPERLINK("http://ts.21cn.com/tousu/show/id/1344532","http://ts.21cn.com/tousu/show/id/1344532")</f>
        <v>http://ts.21cn.com/tousu/show/id/1344532</v>
      </c>
      <c r="F13090" s="2" t="s">
        <v>11</v>
      </c>
      <c r="G13090" s="2" t="s">
        <v>18415</v>
      </c>
      <c r="H13090" s="2" t="s">
        <v>18416</v>
      </c>
    </row>
    <row r="13091" spans="1:8" ht="25.05" customHeight="1" x14ac:dyDescent="0.25">
      <c r="A13091" s="2" t="s">
        <v>8</v>
      </c>
      <c r="B13091" s="2" t="str">
        <f>HYPERLINK("http://ts.21cn.com/tousu/show/id/1344533","招联好期贷疯狂电话骚扰！")</f>
        <v>招联好期贷疯狂电话骚扰！</v>
      </c>
      <c r="C13091" s="2" t="s">
        <v>9</v>
      </c>
      <c r="D13091" s="2" t="s">
        <v>10</v>
      </c>
      <c r="E13091" s="2" t="str">
        <f>HYPERLINK("http://ts.21cn.com/tousu/show/id/1344533","http://ts.21cn.com/tousu/show/id/1344533")</f>
        <v>http://ts.21cn.com/tousu/show/id/1344533</v>
      </c>
      <c r="F13091" s="2" t="s">
        <v>11</v>
      </c>
      <c r="G13091" s="2" t="s">
        <v>18413</v>
      </c>
      <c r="H13091" s="2" t="s">
        <v>18414</v>
      </c>
    </row>
    <row r="13092" spans="1:8" ht="25.05" customHeight="1" x14ac:dyDescent="0.25">
      <c r="A13092" s="2" t="s">
        <v>8</v>
      </c>
      <c r="B13092" s="2" t="str">
        <f>HYPERLINK("http://ts.21cn.com/tousu/show/id/1344534","停止骚扰")</f>
        <v>停止骚扰</v>
      </c>
      <c r="C13092" s="2" t="s">
        <v>9</v>
      </c>
      <c r="D13092" s="2" t="s">
        <v>10</v>
      </c>
      <c r="E13092" s="2" t="str">
        <f>HYPERLINK("http://ts.21cn.com/tousu/show/id/1344534","http://ts.21cn.com/tousu/show/id/1344534")</f>
        <v>http://ts.21cn.com/tousu/show/id/1344534</v>
      </c>
      <c r="F13092" s="2" t="s">
        <v>11</v>
      </c>
      <c r="G13092" s="2" t="s">
        <v>18411</v>
      </c>
      <c r="H13092" s="2" t="s">
        <v>18412</v>
      </c>
    </row>
    <row r="13093" spans="1:8" ht="25.05" customHeight="1" x14ac:dyDescent="0.25">
      <c r="A13093" s="2" t="s">
        <v>8</v>
      </c>
      <c r="B13093" s="2" t="str">
        <f>HYPERLINK("http://ts.21cn.com/tousu/show/id/1344535","高利贷")</f>
        <v>高利贷</v>
      </c>
      <c r="C13093" s="2" t="s">
        <v>9</v>
      </c>
      <c r="D13093" s="2" t="s">
        <v>10</v>
      </c>
      <c r="E13093" s="2" t="str">
        <f>HYPERLINK("http://ts.21cn.com/tousu/show/id/1344535","http://ts.21cn.com/tousu/show/id/1344535")</f>
        <v>http://ts.21cn.com/tousu/show/id/1344535</v>
      </c>
      <c r="F13093" s="2" t="s">
        <v>11</v>
      </c>
      <c r="G13093" s="2" t="s">
        <v>18409</v>
      </c>
      <c r="H13093" s="2" t="s">
        <v>18410</v>
      </c>
    </row>
    <row r="13094" spans="1:8" ht="25.05" customHeight="1" x14ac:dyDescent="0.25">
      <c r="A13094" s="2" t="s">
        <v>8</v>
      </c>
      <c r="B13094" s="2" t="str">
        <f>HYPERLINK("http://ts.21cn.com/tousu/show/id/1344536","旗下聚福钱包一个多月未退款")</f>
        <v>旗下聚福钱包一个多月未退款</v>
      </c>
      <c r="C13094" s="2" t="s">
        <v>9</v>
      </c>
      <c r="D13094" s="2" t="s">
        <v>10</v>
      </c>
      <c r="E13094" s="2" t="str">
        <f>HYPERLINK("http://ts.21cn.com/tousu/show/id/1344536","http://ts.21cn.com/tousu/show/id/1344536")</f>
        <v>http://ts.21cn.com/tousu/show/id/1344536</v>
      </c>
      <c r="F13094" s="2" t="s">
        <v>11</v>
      </c>
      <c r="G13094" s="2" t="s">
        <v>18407</v>
      </c>
      <c r="H13094" s="2" t="s">
        <v>18408</v>
      </c>
    </row>
    <row r="13095" spans="1:8" ht="25.05" customHeight="1" x14ac:dyDescent="0.25">
      <c r="A13095" s="2" t="s">
        <v>8</v>
      </c>
      <c r="B13095" s="2" t="str">
        <f>HYPERLINK("http://ts.21cn.com/tousu/show/id/1344537","闪银投诉没有用，继续爆通讯录，骚扰家人")</f>
        <v>闪银投诉没有用，继续爆通讯录，骚扰家人</v>
      </c>
      <c r="C13095" s="2" t="s">
        <v>9</v>
      </c>
      <c r="D13095" s="2" t="s">
        <v>10</v>
      </c>
      <c r="E13095" s="2" t="str">
        <f>HYPERLINK("http://ts.21cn.com/tousu/show/id/1344537","http://ts.21cn.com/tousu/show/id/1344537")</f>
        <v>http://ts.21cn.com/tousu/show/id/1344537</v>
      </c>
      <c r="F13095" s="2" t="s">
        <v>11</v>
      </c>
      <c r="G13095" s="2" t="s">
        <v>18405</v>
      </c>
      <c r="H13095" s="2" t="s">
        <v>18406</v>
      </c>
    </row>
    <row r="13096" spans="1:8" ht="25.05" customHeight="1" x14ac:dyDescent="0.25">
      <c r="A13096" s="2" t="s">
        <v>8</v>
      </c>
      <c r="B13096" s="2" t="str">
        <f>HYPERLINK("http://ts.21cn.com/tousu/show/id/1344538","浦发银行暴力催收。不给协商还款")</f>
        <v>浦发银行暴力催收。不给协商还款</v>
      </c>
      <c r="C13096" s="2" t="s">
        <v>9</v>
      </c>
      <c r="D13096" s="2" t="s">
        <v>10</v>
      </c>
      <c r="E13096" s="2" t="str">
        <f>HYPERLINK("http://ts.21cn.com/tousu/show/id/1344538","http://ts.21cn.com/tousu/show/id/1344538")</f>
        <v>http://ts.21cn.com/tousu/show/id/1344538</v>
      </c>
      <c r="F13096" s="2" t="s">
        <v>11</v>
      </c>
      <c r="G13096" s="2" t="s">
        <v>18403</v>
      </c>
      <c r="H13096" s="2" t="s">
        <v>18404</v>
      </c>
    </row>
    <row r="13097" spans="1:8" ht="25.05" customHeight="1" x14ac:dyDescent="0.25">
      <c r="A13097" s="2" t="s">
        <v>8</v>
      </c>
      <c r="B13097" s="2" t="str">
        <f>HYPERLINK("http://ts.21cn.com/tousu/show/id/1344540","小浦优客随意扣款")</f>
        <v>小浦优客随意扣款</v>
      </c>
      <c r="C13097" s="2" t="s">
        <v>9</v>
      </c>
      <c r="D13097" s="2" t="s">
        <v>10</v>
      </c>
      <c r="E13097" s="2" t="str">
        <f>HYPERLINK("http://ts.21cn.com/tousu/show/id/1344540","http://ts.21cn.com/tousu/show/id/1344540")</f>
        <v>http://ts.21cn.com/tousu/show/id/1344540</v>
      </c>
      <c r="F13097" s="2" t="s">
        <v>11</v>
      </c>
      <c r="G13097" s="2" t="s">
        <v>18401</v>
      </c>
      <c r="H13097" s="2" t="s">
        <v>18402</v>
      </c>
    </row>
    <row r="13098" spans="1:8" ht="25.05" customHeight="1" x14ac:dyDescent="0.25">
      <c r="A13098" s="2" t="s">
        <v>8</v>
      </c>
      <c r="B13098" s="2" t="str">
        <f>HYPERLINK("http://ts.21cn.com/tousu/show/id/1344541","投诉对啊网不退款")</f>
        <v>投诉对啊网不退款</v>
      </c>
      <c r="C13098" s="2" t="s">
        <v>9</v>
      </c>
      <c r="D13098" s="2" t="s">
        <v>10</v>
      </c>
      <c r="E13098" s="2" t="str">
        <f>HYPERLINK("http://ts.21cn.com/tousu/show/id/1344541","http://ts.21cn.com/tousu/show/id/1344541")</f>
        <v>http://ts.21cn.com/tousu/show/id/1344541</v>
      </c>
      <c r="F13098" s="2" t="s">
        <v>11</v>
      </c>
      <c r="G13098" s="2" t="s">
        <v>18399</v>
      </c>
      <c r="H13098" s="2" t="s">
        <v>18400</v>
      </c>
    </row>
    <row r="13099" spans="1:8" ht="25.05" customHeight="1" x14ac:dyDescent="0.25">
      <c r="A13099" s="2" t="s">
        <v>8</v>
      </c>
      <c r="B13099" s="2" t="str">
        <f>HYPERLINK("http://ts.21cn.com/tousu/show/id/1344542","瓜子二手车保卖服务，按照合同规定45天内完成过户，现已经超45天，迟迟不给指标")</f>
        <v>瓜子二手车保卖服务，按照合同规定45天内完成过户，现已经超45天，迟迟不给指标</v>
      </c>
      <c r="C13099" s="2" t="s">
        <v>9</v>
      </c>
      <c r="D13099" s="2" t="s">
        <v>10</v>
      </c>
      <c r="E13099" s="2" t="str">
        <f>HYPERLINK("http://ts.21cn.com/tousu/show/id/1344542","http://ts.21cn.com/tousu/show/id/1344542")</f>
        <v>http://ts.21cn.com/tousu/show/id/1344542</v>
      </c>
      <c r="F13099" s="2" t="s">
        <v>11</v>
      </c>
      <c r="G13099" s="2" t="s">
        <v>18397</v>
      </c>
      <c r="H13099" s="2" t="s">
        <v>18398</v>
      </c>
    </row>
    <row r="13100" spans="1:8" ht="25.05" customHeight="1" x14ac:dyDescent="0.25">
      <c r="A13100" s="2" t="s">
        <v>8</v>
      </c>
      <c r="B13100" s="2" t="str">
        <f>HYPERLINK("http://ts.21cn.com/tousu/show/id/1344543","我在永利贷没有进行过借款。")</f>
        <v>我在永利贷没有进行过借款。</v>
      </c>
      <c r="C13100" s="2" t="s">
        <v>9</v>
      </c>
      <c r="D13100" s="2" t="s">
        <v>10</v>
      </c>
      <c r="E13100" s="2" t="str">
        <f>HYPERLINK("http://ts.21cn.com/tousu/show/id/1344543","http://ts.21cn.com/tousu/show/id/1344543")</f>
        <v>http://ts.21cn.com/tousu/show/id/1344543</v>
      </c>
      <c r="F13100" s="2" t="s">
        <v>11</v>
      </c>
      <c r="G13100" s="2" t="s">
        <v>18395</v>
      </c>
      <c r="H13100" s="2" t="s">
        <v>18396</v>
      </c>
    </row>
    <row r="13101" spans="1:8" ht="25.05" customHeight="1" x14ac:dyDescent="0.25">
      <c r="A13101" s="2" t="s">
        <v>8</v>
      </c>
      <c r="B13101" s="2" t="str">
        <f>HYPERLINK("http://ts.21cn.com/tousu/show/id/1344545","延期还款")</f>
        <v>延期还款</v>
      </c>
      <c r="C13101" s="2" t="s">
        <v>9</v>
      </c>
      <c r="D13101" s="2" t="s">
        <v>10</v>
      </c>
      <c r="E13101" s="2" t="str">
        <f>HYPERLINK("http://ts.21cn.com/tousu/show/id/1344545","http://ts.21cn.com/tousu/show/id/1344545")</f>
        <v>http://ts.21cn.com/tousu/show/id/1344545</v>
      </c>
      <c r="F13101" s="2" t="s">
        <v>11</v>
      </c>
      <c r="G13101" s="2" t="s">
        <v>18393</v>
      </c>
      <c r="H13101" s="2" t="s">
        <v>18394</v>
      </c>
    </row>
    <row r="13102" spans="1:8" ht="25.05" customHeight="1" x14ac:dyDescent="0.25">
      <c r="A13102" s="2" t="s">
        <v>8</v>
      </c>
      <c r="B13102" s="2" t="str">
        <f>HYPERLINK("http://ts.21cn.com/tousu/show/id/1344546","天猫蟹码头联系不到客服不发货不退款")</f>
        <v>天猫蟹码头联系不到客服不发货不退款</v>
      </c>
      <c r="C13102" s="2" t="s">
        <v>9</v>
      </c>
      <c r="D13102" s="2" t="s">
        <v>10</v>
      </c>
      <c r="E13102" s="2" t="str">
        <f>HYPERLINK("http://ts.21cn.com/tousu/show/id/1344546","http://ts.21cn.com/tousu/show/id/1344546")</f>
        <v>http://ts.21cn.com/tousu/show/id/1344546</v>
      </c>
      <c r="F13102" s="2" t="s">
        <v>11</v>
      </c>
      <c r="G13102" s="2" t="s">
        <v>18391</v>
      </c>
      <c r="H13102" s="2" t="s">
        <v>18392</v>
      </c>
    </row>
    <row r="13103" spans="1:8" ht="25.05" customHeight="1" x14ac:dyDescent="0.25">
      <c r="A13103" s="2" t="s">
        <v>8</v>
      </c>
      <c r="B13103" s="2" t="str">
        <f>HYPERLINK("http://ts.21cn.com/tousu/show/id/1344547","新浪有借违规收取分期服务费")</f>
        <v>新浪有借违规收取分期服务费</v>
      </c>
      <c r="C13103" s="2" t="s">
        <v>9</v>
      </c>
      <c r="D13103" s="2" t="s">
        <v>10</v>
      </c>
      <c r="E13103" s="2" t="str">
        <f>HYPERLINK("http://ts.21cn.com/tousu/show/id/1344547","http://ts.21cn.com/tousu/show/id/1344547")</f>
        <v>http://ts.21cn.com/tousu/show/id/1344547</v>
      </c>
      <c r="F13103" s="2" t="s">
        <v>11</v>
      </c>
      <c r="G13103" s="2" t="s">
        <v>18389</v>
      </c>
      <c r="H13103" s="2" t="s">
        <v>18390</v>
      </c>
    </row>
    <row r="13104" spans="1:8" ht="25.05" customHeight="1" x14ac:dyDescent="0.25">
      <c r="A13104" s="2" t="s">
        <v>8</v>
      </c>
      <c r="B13104" s="2" t="str">
        <f>HYPERLINK("http://ts.21cn.com/tousu/show/id/1344548","北京畅捷通无故恶意扣款")</f>
        <v>北京畅捷通无故恶意扣款</v>
      </c>
      <c r="C13104" s="2" t="s">
        <v>9</v>
      </c>
      <c r="D13104" s="2" t="s">
        <v>10</v>
      </c>
      <c r="E13104" s="2" t="str">
        <f>HYPERLINK("http://ts.21cn.com/tousu/show/id/1344548","http://ts.21cn.com/tousu/show/id/1344548")</f>
        <v>http://ts.21cn.com/tousu/show/id/1344548</v>
      </c>
      <c r="F13104" s="2" t="s">
        <v>11</v>
      </c>
      <c r="G13104" s="2" t="s">
        <v>18387</v>
      </c>
      <c r="H13104" s="2" t="s">
        <v>18388</v>
      </c>
    </row>
    <row r="13105" spans="1:8" ht="25.05" customHeight="1" x14ac:dyDescent="0.25">
      <c r="A13105" s="2" t="s">
        <v>8</v>
      </c>
      <c r="B13105" s="2" t="str">
        <f>HYPERLINK("http://ts.21cn.com/tousu/show/id/1344530","招联金融暴力催收，催收人员冒充公检法")</f>
        <v>招联金融暴力催收，催收人员冒充公检法</v>
      </c>
      <c r="C13105" s="2" t="s">
        <v>9</v>
      </c>
      <c r="D13105" s="2" t="s">
        <v>10</v>
      </c>
      <c r="E13105" s="2" t="str">
        <f>HYPERLINK("http://ts.21cn.com/tousu/show/id/1344530","http://ts.21cn.com/tousu/show/id/1344530")</f>
        <v>http://ts.21cn.com/tousu/show/id/1344530</v>
      </c>
      <c r="F13105" s="2" t="s">
        <v>11</v>
      </c>
      <c r="G13105" s="2" t="s">
        <v>18385</v>
      </c>
      <c r="H13105" s="2" t="s">
        <v>18386</v>
      </c>
    </row>
    <row r="13106" spans="1:8" ht="25.05" customHeight="1" x14ac:dyDescent="0.25">
      <c r="A13106" s="2" t="s">
        <v>8</v>
      </c>
      <c r="B13106" s="2" t="str">
        <f>HYPERLINK("http://ts.21cn.com/tousu/show/id/1344549","平安普惠催收骚扰")</f>
        <v>平安普惠催收骚扰</v>
      </c>
      <c r="C13106" s="2" t="s">
        <v>9</v>
      </c>
      <c r="D13106" s="2" t="s">
        <v>10</v>
      </c>
      <c r="E13106" s="2" t="str">
        <f>HYPERLINK("http://ts.21cn.com/tousu/show/id/1344549","http://ts.21cn.com/tousu/show/id/1344549")</f>
        <v>http://ts.21cn.com/tousu/show/id/1344549</v>
      </c>
      <c r="F13106" s="2" t="s">
        <v>11</v>
      </c>
      <c r="G13106" s="2" t="s">
        <v>18383</v>
      </c>
      <c r="H13106" s="2" t="s">
        <v>18384</v>
      </c>
    </row>
    <row r="13107" spans="1:8" ht="25.05" customHeight="1" x14ac:dyDescent="0.25">
      <c r="A13107" s="2" t="s">
        <v>8</v>
      </c>
      <c r="B13107" s="2" t="str">
        <f>HYPERLINK("http://ts.21cn.com/tousu/show/id/1344551","爆力骚扰和违规爆通讯录")</f>
        <v>爆力骚扰和违规爆通讯录</v>
      </c>
      <c r="C13107" s="2" t="s">
        <v>9</v>
      </c>
      <c r="D13107" s="2" t="s">
        <v>10</v>
      </c>
      <c r="E13107" s="2" t="str">
        <f>HYPERLINK("http://ts.21cn.com/tousu/show/id/1344551","http://ts.21cn.com/tousu/show/id/1344551")</f>
        <v>http://ts.21cn.com/tousu/show/id/1344551</v>
      </c>
      <c r="F13107" s="2" t="s">
        <v>11</v>
      </c>
      <c r="G13107" s="2" t="s">
        <v>18381</v>
      </c>
      <c r="H13107" s="2" t="s">
        <v>18382</v>
      </c>
    </row>
    <row r="13108" spans="1:8" ht="25.05" customHeight="1" x14ac:dyDescent="0.25">
      <c r="A13108" s="2" t="s">
        <v>8</v>
      </c>
      <c r="B13108" s="2" t="str">
        <f>HYPERLINK("http://ts.21cn.com/tousu/show/id/1344552","投诉钱站威胁暴力催收")</f>
        <v>投诉钱站威胁暴力催收</v>
      </c>
      <c r="C13108" s="2" t="s">
        <v>9</v>
      </c>
      <c r="D13108" s="2" t="s">
        <v>10</v>
      </c>
      <c r="E13108" s="2" t="str">
        <f>HYPERLINK("http://ts.21cn.com/tousu/show/id/1344552","http://ts.21cn.com/tousu/show/id/1344552")</f>
        <v>http://ts.21cn.com/tousu/show/id/1344552</v>
      </c>
      <c r="F13108" s="2" t="s">
        <v>11</v>
      </c>
      <c r="G13108" s="2" t="s">
        <v>18379</v>
      </c>
      <c r="H13108" s="2" t="s">
        <v>18380</v>
      </c>
    </row>
    <row r="13109" spans="1:8" ht="25.05" customHeight="1" x14ac:dyDescent="0.25">
      <c r="A13109" s="2" t="s">
        <v>8</v>
      </c>
      <c r="B13109" s="2" t="str">
        <f>HYPERLINK("http://ts.21cn.com/tousu/show/id/1344553","共享单车锁车后，发现是禁区然后我就再开锁骑走了，还扣移车费不合理。")</f>
        <v>共享单车锁车后，发现是禁区然后我就再开锁骑走了，还扣移车费不合理。</v>
      </c>
      <c r="C13109" s="2" t="s">
        <v>9</v>
      </c>
      <c r="D13109" s="2" t="s">
        <v>10</v>
      </c>
      <c r="E13109" s="2" t="str">
        <f>HYPERLINK("http://ts.21cn.com/tousu/show/id/1344553","http://ts.21cn.com/tousu/show/id/1344553")</f>
        <v>http://ts.21cn.com/tousu/show/id/1344553</v>
      </c>
      <c r="F13109" s="2" t="s">
        <v>11</v>
      </c>
      <c r="G13109" s="2" t="s">
        <v>18377</v>
      </c>
      <c r="H13109" s="2" t="s">
        <v>18378</v>
      </c>
    </row>
    <row r="13110" spans="1:8" ht="25.05" customHeight="1" x14ac:dyDescent="0.25">
      <c r="A13110" s="2" t="s">
        <v>8</v>
      </c>
      <c r="B13110" s="2" t="str">
        <f>HYPERLINK("http://ts.21cn.com/tousu/show/id/1344554","威胁恐吓家人")</f>
        <v>威胁恐吓家人</v>
      </c>
      <c r="C13110" s="2" t="s">
        <v>9</v>
      </c>
      <c r="D13110" s="2" t="s">
        <v>10</v>
      </c>
      <c r="E13110" s="2" t="str">
        <f>HYPERLINK("http://ts.21cn.com/tousu/show/id/1344554","http://ts.21cn.com/tousu/show/id/1344554")</f>
        <v>http://ts.21cn.com/tousu/show/id/1344554</v>
      </c>
      <c r="F13110" s="2" t="s">
        <v>11</v>
      </c>
      <c r="G13110" s="2" t="s">
        <v>18375</v>
      </c>
      <c r="H13110" s="2" t="s">
        <v>18376</v>
      </c>
    </row>
    <row r="13111" spans="1:8" ht="25.05" customHeight="1" x14ac:dyDescent="0.25">
      <c r="A13111" s="2" t="s">
        <v>8</v>
      </c>
      <c r="B13111" s="2" t="str">
        <f>HYPERLINK("http://ts.21cn.com/tousu/show/id/1344555","摇钱花沟通态度恶劣")</f>
        <v>摇钱花沟通态度恶劣</v>
      </c>
      <c r="C13111" s="2" t="s">
        <v>9</v>
      </c>
      <c r="D13111" s="2" t="s">
        <v>10</v>
      </c>
      <c r="E13111" s="2" t="str">
        <f>HYPERLINK("http://ts.21cn.com/tousu/show/id/1344555","http://ts.21cn.com/tousu/show/id/1344555")</f>
        <v>http://ts.21cn.com/tousu/show/id/1344555</v>
      </c>
      <c r="F13111" s="2" t="s">
        <v>11</v>
      </c>
      <c r="G13111" s="2" t="s">
        <v>18373</v>
      </c>
      <c r="H13111" s="2" t="s">
        <v>18374</v>
      </c>
    </row>
    <row r="13112" spans="1:8" ht="25.05" customHeight="1" x14ac:dyDescent="0.25">
      <c r="A13112" s="2" t="s">
        <v>8</v>
      </c>
      <c r="B13112" s="2" t="str">
        <f>HYPERLINK("http://ts.21cn.com/tousu/show/id/1344556","大量用户无法退还立刻出行499元押金")</f>
        <v>大量用户无法退还立刻出行499元押金</v>
      </c>
      <c r="C13112" s="2" t="s">
        <v>9</v>
      </c>
      <c r="D13112" s="2" t="s">
        <v>10</v>
      </c>
      <c r="E13112" s="2" t="str">
        <f>HYPERLINK("http://ts.21cn.com/tousu/show/id/1344556","http://ts.21cn.com/tousu/show/id/1344556")</f>
        <v>http://ts.21cn.com/tousu/show/id/1344556</v>
      </c>
      <c r="F13112" s="2" t="s">
        <v>11</v>
      </c>
      <c r="G13112" s="2" t="s">
        <v>18371</v>
      </c>
      <c r="H13112" s="2" t="s">
        <v>18372</v>
      </c>
    </row>
    <row r="13113" spans="1:8" ht="25.05" customHeight="1" x14ac:dyDescent="0.25">
      <c r="A13113" s="2" t="s">
        <v>8</v>
      </c>
      <c r="B13113" s="2" t="str">
        <f>HYPERLINK("http://ts.21cn.com/tousu/show/id/1344557","中信银行暴力催收")</f>
        <v>中信银行暴力催收</v>
      </c>
      <c r="C13113" s="2" t="s">
        <v>9</v>
      </c>
      <c r="D13113" s="2" t="s">
        <v>10</v>
      </c>
      <c r="E13113" s="2" t="str">
        <f>HYPERLINK("http://ts.21cn.com/tousu/show/id/1344557","http://ts.21cn.com/tousu/show/id/1344557")</f>
        <v>http://ts.21cn.com/tousu/show/id/1344557</v>
      </c>
      <c r="F13113" s="2" t="s">
        <v>11</v>
      </c>
      <c r="G13113" s="2" t="s">
        <v>18369</v>
      </c>
      <c r="H13113" s="2" t="s">
        <v>18370</v>
      </c>
    </row>
    <row r="13114" spans="1:8" ht="25.05" customHeight="1" x14ac:dyDescent="0.25">
      <c r="A13114" s="2" t="s">
        <v>8</v>
      </c>
      <c r="B13114" s="2" t="str">
        <f>HYPERLINK("http://ts.21cn.com/tousu/show/id/1344559","天猫客服处理不公偏袒商家")</f>
        <v>天猫客服处理不公偏袒商家</v>
      </c>
      <c r="C13114" s="2" t="s">
        <v>9</v>
      </c>
      <c r="D13114" s="2" t="s">
        <v>10</v>
      </c>
      <c r="E13114" s="2" t="str">
        <f>HYPERLINK("http://ts.21cn.com/tousu/show/id/1344559","http://ts.21cn.com/tousu/show/id/1344559")</f>
        <v>http://ts.21cn.com/tousu/show/id/1344559</v>
      </c>
      <c r="F13114" s="2" t="s">
        <v>11</v>
      </c>
      <c r="G13114" s="2" t="s">
        <v>18367</v>
      </c>
      <c r="H13114" s="2" t="s">
        <v>18368</v>
      </c>
    </row>
    <row r="13115" spans="1:8" ht="25.05" customHeight="1" x14ac:dyDescent="0.25">
      <c r="A13115" s="2" t="s">
        <v>8</v>
      </c>
      <c r="B13115" s="2" t="str">
        <f>HYPERLINK("http://ts.21cn.com/tousu/show/id/1344560","暴力催收")</f>
        <v>暴力催收</v>
      </c>
      <c r="C13115" s="2" t="s">
        <v>9</v>
      </c>
      <c r="D13115" s="2" t="s">
        <v>10</v>
      </c>
      <c r="E13115" s="2" t="str">
        <f>HYPERLINK("http://ts.21cn.com/tousu/show/id/1344560","http://ts.21cn.com/tousu/show/id/1344560")</f>
        <v>http://ts.21cn.com/tousu/show/id/1344560</v>
      </c>
      <c r="F13115" s="2" t="s">
        <v>11</v>
      </c>
      <c r="G13115" s="2" t="s">
        <v>18365</v>
      </c>
      <c r="H13115" s="2" t="s">
        <v>18366</v>
      </c>
    </row>
    <row r="13116" spans="1:8" ht="25.05" customHeight="1" x14ac:dyDescent="0.25">
      <c r="A13116" s="2" t="s">
        <v>8</v>
      </c>
      <c r="B13116" s="2" t="str">
        <f>HYPERLINK("http://ts.21cn.com/tousu/show/id/1344562","牛人有品高利贷砍头息")</f>
        <v>牛人有品高利贷砍头息</v>
      </c>
      <c r="C13116" s="2" t="s">
        <v>9</v>
      </c>
      <c r="D13116" s="2" t="s">
        <v>10</v>
      </c>
      <c r="E13116" s="2" t="str">
        <f>HYPERLINK("http://ts.21cn.com/tousu/show/id/1344562","http://ts.21cn.com/tousu/show/id/1344562")</f>
        <v>http://ts.21cn.com/tousu/show/id/1344562</v>
      </c>
      <c r="F13116" s="2" t="s">
        <v>11</v>
      </c>
      <c r="G13116" s="2" t="s">
        <v>18363</v>
      </c>
      <c r="H13116" s="2" t="s">
        <v>18364</v>
      </c>
    </row>
    <row r="13117" spans="1:8" ht="25.05" customHeight="1" x14ac:dyDescent="0.25">
      <c r="A13117" s="2" t="s">
        <v>8</v>
      </c>
      <c r="B13117" s="2" t="str">
        <f>HYPERLINK("http://ts.21cn.com/tousu/show/id/1344564","恶意扣款")</f>
        <v>恶意扣款</v>
      </c>
      <c r="C13117" s="2" t="s">
        <v>9</v>
      </c>
      <c r="D13117" s="2" t="s">
        <v>10</v>
      </c>
      <c r="E13117" s="2" t="str">
        <f>HYPERLINK("http://ts.21cn.com/tousu/show/id/1344564","http://ts.21cn.com/tousu/show/id/1344564")</f>
        <v>http://ts.21cn.com/tousu/show/id/1344564</v>
      </c>
      <c r="F13117" s="2" t="s">
        <v>11</v>
      </c>
      <c r="G13117" s="2" t="s">
        <v>18361</v>
      </c>
      <c r="H13117" s="2" t="s">
        <v>18362</v>
      </c>
    </row>
    <row r="13118" spans="1:8" ht="25.05" customHeight="1" x14ac:dyDescent="0.25">
      <c r="A13118" s="2" t="s">
        <v>8</v>
      </c>
      <c r="B13118" s="2" t="str">
        <f>HYPERLINK("http://ts.21cn.com/tousu/show/id/1344565","蘑菇街骚扰")</f>
        <v>蘑菇街骚扰</v>
      </c>
      <c r="C13118" s="2" t="s">
        <v>34</v>
      </c>
      <c r="D13118" s="2" t="s">
        <v>10</v>
      </c>
      <c r="E13118" s="2" t="str">
        <f>HYPERLINK("http://ts.21cn.com/tousu/show/id/1344565","http://ts.21cn.com/tousu/show/id/1344565")</f>
        <v>http://ts.21cn.com/tousu/show/id/1344565</v>
      </c>
      <c r="F13118" s="2" t="s">
        <v>11</v>
      </c>
      <c r="G13118" s="2" t="s">
        <v>18358</v>
      </c>
      <c r="H13118" s="2" t="s">
        <v>18359</v>
      </c>
    </row>
    <row r="13119" spans="1:8" ht="25.05" customHeight="1" x14ac:dyDescent="0.25">
      <c r="A13119" s="2" t="s">
        <v>8</v>
      </c>
      <c r="B13119" s="2" t="str">
        <f>HYPERLINK("http://ts.21cn.com/tousu/show/id/1344570","小树时代龙分期还款不销账")</f>
        <v>小树时代龙分期还款不销账</v>
      </c>
      <c r="C13119" s="2" t="s">
        <v>9</v>
      </c>
      <c r="D13119" s="2" t="s">
        <v>10</v>
      </c>
      <c r="E13119" s="2" t="str">
        <f>HYPERLINK("http://ts.21cn.com/tousu/show/id/1344570","http://ts.21cn.com/tousu/show/id/1344570")</f>
        <v>http://ts.21cn.com/tousu/show/id/1344570</v>
      </c>
      <c r="F13119" s="2" t="s">
        <v>11</v>
      </c>
      <c r="G13119" s="2" t="s">
        <v>18358</v>
      </c>
      <c r="H13119" s="2" t="s">
        <v>18360</v>
      </c>
    </row>
    <row r="13120" spans="1:8" ht="25.05" customHeight="1" x14ac:dyDescent="0.25">
      <c r="A13120" s="2" t="s">
        <v>8</v>
      </c>
      <c r="B13120" s="2" t="str">
        <f>HYPERLINK("http://ts.21cn.com/tousu/show/id/1344566","在明确表达还款意愿和能当天还款的时候，依旧态度嚣张爆通讯录威胁")</f>
        <v>在明确表达还款意愿和能当天还款的时候，依旧态度嚣张爆通讯录威胁</v>
      </c>
      <c r="C13120" s="2" t="s">
        <v>9</v>
      </c>
      <c r="D13120" s="2" t="s">
        <v>10</v>
      </c>
      <c r="E13120" s="2" t="str">
        <f>HYPERLINK("http://ts.21cn.com/tousu/show/id/1344566","http://ts.21cn.com/tousu/show/id/1344566")</f>
        <v>http://ts.21cn.com/tousu/show/id/1344566</v>
      </c>
      <c r="F13120" s="2" t="s">
        <v>11</v>
      </c>
      <c r="G13120" s="2" t="s">
        <v>18356</v>
      </c>
      <c r="H13120" s="2" t="s">
        <v>18357</v>
      </c>
    </row>
    <row r="13121" spans="1:8" ht="25.05" customHeight="1" x14ac:dyDescent="0.25">
      <c r="A13121" s="2" t="s">
        <v>8</v>
      </c>
      <c r="B13121" s="2" t="str">
        <f>HYPERLINK("http://ts.21cn.com/tousu/show/id/1344568","小树时代已还款却说没还催收")</f>
        <v>小树时代已还款却说没还催收</v>
      </c>
      <c r="C13121" s="2" t="s">
        <v>9</v>
      </c>
      <c r="D13121" s="2" t="s">
        <v>10</v>
      </c>
      <c r="E13121" s="2" t="str">
        <f>HYPERLINK("http://ts.21cn.com/tousu/show/id/1344568","http://ts.21cn.com/tousu/show/id/1344568")</f>
        <v>http://ts.21cn.com/tousu/show/id/1344568</v>
      </c>
      <c r="F13121" s="2" t="s">
        <v>11</v>
      </c>
      <c r="G13121" s="2" t="s">
        <v>18354</v>
      </c>
      <c r="H13121" s="2" t="s">
        <v>18355</v>
      </c>
    </row>
    <row r="13122" spans="1:8" ht="25.05" customHeight="1" x14ac:dyDescent="0.25">
      <c r="A13122" s="2" t="s">
        <v>8</v>
      </c>
      <c r="B13122" s="2" t="str">
        <f>HYPERLINK("http://ts.21cn.com/tousu/show/id/1344569","第三方催收骚扰")</f>
        <v>第三方催收骚扰</v>
      </c>
      <c r="C13122" s="2" t="s">
        <v>9</v>
      </c>
      <c r="D13122" s="2" t="s">
        <v>10</v>
      </c>
      <c r="E13122" s="2" t="str">
        <f>HYPERLINK("http://ts.21cn.com/tousu/show/id/1344569","http://ts.21cn.com/tousu/show/id/1344569")</f>
        <v>http://ts.21cn.com/tousu/show/id/1344569</v>
      </c>
      <c r="F13122" s="2" t="s">
        <v>11</v>
      </c>
      <c r="G13122" s="2" t="s">
        <v>18352</v>
      </c>
      <c r="H13122" s="2" t="s">
        <v>18353</v>
      </c>
    </row>
    <row r="13123" spans="1:8" ht="25.05" customHeight="1" x14ac:dyDescent="0.25">
      <c r="A13123" s="2" t="s">
        <v>8</v>
      </c>
      <c r="B13123" s="2" t="str">
        <f>HYPERLINK("http://ts.21cn.com/tousu/show/id/1344571","淘集集平台拖欠商家货款三个半月")</f>
        <v>淘集集平台拖欠商家货款三个半月</v>
      </c>
      <c r="C13123" s="2" t="s">
        <v>9</v>
      </c>
      <c r="D13123" s="2" t="s">
        <v>10</v>
      </c>
      <c r="E13123" s="2" t="str">
        <f>HYPERLINK("http://ts.21cn.com/tousu/show/id/1344571","http://ts.21cn.com/tousu/show/id/1344571")</f>
        <v>http://ts.21cn.com/tousu/show/id/1344571</v>
      </c>
      <c r="F13123" s="2" t="s">
        <v>11</v>
      </c>
      <c r="G13123" s="2" t="s">
        <v>18350</v>
      </c>
      <c r="H13123" s="2" t="s">
        <v>18351</v>
      </c>
    </row>
    <row r="13124" spans="1:8" ht="25.05" customHeight="1" x14ac:dyDescent="0.25">
      <c r="A13124" s="2" t="s">
        <v>8</v>
      </c>
      <c r="B13124" s="2" t="str">
        <f>HYPERLINK("http://ts.21cn.com/tousu/show/id/1344572","跑车费用")</f>
        <v>跑车费用</v>
      </c>
      <c r="C13124" s="2" t="s">
        <v>9</v>
      </c>
      <c r="D13124" s="2" t="s">
        <v>10</v>
      </c>
      <c r="E13124" s="2" t="str">
        <f>HYPERLINK("http://ts.21cn.com/tousu/show/id/1344572","http://ts.21cn.com/tousu/show/id/1344572")</f>
        <v>http://ts.21cn.com/tousu/show/id/1344572</v>
      </c>
      <c r="F13124" s="2" t="s">
        <v>11</v>
      </c>
      <c r="G13124" s="2" t="s">
        <v>18348</v>
      </c>
      <c r="H13124" s="2" t="s">
        <v>18349</v>
      </c>
    </row>
    <row r="13125" spans="1:8" ht="25.05" customHeight="1" x14ac:dyDescent="0.25">
      <c r="A13125" s="2" t="s">
        <v>8</v>
      </c>
      <c r="B13125" s="2" t="str">
        <f>HYPERLINK("http://ts.21cn.com/tousu/show/id/1344573","新橙优品代扣失败导致逾期，并且官方失联")</f>
        <v>新橙优品代扣失败导致逾期，并且官方失联</v>
      </c>
      <c r="C13125" s="2" t="s">
        <v>9</v>
      </c>
      <c r="D13125" s="2" t="s">
        <v>10</v>
      </c>
      <c r="E13125" s="2" t="str">
        <f>HYPERLINK("http://ts.21cn.com/tousu/show/id/1344573","http://ts.21cn.com/tousu/show/id/1344573")</f>
        <v>http://ts.21cn.com/tousu/show/id/1344573</v>
      </c>
      <c r="F13125" s="2" t="s">
        <v>11</v>
      </c>
      <c r="G13125" s="2" t="s">
        <v>18346</v>
      </c>
      <c r="H13125" s="2" t="s">
        <v>18347</v>
      </c>
    </row>
    <row r="13126" spans="1:8" ht="25.05" customHeight="1" x14ac:dyDescent="0.25">
      <c r="A13126" s="2" t="s">
        <v>8</v>
      </c>
      <c r="B13126" s="2" t="str">
        <f>HYPERLINK("http://ts.21cn.com/tousu/show/id/1344334","高利贷，暴力催收，威胁国家公务人员")</f>
        <v>高利贷，暴力催收，威胁国家公务人员</v>
      </c>
      <c r="C13126" s="2" t="s">
        <v>9</v>
      </c>
      <c r="D13126" s="2" t="s">
        <v>10</v>
      </c>
      <c r="E13126" s="2" t="str">
        <f>HYPERLINK("http://ts.21cn.com/tousu/show/id/1344334","http://ts.21cn.com/tousu/show/id/1344334")</f>
        <v>http://ts.21cn.com/tousu/show/id/1344334</v>
      </c>
      <c r="F13126" s="2" t="s">
        <v>11</v>
      </c>
      <c r="G13126" s="2" t="s">
        <v>18344</v>
      </c>
      <c r="H13126" s="2" t="s">
        <v>18345</v>
      </c>
    </row>
    <row r="13127" spans="1:8" ht="25.05" customHeight="1" x14ac:dyDescent="0.25">
      <c r="A13127" s="2" t="s">
        <v>8</v>
      </c>
      <c r="B13127" s="2" t="str">
        <f>HYPERLINK("http://ts.21cn.com/tousu/show/id/1344567","聚心恒虚假宣传诱导学生报名后，实际授课与宣传不符，答应全款退费后又失去联系不接电话不回复。")</f>
        <v>聚心恒虚假宣传诱导学生报名后，实际授课与宣传不符，答应全款退费后又失去联系不接电话不回复。</v>
      </c>
      <c r="C13127" s="2" t="s">
        <v>9</v>
      </c>
      <c r="D13127" s="2" t="s">
        <v>10</v>
      </c>
      <c r="E13127" s="2" t="str">
        <f>HYPERLINK("http://ts.21cn.com/tousu/show/id/1344567","http://ts.21cn.com/tousu/show/id/1344567")</f>
        <v>http://ts.21cn.com/tousu/show/id/1344567</v>
      </c>
      <c r="F13127" s="2" t="s">
        <v>11</v>
      </c>
      <c r="G13127" s="2" t="s">
        <v>18342</v>
      </c>
      <c r="H13127" s="2" t="s">
        <v>18343</v>
      </c>
    </row>
    <row r="13128" spans="1:8" ht="25.05" customHeight="1" x14ac:dyDescent="0.25">
      <c r="A13128" s="2" t="s">
        <v>8</v>
      </c>
      <c r="B13128" s="2" t="str">
        <f>HYPERLINK("http://ts.21cn.com/tousu/show/id/1344575","拍拍贷暴力催收")</f>
        <v>拍拍贷暴力催收</v>
      </c>
      <c r="C13128" s="2" t="s">
        <v>9</v>
      </c>
      <c r="D13128" s="2" t="s">
        <v>10</v>
      </c>
      <c r="E13128" s="2" t="str">
        <f>HYPERLINK("http://ts.21cn.com/tousu/show/id/1344575","http://ts.21cn.com/tousu/show/id/1344575")</f>
        <v>http://ts.21cn.com/tousu/show/id/1344575</v>
      </c>
      <c r="F13128" s="2" t="s">
        <v>11</v>
      </c>
      <c r="G13128" s="2" t="s">
        <v>18340</v>
      </c>
      <c r="H13128" s="2" t="s">
        <v>18341</v>
      </c>
    </row>
    <row r="13129" spans="1:8" ht="25.05" customHeight="1" x14ac:dyDescent="0.25">
      <c r="A13129" s="2" t="s">
        <v>8</v>
      </c>
      <c r="B13129" s="2" t="str">
        <f>HYPERLINK("http://ts.21cn.com/tousu/show/id/1344576","我要投诉王者钱包714超高炮")</f>
        <v>我要投诉王者钱包714超高炮</v>
      </c>
      <c r="C13129" s="2" t="s">
        <v>9</v>
      </c>
      <c r="D13129" s="2" t="s">
        <v>10</v>
      </c>
      <c r="E13129" s="2" t="str">
        <f>HYPERLINK("http://ts.21cn.com/tousu/show/id/1344576","http://ts.21cn.com/tousu/show/id/1344576")</f>
        <v>http://ts.21cn.com/tousu/show/id/1344576</v>
      </c>
      <c r="F13129" s="2" t="s">
        <v>11</v>
      </c>
      <c r="G13129" s="2" t="s">
        <v>18338</v>
      </c>
      <c r="H13129" s="2" t="s">
        <v>18339</v>
      </c>
    </row>
    <row r="13130" spans="1:8" ht="25.05" customHeight="1" x14ac:dyDescent="0.25">
      <c r="A13130" s="2" t="s">
        <v>8</v>
      </c>
      <c r="B13130" s="2" t="str">
        <f>HYPERLINK("http://ts.21cn.com/tousu/show/id/1344577","华尔街英语退费坑")</f>
        <v>华尔街英语退费坑</v>
      </c>
      <c r="C13130" s="2" t="s">
        <v>9</v>
      </c>
      <c r="D13130" s="2" t="s">
        <v>10</v>
      </c>
      <c r="E13130" s="2" t="str">
        <f>HYPERLINK("http://ts.21cn.com/tousu/show/id/1344577","http://ts.21cn.com/tousu/show/id/1344577")</f>
        <v>http://ts.21cn.com/tousu/show/id/1344577</v>
      </c>
      <c r="F13130" s="2" t="s">
        <v>11</v>
      </c>
      <c r="G13130" s="2" t="s">
        <v>18336</v>
      </c>
      <c r="H13130" s="2" t="s">
        <v>18337</v>
      </c>
    </row>
    <row r="13131" spans="1:8" ht="25.05" customHeight="1" x14ac:dyDescent="0.25">
      <c r="A13131" s="2" t="s">
        <v>8</v>
      </c>
      <c r="B13131" s="2" t="str">
        <f>HYPERLINK("http://ts.21cn.com/tousu/show/id/1344578","易起来暴力催收")</f>
        <v>易起来暴力催收</v>
      </c>
      <c r="C13131" s="2" t="s">
        <v>9</v>
      </c>
      <c r="D13131" s="2" t="s">
        <v>10</v>
      </c>
      <c r="E13131" s="2" t="str">
        <f>HYPERLINK("http://ts.21cn.com/tousu/show/id/1344578","http://ts.21cn.com/tousu/show/id/1344578")</f>
        <v>http://ts.21cn.com/tousu/show/id/1344578</v>
      </c>
      <c r="F13131" s="2" t="s">
        <v>11</v>
      </c>
      <c r="G13131" s="2" t="s">
        <v>18334</v>
      </c>
      <c r="H13131" s="2" t="s">
        <v>18335</v>
      </c>
    </row>
    <row r="13132" spans="1:8" ht="25.05" customHeight="1" x14ac:dyDescent="0.25">
      <c r="A13132" s="2" t="s">
        <v>8</v>
      </c>
      <c r="B13132" s="2" t="str">
        <f>HYPERLINK("http://ts.21cn.com/tousu/show/id/1344579","有钱用远高于国家规定标准利率。望协调处理")</f>
        <v>有钱用远高于国家规定标准利率。望协调处理</v>
      </c>
      <c r="C13132" s="2" t="s">
        <v>9</v>
      </c>
      <c r="D13132" s="2" t="s">
        <v>10</v>
      </c>
      <c r="E13132" s="2" t="str">
        <f>HYPERLINK("http://ts.21cn.com/tousu/show/id/1344579","http://ts.21cn.com/tousu/show/id/1344579")</f>
        <v>http://ts.21cn.com/tousu/show/id/1344579</v>
      </c>
      <c r="F13132" s="2" t="s">
        <v>11</v>
      </c>
      <c r="G13132" s="2" t="s">
        <v>18332</v>
      </c>
      <c r="H13132" s="2" t="s">
        <v>18333</v>
      </c>
    </row>
    <row r="13133" spans="1:8" ht="25.05" customHeight="1" x14ac:dyDescent="0.25">
      <c r="A13133" s="2" t="s">
        <v>8</v>
      </c>
      <c r="B13133" s="2" t="str">
        <f>HYPERLINK("http://ts.21cn.com/tousu/show/id/1344580","暴力催收，威胁恐吓，要爆通讯录还说合法")</f>
        <v>暴力催收，威胁恐吓，要爆通讯录还说合法</v>
      </c>
      <c r="C13133" s="2" t="s">
        <v>9</v>
      </c>
      <c r="D13133" s="2" t="s">
        <v>10</v>
      </c>
      <c r="E13133" s="2" t="str">
        <f>HYPERLINK("http://ts.21cn.com/tousu/show/id/1344580","http://ts.21cn.com/tousu/show/id/1344580")</f>
        <v>http://ts.21cn.com/tousu/show/id/1344580</v>
      </c>
      <c r="F13133" s="2" t="s">
        <v>11</v>
      </c>
      <c r="G13133" s="2" t="s">
        <v>18330</v>
      </c>
      <c r="H13133" s="2" t="s">
        <v>18331</v>
      </c>
    </row>
    <row r="13134" spans="1:8" ht="25.05" customHeight="1" x14ac:dyDescent="0.25">
      <c r="A13134" s="2" t="s">
        <v>8</v>
      </c>
      <c r="B13134" s="2" t="str">
        <f>HYPERLINK("http://ts.21cn.com/tousu/show/id/1344581","掉钱眼儿试玩平台不让提现")</f>
        <v>掉钱眼儿试玩平台不让提现</v>
      </c>
      <c r="C13134" s="2" t="s">
        <v>9</v>
      </c>
      <c r="D13134" s="2" t="s">
        <v>10</v>
      </c>
      <c r="E13134" s="2" t="str">
        <f>HYPERLINK("http://ts.21cn.com/tousu/show/id/1344581","http://ts.21cn.com/tousu/show/id/1344581")</f>
        <v>http://ts.21cn.com/tousu/show/id/1344581</v>
      </c>
      <c r="F13134" s="2" t="s">
        <v>11</v>
      </c>
      <c r="G13134" s="2" t="s">
        <v>18328</v>
      </c>
      <c r="H13134" s="2" t="s">
        <v>18329</v>
      </c>
    </row>
    <row r="13135" spans="1:8" ht="25.05" customHeight="1" x14ac:dyDescent="0.25">
      <c r="A13135" s="2" t="s">
        <v>8</v>
      </c>
      <c r="B13135" s="2" t="str">
        <f>HYPERLINK("http://ts.21cn.com/tousu/show/id/1344582","审核过长与其描述不符")</f>
        <v>审核过长与其描述不符</v>
      </c>
      <c r="C13135" s="2" t="s">
        <v>9</v>
      </c>
      <c r="D13135" s="2" t="s">
        <v>10</v>
      </c>
      <c r="E13135" s="2" t="str">
        <f>HYPERLINK("http://ts.21cn.com/tousu/show/id/1344582","http://ts.21cn.com/tousu/show/id/1344582")</f>
        <v>http://ts.21cn.com/tousu/show/id/1344582</v>
      </c>
      <c r="F13135" s="2" t="s">
        <v>11</v>
      </c>
      <c r="G13135" s="2" t="s">
        <v>18326</v>
      </c>
      <c r="H13135" s="2" t="s">
        <v>18327</v>
      </c>
    </row>
    <row r="13136" spans="1:8" ht="25.05" customHeight="1" x14ac:dyDescent="0.25">
      <c r="A13136" s="2" t="s">
        <v>8</v>
      </c>
      <c r="B13136" s="2" t="str">
        <f>HYPERLINK("http://ts.21cn.com/tousu/show/id/1344585","小赢轰炸式骚扰通讯录亲戚朋友")</f>
        <v>小赢轰炸式骚扰通讯录亲戚朋友</v>
      </c>
      <c r="C13136" s="2" t="s">
        <v>34</v>
      </c>
      <c r="D13136" s="2" t="s">
        <v>10</v>
      </c>
      <c r="E13136" s="2" t="str">
        <f>HYPERLINK("http://ts.21cn.com/tousu/show/id/1344585","http://ts.21cn.com/tousu/show/id/1344585")</f>
        <v>http://ts.21cn.com/tousu/show/id/1344585</v>
      </c>
      <c r="F13136" s="2" t="s">
        <v>11</v>
      </c>
      <c r="G13136" s="2" t="s">
        <v>18324</v>
      </c>
      <c r="H13136" s="2" t="s">
        <v>18325</v>
      </c>
    </row>
    <row r="13137" spans="1:8" ht="25.05" customHeight="1" x14ac:dyDescent="0.25">
      <c r="A13137" s="2" t="s">
        <v>8</v>
      </c>
      <c r="B13137" s="2" t="str">
        <f>HYPERLINK("http://ts.21cn.com/tousu/show/id/1344583","钱伴阻碍我注销账户")</f>
        <v>钱伴阻碍我注销账户</v>
      </c>
      <c r="C13137" s="2" t="s">
        <v>9</v>
      </c>
      <c r="D13137" s="2" t="s">
        <v>10</v>
      </c>
      <c r="E13137" s="2" t="str">
        <f>HYPERLINK("http://ts.21cn.com/tousu/show/id/1344583","http://ts.21cn.com/tousu/show/id/1344583")</f>
        <v>http://ts.21cn.com/tousu/show/id/1344583</v>
      </c>
      <c r="F13137" s="2" t="s">
        <v>11</v>
      </c>
      <c r="G13137" s="2" t="s">
        <v>18322</v>
      </c>
      <c r="H13137" s="2" t="s">
        <v>18323</v>
      </c>
    </row>
    <row r="13138" spans="1:8" ht="25.05" customHeight="1" x14ac:dyDescent="0.25">
      <c r="A13138" s="2" t="s">
        <v>8</v>
      </c>
      <c r="B13138" s="2" t="str">
        <f>HYPERLINK("http://ts.21cn.com/tousu/show/id/1344584","出车3个小时派一个单子我，滴滴是不是要倒闭了，最近订单量极少，少的可怜")</f>
        <v>出车3个小时派一个单子我，滴滴是不是要倒闭了，最近订单量极少，少的可怜</v>
      </c>
      <c r="C13138" s="2" t="s">
        <v>34</v>
      </c>
      <c r="D13138" s="2" t="s">
        <v>10</v>
      </c>
      <c r="E13138" s="2" t="str">
        <f>HYPERLINK("http://ts.21cn.com/tousu/show/id/1344584","http://ts.21cn.com/tousu/show/id/1344584")</f>
        <v>http://ts.21cn.com/tousu/show/id/1344584</v>
      </c>
      <c r="F13138" s="2" t="s">
        <v>11</v>
      </c>
      <c r="G13138" s="2" t="s">
        <v>18320</v>
      </c>
      <c r="H13138" s="2" t="s">
        <v>18321</v>
      </c>
    </row>
    <row r="13139" spans="1:8" ht="25.05" customHeight="1" x14ac:dyDescent="0.25">
      <c r="A13139" s="2" t="s">
        <v>8</v>
      </c>
      <c r="B13139" s="2" t="str">
        <f>HYPERLINK("http://ts.21cn.com/tousu/show/id/1344586","360借条暴力催收骚扰通信录")</f>
        <v>360借条暴力催收骚扰通信录</v>
      </c>
      <c r="C13139" s="2" t="s">
        <v>9</v>
      </c>
      <c r="D13139" s="2" t="s">
        <v>10</v>
      </c>
      <c r="E13139" s="2" t="str">
        <f>HYPERLINK("http://ts.21cn.com/tousu/show/id/1344586","http://ts.21cn.com/tousu/show/id/1344586")</f>
        <v>http://ts.21cn.com/tousu/show/id/1344586</v>
      </c>
      <c r="F13139" s="2" t="s">
        <v>11</v>
      </c>
      <c r="G13139" s="2" t="s">
        <v>18318</v>
      </c>
      <c r="H13139" s="2" t="s">
        <v>18319</v>
      </c>
    </row>
    <row r="13140" spans="1:8" ht="25.05" customHeight="1" x14ac:dyDescent="0.25">
      <c r="A13140" s="2" t="s">
        <v>8</v>
      </c>
      <c r="B13140" s="2" t="str">
        <f>HYPERLINK("http://ts.21cn.com/tousu/show/id/1344588","乱收费")</f>
        <v>乱收费</v>
      </c>
      <c r="C13140" s="2" t="s">
        <v>9</v>
      </c>
      <c r="D13140" s="2" t="s">
        <v>10</v>
      </c>
      <c r="E13140" s="2" t="str">
        <f>HYPERLINK("http://ts.21cn.com/tousu/show/id/1344588","http://ts.21cn.com/tousu/show/id/1344588")</f>
        <v>http://ts.21cn.com/tousu/show/id/1344588</v>
      </c>
      <c r="F13140" s="2" t="s">
        <v>11</v>
      </c>
      <c r="G13140" s="2" t="s">
        <v>18316</v>
      </c>
      <c r="H13140" s="2" t="s">
        <v>18317</v>
      </c>
    </row>
    <row r="13141" spans="1:8" ht="25.05" customHeight="1" x14ac:dyDescent="0.25">
      <c r="A13141" s="2" t="s">
        <v>8</v>
      </c>
      <c r="B13141" s="2" t="str">
        <f>HYPERLINK("http://ts.21cn.com/tousu/show/id/1344587","电话骚扰恐吓")</f>
        <v>电话骚扰恐吓</v>
      </c>
      <c r="C13141" s="2" t="s">
        <v>9</v>
      </c>
      <c r="D13141" s="2" t="s">
        <v>10</v>
      </c>
      <c r="E13141" s="2" t="str">
        <f>HYPERLINK("http://ts.21cn.com/tousu/show/id/1344587","http://ts.21cn.com/tousu/show/id/1344587")</f>
        <v>http://ts.21cn.com/tousu/show/id/1344587</v>
      </c>
      <c r="F13141" s="2" t="s">
        <v>11</v>
      </c>
      <c r="G13141" s="2" t="s">
        <v>18314</v>
      </c>
      <c r="H13141" s="2" t="s">
        <v>18315</v>
      </c>
    </row>
    <row r="13142" spans="1:8" ht="25.05" customHeight="1" x14ac:dyDescent="0.25">
      <c r="A13142" s="2" t="s">
        <v>8</v>
      </c>
      <c r="B13142" s="2" t="str">
        <f>HYPERLINK("http://ts.21cn.com/tousu/show/id/1344591","众安保险在投保人不知情的情况捆绑销售保险")</f>
        <v>众安保险在投保人不知情的情况捆绑销售保险</v>
      </c>
      <c r="C13142" s="2" t="s">
        <v>9</v>
      </c>
      <c r="D13142" s="2" t="s">
        <v>10</v>
      </c>
      <c r="E13142" s="2" t="str">
        <f>HYPERLINK("http://ts.21cn.com/tousu/show/id/1344591","http://ts.21cn.com/tousu/show/id/1344591")</f>
        <v>http://ts.21cn.com/tousu/show/id/1344591</v>
      </c>
      <c r="F13142" s="2" t="s">
        <v>11</v>
      </c>
      <c r="G13142" s="2" t="s">
        <v>18312</v>
      </c>
      <c r="H13142" s="2" t="s">
        <v>18313</v>
      </c>
    </row>
    <row r="13143" spans="1:8" ht="25.05" customHeight="1" x14ac:dyDescent="0.25">
      <c r="A13143" s="2" t="s">
        <v>8</v>
      </c>
      <c r="B13143" s="2" t="str">
        <f>HYPERLINK("http://ts.21cn.com/tousu/show/id/1344593","百事普惠恶意扣款")</f>
        <v>百事普惠恶意扣款</v>
      </c>
      <c r="C13143" s="2" t="s">
        <v>9</v>
      </c>
      <c r="D13143" s="2" t="s">
        <v>10</v>
      </c>
      <c r="E13143" s="2" t="str">
        <f>HYPERLINK("http://ts.21cn.com/tousu/show/id/1344593","http://ts.21cn.com/tousu/show/id/1344593")</f>
        <v>http://ts.21cn.com/tousu/show/id/1344593</v>
      </c>
      <c r="F13143" s="2" t="s">
        <v>11</v>
      </c>
      <c r="G13143" s="2" t="s">
        <v>18310</v>
      </c>
      <c r="H13143" s="2" t="s">
        <v>18311</v>
      </c>
    </row>
    <row r="13144" spans="1:8" ht="25.05" customHeight="1" x14ac:dyDescent="0.25">
      <c r="A13144" s="2" t="s">
        <v>8</v>
      </c>
      <c r="B13144" s="2" t="str">
        <f>HYPERLINK("http://ts.21cn.com/tousu/show/id/1344592","米多点高利贷，暴力催收")</f>
        <v>米多点高利贷，暴力催收</v>
      </c>
      <c r="C13144" s="2" t="s">
        <v>9</v>
      </c>
      <c r="D13144" s="2" t="s">
        <v>10</v>
      </c>
      <c r="E13144" s="2" t="str">
        <f>HYPERLINK("http://ts.21cn.com/tousu/show/id/1344592","http://ts.21cn.com/tousu/show/id/1344592")</f>
        <v>http://ts.21cn.com/tousu/show/id/1344592</v>
      </c>
      <c r="F13144" s="2" t="s">
        <v>11</v>
      </c>
      <c r="G13144" s="2" t="s">
        <v>18308</v>
      </c>
      <c r="H13144" s="2" t="s">
        <v>18309</v>
      </c>
    </row>
    <row r="13145" spans="1:8" ht="25.05" customHeight="1" x14ac:dyDescent="0.25">
      <c r="A13145" s="2" t="s">
        <v>8</v>
      </c>
      <c r="B13145" s="2" t="str">
        <f>HYPERLINK("http://ts.21cn.com/tousu/show/id/1344595","暴力催收骂人爆炸通讯录威胁骚扰")</f>
        <v>暴力催收骂人爆炸通讯录威胁骚扰</v>
      </c>
      <c r="C13145" s="2" t="s">
        <v>9</v>
      </c>
      <c r="D13145" s="2" t="s">
        <v>10</v>
      </c>
      <c r="E13145" s="2" t="str">
        <f>HYPERLINK("http://ts.21cn.com/tousu/show/id/1344595","http://ts.21cn.com/tousu/show/id/1344595")</f>
        <v>http://ts.21cn.com/tousu/show/id/1344595</v>
      </c>
      <c r="F13145" s="2" t="s">
        <v>11</v>
      </c>
      <c r="G13145" s="2" t="s">
        <v>18306</v>
      </c>
      <c r="H13145" s="2" t="s">
        <v>18307</v>
      </c>
    </row>
    <row r="13146" spans="1:8" ht="25.05" customHeight="1" x14ac:dyDescent="0.25">
      <c r="A13146" s="2" t="s">
        <v>8</v>
      </c>
      <c r="B13146" s="2" t="str">
        <f>HYPERLINK("http://ts.21cn.com/tousu/show/id/1344594","中腾信贷款逾期一天，催收威胁要爆通讯录")</f>
        <v>中腾信贷款逾期一天，催收威胁要爆通讯录</v>
      </c>
      <c r="C13146" s="2" t="s">
        <v>9</v>
      </c>
      <c r="D13146" s="2" t="s">
        <v>10</v>
      </c>
      <c r="E13146" s="2" t="str">
        <f>HYPERLINK("http://ts.21cn.com/tousu/show/id/1344594","http://ts.21cn.com/tousu/show/id/1344594")</f>
        <v>http://ts.21cn.com/tousu/show/id/1344594</v>
      </c>
      <c r="F13146" s="2" t="s">
        <v>11</v>
      </c>
      <c r="G13146" s="2" t="s">
        <v>18304</v>
      </c>
      <c r="H13146" s="2" t="s">
        <v>18305</v>
      </c>
    </row>
    <row r="13147" spans="1:8" ht="25.05" customHeight="1" x14ac:dyDescent="0.25">
      <c r="A13147" s="2" t="s">
        <v>8</v>
      </c>
      <c r="B13147" s="2" t="str">
        <f>HYPERLINK("http://ts.21cn.com/tousu/show/id/1344563","恒昌公司旗下恒易贷合同金额远高于实际借款金额")</f>
        <v>恒昌公司旗下恒易贷合同金额远高于实际借款金额</v>
      </c>
      <c r="C13147" s="2" t="s">
        <v>9</v>
      </c>
      <c r="D13147" s="2" t="s">
        <v>10</v>
      </c>
      <c r="E13147" s="2" t="str">
        <f>HYPERLINK("http://ts.21cn.com/tousu/show/id/1344563","http://ts.21cn.com/tousu/show/id/1344563")</f>
        <v>http://ts.21cn.com/tousu/show/id/1344563</v>
      </c>
      <c r="F13147" s="2" t="s">
        <v>11</v>
      </c>
      <c r="G13147" s="2" t="s">
        <v>18302</v>
      </c>
      <c r="H13147" s="2" t="s">
        <v>18303</v>
      </c>
    </row>
    <row r="13148" spans="1:8" ht="25.05" customHeight="1" x14ac:dyDescent="0.25">
      <c r="A13148" s="2" t="s">
        <v>8</v>
      </c>
      <c r="B13148" s="2" t="str">
        <f>HYPERLINK("http://ts.21cn.com/tousu/show/id/1344596","小浦优客未经同意扣款")</f>
        <v>小浦优客未经同意扣款</v>
      </c>
      <c r="C13148" s="2" t="s">
        <v>9</v>
      </c>
      <c r="D13148" s="2" t="s">
        <v>10</v>
      </c>
      <c r="E13148" s="2" t="str">
        <f>HYPERLINK("http://ts.21cn.com/tousu/show/id/1344596","http://ts.21cn.com/tousu/show/id/1344596")</f>
        <v>http://ts.21cn.com/tousu/show/id/1344596</v>
      </c>
      <c r="F13148" s="2" t="s">
        <v>11</v>
      </c>
      <c r="G13148" s="2" t="s">
        <v>18301</v>
      </c>
      <c r="H13148" s="2" t="s">
        <v>4538</v>
      </c>
    </row>
    <row r="13149" spans="1:8" ht="25.05" customHeight="1" x14ac:dyDescent="0.25">
      <c r="A13149" s="2" t="s">
        <v>8</v>
      </c>
      <c r="B13149" s="2" t="str">
        <f>HYPERLINK("http://ts.21cn.com/tousu/show/id/1344597","网贷暴力催收")</f>
        <v>网贷暴力催收</v>
      </c>
      <c r="C13149" s="2" t="s">
        <v>9</v>
      </c>
      <c r="D13149" s="2" t="s">
        <v>10</v>
      </c>
      <c r="E13149" s="2" t="str">
        <f>HYPERLINK("http://ts.21cn.com/tousu/show/id/1344597","http://ts.21cn.com/tousu/show/id/1344597")</f>
        <v>http://ts.21cn.com/tousu/show/id/1344597</v>
      </c>
      <c r="F13149" s="2" t="s">
        <v>11</v>
      </c>
      <c r="G13149" s="2" t="s">
        <v>18299</v>
      </c>
      <c r="H13149" s="2" t="s">
        <v>18300</v>
      </c>
    </row>
    <row r="13150" spans="1:8" ht="25.05" customHeight="1" x14ac:dyDescent="0.25">
      <c r="A13150" s="2" t="s">
        <v>8</v>
      </c>
      <c r="B13150" s="2" t="str">
        <f>HYPERLINK("http://ts.21cn.com/tousu/show/id/1344598","上海翰银为赌博输平台收单，请求瀚银为我退款挽回经济损失")</f>
        <v>上海翰银为赌博输平台收单，请求瀚银为我退款挽回经济损失</v>
      </c>
      <c r="C13150" s="2" t="s">
        <v>9</v>
      </c>
      <c r="D13150" s="2" t="s">
        <v>10</v>
      </c>
      <c r="E13150" s="2" t="str">
        <f>HYPERLINK("http://ts.21cn.com/tousu/show/id/1344598","http://ts.21cn.com/tousu/show/id/1344598")</f>
        <v>http://ts.21cn.com/tousu/show/id/1344598</v>
      </c>
      <c r="F13150" s="2" t="s">
        <v>11</v>
      </c>
      <c r="G13150" s="2" t="s">
        <v>18297</v>
      </c>
      <c r="H13150" s="2" t="s">
        <v>18298</v>
      </c>
    </row>
    <row r="13151" spans="1:8" ht="25.05" customHeight="1" x14ac:dyDescent="0.25">
      <c r="A13151" s="2" t="s">
        <v>8</v>
      </c>
      <c r="B13151" s="2" t="str">
        <f>HYPERLINK("http://ts.21cn.com/tousu/show/id/1344600","小花钱包暴力催收")</f>
        <v>小花钱包暴力催收</v>
      </c>
      <c r="C13151" s="2" t="s">
        <v>9</v>
      </c>
      <c r="D13151" s="2" t="s">
        <v>10</v>
      </c>
      <c r="E13151" s="2" t="str">
        <f>HYPERLINK("http://ts.21cn.com/tousu/show/id/1344600","http://ts.21cn.com/tousu/show/id/1344600")</f>
        <v>http://ts.21cn.com/tousu/show/id/1344600</v>
      </c>
      <c r="F13151" s="2" t="s">
        <v>11</v>
      </c>
      <c r="G13151" s="2" t="s">
        <v>18294</v>
      </c>
      <c r="H13151" s="2" t="s">
        <v>18295</v>
      </c>
    </row>
    <row r="13152" spans="1:8" ht="25.05" customHeight="1" x14ac:dyDescent="0.25">
      <c r="A13152" s="2" t="s">
        <v>8</v>
      </c>
      <c r="B13152" s="2" t="str">
        <f>HYPERLINK("http://ts.21cn.com/tousu/show/id/1344599","玖富万卡借4900块还6658元，还收保费1480元")</f>
        <v>玖富万卡借4900块还6658元，还收保费1480元</v>
      </c>
      <c r="C13152" s="2" t="s">
        <v>9</v>
      </c>
      <c r="D13152" s="2" t="s">
        <v>10</v>
      </c>
      <c r="E13152" s="2" t="str">
        <f>HYPERLINK("http://ts.21cn.com/tousu/show/id/1344599","http://ts.21cn.com/tousu/show/id/1344599")</f>
        <v>http://ts.21cn.com/tousu/show/id/1344599</v>
      </c>
      <c r="F13152" s="2" t="s">
        <v>11</v>
      </c>
      <c r="G13152" s="2" t="s">
        <v>18294</v>
      </c>
      <c r="H13152" s="2" t="s">
        <v>18296</v>
      </c>
    </row>
    <row r="13153" spans="1:8" ht="25.05" customHeight="1" x14ac:dyDescent="0.25">
      <c r="A13153" s="2" t="s">
        <v>8</v>
      </c>
      <c r="B13153" s="2" t="str">
        <f>HYPERLINK("http://ts.21cn.com/tousu/show/id/1344590","快闪卡贷爆通讯录发短信收入保险费用")</f>
        <v>快闪卡贷爆通讯录发短信收入保险费用</v>
      </c>
      <c r="C13153" s="2" t="s">
        <v>9</v>
      </c>
      <c r="D13153" s="2" t="s">
        <v>10</v>
      </c>
      <c r="E13153" s="2" t="str">
        <f>HYPERLINK("http://ts.21cn.com/tousu/show/id/1344590","http://ts.21cn.com/tousu/show/id/1344590")</f>
        <v>http://ts.21cn.com/tousu/show/id/1344590</v>
      </c>
      <c r="F13153" s="2" t="s">
        <v>11</v>
      </c>
      <c r="G13153" s="2" t="s">
        <v>18292</v>
      </c>
      <c r="H13153" s="2" t="s">
        <v>18293</v>
      </c>
    </row>
    <row r="13154" spans="1:8" ht="25.05" customHeight="1" x14ac:dyDescent="0.25">
      <c r="A13154" s="2" t="s">
        <v>8</v>
      </c>
      <c r="B13154" s="2" t="str">
        <f>HYPERLINK("http://ts.21cn.com/tousu/show/id/1344601","石头管家联系不到客服")</f>
        <v>石头管家联系不到客服</v>
      </c>
      <c r="C13154" s="2" t="s">
        <v>9</v>
      </c>
      <c r="D13154" s="2" t="s">
        <v>10</v>
      </c>
      <c r="E13154" s="2" t="str">
        <f>HYPERLINK("http://ts.21cn.com/tousu/show/id/1344601","http://ts.21cn.com/tousu/show/id/1344601")</f>
        <v>http://ts.21cn.com/tousu/show/id/1344601</v>
      </c>
      <c r="F13154" s="2" t="s">
        <v>11</v>
      </c>
      <c r="G13154" s="2" t="s">
        <v>18290</v>
      </c>
      <c r="H13154" s="2" t="s">
        <v>18291</v>
      </c>
    </row>
    <row r="13155" spans="1:8" ht="25.05" customHeight="1" x14ac:dyDescent="0.25">
      <c r="A13155" s="2" t="s">
        <v>8</v>
      </c>
      <c r="B13155" s="2" t="str">
        <f>HYPERLINK("http://ts.21cn.com/tousu/show/id/1344603","美团借钱催收私下威胁")</f>
        <v>美团借钱催收私下威胁</v>
      </c>
      <c r="C13155" s="2" t="s">
        <v>9</v>
      </c>
      <c r="D13155" s="2" t="s">
        <v>10</v>
      </c>
      <c r="E13155" s="2" t="str">
        <f>HYPERLINK("http://ts.21cn.com/tousu/show/id/1344603","http://ts.21cn.com/tousu/show/id/1344603")</f>
        <v>http://ts.21cn.com/tousu/show/id/1344603</v>
      </c>
      <c r="F13155" s="2" t="s">
        <v>11</v>
      </c>
      <c r="G13155" s="2" t="s">
        <v>18288</v>
      </c>
      <c r="H13155" s="2" t="s">
        <v>18289</v>
      </c>
    </row>
    <row r="13156" spans="1:8" ht="25.05" customHeight="1" x14ac:dyDescent="0.25">
      <c r="A13156" s="2" t="s">
        <v>8</v>
      </c>
      <c r="B13156" s="2" t="str">
        <f>HYPERLINK("http://ts.21cn.com/tousu/show/id/1344544","有用分期恶意骚扰")</f>
        <v>有用分期恶意骚扰</v>
      </c>
      <c r="C13156" s="2" t="s">
        <v>9</v>
      </c>
      <c r="D13156" s="2" t="s">
        <v>10</v>
      </c>
      <c r="E13156" s="2" t="str">
        <f>HYPERLINK("http://ts.21cn.com/tousu/show/id/1344544","http://ts.21cn.com/tousu/show/id/1344544")</f>
        <v>http://ts.21cn.com/tousu/show/id/1344544</v>
      </c>
      <c r="F13156" s="2" t="s">
        <v>11</v>
      </c>
      <c r="G13156" s="2" t="s">
        <v>18286</v>
      </c>
      <c r="H13156" s="2" t="s">
        <v>18287</v>
      </c>
    </row>
    <row r="13157" spans="1:8" ht="25.05" customHeight="1" x14ac:dyDescent="0.25">
      <c r="A13157" s="2" t="s">
        <v>8</v>
      </c>
      <c r="B13157" s="2" t="str">
        <f>HYPERLINK("http://ts.21cn.com/tousu/show/id/1344604","还款后未销账")</f>
        <v>还款后未销账</v>
      </c>
      <c r="C13157" s="2" t="s">
        <v>9</v>
      </c>
      <c r="D13157" s="2" t="s">
        <v>10</v>
      </c>
      <c r="E13157" s="2" t="str">
        <f>HYPERLINK("http://ts.21cn.com/tousu/show/id/1344604","http://ts.21cn.com/tousu/show/id/1344604")</f>
        <v>http://ts.21cn.com/tousu/show/id/1344604</v>
      </c>
      <c r="F13157" s="2" t="s">
        <v>11</v>
      </c>
      <c r="G13157" s="2" t="s">
        <v>18284</v>
      </c>
      <c r="H13157" s="2" t="s">
        <v>18285</v>
      </c>
    </row>
    <row r="13158" spans="1:8" ht="25.05" customHeight="1" x14ac:dyDescent="0.25">
      <c r="A13158" s="2" t="s">
        <v>8</v>
      </c>
      <c r="B13158" s="2" t="str">
        <f>HYPERLINK("http://ts.21cn.com/tousu/show/id/1269905","维信金科公司涉嫌暴力催收及中金信托涉及违法发放高利贷")</f>
        <v>维信金科公司涉嫌暴力催收及中金信托涉及违法发放高利贷</v>
      </c>
      <c r="C13158" s="2" t="s">
        <v>9</v>
      </c>
      <c r="D13158" s="2" t="s">
        <v>10</v>
      </c>
      <c r="E13158" s="2" t="str">
        <f>HYPERLINK("http://ts.21cn.com/tousu/show/id/1269905","http://ts.21cn.com/tousu/show/id/1269905")</f>
        <v>http://ts.21cn.com/tousu/show/id/1269905</v>
      </c>
      <c r="F13158" s="2" t="s">
        <v>11</v>
      </c>
      <c r="G13158" s="2" t="s">
        <v>18282</v>
      </c>
      <c r="H13158" s="2" t="s">
        <v>18283</v>
      </c>
    </row>
    <row r="13159" spans="1:8" ht="25.05" customHeight="1" x14ac:dyDescent="0.25">
      <c r="A13159" s="2" t="s">
        <v>8</v>
      </c>
      <c r="B13159" s="2" t="str">
        <f>HYPERLINK("http://ts.21cn.com/tousu/show/id/1344605","高息，暴力催收，辱骂")</f>
        <v>高息，暴力催收，辱骂</v>
      </c>
      <c r="C13159" s="2" t="s">
        <v>9</v>
      </c>
      <c r="D13159" s="2" t="s">
        <v>10</v>
      </c>
      <c r="E13159" s="2" t="str">
        <f>HYPERLINK("http://ts.21cn.com/tousu/show/id/1344605","http://ts.21cn.com/tousu/show/id/1344605")</f>
        <v>http://ts.21cn.com/tousu/show/id/1344605</v>
      </c>
      <c r="F13159" s="2" t="s">
        <v>11</v>
      </c>
      <c r="G13159" s="2" t="s">
        <v>18280</v>
      </c>
      <c r="H13159" s="2" t="s">
        <v>18281</v>
      </c>
    </row>
    <row r="13160" spans="1:8" ht="25.05" customHeight="1" x14ac:dyDescent="0.25">
      <c r="A13160" s="2" t="s">
        <v>8</v>
      </c>
      <c r="B13160" s="2" t="str">
        <f>HYPERLINK("http://ts.21cn.com/tousu/show/id/1344608","月光侠分期强制放款")</f>
        <v>月光侠分期强制放款</v>
      </c>
      <c r="C13160" s="2" t="s">
        <v>9</v>
      </c>
      <c r="D13160" s="2" t="s">
        <v>10</v>
      </c>
      <c r="E13160" s="2" t="str">
        <f>HYPERLINK("http://ts.21cn.com/tousu/show/id/1344608","http://ts.21cn.com/tousu/show/id/1344608")</f>
        <v>http://ts.21cn.com/tousu/show/id/1344608</v>
      </c>
      <c r="F13160" s="2" t="s">
        <v>11</v>
      </c>
      <c r="G13160" s="2" t="s">
        <v>18278</v>
      </c>
      <c r="H13160" s="2" t="s">
        <v>18279</v>
      </c>
    </row>
    <row r="13161" spans="1:8" ht="25.05" customHeight="1" x14ac:dyDescent="0.25">
      <c r="A13161" s="2" t="s">
        <v>8</v>
      </c>
      <c r="B13161" s="2" t="str">
        <f>HYPERLINK("http://ts.21cn.com/tousu/show/id/1344610","拍拍贷暴力催收")</f>
        <v>拍拍贷暴力催收</v>
      </c>
      <c r="C13161" s="2" t="s">
        <v>9</v>
      </c>
      <c r="D13161" s="2" t="s">
        <v>10</v>
      </c>
      <c r="E13161" s="2" t="str">
        <f>HYPERLINK("http://ts.21cn.com/tousu/show/id/1344610","http://ts.21cn.com/tousu/show/id/1344610")</f>
        <v>http://ts.21cn.com/tousu/show/id/1344610</v>
      </c>
      <c r="F13161" s="2" t="s">
        <v>11</v>
      </c>
      <c r="G13161" s="2" t="s">
        <v>18276</v>
      </c>
      <c r="H13161" s="2" t="s">
        <v>18277</v>
      </c>
    </row>
    <row r="13162" spans="1:8" ht="25.05" customHeight="1" x14ac:dyDescent="0.25">
      <c r="A13162" s="2" t="s">
        <v>8</v>
      </c>
      <c r="B13162" s="2" t="str">
        <f>HYPERLINK("http://ts.21cn.com/tousu/show/id/1344609","王者钱包是高炮")</f>
        <v>王者钱包是高炮</v>
      </c>
      <c r="C13162" s="2" t="s">
        <v>34</v>
      </c>
      <c r="D13162" s="2" t="s">
        <v>10</v>
      </c>
      <c r="E13162" s="2" t="str">
        <f>HYPERLINK("http://ts.21cn.com/tousu/show/id/1344609","http://ts.21cn.com/tousu/show/id/1344609")</f>
        <v>http://ts.21cn.com/tousu/show/id/1344609</v>
      </c>
      <c r="F13162" s="2" t="s">
        <v>11</v>
      </c>
      <c r="G13162" s="2" t="s">
        <v>18274</v>
      </c>
      <c r="H13162" s="2" t="s">
        <v>18275</v>
      </c>
    </row>
    <row r="13163" spans="1:8" ht="25.05" customHeight="1" x14ac:dyDescent="0.25">
      <c r="A13163" s="2" t="s">
        <v>8</v>
      </c>
      <c r="B13163" s="2" t="str">
        <f>HYPERLINK("http://ts.21cn.com/tousu/show/id/1344611","砍头息销账")</f>
        <v>砍头息销账</v>
      </c>
      <c r="C13163" s="2" t="s">
        <v>34</v>
      </c>
      <c r="D13163" s="2" t="s">
        <v>10</v>
      </c>
      <c r="E13163" s="2" t="str">
        <f>HYPERLINK("http://ts.21cn.com/tousu/show/id/1344611","http://ts.21cn.com/tousu/show/id/1344611")</f>
        <v>http://ts.21cn.com/tousu/show/id/1344611</v>
      </c>
      <c r="F13163" s="2" t="s">
        <v>11</v>
      </c>
      <c r="G13163" s="2" t="s">
        <v>18272</v>
      </c>
      <c r="H13163" s="2" t="s">
        <v>18273</v>
      </c>
    </row>
    <row r="13164" spans="1:8" ht="25.05" customHeight="1" x14ac:dyDescent="0.25">
      <c r="A13164" s="2" t="s">
        <v>8</v>
      </c>
      <c r="B13164" s="2" t="str">
        <f>HYPERLINK("http://ts.21cn.com/tousu/show/id/1344612","投诉闪银里面的瞬瞬")</f>
        <v>投诉闪银里面的瞬瞬</v>
      </c>
      <c r="C13164" s="2" t="s">
        <v>34</v>
      </c>
      <c r="D13164" s="2" t="s">
        <v>10</v>
      </c>
      <c r="E13164" s="2" t="str">
        <f>HYPERLINK("http://ts.21cn.com/tousu/show/id/1344612","http://ts.21cn.com/tousu/show/id/1344612")</f>
        <v>http://ts.21cn.com/tousu/show/id/1344612</v>
      </c>
      <c r="F13164" s="2" t="s">
        <v>11</v>
      </c>
      <c r="G13164" s="2" t="s">
        <v>18270</v>
      </c>
      <c r="H13164" s="2" t="s">
        <v>18271</v>
      </c>
    </row>
    <row r="13165" spans="1:8" ht="25.05" customHeight="1" x14ac:dyDescent="0.25">
      <c r="A13165" s="2" t="s">
        <v>8</v>
      </c>
      <c r="B13165" s="2" t="str">
        <f>HYPERLINK("http://ts.21cn.com/tousu/show/id/1344614","爱钱进钱站阴阳合同")</f>
        <v>爱钱进钱站阴阳合同</v>
      </c>
      <c r="C13165" s="2" t="s">
        <v>9</v>
      </c>
      <c r="D13165" s="2" t="s">
        <v>10</v>
      </c>
      <c r="E13165" s="2" t="str">
        <f>HYPERLINK("http://ts.21cn.com/tousu/show/id/1344614","http://ts.21cn.com/tousu/show/id/1344614")</f>
        <v>http://ts.21cn.com/tousu/show/id/1344614</v>
      </c>
      <c r="F13165" s="2" t="s">
        <v>11</v>
      </c>
      <c r="G13165" s="2" t="s">
        <v>18268</v>
      </c>
      <c r="H13165" s="2" t="s">
        <v>18269</v>
      </c>
    </row>
    <row r="13166" spans="1:8" ht="25.05" customHeight="1" x14ac:dyDescent="0.25">
      <c r="A13166" s="2" t="s">
        <v>8</v>
      </c>
      <c r="B13166" s="2" t="str">
        <f>HYPERLINK("http://ts.21cn.com/tousu/show/id/1344615","平安普惠骚扰他人")</f>
        <v>平安普惠骚扰他人</v>
      </c>
      <c r="C13166" s="2" t="s">
        <v>9</v>
      </c>
      <c r="D13166" s="2" t="s">
        <v>10</v>
      </c>
      <c r="E13166" s="2" t="str">
        <f>HYPERLINK("http://ts.21cn.com/tousu/show/id/1344615","http://ts.21cn.com/tousu/show/id/1344615")</f>
        <v>http://ts.21cn.com/tousu/show/id/1344615</v>
      </c>
      <c r="F13166" s="2" t="s">
        <v>11</v>
      </c>
      <c r="G13166" s="2" t="s">
        <v>18266</v>
      </c>
      <c r="H13166" s="2" t="s">
        <v>18267</v>
      </c>
    </row>
    <row r="13167" spans="1:8" ht="25.05" customHeight="1" x14ac:dyDescent="0.25">
      <c r="A13167" s="2" t="s">
        <v>8</v>
      </c>
      <c r="B13167" s="2" t="str">
        <f>HYPERLINK("http://ts.21cn.com/tousu/show/id/1344616","网银在线京东支付和广州银联为违法高利贷给你花违规提供支付渠道")</f>
        <v>网银在线京东支付和广州银联为违法高利贷给你花违规提供支付渠道</v>
      </c>
      <c r="C13167" s="2" t="s">
        <v>9</v>
      </c>
      <c r="D13167" s="2" t="s">
        <v>10</v>
      </c>
      <c r="E13167" s="2" t="str">
        <f>HYPERLINK("http://ts.21cn.com/tousu/show/id/1344616","http://ts.21cn.com/tousu/show/id/1344616")</f>
        <v>http://ts.21cn.com/tousu/show/id/1344616</v>
      </c>
      <c r="F13167" s="2" t="s">
        <v>11</v>
      </c>
      <c r="G13167" s="2" t="s">
        <v>18263</v>
      </c>
      <c r="H13167" s="2" t="s">
        <v>18264</v>
      </c>
    </row>
    <row r="13168" spans="1:8" ht="25.05" customHeight="1" x14ac:dyDescent="0.25">
      <c r="A13168" s="2" t="s">
        <v>8</v>
      </c>
      <c r="B13168" s="2" t="str">
        <f>HYPERLINK("http://ts.21cn.com/tousu/show/id/1344617","联动云违章无法处理，一直拖到缴纳违约金！")</f>
        <v>联动云违章无法处理，一直拖到缴纳违约金！</v>
      </c>
      <c r="C13168" s="2" t="s">
        <v>9</v>
      </c>
      <c r="D13168" s="2" t="s">
        <v>10</v>
      </c>
      <c r="E13168" s="2" t="str">
        <f>HYPERLINK("http://ts.21cn.com/tousu/show/id/1344617","http://ts.21cn.com/tousu/show/id/1344617")</f>
        <v>http://ts.21cn.com/tousu/show/id/1344617</v>
      </c>
      <c r="F13168" s="2" t="s">
        <v>11</v>
      </c>
      <c r="G13168" s="2" t="s">
        <v>18263</v>
      </c>
      <c r="H13168" s="2" t="s">
        <v>18265</v>
      </c>
    </row>
    <row r="13169" spans="1:8" ht="25.05" customHeight="1" x14ac:dyDescent="0.25">
      <c r="A13169" s="2" t="s">
        <v>8</v>
      </c>
      <c r="B13169" s="2" t="str">
        <f>HYPERLINK("http://ts.21cn.com/tousu/show/id/1344619","贷上钱爆通讯录严重影响个人生活")</f>
        <v>贷上钱爆通讯录严重影响个人生活</v>
      </c>
      <c r="C13169" s="2" t="s">
        <v>9</v>
      </c>
      <c r="D13169" s="2" t="s">
        <v>10</v>
      </c>
      <c r="E13169" s="2" t="str">
        <f>HYPERLINK("http://ts.21cn.com/tousu/show/id/1344619","http://ts.21cn.com/tousu/show/id/1344619")</f>
        <v>http://ts.21cn.com/tousu/show/id/1344619</v>
      </c>
      <c r="F13169" s="2" t="s">
        <v>11</v>
      </c>
      <c r="G13169" s="2" t="s">
        <v>18260</v>
      </c>
      <c r="H13169" s="2" t="s">
        <v>18261</v>
      </c>
    </row>
    <row r="13170" spans="1:8" ht="25.05" customHeight="1" x14ac:dyDescent="0.25">
      <c r="A13170" s="2" t="s">
        <v>8</v>
      </c>
      <c r="B13170" s="2" t="str">
        <f>HYPERLINK("http://ts.21cn.com/tousu/show/id/1344618","威胁骚扰")</f>
        <v>威胁骚扰</v>
      </c>
      <c r="C13170" s="2" t="s">
        <v>9</v>
      </c>
      <c r="D13170" s="2" t="s">
        <v>10</v>
      </c>
      <c r="E13170" s="2" t="str">
        <f>HYPERLINK("http://ts.21cn.com/tousu/show/id/1344618","http://ts.21cn.com/tousu/show/id/1344618")</f>
        <v>http://ts.21cn.com/tousu/show/id/1344618</v>
      </c>
      <c r="F13170" s="2" t="s">
        <v>11</v>
      </c>
      <c r="G13170" s="2" t="s">
        <v>18260</v>
      </c>
      <c r="H13170" s="2" t="s">
        <v>18262</v>
      </c>
    </row>
    <row r="13171" spans="1:8" ht="25.05" customHeight="1" x14ac:dyDescent="0.25">
      <c r="A13171" s="2" t="s">
        <v>8</v>
      </c>
      <c r="B13171" s="2" t="str">
        <f>HYPERLINK("http://ts.21cn.com/tousu/show/id/1344613","找我学、套路贷、培训贷")</f>
        <v>找我学、套路贷、培训贷</v>
      </c>
      <c r="C13171" s="2" t="s">
        <v>9</v>
      </c>
      <c r="D13171" s="2" t="s">
        <v>10</v>
      </c>
      <c r="E13171" s="2" t="str">
        <f>HYPERLINK("http://ts.21cn.com/tousu/show/id/1344613","http://ts.21cn.com/tousu/show/id/1344613")</f>
        <v>http://ts.21cn.com/tousu/show/id/1344613</v>
      </c>
      <c r="F13171" s="2" t="s">
        <v>11</v>
      </c>
      <c r="G13171" s="2" t="s">
        <v>18258</v>
      </c>
      <c r="H13171" s="2" t="s">
        <v>18259</v>
      </c>
    </row>
    <row r="13172" spans="1:8" ht="25.05" customHeight="1" x14ac:dyDescent="0.25">
      <c r="A13172" s="2" t="s">
        <v>8</v>
      </c>
      <c r="B13172" s="2" t="str">
        <f>HYPERLINK("http://ts.21cn.com/tousu/show/id/1344620","华为mate20pro距离感应器失灵，然后售后说正常")</f>
        <v>华为mate20pro距离感应器失灵，然后售后说正常</v>
      </c>
      <c r="C13172" s="2" t="s">
        <v>34</v>
      </c>
      <c r="D13172" s="2" t="s">
        <v>10</v>
      </c>
      <c r="E13172" s="2" t="str">
        <f>HYPERLINK("http://ts.21cn.com/tousu/show/id/1344620","http://ts.21cn.com/tousu/show/id/1344620")</f>
        <v>http://ts.21cn.com/tousu/show/id/1344620</v>
      </c>
      <c r="F13172" s="2" t="s">
        <v>11</v>
      </c>
      <c r="G13172" s="2" t="s">
        <v>18256</v>
      </c>
      <c r="H13172" s="2" t="s">
        <v>18257</v>
      </c>
    </row>
    <row r="13173" spans="1:8" ht="25.05" customHeight="1" x14ac:dyDescent="0.25">
      <c r="A13173" s="2" t="s">
        <v>8</v>
      </c>
      <c r="B13173" s="2" t="str">
        <f>HYPERLINK("http://ts.21cn.com/tousu/show/id/1344621","小浦优客app未提示扣取报告费要求退回")</f>
        <v>小浦优客app未提示扣取报告费要求退回</v>
      </c>
      <c r="C13173" s="2" t="s">
        <v>9</v>
      </c>
      <c r="D13173" s="2" t="s">
        <v>10</v>
      </c>
      <c r="E13173" s="2" t="str">
        <f>HYPERLINK("http://ts.21cn.com/tousu/show/id/1344621","http://ts.21cn.com/tousu/show/id/1344621")</f>
        <v>http://ts.21cn.com/tousu/show/id/1344621</v>
      </c>
      <c r="F13173" s="2" t="s">
        <v>11</v>
      </c>
      <c r="G13173" s="2" t="s">
        <v>18254</v>
      </c>
      <c r="H13173" s="2" t="s">
        <v>18255</v>
      </c>
    </row>
    <row r="13174" spans="1:8" ht="25.05" customHeight="1" x14ac:dyDescent="0.25">
      <c r="A13174" s="2" t="s">
        <v>8</v>
      </c>
      <c r="B13174" s="2" t="str">
        <f>HYPERLINK("http://ts.21cn.com/tousu/show/id/1344622","在淘集集申请退店后9月16号收到淘集集官方信息说我的退店财务已完成保证金退回。但我绑定的银行卡确一直没有收到退回的保证金")</f>
        <v>在淘集集申请退店后9月16号收到淘集集官方信息说我的退店财务已完成保证金退回。但我绑定的银行卡确一直没有收到退回的保证金</v>
      </c>
      <c r="C13174" s="2" t="s">
        <v>34</v>
      </c>
      <c r="D13174" s="2" t="s">
        <v>10</v>
      </c>
      <c r="E13174" s="2" t="str">
        <f>HYPERLINK("http://ts.21cn.com/tousu/show/id/1344622","http://ts.21cn.com/tousu/show/id/1344622")</f>
        <v>http://ts.21cn.com/tousu/show/id/1344622</v>
      </c>
      <c r="F13174" s="2" t="s">
        <v>11</v>
      </c>
      <c r="G13174" s="2" t="s">
        <v>18252</v>
      </c>
      <c r="H13174" s="2" t="s">
        <v>18253</v>
      </c>
    </row>
    <row r="13175" spans="1:8" ht="25.05" customHeight="1" x14ac:dyDescent="0.25">
      <c r="A13175" s="2" t="s">
        <v>8</v>
      </c>
      <c r="B13175" s="2" t="str">
        <f>HYPERLINK("http://ts.21cn.com/tousu/show/id/1344623","钱站打通讯录")</f>
        <v>钱站打通讯录</v>
      </c>
      <c r="C13175" s="2" t="s">
        <v>34</v>
      </c>
      <c r="D13175" s="2" t="s">
        <v>10</v>
      </c>
      <c r="E13175" s="2" t="str">
        <f>HYPERLINK("http://ts.21cn.com/tousu/show/id/1344623","http://ts.21cn.com/tousu/show/id/1344623")</f>
        <v>http://ts.21cn.com/tousu/show/id/1344623</v>
      </c>
      <c r="F13175" s="2" t="s">
        <v>11</v>
      </c>
      <c r="G13175" s="2" t="s">
        <v>18250</v>
      </c>
      <c r="H13175" s="2" t="s">
        <v>18251</v>
      </c>
    </row>
    <row r="13176" spans="1:8" ht="25.05" customHeight="1" x14ac:dyDescent="0.25">
      <c r="A13176" s="2" t="s">
        <v>8</v>
      </c>
      <c r="B13176" s="2" t="str">
        <f>HYPERLINK("http://ts.21cn.com/tousu/show/id/1344624","快贷暴力催收")</f>
        <v>快贷暴力催收</v>
      </c>
      <c r="C13176" s="2" t="s">
        <v>9</v>
      </c>
      <c r="D13176" s="2" t="s">
        <v>10</v>
      </c>
      <c r="E13176" s="2" t="str">
        <f>HYPERLINK("http://ts.21cn.com/tousu/show/id/1344624","http://ts.21cn.com/tousu/show/id/1344624")</f>
        <v>http://ts.21cn.com/tousu/show/id/1344624</v>
      </c>
      <c r="F13176" s="2" t="s">
        <v>11</v>
      </c>
      <c r="G13176" s="2" t="s">
        <v>18248</v>
      </c>
      <c r="H13176" s="2" t="s">
        <v>18249</v>
      </c>
    </row>
    <row r="13177" spans="1:8" ht="25.05" customHeight="1" x14ac:dyDescent="0.25">
      <c r="A13177" s="2" t="s">
        <v>8</v>
      </c>
      <c r="B13177" s="2" t="str">
        <f>HYPERLINK("http://ts.21cn.com/tousu/show/id/1344574","水莲金条暴力催收爆通讯录")</f>
        <v>水莲金条暴力催收爆通讯录</v>
      </c>
      <c r="C13177" s="2" t="s">
        <v>9</v>
      </c>
      <c r="D13177" s="2" t="s">
        <v>10</v>
      </c>
      <c r="E13177" s="2" t="str">
        <f>HYPERLINK("http://ts.21cn.com/tousu/show/id/1344574","http://ts.21cn.com/tousu/show/id/1344574")</f>
        <v>http://ts.21cn.com/tousu/show/id/1344574</v>
      </c>
      <c r="F13177" s="2" t="s">
        <v>11</v>
      </c>
      <c r="G13177" s="2" t="s">
        <v>18246</v>
      </c>
      <c r="H13177" s="2" t="s">
        <v>18247</v>
      </c>
    </row>
    <row r="13178" spans="1:8" ht="25.05" customHeight="1" x14ac:dyDescent="0.25">
      <c r="A13178" s="2" t="s">
        <v>8</v>
      </c>
      <c r="B13178" s="2" t="str">
        <f>HYPERLINK("http://ts.21cn.com/tousu/show/id/1344626","威胁控吓")</f>
        <v>威胁控吓</v>
      </c>
      <c r="C13178" s="2" t="s">
        <v>9</v>
      </c>
      <c r="D13178" s="2" t="s">
        <v>10</v>
      </c>
      <c r="E13178" s="2" t="str">
        <f>HYPERLINK("http://ts.21cn.com/tousu/show/id/1344626","http://ts.21cn.com/tousu/show/id/1344626")</f>
        <v>http://ts.21cn.com/tousu/show/id/1344626</v>
      </c>
      <c r="F13178" s="2" t="s">
        <v>11</v>
      </c>
      <c r="G13178" s="2" t="s">
        <v>18244</v>
      </c>
      <c r="H13178" s="2" t="s">
        <v>18245</v>
      </c>
    </row>
    <row r="13179" spans="1:8" ht="25.05" customHeight="1" x14ac:dyDescent="0.25">
      <c r="A13179" s="2" t="s">
        <v>8</v>
      </c>
      <c r="B13179" s="2" t="str">
        <f>HYPERLINK("http://ts.21cn.com/tousu/show/id/1344558","找我学，网贷，套路贷")</f>
        <v>找我学，网贷，套路贷</v>
      </c>
      <c r="C13179" s="2" t="s">
        <v>9</v>
      </c>
      <c r="D13179" s="2" t="s">
        <v>10</v>
      </c>
      <c r="E13179" s="2" t="str">
        <f>HYPERLINK("http://ts.21cn.com/tousu/show/id/1344558","http://ts.21cn.com/tousu/show/id/1344558")</f>
        <v>http://ts.21cn.com/tousu/show/id/1344558</v>
      </c>
      <c r="F13179" s="2" t="s">
        <v>11</v>
      </c>
      <c r="G13179" s="2" t="s">
        <v>18242</v>
      </c>
      <c r="H13179" s="2" t="s">
        <v>18243</v>
      </c>
    </row>
    <row r="13180" spans="1:8" ht="25.05" customHeight="1" x14ac:dyDescent="0.25">
      <c r="A13180" s="2" t="s">
        <v>8</v>
      </c>
      <c r="B13180" s="2" t="str">
        <f>HYPERLINK("http://ts.21cn.com/tousu/show/id/1344628","钱站高利贷，阴阳合同，暴力催收")</f>
        <v>钱站高利贷，阴阳合同，暴力催收</v>
      </c>
      <c r="C13180" s="2" t="s">
        <v>9</v>
      </c>
      <c r="D13180" s="2" t="s">
        <v>10</v>
      </c>
      <c r="E13180" s="2" t="str">
        <f>HYPERLINK("http://ts.21cn.com/tousu/show/id/1344628","http://ts.21cn.com/tousu/show/id/1344628")</f>
        <v>http://ts.21cn.com/tousu/show/id/1344628</v>
      </c>
      <c r="F13180" s="2" t="s">
        <v>11</v>
      </c>
      <c r="G13180" s="2" t="s">
        <v>18240</v>
      </c>
      <c r="H13180" s="2" t="s">
        <v>18241</v>
      </c>
    </row>
    <row r="13181" spans="1:8" ht="25.05" customHeight="1" x14ac:dyDescent="0.25">
      <c r="A13181" s="2" t="s">
        <v>8</v>
      </c>
      <c r="B13181" s="2" t="str">
        <f>HYPERLINK("http://ts.21cn.com/tousu/show/id/1344627","松紧贷利息太高，暴力催收")</f>
        <v>松紧贷利息太高，暴力催收</v>
      </c>
      <c r="C13181" s="2" t="s">
        <v>9</v>
      </c>
      <c r="D13181" s="2" t="s">
        <v>10</v>
      </c>
      <c r="E13181" s="2" t="str">
        <f>HYPERLINK("http://ts.21cn.com/tousu/show/id/1344627","http://ts.21cn.com/tousu/show/id/1344627")</f>
        <v>http://ts.21cn.com/tousu/show/id/1344627</v>
      </c>
      <c r="F13181" s="2" t="s">
        <v>11</v>
      </c>
      <c r="G13181" s="2" t="s">
        <v>18238</v>
      </c>
      <c r="H13181" s="2" t="s">
        <v>18239</v>
      </c>
    </row>
    <row r="13182" spans="1:8" ht="25.05" customHeight="1" x14ac:dyDescent="0.25">
      <c r="A13182" s="2" t="s">
        <v>8</v>
      </c>
      <c r="B13182" s="2" t="str">
        <f>HYPERLINK("http://ts.21cn.com/tousu/show/id/1344629","欺诈会员费")</f>
        <v>欺诈会员费</v>
      </c>
      <c r="C13182" s="2" t="s">
        <v>9</v>
      </c>
      <c r="D13182" s="2" t="s">
        <v>10</v>
      </c>
      <c r="E13182" s="2" t="str">
        <f>HYPERLINK("http://ts.21cn.com/tousu/show/id/1344629","http://ts.21cn.com/tousu/show/id/1344629")</f>
        <v>http://ts.21cn.com/tousu/show/id/1344629</v>
      </c>
      <c r="F13182" s="2" t="s">
        <v>11</v>
      </c>
      <c r="G13182" s="2" t="s">
        <v>18236</v>
      </c>
      <c r="H13182" s="2" t="s">
        <v>18237</v>
      </c>
    </row>
    <row r="13183" spans="1:8" ht="25.05" customHeight="1" x14ac:dyDescent="0.25">
      <c r="A13183" s="2" t="s">
        <v>8</v>
      </c>
      <c r="B13183" s="2" t="str">
        <f>HYPERLINK("http://ts.21cn.com/tousu/show/id/1344630","马上消费金融，暴力催收，群发短信，恐吓催收")</f>
        <v>马上消费金融，暴力催收，群发短信，恐吓催收</v>
      </c>
      <c r="C13183" s="2" t="s">
        <v>9</v>
      </c>
      <c r="D13183" s="2" t="s">
        <v>10</v>
      </c>
      <c r="E13183" s="2" t="str">
        <f>HYPERLINK("http://ts.21cn.com/tousu/show/id/1344630","http://ts.21cn.com/tousu/show/id/1344630")</f>
        <v>http://ts.21cn.com/tousu/show/id/1344630</v>
      </c>
      <c r="F13183" s="2" t="s">
        <v>11</v>
      </c>
      <c r="G13183" s="2" t="s">
        <v>18234</v>
      </c>
      <c r="H13183" s="2" t="s">
        <v>18235</v>
      </c>
    </row>
    <row r="13184" spans="1:8" ht="25.05" customHeight="1" x14ac:dyDescent="0.25">
      <c r="A13184" s="2" t="s">
        <v>8</v>
      </c>
      <c r="B13184" s="2" t="str">
        <f>HYPERLINK("http://ts.21cn.com/tousu/show/id/1344632","网贷恶意催收")</f>
        <v>网贷恶意催收</v>
      </c>
      <c r="C13184" s="2" t="s">
        <v>9</v>
      </c>
      <c r="D13184" s="2" t="s">
        <v>10</v>
      </c>
      <c r="E13184" s="2" t="str">
        <f>HYPERLINK("http://ts.21cn.com/tousu/show/id/1344632","http://ts.21cn.com/tousu/show/id/1344632")</f>
        <v>http://ts.21cn.com/tousu/show/id/1344632</v>
      </c>
      <c r="F13184" s="2" t="s">
        <v>11</v>
      </c>
      <c r="G13184" s="2" t="s">
        <v>18232</v>
      </c>
      <c r="H13184" s="2" t="s">
        <v>18233</v>
      </c>
    </row>
    <row r="13185" spans="1:8" ht="25.05" customHeight="1" x14ac:dyDescent="0.25">
      <c r="A13185" s="2" t="s">
        <v>8</v>
      </c>
      <c r="B13185" s="2" t="str">
        <f>HYPERLINK("http://ts.21cn.com/tousu/show/id/1344633","在本人没有知情的情况下恶意盗窃我银行卡余额")</f>
        <v>在本人没有知情的情况下恶意盗窃我银行卡余额</v>
      </c>
      <c r="C13185" s="2" t="s">
        <v>9</v>
      </c>
      <c r="D13185" s="2" t="s">
        <v>10</v>
      </c>
      <c r="E13185" s="2" t="str">
        <f>HYPERLINK("http://ts.21cn.com/tousu/show/id/1344633","http://ts.21cn.com/tousu/show/id/1344633")</f>
        <v>http://ts.21cn.com/tousu/show/id/1344633</v>
      </c>
      <c r="F13185" s="2" t="s">
        <v>11</v>
      </c>
      <c r="G13185" s="2" t="s">
        <v>18230</v>
      </c>
      <c r="H13185" s="2" t="s">
        <v>18231</v>
      </c>
    </row>
    <row r="13186" spans="1:8" ht="25.05" customHeight="1" x14ac:dyDescent="0.25">
      <c r="A13186" s="2" t="s">
        <v>8</v>
      </c>
      <c r="B13186" s="2" t="str">
        <f>HYPERLINK("http://ts.21cn.com/tousu/show/id/1344634","乱扣钱不给退款")</f>
        <v>乱扣钱不给退款</v>
      </c>
      <c r="C13186" s="2" t="s">
        <v>9</v>
      </c>
      <c r="D13186" s="2" t="s">
        <v>10</v>
      </c>
      <c r="E13186" s="2" t="str">
        <f>HYPERLINK("http://ts.21cn.com/tousu/show/id/1344634","http://ts.21cn.com/tousu/show/id/1344634")</f>
        <v>http://ts.21cn.com/tousu/show/id/1344634</v>
      </c>
      <c r="F13186" s="2" t="s">
        <v>11</v>
      </c>
      <c r="G13186" s="2" t="s">
        <v>18228</v>
      </c>
      <c r="H13186" s="2" t="s">
        <v>18229</v>
      </c>
    </row>
    <row r="13187" spans="1:8" ht="25.05" customHeight="1" x14ac:dyDescent="0.25">
      <c r="A13187" s="2" t="s">
        <v>8</v>
      </c>
      <c r="B13187" s="2" t="str">
        <f>HYPERLINK("http://ts.21cn.com/tousu/show/id/1344636","高利贷高额服务费")</f>
        <v>高利贷高额服务费</v>
      </c>
      <c r="C13187" s="2" t="s">
        <v>9</v>
      </c>
      <c r="D13187" s="2" t="s">
        <v>10</v>
      </c>
      <c r="E13187" s="2" t="str">
        <f>HYPERLINK("http://ts.21cn.com/tousu/show/id/1344636","http://ts.21cn.com/tousu/show/id/1344636")</f>
        <v>http://ts.21cn.com/tousu/show/id/1344636</v>
      </c>
      <c r="F13187" s="2" t="s">
        <v>11</v>
      </c>
      <c r="G13187" s="2" t="s">
        <v>18226</v>
      </c>
      <c r="H13187" s="2" t="s">
        <v>18227</v>
      </c>
    </row>
    <row r="13188" spans="1:8" ht="25.05" customHeight="1" x14ac:dyDescent="0.25">
      <c r="A13188" s="2" t="s">
        <v>8</v>
      </c>
      <c r="B13188" s="2" t="str">
        <f>HYPERLINK("http://ts.21cn.com/tousu/show/id/1344638","闪银催收威胁爆通讯录")</f>
        <v>闪银催收威胁爆通讯录</v>
      </c>
      <c r="C13188" s="2" t="s">
        <v>9</v>
      </c>
      <c r="D13188" s="2" t="s">
        <v>10</v>
      </c>
      <c r="E13188" s="2" t="str">
        <f>HYPERLINK("http://ts.21cn.com/tousu/show/id/1344638","http://ts.21cn.com/tousu/show/id/1344638")</f>
        <v>http://ts.21cn.com/tousu/show/id/1344638</v>
      </c>
      <c r="F13188" s="2" t="s">
        <v>11</v>
      </c>
      <c r="G13188" s="2" t="s">
        <v>18224</v>
      </c>
      <c r="H13188" s="2" t="s">
        <v>18225</v>
      </c>
    </row>
    <row r="13189" spans="1:8" ht="25.05" customHeight="1" x14ac:dyDescent="0.25">
      <c r="A13189" s="2" t="s">
        <v>8</v>
      </c>
      <c r="B13189" s="2" t="str">
        <f>HYPERLINK("http://ts.21cn.com/tousu/show/id/1344639","冒充法务部")</f>
        <v>冒充法务部</v>
      </c>
      <c r="C13189" s="2" t="s">
        <v>9</v>
      </c>
      <c r="D13189" s="2" t="s">
        <v>10</v>
      </c>
      <c r="E13189" s="2" t="str">
        <f>HYPERLINK("http://ts.21cn.com/tousu/show/id/1344639","http://ts.21cn.com/tousu/show/id/1344639")</f>
        <v>http://ts.21cn.com/tousu/show/id/1344639</v>
      </c>
      <c r="F13189" s="2" t="s">
        <v>11</v>
      </c>
      <c r="G13189" s="2" t="s">
        <v>18222</v>
      </c>
      <c r="H13189" s="2" t="s">
        <v>18223</v>
      </c>
    </row>
    <row r="13190" spans="1:8" ht="25.05" customHeight="1" x14ac:dyDescent="0.25">
      <c r="A13190" s="2" t="s">
        <v>8</v>
      </c>
      <c r="B13190" s="2" t="str">
        <f>HYPERLINK("http://ts.21cn.com/tousu/show/id/1344640","汇潮支付为714提供放款渠道")</f>
        <v>汇潮支付为714提供放款渠道</v>
      </c>
      <c r="C13190" s="2" t="s">
        <v>34</v>
      </c>
      <c r="D13190" s="2" t="s">
        <v>10</v>
      </c>
      <c r="E13190" s="2" t="str">
        <f>HYPERLINK("http://ts.21cn.com/tousu/show/id/1344640","http://ts.21cn.com/tousu/show/id/1344640")</f>
        <v>http://ts.21cn.com/tousu/show/id/1344640</v>
      </c>
      <c r="F13190" s="2" t="s">
        <v>11</v>
      </c>
      <c r="G13190" s="2" t="s">
        <v>18220</v>
      </c>
      <c r="H13190" s="2" t="s">
        <v>18221</v>
      </c>
    </row>
    <row r="13191" spans="1:8" ht="25.05" customHeight="1" x14ac:dyDescent="0.25">
      <c r="A13191" s="2" t="s">
        <v>8</v>
      </c>
      <c r="B13191" s="2" t="str">
        <f>HYPERLINK("http://ts.21cn.com/tousu/show/id/1344641","滴滴平台毫无人权，乱扣服务分毫不负责")</f>
        <v>滴滴平台毫无人权，乱扣服务分毫不负责</v>
      </c>
      <c r="C13191" s="2" t="s">
        <v>9</v>
      </c>
      <c r="D13191" s="2" t="s">
        <v>10</v>
      </c>
      <c r="E13191" s="2" t="str">
        <f>HYPERLINK("http://ts.21cn.com/tousu/show/id/1344641","http://ts.21cn.com/tousu/show/id/1344641")</f>
        <v>http://ts.21cn.com/tousu/show/id/1344641</v>
      </c>
      <c r="F13191" s="2" t="s">
        <v>11</v>
      </c>
      <c r="G13191" s="2" t="s">
        <v>18218</v>
      </c>
      <c r="H13191" s="2" t="s">
        <v>18219</v>
      </c>
    </row>
    <row r="13192" spans="1:8" ht="25.05" customHeight="1" x14ac:dyDescent="0.25">
      <c r="A13192" s="2" t="s">
        <v>8</v>
      </c>
      <c r="B13192" s="2" t="str">
        <f>HYPERLINK("http://ts.21cn.com/tousu/show/id/1344642","请求宽限一天时间")</f>
        <v>请求宽限一天时间</v>
      </c>
      <c r="C13192" s="2" t="s">
        <v>9</v>
      </c>
      <c r="D13192" s="2" t="s">
        <v>10</v>
      </c>
      <c r="E13192" s="2" t="str">
        <f>HYPERLINK("http://ts.21cn.com/tousu/show/id/1344642","http://ts.21cn.com/tousu/show/id/1344642")</f>
        <v>http://ts.21cn.com/tousu/show/id/1344642</v>
      </c>
      <c r="F13192" s="2" t="s">
        <v>11</v>
      </c>
      <c r="G13192" s="2" t="s">
        <v>18216</v>
      </c>
      <c r="H13192" s="2" t="s">
        <v>18217</v>
      </c>
    </row>
    <row r="13193" spans="1:8" ht="25.05" customHeight="1" x14ac:dyDescent="0.25">
      <c r="A13193" s="2" t="s">
        <v>8</v>
      </c>
      <c r="B13193" s="2" t="str">
        <f>HYPERLINK("http://ts.21cn.com/tousu/show/id/1344644","马上消费金融")</f>
        <v>马上消费金融</v>
      </c>
      <c r="C13193" s="2" t="s">
        <v>9</v>
      </c>
      <c r="D13193" s="2" t="s">
        <v>10</v>
      </c>
      <c r="E13193" s="2" t="str">
        <f>HYPERLINK("http://ts.21cn.com/tousu/show/id/1344644","http://ts.21cn.com/tousu/show/id/1344644")</f>
        <v>http://ts.21cn.com/tousu/show/id/1344644</v>
      </c>
      <c r="F13193" s="2" t="s">
        <v>11</v>
      </c>
      <c r="G13193" s="2" t="s">
        <v>18214</v>
      </c>
      <c r="H13193" s="2" t="s">
        <v>18215</v>
      </c>
    </row>
    <row r="13194" spans="1:8" ht="25.05" customHeight="1" x14ac:dyDescent="0.25">
      <c r="A13194" s="2" t="s">
        <v>8</v>
      </c>
      <c r="B13194" s="2" t="str">
        <f>HYPERLINK("http://ts.21cn.com/tousu/show/id/1344645","桔子分期逾期还款")</f>
        <v>桔子分期逾期还款</v>
      </c>
      <c r="C13194" s="2" t="s">
        <v>34</v>
      </c>
      <c r="D13194" s="2" t="s">
        <v>10</v>
      </c>
      <c r="E13194" s="2" t="str">
        <f>HYPERLINK("http://ts.21cn.com/tousu/show/id/1344645","http://ts.21cn.com/tousu/show/id/1344645")</f>
        <v>http://ts.21cn.com/tousu/show/id/1344645</v>
      </c>
      <c r="F13194" s="2" t="s">
        <v>11</v>
      </c>
      <c r="G13194" s="2" t="s">
        <v>18212</v>
      </c>
      <c r="H13194" s="2" t="s">
        <v>18213</v>
      </c>
    </row>
    <row r="13195" spans="1:8" ht="25.05" customHeight="1" x14ac:dyDescent="0.25">
      <c r="A13195" s="2" t="s">
        <v>8</v>
      </c>
      <c r="B13195" s="2" t="str">
        <f>HYPERLINK("http://ts.21cn.com/tousu/show/id/1344646","恶意盗取个人银行卡资金")</f>
        <v>恶意盗取个人银行卡资金</v>
      </c>
      <c r="C13195" s="2" t="s">
        <v>9</v>
      </c>
      <c r="D13195" s="2" t="s">
        <v>10</v>
      </c>
      <c r="E13195" s="2" t="str">
        <f>HYPERLINK("http://ts.21cn.com/tousu/show/id/1344646","http://ts.21cn.com/tousu/show/id/1344646")</f>
        <v>http://ts.21cn.com/tousu/show/id/1344646</v>
      </c>
      <c r="F13195" s="2" t="s">
        <v>11</v>
      </c>
      <c r="G13195" s="2" t="s">
        <v>18210</v>
      </c>
      <c r="H13195" s="2" t="s">
        <v>18211</v>
      </c>
    </row>
    <row r="13196" spans="1:8" ht="25.05" customHeight="1" x14ac:dyDescent="0.25">
      <c r="A13196" s="2" t="s">
        <v>8</v>
      </c>
      <c r="B13196" s="2" t="str">
        <f>HYPERLINK("http://ts.21cn.com/tousu/show/id/1344647","特约小通商城无缘无故扣款")</f>
        <v>特约小通商城无缘无故扣款</v>
      </c>
      <c r="C13196" s="2" t="s">
        <v>34</v>
      </c>
      <c r="D13196" s="2" t="s">
        <v>10</v>
      </c>
      <c r="E13196" s="2" t="str">
        <f>HYPERLINK("http://ts.21cn.com/tousu/show/id/1344647","http://ts.21cn.com/tousu/show/id/1344647")</f>
        <v>http://ts.21cn.com/tousu/show/id/1344647</v>
      </c>
      <c r="F13196" s="2" t="s">
        <v>11</v>
      </c>
      <c r="G13196" s="2" t="s">
        <v>18208</v>
      </c>
      <c r="H13196" s="2" t="s">
        <v>18209</v>
      </c>
    </row>
    <row r="13197" spans="1:8" ht="25.05" customHeight="1" x14ac:dyDescent="0.25">
      <c r="A13197" s="2" t="s">
        <v>8</v>
      </c>
      <c r="B13197" s="2" t="str">
        <f>HYPERLINK("http://ts.21cn.com/tousu/show/id/1344648","私自从银行卡扣款")</f>
        <v>私自从银行卡扣款</v>
      </c>
      <c r="C13197" s="2" t="s">
        <v>9</v>
      </c>
      <c r="D13197" s="2" t="s">
        <v>10</v>
      </c>
      <c r="E13197" s="2" t="str">
        <f>HYPERLINK("http://ts.21cn.com/tousu/show/id/1344648","http://ts.21cn.com/tousu/show/id/1344648")</f>
        <v>http://ts.21cn.com/tousu/show/id/1344648</v>
      </c>
      <c r="F13197" s="2" t="s">
        <v>11</v>
      </c>
      <c r="G13197" s="2" t="s">
        <v>18206</v>
      </c>
      <c r="H13197" s="2" t="s">
        <v>18207</v>
      </c>
    </row>
    <row r="13198" spans="1:8" ht="25.05" customHeight="1" x14ac:dyDescent="0.25">
      <c r="A13198" s="2" t="s">
        <v>8</v>
      </c>
      <c r="B13198" s="2" t="str">
        <f>HYPERLINK("http://ts.21cn.com/tousu/show/id/1344649","有赞6800不退款")</f>
        <v>有赞6800不退款</v>
      </c>
      <c r="C13198" s="2" t="s">
        <v>9</v>
      </c>
      <c r="D13198" s="2" t="s">
        <v>10</v>
      </c>
      <c r="E13198" s="2" t="str">
        <f>HYPERLINK("http://ts.21cn.com/tousu/show/id/1344649","http://ts.21cn.com/tousu/show/id/1344649")</f>
        <v>http://ts.21cn.com/tousu/show/id/1344649</v>
      </c>
      <c r="F13198" s="2" t="s">
        <v>11</v>
      </c>
      <c r="G13198" s="2" t="s">
        <v>18204</v>
      </c>
      <c r="H13198" s="2" t="s">
        <v>18205</v>
      </c>
    </row>
    <row r="13199" spans="1:8" ht="25.05" customHeight="1" x14ac:dyDescent="0.25">
      <c r="A13199" s="2" t="s">
        <v>8</v>
      </c>
      <c r="B13199" s="2" t="str">
        <f>HYPERLINK("http://ts.21cn.com/tousu/show/id/1344650","无故冻结银行卡")</f>
        <v>无故冻结银行卡</v>
      </c>
      <c r="C13199" s="2" t="s">
        <v>9</v>
      </c>
      <c r="D13199" s="2" t="s">
        <v>10</v>
      </c>
      <c r="E13199" s="2" t="str">
        <f>HYPERLINK("http://ts.21cn.com/tousu/show/id/1344650","http://ts.21cn.com/tousu/show/id/1344650")</f>
        <v>http://ts.21cn.com/tousu/show/id/1344650</v>
      </c>
      <c r="F13199" s="2" t="s">
        <v>11</v>
      </c>
      <c r="G13199" s="2" t="s">
        <v>18202</v>
      </c>
      <c r="H13199" s="2" t="s">
        <v>18203</v>
      </c>
    </row>
    <row r="13200" spans="1:8" ht="25.05" customHeight="1" x14ac:dyDescent="0.25">
      <c r="A13200" s="2" t="s">
        <v>8</v>
      </c>
      <c r="B13200" s="2" t="str">
        <f>HYPERLINK("http://ts.21cn.com/tousu/show/id/1344063","宝付支付重复多扣客户钱款")</f>
        <v>宝付支付重复多扣客户钱款</v>
      </c>
      <c r="C13200" s="2" t="s">
        <v>9</v>
      </c>
      <c r="D13200" s="2" t="s">
        <v>10</v>
      </c>
      <c r="E13200" s="2" t="str">
        <f>HYPERLINK("http://ts.21cn.com/tousu/show/id/1344063","http://ts.21cn.com/tousu/show/id/1344063")</f>
        <v>http://ts.21cn.com/tousu/show/id/1344063</v>
      </c>
      <c r="F13200" s="2" t="s">
        <v>11</v>
      </c>
      <c r="G13200" s="2" t="s">
        <v>18200</v>
      </c>
      <c r="H13200" s="2" t="s">
        <v>18201</v>
      </c>
    </row>
    <row r="13201" spans="1:8" ht="25.05" customHeight="1" x14ac:dyDescent="0.25">
      <c r="A13201" s="2" t="s">
        <v>8</v>
      </c>
      <c r="B13201" s="2" t="str">
        <f>HYPERLINK("http://ts.21cn.com/tousu/show/id/1344651","好分期提前还款还要利息")</f>
        <v>好分期提前还款还要利息</v>
      </c>
      <c r="C13201" s="2" t="s">
        <v>9</v>
      </c>
      <c r="D13201" s="2" t="s">
        <v>10</v>
      </c>
      <c r="E13201" s="2" t="str">
        <f>HYPERLINK("http://ts.21cn.com/tousu/show/id/1344651","http://ts.21cn.com/tousu/show/id/1344651")</f>
        <v>http://ts.21cn.com/tousu/show/id/1344651</v>
      </c>
      <c r="F13201" s="2" t="s">
        <v>11</v>
      </c>
      <c r="G13201" s="2" t="s">
        <v>18198</v>
      </c>
      <c r="H13201" s="2" t="s">
        <v>18199</v>
      </c>
    </row>
    <row r="13202" spans="1:8" ht="25.05" customHeight="1" x14ac:dyDescent="0.25">
      <c r="A13202" s="2" t="s">
        <v>8</v>
      </c>
      <c r="B13202" s="2" t="str">
        <f>HYPERLINK("http://ts.21cn.com/tousu/show/id/1344652","拒绝协商，恶意骚扰通讯录，对他人造成困扰。")</f>
        <v>拒绝协商，恶意骚扰通讯录，对他人造成困扰。</v>
      </c>
      <c r="C13202" s="2" t="s">
        <v>9</v>
      </c>
      <c r="D13202" s="2" t="s">
        <v>10</v>
      </c>
      <c r="E13202" s="2" t="str">
        <f>HYPERLINK("http://ts.21cn.com/tousu/show/id/1344652","http://ts.21cn.com/tousu/show/id/1344652")</f>
        <v>http://ts.21cn.com/tousu/show/id/1344652</v>
      </c>
      <c r="F13202" s="2" t="s">
        <v>11</v>
      </c>
      <c r="G13202" s="2" t="s">
        <v>18196</v>
      </c>
      <c r="H13202" s="2" t="s">
        <v>18197</v>
      </c>
    </row>
    <row r="13203" spans="1:8" ht="25.05" customHeight="1" x14ac:dyDescent="0.25">
      <c r="A13203" s="2" t="s">
        <v>8</v>
      </c>
      <c r="B13203" s="2" t="str">
        <f>HYPERLINK("http://ts.21cn.com/tousu/show/id/1344653","捷信就是坑")</f>
        <v>捷信就是坑</v>
      </c>
      <c r="C13203" s="2" t="s">
        <v>9</v>
      </c>
      <c r="D13203" s="2" t="s">
        <v>10</v>
      </c>
      <c r="E13203" s="2" t="str">
        <f>HYPERLINK("http://ts.21cn.com/tousu/show/id/1344653","http://ts.21cn.com/tousu/show/id/1344653")</f>
        <v>http://ts.21cn.com/tousu/show/id/1344653</v>
      </c>
      <c r="F13203" s="2" t="s">
        <v>11</v>
      </c>
      <c r="G13203" s="2" t="s">
        <v>18194</v>
      </c>
      <c r="H13203" s="2" t="s">
        <v>18195</v>
      </c>
    </row>
    <row r="13204" spans="1:8" ht="25.05" customHeight="1" x14ac:dyDescent="0.25">
      <c r="A13204" s="2" t="s">
        <v>8</v>
      </c>
      <c r="B13204" s="2" t="str">
        <f>HYPERLINK("http://ts.21cn.com/tousu/show/id/1344643","优信二手车误导消费者")</f>
        <v>优信二手车误导消费者</v>
      </c>
      <c r="C13204" s="2" t="s">
        <v>9</v>
      </c>
      <c r="D13204" s="2" t="s">
        <v>10</v>
      </c>
      <c r="E13204" s="2" t="str">
        <f>HYPERLINK("http://ts.21cn.com/tousu/show/id/1344643","http://ts.21cn.com/tousu/show/id/1344643")</f>
        <v>http://ts.21cn.com/tousu/show/id/1344643</v>
      </c>
      <c r="F13204" s="2" t="s">
        <v>11</v>
      </c>
      <c r="G13204" s="2" t="s">
        <v>18192</v>
      </c>
      <c r="H13204" s="2" t="s">
        <v>18193</v>
      </c>
    </row>
    <row r="13205" spans="1:8" ht="25.05" customHeight="1" x14ac:dyDescent="0.25">
      <c r="A13205" s="2" t="s">
        <v>8</v>
      </c>
      <c r="B13205" s="2" t="str">
        <f>HYPERLINK("http://ts.21cn.com/tousu/show/id/1344654","多彩校园app学校不使用了之后不给退钱")</f>
        <v>多彩校园app学校不使用了之后不给退钱</v>
      </c>
      <c r="C13205" s="2" t="s">
        <v>9</v>
      </c>
      <c r="D13205" s="2" t="s">
        <v>10</v>
      </c>
      <c r="E13205" s="2" t="str">
        <f>HYPERLINK("http://ts.21cn.com/tousu/show/id/1344654","http://ts.21cn.com/tousu/show/id/1344654")</f>
        <v>http://ts.21cn.com/tousu/show/id/1344654</v>
      </c>
      <c r="F13205" s="2" t="s">
        <v>11</v>
      </c>
      <c r="G13205" s="2" t="s">
        <v>18190</v>
      </c>
      <c r="H13205" s="2" t="s">
        <v>18191</v>
      </c>
    </row>
    <row r="13206" spans="1:8" ht="25.05" customHeight="1" x14ac:dyDescent="0.25">
      <c r="A13206" s="2" t="s">
        <v>8</v>
      </c>
      <c r="B13206" s="2" t="str">
        <f>HYPERLINK("http://ts.21cn.com/tousu/show/id/1344655","玖富万卡收取高额的保费跟服务费")</f>
        <v>玖富万卡收取高额的保费跟服务费</v>
      </c>
      <c r="C13206" s="2" t="s">
        <v>34</v>
      </c>
      <c r="D13206" s="2" t="s">
        <v>10</v>
      </c>
      <c r="E13206" s="2" t="str">
        <f>HYPERLINK("http://ts.21cn.com/tousu/show/id/1344655","http://ts.21cn.com/tousu/show/id/1344655")</f>
        <v>http://ts.21cn.com/tousu/show/id/1344655</v>
      </c>
      <c r="F13206" s="2" t="s">
        <v>11</v>
      </c>
      <c r="G13206" s="2" t="s">
        <v>18188</v>
      </c>
      <c r="H13206" s="2" t="s">
        <v>18189</v>
      </c>
    </row>
    <row r="13207" spans="1:8" ht="25.05" customHeight="1" x14ac:dyDescent="0.25">
      <c r="A13207" s="2" t="s">
        <v>8</v>
      </c>
      <c r="B13207" s="2" t="str">
        <f>HYPERLINK("http://ts.21cn.com/tousu/show/id/1344656","携趣网络技术上海有限公司乱扣费")</f>
        <v>携趣网络技术上海有限公司乱扣费</v>
      </c>
      <c r="C13207" s="2" t="s">
        <v>9</v>
      </c>
      <c r="D13207" s="2" t="s">
        <v>10</v>
      </c>
      <c r="E13207" s="2" t="str">
        <f>HYPERLINK("http://ts.21cn.com/tousu/show/id/1344656","http://ts.21cn.com/tousu/show/id/1344656")</f>
        <v>http://ts.21cn.com/tousu/show/id/1344656</v>
      </c>
      <c r="F13207" s="2" t="s">
        <v>11</v>
      </c>
      <c r="G13207" s="2" t="s">
        <v>18186</v>
      </c>
      <c r="H13207" s="2" t="s">
        <v>18187</v>
      </c>
    </row>
    <row r="13208" spans="1:8" ht="25.05" customHeight="1" x14ac:dyDescent="0.25">
      <c r="A13208" s="2" t="s">
        <v>8</v>
      </c>
      <c r="B13208" s="2" t="str">
        <f>HYPERLINK("http://ts.21cn.com/tousu/show/id/1344657","花转转樱桃小借超高利息")</f>
        <v>花转转樱桃小借超高利息</v>
      </c>
      <c r="C13208" s="2" t="s">
        <v>34</v>
      </c>
      <c r="D13208" s="2" t="s">
        <v>10</v>
      </c>
      <c r="E13208" s="2" t="str">
        <f>HYPERLINK("http://ts.21cn.com/tousu/show/id/1344657","http://ts.21cn.com/tousu/show/id/1344657")</f>
        <v>http://ts.21cn.com/tousu/show/id/1344657</v>
      </c>
      <c r="F13208" s="2" t="s">
        <v>11</v>
      </c>
      <c r="G13208" s="2" t="s">
        <v>18184</v>
      </c>
      <c r="H13208" s="2" t="s">
        <v>18185</v>
      </c>
    </row>
    <row r="13209" spans="1:8" ht="25.05" customHeight="1" x14ac:dyDescent="0.25">
      <c r="A13209" s="2" t="s">
        <v>8</v>
      </c>
      <c r="B13209" s="2" t="str">
        <f>HYPERLINK("http://ts.21cn.com/tousu/show/id/1344658","好分期高利贷")</f>
        <v>好分期高利贷</v>
      </c>
      <c r="C13209" s="2" t="s">
        <v>9</v>
      </c>
      <c r="D13209" s="2" t="s">
        <v>10</v>
      </c>
      <c r="E13209" s="2" t="str">
        <f>HYPERLINK("http://ts.21cn.com/tousu/show/id/1344658","http://ts.21cn.com/tousu/show/id/1344658")</f>
        <v>http://ts.21cn.com/tousu/show/id/1344658</v>
      </c>
      <c r="F13209" s="2" t="s">
        <v>11</v>
      </c>
      <c r="G13209" s="2" t="s">
        <v>18182</v>
      </c>
      <c r="H13209" s="2" t="s">
        <v>18183</v>
      </c>
    </row>
    <row r="13210" spans="1:8" ht="25.05" customHeight="1" x14ac:dyDescent="0.25">
      <c r="A13210" s="2" t="s">
        <v>8</v>
      </c>
      <c r="B13210" s="2" t="str">
        <f>HYPERLINK("http://ts.21cn.com/tousu/show/id/1344659","我来数科收取砍头息和高利贷")</f>
        <v>我来数科收取砍头息和高利贷</v>
      </c>
      <c r="C13210" s="2" t="s">
        <v>9</v>
      </c>
      <c r="D13210" s="2" t="s">
        <v>10</v>
      </c>
      <c r="E13210" s="2" t="str">
        <f>HYPERLINK("http://ts.21cn.com/tousu/show/id/1344659","http://ts.21cn.com/tousu/show/id/1344659")</f>
        <v>http://ts.21cn.com/tousu/show/id/1344659</v>
      </c>
      <c r="F13210" s="2" t="s">
        <v>11</v>
      </c>
      <c r="G13210" s="2" t="s">
        <v>18180</v>
      </c>
      <c r="H13210" s="2" t="s">
        <v>18181</v>
      </c>
    </row>
    <row r="13211" spans="1:8" ht="25.05" customHeight="1" x14ac:dyDescent="0.25">
      <c r="A13211" s="2" t="s">
        <v>8</v>
      </c>
      <c r="B13211" s="2" t="str">
        <f>HYPERLINK("http://ts.21cn.com/tousu/show/id/1344661","惠普暗影精灵2PLUS电池鼓包")</f>
        <v>惠普暗影精灵2PLUS电池鼓包</v>
      </c>
      <c r="C13211" s="2" t="s">
        <v>9</v>
      </c>
      <c r="D13211" s="2" t="s">
        <v>10</v>
      </c>
      <c r="E13211" s="2" t="str">
        <f>HYPERLINK("http://ts.21cn.com/tousu/show/id/1344661","http://ts.21cn.com/tousu/show/id/1344661")</f>
        <v>http://ts.21cn.com/tousu/show/id/1344661</v>
      </c>
      <c r="F13211" s="2" t="s">
        <v>11</v>
      </c>
      <c r="G13211" s="2" t="s">
        <v>18178</v>
      </c>
      <c r="H13211" s="2" t="s">
        <v>18179</v>
      </c>
    </row>
    <row r="13212" spans="1:8" ht="25.05" customHeight="1" x14ac:dyDescent="0.25">
      <c r="A13212" s="2" t="s">
        <v>8</v>
      </c>
      <c r="B13212" s="2" t="str">
        <f>HYPERLINK("http://ts.21cn.com/tousu/show/id/1344660","暴力催收，恐吓，爆通讯录")</f>
        <v>暴力催收，恐吓，爆通讯录</v>
      </c>
      <c r="C13212" s="2" t="s">
        <v>9</v>
      </c>
      <c r="D13212" s="2" t="s">
        <v>10</v>
      </c>
      <c r="E13212" s="2" t="str">
        <f>HYPERLINK("http://ts.21cn.com/tousu/show/id/1344660","http://ts.21cn.com/tousu/show/id/1344660")</f>
        <v>http://ts.21cn.com/tousu/show/id/1344660</v>
      </c>
      <c r="F13212" s="2" t="s">
        <v>11</v>
      </c>
      <c r="G13212" s="2" t="s">
        <v>18176</v>
      </c>
      <c r="H13212" s="2" t="s">
        <v>18177</v>
      </c>
    </row>
    <row r="13213" spans="1:8" ht="25.05" customHeight="1" x14ac:dyDescent="0.25">
      <c r="A13213" s="2" t="s">
        <v>8</v>
      </c>
      <c r="B13213" s="2" t="str">
        <f>HYPERLINK("http://ts.21cn.com/tousu/show/id/1344662","还没放款就跟我说我违反了合同要起述我")</f>
        <v>还没放款就跟我说我违反了合同要起述我</v>
      </c>
      <c r="C13213" s="2" t="s">
        <v>9</v>
      </c>
      <c r="D13213" s="2" t="s">
        <v>10</v>
      </c>
      <c r="E13213" s="2" t="str">
        <f>HYPERLINK("http://ts.21cn.com/tousu/show/id/1344662","http://ts.21cn.com/tousu/show/id/1344662")</f>
        <v>http://ts.21cn.com/tousu/show/id/1344662</v>
      </c>
      <c r="F13213" s="2" t="s">
        <v>11</v>
      </c>
      <c r="G13213" s="2" t="s">
        <v>18174</v>
      </c>
      <c r="H13213" s="2" t="s">
        <v>18175</v>
      </c>
    </row>
    <row r="13214" spans="1:8" ht="25.05" customHeight="1" x14ac:dyDescent="0.25">
      <c r="A13214" s="2" t="s">
        <v>8</v>
      </c>
      <c r="B13214" s="2" t="str">
        <f>HYPERLINK("http://ts.21cn.com/tousu/show/id/1344665","多宝分期还款提示扣款失败")</f>
        <v>多宝分期还款提示扣款失败</v>
      </c>
      <c r="C13214" s="2" t="s">
        <v>9</v>
      </c>
      <c r="D13214" s="2" t="s">
        <v>10</v>
      </c>
      <c r="E13214" s="2" t="str">
        <f>HYPERLINK("http://ts.21cn.com/tousu/show/id/1344665","http://ts.21cn.com/tousu/show/id/1344665")</f>
        <v>http://ts.21cn.com/tousu/show/id/1344665</v>
      </c>
      <c r="F13214" s="2" t="s">
        <v>11</v>
      </c>
      <c r="G13214" s="2" t="s">
        <v>18172</v>
      </c>
      <c r="H13214" s="2" t="s">
        <v>18173</v>
      </c>
    </row>
    <row r="13215" spans="1:8" ht="25.05" customHeight="1" x14ac:dyDescent="0.25">
      <c r="A13215" s="2" t="s">
        <v>8</v>
      </c>
      <c r="B13215" s="2" t="str">
        <f>HYPERLINK("http://ts.21cn.com/tousu/show/id/1344667","牛人有品要求协商还款")</f>
        <v>牛人有品要求协商还款</v>
      </c>
      <c r="C13215" s="2" t="s">
        <v>9</v>
      </c>
      <c r="D13215" s="2" t="s">
        <v>10</v>
      </c>
      <c r="E13215" s="2" t="str">
        <f>HYPERLINK("http://ts.21cn.com/tousu/show/id/1344667","http://ts.21cn.com/tousu/show/id/1344667")</f>
        <v>http://ts.21cn.com/tousu/show/id/1344667</v>
      </c>
      <c r="F13215" s="2" t="s">
        <v>11</v>
      </c>
      <c r="G13215" s="2" t="s">
        <v>18170</v>
      </c>
      <c r="H13215" s="2" t="s">
        <v>18171</v>
      </c>
    </row>
    <row r="13216" spans="1:8" ht="25.05" customHeight="1" x14ac:dyDescent="0.25">
      <c r="A13216" s="2" t="s">
        <v>8</v>
      </c>
      <c r="B13216" s="2" t="str">
        <f>HYPERLINK("http://ts.21cn.com/tousu/show/id/1344666","要求分期乐能给个最低分期还款")</f>
        <v>要求分期乐能给个最低分期还款</v>
      </c>
      <c r="C13216" s="2" t="s">
        <v>34</v>
      </c>
      <c r="D13216" s="2" t="s">
        <v>10</v>
      </c>
      <c r="E13216" s="2" t="str">
        <f>HYPERLINK("http://ts.21cn.com/tousu/show/id/1344666","http://ts.21cn.com/tousu/show/id/1344666")</f>
        <v>http://ts.21cn.com/tousu/show/id/1344666</v>
      </c>
      <c r="F13216" s="2" t="s">
        <v>11</v>
      </c>
      <c r="G13216" s="2" t="s">
        <v>18168</v>
      </c>
      <c r="H13216" s="2" t="s">
        <v>18169</v>
      </c>
    </row>
    <row r="13217" spans="1:8" ht="25.05" customHeight="1" x14ac:dyDescent="0.25">
      <c r="A13217" s="2" t="s">
        <v>8</v>
      </c>
      <c r="B13217" s="2" t="str">
        <f>HYPERLINK("http://ts.21cn.com/tousu/show/id/1344668","网贷保险退款")</f>
        <v>网贷保险退款</v>
      </c>
      <c r="C13217" s="2" t="s">
        <v>9</v>
      </c>
      <c r="D13217" s="2" t="s">
        <v>10</v>
      </c>
      <c r="E13217" s="2" t="str">
        <f>HYPERLINK("http://ts.21cn.com/tousu/show/id/1344668","http://ts.21cn.com/tousu/show/id/1344668")</f>
        <v>http://ts.21cn.com/tousu/show/id/1344668</v>
      </c>
      <c r="F13217" s="2" t="s">
        <v>11</v>
      </c>
      <c r="G13217" s="2" t="s">
        <v>18166</v>
      </c>
      <c r="H13217" s="2" t="s">
        <v>18167</v>
      </c>
    </row>
    <row r="13218" spans="1:8" ht="25.05" customHeight="1" x14ac:dyDescent="0.25">
      <c r="A13218" s="2" t="s">
        <v>8</v>
      </c>
      <c r="B13218" s="2" t="str">
        <f>HYPERLINK("http://ts.21cn.com/tousu/show/id/1344669","新橙优品利息高到离谱，还是光大银行放款的上征信")</f>
        <v>新橙优品利息高到离谱，还是光大银行放款的上征信</v>
      </c>
      <c r="C13218" s="2" t="s">
        <v>9</v>
      </c>
      <c r="D13218" s="2" t="s">
        <v>10</v>
      </c>
      <c r="E13218" s="2" t="str">
        <f>HYPERLINK("http://ts.21cn.com/tousu/show/id/1344669","http://ts.21cn.com/tousu/show/id/1344669")</f>
        <v>http://ts.21cn.com/tousu/show/id/1344669</v>
      </c>
      <c r="F13218" s="2" t="s">
        <v>11</v>
      </c>
      <c r="G13218" s="2" t="s">
        <v>18164</v>
      </c>
      <c r="H13218" s="2" t="s">
        <v>18165</v>
      </c>
    </row>
    <row r="13219" spans="1:8" ht="25.05" customHeight="1" x14ac:dyDescent="0.25">
      <c r="A13219" s="2" t="s">
        <v>8</v>
      </c>
      <c r="B13219" s="2" t="str">
        <f>HYPERLINK("http://ts.21cn.com/tousu/show/id/1344671","约单订单诚意金问题")</f>
        <v>约单订单诚意金问题</v>
      </c>
      <c r="C13219" s="2" t="s">
        <v>9</v>
      </c>
      <c r="D13219" s="2" t="s">
        <v>10</v>
      </c>
      <c r="E13219" s="2" t="str">
        <f>HYPERLINK("http://ts.21cn.com/tousu/show/id/1344671","http://ts.21cn.com/tousu/show/id/1344671")</f>
        <v>http://ts.21cn.com/tousu/show/id/1344671</v>
      </c>
      <c r="F13219" s="2" t="s">
        <v>11</v>
      </c>
      <c r="G13219" s="2" t="s">
        <v>18162</v>
      </c>
      <c r="H13219" s="2" t="s">
        <v>18163</v>
      </c>
    </row>
    <row r="13220" spans="1:8" ht="25.05" customHeight="1" x14ac:dyDescent="0.25">
      <c r="A13220" s="2" t="s">
        <v>8</v>
      </c>
      <c r="B13220" s="2" t="str">
        <f>HYPERLINK("http://ts.21cn.com/tousu/show/id/1344672","尚德机构投诉专题")</f>
        <v>尚德机构投诉专题</v>
      </c>
      <c r="C13220" s="2" t="s">
        <v>9</v>
      </c>
      <c r="D13220" s="2" t="s">
        <v>10</v>
      </c>
      <c r="E13220" s="2" t="str">
        <f>HYPERLINK("http://ts.21cn.com/tousu/show/id/1344672","http://ts.21cn.com/tousu/show/id/1344672")</f>
        <v>http://ts.21cn.com/tousu/show/id/1344672</v>
      </c>
      <c r="F13220" s="2" t="s">
        <v>11</v>
      </c>
      <c r="G13220" s="2" t="s">
        <v>18160</v>
      </c>
      <c r="H13220" s="2" t="s">
        <v>18161</v>
      </c>
    </row>
    <row r="13221" spans="1:8" ht="25.05" customHeight="1" x14ac:dyDescent="0.25">
      <c r="A13221" s="2" t="s">
        <v>8</v>
      </c>
      <c r="B13221" s="2" t="str">
        <f>HYPERLINK("http://ts.21cn.com/tousu/show/id/1344673","投诉黑心平台中信信用卡中心")</f>
        <v>投诉黑心平台中信信用卡中心</v>
      </c>
      <c r="C13221" s="2" t="s">
        <v>9</v>
      </c>
      <c r="D13221" s="2" t="s">
        <v>10</v>
      </c>
      <c r="E13221" s="2" t="str">
        <f>HYPERLINK("http://ts.21cn.com/tousu/show/id/1344673","http://ts.21cn.com/tousu/show/id/1344673")</f>
        <v>http://ts.21cn.com/tousu/show/id/1344673</v>
      </c>
      <c r="F13221" s="2" t="s">
        <v>11</v>
      </c>
      <c r="G13221" s="2" t="s">
        <v>18158</v>
      </c>
      <c r="H13221" s="2" t="s">
        <v>18159</v>
      </c>
    </row>
    <row r="13222" spans="1:8" ht="25.05" customHeight="1" x14ac:dyDescent="0.25">
      <c r="A13222" s="2" t="s">
        <v>8</v>
      </c>
      <c r="B13222" s="2" t="str">
        <f>HYPERLINK("http://ts.21cn.com/tousu/show/id/1344674","投诉广州工商创培学院不明辅导费不退款")</f>
        <v>投诉广州工商创培学院不明辅导费不退款</v>
      </c>
      <c r="C13222" s="2" t="s">
        <v>9</v>
      </c>
      <c r="D13222" s="2" t="s">
        <v>10</v>
      </c>
      <c r="E13222" s="2" t="str">
        <f>HYPERLINK("http://ts.21cn.com/tousu/show/id/1344674","http://ts.21cn.com/tousu/show/id/1344674")</f>
        <v>http://ts.21cn.com/tousu/show/id/1344674</v>
      </c>
      <c r="F13222" s="2" t="s">
        <v>11</v>
      </c>
      <c r="G13222" s="2" t="s">
        <v>18156</v>
      </c>
      <c r="H13222" s="2" t="s">
        <v>18157</v>
      </c>
    </row>
    <row r="13223" spans="1:8" ht="25.05" customHeight="1" x14ac:dyDescent="0.25">
      <c r="A13223" s="2" t="s">
        <v>8</v>
      </c>
      <c r="B13223" s="2" t="str">
        <f>HYPERLINK("http://ts.21cn.com/tousu/show/id/1344675","奥特曼有限王者公司违规给博彩平台提供支付通道")</f>
        <v>奥特曼有限王者公司违规给博彩平台提供支付通道</v>
      </c>
      <c r="C13223" s="2" t="s">
        <v>9</v>
      </c>
      <c r="D13223" s="2" t="s">
        <v>10</v>
      </c>
      <c r="E13223" s="2" t="str">
        <f>HYPERLINK("http://ts.21cn.com/tousu/show/id/1344675","http://ts.21cn.com/tousu/show/id/1344675")</f>
        <v>http://ts.21cn.com/tousu/show/id/1344675</v>
      </c>
      <c r="F13223" s="2" t="s">
        <v>11</v>
      </c>
      <c r="G13223" s="2" t="s">
        <v>18154</v>
      </c>
      <c r="H13223" s="2" t="s">
        <v>18155</v>
      </c>
    </row>
    <row r="13224" spans="1:8" ht="25.05" customHeight="1" x14ac:dyDescent="0.25">
      <c r="A13224" s="2" t="s">
        <v>8</v>
      </c>
      <c r="B13224" s="2" t="str">
        <f>HYPERLINK("http://ts.21cn.com/tousu/show/id/1344676","暴力催收，轰炸通讯录，乱发信息")</f>
        <v>暴力催收，轰炸通讯录，乱发信息</v>
      </c>
      <c r="C13224" s="2" t="s">
        <v>9</v>
      </c>
      <c r="D13224" s="2" t="s">
        <v>10</v>
      </c>
      <c r="E13224" s="2" t="str">
        <f>HYPERLINK("http://ts.21cn.com/tousu/show/id/1344676","http://ts.21cn.com/tousu/show/id/1344676")</f>
        <v>http://ts.21cn.com/tousu/show/id/1344676</v>
      </c>
      <c r="F13224" s="2" t="s">
        <v>11</v>
      </c>
      <c r="G13224" s="2" t="s">
        <v>18152</v>
      </c>
      <c r="H13224" s="2" t="s">
        <v>18153</v>
      </c>
    </row>
    <row r="13225" spans="1:8" ht="25.05" customHeight="1" x14ac:dyDescent="0.25">
      <c r="A13225" s="2" t="s">
        <v>8</v>
      </c>
      <c r="B13225" s="2" t="str">
        <f>HYPERLINK("http://ts.21cn.com/tousu/show/id/1344678","暴力催收、威胁")</f>
        <v>暴力催收、威胁</v>
      </c>
      <c r="C13225" s="2" t="s">
        <v>9</v>
      </c>
      <c r="D13225" s="2" t="s">
        <v>10</v>
      </c>
      <c r="E13225" s="2" t="str">
        <f>HYPERLINK("http://ts.21cn.com/tousu/show/id/1344678","http://ts.21cn.com/tousu/show/id/1344678")</f>
        <v>http://ts.21cn.com/tousu/show/id/1344678</v>
      </c>
      <c r="F13225" s="2" t="s">
        <v>11</v>
      </c>
      <c r="G13225" s="2" t="s">
        <v>18150</v>
      </c>
      <c r="H13225" s="2" t="s">
        <v>18151</v>
      </c>
    </row>
    <row r="13226" spans="1:8" ht="25.05" customHeight="1" x14ac:dyDescent="0.25">
      <c r="A13226" s="2" t="s">
        <v>8</v>
      </c>
      <c r="B13226" s="2" t="str">
        <f>HYPERLINK("http://ts.21cn.com/tousu/show/id/1344677","高利贷，砍头息，暴力催收")</f>
        <v>高利贷，砍头息，暴力催收</v>
      </c>
      <c r="C13226" s="2" t="s">
        <v>9</v>
      </c>
      <c r="D13226" s="2" t="s">
        <v>10</v>
      </c>
      <c r="E13226" s="2" t="str">
        <f>HYPERLINK("http://ts.21cn.com/tousu/show/id/1344677","http://ts.21cn.com/tousu/show/id/1344677")</f>
        <v>http://ts.21cn.com/tousu/show/id/1344677</v>
      </c>
      <c r="F13226" s="2" t="s">
        <v>11</v>
      </c>
      <c r="G13226" s="2" t="s">
        <v>18148</v>
      </c>
      <c r="H13226" s="2" t="s">
        <v>18149</v>
      </c>
    </row>
    <row r="13227" spans="1:8" ht="25.05" customHeight="1" x14ac:dyDescent="0.25">
      <c r="A13227" s="2" t="s">
        <v>8</v>
      </c>
      <c r="B13227" s="2" t="str">
        <f>HYPERLINK("http://ts.21cn.com/tousu/show/id/1344679","宝付支付为非法714套路贷违法提供支付通道")</f>
        <v>宝付支付为非法714套路贷违法提供支付通道</v>
      </c>
      <c r="C13227" s="2" t="s">
        <v>9</v>
      </c>
      <c r="D13227" s="2" t="s">
        <v>10</v>
      </c>
      <c r="E13227" s="2" t="str">
        <f>HYPERLINK("http://ts.21cn.com/tousu/show/id/1344679","http://ts.21cn.com/tousu/show/id/1344679")</f>
        <v>http://ts.21cn.com/tousu/show/id/1344679</v>
      </c>
      <c r="F13227" s="2" t="s">
        <v>11</v>
      </c>
      <c r="G13227" s="2" t="s">
        <v>18146</v>
      </c>
      <c r="H13227" s="2" t="s">
        <v>18147</v>
      </c>
    </row>
    <row r="13228" spans="1:8" ht="25.05" customHeight="1" x14ac:dyDescent="0.25">
      <c r="A13228" s="2" t="s">
        <v>8</v>
      </c>
      <c r="B13228" s="2" t="str">
        <f>HYPERLINK("http://ts.21cn.com/tousu/show/id/1344680","翼支付投诉不受理")</f>
        <v>翼支付投诉不受理</v>
      </c>
      <c r="C13228" s="2" t="s">
        <v>9</v>
      </c>
      <c r="D13228" s="2" t="s">
        <v>10</v>
      </c>
      <c r="E13228" s="2" t="str">
        <f>HYPERLINK("http://ts.21cn.com/tousu/show/id/1344680","http://ts.21cn.com/tousu/show/id/1344680")</f>
        <v>http://ts.21cn.com/tousu/show/id/1344680</v>
      </c>
      <c r="F13228" s="2" t="s">
        <v>11</v>
      </c>
      <c r="G13228" s="2" t="s">
        <v>18144</v>
      </c>
      <c r="H13228" s="2" t="s">
        <v>18145</v>
      </c>
    </row>
    <row r="13229" spans="1:8" ht="25.05" customHeight="1" x14ac:dyDescent="0.25">
      <c r="A13229" s="2" t="s">
        <v>8</v>
      </c>
      <c r="B13229" s="2" t="str">
        <f>HYPERLINK("http://ts.21cn.com/tousu/show/id/1344681","疯狂催收威胁，骚扰家人朋友")</f>
        <v>疯狂催收威胁，骚扰家人朋友</v>
      </c>
      <c r="C13229" s="2" t="s">
        <v>9</v>
      </c>
      <c r="D13229" s="2" t="s">
        <v>10</v>
      </c>
      <c r="E13229" s="2" t="str">
        <f>HYPERLINK("http://ts.21cn.com/tousu/show/id/1344681","http://ts.21cn.com/tousu/show/id/1344681")</f>
        <v>http://ts.21cn.com/tousu/show/id/1344681</v>
      </c>
      <c r="F13229" s="2" t="s">
        <v>11</v>
      </c>
      <c r="G13229" s="2" t="s">
        <v>18142</v>
      </c>
      <c r="H13229" s="2" t="s">
        <v>18143</v>
      </c>
    </row>
    <row r="13230" spans="1:8" ht="25.05" customHeight="1" x14ac:dyDescent="0.25">
      <c r="A13230" s="2" t="s">
        <v>8</v>
      </c>
      <c r="B13230" s="2" t="str">
        <f>HYPERLINK("http://ts.21cn.com/tousu/show/id/1344682","宜人贷高利贷泄露客户隐私暴力催收")</f>
        <v>宜人贷高利贷泄露客户隐私暴力催收</v>
      </c>
      <c r="C13230" s="2" t="s">
        <v>9</v>
      </c>
      <c r="D13230" s="2" t="s">
        <v>10</v>
      </c>
      <c r="E13230" s="2" t="str">
        <f>HYPERLINK("http://ts.21cn.com/tousu/show/id/1344682","http://ts.21cn.com/tousu/show/id/1344682")</f>
        <v>http://ts.21cn.com/tousu/show/id/1344682</v>
      </c>
      <c r="F13230" s="2" t="s">
        <v>11</v>
      </c>
      <c r="G13230" s="2" t="s">
        <v>18140</v>
      </c>
      <c r="H13230" s="2" t="s">
        <v>18141</v>
      </c>
    </row>
    <row r="13231" spans="1:8" ht="25.05" customHeight="1" x14ac:dyDescent="0.25">
      <c r="A13231" s="2" t="s">
        <v>8</v>
      </c>
      <c r="B13231" s="2" t="str">
        <f>HYPERLINK("http://ts.21cn.com/tousu/show/id/1344683","尚德教育霸王条约，退费推诿扯皮不解决")</f>
        <v>尚德教育霸王条约，退费推诿扯皮不解决</v>
      </c>
      <c r="C13231" s="2" t="s">
        <v>9</v>
      </c>
      <c r="D13231" s="2" t="s">
        <v>10</v>
      </c>
      <c r="E13231" s="2" t="str">
        <f>HYPERLINK("http://ts.21cn.com/tousu/show/id/1344683","http://ts.21cn.com/tousu/show/id/1344683")</f>
        <v>http://ts.21cn.com/tousu/show/id/1344683</v>
      </c>
      <c r="F13231" s="2" t="s">
        <v>11</v>
      </c>
      <c r="G13231" s="2" t="s">
        <v>18138</v>
      </c>
      <c r="H13231" s="2" t="s">
        <v>18139</v>
      </c>
    </row>
    <row r="13232" spans="1:8" ht="25.05" customHeight="1" x14ac:dyDescent="0.25">
      <c r="A13232" s="2" t="s">
        <v>8</v>
      </c>
      <c r="B13232" s="2" t="str">
        <f>HYPERLINK("http://ts.21cn.com/tousu/show/id/1344664","忽悠消费者")</f>
        <v>忽悠消费者</v>
      </c>
      <c r="C13232" s="2" t="s">
        <v>9</v>
      </c>
      <c r="D13232" s="2" t="s">
        <v>10</v>
      </c>
      <c r="E13232" s="2" t="str">
        <f>HYPERLINK("http://ts.21cn.com/tousu/show/id/1344664","http://ts.21cn.com/tousu/show/id/1344664")</f>
        <v>http://ts.21cn.com/tousu/show/id/1344664</v>
      </c>
      <c r="F13232" s="2" t="s">
        <v>11</v>
      </c>
      <c r="G13232" s="2" t="s">
        <v>18136</v>
      </c>
      <c r="H13232" s="2" t="s">
        <v>18137</v>
      </c>
    </row>
    <row r="13233" spans="1:8" ht="25.05" customHeight="1" x14ac:dyDescent="0.25">
      <c r="A13233" s="2" t="s">
        <v>8</v>
      </c>
      <c r="B13233" s="2" t="str">
        <f>HYPERLINK("http://ts.21cn.com/tousu/show/id/1344684","无估骚扰")</f>
        <v>无估骚扰</v>
      </c>
      <c r="C13233" s="2" t="s">
        <v>9</v>
      </c>
      <c r="D13233" s="2" t="s">
        <v>10</v>
      </c>
      <c r="E13233" s="2" t="str">
        <f>HYPERLINK("http://ts.21cn.com/tousu/show/id/1344684","http://ts.21cn.com/tousu/show/id/1344684")</f>
        <v>http://ts.21cn.com/tousu/show/id/1344684</v>
      </c>
      <c r="F13233" s="2" t="s">
        <v>11</v>
      </c>
      <c r="G13233" s="2" t="s">
        <v>18134</v>
      </c>
      <c r="H13233" s="2" t="s">
        <v>18135</v>
      </c>
    </row>
    <row r="13234" spans="1:8" ht="25.05" customHeight="1" x14ac:dyDescent="0.25">
      <c r="A13234" s="2" t="s">
        <v>8</v>
      </c>
      <c r="B13234" s="2" t="str">
        <f>HYPERLINK("http://ts.21cn.com/tousu/show/id/1344685","立借app侵吞还款人的钱")</f>
        <v>立借app侵吞还款人的钱</v>
      </c>
      <c r="C13234" s="2" t="s">
        <v>9</v>
      </c>
      <c r="D13234" s="2" t="s">
        <v>10</v>
      </c>
      <c r="E13234" s="2" t="str">
        <f>HYPERLINK("http://ts.21cn.com/tousu/show/id/1344685","http://ts.21cn.com/tousu/show/id/1344685")</f>
        <v>http://ts.21cn.com/tousu/show/id/1344685</v>
      </c>
      <c r="F13234" s="2" t="s">
        <v>11</v>
      </c>
      <c r="G13234" s="2" t="s">
        <v>18132</v>
      </c>
      <c r="H13234" s="2" t="s">
        <v>18133</v>
      </c>
    </row>
    <row r="13235" spans="1:8" ht="25.05" customHeight="1" x14ac:dyDescent="0.25">
      <c r="A13235" s="2" t="s">
        <v>8</v>
      </c>
      <c r="B13235" s="2" t="str">
        <f>HYPERLINK("http://ts.21cn.com/tousu/show/id/1344686","闲鱼无法发货买家退款钱货两空")</f>
        <v>闲鱼无法发货买家退款钱货两空</v>
      </c>
      <c r="C13235" s="2" t="s">
        <v>9</v>
      </c>
      <c r="D13235" s="2" t="s">
        <v>10</v>
      </c>
      <c r="E13235" s="2" t="str">
        <f>HYPERLINK("http://ts.21cn.com/tousu/show/id/1344686","http://ts.21cn.com/tousu/show/id/1344686")</f>
        <v>http://ts.21cn.com/tousu/show/id/1344686</v>
      </c>
      <c r="F13235" s="2" t="s">
        <v>11</v>
      </c>
      <c r="G13235" s="2" t="s">
        <v>18130</v>
      </c>
      <c r="H13235" s="2" t="s">
        <v>18131</v>
      </c>
    </row>
    <row r="13236" spans="1:8" ht="25.05" customHeight="1" x14ac:dyDescent="0.25">
      <c r="A13236" s="2" t="s">
        <v>8</v>
      </c>
      <c r="B13236" s="2" t="str">
        <f>HYPERLINK("http://ts.21cn.com/tousu/show/id/1344687","暴力催收威胁恐吓")</f>
        <v>暴力催收威胁恐吓</v>
      </c>
      <c r="C13236" s="2" t="s">
        <v>9</v>
      </c>
      <c r="D13236" s="2" t="s">
        <v>10</v>
      </c>
      <c r="E13236" s="2" t="str">
        <f>HYPERLINK("http://ts.21cn.com/tousu/show/id/1344687","http://ts.21cn.com/tousu/show/id/1344687")</f>
        <v>http://ts.21cn.com/tousu/show/id/1344687</v>
      </c>
      <c r="F13236" s="2" t="s">
        <v>11</v>
      </c>
      <c r="G13236" s="2" t="s">
        <v>18128</v>
      </c>
      <c r="H13236" s="2" t="s">
        <v>18129</v>
      </c>
    </row>
    <row r="13237" spans="1:8" ht="25.05" customHeight="1" x14ac:dyDescent="0.25">
      <c r="A13237" s="2" t="s">
        <v>8</v>
      </c>
      <c r="B13237" s="2" t="str">
        <f>HYPERLINK("http://ts.21cn.com/tousu/show/id/1344663","爱库存购买的大希地牛排合成肉烂肉")</f>
        <v>爱库存购买的大希地牛排合成肉烂肉</v>
      </c>
      <c r="C13237" s="2" t="s">
        <v>9</v>
      </c>
      <c r="D13237" s="2" t="s">
        <v>10</v>
      </c>
      <c r="E13237" s="2" t="str">
        <f>HYPERLINK("http://ts.21cn.com/tousu/show/id/1344663","http://ts.21cn.com/tousu/show/id/1344663")</f>
        <v>http://ts.21cn.com/tousu/show/id/1344663</v>
      </c>
      <c r="F13237" s="2" t="s">
        <v>11</v>
      </c>
      <c r="G13237" s="2" t="s">
        <v>18126</v>
      </c>
      <c r="H13237" s="2" t="s">
        <v>18127</v>
      </c>
    </row>
    <row r="13238" spans="1:8" ht="25.05" customHeight="1" x14ac:dyDescent="0.25">
      <c r="A13238" s="2" t="s">
        <v>8</v>
      </c>
      <c r="B13238" s="2" t="str">
        <f>HYPERLINK("http://ts.21cn.com/tousu/show/id/1344688","债权转让慢及利息不达预期一月比一月少")</f>
        <v>债权转让慢及利息不达预期一月比一月少</v>
      </c>
      <c r="C13238" s="2" t="s">
        <v>34</v>
      </c>
      <c r="D13238" s="2" t="s">
        <v>10</v>
      </c>
      <c r="E13238" s="2" t="str">
        <f>HYPERLINK("http://ts.21cn.com/tousu/show/id/1344688","http://ts.21cn.com/tousu/show/id/1344688")</f>
        <v>http://ts.21cn.com/tousu/show/id/1344688</v>
      </c>
      <c r="F13238" s="2" t="s">
        <v>11</v>
      </c>
      <c r="G13238" s="2" t="s">
        <v>18124</v>
      </c>
      <c r="H13238" s="2" t="s">
        <v>18125</v>
      </c>
    </row>
    <row r="13239" spans="1:8" ht="25.05" customHeight="1" x14ac:dyDescent="0.25">
      <c r="A13239" s="2" t="s">
        <v>8</v>
      </c>
      <c r="B13239" s="2" t="str">
        <f>HYPERLINK("http://ts.21cn.com/tousu/show/id/1344689","一直显示提现中")</f>
        <v>一直显示提现中</v>
      </c>
      <c r="C13239" s="2" t="s">
        <v>9</v>
      </c>
      <c r="D13239" s="2" t="s">
        <v>10</v>
      </c>
      <c r="E13239" s="2" t="str">
        <f>HYPERLINK("http://ts.21cn.com/tousu/show/id/1344689","http://ts.21cn.com/tousu/show/id/1344689")</f>
        <v>http://ts.21cn.com/tousu/show/id/1344689</v>
      </c>
      <c r="F13239" s="2" t="s">
        <v>11</v>
      </c>
      <c r="G13239" s="2" t="s">
        <v>18122</v>
      </c>
      <c r="H13239" s="2" t="s">
        <v>18123</v>
      </c>
    </row>
    <row r="13240" spans="1:8" ht="25.05" customHeight="1" x14ac:dyDescent="0.25">
      <c r="A13240" s="2" t="s">
        <v>8</v>
      </c>
      <c r="B13240" s="2" t="str">
        <f>HYPERLINK("http://ts.21cn.com/tousu/show/id/1344690","贷上钱高利贷暴力催收")</f>
        <v>贷上钱高利贷暴力催收</v>
      </c>
      <c r="C13240" s="2" t="s">
        <v>9</v>
      </c>
      <c r="D13240" s="2" t="s">
        <v>10</v>
      </c>
      <c r="E13240" s="2" t="str">
        <f>HYPERLINK("http://ts.21cn.com/tousu/show/id/1344690","http://ts.21cn.com/tousu/show/id/1344690")</f>
        <v>http://ts.21cn.com/tousu/show/id/1344690</v>
      </c>
      <c r="F13240" s="2" t="s">
        <v>11</v>
      </c>
      <c r="G13240" s="2" t="s">
        <v>18120</v>
      </c>
      <c r="H13240" s="2" t="s">
        <v>18121</v>
      </c>
    </row>
    <row r="13241" spans="1:8" ht="25.05" customHeight="1" x14ac:dyDescent="0.25">
      <c r="A13241" s="2" t="s">
        <v>8</v>
      </c>
      <c r="B13241" s="2" t="str">
        <f>HYPERLINK("http://ts.21cn.com/tousu/show/id/1344694","暴力催收高额砍头息威胁我要爆通讯录")</f>
        <v>暴力催收高额砍头息威胁我要爆通讯录</v>
      </c>
      <c r="C13241" s="2" t="s">
        <v>9</v>
      </c>
      <c r="D13241" s="2" t="s">
        <v>10</v>
      </c>
      <c r="E13241" s="2" t="str">
        <f>HYPERLINK("http://ts.21cn.com/tousu/show/id/1344694","http://ts.21cn.com/tousu/show/id/1344694")</f>
        <v>http://ts.21cn.com/tousu/show/id/1344694</v>
      </c>
      <c r="F13241" s="2" t="s">
        <v>11</v>
      </c>
      <c r="G13241" s="2" t="s">
        <v>18118</v>
      </c>
      <c r="H13241" s="2" t="s">
        <v>18119</v>
      </c>
    </row>
    <row r="13242" spans="1:8" ht="25.05" customHeight="1" x14ac:dyDescent="0.25">
      <c r="A13242" s="2" t="s">
        <v>8</v>
      </c>
      <c r="B13242" s="2" t="str">
        <f>HYPERLINK("http://ts.21cn.com/tousu/show/id/1344691","重庆小雨点卡乐付暴力催收人格侮辱")</f>
        <v>重庆小雨点卡乐付暴力催收人格侮辱</v>
      </c>
      <c r="C13242" s="2" t="s">
        <v>9</v>
      </c>
      <c r="D13242" s="2" t="s">
        <v>10</v>
      </c>
      <c r="E13242" s="2" t="str">
        <f>HYPERLINK("http://ts.21cn.com/tousu/show/id/1344691","http://ts.21cn.com/tousu/show/id/1344691")</f>
        <v>http://ts.21cn.com/tousu/show/id/1344691</v>
      </c>
      <c r="F13242" s="2" t="s">
        <v>11</v>
      </c>
      <c r="G13242" s="2" t="s">
        <v>18115</v>
      </c>
      <c r="H13242" s="2" t="s">
        <v>18116</v>
      </c>
    </row>
    <row r="13243" spans="1:8" ht="25.05" customHeight="1" x14ac:dyDescent="0.25">
      <c r="A13243" s="2" t="s">
        <v>8</v>
      </c>
      <c r="B13243" s="2" t="str">
        <f>HYPERLINK("http://ts.21cn.com/tousu/show/id/1344692","7天贷")</f>
        <v>7天贷</v>
      </c>
      <c r="C13243" s="2" t="s">
        <v>9</v>
      </c>
      <c r="D13243" s="2" t="s">
        <v>10</v>
      </c>
      <c r="E13243" s="2" t="str">
        <f>HYPERLINK("http://ts.21cn.com/tousu/show/id/1344692","http://ts.21cn.com/tousu/show/id/1344692")</f>
        <v>http://ts.21cn.com/tousu/show/id/1344692</v>
      </c>
      <c r="F13243" s="2" t="s">
        <v>11</v>
      </c>
      <c r="G13243" s="2" t="s">
        <v>18115</v>
      </c>
      <c r="H13243" s="2" t="s">
        <v>18117</v>
      </c>
    </row>
    <row r="13244" spans="1:8" ht="25.05" customHeight="1" x14ac:dyDescent="0.25">
      <c r="A13244" s="2" t="s">
        <v>8</v>
      </c>
      <c r="B13244" s="2" t="str">
        <f>HYPERLINK("http://ts.21cn.com/tousu/show/id/1344696","暴力催收伪造律师函")</f>
        <v>暴力催收伪造律师函</v>
      </c>
      <c r="C13244" s="2" t="s">
        <v>9</v>
      </c>
      <c r="D13244" s="2" t="s">
        <v>10</v>
      </c>
      <c r="E13244" s="2" t="str">
        <f>HYPERLINK("http://ts.21cn.com/tousu/show/id/1344696","http://ts.21cn.com/tousu/show/id/1344696")</f>
        <v>http://ts.21cn.com/tousu/show/id/1344696</v>
      </c>
      <c r="F13244" s="2" t="s">
        <v>11</v>
      </c>
      <c r="G13244" s="2" t="s">
        <v>18113</v>
      </c>
      <c r="H13244" s="2" t="s">
        <v>18114</v>
      </c>
    </row>
    <row r="13245" spans="1:8" ht="25.05" customHeight="1" x14ac:dyDescent="0.25">
      <c r="A13245" s="2" t="s">
        <v>8</v>
      </c>
      <c r="B13245" s="2" t="str">
        <f>HYPERLINK("http://ts.21cn.com/tousu/show/id/1344699","中行卡被盗刷，请求追回款项")</f>
        <v>中行卡被盗刷，请求追回款项</v>
      </c>
      <c r="C13245" s="2" t="s">
        <v>9</v>
      </c>
      <c r="D13245" s="2" t="s">
        <v>10</v>
      </c>
      <c r="E13245" s="2" t="str">
        <f>HYPERLINK("http://ts.21cn.com/tousu/show/id/1344699","http://ts.21cn.com/tousu/show/id/1344699")</f>
        <v>http://ts.21cn.com/tousu/show/id/1344699</v>
      </c>
      <c r="F13245" s="2" t="s">
        <v>11</v>
      </c>
      <c r="G13245" s="2" t="s">
        <v>18111</v>
      </c>
      <c r="H13245" s="2" t="s">
        <v>18112</v>
      </c>
    </row>
    <row r="13246" spans="1:8" ht="25.05" customHeight="1" x14ac:dyDescent="0.25">
      <c r="A13246" s="2" t="s">
        <v>8</v>
      </c>
      <c r="B13246" s="2" t="str">
        <f>HYPERLINK("http://ts.21cn.com/tousu/show/id/1344698","及贷成信用成长计划砍头息")</f>
        <v>及贷成信用成长计划砍头息</v>
      </c>
      <c r="C13246" s="2" t="s">
        <v>34</v>
      </c>
      <c r="D13246" s="2" t="s">
        <v>10</v>
      </c>
      <c r="E13246" s="2" t="str">
        <f>HYPERLINK("http://ts.21cn.com/tousu/show/id/1344698","http://ts.21cn.com/tousu/show/id/1344698")</f>
        <v>http://ts.21cn.com/tousu/show/id/1344698</v>
      </c>
      <c r="F13246" s="2" t="s">
        <v>11</v>
      </c>
      <c r="G13246" s="2" t="s">
        <v>18108</v>
      </c>
      <c r="H13246" s="2" t="s">
        <v>18109</v>
      </c>
    </row>
    <row r="13247" spans="1:8" ht="25.05" customHeight="1" x14ac:dyDescent="0.25">
      <c r="A13247" s="2" t="s">
        <v>8</v>
      </c>
      <c r="B13247" s="2" t="str">
        <f>HYPERLINK("http://ts.21cn.com/tousu/show/id/1344697","催收侮辱，恐吓，态度极其恶劣，直接开骂")</f>
        <v>催收侮辱，恐吓，态度极其恶劣，直接开骂</v>
      </c>
      <c r="C13247" s="2" t="s">
        <v>9</v>
      </c>
      <c r="D13247" s="2" t="s">
        <v>10</v>
      </c>
      <c r="E13247" s="2" t="str">
        <f>HYPERLINK("http://ts.21cn.com/tousu/show/id/1344697","http://ts.21cn.com/tousu/show/id/1344697")</f>
        <v>http://ts.21cn.com/tousu/show/id/1344697</v>
      </c>
      <c r="F13247" s="2" t="s">
        <v>11</v>
      </c>
      <c r="G13247" s="2" t="s">
        <v>18108</v>
      </c>
      <c r="H13247" s="2" t="s">
        <v>18110</v>
      </c>
    </row>
    <row r="13248" spans="1:8" ht="25.05" customHeight="1" x14ac:dyDescent="0.25">
      <c r="A13248" s="2" t="s">
        <v>8</v>
      </c>
      <c r="B13248" s="2" t="str">
        <f>HYPERLINK("http://ts.21cn.com/tousu/show/id/1344531","投诉飞猪商家悦途航服违反航空公司规定私自克扣费用")</f>
        <v>投诉飞猪商家悦途航服违反航空公司规定私自克扣费用</v>
      </c>
      <c r="C13248" s="2" t="s">
        <v>9</v>
      </c>
      <c r="D13248" s="2" t="s">
        <v>10</v>
      </c>
      <c r="E13248" s="2" t="str">
        <f>HYPERLINK("http://ts.21cn.com/tousu/show/id/1344531","http://ts.21cn.com/tousu/show/id/1344531")</f>
        <v>http://ts.21cn.com/tousu/show/id/1344531</v>
      </c>
      <c r="F13248" s="2" t="s">
        <v>11</v>
      </c>
      <c r="G13248" s="2" t="s">
        <v>18106</v>
      </c>
      <c r="H13248" s="2" t="s">
        <v>18107</v>
      </c>
    </row>
    <row r="13249" spans="1:8" ht="25.05" customHeight="1" x14ac:dyDescent="0.25">
      <c r="A13249" s="2" t="s">
        <v>8</v>
      </c>
      <c r="B13249" s="2" t="str">
        <f>HYPERLINK("http://ts.21cn.com/tousu/show/id/1344701","平安银行私自泄露个人信息")</f>
        <v>平安银行私自泄露个人信息</v>
      </c>
      <c r="C13249" s="2" t="s">
        <v>9</v>
      </c>
      <c r="D13249" s="2" t="s">
        <v>10</v>
      </c>
      <c r="E13249" s="2" t="str">
        <f>HYPERLINK("http://ts.21cn.com/tousu/show/id/1344701","http://ts.21cn.com/tousu/show/id/1344701")</f>
        <v>http://ts.21cn.com/tousu/show/id/1344701</v>
      </c>
      <c r="F13249" s="2" t="s">
        <v>11</v>
      </c>
      <c r="G13249" s="2" t="s">
        <v>18104</v>
      </c>
      <c r="H13249" s="2" t="s">
        <v>18105</v>
      </c>
    </row>
    <row r="13250" spans="1:8" ht="25.05" customHeight="1" x14ac:dyDescent="0.25">
      <c r="A13250" s="2" t="s">
        <v>8</v>
      </c>
      <c r="B13250" s="2" t="str">
        <f>HYPERLINK("http://ts.21cn.com/tousu/show/id/1344702","你我贷黑社会暴力催收")</f>
        <v>你我贷黑社会暴力催收</v>
      </c>
      <c r="C13250" s="2" t="s">
        <v>9</v>
      </c>
      <c r="D13250" s="2" t="s">
        <v>10</v>
      </c>
      <c r="E13250" s="2" t="str">
        <f>HYPERLINK("http://ts.21cn.com/tousu/show/id/1344702","http://ts.21cn.com/tousu/show/id/1344702")</f>
        <v>http://ts.21cn.com/tousu/show/id/1344702</v>
      </c>
      <c r="F13250" s="2" t="s">
        <v>11</v>
      </c>
      <c r="G13250" s="2" t="s">
        <v>18102</v>
      </c>
      <c r="H13250" s="2" t="s">
        <v>18103</v>
      </c>
    </row>
    <row r="13251" spans="1:8" ht="25.05" customHeight="1" x14ac:dyDescent="0.25">
      <c r="A13251" s="2" t="s">
        <v>8</v>
      </c>
      <c r="B13251" s="2" t="str">
        <f>HYPERLINK("http://ts.21cn.com/tousu/show/id/1344703","恐吓骚扰")</f>
        <v>恐吓骚扰</v>
      </c>
      <c r="C13251" s="2" t="s">
        <v>9</v>
      </c>
      <c r="D13251" s="2" t="s">
        <v>10</v>
      </c>
      <c r="E13251" s="2" t="str">
        <f>HYPERLINK("http://ts.21cn.com/tousu/show/id/1344703","http://ts.21cn.com/tousu/show/id/1344703")</f>
        <v>http://ts.21cn.com/tousu/show/id/1344703</v>
      </c>
      <c r="F13251" s="2" t="s">
        <v>11</v>
      </c>
      <c r="G13251" s="2" t="s">
        <v>18100</v>
      </c>
      <c r="H13251" s="2" t="s">
        <v>18101</v>
      </c>
    </row>
    <row r="13252" spans="1:8" ht="25.05" customHeight="1" x14ac:dyDescent="0.25">
      <c r="A13252" s="2" t="s">
        <v>8</v>
      </c>
      <c r="B13252" s="2" t="str">
        <f>HYPERLINK("http://ts.21cn.com/tousu/show/id/1344705","小象优品暴力催收")</f>
        <v>小象优品暴力催收</v>
      </c>
      <c r="C13252" s="2" t="s">
        <v>9</v>
      </c>
      <c r="D13252" s="2" t="s">
        <v>10</v>
      </c>
      <c r="E13252" s="2" t="str">
        <f>HYPERLINK("http://ts.21cn.com/tousu/show/id/1344705","http://ts.21cn.com/tousu/show/id/1344705")</f>
        <v>http://ts.21cn.com/tousu/show/id/1344705</v>
      </c>
      <c r="F13252" s="2" t="s">
        <v>11</v>
      </c>
      <c r="G13252" s="2" t="s">
        <v>18098</v>
      </c>
      <c r="H13252" s="2" t="s">
        <v>18099</v>
      </c>
    </row>
    <row r="13253" spans="1:8" ht="25.05" customHeight="1" x14ac:dyDescent="0.25">
      <c r="A13253" s="2" t="s">
        <v>8</v>
      </c>
      <c r="B13253" s="2" t="str">
        <f>HYPERLINK("http://ts.21cn.com/tousu/show/id/1344704","投诉捷信金融公司暴利恐吓催收")</f>
        <v>投诉捷信金融公司暴利恐吓催收</v>
      </c>
      <c r="C13253" s="2" t="s">
        <v>9</v>
      </c>
      <c r="D13253" s="2" t="s">
        <v>10</v>
      </c>
      <c r="E13253" s="2" t="str">
        <f>HYPERLINK("http://ts.21cn.com/tousu/show/id/1344704","http://ts.21cn.com/tousu/show/id/1344704")</f>
        <v>http://ts.21cn.com/tousu/show/id/1344704</v>
      </c>
      <c r="F13253" s="2" t="s">
        <v>11</v>
      </c>
      <c r="G13253" s="2" t="s">
        <v>18096</v>
      </c>
      <c r="H13253" s="2" t="s">
        <v>18097</v>
      </c>
    </row>
    <row r="13254" spans="1:8" ht="25.05" customHeight="1" x14ac:dyDescent="0.25">
      <c r="A13254" s="2" t="s">
        <v>8</v>
      </c>
      <c r="B13254" s="2" t="str">
        <f>HYPERLINK("http://ts.21cn.com/tousu/show/id/1344695","联通易借恶意催收")</f>
        <v>联通易借恶意催收</v>
      </c>
      <c r="C13254" s="2" t="s">
        <v>9</v>
      </c>
      <c r="D13254" s="2" t="s">
        <v>10</v>
      </c>
      <c r="E13254" s="2" t="str">
        <f>HYPERLINK("http://ts.21cn.com/tousu/show/id/1344695","http://ts.21cn.com/tousu/show/id/1344695")</f>
        <v>http://ts.21cn.com/tousu/show/id/1344695</v>
      </c>
      <c r="F13254" s="2" t="s">
        <v>11</v>
      </c>
      <c r="G13254" s="2" t="s">
        <v>18094</v>
      </c>
      <c r="H13254" s="2" t="s">
        <v>18095</v>
      </c>
    </row>
    <row r="13255" spans="1:8" ht="25.05" customHeight="1" x14ac:dyDescent="0.25">
      <c r="A13255" s="2" t="s">
        <v>8</v>
      </c>
      <c r="B13255" s="2" t="str">
        <f>HYPERLINK("http://ts.21cn.com/tousu/show/id/1344706","招联金融恶意催收，暴力催款，泄露隐私")</f>
        <v>招联金融恶意催收，暴力催款，泄露隐私</v>
      </c>
      <c r="C13255" s="2" t="s">
        <v>9</v>
      </c>
      <c r="D13255" s="2" t="s">
        <v>10</v>
      </c>
      <c r="E13255" s="2" t="str">
        <f>HYPERLINK("http://ts.21cn.com/tousu/show/id/1344706","http://ts.21cn.com/tousu/show/id/1344706")</f>
        <v>http://ts.21cn.com/tousu/show/id/1344706</v>
      </c>
      <c r="F13255" s="2" t="s">
        <v>11</v>
      </c>
      <c r="G13255" s="2" t="s">
        <v>18092</v>
      </c>
      <c r="H13255" s="2" t="s">
        <v>18093</v>
      </c>
    </row>
    <row r="13256" spans="1:8" ht="25.05" customHeight="1" x14ac:dyDescent="0.25">
      <c r="A13256" s="2" t="s">
        <v>8</v>
      </c>
      <c r="B13256" s="2" t="str">
        <f>HYPERLINK("http://ts.21cn.com/tousu/show/id/1344709","比高利贷还黑的网贷")</f>
        <v>比高利贷还黑的网贷</v>
      </c>
      <c r="C13256" s="2" t="s">
        <v>9</v>
      </c>
      <c r="D13256" s="2" t="s">
        <v>10</v>
      </c>
      <c r="E13256" s="2" t="str">
        <f>HYPERLINK("http://ts.21cn.com/tousu/show/id/1344709","http://ts.21cn.com/tousu/show/id/1344709")</f>
        <v>http://ts.21cn.com/tousu/show/id/1344709</v>
      </c>
      <c r="F13256" s="2" t="s">
        <v>11</v>
      </c>
      <c r="G13256" s="2" t="s">
        <v>18090</v>
      </c>
      <c r="H13256" s="2" t="s">
        <v>18091</v>
      </c>
    </row>
    <row r="13257" spans="1:8" ht="25.05" customHeight="1" x14ac:dyDescent="0.25">
      <c r="A13257" s="2" t="s">
        <v>8</v>
      </c>
      <c r="B13257" s="2" t="str">
        <f>HYPERLINK("http://ts.21cn.com/tousu/show/id/1344708","蟹御轩无法提货联系不到人")</f>
        <v>蟹御轩无法提货联系不到人</v>
      </c>
      <c r="C13257" s="2" t="s">
        <v>9</v>
      </c>
      <c r="D13257" s="2" t="s">
        <v>10</v>
      </c>
      <c r="E13257" s="2" t="str">
        <f>HYPERLINK("http://ts.21cn.com/tousu/show/id/1344708","http://ts.21cn.com/tousu/show/id/1344708")</f>
        <v>http://ts.21cn.com/tousu/show/id/1344708</v>
      </c>
      <c r="F13257" s="2" t="s">
        <v>11</v>
      </c>
      <c r="G13257" s="2" t="s">
        <v>18088</v>
      </c>
      <c r="H13257" s="2" t="s">
        <v>18089</v>
      </c>
    </row>
    <row r="13258" spans="1:8" ht="25.05" customHeight="1" x14ac:dyDescent="0.25">
      <c r="A13258" s="2" t="s">
        <v>8</v>
      </c>
      <c r="B13258" s="2" t="str">
        <f>HYPERLINK("http://ts.21cn.com/tousu/show/id/1344714","还款已远超国家规定年利率，仍不消账还不定期打电话骚扰。")</f>
        <v>还款已远超国家规定年利率，仍不消账还不定期打电话骚扰。</v>
      </c>
      <c r="C13258" s="2" t="s">
        <v>9</v>
      </c>
      <c r="D13258" s="2" t="s">
        <v>10</v>
      </c>
      <c r="E13258" s="2" t="str">
        <f>HYPERLINK("http://ts.21cn.com/tousu/show/id/1344714","http://ts.21cn.com/tousu/show/id/1344714")</f>
        <v>http://ts.21cn.com/tousu/show/id/1344714</v>
      </c>
      <c r="F13258" s="2" t="s">
        <v>11</v>
      </c>
      <c r="G13258" s="2" t="s">
        <v>18086</v>
      </c>
      <c r="H13258" s="2" t="s">
        <v>18087</v>
      </c>
    </row>
    <row r="13259" spans="1:8" ht="25.05" customHeight="1" x14ac:dyDescent="0.25">
      <c r="A13259" s="2" t="s">
        <v>8</v>
      </c>
      <c r="B13259" s="2" t="str">
        <f>HYPERLINK("http://ts.21cn.com/tousu/show/id/1344712","饿了么诱导消费不给退款")</f>
        <v>饿了么诱导消费不给退款</v>
      </c>
      <c r="C13259" s="2" t="s">
        <v>9</v>
      </c>
      <c r="D13259" s="2" t="s">
        <v>10</v>
      </c>
      <c r="E13259" s="2" t="str">
        <f>HYPERLINK("http://ts.21cn.com/tousu/show/id/1344712","http://ts.21cn.com/tousu/show/id/1344712")</f>
        <v>http://ts.21cn.com/tousu/show/id/1344712</v>
      </c>
      <c r="F13259" s="2" t="s">
        <v>11</v>
      </c>
      <c r="G13259" s="2" t="s">
        <v>18084</v>
      </c>
      <c r="H13259" s="2" t="s">
        <v>18085</v>
      </c>
    </row>
    <row r="13260" spans="1:8" ht="25.05" customHeight="1" x14ac:dyDescent="0.25">
      <c r="A13260" s="2" t="s">
        <v>8</v>
      </c>
      <c r="B13260" s="2" t="str">
        <f>HYPERLINK("http://ts.21cn.com/tousu/show/id/1344713","钱站阴阳合同，借3000到账两千，三期每期还，1100多")</f>
        <v>钱站阴阳合同，借3000到账两千，三期每期还，1100多</v>
      </c>
      <c r="C13260" s="2" t="s">
        <v>9</v>
      </c>
      <c r="D13260" s="2" t="s">
        <v>10</v>
      </c>
      <c r="E13260" s="2" t="str">
        <f>HYPERLINK("http://ts.21cn.com/tousu/show/id/1344713","http://ts.21cn.com/tousu/show/id/1344713")</f>
        <v>http://ts.21cn.com/tousu/show/id/1344713</v>
      </c>
      <c r="F13260" s="2" t="s">
        <v>11</v>
      </c>
      <c r="G13260" s="2" t="s">
        <v>18082</v>
      </c>
      <c r="H13260" s="2" t="s">
        <v>18083</v>
      </c>
    </row>
    <row r="13261" spans="1:8" ht="25.05" customHeight="1" x14ac:dyDescent="0.25">
      <c r="A13261" s="2" t="s">
        <v>8</v>
      </c>
      <c r="B13261" s="2" t="str">
        <f>HYPERLINK("http://ts.21cn.com/tousu/show/id/1344716","信用管家里面元宝宝借款故意让逾期无法还款")</f>
        <v>信用管家里面元宝宝借款故意让逾期无法还款</v>
      </c>
      <c r="C13261" s="2" t="s">
        <v>9</v>
      </c>
      <c r="D13261" s="2" t="s">
        <v>10</v>
      </c>
      <c r="E13261" s="2" t="str">
        <f>HYPERLINK("http://ts.21cn.com/tousu/show/id/1344716","http://ts.21cn.com/tousu/show/id/1344716")</f>
        <v>http://ts.21cn.com/tousu/show/id/1344716</v>
      </c>
      <c r="F13261" s="2" t="s">
        <v>11</v>
      </c>
      <c r="G13261" s="2" t="s">
        <v>18080</v>
      </c>
      <c r="H13261" s="2" t="s">
        <v>18081</v>
      </c>
    </row>
    <row r="13262" spans="1:8" ht="25.05" customHeight="1" x14ac:dyDescent="0.25">
      <c r="A13262" s="2" t="s">
        <v>8</v>
      </c>
      <c r="B13262" s="2" t="str">
        <f>HYPERLINK("http://ts.21cn.com/tousu/show/id/1344561","易融财商收取会员费，收钱后失联")</f>
        <v>易融财商收取会员费，收钱后失联</v>
      </c>
      <c r="C13262" s="2" t="s">
        <v>9</v>
      </c>
      <c r="D13262" s="2" t="s">
        <v>10</v>
      </c>
      <c r="E13262" s="2" t="str">
        <f>HYPERLINK("http://ts.21cn.com/tousu/show/id/1344561","http://ts.21cn.com/tousu/show/id/1344561")</f>
        <v>http://ts.21cn.com/tousu/show/id/1344561</v>
      </c>
      <c r="F13262" s="2" t="s">
        <v>11</v>
      </c>
      <c r="G13262" s="2" t="s">
        <v>18077</v>
      </c>
      <c r="H13262" s="2" t="s">
        <v>18078</v>
      </c>
    </row>
    <row r="13263" spans="1:8" ht="25.05" customHeight="1" x14ac:dyDescent="0.25">
      <c r="A13263" s="2" t="s">
        <v>8</v>
      </c>
      <c r="B13263" s="2" t="str">
        <f>HYPERLINK("http://ts.21cn.com/tousu/show/id/1344717","聚富分期扣我299")</f>
        <v>聚富分期扣我299</v>
      </c>
      <c r="C13263" s="2" t="s">
        <v>34</v>
      </c>
      <c r="D13263" s="2" t="s">
        <v>10</v>
      </c>
      <c r="E13263" s="2" t="str">
        <f>HYPERLINK("http://ts.21cn.com/tousu/show/id/1344717","http://ts.21cn.com/tousu/show/id/1344717")</f>
        <v>http://ts.21cn.com/tousu/show/id/1344717</v>
      </c>
      <c r="F13263" s="2" t="s">
        <v>11</v>
      </c>
      <c r="G13263" s="2" t="s">
        <v>18077</v>
      </c>
      <c r="H13263" s="2" t="s">
        <v>18079</v>
      </c>
    </row>
    <row r="13264" spans="1:8" ht="25.05" customHeight="1" x14ac:dyDescent="0.25">
      <c r="A13264" s="2" t="s">
        <v>8</v>
      </c>
      <c r="B13264" s="2" t="str">
        <f>HYPERLINK("http://ts.21cn.com/tousu/show/id/1344719","你我贷高利息，暴力催收")</f>
        <v>你我贷高利息，暴力催收</v>
      </c>
      <c r="C13264" s="2" t="s">
        <v>9</v>
      </c>
      <c r="D13264" s="2" t="s">
        <v>10</v>
      </c>
      <c r="E13264" s="2" t="str">
        <f>HYPERLINK("http://ts.21cn.com/tousu/show/id/1344719","http://ts.21cn.com/tousu/show/id/1344719")</f>
        <v>http://ts.21cn.com/tousu/show/id/1344719</v>
      </c>
      <c r="F13264" s="2" t="s">
        <v>11</v>
      </c>
      <c r="G13264" s="2" t="s">
        <v>18075</v>
      </c>
      <c r="H13264" s="2" t="s">
        <v>18076</v>
      </c>
    </row>
    <row r="13265" spans="1:8" ht="25.05" customHeight="1" x14ac:dyDescent="0.25">
      <c r="A13265" s="2" t="s">
        <v>8</v>
      </c>
      <c r="B13265" s="2" t="str">
        <f>HYPERLINK("http://ts.21cn.com/tousu/show/id/1344720","投诉人人贷平台")</f>
        <v>投诉人人贷平台</v>
      </c>
      <c r="C13265" s="2" t="s">
        <v>9</v>
      </c>
      <c r="D13265" s="2" t="s">
        <v>10</v>
      </c>
      <c r="E13265" s="2" t="str">
        <f>HYPERLINK("http://ts.21cn.com/tousu/show/id/1344720","http://ts.21cn.com/tousu/show/id/1344720")</f>
        <v>http://ts.21cn.com/tousu/show/id/1344720</v>
      </c>
      <c r="F13265" s="2" t="s">
        <v>11</v>
      </c>
      <c r="G13265" s="2" t="s">
        <v>18073</v>
      </c>
      <c r="H13265" s="2" t="s">
        <v>18074</v>
      </c>
    </row>
    <row r="13266" spans="1:8" ht="25.05" customHeight="1" x14ac:dyDescent="0.25">
      <c r="A13266" s="2" t="s">
        <v>8</v>
      </c>
      <c r="B13266" s="2" t="str">
        <f>HYPERLINK("http://ts.21cn.com/tousu/show/id/1344715","恶意扣款")</f>
        <v>恶意扣款</v>
      </c>
      <c r="C13266" s="2" t="s">
        <v>9</v>
      </c>
      <c r="D13266" s="2" t="s">
        <v>10</v>
      </c>
      <c r="E13266" s="2" t="str">
        <f>HYPERLINK("http://ts.21cn.com/tousu/show/id/1344715","http://ts.21cn.com/tousu/show/id/1344715")</f>
        <v>http://ts.21cn.com/tousu/show/id/1344715</v>
      </c>
      <c r="F13266" s="2" t="s">
        <v>11</v>
      </c>
      <c r="G13266" s="2" t="s">
        <v>18071</v>
      </c>
      <c r="H13266" s="2" t="s">
        <v>18072</v>
      </c>
    </row>
    <row r="13267" spans="1:8" ht="25.05" customHeight="1" x14ac:dyDescent="0.25">
      <c r="A13267" s="2" t="s">
        <v>8</v>
      </c>
      <c r="B13267" s="2" t="str">
        <f>HYPERLINK("http://ts.21cn.com/tousu/show/id/1344726","暴力催收，故意诱导话语")</f>
        <v>暴力催收，故意诱导话语</v>
      </c>
      <c r="C13267" s="2" t="s">
        <v>9</v>
      </c>
      <c r="D13267" s="2" t="s">
        <v>10</v>
      </c>
      <c r="E13267" s="2" t="str">
        <f>HYPERLINK("http://ts.21cn.com/tousu/show/id/1344726","http://ts.21cn.com/tousu/show/id/1344726")</f>
        <v>http://ts.21cn.com/tousu/show/id/1344726</v>
      </c>
      <c r="F13267" s="2" t="s">
        <v>11</v>
      </c>
      <c r="G13267" s="2" t="s">
        <v>18069</v>
      </c>
      <c r="H13267" s="2" t="s">
        <v>18070</v>
      </c>
    </row>
    <row r="13268" spans="1:8" ht="25.05" customHeight="1" x14ac:dyDescent="0.25">
      <c r="A13268" s="2" t="s">
        <v>8</v>
      </c>
      <c r="B13268" s="2" t="str">
        <f>HYPERLINK("http://ts.21cn.com/tousu/show/id/1344722","易宝支付为套路贷提供支付渠道")</f>
        <v>易宝支付为套路贷提供支付渠道</v>
      </c>
      <c r="C13268" s="2" t="s">
        <v>9</v>
      </c>
      <c r="D13268" s="2" t="s">
        <v>10</v>
      </c>
      <c r="E13268" s="2" t="str">
        <f>HYPERLINK("http://ts.21cn.com/tousu/show/id/1344722","http://ts.21cn.com/tousu/show/id/1344722")</f>
        <v>http://ts.21cn.com/tousu/show/id/1344722</v>
      </c>
      <c r="F13268" s="2" t="s">
        <v>11</v>
      </c>
      <c r="G13268" s="2" t="s">
        <v>18067</v>
      </c>
      <c r="H13268" s="2" t="s">
        <v>18068</v>
      </c>
    </row>
    <row r="13269" spans="1:8" ht="25.05" customHeight="1" x14ac:dyDescent="0.25">
      <c r="A13269" s="2" t="s">
        <v>8</v>
      </c>
      <c r="B13269" s="2" t="str">
        <f>HYPERLINK("http://ts.21cn.com/tousu/show/id/1344721","无缘无故长期被电话骚扰")</f>
        <v>无缘无故长期被电话骚扰</v>
      </c>
      <c r="C13269" s="2" t="s">
        <v>9</v>
      </c>
      <c r="D13269" s="2" t="s">
        <v>10</v>
      </c>
      <c r="E13269" s="2" t="str">
        <f>HYPERLINK("http://ts.21cn.com/tousu/show/id/1344721","http://ts.21cn.com/tousu/show/id/1344721")</f>
        <v>http://ts.21cn.com/tousu/show/id/1344721</v>
      </c>
      <c r="F13269" s="2" t="s">
        <v>11</v>
      </c>
      <c r="G13269" s="2" t="s">
        <v>18065</v>
      </c>
      <c r="H13269" s="2" t="s">
        <v>18066</v>
      </c>
    </row>
    <row r="13270" spans="1:8" ht="25.05" customHeight="1" x14ac:dyDescent="0.25">
      <c r="A13270" s="2" t="s">
        <v>8</v>
      </c>
      <c r="B13270" s="2" t="str">
        <f>HYPERLINK("http://ts.21cn.com/tousu/show/id/1344724","京东金融诱导用户投资拒绝履行承诺")</f>
        <v>京东金融诱导用户投资拒绝履行承诺</v>
      </c>
      <c r="C13270" s="2" t="s">
        <v>9</v>
      </c>
      <c r="D13270" s="2" t="s">
        <v>10</v>
      </c>
      <c r="E13270" s="2" t="str">
        <f>HYPERLINK("http://ts.21cn.com/tousu/show/id/1344724","http://ts.21cn.com/tousu/show/id/1344724")</f>
        <v>http://ts.21cn.com/tousu/show/id/1344724</v>
      </c>
      <c r="F13270" s="2" t="s">
        <v>11</v>
      </c>
      <c r="G13270" s="2" t="s">
        <v>18063</v>
      </c>
      <c r="H13270" s="2" t="s">
        <v>18064</v>
      </c>
    </row>
    <row r="13271" spans="1:8" ht="25.05" customHeight="1" x14ac:dyDescent="0.25">
      <c r="A13271" s="2" t="s">
        <v>8</v>
      </c>
      <c r="B13271" s="2" t="str">
        <f>HYPERLINK("http://ts.21cn.com/tousu/show/id/1344725","合利宝支付擅自扣款")</f>
        <v>合利宝支付擅自扣款</v>
      </c>
      <c r="C13271" s="2" t="s">
        <v>9</v>
      </c>
      <c r="D13271" s="2" t="s">
        <v>10</v>
      </c>
      <c r="E13271" s="2" t="str">
        <f>HYPERLINK("http://ts.21cn.com/tousu/show/id/1344725","http://ts.21cn.com/tousu/show/id/1344725")</f>
        <v>http://ts.21cn.com/tousu/show/id/1344725</v>
      </c>
      <c r="F13271" s="2" t="s">
        <v>11</v>
      </c>
      <c r="G13271" s="2" t="s">
        <v>18061</v>
      </c>
      <c r="H13271" s="2" t="s">
        <v>18062</v>
      </c>
    </row>
    <row r="13272" spans="1:8" ht="25.05" customHeight="1" x14ac:dyDescent="0.25">
      <c r="A13272" s="2" t="s">
        <v>8</v>
      </c>
      <c r="B13272" s="2" t="str">
        <f>HYPERLINK("http://ts.21cn.com/tousu/show/id/1344728","不知道欠费上征信")</f>
        <v>不知道欠费上征信</v>
      </c>
      <c r="C13272" s="2" t="s">
        <v>9</v>
      </c>
      <c r="D13272" s="2" t="s">
        <v>10</v>
      </c>
      <c r="E13272" s="2" t="str">
        <f>HYPERLINK("http://ts.21cn.com/tousu/show/id/1344728","http://ts.21cn.com/tousu/show/id/1344728")</f>
        <v>http://ts.21cn.com/tousu/show/id/1344728</v>
      </c>
      <c r="F13272" s="2" t="s">
        <v>11</v>
      </c>
      <c r="G13272" s="2" t="s">
        <v>18059</v>
      </c>
      <c r="H13272" s="2" t="s">
        <v>18060</v>
      </c>
    </row>
    <row r="13273" spans="1:8" ht="25.05" customHeight="1" x14ac:dyDescent="0.25">
      <c r="A13273" s="2" t="s">
        <v>8</v>
      </c>
      <c r="B13273" s="2" t="str">
        <f>HYPERLINK("http://ts.21cn.com/tousu/show/id/1344729","融360旗下贷款公司不扣款使客服逾期增加高额罚息")</f>
        <v>融360旗下贷款公司不扣款使客服逾期增加高额罚息</v>
      </c>
      <c r="C13273" s="2" t="s">
        <v>34</v>
      </c>
      <c r="D13273" s="2" t="s">
        <v>10</v>
      </c>
      <c r="E13273" s="2" t="str">
        <f>HYPERLINK("http://ts.21cn.com/tousu/show/id/1344729","http://ts.21cn.com/tousu/show/id/1344729")</f>
        <v>http://ts.21cn.com/tousu/show/id/1344729</v>
      </c>
      <c r="F13273" s="2" t="s">
        <v>11</v>
      </c>
      <c r="G13273" s="2" t="s">
        <v>18057</v>
      </c>
      <c r="H13273" s="2" t="s">
        <v>18058</v>
      </c>
    </row>
    <row r="13274" spans="1:8" ht="25.05" customHeight="1" x14ac:dyDescent="0.25">
      <c r="A13274" s="2" t="s">
        <v>8</v>
      </c>
      <c r="B13274" s="2" t="str">
        <f>HYPERLINK("http://ts.21cn.com/tousu/show/id/1344730","点刷mpos冻结我几百块已经几个月了一直不给我提款")</f>
        <v>点刷mpos冻结我几百块已经几个月了一直不给我提款</v>
      </c>
      <c r="C13274" s="2" t="s">
        <v>9</v>
      </c>
      <c r="D13274" s="2" t="s">
        <v>10</v>
      </c>
      <c r="E13274" s="2" t="str">
        <f>HYPERLINK("http://ts.21cn.com/tousu/show/id/1344730","http://ts.21cn.com/tousu/show/id/1344730")</f>
        <v>http://ts.21cn.com/tousu/show/id/1344730</v>
      </c>
      <c r="F13274" s="2" t="s">
        <v>11</v>
      </c>
      <c r="G13274" s="2" t="s">
        <v>18055</v>
      </c>
      <c r="H13274" s="2" t="s">
        <v>18056</v>
      </c>
    </row>
    <row r="13275" spans="1:8" ht="25.05" customHeight="1" x14ac:dyDescent="0.25">
      <c r="A13275" s="2" t="s">
        <v>8</v>
      </c>
      <c r="B13275" s="2" t="str">
        <f>HYPERLINK("http://ts.21cn.com/tousu/show/id/1344731","小遛共享客服形同虚设，退款问题迟迟不解决")</f>
        <v>小遛共享客服形同虚设，退款问题迟迟不解决</v>
      </c>
      <c r="C13275" s="2" t="s">
        <v>9</v>
      </c>
      <c r="D13275" s="2" t="s">
        <v>10</v>
      </c>
      <c r="E13275" s="2" t="str">
        <f>HYPERLINK("http://ts.21cn.com/tousu/show/id/1344731","http://ts.21cn.com/tousu/show/id/1344731")</f>
        <v>http://ts.21cn.com/tousu/show/id/1344731</v>
      </c>
      <c r="F13275" s="2" t="s">
        <v>11</v>
      </c>
      <c r="G13275" s="2" t="s">
        <v>18053</v>
      </c>
      <c r="H13275" s="2" t="s">
        <v>18054</v>
      </c>
    </row>
    <row r="13276" spans="1:8" ht="25.05" customHeight="1" x14ac:dyDescent="0.25">
      <c r="A13276" s="2" t="s">
        <v>8</v>
      </c>
      <c r="B13276" s="2" t="str">
        <f>HYPERLINK("http://ts.21cn.com/tousu/show/id/1344732","小象优品不支持提前还款，利息高")</f>
        <v>小象优品不支持提前还款，利息高</v>
      </c>
      <c r="C13276" s="2" t="s">
        <v>9</v>
      </c>
      <c r="D13276" s="2" t="s">
        <v>10</v>
      </c>
      <c r="E13276" s="2" t="str">
        <f>HYPERLINK("http://ts.21cn.com/tousu/show/id/1344732","http://ts.21cn.com/tousu/show/id/1344732")</f>
        <v>http://ts.21cn.com/tousu/show/id/1344732</v>
      </c>
      <c r="F13276" s="2" t="s">
        <v>11</v>
      </c>
      <c r="G13276" s="2" t="s">
        <v>18051</v>
      </c>
      <c r="H13276" s="2" t="s">
        <v>18052</v>
      </c>
    </row>
    <row r="13277" spans="1:8" ht="25.05" customHeight="1" x14ac:dyDescent="0.25">
      <c r="A13277" s="2" t="s">
        <v>8</v>
      </c>
      <c r="B13277" s="2" t="str">
        <f>HYPERLINK("http://ts.21cn.com/tousu/show/id/1344733","拍拍贷未经本人允许轰炸通讯录好友")</f>
        <v>拍拍贷未经本人允许轰炸通讯录好友</v>
      </c>
      <c r="C13277" s="2" t="s">
        <v>9</v>
      </c>
      <c r="D13277" s="2" t="s">
        <v>10</v>
      </c>
      <c r="E13277" s="2" t="str">
        <f>HYPERLINK("http://ts.21cn.com/tousu/show/id/1344733","http://ts.21cn.com/tousu/show/id/1344733")</f>
        <v>http://ts.21cn.com/tousu/show/id/1344733</v>
      </c>
      <c r="F13277" s="2" t="s">
        <v>11</v>
      </c>
      <c r="G13277" s="2" t="s">
        <v>18049</v>
      </c>
      <c r="H13277" s="2" t="s">
        <v>18050</v>
      </c>
    </row>
    <row r="13278" spans="1:8" ht="25.05" customHeight="1" x14ac:dyDescent="0.25">
      <c r="A13278" s="2" t="s">
        <v>8</v>
      </c>
      <c r="B13278" s="2" t="str">
        <f>HYPERLINK("http://ts.21cn.com/tousu/show/id/1344734","没有那笔贷款凭什么给我上征信报告逾期")</f>
        <v>没有那笔贷款凭什么给我上征信报告逾期</v>
      </c>
      <c r="C13278" s="2" t="s">
        <v>9</v>
      </c>
      <c r="D13278" s="2" t="s">
        <v>10</v>
      </c>
      <c r="E13278" s="2" t="str">
        <f>HYPERLINK("http://ts.21cn.com/tousu/show/id/1344734","http://ts.21cn.com/tousu/show/id/1344734")</f>
        <v>http://ts.21cn.com/tousu/show/id/1344734</v>
      </c>
      <c r="F13278" s="2" t="s">
        <v>11</v>
      </c>
      <c r="G13278" s="2" t="s">
        <v>18047</v>
      </c>
      <c r="H13278" s="2" t="s">
        <v>18048</v>
      </c>
    </row>
    <row r="13279" spans="1:8" ht="25.05" customHeight="1" x14ac:dyDescent="0.25">
      <c r="A13279" s="2" t="s">
        <v>8</v>
      </c>
      <c r="B13279" s="2" t="str">
        <f>HYPERLINK("http://ts.21cn.com/tousu/show/id/1344735","小象优品阴阳合同")</f>
        <v>小象优品阴阳合同</v>
      </c>
      <c r="C13279" s="2" t="s">
        <v>9</v>
      </c>
      <c r="D13279" s="2" t="s">
        <v>10</v>
      </c>
      <c r="E13279" s="2" t="str">
        <f>HYPERLINK("http://ts.21cn.com/tousu/show/id/1344735","http://ts.21cn.com/tousu/show/id/1344735")</f>
        <v>http://ts.21cn.com/tousu/show/id/1344735</v>
      </c>
      <c r="F13279" s="2" t="s">
        <v>11</v>
      </c>
      <c r="G13279" s="2" t="s">
        <v>18045</v>
      </c>
      <c r="H13279" s="2" t="s">
        <v>18046</v>
      </c>
    </row>
    <row r="13280" spans="1:8" ht="25.05" customHeight="1" x14ac:dyDescent="0.25">
      <c r="A13280" s="2" t="s">
        <v>8</v>
      </c>
      <c r="B13280" s="2" t="str">
        <f>HYPERLINK("http://ts.21cn.com/tousu/show/id/1344736","百事普惠胆子太大")</f>
        <v>百事普惠胆子太大</v>
      </c>
      <c r="C13280" s="2" t="s">
        <v>9</v>
      </c>
      <c r="D13280" s="2" t="s">
        <v>10</v>
      </c>
      <c r="E13280" s="2" t="str">
        <f>HYPERLINK("http://ts.21cn.com/tousu/show/id/1344736","http://ts.21cn.com/tousu/show/id/1344736")</f>
        <v>http://ts.21cn.com/tousu/show/id/1344736</v>
      </c>
      <c r="F13280" s="2" t="s">
        <v>11</v>
      </c>
      <c r="G13280" s="2" t="s">
        <v>18043</v>
      </c>
      <c r="H13280" s="2" t="s">
        <v>18044</v>
      </c>
    </row>
    <row r="13281" spans="1:8" ht="25.05" customHeight="1" x14ac:dyDescent="0.25">
      <c r="A13281" s="2" t="s">
        <v>8</v>
      </c>
      <c r="B13281" s="2" t="str">
        <f>HYPERLINK("http://ts.21cn.com/tousu/show/id/1344738","投诉优信二手车销售失实车辆，并无任何售后服务。")</f>
        <v>投诉优信二手车销售失实车辆，并无任何售后服务。</v>
      </c>
      <c r="C13281" s="2" t="s">
        <v>9</v>
      </c>
      <c r="D13281" s="2" t="s">
        <v>10</v>
      </c>
      <c r="E13281" s="2" t="str">
        <f>HYPERLINK("http://ts.21cn.com/tousu/show/id/1344738","http://ts.21cn.com/tousu/show/id/1344738")</f>
        <v>http://ts.21cn.com/tousu/show/id/1344738</v>
      </c>
      <c r="F13281" s="2" t="s">
        <v>11</v>
      </c>
      <c r="G13281" s="2" t="s">
        <v>18041</v>
      </c>
      <c r="H13281" s="2" t="s">
        <v>18042</v>
      </c>
    </row>
    <row r="13282" spans="1:8" ht="25.05" customHeight="1" x14ac:dyDescent="0.25">
      <c r="A13282" s="2" t="s">
        <v>8</v>
      </c>
      <c r="B13282" s="2" t="str">
        <f>HYPERLINK("http://ts.21cn.com/tousu/show/id/1344737","信用飞强卖保险")</f>
        <v>信用飞强卖保险</v>
      </c>
      <c r="C13282" s="2" t="s">
        <v>9</v>
      </c>
      <c r="D13282" s="2" t="s">
        <v>10</v>
      </c>
      <c r="E13282" s="2" t="str">
        <f>HYPERLINK("http://ts.21cn.com/tousu/show/id/1344737","http://ts.21cn.com/tousu/show/id/1344737")</f>
        <v>http://ts.21cn.com/tousu/show/id/1344737</v>
      </c>
      <c r="F13282" s="2" t="s">
        <v>11</v>
      </c>
      <c r="G13282" s="2" t="s">
        <v>18039</v>
      </c>
      <c r="H13282" s="2" t="s">
        <v>18040</v>
      </c>
    </row>
    <row r="13283" spans="1:8" ht="25.05" customHeight="1" x14ac:dyDescent="0.25">
      <c r="A13283" s="2" t="s">
        <v>8</v>
      </c>
      <c r="B13283" s="2" t="str">
        <f>HYPERLINK("http://ts.21cn.com/tousu/show/id/1344740","催收严重一个劲打电话")</f>
        <v>催收严重一个劲打电话</v>
      </c>
      <c r="C13283" s="2" t="s">
        <v>9</v>
      </c>
      <c r="D13283" s="2" t="s">
        <v>10</v>
      </c>
      <c r="E13283" s="2" t="str">
        <f>HYPERLINK("http://ts.21cn.com/tousu/show/id/1344740","http://ts.21cn.com/tousu/show/id/1344740")</f>
        <v>http://ts.21cn.com/tousu/show/id/1344740</v>
      </c>
      <c r="F13283" s="2" t="s">
        <v>11</v>
      </c>
      <c r="G13283" s="2" t="s">
        <v>18037</v>
      </c>
      <c r="H13283" s="2" t="s">
        <v>18038</v>
      </c>
    </row>
    <row r="13284" spans="1:8" ht="25.05" customHeight="1" x14ac:dyDescent="0.25">
      <c r="A13284" s="2" t="s">
        <v>8</v>
      </c>
      <c r="B13284" s="2" t="str">
        <f>HYPERLINK("http://ts.21cn.com/tousu/show/id/1344741","去哪儿出火车票乱加费用")</f>
        <v>去哪儿出火车票乱加费用</v>
      </c>
      <c r="C13284" s="2" t="s">
        <v>9</v>
      </c>
      <c r="D13284" s="2" t="s">
        <v>10</v>
      </c>
      <c r="E13284" s="2" t="str">
        <f>HYPERLINK("http://ts.21cn.com/tousu/show/id/1344741","http://ts.21cn.com/tousu/show/id/1344741")</f>
        <v>http://ts.21cn.com/tousu/show/id/1344741</v>
      </c>
      <c r="F13284" s="2" t="s">
        <v>11</v>
      </c>
      <c r="G13284" s="2" t="s">
        <v>18035</v>
      </c>
      <c r="H13284" s="2" t="s">
        <v>18036</v>
      </c>
    </row>
    <row r="13285" spans="1:8" ht="25.05" customHeight="1" x14ac:dyDescent="0.25">
      <c r="A13285" s="2" t="s">
        <v>8</v>
      </c>
      <c r="B13285" s="2" t="str">
        <f>HYPERLINK("http://ts.21cn.com/tousu/show/id/1344670","同程艺龙客服欺瞒客户，不予退款")</f>
        <v>同程艺龙客服欺瞒客户，不予退款</v>
      </c>
      <c r="C13285" s="2" t="s">
        <v>9</v>
      </c>
      <c r="D13285" s="2" t="s">
        <v>10</v>
      </c>
      <c r="E13285" s="2" t="str">
        <f>HYPERLINK("http://ts.21cn.com/tousu/show/id/1344670","http://ts.21cn.com/tousu/show/id/1344670")</f>
        <v>http://ts.21cn.com/tousu/show/id/1344670</v>
      </c>
      <c r="F13285" s="2" t="s">
        <v>11</v>
      </c>
      <c r="G13285" s="2" t="s">
        <v>18033</v>
      </c>
      <c r="H13285" s="2" t="s">
        <v>18034</v>
      </c>
    </row>
    <row r="13286" spans="1:8" ht="25.05" customHeight="1" x14ac:dyDescent="0.25">
      <c r="A13286" s="2" t="s">
        <v>8</v>
      </c>
      <c r="B13286" s="2" t="str">
        <f>HYPERLINK("http://ts.21cn.com/tousu/show/id/1344742","协商还款")</f>
        <v>协商还款</v>
      </c>
      <c r="C13286" s="2" t="s">
        <v>9</v>
      </c>
      <c r="D13286" s="2" t="s">
        <v>10</v>
      </c>
      <c r="E13286" s="2" t="str">
        <f>HYPERLINK("http://ts.21cn.com/tousu/show/id/1344742","http://ts.21cn.com/tousu/show/id/1344742")</f>
        <v>http://ts.21cn.com/tousu/show/id/1344742</v>
      </c>
      <c r="F13286" s="2" t="s">
        <v>11</v>
      </c>
      <c r="G13286" s="2" t="s">
        <v>18031</v>
      </c>
      <c r="H13286" s="2" t="s">
        <v>18032</v>
      </c>
    </row>
    <row r="13287" spans="1:8" ht="25.05" customHeight="1" x14ac:dyDescent="0.25">
      <c r="A13287" s="2" t="s">
        <v>8</v>
      </c>
      <c r="B13287" s="2" t="str">
        <f>HYPERLINK("http://ts.21cn.com/tousu/show/id/1344743","360借条催收冒充法务人员")</f>
        <v>360借条催收冒充法务人员</v>
      </c>
      <c r="C13287" s="2" t="s">
        <v>9</v>
      </c>
      <c r="D13287" s="2" t="s">
        <v>10</v>
      </c>
      <c r="E13287" s="2" t="str">
        <f>HYPERLINK("http://ts.21cn.com/tousu/show/id/1344743","http://ts.21cn.com/tousu/show/id/1344743")</f>
        <v>http://ts.21cn.com/tousu/show/id/1344743</v>
      </c>
      <c r="F13287" s="2" t="s">
        <v>11</v>
      </c>
      <c r="G13287" s="2" t="s">
        <v>18029</v>
      </c>
      <c r="H13287" s="2" t="s">
        <v>18030</v>
      </c>
    </row>
    <row r="13288" spans="1:8" ht="25.05" customHeight="1" x14ac:dyDescent="0.25">
      <c r="A13288" s="2" t="s">
        <v>8</v>
      </c>
      <c r="B13288" s="2" t="str">
        <f>HYPERLINK("http://ts.21cn.com/tousu/show/id/1344744","拍拍贷不合理收取费用，")</f>
        <v>拍拍贷不合理收取费用，</v>
      </c>
      <c r="C13288" s="2" t="s">
        <v>9</v>
      </c>
      <c r="D13288" s="2" t="s">
        <v>10</v>
      </c>
      <c r="E13288" s="2" t="str">
        <f>HYPERLINK("http://ts.21cn.com/tousu/show/id/1344744","http://ts.21cn.com/tousu/show/id/1344744")</f>
        <v>http://ts.21cn.com/tousu/show/id/1344744</v>
      </c>
      <c r="F13288" s="2" t="s">
        <v>11</v>
      </c>
      <c r="G13288" s="2" t="s">
        <v>18027</v>
      </c>
      <c r="H13288" s="2" t="s">
        <v>18028</v>
      </c>
    </row>
    <row r="13289" spans="1:8" ht="25.05" customHeight="1" x14ac:dyDescent="0.25">
      <c r="A13289" s="2" t="s">
        <v>8</v>
      </c>
      <c r="B13289" s="2" t="str">
        <f>HYPERLINK("http://ts.21cn.com/tousu/show/id/1344745","瓜子二手车集体投诉专题")</f>
        <v>瓜子二手车集体投诉专题</v>
      </c>
      <c r="C13289" s="2" t="s">
        <v>9</v>
      </c>
      <c r="D13289" s="2" t="s">
        <v>10</v>
      </c>
      <c r="E13289" s="2" t="str">
        <f>HYPERLINK("http://ts.21cn.com/tousu/show/id/1344745","http://ts.21cn.com/tousu/show/id/1344745")</f>
        <v>http://ts.21cn.com/tousu/show/id/1344745</v>
      </c>
      <c r="F13289" s="2" t="s">
        <v>11</v>
      </c>
      <c r="G13289" s="2" t="s">
        <v>18025</v>
      </c>
      <c r="H13289" s="2" t="s">
        <v>18026</v>
      </c>
    </row>
    <row r="13290" spans="1:8" ht="25.05" customHeight="1" x14ac:dyDescent="0.25">
      <c r="A13290" s="2" t="s">
        <v>8</v>
      </c>
      <c r="B13290" s="2" t="str">
        <f>HYPERLINK("http://ts.21cn.com/tousu/show/id/1344746","省呗催收骚扰联系人")</f>
        <v>省呗催收骚扰联系人</v>
      </c>
      <c r="C13290" s="2" t="s">
        <v>9</v>
      </c>
      <c r="D13290" s="2" t="s">
        <v>10</v>
      </c>
      <c r="E13290" s="2" t="str">
        <f>HYPERLINK("http://ts.21cn.com/tousu/show/id/1344746","http://ts.21cn.com/tousu/show/id/1344746")</f>
        <v>http://ts.21cn.com/tousu/show/id/1344746</v>
      </c>
      <c r="F13290" s="2" t="s">
        <v>11</v>
      </c>
      <c r="G13290" s="2" t="s">
        <v>18023</v>
      </c>
      <c r="H13290" s="2" t="s">
        <v>18024</v>
      </c>
    </row>
    <row r="13291" spans="1:8" ht="25.05" customHeight="1" x14ac:dyDescent="0.25">
      <c r="A13291" s="2" t="s">
        <v>8</v>
      </c>
      <c r="B13291" s="2" t="str">
        <f>HYPERLINK("http://ts.21cn.com/tousu/show/id/1344747","恶意骚扰和恐吓")</f>
        <v>恶意骚扰和恐吓</v>
      </c>
      <c r="C13291" s="2" t="s">
        <v>9</v>
      </c>
      <c r="D13291" s="2" t="s">
        <v>10</v>
      </c>
      <c r="E13291" s="2" t="str">
        <f>HYPERLINK("http://ts.21cn.com/tousu/show/id/1344747","http://ts.21cn.com/tousu/show/id/1344747")</f>
        <v>http://ts.21cn.com/tousu/show/id/1344747</v>
      </c>
      <c r="F13291" s="2" t="s">
        <v>11</v>
      </c>
      <c r="G13291" s="2" t="s">
        <v>18021</v>
      </c>
      <c r="H13291" s="2" t="s">
        <v>18022</v>
      </c>
    </row>
    <row r="13292" spans="1:8" ht="25.05" customHeight="1" x14ac:dyDescent="0.25">
      <c r="A13292" s="2" t="s">
        <v>8</v>
      </c>
      <c r="B13292" s="2" t="str">
        <f>HYPERLINK("http://ts.21cn.com/tousu/show/id/1344748","中腾信催收电话威胁")</f>
        <v>中腾信催收电话威胁</v>
      </c>
      <c r="C13292" s="2" t="s">
        <v>9</v>
      </c>
      <c r="D13292" s="2" t="s">
        <v>10</v>
      </c>
      <c r="E13292" s="2" t="str">
        <f>HYPERLINK("http://ts.21cn.com/tousu/show/id/1344748","http://ts.21cn.com/tousu/show/id/1344748")</f>
        <v>http://ts.21cn.com/tousu/show/id/1344748</v>
      </c>
      <c r="F13292" s="2" t="s">
        <v>11</v>
      </c>
      <c r="G13292" s="2" t="s">
        <v>18019</v>
      </c>
      <c r="H13292" s="2" t="s">
        <v>18020</v>
      </c>
    </row>
    <row r="13293" spans="1:8" ht="25.05" customHeight="1" x14ac:dyDescent="0.25">
      <c r="A13293" s="2" t="s">
        <v>8</v>
      </c>
      <c r="B13293" s="2" t="str">
        <f>HYPERLINK("http://ts.21cn.com/tousu/show/id/1344749","佛山祈福南湾半岛楼巴升价")</f>
        <v>佛山祈福南湾半岛楼巴升价</v>
      </c>
      <c r="C13293" s="2" t="s">
        <v>9</v>
      </c>
      <c r="D13293" s="2" t="s">
        <v>10</v>
      </c>
      <c r="E13293" s="2" t="str">
        <f>HYPERLINK("http://ts.21cn.com/tousu/show/id/1344749","http://ts.21cn.com/tousu/show/id/1344749")</f>
        <v>http://ts.21cn.com/tousu/show/id/1344749</v>
      </c>
      <c r="F13293" s="2" t="s">
        <v>11</v>
      </c>
      <c r="G13293" s="2" t="s">
        <v>18017</v>
      </c>
      <c r="H13293" s="2" t="s">
        <v>18018</v>
      </c>
    </row>
    <row r="13294" spans="1:8" ht="25.05" customHeight="1" x14ac:dyDescent="0.25">
      <c r="A13294" s="2" t="s">
        <v>8</v>
      </c>
      <c r="B13294" s="2" t="str">
        <f>HYPERLINK("http://ts.21cn.com/tousu/show/id/1344750","拍拍贷打骚扰电话给亲戚朋友")</f>
        <v>拍拍贷打骚扰电话给亲戚朋友</v>
      </c>
      <c r="C13294" s="2" t="s">
        <v>9</v>
      </c>
      <c r="D13294" s="2" t="s">
        <v>10</v>
      </c>
      <c r="E13294" s="2" t="str">
        <f>HYPERLINK("http://ts.21cn.com/tousu/show/id/1344750","http://ts.21cn.com/tousu/show/id/1344750")</f>
        <v>http://ts.21cn.com/tousu/show/id/1344750</v>
      </c>
      <c r="F13294" s="2" t="s">
        <v>11</v>
      </c>
      <c r="G13294" s="2" t="s">
        <v>18015</v>
      </c>
      <c r="H13294" s="2" t="s">
        <v>18016</v>
      </c>
    </row>
    <row r="13295" spans="1:8" ht="25.05" customHeight="1" x14ac:dyDescent="0.25">
      <c r="A13295" s="2" t="s">
        <v>8</v>
      </c>
      <c r="B13295" s="2" t="str">
        <f>HYPERLINK("http://ts.21cn.com/tousu/show/id/1344751","中华会计网校续学套路")</f>
        <v>中华会计网校续学套路</v>
      </c>
      <c r="C13295" s="2" t="s">
        <v>9</v>
      </c>
      <c r="D13295" s="2" t="s">
        <v>10</v>
      </c>
      <c r="E13295" s="2" t="str">
        <f>HYPERLINK("http://ts.21cn.com/tousu/show/id/1344751","http://ts.21cn.com/tousu/show/id/1344751")</f>
        <v>http://ts.21cn.com/tousu/show/id/1344751</v>
      </c>
      <c r="F13295" s="2" t="s">
        <v>11</v>
      </c>
      <c r="G13295" s="2" t="s">
        <v>18013</v>
      </c>
      <c r="H13295" s="2" t="s">
        <v>18014</v>
      </c>
    </row>
    <row r="13296" spans="1:8" ht="25.05" customHeight="1" x14ac:dyDescent="0.25">
      <c r="A13296" s="2" t="s">
        <v>8</v>
      </c>
      <c r="B13296" s="2" t="str">
        <f>HYPERLINK("http://ts.21cn.com/tousu/show/id/1344753","钱站高利贷砍头息阴阳合同")</f>
        <v>钱站高利贷砍头息阴阳合同</v>
      </c>
      <c r="C13296" s="2" t="s">
        <v>9</v>
      </c>
      <c r="D13296" s="2" t="s">
        <v>10</v>
      </c>
      <c r="E13296" s="2" t="str">
        <f>HYPERLINK("http://ts.21cn.com/tousu/show/id/1344753","http://ts.21cn.com/tousu/show/id/1344753")</f>
        <v>http://ts.21cn.com/tousu/show/id/1344753</v>
      </c>
      <c r="F13296" s="2" t="s">
        <v>11</v>
      </c>
      <c r="G13296" s="2" t="s">
        <v>18011</v>
      </c>
      <c r="H13296" s="2" t="s">
        <v>18012</v>
      </c>
    </row>
    <row r="13297" spans="1:8" ht="25.05" customHeight="1" x14ac:dyDescent="0.25">
      <c r="A13297" s="2" t="s">
        <v>8</v>
      </c>
      <c r="B13297" s="2" t="str">
        <f>HYPERLINK("http://ts.21cn.com/tousu/show/id/1344754","投诉钱站诱惑催收，暴力催收，私自伪造司法催收文件，短信")</f>
        <v>投诉钱站诱惑催收，暴力催收，私自伪造司法催收文件，短信</v>
      </c>
      <c r="C13297" s="2" t="s">
        <v>9</v>
      </c>
      <c r="D13297" s="2" t="s">
        <v>10</v>
      </c>
      <c r="E13297" s="2" t="str">
        <f>HYPERLINK("http://ts.21cn.com/tousu/show/id/1344754","http://ts.21cn.com/tousu/show/id/1344754")</f>
        <v>http://ts.21cn.com/tousu/show/id/1344754</v>
      </c>
      <c r="F13297" s="2" t="s">
        <v>11</v>
      </c>
      <c r="G13297" s="2" t="s">
        <v>18009</v>
      </c>
      <c r="H13297" s="2" t="s">
        <v>18010</v>
      </c>
    </row>
    <row r="13298" spans="1:8" ht="25.05" customHeight="1" x14ac:dyDescent="0.25">
      <c r="A13298" s="2" t="s">
        <v>8</v>
      </c>
      <c r="B13298" s="2" t="str">
        <f>HYPERLINK("http://ts.21cn.com/tousu/show/id/1344755","星美通信购卡不发货不退款")</f>
        <v>星美通信购卡不发货不退款</v>
      </c>
      <c r="C13298" s="2" t="s">
        <v>9</v>
      </c>
      <c r="D13298" s="2" t="s">
        <v>10</v>
      </c>
      <c r="E13298" s="2" t="str">
        <f>HYPERLINK("http://ts.21cn.com/tousu/show/id/1344755","http://ts.21cn.com/tousu/show/id/1344755")</f>
        <v>http://ts.21cn.com/tousu/show/id/1344755</v>
      </c>
      <c r="F13298" s="2" t="s">
        <v>11</v>
      </c>
      <c r="G13298" s="2" t="s">
        <v>18007</v>
      </c>
      <c r="H13298" s="2" t="s">
        <v>18008</v>
      </c>
    </row>
    <row r="13299" spans="1:8" ht="25.05" customHeight="1" x14ac:dyDescent="0.25">
      <c r="A13299" s="2" t="s">
        <v>8</v>
      </c>
      <c r="B13299" s="2" t="str">
        <f>HYPERLINK("http://ts.21cn.com/tousu/show/id/1344756","一周钱包电话轰炸，辱骂")</f>
        <v>一周钱包电话轰炸，辱骂</v>
      </c>
      <c r="C13299" s="2" t="s">
        <v>34</v>
      </c>
      <c r="D13299" s="2" t="s">
        <v>10</v>
      </c>
      <c r="E13299" s="2" t="str">
        <f>HYPERLINK("http://ts.21cn.com/tousu/show/id/1344756","http://ts.21cn.com/tousu/show/id/1344756")</f>
        <v>http://ts.21cn.com/tousu/show/id/1344756</v>
      </c>
      <c r="F13299" s="2" t="s">
        <v>11</v>
      </c>
      <c r="G13299" s="2" t="s">
        <v>18005</v>
      </c>
      <c r="H13299" s="2" t="s">
        <v>18006</v>
      </c>
    </row>
    <row r="13300" spans="1:8" ht="25.05" customHeight="1" x14ac:dyDescent="0.25">
      <c r="A13300" s="2" t="s">
        <v>8</v>
      </c>
      <c r="B13300" s="2" t="str">
        <f>HYPERLINK("http://ts.21cn.com/tousu/show/id/1344758","上海于斯钢琴陪练")</f>
        <v>上海于斯钢琴陪练</v>
      </c>
      <c r="C13300" s="2" t="s">
        <v>9</v>
      </c>
      <c r="D13300" s="2" t="s">
        <v>10</v>
      </c>
      <c r="E13300" s="2" t="str">
        <f>HYPERLINK("http://ts.21cn.com/tousu/show/id/1344758","http://ts.21cn.com/tousu/show/id/1344758")</f>
        <v>http://ts.21cn.com/tousu/show/id/1344758</v>
      </c>
      <c r="F13300" s="2" t="s">
        <v>11</v>
      </c>
      <c r="G13300" s="2" t="s">
        <v>18002</v>
      </c>
      <c r="H13300" s="2" t="s">
        <v>18003</v>
      </c>
    </row>
    <row r="13301" spans="1:8" ht="25.05" customHeight="1" x14ac:dyDescent="0.25">
      <c r="A13301" s="2" t="s">
        <v>8</v>
      </c>
      <c r="B13301" s="2" t="str">
        <f>HYPERLINK("http://ts.21cn.com/tousu/show/id/1344700","消费者维权")</f>
        <v>消费者维权</v>
      </c>
      <c r="C13301" s="2" t="s">
        <v>9</v>
      </c>
      <c r="D13301" s="2" t="s">
        <v>10</v>
      </c>
      <c r="E13301" s="2" t="str">
        <f>HYPERLINK("http://ts.21cn.com/tousu/show/id/1344700","http://ts.21cn.com/tousu/show/id/1344700")</f>
        <v>http://ts.21cn.com/tousu/show/id/1344700</v>
      </c>
      <c r="F13301" s="2" t="s">
        <v>11</v>
      </c>
      <c r="G13301" s="2" t="s">
        <v>18002</v>
      </c>
      <c r="H13301" s="2" t="s">
        <v>18004</v>
      </c>
    </row>
    <row r="13302" spans="1:8" ht="25.05" customHeight="1" x14ac:dyDescent="0.25">
      <c r="A13302" s="2" t="s">
        <v>8</v>
      </c>
      <c r="B13302" s="2" t="str">
        <f>HYPERLINK("http://ts.21cn.com/tousu/show/id/1344757","恐吓")</f>
        <v>恐吓</v>
      </c>
      <c r="C13302" s="2" t="s">
        <v>9</v>
      </c>
      <c r="D13302" s="2" t="s">
        <v>10</v>
      </c>
      <c r="E13302" s="2" t="str">
        <f>HYPERLINK("http://ts.21cn.com/tousu/show/id/1344757","http://ts.21cn.com/tousu/show/id/1344757")</f>
        <v>http://ts.21cn.com/tousu/show/id/1344757</v>
      </c>
      <c r="F13302" s="2" t="s">
        <v>11</v>
      </c>
      <c r="G13302" s="2" t="s">
        <v>18000</v>
      </c>
      <c r="H13302" s="2" t="s">
        <v>18001</v>
      </c>
    </row>
    <row r="13303" spans="1:8" ht="25.05" customHeight="1" x14ac:dyDescent="0.25">
      <c r="A13303" s="2" t="s">
        <v>8</v>
      </c>
      <c r="B13303" s="2" t="str">
        <f>HYPERLINK("http://ts.21cn.com/tousu/show/id/1344759","立借高利贷，套路贷，下款后收取其他费用")</f>
        <v>立借高利贷，套路贷，下款后收取其他费用</v>
      </c>
      <c r="C13303" s="2" t="s">
        <v>9</v>
      </c>
      <c r="D13303" s="2" t="s">
        <v>10</v>
      </c>
      <c r="E13303" s="2" t="str">
        <f>HYPERLINK("http://ts.21cn.com/tousu/show/id/1344759","http://ts.21cn.com/tousu/show/id/1344759")</f>
        <v>http://ts.21cn.com/tousu/show/id/1344759</v>
      </c>
      <c r="F13303" s="2" t="s">
        <v>11</v>
      </c>
      <c r="G13303" s="2" t="s">
        <v>17998</v>
      </c>
      <c r="H13303" s="2" t="s">
        <v>17999</v>
      </c>
    </row>
    <row r="13304" spans="1:8" ht="25.05" customHeight="1" x14ac:dyDescent="0.25">
      <c r="A13304" s="2" t="s">
        <v>8</v>
      </c>
      <c r="B13304" s="2" t="str">
        <f>HYPERLINK("http://ts.21cn.com/tousu/show/id/1344760","百事普惠恶意扣款")</f>
        <v>百事普惠恶意扣款</v>
      </c>
      <c r="C13304" s="2" t="s">
        <v>9</v>
      </c>
      <c r="D13304" s="2" t="s">
        <v>10</v>
      </c>
      <c r="E13304" s="2" t="str">
        <f>HYPERLINK("http://ts.21cn.com/tousu/show/id/1344760","http://ts.21cn.com/tousu/show/id/1344760")</f>
        <v>http://ts.21cn.com/tousu/show/id/1344760</v>
      </c>
      <c r="F13304" s="2" t="s">
        <v>11</v>
      </c>
      <c r="G13304" s="2" t="s">
        <v>17996</v>
      </c>
      <c r="H13304" s="2" t="s">
        <v>17997</v>
      </c>
    </row>
    <row r="13305" spans="1:8" ht="25.05" customHeight="1" x14ac:dyDescent="0.25">
      <c r="A13305" s="2" t="s">
        <v>8</v>
      </c>
      <c r="B13305" s="2" t="str">
        <f>HYPERLINK("http://ts.21cn.com/tousu/show/id/1344761","高额利息砍头息")</f>
        <v>高额利息砍头息</v>
      </c>
      <c r="C13305" s="2" t="s">
        <v>9</v>
      </c>
      <c r="D13305" s="2" t="s">
        <v>10</v>
      </c>
      <c r="E13305" s="2" t="str">
        <f>HYPERLINK("http://ts.21cn.com/tousu/show/id/1344761","http://ts.21cn.com/tousu/show/id/1344761")</f>
        <v>http://ts.21cn.com/tousu/show/id/1344761</v>
      </c>
      <c r="F13305" s="2" t="s">
        <v>11</v>
      </c>
      <c r="G13305" s="2" t="s">
        <v>17994</v>
      </c>
      <c r="H13305" s="2" t="s">
        <v>17995</v>
      </c>
    </row>
    <row r="13306" spans="1:8" ht="25.05" customHeight="1" x14ac:dyDescent="0.25">
      <c r="A13306" s="2" t="s">
        <v>8</v>
      </c>
      <c r="B13306" s="2" t="str">
        <f>HYPERLINK("http://ts.21cn.com/tousu/show/id/1344762","农业银行批贷失误导致客户受损")</f>
        <v>农业银行批贷失误导致客户受损</v>
      </c>
      <c r="C13306" s="2" t="s">
        <v>9</v>
      </c>
      <c r="D13306" s="2" t="s">
        <v>10</v>
      </c>
      <c r="E13306" s="2" t="str">
        <f>HYPERLINK("http://ts.21cn.com/tousu/show/id/1344762","http://ts.21cn.com/tousu/show/id/1344762")</f>
        <v>http://ts.21cn.com/tousu/show/id/1344762</v>
      </c>
      <c r="F13306" s="2" t="s">
        <v>11</v>
      </c>
      <c r="G13306" s="2" t="s">
        <v>17992</v>
      </c>
      <c r="H13306" s="2" t="s">
        <v>17993</v>
      </c>
    </row>
    <row r="13307" spans="1:8" ht="25.05" customHeight="1" x14ac:dyDescent="0.25">
      <c r="A13307" s="2" t="s">
        <v>8</v>
      </c>
      <c r="B13307" s="2" t="str">
        <f>HYPERLINK("http://ts.21cn.com/tousu/show/id/1344763","苏宁任性贷罚息过高")</f>
        <v>苏宁任性贷罚息过高</v>
      </c>
      <c r="C13307" s="2" t="s">
        <v>34</v>
      </c>
      <c r="D13307" s="2" t="s">
        <v>10</v>
      </c>
      <c r="E13307" s="2" t="str">
        <f>HYPERLINK("http://ts.21cn.com/tousu/show/id/1344763","http://ts.21cn.com/tousu/show/id/1344763")</f>
        <v>http://ts.21cn.com/tousu/show/id/1344763</v>
      </c>
      <c r="F13307" s="2" t="s">
        <v>11</v>
      </c>
      <c r="G13307" s="2" t="s">
        <v>17990</v>
      </c>
      <c r="H13307" s="2" t="s">
        <v>17991</v>
      </c>
    </row>
    <row r="13308" spans="1:8" ht="25.05" customHeight="1" x14ac:dyDescent="0.25">
      <c r="A13308" s="2" t="s">
        <v>8</v>
      </c>
      <c r="B13308" s="2" t="str">
        <f>HYPERLINK("http://ts.21cn.com/tousu/show/id/1344764","时光分期违规放款")</f>
        <v>时光分期违规放款</v>
      </c>
      <c r="C13308" s="2" t="s">
        <v>9</v>
      </c>
      <c r="D13308" s="2" t="s">
        <v>10</v>
      </c>
      <c r="E13308" s="2" t="str">
        <f>HYPERLINK("http://ts.21cn.com/tousu/show/id/1344764","http://ts.21cn.com/tousu/show/id/1344764")</f>
        <v>http://ts.21cn.com/tousu/show/id/1344764</v>
      </c>
      <c r="F13308" s="2" t="s">
        <v>11</v>
      </c>
      <c r="G13308" s="2" t="s">
        <v>17988</v>
      </c>
      <c r="H13308" s="2" t="s">
        <v>17989</v>
      </c>
    </row>
    <row r="13309" spans="1:8" ht="25.05" customHeight="1" x14ac:dyDescent="0.25">
      <c r="A13309" s="2" t="s">
        <v>8</v>
      </c>
      <c r="B13309" s="2" t="str">
        <f>HYPERLINK("http://ts.21cn.com/tousu/show/id/1344766","招联金融威胁恐吓")</f>
        <v>招联金融威胁恐吓</v>
      </c>
      <c r="C13309" s="2" t="s">
        <v>9</v>
      </c>
      <c r="D13309" s="2" t="s">
        <v>10</v>
      </c>
      <c r="E13309" s="2" t="str">
        <f>HYPERLINK("http://ts.21cn.com/tousu/show/id/1344766","http://ts.21cn.com/tousu/show/id/1344766")</f>
        <v>http://ts.21cn.com/tousu/show/id/1344766</v>
      </c>
      <c r="F13309" s="2" t="s">
        <v>11</v>
      </c>
      <c r="G13309" s="2" t="s">
        <v>17986</v>
      </c>
      <c r="H13309" s="2" t="s">
        <v>17987</v>
      </c>
    </row>
    <row r="13310" spans="1:8" ht="25.05" customHeight="1" x14ac:dyDescent="0.25">
      <c r="A13310" s="2" t="s">
        <v>8</v>
      </c>
      <c r="B13310" s="2" t="str">
        <f>HYPERLINK("http://ts.21cn.com/tousu/show/id/1344767","富友支付为非法714套路贷违法提供支付通道业务")</f>
        <v>富友支付为非法714套路贷违法提供支付通道业务</v>
      </c>
      <c r="C13310" s="2" t="s">
        <v>9</v>
      </c>
      <c r="D13310" s="2" t="s">
        <v>10</v>
      </c>
      <c r="E13310" s="2" t="str">
        <f>HYPERLINK("http://ts.21cn.com/tousu/show/id/1344767","http://ts.21cn.com/tousu/show/id/1344767")</f>
        <v>http://ts.21cn.com/tousu/show/id/1344767</v>
      </c>
      <c r="F13310" s="2" t="s">
        <v>11</v>
      </c>
      <c r="G13310" s="2" t="s">
        <v>17984</v>
      </c>
      <c r="H13310" s="2" t="s">
        <v>17985</v>
      </c>
    </row>
    <row r="13311" spans="1:8" ht="25.05" customHeight="1" x14ac:dyDescent="0.25">
      <c r="A13311" s="2" t="s">
        <v>8</v>
      </c>
      <c r="B13311" s="2" t="str">
        <f>HYPERLINK("http://ts.21cn.com/tousu/show/id/1344768","要求停止爆通讯录")</f>
        <v>要求停止爆通讯录</v>
      </c>
      <c r="C13311" s="2" t="s">
        <v>9</v>
      </c>
      <c r="D13311" s="2" t="s">
        <v>10</v>
      </c>
      <c r="E13311" s="2" t="str">
        <f>HYPERLINK("http://ts.21cn.com/tousu/show/id/1344768","http://ts.21cn.com/tousu/show/id/1344768")</f>
        <v>http://ts.21cn.com/tousu/show/id/1344768</v>
      </c>
      <c r="F13311" s="2" t="s">
        <v>11</v>
      </c>
      <c r="G13311" s="2" t="s">
        <v>17982</v>
      </c>
      <c r="H13311" s="2" t="s">
        <v>17983</v>
      </c>
    </row>
    <row r="13312" spans="1:8" ht="25.05" customHeight="1" x14ac:dyDescent="0.25">
      <c r="A13312" s="2" t="s">
        <v>8</v>
      </c>
      <c r="B13312" s="2" t="str">
        <f>HYPERLINK("http://ts.21cn.com/tousu/show/id/1344769","非法催收")</f>
        <v>非法催收</v>
      </c>
      <c r="C13312" s="2" t="s">
        <v>9</v>
      </c>
      <c r="D13312" s="2" t="s">
        <v>10</v>
      </c>
      <c r="E13312" s="2" t="str">
        <f>HYPERLINK("http://ts.21cn.com/tousu/show/id/1344769","http://ts.21cn.com/tousu/show/id/1344769")</f>
        <v>http://ts.21cn.com/tousu/show/id/1344769</v>
      </c>
      <c r="F13312" s="2" t="s">
        <v>11</v>
      </c>
      <c r="G13312" s="2" t="s">
        <v>17980</v>
      </c>
      <c r="H13312" s="2" t="s">
        <v>17981</v>
      </c>
    </row>
    <row r="13313" spans="1:8" ht="25.05" customHeight="1" x14ac:dyDescent="0.25">
      <c r="A13313" s="2" t="s">
        <v>8</v>
      </c>
      <c r="B13313" s="2" t="str">
        <f>HYPERLINK("http://ts.21cn.com/tousu/show/id/1344770","客服不接电话")</f>
        <v>客服不接电话</v>
      </c>
      <c r="C13313" s="2" t="s">
        <v>9</v>
      </c>
      <c r="D13313" s="2" t="s">
        <v>10</v>
      </c>
      <c r="E13313" s="2" t="str">
        <f>HYPERLINK("http://ts.21cn.com/tousu/show/id/1344770","http://ts.21cn.com/tousu/show/id/1344770")</f>
        <v>http://ts.21cn.com/tousu/show/id/1344770</v>
      </c>
      <c r="F13313" s="2" t="s">
        <v>11</v>
      </c>
      <c r="G13313" s="2" t="s">
        <v>17978</v>
      </c>
      <c r="H13313" s="2" t="s">
        <v>17979</v>
      </c>
    </row>
    <row r="13314" spans="1:8" ht="25.05" customHeight="1" x14ac:dyDescent="0.25">
      <c r="A13314" s="2" t="s">
        <v>8</v>
      </c>
      <c r="B13314" s="2" t="str">
        <f>HYPERLINK("http://ts.21cn.com/tousu/show/id/1344771","协商")</f>
        <v>协商</v>
      </c>
      <c r="C13314" s="2" t="s">
        <v>9</v>
      </c>
      <c r="D13314" s="2" t="s">
        <v>10</v>
      </c>
      <c r="E13314" s="2" t="str">
        <f>HYPERLINK("http://ts.21cn.com/tousu/show/id/1344771","http://ts.21cn.com/tousu/show/id/1344771")</f>
        <v>http://ts.21cn.com/tousu/show/id/1344771</v>
      </c>
      <c r="F13314" s="2" t="s">
        <v>11</v>
      </c>
      <c r="G13314" s="2" t="s">
        <v>17976</v>
      </c>
      <c r="H13314" s="2" t="s">
        <v>17977</v>
      </c>
    </row>
    <row r="13315" spans="1:8" ht="25.05" customHeight="1" x14ac:dyDescent="0.25">
      <c r="A13315" s="2" t="s">
        <v>8</v>
      </c>
      <c r="B13315" s="2" t="str">
        <f>HYPERLINK("http://ts.21cn.com/tousu/show/id/1344773","游戏托，不充值不让玩")</f>
        <v>游戏托，不充值不让玩</v>
      </c>
      <c r="C13315" s="2" t="s">
        <v>34</v>
      </c>
      <c r="D13315" s="2" t="s">
        <v>10</v>
      </c>
      <c r="E13315" s="2" t="str">
        <f>HYPERLINK("http://ts.21cn.com/tousu/show/id/1344773","http://ts.21cn.com/tousu/show/id/1344773")</f>
        <v>http://ts.21cn.com/tousu/show/id/1344773</v>
      </c>
      <c r="F13315" s="2" t="s">
        <v>11</v>
      </c>
      <c r="G13315" s="2" t="s">
        <v>17974</v>
      </c>
      <c r="H13315" s="2" t="s">
        <v>17975</v>
      </c>
    </row>
    <row r="13316" spans="1:8" ht="25.05" customHeight="1" x14ac:dyDescent="0.25">
      <c r="A13316" s="2" t="s">
        <v>8</v>
      </c>
      <c r="B13316" s="2" t="str">
        <f>HYPERLINK("http://ts.21cn.com/tousu/show/id/1344772","贷上钱高利贷并暴力催收")</f>
        <v>贷上钱高利贷并暴力催收</v>
      </c>
      <c r="C13316" s="2" t="s">
        <v>9</v>
      </c>
      <c r="D13316" s="2" t="s">
        <v>10</v>
      </c>
      <c r="E13316" s="2" t="str">
        <f>HYPERLINK("http://ts.21cn.com/tousu/show/id/1344772","http://ts.21cn.com/tousu/show/id/1344772")</f>
        <v>http://ts.21cn.com/tousu/show/id/1344772</v>
      </c>
      <c r="F13316" s="2" t="s">
        <v>11</v>
      </c>
      <c r="G13316" s="2" t="s">
        <v>17972</v>
      </c>
      <c r="H13316" s="2" t="s">
        <v>17973</v>
      </c>
    </row>
    <row r="13317" spans="1:8" ht="25.05" customHeight="1" x14ac:dyDescent="0.25">
      <c r="A13317" s="2" t="s">
        <v>8</v>
      </c>
      <c r="B13317" s="2" t="str">
        <f>HYPERLINK("http://ts.21cn.com/tousu/show/id/1344774","未经过本人同意骚扰联系人")</f>
        <v>未经过本人同意骚扰联系人</v>
      </c>
      <c r="C13317" s="2" t="s">
        <v>9</v>
      </c>
      <c r="D13317" s="2" t="s">
        <v>10</v>
      </c>
      <c r="E13317" s="2" t="str">
        <f>HYPERLINK("http://ts.21cn.com/tousu/show/id/1344774","http://ts.21cn.com/tousu/show/id/1344774")</f>
        <v>http://ts.21cn.com/tousu/show/id/1344774</v>
      </c>
      <c r="F13317" s="2" t="s">
        <v>11</v>
      </c>
      <c r="G13317" s="2" t="s">
        <v>17970</v>
      </c>
      <c r="H13317" s="2" t="s">
        <v>17971</v>
      </c>
    </row>
    <row r="13318" spans="1:8" ht="25.05" customHeight="1" x14ac:dyDescent="0.25">
      <c r="A13318" s="2" t="s">
        <v>8</v>
      </c>
      <c r="B13318" s="2" t="str">
        <f>HYPERLINK("http://ts.21cn.com/tousu/show/id/1344775","砍头利息，高利贷")</f>
        <v>砍头利息，高利贷</v>
      </c>
      <c r="C13318" s="2" t="s">
        <v>9</v>
      </c>
      <c r="D13318" s="2" t="s">
        <v>10</v>
      </c>
      <c r="E13318" s="2" t="str">
        <f>HYPERLINK("http://ts.21cn.com/tousu/show/id/1344775","http://ts.21cn.com/tousu/show/id/1344775")</f>
        <v>http://ts.21cn.com/tousu/show/id/1344775</v>
      </c>
      <c r="F13318" s="2" t="s">
        <v>11</v>
      </c>
      <c r="G13318" s="2" t="s">
        <v>17968</v>
      </c>
      <c r="H13318" s="2" t="s">
        <v>17969</v>
      </c>
    </row>
    <row r="13319" spans="1:8" ht="25.05" customHeight="1" x14ac:dyDescent="0.25">
      <c r="A13319" s="2" t="s">
        <v>8</v>
      </c>
      <c r="B13319" s="2" t="str">
        <f>HYPERLINK("http://ts.21cn.com/tousu/show/id/1344776","小赢卡贷提前还款需按还款计划缴清所有期限的息费")</f>
        <v>小赢卡贷提前还款需按还款计划缴清所有期限的息费</v>
      </c>
      <c r="C13319" s="2" t="s">
        <v>34</v>
      </c>
      <c r="D13319" s="2" t="s">
        <v>10</v>
      </c>
      <c r="E13319" s="2" t="str">
        <f>HYPERLINK("http://ts.21cn.com/tousu/show/id/1344776","http://ts.21cn.com/tousu/show/id/1344776")</f>
        <v>http://ts.21cn.com/tousu/show/id/1344776</v>
      </c>
      <c r="F13319" s="2" t="s">
        <v>11</v>
      </c>
      <c r="G13319" s="2" t="s">
        <v>17966</v>
      </c>
      <c r="H13319" s="2" t="s">
        <v>17967</v>
      </c>
    </row>
    <row r="13320" spans="1:8" ht="25.05" customHeight="1" x14ac:dyDescent="0.25">
      <c r="A13320" s="2" t="s">
        <v>8</v>
      </c>
      <c r="B13320" s="2" t="str">
        <f>HYPERLINK("http://ts.21cn.com/tousu/show/id/1344777","无故扣钱")</f>
        <v>无故扣钱</v>
      </c>
      <c r="C13320" s="2" t="s">
        <v>34</v>
      </c>
      <c r="D13320" s="2" t="s">
        <v>10</v>
      </c>
      <c r="E13320" s="2" t="str">
        <f>HYPERLINK("http://ts.21cn.com/tousu/show/id/1344777","http://ts.21cn.com/tousu/show/id/1344777")</f>
        <v>http://ts.21cn.com/tousu/show/id/1344777</v>
      </c>
      <c r="F13320" s="2" t="s">
        <v>11</v>
      </c>
      <c r="G13320" s="2" t="s">
        <v>17964</v>
      </c>
      <c r="H13320" s="2" t="s">
        <v>17965</v>
      </c>
    </row>
    <row r="13321" spans="1:8" ht="25.05" customHeight="1" x14ac:dyDescent="0.25">
      <c r="A13321" s="2" t="s">
        <v>8</v>
      </c>
      <c r="B13321" s="2" t="str">
        <f>HYPERLINK("http://ts.21cn.com/tousu/show/id/1344778","钱站高利贷阴阳合同")</f>
        <v>钱站高利贷阴阳合同</v>
      </c>
      <c r="C13321" s="2" t="s">
        <v>9</v>
      </c>
      <c r="D13321" s="2" t="s">
        <v>10</v>
      </c>
      <c r="E13321" s="2" t="str">
        <f>HYPERLINK("http://ts.21cn.com/tousu/show/id/1344778","http://ts.21cn.com/tousu/show/id/1344778")</f>
        <v>http://ts.21cn.com/tousu/show/id/1344778</v>
      </c>
      <c r="F13321" s="2" t="s">
        <v>11</v>
      </c>
      <c r="G13321" s="2" t="s">
        <v>17962</v>
      </c>
      <c r="H13321" s="2" t="s">
        <v>17963</v>
      </c>
    </row>
    <row r="13322" spans="1:8" ht="25.05" customHeight="1" x14ac:dyDescent="0.25">
      <c r="A13322" s="2" t="s">
        <v>8</v>
      </c>
      <c r="B13322" s="2" t="str">
        <f>HYPERLINK("http://ts.21cn.com/tousu/show/id/1344780","被收砍头息利率超过50%")</f>
        <v>被收砍头息利率超过50%</v>
      </c>
      <c r="C13322" s="2" t="s">
        <v>34</v>
      </c>
      <c r="D13322" s="2" t="s">
        <v>10</v>
      </c>
      <c r="E13322" s="2" t="str">
        <f>HYPERLINK("http://ts.21cn.com/tousu/show/id/1344780","http://ts.21cn.com/tousu/show/id/1344780")</f>
        <v>http://ts.21cn.com/tousu/show/id/1344780</v>
      </c>
      <c r="F13322" s="2" t="s">
        <v>11</v>
      </c>
      <c r="G13322" s="2" t="s">
        <v>17960</v>
      </c>
      <c r="H13322" s="2" t="s">
        <v>17961</v>
      </c>
    </row>
    <row r="13323" spans="1:8" ht="25.05" customHeight="1" x14ac:dyDescent="0.25">
      <c r="A13323" s="2" t="s">
        <v>8</v>
      </c>
      <c r="B13323" s="2" t="str">
        <f>HYPERLINK("http://ts.21cn.com/tousu/show/id/1344781","高额利息")</f>
        <v>高额利息</v>
      </c>
      <c r="C13323" s="2" t="s">
        <v>9</v>
      </c>
      <c r="D13323" s="2" t="s">
        <v>10</v>
      </c>
      <c r="E13323" s="2" t="str">
        <f>HYPERLINK("http://ts.21cn.com/tousu/show/id/1344781","http://ts.21cn.com/tousu/show/id/1344781")</f>
        <v>http://ts.21cn.com/tousu/show/id/1344781</v>
      </c>
      <c r="F13323" s="2" t="s">
        <v>11</v>
      </c>
      <c r="G13323" s="2" t="s">
        <v>17958</v>
      </c>
      <c r="H13323" s="2" t="s">
        <v>17959</v>
      </c>
    </row>
    <row r="13324" spans="1:8" ht="25.05" customHeight="1" x14ac:dyDescent="0.25">
      <c r="A13324" s="2" t="s">
        <v>8</v>
      </c>
      <c r="B13324" s="2" t="str">
        <f>HYPERLINK("http://ts.21cn.com/tousu/show/id/1344783","闪银奇异以会员费、至尊信用凭证、哼哼卡各种方式变相收取高额砍头息，四年还清70笔借款，砍头预计高达两三万元")</f>
        <v>闪银奇异以会员费、至尊信用凭证、哼哼卡各种方式变相收取高额砍头息，四年还清70笔借款，砍头预计高达两三万元</v>
      </c>
      <c r="C13324" s="2" t="s">
        <v>9</v>
      </c>
      <c r="D13324" s="2" t="s">
        <v>10</v>
      </c>
      <c r="E13324" s="2" t="str">
        <f>HYPERLINK("http://ts.21cn.com/tousu/show/id/1344783","http://ts.21cn.com/tousu/show/id/1344783")</f>
        <v>http://ts.21cn.com/tousu/show/id/1344783</v>
      </c>
      <c r="F13324" s="2" t="s">
        <v>11</v>
      </c>
      <c r="G13324" s="2" t="s">
        <v>17956</v>
      </c>
      <c r="H13324" s="2" t="s">
        <v>17957</v>
      </c>
    </row>
    <row r="13325" spans="1:8" ht="25.05" customHeight="1" x14ac:dyDescent="0.25">
      <c r="A13325" s="2" t="s">
        <v>8</v>
      </c>
      <c r="B13325" s="2" t="str">
        <f>HYPERLINK("http://ts.21cn.com/tousu/show/id/1344782","多宝分期高利贷")</f>
        <v>多宝分期高利贷</v>
      </c>
      <c r="C13325" s="2" t="s">
        <v>9</v>
      </c>
      <c r="D13325" s="2" t="s">
        <v>10</v>
      </c>
      <c r="E13325" s="2" t="str">
        <f>HYPERLINK("http://ts.21cn.com/tousu/show/id/1344782","http://ts.21cn.com/tousu/show/id/1344782")</f>
        <v>http://ts.21cn.com/tousu/show/id/1344782</v>
      </c>
      <c r="F13325" s="2" t="s">
        <v>11</v>
      </c>
      <c r="G13325" s="2" t="s">
        <v>17954</v>
      </c>
      <c r="H13325" s="2" t="s">
        <v>17955</v>
      </c>
    </row>
    <row r="13326" spans="1:8" ht="25.05" customHeight="1" x14ac:dyDescent="0.25">
      <c r="A13326" s="2" t="s">
        <v>8</v>
      </c>
      <c r="B13326" s="2" t="str">
        <f>HYPERLINK("http://ts.21cn.com/tousu/show/id/1344784","利息太高")</f>
        <v>利息太高</v>
      </c>
      <c r="C13326" s="2" t="s">
        <v>9</v>
      </c>
      <c r="D13326" s="2" t="s">
        <v>10</v>
      </c>
      <c r="E13326" s="2" t="str">
        <f>HYPERLINK("http://ts.21cn.com/tousu/show/id/1344784","http://ts.21cn.com/tousu/show/id/1344784")</f>
        <v>http://ts.21cn.com/tousu/show/id/1344784</v>
      </c>
      <c r="F13326" s="2" t="s">
        <v>11</v>
      </c>
      <c r="G13326" s="2" t="s">
        <v>17952</v>
      </c>
      <c r="H13326" s="2" t="s">
        <v>17953</v>
      </c>
    </row>
    <row r="13327" spans="1:8" ht="25.05" customHeight="1" x14ac:dyDescent="0.25">
      <c r="A13327" s="2" t="s">
        <v>8</v>
      </c>
      <c r="B13327" s="2" t="str">
        <f>HYPERLINK("http://ts.21cn.com/tousu/show/id/1344785","中腾信高利贷，暴力催收还骚扰亲友")</f>
        <v>中腾信高利贷，暴力催收还骚扰亲友</v>
      </c>
      <c r="C13327" s="2" t="s">
        <v>9</v>
      </c>
      <c r="D13327" s="2" t="s">
        <v>10</v>
      </c>
      <c r="E13327" s="2" t="str">
        <f>HYPERLINK("http://ts.21cn.com/tousu/show/id/1344785","http://ts.21cn.com/tousu/show/id/1344785")</f>
        <v>http://ts.21cn.com/tousu/show/id/1344785</v>
      </c>
      <c r="F13327" s="2" t="s">
        <v>11</v>
      </c>
      <c r="G13327" s="2" t="s">
        <v>17950</v>
      </c>
      <c r="H13327" s="2" t="s">
        <v>17951</v>
      </c>
    </row>
    <row r="13328" spans="1:8" ht="25.05" customHeight="1" x14ac:dyDescent="0.25">
      <c r="A13328" s="2" t="s">
        <v>8</v>
      </c>
      <c r="B13328" s="2" t="str">
        <f>HYPERLINK("http://ts.21cn.com/tousu/show/id/1344786","米米罐高率贷")</f>
        <v>米米罐高率贷</v>
      </c>
      <c r="C13328" s="2" t="s">
        <v>9</v>
      </c>
      <c r="D13328" s="2" t="s">
        <v>10</v>
      </c>
      <c r="E13328" s="2" t="str">
        <f>HYPERLINK("http://ts.21cn.com/tousu/show/id/1344786","http://ts.21cn.com/tousu/show/id/1344786")</f>
        <v>http://ts.21cn.com/tousu/show/id/1344786</v>
      </c>
      <c r="F13328" s="2" t="s">
        <v>11</v>
      </c>
      <c r="G13328" s="2" t="s">
        <v>17948</v>
      </c>
      <c r="H13328" s="2" t="s">
        <v>17949</v>
      </c>
    </row>
    <row r="13329" spans="1:8" ht="25.05" customHeight="1" x14ac:dyDescent="0.25">
      <c r="A13329" s="2" t="s">
        <v>8</v>
      </c>
      <c r="B13329" s="2" t="str">
        <f>HYPERLINK("http://ts.21cn.com/tousu/show/id/1344787","平安信用卡透露信息给三方机构威胁恐吓")</f>
        <v>平安信用卡透露信息给三方机构威胁恐吓</v>
      </c>
      <c r="C13329" s="2" t="s">
        <v>9</v>
      </c>
      <c r="D13329" s="2" t="s">
        <v>10</v>
      </c>
      <c r="E13329" s="2" t="str">
        <f>HYPERLINK("http://ts.21cn.com/tousu/show/id/1344787","http://ts.21cn.com/tousu/show/id/1344787")</f>
        <v>http://ts.21cn.com/tousu/show/id/1344787</v>
      </c>
      <c r="F13329" s="2" t="s">
        <v>11</v>
      </c>
      <c r="G13329" s="2" t="s">
        <v>17946</v>
      </c>
      <c r="H13329" s="2" t="s">
        <v>17947</v>
      </c>
    </row>
    <row r="13330" spans="1:8" ht="25.05" customHeight="1" x14ac:dyDescent="0.25">
      <c r="A13330" s="2" t="s">
        <v>8</v>
      </c>
      <c r="B13330" s="2" t="str">
        <f>HYPERLINK("http://ts.21cn.com/tousu/show/id/1344788","营口机场推销航旅之家黑金卡存在欺诈行为")</f>
        <v>营口机场推销航旅之家黑金卡存在欺诈行为</v>
      </c>
      <c r="C13330" s="2" t="s">
        <v>9</v>
      </c>
      <c r="D13330" s="2" t="s">
        <v>10</v>
      </c>
      <c r="E13330" s="2" t="str">
        <f>HYPERLINK("http://ts.21cn.com/tousu/show/id/1344788","http://ts.21cn.com/tousu/show/id/1344788")</f>
        <v>http://ts.21cn.com/tousu/show/id/1344788</v>
      </c>
      <c r="F13330" s="2" t="s">
        <v>11</v>
      </c>
      <c r="G13330" s="2" t="s">
        <v>17944</v>
      </c>
      <c r="H13330" s="2" t="s">
        <v>17945</v>
      </c>
    </row>
    <row r="13331" spans="1:8" ht="25.05" customHeight="1" x14ac:dyDescent="0.25">
      <c r="A13331" s="2" t="s">
        <v>8</v>
      </c>
      <c r="B13331" s="2" t="str">
        <f>HYPERLINK("http://ts.21cn.com/tousu/show/id/1344789","拍拍贷恐吓电话")</f>
        <v>拍拍贷恐吓电话</v>
      </c>
      <c r="C13331" s="2" t="s">
        <v>9</v>
      </c>
      <c r="D13331" s="2" t="s">
        <v>10</v>
      </c>
      <c r="E13331" s="2" t="str">
        <f>HYPERLINK("http://ts.21cn.com/tousu/show/id/1344789","http://ts.21cn.com/tousu/show/id/1344789")</f>
        <v>http://ts.21cn.com/tousu/show/id/1344789</v>
      </c>
      <c r="F13331" s="2" t="s">
        <v>11</v>
      </c>
      <c r="G13331" s="2" t="s">
        <v>17942</v>
      </c>
      <c r="H13331" s="2" t="s">
        <v>17943</v>
      </c>
    </row>
    <row r="13332" spans="1:8" ht="25.05" customHeight="1" x14ac:dyDescent="0.25">
      <c r="A13332" s="2" t="s">
        <v>8</v>
      </c>
      <c r="B13332" s="2" t="str">
        <f>HYPERLINK("http://ts.21cn.com/tousu/show/id/1344791","天天拍车不退还保证金")</f>
        <v>天天拍车不退还保证金</v>
      </c>
      <c r="C13332" s="2" t="s">
        <v>9</v>
      </c>
      <c r="D13332" s="2" t="s">
        <v>10</v>
      </c>
      <c r="E13332" s="2" t="str">
        <f>HYPERLINK("http://ts.21cn.com/tousu/show/id/1344791","http://ts.21cn.com/tousu/show/id/1344791")</f>
        <v>http://ts.21cn.com/tousu/show/id/1344791</v>
      </c>
      <c r="F13332" s="2" t="s">
        <v>11</v>
      </c>
      <c r="G13332" s="2" t="s">
        <v>17940</v>
      </c>
      <c r="H13332" s="2" t="s">
        <v>17941</v>
      </c>
    </row>
    <row r="13333" spans="1:8" ht="25.05" customHeight="1" x14ac:dyDescent="0.25">
      <c r="A13333" s="2" t="s">
        <v>8</v>
      </c>
      <c r="B13333" s="2" t="str">
        <f>HYPERLINK("http://ts.21cn.com/tousu/show/id/1344790","虚假承诺未处理案件")</f>
        <v>虚假承诺未处理案件</v>
      </c>
      <c r="C13333" s="2" t="s">
        <v>9</v>
      </c>
      <c r="D13333" s="2" t="s">
        <v>10</v>
      </c>
      <c r="E13333" s="2" t="str">
        <f>HYPERLINK("http://ts.21cn.com/tousu/show/id/1344790","http://ts.21cn.com/tousu/show/id/1344790")</f>
        <v>http://ts.21cn.com/tousu/show/id/1344790</v>
      </c>
      <c r="F13333" s="2" t="s">
        <v>11</v>
      </c>
      <c r="G13333" s="2" t="s">
        <v>17938</v>
      </c>
      <c r="H13333" s="2" t="s">
        <v>17939</v>
      </c>
    </row>
    <row r="13334" spans="1:8" ht="25.05" customHeight="1" x14ac:dyDescent="0.25">
      <c r="A13334" s="2" t="s">
        <v>8</v>
      </c>
      <c r="B13334" s="2" t="str">
        <f>HYPERLINK("http://ts.21cn.com/tousu/show/id/1344793","升学教育机构不退款")</f>
        <v>升学教育机构不退款</v>
      </c>
      <c r="C13334" s="2" t="s">
        <v>9</v>
      </c>
      <c r="D13334" s="2" t="s">
        <v>10</v>
      </c>
      <c r="E13334" s="2" t="str">
        <f>HYPERLINK("http://ts.21cn.com/tousu/show/id/1344793","http://ts.21cn.com/tousu/show/id/1344793")</f>
        <v>http://ts.21cn.com/tousu/show/id/1344793</v>
      </c>
      <c r="F13334" s="2" t="s">
        <v>11</v>
      </c>
      <c r="G13334" s="2" t="s">
        <v>17936</v>
      </c>
      <c r="H13334" s="2" t="s">
        <v>17937</v>
      </c>
    </row>
    <row r="13335" spans="1:8" ht="25.05" customHeight="1" x14ac:dyDescent="0.25">
      <c r="A13335" s="2" t="s">
        <v>8</v>
      </c>
      <c r="B13335" s="2" t="str">
        <f>HYPERLINK("http://ts.21cn.com/tousu/show/id/1344794","美团爆我两次通讯录")</f>
        <v>美团爆我两次通讯录</v>
      </c>
      <c r="C13335" s="2" t="s">
        <v>9</v>
      </c>
      <c r="D13335" s="2" t="s">
        <v>10</v>
      </c>
      <c r="E13335" s="2" t="str">
        <f>HYPERLINK("http://ts.21cn.com/tousu/show/id/1344794","http://ts.21cn.com/tousu/show/id/1344794")</f>
        <v>http://ts.21cn.com/tousu/show/id/1344794</v>
      </c>
      <c r="F13335" s="2" t="s">
        <v>11</v>
      </c>
      <c r="G13335" s="2" t="s">
        <v>17934</v>
      </c>
      <c r="H13335" s="2" t="s">
        <v>17935</v>
      </c>
    </row>
    <row r="13336" spans="1:8" ht="25.05" customHeight="1" x14ac:dyDescent="0.25">
      <c r="A13336" s="2" t="s">
        <v>8</v>
      </c>
      <c r="B13336" s="2" t="str">
        <f>HYPERLINK("http://ts.21cn.com/tousu/show/id/1344795","百万钱包协商还款")</f>
        <v>百万钱包协商还款</v>
      </c>
      <c r="C13336" s="2" t="s">
        <v>9</v>
      </c>
      <c r="D13336" s="2" t="s">
        <v>10</v>
      </c>
      <c r="E13336" s="2" t="str">
        <f>HYPERLINK("http://ts.21cn.com/tousu/show/id/1344795","http://ts.21cn.com/tousu/show/id/1344795")</f>
        <v>http://ts.21cn.com/tousu/show/id/1344795</v>
      </c>
      <c r="F13336" s="2" t="s">
        <v>11</v>
      </c>
      <c r="G13336" s="2" t="s">
        <v>17932</v>
      </c>
      <c r="H13336" s="2" t="s">
        <v>17933</v>
      </c>
    </row>
    <row r="13337" spans="1:8" ht="25.05" customHeight="1" x14ac:dyDescent="0.25">
      <c r="A13337" s="2" t="s">
        <v>8</v>
      </c>
      <c r="B13337" s="2" t="str">
        <f>HYPERLINK("http://ts.21cn.com/tousu/show/id/1344796","钱站利息过高，服务费不合理")</f>
        <v>钱站利息过高，服务费不合理</v>
      </c>
      <c r="C13337" s="2" t="s">
        <v>9</v>
      </c>
      <c r="D13337" s="2" t="s">
        <v>10</v>
      </c>
      <c r="E13337" s="2" t="str">
        <f>HYPERLINK("http://ts.21cn.com/tousu/show/id/1344796","http://ts.21cn.com/tousu/show/id/1344796")</f>
        <v>http://ts.21cn.com/tousu/show/id/1344796</v>
      </c>
      <c r="F13337" s="2" t="s">
        <v>11</v>
      </c>
      <c r="G13337" s="2" t="s">
        <v>17930</v>
      </c>
      <c r="H13337" s="2" t="s">
        <v>17931</v>
      </c>
    </row>
    <row r="13338" spans="1:8" ht="25.05" customHeight="1" x14ac:dyDescent="0.25">
      <c r="A13338" s="2" t="s">
        <v>8</v>
      </c>
      <c r="B13338" s="2" t="str">
        <f>HYPERLINK("http://ts.21cn.com/tousu/show/id/1344798","微信说我违规封了收款和红包")</f>
        <v>微信说我违规封了收款和红包</v>
      </c>
      <c r="C13338" s="2" t="s">
        <v>9</v>
      </c>
      <c r="D13338" s="2" t="s">
        <v>10</v>
      </c>
      <c r="E13338" s="2" t="str">
        <f>HYPERLINK("http://ts.21cn.com/tousu/show/id/1344798","http://ts.21cn.com/tousu/show/id/1344798")</f>
        <v>http://ts.21cn.com/tousu/show/id/1344798</v>
      </c>
      <c r="F13338" s="2" t="s">
        <v>11</v>
      </c>
      <c r="G13338" s="2" t="s">
        <v>17928</v>
      </c>
      <c r="H13338" s="2" t="s">
        <v>17929</v>
      </c>
    </row>
    <row r="13339" spans="1:8" ht="25.05" customHeight="1" x14ac:dyDescent="0.25">
      <c r="A13339" s="2" t="s">
        <v>8</v>
      </c>
      <c r="B13339" s="2" t="str">
        <f>HYPERLINK("http://ts.21cn.com/tousu/show/id/1344799","大白汽车拒绝赔偿由拖车导致的损坏和遗失")</f>
        <v>大白汽车拒绝赔偿由拖车导致的损坏和遗失</v>
      </c>
      <c r="C13339" s="2" t="s">
        <v>9</v>
      </c>
      <c r="D13339" s="2" t="s">
        <v>10</v>
      </c>
      <c r="E13339" s="2" t="str">
        <f>HYPERLINK("http://ts.21cn.com/tousu/show/id/1344799","http://ts.21cn.com/tousu/show/id/1344799")</f>
        <v>http://ts.21cn.com/tousu/show/id/1344799</v>
      </c>
      <c r="F13339" s="2" t="s">
        <v>11</v>
      </c>
      <c r="G13339" s="2" t="s">
        <v>17926</v>
      </c>
      <c r="H13339" s="2" t="s">
        <v>17927</v>
      </c>
    </row>
    <row r="13340" spans="1:8" ht="25.05" customHeight="1" x14ac:dyDescent="0.25">
      <c r="A13340" s="2" t="s">
        <v>8</v>
      </c>
      <c r="B13340" s="2" t="str">
        <f>HYPERLINK("http://ts.21cn.com/tousu/show/id/1344801","美利车、力蕴汽车套路贷")</f>
        <v>美利车、力蕴汽车套路贷</v>
      </c>
      <c r="C13340" s="2" t="s">
        <v>9</v>
      </c>
      <c r="D13340" s="2" t="s">
        <v>10</v>
      </c>
      <c r="E13340" s="2" t="str">
        <f>HYPERLINK("http://ts.21cn.com/tousu/show/id/1344801","http://ts.21cn.com/tousu/show/id/1344801")</f>
        <v>http://ts.21cn.com/tousu/show/id/1344801</v>
      </c>
      <c r="F13340" s="2" t="s">
        <v>11</v>
      </c>
      <c r="G13340" s="2" t="s">
        <v>17924</v>
      </c>
      <c r="H13340" s="2" t="s">
        <v>17925</v>
      </c>
    </row>
    <row r="13341" spans="1:8" ht="25.05" customHeight="1" x14ac:dyDescent="0.25">
      <c r="A13341" s="2" t="s">
        <v>8</v>
      </c>
      <c r="B13341" s="2" t="str">
        <f>HYPERLINK("http://ts.21cn.com/tousu/show/id/1344803","安亿花平台存在欺诈客户行为")</f>
        <v>安亿花平台存在欺诈客户行为</v>
      </c>
      <c r="C13341" s="2" t="s">
        <v>9</v>
      </c>
      <c r="D13341" s="2" t="s">
        <v>10</v>
      </c>
      <c r="E13341" s="2" t="str">
        <f>HYPERLINK("http://ts.21cn.com/tousu/show/id/1344803","http://ts.21cn.com/tousu/show/id/1344803")</f>
        <v>http://ts.21cn.com/tousu/show/id/1344803</v>
      </c>
      <c r="F13341" s="2" t="s">
        <v>11</v>
      </c>
      <c r="G13341" s="2" t="s">
        <v>17921</v>
      </c>
      <c r="H13341" s="2" t="s">
        <v>17922</v>
      </c>
    </row>
    <row r="13342" spans="1:8" ht="25.05" customHeight="1" x14ac:dyDescent="0.25">
      <c r="A13342" s="2" t="s">
        <v>8</v>
      </c>
      <c r="B13342" s="2" t="str">
        <f>HYPERLINK("http://ts.21cn.com/tousu/show/id/1344802","卡卡贷不接纳调解协商问题")</f>
        <v>卡卡贷不接纳调解协商问题</v>
      </c>
      <c r="C13342" s="2" t="s">
        <v>34</v>
      </c>
      <c r="D13342" s="2" t="s">
        <v>10</v>
      </c>
      <c r="E13342" s="2" t="str">
        <f>HYPERLINK("http://ts.21cn.com/tousu/show/id/1344802","http://ts.21cn.com/tousu/show/id/1344802")</f>
        <v>http://ts.21cn.com/tousu/show/id/1344802</v>
      </c>
      <c r="F13342" s="2" t="s">
        <v>11</v>
      </c>
      <c r="G13342" s="2" t="s">
        <v>17921</v>
      </c>
      <c r="H13342" s="2" t="s">
        <v>17923</v>
      </c>
    </row>
    <row r="13343" spans="1:8" ht="25.05" customHeight="1" x14ac:dyDescent="0.25">
      <c r="A13343" s="2" t="s">
        <v>8</v>
      </c>
      <c r="B13343" s="2" t="str">
        <f>HYPERLINK("http://ts.21cn.com/tousu/show/id/1344806","玖富支付了保费至今未退回")</f>
        <v>玖富支付了保费至今未退回</v>
      </c>
      <c r="C13343" s="2" t="s">
        <v>9</v>
      </c>
      <c r="D13343" s="2" t="s">
        <v>10</v>
      </c>
      <c r="E13343" s="2" t="str">
        <f>HYPERLINK("http://ts.21cn.com/tousu/show/id/1344806","http://ts.21cn.com/tousu/show/id/1344806")</f>
        <v>http://ts.21cn.com/tousu/show/id/1344806</v>
      </c>
      <c r="F13343" s="2" t="s">
        <v>11</v>
      </c>
      <c r="G13343" s="2" t="s">
        <v>17919</v>
      </c>
      <c r="H13343" s="2" t="s">
        <v>17920</v>
      </c>
    </row>
    <row r="13344" spans="1:8" ht="25.05" customHeight="1" x14ac:dyDescent="0.25">
      <c r="A13344" s="2" t="s">
        <v>8</v>
      </c>
      <c r="B13344" s="2" t="str">
        <f>HYPERLINK("http://ts.21cn.com/tousu/show/id/1344807","聚富分期恶意扣费")</f>
        <v>聚富分期恶意扣费</v>
      </c>
      <c r="C13344" s="2" t="s">
        <v>9</v>
      </c>
      <c r="D13344" s="2" t="s">
        <v>10</v>
      </c>
      <c r="E13344" s="2" t="str">
        <f>HYPERLINK("http://ts.21cn.com/tousu/show/id/1344807","http://ts.21cn.com/tousu/show/id/1344807")</f>
        <v>http://ts.21cn.com/tousu/show/id/1344807</v>
      </c>
      <c r="F13344" s="2" t="s">
        <v>11</v>
      </c>
      <c r="G13344" s="2" t="s">
        <v>17916</v>
      </c>
      <c r="H13344" s="2" t="s">
        <v>17917</v>
      </c>
    </row>
    <row r="13345" spans="1:8" ht="25.05" customHeight="1" x14ac:dyDescent="0.25">
      <c r="A13345" s="2" t="s">
        <v>8</v>
      </c>
      <c r="B13345" s="2" t="str">
        <f>HYPERLINK("http://ts.21cn.com/tousu/show/id/1344809","要求商家退款")</f>
        <v>要求商家退款</v>
      </c>
      <c r="C13345" s="2" t="s">
        <v>9</v>
      </c>
      <c r="D13345" s="2" t="s">
        <v>10</v>
      </c>
      <c r="E13345" s="2" t="str">
        <f>HYPERLINK("http://ts.21cn.com/tousu/show/id/1344809","http://ts.21cn.com/tousu/show/id/1344809")</f>
        <v>http://ts.21cn.com/tousu/show/id/1344809</v>
      </c>
      <c r="F13345" s="2" t="s">
        <v>11</v>
      </c>
      <c r="G13345" s="2" t="s">
        <v>17916</v>
      </c>
      <c r="H13345" s="2" t="s">
        <v>17918</v>
      </c>
    </row>
    <row r="13346" spans="1:8" ht="25.05" customHeight="1" x14ac:dyDescent="0.25">
      <c r="A13346" s="2" t="s">
        <v>8</v>
      </c>
      <c r="B13346" s="2" t="str">
        <f>HYPERLINK("http://ts.21cn.com/tousu/show/id/1344808","小浦优客违规扣款")</f>
        <v>小浦优客违规扣款</v>
      </c>
      <c r="C13346" s="2" t="s">
        <v>9</v>
      </c>
      <c r="D13346" s="2" t="s">
        <v>10</v>
      </c>
      <c r="E13346" s="2" t="str">
        <f>HYPERLINK("http://ts.21cn.com/tousu/show/id/1344808","http://ts.21cn.com/tousu/show/id/1344808")</f>
        <v>http://ts.21cn.com/tousu/show/id/1344808</v>
      </c>
      <c r="F13346" s="2" t="s">
        <v>11</v>
      </c>
      <c r="G13346" s="2" t="s">
        <v>17914</v>
      </c>
      <c r="H13346" s="2" t="s">
        <v>17915</v>
      </c>
    </row>
    <row r="13347" spans="1:8" ht="25.05" customHeight="1" x14ac:dyDescent="0.25">
      <c r="A13347" s="2" t="s">
        <v>8</v>
      </c>
      <c r="B13347" s="2" t="str">
        <f>HYPERLINK("http://ts.21cn.com/tousu/show/id/1344811","中原消费金融恐吓催收")</f>
        <v>中原消费金融恐吓催收</v>
      </c>
      <c r="C13347" s="2" t="s">
        <v>9</v>
      </c>
      <c r="D13347" s="2" t="s">
        <v>10</v>
      </c>
      <c r="E13347" s="2" t="str">
        <f>HYPERLINK("http://ts.21cn.com/tousu/show/id/1344811","http://ts.21cn.com/tousu/show/id/1344811")</f>
        <v>http://ts.21cn.com/tousu/show/id/1344811</v>
      </c>
      <c r="F13347" s="2" t="s">
        <v>11</v>
      </c>
      <c r="G13347" s="2" t="s">
        <v>17912</v>
      </c>
      <c r="H13347" s="2" t="s">
        <v>17913</v>
      </c>
    </row>
    <row r="13348" spans="1:8" ht="25.05" customHeight="1" x14ac:dyDescent="0.25">
      <c r="A13348" s="2" t="s">
        <v>8</v>
      </c>
      <c r="B13348" s="2" t="str">
        <f>HYPERLINK("http://ts.21cn.com/tousu/show/id/1344810","骚扰三方家人")</f>
        <v>骚扰三方家人</v>
      </c>
      <c r="C13348" s="2" t="s">
        <v>9</v>
      </c>
      <c r="D13348" s="2" t="s">
        <v>10</v>
      </c>
      <c r="E13348" s="2" t="str">
        <f>HYPERLINK("http://ts.21cn.com/tousu/show/id/1344810","http://ts.21cn.com/tousu/show/id/1344810")</f>
        <v>http://ts.21cn.com/tousu/show/id/1344810</v>
      </c>
      <c r="F13348" s="2" t="s">
        <v>11</v>
      </c>
      <c r="G13348" s="2" t="s">
        <v>17910</v>
      </c>
      <c r="H13348" s="2" t="s">
        <v>17911</v>
      </c>
    </row>
    <row r="13349" spans="1:8" ht="25.05" customHeight="1" x14ac:dyDescent="0.25">
      <c r="A13349" s="2" t="s">
        <v>8</v>
      </c>
      <c r="B13349" s="2" t="str">
        <f>HYPERLINK("http://ts.21cn.com/tousu/show/id/1344813","恒富创融科技旗下钱橙无忧app连续两次扣款168，128，共296元")</f>
        <v>恒富创融科技旗下钱橙无忧app连续两次扣款168，128，共296元</v>
      </c>
      <c r="C13349" s="2" t="s">
        <v>9</v>
      </c>
      <c r="D13349" s="2" t="s">
        <v>10</v>
      </c>
      <c r="E13349" s="2" t="str">
        <f>HYPERLINK("http://ts.21cn.com/tousu/show/id/1344813","http://ts.21cn.com/tousu/show/id/1344813")</f>
        <v>http://ts.21cn.com/tousu/show/id/1344813</v>
      </c>
      <c r="F13349" s="2" t="s">
        <v>11</v>
      </c>
      <c r="G13349" s="2" t="s">
        <v>17908</v>
      </c>
      <c r="H13349" s="2" t="s">
        <v>17909</v>
      </c>
    </row>
    <row r="13350" spans="1:8" ht="25.05" customHeight="1" x14ac:dyDescent="0.25">
      <c r="A13350" s="2" t="s">
        <v>8</v>
      </c>
      <c r="B13350" s="2" t="str">
        <f>HYPERLINK("http://ts.21cn.com/tousu/show/id/1344814","比高利贷还黑的网贷,节7000还11760")</f>
        <v>比高利贷还黑的网贷,节7000还11760</v>
      </c>
      <c r="C13350" s="2" t="s">
        <v>9</v>
      </c>
      <c r="D13350" s="2" t="s">
        <v>10</v>
      </c>
      <c r="E13350" s="2" t="str">
        <f>HYPERLINK("http://ts.21cn.com/tousu/show/id/1344814","http://ts.21cn.com/tousu/show/id/1344814")</f>
        <v>http://ts.21cn.com/tousu/show/id/1344814</v>
      </c>
      <c r="F13350" s="2" t="s">
        <v>11</v>
      </c>
      <c r="G13350" s="2" t="s">
        <v>17906</v>
      </c>
      <c r="H13350" s="2" t="s">
        <v>17907</v>
      </c>
    </row>
    <row r="13351" spans="1:8" ht="25.05" customHeight="1" x14ac:dyDescent="0.25">
      <c r="A13351" s="2" t="s">
        <v>8</v>
      </c>
      <c r="B13351" s="2" t="str">
        <f>HYPERLINK("http://ts.21cn.com/tousu/show/id/1344816","为什么关闭我的花呗额度")</f>
        <v>为什么关闭我的花呗额度</v>
      </c>
      <c r="C13351" s="2" t="s">
        <v>9</v>
      </c>
      <c r="D13351" s="2" t="s">
        <v>10</v>
      </c>
      <c r="E13351" s="2" t="str">
        <f>HYPERLINK("http://ts.21cn.com/tousu/show/id/1344816","http://ts.21cn.com/tousu/show/id/1344816")</f>
        <v>http://ts.21cn.com/tousu/show/id/1344816</v>
      </c>
      <c r="F13351" s="2" t="s">
        <v>11</v>
      </c>
      <c r="G13351" s="2" t="s">
        <v>17904</v>
      </c>
      <c r="H13351" s="2" t="s">
        <v>17905</v>
      </c>
    </row>
    <row r="13352" spans="1:8" ht="25.05" customHeight="1" x14ac:dyDescent="0.25">
      <c r="A13352" s="2" t="s">
        <v>8</v>
      </c>
      <c r="B13352" s="2" t="str">
        <f>HYPERLINK("http://ts.21cn.com/tousu/show/id/1344817","信而富退虚假购物费用迟迟不到账")</f>
        <v>信而富退虚假购物费用迟迟不到账</v>
      </c>
      <c r="C13352" s="2" t="s">
        <v>9</v>
      </c>
      <c r="D13352" s="2" t="s">
        <v>10</v>
      </c>
      <c r="E13352" s="2" t="str">
        <f>HYPERLINK("http://ts.21cn.com/tousu/show/id/1344817","http://ts.21cn.com/tousu/show/id/1344817")</f>
        <v>http://ts.21cn.com/tousu/show/id/1344817</v>
      </c>
      <c r="F13352" s="2" t="s">
        <v>11</v>
      </c>
      <c r="G13352" s="2" t="s">
        <v>17902</v>
      </c>
      <c r="H13352" s="2" t="s">
        <v>17903</v>
      </c>
    </row>
    <row r="13353" spans="1:8" ht="25.05" customHeight="1" x14ac:dyDescent="0.25">
      <c r="A13353" s="2" t="s">
        <v>8</v>
      </c>
      <c r="B13353" s="2" t="str">
        <f>HYPERLINK("http://ts.21cn.com/tousu/show/id/1344819","及贷严重扰民！！！")</f>
        <v>及贷严重扰民！！！</v>
      </c>
      <c r="C13353" s="2" t="s">
        <v>9</v>
      </c>
      <c r="D13353" s="2" t="s">
        <v>10</v>
      </c>
      <c r="E13353" s="2" t="str">
        <f>HYPERLINK("http://ts.21cn.com/tousu/show/id/1344819","http://ts.21cn.com/tousu/show/id/1344819")</f>
        <v>http://ts.21cn.com/tousu/show/id/1344819</v>
      </c>
      <c r="F13353" s="2" t="s">
        <v>11</v>
      </c>
      <c r="G13353" s="2" t="s">
        <v>17900</v>
      </c>
      <c r="H13353" s="2" t="s">
        <v>17901</v>
      </c>
    </row>
    <row r="13354" spans="1:8" ht="25.05" customHeight="1" x14ac:dyDescent="0.25">
      <c r="A13354" s="2" t="s">
        <v>8</v>
      </c>
      <c r="B13354" s="2" t="str">
        <f>HYPERLINK("http://ts.21cn.com/tousu/show/id/1344820","淘宝商家不给退货地址问题")</f>
        <v>淘宝商家不给退货地址问题</v>
      </c>
      <c r="C13354" s="2" t="s">
        <v>9</v>
      </c>
      <c r="D13354" s="2" t="s">
        <v>10</v>
      </c>
      <c r="E13354" s="2" t="str">
        <f>HYPERLINK("http://ts.21cn.com/tousu/show/id/1344820","http://ts.21cn.com/tousu/show/id/1344820")</f>
        <v>http://ts.21cn.com/tousu/show/id/1344820</v>
      </c>
      <c r="F13354" s="2" t="s">
        <v>11</v>
      </c>
      <c r="G13354" s="2" t="s">
        <v>17898</v>
      </c>
      <c r="H13354" s="2" t="s">
        <v>17899</v>
      </c>
    </row>
    <row r="13355" spans="1:8" ht="25.05" customHeight="1" x14ac:dyDescent="0.25">
      <c r="A13355" s="2" t="s">
        <v>8</v>
      </c>
      <c r="B13355" s="2" t="str">
        <f>HYPERLINK("http://ts.21cn.com/tousu/show/id/1344821","滴滴公司派单不公")</f>
        <v>滴滴公司派单不公</v>
      </c>
      <c r="C13355" s="2" t="s">
        <v>9</v>
      </c>
      <c r="D13355" s="2" t="s">
        <v>10</v>
      </c>
      <c r="E13355" s="2" t="str">
        <f>HYPERLINK("http://ts.21cn.com/tousu/show/id/1344821","http://ts.21cn.com/tousu/show/id/1344821")</f>
        <v>http://ts.21cn.com/tousu/show/id/1344821</v>
      </c>
      <c r="F13355" s="2" t="s">
        <v>11</v>
      </c>
      <c r="G13355" s="2" t="s">
        <v>17896</v>
      </c>
      <c r="H13355" s="2" t="s">
        <v>17897</v>
      </c>
    </row>
    <row r="13356" spans="1:8" ht="25.05" customHeight="1" x14ac:dyDescent="0.25">
      <c r="A13356" s="2" t="s">
        <v>8</v>
      </c>
      <c r="B13356" s="2" t="str">
        <f>HYPERLINK("http://ts.21cn.com/tousu/show/id/1344822","提前结清收取高额额外费用，与所有期限的息费相当")</f>
        <v>提前结清收取高额额外费用，与所有期限的息费相当</v>
      </c>
      <c r="C13356" s="2" t="s">
        <v>34</v>
      </c>
      <c r="D13356" s="2" t="s">
        <v>10</v>
      </c>
      <c r="E13356" s="2" t="str">
        <f>HYPERLINK("http://ts.21cn.com/tousu/show/id/1344822","http://ts.21cn.com/tousu/show/id/1344822")</f>
        <v>http://ts.21cn.com/tousu/show/id/1344822</v>
      </c>
      <c r="F13356" s="2" t="s">
        <v>11</v>
      </c>
      <c r="G13356" s="2" t="s">
        <v>17894</v>
      </c>
      <c r="H13356" s="2" t="s">
        <v>17895</v>
      </c>
    </row>
    <row r="13357" spans="1:8" ht="25.05" customHeight="1" x14ac:dyDescent="0.25">
      <c r="A13357" s="2" t="s">
        <v>8</v>
      </c>
      <c r="B13357" s="2" t="str">
        <f>HYPERLINK("http://ts.21cn.com/tousu/show/id/1344823","凡普金科旗下钱站app暴力催收")</f>
        <v>凡普金科旗下钱站app暴力催收</v>
      </c>
      <c r="C13357" s="2" t="s">
        <v>9</v>
      </c>
      <c r="D13357" s="2" t="s">
        <v>10</v>
      </c>
      <c r="E13357" s="2" t="str">
        <f>HYPERLINK("http://ts.21cn.com/tousu/show/id/1344823","http://ts.21cn.com/tousu/show/id/1344823")</f>
        <v>http://ts.21cn.com/tousu/show/id/1344823</v>
      </c>
      <c r="F13357" s="2" t="s">
        <v>11</v>
      </c>
      <c r="G13357" s="2" t="s">
        <v>17892</v>
      </c>
      <c r="H13357" s="2" t="s">
        <v>17893</v>
      </c>
    </row>
    <row r="13358" spans="1:8" ht="25.05" customHeight="1" x14ac:dyDescent="0.25">
      <c r="A13358" s="2" t="s">
        <v>8</v>
      </c>
      <c r="B13358" s="2" t="str">
        <f>HYPERLINK("http://ts.21cn.com/tousu/show/id/1344824","名校贷咨询费不退还")</f>
        <v>名校贷咨询费不退还</v>
      </c>
      <c r="C13358" s="2" t="s">
        <v>9</v>
      </c>
      <c r="D13358" s="2" t="s">
        <v>10</v>
      </c>
      <c r="E13358" s="2" t="str">
        <f>HYPERLINK("http://ts.21cn.com/tousu/show/id/1344824","http://ts.21cn.com/tousu/show/id/1344824")</f>
        <v>http://ts.21cn.com/tousu/show/id/1344824</v>
      </c>
      <c r="F13358" s="2" t="s">
        <v>11</v>
      </c>
      <c r="G13358" s="2" t="s">
        <v>17890</v>
      </c>
      <c r="H13358" s="2" t="s">
        <v>17891</v>
      </c>
    </row>
    <row r="13359" spans="1:8" ht="25.05" customHeight="1" x14ac:dyDescent="0.25">
      <c r="A13359" s="2" t="s">
        <v>8</v>
      </c>
      <c r="B13359" s="2" t="str">
        <f>HYPERLINK("http://ts.21cn.com/tousu/show/id/1344825","玖富万卡收取高额的保费跟服务费")</f>
        <v>玖富万卡收取高额的保费跟服务费</v>
      </c>
      <c r="C13359" s="2" t="s">
        <v>9</v>
      </c>
      <c r="D13359" s="2" t="s">
        <v>10</v>
      </c>
      <c r="E13359" s="2" t="str">
        <f>HYPERLINK("http://ts.21cn.com/tousu/show/id/1344825","http://ts.21cn.com/tousu/show/id/1344825")</f>
        <v>http://ts.21cn.com/tousu/show/id/1344825</v>
      </c>
      <c r="F13359" s="2" t="s">
        <v>11</v>
      </c>
      <c r="G13359" s="2" t="s">
        <v>17888</v>
      </c>
      <c r="H13359" s="2" t="s">
        <v>17889</v>
      </c>
    </row>
    <row r="13360" spans="1:8" ht="25.05" customHeight="1" x14ac:dyDescent="0.25">
      <c r="A13360" s="2" t="s">
        <v>8</v>
      </c>
      <c r="B13360" s="2" t="str">
        <f>HYPERLINK("http://ts.21cn.com/tousu/show/id/1344827","信用卡逾期金额")</f>
        <v>信用卡逾期金额</v>
      </c>
      <c r="C13360" s="2" t="s">
        <v>9</v>
      </c>
      <c r="D13360" s="2" t="s">
        <v>10</v>
      </c>
      <c r="E13360" s="2" t="str">
        <f>HYPERLINK("http://ts.21cn.com/tousu/show/id/1344827","http://ts.21cn.com/tousu/show/id/1344827")</f>
        <v>http://ts.21cn.com/tousu/show/id/1344827</v>
      </c>
      <c r="F13360" s="2" t="s">
        <v>11</v>
      </c>
      <c r="G13360" s="2" t="s">
        <v>17886</v>
      </c>
      <c r="H13360" s="2" t="s">
        <v>17887</v>
      </c>
    </row>
    <row r="13361" spans="1:8" ht="25.05" customHeight="1" x14ac:dyDescent="0.25">
      <c r="A13361" s="2" t="s">
        <v>8</v>
      </c>
      <c r="B13361" s="2" t="str">
        <f>HYPERLINK("http://ts.21cn.com/tousu/show/id/1344828","拼多多商户涉嫌为博彩黑平台收款")</f>
        <v>拼多多商户涉嫌为博彩黑平台收款</v>
      </c>
      <c r="C13361" s="2" t="s">
        <v>9</v>
      </c>
      <c r="D13361" s="2" t="s">
        <v>10</v>
      </c>
      <c r="E13361" s="2" t="str">
        <f>HYPERLINK("http://ts.21cn.com/tousu/show/id/1344828","http://ts.21cn.com/tousu/show/id/1344828")</f>
        <v>http://ts.21cn.com/tousu/show/id/1344828</v>
      </c>
      <c r="F13361" s="2" t="s">
        <v>11</v>
      </c>
      <c r="G13361" s="2" t="s">
        <v>17884</v>
      </c>
      <c r="H13361" s="2" t="s">
        <v>17885</v>
      </c>
    </row>
    <row r="13362" spans="1:8" ht="25.05" customHeight="1" x14ac:dyDescent="0.25">
      <c r="A13362" s="2" t="s">
        <v>8</v>
      </c>
      <c r="B13362" s="2" t="str">
        <f>HYPERLINK("http://ts.21cn.com/tousu/show/id/1344829","平安保险私自搭售网贷强制付保险费，要求退回高额保险费用")</f>
        <v>平安保险私自搭售网贷强制付保险费，要求退回高额保险费用</v>
      </c>
      <c r="C13362" s="2" t="s">
        <v>9</v>
      </c>
      <c r="D13362" s="2" t="s">
        <v>10</v>
      </c>
      <c r="E13362" s="2" t="str">
        <f>HYPERLINK("http://ts.21cn.com/tousu/show/id/1344829","http://ts.21cn.com/tousu/show/id/1344829")</f>
        <v>http://ts.21cn.com/tousu/show/id/1344829</v>
      </c>
      <c r="F13362" s="2" t="s">
        <v>11</v>
      </c>
      <c r="G13362" s="2" t="s">
        <v>17882</v>
      </c>
      <c r="H13362" s="2" t="s">
        <v>17883</v>
      </c>
    </row>
    <row r="13363" spans="1:8" ht="25.05" customHeight="1" x14ac:dyDescent="0.25">
      <c r="A13363" s="2" t="s">
        <v>8</v>
      </c>
      <c r="B13363" s="2" t="str">
        <f>HYPERLINK("http://ts.21cn.com/tousu/show/id/1344830","叮当想花")</f>
        <v>叮当想花</v>
      </c>
      <c r="C13363" s="2" t="s">
        <v>9</v>
      </c>
      <c r="D13363" s="2" t="s">
        <v>10</v>
      </c>
      <c r="E13363" s="2" t="str">
        <f>HYPERLINK("http://ts.21cn.com/tousu/show/id/1344830","http://ts.21cn.com/tousu/show/id/1344830")</f>
        <v>http://ts.21cn.com/tousu/show/id/1344830</v>
      </c>
      <c r="F13363" s="2" t="s">
        <v>11</v>
      </c>
      <c r="G13363" s="2" t="s">
        <v>17880</v>
      </c>
      <c r="H13363" s="2" t="s">
        <v>17881</v>
      </c>
    </row>
    <row r="13364" spans="1:8" ht="25.05" customHeight="1" x14ac:dyDescent="0.25">
      <c r="A13364" s="2" t="s">
        <v>8</v>
      </c>
      <c r="B13364" s="2" t="str">
        <f>HYPERLINK("http://ts.21cn.com/tousu/show/id/1344831","希望中信和我联系协商还款本金")</f>
        <v>希望中信和我联系协商还款本金</v>
      </c>
      <c r="C13364" s="2" t="s">
        <v>9</v>
      </c>
      <c r="D13364" s="2" t="s">
        <v>10</v>
      </c>
      <c r="E13364" s="2" t="str">
        <f>HYPERLINK("http://ts.21cn.com/tousu/show/id/1344831","http://ts.21cn.com/tousu/show/id/1344831")</f>
        <v>http://ts.21cn.com/tousu/show/id/1344831</v>
      </c>
      <c r="F13364" s="2" t="s">
        <v>11</v>
      </c>
      <c r="G13364" s="2" t="s">
        <v>17878</v>
      </c>
      <c r="H13364" s="2" t="s">
        <v>17879</v>
      </c>
    </row>
    <row r="13365" spans="1:8" ht="25.05" customHeight="1" x14ac:dyDescent="0.25">
      <c r="A13365" s="2" t="s">
        <v>8</v>
      </c>
      <c r="B13365" s="2" t="str">
        <f>HYPERLINK("http://ts.21cn.com/tousu/show/id/1344834","东方航空乘客因病做手术申请机票病退，东航以住院证明不是住院当天开具为由拒绝退款，其他资料齐全，完全能反应住院情况")</f>
        <v>东方航空乘客因病做手术申请机票病退，东航以住院证明不是住院当天开具为由拒绝退款，其他资料齐全，完全能反应住院情况</v>
      </c>
      <c r="C13365" s="2" t="s">
        <v>9</v>
      </c>
      <c r="D13365" s="2" t="s">
        <v>10</v>
      </c>
      <c r="E13365" s="2" t="str">
        <f>HYPERLINK("http://ts.21cn.com/tousu/show/id/1344834","http://ts.21cn.com/tousu/show/id/1344834")</f>
        <v>http://ts.21cn.com/tousu/show/id/1344834</v>
      </c>
      <c r="F13365" s="2" t="s">
        <v>11</v>
      </c>
      <c r="G13365" s="2" t="s">
        <v>17876</v>
      </c>
      <c r="H13365" s="2" t="s">
        <v>17877</v>
      </c>
    </row>
    <row r="13366" spans="1:8" ht="25.05" customHeight="1" x14ac:dyDescent="0.25">
      <c r="A13366" s="2" t="s">
        <v>8</v>
      </c>
      <c r="B13366" s="2" t="str">
        <f>HYPERLINK("http://ts.21cn.com/tousu/show/id/1344832","恐吓，威胁，爆通讯")</f>
        <v>恐吓，威胁，爆通讯</v>
      </c>
      <c r="C13366" s="2" t="s">
        <v>9</v>
      </c>
      <c r="D13366" s="2" t="s">
        <v>10</v>
      </c>
      <c r="E13366" s="2" t="str">
        <f>HYPERLINK("http://ts.21cn.com/tousu/show/id/1344832","http://ts.21cn.com/tousu/show/id/1344832")</f>
        <v>http://ts.21cn.com/tousu/show/id/1344832</v>
      </c>
      <c r="F13366" s="2" t="s">
        <v>11</v>
      </c>
      <c r="G13366" s="2" t="s">
        <v>17874</v>
      </c>
      <c r="H13366" s="2" t="s">
        <v>17875</v>
      </c>
    </row>
    <row r="13367" spans="1:8" ht="25.05" customHeight="1" x14ac:dyDescent="0.25">
      <c r="A13367" s="2" t="s">
        <v>8</v>
      </c>
      <c r="B13367" s="2" t="str">
        <f>HYPERLINK("http://ts.21cn.com/tousu/show/id/1344833","停止骚扰")</f>
        <v>停止骚扰</v>
      </c>
      <c r="C13367" s="2" t="s">
        <v>34</v>
      </c>
      <c r="D13367" s="2" t="s">
        <v>10</v>
      </c>
      <c r="E13367" s="2" t="str">
        <f>HYPERLINK("http://ts.21cn.com/tousu/show/id/1344833","http://ts.21cn.com/tousu/show/id/1344833")</f>
        <v>http://ts.21cn.com/tousu/show/id/1344833</v>
      </c>
      <c r="F13367" s="2" t="s">
        <v>11</v>
      </c>
      <c r="G13367" s="2" t="s">
        <v>17872</v>
      </c>
      <c r="H13367" s="2" t="s">
        <v>17873</v>
      </c>
    </row>
    <row r="13368" spans="1:8" ht="25.05" customHeight="1" x14ac:dyDescent="0.25">
      <c r="A13368" s="2" t="s">
        <v>8</v>
      </c>
      <c r="B13368" s="2" t="str">
        <f>HYPERLINK("http://ts.21cn.com/tousu/show/id/1344835","快意花骚扰我公司工作人员")</f>
        <v>快意花骚扰我公司工作人员</v>
      </c>
      <c r="C13368" s="2" t="s">
        <v>9</v>
      </c>
      <c r="D13368" s="2" t="s">
        <v>10</v>
      </c>
      <c r="E13368" s="2" t="str">
        <f>HYPERLINK("http://ts.21cn.com/tousu/show/id/1344835","http://ts.21cn.com/tousu/show/id/1344835")</f>
        <v>http://ts.21cn.com/tousu/show/id/1344835</v>
      </c>
      <c r="F13368" s="2" t="s">
        <v>11</v>
      </c>
      <c r="G13368" s="2" t="s">
        <v>17870</v>
      </c>
      <c r="H13368" s="2" t="s">
        <v>17871</v>
      </c>
    </row>
    <row r="13369" spans="1:8" ht="25.05" customHeight="1" x14ac:dyDescent="0.25">
      <c r="A13369" s="2" t="s">
        <v>8</v>
      </c>
      <c r="B13369" s="2" t="str">
        <f>HYPERLINK("http://ts.21cn.com/tousu/show/id/1344836","骚扰信息")</f>
        <v>骚扰信息</v>
      </c>
      <c r="C13369" s="2" t="s">
        <v>9</v>
      </c>
      <c r="D13369" s="2" t="s">
        <v>10</v>
      </c>
      <c r="E13369" s="2" t="str">
        <f>HYPERLINK("http://ts.21cn.com/tousu/show/id/1344836","http://ts.21cn.com/tousu/show/id/1344836")</f>
        <v>http://ts.21cn.com/tousu/show/id/1344836</v>
      </c>
      <c r="F13369" s="2" t="s">
        <v>11</v>
      </c>
      <c r="G13369" s="2" t="s">
        <v>17868</v>
      </c>
      <c r="H13369" s="2" t="s">
        <v>17869</v>
      </c>
    </row>
    <row r="13370" spans="1:8" ht="25.05" customHeight="1" x14ac:dyDescent="0.25">
      <c r="A13370" s="2" t="s">
        <v>8</v>
      </c>
      <c r="B13370" s="2" t="str">
        <f>HYPERLINK("http://ts.21cn.com/tousu/show/id/1344838","信而富暴力催收")</f>
        <v>信而富暴力催收</v>
      </c>
      <c r="C13370" s="2" t="s">
        <v>9</v>
      </c>
      <c r="D13370" s="2" t="s">
        <v>10</v>
      </c>
      <c r="E13370" s="2" t="str">
        <f>HYPERLINK("http://ts.21cn.com/tousu/show/id/1344838","http://ts.21cn.com/tousu/show/id/1344838")</f>
        <v>http://ts.21cn.com/tousu/show/id/1344838</v>
      </c>
      <c r="F13370" s="2" t="s">
        <v>11</v>
      </c>
      <c r="G13370" s="2" t="s">
        <v>17866</v>
      </c>
      <c r="H13370" s="2" t="s">
        <v>17867</v>
      </c>
    </row>
    <row r="13371" spans="1:8" ht="25.05" customHeight="1" x14ac:dyDescent="0.25">
      <c r="A13371" s="2" t="s">
        <v>8</v>
      </c>
      <c r="B13371" s="2" t="str">
        <f>HYPERLINK("http://ts.21cn.com/tousu/show/id/1344837","立刻出行押金无法退还，客服电话长响，无法联系。")</f>
        <v>立刻出行押金无法退还，客服电话长响，无法联系。</v>
      </c>
      <c r="C13371" s="2" t="s">
        <v>9</v>
      </c>
      <c r="D13371" s="2" t="s">
        <v>10</v>
      </c>
      <c r="E13371" s="2" t="str">
        <f>HYPERLINK("http://ts.21cn.com/tousu/show/id/1344837","http://ts.21cn.com/tousu/show/id/1344837")</f>
        <v>http://ts.21cn.com/tousu/show/id/1344837</v>
      </c>
      <c r="F13371" s="2" t="s">
        <v>11</v>
      </c>
      <c r="G13371" s="2" t="s">
        <v>17864</v>
      </c>
      <c r="H13371" s="2" t="s">
        <v>17865</v>
      </c>
    </row>
    <row r="13372" spans="1:8" ht="25.05" customHeight="1" x14ac:dyDescent="0.25">
      <c r="A13372" s="2" t="s">
        <v>8</v>
      </c>
      <c r="B13372" s="2" t="str">
        <f>HYPERLINK("http://ts.21cn.com/tousu/show/id/1344840","富友支付与套路贷合作")</f>
        <v>富友支付与套路贷合作</v>
      </c>
      <c r="C13372" s="2" t="s">
        <v>9</v>
      </c>
      <c r="D13372" s="2" t="s">
        <v>10</v>
      </c>
      <c r="E13372" s="2" t="str">
        <f>HYPERLINK("http://ts.21cn.com/tousu/show/id/1344840","http://ts.21cn.com/tousu/show/id/1344840")</f>
        <v>http://ts.21cn.com/tousu/show/id/1344840</v>
      </c>
      <c r="F13372" s="2" t="s">
        <v>11</v>
      </c>
      <c r="G13372" s="2" t="s">
        <v>17862</v>
      </c>
      <c r="H13372" s="2" t="s">
        <v>17863</v>
      </c>
    </row>
    <row r="13373" spans="1:8" ht="25.05" customHeight="1" x14ac:dyDescent="0.25">
      <c r="A13373" s="2" t="s">
        <v>8</v>
      </c>
      <c r="B13373" s="2" t="str">
        <f>HYPERLINK("http://ts.21cn.com/tousu/show/id/1344842","自由摩卡六便士高利贷暴力催收")</f>
        <v>自由摩卡六便士高利贷暴力催收</v>
      </c>
      <c r="C13373" s="2" t="s">
        <v>9</v>
      </c>
      <c r="D13373" s="2" t="s">
        <v>10</v>
      </c>
      <c r="E13373" s="2" t="str">
        <f>HYPERLINK("http://ts.21cn.com/tousu/show/id/1344842","http://ts.21cn.com/tousu/show/id/1344842")</f>
        <v>http://ts.21cn.com/tousu/show/id/1344842</v>
      </c>
      <c r="F13373" s="2" t="s">
        <v>11</v>
      </c>
      <c r="G13373" s="2" t="s">
        <v>17860</v>
      </c>
      <c r="H13373" s="2" t="s">
        <v>17861</v>
      </c>
    </row>
    <row r="13374" spans="1:8" ht="25.05" customHeight="1" x14ac:dyDescent="0.25">
      <c r="A13374" s="2" t="s">
        <v>8</v>
      </c>
      <c r="B13374" s="2" t="str">
        <f>HYPERLINK("http://ts.21cn.com/tousu/show/id/1344841","贷款骚扰通讯录里恐吓电话")</f>
        <v>贷款骚扰通讯录里恐吓电话</v>
      </c>
      <c r="C13374" s="2" t="s">
        <v>9</v>
      </c>
      <c r="D13374" s="2" t="s">
        <v>10</v>
      </c>
      <c r="E13374" s="2" t="str">
        <f>HYPERLINK("http://ts.21cn.com/tousu/show/id/1344841","http://ts.21cn.com/tousu/show/id/1344841")</f>
        <v>http://ts.21cn.com/tousu/show/id/1344841</v>
      </c>
      <c r="F13374" s="2" t="s">
        <v>11</v>
      </c>
      <c r="G13374" s="2" t="s">
        <v>17858</v>
      </c>
      <c r="H13374" s="2" t="s">
        <v>17859</v>
      </c>
    </row>
    <row r="13375" spans="1:8" ht="25.05" customHeight="1" x14ac:dyDescent="0.25">
      <c r="A13375" s="2" t="s">
        <v>8</v>
      </c>
      <c r="B13375" s="2" t="str">
        <f>HYPERLINK("http://ts.21cn.com/tousu/show/id/1344844","钱已经结清，征信确不更新")</f>
        <v>钱已经结清，征信确不更新</v>
      </c>
      <c r="C13375" s="2" t="s">
        <v>34</v>
      </c>
      <c r="D13375" s="2" t="s">
        <v>10</v>
      </c>
      <c r="E13375" s="2" t="str">
        <f>HYPERLINK("http://ts.21cn.com/tousu/show/id/1344844","http://ts.21cn.com/tousu/show/id/1344844")</f>
        <v>http://ts.21cn.com/tousu/show/id/1344844</v>
      </c>
      <c r="F13375" s="2" t="s">
        <v>11</v>
      </c>
      <c r="G13375" s="2" t="s">
        <v>17856</v>
      </c>
      <c r="H13375" s="2" t="s">
        <v>17857</v>
      </c>
    </row>
    <row r="13376" spans="1:8" ht="25.05" customHeight="1" x14ac:dyDescent="0.25">
      <c r="A13376" s="2" t="s">
        <v>8</v>
      </c>
      <c r="B13376" s="2" t="str">
        <f>HYPERLINK("http://ts.21cn.com/tousu/show/id/1344846","广东信汇电子商务有限公司违规提供支付通道")</f>
        <v>广东信汇电子商务有限公司违规提供支付通道</v>
      </c>
      <c r="C13376" s="2" t="s">
        <v>9</v>
      </c>
      <c r="D13376" s="2" t="s">
        <v>10</v>
      </c>
      <c r="E13376" s="2" t="str">
        <f>HYPERLINK("http://ts.21cn.com/tousu/show/id/1344846","http://ts.21cn.com/tousu/show/id/1344846")</f>
        <v>http://ts.21cn.com/tousu/show/id/1344846</v>
      </c>
      <c r="F13376" s="2" t="s">
        <v>11</v>
      </c>
      <c r="G13376" s="2" t="s">
        <v>17854</v>
      </c>
      <c r="H13376" s="2" t="s">
        <v>17855</v>
      </c>
    </row>
    <row r="13377" spans="1:8" ht="25.05" customHeight="1" x14ac:dyDescent="0.25">
      <c r="A13377" s="2" t="s">
        <v>8</v>
      </c>
      <c r="B13377" s="2" t="str">
        <f>HYPERLINK("http://ts.21cn.com/tousu/show/id/1344847","钱站威胁恐吓我要移交第三方催讨公司联系我的家人亲戚朋友，有电话录音为证")</f>
        <v>钱站威胁恐吓我要移交第三方催讨公司联系我的家人亲戚朋友，有电话录音为证</v>
      </c>
      <c r="C13377" s="2" t="s">
        <v>9</v>
      </c>
      <c r="D13377" s="2" t="s">
        <v>10</v>
      </c>
      <c r="E13377" s="2" t="str">
        <f>HYPERLINK("http://ts.21cn.com/tousu/show/id/1344847","http://ts.21cn.com/tousu/show/id/1344847")</f>
        <v>http://ts.21cn.com/tousu/show/id/1344847</v>
      </c>
      <c r="F13377" s="2" t="s">
        <v>11</v>
      </c>
      <c r="G13377" s="2" t="s">
        <v>17851</v>
      </c>
      <c r="H13377" s="2" t="s">
        <v>17852</v>
      </c>
    </row>
    <row r="13378" spans="1:8" ht="25.05" customHeight="1" x14ac:dyDescent="0.25">
      <c r="A13378" s="2" t="s">
        <v>8</v>
      </c>
      <c r="B13378" s="2" t="str">
        <f>HYPERLINK("http://ts.21cn.com/tousu/show/id/1344848","大量用户无法退还立刻出行499元押金")</f>
        <v>大量用户无法退还立刻出行499元押金</v>
      </c>
      <c r="C13378" s="2" t="s">
        <v>9</v>
      </c>
      <c r="D13378" s="2" t="s">
        <v>10</v>
      </c>
      <c r="E13378" s="2" t="str">
        <f>HYPERLINK("http://ts.21cn.com/tousu/show/id/1344848","http://ts.21cn.com/tousu/show/id/1344848")</f>
        <v>http://ts.21cn.com/tousu/show/id/1344848</v>
      </c>
      <c r="F13378" s="2" t="s">
        <v>11</v>
      </c>
      <c r="G13378" s="2" t="s">
        <v>17851</v>
      </c>
      <c r="H13378" s="2" t="s">
        <v>17853</v>
      </c>
    </row>
    <row r="13379" spans="1:8" ht="25.05" customHeight="1" x14ac:dyDescent="0.25">
      <c r="A13379" s="2" t="s">
        <v>8</v>
      </c>
      <c r="B13379" s="2" t="str">
        <f>HYPERLINK("http://ts.21cn.com/tousu/show/id/1344850","你我贷恐吓")</f>
        <v>你我贷恐吓</v>
      </c>
      <c r="C13379" s="2" t="s">
        <v>9</v>
      </c>
      <c r="D13379" s="2" t="s">
        <v>10</v>
      </c>
      <c r="E13379" s="2" t="str">
        <f>HYPERLINK("http://ts.21cn.com/tousu/show/id/1344850","http://ts.21cn.com/tousu/show/id/1344850")</f>
        <v>http://ts.21cn.com/tousu/show/id/1344850</v>
      </c>
      <c r="F13379" s="2" t="s">
        <v>11</v>
      </c>
      <c r="G13379" s="2" t="s">
        <v>17849</v>
      </c>
      <c r="H13379" s="2" t="s">
        <v>17850</v>
      </c>
    </row>
    <row r="13380" spans="1:8" ht="25.05" customHeight="1" x14ac:dyDescent="0.25">
      <c r="A13380" s="2" t="s">
        <v>8</v>
      </c>
      <c r="B13380" s="2" t="str">
        <f>HYPERLINK("http://ts.21cn.com/tousu/show/id/1344851","辱骂恐吓骚扰")</f>
        <v>辱骂恐吓骚扰</v>
      </c>
      <c r="C13380" s="2" t="s">
        <v>9</v>
      </c>
      <c r="D13380" s="2" t="s">
        <v>10</v>
      </c>
      <c r="E13380" s="2" t="str">
        <f>HYPERLINK("http://ts.21cn.com/tousu/show/id/1344851","http://ts.21cn.com/tousu/show/id/1344851")</f>
        <v>http://ts.21cn.com/tousu/show/id/1344851</v>
      </c>
      <c r="F13380" s="2" t="s">
        <v>11</v>
      </c>
      <c r="G13380" s="2" t="s">
        <v>17847</v>
      </c>
      <c r="H13380" s="2" t="s">
        <v>17848</v>
      </c>
    </row>
    <row r="13381" spans="1:8" ht="25.05" customHeight="1" x14ac:dyDescent="0.25">
      <c r="A13381" s="2" t="s">
        <v>8</v>
      </c>
      <c r="B13381" s="2" t="str">
        <f>HYPERLINK("http://ts.21cn.com/tousu/show/id/1344815","智行机票无法报销")</f>
        <v>智行机票无法报销</v>
      </c>
      <c r="C13381" s="2" t="s">
        <v>9</v>
      </c>
      <c r="D13381" s="2" t="s">
        <v>10</v>
      </c>
      <c r="E13381" s="2" t="str">
        <f>HYPERLINK("http://ts.21cn.com/tousu/show/id/1344815","http://ts.21cn.com/tousu/show/id/1344815")</f>
        <v>http://ts.21cn.com/tousu/show/id/1344815</v>
      </c>
      <c r="F13381" s="2" t="s">
        <v>11</v>
      </c>
      <c r="G13381" s="2" t="s">
        <v>17845</v>
      </c>
      <c r="H13381" s="2" t="s">
        <v>17846</v>
      </c>
    </row>
    <row r="13382" spans="1:8" ht="25.05" customHeight="1" x14ac:dyDescent="0.25">
      <c r="A13382" s="2" t="s">
        <v>8</v>
      </c>
      <c r="B13382" s="2" t="str">
        <f>HYPERLINK("http://ts.21cn.com/tousu/show/id/1344852","泰康人寿不允返还押金")</f>
        <v>泰康人寿不允返还押金</v>
      </c>
      <c r="C13382" s="2" t="s">
        <v>34</v>
      </c>
      <c r="D13382" s="2" t="s">
        <v>10</v>
      </c>
      <c r="E13382" s="2" t="str">
        <f>HYPERLINK("http://ts.21cn.com/tousu/show/id/1344852","http://ts.21cn.com/tousu/show/id/1344852")</f>
        <v>http://ts.21cn.com/tousu/show/id/1344852</v>
      </c>
      <c r="F13382" s="2" t="s">
        <v>11</v>
      </c>
      <c r="G13382" s="2" t="s">
        <v>17843</v>
      </c>
      <c r="H13382" s="2" t="s">
        <v>17844</v>
      </c>
    </row>
    <row r="13383" spans="1:8" ht="25.05" customHeight="1" x14ac:dyDescent="0.25">
      <c r="A13383" s="2" t="s">
        <v>8</v>
      </c>
      <c r="B13383" s="2" t="str">
        <f>HYPERLINK("http://ts.21cn.com/tousu/show/id/1344853","闪银暴力催收，放款前收费")</f>
        <v>闪银暴力催收，放款前收费</v>
      </c>
      <c r="C13383" s="2" t="s">
        <v>9</v>
      </c>
      <c r="D13383" s="2" t="s">
        <v>10</v>
      </c>
      <c r="E13383" s="2" t="str">
        <f>HYPERLINK("http://ts.21cn.com/tousu/show/id/1344853","http://ts.21cn.com/tousu/show/id/1344853")</f>
        <v>http://ts.21cn.com/tousu/show/id/1344853</v>
      </c>
      <c r="F13383" s="2" t="s">
        <v>11</v>
      </c>
      <c r="G13383" s="2" t="s">
        <v>17841</v>
      </c>
      <c r="H13383" s="2" t="s">
        <v>17842</v>
      </c>
    </row>
    <row r="13384" spans="1:8" ht="25.05" customHeight="1" x14ac:dyDescent="0.25">
      <c r="A13384" s="2" t="s">
        <v>8</v>
      </c>
      <c r="B13384" s="2" t="str">
        <f>HYPERLINK("http://ts.21cn.com/tousu/show/id/1344804","中信恶意催收，承诺的减免违约金不兑现")</f>
        <v>中信恶意催收，承诺的减免违约金不兑现</v>
      </c>
      <c r="C13384" s="2" t="s">
        <v>9</v>
      </c>
      <c r="D13384" s="2" t="s">
        <v>10</v>
      </c>
      <c r="E13384" s="2" t="str">
        <f>HYPERLINK("http://ts.21cn.com/tousu/show/id/1344804","http://ts.21cn.com/tousu/show/id/1344804")</f>
        <v>http://ts.21cn.com/tousu/show/id/1344804</v>
      </c>
      <c r="F13384" s="2" t="s">
        <v>11</v>
      </c>
      <c r="G13384" s="2" t="s">
        <v>17839</v>
      </c>
      <c r="H13384" s="2" t="s">
        <v>17840</v>
      </c>
    </row>
    <row r="13385" spans="1:8" ht="25.05" customHeight="1" x14ac:dyDescent="0.25">
      <c r="A13385" s="2" t="s">
        <v>8</v>
      </c>
      <c r="B13385" s="2" t="str">
        <f>HYPERLINK("http://ts.21cn.com/tousu/show/id/1344854","你我贷恶意骚扰")</f>
        <v>你我贷恶意骚扰</v>
      </c>
      <c r="C13385" s="2" t="s">
        <v>9</v>
      </c>
      <c r="D13385" s="2" t="s">
        <v>10</v>
      </c>
      <c r="E13385" s="2" t="str">
        <f>HYPERLINK("http://ts.21cn.com/tousu/show/id/1344854","http://ts.21cn.com/tousu/show/id/1344854")</f>
        <v>http://ts.21cn.com/tousu/show/id/1344854</v>
      </c>
      <c r="F13385" s="2" t="s">
        <v>11</v>
      </c>
      <c r="G13385" s="2" t="s">
        <v>17837</v>
      </c>
      <c r="H13385" s="2" t="s">
        <v>17838</v>
      </c>
    </row>
    <row r="13386" spans="1:8" ht="25.05" customHeight="1" x14ac:dyDescent="0.25">
      <c r="A13386" s="2" t="s">
        <v>8</v>
      </c>
      <c r="B13386" s="2" t="str">
        <f>HYPERLINK("http://ts.21cn.com/tousu/show/id/1344855","捷信金融收取高额利息泄露用户个人信息只给了一个结清证明")</f>
        <v>捷信金融收取高额利息泄露用户个人信息只给了一个结清证明</v>
      </c>
      <c r="C13386" s="2" t="s">
        <v>9</v>
      </c>
      <c r="D13386" s="2" t="s">
        <v>10</v>
      </c>
      <c r="E13386" s="2" t="str">
        <f>HYPERLINK("http://ts.21cn.com/tousu/show/id/1344855","http://ts.21cn.com/tousu/show/id/1344855")</f>
        <v>http://ts.21cn.com/tousu/show/id/1344855</v>
      </c>
      <c r="F13386" s="2" t="s">
        <v>11</v>
      </c>
      <c r="G13386" s="2" t="s">
        <v>17835</v>
      </c>
      <c r="H13386" s="2" t="s">
        <v>17836</v>
      </c>
    </row>
    <row r="13387" spans="1:8" ht="25.05" customHeight="1" x14ac:dyDescent="0.25">
      <c r="A13387" s="2" t="s">
        <v>8</v>
      </c>
      <c r="B13387" s="2" t="str">
        <f>HYPERLINK("http://ts.21cn.com/tousu/show/id/1344856","马上消费金融安逸花协商还款")</f>
        <v>马上消费金融安逸花协商还款</v>
      </c>
      <c r="C13387" s="2" t="s">
        <v>9</v>
      </c>
      <c r="D13387" s="2" t="s">
        <v>10</v>
      </c>
      <c r="E13387" s="2" t="str">
        <f>HYPERLINK("http://ts.21cn.com/tousu/show/id/1344856","http://ts.21cn.com/tousu/show/id/1344856")</f>
        <v>http://ts.21cn.com/tousu/show/id/1344856</v>
      </c>
      <c r="F13387" s="2" t="s">
        <v>11</v>
      </c>
      <c r="G13387" s="2" t="s">
        <v>17833</v>
      </c>
      <c r="H13387" s="2" t="s">
        <v>17834</v>
      </c>
    </row>
    <row r="13388" spans="1:8" ht="25.05" customHeight="1" x14ac:dyDescent="0.25">
      <c r="A13388" s="2" t="s">
        <v>8</v>
      </c>
      <c r="B13388" s="2" t="str">
        <f>HYPERLINK("http://ts.21cn.com/tousu/show/id/1344857","51金钱贷（即盈盈有钱）高利贷、暴力催收")</f>
        <v>51金钱贷（即盈盈有钱）高利贷、暴力催收</v>
      </c>
      <c r="C13388" s="2" t="s">
        <v>9</v>
      </c>
      <c r="D13388" s="2" t="s">
        <v>10</v>
      </c>
      <c r="E13388" s="2" t="str">
        <f>HYPERLINK("http://ts.21cn.com/tousu/show/id/1344857","http://ts.21cn.com/tousu/show/id/1344857")</f>
        <v>http://ts.21cn.com/tousu/show/id/1344857</v>
      </c>
      <c r="F13388" s="2" t="s">
        <v>11</v>
      </c>
      <c r="G13388" s="2" t="s">
        <v>17831</v>
      </c>
      <c r="H13388" s="2" t="s">
        <v>17832</v>
      </c>
    </row>
    <row r="13389" spans="1:8" ht="25.05" customHeight="1" x14ac:dyDescent="0.25">
      <c r="A13389" s="2" t="s">
        <v>8</v>
      </c>
      <c r="B13389" s="2" t="str">
        <f>HYPERLINK("http://ts.21cn.com/tousu/show/id/1344849","好易借暴力催收")</f>
        <v>好易借暴力催收</v>
      </c>
      <c r="C13389" s="2" t="s">
        <v>9</v>
      </c>
      <c r="D13389" s="2" t="s">
        <v>10</v>
      </c>
      <c r="E13389" s="2" t="str">
        <f>HYPERLINK("http://ts.21cn.com/tousu/show/id/1344849","http://ts.21cn.com/tousu/show/id/1344849")</f>
        <v>http://ts.21cn.com/tousu/show/id/1344849</v>
      </c>
      <c r="F13389" s="2" t="s">
        <v>11</v>
      </c>
      <c r="G13389" s="2" t="s">
        <v>17829</v>
      </c>
      <c r="H13389" s="2" t="s">
        <v>17830</v>
      </c>
    </row>
    <row r="13390" spans="1:8" ht="25.05" customHeight="1" x14ac:dyDescent="0.25">
      <c r="A13390" s="2" t="s">
        <v>8</v>
      </c>
      <c r="B13390" s="2" t="str">
        <f>HYPERLINK("http://ts.21cn.com/tousu/show/id/1344858","松紧贷催收人员恶意催收")</f>
        <v>松紧贷催收人员恶意催收</v>
      </c>
      <c r="C13390" s="2" t="s">
        <v>9</v>
      </c>
      <c r="D13390" s="2" t="s">
        <v>10</v>
      </c>
      <c r="E13390" s="2" t="str">
        <f>HYPERLINK("http://ts.21cn.com/tousu/show/id/1344858","http://ts.21cn.com/tousu/show/id/1344858")</f>
        <v>http://ts.21cn.com/tousu/show/id/1344858</v>
      </c>
      <c r="F13390" s="2" t="s">
        <v>11</v>
      </c>
      <c r="G13390" s="2" t="s">
        <v>17827</v>
      </c>
      <c r="H13390" s="2" t="s">
        <v>17828</v>
      </c>
    </row>
    <row r="13391" spans="1:8" ht="25.05" customHeight="1" x14ac:dyDescent="0.25">
      <c r="A13391" s="2" t="s">
        <v>8</v>
      </c>
      <c r="B13391" s="2" t="str">
        <f>HYPERLINK("http://ts.21cn.com/tousu/show/id/1344859","信而富砍头息要求退还，云南信托放款，中智消费扣款")</f>
        <v>信而富砍头息要求退还，云南信托放款，中智消费扣款</v>
      </c>
      <c r="C13391" s="2" t="s">
        <v>9</v>
      </c>
      <c r="D13391" s="2" t="s">
        <v>10</v>
      </c>
      <c r="E13391" s="2" t="str">
        <f>HYPERLINK("http://ts.21cn.com/tousu/show/id/1344859","http://ts.21cn.com/tousu/show/id/1344859")</f>
        <v>http://ts.21cn.com/tousu/show/id/1344859</v>
      </c>
      <c r="F13391" s="2" t="s">
        <v>11</v>
      </c>
      <c r="G13391" s="2" t="s">
        <v>17825</v>
      </c>
      <c r="H13391" s="2" t="s">
        <v>17826</v>
      </c>
    </row>
    <row r="13392" spans="1:8" ht="25.05" customHeight="1" x14ac:dyDescent="0.25">
      <c r="A13392" s="2" t="s">
        <v>8</v>
      </c>
      <c r="B13392" s="2" t="str">
        <f>HYPERLINK("http://ts.21cn.com/tousu/show/id/1344860","金宣公寓拿着以我名义贷的款不予应花分期结算，一直拖，联系不到人")</f>
        <v>金宣公寓拿着以我名义贷的款不予应花分期结算，一直拖，联系不到人</v>
      </c>
      <c r="C13392" s="2" t="s">
        <v>9</v>
      </c>
      <c r="D13392" s="2" t="s">
        <v>10</v>
      </c>
      <c r="E13392" s="2" t="str">
        <f>HYPERLINK("http://ts.21cn.com/tousu/show/id/1344860","http://ts.21cn.com/tousu/show/id/1344860")</f>
        <v>http://ts.21cn.com/tousu/show/id/1344860</v>
      </c>
      <c r="F13392" s="2" t="s">
        <v>11</v>
      </c>
      <c r="G13392" s="2" t="s">
        <v>17823</v>
      </c>
      <c r="H13392" s="2" t="s">
        <v>17824</v>
      </c>
    </row>
    <row r="13393" spans="1:8" ht="25.05" customHeight="1" x14ac:dyDescent="0.25">
      <c r="A13393" s="2" t="s">
        <v>8</v>
      </c>
      <c r="B13393" s="2" t="str">
        <f>HYPERLINK("http://ts.21cn.com/tousu/show/id/1344861","松紧贷停止信息骚扰和爆通讯录")</f>
        <v>松紧贷停止信息骚扰和爆通讯录</v>
      </c>
      <c r="C13393" s="2" t="s">
        <v>9</v>
      </c>
      <c r="D13393" s="2" t="s">
        <v>10</v>
      </c>
      <c r="E13393" s="2" t="str">
        <f>HYPERLINK("http://ts.21cn.com/tousu/show/id/1344861","http://ts.21cn.com/tousu/show/id/1344861")</f>
        <v>http://ts.21cn.com/tousu/show/id/1344861</v>
      </c>
      <c r="F13393" s="2" t="s">
        <v>11</v>
      </c>
      <c r="G13393" s="2" t="s">
        <v>17821</v>
      </c>
      <c r="H13393" s="2" t="s">
        <v>17822</v>
      </c>
    </row>
    <row r="13394" spans="1:8" ht="25.05" customHeight="1" x14ac:dyDescent="0.25">
      <c r="A13394" s="2" t="s">
        <v>8</v>
      </c>
      <c r="B13394" s="2" t="str">
        <f>HYPERLINK("http://ts.21cn.com/tousu/show/id/1344862","恶意骚扰不合理利息")</f>
        <v>恶意骚扰不合理利息</v>
      </c>
      <c r="C13394" s="2" t="s">
        <v>9</v>
      </c>
      <c r="D13394" s="2" t="s">
        <v>10</v>
      </c>
      <c r="E13394" s="2" t="str">
        <f>HYPERLINK("http://ts.21cn.com/tousu/show/id/1344862","http://ts.21cn.com/tousu/show/id/1344862")</f>
        <v>http://ts.21cn.com/tousu/show/id/1344862</v>
      </c>
      <c r="F13394" s="2" t="s">
        <v>11</v>
      </c>
      <c r="G13394" s="2" t="s">
        <v>17819</v>
      </c>
      <c r="H13394" s="2" t="s">
        <v>17820</v>
      </c>
    </row>
    <row r="13395" spans="1:8" ht="25.05" customHeight="1" x14ac:dyDescent="0.25">
      <c r="A13395" s="2" t="s">
        <v>8</v>
      </c>
      <c r="B13395" s="2" t="str">
        <f>HYPERLINK("http://ts.21cn.com/tousu/show/id/1344863","闪银顺顺恐吓威胁")</f>
        <v>闪银顺顺恐吓威胁</v>
      </c>
      <c r="C13395" s="2" t="s">
        <v>9</v>
      </c>
      <c r="D13395" s="2" t="s">
        <v>10</v>
      </c>
      <c r="E13395" s="2" t="str">
        <f>HYPERLINK("http://ts.21cn.com/tousu/show/id/1344863","http://ts.21cn.com/tousu/show/id/1344863")</f>
        <v>http://ts.21cn.com/tousu/show/id/1344863</v>
      </c>
      <c r="F13395" s="2" t="s">
        <v>11</v>
      </c>
      <c r="G13395" s="2" t="s">
        <v>17817</v>
      </c>
      <c r="H13395" s="2" t="s">
        <v>17818</v>
      </c>
    </row>
    <row r="13396" spans="1:8" ht="25.05" customHeight="1" x14ac:dyDescent="0.25">
      <c r="A13396" s="2" t="s">
        <v>8</v>
      </c>
      <c r="B13396" s="2" t="str">
        <f>HYPERLINK("http://ts.21cn.com/tousu/show/id/1344864","携程闪住未入住，还威胁催缴房费威，胁影响个人征信")</f>
        <v>携程闪住未入住，还威胁催缴房费威，胁影响个人征信</v>
      </c>
      <c r="C13396" s="2" t="s">
        <v>9</v>
      </c>
      <c r="D13396" s="2" t="s">
        <v>10</v>
      </c>
      <c r="E13396" s="2" t="str">
        <f>HYPERLINK("http://ts.21cn.com/tousu/show/id/1344864","http://ts.21cn.com/tousu/show/id/1344864")</f>
        <v>http://ts.21cn.com/tousu/show/id/1344864</v>
      </c>
      <c r="F13396" s="2" t="s">
        <v>11</v>
      </c>
      <c r="G13396" s="2" t="s">
        <v>17815</v>
      </c>
      <c r="H13396" s="2" t="s">
        <v>17816</v>
      </c>
    </row>
    <row r="13397" spans="1:8" ht="25.05" customHeight="1" x14ac:dyDescent="0.25">
      <c r="A13397" s="2" t="s">
        <v>8</v>
      </c>
      <c r="B13397" s="2" t="str">
        <f>HYPERLINK("http://ts.21cn.com/tousu/show/id/1344865","买家刻意仲裁")</f>
        <v>买家刻意仲裁</v>
      </c>
      <c r="C13397" s="2" t="s">
        <v>34</v>
      </c>
      <c r="D13397" s="2" t="s">
        <v>10</v>
      </c>
      <c r="E13397" s="2" t="str">
        <f>HYPERLINK("http://ts.21cn.com/tousu/show/id/1344865","http://ts.21cn.com/tousu/show/id/1344865")</f>
        <v>http://ts.21cn.com/tousu/show/id/1344865</v>
      </c>
      <c r="F13397" s="2" t="s">
        <v>11</v>
      </c>
      <c r="G13397" s="2" t="s">
        <v>17813</v>
      </c>
      <c r="H13397" s="2" t="s">
        <v>17814</v>
      </c>
    </row>
    <row r="13398" spans="1:8" ht="25.05" customHeight="1" x14ac:dyDescent="0.25">
      <c r="A13398" s="2" t="s">
        <v>8</v>
      </c>
      <c r="B13398" s="2" t="str">
        <f>HYPERLINK("http://ts.21cn.com/tousu/show/id/1344866","51信用卡暴击催收")</f>
        <v>51信用卡暴击催收</v>
      </c>
      <c r="C13398" s="2" t="s">
        <v>9</v>
      </c>
      <c r="D13398" s="2" t="s">
        <v>10</v>
      </c>
      <c r="E13398" s="2" t="str">
        <f>HYPERLINK("http://ts.21cn.com/tousu/show/id/1344866","http://ts.21cn.com/tousu/show/id/1344866")</f>
        <v>http://ts.21cn.com/tousu/show/id/1344866</v>
      </c>
      <c r="F13398" s="2" t="s">
        <v>11</v>
      </c>
      <c r="G13398" s="2" t="s">
        <v>17811</v>
      </c>
      <c r="H13398" s="2" t="s">
        <v>17812</v>
      </c>
    </row>
    <row r="13399" spans="1:8" ht="25.05" customHeight="1" x14ac:dyDescent="0.25">
      <c r="A13399" s="2" t="s">
        <v>8</v>
      </c>
      <c r="B13399" s="2" t="str">
        <f>HYPERLINK("http://ts.21cn.com/tousu/show/id/1344867","信而富退会员费迟迟不到账")</f>
        <v>信而富退会员费迟迟不到账</v>
      </c>
      <c r="C13399" s="2" t="s">
        <v>9</v>
      </c>
      <c r="D13399" s="2" t="s">
        <v>10</v>
      </c>
      <c r="E13399" s="2" t="str">
        <f>HYPERLINK("http://ts.21cn.com/tousu/show/id/1344867","http://ts.21cn.com/tousu/show/id/1344867")</f>
        <v>http://ts.21cn.com/tousu/show/id/1344867</v>
      </c>
      <c r="F13399" s="2" t="s">
        <v>11</v>
      </c>
      <c r="G13399" s="2" t="s">
        <v>17809</v>
      </c>
      <c r="H13399" s="2" t="s">
        <v>17810</v>
      </c>
    </row>
    <row r="13400" spans="1:8" ht="25.05" customHeight="1" x14ac:dyDescent="0.25">
      <c r="A13400" s="2" t="s">
        <v>8</v>
      </c>
      <c r="B13400" s="2" t="str">
        <f>HYPERLINK("http://ts.21cn.com/tousu/show/id/1344870","无法申诉，侵犯他人权利")</f>
        <v>无法申诉，侵犯他人权利</v>
      </c>
      <c r="C13400" s="2" t="s">
        <v>9</v>
      </c>
      <c r="D13400" s="2" t="s">
        <v>10</v>
      </c>
      <c r="E13400" s="2" t="str">
        <f>HYPERLINK("http://ts.21cn.com/tousu/show/id/1344870","http://ts.21cn.com/tousu/show/id/1344870")</f>
        <v>http://ts.21cn.com/tousu/show/id/1344870</v>
      </c>
      <c r="F13400" s="2" t="s">
        <v>11</v>
      </c>
      <c r="G13400" s="2" t="s">
        <v>17807</v>
      </c>
      <c r="H13400" s="2" t="s">
        <v>17808</v>
      </c>
    </row>
    <row r="13401" spans="1:8" ht="25.05" customHeight="1" x14ac:dyDescent="0.25">
      <c r="A13401" s="2" t="s">
        <v>8</v>
      </c>
      <c r="B13401" s="2" t="str">
        <f>HYPERLINK("http://ts.21cn.com/tousu/show/id/1344871","期待合伙人收取砍头息，提前还款收取高额违约金")</f>
        <v>期待合伙人收取砍头息，提前还款收取高额违约金</v>
      </c>
      <c r="C13401" s="2" t="s">
        <v>9</v>
      </c>
      <c r="D13401" s="2" t="s">
        <v>10</v>
      </c>
      <c r="E13401" s="2" t="str">
        <f>HYPERLINK("http://ts.21cn.com/tousu/show/id/1344871","http://ts.21cn.com/tousu/show/id/1344871")</f>
        <v>http://ts.21cn.com/tousu/show/id/1344871</v>
      </c>
      <c r="F13401" s="2" t="s">
        <v>11</v>
      </c>
      <c r="G13401" s="2" t="s">
        <v>17805</v>
      </c>
      <c r="H13401" s="2" t="s">
        <v>17806</v>
      </c>
    </row>
    <row r="13402" spans="1:8" ht="25.05" customHeight="1" x14ac:dyDescent="0.25">
      <c r="A13402" s="2" t="s">
        <v>8</v>
      </c>
      <c r="B13402" s="2" t="str">
        <f>HYPERLINK("http://ts.21cn.com/tousu/show/id/1344872","高利贷暴力催收威胁")</f>
        <v>高利贷暴力催收威胁</v>
      </c>
      <c r="C13402" s="2" t="s">
        <v>9</v>
      </c>
      <c r="D13402" s="2" t="s">
        <v>10</v>
      </c>
      <c r="E13402" s="2" t="str">
        <f>HYPERLINK("http://ts.21cn.com/tousu/show/id/1344872","http://ts.21cn.com/tousu/show/id/1344872")</f>
        <v>http://ts.21cn.com/tousu/show/id/1344872</v>
      </c>
      <c r="F13402" s="2" t="s">
        <v>11</v>
      </c>
      <c r="G13402" s="2" t="s">
        <v>17803</v>
      </c>
      <c r="H13402" s="2" t="s">
        <v>17804</v>
      </c>
    </row>
    <row r="13403" spans="1:8" ht="25.05" customHeight="1" x14ac:dyDescent="0.25">
      <c r="A13403" s="2" t="s">
        <v>8</v>
      </c>
      <c r="B13403" s="2" t="str">
        <f>HYPERLINK("http://ts.21cn.com/tousu/show/id/1344874","花转转里面樱桃小借金融欺诈")</f>
        <v>花转转里面樱桃小借金融欺诈</v>
      </c>
      <c r="C13403" s="2" t="s">
        <v>9</v>
      </c>
      <c r="D13403" s="2" t="s">
        <v>10</v>
      </c>
      <c r="E13403" s="2" t="str">
        <f>HYPERLINK("http://ts.21cn.com/tousu/show/id/1344874","http://ts.21cn.com/tousu/show/id/1344874")</f>
        <v>http://ts.21cn.com/tousu/show/id/1344874</v>
      </c>
      <c r="F13403" s="2" t="s">
        <v>11</v>
      </c>
      <c r="G13403" s="2" t="s">
        <v>17801</v>
      </c>
      <c r="H13403" s="2" t="s">
        <v>17802</v>
      </c>
    </row>
    <row r="13404" spans="1:8" ht="25.05" customHeight="1" x14ac:dyDescent="0.25">
      <c r="A13404" s="2" t="s">
        <v>8</v>
      </c>
      <c r="B13404" s="2" t="str">
        <f>HYPERLINK("http://ts.21cn.com/tousu/show/id/1343377","逾期费不合理")</f>
        <v>逾期费不合理</v>
      </c>
      <c r="C13404" s="2" t="s">
        <v>9</v>
      </c>
      <c r="D13404" s="2" t="s">
        <v>10</v>
      </c>
      <c r="E13404" s="2" t="str">
        <f>HYPERLINK("http://ts.21cn.com/tousu/show/id/1343377","http://ts.21cn.com/tousu/show/id/1343377")</f>
        <v>http://ts.21cn.com/tousu/show/id/1343377</v>
      </c>
      <c r="F13404" s="2" t="s">
        <v>11</v>
      </c>
      <c r="G13404" s="2" t="s">
        <v>17799</v>
      </c>
      <c r="H13404" s="2" t="s">
        <v>17800</v>
      </c>
    </row>
    <row r="13405" spans="1:8" ht="25.05" customHeight="1" x14ac:dyDescent="0.25">
      <c r="A13405" s="2" t="s">
        <v>8</v>
      </c>
      <c r="B13405" s="2" t="str">
        <f>HYPERLINK("http://ts.21cn.com/tousu/show/id/1344873","借款要交费用才能借款")</f>
        <v>借款要交费用才能借款</v>
      </c>
      <c r="C13405" s="2" t="s">
        <v>9</v>
      </c>
      <c r="D13405" s="2" t="s">
        <v>10</v>
      </c>
      <c r="E13405" s="2" t="str">
        <f>HYPERLINK("http://ts.21cn.com/tousu/show/id/1344873","http://ts.21cn.com/tousu/show/id/1344873")</f>
        <v>http://ts.21cn.com/tousu/show/id/1344873</v>
      </c>
      <c r="F13405" s="2" t="s">
        <v>11</v>
      </c>
      <c r="G13405" s="2" t="s">
        <v>17797</v>
      </c>
      <c r="H13405" s="2" t="s">
        <v>17798</v>
      </c>
    </row>
    <row r="13406" spans="1:8" ht="25.05" customHeight="1" x14ac:dyDescent="0.25">
      <c r="A13406" s="2" t="s">
        <v>8</v>
      </c>
      <c r="B13406" s="2" t="str">
        <f>HYPERLINK("http://ts.21cn.com/tousu/show/id/1344875","工商银行未经允许乱扣费用")</f>
        <v>工商银行未经允许乱扣费用</v>
      </c>
      <c r="C13406" s="2" t="s">
        <v>9</v>
      </c>
      <c r="D13406" s="2" t="s">
        <v>10</v>
      </c>
      <c r="E13406" s="2" t="str">
        <f>HYPERLINK("http://ts.21cn.com/tousu/show/id/1344875","http://ts.21cn.com/tousu/show/id/1344875")</f>
        <v>http://ts.21cn.com/tousu/show/id/1344875</v>
      </c>
      <c r="F13406" s="2" t="s">
        <v>11</v>
      </c>
      <c r="G13406" s="2" t="s">
        <v>17795</v>
      </c>
      <c r="H13406" s="2" t="s">
        <v>17796</v>
      </c>
    </row>
    <row r="13407" spans="1:8" ht="25.05" customHeight="1" x14ac:dyDescent="0.25">
      <c r="A13407" s="2" t="s">
        <v>8</v>
      </c>
      <c r="B13407" s="2" t="str">
        <f>HYPERLINK("http://ts.21cn.com/tousu/show/id/1344877","智享贷变相收取服务费手续费")</f>
        <v>智享贷变相收取服务费手续费</v>
      </c>
      <c r="C13407" s="2" t="s">
        <v>9</v>
      </c>
      <c r="D13407" s="2" t="s">
        <v>10</v>
      </c>
      <c r="E13407" s="2" t="str">
        <f>HYPERLINK("http://ts.21cn.com/tousu/show/id/1344877","http://ts.21cn.com/tousu/show/id/1344877")</f>
        <v>http://ts.21cn.com/tousu/show/id/1344877</v>
      </c>
      <c r="F13407" s="2" t="s">
        <v>11</v>
      </c>
      <c r="G13407" s="2" t="s">
        <v>17793</v>
      </c>
      <c r="H13407" s="2" t="s">
        <v>17794</v>
      </c>
    </row>
    <row r="13408" spans="1:8" ht="25.05" customHeight="1" x14ac:dyDescent="0.25">
      <c r="A13408" s="2" t="s">
        <v>8</v>
      </c>
      <c r="B13408" s="2" t="str">
        <f>HYPERLINK("http://ts.21cn.com/tousu/show/id/1344805","拍拍贷私自盗用我照片，违法催收")</f>
        <v>拍拍贷私自盗用我照片，违法催收</v>
      </c>
      <c r="C13408" s="2" t="s">
        <v>9</v>
      </c>
      <c r="D13408" s="2" t="s">
        <v>10</v>
      </c>
      <c r="E13408" s="2" t="str">
        <f>HYPERLINK("http://ts.21cn.com/tousu/show/id/1344805","http://ts.21cn.com/tousu/show/id/1344805")</f>
        <v>http://ts.21cn.com/tousu/show/id/1344805</v>
      </c>
      <c r="F13408" s="2" t="s">
        <v>11</v>
      </c>
      <c r="G13408" s="2" t="s">
        <v>17791</v>
      </c>
      <c r="H13408" s="2" t="s">
        <v>17792</v>
      </c>
    </row>
    <row r="13409" spans="1:8" ht="25.05" customHeight="1" x14ac:dyDescent="0.25">
      <c r="A13409" s="2" t="s">
        <v>8</v>
      </c>
      <c r="B13409" s="2" t="str">
        <f>HYPERLINK("http://ts.21cn.com/tousu/show/id/1344880","去哪儿app打车虚假标价乱收费")</f>
        <v>去哪儿app打车虚假标价乱收费</v>
      </c>
      <c r="C13409" s="2" t="s">
        <v>9</v>
      </c>
      <c r="D13409" s="2" t="s">
        <v>10</v>
      </c>
      <c r="E13409" s="2" t="str">
        <f>HYPERLINK("http://ts.21cn.com/tousu/show/id/1344880","http://ts.21cn.com/tousu/show/id/1344880")</f>
        <v>http://ts.21cn.com/tousu/show/id/1344880</v>
      </c>
      <c r="F13409" s="2" t="s">
        <v>11</v>
      </c>
      <c r="G13409" s="2" t="s">
        <v>17789</v>
      </c>
      <c r="H13409" s="2" t="s">
        <v>17790</v>
      </c>
    </row>
    <row r="13410" spans="1:8" ht="25.05" customHeight="1" x14ac:dyDescent="0.25">
      <c r="A13410" s="2" t="s">
        <v>8</v>
      </c>
      <c r="B13410" s="2" t="str">
        <f>HYPERLINK("http://ts.21cn.com/tousu/show/id/1344879","玖富万卡阴阳合同")</f>
        <v>玖富万卡阴阳合同</v>
      </c>
      <c r="C13410" s="2" t="s">
        <v>9</v>
      </c>
      <c r="D13410" s="2" t="s">
        <v>10</v>
      </c>
      <c r="E13410" s="2" t="str">
        <f>HYPERLINK("http://ts.21cn.com/tousu/show/id/1344879","http://ts.21cn.com/tousu/show/id/1344879")</f>
        <v>http://ts.21cn.com/tousu/show/id/1344879</v>
      </c>
      <c r="F13410" s="2" t="s">
        <v>11</v>
      </c>
      <c r="G13410" s="2" t="s">
        <v>17787</v>
      </c>
      <c r="H13410" s="2" t="s">
        <v>17788</v>
      </c>
    </row>
    <row r="13411" spans="1:8" ht="25.05" customHeight="1" x14ac:dyDescent="0.25">
      <c r="A13411" s="2" t="s">
        <v>8</v>
      </c>
      <c r="B13411" s="2" t="str">
        <f>HYPERLINK("http://ts.21cn.com/tousu/show/id/1344881","被平安银行的车贷暴力催收、软暴力、侮辱，骚扰泄露借款人信息")</f>
        <v>被平安银行的车贷暴力催收、软暴力、侮辱，骚扰泄露借款人信息</v>
      </c>
      <c r="C13411" s="2" t="s">
        <v>9</v>
      </c>
      <c r="D13411" s="2" t="s">
        <v>10</v>
      </c>
      <c r="E13411" s="2" t="str">
        <f>HYPERLINK("http://ts.21cn.com/tousu/show/id/1344881","http://ts.21cn.com/tousu/show/id/1344881")</f>
        <v>http://ts.21cn.com/tousu/show/id/1344881</v>
      </c>
      <c r="F13411" s="2" t="s">
        <v>11</v>
      </c>
      <c r="G13411" s="2" t="s">
        <v>17785</v>
      </c>
      <c r="H13411" s="2" t="s">
        <v>17786</v>
      </c>
    </row>
    <row r="13412" spans="1:8" ht="25.05" customHeight="1" x14ac:dyDescent="0.25">
      <c r="A13412" s="2" t="s">
        <v>8</v>
      </c>
      <c r="B13412" s="2" t="str">
        <f>HYPERLINK("http://ts.21cn.com/tousu/show/id/1344882","平安普惠与平安集团强制收取高额保险费用")</f>
        <v>平安普惠与平安集团强制收取高额保险费用</v>
      </c>
      <c r="C13412" s="2" t="s">
        <v>9</v>
      </c>
      <c r="D13412" s="2" t="s">
        <v>10</v>
      </c>
      <c r="E13412" s="2" t="str">
        <f>HYPERLINK("http://ts.21cn.com/tousu/show/id/1344882","http://ts.21cn.com/tousu/show/id/1344882")</f>
        <v>http://ts.21cn.com/tousu/show/id/1344882</v>
      </c>
      <c r="F13412" s="2" t="s">
        <v>11</v>
      </c>
      <c r="G13412" s="2" t="s">
        <v>17783</v>
      </c>
      <c r="H13412" s="2" t="s">
        <v>17784</v>
      </c>
    </row>
    <row r="13413" spans="1:8" ht="25.05" customHeight="1" x14ac:dyDescent="0.25">
      <c r="A13413" s="2" t="s">
        <v>8</v>
      </c>
      <c r="B13413" s="2" t="str">
        <f>HYPERLINK("http://ts.21cn.com/tousu/show/id/1344883","美团生活费恶意骚扰，恶心催收")</f>
        <v>美团生活费恶意骚扰，恶心催收</v>
      </c>
      <c r="C13413" s="2" t="s">
        <v>9</v>
      </c>
      <c r="D13413" s="2" t="s">
        <v>10</v>
      </c>
      <c r="E13413" s="2" t="str">
        <f>HYPERLINK("http://ts.21cn.com/tousu/show/id/1344883","http://ts.21cn.com/tousu/show/id/1344883")</f>
        <v>http://ts.21cn.com/tousu/show/id/1344883</v>
      </c>
      <c r="F13413" s="2" t="s">
        <v>11</v>
      </c>
      <c r="G13413" s="2" t="s">
        <v>17781</v>
      </c>
      <c r="H13413" s="2" t="s">
        <v>17782</v>
      </c>
    </row>
    <row r="13414" spans="1:8" ht="25.05" customHeight="1" x14ac:dyDescent="0.25">
      <c r="A13414" s="2" t="s">
        <v>8</v>
      </c>
      <c r="B13414" s="2" t="str">
        <f>HYPERLINK("http://ts.21cn.com/tousu/show/id/1344839","网恋男友请把钱还给我")</f>
        <v>网恋男友请把钱还给我</v>
      </c>
      <c r="C13414" s="2" t="s">
        <v>34</v>
      </c>
      <c r="D13414" s="2" t="s">
        <v>10</v>
      </c>
      <c r="E13414" s="2" t="str">
        <f>HYPERLINK("http://ts.21cn.com/tousu/show/id/1344839","http://ts.21cn.com/tousu/show/id/1344839")</f>
        <v>http://ts.21cn.com/tousu/show/id/1344839</v>
      </c>
      <c r="F13414" s="2" t="s">
        <v>11</v>
      </c>
      <c r="G13414" s="2" t="s">
        <v>17779</v>
      </c>
      <c r="H13414" s="2" t="s">
        <v>17780</v>
      </c>
    </row>
    <row r="13415" spans="1:8" ht="25.05" customHeight="1" x14ac:dyDescent="0.25">
      <c r="A13415" s="2" t="s">
        <v>8</v>
      </c>
      <c r="B13415" s="2" t="str">
        <f>HYPERLINK("http://ts.21cn.com/tousu/show/id/1344884","暴力催收")</f>
        <v>暴力催收</v>
      </c>
      <c r="C13415" s="2" t="s">
        <v>9</v>
      </c>
      <c r="D13415" s="2" t="s">
        <v>10</v>
      </c>
      <c r="E13415" s="2" t="str">
        <f>HYPERLINK("http://ts.21cn.com/tousu/show/id/1344884","http://ts.21cn.com/tousu/show/id/1344884")</f>
        <v>http://ts.21cn.com/tousu/show/id/1344884</v>
      </c>
      <c r="F13415" s="2" t="s">
        <v>11</v>
      </c>
      <c r="G13415" s="2" t="s">
        <v>17777</v>
      </c>
      <c r="H13415" s="2" t="s">
        <v>17778</v>
      </c>
    </row>
    <row r="13416" spans="1:8" ht="25.05" customHeight="1" x14ac:dyDescent="0.25">
      <c r="A13416" s="2" t="s">
        <v>8</v>
      </c>
      <c r="B13416" s="2" t="str">
        <f>HYPERLINK("http://ts.21cn.com/tousu/show/id/1344885","高利贷砍头息阴阳合同")</f>
        <v>高利贷砍头息阴阳合同</v>
      </c>
      <c r="C13416" s="2" t="s">
        <v>9</v>
      </c>
      <c r="D13416" s="2" t="s">
        <v>10</v>
      </c>
      <c r="E13416" s="2" t="str">
        <f>HYPERLINK("http://ts.21cn.com/tousu/show/id/1344885","http://ts.21cn.com/tousu/show/id/1344885")</f>
        <v>http://ts.21cn.com/tousu/show/id/1344885</v>
      </c>
      <c r="F13416" s="2" t="s">
        <v>11</v>
      </c>
      <c r="G13416" s="2" t="s">
        <v>17775</v>
      </c>
      <c r="H13416" s="2" t="s">
        <v>17776</v>
      </c>
    </row>
    <row r="13417" spans="1:8" ht="25.05" customHeight="1" x14ac:dyDescent="0.25">
      <c r="A13417" s="2" t="s">
        <v>8</v>
      </c>
      <c r="B13417" s="2" t="str">
        <f>HYPERLINK("http://ts.21cn.com/tousu/show/id/1344886","暴力催收")</f>
        <v>暴力催收</v>
      </c>
      <c r="C13417" s="2" t="s">
        <v>9</v>
      </c>
      <c r="D13417" s="2" t="s">
        <v>10</v>
      </c>
      <c r="E13417" s="2" t="str">
        <f>HYPERLINK("http://ts.21cn.com/tousu/show/id/1344886","http://ts.21cn.com/tousu/show/id/1344886")</f>
        <v>http://ts.21cn.com/tousu/show/id/1344886</v>
      </c>
      <c r="F13417" s="2" t="s">
        <v>11</v>
      </c>
      <c r="G13417" s="2" t="s">
        <v>17773</v>
      </c>
      <c r="H13417" s="2" t="s">
        <v>17774</v>
      </c>
    </row>
    <row r="13418" spans="1:8" ht="25.05" customHeight="1" x14ac:dyDescent="0.25">
      <c r="A13418" s="2" t="s">
        <v>8</v>
      </c>
      <c r="B13418" s="2" t="str">
        <f>HYPERLINK("http://ts.21cn.com/tousu/show/id/1344887","高利贷")</f>
        <v>高利贷</v>
      </c>
      <c r="C13418" s="2" t="s">
        <v>9</v>
      </c>
      <c r="D13418" s="2" t="s">
        <v>10</v>
      </c>
      <c r="E13418" s="2" t="str">
        <f>HYPERLINK("http://ts.21cn.com/tousu/show/id/1344887","http://ts.21cn.com/tousu/show/id/1344887")</f>
        <v>http://ts.21cn.com/tousu/show/id/1344887</v>
      </c>
      <c r="F13418" s="2" t="s">
        <v>11</v>
      </c>
      <c r="G13418" s="2" t="s">
        <v>17771</v>
      </c>
      <c r="H13418" s="2" t="s">
        <v>17772</v>
      </c>
    </row>
    <row r="13419" spans="1:8" ht="25.05" customHeight="1" x14ac:dyDescent="0.25">
      <c r="A13419" s="2" t="s">
        <v>8</v>
      </c>
      <c r="B13419" s="2" t="str">
        <f>HYPERLINK("http://ts.21cn.com/tousu/show/id/1344792","拼多多商家客服中心迟迟不处理订单申诉")</f>
        <v>拼多多商家客服中心迟迟不处理订单申诉</v>
      </c>
      <c r="C13419" s="2" t="s">
        <v>9</v>
      </c>
      <c r="D13419" s="2" t="s">
        <v>10</v>
      </c>
      <c r="E13419" s="2" t="str">
        <f>HYPERLINK("http://ts.21cn.com/tousu/show/id/1344792","http://ts.21cn.com/tousu/show/id/1344792")</f>
        <v>http://ts.21cn.com/tousu/show/id/1344792</v>
      </c>
      <c r="F13419" s="2" t="s">
        <v>11</v>
      </c>
      <c r="G13419" s="2" t="s">
        <v>17769</v>
      </c>
      <c r="H13419" s="2" t="s">
        <v>17770</v>
      </c>
    </row>
    <row r="13420" spans="1:8" ht="25.05" customHeight="1" x14ac:dyDescent="0.25">
      <c r="A13420" s="2" t="s">
        <v>8</v>
      </c>
      <c r="B13420" s="2" t="str">
        <f>HYPERLINK("http://ts.21cn.com/tousu/show/id/1344888","催收人员电话骚扰并对我进行辱骂")</f>
        <v>催收人员电话骚扰并对我进行辱骂</v>
      </c>
      <c r="C13420" s="2" t="s">
        <v>9</v>
      </c>
      <c r="D13420" s="2" t="s">
        <v>10</v>
      </c>
      <c r="E13420" s="2" t="str">
        <f>HYPERLINK("http://ts.21cn.com/tousu/show/id/1344888","http://ts.21cn.com/tousu/show/id/1344888")</f>
        <v>http://ts.21cn.com/tousu/show/id/1344888</v>
      </c>
      <c r="F13420" s="2" t="s">
        <v>11</v>
      </c>
      <c r="G13420" s="2" t="s">
        <v>17767</v>
      </c>
      <c r="H13420" s="2" t="s">
        <v>17768</v>
      </c>
    </row>
    <row r="13421" spans="1:8" ht="25.05" customHeight="1" x14ac:dyDescent="0.25">
      <c r="A13421" s="2" t="s">
        <v>8</v>
      </c>
      <c r="B13421" s="2" t="str">
        <f>HYPERLINK("http://ts.21cn.com/tousu/show/id/1344889","暴力催收，电话威胁，爆通讯录，")</f>
        <v>暴力催收，电话威胁，爆通讯录，</v>
      </c>
      <c r="C13421" s="2" t="s">
        <v>9</v>
      </c>
      <c r="D13421" s="2" t="s">
        <v>10</v>
      </c>
      <c r="E13421" s="2" t="str">
        <f>HYPERLINK("http://ts.21cn.com/tousu/show/id/1344889","http://ts.21cn.com/tousu/show/id/1344889")</f>
        <v>http://ts.21cn.com/tousu/show/id/1344889</v>
      </c>
      <c r="F13421" s="2" t="s">
        <v>11</v>
      </c>
      <c r="G13421" s="2" t="s">
        <v>17765</v>
      </c>
      <c r="H13421" s="2" t="s">
        <v>17766</v>
      </c>
    </row>
    <row r="13422" spans="1:8" ht="25.05" customHeight="1" x14ac:dyDescent="0.25">
      <c r="A13422" s="2" t="s">
        <v>8</v>
      </c>
      <c r="B13422" s="2" t="str">
        <f>HYPERLINK("http://ts.21cn.com/tousu/show/id/1344843","违规收取服务费")</f>
        <v>违规收取服务费</v>
      </c>
      <c r="C13422" s="2" t="s">
        <v>9</v>
      </c>
      <c r="D13422" s="2" t="s">
        <v>10</v>
      </c>
      <c r="E13422" s="2" t="str">
        <f>HYPERLINK("http://ts.21cn.com/tousu/show/id/1344843","http://ts.21cn.com/tousu/show/id/1344843")</f>
        <v>http://ts.21cn.com/tousu/show/id/1344843</v>
      </c>
      <c r="F13422" s="2" t="s">
        <v>11</v>
      </c>
      <c r="G13422" s="2" t="s">
        <v>17763</v>
      </c>
      <c r="H13422" s="2" t="s">
        <v>17764</v>
      </c>
    </row>
    <row r="13423" spans="1:8" ht="25.05" customHeight="1" x14ac:dyDescent="0.25">
      <c r="A13423" s="2" t="s">
        <v>8</v>
      </c>
      <c r="B13423" s="2" t="str">
        <f>HYPERLINK("http://ts.21cn.com/tousu/show/id/1344893","网贷利息过高，提前收取高额服务费，到账金额与合同金额差距大")</f>
        <v>网贷利息过高，提前收取高额服务费，到账金额与合同金额差距大</v>
      </c>
      <c r="C13423" s="2" t="s">
        <v>34</v>
      </c>
      <c r="D13423" s="2" t="s">
        <v>10</v>
      </c>
      <c r="E13423" s="2" t="str">
        <f>HYPERLINK("http://ts.21cn.com/tousu/show/id/1344893","http://ts.21cn.com/tousu/show/id/1344893")</f>
        <v>http://ts.21cn.com/tousu/show/id/1344893</v>
      </c>
      <c r="F13423" s="2" t="s">
        <v>11</v>
      </c>
      <c r="G13423" s="2" t="s">
        <v>17761</v>
      </c>
      <c r="H13423" s="2" t="s">
        <v>17762</v>
      </c>
    </row>
    <row r="13424" spans="1:8" ht="25.05" customHeight="1" x14ac:dyDescent="0.25">
      <c r="A13424" s="2" t="s">
        <v>8</v>
      </c>
      <c r="B13424" s="2" t="str">
        <f>HYPERLINK("http://ts.21cn.com/tousu/show/id/1344891","不给协商，")</f>
        <v>不给协商，</v>
      </c>
      <c r="C13424" s="2" t="s">
        <v>9</v>
      </c>
      <c r="D13424" s="2" t="s">
        <v>10</v>
      </c>
      <c r="E13424" s="2" t="str">
        <f>HYPERLINK("http://ts.21cn.com/tousu/show/id/1344891","http://ts.21cn.com/tousu/show/id/1344891")</f>
        <v>http://ts.21cn.com/tousu/show/id/1344891</v>
      </c>
      <c r="F13424" s="2" t="s">
        <v>11</v>
      </c>
      <c r="G13424" s="2" t="s">
        <v>17759</v>
      </c>
      <c r="H13424" s="2" t="s">
        <v>17760</v>
      </c>
    </row>
    <row r="13425" spans="1:8" ht="25.05" customHeight="1" x14ac:dyDescent="0.25">
      <c r="A13425" s="2" t="s">
        <v>8</v>
      </c>
      <c r="B13425" s="2" t="str">
        <f>HYPERLINK("http://ts.21cn.com/tousu/show/id/1344892","中国银联联合玖富万卡平台盗刷本人不之情款项")</f>
        <v>中国银联联合玖富万卡平台盗刷本人不之情款项</v>
      </c>
      <c r="C13425" s="2" t="s">
        <v>9</v>
      </c>
      <c r="D13425" s="2" t="s">
        <v>10</v>
      </c>
      <c r="E13425" s="2" t="str">
        <f>HYPERLINK("http://ts.21cn.com/tousu/show/id/1344892","http://ts.21cn.com/tousu/show/id/1344892")</f>
        <v>http://ts.21cn.com/tousu/show/id/1344892</v>
      </c>
      <c r="F13425" s="2" t="s">
        <v>11</v>
      </c>
      <c r="G13425" s="2" t="s">
        <v>17757</v>
      </c>
      <c r="H13425" s="2" t="s">
        <v>17758</v>
      </c>
    </row>
    <row r="13426" spans="1:8" ht="25.05" customHeight="1" x14ac:dyDescent="0.25">
      <c r="A13426" s="2" t="s">
        <v>8</v>
      </c>
      <c r="B13426" s="2" t="str">
        <f>HYPERLINK("http://ts.21cn.com/tousu/show/id/1344894","京东plus未经允许自动扣费")</f>
        <v>京东plus未经允许自动扣费</v>
      </c>
      <c r="C13426" s="2" t="s">
        <v>34</v>
      </c>
      <c r="D13426" s="2" t="s">
        <v>10</v>
      </c>
      <c r="E13426" s="2" t="str">
        <f>HYPERLINK("http://ts.21cn.com/tousu/show/id/1344894","http://ts.21cn.com/tousu/show/id/1344894")</f>
        <v>http://ts.21cn.com/tousu/show/id/1344894</v>
      </c>
      <c r="F13426" s="2" t="s">
        <v>11</v>
      </c>
      <c r="G13426" s="2" t="s">
        <v>17755</v>
      </c>
      <c r="H13426" s="2" t="s">
        <v>17756</v>
      </c>
    </row>
    <row r="13427" spans="1:8" ht="25.05" customHeight="1" x14ac:dyDescent="0.25">
      <c r="A13427" s="2" t="s">
        <v>8</v>
      </c>
      <c r="B13427" s="2" t="str">
        <f>HYPERLINK("http://ts.21cn.com/tousu/show/id/1344895","投诉广州轩轲美生物科技有限公司，出售问题机器且拒不处理售后问题")</f>
        <v>投诉广州轩轲美生物科技有限公司，出售问题机器且拒不处理售后问题</v>
      </c>
      <c r="C13427" s="2" t="s">
        <v>9</v>
      </c>
      <c r="D13427" s="2" t="s">
        <v>10</v>
      </c>
      <c r="E13427" s="2" t="str">
        <f>HYPERLINK("http://ts.21cn.com/tousu/show/id/1344895","http://ts.21cn.com/tousu/show/id/1344895")</f>
        <v>http://ts.21cn.com/tousu/show/id/1344895</v>
      </c>
      <c r="F13427" s="2" t="s">
        <v>11</v>
      </c>
      <c r="G13427" s="2" t="s">
        <v>17753</v>
      </c>
      <c r="H13427" s="2" t="s">
        <v>17754</v>
      </c>
    </row>
    <row r="13428" spans="1:8" ht="25.05" customHeight="1" x14ac:dyDescent="0.25">
      <c r="A13428" s="2" t="s">
        <v>8</v>
      </c>
      <c r="B13428" s="2" t="str">
        <f>HYPERLINK("http://ts.21cn.com/tousu/show/id/1344896","及贷退还学堂会员费用")</f>
        <v>及贷退还学堂会员费用</v>
      </c>
      <c r="C13428" s="2" t="s">
        <v>9</v>
      </c>
      <c r="D13428" s="2" t="s">
        <v>10</v>
      </c>
      <c r="E13428" s="2" t="str">
        <f>HYPERLINK("http://ts.21cn.com/tousu/show/id/1344896","http://ts.21cn.com/tousu/show/id/1344896")</f>
        <v>http://ts.21cn.com/tousu/show/id/1344896</v>
      </c>
      <c r="F13428" s="2" t="s">
        <v>11</v>
      </c>
      <c r="G13428" s="2" t="s">
        <v>17751</v>
      </c>
      <c r="H13428" s="2" t="s">
        <v>17752</v>
      </c>
    </row>
    <row r="13429" spans="1:8" ht="25.05" customHeight="1" x14ac:dyDescent="0.25">
      <c r="A13429" s="2" t="s">
        <v>8</v>
      </c>
      <c r="B13429" s="2" t="str">
        <f>HYPERLINK("http://ts.21cn.com/tousu/show/id/1344897","玖富万卡高利贷暴力催收")</f>
        <v>玖富万卡高利贷暴力催收</v>
      </c>
      <c r="C13429" s="2" t="s">
        <v>9</v>
      </c>
      <c r="D13429" s="2" t="s">
        <v>10</v>
      </c>
      <c r="E13429" s="2" t="str">
        <f>HYPERLINK("http://ts.21cn.com/tousu/show/id/1344897","http://ts.21cn.com/tousu/show/id/1344897")</f>
        <v>http://ts.21cn.com/tousu/show/id/1344897</v>
      </c>
      <c r="F13429" s="2" t="s">
        <v>11</v>
      </c>
      <c r="G13429" s="2" t="s">
        <v>17749</v>
      </c>
      <c r="H13429" s="2" t="s">
        <v>17750</v>
      </c>
    </row>
    <row r="13430" spans="1:8" ht="25.05" customHeight="1" x14ac:dyDescent="0.25">
      <c r="A13430" s="2" t="s">
        <v>8</v>
      </c>
      <c r="B13430" s="2" t="str">
        <f>HYPERLINK("http://ts.21cn.com/tousu/show/id/1344898","钱站涉高利贷,砍头息，要求处理")</f>
        <v>钱站涉高利贷,砍头息，要求处理</v>
      </c>
      <c r="C13430" s="2" t="s">
        <v>9</v>
      </c>
      <c r="D13430" s="2" t="s">
        <v>10</v>
      </c>
      <c r="E13430" s="2" t="str">
        <f>HYPERLINK("http://ts.21cn.com/tousu/show/id/1344898","http://ts.21cn.com/tousu/show/id/1344898")</f>
        <v>http://ts.21cn.com/tousu/show/id/1344898</v>
      </c>
      <c r="F13430" s="2" t="s">
        <v>11</v>
      </c>
      <c r="G13430" s="2" t="s">
        <v>17747</v>
      </c>
      <c r="H13430" s="2" t="s">
        <v>17748</v>
      </c>
    </row>
    <row r="13431" spans="1:8" ht="25.05" customHeight="1" x14ac:dyDescent="0.25">
      <c r="A13431" s="2" t="s">
        <v>8</v>
      </c>
      <c r="B13431" s="2" t="str">
        <f>HYPERLINK("http://ts.21cn.com/tousu/show/id/1344899","协商还款停止爆通讯录")</f>
        <v>协商还款停止爆通讯录</v>
      </c>
      <c r="C13431" s="2" t="s">
        <v>9</v>
      </c>
      <c r="D13431" s="2" t="s">
        <v>10</v>
      </c>
      <c r="E13431" s="2" t="str">
        <f>HYPERLINK("http://ts.21cn.com/tousu/show/id/1344899","http://ts.21cn.com/tousu/show/id/1344899")</f>
        <v>http://ts.21cn.com/tousu/show/id/1344899</v>
      </c>
      <c r="F13431" s="2" t="s">
        <v>11</v>
      </c>
      <c r="G13431" s="2" t="s">
        <v>17745</v>
      </c>
      <c r="H13431" s="2" t="s">
        <v>17746</v>
      </c>
    </row>
    <row r="13432" spans="1:8" ht="25.05" customHeight="1" x14ac:dyDescent="0.25">
      <c r="A13432" s="2" t="s">
        <v>8</v>
      </c>
      <c r="B13432" s="2" t="str">
        <f>HYPERLINK("http://ts.21cn.com/tousu/show/id/1344900","投诉拍拍贷肆意把我的身份号证公布")</f>
        <v>投诉拍拍贷肆意把我的身份号证公布</v>
      </c>
      <c r="C13432" s="2" t="s">
        <v>9</v>
      </c>
      <c r="D13432" s="2" t="s">
        <v>10</v>
      </c>
      <c r="E13432" s="2" t="str">
        <f>HYPERLINK("http://ts.21cn.com/tousu/show/id/1344900","http://ts.21cn.com/tousu/show/id/1344900")</f>
        <v>http://ts.21cn.com/tousu/show/id/1344900</v>
      </c>
      <c r="F13432" s="2" t="s">
        <v>11</v>
      </c>
      <c r="G13432" s="2" t="s">
        <v>17743</v>
      </c>
      <c r="H13432" s="2" t="s">
        <v>17744</v>
      </c>
    </row>
    <row r="13433" spans="1:8" ht="25.05" customHeight="1" x14ac:dyDescent="0.25">
      <c r="A13433" s="2" t="s">
        <v>8</v>
      </c>
      <c r="B13433" s="2" t="str">
        <f>HYPERLINK("http://ts.21cn.com/tousu/show/id/1344901","被威胁")</f>
        <v>被威胁</v>
      </c>
      <c r="C13433" s="2" t="s">
        <v>9</v>
      </c>
      <c r="D13433" s="2" t="s">
        <v>10</v>
      </c>
      <c r="E13433" s="2" t="str">
        <f>HYPERLINK("http://ts.21cn.com/tousu/show/id/1344901","http://ts.21cn.com/tousu/show/id/1344901")</f>
        <v>http://ts.21cn.com/tousu/show/id/1344901</v>
      </c>
      <c r="F13433" s="2" t="s">
        <v>11</v>
      </c>
      <c r="G13433" s="2" t="s">
        <v>17741</v>
      </c>
      <c r="H13433" s="2" t="s">
        <v>17742</v>
      </c>
    </row>
    <row r="13434" spans="1:8" ht="25.05" customHeight="1" x14ac:dyDescent="0.25">
      <c r="A13434" s="2" t="s">
        <v>8</v>
      </c>
      <c r="B13434" s="2" t="str">
        <f>HYPERLINK("http://ts.21cn.com/tousu/show/id/1344902","首汽约车黑心平台，乱扣钱乱收费，阴阳账单！")</f>
        <v>首汽约车黑心平台，乱扣钱乱收费，阴阳账单！</v>
      </c>
      <c r="C13434" s="2" t="s">
        <v>9</v>
      </c>
      <c r="D13434" s="2" t="s">
        <v>10</v>
      </c>
      <c r="E13434" s="2" t="str">
        <f>HYPERLINK("http://ts.21cn.com/tousu/show/id/1344902","http://ts.21cn.com/tousu/show/id/1344902")</f>
        <v>http://ts.21cn.com/tousu/show/id/1344902</v>
      </c>
      <c r="F13434" s="2" t="s">
        <v>11</v>
      </c>
      <c r="G13434" s="2" t="s">
        <v>17739</v>
      </c>
      <c r="H13434" s="2" t="s">
        <v>17740</v>
      </c>
    </row>
    <row r="13435" spans="1:8" ht="25.05" customHeight="1" x14ac:dyDescent="0.25">
      <c r="A13435" s="2" t="s">
        <v>8</v>
      </c>
      <c r="B13435" s="2" t="str">
        <f>HYPERLINK("http://ts.21cn.com/tousu/show/id/1344903","放款时间太长，不想贷了")</f>
        <v>放款时间太长，不想贷了</v>
      </c>
      <c r="C13435" s="2" t="s">
        <v>9</v>
      </c>
      <c r="D13435" s="2" t="s">
        <v>10</v>
      </c>
      <c r="E13435" s="2" t="str">
        <f>HYPERLINK("http://ts.21cn.com/tousu/show/id/1344903","http://ts.21cn.com/tousu/show/id/1344903")</f>
        <v>http://ts.21cn.com/tousu/show/id/1344903</v>
      </c>
      <c r="F13435" s="2" t="s">
        <v>11</v>
      </c>
      <c r="G13435" s="2" t="s">
        <v>17737</v>
      </c>
      <c r="H13435" s="2" t="s">
        <v>17738</v>
      </c>
    </row>
    <row r="13436" spans="1:8" ht="25.05" customHeight="1" x14ac:dyDescent="0.25">
      <c r="A13436" s="2" t="s">
        <v>8</v>
      </c>
      <c r="B13436" s="2" t="str">
        <f>HYPERLINK("http://ts.21cn.com/tousu/show/id/1344904","随手记高利贷砍头息")</f>
        <v>随手记高利贷砍头息</v>
      </c>
      <c r="C13436" s="2" t="s">
        <v>9</v>
      </c>
      <c r="D13436" s="2" t="s">
        <v>10</v>
      </c>
      <c r="E13436" s="2" t="str">
        <f>HYPERLINK("http://ts.21cn.com/tousu/show/id/1344904","http://ts.21cn.com/tousu/show/id/1344904")</f>
        <v>http://ts.21cn.com/tousu/show/id/1344904</v>
      </c>
      <c r="F13436" s="2" t="s">
        <v>11</v>
      </c>
      <c r="G13436" s="2" t="s">
        <v>17735</v>
      </c>
      <c r="H13436" s="2" t="s">
        <v>17736</v>
      </c>
    </row>
    <row r="13437" spans="1:8" ht="25.05" customHeight="1" x14ac:dyDescent="0.25">
      <c r="A13437" s="2" t="s">
        <v>8</v>
      </c>
      <c r="B13437" s="2" t="str">
        <f>HYPERLINK("http://ts.21cn.com/tousu/show/id/1344905","升学教育机构不退款")</f>
        <v>升学教育机构不退款</v>
      </c>
      <c r="C13437" s="2" t="s">
        <v>9</v>
      </c>
      <c r="D13437" s="2" t="s">
        <v>10</v>
      </c>
      <c r="E13437" s="2" t="str">
        <f>HYPERLINK("http://ts.21cn.com/tousu/show/id/1344905","http://ts.21cn.com/tousu/show/id/1344905")</f>
        <v>http://ts.21cn.com/tousu/show/id/1344905</v>
      </c>
      <c r="F13437" s="2" t="s">
        <v>11</v>
      </c>
      <c r="G13437" s="2" t="s">
        <v>17733</v>
      </c>
      <c r="H13437" s="2" t="s">
        <v>17734</v>
      </c>
    </row>
    <row r="13438" spans="1:8" ht="25.05" customHeight="1" x14ac:dyDescent="0.25">
      <c r="A13438" s="2" t="s">
        <v>8</v>
      </c>
      <c r="B13438" s="2" t="str">
        <f>HYPERLINK("http://ts.21cn.com/tousu/show/id/1344907","捷信暴力催收威胁恐吓")</f>
        <v>捷信暴力催收威胁恐吓</v>
      </c>
      <c r="C13438" s="2" t="s">
        <v>9</v>
      </c>
      <c r="D13438" s="2" t="s">
        <v>10</v>
      </c>
      <c r="E13438" s="2" t="str">
        <f>HYPERLINK("http://ts.21cn.com/tousu/show/id/1344907","http://ts.21cn.com/tousu/show/id/1344907")</f>
        <v>http://ts.21cn.com/tousu/show/id/1344907</v>
      </c>
      <c r="F13438" s="2" t="s">
        <v>11</v>
      </c>
      <c r="G13438" s="2" t="s">
        <v>17731</v>
      </c>
      <c r="H13438" s="2" t="s">
        <v>17732</v>
      </c>
    </row>
    <row r="13439" spans="1:8" ht="25.05" customHeight="1" x14ac:dyDescent="0.25">
      <c r="A13439" s="2" t="s">
        <v>8</v>
      </c>
      <c r="B13439" s="2" t="str">
        <f>HYPERLINK("http://ts.21cn.com/tousu/show/id/1344908","利息过高，按照国家利息来还款")</f>
        <v>利息过高，按照国家利息来还款</v>
      </c>
      <c r="C13439" s="2" t="s">
        <v>9</v>
      </c>
      <c r="D13439" s="2" t="s">
        <v>10</v>
      </c>
      <c r="E13439" s="2" t="str">
        <f>HYPERLINK("http://ts.21cn.com/tousu/show/id/1344908","http://ts.21cn.com/tousu/show/id/1344908")</f>
        <v>http://ts.21cn.com/tousu/show/id/1344908</v>
      </c>
      <c r="F13439" s="2" t="s">
        <v>11</v>
      </c>
      <c r="G13439" s="2" t="s">
        <v>17729</v>
      </c>
      <c r="H13439" s="2" t="s">
        <v>17730</v>
      </c>
    </row>
    <row r="13440" spans="1:8" ht="25.05" customHeight="1" x14ac:dyDescent="0.25">
      <c r="A13440" s="2" t="s">
        <v>8</v>
      </c>
      <c r="B13440" s="2" t="str">
        <f>HYPERLINK("http://ts.21cn.com/tousu/show/id/1344909","出行唯选诱导办卡")</f>
        <v>出行唯选诱导办卡</v>
      </c>
      <c r="C13440" s="2" t="s">
        <v>9</v>
      </c>
      <c r="D13440" s="2" t="s">
        <v>10</v>
      </c>
      <c r="E13440" s="2" t="str">
        <f>HYPERLINK("http://ts.21cn.com/tousu/show/id/1344909","http://ts.21cn.com/tousu/show/id/1344909")</f>
        <v>http://ts.21cn.com/tousu/show/id/1344909</v>
      </c>
      <c r="F13440" s="2" t="s">
        <v>11</v>
      </c>
      <c r="G13440" s="2" t="s">
        <v>17727</v>
      </c>
      <c r="H13440" s="2" t="s">
        <v>17728</v>
      </c>
    </row>
    <row r="13441" spans="1:8" ht="25.05" customHeight="1" x14ac:dyDescent="0.25">
      <c r="A13441" s="2" t="s">
        <v>8</v>
      </c>
      <c r="B13441" s="2" t="str">
        <f>HYPERLINK("http://ts.21cn.com/tousu/show/id/1344910","滴滴注册地不支持更改")</f>
        <v>滴滴注册地不支持更改</v>
      </c>
      <c r="C13441" s="2" t="s">
        <v>9</v>
      </c>
      <c r="D13441" s="2" t="s">
        <v>10</v>
      </c>
      <c r="E13441" s="2" t="str">
        <f>HYPERLINK("http://ts.21cn.com/tousu/show/id/1344910","http://ts.21cn.com/tousu/show/id/1344910")</f>
        <v>http://ts.21cn.com/tousu/show/id/1344910</v>
      </c>
      <c r="F13441" s="2" t="s">
        <v>11</v>
      </c>
      <c r="G13441" s="2" t="s">
        <v>17725</v>
      </c>
      <c r="H13441" s="2" t="s">
        <v>17726</v>
      </c>
    </row>
    <row r="13442" spans="1:8" ht="25.05" customHeight="1" x14ac:dyDescent="0.25">
      <c r="A13442" s="2" t="s">
        <v>8</v>
      </c>
      <c r="B13442" s="2" t="str">
        <f>HYPERLINK("http://ts.21cn.com/tousu/show/id/1344911","玖富万卡高利贷")</f>
        <v>玖富万卡高利贷</v>
      </c>
      <c r="C13442" s="2" t="s">
        <v>9</v>
      </c>
      <c r="D13442" s="2" t="s">
        <v>10</v>
      </c>
      <c r="E13442" s="2" t="str">
        <f>HYPERLINK("http://ts.21cn.com/tousu/show/id/1344911","http://ts.21cn.com/tousu/show/id/1344911")</f>
        <v>http://ts.21cn.com/tousu/show/id/1344911</v>
      </c>
      <c r="F13442" s="2" t="s">
        <v>11</v>
      </c>
      <c r="G13442" s="2" t="s">
        <v>17723</v>
      </c>
      <c r="H13442" s="2" t="s">
        <v>17724</v>
      </c>
    </row>
    <row r="13443" spans="1:8" ht="25.05" customHeight="1" x14ac:dyDescent="0.25">
      <c r="A13443" s="2" t="s">
        <v>8</v>
      </c>
      <c r="B13443" s="2" t="str">
        <f>HYPERLINK("http://ts.21cn.com/tousu/show/id/1344912","暴力催收，恐吓")</f>
        <v>暴力催收，恐吓</v>
      </c>
      <c r="C13443" s="2" t="s">
        <v>9</v>
      </c>
      <c r="D13443" s="2" t="s">
        <v>10</v>
      </c>
      <c r="E13443" s="2" t="str">
        <f>HYPERLINK("http://ts.21cn.com/tousu/show/id/1344912","http://ts.21cn.com/tousu/show/id/1344912")</f>
        <v>http://ts.21cn.com/tousu/show/id/1344912</v>
      </c>
      <c r="F13443" s="2" t="s">
        <v>11</v>
      </c>
      <c r="G13443" s="2" t="s">
        <v>17721</v>
      </c>
      <c r="H13443" s="2" t="s">
        <v>17722</v>
      </c>
    </row>
    <row r="13444" spans="1:8" ht="25.05" customHeight="1" x14ac:dyDescent="0.25">
      <c r="A13444" s="2" t="s">
        <v>8</v>
      </c>
      <c r="B13444" s="2" t="str">
        <f>HYPERLINK("http://ts.21cn.com/tousu/show/id/1344913","安逸花恶意扣取用户资金")</f>
        <v>安逸花恶意扣取用户资金</v>
      </c>
      <c r="C13444" s="2" t="s">
        <v>9</v>
      </c>
      <c r="D13444" s="2" t="s">
        <v>10</v>
      </c>
      <c r="E13444" s="2" t="str">
        <f>HYPERLINK("http://ts.21cn.com/tousu/show/id/1344913","http://ts.21cn.com/tousu/show/id/1344913")</f>
        <v>http://ts.21cn.com/tousu/show/id/1344913</v>
      </c>
      <c r="F13444" s="2" t="s">
        <v>11</v>
      </c>
      <c r="G13444" s="2" t="s">
        <v>17719</v>
      </c>
      <c r="H13444" s="2" t="s">
        <v>17720</v>
      </c>
    </row>
    <row r="13445" spans="1:8" ht="25.05" customHeight="1" x14ac:dyDescent="0.25">
      <c r="A13445" s="2" t="s">
        <v>8</v>
      </c>
      <c r="B13445" s="2" t="str">
        <f>HYPERLINK("http://ts.21cn.com/tousu/show/id/1344916","高利贷阴阳合同")</f>
        <v>高利贷阴阳合同</v>
      </c>
      <c r="C13445" s="2" t="s">
        <v>9</v>
      </c>
      <c r="D13445" s="2" t="s">
        <v>10</v>
      </c>
      <c r="E13445" s="2" t="str">
        <f>HYPERLINK("http://ts.21cn.com/tousu/show/id/1344916","http://ts.21cn.com/tousu/show/id/1344916")</f>
        <v>http://ts.21cn.com/tousu/show/id/1344916</v>
      </c>
      <c r="F13445" s="2" t="s">
        <v>11</v>
      </c>
      <c r="G13445" s="2" t="s">
        <v>17717</v>
      </c>
      <c r="H13445" s="2" t="s">
        <v>17718</v>
      </c>
    </row>
    <row r="13446" spans="1:8" ht="25.05" customHeight="1" x14ac:dyDescent="0.25">
      <c r="A13446" s="2" t="s">
        <v>8</v>
      </c>
      <c r="B13446" s="2" t="str">
        <f>HYPERLINK("http://ts.21cn.com/tousu/show/id/1344914","催收骚扰")</f>
        <v>催收骚扰</v>
      </c>
      <c r="C13446" s="2" t="s">
        <v>9</v>
      </c>
      <c r="D13446" s="2" t="s">
        <v>10</v>
      </c>
      <c r="E13446" s="2" t="str">
        <f>HYPERLINK("http://ts.21cn.com/tousu/show/id/1344914","http://ts.21cn.com/tousu/show/id/1344914")</f>
        <v>http://ts.21cn.com/tousu/show/id/1344914</v>
      </c>
      <c r="F13446" s="2" t="s">
        <v>11</v>
      </c>
      <c r="G13446" s="2" t="s">
        <v>17715</v>
      </c>
      <c r="H13446" s="2" t="s">
        <v>17716</v>
      </c>
    </row>
    <row r="13447" spans="1:8" ht="25.05" customHeight="1" x14ac:dyDescent="0.25">
      <c r="A13447" s="2" t="s">
        <v>8</v>
      </c>
      <c r="B13447" s="2" t="str">
        <f>HYPERLINK("http://ts.21cn.com/tousu/show/id/1344915","开启甜橙金融后，发现额度无法满足需求，所以需要关闭，但是联系客服提示无法关闭")</f>
        <v>开启甜橙金融后，发现额度无法满足需求，所以需要关闭，但是联系客服提示无法关闭</v>
      </c>
      <c r="C13447" s="2" t="s">
        <v>34</v>
      </c>
      <c r="D13447" s="2" t="s">
        <v>10</v>
      </c>
      <c r="E13447" s="2" t="str">
        <f>HYPERLINK("http://ts.21cn.com/tousu/show/id/1344915","http://ts.21cn.com/tousu/show/id/1344915")</f>
        <v>http://ts.21cn.com/tousu/show/id/1344915</v>
      </c>
      <c r="F13447" s="2" t="s">
        <v>11</v>
      </c>
      <c r="G13447" s="2" t="s">
        <v>17713</v>
      </c>
      <c r="H13447" s="2" t="s">
        <v>17714</v>
      </c>
    </row>
    <row r="13448" spans="1:8" ht="25.05" customHeight="1" x14ac:dyDescent="0.25">
      <c r="A13448" s="2" t="s">
        <v>8</v>
      </c>
      <c r="B13448" s="2" t="str">
        <f>HYPERLINK("http://ts.21cn.com/tousu/show/id/1166405","玖富万卡变相高利贷，收取高额信息费")</f>
        <v>玖富万卡变相高利贷，收取高额信息费</v>
      </c>
      <c r="C13448" s="2" t="s">
        <v>9</v>
      </c>
      <c r="D13448" s="2" t="s">
        <v>10</v>
      </c>
      <c r="E13448" s="2" t="str">
        <f>HYPERLINK("http://ts.21cn.com/tousu/show/id/1166405","http://ts.21cn.com/tousu/show/id/1166405")</f>
        <v>http://ts.21cn.com/tousu/show/id/1166405</v>
      </c>
      <c r="F13448" s="2" t="s">
        <v>11</v>
      </c>
      <c r="G13448" s="2" t="s">
        <v>17711</v>
      </c>
      <c r="H13448" s="2" t="s">
        <v>17712</v>
      </c>
    </row>
    <row r="13449" spans="1:8" ht="25.05" customHeight="1" x14ac:dyDescent="0.25">
      <c r="A13449" s="2" t="s">
        <v>8</v>
      </c>
      <c r="B13449" s="2" t="str">
        <f>HYPERLINK("http://ts.21cn.com/tousu/show/id/1344920","高利贷砍头息，要求退还不合理的钱")</f>
        <v>高利贷砍头息，要求退还不合理的钱</v>
      </c>
      <c r="C13449" s="2" t="s">
        <v>9</v>
      </c>
      <c r="D13449" s="2" t="s">
        <v>10</v>
      </c>
      <c r="E13449" s="2" t="str">
        <f>HYPERLINK("http://ts.21cn.com/tousu/show/id/1344920","http://ts.21cn.com/tousu/show/id/1344920")</f>
        <v>http://ts.21cn.com/tousu/show/id/1344920</v>
      </c>
      <c r="F13449" s="2" t="s">
        <v>11</v>
      </c>
      <c r="G13449" s="2" t="s">
        <v>17709</v>
      </c>
      <c r="H13449" s="2" t="s">
        <v>17710</v>
      </c>
    </row>
    <row r="13450" spans="1:8" ht="25.05" customHeight="1" x14ac:dyDescent="0.25">
      <c r="A13450" s="2" t="s">
        <v>8</v>
      </c>
      <c r="B13450" s="2" t="str">
        <f>HYPERLINK("http://ts.21cn.com/tousu/show/id/1344922","本人欠贷五万，已经还够本金，因现在生意失败而没还完利息，现亲朋好友被催收骚扰")</f>
        <v>本人欠贷五万，已经还够本金，因现在生意失败而没还完利息，现亲朋好友被催收骚扰</v>
      </c>
      <c r="C13450" s="2" t="s">
        <v>9</v>
      </c>
      <c r="D13450" s="2" t="s">
        <v>10</v>
      </c>
      <c r="E13450" s="2" t="str">
        <f>HYPERLINK("http://ts.21cn.com/tousu/show/id/1344922","http://ts.21cn.com/tousu/show/id/1344922")</f>
        <v>http://ts.21cn.com/tousu/show/id/1344922</v>
      </c>
      <c r="F13450" s="2" t="s">
        <v>11</v>
      </c>
      <c r="G13450" s="2" t="s">
        <v>17707</v>
      </c>
      <c r="H13450" s="2" t="s">
        <v>17708</v>
      </c>
    </row>
    <row r="13451" spans="1:8" ht="25.05" customHeight="1" x14ac:dyDescent="0.25">
      <c r="A13451" s="2" t="s">
        <v>8</v>
      </c>
      <c r="B13451" s="2" t="str">
        <f>HYPERLINK("http://ts.21cn.com/tousu/show/id/1344923","商品质量问题")</f>
        <v>商品质量问题</v>
      </c>
      <c r="C13451" s="2" t="s">
        <v>9</v>
      </c>
      <c r="D13451" s="2" t="s">
        <v>10</v>
      </c>
      <c r="E13451" s="2" t="str">
        <f>HYPERLINK("http://ts.21cn.com/tousu/show/id/1344923","http://ts.21cn.com/tousu/show/id/1344923")</f>
        <v>http://ts.21cn.com/tousu/show/id/1344923</v>
      </c>
      <c r="F13451" s="2" t="s">
        <v>11</v>
      </c>
      <c r="G13451" s="2" t="s">
        <v>17705</v>
      </c>
      <c r="H13451" s="2" t="s">
        <v>17706</v>
      </c>
    </row>
    <row r="13452" spans="1:8" ht="25.05" customHeight="1" x14ac:dyDescent="0.25">
      <c r="A13452" s="2" t="s">
        <v>8</v>
      </c>
      <c r="B13452" s="2" t="str">
        <f>HYPERLINK("http://ts.21cn.com/tousu/show/id/1344924","你我贷协商还款")</f>
        <v>你我贷协商还款</v>
      </c>
      <c r="C13452" s="2" t="s">
        <v>9</v>
      </c>
      <c r="D13452" s="2" t="s">
        <v>10</v>
      </c>
      <c r="E13452" s="2" t="str">
        <f>HYPERLINK("http://ts.21cn.com/tousu/show/id/1344924","http://ts.21cn.com/tousu/show/id/1344924")</f>
        <v>http://ts.21cn.com/tousu/show/id/1344924</v>
      </c>
      <c r="F13452" s="2" t="s">
        <v>11</v>
      </c>
      <c r="G13452" s="2" t="s">
        <v>17703</v>
      </c>
      <c r="H13452" s="2" t="s">
        <v>17704</v>
      </c>
    </row>
    <row r="13453" spans="1:8" ht="25.05" customHeight="1" x14ac:dyDescent="0.25">
      <c r="A13453" s="2" t="s">
        <v>8</v>
      </c>
      <c r="B13453" s="2" t="str">
        <f>HYPERLINK("http://ts.21cn.com/tousu/show/id/1344925","投诉了无数次了，退个押金这么难吗？")</f>
        <v>投诉了无数次了，退个押金这么难吗？</v>
      </c>
      <c r="C13453" s="2" t="s">
        <v>9</v>
      </c>
      <c r="D13453" s="2" t="s">
        <v>10</v>
      </c>
      <c r="E13453" s="2" t="str">
        <f>HYPERLINK("http://ts.21cn.com/tousu/show/id/1344925","http://ts.21cn.com/tousu/show/id/1344925")</f>
        <v>http://ts.21cn.com/tousu/show/id/1344925</v>
      </c>
      <c r="F13453" s="2" t="s">
        <v>11</v>
      </c>
      <c r="G13453" s="2" t="s">
        <v>17701</v>
      </c>
      <c r="H13453" s="2" t="s">
        <v>17702</v>
      </c>
    </row>
    <row r="13454" spans="1:8" ht="25.05" customHeight="1" x14ac:dyDescent="0.25">
      <c r="A13454" s="2" t="s">
        <v>8</v>
      </c>
      <c r="B13454" s="2" t="str">
        <f>HYPERLINK("http://ts.21cn.com/tousu/show/id/1344926","故意制造逾期收逾期费，高利贷")</f>
        <v>故意制造逾期收逾期费，高利贷</v>
      </c>
      <c r="C13454" s="2" t="s">
        <v>9</v>
      </c>
      <c r="D13454" s="2" t="s">
        <v>10</v>
      </c>
      <c r="E13454" s="2" t="str">
        <f>HYPERLINK("http://ts.21cn.com/tousu/show/id/1344926","http://ts.21cn.com/tousu/show/id/1344926")</f>
        <v>http://ts.21cn.com/tousu/show/id/1344926</v>
      </c>
      <c r="F13454" s="2" t="s">
        <v>11</v>
      </c>
      <c r="G13454" s="2" t="s">
        <v>17699</v>
      </c>
      <c r="H13454" s="2" t="s">
        <v>17700</v>
      </c>
    </row>
    <row r="13455" spans="1:8" ht="25.05" customHeight="1" x14ac:dyDescent="0.25">
      <c r="A13455" s="2" t="s">
        <v>8</v>
      </c>
      <c r="B13455" s="2" t="str">
        <f>HYPERLINK("http://ts.21cn.com/tousu/show/id/1344927","优信优卡不能充值，合作方寺库、北京银联商务受牵连，回应协助积极处理")</f>
        <v>优信优卡不能充值，合作方寺库、北京银联商务受牵连，回应协助积极处理</v>
      </c>
      <c r="C13455" s="2" t="s">
        <v>9</v>
      </c>
      <c r="D13455" s="2" t="s">
        <v>10</v>
      </c>
      <c r="E13455" s="2" t="str">
        <f>HYPERLINK("http://ts.21cn.com/tousu/show/id/1344927","http://ts.21cn.com/tousu/show/id/1344927")</f>
        <v>http://ts.21cn.com/tousu/show/id/1344927</v>
      </c>
      <c r="F13455" s="2" t="s">
        <v>11</v>
      </c>
      <c r="G13455" s="2" t="s">
        <v>17697</v>
      </c>
      <c r="H13455" s="2" t="s">
        <v>17698</v>
      </c>
    </row>
    <row r="13456" spans="1:8" ht="25.05" customHeight="1" x14ac:dyDescent="0.25">
      <c r="A13456" s="2" t="s">
        <v>8</v>
      </c>
      <c r="B13456" s="2" t="str">
        <f>HYPERLINK("http://ts.21cn.com/tousu/show/id/1344929","高利贷")</f>
        <v>高利贷</v>
      </c>
      <c r="C13456" s="2" t="s">
        <v>9</v>
      </c>
      <c r="D13456" s="2" t="s">
        <v>10</v>
      </c>
      <c r="E13456" s="2" t="str">
        <f>HYPERLINK("http://ts.21cn.com/tousu/show/id/1344929","http://ts.21cn.com/tousu/show/id/1344929")</f>
        <v>http://ts.21cn.com/tousu/show/id/1344929</v>
      </c>
      <c r="F13456" s="2" t="s">
        <v>11</v>
      </c>
      <c r="G13456" s="2" t="s">
        <v>17695</v>
      </c>
      <c r="H13456" s="2" t="s">
        <v>17696</v>
      </c>
    </row>
    <row r="13457" spans="1:8" ht="25.05" customHeight="1" x14ac:dyDescent="0.25">
      <c r="A13457" s="2" t="s">
        <v>8</v>
      </c>
      <c r="B13457" s="2" t="str">
        <f>HYPERLINK("http://ts.21cn.com/tousu/show/id/1344928","掌众金服平台贷款软件发放高利贷套路贷并且砍头息")</f>
        <v>掌众金服平台贷款软件发放高利贷套路贷并且砍头息</v>
      </c>
      <c r="C13457" s="2" t="s">
        <v>9</v>
      </c>
      <c r="D13457" s="2" t="s">
        <v>10</v>
      </c>
      <c r="E13457" s="2" t="str">
        <f>HYPERLINK("http://ts.21cn.com/tousu/show/id/1344928","http://ts.21cn.com/tousu/show/id/1344928")</f>
        <v>http://ts.21cn.com/tousu/show/id/1344928</v>
      </c>
      <c r="F13457" s="2" t="s">
        <v>11</v>
      </c>
      <c r="G13457" s="2" t="s">
        <v>17693</v>
      </c>
      <c r="H13457" s="2" t="s">
        <v>17694</v>
      </c>
    </row>
    <row r="13458" spans="1:8" ht="25.05" customHeight="1" x14ac:dyDescent="0.25">
      <c r="A13458" s="2" t="s">
        <v>8</v>
      </c>
      <c r="B13458" s="2" t="str">
        <f>HYPERLINK("http://ts.21cn.com/tousu/show/id/1344930","小树时代还款不销账，催款电话一直打")</f>
        <v>小树时代还款不销账，催款电话一直打</v>
      </c>
      <c r="C13458" s="2" t="s">
        <v>34</v>
      </c>
      <c r="D13458" s="2" t="s">
        <v>10</v>
      </c>
      <c r="E13458" s="2" t="str">
        <f>HYPERLINK("http://ts.21cn.com/tousu/show/id/1344930","http://ts.21cn.com/tousu/show/id/1344930")</f>
        <v>http://ts.21cn.com/tousu/show/id/1344930</v>
      </c>
      <c r="F13458" s="2" t="s">
        <v>11</v>
      </c>
      <c r="G13458" s="2" t="s">
        <v>17691</v>
      </c>
      <c r="H13458" s="2" t="s">
        <v>17692</v>
      </c>
    </row>
    <row r="13459" spans="1:8" ht="25.05" customHeight="1" x14ac:dyDescent="0.25">
      <c r="A13459" s="2" t="s">
        <v>8</v>
      </c>
      <c r="B13459" s="2" t="str">
        <f>HYPERLINK("http://ts.21cn.com/tousu/show/id/1344932","招商银行信用卡逾期还款问题")</f>
        <v>招商银行信用卡逾期还款问题</v>
      </c>
      <c r="C13459" s="2" t="s">
        <v>34</v>
      </c>
      <c r="D13459" s="2" t="s">
        <v>10</v>
      </c>
      <c r="E13459" s="2" t="str">
        <f>HYPERLINK("http://ts.21cn.com/tousu/show/id/1344932","http://ts.21cn.com/tousu/show/id/1344932")</f>
        <v>http://ts.21cn.com/tousu/show/id/1344932</v>
      </c>
      <c r="F13459" s="2" t="s">
        <v>11</v>
      </c>
      <c r="G13459" s="2" t="s">
        <v>17689</v>
      </c>
      <c r="H13459" s="2" t="s">
        <v>17690</v>
      </c>
    </row>
    <row r="13460" spans="1:8" ht="25.05" customHeight="1" x14ac:dyDescent="0.25">
      <c r="A13460" s="2" t="s">
        <v>8</v>
      </c>
      <c r="B13460" s="2" t="str">
        <f>HYPERLINK("http://ts.21cn.com/tousu/show/id/1344933","招联金融言语威胁")</f>
        <v>招联金融言语威胁</v>
      </c>
      <c r="C13460" s="2" t="s">
        <v>9</v>
      </c>
      <c r="D13460" s="2" t="s">
        <v>10</v>
      </c>
      <c r="E13460" s="2" t="str">
        <f>HYPERLINK("http://ts.21cn.com/tousu/show/id/1344933","http://ts.21cn.com/tousu/show/id/1344933")</f>
        <v>http://ts.21cn.com/tousu/show/id/1344933</v>
      </c>
      <c r="F13460" s="2" t="s">
        <v>11</v>
      </c>
      <c r="G13460" s="2" t="s">
        <v>17686</v>
      </c>
      <c r="H13460" s="2" t="s">
        <v>17687</v>
      </c>
    </row>
    <row r="13461" spans="1:8" ht="25.05" customHeight="1" x14ac:dyDescent="0.25">
      <c r="A13461" s="2" t="s">
        <v>8</v>
      </c>
      <c r="B13461" s="2" t="str">
        <f>HYPERLINK("http://ts.21cn.com/tousu/show/id/1344919","gofun公司高速拖车费要客户自行承担")</f>
        <v>gofun公司高速拖车费要客户自行承担</v>
      </c>
      <c r="C13461" s="2" t="s">
        <v>9</v>
      </c>
      <c r="D13461" s="2" t="s">
        <v>10</v>
      </c>
      <c r="E13461" s="2" t="str">
        <f>HYPERLINK("http://ts.21cn.com/tousu/show/id/1344919","http://ts.21cn.com/tousu/show/id/1344919")</f>
        <v>http://ts.21cn.com/tousu/show/id/1344919</v>
      </c>
      <c r="F13461" s="2" t="s">
        <v>11</v>
      </c>
      <c r="G13461" s="2" t="s">
        <v>17686</v>
      </c>
      <c r="H13461" s="2" t="s">
        <v>17688</v>
      </c>
    </row>
    <row r="13462" spans="1:8" ht="25.05" customHeight="1" x14ac:dyDescent="0.25">
      <c r="A13462" s="2" t="s">
        <v>8</v>
      </c>
      <c r="B13462" s="2" t="str">
        <f>HYPERLINK("http://ts.21cn.com/tousu/show/id/1344934","贷款平台恶意扣费")</f>
        <v>贷款平台恶意扣费</v>
      </c>
      <c r="C13462" s="2" t="s">
        <v>9</v>
      </c>
      <c r="D13462" s="2" t="s">
        <v>10</v>
      </c>
      <c r="E13462" s="2" t="str">
        <f>HYPERLINK("http://ts.21cn.com/tousu/show/id/1344934","http://ts.21cn.com/tousu/show/id/1344934")</f>
        <v>http://ts.21cn.com/tousu/show/id/1344934</v>
      </c>
      <c r="F13462" s="2" t="s">
        <v>11</v>
      </c>
      <c r="G13462" s="2" t="s">
        <v>17684</v>
      </c>
      <c r="H13462" s="2" t="s">
        <v>17685</v>
      </c>
    </row>
    <row r="13463" spans="1:8" ht="25.05" customHeight="1" x14ac:dyDescent="0.25">
      <c r="A13463" s="2" t="s">
        <v>8</v>
      </c>
      <c r="B13463" s="2" t="str">
        <f>HYPERLINK("http://ts.21cn.com/tousu/show/id/1344917","国美易卡恶心")</f>
        <v>国美易卡恶心</v>
      </c>
      <c r="C13463" s="2" t="s">
        <v>9</v>
      </c>
      <c r="D13463" s="2" t="s">
        <v>10</v>
      </c>
      <c r="E13463" s="2" t="str">
        <f>HYPERLINK("http://ts.21cn.com/tousu/show/id/1344917","http://ts.21cn.com/tousu/show/id/1344917")</f>
        <v>http://ts.21cn.com/tousu/show/id/1344917</v>
      </c>
      <c r="F13463" s="2" t="s">
        <v>11</v>
      </c>
      <c r="G13463" s="2" t="s">
        <v>17682</v>
      </c>
      <c r="H13463" s="2" t="s">
        <v>17683</v>
      </c>
    </row>
    <row r="13464" spans="1:8" ht="25.05" customHeight="1" x14ac:dyDescent="0.25">
      <c r="A13464" s="2" t="s">
        <v>8</v>
      </c>
      <c r="B13464" s="2" t="str">
        <f>HYPERLINK("http://ts.21cn.com/tousu/show/id/1344935","广发银行催收")</f>
        <v>广发银行催收</v>
      </c>
      <c r="C13464" s="2" t="s">
        <v>9</v>
      </c>
      <c r="D13464" s="2" t="s">
        <v>10</v>
      </c>
      <c r="E13464" s="2" t="str">
        <f>HYPERLINK("http://ts.21cn.com/tousu/show/id/1344935","http://ts.21cn.com/tousu/show/id/1344935")</f>
        <v>http://ts.21cn.com/tousu/show/id/1344935</v>
      </c>
      <c r="F13464" s="2" t="s">
        <v>11</v>
      </c>
      <c r="G13464" s="2" t="s">
        <v>17680</v>
      </c>
      <c r="H13464" s="2" t="s">
        <v>17681</v>
      </c>
    </row>
    <row r="13465" spans="1:8" ht="25.05" customHeight="1" x14ac:dyDescent="0.25">
      <c r="A13465" s="2" t="s">
        <v>8</v>
      </c>
      <c r="B13465" s="2" t="str">
        <f>HYPERLINK("http://ts.21cn.com/tousu/show/id/1344936","立马进钱呆呆苞高利贷套路贷")</f>
        <v>立马进钱呆呆苞高利贷套路贷</v>
      </c>
      <c r="C13465" s="2" t="s">
        <v>9</v>
      </c>
      <c r="D13465" s="2" t="s">
        <v>10</v>
      </c>
      <c r="E13465" s="2" t="str">
        <f>HYPERLINK("http://ts.21cn.com/tousu/show/id/1344936","http://ts.21cn.com/tousu/show/id/1344936")</f>
        <v>http://ts.21cn.com/tousu/show/id/1344936</v>
      </c>
      <c r="F13465" s="2" t="s">
        <v>11</v>
      </c>
      <c r="G13465" s="2" t="s">
        <v>17678</v>
      </c>
      <c r="H13465" s="2" t="s">
        <v>17679</v>
      </c>
    </row>
    <row r="13466" spans="1:8" ht="25.05" customHeight="1" x14ac:dyDescent="0.25">
      <c r="A13466" s="2" t="s">
        <v>8</v>
      </c>
      <c r="B13466" s="2" t="str">
        <f>HYPERLINK("http://ts.21cn.com/tousu/show/id/1344868","任你花平台没有借款，被催收")</f>
        <v>任你花平台没有借款，被催收</v>
      </c>
      <c r="C13466" s="2" t="s">
        <v>9</v>
      </c>
      <c r="D13466" s="2" t="s">
        <v>10</v>
      </c>
      <c r="E13466" s="2" t="str">
        <f>HYPERLINK("http://ts.21cn.com/tousu/show/id/1344868","http://ts.21cn.com/tousu/show/id/1344868")</f>
        <v>http://ts.21cn.com/tousu/show/id/1344868</v>
      </c>
      <c r="F13466" s="2" t="s">
        <v>11</v>
      </c>
      <c r="G13466" s="2" t="s">
        <v>17676</v>
      </c>
      <c r="H13466" s="2" t="s">
        <v>17677</v>
      </c>
    </row>
    <row r="13467" spans="1:8" ht="25.05" customHeight="1" x14ac:dyDescent="0.25">
      <c r="A13467" s="2" t="s">
        <v>8</v>
      </c>
      <c r="B13467" s="2" t="str">
        <f>HYPERLINK("http://ts.21cn.com/tousu/show/id/1344938","黑网贷，扣款容易还款难")</f>
        <v>黑网贷，扣款容易还款难</v>
      </c>
      <c r="C13467" s="2" t="s">
        <v>9</v>
      </c>
      <c r="D13467" s="2" t="s">
        <v>10</v>
      </c>
      <c r="E13467" s="2" t="str">
        <f>HYPERLINK("http://ts.21cn.com/tousu/show/id/1344938","http://ts.21cn.com/tousu/show/id/1344938")</f>
        <v>http://ts.21cn.com/tousu/show/id/1344938</v>
      </c>
      <c r="F13467" s="2" t="s">
        <v>11</v>
      </c>
      <c r="G13467" s="2" t="s">
        <v>17674</v>
      </c>
      <c r="H13467" s="2" t="s">
        <v>17675</v>
      </c>
    </row>
    <row r="13468" spans="1:8" ht="25.05" customHeight="1" x14ac:dyDescent="0.25">
      <c r="A13468" s="2" t="s">
        <v>8</v>
      </c>
      <c r="B13468" s="2" t="str">
        <f>HYPERLINK("http://ts.21cn.com/tousu/show/id/1344937","拼趣多收取保证金2000元到现在没有退")</f>
        <v>拼趣多收取保证金2000元到现在没有退</v>
      </c>
      <c r="C13468" s="2" t="s">
        <v>34</v>
      </c>
      <c r="D13468" s="2" t="s">
        <v>10</v>
      </c>
      <c r="E13468" s="2" t="str">
        <f>HYPERLINK("http://ts.21cn.com/tousu/show/id/1344937","http://ts.21cn.com/tousu/show/id/1344937")</f>
        <v>http://ts.21cn.com/tousu/show/id/1344937</v>
      </c>
      <c r="F13468" s="2" t="s">
        <v>11</v>
      </c>
      <c r="G13468" s="2" t="s">
        <v>17672</v>
      </c>
      <c r="H13468" s="2" t="s">
        <v>17673</v>
      </c>
    </row>
    <row r="13469" spans="1:8" ht="25.05" customHeight="1" x14ac:dyDescent="0.25">
      <c r="A13469" s="2" t="s">
        <v>8</v>
      </c>
      <c r="B13469" s="2" t="str">
        <f>HYPERLINK("http://ts.21cn.com/tousu/show/id/1344939","拉卡拉无故冻结商户资金")</f>
        <v>拉卡拉无故冻结商户资金</v>
      </c>
      <c r="C13469" s="2" t="s">
        <v>9</v>
      </c>
      <c r="D13469" s="2" t="s">
        <v>10</v>
      </c>
      <c r="E13469" s="2" t="str">
        <f>HYPERLINK("http://ts.21cn.com/tousu/show/id/1344939","http://ts.21cn.com/tousu/show/id/1344939")</f>
        <v>http://ts.21cn.com/tousu/show/id/1344939</v>
      </c>
      <c r="F13469" s="2" t="s">
        <v>11</v>
      </c>
      <c r="G13469" s="2" t="s">
        <v>17670</v>
      </c>
      <c r="H13469" s="2" t="s">
        <v>17671</v>
      </c>
    </row>
    <row r="13470" spans="1:8" ht="25.05" customHeight="1" x14ac:dyDescent="0.25">
      <c r="A13470" s="2" t="s">
        <v>8</v>
      </c>
      <c r="B13470" s="2" t="str">
        <f>HYPERLINK("http://ts.21cn.com/tousu/show/id/1344940","现金巴士套路贷")</f>
        <v>现金巴士套路贷</v>
      </c>
      <c r="C13470" s="2" t="s">
        <v>9</v>
      </c>
      <c r="D13470" s="2" t="s">
        <v>10</v>
      </c>
      <c r="E13470" s="2" t="str">
        <f>HYPERLINK("http://ts.21cn.com/tousu/show/id/1344940","http://ts.21cn.com/tousu/show/id/1344940")</f>
        <v>http://ts.21cn.com/tousu/show/id/1344940</v>
      </c>
      <c r="F13470" s="2" t="s">
        <v>11</v>
      </c>
      <c r="G13470" s="2" t="s">
        <v>17668</v>
      </c>
      <c r="H13470" s="2" t="s">
        <v>17669</v>
      </c>
    </row>
    <row r="13471" spans="1:8" ht="25.05" customHeight="1" x14ac:dyDescent="0.25">
      <c r="A13471" s="2" t="s">
        <v>8</v>
      </c>
      <c r="B13471" s="2" t="str">
        <f>HYPERLINK("http://ts.21cn.com/tousu/show/id/1344941","智富车贷违法偷车，拒绝提前还款")</f>
        <v>智富车贷违法偷车，拒绝提前还款</v>
      </c>
      <c r="C13471" s="2" t="s">
        <v>9</v>
      </c>
      <c r="D13471" s="2" t="s">
        <v>10</v>
      </c>
      <c r="E13471" s="2" t="str">
        <f>HYPERLINK("http://ts.21cn.com/tousu/show/id/1344941","http://ts.21cn.com/tousu/show/id/1344941")</f>
        <v>http://ts.21cn.com/tousu/show/id/1344941</v>
      </c>
      <c r="F13471" s="2" t="s">
        <v>11</v>
      </c>
      <c r="G13471" s="2" t="s">
        <v>17666</v>
      </c>
      <c r="H13471" s="2" t="s">
        <v>17667</v>
      </c>
    </row>
    <row r="13472" spans="1:8" ht="25.05" customHeight="1" x14ac:dyDescent="0.25">
      <c r="A13472" s="2" t="s">
        <v>8</v>
      </c>
      <c r="B13472" s="2" t="str">
        <f>HYPERLINK("http://ts.21cn.com/tousu/show/id/1344942","套路贷")</f>
        <v>套路贷</v>
      </c>
      <c r="C13472" s="2" t="s">
        <v>9</v>
      </c>
      <c r="D13472" s="2" t="s">
        <v>10</v>
      </c>
      <c r="E13472" s="2" t="str">
        <f>HYPERLINK("http://ts.21cn.com/tousu/show/id/1344942","http://ts.21cn.com/tousu/show/id/1344942")</f>
        <v>http://ts.21cn.com/tousu/show/id/1344942</v>
      </c>
      <c r="F13472" s="2" t="s">
        <v>11</v>
      </c>
      <c r="G13472" s="2" t="s">
        <v>17664</v>
      </c>
      <c r="H13472" s="2" t="s">
        <v>17665</v>
      </c>
    </row>
    <row r="13473" spans="1:8" ht="25.05" customHeight="1" x14ac:dyDescent="0.25">
      <c r="A13473" s="2" t="s">
        <v>8</v>
      </c>
      <c r="B13473" s="2" t="str">
        <f>HYPERLINK("http://ts.21cn.com/tousu/show/id/1344943","360借条恶意爆通讯录")</f>
        <v>360借条恶意爆通讯录</v>
      </c>
      <c r="C13473" s="2" t="s">
        <v>9</v>
      </c>
      <c r="D13473" s="2" t="s">
        <v>10</v>
      </c>
      <c r="E13473" s="2" t="str">
        <f>HYPERLINK("http://ts.21cn.com/tousu/show/id/1344943","http://ts.21cn.com/tousu/show/id/1344943")</f>
        <v>http://ts.21cn.com/tousu/show/id/1344943</v>
      </c>
      <c r="F13473" s="2" t="s">
        <v>11</v>
      </c>
      <c r="G13473" s="2" t="s">
        <v>17662</v>
      </c>
      <c r="H13473" s="2" t="s">
        <v>17663</v>
      </c>
    </row>
    <row r="13474" spans="1:8" ht="25.05" customHeight="1" x14ac:dyDescent="0.25">
      <c r="A13474" s="2" t="s">
        <v>8</v>
      </c>
      <c r="B13474" s="2" t="str">
        <f>HYPERLINK("http://ts.21cn.com/tousu/show/id/1342889","嘉盈顺（拇指下款、百货聚惠）不知道哪个名字是真的，擅自扣取费用不给我退款")</f>
        <v>嘉盈顺（拇指下款、百货聚惠）不知道哪个名字是真的，擅自扣取费用不给我退款</v>
      </c>
      <c r="C13474" s="2" t="s">
        <v>9</v>
      </c>
      <c r="D13474" s="2" t="s">
        <v>10</v>
      </c>
      <c r="E13474" s="2" t="str">
        <f>HYPERLINK("http://ts.21cn.com/tousu/show/id/1342889","http://ts.21cn.com/tousu/show/id/1342889")</f>
        <v>http://ts.21cn.com/tousu/show/id/1342889</v>
      </c>
      <c r="F13474" s="2" t="s">
        <v>11</v>
      </c>
      <c r="G13474" s="2" t="s">
        <v>17660</v>
      </c>
      <c r="H13474" s="2" t="s">
        <v>17661</v>
      </c>
    </row>
    <row r="13475" spans="1:8" ht="25.05" customHeight="1" x14ac:dyDescent="0.25">
      <c r="A13475" s="2" t="s">
        <v>8</v>
      </c>
      <c r="B13475" s="2" t="str">
        <f>HYPERLINK("http://ts.21cn.com/tousu/show/id/1344945","微贷网多米贷乱打通讯录")</f>
        <v>微贷网多米贷乱打通讯录</v>
      </c>
      <c r="C13475" s="2" t="s">
        <v>9</v>
      </c>
      <c r="D13475" s="2" t="s">
        <v>10</v>
      </c>
      <c r="E13475" s="2" t="str">
        <f>HYPERLINK("http://ts.21cn.com/tousu/show/id/1344945","http://ts.21cn.com/tousu/show/id/1344945")</f>
        <v>http://ts.21cn.com/tousu/show/id/1344945</v>
      </c>
      <c r="F13475" s="2" t="s">
        <v>11</v>
      </c>
      <c r="G13475" s="2" t="s">
        <v>17658</v>
      </c>
      <c r="H13475" s="2" t="s">
        <v>17659</v>
      </c>
    </row>
    <row r="13476" spans="1:8" ht="25.05" customHeight="1" x14ac:dyDescent="0.25">
      <c r="A13476" s="2" t="s">
        <v>8</v>
      </c>
      <c r="B13476" s="2" t="str">
        <f>HYPERLINK("http://ts.21cn.com/tousu/show/id/1344944","盛钱包坑激活费")</f>
        <v>盛钱包坑激活费</v>
      </c>
      <c r="C13476" s="2" t="s">
        <v>9</v>
      </c>
      <c r="D13476" s="2" t="s">
        <v>10</v>
      </c>
      <c r="E13476" s="2" t="str">
        <f>HYPERLINK("http://ts.21cn.com/tousu/show/id/1344944","http://ts.21cn.com/tousu/show/id/1344944")</f>
        <v>http://ts.21cn.com/tousu/show/id/1344944</v>
      </c>
      <c r="F13476" s="2" t="s">
        <v>11</v>
      </c>
      <c r="G13476" s="2" t="s">
        <v>17656</v>
      </c>
      <c r="H13476" s="2" t="s">
        <v>17657</v>
      </c>
    </row>
    <row r="13477" spans="1:8" ht="25.05" customHeight="1" x14ac:dyDescent="0.25">
      <c r="A13477" s="2" t="s">
        <v>8</v>
      </c>
      <c r="B13477" s="2" t="str">
        <f>HYPERLINK("http://ts.21cn.com/tousu/show/id/1344946","饿了么经理恶意修改配送范围")</f>
        <v>饿了么经理恶意修改配送范围</v>
      </c>
      <c r="C13477" s="2" t="s">
        <v>9</v>
      </c>
      <c r="D13477" s="2" t="s">
        <v>10</v>
      </c>
      <c r="E13477" s="2" t="str">
        <f>HYPERLINK("http://ts.21cn.com/tousu/show/id/1344946","http://ts.21cn.com/tousu/show/id/1344946")</f>
        <v>http://ts.21cn.com/tousu/show/id/1344946</v>
      </c>
      <c r="F13477" s="2" t="s">
        <v>11</v>
      </c>
      <c r="G13477" s="2" t="s">
        <v>17654</v>
      </c>
      <c r="H13477" s="2" t="s">
        <v>17655</v>
      </c>
    </row>
    <row r="13478" spans="1:8" ht="25.05" customHeight="1" x14ac:dyDescent="0.25">
      <c r="A13478" s="2" t="s">
        <v>8</v>
      </c>
      <c r="B13478" s="2" t="str">
        <f>HYPERLINK("http://ts.21cn.com/tousu/show/id/1344947","豹子贷无故扣钱不需要还要扣")</f>
        <v>豹子贷无故扣钱不需要还要扣</v>
      </c>
      <c r="C13478" s="2" t="s">
        <v>34</v>
      </c>
      <c r="D13478" s="2" t="s">
        <v>10</v>
      </c>
      <c r="E13478" s="2" t="str">
        <f>HYPERLINK("http://ts.21cn.com/tousu/show/id/1344947","http://ts.21cn.com/tousu/show/id/1344947")</f>
        <v>http://ts.21cn.com/tousu/show/id/1344947</v>
      </c>
      <c r="F13478" s="2" t="s">
        <v>11</v>
      </c>
      <c r="G13478" s="2" t="s">
        <v>17652</v>
      </c>
      <c r="H13478" s="2" t="s">
        <v>17653</v>
      </c>
    </row>
    <row r="13479" spans="1:8" ht="25.05" customHeight="1" x14ac:dyDescent="0.25">
      <c r="A13479" s="2" t="s">
        <v>8</v>
      </c>
      <c r="B13479" s="2" t="str">
        <f>HYPERLINK("http://ts.21cn.com/tousu/show/id/1344948","暴力催收")</f>
        <v>暴力催收</v>
      </c>
      <c r="C13479" s="2" t="s">
        <v>9</v>
      </c>
      <c r="D13479" s="2" t="s">
        <v>10</v>
      </c>
      <c r="E13479" s="2" t="str">
        <f>HYPERLINK("http://ts.21cn.com/tousu/show/id/1344948","http://ts.21cn.com/tousu/show/id/1344948")</f>
        <v>http://ts.21cn.com/tousu/show/id/1344948</v>
      </c>
      <c r="F13479" s="2" t="s">
        <v>11</v>
      </c>
      <c r="G13479" s="2" t="s">
        <v>17650</v>
      </c>
      <c r="H13479" s="2" t="s">
        <v>17651</v>
      </c>
    </row>
    <row r="13480" spans="1:8" ht="25.05" customHeight="1" x14ac:dyDescent="0.25">
      <c r="A13480" s="2" t="s">
        <v>8</v>
      </c>
      <c r="B13480" s="2" t="str">
        <f>HYPERLINK("http://ts.21cn.com/tousu/show/id/1344949","玖富万卡暴力催收")</f>
        <v>玖富万卡暴力催收</v>
      </c>
      <c r="C13480" s="2" t="s">
        <v>9</v>
      </c>
      <c r="D13480" s="2" t="s">
        <v>10</v>
      </c>
      <c r="E13480" s="2" t="str">
        <f>HYPERLINK("http://ts.21cn.com/tousu/show/id/1344949","http://ts.21cn.com/tousu/show/id/1344949")</f>
        <v>http://ts.21cn.com/tousu/show/id/1344949</v>
      </c>
      <c r="F13480" s="2" t="s">
        <v>11</v>
      </c>
      <c r="G13480" s="2" t="s">
        <v>17648</v>
      </c>
      <c r="H13480" s="2" t="s">
        <v>17649</v>
      </c>
    </row>
    <row r="13481" spans="1:8" ht="25.05" customHeight="1" x14ac:dyDescent="0.25">
      <c r="A13481" s="2" t="s">
        <v>8</v>
      </c>
      <c r="B13481" s="2" t="str">
        <f>HYPERLINK("http://ts.21cn.com/tousu/show/id/1344951","利息高，爆通讯录")</f>
        <v>利息高，爆通讯录</v>
      </c>
      <c r="C13481" s="2" t="s">
        <v>9</v>
      </c>
      <c r="D13481" s="2" t="s">
        <v>10</v>
      </c>
      <c r="E13481" s="2" t="str">
        <f>HYPERLINK("http://ts.21cn.com/tousu/show/id/1344951","http://ts.21cn.com/tousu/show/id/1344951")</f>
        <v>http://ts.21cn.com/tousu/show/id/1344951</v>
      </c>
      <c r="F13481" s="2" t="s">
        <v>11</v>
      </c>
      <c r="G13481" s="2" t="s">
        <v>17646</v>
      </c>
      <c r="H13481" s="2" t="s">
        <v>17647</v>
      </c>
    </row>
    <row r="13482" spans="1:8" ht="25.05" customHeight="1" x14ac:dyDescent="0.25">
      <c r="A13482" s="2" t="s">
        <v>8</v>
      </c>
      <c r="B13482" s="2" t="str">
        <f>HYPERLINK("http://ts.21cn.com/tousu/show/id/1344954","购买的京东白条优惠卷不能退款")</f>
        <v>购买的京东白条优惠卷不能退款</v>
      </c>
      <c r="C13482" s="2" t="s">
        <v>9</v>
      </c>
      <c r="D13482" s="2" t="s">
        <v>10</v>
      </c>
      <c r="E13482" s="2" t="str">
        <f>HYPERLINK("http://ts.21cn.com/tousu/show/id/1344954","http://ts.21cn.com/tousu/show/id/1344954")</f>
        <v>http://ts.21cn.com/tousu/show/id/1344954</v>
      </c>
      <c r="F13482" s="2" t="s">
        <v>11</v>
      </c>
      <c r="G13482" s="2" t="s">
        <v>17644</v>
      </c>
      <c r="H13482" s="2" t="s">
        <v>17645</v>
      </c>
    </row>
    <row r="13483" spans="1:8" ht="25.05" customHeight="1" x14ac:dyDescent="0.25">
      <c r="A13483" s="2" t="s">
        <v>8</v>
      </c>
      <c r="B13483" s="2" t="str">
        <f>HYPERLINK("http://ts.21cn.com/tousu/show/id/1344955","高利贷")</f>
        <v>高利贷</v>
      </c>
      <c r="C13483" s="2" t="s">
        <v>9</v>
      </c>
      <c r="D13483" s="2" t="s">
        <v>10</v>
      </c>
      <c r="E13483" s="2" t="str">
        <f>HYPERLINK("http://ts.21cn.com/tousu/show/id/1344955","http://ts.21cn.com/tousu/show/id/1344955")</f>
        <v>http://ts.21cn.com/tousu/show/id/1344955</v>
      </c>
      <c r="F13483" s="2" t="s">
        <v>11</v>
      </c>
      <c r="G13483" s="2" t="s">
        <v>17642</v>
      </c>
      <c r="H13483" s="2" t="s">
        <v>17643</v>
      </c>
    </row>
    <row r="13484" spans="1:8" ht="25.05" customHeight="1" x14ac:dyDescent="0.25">
      <c r="A13484" s="2" t="s">
        <v>8</v>
      </c>
      <c r="B13484" s="2" t="str">
        <f>HYPERLINK("http://ts.21cn.com/tousu/show/id/1344956","砍价成功，不发货，说异常，也没给出具体理由")</f>
        <v>砍价成功，不发货，说异常，也没给出具体理由</v>
      </c>
      <c r="C13484" s="2" t="s">
        <v>9</v>
      </c>
      <c r="D13484" s="2" t="s">
        <v>10</v>
      </c>
      <c r="E13484" s="2" t="str">
        <f>HYPERLINK("http://ts.21cn.com/tousu/show/id/1344956","http://ts.21cn.com/tousu/show/id/1344956")</f>
        <v>http://ts.21cn.com/tousu/show/id/1344956</v>
      </c>
      <c r="F13484" s="2" t="s">
        <v>11</v>
      </c>
      <c r="G13484" s="2" t="s">
        <v>17640</v>
      </c>
      <c r="H13484" s="2" t="s">
        <v>17641</v>
      </c>
    </row>
    <row r="13485" spans="1:8" ht="25.05" customHeight="1" x14ac:dyDescent="0.25">
      <c r="A13485" s="2" t="s">
        <v>8</v>
      </c>
      <c r="B13485" s="2" t="str">
        <f>HYPERLINK("http://ts.21cn.com/tousu/show/id/1344957","圆通快递因自身原因延误，态度还不好")</f>
        <v>圆通快递因自身原因延误，态度还不好</v>
      </c>
      <c r="C13485" s="2" t="s">
        <v>9</v>
      </c>
      <c r="D13485" s="2" t="s">
        <v>10</v>
      </c>
      <c r="E13485" s="2" t="str">
        <f>HYPERLINK("http://ts.21cn.com/tousu/show/id/1344957","http://ts.21cn.com/tousu/show/id/1344957")</f>
        <v>http://ts.21cn.com/tousu/show/id/1344957</v>
      </c>
      <c r="F13485" s="2" t="s">
        <v>11</v>
      </c>
      <c r="G13485" s="2" t="s">
        <v>17638</v>
      </c>
      <c r="H13485" s="2" t="s">
        <v>17639</v>
      </c>
    </row>
    <row r="13486" spans="1:8" ht="25.05" customHeight="1" x14ac:dyDescent="0.25">
      <c r="A13486" s="2" t="s">
        <v>8</v>
      </c>
      <c r="B13486" s="2" t="str">
        <f>HYPERLINK("http://ts.21cn.com/tousu/show/id/1344958","金鸡下蛋超级高炮，涉嫌套路贷，暴力催收爆通讯录")</f>
        <v>金鸡下蛋超级高炮，涉嫌套路贷，暴力催收爆通讯录</v>
      </c>
      <c r="C13486" s="2" t="s">
        <v>9</v>
      </c>
      <c r="D13486" s="2" t="s">
        <v>10</v>
      </c>
      <c r="E13486" s="2" t="str">
        <f>HYPERLINK("http://ts.21cn.com/tousu/show/id/1344958","http://ts.21cn.com/tousu/show/id/1344958")</f>
        <v>http://ts.21cn.com/tousu/show/id/1344958</v>
      </c>
      <c r="F13486" s="2" t="s">
        <v>11</v>
      </c>
      <c r="G13486" s="2" t="s">
        <v>17636</v>
      </c>
      <c r="H13486" s="2" t="s">
        <v>17637</v>
      </c>
    </row>
    <row r="13487" spans="1:8" ht="25.05" customHeight="1" x14ac:dyDescent="0.25">
      <c r="A13487" s="2" t="s">
        <v>8</v>
      </c>
      <c r="B13487" s="2" t="str">
        <f>HYPERLINK("http://ts.21cn.com/tousu/show/id/1344959","小黑鲨高利贷暴力催收")</f>
        <v>小黑鲨高利贷暴力催收</v>
      </c>
      <c r="C13487" s="2" t="s">
        <v>9</v>
      </c>
      <c r="D13487" s="2" t="s">
        <v>10</v>
      </c>
      <c r="E13487" s="2" t="str">
        <f>HYPERLINK("http://ts.21cn.com/tousu/show/id/1344959","http://ts.21cn.com/tousu/show/id/1344959")</f>
        <v>http://ts.21cn.com/tousu/show/id/1344959</v>
      </c>
      <c r="F13487" s="2" t="s">
        <v>11</v>
      </c>
      <c r="G13487" s="2" t="s">
        <v>17634</v>
      </c>
      <c r="H13487" s="2" t="s">
        <v>17635</v>
      </c>
    </row>
    <row r="13488" spans="1:8" ht="25.05" customHeight="1" x14ac:dyDescent="0.25">
      <c r="A13488" s="2" t="s">
        <v>8</v>
      </c>
      <c r="B13488" s="2" t="str">
        <f>HYPERLINK("http://ts.21cn.com/tousu/show/id/1344960","易鑫车抵押贷款高利贷套路贷合同额")</f>
        <v>易鑫车抵押贷款高利贷套路贷合同额</v>
      </c>
      <c r="C13488" s="2" t="s">
        <v>9</v>
      </c>
      <c r="D13488" s="2" t="s">
        <v>10</v>
      </c>
      <c r="E13488" s="2" t="str">
        <f>HYPERLINK("http://ts.21cn.com/tousu/show/id/1344960","http://ts.21cn.com/tousu/show/id/1344960")</f>
        <v>http://ts.21cn.com/tousu/show/id/1344960</v>
      </c>
      <c r="F13488" s="2" t="s">
        <v>11</v>
      </c>
      <c r="G13488" s="2" t="s">
        <v>17632</v>
      </c>
      <c r="H13488" s="2" t="s">
        <v>17633</v>
      </c>
    </row>
    <row r="13489" spans="1:8" ht="25.05" customHeight="1" x14ac:dyDescent="0.25">
      <c r="A13489" s="2" t="s">
        <v>8</v>
      </c>
      <c r="B13489" s="2" t="str">
        <f>HYPERLINK("http://ts.21cn.com/tousu/show/id/1344961","捷信总贷款39000已经还了53837显示剩余11期提前还款还需要还15897.59元")</f>
        <v>捷信总贷款39000已经还了53837显示剩余11期提前还款还需要还15897.59元</v>
      </c>
      <c r="C13489" s="2" t="s">
        <v>34</v>
      </c>
      <c r="D13489" s="2" t="s">
        <v>10</v>
      </c>
      <c r="E13489" s="2" t="str">
        <f>HYPERLINK("http://ts.21cn.com/tousu/show/id/1344961","http://ts.21cn.com/tousu/show/id/1344961")</f>
        <v>http://ts.21cn.com/tousu/show/id/1344961</v>
      </c>
      <c r="F13489" s="2" t="s">
        <v>11</v>
      </c>
      <c r="G13489" s="2" t="s">
        <v>17630</v>
      </c>
      <c r="H13489" s="2" t="s">
        <v>17631</v>
      </c>
    </row>
    <row r="13490" spans="1:8" ht="25.05" customHeight="1" x14ac:dyDescent="0.25">
      <c r="A13490" s="2" t="s">
        <v>8</v>
      </c>
      <c r="B13490" s="2" t="str">
        <f>HYPERLINK("http://ts.21cn.com/tousu/show/id/1344962","万达快易花乱七八糟电话和对本人进行威胁和恐吓")</f>
        <v>万达快易花乱七八糟电话和对本人进行威胁和恐吓</v>
      </c>
      <c r="C13490" s="2" t="s">
        <v>9</v>
      </c>
      <c r="D13490" s="2" t="s">
        <v>10</v>
      </c>
      <c r="E13490" s="2" t="str">
        <f>HYPERLINK("http://ts.21cn.com/tousu/show/id/1344962","http://ts.21cn.com/tousu/show/id/1344962")</f>
        <v>http://ts.21cn.com/tousu/show/id/1344962</v>
      </c>
      <c r="F13490" s="2" t="s">
        <v>11</v>
      </c>
      <c r="G13490" s="2" t="s">
        <v>17628</v>
      </c>
      <c r="H13490" s="2" t="s">
        <v>17629</v>
      </c>
    </row>
    <row r="13491" spans="1:8" ht="25.05" customHeight="1" x14ac:dyDescent="0.25">
      <c r="A13491" s="2" t="s">
        <v>8</v>
      </c>
      <c r="B13491" s="2" t="str">
        <f>HYPERLINK("http://ts.21cn.com/tousu/show/id/1344963","拍拍贷暴力催收恐吓")</f>
        <v>拍拍贷暴力催收恐吓</v>
      </c>
      <c r="C13491" s="2" t="s">
        <v>9</v>
      </c>
      <c r="D13491" s="2" t="s">
        <v>10</v>
      </c>
      <c r="E13491" s="2" t="str">
        <f>HYPERLINK("http://ts.21cn.com/tousu/show/id/1344963","http://ts.21cn.com/tousu/show/id/1344963")</f>
        <v>http://ts.21cn.com/tousu/show/id/1344963</v>
      </c>
      <c r="F13491" s="2" t="s">
        <v>11</v>
      </c>
      <c r="G13491" s="2" t="s">
        <v>17626</v>
      </c>
      <c r="H13491" s="2" t="s">
        <v>17627</v>
      </c>
    </row>
    <row r="13492" spans="1:8" ht="25.05" customHeight="1" x14ac:dyDescent="0.25">
      <c r="A13492" s="2" t="s">
        <v>8</v>
      </c>
      <c r="B13492" s="2" t="str">
        <f>HYPERLINK("http://ts.21cn.com/tousu/show/id/1344964","钱站高利贷，威胁，辱骂，砍头息")</f>
        <v>钱站高利贷，威胁，辱骂，砍头息</v>
      </c>
      <c r="C13492" s="2" t="s">
        <v>9</v>
      </c>
      <c r="D13492" s="2" t="s">
        <v>10</v>
      </c>
      <c r="E13492" s="2" t="str">
        <f>HYPERLINK("http://ts.21cn.com/tousu/show/id/1344964","http://ts.21cn.com/tousu/show/id/1344964")</f>
        <v>http://ts.21cn.com/tousu/show/id/1344964</v>
      </c>
      <c r="F13492" s="2" t="s">
        <v>11</v>
      </c>
      <c r="G13492" s="2" t="s">
        <v>17624</v>
      </c>
      <c r="H13492" s="2" t="s">
        <v>17625</v>
      </c>
    </row>
    <row r="13493" spans="1:8" ht="25.05" customHeight="1" x14ac:dyDescent="0.25">
      <c r="A13493" s="2" t="s">
        <v>8</v>
      </c>
      <c r="B13493" s="2" t="str">
        <f>HYPERLINK("http://ts.21cn.com/tousu/show/id/1344965","网贷暴力砍头息")</f>
        <v>网贷暴力砍头息</v>
      </c>
      <c r="C13493" s="2" t="s">
        <v>9</v>
      </c>
      <c r="D13493" s="2" t="s">
        <v>10</v>
      </c>
      <c r="E13493" s="2" t="str">
        <f>HYPERLINK("http://ts.21cn.com/tousu/show/id/1344965","http://ts.21cn.com/tousu/show/id/1344965")</f>
        <v>http://ts.21cn.com/tousu/show/id/1344965</v>
      </c>
      <c r="F13493" s="2" t="s">
        <v>11</v>
      </c>
      <c r="G13493" s="2" t="s">
        <v>17622</v>
      </c>
      <c r="H13493" s="2" t="s">
        <v>17623</v>
      </c>
    </row>
    <row r="13494" spans="1:8" ht="25.05" customHeight="1" x14ac:dyDescent="0.25">
      <c r="A13494" s="2" t="s">
        <v>8</v>
      </c>
      <c r="B13494" s="2" t="str">
        <f>HYPERLINK("http://ts.21cn.com/tousu/show/id/1344966","暴力吹收")</f>
        <v>暴力吹收</v>
      </c>
      <c r="C13494" s="2" t="s">
        <v>9</v>
      </c>
      <c r="D13494" s="2" t="s">
        <v>10</v>
      </c>
      <c r="E13494" s="2" t="str">
        <f>HYPERLINK("http://ts.21cn.com/tousu/show/id/1344966","http://ts.21cn.com/tousu/show/id/1344966")</f>
        <v>http://ts.21cn.com/tousu/show/id/1344966</v>
      </c>
      <c r="F13494" s="2" t="s">
        <v>11</v>
      </c>
      <c r="G13494" s="2" t="s">
        <v>17620</v>
      </c>
      <c r="H13494" s="2" t="s">
        <v>17621</v>
      </c>
    </row>
    <row r="13495" spans="1:8" ht="25.05" customHeight="1" x14ac:dyDescent="0.25">
      <c r="A13495" s="2" t="s">
        <v>8</v>
      </c>
      <c r="B13495" s="2" t="str">
        <f>HYPERLINK("http://ts.21cn.com/tousu/show/id/1344967","砍头利息，高利贷")</f>
        <v>砍头利息，高利贷</v>
      </c>
      <c r="C13495" s="2" t="s">
        <v>9</v>
      </c>
      <c r="D13495" s="2" t="s">
        <v>10</v>
      </c>
      <c r="E13495" s="2" t="str">
        <f>HYPERLINK("http://ts.21cn.com/tousu/show/id/1344967","http://ts.21cn.com/tousu/show/id/1344967")</f>
        <v>http://ts.21cn.com/tousu/show/id/1344967</v>
      </c>
      <c r="F13495" s="2" t="s">
        <v>11</v>
      </c>
      <c r="G13495" s="2" t="s">
        <v>17618</v>
      </c>
      <c r="H13495" s="2" t="s">
        <v>17619</v>
      </c>
    </row>
    <row r="13496" spans="1:8" ht="25.05" customHeight="1" x14ac:dyDescent="0.25">
      <c r="A13496" s="2" t="s">
        <v>8</v>
      </c>
      <c r="B13496" s="2" t="str">
        <f>HYPERLINK("http://ts.21cn.com/tousu/show/id/1344968","恐吓，恶意催收，")</f>
        <v>恐吓，恶意催收，</v>
      </c>
      <c r="C13496" s="2" t="s">
        <v>9</v>
      </c>
      <c r="D13496" s="2" t="s">
        <v>10</v>
      </c>
      <c r="E13496" s="2" t="str">
        <f>HYPERLINK("http://ts.21cn.com/tousu/show/id/1344968","http://ts.21cn.com/tousu/show/id/1344968")</f>
        <v>http://ts.21cn.com/tousu/show/id/1344968</v>
      </c>
      <c r="F13496" s="2" t="s">
        <v>11</v>
      </c>
      <c r="G13496" s="2" t="s">
        <v>17616</v>
      </c>
      <c r="H13496" s="2" t="s">
        <v>17617</v>
      </c>
    </row>
    <row r="13497" spans="1:8" ht="25.05" customHeight="1" x14ac:dyDescent="0.25">
      <c r="A13497" s="2" t="s">
        <v>8</v>
      </c>
      <c r="B13497" s="2" t="str">
        <f>HYPERLINK("http://ts.21cn.com/tousu/show/id/1344975","暴力催收，爆通讯录")</f>
        <v>暴力催收，爆通讯录</v>
      </c>
      <c r="C13497" s="2" t="s">
        <v>9</v>
      </c>
      <c r="D13497" s="2" t="s">
        <v>10</v>
      </c>
      <c r="E13497" s="2" t="str">
        <f>HYPERLINK("http://ts.21cn.com/tousu/show/id/1344975","http://ts.21cn.com/tousu/show/id/1344975")</f>
        <v>http://ts.21cn.com/tousu/show/id/1344975</v>
      </c>
      <c r="F13497" s="2" t="s">
        <v>11</v>
      </c>
      <c r="G13497" s="2" t="s">
        <v>17614</v>
      </c>
      <c r="H13497" s="2" t="s">
        <v>17615</v>
      </c>
    </row>
    <row r="13498" spans="1:8" ht="25.05" customHeight="1" x14ac:dyDescent="0.25">
      <c r="A13498" s="2" t="s">
        <v>8</v>
      </c>
      <c r="B13498" s="2" t="str">
        <f>HYPERLINK("http://ts.21cn.com/tousu/show/id/1344969","支付宝被盗")</f>
        <v>支付宝被盗</v>
      </c>
      <c r="C13498" s="2" t="s">
        <v>9</v>
      </c>
      <c r="D13498" s="2" t="s">
        <v>10</v>
      </c>
      <c r="E13498" s="2" t="str">
        <f>HYPERLINK("http://ts.21cn.com/tousu/show/id/1344969","http://ts.21cn.com/tousu/show/id/1344969")</f>
        <v>http://ts.21cn.com/tousu/show/id/1344969</v>
      </c>
      <c r="F13498" s="2" t="s">
        <v>11</v>
      </c>
      <c r="G13498" s="2" t="s">
        <v>17612</v>
      </c>
      <c r="H13498" s="2" t="s">
        <v>17613</v>
      </c>
    </row>
    <row r="13499" spans="1:8" ht="25.05" customHeight="1" x14ac:dyDescent="0.25">
      <c r="A13499" s="2" t="s">
        <v>8</v>
      </c>
      <c r="B13499" s="2" t="str">
        <f>HYPERLINK("http://ts.21cn.com/tousu/show/id/1344970","作为第三方支付，帮助714多扣费")</f>
        <v>作为第三方支付，帮助714多扣费</v>
      </c>
      <c r="C13499" s="2" t="s">
        <v>9</v>
      </c>
      <c r="D13499" s="2" t="s">
        <v>10</v>
      </c>
      <c r="E13499" s="2" t="str">
        <f>HYPERLINK("http://ts.21cn.com/tousu/show/id/1344970","http://ts.21cn.com/tousu/show/id/1344970")</f>
        <v>http://ts.21cn.com/tousu/show/id/1344970</v>
      </c>
      <c r="F13499" s="2" t="s">
        <v>11</v>
      </c>
      <c r="G13499" s="2" t="s">
        <v>17610</v>
      </c>
      <c r="H13499" s="2" t="s">
        <v>17611</v>
      </c>
    </row>
    <row r="13500" spans="1:8" ht="25.05" customHeight="1" x14ac:dyDescent="0.25">
      <c r="A13500" s="2" t="s">
        <v>8</v>
      </c>
      <c r="B13500" s="2" t="str">
        <f>HYPERLINK("http://ts.21cn.com/tousu/show/id/1344971","京东白条12期免息支付，付款后却有手续费")</f>
        <v>京东白条12期免息支付，付款后却有手续费</v>
      </c>
      <c r="C13500" s="2" t="s">
        <v>9</v>
      </c>
      <c r="D13500" s="2" t="s">
        <v>10</v>
      </c>
      <c r="E13500" s="2" t="str">
        <f>HYPERLINK("http://ts.21cn.com/tousu/show/id/1344971","http://ts.21cn.com/tousu/show/id/1344971")</f>
        <v>http://ts.21cn.com/tousu/show/id/1344971</v>
      </c>
      <c r="F13500" s="2" t="s">
        <v>11</v>
      </c>
      <c r="G13500" s="2" t="s">
        <v>17608</v>
      </c>
      <c r="H13500" s="2" t="s">
        <v>17609</v>
      </c>
    </row>
    <row r="13501" spans="1:8" ht="25.05" customHeight="1" x14ac:dyDescent="0.25">
      <c r="A13501" s="2" t="s">
        <v>8</v>
      </c>
      <c r="B13501" s="2" t="str">
        <f>HYPERLINK("http://ts.21cn.com/tousu/show/id/1344974","态度恶劣诽谤威胁恐吓")</f>
        <v>态度恶劣诽谤威胁恐吓</v>
      </c>
      <c r="C13501" s="2" t="s">
        <v>9</v>
      </c>
      <c r="D13501" s="2" t="s">
        <v>10</v>
      </c>
      <c r="E13501" s="2" t="str">
        <f>HYPERLINK("http://ts.21cn.com/tousu/show/id/1344974","http://ts.21cn.com/tousu/show/id/1344974")</f>
        <v>http://ts.21cn.com/tousu/show/id/1344974</v>
      </c>
      <c r="F13501" s="2" t="s">
        <v>11</v>
      </c>
      <c r="G13501" s="2" t="s">
        <v>17606</v>
      </c>
      <c r="H13501" s="2" t="s">
        <v>17607</v>
      </c>
    </row>
    <row r="13502" spans="1:8" ht="25.05" customHeight="1" x14ac:dyDescent="0.25">
      <c r="A13502" s="2" t="s">
        <v>8</v>
      </c>
      <c r="B13502" s="2" t="str">
        <f>HYPERLINK("http://ts.21cn.com/tousu/show/id/1344976","拍拍贷暴力催收")</f>
        <v>拍拍贷暴力催收</v>
      </c>
      <c r="C13502" s="2" t="s">
        <v>9</v>
      </c>
      <c r="D13502" s="2" t="s">
        <v>10</v>
      </c>
      <c r="E13502" s="2" t="str">
        <f>HYPERLINK("http://ts.21cn.com/tousu/show/id/1344976","http://ts.21cn.com/tousu/show/id/1344976")</f>
        <v>http://ts.21cn.com/tousu/show/id/1344976</v>
      </c>
      <c r="F13502" s="2" t="s">
        <v>11</v>
      </c>
      <c r="G13502" s="2" t="s">
        <v>17604</v>
      </c>
      <c r="H13502" s="2" t="s">
        <v>17605</v>
      </c>
    </row>
    <row r="13503" spans="1:8" ht="25.05" customHeight="1" x14ac:dyDescent="0.25">
      <c r="A13503" s="2" t="s">
        <v>8</v>
      </c>
      <c r="B13503" s="2" t="str">
        <f>HYPERLINK("http://ts.21cn.com/tousu/show/id/1344977","协商分期")</f>
        <v>协商分期</v>
      </c>
      <c r="C13503" s="2" t="s">
        <v>34</v>
      </c>
      <c r="D13503" s="2" t="s">
        <v>10</v>
      </c>
      <c r="E13503" s="2" t="str">
        <f>HYPERLINK("http://ts.21cn.com/tousu/show/id/1344977","http://ts.21cn.com/tousu/show/id/1344977")</f>
        <v>http://ts.21cn.com/tousu/show/id/1344977</v>
      </c>
      <c r="F13503" s="2" t="s">
        <v>11</v>
      </c>
      <c r="G13503" s="2" t="s">
        <v>17602</v>
      </c>
      <c r="H13503" s="2" t="s">
        <v>17603</v>
      </c>
    </row>
    <row r="13504" spans="1:8" ht="25.05" customHeight="1" x14ac:dyDescent="0.25">
      <c r="A13504" s="2" t="s">
        <v>8</v>
      </c>
      <c r="B13504" s="2" t="str">
        <f>HYPERLINK("http://ts.21cn.com/tousu/show/id/1344978","嗨钱，光华普惠高利贷砍头息，还款不销账")</f>
        <v>嗨钱，光华普惠高利贷砍头息，还款不销账</v>
      </c>
      <c r="C13504" s="2" t="s">
        <v>9</v>
      </c>
      <c r="D13504" s="2" t="s">
        <v>10</v>
      </c>
      <c r="E13504" s="2" t="str">
        <f>HYPERLINK("http://ts.21cn.com/tousu/show/id/1344978","http://ts.21cn.com/tousu/show/id/1344978")</f>
        <v>http://ts.21cn.com/tousu/show/id/1344978</v>
      </c>
      <c r="F13504" s="2" t="s">
        <v>11</v>
      </c>
      <c r="G13504" s="2" t="s">
        <v>17600</v>
      </c>
      <c r="H13504" s="2" t="s">
        <v>17601</v>
      </c>
    </row>
    <row r="13505" spans="1:8" ht="25.05" customHeight="1" x14ac:dyDescent="0.25">
      <c r="A13505" s="2" t="s">
        <v>8</v>
      </c>
      <c r="B13505" s="2" t="str">
        <f>HYPERLINK("http://ts.21cn.com/tousu/show/id/1344979","支付成功未能按时结算")</f>
        <v>支付成功未能按时结算</v>
      </c>
      <c r="C13505" s="2" t="s">
        <v>9</v>
      </c>
      <c r="D13505" s="2" t="s">
        <v>10</v>
      </c>
      <c r="E13505" s="2" t="str">
        <f>HYPERLINK("http://ts.21cn.com/tousu/show/id/1344979","http://ts.21cn.com/tousu/show/id/1344979")</f>
        <v>http://ts.21cn.com/tousu/show/id/1344979</v>
      </c>
      <c r="F13505" s="2" t="s">
        <v>11</v>
      </c>
      <c r="G13505" s="2" t="s">
        <v>17598</v>
      </c>
      <c r="H13505" s="2" t="s">
        <v>17599</v>
      </c>
    </row>
    <row r="13506" spans="1:8" ht="25.05" customHeight="1" x14ac:dyDescent="0.25">
      <c r="A13506" s="2" t="s">
        <v>8</v>
      </c>
      <c r="B13506" s="2" t="str">
        <f>HYPERLINK("http://ts.21cn.com/tousu/show/id/1344982","快贷改名为钱伴")</f>
        <v>快贷改名为钱伴</v>
      </c>
      <c r="C13506" s="2" t="s">
        <v>9</v>
      </c>
      <c r="D13506" s="2" t="s">
        <v>10</v>
      </c>
      <c r="E13506" s="2" t="str">
        <f>HYPERLINK("http://ts.21cn.com/tousu/show/id/1344982","http://ts.21cn.com/tousu/show/id/1344982")</f>
        <v>http://ts.21cn.com/tousu/show/id/1344982</v>
      </c>
      <c r="F13506" s="2" t="s">
        <v>11</v>
      </c>
      <c r="G13506" s="2" t="s">
        <v>17596</v>
      </c>
      <c r="H13506" s="2" t="s">
        <v>17597</v>
      </c>
    </row>
    <row r="13507" spans="1:8" ht="25.05" customHeight="1" x14ac:dyDescent="0.25">
      <c r="A13507" s="2" t="s">
        <v>8</v>
      </c>
      <c r="B13507" s="2" t="str">
        <f>HYPERLINK("http://ts.21cn.com/tousu/show/id/1344981","高利贷，砍头息，不经同意就放款，暴力催收")</f>
        <v>高利贷，砍头息，不经同意就放款，暴力催收</v>
      </c>
      <c r="C13507" s="2" t="s">
        <v>9</v>
      </c>
      <c r="D13507" s="2" t="s">
        <v>10</v>
      </c>
      <c r="E13507" s="2" t="str">
        <f>HYPERLINK("http://ts.21cn.com/tousu/show/id/1344981","http://ts.21cn.com/tousu/show/id/1344981")</f>
        <v>http://ts.21cn.com/tousu/show/id/1344981</v>
      </c>
      <c r="F13507" s="2" t="s">
        <v>11</v>
      </c>
      <c r="G13507" s="2" t="s">
        <v>17594</v>
      </c>
      <c r="H13507" s="2" t="s">
        <v>17595</v>
      </c>
    </row>
    <row r="13508" spans="1:8" ht="25.05" customHeight="1" x14ac:dyDescent="0.25">
      <c r="A13508" s="2" t="s">
        <v>8</v>
      </c>
      <c r="B13508" s="2" t="str">
        <f>HYPERLINK("http://ts.21cn.com/tousu/show/id/1344984","暴力催收，我并不是不还，最近资金周转不到，我说了这个月24号之前还，他们没经过我的情况下直接通知亲人，还说我妈不敢接电")</f>
        <v>暴力催收，我并不是不还，最近资金周转不到，我说了这个月24号之前还，他们没经过我的情况下直接通知亲人，还说我妈不敢接电</v>
      </c>
      <c r="C13508" s="2" t="s">
        <v>9</v>
      </c>
      <c r="D13508" s="2" t="s">
        <v>10</v>
      </c>
      <c r="E13508" s="2" t="str">
        <f>HYPERLINK("http://ts.21cn.com/tousu/show/id/1344984","http://ts.21cn.com/tousu/show/id/1344984")</f>
        <v>http://ts.21cn.com/tousu/show/id/1344984</v>
      </c>
      <c r="F13508" s="2" t="s">
        <v>11</v>
      </c>
      <c r="G13508" s="2" t="s">
        <v>17592</v>
      </c>
      <c r="H13508" s="2" t="s">
        <v>17593</v>
      </c>
    </row>
    <row r="13509" spans="1:8" ht="25.05" customHeight="1" x14ac:dyDescent="0.25">
      <c r="A13509" s="2" t="s">
        <v>8</v>
      </c>
      <c r="B13509" s="2" t="str">
        <f>HYPERLINK("http://ts.21cn.com/tousu/show/id/1344986","马上消费金融威胁第三方催收上门")</f>
        <v>马上消费金融威胁第三方催收上门</v>
      </c>
      <c r="C13509" s="2" t="s">
        <v>9</v>
      </c>
      <c r="D13509" s="2" t="s">
        <v>10</v>
      </c>
      <c r="E13509" s="2" t="str">
        <f>HYPERLINK("http://ts.21cn.com/tousu/show/id/1344986","http://ts.21cn.com/tousu/show/id/1344986")</f>
        <v>http://ts.21cn.com/tousu/show/id/1344986</v>
      </c>
      <c r="F13509" s="2" t="s">
        <v>11</v>
      </c>
      <c r="G13509" s="2" t="s">
        <v>17590</v>
      </c>
      <c r="H13509" s="2" t="s">
        <v>17591</v>
      </c>
    </row>
    <row r="13510" spans="1:8" ht="25.05" customHeight="1" x14ac:dyDescent="0.25">
      <c r="A13510" s="2" t="s">
        <v>8</v>
      </c>
      <c r="B13510" s="2" t="str">
        <f>HYPERLINK("http://ts.21cn.com/tousu/show/id/1344987","一个月的利息还有担保费要200多之前一直都不知道有担保费用利息还那么高")</f>
        <v>一个月的利息还有担保费要200多之前一直都不知道有担保费用利息还那么高</v>
      </c>
      <c r="C13510" s="2" t="s">
        <v>9</v>
      </c>
      <c r="D13510" s="2" t="s">
        <v>10</v>
      </c>
      <c r="E13510" s="2" t="str">
        <f>HYPERLINK("http://ts.21cn.com/tousu/show/id/1344987","http://ts.21cn.com/tousu/show/id/1344987")</f>
        <v>http://ts.21cn.com/tousu/show/id/1344987</v>
      </c>
      <c r="F13510" s="2" t="s">
        <v>11</v>
      </c>
      <c r="G13510" s="2" t="s">
        <v>17588</v>
      </c>
      <c r="H13510" s="2" t="s">
        <v>17589</v>
      </c>
    </row>
    <row r="13511" spans="1:8" ht="25.05" customHeight="1" x14ac:dyDescent="0.25">
      <c r="A13511" s="2" t="s">
        <v>8</v>
      </c>
      <c r="B13511" s="2" t="str">
        <f>HYPERLINK("http://ts.21cn.com/tousu/show/id/1344989","豆豆钱暴力催收。")</f>
        <v>豆豆钱暴力催收。</v>
      </c>
      <c r="C13511" s="2" t="s">
        <v>9</v>
      </c>
      <c r="D13511" s="2" t="s">
        <v>10</v>
      </c>
      <c r="E13511" s="2" t="str">
        <f>HYPERLINK("http://ts.21cn.com/tousu/show/id/1344989","http://ts.21cn.com/tousu/show/id/1344989")</f>
        <v>http://ts.21cn.com/tousu/show/id/1344989</v>
      </c>
      <c r="F13511" s="2" t="s">
        <v>11</v>
      </c>
      <c r="G13511" s="2" t="s">
        <v>17586</v>
      </c>
      <c r="H13511" s="2" t="s">
        <v>17587</v>
      </c>
    </row>
    <row r="13512" spans="1:8" ht="25.05" customHeight="1" x14ac:dyDescent="0.25">
      <c r="A13512" s="2" t="s">
        <v>8</v>
      </c>
      <c r="B13512" s="2" t="str">
        <f>HYPERLINK("http://ts.21cn.com/tousu/show/id/1344991","小浦优客未经同意扣款")</f>
        <v>小浦优客未经同意扣款</v>
      </c>
      <c r="C13512" s="2" t="s">
        <v>9</v>
      </c>
      <c r="D13512" s="2" t="s">
        <v>10</v>
      </c>
      <c r="E13512" s="2" t="str">
        <f>HYPERLINK("http://ts.21cn.com/tousu/show/id/1344991","http://ts.21cn.com/tousu/show/id/1344991")</f>
        <v>http://ts.21cn.com/tousu/show/id/1344991</v>
      </c>
      <c r="F13512" s="2" t="s">
        <v>11</v>
      </c>
      <c r="G13512" s="2" t="s">
        <v>17584</v>
      </c>
      <c r="H13512" s="2" t="s">
        <v>17585</v>
      </c>
    </row>
    <row r="13513" spans="1:8" ht="25.05" customHeight="1" x14ac:dyDescent="0.25">
      <c r="A13513" s="2" t="s">
        <v>8</v>
      </c>
      <c r="B13513" s="2" t="str">
        <f>HYPERLINK("http://ts.21cn.com/tousu/show/id/1344993","我都不知道借钱的人在哪里，已告知对方，每天还是接到几十个催收电话。")</f>
        <v>我都不知道借钱的人在哪里，已告知对方，每天还是接到几十个催收电话。</v>
      </c>
      <c r="C13513" s="2" t="s">
        <v>9</v>
      </c>
      <c r="D13513" s="2" t="s">
        <v>10</v>
      </c>
      <c r="E13513" s="2" t="str">
        <f>HYPERLINK("http://ts.21cn.com/tousu/show/id/1344993","http://ts.21cn.com/tousu/show/id/1344993")</f>
        <v>http://ts.21cn.com/tousu/show/id/1344993</v>
      </c>
      <c r="F13513" s="2" t="s">
        <v>11</v>
      </c>
      <c r="G13513" s="2" t="s">
        <v>17582</v>
      </c>
      <c r="H13513" s="2" t="s">
        <v>17583</v>
      </c>
    </row>
    <row r="13514" spans="1:8" ht="25.05" customHeight="1" x14ac:dyDescent="0.25">
      <c r="A13514" s="2" t="s">
        <v>8</v>
      </c>
      <c r="B13514" s="2" t="str">
        <f>HYPERLINK("http://ts.21cn.com/tousu/show/id/1344990","捷信盗取客户信息暴力催收")</f>
        <v>捷信盗取客户信息暴力催收</v>
      </c>
      <c r="C13514" s="2" t="s">
        <v>9</v>
      </c>
      <c r="D13514" s="2" t="s">
        <v>10</v>
      </c>
      <c r="E13514" s="2" t="str">
        <f>HYPERLINK("http://ts.21cn.com/tousu/show/id/1344990","http://ts.21cn.com/tousu/show/id/1344990")</f>
        <v>http://ts.21cn.com/tousu/show/id/1344990</v>
      </c>
      <c r="F13514" s="2" t="s">
        <v>11</v>
      </c>
      <c r="G13514" s="2" t="s">
        <v>17580</v>
      </c>
      <c r="H13514" s="2" t="s">
        <v>17581</v>
      </c>
    </row>
    <row r="13515" spans="1:8" ht="25.05" customHeight="1" x14ac:dyDescent="0.25">
      <c r="A13515" s="2" t="s">
        <v>8</v>
      </c>
      <c r="B13515" s="2" t="str">
        <f>HYPERLINK("http://ts.21cn.com/tousu/show/id/1344992","上海造艺网络技术有限公司")</f>
        <v>上海造艺网络技术有限公司</v>
      </c>
      <c r="C13515" s="2" t="s">
        <v>9</v>
      </c>
      <c r="D13515" s="2" t="s">
        <v>10</v>
      </c>
      <c r="E13515" s="2" t="str">
        <f>HYPERLINK("http://ts.21cn.com/tousu/show/id/1344992","http://ts.21cn.com/tousu/show/id/1344992")</f>
        <v>http://ts.21cn.com/tousu/show/id/1344992</v>
      </c>
      <c r="F13515" s="2" t="s">
        <v>11</v>
      </c>
      <c r="G13515" s="2" t="s">
        <v>17578</v>
      </c>
      <c r="H13515" s="2" t="s">
        <v>17579</v>
      </c>
    </row>
    <row r="13516" spans="1:8" ht="25.05" customHeight="1" x14ac:dyDescent="0.25">
      <c r="A13516" s="2" t="s">
        <v>8</v>
      </c>
      <c r="B13516" s="2" t="str">
        <f>HYPERLINK("http://ts.21cn.com/tousu/show/id/1344994","不是不还款，现在刚生完孩子，不工作，手里没有多余的钱了，我只是想延期几天")</f>
        <v>不是不还款，现在刚生完孩子，不工作，手里没有多余的钱了，我只是想延期几天</v>
      </c>
      <c r="C13516" s="2" t="s">
        <v>34</v>
      </c>
      <c r="D13516" s="2" t="s">
        <v>10</v>
      </c>
      <c r="E13516" s="2" t="str">
        <f>HYPERLINK("http://ts.21cn.com/tousu/show/id/1344994","http://ts.21cn.com/tousu/show/id/1344994")</f>
        <v>http://ts.21cn.com/tousu/show/id/1344994</v>
      </c>
      <c r="F13516" s="2" t="s">
        <v>11</v>
      </c>
      <c r="G13516" s="2" t="s">
        <v>17576</v>
      </c>
      <c r="H13516" s="2" t="s">
        <v>17577</v>
      </c>
    </row>
    <row r="13517" spans="1:8" ht="25.05" customHeight="1" x14ac:dyDescent="0.25">
      <c r="A13517" s="2" t="s">
        <v>8</v>
      </c>
      <c r="B13517" s="2" t="str">
        <f>HYPERLINK("http://ts.21cn.com/tousu/show/id/1344953","平安普惠贷款隐瞒隐藏并强制收取高额保险费管理费投诉事宜")</f>
        <v>平安普惠贷款隐瞒隐藏并强制收取高额保险费管理费投诉事宜</v>
      </c>
      <c r="C13517" s="2" t="s">
        <v>9</v>
      </c>
      <c r="D13517" s="2" t="s">
        <v>10</v>
      </c>
      <c r="E13517" s="2" t="str">
        <f>HYPERLINK("http://ts.21cn.com/tousu/show/id/1344953","http://ts.21cn.com/tousu/show/id/1344953")</f>
        <v>http://ts.21cn.com/tousu/show/id/1344953</v>
      </c>
      <c r="F13517" s="2" t="s">
        <v>11</v>
      </c>
      <c r="G13517" s="2" t="s">
        <v>17574</v>
      </c>
      <c r="H13517" s="2" t="s">
        <v>17575</v>
      </c>
    </row>
    <row r="13518" spans="1:8" ht="25.05" customHeight="1" x14ac:dyDescent="0.25">
      <c r="A13518" s="2" t="s">
        <v>8</v>
      </c>
      <c r="B13518" s="2" t="str">
        <f>HYPERLINK("http://ts.21cn.com/tousu/show/id/1344996","还呗多次爆我通讯录，停止爆我通讯录")</f>
        <v>还呗多次爆我通讯录，停止爆我通讯录</v>
      </c>
      <c r="C13518" s="2" t="s">
        <v>9</v>
      </c>
      <c r="D13518" s="2" t="s">
        <v>10</v>
      </c>
      <c r="E13518" s="2" t="str">
        <f>HYPERLINK("http://ts.21cn.com/tousu/show/id/1344996","http://ts.21cn.com/tousu/show/id/1344996")</f>
        <v>http://ts.21cn.com/tousu/show/id/1344996</v>
      </c>
      <c r="F13518" s="2" t="s">
        <v>11</v>
      </c>
      <c r="G13518" s="2" t="s">
        <v>17572</v>
      </c>
      <c r="H13518" s="2" t="s">
        <v>17573</v>
      </c>
    </row>
    <row r="13519" spans="1:8" ht="25.05" customHeight="1" x14ac:dyDescent="0.25">
      <c r="A13519" s="2" t="s">
        <v>8</v>
      </c>
      <c r="B13519" s="2" t="str">
        <f>HYPERLINK("http://ts.21cn.com/tousu/show/id/1344997","小浦优客在不知情的情况下扣款")</f>
        <v>小浦优客在不知情的情况下扣款</v>
      </c>
      <c r="C13519" s="2" t="s">
        <v>9</v>
      </c>
      <c r="D13519" s="2" t="s">
        <v>10</v>
      </c>
      <c r="E13519" s="2" t="str">
        <f>HYPERLINK("http://ts.21cn.com/tousu/show/id/1344997","http://ts.21cn.com/tousu/show/id/1344997")</f>
        <v>http://ts.21cn.com/tousu/show/id/1344997</v>
      </c>
      <c r="F13519" s="2" t="s">
        <v>11</v>
      </c>
      <c r="G13519" s="2" t="s">
        <v>17570</v>
      </c>
      <c r="H13519" s="2" t="s">
        <v>17571</v>
      </c>
    </row>
    <row r="13520" spans="1:8" ht="25.05" customHeight="1" x14ac:dyDescent="0.25">
      <c r="A13520" s="2" t="s">
        <v>8</v>
      </c>
      <c r="B13520" s="2" t="str">
        <f>HYPERLINK("http://ts.21cn.com/tousu/show/id/1344998","协商解决欠款")</f>
        <v>协商解决欠款</v>
      </c>
      <c r="C13520" s="2" t="s">
        <v>34</v>
      </c>
      <c r="D13520" s="2" t="s">
        <v>10</v>
      </c>
      <c r="E13520" s="2" t="str">
        <f>HYPERLINK("http://ts.21cn.com/tousu/show/id/1344998","http://ts.21cn.com/tousu/show/id/1344998")</f>
        <v>http://ts.21cn.com/tousu/show/id/1344998</v>
      </c>
      <c r="F13520" s="2" t="s">
        <v>11</v>
      </c>
      <c r="G13520" s="2" t="s">
        <v>17568</v>
      </c>
      <c r="H13520" s="2" t="s">
        <v>17569</v>
      </c>
    </row>
    <row r="13521" spans="1:8" ht="25.05" customHeight="1" x14ac:dyDescent="0.25">
      <c r="A13521" s="2" t="s">
        <v>8</v>
      </c>
      <c r="B13521" s="2" t="str">
        <f>HYPERLINK("http://ts.21cn.com/tousu/show/id/1344999","暴力催收骚扰通讯录")</f>
        <v>暴力催收骚扰通讯录</v>
      </c>
      <c r="C13521" s="2" t="s">
        <v>9</v>
      </c>
      <c r="D13521" s="2" t="s">
        <v>10</v>
      </c>
      <c r="E13521" s="2" t="str">
        <f>HYPERLINK("http://ts.21cn.com/tousu/show/id/1344999","http://ts.21cn.com/tousu/show/id/1344999")</f>
        <v>http://ts.21cn.com/tousu/show/id/1344999</v>
      </c>
      <c r="F13521" s="2" t="s">
        <v>11</v>
      </c>
      <c r="G13521" s="2" t="s">
        <v>17566</v>
      </c>
      <c r="H13521" s="2" t="s">
        <v>17567</v>
      </c>
    </row>
    <row r="13522" spans="1:8" ht="25.05" customHeight="1" x14ac:dyDescent="0.25">
      <c r="A13522" s="2" t="s">
        <v>8</v>
      </c>
      <c r="B13522" s="2" t="str">
        <f>HYPERLINK("http://ts.21cn.com/tousu/show/id/1345001","上海造艺网络技术有限公司，百事普惠强制扣我银行卡金额")</f>
        <v>上海造艺网络技术有限公司，百事普惠强制扣我银行卡金额</v>
      </c>
      <c r="C13522" s="2" t="s">
        <v>9</v>
      </c>
      <c r="D13522" s="2" t="s">
        <v>10</v>
      </c>
      <c r="E13522" s="2" t="str">
        <f>HYPERLINK("http://ts.21cn.com/tousu/show/id/1345001","http://ts.21cn.com/tousu/show/id/1345001")</f>
        <v>http://ts.21cn.com/tousu/show/id/1345001</v>
      </c>
      <c r="F13522" s="2" t="s">
        <v>11</v>
      </c>
      <c r="G13522" s="2" t="s">
        <v>17565</v>
      </c>
      <c r="H13522" s="2" t="s">
        <v>16828</v>
      </c>
    </row>
    <row r="13523" spans="1:8" ht="25.05" customHeight="1" x14ac:dyDescent="0.25">
      <c r="A13523" s="2" t="s">
        <v>8</v>
      </c>
      <c r="B13523" s="2" t="str">
        <f>HYPERLINK("http://ts.21cn.com/tousu/show/id/1344800","不退款强制性消费")</f>
        <v>不退款强制性消费</v>
      </c>
      <c r="C13523" s="2" t="s">
        <v>9</v>
      </c>
      <c r="D13523" s="2" t="s">
        <v>10</v>
      </c>
      <c r="E13523" s="2" t="str">
        <f>HYPERLINK("http://ts.21cn.com/tousu/show/id/1344800","http://ts.21cn.com/tousu/show/id/1344800")</f>
        <v>http://ts.21cn.com/tousu/show/id/1344800</v>
      </c>
      <c r="F13523" s="2" t="s">
        <v>11</v>
      </c>
      <c r="G13523" s="2" t="s">
        <v>17563</v>
      </c>
      <c r="H13523" s="2" t="s">
        <v>17564</v>
      </c>
    </row>
    <row r="13524" spans="1:8" ht="25.05" customHeight="1" x14ac:dyDescent="0.25">
      <c r="A13524" s="2" t="s">
        <v>8</v>
      </c>
      <c r="B13524" s="2" t="str">
        <f>HYPERLINK("http://ts.21cn.com/tousu/show/id/1345002","好易贷7天高利贷")</f>
        <v>好易贷7天高利贷</v>
      </c>
      <c r="C13524" s="2" t="s">
        <v>9</v>
      </c>
      <c r="D13524" s="2" t="s">
        <v>10</v>
      </c>
      <c r="E13524" s="2" t="str">
        <f>HYPERLINK("http://ts.21cn.com/tousu/show/id/1345002","http://ts.21cn.com/tousu/show/id/1345002")</f>
        <v>http://ts.21cn.com/tousu/show/id/1345002</v>
      </c>
      <c r="F13524" s="2" t="s">
        <v>11</v>
      </c>
      <c r="G13524" s="2" t="s">
        <v>17561</v>
      </c>
      <c r="H13524" s="2" t="s">
        <v>17562</v>
      </c>
    </row>
    <row r="13525" spans="1:8" ht="25.05" customHeight="1" x14ac:dyDescent="0.25">
      <c r="A13525" s="2" t="s">
        <v>8</v>
      </c>
      <c r="B13525" s="2" t="str">
        <f>HYPERLINK("http://ts.21cn.com/tousu/show/id/1345003","泄露用户信息打包给催收公司")</f>
        <v>泄露用户信息打包给催收公司</v>
      </c>
      <c r="C13525" s="2" t="s">
        <v>9</v>
      </c>
      <c r="D13525" s="2" t="s">
        <v>10</v>
      </c>
      <c r="E13525" s="2" t="str">
        <f>HYPERLINK("http://ts.21cn.com/tousu/show/id/1345003","http://ts.21cn.com/tousu/show/id/1345003")</f>
        <v>http://ts.21cn.com/tousu/show/id/1345003</v>
      </c>
      <c r="F13525" s="2" t="s">
        <v>11</v>
      </c>
      <c r="G13525" s="2" t="s">
        <v>17559</v>
      </c>
      <c r="H13525" s="2" t="s">
        <v>17560</v>
      </c>
    </row>
    <row r="13526" spans="1:8" ht="25.05" customHeight="1" x14ac:dyDescent="0.25">
      <c r="A13526" s="2" t="s">
        <v>8</v>
      </c>
      <c r="B13526" s="2" t="str">
        <f>HYPERLINK("http://ts.21cn.com/tousu/show/id/1345004","暴力催收，恐吓，利息太高，未经允许私自打好友亲人电话")</f>
        <v>暴力催收，恐吓，利息太高，未经允许私自打好友亲人电话</v>
      </c>
      <c r="C13526" s="2" t="s">
        <v>9</v>
      </c>
      <c r="D13526" s="2" t="s">
        <v>10</v>
      </c>
      <c r="E13526" s="2" t="str">
        <f>HYPERLINK("http://ts.21cn.com/tousu/show/id/1345004","http://ts.21cn.com/tousu/show/id/1345004")</f>
        <v>http://ts.21cn.com/tousu/show/id/1345004</v>
      </c>
      <c r="F13526" s="2" t="s">
        <v>11</v>
      </c>
      <c r="G13526" s="2" t="s">
        <v>17557</v>
      </c>
      <c r="H13526" s="2" t="s">
        <v>17558</v>
      </c>
    </row>
    <row r="13527" spans="1:8" ht="25.05" customHeight="1" x14ac:dyDescent="0.25">
      <c r="A13527" s="2" t="s">
        <v>8</v>
      </c>
      <c r="B13527" s="2" t="str">
        <f>HYPERLINK("http://ts.21cn.com/tousu/show/id/1345006","钱站高利贷虚假合同")</f>
        <v>钱站高利贷虚假合同</v>
      </c>
      <c r="C13527" s="2" t="s">
        <v>9</v>
      </c>
      <c r="D13527" s="2" t="s">
        <v>10</v>
      </c>
      <c r="E13527" s="2" t="str">
        <f>HYPERLINK("http://ts.21cn.com/tousu/show/id/1345006","http://ts.21cn.com/tousu/show/id/1345006")</f>
        <v>http://ts.21cn.com/tousu/show/id/1345006</v>
      </c>
      <c r="F13527" s="2" t="s">
        <v>11</v>
      </c>
      <c r="G13527" s="2" t="s">
        <v>17555</v>
      </c>
      <c r="H13527" s="2" t="s">
        <v>17556</v>
      </c>
    </row>
    <row r="13528" spans="1:8" ht="25.05" customHeight="1" x14ac:dyDescent="0.25">
      <c r="A13528" s="2" t="s">
        <v>8</v>
      </c>
      <c r="B13528" s="2" t="str">
        <f>HYPERLINK("http://ts.21cn.com/tousu/show/id/1345005","融360里的要钱快非法套路贷")</f>
        <v>融360里的要钱快非法套路贷</v>
      </c>
      <c r="C13528" s="2" t="s">
        <v>9</v>
      </c>
      <c r="D13528" s="2" t="s">
        <v>10</v>
      </c>
      <c r="E13528" s="2" t="str">
        <f>HYPERLINK("http://ts.21cn.com/tousu/show/id/1345005","http://ts.21cn.com/tousu/show/id/1345005")</f>
        <v>http://ts.21cn.com/tousu/show/id/1345005</v>
      </c>
      <c r="F13528" s="2" t="s">
        <v>11</v>
      </c>
      <c r="G13528" s="2" t="s">
        <v>17553</v>
      </c>
      <c r="H13528" s="2" t="s">
        <v>17554</v>
      </c>
    </row>
    <row r="13529" spans="1:8" ht="25.05" customHeight="1" x14ac:dyDescent="0.25">
      <c r="A13529" s="2" t="s">
        <v>8</v>
      </c>
      <c r="B13529" s="2" t="str">
        <f>HYPERLINK("http://ts.21cn.com/tousu/show/id/1345007","淘集集克扣推广合伙人佣金")</f>
        <v>淘集集克扣推广合伙人佣金</v>
      </c>
      <c r="C13529" s="2" t="s">
        <v>9</v>
      </c>
      <c r="D13529" s="2" t="s">
        <v>10</v>
      </c>
      <c r="E13529" s="2" t="str">
        <f>HYPERLINK("http://ts.21cn.com/tousu/show/id/1345007","http://ts.21cn.com/tousu/show/id/1345007")</f>
        <v>http://ts.21cn.com/tousu/show/id/1345007</v>
      </c>
      <c r="F13529" s="2" t="s">
        <v>11</v>
      </c>
      <c r="G13529" s="2" t="s">
        <v>17551</v>
      </c>
      <c r="H13529" s="2" t="s">
        <v>17552</v>
      </c>
    </row>
    <row r="13530" spans="1:8" ht="25.05" customHeight="1" x14ac:dyDescent="0.25">
      <c r="A13530" s="2" t="s">
        <v>8</v>
      </c>
      <c r="B13530" s="2" t="str">
        <f>HYPERLINK("http://ts.21cn.com/tousu/show/id/1345008","暴力催收恐吓联系人")</f>
        <v>暴力催收恐吓联系人</v>
      </c>
      <c r="C13530" s="2" t="s">
        <v>9</v>
      </c>
      <c r="D13530" s="2" t="s">
        <v>10</v>
      </c>
      <c r="E13530" s="2" t="str">
        <f>HYPERLINK("http://ts.21cn.com/tousu/show/id/1345008","http://ts.21cn.com/tousu/show/id/1345008")</f>
        <v>http://ts.21cn.com/tousu/show/id/1345008</v>
      </c>
      <c r="F13530" s="2" t="s">
        <v>11</v>
      </c>
      <c r="G13530" s="2" t="s">
        <v>17549</v>
      </c>
      <c r="H13530" s="2" t="s">
        <v>17550</v>
      </c>
    </row>
    <row r="13531" spans="1:8" ht="25.05" customHeight="1" x14ac:dyDescent="0.25">
      <c r="A13531" s="2" t="s">
        <v>8</v>
      </c>
      <c r="B13531" s="2" t="str">
        <f>HYPERLINK("http://ts.21cn.com/tousu/show/id/1345009","交通银行骚扰")</f>
        <v>交通银行骚扰</v>
      </c>
      <c r="C13531" s="2" t="s">
        <v>9</v>
      </c>
      <c r="D13531" s="2" t="s">
        <v>10</v>
      </c>
      <c r="E13531" s="2" t="str">
        <f>HYPERLINK("http://ts.21cn.com/tousu/show/id/1345009","http://ts.21cn.com/tousu/show/id/1345009")</f>
        <v>http://ts.21cn.com/tousu/show/id/1345009</v>
      </c>
      <c r="F13531" s="2" t="s">
        <v>11</v>
      </c>
      <c r="G13531" s="2" t="s">
        <v>17547</v>
      </c>
      <c r="H13531" s="2" t="s">
        <v>17548</v>
      </c>
    </row>
    <row r="13532" spans="1:8" ht="25.05" customHeight="1" x14ac:dyDescent="0.25">
      <c r="A13532" s="2" t="s">
        <v>8</v>
      </c>
      <c r="B13532" s="2" t="str">
        <f>HYPERLINK("http://ts.21cn.com/tousu/show/id/1345010","高利贷，骚扰，威胁")</f>
        <v>高利贷，骚扰，威胁</v>
      </c>
      <c r="C13532" s="2" t="s">
        <v>9</v>
      </c>
      <c r="D13532" s="2" t="s">
        <v>10</v>
      </c>
      <c r="E13532" s="2" t="str">
        <f>HYPERLINK("http://ts.21cn.com/tousu/show/id/1345010","http://ts.21cn.com/tousu/show/id/1345010")</f>
        <v>http://ts.21cn.com/tousu/show/id/1345010</v>
      </c>
      <c r="F13532" s="2" t="s">
        <v>11</v>
      </c>
      <c r="G13532" s="2" t="s">
        <v>17545</v>
      </c>
      <c r="H13532" s="2" t="s">
        <v>17546</v>
      </c>
    </row>
    <row r="13533" spans="1:8" ht="25.05" customHeight="1" x14ac:dyDescent="0.25">
      <c r="A13533" s="2" t="s">
        <v>8</v>
      </c>
      <c r="B13533" s="2" t="str">
        <f>HYPERLINK("http://ts.21cn.com/tousu/show/id/1345011","暴力催收，骚扰通讯录，高利贷，收取高额平台服务费")</f>
        <v>暴力催收，骚扰通讯录，高利贷，收取高额平台服务费</v>
      </c>
      <c r="C13533" s="2" t="s">
        <v>9</v>
      </c>
      <c r="D13533" s="2" t="s">
        <v>10</v>
      </c>
      <c r="E13533" s="2" t="str">
        <f>HYPERLINK("http://ts.21cn.com/tousu/show/id/1345011","http://ts.21cn.com/tousu/show/id/1345011")</f>
        <v>http://ts.21cn.com/tousu/show/id/1345011</v>
      </c>
      <c r="F13533" s="2" t="s">
        <v>11</v>
      </c>
      <c r="G13533" s="2" t="s">
        <v>17543</v>
      </c>
      <c r="H13533" s="2" t="s">
        <v>17544</v>
      </c>
    </row>
    <row r="13534" spans="1:8" ht="25.05" customHeight="1" x14ac:dyDescent="0.25">
      <c r="A13534" s="2" t="s">
        <v>8</v>
      </c>
      <c r="B13534" s="2" t="str">
        <f>HYPERLINK("http://ts.21cn.com/tousu/show/id/1345013","快付通莫名其妙扣款，要求退回")</f>
        <v>快付通莫名其妙扣款，要求退回</v>
      </c>
      <c r="C13534" s="2" t="s">
        <v>9</v>
      </c>
      <c r="D13534" s="2" t="s">
        <v>10</v>
      </c>
      <c r="E13534" s="2" t="str">
        <f>HYPERLINK("http://ts.21cn.com/tousu/show/id/1345013","http://ts.21cn.com/tousu/show/id/1345013")</f>
        <v>http://ts.21cn.com/tousu/show/id/1345013</v>
      </c>
      <c r="F13534" s="2" t="s">
        <v>11</v>
      </c>
      <c r="G13534" s="2" t="s">
        <v>17541</v>
      </c>
      <c r="H13534" s="2" t="s">
        <v>17542</v>
      </c>
    </row>
    <row r="13535" spans="1:8" ht="25.05" customHeight="1" x14ac:dyDescent="0.25">
      <c r="A13535" s="2" t="s">
        <v>8</v>
      </c>
      <c r="B13535" s="2" t="str">
        <f>HYPERLINK("http://ts.21cn.com/tousu/show/id/1345015","招联金融骚扰催收无关的第三方")</f>
        <v>招联金融骚扰催收无关的第三方</v>
      </c>
      <c r="C13535" s="2" t="s">
        <v>9</v>
      </c>
      <c r="D13535" s="2" t="s">
        <v>10</v>
      </c>
      <c r="E13535" s="2" t="str">
        <f>HYPERLINK("http://ts.21cn.com/tousu/show/id/1345015","http://ts.21cn.com/tousu/show/id/1345015")</f>
        <v>http://ts.21cn.com/tousu/show/id/1345015</v>
      </c>
      <c r="F13535" s="2" t="s">
        <v>11</v>
      </c>
      <c r="G13535" s="2" t="s">
        <v>17539</v>
      </c>
      <c r="H13535" s="2" t="s">
        <v>17540</v>
      </c>
    </row>
    <row r="13536" spans="1:8" ht="25.05" customHeight="1" x14ac:dyDescent="0.25">
      <c r="A13536" s="2" t="s">
        <v>8</v>
      </c>
      <c r="B13536" s="2" t="str">
        <f>HYPERLINK("http://ts.21cn.com/tousu/show/id/1345016","百事普惠恶意扣款")</f>
        <v>百事普惠恶意扣款</v>
      </c>
      <c r="C13536" s="2" t="s">
        <v>9</v>
      </c>
      <c r="D13536" s="2" t="s">
        <v>10</v>
      </c>
      <c r="E13536" s="2" t="str">
        <f>HYPERLINK("http://ts.21cn.com/tousu/show/id/1345016","http://ts.21cn.com/tousu/show/id/1345016")</f>
        <v>http://ts.21cn.com/tousu/show/id/1345016</v>
      </c>
      <c r="F13536" s="2" t="s">
        <v>11</v>
      </c>
      <c r="G13536" s="2" t="s">
        <v>17537</v>
      </c>
      <c r="H13536" s="2" t="s">
        <v>17538</v>
      </c>
    </row>
    <row r="13537" spans="1:8" ht="25.05" customHeight="1" x14ac:dyDescent="0.25">
      <c r="A13537" s="2" t="s">
        <v>8</v>
      </c>
      <c r="B13537" s="2" t="str">
        <f>HYPERLINK("http://ts.21cn.com/tousu/show/id/1345014","未尽商品说明告知义务，拒不退款")</f>
        <v>未尽商品说明告知义务，拒不退款</v>
      </c>
      <c r="C13537" s="2" t="s">
        <v>9</v>
      </c>
      <c r="D13537" s="2" t="s">
        <v>10</v>
      </c>
      <c r="E13537" s="2" t="str">
        <f>HYPERLINK("http://ts.21cn.com/tousu/show/id/1345014","http://ts.21cn.com/tousu/show/id/1345014")</f>
        <v>http://ts.21cn.com/tousu/show/id/1345014</v>
      </c>
      <c r="F13537" s="2" t="s">
        <v>11</v>
      </c>
      <c r="G13537" s="2" t="s">
        <v>17535</v>
      </c>
      <c r="H13537" s="2" t="s">
        <v>17536</v>
      </c>
    </row>
    <row r="13538" spans="1:8" ht="25.05" customHeight="1" x14ac:dyDescent="0.25">
      <c r="A13538" s="2" t="s">
        <v>8</v>
      </c>
      <c r="B13538" s="2" t="str">
        <f>HYPERLINK("http://ts.21cn.com/tousu/show/id/1345017","借花钱APP添加银行卡被代扣198元")</f>
        <v>借花钱APP添加银行卡被代扣198元</v>
      </c>
      <c r="C13538" s="2" t="s">
        <v>34</v>
      </c>
      <c r="D13538" s="2" t="s">
        <v>10</v>
      </c>
      <c r="E13538" s="2" t="str">
        <f>HYPERLINK("http://ts.21cn.com/tousu/show/id/1345017","http://ts.21cn.com/tousu/show/id/1345017")</f>
        <v>http://ts.21cn.com/tousu/show/id/1345017</v>
      </c>
      <c r="F13538" s="2" t="s">
        <v>11</v>
      </c>
      <c r="G13538" s="2" t="s">
        <v>17533</v>
      </c>
      <c r="H13538" s="2" t="s">
        <v>17534</v>
      </c>
    </row>
    <row r="13539" spans="1:8" ht="25.05" customHeight="1" x14ac:dyDescent="0.25">
      <c r="A13539" s="2" t="s">
        <v>8</v>
      </c>
      <c r="B13539" s="2" t="str">
        <f>HYPERLINK("http://ts.21cn.com/tousu/show/id/1345018","安逸花软暴力，爆通讯录")</f>
        <v>安逸花软暴力，爆通讯录</v>
      </c>
      <c r="C13539" s="2" t="s">
        <v>9</v>
      </c>
      <c r="D13539" s="2" t="s">
        <v>10</v>
      </c>
      <c r="E13539" s="2" t="str">
        <f>HYPERLINK("http://ts.21cn.com/tousu/show/id/1345018","http://ts.21cn.com/tousu/show/id/1345018")</f>
        <v>http://ts.21cn.com/tousu/show/id/1345018</v>
      </c>
      <c r="F13539" s="2" t="s">
        <v>11</v>
      </c>
      <c r="G13539" s="2" t="s">
        <v>17531</v>
      </c>
      <c r="H13539" s="2" t="s">
        <v>17532</v>
      </c>
    </row>
    <row r="13540" spans="1:8" ht="25.05" customHeight="1" x14ac:dyDescent="0.25">
      <c r="A13540" s="2" t="s">
        <v>8</v>
      </c>
      <c r="B13540" s="2" t="str">
        <f>HYPERLINK("http://ts.21cn.com/tousu/show/id/1345019","捷信金融无良高利贷")</f>
        <v>捷信金融无良高利贷</v>
      </c>
      <c r="C13540" s="2" t="s">
        <v>9</v>
      </c>
      <c r="D13540" s="2" t="s">
        <v>10</v>
      </c>
      <c r="E13540" s="2" t="str">
        <f>HYPERLINK("http://ts.21cn.com/tousu/show/id/1345019","http://ts.21cn.com/tousu/show/id/1345019")</f>
        <v>http://ts.21cn.com/tousu/show/id/1345019</v>
      </c>
      <c r="F13540" s="2" t="s">
        <v>11</v>
      </c>
      <c r="G13540" s="2" t="s">
        <v>17529</v>
      </c>
      <c r="H13540" s="2" t="s">
        <v>17530</v>
      </c>
    </row>
    <row r="13541" spans="1:8" ht="25.05" customHeight="1" x14ac:dyDescent="0.25">
      <c r="A13541" s="2" t="s">
        <v>8</v>
      </c>
      <c r="B13541" s="2" t="str">
        <f>HYPERLINK("http://ts.21cn.com/tousu/show/id/1345022","花旗银行协调还款")</f>
        <v>花旗银行协调还款</v>
      </c>
      <c r="C13541" s="2" t="s">
        <v>34</v>
      </c>
      <c r="D13541" s="2" t="s">
        <v>10</v>
      </c>
      <c r="E13541" s="2" t="str">
        <f>HYPERLINK("http://ts.21cn.com/tousu/show/id/1345022","http://ts.21cn.com/tousu/show/id/1345022")</f>
        <v>http://ts.21cn.com/tousu/show/id/1345022</v>
      </c>
      <c r="F13541" s="2" t="s">
        <v>11</v>
      </c>
      <c r="G13541" s="2" t="s">
        <v>17527</v>
      </c>
      <c r="H13541" s="2" t="s">
        <v>17528</v>
      </c>
    </row>
    <row r="13542" spans="1:8" ht="25.05" customHeight="1" x14ac:dyDescent="0.25">
      <c r="A13542" s="2" t="s">
        <v>8</v>
      </c>
      <c r="B13542" s="2" t="str">
        <f>HYPERLINK("http://ts.21cn.com/tousu/show/id/1345021","米米罐违法高利贷")</f>
        <v>米米罐违法高利贷</v>
      </c>
      <c r="C13542" s="2" t="s">
        <v>9</v>
      </c>
      <c r="D13542" s="2" t="s">
        <v>10</v>
      </c>
      <c r="E13542" s="2" t="str">
        <f>HYPERLINK("http://ts.21cn.com/tousu/show/id/1345021","http://ts.21cn.com/tousu/show/id/1345021")</f>
        <v>http://ts.21cn.com/tousu/show/id/1345021</v>
      </c>
      <c r="F13542" s="2" t="s">
        <v>11</v>
      </c>
      <c r="G13542" s="2" t="s">
        <v>17525</v>
      </c>
      <c r="H13542" s="2" t="s">
        <v>17526</v>
      </c>
    </row>
    <row r="13543" spans="1:8" ht="25.05" customHeight="1" x14ac:dyDescent="0.25">
      <c r="A13543" s="2" t="s">
        <v>8</v>
      </c>
      <c r="B13543" s="2" t="str">
        <f>HYPERLINK("http://ts.21cn.com/tousu/show/id/1345025","哆啦宝无故冻结账户，扣留我的款项，")</f>
        <v>哆啦宝无故冻结账户，扣留我的款项，</v>
      </c>
      <c r="C13543" s="2" t="s">
        <v>9</v>
      </c>
      <c r="D13543" s="2" t="s">
        <v>10</v>
      </c>
      <c r="E13543" s="2" t="str">
        <f>HYPERLINK("http://ts.21cn.com/tousu/show/id/1345025","http://ts.21cn.com/tousu/show/id/1345025")</f>
        <v>http://ts.21cn.com/tousu/show/id/1345025</v>
      </c>
      <c r="F13543" s="2" t="s">
        <v>11</v>
      </c>
      <c r="G13543" s="2" t="s">
        <v>17523</v>
      </c>
      <c r="H13543" s="2" t="s">
        <v>17524</v>
      </c>
    </row>
    <row r="13544" spans="1:8" ht="25.05" customHeight="1" x14ac:dyDescent="0.25">
      <c r="A13544" s="2" t="s">
        <v>8</v>
      </c>
      <c r="B13544" s="2" t="str">
        <f>HYPERLINK("http://ts.21cn.com/tousu/show/id/1345024","中诚意起教育虚假宣传考证课程")</f>
        <v>中诚意起教育虚假宣传考证课程</v>
      </c>
      <c r="C13544" s="2" t="s">
        <v>9</v>
      </c>
      <c r="D13544" s="2" t="s">
        <v>10</v>
      </c>
      <c r="E13544" s="2" t="str">
        <f>HYPERLINK("http://ts.21cn.com/tousu/show/id/1345024","http://ts.21cn.com/tousu/show/id/1345024")</f>
        <v>http://ts.21cn.com/tousu/show/id/1345024</v>
      </c>
      <c r="F13544" s="2" t="s">
        <v>11</v>
      </c>
      <c r="G13544" s="2" t="s">
        <v>17521</v>
      </c>
      <c r="H13544" s="2" t="s">
        <v>17522</v>
      </c>
    </row>
    <row r="13545" spans="1:8" ht="25.05" customHeight="1" x14ac:dyDescent="0.25">
      <c r="A13545" s="2" t="s">
        <v>8</v>
      </c>
      <c r="B13545" s="2" t="str">
        <f>HYPERLINK("http://ts.21cn.com/tousu/show/id/1345026","恶意扣款")</f>
        <v>恶意扣款</v>
      </c>
      <c r="C13545" s="2" t="s">
        <v>9</v>
      </c>
      <c r="D13545" s="2" t="s">
        <v>10</v>
      </c>
      <c r="E13545" s="2" t="str">
        <f>HYPERLINK("http://ts.21cn.com/tousu/show/id/1345026","http://ts.21cn.com/tousu/show/id/1345026")</f>
        <v>http://ts.21cn.com/tousu/show/id/1345026</v>
      </c>
      <c r="F13545" s="2" t="s">
        <v>11</v>
      </c>
      <c r="G13545" s="2" t="s">
        <v>17519</v>
      </c>
      <c r="H13545" s="2" t="s">
        <v>17520</v>
      </c>
    </row>
    <row r="13546" spans="1:8" ht="25.05" customHeight="1" x14ac:dyDescent="0.25">
      <c r="A13546" s="2" t="s">
        <v>8</v>
      </c>
      <c r="B13546" s="2" t="str">
        <f>HYPERLINK("http://ts.21cn.com/tousu/show/id/1345028","钱站高利贷阴阳合同")</f>
        <v>钱站高利贷阴阳合同</v>
      </c>
      <c r="C13546" s="2" t="s">
        <v>9</v>
      </c>
      <c r="D13546" s="2" t="s">
        <v>10</v>
      </c>
      <c r="E13546" s="2" t="str">
        <f>HYPERLINK("http://ts.21cn.com/tousu/show/id/1345028","http://ts.21cn.com/tousu/show/id/1345028")</f>
        <v>http://ts.21cn.com/tousu/show/id/1345028</v>
      </c>
      <c r="F13546" s="2" t="s">
        <v>11</v>
      </c>
      <c r="G13546" s="2" t="s">
        <v>17517</v>
      </c>
      <c r="H13546" s="2" t="s">
        <v>17518</v>
      </c>
    </row>
    <row r="13547" spans="1:8" ht="25.05" customHeight="1" x14ac:dyDescent="0.25">
      <c r="A13547" s="2" t="s">
        <v>8</v>
      </c>
      <c r="B13547" s="2" t="str">
        <f>HYPERLINK("http://ts.21cn.com/tousu/show/id/1345030","我来数科违法收取逾期费")</f>
        <v>我来数科违法收取逾期费</v>
      </c>
      <c r="C13547" s="2" t="s">
        <v>9</v>
      </c>
      <c r="D13547" s="2" t="s">
        <v>10</v>
      </c>
      <c r="E13547" s="2" t="str">
        <f>HYPERLINK("http://ts.21cn.com/tousu/show/id/1345030","http://ts.21cn.com/tousu/show/id/1345030")</f>
        <v>http://ts.21cn.com/tousu/show/id/1345030</v>
      </c>
      <c r="F13547" s="2" t="s">
        <v>11</v>
      </c>
      <c r="G13547" s="2" t="s">
        <v>17515</v>
      </c>
      <c r="H13547" s="2" t="s">
        <v>17516</v>
      </c>
    </row>
    <row r="13548" spans="1:8" ht="25.05" customHeight="1" x14ac:dyDescent="0.25">
      <c r="A13548" s="2" t="s">
        <v>8</v>
      </c>
      <c r="B13548" s="2" t="str">
        <f>HYPERLINK("http://ts.21cn.com/tousu/show/id/1345031","网贷利息高过本金")</f>
        <v>网贷利息高过本金</v>
      </c>
      <c r="C13548" s="2" t="s">
        <v>9</v>
      </c>
      <c r="D13548" s="2" t="s">
        <v>10</v>
      </c>
      <c r="E13548" s="2" t="str">
        <f>HYPERLINK("http://ts.21cn.com/tousu/show/id/1345031","http://ts.21cn.com/tousu/show/id/1345031")</f>
        <v>http://ts.21cn.com/tousu/show/id/1345031</v>
      </c>
      <c r="F13548" s="2" t="s">
        <v>11</v>
      </c>
      <c r="G13548" s="2" t="s">
        <v>17513</v>
      </c>
      <c r="H13548" s="2" t="s">
        <v>17514</v>
      </c>
    </row>
    <row r="13549" spans="1:8" ht="25.05" customHeight="1" x14ac:dyDescent="0.25">
      <c r="A13549" s="2" t="s">
        <v>8</v>
      </c>
      <c r="B13549" s="2" t="str">
        <f>HYPERLINK("http://ts.21cn.com/tousu/show/id/1345033","及贷贷款违反法律法规搭售保险，我要求退还保险费用")</f>
        <v>及贷贷款违反法律法规搭售保险，我要求退还保险费用</v>
      </c>
      <c r="C13549" s="2" t="s">
        <v>9</v>
      </c>
      <c r="D13549" s="2" t="s">
        <v>10</v>
      </c>
      <c r="E13549" s="2" t="str">
        <f>HYPERLINK("http://ts.21cn.com/tousu/show/id/1345033","http://ts.21cn.com/tousu/show/id/1345033")</f>
        <v>http://ts.21cn.com/tousu/show/id/1345033</v>
      </c>
      <c r="F13549" s="2" t="s">
        <v>11</v>
      </c>
      <c r="G13549" s="2" t="s">
        <v>17511</v>
      </c>
      <c r="H13549" s="2" t="s">
        <v>17512</v>
      </c>
    </row>
    <row r="13550" spans="1:8" ht="25.05" customHeight="1" x14ac:dyDescent="0.25">
      <c r="A13550" s="2" t="s">
        <v>8</v>
      </c>
      <c r="B13550" s="2" t="str">
        <f>HYPERLINK("http://ts.21cn.com/tousu/show/id/1345032","捷信金融消费贷款问题")</f>
        <v>捷信金融消费贷款问题</v>
      </c>
      <c r="C13550" s="2" t="s">
        <v>34</v>
      </c>
      <c r="D13550" s="2" t="s">
        <v>10</v>
      </c>
      <c r="E13550" s="2" t="str">
        <f>HYPERLINK("http://ts.21cn.com/tousu/show/id/1345032","http://ts.21cn.com/tousu/show/id/1345032")</f>
        <v>http://ts.21cn.com/tousu/show/id/1345032</v>
      </c>
      <c r="F13550" s="2" t="s">
        <v>11</v>
      </c>
      <c r="G13550" s="2" t="s">
        <v>17510</v>
      </c>
      <c r="H13550" s="2" t="s">
        <v>1078</v>
      </c>
    </row>
    <row r="13551" spans="1:8" ht="25.05" customHeight="1" x14ac:dyDescent="0.25">
      <c r="A13551" s="2" t="s">
        <v>8</v>
      </c>
      <c r="B13551" s="2" t="str">
        <f>HYPERLINK("http://ts.21cn.com/tousu/show/id/1345034","暴力催收骚扰通讯录")</f>
        <v>暴力催收骚扰通讯录</v>
      </c>
      <c r="C13551" s="2" t="s">
        <v>9</v>
      </c>
      <c r="D13551" s="2" t="s">
        <v>10</v>
      </c>
      <c r="E13551" s="2" t="str">
        <f>HYPERLINK("http://ts.21cn.com/tousu/show/id/1345034","http://ts.21cn.com/tousu/show/id/1345034")</f>
        <v>http://ts.21cn.com/tousu/show/id/1345034</v>
      </c>
      <c r="F13551" s="2" t="s">
        <v>11</v>
      </c>
      <c r="G13551" s="2" t="s">
        <v>17508</v>
      </c>
      <c r="H13551" s="2" t="s">
        <v>17509</v>
      </c>
    </row>
    <row r="13552" spans="1:8" ht="25.05" customHeight="1" x14ac:dyDescent="0.25">
      <c r="A13552" s="2" t="s">
        <v>8</v>
      </c>
      <c r="B13552" s="2" t="str">
        <f>HYPERLINK("http://ts.21cn.com/tousu/show/id/1345035","钱站借1300元要我还2626元")</f>
        <v>钱站借1300元要我还2626元</v>
      </c>
      <c r="C13552" s="2" t="s">
        <v>9</v>
      </c>
      <c r="D13552" s="2" t="s">
        <v>10</v>
      </c>
      <c r="E13552" s="2" t="str">
        <f>HYPERLINK("http://ts.21cn.com/tousu/show/id/1345035","http://ts.21cn.com/tousu/show/id/1345035")</f>
        <v>http://ts.21cn.com/tousu/show/id/1345035</v>
      </c>
      <c r="F13552" s="2" t="s">
        <v>11</v>
      </c>
      <c r="G13552" s="2" t="s">
        <v>17506</v>
      </c>
      <c r="H13552" s="2" t="s">
        <v>17507</v>
      </c>
    </row>
    <row r="13553" spans="1:8" ht="25.05" customHeight="1" x14ac:dyDescent="0.25">
      <c r="A13553" s="2" t="s">
        <v>8</v>
      </c>
      <c r="B13553" s="2" t="str">
        <f>HYPERLINK("http://ts.21cn.com/tousu/show/id/1345042","玖富万卡年利率超过24%并暴力催收")</f>
        <v>玖富万卡年利率超过24%并暴力催收</v>
      </c>
      <c r="C13553" s="2" t="s">
        <v>9</v>
      </c>
      <c r="D13553" s="2" t="s">
        <v>10</v>
      </c>
      <c r="E13553" s="2" t="str">
        <f>HYPERLINK("http://ts.21cn.com/tousu/show/id/1345042","http://ts.21cn.com/tousu/show/id/1345042")</f>
        <v>http://ts.21cn.com/tousu/show/id/1345042</v>
      </c>
      <c r="F13553" s="2" t="s">
        <v>11</v>
      </c>
      <c r="G13553" s="2" t="s">
        <v>17504</v>
      </c>
      <c r="H13553" s="2" t="s">
        <v>17505</v>
      </c>
    </row>
    <row r="13554" spans="1:8" ht="25.05" customHeight="1" x14ac:dyDescent="0.25">
      <c r="A13554" s="2" t="s">
        <v>8</v>
      </c>
      <c r="B13554" s="2" t="str">
        <f>HYPERLINK("http://ts.21cn.com/tousu/show/id/1345036","高利贷砍头息")</f>
        <v>高利贷砍头息</v>
      </c>
      <c r="C13554" s="2" t="s">
        <v>9</v>
      </c>
      <c r="D13554" s="2" t="s">
        <v>10</v>
      </c>
      <c r="E13554" s="2" t="str">
        <f>HYPERLINK("http://ts.21cn.com/tousu/show/id/1345036","http://ts.21cn.com/tousu/show/id/1345036")</f>
        <v>http://ts.21cn.com/tousu/show/id/1345036</v>
      </c>
      <c r="F13554" s="2" t="s">
        <v>11</v>
      </c>
      <c r="G13554" s="2" t="s">
        <v>17502</v>
      </c>
      <c r="H13554" s="2" t="s">
        <v>17503</v>
      </c>
    </row>
    <row r="13555" spans="1:8" ht="25.05" customHeight="1" x14ac:dyDescent="0.25">
      <c r="A13555" s="2" t="s">
        <v>8</v>
      </c>
      <c r="B13555" s="2" t="str">
        <f>HYPERLINK("http://ts.21cn.com/tousu/show/id/1345038","侵权行为")</f>
        <v>侵权行为</v>
      </c>
      <c r="C13555" s="2" t="s">
        <v>9</v>
      </c>
      <c r="D13555" s="2" t="s">
        <v>10</v>
      </c>
      <c r="E13555" s="2" t="str">
        <f>HYPERLINK("http://ts.21cn.com/tousu/show/id/1345038","http://ts.21cn.com/tousu/show/id/1345038")</f>
        <v>http://ts.21cn.com/tousu/show/id/1345038</v>
      </c>
      <c r="F13555" s="2" t="s">
        <v>11</v>
      </c>
      <c r="G13555" s="2" t="s">
        <v>17500</v>
      </c>
      <c r="H13555" s="2" t="s">
        <v>17501</v>
      </c>
    </row>
    <row r="13556" spans="1:8" ht="25.05" customHeight="1" x14ac:dyDescent="0.25">
      <c r="A13556" s="2" t="s">
        <v>8</v>
      </c>
      <c r="B13556" s="2" t="str">
        <f>HYPERLINK("http://ts.21cn.com/tousu/show/id/1345039","联系不上客服，协商")</f>
        <v>联系不上客服，协商</v>
      </c>
      <c r="C13556" s="2" t="s">
        <v>9</v>
      </c>
      <c r="D13556" s="2" t="s">
        <v>10</v>
      </c>
      <c r="E13556" s="2" t="str">
        <f>HYPERLINK("http://ts.21cn.com/tousu/show/id/1345039","http://ts.21cn.com/tousu/show/id/1345039")</f>
        <v>http://ts.21cn.com/tousu/show/id/1345039</v>
      </c>
      <c r="F13556" s="2" t="s">
        <v>11</v>
      </c>
      <c r="G13556" s="2" t="s">
        <v>17498</v>
      </c>
      <c r="H13556" s="2" t="s">
        <v>17499</v>
      </c>
    </row>
    <row r="13557" spans="1:8" ht="25.05" customHeight="1" x14ac:dyDescent="0.25">
      <c r="A13557" s="2" t="s">
        <v>8</v>
      </c>
      <c r="B13557" s="2" t="str">
        <f>HYPERLINK("http://ts.21cn.com/tousu/show/id/1345040","闪电借款借款2200，买600黑卡。买了借款失败，联系客服不给退黑卡钱")</f>
        <v>闪电借款借款2200，买600黑卡。买了借款失败，联系客服不给退黑卡钱</v>
      </c>
      <c r="C13557" s="2" t="s">
        <v>9</v>
      </c>
      <c r="D13557" s="2" t="s">
        <v>10</v>
      </c>
      <c r="E13557" s="2" t="str">
        <f>HYPERLINK("http://ts.21cn.com/tousu/show/id/1345040","http://ts.21cn.com/tousu/show/id/1345040")</f>
        <v>http://ts.21cn.com/tousu/show/id/1345040</v>
      </c>
      <c r="F13557" s="2" t="s">
        <v>11</v>
      </c>
      <c r="G13557" s="2" t="s">
        <v>17496</v>
      </c>
      <c r="H13557" s="2" t="s">
        <v>17497</v>
      </c>
    </row>
    <row r="13558" spans="1:8" ht="25.05" customHeight="1" x14ac:dyDescent="0.25">
      <c r="A13558" s="2" t="s">
        <v>8</v>
      </c>
      <c r="B13558" s="2" t="str">
        <f>HYPERLINK("http://ts.21cn.com/tousu/show/id/1345041","急用钱app上没借过款遇催收")</f>
        <v>急用钱app上没借过款遇催收</v>
      </c>
      <c r="C13558" s="2" t="s">
        <v>34</v>
      </c>
      <c r="D13558" s="2" t="s">
        <v>10</v>
      </c>
      <c r="E13558" s="2" t="str">
        <f>HYPERLINK("http://ts.21cn.com/tousu/show/id/1345041","http://ts.21cn.com/tousu/show/id/1345041")</f>
        <v>http://ts.21cn.com/tousu/show/id/1345041</v>
      </c>
      <c r="F13558" s="2" t="s">
        <v>11</v>
      </c>
      <c r="G13558" s="2" t="s">
        <v>17494</v>
      </c>
      <c r="H13558" s="2" t="s">
        <v>17495</v>
      </c>
    </row>
    <row r="13559" spans="1:8" ht="25.05" customHeight="1" x14ac:dyDescent="0.25">
      <c r="A13559" s="2" t="s">
        <v>8</v>
      </c>
      <c r="B13559" s="2" t="str">
        <f>HYPERLINK("http://ts.21cn.com/tousu/show/id/1345043","要求停止爆力催收，给出合理解释")</f>
        <v>要求停止爆力催收，给出合理解释</v>
      </c>
      <c r="C13559" s="2" t="s">
        <v>9</v>
      </c>
      <c r="D13559" s="2" t="s">
        <v>10</v>
      </c>
      <c r="E13559" s="2" t="str">
        <f>HYPERLINK("http://ts.21cn.com/tousu/show/id/1345043","http://ts.21cn.com/tousu/show/id/1345043")</f>
        <v>http://ts.21cn.com/tousu/show/id/1345043</v>
      </c>
      <c r="F13559" s="2" t="s">
        <v>11</v>
      </c>
      <c r="G13559" s="2" t="s">
        <v>17492</v>
      </c>
      <c r="H13559" s="2" t="s">
        <v>17493</v>
      </c>
    </row>
    <row r="13560" spans="1:8" ht="25.05" customHeight="1" x14ac:dyDescent="0.25">
      <c r="A13560" s="2" t="s">
        <v>8</v>
      </c>
      <c r="B13560" s="2" t="str">
        <f>HYPERLINK("http://ts.21cn.com/tousu/show/id/1345045","投诉世纪佳缘侵犯消费者权益")</f>
        <v>投诉世纪佳缘侵犯消费者权益</v>
      </c>
      <c r="C13560" s="2" t="s">
        <v>9</v>
      </c>
      <c r="D13560" s="2" t="s">
        <v>10</v>
      </c>
      <c r="E13560" s="2" t="str">
        <f>HYPERLINK("http://ts.21cn.com/tousu/show/id/1345045","http://ts.21cn.com/tousu/show/id/1345045")</f>
        <v>http://ts.21cn.com/tousu/show/id/1345045</v>
      </c>
      <c r="F13560" s="2" t="s">
        <v>11</v>
      </c>
      <c r="G13560" s="2" t="s">
        <v>17490</v>
      </c>
      <c r="H13560" s="2" t="s">
        <v>17491</v>
      </c>
    </row>
    <row r="13561" spans="1:8" ht="25.05" customHeight="1" x14ac:dyDescent="0.25">
      <c r="A13561" s="2" t="s">
        <v>8</v>
      </c>
      <c r="B13561" s="2" t="str">
        <f>HYPERLINK("http://ts.21cn.com/tousu/show/id/1345046","非法高利贷，暴力崔收")</f>
        <v>非法高利贷，暴力崔收</v>
      </c>
      <c r="C13561" s="2" t="s">
        <v>9</v>
      </c>
      <c r="D13561" s="2" t="s">
        <v>10</v>
      </c>
      <c r="E13561" s="2" t="str">
        <f>HYPERLINK("http://ts.21cn.com/tousu/show/id/1345046","http://ts.21cn.com/tousu/show/id/1345046")</f>
        <v>http://ts.21cn.com/tousu/show/id/1345046</v>
      </c>
      <c r="F13561" s="2" t="s">
        <v>11</v>
      </c>
      <c r="G13561" s="2" t="s">
        <v>17488</v>
      </c>
      <c r="H13561" s="2" t="s">
        <v>17489</v>
      </c>
    </row>
    <row r="13562" spans="1:8" ht="25.05" customHeight="1" x14ac:dyDescent="0.25">
      <c r="A13562" s="2" t="s">
        <v>8</v>
      </c>
      <c r="B13562" s="2" t="str">
        <f>HYPERLINK("http://ts.21cn.com/tousu/show/id/1344985","上海造艺网络科技有限公司；豹子贷恶意扣款")</f>
        <v>上海造艺网络科技有限公司；豹子贷恶意扣款</v>
      </c>
      <c r="C13562" s="2" t="s">
        <v>9</v>
      </c>
      <c r="D13562" s="2" t="s">
        <v>10</v>
      </c>
      <c r="E13562" s="2" t="str">
        <f>HYPERLINK("http://ts.21cn.com/tousu/show/id/1344985","http://ts.21cn.com/tousu/show/id/1344985")</f>
        <v>http://ts.21cn.com/tousu/show/id/1344985</v>
      </c>
      <c r="F13562" s="2" t="s">
        <v>11</v>
      </c>
      <c r="G13562" s="2" t="s">
        <v>17486</v>
      </c>
      <c r="H13562" s="2" t="s">
        <v>17487</v>
      </c>
    </row>
    <row r="13563" spans="1:8" ht="25.05" customHeight="1" x14ac:dyDescent="0.25">
      <c r="A13563" s="2" t="s">
        <v>8</v>
      </c>
      <c r="B13563" s="2" t="str">
        <f>HYPERLINK("http://ts.21cn.com/tousu/show/id/1345047","造艺科技旗下的聚富分期恶意收取299元，信征查询费，要求退回299元")</f>
        <v>造艺科技旗下的聚富分期恶意收取299元，信征查询费，要求退回299元</v>
      </c>
      <c r="C13563" s="2" t="s">
        <v>9</v>
      </c>
      <c r="D13563" s="2" t="s">
        <v>10</v>
      </c>
      <c r="E13563" s="2" t="str">
        <f>HYPERLINK("http://ts.21cn.com/tousu/show/id/1345047","http://ts.21cn.com/tousu/show/id/1345047")</f>
        <v>http://ts.21cn.com/tousu/show/id/1345047</v>
      </c>
      <c r="F13563" s="2" t="s">
        <v>11</v>
      </c>
      <c r="G13563" s="2" t="s">
        <v>17484</v>
      </c>
      <c r="H13563" s="2" t="s">
        <v>17485</v>
      </c>
    </row>
    <row r="13564" spans="1:8" ht="25.05" customHeight="1" x14ac:dyDescent="0.25">
      <c r="A13564" s="2" t="s">
        <v>8</v>
      </c>
      <c r="B13564" s="2" t="str">
        <f>HYPERLINK("http://ts.21cn.com/tousu/show/id/1345051","安逸花恶意骚扰联系人")</f>
        <v>安逸花恶意骚扰联系人</v>
      </c>
      <c r="C13564" s="2" t="s">
        <v>9</v>
      </c>
      <c r="D13564" s="2" t="s">
        <v>10</v>
      </c>
      <c r="E13564" s="2" t="str">
        <f>HYPERLINK("http://ts.21cn.com/tousu/show/id/1345051","http://ts.21cn.com/tousu/show/id/1345051")</f>
        <v>http://ts.21cn.com/tousu/show/id/1345051</v>
      </c>
      <c r="F13564" s="2" t="s">
        <v>11</v>
      </c>
      <c r="G13564" s="2" t="s">
        <v>17482</v>
      </c>
      <c r="H13564" s="2" t="s">
        <v>17483</v>
      </c>
    </row>
    <row r="13565" spans="1:8" ht="25.05" customHeight="1" x14ac:dyDescent="0.25">
      <c r="A13565" s="2" t="s">
        <v>8</v>
      </c>
      <c r="B13565" s="2" t="str">
        <f>HYPERLINK("http://ts.21cn.com/tousu/show/id/1345049","抖音企业蓝V号开通不了，不退费")</f>
        <v>抖音企业蓝V号开通不了，不退费</v>
      </c>
      <c r="C13565" s="2" t="s">
        <v>9</v>
      </c>
      <c r="D13565" s="2" t="s">
        <v>10</v>
      </c>
      <c r="E13565" s="2" t="str">
        <f>HYPERLINK("http://ts.21cn.com/tousu/show/id/1345049","http://ts.21cn.com/tousu/show/id/1345049")</f>
        <v>http://ts.21cn.com/tousu/show/id/1345049</v>
      </c>
      <c r="F13565" s="2" t="s">
        <v>11</v>
      </c>
      <c r="G13565" s="2" t="s">
        <v>17480</v>
      </c>
      <c r="H13565" s="2" t="s">
        <v>17481</v>
      </c>
    </row>
    <row r="13566" spans="1:8" ht="25.05" customHeight="1" x14ac:dyDescent="0.25">
      <c r="A13566" s="2" t="s">
        <v>8</v>
      </c>
      <c r="B13566" s="2" t="str">
        <f>HYPERLINK("http://ts.21cn.com/tousu/show/id/1345050","退钱")</f>
        <v>退钱</v>
      </c>
      <c r="C13566" s="2" t="s">
        <v>34</v>
      </c>
      <c r="D13566" s="2" t="s">
        <v>10</v>
      </c>
      <c r="E13566" s="2" t="str">
        <f>HYPERLINK("http://ts.21cn.com/tousu/show/id/1345050","http://ts.21cn.com/tousu/show/id/1345050")</f>
        <v>http://ts.21cn.com/tousu/show/id/1345050</v>
      </c>
      <c r="F13566" s="2" t="s">
        <v>11</v>
      </c>
      <c r="G13566" s="2" t="s">
        <v>17478</v>
      </c>
      <c r="H13566" s="2" t="s">
        <v>17479</v>
      </c>
    </row>
    <row r="13567" spans="1:8" ht="25.05" customHeight="1" x14ac:dyDescent="0.25">
      <c r="A13567" s="2" t="s">
        <v>8</v>
      </c>
      <c r="B13567" s="2" t="str">
        <f>HYPERLINK("http://ts.21cn.com/tousu/show/id/1345054","好易借联系的到我的情况下，爆通讯录")</f>
        <v>好易借联系的到我的情况下，爆通讯录</v>
      </c>
      <c r="C13567" s="2" t="s">
        <v>9</v>
      </c>
      <c r="D13567" s="2" t="s">
        <v>10</v>
      </c>
      <c r="E13567" s="2" t="str">
        <f>HYPERLINK("http://ts.21cn.com/tousu/show/id/1345054","http://ts.21cn.com/tousu/show/id/1345054")</f>
        <v>http://ts.21cn.com/tousu/show/id/1345054</v>
      </c>
      <c r="F13567" s="2" t="s">
        <v>11</v>
      </c>
      <c r="G13567" s="2" t="s">
        <v>17476</v>
      </c>
      <c r="H13567" s="2" t="s">
        <v>17477</v>
      </c>
    </row>
    <row r="13568" spans="1:8" ht="25.05" customHeight="1" x14ac:dyDescent="0.25">
      <c r="A13568" s="2" t="s">
        <v>8</v>
      </c>
      <c r="B13568" s="2" t="str">
        <f>HYPERLINK("http://ts.21cn.com/tousu/show/id/1345056","嗨钱网")</f>
        <v>嗨钱网</v>
      </c>
      <c r="C13568" s="2" t="s">
        <v>9</v>
      </c>
      <c r="D13568" s="2" t="s">
        <v>10</v>
      </c>
      <c r="E13568" s="2" t="str">
        <f>HYPERLINK("http://ts.21cn.com/tousu/show/id/1345056","http://ts.21cn.com/tousu/show/id/1345056")</f>
        <v>http://ts.21cn.com/tousu/show/id/1345056</v>
      </c>
      <c r="F13568" s="2" t="s">
        <v>11</v>
      </c>
      <c r="G13568" s="2" t="s">
        <v>17474</v>
      </c>
      <c r="H13568" s="2" t="s">
        <v>17475</v>
      </c>
    </row>
    <row r="13569" spans="1:8" ht="25.05" customHeight="1" x14ac:dyDescent="0.25">
      <c r="A13569" s="2" t="s">
        <v>8</v>
      </c>
      <c r="B13569" s="2" t="str">
        <f>HYPERLINK("http://ts.21cn.com/tousu/show/id/1345055","海淘免税店售卖假货")</f>
        <v>海淘免税店售卖假货</v>
      </c>
      <c r="C13569" s="2" t="s">
        <v>9</v>
      </c>
      <c r="D13569" s="2" t="s">
        <v>10</v>
      </c>
      <c r="E13569" s="2" t="str">
        <f>HYPERLINK("http://ts.21cn.com/tousu/show/id/1345055","http://ts.21cn.com/tousu/show/id/1345055")</f>
        <v>http://ts.21cn.com/tousu/show/id/1345055</v>
      </c>
      <c r="F13569" s="2" t="s">
        <v>11</v>
      </c>
      <c r="G13569" s="2" t="s">
        <v>17472</v>
      </c>
      <c r="H13569" s="2" t="s">
        <v>17473</v>
      </c>
    </row>
    <row r="13570" spans="1:8" ht="25.05" customHeight="1" x14ac:dyDescent="0.25">
      <c r="A13570" s="2" t="s">
        <v>8</v>
      </c>
      <c r="B13570" s="2" t="str">
        <f>HYPERLINK("http://ts.21cn.com/tousu/show/id/1345057","被乱扣钱")</f>
        <v>被乱扣钱</v>
      </c>
      <c r="C13570" s="2" t="s">
        <v>9</v>
      </c>
      <c r="D13570" s="2" t="s">
        <v>10</v>
      </c>
      <c r="E13570" s="2" t="str">
        <f>HYPERLINK("http://ts.21cn.com/tousu/show/id/1345057","http://ts.21cn.com/tousu/show/id/1345057")</f>
        <v>http://ts.21cn.com/tousu/show/id/1345057</v>
      </c>
      <c r="F13570" s="2" t="s">
        <v>11</v>
      </c>
      <c r="G13570" s="2" t="s">
        <v>17470</v>
      </c>
      <c r="H13570" s="2" t="s">
        <v>17471</v>
      </c>
    </row>
    <row r="13571" spans="1:8" ht="25.05" customHeight="1" x14ac:dyDescent="0.25">
      <c r="A13571" s="2" t="s">
        <v>8</v>
      </c>
      <c r="B13571" s="2" t="str">
        <f>HYPERLINK("http://ts.21cn.com/tousu/show/id/1345058","闪银官方客服电话打不进，无法进行协商")</f>
        <v>闪银官方客服电话打不进，无法进行协商</v>
      </c>
      <c r="C13571" s="2" t="s">
        <v>9</v>
      </c>
      <c r="D13571" s="2" t="s">
        <v>10</v>
      </c>
      <c r="E13571" s="2" t="str">
        <f>HYPERLINK("http://ts.21cn.com/tousu/show/id/1345058","http://ts.21cn.com/tousu/show/id/1345058")</f>
        <v>http://ts.21cn.com/tousu/show/id/1345058</v>
      </c>
      <c r="F13571" s="2" t="s">
        <v>11</v>
      </c>
      <c r="G13571" s="2" t="s">
        <v>17468</v>
      </c>
      <c r="H13571" s="2" t="s">
        <v>17469</v>
      </c>
    </row>
    <row r="13572" spans="1:8" ht="25.05" customHeight="1" x14ac:dyDescent="0.25">
      <c r="A13572" s="2" t="s">
        <v>8</v>
      </c>
      <c r="B13572" s="2" t="str">
        <f>HYPERLINK("http://ts.21cn.com/tousu/show/id/1345059","云享贷")</f>
        <v>云享贷</v>
      </c>
      <c r="C13572" s="2" t="s">
        <v>9</v>
      </c>
      <c r="D13572" s="2" t="s">
        <v>10</v>
      </c>
      <c r="E13572" s="2" t="str">
        <f>HYPERLINK("http://ts.21cn.com/tousu/show/id/1345059","http://ts.21cn.com/tousu/show/id/1345059")</f>
        <v>http://ts.21cn.com/tousu/show/id/1345059</v>
      </c>
      <c r="F13572" s="2" t="s">
        <v>11</v>
      </c>
      <c r="G13572" s="2" t="s">
        <v>17466</v>
      </c>
      <c r="H13572" s="2" t="s">
        <v>17467</v>
      </c>
    </row>
    <row r="13573" spans="1:8" ht="25.05" customHeight="1" x14ac:dyDescent="0.25">
      <c r="A13573" s="2" t="s">
        <v>8</v>
      </c>
      <c r="B13573" s="2" t="str">
        <f>HYPERLINK("http://ts.21cn.com/tousu/show/id/1345060","360借条误导用户提前还款收取高额利息")</f>
        <v>360借条误导用户提前还款收取高额利息</v>
      </c>
      <c r="C13573" s="2" t="s">
        <v>9</v>
      </c>
      <c r="D13573" s="2" t="s">
        <v>10</v>
      </c>
      <c r="E13573" s="2" t="str">
        <f>HYPERLINK("http://ts.21cn.com/tousu/show/id/1345060","http://ts.21cn.com/tousu/show/id/1345060")</f>
        <v>http://ts.21cn.com/tousu/show/id/1345060</v>
      </c>
      <c r="F13573" s="2" t="s">
        <v>11</v>
      </c>
      <c r="G13573" s="2" t="s">
        <v>17464</v>
      </c>
      <c r="H13573" s="2" t="s">
        <v>17465</v>
      </c>
    </row>
    <row r="13574" spans="1:8" ht="25.05" customHeight="1" x14ac:dyDescent="0.25">
      <c r="A13574" s="2" t="s">
        <v>8</v>
      </c>
      <c r="B13574" s="2" t="str">
        <f>HYPERLINK("http://ts.21cn.com/tousu/show/id/1345061","百合网忽悠遭集体投诉：造假会员信息、诱导贷款……")</f>
        <v>百合网忽悠遭集体投诉：造假会员信息、诱导贷款……</v>
      </c>
      <c r="C13574" s="2" t="s">
        <v>9</v>
      </c>
      <c r="D13574" s="2" t="s">
        <v>10</v>
      </c>
      <c r="E13574" s="2" t="str">
        <f>HYPERLINK("http://ts.21cn.com/tousu/show/id/1345061","http://ts.21cn.com/tousu/show/id/1345061")</f>
        <v>http://ts.21cn.com/tousu/show/id/1345061</v>
      </c>
      <c r="F13574" s="2" t="s">
        <v>11</v>
      </c>
      <c r="G13574" s="2" t="s">
        <v>17462</v>
      </c>
      <c r="H13574" s="2" t="s">
        <v>17463</v>
      </c>
    </row>
    <row r="13575" spans="1:8" ht="25.05" customHeight="1" x14ac:dyDescent="0.25">
      <c r="A13575" s="2" t="s">
        <v>8</v>
      </c>
      <c r="B13575" s="2" t="str">
        <f>HYPERLINK("http://ts.21cn.com/tousu/show/id/1345062","支付宝暴力催收")</f>
        <v>支付宝暴力催收</v>
      </c>
      <c r="C13575" s="2" t="s">
        <v>9</v>
      </c>
      <c r="D13575" s="2" t="s">
        <v>10</v>
      </c>
      <c r="E13575" s="2" t="str">
        <f>HYPERLINK("http://ts.21cn.com/tousu/show/id/1345062","http://ts.21cn.com/tousu/show/id/1345062")</f>
        <v>http://ts.21cn.com/tousu/show/id/1345062</v>
      </c>
      <c r="F13575" s="2" t="s">
        <v>11</v>
      </c>
      <c r="G13575" s="2" t="s">
        <v>17460</v>
      </c>
      <c r="H13575" s="2" t="s">
        <v>17461</v>
      </c>
    </row>
    <row r="13576" spans="1:8" ht="25.05" customHeight="1" x14ac:dyDescent="0.25">
      <c r="A13576" s="2" t="s">
        <v>8</v>
      </c>
      <c r="B13576" s="2" t="str">
        <f>HYPERLINK("http://ts.21cn.com/tousu/show/id/1345064","安逸花催收把个人资料发给联系人")</f>
        <v>安逸花催收把个人资料发给联系人</v>
      </c>
      <c r="C13576" s="2" t="s">
        <v>34</v>
      </c>
      <c r="D13576" s="2" t="s">
        <v>10</v>
      </c>
      <c r="E13576" s="2" t="str">
        <f>HYPERLINK("http://ts.21cn.com/tousu/show/id/1345064","http://ts.21cn.com/tousu/show/id/1345064")</f>
        <v>http://ts.21cn.com/tousu/show/id/1345064</v>
      </c>
      <c r="F13576" s="2" t="s">
        <v>11</v>
      </c>
      <c r="G13576" s="2" t="s">
        <v>17458</v>
      </c>
      <c r="H13576" s="2" t="s">
        <v>17459</v>
      </c>
    </row>
    <row r="13577" spans="1:8" ht="25.05" customHeight="1" x14ac:dyDescent="0.25">
      <c r="A13577" s="2" t="s">
        <v>8</v>
      </c>
      <c r="B13577" s="2" t="str">
        <f>HYPERLINK("http://ts.21cn.com/tousu/show/id/1345063","蚂蚁借呗私自扣款")</f>
        <v>蚂蚁借呗私自扣款</v>
      </c>
      <c r="C13577" s="2" t="s">
        <v>9</v>
      </c>
      <c r="D13577" s="2" t="s">
        <v>10</v>
      </c>
      <c r="E13577" s="2" t="str">
        <f>HYPERLINK("http://ts.21cn.com/tousu/show/id/1345063","http://ts.21cn.com/tousu/show/id/1345063")</f>
        <v>http://ts.21cn.com/tousu/show/id/1345063</v>
      </c>
      <c r="F13577" s="2" t="s">
        <v>11</v>
      </c>
      <c r="G13577" s="2" t="s">
        <v>17456</v>
      </c>
      <c r="H13577" s="2" t="s">
        <v>17457</v>
      </c>
    </row>
    <row r="13578" spans="1:8" ht="25.05" customHeight="1" x14ac:dyDescent="0.25">
      <c r="A13578" s="2" t="s">
        <v>8</v>
      </c>
      <c r="B13578" s="2" t="str">
        <f>HYPERLINK("http://ts.21cn.com/tousu/show/id/1345023","诱导欺诈")</f>
        <v>诱导欺诈</v>
      </c>
      <c r="C13578" s="2" t="s">
        <v>9</v>
      </c>
      <c r="D13578" s="2" t="s">
        <v>10</v>
      </c>
      <c r="E13578" s="2" t="str">
        <f>HYPERLINK("http://ts.21cn.com/tousu/show/id/1345023","http://ts.21cn.com/tousu/show/id/1345023")</f>
        <v>http://ts.21cn.com/tousu/show/id/1345023</v>
      </c>
      <c r="F13578" s="2" t="s">
        <v>11</v>
      </c>
      <c r="G13578" s="2" t="s">
        <v>17454</v>
      </c>
      <c r="H13578" s="2" t="s">
        <v>17455</v>
      </c>
    </row>
    <row r="13579" spans="1:8" ht="25.05" customHeight="1" x14ac:dyDescent="0.25">
      <c r="A13579" s="2" t="s">
        <v>8</v>
      </c>
      <c r="B13579" s="2" t="str">
        <f>HYPERLINK("http://ts.21cn.com/tousu/show/id/1345065","小象优品群发信息骚扰我家人")</f>
        <v>小象优品群发信息骚扰我家人</v>
      </c>
      <c r="C13579" s="2" t="s">
        <v>34</v>
      </c>
      <c r="D13579" s="2" t="s">
        <v>10</v>
      </c>
      <c r="E13579" s="2" t="str">
        <f>HYPERLINK("http://ts.21cn.com/tousu/show/id/1345065","http://ts.21cn.com/tousu/show/id/1345065")</f>
        <v>http://ts.21cn.com/tousu/show/id/1345065</v>
      </c>
      <c r="F13579" s="2" t="s">
        <v>11</v>
      </c>
      <c r="G13579" s="2" t="s">
        <v>17452</v>
      </c>
      <c r="H13579" s="2" t="s">
        <v>17453</v>
      </c>
    </row>
    <row r="13580" spans="1:8" ht="25.05" customHeight="1" x14ac:dyDescent="0.25">
      <c r="A13580" s="2" t="s">
        <v>8</v>
      </c>
      <c r="B13580" s="2" t="str">
        <f>HYPERLINK("http://ts.21cn.com/tousu/show/id/1345068","淘集集平台拖欠商家货款100天")</f>
        <v>淘集集平台拖欠商家货款100天</v>
      </c>
      <c r="C13580" s="2" t="s">
        <v>9</v>
      </c>
      <c r="D13580" s="2" t="s">
        <v>10</v>
      </c>
      <c r="E13580" s="2" t="str">
        <f>HYPERLINK("http://ts.21cn.com/tousu/show/id/1345068","http://ts.21cn.com/tousu/show/id/1345068")</f>
        <v>http://ts.21cn.com/tousu/show/id/1345068</v>
      </c>
      <c r="F13580" s="2" t="s">
        <v>11</v>
      </c>
      <c r="G13580" s="2" t="s">
        <v>17450</v>
      </c>
      <c r="H13580" s="2" t="s">
        <v>17451</v>
      </c>
    </row>
    <row r="13581" spans="1:8" ht="25.05" customHeight="1" x14ac:dyDescent="0.25">
      <c r="A13581" s="2" t="s">
        <v>8</v>
      </c>
      <c r="B13581" s="2" t="str">
        <f>HYPERLINK("http://ts.21cn.com/tousu/show/id/1345067","十多年头一次遇见这样的银行服务态度")</f>
        <v>十多年头一次遇见这样的银行服务态度</v>
      </c>
      <c r="C13581" s="2" t="s">
        <v>9</v>
      </c>
      <c r="D13581" s="2" t="s">
        <v>10</v>
      </c>
      <c r="E13581" s="2" t="str">
        <f>HYPERLINK("http://ts.21cn.com/tousu/show/id/1345067","http://ts.21cn.com/tousu/show/id/1345067")</f>
        <v>http://ts.21cn.com/tousu/show/id/1345067</v>
      </c>
      <c r="F13581" s="2" t="s">
        <v>11</v>
      </c>
      <c r="G13581" s="2" t="s">
        <v>17448</v>
      </c>
      <c r="H13581" s="2" t="s">
        <v>17449</v>
      </c>
    </row>
    <row r="13582" spans="1:8" ht="25.05" customHeight="1" x14ac:dyDescent="0.25">
      <c r="A13582" s="2" t="s">
        <v>8</v>
      </c>
      <c r="B13582" s="2" t="str">
        <f>HYPERLINK("http://ts.21cn.com/tousu/show/id/1345066","捷信公司不肯协商")</f>
        <v>捷信公司不肯协商</v>
      </c>
      <c r="C13582" s="2" t="s">
        <v>9</v>
      </c>
      <c r="D13582" s="2" t="s">
        <v>10</v>
      </c>
      <c r="E13582" s="2" t="str">
        <f>HYPERLINK("http://ts.21cn.com/tousu/show/id/1345066","http://ts.21cn.com/tousu/show/id/1345066")</f>
        <v>http://ts.21cn.com/tousu/show/id/1345066</v>
      </c>
      <c r="F13582" s="2" t="s">
        <v>11</v>
      </c>
      <c r="G13582" s="2" t="s">
        <v>17446</v>
      </c>
      <c r="H13582" s="2" t="s">
        <v>17447</v>
      </c>
    </row>
    <row r="13583" spans="1:8" ht="25.05" customHeight="1" x14ac:dyDescent="0.25">
      <c r="A13583" s="2" t="s">
        <v>8</v>
      </c>
      <c r="B13583" s="2" t="str">
        <f>HYPERLINK("http://ts.21cn.com/tousu/show/id/1345070","高利贷变相砍头息")</f>
        <v>高利贷变相砍头息</v>
      </c>
      <c r="C13583" s="2" t="s">
        <v>9</v>
      </c>
      <c r="D13583" s="2" t="s">
        <v>10</v>
      </c>
      <c r="E13583" s="2" t="str">
        <f>HYPERLINK("http://ts.21cn.com/tousu/show/id/1345070","http://ts.21cn.com/tousu/show/id/1345070")</f>
        <v>http://ts.21cn.com/tousu/show/id/1345070</v>
      </c>
      <c r="F13583" s="2" t="s">
        <v>11</v>
      </c>
      <c r="G13583" s="2" t="s">
        <v>17444</v>
      </c>
      <c r="H13583" s="2" t="s">
        <v>17445</v>
      </c>
    </row>
    <row r="13584" spans="1:8" ht="25.05" customHeight="1" x14ac:dyDescent="0.25">
      <c r="A13584" s="2" t="s">
        <v>8</v>
      </c>
      <c r="B13584" s="2" t="str">
        <f>HYPERLINK("http://ts.21cn.com/tousu/show/id/1345071","来分期24小时轰炸")</f>
        <v>来分期24小时轰炸</v>
      </c>
      <c r="C13584" s="2" t="s">
        <v>9</v>
      </c>
      <c r="D13584" s="2" t="s">
        <v>10</v>
      </c>
      <c r="E13584" s="2" t="str">
        <f>HYPERLINK("http://ts.21cn.com/tousu/show/id/1345071","http://ts.21cn.com/tousu/show/id/1345071")</f>
        <v>http://ts.21cn.com/tousu/show/id/1345071</v>
      </c>
      <c r="F13584" s="2" t="s">
        <v>11</v>
      </c>
      <c r="G13584" s="2" t="s">
        <v>17442</v>
      </c>
      <c r="H13584" s="2" t="s">
        <v>17443</v>
      </c>
    </row>
    <row r="13585" spans="1:8" ht="25.05" customHeight="1" x14ac:dyDescent="0.25">
      <c r="A13585" s="2" t="s">
        <v>8</v>
      </c>
      <c r="B13585" s="2" t="str">
        <f>HYPERLINK("http://ts.21cn.com/tousu/show/id/1345072","国美易卡不给无债务关系帐号注销")</f>
        <v>国美易卡不给无债务关系帐号注销</v>
      </c>
      <c r="C13585" s="2" t="s">
        <v>34</v>
      </c>
      <c r="D13585" s="2" t="s">
        <v>10</v>
      </c>
      <c r="E13585" s="2" t="str">
        <f>HYPERLINK("http://ts.21cn.com/tousu/show/id/1345072","http://ts.21cn.com/tousu/show/id/1345072")</f>
        <v>http://ts.21cn.com/tousu/show/id/1345072</v>
      </c>
      <c r="F13585" s="2" t="s">
        <v>11</v>
      </c>
      <c r="G13585" s="2" t="s">
        <v>17440</v>
      </c>
      <c r="H13585" s="2" t="s">
        <v>17441</v>
      </c>
    </row>
    <row r="13586" spans="1:8" ht="25.05" customHeight="1" x14ac:dyDescent="0.25">
      <c r="A13586" s="2" t="s">
        <v>8</v>
      </c>
      <c r="B13586" s="2" t="str">
        <f>HYPERLINK("http://ts.21cn.com/tousu/show/id/1345074","造艺科技平台未经同意私自扣钱")</f>
        <v>造艺科技平台未经同意私自扣钱</v>
      </c>
      <c r="C13586" s="2" t="s">
        <v>9</v>
      </c>
      <c r="D13586" s="2" t="s">
        <v>10</v>
      </c>
      <c r="E13586" s="2" t="str">
        <f>HYPERLINK("http://ts.21cn.com/tousu/show/id/1345074","http://ts.21cn.com/tousu/show/id/1345074")</f>
        <v>http://ts.21cn.com/tousu/show/id/1345074</v>
      </c>
      <c r="F13586" s="2" t="s">
        <v>11</v>
      </c>
      <c r="G13586" s="2" t="s">
        <v>17438</v>
      </c>
      <c r="H13586" s="2" t="s">
        <v>17439</v>
      </c>
    </row>
    <row r="13587" spans="1:8" ht="25.05" customHeight="1" x14ac:dyDescent="0.25">
      <c r="A13587" s="2" t="s">
        <v>8</v>
      </c>
      <c r="B13587" s="2" t="str">
        <f>HYPERLINK("http://ts.21cn.com/tousu/show/id/1345053","开店宝名下点刷不解决问题")</f>
        <v>开店宝名下点刷不解决问题</v>
      </c>
      <c r="C13587" s="2" t="s">
        <v>9</v>
      </c>
      <c r="D13587" s="2" t="s">
        <v>10</v>
      </c>
      <c r="E13587" s="2" t="str">
        <f>HYPERLINK("http://ts.21cn.com/tousu/show/id/1345053","http://ts.21cn.com/tousu/show/id/1345053")</f>
        <v>http://ts.21cn.com/tousu/show/id/1345053</v>
      </c>
      <c r="F13587" s="2" t="s">
        <v>11</v>
      </c>
      <c r="G13587" s="2" t="s">
        <v>17436</v>
      </c>
      <c r="H13587" s="2" t="s">
        <v>17437</v>
      </c>
    </row>
    <row r="13588" spans="1:8" ht="25.05" customHeight="1" x14ac:dyDescent="0.25">
      <c r="A13588" s="2" t="s">
        <v>8</v>
      </c>
      <c r="B13588" s="2" t="str">
        <f>HYPERLINK("http://ts.21cn.com/tousu/show/id/1345075","协商分期")</f>
        <v>协商分期</v>
      </c>
      <c r="C13588" s="2" t="s">
        <v>9</v>
      </c>
      <c r="D13588" s="2" t="s">
        <v>10</v>
      </c>
      <c r="E13588" s="2" t="str">
        <f>HYPERLINK("http://ts.21cn.com/tousu/show/id/1345075","http://ts.21cn.com/tousu/show/id/1345075")</f>
        <v>http://ts.21cn.com/tousu/show/id/1345075</v>
      </c>
      <c r="F13588" s="2" t="s">
        <v>11</v>
      </c>
      <c r="G13588" s="2" t="s">
        <v>17434</v>
      </c>
      <c r="H13588" s="2" t="s">
        <v>17435</v>
      </c>
    </row>
    <row r="13589" spans="1:8" ht="25.05" customHeight="1" x14ac:dyDescent="0.25">
      <c r="A13589" s="2" t="s">
        <v>8</v>
      </c>
      <c r="B13589" s="2" t="str">
        <f>HYPERLINK("http://ts.21cn.com/tousu/show/id/1345076","卖家卖假货巴萨耐克数字")</f>
        <v>卖家卖假货巴萨耐克数字</v>
      </c>
      <c r="C13589" s="2" t="s">
        <v>9</v>
      </c>
      <c r="D13589" s="2" t="s">
        <v>10</v>
      </c>
      <c r="E13589" s="2" t="str">
        <f>HYPERLINK("http://ts.21cn.com/tousu/show/id/1345076","http://ts.21cn.com/tousu/show/id/1345076")</f>
        <v>http://ts.21cn.com/tousu/show/id/1345076</v>
      </c>
      <c r="F13589" s="2" t="s">
        <v>11</v>
      </c>
      <c r="G13589" s="2" t="s">
        <v>17432</v>
      </c>
      <c r="H13589" s="2" t="s">
        <v>17433</v>
      </c>
    </row>
    <row r="13590" spans="1:8" ht="25.05" customHeight="1" x14ac:dyDescent="0.25">
      <c r="A13590" s="2" t="s">
        <v>8</v>
      </c>
      <c r="B13590" s="2" t="str">
        <f>HYPERLINK("http://ts.21cn.com/tousu/show/id/1345048","51人品暴力催收，辱骂，威胁，恐吓")</f>
        <v>51人品暴力催收，辱骂，威胁，恐吓</v>
      </c>
      <c r="C13590" s="2" t="s">
        <v>9</v>
      </c>
      <c r="D13590" s="2" t="s">
        <v>10</v>
      </c>
      <c r="E13590" s="2" t="str">
        <f>HYPERLINK("http://ts.21cn.com/tousu/show/id/1345048","http://ts.21cn.com/tousu/show/id/1345048")</f>
        <v>http://ts.21cn.com/tousu/show/id/1345048</v>
      </c>
      <c r="F13590" s="2" t="s">
        <v>11</v>
      </c>
      <c r="G13590" s="2" t="s">
        <v>17430</v>
      </c>
      <c r="H13590" s="2" t="s">
        <v>17431</v>
      </c>
    </row>
    <row r="13591" spans="1:8" ht="25.05" customHeight="1" x14ac:dyDescent="0.25">
      <c r="A13591" s="2" t="s">
        <v>8</v>
      </c>
      <c r="B13591" s="2" t="str">
        <f>HYPERLINK("http://ts.21cn.com/tousu/show/id/1345078","万惠及贷恶意催收，骚扰辱骂家人")</f>
        <v>万惠及贷恶意催收，骚扰辱骂家人</v>
      </c>
      <c r="C13591" s="2" t="s">
        <v>9</v>
      </c>
      <c r="D13591" s="2" t="s">
        <v>10</v>
      </c>
      <c r="E13591" s="2" t="str">
        <f>HYPERLINK("http://ts.21cn.com/tousu/show/id/1345078","http://ts.21cn.com/tousu/show/id/1345078")</f>
        <v>http://ts.21cn.com/tousu/show/id/1345078</v>
      </c>
      <c r="F13591" s="2" t="s">
        <v>11</v>
      </c>
      <c r="G13591" s="2" t="s">
        <v>17428</v>
      </c>
      <c r="H13591" s="2" t="s">
        <v>17429</v>
      </c>
    </row>
    <row r="13592" spans="1:8" ht="25.05" customHeight="1" x14ac:dyDescent="0.25">
      <c r="A13592" s="2" t="s">
        <v>8</v>
      </c>
      <c r="B13592" s="2" t="str">
        <f>HYPERLINK("http://ts.21cn.com/tousu/show/id/1345080","中腾信恶意催收")</f>
        <v>中腾信恶意催收</v>
      </c>
      <c r="C13592" s="2" t="s">
        <v>9</v>
      </c>
      <c r="D13592" s="2" t="s">
        <v>10</v>
      </c>
      <c r="E13592" s="2" t="str">
        <f>HYPERLINK("http://ts.21cn.com/tousu/show/id/1345080","http://ts.21cn.com/tousu/show/id/1345080")</f>
        <v>http://ts.21cn.com/tousu/show/id/1345080</v>
      </c>
      <c r="F13592" s="2" t="s">
        <v>11</v>
      </c>
      <c r="G13592" s="2" t="s">
        <v>17426</v>
      </c>
      <c r="H13592" s="2" t="s">
        <v>17427</v>
      </c>
    </row>
    <row r="13593" spans="1:8" ht="25.05" customHeight="1" x14ac:dyDescent="0.25">
      <c r="A13593" s="2" t="s">
        <v>8</v>
      </c>
      <c r="B13593" s="2" t="str">
        <f>HYPERLINK("http://ts.21cn.com/tousu/show/id/1345081","威胁还款、暴露通讯录、恐吓强制催收")</f>
        <v>威胁还款、暴露通讯录、恐吓强制催收</v>
      </c>
      <c r="C13593" s="2" t="s">
        <v>9</v>
      </c>
      <c r="D13593" s="2" t="s">
        <v>10</v>
      </c>
      <c r="E13593" s="2" t="str">
        <f>HYPERLINK("http://ts.21cn.com/tousu/show/id/1345081","http://ts.21cn.com/tousu/show/id/1345081")</f>
        <v>http://ts.21cn.com/tousu/show/id/1345081</v>
      </c>
      <c r="F13593" s="2" t="s">
        <v>11</v>
      </c>
      <c r="G13593" s="2" t="s">
        <v>17424</v>
      </c>
      <c r="H13593" s="2" t="s">
        <v>17425</v>
      </c>
    </row>
    <row r="13594" spans="1:8" ht="25.05" customHeight="1" x14ac:dyDescent="0.25">
      <c r="A13594" s="2" t="s">
        <v>8</v>
      </c>
      <c r="B13594" s="2" t="str">
        <f>HYPERLINK("http://ts.21cn.com/tousu/show/id/1345082","关于学慧网自考报名申请退费问题")</f>
        <v>关于学慧网自考报名申请退费问题</v>
      </c>
      <c r="C13594" s="2" t="s">
        <v>9</v>
      </c>
      <c r="D13594" s="2" t="s">
        <v>10</v>
      </c>
      <c r="E13594" s="2" t="str">
        <f>HYPERLINK("http://ts.21cn.com/tousu/show/id/1345082","http://ts.21cn.com/tousu/show/id/1345082")</f>
        <v>http://ts.21cn.com/tousu/show/id/1345082</v>
      </c>
      <c r="F13594" s="2" t="s">
        <v>11</v>
      </c>
      <c r="G13594" s="2" t="s">
        <v>17422</v>
      </c>
      <c r="H13594" s="2" t="s">
        <v>17423</v>
      </c>
    </row>
    <row r="13595" spans="1:8" ht="25.05" customHeight="1" x14ac:dyDescent="0.25">
      <c r="A13595" s="2" t="s">
        <v>8</v>
      </c>
      <c r="B13595" s="2" t="str">
        <f>HYPERLINK("http://ts.21cn.com/tousu/show/id/1345083","没车用就该退款")</f>
        <v>没车用就该退款</v>
      </c>
      <c r="C13595" s="2" t="s">
        <v>34</v>
      </c>
      <c r="D13595" s="2" t="s">
        <v>10</v>
      </c>
      <c r="E13595" s="2" t="str">
        <f>HYPERLINK("http://ts.21cn.com/tousu/show/id/1345083","http://ts.21cn.com/tousu/show/id/1345083")</f>
        <v>http://ts.21cn.com/tousu/show/id/1345083</v>
      </c>
      <c r="F13595" s="2" t="s">
        <v>11</v>
      </c>
      <c r="G13595" s="2" t="s">
        <v>17420</v>
      </c>
      <c r="H13595" s="2" t="s">
        <v>17421</v>
      </c>
    </row>
    <row r="13596" spans="1:8" ht="25.05" customHeight="1" x14ac:dyDescent="0.25">
      <c r="A13596" s="2" t="s">
        <v>8</v>
      </c>
      <c r="B13596" s="2" t="str">
        <f>HYPERLINK("http://ts.21cn.com/tousu/show/id/1345084","麦子金服白领贷高额砍头息，高额服务费。")</f>
        <v>麦子金服白领贷高额砍头息，高额服务费。</v>
      </c>
      <c r="C13596" s="2" t="s">
        <v>34</v>
      </c>
      <c r="D13596" s="2" t="s">
        <v>10</v>
      </c>
      <c r="E13596" s="2" t="str">
        <f>HYPERLINK("http://ts.21cn.com/tousu/show/id/1345084","http://ts.21cn.com/tousu/show/id/1345084")</f>
        <v>http://ts.21cn.com/tousu/show/id/1345084</v>
      </c>
      <c r="F13596" s="2" t="s">
        <v>11</v>
      </c>
      <c r="G13596" s="2" t="s">
        <v>17418</v>
      </c>
      <c r="H13596" s="2" t="s">
        <v>17419</v>
      </c>
    </row>
    <row r="13597" spans="1:8" ht="25.05" customHeight="1" x14ac:dyDescent="0.25">
      <c r="A13597" s="2" t="s">
        <v>8</v>
      </c>
      <c r="B13597" s="2" t="str">
        <f>HYPERLINK("http://ts.21cn.com/tousu/show/id/1345085","钱站高利贷阴阳合同")</f>
        <v>钱站高利贷阴阳合同</v>
      </c>
      <c r="C13597" s="2" t="s">
        <v>9</v>
      </c>
      <c r="D13597" s="2" t="s">
        <v>10</v>
      </c>
      <c r="E13597" s="2" t="str">
        <f>HYPERLINK("http://ts.21cn.com/tousu/show/id/1345085","http://ts.21cn.com/tousu/show/id/1345085")</f>
        <v>http://ts.21cn.com/tousu/show/id/1345085</v>
      </c>
      <c r="F13597" s="2" t="s">
        <v>11</v>
      </c>
      <c r="G13597" s="2" t="s">
        <v>17416</v>
      </c>
      <c r="H13597" s="2" t="s">
        <v>17417</v>
      </c>
    </row>
    <row r="13598" spans="1:8" ht="25.05" customHeight="1" x14ac:dyDescent="0.25">
      <c r="A13598" s="2" t="s">
        <v>8</v>
      </c>
      <c r="B13598" s="2" t="str">
        <f>HYPERLINK("http://ts.21cn.com/tousu/show/id/1345086","你我贷暴力")</f>
        <v>你我贷暴力</v>
      </c>
      <c r="C13598" s="2" t="s">
        <v>9</v>
      </c>
      <c r="D13598" s="2" t="s">
        <v>10</v>
      </c>
      <c r="E13598" s="2" t="str">
        <f>HYPERLINK("http://ts.21cn.com/tousu/show/id/1345086","http://ts.21cn.com/tousu/show/id/1345086")</f>
        <v>http://ts.21cn.com/tousu/show/id/1345086</v>
      </c>
      <c r="F13598" s="2" t="s">
        <v>11</v>
      </c>
      <c r="G13598" s="2" t="s">
        <v>17414</v>
      </c>
      <c r="H13598" s="2" t="s">
        <v>17415</v>
      </c>
    </row>
    <row r="13599" spans="1:8" ht="25.05" customHeight="1" x14ac:dyDescent="0.25">
      <c r="A13599" s="2" t="s">
        <v>8</v>
      </c>
      <c r="B13599" s="2" t="str">
        <f>HYPERLINK("http://ts.21cn.com/tousu/show/id/1345037","腾讯不给开纸质发票，客服态度恶劣")</f>
        <v>腾讯不给开纸质发票，客服态度恶劣</v>
      </c>
      <c r="C13599" s="2" t="s">
        <v>9</v>
      </c>
      <c r="D13599" s="2" t="s">
        <v>10</v>
      </c>
      <c r="E13599" s="2" t="str">
        <f>HYPERLINK("http://ts.21cn.com/tousu/show/id/1345037","http://ts.21cn.com/tousu/show/id/1345037")</f>
        <v>http://ts.21cn.com/tousu/show/id/1345037</v>
      </c>
      <c r="F13599" s="2" t="s">
        <v>11</v>
      </c>
      <c r="G13599" s="2" t="s">
        <v>17412</v>
      </c>
      <c r="H13599" s="2" t="s">
        <v>17413</v>
      </c>
    </row>
    <row r="13600" spans="1:8" ht="25.05" customHeight="1" x14ac:dyDescent="0.25">
      <c r="A13600" s="2" t="s">
        <v>8</v>
      </c>
      <c r="B13600" s="2" t="str">
        <f>HYPERLINK("http://ts.21cn.com/tousu/show/id/1345088","恶意骚扰，暴力催收")</f>
        <v>恶意骚扰，暴力催收</v>
      </c>
      <c r="C13600" s="2" t="s">
        <v>9</v>
      </c>
      <c r="D13600" s="2" t="s">
        <v>10</v>
      </c>
      <c r="E13600" s="2" t="str">
        <f>HYPERLINK("http://ts.21cn.com/tousu/show/id/1345088","http://ts.21cn.com/tousu/show/id/1345088")</f>
        <v>http://ts.21cn.com/tousu/show/id/1345088</v>
      </c>
      <c r="F13600" s="2" t="s">
        <v>11</v>
      </c>
      <c r="G13600" s="2" t="s">
        <v>17410</v>
      </c>
      <c r="H13600" s="2" t="s">
        <v>17411</v>
      </c>
    </row>
    <row r="13601" spans="1:8" ht="25.05" customHeight="1" x14ac:dyDescent="0.25">
      <c r="A13601" s="2" t="s">
        <v>8</v>
      </c>
      <c r="B13601" s="2" t="str">
        <f>HYPERLINK("http://ts.21cn.com/tousu/show/id/1345087","暴力催收，爆通讯录，伪造律师函")</f>
        <v>暴力催收，爆通讯录，伪造律师函</v>
      </c>
      <c r="C13601" s="2" t="s">
        <v>9</v>
      </c>
      <c r="D13601" s="2" t="s">
        <v>10</v>
      </c>
      <c r="E13601" s="2" t="str">
        <f>HYPERLINK("http://ts.21cn.com/tousu/show/id/1345087","http://ts.21cn.com/tousu/show/id/1345087")</f>
        <v>http://ts.21cn.com/tousu/show/id/1345087</v>
      </c>
      <c r="F13601" s="2" t="s">
        <v>11</v>
      </c>
      <c r="G13601" s="2" t="s">
        <v>17408</v>
      </c>
      <c r="H13601" s="2" t="s">
        <v>17409</v>
      </c>
    </row>
    <row r="13602" spans="1:8" ht="25.05" customHeight="1" x14ac:dyDescent="0.25">
      <c r="A13602" s="2" t="s">
        <v>8</v>
      </c>
      <c r="B13602" s="2" t="str">
        <f>HYPERLINK("http://ts.21cn.com/tousu/show/id/1345090","砍头利息，高利贷")</f>
        <v>砍头利息，高利贷</v>
      </c>
      <c r="C13602" s="2" t="s">
        <v>9</v>
      </c>
      <c r="D13602" s="2" t="s">
        <v>10</v>
      </c>
      <c r="E13602" s="2" t="str">
        <f>HYPERLINK("http://ts.21cn.com/tousu/show/id/1345090","http://ts.21cn.com/tousu/show/id/1345090")</f>
        <v>http://ts.21cn.com/tousu/show/id/1345090</v>
      </c>
      <c r="F13602" s="2" t="s">
        <v>11</v>
      </c>
      <c r="G13602" s="2" t="s">
        <v>17406</v>
      </c>
      <c r="H13602" s="2" t="s">
        <v>17407</v>
      </c>
    </row>
    <row r="13603" spans="1:8" ht="25.05" customHeight="1" x14ac:dyDescent="0.25">
      <c r="A13603" s="2" t="s">
        <v>8</v>
      </c>
      <c r="B13603" s="2" t="str">
        <f>HYPERLINK("http://ts.21cn.com/tousu/show/id/1345091","小花钱包号称可获取实时通话，辱骂")</f>
        <v>小花钱包号称可获取实时通话，辱骂</v>
      </c>
      <c r="C13603" s="2" t="s">
        <v>9</v>
      </c>
      <c r="D13603" s="2" t="s">
        <v>10</v>
      </c>
      <c r="E13603" s="2" t="str">
        <f>HYPERLINK("http://ts.21cn.com/tousu/show/id/1345091","http://ts.21cn.com/tousu/show/id/1345091")</f>
        <v>http://ts.21cn.com/tousu/show/id/1345091</v>
      </c>
      <c r="F13603" s="2" t="s">
        <v>11</v>
      </c>
      <c r="G13603" s="2" t="s">
        <v>17404</v>
      </c>
      <c r="H13603" s="2" t="s">
        <v>17405</v>
      </c>
    </row>
    <row r="13604" spans="1:8" ht="25.05" customHeight="1" x14ac:dyDescent="0.25">
      <c r="A13604" s="2" t="s">
        <v>8</v>
      </c>
      <c r="B13604" s="2" t="str">
        <f>HYPERLINK("http://ts.21cn.com/tousu/show/id/1345092","旺卡猫恶意扣款")</f>
        <v>旺卡猫恶意扣款</v>
      </c>
      <c r="C13604" s="2" t="s">
        <v>9</v>
      </c>
      <c r="D13604" s="2" t="s">
        <v>10</v>
      </c>
      <c r="E13604" s="2" t="str">
        <f>HYPERLINK("http://ts.21cn.com/tousu/show/id/1345092","http://ts.21cn.com/tousu/show/id/1345092")</f>
        <v>http://ts.21cn.com/tousu/show/id/1345092</v>
      </c>
      <c r="F13604" s="2" t="s">
        <v>11</v>
      </c>
      <c r="G13604" s="2" t="s">
        <v>17402</v>
      </c>
      <c r="H13604" s="2" t="s">
        <v>17403</v>
      </c>
    </row>
    <row r="13605" spans="1:8" ht="25.05" customHeight="1" x14ac:dyDescent="0.25">
      <c r="A13605" s="2" t="s">
        <v>8</v>
      </c>
      <c r="B13605" s="2" t="str">
        <f>HYPERLINK("http://ts.21cn.com/tousu/show/id/1345093","小赢卡贷恶意报复暴力催收")</f>
        <v>小赢卡贷恶意报复暴力催收</v>
      </c>
      <c r="C13605" s="2" t="s">
        <v>9</v>
      </c>
      <c r="D13605" s="2" t="s">
        <v>10</v>
      </c>
      <c r="E13605" s="2" t="str">
        <f>HYPERLINK("http://ts.21cn.com/tousu/show/id/1345093","http://ts.21cn.com/tousu/show/id/1345093")</f>
        <v>http://ts.21cn.com/tousu/show/id/1345093</v>
      </c>
      <c r="F13605" s="2" t="s">
        <v>11</v>
      </c>
      <c r="G13605" s="2" t="s">
        <v>17400</v>
      </c>
      <c r="H13605" s="2" t="s">
        <v>17401</v>
      </c>
    </row>
    <row r="13606" spans="1:8" ht="25.05" customHeight="1" x14ac:dyDescent="0.25">
      <c r="A13606" s="2" t="s">
        <v>8</v>
      </c>
      <c r="B13606" s="2" t="str">
        <f>HYPERLINK("http://ts.21cn.com/tousu/show/id/1345079","创维食材净化器虚假宣传")</f>
        <v>创维食材净化器虚假宣传</v>
      </c>
      <c r="C13606" s="2" t="s">
        <v>9</v>
      </c>
      <c r="D13606" s="2" t="s">
        <v>10</v>
      </c>
      <c r="E13606" s="2" t="str">
        <f>HYPERLINK("http://ts.21cn.com/tousu/show/id/1345079","http://ts.21cn.com/tousu/show/id/1345079")</f>
        <v>http://ts.21cn.com/tousu/show/id/1345079</v>
      </c>
      <c r="F13606" s="2" t="s">
        <v>11</v>
      </c>
      <c r="G13606" s="2" t="s">
        <v>17398</v>
      </c>
      <c r="H13606" s="2" t="s">
        <v>17399</v>
      </c>
    </row>
    <row r="13607" spans="1:8" ht="25.05" customHeight="1" x14ac:dyDescent="0.25">
      <c r="A13607" s="2" t="s">
        <v>8</v>
      </c>
      <c r="B13607" s="2" t="str">
        <f>HYPERLINK("http://ts.21cn.com/tousu/show/id/1345094","小浦优客乱扣钱")</f>
        <v>小浦优客乱扣钱</v>
      </c>
      <c r="C13607" s="2" t="s">
        <v>9</v>
      </c>
      <c r="D13607" s="2" t="s">
        <v>10</v>
      </c>
      <c r="E13607" s="2" t="str">
        <f>HYPERLINK("http://ts.21cn.com/tousu/show/id/1345094","http://ts.21cn.com/tousu/show/id/1345094")</f>
        <v>http://ts.21cn.com/tousu/show/id/1345094</v>
      </c>
      <c r="F13607" s="2" t="s">
        <v>11</v>
      </c>
      <c r="G13607" s="2" t="s">
        <v>17396</v>
      </c>
      <c r="H13607" s="2" t="s">
        <v>17397</v>
      </c>
    </row>
    <row r="13608" spans="1:8" ht="25.05" customHeight="1" x14ac:dyDescent="0.25">
      <c r="A13608" s="2" t="s">
        <v>8</v>
      </c>
      <c r="B13608" s="2" t="str">
        <f>HYPERLINK("http://ts.21cn.com/tousu/show/id/1345096","捷信恶意骚扰发传票")</f>
        <v>捷信恶意骚扰发传票</v>
      </c>
      <c r="C13608" s="2" t="s">
        <v>9</v>
      </c>
      <c r="D13608" s="2" t="s">
        <v>10</v>
      </c>
      <c r="E13608" s="2" t="str">
        <f>HYPERLINK("http://ts.21cn.com/tousu/show/id/1345096","http://ts.21cn.com/tousu/show/id/1345096")</f>
        <v>http://ts.21cn.com/tousu/show/id/1345096</v>
      </c>
      <c r="F13608" s="2" t="s">
        <v>11</v>
      </c>
      <c r="G13608" s="2" t="s">
        <v>17394</v>
      </c>
      <c r="H13608" s="2" t="s">
        <v>17395</v>
      </c>
    </row>
    <row r="13609" spans="1:8" ht="25.05" customHeight="1" x14ac:dyDescent="0.25">
      <c r="A13609" s="2" t="s">
        <v>8</v>
      </c>
      <c r="B13609" s="2" t="str">
        <f>HYPERLINK("http://ts.21cn.com/tousu/show/id/1345097","豹子贷无故扣款不需要还要扣，强制行为")</f>
        <v>豹子贷无故扣款不需要还要扣，强制行为</v>
      </c>
      <c r="C13609" s="2" t="s">
        <v>9</v>
      </c>
      <c r="D13609" s="2" t="s">
        <v>10</v>
      </c>
      <c r="E13609" s="2" t="str">
        <f>HYPERLINK("http://ts.21cn.com/tousu/show/id/1345097","http://ts.21cn.com/tousu/show/id/1345097")</f>
        <v>http://ts.21cn.com/tousu/show/id/1345097</v>
      </c>
      <c r="F13609" s="2" t="s">
        <v>11</v>
      </c>
      <c r="G13609" s="2" t="s">
        <v>17392</v>
      </c>
      <c r="H13609" s="2" t="s">
        <v>17393</v>
      </c>
    </row>
    <row r="13610" spans="1:8" ht="25.05" customHeight="1" x14ac:dyDescent="0.25">
      <c r="A13610" s="2" t="s">
        <v>8</v>
      </c>
      <c r="B13610" s="2" t="str">
        <f>HYPERLINK("http://ts.21cn.com/tousu/show/id/1345099","网贷利息高打我通讯录")</f>
        <v>网贷利息高打我通讯录</v>
      </c>
      <c r="C13610" s="2" t="s">
        <v>34</v>
      </c>
      <c r="D13610" s="2" t="s">
        <v>10</v>
      </c>
      <c r="E13610" s="2" t="str">
        <f>HYPERLINK("http://ts.21cn.com/tousu/show/id/1345099","http://ts.21cn.com/tousu/show/id/1345099")</f>
        <v>http://ts.21cn.com/tousu/show/id/1345099</v>
      </c>
      <c r="F13610" s="2" t="s">
        <v>11</v>
      </c>
      <c r="G13610" s="2" t="s">
        <v>17390</v>
      </c>
      <c r="H13610" s="2" t="s">
        <v>17391</v>
      </c>
    </row>
    <row r="13611" spans="1:8" ht="25.05" customHeight="1" x14ac:dyDescent="0.25">
      <c r="A13611" s="2" t="s">
        <v>8</v>
      </c>
      <c r="B13611" s="2" t="str">
        <f>HYPERLINK("http://ts.21cn.com/tousu/show/id/1345101","要求退还保险费用")</f>
        <v>要求退还保险费用</v>
      </c>
      <c r="C13611" s="2" t="s">
        <v>9</v>
      </c>
      <c r="D13611" s="2" t="s">
        <v>10</v>
      </c>
      <c r="E13611" s="2" t="str">
        <f>HYPERLINK("http://ts.21cn.com/tousu/show/id/1345101","http://ts.21cn.com/tousu/show/id/1345101")</f>
        <v>http://ts.21cn.com/tousu/show/id/1345101</v>
      </c>
      <c r="F13611" s="2" t="s">
        <v>11</v>
      </c>
      <c r="G13611" s="2" t="s">
        <v>17388</v>
      </c>
      <c r="H13611" s="2" t="s">
        <v>17389</v>
      </c>
    </row>
    <row r="13612" spans="1:8" ht="25.05" customHeight="1" x14ac:dyDescent="0.25">
      <c r="A13612" s="2" t="s">
        <v>8</v>
      </c>
      <c r="B13612" s="2" t="str">
        <f>HYPERLINK("http://ts.21cn.com/tousu/show/id/1345100","点击检测时显示未扫描，实际上已有物流信息")</f>
        <v>点击检测时显示未扫描，实际上已有物流信息</v>
      </c>
      <c r="C13612" s="2" t="s">
        <v>9</v>
      </c>
      <c r="D13612" s="2" t="s">
        <v>10</v>
      </c>
      <c r="E13612" s="2" t="str">
        <f>HYPERLINK("http://ts.21cn.com/tousu/show/id/1345100","http://ts.21cn.com/tousu/show/id/1345100")</f>
        <v>http://ts.21cn.com/tousu/show/id/1345100</v>
      </c>
      <c r="F13612" s="2" t="s">
        <v>11</v>
      </c>
      <c r="G13612" s="2" t="s">
        <v>17386</v>
      </c>
      <c r="H13612" s="2" t="s">
        <v>17387</v>
      </c>
    </row>
    <row r="13613" spans="1:8" ht="25.05" customHeight="1" x14ac:dyDescent="0.25">
      <c r="A13613" s="2" t="s">
        <v>8</v>
      </c>
      <c r="B13613" s="2" t="str">
        <f>HYPERLINK("http://ts.21cn.com/tousu/show/id/1345102","暴力催收非法催收骚扰联系人")</f>
        <v>暴力催收非法催收骚扰联系人</v>
      </c>
      <c r="C13613" s="2" t="s">
        <v>9</v>
      </c>
      <c r="D13613" s="2" t="s">
        <v>10</v>
      </c>
      <c r="E13613" s="2" t="str">
        <f>HYPERLINK("http://ts.21cn.com/tousu/show/id/1345102","http://ts.21cn.com/tousu/show/id/1345102")</f>
        <v>http://ts.21cn.com/tousu/show/id/1345102</v>
      </c>
      <c r="F13613" s="2" t="s">
        <v>11</v>
      </c>
      <c r="G13613" s="2" t="s">
        <v>17384</v>
      </c>
      <c r="H13613" s="2" t="s">
        <v>17385</v>
      </c>
    </row>
    <row r="13614" spans="1:8" ht="25.05" customHeight="1" x14ac:dyDescent="0.25">
      <c r="A13614" s="2" t="s">
        <v>8</v>
      </c>
      <c r="B13614" s="2" t="str">
        <f>HYPERLINK("http://ts.21cn.com/tousu/show/id/1345103","闪银至尊贷恶意拨打联系人电话")</f>
        <v>闪银至尊贷恶意拨打联系人电话</v>
      </c>
      <c r="C13614" s="2" t="s">
        <v>9</v>
      </c>
      <c r="D13614" s="2" t="s">
        <v>10</v>
      </c>
      <c r="E13614" s="2" t="str">
        <f>HYPERLINK("http://ts.21cn.com/tousu/show/id/1345103","http://ts.21cn.com/tousu/show/id/1345103")</f>
        <v>http://ts.21cn.com/tousu/show/id/1345103</v>
      </c>
      <c r="F13614" s="2" t="s">
        <v>11</v>
      </c>
      <c r="G13614" s="2" t="s">
        <v>17382</v>
      </c>
      <c r="H13614" s="2" t="s">
        <v>17383</v>
      </c>
    </row>
    <row r="13615" spans="1:8" ht="25.05" customHeight="1" x14ac:dyDescent="0.25">
      <c r="A13615" s="2" t="s">
        <v>8</v>
      </c>
      <c r="B13615" s="2" t="str">
        <f>HYPERLINK("http://ts.21cn.com/tousu/show/id/1345104","支付宝里的话费宝充值不到账")</f>
        <v>支付宝里的话费宝充值不到账</v>
      </c>
      <c r="C13615" s="2" t="s">
        <v>9</v>
      </c>
      <c r="D13615" s="2" t="s">
        <v>10</v>
      </c>
      <c r="E13615" s="2" t="str">
        <f>HYPERLINK("http://ts.21cn.com/tousu/show/id/1345104","http://ts.21cn.com/tousu/show/id/1345104")</f>
        <v>http://ts.21cn.com/tousu/show/id/1345104</v>
      </c>
      <c r="F13615" s="2" t="s">
        <v>11</v>
      </c>
      <c r="G13615" s="2" t="s">
        <v>17380</v>
      </c>
      <c r="H13615" s="2" t="s">
        <v>17381</v>
      </c>
    </row>
    <row r="13616" spans="1:8" ht="25.05" customHeight="1" x14ac:dyDescent="0.25">
      <c r="A13616" s="2" t="s">
        <v>8</v>
      </c>
      <c r="B13616" s="2" t="str">
        <f>HYPERLINK("http://ts.21cn.com/tousu/show/id/1345106","顺分期原可乐分期APP下线导致强制逾期现在催收冒充客服人员")</f>
        <v>顺分期原可乐分期APP下线导致强制逾期现在催收冒充客服人员</v>
      </c>
      <c r="C13616" s="2" t="s">
        <v>9</v>
      </c>
      <c r="D13616" s="2" t="s">
        <v>10</v>
      </c>
      <c r="E13616" s="2" t="str">
        <f>HYPERLINK("http://ts.21cn.com/tousu/show/id/1345106","http://ts.21cn.com/tousu/show/id/1345106")</f>
        <v>http://ts.21cn.com/tousu/show/id/1345106</v>
      </c>
      <c r="F13616" s="2" t="s">
        <v>11</v>
      </c>
      <c r="G13616" s="2" t="s">
        <v>17378</v>
      </c>
      <c r="H13616" s="2" t="s">
        <v>17379</v>
      </c>
    </row>
    <row r="13617" spans="1:8" ht="25.05" customHeight="1" x14ac:dyDescent="0.25">
      <c r="A13617" s="2" t="s">
        <v>8</v>
      </c>
      <c r="B13617" s="2" t="str">
        <f>HYPERLINK("http://ts.21cn.com/tousu/show/id/1345107","360借条暴力催收！违法打通讯录电话")</f>
        <v>360借条暴力催收！违法打通讯录电话</v>
      </c>
      <c r="C13617" s="2" t="s">
        <v>9</v>
      </c>
      <c r="D13617" s="2" t="s">
        <v>10</v>
      </c>
      <c r="E13617" s="2" t="str">
        <f>HYPERLINK("http://ts.21cn.com/tousu/show/id/1345107","http://ts.21cn.com/tousu/show/id/1345107")</f>
        <v>http://ts.21cn.com/tousu/show/id/1345107</v>
      </c>
      <c r="F13617" s="2" t="s">
        <v>11</v>
      </c>
      <c r="G13617" s="2" t="s">
        <v>17376</v>
      </c>
      <c r="H13617" s="2" t="s">
        <v>17377</v>
      </c>
    </row>
    <row r="13618" spans="1:8" ht="25.05" customHeight="1" x14ac:dyDescent="0.25">
      <c r="A13618" s="2" t="s">
        <v>8</v>
      </c>
      <c r="B13618" s="2" t="str">
        <f>HYPERLINK("http://ts.21cn.com/tousu/show/id/1345108","玖富万卡高利息")</f>
        <v>玖富万卡高利息</v>
      </c>
      <c r="C13618" s="2" t="s">
        <v>9</v>
      </c>
      <c r="D13618" s="2" t="s">
        <v>10</v>
      </c>
      <c r="E13618" s="2" t="str">
        <f>HYPERLINK("http://ts.21cn.com/tousu/show/id/1345108","http://ts.21cn.com/tousu/show/id/1345108")</f>
        <v>http://ts.21cn.com/tousu/show/id/1345108</v>
      </c>
      <c r="F13618" s="2" t="s">
        <v>11</v>
      </c>
      <c r="G13618" s="2" t="s">
        <v>17374</v>
      </c>
      <c r="H13618" s="2" t="s">
        <v>17375</v>
      </c>
    </row>
    <row r="13619" spans="1:8" ht="25.05" customHeight="1" x14ac:dyDescent="0.25">
      <c r="A13619" s="2" t="s">
        <v>8</v>
      </c>
      <c r="B13619" s="2" t="str">
        <f>HYPERLINK("http://ts.21cn.com/tousu/show/id/1345109","私人手机号被泰迪熊恶意标记成骚扰，严重影响个人生活和工作")</f>
        <v>私人手机号被泰迪熊恶意标记成骚扰，严重影响个人生活和工作</v>
      </c>
      <c r="C13619" s="2" t="s">
        <v>9</v>
      </c>
      <c r="D13619" s="2" t="s">
        <v>10</v>
      </c>
      <c r="E13619" s="2" t="str">
        <f>HYPERLINK("http://ts.21cn.com/tousu/show/id/1345109","http://ts.21cn.com/tousu/show/id/1345109")</f>
        <v>http://ts.21cn.com/tousu/show/id/1345109</v>
      </c>
      <c r="F13619" s="2" t="s">
        <v>11</v>
      </c>
      <c r="G13619" s="2" t="s">
        <v>17372</v>
      </c>
      <c r="H13619" s="2" t="s">
        <v>17373</v>
      </c>
    </row>
    <row r="13620" spans="1:8" ht="25.05" customHeight="1" x14ac:dyDescent="0.25">
      <c r="A13620" s="2" t="s">
        <v>8</v>
      </c>
      <c r="B13620" s="2" t="str">
        <f>HYPERLINK("http://ts.21cn.com/tousu/show/id/1345111","货物无法使用要求退款无回应")</f>
        <v>货物无法使用要求退款无回应</v>
      </c>
      <c r="C13620" s="2" t="s">
        <v>9</v>
      </c>
      <c r="D13620" s="2" t="s">
        <v>10</v>
      </c>
      <c r="E13620" s="2" t="str">
        <f>HYPERLINK("http://ts.21cn.com/tousu/show/id/1345111","http://ts.21cn.com/tousu/show/id/1345111")</f>
        <v>http://ts.21cn.com/tousu/show/id/1345111</v>
      </c>
      <c r="F13620" s="2" t="s">
        <v>11</v>
      </c>
      <c r="G13620" s="2" t="s">
        <v>17370</v>
      </c>
      <c r="H13620" s="2" t="s">
        <v>17371</v>
      </c>
    </row>
    <row r="13621" spans="1:8" ht="25.05" customHeight="1" x14ac:dyDescent="0.25">
      <c r="A13621" s="2" t="s">
        <v>8</v>
      </c>
      <c r="B13621" s="2" t="str">
        <f>HYPERLINK("http://ts.21cn.com/tousu/show/id/1345112","闪银哼哼威胁本人")</f>
        <v>闪银哼哼威胁本人</v>
      </c>
      <c r="C13621" s="2" t="s">
        <v>9</v>
      </c>
      <c r="D13621" s="2" t="s">
        <v>10</v>
      </c>
      <c r="E13621" s="2" t="str">
        <f>HYPERLINK("http://ts.21cn.com/tousu/show/id/1345112","http://ts.21cn.com/tousu/show/id/1345112")</f>
        <v>http://ts.21cn.com/tousu/show/id/1345112</v>
      </c>
      <c r="F13621" s="2" t="s">
        <v>11</v>
      </c>
      <c r="G13621" s="2" t="s">
        <v>17368</v>
      </c>
      <c r="H13621" s="2" t="s">
        <v>17369</v>
      </c>
    </row>
    <row r="13622" spans="1:8" ht="25.05" customHeight="1" x14ac:dyDescent="0.25">
      <c r="A13622" s="2" t="s">
        <v>8</v>
      </c>
      <c r="B13622" s="2" t="str">
        <f>HYPERLINK("http://ts.21cn.com/tousu/show/id/1345113","立借高额砍头息和不知名的其它费用")</f>
        <v>立借高额砍头息和不知名的其它费用</v>
      </c>
      <c r="C13622" s="2" t="s">
        <v>9</v>
      </c>
      <c r="D13622" s="2" t="s">
        <v>10</v>
      </c>
      <c r="E13622" s="2" t="str">
        <f>HYPERLINK("http://ts.21cn.com/tousu/show/id/1345113","http://ts.21cn.com/tousu/show/id/1345113")</f>
        <v>http://ts.21cn.com/tousu/show/id/1345113</v>
      </c>
      <c r="F13622" s="2" t="s">
        <v>11</v>
      </c>
      <c r="G13622" s="2" t="s">
        <v>17366</v>
      </c>
      <c r="H13622" s="2" t="s">
        <v>17367</v>
      </c>
    </row>
    <row r="13623" spans="1:8" ht="25.05" customHeight="1" x14ac:dyDescent="0.25">
      <c r="A13623" s="2" t="s">
        <v>8</v>
      </c>
      <c r="B13623" s="2" t="str">
        <f>HYPERLINK("http://ts.21cn.com/tousu/show/id/1345114","高利息")</f>
        <v>高利息</v>
      </c>
      <c r="C13623" s="2" t="s">
        <v>34</v>
      </c>
      <c r="D13623" s="2" t="s">
        <v>10</v>
      </c>
      <c r="E13623" s="2" t="str">
        <f>HYPERLINK("http://ts.21cn.com/tousu/show/id/1345114","http://ts.21cn.com/tousu/show/id/1345114")</f>
        <v>http://ts.21cn.com/tousu/show/id/1345114</v>
      </c>
      <c r="F13623" s="2" t="s">
        <v>11</v>
      </c>
      <c r="G13623" s="2" t="s">
        <v>17364</v>
      </c>
      <c r="H13623" s="2" t="s">
        <v>17365</v>
      </c>
    </row>
    <row r="13624" spans="1:8" ht="25.05" customHeight="1" x14ac:dyDescent="0.25">
      <c r="A13624" s="2" t="s">
        <v>8</v>
      </c>
      <c r="B13624" s="2" t="str">
        <f>HYPERLINK("http://ts.21cn.com/tousu/show/id/1345115","未经同意私自扣钱")</f>
        <v>未经同意私自扣钱</v>
      </c>
      <c r="C13624" s="2" t="s">
        <v>9</v>
      </c>
      <c r="D13624" s="2" t="s">
        <v>10</v>
      </c>
      <c r="E13624" s="2" t="str">
        <f>HYPERLINK("http://ts.21cn.com/tousu/show/id/1345115","http://ts.21cn.com/tousu/show/id/1345115")</f>
        <v>http://ts.21cn.com/tousu/show/id/1345115</v>
      </c>
      <c r="F13624" s="2" t="s">
        <v>11</v>
      </c>
      <c r="G13624" s="2" t="s">
        <v>17362</v>
      </c>
      <c r="H13624" s="2" t="s">
        <v>17363</v>
      </c>
    </row>
    <row r="13625" spans="1:8" ht="25.05" customHeight="1" x14ac:dyDescent="0.25">
      <c r="A13625" s="2" t="s">
        <v>8</v>
      </c>
      <c r="B13625" s="2" t="str">
        <f>HYPERLINK("http://ts.21cn.com/tousu/show/id/1345117","捷信金融平台骚扰电话太多")</f>
        <v>捷信金融平台骚扰电话太多</v>
      </c>
      <c r="C13625" s="2" t="s">
        <v>9</v>
      </c>
      <c r="D13625" s="2" t="s">
        <v>10</v>
      </c>
      <c r="E13625" s="2" t="str">
        <f>HYPERLINK("http://ts.21cn.com/tousu/show/id/1345117","http://ts.21cn.com/tousu/show/id/1345117")</f>
        <v>http://ts.21cn.com/tousu/show/id/1345117</v>
      </c>
      <c r="F13625" s="2" t="s">
        <v>11</v>
      </c>
      <c r="G13625" s="2" t="s">
        <v>17362</v>
      </c>
      <c r="H13625" s="2" t="s">
        <v>17348</v>
      </c>
    </row>
    <row r="13626" spans="1:8" ht="25.05" customHeight="1" x14ac:dyDescent="0.25">
      <c r="A13626" s="2" t="s">
        <v>8</v>
      </c>
      <c r="B13626" s="2" t="str">
        <f>HYPERLINK("http://ts.21cn.com/tousu/show/id/1345116","暴力催收，电话轰炸，爆破通讯录")</f>
        <v>暴力催收，电话轰炸，爆破通讯录</v>
      </c>
      <c r="C13626" s="2" t="s">
        <v>9</v>
      </c>
      <c r="D13626" s="2" t="s">
        <v>10</v>
      </c>
      <c r="E13626" s="2" t="str">
        <f>HYPERLINK("http://ts.21cn.com/tousu/show/id/1345116","http://ts.21cn.com/tousu/show/id/1345116")</f>
        <v>http://ts.21cn.com/tousu/show/id/1345116</v>
      </c>
      <c r="F13626" s="2" t="s">
        <v>11</v>
      </c>
      <c r="G13626" s="2" t="s">
        <v>17359</v>
      </c>
      <c r="H13626" s="2" t="s">
        <v>17360</v>
      </c>
    </row>
    <row r="13627" spans="1:8" ht="25.05" customHeight="1" x14ac:dyDescent="0.25">
      <c r="A13627" s="2" t="s">
        <v>8</v>
      </c>
      <c r="B13627" s="2" t="str">
        <f>HYPERLINK("http://ts.21cn.com/tousu/show/id/1345098","携趣网络技术上海有限公司乱扣费")</f>
        <v>携趣网络技术上海有限公司乱扣费</v>
      </c>
      <c r="C13627" s="2" t="s">
        <v>9</v>
      </c>
      <c r="D13627" s="2" t="s">
        <v>10</v>
      </c>
      <c r="E13627" s="2" t="str">
        <f>HYPERLINK("http://ts.21cn.com/tousu/show/id/1345098","http://ts.21cn.com/tousu/show/id/1345098")</f>
        <v>http://ts.21cn.com/tousu/show/id/1345098</v>
      </c>
      <c r="F13627" s="2" t="s">
        <v>11</v>
      </c>
      <c r="G13627" s="2" t="s">
        <v>17359</v>
      </c>
      <c r="H13627" s="2" t="s">
        <v>17361</v>
      </c>
    </row>
    <row r="13628" spans="1:8" ht="25.05" customHeight="1" x14ac:dyDescent="0.25">
      <c r="A13628" s="2" t="s">
        <v>8</v>
      </c>
      <c r="B13628" s="2" t="str">
        <f>HYPERLINK("http://ts.21cn.com/tousu/show/id/1345119","贷上钱借3000要还3800并且暴力催债曝光通讯录")</f>
        <v>贷上钱借3000要还3800并且暴力催债曝光通讯录</v>
      </c>
      <c r="C13628" s="2" t="s">
        <v>9</v>
      </c>
      <c r="D13628" s="2" t="s">
        <v>10</v>
      </c>
      <c r="E13628" s="2" t="str">
        <f>HYPERLINK("http://ts.21cn.com/tousu/show/id/1345119","http://ts.21cn.com/tousu/show/id/1345119")</f>
        <v>http://ts.21cn.com/tousu/show/id/1345119</v>
      </c>
      <c r="F13628" s="2" t="s">
        <v>11</v>
      </c>
      <c r="G13628" s="2" t="s">
        <v>17357</v>
      </c>
      <c r="H13628" s="2" t="s">
        <v>17358</v>
      </c>
    </row>
    <row r="13629" spans="1:8" ht="25.05" customHeight="1" x14ac:dyDescent="0.25">
      <c r="A13629" s="2" t="s">
        <v>8</v>
      </c>
      <c r="B13629" s="2" t="str">
        <f>HYPERLINK("http://ts.21cn.com/tousu/show/id/1345118","迟迟不见回复")</f>
        <v>迟迟不见回复</v>
      </c>
      <c r="C13629" s="2" t="s">
        <v>34</v>
      </c>
      <c r="D13629" s="2" t="s">
        <v>10</v>
      </c>
      <c r="E13629" s="2" t="str">
        <f>HYPERLINK("http://ts.21cn.com/tousu/show/id/1345118","http://ts.21cn.com/tousu/show/id/1345118")</f>
        <v>http://ts.21cn.com/tousu/show/id/1345118</v>
      </c>
      <c r="F13629" s="2" t="s">
        <v>11</v>
      </c>
      <c r="G13629" s="2" t="s">
        <v>17355</v>
      </c>
      <c r="H13629" s="2" t="s">
        <v>17356</v>
      </c>
    </row>
    <row r="13630" spans="1:8" ht="25.05" customHeight="1" x14ac:dyDescent="0.25">
      <c r="A13630" s="2" t="s">
        <v>8</v>
      </c>
      <c r="B13630" s="2" t="str">
        <f>HYPERLINK("http://ts.21cn.com/tousu/show/id/1345121","360借条暴力催收、威胁本人、骚扰父母、爆通讯录，我要求立即停止任何骚扰和威胁！！")</f>
        <v>360借条暴力催收、威胁本人、骚扰父母、爆通讯录，我要求立即停止任何骚扰和威胁！！</v>
      </c>
      <c r="C13630" s="2" t="s">
        <v>9</v>
      </c>
      <c r="D13630" s="2" t="s">
        <v>10</v>
      </c>
      <c r="E13630" s="2" t="str">
        <f>HYPERLINK("http://ts.21cn.com/tousu/show/id/1345121","http://ts.21cn.com/tousu/show/id/1345121")</f>
        <v>http://ts.21cn.com/tousu/show/id/1345121</v>
      </c>
      <c r="F13630" s="2" t="s">
        <v>11</v>
      </c>
      <c r="G13630" s="2" t="s">
        <v>17353</v>
      </c>
      <c r="H13630" s="2" t="s">
        <v>17354</v>
      </c>
    </row>
    <row r="13631" spans="1:8" ht="25.05" customHeight="1" x14ac:dyDescent="0.25">
      <c r="A13631" s="2" t="s">
        <v>8</v>
      </c>
      <c r="B13631" s="2" t="str">
        <f>HYPERLINK("http://ts.21cn.com/tousu/show/id/1345120","贷上钱拔打通信录号码暴力追款")</f>
        <v>贷上钱拔打通信录号码暴力追款</v>
      </c>
      <c r="C13631" s="2" t="s">
        <v>9</v>
      </c>
      <c r="D13631" s="2" t="s">
        <v>10</v>
      </c>
      <c r="E13631" s="2" t="str">
        <f>HYPERLINK("http://ts.21cn.com/tousu/show/id/1345120","http://ts.21cn.com/tousu/show/id/1345120")</f>
        <v>http://ts.21cn.com/tousu/show/id/1345120</v>
      </c>
      <c r="F13631" s="2" t="s">
        <v>11</v>
      </c>
      <c r="G13631" s="2" t="s">
        <v>17351</v>
      </c>
      <c r="H13631" s="2" t="s">
        <v>17352</v>
      </c>
    </row>
    <row r="13632" spans="1:8" ht="25.05" customHeight="1" x14ac:dyDescent="0.25">
      <c r="A13632" s="2" t="s">
        <v>8</v>
      </c>
      <c r="B13632" s="2" t="str">
        <f>HYPERLINK("http://ts.21cn.com/tousu/show/id/1345123","招联金融暴力催收")</f>
        <v>招联金融暴力催收</v>
      </c>
      <c r="C13632" s="2" t="s">
        <v>9</v>
      </c>
      <c r="D13632" s="2" t="s">
        <v>10</v>
      </c>
      <c r="E13632" s="2" t="str">
        <f>HYPERLINK("http://ts.21cn.com/tousu/show/id/1345123","http://ts.21cn.com/tousu/show/id/1345123")</f>
        <v>http://ts.21cn.com/tousu/show/id/1345123</v>
      </c>
      <c r="F13632" s="2" t="s">
        <v>11</v>
      </c>
      <c r="G13632" s="2" t="s">
        <v>17349</v>
      </c>
      <c r="H13632" s="2" t="s">
        <v>17350</v>
      </c>
    </row>
    <row r="13633" spans="1:8" ht="25.05" customHeight="1" x14ac:dyDescent="0.25">
      <c r="A13633" s="2" t="s">
        <v>8</v>
      </c>
      <c r="B13633" s="2" t="str">
        <f>HYPERLINK("http://ts.21cn.com/tousu/show/id/1345124","逾期利息高")</f>
        <v>逾期利息高</v>
      </c>
      <c r="C13633" s="2" t="s">
        <v>34</v>
      </c>
      <c r="D13633" s="2" t="s">
        <v>10</v>
      </c>
      <c r="E13633" s="2" t="str">
        <f>HYPERLINK("http://ts.21cn.com/tousu/show/id/1345124","http://ts.21cn.com/tousu/show/id/1345124")</f>
        <v>http://ts.21cn.com/tousu/show/id/1345124</v>
      </c>
      <c r="F13633" s="2" t="s">
        <v>11</v>
      </c>
      <c r="G13633" s="2" t="s">
        <v>17346</v>
      </c>
      <c r="H13633" s="2" t="s">
        <v>17347</v>
      </c>
    </row>
    <row r="13634" spans="1:8" ht="25.05" customHeight="1" x14ac:dyDescent="0.25">
      <c r="A13634" s="2" t="s">
        <v>8</v>
      </c>
      <c r="B13634" s="2" t="str">
        <f>HYPERLINK("http://ts.21cn.com/tousu/show/id/1345126","捷信金融骚扰电话")</f>
        <v>捷信金融骚扰电话</v>
      </c>
      <c r="C13634" s="2" t="s">
        <v>9</v>
      </c>
      <c r="D13634" s="2" t="s">
        <v>10</v>
      </c>
      <c r="E13634" s="2" t="str">
        <f>HYPERLINK("http://ts.21cn.com/tousu/show/id/1345126","http://ts.21cn.com/tousu/show/id/1345126")</f>
        <v>http://ts.21cn.com/tousu/show/id/1345126</v>
      </c>
      <c r="F13634" s="2" t="s">
        <v>11</v>
      </c>
      <c r="G13634" s="2" t="s">
        <v>17346</v>
      </c>
      <c r="H13634" s="2" t="s">
        <v>17348</v>
      </c>
    </row>
    <row r="13635" spans="1:8" ht="25.05" customHeight="1" x14ac:dyDescent="0.25">
      <c r="A13635" s="2" t="s">
        <v>8</v>
      </c>
      <c r="B13635" s="2" t="str">
        <f>HYPERLINK("http://ts.21cn.com/tousu/show/id/1345125","盗刷银行卡")</f>
        <v>盗刷银行卡</v>
      </c>
      <c r="C13635" s="2" t="s">
        <v>9</v>
      </c>
      <c r="D13635" s="2" t="s">
        <v>10</v>
      </c>
      <c r="E13635" s="2" t="str">
        <f>HYPERLINK("http://ts.21cn.com/tousu/show/id/1345125","http://ts.21cn.com/tousu/show/id/1345125")</f>
        <v>http://ts.21cn.com/tousu/show/id/1345125</v>
      </c>
      <c r="F13635" s="2" t="s">
        <v>11</v>
      </c>
      <c r="G13635" s="2" t="s">
        <v>17344</v>
      </c>
      <c r="H13635" s="2" t="s">
        <v>17345</v>
      </c>
    </row>
    <row r="13636" spans="1:8" ht="25.05" customHeight="1" x14ac:dyDescent="0.25">
      <c r="A13636" s="2" t="s">
        <v>8</v>
      </c>
      <c r="B13636" s="2" t="str">
        <f>HYPERLINK("http://ts.21cn.com/tousu/show/id/1345128","连连支付味微品分期不合法保险提供通道")</f>
        <v>连连支付味微品分期不合法保险提供通道</v>
      </c>
      <c r="C13636" s="2" t="s">
        <v>9</v>
      </c>
      <c r="D13636" s="2" t="s">
        <v>10</v>
      </c>
      <c r="E13636" s="2" t="str">
        <f>HYPERLINK("http://ts.21cn.com/tousu/show/id/1345128","http://ts.21cn.com/tousu/show/id/1345128")</f>
        <v>http://ts.21cn.com/tousu/show/id/1345128</v>
      </c>
      <c r="F13636" s="2" t="s">
        <v>11</v>
      </c>
      <c r="G13636" s="2" t="s">
        <v>17341</v>
      </c>
      <c r="H13636" s="2" t="s">
        <v>17342</v>
      </c>
    </row>
    <row r="13637" spans="1:8" ht="25.05" customHeight="1" x14ac:dyDescent="0.25">
      <c r="A13637" s="2" t="s">
        <v>8</v>
      </c>
      <c r="B13637" s="2" t="str">
        <f>HYPERLINK("http://ts.21cn.com/tousu/show/id/1345127","支付宝生活号惠租租赁不退会员费")</f>
        <v>支付宝生活号惠租租赁不退会员费</v>
      </c>
      <c r="C13637" s="2" t="s">
        <v>9</v>
      </c>
      <c r="D13637" s="2" t="s">
        <v>10</v>
      </c>
      <c r="E13637" s="2" t="str">
        <f>HYPERLINK("http://ts.21cn.com/tousu/show/id/1345127","http://ts.21cn.com/tousu/show/id/1345127")</f>
        <v>http://ts.21cn.com/tousu/show/id/1345127</v>
      </c>
      <c r="F13637" s="2" t="s">
        <v>11</v>
      </c>
      <c r="G13637" s="2" t="s">
        <v>17341</v>
      </c>
      <c r="H13637" s="2" t="s">
        <v>17343</v>
      </c>
    </row>
    <row r="13638" spans="1:8" ht="25.05" customHeight="1" x14ac:dyDescent="0.25">
      <c r="A13638" s="2" t="s">
        <v>8</v>
      </c>
      <c r="B13638" s="2" t="str">
        <f>HYPERLINK("http://ts.21cn.com/tousu/show/id/1345129","招联金融暴力催收，恐吓我亲朋好友")</f>
        <v>招联金融暴力催收，恐吓我亲朋好友</v>
      </c>
      <c r="C13638" s="2" t="s">
        <v>9</v>
      </c>
      <c r="D13638" s="2" t="s">
        <v>10</v>
      </c>
      <c r="E13638" s="2" t="str">
        <f>HYPERLINK("http://ts.21cn.com/tousu/show/id/1345129","http://ts.21cn.com/tousu/show/id/1345129")</f>
        <v>http://ts.21cn.com/tousu/show/id/1345129</v>
      </c>
      <c r="F13638" s="2" t="s">
        <v>11</v>
      </c>
      <c r="G13638" s="2" t="s">
        <v>17339</v>
      </c>
      <c r="H13638" s="2" t="s">
        <v>17340</v>
      </c>
    </row>
    <row r="13639" spans="1:8" ht="25.05" customHeight="1" x14ac:dyDescent="0.25">
      <c r="A13639" s="2" t="s">
        <v>8</v>
      </c>
      <c r="B13639" s="2" t="str">
        <f>HYPERLINK("http://ts.21cn.com/tousu/show/id/1345130","马上金融贷款四万，收了我3200手续费，又让我交了12000的保证金，钱把我冻结了，不给我")</f>
        <v>马上金融贷款四万，收了我3200手续费，又让我交了12000的保证金，钱把我冻结了，不给我</v>
      </c>
      <c r="C13639" s="2" t="s">
        <v>9</v>
      </c>
      <c r="D13639" s="2" t="s">
        <v>10</v>
      </c>
      <c r="E13639" s="2" t="str">
        <f>HYPERLINK("http://ts.21cn.com/tousu/show/id/1345130","http://ts.21cn.com/tousu/show/id/1345130")</f>
        <v>http://ts.21cn.com/tousu/show/id/1345130</v>
      </c>
      <c r="F13639" s="2" t="s">
        <v>11</v>
      </c>
      <c r="G13639" s="2" t="s">
        <v>17337</v>
      </c>
      <c r="H13639" s="2" t="s">
        <v>17338</v>
      </c>
    </row>
    <row r="13640" spans="1:8" ht="25.05" customHeight="1" x14ac:dyDescent="0.25">
      <c r="A13640" s="2" t="s">
        <v>8</v>
      </c>
      <c r="B13640" s="2" t="str">
        <f>HYPERLINK("http://ts.21cn.com/tousu/show/id/1345131","造艺技术聚福钱包盗刷银行卡，强制收取评估费")</f>
        <v>造艺技术聚福钱包盗刷银行卡，强制收取评估费</v>
      </c>
      <c r="C13640" s="2" t="s">
        <v>9</v>
      </c>
      <c r="D13640" s="2" t="s">
        <v>10</v>
      </c>
      <c r="E13640" s="2" t="str">
        <f>HYPERLINK("http://ts.21cn.com/tousu/show/id/1345131","http://ts.21cn.com/tousu/show/id/1345131")</f>
        <v>http://ts.21cn.com/tousu/show/id/1345131</v>
      </c>
      <c r="F13640" s="2" t="s">
        <v>11</v>
      </c>
      <c r="G13640" s="2" t="s">
        <v>17336</v>
      </c>
      <c r="H13640" s="2" t="s">
        <v>16948</v>
      </c>
    </row>
    <row r="13641" spans="1:8" ht="25.05" customHeight="1" x14ac:dyDescent="0.25">
      <c r="A13641" s="2" t="s">
        <v>8</v>
      </c>
      <c r="B13641" s="2" t="str">
        <f>HYPERLINK("http://ts.21cn.com/tousu/show/id/1345134","闪银借款收取砍头息")</f>
        <v>闪银借款收取砍头息</v>
      </c>
      <c r="C13641" s="2" t="s">
        <v>9</v>
      </c>
      <c r="D13641" s="2" t="s">
        <v>10</v>
      </c>
      <c r="E13641" s="2" t="str">
        <f>HYPERLINK("http://ts.21cn.com/tousu/show/id/1345134","http://ts.21cn.com/tousu/show/id/1345134")</f>
        <v>http://ts.21cn.com/tousu/show/id/1345134</v>
      </c>
      <c r="F13641" s="2" t="s">
        <v>11</v>
      </c>
      <c r="G13641" s="2" t="s">
        <v>17334</v>
      </c>
      <c r="H13641" s="2" t="s">
        <v>17335</v>
      </c>
    </row>
    <row r="13642" spans="1:8" ht="25.05" customHeight="1" x14ac:dyDescent="0.25">
      <c r="A13642" s="2" t="s">
        <v>8</v>
      </c>
      <c r="B13642" s="2" t="str">
        <f>HYPERLINK("http://ts.21cn.com/tousu/show/id/1345132","小浦优客未经同意扣款")</f>
        <v>小浦优客未经同意扣款</v>
      </c>
      <c r="C13642" s="2" t="s">
        <v>34</v>
      </c>
      <c r="D13642" s="2" t="s">
        <v>10</v>
      </c>
      <c r="E13642" s="2" t="str">
        <f>HYPERLINK("http://ts.21cn.com/tousu/show/id/1345132","http://ts.21cn.com/tousu/show/id/1345132")</f>
        <v>http://ts.21cn.com/tousu/show/id/1345132</v>
      </c>
      <c r="F13642" s="2" t="s">
        <v>11</v>
      </c>
      <c r="G13642" s="2" t="s">
        <v>17332</v>
      </c>
      <c r="H13642" s="2" t="s">
        <v>17333</v>
      </c>
    </row>
    <row r="13643" spans="1:8" ht="25.05" customHeight="1" x14ac:dyDescent="0.25">
      <c r="A13643" s="2" t="s">
        <v>8</v>
      </c>
      <c r="B13643" s="2" t="str">
        <f>HYPERLINK("http://ts.21cn.com/tousu/show/id/1345133","光大银行催款人格侮辱")</f>
        <v>光大银行催款人格侮辱</v>
      </c>
      <c r="C13643" s="2" t="s">
        <v>9</v>
      </c>
      <c r="D13643" s="2" t="s">
        <v>10</v>
      </c>
      <c r="E13643" s="2" t="str">
        <f>HYPERLINK("http://ts.21cn.com/tousu/show/id/1345133","http://ts.21cn.com/tousu/show/id/1345133")</f>
        <v>http://ts.21cn.com/tousu/show/id/1345133</v>
      </c>
      <c r="F13643" s="2" t="s">
        <v>11</v>
      </c>
      <c r="G13643" s="2" t="s">
        <v>17330</v>
      </c>
      <c r="H13643" s="2" t="s">
        <v>17331</v>
      </c>
    </row>
    <row r="13644" spans="1:8" ht="25.05" customHeight="1" x14ac:dyDescent="0.25">
      <c r="A13644" s="2" t="s">
        <v>8</v>
      </c>
      <c r="B13644" s="2" t="str">
        <f>HYPERLINK("http://ts.21cn.com/tousu/show/id/1345137","既有分期高利贷")</f>
        <v>既有分期高利贷</v>
      </c>
      <c r="C13644" s="2" t="s">
        <v>9</v>
      </c>
      <c r="D13644" s="2" t="s">
        <v>10</v>
      </c>
      <c r="E13644" s="2" t="str">
        <f>HYPERLINK("http://ts.21cn.com/tousu/show/id/1345137","http://ts.21cn.com/tousu/show/id/1345137")</f>
        <v>http://ts.21cn.com/tousu/show/id/1345137</v>
      </c>
      <c r="F13644" s="2" t="s">
        <v>11</v>
      </c>
      <c r="G13644" s="2" t="s">
        <v>17328</v>
      </c>
      <c r="H13644" s="2" t="s">
        <v>17329</v>
      </c>
    </row>
    <row r="13645" spans="1:8" ht="25.05" customHeight="1" x14ac:dyDescent="0.25">
      <c r="A13645" s="2" t="s">
        <v>8</v>
      </c>
      <c r="B13645" s="2" t="str">
        <f>HYPERLINK("http://ts.21cn.com/tousu/show/id/1345135","通联泸快恶意从银行卡扣费")</f>
        <v>通联泸快恶意从银行卡扣费</v>
      </c>
      <c r="C13645" s="2" t="s">
        <v>9</v>
      </c>
      <c r="D13645" s="2" t="s">
        <v>10</v>
      </c>
      <c r="E13645" s="2" t="str">
        <f>HYPERLINK("http://ts.21cn.com/tousu/show/id/1345135","http://ts.21cn.com/tousu/show/id/1345135")</f>
        <v>http://ts.21cn.com/tousu/show/id/1345135</v>
      </c>
      <c r="F13645" s="2" t="s">
        <v>11</v>
      </c>
      <c r="G13645" s="2" t="s">
        <v>17326</v>
      </c>
      <c r="H13645" s="2" t="s">
        <v>17327</v>
      </c>
    </row>
    <row r="13646" spans="1:8" ht="25.05" customHeight="1" x14ac:dyDescent="0.25">
      <c r="A13646" s="2" t="s">
        <v>8</v>
      </c>
      <c r="B13646" s="2" t="str">
        <f>HYPERLINK("http://ts.21cn.com/tousu/show/id/1345136","快钱支付无缘无故从银行卡扣走1309")</f>
        <v>快钱支付无缘无故从银行卡扣走1309</v>
      </c>
      <c r="C13646" s="2" t="s">
        <v>34</v>
      </c>
      <c r="D13646" s="2" t="s">
        <v>10</v>
      </c>
      <c r="E13646" s="2" t="str">
        <f>HYPERLINK("http://ts.21cn.com/tousu/show/id/1345136","http://ts.21cn.com/tousu/show/id/1345136")</f>
        <v>http://ts.21cn.com/tousu/show/id/1345136</v>
      </c>
      <c r="F13646" s="2" t="s">
        <v>11</v>
      </c>
      <c r="G13646" s="2" t="s">
        <v>17324</v>
      </c>
      <c r="H13646" s="2" t="s">
        <v>17325</v>
      </c>
    </row>
    <row r="13647" spans="1:8" ht="25.05" customHeight="1" x14ac:dyDescent="0.25">
      <c r="A13647" s="2" t="s">
        <v>8</v>
      </c>
      <c r="B13647" s="2" t="str">
        <f>HYPERLINK("http://ts.21cn.com/tousu/show/id/1345138","造艺科技豹子贷无故扣钱")</f>
        <v>造艺科技豹子贷无故扣钱</v>
      </c>
      <c r="C13647" s="2" t="s">
        <v>9</v>
      </c>
      <c r="D13647" s="2" t="s">
        <v>10</v>
      </c>
      <c r="E13647" s="2" t="str">
        <f>HYPERLINK("http://ts.21cn.com/tousu/show/id/1345138","http://ts.21cn.com/tousu/show/id/1345138")</f>
        <v>http://ts.21cn.com/tousu/show/id/1345138</v>
      </c>
      <c r="F13647" s="2" t="s">
        <v>11</v>
      </c>
      <c r="G13647" s="2" t="s">
        <v>17322</v>
      </c>
      <c r="H13647" s="2" t="s">
        <v>17323</v>
      </c>
    </row>
    <row r="13648" spans="1:8" ht="25.05" customHeight="1" x14ac:dyDescent="0.25">
      <c r="A13648" s="2" t="s">
        <v>8</v>
      </c>
      <c r="B13648" s="2" t="str">
        <f>HYPERLINK("http://ts.21cn.com/tousu/show/id/1345141","拒不提供行程单")</f>
        <v>拒不提供行程单</v>
      </c>
      <c r="C13648" s="2" t="s">
        <v>9</v>
      </c>
      <c r="D13648" s="2" t="s">
        <v>10</v>
      </c>
      <c r="E13648" s="2" t="str">
        <f>HYPERLINK("http://ts.21cn.com/tousu/show/id/1345141","http://ts.21cn.com/tousu/show/id/1345141")</f>
        <v>http://ts.21cn.com/tousu/show/id/1345141</v>
      </c>
      <c r="F13648" s="2" t="s">
        <v>11</v>
      </c>
      <c r="G13648" s="2" t="s">
        <v>17320</v>
      </c>
      <c r="H13648" s="2" t="s">
        <v>17321</v>
      </c>
    </row>
    <row r="13649" spans="1:8" ht="25.05" customHeight="1" x14ac:dyDescent="0.25">
      <c r="A13649" s="2" t="s">
        <v>8</v>
      </c>
      <c r="B13649" s="2" t="str">
        <f>HYPERLINK("http://ts.21cn.com/tousu/show/id/1345140","网贷平台骚扰亲朋好友")</f>
        <v>网贷平台骚扰亲朋好友</v>
      </c>
      <c r="C13649" s="2" t="s">
        <v>9</v>
      </c>
      <c r="D13649" s="2" t="s">
        <v>10</v>
      </c>
      <c r="E13649" s="2" t="str">
        <f>HYPERLINK("http://ts.21cn.com/tousu/show/id/1345140","http://ts.21cn.com/tousu/show/id/1345140")</f>
        <v>http://ts.21cn.com/tousu/show/id/1345140</v>
      </c>
      <c r="F13649" s="2" t="s">
        <v>11</v>
      </c>
      <c r="G13649" s="2" t="s">
        <v>17318</v>
      </c>
      <c r="H13649" s="2" t="s">
        <v>17319</v>
      </c>
    </row>
    <row r="13650" spans="1:8" ht="25.05" customHeight="1" x14ac:dyDescent="0.25">
      <c r="A13650" s="2" t="s">
        <v>8</v>
      </c>
      <c r="B13650" s="2" t="str">
        <f>HYPERLINK("http://ts.21cn.com/tousu/show/id/1345142","小浦优客退款")</f>
        <v>小浦优客退款</v>
      </c>
      <c r="C13650" s="2" t="s">
        <v>9</v>
      </c>
      <c r="D13650" s="2" t="s">
        <v>10</v>
      </c>
      <c r="E13650" s="2" t="str">
        <f>HYPERLINK("http://ts.21cn.com/tousu/show/id/1345142","http://ts.21cn.com/tousu/show/id/1345142")</f>
        <v>http://ts.21cn.com/tousu/show/id/1345142</v>
      </c>
      <c r="F13650" s="2" t="s">
        <v>11</v>
      </c>
      <c r="G13650" s="2" t="s">
        <v>17317</v>
      </c>
      <c r="H13650" s="2" t="s">
        <v>11904</v>
      </c>
    </row>
    <row r="13651" spans="1:8" ht="25.05" customHeight="1" x14ac:dyDescent="0.25">
      <c r="A13651" s="2" t="s">
        <v>8</v>
      </c>
      <c r="B13651" s="2" t="str">
        <f>HYPERLINK("http://ts.21cn.com/tousu/show/id/1345143","微粒贷暴力催收，恐吓")</f>
        <v>微粒贷暴力催收，恐吓</v>
      </c>
      <c r="C13651" s="2" t="s">
        <v>9</v>
      </c>
      <c r="D13651" s="2" t="s">
        <v>10</v>
      </c>
      <c r="E13651" s="2" t="str">
        <f>HYPERLINK("http://ts.21cn.com/tousu/show/id/1345143","http://ts.21cn.com/tousu/show/id/1345143")</f>
        <v>http://ts.21cn.com/tousu/show/id/1345143</v>
      </c>
      <c r="F13651" s="2" t="s">
        <v>11</v>
      </c>
      <c r="G13651" s="2" t="s">
        <v>17314</v>
      </c>
      <c r="H13651" s="2" t="s">
        <v>17315</v>
      </c>
    </row>
    <row r="13652" spans="1:8" ht="25.05" customHeight="1" x14ac:dyDescent="0.25">
      <c r="A13652" s="2" t="s">
        <v>8</v>
      </c>
      <c r="B13652" s="2" t="str">
        <f>HYPERLINK("http://ts.21cn.com/tousu/show/id/1345144","上海淇敏信息科技有限公司涉嫌阴阳合同")</f>
        <v>上海淇敏信息科技有限公司涉嫌阴阳合同</v>
      </c>
      <c r="C13652" s="2" t="s">
        <v>9</v>
      </c>
      <c r="D13652" s="2" t="s">
        <v>10</v>
      </c>
      <c r="E13652" s="2" t="str">
        <f>HYPERLINK("http://ts.21cn.com/tousu/show/id/1345144","http://ts.21cn.com/tousu/show/id/1345144")</f>
        <v>http://ts.21cn.com/tousu/show/id/1345144</v>
      </c>
      <c r="F13652" s="2" t="s">
        <v>11</v>
      </c>
      <c r="G13652" s="2" t="s">
        <v>17314</v>
      </c>
      <c r="H13652" s="2" t="s">
        <v>17316</v>
      </c>
    </row>
    <row r="13653" spans="1:8" ht="25.05" customHeight="1" x14ac:dyDescent="0.25">
      <c r="A13653" s="2" t="s">
        <v>8</v>
      </c>
      <c r="B13653" s="2" t="str">
        <f>HYPERLINK("http://ts.21cn.com/tousu/show/id/1345145","宜人贷高利息")</f>
        <v>宜人贷高利息</v>
      </c>
      <c r="C13653" s="2" t="s">
        <v>9</v>
      </c>
      <c r="D13653" s="2" t="s">
        <v>10</v>
      </c>
      <c r="E13653" s="2" t="str">
        <f>HYPERLINK("http://ts.21cn.com/tousu/show/id/1345145","http://ts.21cn.com/tousu/show/id/1345145")</f>
        <v>http://ts.21cn.com/tousu/show/id/1345145</v>
      </c>
      <c r="F13653" s="2" t="s">
        <v>11</v>
      </c>
      <c r="G13653" s="2" t="s">
        <v>17312</v>
      </c>
      <c r="H13653" s="2" t="s">
        <v>17313</v>
      </c>
    </row>
    <row r="13654" spans="1:8" ht="25.05" customHeight="1" x14ac:dyDescent="0.25">
      <c r="A13654" s="2" t="s">
        <v>8</v>
      </c>
      <c r="B13654" s="2" t="str">
        <f>HYPERLINK("http://ts.21cn.com/tousu/show/id/1345146","捷信违法暴力催收")</f>
        <v>捷信违法暴力催收</v>
      </c>
      <c r="C13654" s="2" t="s">
        <v>9</v>
      </c>
      <c r="D13654" s="2" t="s">
        <v>10</v>
      </c>
      <c r="E13654" s="2" t="str">
        <f>HYPERLINK("http://ts.21cn.com/tousu/show/id/1345146","http://ts.21cn.com/tousu/show/id/1345146")</f>
        <v>http://ts.21cn.com/tousu/show/id/1345146</v>
      </c>
      <c r="F13654" s="2" t="s">
        <v>11</v>
      </c>
      <c r="G13654" s="2" t="s">
        <v>17311</v>
      </c>
      <c r="H13654" s="2" t="s">
        <v>12531</v>
      </c>
    </row>
    <row r="13655" spans="1:8" ht="25.05" customHeight="1" x14ac:dyDescent="0.25">
      <c r="A13655" s="2" t="s">
        <v>8</v>
      </c>
      <c r="B13655" s="2" t="str">
        <f>HYPERLINK("http://ts.21cn.com/tousu/show/id/1345147","造艺科技强行收取高额咨询费，咨询还要收费？从来没听说过，还是强制性")</f>
        <v>造艺科技强行收取高额咨询费，咨询还要收费？从来没听说过，还是强制性</v>
      </c>
      <c r="C13655" s="2" t="s">
        <v>9</v>
      </c>
      <c r="D13655" s="2" t="s">
        <v>10</v>
      </c>
      <c r="E13655" s="2" t="str">
        <f>HYPERLINK("http://ts.21cn.com/tousu/show/id/1345147","http://ts.21cn.com/tousu/show/id/1345147")</f>
        <v>http://ts.21cn.com/tousu/show/id/1345147</v>
      </c>
      <c r="F13655" s="2" t="s">
        <v>11</v>
      </c>
      <c r="G13655" s="2" t="s">
        <v>17310</v>
      </c>
      <c r="H13655" s="2" t="s">
        <v>16987</v>
      </c>
    </row>
    <row r="13656" spans="1:8" ht="25.05" customHeight="1" x14ac:dyDescent="0.25">
      <c r="A13656" s="2" t="s">
        <v>8</v>
      </c>
      <c r="B13656" s="2" t="str">
        <f>HYPERLINK("http://ts.21cn.com/tousu/show/id/1345149","要求撤销借款中的其他不明费用")</f>
        <v>要求撤销借款中的其他不明费用</v>
      </c>
      <c r="C13656" s="2" t="s">
        <v>9</v>
      </c>
      <c r="D13656" s="2" t="s">
        <v>10</v>
      </c>
      <c r="E13656" s="2" t="str">
        <f>HYPERLINK("http://ts.21cn.com/tousu/show/id/1345149","http://ts.21cn.com/tousu/show/id/1345149")</f>
        <v>http://ts.21cn.com/tousu/show/id/1345149</v>
      </c>
      <c r="F13656" s="2" t="s">
        <v>11</v>
      </c>
      <c r="G13656" s="2" t="s">
        <v>17308</v>
      </c>
      <c r="H13656" s="2" t="s">
        <v>17309</v>
      </c>
    </row>
    <row r="13657" spans="1:8" ht="25.05" customHeight="1" x14ac:dyDescent="0.25">
      <c r="A13657" s="2" t="s">
        <v>8</v>
      </c>
      <c r="B13657" s="2" t="str">
        <f>HYPERLINK("http://ts.21cn.com/tousu/show/id/1345150","富友支付和宝付支付为违法高利贷现金巴士违规提供支付渠道")</f>
        <v>富友支付和宝付支付为违法高利贷现金巴士违规提供支付渠道</v>
      </c>
      <c r="C13657" s="2" t="s">
        <v>9</v>
      </c>
      <c r="D13657" s="2" t="s">
        <v>10</v>
      </c>
      <c r="E13657" s="2" t="str">
        <f>HYPERLINK("http://ts.21cn.com/tousu/show/id/1345150","http://ts.21cn.com/tousu/show/id/1345150")</f>
        <v>http://ts.21cn.com/tousu/show/id/1345150</v>
      </c>
      <c r="F13657" s="2" t="s">
        <v>11</v>
      </c>
      <c r="G13657" s="2" t="s">
        <v>17306</v>
      </c>
      <c r="H13657" s="2" t="s">
        <v>17307</v>
      </c>
    </row>
    <row r="13658" spans="1:8" ht="25.05" customHeight="1" x14ac:dyDescent="0.25">
      <c r="A13658" s="2" t="s">
        <v>8</v>
      </c>
      <c r="B13658" s="2" t="str">
        <f>HYPERLINK("http://ts.21cn.com/tousu/show/id/1345152","77信用诱导交会员费说可退但不退要求返还")</f>
        <v>77信用诱导交会员费说可退但不退要求返还</v>
      </c>
      <c r="C13658" s="2" t="s">
        <v>9</v>
      </c>
      <c r="D13658" s="2" t="s">
        <v>10</v>
      </c>
      <c r="E13658" s="2" t="str">
        <f>HYPERLINK("http://ts.21cn.com/tousu/show/id/1345152","http://ts.21cn.com/tousu/show/id/1345152")</f>
        <v>http://ts.21cn.com/tousu/show/id/1345152</v>
      </c>
      <c r="F13658" s="2" t="s">
        <v>11</v>
      </c>
      <c r="G13658" s="2" t="s">
        <v>17304</v>
      </c>
      <c r="H13658" s="2" t="s">
        <v>17305</v>
      </c>
    </row>
    <row r="13659" spans="1:8" ht="25.05" customHeight="1" x14ac:dyDescent="0.25">
      <c r="A13659" s="2" t="s">
        <v>8</v>
      </c>
      <c r="B13659" s="2" t="str">
        <f>HYPERLINK("http://ts.21cn.com/tousu/show/id/1345153","捷信金融平台强制收取保险费，行为恶劣")</f>
        <v>捷信金融平台强制收取保险费，行为恶劣</v>
      </c>
      <c r="C13659" s="2" t="s">
        <v>9</v>
      </c>
      <c r="D13659" s="2" t="s">
        <v>10</v>
      </c>
      <c r="E13659" s="2" t="str">
        <f>HYPERLINK("http://ts.21cn.com/tousu/show/id/1345153","http://ts.21cn.com/tousu/show/id/1345153")</f>
        <v>http://ts.21cn.com/tousu/show/id/1345153</v>
      </c>
      <c r="F13659" s="2" t="s">
        <v>11</v>
      </c>
      <c r="G13659" s="2" t="s">
        <v>17303</v>
      </c>
      <c r="H13659" s="2" t="s">
        <v>16864</v>
      </c>
    </row>
    <row r="13660" spans="1:8" ht="25.05" customHeight="1" x14ac:dyDescent="0.25">
      <c r="A13660" s="2" t="s">
        <v>8</v>
      </c>
      <c r="B13660" s="2" t="str">
        <f>HYPERLINK("http://ts.21cn.com/tousu/show/id/1345154","立刻出行无法退还押金")</f>
        <v>立刻出行无法退还押金</v>
      </c>
      <c r="C13660" s="2" t="s">
        <v>34</v>
      </c>
      <c r="D13660" s="2" t="s">
        <v>10</v>
      </c>
      <c r="E13660" s="2" t="str">
        <f>HYPERLINK("http://ts.21cn.com/tousu/show/id/1345154","http://ts.21cn.com/tousu/show/id/1345154")</f>
        <v>http://ts.21cn.com/tousu/show/id/1345154</v>
      </c>
      <c r="F13660" s="2" t="s">
        <v>11</v>
      </c>
      <c r="G13660" s="2" t="s">
        <v>17301</v>
      </c>
      <c r="H13660" s="2" t="s">
        <v>17302</v>
      </c>
    </row>
    <row r="13661" spans="1:8" ht="25.05" customHeight="1" x14ac:dyDescent="0.25">
      <c r="A13661" s="2" t="s">
        <v>8</v>
      </c>
      <c r="B13661" s="2" t="str">
        <f>HYPERLINK("http://ts.21cn.com/tousu/show/id/1345155","产品描述不符合")</f>
        <v>产品描述不符合</v>
      </c>
      <c r="C13661" s="2" t="s">
        <v>9</v>
      </c>
      <c r="D13661" s="2" t="s">
        <v>10</v>
      </c>
      <c r="E13661" s="2" t="str">
        <f>HYPERLINK("http://ts.21cn.com/tousu/show/id/1345155","http://ts.21cn.com/tousu/show/id/1345155")</f>
        <v>http://ts.21cn.com/tousu/show/id/1345155</v>
      </c>
      <c r="F13661" s="2" t="s">
        <v>11</v>
      </c>
      <c r="G13661" s="2" t="s">
        <v>17299</v>
      </c>
      <c r="H13661" s="2" t="s">
        <v>17300</v>
      </c>
    </row>
    <row r="13662" spans="1:8" ht="25.05" customHeight="1" x14ac:dyDescent="0.25">
      <c r="A13662" s="2" t="s">
        <v>8</v>
      </c>
      <c r="B13662" s="2" t="str">
        <f>HYPERLINK("http://ts.21cn.com/tousu/show/id/1345157","美团网美团生活费暴力催收")</f>
        <v>美团网美团生活费暴力催收</v>
      </c>
      <c r="C13662" s="2" t="s">
        <v>9</v>
      </c>
      <c r="D13662" s="2" t="s">
        <v>10</v>
      </c>
      <c r="E13662" s="2" t="str">
        <f>HYPERLINK("http://ts.21cn.com/tousu/show/id/1345157","http://ts.21cn.com/tousu/show/id/1345157")</f>
        <v>http://ts.21cn.com/tousu/show/id/1345157</v>
      </c>
      <c r="F13662" s="2" t="s">
        <v>11</v>
      </c>
      <c r="G13662" s="2" t="s">
        <v>17297</v>
      </c>
      <c r="H13662" s="2" t="s">
        <v>17298</v>
      </c>
    </row>
    <row r="13663" spans="1:8" ht="25.05" customHeight="1" x14ac:dyDescent="0.25">
      <c r="A13663" s="2" t="s">
        <v>8</v>
      </c>
      <c r="B13663" s="2" t="str">
        <f>HYPERLINK("http://ts.21cn.com/tousu/show/id/1345158","猎趣app货款不结算不能体现。我的血汗钱")</f>
        <v>猎趣app货款不结算不能体现。我的血汗钱</v>
      </c>
      <c r="C13663" s="2" t="s">
        <v>9</v>
      </c>
      <c r="D13663" s="2" t="s">
        <v>10</v>
      </c>
      <c r="E13663" s="2" t="str">
        <f>HYPERLINK("http://ts.21cn.com/tousu/show/id/1345158","http://ts.21cn.com/tousu/show/id/1345158")</f>
        <v>http://ts.21cn.com/tousu/show/id/1345158</v>
      </c>
      <c r="F13663" s="2" t="s">
        <v>11</v>
      </c>
      <c r="G13663" s="2" t="s">
        <v>17295</v>
      </c>
      <c r="H13663" s="2" t="s">
        <v>17296</v>
      </c>
    </row>
    <row r="13664" spans="1:8" ht="25.05" customHeight="1" x14ac:dyDescent="0.25">
      <c r="A13664" s="2" t="s">
        <v>8</v>
      </c>
      <c r="B13664" s="2" t="str">
        <f>HYPERLINK("http://ts.21cn.com/tousu/show/id/1345160","多次告知拍拍贷本机号码非债务人号码，其仍继续骚扰我")</f>
        <v>多次告知拍拍贷本机号码非债务人号码，其仍继续骚扰我</v>
      </c>
      <c r="C13664" s="2" t="s">
        <v>9</v>
      </c>
      <c r="D13664" s="2" t="s">
        <v>10</v>
      </c>
      <c r="E13664" s="2" t="str">
        <f>HYPERLINK("http://ts.21cn.com/tousu/show/id/1345160","http://ts.21cn.com/tousu/show/id/1345160")</f>
        <v>http://ts.21cn.com/tousu/show/id/1345160</v>
      </c>
      <c r="F13664" s="2" t="s">
        <v>11</v>
      </c>
      <c r="G13664" s="2" t="s">
        <v>17293</v>
      </c>
      <c r="H13664" s="2" t="s">
        <v>17294</v>
      </c>
    </row>
    <row r="13665" spans="1:8" ht="25.05" customHeight="1" x14ac:dyDescent="0.25">
      <c r="A13665" s="2" t="s">
        <v>8</v>
      </c>
      <c r="B13665" s="2" t="str">
        <f>HYPERLINK("http://ts.21cn.com/tousu/show/id/1345159","易借款高利贷")</f>
        <v>易借款高利贷</v>
      </c>
      <c r="C13665" s="2" t="s">
        <v>9</v>
      </c>
      <c r="D13665" s="2" t="s">
        <v>10</v>
      </c>
      <c r="E13665" s="2" t="str">
        <f>HYPERLINK("http://ts.21cn.com/tousu/show/id/1345159","http://ts.21cn.com/tousu/show/id/1345159")</f>
        <v>http://ts.21cn.com/tousu/show/id/1345159</v>
      </c>
      <c r="F13665" s="2" t="s">
        <v>11</v>
      </c>
      <c r="G13665" s="2" t="s">
        <v>17291</v>
      </c>
      <c r="H13665" s="2" t="s">
        <v>17292</v>
      </c>
    </row>
    <row r="13666" spans="1:8" ht="25.05" customHeight="1" x14ac:dyDescent="0.25">
      <c r="A13666" s="2" t="s">
        <v>8</v>
      </c>
      <c r="B13666" s="2" t="str">
        <f>HYPERLINK("http://ts.21cn.com/tousu/show/id/1345161","悦如公寓不退房租押金")</f>
        <v>悦如公寓不退房租押金</v>
      </c>
      <c r="C13666" s="2" t="s">
        <v>34</v>
      </c>
      <c r="D13666" s="2" t="s">
        <v>10</v>
      </c>
      <c r="E13666" s="2" t="str">
        <f>HYPERLINK("http://ts.21cn.com/tousu/show/id/1345161","http://ts.21cn.com/tousu/show/id/1345161")</f>
        <v>http://ts.21cn.com/tousu/show/id/1345161</v>
      </c>
      <c r="F13666" s="2" t="s">
        <v>11</v>
      </c>
      <c r="G13666" s="2" t="s">
        <v>17289</v>
      </c>
      <c r="H13666" s="2" t="s">
        <v>17290</v>
      </c>
    </row>
    <row r="13667" spans="1:8" ht="25.05" customHeight="1" x14ac:dyDescent="0.25">
      <c r="A13667" s="2" t="s">
        <v>8</v>
      </c>
      <c r="B13667" s="2" t="str">
        <f>HYPERLINK("http://ts.21cn.com/tousu/show/id/1345163","闪银催收拨打联系人电话对生活造成影响")</f>
        <v>闪银催收拨打联系人电话对生活造成影响</v>
      </c>
      <c r="C13667" s="2" t="s">
        <v>9</v>
      </c>
      <c r="D13667" s="2" t="s">
        <v>10</v>
      </c>
      <c r="E13667" s="2" t="str">
        <f>HYPERLINK("http://ts.21cn.com/tousu/show/id/1345163","http://ts.21cn.com/tousu/show/id/1345163")</f>
        <v>http://ts.21cn.com/tousu/show/id/1345163</v>
      </c>
      <c r="F13667" s="2" t="s">
        <v>11</v>
      </c>
      <c r="G13667" s="2" t="s">
        <v>17287</v>
      </c>
      <c r="H13667" s="2" t="s">
        <v>17288</v>
      </c>
    </row>
    <row r="13668" spans="1:8" ht="25.05" customHeight="1" x14ac:dyDescent="0.25">
      <c r="A13668" s="2" t="s">
        <v>8</v>
      </c>
      <c r="B13668" s="2" t="str">
        <f>HYPERLINK("http://ts.21cn.com/tousu/show/id/1345164","严重骚扰，毁坏名誉，骚扰亲朋好友")</f>
        <v>严重骚扰，毁坏名誉，骚扰亲朋好友</v>
      </c>
      <c r="C13668" s="2" t="s">
        <v>9</v>
      </c>
      <c r="D13668" s="2" t="s">
        <v>10</v>
      </c>
      <c r="E13668" s="2" t="str">
        <f>HYPERLINK("http://ts.21cn.com/tousu/show/id/1345164","http://ts.21cn.com/tousu/show/id/1345164")</f>
        <v>http://ts.21cn.com/tousu/show/id/1345164</v>
      </c>
      <c r="F13668" s="2" t="s">
        <v>11</v>
      </c>
      <c r="G13668" s="2" t="s">
        <v>17285</v>
      </c>
      <c r="H13668" s="2" t="s">
        <v>17286</v>
      </c>
    </row>
    <row r="13669" spans="1:8" ht="25.05" customHeight="1" x14ac:dyDescent="0.25">
      <c r="A13669" s="2" t="s">
        <v>8</v>
      </c>
      <c r="B13669" s="2" t="str">
        <f>HYPERLINK("http://ts.21cn.com/tousu/show/id/1345166","返还砍头息")</f>
        <v>返还砍头息</v>
      </c>
      <c r="C13669" s="2" t="s">
        <v>34</v>
      </c>
      <c r="D13669" s="2" t="s">
        <v>10</v>
      </c>
      <c r="E13669" s="2" t="str">
        <f>HYPERLINK("http://ts.21cn.com/tousu/show/id/1345166","http://ts.21cn.com/tousu/show/id/1345166")</f>
        <v>http://ts.21cn.com/tousu/show/id/1345166</v>
      </c>
      <c r="F13669" s="2" t="s">
        <v>11</v>
      </c>
      <c r="G13669" s="2" t="s">
        <v>17283</v>
      </c>
      <c r="H13669" s="2" t="s">
        <v>17284</v>
      </c>
    </row>
    <row r="13670" spans="1:8" ht="25.05" customHeight="1" x14ac:dyDescent="0.25">
      <c r="A13670" s="2" t="s">
        <v>8</v>
      </c>
      <c r="B13670" s="2" t="str">
        <f>HYPERLINK("http://ts.21cn.com/tousu/show/id/1345168","收单机构为违法平台提供收款通道")</f>
        <v>收单机构为违法平台提供收款通道</v>
      </c>
      <c r="C13670" s="2" t="s">
        <v>9</v>
      </c>
      <c r="D13670" s="2" t="s">
        <v>10</v>
      </c>
      <c r="E13670" s="2" t="str">
        <f>HYPERLINK("http://ts.21cn.com/tousu/show/id/1345168","http://ts.21cn.com/tousu/show/id/1345168")</f>
        <v>http://ts.21cn.com/tousu/show/id/1345168</v>
      </c>
      <c r="F13670" s="2" t="s">
        <v>11</v>
      </c>
      <c r="G13670" s="2" t="s">
        <v>17281</v>
      </c>
      <c r="H13670" s="2" t="s">
        <v>17282</v>
      </c>
    </row>
    <row r="13671" spans="1:8" ht="25.05" customHeight="1" x14ac:dyDescent="0.25">
      <c r="A13671" s="2" t="s">
        <v>8</v>
      </c>
      <c r="B13671" s="2" t="str">
        <f>HYPERLINK("http://ts.21cn.com/tousu/show/id/1345169","利息高，催收暴力")</f>
        <v>利息高，催收暴力</v>
      </c>
      <c r="C13671" s="2" t="s">
        <v>9</v>
      </c>
      <c r="D13671" s="2" t="s">
        <v>10</v>
      </c>
      <c r="E13671" s="2" t="str">
        <f>HYPERLINK("http://ts.21cn.com/tousu/show/id/1345169","http://ts.21cn.com/tousu/show/id/1345169")</f>
        <v>http://ts.21cn.com/tousu/show/id/1345169</v>
      </c>
      <c r="F13671" s="2" t="s">
        <v>11</v>
      </c>
      <c r="G13671" s="2" t="s">
        <v>17279</v>
      </c>
      <c r="H13671" s="2" t="s">
        <v>17280</v>
      </c>
    </row>
    <row r="13672" spans="1:8" ht="25.05" customHeight="1" x14ac:dyDescent="0.25">
      <c r="A13672" s="2" t="s">
        <v>8</v>
      </c>
      <c r="B13672" s="2" t="str">
        <f>HYPERLINK("http://ts.21cn.com/tousu/show/id/1345170","没有拒载")</f>
        <v>没有拒载</v>
      </c>
      <c r="C13672" s="2" t="s">
        <v>9</v>
      </c>
      <c r="D13672" s="2" t="s">
        <v>10</v>
      </c>
      <c r="E13672" s="2" t="str">
        <f>HYPERLINK("http://ts.21cn.com/tousu/show/id/1345170","http://ts.21cn.com/tousu/show/id/1345170")</f>
        <v>http://ts.21cn.com/tousu/show/id/1345170</v>
      </c>
      <c r="F13672" s="2" t="s">
        <v>11</v>
      </c>
      <c r="G13672" s="2" t="s">
        <v>17277</v>
      </c>
      <c r="H13672" s="2" t="s">
        <v>17278</v>
      </c>
    </row>
    <row r="13673" spans="1:8" ht="25.05" customHeight="1" x14ac:dyDescent="0.25">
      <c r="A13673" s="2" t="s">
        <v>8</v>
      </c>
      <c r="B13673" s="2" t="str">
        <f>HYPERLINK("http://ts.21cn.com/tousu/show/id/1345171","手机借钱多宝分期高利贷～")</f>
        <v>手机借钱多宝分期高利贷～</v>
      </c>
      <c r="C13673" s="2" t="s">
        <v>9</v>
      </c>
      <c r="D13673" s="2" t="s">
        <v>10</v>
      </c>
      <c r="E13673" s="2" t="str">
        <f>HYPERLINK("http://ts.21cn.com/tousu/show/id/1345171","http://ts.21cn.com/tousu/show/id/1345171")</f>
        <v>http://ts.21cn.com/tousu/show/id/1345171</v>
      </c>
      <c r="F13673" s="2" t="s">
        <v>11</v>
      </c>
      <c r="G13673" s="2" t="s">
        <v>17275</v>
      </c>
      <c r="H13673" s="2" t="s">
        <v>17276</v>
      </c>
    </row>
    <row r="13674" spans="1:8" ht="25.05" customHeight="1" x14ac:dyDescent="0.25">
      <c r="A13674" s="2" t="s">
        <v>8</v>
      </c>
      <c r="B13674" s="2" t="str">
        <f>HYPERLINK("http://ts.21cn.com/tousu/show/id/1345173","来分期买断金额过高套路")</f>
        <v>来分期买断金额过高套路</v>
      </c>
      <c r="C13674" s="2" t="s">
        <v>9</v>
      </c>
      <c r="D13674" s="2" t="s">
        <v>10</v>
      </c>
      <c r="E13674" s="2" t="str">
        <f>HYPERLINK("http://ts.21cn.com/tousu/show/id/1345173","http://ts.21cn.com/tousu/show/id/1345173")</f>
        <v>http://ts.21cn.com/tousu/show/id/1345173</v>
      </c>
      <c r="F13674" s="2" t="s">
        <v>11</v>
      </c>
      <c r="G13674" s="2" t="s">
        <v>17273</v>
      </c>
      <c r="H13674" s="2" t="s">
        <v>17274</v>
      </c>
    </row>
    <row r="13675" spans="1:8" ht="25.05" customHeight="1" x14ac:dyDescent="0.25">
      <c r="A13675" s="2" t="s">
        <v>8</v>
      </c>
      <c r="B13675" s="2" t="str">
        <f>HYPERLINK("http://ts.21cn.com/tousu/show/id/1345172","砍头息高利贷还恶意骚扰与债务无关的亲属好友")</f>
        <v>砍头息高利贷还恶意骚扰与债务无关的亲属好友</v>
      </c>
      <c r="C13675" s="2" t="s">
        <v>9</v>
      </c>
      <c r="D13675" s="2" t="s">
        <v>10</v>
      </c>
      <c r="E13675" s="2" t="str">
        <f>HYPERLINK("http://ts.21cn.com/tousu/show/id/1345172","http://ts.21cn.com/tousu/show/id/1345172")</f>
        <v>http://ts.21cn.com/tousu/show/id/1345172</v>
      </c>
      <c r="F13675" s="2" t="s">
        <v>11</v>
      </c>
      <c r="G13675" s="2" t="s">
        <v>17271</v>
      </c>
      <c r="H13675" s="2" t="s">
        <v>17272</v>
      </c>
    </row>
    <row r="13676" spans="1:8" ht="25.05" customHeight="1" x14ac:dyDescent="0.25">
      <c r="A13676" s="2" t="s">
        <v>8</v>
      </c>
      <c r="B13676" s="2" t="str">
        <f>HYPERLINK("http://ts.21cn.com/tousu/show/id/1345174","盈盈有钱涉及高利贷，恶意催收")</f>
        <v>盈盈有钱涉及高利贷，恶意催收</v>
      </c>
      <c r="C13676" s="2" t="s">
        <v>9</v>
      </c>
      <c r="D13676" s="2" t="s">
        <v>10</v>
      </c>
      <c r="E13676" s="2" t="str">
        <f>HYPERLINK("http://ts.21cn.com/tousu/show/id/1345174","http://ts.21cn.com/tousu/show/id/1345174")</f>
        <v>http://ts.21cn.com/tousu/show/id/1345174</v>
      </c>
      <c r="F13676" s="2" t="s">
        <v>11</v>
      </c>
      <c r="G13676" s="2" t="s">
        <v>17269</v>
      </c>
      <c r="H13676" s="2" t="s">
        <v>17270</v>
      </c>
    </row>
    <row r="13677" spans="1:8" ht="25.05" customHeight="1" x14ac:dyDescent="0.25">
      <c r="A13677" s="2" t="s">
        <v>8</v>
      </c>
      <c r="B13677" s="2" t="str">
        <f>HYPERLINK("http://ts.21cn.com/tousu/show/id/1345175","你我贷高利贷")</f>
        <v>你我贷高利贷</v>
      </c>
      <c r="C13677" s="2" t="s">
        <v>9</v>
      </c>
      <c r="D13677" s="2" t="s">
        <v>10</v>
      </c>
      <c r="E13677" s="2" t="str">
        <f>HYPERLINK("http://ts.21cn.com/tousu/show/id/1345175","http://ts.21cn.com/tousu/show/id/1345175")</f>
        <v>http://ts.21cn.com/tousu/show/id/1345175</v>
      </c>
      <c r="F13677" s="2" t="s">
        <v>11</v>
      </c>
      <c r="G13677" s="2" t="s">
        <v>17267</v>
      </c>
      <c r="H13677" s="2" t="s">
        <v>17268</v>
      </c>
    </row>
    <row r="13678" spans="1:8" ht="25.05" customHeight="1" x14ac:dyDescent="0.25">
      <c r="A13678" s="2" t="s">
        <v>8</v>
      </c>
      <c r="B13678" s="2" t="str">
        <f>HYPERLINK("http://ts.21cn.com/tousu/show/id/1345176","造艺科技强行收取高额咨询费")</f>
        <v>造艺科技强行收取高额咨询费</v>
      </c>
      <c r="C13678" s="2" t="s">
        <v>9</v>
      </c>
      <c r="D13678" s="2" t="s">
        <v>10</v>
      </c>
      <c r="E13678" s="2" t="str">
        <f>HYPERLINK("http://ts.21cn.com/tousu/show/id/1345176","http://ts.21cn.com/tousu/show/id/1345176")</f>
        <v>http://ts.21cn.com/tousu/show/id/1345176</v>
      </c>
      <c r="F13678" s="2" t="s">
        <v>11</v>
      </c>
      <c r="G13678" s="2" t="s">
        <v>17265</v>
      </c>
      <c r="H13678" s="2" t="s">
        <v>17266</v>
      </c>
    </row>
    <row r="13679" spans="1:8" ht="25.05" customHeight="1" x14ac:dyDescent="0.25">
      <c r="A13679" s="2" t="s">
        <v>8</v>
      </c>
      <c r="B13679" s="2" t="str">
        <f>HYPERLINK("http://ts.21cn.com/tousu/show/id/1345177","捷信金融不给结清证明")</f>
        <v>捷信金融不给结清证明</v>
      </c>
      <c r="C13679" s="2" t="s">
        <v>9</v>
      </c>
      <c r="D13679" s="2" t="s">
        <v>10</v>
      </c>
      <c r="E13679" s="2" t="str">
        <f>HYPERLINK("http://ts.21cn.com/tousu/show/id/1345177","http://ts.21cn.com/tousu/show/id/1345177")</f>
        <v>http://ts.21cn.com/tousu/show/id/1345177</v>
      </c>
      <c r="F13679" s="2" t="s">
        <v>11</v>
      </c>
      <c r="G13679" s="2" t="s">
        <v>17264</v>
      </c>
      <c r="H13679" s="2" t="s">
        <v>17050</v>
      </c>
    </row>
    <row r="13680" spans="1:8" ht="25.05" customHeight="1" x14ac:dyDescent="0.25">
      <c r="A13680" s="2" t="s">
        <v>8</v>
      </c>
      <c r="B13680" s="2" t="str">
        <f>HYPERLINK("http://ts.21cn.com/tousu/show/id/1345178","网贷")</f>
        <v>网贷</v>
      </c>
      <c r="C13680" s="2" t="s">
        <v>34</v>
      </c>
      <c r="D13680" s="2" t="s">
        <v>10</v>
      </c>
      <c r="E13680" s="2" t="str">
        <f>HYPERLINK("http://ts.21cn.com/tousu/show/id/1345178","http://ts.21cn.com/tousu/show/id/1345178")</f>
        <v>http://ts.21cn.com/tousu/show/id/1345178</v>
      </c>
      <c r="F13680" s="2" t="s">
        <v>11</v>
      </c>
      <c r="G13680" s="2" t="s">
        <v>17262</v>
      </c>
      <c r="H13680" s="2" t="s">
        <v>17263</v>
      </c>
    </row>
    <row r="13681" spans="1:8" ht="25.05" customHeight="1" x14ac:dyDescent="0.25">
      <c r="A13681" s="2" t="s">
        <v>8</v>
      </c>
      <c r="B13681" s="2" t="str">
        <f>HYPERLINK("http://ts.21cn.com/tousu/show/id/1345180","贷上钱不愿意协商还款，暴力催收")</f>
        <v>贷上钱不愿意协商还款，暴力催收</v>
      </c>
      <c r="C13681" s="2" t="s">
        <v>9</v>
      </c>
      <c r="D13681" s="2" t="s">
        <v>10</v>
      </c>
      <c r="E13681" s="2" t="str">
        <f>HYPERLINK("http://ts.21cn.com/tousu/show/id/1345180","http://ts.21cn.com/tousu/show/id/1345180")</f>
        <v>http://ts.21cn.com/tousu/show/id/1345180</v>
      </c>
      <c r="F13681" s="2" t="s">
        <v>11</v>
      </c>
      <c r="G13681" s="2" t="s">
        <v>17260</v>
      </c>
      <c r="H13681" s="2" t="s">
        <v>17261</v>
      </c>
    </row>
    <row r="13682" spans="1:8" ht="25.05" customHeight="1" x14ac:dyDescent="0.25">
      <c r="A13682" s="2" t="s">
        <v>8</v>
      </c>
      <c r="B13682" s="2" t="str">
        <f>HYPERLINK("http://ts.21cn.com/tousu/show/id/1345182","微博及贷")</f>
        <v>微博及贷</v>
      </c>
      <c r="C13682" s="2" t="s">
        <v>9</v>
      </c>
      <c r="D13682" s="2" t="s">
        <v>10</v>
      </c>
      <c r="E13682" s="2" t="str">
        <f>HYPERLINK("http://ts.21cn.com/tousu/show/id/1345182","http://ts.21cn.com/tousu/show/id/1345182")</f>
        <v>http://ts.21cn.com/tousu/show/id/1345182</v>
      </c>
      <c r="F13682" s="2" t="s">
        <v>11</v>
      </c>
      <c r="G13682" s="2" t="s">
        <v>17258</v>
      </c>
      <c r="H13682" s="2" t="s">
        <v>17259</v>
      </c>
    </row>
    <row r="13683" spans="1:8" ht="25.05" customHeight="1" x14ac:dyDescent="0.25">
      <c r="A13683" s="2" t="s">
        <v>8</v>
      </c>
      <c r="B13683" s="2" t="str">
        <f>HYPERLINK("http://ts.21cn.com/tousu/show/id/1345183","要求道歉，非复借钱")</f>
        <v>要求道歉，非复借钱</v>
      </c>
      <c r="C13683" s="2" t="s">
        <v>34</v>
      </c>
      <c r="D13683" s="2" t="s">
        <v>10</v>
      </c>
      <c r="E13683" s="2" t="str">
        <f>HYPERLINK("http://ts.21cn.com/tousu/show/id/1345183","http://ts.21cn.com/tousu/show/id/1345183")</f>
        <v>http://ts.21cn.com/tousu/show/id/1345183</v>
      </c>
      <c r="F13683" s="2" t="s">
        <v>11</v>
      </c>
      <c r="G13683" s="2" t="s">
        <v>17256</v>
      </c>
      <c r="H13683" s="2" t="s">
        <v>17257</v>
      </c>
    </row>
    <row r="13684" spans="1:8" ht="25.05" customHeight="1" x14ac:dyDescent="0.25">
      <c r="A13684" s="2" t="s">
        <v>8</v>
      </c>
      <c r="B13684" s="2" t="str">
        <f>HYPERLINK("http://ts.21cn.com/tousu/show/id/1345186","无缘无故冻结我的信用卡")</f>
        <v>无缘无故冻结我的信用卡</v>
      </c>
      <c r="C13684" s="2" t="s">
        <v>34</v>
      </c>
      <c r="D13684" s="2" t="s">
        <v>10</v>
      </c>
      <c r="E13684" s="2" t="str">
        <f>HYPERLINK("http://ts.21cn.com/tousu/show/id/1345186","http://ts.21cn.com/tousu/show/id/1345186")</f>
        <v>http://ts.21cn.com/tousu/show/id/1345186</v>
      </c>
      <c r="F13684" s="2" t="s">
        <v>11</v>
      </c>
      <c r="G13684" s="2" t="s">
        <v>17254</v>
      </c>
      <c r="H13684" s="2" t="s">
        <v>17255</v>
      </c>
    </row>
    <row r="13685" spans="1:8" ht="25.05" customHeight="1" x14ac:dyDescent="0.25">
      <c r="A13685" s="2" t="s">
        <v>8</v>
      </c>
      <c r="B13685" s="2" t="str">
        <f>HYPERLINK("http://ts.21cn.com/tousu/show/id/1345185","中信百信银行股份有限公司收单机构：通联支付网络服务有限公司转走了我的钱")</f>
        <v>中信百信银行股份有限公司收单机构：通联支付网络服务有限公司转走了我的钱</v>
      </c>
      <c r="C13685" s="2" t="s">
        <v>34</v>
      </c>
      <c r="D13685" s="2" t="s">
        <v>10</v>
      </c>
      <c r="E13685" s="2" t="str">
        <f>HYPERLINK("http://ts.21cn.com/tousu/show/id/1345185","http://ts.21cn.com/tousu/show/id/1345185")</f>
        <v>http://ts.21cn.com/tousu/show/id/1345185</v>
      </c>
      <c r="F13685" s="2" t="s">
        <v>11</v>
      </c>
      <c r="G13685" s="2" t="s">
        <v>17252</v>
      </c>
      <c r="H13685" s="2" t="s">
        <v>17253</v>
      </c>
    </row>
    <row r="13686" spans="1:8" ht="25.05" customHeight="1" x14ac:dyDescent="0.25">
      <c r="A13686" s="2" t="s">
        <v>8</v>
      </c>
      <c r="B13686" s="2" t="str">
        <f>HYPERLINK("http://ts.21cn.com/tousu/show/id/1345190","万和老客户答谢会变净水器销售会")</f>
        <v>万和老客户答谢会变净水器销售会</v>
      </c>
      <c r="C13686" s="2" t="s">
        <v>9</v>
      </c>
      <c r="D13686" s="2" t="s">
        <v>10</v>
      </c>
      <c r="E13686" s="2" t="str">
        <f>HYPERLINK("http://ts.21cn.com/tousu/show/id/1345190","http://ts.21cn.com/tousu/show/id/1345190")</f>
        <v>http://ts.21cn.com/tousu/show/id/1345190</v>
      </c>
      <c r="F13686" s="2" t="s">
        <v>11</v>
      </c>
      <c r="G13686" s="2" t="s">
        <v>17250</v>
      </c>
      <c r="H13686" s="2" t="s">
        <v>17251</v>
      </c>
    </row>
    <row r="13687" spans="1:8" ht="25.05" customHeight="1" x14ac:dyDescent="0.25">
      <c r="A13687" s="2" t="s">
        <v>8</v>
      </c>
      <c r="B13687" s="2" t="str">
        <f>HYPERLINK("http://ts.21cn.com/tousu/show/id/1345187","骚扰通讯录")</f>
        <v>骚扰通讯录</v>
      </c>
      <c r="C13687" s="2" t="s">
        <v>9</v>
      </c>
      <c r="D13687" s="2" t="s">
        <v>10</v>
      </c>
      <c r="E13687" s="2" t="str">
        <f>HYPERLINK("http://ts.21cn.com/tousu/show/id/1345187","http://ts.21cn.com/tousu/show/id/1345187")</f>
        <v>http://ts.21cn.com/tousu/show/id/1345187</v>
      </c>
      <c r="F13687" s="2" t="s">
        <v>11</v>
      </c>
      <c r="G13687" s="2" t="s">
        <v>17248</v>
      </c>
      <c r="H13687" s="2" t="s">
        <v>17249</v>
      </c>
    </row>
    <row r="13688" spans="1:8" ht="25.05" customHeight="1" x14ac:dyDescent="0.25">
      <c r="A13688" s="2" t="s">
        <v>8</v>
      </c>
      <c r="B13688" s="2" t="str">
        <f>HYPERLINK("http://ts.21cn.com/tousu/show/id/1345191","高额利息，套路分期借款，借10500要还17640多")</f>
        <v>高额利息，套路分期借款，借10500要还17640多</v>
      </c>
      <c r="C13688" s="2" t="s">
        <v>9</v>
      </c>
      <c r="D13688" s="2" t="s">
        <v>10</v>
      </c>
      <c r="E13688" s="2" t="str">
        <f>HYPERLINK("http://ts.21cn.com/tousu/show/id/1345191","http://ts.21cn.com/tousu/show/id/1345191")</f>
        <v>http://ts.21cn.com/tousu/show/id/1345191</v>
      </c>
      <c r="F13688" s="2" t="s">
        <v>11</v>
      </c>
      <c r="G13688" s="2" t="s">
        <v>17246</v>
      </c>
      <c r="H13688" s="2" t="s">
        <v>17247</v>
      </c>
    </row>
    <row r="13689" spans="1:8" ht="25.05" customHeight="1" x14ac:dyDescent="0.25">
      <c r="A13689" s="2" t="s">
        <v>8</v>
      </c>
      <c r="B13689" s="2" t="str">
        <f>HYPERLINK("http://ts.21cn.com/tousu/show/id/1345192","微粒贷催收非法骚扰，暴力催收")</f>
        <v>微粒贷催收非法骚扰，暴力催收</v>
      </c>
      <c r="C13689" s="2" t="s">
        <v>9</v>
      </c>
      <c r="D13689" s="2" t="s">
        <v>10</v>
      </c>
      <c r="E13689" s="2" t="str">
        <f>HYPERLINK("http://ts.21cn.com/tousu/show/id/1345192","http://ts.21cn.com/tousu/show/id/1345192")</f>
        <v>http://ts.21cn.com/tousu/show/id/1345192</v>
      </c>
      <c r="F13689" s="2" t="s">
        <v>11</v>
      </c>
      <c r="G13689" s="2" t="s">
        <v>17244</v>
      </c>
      <c r="H13689" s="2" t="s">
        <v>17245</v>
      </c>
    </row>
    <row r="13690" spans="1:8" ht="25.05" customHeight="1" x14ac:dyDescent="0.25">
      <c r="A13690" s="2" t="s">
        <v>8</v>
      </c>
      <c r="B13690" s="2" t="str">
        <f>HYPERLINK("http://ts.21cn.com/tousu/show/id/1345193","拼多多以所谓的系统检测异常关闭售后，导致无法退款")</f>
        <v>拼多多以所谓的系统检测异常关闭售后，导致无法退款</v>
      </c>
      <c r="C13690" s="2" t="s">
        <v>34</v>
      </c>
      <c r="D13690" s="2" t="s">
        <v>10</v>
      </c>
      <c r="E13690" s="2" t="str">
        <f>HYPERLINK("http://ts.21cn.com/tousu/show/id/1345193","http://ts.21cn.com/tousu/show/id/1345193")</f>
        <v>http://ts.21cn.com/tousu/show/id/1345193</v>
      </c>
      <c r="F13690" s="2" t="s">
        <v>11</v>
      </c>
      <c r="G13690" s="2" t="s">
        <v>17242</v>
      </c>
      <c r="H13690" s="2" t="s">
        <v>17243</v>
      </c>
    </row>
    <row r="13691" spans="1:8" ht="25.05" customHeight="1" x14ac:dyDescent="0.25">
      <c r="A13691" s="2" t="s">
        <v>8</v>
      </c>
      <c r="B13691" s="2" t="str">
        <f>HYPERLINK("http://ts.21cn.com/tousu/show/id/1345179","乱扣费")</f>
        <v>乱扣费</v>
      </c>
      <c r="C13691" s="2" t="s">
        <v>9</v>
      </c>
      <c r="D13691" s="2" t="s">
        <v>10</v>
      </c>
      <c r="E13691" s="2" t="str">
        <f>HYPERLINK("http://ts.21cn.com/tousu/show/id/1345179","http://ts.21cn.com/tousu/show/id/1345179")</f>
        <v>http://ts.21cn.com/tousu/show/id/1345179</v>
      </c>
      <c r="F13691" s="2" t="s">
        <v>11</v>
      </c>
      <c r="G13691" s="2" t="s">
        <v>17240</v>
      </c>
      <c r="H13691" s="2" t="s">
        <v>17241</v>
      </c>
    </row>
    <row r="13692" spans="1:8" ht="25.05" customHeight="1" x14ac:dyDescent="0.25">
      <c r="A13692" s="2" t="s">
        <v>8</v>
      </c>
      <c r="B13692" s="2" t="str">
        <f>HYPERLINK("http://ts.21cn.com/tousu/show/id/1345195","我来贷无提前结清功能，咨询后客服也说不能提前结清。")</f>
        <v>我来贷无提前结清功能，咨询后客服也说不能提前结清。</v>
      </c>
      <c r="C13692" s="2" t="s">
        <v>9</v>
      </c>
      <c r="D13692" s="2" t="s">
        <v>10</v>
      </c>
      <c r="E13692" s="2" t="str">
        <f>HYPERLINK("http://ts.21cn.com/tousu/show/id/1345195","http://ts.21cn.com/tousu/show/id/1345195")</f>
        <v>http://ts.21cn.com/tousu/show/id/1345195</v>
      </c>
      <c r="F13692" s="2" t="s">
        <v>11</v>
      </c>
      <c r="G13692" s="2" t="s">
        <v>17238</v>
      </c>
      <c r="H13692" s="2" t="s">
        <v>17239</v>
      </c>
    </row>
    <row r="13693" spans="1:8" ht="25.05" customHeight="1" x14ac:dyDescent="0.25">
      <c r="A13693" s="2" t="s">
        <v>8</v>
      </c>
      <c r="B13693" s="2" t="str">
        <f>HYPERLINK("http://ts.21cn.com/tousu/show/id/1345198","云天商务尊享卡诱导消费者办卡虚假宣传")</f>
        <v>云天商务尊享卡诱导消费者办卡虚假宣传</v>
      </c>
      <c r="C13693" s="2" t="s">
        <v>9</v>
      </c>
      <c r="D13693" s="2" t="s">
        <v>10</v>
      </c>
      <c r="E13693" s="2" t="str">
        <f>HYPERLINK("http://ts.21cn.com/tousu/show/id/1345198","http://ts.21cn.com/tousu/show/id/1345198")</f>
        <v>http://ts.21cn.com/tousu/show/id/1345198</v>
      </c>
      <c r="F13693" s="2" t="s">
        <v>11</v>
      </c>
      <c r="G13693" s="2" t="s">
        <v>17236</v>
      </c>
      <c r="H13693" s="2" t="s">
        <v>17237</v>
      </c>
    </row>
    <row r="13694" spans="1:8" ht="25.05" customHeight="1" x14ac:dyDescent="0.25">
      <c r="A13694" s="2" t="s">
        <v>8</v>
      </c>
      <c r="B13694" s="2" t="str">
        <f>HYPERLINK("http://ts.21cn.com/tousu/show/id/1345197","信用卡还款晚一天收取高额违约金和利息")</f>
        <v>信用卡还款晚一天收取高额违约金和利息</v>
      </c>
      <c r="C13694" s="2" t="s">
        <v>9</v>
      </c>
      <c r="D13694" s="2" t="s">
        <v>10</v>
      </c>
      <c r="E13694" s="2" t="str">
        <f>HYPERLINK("http://ts.21cn.com/tousu/show/id/1345197","http://ts.21cn.com/tousu/show/id/1345197")</f>
        <v>http://ts.21cn.com/tousu/show/id/1345197</v>
      </c>
      <c r="F13694" s="2" t="s">
        <v>11</v>
      </c>
      <c r="G13694" s="2" t="s">
        <v>17234</v>
      </c>
      <c r="H13694" s="2" t="s">
        <v>17235</v>
      </c>
    </row>
    <row r="13695" spans="1:8" ht="25.05" customHeight="1" x14ac:dyDescent="0.25">
      <c r="A13695" s="2" t="s">
        <v>8</v>
      </c>
      <c r="B13695" s="2" t="str">
        <f>HYPERLINK("http://ts.21cn.com/tousu/show/id/1345196","豆豆钱捆绑保险还有砍头息")</f>
        <v>豆豆钱捆绑保险还有砍头息</v>
      </c>
      <c r="C13695" s="2" t="s">
        <v>9</v>
      </c>
      <c r="D13695" s="2" t="s">
        <v>10</v>
      </c>
      <c r="E13695" s="2" t="str">
        <f>HYPERLINK("http://ts.21cn.com/tousu/show/id/1345196","http://ts.21cn.com/tousu/show/id/1345196")</f>
        <v>http://ts.21cn.com/tousu/show/id/1345196</v>
      </c>
      <c r="F13695" s="2" t="s">
        <v>11</v>
      </c>
      <c r="G13695" s="2" t="s">
        <v>17232</v>
      </c>
      <c r="H13695" s="2" t="s">
        <v>17233</v>
      </c>
    </row>
    <row r="13696" spans="1:8" ht="25.05" customHeight="1" x14ac:dyDescent="0.25">
      <c r="A13696" s="2" t="s">
        <v>8</v>
      </c>
      <c r="B13696" s="2" t="str">
        <f>HYPERLINK("http://ts.21cn.com/tousu/show/id/1345200","买了一年多的手机主板就坏了")</f>
        <v>买了一年多的手机主板就坏了</v>
      </c>
      <c r="C13696" s="2" t="s">
        <v>9</v>
      </c>
      <c r="D13696" s="2" t="s">
        <v>10</v>
      </c>
      <c r="E13696" s="2" t="str">
        <f>HYPERLINK("http://ts.21cn.com/tousu/show/id/1345200","http://ts.21cn.com/tousu/show/id/1345200")</f>
        <v>http://ts.21cn.com/tousu/show/id/1345200</v>
      </c>
      <c r="F13696" s="2" t="s">
        <v>11</v>
      </c>
      <c r="G13696" s="2" t="s">
        <v>17230</v>
      </c>
      <c r="H13696" s="2" t="s">
        <v>17231</v>
      </c>
    </row>
    <row r="13697" spans="1:8" ht="25.05" customHeight="1" x14ac:dyDescent="0.25">
      <c r="A13697" s="2" t="s">
        <v>8</v>
      </c>
      <c r="B13697" s="2" t="str">
        <f>HYPERLINK("http://ts.21cn.com/tousu/show/id/1345201","现金巴士砍头息高利贷威胁还款")</f>
        <v>现金巴士砍头息高利贷威胁还款</v>
      </c>
      <c r="C13697" s="2" t="s">
        <v>9</v>
      </c>
      <c r="D13697" s="2" t="s">
        <v>10</v>
      </c>
      <c r="E13697" s="2" t="str">
        <f>HYPERLINK("http://ts.21cn.com/tousu/show/id/1345201","http://ts.21cn.com/tousu/show/id/1345201")</f>
        <v>http://ts.21cn.com/tousu/show/id/1345201</v>
      </c>
      <c r="F13697" s="2" t="s">
        <v>11</v>
      </c>
      <c r="G13697" s="2" t="s">
        <v>17228</v>
      </c>
      <c r="H13697" s="2" t="s">
        <v>17229</v>
      </c>
    </row>
    <row r="13698" spans="1:8" ht="25.05" customHeight="1" x14ac:dyDescent="0.25">
      <c r="A13698" s="2" t="s">
        <v>8</v>
      </c>
      <c r="B13698" s="2" t="str">
        <f>HYPERLINK("http://ts.21cn.com/tousu/show/id/1345203","捷信金融不给结清证明")</f>
        <v>捷信金融不给结清证明</v>
      </c>
      <c r="C13698" s="2" t="s">
        <v>9</v>
      </c>
      <c r="D13698" s="2" t="s">
        <v>10</v>
      </c>
      <c r="E13698" s="2" t="str">
        <f>HYPERLINK("http://ts.21cn.com/tousu/show/id/1345203","http://ts.21cn.com/tousu/show/id/1345203")</f>
        <v>http://ts.21cn.com/tousu/show/id/1345203</v>
      </c>
      <c r="F13698" s="2" t="s">
        <v>11</v>
      </c>
      <c r="G13698" s="2" t="s">
        <v>17227</v>
      </c>
      <c r="H13698" s="2" t="s">
        <v>17050</v>
      </c>
    </row>
    <row r="13699" spans="1:8" ht="25.05" customHeight="1" x14ac:dyDescent="0.25">
      <c r="A13699" s="2" t="s">
        <v>8</v>
      </c>
      <c r="B13699" s="2" t="str">
        <f>HYPERLINK("http://ts.21cn.com/tousu/show/id/1345206","诱导开通支付宝自动扣费")</f>
        <v>诱导开通支付宝自动扣费</v>
      </c>
      <c r="C13699" s="2" t="s">
        <v>9</v>
      </c>
      <c r="D13699" s="2" t="s">
        <v>10</v>
      </c>
      <c r="E13699" s="2" t="str">
        <f>HYPERLINK("http://ts.21cn.com/tousu/show/id/1345206","http://ts.21cn.com/tousu/show/id/1345206")</f>
        <v>http://ts.21cn.com/tousu/show/id/1345206</v>
      </c>
      <c r="F13699" s="2" t="s">
        <v>11</v>
      </c>
      <c r="G13699" s="2" t="s">
        <v>17225</v>
      </c>
      <c r="H13699" s="2" t="s">
        <v>17226</v>
      </c>
    </row>
    <row r="13700" spans="1:8" ht="25.05" customHeight="1" x14ac:dyDescent="0.25">
      <c r="A13700" s="2" t="s">
        <v>8</v>
      </c>
      <c r="B13700" s="2" t="str">
        <f>HYPERLINK("http://ts.21cn.com/tousu/show/id/1345205","及贷私自打电话发信息给我通讯录好友，侵犯我的个人隐私")</f>
        <v>及贷私自打电话发信息给我通讯录好友，侵犯我的个人隐私</v>
      </c>
      <c r="C13700" s="2" t="s">
        <v>9</v>
      </c>
      <c r="D13700" s="2" t="s">
        <v>10</v>
      </c>
      <c r="E13700" s="2" t="str">
        <f>HYPERLINK("http://ts.21cn.com/tousu/show/id/1345205","http://ts.21cn.com/tousu/show/id/1345205")</f>
        <v>http://ts.21cn.com/tousu/show/id/1345205</v>
      </c>
      <c r="F13700" s="2" t="s">
        <v>11</v>
      </c>
      <c r="G13700" s="2" t="s">
        <v>17223</v>
      </c>
      <c r="H13700" s="2" t="s">
        <v>17224</v>
      </c>
    </row>
    <row r="13701" spans="1:8" ht="25.05" customHeight="1" x14ac:dyDescent="0.25">
      <c r="A13701" s="2" t="s">
        <v>8</v>
      </c>
      <c r="B13701" s="2" t="str">
        <f>HYPERLINK("http://ts.21cn.com/tousu/show/id/1345207","银川世纪佳缘诱导消费，敷衍服务，拒不退款，肢体威胁")</f>
        <v>银川世纪佳缘诱导消费，敷衍服务，拒不退款，肢体威胁</v>
      </c>
      <c r="C13701" s="2" t="s">
        <v>9</v>
      </c>
      <c r="D13701" s="2" t="s">
        <v>10</v>
      </c>
      <c r="E13701" s="2" t="str">
        <f>HYPERLINK("http://ts.21cn.com/tousu/show/id/1345207","http://ts.21cn.com/tousu/show/id/1345207")</f>
        <v>http://ts.21cn.com/tousu/show/id/1345207</v>
      </c>
      <c r="F13701" s="2" t="s">
        <v>11</v>
      </c>
      <c r="G13701" s="2" t="s">
        <v>17221</v>
      </c>
      <c r="H13701" s="2" t="s">
        <v>17222</v>
      </c>
    </row>
    <row r="13702" spans="1:8" ht="25.05" customHeight="1" x14ac:dyDescent="0.25">
      <c r="A13702" s="2" t="s">
        <v>8</v>
      </c>
      <c r="B13702" s="2" t="str">
        <f>HYPERLINK("http://ts.21cn.com/tousu/show/id/1344102","误导消费者，要求退换办卡费800")</f>
        <v>误导消费者，要求退换办卡费800</v>
      </c>
      <c r="C13702" s="2" t="s">
        <v>9</v>
      </c>
      <c r="D13702" s="2" t="s">
        <v>10</v>
      </c>
      <c r="E13702" s="2" t="str">
        <f>HYPERLINK("http://ts.21cn.com/tousu/show/id/1344102","http://ts.21cn.com/tousu/show/id/1344102")</f>
        <v>http://ts.21cn.com/tousu/show/id/1344102</v>
      </c>
      <c r="F13702" s="2" t="s">
        <v>11</v>
      </c>
      <c r="G13702" s="2" t="s">
        <v>17219</v>
      </c>
      <c r="H13702" s="2" t="s">
        <v>17220</v>
      </c>
    </row>
    <row r="13703" spans="1:8" ht="25.05" customHeight="1" x14ac:dyDescent="0.25">
      <c r="A13703" s="2" t="s">
        <v>8</v>
      </c>
      <c r="B13703" s="2" t="str">
        <f>HYPERLINK("http://ts.21cn.com/tousu/show/id/1345208","保证金半年未退承诺3个月退换保证金")</f>
        <v>保证金半年未退承诺3个月退换保证金</v>
      </c>
      <c r="C13703" s="2" t="s">
        <v>9</v>
      </c>
      <c r="D13703" s="2" t="s">
        <v>10</v>
      </c>
      <c r="E13703" s="2" t="str">
        <f>HYPERLINK("http://ts.21cn.com/tousu/show/id/1345208","http://ts.21cn.com/tousu/show/id/1345208")</f>
        <v>http://ts.21cn.com/tousu/show/id/1345208</v>
      </c>
      <c r="F13703" s="2" t="s">
        <v>11</v>
      </c>
      <c r="G13703" s="2" t="s">
        <v>17217</v>
      </c>
      <c r="H13703" s="2" t="s">
        <v>17218</v>
      </c>
    </row>
    <row r="13704" spans="1:8" ht="25.05" customHeight="1" x14ac:dyDescent="0.25">
      <c r="A13704" s="2" t="s">
        <v>8</v>
      </c>
      <c r="B13704" s="2" t="str">
        <f>HYPERLINK("http://ts.21cn.com/tousu/show/id/1345188","关于东莞兴业银行松山湖分行的房贷放款慢问题")</f>
        <v>关于东莞兴业银行松山湖分行的房贷放款慢问题</v>
      </c>
      <c r="C13704" s="2" t="s">
        <v>9</v>
      </c>
      <c r="D13704" s="2" t="s">
        <v>10</v>
      </c>
      <c r="E13704" s="2" t="str">
        <f>HYPERLINK("http://ts.21cn.com/tousu/show/id/1345188","http://ts.21cn.com/tousu/show/id/1345188")</f>
        <v>http://ts.21cn.com/tousu/show/id/1345188</v>
      </c>
      <c r="F13704" s="2" t="s">
        <v>11</v>
      </c>
      <c r="G13704" s="2" t="s">
        <v>17215</v>
      </c>
      <c r="H13704" s="2" t="s">
        <v>17216</v>
      </c>
    </row>
    <row r="13705" spans="1:8" ht="25.05" customHeight="1" x14ac:dyDescent="0.25">
      <c r="A13705" s="2" t="s">
        <v>8</v>
      </c>
      <c r="B13705" s="2" t="str">
        <f>HYPERLINK("http://ts.21cn.com/tousu/show/id/1345209","衣服穿了三次有质量问题，卖家拒不承认，说影响二次销售，不退货。")</f>
        <v>衣服穿了三次有质量问题，卖家拒不承认，说影响二次销售，不退货。</v>
      </c>
      <c r="C13705" s="2" t="s">
        <v>9</v>
      </c>
      <c r="D13705" s="2" t="s">
        <v>10</v>
      </c>
      <c r="E13705" s="2" t="str">
        <f>HYPERLINK("http://ts.21cn.com/tousu/show/id/1345209","http://ts.21cn.com/tousu/show/id/1345209")</f>
        <v>http://ts.21cn.com/tousu/show/id/1345209</v>
      </c>
      <c r="F13705" s="2" t="s">
        <v>11</v>
      </c>
      <c r="G13705" s="2" t="s">
        <v>17213</v>
      </c>
      <c r="H13705" s="2" t="s">
        <v>17214</v>
      </c>
    </row>
    <row r="13706" spans="1:8" ht="25.05" customHeight="1" x14ac:dyDescent="0.25">
      <c r="A13706" s="2" t="s">
        <v>8</v>
      </c>
      <c r="B13706" s="2" t="str">
        <f>HYPERLINK("http://ts.21cn.com/tousu/show/id/1345202","协商好还款，不销账，暖心分期，贷上钱")</f>
        <v>协商好还款，不销账，暖心分期，贷上钱</v>
      </c>
      <c r="C13706" s="2" t="s">
        <v>34</v>
      </c>
      <c r="D13706" s="2" t="s">
        <v>10</v>
      </c>
      <c r="E13706" s="2" t="str">
        <f>HYPERLINK("http://ts.21cn.com/tousu/show/id/1345202","http://ts.21cn.com/tousu/show/id/1345202")</f>
        <v>http://ts.21cn.com/tousu/show/id/1345202</v>
      </c>
      <c r="F13706" s="2" t="s">
        <v>11</v>
      </c>
      <c r="G13706" s="2" t="s">
        <v>17211</v>
      </c>
      <c r="H13706" s="2" t="s">
        <v>17212</v>
      </c>
    </row>
    <row r="13707" spans="1:8" ht="25.05" customHeight="1" x14ac:dyDescent="0.25">
      <c r="A13707" s="2" t="s">
        <v>8</v>
      </c>
      <c r="B13707" s="2" t="str">
        <f>HYPERLINK("http://ts.21cn.com/tousu/show/id/1345210","骚扰恐吓")</f>
        <v>骚扰恐吓</v>
      </c>
      <c r="C13707" s="2" t="s">
        <v>9</v>
      </c>
      <c r="D13707" s="2" t="s">
        <v>10</v>
      </c>
      <c r="E13707" s="2" t="str">
        <f>HYPERLINK("http://ts.21cn.com/tousu/show/id/1345210","http://ts.21cn.com/tousu/show/id/1345210")</f>
        <v>http://ts.21cn.com/tousu/show/id/1345210</v>
      </c>
      <c r="F13707" s="2" t="s">
        <v>11</v>
      </c>
      <c r="G13707" s="2" t="s">
        <v>17209</v>
      </c>
      <c r="H13707" s="2" t="s">
        <v>17210</v>
      </c>
    </row>
    <row r="13708" spans="1:8" ht="25.05" customHeight="1" x14ac:dyDescent="0.25">
      <c r="A13708" s="2" t="s">
        <v>8</v>
      </c>
      <c r="B13708" s="2" t="str">
        <f>HYPERLINK("http://ts.21cn.com/tousu/show/id/1345211","未经同意被中金支付从我银行卡中扣我500元，消费银企入金")</f>
        <v>未经同意被中金支付从我银行卡中扣我500元，消费银企入金</v>
      </c>
      <c r="C13708" s="2" t="s">
        <v>34</v>
      </c>
      <c r="D13708" s="2" t="s">
        <v>10</v>
      </c>
      <c r="E13708" s="2" t="str">
        <f>HYPERLINK("http://ts.21cn.com/tousu/show/id/1345211","http://ts.21cn.com/tousu/show/id/1345211")</f>
        <v>http://ts.21cn.com/tousu/show/id/1345211</v>
      </c>
      <c r="F13708" s="2" t="s">
        <v>11</v>
      </c>
      <c r="G13708" s="2" t="s">
        <v>17207</v>
      </c>
      <c r="H13708" s="2" t="s">
        <v>17208</v>
      </c>
    </row>
    <row r="13709" spans="1:8" ht="25.05" customHeight="1" x14ac:dyDescent="0.25">
      <c r="A13709" s="2" t="s">
        <v>8</v>
      </c>
      <c r="B13709" s="2" t="str">
        <f>HYPERLINK("http://ts.21cn.com/tousu/show/id/1345212","360借条暴力恐吓")</f>
        <v>360借条暴力恐吓</v>
      </c>
      <c r="C13709" s="2" t="s">
        <v>9</v>
      </c>
      <c r="D13709" s="2" t="s">
        <v>10</v>
      </c>
      <c r="E13709" s="2" t="str">
        <f>HYPERLINK("http://ts.21cn.com/tousu/show/id/1345212","http://ts.21cn.com/tousu/show/id/1345212")</f>
        <v>http://ts.21cn.com/tousu/show/id/1345212</v>
      </c>
      <c r="F13709" s="2" t="s">
        <v>11</v>
      </c>
      <c r="G13709" s="2" t="s">
        <v>17205</v>
      </c>
      <c r="H13709" s="2" t="s">
        <v>17206</v>
      </c>
    </row>
    <row r="13710" spans="1:8" ht="25.05" customHeight="1" x14ac:dyDescent="0.25">
      <c r="A13710" s="2" t="s">
        <v>8</v>
      </c>
      <c r="B13710" s="2" t="str">
        <f>HYPERLINK("http://ts.21cn.com/tousu/show/id/1345213","非法扣除服务费")</f>
        <v>非法扣除服务费</v>
      </c>
      <c r="C13710" s="2" t="s">
        <v>9</v>
      </c>
      <c r="D13710" s="2" t="s">
        <v>10</v>
      </c>
      <c r="E13710" s="2" t="str">
        <f>HYPERLINK("http://ts.21cn.com/tousu/show/id/1345213","http://ts.21cn.com/tousu/show/id/1345213")</f>
        <v>http://ts.21cn.com/tousu/show/id/1345213</v>
      </c>
      <c r="F13710" s="2" t="s">
        <v>11</v>
      </c>
      <c r="G13710" s="2" t="s">
        <v>17203</v>
      </c>
      <c r="H13710" s="2" t="s">
        <v>17204</v>
      </c>
    </row>
    <row r="13711" spans="1:8" ht="25.05" customHeight="1" x14ac:dyDescent="0.25">
      <c r="A13711" s="2" t="s">
        <v>8</v>
      </c>
      <c r="B13711" s="2" t="str">
        <f>HYPERLINK("http://ts.21cn.com/tousu/show/id/1345214","玖富万卡，涉嫌砍头息，高利率等问题，走投无路没有还款能力")</f>
        <v>玖富万卡，涉嫌砍头息，高利率等问题，走投无路没有还款能力</v>
      </c>
      <c r="C13711" s="2" t="s">
        <v>9</v>
      </c>
      <c r="D13711" s="2" t="s">
        <v>10</v>
      </c>
      <c r="E13711" s="2" t="str">
        <f>HYPERLINK("http://ts.21cn.com/tousu/show/id/1345214","http://ts.21cn.com/tousu/show/id/1345214")</f>
        <v>http://ts.21cn.com/tousu/show/id/1345214</v>
      </c>
      <c r="F13711" s="2" t="s">
        <v>11</v>
      </c>
      <c r="G13711" s="2" t="s">
        <v>17201</v>
      </c>
      <c r="H13711" s="2" t="s">
        <v>17202</v>
      </c>
    </row>
    <row r="13712" spans="1:8" ht="25.05" customHeight="1" x14ac:dyDescent="0.25">
      <c r="A13712" s="2" t="s">
        <v>8</v>
      </c>
      <c r="B13712" s="2" t="str">
        <f>HYPERLINK("http://ts.21cn.com/tousu/show/id/1345215","洋钱罐不同意协商提前结清还款")</f>
        <v>洋钱罐不同意协商提前结清还款</v>
      </c>
      <c r="C13712" s="2" t="s">
        <v>9</v>
      </c>
      <c r="D13712" s="2" t="s">
        <v>10</v>
      </c>
      <c r="E13712" s="2" t="str">
        <f>HYPERLINK("http://ts.21cn.com/tousu/show/id/1345215","http://ts.21cn.com/tousu/show/id/1345215")</f>
        <v>http://ts.21cn.com/tousu/show/id/1345215</v>
      </c>
      <c r="F13712" s="2" t="s">
        <v>11</v>
      </c>
      <c r="G13712" s="2" t="s">
        <v>17199</v>
      </c>
      <c r="H13712" s="2" t="s">
        <v>17200</v>
      </c>
    </row>
    <row r="13713" spans="1:8" ht="25.05" customHeight="1" x14ac:dyDescent="0.25">
      <c r="A13713" s="2" t="s">
        <v>8</v>
      </c>
      <c r="B13713" s="2" t="str">
        <f>HYPERLINK("http://ts.21cn.com/tousu/show/id/1345216","广发银行暴力催收")</f>
        <v>广发银行暴力催收</v>
      </c>
      <c r="C13713" s="2" t="s">
        <v>9</v>
      </c>
      <c r="D13713" s="2" t="s">
        <v>10</v>
      </c>
      <c r="E13713" s="2" t="str">
        <f>HYPERLINK("http://ts.21cn.com/tousu/show/id/1345216","http://ts.21cn.com/tousu/show/id/1345216")</f>
        <v>http://ts.21cn.com/tousu/show/id/1345216</v>
      </c>
      <c r="F13713" s="2" t="s">
        <v>11</v>
      </c>
      <c r="G13713" s="2" t="s">
        <v>17197</v>
      </c>
      <c r="H13713" s="2" t="s">
        <v>17198</v>
      </c>
    </row>
    <row r="13714" spans="1:8" ht="25.05" customHeight="1" x14ac:dyDescent="0.25">
      <c r="A13714" s="2" t="s">
        <v>8</v>
      </c>
      <c r="B13714" s="2" t="str">
        <f>HYPERLINK("http://ts.21cn.com/tousu/show/id/1345184","汇潮支付。高利贷")</f>
        <v>汇潮支付。高利贷</v>
      </c>
      <c r="C13714" s="2" t="s">
        <v>9</v>
      </c>
      <c r="D13714" s="2" t="s">
        <v>10</v>
      </c>
      <c r="E13714" s="2" t="str">
        <f>HYPERLINK("http://ts.21cn.com/tousu/show/id/1345184","http://ts.21cn.com/tousu/show/id/1345184")</f>
        <v>http://ts.21cn.com/tousu/show/id/1345184</v>
      </c>
      <c r="F13714" s="2" t="s">
        <v>11</v>
      </c>
      <c r="G13714" s="2" t="s">
        <v>17195</v>
      </c>
      <c r="H13714" s="2" t="s">
        <v>17196</v>
      </c>
    </row>
    <row r="13715" spans="1:8" ht="25.05" customHeight="1" x14ac:dyDescent="0.25">
      <c r="A13715" s="2" t="s">
        <v>8</v>
      </c>
      <c r="B13715" s="2" t="str">
        <f>HYPERLINK("http://ts.21cn.com/tousu/show/id/1345217","江苏百瑞赢证券咨询有限公司的服务及行为，与实际不符合，要求尽快全额退款37800元，诱导消费者，与实际操作严重不符")</f>
        <v>江苏百瑞赢证券咨询有限公司的服务及行为，与实际不符合，要求尽快全额退款37800元，诱导消费者，与实际操作严重不符</v>
      </c>
      <c r="C13715" s="2" t="s">
        <v>9</v>
      </c>
      <c r="D13715" s="2" t="s">
        <v>10</v>
      </c>
      <c r="E13715" s="2" t="str">
        <f>HYPERLINK("http://ts.21cn.com/tousu/show/id/1345217","http://ts.21cn.com/tousu/show/id/1345217")</f>
        <v>http://ts.21cn.com/tousu/show/id/1345217</v>
      </c>
      <c r="F13715" s="2" t="s">
        <v>11</v>
      </c>
      <c r="G13715" s="2" t="s">
        <v>17193</v>
      </c>
      <c r="H13715" s="2" t="s">
        <v>17194</v>
      </c>
    </row>
    <row r="13716" spans="1:8" ht="25.05" customHeight="1" x14ac:dyDescent="0.25">
      <c r="A13716" s="2" t="s">
        <v>8</v>
      </c>
      <c r="B13716" s="2" t="str">
        <f>HYPERLINK("http://ts.21cn.com/tousu/show/id/1345218","下载聚福钱包借款，然而并没有借到，还倒扣我299，希望尽快还我。")</f>
        <v>下载聚福钱包借款，然而并没有借到，还倒扣我299，希望尽快还我。</v>
      </c>
      <c r="C13716" s="2" t="s">
        <v>9</v>
      </c>
      <c r="D13716" s="2" t="s">
        <v>10</v>
      </c>
      <c r="E13716" s="2" t="str">
        <f>HYPERLINK("http://ts.21cn.com/tousu/show/id/1345218","http://ts.21cn.com/tousu/show/id/1345218")</f>
        <v>http://ts.21cn.com/tousu/show/id/1345218</v>
      </c>
      <c r="F13716" s="2" t="s">
        <v>11</v>
      </c>
      <c r="G13716" s="2" t="s">
        <v>17192</v>
      </c>
      <c r="H13716" s="2" t="s">
        <v>16915</v>
      </c>
    </row>
    <row r="13717" spans="1:8" ht="25.05" customHeight="1" x14ac:dyDescent="0.25">
      <c r="A13717" s="2" t="s">
        <v>8</v>
      </c>
      <c r="B13717" s="2" t="str">
        <f>HYPERLINK("http://ts.21cn.com/tousu/show/id/1345219","及贷在用户不知情情况下收取砍头息")</f>
        <v>及贷在用户不知情情况下收取砍头息</v>
      </c>
      <c r="C13717" s="2" t="s">
        <v>9</v>
      </c>
      <c r="D13717" s="2" t="s">
        <v>10</v>
      </c>
      <c r="E13717" s="2" t="str">
        <f>HYPERLINK("http://ts.21cn.com/tousu/show/id/1345219","http://ts.21cn.com/tousu/show/id/1345219")</f>
        <v>http://ts.21cn.com/tousu/show/id/1345219</v>
      </c>
      <c r="F13717" s="2" t="s">
        <v>11</v>
      </c>
      <c r="G13717" s="2" t="s">
        <v>17190</v>
      </c>
      <c r="H13717" s="2" t="s">
        <v>17191</v>
      </c>
    </row>
    <row r="13718" spans="1:8" ht="25.05" customHeight="1" x14ac:dyDescent="0.25">
      <c r="A13718" s="2" t="s">
        <v>8</v>
      </c>
      <c r="B13718" s="2" t="str">
        <f>HYPERLINK("http://ts.21cn.com/tousu/show/id/1345220","阿里巴巴卖家拒绝退款")</f>
        <v>阿里巴巴卖家拒绝退款</v>
      </c>
      <c r="C13718" s="2" t="s">
        <v>9</v>
      </c>
      <c r="D13718" s="2" t="s">
        <v>10</v>
      </c>
      <c r="E13718" s="2" t="str">
        <f>HYPERLINK("http://ts.21cn.com/tousu/show/id/1345220","http://ts.21cn.com/tousu/show/id/1345220")</f>
        <v>http://ts.21cn.com/tousu/show/id/1345220</v>
      </c>
      <c r="F13718" s="2" t="s">
        <v>11</v>
      </c>
      <c r="G13718" s="2" t="s">
        <v>17188</v>
      </c>
      <c r="H13718" s="2" t="s">
        <v>17189</v>
      </c>
    </row>
    <row r="13719" spans="1:8" ht="25.05" customHeight="1" x14ac:dyDescent="0.25">
      <c r="A13719" s="2" t="s">
        <v>8</v>
      </c>
      <c r="B13719" s="2" t="str">
        <f>HYPERLINK("http://ts.21cn.com/tousu/show/id/1345221","捷信金融平台违法暴力催收，行为恶劣")</f>
        <v>捷信金融平台违法暴力催收，行为恶劣</v>
      </c>
      <c r="C13719" s="2" t="s">
        <v>9</v>
      </c>
      <c r="D13719" s="2" t="s">
        <v>10</v>
      </c>
      <c r="E13719" s="2" t="str">
        <f>HYPERLINK("http://ts.21cn.com/tousu/show/id/1345221","http://ts.21cn.com/tousu/show/id/1345221")</f>
        <v>http://ts.21cn.com/tousu/show/id/1345221</v>
      </c>
      <c r="F13719" s="2" t="s">
        <v>11</v>
      </c>
      <c r="G13719" s="2" t="s">
        <v>17187</v>
      </c>
      <c r="H13719" s="2" t="s">
        <v>12531</v>
      </c>
    </row>
    <row r="13720" spans="1:8" ht="25.05" customHeight="1" x14ac:dyDescent="0.25">
      <c r="A13720" s="2" t="s">
        <v>8</v>
      </c>
      <c r="B13720" s="2" t="str">
        <f>HYPERLINK("http://ts.21cn.com/tousu/show/id/1345222","杭州知彼科技有限公司7天冲排名首页诱导充钱，导致店铺被降权，后续不管")</f>
        <v>杭州知彼科技有限公司7天冲排名首页诱导充钱，导致店铺被降权，后续不管</v>
      </c>
      <c r="C13720" s="2" t="s">
        <v>9</v>
      </c>
      <c r="D13720" s="2" t="s">
        <v>10</v>
      </c>
      <c r="E13720" s="2" t="str">
        <f>HYPERLINK("http://ts.21cn.com/tousu/show/id/1345222","http://ts.21cn.com/tousu/show/id/1345222")</f>
        <v>http://ts.21cn.com/tousu/show/id/1345222</v>
      </c>
      <c r="F13720" s="2" t="s">
        <v>11</v>
      </c>
      <c r="G13720" s="2" t="s">
        <v>17185</v>
      </c>
      <c r="H13720" s="2" t="s">
        <v>17186</v>
      </c>
    </row>
    <row r="13721" spans="1:8" ht="25.05" customHeight="1" x14ac:dyDescent="0.25">
      <c r="A13721" s="2" t="s">
        <v>8</v>
      </c>
      <c r="B13721" s="2" t="str">
        <f>HYPERLINK("http://ts.21cn.com/tousu/show/id/1345230","聚福钱包平台以评价测试扣取钱，后不给予退款，")</f>
        <v>聚福钱包平台以评价测试扣取钱，后不给予退款，</v>
      </c>
      <c r="C13721" s="2" t="s">
        <v>9</v>
      </c>
      <c r="D13721" s="2" t="s">
        <v>10</v>
      </c>
      <c r="E13721" s="2" t="str">
        <f>HYPERLINK("http://ts.21cn.com/tousu/show/id/1345230","http://ts.21cn.com/tousu/show/id/1345230")</f>
        <v>http://ts.21cn.com/tousu/show/id/1345230</v>
      </c>
      <c r="F13721" s="2" t="s">
        <v>11</v>
      </c>
      <c r="G13721" s="2" t="s">
        <v>17181</v>
      </c>
      <c r="H13721" s="2" t="s">
        <v>17182</v>
      </c>
    </row>
    <row r="13722" spans="1:8" ht="25.05" customHeight="1" x14ac:dyDescent="0.25">
      <c r="A13722" s="2" t="s">
        <v>8</v>
      </c>
      <c r="B13722" s="2" t="str">
        <f>HYPERLINK("http://ts.21cn.com/tousu/show/id/1345224","爆通讯录，骚扰朋友")</f>
        <v>爆通讯录，骚扰朋友</v>
      </c>
      <c r="C13722" s="2" t="s">
        <v>9</v>
      </c>
      <c r="D13722" s="2" t="s">
        <v>10</v>
      </c>
      <c r="E13722" s="2" t="str">
        <f>HYPERLINK("http://ts.21cn.com/tousu/show/id/1345224","http://ts.21cn.com/tousu/show/id/1345224")</f>
        <v>http://ts.21cn.com/tousu/show/id/1345224</v>
      </c>
      <c r="F13722" s="2" t="s">
        <v>11</v>
      </c>
      <c r="G13722" s="2" t="s">
        <v>17181</v>
      </c>
      <c r="H13722" s="2" t="s">
        <v>17183</v>
      </c>
    </row>
    <row r="13723" spans="1:8" ht="25.05" customHeight="1" x14ac:dyDescent="0.25">
      <c r="A13723" s="2" t="s">
        <v>8</v>
      </c>
      <c r="B13723" s="2" t="str">
        <f>HYPERLINK("http://ts.21cn.com/tousu/show/id/1345227","利息过高，不当催收")</f>
        <v>利息过高，不当催收</v>
      </c>
      <c r="C13723" s="2" t="s">
        <v>9</v>
      </c>
      <c r="D13723" s="2" t="s">
        <v>10</v>
      </c>
      <c r="E13723" s="2" t="str">
        <f>HYPERLINK("http://ts.21cn.com/tousu/show/id/1345227","http://ts.21cn.com/tousu/show/id/1345227")</f>
        <v>http://ts.21cn.com/tousu/show/id/1345227</v>
      </c>
      <c r="F13723" s="2" t="s">
        <v>11</v>
      </c>
      <c r="G13723" s="2" t="s">
        <v>17181</v>
      </c>
      <c r="H13723" s="2" t="s">
        <v>17184</v>
      </c>
    </row>
    <row r="13724" spans="1:8" ht="25.05" customHeight="1" x14ac:dyDescent="0.25">
      <c r="A13724" s="2" t="s">
        <v>8</v>
      </c>
      <c r="B13724" s="2" t="str">
        <f>HYPERLINK("http://ts.21cn.com/tousu/show/id/1345223","融360多米贷伪造律师函")</f>
        <v>融360多米贷伪造律师函</v>
      </c>
      <c r="C13724" s="2" t="s">
        <v>34</v>
      </c>
      <c r="D13724" s="2" t="s">
        <v>10</v>
      </c>
      <c r="E13724" s="2" t="str">
        <f>HYPERLINK("http://ts.21cn.com/tousu/show/id/1345223","http://ts.21cn.com/tousu/show/id/1345223")</f>
        <v>http://ts.21cn.com/tousu/show/id/1345223</v>
      </c>
      <c r="F13724" s="2" t="s">
        <v>11</v>
      </c>
      <c r="G13724" s="2" t="s">
        <v>17179</v>
      </c>
      <c r="H13724" s="2" t="s">
        <v>17180</v>
      </c>
    </row>
    <row r="13725" spans="1:8" ht="25.05" customHeight="1" x14ac:dyDescent="0.25">
      <c r="A13725" s="2" t="s">
        <v>8</v>
      </c>
      <c r="B13725" s="2" t="str">
        <f>HYPERLINK("http://ts.21cn.com/tousu/show/id/1345225","造艺技术，聚福钱包，涉嫌欺诈")</f>
        <v>造艺技术，聚福钱包，涉嫌欺诈</v>
      </c>
      <c r="C13725" s="2" t="s">
        <v>9</v>
      </c>
      <c r="D13725" s="2" t="s">
        <v>10</v>
      </c>
      <c r="E13725" s="2" t="str">
        <f>HYPERLINK("http://ts.21cn.com/tousu/show/id/1345225","http://ts.21cn.com/tousu/show/id/1345225")</f>
        <v>http://ts.21cn.com/tousu/show/id/1345225</v>
      </c>
      <c r="F13725" s="2" t="s">
        <v>11</v>
      </c>
      <c r="G13725" s="2" t="s">
        <v>17177</v>
      </c>
      <c r="H13725" s="2" t="s">
        <v>17178</v>
      </c>
    </row>
    <row r="13726" spans="1:8" ht="25.05" customHeight="1" x14ac:dyDescent="0.25">
      <c r="A13726" s="2" t="s">
        <v>8</v>
      </c>
      <c r="B13726" s="2" t="str">
        <f>HYPERLINK("http://ts.21cn.com/tousu/show/id/1345226","捷信违法暴力催收")</f>
        <v>捷信违法暴力催收</v>
      </c>
      <c r="C13726" s="2" t="s">
        <v>9</v>
      </c>
      <c r="D13726" s="2" t="s">
        <v>10</v>
      </c>
      <c r="E13726" s="2" t="str">
        <f>HYPERLINK("http://ts.21cn.com/tousu/show/id/1345226","http://ts.21cn.com/tousu/show/id/1345226")</f>
        <v>http://ts.21cn.com/tousu/show/id/1345226</v>
      </c>
      <c r="F13726" s="2" t="s">
        <v>11</v>
      </c>
      <c r="G13726" s="2" t="s">
        <v>17175</v>
      </c>
      <c r="H13726" s="2" t="s">
        <v>17176</v>
      </c>
    </row>
    <row r="13727" spans="1:8" ht="25.05" customHeight="1" x14ac:dyDescent="0.25">
      <c r="A13727" s="2" t="s">
        <v>8</v>
      </c>
      <c r="B13727" s="2" t="str">
        <f>HYPERLINK("http://ts.21cn.com/tousu/show/id/1345229","没有通过当事人，乱扣费296")</f>
        <v>没有通过当事人，乱扣费296</v>
      </c>
      <c r="C13727" s="2" t="s">
        <v>9</v>
      </c>
      <c r="D13727" s="2" t="s">
        <v>10</v>
      </c>
      <c r="E13727" s="2" t="str">
        <f>HYPERLINK("http://ts.21cn.com/tousu/show/id/1345229","http://ts.21cn.com/tousu/show/id/1345229")</f>
        <v>http://ts.21cn.com/tousu/show/id/1345229</v>
      </c>
      <c r="F13727" s="2" t="s">
        <v>11</v>
      </c>
      <c r="G13727" s="2" t="s">
        <v>17173</v>
      </c>
      <c r="H13727" s="2" t="s">
        <v>17174</v>
      </c>
    </row>
    <row r="13728" spans="1:8" ht="25.05" customHeight="1" x14ac:dyDescent="0.25">
      <c r="A13728" s="2" t="s">
        <v>8</v>
      </c>
      <c r="B13728" s="2" t="str">
        <f>HYPERLINK("http://ts.21cn.com/tousu/show/id/1345231","51公积金金钱贷逾期利息恐怖")</f>
        <v>51公积金金钱贷逾期利息恐怖</v>
      </c>
      <c r="C13728" s="2" t="s">
        <v>9</v>
      </c>
      <c r="D13728" s="2" t="s">
        <v>10</v>
      </c>
      <c r="E13728" s="2" t="str">
        <f>HYPERLINK("http://ts.21cn.com/tousu/show/id/1345231","http://ts.21cn.com/tousu/show/id/1345231")</f>
        <v>http://ts.21cn.com/tousu/show/id/1345231</v>
      </c>
      <c r="F13728" s="2" t="s">
        <v>11</v>
      </c>
      <c r="G13728" s="2" t="s">
        <v>17171</v>
      </c>
      <c r="H13728" s="2" t="s">
        <v>17172</v>
      </c>
    </row>
    <row r="13729" spans="1:8" ht="25.05" customHeight="1" x14ac:dyDescent="0.25">
      <c r="A13729" s="2" t="s">
        <v>8</v>
      </c>
      <c r="B13729" s="2" t="str">
        <f>HYPERLINK("http://ts.21cn.com/tousu/show/id/1345232","及贷贷款违反法律法规搭售保险")</f>
        <v>及贷贷款违反法律法规搭售保险</v>
      </c>
      <c r="C13729" s="2" t="s">
        <v>9</v>
      </c>
      <c r="D13729" s="2" t="s">
        <v>10</v>
      </c>
      <c r="E13729" s="2" t="str">
        <f>HYPERLINK("http://ts.21cn.com/tousu/show/id/1345232","http://ts.21cn.com/tousu/show/id/1345232")</f>
        <v>http://ts.21cn.com/tousu/show/id/1345232</v>
      </c>
      <c r="F13729" s="2" t="s">
        <v>11</v>
      </c>
      <c r="G13729" s="2" t="s">
        <v>17169</v>
      </c>
      <c r="H13729" s="2" t="s">
        <v>17170</v>
      </c>
    </row>
    <row r="13730" spans="1:8" ht="25.05" customHeight="1" x14ac:dyDescent="0.25">
      <c r="A13730" s="2" t="s">
        <v>8</v>
      </c>
      <c r="B13730" s="2" t="str">
        <f>HYPERLINK("http://ts.21cn.com/tousu/show/id/1342502","qq封号账号余额无法提现")</f>
        <v>qq封号账号余额无法提现</v>
      </c>
      <c r="C13730" s="2" t="s">
        <v>9</v>
      </c>
      <c r="D13730" s="2" t="s">
        <v>10</v>
      </c>
      <c r="E13730" s="2" t="str">
        <f>HYPERLINK("http://ts.21cn.com/tousu/show/id/1342502","http://ts.21cn.com/tousu/show/id/1342502")</f>
        <v>http://ts.21cn.com/tousu/show/id/1342502</v>
      </c>
      <c r="F13730" s="2" t="s">
        <v>11</v>
      </c>
      <c r="G13730" s="2" t="s">
        <v>17167</v>
      </c>
      <c r="H13730" s="2" t="s">
        <v>17168</v>
      </c>
    </row>
    <row r="13731" spans="1:8" ht="25.05" customHeight="1" x14ac:dyDescent="0.25">
      <c r="A13731" s="2" t="s">
        <v>8</v>
      </c>
      <c r="B13731" s="2" t="str">
        <f>HYPERLINK("http://ts.21cn.com/tousu/show/id/1345234","急用钱包恶意扣款")</f>
        <v>急用钱包恶意扣款</v>
      </c>
      <c r="C13731" s="2" t="s">
        <v>9</v>
      </c>
      <c r="D13731" s="2" t="s">
        <v>10</v>
      </c>
      <c r="E13731" s="2" t="str">
        <f>HYPERLINK("http://ts.21cn.com/tousu/show/id/1345234","http://ts.21cn.com/tousu/show/id/1345234")</f>
        <v>http://ts.21cn.com/tousu/show/id/1345234</v>
      </c>
      <c r="F13731" s="2" t="s">
        <v>11</v>
      </c>
      <c r="G13731" s="2" t="s">
        <v>17165</v>
      </c>
      <c r="H13731" s="2" t="s">
        <v>17166</v>
      </c>
    </row>
    <row r="13732" spans="1:8" ht="25.05" customHeight="1" x14ac:dyDescent="0.25">
      <c r="A13732" s="2" t="s">
        <v>8</v>
      </c>
      <c r="B13732" s="2" t="str">
        <f>HYPERLINK("http://ts.21cn.com/tousu/show/id/1345235","黑心网贷")</f>
        <v>黑心网贷</v>
      </c>
      <c r="C13732" s="2" t="s">
        <v>9</v>
      </c>
      <c r="D13732" s="2" t="s">
        <v>10</v>
      </c>
      <c r="E13732" s="2" t="str">
        <f>HYPERLINK("http://ts.21cn.com/tousu/show/id/1345235","http://ts.21cn.com/tousu/show/id/1345235")</f>
        <v>http://ts.21cn.com/tousu/show/id/1345235</v>
      </c>
      <c r="F13732" s="2" t="s">
        <v>11</v>
      </c>
      <c r="G13732" s="2" t="s">
        <v>17163</v>
      </c>
      <c r="H13732" s="2" t="s">
        <v>17164</v>
      </c>
    </row>
    <row r="13733" spans="1:8" ht="25.05" customHeight="1" x14ac:dyDescent="0.25">
      <c r="A13733" s="2" t="s">
        <v>8</v>
      </c>
      <c r="B13733" s="2" t="str">
        <f>HYPERLINK("http://ts.21cn.com/tousu/show/id/1345236","支付宝花呗恐吓催收")</f>
        <v>支付宝花呗恐吓催收</v>
      </c>
      <c r="C13733" s="2" t="s">
        <v>9</v>
      </c>
      <c r="D13733" s="2" t="s">
        <v>10</v>
      </c>
      <c r="E13733" s="2" t="str">
        <f>HYPERLINK("http://ts.21cn.com/tousu/show/id/1345236","http://ts.21cn.com/tousu/show/id/1345236")</f>
        <v>http://ts.21cn.com/tousu/show/id/1345236</v>
      </c>
      <c r="F13733" s="2" t="s">
        <v>11</v>
      </c>
      <c r="G13733" s="2" t="s">
        <v>17161</v>
      </c>
      <c r="H13733" s="2" t="s">
        <v>17162</v>
      </c>
    </row>
    <row r="13734" spans="1:8" ht="25.05" customHeight="1" x14ac:dyDescent="0.25">
      <c r="A13734" s="2" t="s">
        <v>8</v>
      </c>
      <c r="B13734" s="2" t="str">
        <f>HYPERLINK("http://ts.21cn.com/tousu/show/id/1345237","还清欠款后任恶意敲诈")</f>
        <v>还清欠款后任恶意敲诈</v>
      </c>
      <c r="C13734" s="2" t="s">
        <v>9</v>
      </c>
      <c r="D13734" s="2" t="s">
        <v>10</v>
      </c>
      <c r="E13734" s="2" t="str">
        <f>HYPERLINK("http://ts.21cn.com/tousu/show/id/1345237","http://ts.21cn.com/tousu/show/id/1345237")</f>
        <v>http://ts.21cn.com/tousu/show/id/1345237</v>
      </c>
      <c r="F13734" s="2" t="s">
        <v>11</v>
      </c>
      <c r="G13734" s="2" t="s">
        <v>17159</v>
      </c>
      <c r="H13734" s="2" t="s">
        <v>17160</v>
      </c>
    </row>
    <row r="13735" spans="1:8" ht="25.05" customHeight="1" x14ac:dyDescent="0.25">
      <c r="A13735" s="2" t="s">
        <v>8</v>
      </c>
      <c r="B13735" s="2" t="str">
        <f>HYPERLINK("http://ts.21cn.com/tousu/show/id/1345239","捷信违法泄露个人信息")</f>
        <v>捷信违法泄露个人信息</v>
      </c>
      <c r="C13735" s="2" t="s">
        <v>9</v>
      </c>
      <c r="D13735" s="2" t="s">
        <v>10</v>
      </c>
      <c r="E13735" s="2" t="str">
        <f>HYPERLINK("http://ts.21cn.com/tousu/show/id/1345239","http://ts.21cn.com/tousu/show/id/1345239")</f>
        <v>http://ts.21cn.com/tousu/show/id/1345239</v>
      </c>
      <c r="F13735" s="2" t="s">
        <v>11</v>
      </c>
      <c r="G13735" s="2" t="s">
        <v>17157</v>
      </c>
      <c r="H13735" s="2" t="s">
        <v>17158</v>
      </c>
    </row>
    <row r="13736" spans="1:8" ht="25.05" customHeight="1" x14ac:dyDescent="0.25">
      <c r="A13736" s="2" t="s">
        <v>8</v>
      </c>
      <c r="B13736" s="2" t="str">
        <f>HYPERLINK("http://ts.21cn.com/tousu/show/id/1345238","返现宝砍头息")</f>
        <v>返现宝砍头息</v>
      </c>
      <c r="C13736" s="2" t="s">
        <v>9</v>
      </c>
      <c r="D13736" s="2" t="s">
        <v>10</v>
      </c>
      <c r="E13736" s="2" t="str">
        <f>HYPERLINK("http://ts.21cn.com/tousu/show/id/1345238","http://ts.21cn.com/tousu/show/id/1345238")</f>
        <v>http://ts.21cn.com/tousu/show/id/1345238</v>
      </c>
      <c r="F13736" s="2" t="s">
        <v>11</v>
      </c>
      <c r="G13736" s="2" t="s">
        <v>17155</v>
      </c>
      <c r="H13736" s="2" t="s">
        <v>17156</v>
      </c>
    </row>
    <row r="13737" spans="1:8" ht="25.05" customHeight="1" x14ac:dyDescent="0.25">
      <c r="A13737" s="2" t="s">
        <v>8</v>
      </c>
      <c r="B13737" s="2" t="str">
        <f>HYPERLINK("http://ts.21cn.com/tousu/show/id/1345240","泄露用户信息打包给催收公司，违法行为")</f>
        <v>泄露用户信息打包给催收公司，违法行为</v>
      </c>
      <c r="C13737" s="2" t="s">
        <v>9</v>
      </c>
      <c r="D13737" s="2" t="s">
        <v>10</v>
      </c>
      <c r="E13737" s="2" t="str">
        <f>HYPERLINK("http://ts.21cn.com/tousu/show/id/1345240","http://ts.21cn.com/tousu/show/id/1345240")</f>
        <v>http://ts.21cn.com/tousu/show/id/1345240</v>
      </c>
      <c r="F13737" s="2" t="s">
        <v>11</v>
      </c>
      <c r="G13737" s="2" t="s">
        <v>17153</v>
      </c>
      <c r="H13737" s="2" t="s">
        <v>17154</v>
      </c>
    </row>
    <row r="13738" spans="1:8" ht="25.05" customHeight="1" x14ac:dyDescent="0.25">
      <c r="A13738" s="2" t="s">
        <v>8</v>
      </c>
      <c r="B13738" s="2" t="str">
        <f>HYPERLINK("http://ts.21cn.com/tousu/show/id/1345241","造艺科技强行收取服务费")</f>
        <v>造艺科技强行收取服务费</v>
      </c>
      <c r="C13738" s="2" t="s">
        <v>9</v>
      </c>
      <c r="D13738" s="2" t="s">
        <v>10</v>
      </c>
      <c r="E13738" s="2" t="str">
        <f>HYPERLINK("http://ts.21cn.com/tousu/show/id/1345241","http://ts.21cn.com/tousu/show/id/1345241")</f>
        <v>http://ts.21cn.com/tousu/show/id/1345241</v>
      </c>
      <c r="F13738" s="2" t="s">
        <v>11</v>
      </c>
      <c r="G13738" s="2" t="s">
        <v>17151</v>
      </c>
      <c r="H13738" s="2" t="s">
        <v>17152</v>
      </c>
    </row>
    <row r="13739" spans="1:8" ht="25.05" customHeight="1" x14ac:dyDescent="0.25">
      <c r="A13739" s="2" t="s">
        <v>8</v>
      </c>
      <c r="B13739" s="2" t="str">
        <f>HYPERLINK("http://ts.21cn.com/tousu/show/id/1345242","举报左右棋牌涉嫌赌博")</f>
        <v>举报左右棋牌涉嫌赌博</v>
      </c>
      <c r="C13739" s="2" t="s">
        <v>9</v>
      </c>
      <c r="D13739" s="2" t="s">
        <v>10</v>
      </c>
      <c r="E13739" s="2" t="str">
        <f>HYPERLINK("http://ts.21cn.com/tousu/show/id/1345242","http://ts.21cn.com/tousu/show/id/1345242")</f>
        <v>http://ts.21cn.com/tousu/show/id/1345242</v>
      </c>
      <c r="F13739" s="2" t="s">
        <v>11</v>
      </c>
      <c r="G13739" s="2" t="s">
        <v>17149</v>
      </c>
      <c r="H13739" s="2" t="s">
        <v>17150</v>
      </c>
    </row>
    <row r="13740" spans="1:8" ht="25.05" customHeight="1" x14ac:dyDescent="0.25">
      <c r="A13740" s="2" t="s">
        <v>8</v>
      </c>
      <c r="B13740" s="2" t="str">
        <f>HYPERLINK("http://ts.21cn.com/tousu/show/id/1345245","诽谤，辱骂，我并没有不接电话")</f>
        <v>诽谤，辱骂，我并没有不接电话</v>
      </c>
      <c r="C13740" s="2" t="s">
        <v>9</v>
      </c>
      <c r="D13740" s="2" t="s">
        <v>10</v>
      </c>
      <c r="E13740" s="2" t="str">
        <f>HYPERLINK("http://ts.21cn.com/tousu/show/id/1345245","http://ts.21cn.com/tousu/show/id/1345245")</f>
        <v>http://ts.21cn.com/tousu/show/id/1345245</v>
      </c>
      <c r="F13740" s="2" t="s">
        <v>11</v>
      </c>
      <c r="G13740" s="2" t="s">
        <v>17147</v>
      </c>
      <c r="H13740" s="2" t="s">
        <v>17148</v>
      </c>
    </row>
    <row r="13741" spans="1:8" ht="25.05" customHeight="1" x14ac:dyDescent="0.25">
      <c r="A13741" s="2" t="s">
        <v>8</v>
      </c>
      <c r="B13741" s="2" t="str">
        <f>HYPERLINK("http://ts.21cn.com/tousu/show/id/1345246","机器坏了还索赔")</f>
        <v>机器坏了还索赔</v>
      </c>
      <c r="C13741" s="2" t="s">
        <v>9</v>
      </c>
      <c r="D13741" s="2" t="s">
        <v>10</v>
      </c>
      <c r="E13741" s="2" t="str">
        <f>HYPERLINK("http://ts.21cn.com/tousu/show/id/1345246","http://ts.21cn.com/tousu/show/id/1345246")</f>
        <v>http://ts.21cn.com/tousu/show/id/1345246</v>
      </c>
      <c r="F13741" s="2" t="s">
        <v>11</v>
      </c>
      <c r="G13741" s="2" t="s">
        <v>17145</v>
      </c>
      <c r="H13741" s="2" t="s">
        <v>17146</v>
      </c>
    </row>
    <row r="13742" spans="1:8" ht="25.05" customHeight="1" x14ac:dyDescent="0.25">
      <c r="A13742" s="2" t="s">
        <v>8</v>
      </c>
      <c r="B13742" s="2" t="str">
        <f>HYPERLINK("http://ts.21cn.com/tousu/show/id/1345248","百事惠普app非法扣钱")</f>
        <v>百事惠普app非法扣钱</v>
      </c>
      <c r="C13742" s="2" t="s">
        <v>9</v>
      </c>
      <c r="D13742" s="2" t="s">
        <v>10</v>
      </c>
      <c r="E13742" s="2" t="str">
        <f>HYPERLINK("http://ts.21cn.com/tousu/show/id/1345248","http://ts.21cn.com/tousu/show/id/1345248")</f>
        <v>http://ts.21cn.com/tousu/show/id/1345248</v>
      </c>
      <c r="F13742" s="2" t="s">
        <v>11</v>
      </c>
      <c r="G13742" s="2" t="s">
        <v>17143</v>
      </c>
      <c r="H13742" s="2" t="s">
        <v>17144</v>
      </c>
    </row>
    <row r="13743" spans="1:8" ht="25.05" customHeight="1" x14ac:dyDescent="0.25">
      <c r="A13743" s="2" t="s">
        <v>8</v>
      </c>
      <c r="B13743" s="2" t="str">
        <f>HYPERLINK("http://ts.21cn.com/tousu/show/id/1345247","捷信金融骚扰电话")</f>
        <v>捷信金融骚扰电话</v>
      </c>
      <c r="C13743" s="2" t="s">
        <v>9</v>
      </c>
      <c r="D13743" s="2" t="s">
        <v>10</v>
      </c>
      <c r="E13743" s="2" t="str">
        <f>HYPERLINK("http://ts.21cn.com/tousu/show/id/1345247","http://ts.21cn.com/tousu/show/id/1345247")</f>
        <v>http://ts.21cn.com/tousu/show/id/1345247</v>
      </c>
      <c r="F13743" s="2" t="s">
        <v>11</v>
      </c>
      <c r="G13743" s="2" t="s">
        <v>17141</v>
      </c>
      <c r="H13743" s="2" t="s">
        <v>17142</v>
      </c>
    </row>
    <row r="13744" spans="1:8" ht="25.05" customHeight="1" x14ac:dyDescent="0.25">
      <c r="A13744" s="2" t="s">
        <v>8</v>
      </c>
      <c r="B13744" s="2" t="str">
        <f>HYPERLINK("http://ts.21cn.com/tousu/show/id/1345199","取消支付无用金豆，若不取消支付无用金豆，我将继续投诉至到取消")</f>
        <v>取消支付无用金豆，若不取消支付无用金豆，我将继续投诉至到取消</v>
      </c>
      <c r="C13744" s="2" t="s">
        <v>9</v>
      </c>
      <c r="D13744" s="2" t="s">
        <v>10</v>
      </c>
      <c r="E13744" s="2" t="str">
        <f>HYPERLINK("http://ts.21cn.com/tousu/show/id/1345199","http://ts.21cn.com/tousu/show/id/1345199")</f>
        <v>http://ts.21cn.com/tousu/show/id/1345199</v>
      </c>
      <c r="F13744" s="2" t="s">
        <v>11</v>
      </c>
      <c r="G13744" s="2" t="s">
        <v>17139</v>
      </c>
      <c r="H13744" s="2" t="s">
        <v>17140</v>
      </c>
    </row>
    <row r="13745" spans="1:8" ht="25.05" customHeight="1" x14ac:dyDescent="0.25">
      <c r="A13745" s="2" t="s">
        <v>8</v>
      </c>
      <c r="B13745" s="2" t="str">
        <f>HYPERLINK("http://ts.21cn.com/tousu/show/id/1345249","交通银行催收侮辱人")</f>
        <v>交通银行催收侮辱人</v>
      </c>
      <c r="C13745" s="2" t="s">
        <v>9</v>
      </c>
      <c r="D13745" s="2" t="s">
        <v>10</v>
      </c>
      <c r="E13745" s="2" t="str">
        <f>HYPERLINK("http://ts.21cn.com/tousu/show/id/1345249","http://ts.21cn.com/tousu/show/id/1345249")</f>
        <v>http://ts.21cn.com/tousu/show/id/1345249</v>
      </c>
      <c r="F13745" s="2" t="s">
        <v>11</v>
      </c>
      <c r="G13745" s="2" t="s">
        <v>17137</v>
      </c>
      <c r="H13745" s="2" t="s">
        <v>17138</v>
      </c>
    </row>
    <row r="13746" spans="1:8" ht="25.05" customHeight="1" x14ac:dyDescent="0.25">
      <c r="A13746" s="2" t="s">
        <v>8</v>
      </c>
      <c r="B13746" s="2" t="str">
        <f>HYPERLINK("http://ts.21cn.com/tousu/show/id/1345250","东莞世纪佳缘中天大厦九楼门面店")</f>
        <v>东莞世纪佳缘中天大厦九楼门面店</v>
      </c>
      <c r="C13746" s="2" t="s">
        <v>9</v>
      </c>
      <c r="D13746" s="2" t="s">
        <v>10</v>
      </c>
      <c r="E13746" s="2" t="str">
        <f>HYPERLINK("http://ts.21cn.com/tousu/show/id/1345250","http://ts.21cn.com/tousu/show/id/1345250")</f>
        <v>http://ts.21cn.com/tousu/show/id/1345250</v>
      </c>
      <c r="F13746" s="2" t="s">
        <v>11</v>
      </c>
      <c r="G13746" s="2" t="s">
        <v>17135</v>
      </c>
      <c r="H13746" s="2" t="s">
        <v>17136</v>
      </c>
    </row>
    <row r="13747" spans="1:8" ht="25.05" customHeight="1" x14ac:dyDescent="0.25">
      <c r="A13747" s="2" t="s">
        <v>8</v>
      </c>
      <c r="B13747" s="2" t="str">
        <f>HYPERLINK("http://ts.21cn.com/tousu/show/id/1345252","闪电借款高额逾期费")</f>
        <v>闪电借款高额逾期费</v>
      </c>
      <c r="C13747" s="2" t="s">
        <v>34</v>
      </c>
      <c r="D13747" s="2" t="s">
        <v>10</v>
      </c>
      <c r="E13747" s="2" t="str">
        <f>HYPERLINK("http://ts.21cn.com/tousu/show/id/1345252","http://ts.21cn.com/tousu/show/id/1345252")</f>
        <v>http://ts.21cn.com/tousu/show/id/1345252</v>
      </c>
      <c r="F13747" s="2" t="s">
        <v>11</v>
      </c>
      <c r="G13747" s="2" t="s">
        <v>17133</v>
      </c>
      <c r="H13747" s="2" t="s">
        <v>17134</v>
      </c>
    </row>
    <row r="13748" spans="1:8" ht="25.05" customHeight="1" x14ac:dyDescent="0.25">
      <c r="A13748" s="2" t="s">
        <v>8</v>
      </c>
      <c r="B13748" s="2" t="str">
        <f>HYPERLINK("http://ts.21cn.com/tousu/show/id/1345255","网贷催收群发短信侵犯个人隐私")</f>
        <v>网贷催收群发短信侵犯个人隐私</v>
      </c>
      <c r="C13748" s="2" t="s">
        <v>9</v>
      </c>
      <c r="D13748" s="2" t="s">
        <v>10</v>
      </c>
      <c r="E13748" s="2" t="str">
        <f>HYPERLINK("http://ts.21cn.com/tousu/show/id/1345255","http://ts.21cn.com/tousu/show/id/1345255")</f>
        <v>http://ts.21cn.com/tousu/show/id/1345255</v>
      </c>
      <c r="F13748" s="2" t="s">
        <v>11</v>
      </c>
      <c r="G13748" s="2" t="s">
        <v>17131</v>
      </c>
      <c r="H13748" s="2" t="s">
        <v>17132</v>
      </c>
    </row>
    <row r="13749" spans="1:8" ht="25.05" customHeight="1" x14ac:dyDescent="0.25">
      <c r="A13749" s="2" t="s">
        <v>8</v>
      </c>
      <c r="B13749" s="2" t="str">
        <f>HYPERLINK("http://ts.21cn.com/tousu/show/id/1345256","携趣网络技术上海有限公司存在强制欺诈行为")</f>
        <v>携趣网络技术上海有限公司存在强制欺诈行为</v>
      </c>
      <c r="C13749" s="2" t="s">
        <v>9</v>
      </c>
      <c r="D13749" s="2" t="s">
        <v>10</v>
      </c>
      <c r="E13749" s="2" t="str">
        <f>HYPERLINK("http://ts.21cn.com/tousu/show/id/1345256","http://ts.21cn.com/tousu/show/id/1345256")</f>
        <v>http://ts.21cn.com/tousu/show/id/1345256</v>
      </c>
      <c r="F13749" s="2" t="s">
        <v>11</v>
      </c>
      <c r="G13749" s="2" t="s">
        <v>17129</v>
      </c>
      <c r="H13749" s="2" t="s">
        <v>17130</v>
      </c>
    </row>
    <row r="13750" spans="1:8" ht="25.05" customHeight="1" x14ac:dyDescent="0.25">
      <c r="A13750" s="2" t="s">
        <v>8</v>
      </c>
      <c r="B13750" s="2" t="str">
        <f>HYPERLINK("http://ts.21cn.com/tousu/show/id/1345258","我逾期没有钱还款客服给我打电话要求明天12点前还进去我说我明天一定有钱到账但是不能保证12点前还到，就立马挂电话打我通讯")</f>
        <v>我逾期没有钱还款客服给我打电话要求明天12点前还进去我说我明天一定有钱到账但是不能保证12点前还到，就立马挂电话打我通讯</v>
      </c>
      <c r="C13750" s="2" t="s">
        <v>9</v>
      </c>
      <c r="D13750" s="2" t="s">
        <v>10</v>
      </c>
      <c r="E13750" s="2" t="str">
        <f>HYPERLINK("http://ts.21cn.com/tousu/show/id/1345258","http://ts.21cn.com/tousu/show/id/1345258")</f>
        <v>http://ts.21cn.com/tousu/show/id/1345258</v>
      </c>
      <c r="F13750" s="2" t="s">
        <v>11</v>
      </c>
      <c r="G13750" s="2" t="s">
        <v>17127</v>
      </c>
      <c r="H13750" s="2" t="s">
        <v>17128</v>
      </c>
    </row>
    <row r="13751" spans="1:8" ht="25.05" customHeight="1" x14ac:dyDescent="0.25">
      <c r="A13751" s="2" t="s">
        <v>8</v>
      </c>
      <c r="B13751" s="2" t="str">
        <f>HYPERLINK("http://ts.21cn.com/tousu/show/id/1345259","暴力催收，打电话，给家里人亲戚朋友打电话，发短信")</f>
        <v>暴力催收，打电话，给家里人亲戚朋友打电话，发短信</v>
      </c>
      <c r="C13751" s="2" t="s">
        <v>9</v>
      </c>
      <c r="D13751" s="2" t="s">
        <v>10</v>
      </c>
      <c r="E13751" s="2" t="str">
        <f>HYPERLINK("http://ts.21cn.com/tousu/show/id/1345259","http://ts.21cn.com/tousu/show/id/1345259")</f>
        <v>http://ts.21cn.com/tousu/show/id/1345259</v>
      </c>
      <c r="F13751" s="2" t="s">
        <v>11</v>
      </c>
      <c r="G13751" s="2" t="s">
        <v>17125</v>
      </c>
      <c r="H13751" s="2" t="s">
        <v>17126</v>
      </c>
    </row>
    <row r="13752" spans="1:8" ht="25.05" customHeight="1" x14ac:dyDescent="0.25">
      <c r="A13752" s="2" t="s">
        <v>8</v>
      </c>
      <c r="B13752" s="2" t="str">
        <f>HYPERLINK("http://ts.21cn.com/tousu/show/id/1345261","中国联通不给接网")</f>
        <v>中国联通不给接网</v>
      </c>
      <c r="C13752" s="2" t="s">
        <v>34</v>
      </c>
      <c r="D13752" s="2" t="s">
        <v>10</v>
      </c>
      <c r="E13752" s="2" t="str">
        <f>HYPERLINK("http://ts.21cn.com/tousu/show/id/1345261","http://ts.21cn.com/tousu/show/id/1345261")</f>
        <v>http://ts.21cn.com/tousu/show/id/1345261</v>
      </c>
      <c r="F13752" s="2" t="s">
        <v>11</v>
      </c>
      <c r="G13752" s="2" t="s">
        <v>17123</v>
      </c>
      <c r="H13752" s="2" t="s">
        <v>17124</v>
      </c>
    </row>
    <row r="13753" spans="1:8" ht="25.05" customHeight="1" x14ac:dyDescent="0.25">
      <c r="A13753" s="2" t="s">
        <v>8</v>
      </c>
      <c r="B13753" s="2" t="str">
        <f>HYPERLINK("http://ts.21cn.com/tousu/show/id/1345262","（特约）信诚入金")</f>
        <v>（特约）信诚入金</v>
      </c>
      <c r="C13753" s="2" t="s">
        <v>9</v>
      </c>
      <c r="D13753" s="2" t="s">
        <v>10</v>
      </c>
      <c r="E13753" s="2" t="str">
        <f>HYPERLINK("http://ts.21cn.com/tousu/show/id/1345262","http://ts.21cn.com/tousu/show/id/1345262")</f>
        <v>http://ts.21cn.com/tousu/show/id/1345262</v>
      </c>
      <c r="F13753" s="2" t="s">
        <v>11</v>
      </c>
      <c r="G13753" s="2" t="s">
        <v>17121</v>
      </c>
      <c r="H13753" s="2" t="s">
        <v>17122</v>
      </c>
    </row>
    <row r="13754" spans="1:8" ht="25.05" customHeight="1" x14ac:dyDescent="0.25">
      <c r="A13754" s="2" t="s">
        <v>8</v>
      </c>
      <c r="B13754" s="2" t="str">
        <f>HYPERLINK("http://ts.21cn.com/tousu/show/id/1345264","退还保险费用")</f>
        <v>退还保险费用</v>
      </c>
      <c r="C13754" s="2" t="s">
        <v>9</v>
      </c>
      <c r="D13754" s="2" t="s">
        <v>10</v>
      </c>
      <c r="E13754" s="2" t="str">
        <f>HYPERLINK("http://ts.21cn.com/tousu/show/id/1345264","http://ts.21cn.com/tousu/show/id/1345264")</f>
        <v>http://ts.21cn.com/tousu/show/id/1345264</v>
      </c>
      <c r="F13754" s="2" t="s">
        <v>11</v>
      </c>
      <c r="G13754" s="2" t="s">
        <v>17119</v>
      </c>
      <c r="H13754" s="2" t="s">
        <v>17120</v>
      </c>
    </row>
    <row r="13755" spans="1:8" ht="25.05" customHeight="1" x14ac:dyDescent="0.25">
      <c r="A13755" s="2" t="s">
        <v>8</v>
      </c>
      <c r="B13755" s="2" t="str">
        <f>HYPERLINK("http://ts.21cn.com/tousu/show/id/1345265","骚扰亲朋好友，爆通讯录")</f>
        <v>骚扰亲朋好友，爆通讯录</v>
      </c>
      <c r="C13755" s="2" t="s">
        <v>9</v>
      </c>
      <c r="D13755" s="2" t="s">
        <v>10</v>
      </c>
      <c r="E13755" s="2" t="str">
        <f>HYPERLINK("http://ts.21cn.com/tousu/show/id/1345265","http://ts.21cn.com/tousu/show/id/1345265")</f>
        <v>http://ts.21cn.com/tousu/show/id/1345265</v>
      </c>
      <c r="F13755" s="2" t="s">
        <v>11</v>
      </c>
      <c r="G13755" s="2" t="s">
        <v>17117</v>
      </c>
      <c r="H13755" s="2" t="s">
        <v>17118</v>
      </c>
    </row>
    <row r="13756" spans="1:8" ht="25.05" customHeight="1" x14ac:dyDescent="0.25">
      <c r="A13756" s="2" t="s">
        <v>8</v>
      </c>
      <c r="B13756" s="2" t="str">
        <f>HYPERLINK("http://ts.21cn.com/tousu/show/id/1345266","暴力催收，电话威胁，骚扰亲朋好友，利息高，")</f>
        <v>暴力催收，电话威胁，骚扰亲朋好友，利息高，</v>
      </c>
      <c r="C13756" s="2" t="s">
        <v>9</v>
      </c>
      <c r="D13756" s="2" t="s">
        <v>10</v>
      </c>
      <c r="E13756" s="2" t="str">
        <f>HYPERLINK("http://ts.21cn.com/tousu/show/id/1345266","http://ts.21cn.com/tousu/show/id/1345266")</f>
        <v>http://ts.21cn.com/tousu/show/id/1345266</v>
      </c>
      <c r="F13756" s="2" t="s">
        <v>11</v>
      </c>
      <c r="G13756" s="2" t="s">
        <v>17115</v>
      </c>
      <c r="H13756" s="2" t="s">
        <v>17116</v>
      </c>
    </row>
    <row r="13757" spans="1:8" ht="25.05" customHeight="1" x14ac:dyDescent="0.25">
      <c r="A13757" s="2" t="s">
        <v>8</v>
      </c>
      <c r="B13757" s="2" t="str">
        <f>HYPERLINK("http://ts.21cn.com/tousu/show/id/1345267","月光侠分期合同利息与实际利息不符，催收手段极其毒辣")</f>
        <v>月光侠分期合同利息与实际利息不符，催收手段极其毒辣</v>
      </c>
      <c r="C13757" s="2" t="s">
        <v>9</v>
      </c>
      <c r="D13757" s="2" t="s">
        <v>10</v>
      </c>
      <c r="E13757" s="2" t="str">
        <f>HYPERLINK("http://ts.21cn.com/tousu/show/id/1345267","http://ts.21cn.com/tousu/show/id/1345267")</f>
        <v>http://ts.21cn.com/tousu/show/id/1345267</v>
      </c>
      <c r="F13757" s="2" t="s">
        <v>11</v>
      </c>
      <c r="G13757" s="2" t="s">
        <v>17113</v>
      </c>
      <c r="H13757" s="2" t="s">
        <v>17114</v>
      </c>
    </row>
    <row r="13758" spans="1:8" ht="25.05" customHeight="1" x14ac:dyDescent="0.25">
      <c r="A13758" s="2" t="s">
        <v>8</v>
      </c>
      <c r="B13758" s="2" t="str">
        <f>HYPERLINK("http://ts.21cn.com/tousu/show/id/1345268","未借款遇到催收")</f>
        <v>未借款遇到催收</v>
      </c>
      <c r="C13758" s="2" t="s">
        <v>9</v>
      </c>
      <c r="D13758" s="2" t="s">
        <v>10</v>
      </c>
      <c r="E13758" s="2" t="str">
        <f>HYPERLINK("http://ts.21cn.com/tousu/show/id/1345268","http://ts.21cn.com/tousu/show/id/1345268")</f>
        <v>http://ts.21cn.com/tousu/show/id/1345268</v>
      </c>
      <c r="F13758" s="2" t="s">
        <v>11</v>
      </c>
      <c r="G13758" s="2" t="s">
        <v>17111</v>
      </c>
      <c r="H13758" s="2" t="s">
        <v>17112</v>
      </c>
    </row>
    <row r="13759" spans="1:8" ht="25.05" customHeight="1" x14ac:dyDescent="0.25">
      <c r="A13759" s="2" t="s">
        <v>8</v>
      </c>
      <c r="B13759" s="2" t="str">
        <f>HYPERLINK("http://ts.21cn.com/tousu/show/id/1345269","捷信金融还款日期还没到就恐吓借款人")</f>
        <v>捷信金融还款日期还没到就恐吓借款人</v>
      </c>
      <c r="C13759" s="2" t="s">
        <v>9</v>
      </c>
      <c r="D13759" s="2" t="s">
        <v>10</v>
      </c>
      <c r="E13759" s="2" t="str">
        <f>HYPERLINK("http://ts.21cn.com/tousu/show/id/1345269","http://ts.21cn.com/tousu/show/id/1345269")</f>
        <v>http://ts.21cn.com/tousu/show/id/1345269</v>
      </c>
      <c r="F13759" s="2" t="s">
        <v>11</v>
      </c>
      <c r="G13759" s="2" t="s">
        <v>17109</v>
      </c>
      <c r="H13759" s="2" t="s">
        <v>17110</v>
      </c>
    </row>
    <row r="13760" spans="1:8" ht="25.05" customHeight="1" x14ac:dyDescent="0.25">
      <c r="A13760" s="2" t="s">
        <v>8</v>
      </c>
      <c r="B13760" s="2" t="str">
        <f>HYPERLINK("http://ts.21cn.com/tousu/show/id/1345270","宜贷分期高额利息")</f>
        <v>宜贷分期高额利息</v>
      </c>
      <c r="C13760" s="2" t="s">
        <v>9</v>
      </c>
      <c r="D13760" s="2" t="s">
        <v>10</v>
      </c>
      <c r="E13760" s="2" t="str">
        <f>HYPERLINK("http://ts.21cn.com/tousu/show/id/1345270","http://ts.21cn.com/tousu/show/id/1345270")</f>
        <v>http://ts.21cn.com/tousu/show/id/1345270</v>
      </c>
      <c r="F13760" s="2" t="s">
        <v>11</v>
      </c>
      <c r="G13760" s="2" t="s">
        <v>17107</v>
      </c>
      <c r="H13760" s="2" t="s">
        <v>17108</v>
      </c>
    </row>
    <row r="13761" spans="1:8" ht="25.05" customHeight="1" x14ac:dyDescent="0.25">
      <c r="A13761" s="2" t="s">
        <v>8</v>
      </c>
      <c r="B13761" s="2" t="str">
        <f>HYPERLINK("http://ts.21cn.com/tousu/show/id/1345272","造艺技术聚福钱包盗刷银行卡")</f>
        <v>造艺技术聚福钱包盗刷银行卡</v>
      </c>
      <c r="C13761" s="2" t="s">
        <v>9</v>
      </c>
      <c r="D13761" s="2" t="s">
        <v>10</v>
      </c>
      <c r="E13761" s="2" t="str">
        <f>HYPERLINK("http://ts.21cn.com/tousu/show/id/1345272","http://ts.21cn.com/tousu/show/id/1345272")</f>
        <v>http://ts.21cn.com/tousu/show/id/1345272</v>
      </c>
      <c r="F13761" s="2" t="s">
        <v>11</v>
      </c>
      <c r="G13761" s="2" t="s">
        <v>17105</v>
      </c>
      <c r="H13761" s="2" t="s">
        <v>17106</v>
      </c>
    </row>
    <row r="13762" spans="1:8" ht="25.05" customHeight="1" x14ac:dyDescent="0.25">
      <c r="A13762" s="2" t="s">
        <v>8</v>
      </c>
      <c r="B13762" s="2" t="str">
        <f>HYPERLINK("http://ts.21cn.com/tousu/show/id/1345274","涉嫌违规欺诈申请退款")</f>
        <v>涉嫌违规欺诈申请退款</v>
      </c>
      <c r="C13762" s="2" t="s">
        <v>9</v>
      </c>
      <c r="D13762" s="2" t="s">
        <v>10</v>
      </c>
      <c r="E13762" s="2" t="str">
        <f>HYPERLINK("http://ts.21cn.com/tousu/show/id/1345274","http://ts.21cn.com/tousu/show/id/1345274")</f>
        <v>http://ts.21cn.com/tousu/show/id/1345274</v>
      </c>
      <c r="F13762" s="2" t="s">
        <v>11</v>
      </c>
      <c r="G13762" s="2" t="s">
        <v>17103</v>
      </c>
      <c r="H13762" s="2" t="s">
        <v>17104</v>
      </c>
    </row>
    <row r="13763" spans="1:8" ht="25.05" customHeight="1" x14ac:dyDescent="0.25">
      <c r="A13763" s="2" t="s">
        <v>8</v>
      </c>
      <c r="B13763" s="2" t="str">
        <f>HYPERLINK("http://ts.21cn.com/tousu/show/id/1345273","厦门快乐时代有限公司")</f>
        <v>厦门快乐时代有限公司</v>
      </c>
      <c r="C13763" s="2" t="s">
        <v>9</v>
      </c>
      <c r="D13763" s="2" t="s">
        <v>10</v>
      </c>
      <c r="E13763" s="2" t="str">
        <f>HYPERLINK("http://ts.21cn.com/tousu/show/id/1345273","http://ts.21cn.com/tousu/show/id/1345273")</f>
        <v>http://ts.21cn.com/tousu/show/id/1345273</v>
      </c>
      <c r="F13763" s="2" t="s">
        <v>11</v>
      </c>
      <c r="G13763" s="2" t="s">
        <v>17101</v>
      </c>
      <c r="H13763" s="2" t="s">
        <v>17102</v>
      </c>
    </row>
    <row r="13764" spans="1:8" ht="25.05" customHeight="1" x14ac:dyDescent="0.25">
      <c r="A13764" s="2" t="s">
        <v>8</v>
      </c>
      <c r="B13764" s="2" t="str">
        <f>HYPERLINK("http://ts.21cn.com/tousu/show/id/1345275","淘集集到现在还没有给我处理呢，钱一直拖着，产品和保证金两个一起1万快左右，本身我就没有钱呢，这样拖着得不到绝决")</f>
        <v>淘集集到现在还没有给我处理呢，钱一直拖着，产品和保证金两个一起1万快左右，本身我就没有钱呢，这样拖着得不到绝决</v>
      </c>
      <c r="C13764" s="2" t="s">
        <v>9</v>
      </c>
      <c r="D13764" s="2" t="s">
        <v>10</v>
      </c>
      <c r="E13764" s="2" t="str">
        <f>HYPERLINK("http://ts.21cn.com/tousu/show/id/1345275","http://ts.21cn.com/tousu/show/id/1345275")</f>
        <v>http://ts.21cn.com/tousu/show/id/1345275</v>
      </c>
      <c r="F13764" s="2" t="s">
        <v>11</v>
      </c>
      <c r="G13764" s="2" t="s">
        <v>17099</v>
      </c>
      <c r="H13764" s="2" t="s">
        <v>17100</v>
      </c>
    </row>
    <row r="13765" spans="1:8" ht="25.05" customHeight="1" x14ac:dyDescent="0.25">
      <c r="A13765" s="2" t="s">
        <v>8</v>
      </c>
      <c r="B13765" s="2" t="str">
        <f>HYPERLINK("http://ts.21cn.com/tousu/show/id/1345276","华夏信财暴力催收")</f>
        <v>华夏信财暴力催收</v>
      </c>
      <c r="C13765" s="2" t="s">
        <v>9</v>
      </c>
      <c r="D13765" s="2" t="s">
        <v>10</v>
      </c>
      <c r="E13765" s="2" t="str">
        <f>HYPERLINK("http://ts.21cn.com/tousu/show/id/1345276","http://ts.21cn.com/tousu/show/id/1345276")</f>
        <v>http://ts.21cn.com/tousu/show/id/1345276</v>
      </c>
      <c r="F13765" s="2" t="s">
        <v>11</v>
      </c>
      <c r="G13765" s="2" t="s">
        <v>17097</v>
      </c>
      <c r="H13765" s="2" t="s">
        <v>17098</v>
      </c>
    </row>
    <row r="13766" spans="1:8" ht="25.05" customHeight="1" x14ac:dyDescent="0.25">
      <c r="A13766" s="2" t="s">
        <v>8</v>
      </c>
      <c r="B13766" s="2" t="str">
        <f>HYPERLINK("http://ts.21cn.com/tousu/show/id/1345277","玖富万卡黑社会")</f>
        <v>玖富万卡黑社会</v>
      </c>
      <c r="C13766" s="2" t="s">
        <v>9</v>
      </c>
      <c r="D13766" s="2" t="s">
        <v>10</v>
      </c>
      <c r="E13766" s="2" t="str">
        <f>HYPERLINK("http://ts.21cn.com/tousu/show/id/1345277","http://ts.21cn.com/tousu/show/id/1345277")</f>
        <v>http://ts.21cn.com/tousu/show/id/1345277</v>
      </c>
      <c r="F13766" s="2" t="s">
        <v>11</v>
      </c>
      <c r="G13766" s="2" t="s">
        <v>17095</v>
      </c>
      <c r="H13766" s="2" t="s">
        <v>17096</v>
      </c>
    </row>
    <row r="13767" spans="1:8" ht="25.05" customHeight="1" x14ac:dyDescent="0.25">
      <c r="A13767" s="2" t="s">
        <v>8</v>
      </c>
      <c r="B13767" s="2" t="str">
        <f>HYPERLINK("http://ts.21cn.com/tousu/show/id/1345278","泄露家人朋友隐私")</f>
        <v>泄露家人朋友隐私</v>
      </c>
      <c r="C13767" s="2" t="s">
        <v>9</v>
      </c>
      <c r="D13767" s="2" t="s">
        <v>10</v>
      </c>
      <c r="E13767" s="2" t="str">
        <f>HYPERLINK("http://ts.21cn.com/tousu/show/id/1345278","http://ts.21cn.com/tousu/show/id/1345278")</f>
        <v>http://ts.21cn.com/tousu/show/id/1345278</v>
      </c>
      <c r="F13767" s="2" t="s">
        <v>11</v>
      </c>
      <c r="G13767" s="2" t="s">
        <v>17093</v>
      </c>
      <c r="H13767" s="2" t="s">
        <v>17094</v>
      </c>
    </row>
    <row r="13768" spans="1:8" ht="25.05" customHeight="1" x14ac:dyDescent="0.25">
      <c r="A13768" s="2" t="s">
        <v>8</v>
      </c>
      <c r="B13768" s="2" t="str">
        <f>HYPERLINK("http://ts.21cn.com/tousu/show/id/1345280","中国银联股份有限公司广东分公司为违法高利贷闪电借款违规提供支付渠道")</f>
        <v>中国银联股份有限公司广东分公司为违法高利贷闪电借款违规提供支付渠道</v>
      </c>
      <c r="C13768" s="2" t="s">
        <v>9</v>
      </c>
      <c r="D13768" s="2" t="s">
        <v>10</v>
      </c>
      <c r="E13768" s="2" t="str">
        <f>HYPERLINK("http://ts.21cn.com/tousu/show/id/1345280","http://ts.21cn.com/tousu/show/id/1345280")</f>
        <v>http://ts.21cn.com/tousu/show/id/1345280</v>
      </c>
      <c r="F13768" s="2" t="s">
        <v>11</v>
      </c>
      <c r="G13768" s="2" t="s">
        <v>17091</v>
      </c>
      <c r="H13768" s="2" t="s">
        <v>17092</v>
      </c>
    </row>
    <row r="13769" spans="1:8" ht="25.05" customHeight="1" x14ac:dyDescent="0.25">
      <c r="A13769" s="2" t="s">
        <v>8</v>
      </c>
      <c r="B13769" s="2" t="str">
        <f>HYPERLINK("http://ts.21cn.com/tousu/show/id/1345282","招行信用卡非法追贷")</f>
        <v>招行信用卡非法追贷</v>
      </c>
      <c r="C13769" s="2" t="s">
        <v>9</v>
      </c>
      <c r="D13769" s="2" t="s">
        <v>10</v>
      </c>
      <c r="E13769" s="2" t="str">
        <f>HYPERLINK("http://ts.21cn.com/tousu/show/id/1345282","http://ts.21cn.com/tousu/show/id/1345282")</f>
        <v>http://ts.21cn.com/tousu/show/id/1345282</v>
      </c>
      <c r="F13769" s="2" t="s">
        <v>11</v>
      </c>
      <c r="G13769" s="2" t="s">
        <v>17089</v>
      </c>
      <c r="H13769" s="2" t="s">
        <v>17090</v>
      </c>
    </row>
    <row r="13770" spans="1:8" ht="25.05" customHeight="1" x14ac:dyDescent="0.25">
      <c r="A13770" s="2" t="s">
        <v>8</v>
      </c>
      <c r="B13770" s="2" t="str">
        <f>HYPERLINK("http://ts.21cn.com/tousu/show/id/1345281","滴滴平台不派单给我")</f>
        <v>滴滴平台不派单给我</v>
      </c>
      <c r="C13770" s="2" t="s">
        <v>9</v>
      </c>
      <c r="D13770" s="2" t="s">
        <v>10</v>
      </c>
      <c r="E13770" s="2" t="str">
        <f>HYPERLINK("http://ts.21cn.com/tousu/show/id/1345281","http://ts.21cn.com/tousu/show/id/1345281")</f>
        <v>http://ts.21cn.com/tousu/show/id/1345281</v>
      </c>
      <c r="F13770" s="2" t="s">
        <v>11</v>
      </c>
      <c r="G13770" s="2" t="s">
        <v>17087</v>
      </c>
      <c r="H13770" s="2" t="s">
        <v>17088</v>
      </c>
    </row>
    <row r="13771" spans="1:8" ht="25.05" customHeight="1" x14ac:dyDescent="0.25">
      <c r="A13771" s="2" t="s">
        <v>8</v>
      </c>
      <c r="B13771" s="2" t="str">
        <f>HYPERLINK("http://ts.21cn.com/tousu/show/id/1345283","马上消费金融，暴力催收，群发短信，恐吓催收")</f>
        <v>马上消费金融，暴力催收，群发短信，恐吓催收</v>
      </c>
      <c r="C13771" s="2" t="s">
        <v>9</v>
      </c>
      <c r="D13771" s="2" t="s">
        <v>10</v>
      </c>
      <c r="E13771" s="2" t="str">
        <f>HYPERLINK("http://ts.21cn.com/tousu/show/id/1345283","http://ts.21cn.com/tousu/show/id/1345283")</f>
        <v>http://ts.21cn.com/tousu/show/id/1345283</v>
      </c>
      <c r="F13771" s="2" t="s">
        <v>11</v>
      </c>
      <c r="G13771" s="2" t="s">
        <v>17085</v>
      </c>
      <c r="H13771" s="2" t="s">
        <v>17086</v>
      </c>
    </row>
    <row r="13772" spans="1:8" ht="25.05" customHeight="1" x14ac:dyDescent="0.25">
      <c r="A13772" s="2" t="s">
        <v>8</v>
      </c>
      <c r="B13772" s="2" t="str">
        <f>HYPERLINK("http://ts.21cn.com/tousu/show/id/1345284","捷信还不起利息了")</f>
        <v>捷信还不起利息了</v>
      </c>
      <c r="C13772" s="2" t="s">
        <v>34</v>
      </c>
      <c r="D13772" s="2" t="s">
        <v>10</v>
      </c>
      <c r="E13772" s="2" t="str">
        <f>HYPERLINK("http://ts.21cn.com/tousu/show/id/1345284","http://ts.21cn.com/tousu/show/id/1345284")</f>
        <v>http://ts.21cn.com/tousu/show/id/1345284</v>
      </c>
      <c r="F13772" s="2" t="s">
        <v>11</v>
      </c>
      <c r="G13772" s="2" t="s">
        <v>17084</v>
      </c>
      <c r="H13772" s="2" t="s">
        <v>16796</v>
      </c>
    </row>
    <row r="13773" spans="1:8" ht="25.05" customHeight="1" x14ac:dyDescent="0.25">
      <c r="A13773" s="2" t="s">
        <v>8</v>
      </c>
      <c r="B13773" s="2" t="str">
        <f>HYPERLINK("http://ts.21cn.com/tousu/show/id/1345286","造艺科技旗下的聚富分期恶意收取299元，信征查询费，要求退回299元")</f>
        <v>造艺科技旗下的聚富分期恶意收取299元，信征查询费，要求退回299元</v>
      </c>
      <c r="C13773" s="2" t="s">
        <v>9</v>
      </c>
      <c r="D13773" s="2" t="s">
        <v>10</v>
      </c>
      <c r="E13773" s="2" t="str">
        <f>HYPERLINK("http://ts.21cn.com/tousu/show/id/1345286","http://ts.21cn.com/tousu/show/id/1345286")</f>
        <v>http://ts.21cn.com/tousu/show/id/1345286</v>
      </c>
      <c r="F13773" s="2" t="s">
        <v>11</v>
      </c>
      <c r="G13773" s="2" t="s">
        <v>17082</v>
      </c>
      <c r="H13773" s="2" t="s">
        <v>17083</v>
      </c>
    </row>
    <row r="13774" spans="1:8" ht="25.05" customHeight="1" x14ac:dyDescent="0.25">
      <c r="A13774" s="2" t="s">
        <v>8</v>
      </c>
      <c r="B13774" s="2" t="str">
        <f>HYPERLINK("http://ts.21cn.com/tousu/show/id/1345287","建行还我被盗刷的钱")</f>
        <v>建行还我被盗刷的钱</v>
      </c>
      <c r="C13774" s="2" t="s">
        <v>9</v>
      </c>
      <c r="D13774" s="2" t="s">
        <v>10</v>
      </c>
      <c r="E13774" s="2" t="str">
        <f>HYPERLINK("http://ts.21cn.com/tousu/show/id/1345287","http://ts.21cn.com/tousu/show/id/1345287")</f>
        <v>http://ts.21cn.com/tousu/show/id/1345287</v>
      </c>
      <c r="F13774" s="2" t="s">
        <v>11</v>
      </c>
      <c r="G13774" s="2" t="s">
        <v>17080</v>
      </c>
      <c r="H13774" s="2" t="s">
        <v>17081</v>
      </c>
    </row>
    <row r="13775" spans="1:8" ht="25.05" customHeight="1" x14ac:dyDescent="0.25">
      <c r="A13775" s="2" t="s">
        <v>8</v>
      </c>
      <c r="B13775" s="2" t="str">
        <f>HYPERLINK("http://ts.21cn.com/tousu/show/id/1345288","骚扰")</f>
        <v>骚扰</v>
      </c>
      <c r="C13775" s="2" t="s">
        <v>9</v>
      </c>
      <c r="D13775" s="2" t="s">
        <v>10</v>
      </c>
      <c r="E13775" s="2" t="str">
        <f>HYPERLINK("http://ts.21cn.com/tousu/show/id/1345288","http://ts.21cn.com/tousu/show/id/1345288")</f>
        <v>http://ts.21cn.com/tousu/show/id/1345288</v>
      </c>
      <c r="F13775" s="2" t="s">
        <v>11</v>
      </c>
      <c r="G13775" s="2" t="s">
        <v>17078</v>
      </c>
      <c r="H13775" s="2" t="s">
        <v>17079</v>
      </c>
    </row>
    <row r="13776" spans="1:8" ht="25.05" customHeight="1" x14ac:dyDescent="0.25">
      <c r="A13776" s="2" t="s">
        <v>8</v>
      </c>
      <c r="B13776" s="2" t="str">
        <f>HYPERLINK("http://ts.21cn.com/tousu/show/id/1345290","对还贷人的欺诈")</f>
        <v>对还贷人的欺诈</v>
      </c>
      <c r="C13776" s="2" t="s">
        <v>9</v>
      </c>
      <c r="D13776" s="2" t="s">
        <v>10</v>
      </c>
      <c r="E13776" s="2" t="str">
        <f>HYPERLINK("http://ts.21cn.com/tousu/show/id/1345290","http://ts.21cn.com/tousu/show/id/1345290")</f>
        <v>http://ts.21cn.com/tousu/show/id/1345290</v>
      </c>
      <c r="F13776" s="2" t="s">
        <v>11</v>
      </c>
      <c r="G13776" s="2" t="s">
        <v>17076</v>
      </c>
      <c r="H13776" s="2" t="s">
        <v>17077</v>
      </c>
    </row>
    <row r="13777" spans="1:8" ht="25.05" customHeight="1" x14ac:dyDescent="0.25">
      <c r="A13777" s="2" t="s">
        <v>8</v>
      </c>
      <c r="B13777" s="2" t="str">
        <f>HYPERLINK("http://ts.21cn.com/tousu/show/id/1345289","新浪分期暴力催收")</f>
        <v>新浪分期暴力催收</v>
      </c>
      <c r="C13777" s="2" t="s">
        <v>9</v>
      </c>
      <c r="D13777" s="2" t="s">
        <v>10</v>
      </c>
      <c r="E13777" s="2" t="str">
        <f>HYPERLINK("http://ts.21cn.com/tousu/show/id/1345289","http://ts.21cn.com/tousu/show/id/1345289")</f>
        <v>http://ts.21cn.com/tousu/show/id/1345289</v>
      </c>
      <c r="F13777" s="2" t="s">
        <v>11</v>
      </c>
      <c r="G13777" s="2" t="s">
        <v>17074</v>
      </c>
      <c r="H13777" s="2" t="s">
        <v>17075</v>
      </c>
    </row>
    <row r="13778" spans="1:8" ht="25.05" customHeight="1" x14ac:dyDescent="0.25">
      <c r="A13778" s="2" t="s">
        <v>8</v>
      </c>
      <c r="B13778" s="2" t="str">
        <f>HYPERLINK("http://ts.21cn.com/tousu/show/id/1345291","百事普惠恶意扣款")</f>
        <v>百事普惠恶意扣款</v>
      </c>
      <c r="C13778" s="2" t="s">
        <v>9</v>
      </c>
      <c r="D13778" s="2" t="s">
        <v>10</v>
      </c>
      <c r="E13778" s="2" t="str">
        <f>HYPERLINK("http://ts.21cn.com/tousu/show/id/1345291","http://ts.21cn.com/tousu/show/id/1345291")</f>
        <v>http://ts.21cn.com/tousu/show/id/1345291</v>
      </c>
      <c r="F13778" s="2" t="s">
        <v>11</v>
      </c>
      <c r="G13778" s="2" t="s">
        <v>17072</v>
      </c>
      <c r="H13778" s="2" t="s">
        <v>17073</v>
      </c>
    </row>
    <row r="13779" spans="1:8" ht="25.05" customHeight="1" x14ac:dyDescent="0.25">
      <c r="A13779" s="2" t="s">
        <v>8</v>
      </c>
      <c r="B13779" s="2" t="str">
        <f>HYPERLINK("http://ts.21cn.com/tousu/show/id/1345292","捷信金融平台非法雇佣社会人员上门威逼，性情恶劣")</f>
        <v>捷信金融平台非法雇佣社会人员上门威逼，性情恶劣</v>
      </c>
      <c r="C13779" s="2" t="s">
        <v>9</v>
      </c>
      <c r="D13779" s="2" t="s">
        <v>10</v>
      </c>
      <c r="E13779" s="2" t="str">
        <f>HYPERLINK("http://ts.21cn.com/tousu/show/id/1345292","http://ts.21cn.com/tousu/show/id/1345292")</f>
        <v>http://ts.21cn.com/tousu/show/id/1345292</v>
      </c>
      <c r="F13779" s="2" t="s">
        <v>11</v>
      </c>
      <c r="G13779" s="2" t="s">
        <v>17070</v>
      </c>
      <c r="H13779" s="2" t="s">
        <v>17071</v>
      </c>
    </row>
    <row r="13780" spans="1:8" ht="25.05" customHeight="1" x14ac:dyDescent="0.25">
      <c r="A13780" s="2" t="s">
        <v>8</v>
      </c>
      <c r="B13780" s="2" t="str">
        <f>HYPERLINK("http://ts.21cn.com/tousu/show/id/1345293","上海造艺网络技术有限公司旗下迅付泸快百事普惠恶意扣款299元")</f>
        <v>上海造艺网络技术有限公司旗下迅付泸快百事普惠恶意扣款299元</v>
      </c>
      <c r="C13780" s="2" t="s">
        <v>9</v>
      </c>
      <c r="D13780" s="2" t="s">
        <v>10</v>
      </c>
      <c r="E13780" s="2" t="str">
        <f>HYPERLINK("http://ts.21cn.com/tousu/show/id/1345293","http://ts.21cn.com/tousu/show/id/1345293")</f>
        <v>http://ts.21cn.com/tousu/show/id/1345293</v>
      </c>
      <c r="F13780" s="2" t="s">
        <v>11</v>
      </c>
      <c r="G13780" s="2" t="s">
        <v>17069</v>
      </c>
      <c r="H13780" s="2" t="s">
        <v>12370</v>
      </c>
    </row>
    <row r="13781" spans="1:8" ht="25.05" customHeight="1" x14ac:dyDescent="0.25">
      <c r="A13781" s="2" t="s">
        <v>8</v>
      </c>
      <c r="B13781" s="2" t="str">
        <f>HYPERLINK("http://ts.21cn.com/tousu/show/id/1345294","小当家全部还清还催款")</f>
        <v>小当家全部还清还催款</v>
      </c>
      <c r="C13781" s="2" t="s">
        <v>9</v>
      </c>
      <c r="D13781" s="2" t="s">
        <v>10</v>
      </c>
      <c r="E13781" s="2" t="str">
        <f>HYPERLINK("http://ts.21cn.com/tousu/show/id/1345294","http://ts.21cn.com/tousu/show/id/1345294")</f>
        <v>http://ts.21cn.com/tousu/show/id/1345294</v>
      </c>
      <c r="F13781" s="2" t="s">
        <v>11</v>
      </c>
      <c r="G13781" s="2" t="s">
        <v>17067</v>
      </c>
      <c r="H13781" s="2" t="s">
        <v>17068</v>
      </c>
    </row>
    <row r="13782" spans="1:8" ht="25.05" customHeight="1" x14ac:dyDescent="0.25">
      <c r="A13782" s="2" t="s">
        <v>8</v>
      </c>
      <c r="B13782" s="2" t="str">
        <f>HYPERLINK("http://ts.21cn.com/tousu/show/id/1345296","唯品会恶意催收")</f>
        <v>唯品会恶意催收</v>
      </c>
      <c r="C13782" s="2" t="s">
        <v>9</v>
      </c>
      <c r="D13782" s="2" t="s">
        <v>10</v>
      </c>
      <c r="E13782" s="2" t="str">
        <f>HYPERLINK("http://ts.21cn.com/tousu/show/id/1345296","http://ts.21cn.com/tousu/show/id/1345296")</f>
        <v>http://ts.21cn.com/tousu/show/id/1345296</v>
      </c>
      <c r="F13782" s="2" t="s">
        <v>11</v>
      </c>
      <c r="G13782" s="2" t="s">
        <v>17065</v>
      </c>
      <c r="H13782" s="2" t="s">
        <v>17066</v>
      </c>
    </row>
    <row r="13783" spans="1:8" ht="25.05" customHeight="1" x14ac:dyDescent="0.25">
      <c r="A13783" s="2" t="s">
        <v>8</v>
      </c>
      <c r="B13783" s="2" t="str">
        <f>HYPERLINK("http://ts.21cn.com/tousu/show/id/1345298","钱站高利贷阴阳合同")</f>
        <v>钱站高利贷阴阳合同</v>
      </c>
      <c r="C13783" s="2" t="s">
        <v>9</v>
      </c>
      <c r="D13783" s="2" t="s">
        <v>10</v>
      </c>
      <c r="E13783" s="2" t="str">
        <f>HYPERLINK("http://ts.21cn.com/tousu/show/id/1345298","http://ts.21cn.com/tousu/show/id/1345298")</f>
        <v>http://ts.21cn.com/tousu/show/id/1345298</v>
      </c>
      <c r="F13783" s="2" t="s">
        <v>11</v>
      </c>
      <c r="G13783" s="2" t="s">
        <v>17063</v>
      </c>
      <c r="H13783" s="2" t="s">
        <v>17064</v>
      </c>
    </row>
    <row r="13784" spans="1:8" ht="25.05" customHeight="1" x14ac:dyDescent="0.25">
      <c r="A13784" s="2" t="s">
        <v>8</v>
      </c>
      <c r="B13784" s="2" t="str">
        <f>HYPERLINK("http://ts.21cn.com/tousu/show/id/1345299","钱站工作人员已经严重影响我正常生活了")</f>
        <v>钱站工作人员已经严重影响我正常生活了</v>
      </c>
      <c r="C13784" s="2" t="s">
        <v>9</v>
      </c>
      <c r="D13784" s="2" t="s">
        <v>10</v>
      </c>
      <c r="E13784" s="2" t="str">
        <f>HYPERLINK("http://ts.21cn.com/tousu/show/id/1345299","http://ts.21cn.com/tousu/show/id/1345299")</f>
        <v>http://ts.21cn.com/tousu/show/id/1345299</v>
      </c>
      <c r="F13784" s="2" t="s">
        <v>11</v>
      </c>
      <c r="G13784" s="2" t="s">
        <v>17061</v>
      </c>
      <c r="H13784" s="2" t="s">
        <v>17062</v>
      </c>
    </row>
    <row r="13785" spans="1:8" ht="25.05" customHeight="1" x14ac:dyDescent="0.25">
      <c r="A13785" s="2" t="s">
        <v>8</v>
      </c>
      <c r="B13785" s="2" t="str">
        <f>HYPERLINK("http://ts.21cn.com/tousu/show/id/1345295","投诉美的厨宝安装不当造成橱柜被泡坏")</f>
        <v>投诉美的厨宝安装不当造成橱柜被泡坏</v>
      </c>
      <c r="C13785" s="2" t="s">
        <v>9</v>
      </c>
      <c r="D13785" s="2" t="s">
        <v>10</v>
      </c>
      <c r="E13785" s="2" t="str">
        <f>HYPERLINK("http://ts.21cn.com/tousu/show/id/1345295","http://ts.21cn.com/tousu/show/id/1345295")</f>
        <v>http://ts.21cn.com/tousu/show/id/1345295</v>
      </c>
      <c r="F13785" s="2" t="s">
        <v>11</v>
      </c>
      <c r="G13785" s="2" t="s">
        <v>17059</v>
      </c>
      <c r="H13785" s="2" t="s">
        <v>17060</v>
      </c>
    </row>
    <row r="13786" spans="1:8" ht="25.05" customHeight="1" x14ac:dyDescent="0.25">
      <c r="A13786" s="2" t="s">
        <v>8</v>
      </c>
      <c r="B13786" s="2" t="str">
        <f>HYPERLINK("http://ts.21cn.com/tousu/show/id/1345302","贷上钱高利贷借款4500一个月要还5652其中1000不知道是什么费用")</f>
        <v>贷上钱高利贷借款4500一个月要还5652其中1000不知道是什么费用</v>
      </c>
      <c r="C13786" s="2" t="s">
        <v>9</v>
      </c>
      <c r="D13786" s="2" t="s">
        <v>10</v>
      </c>
      <c r="E13786" s="2" t="str">
        <f>HYPERLINK("http://ts.21cn.com/tousu/show/id/1345302","http://ts.21cn.com/tousu/show/id/1345302")</f>
        <v>http://ts.21cn.com/tousu/show/id/1345302</v>
      </c>
      <c r="F13786" s="2" t="s">
        <v>11</v>
      </c>
      <c r="G13786" s="2" t="s">
        <v>17057</v>
      </c>
      <c r="H13786" s="2" t="s">
        <v>17058</v>
      </c>
    </row>
    <row r="13787" spans="1:8" ht="25.05" customHeight="1" x14ac:dyDescent="0.25">
      <c r="A13787" s="2" t="s">
        <v>8</v>
      </c>
      <c r="B13787" s="2" t="str">
        <f>HYPERLINK("http://ts.21cn.com/tousu/show/id/1345303","遭遇高炮网贷暴力催收")</f>
        <v>遭遇高炮网贷暴力催收</v>
      </c>
      <c r="C13787" s="2" t="s">
        <v>9</v>
      </c>
      <c r="D13787" s="2" t="s">
        <v>10</v>
      </c>
      <c r="E13787" s="2" t="str">
        <f>HYPERLINK("http://ts.21cn.com/tousu/show/id/1345303","http://ts.21cn.com/tousu/show/id/1345303")</f>
        <v>http://ts.21cn.com/tousu/show/id/1345303</v>
      </c>
      <c r="F13787" s="2" t="s">
        <v>11</v>
      </c>
      <c r="G13787" s="2" t="s">
        <v>17055</v>
      </c>
      <c r="H13787" s="2" t="s">
        <v>17056</v>
      </c>
    </row>
    <row r="13788" spans="1:8" ht="25.05" customHeight="1" x14ac:dyDescent="0.25">
      <c r="A13788" s="2" t="s">
        <v>8</v>
      </c>
      <c r="B13788" s="2" t="str">
        <f>HYPERLINK("http://ts.21cn.com/tousu/show/id/1345304","两个月了，滴滴平台严重不解决问题，无视问题反而问题愈演愈烈，聚投诉平台无任何帮助本人依法处理问题")</f>
        <v>两个月了，滴滴平台严重不解决问题，无视问题反而问题愈演愈烈，聚投诉平台无任何帮助本人依法处理问题</v>
      </c>
      <c r="C13788" s="2" t="s">
        <v>9</v>
      </c>
      <c r="D13788" s="2" t="s">
        <v>10</v>
      </c>
      <c r="E13788" s="2" t="str">
        <f>HYPERLINK("http://ts.21cn.com/tousu/show/id/1345304","http://ts.21cn.com/tousu/show/id/1345304")</f>
        <v>http://ts.21cn.com/tousu/show/id/1345304</v>
      </c>
      <c r="F13788" s="2" t="s">
        <v>11</v>
      </c>
      <c r="G13788" s="2" t="s">
        <v>17053</v>
      </c>
      <c r="H13788" s="2" t="s">
        <v>17054</v>
      </c>
    </row>
    <row r="13789" spans="1:8" ht="25.05" customHeight="1" x14ac:dyDescent="0.25">
      <c r="A13789" s="2" t="s">
        <v>8</v>
      </c>
      <c r="B13789" s="2" t="str">
        <f>HYPERLINK("http://ts.21cn.com/tousu/show/id/1345306","松紧贷暴力催收辱骂家人")</f>
        <v>松紧贷暴力催收辱骂家人</v>
      </c>
      <c r="C13789" s="2" t="s">
        <v>9</v>
      </c>
      <c r="D13789" s="2" t="s">
        <v>10</v>
      </c>
      <c r="E13789" s="2" t="str">
        <f>HYPERLINK("http://ts.21cn.com/tousu/show/id/1345306","http://ts.21cn.com/tousu/show/id/1345306")</f>
        <v>http://ts.21cn.com/tousu/show/id/1345306</v>
      </c>
      <c r="F13789" s="2" t="s">
        <v>11</v>
      </c>
      <c r="G13789" s="2" t="s">
        <v>17051</v>
      </c>
      <c r="H13789" s="2" t="s">
        <v>17052</v>
      </c>
    </row>
    <row r="13790" spans="1:8" ht="25.05" customHeight="1" x14ac:dyDescent="0.25">
      <c r="A13790" s="2" t="s">
        <v>8</v>
      </c>
      <c r="B13790" s="2" t="str">
        <f>HYPERLINK("http://ts.21cn.com/tousu/show/id/1345307","捷信金融不给结清证明")</f>
        <v>捷信金融不给结清证明</v>
      </c>
      <c r="C13790" s="2" t="s">
        <v>9</v>
      </c>
      <c r="D13790" s="2" t="s">
        <v>10</v>
      </c>
      <c r="E13790" s="2" t="str">
        <f>HYPERLINK("http://ts.21cn.com/tousu/show/id/1345307","http://ts.21cn.com/tousu/show/id/1345307")</f>
        <v>http://ts.21cn.com/tousu/show/id/1345307</v>
      </c>
      <c r="F13790" s="2" t="s">
        <v>11</v>
      </c>
      <c r="G13790" s="2" t="s">
        <v>17049</v>
      </c>
      <c r="H13790" s="2" t="s">
        <v>17050</v>
      </c>
    </row>
    <row r="13791" spans="1:8" ht="25.05" customHeight="1" x14ac:dyDescent="0.25">
      <c r="A13791" s="2" t="s">
        <v>8</v>
      </c>
      <c r="B13791" s="2" t="str">
        <f>HYPERLINK("http://ts.21cn.com/tousu/show/id/1345308","10月8日18时43分莫名其妙遭到扣款")</f>
        <v>10月8日18时43分莫名其妙遭到扣款</v>
      </c>
      <c r="C13791" s="2" t="s">
        <v>9</v>
      </c>
      <c r="D13791" s="2" t="s">
        <v>10</v>
      </c>
      <c r="E13791" s="2" t="str">
        <f>HYPERLINK("http://ts.21cn.com/tousu/show/id/1345308","http://ts.21cn.com/tousu/show/id/1345308")</f>
        <v>http://ts.21cn.com/tousu/show/id/1345308</v>
      </c>
      <c r="F13791" s="2" t="s">
        <v>11</v>
      </c>
      <c r="G13791" s="2" t="s">
        <v>17047</v>
      </c>
      <c r="H13791" s="2" t="s">
        <v>17048</v>
      </c>
    </row>
    <row r="13792" spans="1:8" ht="25.05" customHeight="1" x14ac:dyDescent="0.25">
      <c r="A13792" s="2" t="s">
        <v>8</v>
      </c>
      <c r="B13792" s="2" t="str">
        <f>HYPERLINK("http://ts.21cn.com/tousu/show/id/1345309","立借钱置宝高利贷！")</f>
        <v>立借钱置宝高利贷！</v>
      </c>
      <c r="C13792" s="2" t="s">
        <v>9</v>
      </c>
      <c r="D13792" s="2" t="s">
        <v>10</v>
      </c>
      <c r="E13792" s="2" t="str">
        <f>HYPERLINK("http://ts.21cn.com/tousu/show/id/1345309","http://ts.21cn.com/tousu/show/id/1345309")</f>
        <v>http://ts.21cn.com/tousu/show/id/1345309</v>
      </c>
      <c r="F13792" s="2" t="s">
        <v>11</v>
      </c>
      <c r="G13792" s="2" t="s">
        <v>17045</v>
      </c>
      <c r="H13792" s="2" t="s">
        <v>17046</v>
      </c>
    </row>
    <row r="13793" spans="1:8" ht="25.05" customHeight="1" x14ac:dyDescent="0.25">
      <c r="A13793" s="2" t="s">
        <v>8</v>
      </c>
      <c r="B13793" s="2" t="str">
        <f>HYPERLINK("http://ts.21cn.com/tousu/show/id/1345313","活力花平台恶意乱打电话")</f>
        <v>活力花平台恶意乱打电话</v>
      </c>
      <c r="C13793" s="2" t="s">
        <v>9</v>
      </c>
      <c r="D13793" s="2" t="s">
        <v>10</v>
      </c>
      <c r="E13793" s="2" t="str">
        <f>HYPERLINK("http://ts.21cn.com/tousu/show/id/1345313","http://ts.21cn.com/tousu/show/id/1345313")</f>
        <v>http://ts.21cn.com/tousu/show/id/1345313</v>
      </c>
      <c r="F13793" s="2" t="s">
        <v>11</v>
      </c>
      <c r="G13793" s="2" t="s">
        <v>17043</v>
      </c>
      <c r="H13793" s="2" t="s">
        <v>17044</v>
      </c>
    </row>
    <row r="13794" spans="1:8" ht="25.05" customHeight="1" x14ac:dyDescent="0.25">
      <c r="A13794" s="2" t="s">
        <v>8</v>
      </c>
      <c r="B13794" s="2" t="str">
        <f>HYPERLINK("http://ts.21cn.com/tousu/show/id/1345311","旗下聚福钱包一个多月未退款")</f>
        <v>旗下聚福钱包一个多月未退款</v>
      </c>
      <c r="C13794" s="2" t="s">
        <v>34</v>
      </c>
      <c r="D13794" s="2" t="s">
        <v>10</v>
      </c>
      <c r="E13794" s="2" t="str">
        <f>HYPERLINK("http://ts.21cn.com/tousu/show/id/1345311","http://ts.21cn.com/tousu/show/id/1345311")</f>
        <v>http://ts.21cn.com/tousu/show/id/1345311</v>
      </c>
      <c r="F13794" s="2" t="s">
        <v>11</v>
      </c>
      <c r="G13794" s="2" t="s">
        <v>17041</v>
      </c>
      <c r="H13794" s="2" t="s">
        <v>17042</v>
      </c>
    </row>
    <row r="13795" spans="1:8" ht="25.05" customHeight="1" x14ac:dyDescent="0.25">
      <c r="A13795" s="2" t="s">
        <v>8</v>
      </c>
      <c r="B13795" s="2" t="str">
        <f>HYPERLINK("http://ts.21cn.com/tousu/show/id/1345314","乱收取巨额保费，催款态度极其恶劣")</f>
        <v>乱收取巨额保费，催款态度极其恶劣</v>
      </c>
      <c r="C13795" s="2" t="s">
        <v>9</v>
      </c>
      <c r="D13795" s="2" t="s">
        <v>10</v>
      </c>
      <c r="E13795" s="2" t="str">
        <f>HYPERLINK("http://ts.21cn.com/tousu/show/id/1345314","http://ts.21cn.com/tousu/show/id/1345314")</f>
        <v>http://ts.21cn.com/tousu/show/id/1345314</v>
      </c>
      <c r="F13795" s="2" t="s">
        <v>11</v>
      </c>
      <c r="G13795" s="2" t="s">
        <v>17039</v>
      </c>
      <c r="H13795" s="2" t="s">
        <v>17040</v>
      </c>
    </row>
    <row r="13796" spans="1:8" ht="25.05" customHeight="1" x14ac:dyDescent="0.25">
      <c r="A13796" s="2" t="s">
        <v>8</v>
      </c>
      <c r="B13796" s="2" t="str">
        <f>HYPERLINK("http://ts.21cn.com/tousu/show/id/1345315","中介平台，套中贷")</f>
        <v>中介平台，套中贷</v>
      </c>
      <c r="C13796" s="2" t="s">
        <v>9</v>
      </c>
      <c r="D13796" s="2" t="s">
        <v>10</v>
      </c>
      <c r="E13796" s="2" t="str">
        <f>HYPERLINK("http://ts.21cn.com/tousu/show/id/1345315","http://ts.21cn.com/tousu/show/id/1345315")</f>
        <v>http://ts.21cn.com/tousu/show/id/1345315</v>
      </c>
      <c r="F13796" s="2" t="s">
        <v>11</v>
      </c>
      <c r="G13796" s="2" t="s">
        <v>17037</v>
      </c>
      <c r="H13796" s="2" t="s">
        <v>17038</v>
      </c>
    </row>
    <row r="13797" spans="1:8" ht="25.05" customHeight="1" x14ac:dyDescent="0.25">
      <c r="A13797" s="2" t="s">
        <v>8</v>
      </c>
      <c r="B13797" s="2" t="str">
        <f>HYPERLINK("http://ts.21cn.com/tousu/show/id/1345316","你我贷，客服人员威胁恐吓本人")</f>
        <v>你我贷，客服人员威胁恐吓本人</v>
      </c>
      <c r="C13797" s="2" t="s">
        <v>9</v>
      </c>
      <c r="D13797" s="2" t="s">
        <v>10</v>
      </c>
      <c r="E13797" s="2" t="str">
        <f>HYPERLINK("http://ts.21cn.com/tousu/show/id/1345316","http://ts.21cn.com/tousu/show/id/1345316")</f>
        <v>http://ts.21cn.com/tousu/show/id/1345316</v>
      </c>
      <c r="F13797" s="2" t="s">
        <v>11</v>
      </c>
      <c r="G13797" s="2" t="s">
        <v>17035</v>
      </c>
      <c r="H13797" s="2" t="s">
        <v>17036</v>
      </c>
    </row>
    <row r="13798" spans="1:8" ht="25.05" customHeight="1" x14ac:dyDescent="0.25">
      <c r="A13798" s="2" t="s">
        <v>8</v>
      </c>
      <c r="B13798" s="2" t="str">
        <f>HYPERLINK("http://ts.21cn.com/tousu/show/id/1345317","好分期高利息、高服务费")</f>
        <v>好分期高利息、高服务费</v>
      </c>
      <c r="C13798" s="2" t="s">
        <v>9</v>
      </c>
      <c r="D13798" s="2" t="s">
        <v>10</v>
      </c>
      <c r="E13798" s="2" t="str">
        <f>HYPERLINK("http://ts.21cn.com/tousu/show/id/1345317","http://ts.21cn.com/tousu/show/id/1345317")</f>
        <v>http://ts.21cn.com/tousu/show/id/1345317</v>
      </c>
      <c r="F13798" s="2" t="s">
        <v>11</v>
      </c>
      <c r="G13798" s="2" t="s">
        <v>17033</v>
      </c>
      <c r="H13798" s="2" t="s">
        <v>17034</v>
      </c>
    </row>
    <row r="13799" spans="1:8" ht="25.05" customHeight="1" x14ac:dyDescent="0.25">
      <c r="A13799" s="2" t="s">
        <v>8</v>
      </c>
      <c r="B13799" s="2" t="str">
        <f>HYPERLINK("http://ts.21cn.com/tousu/show/id/1345318","捷信金融平台变相收取会员费用")</f>
        <v>捷信金融平台变相收取会员费用</v>
      </c>
      <c r="C13799" s="2" t="s">
        <v>9</v>
      </c>
      <c r="D13799" s="2" t="s">
        <v>10</v>
      </c>
      <c r="E13799" s="2" t="str">
        <f>HYPERLINK("http://ts.21cn.com/tousu/show/id/1345318","http://ts.21cn.com/tousu/show/id/1345318")</f>
        <v>http://ts.21cn.com/tousu/show/id/1345318</v>
      </c>
      <c r="F13799" s="2" t="s">
        <v>11</v>
      </c>
      <c r="G13799" s="2" t="s">
        <v>17031</v>
      </c>
      <c r="H13799" s="2" t="s">
        <v>17032</v>
      </c>
    </row>
    <row r="13800" spans="1:8" ht="25.05" customHeight="1" x14ac:dyDescent="0.25">
      <c r="A13800" s="2" t="s">
        <v>8</v>
      </c>
      <c r="B13800" s="2" t="str">
        <f>HYPERLINK("http://ts.21cn.com/tousu/show/id/1345310","合同贷款金额和实际到账金额差异巨大，且平台未按合同履行责任")</f>
        <v>合同贷款金额和实际到账金额差异巨大，且平台未按合同履行责任</v>
      </c>
      <c r="C13800" s="2" t="s">
        <v>9</v>
      </c>
      <c r="D13800" s="2" t="s">
        <v>10</v>
      </c>
      <c r="E13800" s="2" t="str">
        <f>HYPERLINK("http://ts.21cn.com/tousu/show/id/1345310","http://ts.21cn.com/tousu/show/id/1345310")</f>
        <v>http://ts.21cn.com/tousu/show/id/1345310</v>
      </c>
      <c r="F13800" s="2" t="s">
        <v>11</v>
      </c>
      <c r="G13800" s="2" t="s">
        <v>17029</v>
      </c>
      <c r="H13800" s="2" t="s">
        <v>17030</v>
      </c>
    </row>
    <row r="13801" spans="1:8" ht="25.05" customHeight="1" x14ac:dyDescent="0.25">
      <c r="A13801" s="2" t="s">
        <v>8</v>
      </c>
      <c r="B13801" s="2" t="str">
        <f>HYPERLINK("http://ts.21cn.com/tousu/show/id/1345321","你我贷暴力催收")</f>
        <v>你我贷暴力催收</v>
      </c>
      <c r="C13801" s="2" t="s">
        <v>9</v>
      </c>
      <c r="D13801" s="2" t="s">
        <v>10</v>
      </c>
      <c r="E13801" s="2" t="str">
        <f>HYPERLINK("http://ts.21cn.com/tousu/show/id/1345321","http://ts.21cn.com/tousu/show/id/1345321")</f>
        <v>http://ts.21cn.com/tousu/show/id/1345321</v>
      </c>
      <c r="F13801" s="2" t="s">
        <v>11</v>
      </c>
      <c r="G13801" s="2" t="s">
        <v>17027</v>
      </c>
      <c r="H13801" s="2" t="s">
        <v>17028</v>
      </c>
    </row>
    <row r="13802" spans="1:8" ht="25.05" customHeight="1" x14ac:dyDescent="0.25">
      <c r="A13802" s="2" t="s">
        <v>8</v>
      </c>
      <c r="B13802" s="2" t="str">
        <f>HYPERLINK("http://ts.21cn.com/tousu/show/id/1345323","您尾号1793卡10月8日19:07快捷支付支出消费中金-亿联银行自营150.96元，余额24.32元")</f>
        <v>您尾号1793卡10月8日19:07快捷支付支出消费中金-亿联银行自营150.96元，余额24.32元</v>
      </c>
      <c r="C13802" s="2" t="s">
        <v>9</v>
      </c>
      <c r="D13802" s="2" t="s">
        <v>10</v>
      </c>
      <c r="E13802" s="2" t="str">
        <f>HYPERLINK("http://ts.21cn.com/tousu/show/id/1345323","http://ts.21cn.com/tousu/show/id/1345323")</f>
        <v>http://ts.21cn.com/tousu/show/id/1345323</v>
      </c>
      <c r="F13802" s="2" t="s">
        <v>11</v>
      </c>
      <c r="G13802" s="2" t="s">
        <v>17025</v>
      </c>
      <c r="H13802" s="2" t="s">
        <v>17026</v>
      </c>
    </row>
    <row r="13803" spans="1:8" ht="25.05" customHeight="1" x14ac:dyDescent="0.25">
      <c r="A13803" s="2" t="s">
        <v>8</v>
      </c>
      <c r="B13803" s="2" t="str">
        <f>HYPERLINK("http://ts.21cn.com/tousu/show/id/1345324","欺诈借款人")</f>
        <v>欺诈借款人</v>
      </c>
      <c r="C13803" s="2" t="s">
        <v>9</v>
      </c>
      <c r="D13803" s="2" t="s">
        <v>10</v>
      </c>
      <c r="E13803" s="2" t="str">
        <f>HYPERLINK("http://ts.21cn.com/tousu/show/id/1345324","http://ts.21cn.com/tousu/show/id/1345324")</f>
        <v>http://ts.21cn.com/tousu/show/id/1345324</v>
      </c>
      <c r="F13803" s="2" t="s">
        <v>11</v>
      </c>
      <c r="G13803" s="2" t="s">
        <v>17023</v>
      </c>
      <c r="H13803" s="2" t="s">
        <v>17024</v>
      </c>
    </row>
    <row r="13804" spans="1:8" ht="25.05" customHeight="1" x14ac:dyDescent="0.25">
      <c r="A13804" s="2" t="s">
        <v>8</v>
      </c>
      <c r="B13804" s="2" t="str">
        <f>HYPERLINK("http://ts.21cn.com/tousu/show/id/1345325","还款已远超国家规定年利率，仍不消账还不定期打电话骚扰，性情恶劣。")</f>
        <v>还款已远超国家规定年利率，仍不消账还不定期打电话骚扰，性情恶劣。</v>
      </c>
      <c r="C13804" s="2" t="s">
        <v>9</v>
      </c>
      <c r="D13804" s="2" t="s">
        <v>10</v>
      </c>
      <c r="E13804" s="2" t="str">
        <f>HYPERLINK("http://ts.21cn.com/tousu/show/id/1345325","http://ts.21cn.com/tousu/show/id/1345325")</f>
        <v>http://ts.21cn.com/tousu/show/id/1345325</v>
      </c>
      <c r="F13804" s="2" t="s">
        <v>11</v>
      </c>
      <c r="G13804" s="2" t="s">
        <v>17021</v>
      </c>
      <c r="H13804" s="2" t="s">
        <v>17022</v>
      </c>
    </row>
    <row r="13805" spans="1:8" ht="25.05" customHeight="1" x14ac:dyDescent="0.25">
      <c r="A13805" s="2" t="s">
        <v>8</v>
      </c>
      <c r="B13805" s="2" t="str">
        <f>HYPERLINK("http://ts.21cn.com/tousu/show/id/1345327","工商银行封我卡")</f>
        <v>工商银行封我卡</v>
      </c>
      <c r="C13805" s="2" t="s">
        <v>9</v>
      </c>
      <c r="D13805" s="2" t="s">
        <v>10</v>
      </c>
      <c r="E13805" s="2" t="str">
        <f>HYPERLINK("http://ts.21cn.com/tousu/show/id/1345327","http://ts.21cn.com/tousu/show/id/1345327")</f>
        <v>http://ts.21cn.com/tousu/show/id/1345327</v>
      </c>
      <c r="F13805" s="2" t="s">
        <v>11</v>
      </c>
      <c r="G13805" s="2" t="s">
        <v>17019</v>
      </c>
      <c r="H13805" s="2" t="s">
        <v>17020</v>
      </c>
    </row>
    <row r="13806" spans="1:8" ht="25.05" customHeight="1" x14ac:dyDescent="0.25">
      <c r="A13806" s="2" t="s">
        <v>8</v>
      </c>
      <c r="B13806" s="2" t="str">
        <f>HYPERLINK("http://ts.21cn.com/tousu/show/id/1345328","合同中没有标明还款日17点以后还款算违约、在当天17点以后还款收取了违约金")</f>
        <v>合同中没有标明还款日17点以后还款算违约、在当天17点以后还款收取了违约金</v>
      </c>
      <c r="C13806" s="2" t="s">
        <v>9</v>
      </c>
      <c r="D13806" s="2" t="s">
        <v>10</v>
      </c>
      <c r="E13806" s="2" t="str">
        <f>HYPERLINK("http://ts.21cn.com/tousu/show/id/1345328","http://ts.21cn.com/tousu/show/id/1345328")</f>
        <v>http://ts.21cn.com/tousu/show/id/1345328</v>
      </c>
      <c r="F13806" s="2" t="s">
        <v>11</v>
      </c>
      <c r="G13806" s="2" t="s">
        <v>17017</v>
      </c>
      <c r="H13806" s="2" t="s">
        <v>17018</v>
      </c>
    </row>
    <row r="13807" spans="1:8" ht="25.05" customHeight="1" x14ac:dyDescent="0.25">
      <c r="A13807" s="2" t="s">
        <v>8</v>
      </c>
      <c r="B13807" s="2" t="str">
        <f>HYPERLINK("http://ts.21cn.com/tousu/show/id/1345329","莫名被中金支付扣款")</f>
        <v>莫名被中金支付扣款</v>
      </c>
      <c r="C13807" s="2" t="s">
        <v>9</v>
      </c>
      <c r="D13807" s="2" t="s">
        <v>10</v>
      </c>
      <c r="E13807" s="2" t="str">
        <f>HYPERLINK("http://ts.21cn.com/tousu/show/id/1345329","http://ts.21cn.com/tousu/show/id/1345329")</f>
        <v>http://ts.21cn.com/tousu/show/id/1345329</v>
      </c>
      <c r="F13807" s="2" t="s">
        <v>11</v>
      </c>
      <c r="G13807" s="2" t="s">
        <v>17015</v>
      </c>
      <c r="H13807" s="2" t="s">
        <v>17016</v>
      </c>
    </row>
    <row r="13808" spans="1:8" ht="25.05" customHeight="1" x14ac:dyDescent="0.25">
      <c r="A13808" s="2" t="s">
        <v>8</v>
      </c>
      <c r="B13808" s="2" t="str">
        <f>HYPERLINK("http://ts.21cn.com/tousu/show/id/1345319","佛山中大互联教育平台，态度不好，拒绝退款")</f>
        <v>佛山中大互联教育平台，态度不好，拒绝退款</v>
      </c>
      <c r="C13808" s="2" t="s">
        <v>9</v>
      </c>
      <c r="D13808" s="2" t="s">
        <v>10</v>
      </c>
      <c r="E13808" s="2" t="str">
        <f>HYPERLINK("http://ts.21cn.com/tousu/show/id/1345319","http://ts.21cn.com/tousu/show/id/1345319")</f>
        <v>http://ts.21cn.com/tousu/show/id/1345319</v>
      </c>
      <c r="F13808" s="2" t="s">
        <v>11</v>
      </c>
      <c r="G13808" s="2" t="s">
        <v>17013</v>
      </c>
      <c r="H13808" s="2" t="s">
        <v>17014</v>
      </c>
    </row>
    <row r="13809" spans="1:8" ht="25.05" customHeight="1" x14ac:dyDescent="0.25">
      <c r="A13809" s="2" t="s">
        <v>8</v>
      </c>
      <c r="B13809" s="2" t="str">
        <f>HYPERLINK("http://ts.21cn.com/tousu/show/id/1345330","银盛通POS机骚扰推销")</f>
        <v>银盛通POS机骚扰推销</v>
      </c>
      <c r="C13809" s="2" t="s">
        <v>9</v>
      </c>
      <c r="D13809" s="2" t="s">
        <v>10</v>
      </c>
      <c r="E13809" s="2" t="str">
        <f>HYPERLINK("http://ts.21cn.com/tousu/show/id/1345330","http://ts.21cn.com/tousu/show/id/1345330")</f>
        <v>http://ts.21cn.com/tousu/show/id/1345330</v>
      </c>
      <c r="F13809" s="2" t="s">
        <v>11</v>
      </c>
      <c r="G13809" s="2" t="s">
        <v>17011</v>
      </c>
      <c r="H13809" s="2" t="s">
        <v>17012</v>
      </c>
    </row>
    <row r="13810" spans="1:8" ht="25.05" customHeight="1" x14ac:dyDescent="0.25">
      <c r="A13810" s="2" t="s">
        <v>8</v>
      </c>
      <c r="B13810" s="2" t="str">
        <f>HYPERLINK("http://ts.21cn.com/tousu/show/id/1345331","马上金融恶意收费")</f>
        <v>马上金融恶意收费</v>
      </c>
      <c r="C13810" s="2" t="s">
        <v>9</v>
      </c>
      <c r="D13810" s="2" t="s">
        <v>10</v>
      </c>
      <c r="E13810" s="2" t="str">
        <f>HYPERLINK("http://ts.21cn.com/tousu/show/id/1345331","http://ts.21cn.com/tousu/show/id/1345331")</f>
        <v>http://ts.21cn.com/tousu/show/id/1345331</v>
      </c>
      <c r="F13810" s="2" t="s">
        <v>11</v>
      </c>
      <c r="G13810" s="2" t="s">
        <v>17009</v>
      </c>
      <c r="H13810" s="2" t="s">
        <v>17010</v>
      </c>
    </row>
    <row r="13811" spans="1:8" ht="25.05" customHeight="1" x14ac:dyDescent="0.25">
      <c r="A13811" s="2" t="s">
        <v>8</v>
      </c>
      <c r="B13811" s="2" t="str">
        <f>HYPERLINK("http://ts.21cn.com/tousu/show/id/1345332","捷信强制收取保险费")</f>
        <v>捷信强制收取保险费</v>
      </c>
      <c r="C13811" s="2" t="s">
        <v>9</v>
      </c>
      <c r="D13811" s="2" t="s">
        <v>10</v>
      </c>
      <c r="E13811" s="2" t="str">
        <f>HYPERLINK("http://ts.21cn.com/tousu/show/id/1345332","http://ts.21cn.com/tousu/show/id/1345332")</f>
        <v>http://ts.21cn.com/tousu/show/id/1345332</v>
      </c>
      <c r="F13811" s="2" t="s">
        <v>11</v>
      </c>
      <c r="G13811" s="2" t="s">
        <v>17008</v>
      </c>
      <c r="H13811" s="2" t="s">
        <v>16864</v>
      </c>
    </row>
    <row r="13812" spans="1:8" ht="25.05" customHeight="1" x14ac:dyDescent="0.25">
      <c r="A13812" s="2" t="s">
        <v>8</v>
      </c>
      <c r="B13812" s="2" t="str">
        <f>HYPERLINK("http://ts.21cn.com/tousu/show/id/1345333","聚福钱包未经许可私自扣款")</f>
        <v>聚福钱包未经许可私自扣款</v>
      </c>
      <c r="C13812" s="2" t="s">
        <v>9</v>
      </c>
      <c r="D13812" s="2" t="s">
        <v>10</v>
      </c>
      <c r="E13812" s="2" t="str">
        <f>HYPERLINK("http://ts.21cn.com/tousu/show/id/1345333","http://ts.21cn.com/tousu/show/id/1345333")</f>
        <v>http://ts.21cn.com/tousu/show/id/1345333</v>
      </c>
      <c r="F13812" s="2" t="s">
        <v>11</v>
      </c>
      <c r="G13812" s="2" t="s">
        <v>17006</v>
      </c>
      <c r="H13812" s="2" t="s">
        <v>17007</v>
      </c>
    </row>
    <row r="13813" spans="1:8" ht="25.05" customHeight="1" x14ac:dyDescent="0.25">
      <c r="A13813" s="2" t="s">
        <v>8</v>
      </c>
      <c r="B13813" s="2" t="str">
        <f>HYPERLINK("http://ts.21cn.com/tousu/show/id/1345336","高利贷")</f>
        <v>高利贷</v>
      </c>
      <c r="C13813" s="2" t="s">
        <v>9</v>
      </c>
      <c r="D13813" s="2" t="s">
        <v>10</v>
      </c>
      <c r="E13813" s="2" t="str">
        <f>HYPERLINK("http://ts.21cn.com/tousu/show/id/1345336","http://ts.21cn.com/tousu/show/id/1345336")</f>
        <v>http://ts.21cn.com/tousu/show/id/1345336</v>
      </c>
      <c r="F13813" s="2" t="s">
        <v>11</v>
      </c>
      <c r="G13813" s="2" t="s">
        <v>17004</v>
      </c>
      <c r="H13813" s="2" t="s">
        <v>17005</v>
      </c>
    </row>
    <row r="13814" spans="1:8" ht="25.05" customHeight="1" x14ac:dyDescent="0.25">
      <c r="A13814" s="2" t="s">
        <v>8</v>
      </c>
      <c r="B13814" s="2" t="str">
        <f>HYPERLINK("http://ts.21cn.com/tousu/show/id/1345338","高利贷暴力威胁")</f>
        <v>高利贷暴力威胁</v>
      </c>
      <c r="C13814" s="2" t="s">
        <v>9</v>
      </c>
      <c r="D13814" s="2" t="s">
        <v>10</v>
      </c>
      <c r="E13814" s="2" t="str">
        <f>HYPERLINK("http://ts.21cn.com/tousu/show/id/1345338","http://ts.21cn.com/tousu/show/id/1345338")</f>
        <v>http://ts.21cn.com/tousu/show/id/1345338</v>
      </c>
      <c r="F13814" s="2" t="s">
        <v>11</v>
      </c>
      <c r="G13814" s="2" t="s">
        <v>17002</v>
      </c>
      <c r="H13814" s="2" t="s">
        <v>17003</v>
      </c>
    </row>
    <row r="13815" spans="1:8" ht="25.05" customHeight="1" x14ac:dyDescent="0.25">
      <c r="A13815" s="2" t="s">
        <v>8</v>
      </c>
      <c r="B13815" s="2" t="str">
        <f>HYPERLINK("http://ts.21cn.com/tousu/show/id/1345335","立借app高利贷，6500借12个月前三个月就要还8000多")</f>
        <v>立借app高利贷，6500借12个月前三个月就要还8000多</v>
      </c>
      <c r="C13815" s="2" t="s">
        <v>9</v>
      </c>
      <c r="D13815" s="2" t="s">
        <v>10</v>
      </c>
      <c r="E13815" s="2" t="str">
        <f>HYPERLINK("http://ts.21cn.com/tousu/show/id/1345335","http://ts.21cn.com/tousu/show/id/1345335")</f>
        <v>http://ts.21cn.com/tousu/show/id/1345335</v>
      </c>
      <c r="F13815" s="2" t="s">
        <v>11</v>
      </c>
      <c r="G13815" s="2" t="s">
        <v>17000</v>
      </c>
      <c r="H13815" s="2" t="s">
        <v>17001</v>
      </c>
    </row>
    <row r="13816" spans="1:8" ht="25.05" customHeight="1" x14ac:dyDescent="0.25">
      <c r="A13816" s="2" t="s">
        <v>8</v>
      </c>
      <c r="B13816" s="2" t="str">
        <f>HYPERLINK("http://ts.21cn.com/tousu/show/id/1345337","频繁骚扰")</f>
        <v>频繁骚扰</v>
      </c>
      <c r="C13816" s="2" t="s">
        <v>9</v>
      </c>
      <c r="D13816" s="2" t="s">
        <v>10</v>
      </c>
      <c r="E13816" s="2" t="str">
        <f>HYPERLINK("http://ts.21cn.com/tousu/show/id/1345337","http://ts.21cn.com/tousu/show/id/1345337")</f>
        <v>http://ts.21cn.com/tousu/show/id/1345337</v>
      </c>
      <c r="F13816" s="2" t="s">
        <v>11</v>
      </c>
      <c r="G13816" s="2" t="s">
        <v>16998</v>
      </c>
      <c r="H13816" s="2" t="s">
        <v>16999</v>
      </c>
    </row>
    <row r="13817" spans="1:8" ht="25.05" customHeight="1" x14ac:dyDescent="0.25">
      <c r="A13817" s="2" t="s">
        <v>8</v>
      </c>
      <c r="B13817" s="2" t="str">
        <f>HYPERLINK("http://ts.21cn.com/tousu/show/id/1345340","壹心分期高额砍头息高利贷")</f>
        <v>壹心分期高额砍头息高利贷</v>
      </c>
      <c r="C13817" s="2" t="s">
        <v>9</v>
      </c>
      <c r="D13817" s="2" t="s">
        <v>10</v>
      </c>
      <c r="E13817" s="2" t="str">
        <f>HYPERLINK("http://ts.21cn.com/tousu/show/id/1345340","http://ts.21cn.com/tousu/show/id/1345340")</f>
        <v>http://ts.21cn.com/tousu/show/id/1345340</v>
      </c>
      <c r="F13817" s="2" t="s">
        <v>11</v>
      </c>
      <c r="G13817" s="2" t="s">
        <v>16996</v>
      </c>
      <c r="H13817" s="2" t="s">
        <v>16997</v>
      </c>
    </row>
    <row r="13818" spans="1:8" ht="25.05" customHeight="1" x14ac:dyDescent="0.25">
      <c r="A13818" s="2" t="s">
        <v>8</v>
      </c>
      <c r="B13818" s="2" t="str">
        <f>HYPERLINK("http://ts.21cn.com/tousu/show/id/1345343","桔子分期冲会员提额度能下款")</f>
        <v>桔子分期冲会员提额度能下款</v>
      </c>
      <c r="C13818" s="2" t="s">
        <v>9</v>
      </c>
      <c r="D13818" s="2" t="s">
        <v>10</v>
      </c>
      <c r="E13818" s="2" t="str">
        <f>HYPERLINK("http://ts.21cn.com/tousu/show/id/1345343","http://ts.21cn.com/tousu/show/id/1345343")</f>
        <v>http://ts.21cn.com/tousu/show/id/1345343</v>
      </c>
      <c r="F13818" s="2" t="s">
        <v>11</v>
      </c>
      <c r="G13818" s="2" t="s">
        <v>16994</v>
      </c>
      <c r="H13818" s="2" t="s">
        <v>16995</v>
      </c>
    </row>
    <row r="13819" spans="1:8" ht="25.05" customHeight="1" x14ac:dyDescent="0.25">
      <c r="A13819" s="2" t="s">
        <v>8</v>
      </c>
      <c r="B13819" s="2" t="str">
        <f>HYPERLINK("http://ts.21cn.com/tousu/show/id/1345344","U卡贷超利贷高利贷")</f>
        <v>U卡贷超利贷高利贷</v>
      </c>
      <c r="C13819" s="2" t="s">
        <v>34</v>
      </c>
      <c r="D13819" s="2" t="s">
        <v>10</v>
      </c>
      <c r="E13819" s="2" t="str">
        <f>HYPERLINK("http://ts.21cn.com/tousu/show/id/1345344","http://ts.21cn.com/tousu/show/id/1345344")</f>
        <v>http://ts.21cn.com/tousu/show/id/1345344</v>
      </c>
      <c r="F13819" s="2" t="s">
        <v>11</v>
      </c>
      <c r="G13819" s="2" t="s">
        <v>16992</v>
      </c>
      <c r="H13819" s="2" t="s">
        <v>16993</v>
      </c>
    </row>
    <row r="13820" spans="1:8" ht="25.05" customHeight="1" x14ac:dyDescent="0.25">
      <c r="A13820" s="2" t="s">
        <v>8</v>
      </c>
      <c r="B13820" s="2" t="str">
        <f>HYPERLINK("http://ts.21cn.com/tousu/show/id/1345297","闪银贷款套路保证金")</f>
        <v>闪银贷款套路保证金</v>
      </c>
      <c r="C13820" s="2" t="s">
        <v>9</v>
      </c>
      <c r="D13820" s="2" t="s">
        <v>10</v>
      </c>
      <c r="E13820" s="2" t="str">
        <f>HYPERLINK("http://ts.21cn.com/tousu/show/id/1345297","http://ts.21cn.com/tousu/show/id/1345297")</f>
        <v>http://ts.21cn.com/tousu/show/id/1345297</v>
      </c>
      <c r="F13820" s="2" t="s">
        <v>11</v>
      </c>
      <c r="G13820" s="2" t="s">
        <v>16990</v>
      </c>
      <c r="H13820" s="2" t="s">
        <v>16991</v>
      </c>
    </row>
    <row r="13821" spans="1:8" ht="25.05" customHeight="1" x14ac:dyDescent="0.25">
      <c r="A13821" s="2" t="s">
        <v>8</v>
      </c>
      <c r="B13821" s="2" t="str">
        <f>HYPERLINK("http://ts.21cn.com/tousu/show/id/1345345","捷信分期还了一万多，还打电话让我还两万六千多")</f>
        <v>捷信分期还了一万多，还打电话让我还两万六千多</v>
      </c>
      <c r="C13821" s="2" t="s">
        <v>9</v>
      </c>
      <c r="D13821" s="2" t="s">
        <v>10</v>
      </c>
      <c r="E13821" s="2" t="str">
        <f>HYPERLINK("http://ts.21cn.com/tousu/show/id/1345345","http://ts.21cn.com/tousu/show/id/1345345")</f>
        <v>http://ts.21cn.com/tousu/show/id/1345345</v>
      </c>
      <c r="F13821" s="2" t="s">
        <v>11</v>
      </c>
      <c r="G13821" s="2" t="s">
        <v>16988</v>
      </c>
      <c r="H13821" s="2" t="s">
        <v>16989</v>
      </c>
    </row>
    <row r="13822" spans="1:8" ht="25.05" customHeight="1" x14ac:dyDescent="0.25">
      <c r="A13822" s="2" t="s">
        <v>8</v>
      </c>
      <c r="B13822" s="2" t="str">
        <f>HYPERLINK("http://ts.21cn.com/tousu/show/id/1345346","造艺科技强行收取高额咨询费")</f>
        <v>造艺科技强行收取高额咨询费</v>
      </c>
      <c r="C13822" s="2" t="s">
        <v>9</v>
      </c>
      <c r="D13822" s="2" t="s">
        <v>10</v>
      </c>
      <c r="E13822" s="2" t="str">
        <f>HYPERLINK("http://ts.21cn.com/tousu/show/id/1345346","http://ts.21cn.com/tousu/show/id/1345346")</f>
        <v>http://ts.21cn.com/tousu/show/id/1345346</v>
      </c>
      <c r="F13822" s="2" t="s">
        <v>11</v>
      </c>
      <c r="G13822" s="2" t="s">
        <v>16986</v>
      </c>
      <c r="H13822" s="2" t="s">
        <v>16987</v>
      </c>
    </row>
    <row r="13823" spans="1:8" ht="25.05" customHeight="1" x14ac:dyDescent="0.25">
      <c r="A13823" s="2" t="s">
        <v>8</v>
      </c>
      <c r="B13823" s="2" t="str">
        <f>HYPERLINK("http://ts.21cn.com/tousu/show/id/1345347","维信卡卡贷没联系本人直接爆我通讯录")</f>
        <v>维信卡卡贷没联系本人直接爆我通讯录</v>
      </c>
      <c r="C13823" s="2" t="s">
        <v>9</v>
      </c>
      <c r="D13823" s="2" t="s">
        <v>10</v>
      </c>
      <c r="E13823" s="2" t="str">
        <f>HYPERLINK("http://ts.21cn.com/tousu/show/id/1345347","http://ts.21cn.com/tousu/show/id/1345347")</f>
        <v>http://ts.21cn.com/tousu/show/id/1345347</v>
      </c>
      <c r="F13823" s="2" t="s">
        <v>11</v>
      </c>
      <c r="G13823" s="2" t="s">
        <v>16984</v>
      </c>
      <c r="H13823" s="2" t="s">
        <v>16985</v>
      </c>
    </row>
    <row r="13824" spans="1:8" ht="25.05" customHeight="1" x14ac:dyDescent="0.25">
      <c r="A13824" s="2" t="s">
        <v>8</v>
      </c>
      <c r="B13824" s="2" t="str">
        <f>HYPERLINK("http://ts.21cn.com/tousu/show/id/1345348","你我贷泄露个人通讯隐私")</f>
        <v>你我贷泄露个人通讯隐私</v>
      </c>
      <c r="C13824" s="2" t="s">
        <v>9</v>
      </c>
      <c r="D13824" s="2" t="s">
        <v>10</v>
      </c>
      <c r="E13824" s="2" t="str">
        <f>HYPERLINK("http://ts.21cn.com/tousu/show/id/1345348","http://ts.21cn.com/tousu/show/id/1345348")</f>
        <v>http://ts.21cn.com/tousu/show/id/1345348</v>
      </c>
      <c r="F13824" s="2" t="s">
        <v>11</v>
      </c>
      <c r="G13824" s="2" t="s">
        <v>16982</v>
      </c>
      <c r="H13824" s="2" t="s">
        <v>16983</v>
      </c>
    </row>
    <row r="13825" spans="1:8" ht="25.05" customHeight="1" x14ac:dyDescent="0.25">
      <c r="A13825" s="2" t="s">
        <v>8</v>
      </c>
      <c r="B13825" s="2" t="str">
        <f>HYPERLINK("http://ts.21cn.com/tousu/show/id/1345351","捷信平台违法泄露个人信息")</f>
        <v>捷信平台违法泄露个人信息</v>
      </c>
      <c r="C13825" s="2" t="s">
        <v>9</v>
      </c>
      <c r="D13825" s="2" t="s">
        <v>10</v>
      </c>
      <c r="E13825" s="2" t="str">
        <f>HYPERLINK("http://ts.21cn.com/tousu/show/id/1345351","http://ts.21cn.com/tousu/show/id/1345351")</f>
        <v>http://ts.21cn.com/tousu/show/id/1345351</v>
      </c>
      <c r="F13825" s="2" t="s">
        <v>11</v>
      </c>
      <c r="G13825" s="2" t="s">
        <v>16980</v>
      </c>
      <c r="H13825" s="2" t="s">
        <v>16981</v>
      </c>
    </row>
    <row r="13826" spans="1:8" ht="25.05" customHeight="1" x14ac:dyDescent="0.25">
      <c r="A13826" s="2" t="s">
        <v>8</v>
      </c>
      <c r="B13826" s="2" t="str">
        <f>HYPERLINK("http://ts.21cn.com/tousu/show/id/1345352","广发信用卡催收")</f>
        <v>广发信用卡催收</v>
      </c>
      <c r="C13826" s="2" t="s">
        <v>9</v>
      </c>
      <c r="D13826" s="2" t="s">
        <v>10</v>
      </c>
      <c r="E13826" s="2" t="str">
        <f>HYPERLINK("http://ts.21cn.com/tousu/show/id/1345352","http://ts.21cn.com/tousu/show/id/1345352")</f>
        <v>http://ts.21cn.com/tousu/show/id/1345352</v>
      </c>
      <c r="F13826" s="2" t="s">
        <v>11</v>
      </c>
      <c r="G13826" s="2" t="s">
        <v>16978</v>
      </c>
      <c r="H13826" s="2" t="s">
        <v>16979</v>
      </c>
    </row>
    <row r="13827" spans="1:8" ht="25.05" customHeight="1" x14ac:dyDescent="0.25">
      <c r="A13827" s="2" t="s">
        <v>8</v>
      </c>
      <c r="B13827" s="2" t="str">
        <f>HYPERLINK("http://ts.21cn.com/tousu/show/id/1345354","连连支付为高利贷砍头息壹心分期提供支付通道")</f>
        <v>连连支付为高利贷砍头息壹心分期提供支付通道</v>
      </c>
      <c r="C13827" s="2" t="s">
        <v>9</v>
      </c>
      <c r="D13827" s="2" t="s">
        <v>10</v>
      </c>
      <c r="E13827" s="2" t="str">
        <f>HYPERLINK("http://ts.21cn.com/tousu/show/id/1345354","http://ts.21cn.com/tousu/show/id/1345354")</f>
        <v>http://ts.21cn.com/tousu/show/id/1345354</v>
      </c>
      <c r="F13827" s="2" t="s">
        <v>11</v>
      </c>
      <c r="G13827" s="2" t="s">
        <v>16976</v>
      </c>
      <c r="H13827" s="2" t="s">
        <v>16977</v>
      </c>
    </row>
    <row r="13828" spans="1:8" ht="25.05" customHeight="1" x14ac:dyDescent="0.25">
      <c r="A13828" s="2" t="s">
        <v>8</v>
      </c>
      <c r="B13828" s="2" t="str">
        <f>HYPERLINK("http://ts.21cn.com/tousu/show/id/1345355","我在豆豆钱借款平台上借了10000元西安鸿飞融资担保有限公司在我不知情的情况下直接转走999投诉后拒不归还")</f>
        <v>我在豆豆钱借款平台上借了10000元西安鸿飞融资担保有限公司在我不知情的情况下直接转走999投诉后拒不归还</v>
      </c>
      <c r="C13828" s="2" t="s">
        <v>9</v>
      </c>
      <c r="D13828" s="2" t="s">
        <v>10</v>
      </c>
      <c r="E13828" s="2" t="str">
        <f>HYPERLINK("http://ts.21cn.com/tousu/show/id/1345355","http://ts.21cn.com/tousu/show/id/1345355")</f>
        <v>http://ts.21cn.com/tousu/show/id/1345355</v>
      </c>
      <c r="F13828" s="2" t="s">
        <v>11</v>
      </c>
      <c r="G13828" s="2" t="s">
        <v>16974</v>
      </c>
      <c r="H13828" s="2" t="s">
        <v>16975</v>
      </c>
    </row>
    <row r="13829" spans="1:8" ht="25.05" customHeight="1" x14ac:dyDescent="0.25">
      <c r="A13829" s="2" t="s">
        <v>8</v>
      </c>
      <c r="B13829" s="2" t="str">
        <f>HYPERLINK("http://ts.21cn.com/tousu/show/id/1345356","你我贷变相高利贷收取平台中介费用")</f>
        <v>你我贷变相高利贷收取平台中介费用</v>
      </c>
      <c r="C13829" s="2" t="s">
        <v>9</v>
      </c>
      <c r="D13829" s="2" t="s">
        <v>10</v>
      </c>
      <c r="E13829" s="2" t="str">
        <f>HYPERLINK("http://ts.21cn.com/tousu/show/id/1345356","http://ts.21cn.com/tousu/show/id/1345356")</f>
        <v>http://ts.21cn.com/tousu/show/id/1345356</v>
      </c>
      <c r="F13829" s="2" t="s">
        <v>11</v>
      </c>
      <c r="G13829" s="2" t="s">
        <v>16972</v>
      </c>
      <c r="H13829" s="2" t="s">
        <v>16973</v>
      </c>
    </row>
    <row r="13830" spans="1:8" ht="25.05" customHeight="1" x14ac:dyDescent="0.25">
      <c r="A13830" s="2" t="s">
        <v>8</v>
      </c>
      <c r="B13830" s="2" t="str">
        <f>HYPERLINK("http://ts.21cn.com/tousu/show/id/1345358","造艺科技恶意扣款")</f>
        <v>造艺科技恶意扣款</v>
      </c>
      <c r="C13830" s="2" t="s">
        <v>9</v>
      </c>
      <c r="D13830" s="2" t="s">
        <v>10</v>
      </c>
      <c r="E13830" s="2" t="str">
        <f>HYPERLINK("http://ts.21cn.com/tousu/show/id/1345358","http://ts.21cn.com/tousu/show/id/1345358")</f>
        <v>http://ts.21cn.com/tousu/show/id/1345358</v>
      </c>
      <c r="F13830" s="2" t="s">
        <v>11</v>
      </c>
      <c r="G13830" s="2" t="s">
        <v>16970</v>
      </c>
      <c r="H13830" s="2" t="s">
        <v>16971</v>
      </c>
    </row>
    <row r="13831" spans="1:8" ht="25.05" customHeight="1" x14ac:dyDescent="0.25">
      <c r="A13831" s="2" t="s">
        <v>8</v>
      </c>
      <c r="B13831" s="2" t="str">
        <f>HYPERLINK("http://ts.21cn.com/tousu/show/id/1345360","360借条")</f>
        <v>360借条</v>
      </c>
      <c r="C13831" s="2" t="s">
        <v>34</v>
      </c>
      <c r="D13831" s="2" t="s">
        <v>10</v>
      </c>
      <c r="E13831" s="2" t="str">
        <f>HYPERLINK("http://ts.21cn.com/tousu/show/id/1345360","http://ts.21cn.com/tousu/show/id/1345360")</f>
        <v>http://ts.21cn.com/tousu/show/id/1345360</v>
      </c>
      <c r="F13831" s="2" t="s">
        <v>11</v>
      </c>
      <c r="G13831" s="2" t="s">
        <v>16968</v>
      </c>
      <c r="H13831" s="2" t="s">
        <v>16969</v>
      </c>
    </row>
    <row r="13832" spans="1:8" ht="25.05" customHeight="1" x14ac:dyDescent="0.25">
      <c r="A13832" s="2" t="s">
        <v>8</v>
      </c>
      <c r="B13832" s="2" t="str">
        <f>HYPERLINK("http://ts.21cn.com/tousu/show/id/1345361","洋钱罐借款爆家里通讯录")</f>
        <v>洋钱罐借款爆家里通讯录</v>
      </c>
      <c r="C13832" s="2" t="s">
        <v>9</v>
      </c>
      <c r="D13832" s="2" t="s">
        <v>10</v>
      </c>
      <c r="E13832" s="2" t="str">
        <f>HYPERLINK("http://ts.21cn.com/tousu/show/id/1345361","http://ts.21cn.com/tousu/show/id/1345361")</f>
        <v>http://ts.21cn.com/tousu/show/id/1345361</v>
      </c>
      <c r="F13832" s="2" t="s">
        <v>11</v>
      </c>
      <c r="G13832" s="2" t="s">
        <v>16966</v>
      </c>
      <c r="H13832" s="2" t="s">
        <v>16967</v>
      </c>
    </row>
    <row r="13833" spans="1:8" ht="25.05" customHeight="1" x14ac:dyDescent="0.25">
      <c r="A13833" s="2" t="s">
        <v>8</v>
      </c>
      <c r="B13833" s="2" t="str">
        <f>HYPERLINK("http://ts.21cn.com/tousu/show/id/1345353","国美给彩票平台收钱")</f>
        <v>国美给彩票平台收钱</v>
      </c>
      <c r="C13833" s="2" t="s">
        <v>9</v>
      </c>
      <c r="D13833" s="2" t="s">
        <v>10</v>
      </c>
      <c r="E13833" s="2" t="str">
        <f>HYPERLINK("http://ts.21cn.com/tousu/show/id/1345353","http://ts.21cn.com/tousu/show/id/1345353")</f>
        <v>http://ts.21cn.com/tousu/show/id/1345353</v>
      </c>
      <c r="F13833" s="2" t="s">
        <v>11</v>
      </c>
      <c r="G13833" s="2" t="s">
        <v>16963</v>
      </c>
      <c r="H13833" s="2" t="s">
        <v>16964</v>
      </c>
    </row>
    <row r="13834" spans="1:8" ht="25.05" customHeight="1" x14ac:dyDescent="0.25">
      <c r="A13834" s="2" t="s">
        <v>8</v>
      </c>
      <c r="B13834" s="2" t="str">
        <f>HYPERLINK("http://ts.21cn.com/tousu/show/id/1345364","芸教育答应退款，一直以各种各样的理由拖延时间不受理")</f>
        <v>芸教育答应退款，一直以各种各样的理由拖延时间不受理</v>
      </c>
      <c r="C13834" s="2" t="s">
        <v>9</v>
      </c>
      <c r="D13834" s="2" t="s">
        <v>10</v>
      </c>
      <c r="E13834" s="2" t="str">
        <f>HYPERLINK("http://ts.21cn.com/tousu/show/id/1345364","http://ts.21cn.com/tousu/show/id/1345364")</f>
        <v>http://ts.21cn.com/tousu/show/id/1345364</v>
      </c>
      <c r="F13834" s="2" t="s">
        <v>11</v>
      </c>
      <c r="G13834" s="2" t="s">
        <v>16963</v>
      </c>
      <c r="H13834" s="2" t="s">
        <v>16965</v>
      </c>
    </row>
    <row r="13835" spans="1:8" ht="25.05" customHeight="1" x14ac:dyDescent="0.25">
      <c r="A13835" s="2" t="s">
        <v>8</v>
      </c>
      <c r="B13835" s="2" t="str">
        <f>HYPERLINK("http://ts.21cn.com/tousu/show/id/1345363","还款日当天隔一个小时一个催收电话")</f>
        <v>还款日当天隔一个小时一个催收电话</v>
      </c>
      <c r="C13835" s="2" t="s">
        <v>9</v>
      </c>
      <c r="D13835" s="2" t="s">
        <v>10</v>
      </c>
      <c r="E13835" s="2" t="str">
        <f>HYPERLINK("http://ts.21cn.com/tousu/show/id/1345363","http://ts.21cn.com/tousu/show/id/1345363")</f>
        <v>http://ts.21cn.com/tousu/show/id/1345363</v>
      </c>
      <c r="F13835" s="2" t="s">
        <v>11</v>
      </c>
      <c r="G13835" s="2" t="s">
        <v>16961</v>
      </c>
      <c r="H13835" s="2" t="s">
        <v>16962</v>
      </c>
    </row>
    <row r="13836" spans="1:8" ht="25.05" customHeight="1" x14ac:dyDescent="0.25">
      <c r="A13836" s="2" t="s">
        <v>8</v>
      </c>
      <c r="B13836" s="2" t="str">
        <f>HYPERLINK("http://ts.21cn.com/tousu/show/id/1345301","钱包易贷，协商处理了还款不消除逾期")</f>
        <v>钱包易贷，协商处理了还款不消除逾期</v>
      </c>
      <c r="C13836" s="2" t="s">
        <v>9</v>
      </c>
      <c r="D13836" s="2" t="s">
        <v>10</v>
      </c>
      <c r="E13836" s="2" t="str">
        <f>HYPERLINK("http://ts.21cn.com/tousu/show/id/1345301","http://ts.21cn.com/tousu/show/id/1345301")</f>
        <v>http://ts.21cn.com/tousu/show/id/1345301</v>
      </c>
      <c r="F13836" s="2" t="s">
        <v>11</v>
      </c>
      <c r="G13836" s="2" t="s">
        <v>16959</v>
      </c>
      <c r="H13836" s="2" t="s">
        <v>16960</v>
      </c>
    </row>
    <row r="13837" spans="1:8" ht="25.05" customHeight="1" x14ac:dyDescent="0.25">
      <c r="A13837" s="2" t="s">
        <v>8</v>
      </c>
      <c r="B13837" s="2" t="str">
        <f>HYPERLINK("http://ts.21cn.com/tousu/show/id/1345365","不按时返还话费")</f>
        <v>不按时返还话费</v>
      </c>
      <c r="C13837" s="2" t="s">
        <v>9</v>
      </c>
      <c r="D13837" s="2" t="s">
        <v>10</v>
      </c>
      <c r="E13837" s="2" t="str">
        <f>HYPERLINK("http://ts.21cn.com/tousu/show/id/1345365","http://ts.21cn.com/tousu/show/id/1345365")</f>
        <v>http://ts.21cn.com/tousu/show/id/1345365</v>
      </c>
      <c r="F13837" s="2" t="s">
        <v>11</v>
      </c>
      <c r="G13837" s="2" t="s">
        <v>16957</v>
      </c>
      <c r="H13837" s="2" t="s">
        <v>16958</v>
      </c>
    </row>
    <row r="13838" spans="1:8" ht="25.05" customHeight="1" x14ac:dyDescent="0.25">
      <c r="A13838" s="2" t="s">
        <v>8</v>
      </c>
      <c r="B13838" s="2" t="str">
        <f>HYPERLINK("http://ts.21cn.com/tousu/show/id/1345359","天津尚德在线教育科技有限公司不给予退款")</f>
        <v>天津尚德在线教育科技有限公司不给予退款</v>
      </c>
      <c r="C13838" s="2" t="s">
        <v>9</v>
      </c>
      <c r="D13838" s="2" t="s">
        <v>10</v>
      </c>
      <c r="E13838" s="2" t="str">
        <f>HYPERLINK("http://ts.21cn.com/tousu/show/id/1345359","http://ts.21cn.com/tousu/show/id/1345359")</f>
        <v>http://ts.21cn.com/tousu/show/id/1345359</v>
      </c>
      <c r="F13838" s="2" t="s">
        <v>11</v>
      </c>
      <c r="G13838" s="2" t="s">
        <v>16955</v>
      </c>
      <c r="H13838" s="2" t="s">
        <v>16956</v>
      </c>
    </row>
    <row r="13839" spans="1:8" ht="25.05" customHeight="1" x14ac:dyDescent="0.25">
      <c r="A13839" s="2" t="s">
        <v>8</v>
      </c>
      <c r="B13839" s="2" t="str">
        <f>HYPERLINK("http://ts.21cn.com/tousu/show/id/1345326","闲鱼客套去钱财")</f>
        <v>闲鱼客套去钱财</v>
      </c>
      <c r="C13839" s="2" t="s">
        <v>9</v>
      </c>
      <c r="D13839" s="2" t="s">
        <v>10</v>
      </c>
      <c r="E13839" s="2" t="str">
        <f>HYPERLINK("http://ts.21cn.com/tousu/show/id/1345326","http://ts.21cn.com/tousu/show/id/1345326")</f>
        <v>http://ts.21cn.com/tousu/show/id/1345326</v>
      </c>
      <c r="F13839" s="2" t="s">
        <v>11</v>
      </c>
      <c r="G13839" s="2" t="s">
        <v>16953</v>
      </c>
      <c r="H13839" s="2" t="s">
        <v>16954</v>
      </c>
    </row>
    <row r="13840" spans="1:8" ht="25.05" customHeight="1" x14ac:dyDescent="0.25">
      <c r="A13840" s="2" t="s">
        <v>8</v>
      </c>
      <c r="B13840" s="2" t="str">
        <f>HYPERLINK("http://ts.21cn.com/tousu/show/id/1345342","平安普惠威胁")</f>
        <v>平安普惠威胁</v>
      </c>
      <c r="C13840" s="2" t="s">
        <v>9</v>
      </c>
      <c r="D13840" s="2" t="s">
        <v>10</v>
      </c>
      <c r="E13840" s="2" t="str">
        <f>HYPERLINK("http://ts.21cn.com/tousu/show/id/1345342","http://ts.21cn.com/tousu/show/id/1345342")</f>
        <v>http://ts.21cn.com/tousu/show/id/1345342</v>
      </c>
      <c r="F13840" s="2" t="s">
        <v>11</v>
      </c>
      <c r="G13840" s="2" t="s">
        <v>16951</v>
      </c>
      <c r="H13840" s="2" t="s">
        <v>16952</v>
      </c>
    </row>
    <row r="13841" spans="1:8" ht="25.05" customHeight="1" x14ac:dyDescent="0.25">
      <c r="A13841" s="2" t="s">
        <v>8</v>
      </c>
      <c r="B13841" s="2" t="str">
        <f>HYPERLINK("http://ts.21cn.com/tousu/show/id/1345366","造艺科技下载聚福钱包借款，然而并没有借到，还倒扣我299，希望尽快还我。")</f>
        <v>造艺科技下载聚福钱包借款，然而并没有借到，还倒扣我299，希望尽快还我。</v>
      </c>
      <c r="C13841" s="2" t="s">
        <v>9</v>
      </c>
      <c r="D13841" s="2" t="s">
        <v>10</v>
      </c>
      <c r="E13841" s="2" t="str">
        <f>HYPERLINK("http://ts.21cn.com/tousu/show/id/1345366","http://ts.21cn.com/tousu/show/id/1345366")</f>
        <v>http://ts.21cn.com/tousu/show/id/1345366</v>
      </c>
      <c r="F13841" s="2" t="s">
        <v>11</v>
      </c>
      <c r="G13841" s="2" t="s">
        <v>16949</v>
      </c>
      <c r="H13841" s="2" t="s">
        <v>16950</v>
      </c>
    </row>
    <row r="13842" spans="1:8" ht="25.05" customHeight="1" x14ac:dyDescent="0.25">
      <c r="A13842" s="2" t="s">
        <v>8</v>
      </c>
      <c r="B13842" s="2" t="str">
        <f>HYPERLINK("http://ts.21cn.com/tousu/show/id/1345367","网贷爆通讯录")</f>
        <v>网贷爆通讯录</v>
      </c>
      <c r="C13842" s="2" t="s">
        <v>9</v>
      </c>
      <c r="D13842" s="2" t="s">
        <v>10</v>
      </c>
      <c r="E13842" s="2" t="str">
        <f>HYPERLINK("http://ts.21cn.com/tousu/show/id/1345367","http://ts.21cn.com/tousu/show/id/1345367")</f>
        <v>http://ts.21cn.com/tousu/show/id/1345367</v>
      </c>
      <c r="F13842" s="2" t="s">
        <v>11</v>
      </c>
      <c r="G13842" s="2" t="s">
        <v>16946</v>
      </c>
      <c r="H13842" s="2" t="s">
        <v>16947</v>
      </c>
    </row>
    <row r="13843" spans="1:8" ht="25.05" customHeight="1" x14ac:dyDescent="0.25">
      <c r="A13843" s="2" t="s">
        <v>8</v>
      </c>
      <c r="B13843" s="2" t="str">
        <f>HYPERLINK("http://ts.21cn.com/tousu/show/id/1345368","温州启铭电子商务公司")</f>
        <v>温州启铭电子商务公司</v>
      </c>
      <c r="C13843" s="2" t="s">
        <v>9</v>
      </c>
      <c r="D13843" s="2" t="s">
        <v>10</v>
      </c>
      <c r="E13843" s="2" t="str">
        <f>HYPERLINK("http://ts.21cn.com/tousu/show/id/1345368","http://ts.21cn.com/tousu/show/id/1345368")</f>
        <v>http://ts.21cn.com/tousu/show/id/1345368</v>
      </c>
      <c r="F13843" s="2" t="s">
        <v>11</v>
      </c>
      <c r="G13843" s="2" t="s">
        <v>16944</v>
      </c>
      <c r="H13843" s="2" t="s">
        <v>16945</v>
      </c>
    </row>
    <row r="13844" spans="1:8" ht="25.05" customHeight="1" x14ac:dyDescent="0.25">
      <c r="A13844" s="2" t="s">
        <v>8</v>
      </c>
      <c r="B13844" s="2" t="str">
        <f>HYPERLINK("http://ts.21cn.com/tousu/show/id/1345369","去哪儿金融里面的借趣花高利贷")</f>
        <v>去哪儿金融里面的借趣花高利贷</v>
      </c>
      <c r="C13844" s="2" t="s">
        <v>9</v>
      </c>
      <c r="D13844" s="2" t="s">
        <v>10</v>
      </c>
      <c r="E13844" s="2" t="str">
        <f>HYPERLINK("http://ts.21cn.com/tousu/show/id/1345369","http://ts.21cn.com/tousu/show/id/1345369")</f>
        <v>http://ts.21cn.com/tousu/show/id/1345369</v>
      </c>
      <c r="F13844" s="2" t="s">
        <v>11</v>
      </c>
      <c r="G13844" s="2" t="s">
        <v>16942</v>
      </c>
      <c r="H13844" s="2" t="s">
        <v>16943</v>
      </c>
    </row>
    <row r="13845" spans="1:8" ht="25.05" customHeight="1" x14ac:dyDescent="0.25">
      <c r="A13845" s="2" t="s">
        <v>8</v>
      </c>
      <c r="B13845" s="2" t="str">
        <f>HYPERLINK("http://ts.21cn.com/tousu/show/id/1345370","阳澄锦绍大闸蟹借口拖延不发货")</f>
        <v>阳澄锦绍大闸蟹借口拖延不发货</v>
      </c>
      <c r="C13845" s="2" t="s">
        <v>9</v>
      </c>
      <c r="D13845" s="2" t="s">
        <v>10</v>
      </c>
      <c r="E13845" s="2" t="str">
        <f>HYPERLINK("http://ts.21cn.com/tousu/show/id/1345370","http://ts.21cn.com/tousu/show/id/1345370")</f>
        <v>http://ts.21cn.com/tousu/show/id/1345370</v>
      </c>
      <c r="F13845" s="2" t="s">
        <v>11</v>
      </c>
      <c r="G13845" s="2" t="s">
        <v>16940</v>
      </c>
      <c r="H13845" s="2" t="s">
        <v>16941</v>
      </c>
    </row>
    <row r="13846" spans="1:8" ht="25.05" customHeight="1" x14ac:dyDescent="0.25">
      <c r="A13846" s="2" t="s">
        <v>8</v>
      </c>
      <c r="B13846" s="2" t="str">
        <f>HYPERLINK("http://ts.21cn.com/tousu/show/id/1345371","小卡赢贷暴力催收，骚扰联系人")</f>
        <v>小卡赢贷暴力催收，骚扰联系人</v>
      </c>
      <c r="C13846" s="2" t="s">
        <v>9</v>
      </c>
      <c r="D13846" s="2" t="s">
        <v>10</v>
      </c>
      <c r="E13846" s="2" t="str">
        <f>HYPERLINK("http://ts.21cn.com/tousu/show/id/1345371","http://ts.21cn.com/tousu/show/id/1345371")</f>
        <v>http://ts.21cn.com/tousu/show/id/1345371</v>
      </c>
      <c r="F13846" s="2" t="s">
        <v>11</v>
      </c>
      <c r="G13846" s="2" t="s">
        <v>16938</v>
      </c>
      <c r="H13846" s="2" t="s">
        <v>16939</v>
      </c>
    </row>
    <row r="13847" spans="1:8" ht="25.05" customHeight="1" x14ac:dyDescent="0.25">
      <c r="A13847" s="2" t="s">
        <v>8</v>
      </c>
      <c r="B13847" s="2" t="str">
        <f>HYPERLINK("http://ts.21cn.com/tousu/show/id/1345375","万恶的校园贷钱站私自给学生放款")</f>
        <v>万恶的校园贷钱站私自给学生放款</v>
      </c>
      <c r="C13847" s="2" t="s">
        <v>9</v>
      </c>
      <c r="D13847" s="2" t="s">
        <v>10</v>
      </c>
      <c r="E13847" s="2" t="str">
        <f>HYPERLINK("http://ts.21cn.com/tousu/show/id/1345375","http://ts.21cn.com/tousu/show/id/1345375")</f>
        <v>http://ts.21cn.com/tousu/show/id/1345375</v>
      </c>
      <c r="F13847" s="2" t="s">
        <v>11</v>
      </c>
      <c r="G13847" s="2" t="s">
        <v>16936</v>
      </c>
      <c r="H13847" s="2" t="s">
        <v>16937</v>
      </c>
    </row>
    <row r="13848" spans="1:8" ht="25.05" customHeight="1" x14ac:dyDescent="0.25">
      <c r="A13848" s="2" t="s">
        <v>8</v>
      </c>
      <c r="B13848" s="2" t="str">
        <f>HYPERLINK("http://ts.21cn.com/tousu/show/id/1345376","平安银行信用卡催收骚扰家人")</f>
        <v>平安银行信用卡催收骚扰家人</v>
      </c>
      <c r="C13848" s="2" t="s">
        <v>9</v>
      </c>
      <c r="D13848" s="2" t="s">
        <v>10</v>
      </c>
      <c r="E13848" s="2" t="str">
        <f>HYPERLINK("http://ts.21cn.com/tousu/show/id/1345376","http://ts.21cn.com/tousu/show/id/1345376")</f>
        <v>http://ts.21cn.com/tousu/show/id/1345376</v>
      </c>
      <c r="F13848" s="2" t="s">
        <v>11</v>
      </c>
      <c r="G13848" s="2" t="s">
        <v>16934</v>
      </c>
      <c r="H13848" s="2" t="s">
        <v>16935</v>
      </c>
    </row>
    <row r="13849" spans="1:8" ht="25.05" customHeight="1" x14ac:dyDescent="0.25">
      <c r="A13849" s="2" t="s">
        <v>8</v>
      </c>
      <c r="B13849" s="2" t="str">
        <f>HYPERLINK("http://ts.21cn.com/tousu/show/id/1345379","买家取消订单之前仍自着主张联系快递发货拖延退款时间")</f>
        <v>买家取消订单之前仍自着主张联系快递发货拖延退款时间</v>
      </c>
      <c r="C13849" s="2" t="s">
        <v>9</v>
      </c>
      <c r="D13849" s="2" t="s">
        <v>10</v>
      </c>
      <c r="E13849" s="2" t="str">
        <f>HYPERLINK("http://ts.21cn.com/tousu/show/id/1345379","http://ts.21cn.com/tousu/show/id/1345379")</f>
        <v>http://ts.21cn.com/tousu/show/id/1345379</v>
      </c>
      <c r="F13849" s="2" t="s">
        <v>11</v>
      </c>
      <c r="G13849" s="2" t="s">
        <v>16932</v>
      </c>
      <c r="H13849" s="2" t="s">
        <v>16933</v>
      </c>
    </row>
    <row r="13850" spans="1:8" ht="25.05" customHeight="1" x14ac:dyDescent="0.25">
      <c r="A13850" s="2" t="s">
        <v>8</v>
      </c>
      <c r="B13850" s="2" t="str">
        <f>HYPERLINK("http://ts.21cn.com/tousu/show/id/1345380","高利贷，威胁恐吓，暴力催收")</f>
        <v>高利贷，威胁恐吓，暴力催收</v>
      </c>
      <c r="C13850" s="2" t="s">
        <v>9</v>
      </c>
      <c r="D13850" s="2" t="s">
        <v>10</v>
      </c>
      <c r="E13850" s="2" t="str">
        <f>HYPERLINK("http://ts.21cn.com/tousu/show/id/1345380","http://ts.21cn.com/tousu/show/id/1345380")</f>
        <v>http://ts.21cn.com/tousu/show/id/1345380</v>
      </c>
      <c r="F13850" s="2" t="s">
        <v>11</v>
      </c>
      <c r="G13850" s="2" t="s">
        <v>16930</v>
      </c>
      <c r="H13850" s="2" t="s">
        <v>16931</v>
      </c>
    </row>
    <row r="13851" spans="1:8" ht="25.05" customHeight="1" x14ac:dyDescent="0.25">
      <c r="A13851" s="2" t="s">
        <v>8</v>
      </c>
      <c r="B13851" s="2" t="str">
        <f>HYPERLINK("http://ts.21cn.com/tousu/show/id/1345378","微信ETC长时间无法注销")</f>
        <v>微信ETC长时间无法注销</v>
      </c>
      <c r="C13851" s="2" t="s">
        <v>9</v>
      </c>
      <c r="D13851" s="2" t="s">
        <v>10</v>
      </c>
      <c r="E13851" s="2" t="str">
        <f>HYPERLINK("http://ts.21cn.com/tousu/show/id/1345378","http://ts.21cn.com/tousu/show/id/1345378")</f>
        <v>http://ts.21cn.com/tousu/show/id/1345378</v>
      </c>
      <c r="F13851" s="2" t="s">
        <v>11</v>
      </c>
      <c r="G13851" s="2" t="s">
        <v>16928</v>
      </c>
      <c r="H13851" s="2" t="s">
        <v>16929</v>
      </c>
    </row>
    <row r="13852" spans="1:8" ht="25.05" customHeight="1" x14ac:dyDescent="0.25">
      <c r="A13852" s="2" t="s">
        <v>8</v>
      </c>
      <c r="B13852" s="2" t="str">
        <f>HYPERLINK("http://ts.21cn.com/tousu/show/id/1345381","要求安徽中融法律服务有限公司立即停止对对本人通讯录的骚扰")</f>
        <v>要求安徽中融法律服务有限公司立即停止对对本人通讯录的骚扰</v>
      </c>
      <c r="C13852" s="2" t="s">
        <v>9</v>
      </c>
      <c r="D13852" s="2" t="s">
        <v>10</v>
      </c>
      <c r="E13852" s="2" t="str">
        <f>HYPERLINK("http://ts.21cn.com/tousu/show/id/1345381","http://ts.21cn.com/tousu/show/id/1345381")</f>
        <v>http://ts.21cn.com/tousu/show/id/1345381</v>
      </c>
      <c r="F13852" s="2" t="s">
        <v>11</v>
      </c>
      <c r="G13852" s="2" t="s">
        <v>16926</v>
      </c>
      <c r="H13852" s="2" t="s">
        <v>16927</v>
      </c>
    </row>
    <row r="13853" spans="1:8" ht="25.05" customHeight="1" x14ac:dyDescent="0.25">
      <c r="A13853" s="2" t="s">
        <v>8</v>
      </c>
      <c r="B13853" s="2" t="str">
        <f>HYPERLINK("http://ts.21cn.com/tousu/show/id/1345382","捷信金融雇佣外包人员冒充法院工作人员恐吓借款人，要求到当地法院去报到")</f>
        <v>捷信金融雇佣外包人员冒充法院工作人员恐吓借款人，要求到当地法院去报到</v>
      </c>
      <c r="C13853" s="2" t="s">
        <v>9</v>
      </c>
      <c r="D13853" s="2" t="s">
        <v>10</v>
      </c>
      <c r="E13853" s="2" t="str">
        <f>HYPERLINK("http://ts.21cn.com/tousu/show/id/1345382","http://ts.21cn.com/tousu/show/id/1345382")</f>
        <v>http://ts.21cn.com/tousu/show/id/1345382</v>
      </c>
      <c r="F13853" s="2" t="s">
        <v>11</v>
      </c>
      <c r="G13853" s="2" t="s">
        <v>16924</v>
      </c>
      <c r="H13853" s="2" t="s">
        <v>16925</v>
      </c>
    </row>
    <row r="13854" spans="1:8" ht="25.05" customHeight="1" x14ac:dyDescent="0.25">
      <c r="A13854" s="2" t="s">
        <v>8</v>
      </c>
      <c r="B13854" s="2" t="str">
        <f>HYPERLINK("http://ts.21cn.com/tousu/show/id/1345383","昨天立借客服给我打电话说要说还本金把平台里的钱数改掉给我一天时间今天没有人给我打电话平台里的数字也没有改直接给我朋友打电")</f>
        <v>昨天立借客服给我打电话说要说还本金把平台里的钱数改掉给我一天时间今天没有人给我打电话平台里的数字也没有改直接给我朋友打电</v>
      </c>
      <c r="C13854" s="2" t="s">
        <v>9</v>
      </c>
      <c r="D13854" s="2" t="s">
        <v>10</v>
      </c>
      <c r="E13854" s="2" t="str">
        <f>HYPERLINK("http://ts.21cn.com/tousu/show/id/1345383","http://ts.21cn.com/tousu/show/id/1345383")</f>
        <v>http://ts.21cn.com/tousu/show/id/1345383</v>
      </c>
      <c r="F13854" s="2" t="s">
        <v>11</v>
      </c>
      <c r="G13854" s="2" t="s">
        <v>16922</v>
      </c>
      <c r="H13854" s="2" t="s">
        <v>16923</v>
      </c>
    </row>
    <row r="13855" spans="1:8" ht="25.05" customHeight="1" x14ac:dyDescent="0.25">
      <c r="A13855" s="2" t="s">
        <v>8</v>
      </c>
      <c r="B13855" s="2" t="str">
        <f>HYPERLINK("http://ts.21cn.com/tousu/show/id/1345384","微博借钱暴力催收")</f>
        <v>微博借钱暴力催收</v>
      </c>
      <c r="C13855" s="2" t="s">
        <v>9</v>
      </c>
      <c r="D13855" s="2" t="s">
        <v>10</v>
      </c>
      <c r="E13855" s="2" t="str">
        <f>HYPERLINK("http://ts.21cn.com/tousu/show/id/1345384","http://ts.21cn.com/tousu/show/id/1345384")</f>
        <v>http://ts.21cn.com/tousu/show/id/1345384</v>
      </c>
      <c r="F13855" s="2" t="s">
        <v>11</v>
      </c>
      <c r="G13855" s="2" t="s">
        <v>16920</v>
      </c>
      <c r="H13855" s="2" t="s">
        <v>16921</v>
      </c>
    </row>
    <row r="13856" spans="1:8" ht="25.05" customHeight="1" x14ac:dyDescent="0.25">
      <c r="A13856" s="2" t="s">
        <v>8</v>
      </c>
      <c r="B13856" s="2" t="str">
        <f>HYPERLINK("http://ts.21cn.com/tousu/show/id/1345386","集体举报向钱贷")</f>
        <v>集体举报向钱贷</v>
      </c>
      <c r="C13856" s="2" t="s">
        <v>9</v>
      </c>
      <c r="D13856" s="2" t="s">
        <v>10</v>
      </c>
      <c r="E13856" s="2" t="str">
        <f>HYPERLINK("http://ts.21cn.com/tousu/show/id/1345386","http://ts.21cn.com/tousu/show/id/1345386")</f>
        <v>http://ts.21cn.com/tousu/show/id/1345386</v>
      </c>
      <c r="F13856" s="2" t="s">
        <v>11</v>
      </c>
      <c r="G13856" s="2" t="s">
        <v>16918</v>
      </c>
      <c r="H13856" s="2" t="s">
        <v>16919</v>
      </c>
    </row>
    <row r="13857" spans="1:8" ht="25.05" customHeight="1" x14ac:dyDescent="0.25">
      <c r="A13857" s="2" t="s">
        <v>8</v>
      </c>
      <c r="B13857" s="2" t="str">
        <f>HYPERLINK("http://ts.21cn.com/tousu/show/id/1345362","暴力催收")</f>
        <v>暴力催收</v>
      </c>
      <c r="C13857" s="2" t="s">
        <v>9</v>
      </c>
      <c r="D13857" s="2" t="s">
        <v>10</v>
      </c>
      <c r="E13857" s="2" t="str">
        <f>HYPERLINK("http://ts.21cn.com/tousu/show/id/1345362","http://ts.21cn.com/tousu/show/id/1345362")</f>
        <v>http://ts.21cn.com/tousu/show/id/1345362</v>
      </c>
      <c r="F13857" s="2" t="s">
        <v>11</v>
      </c>
      <c r="G13857" s="2" t="s">
        <v>16916</v>
      </c>
      <c r="H13857" s="2" t="s">
        <v>16917</v>
      </c>
    </row>
    <row r="13858" spans="1:8" ht="25.05" customHeight="1" x14ac:dyDescent="0.25">
      <c r="A13858" s="2" t="s">
        <v>8</v>
      </c>
      <c r="B13858" s="2" t="str">
        <f>HYPERLINK("http://ts.21cn.com/tousu/show/id/1345387","下载聚福钱包借款，然而并没有借到，还倒扣我299，希望尽快还我。")</f>
        <v>下载聚福钱包借款，然而并没有借到，还倒扣我299，希望尽快还我。</v>
      </c>
      <c r="C13858" s="2" t="s">
        <v>9</v>
      </c>
      <c r="D13858" s="2" t="s">
        <v>10</v>
      </c>
      <c r="E13858" s="2" t="str">
        <f>HYPERLINK("http://ts.21cn.com/tousu/show/id/1345387","http://ts.21cn.com/tousu/show/id/1345387")</f>
        <v>http://ts.21cn.com/tousu/show/id/1345387</v>
      </c>
      <c r="F13858" s="2" t="s">
        <v>11</v>
      </c>
      <c r="G13858" s="2" t="s">
        <v>16914</v>
      </c>
      <c r="H13858" s="2" t="s">
        <v>16915</v>
      </c>
    </row>
    <row r="13859" spans="1:8" ht="25.05" customHeight="1" x14ac:dyDescent="0.25">
      <c r="A13859" s="2" t="s">
        <v>8</v>
      </c>
      <c r="B13859" s="2" t="str">
        <f>HYPERLINK("http://ts.21cn.com/tousu/show/id/1345389","催收恐吓群发短信")</f>
        <v>催收恐吓群发短信</v>
      </c>
      <c r="C13859" s="2" t="s">
        <v>9</v>
      </c>
      <c r="D13859" s="2" t="s">
        <v>10</v>
      </c>
      <c r="E13859" s="2" t="str">
        <f>HYPERLINK("http://ts.21cn.com/tousu/show/id/1345389","http://ts.21cn.com/tousu/show/id/1345389")</f>
        <v>http://ts.21cn.com/tousu/show/id/1345389</v>
      </c>
      <c r="F13859" s="2" t="s">
        <v>11</v>
      </c>
      <c r="G13859" s="2" t="s">
        <v>16911</v>
      </c>
      <c r="H13859" s="2" t="s">
        <v>16912</v>
      </c>
    </row>
    <row r="13860" spans="1:8" ht="25.05" customHeight="1" x14ac:dyDescent="0.25">
      <c r="A13860" s="2" t="s">
        <v>8</v>
      </c>
      <c r="B13860" s="2" t="str">
        <f>HYPERLINK("http://ts.21cn.com/tousu/show/id/1345388","非本人借款，骚扰电话一直打到我这里来")</f>
        <v>非本人借款，骚扰电话一直打到我这里来</v>
      </c>
      <c r="C13860" s="2" t="s">
        <v>9</v>
      </c>
      <c r="D13860" s="2" t="s">
        <v>10</v>
      </c>
      <c r="E13860" s="2" t="str">
        <f>HYPERLINK("http://ts.21cn.com/tousu/show/id/1345388","http://ts.21cn.com/tousu/show/id/1345388")</f>
        <v>http://ts.21cn.com/tousu/show/id/1345388</v>
      </c>
      <c r="F13860" s="2" t="s">
        <v>11</v>
      </c>
      <c r="G13860" s="2" t="s">
        <v>16909</v>
      </c>
      <c r="H13860" s="2" t="s">
        <v>16910</v>
      </c>
    </row>
    <row r="13861" spans="1:8" ht="25.05" customHeight="1" x14ac:dyDescent="0.25">
      <c r="A13861" s="2" t="s">
        <v>8</v>
      </c>
      <c r="B13861" s="2" t="str">
        <f>HYPERLINK("http://ts.21cn.com/tousu/show/id/1345390","嗨学网诱导消费者签订霸王条款，不退费")</f>
        <v>嗨学网诱导消费者签订霸王条款，不退费</v>
      </c>
      <c r="C13861" s="2" t="s">
        <v>9</v>
      </c>
      <c r="D13861" s="2" t="s">
        <v>10</v>
      </c>
      <c r="E13861" s="2" t="str">
        <f>HYPERLINK("http://ts.21cn.com/tousu/show/id/1345390","http://ts.21cn.com/tousu/show/id/1345390")</f>
        <v>http://ts.21cn.com/tousu/show/id/1345390</v>
      </c>
      <c r="F13861" s="2" t="s">
        <v>11</v>
      </c>
      <c r="G13861" s="2" t="s">
        <v>16907</v>
      </c>
      <c r="H13861" s="2" t="s">
        <v>16908</v>
      </c>
    </row>
    <row r="13862" spans="1:8" ht="25.05" customHeight="1" x14ac:dyDescent="0.25">
      <c r="A13862" s="2" t="s">
        <v>8</v>
      </c>
      <c r="B13862" s="2" t="str">
        <f>HYPERLINK("http://ts.21cn.com/tousu/show/id/1345391","网贷利息高")</f>
        <v>网贷利息高</v>
      </c>
      <c r="C13862" s="2" t="s">
        <v>34</v>
      </c>
      <c r="D13862" s="2" t="s">
        <v>10</v>
      </c>
      <c r="E13862" s="2" t="str">
        <f>HYPERLINK("http://ts.21cn.com/tousu/show/id/1345391","http://ts.21cn.com/tousu/show/id/1345391")</f>
        <v>http://ts.21cn.com/tousu/show/id/1345391</v>
      </c>
      <c r="F13862" s="2" t="s">
        <v>11</v>
      </c>
      <c r="G13862" s="2" t="s">
        <v>16905</v>
      </c>
      <c r="H13862" s="2" t="s">
        <v>16906</v>
      </c>
    </row>
    <row r="13863" spans="1:8" ht="25.05" customHeight="1" x14ac:dyDescent="0.25">
      <c r="A13863" s="2" t="s">
        <v>8</v>
      </c>
      <c r="B13863" s="2" t="str">
        <f>HYPERLINK("http://ts.21cn.com/tousu/show/id/1345373","钱站APP北京会牛科技有限公司非法阴阳合同高利贷，盗取和骚扰个人通讯录")</f>
        <v>钱站APP北京会牛科技有限公司非法阴阳合同高利贷，盗取和骚扰个人通讯录</v>
      </c>
      <c r="C13863" s="2" t="s">
        <v>9</v>
      </c>
      <c r="D13863" s="2" t="s">
        <v>10</v>
      </c>
      <c r="E13863" s="2" t="str">
        <f>HYPERLINK("http://ts.21cn.com/tousu/show/id/1345373","http://ts.21cn.com/tousu/show/id/1345373")</f>
        <v>http://ts.21cn.com/tousu/show/id/1345373</v>
      </c>
      <c r="F13863" s="2" t="s">
        <v>11</v>
      </c>
      <c r="G13863" s="2" t="s">
        <v>16903</v>
      </c>
      <c r="H13863" s="2" t="s">
        <v>16904</v>
      </c>
    </row>
    <row r="13864" spans="1:8" ht="25.05" customHeight="1" x14ac:dyDescent="0.25">
      <c r="A13864" s="2" t="s">
        <v>8</v>
      </c>
      <c r="B13864" s="2" t="str">
        <f>HYPERLINK("http://ts.21cn.com/tousu/show/id/1345392","涉嫌违规欺诈申请退款")</f>
        <v>涉嫌违规欺诈申请退款</v>
      </c>
      <c r="C13864" s="2" t="s">
        <v>9</v>
      </c>
      <c r="D13864" s="2" t="s">
        <v>10</v>
      </c>
      <c r="E13864" s="2" t="str">
        <f>HYPERLINK("http://ts.21cn.com/tousu/show/id/1345392","http://ts.21cn.com/tousu/show/id/1345392")</f>
        <v>http://ts.21cn.com/tousu/show/id/1345392</v>
      </c>
      <c r="F13864" s="2" t="s">
        <v>11</v>
      </c>
      <c r="G13864" s="2" t="s">
        <v>16901</v>
      </c>
      <c r="H13864" s="2" t="s">
        <v>16902</v>
      </c>
    </row>
    <row r="13865" spans="1:8" ht="25.05" customHeight="1" x14ac:dyDescent="0.25">
      <c r="A13865" s="2" t="s">
        <v>8</v>
      </c>
      <c r="B13865" s="2" t="str">
        <f>HYPERLINK("http://ts.21cn.com/tousu/show/id/1345393","升学教育霸王条款")</f>
        <v>升学教育霸王条款</v>
      </c>
      <c r="C13865" s="2" t="s">
        <v>9</v>
      </c>
      <c r="D13865" s="2" t="s">
        <v>10</v>
      </c>
      <c r="E13865" s="2" t="str">
        <f>HYPERLINK("http://ts.21cn.com/tousu/show/id/1345393","http://ts.21cn.com/tousu/show/id/1345393")</f>
        <v>http://ts.21cn.com/tousu/show/id/1345393</v>
      </c>
      <c r="F13865" s="2" t="s">
        <v>11</v>
      </c>
      <c r="G13865" s="2" t="s">
        <v>16899</v>
      </c>
      <c r="H13865" s="2" t="s">
        <v>16900</v>
      </c>
    </row>
    <row r="13866" spans="1:8" ht="25.05" customHeight="1" x14ac:dyDescent="0.25">
      <c r="A13866" s="2" t="s">
        <v>8</v>
      </c>
      <c r="B13866" s="2" t="str">
        <f>HYPERLINK("http://ts.21cn.com/tousu/show/id/1345394","平安普惠贷款隐瞒隐藏并强制收取高额保险费管理费投诉事宜")</f>
        <v>平安普惠贷款隐瞒隐藏并强制收取高额保险费管理费投诉事宜</v>
      </c>
      <c r="C13866" s="2" t="s">
        <v>9</v>
      </c>
      <c r="D13866" s="2" t="s">
        <v>10</v>
      </c>
      <c r="E13866" s="2" t="str">
        <f>HYPERLINK("http://ts.21cn.com/tousu/show/id/1345394","http://ts.21cn.com/tousu/show/id/1345394")</f>
        <v>http://ts.21cn.com/tousu/show/id/1345394</v>
      </c>
      <c r="F13866" s="2" t="s">
        <v>11</v>
      </c>
      <c r="G13866" s="2" t="s">
        <v>16897</v>
      </c>
      <c r="H13866" s="2" t="s">
        <v>16898</v>
      </c>
    </row>
    <row r="13867" spans="1:8" ht="25.05" customHeight="1" x14ac:dyDescent="0.25">
      <c r="A13867" s="2" t="s">
        <v>8</v>
      </c>
      <c r="B13867" s="2" t="str">
        <f>HYPERLINK("http://ts.21cn.com/tousu/show/id/1345396","淘集集购物平台恶意拖欠商家货款，严重违反了合约条款")</f>
        <v>淘集集购物平台恶意拖欠商家货款，严重违反了合约条款</v>
      </c>
      <c r="C13867" s="2" t="s">
        <v>9</v>
      </c>
      <c r="D13867" s="2" t="s">
        <v>10</v>
      </c>
      <c r="E13867" s="2" t="str">
        <f>HYPERLINK("http://ts.21cn.com/tousu/show/id/1345396","http://ts.21cn.com/tousu/show/id/1345396")</f>
        <v>http://ts.21cn.com/tousu/show/id/1345396</v>
      </c>
      <c r="F13867" s="2" t="s">
        <v>11</v>
      </c>
      <c r="G13867" s="2" t="s">
        <v>16895</v>
      </c>
      <c r="H13867" s="2" t="s">
        <v>16896</v>
      </c>
    </row>
    <row r="13868" spans="1:8" ht="25.05" customHeight="1" x14ac:dyDescent="0.25">
      <c r="A13868" s="2" t="s">
        <v>8</v>
      </c>
      <c r="B13868" s="2" t="str">
        <f>HYPERLINK("http://ts.21cn.com/tousu/show/id/1345395","今借到条子")</f>
        <v>今借到条子</v>
      </c>
      <c r="C13868" s="2" t="s">
        <v>9</v>
      </c>
      <c r="D13868" s="2" t="s">
        <v>10</v>
      </c>
      <c r="E13868" s="2" t="str">
        <f>HYPERLINK("http://ts.21cn.com/tousu/show/id/1345395","http://ts.21cn.com/tousu/show/id/1345395")</f>
        <v>http://ts.21cn.com/tousu/show/id/1345395</v>
      </c>
      <c r="F13868" s="2" t="s">
        <v>11</v>
      </c>
      <c r="G13868" s="2" t="s">
        <v>16893</v>
      </c>
      <c r="H13868" s="2" t="s">
        <v>16894</v>
      </c>
    </row>
    <row r="13869" spans="1:8" ht="25.05" customHeight="1" x14ac:dyDescent="0.25">
      <c r="A13869" s="2" t="s">
        <v>8</v>
      </c>
      <c r="B13869" s="2" t="str">
        <f>HYPERLINK("http://ts.21cn.com/tousu/show/id/1345397","你我贷，客服人员威胁恐吓本人")</f>
        <v>你我贷，客服人员威胁恐吓本人</v>
      </c>
      <c r="C13869" s="2" t="s">
        <v>9</v>
      </c>
      <c r="D13869" s="2" t="s">
        <v>10</v>
      </c>
      <c r="E13869" s="2" t="str">
        <f>HYPERLINK("http://ts.21cn.com/tousu/show/id/1345397","http://ts.21cn.com/tousu/show/id/1345397")</f>
        <v>http://ts.21cn.com/tousu/show/id/1345397</v>
      </c>
      <c r="F13869" s="2" t="s">
        <v>11</v>
      </c>
      <c r="G13869" s="2" t="s">
        <v>16891</v>
      </c>
      <c r="H13869" s="2" t="s">
        <v>16892</v>
      </c>
    </row>
    <row r="13870" spans="1:8" ht="25.05" customHeight="1" x14ac:dyDescent="0.25">
      <c r="A13870" s="2" t="s">
        <v>8</v>
      </c>
      <c r="B13870" s="2" t="str">
        <f>HYPERLINK("http://ts.21cn.com/tousu/show/id/1345399","立借高利贷平台")</f>
        <v>立借高利贷平台</v>
      </c>
      <c r="C13870" s="2" t="s">
        <v>9</v>
      </c>
      <c r="D13870" s="2" t="s">
        <v>10</v>
      </c>
      <c r="E13870" s="2" t="str">
        <f>HYPERLINK("http://ts.21cn.com/tousu/show/id/1345399","http://ts.21cn.com/tousu/show/id/1345399")</f>
        <v>http://ts.21cn.com/tousu/show/id/1345399</v>
      </c>
      <c r="F13870" s="2" t="s">
        <v>11</v>
      </c>
      <c r="G13870" s="2" t="s">
        <v>16889</v>
      </c>
      <c r="H13870" s="2" t="s">
        <v>16890</v>
      </c>
    </row>
    <row r="13871" spans="1:8" ht="25.05" customHeight="1" x14ac:dyDescent="0.25">
      <c r="A13871" s="2" t="s">
        <v>8</v>
      </c>
      <c r="B13871" s="2" t="str">
        <f>HYPERLINK("http://ts.21cn.com/tousu/show/id/1345398","天天爆通讯录，发短信威胁，对我生活造成很大影响")</f>
        <v>天天爆通讯录，发短信威胁，对我生活造成很大影响</v>
      </c>
      <c r="C13871" s="2" t="s">
        <v>9</v>
      </c>
      <c r="D13871" s="2" t="s">
        <v>10</v>
      </c>
      <c r="E13871" s="2" t="str">
        <f>HYPERLINK("http://ts.21cn.com/tousu/show/id/1345398","http://ts.21cn.com/tousu/show/id/1345398")</f>
        <v>http://ts.21cn.com/tousu/show/id/1345398</v>
      </c>
      <c r="F13871" s="2" t="s">
        <v>11</v>
      </c>
      <c r="G13871" s="2" t="s">
        <v>16887</v>
      </c>
      <c r="H13871" s="2" t="s">
        <v>16888</v>
      </c>
    </row>
    <row r="13872" spans="1:8" ht="25.05" customHeight="1" x14ac:dyDescent="0.25">
      <c r="A13872" s="2" t="s">
        <v>8</v>
      </c>
      <c r="B13872" s="2" t="str">
        <f>HYPERLINK("http://ts.21cn.com/tousu/show/id/1345402","新浪有借")</f>
        <v>新浪有借</v>
      </c>
      <c r="C13872" s="2" t="s">
        <v>9</v>
      </c>
      <c r="D13872" s="2" t="s">
        <v>10</v>
      </c>
      <c r="E13872" s="2" t="str">
        <f>HYPERLINK("http://ts.21cn.com/tousu/show/id/1345402","http://ts.21cn.com/tousu/show/id/1345402")</f>
        <v>http://ts.21cn.com/tousu/show/id/1345402</v>
      </c>
      <c r="F13872" s="2" t="s">
        <v>11</v>
      </c>
      <c r="G13872" s="2" t="s">
        <v>16885</v>
      </c>
      <c r="H13872" s="2" t="s">
        <v>16886</v>
      </c>
    </row>
    <row r="13873" spans="1:8" ht="25.05" customHeight="1" x14ac:dyDescent="0.25">
      <c r="A13873" s="2" t="s">
        <v>8</v>
      </c>
      <c r="B13873" s="2" t="str">
        <f>HYPERLINK("http://ts.21cn.com/tousu/show/id/1345403","淘宝商家发错货不给解决")</f>
        <v>淘宝商家发错货不给解决</v>
      </c>
      <c r="C13873" s="2" t="s">
        <v>9</v>
      </c>
      <c r="D13873" s="2" t="s">
        <v>10</v>
      </c>
      <c r="E13873" s="2" t="str">
        <f>HYPERLINK("http://ts.21cn.com/tousu/show/id/1345403","http://ts.21cn.com/tousu/show/id/1345403")</f>
        <v>http://ts.21cn.com/tousu/show/id/1345403</v>
      </c>
      <c r="F13873" s="2" t="s">
        <v>11</v>
      </c>
      <c r="G13873" s="2" t="s">
        <v>16883</v>
      </c>
      <c r="H13873" s="2" t="s">
        <v>16884</v>
      </c>
    </row>
    <row r="13874" spans="1:8" ht="25.05" customHeight="1" x14ac:dyDescent="0.25">
      <c r="A13874" s="2" t="s">
        <v>8</v>
      </c>
      <c r="B13874" s="2" t="str">
        <f>HYPERLINK("http://ts.21cn.com/tousu/show/id/1345385","智行火车票改签不退款")</f>
        <v>智行火车票改签不退款</v>
      </c>
      <c r="C13874" s="2" t="s">
        <v>9</v>
      </c>
      <c r="D13874" s="2" t="s">
        <v>10</v>
      </c>
      <c r="E13874" s="2" t="str">
        <f>HYPERLINK("http://ts.21cn.com/tousu/show/id/1345385","http://ts.21cn.com/tousu/show/id/1345385")</f>
        <v>http://ts.21cn.com/tousu/show/id/1345385</v>
      </c>
      <c r="F13874" s="2" t="s">
        <v>11</v>
      </c>
      <c r="G13874" s="2" t="s">
        <v>16881</v>
      </c>
      <c r="H13874" s="2" t="s">
        <v>16882</v>
      </c>
    </row>
    <row r="13875" spans="1:8" ht="25.05" customHeight="1" x14ac:dyDescent="0.25">
      <c r="A13875" s="2" t="s">
        <v>8</v>
      </c>
      <c r="B13875" s="2" t="str">
        <f>HYPERLINK("http://ts.21cn.com/tousu/show/id/1345405","恒昌公司旗下恒易贷合同金额远高于实际借款金额")</f>
        <v>恒昌公司旗下恒易贷合同金额远高于实际借款金额</v>
      </c>
      <c r="C13875" s="2" t="s">
        <v>9</v>
      </c>
      <c r="D13875" s="2" t="s">
        <v>10</v>
      </c>
      <c r="E13875" s="2" t="str">
        <f>HYPERLINK("http://ts.21cn.com/tousu/show/id/1345405","http://ts.21cn.com/tousu/show/id/1345405")</f>
        <v>http://ts.21cn.com/tousu/show/id/1345405</v>
      </c>
      <c r="F13875" s="2" t="s">
        <v>11</v>
      </c>
      <c r="G13875" s="2" t="s">
        <v>16879</v>
      </c>
      <c r="H13875" s="2" t="s">
        <v>16880</v>
      </c>
    </row>
    <row r="13876" spans="1:8" ht="25.05" customHeight="1" x14ac:dyDescent="0.25">
      <c r="A13876" s="2" t="s">
        <v>8</v>
      </c>
      <c r="B13876" s="2" t="str">
        <f>HYPERLINK("http://ts.21cn.com/tousu/show/id/1345407","拍拍贷高利贷")</f>
        <v>拍拍贷高利贷</v>
      </c>
      <c r="C13876" s="2" t="s">
        <v>9</v>
      </c>
      <c r="D13876" s="2" t="s">
        <v>10</v>
      </c>
      <c r="E13876" s="2" t="str">
        <f>HYPERLINK("http://ts.21cn.com/tousu/show/id/1345407","http://ts.21cn.com/tousu/show/id/1345407")</f>
        <v>http://ts.21cn.com/tousu/show/id/1345407</v>
      </c>
      <c r="F13876" s="2" t="s">
        <v>11</v>
      </c>
      <c r="G13876" s="2" t="s">
        <v>16877</v>
      </c>
      <c r="H13876" s="2" t="s">
        <v>16878</v>
      </c>
    </row>
    <row r="13877" spans="1:8" ht="25.05" customHeight="1" x14ac:dyDescent="0.25">
      <c r="A13877" s="2" t="s">
        <v>8</v>
      </c>
      <c r="B13877" s="2" t="str">
        <f>HYPERLINK("http://ts.21cn.com/tousu/show/id/1345408","网贷利息高")</f>
        <v>网贷利息高</v>
      </c>
      <c r="C13877" s="2" t="s">
        <v>9</v>
      </c>
      <c r="D13877" s="2" t="s">
        <v>10</v>
      </c>
      <c r="E13877" s="2" t="str">
        <f>HYPERLINK("http://ts.21cn.com/tousu/show/id/1345408","http://ts.21cn.com/tousu/show/id/1345408")</f>
        <v>http://ts.21cn.com/tousu/show/id/1345408</v>
      </c>
      <c r="F13877" s="2" t="s">
        <v>11</v>
      </c>
      <c r="G13877" s="2" t="s">
        <v>16875</v>
      </c>
      <c r="H13877" s="2" t="s">
        <v>16876</v>
      </c>
    </row>
    <row r="13878" spans="1:8" ht="25.05" customHeight="1" x14ac:dyDescent="0.25">
      <c r="A13878" s="2" t="s">
        <v>8</v>
      </c>
      <c r="B13878" s="2" t="str">
        <f>HYPERLINK("http://ts.21cn.com/tousu/show/id/1345410","恐吓，流氓推收")</f>
        <v>恐吓，流氓推收</v>
      </c>
      <c r="C13878" s="2" t="s">
        <v>9</v>
      </c>
      <c r="D13878" s="2" t="s">
        <v>10</v>
      </c>
      <c r="E13878" s="2" t="str">
        <f>HYPERLINK("http://ts.21cn.com/tousu/show/id/1345410","http://ts.21cn.com/tousu/show/id/1345410")</f>
        <v>http://ts.21cn.com/tousu/show/id/1345410</v>
      </c>
      <c r="F13878" s="2" t="s">
        <v>11</v>
      </c>
      <c r="G13878" s="2" t="s">
        <v>16873</v>
      </c>
      <c r="H13878" s="2" t="s">
        <v>16874</v>
      </c>
    </row>
    <row r="13879" spans="1:8" ht="25.05" customHeight="1" x14ac:dyDescent="0.25">
      <c r="A13879" s="2" t="s">
        <v>8</v>
      </c>
      <c r="B13879" s="2" t="str">
        <f>HYPERLINK("http://ts.21cn.com/tousu/show/id/1345412","造艺豹子货胡乱扣费")</f>
        <v>造艺豹子货胡乱扣费</v>
      </c>
      <c r="C13879" s="2" t="s">
        <v>9</v>
      </c>
      <c r="D13879" s="2" t="s">
        <v>10</v>
      </c>
      <c r="E13879" s="2" t="str">
        <f>HYPERLINK("http://ts.21cn.com/tousu/show/id/1345412","http://ts.21cn.com/tousu/show/id/1345412")</f>
        <v>http://ts.21cn.com/tousu/show/id/1345412</v>
      </c>
      <c r="F13879" s="2" t="s">
        <v>11</v>
      </c>
      <c r="G13879" s="2" t="s">
        <v>16871</v>
      </c>
      <c r="H13879" s="2" t="s">
        <v>16872</v>
      </c>
    </row>
    <row r="13880" spans="1:8" ht="25.05" customHeight="1" x14ac:dyDescent="0.25">
      <c r="A13880" s="2" t="s">
        <v>8</v>
      </c>
      <c r="B13880" s="2" t="str">
        <f>HYPERLINK("http://ts.21cn.com/tousu/show/id/1345413","滴滴出行乱扣所谓的违约金")</f>
        <v>滴滴出行乱扣所谓的违约金</v>
      </c>
      <c r="C13880" s="2" t="s">
        <v>9</v>
      </c>
      <c r="D13880" s="2" t="s">
        <v>10</v>
      </c>
      <c r="E13880" s="2" t="str">
        <f>HYPERLINK("http://ts.21cn.com/tousu/show/id/1345413","http://ts.21cn.com/tousu/show/id/1345413")</f>
        <v>http://ts.21cn.com/tousu/show/id/1345413</v>
      </c>
      <c r="F13880" s="2" t="s">
        <v>11</v>
      </c>
      <c r="G13880" s="2" t="s">
        <v>16869</v>
      </c>
      <c r="H13880" s="2" t="s">
        <v>16870</v>
      </c>
    </row>
    <row r="13881" spans="1:8" ht="25.05" customHeight="1" x14ac:dyDescent="0.25">
      <c r="A13881" s="2" t="s">
        <v>8</v>
      </c>
      <c r="B13881" s="2" t="str">
        <f>HYPERLINK("http://ts.21cn.com/tousu/show/id/1345414","国金宝不能提现")</f>
        <v>国金宝不能提现</v>
      </c>
      <c r="C13881" s="2" t="s">
        <v>34</v>
      </c>
      <c r="D13881" s="2" t="s">
        <v>10</v>
      </c>
      <c r="E13881" s="2" t="str">
        <f>HYPERLINK("http://ts.21cn.com/tousu/show/id/1345414","http://ts.21cn.com/tousu/show/id/1345414")</f>
        <v>http://ts.21cn.com/tousu/show/id/1345414</v>
      </c>
      <c r="F13881" s="2" t="s">
        <v>11</v>
      </c>
      <c r="G13881" s="2" t="s">
        <v>16867</v>
      </c>
      <c r="H13881" s="2" t="s">
        <v>16868</v>
      </c>
    </row>
    <row r="13882" spans="1:8" ht="25.05" customHeight="1" x14ac:dyDescent="0.25">
      <c r="A13882" s="2" t="s">
        <v>8</v>
      </c>
      <c r="B13882" s="2" t="str">
        <f>HYPERLINK("http://ts.21cn.com/tousu/show/id/1345415","美团外卖暴力催收恶意骚扰各种联系人")</f>
        <v>美团外卖暴力催收恶意骚扰各种联系人</v>
      </c>
      <c r="C13882" s="2" t="s">
        <v>9</v>
      </c>
      <c r="D13882" s="2" t="s">
        <v>10</v>
      </c>
      <c r="E13882" s="2" t="str">
        <f>HYPERLINK("http://ts.21cn.com/tousu/show/id/1345415","http://ts.21cn.com/tousu/show/id/1345415")</f>
        <v>http://ts.21cn.com/tousu/show/id/1345415</v>
      </c>
      <c r="F13882" s="2" t="s">
        <v>11</v>
      </c>
      <c r="G13882" s="2" t="s">
        <v>16865</v>
      </c>
      <c r="H13882" s="2" t="s">
        <v>16866</v>
      </c>
    </row>
    <row r="13883" spans="1:8" ht="25.05" customHeight="1" x14ac:dyDescent="0.25">
      <c r="A13883" s="2" t="s">
        <v>8</v>
      </c>
      <c r="B13883" s="2" t="str">
        <f>HYPERLINK("http://ts.21cn.com/tousu/show/id/1345417","捷信强制收取保险费")</f>
        <v>捷信强制收取保险费</v>
      </c>
      <c r="C13883" s="2" t="s">
        <v>9</v>
      </c>
      <c r="D13883" s="2" t="s">
        <v>10</v>
      </c>
      <c r="E13883" s="2" t="str">
        <f>HYPERLINK("http://ts.21cn.com/tousu/show/id/1345417","http://ts.21cn.com/tousu/show/id/1345417")</f>
        <v>http://ts.21cn.com/tousu/show/id/1345417</v>
      </c>
      <c r="F13883" s="2" t="s">
        <v>11</v>
      </c>
      <c r="G13883" s="2" t="s">
        <v>16863</v>
      </c>
      <c r="H13883" s="2" t="s">
        <v>16864</v>
      </c>
    </row>
    <row r="13884" spans="1:8" ht="25.05" customHeight="1" x14ac:dyDescent="0.25">
      <c r="A13884" s="2" t="s">
        <v>8</v>
      </c>
      <c r="B13884" s="2" t="str">
        <f>HYPERLINK("http://ts.21cn.com/tousu/show/id/1345418","拍拍贷高利贷每天涨利息，协商减免结清无人回复")</f>
        <v>拍拍贷高利贷每天涨利息，协商减免结清无人回复</v>
      </c>
      <c r="C13884" s="2" t="s">
        <v>9</v>
      </c>
      <c r="D13884" s="2" t="s">
        <v>10</v>
      </c>
      <c r="E13884" s="2" t="str">
        <f>HYPERLINK("http://ts.21cn.com/tousu/show/id/1345418","http://ts.21cn.com/tousu/show/id/1345418")</f>
        <v>http://ts.21cn.com/tousu/show/id/1345418</v>
      </c>
      <c r="F13884" s="2" t="s">
        <v>11</v>
      </c>
      <c r="G13884" s="2" t="s">
        <v>16861</v>
      </c>
      <c r="H13884" s="2" t="s">
        <v>16862</v>
      </c>
    </row>
    <row r="13885" spans="1:8" ht="25.05" customHeight="1" x14ac:dyDescent="0.25">
      <c r="A13885" s="2" t="s">
        <v>8</v>
      </c>
      <c r="B13885" s="2" t="str">
        <f>HYPERLINK("http://ts.21cn.com/tousu/show/id/1345419","投诉恒易贷，欠款没到期天天打电话以及还了还打联系人")</f>
        <v>投诉恒易贷，欠款没到期天天打电话以及还了还打联系人</v>
      </c>
      <c r="C13885" s="2" t="s">
        <v>34</v>
      </c>
      <c r="D13885" s="2" t="s">
        <v>10</v>
      </c>
      <c r="E13885" s="2" t="str">
        <f>HYPERLINK("http://ts.21cn.com/tousu/show/id/1345419","http://ts.21cn.com/tousu/show/id/1345419")</f>
        <v>http://ts.21cn.com/tousu/show/id/1345419</v>
      </c>
      <c r="F13885" s="2" t="s">
        <v>11</v>
      </c>
      <c r="G13885" s="2" t="s">
        <v>16859</v>
      </c>
      <c r="H13885" s="2" t="s">
        <v>16860</v>
      </c>
    </row>
    <row r="13886" spans="1:8" ht="25.05" customHeight="1" x14ac:dyDescent="0.25">
      <c r="A13886" s="2" t="s">
        <v>8</v>
      </c>
      <c r="B13886" s="2" t="str">
        <f>HYPERLINK("http://ts.21cn.com/tousu/show/id/1345420","交易猫订单不发货不让取消")</f>
        <v>交易猫订单不发货不让取消</v>
      </c>
      <c r="C13886" s="2" t="s">
        <v>34</v>
      </c>
      <c r="D13886" s="2" t="s">
        <v>10</v>
      </c>
      <c r="E13886" s="2" t="str">
        <f>HYPERLINK("http://ts.21cn.com/tousu/show/id/1345420","http://ts.21cn.com/tousu/show/id/1345420")</f>
        <v>http://ts.21cn.com/tousu/show/id/1345420</v>
      </c>
      <c r="F13886" s="2" t="s">
        <v>11</v>
      </c>
      <c r="G13886" s="2" t="s">
        <v>16857</v>
      </c>
      <c r="H13886" s="2" t="s">
        <v>16858</v>
      </c>
    </row>
    <row r="13887" spans="1:8" ht="25.05" customHeight="1" x14ac:dyDescent="0.25">
      <c r="A13887" s="2" t="s">
        <v>8</v>
      </c>
      <c r="B13887" s="2" t="str">
        <f>HYPERLINK("http://ts.21cn.com/tousu/show/id/1345421","宝付无端扣款")</f>
        <v>宝付无端扣款</v>
      </c>
      <c r="C13887" s="2" t="s">
        <v>9</v>
      </c>
      <c r="D13887" s="2" t="s">
        <v>10</v>
      </c>
      <c r="E13887" s="2" t="str">
        <f>HYPERLINK("http://ts.21cn.com/tousu/show/id/1345421","http://ts.21cn.com/tousu/show/id/1345421")</f>
        <v>http://ts.21cn.com/tousu/show/id/1345421</v>
      </c>
      <c r="F13887" s="2" t="s">
        <v>11</v>
      </c>
      <c r="G13887" s="2" t="s">
        <v>16855</v>
      </c>
      <c r="H13887" s="2" t="s">
        <v>16856</v>
      </c>
    </row>
    <row r="13888" spans="1:8" ht="25.05" customHeight="1" x14ac:dyDescent="0.25">
      <c r="A13888" s="2" t="s">
        <v>8</v>
      </c>
      <c r="B13888" s="2" t="str">
        <f>HYPERLINK("http://ts.21cn.com/tousu/show/id/1345422","魔兽世界充了钱，并未能享受游戏体验和相应服务")</f>
        <v>魔兽世界充了钱，并未能享受游戏体验和相应服务</v>
      </c>
      <c r="C13888" s="2" t="s">
        <v>34</v>
      </c>
      <c r="D13888" s="2" t="s">
        <v>10</v>
      </c>
      <c r="E13888" s="2" t="str">
        <f>HYPERLINK("http://ts.21cn.com/tousu/show/id/1345422","http://ts.21cn.com/tousu/show/id/1345422")</f>
        <v>http://ts.21cn.com/tousu/show/id/1345422</v>
      </c>
      <c r="F13888" s="2" t="s">
        <v>11</v>
      </c>
      <c r="G13888" s="2" t="s">
        <v>16853</v>
      </c>
      <c r="H13888" s="2" t="s">
        <v>16854</v>
      </c>
    </row>
    <row r="13889" spans="1:8" ht="25.05" customHeight="1" x14ac:dyDescent="0.25">
      <c r="A13889" s="2" t="s">
        <v>8</v>
      </c>
      <c r="B13889" s="2" t="str">
        <f>HYPERLINK("http://ts.21cn.com/tousu/show/id/1345425","谩骂侮辱，盗取个人信息")</f>
        <v>谩骂侮辱，盗取个人信息</v>
      </c>
      <c r="C13889" s="2" t="s">
        <v>9</v>
      </c>
      <c r="D13889" s="2" t="s">
        <v>10</v>
      </c>
      <c r="E13889" s="2" t="str">
        <f>HYPERLINK("http://ts.21cn.com/tousu/show/id/1345425","http://ts.21cn.com/tousu/show/id/1345425")</f>
        <v>http://ts.21cn.com/tousu/show/id/1345425</v>
      </c>
      <c r="F13889" s="2" t="s">
        <v>11</v>
      </c>
      <c r="G13889" s="2" t="s">
        <v>16851</v>
      </c>
      <c r="H13889" s="2" t="s">
        <v>16852</v>
      </c>
    </row>
    <row r="13890" spans="1:8" ht="25.05" customHeight="1" x14ac:dyDescent="0.25">
      <c r="A13890" s="2" t="s">
        <v>8</v>
      </c>
      <c r="B13890" s="2" t="str">
        <f>HYPERLINK("http://ts.21cn.com/tousu/show/id/1345423","暴击催收")</f>
        <v>暴击催收</v>
      </c>
      <c r="C13890" s="2" t="s">
        <v>9</v>
      </c>
      <c r="D13890" s="2" t="s">
        <v>10</v>
      </c>
      <c r="E13890" s="2" t="str">
        <f>HYPERLINK("http://ts.21cn.com/tousu/show/id/1345423","http://ts.21cn.com/tousu/show/id/1345423")</f>
        <v>http://ts.21cn.com/tousu/show/id/1345423</v>
      </c>
      <c r="F13890" s="2" t="s">
        <v>11</v>
      </c>
      <c r="G13890" s="2" t="s">
        <v>16849</v>
      </c>
      <c r="H13890" s="2" t="s">
        <v>16850</v>
      </c>
    </row>
    <row r="13891" spans="1:8" ht="25.05" customHeight="1" x14ac:dyDescent="0.25">
      <c r="A13891" s="2" t="s">
        <v>8</v>
      </c>
      <c r="B13891" s="2" t="str">
        <f>HYPERLINK("http://ts.21cn.com/tousu/show/id/1345424","捷信平台还没逾期就开始催收，违法行为")</f>
        <v>捷信平台还没逾期就开始催收，违法行为</v>
      </c>
      <c r="C13891" s="2" t="s">
        <v>9</v>
      </c>
      <c r="D13891" s="2" t="s">
        <v>10</v>
      </c>
      <c r="E13891" s="2" t="str">
        <f>HYPERLINK("http://ts.21cn.com/tousu/show/id/1345424","http://ts.21cn.com/tousu/show/id/1345424")</f>
        <v>http://ts.21cn.com/tousu/show/id/1345424</v>
      </c>
      <c r="F13891" s="2" t="s">
        <v>11</v>
      </c>
      <c r="G13891" s="2" t="s">
        <v>16847</v>
      </c>
      <c r="H13891" s="2" t="s">
        <v>16848</v>
      </c>
    </row>
    <row r="13892" spans="1:8" ht="25.05" customHeight="1" x14ac:dyDescent="0.25">
      <c r="A13892" s="2" t="s">
        <v>8</v>
      </c>
      <c r="B13892" s="2" t="str">
        <f>HYPERLINK("http://ts.21cn.com/tousu/show/id/1345426","滴滴出行枉顾事实随意判责")</f>
        <v>滴滴出行枉顾事实随意判责</v>
      </c>
      <c r="C13892" s="2" t="s">
        <v>9</v>
      </c>
      <c r="D13892" s="2" t="s">
        <v>10</v>
      </c>
      <c r="E13892" s="2" t="str">
        <f>HYPERLINK("http://ts.21cn.com/tousu/show/id/1345426","http://ts.21cn.com/tousu/show/id/1345426")</f>
        <v>http://ts.21cn.com/tousu/show/id/1345426</v>
      </c>
      <c r="F13892" s="2" t="s">
        <v>11</v>
      </c>
      <c r="G13892" s="2" t="s">
        <v>16845</v>
      </c>
      <c r="H13892" s="2" t="s">
        <v>16846</v>
      </c>
    </row>
    <row r="13893" spans="1:8" ht="25.05" customHeight="1" x14ac:dyDescent="0.25">
      <c r="A13893" s="2" t="s">
        <v>8</v>
      </c>
      <c r="B13893" s="2" t="str">
        <f>HYPERLINK("http://ts.21cn.com/tousu/show/id/1345428","上海网之易霸王条款，拒不赔偿！")</f>
        <v>上海网之易霸王条款，拒不赔偿！</v>
      </c>
      <c r="C13893" s="2" t="s">
        <v>9</v>
      </c>
      <c r="D13893" s="2" t="s">
        <v>10</v>
      </c>
      <c r="E13893" s="2" t="str">
        <f>HYPERLINK("http://ts.21cn.com/tousu/show/id/1345428","http://ts.21cn.com/tousu/show/id/1345428")</f>
        <v>http://ts.21cn.com/tousu/show/id/1345428</v>
      </c>
      <c r="F13893" s="2" t="s">
        <v>11</v>
      </c>
      <c r="G13893" s="2" t="s">
        <v>16843</v>
      </c>
      <c r="H13893" s="2" t="s">
        <v>16844</v>
      </c>
    </row>
    <row r="13894" spans="1:8" ht="25.05" customHeight="1" x14ac:dyDescent="0.25">
      <c r="A13894" s="2" t="s">
        <v>8</v>
      </c>
      <c r="B13894" s="2" t="str">
        <f>HYPERLINK("http://ts.21cn.com/tousu/show/id/1345427","享物说欺诈")</f>
        <v>享物说欺诈</v>
      </c>
      <c r="C13894" s="2" t="s">
        <v>9</v>
      </c>
      <c r="D13894" s="2" t="s">
        <v>10</v>
      </c>
      <c r="E13894" s="2" t="str">
        <f>HYPERLINK("http://ts.21cn.com/tousu/show/id/1345427","http://ts.21cn.com/tousu/show/id/1345427")</f>
        <v>http://ts.21cn.com/tousu/show/id/1345427</v>
      </c>
      <c r="F13894" s="2" t="s">
        <v>11</v>
      </c>
      <c r="G13894" s="2" t="s">
        <v>16841</v>
      </c>
      <c r="H13894" s="2" t="s">
        <v>16842</v>
      </c>
    </row>
    <row r="13895" spans="1:8" ht="25.05" customHeight="1" x14ac:dyDescent="0.25">
      <c r="A13895" s="2" t="s">
        <v>8</v>
      </c>
      <c r="B13895" s="2" t="str">
        <f>HYPERLINK("http://ts.21cn.com/tousu/show/id/1345429","借1500到帐后平台收回300,我依然要还530.3一期，共三期")</f>
        <v>借1500到帐后平台收回300,我依然要还530.3一期，共三期</v>
      </c>
      <c r="C13895" s="2" t="s">
        <v>34</v>
      </c>
      <c r="D13895" s="2" t="s">
        <v>10</v>
      </c>
      <c r="E13895" s="2" t="str">
        <f>HYPERLINK("http://ts.21cn.com/tousu/show/id/1345429","http://ts.21cn.com/tousu/show/id/1345429")</f>
        <v>http://ts.21cn.com/tousu/show/id/1345429</v>
      </c>
      <c r="F13895" s="2" t="s">
        <v>11</v>
      </c>
      <c r="G13895" s="2" t="s">
        <v>16839</v>
      </c>
      <c r="H13895" s="2" t="s">
        <v>16840</v>
      </c>
    </row>
    <row r="13896" spans="1:8" ht="25.05" customHeight="1" x14ac:dyDescent="0.25">
      <c r="A13896" s="2" t="s">
        <v>8</v>
      </c>
      <c r="B13896" s="2" t="str">
        <f>HYPERLINK("http://ts.21cn.com/tousu/show/id/1345430","合同欺诈，霸王条款")</f>
        <v>合同欺诈，霸王条款</v>
      </c>
      <c r="C13896" s="2" t="s">
        <v>9</v>
      </c>
      <c r="D13896" s="2" t="s">
        <v>10</v>
      </c>
      <c r="E13896" s="2" t="str">
        <f>HYPERLINK("http://ts.21cn.com/tousu/show/id/1345430","http://ts.21cn.com/tousu/show/id/1345430")</f>
        <v>http://ts.21cn.com/tousu/show/id/1345430</v>
      </c>
      <c r="F13896" s="2" t="s">
        <v>11</v>
      </c>
      <c r="G13896" s="2" t="s">
        <v>16837</v>
      </c>
      <c r="H13896" s="2" t="s">
        <v>16838</v>
      </c>
    </row>
    <row r="13897" spans="1:8" ht="25.05" customHeight="1" x14ac:dyDescent="0.25">
      <c r="A13897" s="2" t="s">
        <v>8</v>
      </c>
      <c r="B13897" s="2" t="str">
        <f>HYPERLINK("http://ts.21cn.com/tousu/show/id/1345432","订单金额迟迟未垫付，要求快速垫付")</f>
        <v>订单金额迟迟未垫付，要求快速垫付</v>
      </c>
      <c r="C13897" s="2" t="s">
        <v>9</v>
      </c>
      <c r="D13897" s="2" t="s">
        <v>10</v>
      </c>
      <c r="E13897" s="2" t="str">
        <f>HYPERLINK("http://ts.21cn.com/tousu/show/id/1345432","http://ts.21cn.com/tousu/show/id/1345432")</f>
        <v>http://ts.21cn.com/tousu/show/id/1345432</v>
      </c>
      <c r="F13897" s="2" t="s">
        <v>11</v>
      </c>
      <c r="G13897" s="2" t="s">
        <v>16835</v>
      </c>
      <c r="H13897" s="2" t="s">
        <v>16836</v>
      </c>
    </row>
    <row r="13898" spans="1:8" ht="25.05" customHeight="1" x14ac:dyDescent="0.25">
      <c r="A13898" s="2" t="s">
        <v>8</v>
      </c>
      <c r="B13898" s="2" t="str">
        <f>HYPERLINK("http://ts.21cn.com/tousu/show/id/1345431","暴力催收，恐吓家人，把电话打给我们村里有交通信用卡的人")</f>
        <v>暴力催收，恐吓家人，把电话打给我们村里有交通信用卡的人</v>
      </c>
      <c r="C13898" s="2" t="s">
        <v>9</v>
      </c>
      <c r="D13898" s="2" t="s">
        <v>10</v>
      </c>
      <c r="E13898" s="2" t="str">
        <f>HYPERLINK("http://ts.21cn.com/tousu/show/id/1345431","http://ts.21cn.com/tousu/show/id/1345431")</f>
        <v>http://ts.21cn.com/tousu/show/id/1345431</v>
      </c>
      <c r="F13898" s="2" t="s">
        <v>11</v>
      </c>
      <c r="G13898" s="2" t="s">
        <v>16833</v>
      </c>
      <c r="H13898" s="2" t="s">
        <v>16834</v>
      </c>
    </row>
    <row r="13899" spans="1:8" ht="25.05" customHeight="1" x14ac:dyDescent="0.25">
      <c r="A13899" s="2" t="s">
        <v>8</v>
      </c>
      <c r="B13899" s="2" t="str">
        <f>HYPERLINK("http://ts.21cn.com/tousu/show/id/1345433","欺诈消费者")</f>
        <v>欺诈消费者</v>
      </c>
      <c r="C13899" s="2" t="s">
        <v>9</v>
      </c>
      <c r="D13899" s="2" t="s">
        <v>10</v>
      </c>
      <c r="E13899" s="2" t="str">
        <f>HYPERLINK("http://ts.21cn.com/tousu/show/id/1345433","http://ts.21cn.com/tousu/show/id/1345433")</f>
        <v>http://ts.21cn.com/tousu/show/id/1345433</v>
      </c>
      <c r="F13899" s="2" t="s">
        <v>11</v>
      </c>
      <c r="G13899" s="2" t="s">
        <v>16831</v>
      </c>
      <c r="H13899" s="2" t="s">
        <v>16832</v>
      </c>
    </row>
    <row r="13900" spans="1:8" ht="25.05" customHeight="1" x14ac:dyDescent="0.25">
      <c r="A13900" s="2" t="s">
        <v>8</v>
      </c>
      <c r="B13900" s="2" t="str">
        <f>HYPERLINK("http://ts.21cn.com/tousu/show/id/1345400","潢川农村商业银行盗用我的个人信息为他人担保贷款")</f>
        <v>潢川农村商业银行盗用我的个人信息为他人担保贷款</v>
      </c>
      <c r="C13900" s="2" t="s">
        <v>9</v>
      </c>
      <c r="D13900" s="2" t="s">
        <v>10</v>
      </c>
      <c r="E13900" s="2" t="str">
        <f>HYPERLINK("http://ts.21cn.com/tousu/show/id/1345400","http://ts.21cn.com/tousu/show/id/1345400")</f>
        <v>http://ts.21cn.com/tousu/show/id/1345400</v>
      </c>
      <c r="F13900" s="2" t="s">
        <v>11</v>
      </c>
      <c r="G13900" s="2" t="s">
        <v>16829</v>
      </c>
      <c r="H13900" s="2" t="s">
        <v>16830</v>
      </c>
    </row>
    <row r="13901" spans="1:8" ht="25.05" customHeight="1" x14ac:dyDescent="0.25">
      <c r="A13901" s="2" t="s">
        <v>8</v>
      </c>
      <c r="B13901" s="2" t="str">
        <f>HYPERLINK("http://ts.21cn.com/tousu/show/id/1345434","上海造艺网络技术有限公司，百事惠普强制扣除银行卡里的钱")</f>
        <v>上海造艺网络技术有限公司，百事惠普强制扣除银行卡里的钱</v>
      </c>
      <c r="C13901" s="2" t="s">
        <v>9</v>
      </c>
      <c r="D13901" s="2" t="s">
        <v>10</v>
      </c>
      <c r="E13901" s="2" t="str">
        <f>HYPERLINK("http://ts.21cn.com/tousu/show/id/1345434","http://ts.21cn.com/tousu/show/id/1345434")</f>
        <v>http://ts.21cn.com/tousu/show/id/1345434</v>
      </c>
      <c r="F13901" s="2" t="s">
        <v>11</v>
      </c>
      <c r="G13901" s="2" t="s">
        <v>16827</v>
      </c>
      <c r="H13901" s="2" t="s">
        <v>16828</v>
      </c>
    </row>
    <row r="13902" spans="1:8" ht="25.05" customHeight="1" x14ac:dyDescent="0.25">
      <c r="A13902" s="2" t="s">
        <v>8</v>
      </c>
      <c r="B13902" s="2" t="str">
        <f>HYPERLINK("http://ts.21cn.com/tousu/show/id/1345437","无锡有线电视客服态度恶劣")</f>
        <v>无锡有线电视客服态度恶劣</v>
      </c>
      <c r="C13902" s="2" t="s">
        <v>9</v>
      </c>
      <c r="D13902" s="2" t="s">
        <v>10</v>
      </c>
      <c r="E13902" s="2" t="str">
        <f>HYPERLINK("http://ts.21cn.com/tousu/show/id/1345437","http://ts.21cn.com/tousu/show/id/1345437")</f>
        <v>http://ts.21cn.com/tousu/show/id/1345437</v>
      </c>
      <c r="F13902" s="2" t="s">
        <v>11</v>
      </c>
      <c r="G13902" s="2" t="s">
        <v>16825</v>
      </c>
      <c r="H13902" s="2" t="s">
        <v>16826</v>
      </c>
    </row>
    <row r="13903" spans="1:8" ht="25.05" customHeight="1" x14ac:dyDescent="0.25">
      <c r="A13903" s="2" t="s">
        <v>8</v>
      </c>
      <c r="B13903" s="2" t="str">
        <f>HYPERLINK("http://ts.21cn.com/tousu/show/id/1345438","闪银不接受协商")</f>
        <v>闪银不接受协商</v>
      </c>
      <c r="C13903" s="2" t="s">
        <v>9</v>
      </c>
      <c r="D13903" s="2" t="s">
        <v>10</v>
      </c>
      <c r="E13903" s="2" t="str">
        <f>HYPERLINK("http://ts.21cn.com/tousu/show/id/1345438","http://ts.21cn.com/tousu/show/id/1345438")</f>
        <v>http://ts.21cn.com/tousu/show/id/1345438</v>
      </c>
      <c r="F13903" s="2" t="s">
        <v>11</v>
      </c>
      <c r="G13903" s="2" t="s">
        <v>16823</v>
      </c>
      <c r="H13903" s="2" t="s">
        <v>16824</v>
      </c>
    </row>
    <row r="13904" spans="1:8" ht="25.05" customHeight="1" x14ac:dyDescent="0.25">
      <c r="A13904" s="2" t="s">
        <v>8</v>
      </c>
      <c r="B13904" s="2" t="str">
        <f>HYPERLINK("http://ts.21cn.com/tousu/show/id/1345436","主动还款失败扣款失败")</f>
        <v>主动还款失败扣款失败</v>
      </c>
      <c r="C13904" s="2" t="s">
        <v>9</v>
      </c>
      <c r="D13904" s="2" t="s">
        <v>10</v>
      </c>
      <c r="E13904" s="2" t="str">
        <f>HYPERLINK("http://ts.21cn.com/tousu/show/id/1345436","http://ts.21cn.com/tousu/show/id/1345436")</f>
        <v>http://ts.21cn.com/tousu/show/id/1345436</v>
      </c>
      <c r="F13904" s="2" t="s">
        <v>11</v>
      </c>
      <c r="G13904" s="2" t="s">
        <v>16821</v>
      </c>
      <c r="H13904" s="2" t="s">
        <v>16822</v>
      </c>
    </row>
    <row r="13905" spans="1:8" ht="25.05" customHeight="1" x14ac:dyDescent="0.25">
      <c r="A13905" s="2" t="s">
        <v>8</v>
      </c>
      <c r="B13905" s="2" t="str">
        <f>HYPERLINK("http://ts.21cn.com/tousu/show/id/1345439","及贷砍头息，高利息")</f>
        <v>及贷砍头息，高利息</v>
      </c>
      <c r="C13905" s="2" t="s">
        <v>9</v>
      </c>
      <c r="D13905" s="2" t="s">
        <v>10</v>
      </c>
      <c r="E13905" s="2" t="str">
        <f>HYPERLINK("http://ts.21cn.com/tousu/show/id/1345439","http://ts.21cn.com/tousu/show/id/1345439")</f>
        <v>http://ts.21cn.com/tousu/show/id/1345439</v>
      </c>
      <c r="F13905" s="2" t="s">
        <v>11</v>
      </c>
      <c r="G13905" s="2" t="s">
        <v>16819</v>
      </c>
      <c r="H13905" s="2" t="s">
        <v>16820</v>
      </c>
    </row>
    <row r="13906" spans="1:8" ht="25.05" customHeight="1" x14ac:dyDescent="0.25">
      <c r="A13906" s="2" t="s">
        <v>8</v>
      </c>
      <c r="B13906" s="2" t="str">
        <f>HYPERLINK("http://ts.21cn.com/tousu/show/id/1345401","京东商城问题商品不予退换，售后不负责")</f>
        <v>京东商城问题商品不予退换，售后不负责</v>
      </c>
      <c r="C13906" s="2" t="s">
        <v>9</v>
      </c>
      <c r="D13906" s="2" t="s">
        <v>10</v>
      </c>
      <c r="E13906" s="2" t="str">
        <f>HYPERLINK("http://ts.21cn.com/tousu/show/id/1345401","http://ts.21cn.com/tousu/show/id/1345401")</f>
        <v>http://ts.21cn.com/tousu/show/id/1345401</v>
      </c>
      <c r="F13906" s="2" t="s">
        <v>11</v>
      </c>
      <c r="G13906" s="2" t="s">
        <v>16817</v>
      </c>
      <c r="H13906" s="2" t="s">
        <v>16818</v>
      </c>
    </row>
    <row r="13907" spans="1:8" ht="25.05" customHeight="1" x14ac:dyDescent="0.25">
      <c r="A13907" s="2" t="s">
        <v>8</v>
      </c>
      <c r="B13907" s="2" t="str">
        <f>HYPERLINK("http://ts.21cn.com/tousu/show/id/1345440","暴力催收高利贷")</f>
        <v>暴力催收高利贷</v>
      </c>
      <c r="C13907" s="2" t="s">
        <v>9</v>
      </c>
      <c r="D13907" s="2" t="s">
        <v>10</v>
      </c>
      <c r="E13907" s="2" t="str">
        <f>HYPERLINK("http://ts.21cn.com/tousu/show/id/1345440","http://ts.21cn.com/tousu/show/id/1345440")</f>
        <v>http://ts.21cn.com/tousu/show/id/1345440</v>
      </c>
      <c r="F13907" s="2" t="s">
        <v>11</v>
      </c>
      <c r="G13907" s="2" t="s">
        <v>16815</v>
      </c>
      <c r="H13907" s="2" t="s">
        <v>16816</v>
      </c>
    </row>
    <row r="13908" spans="1:8" ht="25.05" customHeight="1" x14ac:dyDescent="0.25">
      <c r="A13908" s="2" t="s">
        <v>8</v>
      </c>
      <c r="B13908" s="2" t="str">
        <f>HYPERLINK("http://ts.21cn.com/tousu/show/id/1345441","造艺科技泄露个人通讯隐私")</f>
        <v>造艺科技泄露个人通讯隐私</v>
      </c>
      <c r="C13908" s="2" t="s">
        <v>9</v>
      </c>
      <c r="D13908" s="2" t="s">
        <v>10</v>
      </c>
      <c r="E13908" s="2" t="str">
        <f>HYPERLINK("http://ts.21cn.com/tousu/show/id/1345441","http://ts.21cn.com/tousu/show/id/1345441")</f>
        <v>http://ts.21cn.com/tousu/show/id/1345441</v>
      </c>
      <c r="F13908" s="2" t="s">
        <v>11</v>
      </c>
      <c r="G13908" s="2" t="s">
        <v>16813</v>
      </c>
      <c r="H13908" s="2" t="s">
        <v>16814</v>
      </c>
    </row>
    <row r="13909" spans="1:8" ht="25.05" customHeight="1" x14ac:dyDescent="0.25">
      <c r="A13909" s="2" t="s">
        <v>8</v>
      </c>
      <c r="B13909" s="2" t="str">
        <f>HYPERLINK("http://ts.21cn.com/tousu/show/id/1345442","骚扰通讯录，无中生有")</f>
        <v>骚扰通讯录，无中生有</v>
      </c>
      <c r="C13909" s="2" t="s">
        <v>9</v>
      </c>
      <c r="D13909" s="2" t="s">
        <v>10</v>
      </c>
      <c r="E13909" s="2" t="str">
        <f>HYPERLINK("http://ts.21cn.com/tousu/show/id/1345442","http://ts.21cn.com/tousu/show/id/1345442")</f>
        <v>http://ts.21cn.com/tousu/show/id/1345442</v>
      </c>
      <c r="F13909" s="2" t="s">
        <v>11</v>
      </c>
      <c r="G13909" s="2" t="s">
        <v>16811</v>
      </c>
      <c r="H13909" s="2" t="s">
        <v>16812</v>
      </c>
    </row>
    <row r="13910" spans="1:8" ht="25.05" customHeight="1" x14ac:dyDescent="0.25">
      <c r="A13910" s="2" t="s">
        <v>8</v>
      </c>
      <c r="B13910" s="2" t="str">
        <f>HYPERLINK("http://ts.21cn.com/tousu/show/id/1345435","我来数科我来贷高于国家法定利息猖狂无比逾期费一天就300暴力催收恐吓威胁爆通讯录骚扰亲朋好友")</f>
        <v>我来数科我来贷高于国家法定利息猖狂无比逾期费一天就300暴力催收恐吓威胁爆通讯录骚扰亲朋好友</v>
      </c>
      <c r="C13910" s="2" t="s">
        <v>9</v>
      </c>
      <c r="D13910" s="2" t="s">
        <v>10</v>
      </c>
      <c r="E13910" s="2" t="str">
        <f>HYPERLINK("http://ts.21cn.com/tousu/show/id/1345435","http://ts.21cn.com/tousu/show/id/1345435")</f>
        <v>http://ts.21cn.com/tousu/show/id/1345435</v>
      </c>
      <c r="F13910" s="2" t="s">
        <v>11</v>
      </c>
      <c r="G13910" s="2" t="s">
        <v>16809</v>
      </c>
      <c r="H13910" s="2" t="s">
        <v>16810</v>
      </c>
    </row>
    <row r="13911" spans="1:8" ht="25.05" customHeight="1" x14ac:dyDescent="0.25">
      <c r="A13911" s="2" t="s">
        <v>8</v>
      </c>
      <c r="B13911" s="2" t="str">
        <f>HYPERLINK("http://ts.21cn.com/tousu/show/id/1345443","小象优品暴力催收高利贷骚扰")</f>
        <v>小象优品暴力催收高利贷骚扰</v>
      </c>
      <c r="C13911" s="2" t="s">
        <v>9</v>
      </c>
      <c r="D13911" s="2" t="s">
        <v>10</v>
      </c>
      <c r="E13911" s="2" t="str">
        <f>HYPERLINK("http://ts.21cn.com/tousu/show/id/1345443","http://ts.21cn.com/tousu/show/id/1345443")</f>
        <v>http://ts.21cn.com/tousu/show/id/1345443</v>
      </c>
      <c r="F13911" s="2" t="s">
        <v>11</v>
      </c>
      <c r="G13911" s="2" t="s">
        <v>16807</v>
      </c>
      <c r="H13911" s="2" t="s">
        <v>16808</v>
      </c>
    </row>
    <row r="13912" spans="1:8" ht="25.05" customHeight="1" x14ac:dyDescent="0.25">
      <c r="A13912" s="2" t="s">
        <v>8</v>
      </c>
      <c r="B13912" s="2" t="str">
        <f>HYPERLINK("http://ts.21cn.com/tousu/show/id/1345444","融360为高利贷引流")</f>
        <v>融360为高利贷引流</v>
      </c>
      <c r="C13912" s="2" t="s">
        <v>9</v>
      </c>
      <c r="D13912" s="2" t="s">
        <v>10</v>
      </c>
      <c r="E13912" s="2" t="str">
        <f>HYPERLINK("http://ts.21cn.com/tousu/show/id/1345444","http://ts.21cn.com/tousu/show/id/1345444")</f>
        <v>http://ts.21cn.com/tousu/show/id/1345444</v>
      </c>
      <c r="F13912" s="2" t="s">
        <v>11</v>
      </c>
      <c r="G13912" s="2" t="s">
        <v>16805</v>
      </c>
      <c r="H13912" s="2" t="s">
        <v>16806</v>
      </c>
    </row>
    <row r="13913" spans="1:8" ht="25.05" customHeight="1" x14ac:dyDescent="0.25">
      <c r="A13913" s="2" t="s">
        <v>8</v>
      </c>
      <c r="B13913" s="2" t="str">
        <f>HYPERLINK("http://ts.21cn.com/tousu/show/id/1345447","及贷")</f>
        <v>及贷</v>
      </c>
      <c r="C13913" s="2" t="s">
        <v>9</v>
      </c>
      <c r="D13913" s="2" t="s">
        <v>10</v>
      </c>
      <c r="E13913" s="2" t="str">
        <f>HYPERLINK("http://ts.21cn.com/tousu/show/id/1345447","http://ts.21cn.com/tousu/show/id/1345447")</f>
        <v>http://ts.21cn.com/tousu/show/id/1345447</v>
      </c>
      <c r="F13913" s="2" t="s">
        <v>11</v>
      </c>
      <c r="G13913" s="2" t="s">
        <v>16803</v>
      </c>
      <c r="H13913" s="2" t="s">
        <v>16804</v>
      </c>
    </row>
    <row r="13914" spans="1:8" ht="25.05" customHeight="1" x14ac:dyDescent="0.25">
      <c r="A13914" s="2" t="s">
        <v>8</v>
      </c>
      <c r="B13914" s="2" t="str">
        <f>HYPERLINK("http://ts.21cn.com/tousu/show/id/1345448","退还违法砍头息")</f>
        <v>退还违法砍头息</v>
      </c>
      <c r="C13914" s="2" t="s">
        <v>9</v>
      </c>
      <c r="D13914" s="2" t="s">
        <v>10</v>
      </c>
      <c r="E13914" s="2" t="str">
        <f>HYPERLINK("http://ts.21cn.com/tousu/show/id/1345448","http://ts.21cn.com/tousu/show/id/1345448")</f>
        <v>http://ts.21cn.com/tousu/show/id/1345448</v>
      </c>
      <c r="F13914" s="2" t="s">
        <v>11</v>
      </c>
      <c r="G13914" s="2" t="s">
        <v>16801</v>
      </c>
      <c r="H13914" s="2" t="s">
        <v>16802</v>
      </c>
    </row>
    <row r="13915" spans="1:8" ht="25.05" customHeight="1" x14ac:dyDescent="0.25">
      <c r="A13915" s="2" t="s">
        <v>8</v>
      </c>
      <c r="B13915" s="2" t="str">
        <f>HYPERLINK("http://ts.21cn.com/tousu/show/id/1345450","滴滴出行平台申诉渠道毫无人情可言")</f>
        <v>滴滴出行平台申诉渠道毫无人情可言</v>
      </c>
      <c r="C13915" s="2" t="s">
        <v>9</v>
      </c>
      <c r="D13915" s="2" t="s">
        <v>10</v>
      </c>
      <c r="E13915" s="2" t="str">
        <f>HYPERLINK("http://ts.21cn.com/tousu/show/id/1345450","http://ts.21cn.com/tousu/show/id/1345450")</f>
        <v>http://ts.21cn.com/tousu/show/id/1345450</v>
      </c>
      <c r="F13915" s="2" t="s">
        <v>11</v>
      </c>
      <c r="G13915" s="2" t="s">
        <v>16799</v>
      </c>
      <c r="H13915" s="2" t="s">
        <v>16800</v>
      </c>
    </row>
    <row r="13916" spans="1:8" ht="25.05" customHeight="1" x14ac:dyDescent="0.25">
      <c r="A13916" s="2" t="s">
        <v>8</v>
      </c>
      <c r="B13916" s="2" t="str">
        <f>HYPERLINK("http://ts.21cn.com/tousu/show/id/1345451","易宝支付在无本人同意的情况下开通无用会员")</f>
        <v>易宝支付在无本人同意的情况下开通无用会员</v>
      </c>
      <c r="C13916" s="2" t="s">
        <v>34</v>
      </c>
      <c r="D13916" s="2" t="s">
        <v>10</v>
      </c>
      <c r="E13916" s="2" t="str">
        <f>HYPERLINK("http://ts.21cn.com/tousu/show/id/1345451","http://ts.21cn.com/tousu/show/id/1345451")</f>
        <v>http://ts.21cn.com/tousu/show/id/1345451</v>
      </c>
      <c r="F13916" s="2" t="s">
        <v>11</v>
      </c>
      <c r="G13916" s="2" t="s">
        <v>16797</v>
      </c>
      <c r="H13916" s="2" t="s">
        <v>16798</v>
      </c>
    </row>
    <row r="13917" spans="1:8" ht="25.05" customHeight="1" x14ac:dyDescent="0.25">
      <c r="A13917" s="2" t="s">
        <v>8</v>
      </c>
      <c r="B13917" s="2" t="str">
        <f>HYPERLINK("http://ts.21cn.com/tousu/show/id/1345449","捷信金融利息不合理")</f>
        <v>捷信金融利息不合理</v>
      </c>
      <c r="C13917" s="2" t="s">
        <v>9</v>
      </c>
      <c r="D13917" s="2" t="s">
        <v>10</v>
      </c>
      <c r="E13917" s="2" t="str">
        <f>HYPERLINK("http://ts.21cn.com/tousu/show/id/1345449","http://ts.21cn.com/tousu/show/id/1345449")</f>
        <v>http://ts.21cn.com/tousu/show/id/1345449</v>
      </c>
      <c r="F13917" s="2" t="s">
        <v>11</v>
      </c>
      <c r="G13917" s="2" t="s">
        <v>16795</v>
      </c>
      <c r="H13917" s="2" t="s">
        <v>16796</v>
      </c>
    </row>
    <row r="13918" spans="1:8" ht="25.05" customHeight="1" x14ac:dyDescent="0.25">
      <c r="A13918" s="2" t="s">
        <v>8</v>
      </c>
      <c r="B13918" s="2" t="str">
        <f>HYPERLINK("http://ts.21cn.com/tousu/show/id/1345452","拼多多商家恶意让客服下单却延迟发货")</f>
        <v>拼多多商家恶意让客服下单却延迟发货</v>
      </c>
      <c r="C13918" s="2" t="s">
        <v>9</v>
      </c>
      <c r="D13918" s="2" t="s">
        <v>10</v>
      </c>
      <c r="E13918" s="2" t="str">
        <f>HYPERLINK("http://ts.21cn.com/tousu/show/id/1345452","http://ts.21cn.com/tousu/show/id/1345452")</f>
        <v>http://ts.21cn.com/tousu/show/id/1345452</v>
      </c>
      <c r="F13918" s="2" t="s">
        <v>11</v>
      </c>
      <c r="G13918" s="2" t="s">
        <v>16793</v>
      </c>
      <c r="H13918" s="2" t="s">
        <v>16794</v>
      </c>
    </row>
    <row r="13919" spans="1:8" ht="25.05" customHeight="1" x14ac:dyDescent="0.25">
      <c r="A13919" s="2" t="s">
        <v>8</v>
      </c>
      <c r="B13919" s="2" t="str">
        <f>HYPERLINK("http://ts.21cn.com/tousu/show/id/1345453","因为在途虎养车APP购买韩泰轮胎四条，后来因为卖方不发需要退款，可是退款迟迟不到账")</f>
        <v>因为在途虎养车APP购买韩泰轮胎四条，后来因为卖方不发需要退款，可是退款迟迟不到账</v>
      </c>
      <c r="C13919" s="2" t="s">
        <v>9</v>
      </c>
      <c r="D13919" s="2" t="s">
        <v>10</v>
      </c>
      <c r="E13919" s="2" t="str">
        <f>HYPERLINK("http://ts.21cn.com/tousu/show/id/1345453","http://ts.21cn.com/tousu/show/id/1345453")</f>
        <v>http://ts.21cn.com/tousu/show/id/1345453</v>
      </c>
      <c r="F13919" s="2" t="s">
        <v>11</v>
      </c>
      <c r="G13919" s="2" t="s">
        <v>16791</v>
      </c>
      <c r="H13919" s="2" t="s">
        <v>16792</v>
      </c>
    </row>
    <row r="13920" spans="1:8" ht="25.05" customHeight="1" x14ac:dyDescent="0.25">
      <c r="A13920" s="2" t="s">
        <v>8</v>
      </c>
      <c r="B13920" s="2" t="str">
        <f>HYPERLINK("http://ts.21cn.com/tousu/show/id/1345454","多宝分期高利贷")</f>
        <v>多宝分期高利贷</v>
      </c>
      <c r="C13920" s="2" t="s">
        <v>9</v>
      </c>
      <c r="D13920" s="2" t="s">
        <v>10</v>
      </c>
      <c r="E13920" s="2" t="str">
        <f>HYPERLINK("http://ts.21cn.com/tousu/show/id/1345454","http://ts.21cn.com/tousu/show/id/1345454")</f>
        <v>http://ts.21cn.com/tousu/show/id/1345454</v>
      </c>
      <c r="F13920" s="2" t="s">
        <v>11</v>
      </c>
      <c r="G13920" s="2" t="s">
        <v>16789</v>
      </c>
      <c r="H13920" s="2" t="s">
        <v>16790</v>
      </c>
    </row>
    <row r="13921" spans="1:8" ht="25.05" customHeight="1" x14ac:dyDescent="0.25">
      <c r="A13921" s="2" t="s">
        <v>8</v>
      </c>
      <c r="B13921" s="2" t="str">
        <f>HYPERLINK("http://ts.21cn.com/tousu/show/id/1345456","钱站高利贷阴阳合同")</f>
        <v>钱站高利贷阴阳合同</v>
      </c>
      <c r="C13921" s="2" t="s">
        <v>9</v>
      </c>
      <c r="D13921" s="2" t="s">
        <v>10</v>
      </c>
      <c r="E13921" s="2" t="str">
        <f>HYPERLINK("http://ts.21cn.com/tousu/show/id/1345456","http://ts.21cn.com/tousu/show/id/1345456")</f>
        <v>http://ts.21cn.com/tousu/show/id/1345456</v>
      </c>
      <c r="F13921" s="2" t="s">
        <v>11</v>
      </c>
      <c r="G13921" s="2" t="s">
        <v>16787</v>
      </c>
      <c r="H13921" s="2" t="s">
        <v>16788</v>
      </c>
    </row>
    <row r="13922" spans="1:8" ht="25.05" customHeight="1" x14ac:dyDescent="0.25">
      <c r="A13922" s="2" t="s">
        <v>8</v>
      </c>
      <c r="B13922" s="2" t="str">
        <f>HYPERLINK("http://ts.21cn.com/tousu/show/id/1345457","停止骚扰，调整利率，协商还款")</f>
        <v>停止骚扰，调整利率，协商还款</v>
      </c>
      <c r="C13922" s="2" t="s">
        <v>9</v>
      </c>
      <c r="D13922" s="2" t="s">
        <v>10</v>
      </c>
      <c r="E13922" s="2" t="str">
        <f>HYPERLINK("http://ts.21cn.com/tousu/show/id/1345457","http://ts.21cn.com/tousu/show/id/1345457")</f>
        <v>http://ts.21cn.com/tousu/show/id/1345457</v>
      </c>
      <c r="F13922" s="2" t="s">
        <v>11</v>
      </c>
      <c r="G13922" s="2" t="s">
        <v>16785</v>
      </c>
      <c r="H13922" s="2" t="s">
        <v>16786</v>
      </c>
    </row>
    <row r="13923" spans="1:8" ht="25.05" customHeight="1" x14ac:dyDescent="0.25">
      <c r="A13923" s="2" t="s">
        <v>8</v>
      </c>
      <c r="B13923" s="2" t="str">
        <f>HYPERLINK("http://ts.21cn.com/tousu/show/id/1345458","造艺科技收取所谓的高额咨询费，没听说过")</f>
        <v>造艺科技收取所谓的高额咨询费，没听说过</v>
      </c>
      <c r="C13923" s="2" t="s">
        <v>9</v>
      </c>
      <c r="D13923" s="2" t="s">
        <v>10</v>
      </c>
      <c r="E13923" s="2" t="str">
        <f>HYPERLINK("http://ts.21cn.com/tousu/show/id/1345458","http://ts.21cn.com/tousu/show/id/1345458")</f>
        <v>http://ts.21cn.com/tousu/show/id/1345458</v>
      </c>
      <c r="F13923" s="2" t="s">
        <v>11</v>
      </c>
      <c r="G13923" s="2" t="s">
        <v>16783</v>
      </c>
      <c r="H13923" s="2" t="s">
        <v>16784</v>
      </c>
    </row>
    <row r="13924" spans="1:8" ht="25.05" customHeight="1" x14ac:dyDescent="0.25">
      <c r="A13924" s="2" t="s">
        <v>8</v>
      </c>
      <c r="B13924" s="2" t="str">
        <f>HYPERLINK("http://ts.21cn.com/tousu/show/id/1345446","返现没有任何通知被自动作废")</f>
        <v>返现没有任何通知被自动作废</v>
      </c>
      <c r="C13924" s="2" t="s">
        <v>9</v>
      </c>
      <c r="D13924" s="2" t="s">
        <v>10</v>
      </c>
      <c r="E13924" s="2" t="str">
        <f>HYPERLINK("http://ts.21cn.com/tousu/show/id/1345446","http://ts.21cn.com/tousu/show/id/1345446")</f>
        <v>http://ts.21cn.com/tousu/show/id/1345446</v>
      </c>
      <c r="F13924" s="2" t="s">
        <v>11</v>
      </c>
      <c r="G13924" s="2" t="s">
        <v>16781</v>
      </c>
      <c r="H13924" s="2" t="s">
        <v>16782</v>
      </c>
    </row>
    <row r="13925" spans="1:8" ht="25.05" customHeight="1" x14ac:dyDescent="0.25">
      <c r="A13925" s="2" t="s">
        <v>8</v>
      </c>
      <c r="B13925" s="2" t="str">
        <f>HYPERLINK("http://ts.21cn.com/tousu/show/id/1345459","强迫收服务费不让还款导致逾期")</f>
        <v>强迫收服务费不让还款导致逾期</v>
      </c>
      <c r="C13925" s="2" t="s">
        <v>9</v>
      </c>
      <c r="D13925" s="2" t="s">
        <v>10</v>
      </c>
      <c r="E13925" s="2" t="str">
        <f>HYPERLINK("http://ts.21cn.com/tousu/show/id/1345459","http://ts.21cn.com/tousu/show/id/1345459")</f>
        <v>http://ts.21cn.com/tousu/show/id/1345459</v>
      </c>
      <c r="F13925" s="2" t="s">
        <v>11</v>
      </c>
      <c r="G13925" s="2" t="s">
        <v>16779</v>
      </c>
      <c r="H13925" s="2" t="s">
        <v>16780</v>
      </c>
    </row>
    <row r="13926" spans="1:8" ht="25.05" customHeight="1" x14ac:dyDescent="0.25">
      <c r="A13926" s="2" t="s">
        <v>8</v>
      </c>
      <c r="B13926" s="2" t="str">
        <f>HYPERLINK("http://ts.21cn.com/tousu/show/id/1345460","不给我打电话，联系我的通讯录")</f>
        <v>不给我打电话，联系我的通讯录</v>
      </c>
      <c r="C13926" s="2" t="s">
        <v>34</v>
      </c>
      <c r="D13926" s="2" t="s">
        <v>10</v>
      </c>
      <c r="E13926" s="2" t="str">
        <f>HYPERLINK("http://ts.21cn.com/tousu/show/id/1345460","http://ts.21cn.com/tousu/show/id/1345460")</f>
        <v>http://ts.21cn.com/tousu/show/id/1345460</v>
      </c>
      <c r="F13926" s="2" t="s">
        <v>11</v>
      </c>
      <c r="G13926" s="2" t="s">
        <v>16777</v>
      </c>
      <c r="H13926" s="2" t="s">
        <v>16778</v>
      </c>
    </row>
    <row r="13927" spans="1:8" ht="25.05" customHeight="1" x14ac:dyDescent="0.25">
      <c r="A13927" s="2" t="s">
        <v>8</v>
      </c>
      <c r="B13927" s="2" t="str">
        <f>HYPERLINK("http://ts.21cn.com/tousu/show/id/1345461","滴滴出行强制多收费用")</f>
        <v>滴滴出行强制多收费用</v>
      </c>
      <c r="C13927" s="2" t="s">
        <v>9</v>
      </c>
      <c r="D13927" s="2" t="s">
        <v>10</v>
      </c>
      <c r="E13927" s="2" t="str">
        <f>HYPERLINK("http://ts.21cn.com/tousu/show/id/1345461","http://ts.21cn.com/tousu/show/id/1345461")</f>
        <v>http://ts.21cn.com/tousu/show/id/1345461</v>
      </c>
      <c r="F13927" s="2" t="s">
        <v>11</v>
      </c>
      <c r="G13927" s="2" t="s">
        <v>16775</v>
      </c>
      <c r="H13927" s="2" t="s">
        <v>16776</v>
      </c>
    </row>
    <row r="13928" spans="1:8" ht="25.05" customHeight="1" x14ac:dyDescent="0.25">
      <c r="A13928" s="2" t="s">
        <v>8</v>
      </c>
      <c r="B13928" s="2" t="str">
        <f>HYPERLINK("http://ts.21cn.com/tousu/show/id/1345462","捷信金融平台恶意盗取客户信息")</f>
        <v>捷信金融平台恶意盗取客户信息</v>
      </c>
      <c r="C13928" s="2" t="s">
        <v>9</v>
      </c>
      <c r="D13928" s="2" t="s">
        <v>10</v>
      </c>
      <c r="E13928" s="2" t="str">
        <f>HYPERLINK("http://ts.21cn.com/tousu/show/id/1345462","http://ts.21cn.com/tousu/show/id/1345462")</f>
        <v>http://ts.21cn.com/tousu/show/id/1345462</v>
      </c>
      <c r="F13928" s="2" t="s">
        <v>11</v>
      </c>
      <c r="G13928" s="2" t="s">
        <v>16773</v>
      </c>
      <c r="H13928" s="2" t="s">
        <v>16774</v>
      </c>
    </row>
    <row r="13929" spans="1:8" ht="25.05" customHeight="1" x14ac:dyDescent="0.25">
      <c r="A13929" s="2" t="s">
        <v>8</v>
      </c>
      <c r="B13929" s="2" t="str">
        <f>HYPERLINK("http://ts.21cn.com/tousu/show/id/1345463","钱站阴阳合同")</f>
        <v>钱站阴阳合同</v>
      </c>
      <c r="C13929" s="2" t="s">
        <v>9</v>
      </c>
      <c r="D13929" s="2" t="s">
        <v>10</v>
      </c>
      <c r="E13929" s="2" t="str">
        <f>HYPERLINK("http://ts.21cn.com/tousu/show/id/1345463","http://ts.21cn.com/tousu/show/id/1345463")</f>
        <v>http://ts.21cn.com/tousu/show/id/1345463</v>
      </c>
      <c r="F13929" s="2" t="s">
        <v>11</v>
      </c>
      <c r="G13929" s="2" t="s">
        <v>16771</v>
      </c>
      <c r="H13929" s="2" t="s">
        <v>16772</v>
      </c>
    </row>
    <row r="13930" spans="1:8" ht="25.05" customHeight="1" x14ac:dyDescent="0.25">
      <c r="A13930" s="2" t="s">
        <v>8</v>
      </c>
      <c r="B13930" s="2" t="str">
        <f>HYPERLINK("http://ts.21cn.com/tousu/show/id/1345464","达飞云贷利息高我成黑户了")</f>
        <v>达飞云贷利息高我成黑户了</v>
      </c>
      <c r="C13930" s="2" t="s">
        <v>9</v>
      </c>
      <c r="D13930" s="2" t="s">
        <v>10</v>
      </c>
      <c r="E13930" s="2" t="str">
        <f>HYPERLINK("http://ts.21cn.com/tousu/show/id/1345464","http://ts.21cn.com/tousu/show/id/1345464")</f>
        <v>http://ts.21cn.com/tousu/show/id/1345464</v>
      </c>
      <c r="F13930" s="2" t="s">
        <v>11</v>
      </c>
      <c r="G13930" s="2" t="s">
        <v>16769</v>
      </c>
      <c r="H13930" s="2" t="s">
        <v>16770</v>
      </c>
    </row>
    <row r="13931" spans="1:8" ht="25.05" customHeight="1" x14ac:dyDescent="0.25">
      <c r="A13931" s="2" t="s">
        <v>8</v>
      </c>
      <c r="B13931" s="2" t="str">
        <f>HYPERLINK("http://ts.21cn.com/tousu/show/id/1345465","小赢轰炸式骚扰通讯录亲戚朋友")</f>
        <v>小赢轰炸式骚扰通讯录亲戚朋友</v>
      </c>
      <c r="C13931" s="2" t="s">
        <v>9</v>
      </c>
      <c r="D13931" s="2" t="s">
        <v>10</v>
      </c>
      <c r="E13931" s="2" t="str">
        <f>HYPERLINK("http://ts.21cn.com/tousu/show/id/1345465","http://ts.21cn.com/tousu/show/id/1345465")</f>
        <v>http://ts.21cn.com/tousu/show/id/1345465</v>
      </c>
      <c r="F13931" s="2" t="s">
        <v>11</v>
      </c>
      <c r="G13931" s="2" t="s">
        <v>16767</v>
      </c>
      <c r="H13931" s="2" t="s">
        <v>16768</v>
      </c>
    </row>
    <row r="13932" spans="1:8" ht="25.05" customHeight="1" x14ac:dyDescent="0.25">
      <c r="A13932" s="2" t="s">
        <v>8</v>
      </c>
      <c r="B13932" s="2" t="str">
        <f>HYPERLINK("http://ts.21cn.com/tousu/show/id/1345466","上门催收")</f>
        <v>上门催收</v>
      </c>
      <c r="C13932" s="2" t="s">
        <v>9</v>
      </c>
      <c r="D13932" s="2" t="s">
        <v>10</v>
      </c>
      <c r="E13932" s="2" t="str">
        <f>HYPERLINK("http://ts.21cn.com/tousu/show/id/1345466","http://ts.21cn.com/tousu/show/id/1345466")</f>
        <v>http://ts.21cn.com/tousu/show/id/1345466</v>
      </c>
      <c r="F13932" s="2" t="s">
        <v>11</v>
      </c>
      <c r="G13932" s="2" t="s">
        <v>16765</v>
      </c>
      <c r="H13932" s="2" t="s">
        <v>16766</v>
      </c>
    </row>
    <row r="13933" spans="1:8" ht="25.05" customHeight="1" x14ac:dyDescent="0.25">
      <c r="A13933" s="2" t="s">
        <v>8</v>
      </c>
      <c r="B13933" s="2" t="str">
        <f>HYPERLINK("http://ts.21cn.com/tousu/show/id/1345467","诱导宣传假信息")</f>
        <v>诱导宣传假信息</v>
      </c>
      <c r="C13933" s="2" t="s">
        <v>9</v>
      </c>
      <c r="D13933" s="2" t="s">
        <v>10</v>
      </c>
      <c r="E13933" s="2" t="str">
        <f>HYPERLINK("http://ts.21cn.com/tousu/show/id/1345467","http://ts.21cn.com/tousu/show/id/1345467")</f>
        <v>http://ts.21cn.com/tousu/show/id/1345467</v>
      </c>
      <c r="F13933" s="2" t="s">
        <v>11</v>
      </c>
      <c r="G13933" s="2" t="s">
        <v>16763</v>
      </c>
      <c r="H13933" s="2" t="s">
        <v>16764</v>
      </c>
    </row>
    <row r="13934" spans="1:8" ht="25.05" customHeight="1" x14ac:dyDescent="0.25">
      <c r="A13934" s="2" t="s">
        <v>8</v>
      </c>
      <c r="B13934" s="2" t="str">
        <f>HYPERLINK("http://ts.21cn.com/tousu/show/id/1345468","私自给学生放款")</f>
        <v>私自给学生放款</v>
      </c>
      <c r="C13934" s="2" t="s">
        <v>9</v>
      </c>
      <c r="D13934" s="2" t="s">
        <v>10</v>
      </c>
      <c r="E13934" s="2" t="str">
        <f>HYPERLINK("http://ts.21cn.com/tousu/show/id/1345468","http://ts.21cn.com/tousu/show/id/1345468")</f>
        <v>http://ts.21cn.com/tousu/show/id/1345468</v>
      </c>
      <c r="F13934" s="2" t="s">
        <v>11</v>
      </c>
      <c r="G13934" s="2" t="s">
        <v>16761</v>
      </c>
      <c r="H13934" s="2" t="s">
        <v>16762</v>
      </c>
    </row>
    <row r="13935" spans="1:8" ht="25.05" customHeight="1" x14ac:dyDescent="0.25">
      <c r="A13935" s="2" t="s">
        <v>8</v>
      </c>
      <c r="B13935" s="2" t="str">
        <f>HYPERLINK("http://ts.21cn.com/tousu/show/id/1345469","砍头息")</f>
        <v>砍头息</v>
      </c>
      <c r="C13935" s="2" t="s">
        <v>9</v>
      </c>
      <c r="D13935" s="2" t="s">
        <v>10</v>
      </c>
      <c r="E13935" s="2" t="str">
        <f>HYPERLINK("http://ts.21cn.com/tousu/show/id/1345469","http://ts.21cn.com/tousu/show/id/1345469")</f>
        <v>http://ts.21cn.com/tousu/show/id/1345469</v>
      </c>
      <c r="F13935" s="2" t="s">
        <v>11</v>
      </c>
      <c r="G13935" s="2" t="s">
        <v>16759</v>
      </c>
      <c r="H13935" s="2" t="s">
        <v>16760</v>
      </c>
    </row>
    <row r="13936" spans="1:8" ht="25.05" customHeight="1" x14ac:dyDescent="0.25">
      <c r="A13936" s="2" t="s">
        <v>8</v>
      </c>
      <c r="B13936" s="2" t="str">
        <f>HYPERLINK("http://ts.21cn.com/tousu/show/id/1345470","建行还我被盗刷的钱")</f>
        <v>建行还我被盗刷的钱</v>
      </c>
      <c r="C13936" s="2" t="s">
        <v>9</v>
      </c>
      <c r="D13936" s="2" t="s">
        <v>10</v>
      </c>
      <c r="E13936" s="2" t="str">
        <f>HYPERLINK("http://ts.21cn.com/tousu/show/id/1345470","http://ts.21cn.com/tousu/show/id/1345470")</f>
        <v>http://ts.21cn.com/tousu/show/id/1345470</v>
      </c>
      <c r="F13936" s="2" t="s">
        <v>11</v>
      </c>
      <c r="G13936" s="2" t="s">
        <v>16757</v>
      </c>
      <c r="H13936" s="2" t="s">
        <v>16758</v>
      </c>
    </row>
    <row r="13937" spans="1:8" ht="25.05" customHeight="1" x14ac:dyDescent="0.25">
      <c r="A13937" s="2" t="s">
        <v>8</v>
      </c>
      <c r="B13937" s="2" t="str">
        <f>HYPERLINK("http://ts.21cn.com/tousu/show/id/1345471","滴滴出行平台不维护司机权益")</f>
        <v>滴滴出行平台不维护司机权益</v>
      </c>
      <c r="C13937" s="2" t="s">
        <v>9</v>
      </c>
      <c r="D13937" s="2" t="s">
        <v>10</v>
      </c>
      <c r="E13937" s="2" t="str">
        <f>HYPERLINK("http://ts.21cn.com/tousu/show/id/1345471","http://ts.21cn.com/tousu/show/id/1345471")</f>
        <v>http://ts.21cn.com/tousu/show/id/1345471</v>
      </c>
      <c r="F13937" s="2" t="s">
        <v>11</v>
      </c>
      <c r="G13937" s="2" t="s">
        <v>16755</v>
      </c>
      <c r="H13937" s="2" t="s">
        <v>16756</v>
      </c>
    </row>
    <row r="13938" spans="1:8" ht="25.05" customHeight="1" x14ac:dyDescent="0.25">
      <c r="A13938" s="2" t="s">
        <v>8</v>
      </c>
      <c r="B13938" s="2" t="str">
        <f>HYPERLINK("http://ts.21cn.com/tousu/show/id/1345472","白领金库逾期一天催收态度强硬")</f>
        <v>白领金库逾期一天催收态度强硬</v>
      </c>
      <c r="C13938" s="2" t="s">
        <v>9</v>
      </c>
      <c r="D13938" s="2" t="s">
        <v>10</v>
      </c>
      <c r="E13938" s="2" t="str">
        <f>HYPERLINK("http://ts.21cn.com/tousu/show/id/1345472","http://ts.21cn.com/tousu/show/id/1345472")</f>
        <v>http://ts.21cn.com/tousu/show/id/1345472</v>
      </c>
      <c r="F13938" s="2" t="s">
        <v>11</v>
      </c>
      <c r="G13938" s="2" t="s">
        <v>16753</v>
      </c>
      <c r="H13938" s="2" t="s">
        <v>16754</v>
      </c>
    </row>
    <row r="13939" spans="1:8" ht="25.05" customHeight="1" x14ac:dyDescent="0.25">
      <c r="A13939" s="2" t="s">
        <v>8</v>
      </c>
      <c r="B13939" s="2" t="str">
        <f>HYPERLINK("http://ts.21cn.com/tousu/show/id/1345473","捷信冒充国家机关人员")</f>
        <v>捷信冒充国家机关人员</v>
      </c>
      <c r="C13939" s="2" t="s">
        <v>9</v>
      </c>
      <c r="D13939" s="2" t="s">
        <v>10</v>
      </c>
      <c r="E13939" s="2" t="str">
        <f>HYPERLINK("http://ts.21cn.com/tousu/show/id/1345473","http://ts.21cn.com/tousu/show/id/1345473")</f>
        <v>http://ts.21cn.com/tousu/show/id/1345473</v>
      </c>
      <c r="F13939" s="2" t="s">
        <v>11</v>
      </c>
      <c r="G13939" s="2" t="s">
        <v>16751</v>
      </c>
      <c r="H13939" s="2" t="s">
        <v>16752</v>
      </c>
    </row>
    <row r="13940" spans="1:8" ht="25.05" customHeight="1" x14ac:dyDescent="0.25">
      <c r="A13940" s="2" t="s">
        <v>8</v>
      </c>
      <c r="B13940" s="2" t="str">
        <f>HYPERLINK("http://ts.21cn.com/tousu/show/id/1345475","招商银行委托的第三方违规打电话催收")</f>
        <v>招商银行委托的第三方违规打电话催收</v>
      </c>
      <c r="C13940" s="2" t="s">
        <v>9</v>
      </c>
      <c r="D13940" s="2" t="s">
        <v>10</v>
      </c>
      <c r="E13940" s="2" t="str">
        <f>HYPERLINK("http://ts.21cn.com/tousu/show/id/1345475","http://ts.21cn.com/tousu/show/id/1345475")</f>
        <v>http://ts.21cn.com/tousu/show/id/1345475</v>
      </c>
      <c r="F13940" s="2" t="s">
        <v>11</v>
      </c>
      <c r="G13940" s="2" t="s">
        <v>16749</v>
      </c>
      <c r="H13940" s="2" t="s">
        <v>16750</v>
      </c>
    </row>
    <row r="13941" spans="1:8" ht="25.05" customHeight="1" x14ac:dyDescent="0.25">
      <c r="A13941" s="2" t="s">
        <v>8</v>
      </c>
      <c r="B13941" s="2" t="str">
        <f>HYPERLINK("http://ts.21cn.com/tousu/show/id/1345476","还款日要到了，麻烦给一个下载链接谢谢")</f>
        <v>还款日要到了，麻烦给一个下载链接谢谢</v>
      </c>
      <c r="C13941" s="2" t="s">
        <v>34</v>
      </c>
      <c r="D13941" s="2" t="s">
        <v>10</v>
      </c>
      <c r="E13941" s="2" t="str">
        <f>HYPERLINK("http://ts.21cn.com/tousu/show/id/1345476","http://ts.21cn.com/tousu/show/id/1345476")</f>
        <v>http://ts.21cn.com/tousu/show/id/1345476</v>
      </c>
      <c r="F13941" s="2" t="s">
        <v>11</v>
      </c>
      <c r="G13941" s="2" t="s">
        <v>16747</v>
      </c>
      <c r="H13941" s="2" t="s">
        <v>16748</v>
      </c>
    </row>
    <row r="13942" spans="1:8" ht="25.05" customHeight="1" x14ac:dyDescent="0.25">
      <c r="A13942" s="2" t="s">
        <v>8</v>
      </c>
      <c r="B13942" s="2" t="str">
        <f>HYPERLINK("http://ts.21cn.com/tousu/show/id/1345477","活力花软件高利息资金周转不开逾期几天天天打电话催打电话威胁")</f>
        <v>活力花软件高利息资金周转不开逾期几天天天打电话催打电话威胁</v>
      </c>
      <c r="C13942" s="2" t="s">
        <v>9</v>
      </c>
      <c r="D13942" s="2" t="s">
        <v>10</v>
      </c>
      <c r="E13942" s="2" t="str">
        <f>HYPERLINK("http://ts.21cn.com/tousu/show/id/1345477","http://ts.21cn.com/tousu/show/id/1345477")</f>
        <v>http://ts.21cn.com/tousu/show/id/1345477</v>
      </c>
      <c r="F13942" s="2" t="s">
        <v>11</v>
      </c>
      <c r="G13942" s="2" t="s">
        <v>16745</v>
      </c>
      <c r="H13942" s="2" t="s">
        <v>16746</v>
      </c>
    </row>
    <row r="13943" spans="1:8" ht="25.05" customHeight="1" x14ac:dyDescent="0.25">
      <c r="A13943" s="2" t="s">
        <v>8</v>
      </c>
      <c r="B13943" s="2" t="str">
        <f>HYPERLINK("http://ts.21cn.com/tousu/show/id/1345478","在优信二手车买车时说车辆没有任何瑕疵划痕之类的，实际验车交车是发现有多处划痕")</f>
        <v>在优信二手车买车时说车辆没有任何瑕疵划痕之类的，实际验车交车是发现有多处划痕</v>
      </c>
      <c r="C13943" s="2" t="s">
        <v>34</v>
      </c>
      <c r="D13943" s="2" t="s">
        <v>10</v>
      </c>
      <c r="E13943" s="2" t="str">
        <f>HYPERLINK("http://ts.21cn.com/tousu/show/id/1345478","http://ts.21cn.com/tousu/show/id/1345478")</f>
        <v>http://ts.21cn.com/tousu/show/id/1345478</v>
      </c>
      <c r="F13943" s="2" t="s">
        <v>11</v>
      </c>
      <c r="G13943" s="2" t="s">
        <v>16743</v>
      </c>
      <c r="H13943" s="2" t="s">
        <v>16744</v>
      </c>
    </row>
    <row r="13944" spans="1:8" ht="25.05" customHeight="1" x14ac:dyDescent="0.25">
      <c r="A13944" s="2" t="s">
        <v>8</v>
      </c>
      <c r="B13944" s="2" t="str">
        <f>HYPERLINK("http://ts.21cn.com/tousu/show/id/1345481","建设银行贷款结清了，却迟迟没修改个人征信记录报告，导致个人信用掉分严重")</f>
        <v>建设银行贷款结清了，却迟迟没修改个人征信记录报告，导致个人信用掉分严重</v>
      </c>
      <c r="C13944" s="2" t="s">
        <v>9</v>
      </c>
      <c r="D13944" s="2" t="s">
        <v>10</v>
      </c>
      <c r="E13944" s="2" t="str">
        <f>HYPERLINK("http://ts.21cn.com/tousu/show/id/1345481","http://ts.21cn.com/tousu/show/id/1345481")</f>
        <v>http://ts.21cn.com/tousu/show/id/1345481</v>
      </c>
      <c r="F13944" s="2" t="s">
        <v>11</v>
      </c>
      <c r="G13944" s="2" t="s">
        <v>16741</v>
      </c>
      <c r="H13944" s="2" t="s">
        <v>16742</v>
      </c>
    </row>
    <row r="13945" spans="1:8" ht="25.05" customHeight="1" x14ac:dyDescent="0.25">
      <c r="A13945" s="2" t="s">
        <v>8</v>
      </c>
      <c r="B13945" s="2" t="str">
        <f>HYPERLINK("http://ts.21cn.com/tousu/show/id/1345482","中国移动给博彩平台提供支付通道")</f>
        <v>中国移动给博彩平台提供支付通道</v>
      </c>
      <c r="C13945" s="2" t="s">
        <v>34</v>
      </c>
      <c r="D13945" s="2" t="s">
        <v>10</v>
      </c>
      <c r="E13945" s="2" t="str">
        <f>HYPERLINK("http://ts.21cn.com/tousu/show/id/1345482","http://ts.21cn.com/tousu/show/id/1345482")</f>
        <v>http://ts.21cn.com/tousu/show/id/1345482</v>
      </c>
      <c r="F13945" s="2" t="s">
        <v>11</v>
      </c>
      <c r="G13945" s="2" t="s">
        <v>16739</v>
      </c>
      <c r="H13945" s="2" t="s">
        <v>16740</v>
      </c>
    </row>
    <row r="13946" spans="1:8" ht="25.05" customHeight="1" x14ac:dyDescent="0.25">
      <c r="A13946" s="2" t="s">
        <v>8</v>
      </c>
      <c r="B13946" s="2" t="str">
        <f>HYPERLINK("http://ts.21cn.com/tousu/show/id/1345483","。百度钱包恶意威胁恐吓")</f>
        <v>。百度钱包恶意威胁恐吓</v>
      </c>
      <c r="C13946" s="2" t="s">
        <v>9</v>
      </c>
      <c r="D13946" s="2" t="s">
        <v>10</v>
      </c>
      <c r="E13946" s="2" t="str">
        <f>HYPERLINK("http://ts.21cn.com/tousu/show/id/1345483","http://ts.21cn.com/tousu/show/id/1345483")</f>
        <v>http://ts.21cn.com/tousu/show/id/1345483</v>
      </c>
      <c r="F13946" s="2" t="s">
        <v>11</v>
      </c>
      <c r="G13946" s="2" t="s">
        <v>16737</v>
      </c>
      <c r="H13946" s="2" t="s">
        <v>16738</v>
      </c>
    </row>
    <row r="13947" spans="1:8" ht="25.05" customHeight="1" x14ac:dyDescent="0.25">
      <c r="A13947" s="2" t="s">
        <v>8</v>
      </c>
      <c r="B13947" s="2" t="str">
        <f>HYPERLINK("http://ts.21cn.com/tousu/show/id/1345484","玖富叮当高利贷，暴力催收，合同欺诈")</f>
        <v>玖富叮当高利贷，暴力催收，合同欺诈</v>
      </c>
      <c r="C13947" s="2" t="s">
        <v>9</v>
      </c>
      <c r="D13947" s="2" t="s">
        <v>10</v>
      </c>
      <c r="E13947" s="2" t="str">
        <f>HYPERLINK("http://ts.21cn.com/tousu/show/id/1345484","http://ts.21cn.com/tousu/show/id/1345484")</f>
        <v>http://ts.21cn.com/tousu/show/id/1345484</v>
      </c>
      <c r="F13947" s="2" t="s">
        <v>11</v>
      </c>
      <c r="G13947" s="2" t="s">
        <v>16735</v>
      </c>
      <c r="H13947" s="2" t="s">
        <v>16736</v>
      </c>
    </row>
    <row r="13948" spans="1:8" ht="25.05" customHeight="1" x14ac:dyDescent="0.25">
      <c r="A13948" s="2" t="s">
        <v>8</v>
      </c>
      <c r="B13948" s="2" t="str">
        <f>HYPERLINK("http://ts.21cn.com/tousu/show/id/1345486","高利贷 阴阳合同 催收骚扰")</f>
        <v>高利贷 阴阳合同 催收骚扰</v>
      </c>
      <c r="C13948" s="2" t="s">
        <v>9</v>
      </c>
      <c r="D13948" s="2" t="s">
        <v>10</v>
      </c>
      <c r="E13948" s="2" t="str">
        <f>HYPERLINK("http://ts.21cn.com/tousu/show/id/1345486","http://ts.21cn.com/tousu/show/id/1345486")</f>
        <v>http://ts.21cn.com/tousu/show/id/1345486</v>
      </c>
      <c r="F13948" s="2" t="s">
        <v>11</v>
      </c>
      <c r="G13948" s="2" t="s">
        <v>16733</v>
      </c>
      <c r="H13948" s="2" t="s">
        <v>16734</v>
      </c>
    </row>
    <row r="13949" spans="1:8" ht="25.05" customHeight="1" x14ac:dyDescent="0.25">
      <c r="A13949" s="2" t="s">
        <v>8</v>
      </c>
      <c r="B13949" s="2" t="str">
        <f>HYPERLINK("http://ts.21cn.com/tousu/show/id/1345487","建行还我被盗刷的钱")</f>
        <v>建行还我被盗刷的钱</v>
      </c>
      <c r="C13949" s="2" t="s">
        <v>9</v>
      </c>
      <c r="D13949" s="2" t="s">
        <v>10</v>
      </c>
      <c r="E13949" s="2" t="str">
        <f>HYPERLINK("http://ts.21cn.com/tousu/show/id/1345487","http://ts.21cn.com/tousu/show/id/1345487")</f>
        <v>http://ts.21cn.com/tousu/show/id/1345487</v>
      </c>
      <c r="F13949" s="2" t="s">
        <v>11</v>
      </c>
      <c r="G13949" s="2" t="s">
        <v>16731</v>
      </c>
      <c r="H13949" s="2" t="s">
        <v>16732</v>
      </c>
    </row>
    <row r="13950" spans="1:8" ht="25.05" customHeight="1" x14ac:dyDescent="0.25">
      <c r="A13950" s="2" t="s">
        <v>8</v>
      </c>
      <c r="B13950" s="2" t="str">
        <f>HYPERLINK("http://ts.21cn.com/tousu/show/id/1345488","滴滴公司不平等待遇")</f>
        <v>滴滴公司不平等待遇</v>
      </c>
      <c r="C13950" s="2" t="s">
        <v>9</v>
      </c>
      <c r="D13950" s="2" t="s">
        <v>10</v>
      </c>
      <c r="E13950" s="2" t="str">
        <f>HYPERLINK("http://ts.21cn.com/tousu/show/id/1345488","http://ts.21cn.com/tousu/show/id/1345488")</f>
        <v>http://ts.21cn.com/tousu/show/id/1345488</v>
      </c>
      <c r="F13950" s="2" t="s">
        <v>11</v>
      </c>
      <c r="G13950" s="2" t="s">
        <v>16729</v>
      </c>
      <c r="H13950" s="2" t="s">
        <v>16730</v>
      </c>
    </row>
    <row r="13951" spans="1:8" ht="25.05" customHeight="1" x14ac:dyDescent="0.25">
      <c r="A13951" s="2" t="s">
        <v>8</v>
      </c>
      <c r="B13951" s="2" t="str">
        <f>HYPERLINK("http://ts.21cn.com/tousu/show/id/1345490","投诉南昌玲丽彩妆培训学校收取培训费后，学员未参加培训不退款")</f>
        <v>投诉南昌玲丽彩妆培训学校收取培训费后，学员未参加培训不退款</v>
      </c>
      <c r="C13951" s="2" t="s">
        <v>9</v>
      </c>
      <c r="D13951" s="2" t="s">
        <v>10</v>
      </c>
      <c r="E13951" s="2" t="str">
        <f>HYPERLINK("http://ts.21cn.com/tousu/show/id/1345490","http://ts.21cn.com/tousu/show/id/1345490")</f>
        <v>http://ts.21cn.com/tousu/show/id/1345490</v>
      </c>
      <c r="F13951" s="2" t="s">
        <v>11</v>
      </c>
      <c r="G13951" s="2" t="s">
        <v>16727</v>
      </c>
      <c r="H13951" s="2" t="s">
        <v>16728</v>
      </c>
    </row>
    <row r="13952" spans="1:8" ht="25.05" customHeight="1" x14ac:dyDescent="0.25">
      <c r="A13952" s="2" t="s">
        <v>8</v>
      </c>
      <c r="B13952" s="2" t="str">
        <f>HYPERLINK("http://ts.21cn.com/tousu/show/id/1345491","乱扣款请马上处理马上退回")</f>
        <v>乱扣款请马上处理马上退回</v>
      </c>
      <c r="C13952" s="2" t="s">
        <v>9</v>
      </c>
      <c r="D13952" s="2" t="s">
        <v>10</v>
      </c>
      <c r="E13952" s="2" t="str">
        <f>HYPERLINK("http://ts.21cn.com/tousu/show/id/1345491","http://ts.21cn.com/tousu/show/id/1345491")</f>
        <v>http://ts.21cn.com/tousu/show/id/1345491</v>
      </c>
      <c r="F13952" s="2" t="s">
        <v>11</v>
      </c>
      <c r="G13952" s="2" t="s">
        <v>16725</v>
      </c>
      <c r="H13952" s="2" t="s">
        <v>16726</v>
      </c>
    </row>
    <row r="13953" spans="1:8" ht="25.05" customHeight="1" x14ac:dyDescent="0.25">
      <c r="A13953" s="2" t="s">
        <v>8</v>
      </c>
      <c r="B13953" s="2" t="str">
        <f>HYPERLINK("http://ts.21cn.com/tousu/show/id/1345492","玖富万卡催收")</f>
        <v>玖富万卡催收</v>
      </c>
      <c r="C13953" s="2" t="s">
        <v>9</v>
      </c>
      <c r="D13953" s="2" t="s">
        <v>10</v>
      </c>
      <c r="E13953" s="2" t="str">
        <f>HYPERLINK("http://ts.21cn.com/tousu/show/id/1345492","http://ts.21cn.com/tousu/show/id/1345492")</f>
        <v>http://ts.21cn.com/tousu/show/id/1345492</v>
      </c>
      <c r="F13953" s="2" t="s">
        <v>11</v>
      </c>
      <c r="G13953" s="2" t="s">
        <v>16723</v>
      </c>
      <c r="H13953" s="2" t="s">
        <v>16724</v>
      </c>
    </row>
    <row r="13954" spans="1:8" ht="25.05" customHeight="1" x14ac:dyDescent="0.25">
      <c r="A13954" s="2" t="s">
        <v>8</v>
      </c>
      <c r="B13954" s="2" t="str">
        <f>HYPERLINK("http://ts.21cn.com/tousu/show/id/1345494","移动商通套路卖刷卡机")</f>
        <v>移动商通套路卖刷卡机</v>
      </c>
      <c r="C13954" s="2" t="s">
        <v>9</v>
      </c>
      <c r="D13954" s="2" t="s">
        <v>10</v>
      </c>
      <c r="E13954" s="2" t="str">
        <f>HYPERLINK("http://ts.21cn.com/tousu/show/id/1345494","http://ts.21cn.com/tousu/show/id/1345494")</f>
        <v>http://ts.21cn.com/tousu/show/id/1345494</v>
      </c>
      <c r="F13954" s="2" t="s">
        <v>11</v>
      </c>
      <c r="G13954" s="2" t="s">
        <v>16721</v>
      </c>
      <c r="H13954" s="2" t="s">
        <v>16722</v>
      </c>
    </row>
    <row r="13955" spans="1:8" ht="25.05" customHeight="1" x14ac:dyDescent="0.25">
      <c r="A13955" s="2" t="s">
        <v>8</v>
      </c>
      <c r="B13955" s="2" t="str">
        <f>HYPERLINK("http://ts.21cn.com/tousu/show/id/1345495","上门威胁恐吓影响名誉")</f>
        <v>上门威胁恐吓影响名誉</v>
      </c>
      <c r="C13955" s="2" t="s">
        <v>9</v>
      </c>
      <c r="D13955" s="2" t="s">
        <v>10</v>
      </c>
      <c r="E13955" s="2" t="str">
        <f>HYPERLINK("http://ts.21cn.com/tousu/show/id/1345495","http://ts.21cn.com/tousu/show/id/1345495")</f>
        <v>http://ts.21cn.com/tousu/show/id/1345495</v>
      </c>
      <c r="F13955" s="2" t="s">
        <v>11</v>
      </c>
      <c r="G13955" s="2" t="s">
        <v>16719</v>
      </c>
      <c r="H13955" s="2" t="s">
        <v>16720</v>
      </c>
    </row>
    <row r="13956" spans="1:8" ht="25.05" customHeight="1" x14ac:dyDescent="0.25">
      <c r="A13956" s="2" t="s">
        <v>8</v>
      </c>
      <c r="B13956" s="2" t="str">
        <f>HYPERLINK("http://ts.21cn.com/tousu/show/id/1345493","投诉美团恶意催收")</f>
        <v>投诉美团恶意催收</v>
      </c>
      <c r="C13956" s="2" t="s">
        <v>9</v>
      </c>
      <c r="D13956" s="2" t="s">
        <v>10</v>
      </c>
      <c r="E13956" s="2" t="str">
        <f>HYPERLINK("http://ts.21cn.com/tousu/show/id/1345493","http://ts.21cn.com/tousu/show/id/1345493")</f>
        <v>http://ts.21cn.com/tousu/show/id/1345493</v>
      </c>
      <c r="F13956" s="2" t="s">
        <v>11</v>
      </c>
      <c r="G13956" s="2" t="s">
        <v>16717</v>
      </c>
      <c r="H13956" s="2" t="s">
        <v>16718</v>
      </c>
    </row>
    <row r="13957" spans="1:8" ht="25.05" customHeight="1" x14ac:dyDescent="0.25">
      <c r="A13957" s="2" t="s">
        <v>8</v>
      </c>
      <c r="B13957" s="2" t="str">
        <f>HYPERLINK("http://ts.21cn.com/tousu/show/id/1345496","投诉恶意催收第三方多次恐吓电话，协商不成多次恶意拨打公司电话")</f>
        <v>投诉恶意催收第三方多次恐吓电话，协商不成多次恶意拨打公司电话</v>
      </c>
      <c r="C13957" s="2" t="s">
        <v>9</v>
      </c>
      <c r="D13957" s="2" t="s">
        <v>10</v>
      </c>
      <c r="E13957" s="2" t="str">
        <f>HYPERLINK("http://ts.21cn.com/tousu/show/id/1345496","http://ts.21cn.com/tousu/show/id/1345496")</f>
        <v>http://ts.21cn.com/tousu/show/id/1345496</v>
      </c>
      <c r="F13957" s="2" t="s">
        <v>11</v>
      </c>
      <c r="G13957" s="2" t="s">
        <v>16715</v>
      </c>
      <c r="H13957" s="2" t="s">
        <v>16716</v>
      </c>
    </row>
    <row r="13958" spans="1:8" ht="25.05" customHeight="1" x14ac:dyDescent="0.25">
      <c r="A13958" s="2" t="s">
        <v>8</v>
      </c>
      <c r="B13958" s="2" t="str">
        <f>HYPERLINK("http://ts.21cn.com/tousu/show/id/1345497","造艺科技非法向在校大学生放高额利息贷款，坑害学生")</f>
        <v>造艺科技非法向在校大学生放高额利息贷款，坑害学生</v>
      </c>
      <c r="C13958" s="2" t="s">
        <v>9</v>
      </c>
      <c r="D13958" s="2" t="s">
        <v>10</v>
      </c>
      <c r="E13958" s="2" t="str">
        <f>HYPERLINK("http://ts.21cn.com/tousu/show/id/1345497","http://ts.21cn.com/tousu/show/id/1345497")</f>
        <v>http://ts.21cn.com/tousu/show/id/1345497</v>
      </c>
      <c r="F13958" s="2" t="s">
        <v>11</v>
      </c>
      <c r="G13958" s="2" t="s">
        <v>16713</v>
      </c>
      <c r="H13958" s="2" t="s">
        <v>16714</v>
      </c>
    </row>
    <row r="13959" spans="1:8" ht="25.05" customHeight="1" x14ac:dyDescent="0.25">
      <c r="A13959" s="2" t="s">
        <v>8</v>
      </c>
      <c r="B13959" s="2" t="str">
        <f>HYPERLINK("http://ts.21cn.com/tousu/show/id/1345498","百事普惠恶意扣款")</f>
        <v>百事普惠恶意扣款</v>
      </c>
      <c r="C13959" s="2" t="s">
        <v>9</v>
      </c>
      <c r="D13959" s="2" t="s">
        <v>10</v>
      </c>
      <c r="E13959" s="2" t="str">
        <f>HYPERLINK("http://ts.21cn.com/tousu/show/id/1345498","http://ts.21cn.com/tousu/show/id/1345498")</f>
        <v>http://ts.21cn.com/tousu/show/id/1345498</v>
      </c>
      <c r="F13959" s="2" t="s">
        <v>11</v>
      </c>
      <c r="G13959" s="2" t="s">
        <v>16711</v>
      </c>
      <c r="H13959" s="2" t="s">
        <v>16712</v>
      </c>
    </row>
    <row r="13960" spans="1:8" ht="25.05" customHeight="1" x14ac:dyDescent="0.25">
      <c r="A13960" s="2" t="s">
        <v>8</v>
      </c>
      <c r="B13960" s="2" t="str">
        <f>HYPERLINK("http://ts.21cn.com/tousu/show/id/1345499","蜂鸟众包客服拉黑")</f>
        <v>蜂鸟众包客服拉黑</v>
      </c>
      <c r="C13960" s="2" t="s">
        <v>9</v>
      </c>
      <c r="D13960" s="2" t="s">
        <v>10</v>
      </c>
      <c r="E13960" s="2" t="str">
        <f>HYPERLINK("http://ts.21cn.com/tousu/show/id/1345499","http://ts.21cn.com/tousu/show/id/1345499")</f>
        <v>http://ts.21cn.com/tousu/show/id/1345499</v>
      </c>
      <c r="F13960" s="2" t="s">
        <v>11</v>
      </c>
      <c r="G13960" s="2" t="s">
        <v>16709</v>
      </c>
      <c r="H13960" s="2" t="s">
        <v>16710</v>
      </c>
    </row>
    <row r="13961" spans="1:8" ht="25.05" customHeight="1" x14ac:dyDescent="0.25">
      <c r="A13961" s="2" t="s">
        <v>8</v>
      </c>
      <c r="B13961" s="2" t="str">
        <f>HYPERLINK("http://ts.21cn.com/tousu/show/id/1345500","立借钱置宝高利贷还款还不上，联系不上客服")</f>
        <v>立借钱置宝高利贷还款还不上，联系不上客服</v>
      </c>
      <c r="C13961" s="2" t="s">
        <v>9</v>
      </c>
      <c r="D13961" s="2" t="s">
        <v>10</v>
      </c>
      <c r="E13961" s="2" t="str">
        <f>HYPERLINK("http://ts.21cn.com/tousu/show/id/1345500","http://ts.21cn.com/tousu/show/id/1345500")</f>
        <v>http://ts.21cn.com/tousu/show/id/1345500</v>
      </c>
      <c r="F13961" s="2" t="s">
        <v>11</v>
      </c>
      <c r="G13961" s="2" t="s">
        <v>16707</v>
      </c>
      <c r="H13961" s="2" t="s">
        <v>16708</v>
      </c>
    </row>
    <row r="13962" spans="1:8" ht="25.05" customHeight="1" x14ac:dyDescent="0.25">
      <c r="A13962" s="2" t="s">
        <v>8</v>
      </c>
      <c r="B13962" s="2" t="str">
        <f>HYPERLINK("http://ts.21cn.com/tousu/show/id/1345501","滴滴出行强制多收费用")</f>
        <v>滴滴出行强制多收费用</v>
      </c>
      <c r="C13962" s="2" t="s">
        <v>9</v>
      </c>
      <c r="D13962" s="2" t="s">
        <v>10</v>
      </c>
      <c r="E13962" s="2" t="str">
        <f>HYPERLINK("http://ts.21cn.com/tousu/show/id/1345501","http://ts.21cn.com/tousu/show/id/1345501")</f>
        <v>http://ts.21cn.com/tousu/show/id/1345501</v>
      </c>
      <c r="F13962" s="2" t="s">
        <v>11</v>
      </c>
      <c r="G13962" s="2" t="s">
        <v>16705</v>
      </c>
      <c r="H13962" s="2" t="s">
        <v>16706</v>
      </c>
    </row>
    <row r="13963" spans="1:8" ht="25.05" customHeight="1" x14ac:dyDescent="0.25">
      <c r="A13963" s="2" t="s">
        <v>8</v>
      </c>
      <c r="B13963" s="2" t="str">
        <f>HYPERLINK("http://ts.21cn.com/tousu/show/id/1345505","网易旗下《魔兽世界》侵犯用户权利")</f>
        <v>网易旗下《魔兽世界》侵犯用户权利</v>
      </c>
      <c r="C13963" s="2" t="s">
        <v>34</v>
      </c>
      <c r="D13963" s="2" t="s">
        <v>10</v>
      </c>
      <c r="E13963" s="2" t="str">
        <f>HYPERLINK("http://ts.21cn.com/tousu/show/id/1345505","http://ts.21cn.com/tousu/show/id/1345505")</f>
        <v>http://ts.21cn.com/tousu/show/id/1345505</v>
      </c>
      <c r="F13963" s="2" t="s">
        <v>11</v>
      </c>
      <c r="G13963" s="2" t="s">
        <v>16703</v>
      </c>
      <c r="H13963" s="2" t="s">
        <v>16704</v>
      </c>
    </row>
    <row r="13964" spans="1:8" ht="25.05" customHeight="1" x14ac:dyDescent="0.25">
      <c r="A13964" s="2" t="s">
        <v>8</v>
      </c>
      <c r="B13964" s="2" t="str">
        <f>HYPERLINK("http://ts.21cn.com/tousu/show/id/1345502","国美易卡变相砍头息")</f>
        <v>国美易卡变相砍头息</v>
      </c>
      <c r="C13964" s="2" t="s">
        <v>9</v>
      </c>
      <c r="D13964" s="2" t="s">
        <v>10</v>
      </c>
      <c r="E13964" s="2" t="str">
        <f>HYPERLINK("http://ts.21cn.com/tousu/show/id/1345502","http://ts.21cn.com/tousu/show/id/1345502")</f>
        <v>http://ts.21cn.com/tousu/show/id/1345502</v>
      </c>
      <c r="F13964" s="2" t="s">
        <v>11</v>
      </c>
      <c r="G13964" s="2" t="s">
        <v>16701</v>
      </c>
      <c r="H13964" s="2" t="s">
        <v>16702</v>
      </c>
    </row>
    <row r="13965" spans="1:8" ht="25.05" customHeight="1" x14ac:dyDescent="0.25">
      <c r="A13965" s="2" t="s">
        <v>8</v>
      </c>
      <c r="B13965" s="2" t="str">
        <f>HYPERLINK("http://ts.21cn.com/tousu/show/id/1345503","小浦优客没有提示就乱扣钱")</f>
        <v>小浦优客没有提示就乱扣钱</v>
      </c>
      <c r="C13965" s="2" t="s">
        <v>9</v>
      </c>
      <c r="D13965" s="2" t="s">
        <v>10</v>
      </c>
      <c r="E13965" s="2" t="str">
        <f>HYPERLINK("http://ts.21cn.com/tousu/show/id/1345503","http://ts.21cn.com/tousu/show/id/1345503")</f>
        <v>http://ts.21cn.com/tousu/show/id/1345503</v>
      </c>
      <c r="F13965" s="2" t="s">
        <v>11</v>
      </c>
      <c r="G13965" s="2" t="s">
        <v>16699</v>
      </c>
      <c r="H13965" s="2" t="s">
        <v>16700</v>
      </c>
    </row>
    <row r="13966" spans="1:8" ht="25.05" customHeight="1" x14ac:dyDescent="0.25">
      <c r="A13966" s="2" t="s">
        <v>8</v>
      </c>
      <c r="B13966" s="2" t="str">
        <f>HYPERLINK("http://ts.21cn.com/tousu/show/id/1345504","联动云90天未退还押金")</f>
        <v>联动云90天未退还押金</v>
      </c>
      <c r="C13966" s="2" t="s">
        <v>9</v>
      </c>
      <c r="D13966" s="2" t="s">
        <v>10</v>
      </c>
      <c r="E13966" s="2" t="str">
        <f>HYPERLINK("http://ts.21cn.com/tousu/show/id/1345504","http://ts.21cn.com/tousu/show/id/1345504")</f>
        <v>http://ts.21cn.com/tousu/show/id/1345504</v>
      </c>
      <c r="F13966" s="2" t="s">
        <v>11</v>
      </c>
      <c r="G13966" s="2" t="s">
        <v>16697</v>
      </c>
      <c r="H13966" s="2" t="s">
        <v>16698</v>
      </c>
    </row>
    <row r="13967" spans="1:8" ht="25.05" customHeight="1" x14ac:dyDescent="0.25">
      <c r="A13967" s="2" t="s">
        <v>8</v>
      </c>
      <c r="B13967" s="2" t="str">
        <f>HYPERLINK("http://ts.21cn.com/tousu/show/id/1345506","爆通讯录")</f>
        <v>爆通讯录</v>
      </c>
      <c r="C13967" s="2" t="s">
        <v>9</v>
      </c>
      <c r="D13967" s="2" t="s">
        <v>10</v>
      </c>
      <c r="E13967" s="2" t="str">
        <f>HYPERLINK("http://ts.21cn.com/tousu/show/id/1345506","http://ts.21cn.com/tousu/show/id/1345506")</f>
        <v>http://ts.21cn.com/tousu/show/id/1345506</v>
      </c>
      <c r="F13967" s="2" t="s">
        <v>11</v>
      </c>
      <c r="G13967" s="2" t="s">
        <v>16695</v>
      </c>
      <c r="H13967" s="2" t="s">
        <v>16696</v>
      </c>
    </row>
    <row r="13968" spans="1:8" ht="25.05" customHeight="1" x14ac:dyDescent="0.25">
      <c r="A13968" s="2" t="s">
        <v>8</v>
      </c>
      <c r="B13968" s="2" t="str">
        <f>HYPERLINK("http://ts.21cn.com/tousu/show/id/1345507","云充吧充电宝归还后仍然扣费")</f>
        <v>云充吧充电宝归还后仍然扣费</v>
      </c>
      <c r="C13968" s="2" t="s">
        <v>9</v>
      </c>
      <c r="D13968" s="2" t="s">
        <v>10</v>
      </c>
      <c r="E13968" s="2" t="str">
        <f>HYPERLINK("http://ts.21cn.com/tousu/show/id/1345507","http://ts.21cn.com/tousu/show/id/1345507")</f>
        <v>http://ts.21cn.com/tousu/show/id/1345507</v>
      </c>
      <c r="F13968" s="2" t="s">
        <v>11</v>
      </c>
      <c r="G13968" s="2" t="s">
        <v>16693</v>
      </c>
      <c r="H13968" s="2" t="s">
        <v>16694</v>
      </c>
    </row>
    <row r="13969" spans="1:8" ht="25.05" customHeight="1" x14ac:dyDescent="0.25">
      <c r="A13969" s="2" t="s">
        <v>8</v>
      </c>
      <c r="B13969" s="2" t="str">
        <f>HYPERLINK("http://ts.21cn.com/tousu/show/id/1345508","造艺科技不给结清证明")</f>
        <v>造艺科技不给结清证明</v>
      </c>
      <c r="C13969" s="2" t="s">
        <v>9</v>
      </c>
      <c r="D13969" s="2" t="s">
        <v>10</v>
      </c>
      <c r="E13969" s="2" t="str">
        <f>HYPERLINK("http://ts.21cn.com/tousu/show/id/1345508","http://ts.21cn.com/tousu/show/id/1345508")</f>
        <v>http://ts.21cn.com/tousu/show/id/1345508</v>
      </c>
      <c r="F13969" s="2" t="s">
        <v>11</v>
      </c>
      <c r="G13969" s="2" t="s">
        <v>16691</v>
      </c>
      <c r="H13969" s="2" t="s">
        <v>16692</v>
      </c>
    </row>
    <row r="13970" spans="1:8" ht="25.05" customHeight="1" x14ac:dyDescent="0.25">
      <c r="A13970" s="2" t="s">
        <v>8</v>
      </c>
      <c r="B13970" s="2" t="str">
        <f>HYPERLINK("http://ts.21cn.com/tousu/show/id/1345510","阿迪椰子鞋假货")</f>
        <v>阿迪椰子鞋假货</v>
      </c>
      <c r="C13970" s="2" t="s">
        <v>9</v>
      </c>
      <c r="D13970" s="2" t="s">
        <v>10</v>
      </c>
      <c r="E13970" s="2" t="str">
        <f>HYPERLINK("http://ts.21cn.com/tousu/show/id/1345510","http://ts.21cn.com/tousu/show/id/1345510")</f>
        <v>http://ts.21cn.com/tousu/show/id/1345510</v>
      </c>
      <c r="F13970" s="2" t="s">
        <v>11</v>
      </c>
      <c r="G13970" s="2" t="s">
        <v>16689</v>
      </c>
      <c r="H13970" s="2" t="s">
        <v>16690</v>
      </c>
    </row>
    <row r="13971" spans="1:8" ht="25.05" customHeight="1" x14ac:dyDescent="0.25">
      <c r="A13971" s="2" t="s">
        <v>8</v>
      </c>
      <c r="B13971" s="2" t="str">
        <f>HYPERLINK("http://ts.21cn.com/tousu/show/id/1345511","滴滴公司枉顾事实，随意判责")</f>
        <v>滴滴公司枉顾事实，随意判责</v>
      </c>
      <c r="C13971" s="2" t="s">
        <v>9</v>
      </c>
      <c r="D13971" s="2" t="s">
        <v>10</v>
      </c>
      <c r="E13971" s="2" t="str">
        <f>HYPERLINK("http://ts.21cn.com/tousu/show/id/1345511","http://ts.21cn.com/tousu/show/id/1345511")</f>
        <v>http://ts.21cn.com/tousu/show/id/1345511</v>
      </c>
      <c r="F13971" s="2" t="s">
        <v>11</v>
      </c>
      <c r="G13971" s="2" t="s">
        <v>16686</v>
      </c>
      <c r="H13971" s="2" t="s">
        <v>16687</v>
      </c>
    </row>
    <row r="13972" spans="1:8" ht="25.05" customHeight="1" x14ac:dyDescent="0.25">
      <c r="A13972" s="2" t="s">
        <v>8</v>
      </c>
      <c r="B13972" s="2" t="str">
        <f>HYPERLINK("http://ts.21cn.com/tousu/show/id/1345509","拍拍贷骚扰投诉")</f>
        <v>拍拍贷骚扰投诉</v>
      </c>
      <c r="C13972" s="2" t="s">
        <v>9</v>
      </c>
      <c r="D13972" s="2" t="s">
        <v>10</v>
      </c>
      <c r="E13972" s="2" t="str">
        <f>HYPERLINK("http://ts.21cn.com/tousu/show/id/1345509","http://ts.21cn.com/tousu/show/id/1345509")</f>
        <v>http://ts.21cn.com/tousu/show/id/1345509</v>
      </c>
      <c r="F13972" s="2" t="s">
        <v>11</v>
      </c>
      <c r="G13972" s="2" t="s">
        <v>16686</v>
      </c>
      <c r="H13972" s="2" t="s">
        <v>16688</v>
      </c>
    </row>
    <row r="13973" spans="1:8" ht="25.05" customHeight="1" x14ac:dyDescent="0.25">
      <c r="A13973" s="2" t="s">
        <v>8</v>
      </c>
      <c r="B13973" s="2" t="str">
        <f>HYPERLINK("http://ts.21cn.com/tousu/show/id/1345512","爆通讯录，骚扰家人朋友，发短信恐吓。")</f>
        <v>爆通讯录，骚扰家人朋友，发短信恐吓。</v>
      </c>
      <c r="C13973" s="2" t="s">
        <v>9</v>
      </c>
      <c r="D13973" s="2" t="s">
        <v>10</v>
      </c>
      <c r="E13973" s="2" t="str">
        <f>HYPERLINK("http://ts.21cn.com/tousu/show/id/1345512","http://ts.21cn.com/tousu/show/id/1345512")</f>
        <v>http://ts.21cn.com/tousu/show/id/1345512</v>
      </c>
      <c r="F13973" s="2" t="s">
        <v>11</v>
      </c>
      <c r="G13973" s="2" t="s">
        <v>16684</v>
      </c>
      <c r="H13973" s="2" t="s">
        <v>16685</v>
      </c>
    </row>
    <row r="13974" spans="1:8" ht="25.05" customHeight="1" x14ac:dyDescent="0.25">
      <c r="A13974" s="2" t="s">
        <v>8</v>
      </c>
      <c r="B13974" s="2" t="str">
        <f>HYPERLINK("http://ts.21cn.com/tousu/show/id/1345233","京东电话骚扰家人和村里及单位")</f>
        <v>京东电话骚扰家人和村里及单位</v>
      </c>
      <c r="C13974" s="2" t="s">
        <v>9</v>
      </c>
      <c r="D13974" s="2" t="s">
        <v>10</v>
      </c>
      <c r="E13974" s="2" t="str">
        <f>HYPERLINK("http://ts.21cn.com/tousu/show/id/1345233","http://ts.21cn.com/tousu/show/id/1345233")</f>
        <v>http://ts.21cn.com/tousu/show/id/1345233</v>
      </c>
      <c r="F13974" s="2" t="s">
        <v>11</v>
      </c>
      <c r="G13974" s="2" t="s">
        <v>16682</v>
      </c>
      <c r="H13974" s="2" t="s">
        <v>16683</v>
      </c>
    </row>
    <row r="13975" spans="1:8" ht="25.05" customHeight="1" x14ac:dyDescent="0.25">
      <c r="A13975" s="2" t="s">
        <v>8</v>
      </c>
      <c r="B13975" s="2" t="str">
        <f>HYPERLINK("http://ts.21cn.com/tousu/show/id/1345513","暴力催收，辱骂，群发信息骚扰")</f>
        <v>暴力催收，辱骂，群发信息骚扰</v>
      </c>
      <c r="C13975" s="2" t="s">
        <v>9</v>
      </c>
      <c r="D13975" s="2" t="s">
        <v>10</v>
      </c>
      <c r="E13975" s="2" t="str">
        <f>HYPERLINK("http://ts.21cn.com/tousu/show/id/1345513","http://ts.21cn.com/tousu/show/id/1345513")</f>
        <v>http://ts.21cn.com/tousu/show/id/1345513</v>
      </c>
      <c r="F13975" s="2" t="s">
        <v>11</v>
      </c>
      <c r="G13975" s="2" t="s">
        <v>16680</v>
      </c>
      <c r="H13975" s="2" t="s">
        <v>16681</v>
      </c>
    </row>
    <row r="13976" spans="1:8" ht="25.05" customHeight="1" x14ac:dyDescent="0.25">
      <c r="A13976" s="2" t="s">
        <v>8</v>
      </c>
      <c r="B13976" s="2" t="str">
        <f>HYPERLINK("http://ts.21cn.com/tousu/show/id/1345514","即有分期爆我通话记录骚扰")</f>
        <v>即有分期爆我通话记录骚扰</v>
      </c>
      <c r="C13976" s="2" t="s">
        <v>9</v>
      </c>
      <c r="D13976" s="2" t="s">
        <v>10</v>
      </c>
      <c r="E13976" s="2" t="str">
        <f>HYPERLINK("http://ts.21cn.com/tousu/show/id/1345514","http://ts.21cn.com/tousu/show/id/1345514")</f>
        <v>http://ts.21cn.com/tousu/show/id/1345514</v>
      </c>
      <c r="F13976" s="2" t="s">
        <v>11</v>
      </c>
      <c r="G13976" s="2" t="s">
        <v>16678</v>
      </c>
      <c r="H13976" s="2" t="s">
        <v>16679</v>
      </c>
    </row>
    <row r="13977" spans="1:8" ht="25.05" customHeight="1" x14ac:dyDescent="0.25">
      <c r="A13977" s="2" t="s">
        <v>8</v>
      </c>
      <c r="B13977" s="2" t="str">
        <f>HYPERLINK("http://ts.21cn.com/tousu/show/id/1345519","暴雪软件开发霸王条款，拒不赔偿！")</f>
        <v>暴雪软件开发霸王条款，拒不赔偿！</v>
      </c>
      <c r="C13977" s="2" t="s">
        <v>9</v>
      </c>
      <c r="D13977" s="2" t="s">
        <v>10</v>
      </c>
      <c r="E13977" s="2" t="str">
        <f>HYPERLINK("http://ts.21cn.com/tousu/show/id/1345519","http://ts.21cn.com/tousu/show/id/1345519")</f>
        <v>http://ts.21cn.com/tousu/show/id/1345519</v>
      </c>
      <c r="F13977" s="2" t="s">
        <v>11</v>
      </c>
      <c r="G13977" s="2" t="s">
        <v>16675</v>
      </c>
      <c r="H13977" s="2" t="s">
        <v>16676</v>
      </c>
    </row>
    <row r="13978" spans="1:8" ht="25.05" customHeight="1" x14ac:dyDescent="0.25">
      <c r="A13978" s="2" t="s">
        <v>8</v>
      </c>
      <c r="B13978" s="2" t="str">
        <f>HYPERLINK("http://ts.21cn.com/tousu/show/id/1345515","共享充电宝归还没有停止计费")</f>
        <v>共享充电宝归还没有停止计费</v>
      </c>
      <c r="C13978" s="2" t="s">
        <v>34</v>
      </c>
      <c r="D13978" s="2" t="s">
        <v>10</v>
      </c>
      <c r="E13978" s="2" t="str">
        <f>HYPERLINK("http://ts.21cn.com/tousu/show/id/1345515","http://ts.21cn.com/tousu/show/id/1345515")</f>
        <v>http://ts.21cn.com/tousu/show/id/1345515</v>
      </c>
      <c r="F13978" s="2" t="s">
        <v>11</v>
      </c>
      <c r="G13978" s="2" t="s">
        <v>16675</v>
      </c>
      <c r="H13978" s="2" t="s">
        <v>16677</v>
      </c>
    </row>
    <row r="13979" spans="1:8" ht="25.05" customHeight="1" x14ac:dyDescent="0.25">
      <c r="A13979" s="2" t="s">
        <v>8</v>
      </c>
      <c r="B13979" s="2" t="str">
        <f>HYPERLINK("http://ts.21cn.com/tousu/show/id/1345516","被恶意扣款")</f>
        <v>被恶意扣款</v>
      </c>
      <c r="C13979" s="2" t="s">
        <v>9</v>
      </c>
      <c r="D13979" s="2" t="s">
        <v>10</v>
      </c>
      <c r="E13979" s="2" t="str">
        <f>HYPERLINK("http://ts.21cn.com/tousu/show/id/1345516","http://ts.21cn.com/tousu/show/id/1345516")</f>
        <v>http://ts.21cn.com/tousu/show/id/1345516</v>
      </c>
      <c r="F13979" s="2" t="s">
        <v>11</v>
      </c>
      <c r="G13979" s="2" t="s">
        <v>16673</v>
      </c>
      <c r="H13979" s="2" t="s">
        <v>16674</v>
      </c>
    </row>
    <row r="13980" spans="1:8" ht="25.05" customHeight="1" x14ac:dyDescent="0.25">
      <c r="A13980" s="2" t="s">
        <v>8</v>
      </c>
      <c r="B13980" s="2" t="str">
        <f>HYPERLINK("http://ts.21cn.com/tousu/show/id/1345517","中腾信恶意爆通讯录，骚扰好友")</f>
        <v>中腾信恶意爆通讯录，骚扰好友</v>
      </c>
      <c r="C13980" s="2" t="s">
        <v>9</v>
      </c>
      <c r="D13980" s="2" t="s">
        <v>10</v>
      </c>
      <c r="E13980" s="2" t="str">
        <f>HYPERLINK("http://ts.21cn.com/tousu/show/id/1345517","http://ts.21cn.com/tousu/show/id/1345517")</f>
        <v>http://ts.21cn.com/tousu/show/id/1345517</v>
      </c>
      <c r="F13980" s="2" t="s">
        <v>11</v>
      </c>
      <c r="G13980" s="2" t="s">
        <v>16671</v>
      </c>
      <c r="H13980" s="2" t="s">
        <v>16672</v>
      </c>
    </row>
    <row r="13981" spans="1:8" ht="25.05" customHeight="1" x14ac:dyDescent="0.25">
      <c r="A13981" s="2" t="s">
        <v>8</v>
      </c>
      <c r="B13981" s="2" t="str">
        <f>HYPERLINK("http://ts.21cn.com/tousu/show/id/1345518","浦发银行，恳请合理协商还款")</f>
        <v>浦发银行，恳请合理协商还款</v>
      </c>
      <c r="C13981" s="2" t="s">
        <v>9</v>
      </c>
      <c r="D13981" s="2" t="s">
        <v>10</v>
      </c>
      <c r="E13981" s="2" t="str">
        <f>HYPERLINK("http://ts.21cn.com/tousu/show/id/1345518","http://ts.21cn.com/tousu/show/id/1345518")</f>
        <v>http://ts.21cn.com/tousu/show/id/1345518</v>
      </c>
      <c r="F13981" s="2" t="s">
        <v>11</v>
      </c>
      <c r="G13981" s="2" t="s">
        <v>16669</v>
      </c>
      <c r="H13981" s="2" t="s">
        <v>16670</v>
      </c>
    </row>
    <row r="13982" spans="1:8" ht="25.05" customHeight="1" x14ac:dyDescent="0.25">
      <c r="A13982" s="2" t="s">
        <v>8</v>
      </c>
      <c r="B13982" s="2" t="str">
        <f>HYPERLINK("http://ts.21cn.com/tousu/show/id/1345520","拍拍贷暴力催收")</f>
        <v>拍拍贷暴力催收</v>
      </c>
      <c r="C13982" s="2" t="s">
        <v>9</v>
      </c>
      <c r="D13982" s="2" t="s">
        <v>10</v>
      </c>
      <c r="E13982" s="2" t="str">
        <f>HYPERLINK("http://ts.21cn.com/tousu/show/id/1345520","http://ts.21cn.com/tousu/show/id/1345520")</f>
        <v>http://ts.21cn.com/tousu/show/id/1345520</v>
      </c>
      <c r="F13982" s="2" t="s">
        <v>11</v>
      </c>
      <c r="G13982" s="2" t="s">
        <v>16667</v>
      </c>
      <c r="H13982" s="2" t="s">
        <v>16668</v>
      </c>
    </row>
    <row r="13983" spans="1:8" ht="25.05" customHeight="1" x14ac:dyDescent="0.25">
      <c r="A13983" s="2" t="s">
        <v>8</v>
      </c>
      <c r="B13983" s="2" t="str">
        <f>HYPERLINK("http://ts.21cn.com/tousu/show/id/1345521","微信支付保护模式")</f>
        <v>微信支付保护模式</v>
      </c>
      <c r="C13983" s="2" t="s">
        <v>9</v>
      </c>
      <c r="D13983" s="2" t="s">
        <v>10</v>
      </c>
      <c r="E13983" s="2" t="str">
        <f>HYPERLINK("http://ts.21cn.com/tousu/show/id/1345521","http://ts.21cn.com/tousu/show/id/1345521")</f>
        <v>http://ts.21cn.com/tousu/show/id/1345521</v>
      </c>
      <c r="F13983" s="2" t="s">
        <v>11</v>
      </c>
      <c r="G13983" s="2" t="s">
        <v>16665</v>
      </c>
      <c r="H13983" s="2" t="s">
        <v>16666</v>
      </c>
    </row>
    <row r="13984" spans="1:8" ht="25.05" customHeight="1" x14ac:dyDescent="0.25">
      <c r="A13984" s="2" t="s">
        <v>8</v>
      </c>
      <c r="B13984" s="2" t="str">
        <f>HYPERLINK("http://ts.21cn.com/tousu/show/id/1345522","建设银行无理冻结个人信用卡")</f>
        <v>建设银行无理冻结个人信用卡</v>
      </c>
      <c r="C13984" s="2" t="s">
        <v>9</v>
      </c>
      <c r="D13984" s="2" t="s">
        <v>10</v>
      </c>
      <c r="E13984" s="2" t="str">
        <f>HYPERLINK("http://ts.21cn.com/tousu/show/id/1345522","http://ts.21cn.com/tousu/show/id/1345522")</f>
        <v>http://ts.21cn.com/tousu/show/id/1345522</v>
      </c>
      <c r="F13984" s="2" t="s">
        <v>11</v>
      </c>
      <c r="G13984" s="2" t="s">
        <v>16663</v>
      </c>
      <c r="H13984" s="2" t="s">
        <v>16664</v>
      </c>
    </row>
    <row r="13985" spans="1:8" ht="25.05" customHeight="1" x14ac:dyDescent="0.25">
      <c r="A13985" s="2" t="s">
        <v>8</v>
      </c>
      <c r="B13985" s="2" t="str">
        <f>HYPERLINK("http://ts.21cn.com/tousu/show/id/1345526","滴滴冒用别人身份证信息不作为，")</f>
        <v>滴滴冒用别人身份证信息不作为，</v>
      </c>
      <c r="C13985" s="2" t="s">
        <v>9</v>
      </c>
      <c r="D13985" s="2" t="s">
        <v>10</v>
      </c>
      <c r="E13985" s="2" t="str">
        <f>HYPERLINK("http://ts.21cn.com/tousu/show/id/1345526","http://ts.21cn.com/tousu/show/id/1345526")</f>
        <v>http://ts.21cn.com/tousu/show/id/1345526</v>
      </c>
      <c r="F13985" s="2" t="s">
        <v>11</v>
      </c>
      <c r="G13985" s="2" t="s">
        <v>16661</v>
      </c>
      <c r="H13985" s="2" t="s">
        <v>16662</v>
      </c>
    </row>
    <row r="13986" spans="1:8" ht="25.05" customHeight="1" x14ac:dyDescent="0.25">
      <c r="A13986" s="2" t="s">
        <v>8</v>
      </c>
      <c r="B13986" s="2" t="str">
        <f>HYPERLINK("http://ts.21cn.com/tousu/show/id/1345525","玖富万卡高利贷，阴阳合同")</f>
        <v>玖富万卡高利贷，阴阳合同</v>
      </c>
      <c r="C13986" s="2" t="s">
        <v>9</v>
      </c>
      <c r="D13986" s="2" t="s">
        <v>10</v>
      </c>
      <c r="E13986" s="2" t="str">
        <f>HYPERLINK("http://ts.21cn.com/tousu/show/id/1345525","http://ts.21cn.com/tousu/show/id/1345525")</f>
        <v>http://ts.21cn.com/tousu/show/id/1345525</v>
      </c>
      <c r="F13986" s="2" t="s">
        <v>11</v>
      </c>
      <c r="G13986" s="2" t="s">
        <v>16659</v>
      </c>
      <c r="H13986" s="2" t="s">
        <v>16660</v>
      </c>
    </row>
    <row r="13987" spans="1:8" ht="25.05" customHeight="1" x14ac:dyDescent="0.25">
      <c r="A13987" s="2" t="s">
        <v>8</v>
      </c>
      <c r="B13987" s="2" t="str">
        <f>HYPERLINK("http://ts.21cn.com/tousu/show/id/1345528","工行和银联在本人未知的情况下划走四千块钱")</f>
        <v>工行和银联在本人未知的情况下划走四千块钱</v>
      </c>
      <c r="C13987" s="2" t="s">
        <v>9</v>
      </c>
      <c r="D13987" s="2" t="s">
        <v>10</v>
      </c>
      <c r="E13987" s="2" t="str">
        <f>HYPERLINK("http://ts.21cn.com/tousu/show/id/1345528","http://ts.21cn.com/tousu/show/id/1345528")</f>
        <v>http://ts.21cn.com/tousu/show/id/1345528</v>
      </c>
      <c r="F13987" s="2" t="s">
        <v>11</v>
      </c>
      <c r="G13987" s="2" t="s">
        <v>16657</v>
      </c>
      <c r="H13987" s="2" t="s">
        <v>16658</v>
      </c>
    </row>
    <row r="13988" spans="1:8" ht="25.05" customHeight="1" x14ac:dyDescent="0.25">
      <c r="A13988" s="2" t="s">
        <v>8</v>
      </c>
      <c r="B13988" s="2" t="str">
        <f>HYPERLINK("http://ts.21cn.com/tousu/show/id/1345529","滴滴出行不派单给我")</f>
        <v>滴滴出行不派单给我</v>
      </c>
      <c r="C13988" s="2" t="s">
        <v>9</v>
      </c>
      <c r="D13988" s="2" t="s">
        <v>10</v>
      </c>
      <c r="E13988" s="2" t="str">
        <f>HYPERLINK("http://ts.21cn.com/tousu/show/id/1345529","http://ts.21cn.com/tousu/show/id/1345529")</f>
        <v>http://ts.21cn.com/tousu/show/id/1345529</v>
      </c>
      <c r="F13988" s="2" t="s">
        <v>11</v>
      </c>
      <c r="G13988" s="2" t="s">
        <v>16655</v>
      </c>
      <c r="H13988" s="2" t="s">
        <v>16656</v>
      </c>
    </row>
    <row r="13989" spans="1:8" ht="25.05" customHeight="1" x14ac:dyDescent="0.25">
      <c r="A13989" s="2" t="s">
        <v>8</v>
      </c>
      <c r="B13989" s="2" t="str">
        <f>HYPERLINK("http://ts.21cn.com/tousu/show/id/1345530","携趣网络技术上海有限公司存在欺诈行为")</f>
        <v>携趣网络技术上海有限公司存在欺诈行为</v>
      </c>
      <c r="C13989" s="2" t="s">
        <v>9</v>
      </c>
      <c r="D13989" s="2" t="s">
        <v>10</v>
      </c>
      <c r="E13989" s="2" t="str">
        <f>HYPERLINK("http://ts.21cn.com/tousu/show/id/1345530","http://ts.21cn.com/tousu/show/id/1345530")</f>
        <v>http://ts.21cn.com/tousu/show/id/1345530</v>
      </c>
      <c r="F13989" s="2" t="s">
        <v>11</v>
      </c>
      <c r="G13989" s="2" t="s">
        <v>16653</v>
      </c>
      <c r="H13989" s="2" t="s">
        <v>16654</v>
      </c>
    </row>
    <row r="13990" spans="1:8" ht="25.05" customHeight="1" x14ac:dyDescent="0.25">
      <c r="A13990" s="2" t="s">
        <v>8</v>
      </c>
      <c r="B13990" s="2" t="str">
        <f>HYPERLINK("http://ts.21cn.com/tousu/show/id/1345531","造艺科技利息超过国家规定")</f>
        <v>造艺科技利息超过国家规定</v>
      </c>
      <c r="C13990" s="2" t="s">
        <v>9</v>
      </c>
      <c r="D13990" s="2" t="s">
        <v>10</v>
      </c>
      <c r="E13990" s="2" t="str">
        <f>HYPERLINK("http://ts.21cn.com/tousu/show/id/1345531","http://ts.21cn.com/tousu/show/id/1345531")</f>
        <v>http://ts.21cn.com/tousu/show/id/1345531</v>
      </c>
      <c r="F13990" s="2" t="s">
        <v>11</v>
      </c>
      <c r="G13990" s="2" t="s">
        <v>16651</v>
      </c>
      <c r="H13990" s="2" t="s">
        <v>16652</v>
      </c>
    </row>
    <row r="13991" spans="1:8" ht="25.05" customHeight="1" x14ac:dyDescent="0.25">
      <c r="A13991" s="2" t="s">
        <v>8</v>
      </c>
      <c r="B13991" s="2" t="str">
        <f>HYPERLINK("http://ts.21cn.com/tousu/show/id/1345532","上海拍拍贷暴力催收")</f>
        <v>上海拍拍贷暴力催收</v>
      </c>
      <c r="C13991" s="2" t="s">
        <v>9</v>
      </c>
      <c r="D13991" s="2" t="s">
        <v>10</v>
      </c>
      <c r="E13991" s="2" t="str">
        <f>HYPERLINK("http://ts.21cn.com/tousu/show/id/1345532","http://ts.21cn.com/tousu/show/id/1345532")</f>
        <v>http://ts.21cn.com/tousu/show/id/1345532</v>
      </c>
      <c r="F13991" s="2" t="s">
        <v>11</v>
      </c>
      <c r="G13991" s="2" t="s">
        <v>16649</v>
      </c>
      <c r="H13991" s="2" t="s">
        <v>16650</v>
      </c>
    </row>
    <row r="13992" spans="1:8" ht="25.05" customHeight="1" x14ac:dyDescent="0.25">
      <c r="A13992" s="2" t="s">
        <v>8</v>
      </c>
      <c r="B13992" s="2" t="str">
        <f>HYPERLINK("http://ts.21cn.com/tousu/show/id/1345533","支付宝套路欺诈")</f>
        <v>支付宝套路欺诈</v>
      </c>
      <c r="C13992" s="2" t="s">
        <v>9</v>
      </c>
      <c r="D13992" s="2" t="s">
        <v>10</v>
      </c>
      <c r="E13992" s="2" t="str">
        <f>HYPERLINK("http://ts.21cn.com/tousu/show/id/1345533","http://ts.21cn.com/tousu/show/id/1345533")</f>
        <v>http://ts.21cn.com/tousu/show/id/1345533</v>
      </c>
      <c r="F13992" s="2" t="s">
        <v>11</v>
      </c>
      <c r="G13992" s="2" t="s">
        <v>16647</v>
      </c>
      <c r="H13992" s="2" t="s">
        <v>16648</v>
      </c>
    </row>
    <row r="13993" spans="1:8" ht="25.05" customHeight="1" x14ac:dyDescent="0.25">
      <c r="A13993" s="2" t="s">
        <v>8</v>
      </c>
      <c r="B13993" s="2" t="str">
        <f>HYPERLINK("http://ts.21cn.com/tousu/show/id/1345534","恒昌暴力催收，套路贷，高利贷")</f>
        <v>恒昌暴力催收，套路贷，高利贷</v>
      </c>
      <c r="C13993" s="2" t="s">
        <v>9</v>
      </c>
      <c r="D13993" s="2" t="s">
        <v>10</v>
      </c>
      <c r="E13993" s="2" t="str">
        <f>HYPERLINK("http://ts.21cn.com/tousu/show/id/1345534","http://ts.21cn.com/tousu/show/id/1345534")</f>
        <v>http://ts.21cn.com/tousu/show/id/1345534</v>
      </c>
      <c r="F13993" s="2" t="s">
        <v>11</v>
      </c>
      <c r="G13993" s="2" t="s">
        <v>16645</v>
      </c>
      <c r="H13993" s="2" t="s">
        <v>16646</v>
      </c>
    </row>
    <row r="13994" spans="1:8" ht="25.05" customHeight="1" x14ac:dyDescent="0.25">
      <c r="A13994" s="2" t="s">
        <v>8</v>
      </c>
      <c r="B13994" s="2" t="str">
        <f>HYPERLINK("http://ts.21cn.com/tousu/show/id/1345480","小额贷款，不亦退款，霸王条款")</f>
        <v>小额贷款，不亦退款，霸王条款</v>
      </c>
      <c r="C13994" s="2" t="s">
        <v>9</v>
      </c>
      <c r="D13994" s="2" t="s">
        <v>10</v>
      </c>
      <c r="E13994" s="2" t="str">
        <f>HYPERLINK("http://ts.21cn.com/tousu/show/id/1345480","http://ts.21cn.com/tousu/show/id/1345480")</f>
        <v>http://ts.21cn.com/tousu/show/id/1345480</v>
      </c>
      <c r="F13994" s="2" t="s">
        <v>11</v>
      </c>
      <c r="G13994" s="2" t="s">
        <v>16643</v>
      </c>
      <c r="H13994" s="2" t="s">
        <v>16644</v>
      </c>
    </row>
    <row r="13995" spans="1:8" ht="25.05" customHeight="1" x14ac:dyDescent="0.25">
      <c r="A13995" s="2" t="s">
        <v>8</v>
      </c>
      <c r="B13995" s="2" t="str">
        <f>HYPERLINK("http://ts.21cn.com/tousu/show/id/1345535","淘宝无故乱处罚卖家，客服小二不处理")</f>
        <v>淘宝无故乱处罚卖家，客服小二不处理</v>
      </c>
      <c r="C13995" s="2" t="s">
        <v>9</v>
      </c>
      <c r="D13995" s="2" t="s">
        <v>10</v>
      </c>
      <c r="E13995" s="2" t="str">
        <f>HYPERLINK("http://ts.21cn.com/tousu/show/id/1345535","http://ts.21cn.com/tousu/show/id/1345535")</f>
        <v>http://ts.21cn.com/tousu/show/id/1345535</v>
      </c>
      <c r="F13995" s="2" t="s">
        <v>11</v>
      </c>
      <c r="G13995" s="2" t="s">
        <v>16641</v>
      </c>
      <c r="H13995" s="2" t="s">
        <v>16642</v>
      </c>
    </row>
    <row r="13996" spans="1:8" ht="25.05" customHeight="1" x14ac:dyDescent="0.25">
      <c r="A13996" s="2" t="s">
        <v>8</v>
      </c>
      <c r="B13996" s="2" t="str">
        <f>HYPERLINK("http://ts.21cn.com/tousu/show/id/1345536","平安普惠i贷不断骚扰")</f>
        <v>平安普惠i贷不断骚扰</v>
      </c>
      <c r="C13996" s="2" t="s">
        <v>9</v>
      </c>
      <c r="D13996" s="2" t="s">
        <v>10</v>
      </c>
      <c r="E13996" s="2" t="str">
        <f>HYPERLINK("http://ts.21cn.com/tousu/show/id/1345536","http://ts.21cn.com/tousu/show/id/1345536")</f>
        <v>http://ts.21cn.com/tousu/show/id/1345536</v>
      </c>
      <c r="F13996" s="2" t="s">
        <v>11</v>
      </c>
      <c r="G13996" s="2" t="s">
        <v>16639</v>
      </c>
      <c r="H13996" s="2" t="s">
        <v>16640</v>
      </c>
    </row>
    <row r="13997" spans="1:8" ht="25.05" customHeight="1" x14ac:dyDescent="0.25">
      <c r="A13997" s="2" t="s">
        <v>8</v>
      </c>
      <c r="B13997" s="2" t="str">
        <f>HYPERLINK("http://ts.21cn.com/tousu/show/id/1345537","携趣网络技术上海有限公司乱扣费")</f>
        <v>携趣网络技术上海有限公司乱扣费</v>
      </c>
      <c r="C13997" s="2" t="s">
        <v>9</v>
      </c>
      <c r="D13997" s="2" t="s">
        <v>10</v>
      </c>
      <c r="E13997" s="2" t="str">
        <f>HYPERLINK("http://ts.21cn.com/tousu/show/id/1345537","http://ts.21cn.com/tousu/show/id/1345537")</f>
        <v>http://ts.21cn.com/tousu/show/id/1345537</v>
      </c>
      <c r="F13997" s="2" t="s">
        <v>11</v>
      </c>
      <c r="G13997" s="2" t="s">
        <v>16637</v>
      </c>
      <c r="H13997" s="2" t="s">
        <v>16638</v>
      </c>
    </row>
    <row r="13998" spans="1:8" ht="25.05" customHeight="1" x14ac:dyDescent="0.25">
      <c r="A13998" s="2" t="s">
        <v>8</v>
      </c>
      <c r="B13998" s="2" t="str">
        <f>HYPERLINK("http://ts.21cn.com/tousu/show/id/1345523","京东平台商家销售商品涉嫌虚假宣传并且发生质量事故问题出尔反尔拒绝退款")</f>
        <v>京东平台商家销售商品涉嫌虚假宣传并且发生质量事故问题出尔反尔拒绝退款</v>
      </c>
      <c r="C13998" s="2" t="s">
        <v>9</v>
      </c>
      <c r="D13998" s="2" t="s">
        <v>10</v>
      </c>
      <c r="E13998" s="2" t="str">
        <f>HYPERLINK("http://ts.21cn.com/tousu/show/id/1345523","http://ts.21cn.com/tousu/show/id/1345523")</f>
        <v>http://ts.21cn.com/tousu/show/id/1345523</v>
      </c>
      <c r="F13998" s="2" t="s">
        <v>11</v>
      </c>
      <c r="G13998" s="2" t="s">
        <v>16635</v>
      </c>
      <c r="H13998" s="2" t="s">
        <v>16636</v>
      </c>
    </row>
    <row r="13999" spans="1:8" ht="25.05" customHeight="1" x14ac:dyDescent="0.25">
      <c r="A13999" s="2" t="s">
        <v>8</v>
      </c>
      <c r="B13999" s="2" t="str">
        <f>HYPERLINK("http://ts.21cn.com/tousu/show/id/1345538","扫我的支付宝收款码盗刷银行卡的钱")</f>
        <v>扫我的支付宝收款码盗刷银行卡的钱</v>
      </c>
      <c r="C13999" s="2" t="s">
        <v>9</v>
      </c>
      <c r="D13999" s="2" t="s">
        <v>10</v>
      </c>
      <c r="E13999" s="2" t="str">
        <f>HYPERLINK("http://ts.21cn.com/tousu/show/id/1345538","http://ts.21cn.com/tousu/show/id/1345538")</f>
        <v>http://ts.21cn.com/tousu/show/id/1345538</v>
      </c>
      <c r="F13999" s="2" t="s">
        <v>11</v>
      </c>
      <c r="G13999" s="2" t="s">
        <v>16633</v>
      </c>
      <c r="H13999" s="2" t="s">
        <v>16634</v>
      </c>
    </row>
    <row r="14000" spans="1:8" ht="25.05" customHeight="1" x14ac:dyDescent="0.25">
      <c r="A14000" s="2" t="s">
        <v>8</v>
      </c>
      <c r="B14000" s="2" t="str">
        <f>HYPERLINK("http://ts.21cn.com/tousu/show/id/1345539","我来贷暴力催收爆通讯录、给通讯录好友发律师函，侵犯个人隐私")</f>
        <v>我来贷暴力催收爆通讯录、给通讯录好友发律师函，侵犯个人隐私</v>
      </c>
      <c r="C14000" s="2" t="s">
        <v>9</v>
      </c>
      <c r="D14000" s="2" t="s">
        <v>10</v>
      </c>
      <c r="E14000" s="2" t="str">
        <f>HYPERLINK("http://ts.21cn.com/tousu/show/id/1345539","http://ts.21cn.com/tousu/show/id/1345539")</f>
        <v>http://ts.21cn.com/tousu/show/id/1345539</v>
      </c>
      <c r="F14000" s="2" t="s">
        <v>11</v>
      </c>
      <c r="G14000" s="2" t="s">
        <v>16631</v>
      </c>
      <c r="H14000" s="2" t="s">
        <v>16632</v>
      </c>
    </row>
    <row r="14001" spans="1:8" ht="25.05" customHeight="1" x14ac:dyDescent="0.25">
      <c r="A14001" s="2" t="s">
        <v>8</v>
      </c>
      <c r="B14001" s="2" t="str">
        <f>HYPERLINK("http://ts.21cn.com/tousu/show/id/1345540","滴滴不派单")</f>
        <v>滴滴不派单</v>
      </c>
      <c r="C14001" s="2" t="s">
        <v>9</v>
      </c>
      <c r="D14001" s="2" t="s">
        <v>10</v>
      </c>
      <c r="E14001" s="2" t="str">
        <f>HYPERLINK("http://ts.21cn.com/tousu/show/id/1345540","http://ts.21cn.com/tousu/show/id/1345540")</f>
        <v>http://ts.21cn.com/tousu/show/id/1345540</v>
      </c>
      <c r="F14001" s="2" t="s">
        <v>11</v>
      </c>
      <c r="G14001" s="2" t="s">
        <v>16629</v>
      </c>
      <c r="H14001" s="2" t="s">
        <v>16630</v>
      </c>
    </row>
    <row r="14002" spans="1:8" ht="25.05" customHeight="1" x14ac:dyDescent="0.25">
      <c r="A14002" s="2" t="s">
        <v>8</v>
      </c>
      <c r="B14002" s="2" t="str">
        <f>HYPERLINK("http://ts.21cn.com/tousu/show/id/1345541","好享贷重新分期")</f>
        <v>好享贷重新分期</v>
      </c>
      <c r="C14002" s="2" t="s">
        <v>9</v>
      </c>
      <c r="D14002" s="2" t="s">
        <v>10</v>
      </c>
      <c r="E14002" s="2" t="str">
        <f>HYPERLINK("http://ts.21cn.com/tousu/show/id/1345541","http://ts.21cn.com/tousu/show/id/1345541")</f>
        <v>http://ts.21cn.com/tousu/show/id/1345541</v>
      </c>
      <c r="F14002" s="2" t="s">
        <v>11</v>
      </c>
      <c r="G14002" s="2" t="s">
        <v>16627</v>
      </c>
      <c r="H14002" s="2" t="s">
        <v>16628</v>
      </c>
    </row>
    <row r="14003" spans="1:8" ht="25.05" customHeight="1" x14ac:dyDescent="0.25">
      <c r="A14003" s="2" t="s">
        <v>8</v>
      </c>
      <c r="B14003" s="2" t="str">
        <f>HYPERLINK("http://ts.21cn.com/tousu/show/id/1345543","叉叉助手软件停运不退款")</f>
        <v>叉叉助手软件停运不退款</v>
      </c>
      <c r="C14003" s="2" t="s">
        <v>9</v>
      </c>
      <c r="D14003" s="2" t="s">
        <v>10</v>
      </c>
      <c r="E14003" s="2" t="str">
        <f>HYPERLINK("http://ts.21cn.com/tousu/show/id/1345543","http://ts.21cn.com/tousu/show/id/1345543")</f>
        <v>http://ts.21cn.com/tousu/show/id/1345543</v>
      </c>
      <c r="F14003" s="2" t="s">
        <v>11</v>
      </c>
      <c r="G14003" s="2" t="s">
        <v>16625</v>
      </c>
      <c r="H14003" s="2" t="s">
        <v>16626</v>
      </c>
    </row>
    <row r="14004" spans="1:8" ht="25.05" customHeight="1" x14ac:dyDescent="0.25">
      <c r="A14004" s="2" t="s">
        <v>8</v>
      </c>
      <c r="B14004" s="2" t="str">
        <f>HYPERLINK("http://ts.21cn.com/tousu/show/id/1345544","51人品贷利息太高")</f>
        <v>51人品贷利息太高</v>
      </c>
      <c r="C14004" s="2" t="s">
        <v>9</v>
      </c>
      <c r="D14004" s="2" t="s">
        <v>10</v>
      </c>
      <c r="E14004" s="2" t="str">
        <f>HYPERLINK("http://ts.21cn.com/tousu/show/id/1345544","http://ts.21cn.com/tousu/show/id/1345544")</f>
        <v>http://ts.21cn.com/tousu/show/id/1345544</v>
      </c>
      <c r="F14004" s="2" t="s">
        <v>11</v>
      </c>
      <c r="G14004" s="2" t="s">
        <v>16623</v>
      </c>
      <c r="H14004" s="2" t="s">
        <v>16624</v>
      </c>
    </row>
    <row r="14005" spans="1:8" ht="25.05" customHeight="1" x14ac:dyDescent="0.25">
      <c r="A14005" s="2" t="s">
        <v>8</v>
      </c>
      <c r="B14005" s="2" t="str">
        <f>HYPERLINK("http://ts.21cn.com/tousu/show/id/1345545","暴力催收威胁恐吓")</f>
        <v>暴力催收威胁恐吓</v>
      </c>
      <c r="C14005" s="2" t="s">
        <v>9</v>
      </c>
      <c r="D14005" s="2" t="s">
        <v>10</v>
      </c>
      <c r="E14005" s="2" t="str">
        <f>HYPERLINK("http://ts.21cn.com/tousu/show/id/1345545","http://ts.21cn.com/tousu/show/id/1345545")</f>
        <v>http://ts.21cn.com/tousu/show/id/1345545</v>
      </c>
      <c r="F14005" s="2" t="s">
        <v>11</v>
      </c>
      <c r="G14005" s="2" t="s">
        <v>16621</v>
      </c>
      <c r="H14005" s="2" t="s">
        <v>16622</v>
      </c>
    </row>
    <row r="14006" spans="1:8" ht="25.05" customHeight="1" x14ac:dyDescent="0.25">
      <c r="A14006" s="2" t="s">
        <v>8</v>
      </c>
      <c r="B14006" s="2" t="str">
        <f>HYPERLINK("http://ts.21cn.com/tousu/show/id/1345546","造艺科技盗刷我银行卡")</f>
        <v>造艺科技盗刷我银行卡</v>
      </c>
      <c r="C14006" s="2" t="s">
        <v>9</v>
      </c>
      <c r="D14006" s="2" t="s">
        <v>10</v>
      </c>
      <c r="E14006" s="2" t="str">
        <f>HYPERLINK("http://ts.21cn.com/tousu/show/id/1345546","http://ts.21cn.com/tousu/show/id/1345546")</f>
        <v>http://ts.21cn.com/tousu/show/id/1345546</v>
      </c>
      <c r="F14006" s="2" t="s">
        <v>11</v>
      </c>
      <c r="G14006" s="2" t="s">
        <v>16619</v>
      </c>
      <c r="H14006" s="2" t="s">
        <v>16620</v>
      </c>
    </row>
    <row r="14007" spans="1:8" ht="25.05" customHeight="1" x14ac:dyDescent="0.25">
      <c r="A14007" s="2" t="s">
        <v>8</v>
      </c>
      <c r="B14007" s="2" t="str">
        <f>HYPERLINK("http://ts.21cn.com/tousu/show/id/1345548","美团额外红包购买问题")</f>
        <v>美团额外红包购买问题</v>
      </c>
      <c r="C14007" s="2" t="s">
        <v>34</v>
      </c>
      <c r="D14007" s="2" t="s">
        <v>10</v>
      </c>
      <c r="E14007" s="2" t="str">
        <f>HYPERLINK("http://ts.21cn.com/tousu/show/id/1345548","http://ts.21cn.com/tousu/show/id/1345548")</f>
        <v>http://ts.21cn.com/tousu/show/id/1345548</v>
      </c>
      <c r="F14007" s="2" t="s">
        <v>11</v>
      </c>
      <c r="G14007" s="2" t="s">
        <v>16617</v>
      </c>
      <c r="H14007" s="2" t="s">
        <v>16618</v>
      </c>
    </row>
    <row r="14008" spans="1:8" ht="25.05" customHeight="1" x14ac:dyDescent="0.25">
      <c r="A14008" s="2" t="s">
        <v>8</v>
      </c>
      <c r="B14008" s="2" t="str">
        <f>HYPERLINK("http://ts.21cn.com/tousu/show/id/1345489","高利贷砍头息，请结清贷款")</f>
        <v>高利贷砍头息，请结清贷款</v>
      </c>
      <c r="C14008" s="2" t="s">
        <v>9</v>
      </c>
      <c r="D14008" s="2" t="s">
        <v>10</v>
      </c>
      <c r="E14008" s="2" t="str">
        <f>HYPERLINK("http://ts.21cn.com/tousu/show/id/1345489","http://ts.21cn.com/tousu/show/id/1345489")</f>
        <v>http://ts.21cn.com/tousu/show/id/1345489</v>
      </c>
      <c r="F14008" s="2" t="s">
        <v>11</v>
      </c>
      <c r="G14008" s="2" t="s">
        <v>16615</v>
      </c>
      <c r="H14008" s="2" t="s">
        <v>16616</v>
      </c>
    </row>
    <row r="14009" spans="1:8" ht="25.05" customHeight="1" x14ac:dyDescent="0.25">
      <c r="A14009" s="2" t="s">
        <v>8</v>
      </c>
      <c r="B14009" s="2" t="str">
        <f>HYPERLINK("http://ts.21cn.com/tousu/show/id/1345549","开店宝停分润")</f>
        <v>开店宝停分润</v>
      </c>
      <c r="C14009" s="2" t="s">
        <v>34</v>
      </c>
      <c r="D14009" s="2" t="s">
        <v>10</v>
      </c>
      <c r="E14009" s="2" t="str">
        <f>HYPERLINK("http://ts.21cn.com/tousu/show/id/1345549","http://ts.21cn.com/tousu/show/id/1345549")</f>
        <v>http://ts.21cn.com/tousu/show/id/1345549</v>
      </c>
      <c r="F14009" s="2" t="s">
        <v>11</v>
      </c>
      <c r="G14009" s="2" t="s">
        <v>16613</v>
      </c>
      <c r="H14009" s="2" t="s">
        <v>16614</v>
      </c>
    </row>
    <row r="14010" spans="1:8" ht="25.05" customHeight="1" x14ac:dyDescent="0.25">
      <c r="A14010" s="2" t="s">
        <v>8</v>
      </c>
      <c r="B14010" s="2" t="str">
        <f>HYPERLINK("http://ts.21cn.com/tousu/show/id/1345550","玖富万卡高利贷，阴阳合同")</f>
        <v>玖富万卡高利贷，阴阳合同</v>
      </c>
      <c r="C14010" s="2" t="s">
        <v>9</v>
      </c>
      <c r="D14010" s="2" t="s">
        <v>10</v>
      </c>
      <c r="E14010" s="2" t="str">
        <f>HYPERLINK("http://ts.21cn.com/tousu/show/id/1345550","http://ts.21cn.com/tousu/show/id/1345550")</f>
        <v>http://ts.21cn.com/tousu/show/id/1345550</v>
      </c>
      <c r="F14010" s="2" t="s">
        <v>11</v>
      </c>
      <c r="G14010" s="2" t="s">
        <v>16611</v>
      </c>
      <c r="H14010" s="2" t="s">
        <v>16612</v>
      </c>
    </row>
    <row r="14011" spans="1:8" ht="25.05" customHeight="1" x14ac:dyDescent="0.25">
      <c r="A14011" s="2" t="s">
        <v>8</v>
      </c>
      <c r="B14011" s="2" t="str">
        <f>HYPERLINK("http://ts.21cn.com/tousu/show/id/1345551","上海造艺网络技术有限公司")</f>
        <v>上海造艺网络技术有限公司</v>
      </c>
      <c r="C14011" s="2" t="s">
        <v>9</v>
      </c>
      <c r="D14011" s="2" t="s">
        <v>10</v>
      </c>
      <c r="E14011" s="2" t="str">
        <f>HYPERLINK("http://ts.21cn.com/tousu/show/id/1345551","http://ts.21cn.com/tousu/show/id/1345551")</f>
        <v>http://ts.21cn.com/tousu/show/id/1345551</v>
      </c>
      <c r="F14011" s="2" t="s">
        <v>11</v>
      </c>
      <c r="G14011" s="2" t="s">
        <v>16609</v>
      </c>
      <c r="H14011" s="2" t="s">
        <v>16610</v>
      </c>
    </row>
    <row r="14012" spans="1:8" ht="25.05" customHeight="1" x14ac:dyDescent="0.25">
      <c r="A14012" s="2" t="s">
        <v>8</v>
      </c>
      <c r="B14012" s="2" t="str">
        <f>HYPERLINK("http://ts.21cn.com/tousu/show/id/1345553","晚上九点以后骚扰")</f>
        <v>晚上九点以后骚扰</v>
      </c>
      <c r="C14012" s="2" t="s">
        <v>9</v>
      </c>
      <c r="D14012" s="2" t="s">
        <v>10</v>
      </c>
      <c r="E14012" s="2" t="str">
        <f>HYPERLINK("http://ts.21cn.com/tousu/show/id/1345553","http://ts.21cn.com/tousu/show/id/1345553")</f>
        <v>http://ts.21cn.com/tousu/show/id/1345553</v>
      </c>
      <c r="F14012" s="2" t="s">
        <v>11</v>
      </c>
      <c r="G14012" s="2" t="s">
        <v>16607</v>
      </c>
      <c r="H14012" s="2" t="s">
        <v>16608</v>
      </c>
    </row>
    <row r="14013" spans="1:8" ht="25.05" customHeight="1" x14ac:dyDescent="0.25">
      <c r="A14013" s="2" t="s">
        <v>8</v>
      </c>
      <c r="B14013" s="2" t="str">
        <f>HYPERLINK("http://ts.21cn.com/tousu/show/id/1345554","拍拍贷短信威胁恐吓")</f>
        <v>拍拍贷短信威胁恐吓</v>
      </c>
      <c r="C14013" s="2" t="s">
        <v>9</v>
      </c>
      <c r="D14013" s="2" t="s">
        <v>10</v>
      </c>
      <c r="E14013" s="2" t="str">
        <f>HYPERLINK("http://ts.21cn.com/tousu/show/id/1345554","http://ts.21cn.com/tousu/show/id/1345554")</f>
        <v>http://ts.21cn.com/tousu/show/id/1345554</v>
      </c>
      <c r="F14013" s="2" t="s">
        <v>11</v>
      </c>
      <c r="G14013" s="2" t="s">
        <v>16605</v>
      </c>
      <c r="H14013" s="2" t="s">
        <v>16606</v>
      </c>
    </row>
    <row r="14014" spans="1:8" ht="25.05" customHeight="1" x14ac:dyDescent="0.25">
      <c r="A14014" s="2" t="s">
        <v>8</v>
      </c>
      <c r="B14014" s="2" t="str">
        <f>HYPERLINK("http://ts.21cn.com/tousu/show/id/1345555","微信商户版收款未到账")</f>
        <v>微信商户版收款未到账</v>
      </c>
      <c r="C14014" s="2" t="s">
        <v>34</v>
      </c>
      <c r="D14014" s="2" t="s">
        <v>10</v>
      </c>
      <c r="E14014" s="2" t="str">
        <f>HYPERLINK("http://ts.21cn.com/tousu/show/id/1345555","http://ts.21cn.com/tousu/show/id/1345555")</f>
        <v>http://ts.21cn.com/tousu/show/id/1345555</v>
      </c>
      <c r="F14014" s="2" t="s">
        <v>11</v>
      </c>
      <c r="G14014" s="2" t="s">
        <v>16603</v>
      </c>
      <c r="H14014" s="2" t="s">
        <v>16604</v>
      </c>
    </row>
    <row r="14015" spans="1:8" ht="25.05" customHeight="1" x14ac:dyDescent="0.25">
      <c r="A14015" s="2" t="s">
        <v>8</v>
      </c>
      <c r="B14015" s="2" t="str">
        <f>HYPERLINK("http://ts.21cn.com/tousu/show/id/1345556","中国银联股份有限公司广东分公司专户09盗刷银行卡钱")</f>
        <v>中国银联股份有限公司广东分公司专户09盗刷银行卡钱</v>
      </c>
      <c r="C14015" s="2" t="s">
        <v>9</v>
      </c>
      <c r="D14015" s="2" t="s">
        <v>10</v>
      </c>
      <c r="E14015" s="2" t="str">
        <f>HYPERLINK("http://ts.21cn.com/tousu/show/id/1345556","http://ts.21cn.com/tousu/show/id/1345556")</f>
        <v>http://ts.21cn.com/tousu/show/id/1345556</v>
      </c>
      <c r="F14015" s="2" t="s">
        <v>11</v>
      </c>
      <c r="G14015" s="2" t="s">
        <v>16601</v>
      </c>
      <c r="H14015" s="2" t="s">
        <v>16602</v>
      </c>
    </row>
    <row r="14016" spans="1:8" ht="25.05" customHeight="1" x14ac:dyDescent="0.25">
      <c r="A14016" s="2" t="s">
        <v>8</v>
      </c>
      <c r="B14016" s="2" t="str">
        <f>HYPERLINK("http://ts.21cn.com/tousu/show/id/1345558","骚扰朋友")</f>
        <v>骚扰朋友</v>
      </c>
      <c r="C14016" s="2" t="s">
        <v>9</v>
      </c>
      <c r="D14016" s="2" t="s">
        <v>10</v>
      </c>
      <c r="E14016" s="2" t="str">
        <f>HYPERLINK("http://ts.21cn.com/tousu/show/id/1345558","http://ts.21cn.com/tousu/show/id/1345558")</f>
        <v>http://ts.21cn.com/tousu/show/id/1345558</v>
      </c>
      <c r="F14016" s="2" t="s">
        <v>11</v>
      </c>
      <c r="G14016" s="2" t="s">
        <v>16599</v>
      </c>
      <c r="H14016" s="2" t="s">
        <v>16600</v>
      </c>
    </row>
    <row r="14017" spans="1:8" ht="25.05" customHeight="1" x14ac:dyDescent="0.25">
      <c r="A14017" s="2" t="s">
        <v>8</v>
      </c>
      <c r="B14017" s="2" t="str">
        <f>HYPERLINK("http://ts.21cn.com/tousu/show/id/1345560","货拉拉退我699会员费加押金1000")</f>
        <v>货拉拉退我699会员费加押金1000</v>
      </c>
      <c r="C14017" s="2" t="s">
        <v>34</v>
      </c>
      <c r="D14017" s="2" t="s">
        <v>10</v>
      </c>
      <c r="E14017" s="2" t="str">
        <f>HYPERLINK("http://ts.21cn.com/tousu/show/id/1345560","http://ts.21cn.com/tousu/show/id/1345560")</f>
        <v>http://ts.21cn.com/tousu/show/id/1345560</v>
      </c>
      <c r="F14017" s="2" t="s">
        <v>11</v>
      </c>
      <c r="G14017" s="2" t="s">
        <v>16597</v>
      </c>
      <c r="H14017" s="2" t="s">
        <v>16598</v>
      </c>
    </row>
    <row r="14018" spans="1:8" ht="25.05" customHeight="1" x14ac:dyDescent="0.25">
      <c r="A14018" s="2" t="s">
        <v>8</v>
      </c>
      <c r="B14018" s="2" t="str">
        <f>HYPERLINK("http://ts.21cn.com/tousu/show/id/1345561","上海嘉定通华小贷盗刷款项")</f>
        <v>上海嘉定通华小贷盗刷款项</v>
      </c>
      <c r="C14018" s="2" t="s">
        <v>9</v>
      </c>
      <c r="D14018" s="2" t="s">
        <v>10</v>
      </c>
      <c r="E14018" s="2" t="str">
        <f>HYPERLINK("http://ts.21cn.com/tousu/show/id/1345561","http://ts.21cn.com/tousu/show/id/1345561")</f>
        <v>http://ts.21cn.com/tousu/show/id/1345561</v>
      </c>
      <c r="F14018" s="2" t="s">
        <v>11</v>
      </c>
      <c r="G14018" s="2" t="s">
        <v>16595</v>
      </c>
      <c r="H14018" s="2" t="s">
        <v>16596</v>
      </c>
    </row>
    <row r="14019" spans="1:8" ht="25.05" customHeight="1" x14ac:dyDescent="0.25">
      <c r="A14019" s="2" t="s">
        <v>8</v>
      </c>
      <c r="B14019" s="2" t="str">
        <f>HYPERLINK("http://ts.21cn.com/tousu/show/id/1345562","语言攻击")</f>
        <v>语言攻击</v>
      </c>
      <c r="C14019" s="2" t="s">
        <v>9</v>
      </c>
      <c r="D14019" s="2" t="s">
        <v>10</v>
      </c>
      <c r="E14019" s="2" t="str">
        <f>HYPERLINK("http://ts.21cn.com/tousu/show/id/1345562","http://ts.21cn.com/tousu/show/id/1345562")</f>
        <v>http://ts.21cn.com/tousu/show/id/1345562</v>
      </c>
      <c r="F14019" s="2" t="s">
        <v>11</v>
      </c>
      <c r="G14019" s="2" t="s">
        <v>16593</v>
      </c>
      <c r="H14019" s="2" t="s">
        <v>16594</v>
      </c>
    </row>
    <row r="14020" spans="1:8" ht="25.05" customHeight="1" x14ac:dyDescent="0.25">
      <c r="A14020" s="2" t="s">
        <v>8</v>
      </c>
      <c r="B14020" s="2" t="str">
        <f>HYPERLINK("http://ts.21cn.com/tousu/show/id/1345563","豆豆钱，高利息，高额担保费，多次担保费")</f>
        <v>豆豆钱，高利息，高额担保费，多次担保费</v>
      </c>
      <c r="C14020" s="2" t="s">
        <v>9</v>
      </c>
      <c r="D14020" s="2" t="s">
        <v>10</v>
      </c>
      <c r="E14020" s="2" t="str">
        <f>HYPERLINK("http://ts.21cn.com/tousu/show/id/1345563","http://ts.21cn.com/tousu/show/id/1345563")</f>
        <v>http://ts.21cn.com/tousu/show/id/1345563</v>
      </c>
      <c r="F14020" s="2" t="s">
        <v>11</v>
      </c>
      <c r="G14020" s="2" t="s">
        <v>16591</v>
      </c>
      <c r="H14020" s="2" t="s">
        <v>16592</v>
      </c>
    </row>
    <row r="14021" spans="1:8" ht="25.05" customHeight="1" x14ac:dyDescent="0.25">
      <c r="A14021" s="2" t="s">
        <v>8</v>
      </c>
      <c r="B14021" s="2" t="str">
        <f>HYPERLINK("http://ts.21cn.com/tousu/show/id/1345527","桔子分期砍头息")</f>
        <v>桔子分期砍头息</v>
      </c>
      <c r="C14021" s="2" t="s">
        <v>34</v>
      </c>
      <c r="D14021" s="2" t="s">
        <v>10</v>
      </c>
      <c r="E14021" s="2" t="str">
        <f>HYPERLINK("http://ts.21cn.com/tousu/show/id/1345527","http://ts.21cn.com/tousu/show/id/1345527")</f>
        <v>http://ts.21cn.com/tousu/show/id/1345527</v>
      </c>
      <c r="F14021" s="2" t="s">
        <v>11</v>
      </c>
      <c r="G14021" s="2" t="s">
        <v>16589</v>
      </c>
      <c r="H14021" s="2" t="s">
        <v>16590</v>
      </c>
    </row>
    <row r="14022" spans="1:8" ht="25.05" customHeight="1" x14ac:dyDescent="0.25">
      <c r="A14022" s="2" t="s">
        <v>8</v>
      </c>
      <c r="B14022" s="2" t="str">
        <f>HYPERLINK("http://ts.21cn.com/tousu/show/id/1345564","分期乐恶意催收")</f>
        <v>分期乐恶意催收</v>
      </c>
      <c r="C14022" s="2" t="s">
        <v>9</v>
      </c>
      <c r="D14022" s="2" t="s">
        <v>10</v>
      </c>
      <c r="E14022" s="2" t="str">
        <f>HYPERLINK("http://ts.21cn.com/tousu/show/id/1345564","http://ts.21cn.com/tousu/show/id/1345564")</f>
        <v>http://ts.21cn.com/tousu/show/id/1345564</v>
      </c>
      <c r="F14022" s="2" t="s">
        <v>11</v>
      </c>
      <c r="G14022" s="2" t="s">
        <v>16587</v>
      </c>
      <c r="H14022" s="2" t="s">
        <v>16588</v>
      </c>
    </row>
    <row r="14023" spans="1:8" ht="25.05" customHeight="1" x14ac:dyDescent="0.25">
      <c r="A14023" s="2" t="s">
        <v>8</v>
      </c>
      <c r="B14023" s="2" t="str">
        <f>HYPERLINK("http://ts.21cn.com/tousu/show/id/1345565","马上消费金融爆通讯录")</f>
        <v>马上消费金融爆通讯录</v>
      </c>
      <c r="C14023" s="2" t="s">
        <v>9</v>
      </c>
      <c r="D14023" s="2" t="s">
        <v>10</v>
      </c>
      <c r="E14023" s="2" t="str">
        <f>HYPERLINK("http://ts.21cn.com/tousu/show/id/1345565","http://ts.21cn.com/tousu/show/id/1345565")</f>
        <v>http://ts.21cn.com/tousu/show/id/1345565</v>
      </c>
      <c r="F14023" s="2" t="s">
        <v>11</v>
      </c>
      <c r="G14023" s="2" t="s">
        <v>16585</v>
      </c>
      <c r="H14023" s="2" t="s">
        <v>16586</v>
      </c>
    </row>
    <row r="14024" spans="1:8" ht="25.05" customHeight="1" x14ac:dyDescent="0.25">
      <c r="A14024" s="2" t="s">
        <v>8</v>
      </c>
      <c r="B14024" s="2" t="str">
        <f>HYPERLINK("http://ts.21cn.com/tousu/show/id/1345566","考拉海购霸王条款，不给退货")</f>
        <v>考拉海购霸王条款，不给退货</v>
      </c>
      <c r="C14024" s="2" t="s">
        <v>9</v>
      </c>
      <c r="D14024" s="2" t="s">
        <v>10</v>
      </c>
      <c r="E14024" s="2" t="str">
        <f>HYPERLINK("http://ts.21cn.com/tousu/show/id/1345566","http://ts.21cn.com/tousu/show/id/1345566")</f>
        <v>http://ts.21cn.com/tousu/show/id/1345566</v>
      </c>
      <c r="F14024" s="2" t="s">
        <v>11</v>
      </c>
      <c r="G14024" s="2" t="s">
        <v>16583</v>
      </c>
      <c r="H14024" s="2" t="s">
        <v>16584</v>
      </c>
    </row>
    <row r="14025" spans="1:8" ht="25.05" customHeight="1" x14ac:dyDescent="0.25">
      <c r="A14025" s="2" t="s">
        <v>8</v>
      </c>
      <c r="B14025" s="2" t="str">
        <f>HYPERLINK("http://ts.21cn.com/tousu/show/id/1345568","未经本人同意私自拖车")</f>
        <v>未经本人同意私自拖车</v>
      </c>
      <c r="C14025" s="2" t="s">
        <v>9</v>
      </c>
      <c r="D14025" s="2" t="s">
        <v>10</v>
      </c>
      <c r="E14025" s="2" t="str">
        <f>HYPERLINK("http://ts.21cn.com/tousu/show/id/1345568","http://ts.21cn.com/tousu/show/id/1345568")</f>
        <v>http://ts.21cn.com/tousu/show/id/1345568</v>
      </c>
      <c r="F14025" s="2" t="s">
        <v>11</v>
      </c>
      <c r="G14025" s="2" t="s">
        <v>16581</v>
      </c>
      <c r="H14025" s="2" t="s">
        <v>16582</v>
      </c>
    </row>
    <row r="14026" spans="1:8" ht="25.05" customHeight="1" x14ac:dyDescent="0.25">
      <c r="A14026" s="2" t="s">
        <v>8</v>
      </c>
      <c r="B14026" s="2" t="str">
        <f>HYPERLINK("http://ts.21cn.com/tousu/show/cid/18469","天房天辰世纪楼盘强制捆绑车位售卖且车位不按期交付使用")</f>
        <v>天房天辰世纪楼盘强制捆绑车位售卖且车位不按期交付使用</v>
      </c>
      <c r="C14026" s="2" t="s">
        <v>9</v>
      </c>
      <c r="D14026" s="2" t="s">
        <v>10</v>
      </c>
      <c r="E14026" s="2" t="str">
        <f>HYPERLINK("http://ts.21cn.com/tousu/show/cid/18469","http://ts.21cn.com/tousu/show/cid/18469")</f>
        <v>http://ts.21cn.com/tousu/show/cid/18469</v>
      </c>
      <c r="F14026" s="2" t="s">
        <v>11</v>
      </c>
      <c r="G14026" s="2" t="s">
        <v>16578</v>
      </c>
      <c r="H14026" s="2" t="s">
        <v>16579</v>
      </c>
    </row>
    <row r="14027" spans="1:8" ht="25.05" customHeight="1" x14ac:dyDescent="0.25">
      <c r="A14027" s="2" t="s">
        <v>8</v>
      </c>
      <c r="B14027" s="2" t="str">
        <f>HYPERLINK("http://ts.21cn.com/tousu/show/id/1345569","天房天辰世纪楼盘强制捆绑车位售卖且车位不按期交付使用")</f>
        <v>天房天辰世纪楼盘强制捆绑车位售卖且车位不按期交付使用</v>
      </c>
      <c r="C14027" s="2" t="s">
        <v>9</v>
      </c>
      <c r="D14027" s="2" t="s">
        <v>10</v>
      </c>
      <c r="E14027" s="2" t="str">
        <f>HYPERLINK("http://ts.21cn.com/tousu/show/id/1345569","http://ts.21cn.com/tousu/show/id/1345569")</f>
        <v>http://ts.21cn.com/tousu/show/id/1345569</v>
      </c>
      <c r="F14027" s="2" t="s">
        <v>11</v>
      </c>
      <c r="G14027" s="2" t="s">
        <v>16578</v>
      </c>
      <c r="H14027" s="2" t="s">
        <v>16580</v>
      </c>
    </row>
    <row r="14028" spans="1:8" ht="25.05" customHeight="1" x14ac:dyDescent="0.25">
      <c r="A14028" s="2" t="s">
        <v>8</v>
      </c>
      <c r="B14028" s="2" t="str">
        <f>HYPERLINK("http://ts.21cn.com/tousu/show/id/1345570","爱农驿站全额退款")</f>
        <v>爱农驿站全额退款</v>
      </c>
      <c r="C14028" s="2" t="s">
        <v>34</v>
      </c>
      <c r="D14028" s="2" t="s">
        <v>10</v>
      </c>
      <c r="E14028" s="2" t="str">
        <f>HYPERLINK("http://ts.21cn.com/tousu/show/id/1345570","http://ts.21cn.com/tousu/show/id/1345570")</f>
        <v>http://ts.21cn.com/tousu/show/id/1345570</v>
      </c>
      <c r="F14028" s="2" t="s">
        <v>11</v>
      </c>
      <c r="G14028" s="2" t="s">
        <v>16577</v>
      </c>
      <c r="H14028" s="2" t="s">
        <v>11171</v>
      </c>
    </row>
    <row r="14029" spans="1:8" ht="25.05" customHeight="1" x14ac:dyDescent="0.25">
      <c r="A14029" s="2" t="s">
        <v>8</v>
      </c>
      <c r="B14029" s="2" t="str">
        <f>HYPERLINK("http://ts.21cn.com/tousu/show/id/1345571","套路贷，高利贷，不正当手段威胁联系人及家人朋友。本人不知情下非法扣除合同。")</f>
        <v>套路贷，高利贷，不正当手段威胁联系人及家人朋友。本人不知情下非法扣除合同。</v>
      </c>
      <c r="C14029" s="2" t="s">
        <v>9</v>
      </c>
      <c r="D14029" s="2" t="s">
        <v>10</v>
      </c>
      <c r="E14029" s="2" t="str">
        <f>HYPERLINK("http://ts.21cn.com/tousu/show/id/1345571","http://ts.21cn.com/tousu/show/id/1345571")</f>
        <v>http://ts.21cn.com/tousu/show/id/1345571</v>
      </c>
      <c r="F14029" s="2" t="s">
        <v>11</v>
      </c>
      <c r="G14029" s="2" t="s">
        <v>16575</v>
      </c>
      <c r="H14029" s="2" t="s">
        <v>16576</v>
      </c>
    </row>
    <row r="14030" spans="1:8" ht="25.05" customHeight="1" x14ac:dyDescent="0.25">
      <c r="A14030" s="2" t="s">
        <v>8</v>
      </c>
      <c r="B14030" s="2" t="str">
        <f>HYPERLINK("http://ts.21cn.com/tousu/show/id/1345573","金米财税不办证不给退钱")</f>
        <v>金米财税不办证不给退钱</v>
      </c>
      <c r="C14030" s="2" t="s">
        <v>9</v>
      </c>
      <c r="D14030" s="2" t="s">
        <v>10</v>
      </c>
      <c r="E14030" s="2" t="str">
        <f>HYPERLINK("http://ts.21cn.com/tousu/show/id/1345573","http://ts.21cn.com/tousu/show/id/1345573")</f>
        <v>http://ts.21cn.com/tousu/show/id/1345573</v>
      </c>
      <c r="F14030" s="2" t="s">
        <v>11</v>
      </c>
      <c r="G14030" s="2" t="s">
        <v>16573</v>
      </c>
      <c r="H14030" s="2" t="s">
        <v>16574</v>
      </c>
    </row>
    <row r="14031" spans="1:8" ht="25.05" customHeight="1" x14ac:dyDescent="0.25">
      <c r="A14031" s="2" t="s">
        <v>8</v>
      </c>
      <c r="B14031" s="2" t="str">
        <f>HYPERLINK("http://ts.21cn.com/tousu/show/id/1345572","小花钱包暴力催收")</f>
        <v>小花钱包暴力催收</v>
      </c>
      <c r="C14031" s="2" t="s">
        <v>9</v>
      </c>
      <c r="D14031" s="2" t="s">
        <v>10</v>
      </c>
      <c r="E14031" s="2" t="str">
        <f>HYPERLINK("http://ts.21cn.com/tousu/show/id/1345572","http://ts.21cn.com/tousu/show/id/1345572")</f>
        <v>http://ts.21cn.com/tousu/show/id/1345572</v>
      </c>
      <c r="F14031" s="2" t="s">
        <v>11</v>
      </c>
      <c r="G14031" s="2" t="s">
        <v>16571</v>
      </c>
      <c r="H14031" s="2" t="s">
        <v>16572</v>
      </c>
    </row>
    <row r="14032" spans="1:8" ht="25.05" customHeight="1" x14ac:dyDescent="0.25">
      <c r="A14032" s="2" t="s">
        <v>8</v>
      </c>
      <c r="B14032" s="2" t="str">
        <f>HYPERLINK("http://ts.21cn.com/tousu/show/id/1345552","卜宝宝借用易打条套路贷，不放款，不消条")</f>
        <v>卜宝宝借用易打条套路贷，不放款，不消条</v>
      </c>
      <c r="C14032" s="2" t="s">
        <v>9</v>
      </c>
      <c r="D14032" s="2" t="s">
        <v>10</v>
      </c>
      <c r="E14032" s="2" t="str">
        <f>HYPERLINK("http://ts.21cn.com/tousu/show/id/1345552","http://ts.21cn.com/tousu/show/id/1345552")</f>
        <v>http://ts.21cn.com/tousu/show/id/1345552</v>
      </c>
      <c r="F14032" s="2" t="s">
        <v>11</v>
      </c>
      <c r="G14032" s="2" t="s">
        <v>16569</v>
      </c>
      <c r="H14032" s="2" t="s">
        <v>16570</v>
      </c>
    </row>
    <row r="14033" spans="1:8" ht="25.05" customHeight="1" x14ac:dyDescent="0.25">
      <c r="A14033" s="2" t="s">
        <v>8</v>
      </c>
      <c r="B14033" s="2" t="str">
        <f>HYPERLINK("http://ts.21cn.com/tousu/show/id/1345559","信用管家神马借高利贷")</f>
        <v>信用管家神马借高利贷</v>
      </c>
      <c r="C14033" s="2" t="s">
        <v>9</v>
      </c>
      <c r="D14033" s="2" t="s">
        <v>10</v>
      </c>
      <c r="E14033" s="2" t="str">
        <f>HYPERLINK("http://ts.21cn.com/tousu/show/id/1345559","http://ts.21cn.com/tousu/show/id/1345559")</f>
        <v>http://ts.21cn.com/tousu/show/id/1345559</v>
      </c>
      <c r="F14033" s="2" t="s">
        <v>11</v>
      </c>
      <c r="G14033" s="2" t="s">
        <v>16567</v>
      </c>
      <c r="H14033" s="2" t="s">
        <v>16568</v>
      </c>
    </row>
    <row r="14034" spans="1:8" ht="25.05" customHeight="1" x14ac:dyDescent="0.25">
      <c r="A14034" s="2" t="s">
        <v>8</v>
      </c>
      <c r="B14034" s="2" t="str">
        <f>HYPERLINK("http://ts.21cn.com/tousu/show/id/1345575","支付宝好医保")</f>
        <v>支付宝好医保</v>
      </c>
      <c r="C14034" s="2" t="s">
        <v>9</v>
      </c>
      <c r="D14034" s="2" t="s">
        <v>10</v>
      </c>
      <c r="E14034" s="2" t="str">
        <f>HYPERLINK("http://ts.21cn.com/tousu/show/id/1345575","http://ts.21cn.com/tousu/show/id/1345575")</f>
        <v>http://ts.21cn.com/tousu/show/id/1345575</v>
      </c>
      <c r="F14034" s="2" t="s">
        <v>11</v>
      </c>
      <c r="G14034" s="2" t="s">
        <v>16565</v>
      </c>
      <c r="H14034" s="2" t="s">
        <v>16566</v>
      </c>
    </row>
    <row r="14035" spans="1:8" ht="25.05" customHeight="1" x14ac:dyDescent="0.25">
      <c r="A14035" s="2" t="s">
        <v>8</v>
      </c>
      <c r="B14035" s="2" t="str">
        <f>HYPERLINK("http://ts.21cn.com/tousu/show/id/1345578","京东白条逾期，我说月中发工资还钱，不料接到催收的各方面骚扰以及说上门的威胁，严重影响我的工作和生活")</f>
        <v>京东白条逾期，我说月中发工资还钱，不料接到催收的各方面骚扰以及说上门的威胁，严重影响我的工作和生活</v>
      </c>
      <c r="C14035" s="2" t="s">
        <v>9</v>
      </c>
      <c r="D14035" s="2" t="s">
        <v>10</v>
      </c>
      <c r="E14035" s="2" t="str">
        <f>HYPERLINK("http://ts.21cn.com/tousu/show/id/1345578","http://ts.21cn.com/tousu/show/id/1345578")</f>
        <v>http://ts.21cn.com/tousu/show/id/1345578</v>
      </c>
      <c r="F14035" s="2" t="s">
        <v>11</v>
      </c>
      <c r="G14035" s="2" t="s">
        <v>16563</v>
      </c>
      <c r="H14035" s="2" t="s">
        <v>16564</v>
      </c>
    </row>
    <row r="14036" spans="1:8" ht="25.05" customHeight="1" x14ac:dyDescent="0.25">
      <c r="A14036" s="2" t="s">
        <v>8</v>
      </c>
      <c r="B14036" s="2" t="str">
        <f>HYPERLINK("http://ts.21cn.com/tousu/show/id/1345579","暴力催收威胁恐吓")</f>
        <v>暴力催收威胁恐吓</v>
      </c>
      <c r="C14036" s="2" t="s">
        <v>9</v>
      </c>
      <c r="D14036" s="2" t="s">
        <v>10</v>
      </c>
      <c r="E14036" s="2" t="str">
        <f>HYPERLINK("http://ts.21cn.com/tousu/show/id/1345579","http://ts.21cn.com/tousu/show/id/1345579")</f>
        <v>http://ts.21cn.com/tousu/show/id/1345579</v>
      </c>
      <c r="F14036" s="2" t="s">
        <v>11</v>
      </c>
      <c r="G14036" s="2" t="s">
        <v>16561</v>
      </c>
      <c r="H14036" s="2" t="s">
        <v>16562</v>
      </c>
    </row>
    <row r="14037" spans="1:8" ht="25.05" customHeight="1" x14ac:dyDescent="0.25">
      <c r="A14037" s="2" t="s">
        <v>8</v>
      </c>
      <c r="B14037" s="2" t="str">
        <f>HYPERLINK("http://ts.21cn.com/tousu/show/id/1345547","恶意收取保证金不给予退还，欺诈消费者")</f>
        <v>恶意收取保证金不给予退还，欺诈消费者</v>
      </c>
      <c r="C14037" s="2" t="s">
        <v>9</v>
      </c>
      <c r="D14037" s="2" t="s">
        <v>10</v>
      </c>
      <c r="E14037" s="2" t="str">
        <f>HYPERLINK("http://ts.21cn.com/tousu/show/id/1345547","http://ts.21cn.com/tousu/show/id/1345547")</f>
        <v>http://ts.21cn.com/tousu/show/id/1345547</v>
      </c>
      <c r="F14037" s="2" t="s">
        <v>11</v>
      </c>
      <c r="G14037" s="2" t="s">
        <v>16559</v>
      </c>
      <c r="H14037" s="2" t="s">
        <v>16560</v>
      </c>
    </row>
    <row r="14038" spans="1:8" ht="25.05" customHeight="1" x14ac:dyDescent="0.25">
      <c r="A14038" s="2" t="s">
        <v>8</v>
      </c>
      <c r="B14038" s="2" t="str">
        <f>HYPERLINK("http://ts.21cn.com/tousu/show/id/1345542","合肥美丽屋霸王条款，不退押金")</f>
        <v>合肥美丽屋霸王条款，不退押金</v>
      </c>
      <c r="C14038" s="2" t="s">
        <v>9</v>
      </c>
      <c r="D14038" s="2" t="s">
        <v>10</v>
      </c>
      <c r="E14038" s="2" t="str">
        <f>HYPERLINK("http://ts.21cn.com/tousu/show/id/1345542","http://ts.21cn.com/tousu/show/id/1345542")</f>
        <v>http://ts.21cn.com/tousu/show/id/1345542</v>
      </c>
      <c r="F14038" s="2" t="s">
        <v>11</v>
      </c>
      <c r="G14038" s="2" t="s">
        <v>16557</v>
      </c>
      <c r="H14038" s="2" t="s">
        <v>16558</v>
      </c>
    </row>
    <row r="14039" spans="1:8" ht="25.05" customHeight="1" x14ac:dyDescent="0.25">
      <c r="A14039" s="2" t="s">
        <v>8</v>
      </c>
      <c r="B14039" s="2" t="str">
        <f>HYPERLINK("http://ts.21cn.com/tousu/show/id/1345582","零零发高利贷恐吓威胁骚扰")</f>
        <v>零零发高利贷恐吓威胁骚扰</v>
      </c>
      <c r="C14039" s="2" t="s">
        <v>9</v>
      </c>
      <c r="D14039" s="2" t="s">
        <v>10</v>
      </c>
      <c r="E14039" s="2" t="str">
        <f>HYPERLINK("http://ts.21cn.com/tousu/show/id/1345582","http://ts.21cn.com/tousu/show/id/1345582")</f>
        <v>http://ts.21cn.com/tousu/show/id/1345582</v>
      </c>
      <c r="F14039" s="2" t="s">
        <v>11</v>
      </c>
      <c r="G14039" s="2" t="s">
        <v>16555</v>
      </c>
      <c r="H14039" s="2" t="s">
        <v>16556</v>
      </c>
    </row>
    <row r="14040" spans="1:8" ht="25.05" customHeight="1" x14ac:dyDescent="0.25">
      <c r="A14040" s="2" t="s">
        <v>8</v>
      </c>
      <c r="B14040" s="2" t="str">
        <f>HYPERLINK("http://ts.21cn.com/tousu/show/id/1345584","蓝店公司提现不到账，大面积商户提现不到账")</f>
        <v>蓝店公司提现不到账，大面积商户提现不到账</v>
      </c>
      <c r="C14040" s="2" t="s">
        <v>9</v>
      </c>
      <c r="D14040" s="2" t="s">
        <v>10</v>
      </c>
      <c r="E14040" s="2" t="str">
        <f>HYPERLINK("http://ts.21cn.com/tousu/show/id/1345584","http://ts.21cn.com/tousu/show/id/1345584")</f>
        <v>http://ts.21cn.com/tousu/show/id/1345584</v>
      </c>
      <c r="F14040" s="2" t="s">
        <v>11</v>
      </c>
      <c r="G14040" s="2" t="s">
        <v>16552</v>
      </c>
      <c r="H14040" s="2" t="s">
        <v>16553</v>
      </c>
    </row>
    <row r="14041" spans="1:8" ht="25.05" customHeight="1" x14ac:dyDescent="0.25">
      <c r="A14041" s="2" t="s">
        <v>8</v>
      </c>
      <c r="B14041" s="2" t="str">
        <f>HYPERLINK("http://ts.21cn.com/tousu/show/id/1345583","360借条广告虚假利息惊人")</f>
        <v>360借条广告虚假利息惊人</v>
      </c>
      <c r="C14041" s="2" t="s">
        <v>9</v>
      </c>
      <c r="D14041" s="2" t="s">
        <v>10</v>
      </c>
      <c r="E14041" s="2" t="str">
        <f>HYPERLINK("http://ts.21cn.com/tousu/show/id/1345583","http://ts.21cn.com/tousu/show/id/1345583")</f>
        <v>http://ts.21cn.com/tousu/show/id/1345583</v>
      </c>
      <c r="F14041" s="2" t="s">
        <v>11</v>
      </c>
      <c r="G14041" s="2" t="s">
        <v>16552</v>
      </c>
      <c r="H14041" s="2" t="s">
        <v>16554</v>
      </c>
    </row>
    <row r="14042" spans="1:8" ht="25.05" customHeight="1" x14ac:dyDescent="0.25">
      <c r="A14042" s="2" t="s">
        <v>8</v>
      </c>
      <c r="B14042" s="2" t="str">
        <f>HYPERLINK("http://ts.21cn.com/tousu/show/id/1345585","高利贷")</f>
        <v>高利贷</v>
      </c>
      <c r="C14042" s="2" t="s">
        <v>9</v>
      </c>
      <c r="D14042" s="2" t="s">
        <v>10</v>
      </c>
      <c r="E14042" s="2" t="str">
        <f>HYPERLINK("http://ts.21cn.com/tousu/show/id/1345585","http://ts.21cn.com/tousu/show/id/1345585")</f>
        <v>http://ts.21cn.com/tousu/show/id/1345585</v>
      </c>
      <c r="F14042" s="2" t="s">
        <v>11</v>
      </c>
      <c r="G14042" s="2" t="s">
        <v>16550</v>
      </c>
      <c r="H14042" s="2" t="s">
        <v>16551</v>
      </c>
    </row>
    <row r="14043" spans="1:8" ht="25.05" customHeight="1" x14ac:dyDescent="0.25">
      <c r="A14043" s="2" t="s">
        <v>8</v>
      </c>
      <c r="B14043" s="2" t="str">
        <f>HYPERLINK("http://ts.21cn.com/tousu/show/id/1345587","马上消费金融不履行承诺")</f>
        <v>马上消费金融不履行承诺</v>
      </c>
      <c r="C14043" s="2" t="s">
        <v>9</v>
      </c>
      <c r="D14043" s="2" t="s">
        <v>10</v>
      </c>
      <c r="E14043" s="2" t="str">
        <f>HYPERLINK("http://ts.21cn.com/tousu/show/id/1345587","http://ts.21cn.com/tousu/show/id/1345587")</f>
        <v>http://ts.21cn.com/tousu/show/id/1345587</v>
      </c>
      <c r="F14043" s="2" t="s">
        <v>11</v>
      </c>
      <c r="G14043" s="2" t="s">
        <v>16548</v>
      </c>
      <c r="H14043" s="2" t="s">
        <v>16549</v>
      </c>
    </row>
    <row r="14044" spans="1:8" ht="25.05" customHeight="1" x14ac:dyDescent="0.25">
      <c r="A14044" s="2" t="s">
        <v>8</v>
      </c>
      <c r="B14044" s="2" t="str">
        <f>HYPERLINK("http://ts.21cn.com/tousu/show/id/1345588","滴滴没绑车怎么给我算的出行分")</f>
        <v>滴滴没绑车怎么给我算的出行分</v>
      </c>
      <c r="C14044" s="2" t="s">
        <v>34</v>
      </c>
      <c r="D14044" s="2" t="s">
        <v>10</v>
      </c>
      <c r="E14044" s="2" t="str">
        <f>HYPERLINK("http://ts.21cn.com/tousu/show/id/1345588","http://ts.21cn.com/tousu/show/id/1345588")</f>
        <v>http://ts.21cn.com/tousu/show/id/1345588</v>
      </c>
      <c r="F14044" s="2" t="s">
        <v>11</v>
      </c>
      <c r="G14044" s="2" t="s">
        <v>16546</v>
      </c>
      <c r="H14044" s="2" t="s">
        <v>16547</v>
      </c>
    </row>
    <row r="14045" spans="1:8" ht="25.05" customHeight="1" x14ac:dyDescent="0.25">
      <c r="A14045" s="2" t="s">
        <v>8</v>
      </c>
      <c r="B14045" s="2" t="str">
        <f>HYPERLINK("http://ts.21cn.com/tousu/show/id/1345589","网络欺许")</f>
        <v>网络欺许</v>
      </c>
      <c r="C14045" s="2" t="s">
        <v>9</v>
      </c>
      <c r="D14045" s="2" t="s">
        <v>10</v>
      </c>
      <c r="E14045" s="2" t="str">
        <f>HYPERLINK("http://ts.21cn.com/tousu/show/id/1345589","http://ts.21cn.com/tousu/show/id/1345589")</f>
        <v>http://ts.21cn.com/tousu/show/id/1345589</v>
      </c>
      <c r="F14045" s="2" t="s">
        <v>11</v>
      </c>
      <c r="G14045" s="2" t="s">
        <v>16544</v>
      </c>
      <c r="H14045" s="2" t="s">
        <v>16545</v>
      </c>
    </row>
    <row r="14046" spans="1:8" ht="25.05" customHeight="1" x14ac:dyDescent="0.25">
      <c r="A14046" s="2" t="s">
        <v>8</v>
      </c>
      <c r="B14046" s="2" t="str">
        <f>HYPERLINK("http://ts.21cn.com/tousu/show/id/1345590","暴力催收，砍头息，骚扰通讯录，")</f>
        <v>暴力催收，砍头息，骚扰通讯录，</v>
      </c>
      <c r="C14046" s="2" t="s">
        <v>9</v>
      </c>
      <c r="D14046" s="2" t="s">
        <v>10</v>
      </c>
      <c r="E14046" s="2" t="str">
        <f>HYPERLINK("http://ts.21cn.com/tousu/show/id/1345590","http://ts.21cn.com/tousu/show/id/1345590")</f>
        <v>http://ts.21cn.com/tousu/show/id/1345590</v>
      </c>
      <c r="F14046" s="2" t="s">
        <v>11</v>
      </c>
      <c r="G14046" s="2" t="s">
        <v>16542</v>
      </c>
      <c r="H14046" s="2" t="s">
        <v>16543</v>
      </c>
    </row>
    <row r="14047" spans="1:8" ht="25.05" customHeight="1" x14ac:dyDescent="0.25">
      <c r="A14047" s="2" t="s">
        <v>8</v>
      </c>
      <c r="B14047" s="2" t="str">
        <f>HYPERLINK("http://ts.21cn.com/tousu/show/id/1345591","现金巴士收取高额砍头息要求退还")</f>
        <v>现金巴士收取高额砍头息要求退还</v>
      </c>
      <c r="C14047" s="2" t="s">
        <v>34</v>
      </c>
      <c r="D14047" s="2" t="s">
        <v>10</v>
      </c>
      <c r="E14047" s="2" t="str">
        <f>HYPERLINK("http://ts.21cn.com/tousu/show/id/1345591","http://ts.21cn.com/tousu/show/id/1345591")</f>
        <v>http://ts.21cn.com/tousu/show/id/1345591</v>
      </c>
      <c r="F14047" s="2" t="s">
        <v>11</v>
      </c>
      <c r="G14047" s="2" t="s">
        <v>16540</v>
      </c>
      <c r="H14047" s="2" t="s">
        <v>16541</v>
      </c>
    </row>
    <row r="14048" spans="1:8" ht="25.05" customHeight="1" x14ac:dyDescent="0.25">
      <c r="A14048" s="2" t="s">
        <v>8</v>
      </c>
      <c r="B14048" s="2" t="str">
        <f>HYPERLINK("http://ts.21cn.com/tousu/show/id/1345593","京东商城不退我优惠劵")</f>
        <v>京东商城不退我优惠劵</v>
      </c>
      <c r="C14048" s="2" t="s">
        <v>9</v>
      </c>
      <c r="D14048" s="2" t="s">
        <v>10</v>
      </c>
      <c r="E14048" s="2" t="str">
        <f>HYPERLINK("http://ts.21cn.com/tousu/show/id/1345593","http://ts.21cn.com/tousu/show/id/1345593")</f>
        <v>http://ts.21cn.com/tousu/show/id/1345593</v>
      </c>
      <c r="F14048" s="2" t="s">
        <v>11</v>
      </c>
      <c r="G14048" s="2" t="s">
        <v>16538</v>
      </c>
      <c r="H14048" s="2" t="s">
        <v>16539</v>
      </c>
    </row>
    <row r="14049" spans="1:8" ht="25.05" customHeight="1" x14ac:dyDescent="0.25">
      <c r="A14049" s="2" t="s">
        <v>8</v>
      </c>
      <c r="B14049" s="2" t="str">
        <f>HYPERLINK("http://ts.21cn.com/tousu/show/id/1345595","乱扣本人银行卡金额")</f>
        <v>乱扣本人银行卡金额</v>
      </c>
      <c r="C14049" s="2" t="s">
        <v>9</v>
      </c>
      <c r="D14049" s="2" t="s">
        <v>10</v>
      </c>
      <c r="E14049" s="2" t="str">
        <f>HYPERLINK("http://ts.21cn.com/tousu/show/id/1345595","http://ts.21cn.com/tousu/show/id/1345595")</f>
        <v>http://ts.21cn.com/tousu/show/id/1345595</v>
      </c>
      <c r="F14049" s="2" t="s">
        <v>11</v>
      </c>
      <c r="G14049" s="2" t="s">
        <v>16536</v>
      </c>
      <c r="H14049" s="2" t="s">
        <v>16537</v>
      </c>
    </row>
    <row r="14050" spans="1:8" ht="25.05" customHeight="1" x14ac:dyDescent="0.25">
      <c r="A14050" s="2" t="s">
        <v>8</v>
      </c>
      <c r="B14050" s="2" t="str">
        <f>HYPERLINK("http://ts.21cn.com/tousu/show/id/1345594","唯品会的价格波动太大了")</f>
        <v>唯品会的价格波动太大了</v>
      </c>
      <c r="C14050" s="2" t="s">
        <v>34</v>
      </c>
      <c r="D14050" s="2" t="s">
        <v>10</v>
      </c>
      <c r="E14050" s="2" t="str">
        <f>HYPERLINK("http://ts.21cn.com/tousu/show/id/1345594","http://ts.21cn.com/tousu/show/id/1345594")</f>
        <v>http://ts.21cn.com/tousu/show/id/1345594</v>
      </c>
      <c r="F14050" s="2" t="s">
        <v>11</v>
      </c>
      <c r="G14050" s="2" t="s">
        <v>16534</v>
      </c>
      <c r="H14050" s="2" t="s">
        <v>16535</v>
      </c>
    </row>
    <row r="14051" spans="1:8" ht="25.05" customHeight="1" x14ac:dyDescent="0.25">
      <c r="A14051" s="2" t="s">
        <v>8</v>
      </c>
      <c r="B14051" s="2" t="str">
        <f>HYPERLINK("http://ts.21cn.com/tousu/show/id/1345599","嗨学网诱导消费者签订霸王条款，不退费")</f>
        <v>嗨学网诱导消费者签订霸王条款，不退费</v>
      </c>
      <c r="C14051" s="2" t="s">
        <v>9</v>
      </c>
      <c r="D14051" s="2" t="s">
        <v>10</v>
      </c>
      <c r="E14051" s="2" t="str">
        <f>HYPERLINK("http://ts.21cn.com/tousu/show/id/1345599","http://ts.21cn.com/tousu/show/id/1345599")</f>
        <v>http://ts.21cn.com/tousu/show/id/1345599</v>
      </c>
      <c r="F14051" s="2" t="s">
        <v>11</v>
      </c>
      <c r="G14051" s="2" t="s">
        <v>16532</v>
      </c>
      <c r="H14051" s="2" t="s">
        <v>16533</v>
      </c>
    </row>
    <row r="14052" spans="1:8" ht="25.05" customHeight="1" x14ac:dyDescent="0.25">
      <c r="A14052" s="2" t="s">
        <v>8</v>
      </c>
      <c r="B14052" s="2" t="str">
        <f>HYPERLINK("http://ts.21cn.com/tousu/show/id/1345597","51人品贷提前还款收巨额手续费")</f>
        <v>51人品贷提前还款收巨额手续费</v>
      </c>
      <c r="C14052" s="2" t="s">
        <v>9</v>
      </c>
      <c r="D14052" s="2" t="s">
        <v>10</v>
      </c>
      <c r="E14052" s="2" t="str">
        <f>HYPERLINK("http://ts.21cn.com/tousu/show/id/1345597","http://ts.21cn.com/tousu/show/id/1345597")</f>
        <v>http://ts.21cn.com/tousu/show/id/1345597</v>
      </c>
      <c r="F14052" s="2" t="s">
        <v>11</v>
      </c>
      <c r="G14052" s="2" t="s">
        <v>16530</v>
      </c>
      <c r="H14052" s="2" t="s">
        <v>16531</v>
      </c>
    </row>
    <row r="14053" spans="1:8" ht="25.05" customHeight="1" x14ac:dyDescent="0.25">
      <c r="A14053" s="2" t="s">
        <v>8</v>
      </c>
      <c r="B14053" s="2" t="str">
        <f>HYPERLINK("http://ts.21cn.com/tousu/show/id/1345598","时光分期客服态度恶劣，阴阳合同")</f>
        <v>时光分期客服态度恶劣，阴阳合同</v>
      </c>
      <c r="C14053" s="2" t="s">
        <v>9</v>
      </c>
      <c r="D14053" s="2" t="s">
        <v>10</v>
      </c>
      <c r="E14053" s="2" t="str">
        <f>HYPERLINK("http://ts.21cn.com/tousu/show/id/1345598","http://ts.21cn.com/tousu/show/id/1345598")</f>
        <v>http://ts.21cn.com/tousu/show/id/1345598</v>
      </c>
      <c r="F14053" s="2" t="s">
        <v>11</v>
      </c>
      <c r="G14053" s="2" t="s">
        <v>16528</v>
      </c>
      <c r="H14053" s="2" t="s">
        <v>16529</v>
      </c>
    </row>
    <row r="14054" spans="1:8" ht="25.05" customHeight="1" x14ac:dyDescent="0.25">
      <c r="A14054" s="2" t="s">
        <v>8</v>
      </c>
      <c r="B14054" s="2" t="str">
        <f>HYPERLINK("http://ts.21cn.com/tousu/show/id/1345600","e换电退押金不到账")</f>
        <v>e换电退押金不到账</v>
      </c>
      <c r="C14054" s="2" t="s">
        <v>9</v>
      </c>
      <c r="D14054" s="2" t="s">
        <v>10</v>
      </c>
      <c r="E14054" s="2" t="str">
        <f>HYPERLINK("http://ts.21cn.com/tousu/show/id/1345600","http://ts.21cn.com/tousu/show/id/1345600")</f>
        <v>http://ts.21cn.com/tousu/show/id/1345600</v>
      </c>
      <c r="F14054" s="2" t="s">
        <v>11</v>
      </c>
      <c r="G14054" s="2" t="s">
        <v>16526</v>
      </c>
      <c r="H14054" s="2" t="s">
        <v>16527</v>
      </c>
    </row>
    <row r="14055" spans="1:8" ht="25.05" customHeight="1" x14ac:dyDescent="0.25">
      <c r="A14055" s="2" t="s">
        <v>8</v>
      </c>
      <c r="B14055" s="2" t="str">
        <f>HYPERLINK("http://ts.21cn.com/tousu/show/id/1345601","拉卡拉首扣贷款金额，超高逾期费等，利用国家征信系统变相要挟用户！！！")</f>
        <v>拉卡拉首扣贷款金额，超高逾期费等，利用国家征信系统变相要挟用户！！！</v>
      </c>
      <c r="C14055" s="2" t="s">
        <v>9</v>
      </c>
      <c r="D14055" s="2" t="s">
        <v>10</v>
      </c>
      <c r="E14055" s="2" t="str">
        <f>HYPERLINK("http://ts.21cn.com/tousu/show/id/1345601","http://ts.21cn.com/tousu/show/id/1345601")</f>
        <v>http://ts.21cn.com/tousu/show/id/1345601</v>
      </c>
      <c r="F14055" s="2" t="s">
        <v>11</v>
      </c>
      <c r="G14055" s="2" t="s">
        <v>16524</v>
      </c>
      <c r="H14055" s="2" t="s">
        <v>16525</v>
      </c>
    </row>
    <row r="14056" spans="1:8" ht="25.05" customHeight="1" x14ac:dyDescent="0.25">
      <c r="A14056" s="2" t="s">
        <v>8</v>
      </c>
      <c r="B14056" s="2" t="str">
        <f>HYPERLINK("http://ts.21cn.com/tousu/show/id/1345602","滴滴出行对司机评判不公")</f>
        <v>滴滴出行对司机评判不公</v>
      </c>
      <c r="C14056" s="2" t="s">
        <v>9</v>
      </c>
      <c r="D14056" s="2" t="s">
        <v>10</v>
      </c>
      <c r="E14056" s="2" t="str">
        <f>HYPERLINK("http://ts.21cn.com/tousu/show/id/1345602","http://ts.21cn.com/tousu/show/id/1345602")</f>
        <v>http://ts.21cn.com/tousu/show/id/1345602</v>
      </c>
      <c r="F14056" s="2" t="s">
        <v>11</v>
      </c>
      <c r="G14056" s="2" t="s">
        <v>16522</v>
      </c>
      <c r="H14056" s="2" t="s">
        <v>16523</v>
      </c>
    </row>
    <row r="14057" spans="1:8" ht="25.05" customHeight="1" x14ac:dyDescent="0.25">
      <c r="A14057" s="2" t="s">
        <v>8</v>
      </c>
      <c r="B14057" s="2" t="str">
        <f>HYPERLINK("http://ts.21cn.com/tousu/show/id/1345603","子壹金服无法提现")</f>
        <v>子壹金服无法提现</v>
      </c>
      <c r="C14057" s="2" t="s">
        <v>9</v>
      </c>
      <c r="D14057" s="2" t="s">
        <v>10</v>
      </c>
      <c r="E14057" s="2" t="str">
        <f>HYPERLINK("http://ts.21cn.com/tousu/show/id/1345603","http://ts.21cn.com/tousu/show/id/1345603")</f>
        <v>http://ts.21cn.com/tousu/show/id/1345603</v>
      </c>
      <c r="F14057" s="2" t="s">
        <v>11</v>
      </c>
      <c r="G14057" s="2" t="s">
        <v>16520</v>
      </c>
      <c r="H14057" s="2" t="s">
        <v>16521</v>
      </c>
    </row>
    <row r="14058" spans="1:8" ht="25.05" customHeight="1" x14ac:dyDescent="0.25">
      <c r="A14058" s="2" t="s">
        <v>8</v>
      </c>
      <c r="B14058" s="2" t="str">
        <f>HYPERLINK("http://ts.21cn.com/tousu/show/id/1345604","快捷通支付，造艺网络，聚福钱包恶意扣款，涉嫌欺诈")</f>
        <v>快捷通支付，造艺网络，聚福钱包恶意扣款，涉嫌欺诈</v>
      </c>
      <c r="C14058" s="2" t="s">
        <v>9</v>
      </c>
      <c r="D14058" s="2" t="s">
        <v>10</v>
      </c>
      <c r="E14058" s="2" t="str">
        <f>HYPERLINK("http://ts.21cn.com/tousu/show/id/1345604","http://ts.21cn.com/tousu/show/id/1345604")</f>
        <v>http://ts.21cn.com/tousu/show/id/1345604</v>
      </c>
      <c r="F14058" s="2" t="s">
        <v>11</v>
      </c>
      <c r="G14058" s="2" t="s">
        <v>16518</v>
      </c>
      <c r="H14058" s="2" t="s">
        <v>16519</v>
      </c>
    </row>
    <row r="14059" spans="1:8" ht="25.05" customHeight="1" x14ac:dyDescent="0.25">
      <c r="A14059" s="2" t="s">
        <v>8</v>
      </c>
      <c r="B14059" s="2" t="str">
        <f>HYPERLINK("http://ts.21cn.com/tousu/show/id/1345605","使用支付宝购买商品.商家不给予退款.")</f>
        <v>使用支付宝购买商品.商家不给予退款.</v>
      </c>
      <c r="C14059" s="2" t="s">
        <v>9</v>
      </c>
      <c r="D14059" s="2" t="s">
        <v>10</v>
      </c>
      <c r="E14059" s="2" t="str">
        <f>HYPERLINK("http://ts.21cn.com/tousu/show/id/1345605","http://ts.21cn.com/tousu/show/id/1345605")</f>
        <v>http://ts.21cn.com/tousu/show/id/1345605</v>
      </c>
      <c r="F14059" s="2" t="s">
        <v>11</v>
      </c>
      <c r="G14059" s="2" t="s">
        <v>16516</v>
      </c>
      <c r="H14059" s="2" t="s">
        <v>16517</v>
      </c>
    </row>
    <row r="14060" spans="1:8" ht="25.05" customHeight="1" x14ac:dyDescent="0.25">
      <c r="A14060" s="2" t="s">
        <v>8</v>
      </c>
      <c r="B14060" s="2" t="str">
        <f>HYPERLINK("http://ts.21cn.com/tousu/show/id/1345606","闪银催收未经同意，打我联系人，骚扰")</f>
        <v>闪银催收未经同意，打我联系人，骚扰</v>
      </c>
      <c r="C14060" s="2" t="s">
        <v>9</v>
      </c>
      <c r="D14060" s="2" t="s">
        <v>10</v>
      </c>
      <c r="E14060" s="2" t="str">
        <f>HYPERLINK("http://ts.21cn.com/tousu/show/id/1345606","http://ts.21cn.com/tousu/show/id/1345606")</f>
        <v>http://ts.21cn.com/tousu/show/id/1345606</v>
      </c>
      <c r="F14060" s="2" t="s">
        <v>11</v>
      </c>
      <c r="G14060" s="2" t="s">
        <v>16514</v>
      </c>
      <c r="H14060" s="2" t="s">
        <v>16515</v>
      </c>
    </row>
    <row r="14061" spans="1:8" ht="25.05" customHeight="1" x14ac:dyDescent="0.25">
      <c r="A14061" s="2" t="s">
        <v>8</v>
      </c>
      <c r="B14061" s="2" t="str">
        <f>HYPERLINK("http://ts.21cn.com/tousu/show/id/1345607","壹心分期违法7.14高利贷")</f>
        <v>壹心分期违法7.14高利贷</v>
      </c>
      <c r="C14061" s="2" t="s">
        <v>9</v>
      </c>
      <c r="D14061" s="2" t="s">
        <v>10</v>
      </c>
      <c r="E14061" s="2" t="str">
        <f>HYPERLINK("http://ts.21cn.com/tousu/show/id/1345607","http://ts.21cn.com/tousu/show/id/1345607")</f>
        <v>http://ts.21cn.com/tousu/show/id/1345607</v>
      </c>
      <c r="F14061" s="2" t="s">
        <v>11</v>
      </c>
      <c r="G14061" s="2" t="s">
        <v>16512</v>
      </c>
      <c r="H14061" s="2" t="s">
        <v>16513</v>
      </c>
    </row>
    <row r="14062" spans="1:8" ht="25.05" customHeight="1" x14ac:dyDescent="0.25">
      <c r="A14062" s="2" t="s">
        <v>8</v>
      </c>
      <c r="B14062" s="2" t="str">
        <f>HYPERLINK("http://ts.21cn.com/tousu/show/id/1345608","民生银行第三方催款暴力催收")</f>
        <v>民生银行第三方催款暴力催收</v>
      </c>
      <c r="C14062" s="2" t="s">
        <v>9</v>
      </c>
      <c r="D14062" s="2" t="s">
        <v>10</v>
      </c>
      <c r="E14062" s="2" t="str">
        <f>HYPERLINK("http://ts.21cn.com/tousu/show/id/1345608","http://ts.21cn.com/tousu/show/id/1345608")</f>
        <v>http://ts.21cn.com/tousu/show/id/1345608</v>
      </c>
      <c r="F14062" s="2" t="s">
        <v>11</v>
      </c>
      <c r="G14062" s="2" t="s">
        <v>16510</v>
      </c>
      <c r="H14062" s="2" t="s">
        <v>16511</v>
      </c>
    </row>
    <row r="14063" spans="1:8" ht="25.05" customHeight="1" x14ac:dyDescent="0.25">
      <c r="A14063" s="2" t="s">
        <v>8</v>
      </c>
      <c r="B14063" s="2" t="str">
        <f>HYPERLINK("http://ts.21cn.com/tousu/show/id/1345609","绕路也看时间，上班迟到谁负责？")</f>
        <v>绕路也看时间，上班迟到谁负责？</v>
      </c>
      <c r="C14063" s="2" t="s">
        <v>9</v>
      </c>
      <c r="D14063" s="2" t="s">
        <v>10</v>
      </c>
      <c r="E14063" s="2" t="str">
        <f>HYPERLINK("http://ts.21cn.com/tousu/show/id/1345609","http://ts.21cn.com/tousu/show/id/1345609")</f>
        <v>http://ts.21cn.com/tousu/show/id/1345609</v>
      </c>
      <c r="F14063" s="2" t="s">
        <v>11</v>
      </c>
      <c r="G14063" s="2" t="s">
        <v>16508</v>
      </c>
      <c r="H14063" s="2" t="s">
        <v>16509</v>
      </c>
    </row>
    <row r="14064" spans="1:8" ht="25.05" customHeight="1" x14ac:dyDescent="0.25">
      <c r="A14064" s="2" t="s">
        <v>8</v>
      </c>
      <c r="B14064" s="2" t="str">
        <f>HYPERLINK("http://ts.21cn.com/tousu/show/id/1345610","滴滴司机诱导绕路收黑钱")</f>
        <v>滴滴司机诱导绕路收黑钱</v>
      </c>
      <c r="C14064" s="2" t="s">
        <v>9</v>
      </c>
      <c r="D14064" s="2" t="s">
        <v>10</v>
      </c>
      <c r="E14064" s="2" t="str">
        <f>HYPERLINK("http://ts.21cn.com/tousu/show/id/1345610","http://ts.21cn.com/tousu/show/id/1345610")</f>
        <v>http://ts.21cn.com/tousu/show/id/1345610</v>
      </c>
      <c r="F14064" s="2" t="s">
        <v>11</v>
      </c>
      <c r="G14064" s="2" t="s">
        <v>16506</v>
      </c>
      <c r="H14064" s="2" t="s">
        <v>16507</v>
      </c>
    </row>
    <row r="14065" spans="1:8" ht="25.05" customHeight="1" x14ac:dyDescent="0.25">
      <c r="A14065" s="2" t="s">
        <v>8</v>
      </c>
      <c r="B14065" s="2" t="str">
        <f>HYPERLINK("http://ts.21cn.com/tousu/show/id/1345611","钱站套路贷")</f>
        <v>钱站套路贷</v>
      </c>
      <c r="C14065" s="2" t="s">
        <v>9</v>
      </c>
      <c r="D14065" s="2" t="s">
        <v>10</v>
      </c>
      <c r="E14065" s="2" t="str">
        <f>HYPERLINK("http://ts.21cn.com/tousu/show/id/1345611","http://ts.21cn.com/tousu/show/id/1345611")</f>
        <v>http://ts.21cn.com/tousu/show/id/1345611</v>
      </c>
      <c r="F14065" s="2" t="s">
        <v>11</v>
      </c>
      <c r="G14065" s="2" t="s">
        <v>16504</v>
      </c>
      <c r="H14065" s="2" t="s">
        <v>16505</v>
      </c>
    </row>
    <row r="14066" spans="1:8" ht="25.05" customHeight="1" x14ac:dyDescent="0.25">
      <c r="A14066" s="2" t="s">
        <v>8</v>
      </c>
      <c r="B14066" s="2" t="str">
        <f>HYPERLINK("http://ts.21cn.com/tousu/show/id/1345616","中邮消费金融恶意不扣钱且不能手动还款，恶意让人逾期")</f>
        <v>中邮消费金融恶意不扣钱且不能手动还款，恶意让人逾期</v>
      </c>
      <c r="C14066" s="2" t="s">
        <v>9</v>
      </c>
      <c r="D14066" s="2" t="s">
        <v>10</v>
      </c>
      <c r="E14066" s="2" t="str">
        <f>HYPERLINK("http://ts.21cn.com/tousu/show/id/1345616","http://ts.21cn.com/tousu/show/id/1345616")</f>
        <v>http://ts.21cn.com/tousu/show/id/1345616</v>
      </c>
      <c r="F14066" s="2" t="s">
        <v>11</v>
      </c>
      <c r="G14066" s="2" t="s">
        <v>16501</v>
      </c>
      <c r="H14066" s="2" t="s">
        <v>16502</v>
      </c>
    </row>
    <row r="14067" spans="1:8" ht="25.05" customHeight="1" x14ac:dyDescent="0.25">
      <c r="A14067" s="2" t="s">
        <v>8</v>
      </c>
      <c r="B14067" s="2" t="str">
        <f>HYPERLINK("http://ts.21cn.com/tousu/show/id/1345577","中大互联，未签合同不退还学费")</f>
        <v>中大互联，未签合同不退还学费</v>
      </c>
      <c r="C14067" s="2" t="s">
        <v>9</v>
      </c>
      <c r="D14067" s="2" t="s">
        <v>10</v>
      </c>
      <c r="E14067" s="2" t="str">
        <f>HYPERLINK("http://ts.21cn.com/tousu/show/id/1345577","http://ts.21cn.com/tousu/show/id/1345577")</f>
        <v>http://ts.21cn.com/tousu/show/id/1345577</v>
      </c>
      <c r="F14067" s="2" t="s">
        <v>11</v>
      </c>
      <c r="G14067" s="2" t="s">
        <v>16501</v>
      </c>
      <c r="H14067" s="2" t="s">
        <v>16503</v>
      </c>
    </row>
    <row r="14068" spans="1:8" ht="25.05" customHeight="1" x14ac:dyDescent="0.25">
      <c r="A14068" s="2" t="s">
        <v>8</v>
      </c>
      <c r="B14068" s="2" t="str">
        <f>HYPERLINK("http://ts.21cn.com/tousu/show/id/1345612","闪电借款高利贷砍头息恶意催收")</f>
        <v>闪电借款高利贷砍头息恶意催收</v>
      </c>
      <c r="C14068" s="2" t="s">
        <v>9</v>
      </c>
      <c r="D14068" s="2" t="s">
        <v>10</v>
      </c>
      <c r="E14068" s="2" t="str">
        <f>HYPERLINK("http://ts.21cn.com/tousu/show/id/1345612","http://ts.21cn.com/tousu/show/id/1345612")</f>
        <v>http://ts.21cn.com/tousu/show/id/1345612</v>
      </c>
      <c r="F14068" s="2" t="s">
        <v>11</v>
      </c>
      <c r="G14068" s="2" t="s">
        <v>16499</v>
      </c>
      <c r="H14068" s="2" t="s">
        <v>16500</v>
      </c>
    </row>
    <row r="14069" spans="1:8" ht="25.05" customHeight="1" x14ac:dyDescent="0.25">
      <c r="A14069" s="2" t="s">
        <v>8</v>
      </c>
      <c r="B14069" s="2" t="str">
        <f>HYPERLINK("http://ts.21cn.com/tousu/show/id/1345613","趣携信息科技上海有限公司乱扣费")</f>
        <v>趣携信息科技上海有限公司乱扣费</v>
      </c>
      <c r="C14069" s="2" t="s">
        <v>9</v>
      </c>
      <c r="D14069" s="2" t="s">
        <v>10</v>
      </c>
      <c r="E14069" s="2" t="str">
        <f>HYPERLINK("http://ts.21cn.com/tousu/show/id/1345613","http://ts.21cn.com/tousu/show/id/1345613")</f>
        <v>http://ts.21cn.com/tousu/show/id/1345613</v>
      </c>
      <c r="F14069" s="2" t="s">
        <v>11</v>
      </c>
      <c r="G14069" s="2" t="s">
        <v>16497</v>
      </c>
      <c r="H14069" s="2" t="s">
        <v>16498</v>
      </c>
    </row>
    <row r="14070" spans="1:8" ht="25.05" customHeight="1" x14ac:dyDescent="0.25">
      <c r="A14070" s="2" t="s">
        <v>8</v>
      </c>
      <c r="B14070" s="2" t="str">
        <f>HYPERLINK("http://ts.21cn.com/tousu/show/id/1345614","月光侠分期暴力催收！该公司不管这种暴力行为！打我通讯录的人，还发短信给我通讯录的人！")</f>
        <v>月光侠分期暴力催收！该公司不管这种暴力行为！打我通讯录的人，还发短信给我通讯录的人！</v>
      </c>
      <c r="C14070" s="2" t="s">
        <v>9</v>
      </c>
      <c r="D14070" s="2" t="s">
        <v>10</v>
      </c>
      <c r="E14070" s="2" t="str">
        <f>HYPERLINK("http://ts.21cn.com/tousu/show/id/1345614","http://ts.21cn.com/tousu/show/id/1345614")</f>
        <v>http://ts.21cn.com/tousu/show/id/1345614</v>
      </c>
      <c r="F14070" s="2" t="s">
        <v>11</v>
      </c>
      <c r="G14070" s="2" t="s">
        <v>16495</v>
      </c>
      <c r="H14070" s="2" t="s">
        <v>16496</v>
      </c>
    </row>
    <row r="14071" spans="1:8" ht="25.05" customHeight="1" x14ac:dyDescent="0.25">
      <c r="A14071" s="2" t="s">
        <v>8</v>
      </c>
      <c r="B14071" s="2" t="str">
        <f>HYPERLINK("http://ts.21cn.com/tousu/show/id/1345557","特约中归还款")</f>
        <v>特约中归还款</v>
      </c>
      <c r="C14071" s="2" t="s">
        <v>9</v>
      </c>
      <c r="D14071" s="2" t="s">
        <v>10</v>
      </c>
      <c r="E14071" s="2" t="str">
        <f>HYPERLINK("http://ts.21cn.com/tousu/show/id/1345557","http://ts.21cn.com/tousu/show/id/1345557")</f>
        <v>http://ts.21cn.com/tousu/show/id/1345557</v>
      </c>
      <c r="F14071" s="2" t="s">
        <v>11</v>
      </c>
      <c r="G14071" s="2" t="s">
        <v>16493</v>
      </c>
      <c r="H14071" s="2" t="s">
        <v>16494</v>
      </c>
    </row>
    <row r="14072" spans="1:8" ht="25.05" customHeight="1" x14ac:dyDescent="0.25">
      <c r="A14072" s="2" t="s">
        <v>8</v>
      </c>
      <c r="B14072" s="2" t="str">
        <f>HYPERLINK("http://ts.21cn.com/tousu/show/id/1345615","贷上钱逾期1天打爆我的通讯录")</f>
        <v>贷上钱逾期1天打爆我的通讯录</v>
      </c>
      <c r="C14072" s="2" t="s">
        <v>9</v>
      </c>
      <c r="D14072" s="2" t="s">
        <v>10</v>
      </c>
      <c r="E14072" s="2" t="str">
        <f>HYPERLINK("http://ts.21cn.com/tousu/show/id/1345615","http://ts.21cn.com/tousu/show/id/1345615")</f>
        <v>http://ts.21cn.com/tousu/show/id/1345615</v>
      </c>
      <c r="F14072" s="2" t="s">
        <v>11</v>
      </c>
      <c r="G14072" s="2" t="s">
        <v>16491</v>
      </c>
      <c r="H14072" s="2" t="s">
        <v>16492</v>
      </c>
    </row>
    <row r="14073" spans="1:8" ht="25.05" customHeight="1" x14ac:dyDescent="0.25">
      <c r="A14073" s="2" t="s">
        <v>8</v>
      </c>
      <c r="B14073" s="2" t="str">
        <f>HYPERLINK("http://ts.21cn.com/tousu/show/id/1345617","肥猫贷软件恶意催收恐吓谩骂")</f>
        <v>肥猫贷软件恶意催收恐吓谩骂</v>
      </c>
      <c r="C14073" s="2" t="s">
        <v>9</v>
      </c>
      <c r="D14073" s="2" t="s">
        <v>10</v>
      </c>
      <c r="E14073" s="2" t="str">
        <f>HYPERLINK("http://ts.21cn.com/tousu/show/id/1345617","http://ts.21cn.com/tousu/show/id/1345617")</f>
        <v>http://ts.21cn.com/tousu/show/id/1345617</v>
      </c>
      <c r="F14073" s="2" t="s">
        <v>11</v>
      </c>
      <c r="G14073" s="2" t="s">
        <v>16489</v>
      </c>
      <c r="H14073" s="2" t="s">
        <v>16490</v>
      </c>
    </row>
    <row r="14074" spans="1:8" ht="25.05" customHeight="1" x14ac:dyDescent="0.25">
      <c r="A14074" s="2" t="s">
        <v>8</v>
      </c>
      <c r="B14074" s="2" t="str">
        <f>HYPERLINK("http://ts.21cn.com/tousu/show/id/1345618","滴滴公司霸王条款")</f>
        <v>滴滴公司霸王条款</v>
      </c>
      <c r="C14074" s="2" t="s">
        <v>9</v>
      </c>
      <c r="D14074" s="2" t="s">
        <v>10</v>
      </c>
      <c r="E14074" s="2" t="str">
        <f>HYPERLINK("http://ts.21cn.com/tousu/show/id/1345618","http://ts.21cn.com/tousu/show/id/1345618")</f>
        <v>http://ts.21cn.com/tousu/show/id/1345618</v>
      </c>
      <c r="F14074" s="2" t="s">
        <v>11</v>
      </c>
      <c r="G14074" s="2" t="s">
        <v>16487</v>
      </c>
      <c r="H14074" s="2" t="s">
        <v>16488</v>
      </c>
    </row>
    <row r="14075" spans="1:8" ht="25.05" customHeight="1" x14ac:dyDescent="0.25">
      <c r="A14075" s="2" t="s">
        <v>8</v>
      </c>
      <c r="B14075" s="2" t="str">
        <f>HYPERLINK("http://ts.21cn.com/tousu/show/id/1345619","滴滴师傅拒绝载人")</f>
        <v>滴滴师傅拒绝载人</v>
      </c>
      <c r="C14075" s="2" t="s">
        <v>9</v>
      </c>
      <c r="D14075" s="2" t="s">
        <v>10</v>
      </c>
      <c r="E14075" s="2" t="str">
        <f>HYPERLINK("http://ts.21cn.com/tousu/show/id/1345619","http://ts.21cn.com/tousu/show/id/1345619")</f>
        <v>http://ts.21cn.com/tousu/show/id/1345619</v>
      </c>
      <c r="F14075" s="2" t="s">
        <v>11</v>
      </c>
      <c r="G14075" s="2" t="s">
        <v>16485</v>
      </c>
      <c r="H14075" s="2" t="s">
        <v>16486</v>
      </c>
    </row>
    <row r="14076" spans="1:8" ht="25.05" customHeight="1" x14ac:dyDescent="0.25">
      <c r="A14076" s="2" t="s">
        <v>8</v>
      </c>
      <c r="B14076" s="2" t="str">
        <f>HYPERLINK("http://ts.21cn.com/tousu/show/id/1345620","莫名其妙被开通office家庭版未经同意被扣费498")</f>
        <v>莫名其妙被开通office家庭版未经同意被扣费498</v>
      </c>
      <c r="C14076" s="2" t="s">
        <v>34</v>
      </c>
      <c r="D14076" s="2" t="s">
        <v>10</v>
      </c>
      <c r="E14076" s="2" t="str">
        <f>HYPERLINK("http://ts.21cn.com/tousu/show/id/1345620","http://ts.21cn.com/tousu/show/id/1345620")</f>
        <v>http://ts.21cn.com/tousu/show/id/1345620</v>
      </c>
      <c r="F14076" s="2" t="s">
        <v>11</v>
      </c>
      <c r="G14076" s="2" t="s">
        <v>16483</v>
      </c>
      <c r="H14076" s="2" t="s">
        <v>16484</v>
      </c>
    </row>
    <row r="14077" spans="1:8" ht="25.05" customHeight="1" x14ac:dyDescent="0.25">
      <c r="A14077" s="2" t="s">
        <v>8</v>
      </c>
      <c r="B14077" s="2" t="str">
        <f>HYPERLINK("http://ts.21cn.com/tousu/show/id/1345621","渤海银行还我血汗钱")</f>
        <v>渤海银行还我血汗钱</v>
      </c>
      <c r="C14077" s="2" t="s">
        <v>9</v>
      </c>
      <c r="D14077" s="2" t="s">
        <v>10</v>
      </c>
      <c r="E14077" s="2" t="str">
        <f>HYPERLINK("http://ts.21cn.com/tousu/show/id/1345621","http://ts.21cn.com/tousu/show/id/1345621")</f>
        <v>http://ts.21cn.com/tousu/show/id/1345621</v>
      </c>
      <c r="F14077" s="2" t="s">
        <v>11</v>
      </c>
      <c r="G14077" s="2" t="s">
        <v>16481</v>
      </c>
      <c r="H14077" s="2" t="s">
        <v>16482</v>
      </c>
    </row>
    <row r="14078" spans="1:8" ht="25.05" customHeight="1" x14ac:dyDescent="0.25">
      <c r="A14078" s="2" t="s">
        <v>8</v>
      </c>
      <c r="B14078" s="2" t="str">
        <f>HYPERLINK("http://ts.21cn.com/tousu/show/id/1345574","扣款失败导致我逾期")</f>
        <v>扣款失败导致我逾期</v>
      </c>
      <c r="C14078" s="2" t="s">
        <v>9</v>
      </c>
      <c r="D14078" s="2" t="s">
        <v>10</v>
      </c>
      <c r="E14078" s="2" t="str">
        <f>HYPERLINK("http://ts.21cn.com/tousu/show/id/1345574","http://ts.21cn.com/tousu/show/id/1345574")</f>
        <v>http://ts.21cn.com/tousu/show/id/1345574</v>
      </c>
      <c r="F14078" s="2" t="s">
        <v>11</v>
      </c>
      <c r="G14078" s="2" t="s">
        <v>16479</v>
      </c>
      <c r="H14078" s="2" t="s">
        <v>16480</v>
      </c>
    </row>
    <row r="14079" spans="1:8" ht="25.05" customHeight="1" x14ac:dyDescent="0.25">
      <c r="A14079" s="2" t="s">
        <v>8</v>
      </c>
      <c r="B14079" s="2" t="str">
        <f>HYPERLINK("http://ts.21cn.com/tousu/show/id/1345623","滴滴司机开车太慢导致我迟到车票做废")</f>
        <v>滴滴司机开车太慢导致我迟到车票做废</v>
      </c>
      <c r="C14079" s="2" t="s">
        <v>9</v>
      </c>
      <c r="D14079" s="2" t="s">
        <v>10</v>
      </c>
      <c r="E14079" s="2" t="str">
        <f>HYPERLINK("http://ts.21cn.com/tousu/show/id/1345623","http://ts.21cn.com/tousu/show/id/1345623")</f>
        <v>http://ts.21cn.com/tousu/show/id/1345623</v>
      </c>
      <c r="F14079" s="2" t="s">
        <v>11</v>
      </c>
      <c r="G14079" s="2" t="s">
        <v>16478</v>
      </c>
      <c r="H14079" s="2" t="s">
        <v>12195</v>
      </c>
    </row>
    <row r="14080" spans="1:8" ht="25.05" customHeight="1" x14ac:dyDescent="0.25">
      <c r="A14080" s="2" t="s">
        <v>8</v>
      </c>
      <c r="B14080" s="2" t="str">
        <f>HYPERLINK("http://ts.21cn.com/tousu/show/id/1345624","宜人贷暴力催收，骚扰生活高额利息")</f>
        <v>宜人贷暴力催收，骚扰生活高额利息</v>
      </c>
      <c r="C14080" s="2" t="s">
        <v>9</v>
      </c>
      <c r="D14080" s="2" t="s">
        <v>10</v>
      </c>
      <c r="E14080" s="2" t="str">
        <f>HYPERLINK("http://ts.21cn.com/tousu/show/id/1345624","http://ts.21cn.com/tousu/show/id/1345624")</f>
        <v>http://ts.21cn.com/tousu/show/id/1345624</v>
      </c>
      <c r="F14080" s="2" t="s">
        <v>11</v>
      </c>
      <c r="G14080" s="2" t="s">
        <v>16476</v>
      </c>
      <c r="H14080" s="2" t="s">
        <v>16477</v>
      </c>
    </row>
    <row r="14081" spans="1:8" ht="25.05" customHeight="1" x14ac:dyDescent="0.25">
      <c r="A14081" s="2" t="s">
        <v>8</v>
      </c>
      <c r="B14081" s="2" t="str">
        <f>HYPERLINK("http://ts.21cn.com/tousu/show/id/1345625","滴滴公司无故停止会员正常权益")</f>
        <v>滴滴公司无故停止会员正常权益</v>
      </c>
      <c r="C14081" s="2" t="s">
        <v>9</v>
      </c>
      <c r="D14081" s="2" t="s">
        <v>10</v>
      </c>
      <c r="E14081" s="2" t="str">
        <f>HYPERLINK("http://ts.21cn.com/tousu/show/id/1345625","http://ts.21cn.com/tousu/show/id/1345625")</f>
        <v>http://ts.21cn.com/tousu/show/id/1345625</v>
      </c>
      <c r="F14081" s="2" t="s">
        <v>11</v>
      </c>
      <c r="G14081" s="2" t="s">
        <v>16474</v>
      </c>
      <c r="H14081" s="2" t="s">
        <v>16475</v>
      </c>
    </row>
    <row r="14082" spans="1:8" ht="25.05" customHeight="1" x14ac:dyDescent="0.25">
      <c r="A14082" s="2" t="s">
        <v>8</v>
      </c>
      <c r="B14082" s="2" t="str">
        <f>HYPERLINK("http://ts.21cn.com/tousu/show/id/1345626","联通内部员工随意更改我的套餐")</f>
        <v>联通内部员工随意更改我的套餐</v>
      </c>
      <c r="C14082" s="2" t="s">
        <v>9</v>
      </c>
      <c r="D14082" s="2" t="s">
        <v>10</v>
      </c>
      <c r="E14082" s="2" t="str">
        <f>HYPERLINK("http://ts.21cn.com/tousu/show/id/1345626","http://ts.21cn.com/tousu/show/id/1345626")</f>
        <v>http://ts.21cn.com/tousu/show/id/1345626</v>
      </c>
      <c r="F14082" s="2" t="s">
        <v>11</v>
      </c>
      <c r="G14082" s="2" t="s">
        <v>16472</v>
      </c>
      <c r="H14082" s="2" t="s">
        <v>16473</v>
      </c>
    </row>
    <row r="14083" spans="1:8" ht="25.05" customHeight="1" x14ac:dyDescent="0.25">
      <c r="A14083" s="2" t="s">
        <v>8</v>
      </c>
      <c r="B14083" s="2" t="str">
        <f>HYPERLINK("http://ts.21cn.com/tousu/show/id/1345631","小象优品暴力催收")</f>
        <v>小象优品暴力催收</v>
      </c>
      <c r="C14083" s="2" t="s">
        <v>9</v>
      </c>
      <c r="D14083" s="2" t="s">
        <v>10</v>
      </c>
      <c r="E14083" s="2" t="str">
        <f>HYPERLINK("http://ts.21cn.com/tousu/show/id/1345631","http://ts.21cn.com/tousu/show/id/1345631")</f>
        <v>http://ts.21cn.com/tousu/show/id/1345631</v>
      </c>
      <c r="F14083" s="2" t="s">
        <v>11</v>
      </c>
      <c r="G14083" s="2" t="s">
        <v>16470</v>
      </c>
      <c r="H14083" s="2" t="s">
        <v>16471</v>
      </c>
    </row>
    <row r="14084" spans="1:8" ht="25.05" customHeight="1" x14ac:dyDescent="0.25">
      <c r="A14084" s="2" t="s">
        <v>8</v>
      </c>
      <c r="B14084" s="2" t="str">
        <f>HYPERLINK("http://ts.21cn.com/tousu/show/id/1345632","在唯品会买的一双鞋子刚买完就降价，卖家拒绝退差价")</f>
        <v>在唯品会买的一双鞋子刚买完就降价，卖家拒绝退差价</v>
      </c>
      <c r="C14084" s="2" t="s">
        <v>34</v>
      </c>
      <c r="D14084" s="2" t="s">
        <v>10</v>
      </c>
      <c r="E14084" s="2" t="str">
        <f>HYPERLINK("http://ts.21cn.com/tousu/show/id/1345632","http://ts.21cn.com/tousu/show/id/1345632")</f>
        <v>http://ts.21cn.com/tousu/show/id/1345632</v>
      </c>
      <c r="F14084" s="2" t="s">
        <v>11</v>
      </c>
      <c r="G14084" s="2" t="s">
        <v>16468</v>
      </c>
      <c r="H14084" s="2" t="s">
        <v>16469</v>
      </c>
    </row>
    <row r="14085" spans="1:8" ht="25.05" customHeight="1" x14ac:dyDescent="0.25">
      <c r="A14085" s="2" t="s">
        <v>8</v>
      </c>
      <c r="B14085" s="2" t="str">
        <f>HYPERLINK("http://ts.21cn.com/tousu/show/id/1345633","滴滴平台恶意加价，支付金额于订单钱的金额相差巨大，完全是欺诈客户，")</f>
        <v>滴滴平台恶意加价，支付金额于订单钱的金额相差巨大，完全是欺诈客户，</v>
      </c>
      <c r="C14085" s="2" t="s">
        <v>9</v>
      </c>
      <c r="D14085" s="2" t="s">
        <v>10</v>
      </c>
      <c r="E14085" s="2" t="str">
        <f>HYPERLINK("http://ts.21cn.com/tousu/show/id/1345633","http://ts.21cn.com/tousu/show/id/1345633")</f>
        <v>http://ts.21cn.com/tousu/show/id/1345633</v>
      </c>
      <c r="F14085" s="2" t="s">
        <v>11</v>
      </c>
      <c r="G14085" s="2" t="s">
        <v>16466</v>
      </c>
      <c r="H14085" s="2" t="s">
        <v>16467</v>
      </c>
    </row>
    <row r="14086" spans="1:8" ht="25.05" customHeight="1" x14ac:dyDescent="0.25">
      <c r="A14086" s="2" t="s">
        <v>8</v>
      </c>
      <c r="B14086" s="2" t="str">
        <f>HYPERLINK("http://ts.21cn.com/tousu/show/id/1345634","vivo原厂充电器内部着火")</f>
        <v>vivo原厂充电器内部着火</v>
      </c>
      <c r="C14086" s="2" t="s">
        <v>9</v>
      </c>
      <c r="D14086" s="2" t="s">
        <v>10</v>
      </c>
      <c r="E14086" s="2" t="str">
        <f>HYPERLINK("http://ts.21cn.com/tousu/show/id/1345634","http://ts.21cn.com/tousu/show/id/1345634")</f>
        <v>http://ts.21cn.com/tousu/show/id/1345634</v>
      </c>
      <c r="F14086" s="2" t="s">
        <v>11</v>
      </c>
      <c r="G14086" s="2" t="s">
        <v>16464</v>
      </c>
      <c r="H14086" s="2" t="s">
        <v>16465</v>
      </c>
    </row>
    <row r="14087" spans="1:8" ht="25.05" customHeight="1" x14ac:dyDescent="0.25">
      <c r="A14087" s="2" t="s">
        <v>8</v>
      </c>
      <c r="B14087" s="2" t="str">
        <f>HYPERLINK("http://ts.21cn.com/tousu/show/id/1345635","滴滴客服恶意骚扰")</f>
        <v>滴滴客服恶意骚扰</v>
      </c>
      <c r="C14087" s="2" t="s">
        <v>9</v>
      </c>
      <c r="D14087" s="2" t="s">
        <v>10</v>
      </c>
      <c r="E14087" s="2" t="str">
        <f>HYPERLINK("http://ts.21cn.com/tousu/show/id/1345635","http://ts.21cn.com/tousu/show/id/1345635")</f>
        <v>http://ts.21cn.com/tousu/show/id/1345635</v>
      </c>
      <c r="F14087" s="2" t="s">
        <v>11</v>
      </c>
      <c r="G14087" s="2" t="s">
        <v>16462</v>
      </c>
      <c r="H14087" s="2" t="s">
        <v>16463</v>
      </c>
    </row>
    <row r="14088" spans="1:8" ht="25.05" customHeight="1" x14ac:dyDescent="0.25">
      <c r="A14088" s="2" t="s">
        <v>8</v>
      </c>
      <c r="B14088" s="2" t="str">
        <f>HYPERLINK("http://ts.21cn.com/tousu/show/id/1345636","米米罐吓人的征信报告费")</f>
        <v>米米罐吓人的征信报告费</v>
      </c>
      <c r="C14088" s="2" t="s">
        <v>9</v>
      </c>
      <c r="D14088" s="2" t="s">
        <v>10</v>
      </c>
      <c r="E14088" s="2" t="str">
        <f>HYPERLINK("http://ts.21cn.com/tousu/show/id/1345636","http://ts.21cn.com/tousu/show/id/1345636")</f>
        <v>http://ts.21cn.com/tousu/show/id/1345636</v>
      </c>
      <c r="F14088" s="2" t="s">
        <v>11</v>
      </c>
      <c r="G14088" s="2" t="s">
        <v>16460</v>
      </c>
      <c r="H14088" s="2" t="s">
        <v>16461</v>
      </c>
    </row>
    <row r="14089" spans="1:8" ht="25.05" customHeight="1" x14ac:dyDescent="0.25">
      <c r="A14089" s="2" t="s">
        <v>8</v>
      </c>
      <c r="B14089" s="2" t="str">
        <f>HYPERLINK("http://ts.21cn.com/tousu/show/id/1345576","无理由扣钱")</f>
        <v>无理由扣钱</v>
      </c>
      <c r="C14089" s="2" t="s">
        <v>9</v>
      </c>
      <c r="D14089" s="2" t="s">
        <v>10</v>
      </c>
      <c r="E14089" s="2" t="str">
        <f>HYPERLINK("http://ts.21cn.com/tousu/show/id/1345576","http://ts.21cn.com/tousu/show/id/1345576")</f>
        <v>http://ts.21cn.com/tousu/show/id/1345576</v>
      </c>
      <c r="F14089" s="2" t="s">
        <v>11</v>
      </c>
      <c r="G14089" s="2" t="s">
        <v>16458</v>
      </c>
      <c r="H14089" s="2" t="s">
        <v>16459</v>
      </c>
    </row>
    <row r="14090" spans="1:8" ht="25.05" customHeight="1" x14ac:dyDescent="0.25">
      <c r="A14090" s="2" t="s">
        <v>8</v>
      </c>
      <c r="B14090" s="2" t="str">
        <f>HYPERLINK("http://ts.21cn.com/tousu/show/id/1345637","响水交警车载移动测速隐藏在草木中测速，请求撤销违章记录")</f>
        <v>响水交警车载移动测速隐藏在草木中测速，请求撤销违章记录</v>
      </c>
      <c r="C14090" s="2" t="s">
        <v>9</v>
      </c>
      <c r="D14090" s="2" t="s">
        <v>10</v>
      </c>
      <c r="E14090" s="2" t="str">
        <f>HYPERLINK("http://ts.21cn.com/tousu/show/id/1345637","http://ts.21cn.com/tousu/show/id/1345637")</f>
        <v>http://ts.21cn.com/tousu/show/id/1345637</v>
      </c>
      <c r="F14090" s="2" t="s">
        <v>11</v>
      </c>
      <c r="G14090" s="2" t="s">
        <v>16456</v>
      </c>
      <c r="H14090" s="2" t="s">
        <v>16457</v>
      </c>
    </row>
    <row r="14091" spans="1:8" ht="25.05" customHeight="1" x14ac:dyDescent="0.25">
      <c r="A14091" s="2" t="s">
        <v>8</v>
      </c>
      <c r="B14091" s="2" t="str">
        <f>HYPERLINK("http://ts.21cn.com/tousu/show/id/1345639","点荣金融高利贷催收侮辱骚扰")</f>
        <v>点荣金融高利贷催收侮辱骚扰</v>
      </c>
      <c r="C14091" s="2" t="s">
        <v>9</v>
      </c>
      <c r="D14091" s="2" t="s">
        <v>10</v>
      </c>
      <c r="E14091" s="2" t="str">
        <f>HYPERLINK("http://ts.21cn.com/tousu/show/id/1345639","http://ts.21cn.com/tousu/show/id/1345639")</f>
        <v>http://ts.21cn.com/tousu/show/id/1345639</v>
      </c>
      <c r="F14091" s="2" t="s">
        <v>11</v>
      </c>
      <c r="G14091" s="2" t="s">
        <v>16454</v>
      </c>
      <c r="H14091" s="2" t="s">
        <v>16455</v>
      </c>
    </row>
    <row r="14092" spans="1:8" ht="25.05" customHeight="1" x14ac:dyDescent="0.25">
      <c r="A14092" s="2" t="s">
        <v>8</v>
      </c>
      <c r="B14092" s="2" t="str">
        <f>HYPERLINK("http://ts.21cn.com/tousu/show/id/1345640","京东涉嫌欺诈，价保30天却因赠品不给保价")</f>
        <v>京东涉嫌欺诈，价保30天却因赠品不给保价</v>
      </c>
      <c r="C14092" s="2" t="s">
        <v>9</v>
      </c>
      <c r="D14092" s="2" t="s">
        <v>10</v>
      </c>
      <c r="E14092" s="2" t="str">
        <f>HYPERLINK("http://ts.21cn.com/tousu/show/id/1345640","http://ts.21cn.com/tousu/show/id/1345640")</f>
        <v>http://ts.21cn.com/tousu/show/id/1345640</v>
      </c>
      <c r="F14092" s="2" t="s">
        <v>11</v>
      </c>
      <c r="G14092" s="2" t="s">
        <v>16452</v>
      </c>
      <c r="H14092" s="2" t="s">
        <v>16453</v>
      </c>
    </row>
    <row r="14093" spans="1:8" ht="25.05" customHeight="1" x14ac:dyDescent="0.25">
      <c r="A14093" s="2" t="s">
        <v>8</v>
      </c>
      <c r="B14093" s="2" t="str">
        <f>HYPERLINK("http://ts.21cn.com/tousu/show/id/1345641","网贷，高利贷，立借")</f>
        <v>网贷，高利贷，立借</v>
      </c>
      <c r="C14093" s="2" t="s">
        <v>9</v>
      </c>
      <c r="D14093" s="2" t="s">
        <v>10</v>
      </c>
      <c r="E14093" s="2" t="str">
        <f>HYPERLINK("http://ts.21cn.com/tousu/show/id/1345641","http://ts.21cn.com/tousu/show/id/1345641")</f>
        <v>http://ts.21cn.com/tousu/show/id/1345641</v>
      </c>
      <c r="F14093" s="2" t="s">
        <v>11</v>
      </c>
      <c r="G14093" s="2" t="s">
        <v>16450</v>
      </c>
      <c r="H14093" s="2" t="s">
        <v>16451</v>
      </c>
    </row>
    <row r="14094" spans="1:8" ht="25.05" customHeight="1" x14ac:dyDescent="0.25">
      <c r="A14094" s="2" t="s">
        <v>8</v>
      </c>
      <c r="B14094" s="2" t="str">
        <f>HYPERLINK("http://ts.21cn.com/tousu/show/id/1345642","在美团预订酒店，商家告诉我已经取消订单可以退款，但是美团表明商家不同意并不退款")</f>
        <v>在美团预订酒店，商家告诉我已经取消订单可以退款，但是美团表明商家不同意并不退款</v>
      </c>
      <c r="C14094" s="2" t="s">
        <v>9</v>
      </c>
      <c r="D14094" s="2" t="s">
        <v>10</v>
      </c>
      <c r="E14094" s="2" t="str">
        <f>HYPERLINK("http://ts.21cn.com/tousu/show/id/1345642","http://ts.21cn.com/tousu/show/id/1345642")</f>
        <v>http://ts.21cn.com/tousu/show/id/1345642</v>
      </c>
      <c r="F14094" s="2" t="s">
        <v>11</v>
      </c>
      <c r="G14094" s="2" t="s">
        <v>16448</v>
      </c>
      <c r="H14094" s="2" t="s">
        <v>16449</v>
      </c>
    </row>
    <row r="14095" spans="1:8" ht="25.05" customHeight="1" x14ac:dyDescent="0.25">
      <c r="A14095" s="2" t="s">
        <v>8</v>
      </c>
      <c r="B14095" s="2" t="str">
        <f>HYPERLINK("http://ts.21cn.com/tousu/show/id/1345643","滴滴出行凌驾于规则之上不顾司机利益，出什么口碑值，导致司机接不到单子")</f>
        <v>滴滴出行凌驾于规则之上不顾司机利益，出什么口碑值，导致司机接不到单子</v>
      </c>
      <c r="C14095" s="2" t="s">
        <v>9</v>
      </c>
      <c r="D14095" s="2" t="s">
        <v>10</v>
      </c>
      <c r="E14095" s="2" t="str">
        <f>HYPERLINK("http://ts.21cn.com/tousu/show/id/1345643","http://ts.21cn.com/tousu/show/id/1345643")</f>
        <v>http://ts.21cn.com/tousu/show/id/1345643</v>
      </c>
      <c r="F14095" s="2" t="s">
        <v>11</v>
      </c>
      <c r="G14095" s="2" t="s">
        <v>16446</v>
      </c>
      <c r="H14095" s="2" t="s">
        <v>16447</v>
      </c>
    </row>
    <row r="14096" spans="1:8" ht="25.05" customHeight="1" x14ac:dyDescent="0.25">
      <c r="A14096" s="2" t="s">
        <v>8</v>
      </c>
      <c r="B14096" s="2" t="str">
        <f>HYPERLINK("http://ts.21cn.com/tousu/show/id/1345622","苏宁先行赔付一直不处理")</f>
        <v>苏宁先行赔付一直不处理</v>
      </c>
      <c r="C14096" s="2" t="s">
        <v>34</v>
      </c>
      <c r="D14096" s="2" t="s">
        <v>10</v>
      </c>
      <c r="E14096" s="2" t="str">
        <f>HYPERLINK("http://ts.21cn.com/tousu/show/id/1345622","http://ts.21cn.com/tousu/show/id/1345622")</f>
        <v>http://ts.21cn.com/tousu/show/id/1345622</v>
      </c>
      <c r="F14096" s="2" t="s">
        <v>11</v>
      </c>
      <c r="G14096" s="2" t="s">
        <v>16443</v>
      </c>
      <c r="H14096" s="2" t="s">
        <v>16444</v>
      </c>
    </row>
    <row r="14097" spans="1:8" ht="25.05" customHeight="1" x14ac:dyDescent="0.25">
      <c r="A14097" s="2" t="s">
        <v>8</v>
      </c>
      <c r="B14097" s="2" t="str">
        <f>HYPERLINK("http://ts.21cn.com/tousu/show/id/1345445","恶意收不正当费用")</f>
        <v>恶意收不正当费用</v>
      </c>
      <c r="C14097" s="2" t="s">
        <v>9</v>
      </c>
      <c r="D14097" s="2" t="s">
        <v>10</v>
      </c>
      <c r="E14097" s="2" t="str">
        <f>HYPERLINK("http://ts.21cn.com/tousu/show/id/1345445","http://ts.21cn.com/tousu/show/id/1345445")</f>
        <v>http://ts.21cn.com/tousu/show/id/1345445</v>
      </c>
      <c r="F14097" s="2" t="s">
        <v>11</v>
      </c>
      <c r="G14097" s="2" t="s">
        <v>16443</v>
      </c>
      <c r="H14097" s="2" t="s">
        <v>16445</v>
      </c>
    </row>
    <row r="14098" spans="1:8" ht="25.05" customHeight="1" x14ac:dyDescent="0.25">
      <c r="A14098" s="2" t="s">
        <v>8</v>
      </c>
      <c r="B14098" s="2" t="str">
        <f>HYPERLINK("http://ts.21cn.com/tousu/show/id/1345644","支付宝聚合支付为高炮架桥")</f>
        <v>支付宝聚合支付为高炮架桥</v>
      </c>
      <c r="C14098" s="2" t="s">
        <v>9</v>
      </c>
      <c r="D14098" s="2" t="s">
        <v>10</v>
      </c>
      <c r="E14098" s="2" t="str">
        <f>HYPERLINK("http://ts.21cn.com/tousu/show/id/1345644","http://ts.21cn.com/tousu/show/id/1345644")</f>
        <v>http://ts.21cn.com/tousu/show/id/1345644</v>
      </c>
      <c r="F14098" s="2" t="s">
        <v>11</v>
      </c>
      <c r="G14098" s="2" t="s">
        <v>16441</v>
      </c>
      <c r="H14098" s="2" t="s">
        <v>16442</v>
      </c>
    </row>
    <row r="14099" spans="1:8" ht="25.05" customHeight="1" x14ac:dyDescent="0.25">
      <c r="A14099" s="2" t="s">
        <v>8</v>
      </c>
      <c r="B14099" s="2" t="str">
        <f>HYPERLINK("http://ts.21cn.com/tousu/show/id/1345645","天津金城银行乱扣钱")</f>
        <v>天津金城银行乱扣钱</v>
      </c>
      <c r="C14099" s="2" t="s">
        <v>9</v>
      </c>
      <c r="D14099" s="2" t="s">
        <v>10</v>
      </c>
      <c r="E14099" s="2" t="str">
        <f>HYPERLINK("http://ts.21cn.com/tousu/show/id/1345645","http://ts.21cn.com/tousu/show/id/1345645")</f>
        <v>http://ts.21cn.com/tousu/show/id/1345645</v>
      </c>
      <c r="F14099" s="2" t="s">
        <v>11</v>
      </c>
      <c r="G14099" s="2" t="s">
        <v>16439</v>
      </c>
      <c r="H14099" s="2" t="s">
        <v>16440</v>
      </c>
    </row>
    <row r="14100" spans="1:8" ht="25.05" customHeight="1" x14ac:dyDescent="0.25">
      <c r="A14100" s="2" t="s">
        <v>8</v>
      </c>
      <c r="B14100" s="2" t="str">
        <f>HYPERLINK("http://ts.21cn.com/tousu/show/id/1345646","传化支付物流公司还我血汗钱")</f>
        <v>传化支付物流公司还我血汗钱</v>
      </c>
      <c r="C14100" s="2" t="s">
        <v>9</v>
      </c>
      <c r="D14100" s="2" t="s">
        <v>10</v>
      </c>
      <c r="E14100" s="2" t="str">
        <f>HYPERLINK("http://ts.21cn.com/tousu/show/id/1345646","http://ts.21cn.com/tousu/show/id/1345646")</f>
        <v>http://ts.21cn.com/tousu/show/id/1345646</v>
      </c>
      <c r="F14100" s="2" t="s">
        <v>11</v>
      </c>
      <c r="G14100" s="2" t="s">
        <v>16437</v>
      </c>
      <c r="H14100" s="2" t="s">
        <v>16438</v>
      </c>
    </row>
    <row r="14101" spans="1:8" ht="25.05" customHeight="1" x14ac:dyDescent="0.25">
      <c r="A14101" s="2" t="s">
        <v>8</v>
      </c>
      <c r="B14101" s="2" t="str">
        <f>HYPERLINK("http://ts.21cn.com/tousu/show/id/1345648","滴滴平台不核实情况扣服务分与成交量！")</f>
        <v>滴滴平台不核实情况扣服务分与成交量！</v>
      </c>
      <c r="C14101" s="2" t="s">
        <v>9</v>
      </c>
      <c r="D14101" s="2" t="s">
        <v>10</v>
      </c>
      <c r="E14101" s="2" t="str">
        <f>HYPERLINK("http://ts.21cn.com/tousu/show/id/1345648","http://ts.21cn.com/tousu/show/id/1345648")</f>
        <v>http://ts.21cn.com/tousu/show/id/1345648</v>
      </c>
      <c r="F14101" s="2" t="s">
        <v>11</v>
      </c>
      <c r="G14101" s="2" t="s">
        <v>16435</v>
      </c>
      <c r="H14101" s="2" t="s">
        <v>16436</v>
      </c>
    </row>
    <row r="14102" spans="1:8" ht="25.05" customHeight="1" x14ac:dyDescent="0.25">
      <c r="A14102" s="2" t="s">
        <v>8</v>
      </c>
      <c r="B14102" s="2" t="str">
        <f>HYPERLINK("http://ts.21cn.com/tousu/show/id/1345647","群发通讯录，恐吓威胁。")</f>
        <v>群发通讯录，恐吓威胁。</v>
      </c>
      <c r="C14102" s="2" t="s">
        <v>9</v>
      </c>
      <c r="D14102" s="2" t="s">
        <v>10</v>
      </c>
      <c r="E14102" s="2" t="str">
        <f>HYPERLINK("http://ts.21cn.com/tousu/show/id/1345647","http://ts.21cn.com/tousu/show/id/1345647")</f>
        <v>http://ts.21cn.com/tousu/show/id/1345647</v>
      </c>
      <c r="F14102" s="2" t="s">
        <v>11</v>
      </c>
      <c r="G14102" s="2" t="s">
        <v>16433</v>
      </c>
      <c r="H14102" s="2" t="s">
        <v>16434</v>
      </c>
    </row>
    <row r="14103" spans="1:8" ht="25.05" customHeight="1" x14ac:dyDescent="0.25">
      <c r="A14103" s="2" t="s">
        <v>8</v>
      </c>
      <c r="B14103" s="2" t="str">
        <f>HYPERLINK("http://ts.21cn.com/tousu/show/id/1345649","玖富万卡退款")</f>
        <v>玖富万卡退款</v>
      </c>
      <c r="C14103" s="2" t="s">
        <v>9</v>
      </c>
      <c r="D14103" s="2" t="s">
        <v>10</v>
      </c>
      <c r="E14103" s="2" t="str">
        <f>HYPERLINK("http://ts.21cn.com/tousu/show/id/1345649","http://ts.21cn.com/tousu/show/id/1345649")</f>
        <v>http://ts.21cn.com/tousu/show/id/1345649</v>
      </c>
      <c r="F14103" s="2" t="s">
        <v>11</v>
      </c>
      <c r="G14103" s="2" t="s">
        <v>16431</v>
      </c>
      <c r="H14103" s="2" t="s">
        <v>16432</v>
      </c>
    </row>
    <row r="14104" spans="1:8" ht="25.05" customHeight="1" x14ac:dyDescent="0.25">
      <c r="A14104" s="2" t="s">
        <v>8</v>
      </c>
      <c r="B14104" s="2" t="str">
        <f>HYPERLINK("http://ts.21cn.com/tousu/show/id/1345651","富有支付，为714借款平台提供支付服务")</f>
        <v>富有支付，为714借款平台提供支付服务</v>
      </c>
      <c r="C14104" s="2" t="s">
        <v>9</v>
      </c>
      <c r="D14104" s="2" t="s">
        <v>10</v>
      </c>
      <c r="E14104" s="2" t="str">
        <f>HYPERLINK("http://ts.21cn.com/tousu/show/id/1345651","http://ts.21cn.com/tousu/show/id/1345651")</f>
        <v>http://ts.21cn.com/tousu/show/id/1345651</v>
      </c>
      <c r="F14104" s="2" t="s">
        <v>11</v>
      </c>
      <c r="G14104" s="2" t="s">
        <v>16429</v>
      </c>
      <c r="H14104" s="2" t="s">
        <v>16430</v>
      </c>
    </row>
    <row r="14105" spans="1:8" ht="25.05" customHeight="1" x14ac:dyDescent="0.25">
      <c r="A14105" s="2" t="s">
        <v>8</v>
      </c>
      <c r="B14105" s="2" t="str">
        <f>HYPERLINK("http://ts.21cn.com/tousu/show/id/1345650","度小满有钱花给朋友发送虚假信息，败坏本人名声")</f>
        <v>度小满有钱花给朋友发送虚假信息，败坏本人名声</v>
      </c>
      <c r="C14105" s="2" t="s">
        <v>9</v>
      </c>
      <c r="D14105" s="2" t="s">
        <v>10</v>
      </c>
      <c r="E14105" s="2" t="str">
        <f>HYPERLINK("http://ts.21cn.com/tousu/show/id/1345650","http://ts.21cn.com/tousu/show/id/1345650")</f>
        <v>http://ts.21cn.com/tousu/show/id/1345650</v>
      </c>
      <c r="F14105" s="2" t="s">
        <v>11</v>
      </c>
      <c r="G14105" s="2" t="s">
        <v>16427</v>
      </c>
      <c r="H14105" s="2" t="s">
        <v>16428</v>
      </c>
    </row>
    <row r="14106" spans="1:8" ht="25.05" customHeight="1" x14ac:dyDescent="0.25">
      <c r="A14106" s="2" t="s">
        <v>8</v>
      </c>
      <c r="B14106" s="2" t="str">
        <f>HYPERLINK("http://ts.21cn.com/tousu/show/id/1345653","滴滴出行吧我的出行分和级别扣成0")</f>
        <v>滴滴出行吧我的出行分和级别扣成0</v>
      </c>
      <c r="C14106" s="2" t="s">
        <v>34</v>
      </c>
      <c r="D14106" s="2" t="s">
        <v>10</v>
      </c>
      <c r="E14106" s="2" t="str">
        <f>HYPERLINK("http://ts.21cn.com/tousu/show/id/1345653","http://ts.21cn.com/tousu/show/id/1345653")</f>
        <v>http://ts.21cn.com/tousu/show/id/1345653</v>
      </c>
      <c r="F14106" s="2" t="s">
        <v>11</v>
      </c>
      <c r="G14106" s="2" t="s">
        <v>16425</v>
      </c>
      <c r="H14106" s="2" t="s">
        <v>16426</v>
      </c>
    </row>
    <row r="14107" spans="1:8" ht="25.05" customHeight="1" x14ac:dyDescent="0.25">
      <c r="A14107" s="2" t="s">
        <v>8</v>
      </c>
      <c r="B14107" s="2" t="str">
        <f>HYPERLINK("http://ts.21cn.com/tousu/show/id/1345654","钱站高利贷阴阳合同")</f>
        <v>钱站高利贷阴阳合同</v>
      </c>
      <c r="C14107" s="2" t="s">
        <v>9</v>
      </c>
      <c r="D14107" s="2" t="s">
        <v>10</v>
      </c>
      <c r="E14107" s="2" t="str">
        <f>HYPERLINK("http://ts.21cn.com/tousu/show/id/1345654","http://ts.21cn.com/tousu/show/id/1345654")</f>
        <v>http://ts.21cn.com/tousu/show/id/1345654</v>
      </c>
      <c r="F14107" s="2" t="s">
        <v>11</v>
      </c>
      <c r="G14107" s="2" t="s">
        <v>16423</v>
      </c>
      <c r="H14107" s="2" t="s">
        <v>16424</v>
      </c>
    </row>
    <row r="14108" spans="1:8" ht="25.05" customHeight="1" x14ac:dyDescent="0.25">
      <c r="A14108" s="2" t="s">
        <v>8</v>
      </c>
      <c r="B14108" s="2" t="str">
        <f>HYPERLINK("http://ts.21cn.com/tousu/show/id/1345655","友信金融")</f>
        <v>友信金融</v>
      </c>
      <c r="C14108" s="2" t="s">
        <v>9</v>
      </c>
      <c r="D14108" s="2" t="s">
        <v>10</v>
      </c>
      <c r="E14108" s="2" t="str">
        <f>HYPERLINK("http://ts.21cn.com/tousu/show/id/1345655","http://ts.21cn.com/tousu/show/id/1345655")</f>
        <v>http://ts.21cn.com/tousu/show/id/1345655</v>
      </c>
      <c r="F14108" s="2" t="s">
        <v>11</v>
      </c>
      <c r="G14108" s="2" t="s">
        <v>16421</v>
      </c>
      <c r="H14108" s="2" t="s">
        <v>16422</v>
      </c>
    </row>
    <row r="14109" spans="1:8" ht="25.05" customHeight="1" x14ac:dyDescent="0.25">
      <c r="A14109" s="2" t="s">
        <v>8</v>
      </c>
      <c r="B14109" s="2" t="str">
        <f>HYPERLINK("http://ts.21cn.com/tousu/show/id/1345656","芸学教育中途二次收费，拒绝退还我的钱")</f>
        <v>芸学教育中途二次收费，拒绝退还我的钱</v>
      </c>
      <c r="C14109" s="2" t="s">
        <v>9</v>
      </c>
      <c r="D14109" s="2" t="s">
        <v>10</v>
      </c>
      <c r="E14109" s="2" t="str">
        <f>HYPERLINK("http://ts.21cn.com/tousu/show/id/1345656","http://ts.21cn.com/tousu/show/id/1345656")</f>
        <v>http://ts.21cn.com/tousu/show/id/1345656</v>
      </c>
      <c r="F14109" s="2" t="s">
        <v>11</v>
      </c>
      <c r="G14109" s="2" t="s">
        <v>16419</v>
      </c>
      <c r="H14109" s="2" t="s">
        <v>16420</v>
      </c>
    </row>
    <row r="14110" spans="1:8" ht="25.05" customHeight="1" x14ac:dyDescent="0.25">
      <c r="A14110" s="2" t="s">
        <v>8</v>
      </c>
      <c r="B14110" s="2" t="str">
        <f>HYPERLINK("http://ts.21cn.com/tousu/show/id/1345657","投诉捷信")</f>
        <v>投诉捷信</v>
      </c>
      <c r="C14110" s="2" t="s">
        <v>9</v>
      </c>
      <c r="D14110" s="2" t="s">
        <v>10</v>
      </c>
      <c r="E14110" s="2" t="str">
        <f>HYPERLINK("http://ts.21cn.com/tousu/show/id/1345657","http://ts.21cn.com/tousu/show/id/1345657")</f>
        <v>http://ts.21cn.com/tousu/show/id/1345657</v>
      </c>
      <c r="F14110" s="2" t="s">
        <v>11</v>
      </c>
      <c r="G14110" s="2" t="s">
        <v>16417</v>
      </c>
      <c r="H14110" s="2" t="s">
        <v>16418</v>
      </c>
    </row>
    <row r="14111" spans="1:8" ht="25.05" customHeight="1" x14ac:dyDescent="0.25">
      <c r="A14111" s="2" t="s">
        <v>8</v>
      </c>
      <c r="B14111" s="2" t="str">
        <f>HYPERLINK("http://ts.21cn.com/tousu/show/id/1345658","顺丰小哥违规操作私自签收导致我损失惨重")</f>
        <v>顺丰小哥违规操作私自签收导致我损失惨重</v>
      </c>
      <c r="C14111" s="2" t="s">
        <v>9</v>
      </c>
      <c r="D14111" s="2" t="s">
        <v>10</v>
      </c>
      <c r="E14111" s="2" t="str">
        <f>HYPERLINK("http://ts.21cn.com/tousu/show/id/1345658","http://ts.21cn.com/tousu/show/id/1345658")</f>
        <v>http://ts.21cn.com/tousu/show/id/1345658</v>
      </c>
      <c r="F14111" s="2" t="s">
        <v>11</v>
      </c>
      <c r="G14111" s="2" t="s">
        <v>16415</v>
      </c>
      <c r="H14111" s="2" t="s">
        <v>16416</v>
      </c>
    </row>
    <row r="14112" spans="1:8" ht="25.05" customHeight="1" x14ac:dyDescent="0.25">
      <c r="A14112" s="2" t="s">
        <v>8</v>
      </c>
      <c r="B14112" s="2" t="str">
        <f>HYPERLINK("http://ts.21cn.com/tousu/show/id/1345659","宝付支付为违规高利贷平台提供支付服务")</f>
        <v>宝付支付为违规高利贷平台提供支付服务</v>
      </c>
      <c r="C14112" s="2" t="s">
        <v>9</v>
      </c>
      <c r="D14112" s="2" t="s">
        <v>10</v>
      </c>
      <c r="E14112" s="2" t="str">
        <f>HYPERLINK("http://ts.21cn.com/tousu/show/id/1345659","http://ts.21cn.com/tousu/show/id/1345659")</f>
        <v>http://ts.21cn.com/tousu/show/id/1345659</v>
      </c>
      <c r="F14112" s="2" t="s">
        <v>11</v>
      </c>
      <c r="G14112" s="2" t="s">
        <v>16413</v>
      </c>
      <c r="H14112" s="2" t="s">
        <v>16414</v>
      </c>
    </row>
    <row r="14113" spans="1:8" ht="25.05" customHeight="1" x14ac:dyDescent="0.25">
      <c r="A14113" s="2" t="s">
        <v>8</v>
      </c>
      <c r="B14113" s="2" t="str">
        <f>HYPERLINK("http://ts.21cn.com/tousu/show/id/1345660","服务态度，人生攻击")</f>
        <v>服务态度，人生攻击</v>
      </c>
      <c r="C14113" s="2" t="s">
        <v>9</v>
      </c>
      <c r="D14113" s="2" t="s">
        <v>10</v>
      </c>
      <c r="E14113" s="2" t="str">
        <f>HYPERLINK("http://ts.21cn.com/tousu/show/id/1345660","http://ts.21cn.com/tousu/show/id/1345660")</f>
        <v>http://ts.21cn.com/tousu/show/id/1345660</v>
      </c>
      <c r="F14113" s="2" t="s">
        <v>11</v>
      </c>
      <c r="G14113" s="2" t="s">
        <v>16411</v>
      </c>
      <c r="H14113" s="2" t="s">
        <v>16412</v>
      </c>
    </row>
    <row r="14114" spans="1:8" ht="25.05" customHeight="1" x14ac:dyDescent="0.25">
      <c r="A14114" s="2" t="s">
        <v>8</v>
      </c>
      <c r="B14114" s="2" t="str">
        <f>HYPERLINK("http://ts.21cn.com/tousu/show/id/1345661","小赢卡贷与众安保险狼狈为奸，捆绑消费，且年利率超过36")</f>
        <v>小赢卡贷与众安保险狼狈为奸，捆绑消费，且年利率超过36</v>
      </c>
      <c r="C14114" s="2" t="s">
        <v>9</v>
      </c>
      <c r="D14114" s="2" t="s">
        <v>10</v>
      </c>
      <c r="E14114" s="2" t="str">
        <f>HYPERLINK("http://ts.21cn.com/tousu/show/id/1345661","http://ts.21cn.com/tousu/show/id/1345661")</f>
        <v>http://ts.21cn.com/tousu/show/id/1345661</v>
      </c>
      <c r="F14114" s="2" t="s">
        <v>11</v>
      </c>
      <c r="G14114" s="2" t="s">
        <v>16409</v>
      </c>
      <c r="H14114" s="2" t="s">
        <v>16410</v>
      </c>
    </row>
    <row r="14115" spans="1:8" ht="25.05" customHeight="1" x14ac:dyDescent="0.25">
      <c r="A14115" s="2" t="s">
        <v>8</v>
      </c>
      <c r="B14115" s="2" t="str">
        <f>HYPERLINK("http://ts.21cn.com/tousu/show/id/1345662","12306退款未到本人账户")</f>
        <v>12306退款未到本人账户</v>
      </c>
      <c r="C14115" s="2" t="s">
        <v>9</v>
      </c>
      <c r="D14115" s="2" t="s">
        <v>10</v>
      </c>
      <c r="E14115" s="2" t="str">
        <f>HYPERLINK("http://ts.21cn.com/tousu/show/id/1345662","http://ts.21cn.com/tousu/show/id/1345662")</f>
        <v>http://ts.21cn.com/tousu/show/id/1345662</v>
      </c>
      <c r="F14115" s="2" t="s">
        <v>11</v>
      </c>
      <c r="G14115" s="2" t="s">
        <v>16407</v>
      </c>
      <c r="H14115" s="2" t="s">
        <v>16408</v>
      </c>
    </row>
    <row r="14116" spans="1:8" ht="25.05" customHeight="1" x14ac:dyDescent="0.25">
      <c r="A14116" s="2" t="s">
        <v>8</v>
      </c>
      <c r="B14116" s="2" t="str">
        <f>HYPERLINK("http://ts.21cn.com/tousu/show/id/1345664","平安普惠就是套路贷！高利贷！")</f>
        <v>平安普惠就是套路贷！高利贷！</v>
      </c>
      <c r="C14116" s="2" t="s">
        <v>9</v>
      </c>
      <c r="D14116" s="2" t="s">
        <v>10</v>
      </c>
      <c r="E14116" s="2" t="str">
        <f>HYPERLINK("http://ts.21cn.com/tousu/show/id/1345664","http://ts.21cn.com/tousu/show/id/1345664")</f>
        <v>http://ts.21cn.com/tousu/show/id/1345664</v>
      </c>
      <c r="F14116" s="2" t="s">
        <v>11</v>
      </c>
      <c r="G14116" s="2" t="s">
        <v>16405</v>
      </c>
      <c r="H14116" s="2" t="s">
        <v>16406</v>
      </c>
    </row>
    <row r="14117" spans="1:8" ht="25.05" customHeight="1" x14ac:dyDescent="0.25">
      <c r="A14117" s="2" t="s">
        <v>8</v>
      </c>
      <c r="B14117" s="2" t="str">
        <f>HYPERLINK("http://ts.21cn.com/tousu/show/id/1345663","雇佣不明身份人士对家人进行骚扰恐吓")</f>
        <v>雇佣不明身份人士对家人进行骚扰恐吓</v>
      </c>
      <c r="C14117" s="2" t="s">
        <v>9</v>
      </c>
      <c r="D14117" s="2" t="s">
        <v>10</v>
      </c>
      <c r="E14117" s="2" t="str">
        <f>HYPERLINK("http://ts.21cn.com/tousu/show/id/1345663","http://ts.21cn.com/tousu/show/id/1345663")</f>
        <v>http://ts.21cn.com/tousu/show/id/1345663</v>
      </c>
      <c r="F14117" s="2" t="s">
        <v>11</v>
      </c>
      <c r="G14117" s="2" t="s">
        <v>16403</v>
      </c>
      <c r="H14117" s="2" t="s">
        <v>16404</v>
      </c>
    </row>
    <row r="14118" spans="1:8" ht="25.05" customHeight="1" x14ac:dyDescent="0.25">
      <c r="A14118" s="2" t="s">
        <v>8</v>
      </c>
      <c r="B14118" s="2" t="str">
        <f>HYPERLINK("http://ts.21cn.com/tousu/show/id/1345665","暴力催收威胁恐吓")</f>
        <v>暴力催收威胁恐吓</v>
      </c>
      <c r="C14118" s="2" t="s">
        <v>9</v>
      </c>
      <c r="D14118" s="2" t="s">
        <v>10</v>
      </c>
      <c r="E14118" s="2" t="str">
        <f>HYPERLINK("http://ts.21cn.com/tousu/show/id/1345665","http://ts.21cn.com/tousu/show/id/1345665")</f>
        <v>http://ts.21cn.com/tousu/show/id/1345665</v>
      </c>
      <c r="F14118" s="2" t="s">
        <v>11</v>
      </c>
      <c r="G14118" s="2" t="s">
        <v>16401</v>
      </c>
      <c r="H14118" s="2" t="s">
        <v>16402</v>
      </c>
    </row>
    <row r="14119" spans="1:8" ht="25.05" customHeight="1" x14ac:dyDescent="0.25">
      <c r="A14119" s="2" t="s">
        <v>8</v>
      </c>
      <c r="B14119" s="2" t="str">
        <f>HYPERLINK("http://ts.21cn.com/tousu/show/id/1345666","套路贷，高利贷，暴力催收")</f>
        <v>套路贷，高利贷，暴力催收</v>
      </c>
      <c r="C14119" s="2" t="s">
        <v>9</v>
      </c>
      <c r="D14119" s="2" t="s">
        <v>10</v>
      </c>
      <c r="E14119" s="2" t="str">
        <f>HYPERLINK("http://ts.21cn.com/tousu/show/id/1345666","http://ts.21cn.com/tousu/show/id/1345666")</f>
        <v>http://ts.21cn.com/tousu/show/id/1345666</v>
      </c>
      <c r="F14119" s="2" t="s">
        <v>11</v>
      </c>
      <c r="G14119" s="2" t="s">
        <v>16399</v>
      </c>
      <c r="H14119" s="2" t="s">
        <v>16400</v>
      </c>
    </row>
    <row r="14120" spans="1:8" ht="25.05" customHeight="1" x14ac:dyDescent="0.25">
      <c r="A14120" s="2" t="s">
        <v>8</v>
      </c>
      <c r="B14120" s="2" t="str">
        <f>HYPERLINK("http://ts.21cn.com/tousu/show/id/1345669","没有逾期，还款当天电话短信骚扰威胁")</f>
        <v>没有逾期，还款当天电话短信骚扰威胁</v>
      </c>
      <c r="C14120" s="2" t="s">
        <v>9</v>
      </c>
      <c r="D14120" s="2" t="s">
        <v>10</v>
      </c>
      <c r="E14120" s="2" t="str">
        <f>HYPERLINK("http://ts.21cn.com/tousu/show/id/1345669","http://ts.21cn.com/tousu/show/id/1345669")</f>
        <v>http://ts.21cn.com/tousu/show/id/1345669</v>
      </c>
      <c r="F14120" s="2" t="s">
        <v>11</v>
      </c>
      <c r="G14120" s="2" t="s">
        <v>16397</v>
      </c>
      <c r="H14120" s="2" t="s">
        <v>16398</v>
      </c>
    </row>
    <row r="14121" spans="1:8" ht="25.05" customHeight="1" x14ac:dyDescent="0.25">
      <c r="A14121" s="2" t="s">
        <v>8</v>
      </c>
      <c r="B14121" s="2" t="str">
        <f>HYPERLINK("http://ts.21cn.com/tousu/show/id/1345671","电话骚扰，给家人造成了麻烦")</f>
        <v>电话骚扰，给家人造成了麻烦</v>
      </c>
      <c r="C14121" s="2" t="s">
        <v>34</v>
      </c>
      <c r="D14121" s="2" t="s">
        <v>10</v>
      </c>
      <c r="E14121" s="2" t="str">
        <f>HYPERLINK("http://ts.21cn.com/tousu/show/id/1345671","http://ts.21cn.com/tousu/show/id/1345671")</f>
        <v>http://ts.21cn.com/tousu/show/id/1345671</v>
      </c>
      <c r="F14121" s="2" t="s">
        <v>11</v>
      </c>
      <c r="G14121" s="2" t="s">
        <v>16395</v>
      </c>
      <c r="H14121" s="2" t="s">
        <v>16396</v>
      </c>
    </row>
    <row r="14122" spans="1:8" ht="25.05" customHeight="1" x14ac:dyDescent="0.25">
      <c r="A14122" s="2" t="s">
        <v>8</v>
      </c>
      <c r="B14122" s="2" t="str">
        <f>HYPERLINK("http://ts.21cn.com/tousu/show/id/1345672","停止骚扰")</f>
        <v>停止骚扰</v>
      </c>
      <c r="C14122" s="2" t="s">
        <v>9</v>
      </c>
      <c r="D14122" s="2" t="s">
        <v>10</v>
      </c>
      <c r="E14122" s="2" t="str">
        <f>HYPERLINK("http://ts.21cn.com/tousu/show/id/1345672","http://ts.21cn.com/tousu/show/id/1345672")</f>
        <v>http://ts.21cn.com/tousu/show/id/1345672</v>
      </c>
      <c r="F14122" s="2" t="s">
        <v>11</v>
      </c>
      <c r="G14122" s="2" t="s">
        <v>16393</v>
      </c>
      <c r="H14122" s="2" t="s">
        <v>16394</v>
      </c>
    </row>
    <row r="14123" spans="1:8" ht="25.05" customHeight="1" x14ac:dyDescent="0.25">
      <c r="A14123" s="2" t="s">
        <v>8</v>
      </c>
      <c r="B14123" s="2" t="str">
        <f>HYPERLINK("http://ts.21cn.com/tousu/show/id/1345673","钱站高利贷阴阳合同")</f>
        <v>钱站高利贷阴阳合同</v>
      </c>
      <c r="C14123" s="2" t="s">
        <v>9</v>
      </c>
      <c r="D14123" s="2" t="s">
        <v>10</v>
      </c>
      <c r="E14123" s="2" t="str">
        <f>HYPERLINK("http://ts.21cn.com/tousu/show/id/1345673","http://ts.21cn.com/tousu/show/id/1345673")</f>
        <v>http://ts.21cn.com/tousu/show/id/1345673</v>
      </c>
      <c r="F14123" s="2" t="s">
        <v>11</v>
      </c>
      <c r="G14123" s="2" t="s">
        <v>16391</v>
      </c>
      <c r="H14123" s="2" t="s">
        <v>16392</v>
      </c>
    </row>
    <row r="14124" spans="1:8" ht="25.05" customHeight="1" x14ac:dyDescent="0.25">
      <c r="A14124" s="2" t="s">
        <v>8</v>
      </c>
      <c r="B14124" s="2" t="str">
        <f>HYPERLINK("http://ts.21cn.com/tousu/show/id/1345674","不是本人操作")</f>
        <v>不是本人操作</v>
      </c>
      <c r="C14124" s="2" t="s">
        <v>9</v>
      </c>
      <c r="D14124" s="2" t="s">
        <v>10</v>
      </c>
      <c r="E14124" s="2" t="str">
        <f>HYPERLINK("http://ts.21cn.com/tousu/show/id/1345674","http://ts.21cn.com/tousu/show/id/1345674")</f>
        <v>http://ts.21cn.com/tousu/show/id/1345674</v>
      </c>
      <c r="F14124" s="2" t="s">
        <v>11</v>
      </c>
      <c r="G14124" s="2" t="s">
        <v>16389</v>
      </c>
      <c r="H14124" s="2" t="s">
        <v>16390</v>
      </c>
    </row>
    <row r="14125" spans="1:8" ht="25.05" customHeight="1" x14ac:dyDescent="0.25">
      <c r="A14125" s="2" t="s">
        <v>8</v>
      </c>
      <c r="B14125" s="2" t="str">
        <f>HYPERLINK("http://ts.21cn.com/tousu/show/id/1345638","拍拍贷违规爆通信录，伪造条款金额群发通信录进行恐吓")</f>
        <v>拍拍贷违规爆通信录，伪造条款金额群发通信录进行恐吓</v>
      </c>
      <c r="C14125" s="2" t="s">
        <v>9</v>
      </c>
      <c r="D14125" s="2" t="s">
        <v>10</v>
      </c>
      <c r="E14125" s="2" t="str">
        <f>HYPERLINK("http://ts.21cn.com/tousu/show/id/1345638","http://ts.21cn.com/tousu/show/id/1345638")</f>
        <v>http://ts.21cn.com/tousu/show/id/1345638</v>
      </c>
      <c r="F14125" s="2" t="s">
        <v>11</v>
      </c>
      <c r="G14125" s="2" t="s">
        <v>16387</v>
      </c>
      <c r="H14125" s="2" t="s">
        <v>16388</v>
      </c>
    </row>
    <row r="14126" spans="1:8" ht="25.05" customHeight="1" x14ac:dyDescent="0.25">
      <c r="A14126" s="2" t="s">
        <v>8</v>
      </c>
      <c r="B14126" s="2" t="str">
        <f>HYPERLINK("http://ts.21cn.com/tousu/show/id/1345675","要求拼多多平台解除对我店铺的误判导流恢复我店铺正常运转")</f>
        <v>要求拼多多平台解除对我店铺的误判导流恢复我店铺正常运转</v>
      </c>
      <c r="C14126" s="2" t="s">
        <v>9</v>
      </c>
      <c r="D14126" s="2" t="s">
        <v>10</v>
      </c>
      <c r="E14126" s="2" t="str">
        <f>HYPERLINK("http://ts.21cn.com/tousu/show/id/1345675","http://ts.21cn.com/tousu/show/id/1345675")</f>
        <v>http://ts.21cn.com/tousu/show/id/1345675</v>
      </c>
      <c r="F14126" s="2" t="s">
        <v>11</v>
      </c>
      <c r="G14126" s="2" t="s">
        <v>16385</v>
      </c>
      <c r="H14126" s="2" t="s">
        <v>16386</v>
      </c>
    </row>
    <row r="14127" spans="1:8" ht="25.05" customHeight="1" x14ac:dyDescent="0.25">
      <c r="A14127" s="2" t="s">
        <v>8</v>
      </c>
      <c r="B14127" s="2" t="str">
        <f>HYPERLINK("http://ts.21cn.com/tousu/show/id/1345676","平安普惠贷款隐瞒隐藏并强制收取高额保险费管理费投诉事宜")</f>
        <v>平安普惠贷款隐瞒隐藏并强制收取高额保险费管理费投诉事宜</v>
      </c>
      <c r="C14127" s="2" t="s">
        <v>9</v>
      </c>
      <c r="D14127" s="2" t="s">
        <v>10</v>
      </c>
      <c r="E14127" s="2" t="str">
        <f>HYPERLINK("http://ts.21cn.com/tousu/show/id/1345676","http://ts.21cn.com/tousu/show/id/1345676")</f>
        <v>http://ts.21cn.com/tousu/show/id/1345676</v>
      </c>
      <c r="F14127" s="2" t="s">
        <v>11</v>
      </c>
      <c r="G14127" s="2" t="s">
        <v>16383</v>
      </c>
      <c r="H14127" s="2" t="s">
        <v>16384</v>
      </c>
    </row>
    <row r="14128" spans="1:8" ht="25.05" customHeight="1" x14ac:dyDescent="0.25">
      <c r="A14128" s="2" t="s">
        <v>8</v>
      </c>
      <c r="B14128" s="2" t="str">
        <f>HYPERLINK("http://ts.21cn.com/tousu/show/id/1345677","夸大宣传效果")</f>
        <v>夸大宣传效果</v>
      </c>
      <c r="C14128" s="2" t="s">
        <v>9</v>
      </c>
      <c r="D14128" s="2" t="s">
        <v>10</v>
      </c>
      <c r="E14128" s="2" t="str">
        <f>HYPERLINK("http://ts.21cn.com/tousu/show/id/1345677","http://ts.21cn.com/tousu/show/id/1345677")</f>
        <v>http://ts.21cn.com/tousu/show/id/1345677</v>
      </c>
      <c r="F14128" s="2" t="s">
        <v>11</v>
      </c>
      <c r="G14128" s="2" t="s">
        <v>16380</v>
      </c>
      <c r="H14128" s="2" t="s">
        <v>16381</v>
      </c>
    </row>
    <row r="14129" spans="1:8" ht="25.05" customHeight="1" x14ac:dyDescent="0.25">
      <c r="A14129" s="2" t="s">
        <v>8</v>
      </c>
      <c r="B14129" s="2" t="str">
        <f>HYPERLINK("http://ts.21cn.com/tousu/show/id/1345678","滴滴拼车霸王条款跟报价严重不符")</f>
        <v>滴滴拼车霸王条款跟报价严重不符</v>
      </c>
      <c r="C14129" s="2" t="s">
        <v>9</v>
      </c>
      <c r="D14129" s="2" t="s">
        <v>10</v>
      </c>
      <c r="E14129" s="2" t="str">
        <f>HYPERLINK("http://ts.21cn.com/tousu/show/id/1345678","http://ts.21cn.com/tousu/show/id/1345678")</f>
        <v>http://ts.21cn.com/tousu/show/id/1345678</v>
      </c>
      <c r="F14129" s="2" t="s">
        <v>11</v>
      </c>
      <c r="G14129" s="2" t="s">
        <v>16380</v>
      </c>
      <c r="H14129" s="2" t="s">
        <v>16382</v>
      </c>
    </row>
    <row r="14130" spans="1:8" ht="25.05" customHeight="1" x14ac:dyDescent="0.25">
      <c r="A14130" s="2" t="s">
        <v>8</v>
      </c>
      <c r="B14130" s="2" t="str">
        <f>HYPERLINK("http://ts.21cn.com/tousu/show/id/1345679","宜人贷借款利息过高，收取咨询服务费")</f>
        <v>宜人贷借款利息过高，收取咨询服务费</v>
      </c>
      <c r="C14130" s="2" t="s">
        <v>34</v>
      </c>
      <c r="D14130" s="2" t="s">
        <v>10</v>
      </c>
      <c r="E14130" s="2" t="str">
        <f>HYPERLINK("http://ts.21cn.com/tousu/show/id/1345679","http://ts.21cn.com/tousu/show/id/1345679")</f>
        <v>http://ts.21cn.com/tousu/show/id/1345679</v>
      </c>
      <c r="F14130" s="2" t="s">
        <v>11</v>
      </c>
      <c r="G14130" s="2" t="s">
        <v>16378</v>
      </c>
      <c r="H14130" s="2" t="s">
        <v>16379</v>
      </c>
    </row>
    <row r="14131" spans="1:8" ht="25.05" customHeight="1" x14ac:dyDescent="0.25">
      <c r="A14131" s="2" t="s">
        <v>8</v>
      </c>
      <c r="B14131" s="2" t="str">
        <f>HYPERLINK("http://ts.21cn.com/tousu/show/id/1345680","取消借款合同，并停止这种不透明的高利贷行为。")</f>
        <v>取消借款合同，并停止这种不透明的高利贷行为。</v>
      </c>
      <c r="C14131" s="2" t="s">
        <v>9</v>
      </c>
      <c r="D14131" s="2" t="s">
        <v>10</v>
      </c>
      <c r="E14131" s="2" t="str">
        <f>HYPERLINK("http://ts.21cn.com/tousu/show/id/1345680","http://ts.21cn.com/tousu/show/id/1345680")</f>
        <v>http://ts.21cn.com/tousu/show/id/1345680</v>
      </c>
      <c r="F14131" s="2" t="s">
        <v>11</v>
      </c>
      <c r="G14131" s="2" t="s">
        <v>16376</v>
      </c>
      <c r="H14131" s="2" t="s">
        <v>16377</v>
      </c>
    </row>
    <row r="14132" spans="1:8" ht="25.05" customHeight="1" x14ac:dyDescent="0.25">
      <c r="A14132" s="2" t="s">
        <v>8</v>
      </c>
      <c r="B14132" s="2" t="str">
        <f>HYPERLINK("http://ts.21cn.com/tousu/show/id/1345682","来分期高利贷推脱")</f>
        <v>来分期高利贷推脱</v>
      </c>
      <c r="C14132" s="2" t="s">
        <v>9</v>
      </c>
      <c r="D14132" s="2" t="s">
        <v>10</v>
      </c>
      <c r="E14132" s="2" t="str">
        <f>HYPERLINK("http://ts.21cn.com/tousu/show/id/1345682","http://ts.21cn.com/tousu/show/id/1345682")</f>
        <v>http://ts.21cn.com/tousu/show/id/1345682</v>
      </c>
      <c r="F14132" s="2" t="s">
        <v>11</v>
      </c>
      <c r="G14132" s="2" t="s">
        <v>16373</v>
      </c>
      <c r="H14132" s="2" t="s">
        <v>16374</v>
      </c>
    </row>
    <row r="14133" spans="1:8" ht="25.05" customHeight="1" x14ac:dyDescent="0.25">
      <c r="A14133" s="2" t="s">
        <v>8</v>
      </c>
      <c r="B14133" s="2" t="str">
        <f>HYPERLINK("http://ts.21cn.com/tousu/show/id/1345681","暴力催收，电话短信骚扰恐吓家人朋友")</f>
        <v>暴力催收，电话短信骚扰恐吓家人朋友</v>
      </c>
      <c r="C14133" s="2" t="s">
        <v>9</v>
      </c>
      <c r="D14133" s="2" t="s">
        <v>10</v>
      </c>
      <c r="E14133" s="2" t="str">
        <f>HYPERLINK("http://ts.21cn.com/tousu/show/id/1345681","http://ts.21cn.com/tousu/show/id/1345681")</f>
        <v>http://ts.21cn.com/tousu/show/id/1345681</v>
      </c>
      <c r="F14133" s="2" t="s">
        <v>11</v>
      </c>
      <c r="G14133" s="2" t="s">
        <v>16373</v>
      </c>
      <c r="H14133" s="2" t="s">
        <v>16375</v>
      </c>
    </row>
    <row r="14134" spans="1:8" ht="25.05" customHeight="1" x14ac:dyDescent="0.25">
      <c r="A14134" s="2" t="s">
        <v>8</v>
      </c>
      <c r="B14134" s="2" t="str">
        <f>HYPERLINK("http://ts.21cn.com/tousu/show/id/1345683","聚富分期恶意扣款")</f>
        <v>聚富分期恶意扣款</v>
      </c>
      <c r="C14134" s="2" t="s">
        <v>9</v>
      </c>
      <c r="D14134" s="2" t="s">
        <v>10</v>
      </c>
      <c r="E14134" s="2" t="str">
        <f>HYPERLINK("http://ts.21cn.com/tousu/show/id/1345683","http://ts.21cn.com/tousu/show/id/1345683")</f>
        <v>http://ts.21cn.com/tousu/show/id/1345683</v>
      </c>
      <c r="F14134" s="2" t="s">
        <v>11</v>
      </c>
      <c r="G14134" s="2" t="s">
        <v>16371</v>
      </c>
      <c r="H14134" s="2" t="s">
        <v>16372</v>
      </c>
    </row>
    <row r="14135" spans="1:8" ht="25.05" customHeight="1" x14ac:dyDescent="0.25">
      <c r="A14135" s="2" t="s">
        <v>8</v>
      </c>
      <c r="B14135" s="2" t="str">
        <f>HYPERLINK("http://ts.21cn.com/tousu/show/id/1345684","立借贷款催收人员威胁借款人")</f>
        <v>立借贷款催收人员威胁借款人</v>
      </c>
      <c r="C14135" s="2" t="s">
        <v>9</v>
      </c>
      <c r="D14135" s="2" t="s">
        <v>10</v>
      </c>
      <c r="E14135" s="2" t="str">
        <f>HYPERLINK("http://ts.21cn.com/tousu/show/id/1345684","http://ts.21cn.com/tousu/show/id/1345684")</f>
        <v>http://ts.21cn.com/tousu/show/id/1345684</v>
      </c>
      <c r="F14135" s="2" t="s">
        <v>11</v>
      </c>
      <c r="G14135" s="2" t="s">
        <v>16369</v>
      </c>
      <c r="H14135" s="2" t="s">
        <v>16370</v>
      </c>
    </row>
    <row r="14136" spans="1:8" ht="25.05" customHeight="1" x14ac:dyDescent="0.25">
      <c r="A14136" s="2" t="s">
        <v>8</v>
      </c>
      <c r="B14136" s="2" t="str">
        <f>HYPERLINK("http://ts.21cn.com/tousu/show/id/1345668","光大银行信用卡不与协商")</f>
        <v>光大银行信用卡不与协商</v>
      </c>
      <c r="C14136" s="2" t="s">
        <v>9</v>
      </c>
      <c r="D14136" s="2" t="s">
        <v>10</v>
      </c>
      <c r="E14136" s="2" t="str">
        <f>HYPERLINK("http://ts.21cn.com/tousu/show/id/1345668","http://ts.21cn.com/tousu/show/id/1345668")</f>
        <v>http://ts.21cn.com/tousu/show/id/1345668</v>
      </c>
      <c r="F14136" s="2" t="s">
        <v>11</v>
      </c>
      <c r="G14136" s="2" t="s">
        <v>16367</v>
      </c>
      <c r="H14136" s="2" t="s">
        <v>16368</v>
      </c>
    </row>
    <row r="14137" spans="1:8" ht="25.05" customHeight="1" x14ac:dyDescent="0.25">
      <c r="A14137" s="2" t="s">
        <v>8</v>
      </c>
      <c r="B14137" s="2" t="str">
        <f>HYPERLINK("http://ts.21cn.com/tousu/show/id/1345685","高额利息实在无法偿还")</f>
        <v>高额利息实在无法偿还</v>
      </c>
      <c r="C14137" s="2" t="s">
        <v>9</v>
      </c>
      <c r="D14137" s="2" t="s">
        <v>10</v>
      </c>
      <c r="E14137" s="2" t="str">
        <f>HYPERLINK("http://ts.21cn.com/tousu/show/id/1345685","http://ts.21cn.com/tousu/show/id/1345685")</f>
        <v>http://ts.21cn.com/tousu/show/id/1345685</v>
      </c>
      <c r="F14137" s="2" t="s">
        <v>11</v>
      </c>
      <c r="G14137" s="2" t="s">
        <v>16365</v>
      </c>
      <c r="H14137" s="2" t="s">
        <v>16366</v>
      </c>
    </row>
    <row r="14138" spans="1:8" ht="25.05" customHeight="1" x14ac:dyDescent="0.25">
      <c r="A14138" s="2" t="s">
        <v>8</v>
      </c>
      <c r="B14138" s="2" t="str">
        <f>HYPERLINK("http://ts.21cn.com/tousu/show/id/1345686","聚师网")</f>
        <v>聚师网</v>
      </c>
      <c r="C14138" s="2" t="s">
        <v>9</v>
      </c>
      <c r="D14138" s="2" t="s">
        <v>10</v>
      </c>
      <c r="E14138" s="2" t="str">
        <f>HYPERLINK("http://ts.21cn.com/tousu/show/id/1345686","http://ts.21cn.com/tousu/show/id/1345686")</f>
        <v>http://ts.21cn.com/tousu/show/id/1345686</v>
      </c>
      <c r="F14138" s="2" t="s">
        <v>11</v>
      </c>
      <c r="G14138" s="2" t="s">
        <v>16363</v>
      </c>
      <c r="H14138" s="2" t="s">
        <v>16364</v>
      </c>
    </row>
    <row r="14139" spans="1:8" ht="25.05" customHeight="1" x14ac:dyDescent="0.25">
      <c r="A14139" s="2" t="s">
        <v>8</v>
      </c>
      <c r="B14139" s="2" t="str">
        <f>HYPERLINK("http://ts.21cn.com/tousu/show/id/1345689","多宝分期超高利息不符国家规定")</f>
        <v>多宝分期超高利息不符国家规定</v>
      </c>
      <c r="C14139" s="2" t="s">
        <v>34</v>
      </c>
      <c r="D14139" s="2" t="s">
        <v>10</v>
      </c>
      <c r="E14139" s="2" t="str">
        <f>HYPERLINK("http://ts.21cn.com/tousu/show/id/1345689","http://ts.21cn.com/tousu/show/id/1345689")</f>
        <v>http://ts.21cn.com/tousu/show/id/1345689</v>
      </c>
      <c r="F14139" s="2" t="s">
        <v>11</v>
      </c>
      <c r="G14139" s="2" t="s">
        <v>16361</v>
      </c>
      <c r="H14139" s="2" t="s">
        <v>16362</v>
      </c>
    </row>
    <row r="14140" spans="1:8" ht="25.05" customHeight="1" x14ac:dyDescent="0.25">
      <c r="A14140" s="2" t="s">
        <v>8</v>
      </c>
      <c r="B14140" s="2" t="str">
        <f>HYPERLINK("http://ts.21cn.com/tousu/show/id/1345691","网上借贷变相砍头息")</f>
        <v>网上借贷变相砍头息</v>
      </c>
      <c r="C14140" s="2" t="s">
        <v>9</v>
      </c>
      <c r="D14140" s="2" t="s">
        <v>10</v>
      </c>
      <c r="E14140" s="2" t="str">
        <f>HYPERLINK("http://ts.21cn.com/tousu/show/id/1345691","http://ts.21cn.com/tousu/show/id/1345691")</f>
        <v>http://ts.21cn.com/tousu/show/id/1345691</v>
      </c>
      <c r="F14140" s="2" t="s">
        <v>11</v>
      </c>
      <c r="G14140" s="2" t="s">
        <v>16359</v>
      </c>
      <c r="H14140" s="2" t="s">
        <v>16360</v>
      </c>
    </row>
    <row r="14141" spans="1:8" ht="25.05" customHeight="1" x14ac:dyDescent="0.25">
      <c r="A14141" s="2" t="s">
        <v>8</v>
      </c>
      <c r="B14141" s="2" t="str">
        <f>HYPERLINK("http://ts.21cn.com/tousu/show/id/1345692","闲鱼客圈钱跑路")</f>
        <v>闲鱼客圈钱跑路</v>
      </c>
      <c r="C14141" s="2" t="s">
        <v>9</v>
      </c>
      <c r="D14141" s="2" t="s">
        <v>10</v>
      </c>
      <c r="E14141" s="2" t="str">
        <f>HYPERLINK("http://ts.21cn.com/tousu/show/id/1345692","http://ts.21cn.com/tousu/show/id/1345692")</f>
        <v>http://ts.21cn.com/tousu/show/id/1345692</v>
      </c>
      <c r="F14141" s="2" t="s">
        <v>11</v>
      </c>
      <c r="G14141" s="2" t="s">
        <v>16357</v>
      </c>
      <c r="H14141" s="2" t="s">
        <v>16358</v>
      </c>
    </row>
    <row r="14142" spans="1:8" ht="25.05" customHeight="1" x14ac:dyDescent="0.25">
      <c r="A14142" s="2" t="s">
        <v>8</v>
      </c>
      <c r="B14142" s="2" t="str">
        <f>HYPERLINK("http://ts.21cn.com/tousu/show/id/1345693","老板欠薪不给，还把宿舍门锁了，物品全部在里面。")</f>
        <v>老板欠薪不给，还把宿舍门锁了，物品全部在里面。</v>
      </c>
      <c r="C14142" s="2" t="s">
        <v>9</v>
      </c>
      <c r="D14142" s="2" t="s">
        <v>10</v>
      </c>
      <c r="E14142" s="2" t="str">
        <f>HYPERLINK("http://ts.21cn.com/tousu/show/id/1345693","http://ts.21cn.com/tousu/show/id/1345693")</f>
        <v>http://ts.21cn.com/tousu/show/id/1345693</v>
      </c>
      <c r="F14142" s="2" t="s">
        <v>11</v>
      </c>
      <c r="G14142" s="2" t="s">
        <v>16355</v>
      </c>
      <c r="H14142" s="2" t="s">
        <v>16356</v>
      </c>
    </row>
    <row r="14143" spans="1:8" ht="25.05" customHeight="1" x14ac:dyDescent="0.25">
      <c r="A14143" s="2" t="s">
        <v>8</v>
      </c>
      <c r="B14143" s="2" t="str">
        <f>HYPERLINK("http://ts.21cn.com/tousu/show/id/1345695","快卡闪贷砍头息高利贷")</f>
        <v>快卡闪贷砍头息高利贷</v>
      </c>
      <c r="C14143" s="2" t="s">
        <v>9</v>
      </c>
      <c r="D14143" s="2" t="s">
        <v>10</v>
      </c>
      <c r="E14143" s="2" t="str">
        <f>HYPERLINK("http://ts.21cn.com/tousu/show/id/1345695","http://ts.21cn.com/tousu/show/id/1345695")</f>
        <v>http://ts.21cn.com/tousu/show/id/1345695</v>
      </c>
      <c r="F14143" s="2" t="s">
        <v>11</v>
      </c>
      <c r="G14143" s="2" t="s">
        <v>16353</v>
      </c>
      <c r="H14143" s="2" t="s">
        <v>16354</v>
      </c>
    </row>
    <row r="14144" spans="1:8" ht="25.05" customHeight="1" x14ac:dyDescent="0.25">
      <c r="A14144" s="2" t="s">
        <v>8</v>
      </c>
      <c r="B14144" s="2" t="str">
        <f>HYPERLINK("http://ts.21cn.com/tousu/show/id/1345696","放高利贷")</f>
        <v>放高利贷</v>
      </c>
      <c r="C14144" s="2" t="s">
        <v>9</v>
      </c>
      <c r="D14144" s="2" t="s">
        <v>10</v>
      </c>
      <c r="E14144" s="2" t="str">
        <f>HYPERLINK("http://ts.21cn.com/tousu/show/id/1345696","http://ts.21cn.com/tousu/show/id/1345696")</f>
        <v>http://ts.21cn.com/tousu/show/id/1345696</v>
      </c>
      <c r="F14144" s="2" t="s">
        <v>11</v>
      </c>
      <c r="G14144" s="2" t="s">
        <v>16351</v>
      </c>
      <c r="H14144" s="2" t="s">
        <v>16352</v>
      </c>
    </row>
    <row r="14145" spans="1:8" ht="25.05" customHeight="1" x14ac:dyDescent="0.25">
      <c r="A14145" s="2" t="s">
        <v>8</v>
      </c>
      <c r="B14145" s="2" t="str">
        <f>HYPERLINK("http://ts.21cn.com/tousu/show/id/1345694","新橙优品")</f>
        <v>新橙优品</v>
      </c>
      <c r="C14145" s="2" t="s">
        <v>34</v>
      </c>
      <c r="D14145" s="2" t="s">
        <v>10</v>
      </c>
      <c r="E14145" s="2" t="str">
        <f>HYPERLINK("http://ts.21cn.com/tousu/show/id/1345694","http://ts.21cn.com/tousu/show/id/1345694")</f>
        <v>http://ts.21cn.com/tousu/show/id/1345694</v>
      </c>
      <c r="F14145" s="2" t="s">
        <v>11</v>
      </c>
      <c r="G14145" s="2" t="s">
        <v>16349</v>
      </c>
      <c r="H14145" s="2" t="s">
        <v>16350</v>
      </c>
    </row>
    <row r="14146" spans="1:8" ht="25.05" customHeight="1" x14ac:dyDescent="0.25">
      <c r="A14146" s="2" t="s">
        <v>8</v>
      </c>
      <c r="B14146" s="2" t="str">
        <f>HYPERLINK("http://ts.21cn.com/tousu/show/id/1345697","通联支付，小通商城未经本人确认私自扣款，客服打不进去！")</f>
        <v>通联支付，小通商城未经本人确认私自扣款，客服打不进去！</v>
      </c>
      <c r="C14146" s="2" t="s">
        <v>9</v>
      </c>
      <c r="D14146" s="2" t="s">
        <v>10</v>
      </c>
      <c r="E14146" s="2" t="str">
        <f>HYPERLINK("http://ts.21cn.com/tousu/show/id/1345697","http://ts.21cn.com/tousu/show/id/1345697")</f>
        <v>http://ts.21cn.com/tousu/show/id/1345697</v>
      </c>
      <c r="F14146" s="2" t="s">
        <v>11</v>
      </c>
      <c r="G14146" s="2" t="s">
        <v>16347</v>
      </c>
      <c r="H14146" s="2" t="s">
        <v>16348</v>
      </c>
    </row>
    <row r="14147" spans="1:8" ht="25.05" customHeight="1" x14ac:dyDescent="0.25">
      <c r="A14147" s="2" t="s">
        <v>8</v>
      </c>
      <c r="B14147" s="2" t="str">
        <f>HYPERLINK("http://ts.21cn.com/tousu/show/id/1345698","给时间延期还款")</f>
        <v>给时间延期还款</v>
      </c>
      <c r="C14147" s="2" t="s">
        <v>34</v>
      </c>
      <c r="D14147" s="2" t="s">
        <v>10</v>
      </c>
      <c r="E14147" s="2" t="str">
        <f>HYPERLINK("http://ts.21cn.com/tousu/show/id/1345698","http://ts.21cn.com/tousu/show/id/1345698")</f>
        <v>http://ts.21cn.com/tousu/show/id/1345698</v>
      </c>
      <c r="F14147" s="2" t="s">
        <v>11</v>
      </c>
      <c r="G14147" s="2" t="s">
        <v>16345</v>
      </c>
      <c r="H14147" s="2" t="s">
        <v>16346</v>
      </c>
    </row>
    <row r="14148" spans="1:8" ht="25.05" customHeight="1" x14ac:dyDescent="0.25">
      <c r="A14148" s="2" t="s">
        <v>8</v>
      </c>
      <c r="B14148" s="2" t="str">
        <f>HYPERLINK("http://ts.21cn.com/tousu/show/id/1345699","好易贷套路贷")</f>
        <v>好易贷套路贷</v>
      </c>
      <c r="C14148" s="2" t="s">
        <v>9</v>
      </c>
      <c r="D14148" s="2" t="s">
        <v>10</v>
      </c>
      <c r="E14148" s="2" t="str">
        <f>HYPERLINK("http://ts.21cn.com/tousu/show/id/1345699","http://ts.21cn.com/tousu/show/id/1345699")</f>
        <v>http://ts.21cn.com/tousu/show/id/1345699</v>
      </c>
      <c r="F14148" s="2" t="s">
        <v>11</v>
      </c>
      <c r="G14148" s="2" t="s">
        <v>16343</v>
      </c>
      <c r="H14148" s="2" t="s">
        <v>16344</v>
      </c>
    </row>
    <row r="14149" spans="1:8" ht="25.05" customHeight="1" x14ac:dyDescent="0.25">
      <c r="A14149" s="2" t="s">
        <v>8</v>
      </c>
      <c r="B14149" s="2" t="str">
        <f>HYPERLINK("http://ts.21cn.com/tousu/show/id/1345700","蚂蚁花呗骚扰家人")</f>
        <v>蚂蚁花呗骚扰家人</v>
      </c>
      <c r="C14149" s="2" t="s">
        <v>9</v>
      </c>
      <c r="D14149" s="2" t="s">
        <v>10</v>
      </c>
      <c r="E14149" s="2" t="str">
        <f>HYPERLINK("http://ts.21cn.com/tousu/show/id/1345700","http://ts.21cn.com/tousu/show/id/1345700")</f>
        <v>http://ts.21cn.com/tousu/show/id/1345700</v>
      </c>
      <c r="F14149" s="2" t="s">
        <v>11</v>
      </c>
      <c r="G14149" s="2" t="s">
        <v>16341</v>
      </c>
      <c r="H14149" s="2" t="s">
        <v>16342</v>
      </c>
    </row>
    <row r="14150" spans="1:8" ht="25.05" customHeight="1" x14ac:dyDescent="0.25">
      <c r="A14150" s="2" t="s">
        <v>8</v>
      </c>
      <c r="B14150" s="2" t="str">
        <f>HYPERLINK("http://ts.21cn.com/tousu/show/id/1345702","月饼")</f>
        <v>月饼</v>
      </c>
      <c r="C14150" s="2" t="s">
        <v>34</v>
      </c>
      <c r="D14150" s="2" t="s">
        <v>10</v>
      </c>
      <c r="E14150" s="2" t="str">
        <f>HYPERLINK("http://ts.21cn.com/tousu/show/id/1345702","http://ts.21cn.com/tousu/show/id/1345702")</f>
        <v>http://ts.21cn.com/tousu/show/id/1345702</v>
      </c>
      <c r="F14150" s="2" t="s">
        <v>11</v>
      </c>
      <c r="G14150" s="2" t="s">
        <v>16339</v>
      </c>
      <c r="H14150" s="2" t="s">
        <v>16340</v>
      </c>
    </row>
    <row r="14151" spans="1:8" ht="25.05" customHeight="1" x14ac:dyDescent="0.25">
      <c r="A14151" s="2" t="s">
        <v>8</v>
      </c>
      <c r="B14151" s="2" t="str">
        <f>HYPERLINK("http://ts.21cn.com/tousu/show/id/1345701","东东农场活动多次咨询一直未补发红包")</f>
        <v>东东农场活动多次咨询一直未补发红包</v>
      </c>
      <c r="C14151" s="2" t="s">
        <v>9</v>
      </c>
      <c r="D14151" s="2" t="s">
        <v>10</v>
      </c>
      <c r="E14151" s="2" t="str">
        <f>HYPERLINK("http://ts.21cn.com/tousu/show/id/1345701","http://ts.21cn.com/tousu/show/id/1345701")</f>
        <v>http://ts.21cn.com/tousu/show/id/1345701</v>
      </c>
      <c r="F14151" s="2" t="s">
        <v>11</v>
      </c>
      <c r="G14151" s="2" t="s">
        <v>16337</v>
      </c>
      <c r="H14151" s="2" t="s">
        <v>16338</v>
      </c>
    </row>
    <row r="14152" spans="1:8" ht="25.05" customHeight="1" x14ac:dyDescent="0.25">
      <c r="A14152" s="2" t="s">
        <v>8</v>
      </c>
      <c r="B14152" s="2" t="str">
        <f>HYPERLINK("http://ts.21cn.com/tousu/show/id/1345703","360借条暴力催收")</f>
        <v>360借条暴力催收</v>
      </c>
      <c r="C14152" s="2" t="s">
        <v>9</v>
      </c>
      <c r="D14152" s="2" t="s">
        <v>10</v>
      </c>
      <c r="E14152" s="2" t="str">
        <f>HYPERLINK("http://ts.21cn.com/tousu/show/id/1345703","http://ts.21cn.com/tousu/show/id/1345703")</f>
        <v>http://ts.21cn.com/tousu/show/id/1345703</v>
      </c>
      <c r="F14152" s="2" t="s">
        <v>11</v>
      </c>
      <c r="G14152" s="2" t="s">
        <v>16335</v>
      </c>
      <c r="H14152" s="2" t="s">
        <v>16336</v>
      </c>
    </row>
    <row r="14153" spans="1:8" ht="25.05" customHeight="1" x14ac:dyDescent="0.25">
      <c r="A14153" s="2" t="s">
        <v>8</v>
      </c>
      <c r="B14153" s="2" t="str">
        <f>HYPERLINK("http://ts.21cn.com/tousu/show/id/1345704","拍拍贷丧心病狂式催收致使我全家名誉受损")</f>
        <v>拍拍贷丧心病狂式催收致使我全家名誉受损</v>
      </c>
      <c r="C14153" s="2" t="s">
        <v>9</v>
      </c>
      <c r="D14153" s="2" t="s">
        <v>10</v>
      </c>
      <c r="E14153" s="2" t="str">
        <f>HYPERLINK("http://ts.21cn.com/tousu/show/id/1345704","http://ts.21cn.com/tousu/show/id/1345704")</f>
        <v>http://ts.21cn.com/tousu/show/id/1345704</v>
      </c>
      <c r="F14153" s="2" t="s">
        <v>11</v>
      </c>
      <c r="G14153" s="2" t="s">
        <v>16333</v>
      </c>
      <c r="H14153" s="2" t="s">
        <v>16334</v>
      </c>
    </row>
    <row r="14154" spans="1:8" ht="25.05" customHeight="1" x14ac:dyDescent="0.25">
      <c r="A14154" s="2" t="s">
        <v>8</v>
      </c>
      <c r="B14154" s="2" t="str">
        <f>HYPERLINK("http://ts.21cn.com/tousu/show/id/1345707","玖富万卡高利贷，阴阳合同")</f>
        <v>玖富万卡高利贷，阴阳合同</v>
      </c>
      <c r="C14154" s="2" t="s">
        <v>9</v>
      </c>
      <c r="D14154" s="2" t="s">
        <v>10</v>
      </c>
      <c r="E14154" s="2" t="str">
        <f>HYPERLINK("http://ts.21cn.com/tousu/show/id/1345707","http://ts.21cn.com/tousu/show/id/1345707")</f>
        <v>http://ts.21cn.com/tousu/show/id/1345707</v>
      </c>
      <c r="F14154" s="2" t="s">
        <v>11</v>
      </c>
      <c r="G14154" s="2" t="s">
        <v>16331</v>
      </c>
      <c r="H14154" s="2" t="s">
        <v>16332</v>
      </c>
    </row>
    <row r="14155" spans="1:8" ht="25.05" customHeight="1" x14ac:dyDescent="0.25">
      <c r="A14155" s="2" t="s">
        <v>8</v>
      </c>
      <c r="B14155" s="2" t="str">
        <f>HYPERLINK("http://ts.21cn.com/tousu/show/id/1345705","黑网贷小哪吒平台")</f>
        <v>黑网贷小哪吒平台</v>
      </c>
      <c r="C14155" s="2" t="s">
        <v>9</v>
      </c>
      <c r="D14155" s="2" t="s">
        <v>10</v>
      </c>
      <c r="E14155" s="2" t="str">
        <f>HYPERLINK("http://ts.21cn.com/tousu/show/id/1345705","http://ts.21cn.com/tousu/show/id/1345705")</f>
        <v>http://ts.21cn.com/tousu/show/id/1345705</v>
      </c>
      <c r="F14155" s="2" t="s">
        <v>11</v>
      </c>
      <c r="G14155" s="2" t="s">
        <v>16329</v>
      </c>
      <c r="H14155" s="2" t="s">
        <v>16330</v>
      </c>
    </row>
    <row r="14156" spans="1:8" ht="25.05" customHeight="1" x14ac:dyDescent="0.25">
      <c r="A14156" s="2" t="s">
        <v>8</v>
      </c>
      <c r="B14156" s="2" t="str">
        <f>HYPERLINK("http://ts.21cn.com/tousu/show/id/1345706","凤凰网APP推广棋牌类游戏")</f>
        <v>凤凰网APP推广棋牌类游戏</v>
      </c>
      <c r="C14156" s="2" t="s">
        <v>34</v>
      </c>
      <c r="D14156" s="2" t="s">
        <v>10</v>
      </c>
      <c r="E14156" s="2" t="str">
        <f>HYPERLINK("http://ts.21cn.com/tousu/show/id/1345706","http://ts.21cn.com/tousu/show/id/1345706")</f>
        <v>http://ts.21cn.com/tousu/show/id/1345706</v>
      </c>
      <c r="F14156" s="2" t="s">
        <v>11</v>
      </c>
      <c r="G14156" s="2" t="s">
        <v>16327</v>
      </c>
      <c r="H14156" s="2" t="s">
        <v>16328</v>
      </c>
    </row>
    <row r="14157" spans="1:8" ht="25.05" customHeight="1" x14ac:dyDescent="0.25">
      <c r="A14157" s="2" t="s">
        <v>8</v>
      </c>
      <c r="B14157" s="2" t="str">
        <f>HYPERLINK("http://ts.21cn.com/tousu/show/id/1345709","咸鱼平台猫贩子恶意辱骂")</f>
        <v>咸鱼平台猫贩子恶意辱骂</v>
      </c>
      <c r="C14157" s="2" t="s">
        <v>9</v>
      </c>
      <c r="D14157" s="2" t="s">
        <v>10</v>
      </c>
      <c r="E14157" s="2" t="str">
        <f>HYPERLINK("http://ts.21cn.com/tousu/show/id/1345709","http://ts.21cn.com/tousu/show/id/1345709")</f>
        <v>http://ts.21cn.com/tousu/show/id/1345709</v>
      </c>
      <c r="F14157" s="2" t="s">
        <v>11</v>
      </c>
      <c r="G14157" s="2" t="s">
        <v>16325</v>
      </c>
      <c r="H14157" s="2" t="s">
        <v>16326</v>
      </c>
    </row>
    <row r="14158" spans="1:8" ht="25.05" customHeight="1" x14ac:dyDescent="0.25">
      <c r="A14158" s="2" t="s">
        <v>8</v>
      </c>
      <c r="B14158" s="2" t="str">
        <f>HYPERLINK("http://ts.21cn.com/tousu/show/id/1345708","玖富万卡无法主动还款")</f>
        <v>玖富万卡无法主动还款</v>
      </c>
      <c r="C14158" s="2" t="s">
        <v>34</v>
      </c>
      <c r="D14158" s="2" t="s">
        <v>10</v>
      </c>
      <c r="E14158" s="2" t="str">
        <f>HYPERLINK("http://ts.21cn.com/tousu/show/id/1345708","http://ts.21cn.com/tousu/show/id/1345708")</f>
        <v>http://ts.21cn.com/tousu/show/id/1345708</v>
      </c>
      <c r="F14158" s="2" t="s">
        <v>11</v>
      </c>
      <c r="G14158" s="2" t="s">
        <v>16323</v>
      </c>
      <c r="H14158" s="2" t="s">
        <v>16324</v>
      </c>
    </row>
    <row r="14159" spans="1:8" ht="25.05" customHeight="1" x14ac:dyDescent="0.25">
      <c r="A14159" s="2" t="s">
        <v>8</v>
      </c>
      <c r="B14159" s="2" t="str">
        <f>HYPERLINK("http://ts.21cn.com/tousu/show/id/1345670","非法扣款")</f>
        <v>非法扣款</v>
      </c>
      <c r="C14159" s="2" t="s">
        <v>9</v>
      </c>
      <c r="D14159" s="2" t="s">
        <v>10</v>
      </c>
      <c r="E14159" s="2" t="str">
        <f>HYPERLINK("http://ts.21cn.com/tousu/show/id/1345670","http://ts.21cn.com/tousu/show/id/1345670")</f>
        <v>http://ts.21cn.com/tousu/show/id/1345670</v>
      </c>
      <c r="F14159" s="2" t="s">
        <v>11</v>
      </c>
      <c r="G14159" s="2" t="s">
        <v>16321</v>
      </c>
      <c r="H14159" s="2" t="s">
        <v>16322</v>
      </c>
    </row>
    <row r="14160" spans="1:8" ht="25.05" customHeight="1" x14ac:dyDescent="0.25">
      <c r="A14160" s="2" t="s">
        <v>8</v>
      </c>
      <c r="B14160" s="2" t="str">
        <f>HYPERLINK("http://ts.21cn.com/tousu/show/id/1345712","要求退款")</f>
        <v>要求退款</v>
      </c>
      <c r="C14160" s="2" t="s">
        <v>9</v>
      </c>
      <c r="D14160" s="2" t="s">
        <v>10</v>
      </c>
      <c r="E14160" s="2" t="str">
        <f>HYPERLINK("http://ts.21cn.com/tousu/show/id/1345712","http://ts.21cn.com/tousu/show/id/1345712")</f>
        <v>http://ts.21cn.com/tousu/show/id/1345712</v>
      </c>
      <c r="F14160" s="2" t="s">
        <v>11</v>
      </c>
      <c r="G14160" s="2" t="s">
        <v>16320</v>
      </c>
      <c r="H14160" s="2" t="s">
        <v>11171</v>
      </c>
    </row>
    <row r="14161" spans="1:8" ht="25.05" customHeight="1" x14ac:dyDescent="0.25">
      <c r="A14161" s="2" t="s">
        <v>8</v>
      </c>
      <c r="B14161" s="2" t="str">
        <f>HYPERLINK("http://ts.21cn.com/tousu/show/id/1345713","变向收取高额利息")</f>
        <v>变向收取高额利息</v>
      </c>
      <c r="C14161" s="2" t="s">
        <v>9</v>
      </c>
      <c r="D14161" s="2" t="s">
        <v>10</v>
      </c>
      <c r="E14161" s="2" t="str">
        <f>HYPERLINK("http://ts.21cn.com/tousu/show/id/1345713","http://ts.21cn.com/tousu/show/id/1345713")</f>
        <v>http://ts.21cn.com/tousu/show/id/1345713</v>
      </c>
      <c r="F14161" s="2" t="s">
        <v>11</v>
      </c>
      <c r="G14161" s="2" t="s">
        <v>16318</v>
      </c>
      <c r="H14161" s="2" t="s">
        <v>16319</v>
      </c>
    </row>
    <row r="14162" spans="1:8" ht="25.05" customHeight="1" x14ac:dyDescent="0.25">
      <c r="A14162" s="2" t="s">
        <v>8</v>
      </c>
      <c r="B14162" s="2" t="str">
        <f>HYPERLINK("http://ts.21cn.com/tousu/show/id/1345714","侵犯隐私，散播个人信息")</f>
        <v>侵犯隐私，散播个人信息</v>
      </c>
      <c r="C14162" s="2" t="s">
        <v>9</v>
      </c>
      <c r="D14162" s="2" t="s">
        <v>10</v>
      </c>
      <c r="E14162" s="2" t="str">
        <f>HYPERLINK("http://ts.21cn.com/tousu/show/id/1345714","http://ts.21cn.com/tousu/show/id/1345714")</f>
        <v>http://ts.21cn.com/tousu/show/id/1345714</v>
      </c>
      <c r="F14162" s="2" t="s">
        <v>11</v>
      </c>
      <c r="G14162" s="2" t="s">
        <v>16316</v>
      </c>
      <c r="H14162" s="2" t="s">
        <v>16317</v>
      </c>
    </row>
    <row r="14163" spans="1:8" ht="25.05" customHeight="1" x14ac:dyDescent="0.25">
      <c r="A14163" s="2" t="s">
        <v>8</v>
      </c>
      <c r="B14163" s="2" t="str">
        <f>HYPERLINK("http://ts.21cn.com/tousu/show/id/1345715","捷信金融利息非常不合理")</f>
        <v>捷信金融利息非常不合理</v>
      </c>
      <c r="C14163" s="2" t="s">
        <v>9</v>
      </c>
      <c r="D14163" s="2" t="s">
        <v>10</v>
      </c>
      <c r="E14163" s="2" t="str">
        <f>HYPERLINK("http://ts.21cn.com/tousu/show/id/1345715","http://ts.21cn.com/tousu/show/id/1345715")</f>
        <v>http://ts.21cn.com/tousu/show/id/1345715</v>
      </c>
      <c r="F14163" s="2" t="s">
        <v>11</v>
      </c>
      <c r="G14163" s="2" t="s">
        <v>16314</v>
      </c>
      <c r="H14163" s="2" t="s">
        <v>16315</v>
      </c>
    </row>
    <row r="14164" spans="1:8" ht="25.05" customHeight="1" x14ac:dyDescent="0.25">
      <c r="A14164" s="2" t="s">
        <v>8</v>
      </c>
      <c r="B14164" s="2" t="str">
        <f>HYPERLINK("http://ts.21cn.com/tousu/show/id/1345716","钱橙无忧随意扣费")</f>
        <v>钱橙无忧随意扣费</v>
      </c>
      <c r="C14164" s="2" t="s">
        <v>9</v>
      </c>
      <c r="D14164" s="2" t="s">
        <v>10</v>
      </c>
      <c r="E14164" s="2" t="str">
        <f>HYPERLINK("http://ts.21cn.com/tousu/show/id/1345716","http://ts.21cn.com/tousu/show/id/1345716")</f>
        <v>http://ts.21cn.com/tousu/show/id/1345716</v>
      </c>
      <c r="F14164" s="2" t="s">
        <v>11</v>
      </c>
      <c r="G14164" s="2" t="s">
        <v>16312</v>
      </c>
      <c r="H14164" s="2" t="s">
        <v>16313</v>
      </c>
    </row>
    <row r="14165" spans="1:8" ht="25.05" customHeight="1" x14ac:dyDescent="0.25">
      <c r="A14165" s="2" t="s">
        <v>8</v>
      </c>
      <c r="B14165" s="2" t="str">
        <f>HYPERLINK("http://ts.21cn.com/tousu/show/id/1345717","抖音推广北京友缘在线网络科技股份有限公司的广告，在没本人同意下扣费198元")</f>
        <v>抖音推广北京友缘在线网络科技股份有限公司的广告，在没本人同意下扣费198元</v>
      </c>
      <c r="C14165" s="2" t="s">
        <v>34</v>
      </c>
      <c r="D14165" s="2" t="s">
        <v>10</v>
      </c>
      <c r="E14165" s="2" t="str">
        <f>HYPERLINK("http://ts.21cn.com/tousu/show/id/1345717","http://ts.21cn.com/tousu/show/id/1345717")</f>
        <v>http://ts.21cn.com/tousu/show/id/1345717</v>
      </c>
      <c r="F14165" s="2" t="s">
        <v>11</v>
      </c>
      <c r="G14165" s="2" t="s">
        <v>16310</v>
      </c>
      <c r="H14165" s="2" t="s">
        <v>16311</v>
      </c>
    </row>
    <row r="14166" spans="1:8" ht="25.05" customHeight="1" x14ac:dyDescent="0.25">
      <c r="A14166" s="2" t="s">
        <v>8</v>
      </c>
      <c r="B14166" s="2" t="str">
        <f>HYPERLINK("http://ts.21cn.com/tousu/show/id/1345718","马上消费金融")</f>
        <v>马上消费金融</v>
      </c>
      <c r="C14166" s="2" t="s">
        <v>9</v>
      </c>
      <c r="D14166" s="2" t="s">
        <v>10</v>
      </c>
      <c r="E14166" s="2" t="str">
        <f>HYPERLINK("http://ts.21cn.com/tousu/show/id/1345718","http://ts.21cn.com/tousu/show/id/1345718")</f>
        <v>http://ts.21cn.com/tousu/show/id/1345718</v>
      </c>
      <c r="F14166" s="2" t="s">
        <v>11</v>
      </c>
      <c r="G14166" s="2" t="s">
        <v>16308</v>
      </c>
      <c r="H14166" s="2" t="s">
        <v>16309</v>
      </c>
    </row>
    <row r="14167" spans="1:8" ht="25.05" customHeight="1" x14ac:dyDescent="0.25">
      <c r="A14167" s="2" t="s">
        <v>8</v>
      </c>
      <c r="B14167" s="2" t="str">
        <f>HYPERLINK("http://ts.21cn.com/tousu/show/id/1345719","来分期提前还款还收取手续费而且手续费极高变相高利贷")</f>
        <v>来分期提前还款还收取手续费而且手续费极高变相高利贷</v>
      </c>
      <c r="C14167" s="2" t="s">
        <v>9</v>
      </c>
      <c r="D14167" s="2" t="s">
        <v>10</v>
      </c>
      <c r="E14167" s="2" t="str">
        <f>HYPERLINK("http://ts.21cn.com/tousu/show/id/1345719","http://ts.21cn.com/tousu/show/id/1345719")</f>
        <v>http://ts.21cn.com/tousu/show/id/1345719</v>
      </c>
      <c r="F14167" s="2" t="s">
        <v>11</v>
      </c>
      <c r="G14167" s="2" t="s">
        <v>16306</v>
      </c>
      <c r="H14167" s="2" t="s">
        <v>16307</v>
      </c>
    </row>
    <row r="14168" spans="1:8" ht="25.05" customHeight="1" x14ac:dyDescent="0.25">
      <c r="A14168" s="2" t="s">
        <v>8</v>
      </c>
      <c r="B14168" s="2" t="str">
        <f>HYPERLINK("http://ts.21cn.com/tousu/show/id/1345720","交通银行信用卡")</f>
        <v>交通银行信用卡</v>
      </c>
      <c r="C14168" s="2" t="s">
        <v>9</v>
      </c>
      <c r="D14168" s="2" t="s">
        <v>10</v>
      </c>
      <c r="E14168" s="2" t="str">
        <f>HYPERLINK("http://ts.21cn.com/tousu/show/id/1345720","http://ts.21cn.com/tousu/show/id/1345720")</f>
        <v>http://ts.21cn.com/tousu/show/id/1345720</v>
      </c>
      <c r="F14168" s="2" t="s">
        <v>11</v>
      </c>
      <c r="G14168" s="2" t="s">
        <v>16304</v>
      </c>
      <c r="H14168" s="2" t="s">
        <v>16305</v>
      </c>
    </row>
    <row r="14169" spans="1:8" ht="25.05" customHeight="1" x14ac:dyDescent="0.25">
      <c r="A14169" s="2" t="s">
        <v>8</v>
      </c>
      <c r="B14169" s="2" t="str">
        <f>HYPERLINK("http://ts.21cn.com/tousu/show/id/1345690","马上消费金融协商还款")</f>
        <v>马上消费金融协商还款</v>
      </c>
      <c r="C14169" s="2" t="s">
        <v>34</v>
      </c>
      <c r="D14169" s="2" t="s">
        <v>10</v>
      </c>
      <c r="E14169" s="2" t="str">
        <f>HYPERLINK("http://ts.21cn.com/tousu/show/id/1345690","http://ts.21cn.com/tousu/show/id/1345690")</f>
        <v>http://ts.21cn.com/tousu/show/id/1345690</v>
      </c>
      <c r="F14169" s="2" t="s">
        <v>11</v>
      </c>
      <c r="G14169" s="2" t="s">
        <v>16302</v>
      </c>
      <c r="H14169" s="2" t="s">
        <v>16303</v>
      </c>
    </row>
    <row r="14170" spans="1:8" ht="25.05" customHeight="1" x14ac:dyDescent="0.25">
      <c r="A14170" s="2" t="s">
        <v>8</v>
      </c>
      <c r="B14170" s="2" t="str">
        <f>HYPERLINK("http://ts.21cn.com/tousu/show/id/1345721","快闪卡贷高利贷，高额砍头息")</f>
        <v>快闪卡贷高利贷，高额砍头息</v>
      </c>
      <c r="C14170" s="2" t="s">
        <v>9</v>
      </c>
      <c r="D14170" s="2" t="s">
        <v>10</v>
      </c>
      <c r="E14170" s="2" t="str">
        <f>HYPERLINK("http://ts.21cn.com/tousu/show/id/1345721","http://ts.21cn.com/tousu/show/id/1345721")</f>
        <v>http://ts.21cn.com/tousu/show/id/1345721</v>
      </c>
      <c r="F14170" s="2" t="s">
        <v>11</v>
      </c>
      <c r="G14170" s="2" t="s">
        <v>16300</v>
      </c>
      <c r="H14170" s="2" t="s">
        <v>16301</v>
      </c>
    </row>
    <row r="14171" spans="1:8" ht="25.05" customHeight="1" x14ac:dyDescent="0.25">
      <c r="A14171" s="2" t="s">
        <v>8</v>
      </c>
      <c r="B14171" s="2" t="str">
        <f>HYPERLINK("http://ts.21cn.com/tousu/show/id/1345722","大量用户无法退还立刻出行499元押金")</f>
        <v>大量用户无法退还立刻出行499元押金</v>
      </c>
      <c r="C14171" s="2" t="s">
        <v>34</v>
      </c>
      <c r="D14171" s="2" t="s">
        <v>10</v>
      </c>
      <c r="E14171" s="2" t="str">
        <f>HYPERLINK("http://ts.21cn.com/tousu/show/id/1345722","http://ts.21cn.com/tousu/show/id/1345722")</f>
        <v>http://ts.21cn.com/tousu/show/id/1345722</v>
      </c>
      <c r="F14171" s="2" t="s">
        <v>11</v>
      </c>
      <c r="G14171" s="2" t="s">
        <v>16298</v>
      </c>
      <c r="H14171" s="2" t="s">
        <v>16299</v>
      </c>
    </row>
    <row r="14172" spans="1:8" ht="25.05" customHeight="1" x14ac:dyDescent="0.25">
      <c r="A14172" s="2" t="s">
        <v>8</v>
      </c>
      <c r="B14172" s="2" t="str">
        <f>HYPERLINK("http://ts.21cn.com/tousu/show/id/1345687","韦博英语课程没上完，通知关闭，退款无处寻找")</f>
        <v>韦博英语课程没上完，通知关闭，退款无处寻找</v>
      </c>
      <c r="C14172" s="2" t="s">
        <v>9</v>
      </c>
      <c r="D14172" s="2" t="s">
        <v>10</v>
      </c>
      <c r="E14172" s="2" t="str">
        <f>HYPERLINK("http://ts.21cn.com/tousu/show/id/1345687","http://ts.21cn.com/tousu/show/id/1345687")</f>
        <v>http://ts.21cn.com/tousu/show/id/1345687</v>
      </c>
      <c r="F14172" s="2" t="s">
        <v>11</v>
      </c>
      <c r="G14172" s="2" t="s">
        <v>16296</v>
      </c>
      <c r="H14172" s="2" t="s">
        <v>16297</v>
      </c>
    </row>
    <row r="14173" spans="1:8" ht="25.05" customHeight="1" x14ac:dyDescent="0.25">
      <c r="A14173" s="2" t="s">
        <v>8</v>
      </c>
      <c r="B14173" s="2" t="str">
        <f>HYPERLINK("http://ts.21cn.com/tousu/show/id/1345723","洋钱罐分期不平衡")</f>
        <v>洋钱罐分期不平衡</v>
      </c>
      <c r="C14173" s="2" t="s">
        <v>9</v>
      </c>
      <c r="D14173" s="2" t="s">
        <v>10</v>
      </c>
      <c r="E14173" s="2" t="str">
        <f>HYPERLINK("http://ts.21cn.com/tousu/show/id/1345723","http://ts.21cn.com/tousu/show/id/1345723")</f>
        <v>http://ts.21cn.com/tousu/show/id/1345723</v>
      </c>
      <c r="F14173" s="2" t="s">
        <v>11</v>
      </c>
      <c r="G14173" s="2" t="s">
        <v>16294</v>
      </c>
      <c r="H14173" s="2" t="s">
        <v>16295</v>
      </c>
    </row>
    <row r="14174" spans="1:8" ht="25.05" customHeight="1" x14ac:dyDescent="0.25">
      <c r="A14174" s="2" t="s">
        <v>8</v>
      </c>
      <c r="B14174" s="2" t="str">
        <f>HYPERLINK("http://ts.21cn.com/tousu/show/id/1345724","咪咕动漫未经本人同意也没有任何验证消息私自开通业务")</f>
        <v>咪咕动漫未经本人同意也没有任何验证消息私自开通业务</v>
      </c>
      <c r="C14174" s="2" t="s">
        <v>9</v>
      </c>
      <c r="D14174" s="2" t="s">
        <v>10</v>
      </c>
      <c r="E14174" s="2" t="str">
        <f>HYPERLINK("http://ts.21cn.com/tousu/show/id/1345724","http://ts.21cn.com/tousu/show/id/1345724")</f>
        <v>http://ts.21cn.com/tousu/show/id/1345724</v>
      </c>
      <c r="F14174" s="2" t="s">
        <v>11</v>
      </c>
      <c r="G14174" s="2" t="s">
        <v>16292</v>
      </c>
      <c r="H14174" s="2" t="s">
        <v>16293</v>
      </c>
    </row>
    <row r="14175" spans="1:8" ht="25.05" customHeight="1" x14ac:dyDescent="0.25">
      <c r="A14175" s="2" t="s">
        <v>8</v>
      </c>
      <c r="B14175" s="2" t="str">
        <f>HYPERLINK("http://ts.21cn.com/tousu/show/id/1345725","马上金融过高利息")</f>
        <v>马上金融过高利息</v>
      </c>
      <c r="C14175" s="2" t="s">
        <v>34</v>
      </c>
      <c r="D14175" s="2" t="s">
        <v>10</v>
      </c>
      <c r="E14175" s="2" t="str">
        <f>HYPERLINK("http://ts.21cn.com/tousu/show/id/1345725","http://ts.21cn.com/tousu/show/id/1345725")</f>
        <v>http://ts.21cn.com/tousu/show/id/1345725</v>
      </c>
      <c r="F14175" s="2" t="s">
        <v>11</v>
      </c>
      <c r="G14175" s="2" t="s">
        <v>16290</v>
      </c>
      <c r="H14175" s="2" t="s">
        <v>16291</v>
      </c>
    </row>
    <row r="14176" spans="1:8" ht="25.05" customHeight="1" x14ac:dyDescent="0.25">
      <c r="A14176" s="2" t="s">
        <v>8</v>
      </c>
      <c r="B14176" s="2" t="str">
        <f>HYPERLINK("http://ts.21cn.com/tousu/show/id/1345726","捷信金融可否协商处理")</f>
        <v>捷信金融可否协商处理</v>
      </c>
      <c r="C14176" s="2" t="s">
        <v>34</v>
      </c>
      <c r="D14176" s="2" t="s">
        <v>10</v>
      </c>
      <c r="E14176" s="2" t="str">
        <f>HYPERLINK("http://ts.21cn.com/tousu/show/id/1345726","http://ts.21cn.com/tousu/show/id/1345726")</f>
        <v>http://ts.21cn.com/tousu/show/id/1345726</v>
      </c>
      <c r="F14176" s="2" t="s">
        <v>11</v>
      </c>
      <c r="G14176" s="2" t="s">
        <v>16288</v>
      </c>
      <c r="H14176" s="2" t="s">
        <v>16289</v>
      </c>
    </row>
    <row r="14177" spans="1:8" ht="25.05" customHeight="1" x14ac:dyDescent="0.25">
      <c r="A14177" s="2" t="s">
        <v>8</v>
      </c>
      <c r="B14177" s="2" t="str">
        <f>HYPERLINK("http://ts.21cn.com/tousu/show/id/1345728","借贷宝纵容放高利贷")</f>
        <v>借贷宝纵容放高利贷</v>
      </c>
      <c r="C14177" s="2" t="s">
        <v>9</v>
      </c>
      <c r="D14177" s="2" t="s">
        <v>10</v>
      </c>
      <c r="E14177" s="2" t="str">
        <f>HYPERLINK("http://ts.21cn.com/tousu/show/id/1345728","http://ts.21cn.com/tousu/show/id/1345728")</f>
        <v>http://ts.21cn.com/tousu/show/id/1345728</v>
      </c>
      <c r="F14177" s="2" t="s">
        <v>11</v>
      </c>
      <c r="G14177" s="2" t="s">
        <v>16286</v>
      </c>
      <c r="H14177" s="2" t="s">
        <v>16287</v>
      </c>
    </row>
    <row r="14178" spans="1:8" ht="25.05" customHeight="1" x14ac:dyDescent="0.25">
      <c r="A14178" s="2" t="s">
        <v>8</v>
      </c>
      <c r="B14178" s="2" t="str">
        <f>HYPERLINK("http://ts.21cn.com/tousu/show/id/1345567","买家退回来的商品影响二次销售，我提供证据后，拼多多仍然退款给买家")</f>
        <v>买家退回来的商品影响二次销售，我提供证据后，拼多多仍然退款给买家</v>
      </c>
      <c r="C14178" s="2" t="s">
        <v>9</v>
      </c>
      <c r="D14178" s="2" t="s">
        <v>10</v>
      </c>
      <c r="E14178" s="2" t="str">
        <f>HYPERLINK("http://ts.21cn.com/tousu/show/id/1345567","http://ts.21cn.com/tousu/show/id/1345567")</f>
        <v>http://ts.21cn.com/tousu/show/id/1345567</v>
      </c>
      <c r="F14178" s="2" t="s">
        <v>11</v>
      </c>
      <c r="G14178" s="2" t="s">
        <v>16284</v>
      </c>
      <c r="H14178" s="2" t="s">
        <v>16285</v>
      </c>
    </row>
    <row r="14179" spans="1:8" ht="25.05" customHeight="1" x14ac:dyDescent="0.25">
      <c r="A14179" s="2" t="s">
        <v>8</v>
      </c>
      <c r="B14179" s="2" t="str">
        <f>HYPERLINK("http://ts.21cn.com/tousu/show/id/1345731","恒信永利阴阳合同，套路贷，暴力催收")</f>
        <v>恒信永利阴阳合同，套路贷，暴力催收</v>
      </c>
      <c r="C14179" s="2" t="s">
        <v>9</v>
      </c>
      <c r="D14179" s="2" t="s">
        <v>10</v>
      </c>
      <c r="E14179" s="2" t="str">
        <f>HYPERLINK("http://ts.21cn.com/tousu/show/id/1345731","http://ts.21cn.com/tousu/show/id/1345731")</f>
        <v>http://ts.21cn.com/tousu/show/id/1345731</v>
      </c>
      <c r="F14179" s="2" t="s">
        <v>11</v>
      </c>
      <c r="G14179" s="2" t="s">
        <v>16282</v>
      </c>
      <c r="H14179" s="2" t="s">
        <v>16283</v>
      </c>
    </row>
    <row r="14180" spans="1:8" ht="25.05" customHeight="1" x14ac:dyDescent="0.25">
      <c r="A14180" s="2" t="s">
        <v>8</v>
      </c>
      <c r="B14180" s="2" t="str">
        <f>HYPERLINK("http://ts.21cn.com/tousu/show/id/1345730","高利贷砍头息")</f>
        <v>高利贷砍头息</v>
      </c>
      <c r="C14180" s="2" t="s">
        <v>9</v>
      </c>
      <c r="D14180" s="2" t="s">
        <v>10</v>
      </c>
      <c r="E14180" s="2" t="str">
        <f>HYPERLINK("http://ts.21cn.com/tousu/show/id/1345730","http://ts.21cn.com/tousu/show/id/1345730")</f>
        <v>http://ts.21cn.com/tousu/show/id/1345730</v>
      </c>
      <c r="F14180" s="2" t="s">
        <v>11</v>
      </c>
      <c r="G14180" s="2" t="s">
        <v>16280</v>
      </c>
      <c r="H14180" s="2" t="s">
        <v>16281</v>
      </c>
    </row>
    <row r="14181" spans="1:8" ht="25.05" customHeight="1" x14ac:dyDescent="0.25">
      <c r="A14181" s="2" t="s">
        <v>8</v>
      </c>
      <c r="B14181" s="2" t="str">
        <f>HYPERLINK("http://ts.21cn.com/tousu/show/id/1345732","PPMoney智享贷高利贷砍头息，借款金额与到账金额不符")</f>
        <v>PPMoney智享贷高利贷砍头息，借款金额与到账金额不符</v>
      </c>
      <c r="C14181" s="2" t="s">
        <v>9</v>
      </c>
      <c r="D14181" s="2" t="s">
        <v>10</v>
      </c>
      <c r="E14181" s="2" t="str">
        <f>HYPERLINK("http://ts.21cn.com/tousu/show/id/1345732","http://ts.21cn.com/tousu/show/id/1345732")</f>
        <v>http://ts.21cn.com/tousu/show/id/1345732</v>
      </c>
      <c r="F14181" s="2" t="s">
        <v>11</v>
      </c>
      <c r="G14181" s="2" t="s">
        <v>16278</v>
      </c>
      <c r="H14181" s="2" t="s">
        <v>16279</v>
      </c>
    </row>
    <row r="14182" spans="1:8" ht="25.05" customHeight="1" x14ac:dyDescent="0.25">
      <c r="A14182" s="2" t="s">
        <v>8</v>
      </c>
      <c r="B14182" s="2" t="str">
        <f>HYPERLINK("http://ts.21cn.com/tousu/show/id/1345733","天津通融通国际保理有限公司，违法经营，高利贷催收")</f>
        <v>天津通融通国际保理有限公司，违法经营，高利贷催收</v>
      </c>
      <c r="C14182" s="2" t="s">
        <v>9</v>
      </c>
      <c r="D14182" s="2" t="s">
        <v>10</v>
      </c>
      <c r="E14182" s="2" t="str">
        <f>HYPERLINK("http://ts.21cn.com/tousu/show/id/1345733","http://ts.21cn.com/tousu/show/id/1345733")</f>
        <v>http://ts.21cn.com/tousu/show/id/1345733</v>
      </c>
      <c r="F14182" s="2" t="s">
        <v>11</v>
      </c>
      <c r="G14182" s="2" t="s">
        <v>16276</v>
      </c>
      <c r="H14182" s="2" t="s">
        <v>16277</v>
      </c>
    </row>
    <row r="14183" spans="1:8" ht="25.05" customHeight="1" x14ac:dyDescent="0.25">
      <c r="A14183" s="2" t="s">
        <v>8</v>
      </c>
      <c r="B14183" s="2" t="str">
        <f>HYPERLINK("http://ts.21cn.com/tousu/show/id/1345734","松紧贷暴力催收")</f>
        <v>松紧贷暴力催收</v>
      </c>
      <c r="C14183" s="2" t="s">
        <v>9</v>
      </c>
      <c r="D14183" s="2" t="s">
        <v>10</v>
      </c>
      <c r="E14183" s="2" t="str">
        <f>HYPERLINK("http://ts.21cn.com/tousu/show/id/1345734","http://ts.21cn.com/tousu/show/id/1345734")</f>
        <v>http://ts.21cn.com/tousu/show/id/1345734</v>
      </c>
      <c r="F14183" s="2" t="s">
        <v>11</v>
      </c>
      <c r="G14183" s="2" t="s">
        <v>16274</v>
      </c>
      <c r="H14183" s="2" t="s">
        <v>16275</v>
      </c>
    </row>
    <row r="14184" spans="1:8" ht="25.05" customHeight="1" x14ac:dyDescent="0.25">
      <c r="A14184" s="2" t="s">
        <v>8</v>
      </c>
      <c r="B14184" s="2" t="str">
        <f>HYPERLINK("http://ts.21cn.com/tousu/show/id/1345735","中信银行第三方")</f>
        <v>中信银行第三方</v>
      </c>
      <c r="C14184" s="2" t="s">
        <v>9</v>
      </c>
      <c r="D14184" s="2" t="s">
        <v>10</v>
      </c>
      <c r="E14184" s="2" t="str">
        <f>HYPERLINK("http://ts.21cn.com/tousu/show/id/1345735","http://ts.21cn.com/tousu/show/id/1345735")</f>
        <v>http://ts.21cn.com/tousu/show/id/1345735</v>
      </c>
      <c r="F14184" s="2" t="s">
        <v>11</v>
      </c>
      <c r="G14184" s="2" t="s">
        <v>16272</v>
      </c>
      <c r="H14184" s="2" t="s">
        <v>16273</v>
      </c>
    </row>
    <row r="14185" spans="1:8" ht="25.05" customHeight="1" x14ac:dyDescent="0.25">
      <c r="A14185" s="2" t="s">
        <v>8</v>
      </c>
      <c r="B14185" s="2" t="str">
        <f>HYPERLINK("http://ts.21cn.com/tousu/show/id/1345736","砍头利息，借款4000。6个月利息综合1500")</f>
        <v>砍头利息，借款4000。6个月利息综合1500</v>
      </c>
      <c r="C14185" s="2" t="s">
        <v>9</v>
      </c>
      <c r="D14185" s="2" t="s">
        <v>10</v>
      </c>
      <c r="E14185" s="2" t="str">
        <f>HYPERLINK("http://ts.21cn.com/tousu/show/id/1345736","http://ts.21cn.com/tousu/show/id/1345736")</f>
        <v>http://ts.21cn.com/tousu/show/id/1345736</v>
      </c>
      <c r="F14185" s="2" t="s">
        <v>11</v>
      </c>
      <c r="G14185" s="2" t="s">
        <v>16270</v>
      </c>
      <c r="H14185" s="2" t="s">
        <v>16271</v>
      </c>
    </row>
    <row r="14186" spans="1:8" ht="25.05" customHeight="1" x14ac:dyDescent="0.25">
      <c r="A14186" s="2" t="s">
        <v>8</v>
      </c>
      <c r="B14186" s="2" t="str">
        <f>HYPERLINK("http://ts.21cn.com/tousu/show/id/1345737","黑心美容院扣押我钱欠我工资")</f>
        <v>黑心美容院扣押我钱欠我工资</v>
      </c>
      <c r="C14186" s="2" t="s">
        <v>9</v>
      </c>
      <c r="D14186" s="2" t="s">
        <v>10</v>
      </c>
      <c r="E14186" s="2" t="str">
        <f>HYPERLINK("http://ts.21cn.com/tousu/show/id/1345737","http://ts.21cn.com/tousu/show/id/1345737")</f>
        <v>http://ts.21cn.com/tousu/show/id/1345737</v>
      </c>
      <c r="F14186" s="2" t="s">
        <v>11</v>
      </c>
      <c r="G14186" s="2" t="s">
        <v>16268</v>
      </c>
      <c r="H14186" s="2" t="s">
        <v>16269</v>
      </c>
    </row>
    <row r="14187" spans="1:8" ht="25.05" customHeight="1" x14ac:dyDescent="0.25">
      <c r="A14187" s="2" t="s">
        <v>8</v>
      </c>
      <c r="B14187" s="2" t="str">
        <f>HYPERLINK("http://ts.21cn.com/tousu/show/id/1345738","7/14高炮")</f>
        <v>7/14高炮</v>
      </c>
      <c r="C14187" s="2" t="s">
        <v>9</v>
      </c>
      <c r="D14187" s="2" t="s">
        <v>10</v>
      </c>
      <c r="E14187" s="2" t="str">
        <f>HYPERLINK("http://ts.21cn.com/tousu/show/id/1345738","http://ts.21cn.com/tousu/show/id/1345738")</f>
        <v>http://ts.21cn.com/tousu/show/id/1345738</v>
      </c>
      <c r="F14187" s="2" t="s">
        <v>11</v>
      </c>
      <c r="G14187" s="2" t="s">
        <v>16266</v>
      </c>
      <c r="H14187" s="2" t="s">
        <v>16267</v>
      </c>
    </row>
    <row r="14188" spans="1:8" ht="25.05" customHeight="1" x14ac:dyDescent="0.25">
      <c r="A14188" s="2" t="s">
        <v>8</v>
      </c>
      <c r="B14188" s="2" t="str">
        <f>HYPERLINK("http://ts.21cn.com/tousu/show/id/1345739","咸鱼卖家恶意辱骂他人")</f>
        <v>咸鱼卖家恶意辱骂他人</v>
      </c>
      <c r="C14188" s="2" t="s">
        <v>9</v>
      </c>
      <c r="D14188" s="2" t="s">
        <v>10</v>
      </c>
      <c r="E14188" s="2" t="str">
        <f>HYPERLINK("http://ts.21cn.com/tousu/show/id/1345739","http://ts.21cn.com/tousu/show/id/1345739")</f>
        <v>http://ts.21cn.com/tousu/show/id/1345739</v>
      </c>
      <c r="F14188" s="2" t="s">
        <v>11</v>
      </c>
      <c r="G14188" s="2" t="s">
        <v>16264</v>
      </c>
      <c r="H14188" s="2" t="s">
        <v>16265</v>
      </c>
    </row>
    <row r="14189" spans="1:8" ht="25.05" customHeight="1" x14ac:dyDescent="0.25">
      <c r="A14189" s="2" t="s">
        <v>8</v>
      </c>
      <c r="B14189" s="2" t="str">
        <f>HYPERLINK("http://ts.21cn.com/tousu/show/id/1345740","钱还没到怎么就有利息了呢？还用各种理由让我给他们转钱！说是我账号输入错误结冻要我6000元从新改账号还要我转6")</f>
        <v>钱还没到怎么就有利息了呢？还用各种理由让我给他们转钱！说是我账号输入错误结冻要我6000元从新改账号还要我转6</v>
      </c>
      <c r="C14189" s="2" t="s">
        <v>9</v>
      </c>
      <c r="D14189" s="2" t="s">
        <v>10</v>
      </c>
      <c r="E14189" s="2" t="str">
        <f>HYPERLINK("http://ts.21cn.com/tousu/show/id/1345740","http://ts.21cn.com/tousu/show/id/1345740")</f>
        <v>http://ts.21cn.com/tousu/show/id/1345740</v>
      </c>
      <c r="F14189" s="2" t="s">
        <v>11</v>
      </c>
      <c r="G14189" s="2" t="s">
        <v>16262</v>
      </c>
      <c r="H14189" s="2" t="s">
        <v>16263</v>
      </c>
    </row>
    <row r="14190" spans="1:8" ht="25.05" customHeight="1" x14ac:dyDescent="0.25">
      <c r="A14190" s="2" t="s">
        <v>8</v>
      </c>
      <c r="B14190" s="2" t="str">
        <f>HYPERLINK("http://ts.21cn.com/tousu/show/id/1345741","转转卖卡不给钱")</f>
        <v>转转卖卡不给钱</v>
      </c>
      <c r="C14190" s="2" t="s">
        <v>9</v>
      </c>
      <c r="D14190" s="2" t="s">
        <v>10</v>
      </c>
      <c r="E14190" s="2" t="str">
        <f>HYPERLINK("http://ts.21cn.com/tousu/show/id/1345741","http://ts.21cn.com/tousu/show/id/1345741")</f>
        <v>http://ts.21cn.com/tousu/show/id/1345741</v>
      </c>
      <c r="F14190" s="2" t="s">
        <v>11</v>
      </c>
      <c r="G14190" s="2" t="s">
        <v>16260</v>
      </c>
      <c r="H14190" s="2" t="s">
        <v>16261</v>
      </c>
    </row>
    <row r="14191" spans="1:8" ht="25.05" customHeight="1" x14ac:dyDescent="0.25">
      <c r="A14191" s="2" t="s">
        <v>8</v>
      </c>
      <c r="B14191" s="2" t="str">
        <f>HYPERLINK("http://ts.21cn.com/tousu/show/id/1345742","捷信金融利息非常不合理")</f>
        <v>捷信金融利息非常不合理</v>
      </c>
      <c r="C14191" s="2" t="s">
        <v>9</v>
      </c>
      <c r="D14191" s="2" t="s">
        <v>10</v>
      </c>
      <c r="E14191" s="2" t="str">
        <f>HYPERLINK("http://ts.21cn.com/tousu/show/id/1345742","http://ts.21cn.com/tousu/show/id/1345742")</f>
        <v>http://ts.21cn.com/tousu/show/id/1345742</v>
      </c>
      <c r="F14191" s="2" t="s">
        <v>11</v>
      </c>
      <c r="G14191" s="2" t="s">
        <v>16258</v>
      </c>
      <c r="H14191" s="2" t="s">
        <v>16259</v>
      </c>
    </row>
    <row r="14192" spans="1:8" ht="25.05" customHeight="1" x14ac:dyDescent="0.25">
      <c r="A14192" s="2" t="s">
        <v>8</v>
      </c>
      <c r="B14192" s="2" t="str">
        <f>HYPERLINK("http://ts.21cn.com/tousu/show/id/1345743","中信银行利息吓人，不协商分期")</f>
        <v>中信银行利息吓人，不协商分期</v>
      </c>
      <c r="C14192" s="2" t="s">
        <v>9</v>
      </c>
      <c r="D14192" s="2" t="s">
        <v>10</v>
      </c>
      <c r="E14192" s="2" t="str">
        <f>HYPERLINK("http://ts.21cn.com/tousu/show/id/1345743","http://ts.21cn.com/tousu/show/id/1345743")</f>
        <v>http://ts.21cn.com/tousu/show/id/1345743</v>
      </c>
      <c r="F14192" s="2" t="s">
        <v>11</v>
      </c>
      <c r="G14192" s="2" t="s">
        <v>16256</v>
      </c>
      <c r="H14192" s="2" t="s">
        <v>16257</v>
      </c>
    </row>
    <row r="14193" spans="1:8" ht="25.05" customHeight="1" x14ac:dyDescent="0.25">
      <c r="A14193" s="2" t="s">
        <v>8</v>
      </c>
      <c r="B14193" s="2" t="str">
        <f>HYPERLINK("http://ts.21cn.com/tousu/show/id/1345745","投诉无月情感和小鹿情感忽悠消费者行为")</f>
        <v>投诉无月情感和小鹿情感忽悠消费者行为</v>
      </c>
      <c r="C14193" s="2" t="s">
        <v>9</v>
      </c>
      <c r="D14193" s="2" t="s">
        <v>10</v>
      </c>
      <c r="E14193" s="2" t="str">
        <f>HYPERLINK("http://ts.21cn.com/tousu/show/id/1345745","http://ts.21cn.com/tousu/show/id/1345745")</f>
        <v>http://ts.21cn.com/tousu/show/id/1345745</v>
      </c>
      <c r="F14193" s="2" t="s">
        <v>11</v>
      </c>
      <c r="G14193" s="2" t="s">
        <v>16254</v>
      </c>
      <c r="H14193" s="2" t="s">
        <v>16255</v>
      </c>
    </row>
    <row r="14194" spans="1:8" ht="25.05" customHeight="1" x14ac:dyDescent="0.25">
      <c r="A14194" s="2" t="s">
        <v>8</v>
      </c>
      <c r="B14194" s="2" t="str">
        <f>HYPERLINK("http://ts.21cn.com/tousu/show/id/1345746","要求全额退款")</f>
        <v>要求全额退款</v>
      </c>
      <c r="C14194" s="2" t="s">
        <v>34</v>
      </c>
      <c r="D14194" s="2" t="s">
        <v>10</v>
      </c>
      <c r="E14194" s="2" t="str">
        <f>HYPERLINK("http://ts.21cn.com/tousu/show/id/1345746","http://ts.21cn.com/tousu/show/id/1345746")</f>
        <v>http://ts.21cn.com/tousu/show/id/1345746</v>
      </c>
      <c r="F14194" s="2" t="s">
        <v>11</v>
      </c>
      <c r="G14194" s="2" t="s">
        <v>16253</v>
      </c>
      <c r="H14194" s="2" t="s">
        <v>1740</v>
      </c>
    </row>
    <row r="14195" spans="1:8" ht="25.05" customHeight="1" x14ac:dyDescent="0.25">
      <c r="A14195" s="2" t="s">
        <v>8</v>
      </c>
      <c r="B14195" s="2" t="str">
        <f>HYPERLINK("http://ts.21cn.com/tousu/show/id/1345747","淘宝卖家发错货拒绝退货退款")</f>
        <v>淘宝卖家发错货拒绝退货退款</v>
      </c>
      <c r="C14195" s="2" t="s">
        <v>9</v>
      </c>
      <c r="D14195" s="2" t="s">
        <v>10</v>
      </c>
      <c r="E14195" s="2" t="str">
        <f>HYPERLINK("http://ts.21cn.com/tousu/show/id/1345747","http://ts.21cn.com/tousu/show/id/1345747")</f>
        <v>http://ts.21cn.com/tousu/show/id/1345747</v>
      </c>
      <c r="F14195" s="2" t="s">
        <v>11</v>
      </c>
      <c r="G14195" s="2" t="s">
        <v>16251</v>
      </c>
      <c r="H14195" s="2" t="s">
        <v>16252</v>
      </c>
    </row>
    <row r="14196" spans="1:8" ht="25.05" customHeight="1" x14ac:dyDescent="0.25">
      <c r="A14196" s="2" t="s">
        <v>8</v>
      </c>
      <c r="B14196" s="2" t="str">
        <f>HYPERLINK("http://ts.21cn.com/tousu/show/id/1345748","钱站高利贷")</f>
        <v>钱站高利贷</v>
      </c>
      <c r="C14196" s="2" t="s">
        <v>9</v>
      </c>
      <c r="D14196" s="2" t="s">
        <v>10</v>
      </c>
      <c r="E14196" s="2" t="str">
        <f>HYPERLINK("http://ts.21cn.com/tousu/show/id/1345748","http://ts.21cn.com/tousu/show/id/1345748")</f>
        <v>http://ts.21cn.com/tousu/show/id/1345748</v>
      </c>
      <c r="F14196" s="2" t="s">
        <v>11</v>
      </c>
      <c r="G14196" s="2" t="s">
        <v>16249</v>
      </c>
      <c r="H14196" s="2" t="s">
        <v>16250</v>
      </c>
    </row>
    <row r="14197" spans="1:8" ht="25.05" customHeight="1" x14ac:dyDescent="0.25">
      <c r="A14197" s="2" t="s">
        <v>8</v>
      </c>
      <c r="B14197" s="2" t="str">
        <f>HYPERLINK("http://ts.21cn.com/tousu/show/id/1345749","小花钱包违法贷款")</f>
        <v>小花钱包违法贷款</v>
      </c>
      <c r="C14197" s="2" t="s">
        <v>9</v>
      </c>
      <c r="D14197" s="2" t="s">
        <v>10</v>
      </c>
      <c r="E14197" s="2" t="str">
        <f>HYPERLINK("http://ts.21cn.com/tousu/show/id/1345749","http://ts.21cn.com/tousu/show/id/1345749")</f>
        <v>http://ts.21cn.com/tousu/show/id/1345749</v>
      </c>
      <c r="F14197" s="2" t="s">
        <v>11</v>
      </c>
      <c r="G14197" s="2" t="s">
        <v>16247</v>
      </c>
      <c r="H14197" s="2" t="s">
        <v>16248</v>
      </c>
    </row>
    <row r="14198" spans="1:8" ht="25.05" customHeight="1" x14ac:dyDescent="0.25">
      <c r="A14198" s="2" t="s">
        <v>8</v>
      </c>
      <c r="B14198" s="2" t="str">
        <f>HYPERLINK("http://ts.21cn.com/tousu/show/id/1345750","银行卡被盗刷")</f>
        <v>银行卡被盗刷</v>
      </c>
      <c r="C14198" s="2" t="s">
        <v>9</v>
      </c>
      <c r="D14198" s="2" t="s">
        <v>10</v>
      </c>
      <c r="E14198" s="2" t="str">
        <f>HYPERLINK("http://ts.21cn.com/tousu/show/id/1345750","http://ts.21cn.com/tousu/show/id/1345750")</f>
        <v>http://ts.21cn.com/tousu/show/id/1345750</v>
      </c>
      <c r="F14198" s="2" t="s">
        <v>11</v>
      </c>
      <c r="G14198" s="2" t="s">
        <v>16245</v>
      </c>
      <c r="H14198" s="2" t="s">
        <v>16246</v>
      </c>
    </row>
    <row r="14199" spans="1:8" ht="25.05" customHeight="1" x14ac:dyDescent="0.25">
      <c r="A14199" s="2" t="s">
        <v>8</v>
      </c>
      <c r="B14199" s="2" t="str">
        <f>HYPERLINK("http://ts.21cn.com/tousu/show/id/1345752","钱站高利贷阴阳合同")</f>
        <v>钱站高利贷阴阳合同</v>
      </c>
      <c r="C14199" s="2" t="s">
        <v>9</v>
      </c>
      <c r="D14199" s="2" t="s">
        <v>10</v>
      </c>
      <c r="E14199" s="2" t="str">
        <f>HYPERLINK("http://ts.21cn.com/tousu/show/id/1345752","http://ts.21cn.com/tousu/show/id/1345752")</f>
        <v>http://ts.21cn.com/tousu/show/id/1345752</v>
      </c>
      <c r="F14199" s="2" t="s">
        <v>11</v>
      </c>
      <c r="G14199" s="2" t="s">
        <v>16243</v>
      </c>
      <c r="H14199" s="2" t="s">
        <v>16244</v>
      </c>
    </row>
    <row r="14200" spans="1:8" ht="25.05" customHeight="1" x14ac:dyDescent="0.25">
      <c r="A14200" s="2" t="s">
        <v>8</v>
      </c>
      <c r="B14200" s="2" t="str">
        <f>HYPERLINK("http://ts.21cn.com/tousu/show/id/1345377","小浦优品通过联通支付无故从银行卡扣钱")</f>
        <v>小浦优品通过联通支付无故从银行卡扣钱</v>
      </c>
      <c r="C14200" s="2" t="s">
        <v>34</v>
      </c>
      <c r="D14200" s="2" t="s">
        <v>10</v>
      </c>
      <c r="E14200" s="2" t="str">
        <f>HYPERLINK("http://ts.21cn.com/tousu/show/id/1345377","http://ts.21cn.com/tousu/show/id/1345377")</f>
        <v>http://ts.21cn.com/tousu/show/id/1345377</v>
      </c>
      <c r="F14200" s="2" t="s">
        <v>11</v>
      </c>
      <c r="G14200" s="2" t="s">
        <v>16241</v>
      </c>
      <c r="H14200" s="2" t="s">
        <v>16242</v>
      </c>
    </row>
    <row r="14201" spans="1:8" ht="25.05" customHeight="1" x14ac:dyDescent="0.25">
      <c r="A14201" s="2" t="s">
        <v>8</v>
      </c>
      <c r="B14201" s="2" t="str">
        <f>HYPERLINK("http://ts.21cn.com/tousu/show/id/1345751","摇钱花虚假广告")</f>
        <v>摇钱花虚假广告</v>
      </c>
      <c r="C14201" s="2" t="s">
        <v>9</v>
      </c>
      <c r="D14201" s="2" t="s">
        <v>10</v>
      </c>
      <c r="E14201" s="2" t="str">
        <f>HYPERLINK("http://ts.21cn.com/tousu/show/id/1345751","http://ts.21cn.com/tousu/show/id/1345751")</f>
        <v>http://ts.21cn.com/tousu/show/id/1345751</v>
      </c>
      <c r="F14201" s="2" t="s">
        <v>11</v>
      </c>
      <c r="G14201" s="2" t="s">
        <v>16239</v>
      </c>
      <c r="H14201" s="2" t="s">
        <v>16240</v>
      </c>
    </row>
    <row r="14202" spans="1:8" ht="25.05" customHeight="1" x14ac:dyDescent="0.25">
      <c r="A14202" s="2" t="s">
        <v>8</v>
      </c>
      <c r="B14202" s="2" t="str">
        <f>HYPERLINK("http://ts.21cn.com/tousu/show/id/1345753","闲鱼卖家骂人闲鱼客服不作处理")</f>
        <v>闲鱼卖家骂人闲鱼客服不作处理</v>
      </c>
      <c r="C14202" s="2" t="s">
        <v>9</v>
      </c>
      <c r="D14202" s="2" t="s">
        <v>10</v>
      </c>
      <c r="E14202" s="2" t="str">
        <f>HYPERLINK("http://ts.21cn.com/tousu/show/id/1345753","http://ts.21cn.com/tousu/show/id/1345753")</f>
        <v>http://ts.21cn.com/tousu/show/id/1345753</v>
      </c>
      <c r="F14202" s="2" t="s">
        <v>11</v>
      </c>
      <c r="G14202" s="2" t="s">
        <v>16237</v>
      </c>
      <c r="H14202" s="2" t="s">
        <v>16238</v>
      </c>
    </row>
    <row r="14203" spans="1:8" ht="25.05" customHeight="1" x14ac:dyDescent="0.25">
      <c r="A14203" s="2" t="s">
        <v>8</v>
      </c>
      <c r="B14203" s="2" t="str">
        <f>HYPERLINK("http://ts.21cn.com/tousu/show/id/1259256","趣惠买逾期费用太高")</f>
        <v>趣惠买逾期费用太高</v>
      </c>
      <c r="C14203" s="2" t="s">
        <v>9</v>
      </c>
      <c r="D14203" s="2" t="s">
        <v>10</v>
      </c>
      <c r="E14203" s="2" t="str">
        <f>HYPERLINK("http://ts.21cn.com/tousu/show/id/1259256","http://ts.21cn.com/tousu/show/id/1259256")</f>
        <v>http://ts.21cn.com/tousu/show/id/1259256</v>
      </c>
      <c r="F14203" s="2" t="s">
        <v>11</v>
      </c>
      <c r="G14203" s="2" t="s">
        <v>16235</v>
      </c>
      <c r="H14203" s="2" t="s">
        <v>16236</v>
      </c>
    </row>
    <row r="14204" spans="1:8" ht="25.05" customHeight="1" x14ac:dyDescent="0.25">
      <c r="A14204" s="2" t="s">
        <v>8</v>
      </c>
      <c r="B14204" s="2" t="str">
        <f>HYPERLINK("http://ts.21cn.com/tousu/show/id/1345754","平安普惠收取高额保险费跟服务管理费")</f>
        <v>平安普惠收取高额保险费跟服务管理费</v>
      </c>
      <c r="C14204" s="2" t="s">
        <v>9</v>
      </c>
      <c r="D14204" s="2" t="s">
        <v>10</v>
      </c>
      <c r="E14204" s="2" t="str">
        <f>HYPERLINK("http://ts.21cn.com/tousu/show/id/1345754","http://ts.21cn.com/tousu/show/id/1345754")</f>
        <v>http://ts.21cn.com/tousu/show/id/1345754</v>
      </c>
      <c r="F14204" s="2" t="s">
        <v>11</v>
      </c>
      <c r="G14204" s="2" t="s">
        <v>16233</v>
      </c>
      <c r="H14204" s="2" t="s">
        <v>16234</v>
      </c>
    </row>
    <row r="14205" spans="1:8" ht="25.05" customHeight="1" x14ac:dyDescent="0.25">
      <c r="A14205" s="2" t="s">
        <v>8</v>
      </c>
      <c r="B14205" s="2" t="str">
        <f>HYPERLINK("http://ts.21cn.com/tousu/show/id/1345757","来分期利息太高")</f>
        <v>来分期利息太高</v>
      </c>
      <c r="C14205" s="2" t="s">
        <v>9</v>
      </c>
      <c r="D14205" s="2" t="s">
        <v>10</v>
      </c>
      <c r="E14205" s="2" t="str">
        <f>HYPERLINK("http://ts.21cn.com/tousu/show/id/1345757","http://ts.21cn.com/tousu/show/id/1345757")</f>
        <v>http://ts.21cn.com/tousu/show/id/1345757</v>
      </c>
      <c r="F14205" s="2" t="s">
        <v>11</v>
      </c>
      <c r="G14205" s="2" t="s">
        <v>16231</v>
      </c>
      <c r="H14205" s="2" t="s">
        <v>16232</v>
      </c>
    </row>
    <row r="14206" spans="1:8" ht="25.05" customHeight="1" x14ac:dyDescent="0.25">
      <c r="A14206" s="2" t="s">
        <v>8</v>
      </c>
      <c r="B14206" s="2" t="str">
        <f>HYPERLINK("http://ts.21cn.com/tousu/show/id/1345756","快捷通竟然未经本人同意，擅自扣除卡内199块钱！")</f>
        <v>快捷通竟然未经本人同意，擅自扣除卡内199块钱！</v>
      </c>
      <c r="C14206" s="2" t="s">
        <v>9</v>
      </c>
      <c r="D14206" s="2" t="s">
        <v>10</v>
      </c>
      <c r="E14206" s="2" t="str">
        <f>HYPERLINK("http://ts.21cn.com/tousu/show/id/1345756","http://ts.21cn.com/tousu/show/id/1345756")</f>
        <v>http://ts.21cn.com/tousu/show/id/1345756</v>
      </c>
      <c r="F14206" s="2" t="s">
        <v>11</v>
      </c>
      <c r="G14206" s="2" t="s">
        <v>16229</v>
      </c>
      <c r="H14206" s="2" t="s">
        <v>16230</v>
      </c>
    </row>
    <row r="14207" spans="1:8" ht="25.05" customHeight="1" x14ac:dyDescent="0.25">
      <c r="A14207" s="2" t="s">
        <v>8</v>
      </c>
      <c r="B14207" s="2" t="str">
        <f>HYPERLINK("http://ts.21cn.com/tousu/show/id/1345758","钱站套路贷")</f>
        <v>钱站套路贷</v>
      </c>
      <c r="C14207" s="2" t="s">
        <v>9</v>
      </c>
      <c r="D14207" s="2" t="s">
        <v>10</v>
      </c>
      <c r="E14207" s="2" t="str">
        <f>HYPERLINK("http://ts.21cn.com/tousu/show/id/1345758","http://ts.21cn.com/tousu/show/id/1345758")</f>
        <v>http://ts.21cn.com/tousu/show/id/1345758</v>
      </c>
      <c r="F14207" s="2" t="s">
        <v>11</v>
      </c>
      <c r="G14207" s="2" t="s">
        <v>16227</v>
      </c>
      <c r="H14207" s="2" t="s">
        <v>16228</v>
      </c>
    </row>
    <row r="14208" spans="1:8" ht="25.05" customHeight="1" x14ac:dyDescent="0.25">
      <c r="A14208" s="2" t="s">
        <v>8</v>
      </c>
      <c r="B14208" s="2" t="str">
        <f>HYPERLINK("http://ts.21cn.com/tousu/show/id/1345759","有人通过代理云南曲靖非法联通卡办卡中介，用所办各个新联通卡号码对我进行电话轰炸")</f>
        <v>有人通过代理云南曲靖非法联通卡办卡中介，用所办各个新联通卡号码对我进行电话轰炸</v>
      </c>
      <c r="C14208" s="2" t="s">
        <v>9</v>
      </c>
      <c r="D14208" s="2" t="s">
        <v>10</v>
      </c>
      <c r="E14208" s="2" t="str">
        <f>HYPERLINK("http://ts.21cn.com/tousu/show/id/1345759","http://ts.21cn.com/tousu/show/id/1345759")</f>
        <v>http://ts.21cn.com/tousu/show/id/1345759</v>
      </c>
      <c r="F14208" s="2" t="s">
        <v>11</v>
      </c>
      <c r="G14208" s="2" t="s">
        <v>16225</v>
      </c>
      <c r="H14208" s="2" t="s">
        <v>16226</v>
      </c>
    </row>
    <row r="14209" spans="1:8" ht="25.05" customHeight="1" x14ac:dyDescent="0.25">
      <c r="A14209" s="2" t="s">
        <v>8</v>
      </c>
      <c r="B14209" s="2" t="str">
        <f>HYPERLINK("http://ts.21cn.com/tousu/show/id/1345760","爆通讯录、打电话至村委会、非法泄露借款人的借款详情")</f>
        <v>爆通讯录、打电话至村委会、非法泄露借款人的借款详情</v>
      </c>
      <c r="C14209" s="2" t="s">
        <v>9</v>
      </c>
      <c r="D14209" s="2" t="s">
        <v>10</v>
      </c>
      <c r="E14209" s="2" t="str">
        <f>HYPERLINK("http://ts.21cn.com/tousu/show/id/1345760","http://ts.21cn.com/tousu/show/id/1345760")</f>
        <v>http://ts.21cn.com/tousu/show/id/1345760</v>
      </c>
      <c r="F14209" s="2" t="s">
        <v>11</v>
      </c>
      <c r="G14209" s="2" t="s">
        <v>16223</v>
      </c>
      <c r="H14209" s="2" t="s">
        <v>16224</v>
      </c>
    </row>
    <row r="14210" spans="1:8" ht="25.05" customHeight="1" x14ac:dyDescent="0.25">
      <c r="A14210" s="2" t="s">
        <v>8</v>
      </c>
      <c r="B14210" s="2" t="str">
        <f>HYPERLINK("http://ts.21cn.com/tousu/show/id/1345761","支付宝限制我的收款功能，并且客服态度极其恶劣")</f>
        <v>支付宝限制我的收款功能，并且客服态度极其恶劣</v>
      </c>
      <c r="C14210" s="2" t="s">
        <v>9</v>
      </c>
      <c r="D14210" s="2" t="s">
        <v>10</v>
      </c>
      <c r="E14210" s="2" t="str">
        <f>HYPERLINK("http://ts.21cn.com/tousu/show/id/1345761","http://ts.21cn.com/tousu/show/id/1345761")</f>
        <v>http://ts.21cn.com/tousu/show/id/1345761</v>
      </c>
      <c r="F14210" s="2" t="s">
        <v>11</v>
      </c>
      <c r="G14210" s="2" t="s">
        <v>16221</v>
      </c>
      <c r="H14210" s="2" t="s">
        <v>16222</v>
      </c>
    </row>
    <row r="14211" spans="1:8" ht="25.05" customHeight="1" x14ac:dyDescent="0.25">
      <c r="A14211" s="2" t="s">
        <v>8</v>
      </c>
      <c r="B14211" s="2" t="str">
        <f>HYPERLINK("http://ts.21cn.com/tousu/show/id/1345762","卡中余额充足拍拍贷扣款失败导致逾期，还要支付逾期费用")</f>
        <v>卡中余额充足拍拍贷扣款失败导致逾期，还要支付逾期费用</v>
      </c>
      <c r="C14211" s="2" t="s">
        <v>34</v>
      </c>
      <c r="D14211" s="2" t="s">
        <v>10</v>
      </c>
      <c r="E14211" s="2" t="str">
        <f>HYPERLINK("http://ts.21cn.com/tousu/show/id/1345762","http://ts.21cn.com/tousu/show/id/1345762")</f>
        <v>http://ts.21cn.com/tousu/show/id/1345762</v>
      </c>
      <c r="F14211" s="2" t="s">
        <v>11</v>
      </c>
      <c r="G14211" s="2" t="s">
        <v>16219</v>
      </c>
      <c r="H14211" s="2" t="s">
        <v>16220</v>
      </c>
    </row>
    <row r="14212" spans="1:8" ht="25.05" customHeight="1" x14ac:dyDescent="0.25">
      <c r="A14212" s="2" t="s">
        <v>8</v>
      </c>
      <c r="B14212" s="2" t="str">
        <f>HYPERLINK("http://ts.21cn.com/tousu/show/id/1345755","京东系统与第三方冲突")</f>
        <v>京东系统与第三方冲突</v>
      </c>
      <c r="C14212" s="2" t="s">
        <v>9</v>
      </c>
      <c r="D14212" s="2" t="s">
        <v>10</v>
      </c>
      <c r="E14212" s="2" t="str">
        <f>HYPERLINK("http://ts.21cn.com/tousu/show/id/1345755","http://ts.21cn.com/tousu/show/id/1345755")</f>
        <v>http://ts.21cn.com/tousu/show/id/1345755</v>
      </c>
      <c r="F14212" s="2" t="s">
        <v>11</v>
      </c>
      <c r="G14212" s="2" t="s">
        <v>16217</v>
      </c>
      <c r="H14212" s="2" t="s">
        <v>16218</v>
      </c>
    </row>
    <row r="14213" spans="1:8" ht="25.05" customHeight="1" x14ac:dyDescent="0.25">
      <c r="A14213" s="2" t="s">
        <v>8</v>
      </c>
      <c r="B14213" s="2" t="str">
        <f>HYPERLINK("http://ts.21cn.com/tousu/show/id/1345764","苏宁易购家电质量问题严重")</f>
        <v>苏宁易购家电质量问题严重</v>
      </c>
      <c r="C14213" s="2" t="s">
        <v>9</v>
      </c>
      <c r="D14213" s="2" t="s">
        <v>10</v>
      </c>
      <c r="E14213" s="2" t="str">
        <f>HYPERLINK("http://ts.21cn.com/tousu/show/id/1345764","http://ts.21cn.com/tousu/show/id/1345764")</f>
        <v>http://ts.21cn.com/tousu/show/id/1345764</v>
      </c>
      <c r="F14213" s="2" t="s">
        <v>11</v>
      </c>
      <c r="G14213" s="2" t="s">
        <v>16215</v>
      </c>
      <c r="H14213" s="2" t="s">
        <v>16216</v>
      </c>
    </row>
    <row r="14214" spans="1:8" ht="25.05" customHeight="1" x14ac:dyDescent="0.25">
      <c r="A14214" s="2" t="s">
        <v>8</v>
      </c>
      <c r="B14214" s="2" t="str">
        <f>HYPERLINK("http://ts.21cn.com/tousu/show/id/1345766","新橙优品暴力催收，扣款失败")</f>
        <v>新橙优品暴力催收，扣款失败</v>
      </c>
      <c r="C14214" s="2" t="s">
        <v>9</v>
      </c>
      <c r="D14214" s="2" t="s">
        <v>10</v>
      </c>
      <c r="E14214" s="2" t="str">
        <f>HYPERLINK("http://ts.21cn.com/tousu/show/id/1345766","http://ts.21cn.com/tousu/show/id/1345766")</f>
        <v>http://ts.21cn.com/tousu/show/id/1345766</v>
      </c>
      <c r="F14214" s="2" t="s">
        <v>11</v>
      </c>
      <c r="G14214" s="2" t="s">
        <v>16213</v>
      </c>
      <c r="H14214" s="2" t="s">
        <v>16214</v>
      </c>
    </row>
    <row r="14215" spans="1:8" ht="25.05" customHeight="1" x14ac:dyDescent="0.25">
      <c r="A14215" s="2" t="s">
        <v>8</v>
      </c>
      <c r="B14215" s="2" t="str">
        <f>HYPERLINK("http://ts.21cn.com/tousu/show/id/1345767","聚富分期恶意扣款")</f>
        <v>聚富分期恶意扣款</v>
      </c>
      <c r="C14215" s="2" t="s">
        <v>9</v>
      </c>
      <c r="D14215" s="2" t="s">
        <v>10</v>
      </c>
      <c r="E14215" s="2" t="str">
        <f>HYPERLINK("http://ts.21cn.com/tousu/show/id/1345767","http://ts.21cn.com/tousu/show/id/1345767")</f>
        <v>http://ts.21cn.com/tousu/show/id/1345767</v>
      </c>
      <c r="F14215" s="2" t="s">
        <v>11</v>
      </c>
      <c r="G14215" s="2" t="s">
        <v>16211</v>
      </c>
      <c r="H14215" s="2" t="s">
        <v>16212</v>
      </c>
    </row>
    <row r="14216" spans="1:8" ht="25.05" customHeight="1" x14ac:dyDescent="0.25">
      <c r="A14216" s="2" t="s">
        <v>8</v>
      </c>
      <c r="B14216" s="2" t="str">
        <f>HYPERLINK("http://ts.21cn.com/tousu/show/id/1345769","要求被投诉人向我道歉赔偿精神损失")</f>
        <v>要求被投诉人向我道歉赔偿精神损失</v>
      </c>
      <c r="C14216" s="2" t="s">
        <v>9</v>
      </c>
      <c r="D14216" s="2" t="s">
        <v>10</v>
      </c>
      <c r="E14216" s="2" t="str">
        <f>HYPERLINK("http://ts.21cn.com/tousu/show/id/1345769","http://ts.21cn.com/tousu/show/id/1345769")</f>
        <v>http://ts.21cn.com/tousu/show/id/1345769</v>
      </c>
      <c r="F14216" s="2" t="s">
        <v>11</v>
      </c>
      <c r="G14216" s="2" t="s">
        <v>16209</v>
      </c>
      <c r="H14216" s="2" t="s">
        <v>16210</v>
      </c>
    </row>
    <row r="14217" spans="1:8" ht="25.05" customHeight="1" x14ac:dyDescent="0.25">
      <c r="A14217" s="2" t="s">
        <v>8</v>
      </c>
      <c r="B14217" s="2" t="str">
        <f>HYPERLINK("http://ts.21cn.com/tousu/show/id/1345763","约会吧软件引导消费")</f>
        <v>约会吧软件引导消费</v>
      </c>
      <c r="C14217" s="2" t="s">
        <v>34</v>
      </c>
      <c r="D14217" s="2" t="s">
        <v>10</v>
      </c>
      <c r="E14217" s="2" t="str">
        <f>HYPERLINK("http://ts.21cn.com/tousu/show/id/1345763","http://ts.21cn.com/tousu/show/id/1345763")</f>
        <v>http://ts.21cn.com/tousu/show/id/1345763</v>
      </c>
      <c r="F14217" s="2" t="s">
        <v>11</v>
      </c>
      <c r="G14217" s="2" t="s">
        <v>16207</v>
      </c>
      <c r="H14217" s="2" t="s">
        <v>16208</v>
      </c>
    </row>
    <row r="14218" spans="1:8" ht="25.05" customHeight="1" x14ac:dyDescent="0.25">
      <c r="A14218" s="2" t="s">
        <v>8</v>
      </c>
      <c r="B14218" s="2" t="str">
        <f>HYPERLINK("http://ts.21cn.com/tousu/show/id/1345771","大量用户无法退还立刻出行499元押金")</f>
        <v>大量用户无法退还立刻出行499元押金</v>
      </c>
      <c r="C14218" s="2" t="s">
        <v>34</v>
      </c>
      <c r="D14218" s="2" t="s">
        <v>10</v>
      </c>
      <c r="E14218" s="2" t="str">
        <f>HYPERLINK("http://ts.21cn.com/tousu/show/id/1345771","http://ts.21cn.com/tousu/show/id/1345771")</f>
        <v>http://ts.21cn.com/tousu/show/id/1345771</v>
      </c>
      <c r="F14218" s="2" t="s">
        <v>11</v>
      </c>
      <c r="G14218" s="2" t="s">
        <v>16205</v>
      </c>
      <c r="H14218" s="2" t="s">
        <v>16206</v>
      </c>
    </row>
    <row r="14219" spans="1:8" ht="25.05" customHeight="1" x14ac:dyDescent="0.25">
      <c r="A14219" s="2" t="s">
        <v>8</v>
      </c>
      <c r="B14219" s="2" t="str">
        <f>HYPERLINK("http://ts.21cn.com/tousu/show/id/1345770","闪银允许非本人手机号申请注册贷款，导致逾期且逾期费用高额")</f>
        <v>闪银允许非本人手机号申请注册贷款，导致逾期且逾期费用高额</v>
      </c>
      <c r="C14219" s="2" t="s">
        <v>9</v>
      </c>
      <c r="D14219" s="2" t="s">
        <v>10</v>
      </c>
      <c r="E14219" s="2" t="str">
        <f>HYPERLINK("http://ts.21cn.com/tousu/show/id/1345770","http://ts.21cn.com/tousu/show/id/1345770")</f>
        <v>http://ts.21cn.com/tousu/show/id/1345770</v>
      </c>
      <c r="F14219" s="2" t="s">
        <v>11</v>
      </c>
      <c r="G14219" s="2" t="s">
        <v>16203</v>
      </c>
      <c r="H14219" s="2" t="s">
        <v>16204</v>
      </c>
    </row>
    <row r="14220" spans="1:8" ht="25.05" customHeight="1" x14ac:dyDescent="0.25">
      <c r="A14220" s="2" t="s">
        <v>8</v>
      </c>
      <c r="B14220" s="2" t="str">
        <f>HYPERLINK("http://ts.21cn.com/tousu/show/id/1345772","京东白条额度被降低")</f>
        <v>京东白条额度被降低</v>
      </c>
      <c r="C14220" s="2" t="s">
        <v>34</v>
      </c>
      <c r="D14220" s="2" t="s">
        <v>10</v>
      </c>
      <c r="E14220" s="2" t="str">
        <f>HYPERLINK("http://ts.21cn.com/tousu/show/id/1345772","http://ts.21cn.com/tousu/show/id/1345772")</f>
        <v>http://ts.21cn.com/tousu/show/id/1345772</v>
      </c>
      <c r="F14220" s="2" t="s">
        <v>11</v>
      </c>
      <c r="G14220" s="2" t="s">
        <v>16201</v>
      </c>
      <c r="H14220" s="2" t="s">
        <v>16202</v>
      </c>
    </row>
    <row r="14221" spans="1:8" ht="25.05" customHeight="1" x14ac:dyDescent="0.25">
      <c r="A14221" s="2" t="s">
        <v>8</v>
      </c>
      <c r="B14221" s="2" t="str">
        <f>HYPERLINK("http://ts.21cn.com/tousu/show/id/1345773","闲鱼卖家恶意辱骂他人")</f>
        <v>闲鱼卖家恶意辱骂他人</v>
      </c>
      <c r="C14221" s="2" t="s">
        <v>9</v>
      </c>
      <c r="D14221" s="2" t="s">
        <v>10</v>
      </c>
      <c r="E14221" s="2" t="str">
        <f>HYPERLINK("http://ts.21cn.com/tousu/show/id/1345773","http://ts.21cn.com/tousu/show/id/1345773")</f>
        <v>http://ts.21cn.com/tousu/show/id/1345773</v>
      </c>
      <c r="F14221" s="2" t="s">
        <v>11</v>
      </c>
      <c r="G14221" s="2" t="s">
        <v>16199</v>
      </c>
      <c r="H14221" s="2" t="s">
        <v>16200</v>
      </c>
    </row>
    <row r="14222" spans="1:8" ht="25.05" customHeight="1" x14ac:dyDescent="0.25">
      <c r="A14222" s="2" t="s">
        <v>8</v>
      </c>
      <c r="B14222" s="2" t="str">
        <f>HYPERLINK("http://ts.21cn.com/tousu/show/id/1345774","钱站阴阳合同，高利贷，各种服务费，害人不浅，要求调整利息。")</f>
        <v>钱站阴阳合同，高利贷，各种服务费，害人不浅，要求调整利息。</v>
      </c>
      <c r="C14222" s="2" t="s">
        <v>9</v>
      </c>
      <c r="D14222" s="2" t="s">
        <v>10</v>
      </c>
      <c r="E14222" s="2" t="str">
        <f>HYPERLINK("http://ts.21cn.com/tousu/show/id/1345774","http://ts.21cn.com/tousu/show/id/1345774")</f>
        <v>http://ts.21cn.com/tousu/show/id/1345774</v>
      </c>
      <c r="F14222" s="2" t="s">
        <v>11</v>
      </c>
      <c r="G14222" s="2" t="s">
        <v>16197</v>
      </c>
      <c r="H14222" s="2" t="s">
        <v>16198</v>
      </c>
    </row>
    <row r="14223" spans="1:8" ht="25.05" customHeight="1" x14ac:dyDescent="0.25">
      <c r="A14223" s="2" t="s">
        <v>8</v>
      </c>
      <c r="B14223" s="2" t="str">
        <f>HYPERLINK("http://ts.21cn.com/tousu/show/id/1345775","携趣信息科技恶意扣费")</f>
        <v>携趣信息科技恶意扣费</v>
      </c>
      <c r="C14223" s="2" t="s">
        <v>9</v>
      </c>
      <c r="D14223" s="2" t="s">
        <v>10</v>
      </c>
      <c r="E14223" s="2" t="str">
        <f>HYPERLINK("http://ts.21cn.com/tousu/show/id/1345775","http://ts.21cn.com/tousu/show/id/1345775")</f>
        <v>http://ts.21cn.com/tousu/show/id/1345775</v>
      </c>
      <c r="F14223" s="2" t="s">
        <v>11</v>
      </c>
      <c r="G14223" s="2" t="s">
        <v>16195</v>
      </c>
      <c r="H14223" s="2" t="s">
        <v>16196</v>
      </c>
    </row>
    <row r="14224" spans="1:8" ht="25.05" customHeight="1" x14ac:dyDescent="0.25">
      <c r="A14224" s="2" t="s">
        <v>8</v>
      </c>
      <c r="B14224" s="2" t="str">
        <f>HYPERLINK("http://ts.21cn.com/tousu/show/id/1345776","天下支付科技有限公司为非法网站提供支付通道")</f>
        <v>天下支付科技有限公司为非法网站提供支付通道</v>
      </c>
      <c r="C14224" s="2" t="s">
        <v>9</v>
      </c>
      <c r="D14224" s="2" t="s">
        <v>10</v>
      </c>
      <c r="E14224" s="2" t="str">
        <f>HYPERLINK("http://ts.21cn.com/tousu/show/id/1345776","http://ts.21cn.com/tousu/show/id/1345776")</f>
        <v>http://ts.21cn.com/tousu/show/id/1345776</v>
      </c>
      <c r="F14224" s="2" t="s">
        <v>11</v>
      </c>
      <c r="G14224" s="2" t="s">
        <v>16193</v>
      </c>
      <c r="H14224" s="2" t="s">
        <v>16194</v>
      </c>
    </row>
    <row r="14225" spans="1:8" ht="25.05" customHeight="1" x14ac:dyDescent="0.25">
      <c r="A14225" s="2" t="s">
        <v>8</v>
      </c>
      <c r="B14225" s="2" t="str">
        <f>HYPERLINK("http://ts.21cn.com/tousu/show/id/1345765","转转二手交易平台将我的保证金直接给买家")</f>
        <v>转转二手交易平台将我的保证金直接给买家</v>
      </c>
      <c r="C14225" s="2" t="s">
        <v>9</v>
      </c>
      <c r="D14225" s="2" t="s">
        <v>10</v>
      </c>
      <c r="E14225" s="2" t="str">
        <f>HYPERLINK("http://ts.21cn.com/tousu/show/id/1345765","http://ts.21cn.com/tousu/show/id/1345765")</f>
        <v>http://ts.21cn.com/tousu/show/id/1345765</v>
      </c>
      <c r="F14225" s="2" t="s">
        <v>11</v>
      </c>
      <c r="G14225" s="2" t="s">
        <v>16191</v>
      </c>
      <c r="H14225" s="2" t="s">
        <v>16192</v>
      </c>
    </row>
    <row r="14226" spans="1:8" ht="25.05" customHeight="1" x14ac:dyDescent="0.25">
      <c r="A14226" s="2" t="s">
        <v>8</v>
      </c>
      <c r="B14226" s="2" t="str">
        <f>HYPERLINK("http://ts.21cn.com/tousu/show/id/1345777","酒店预订房间取消订单扣全款霸王条款")</f>
        <v>酒店预订房间取消订单扣全款霸王条款</v>
      </c>
      <c r="C14226" s="2" t="s">
        <v>9</v>
      </c>
      <c r="D14226" s="2" t="s">
        <v>10</v>
      </c>
      <c r="E14226" s="2" t="str">
        <f>HYPERLINK("http://ts.21cn.com/tousu/show/id/1345777","http://ts.21cn.com/tousu/show/id/1345777")</f>
        <v>http://ts.21cn.com/tousu/show/id/1345777</v>
      </c>
      <c r="F14226" s="2" t="s">
        <v>11</v>
      </c>
      <c r="G14226" s="2" t="s">
        <v>16189</v>
      </c>
      <c r="H14226" s="2" t="s">
        <v>16190</v>
      </c>
    </row>
    <row r="14227" spans="1:8" ht="25.05" customHeight="1" x14ac:dyDescent="0.25">
      <c r="A14227" s="2" t="s">
        <v>8</v>
      </c>
      <c r="B14227" s="2" t="str">
        <f>HYPERLINK("http://ts.21cn.com/tousu/show/id/1345768","三峡机场易行商旅有误导消")</f>
        <v>三峡机场易行商旅有误导消</v>
      </c>
      <c r="C14227" s="2" t="s">
        <v>9</v>
      </c>
      <c r="D14227" s="2" t="s">
        <v>10</v>
      </c>
      <c r="E14227" s="2" t="str">
        <f>HYPERLINK("http://ts.21cn.com/tousu/show/id/1345768","http://ts.21cn.com/tousu/show/id/1345768")</f>
        <v>http://ts.21cn.com/tousu/show/id/1345768</v>
      </c>
      <c r="F14227" s="2" t="s">
        <v>11</v>
      </c>
      <c r="G14227" s="2" t="s">
        <v>16187</v>
      </c>
      <c r="H14227" s="2" t="s">
        <v>16188</v>
      </c>
    </row>
    <row r="14228" spans="1:8" ht="25.05" customHeight="1" x14ac:dyDescent="0.25">
      <c r="A14228" s="2" t="s">
        <v>8</v>
      </c>
      <c r="B14228" s="2" t="str">
        <f>HYPERLINK("http://ts.21cn.com/tousu/show/id/1345778","携趣网络技术上海有限公司乱扣费")</f>
        <v>携趣网络技术上海有限公司乱扣费</v>
      </c>
      <c r="C14228" s="2" t="s">
        <v>9</v>
      </c>
      <c r="D14228" s="2" t="s">
        <v>10</v>
      </c>
      <c r="E14228" s="2" t="str">
        <f>HYPERLINK("http://ts.21cn.com/tousu/show/id/1345778","http://ts.21cn.com/tousu/show/id/1345778")</f>
        <v>http://ts.21cn.com/tousu/show/id/1345778</v>
      </c>
      <c r="F14228" s="2" t="s">
        <v>11</v>
      </c>
      <c r="G14228" s="2" t="s">
        <v>16185</v>
      </c>
      <c r="H14228" s="2" t="s">
        <v>16186</v>
      </c>
    </row>
    <row r="14229" spans="1:8" ht="25.05" customHeight="1" x14ac:dyDescent="0.25">
      <c r="A14229" s="2" t="s">
        <v>8</v>
      </c>
      <c r="B14229" s="2" t="str">
        <f>HYPERLINK("http://ts.21cn.com/tousu/show/id/1345779","米庄钱包高利贷利息超高")</f>
        <v>米庄钱包高利贷利息超高</v>
      </c>
      <c r="C14229" s="2" t="s">
        <v>9</v>
      </c>
      <c r="D14229" s="2" t="s">
        <v>10</v>
      </c>
      <c r="E14229" s="2" t="str">
        <f>HYPERLINK("http://ts.21cn.com/tousu/show/id/1345779","http://ts.21cn.com/tousu/show/id/1345779")</f>
        <v>http://ts.21cn.com/tousu/show/id/1345779</v>
      </c>
      <c r="F14229" s="2" t="s">
        <v>11</v>
      </c>
      <c r="G14229" s="2" t="s">
        <v>16183</v>
      </c>
      <c r="H14229" s="2" t="s">
        <v>16184</v>
      </c>
    </row>
    <row r="14230" spans="1:8" ht="25.05" customHeight="1" x14ac:dyDescent="0.25">
      <c r="A14230" s="2" t="s">
        <v>8</v>
      </c>
      <c r="B14230" s="2" t="str">
        <f>HYPERLINK("http://ts.21cn.com/tousu/show/id/1345780","优信二手车集体投诉专题")</f>
        <v>优信二手车集体投诉专题</v>
      </c>
      <c r="C14230" s="2" t="s">
        <v>34</v>
      </c>
      <c r="D14230" s="2" t="s">
        <v>10</v>
      </c>
      <c r="E14230" s="2" t="str">
        <f>HYPERLINK("http://ts.21cn.com/tousu/show/id/1345780","http://ts.21cn.com/tousu/show/id/1345780")</f>
        <v>http://ts.21cn.com/tousu/show/id/1345780</v>
      </c>
      <c r="F14230" s="2" t="s">
        <v>11</v>
      </c>
      <c r="G14230" s="2" t="s">
        <v>16181</v>
      </c>
      <c r="H14230" s="2" t="s">
        <v>16182</v>
      </c>
    </row>
    <row r="14231" spans="1:8" ht="25.05" customHeight="1" x14ac:dyDescent="0.25">
      <c r="A14231" s="2" t="s">
        <v>8</v>
      </c>
      <c r="B14231" s="2" t="str">
        <f>HYPERLINK("http://ts.21cn.com/tousu/show/id/1345781","提供虚假商户交易")</f>
        <v>提供虚假商户交易</v>
      </c>
      <c r="C14231" s="2" t="s">
        <v>9</v>
      </c>
      <c r="D14231" s="2" t="s">
        <v>10</v>
      </c>
      <c r="E14231" s="2" t="str">
        <f>HYPERLINK("http://ts.21cn.com/tousu/show/id/1345781","http://ts.21cn.com/tousu/show/id/1345781")</f>
        <v>http://ts.21cn.com/tousu/show/id/1345781</v>
      </c>
      <c r="F14231" s="2" t="s">
        <v>11</v>
      </c>
      <c r="G14231" s="2" t="s">
        <v>16179</v>
      </c>
      <c r="H14231" s="2" t="s">
        <v>16180</v>
      </c>
    </row>
    <row r="14232" spans="1:8" ht="25.05" customHeight="1" x14ac:dyDescent="0.25">
      <c r="A14232" s="2" t="s">
        <v>8</v>
      </c>
      <c r="B14232" s="2" t="str">
        <f>HYPERLINK("http://ts.21cn.com/tousu/show/id/1345782","维信卡卡贷二十天没放款")</f>
        <v>维信卡卡贷二十天没放款</v>
      </c>
      <c r="C14232" s="2" t="s">
        <v>34</v>
      </c>
      <c r="D14232" s="2" t="s">
        <v>10</v>
      </c>
      <c r="E14232" s="2" t="str">
        <f>HYPERLINK("http://ts.21cn.com/tousu/show/id/1345782","http://ts.21cn.com/tousu/show/id/1345782")</f>
        <v>http://ts.21cn.com/tousu/show/id/1345782</v>
      </c>
      <c r="F14232" s="2" t="s">
        <v>11</v>
      </c>
      <c r="G14232" s="2" t="s">
        <v>16177</v>
      </c>
      <c r="H14232" s="2" t="s">
        <v>16178</v>
      </c>
    </row>
    <row r="14233" spans="1:8" ht="25.05" customHeight="1" x14ac:dyDescent="0.25">
      <c r="A14233" s="2" t="s">
        <v>8</v>
      </c>
      <c r="B14233" s="2" t="str">
        <f>HYPERLINK("http://ts.21cn.com/tousu/show/id/1345783","上海漫道也就是宝付违规为714平台扣取砍头息")</f>
        <v>上海漫道也就是宝付违规为714平台扣取砍头息</v>
      </c>
      <c r="C14233" s="2" t="s">
        <v>9</v>
      </c>
      <c r="D14233" s="2" t="s">
        <v>10</v>
      </c>
      <c r="E14233" s="2" t="str">
        <f>HYPERLINK("http://ts.21cn.com/tousu/show/id/1345783","http://ts.21cn.com/tousu/show/id/1345783")</f>
        <v>http://ts.21cn.com/tousu/show/id/1345783</v>
      </c>
      <c r="F14233" s="2" t="s">
        <v>11</v>
      </c>
      <c r="G14233" s="2" t="s">
        <v>16175</v>
      </c>
      <c r="H14233" s="2" t="s">
        <v>16176</v>
      </c>
    </row>
    <row r="14234" spans="1:8" ht="25.05" customHeight="1" x14ac:dyDescent="0.25">
      <c r="A14234" s="2" t="s">
        <v>8</v>
      </c>
      <c r="B14234" s="2" t="str">
        <f>HYPERLINK("http://ts.21cn.com/tousu/show/id/1345784","网贷红月亮APP砍头息，还款日当天APP无法还款，而后收取高额违约金。")</f>
        <v>网贷红月亮APP砍头息，还款日当天APP无法还款，而后收取高额违约金。</v>
      </c>
      <c r="C14234" s="2" t="s">
        <v>9</v>
      </c>
      <c r="D14234" s="2" t="s">
        <v>10</v>
      </c>
      <c r="E14234" s="2" t="str">
        <f>HYPERLINK("http://ts.21cn.com/tousu/show/id/1345784","http://ts.21cn.com/tousu/show/id/1345784")</f>
        <v>http://ts.21cn.com/tousu/show/id/1345784</v>
      </c>
      <c r="F14234" s="2" t="s">
        <v>11</v>
      </c>
      <c r="G14234" s="2" t="s">
        <v>16173</v>
      </c>
      <c r="H14234" s="2" t="s">
        <v>16174</v>
      </c>
    </row>
    <row r="14235" spans="1:8" ht="25.05" customHeight="1" x14ac:dyDescent="0.25">
      <c r="A14235" s="2" t="s">
        <v>8</v>
      </c>
      <c r="B14235" s="2" t="str">
        <f>HYPERLINK("http://ts.21cn.com/tousu/show/id/1345786","玖富万卡协商提前还款")</f>
        <v>玖富万卡协商提前还款</v>
      </c>
      <c r="C14235" s="2" t="s">
        <v>34</v>
      </c>
      <c r="D14235" s="2" t="s">
        <v>10</v>
      </c>
      <c r="E14235" s="2" t="str">
        <f>HYPERLINK("http://ts.21cn.com/tousu/show/id/1345786","http://ts.21cn.com/tousu/show/id/1345786")</f>
        <v>http://ts.21cn.com/tousu/show/id/1345786</v>
      </c>
      <c r="F14235" s="2" t="s">
        <v>11</v>
      </c>
      <c r="G14235" s="2" t="s">
        <v>16171</v>
      </c>
      <c r="H14235" s="2" t="s">
        <v>16172</v>
      </c>
    </row>
    <row r="14236" spans="1:8" ht="25.05" customHeight="1" x14ac:dyDescent="0.25">
      <c r="A14236" s="2" t="s">
        <v>8</v>
      </c>
      <c r="B14236" s="2" t="str">
        <f>HYPERLINK("http://ts.21cn.com/tousu/show/id/1345787","月光侠借款APP实际利息近50%")</f>
        <v>月光侠借款APP实际利息近50%</v>
      </c>
      <c r="C14236" s="2" t="s">
        <v>34</v>
      </c>
      <c r="D14236" s="2" t="s">
        <v>10</v>
      </c>
      <c r="E14236" s="2" t="str">
        <f>HYPERLINK("http://ts.21cn.com/tousu/show/id/1345787","http://ts.21cn.com/tousu/show/id/1345787")</f>
        <v>http://ts.21cn.com/tousu/show/id/1345787</v>
      </c>
      <c r="F14236" s="2" t="s">
        <v>11</v>
      </c>
      <c r="G14236" s="2" t="s">
        <v>16169</v>
      </c>
      <c r="H14236" s="2" t="s">
        <v>16170</v>
      </c>
    </row>
    <row r="14237" spans="1:8" ht="25.05" customHeight="1" x14ac:dyDescent="0.25">
      <c r="A14237" s="2" t="s">
        <v>8</v>
      </c>
      <c r="B14237" s="2" t="str">
        <f>HYPERLINK("http://ts.21cn.com/tousu/show/id/1345785","玖富万卡协商提前还款")</f>
        <v>玖富万卡协商提前还款</v>
      </c>
      <c r="C14237" s="2" t="s">
        <v>34</v>
      </c>
      <c r="D14237" s="2" t="s">
        <v>10</v>
      </c>
      <c r="E14237" s="2" t="str">
        <f>HYPERLINK("http://ts.21cn.com/tousu/show/id/1345785","http://ts.21cn.com/tousu/show/id/1345785")</f>
        <v>http://ts.21cn.com/tousu/show/id/1345785</v>
      </c>
      <c r="F14237" s="2" t="s">
        <v>11</v>
      </c>
      <c r="G14237" s="2" t="s">
        <v>16167</v>
      </c>
      <c r="H14237" s="2" t="s">
        <v>16168</v>
      </c>
    </row>
    <row r="14238" spans="1:8" ht="25.05" customHeight="1" x14ac:dyDescent="0.25">
      <c r="A14238" s="2" t="s">
        <v>8</v>
      </c>
      <c r="B14238" s="2" t="str">
        <f>HYPERLINK("http://ts.21cn.com/tousu/show/id/1345788","时光分期恶意骚扰")</f>
        <v>时光分期恶意骚扰</v>
      </c>
      <c r="C14238" s="2" t="s">
        <v>9</v>
      </c>
      <c r="D14238" s="2" t="s">
        <v>10</v>
      </c>
      <c r="E14238" s="2" t="str">
        <f>HYPERLINK("http://ts.21cn.com/tousu/show/id/1345788","http://ts.21cn.com/tousu/show/id/1345788")</f>
        <v>http://ts.21cn.com/tousu/show/id/1345788</v>
      </c>
      <c r="F14238" s="2" t="s">
        <v>11</v>
      </c>
      <c r="G14238" s="2" t="s">
        <v>16165</v>
      </c>
      <c r="H14238" s="2" t="s">
        <v>16166</v>
      </c>
    </row>
    <row r="14239" spans="1:8" ht="25.05" customHeight="1" x14ac:dyDescent="0.25">
      <c r="A14239" s="2" t="s">
        <v>8</v>
      </c>
      <c r="B14239" s="2" t="str">
        <f>HYPERLINK("http://ts.21cn.com/tousu/show/id/1345789","乔融金服平台倒闭导致无法还款，客服人员辱骂威胁")</f>
        <v>乔融金服平台倒闭导致无法还款，客服人员辱骂威胁</v>
      </c>
      <c r="C14239" s="2" t="s">
        <v>9</v>
      </c>
      <c r="D14239" s="2" t="s">
        <v>10</v>
      </c>
      <c r="E14239" s="2" t="str">
        <f>HYPERLINK("http://ts.21cn.com/tousu/show/id/1345789","http://ts.21cn.com/tousu/show/id/1345789")</f>
        <v>http://ts.21cn.com/tousu/show/id/1345789</v>
      </c>
      <c r="F14239" s="2" t="s">
        <v>11</v>
      </c>
      <c r="G14239" s="2" t="s">
        <v>16163</v>
      </c>
      <c r="H14239" s="2" t="s">
        <v>16164</v>
      </c>
    </row>
    <row r="14240" spans="1:8" ht="25.05" customHeight="1" x14ac:dyDescent="0.25">
      <c r="A14240" s="2" t="s">
        <v>8</v>
      </c>
      <c r="B14240" s="2" t="str">
        <f>HYPERLINK("http://ts.21cn.com/tousu/show/id/1345790","支付宝莫名其妙禁言账户")</f>
        <v>支付宝莫名其妙禁言账户</v>
      </c>
      <c r="C14240" s="2" t="s">
        <v>9</v>
      </c>
      <c r="D14240" s="2" t="s">
        <v>10</v>
      </c>
      <c r="E14240" s="2" t="str">
        <f>HYPERLINK("http://ts.21cn.com/tousu/show/id/1345790","http://ts.21cn.com/tousu/show/id/1345790")</f>
        <v>http://ts.21cn.com/tousu/show/id/1345790</v>
      </c>
      <c r="F14240" s="2" t="s">
        <v>11</v>
      </c>
      <c r="G14240" s="2" t="s">
        <v>16161</v>
      </c>
      <c r="H14240" s="2" t="s">
        <v>16162</v>
      </c>
    </row>
    <row r="14241" spans="1:8" ht="25.05" customHeight="1" x14ac:dyDescent="0.25">
      <c r="A14241" s="2" t="s">
        <v>8</v>
      </c>
      <c r="B14241" s="2" t="str">
        <f>HYPERLINK("http://ts.21cn.com/tousu/show/id/1345791","轻周转高额利息")</f>
        <v>轻周转高额利息</v>
      </c>
      <c r="C14241" s="2" t="s">
        <v>9</v>
      </c>
      <c r="D14241" s="2" t="s">
        <v>10</v>
      </c>
      <c r="E14241" s="2" t="str">
        <f>HYPERLINK("http://ts.21cn.com/tousu/show/id/1345791","http://ts.21cn.com/tousu/show/id/1345791")</f>
        <v>http://ts.21cn.com/tousu/show/id/1345791</v>
      </c>
      <c r="F14241" s="2" t="s">
        <v>11</v>
      </c>
      <c r="G14241" s="2" t="s">
        <v>16159</v>
      </c>
      <c r="H14241" s="2" t="s">
        <v>16160</v>
      </c>
    </row>
    <row r="14242" spans="1:8" ht="25.05" customHeight="1" x14ac:dyDescent="0.25">
      <c r="A14242" s="2" t="s">
        <v>8</v>
      </c>
      <c r="B14242" s="2" t="str">
        <f>HYPERLINK("http://ts.21cn.com/tousu/show/id/1345792","新橙优品恶意让我逾期")</f>
        <v>新橙优品恶意让我逾期</v>
      </c>
      <c r="C14242" s="2" t="s">
        <v>9</v>
      </c>
      <c r="D14242" s="2" t="s">
        <v>10</v>
      </c>
      <c r="E14242" s="2" t="str">
        <f>HYPERLINK("http://ts.21cn.com/tousu/show/id/1345792","http://ts.21cn.com/tousu/show/id/1345792")</f>
        <v>http://ts.21cn.com/tousu/show/id/1345792</v>
      </c>
      <c r="F14242" s="2" t="s">
        <v>11</v>
      </c>
      <c r="G14242" s="2" t="s">
        <v>16157</v>
      </c>
      <c r="H14242" s="2" t="s">
        <v>16158</v>
      </c>
    </row>
    <row r="14243" spans="1:8" ht="25.05" customHeight="1" x14ac:dyDescent="0.25">
      <c r="A14243" s="2" t="s">
        <v>8</v>
      </c>
      <c r="B14243" s="2" t="str">
        <f>HYPERLINK("http://ts.21cn.com/tousu/show/id/1345793","宜信暴力催收导致我妻离子散")</f>
        <v>宜信暴力催收导致我妻离子散</v>
      </c>
      <c r="C14243" s="2" t="s">
        <v>9</v>
      </c>
      <c r="D14243" s="2" t="s">
        <v>10</v>
      </c>
      <c r="E14243" s="2" t="str">
        <f>HYPERLINK("http://ts.21cn.com/tousu/show/id/1345793","http://ts.21cn.com/tousu/show/id/1345793")</f>
        <v>http://ts.21cn.com/tousu/show/id/1345793</v>
      </c>
      <c r="F14243" s="2" t="s">
        <v>11</v>
      </c>
      <c r="G14243" s="2" t="s">
        <v>16155</v>
      </c>
      <c r="H14243" s="2" t="s">
        <v>16156</v>
      </c>
    </row>
    <row r="14244" spans="1:8" ht="25.05" customHeight="1" x14ac:dyDescent="0.25">
      <c r="A14244" s="2" t="s">
        <v>8</v>
      </c>
      <c r="B14244" s="2" t="str">
        <f>HYPERLINK("http://ts.21cn.com/tousu/show/id/1345794","大麦网虚假宣传诱导购票，且拒不承认拒不全额退款")</f>
        <v>大麦网虚假宣传诱导购票，且拒不承认拒不全额退款</v>
      </c>
      <c r="C14244" s="2" t="s">
        <v>9</v>
      </c>
      <c r="D14244" s="2" t="s">
        <v>10</v>
      </c>
      <c r="E14244" s="2" t="str">
        <f>HYPERLINK("http://ts.21cn.com/tousu/show/id/1345794","http://ts.21cn.com/tousu/show/id/1345794")</f>
        <v>http://ts.21cn.com/tousu/show/id/1345794</v>
      </c>
      <c r="F14244" s="2" t="s">
        <v>11</v>
      </c>
      <c r="G14244" s="2" t="s">
        <v>16153</v>
      </c>
      <c r="H14244" s="2" t="s">
        <v>16154</v>
      </c>
    </row>
    <row r="14245" spans="1:8" ht="25.05" customHeight="1" x14ac:dyDescent="0.25">
      <c r="A14245" s="2" t="s">
        <v>8</v>
      </c>
      <c r="B14245" s="2" t="str">
        <f>HYPERLINK("http://ts.21cn.com/tousu/show/id/1345795","再次确认不是本人操作")</f>
        <v>再次确认不是本人操作</v>
      </c>
      <c r="C14245" s="2" t="s">
        <v>34</v>
      </c>
      <c r="D14245" s="2" t="s">
        <v>10</v>
      </c>
      <c r="E14245" s="2" t="str">
        <f>HYPERLINK("http://ts.21cn.com/tousu/show/id/1345795","http://ts.21cn.com/tousu/show/id/1345795")</f>
        <v>http://ts.21cn.com/tousu/show/id/1345795</v>
      </c>
      <c r="F14245" s="2" t="s">
        <v>11</v>
      </c>
      <c r="G14245" s="2" t="s">
        <v>16151</v>
      </c>
      <c r="H14245" s="2" t="s">
        <v>16152</v>
      </c>
    </row>
    <row r="14246" spans="1:8" ht="25.05" customHeight="1" x14ac:dyDescent="0.25">
      <c r="A14246" s="2" t="s">
        <v>8</v>
      </c>
      <c r="B14246" s="2" t="str">
        <f>HYPERLINK("http://ts.21cn.com/tousu/show/id/1345796","趣专享app不退款")</f>
        <v>趣专享app不退款</v>
      </c>
      <c r="C14246" s="2" t="s">
        <v>34</v>
      </c>
      <c r="D14246" s="2" t="s">
        <v>10</v>
      </c>
      <c r="E14246" s="2" t="str">
        <f>HYPERLINK("http://ts.21cn.com/tousu/show/id/1345796","http://ts.21cn.com/tousu/show/id/1345796")</f>
        <v>http://ts.21cn.com/tousu/show/id/1345796</v>
      </c>
      <c r="F14246" s="2" t="s">
        <v>11</v>
      </c>
      <c r="G14246" s="2" t="s">
        <v>16149</v>
      </c>
      <c r="H14246" s="2" t="s">
        <v>16150</v>
      </c>
    </row>
    <row r="14247" spans="1:8" ht="25.05" customHeight="1" x14ac:dyDescent="0.25">
      <c r="A14247" s="2" t="s">
        <v>8</v>
      </c>
      <c r="B14247" s="2" t="str">
        <f>HYPERLINK("http://ts.21cn.com/tousu/show/id/1345797","在交易猫拍了59块钱的王者荣耀代练，卖家不发货不理人不退款")</f>
        <v>在交易猫拍了59块钱的王者荣耀代练，卖家不发货不理人不退款</v>
      </c>
      <c r="C14247" s="2" t="s">
        <v>9</v>
      </c>
      <c r="D14247" s="2" t="s">
        <v>10</v>
      </c>
      <c r="E14247" s="2" t="str">
        <f>HYPERLINK("http://ts.21cn.com/tousu/show/id/1345797","http://ts.21cn.com/tousu/show/id/1345797")</f>
        <v>http://ts.21cn.com/tousu/show/id/1345797</v>
      </c>
      <c r="F14247" s="2" t="s">
        <v>11</v>
      </c>
      <c r="G14247" s="2" t="s">
        <v>16147</v>
      </c>
      <c r="H14247" s="2" t="s">
        <v>16148</v>
      </c>
    </row>
    <row r="14248" spans="1:8" ht="25.05" customHeight="1" x14ac:dyDescent="0.25">
      <c r="A14248" s="2" t="s">
        <v>8</v>
      </c>
      <c r="B14248" s="2" t="str">
        <f>HYPERLINK("http://ts.21cn.com/tousu/show/id/1345799","高利贷，乱扣手续费，一直不给予处理")</f>
        <v>高利贷，乱扣手续费，一直不给予处理</v>
      </c>
      <c r="C14248" s="2" t="s">
        <v>9</v>
      </c>
      <c r="D14248" s="2" t="s">
        <v>10</v>
      </c>
      <c r="E14248" s="2" t="str">
        <f>HYPERLINK("http://ts.21cn.com/tousu/show/id/1345799","http://ts.21cn.com/tousu/show/id/1345799")</f>
        <v>http://ts.21cn.com/tousu/show/id/1345799</v>
      </c>
      <c r="F14248" s="2" t="s">
        <v>11</v>
      </c>
      <c r="G14248" s="2" t="s">
        <v>16145</v>
      </c>
      <c r="H14248" s="2" t="s">
        <v>16146</v>
      </c>
    </row>
    <row r="14249" spans="1:8" ht="25.05" customHeight="1" x14ac:dyDescent="0.25">
      <c r="A14249" s="2" t="s">
        <v>8</v>
      </c>
      <c r="B14249" s="2" t="str">
        <f>HYPERLINK("http://ts.21cn.com/tousu/show/id/1345800","广东信汇电子商务有限公司为非法网站提供支付通道")</f>
        <v>广东信汇电子商务有限公司为非法网站提供支付通道</v>
      </c>
      <c r="C14249" s="2" t="s">
        <v>9</v>
      </c>
      <c r="D14249" s="2" t="s">
        <v>10</v>
      </c>
      <c r="E14249" s="2" t="str">
        <f>HYPERLINK("http://ts.21cn.com/tousu/show/id/1345800","http://ts.21cn.com/tousu/show/id/1345800")</f>
        <v>http://ts.21cn.com/tousu/show/id/1345800</v>
      </c>
      <c r="F14249" s="2" t="s">
        <v>11</v>
      </c>
      <c r="G14249" s="2" t="s">
        <v>16143</v>
      </c>
      <c r="H14249" s="2" t="s">
        <v>16144</v>
      </c>
    </row>
    <row r="14250" spans="1:8" ht="25.05" customHeight="1" x14ac:dyDescent="0.25">
      <c r="A14250" s="2" t="s">
        <v>8</v>
      </c>
      <c r="B14250" s="2" t="str">
        <f>HYPERLINK("http://ts.21cn.com/tousu/show/id/1345322","小米有品欺骗消费者，客服也不解决问题多次推诿")</f>
        <v>小米有品欺骗消费者，客服也不解决问题多次推诿</v>
      </c>
      <c r="C14250" s="2" t="s">
        <v>9</v>
      </c>
      <c r="D14250" s="2" t="s">
        <v>10</v>
      </c>
      <c r="E14250" s="2" t="str">
        <f>HYPERLINK("http://ts.21cn.com/tousu/show/id/1345322","http://ts.21cn.com/tousu/show/id/1345322")</f>
        <v>http://ts.21cn.com/tousu/show/id/1345322</v>
      </c>
      <c r="F14250" s="2" t="s">
        <v>11</v>
      </c>
      <c r="G14250" s="2" t="s">
        <v>16141</v>
      </c>
      <c r="H14250" s="2" t="s">
        <v>16142</v>
      </c>
    </row>
    <row r="14251" spans="1:8" ht="25.05" customHeight="1" x14ac:dyDescent="0.25">
      <c r="A14251" s="2" t="s">
        <v>8</v>
      </c>
      <c r="B14251" s="2" t="str">
        <f>HYPERLINK("http://ts.21cn.com/tousu/show/id/1345802","北京爱农驿站为非法网站违规提供支付通道")</f>
        <v>北京爱农驿站为非法网站违规提供支付通道</v>
      </c>
      <c r="C14251" s="2" t="s">
        <v>9</v>
      </c>
      <c r="D14251" s="2" t="s">
        <v>10</v>
      </c>
      <c r="E14251" s="2" t="str">
        <f>HYPERLINK("http://ts.21cn.com/tousu/show/id/1345802","http://ts.21cn.com/tousu/show/id/1345802")</f>
        <v>http://ts.21cn.com/tousu/show/id/1345802</v>
      </c>
      <c r="F14251" s="2" t="s">
        <v>11</v>
      </c>
      <c r="G14251" s="2" t="s">
        <v>16139</v>
      </c>
      <c r="H14251" s="2" t="s">
        <v>16140</v>
      </c>
    </row>
    <row r="14252" spans="1:8" ht="25.05" customHeight="1" x14ac:dyDescent="0.25">
      <c r="A14252" s="2" t="s">
        <v>8</v>
      </c>
      <c r="B14252" s="2" t="str">
        <f>HYPERLINK("http://ts.21cn.com/tousu/show/id/1345804","利澳出行:通过没退款")</f>
        <v>利澳出行:通过没退款</v>
      </c>
      <c r="C14252" s="2" t="s">
        <v>34</v>
      </c>
      <c r="D14252" s="2" t="s">
        <v>10</v>
      </c>
      <c r="E14252" s="2" t="str">
        <f>HYPERLINK("http://ts.21cn.com/tousu/show/id/1345804","http://ts.21cn.com/tousu/show/id/1345804")</f>
        <v>http://ts.21cn.com/tousu/show/id/1345804</v>
      </c>
      <c r="F14252" s="2" t="s">
        <v>11</v>
      </c>
      <c r="G14252" s="2" t="s">
        <v>16137</v>
      </c>
      <c r="H14252" s="2" t="s">
        <v>16138</v>
      </c>
    </row>
    <row r="14253" spans="1:8" ht="25.05" customHeight="1" x14ac:dyDescent="0.25">
      <c r="A14253" s="2" t="s">
        <v>8</v>
      </c>
      <c r="B14253" s="2" t="str">
        <f>HYPERLINK("http://ts.21cn.com/tousu/show/id/1345805","汇潮支付投诉他一个月没有任何回复，要求发视频验证又爱理不理，客服态度有问题")</f>
        <v>汇潮支付投诉他一个月没有任何回复，要求发视频验证又爱理不理，客服态度有问题</v>
      </c>
      <c r="C14253" s="2" t="s">
        <v>9</v>
      </c>
      <c r="D14253" s="2" t="s">
        <v>10</v>
      </c>
      <c r="E14253" s="2" t="str">
        <f>HYPERLINK("http://ts.21cn.com/tousu/show/id/1345805","http://ts.21cn.com/tousu/show/id/1345805")</f>
        <v>http://ts.21cn.com/tousu/show/id/1345805</v>
      </c>
      <c r="F14253" s="2" t="s">
        <v>11</v>
      </c>
      <c r="G14253" s="2" t="s">
        <v>16135</v>
      </c>
      <c r="H14253" s="2" t="s">
        <v>16136</v>
      </c>
    </row>
    <row r="14254" spans="1:8" ht="25.05" customHeight="1" x14ac:dyDescent="0.25">
      <c r="A14254" s="2" t="s">
        <v>8</v>
      </c>
      <c r="B14254" s="2" t="str">
        <f>HYPERLINK("http://ts.21cn.com/tousu/show/id/1345806","卖家不回话")</f>
        <v>卖家不回话</v>
      </c>
      <c r="C14254" s="2" t="s">
        <v>9</v>
      </c>
      <c r="D14254" s="2" t="s">
        <v>10</v>
      </c>
      <c r="E14254" s="2" t="str">
        <f>HYPERLINK("http://ts.21cn.com/tousu/show/id/1345806","http://ts.21cn.com/tousu/show/id/1345806")</f>
        <v>http://ts.21cn.com/tousu/show/id/1345806</v>
      </c>
      <c r="F14254" s="2" t="s">
        <v>11</v>
      </c>
      <c r="G14254" s="2" t="s">
        <v>16133</v>
      </c>
      <c r="H14254" s="2" t="s">
        <v>16134</v>
      </c>
    </row>
    <row r="14255" spans="1:8" ht="25.05" customHeight="1" x14ac:dyDescent="0.25">
      <c r="A14255" s="2" t="s">
        <v>8</v>
      </c>
      <c r="B14255" s="2" t="str">
        <f>HYPERLINK("http://ts.21cn.com/tousu/show/id/1345808","及贷催收骚扰威胁")</f>
        <v>及贷催收骚扰威胁</v>
      </c>
      <c r="C14255" s="2" t="s">
        <v>9</v>
      </c>
      <c r="D14255" s="2" t="s">
        <v>10</v>
      </c>
      <c r="E14255" s="2" t="str">
        <f>HYPERLINK("http://ts.21cn.com/tousu/show/id/1345808","http://ts.21cn.com/tousu/show/id/1345808")</f>
        <v>http://ts.21cn.com/tousu/show/id/1345808</v>
      </c>
      <c r="F14255" s="2" t="s">
        <v>11</v>
      </c>
      <c r="G14255" s="2" t="s">
        <v>16131</v>
      </c>
      <c r="H14255" s="2" t="s">
        <v>16132</v>
      </c>
    </row>
    <row r="14256" spans="1:8" ht="25.05" customHeight="1" x14ac:dyDescent="0.25">
      <c r="A14256" s="2" t="s">
        <v>8</v>
      </c>
      <c r="B14256" s="2" t="str">
        <f>HYPERLINK("http://ts.21cn.com/tousu/show/id/1345809","招联金融软暴力催收")</f>
        <v>招联金融软暴力催收</v>
      </c>
      <c r="C14256" s="2" t="s">
        <v>9</v>
      </c>
      <c r="D14256" s="2" t="s">
        <v>10</v>
      </c>
      <c r="E14256" s="2" t="str">
        <f>HYPERLINK("http://ts.21cn.com/tousu/show/id/1345809","http://ts.21cn.com/tousu/show/id/1345809")</f>
        <v>http://ts.21cn.com/tousu/show/id/1345809</v>
      </c>
      <c r="F14256" s="2" t="s">
        <v>11</v>
      </c>
      <c r="G14256" s="2" t="s">
        <v>16129</v>
      </c>
      <c r="H14256" s="2" t="s">
        <v>16130</v>
      </c>
    </row>
    <row r="14257" spans="1:8" ht="25.05" customHeight="1" x14ac:dyDescent="0.25">
      <c r="A14257" s="2" t="s">
        <v>8</v>
      </c>
      <c r="B14257" s="2" t="str">
        <f>HYPERLINK("http://ts.21cn.com/tousu/show/id/1345810","不经过允许乱扣钱")</f>
        <v>不经过允许乱扣钱</v>
      </c>
      <c r="C14257" s="2" t="s">
        <v>9</v>
      </c>
      <c r="D14257" s="2" t="s">
        <v>10</v>
      </c>
      <c r="E14257" s="2" t="str">
        <f>HYPERLINK("http://ts.21cn.com/tousu/show/id/1345810","http://ts.21cn.com/tousu/show/id/1345810")</f>
        <v>http://ts.21cn.com/tousu/show/id/1345810</v>
      </c>
      <c r="F14257" s="2" t="s">
        <v>11</v>
      </c>
      <c r="G14257" s="2" t="s">
        <v>16127</v>
      </c>
      <c r="H14257" s="2" t="s">
        <v>16128</v>
      </c>
    </row>
    <row r="14258" spans="1:8" ht="25.05" customHeight="1" x14ac:dyDescent="0.25">
      <c r="A14258" s="2" t="s">
        <v>8</v>
      </c>
      <c r="B14258" s="2" t="str">
        <f>HYPERLINK("http://ts.21cn.com/tousu/show/id/1345811","钱橙无忧随意扣费")</f>
        <v>钱橙无忧随意扣费</v>
      </c>
      <c r="C14258" s="2" t="s">
        <v>9</v>
      </c>
      <c r="D14258" s="2" t="s">
        <v>10</v>
      </c>
      <c r="E14258" s="2" t="str">
        <f>HYPERLINK("http://ts.21cn.com/tousu/show/id/1345811","http://ts.21cn.com/tousu/show/id/1345811")</f>
        <v>http://ts.21cn.com/tousu/show/id/1345811</v>
      </c>
      <c r="F14258" s="2" t="s">
        <v>11</v>
      </c>
      <c r="G14258" s="2" t="s">
        <v>16125</v>
      </c>
      <c r="H14258" s="2" t="s">
        <v>16126</v>
      </c>
    </row>
    <row r="14259" spans="1:8" ht="25.05" customHeight="1" x14ac:dyDescent="0.25">
      <c r="A14259" s="2" t="s">
        <v>8</v>
      </c>
      <c r="B14259" s="2" t="str">
        <f>HYPERLINK("http://ts.21cn.com/tousu/show/id/1345812","新生支付有限公司北京分公司为非法网站提供支付通道")</f>
        <v>新生支付有限公司北京分公司为非法网站提供支付通道</v>
      </c>
      <c r="C14259" s="2" t="s">
        <v>9</v>
      </c>
      <c r="D14259" s="2" t="s">
        <v>10</v>
      </c>
      <c r="E14259" s="2" t="str">
        <f>HYPERLINK("http://ts.21cn.com/tousu/show/id/1345812","http://ts.21cn.com/tousu/show/id/1345812")</f>
        <v>http://ts.21cn.com/tousu/show/id/1345812</v>
      </c>
      <c r="F14259" s="2" t="s">
        <v>11</v>
      </c>
      <c r="G14259" s="2" t="s">
        <v>16123</v>
      </c>
      <c r="H14259" s="2" t="s">
        <v>16124</v>
      </c>
    </row>
    <row r="14260" spans="1:8" ht="25.05" customHeight="1" x14ac:dyDescent="0.25">
      <c r="A14260" s="2" t="s">
        <v>8</v>
      </c>
      <c r="B14260" s="2" t="str">
        <f>HYPERLINK("http://ts.21cn.com/tousu/show/id/1345814","时光分期协商还款")</f>
        <v>时光分期协商还款</v>
      </c>
      <c r="C14260" s="2" t="s">
        <v>34</v>
      </c>
      <c r="D14260" s="2" t="s">
        <v>10</v>
      </c>
      <c r="E14260" s="2" t="str">
        <f>HYPERLINK("http://ts.21cn.com/tousu/show/id/1345814","http://ts.21cn.com/tousu/show/id/1345814")</f>
        <v>http://ts.21cn.com/tousu/show/id/1345814</v>
      </c>
      <c r="F14260" s="2" t="s">
        <v>11</v>
      </c>
      <c r="G14260" s="2" t="s">
        <v>16121</v>
      </c>
      <c r="H14260" s="2" t="s">
        <v>16122</v>
      </c>
    </row>
    <row r="14261" spans="1:8" ht="25.05" customHeight="1" x14ac:dyDescent="0.25">
      <c r="A14261" s="2" t="s">
        <v>8</v>
      </c>
      <c r="B14261" s="2" t="str">
        <f>HYPERLINK("http://ts.21cn.com/tousu/show/id/1345807","派单堂虚假宣传")</f>
        <v>派单堂虚假宣传</v>
      </c>
      <c r="C14261" s="2" t="s">
        <v>9</v>
      </c>
      <c r="D14261" s="2" t="s">
        <v>10</v>
      </c>
      <c r="E14261" s="2" t="str">
        <f>HYPERLINK("http://ts.21cn.com/tousu/show/id/1345807","http://ts.21cn.com/tousu/show/id/1345807")</f>
        <v>http://ts.21cn.com/tousu/show/id/1345807</v>
      </c>
      <c r="F14261" s="2" t="s">
        <v>11</v>
      </c>
      <c r="G14261" s="2" t="s">
        <v>16119</v>
      </c>
      <c r="H14261" s="2" t="s">
        <v>16120</v>
      </c>
    </row>
    <row r="14262" spans="1:8" ht="25.05" customHeight="1" x14ac:dyDescent="0.25">
      <c r="A14262" s="2" t="s">
        <v>8</v>
      </c>
      <c r="B14262" s="2" t="str">
        <f>HYPERLINK("http://ts.21cn.com/tousu/show/id/1345815","金柯贷采取短信轰炸方式暴力催收")</f>
        <v>金柯贷采取短信轰炸方式暴力催收</v>
      </c>
      <c r="C14262" s="2" t="s">
        <v>9</v>
      </c>
      <c r="D14262" s="2" t="s">
        <v>10</v>
      </c>
      <c r="E14262" s="2" t="str">
        <f>HYPERLINK("http://ts.21cn.com/tousu/show/id/1345815","http://ts.21cn.com/tousu/show/id/1345815")</f>
        <v>http://ts.21cn.com/tousu/show/id/1345815</v>
      </c>
      <c r="F14262" s="2" t="s">
        <v>11</v>
      </c>
      <c r="G14262" s="2" t="s">
        <v>16118</v>
      </c>
      <c r="H14262" s="2" t="s">
        <v>11890</v>
      </c>
    </row>
    <row r="14263" spans="1:8" ht="25.05" customHeight="1" x14ac:dyDescent="0.25">
      <c r="A14263" s="2" t="s">
        <v>8</v>
      </c>
      <c r="B14263" s="2" t="str">
        <f>HYPERLINK("http://ts.21cn.com/tousu/show/id/1345816","汇潮支付联合超利贷平台违规放高利贷提供通道")</f>
        <v>汇潮支付联合超利贷平台违规放高利贷提供通道</v>
      </c>
      <c r="C14263" s="2" t="s">
        <v>9</v>
      </c>
      <c r="D14263" s="2" t="s">
        <v>10</v>
      </c>
      <c r="E14263" s="2" t="str">
        <f>HYPERLINK("http://ts.21cn.com/tousu/show/id/1345816","http://ts.21cn.com/tousu/show/id/1345816")</f>
        <v>http://ts.21cn.com/tousu/show/id/1345816</v>
      </c>
      <c r="F14263" s="2" t="s">
        <v>11</v>
      </c>
      <c r="G14263" s="2" t="s">
        <v>16116</v>
      </c>
      <c r="H14263" s="2" t="s">
        <v>16117</v>
      </c>
    </row>
    <row r="14264" spans="1:8" ht="25.05" customHeight="1" x14ac:dyDescent="0.25">
      <c r="A14264" s="2" t="s">
        <v>8</v>
      </c>
      <c r="B14264" s="2" t="str">
        <f>HYPERLINK("http://ts.21cn.com/tousu/show/id/1345817","首信易为非法网站提供支付清算业务，还我血汗钱")</f>
        <v>首信易为非法网站提供支付清算业务，还我血汗钱</v>
      </c>
      <c r="C14264" s="2" t="s">
        <v>9</v>
      </c>
      <c r="D14264" s="2" t="s">
        <v>10</v>
      </c>
      <c r="E14264" s="2" t="str">
        <f>HYPERLINK("http://ts.21cn.com/tousu/show/id/1345817","http://ts.21cn.com/tousu/show/id/1345817")</f>
        <v>http://ts.21cn.com/tousu/show/id/1345817</v>
      </c>
      <c r="F14264" s="2" t="s">
        <v>11</v>
      </c>
      <c r="G14264" s="2" t="s">
        <v>16114</v>
      </c>
      <c r="H14264" s="2" t="s">
        <v>16115</v>
      </c>
    </row>
    <row r="14265" spans="1:8" ht="25.05" customHeight="1" x14ac:dyDescent="0.25">
      <c r="A14265" s="2" t="s">
        <v>8</v>
      </c>
      <c r="B14265" s="2" t="str">
        <f>HYPERLINK("http://ts.21cn.com/tousu/show/id/1345803","蛋壳投诉室友长时间居住2人以上，饲养猫兔子。")</f>
        <v>蛋壳投诉室友长时间居住2人以上，饲养猫兔子。</v>
      </c>
      <c r="C14265" s="2" t="s">
        <v>9</v>
      </c>
      <c r="D14265" s="2" t="s">
        <v>10</v>
      </c>
      <c r="E14265" s="2" t="str">
        <f>HYPERLINK("http://ts.21cn.com/tousu/show/id/1345803","http://ts.21cn.com/tousu/show/id/1345803")</f>
        <v>http://ts.21cn.com/tousu/show/id/1345803</v>
      </c>
      <c r="F14265" s="2" t="s">
        <v>11</v>
      </c>
      <c r="G14265" s="2" t="s">
        <v>16112</v>
      </c>
      <c r="H14265" s="2" t="s">
        <v>16113</v>
      </c>
    </row>
    <row r="14266" spans="1:8" ht="25.05" customHeight="1" x14ac:dyDescent="0.25">
      <c r="A14266" s="2" t="s">
        <v>8</v>
      </c>
      <c r="B14266" s="2" t="str">
        <f>HYPERLINK("http://ts.21cn.com/tousu/show/id/1345819","信用卡逾期，银行委托第三方暴力催收")</f>
        <v>信用卡逾期，银行委托第三方暴力催收</v>
      </c>
      <c r="C14266" s="2" t="s">
        <v>9</v>
      </c>
      <c r="D14266" s="2" t="s">
        <v>10</v>
      </c>
      <c r="E14266" s="2" t="str">
        <f>HYPERLINK("http://ts.21cn.com/tousu/show/id/1345819","http://ts.21cn.com/tousu/show/id/1345819")</f>
        <v>http://ts.21cn.com/tousu/show/id/1345819</v>
      </c>
      <c r="F14266" s="2" t="s">
        <v>11</v>
      </c>
      <c r="G14266" s="2" t="s">
        <v>16110</v>
      </c>
      <c r="H14266" s="2" t="s">
        <v>16111</v>
      </c>
    </row>
    <row r="14267" spans="1:8" ht="25.05" customHeight="1" x14ac:dyDescent="0.25">
      <c r="A14267" s="2" t="s">
        <v>8</v>
      </c>
      <c r="B14267" s="2" t="str">
        <f>HYPERLINK("http://ts.21cn.com/tousu/show/id/1345818","捷信消费金融有限公司")</f>
        <v>捷信消费金融有限公司</v>
      </c>
      <c r="C14267" s="2" t="s">
        <v>9</v>
      </c>
      <c r="D14267" s="2" t="s">
        <v>10</v>
      </c>
      <c r="E14267" s="2" t="str">
        <f>HYPERLINK("http://ts.21cn.com/tousu/show/id/1345818","http://ts.21cn.com/tousu/show/id/1345818")</f>
        <v>http://ts.21cn.com/tousu/show/id/1345818</v>
      </c>
      <c r="F14267" s="2" t="s">
        <v>11</v>
      </c>
      <c r="G14267" s="2" t="s">
        <v>16108</v>
      </c>
      <c r="H14267" s="2" t="s">
        <v>16109</v>
      </c>
    </row>
    <row r="14268" spans="1:8" ht="25.05" customHeight="1" x14ac:dyDescent="0.25">
      <c r="A14268" s="2" t="s">
        <v>8</v>
      </c>
      <c r="B14268" s="2" t="str">
        <f>HYPERLINK("http://ts.21cn.com/tousu/show/id/1345820","淘手游无良黑心交易过程中无端冻结账号，联系客服还不回复，无人解决但求淘手游给一个说法")</f>
        <v>淘手游无良黑心交易过程中无端冻结账号，联系客服还不回复，无人解决但求淘手游给一个说法</v>
      </c>
      <c r="C14268" s="2" t="s">
        <v>9</v>
      </c>
      <c r="D14268" s="2" t="s">
        <v>10</v>
      </c>
      <c r="E14268" s="2" t="str">
        <f>HYPERLINK("http://ts.21cn.com/tousu/show/id/1345820","http://ts.21cn.com/tousu/show/id/1345820")</f>
        <v>http://ts.21cn.com/tousu/show/id/1345820</v>
      </c>
      <c r="F14268" s="2" t="s">
        <v>11</v>
      </c>
      <c r="G14268" s="2" t="s">
        <v>16106</v>
      </c>
      <c r="H14268" s="2" t="s">
        <v>16107</v>
      </c>
    </row>
    <row r="14269" spans="1:8" ht="25.05" customHeight="1" x14ac:dyDescent="0.25">
      <c r="A14269" s="2" t="s">
        <v>8</v>
      </c>
      <c r="B14269" s="2" t="str">
        <f>HYPERLINK("http://ts.21cn.com/tousu/show/id/1345821","瀚银科技为不法平台提供支付通道，造成资金损失，要求退款")</f>
        <v>瀚银科技为不法平台提供支付通道，造成资金损失，要求退款</v>
      </c>
      <c r="C14269" s="2" t="s">
        <v>9</v>
      </c>
      <c r="D14269" s="2" t="s">
        <v>10</v>
      </c>
      <c r="E14269" s="2" t="str">
        <f>HYPERLINK("http://ts.21cn.com/tousu/show/id/1345821","http://ts.21cn.com/tousu/show/id/1345821")</f>
        <v>http://ts.21cn.com/tousu/show/id/1345821</v>
      </c>
      <c r="F14269" s="2" t="s">
        <v>11</v>
      </c>
      <c r="G14269" s="2" t="s">
        <v>16104</v>
      </c>
      <c r="H14269" s="2" t="s">
        <v>16105</v>
      </c>
    </row>
    <row r="14270" spans="1:8" ht="25.05" customHeight="1" x14ac:dyDescent="0.25">
      <c r="A14270" s="2" t="s">
        <v>8</v>
      </c>
      <c r="B14270" s="2" t="str">
        <f>HYPERLINK("http://ts.21cn.com/tousu/show/id/1345822","王者钱包高利贷砍头息")</f>
        <v>王者钱包高利贷砍头息</v>
      </c>
      <c r="C14270" s="2" t="s">
        <v>9</v>
      </c>
      <c r="D14270" s="2" t="s">
        <v>10</v>
      </c>
      <c r="E14270" s="2" t="str">
        <f>HYPERLINK("http://ts.21cn.com/tousu/show/id/1345822","http://ts.21cn.com/tousu/show/id/1345822")</f>
        <v>http://ts.21cn.com/tousu/show/id/1345822</v>
      </c>
      <c r="F14270" s="2" t="s">
        <v>11</v>
      </c>
      <c r="G14270" s="2" t="s">
        <v>16102</v>
      </c>
      <c r="H14270" s="2" t="s">
        <v>16103</v>
      </c>
    </row>
    <row r="14271" spans="1:8" ht="25.05" customHeight="1" x14ac:dyDescent="0.25">
      <c r="A14271" s="2" t="s">
        <v>8</v>
      </c>
      <c r="B14271" s="2" t="str">
        <f>HYPERLINK("http://ts.21cn.com/tousu/show/id/1345823","马上贷协商提前还款减免利息")</f>
        <v>马上贷协商提前还款减免利息</v>
      </c>
      <c r="C14271" s="2" t="s">
        <v>34</v>
      </c>
      <c r="D14271" s="2" t="s">
        <v>10</v>
      </c>
      <c r="E14271" s="2" t="str">
        <f>HYPERLINK("http://ts.21cn.com/tousu/show/id/1345823","http://ts.21cn.com/tousu/show/id/1345823")</f>
        <v>http://ts.21cn.com/tousu/show/id/1345823</v>
      </c>
      <c r="F14271" s="2" t="s">
        <v>11</v>
      </c>
      <c r="G14271" s="2" t="s">
        <v>16100</v>
      </c>
      <c r="H14271" s="2" t="s">
        <v>16101</v>
      </c>
    </row>
    <row r="14272" spans="1:8" ht="25.05" customHeight="1" x14ac:dyDescent="0.25">
      <c r="A14272" s="2" t="s">
        <v>8</v>
      </c>
      <c r="B14272" s="2" t="str">
        <f>HYPERLINK("http://ts.21cn.com/tousu/show/id/1345824","拼多多勾结赌博平台好彩客收取非法赌资")</f>
        <v>拼多多勾结赌博平台好彩客收取非法赌资</v>
      </c>
      <c r="C14272" s="2" t="s">
        <v>9</v>
      </c>
      <c r="D14272" s="2" t="s">
        <v>10</v>
      </c>
      <c r="E14272" s="2" t="str">
        <f>HYPERLINK("http://ts.21cn.com/tousu/show/id/1345824","http://ts.21cn.com/tousu/show/id/1345824")</f>
        <v>http://ts.21cn.com/tousu/show/id/1345824</v>
      </c>
      <c r="F14272" s="2" t="s">
        <v>11</v>
      </c>
      <c r="G14272" s="2" t="s">
        <v>16098</v>
      </c>
      <c r="H14272" s="2" t="s">
        <v>16099</v>
      </c>
    </row>
    <row r="14273" spans="1:8" ht="25.05" customHeight="1" x14ac:dyDescent="0.25">
      <c r="A14273" s="2" t="s">
        <v>8</v>
      </c>
      <c r="B14273" s="2" t="str">
        <f>HYPERLINK("http://ts.21cn.com/tousu/show/id/1345110","福维克温州体验中心隐瞒诱导购买旧款产品")</f>
        <v>福维克温州体验中心隐瞒诱导购买旧款产品</v>
      </c>
      <c r="C14273" s="2" t="s">
        <v>9</v>
      </c>
      <c r="D14273" s="2" t="s">
        <v>10</v>
      </c>
      <c r="E14273" s="2" t="str">
        <f>HYPERLINK("http://ts.21cn.com/tousu/show/id/1345110","http://ts.21cn.com/tousu/show/id/1345110")</f>
        <v>http://ts.21cn.com/tousu/show/id/1345110</v>
      </c>
      <c r="F14273" s="2" t="s">
        <v>11</v>
      </c>
      <c r="G14273" s="2" t="s">
        <v>16096</v>
      </c>
      <c r="H14273" s="2" t="s">
        <v>16097</v>
      </c>
    </row>
    <row r="14274" spans="1:8" ht="25.05" customHeight="1" x14ac:dyDescent="0.25">
      <c r="A14274" s="2" t="s">
        <v>8</v>
      </c>
      <c r="B14274" s="2" t="str">
        <f>HYPERLINK("http://ts.21cn.com/tousu/show/id/1345826","卧龙钱包高利贷")</f>
        <v>卧龙钱包高利贷</v>
      </c>
      <c r="C14274" s="2" t="s">
        <v>9</v>
      </c>
      <c r="D14274" s="2" t="s">
        <v>10</v>
      </c>
      <c r="E14274" s="2" t="str">
        <f>HYPERLINK("http://ts.21cn.com/tousu/show/id/1345826","http://ts.21cn.com/tousu/show/id/1345826")</f>
        <v>http://ts.21cn.com/tousu/show/id/1345826</v>
      </c>
      <c r="F14274" s="2" t="s">
        <v>11</v>
      </c>
      <c r="G14274" s="2" t="s">
        <v>16094</v>
      </c>
      <c r="H14274" s="2" t="s">
        <v>16095</v>
      </c>
    </row>
    <row r="14275" spans="1:8" ht="25.05" customHeight="1" x14ac:dyDescent="0.25">
      <c r="A14275" s="2" t="s">
        <v>8</v>
      </c>
      <c r="B14275" s="2" t="str">
        <f>HYPERLINK("http://ts.21cn.com/tousu/show/id/1345828","同程旅游提钱游借款变相砍头息")</f>
        <v>同程旅游提钱游借款变相砍头息</v>
      </c>
      <c r="C14275" s="2" t="s">
        <v>9</v>
      </c>
      <c r="D14275" s="2" t="s">
        <v>10</v>
      </c>
      <c r="E14275" s="2" t="str">
        <f>HYPERLINK("http://ts.21cn.com/tousu/show/id/1345828","http://ts.21cn.com/tousu/show/id/1345828")</f>
        <v>http://ts.21cn.com/tousu/show/id/1345828</v>
      </c>
      <c r="F14275" s="2" t="s">
        <v>11</v>
      </c>
      <c r="G14275" s="2" t="s">
        <v>16092</v>
      </c>
      <c r="H14275" s="2" t="s">
        <v>16093</v>
      </c>
    </row>
    <row r="14276" spans="1:8" ht="25.05" customHeight="1" x14ac:dyDescent="0.25">
      <c r="A14276" s="2" t="s">
        <v>8</v>
      </c>
      <c r="B14276" s="2" t="str">
        <f>HYPERLINK("http://ts.21cn.com/tousu/show/id/1345829","桔子分期协商还款")</f>
        <v>桔子分期协商还款</v>
      </c>
      <c r="C14276" s="2" t="s">
        <v>34</v>
      </c>
      <c r="D14276" s="2" t="s">
        <v>10</v>
      </c>
      <c r="E14276" s="2" t="str">
        <f>HYPERLINK("http://ts.21cn.com/tousu/show/id/1345829","http://ts.21cn.com/tousu/show/id/1345829")</f>
        <v>http://ts.21cn.com/tousu/show/id/1345829</v>
      </c>
      <c r="F14276" s="2" t="s">
        <v>11</v>
      </c>
      <c r="G14276" s="2" t="s">
        <v>16090</v>
      </c>
      <c r="H14276" s="2" t="s">
        <v>16091</v>
      </c>
    </row>
    <row r="14277" spans="1:8" ht="25.05" customHeight="1" x14ac:dyDescent="0.25">
      <c r="A14277" s="2" t="s">
        <v>8</v>
      </c>
      <c r="B14277" s="2" t="str">
        <f>HYPERLINK("http://ts.21cn.com/tousu/show/id/1345830","比特宝714高利贷")</f>
        <v>比特宝714高利贷</v>
      </c>
      <c r="C14277" s="2" t="s">
        <v>9</v>
      </c>
      <c r="D14277" s="2" t="s">
        <v>10</v>
      </c>
      <c r="E14277" s="2" t="str">
        <f>HYPERLINK("http://ts.21cn.com/tousu/show/id/1345830","http://ts.21cn.com/tousu/show/id/1345830")</f>
        <v>http://ts.21cn.com/tousu/show/id/1345830</v>
      </c>
      <c r="F14277" s="2" t="s">
        <v>11</v>
      </c>
      <c r="G14277" s="2" t="s">
        <v>16088</v>
      </c>
      <c r="H14277" s="2" t="s">
        <v>16089</v>
      </c>
    </row>
    <row r="14278" spans="1:8" ht="25.05" customHeight="1" x14ac:dyDescent="0.25">
      <c r="A14278" s="2" t="s">
        <v>8</v>
      </c>
      <c r="B14278" s="2" t="str">
        <f>HYPERLINK("http://ts.21cn.com/tousu/show/id/1345831","新橙优品借款暗藏保险超高利息，广大银行正规放款")</f>
        <v>新橙优品借款暗藏保险超高利息，广大银行正规放款</v>
      </c>
      <c r="C14278" s="2" t="s">
        <v>9</v>
      </c>
      <c r="D14278" s="2" t="s">
        <v>10</v>
      </c>
      <c r="E14278" s="2" t="str">
        <f>HYPERLINK("http://ts.21cn.com/tousu/show/id/1345831","http://ts.21cn.com/tousu/show/id/1345831")</f>
        <v>http://ts.21cn.com/tousu/show/id/1345831</v>
      </c>
      <c r="F14278" s="2" t="s">
        <v>11</v>
      </c>
      <c r="G14278" s="2" t="s">
        <v>16086</v>
      </c>
      <c r="H14278" s="2" t="s">
        <v>16087</v>
      </c>
    </row>
    <row r="14279" spans="1:8" ht="25.05" customHeight="1" x14ac:dyDescent="0.25">
      <c r="A14279" s="2" t="s">
        <v>8</v>
      </c>
      <c r="B14279" s="2" t="str">
        <f>HYPERLINK("http://ts.21cn.com/tousu/show/id/1345827","诱导贷，没有放款")</f>
        <v>诱导贷，没有放款</v>
      </c>
      <c r="C14279" s="2" t="s">
        <v>9</v>
      </c>
      <c r="D14279" s="2" t="s">
        <v>10</v>
      </c>
      <c r="E14279" s="2" t="str">
        <f>HYPERLINK("http://ts.21cn.com/tousu/show/id/1345827","http://ts.21cn.com/tousu/show/id/1345827")</f>
        <v>http://ts.21cn.com/tousu/show/id/1345827</v>
      </c>
      <c r="F14279" s="2" t="s">
        <v>11</v>
      </c>
      <c r="G14279" s="2" t="s">
        <v>16084</v>
      </c>
      <c r="H14279" s="2" t="s">
        <v>16085</v>
      </c>
    </row>
    <row r="14280" spans="1:8" ht="25.05" customHeight="1" x14ac:dyDescent="0.25">
      <c r="A14280" s="2" t="s">
        <v>8</v>
      </c>
      <c r="B14280" s="2" t="str">
        <f>HYPERLINK("http://ts.21cn.com/tousu/show/id/1345834","银生宝为非法网站违规提供支付通道")</f>
        <v>银生宝为非法网站违规提供支付通道</v>
      </c>
      <c r="C14280" s="2" t="s">
        <v>9</v>
      </c>
      <c r="D14280" s="2" t="s">
        <v>10</v>
      </c>
      <c r="E14280" s="2" t="str">
        <f>HYPERLINK("http://ts.21cn.com/tousu/show/id/1345834","http://ts.21cn.com/tousu/show/id/1345834")</f>
        <v>http://ts.21cn.com/tousu/show/id/1345834</v>
      </c>
      <c r="F14280" s="2" t="s">
        <v>11</v>
      </c>
      <c r="G14280" s="2" t="s">
        <v>16082</v>
      </c>
      <c r="H14280" s="2" t="s">
        <v>16083</v>
      </c>
    </row>
    <row r="14281" spans="1:8" ht="25.05" customHeight="1" x14ac:dyDescent="0.25">
      <c r="A14281" s="2" t="s">
        <v>8</v>
      </c>
      <c r="B14281" s="2" t="str">
        <f>HYPERLINK("http://ts.21cn.com/tousu/show/id/1345836","玖富万卡擅自改写合同，变相收取费用，高利贷")</f>
        <v>玖富万卡擅自改写合同，变相收取费用，高利贷</v>
      </c>
      <c r="C14281" s="2" t="s">
        <v>9</v>
      </c>
      <c r="D14281" s="2" t="s">
        <v>10</v>
      </c>
      <c r="E14281" s="2" t="str">
        <f>HYPERLINK("http://ts.21cn.com/tousu/show/id/1345836","http://ts.21cn.com/tousu/show/id/1345836")</f>
        <v>http://ts.21cn.com/tousu/show/id/1345836</v>
      </c>
      <c r="F14281" s="2" t="s">
        <v>11</v>
      </c>
      <c r="G14281" s="2" t="s">
        <v>16080</v>
      </c>
      <c r="H14281" s="2" t="s">
        <v>16081</v>
      </c>
    </row>
    <row r="14282" spans="1:8" ht="25.05" customHeight="1" x14ac:dyDescent="0.25">
      <c r="A14282" s="2" t="s">
        <v>8</v>
      </c>
      <c r="B14282" s="2" t="str">
        <f>HYPERLINK("http://ts.21cn.com/tousu/show/id/1345839","云闪付提供充值链接给赌博网站")</f>
        <v>云闪付提供充值链接给赌博网站</v>
      </c>
      <c r="C14282" s="2" t="s">
        <v>9</v>
      </c>
      <c r="D14282" s="2" t="s">
        <v>10</v>
      </c>
      <c r="E14282" s="2" t="str">
        <f>HYPERLINK("http://ts.21cn.com/tousu/show/id/1345839","http://ts.21cn.com/tousu/show/id/1345839")</f>
        <v>http://ts.21cn.com/tousu/show/id/1345839</v>
      </c>
      <c r="F14282" s="2" t="s">
        <v>11</v>
      </c>
      <c r="G14282" s="2" t="s">
        <v>16078</v>
      </c>
      <c r="H14282" s="2" t="s">
        <v>16079</v>
      </c>
    </row>
    <row r="14283" spans="1:8" ht="25.05" customHeight="1" x14ac:dyDescent="0.25">
      <c r="A14283" s="2" t="s">
        <v>8</v>
      </c>
      <c r="B14283" s="2" t="str">
        <f>HYPERLINK("http://ts.21cn.com/tousu/show/id/1344149","智行火车票购票出重票退款无门")</f>
        <v>智行火车票购票出重票退款无门</v>
      </c>
      <c r="C14283" s="2" t="s">
        <v>9</v>
      </c>
      <c r="D14283" s="2" t="s">
        <v>10</v>
      </c>
      <c r="E14283" s="2" t="str">
        <f>HYPERLINK("http://ts.21cn.com/tousu/show/id/1344149","http://ts.21cn.com/tousu/show/id/1344149")</f>
        <v>http://ts.21cn.com/tousu/show/id/1344149</v>
      </c>
      <c r="F14283" s="2" t="s">
        <v>11</v>
      </c>
      <c r="G14283" s="2" t="s">
        <v>16076</v>
      </c>
      <c r="H14283" s="2" t="s">
        <v>16077</v>
      </c>
    </row>
    <row r="14284" spans="1:8" ht="25.05" customHeight="1" x14ac:dyDescent="0.25">
      <c r="A14284" s="2" t="s">
        <v>8</v>
      </c>
      <c r="B14284" s="2" t="str">
        <f>HYPERLINK("http://ts.21cn.com/tousu/show/id/1345837","华尔街英语诱导消费第三方贷款")</f>
        <v>华尔街英语诱导消费第三方贷款</v>
      </c>
      <c r="C14284" s="2" t="s">
        <v>9</v>
      </c>
      <c r="D14284" s="2" t="s">
        <v>10</v>
      </c>
      <c r="E14284" s="2" t="str">
        <f>HYPERLINK("http://ts.21cn.com/tousu/show/id/1345837","http://ts.21cn.com/tousu/show/id/1345837")</f>
        <v>http://ts.21cn.com/tousu/show/id/1345837</v>
      </c>
      <c r="F14284" s="2" t="s">
        <v>11</v>
      </c>
      <c r="G14284" s="2" t="s">
        <v>16074</v>
      </c>
      <c r="H14284" s="2" t="s">
        <v>16075</v>
      </c>
    </row>
    <row r="14285" spans="1:8" ht="25.05" customHeight="1" x14ac:dyDescent="0.25">
      <c r="A14285" s="2" t="s">
        <v>8</v>
      </c>
      <c r="B14285" s="2" t="str">
        <f>HYPERLINK("http://ts.21cn.com/tousu/show/id/1345838","你我贷协商提前还款")</f>
        <v>你我贷协商提前还款</v>
      </c>
      <c r="C14285" s="2" t="s">
        <v>34</v>
      </c>
      <c r="D14285" s="2" t="s">
        <v>10</v>
      </c>
      <c r="E14285" s="2" t="str">
        <f>HYPERLINK("http://ts.21cn.com/tousu/show/id/1345838","http://ts.21cn.com/tousu/show/id/1345838")</f>
        <v>http://ts.21cn.com/tousu/show/id/1345838</v>
      </c>
      <c r="F14285" s="2" t="s">
        <v>11</v>
      </c>
      <c r="G14285" s="2" t="s">
        <v>16072</v>
      </c>
      <c r="H14285" s="2" t="s">
        <v>16073</v>
      </c>
    </row>
    <row r="14286" spans="1:8" ht="25.05" customHeight="1" x14ac:dyDescent="0.25">
      <c r="A14286" s="2" t="s">
        <v>8</v>
      </c>
      <c r="B14286" s="2" t="str">
        <f>HYPERLINK("http://ts.21cn.com/tousu/show/id/1345840","银狐闪信骚扰我的家人")</f>
        <v>银狐闪信骚扰我的家人</v>
      </c>
      <c r="C14286" s="2" t="s">
        <v>9</v>
      </c>
      <c r="D14286" s="2" t="s">
        <v>10</v>
      </c>
      <c r="E14286" s="2" t="str">
        <f>HYPERLINK("http://ts.21cn.com/tousu/show/id/1345840","http://ts.21cn.com/tousu/show/id/1345840")</f>
        <v>http://ts.21cn.com/tousu/show/id/1345840</v>
      </c>
      <c r="F14286" s="2" t="s">
        <v>11</v>
      </c>
      <c r="G14286" s="2" t="s">
        <v>16070</v>
      </c>
      <c r="H14286" s="2" t="s">
        <v>16071</v>
      </c>
    </row>
    <row r="14287" spans="1:8" ht="25.05" customHeight="1" x14ac:dyDescent="0.25">
      <c r="A14287" s="2" t="s">
        <v>8</v>
      </c>
      <c r="B14287" s="2" t="str">
        <f>HYPERLINK("http://ts.21cn.com/tousu/show/id/1345095","借了呗说话不算数，套路贷形式")</f>
        <v>借了呗说话不算数，套路贷形式</v>
      </c>
      <c r="C14287" s="2" t="s">
        <v>34</v>
      </c>
      <c r="D14287" s="2" t="s">
        <v>10</v>
      </c>
      <c r="E14287" s="2" t="str">
        <f>HYPERLINK("http://ts.21cn.com/tousu/show/id/1345095","http://ts.21cn.com/tousu/show/id/1345095")</f>
        <v>http://ts.21cn.com/tousu/show/id/1345095</v>
      </c>
      <c r="F14287" s="2" t="s">
        <v>11</v>
      </c>
      <c r="G14287" s="2" t="s">
        <v>16068</v>
      </c>
      <c r="H14287" s="2" t="s">
        <v>16069</v>
      </c>
    </row>
    <row r="14288" spans="1:8" ht="25.05" customHeight="1" x14ac:dyDescent="0.25">
      <c r="A14288" s="2" t="s">
        <v>8</v>
      </c>
      <c r="B14288" s="2" t="str">
        <f>HYPERLINK("http://ts.21cn.com/tousu/show/id/1340690","拼多多违法犯罪残害商家，我要求赔偿，公开道歉")</f>
        <v>拼多多违法犯罪残害商家，我要求赔偿，公开道歉</v>
      </c>
      <c r="C14288" s="2" t="s">
        <v>9</v>
      </c>
      <c r="D14288" s="2" t="s">
        <v>10</v>
      </c>
      <c r="E14288" s="2" t="str">
        <f>HYPERLINK("http://ts.21cn.com/tousu/show/id/1340690","http://ts.21cn.com/tousu/show/id/1340690")</f>
        <v>http://ts.21cn.com/tousu/show/id/1340690</v>
      </c>
      <c r="F14288" s="2" t="s">
        <v>11</v>
      </c>
      <c r="G14288" s="2" t="s">
        <v>16066</v>
      </c>
      <c r="H14288" s="2" t="s">
        <v>16067</v>
      </c>
    </row>
    <row r="14289" spans="1:8" ht="25.05" customHeight="1" x14ac:dyDescent="0.25">
      <c r="A14289" s="2" t="s">
        <v>8</v>
      </c>
      <c r="B14289" s="2" t="str">
        <f>HYPERLINK("http://ts.21cn.com/tousu/show/id/1345841","已经结清还款系统却显示逾期")</f>
        <v>已经结清还款系统却显示逾期</v>
      </c>
      <c r="C14289" s="2" t="s">
        <v>34</v>
      </c>
      <c r="D14289" s="2" t="s">
        <v>10</v>
      </c>
      <c r="E14289" s="2" t="str">
        <f>HYPERLINK("http://ts.21cn.com/tousu/show/id/1345841","http://ts.21cn.com/tousu/show/id/1345841")</f>
        <v>http://ts.21cn.com/tousu/show/id/1345841</v>
      </c>
      <c r="F14289" s="2" t="s">
        <v>11</v>
      </c>
      <c r="G14289" s="2" t="s">
        <v>16064</v>
      </c>
      <c r="H14289" s="2" t="s">
        <v>16065</v>
      </c>
    </row>
    <row r="14290" spans="1:8" ht="25.05" customHeight="1" x14ac:dyDescent="0.25">
      <c r="A14290" s="2" t="s">
        <v>8</v>
      </c>
      <c r="B14290" s="2" t="str">
        <f>HYPERLINK("http://ts.21cn.com/tousu/show/id/1345842","盈盈有钱还款不消除负面")</f>
        <v>盈盈有钱还款不消除负面</v>
      </c>
      <c r="C14290" s="2" t="s">
        <v>9</v>
      </c>
      <c r="D14290" s="2" t="s">
        <v>10</v>
      </c>
      <c r="E14290" s="2" t="str">
        <f>HYPERLINK("http://ts.21cn.com/tousu/show/id/1345842","http://ts.21cn.com/tousu/show/id/1345842")</f>
        <v>http://ts.21cn.com/tousu/show/id/1345842</v>
      </c>
      <c r="F14290" s="2" t="s">
        <v>11</v>
      </c>
      <c r="G14290" s="2" t="s">
        <v>16062</v>
      </c>
      <c r="H14290" s="2" t="s">
        <v>16063</v>
      </c>
    </row>
    <row r="14291" spans="1:8" ht="25.05" customHeight="1" x14ac:dyDescent="0.25">
      <c r="A14291" s="2" t="s">
        <v>8</v>
      </c>
      <c r="B14291" s="2" t="str">
        <f>HYPERLINK("http://ts.21cn.com/tousu/show/id/1345843","闪银担保费用")</f>
        <v>闪银担保费用</v>
      </c>
      <c r="C14291" s="2" t="s">
        <v>34</v>
      </c>
      <c r="D14291" s="2" t="s">
        <v>10</v>
      </c>
      <c r="E14291" s="2" t="str">
        <f>HYPERLINK("http://ts.21cn.com/tousu/show/id/1345843","http://ts.21cn.com/tousu/show/id/1345843")</f>
        <v>http://ts.21cn.com/tousu/show/id/1345843</v>
      </c>
      <c r="F14291" s="2" t="s">
        <v>11</v>
      </c>
      <c r="G14291" s="2" t="s">
        <v>16060</v>
      </c>
      <c r="H14291" s="2" t="s">
        <v>16061</v>
      </c>
    </row>
    <row r="14292" spans="1:8" ht="25.05" customHeight="1" x14ac:dyDescent="0.25">
      <c r="A14292" s="2" t="s">
        <v>8</v>
      </c>
      <c r="B14292" s="2" t="str">
        <f>HYPERLINK("http://ts.21cn.com/tousu/show/id/1345844","立借钱置宝app无法还款造成逾期")</f>
        <v>立借钱置宝app无法还款造成逾期</v>
      </c>
      <c r="C14292" s="2" t="s">
        <v>9</v>
      </c>
      <c r="D14292" s="2" t="s">
        <v>10</v>
      </c>
      <c r="E14292" s="2" t="str">
        <f>HYPERLINK("http://ts.21cn.com/tousu/show/id/1345844","http://ts.21cn.com/tousu/show/id/1345844")</f>
        <v>http://ts.21cn.com/tousu/show/id/1345844</v>
      </c>
      <c r="F14292" s="2" t="s">
        <v>11</v>
      </c>
      <c r="G14292" s="2" t="s">
        <v>16058</v>
      </c>
      <c r="H14292" s="2" t="s">
        <v>16059</v>
      </c>
    </row>
    <row r="14293" spans="1:8" ht="25.05" customHeight="1" x14ac:dyDescent="0.25">
      <c r="A14293" s="2" t="s">
        <v>8</v>
      </c>
      <c r="B14293" s="2" t="str">
        <f>HYPERLINK("http://ts.21cn.com/tousu/show/id/1345845","度小满骚扰")</f>
        <v>度小满骚扰</v>
      </c>
      <c r="C14293" s="2" t="s">
        <v>9</v>
      </c>
      <c r="D14293" s="2" t="s">
        <v>10</v>
      </c>
      <c r="E14293" s="2" t="str">
        <f>HYPERLINK("http://ts.21cn.com/tousu/show/id/1345845","http://ts.21cn.com/tousu/show/id/1345845")</f>
        <v>http://ts.21cn.com/tousu/show/id/1345845</v>
      </c>
      <c r="F14293" s="2" t="s">
        <v>11</v>
      </c>
      <c r="G14293" s="2" t="s">
        <v>16056</v>
      </c>
      <c r="H14293" s="2" t="s">
        <v>16057</v>
      </c>
    </row>
    <row r="14294" spans="1:8" ht="25.05" customHeight="1" x14ac:dyDescent="0.25">
      <c r="A14294" s="2" t="s">
        <v>8</v>
      </c>
      <c r="B14294" s="2" t="str">
        <f>HYPERLINK("http://ts.21cn.com/tousu/show/id/1345846","宜人贷还款失败造成逾期费")</f>
        <v>宜人贷还款失败造成逾期费</v>
      </c>
      <c r="C14294" s="2" t="s">
        <v>9</v>
      </c>
      <c r="D14294" s="2" t="s">
        <v>10</v>
      </c>
      <c r="E14294" s="2" t="str">
        <f>HYPERLINK("http://ts.21cn.com/tousu/show/id/1345846","http://ts.21cn.com/tousu/show/id/1345846")</f>
        <v>http://ts.21cn.com/tousu/show/id/1345846</v>
      </c>
      <c r="F14294" s="2" t="s">
        <v>11</v>
      </c>
      <c r="G14294" s="2" t="s">
        <v>16054</v>
      </c>
      <c r="H14294" s="2" t="s">
        <v>16055</v>
      </c>
    </row>
    <row r="14295" spans="1:8" ht="25.05" customHeight="1" x14ac:dyDescent="0.25">
      <c r="A14295" s="2" t="s">
        <v>8</v>
      </c>
      <c r="B14295" s="2" t="str">
        <f>HYPERLINK("http://ts.21cn.com/tousu/show/id/1345847","兴业银行委托第三方恐吓催收")</f>
        <v>兴业银行委托第三方恐吓催收</v>
      </c>
      <c r="C14295" s="2" t="s">
        <v>9</v>
      </c>
      <c r="D14295" s="2" t="s">
        <v>10</v>
      </c>
      <c r="E14295" s="2" t="str">
        <f>HYPERLINK("http://ts.21cn.com/tousu/show/id/1345847","http://ts.21cn.com/tousu/show/id/1345847")</f>
        <v>http://ts.21cn.com/tousu/show/id/1345847</v>
      </c>
      <c r="F14295" s="2" t="s">
        <v>11</v>
      </c>
      <c r="G14295" s="2" t="s">
        <v>16052</v>
      </c>
      <c r="H14295" s="2" t="s">
        <v>16053</v>
      </c>
    </row>
    <row r="14296" spans="1:8" ht="25.05" customHeight="1" x14ac:dyDescent="0.25">
      <c r="A14296" s="2" t="s">
        <v>8</v>
      </c>
      <c r="B14296" s="2" t="str">
        <f>HYPERLINK("http://ts.21cn.com/tousu/show/id/1345848","捷信提前收费和利息")</f>
        <v>捷信提前收费和利息</v>
      </c>
      <c r="C14296" s="2" t="s">
        <v>9</v>
      </c>
      <c r="D14296" s="2" t="s">
        <v>10</v>
      </c>
      <c r="E14296" s="2" t="str">
        <f>HYPERLINK("http://ts.21cn.com/tousu/show/id/1345848","http://ts.21cn.com/tousu/show/id/1345848")</f>
        <v>http://ts.21cn.com/tousu/show/id/1345848</v>
      </c>
      <c r="F14296" s="2" t="s">
        <v>11</v>
      </c>
      <c r="G14296" s="2" t="s">
        <v>16050</v>
      </c>
      <c r="H14296" s="2" t="s">
        <v>16051</v>
      </c>
    </row>
    <row r="14297" spans="1:8" ht="25.05" customHeight="1" x14ac:dyDescent="0.25">
      <c r="A14297" s="2" t="s">
        <v>8</v>
      </c>
      <c r="B14297" s="2" t="str">
        <f>HYPERLINK("http://ts.21cn.com/tousu/show/id/1345849","【拼多多】《诱导非官方交易违规通知》配合处理，否则将被强制退店。要我交10万保证金")</f>
        <v>【拼多多】《诱导非官方交易违规通知》配合处理，否则将被强制退店。要我交10万保证金</v>
      </c>
      <c r="C14297" s="2" t="s">
        <v>34</v>
      </c>
      <c r="D14297" s="2" t="s">
        <v>10</v>
      </c>
      <c r="E14297" s="2" t="str">
        <f>HYPERLINK("http://ts.21cn.com/tousu/show/id/1345849","http://ts.21cn.com/tousu/show/id/1345849")</f>
        <v>http://ts.21cn.com/tousu/show/id/1345849</v>
      </c>
      <c r="F14297" s="2" t="s">
        <v>11</v>
      </c>
      <c r="G14297" s="2" t="s">
        <v>16048</v>
      </c>
      <c r="H14297" s="2" t="s">
        <v>16049</v>
      </c>
    </row>
    <row r="14298" spans="1:8" ht="25.05" customHeight="1" x14ac:dyDescent="0.25">
      <c r="A14298" s="2" t="s">
        <v>8</v>
      </c>
      <c r="B14298" s="2" t="str">
        <f>HYPERLINK("http://ts.21cn.com/tousu/show/id/1345850","暴击催收")</f>
        <v>暴击催收</v>
      </c>
      <c r="C14298" s="2" t="s">
        <v>9</v>
      </c>
      <c r="D14298" s="2" t="s">
        <v>10</v>
      </c>
      <c r="E14298" s="2" t="str">
        <f>HYPERLINK("http://ts.21cn.com/tousu/show/id/1345850","http://ts.21cn.com/tousu/show/id/1345850")</f>
        <v>http://ts.21cn.com/tousu/show/id/1345850</v>
      </c>
      <c r="F14298" s="2" t="s">
        <v>11</v>
      </c>
      <c r="G14298" s="2" t="s">
        <v>16046</v>
      </c>
      <c r="H14298" s="2" t="s">
        <v>16047</v>
      </c>
    </row>
    <row r="14299" spans="1:8" ht="25.05" customHeight="1" x14ac:dyDescent="0.25">
      <c r="A14299" s="2" t="s">
        <v>8</v>
      </c>
      <c r="B14299" s="2" t="str">
        <f>HYPERLINK("http://ts.21cn.com/tousu/show/id/1345853","淘宝号被盗封号了打了电话不管我")</f>
        <v>淘宝号被盗封号了打了电话不管我</v>
      </c>
      <c r="C14299" s="2" t="s">
        <v>9</v>
      </c>
      <c r="D14299" s="2" t="s">
        <v>10</v>
      </c>
      <c r="E14299" s="2" t="str">
        <f>HYPERLINK("http://ts.21cn.com/tousu/show/id/1345853","http://ts.21cn.com/tousu/show/id/1345853")</f>
        <v>http://ts.21cn.com/tousu/show/id/1345853</v>
      </c>
      <c r="F14299" s="2" t="s">
        <v>11</v>
      </c>
      <c r="G14299" s="2" t="s">
        <v>16044</v>
      </c>
      <c r="H14299" s="2" t="s">
        <v>16045</v>
      </c>
    </row>
    <row r="14300" spans="1:8" ht="25.05" customHeight="1" x14ac:dyDescent="0.25">
      <c r="A14300" s="2" t="s">
        <v>8</v>
      </c>
      <c r="B14300" s="2" t="str">
        <f>HYPERLINK("http://ts.21cn.com/tousu/show/id/1345855","要求退保费一万八")</f>
        <v>要求退保费一万八</v>
      </c>
      <c r="C14300" s="2" t="s">
        <v>9</v>
      </c>
      <c r="D14300" s="2" t="s">
        <v>10</v>
      </c>
      <c r="E14300" s="2" t="str">
        <f>HYPERLINK("http://ts.21cn.com/tousu/show/id/1345855","http://ts.21cn.com/tousu/show/id/1345855")</f>
        <v>http://ts.21cn.com/tousu/show/id/1345855</v>
      </c>
      <c r="F14300" s="2" t="s">
        <v>11</v>
      </c>
      <c r="G14300" s="2" t="s">
        <v>16042</v>
      </c>
      <c r="H14300" s="2" t="s">
        <v>16043</v>
      </c>
    </row>
    <row r="14301" spans="1:8" ht="25.05" customHeight="1" x14ac:dyDescent="0.25">
      <c r="A14301" s="2" t="s">
        <v>8</v>
      </c>
      <c r="B14301" s="2" t="str">
        <f>HYPERLINK("http://ts.21cn.com/tousu/show/id/1345856","暴力催收，合同欺诈，电话微信短信恐吓爆通讯录")</f>
        <v>暴力催收，合同欺诈，电话微信短信恐吓爆通讯录</v>
      </c>
      <c r="C14301" s="2" t="s">
        <v>9</v>
      </c>
      <c r="D14301" s="2" t="s">
        <v>10</v>
      </c>
      <c r="E14301" s="2" t="str">
        <f>HYPERLINK("http://ts.21cn.com/tousu/show/id/1345856","http://ts.21cn.com/tousu/show/id/1345856")</f>
        <v>http://ts.21cn.com/tousu/show/id/1345856</v>
      </c>
      <c r="F14301" s="2" t="s">
        <v>11</v>
      </c>
      <c r="G14301" s="2" t="s">
        <v>16040</v>
      </c>
      <c r="H14301" s="2" t="s">
        <v>16041</v>
      </c>
    </row>
    <row r="14302" spans="1:8" ht="25.05" customHeight="1" x14ac:dyDescent="0.25">
      <c r="A14302" s="2" t="s">
        <v>8</v>
      </c>
      <c r="B14302" s="2" t="str">
        <f>HYPERLINK("http://ts.21cn.com/tousu/show/id/1345857","OPPOR9SPLUS大规模无限重启变砖")</f>
        <v>OPPOR9SPLUS大规模无限重启变砖</v>
      </c>
      <c r="C14302" s="2" t="s">
        <v>9</v>
      </c>
      <c r="D14302" s="2" t="s">
        <v>10</v>
      </c>
      <c r="E14302" s="2" t="str">
        <f>HYPERLINK("http://ts.21cn.com/tousu/show/id/1345857","http://ts.21cn.com/tousu/show/id/1345857")</f>
        <v>http://ts.21cn.com/tousu/show/id/1345857</v>
      </c>
      <c r="F14302" s="2" t="s">
        <v>11</v>
      </c>
      <c r="G14302" s="2" t="s">
        <v>16038</v>
      </c>
      <c r="H14302" s="2" t="s">
        <v>16039</v>
      </c>
    </row>
    <row r="14303" spans="1:8" ht="25.05" customHeight="1" x14ac:dyDescent="0.25">
      <c r="A14303" s="2" t="s">
        <v>8</v>
      </c>
      <c r="B14303" s="2" t="str">
        <f>HYPERLINK("http://ts.21cn.com/tousu/show/id/1345858","收砍头息，暴力催收，")</f>
        <v>收砍头息，暴力催收，</v>
      </c>
      <c r="C14303" s="2" t="s">
        <v>9</v>
      </c>
      <c r="D14303" s="2" t="s">
        <v>10</v>
      </c>
      <c r="E14303" s="2" t="str">
        <f>HYPERLINK("http://ts.21cn.com/tousu/show/id/1345858","http://ts.21cn.com/tousu/show/id/1345858")</f>
        <v>http://ts.21cn.com/tousu/show/id/1345858</v>
      </c>
      <c r="F14303" s="2" t="s">
        <v>11</v>
      </c>
      <c r="G14303" s="2" t="s">
        <v>16036</v>
      </c>
      <c r="H14303" s="2" t="s">
        <v>16037</v>
      </c>
    </row>
    <row r="14304" spans="1:8" ht="25.05" customHeight="1" x14ac:dyDescent="0.25">
      <c r="A14304" s="2" t="s">
        <v>8</v>
      </c>
      <c r="B14304" s="2" t="str">
        <f>HYPERLINK("http://ts.21cn.com/tousu/show/id/1345859","投诉支付宝不合规贷款")</f>
        <v>投诉支付宝不合规贷款</v>
      </c>
      <c r="C14304" s="2" t="s">
        <v>9</v>
      </c>
      <c r="D14304" s="2" t="s">
        <v>10</v>
      </c>
      <c r="E14304" s="2" t="str">
        <f>HYPERLINK("http://ts.21cn.com/tousu/show/id/1345859","http://ts.21cn.com/tousu/show/id/1345859")</f>
        <v>http://ts.21cn.com/tousu/show/id/1345859</v>
      </c>
      <c r="F14304" s="2" t="s">
        <v>11</v>
      </c>
      <c r="G14304" s="2" t="s">
        <v>16034</v>
      </c>
      <c r="H14304" s="2" t="s">
        <v>16035</v>
      </c>
    </row>
    <row r="14305" spans="1:8" ht="25.05" customHeight="1" x14ac:dyDescent="0.25">
      <c r="A14305" s="2" t="s">
        <v>8</v>
      </c>
      <c r="B14305" s="2" t="str">
        <f>HYPERLINK("http://ts.21cn.com/tousu/show/id/1345860","洋钱罐子贷款平台实际利率与合同不符")</f>
        <v>洋钱罐子贷款平台实际利率与合同不符</v>
      </c>
      <c r="C14305" s="2" t="s">
        <v>34</v>
      </c>
      <c r="D14305" s="2" t="s">
        <v>10</v>
      </c>
      <c r="E14305" s="2" t="str">
        <f>HYPERLINK("http://ts.21cn.com/tousu/show/id/1345860","http://ts.21cn.com/tousu/show/id/1345860")</f>
        <v>http://ts.21cn.com/tousu/show/id/1345860</v>
      </c>
      <c r="F14305" s="2" t="s">
        <v>11</v>
      </c>
      <c r="G14305" s="2" t="s">
        <v>16032</v>
      </c>
      <c r="H14305" s="2" t="s">
        <v>16033</v>
      </c>
    </row>
    <row r="14306" spans="1:8" ht="25.05" customHeight="1" x14ac:dyDescent="0.25">
      <c r="A14306" s="2" t="s">
        <v>8</v>
      </c>
      <c r="B14306" s="2" t="str">
        <f>HYPERLINK("http://ts.21cn.com/tousu/show/id/1345862","米米罐网贷砍头息")</f>
        <v>米米罐网贷砍头息</v>
      </c>
      <c r="C14306" s="2" t="s">
        <v>34</v>
      </c>
      <c r="D14306" s="2" t="s">
        <v>10</v>
      </c>
      <c r="E14306" s="2" t="str">
        <f>HYPERLINK("http://ts.21cn.com/tousu/show/id/1345862","http://ts.21cn.com/tousu/show/id/1345862")</f>
        <v>http://ts.21cn.com/tousu/show/id/1345862</v>
      </c>
      <c r="F14306" s="2" t="s">
        <v>11</v>
      </c>
      <c r="G14306" s="2" t="s">
        <v>16030</v>
      </c>
      <c r="H14306" s="2" t="s">
        <v>16031</v>
      </c>
    </row>
    <row r="14307" spans="1:8" ht="25.05" customHeight="1" x14ac:dyDescent="0.25">
      <c r="A14307" s="2" t="s">
        <v>8</v>
      </c>
      <c r="B14307" s="2" t="str">
        <f>HYPERLINK("http://ts.21cn.com/tousu/show/id/1345864","拼多多买家恶意下单退款")</f>
        <v>拼多多买家恶意下单退款</v>
      </c>
      <c r="C14307" s="2" t="s">
        <v>9</v>
      </c>
      <c r="D14307" s="2" t="s">
        <v>10</v>
      </c>
      <c r="E14307" s="2" t="str">
        <f>HYPERLINK("http://ts.21cn.com/tousu/show/id/1345864","http://ts.21cn.com/tousu/show/id/1345864")</f>
        <v>http://ts.21cn.com/tousu/show/id/1345864</v>
      </c>
      <c r="F14307" s="2" t="s">
        <v>11</v>
      </c>
      <c r="G14307" s="2" t="s">
        <v>16028</v>
      </c>
      <c r="H14307" s="2" t="s">
        <v>16029</v>
      </c>
    </row>
    <row r="14308" spans="1:8" ht="25.05" customHeight="1" x14ac:dyDescent="0.25">
      <c r="A14308" s="2" t="s">
        <v>8</v>
      </c>
      <c r="B14308" s="2" t="str">
        <f>HYPERLINK("http://ts.21cn.com/tousu/show/id/1345865","钱站g")</f>
        <v>钱站g</v>
      </c>
      <c r="C14308" s="2" t="s">
        <v>9</v>
      </c>
      <c r="D14308" s="2" t="s">
        <v>10</v>
      </c>
      <c r="E14308" s="2" t="str">
        <f>HYPERLINK("http://ts.21cn.com/tousu/show/id/1345865","http://ts.21cn.com/tousu/show/id/1345865")</f>
        <v>http://ts.21cn.com/tousu/show/id/1345865</v>
      </c>
      <c r="F14308" s="2" t="s">
        <v>11</v>
      </c>
      <c r="G14308" s="2" t="s">
        <v>16026</v>
      </c>
      <c r="H14308" s="2" t="s">
        <v>16027</v>
      </c>
    </row>
    <row r="14309" spans="1:8" ht="25.05" customHeight="1" x14ac:dyDescent="0.25">
      <c r="A14309" s="2" t="s">
        <v>8</v>
      </c>
      <c r="B14309" s="2" t="str">
        <f>HYPERLINK("http://ts.21cn.com/tousu/show/id/1345866","恶意催收隐藏收费")</f>
        <v>恶意催收隐藏收费</v>
      </c>
      <c r="C14309" s="2" t="s">
        <v>9</v>
      </c>
      <c r="D14309" s="2" t="s">
        <v>10</v>
      </c>
      <c r="E14309" s="2" t="str">
        <f>HYPERLINK("http://ts.21cn.com/tousu/show/id/1345866","http://ts.21cn.com/tousu/show/id/1345866")</f>
        <v>http://ts.21cn.com/tousu/show/id/1345866</v>
      </c>
      <c r="F14309" s="2" t="s">
        <v>11</v>
      </c>
      <c r="G14309" s="2" t="s">
        <v>16024</v>
      </c>
      <c r="H14309" s="2" t="s">
        <v>16025</v>
      </c>
    </row>
    <row r="14310" spans="1:8" ht="25.05" customHeight="1" x14ac:dyDescent="0.25">
      <c r="A14310" s="2" t="s">
        <v>8</v>
      </c>
      <c r="B14310" s="2" t="str">
        <f>HYPERLINK("http://ts.21cn.com/tousu/show/id/1345863","小花钱包砍头息高利贷")</f>
        <v>小花钱包砍头息高利贷</v>
      </c>
      <c r="C14310" s="2" t="s">
        <v>9</v>
      </c>
      <c r="D14310" s="2" t="s">
        <v>10</v>
      </c>
      <c r="E14310" s="2" t="str">
        <f>HYPERLINK("http://ts.21cn.com/tousu/show/id/1345863","http://ts.21cn.com/tousu/show/id/1345863")</f>
        <v>http://ts.21cn.com/tousu/show/id/1345863</v>
      </c>
      <c r="F14310" s="2" t="s">
        <v>11</v>
      </c>
      <c r="G14310" s="2" t="s">
        <v>16022</v>
      </c>
      <c r="H14310" s="2" t="s">
        <v>16023</v>
      </c>
    </row>
    <row r="14311" spans="1:8" ht="25.05" customHeight="1" x14ac:dyDescent="0.25">
      <c r="A14311" s="2" t="s">
        <v>8</v>
      </c>
      <c r="B14311" s="2" t="str">
        <f>HYPERLINK("http://ts.21cn.com/tousu/show/id/1345868","小当家登不上，要求协商本金结清")</f>
        <v>小当家登不上，要求协商本金结清</v>
      </c>
      <c r="C14311" s="2" t="s">
        <v>9</v>
      </c>
      <c r="D14311" s="2" t="s">
        <v>10</v>
      </c>
      <c r="E14311" s="2" t="str">
        <f>HYPERLINK("http://ts.21cn.com/tousu/show/id/1345868","http://ts.21cn.com/tousu/show/id/1345868")</f>
        <v>http://ts.21cn.com/tousu/show/id/1345868</v>
      </c>
      <c r="F14311" s="2" t="s">
        <v>11</v>
      </c>
      <c r="G14311" s="2" t="s">
        <v>16020</v>
      </c>
      <c r="H14311" s="2" t="s">
        <v>16021</v>
      </c>
    </row>
    <row r="14312" spans="1:8" ht="25.05" customHeight="1" x14ac:dyDescent="0.25">
      <c r="A14312" s="2" t="s">
        <v>8</v>
      </c>
      <c r="B14312" s="2" t="str">
        <f>HYPERLINK("http://ts.21cn.com/tousu/show/id/1345870","猫眼邀请新用户")</f>
        <v>猫眼邀请新用户</v>
      </c>
      <c r="C14312" s="2" t="s">
        <v>9</v>
      </c>
      <c r="D14312" s="2" t="s">
        <v>10</v>
      </c>
      <c r="E14312" s="2" t="str">
        <f>HYPERLINK("http://ts.21cn.com/tousu/show/id/1345870","http://ts.21cn.com/tousu/show/id/1345870")</f>
        <v>http://ts.21cn.com/tousu/show/id/1345870</v>
      </c>
      <c r="F14312" s="2" t="s">
        <v>11</v>
      </c>
      <c r="G14312" s="2" t="s">
        <v>16018</v>
      </c>
      <c r="H14312" s="2" t="s">
        <v>16019</v>
      </c>
    </row>
    <row r="14313" spans="1:8" ht="25.05" customHeight="1" x14ac:dyDescent="0.25">
      <c r="A14313" s="2" t="s">
        <v>8</v>
      </c>
      <c r="B14313" s="2" t="str">
        <f>HYPERLINK("http://ts.21cn.com/tousu/show/id/1345871","闪银砍头息及系统不更新账单逾期导致无法使用")</f>
        <v>闪银砍头息及系统不更新账单逾期导致无法使用</v>
      </c>
      <c r="C14313" s="2" t="s">
        <v>9</v>
      </c>
      <c r="D14313" s="2" t="s">
        <v>10</v>
      </c>
      <c r="E14313" s="2" t="str">
        <f>HYPERLINK("http://ts.21cn.com/tousu/show/id/1345871","http://ts.21cn.com/tousu/show/id/1345871")</f>
        <v>http://ts.21cn.com/tousu/show/id/1345871</v>
      </c>
      <c r="F14313" s="2" t="s">
        <v>11</v>
      </c>
      <c r="G14313" s="2" t="s">
        <v>16016</v>
      </c>
      <c r="H14313" s="2" t="s">
        <v>16017</v>
      </c>
    </row>
    <row r="14314" spans="1:8" ht="25.05" customHeight="1" x14ac:dyDescent="0.25">
      <c r="A14314" s="2" t="s">
        <v>8</v>
      </c>
      <c r="B14314" s="2" t="str">
        <f>HYPERLINK("http://ts.21cn.com/tousu/show/id/1345872","被高利贷坑害")</f>
        <v>被高利贷坑害</v>
      </c>
      <c r="C14314" s="2" t="s">
        <v>9</v>
      </c>
      <c r="D14314" s="2" t="s">
        <v>10</v>
      </c>
      <c r="E14314" s="2" t="str">
        <f>HYPERLINK("http://ts.21cn.com/tousu/show/id/1345872","http://ts.21cn.com/tousu/show/id/1345872")</f>
        <v>http://ts.21cn.com/tousu/show/id/1345872</v>
      </c>
      <c r="F14314" s="2" t="s">
        <v>11</v>
      </c>
      <c r="G14314" s="2" t="s">
        <v>16014</v>
      </c>
      <c r="H14314" s="2" t="s">
        <v>16015</v>
      </c>
    </row>
    <row r="14315" spans="1:8" ht="25.05" customHeight="1" x14ac:dyDescent="0.25">
      <c r="A14315" s="2" t="s">
        <v>8</v>
      </c>
      <c r="B14315" s="2" t="str">
        <f>HYPERLINK("http://ts.21cn.com/tousu/show/id/1345873","非法扣款")</f>
        <v>非法扣款</v>
      </c>
      <c r="C14315" s="2" t="s">
        <v>9</v>
      </c>
      <c r="D14315" s="2" t="s">
        <v>10</v>
      </c>
      <c r="E14315" s="2" t="str">
        <f>HYPERLINK("http://ts.21cn.com/tousu/show/id/1345873","http://ts.21cn.com/tousu/show/id/1345873")</f>
        <v>http://ts.21cn.com/tousu/show/id/1345873</v>
      </c>
      <c r="F14315" s="2" t="s">
        <v>11</v>
      </c>
      <c r="G14315" s="2" t="s">
        <v>16012</v>
      </c>
      <c r="H14315" s="2" t="s">
        <v>16013</v>
      </c>
    </row>
    <row r="14316" spans="1:8" ht="25.05" customHeight="1" x14ac:dyDescent="0.25">
      <c r="A14316" s="2" t="s">
        <v>8</v>
      </c>
      <c r="B14316" s="2" t="str">
        <f>HYPERLINK("http://ts.21cn.com/tousu/show/id/1345876","月光侠分期阴阳合同，砍头息")</f>
        <v>月光侠分期阴阳合同，砍头息</v>
      </c>
      <c r="C14316" s="2" t="s">
        <v>9</v>
      </c>
      <c r="D14316" s="2" t="s">
        <v>10</v>
      </c>
      <c r="E14316" s="2" t="str">
        <f>HYPERLINK("http://ts.21cn.com/tousu/show/id/1345876","http://ts.21cn.com/tousu/show/id/1345876")</f>
        <v>http://ts.21cn.com/tousu/show/id/1345876</v>
      </c>
      <c r="F14316" s="2" t="s">
        <v>11</v>
      </c>
      <c r="G14316" s="2" t="s">
        <v>16010</v>
      </c>
      <c r="H14316" s="2" t="s">
        <v>16011</v>
      </c>
    </row>
    <row r="14317" spans="1:8" ht="25.05" customHeight="1" x14ac:dyDescent="0.25">
      <c r="A14317" s="2" t="s">
        <v>8</v>
      </c>
      <c r="B14317" s="2" t="str">
        <f>HYPERLINK("http://ts.21cn.com/tousu/show/id/1345877","逾期费用太高要求协商还款")</f>
        <v>逾期费用太高要求协商还款</v>
      </c>
      <c r="C14317" s="2" t="s">
        <v>34</v>
      </c>
      <c r="D14317" s="2" t="s">
        <v>10</v>
      </c>
      <c r="E14317" s="2" t="str">
        <f>HYPERLINK("http://ts.21cn.com/tousu/show/id/1345877","http://ts.21cn.com/tousu/show/id/1345877")</f>
        <v>http://ts.21cn.com/tousu/show/id/1345877</v>
      </c>
      <c r="F14317" s="2" t="s">
        <v>11</v>
      </c>
      <c r="G14317" s="2" t="s">
        <v>16008</v>
      </c>
      <c r="H14317" s="2" t="s">
        <v>16009</v>
      </c>
    </row>
    <row r="14318" spans="1:8" ht="25.05" customHeight="1" x14ac:dyDescent="0.25">
      <c r="A14318" s="2" t="s">
        <v>8</v>
      </c>
      <c r="B14318" s="2" t="str">
        <f>HYPERLINK("http://ts.21cn.com/tousu/show/id/1345878","小花钱包暴力催收，无视法律法规，涉嫌套路贷")</f>
        <v>小花钱包暴力催收，无视法律法规，涉嫌套路贷</v>
      </c>
      <c r="C14318" s="2" t="s">
        <v>9</v>
      </c>
      <c r="D14318" s="2" t="s">
        <v>10</v>
      </c>
      <c r="E14318" s="2" t="str">
        <f>HYPERLINK("http://ts.21cn.com/tousu/show/id/1345878","http://ts.21cn.com/tousu/show/id/1345878")</f>
        <v>http://ts.21cn.com/tousu/show/id/1345878</v>
      </c>
      <c r="F14318" s="2" t="s">
        <v>11</v>
      </c>
      <c r="G14318" s="2" t="s">
        <v>16006</v>
      </c>
      <c r="H14318" s="2" t="s">
        <v>16007</v>
      </c>
    </row>
    <row r="14319" spans="1:8" ht="25.05" customHeight="1" x14ac:dyDescent="0.25">
      <c r="A14319" s="2" t="s">
        <v>8</v>
      </c>
      <c r="B14319" s="2" t="str">
        <f>HYPERLINK("http://ts.21cn.com/tousu/show/id/1345879","哆咪黑卡恶意扣款")</f>
        <v>哆咪黑卡恶意扣款</v>
      </c>
      <c r="C14319" s="2" t="s">
        <v>9</v>
      </c>
      <c r="D14319" s="2" t="s">
        <v>10</v>
      </c>
      <c r="E14319" s="2" t="str">
        <f>HYPERLINK("http://ts.21cn.com/tousu/show/id/1345879","http://ts.21cn.com/tousu/show/id/1345879")</f>
        <v>http://ts.21cn.com/tousu/show/id/1345879</v>
      </c>
      <c r="F14319" s="2" t="s">
        <v>11</v>
      </c>
      <c r="G14319" s="2" t="s">
        <v>16004</v>
      </c>
      <c r="H14319" s="2" t="s">
        <v>16005</v>
      </c>
    </row>
    <row r="14320" spans="1:8" ht="25.05" customHeight="1" x14ac:dyDescent="0.25">
      <c r="A14320" s="2" t="s">
        <v>8</v>
      </c>
      <c r="B14320" s="2" t="str">
        <f>HYPERLINK("http://ts.21cn.com/tousu/show/id/1345880","继续投诉开店宝，")</f>
        <v>继续投诉开店宝，</v>
      </c>
      <c r="C14320" s="2" t="s">
        <v>34</v>
      </c>
      <c r="D14320" s="2" t="s">
        <v>10</v>
      </c>
      <c r="E14320" s="2" t="str">
        <f>HYPERLINK("http://ts.21cn.com/tousu/show/id/1345880","http://ts.21cn.com/tousu/show/id/1345880")</f>
        <v>http://ts.21cn.com/tousu/show/id/1345880</v>
      </c>
      <c r="F14320" s="2" t="s">
        <v>11</v>
      </c>
      <c r="G14320" s="2" t="s">
        <v>16002</v>
      </c>
      <c r="H14320" s="2" t="s">
        <v>16003</v>
      </c>
    </row>
    <row r="14321" spans="1:8" ht="25.05" customHeight="1" x14ac:dyDescent="0.25">
      <c r="A14321" s="2" t="s">
        <v>8</v>
      </c>
      <c r="B14321" s="2" t="str">
        <f>HYPERLINK("http://ts.21cn.com/tousu/show/id/1345882","苏宁易购答谢会忽悠人")</f>
        <v>苏宁易购答谢会忽悠人</v>
      </c>
      <c r="C14321" s="2" t="s">
        <v>9</v>
      </c>
      <c r="D14321" s="2" t="s">
        <v>10</v>
      </c>
      <c r="E14321" s="2" t="str">
        <f>HYPERLINK("http://ts.21cn.com/tousu/show/id/1345882","http://ts.21cn.com/tousu/show/id/1345882")</f>
        <v>http://ts.21cn.com/tousu/show/id/1345882</v>
      </c>
      <c r="F14321" s="2" t="s">
        <v>11</v>
      </c>
      <c r="G14321" s="2" t="s">
        <v>16000</v>
      </c>
      <c r="H14321" s="2" t="s">
        <v>16001</v>
      </c>
    </row>
    <row r="14322" spans="1:8" ht="25.05" customHeight="1" x14ac:dyDescent="0.25">
      <c r="A14322" s="2" t="s">
        <v>8</v>
      </c>
      <c r="B14322" s="2" t="str">
        <f>HYPERLINK("http://ts.21cn.com/tousu/show/id/1345883","豹子贷无故扣钱不需要还要扣")</f>
        <v>豹子贷无故扣钱不需要还要扣</v>
      </c>
      <c r="C14322" s="2" t="s">
        <v>9</v>
      </c>
      <c r="D14322" s="2" t="s">
        <v>10</v>
      </c>
      <c r="E14322" s="2" t="str">
        <f>HYPERLINK("http://ts.21cn.com/tousu/show/id/1345883","http://ts.21cn.com/tousu/show/id/1345883")</f>
        <v>http://ts.21cn.com/tousu/show/id/1345883</v>
      </c>
      <c r="F14322" s="2" t="s">
        <v>11</v>
      </c>
      <c r="G14322" s="2" t="s">
        <v>15998</v>
      </c>
      <c r="H14322" s="2" t="s">
        <v>15999</v>
      </c>
    </row>
    <row r="14323" spans="1:8" ht="25.05" customHeight="1" x14ac:dyDescent="0.25">
      <c r="A14323" s="2" t="s">
        <v>8</v>
      </c>
      <c r="B14323" s="2" t="str">
        <f>HYPERLINK("http://ts.21cn.com/tousu/show/id/1345884","汇潮支付为高炮蜜瓜钱包提供放款渠道")</f>
        <v>汇潮支付为高炮蜜瓜钱包提供放款渠道</v>
      </c>
      <c r="C14323" s="2" t="s">
        <v>9</v>
      </c>
      <c r="D14323" s="2" t="s">
        <v>10</v>
      </c>
      <c r="E14323" s="2" t="str">
        <f>HYPERLINK("http://ts.21cn.com/tousu/show/id/1345884","http://ts.21cn.com/tousu/show/id/1345884")</f>
        <v>http://ts.21cn.com/tousu/show/id/1345884</v>
      </c>
      <c r="F14323" s="2" t="s">
        <v>11</v>
      </c>
      <c r="G14323" s="2" t="s">
        <v>15997</v>
      </c>
      <c r="H14323" s="2" t="s">
        <v>15984</v>
      </c>
    </row>
    <row r="14324" spans="1:8" ht="25.05" customHeight="1" x14ac:dyDescent="0.25">
      <c r="A14324" s="2" t="s">
        <v>8</v>
      </c>
      <c r="B14324" s="2" t="str">
        <f>HYPERLINK("http://ts.21cn.com/tousu/show/id/1345886","遭遇套路贷，还没放款，想取消")</f>
        <v>遭遇套路贷，还没放款，想取消</v>
      </c>
      <c r="C14324" s="2" t="s">
        <v>9</v>
      </c>
      <c r="D14324" s="2" t="s">
        <v>10</v>
      </c>
      <c r="E14324" s="2" t="str">
        <f>HYPERLINK("http://ts.21cn.com/tousu/show/id/1345886","http://ts.21cn.com/tousu/show/id/1345886")</f>
        <v>http://ts.21cn.com/tousu/show/id/1345886</v>
      </c>
      <c r="F14324" s="2" t="s">
        <v>11</v>
      </c>
      <c r="G14324" s="2" t="s">
        <v>15995</v>
      </c>
      <c r="H14324" s="2" t="s">
        <v>15996</v>
      </c>
    </row>
    <row r="14325" spans="1:8" ht="25.05" customHeight="1" x14ac:dyDescent="0.25">
      <c r="A14325" s="2" t="s">
        <v>8</v>
      </c>
      <c r="B14325" s="2" t="str">
        <f>HYPERLINK("http://ts.21cn.com/tousu/show/id/1345887","唯品会购物没有履行保价服务")</f>
        <v>唯品会购物没有履行保价服务</v>
      </c>
      <c r="C14325" s="2" t="s">
        <v>9</v>
      </c>
      <c r="D14325" s="2" t="s">
        <v>10</v>
      </c>
      <c r="E14325" s="2" t="str">
        <f>HYPERLINK("http://ts.21cn.com/tousu/show/id/1345887","http://ts.21cn.com/tousu/show/id/1345887")</f>
        <v>http://ts.21cn.com/tousu/show/id/1345887</v>
      </c>
      <c r="F14325" s="2" t="s">
        <v>11</v>
      </c>
      <c r="G14325" s="2" t="s">
        <v>15993</v>
      </c>
      <c r="H14325" s="2" t="s">
        <v>15994</v>
      </c>
    </row>
    <row r="14326" spans="1:8" ht="25.05" customHeight="1" x14ac:dyDescent="0.25">
      <c r="A14326" s="2" t="s">
        <v>8</v>
      </c>
      <c r="B14326" s="2" t="str">
        <f>HYPERLINK("http://ts.21cn.com/tousu/show/id/1345875","畅行怡兴存在诱导消费者行为")</f>
        <v>畅行怡兴存在诱导消费者行为</v>
      </c>
      <c r="C14326" s="2" t="s">
        <v>9</v>
      </c>
      <c r="D14326" s="2" t="s">
        <v>10</v>
      </c>
      <c r="E14326" s="2" t="str">
        <f>HYPERLINK("http://ts.21cn.com/tousu/show/id/1345875","http://ts.21cn.com/tousu/show/id/1345875")</f>
        <v>http://ts.21cn.com/tousu/show/id/1345875</v>
      </c>
      <c r="F14326" s="2" t="s">
        <v>11</v>
      </c>
      <c r="G14326" s="2" t="s">
        <v>15991</v>
      </c>
      <c r="H14326" s="2" t="s">
        <v>15992</v>
      </c>
    </row>
    <row r="14327" spans="1:8" ht="25.05" customHeight="1" x14ac:dyDescent="0.25">
      <c r="A14327" s="2" t="s">
        <v>8</v>
      </c>
      <c r="B14327" s="2" t="str">
        <f>HYPERLINK("http://ts.21cn.com/tousu/show/id/1345888","火影帮砍头息")</f>
        <v>火影帮砍头息</v>
      </c>
      <c r="C14327" s="2" t="s">
        <v>34</v>
      </c>
      <c r="D14327" s="2" t="s">
        <v>10</v>
      </c>
      <c r="E14327" s="2" t="str">
        <f>HYPERLINK("http://ts.21cn.com/tousu/show/id/1345888","http://ts.21cn.com/tousu/show/id/1345888")</f>
        <v>http://ts.21cn.com/tousu/show/id/1345888</v>
      </c>
      <c r="F14327" s="2" t="s">
        <v>11</v>
      </c>
      <c r="G14327" s="2" t="s">
        <v>15989</v>
      </c>
      <c r="H14327" s="2" t="s">
        <v>15990</v>
      </c>
    </row>
    <row r="14328" spans="1:8" ht="25.05" customHeight="1" x14ac:dyDescent="0.25">
      <c r="A14328" s="2" t="s">
        <v>8</v>
      </c>
      <c r="B14328" s="2" t="str">
        <f>HYPERLINK("http://ts.21cn.com/tousu/show/id/1345889","旺卡猫欺诈！！！！！！")</f>
        <v>旺卡猫欺诈！！！！！！</v>
      </c>
      <c r="C14328" s="2" t="s">
        <v>9</v>
      </c>
      <c r="D14328" s="2" t="s">
        <v>10</v>
      </c>
      <c r="E14328" s="2" t="str">
        <f>HYPERLINK("http://ts.21cn.com/tousu/show/id/1345889","http://ts.21cn.com/tousu/show/id/1345889")</f>
        <v>http://ts.21cn.com/tousu/show/id/1345889</v>
      </c>
      <c r="F14328" s="2" t="s">
        <v>11</v>
      </c>
      <c r="G14328" s="2" t="s">
        <v>15987</v>
      </c>
      <c r="H14328" s="2" t="s">
        <v>15988</v>
      </c>
    </row>
    <row r="14329" spans="1:8" ht="25.05" customHeight="1" x14ac:dyDescent="0.25">
      <c r="A14329" s="2" t="s">
        <v>8</v>
      </c>
      <c r="B14329" s="2" t="str">
        <f>HYPERLINK("http://ts.21cn.com/tousu/show/id/1345890","已经还款了担不更新还款状态")</f>
        <v>已经还款了担不更新还款状态</v>
      </c>
      <c r="C14329" s="2" t="s">
        <v>9</v>
      </c>
      <c r="D14329" s="2" t="s">
        <v>10</v>
      </c>
      <c r="E14329" s="2" t="str">
        <f>HYPERLINK("http://ts.21cn.com/tousu/show/id/1345890","http://ts.21cn.com/tousu/show/id/1345890")</f>
        <v>http://ts.21cn.com/tousu/show/id/1345890</v>
      </c>
      <c r="F14329" s="2" t="s">
        <v>11</v>
      </c>
      <c r="G14329" s="2" t="s">
        <v>15985</v>
      </c>
      <c r="H14329" s="2" t="s">
        <v>15986</v>
      </c>
    </row>
    <row r="14330" spans="1:8" ht="25.05" customHeight="1" x14ac:dyDescent="0.25">
      <c r="A14330" s="2" t="s">
        <v>8</v>
      </c>
      <c r="B14330" s="2" t="str">
        <f>HYPERLINK("http://ts.21cn.com/tousu/show/id/1345891","汇潮支付为高利贷蜜瓜钱包提供放款渠道")</f>
        <v>汇潮支付为高利贷蜜瓜钱包提供放款渠道</v>
      </c>
      <c r="C14330" s="2" t="s">
        <v>9</v>
      </c>
      <c r="D14330" s="2" t="s">
        <v>10</v>
      </c>
      <c r="E14330" s="2" t="str">
        <f>HYPERLINK("http://ts.21cn.com/tousu/show/id/1345891","http://ts.21cn.com/tousu/show/id/1345891")</f>
        <v>http://ts.21cn.com/tousu/show/id/1345891</v>
      </c>
      <c r="F14330" s="2" t="s">
        <v>11</v>
      </c>
      <c r="G14330" s="2" t="s">
        <v>15983</v>
      </c>
      <c r="H14330" s="2" t="s">
        <v>15984</v>
      </c>
    </row>
    <row r="14331" spans="1:8" ht="25.05" customHeight="1" x14ac:dyDescent="0.25">
      <c r="A14331" s="2" t="s">
        <v>8</v>
      </c>
      <c r="B14331" s="2" t="str">
        <f>HYPERLINK("http://ts.21cn.com/tousu/show/id/1345894","捷信账户不给注销")</f>
        <v>捷信账户不给注销</v>
      </c>
      <c r="C14331" s="2" t="s">
        <v>34</v>
      </c>
      <c r="D14331" s="2" t="s">
        <v>10</v>
      </c>
      <c r="E14331" s="2" t="str">
        <f>HYPERLINK("http://ts.21cn.com/tousu/show/id/1345894","http://ts.21cn.com/tousu/show/id/1345894")</f>
        <v>http://ts.21cn.com/tousu/show/id/1345894</v>
      </c>
      <c r="F14331" s="2" t="s">
        <v>11</v>
      </c>
      <c r="G14331" s="2" t="s">
        <v>15981</v>
      </c>
      <c r="H14331" s="2" t="s">
        <v>15982</v>
      </c>
    </row>
    <row r="14332" spans="1:8" ht="25.05" customHeight="1" x14ac:dyDescent="0.25">
      <c r="A14332" s="2" t="s">
        <v>8</v>
      </c>
      <c r="B14332" s="2" t="str">
        <f>HYPERLINK("http://ts.21cn.com/tousu/show/id/1345897","大量用户无法退还立刻出行499元押金")</f>
        <v>大量用户无法退还立刻出行499元押金</v>
      </c>
      <c r="C14332" s="2" t="s">
        <v>34</v>
      </c>
      <c r="D14332" s="2" t="s">
        <v>10</v>
      </c>
      <c r="E14332" s="2" t="str">
        <f>HYPERLINK("http://ts.21cn.com/tousu/show/id/1345897","http://ts.21cn.com/tousu/show/id/1345897")</f>
        <v>http://ts.21cn.com/tousu/show/id/1345897</v>
      </c>
      <c r="F14332" s="2" t="s">
        <v>11</v>
      </c>
      <c r="G14332" s="2" t="s">
        <v>15979</v>
      </c>
      <c r="H14332" s="2" t="s">
        <v>15980</v>
      </c>
    </row>
    <row r="14333" spans="1:8" ht="25.05" customHeight="1" x14ac:dyDescent="0.25">
      <c r="A14333" s="2" t="s">
        <v>8</v>
      </c>
      <c r="B14333" s="2" t="str">
        <f>HYPERLINK("http://ts.21cn.com/tousu/show/id/1345898","暴利催收")</f>
        <v>暴利催收</v>
      </c>
      <c r="C14333" s="2" t="s">
        <v>9</v>
      </c>
      <c r="D14333" s="2" t="s">
        <v>10</v>
      </c>
      <c r="E14333" s="2" t="str">
        <f>HYPERLINK("http://ts.21cn.com/tousu/show/id/1345898","http://ts.21cn.com/tousu/show/id/1345898")</f>
        <v>http://ts.21cn.com/tousu/show/id/1345898</v>
      </c>
      <c r="F14333" s="2" t="s">
        <v>11</v>
      </c>
      <c r="G14333" s="2" t="s">
        <v>15977</v>
      </c>
      <c r="H14333" s="2" t="s">
        <v>15978</v>
      </c>
    </row>
    <row r="14334" spans="1:8" ht="25.05" customHeight="1" x14ac:dyDescent="0.25">
      <c r="A14334" s="2" t="s">
        <v>8</v>
      </c>
      <c r="B14334" s="2" t="str">
        <f>HYPERLINK("http://ts.21cn.com/tousu/show/id/1345899","浦发银行言而无信")</f>
        <v>浦发银行言而无信</v>
      </c>
      <c r="C14334" s="2" t="s">
        <v>9</v>
      </c>
      <c r="D14334" s="2" t="s">
        <v>10</v>
      </c>
      <c r="E14334" s="2" t="str">
        <f>HYPERLINK("http://ts.21cn.com/tousu/show/id/1345899","http://ts.21cn.com/tousu/show/id/1345899")</f>
        <v>http://ts.21cn.com/tousu/show/id/1345899</v>
      </c>
      <c r="F14334" s="2" t="s">
        <v>11</v>
      </c>
      <c r="G14334" s="2" t="s">
        <v>15975</v>
      </c>
      <c r="H14334" s="2" t="s">
        <v>15976</v>
      </c>
    </row>
    <row r="14335" spans="1:8" ht="25.05" customHeight="1" x14ac:dyDescent="0.25">
      <c r="A14335" s="2" t="s">
        <v>8</v>
      </c>
      <c r="B14335" s="2" t="str">
        <f>HYPERLINK("http://ts.21cn.com/tousu/show/id/1345867","淘宝禁封账户")</f>
        <v>淘宝禁封账户</v>
      </c>
      <c r="C14335" s="2" t="s">
        <v>9</v>
      </c>
      <c r="D14335" s="2" t="s">
        <v>10</v>
      </c>
      <c r="E14335" s="2" t="str">
        <f>HYPERLINK("http://ts.21cn.com/tousu/show/id/1345867","http://ts.21cn.com/tousu/show/id/1345867")</f>
        <v>http://ts.21cn.com/tousu/show/id/1345867</v>
      </c>
      <c r="F14335" s="2" t="s">
        <v>11</v>
      </c>
      <c r="G14335" s="2" t="s">
        <v>15973</v>
      </c>
      <c r="H14335" s="2" t="s">
        <v>15974</v>
      </c>
    </row>
    <row r="14336" spans="1:8" ht="25.05" customHeight="1" x14ac:dyDescent="0.25">
      <c r="A14336" s="2" t="s">
        <v>8</v>
      </c>
      <c r="B14336" s="2" t="str">
        <f>HYPERLINK("http://ts.21cn.com/tousu/show/id/1345900","钱站高利贷阴阳合同")</f>
        <v>钱站高利贷阴阳合同</v>
      </c>
      <c r="C14336" s="2" t="s">
        <v>9</v>
      </c>
      <c r="D14336" s="2" t="s">
        <v>10</v>
      </c>
      <c r="E14336" s="2" t="str">
        <f>HYPERLINK("http://ts.21cn.com/tousu/show/id/1345900","http://ts.21cn.com/tousu/show/id/1345900")</f>
        <v>http://ts.21cn.com/tousu/show/id/1345900</v>
      </c>
      <c r="F14336" s="2" t="s">
        <v>11</v>
      </c>
      <c r="G14336" s="2" t="s">
        <v>15971</v>
      </c>
      <c r="H14336" s="2" t="s">
        <v>15972</v>
      </c>
    </row>
    <row r="14337" spans="1:8" ht="25.05" customHeight="1" x14ac:dyDescent="0.25">
      <c r="A14337" s="2" t="s">
        <v>8</v>
      </c>
      <c r="B14337" s="2" t="str">
        <f>HYPERLINK("http://ts.21cn.com/tousu/show/id/1345901","支付宝收款无故被限制，请求恢复其功能")</f>
        <v>支付宝收款无故被限制，请求恢复其功能</v>
      </c>
      <c r="C14337" s="2" t="s">
        <v>9</v>
      </c>
      <c r="D14337" s="2" t="s">
        <v>10</v>
      </c>
      <c r="E14337" s="2" t="str">
        <f>HYPERLINK("http://ts.21cn.com/tousu/show/id/1345901","http://ts.21cn.com/tousu/show/id/1345901")</f>
        <v>http://ts.21cn.com/tousu/show/id/1345901</v>
      </c>
      <c r="F14337" s="2" t="s">
        <v>11</v>
      </c>
      <c r="G14337" s="2" t="s">
        <v>15969</v>
      </c>
      <c r="H14337" s="2" t="s">
        <v>15970</v>
      </c>
    </row>
    <row r="14338" spans="1:8" ht="25.05" customHeight="1" x14ac:dyDescent="0.25">
      <c r="A14338" s="2" t="s">
        <v>8</v>
      </c>
      <c r="B14338" s="2" t="str">
        <f>HYPERLINK("http://ts.21cn.com/tousu/show/id/1345893","招联金融伪造文书并协商撤诉后未处理")</f>
        <v>招联金融伪造文书并协商撤诉后未处理</v>
      </c>
      <c r="C14338" s="2" t="s">
        <v>9</v>
      </c>
      <c r="D14338" s="2" t="s">
        <v>10</v>
      </c>
      <c r="E14338" s="2" t="str">
        <f>HYPERLINK("http://ts.21cn.com/tousu/show/id/1345893","http://ts.21cn.com/tousu/show/id/1345893")</f>
        <v>http://ts.21cn.com/tousu/show/id/1345893</v>
      </c>
      <c r="F14338" s="2" t="s">
        <v>11</v>
      </c>
      <c r="G14338" s="2" t="s">
        <v>15967</v>
      </c>
      <c r="H14338" s="2" t="s">
        <v>15968</v>
      </c>
    </row>
    <row r="14339" spans="1:8" ht="25.05" customHeight="1" x14ac:dyDescent="0.25">
      <c r="A14339" s="2" t="s">
        <v>8</v>
      </c>
      <c r="B14339" s="2" t="str">
        <f>HYPERLINK("http://ts.21cn.com/tousu/show/id/1345892","宜人贷借款平台利息高，收取巨额信息咨询费")</f>
        <v>宜人贷借款平台利息高，收取巨额信息咨询费</v>
      </c>
      <c r="C14339" s="2" t="s">
        <v>9</v>
      </c>
      <c r="D14339" s="2" t="s">
        <v>10</v>
      </c>
      <c r="E14339" s="2" t="str">
        <f>HYPERLINK("http://ts.21cn.com/tousu/show/id/1345892","http://ts.21cn.com/tousu/show/id/1345892")</f>
        <v>http://ts.21cn.com/tousu/show/id/1345892</v>
      </c>
      <c r="F14339" s="2" t="s">
        <v>11</v>
      </c>
      <c r="G14339" s="2" t="s">
        <v>15965</v>
      </c>
      <c r="H14339" s="2" t="s">
        <v>15966</v>
      </c>
    </row>
    <row r="14340" spans="1:8" ht="25.05" customHeight="1" x14ac:dyDescent="0.25">
      <c r="A14340" s="2" t="s">
        <v>8</v>
      </c>
      <c r="B14340" s="2" t="str">
        <f>HYPERLINK("http://ts.21cn.com/tousu/show/id/1345902","所售产品实际权益和销售时所介绍权益不一致")</f>
        <v>所售产品实际权益和销售时所介绍权益不一致</v>
      </c>
      <c r="C14340" s="2" t="s">
        <v>9</v>
      </c>
      <c r="D14340" s="2" t="s">
        <v>10</v>
      </c>
      <c r="E14340" s="2" t="str">
        <f>HYPERLINK("http://ts.21cn.com/tousu/show/id/1345902","http://ts.21cn.com/tousu/show/id/1345902")</f>
        <v>http://ts.21cn.com/tousu/show/id/1345902</v>
      </c>
      <c r="F14340" s="2" t="s">
        <v>11</v>
      </c>
      <c r="G14340" s="2" t="s">
        <v>15963</v>
      </c>
      <c r="H14340" s="2" t="s">
        <v>15964</v>
      </c>
    </row>
    <row r="14341" spans="1:8" ht="25.05" customHeight="1" x14ac:dyDescent="0.25">
      <c r="A14341" s="2" t="s">
        <v>8</v>
      </c>
      <c r="B14341" s="2" t="str">
        <f>HYPERLINK("http://ts.21cn.com/tousu/show/id/1345903","快闪卡贷高利贷砍头息")</f>
        <v>快闪卡贷高利贷砍头息</v>
      </c>
      <c r="C14341" s="2" t="s">
        <v>9</v>
      </c>
      <c r="D14341" s="2" t="s">
        <v>10</v>
      </c>
      <c r="E14341" s="2" t="str">
        <f>HYPERLINK("http://ts.21cn.com/tousu/show/id/1345903","http://ts.21cn.com/tousu/show/id/1345903")</f>
        <v>http://ts.21cn.com/tousu/show/id/1345903</v>
      </c>
      <c r="F14341" s="2" t="s">
        <v>11</v>
      </c>
      <c r="G14341" s="2" t="s">
        <v>15961</v>
      </c>
      <c r="H14341" s="2" t="s">
        <v>15962</v>
      </c>
    </row>
    <row r="14342" spans="1:8" ht="25.05" customHeight="1" x14ac:dyDescent="0.25">
      <c r="A14342" s="2" t="s">
        <v>8</v>
      </c>
      <c r="B14342" s="2" t="str">
        <f>HYPERLINK("http://ts.21cn.com/tousu/show/id/1345904","指尖借贷款高利贷")</f>
        <v>指尖借贷款高利贷</v>
      </c>
      <c r="C14342" s="2" t="s">
        <v>9</v>
      </c>
      <c r="D14342" s="2" t="s">
        <v>10</v>
      </c>
      <c r="E14342" s="2" t="str">
        <f>HYPERLINK("http://ts.21cn.com/tousu/show/id/1345904","http://ts.21cn.com/tousu/show/id/1345904")</f>
        <v>http://ts.21cn.com/tousu/show/id/1345904</v>
      </c>
      <c r="F14342" s="2" t="s">
        <v>11</v>
      </c>
      <c r="G14342" s="2" t="s">
        <v>15959</v>
      </c>
      <c r="H14342" s="2" t="s">
        <v>15960</v>
      </c>
    </row>
    <row r="14343" spans="1:8" ht="25.05" customHeight="1" x14ac:dyDescent="0.25">
      <c r="A14343" s="2" t="s">
        <v>8</v>
      </c>
      <c r="B14343" s="2" t="str">
        <f>HYPERLINK("http://ts.21cn.com/tousu/show/id/1345905","百事普惠未经本人允许私自恶意扣款")</f>
        <v>百事普惠未经本人允许私自恶意扣款</v>
      </c>
      <c r="C14343" s="2" t="s">
        <v>9</v>
      </c>
      <c r="D14343" s="2" t="s">
        <v>10</v>
      </c>
      <c r="E14343" s="2" t="str">
        <f>HYPERLINK("http://ts.21cn.com/tousu/show/id/1345905","http://ts.21cn.com/tousu/show/id/1345905")</f>
        <v>http://ts.21cn.com/tousu/show/id/1345905</v>
      </c>
      <c r="F14343" s="2" t="s">
        <v>11</v>
      </c>
      <c r="G14343" s="2" t="s">
        <v>15957</v>
      </c>
      <c r="H14343" s="2" t="s">
        <v>15958</v>
      </c>
    </row>
    <row r="14344" spans="1:8" ht="25.05" customHeight="1" x14ac:dyDescent="0.25">
      <c r="A14344" s="2" t="s">
        <v>8</v>
      </c>
      <c r="B14344" s="2" t="str">
        <f>HYPERLINK("http://ts.21cn.com/tousu/show/id/1345906","借呗已还清，开不了结清证明")</f>
        <v>借呗已还清，开不了结清证明</v>
      </c>
      <c r="C14344" s="2" t="s">
        <v>9</v>
      </c>
      <c r="D14344" s="2" t="s">
        <v>10</v>
      </c>
      <c r="E14344" s="2" t="str">
        <f>HYPERLINK("http://ts.21cn.com/tousu/show/id/1345906","http://ts.21cn.com/tousu/show/id/1345906")</f>
        <v>http://ts.21cn.com/tousu/show/id/1345906</v>
      </c>
      <c r="F14344" s="2" t="s">
        <v>11</v>
      </c>
      <c r="G14344" s="2" t="s">
        <v>15955</v>
      </c>
      <c r="H14344" s="2" t="s">
        <v>15956</v>
      </c>
    </row>
    <row r="14345" spans="1:8" ht="25.05" customHeight="1" x14ac:dyDescent="0.25">
      <c r="A14345" s="2" t="s">
        <v>8</v>
      </c>
      <c r="B14345" s="2" t="str">
        <f>HYPERLINK("http://ts.21cn.com/tousu/show/id/1345907","没有经过本人同意乱扣费")</f>
        <v>没有经过本人同意乱扣费</v>
      </c>
      <c r="C14345" s="2" t="s">
        <v>9</v>
      </c>
      <c r="D14345" s="2" t="s">
        <v>10</v>
      </c>
      <c r="E14345" s="2" t="str">
        <f>HYPERLINK("http://ts.21cn.com/tousu/show/id/1345907","http://ts.21cn.com/tousu/show/id/1345907")</f>
        <v>http://ts.21cn.com/tousu/show/id/1345907</v>
      </c>
      <c r="F14345" s="2" t="s">
        <v>11</v>
      </c>
      <c r="G14345" s="2" t="s">
        <v>15953</v>
      </c>
      <c r="H14345" s="2" t="s">
        <v>15954</v>
      </c>
    </row>
    <row r="14346" spans="1:8" ht="25.05" customHeight="1" x14ac:dyDescent="0.25">
      <c r="A14346" s="2" t="s">
        <v>8</v>
      </c>
      <c r="B14346" s="2" t="str">
        <f>HYPERLINK("http://ts.21cn.com/tousu/show/id/1345908","盛钱包坑激活费")</f>
        <v>盛钱包坑激活费</v>
      </c>
      <c r="C14346" s="2" t="s">
        <v>34</v>
      </c>
      <c r="D14346" s="2" t="s">
        <v>10</v>
      </c>
      <c r="E14346" s="2" t="str">
        <f>HYPERLINK("http://ts.21cn.com/tousu/show/id/1345908","http://ts.21cn.com/tousu/show/id/1345908")</f>
        <v>http://ts.21cn.com/tousu/show/id/1345908</v>
      </c>
      <c r="F14346" s="2" t="s">
        <v>11</v>
      </c>
      <c r="G14346" s="2" t="s">
        <v>15951</v>
      </c>
      <c r="H14346" s="2" t="s">
        <v>15952</v>
      </c>
    </row>
    <row r="14347" spans="1:8" ht="25.05" customHeight="1" x14ac:dyDescent="0.25">
      <c r="A14347" s="2" t="s">
        <v>8</v>
      </c>
      <c r="B14347" s="2" t="str">
        <f>HYPERLINK("http://ts.21cn.com/tousu/show/id/1345909","约单订单诚意金问题")</f>
        <v>约单订单诚意金问题</v>
      </c>
      <c r="C14347" s="2" t="s">
        <v>9</v>
      </c>
      <c r="D14347" s="2" t="s">
        <v>10</v>
      </c>
      <c r="E14347" s="2" t="str">
        <f>HYPERLINK("http://ts.21cn.com/tousu/show/id/1345909","http://ts.21cn.com/tousu/show/id/1345909")</f>
        <v>http://ts.21cn.com/tousu/show/id/1345909</v>
      </c>
      <c r="F14347" s="2" t="s">
        <v>11</v>
      </c>
      <c r="G14347" s="2" t="s">
        <v>15949</v>
      </c>
      <c r="H14347" s="2" t="s">
        <v>15950</v>
      </c>
    </row>
    <row r="14348" spans="1:8" ht="25.05" customHeight="1" x14ac:dyDescent="0.25">
      <c r="A14348" s="2" t="s">
        <v>8</v>
      </c>
      <c r="B14348" s="2" t="str">
        <f>HYPERLINK("http://ts.21cn.com/tousu/show/id/1345910","农行信用卡软暴力催收")</f>
        <v>农行信用卡软暴力催收</v>
      </c>
      <c r="C14348" s="2" t="s">
        <v>9</v>
      </c>
      <c r="D14348" s="2" t="s">
        <v>10</v>
      </c>
      <c r="E14348" s="2" t="str">
        <f>HYPERLINK("http://ts.21cn.com/tousu/show/id/1345910","http://ts.21cn.com/tousu/show/id/1345910")</f>
        <v>http://ts.21cn.com/tousu/show/id/1345910</v>
      </c>
      <c r="F14348" s="2" t="s">
        <v>11</v>
      </c>
      <c r="G14348" s="2" t="s">
        <v>15947</v>
      </c>
      <c r="H14348" s="2" t="s">
        <v>15948</v>
      </c>
    </row>
    <row r="14349" spans="1:8" ht="25.05" customHeight="1" x14ac:dyDescent="0.25">
      <c r="A14349" s="2" t="s">
        <v>8</v>
      </c>
      <c r="B14349" s="2" t="str">
        <f>HYPERLINK("http://ts.21cn.com/tousu/show/id/1345913","抖音显示我绑定了身份证号")</f>
        <v>抖音显示我绑定了身份证号</v>
      </c>
      <c r="C14349" s="2" t="s">
        <v>9</v>
      </c>
      <c r="D14349" s="2" t="s">
        <v>10</v>
      </c>
      <c r="E14349" s="2" t="str">
        <f>HYPERLINK("http://ts.21cn.com/tousu/show/id/1345913","http://ts.21cn.com/tousu/show/id/1345913")</f>
        <v>http://ts.21cn.com/tousu/show/id/1345913</v>
      </c>
      <c r="F14349" s="2" t="s">
        <v>11</v>
      </c>
      <c r="G14349" s="2" t="s">
        <v>15945</v>
      </c>
      <c r="H14349" s="2" t="s">
        <v>15946</v>
      </c>
    </row>
    <row r="14350" spans="1:8" ht="25.05" customHeight="1" x14ac:dyDescent="0.25">
      <c r="A14350" s="2" t="s">
        <v>8</v>
      </c>
      <c r="B14350" s="2" t="str">
        <f>HYPERLINK("http://ts.21cn.com/tousu/show/id/1345914","中国移动公司处理问题在玩太极，口口声声回复职能部门处理问题，结果一直拖延至此")</f>
        <v>中国移动公司处理问题在玩太极，口口声声回复职能部门处理问题，结果一直拖延至此</v>
      </c>
      <c r="C14350" s="2" t="s">
        <v>9</v>
      </c>
      <c r="D14350" s="2" t="s">
        <v>10</v>
      </c>
      <c r="E14350" s="2" t="str">
        <f>HYPERLINK("http://ts.21cn.com/tousu/show/id/1345914","http://ts.21cn.com/tousu/show/id/1345914")</f>
        <v>http://ts.21cn.com/tousu/show/id/1345914</v>
      </c>
      <c r="F14350" s="2" t="s">
        <v>11</v>
      </c>
      <c r="G14350" s="2" t="s">
        <v>15943</v>
      </c>
      <c r="H14350" s="2" t="s">
        <v>15944</v>
      </c>
    </row>
    <row r="14351" spans="1:8" ht="25.05" customHeight="1" x14ac:dyDescent="0.25">
      <c r="A14351" s="2" t="s">
        <v>8</v>
      </c>
      <c r="B14351" s="2" t="str">
        <f>HYPERLINK("http://ts.21cn.com/tousu/show/id/1345915","微贷多米贷催收骚扰请协商下")</f>
        <v>微贷多米贷催收骚扰请协商下</v>
      </c>
      <c r="C14351" s="2" t="s">
        <v>9</v>
      </c>
      <c r="D14351" s="2" t="s">
        <v>10</v>
      </c>
      <c r="E14351" s="2" t="str">
        <f>HYPERLINK("http://ts.21cn.com/tousu/show/id/1345915","http://ts.21cn.com/tousu/show/id/1345915")</f>
        <v>http://ts.21cn.com/tousu/show/id/1345915</v>
      </c>
      <c r="F14351" s="2" t="s">
        <v>11</v>
      </c>
      <c r="G14351" s="2" t="s">
        <v>15941</v>
      </c>
      <c r="H14351" s="2" t="s">
        <v>15942</v>
      </c>
    </row>
    <row r="14352" spans="1:8" ht="25.05" customHeight="1" x14ac:dyDescent="0.25">
      <c r="A14352" s="2" t="s">
        <v>8</v>
      </c>
      <c r="B14352" s="2" t="str">
        <f>HYPERLINK("http://ts.21cn.com/tousu/show/id/1345916","莫名其妙的贷款管理费用，管理什么东西")</f>
        <v>莫名其妙的贷款管理费用，管理什么东西</v>
      </c>
      <c r="C14352" s="2" t="s">
        <v>9</v>
      </c>
      <c r="D14352" s="2" t="s">
        <v>10</v>
      </c>
      <c r="E14352" s="2" t="str">
        <f>HYPERLINK("http://ts.21cn.com/tousu/show/id/1345916","http://ts.21cn.com/tousu/show/id/1345916")</f>
        <v>http://ts.21cn.com/tousu/show/id/1345916</v>
      </c>
      <c r="F14352" s="2" t="s">
        <v>11</v>
      </c>
      <c r="G14352" s="2" t="s">
        <v>15939</v>
      </c>
      <c r="H14352" s="2" t="s">
        <v>15940</v>
      </c>
    </row>
    <row r="14353" spans="1:8" ht="25.05" customHeight="1" x14ac:dyDescent="0.25">
      <c r="A14353" s="2" t="s">
        <v>8</v>
      </c>
      <c r="B14353" s="2" t="str">
        <f>HYPERLINK("http://ts.21cn.com/tousu/show/id/1345917","你我贷暴力催收砍头息")</f>
        <v>你我贷暴力催收砍头息</v>
      </c>
      <c r="C14353" s="2" t="s">
        <v>9</v>
      </c>
      <c r="D14353" s="2" t="s">
        <v>10</v>
      </c>
      <c r="E14353" s="2" t="str">
        <f>HYPERLINK("http://ts.21cn.com/tousu/show/id/1345917","http://ts.21cn.com/tousu/show/id/1345917")</f>
        <v>http://ts.21cn.com/tousu/show/id/1345917</v>
      </c>
      <c r="F14353" s="2" t="s">
        <v>11</v>
      </c>
      <c r="G14353" s="2" t="s">
        <v>15937</v>
      </c>
      <c r="H14353" s="2" t="s">
        <v>15938</v>
      </c>
    </row>
    <row r="14354" spans="1:8" ht="25.05" customHeight="1" x14ac:dyDescent="0.25">
      <c r="A14354" s="2" t="s">
        <v>8</v>
      </c>
      <c r="B14354" s="2" t="str">
        <f>HYPERLINK("http://ts.21cn.com/tousu/show/id/1345918","转转验机存在漏洞，没有尽到提醒告知义务")</f>
        <v>转转验机存在漏洞，没有尽到提醒告知义务</v>
      </c>
      <c r="C14354" s="2" t="s">
        <v>9</v>
      </c>
      <c r="D14354" s="2" t="s">
        <v>10</v>
      </c>
      <c r="E14354" s="2" t="str">
        <f>HYPERLINK("http://ts.21cn.com/tousu/show/id/1345918","http://ts.21cn.com/tousu/show/id/1345918")</f>
        <v>http://ts.21cn.com/tousu/show/id/1345918</v>
      </c>
      <c r="F14354" s="2" t="s">
        <v>11</v>
      </c>
      <c r="G14354" s="2" t="s">
        <v>15935</v>
      </c>
      <c r="H14354" s="2" t="s">
        <v>15936</v>
      </c>
    </row>
    <row r="14355" spans="1:8" ht="25.05" customHeight="1" x14ac:dyDescent="0.25">
      <c r="A14355" s="2" t="s">
        <v>8</v>
      </c>
      <c r="B14355" s="2" t="str">
        <f>HYPERLINK("http://ts.21cn.com/tousu/show/id/1345919","恶意欺诈强行扣款")</f>
        <v>恶意欺诈强行扣款</v>
      </c>
      <c r="C14355" s="2" t="s">
        <v>9</v>
      </c>
      <c r="D14355" s="2" t="s">
        <v>10</v>
      </c>
      <c r="E14355" s="2" t="str">
        <f>HYPERLINK("http://ts.21cn.com/tousu/show/id/1345919","http://ts.21cn.com/tousu/show/id/1345919")</f>
        <v>http://ts.21cn.com/tousu/show/id/1345919</v>
      </c>
      <c r="F14355" s="2" t="s">
        <v>11</v>
      </c>
      <c r="G14355" s="2" t="s">
        <v>15933</v>
      </c>
      <c r="H14355" s="2" t="s">
        <v>15934</v>
      </c>
    </row>
    <row r="14356" spans="1:8" ht="25.05" customHeight="1" x14ac:dyDescent="0.25">
      <c r="A14356" s="2" t="s">
        <v>8</v>
      </c>
      <c r="B14356" s="2" t="str">
        <f>HYPERLINK("http://ts.21cn.com/tousu/show/id/1345920","转转验机收了钱验机蒙混过关卖家无良")</f>
        <v>转转验机收了钱验机蒙混过关卖家无良</v>
      </c>
      <c r="C14356" s="2" t="s">
        <v>9</v>
      </c>
      <c r="D14356" s="2" t="s">
        <v>10</v>
      </c>
      <c r="E14356" s="2" t="str">
        <f>HYPERLINK("http://ts.21cn.com/tousu/show/id/1345920","http://ts.21cn.com/tousu/show/id/1345920")</f>
        <v>http://ts.21cn.com/tousu/show/id/1345920</v>
      </c>
      <c r="F14356" s="2" t="s">
        <v>11</v>
      </c>
      <c r="G14356" s="2" t="s">
        <v>15931</v>
      </c>
      <c r="H14356" s="2" t="s">
        <v>15932</v>
      </c>
    </row>
    <row r="14357" spans="1:8" ht="25.05" customHeight="1" x14ac:dyDescent="0.25">
      <c r="A14357" s="2" t="s">
        <v>8</v>
      </c>
      <c r="B14357" s="2" t="str">
        <f>HYPERLINK("http://ts.21cn.com/tousu/show/id/1345921","瑞银信收不到短信验证码")</f>
        <v>瑞银信收不到短信验证码</v>
      </c>
      <c r="C14357" s="2" t="s">
        <v>9</v>
      </c>
      <c r="D14357" s="2" t="s">
        <v>10</v>
      </c>
      <c r="E14357" s="2" t="str">
        <f>HYPERLINK("http://ts.21cn.com/tousu/show/id/1345921","http://ts.21cn.com/tousu/show/id/1345921")</f>
        <v>http://ts.21cn.com/tousu/show/id/1345921</v>
      </c>
      <c r="F14357" s="2" t="s">
        <v>11</v>
      </c>
      <c r="G14357" s="2" t="s">
        <v>15929</v>
      </c>
      <c r="H14357" s="2" t="s">
        <v>15930</v>
      </c>
    </row>
    <row r="14358" spans="1:8" ht="25.05" customHeight="1" x14ac:dyDescent="0.25">
      <c r="A14358" s="2" t="s">
        <v>8</v>
      </c>
      <c r="B14358" s="2" t="str">
        <f>HYPERLINK("http://ts.21cn.com/tousu/show/id/1345922","快鱼分期服务费捆绑保险费")</f>
        <v>快鱼分期服务费捆绑保险费</v>
      </c>
      <c r="C14358" s="2" t="s">
        <v>9</v>
      </c>
      <c r="D14358" s="2" t="s">
        <v>10</v>
      </c>
      <c r="E14358" s="2" t="str">
        <f>HYPERLINK("http://ts.21cn.com/tousu/show/id/1345922","http://ts.21cn.com/tousu/show/id/1345922")</f>
        <v>http://ts.21cn.com/tousu/show/id/1345922</v>
      </c>
      <c r="F14358" s="2" t="s">
        <v>11</v>
      </c>
      <c r="G14358" s="2" t="s">
        <v>15927</v>
      </c>
      <c r="H14358" s="2" t="s">
        <v>15928</v>
      </c>
    </row>
    <row r="14359" spans="1:8" ht="25.05" customHeight="1" x14ac:dyDescent="0.25">
      <c r="A14359" s="2" t="s">
        <v>8</v>
      </c>
      <c r="B14359" s="2" t="str">
        <f>HYPERLINK("http://ts.21cn.com/tousu/show/id/1345923","广发银行伙同黑社会恐吓老人")</f>
        <v>广发银行伙同黑社会恐吓老人</v>
      </c>
      <c r="C14359" s="2" t="s">
        <v>9</v>
      </c>
      <c r="D14359" s="2" t="s">
        <v>10</v>
      </c>
      <c r="E14359" s="2" t="str">
        <f>HYPERLINK("http://ts.21cn.com/tousu/show/id/1345923","http://ts.21cn.com/tousu/show/id/1345923")</f>
        <v>http://ts.21cn.com/tousu/show/id/1345923</v>
      </c>
      <c r="F14359" s="2" t="s">
        <v>11</v>
      </c>
      <c r="G14359" s="2" t="s">
        <v>15925</v>
      </c>
      <c r="H14359" s="2" t="s">
        <v>15926</v>
      </c>
    </row>
    <row r="14360" spans="1:8" ht="25.05" customHeight="1" x14ac:dyDescent="0.25">
      <c r="A14360" s="2" t="s">
        <v>8</v>
      </c>
      <c r="B14360" s="2" t="str">
        <f>HYPERLINK("http://ts.21cn.com/tousu/show/id/1345924","豹子贷")</f>
        <v>豹子贷</v>
      </c>
      <c r="C14360" s="2" t="s">
        <v>9</v>
      </c>
      <c r="D14360" s="2" t="s">
        <v>10</v>
      </c>
      <c r="E14360" s="2" t="str">
        <f>HYPERLINK("http://ts.21cn.com/tousu/show/id/1345924","http://ts.21cn.com/tousu/show/id/1345924")</f>
        <v>http://ts.21cn.com/tousu/show/id/1345924</v>
      </c>
      <c r="F14360" s="2" t="s">
        <v>11</v>
      </c>
      <c r="G14360" s="2" t="s">
        <v>15923</v>
      </c>
      <c r="H14360" s="2" t="s">
        <v>15924</v>
      </c>
    </row>
    <row r="14361" spans="1:8" ht="25.05" customHeight="1" x14ac:dyDescent="0.25">
      <c r="A14361" s="2" t="s">
        <v>8</v>
      </c>
      <c r="B14361" s="2" t="str">
        <f>HYPERLINK("http://ts.21cn.com/tousu/show/id/1345925","支付宝没有尽到第三方平台的责任义务")</f>
        <v>支付宝没有尽到第三方平台的责任义务</v>
      </c>
      <c r="C14361" s="2" t="s">
        <v>9</v>
      </c>
      <c r="D14361" s="2" t="s">
        <v>10</v>
      </c>
      <c r="E14361" s="2" t="str">
        <f>HYPERLINK("http://ts.21cn.com/tousu/show/id/1345925","http://ts.21cn.com/tousu/show/id/1345925")</f>
        <v>http://ts.21cn.com/tousu/show/id/1345925</v>
      </c>
      <c r="F14361" s="2" t="s">
        <v>11</v>
      </c>
      <c r="G14361" s="2" t="s">
        <v>15921</v>
      </c>
      <c r="H14361" s="2" t="s">
        <v>15922</v>
      </c>
    </row>
    <row r="14362" spans="1:8" ht="25.05" customHeight="1" x14ac:dyDescent="0.25">
      <c r="A14362" s="2" t="s">
        <v>8</v>
      </c>
      <c r="B14362" s="2" t="str">
        <f>HYPERLINK("http://ts.21cn.com/tousu/show/id/1345926","自由摩卡六便士高利贷黑社会骚扰")</f>
        <v>自由摩卡六便士高利贷黑社会骚扰</v>
      </c>
      <c r="C14362" s="2" t="s">
        <v>9</v>
      </c>
      <c r="D14362" s="2" t="s">
        <v>10</v>
      </c>
      <c r="E14362" s="2" t="str">
        <f>HYPERLINK("http://ts.21cn.com/tousu/show/id/1345926","http://ts.21cn.com/tousu/show/id/1345926")</f>
        <v>http://ts.21cn.com/tousu/show/id/1345926</v>
      </c>
      <c r="F14362" s="2" t="s">
        <v>11</v>
      </c>
      <c r="G14362" s="2" t="s">
        <v>15919</v>
      </c>
      <c r="H14362" s="2" t="s">
        <v>15920</v>
      </c>
    </row>
    <row r="14363" spans="1:8" ht="25.05" customHeight="1" x14ac:dyDescent="0.25">
      <c r="A14363" s="2" t="s">
        <v>8</v>
      </c>
      <c r="B14363" s="2" t="str">
        <f>HYPERLINK("http://ts.21cn.com/tousu/show/id/1345928","期待合伙人高利贷暴力催收")</f>
        <v>期待合伙人高利贷暴力催收</v>
      </c>
      <c r="C14363" s="2" t="s">
        <v>9</v>
      </c>
      <c r="D14363" s="2" t="s">
        <v>10</v>
      </c>
      <c r="E14363" s="2" t="str">
        <f>HYPERLINK("http://ts.21cn.com/tousu/show/id/1345928","http://ts.21cn.com/tousu/show/id/1345928")</f>
        <v>http://ts.21cn.com/tousu/show/id/1345928</v>
      </c>
      <c r="F14363" s="2" t="s">
        <v>11</v>
      </c>
      <c r="G14363" s="2" t="s">
        <v>15917</v>
      </c>
      <c r="H14363" s="2" t="s">
        <v>15918</v>
      </c>
    </row>
    <row r="14364" spans="1:8" ht="25.05" customHeight="1" x14ac:dyDescent="0.25">
      <c r="A14364" s="2" t="s">
        <v>8</v>
      </c>
      <c r="B14364" s="2" t="str">
        <f>HYPERLINK("http://ts.21cn.com/tousu/show/id/1345927","豹子贷无故扣钱不需要还要扣")</f>
        <v>豹子贷无故扣钱不需要还要扣</v>
      </c>
      <c r="C14364" s="2" t="s">
        <v>9</v>
      </c>
      <c r="D14364" s="2" t="s">
        <v>10</v>
      </c>
      <c r="E14364" s="2" t="str">
        <f>HYPERLINK("http://ts.21cn.com/tousu/show/id/1345927","http://ts.21cn.com/tousu/show/id/1345927")</f>
        <v>http://ts.21cn.com/tousu/show/id/1345927</v>
      </c>
      <c r="F14364" s="2" t="s">
        <v>11</v>
      </c>
      <c r="G14364" s="2" t="s">
        <v>15915</v>
      </c>
      <c r="H14364" s="2" t="s">
        <v>15916</v>
      </c>
    </row>
    <row r="14365" spans="1:8" ht="25.05" customHeight="1" x14ac:dyDescent="0.25">
      <c r="A14365" s="2" t="s">
        <v>8</v>
      </c>
      <c r="B14365" s="2" t="str">
        <f>HYPERLINK("http://ts.21cn.com/tousu/show/id/1345929","钱站高利贷阴阳合同")</f>
        <v>钱站高利贷阴阳合同</v>
      </c>
      <c r="C14365" s="2" t="s">
        <v>9</v>
      </c>
      <c r="D14365" s="2" t="s">
        <v>10</v>
      </c>
      <c r="E14365" s="2" t="str">
        <f>HYPERLINK("http://ts.21cn.com/tousu/show/id/1345929","http://ts.21cn.com/tousu/show/id/1345929")</f>
        <v>http://ts.21cn.com/tousu/show/id/1345929</v>
      </c>
      <c r="F14365" s="2" t="s">
        <v>11</v>
      </c>
      <c r="G14365" s="2" t="s">
        <v>15913</v>
      </c>
      <c r="H14365" s="2" t="s">
        <v>15914</v>
      </c>
    </row>
    <row r="14366" spans="1:8" ht="25.05" customHeight="1" x14ac:dyDescent="0.25">
      <c r="A14366" s="2" t="s">
        <v>8</v>
      </c>
      <c r="B14366" s="2" t="str">
        <f>HYPERLINK("http://ts.21cn.com/tousu/show/id/1345930","海尔洗衣机三包期内修的更糟糕了要求换新机")</f>
        <v>海尔洗衣机三包期内修的更糟糕了要求换新机</v>
      </c>
      <c r="C14366" s="2" t="s">
        <v>9</v>
      </c>
      <c r="D14366" s="2" t="s">
        <v>10</v>
      </c>
      <c r="E14366" s="2" t="str">
        <f>HYPERLINK("http://ts.21cn.com/tousu/show/id/1345930","http://ts.21cn.com/tousu/show/id/1345930")</f>
        <v>http://ts.21cn.com/tousu/show/id/1345930</v>
      </c>
      <c r="F14366" s="2" t="s">
        <v>11</v>
      </c>
      <c r="G14366" s="2" t="s">
        <v>15911</v>
      </c>
      <c r="H14366" s="2" t="s">
        <v>15912</v>
      </c>
    </row>
    <row r="14367" spans="1:8" ht="25.05" customHeight="1" x14ac:dyDescent="0.25">
      <c r="A14367" s="2" t="s">
        <v>8</v>
      </c>
      <c r="B14367" s="2" t="str">
        <f>HYPERLINK("http://ts.21cn.com/tousu/show/id/1345932","希望平安e贷消除我的个人信息")</f>
        <v>希望平安e贷消除我的个人信息</v>
      </c>
      <c r="C14367" s="2" t="s">
        <v>9</v>
      </c>
      <c r="D14367" s="2" t="s">
        <v>10</v>
      </c>
      <c r="E14367" s="2" t="str">
        <f>HYPERLINK("http://ts.21cn.com/tousu/show/id/1345932","http://ts.21cn.com/tousu/show/id/1345932")</f>
        <v>http://ts.21cn.com/tousu/show/id/1345932</v>
      </c>
      <c r="F14367" s="2" t="s">
        <v>11</v>
      </c>
      <c r="G14367" s="2" t="s">
        <v>15909</v>
      </c>
      <c r="H14367" s="2" t="s">
        <v>15910</v>
      </c>
    </row>
    <row r="14368" spans="1:8" ht="25.05" customHeight="1" x14ac:dyDescent="0.25">
      <c r="A14368" s="2" t="s">
        <v>8</v>
      </c>
      <c r="B14368" s="2" t="str">
        <f>HYPERLINK("http://ts.21cn.com/tousu/show/id/1345931","没有申请现金分期给我发律师函")</f>
        <v>没有申请现金分期给我发律师函</v>
      </c>
      <c r="C14368" s="2" t="s">
        <v>34</v>
      </c>
      <c r="D14368" s="2" t="s">
        <v>10</v>
      </c>
      <c r="E14368" s="2" t="str">
        <f>HYPERLINK("http://ts.21cn.com/tousu/show/id/1345931","http://ts.21cn.com/tousu/show/id/1345931")</f>
        <v>http://ts.21cn.com/tousu/show/id/1345931</v>
      </c>
      <c r="F14368" s="2" t="s">
        <v>11</v>
      </c>
      <c r="G14368" s="2" t="s">
        <v>15907</v>
      </c>
      <c r="H14368" s="2" t="s">
        <v>15908</v>
      </c>
    </row>
    <row r="14369" spans="1:8" ht="25.05" customHeight="1" x14ac:dyDescent="0.25">
      <c r="A14369" s="2" t="s">
        <v>8</v>
      </c>
      <c r="B14369" s="2" t="str">
        <f>HYPERLINK("http://ts.21cn.com/tousu/show/id/1345933","以贷养贷的后果是再也没有家人亲戚朋友了，剩下的只是平台暴力催收")</f>
        <v>以贷养贷的后果是再也没有家人亲戚朋友了，剩下的只是平台暴力催收</v>
      </c>
      <c r="C14369" s="2" t="s">
        <v>9</v>
      </c>
      <c r="D14369" s="2" t="s">
        <v>10</v>
      </c>
      <c r="E14369" s="2" t="str">
        <f>HYPERLINK("http://ts.21cn.com/tousu/show/id/1345933","http://ts.21cn.com/tousu/show/id/1345933")</f>
        <v>http://ts.21cn.com/tousu/show/id/1345933</v>
      </c>
      <c r="F14369" s="2" t="s">
        <v>11</v>
      </c>
      <c r="G14369" s="2" t="s">
        <v>15905</v>
      </c>
      <c r="H14369" s="2" t="s">
        <v>15906</v>
      </c>
    </row>
    <row r="14370" spans="1:8" ht="25.05" customHeight="1" x14ac:dyDescent="0.25">
      <c r="A14370" s="2" t="s">
        <v>8</v>
      </c>
      <c r="B14370" s="2" t="str">
        <f>HYPERLINK("http://ts.21cn.com/tousu/show/id/1345935","私自联系通讯录其他人")</f>
        <v>私自联系通讯录其他人</v>
      </c>
      <c r="C14370" s="2" t="s">
        <v>34</v>
      </c>
      <c r="D14370" s="2" t="s">
        <v>10</v>
      </c>
      <c r="E14370" s="2" t="str">
        <f>HYPERLINK("http://ts.21cn.com/tousu/show/id/1345935","http://ts.21cn.com/tousu/show/id/1345935")</f>
        <v>http://ts.21cn.com/tousu/show/id/1345935</v>
      </c>
      <c r="F14370" s="2" t="s">
        <v>11</v>
      </c>
      <c r="G14370" s="2" t="s">
        <v>15903</v>
      </c>
      <c r="H14370" s="2" t="s">
        <v>15904</v>
      </c>
    </row>
    <row r="14371" spans="1:8" ht="25.05" customHeight="1" x14ac:dyDescent="0.25">
      <c r="A14371" s="2" t="s">
        <v>8</v>
      </c>
      <c r="B14371" s="2" t="str">
        <f>HYPERLINK("http://ts.21cn.com/tousu/show/id/1345936","盛钱包欺诈行为～激活费")</f>
        <v>盛钱包欺诈行为～激活费</v>
      </c>
      <c r="C14371" s="2" t="s">
        <v>9</v>
      </c>
      <c r="D14371" s="2" t="s">
        <v>10</v>
      </c>
      <c r="E14371" s="2" t="str">
        <f>HYPERLINK("http://ts.21cn.com/tousu/show/id/1345936","http://ts.21cn.com/tousu/show/id/1345936")</f>
        <v>http://ts.21cn.com/tousu/show/id/1345936</v>
      </c>
      <c r="F14371" s="2" t="s">
        <v>11</v>
      </c>
      <c r="G14371" s="2" t="s">
        <v>15901</v>
      </c>
      <c r="H14371" s="2" t="s">
        <v>15902</v>
      </c>
    </row>
    <row r="14372" spans="1:8" ht="25.05" customHeight="1" x14ac:dyDescent="0.25">
      <c r="A14372" s="2" t="s">
        <v>8</v>
      </c>
      <c r="B14372" s="2" t="str">
        <f>HYPERLINK("http://ts.21cn.com/tousu/show/id/1345937","我被北京有缘网恶意扣款")</f>
        <v>我被北京有缘网恶意扣款</v>
      </c>
      <c r="C14372" s="2" t="s">
        <v>9</v>
      </c>
      <c r="D14372" s="2" t="s">
        <v>10</v>
      </c>
      <c r="E14372" s="2" t="str">
        <f>HYPERLINK("http://ts.21cn.com/tousu/show/id/1345937","http://ts.21cn.com/tousu/show/id/1345937")</f>
        <v>http://ts.21cn.com/tousu/show/id/1345937</v>
      </c>
      <c r="F14372" s="2" t="s">
        <v>11</v>
      </c>
      <c r="G14372" s="2" t="s">
        <v>15899</v>
      </c>
      <c r="H14372" s="2" t="s">
        <v>15900</v>
      </c>
    </row>
    <row r="14373" spans="1:8" ht="25.05" customHeight="1" x14ac:dyDescent="0.25">
      <c r="A14373" s="2" t="s">
        <v>8</v>
      </c>
      <c r="B14373" s="2" t="str">
        <f>HYPERLINK("http://ts.21cn.com/tousu/show/id/1345938","马上消费金融，暴力催收，群发短信，恐吓催收")</f>
        <v>马上消费金融，暴力催收，群发短信，恐吓催收</v>
      </c>
      <c r="C14373" s="2" t="s">
        <v>9</v>
      </c>
      <c r="D14373" s="2" t="s">
        <v>10</v>
      </c>
      <c r="E14373" s="2" t="str">
        <f>HYPERLINK("http://ts.21cn.com/tousu/show/id/1345938","http://ts.21cn.com/tousu/show/id/1345938")</f>
        <v>http://ts.21cn.com/tousu/show/id/1345938</v>
      </c>
      <c r="F14373" s="2" t="s">
        <v>11</v>
      </c>
      <c r="G14373" s="2" t="s">
        <v>15897</v>
      </c>
      <c r="H14373" s="2" t="s">
        <v>15898</v>
      </c>
    </row>
    <row r="14374" spans="1:8" ht="25.05" customHeight="1" x14ac:dyDescent="0.25">
      <c r="A14374" s="2" t="s">
        <v>8</v>
      </c>
      <c r="B14374" s="2" t="str">
        <f>HYPERLINK("http://ts.21cn.com/tousu/show/id/1345939","轻周转恐吓")</f>
        <v>轻周转恐吓</v>
      </c>
      <c r="C14374" s="2" t="s">
        <v>9</v>
      </c>
      <c r="D14374" s="2" t="s">
        <v>10</v>
      </c>
      <c r="E14374" s="2" t="str">
        <f>HYPERLINK("http://ts.21cn.com/tousu/show/id/1345939","http://ts.21cn.com/tousu/show/id/1345939")</f>
        <v>http://ts.21cn.com/tousu/show/id/1345939</v>
      </c>
      <c r="F14374" s="2" t="s">
        <v>11</v>
      </c>
      <c r="G14374" s="2" t="s">
        <v>15895</v>
      </c>
      <c r="H14374" s="2" t="s">
        <v>15896</v>
      </c>
    </row>
    <row r="14375" spans="1:8" ht="25.05" customHeight="1" x14ac:dyDescent="0.25">
      <c r="A14375" s="2" t="s">
        <v>8</v>
      </c>
      <c r="B14375" s="2" t="str">
        <f>HYPERLINK("http://ts.21cn.com/tousu/show/id/1345941","马上金融暴高利息暴力催收曝光个人隐私")</f>
        <v>马上金融暴高利息暴力催收曝光个人隐私</v>
      </c>
      <c r="C14375" s="2" t="s">
        <v>9</v>
      </c>
      <c r="D14375" s="2" t="s">
        <v>10</v>
      </c>
      <c r="E14375" s="2" t="str">
        <f>HYPERLINK("http://ts.21cn.com/tousu/show/id/1345941","http://ts.21cn.com/tousu/show/id/1345941")</f>
        <v>http://ts.21cn.com/tousu/show/id/1345941</v>
      </c>
      <c r="F14375" s="2" t="s">
        <v>11</v>
      </c>
      <c r="G14375" s="2" t="s">
        <v>15893</v>
      </c>
      <c r="H14375" s="2" t="s">
        <v>15894</v>
      </c>
    </row>
    <row r="14376" spans="1:8" ht="25.05" customHeight="1" x14ac:dyDescent="0.25">
      <c r="A14376" s="2" t="s">
        <v>8</v>
      </c>
      <c r="B14376" s="2" t="str">
        <f>HYPERLINK("http://ts.21cn.com/tousu/show/id/1345942","快付通恶意盗刷")</f>
        <v>快付通恶意盗刷</v>
      </c>
      <c r="C14376" s="2" t="s">
        <v>9</v>
      </c>
      <c r="D14376" s="2" t="s">
        <v>10</v>
      </c>
      <c r="E14376" s="2" t="str">
        <f>HYPERLINK("http://ts.21cn.com/tousu/show/id/1345942","http://ts.21cn.com/tousu/show/id/1345942")</f>
        <v>http://ts.21cn.com/tousu/show/id/1345942</v>
      </c>
      <c r="F14376" s="2" t="s">
        <v>11</v>
      </c>
      <c r="G14376" s="2" t="s">
        <v>15891</v>
      </c>
      <c r="H14376" s="2" t="s">
        <v>15892</v>
      </c>
    </row>
    <row r="14377" spans="1:8" ht="25.05" customHeight="1" x14ac:dyDescent="0.25">
      <c r="A14377" s="2" t="s">
        <v>8</v>
      </c>
      <c r="B14377" s="2" t="str">
        <f>HYPERLINK("http://ts.21cn.com/tousu/show/id/1345943","暴力催收")</f>
        <v>暴力催收</v>
      </c>
      <c r="C14377" s="2" t="s">
        <v>9</v>
      </c>
      <c r="D14377" s="2" t="s">
        <v>10</v>
      </c>
      <c r="E14377" s="2" t="str">
        <f>HYPERLINK("http://ts.21cn.com/tousu/show/id/1345943","http://ts.21cn.com/tousu/show/id/1345943")</f>
        <v>http://ts.21cn.com/tousu/show/id/1345943</v>
      </c>
      <c r="F14377" s="2" t="s">
        <v>11</v>
      </c>
      <c r="G14377" s="2" t="s">
        <v>15889</v>
      </c>
      <c r="H14377" s="2" t="s">
        <v>15890</v>
      </c>
    </row>
    <row r="14378" spans="1:8" ht="25.05" customHeight="1" x14ac:dyDescent="0.25">
      <c r="A14378" s="2" t="s">
        <v>8</v>
      </c>
      <c r="B14378" s="2" t="str">
        <f>HYPERLINK("http://ts.21cn.com/tousu/show/id/1345944","微信加油卡垃圾产品要求马上退款")</f>
        <v>微信加油卡垃圾产品要求马上退款</v>
      </c>
      <c r="C14378" s="2" t="s">
        <v>9</v>
      </c>
      <c r="D14378" s="2" t="s">
        <v>10</v>
      </c>
      <c r="E14378" s="2" t="str">
        <f>HYPERLINK("http://ts.21cn.com/tousu/show/id/1345944","http://ts.21cn.com/tousu/show/id/1345944")</f>
        <v>http://ts.21cn.com/tousu/show/id/1345944</v>
      </c>
      <c r="F14378" s="2" t="s">
        <v>11</v>
      </c>
      <c r="G14378" s="2" t="s">
        <v>15887</v>
      </c>
      <c r="H14378" s="2" t="s">
        <v>15888</v>
      </c>
    </row>
    <row r="14379" spans="1:8" ht="25.05" customHeight="1" x14ac:dyDescent="0.25">
      <c r="A14379" s="2" t="s">
        <v>8</v>
      </c>
      <c r="B14379" s="2" t="str">
        <f>HYPERLINK("http://ts.21cn.com/tousu/show/id/1345945","在美团预订酒店，商家告诉我已经取消订单可以退款，但是美团表明商家不同意并不退款")</f>
        <v>在美团预订酒店，商家告诉我已经取消订单可以退款，但是美团表明商家不同意并不退款</v>
      </c>
      <c r="C14379" s="2" t="s">
        <v>9</v>
      </c>
      <c r="D14379" s="2" t="s">
        <v>10</v>
      </c>
      <c r="E14379" s="2" t="str">
        <f>HYPERLINK("http://ts.21cn.com/tousu/show/id/1345945","http://ts.21cn.com/tousu/show/id/1345945")</f>
        <v>http://ts.21cn.com/tousu/show/id/1345945</v>
      </c>
      <c r="F14379" s="2" t="s">
        <v>11</v>
      </c>
      <c r="G14379" s="2" t="s">
        <v>15885</v>
      </c>
      <c r="H14379" s="2" t="s">
        <v>15886</v>
      </c>
    </row>
    <row r="14380" spans="1:8" ht="25.05" customHeight="1" x14ac:dyDescent="0.25">
      <c r="A14380" s="2" t="s">
        <v>8</v>
      </c>
      <c r="B14380" s="2" t="str">
        <f>HYPERLINK("http://ts.21cn.com/tousu/show/id/1345946","易贷分期通过借贷宝骗人借贷")</f>
        <v>易贷分期通过借贷宝骗人借贷</v>
      </c>
      <c r="C14380" s="2" t="s">
        <v>9</v>
      </c>
      <c r="D14380" s="2" t="s">
        <v>10</v>
      </c>
      <c r="E14380" s="2" t="str">
        <f>HYPERLINK("http://ts.21cn.com/tousu/show/id/1345946","http://ts.21cn.com/tousu/show/id/1345946")</f>
        <v>http://ts.21cn.com/tousu/show/id/1345946</v>
      </c>
      <c r="F14380" s="2" t="s">
        <v>11</v>
      </c>
      <c r="G14380" s="2" t="s">
        <v>15883</v>
      </c>
      <c r="H14380" s="2" t="s">
        <v>15884</v>
      </c>
    </row>
    <row r="14381" spans="1:8" ht="25.05" customHeight="1" x14ac:dyDescent="0.25">
      <c r="A14381" s="2" t="s">
        <v>8</v>
      </c>
      <c r="B14381" s="2" t="str">
        <f>HYPERLINK("http://ts.21cn.com/tousu/show/id/1345947","拖欠工资")</f>
        <v>拖欠工资</v>
      </c>
      <c r="C14381" s="2" t="s">
        <v>9</v>
      </c>
      <c r="D14381" s="2" t="s">
        <v>10</v>
      </c>
      <c r="E14381" s="2" t="str">
        <f>HYPERLINK("http://ts.21cn.com/tousu/show/id/1345947","http://ts.21cn.com/tousu/show/id/1345947")</f>
        <v>http://ts.21cn.com/tousu/show/id/1345947</v>
      </c>
      <c r="F14381" s="2" t="s">
        <v>11</v>
      </c>
      <c r="G14381" s="2" t="s">
        <v>15881</v>
      </c>
      <c r="H14381" s="2" t="s">
        <v>15882</v>
      </c>
    </row>
    <row r="14382" spans="1:8" ht="25.05" customHeight="1" x14ac:dyDescent="0.25">
      <c r="A14382" s="2" t="s">
        <v>8</v>
      </c>
      <c r="B14382" s="2" t="str">
        <f>HYPERLINK("http://ts.21cn.com/tousu/show/id/1345948","信用管家高额利息")</f>
        <v>信用管家高额利息</v>
      </c>
      <c r="C14382" s="2" t="s">
        <v>9</v>
      </c>
      <c r="D14382" s="2" t="s">
        <v>10</v>
      </c>
      <c r="E14382" s="2" t="str">
        <f>HYPERLINK("http://ts.21cn.com/tousu/show/id/1345948","http://ts.21cn.com/tousu/show/id/1345948")</f>
        <v>http://ts.21cn.com/tousu/show/id/1345948</v>
      </c>
      <c r="F14382" s="2" t="s">
        <v>11</v>
      </c>
      <c r="G14382" s="2" t="s">
        <v>15879</v>
      </c>
      <c r="H14382" s="2" t="s">
        <v>15880</v>
      </c>
    </row>
    <row r="14383" spans="1:8" ht="25.05" customHeight="1" x14ac:dyDescent="0.25">
      <c r="A14383" s="2" t="s">
        <v>8</v>
      </c>
      <c r="B14383" s="2" t="str">
        <f>HYPERLINK("http://ts.21cn.com/tousu/show/id/1345949","银行卡被盗刷")</f>
        <v>银行卡被盗刷</v>
      </c>
      <c r="C14383" s="2" t="s">
        <v>9</v>
      </c>
      <c r="D14383" s="2" t="s">
        <v>10</v>
      </c>
      <c r="E14383" s="2" t="str">
        <f>HYPERLINK("http://ts.21cn.com/tousu/show/id/1345949","http://ts.21cn.com/tousu/show/id/1345949")</f>
        <v>http://ts.21cn.com/tousu/show/id/1345949</v>
      </c>
      <c r="F14383" s="2" t="s">
        <v>11</v>
      </c>
      <c r="G14383" s="2" t="s">
        <v>15877</v>
      </c>
      <c r="H14383" s="2" t="s">
        <v>15878</v>
      </c>
    </row>
    <row r="14384" spans="1:8" ht="25.05" customHeight="1" x14ac:dyDescent="0.25">
      <c r="A14384" s="2" t="s">
        <v>8</v>
      </c>
      <c r="B14384" s="2" t="str">
        <f>HYPERLINK("http://ts.21cn.com/tousu/show/id/1345940","马上金融高利贷")</f>
        <v>马上金融高利贷</v>
      </c>
      <c r="C14384" s="2" t="s">
        <v>9</v>
      </c>
      <c r="D14384" s="2" t="s">
        <v>10</v>
      </c>
      <c r="E14384" s="2" t="str">
        <f>HYPERLINK("http://ts.21cn.com/tousu/show/id/1345940","http://ts.21cn.com/tousu/show/id/1345940")</f>
        <v>http://ts.21cn.com/tousu/show/id/1345940</v>
      </c>
      <c r="F14384" s="2" t="s">
        <v>11</v>
      </c>
      <c r="G14384" s="2" t="s">
        <v>15875</v>
      </c>
      <c r="H14384" s="2" t="s">
        <v>15876</v>
      </c>
    </row>
    <row r="14385" spans="1:8" ht="25.05" customHeight="1" x14ac:dyDescent="0.25">
      <c r="A14385" s="2" t="s">
        <v>8</v>
      </c>
      <c r="B14385" s="2" t="str">
        <f>HYPERLINK("http://ts.21cn.com/tousu/show/id/1345950","立刻出行App不退还押金")</f>
        <v>立刻出行App不退还押金</v>
      </c>
      <c r="C14385" s="2" t="s">
        <v>34</v>
      </c>
      <c r="D14385" s="2" t="s">
        <v>10</v>
      </c>
      <c r="E14385" s="2" t="str">
        <f>HYPERLINK("http://ts.21cn.com/tousu/show/id/1345950","http://ts.21cn.com/tousu/show/id/1345950")</f>
        <v>http://ts.21cn.com/tousu/show/id/1345950</v>
      </c>
      <c r="F14385" s="2" t="s">
        <v>11</v>
      </c>
      <c r="G14385" s="2" t="s">
        <v>15873</v>
      </c>
      <c r="H14385" s="2" t="s">
        <v>15874</v>
      </c>
    </row>
    <row r="14386" spans="1:8" ht="25.05" customHeight="1" x14ac:dyDescent="0.25">
      <c r="A14386" s="2" t="s">
        <v>8</v>
      </c>
      <c r="B14386" s="2" t="str">
        <f>HYPERLINK("http://ts.21cn.com/tousu/show/id/1345951","投诉立刻")</f>
        <v>投诉立刻</v>
      </c>
      <c r="C14386" s="2" t="s">
        <v>9</v>
      </c>
      <c r="D14386" s="2" t="s">
        <v>10</v>
      </c>
      <c r="E14386" s="2" t="str">
        <f>HYPERLINK("http://ts.21cn.com/tousu/show/id/1345951","http://ts.21cn.com/tousu/show/id/1345951")</f>
        <v>http://ts.21cn.com/tousu/show/id/1345951</v>
      </c>
      <c r="F14386" s="2" t="s">
        <v>11</v>
      </c>
      <c r="G14386" s="2" t="s">
        <v>15871</v>
      </c>
      <c r="H14386" s="2" t="s">
        <v>15872</v>
      </c>
    </row>
    <row r="14387" spans="1:8" ht="25.05" customHeight="1" x14ac:dyDescent="0.25">
      <c r="A14387" s="2" t="s">
        <v>8</v>
      </c>
      <c r="B14387" s="2" t="str">
        <f>HYPERLINK("http://ts.21cn.com/tousu/show/id/1345952","钱站爱钱进")</f>
        <v>钱站爱钱进</v>
      </c>
      <c r="C14387" s="2" t="s">
        <v>9</v>
      </c>
      <c r="D14387" s="2" t="s">
        <v>10</v>
      </c>
      <c r="E14387" s="2" t="str">
        <f>HYPERLINK("http://ts.21cn.com/tousu/show/id/1345952","http://ts.21cn.com/tousu/show/id/1345952")</f>
        <v>http://ts.21cn.com/tousu/show/id/1345952</v>
      </c>
      <c r="F14387" s="2" t="s">
        <v>11</v>
      </c>
      <c r="G14387" s="2" t="s">
        <v>15869</v>
      </c>
      <c r="H14387" s="2" t="s">
        <v>15870</v>
      </c>
    </row>
    <row r="14388" spans="1:8" ht="25.05" customHeight="1" x14ac:dyDescent="0.25">
      <c r="A14388" s="2" t="s">
        <v>8</v>
      </c>
      <c r="B14388" s="2" t="str">
        <f>HYPERLINK("http://ts.21cn.com/tousu/show/id/1345953","乐意花退保问题")</f>
        <v>乐意花退保问题</v>
      </c>
      <c r="C14388" s="2" t="s">
        <v>9</v>
      </c>
      <c r="D14388" s="2" t="s">
        <v>10</v>
      </c>
      <c r="E14388" s="2" t="str">
        <f>HYPERLINK("http://ts.21cn.com/tousu/show/id/1345953","http://ts.21cn.com/tousu/show/id/1345953")</f>
        <v>http://ts.21cn.com/tousu/show/id/1345953</v>
      </c>
      <c r="F14388" s="2" t="s">
        <v>11</v>
      </c>
      <c r="G14388" s="2" t="s">
        <v>15867</v>
      </c>
      <c r="H14388" s="2" t="s">
        <v>15868</v>
      </c>
    </row>
    <row r="14389" spans="1:8" ht="25.05" customHeight="1" x14ac:dyDescent="0.25">
      <c r="A14389" s="2" t="s">
        <v>8</v>
      </c>
      <c r="B14389" s="2" t="str">
        <f>HYPERLINK("http://ts.21cn.com/tousu/show/id/1345956","玖富万卡暴力催收，恐吓借款人")</f>
        <v>玖富万卡暴力催收，恐吓借款人</v>
      </c>
      <c r="C14389" s="2" t="s">
        <v>9</v>
      </c>
      <c r="D14389" s="2" t="s">
        <v>10</v>
      </c>
      <c r="E14389" s="2" t="str">
        <f>HYPERLINK("http://ts.21cn.com/tousu/show/id/1345956","http://ts.21cn.com/tousu/show/id/1345956")</f>
        <v>http://ts.21cn.com/tousu/show/id/1345956</v>
      </c>
      <c r="F14389" s="2" t="s">
        <v>11</v>
      </c>
      <c r="G14389" s="2" t="s">
        <v>15865</v>
      </c>
      <c r="H14389" s="2" t="s">
        <v>15866</v>
      </c>
    </row>
    <row r="14390" spans="1:8" ht="25.05" customHeight="1" x14ac:dyDescent="0.25">
      <c r="A14390" s="2" t="s">
        <v>8</v>
      </c>
      <c r="B14390" s="2" t="str">
        <f>HYPERLINK("http://ts.21cn.com/tousu/show/id/1345957","用钱宝捏造虚假法院信息群发通讯录")</f>
        <v>用钱宝捏造虚假法院信息群发通讯录</v>
      </c>
      <c r="C14390" s="2" t="s">
        <v>9</v>
      </c>
      <c r="D14390" s="2" t="s">
        <v>10</v>
      </c>
      <c r="E14390" s="2" t="str">
        <f>HYPERLINK("http://ts.21cn.com/tousu/show/id/1345957","http://ts.21cn.com/tousu/show/id/1345957")</f>
        <v>http://ts.21cn.com/tousu/show/id/1345957</v>
      </c>
      <c r="F14390" s="2" t="s">
        <v>11</v>
      </c>
      <c r="G14390" s="2" t="s">
        <v>15863</v>
      </c>
      <c r="H14390" s="2" t="s">
        <v>15864</v>
      </c>
    </row>
    <row r="14391" spans="1:8" ht="25.05" customHeight="1" x14ac:dyDescent="0.25">
      <c r="A14391" s="2" t="s">
        <v>8</v>
      </c>
      <c r="B14391" s="2" t="str">
        <f>HYPERLINK("http://ts.21cn.com/tousu/show/id/1345958","王者钱包高利贷")</f>
        <v>王者钱包高利贷</v>
      </c>
      <c r="C14391" s="2" t="s">
        <v>9</v>
      </c>
      <c r="D14391" s="2" t="s">
        <v>10</v>
      </c>
      <c r="E14391" s="2" t="str">
        <f>HYPERLINK("http://ts.21cn.com/tousu/show/id/1345958","http://ts.21cn.com/tousu/show/id/1345958")</f>
        <v>http://ts.21cn.com/tousu/show/id/1345958</v>
      </c>
      <c r="F14391" s="2" t="s">
        <v>11</v>
      </c>
      <c r="G14391" s="2" t="s">
        <v>15862</v>
      </c>
      <c r="H14391" s="2" t="s">
        <v>10510</v>
      </c>
    </row>
    <row r="14392" spans="1:8" ht="25.05" customHeight="1" x14ac:dyDescent="0.25">
      <c r="A14392" s="2" t="s">
        <v>8</v>
      </c>
      <c r="B14392" s="2" t="str">
        <f>HYPERLINK("http://ts.21cn.com/tousu/show/id/1345959","来花花高利贷")</f>
        <v>来花花高利贷</v>
      </c>
      <c r="C14392" s="2" t="s">
        <v>9</v>
      </c>
      <c r="D14392" s="2" t="s">
        <v>10</v>
      </c>
      <c r="E14392" s="2" t="str">
        <f>HYPERLINK("http://ts.21cn.com/tousu/show/id/1345959","http://ts.21cn.com/tousu/show/id/1345959")</f>
        <v>http://ts.21cn.com/tousu/show/id/1345959</v>
      </c>
      <c r="F14392" s="2" t="s">
        <v>11</v>
      </c>
      <c r="G14392" s="2" t="s">
        <v>15860</v>
      </c>
      <c r="H14392" s="2" t="s">
        <v>15861</v>
      </c>
    </row>
    <row r="14393" spans="1:8" ht="25.05" customHeight="1" x14ac:dyDescent="0.25">
      <c r="A14393" s="2" t="s">
        <v>8</v>
      </c>
      <c r="B14393" s="2" t="str">
        <f>HYPERLINK("http://ts.21cn.com/tousu/show/id/1345960","来分期利息高的离谱借3万一年要我还5万")</f>
        <v>来分期利息高的离谱借3万一年要我还5万</v>
      </c>
      <c r="C14393" s="2" t="s">
        <v>9</v>
      </c>
      <c r="D14393" s="2" t="s">
        <v>10</v>
      </c>
      <c r="E14393" s="2" t="str">
        <f>HYPERLINK("http://ts.21cn.com/tousu/show/id/1345960","http://ts.21cn.com/tousu/show/id/1345960")</f>
        <v>http://ts.21cn.com/tousu/show/id/1345960</v>
      </c>
      <c r="F14393" s="2" t="s">
        <v>11</v>
      </c>
      <c r="G14393" s="2" t="s">
        <v>15858</v>
      </c>
      <c r="H14393" s="2" t="s">
        <v>15859</v>
      </c>
    </row>
    <row r="14394" spans="1:8" ht="25.05" customHeight="1" x14ac:dyDescent="0.25">
      <c r="A14394" s="2" t="s">
        <v>8</v>
      </c>
      <c r="B14394" s="2" t="str">
        <f>HYPERLINK("http://ts.21cn.com/tousu/show/id/1345961","卧龙钱包高利息")</f>
        <v>卧龙钱包高利息</v>
      </c>
      <c r="C14394" s="2" t="s">
        <v>9</v>
      </c>
      <c r="D14394" s="2" t="s">
        <v>10</v>
      </c>
      <c r="E14394" s="2" t="str">
        <f>HYPERLINK("http://ts.21cn.com/tousu/show/id/1345961","http://ts.21cn.com/tousu/show/id/1345961")</f>
        <v>http://ts.21cn.com/tousu/show/id/1345961</v>
      </c>
      <c r="F14394" s="2" t="s">
        <v>11</v>
      </c>
      <c r="G14394" s="2" t="s">
        <v>15856</v>
      </c>
      <c r="H14394" s="2" t="s">
        <v>15857</v>
      </c>
    </row>
    <row r="14395" spans="1:8" ht="25.05" customHeight="1" x14ac:dyDescent="0.25">
      <c r="A14395" s="2" t="s">
        <v>8</v>
      </c>
      <c r="B14395" s="2" t="str">
        <f>HYPERLINK("http://ts.21cn.com/tousu/show/id/1345962","微信冻结个人用户永久")</f>
        <v>微信冻结个人用户永久</v>
      </c>
      <c r="C14395" s="2" t="s">
        <v>9</v>
      </c>
      <c r="D14395" s="2" t="s">
        <v>10</v>
      </c>
      <c r="E14395" s="2" t="str">
        <f>HYPERLINK("http://ts.21cn.com/tousu/show/id/1345962","http://ts.21cn.com/tousu/show/id/1345962")</f>
        <v>http://ts.21cn.com/tousu/show/id/1345962</v>
      </c>
      <c r="F14395" s="2" t="s">
        <v>11</v>
      </c>
      <c r="G14395" s="2" t="s">
        <v>15854</v>
      </c>
      <c r="H14395" s="2" t="s">
        <v>15855</v>
      </c>
    </row>
    <row r="14396" spans="1:8" ht="25.05" customHeight="1" x14ac:dyDescent="0.25">
      <c r="A14396" s="2" t="s">
        <v>8</v>
      </c>
      <c r="B14396" s="2" t="str">
        <f>HYPERLINK("http://ts.21cn.com/tousu/show/id/1345964","小黑鱼科技对用户通讯录好友进行骚扰")</f>
        <v>小黑鱼科技对用户通讯录好友进行骚扰</v>
      </c>
      <c r="C14396" s="2" t="s">
        <v>9</v>
      </c>
      <c r="D14396" s="2" t="s">
        <v>10</v>
      </c>
      <c r="E14396" s="2" t="str">
        <f>HYPERLINK("http://ts.21cn.com/tousu/show/id/1345964","http://ts.21cn.com/tousu/show/id/1345964")</f>
        <v>http://ts.21cn.com/tousu/show/id/1345964</v>
      </c>
      <c r="F14396" s="2" t="s">
        <v>11</v>
      </c>
      <c r="G14396" s="2" t="s">
        <v>15852</v>
      </c>
      <c r="H14396" s="2" t="s">
        <v>15853</v>
      </c>
    </row>
    <row r="14397" spans="1:8" ht="25.05" customHeight="1" x14ac:dyDescent="0.25">
      <c r="A14397" s="2" t="s">
        <v>8</v>
      </c>
      <c r="B14397" s="2" t="str">
        <f>HYPERLINK("http://ts.21cn.com/tousu/show/id/1345966","暴力催收威胁恐吓")</f>
        <v>暴力催收威胁恐吓</v>
      </c>
      <c r="C14397" s="2" t="s">
        <v>9</v>
      </c>
      <c r="D14397" s="2" t="s">
        <v>10</v>
      </c>
      <c r="E14397" s="2" t="str">
        <f>HYPERLINK("http://ts.21cn.com/tousu/show/id/1345966","http://ts.21cn.com/tousu/show/id/1345966")</f>
        <v>http://ts.21cn.com/tousu/show/id/1345966</v>
      </c>
      <c r="F14397" s="2" t="s">
        <v>11</v>
      </c>
      <c r="G14397" s="2" t="s">
        <v>15850</v>
      </c>
      <c r="H14397" s="2" t="s">
        <v>15851</v>
      </c>
    </row>
    <row r="14398" spans="1:8" ht="25.05" customHeight="1" x14ac:dyDescent="0.25">
      <c r="A14398" s="2" t="s">
        <v>8</v>
      </c>
      <c r="B14398" s="2" t="str">
        <f>HYPERLINK("http://ts.21cn.com/tousu/show/id/1345967","杭州首展科技有限公司恶意侵占个人财产")</f>
        <v>杭州首展科技有限公司恶意侵占个人财产</v>
      </c>
      <c r="C14398" s="2" t="s">
        <v>9</v>
      </c>
      <c r="D14398" s="2" t="s">
        <v>10</v>
      </c>
      <c r="E14398" s="2" t="str">
        <f>HYPERLINK("http://ts.21cn.com/tousu/show/id/1345967","http://ts.21cn.com/tousu/show/id/1345967")</f>
        <v>http://ts.21cn.com/tousu/show/id/1345967</v>
      </c>
      <c r="F14398" s="2" t="s">
        <v>11</v>
      </c>
      <c r="G14398" s="2" t="s">
        <v>15848</v>
      </c>
      <c r="H14398" s="2" t="s">
        <v>15849</v>
      </c>
    </row>
    <row r="14399" spans="1:8" ht="25.05" customHeight="1" x14ac:dyDescent="0.25">
      <c r="A14399" s="2" t="s">
        <v>8</v>
      </c>
      <c r="B14399" s="2" t="str">
        <f>HYPERLINK("http://ts.21cn.com/tousu/show/id/1345968","网贷暴力催收")</f>
        <v>网贷暴力催收</v>
      </c>
      <c r="C14399" s="2" t="s">
        <v>9</v>
      </c>
      <c r="D14399" s="2" t="s">
        <v>10</v>
      </c>
      <c r="E14399" s="2" t="str">
        <f>HYPERLINK("http://ts.21cn.com/tousu/show/id/1345968","http://ts.21cn.com/tousu/show/id/1345968")</f>
        <v>http://ts.21cn.com/tousu/show/id/1345968</v>
      </c>
      <c r="F14399" s="2" t="s">
        <v>11</v>
      </c>
      <c r="G14399" s="2" t="s">
        <v>15846</v>
      </c>
      <c r="H14399" s="2" t="s">
        <v>15847</v>
      </c>
    </row>
    <row r="14400" spans="1:8" ht="25.05" customHeight="1" x14ac:dyDescent="0.25">
      <c r="A14400" s="2" t="s">
        <v>8</v>
      </c>
      <c r="B14400" s="2" t="str">
        <f>HYPERLINK("http://ts.21cn.com/tousu/show/id/1345969","钱站高利息，不正当催收")</f>
        <v>钱站高利息，不正当催收</v>
      </c>
      <c r="C14400" s="2" t="s">
        <v>9</v>
      </c>
      <c r="D14400" s="2" t="s">
        <v>10</v>
      </c>
      <c r="E14400" s="2" t="str">
        <f>HYPERLINK("http://ts.21cn.com/tousu/show/id/1345969","http://ts.21cn.com/tousu/show/id/1345969")</f>
        <v>http://ts.21cn.com/tousu/show/id/1345969</v>
      </c>
      <c r="F14400" s="2" t="s">
        <v>11</v>
      </c>
      <c r="G14400" s="2" t="s">
        <v>15844</v>
      </c>
      <c r="H14400" s="2" t="s">
        <v>15845</v>
      </c>
    </row>
    <row r="14401" spans="1:8" ht="25.05" customHeight="1" x14ac:dyDescent="0.25">
      <c r="A14401" s="2" t="s">
        <v>8</v>
      </c>
      <c r="B14401" s="2" t="str">
        <f>HYPERLINK("http://ts.21cn.com/tousu/show/id/1345970","拍拍贷高利贷行为")</f>
        <v>拍拍贷高利贷行为</v>
      </c>
      <c r="C14401" s="2" t="s">
        <v>9</v>
      </c>
      <c r="D14401" s="2" t="s">
        <v>10</v>
      </c>
      <c r="E14401" s="2" t="str">
        <f>HYPERLINK("http://ts.21cn.com/tousu/show/id/1345970","http://ts.21cn.com/tousu/show/id/1345970")</f>
        <v>http://ts.21cn.com/tousu/show/id/1345970</v>
      </c>
      <c r="F14401" s="2" t="s">
        <v>11</v>
      </c>
      <c r="G14401" s="2" t="s">
        <v>15842</v>
      </c>
      <c r="H14401" s="2" t="s">
        <v>15843</v>
      </c>
    </row>
    <row r="14402" spans="1:8" ht="25.05" customHeight="1" x14ac:dyDescent="0.25">
      <c r="A14402" s="2" t="s">
        <v>8</v>
      </c>
      <c r="B14402" s="2" t="str">
        <f>HYPERLINK("http://ts.21cn.com/tousu/show/id/1345971","宜人贷高息和乱收费")</f>
        <v>宜人贷高息和乱收费</v>
      </c>
      <c r="C14402" s="2" t="s">
        <v>9</v>
      </c>
      <c r="D14402" s="2" t="s">
        <v>10</v>
      </c>
      <c r="E14402" s="2" t="str">
        <f>HYPERLINK("http://ts.21cn.com/tousu/show/id/1345971","http://ts.21cn.com/tousu/show/id/1345971")</f>
        <v>http://ts.21cn.com/tousu/show/id/1345971</v>
      </c>
      <c r="F14402" s="2" t="s">
        <v>11</v>
      </c>
      <c r="G14402" s="2" t="s">
        <v>15840</v>
      </c>
      <c r="H14402" s="2" t="s">
        <v>15841</v>
      </c>
    </row>
    <row r="14403" spans="1:8" ht="25.05" customHeight="1" x14ac:dyDescent="0.25">
      <c r="A14403" s="2" t="s">
        <v>8</v>
      </c>
      <c r="B14403" s="2" t="str">
        <f>HYPERLINK("http://ts.21cn.com/tousu/show/id/1345972","钱站")</f>
        <v>钱站</v>
      </c>
      <c r="C14403" s="2" t="s">
        <v>9</v>
      </c>
      <c r="D14403" s="2" t="s">
        <v>10</v>
      </c>
      <c r="E14403" s="2" t="str">
        <f>HYPERLINK("http://ts.21cn.com/tousu/show/id/1345972","http://ts.21cn.com/tousu/show/id/1345972")</f>
        <v>http://ts.21cn.com/tousu/show/id/1345972</v>
      </c>
      <c r="F14403" s="2" t="s">
        <v>11</v>
      </c>
      <c r="G14403" s="2" t="s">
        <v>15838</v>
      </c>
      <c r="H14403" s="2" t="s">
        <v>15839</v>
      </c>
    </row>
    <row r="14404" spans="1:8" ht="25.05" customHeight="1" x14ac:dyDescent="0.25">
      <c r="A14404" s="2" t="s">
        <v>8</v>
      </c>
      <c r="B14404" s="2" t="str">
        <f>HYPERLINK("http://ts.21cn.com/tousu/show/id/1345974","对方诱导确认收货但拒不肯发货")</f>
        <v>对方诱导确认收货但拒不肯发货</v>
      </c>
      <c r="C14404" s="2" t="s">
        <v>9</v>
      </c>
      <c r="D14404" s="2" t="s">
        <v>10</v>
      </c>
      <c r="E14404" s="2" t="str">
        <f>HYPERLINK("http://ts.21cn.com/tousu/show/id/1345974","http://ts.21cn.com/tousu/show/id/1345974")</f>
        <v>http://ts.21cn.com/tousu/show/id/1345974</v>
      </c>
      <c r="F14404" s="2" t="s">
        <v>11</v>
      </c>
      <c r="G14404" s="2" t="s">
        <v>15836</v>
      </c>
      <c r="H14404" s="2" t="s">
        <v>15837</v>
      </c>
    </row>
    <row r="14405" spans="1:8" ht="25.05" customHeight="1" x14ac:dyDescent="0.25">
      <c r="A14405" s="2" t="s">
        <v>8</v>
      </c>
      <c r="B14405" s="2" t="str">
        <f>HYPERLINK("http://ts.21cn.com/tousu/show/id/1345976","退我砍头息")</f>
        <v>退我砍头息</v>
      </c>
      <c r="C14405" s="2" t="s">
        <v>34</v>
      </c>
      <c r="D14405" s="2" t="s">
        <v>10</v>
      </c>
      <c r="E14405" s="2" t="str">
        <f>HYPERLINK("http://ts.21cn.com/tousu/show/id/1345976","http://ts.21cn.com/tousu/show/id/1345976")</f>
        <v>http://ts.21cn.com/tousu/show/id/1345976</v>
      </c>
      <c r="F14405" s="2" t="s">
        <v>11</v>
      </c>
      <c r="G14405" s="2" t="s">
        <v>15834</v>
      </c>
      <c r="H14405" s="2" t="s">
        <v>15835</v>
      </c>
    </row>
    <row r="14406" spans="1:8" ht="25.05" customHeight="1" x14ac:dyDescent="0.25">
      <c r="A14406" s="2" t="s">
        <v>8</v>
      </c>
      <c r="B14406" s="2" t="str">
        <f>HYPERLINK("http://ts.21cn.com/tousu/show/id/1345954","杭州首展科技有限公司旗下付呗恶意侵吞商户资金")</f>
        <v>杭州首展科技有限公司旗下付呗恶意侵吞商户资金</v>
      </c>
      <c r="C14406" s="2" t="s">
        <v>9</v>
      </c>
      <c r="D14406" s="2" t="s">
        <v>10</v>
      </c>
      <c r="E14406" s="2" t="str">
        <f>HYPERLINK("http://ts.21cn.com/tousu/show/id/1345954","http://ts.21cn.com/tousu/show/id/1345954")</f>
        <v>http://ts.21cn.com/tousu/show/id/1345954</v>
      </c>
      <c r="F14406" s="2" t="s">
        <v>11</v>
      </c>
      <c r="G14406" s="2" t="s">
        <v>15832</v>
      </c>
      <c r="H14406" s="2" t="s">
        <v>15833</v>
      </c>
    </row>
    <row r="14407" spans="1:8" ht="25.05" customHeight="1" x14ac:dyDescent="0.25">
      <c r="A14407" s="2" t="s">
        <v>8</v>
      </c>
      <c r="B14407" s="2" t="str">
        <f>HYPERLINK("http://ts.21cn.com/tousu/show/id/1345977","借了呗套路贷")</f>
        <v>借了呗套路贷</v>
      </c>
      <c r="C14407" s="2" t="s">
        <v>9</v>
      </c>
      <c r="D14407" s="2" t="s">
        <v>10</v>
      </c>
      <c r="E14407" s="2" t="str">
        <f>HYPERLINK("http://ts.21cn.com/tousu/show/id/1345977","http://ts.21cn.com/tousu/show/id/1345977")</f>
        <v>http://ts.21cn.com/tousu/show/id/1345977</v>
      </c>
      <c r="F14407" s="2" t="s">
        <v>11</v>
      </c>
      <c r="G14407" s="2" t="s">
        <v>15830</v>
      </c>
      <c r="H14407" s="2" t="s">
        <v>15831</v>
      </c>
    </row>
    <row r="14408" spans="1:8" ht="25.05" customHeight="1" x14ac:dyDescent="0.25">
      <c r="A14408" s="2" t="s">
        <v>8</v>
      </c>
      <c r="B14408" s="2" t="str">
        <f>HYPERLINK("http://ts.21cn.com/tousu/show/id/1345978","聚富分期私自扣款")</f>
        <v>聚富分期私自扣款</v>
      </c>
      <c r="C14408" s="2" t="s">
        <v>9</v>
      </c>
      <c r="D14408" s="2" t="s">
        <v>10</v>
      </c>
      <c r="E14408" s="2" t="str">
        <f>HYPERLINK("http://ts.21cn.com/tousu/show/id/1345978","http://ts.21cn.com/tousu/show/id/1345978")</f>
        <v>http://ts.21cn.com/tousu/show/id/1345978</v>
      </c>
      <c r="F14408" s="2" t="s">
        <v>11</v>
      </c>
      <c r="G14408" s="2" t="s">
        <v>15828</v>
      </c>
      <c r="H14408" s="2" t="s">
        <v>15829</v>
      </c>
    </row>
    <row r="14409" spans="1:8" ht="25.05" customHeight="1" x14ac:dyDescent="0.25">
      <c r="A14409" s="2" t="s">
        <v>8</v>
      </c>
      <c r="B14409" s="2" t="str">
        <f>HYPERLINK("http://ts.21cn.com/tousu/show/id/1345973","恶意扣款")</f>
        <v>恶意扣款</v>
      </c>
      <c r="C14409" s="2" t="s">
        <v>9</v>
      </c>
      <c r="D14409" s="2" t="s">
        <v>10</v>
      </c>
      <c r="E14409" s="2" t="str">
        <f>HYPERLINK("http://ts.21cn.com/tousu/show/id/1345973","http://ts.21cn.com/tousu/show/id/1345973")</f>
        <v>http://ts.21cn.com/tousu/show/id/1345973</v>
      </c>
      <c r="F14409" s="2" t="s">
        <v>11</v>
      </c>
      <c r="G14409" s="2" t="s">
        <v>15826</v>
      </c>
      <c r="H14409" s="2" t="s">
        <v>15827</v>
      </c>
    </row>
    <row r="14410" spans="1:8" ht="25.05" customHeight="1" x14ac:dyDescent="0.25">
      <c r="A14410" s="2" t="s">
        <v>8</v>
      </c>
      <c r="B14410" s="2" t="str">
        <f>HYPERLINK("http://ts.21cn.com/tousu/show/id/1345980","365分期存在砍头息")</f>
        <v>365分期存在砍头息</v>
      </c>
      <c r="C14410" s="2" t="s">
        <v>34</v>
      </c>
      <c r="D14410" s="2" t="s">
        <v>10</v>
      </c>
      <c r="E14410" s="2" t="str">
        <f>HYPERLINK("http://ts.21cn.com/tousu/show/id/1345980","http://ts.21cn.com/tousu/show/id/1345980")</f>
        <v>http://ts.21cn.com/tousu/show/id/1345980</v>
      </c>
      <c r="F14410" s="2" t="s">
        <v>11</v>
      </c>
      <c r="G14410" s="2" t="s">
        <v>15824</v>
      </c>
      <c r="H14410" s="2" t="s">
        <v>15825</v>
      </c>
    </row>
    <row r="14411" spans="1:8" ht="25.05" customHeight="1" x14ac:dyDescent="0.25">
      <c r="A14411" s="2" t="s">
        <v>8</v>
      </c>
      <c r="B14411" s="2" t="str">
        <f>HYPERLINK("http://ts.21cn.com/tousu/show/id/1345981","2019年10月9号7点半左右，自动扣款")</f>
        <v>2019年10月9号7点半左右，自动扣款</v>
      </c>
      <c r="C14411" s="2" t="s">
        <v>34</v>
      </c>
      <c r="D14411" s="2" t="s">
        <v>10</v>
      </c>
      <c r="E14411" s="2" t="str">
        <f>HYPERLINK("http://ts.21cn.com/tousu/show/id/1345981","http://ts.21cn.com/tousu/show/id/1345981")</f>
        <v>http://ts.21cn.com/tousu/show/id/1345981</v>
      </c>
      <c r="F14411" s="2" t="s">
        <v>11</v>
      </c>
      <c r="G14411" s="2" t="s">
        <v>15822</v>
      </c>
      <c r="H14411" s="2" t="s">
        <v>15823</v>
      </c>
    </row>
    <row r="14412" spans="1:8" ht="25.05" customHeight="1" x14ac:dyDescent="0.25">
      <c r="A14412" s="2" t="s">
        <v>8</v>
      </c>
      <c r="B14412" s="2" t="str">
        <f>HYPERLINK("http://ts.21cn.com/tousu/show/id/1345983","黑心搜狗网贷逼人太深")</f>
        <v>黑心搜狗网贷逼人太深</v>
      </c>
      <c r="C14412" s="2" t="s">
        <v>9</v>
      </c>
      <c r="D14412" s="2" t="s">
        <v>10</v>
      </c>
      <c r="E14412" s="2" t="str">
        <f>HYPERLINK("http://ts.21cn.com/tousu/show/id/1345983","http://ts.21cn.com/tousu/show/id/1345983")</f>
        <v>http://ts.21cn.com/tousu/show/id/1345983</v>
      </c>
      <c r="F14412" s="2" t="s">
        <v>11</v>
      </c>
      <c r="G14412" s="2" t="s">
        <v>15820</v>
      </c>
      <c r="H14412" s="2" t="s">
        <v>15821</v>
      </c>
    </row>
    <row r="14413" spans="1:8" ht="25.05" customHeight="1" x14ac:dyDescent="0.25">
      <c r="A14413" s="2" t="s">
        <v>8</v>
      </c>
      <c r="B14413" s="2" t="str">
        <f>HYPERLINK("http://ts.21cn.com/tousu/show/id/1345984","及贷群发微信通讯录破坏我名声")</f>
        <v>及贷群发微信通讯录破坏我名声</v>
      </c>
      <c r="C14413" s="2" t="s">
        <v>9</v>
      </c>
      <c r="D14413" s="2" t="s">
        <v>10</v>
      </c>
      <c r="E14413" s="2" t="str">
        <f>HYPERLINK("http://ts.21cn.com/tousu/show/id/1345984","http://ts.21cn.com/tousu/show/id/1345984")</f>
        <v>http://ts.21cn.com/tousu/show/id/1345984</v>
      </c>
      <c r="F14413" s="2" t="s">
        <v>11</v>
      </c>
      <c r="G14413" s="2" t="s">
        <v>15818</v>
      </c>
      <c r="H14413" s="2" t="s">
        <v>15819</v>
      </c>
    </row>
    <row r="14414" spans="1:8" ht="25.05" customHeight="1" x14ac:dyDescent="0.25">
      <c r="A14414" s="2" t="s">
        <v>8</v>
      </c>
      <c r="B14414" s="2" t="str">
        <f>HYPERLINK("http://ts.21cn.com/tousu/show/id/1345985","协商无果，非法泄露我个人隐私，爆我通讯录。")</f>
        <v>协商无果，非法泄露我个人隐私，爆我通讯录。</v>
      </c>
      <c r="C14414" s="2" t="s">
        <v>9</v>
      </c>
      <c r="D14414" s="2" t="s">
        <v>10</v>
      </c>
      <c r="E14414" s="2" t="str">
        <f>HYPERLINK("http://ts.21cn.com/tousu/show/id/1345985","http://ts.21cn.com/tousu/show/id/1345985")</f>
        <v>http://ts.21cn.com/tousu/show/id/1345985</v>
      </c>
      <c r="F14414" s="2" t="s">
        <v>11</v>
      </c>
      <c r="G14414" s="2" t="s">
        <v>15816</v>
      </c>
      <c r="H14414" s="2" t="s">
        <v>15817</v>
      </c>
    </row>
    <row r="14415" spans="1:8" ht="25.05" customHeight="1" x14ac:dyDescent="0.25">
      <c r="A14415" s="2" t="s">
        <v>8</v>
      </c>
      <c r="B14415" s="2" t="str">
        <f>HYPERLINK("http://ts.21cn.com/tousu/show/id/1345986","拼多多和支付宝跟网络赌博合作")</f>
        <v>拼多多和支付宝跟网络赌博合作</v>
      </c>
      <c r="C14415" s="2" t="s">
        <v>9</v>
      </c>
      <c r="D14415" s="2" t="s">
        <v>10</v>
      </c>
      <c r="E14415" s="2" t="str">
        <f>HYPERLINK("http://ts.21cn.com/tousu/show/id/1345986","http://ts.21cn.com/tousu/show/id/1345986")</f>
        <v>http://ts.21cn.com/tousu/show/id/1345986</v>
      </c>
      <c r="F14415" s="2" t="s">
        <v>11</v>
      </c>
      <c r="G14415" s="2" t="s">
        <v>15814</v>
      </c>
      <c r="H14415" s="2" t="s">
        <v>15815</v>
      </c>
    </row>
    <row r="14416" spans="1:8" ht="25.05" customHeight="1" x14ac:dyDescent="0.25">
      <c r="A14416" s="2" t="s">
        <v>8</v>
      </c>
      <c r="B14416" s="2" t="str">
        <f>HYPERLINK("http://ts.21cn.com/tousu/show/id/1345987","首汽约车不垫付车费")</f>
        <v>首汽约车不垫付车费</v>
      </c>
      <c r="C14416" s="2" t="s">
        <v>9</v>
      </c>
      <c r="D14416" s="2" t="s">
        <v>10</v>
      </c>
      <c r="E14416" s="2" t="str">
        <f>HYPERLINK("http://ts.21cn.com/tousu/show/id/1345987","http://ts.21cn.com/tousu/show/id/1345987")</f>
        <v>http://ts.21cn.com/tousu/show/id/1345987</v>
      </c>
      <c r="F14416" s="2" t="s">
        <v>11</v>
      </c>
      <c r="G14416" s="2" t="s">
        <v>15812</v>
      </c>
      <c r="H14416" s="2" t="s">
        <v>15813</v>
      </c>
    </row>
    <row r="14417" spans="1:8" ht="25.05" customHeight="1" x14ac:dyDescent="0.25">
      <c r="A14417" s="2" t="s">
        <v>8</v>
      </c>
      <c r="B14417" s="2" t="str">
        <f>HYPERLINK("http://ts.21cn.com/tousu/show/id/1345988","成都美乐乐家具总部在顾客付款三月后，不发货不退款")</f>
        <v>成都美乐乐家具总部在顾客付款三月后，不发货不退款</v>
      </c>
      <c r="C14417" s="2" t="s">
        <v>9</v>
      </c>
      <c r="D14417" s="2" t="s">
        <v>10</v>
      </c>
      <c r="E14417" s="2" t="str">
        <f>HYPERLINK("http://ts.21cn.com/tousu/show/id/1345988","http://ts.21cn.com/tousu/show/id/1345988")</f>
        <v>http://ts.21cn.com/tousu/show/id/1345988</v>
      </c>
      <c r="F14417" s="2" t="s">
        <v>11</v>
      </c>
      <c r="G14417" s="2" t="s">
        <v>15810</v>
      </c>
      <c r="H14417" s="2" t="s">
        <v>15811</v>
      </c>
    </row>
    <row r="14418" spans="1:8" ht="25.05" customHeight="1" x14ac:dyDescent="0.25">
      <c r="A14418" s="2" t="s">
        <v>8</v>
      </c>
      <c r="B14418" s="2" t="str">
        <f>HYPERLINK("http://ts.21cn.com/tousu/show/id/1345979","上海淇毓信息科技有限公司360借条")</f>
        <v>上海淇毓信息科技有限公司360借条</v>
      </c>
      <c r="C14418" s="2" t="s">
        <v>9</v>
      </c>
      <c r="D14418" s="2" t="s">
        <v>10</v>
      </c>
      <c r="E14418" s="2" t="str">
        <f>HYPERLINK("http://ts.21cn.com/tousu/show/id/1345979","http://ts.21cn.com/tousu/show/id/1345979")</f>
        <v>http://ts.21cn.com/tousu/show/id/1345979</v>
      </c>
      <c r="F14418" s="2" t="s">
        <v>11</v>
      </c>
      <c r="G14418" s="2" t="s">
        <v>15808</v>
      </c>
      <c r="H14418" s="2" t="s">
        <v>15809</v>
      </c>
    </row>
    <row r="14419" spans="1:8" ht="25.05" customHeight="1" x14ac:dyDescent="0.25">
      <c r="A14419" s="2" t="s">
        <v>8</v>
      </c>
      <c r="B14419" s="2" t="str">
        <f>HYPERLINK("http://ts.21cn.com/tousu/show/id/1345990","用钱宝催收发短信")</f>
        <v>用钱宝催收发短信</v>
      </c>
      <c r="C14419" s="2" t="s">
        <v>9</v>
      </c>
      <c r="D14419" s="2" t="s">
        <v>10</v>
      </c>
      <c r="E14419" s="2" t="str">
        <f>HYPERLINK("http://ts.21cn.com/tousu/show/id/1345990","http://ts.21cn.com/tousu/show/id/1345990")</f>
        <v>http://ts.21cn.com/tousu/show/id/1345990</v>
      </c>
      <c r="F14419" s="2" t="s">
        <v>11</v>
      </c>
      <c r="G14419" s="2" t="s">
        <v>15806</v>
      </c>
      <c r="H14419" s="2" t="s">
        <v>15807</v>
      </c>
    </row>
    <row r="14420" spans="1:8" ht="25.05" customHeight="1" x14ac:dyDescent="0.25">
      <c r="A14420" s="2" t="s">
        <v>8</v>
      </c>
      <c r="B14420" s="2" t="str">
        <f>HYPERLINK("http://ts.21cn.com/tousu/show/id/1345991","投诉钱站，阴阳合同，爆通讯录，")</f>
        <v>投诉钱站，阴阳合同，爆通讯录，</v>
      </c>
      <c r="C14420" s="2" t="s">
        <v>9</v>
      </c>
      <c r="D14420" s="2" t="s">
        <v>10</v>
      </c>
      <c r="E14420" s="2" t="str">
        <f>HYPERLINK("http://ts.21cn.com/tousu/show/id/1345991","http://ts.21cn.com/tousu/show/id/1345991")</f>
        <v>http://ts.21cn.com/tousu/show/id/1345991</v>
      </c>
      <c r="F14420" s="2" t="s">
        <v>11</v>
      </c>
      <c r="G14420" s="2" t="s">
        <v>15804</v>
      </c>
      <c r="H14420" s="2" t="s">
        <v>15805</v>
      </c>
    </row>
    <row r="14421" spans="1:8" ht="25.05" customHeight="1" x14ac:dyDescent="0.25">
      <c r="A14421" s="2" t="s">
        <v>8</v>
      </c>
      <c r="B14421" s="2" t="str">
        <f>HYPERLINK("http://ts.21cn.com/tousu/show/id/1345992","交易猫不退款")</f>
        <v>交易猫不退款</v>
      </c>
      <c r="C14421" s="2" t="s">
        <v>9</v>
      </c>
      <c r="D14421" s="2" t="s">
        <v>10</v>
      </c>
      <c r="E14421" s="2" t="str">
        <f>HYPERLINK("http://ts.21cn.com/tousu/show/id/1345992","http://ts.21cn.com/tousu/show/id/1345992")</f>
        <v>http://ts.21cn.com/tousu/show/id/1345992</v>
      </c>
      <c r="F14421" s="2" t="s">
        <v>11</v>
      </c>
      <c r="G14421" s="2" t="s">
        <v>15802</v>
      </c>
      <c r="H14421" s="2" t="s">
        <v>15803</v>
      </c>
    </row>
    <row r="14422" spans="1:8" ht="25.05" customHeight="1" x14ac:dyDescent="0.25">
      <c r="A14422" s="2" t="s">
        <v>8</v>
      </c>
      <c r="B14422" s="2" t="str">
        <f>HYPERLINK("http://ts.21cn.com/tousu/show/id/1345993","宝付支付为套路贷服务")</f>
        <v>宝付支付为套路贷服务</v>
      </c>
      <c r="C14422" s="2" t="s">
        <v>9</v>
      </c>
      <c r="D14422" s="2" t="s">
        <v>10</v>
      </c>
      <c r="E14422" s="2" t="str">
        <f>HYPERLINK("http://ts.21cn.com/tousu/show/id/1345993","http://ts.21cn.com/tousu/show/id/1345993")</f>
        <v>http://ts.21cn.com/tousu/show/id/1345993</v>
      </c>
      <c r="F14422" s="2" t="s">
        <v>11</v>
      </c>
      <c r="G14422" s="2" t="s">
        <v>15800</v>
      </c>
      <c r="H14422" s="2" t="s">
        <v>15801</v>
      </c>
    </row>
    <row r="14423" spans="1:8" ht="25.05" customHeight="1" x14ac:dyDescent="0.25">
      <c r="A14423" s="2" t="s">
        <v>8</v>
      </c>
      <c r="B14423" s="2" t="str">
        <f>HYPERLINK("http://ts.21cn.com/tousu/show/id/1345994","快递公司就是不派件")</f>
        <v>快递公司就是不派件</v>
      </c>
      <c r="C14423" s="2" t="s">
        <v>9</v>
      </c>
      <c r="D14423" s="2" t="s">
        <v>10</v>
      </c>
      <c r="E14423" s="2" t="str">
        <f>HYPERLINK("http://ts.21cn.com/tousu/show/id/1345994","http://ts.21cn.com/tousu/show/id/1345994")</f>
        <v>http://ts.21cn.com/tousu/show/id/1345994</v>
      </c>
      <c r="F14423" s="2" t="s">
        <v>11</v>
      </c>
      <c r="G14423" s="2" t="s">
        <v>15798</v>
      </c>
      <c r="H14423" s="2" t="s">
        <v>15799</v>
      </c>
    </row>
    <row r="14424" spans="1:8" ht="25.05" customHeight="1" x14ac:dyDescent="0.25">
      <c r="A14424" s="2" t="s">
        <v>8</v>
      </c>
      <c r="B14424" s="2" t="str">
        <f>HYPERLINK("http://ts.21cn.com/tousu/show/id/1345995","贷款超高利息")</f>
        <v>贷款超高利息</v>
      </c>
      <c r="C14424" s="2" t="s">
        <v>9</v>
      </c>
      <c r="D14424" s="2" t="s">
        <v>10</v>
      </c>
      <c r="E14424" s="2" t="str">
        <f>HYPERLINK("http://ts.21cn.com/tousu/show/id/1345995","http://ts.21cn.com/tousu/show/id/1345995")</f>
        <v>http://ts.21cn.com/tousu/show/id/1345995</v>
      </c>
      <c r="F14424" s="2" t="s">
        <v>11</v>
      </c>
      <c r="G14424" s="2" t="s">
        <v>15796</v>
      </c>
      <c r="H14424" s="2" t="s">
        <v>15797</v>
      </c>
    </row>
    <row r="14425" spans="1:8" ht="25.05" customHeight="1" x14ac:dyDescent="0.25">
      <c r="A14425" s="2" t="s">
        <v>8</v>
      </c>
      <c r="B14425" s="2" t="str">
        <f>HYPERLINK("http://ts.21cn.com/tousu/show/id/1345996","招联金融威胁恐吓乱爆通讯录")</f>
        <v>招联金融威胁恐吓乱爆通讯录</v>
      </c>
      <c r="C14425" s="2" t="s">
        <v>9</v>
      </c>
      <c r="D14425" s="2" t="s">
        <v>10</v>
      </c>
      <c r="E14425" s="2" t="str">
        <f>HYPERLINK("http://ts.21cn.com/tousu/show/id/1345996","http://ts.21cn.com/tousu/show/id/1345996")</f>
        <v>http://ts.21cn.com/tousu/show/id/1345996</v>
      </c>
      <c r="F14425" s="2" t="s">
        <v>11</v>
      </c>
      <c r="G14425" s="2" t="s">
        <v>15794</v>
      </c>
      <c r="H14425" s="2" t="s">
        <v>15795</v>
      </c>
    </row>
    <row r="14426" spans="1:8" ht="25.05" customHeight="1" x14ac:dyDescent="0.25">
      <c r="A14426" s="2" t="s">
        <v>8</v>
      </c>
      <c r="B14426" s="2" t="str">
        <f>HYPERLINK("http://ts.21cn.com/tousu/show/id/1345997","合理的利息费用，已还五期，延缓还款期限")</f>
        <v>合理的利息费用，已还五期，延缓还款期限</v>
      </c>
      <c r="C14426" s="2" t="s">
        <v>9</v>
      </c>
      <c r="D14426" s="2" t="s">
        <v>10</v>
      </c>
      <c r="E14426" s="2" t="str">
        <f>HYPERLINK("http://ts.21cn.com/tousu/show/id/1345997","http://ts.21cn.com/tousu/show/id/1345997")</f>
        <v>http://ts.21cn.com/tousu/show/id/1345997</v>
      </c>
      <c r="F14426" s="2" t="s">
        <v>11</v>
      </c>
      <c r="G14426" s="2" t="s">
        <v>15792</v>
      </c>
      <c r="H14426" s="2" t="s">
        <v>15793</v>
      </c>
    </row>
    <row r="14427" spans="1:8" ht="25.05" customHeight="1" x14ac:dyDescent="0.25">
      <c r="A14427" s="2" t="s">
        <v>8</v>
      </c>
      <c r="B14427" s="2" t="str">
        <f>HYPERLINK("http://ts.21cn.com/tousu/show/id/1345998","小度有钱未经允许扣款")</f>
        <v>小度有钱未经允许扣款</v>
      </c>
      <c r="C14427" s="2" t="s">
        <v>9</v>
      </c>
      <c r="D14427" s="2" t="s">
        <v>10</v>
      </c>
      <c r="E14427" s="2" t="str">
        <f>HYPERLINK("http://ts.21cn.com/tousu/show/id/1345998","http://ts.21cn.com/tousu/show/id/1345998")</f>
        <v>http://ts.21cn.com/tousu/show/id/1345998</v>
      </c>
      <c r="F14427" s="2" t="s">
        <v>11</v>
      </c>
      <c r="G14427" s="2" t="s">
        <v>15790</v>
      </c>
      <c r="H14427" s="2" t="s">
        <v>15791</v>
      </c>
    </row>
    <row r="14428" spans="1:8" ht="25.05" customHeight="1" x14ac:dyDescent="0.25">
      <c r="A14428" s="2" t="s">
        <v>8</v>
      </c>
      <c r="B14428" s="2" t="str">
        <f>HYPERLINK("http://ts.21cn.com/tousu/show/id/1345999","小鹿情感忽悠消费者，退款问题要求退全款")</f>
        <v>小鹿情感忽悠消费者，退款问题要求退全款</v>
      </c>
      <c r="C14428" s="2" t="s">
        <v>9</v>
      </c>
      <c r="D14428" s="2" t="s">
        <v>10</v>
      </c>
      <c r="E14428" s="2" t="str">
        <f>HYPERLINK("http://ts.21cn.com/tousu/show/id/1345999","http://ts.21cn.com/tousu/show/id/1345999")</f>
        <v>http://ts.21cn.com/tousu/show/id/1345999</v>
      </c>
      <c r="F14428" s="2" t="s">
        <v>11</v>
      </c>
      <c r="G14428" s="2" t="s">
        <v>15788</v>
      </c>
      <c r="H14428" s="2" t="s">
        <v>15789</v>
      </c>
    </row>
    <row r="14429" spans="1:8" ht="25.05" customHeight="1" x14ac:dyDescent="0.25">
      <c r="A14429" s="2" t="s">
        <v>8</v>
      </c>
      <c r="B14429" s="2" t="str">
        <f>HYPERLINK("http://ts.21cn.com/tousu/show/id/1346000","聚富分期乱扣款")</f>
        <v>聚富分期乱扣款</v>
      </c>
      <c r="C14429" s="2" t="s">
        <v>9</v>
      </c>
      <c r="D14429" s="2" t="s">
        <v>10</v>
      </c>
      <c r="E14429" s="2" t="str">
        <f>HYPERLINK("http://ts.21cn.com/tousu/show/id/1346000","http://ts.21cn.com/tousu/show/id/1346000")</f>
        <v>http://ts.21cn.com/tousu/show/id/1346000</v>
      </c>
      <c r="F14429" s="2" t="s">
        <v>11</v>
      </c>
      <c r="G14429" s="2" t="s">
        <v>15786</v>
      </c>
      <c r="H14429" s="2" t="s">
        <v>15787</v>
      </c>
    </row>
    <row r="14430" spans="1:8" ht="25.05" customHeight="1" x14ac:dyDescent="0.25">
      <c r="A14430" s="2" t="s">
        <v>8</v>
      </c>
      <c r="B14430" s="2" t="str">
        <f>HYPERLINK("http://ts.21cn.com/tousu/show/id/1346001","百度金融")</f>
        <v>百度金融</v>
      </c>
      <c r="C14430" s="2" t="s">
        <v>9</v>
      </c>
      <c r="D14430" s="2" t="s">
        <v>10</v>
      </c>
      <c r="E14430" s="2" t="str">
        <f>HYPERLINK("http://ts.21cn.com/tousu/show/id/1346001","http://ts.21cn.com/tousu/show/id/1346001")</f>
        <v>http://ts.21cn.com/tousu/show/id/1346001</v>
      </c>
      <c r="F14430" s="2" t="s">
        <v>11</v>
      </c>
      <c r="G14430" s="2" t="s">
        <v>15784</v>
      </c>
      <c r="H14430" s="2" t="s">
        <v>15785</v>
      </c>
    </row>
    <row r="14431" spans="1:8" ht="25.05" customHeight="1" x14ac:dyDescent="0.25">
      <c r="A14431" s="2" t="s">
        <v>8</v>
      </c>
      <c r="B14431" s="2" t="str">
        <f>HYPERLINK("http://ts.21cn.com/tousu/show/id/1346002","淘集集货款提现困难，退店不给退")</f>
        <v>淘集集货款提现困难，退店不给退</v>
      </c>
      <c r="C14431" s="2" t="s">
        <v>9</v>
      </c>
      <c r="D14431" s="2" t="s">
        <v>10</v>
      </c>
      <c r="E14431" s="2" t="str">
        <f>HYPERLINK("http://ts.21cn.com/tousu/show/id/1346002","http://ts.21cn.com/tousu/show/id/1346002")</f>
        <v>http://ts.21cn.com/tousu/show/id/1346002</v>
      </c>
      <c r="F14431" s="2" t="s">
        <v>11</v>
      </c>
      <c r="G14431" s="2" t="s">
        <v>15782</v>
      </c>
      <c r="H14431" s="2" t="s">
        <v>15783</v>
      </c>
    </row>
    <row r="14432" spans="1:8" ht="25.05" customHeight="1" x14ac:dyDescent="0.25">
      <c r="A14432" s="2" t="s">
        <v>8</v>
      </c>
      <c r="B14432" s="2" t="str">
        <f>HYPERLINK("http://ts.21cn.com/tousu/show/id/1346003","速金服高额利息")</f>
        <v>速金服高额利息</v>
      </c>
      <c r="C14432" s="2" t="s">
        <v>9</v>
      </c>
      <c r="D14432" s="2" t="s">
        <v>10</v>
      </c>
      <c r="E14432" s="2" t="str">
        <f>HYPERLINK("http://ts.21cn.com/tousu/show/id/1346003","http://ts.21cn.com/tousu/show/id/1346003")</f>
        <v>http://ts.21cn.com/tousu/show/id/1346003</v>
      </c>
      <c r="F14432" s="2" t="s">
        <v>11</v>
      </c>
      <c r="G14432" s="2" t="s">
        <v>15780</v>
      </c>
      <c r="H14432" s="2" t="s">
        <v>15781</v>
      </c>
    </row>
    <row r="14433" spans="1:8" ht="25.05" customHeight="1" x14ac:dyDescent="0.25">
      <c r="A14433" s="2" t="s">
        <v>8</v>
      </c>
      <c r="B14433" s="2" t="str">
        <f>HYPERLINK("http://ts.21cn.com/tousu/show/id/1346005","现控达人还不了款恶意逾期")</f>
        <v>现控达人还不了款恶意逾期</v>
      </c>
      <c r="C14433" s="2" t="s">
        <v>9</v>
      </c>
      <c r="D14433" s="2" t="s">
        <v>10</v>
      </c>
      <c r="E14433" s="2" t="str">
        <f>HYPERLINK("http://ts.21cn.com/tousu/show/id/1346005","http://ts.21cn.com/tousu/show/id/1346005")</f>
        <v>http://ts.21cn.com/tousu/show/id/1346005</v>
      </c>
      <c r="F14433" s="2" t="s">
        <v>11</v>
      </c>
      <c r="G14433" s="2" t="s">
        <v>15778</v>
      </c>
      <c r="H14433" s="2" t="s">
        <v>15779</v>
      </c>
    </row>
    <row r="14434" spans="1:8" ht="25.05" customHeight="1" x14ac:dyDescent="0.25">
      <c r="A14434" s="2" t="s">
        <v>8</v>
      </c>
      <c r="B14434" s="2" t="str">
        <f>HYPERLINK("http://ts.21cn.com/tousu/show/id/1346006","秒读钱包贷款收费高要求取消")</f>
        <v>秒读钱包贷款收费高要求取消</v>
      </c>
      <c r="C14434" s="2" t="s">
        <v>9</v>
      </c>
      <c r="D14434" s="2" t="s">
        <v>10</v>
      </c>
      <c r="E14434" s="2" t="str">
        <f>HYPERLINK("http://ts.21cn.com/tousu/show/id/1346006","http://ts.21cn.com/tousu/show/id/1346006")</f>
        <v>http://ts.21cn.com/tousu/show/id/1346006</v>
      </c>
      <c r="F14434" s="2" t="s">
        <v>11</v>
      </c>
      <c r="G14434" s="2" t="s">
        <v>15776</v>
      </c>
      <c r="H14434" s="2" t="s">
        <v>15777</v>
      </c>
    </row>
    <row r="14435" spans="1:8" ht="25.05" customHeight="1" x14ac:dyDescent="0.25">
      <c r="A14435" s="2" t="s">
        <v>8</v>
      </c>
      <c r="B14435" s="2" t="str">
        <f>HYPERLINK("http://ts.21cn.com/tousu/show/id/1346007","闪银高利贷")</f>
        <v>闪银高利贷</v>
      </c>
      <c r="C14435" s="2" t="s">
        <v>9</v>
      </c>
      <c r="D14435" s="2" t="s">
        <v>10</v>
      </c>
      <c r="E14435" s="2" t="str">
        <f>HYPERLINK("http://ts.21cn.com/tousu/show/id/1346007","http://ts.21cn.com/tousu/show/id/1346007")</f>
        <v>http://ts.21cn.com/tousu/show/id/1346007</v>
      </c>
      <c r="F14435" s="2" t="s">
        <v>11</v>
      </c>
      <c r="G14435" s="2" t="s">
        <v>15774</v>
      </c>
      <c r="H14435" s="2" t="s">
        <v>15775</v>
      </c>
    </row>
    <row r="14436" spans="1:8" ht="25.05" customHeight="1" x14ac:dyDescent="0.25">
      <c r="A14436" s="2" t="s">
        <v>8</v>
      </c>
      <c r="B14436" s="2" t="str">
        <f>HYPERLINK("http://ts.21cn.com/tousu/show/id/1346004","货拉拉不开发票")</f>
        <v>货拉拉不开发票</v>
      </c>
      <c r="C14436" s="2" t="s">
        <v>9</v>
      </c>
      <c r="D14436" s="2" t="s">
        <v>10</v>
      </c>
      <c r="E14436" s="2" t="str">
        <f>HYPERLINK("http://ts.21cn.com/tousu/show/id/1346004","http://ts.21cn.com/tousu/show/id/1346004")</f>
        <v>http://ts.21cn.com/tousu/show/id/1346004</v>
      </c>
      <c r="F14436" s="2" t="s">
        <v>11</v>
      </c>
      <c r="G14436" s="2" t="s">
        <v>15772</v>
      </c>
      <c r="H14436" s="2" t="s">
        <v>15773</v>
      </c>
    </row>
    <row r="14437" spans="1:8" ht="25.05" customHeight="1" x14ac:dyDescent="0.25">
      <c r="A14437" s="2" t="s">
        <v>8</v>
      </c>
      <c r="B14437" s="2" t="str">
        <f>HYPERLINK("http://ts.21cn.com/tousu/show/id/1346008","米米罐高利息")</f>
        <v>米米罐高利息</v>
      </c>
      <c r="C14437" s="2" t="s">
        <v>9</v>
      </c>
      <c r="D14437" s="2" t="s">
        <v>10</v>
      </c>
      <c r="E14437" s="2" t="str">
        <f>HYPERLINK("http://ts.21cn.com/tousu/show/id/1346008","http://ts.21cn.com/tousu/show/id/1346008")</f>
        <v>http://ts.21cn.com/tousu/show/id/1346008</v>
      </c>
      <c r="F14437" s="2" t="s">
        <v>11</v>
      </c>
      <c r="G14437" s="2" t="s">
        <v>15770</v>
      </c>
      <c r="H14437" s="2" t="s">
        <v>15771</v>
      </c>
    </row>
    <row r="14438" spans="1:8" ht="25.05" customHeight="1" x14ac:dyDescent="0.25">
      <c r="A14438" s="2" t="s">
        <v>8</v>
      </c>
      <c r="B14438" s="2" t="str">
        <f>HYPERLINK("http://ts.21cn.com/tousu/show/id/1346009","造艺科技，聚富分期违规扣款，拒不退款！")</f>
        <v>造艺科技，聚富分期违规扣款，拒不退款！</v>
      </c>
      <c r="C14438" s="2" t="s">
        <v>9</v>
      </c>
      <c r="D14438" s="2" t="s">
        <v>10</v>
      </c>
      <c r="E14438" s="2" t="str">
        <f>HYPERLINK("http://ts.21cn.com/tousu/show/id/1346009","http://ts.21cn.com/tousu/show/id/1346009")</f>
        <v>http://ts.21cn.com/tousu/show/id/1346009</v>
      </c>
      <c r="F14438" s="2" t="s">
        <v>11</v>
      </c>
      <c r="G14438" s="2" t="s">
        <v>15768</v>
      </c>
      <c r="H14438" s="2" t="s">
        <v>15769</v>
      </c>
    </row>
    <row r="14439" spans="1:8" ht="25.05" customHeight="1" x14ac:dyDescent="0.25">
      <c r="A14439" s="2" t="s">
        <v>8</v>
      </c>
      <c r="B14439" s="2" t="str">
        <f>HYPERLINK("http://ts.21cn.com/tousu/show/id/1346010","砍头息扣我299")</f>
        <v>砍头息扣我299</v>
      </c>
      <c r="C14439" s="2" t="s">
        <v>34</v>
      </c>
      <c r="D14439" s="2" t="s">
        <v>10</v>
      </c>
      <c r="E14439" s="2" t="str">
        <f>HYPERLINK("http://ts.21cn.com/tousu/show/id/1346010","http://ts.21cn.com/tousu/show/id/1346010")</f>
        <v>http://ts.21cn.com/tousu/show/id/1346010</v>
      </c>
      <c r="F14439" s="2" t="s">
        <v>11</v>
      </c>
      <c r="G14439" s="2" t="s">
        <v>15766</v>
      </c>
      <c r="H14439" s="2" t="s">
        <v>15767</v>
      </c>
    </row>
    <row r="14440" spans="1:8" ht="25.05" customHeight="1" x14ac:dyDescent="0.25">
      <c r="A14440" s="2" t="s">
        <v>8</v>
      </c>
      <c r="B14440" s="2" t="str">
        <f>HYPERLINK("http://ts.21cn.com/tousu/show/id/1346011","你我贷电话暴力恐吓联系人及单位")</f>
        <v>你我贷电话暴力恐吓联系人及单位</v>
      </c>
      <c r="C14440" s="2" t="s">
        <v>9</v>
      </c>
      <c r="D14440" s="2" t="s">
        <v>10</v>
      </c>
      <c r="E14440" s="2" t="str">
        <f>HYPERLINK("http://ts.21cn.com/tousu/show/id/1346011","http://ts.21cn.com/tousu/show/id/1346011")</f>
        <v>http://ts.21cn.com/tousu/show/id/1346011</v>
      </c>
      <c r="F14440" s="2" t="s">
        <v>11</v>
      </c>
      <c r="G14440" s="2" t="s">
        <v>15764</v>
      </c>
      <c r="H14440" s="2" t="s">
        <v>15765</v>
      </c>
    </row>
    <row r="14441" spans="1:8" ht="25.05" customHeight="1" x14ac:dyDescent="0.25">
      <c r="A14441" s="2" t="s">
        <v>8</v>
      </c>
      <c r="B14441" s="2" t="str">
        <f>HYPERLINK("http://ts.21cn.com/tousu/show/id/1346012","六便士协商还款")</f>
        <v>六便士协商还款</v>
      </c>
      <c r="C14441" s="2" t="s">
        <v>9</v>
      </c>
      <c r="D14441" s="2" t="s">
        <v>10</v>
      </c>
      <c r="E14441" s="2" t="str">
        <f>HYPERLINK("http://ts.21cn.com/tousu/show/id/1346012","http://ts.21cn.com/tousu/show/id/1346012")</f>
        <v>http://ts.21cn.com/tousu/show/id/1346012</v>
      </c>
      <c r="F14441" s="2" t="s">
        <v>11</v>
      </c>
      <c r="G14441" s="2" t="s">
        <v>15762</v>
      </c>
      <c r="H14441" s="2" t="s">
        <v>15763</v>
      </c>
    </row>
    <row r="14442" spans="1:8" ht="25.05" customHeight="1" x14ac:dyDescent="0.25">
      <c r="A14442" s="2" t="s">
        <v>8</v>
      </c>
      <c r="B14442" s="2" t="str">
        <f>HYPERLINK("http://ts.21cn.com/tousu/show/id/1346013","多宝分期高利贷还不了款")</f>
        <v>多宝分期高利贷还不了款</v>
      </c>
      <c r="C14442" s="2" t="s">
        <v>9</v>
      </c>
      <c r="D14442" s="2" t="s">
        <v>10</v>
      </c>
      <c r="E14442" s="2" t="str">
        <f>HYPERLINK("http://ts.21cn.com/tousu/show/id/1346013","http://ts.21cn.com/tousu/show/id/1346013")</f>
        <v>http://ts.21cn.com/tousu/show/id/1346013</v>
      </c>
      <c r="F14442" s="2" t="s">
        <v>11</v>
      </c>
      <c r="G14442" s="2" t="s">
        <v>15760</v>
      </c>
      <c r="H14442" s="2" t="s">
        <v>15761</v>
      </c>
    </row>
    <row r="14443" spans="1:8" ht="25.05" customHeight="1" x14ac:dyDescent="0.25">
      <c r="A14443" s="2" t="s">
        <v>8</v>
      </c>
      <c r="B14443" s="2" t="str">
        <f>HYPERLINK("http://ts.21cn.com/tousu/show/id/1346015","佰仟金融骚扰家人朋友骚扰通讯录")</f>
        <v>佰仟金融骚扰家人朋友骚扰通讯录</v>
      </c>
      <c r="C14443" s="2" t="s">
        <v>9</v>
      </c>
      <c r="D14443" s="2" t="s">
        <v>10</v>
      </c>
      <c r="E14443" s="2" t="str">
        <f>HYPERLINK("http://ts.21cn.com/tousu/show/id/1346015","http://ts.21cn.com/tousu/show/id/1346015")</f>
        <v>http://ts.21cn.com/tousu/show/id/1346015</v>
      </c>
      <c r="F14443" s="2" t="s">
        <v>11</v>
      </c>
      <c r="G14443" s="2" t="s">
        <v>15758</v>
      </c>
      <c r="H14443" s="2" t="s">
        <v>15759</v>
      </c>
    </row>
    <row r="14444" spans="1:8" ht="25.05" customHeight="1" x14ac:dyDescent="0.25">
      <c r="A14444" s="2" t="s">
        <v>8</v>
      </c>
      <c r="B14444" s="2" t="str">
        <f>HYPERLINK("http://ts.21cn.com/tousu/show/id/1346016","捷信电话骚扰")</f>
        <v>捷信电话骚扰</v>
      </c>
      <c r="C14444" s="2" t="s">
        <v>9</v>
      </c>
      <c r="D14444" s="2" t="s">
        <v>10</v>
      </c>
      <c r="E14444" s="2" t="str">
        <f>HYPERLINK("http://ts.21cn.com/tousu/show/id/1346016","http://ts.21cn.com/tousu/show/id/1346016")</f>
        <v>http://ts.21cn.com/tousu/show/id/1346016</v>
      </c>
      <c r="F14444" s="2" t="s">
        <v>11</v>
      </c>
      <c r="G14444" s="2" t="s">
        <v>15756</v>
      </c>
      <c r="H14444" s="2" t="s">
        <v>15757</v>
      </c>
    </row>
    <row r="14445" spans="1:8" ht="25.05" customHeight="1" x14ac:dyDescent="0.25">
      <c r="A14445" s="2" t="s">
        <v>8</v>
      </c>
      <c r="B14445" s="2" t="str">
        <f>HYPERLINK("http://ts.21cn.com/tousu/show/id/1346017","高炮平台蜜瓜钱包砍头息汇潮支付提供支付通道")</f>
        <v>高炮平台蜜瓜钱包砍头息汇潮支付提供支付通道</v>
      </c>
      <c r="C14445" s="2" t="s">
        <v>9</v>
      </c>
      <c r="D14445" s="2" t="s">
        <v>10</v>
      </c>
      <c r="E14445" s="2" t="str">
        <f>HYPERLINK("http://ts.21cn.com/tousu/show/id/1346017","http://ts.21cn.com/tousu/show/id/1346017")</f>
        <v>http://ts.21cn.com/tousu/show/id/1346017</v>
      </c>
      <c r="F14445" s="2" t="s">
        <v>11</v>
      </c>
      <c r="G14445" s="2" t="s">
        <v>15754</v>
      </c>
      <c r="H14445" s="2" t="s">
        <v>15755</v>
      </c>
    </row>
    <row r="14446" spans="1:8" ht="25.05" customHeight="1" x14ac:dyDescent="0.25">
      <c r="A14446" s="2" t="s">
        <v>8</v>
      </c>
      <c r="B14446" s="2" t="str">
        <f>HYPERLINK("http://ts.21cn.com/tousu/show/id/1346014","达飞云贷套路贷虚假宣传")</f>
        <v>达飞云贷套路贷虚假宣传</v>
      </c>
      <c r="C14446" s="2" t="s">
        <v>9</v>
      </c>
      <c r="D14446" s="2" t="s">
        <v>10</v>
      </c>
      <c r="E14446" s="2" t="str">
        <f>HYPERLINK("http://ts.21cn.com/tousu/show/id/1346014","http://ts.21cn.com/tousu/show/id/1346014")</f>
        <v>http://ts.21cn.com/tousu/show/id/1346014</v>
      </c>
      <c r="F14446" s="2" t="s">
        <v>11</v>
      </c>
      <c r="G14446" s="2" t="s">
        <v>15752</v>
      </c>
      <c r="H14446" s="2" t="s">
        <v>15753</v>
      </c>
    </row>
    <row r="14447" spans="1:8" ht="25.05" customHeight="1" x14ac:dyDescent="0.25">
      <c r="A14447" s="2" t="s">
        <v>8</v>
      </c>
      <c r="B14447" s="2" t="str">
        <f>HYPERLINK("http://ts.21cn.com/tousu/show/id/1346020","国美金融国美易卡群发通讯录")</f>
        <v>国美金融国美易卡群发通讯录</v>
      </c>
      <c r="C14447" s="2" t="s">
        <v>9</v>
      </c>
      <c r="D14447" s="2" t="s">
        <v>10</v>
      </c>
      <c r="E14447" s="2" t="str">
        <f>HYPERLINK("http://ts.21cn.com/tousu/show/id/1346020","http://ts.21cn.com/tousu/show/id/1346020")</f>
        <v>http://ts.21cn.com/tousu/show/id/1346020</v>
      </c>
      <c r="F14447" s="2" t="s">
        <v>11</v>
      </c>
      <c r="G14447" s="2" t="s">
        <v>15749</v>
      </c>
      <c r="H14447" s="2" t="s">
        <v>15750</v>
      </c>
    </row>
    <row r="14448" spans="1:8" ht="25.05" customHeight="1" x14ac:dyDescent="0.25">
      <c r="A14448" s="2" t="s">
        <v>8</v>
      </c>
      <c r="B14448" s="2" t="str">
        <f>HYPERLINK("http://ts.21cn.com/tousu/show/id/1346019","投诉微信、苹果公司为赌博软件提供上架、充值服务")</f>
        <v>投诉微信、苹果公司为赌博软件提供上架、充值服务</v>
      </c>
      <c r="C14448" s="2" t="s">
        <v>9</v>
      </c>
      <c r="D14448" s="2" t="s">
        <v>10</v>
      </c>
      <c r="E14448" s="2" t="str">
        <f>HYPERLINK("http://ts.21cn.com/tousu/show/id/1346019","http://ts.21cn.com/tousu/show/id/1346019")</f>
        <v>http://ts.21cn.com/tousu/show/id/1346019</v>
      </c>
      <c r="F14448" s="2" t="s">
        <v>11</v>
      </c>
      <c r="G14448" s="2" t="s">
        <v>15749</v>
      </c>
      <c r="H14448" s="2" t="s">
        <v>15751</v>
      </c>
    </row>
    <row r="14449" spans="1:8" ht="25.05" customHeight="1" x14ac:dyDescent="0.25">
      <c r="A14449" s="2" t="s">
        <v>8</v>
      </c>
      <c r="B14449" s="2" t="str">
        <f>HYPERLINK("http://ts.21cn.com/tousu/show/id/1346022","51人品贷骚扰，暴力催收")</f>
        <v>51人品贷骚扰，暴力催收</v>
      </c>
      <c r="C14449" s="2" t="s">
        <v>9</v>
      </c>
      <c r="D14449" s="2" t="s">
        <v>10</v>
      </c>
      <c r="E14449" s="2" t="str">
        <f>HYPERLINK("http://ts.21cn.com/tousu/show/id/1346022","http://ts.21cn.com/tousu/show/id/1346022")</f>
        <v>http://ts.21cn.com/tousu/show/id/1346022</v>
      </c>
      <c r="F14449" s="2" t="s">
        <v>11</v>
      </c>
      <c r="G14449" s="2" t="s">
        <v>15747</v>
      </c>
      <c r="H14449" s="2" t="s">
        <v>15748</v>
      </c>
    </row>
    <row r="14450" spans="1:8" ht="25.05" customHeight="1" x14ac:dyDescent="0.25">
      <c r="A14450" s="2" t="s">
        <v>8</v>
      </c>
      <c r="B14450" s="2" t="str">
        <f>HYPERLINK("http://ts.21cn.com/tousu/show/id/1346023","暴击恐吓催收影响老人健康")</f>
        <v>暴击恐吓催收影响老人健康</v>
      </c>
      <c r="C14450" s="2" t="s">
        <v>9</v>
      </c>
      <c r="D14450" s="2" t="s">
        <v>10</v>
      </c>
      <c r="E14450" s="2" t="str">
        <f>HYPERLINK("http://ts.21cn.com/tousu/show/id/1346023","http://ts.21cn.com/tousu/show/id/1346023")</f>
        <v>http://ts.21cn.com/tousu/show/id/1346023</v>
      </c>
      <c r="F14450" s="2" t="s">
        <v>11</v>
      </c>
      <c r="G14450" s="2" t="s">
        <v>15745</v>
      </c>
      <c r="H14450" s="2" t="s">
        <v>15746</v>
      </c>
    </row>
    <row r="14451" spans="1:8" ht="25.05" customHeight="1" x14ac:dyDescent="0.25">
      <c r="A14451" s="2" t="s">
        <v>8</v>
      </c>
      <c r="B14451" s="2" t="str">
        <f>HYPERLINK("http://ts.21cn.com/tousu/show/id/1346025","航班因天气原因取消，申请非自愿退票一直迟迟不受理")</f>
        <v>航班因天气原因取消，申请非自愿退票一直迟迟不受理</v>
      </c>
      <c r="C14451" s="2" t="s">
        <v>9</v>
      </c>
      <c r="D14451" s="2" t="s">
        <v>10</v>
      </c>
      <c r="E14451" s="2" t="str">
        <f>HYPERLINK("http://ts.21cn.com/tousu/show/id/1346025","http://ts.21cn.com/tousu/show/id/1346025")</f>
        <v>http://ts.21cn.com/tousu/show/id/1346025</v>
      </c>
      <c r="F14451" s="2" t="s">
        <v>11</v>
      </c>
      <c r="G14451" s="2" t="s">
        <v>15743</v>
      </c>
      <c r="H14451" s="2" t="s">
        <v>15744</v>
      </c>
    </row>
    <row r="14452" spans="1:8" ht="25.05" customHeight="1" x14ac:dyDescent="0.25">
      <c r="A14452" s="2" t="s">
        <v>8</v>
      </c>
      <c r="B14452" s="2" t="str">
        <f>HYPERLINK("http://ts.21cn.com/tousu/show/id/1346026","来分期")</f>
        <v>来分期</v>
      </c>
      <c r="C14452" s="2" t="s">
        <v>34</v>
      </c>
      <c r="D14452" s="2" t="s">
        <v>10</v>
      </c>
      <c r="E14452" s="2" t="str">
        <f>HYPERLINK("http://ts.21cn.com/tousu/show/id/1346026","http://ts.21cn.com/tousu/show/id/1346026")</f>
        <v>http://ts.21cn.com/tousu/show/id/1346026</v>
      </c>
      <c r="F14452" s="2" t="s">
        <v>11</v>
      </c>
      <c r="G14452" s="2" t="s">
        <v>15741</v>
      </c>
      <c r="H14452" s="2" t="s">
        <v>15742</v>
      </c>
    </row>
    <row r="14453" spans="1:8" ht="25.05" customHeight="1" x14ac:dyDescent="0.25">
      <c r="A14453" s="2" t="s">
        <v>8</v>
      </c>
      <c r="B14453" s="2" t="str">
        <f>HYPERLINK("http://ts.21cn.com/tousu/show/id/1346029","阴阳合同")</f>
        <v>阴阳合同</v>
      </c>
      <c r="C14453" s="2" t="s">
        <v>9</v>
      </c>
      <c r="D14453" s="2" t="s">
        <v>10</v>
      </c>
      <c r="E14453" s="2" t="str">
        <f>HYPERLINK("http://ts.21cn.com/tousu/show/id/1346029","http://ts.21cn.com/tousu/show/id/1346029")</f>
        <v>http://ts.21cn.com/tousu/show/id/1346029</v>
      </c>
      <c r="F14453" s="2" t="s">
        <v>11</v>
      </c>
      <c r="G14453" s="2" t="s">
        <v>15739</v>
      </c>
      <c r="H14453" s="2" t="s">
        <v>15740</v>
      </c>
    </row>
    <row r="14454" spans="1:8" ht="25.05" customHeight="1" x14ac:dyDescent="0.25">
      <c r="A14454" s="2" t="s">
        <v>8</v>
      </c>
      <c r="B14454" s="2" t="str">
        <f>HYPERLINK("http://ts.21cn.com/tousu/show/id/1346028","光大银行天津分行营业部虚假宣传办卡")</f>
        <v>光大银行天津分行营业部虚假宣传办卡</v>
      </c>
      <c r="C14454" s="2" t="s">
        <v>9</v>
      </c>
      <c r="D14454" s="2" t="s">
        <v>10</v>
      </c>
      <c r="E14454" s="2" t="str">
        <f>HYPERLINK("http://ts.21cn.com/tousu/show/id/1346028","http://ts.21cn.com/tousu/show/id/1346028")</f>
        <v>http://ts.21cn.com/tousu/show/id/1346028</v>
      </c>
      <c r="F14454" s="2" t="s">
        <v>11</v>
      </c>
      <c r="G14454" s="2" t="s">
        <v>15737</v>
      </c>
      <c r="H14454" s="2" t="s">
        <v>15738</v>
      </c>
    </row>
    <row r="14455" spans="1:8" ht="25.05" customHeight="1" x14ac:dyDescent="0.25">
      <c r="A14455" s="2" t="s">
        <v>8</v>
      </c>
      <c r="B14455" s="2" t="str">
        <f>HYPERLINK("http://ts.21cn.com/tousu/show/id/1346032","你我贷")</f>
        <v>你我贷</v>
      </c>
      <c r="C14455" s="2" t="s">
        <v>34</v>
      </c>
      <c r="D14455" s="2" t="s">
        <v>10</v>
      </c>
      <c r="E14455" s="2" t="str">
        <f>HYPERLINK("http://ts.21cn.com/tousu/show/id/1346032","http://ts.21cn.com/tousu/show/id/1346032")</f>
        <v>http://ts.21cn.com/tousu/show/id/1346032</v>
      </c>
      <c r="F14455" s="2" t="s">
        <v>11</v>
      </c>
      <c r="G14455" s="2" t="s">
        <v>15735</v>
      </c>
      <c r="H14455" s="2" t="s">
        <v>15736</v>
      </c>
    </row>
    <row r="14456" spans="1:8" ht="25.05" customHeight="1" x14ac:dyDescent="0.25">
      <c r="A14456" s="2" t="s">
        <v>8</v>
      </c>
      <c r="B14456" s="2" t="str">
        <f>HYPERLINK("http://ts.21cn.com/tousu/show/id/1346034","投诉捷信公司收费不合理")</f>
        <v>投诉捷信公司收费不合理</v>
      </c>
      <c r="C14456" s="2" t="s">
        <v>9</v>
      </c>
      <c r="D14456" s="2" t="s">
        <v>10</v>
      </c>
      <c r="E14456" s="2" t="str">
        <f>HYPERLINK("http://ts.21cn.com/tousu/show/id/1346034","http://ts.21cn.com/tousu/show/id/1346034")</f>
        <v>http://ts.21cn.com/tousu/show/id/1346034</v>
      </c>
      <c r="F14456" s="2" t="s">
        <v>11</v>
      </c>
      <c r="G14456" s="2" t="s">
        <v>15733</v>
      </c>
      <c r="H14456" s="2" t="s">
        <v>15734</v>
      </c>
    </row>
    <row r="14457" spans="1:8" ht="25.05" customHeight="1" x14ac:dyDescent="0.25">
      <c r="A14457" s="2" t="s">
        <v>8</v>
      </c>
      <c r="B14457" s="2" t="str">
        <f>HYPERLINK("http://ts.21cn.com/tousu/show/id/1346036","花月钱包超高利贷，暴力催收，爆通讯录。")</f>
        <v>花月钱包超高利贷，暴力催收，爆通讯录。</v>
      </c>
      <c r="C14457" s="2" t="s">
        <v>9</v>
      </c>
      <c r="D14457" s="2" t="s">
        <v>10</v>
      </c>
      <c r="E14457" s="2" t="str">
        <f>HYPERLINK("http://ts.21cn.com/tousu/show/id/1346036","http://ts.21cn.com/tousu/show/id/1346036")</f>
        <v>http://ts.21cn.com/tousu/show/id/1346036</v>
      </c>
      <c r="F14457" s="2" t="s">
        <v>11</v>
      </c>
      <c r="G14457" s="2" t="s">
        <v>15731</v>
      </c>
      <c r="H14457" s="2" t="s">
        <v>15732</v>
      </c>
    </row>
    <row r="14458" spans="1:8" ht="25.05" customHeight="1" x14ac:dyDescent="0.25">
      <c r="A14458" s="2" t="s">
        <v>8</v>
      </c>
      <c r="B14458" s="2" t="str">
        <f>HYPERLINK("http://ts.21cn.com/tousu/show/id/1346037","玖富万卡强制收取保费，并发短信威胁")</f>
        <v>玖富万卡强制收取保费，并发短信威胁</v>
      </c>
      <c r="C14458" s="2" t="s">
        <v>9</v>
      </c>
      <c r="D14458" s="2" t="s">
        <v>10</v>
      </c>
      <c r="E14458" s="2" t="str">
        <f>HYPERLINK("http://ts.21cn.com/tousu/show/id/1346037","http://ts.21cn.com/tousu/show/id/1346037")</f>
        <v>http://ts.21cn.com/tousu/show/id/1346037</v>
      </c>
      <c r="F14458" s="2" t="s">
        <v>11</v>
      </c>
      <c r="G14458" s="2" t="s">
        <v>15729</v>
      </c>
      <c r="H14458" s="2" t="s">
        <v>15730</v>
      </c>
    </row>
    <row r="14459" spans="1:8" ht="25.05" customHeight="1" x14ac:dyDescent="0.25">
      <c r="A14459" s="2" t="s">
        <v>8</v>
      </c>
      <c r="B14459" s="2" t="str">
        <f>HYPERLINK("http://ts.21cn.com/tousu/show/id/1346038","上海携趣网络科技有限公司无故乱扣款")</f>
        <v>上海携趣网络科技有限公司无故乱扣款</v>
      </c>
      <c r="C14459" s="2" t="s">
        <v>9</v>
      </c>
      <c r="D14459" s="2" t="s">
        <v>10</v>
      </c>
      <c r="E14459" s="2" t="str">
        <f>HYPERLINK("http://ts.21cn.com/tousu/show/id/1346038","http://ts.21cn.com/tousu/show/id/1346038")</f>
        <v>http://ts.21cn.com/tousu/show/id/1346038</v>
      </c>
      <c r="F14459" s="2" t="s">
        <v>11</v>
      </c>
      <c r="G14459" s="2" t="s">
        <v>15727</v>
      </c>
      <c r="H14459" s="2" t="s">
        <v>15728</v>
      </c>
    </row>
    <row r="14460" spans="1:8" ht="25.05" customHeight="1" x14ac:dyDescent="0.25">
      <c r="A14460" s="2" t="s">
        <v>8</v>
      </c>
      <c r="B14460" s="2" t="str">
        <f>HYPERLINK("http://ts.21cn.com/tousu/show/id/1346040","协商延迟还款")</f>
        <v>协商延迟还款</v>
      </c>
      <c r="C14460" s="2" t="s">
        <v>34</v>
      </c>
      <c r="D14460" s="2" t="s">
        <v>10</v>
      </c>
      <c r="E14460" s="2" t="str">
        <f>HYPERLINK("http://ts.21cn.com/tousu/show/id/1346040","http://ts.21cn.com/tousu/show/id/1346040")</f>
        <v>http://ts.21cn.com/tousu/show/id/1346040</v>
      </c>
      <c r="F14460" s="2" t="s">
        <v>11</v>
      </c>
      <c r="G14460" s="2" t="s">
        <v>15725</v>
      </c>
      <c r="H14460" s="2" t="s">
        <v>15726</v>
      </c>
    </row>
    <row r="14461" spans="1:8" ht="25.05" customHeight="1" x14ac:dyDescent="0.25">
      <c r="A14461" s="2" t="s">
        <v>8</v>
      </c>
      <c r="B14461" s="2" t="str">
        <f>HYPERLINK("http://ts.21cn.com/tousu/show/id/1346042","恒昌公司旗下恒易贷合同金额远高于实际借款金额")</f>
        <v>恒昌公司旗下恒易贷合同金额远高于实际借款金额</v>
      </c>
      <c r="C14461" s="2" t="s">
        <v>9</v>
      </c>
      <c r="D14461" s="2" t="s">
        <v>10</v>
      </c>
      <c r="E14461" s="2" t="str">
        <f>HYPERLINK("http://ts.21cn.com/tousu/show/id/1346042","http://ts.21cn.com/tousu/show/id/1346042")</f>
        <v>http://ts.21cn.com/tousu/show/id/1346042</v>
      </c>
      <c r="F14461" s="2" t="s">
        <v>11</v>
      </c>
      <c r="G14461" s="2" t="s">
        <v>15723</v>
      </c>
      <c r="H14461" s="2" t="s">
        <v>15724</v>
      </c>
    </row>
    <row r="14462" spans="1:8" ht="25.05" customHeight="1" x14ac:dyDescent="0.25">
      <c r="A14462" s="2" t="s">
        <v>8</v>
      </c>
      <c r="B14462" s="2" t="str">
        <f>HYPERLINK("http://ts.21cn.com/tousu/show/id/1346043","爆通讯录，骚扰我亲戚朋")</f>
        <v>爆通讯录，骚扰我亲戚朋</v>
      </c>
      <c r="C14462" s="2" t="s">
        <v>9</v>
      </c>
      <c r="D14462" s="2" t="s">
        <v>10</v>
      </c>
      <c r="E14462" s="2" t="str">
        <f>HYPERLINK("http://ts.21cn.com/tousu/show/id/1346043","http://ts.21cn.com/tousu/show/id/1346043")</f>
        <v>http://ts.21cn.com/tousu/show/id/1346043</v>
      </c>
      <c r="F14462" s="2" t="s">
        <v>11</v>
      </c>
      <c r="G14462" s="2" t="s">
        <v>15721</v>
      </c>
      <c r="H14462" s="2" t="s">
        <v>15722</v>
      </c>
    </row>
    <row r="14463" spans="1:8" ht="25.05" customHeight="1" x14ac:dyDescent="0.25">
      <c r="A14463" s="2" t="s">
        <v>8</v>
      </c>
      <c r="B14463" s="2" t="str">
        <f>HYPERLINK("http://ts.21cn.com/tousu/show/id/1346044","上海淇毓信息科技有限公司　　住所：上海市崇明区横沙乡富民支路58号A1-5962室恶意收费还不下款")</f>
        <v>上海淇毓信息科技有限公司　　住所：上海市崇明区横沙乡富民支路58号A1-5962室恶意收费还不下款</v>
      </c>
      <c r="C14463" s="2" t="s">
        <v>9</v>
      </c>
      <c r="D14463" s="2" t="s">
        <v>10</v>
      </c>
      <c r="E14463" s="2" t="str">
        <f>HYPERLINK("http://ts.21cn.com/tousu/show/id/1346044","http://ts.21cn.com/tousu/show/id/1346044")</f>
        <v>http://ts.21cn.com/tousu/show/id/1346044</v>
      </c>
      <c r="F14463" s="2" t="s">
        <v>11</v>
      </c>
      <c r="G14463" s="2" t="s">
        <v>15719</v>
      </c>
      <c r="H14463" s="2" t="s">
        <v>15720</v>
      </c>
    </row>
    <row r="14464" spans="1:8" ht="25.05" customHeight="1" x14ac:dyDescent="0.25">
      <c r="A14464" s="2" t="s">
        <v>8</v>
      </c>
      <c r="B14464" s="2" t="str">
        <f>HYPERLINK("http://ts.21cn.com/tousu/show/id/1346045","恢复服务分")</f>
        <v>恢复服务分</v>
      </c>
      <c r="C14464" s="2" t="s">
        <v>34</v>
      </c>
      <c r="D14464" s="2" t="s">
        <v>10</v>
      </c>
      <c r="E14464" s="2" t="str">
        <f>HYPERLINK("http://ts.21cn.com/tousu/show/id/1346045","http://ts.21cn.com/tousu/show/id/1346045")</f>
        <v>http://ts.21cn.com/tousu/show/id/1346045</v>
      </c>
      <c r="F14464" s="2" t="s">
        <v>11</v>
      </c>
      <c r="G14464" s="2" t="s">
        <v>15717</v>
      </c>
      <c r="H14464" s="2" t="s">
        <v>15718</v>
      </c>
    </row>
    <row r="14465" spans="1:8" ht="25.05" customHeight="1" x14ac:dyDescent="0.25">
      <c r="A14465" s="2" t="s">
        <v>8</v>
      </c>
      <c r="B14465" s="2" t="str">
        <f>HYPERLINK("http://ts.21cn.com/tousu/show/id/1346047","未发工资，导致白条逾期，协商未果")</f>
        <v>未发工资，导致白条逾期，协商未果</v>
      </c>
      <c r="C14465" s="2" t="s">
        <v>9</v>
      </c>
      <c r="D14465" s="2" t="s">
        <v>10</v>
      </c>
      <c r="E14465" s="2" t="str">
        <f>HYPERLINK("http://ts.21cn.com/tousu/show/id/1346047","http://ts.21cn.com/tousu/show/id/1346047")</f>
        <v>http://ts.21cn.com/tousu/show/id/1346047</v>
      </c>
      <c r="F14465" s="2" t="s">
        <v>11</v>
      </c>
      <c r="G14465" s="2" t="s">
        <v>15715</v>
      </c>
      <c r="H14465" s="2" t="s">
        <v>15716</v>
      </c>
    </row>
    <row r="14466" spans="1:8" ht="25.05" customHeight="1" x14ac:dyDescent="0.25">
      <c r="A14466" s="2" t="s">
        <v>8</v>
      </c>
      <c r="B14466" s="2" t="str">
        <f>HYPERLINK("http://ts.21cn.com/tousu/show/id/1346048","保险费")</f>
        <v>保险费</v>
      </c>
      <c r="C14466" s="2" t="s">
        <v>34</v>
      </c>
      <c r="D14466" s="2" t="s">
        <v>10</v>
      </c>
      <c r="E14466" s="2" t="str">
        <f>HYPERLINK("http://ts.21cn.com/tousu/show/id/1346048","http://ts.21cn.com/tousu/show/id/1346048")</f>
        <v>http://ts.21cn.com/tousu/show/id/1346048</v>
      </c>
      <c r="F14466" s="2" t="s">
        <v>11</v>
      </c>
      <c r="G14466" s="2" t="s">
        <v>15713</v>
      </c>
      <c r="H14466" s="2" t="s">
        <v>15714</v>
      </c>
    </row>
    <row r="14467" spans="1:8" ht="25.05" customHeight="1" x14ac:dyDescent="0.25">
      <c r="A14467" s="2" t="s">
        <v>8</v>
      </c>
      <c r="B14467" s="2" t="str">
        <f>HYPERLINK("http://ts.21cn.com/tousu/show/id/1346049","淘宝商家黑心坑钱，维权客服与商家有合作判断我虚假交易，维权不成立")</f>
        <v>淘宝商家黑心坑钱，维权客服与商家有合作判断我虚假交易，维权不成立</v>
      </c>
      <c r="C14467" s="2" t="s">
        <v>9</v>
      </c>
      <c r="D14467" s="2" t="s">
        <v>10</v>
      </c>
      <c r="E14467" s="2" t="str">
        <f>HYPERLINK("http://ts.21cn.com/tousu/show/id/1346049","http://ts.21cn.com/tousu/show/id/1346049")</f>
        <v>http://ts.21cn.com/tousu/show/id/1346049</v>
      </c>
      <c r="F14467" s="2" t="s">
        <v>11</v>
      </c>
      <c r="G14467" s="2" t="s">
        <v>15711</v>
      </c>
      <c r="H14467" s="2" t="s">
        <v>15712</v>
      </c>
    </row>
    <row r="14468" spans="1:8" ht="25.05" customHeight="1" x14ac:dyDescent="0.25">
      <c r="A14468" s="2" t="s">
        <v>8</v>
      </c>
      <c r="B14468" s="2" t="str">
        <f>HYPERLINK("http://ts.21cn.com/tousu/show/id/1346050","马上消费金融，暴力催收，群发短信，恐吓催收")</f>
        <v>马上消费金融，暴力催收，群发短信，恐吓催收</v>
      </c>
      <c r="C14468" s="2" t="s">
        <v>9</v>
      </c>
      <c r="D14468" s="2" t="s">
        <v>10</v>
      </c>
      <c r="E14468" s="2" t="str">
        <f>HYPERLINK("http://ts.21cn.com/tousu/show/id/1346050","http://ts.21cn.com/tousu/show/id/1346050")</f>
        <v>http://ts.21cn.com/tousu/show/id/1346050</v>
      </c>
      <c r="F14468" s="2" t="s">
        <v>11</v>
      </c>
      <c r="G14468" s="2" t="s">
        <v>15709</v>
      </c>
      <c r="H14468" s="2" t="s">
        <v>15710</v>
      </c>
    </row>
    <row r="14469" spans="1:8" ht="25.05" customHeight="1" x14ac:dyDescent="0.25">
      <c r="A14469" s="2" t="s">
        <v>8</v>
      </c>
      <c r="B14469" s="2" t="str">
        <f>HYPERLINK("http://ts.21cn.com/tousu/show/id/1346053","淘宝被冻结")</f>
        <v>淘宝被冻结</v>
      </c>
      <c r="C14469" s="2" t="s">
        <v>9</v>
      </c>
      <c r="D14469" s="2" t="s">
        <v>10</v>
      </c>
      <c r="E14469" s="2" t="str">
        <f>HYPERLINK("http://ts.21cn.com/tousu/show/id/1346053","http://ts.21cn.com/tousu/show/id/1346053")</f>
        <v>http://ts.21cn.com/tousu/show/id/1346053</v>
      </c>
      <c r="F14469" s="2" t="s">
        <v>11</v>
      </c>
      <c r="G14469" s="2" t="s">
        <v>15707</v>
      </c>
      <c r="H14469" s="2" t="s">
        <v>15708</v>
      </c>
    </row>
    <row r="14470" spans="1:8" ht="25.05" customHeight="1" x14ac:dyDescent="0.25">
      <c r="A14470" s="2" t="s">
        <v>8</v>
      </c>
      <c r="B14470" s="2" t="str">
        <f>HYPERLINK("http://ts.21cn.com/tousu/show/id/1346055","一元免密扣费一共237元")</f>
        <v>一元免密扣费一共237元</v>
      </c>
      <c r="C14470" s="2" t="s">
        <v>34</v>
      </c>
      <c r="D14470" s="2" t="s">
        <v>10</v>
      </c>
      <c r="E14470" s="2" t="str">
        <f>HYPERLINK("http://ts.21cn.com/tousu/show/id/1346055","http://ts.21cn.com/tousu/show/id/1346055")</f>
        <v>http://ts.21cn.com/tousu/show/id/1346055</v>
      </c>
      <c r="F14470" s="2" t="s">
        <v>11</v>
      </c>
      <c r="G14470" s="2" t="s">
        <v>15705</v>
      </c>
      <c r="H14470" s="2" t="s">
        <v>15706</v>
      </c>
    </row>
    <row r="14471" spans="1:8" ht="25.05" customHeight="1" x14ac:dyDescent="0.25">
      <c r="A14471" s="2" t="s">
        <v>8</v>
      </c>
      <c r="B14471" s="2" t="str">
        <f>HYPERLINK("http://ts.21cn.com/tousu/show/id/1346056","闪银及贷")</f>
        <v>闪银及贷</v>
      </c>
      <c r="C14471" s="2" t="s">
        <v>34</v>
      </c>
      <c r="D14471" s="2" t="s">
        <v>10</v>
      </c>
      <c r="E14471" s="2" t="str">
        <f>HYPERLINK("http://ts.21cn.com/tousu/show/id/1346056","http://ts.21cn.com/tousu/show/id/1346056")</f>
        <v>http://ts.21cn.com/tousu/show/id/1346056</v>
      </c>
      <c r="F14471" s="2" t="s">
        <v>11</v>
      </c>
      <c r="G14471" s="2" t="s">
        <v>15703</v>
      </c>
      <c r="H14471" s="2" t="s">
        <v>15704</v>
      </c>
    </row>
    <row r="14472" spans="1:8" ht="25.05" customHeight="1" x14ac:dyDescent="0.25">
      <c r="A14472" s="2" t="s">
        <v>8</v>
      </c>
      <c r="B14472" s="2" t="str">
        <f>HYPERLINK("http://ts.21cn.com/tousu/show/id/1346058","暴力催收")</f>
        <v>暴力催收</v>
      </c>
      <c r="C14472" s="2" t="s">
        <v>9</v>
      </c>
      <c r="D14472" s="2" t="s">
        <v>10</v>
      </c>
      <c r="E14472" s="2" t="str">
        <f>HYPERLINK("http://ts.21cn.com/tousu/show/id/1346058","http://ts.21cn.com/tousu/show/id/1346058")</f>
        <v>http://ts.21cn.com/tousu/show/id/1346058</v>
      </c>
      <c r="F14472" s="2" t="s">
        <v>11</v>
      </c>
      <c r="G14472" s="2" t="s">
        <v>15701</v>
      </c>
      <c r="H14472" s="2" t="s">
        <v>15702</v>
      </c>
    </row>
    <row r="14473" spans="1:8" ht="25.05" customHeight="1" x14ac:dyDescent="0.25">
      <c r="A14473" s="2" t="s">
        <v>8</v>
      </c>
      <c r="B14473" s="2" t="str">
        <f>HYPERLINK("http://ts.21cn.com/tousu/show/id/1346059","拍拍贷爆通讯录")</f>
        <v>拍拍贷爆通讯录</v>
      </c>
      <c r="C14473" s="2" t="s">
        <v>9</v>
      </c>
      <c r="D14473" s="2" t="s">
        <v>10</v>
      </c>
      <c r="E14473" s="2" t="str">
        <f>HYPERLINK("http://ts.21cn.com/tousu/show/id/1346059","http://ts.21cn.com/tousu/show/id/1346059")</f>
        <v>http://ts.21cn.com/tousu/show/id/1346059</v>
      </c>
      <c r="F14473" s="2" t="s">
        <v>11</v>
      </c>
      <c r="G14473" s="2" t="s">
        <v>15699</v>
      </c>
      <c r="H14473" s="2" t="s">
        <v>15700</v>
      </c>
    </row>
    <row r="14474" spans="1:8" ht="25.05" customHeight="1" x14ac:dyDescent="0.25">
      <c r="A14474" s="2" t="s">
        <v>8</v>
      </c>
      <c r="B14474" s="2" t="str">
        <f>HYPERLINK("http://ts.21cn.com/tousu/show/id/1346060","套路贷")</f>
        <v>套路贷</v>
      </c>
      <c r="C14474" s="2" t="s">
        <v>9</v>
      </c>
      <c r="D14474" s="2" t="s">
        <v>10</v>
      </c>
      <c r="E14474" s="2" t="str">
        <f>HYPERLINK("http://ts.21cn.com/tousu/show/id/1346060","http://ts.21cn.com/tousu/show/id/1346060")</f>
        <v>http://ts.21cn.com/tousu/show/id/1346060</v>
      </c>
      <c r="F14474" s="2" t="s">
        <v>11</v>
      </c>
      <c r="G14474" s="2" t="s">
        <v>15697</v>
      </c>
      <c r="H14474" s="2" t="s">
        <v>15698</v>
      </c>
    </row>
    <row r="14475" spans="1:8" ht="25.05" customHeight="1" x14ac:dyDescent="0.25">
      <c r="A14475" s="2" t="s">
        <v>8</v>
      </c>
      <c r="B14475" s="2" t="str">
        <f>HYPERLINK("http://ts.21cn.com/tousu/show/id/1346061","“你我贷”违规高利贷，借9000一年要还14000，违规放贷，无视国家法律")</f>
        <v>“你我贷”违规高利贷，借9000一年要还14000，违规放贷，无视国家法律</v>
      </c>
      <c r="C14475" s="2" t="s">
        <v>9</v>
      </c>
      <c r="D14475" s="2" t="s">
        <v>10</v>
      </c>
      <c r="E14475" s="2" t="str">
        <f>HYPERLINK("http://ts.21cn.com/tousu/show/id/1346061","http://ts.21cn.com/tousu/show/id/1346061")</f>
        <v>http://ts.21cn.com/tousu/show/id/1346061</v>
      </c>
      <c r="F14475" s="2" t="s">
        <v>11</v>
      </c>
      <c r="G14475" s="2" t="s">
        <v>15696</v>
      </c>
      <c r="H14475" s="2" t="s">
        <v>2514</v>
      </c>
    </row>
    <row r="14476" spans="1:8" ht="25.05" customHeight="1" x14ac:dyDescent="0.25">
      <c r="A14476" s="2" t="s">
        <v>8</v>
      </c>
      <c r="B14476" s="2" t="str">
        <f>HYPERLINK("http://ts.21cn.com/tousu/show/id/1346062","你我贷高额利息不合理，请求挂帐免息以及从已还款额里扣除相应的剩余还款额度")</f>
        <v>你我贷高额利息不合理，请求挂帐免息以及从已还款额里扣除相应的剩余还款额度</v>
      </c>
      <c r="C14476" s="2" t="s">
        <v>9</v>
      </c>
      <c r="D14476" s="2" t="s">
        <v>10</v>
      </c>
      <c r="E14476" s="2" t="str">
        <f>HYPERLINK("http://ts.21cn.com/tousu/show/id/1346062","http://ts.21cn.com/tousu/show/id/1346062")</f>
        <v>http://ts.21cn.com/tousu/show/id/1346062</v>
      </c>
      <c r="F14476" s="2" t="s">
        <v>11</v>
      </c>
      <c r="G14476" s="2" t="s">
        <v>15694</v>
      </c>
      <c r="H14476" s="2" t="s">
        <v>15695</v>
      </c>
    </row>
    <row r="14477" spans="1:8" ht="25.05" customHeight="1" x14ac:dyDescent="0.25">
      <c r="A14477" s="2" t="s">
        <v>8</v>
      </c>
      <c r="B14477" s="2" t="str">
        <f>HYPERLINK("http://ts.21cn.com/tousu/show/id/1346063","辱骂，暴力催收，态度差")</f>
        <v>辱骂，暴力催收，态度差</v>
      </c>
      <c r="C14477" s="2" t="s">
        <v>9</v>
      </c>
      <c r="D14477" s="2" t="s">
        <v>10</v>
      </c>
      <c r="E14477" s="2" t="str">
        <f>HYPERLINK("http://ts.21cn.com/tousu/show/id/1346063","http://ts.21cn.com/tousu/show/id/1346063")</f>
        <v>http://ts.21cn.com/tousu/show/id/1346063</v>
      </c>
      <c r="F14477" s="2" t="s">
        <v>11</v>
      </c>
      <c r="G14477" s="2" t="s">
        <v>15692</v>
      </c>
      <c r="H14477" s="2" t="s">
        <v>15693</v>
      </c>
    </row>
    <row r="14478" spans="1:8" ht="25.05" customHeight="1" x14ac:dyDescent="0.25">
      <c r="A14478" s="2" t="s">
        <v>8</v>
      </c>
      <c r="B14478" s="2" t="str">
        <f>HYPERLINK("http://ts.21cn.com/tousu/show/id/1346064","安全带超利贷高额利息要求合理利息")</f>
        <v>安全带超利贷高额利息要求合理利息</v>
      </c>
      <c r="C14478" s="2" t="s">
        <v>9</v>
      </c>
      <c r="D14478" s="2" t="s">
        <v>10</v>
      </c>
      <c r="E14478" s="2" t="str">
        <f>HYPERLINK("http://ts.21cn.com/tousu/show/id/1346064","http://ts.21cn.com/tousu/show/id/1346064")</f>
        <v>http://ts.21cn.com/tousu/show/id/1346064</v>
      </c>
      <c r="F14478" s="2" t="s">
        <v>11</v>
      </c>
      <c r="G14478" s="2" t="s">
        <v>15690</v>
      </c>
      <c r="H14478" s="2" t="s">
        <v>15691</v>
      </c>
    </row>
    <row r="14479" spans="1:8" ht="25.05" customHeight="1" x14ac:dyDescent="0.25">
      <c r="A14479" s="2" t="s">
        <v>8</v>
      </c>
      <c r="B14479" s="2" t="str">
        <f>HYPERLINK("http://ts.21cn.com/tousu/show/id/1346051","及贷智享贷砍头息")</f>
        <v>及贷智享贷砍头息</v>
      </c>
      <c r="C14479" s="2" t="s">
        <v>34</v>
      </c>
      <c r="D14479" s="2" t="s">
        <v>10</v>
      </c>
      <c r="E14479" s="2" t="str">
        <f>HYPERLINK("http://ts.21cn.com/tousu/show/id/1346051","http://ts.21cn.com/tousu/show/id/1346051")</f>
        <v>http://ts.21cn.com/tousu/show/id/1346051</v>
      </c>
      <c r="F14479" s="2" t="s">
        <v>11</v>
      </c>
      <c r="G14479" s="2" t="s">
        <v>15688</v>
      </c>
      <c r="H14479" s="2" t="s">
        <v>15689</v>
      </c>
    </row>
    <row r="14480" spans="1:8" ht="25.05" customHeight="1" x14ac:dyDescent="0.25">
      <c r="A14480" s="2" t="s">
        <v>8</v>
      </c>
      <c r="B14480" s="2" t="str">
        <f>HYPERLINK("http://ts.21cn.com/tousu/show/id/1346065","恶意催收，没有合法放贷手续，利息不合理，违规收取高额服务费用")</f>
        <v>恶意催收，没有合法放贷手续，利息不合理，违规收取高额服务费用</v>
      </c>
      <c r="C14480" s="2" t="s">
        <v>9</v>
      </c>
      <c r="D14480" s="2" t="s">
        <v>10</v>
      </c>
      <c r="E14480" s="2" t="str">
        <f>HYPERLINK("http://ts.21cn.com/tousu/show/id/1346065","http://ts.21cn.com/tousu/show/id/1346065")</f>
        <v>http://ts.21cn.com/tousu/show/id/1346065</v>
      </c>
      <c r="F14480" s="2" t="s">
        <v>11</v>
      </c>
      <c r="G14480" s="2" t="s">
        <v>15686</v>
      </c>
      <c r="H14480" s="2" t="s">
        <v>15687</v>
      </c>
    </row>
    <row r="14481" spans="1:8" ht="25.05" customHeight="1" x14ac:dyDescent="0.25">
      <c r="A14481" s="2" t="s">
        <v>8</v>
      </c>
      <c r="B14481" s="2" t="str">
        <f>HYPERLINK("http://ts.21cn.com/tousu/show/id/1346066","省呗手动还款故障，无法正常还款，逾期费过高")</f>
        <v>省呗手动还款故障，无法正常还款，逾期费过高</v>
      </c>
      <c r="C14481" s="2" t="s">
        <v>9</v>
      </c>
      <c r="D14481" s="2" t="s">
        <v>10</v>
      </c>
      <c r="E14481" s="2" t="str">
        <f>HYPERLINK("http://ts.21cn.com/tousu/show/id/1346066","http://ts.21cn.com/tousu/show/id/1346066")</f>
        <v>http://ts.21cn.com/tousu/show/id/1346066</v>
      </c>
      <c r="F14481" s="2" t="s">
        <v>11</v>
      </c>
      <c r="G14481" s="2" t="s">
        <v>15684</v>
      </c>
      <c r="H14481" s="2" t="s">
        <v>15685</v>
      </c>
    </row>
    <row r="14482" spans="1:8" ht="25.05" customHeight="1" x14ac:dyDescent="0.25">
      <c r="A14482" s="2" t="s">
        <v>8</v>
      </c>
      <c r="B14482" s="2" t="str">
        <f>HYPERLINK("http://ts.21cn.com/tousu/show/id/1346068","我来贷恶意群发短信")</f>
        <v>我来贷恶意群发短信</v>
      </c>
      <c r="C14482" s="2" t="s">
        <v>9</v>
      </c>
      <c r="D14482" s="2" t="s">
        <v>10</v>
      </c>
      <c r="E14482" s="2" t="str">
        <f>HYPERLINK("http://ts.21cn.com/tousu/show/id/1346068","http://ts.21cn.com/tousu/show/id/1346068")</f>
        <v>http://ts.21cn.com/tousu/show/id/1346068</v>
      </c>
      <c r="F14482" s="2" t="s">
        <v>11</v>
      </c>
      <c r="G14482" s="2" t="s">
        <v>15682</v>
      </c>
      <c r="H14482" s="2" t="s">
        <v>15683</v>
      </c>
    </row>
    <row r="14483" spans="1:8" ht="25.05" customHeight="1" x14ac:dyDescent="0.25">
      <c r="A14483" s="2" t="s">
        <v>8</v>
      </c>
      <c r="B14483" s="2" t="str">
        <f>HYPERLINK("http://ts.21cn.com/tousu/show/id/1346067","易行商旅推销员夸大宣传，欺诈办卡，申请退款，不给处理。")</f>
        <v>易行商旅推销员夸大宣传，欺诈办卡，申请退款，不给处理。</v>
      </c>
      <c r="C14483" s="2" t="s">
        <v>9</v>
      </c>
      <c r="D14483" s="2" t="s">
        <v>10</v>
      </c>
      <c r="E14483" s="2" t="str">
        <f>HYPERLINK("http://ts.21cn.com/tousu/show/id/1346067","http://ts.21cn.com/tousu/show/id/1346067")</f>
        <v>http://ts.21cn.com/tousu/show/id/1346067</v>
      </c>
      <c r="F14483" s="2" t="s">
        <v>11</v>
      </c>
      <c r="G14483" s="2" t="s">
        <v>15680</v>
      </c>
      <c r="H14483" s="2" t="s">
        <v>15681</v>
      </c>
    </row>
    <row r="14484" spans="1:8" ht="25.05" customHeight="1" x14ac:dyDescent="0.25">
      <c r="A14484" s="2" t="s">
        <v>8</v>
      </c>
      <c r="B14484" s="2" t="str">
        <f>HYPERLINK("http://ts.21cn.com/tousu/show/id/1346069","暴力催收")</f>
        <v>暴力催收</v>
      </c>
      <c r="C14484" s="2" t="s">
        <v>9</v>
      </c>
      <c r="D14484" s="2" t="s">
        <v>10</v>
      </c>
      <c r="E14484" s="2" t="str">
        <f>HYPERLINK("http://ts.21cn.com/tousu/show/id/1346069","http://ts.21cn.com/tousu/show/id/1346069")</f>
        <v>http://ts.21cn.com/tousu/show/id/1346069</v>
      </c>
      <c r="F14484" s="2" t="s">
        <v>11</v>
      </c>
      <c r="G14484" s="2" t="s">
        <v>15678</v>
      </c>
      <c r="H14484" s="2" t="s">
        <v>15679</v>
      </c>
    </row>
    <row r="14485" spans="1:8" ht="25.05" customHeight="1" x14ac:dyDescent="0.25">
      <c r="A14485" s="2" t="s">
        <v>8</v>
      </c>
      <c r="B14485" s="2" t="str">
        <f>HYPERLINK("http://ts.21cn.com/tousu/show/id/1346071","玖富万卡高利贷，阴阳合同")</f>
        <v>玖富万卡高利贷，阴阳合同</v>
      </c>
      <c r="C14485" s="2" t="s">
        <v>9</v>
      </c>
      <c r="D14485" s="2" t="s">
        <v>10</v>
      </c>
      <c r="E14485" s="2" t="str">
        <f>HYPERLINK("http://ts.21cn.com/tousu/show/id/1346071","http://ts.21cn.com/tousu/show/id/1346071")</f>
        <v>http://ts.21cn.com/tousu/show/id/1346071</v>
      </c>
      <c r="F14485" s="2" t="s">
        <v>11</v>
      </c>
      <c r="G14485" s="2" t="s">
        <v>15676</v>
      </c>
      <c r="H14485" s="2" t="s">
        <v>15677</v>
      </c>
    </row>
    <row r="14486" spans="1:8" ht="25.05" customHeight="1" x14ac:dyDescent="0.25">
      <c r="A14486" s="2" t="s">
        <v>8</v>
      </c>
      <c r="B14486" s="2" t="str">
        <f>HYPERLINK("http://ts.21cn.com/tousu/show/id/1346075","一嗨租车霸王条款扣我手续费")</f>
        <v>一嗨租车霸王条款扣我手续费</v>
      </c>
      <c r="C14486" s="2" t="s">
        <v>9</v>
      </c>
      <c r="D14486" s="2" t="s">
        <v>10</v>
      </c>
      <c r="E14486" s="2" t="str">
        <f>HYPERLINK("http://ts.21cn.com/tousu/show/id/1346075","http://ts.21cn.com/tousu/show/id/1346075")</f>
        <v>http://ts.21cn.com/tousu/show/id/1346075</v>
      </c>
      <c r="F14486" s="2" t="s">
        <v>11</v>
      </c>
      <c r="G14486" s="2" t="s">
        <v>15674</v>
      </c>
      <c r="H14486" s="2" t="s">
        <v>15675</v>
      </c>
    </row>
    <row r="14487" spans="1:8" ht="25.05" customHeight="1" x14ac:dyDescent="0.25">
      <c r="A14487" s="2" t="s">
        <v>8</v>
      </c>
      <c r="B14487" s="2" t="str">
        <f>HYPERLINK("http://ts.21cn.com/tousu/show/id/1346072","投诉你我贷威胁恐吓")</f>
        <v>投诉你我贷威胁恐吓</v>
      </c>
      <c r="C14487" s="2" t="s">
        <v>9</v>
      </c>
      <c r="D14487" s="2" t="s">
        <v>10</v>
      </c>
      <c r="E14487" s="2" t="str">
        <f>HYPERLINK("http://ts.21cn.com/tousu/show/id/1346072","http://ts.21cn.com/tousu/show/id/1346072")</f>
        <v>http://ts.21cn.com/tousu/show/id/1346072</v>
      </c>
      <c r="F14487" s="2" t="s">
        <v>11</v>
      </c>
      <c r="G14487" s="2" t="s">
        <v>15672</v>
      </c>
      <c r="H14487" s="2" t="s">
        <v>15673</v>
      </c>
    </row>
    <row r="14488" spans="1:8" ht="25.05" customHeight="1" x14ac:dyDescent="0.25">
      <c r="A14488" s="2" t="s">
        <v>8</v>
      </c>
      <c r="B14488" s="2" t="str">
        <f>HYPERLINK("http://ts.21cn.com/tousu/show/id/1346074","婚庆公司拒绝改场地拒绝退款")</f>
        <v>婚庆公司拒绝改场地拒绝退款</v>
      </c>
      <c r="C14488" s="2" t="s">
        <v>9</v>
      </c>
      <c r="D14488" s="2" t="s">
        <v>10</v>
      </c>
      <c r="E14488" s="2" t="str">
        <f>HYPERLINK("http://ts.21cn.com/tousu/show/id/1346074","http://ts.21cn.com/tousu/show/id/1346074")</f>
        <v>http://ts.21cn.com/tousu/show/id/1346074</v>
      </c>
      <c r="F14488" s="2" t="s">
        <v>11</v>
      </c>
      <c r="G14488" s="2" t="s">
        <v>15670</v>
      </c>
      <c r="H14488" s="2" t="s">
        <v>15671</v>
      </c>
    </row>
    <row r="14489" spans="1:8" ht="25.05" customHeight="1" x14ac:dyDescent="0.25">
      <c r="A14489" s="2" t="s">
        <v>8</v>
      </c>
      <c r="B14489" s="2" t="str">
        <f>HYPERLINK("http://ts.21cn.com/tousu/show/id/1346080","投诉闪银货款平台")</f>
        <v>投诉闪银货款平台</v>
      </c>
      <c r="C14489" s="2" t="s">
        <v>9</v>
      </c>
      <c r="D14489" s="2" t="s">
        <v>10</v>
      </c>
      <c r="E14489" s="2" t="str">
        <f>HYPERLINK("http://ts.21cn.com/tousu/show/id/1346080","http://ts.21cn.com/tousu/show/id/1346080")</f>
        <v>http://ts.21cn.com/tousu/show/id/1346080</v>
      </c>
      <c r="F14489" s="2" t="s">
        <v>11</v>
      </c>
      <c r="G14489" s="2" t="s">
        <v>15668</v>
      </c>
      <c r="H14489" s="2" t="s">
        <v>15669</v>
      </c>
    </row>
    <row r="14490" spans="1:8" ht="25.05" customHeight="1" x14ac:dyDescent="0.25">
      <c r="A14490" s="2" t="s">
        <v>8</v>
      </c>
      <c r="B14490" s="2" t="str">
        <f>HYPERLINK("http://ts.21cn.com/tousu/show/id/1346076","小当家违法高利贷暴力催收")</f>
        <v>小当家违法高利贷暴力催收</v>
      </c>
      <c r="C14490" s="2" t="s">
        <v>9</v>
      </c>
      <c r="D14490" s="2" t="s">
        <v>10</v>
      </c>
      <c r="E14490" s="2" t="str">
        <f>HYPERLINK("http://ts.21cn.com/tousu/show/id/1346076","http://ts.21cn.com/tousu/show/id/1346076")</f>
        <v>http://ts.21cn.com/tousu/show/id/1346076</v>
      </c>
      <c r="F14490" s="2" t="s">
        <v>11</v>
      </c>
      <c r="G14490" s="2" t="s">
        <v>15666</v>
      </c>
      <c r="H14490" s="2" t="s">
        <v>15667</v>
      </c>
    </row>
    <row r="14491" spans="1:8" ht="25.05" customHeight="1" x14ac:dyDescent="0.25">
      <c r="A14491" s="2" t="s">
        <v>8</v>
      </c>
      <c r="B14491" s="2" t="str">
        <f>HYPERLINK("http://ts.21cn.com/tousu/show/id/1346077","捷信打骚扰电话")</f>
        <v>捷信打骚扰电话</v>
      </c>
      <c r="C14491" s="2" t="s">
        <v>9</v>
      </c>
      <c r="D14491" s="2" t="s">
        <v>10</v>
      </c>
      <c r="E14491" s="2" t="str">
        <f>HYPERLINK("http://ts.21cn.com/tousu/show/id/1346077","http://ts.21cn.com/tousu/show/id/1346077")</f>
        <v>http://ts.21cn.com/tousu/show/id/1346077</v>
      </c>
      <c r="F14491" s="2" t="s">
        <v>11</v>
      </c>
      <c r="G14491" s="2" t="s">
        <v>15664</v>
      </c>
      <c r="H14491" s="2" t="s">
        <v>15665</v>
      </c>
    </row>
    <row r="14492" spans="1:8" ht="25.05" customHeight="1" x14ac:dyDescent="0.25">
      <c r="A14492" s="2" t="s">
        <v>8</v>
      </c>
      <c r="B14492" s="2" t="str">
        <f>HYPERLINK("http://ts.21cn.com/tousu/show/id/1346079","闪电借款套路")</f>
        <v>闪电借款套路</v>
      </c>
      <c r="C14492" s="2" t="s">
        <v>9</v>
      </c>
      <c r="D14492" s="2" t="s">
        <v>10</v>
      </c>
      <c r="E14492" s="2" t="str">
        <f>HYPERLINK("http://ts.21cn.com/tousu/show/id/1346079","http://ts.21cn.com/tousu/show/id/1346079")</f>
        <v>http://ts.21cn.com/tousu/show/id/1346079</v>
      </c>
      <c r="F14492" s="2" t="s">
        <v>11</v>
      </c>
      <c r="G14492" s="2" t="s">
        <v>15662</v>
      </c>
      <c r="H14492" s="2" t="s">
        <v>15663</v>
      </c>
    </row>
    <row r="14493" spans="1:8" ht="25.05" customHeight="1" x14ac:dyDescent="0.25">
      <c r="A14493" s="2" t="s">
        <v>8</v>
      </c>
      <c r="B14493" s="2" t="str">
        <f>HYPERLINK("http://ts.21cn.com/tousu/show/id/1346081","暴力催收客服态度极度恶劣")</f>
        <v>暴力催收客服态度极度恶劣</v>
      </c>
      <c r="C14493" s="2" t="s">
        <v>9</v>
      </c>
      <c r="D14493" s="2" t="s">
        <v>10</v>
      </c>
      <c r="E14493" s="2" t="str">
        <f>HYPERLINK("http://ts.21cn.com/tousu/show/id/1346081","http://ts.21cn.com/tousu/show/id/1346081")</f>
        <v>http://ts.21cn.com/tousu/show/id/1346081</v>
      </c>
      <c r="F14493" s="2" t="s">
        <v>11</v>
      </c>
      <c r="G14493" s="2" t="s">
        <v>15660</v>
      </c>
      <c r="H14493" s="2" t="s">
        <v>15661</v>
      </c>
    </row>
    <row r="14494" spans="1:8" ht="25.05" customHeight="1" x14ac:dyDescent="0.25">
      <c r="A14494" s="2" t="s">
        <v>8</v>
      </c>
      <c r="B14494" s="2" t="str">
        <f>HYPERLINK("http://ts.21cn.com/tousu/show/id/1346083","钱站高额利息，借款一千还款1800，已还1200")</f>
        <v>钱站高额利息，借款一千还款1800，已还1200</v>
      </c>
      <c r="C14494" s="2" t="s">
        <v>9</v>
      </c>
      <c r="D14494" s="2" t="s">
        <v>10</v>
      </c>
      <c r="E14494" s="2" t="str">
        <f>HYPERLINK("http://ts.21cn.com/tousu/show/id/1346083","http://ts.21cn.com/tousu/show/id/1346083")</f>
        <v>http://ts.21cn.com/tousu/show/id/1346083</v>
      </c>
      <c r="F14494" s="2" t="s">
        <v>11</v>
      </c>
      <c r="G14494" s="2" t="s">
        <v>15658</v>
      </c>
      <c r="H14494" s="2" t="s">
        <v>15659</v>
      </c>
    </row>
    <row r="14495" spans="1:8" ht="25.05" customHeight="1" x14ac:dyDescent="0.25">
      <c r="A14495" s="2" t="s">
        <v>8</v>
      </c>
      <c r="B14495" s="2" t="str">
        <f>HYPERLINK("http://ts.21cn.com/tousu/show/id/1346084","骚扰通讯录联系人侵犯个人隐私")</f>
        <v>骚扰通讯录联系人侵犯个人隐私</v>
      </c>
      <c r="C14495" s="2" t="s">
        <v>9</v>
      </c>
      <c r="D14495" s="2" t="s">
        <v>10</v>
      </c>
      <c r="E14495" s="2" t="str">
        <f>HYPERLINK("http://ts.21cn.com/tousu/show/id/1346084","http://ts.21cn.com/tousu/show/id/1346084")</f>
        <v>http://ts.21cn.com/tousu/show/id/1346084</v>
      </c>
      <c r="F14495" s="2" t="s">
        <v>11</v>
      </c>
      <c r="G14495" s="2" t="s">
        <v>15656</v>
      </c>
      <c r="H14495" s="2" t="s">
        <v>15657</v>
      </c>
    </row>
    <row r="14496" spans="1:8" ht="25.05" customHeight="1" x14ac:dyDescent="0.25">
      <c r="A14496" s="2" t="s">
        <v>8</v>
      </c>
      <c r="B14496" s="2" t="str">
        <f>HYPERLINK("http://ts.21cn.com/tousu/show/id/1346085","上海拍拍贷，征收高额利息，并且爆通讯录，发威胁短信恐吓骚扰家人")</f>
        <v>上海拍拍贷，征收高额利息，并且爆通讯录，发威胁短信恐吓骚扰家人</v>
      </c>
      <c r="C14496" s="2" t="s">
        <v>9</v>
      </c>
      <c r="D14496" s="2" t="s">
        <v>10</v>
      </c>
      <c r="E14496" s="2" t="str">
        <f>HYPERLINK("http://ts.21cn.com/tousu/show/id/1346085","http://ts.21cn.com/tousu/show/id/1346085")</f>
        <v>http://ts.21cn.com/tousu/show/id/1346085</v>
      </c>
      <c r="F14496" s="2" t="s">
        <v>11</v>
      </c>
      <c r="G14496" s="2" t="s">
        <v>15654</v>
      </c>
      <c r="H14496" s="2" t="s">
        <v>15655</v>
      </c>
    </row>
    <row r="14497" spans="1:8" ht="25.05" customHeight="1" x14ac:dyDescent="0.25">
      <c r="A14497" s="2" t="s">
        <v>8</v>
      </c>
      <c r="B14497" s="2" t="str">
        <f>HYPERLINK("http://ts.21cn.com/tousu/show/id/1346087","目无法纪的招联金融")</f>
        <v>目无法纪的招联金融</v>
      </c>
      <c r="C14497" s="2" t="s">
        <v>9</v>
      </c>
      <c r="D14497" s="2" t="s">
        <v>10</v>
      </c>
      <c r="E14497" s="2" t="str">
        <f>HYPERLINK("http://ts.21cn.com/tousu/show/id/1346087","http://ts.21cn.com/tousu/show/id/1346087")</f>
        <v>http://ts.21cn.com/tousu/show/id/1346087</v>
      </c>
      <c r="F14497" s="2" t="s">
        <v>11</v>
      </c>
      <c r="G14497" s="2" t="s">
        <v>15652</v>
      </c>
      <c r="H14497" s="2" t="s">
        <v>15653</v>
      </c>
    </row>
    <row r="14498" spans="1:8" ht="25.05" customHeight="1" x14ac:dyDescent="0.25">
      <c r="A14498" s="2" t="s">
        <v>8</v>
      </c>
      <c r="B14498" s="2" t="str">
        <f>HYPERLINK("http://ts.21cn.com/tousu/show/id/1346057","砍头息，暴力催收，威胁")</f>
        <v>砍头息，暴力催收，威胁</v>
      </c>
      <c r="C14498" s="2" t="s">
        <v>9</v>
      </c>
      <c r="D14498" s="2" t="s">
        <v>10</v>
      </c>
      <c r="E14498" s="2" t="str">
        <f>HYPERLINK("http://ts.21cn.com/tousu/show/id/1346057","http://ts.21cn.com/tousu/show/id/1346057")</f>
        <v>http://ts.21cn.com/tousu/show/id/1346057</v>
      </c>
      <c r="F14498" s="2" t="s">
        <v>11</v>
      </c>
      <c r="G14498" s="2" t="s">
        <v>15650</v>
      </c>
      <c r="H14498" s="2" t="s">
        <v>15651</v>
      </c>
    </row>
    <row r="14499" spans="1:8" ht="25.05" customHeight="1" x14ac:dyDescent="0.25">
      <c r="A14499" s="2" t="s">
        <v>8</v>
      </c>
      <c r="B14499" s="2" t="str">
        <f>HYPERLINK("http://ts.21cn.com/tousu/show/id/1346089","快钱支付乱扣费")</f>
        <v>快钱支付乱扣费</v>
      </c>
      <c r="C14499" s="2" t="s">
        <v>9</v>
      </c>
      <c r="D14499" s="2" t="s">
        <v>10</v>
      </c>
      <c r="E14499" s="2" t="str">
        <f>HYPERLINK("http://ts.21cn.com/tousu/show/id/1346089","http://ts.21cn.com/tousu/show/id/1346089")</f>
        <v>http://ts.21cn.com/tousu/show/id/1346089</v>
      </c>
      <c r="F14499" s="2" t="s">
        <v>11</v>
      </c>
      <c r="G14499" s="2" t="s">
        <v>15648</v>
      </c>
      <c r="H14499" s="2" t="s">
        <v>15649</v>
      </c>
    </row>
    <row r="14500" spans="1:8" ht="25.05" customHeight="1" x14ac:dyDescent="0.25">
      <c r="A14500" s="2" t="s">
        <v>8</v>
      </c>
      <c r="B14500" s="2" t="str">
        <f>HYPERLINK("http://ts.21cn.com/tousu/show/id/1346088","钱站提取还款日期")</f>
        <v>钱站提取还款日期</v>
      </c>
      <c r="C14500" s="2" t="s">
        <v>9</v>
      </c>
      <c r="D14500" s="2" t="s">
        <v>10</v>
      </c>
      <c r="E14500" s="2" t="str">
        <f>HYPERLINK("http://ts.21cn.com/tousu/show/id/1346088","http://ts.21cn.com/tousu/show/id/1346088")</f>
        <v>http://ts.21cn.com/tousu/show/id/1346088</v>
      </c>
      <c r="F14500" s="2" t="s">
        <v>11</v>
      </c>
      <c r="G14500" s="2" t="s">
        <v>15646</v>
      </c>
      <c r="H14500" s="2" t="s">
        <v>15647</v>
      </c>
    </row>
    <row r="14501" spans="1:8" ht="25.05" customHeight="1" x14ac:dyDescent="0.25">
      <c r="A14501" s="2" t="s">
        <v>8</v>
      </c>
      <c r="B14501" s="2" t="str">
        <f>HYPERLINK("http://ts.21cn.com/tousu/show/id/1346090","我来贷逾期利息过高，霸王条款")</f>
        <v>我来贷逾期利息过高，霸王条款</v>
      </c>
      <c r="C14501" s="2" t="s">
        <v>9</v>
      </c>
      <c r="D14501" s="2" t="s">
        <v>10</v>
      </c>
      <c r="E14501" s="2" t="str">
        <f>HYPERLINK("http://ts.21cn.com/tousu/show/id/1346090","http://ts.21cn.com/tousu/show/id/1346090")</f>
        <v>http://ts.21cn.com/tousu/show/id/1346090</v>
      </c>
      <c r="F14501" s="2" t="s">
        <v>11</v>
      </c>
      <c r="G14501" s="2" t="s">
        <v>15644</v>
      </c>
      <c r="H14501" s="2" t="s">
        <v>15645</v>
      </c>
    </row>
    <row r="14502" spans="1:8" ht="25.05" customHeight="1" x14ac:dyDescent="0.25">
      <c r="A14502" s="2" t="s">
        <v>8</v>
      </c>
      <c r="B14502" s="2" t="str">
        <f>HYPERLINK("http://ts.21cn.com/tousu/show/id/1346092","高利贷")</f>
        <v>高利贷</v>
      </c>
      <c r="C14502" s="2" t="s">
        <v>9</v>
      </c>
      <c r="D14502" s="2" t="s">
        <v>10</v>
      </c>
      <c r="E14502" s="2" t="str">
        <f>HYPERLINK("http://ts.21cn.com/tousu/show/id/1346092","http://ts.21cn.com/tousu/show/id/1346092")</f>
        <v>http://ts.21cn.com/tousu/show/id/1346092</v>
      </c>
      <c r="F14502" s="2" t="s">
        <v>11</v>
      </c>
      <c r="G14502" s="2" t="s">
        <v>15642</v>
      </c>
      <c r="H14502" s="2" t="s">
        <v>15643</v>
      </c>
    </row>
    <row r="14503" spans="1:8" ht="25.05" customHeight="1" x14ac:dyDescent="0.25">
      <c r="A14503" s="2" t="s">
        <v>8</v>
      </c>
      <c r="B14503" s="2" t="str">
        <f>HYPERLINK("http://ts.21cn.com/tousu/show/id/1346093","霸王条款不退学费")</f>
        <v>霸王条款不退学费</v>
      </c>
      <c r="C14503" s="2" t="s">
        <v>9</v>
      </c>
      <c r="D14503" s="2" t="s">
        <v>10</v>
      </c>
      <c r="E14503" s="2" t="str">
        <f>HYPERLINK("http://ts.21cn.com/tousu/show/id/1346093","http://ts.21cn.com/tousu/show/id/1346093")</f>
        <v>http://ts.21cn.com/tousu/show/id/1346093</v>
      </c>
      <c r="F14503" s="2" t="s">
        <v>11</v>
      </c>
      <c r="G14503" s="2" t="s">
        <v>15640</v>
      </c>
      <c r="H14503" s="2" t="s">
        <v>15641</v>
      </c>
    </row>
    <row r="14504" spans="1:8" ht="25.05" customHeight="1" x14ac:dyDescent="0.25">
      <c r="A14504" s="2" t="s">
        <v>8</v>
      </c>
      <c r="B14504" s="2" t="str">
        <f>HYPERLINK("http://ts.21cn.com/tousu/show/id/1346094","小黑鲨高利贷套路贷")</f>
        <v>小黑鲨高利贷套路贷</v>
      </c>
      <c r="C14504" s="2" t="s">
        <v>9</v>
      </c>
      <c r="D14504" s="2" t="s">
        <v>10</v>
      </c>
      <c r="E14504" s="2" t="str">
        <f>HYPERLINK("http://ts.21cn.com/tousu/show/id/1346094","http://ts.21cn.com/tousu/show/id/1346094")</f>
        <v>http://ts.21cn.com/tousu/show/id/1346094</v>
      </c>
      <c r="F14504" s="2" t="s">
        <v>11</v>
      </c>
      <c r="G14504" s="2" t="s">
        <v>15638</v>
      </c>
      <c r="H14504" s="2" t="s">
        <v>15639</v>
      </c>
    </row>
    <row r="14505" spans="1:8" ht="25.05" customHeight="1" x14ac:dyDescent="0.25">
      <c r="A14505" s="2" t="s">
        <v>8</v>
      </c>
      <c r="B14505" s="2" t="str">
        <f>HYPERLINK("http://ts.21cn.com/tousu/show/id/1346095","退票后不退款")</f>
        <v>退票后不退款</v>
      </c>
      <c r="C14505" s="2" t="s">
        <v>9</v>
      </c>
      <c r="D14505" s="2" t="s">
        <v>10</v>
      </c>
      <c r="E14505" s="2" t="str">
        <f>HYPERLINK("http://ts.21cn.com/tousu/show/id/1346095","http://ts.21cn.com/tousu/show/id/1346095")</f>
        <v>http://ts.21cn.com/tousu/show/id/1346095</v>
      </c>
      <c r="F14505" s="2" t="s">
        <v>11</v>
      </c>
      <c r="G14505" s="2" t="s">
        <v>15636</v>
      </c>
      <c r="H14505" s="2" t="s">
        <v>15637</v>
      </c>
    </row>
    <row r="14506" spans="1:8" ht="25.05" customHeight="1" x14ac:dyDescent="0.25">
      <c r="A14506" s="2" t="s">
        <v>8</v>
      </c>
      <c r="B14506" s="2" t="str">
        <f>HYPERLINK("http://ts.21cn.com/tousu/show/id/1346096","乱扣钱")</f>
        <v>乱扣钱</v>
      </c>
      <c r="C14506" s="2" t="s">
        <v>9</v>
      </c>
      <c r="D14506" s="2" t="s">
        <v>10</v>
      </c>
      <c r="E14506" s="2" t="str">
        <f>HYPERLINK("http://ts.21cn.com/tousu/show/id/1346096","http://ts.21cn.com/tousu/show/id/1346096")</f>
        <v>http://ts.21cn.com/tousu/show/id/1346096</v>
      </c>
      <c r="F14506" s="2" t="s">
        <v>11</v>
      </c>
      <c r="G14506" s="2" t="s">
        <v>15634</v>
      </c>
      <c r="H14506" s="2" t="s">
        <v>15635</v>
      </c>
    </row>
    <row r="14507" spans="1:8" ht="25.05" customHeight="1" x14ac:dyDescent="0.25">
      <c r="A14507" s="2" t="s">
        <v>8</v>
      </c>
      <c r="B14507" s="2" t="str">
        <f>HYPERLINK("http://ts.21cn.com/tousu/show/id/1346097","pisart侵权个人隐私，无端扣费")</f>
        <v>pisart侵权个人隐私，无端扣费</v>
      </c>
      <c r="C14507" s="2" t="s">
        <v>9</v>
      </c>
      <c r="D14507" s="2" t="s">
        <v>10</v>
      </c>
      <c r="E14507" s="2" t="str">
        <f>HYPERLINK("http://ts.21cn.com/tousu/show/id/1346097","http://ts.21cn.com/tousu/show/id/1346097")</f>
        <v>http://ts.21cn.com/tousu/show/id/1346097</v>
      </c>
      <c r="F14507" s="2" t="s">
        <v>11</v>
      </c>
      <c r="G14507" s="2" t="s">
        <v>15632</v>
      </c>
      <c r="H14507" s="2" t="s">
        <v>15633</v>
      </c>
    </row>
    <row r="14508" spans="1:8" ht="25.05" customHeight="1" x14ac:dyDescent="0.25">
      <c r="A14508" s="2" t="s">
        <v>8</v>
      </c>
      <c r="B14508" s="2" t="str">
        <f>HYPERLINK("http://ts.21cn.com/tousu/show/id/1346098","周周花花高利贷")</f>
        <v>周周花花高利贷</v>
      </c>
      <c r="C14508" s="2" t="s">
        <v>9</v>
      </c>
      <c r="D14508" s="2" t="s">
        <v>10</v>
      </c>
      <c r="E14508" s="2" t="str">
        <f>HYPERLINK("http://ts.21cn.com/tousu/show/id/1346098","http://ts.21cn.com/tousu/show/id/1346098")</f>
        <v>http://ts.21cn.com/tousu/show/id/1346098</v>
      </c>
      <c r="F14508" s="2" t="s">
        <v>11</v>
      </c>
      <c r="G14508" s="2" t="s">
        <v>15630</v>
      </c>
      <c r="H14508" s="2" t="s">
        <v>15631</v>
      </c>
    </row>
    <row r="14509" spans="1:8" ht="25.05" customHeight="1" x14ac:dyDescent="0.25">
      <c r="A14509" s="2" t="s">
        <v>8</v>
      </c>
      <c r="B14509" s="2" t="str">
        <f>HYPERLINK("http://ts.21cn.com/tousu/show/id/1346099","兴业消费金融公司无法开具结清证明")</f>
        <v>兴业消费金融公司无法开具结清证明</v>
      </c>
      <c r="C14509" s="2" t="s">
        <v>34</v>
      </c>
      <c r="D14509" s="2" t="s">
        <v>10</v>
      </c>
      <c r="E14509" s="2" t="str">
        <f>HYPERLINK("http://ts.21cn.com/tousu/show/id/1346099","http://ts.21cn.com/tousu/show/id/1346099")</f>
        <v>http://ts.21cn.com/tousu/show/id/1346099</v>
      </c>
      <c r="F14509" s="2" t="s">
        <v>11</v>
      </c>
      <c r="G14509" s="2" t="s">
        <v>15628</v>
      </c>
      <c r="H14509" s="2" t="s">
        <v>15629</v>
      </c>
    </row>
    <row r="14510" spans="1:8" ht="25.05" customHeight="1" x14ac:dyDescent="0.25">
      <c r="A14510" s="2" t="s">
        <v>8</v>
      </c>
      <c r="B14510" s="2" t="str">
        <f>HYPERLINK("http://ts.21cn.com/tousu/show/id/1346101","苏宁手机质量问题")</f>
        <v>苏宁手机质量问题</v>
      </c>
      <c r="C14510" s="2" t="s">
        <v>9</v>
      </c>
      <c r="D14510" s="2" t="s">
        <v>10</v>
      </c>
      <c r="E14510" s="2" t="str">
        <f>HYPERLINK("http://ts.21cn.com/tousu/show/id/1346101","http://ts.21cn.com/tousu/show/id/1346101")</f>
        <v>http://ts.21cn.com/tousu/show/id/1346101</v>
      </c>
      <c r="F14510" s="2" t="s">
        <v>11</v>
      </c>
      <c r="G14510" s="2" t="s">
        <v>15626</v>
      </c>
      <c r="H14510" s="2" t="s">
        <v>15627</v>
      </c>
    </row>
    <row r="14511" spans="1:8" ht="25.05" customHeight="1" x14ac:dyDescent="0.25">
      <c r="A14511" s="2" t="s">
        <v>8</v>
      </c>
      <c r="B14511" s="2" t="str">
        <f>HYPERLINK("http://ts.21cn.com/tousu/show/id/1346102","手机借钱多宝分期无法还款")</f>
        <v>手机借钱多宝分期无法还款</v>
      </c>
      <c r="C14511" s="2" t="s">
        <v>9</v>
      </c>
      <c r="D14511" s="2" t="s">
        <v>10</v>
      </c>
      <c r="E14511" s="2" t="str">
        <f>HYPERLINK("http://ts.21cn.com/tousu/show/id/1346102","http://ts.21cn.com/tousu/show/id/1346102")</f>
        <v>http://ts.21cn.com/tousu/show/id/1346102</v>
      </c>
      <c r="F14511" s="2" t="s">
        <v>11</v>
      </c>
      <c r="G14511" s="2" t="s">
        <v>15624</v>
      </c>
      <c r="H14511" s="2" t="s">
        <v>15625</v>
      </c>
    </row>
    <row r="14512" spans="1:8" ht="25.05" customHeight="1" x14ac:dyDescent="0.25">
      <c r="A14512" s="2" t="s">
        <v>8</v>
      </c>
      <c r="B14512" s="2" t="str">
        <f>HYPERLINK("http://ts.21cn.com/tousu/show/id/1346103","投诉百万钱包收取前期服务费")</f>
        <v>投诉百万钱包收取前期服务费</v>
      </c>
      <c r="C14512" s="2" t="s">
        <v>34</v>
      </c>
      <c r="D14512" s="2" t="s">
        <v>10</v>
      </c>
      <c r="E14512" s="2" t="str">
        <f>HYPERLINK("http://ts.21cn.com/tousu/show/id/1346103","http://ts.21cn.com/tousu/show/id/1346103")</f>
        <v>http://ts.21cn.com/tousu/show/id/1346103</v>
      </c>
      <c r="F14512" s="2" t="s">
        <v>11</v>
      </c>
      <c r="G14512" s="2" t="s">
        <v>15622</v>
      </c>
      <c r="H14512" s="2" t="s">
        <v>15623</v>
      </c>
    </row>
    <row r="14513" spans="1:8" ht="25.05" customHeight="1" x14ac:dyDescent="0.25">
      <c r="A14513" s="2" t="s">
        <v>8</v>
      </c>
      <c r="B14513" s="2" t="str">
        <f>HYPERLINK("http://ts.21cn.com/tousu/show/id/1346082","今日头条迟迟不退款")</f>
        <v>今日头条迟迟不退款</v>
      </c>
      <c r="C14513" s="2" t="s">
        <v>9</v>
      </c>
      <c r="D14513" s="2" t="s">
        <v>10</v>
      </c>
      <c r="E14513" s="2" t="str">
        <f>HYPERLINK("http://ts.21cn.com/tousu/show/id/1346082","http://ts.21cn.com/tousu/show/id/1346082")</f>
        <v>http://ts.21cn.com/tousu/show/id/1346082</v>
      </c>
      <c r="F14513" s="2" t="s">
        <v>11</v>
      </c>
      <c r="G14513" s="2" t="s">
        <v>15620</v>
      </c>
      <c r="H14513" s="2" t="s">
        <v>15621</v>
      </c>
    </row>
    <row r="14514" spans="1:8" ht="25.05" customHeight="1" x14ac:dyDescent="0.25">
      <c r="A14514" s="2" t="s">
        <v>8</v>
      </c>
      <c r="B14514" s="2" t="str">
        <f>HYPERLINK("http://ts.21cn.com/tousu/show/id/1346104","小象优品高利贷，超过国家规定利率")</f>
        <v>小象优品高利贷，超过国家规定利率</v>
      </c>
      <c r="C14514" s="2" t="s">
        <v>9</v>
      </c>
      <c r="D14514" s="2" t="s">
        <v>10</v>
      </c>
      <c r="E14514" s="2" t="str">
        <f>HYPERLINK("http://ts.21cn.com/tousu/show/id/1346104","http://ts.21cn.com/tousu/show/id/1346104")</f>
        <v>http://ts.21cn.com/tousu/show/id/1346104</v>
      </c>
      <c r="F14514" s="2" t="s">
        <v>11</v>
      </c>
      <c r="G14514" s="2" t="s">
        <v>15618</v>
      </c>
      <c r="H14514" s="2" t="s">
        <v>15619</v>
      </c>
    </row>
    <row r="14515" spans="1:8" ht="25.05" customHeight="1" x14ac:dyDescent="0.25">
      <c r="A14515" s="2" t="s">
        <v>8</v>
      </c>
      <c r="B14515" s="2" t="str">
        <f>HYPERLINK("http://ts.21cn.com/tousu/show/id/1346105","钱站高利贷阴阳合同")</f>
        <v>钱站高利贷阴阳合同</v>
      </c>
      <c r="C14515" s="2" t="s">
        <v>9</v>
      </c>
      <c r="D14515" s="2" t="s">
        <v>10</v>
      </c>
      <c r="E14515" s="2" t="str">
        <f>HYPERLINK("http://ts.21cn.com/tousu/show/id/1346105","http://ts.21cn.com/tousu/show/id/1346105")</f>
        <v>http://ts.21cn.com/tousu/show/id/1346105</v>
      </c>
      <c r="F14515" s="2" t="s">
        <v>11</v>
      </c>
      <c r="G14515" s="2" t="s">
        <v>15616</v>
      </c>
      <c r="H14515" s="2" t="s">
        <v>15617</v>
      </c>
    </row>
    <row r="14516" spans="1:8" ht="25.05" customHeight="1" x14ac:dyDescent="0.25">
      <c r="A14516" s="2" t="s">
        <v>8</v>
      </c>
      <c r="B14516" s="2" t="str">
        <f>HYPERLINK("http://ts.21cn.com/tousu/show/id/1346106","钱置宝高利贷问题")</f>
        <v>钱置宝高利贷问题</v>
      </c>
      <c r="C14516" s="2" t="s">
        <v>9</v>
      </c>
      <c r="D14516" s="2" t="s">
        <v>10</v>
      </c>
      <c r="E14516" s="2" t="str">
        <f>HYPERLINK("http://ts.21cn.com/tousu/show/id/1346106","http://ts.21cn.com/tousu/show/id/1346106")</f>
        <v>http://ts.21cn.com/tousu/show/id/1346106</v>
      </c>
      <c r="F14516" s="2" t="s">
        <v>11</v>
      </c>
      <c r="G14516" s="2" t="s">
        <v>15614</v>
      </c>
      <c r="H14516" s="2" t="s">
        <v>15615</v>
      </c>
    </row>
    <row r="14517" spans="1:8" ht="25.05" customHeight="1" x14ac:dyDescent="0.25">
      <c r="A14517" s="2" t="s">
        <v>8</v>
      </c>
      <c r="B14517" s="2" t="str">
        <f>HYPERLINK("http://ts.21cn.com/tousu/show/id/1346108","举报海尔嗨够暴力催收")</f>
        <v>举报海尔嗨够暴力催收</v>
      </c>
      <c r="C14517" s="2" t="s">
        <v>9</v>
      </c>
      <c r="D14517" s="2" t="s">
        <v>10</v>
      </c>
      <c r="E14517" s="2" t="str">
        <f>HYPERLINK("http://ts.21cn.com/tousu/show/id/1346108","http://ts.21cn.com/tousu/show/id/1346108")</f>
        <v>http://ts.21cn.com/tousu/show/id/1346108</v>
      </c>
      <c r="F14517" s="2" t="s">
        <v>11</v>
      </c>
      <c r="G14517" s="2" t="s">
        <v>15612</v>
      </c>
      <c r="H14517" s="2" t="s">
        <v>15613</v>
      </c>
    </row>
    <row r="14518" spans="1:8" ht="25.05" customHeight="1" x14ac:dyDescent="0.25">
      <c r="A14518" s="2" t="s">
        <v>8</v>
      </c>
      <c r="B14518" s="2" t="str">
        <f>HYPERLINK("http://ts.21cn.com/tousu/show/id/1346091","洋钱罐利息高。威胁。要把事闹大")</f>
        <v>洋钱罐利息高。威胁。要把事闹大</v>
      </c>
      <c r="C14518" s="2" t="s">
        <v>9</v>
      </c>
      <c r="D14518" s="2" t="s">
        <v>10</v>
      </c>
      <c r="E14518" s="2" t="str">
        <f>HYPERLINK("http://ts.21cn.com/tousu/show/id/1346091","http://ts.21cn.com/tousu/show/id/1346091")</f>
        <v>http://ts.21cn.com/tousu/show/id/1346091</v>
      </c>
      <c r="F14518" s="2" t="s">
        <v>11</v>
      </c>
      <c r="G14518" s="2" t="s">
        <v>15610</v>
      </c>
      <c r="H14518" s="2" t="s">
        <v>15611</v>
      </c>
    </row>
    <row r="14519" spans="1:8" ht="25.05" customHeight="1" x14ac:dyDescent="0.25">
      <c r="A14519" s="2" t="s">
        <v>8</v>
      </c>
      <c r="B14519" s="2" t="str">
        <f>HYPERLINK("http://ts.21cn.com/tousu/show/id/1346111","平台派单和工作机制")</f>
        <v>平台派单和工作机制</v>
      </c>
      <c r="C14519" s="2" t="s">
        <v>9</v>
      </c>
      <c r="D14519" s="2" t="s">
        <v>10</v>
      </c>
      <c r="E14519" s="2" t="str">
        <f>HYPERLINK("http://ts.21cn.com/tousu/show/id/1346111","http://ts.21cn.com/tousu/show/id/1346111")</f>
        <v>http://ts.21cn.com/tousu/show/id/1346111</v>
      </c>
      <c r="F14519" s="2" t="s">
        <v>11</v>
      </c>
      <c r="G14519" s="2" t="s">
        <v>15608</v>
      </c>
      <c r="H14519" s="2" t="s">
        <v>15609</v>
      </c>
    </row>
    <row r="14520" spans="1:8" ht="25.05" customHeight="1" x14ac:dyDescent="0.25">
      <c r="A14520" s="2" t="s">
        <v>8</v>
      </c>
      <c r="B14520" s="2" t="str">
        <f>HYPERLINK("http://ts.21cn.com/tousu/show/id/1346112","无缘无故被扣款")</f>
        <v>无缘无故被扣款</v>
      </c>
      <c r="C14520" s="2" t="s">
        <v>9</v>
      </c>
      <c r="D14520" s="2" t="s">
        <v>10</v>
      </c>
      <c r="E14520" s="2" t="str">
        <f>HYPERLINK("http://ts.21cn.com/tousu/show/id/1346112","http://ts.21cn.com/tousu/show/id/1346112")</f>
        <v>http://ts.21cn.com/tousu/show/id/1346112</v>
      </c>
      <c r="F14520" s="2" t="s">
        <v>11</v>
      </c>
      <c r="G14520" s="2" t="s">
        <v>15606</v>
      </c>
      <c r="H14520" s="2" t="s">
        <v>15607</v>
      </c>
    </row>
    <row r="14521" spans="1:8" ht="25.05" customHeight="1" x14ac:dyDescent="0.25">
      <c r="A14521" s="2" t="s">
        <v>8</v>
      </c>
      <c r="B14521" s="2" t="str">
        <f>HYPERLINK("http://ts.21cn.com/tousu/show/id/1346114","洋钱罐暴力催收")</f>
        <v>洋钱罐暴力催收</v>
      </c>
      <c r="C14521" s="2" t="s">
        <v>9</v>
      </c>
      <c r="D14521" s="2" t="s">
        <v>10</v>
      </c>
      <c r="E14521" s="2" t="str">
        <f>HYPERLINK("http://ts.21cn.com/tousu/show/id/1346114","http://ts.21cn.com/tousu/show/id/1346114")</f>
        <v>http://ts.21cn.com/tousu/show/id/1346114</v>
      </c>
      <c r="F14521" s="2" t="s">
        <v>11</v>
      </c>
      <c r="G14521" s="2" t="s">
        <v>15604</v>
      </c>
      <c r="H14521" s="2" t="s">
        <v>15605</v>
      </c>
    </row>
    <row r="14522" spans="1:8" ht="25.05" customHeight="1" x14ac:dyDescent="0.25">
      <c r="A14522" s="2" t="s">
        <v>8</v>
      </c>
      <c r="B14522" s="2" t="str">
        <f>HYPERLINK("http://ts.21cn.com/tousu/show/id/1346113","京东自营赠品催单也不发货")</f>
        <v>京东自营赠品催单也不发货</v>
      </c>
      <c r="C14522" s="2" t="s">
        <v>9</v>
      </c>
      <c r="D14522" s="2" t="s">
        <v>10</v>
      </c>
      <c r="E14522" s="2" t="str">
        <f>HYPERLINK("http://ts.21cn.com/tousu/show/id/1346113","http://ts.21cn.com/tousu/show/id/1346113")</f>
        <v>http://ts.21cn.com/tousu/show/id/1346113</v>
      </c>
      <c r="F14522" s="2" t="s">
        <v>11</v>
      </c>
      <c r="G14522" s="2" t="s">
        <v>15602</v>
      </c>
      <c r="H14522" s="2" t="s">
        <v>15603</v>
      </c>
    </row>
    <row r="14523" spans="1:8" ht="25.05" customHeight="1" x14ac:dyDescent="0.25">
      <c r="A14523" s="2" t="s">
        <v>8</v>
      </c>
      <c r="B14523" s="2" t="str">
        <f>HYPERLINK("http://ts.21cn.com/tousu/show/id/1346115","凡普金科旗下钱站app暴力催收")</f>
        <v>凡普金科旗下钱站app暴力催收</v>
      </c>
      <c r="C14523" s="2" t="s">
        <v>9</v>
      </c>
      <c r="D14523" s="2" t="s">
        <v>10</v>
      </c>
      <c r="E14523" s="2" t="str">
        <f>HYPERLINK("http://ts.21cn.com/tousu/show/id/1346115","http://ts.21cn.com/tousu/show/id/1346115")</f>
        <v>http://ts.21cn.com/tousu/show/id/1346115</v>
      </c>
      <c r="F14523" s="2" t="s">
        <v>11</v>
      </c>
      <c r="G14523" s="2" t="s">
        <v>15600</v>
      </c>
      <c r="H14523" s="2" t="s">
        <v>15601</v>
      </c>
    </row>
    <row r="14524" spans="1:8" ht="25.05" customHeight="1" x14ac:dyDescent="0.25">
      <c r="A14524" s="2" t="s">
        <v>8</v>
      </c>
      <c r="B14524" s="2" t="str">
        <f>HYPERLINK("http://ts.21cn.com/tousu/show/id/1346116","在唯品会买贵了要求退差价（10月8号收货，10月9日降价）")</f>
        <v>在唯品会买贵了要求退差价（10月8号收货，10月9日降价）</v>
      </c>
      <c r="C14524" s="2" t="s">
        <v>34</v>
      </c>
      <c r="D14524" s="2" t="s">
        <v>10</v>
      </c>
      <c r="E14524" s="2" t="str">
        <f>HYPERLINK("http://ts.21cn.com/tousu/show/id/1346116","http://ts.21cn.com/tousu/show/id/1346116")</f>
        <v>http://ts.21cn.com/tousu/show/id/1346116</v>
      </c>
      <c r="F14524" s="2" t="s">
        <v>11</v>
      </c>
      <c r="G14524" s="2" t="s">
        <v>15598</v>
      </c>
      <c r="H14524" s="2" t="s">
        <v>15599</v>
      </c>
    </row>
    <row r="14525" spans="1:8" ht="25.05" customHeight="1" x14ac:dyDescent="0.25">
      <c r="A14525" s="2" t="s">
        <v>8</v>
      </c>
      <c r="B14525" s="2" t="str">
        <f>HYPERLINK("http://ts.21cn.com/tousu/show/id/1346117","中腾信恶意催收，爆通讯录，群发短信")</f>
        <v>中腾信恶意催收，爆通讯录，群发短信</v>
      </c>
      <c r="C14525" s="2" t="s">
        <v>9</v>
      </c>
      <c r="D14525" s="2" t="s">
        <v>10</v>
      </c>
      <c r="E14525" s="2" t="str">
        <f>HYPERLINK("http://ts.21cn.com/tousu/show/id/1346117","http://ts.21cn.com/tousu/show/id/1346117")</f>
        <v>http://ts.21cn.com/tousu/show/id/1346117</v>
      </c>
      <c r="F14525" s="2" t="s">
        <v>11</v>
      </c>
      <c r="G14525" s="2" t="s">
        <v>15596</v>
      </c>
      <c r="H14525" s="2" t="s">
        <v>15597</v>
      </c>
    </row>
    <row r="14526" spans="1:8" ht="25.05" customHeight="1" x14ac:dyDescent="0.25">
      <c r="A14526" s="2" t="s">
        <v>8</v>
      </c>
      <c r="B14526" s="2" t="str">
        <f>HYPERLINK("http://ts.21cn.com/tousu/show/id/1346124","招联金融恐吓催收")</f>
        <v>招联金融恐吓催收</v>
      </c>
      <c r="C14526" s="2" t="s">
        <v>9</v>
      </c>
      <c r="D14526" s="2" t="s">
        <v>10</v>
      </c>
      <c r="E14526" s="2" t="str">
        <f>HYPERLINK("http://ts.21cn.com/tousu/show/id/1346124","http://ts.21cn.com/tousu/show/id/1346124")</f>
        <v>http://ts.21cn.com/tousu/show/id/1346124</v>
      </c>
      <c r="F14526" s="2" t="s">
        <v>11</v>
      </c>
      <c r="G14526" s="2" t="s">
        <v>15594</v>
      </c>
      <c r="H14526" s="2" t="s">
        <v>15595</v>
      </c>
    </row>
    <row r="14527" spans="1:8" ht="25.05" customHeight="1" x14ac:dyDescent="0.25">
      <c r="A14527" s="2" t="s">
        <v>8</v>
      </c>
      <c r="B14527" s="2" t="str">
        <f>HYPERLINK("http://ts.21cn.com/tousu/show/id/1346118","中腾信，高利贷，骚扰！")</f>
        <v>中腾信，高利贷，骚扰！</v>
      </c>
      <c r="C14527" s="2" t="s">
        <v>9</v>
      </c>
      <c r="D14527" s="2" t="s">
        <v>10</v>
      </c>
      <c r="E14527" s="2" t="str">
        <f>HYPERLINK("http://ts.21cn.com/tousu/show/id/1346118","http://ts.21cn.com/tousu/show/id/1346118")</f>
        <v>http://ts.21cn.com/tousu/show/id/1346118</v>
      </c>
      <c r="F14527" s="2" t="s">
        <v>11</v>
      </c>
      <c r="G14527" s="2" t="s">
        <v>15592</v>
      </c>
      <c r="H14527" s="2" t="s">
        <v>15593</v>
      </c>
    </row>
    <row r="14528" spans="1:8" ht="25.05" customHeight="1" x14ac:dyDescent="0.25">
      <c r="A14528" s="2" t="s">
        <v>8</v>
      </c>
      <c r="B14528" s="2" t="str">
        <f>HYPERLINK("http://ts.21cn.com/tousu/show/id/1346121","新浪有借不能还玖富的款")</f>
        <v>新浪有借不能还玖富的款</v>
      </c>
      <c r="C14528" s="2" t="s">
        <v>9</v>
      </c>
      <c r="D14528" s="2" t="s">
        <v>10</v>
      </c>
      <c r="E14528" s="2" t="str">
        <f>HYPERLINK("http://ts.21cn.com/tousu/show/id/1346121","http://ts.21cn.com/tousu/show/id/1346121")</f>
        <v>http://ts.21cn.com/tousu/show/id/1346121</v>
      </c>
      <c r="F14528" s="2" t="s">
        <v>11</v>
      </c>
      <c r="G14528" s="2" t="s">
        <v>15590</v>
      </c>
      <c r="H14528" s="2" t="s">
        <v>15591</v>
      </c>
    </row>
    <row r="14529" spans="1:8" ht="25.05" customHeight="1" x14ac:dyDescent="0.25">
      <c r="A14529" s="2" t="s">
        <v>8</v>
      </c>
      <c r="B14529" s="2" t="str">
        <f>HYPERLINK("http://ts.21cn.com/tousu/show/id/1346122","合同欺诈，私自扣款")</f>
        <v>合同欺诈，私自扣款</v>
      </c>
      <c r="C14529" s="2" t="s">
        <v>9</v>
      </c>
      <c r="D14529" s="2" t="s">
        <v>10</v>
      </c>
      <c r="E14529" s="2" t="str">
        <f>HYPERLINK("http://ts.21cn.com/tousu/show/id/1346122","http://ts.21cn.com/tousu/show/id/1346122")</f>
        <v>http://ts.21cn.com/tousu/show/id/1346122</v>
      </c>
      <c r="F14529" s="2" t="s">
        <v>11</v>
      </c>
      <c r="G14529" s="2" t="s">
        <v>15588</v>
      </c>
      <c r="H14529" s="2" t="s">
        <v>15589</v>
      </c>
    </row>
    <row r="14530" spans="1:8" ht="25.05" customHeight="1" x14ac:dyDescent="0.25">
      <c r="A14530" s="2" t="s">
        <v>8</v>
      </c>
      <c r="B14530" s="2" t="str">
        <f>HYPERLINK("http://ts.21cn.com/tousu/show/id/1346123","米多点高利贷")</f>
        <v>米多点高利贷</v>
      </c>
      <c r="C14530" s="2" t="s">
        <v>9</v>
      </c>
      <c r="D14530" s="2" t="s">
        <v>10</v>
      </c>
      <c r="E14530" s="2" t="str">
        <f>HYPERLINK("http://ts.21cn.com/tousu/show/id/1346123","http://ts.21cn.com/tousu/show/id/1346123")</f>
        <v>http://ts.21cn.com/tousu/show/id/1346123</v>
      </c>
      <c r="F14530" s="2" t="s">
        <v>11</v>
      </c>
      <c r="G14530" s="2" t="s">
        <v>15586</v>
      </c>
      <c r="H14530" s="2" t="s">
        <v>15587</v>
      </c>
    </row>
    <row r="14531" spans="1:8" ht="25.05" customHeight="1" x14ac:dyDescent="0.25">
      <c r="A14531" s="2" t="s">
        <v>8</v>
      </c>
      <c r="B14531" s="2" t="str">
        <f>HYPERLINK("http://ts.21cn.com/tousu/show/id/1346125","恶意崔收，骚扰联系人")</f>
        <v>恶意崔收，骚扰联系人</v>
      </c>
      <c r="C14531" s="2" t="s">
        <v>9</v>
      </c>
      <c r="D14531" s="2" t="s">
        <v>10</v>
      </c>
      <c r="E14531" s="2" t="str">
        <f>HYPERLINK("http://ts.21cn.com/tousu/show/id/1346125","http://ts.21cn.com/tousu/show/id/1346125")</f>
        <v>http://ts.21cn.com/tousu/show/id/1346125</v>
      </c>
      <c r="F14531" s="2" t="s">
        <v>11</v>
      </c>
      <c r="G14531" s="2" t="s">
        <v>15584</v>
      </c>
      <c r="H14531" s="2" t="s">
        <v>15585</v>
      </c>
    </row>
    <row r="14532" spans="1:8" ht="25.05" customHeight="1" x14ac:dyDescent="0.25">
      <c r="A14532" s="2" t="s">
        <v>8</v>
      </c>
      <c r="B14532" s="2" t="str">
        <f>HYPERLINK("http://ts.21cn.com/tousu/show/id/1346109","现金借款714平台高利息和宝付通联")</f>
        <v>现金借款714平台高利息和宝付通联</v>
      </c>
      <c r="C14532" s="2" t="s">
        <v>9</v>
      </c>
      <c r="D14532" s="2" t="s">
        <v>10</v>
      </c>
      <c r="E14532" s="2" t="str">
        <f>HYPERLINK("http://ts.21cn.com/tousu/show/id/1346109","http://ts.21cn.com/tousu/show/id/1346109")</f>
        <v>http://ts.21cn.com/tousu/show/id/1346109</v>
      </c>
      <c r="F14532" s="2" t="s">
        <v>11</v>
      </c>
      <c r="G14532" s="2" t="s">
        <v>15582</v>
      </c>
      <c r="H14532" s="2" t="s">
        <v>15583</v>
      </c>
    </row>
    <row r="14533" spans="1:8" ht="25.05" customHeight="1" x14ac:dyDescent="0.25">
      <c r="A14533" s="2" t="s">
        <v>8</v>
      </c>
      <c r="B14533" s="2" t="str">
        <f>HYPERLINK("http://ts.21cn.com/tousu/show/id/1346127","软暴力催收")</f>
        <v>软暴力催收</v>
      </c>
      <c r="C14533" s="2" t="s">
        <v>9</v>
      </c>
      <c r="D14533" s="2" t="s">
        <v>10</v>
      </c>
      <c r="E14533" s="2" t="str">
        <f>HYPERLINK("http://ts.21cn.com/tousu/show/id/1346127","http://ts.21cn.com/tousu/show/id/1346127")</f>
        <v>http://ts.21cn.com/tousu/show/id/1346127</v>
      </c>
      <c r="F14533" s="2" t="s">
        <v>11</v>
      </c>
      <c r="G14533" s="2" t="s">
        <v>15579</v>
      </c>
      <c r="H14533" s="2" t="s">
        <v>15580</v>
      </c>
    </row>
    <row r="14534" spans="1:8" ht="25.05" customHeight="1" x14ac:dyDescent="0.25">
      <c r="A14534" s="2" t="s">
        <v>8</v>
      </c>
      <c r="B14534" s="2" t="str">
        <f>HYPERLINK("http://ts.21cn.com/tousu/show/id/1346126","未知名扣款")</f>
        <v>未知名扣款</v>
      </c>
      <c r="C14534" s="2" t="s">
        <v>34</v>
      </c>
      <c r="D14534" s="2" t="s">
        <v>10</v>
      </c>
      <c r="E14534" s="2" t="str">
        <f>HYPERLINK("http://ts.21cn.com/tousu/show/id/1346126","http://ts.21cn.com/tousu/show/id/1346126")</f>
        <v>http://ts.21cn.com/tousu/show/id/1346126</v>
      </c>
      <c r="F14534" s="2" t="s">
        <v>11</v>
      </c>
      <c r="G14534" s="2" t="s">
        <v>15579</v>
      </c>
      <c r="H14534" s="2" t="s">
        <v>15581</v>
      </c>
    </row>
    <row r="14535" spans="1:8" ht="25.05" customHeight="1" x14ac:dyDescent="0.25">
      <c r="A14535" s="2" t="s">
        <v>8</v>
      </c>
      <c r="B14535" s="2" t="str">
        <f>HYPERLINK("http://ts.21cn.com/tousu/show/id/1346128","钱包易贷砍头息，逾期费用高的离谱，已经达到百分之五十三")</f>
        <v>钱包易贷砍头息，逾期费用高的离谱，已经达到百分之五十三</v>
      </c>
      <c r="C14535" s="2" t="s">
        <v>9</v>
      </c>
      <c r="D14535" s="2" t="s">
        <v>10</v>
      </c>
      <c r="E14535" s="2" t="str">
        <f>HYPERLINK("http://ts.21cn.com/tousu/show/id/1346128","http://ts.21cn.com/tousu/show/id/1346128")</f>
        <v>http://ts.21cn.com/tousu/show/id/1346128</v>
      </c>
      <c r="F14535" s="2" t="s">
        <v>11</v>
      </c>
      <c r="G14535" s="2" t="s">
        <v>15577</v>
      </c>
      <c r="H14535" s="2" t="s">
        <v>15578</v>
      </c>
    </row>
    <row r="14536" spans="1:8" ht="25.05" customHeight="1" x14ac:dyDescent="0.25">
      <c r="A14536" s="2" t="s">
        <v>8</v>
      </c>
      <c r="B14536" s="2" t="str">
        <f>HYPERLINK("http://ts.21cn.com/tousu/show/id/1346130","萤石云存储不工作，不退款")</f>
        <v>萤石云存储不工作，不退款</v>
      </c>
      <c r="C14536" s="2" t="s">
        <v>34</v>
      </c>
      <c r="D14536" s="2" t="s">
        <v>10</v>
      </c>
      <c r="E14536" s="2" t="str">
        <f>HYPERLINK("http://ts.21cn.com/tousu/show/id/1346130","http://ts.21cn.com/tousu/show/id/1346130")</f>
        <v>http://ts.21cn.com/tousu/show/id/1346130</v>
      </c>
      <c r="F14536" s="2" t="s">
        <v>11</v>
      </c>
      <c r="G14536" s="2" t="s">
        <v>15575</v>
      </c>
      <c r="H14536" s="2" t="s">
        <v>15576</v>
      </c>
    </row>
    <row r="14537" spans="1:8" ht="25.05" customHeight="1" x14ac:dyDescent="0.25">
      <c r="A14537" s="2" t="s">
        <v>8</v>
      </c>
      <c r="B14537" s="2" t="str">
        <f>HYPERLINK("http://ts.21cn.com/tousu/show/id/1346129","滴滴网约车车证上传8个月一直在审核中")</f>
        <v>滴滴网约车车证上传8个月一直在审核中</v>
      </c>
      <c r="C14537" s="2" t="s">
        <v>9</v>
      </c>
      <c r="D14537" s="2" t="s">
        <v>10</v>
      </c>
      <c r="E14537" s="2" t="str">
        <f>HYPERLINK("http://ts.21cn.com/tousu/show/id/1346129","http://ts.21cn.com/tousu/show/id/1346129")</f>
        <v>http://ts.21cn.com/tousu/show/id/1346129</v>
      </c>
      <c r="F14537" s="2" t="s">
        <v>11</v>
      </c>
      <c r="G14537" s="2" t="s">
        <v>15573</v>
      </c>
      <c r="H14537" s="2" t="s">
        <v>15574</v>
      </c>
    </row>
    <row r="14538" spans="1:8" ht="25.05" customHeight="1" x14ac:dyDescent="0.25">
      <c r="A14538" s="2" t="s">
        <v>8</v>
      </c>
      <c r="B14538" s="2" t="str">
        <f>HYPERLINK("http://ts.21cn.com/tousu/show/id/1346131","平安普惠i贷高利贷伪造律师函")</f>
        <v>平安普惠i贷高利贷伪造律师函</v>
      </c>
      <c r="C14538" s="2" t="s">
        <v>9</v>
      </c>
      <c r="D14538" s="2" t="s">
        <v>10</v>
      </c>
      <c r="E14538" s="2" t="str">
        <f>HYPERLINK("http://ts.21cn.com/tousu/show/id/1346131","http://ts.21cn.com/tousu/show/id/1346131")</f>
        <v>http://ts.21cn.com/tousu/show/id/1346131</v>
      </c>
      <c r="F14538" s="2" t="s">
        <v>11</v>
      </c>
      <c r="G14538" s="2" t="s">
        <v>15571</v>
      </c>
      <c r="H14538" s="2" t="s">
        <v>15572</v>
      </c>
    </row>
    <row r="14539" spans="1:8" ht="25.05" customHeight="1" x14ac:dyDescent="0.25">
      <c r="A14539" s="2" t="s">
        <v>8</v>
      </c>
      <c r="B14539" s="2" t="str">
        <f>HYPERLINK("http://ts.21cn.com/tousu/show/id/1346132","海尔消费金融暴力催收")</f>
        <v>海尔消费金融暴力催收</v>
      </c>
      <c r="C14539" s="2" t="s">
        <v>9</v>
      </c>
      <c r="D14539" s="2" t="s">
        <v>10</v>
      </c>
      <c r="E14539" s="2" t="str">
        <f>HYPERLINK("http://ts.21cn.com/tousu/show/id/1346132","http://ts.21cn.com/tousu/show/id/1346132")</f>
        <v>http://ts.21cn.com/tousu/show/id/1346132</v>
      </c>
      <c r="F14539" s="2" t="s">
        <v>11</v>
      </c>
      <c r="G14539" s="2" t="s">
        <v>15569</v>
      </c>
      <c r="H14539" s="2" t="s">
        <v>15570</v>
      </c>
    </row>
    <row r="14540" spans="1:8" ht="25.05" customHeight="1" x14ac:dyDescent="0.25">
      <c r="A14540" s="2" t="s">
        <v>8</v>
      </c>
      <c r="B14540" s="2" t="str">
        <f>HYPERLINK("http://ts.21cn.com/tousu/show/id/1346133","来米巴士超利贷砍头息暴力催收")</f>
        <v>来米巴士超利贷砍头息暴力催收</v>
      </c>
      <c r="C14540" s="2" t="s">
        <v>9</v>
      </c>
      <c r="D14540" s="2" t="s">
        <v>10</v>
      </c>
      <c r="E14540" s="2" t="str">
        <f>HYPERLINK("http://ts.21cn.com/tousu/show/id/1346133","http://ts.21cn.com/tousu/show/id/1346133")</f>
        <v>http://ts.21cn.com/tousu/show/id/1346133</v>
      </c>
      <c r="F14540" s="2" t="s">
        <v>11</v>
      </c>
      <c r="G14540" s="2" t="s">
        <v>15567</v>
      </c>
      <c r="H14540" s="2" t="s">
        <v>15568</v>
      </c>
    </row>
    <row r="14541" spans="1:8" ht="25.05" customHeight="1" x14ac:dyDescent="0.25">
      <c r="A14541" s="2" t="s">
        <v>8</v>
      </c>
      <c r="B14541" s="2" t="str">
        <f>HYPERLINK("http://ts.21cn.com/tousu/show/id/1346135","美团生活费暴力催收")</f>
        <v>美团生活费暴力催收</v>
      </c>
      <c r="C14541" s="2" t="s">
        <v>9</v>
      </c>
      <c r="D14541" s="2" t="s">
        <v>10</v>
      </c>
      <c r="E14541" s="2" t="str">
        <f>HYPERLINK("http://ts.21cn.com/tousu/show/id/1346135","http://ts.21cn.com/tousu/show/id/1346135")</f>
        <v>http://ts.21cn.com/tousu/show/id/1346135</v>
      </c>
      <c r="F14541" s="2" t="s">
        <v>11</v>
      </c>
      <c r="G14541" s="2" t="s">
        <v>15564</v>
      </c>
      <c r="H14541" s="2" t="s">
        <v>15565</v>
      </c>
    </row>
    <row r="14542" spans="1:8" ht="25.05" customHeight="1" x14ac:dyDescent="0.25">
      <c r="A14542" s="2" t="s">
        <v>8</v>
      </c>
      <c r="B14542" s="2" t="str">
        <f>HYPERLINK("http://ts.21cn.com/tousu/show/id/1346134","滴滴派单率下降")</f>
        <v>滴滴派单率下降</v>
      </c>
      <c r="C14542" s="2" t="s">
        <v>34</v>
      </c>
      <c r="D14542" s="2" t="s">
        <v>10</v>
      </c>
      <c r="E14542" s="2" t="str">
        <f>HYPERLINK("http://ts.21cn.com/tousu/show/id/1346134","http://ts.21cn.com/tousu/show/id/1346134")</f>
        <v>http://ts.21cn.com/tousu/show/id/1346134</v>
      </c>
      <c r="F14542" s="2" t="s">
        <v>11</v>
      </c>
      <c r="G14542" s="2" t="s">
        <v>15564</v>
      </c>
      <c r="H14542" s="2" t="s">
        <v>15566</v>
      </c>
    </row>
    <row r="14543" spans="1:8" ht="25.05" customHeight="1" x14ac:dyDescent="0.25">
      <c r="A14543" s="2" t="s">
        <v>8</v>
      </c>
      <c r="B14543" s="2" t="str">
        <f>HYPERLINK("http://ts.21cn.com/tousu/show/id/1346136","洋钱罐客服不协商咄咄逼人跟我说要走流程爆通讯录")</f>
        <v>洋钱罐客服不协商咄咄逼人跟我说要走流程爆通讯录</v>
      </c>
      <c r="C14543" s="2" t="s">
        <v>9</v>
      </c>
      <c r="D14543" s="2" t="s">
        <v>10</v>
      </c>
      <c r="E14543" s="2" t="str">
        <f>HYPERLINK("http://ts.21cn.com/tousu/show/id/1346136","http://ts.21cn.com/tousu/show/id/1346136")</f>
        <v>http://ts.21cn.com/tousu/show/id/1346136</v>
      </c>
      <c r="F14543" s="2" t="s">
        <v>11</v>
      </c>
      <c r="G14543" s="2" t="s">
        <v>15562</v>
      </c>
      <c r="H14543" s="2" t="s">
        <v>15563</v>
      </c>
    </row>
    <row r="14544" spans="1:8" ht="25.05" customHeight="1" x14ac:dyDescent="0.25">
      <c r="A14544" s="2" t="s">
        <v>8</v>
      </c>
      <c r="B14544" s="2" t="str">
        <f>HYPERLINK("http://ts.21cn.com/tousu/show/id/1346137","一年没拉滴滴")</f>
        <v>一年没拉滴滴</v>
      </c>
      <c r="C14544" s="2" t="s">
        <v>9</v>
      </c>
      <c r="D14544" s="2" t="s">
        <v>10</v>
      </c>
      <c r="E14544" s="2" t="str">
        <f>HYPERLINK("http://ts.21cn.com/tousu/show/id/1346137","http://ts.21cn.com/tousu/show/id/1346137")</f>
        <v>http://ts.21cn.com/tousu/show/id/1346137</v>
      </c>
      <c r="F14544" s="2" t="s">
        <v>11</v>
      </c>
      <c r="G14544" s="2" t="s">
        <v>15560</v>
      </c>
      <c r="H14544" s="2" t="s">
        <v>15561</v>
      </c>
    </row>
    <row r="14545" spans="1:8" ht="25.05" customHeight="1" x14ac:dyDescent="0.25">
      <c r="A14545" s="2" t="s">
        <v>8</v>
      </c>
      <c r="B14545" s="2" t="str">
        <f>HYPERLINK("http://ts.21cn.com/tousu/show/id/1346138","多米贷催收人员态度恶劣，并出口威胁")</f>
        <v>多米贷催收人员态度恶劣，并出口威胁</v>
      </c>
      <c r="C14545" s="2" t="s">
        <v>9</v>
      </c>
      <c r="D14545" s="2" t="s">
        <v>10</v>
      </c>
      <c r="E14545" s="2" t="str">
        <f>HYPERLINK("http://ts.21cn.com/tousu/show/id/1346138","http://ts.21cn.com/tousu/show/id/1346138")</f>
        <v>http://ts.21cn.com/tousu/show/id/1346138</v>
      </c>
      <c r="F14545" s="2" t="s">
        <v>11</v>
      </c>
      <c r="G14545" s="2" t="s">
        <v>15558</v>
      </c>
      <c r="H14545" s="2" t="s">
        <v>15559</v>
      </c>
    </row>
    <row r="14546" spans="1:8" ht="25.05" customHeight="1" x14ac:dyDescent="0.25">
      <c r="A14546" s="2" t="s">
        <v>8</v>
      </c>
      <c r="B14546" s="2" t="str">
        <f>HYPERLINK("http://ts.21cn.com/tousu/show/id/1346139","闪电借款买黑卡不能借钱")</f>
        <v>闪电借款买黑卡不能借钱</v>
      </c>
      <c r="C14546" s="2" t="s">
        <v>9</v>
      </c>
      <c r="D14546" s="2" t="s">
        <v>10</v>
      </c>
      <c r="E14546" s="2" t="str">
        <f>HYPERLINK("http://ts.21cn.com/tousu/show/id/1346139","http://ts.21cn.com/tousu/show/id/1346139")</f>
        <v>http://ts.21cn.com/tousu/show/id/1346139</v>
      </c>
      <c r="F14546" s="2" t="s">
        <v>11</v>
      </c>
      <c r="G14546" s="2" t="s">
        <v>15556</v>
      </c>
      <c r="H14546" s="2" t="s">
        <v>15557</v>
      </c>
    </row>
    <row r="14547" spans="1:8" ht="25.05" customHeight="1" x14ac:dyDescent="0.25">
      <c r="A14547" s="2" t="s">
        <v>8</v>
      </c>
      <c r="B14547" s="2" t="str">
        <f>HYPERLINK("http://ts.21cn.com/tousu/show/id/1346140","饿了么站点拖欠工资")</f>
        <v>饿了么站点拖欠工资</v>
      </c>
      <c r="C14547" s="2" t="s">
        <v>9</v>
      </c>
      <c r="D14547" s="2" t="s">
        <v>10</v>
      </c>
      <c r="E14547" s="2" t="str">
        <f>HYPERLINK("http://ts.21cn.com/tousu/show/id/1346140","http://ts.21cn.com/tousu/show/id/1346140")</f>
        <v>http://ts.21cn.com/tousu/show/id/1346140</v>
      </c>
      <c r="F14547" s="2" t="s">
        <v>11</v>
      </c>
      <c r="G14547" s="2" t="s">
        <v>15554</v>
      </c>
      <c r="H14547" s="2" t="s">
        <v>15555</v>
      </c>
    </row>
    <row r="14548" spans="1:8" ht="25.05" customHeight="1" x14ac:dyDescent="0.25">
      <c r="A14548" s="2" t="s">
        <v>8</v>
      </c>
      <c r="B14548" s="2" t="str">
        <f>HYPERLINK("http://ts.21cn.com/tousu/show/id/1346142","同程提钱游强制购买权益包暴力催收威胁")</f>
        <v>同程提钱游强制购买权益包暴力催收威胁</v>
      </c>
      <c r="C14548" s="2" t="s">
        <v>9</v>
      </c>
      <c r="D14548" s="2" t="s">
        <v>10</v>
      </c>
      <c r="E14548" s="2" t="str">
        <f>HYPERLINK("http://ts.21cn.com/tousu/show/id/1346142","http://ts.21cn.com/tousu/show/id/1346142")</f>
        <v>http://ts.21cn.com/tousu/show/id/1346142</v>
      </c>
      <c r="F14548" s="2" t="s">
        <v>11</v>
      </c>
      <c r="G14548" s="2" t="s">
        <v>15552</v>
      </c>
      <c r="H14548" s="2" t="s">
        <v>15553</v>
      </c>
    </row>
    <row r="14549" spans="1:8" ht="25.05" customHeight="1" x14ac:dyDescent="0.25">
      <c r="A14549" s="2" t="s">
        <v>8</v>
      </c>
      <c r="B14549" s="2" t="str">
        <f>HYPERLINK("http://ts.21cn.com/tousu/show/id/1346141","捷信")</f>
        <v>捷信</v>
      </c>
      <c r="C14549" s="2" t="s">
        <v>9</v>
      </c>
      <c r="D14549" s="2" t="s">
        <v>10</v>
      </c>
      <c r="E14549" s="2" t="str">
        <f>HYPERLINK("http://ts.21cn.com/tousu/show/id/1346141","http://ts.21cn.com/tousu/show/id/1346141")</f>
        <v>http://ts.21cn.com/tousu/show/id/1346141</v>
      </c>
      <c r="F14549" s="2" t="s">
        <v>11</v>
      </c>
      <c r="G14549" s="2" t="s">
        <v>15549</v>
      </c>
      <c r="H14549" s="2" t="s">
        <v>15550</v>
      </c>
    </row>
    <row r="14550" spans="1:8" ht="25.05" customHeight="1" x14ac:dyDescent="0.25">
      <c r="A14550" s="2" t="s">
        <v>8</v>
      </c>
      <c r="B14550" s="2" t="str">
        <f>HYPERLINK("http://ts.21cn.com/tousu/show/id/1346143","私自扣款任意妄为")</f>
        <v>私自扣款任意妄为</v>
      </c>
      <c r="C14550" s="2" t="s">
        <v>9</v>
      </c>
      <c r="D14550" s="2" t="s">
        <v>10</v>
      </c>
      <c r="E14550" s="2" t="str">
        <f>HYPERLINK("http://ts.21cn.com/tousu/show/id/1346143","http://ts.21cn.com/tousu/show/id/1346143")</f>
        <v>http://ts.21cn.com/tousu/show/id/1346143</v>
      </c>
      <c r="F14550" s="2" t="s">
        <v>11</v>
      </c>
      <c r="G14550" s="2" t="s">
        <v>15549</v>
      </c>
      <c r="H14550" s="2" t="s">
        <v>15551</v>
      </c>
    </row>
    <row r="14551" spans="1:8" ht="25.05" customHeight="1" x14ac:dyDescent="0.25">
      <c r="A14551" s="2" t="s">
        <v>8</v>
      </c>
      <c r="B14551" s="2" t="str">
        <f>HYPERLINK("http://ts.21cn.com/tousu/show/id/1346144","玖富万卡擅自改写合同，变相收取费用，高利贷")</f>
        <v>玖富万卡擅自改写合同，变相收取费用，高利贷</v>
      </c>
      <c r="C14551" s="2" t="s">
        <v>9</v>
      </c>
      <c r="D14551" s="2" t="s">
        <v>10</v>
      </c>
      <c r="E14551" s="2" t="str">
        <f>HYPERLINK("http://ts.21cn.com/tousu/show/id/1346144","http://ts.21cn.com/tousu/show/id/1346144")</f>
        <v>http://ts.21cn.com/tousu/show/id/1346144</v>
      </c>
      <c r="F14551" s="2" t="s">
        <v>11</v>
      </c>
      <c r="G14551" s="2" t="s">
        <v>15547</v>
      </c>
      <c r="H14551" s="2" t="s">
        <v>15548</v>
      </c>
    </row>
    <row r="14552" spans="1:8" ht="25.05" customHeight="1" x14ac:dyDescent="0.25">
      <c r="A14552" s="2" t="s">
        <v>8</v>
      </c>
      <c r="B14552" s="2" t="str">
        <f>HYPERLINK("http://ts.21cn.com/tousu/show/id/1346146","黑社会性质的高利贷")</f>
        <v>黑社会性质的高利贷</v>
      </c>
      <c r="C14552" s="2" t="s">
        <v>9</v>
      </c>
      <c r="D14552" s="2" t="s">
        <v>10</v>
      </c>
      <c r="E14552" s="2" t="str">
        <f>HYPERLINK("http://ts.21cn.com/tousu/show/id/1346146","http://ts.21cn.com/tousu/show/id/1346146")</f>
        <v>http://ts.21cn.com/tousu/show/id/1346146</v>
      </c>
      <c r="F14552" s="2" t="s">
        <v>11</v>
      </c>
      <c r="G14552" s="2" t="s">
        <v>15545</v>
      </c>
      <c r="H14552" s="2" t="s">
        <v>15546</v>
      </c>
    </row>
    <row r="14553" spans="1:8" ht="25.05" customHeight="1" x14ac:dyDescent="0.25">
      <c r="A14553" s="2" t="s">
        <v>8</v>
      </c>
      <c r="B14553" s="2" t="str">
        <f>HYPERLINK("http://ts.21cn.com/tousu/show/id/1346148","给你花的周周花花高利贷")</f>
        <v>给你花的周周花花高利贷</v>
      </c>
      <c r="C14553" s="2" t="s">
        <v>9</v>
      </c>
      <c r="D14553" s="2" t="s">
        <v>10</v>
      </c>
      <c r="E14553" s="2" t="str">
        <f>HYPERLINK("http://ts.21cn.com/tousu/show/id/1346148","http://ts.21cn.com/tousu/show/id/1346148")</f>
        <v>http://ts.21cn.com/tousu/show/id/1346148</v>
      </c>
      <c r="F14553" s="2" t="s">
        <v>11</v>
      </c>
      <c r="G14553" s="2" t="s">
        <v>15543</v>
      </c>
      <c r="H14553" s="2" t="s">
        <v>15544</v>
      </c>
    </row>
    <row r="14554" spans="1:8" ht="25.05" customHeight="1" x14ac:dyDescent="0.25">
      <c r="A14554" s="2" t="s">
        <v>8</v>
      </c>
      <c r="B14554" s="2" t="str">
        <f>HYPERLINK("http://ts.21cn.com/tousu/show/id/1346145","自由摩卡六便士高利贷")</f>
        <v>自由摩卡六便士高利贷</v>
      </c>
      <c r="C14554" s="2" t="s">
        <v>9</v>
      </c>
      <c r="D14554" s="2" t="s">
        <v>10</v>
      </c>
      <c r="E14554" s="2" t="str">
        <f>HYPERLINK("http://ts.21cn.com/tousu/show/id/1346145","http://ts.21cn.com/tousu/show/id/1346145")</f>
        <v>http://ts.21cn.com/tousu/show/id/1346145</v>
      </c>
      <c r="F14554" s="2" t="s">
        <v>11</v>
      </c>
      <c r="G14554" s="2" t="s">
        <v>15541</v>
      </c>
      <c r="H14554" s="2" t="s">
        <v>15542</v>
      </c>
    </row>
    <row r="14555" spans="1:8" ht="25.05" customHeight="1" x14ac:dyDescent="0.25">
      <c r="A14555" s="2" t="s">
        <v>8</v>
      </c>
      <c r="B14555" s="2" t="str">
        <f>HYPERLINK("http://ts.21cn.com/tousu/show/id/1346149","于斯钢琴陪练承诺退费，但拖了几个月仍不处理")</f>
        <v>于斯钢琴陪练承诺退费，但拖了几个月仍不处理</v>
      </c>
      <c r="C14555" s="2" t="s">
        <v>9</v>
      </c>
      <c r="D14555" s="2" t="s">
        <v>10</v>
      </c>
      <c r="E14555" s="2" t="str">
        <f>HYPERLINK("http://ts.21cn.com/tousu/show/id/1346149","http://ts.21cn.com/tousu/show/id/1346149")</f>
        <v>http://ts.21cn.com/tousu/show/id/1346149</v>
      </c>
      <c r="F14555" s="2" t="s">
        <v>11</v>
      </c>
      <c r="G14555" s="2" t="s">
        <v>15539</v>
      </c>
      <c r="H14555" s="2" t="s">
        <v>15540</v>
      </c>
    </row>
    <row r="14556" spans="1:8" ht="25.05" customHeight="1" x14ac:dyDescent="0.25">
      <c r="A14556" s="2" t="s">
        <v>8</v>
      </c>
      <c r="B14556" s="2" t="str">
        <f>HYPERLINK("http://ts.21cn.com/tousu/show/id/1346150","小象优品颜值卡打款中不到账，联系客服一直推托等待")</f>
        <v>小象优品颜值卡打款中不到账，联系客服一直推托等待</v>
      </c>
      <c r="C14556" s="2" t="s">
        <v>34</v>
      </c>
      <c r="D14556" s="2" t="s">
        <v>10</v>
      </c>
      <c r="E14556" s="2" t="str">
        <f>HYPERLINK("http://ts.21cn.com/tousu/show/id/1346150","http://ts.21cn.com/tousu/show/id/1346150")</f>
        <v>http://ts.21cn.com/tousu/show/id/1346150</v>
      </c>
      <c r="F14556" s="2" t="s">
        <v>11</v>
      </c>
      <c r="G14556" s="2" t="s">
        <v>15537</v>
      </c>
      <c r="H14556" s="2" t="s">
        <v>15538</v>
      </c>
    </row>
    <row r="14557" spans="1:8" ht="25.05" customHeight="1" x14ac:dyDescent="0.25">
      <c r="A14557" s="2" t="s">
        <v>8</v>
      </c>
      <c r="B14557" s="2" t="str">
        <f>HYPERLINK("http://ts.21cn.com/tousu/show/id/1346151","伪造事实，骚扰催收")</f>
        <v>伪造事实，骚扰催收</v>
      </c>
      <c r="C14557" s="2" t="s">
        <v>9</v>
      </c>
      <c r="D14557" s="2" t="s">
        <v>10</v>
      </c>
      <c r="E14557" s="2" t="str">
        <f>HYPERLINK("http://ts.21cn.com/tousu/show/id/1346151","http://ts.21cn.com/tousu/show/id/1346151")</f>
        <v>http://ts.21cn.com/tousu/show/id/1346151</v>
      </c>
      <c r="F14557" s="2" t="s">
        <v>11</v>
      </c>
      <c r="G14557" s="2" t="s">
        <v>15535</v>
      </c>
      <c r="H14557" s="2" t="s">
        <v>15536</v>
      </c>
    </row>
    <row r="14558" spans="1:8" ht="25.05" customHeight="1" x14ac:dyDescent="0.25">
      <c r="A14558" s="2" t="s">
        <v>8</v>
      </c>
      <c r="B14558" s="2" t="str">
        <f>HYPERLINK("http://ts.21cn.com/tousu/show/id/1346153","一嗨租车使用光大银行付款满500减150，未实施")</f>
        <v>一嗨租车使用光大银行付款满500减150，未实施</v>
      </c>
      <c r="C14558" s="2" t="s">
        <v>9</v>
      </c>
      <c r="D14558" s="2" t="s">
        <v>10</v>
      </c>
      <c r="E14558" s="2" t="str">
        <f>HYPERLINK("http://ts.21cn.com/tousu/show/id/1346153","http://ts.21cn.com/tousu/show/id/1346153")</f>
        <v>http://ts.21cn.com/tousu/show/id/1346153</v>
      </c>
      <c r="F14558" s="2" t="s">
        <v>11</v>
      </c>
      <c r="G14558" s="2" t="s">
        <v>15533</v>
      </c>
      <c r="H14558" s="2" t="s">
        <v>15534</v>
      </c>
    </row>
    <row r="14559" spans="1:8" ht="25.05" customHeight="1" x14ac:dyDescent="0.25">
      <c r="A14559" s="2" t="s">
        <v>8</v>
      </c>
      <c r="B14559" s="2" t="str">
        <f>HYPERLINK("http://ts.21cn.com/tousu/show/id/1346152","万达贷说要上门，要找我家人")</f>
        <v>万达贷说要上门，要找我家人</v>
      </c>
      <c r="C14559" s="2" t="s">
        <v>9</v>
      </c>
      <c r="D14559" s="2" t="s">
        <v>10</v>
      </c>
      <c r="E14559" s="2" t="str">
        <f>HYPERLINK("http://ts.21cn.com/tousu/show/id/1346152","http://ts.21cn.com/tousu/show/id/1346152")</f>
        <v>http://ts.21cn.com/tousu/show/id/1346152</v>
      </c>
      <c r="F14559" s="2" t="s">
        <v>11</v>
      </c>
      <c r="G14559" s="2" t="s">
        <v>15531</v>
      </c>
      <c r="H14559" s="2" t="s">
        <v>15532</v>
      </c>
    </row>
    <row r="14560" spans="1:8" ht="25.05" customHeight="1" x14ac:dyDescent="0.25">
      <c r="A14560" s="2" t="s">
        <v>8</v>
      </c>
      <c r="B14560" s="2" t="str">
        <f>HYPERLINK("http://ts.21cn.com/tousu/show/id/1346147","轻周转芒果筹高利贷套路贷")</f>
        <v>轻周转芒果筹高利贷套路贷</v>
      </c>
      <c r="C14560" s="2" t="s">
        <v>9</v>
      </c>
      <c r="D14560" s="2" t="s">
        <v>10</v>
      </c>
      <c r="E14560" s="2" t="str">
        <f>HYPERLINK("http://ts.21cn.com/tousu/show/id/1346147","http://ts.21cn.com/tousu/show/id/1346147")</f>
        <v>http://ts.21cn.com/tousu/show/id/1346147</v>
      </c>
      <c r="F14560" s="2" t="s">
        <v>11</v>
      </c>
      <c r="G14560" s="2" t="s">
        <v>15529</v>
      </c>
      <c r="H14560" s="2" t="s">
        <v>15530</v>
      </c>
    </row>
    <row r="14561" spans="1:8" ht="25.05" customHeight="1" x14ac:dyDescent="0.25">
      <c r="A14561" s="2" t="s">
        <v>8</v>
      </c>
      <c r="B14561" s="2" t="str">
        <f>HYPERLINK("http://ts.21cn.com/tousu/show/id/1346154","投诉易宝支付为714提供扣款通道")</f>
        <v>投诉易宝支付为714提供扣款通道</v>
      </c>
      <c r="C14561" s="2" t="s">
        <v>34</v>
      </c>
      <c r="D14561" s="2" t="s">
        <v>10</v>
      </c>
      <c r="E14561" s="2" t="str">
        <f>HYPERLINK("http://ts.21cn.com/tousu/show/id/1346154","http://ts.21cn.com/tousu/show/id/1346154")</f>
        <v>http://ts.21cn.com/tousu/show/id/1346154</v>
      </c>
      <c r="F14561" s="2" t="s">
        <v>11</v>
      </c>
      <c r="G14561" s="2" t="s">
        <v>15527</v>
      </c>
      <c r="H14561" s="2" t="s">
        <v>15528</v>
      </c>
    </row>
    <row r="14562" spans="1:8" ht="25.05" customHeight="1" x14ac:dyDescent="0.25">
      <c r="A14562" s="2" t="s">
        <v>8</v>
      </c>
      <c r="B14562" s="2" t="str">
        <f>HYPERLINK("http://ts.21cn.com/tousu/show/id/1346155","宜信普惠高利贷")</f>
        <v>宜信普惠高利贷</v>
      </c>
      <c r="C14562" s="2" t="s">
        <v>9</v>
      </c>
      <c r="D14562" s="2" t="s">
        <v>10</v>
      </c>
      <c r="E14562" s="2" t="str">
        <f>HYPERLINK("http://ts.21cn.com/tousu/show/id/1346155","http://ts.21cn.com/tousu/show/id/1346155")</f>
        <v>http://ts.21cn.com/tousu/show/id/1346155</v>
      </c>
      <c r="F14562" s="2" t="s">
        <v>11</v>
      </c>
      <c r="G14562" s="2" t="s">
        <v>15525</v>
      </c>
      <c r="H14562" s="2" t="s">
        <v>15526</v>
      </c>
    </row>
    <row r="14563" spans="1:8" ht="25.05" customHeight="1" x14ac:dyDescent="0.25">
      <c r="A14563" s="2" t="s">
        <v>8</v>
      </c>
      <c r="B14563" s="2" t="str">
        <f>HYPERLINK("http://ts.21cn.com/tousu/show/id/1346157","滴滴为什么不给我派单")</f>
        <v>滴滴为什么不给我派单</v>
      </c>
      <c r="C14563" s="2" t="s">
        <v>9</v>
      </c>
      <c r="D14563" s="2" t="s">
        <v>10</v>
      </c>
      <c r="E14563" s="2" t="str">
        <f>HYPERLINK("http://ts.21cn.com/tousu/show/id/1346157","http://ts.21cn.com/tousu/show/id/1346157")</f>
        <v>http://ts.21cn.com/tousu/show/id/1346157</v>
      </c>
      <c r="F14563" s="2" t="s">
        <v>11</v>
      </c>
      <c r="G14563" s="2" t="s">
        <v>15523</v>
      </c>
      <c r="H14563" s="2" t="s">
        <v>15524</v>
      </c>
    </row>
    <row r="14564" spans="1:8" ht="25.05" customHeight="1" x14ac:dyDescent="0.25">
      <c r="A14564" s="2" t="s">
        <v>8</v>
      </c>
      <c r="B14564" s="2" t="str">
        <f>HYPERLINK("http://ts.21cn.com/tousu/show/id/1346158","信用飞砍头息")</f>
        <v>信用飞砍头息</v>
      </c>
      <c r="C14564" s="2" t="s">
        <v>34</v>
      </c>
      <c r="D14564" s="2" t="s">
        <v>10</v>
      </c>
      <c r="E14564" s="2" t="str">
        <f>HYPERLINK("http://ts.21cn.com/tousu/show/id/1346158","http://ts.21cn.com/tousu/show/id/1346158")</f>
        <v>http://ts.21cn.com/tousu/show/id/1346158</v>
      </c>
      <c r="F14564" s="2" t="s">
        <v>11</v>
      </c>
      <c r="G14564" s="2" t="s">
        <v>15521</v>
      </c>
      <c r="H14564" s="2" t="s">
        <v>15522</v>
      </c>
    </row>
    <row r="14565" spans="1:8" ht="25.05" customHeight="1" x14ac:dyDescent="0.25">
      <c r="A14565" s="2" t="s">
        <v>8</v>
      </c>
      <c r="B14565" s="2" t="str">
        <f>HYPERLINK("http://ts.21cn.com/tousu/show/id/1346159","商品质量问题退货退款后，商家实际退款金额与应退款金额严重不符")</f>
        <v>商品质量问题退货退款后，商家实际退款金额与应退款金额严重不符</v>
      </c>
      <c r="C14565" s="2" t="s">
        <v>9</v>
      </c>
      <c r="D14565" s="2" t="s">
        <v>10</v>
      </c>
      <c r="E14565" s="2" t="str">
        <f>HYPERLINK("http://ts.21cn.com/tousu/show/id/1346159","http://ts.21cn.com/tousu/show/id/1346159")</f>
        <v>http://ts.21cn.com/tousu/show/id/1346159</v>
      </c>
      <c r="F14565" s="2" t="s">
        <v>11</v>
      </c>
      <c r="G14565" s="2" t="s">
        <v>15519</v>
      </c>
      <c r="H14565" s="2" t="s">
        <v>15520</v>
      </c>
    </row>
    <row r="14566" spans="1:8" ht="25.05" customHeight="1" x14ac:dyDescent="0.25">
      <c r="A14566" s="2" t="s">
        <v>8</v>
      </c>
      <c r="B14566" s="2" t="str">
        <f>HYPERLINK("http://ts.21cn.com/tousu/show/id/1346161","成都安睿旺蜀网络科技欺诈盗取用户资金")</f>
        <v>成都安睿旺蜀网络科技欺诈盗取用户资金</v>
      </c>
      <c r="C14566" s="2" t="s">
        <v>9</v>
      </c>
      <c r="D14566" s="2" t="s">
        <v>10</v>
      </c>
      <c r="E14566" s="2" t="str">
        <f>HYPERLINK("http://ts.21cn.com/tousu/show/id/1346161","http://ts.21cn.com/tousu/show/id/1346161")</f>
        <v>http://ts.21cn.com/tousu/show/id/1346161</v>
      </c>
      <c r="F14566" s="2" t="s">
        <v>11</v>
      </c>
      <c r="G14566" s="2" t="s">
        <v>15517</v>
      </c>
      <c r="H14566" s="2" t="s">
        <v>15518</v>
      </c>
    </row>
    <row r="14567" spans="1:8" ht="25.05" customHeight="1" x14ac:dyDescent="0.25">
      <c r="A14567" s="2" t="s">
        <v>8</v>
      </c>
      <c r="B14567" s="2" t="str">
        <f>HYPERLINK("http://ts.21cn.com/tousu/show/id/1346162","融360不处理还款记录")</f>
        <v>融360不处理还款记录</v>
      </c>
      <c r="C14567" s="2" t="s">
        <v>9</v>
      </c>
      <c r="D14567" s="2" t="s">
        <v>10</v>
      </c>
      <c r="E14567" s="2" t="str">
        <f>HYPERLINK("http://ts.21cn.com/tousu/show/id/1346162","http://ts.21cn.com/tousu/show/id/1346162")</f>
        <v>http://ts.21cn.com/tousu/show/id/1346162</v>
      </c>
      <c r="F14567" s="2" t="s">
        <v>11</v>
      </c>
      <c r="G14567" s="2" t="s">
        <v>15515</v>
      </c>
      <c r="H14567" s="2" t="s">
        <v>15516</v>
      </c>
    </row>
    <row r="14568" spans="1:8" ht="25.05" customHeight="1" x14ac:dyDescent="0.25">
      <c r="A14568" s="2" t="s">
        <v>8</v>
      </c>
      <c r="B14568" s="2" t="str">
        <f>HYPERLINK("http://ts.21cn.com/tousu/show/id/1346163","网贷高利贷")</f>
        <v>网贷高利贷</v>
      </c>
      <c r="C14568" s="2" t="s">
        <v>9</v>
      </c>
      <c r="D14568" s="2" t="s">
        <v>10</v>
      </c>
      <c r="E14568" s="2" t="str">
        <f>HYPERLINK("http://ts.21cn.com/tousu/show/id/1346163","http://ts.21cn.com/tousu/show/id/1346163")</f>
        <v>http://ts.21cn.com/tousu/show/id/1346163</v>
      </c>
      <c r="F14568" s="2" t="s">
        <v>11</v>
      </c>
      <c r="G14568" s="2" t="s">
        <v>15513</v>
      </c>
      <c r="H14568" s="2" t="s">
        <v>15514</v>
      </c>
    </row>
    <row r="14569" spans="1:8" ht="25.05" customHeight="1" x14ac:dyDescent="0.25">
      <c r="A14569" s="2" t="s">
        <v>8</v>
      </c>
      <c r="B14569" s="2" t="str">
        <f>HYPERLINK("http://ts.21cn.com/tousu/show/id/1346164","套餐无法正常使用")</f>
        <v>套餐无法正常使用</v>
      </c>
      <c r="C14569" s="2" t="s">
        <v>9</v>
      </c>
      <c r="D14569" s="2" t="s">
        <v>10</v>
      </c>
      <c r="E14569" s="2" t="str">
        <f>HYPERLINK("http://ts.21cn.com/tousu/show/id/1346164","http://ts.21cn.com/tousu/show/id/1346164")</f>
        <v>http://ts.21cn.com/tousu/show/id/1346164</v>
      </c>
      <c r="F14569" s="2" t="s">
        <v>11</v>
      </c>
      <c r="G14569" s="2" t="s">
        <v>15511</v>
      </c>
      <c r="H14569" s="2" t="s">
        <v>15512</v>
      </c>
    </row>
    <row r="14570" spans="1:8" ht="25.05" customHeight="1" x14ac:dyDescent="0.25">
      <c r="A14570" s="2" t="s">
        <v>8</v>
      </c>
      <c r="B14570" s="2" t="str">
        <f>HYPERLINK("http://ts.21cn.com/tousu/show/id/1346165","去花花捆绑保险变相砍头息")</f>
        <v>去花花捆绑保险变相砍头息</v>
      </c>
      <c r="C14570" s="2" t="s">
        <v>9</v>
      </c>
      <c r="D14570" s="2" t="s">
        <v>10</v>
      </c>
      <c r="E14570" s="2" t="str">
        <f>HYPERLINK("http://ts.21cn.com/tousu/show/id/1346165","http://ts.21cn.com/tousu/show/id/1346165")</f>
        <v>http://ts.21cn.com/tousu/show/id/1346165</v>
      </c>
      <c r="F14570" s="2" t="s">
        <v>11</v>
      </c>
      <c r="G14570" s="2" t="s">
        <v>15509</v>
      </c>
      <c r="H14570" s="2" t="s">
        <v>15510</v>
      </c>
    </row>
    <row r="14571" spans="1:8" ht="25.05" customHeight="1" x14ac:dyDescent="0.25">
      <c r="A14571" s="2" t="s">
        <v>8</v>
      </c>
      <c r="B14571" s="2" t="str">
        <f>HYPERLINK("http://ts.21cn.com/tousu/show/id/1346167","不显示还车点无法还车客服形同虚设")</f>
        <v>不显示还车点无法还车客服形同虚设</v>
      </c>
      <c r="C14571" s="2" t="s">
        <v>9</v>
      </c>
      <c r="D14571" s="2" t="s">
        <v>10</v>
      </c>
      <c r="E14571" s="2" t="str">
        <f>HYPERLINK("http://ts.21cn.com/tousu/show/id/1346167","http://ts.21cn.com/tousu/show/id/1346167")</f>
        <v>http://ts.21cn.com/tousu/show/id/1346167</v>
      </c>
      <c r="F14571" s="2" t="s">
        <v>11</v>
      </c>
      <c r="G14571" s="2" t="s">
        <v>15507</v>
      </c>
      <c r="H14571" s="2" t="s">
        <v>15508</v>
      </c>
    </row>
    <row r="14572" spans="1:8" ht="25.05" customHeight="1" x14ac:dyDescent="0.25">
      <c r="A14572" s="2" t="s">
        <v>8</v>
      </c>
      <c r="B14572" s="2" t="str">
        <f>HYPERLINK("http://ts.21cn.com/tousu/show/id/1346169","掌众金服，闪电借款，众泰金服贷款代理（东莞）有限公司联合恶意起来扣款我银行卡里的300元，，")</f>
        <v>掌众金服，闪电借款，众泰金服贷款代理（东莞）有限公司联合恶意起来扣款我银行卡里的300元，，</v>
      </c>
      <c r="C14572" s="2" t="s">
        <v>9</v>
      </c>
      <c r="D14572" s="2" t="s">
        <v>10</v>
      </c>
      <c r="E14572" s="2" t="str">
        <f>HYPERLINK("http://ts.21cn.com/tousu/show/id/1346169","http://ts.21cn.com/tousu/show/id/1346169")</f>
        <v>http://ts.21cn.com/tousu/show/id/1346169</v>
      </c>
      <c r="F14572" s="2" t="s">
        <v>11</v>
      </c>
      <c r="G14572" s="2" t="s">
        <v>15505</v>
      </c>
      <c r="H14572" s="2" t="s">
        <v>15506</v>
      </c>
    </row>
    <row r="14573" spans="1:8" ht="25.05" customHeight="1" x14ac:dyDescent="0.25">
      <c r="A14573" s="2" t="s">
        <v>8</v>
      </c>
      <c r="B14573" s="2" t="str">
        <f>HYPERLINK("http://ts.21cn.com/tousu/show/id/1346168","5173买了账号被找回找客服一直不给答复")</f>
        <v>5173买了账号被找回找客服一直不给答复</v>
      </c>
      <c r="C14573" s="2" t="s">
        <v>9</v>
      </c>
      <c r="D14573" s="2" t="s">
        <v>10</v>
      </c>
      <c r="E14573" s="2" t="str">
        <f>HYPERLINK("http://ts.21cn.com/tousu/show/id/1346168","http://ts.21cn.com/tousu/show/id/1346168")</f>
        <v>http://ts.21cn.com/tousu/show/id/1346168</v>
      </c>
      <c r="F14573" s="2" t="s">
        <v>11</v>
      </c>
      <c r="G14573" s="2" t="s">
        <v>15503</v>
      </c>
      <c r="H14573" s="2" t="s">
        <v>15504</v>
      </c>
    </row>
    <row r="14574" spans="1:8" ht="25.05" customHeight="1" x14ac:dyDescent="0.25">
      <c r="A14574" s="2" t="s">
        <v>8</v>
      </c>
      <c r="B14574" s="2" t="str">
        <f>HYPERLINK("http://ts.21cn.com/tousu/show/id/1346170","你我贷客服威胁必须马上还款不然就爆通讯录")</f>
        <v>你我贷客服威胁必须马上还款不然就爆通讯录</v>
      </c>
      <c r="C14574" s="2" t="s">
        <v>9</v>
      </c>
      <c r="D14574" s="2" t="s">
        <v>10</v>
      </c>
      <c r="E14574" s="2" t="str">
        <f>HYPERLINK("http://ts.21cn.com/tousu/show/id/1346170","http://ts.21cn.com/tousu/show/id/1346170")</f>
        <v>http://ts.21cn.com/tousu/show/id/1346170</v>
      </c>
      <c r="F14574" s="2" t="s">
        <v>11</v>
      </c>
      <c r="G14574" s="2" t="s">
        <v>15501</v>
      </c>
      <c r="H14574" s="2" t="s">
        <v>15502</v>
      </c>
    </row>
    <row r="14575" spans="1:8" ht="25.05" customHeight="1" x14ac:dyDescent="0.25">
      <c r="A14575" s="2" t="s">
        <v>8</v>
      </c>
      <c r="B14575" s="2" t="str">
        <f>HYPERLINK("http://ts.21cn.com/tousu/show/id/1346172","玖富万卡高利贷，变相收费")</f>
        <v>玖富万卡高利贷，变相收费</v>
      </c>
      <c r="C14575" s="2" t="s">
        <v>9</v>
      </c>
      <c r="D14575" s="2" t="s">
        <v>10</v>
      </c>
      <c r="E14575" s="2" t="str">
        <f>HYPERLINK("http://ts.21cn.com/tousu/show/id/1346172","http://ts.21cn.com/tousu/show/id/1346172")</f>
        <v>http://ts.21cn.com/tousu/show/id/1346172</v>
      </c>
      <c r="F14575" s="2" t="s">
        <v>11</v>
      </c>
      <c r="G14575" s="2" t="s">
        <v>15499</v>
      </c>
      <c r="H14575" s="2" t="s">
        <v>15500</v>
      </c>
    </row>
    <row r="14576" spans="1:8" ht="25.05" customHeight="1" x14ac:dyDescent="0.25">
      <c r="A14576" s="2" t="s">
        <v>8</v>
      </c>
      <c r="B14576" s="2" t="str">
        <f>HYPERLINK("http://ts.21cn.com/tousu/show/id/1346173","违规催收")</f>
        <v>违规催收</v>
      </c>
      <c r="C14576" s="2" t="s">
        <v>9</v>
      </c>
      <c r="D14576" s="2" t="s">
        <v>10</v>
      </c>
      <c r="E14576" s="2" t="str">
        <f>HYPERLINK("http://ts.21cn.com/tousu/show/id/1346173","http://ts.21cn.com/tousu/show/id/1346173")</f>
        <v>http://ts.21cn.com/tousu/show/id/1346173</v>
      </c>
      <c r="F14576" s="2" t="s">
        <v>11</v>
      </c>
      <c r="G14576" s="2" t="s">
        <v>15497</v>
      </c>
      <c r="H14576" s="2" t="s">
        <v>15498</v>
      </c>
    </row>
    <row r="14577" spans="1:8" ht="25.05" customHeight="1" x14ac:dyDescent="0.25">
      <c r="A14577" s="2" t="s">
        <v>8</v>
      </c>
      <c r="B14577" s="2" t="str">
        <f>HYPERLINK("http://ts.21cn.com/tousu/show/id/1346176","微贷网贷10万合同金额118500")</f>
        <v>微贷网贷10万合同金额118500</v>
      </c>
      <c r="C14577" s="2" t="s">
        <v>9</v>
      </c>
      <c r="D14577" s="2" t="s">
        <v>10</v>
      </c>
      <c r="E14577" s="2" t="str">
        <f>HYPERLINK("http://ts.21cn.com/tousu/show/id/1346176","http://ts.21cn.com/tousu/show/id/1346176")</f>
        <v>http://ts.21cn.com/tousu/show/id/1346176</v>
      </c>
      <c r="F14577" s="2" t="s">
        <v>11</v>
      </c>
      <c r="G14577" s="2" t="s">
        <v>15495</v>
      </c>
      <c r="H14577" s="2" t="s">
        <v>15496</v>
      </c>
    </row>
    <row r="14578" spans="1:8" ht="25.05" customHeight="1" x14ac:dyDescent="0.25">
      <c r="A14578" s="2" t="s">
        <v>8</v>
      </c>
      <c r="B14578" s="2" t="str">
        <f>HYPERLINK("http://ts.21cn.com/tousu/show/id/1346171","闪电借款买财神黑卡不下款未退还财神黑卡钱")</f>
        <v>闪电借款买财神黑卡不下款未退还财神黑卡钱</v>
      </c>
      <c r="C14578" s="2" t="s">
        <v>9</v>
      </c>
      <c r="D14578" s="2" t="s">
        <v>10</v>
      </c>
      <c r="E14578" s="2" t="str">
        <f>HYPERLINK("http://ts.21cn.com/tousu/show/id/1346171","http://ts.21cn.com/tousu/show/id/1346171")</f>
        <v>http://ts.21cn.com/tousu/show/id/1346171</v>
      </c>
      <c r="F14578" s="2" t="s">
        <v>11</v>
      </c>
      <c r="G14578" s="2" t="s">
        <v>15493</v>
      </c>
      <c r="H14578" s="2" t="s">
        <v>15494</v>
      </c>
    </row>
    <row r="14579" spans="1:8" ht="25.05" customHeight="1" x14ac:dyDescent="0.25">
      <c r="A14579" s="2" t="s">
        <v>8</v>
      </c>
      <c r="B14579" s="2" t="str">
        <f>HYPERLINK("http://ts.21cn.com/tousu/show/id/1346177","佰仟金融骚扰联系人")</f>
        <v>佰仟金融骚扰联系人</v>
      </c>
      <c r="C14579" s="2" t="s">
        <v>9</v>
      </c>
      <c r="D14579" s="2" t="s">
        <v>10</v>
      </c>
      <c r="E14579" s="2" t="str">
        <f>HYPERLINK("http://ts.21cn.com/tousu/show/id/1346177","http://ts.21cn.com/tousu/show/id/1346177")</f>
        <v>http://ts.21cn.com/tousu/show/id/1346177</v>
      </c>
      <c r="F14579" s="2" t="s">
        <v>11</v>
      </c>
      <c r="G14579" s="2" t="s">
        <v>15491</v>
      </c>
      <c r="H14579" s="2" t="s">
        <v>15492</v>
      </c>
    </row>
    <row r="14580" spans="1:8" ht="25.05" customHeight="1" x14ac:dyDescent="0.25">
      <c r="A14580" s="2" t="s">
        <v>8</v>
      </c>
      <c r="B14580" s="2" t="str">
        <f>HYPERLINK("http://ts.21cn.com/tousu/show/id/1346179","拍拍贷催收人员私下发律师函恐吓")</f>
        <v>拍拍贷催收人员私下发律师函恐吓</v>
      </c>
      <c r="C14580" s="2" t="s">
        <v>9</v>
      </c>
      <c r="D14580" s="2" t="s">
        <v>10</v>
      </c>
      <c r="E14580" s="2" t="str">
        <f>HYPERLINK("http://ts.21cn.com/tousu/show/id/1346179","http://ts.21cn.com/tousu/show/id/1346179")</f>
        <v>http://ts.21cn.com/tousu/show/id/1346179</v>
      </c>
      <c r="F14580" s="2" t="s">
        <v>11</v>
      </c>
      <c r="G14580" s="2" t="s">
        <v>15489</v>
      </c>
      <c r="H14580" s="2" t="s">
        <v>15490</v>
      </c>
    </row>
    <row r="14581" spans="1:8" ht="25.05" customHeight="1" x14ac:dyDescent="0.25">
      <c r="A14581" s="2" t="s">
        <v>8</v>
      </c>
      <c r="B14581" s="2" t="str">
        <f>HYPERLINK("http://ts.21cn.com/tousu/show/id/1346180","默认使用收费加速包")</f>
        <v>默认使用收费加速包</v>
      </c>
      <c r="C14581" s="2" t="s">
        <v>34</v>
      </c>
      <c r="D14581" s="2" t="s">
        <v>10</v>
      </c>
      <c r="E14581" s="2" t="str">
        <f>HYPERLINK("http://ts.21cn.com/tousu/show/id/1346180","http://ts.21cn.com/tousu/show/id/1346180")</f>
        <v>http://ts.21cn.com/tousu/show/id/1346180</v>
      </c>
      <c r="F14581" s="2" t="s">
        <v>11</v>
      </c>
      <c r="G14581" s="2" t="s">
        <v>15487</v>
      </c>
      <c r="H14581" s="2" t="s">
        <v>15488</v>
      </c>
    </row>
    <row r="14582" spans="1:8" ht="25.05" customHeight="1" x14ac:dyDescent="0.25">
      <c r="A14582" s="2" t="s">
        <v>8</v>
      </c>
      <c r="B14582" s="2" t="str">
        <f>HYPERLINK("http://ts.21cn.com/tousu/show/id/1346181","拍拍贷暴力催收，第三方机构介入")</f>
        <v>拍拍贷暴力催收，第三方机构介入</v>
      </c>
      <c r="C14582" s="2" t="s">
        <v>9</v>
      </c>
      <c r="D14582" s="2" t="s">
        <v>10</v>
      </c>
      <c r="E14582" s="2" t="str">
        <f>HYPERLINK("http://ts.21cn.com/tousu/show/id/1346181","http://ts.21cn.com/tousu/show/id/1346181")</f>
        <v>http://ts.21cn.com/tousu/show/id/1346181</v>
      </c>
      <c r="F14582" s="2" t="s">
        <v>11</v>
      </c>
      <c r="G14582" s="2" t="s">
        <v>15485</v>
      </c>
      <c r="H14582" s="2" t="s">
        <v>15486</v>
      </c>
    </row>
    <row r="14583" spans="1:8" ht="25.05" customHeight="1" x14ac:dyDescent="0.25">
      <c r="A14583" s="2" t="s">
        <v>8</v>
      </c>
      <c r="B14583" s="2" t="str">
        <f>HYPERLINK("http://ts.21cn.com/tousu/show/id/1346182","马上金融消费高利贷不支持协商还款")</f>
        <v>马上金融消费高利贷不支持协商还款</v>
      </c>
      <c r="C14583" s="2" t="s">
        <v>9</v>
      </c>
      <c r="D14583" s="2" t="s">
        <v>10</v>
      </c>
      <c r="E14583" s="2" t="str">
        <f>HYPERLINK("http://ts.21cn.com/tousu/show/id/1346182","http://ts.21cn.com/tousu/show/id/1346182")</f>
        <v>http://ts.21cn.com/tousu/show/id/1346182</v>
      </c>
      <c r="F14583" s="2" t="s">
        <v>11</v>
      </c>
      <c r="G14583" s="2" t="s">
        <v>15483</v>
      </c>
      <c r="H14583" s="2" t="s">
        <v>15484</v>
      </c>
    </row>
    <row r="14584" spans="1:8" ht="25.05" customHeight="1" x14ac:dyDescent="0.25">
      <c r="A14584" s="2" t="s">
        <v>8</v>
      </c>
      <c r="B14584" s="2" t="str">
        <f>HYPERLINK("http://ts.21cn.com/tousu/show/id/1346184","小赢轰炸式骚扰通讯录亲戚朋友")</f>
        <v>小赢轰炸式骚扰通讯录亲戚朋友</v>
      </c>
      <c r="C14584" s="2" t="s">
        <v>9</v>
      </c>
      <c r="D14584" s="2" t="s">
        <v>10</v>
      </c>
      <c r="E14584" s="2" t="str">
        <f>HYPERLINK("http://ts.21cn.com/tousu/show/id/1346184","http://ts.21cn.com/tousu/show/id/1346184")</f>
        <v>http://ts.21cn.com/tousu/show/id/1346184</v>
      </c>
      <c r="F14584" s="2" t="s">
        <v>11</v>
      </c>
      <c r="G14584" s="2" t="s">
        <v>15480</v>
      </c>
      <c r="H14584" s="2" t="s">
        <v>15481</v>
      </c>
    </row>
    <row r="14585" spans="1:8" ht="25.05" customHeight="1" x14ac:dyDescent="0.25">
      <c r="A14585" s="2" t="s">
        <v>8</v>
      </c>
      <c r="B14585" s="2" t="str">
        <f>HYPERLINK("http://ts.21cn.com/tousu/show/id/1346183","要求放款")</f>
        <v>要求放款</v>
      </c>
      <c r="C14585" s="2" t="s">
        <v>9</v>
      </c>
      <c r="D14585" s="2" t="s">
        <v>10</v>
      </c>
      <c r="E14585" s="2" t="str">
        <f>HYPERLINK("http://ts.21cn.com/tousu/show/id/1346183","http://ts.21cn.com/tousu/show/id/1346183")</f>
        <v>http://ts.21cn.com/tousu/show/id/1346183</v>
      </c>
      <c r="F14585" s="2" t="s">
        <v>11</v>
      </c>
      <c r="G14585" s="2" t="s">
        <v>15480</v>
      </c>
      <c r="H14585" s="2" t="s">
        <v>15482</v>
      </c>
    </row>
    <row r="14586" spans="1:8" ht="25.05" customHeight="1" x14ac:dyDescent="0.25">
      <c r="A14586" s="2" t="s">
        <v>8</v>
      </c>
      <c r="B14586" s="2" t="str">
        <f>HYPERLINK("http://ts.21cn.com/tousu/show/id/1346186","建行账号被中兴付账户无故扣钱")</f>
        <v>建行账号被中兴付账户无故扣钱</v>
      </c>
      <c r="C14586" s="2" t="s">
        <v>9</v>
      </c>
      <c r="D14586" s="2" t="s">
        <v>10</v>
      </c>
      <c r="E14586" s="2" t="str">
        <f>HYPERLINK("http://ts.21cn.com/tousu/show/id/1346186","http://ts.21cn.com/tousu/show/id/1346186")</f>
        <v>http://ts.21cn.com/tousu/show/id/1346186</v>
      </c>
      <c r="F14586" s="2" t="s">
        <v>11</v>
      </c>
      <c r="G14586" s="2" t="s">
        <v>15478</v>
      </c>
      <c r="H14586" s="2" t="s">
        <v>15479</v>
      </c>
    </row>
    <row r="14587" spans="1:8" ht="25.05" customHeight="1" x14ac:dyDescent="0.25">
      <c r="A14587" s="2" t="s">
        <v>8</v>
      </c>
      <c r="B14587" s="2" t="str">
        <f>HYPERLINK("http://ts.21cn.com/tousu/show/id/1346188","你我贷变向收取高额利息")</f>
        <v>你我贷变向收取高额利息</v>
      </c>
      <c r="C14587" s="2" t="s">
        <v>9</v>
      </c>
      <c r="D14587" s="2" t="s">
        <v>10</v>
      </c>
      <c r="E14587" s="2" t="str">
        <f>HYPERLINK("http://ts.21cn.com/tousu/show/id/1346188","http://ts.21cn.com/tousu/show/id/1346188")</f>
        <v>http://ts.21cn.com/tousu/show/id/1346188</v>
      </c>
      <c r="F14587" s="2" t="s">
        <v>11</v>
      </c>
      <c r="G14587" s="2" t="s">
        <v>15476</v>
      </c>
      <c r="H14587" s="2" t="s">
        <v>15477</v>
      </c>
    </row>
    <row r="14588" spans="1:8" ht="25.05" customHeight="1" x14ac:dyDescent="0.25">
      <c r="A14588" s="2" t="s">
        <v>8</v>
      </c>
      <c r="B14588" s="2" t="str">
        <f>HYPERLINK("http://ts.21cn.com/tousu/show/id/1346187","钱站客服不允许延期还款，态度强硬")</f>
        <v>钱站客服不允许延期还款，态度强硬</v>
      </c>
      <c r="C14588" s="2" t="s">
        <v>9</v>
      </c>
      <c r="D14588" s="2" t="s">
        <v>10</v>
      </c>
      <c r="E14588" s="2" t="str">
        <f>HYPERLINK("http://ts.21cn.com/tousu/show/id/1346187","http://ts.21cn.com/tousu/show/id/1346187")</f>
        <v>http://ts.21cn.com/tousu/show/id/1346187</v>
      </c>
      <c r="F14588" s="2" t="s">
        <v>11</v>
      </c>
      <c r="G14588" s="2" t="s">
        <v>15474</v>
      </c>
      <c r="H14588" s="2" t="s">
        <v>15475</v>
      </c>
    </row>
    <row r="14589" spans="1:8" ht="25.05" customHeight="1" x14ac:dyDescent="0.25">
      <c r="A14589" s="2" t="s">
        <v>8</v>
      </c>
      <c r="B14589" s="2" t="str">
        <f>HYPERLINK("http://ts.21cn.com/tousu/show/id/1346190","My钱包恶意威胁爆通讯录")</f>
        <v>My钱包恶意威胁爆通讯录</v>
      </c>
      <c r="C14589" s="2" t="s">
        <v>9</v>
      </c>
      <c r="D14589" s="2" t="s">
        <v>10</v>
      </c>
      <c r="E14589" s="2" t="str">
        <f>HYPERLINK("http://ts.21cn.com/tousu/show/id/1346190","http://ts.21cn.com/tousu/show/id/1346190")</f>
        <v>http://ts.21cn.com/tousu/show/id/1346190</v>
      </c>
      <c r="F14589" s="2" t="s">
        <v>11</v>
      </c>
      <c r="G14589" s="2" t="s">
        <v>15472</v>
      </c>
      <c r="H14589" s="2" t="s">
        <v>15473</v>
      </c>
    </row>
    <row r="14590" spans="1:8" ht="25.05" customHeight="1" x14ac:dyDescent="0.25">
      <c r="A14590" s="2" t="s">
        <v>8</v>
      </c>
      <c r="B14590" s="2" t="str">
        <f>HYPERLINK("http://ts.21cn.com/tousu/show/id/1346192","淘集集拖欠货款三四个月不打款")</f>
        <v>淘集集拖欠货款三四个月不打款</v>
      </c>
      <c r="C14590" s="2" t="s">
        <v>9</v>
      </c>
      <c r="D14590" s="2" t="s">
        <v>10</v>
      </c>
      <c r="E14590" s="2" t="str">
        <f>HYPERLINK("http://ts.21cn.com/tousu/show/id/1346192","http://ts.21cn.com/tousu/show/id/1346192")</f>
        <v>http://ts.21cn.com/tousu/show/id/1346192</v>
      </c>
      <c r="F14590" s="2" t="s">
        <v>11</v>
      </c>
      <c r="G14590" s="2" t="s">
        <v>15470</v>
      </c>
      <c r="H14590" s="2" t="s">
        <v>15471</v>
      </c>
    </row>
    <row r="14591" spans="1:8" ht="25.05" customHeight="1" x14ac:dyDescent="0.25">
      <c r="A14591" s="2" t="s">
        <v>8</v>
      </c>
      <c r="B14591" s="2" t="str">
        <f>HYPERLINK("http://ts.21cn.com/tousu/show/id/1346191","钱站收取高额砍头息，申请撤回借款被拒")</f>
        <v>钱站收取高额砍头息，申请撤回借款被拒</v>
      </c>
      <c r="C14591" s="2" t="s">
        <v>9</v>
      </c>
      <c r="D14591" s="2" t="s">
        <v>10</v>
      </c>
      <c r="E14591" s="2" t="str">
        <f>HYPERLINK("http://ts.21cn.com/tousu/show/id/1346191","http://ts.21cn.com/tousu/show/id/1346191")</f>
        <v>http://ts.21cn.com/tousu/show/id/1346191</v>
      </c>
      <c r="F14591" s="2" t="s">
        <v>11</v>
      </c>
      <c r="G14591" s="2" t="s">
        <v>15468</v>
      </c>
      <c r="H14591" s="2" t="s">
        <v>15469</v>
      </c>
    </row>
    <row r="14592" spans="1:8" ht="25.05" customHeight="1" x14ac:dyDescent="0.25">
      <c r="A14592" s="2" t="s">
        <v>8</v>
      </c>
      <c r="B14592" s="2" t="str">
        <f>HYPERLINK("http://ts.21cn.com/tousu/show/id/1346193","奸商百合网严重电话，短信骚扰、恶意泄露个人隐私")</f>
        <v>奸商百合网严重电话，短信骚扰、恶意泄露个人隐私</v>
      </c>
      <c r="C14592" s="2" t="s">
        <v>9</v>
      </c>
      <c r="D14592" s="2" t="s">
        <v>10</v>
      </c>
      <c r="E14592" s="2" t="str">
        <f>HYPERLINK("http://ts.21cn.com/tousu/show/id/1346193","http://ts.21cn.com/tousu/show/id/1346193")</f>
        <v>http://ts.21cn.com/tousu/show/id/1346193</v>
      </c>
      <c r="F14592" s="2" t="s">
        <v>11</v>
      </c>
      <c r="G14592" s="2" t="s">
        <v>15466</v>
      </c>
      <c r="H14592" s="2" t="s">
        <v>15467</v>
      </c>
    </row>
    <row r="14593" spans="1:8" ht="25.05" customHeight="1" x14ac:dyDescent="0.25">
      <c r="A14593" s="2" t="s">
        <v>8</v>
      </c>
      <c r="B14593" s="2" t="str">
        <f>HYPERLINK("http://ts.21cn.com/tousu/show/id/1346195","利息高于国家标准，暴力催收，打骚扰电话，")</f>
        <v>利息高于国家标准，暴力催收，打骚扰电话，</v>
      </c>
      <c r="C14593" s="2" t="s">
        <v>9</v>
      </c>
      <c r="D14593" s="2" t="s">
        <v>10</v>
      </c>
      <c r="E14593" s="2" t="str">
        <f>HYPERLINK("http://ts.21cn.com/tousu/show/id/1346195","http://ts.21cn.com/tousu/show/id/1346195")</f>
        <v>http://ts.21cn.com/tousu/show/id/1346195</v>
      </c>
      <c r="F14593" s="2" t="s">
        <v>11</v>
      </c>
      <c r="G14593" s="2" t="s">
        <v>15464</v>
      </c>
      <c r="H14593" s="2" t="s">
        <v>15465</v>
      </c>
    </row>
    <row r="14594" spans="1:8" ht="25.05" customHeight="1" x14ac:dyDescent="0.25">
      <c r="A14594" s="2" t="s">
        <v>8</v>
      </c>
      <c r="B14594" s="2" t="str">
        <f>HYPERLINK("http://ts.21cn.com/tousu/show/id/1346194","苏宁易购暴力催收打爆通讯录")</f>
        <v>苏宁易购暴力催收打爆通讯录</v>
      </c>
      <c r="C14594" s="2" t="s">
        <v>9</v>
      </c>
      <c r="D14594" s="2" t="s">
        <v>10</v>
      </c>
      <c r="E14594" s="2" t="str">
        <f>HYPERLINK("http://ts.21cn.com/tousu/show/id/1346194","http://ts.21cn.com/tousu/show/id/1346194")</f>
        <v>http://ts.21cn.com/tousu/show/id/1346194</v>
      </c>
      <c r="F14594" s="2" t="s">
        <v>11</v>
      </c>
      <c r="G14594" s="2" t="s">
        <v>15462</v>
      </c>
      <c r="H14594" s="2" t="s">
        <v>15463</v>
      </c>
    </row>
    <row r="14595" spans="1:8" ht="25.05" customHeight="1" x14ac:dyDescent="0.25">
      <c r="A14595" s="2" t="s">
        <v>8</v>
      </c>
      <c r="B14595" s="2" t="str">
        <f>HYPERLINK("http://ts.21cn.com/tousu/show/id/1346196","贷上钱违法催收，利息上天")</f>
        <v>贷上钱违法催收，利息上天</v>
      </c>
      <c r="C14595" s="2" t="s">
        <v>9</v>
      </c>
      <c r="D14595" s="2" t="s">
        <v>10</v>
      </c>
      <c r="E14595" s="2" t="str">
        <f>HYPERLINK("http://ts.21cn.com/tousu/show/id/1346196","http://ts.21cn.com/tousu/show/id/1346196")</f>
        <v>http://ts.21cn.com/tousu/show/id/1346196</v>
      </c>
      <c r="F14595" s="2" t="s">
        <v>11</v>
      </c>
      <c r="G14595" s="2" t="s">
        <v>15460</v>
      </c>
      <c r="H14595" s="2" t="s">
        <v>15461</v>
      </c>
    </row>
    <row r="14596" spans="1:8" ht="25.05" customHeight="1" x14ac:dyDescent="0.25">
      <c r="A14596" s="2" t="s">
        <v>8</v>
      </c>
      <c r="B14596" s="2" t="str">
        <f>HYPERLINK("http://ts.21cn.com/tousu/show/id/1346199","支付宝买的火车票，飞猪平台扣我120块的加速套餐费")</f>
        <v>支付宝买的火车票，飞猪平台扣我120块的加速套餐费</v>
      </c>
      <c r="C14596" s="2" t="s">
        <v>9</v>
      </c>
      <c r="D14596" s="2" t="s">
        <v>10</v>
      </c>
      <c r="E14596" s="2" t="str">
        <f>HYPERLINK("http://ts.21cn.com/tousu/show/id/1346199","http://ts.21cn.com/tousu/show/id/1346199")</f>
        <v>http://ts.21cn.com/tousu/show/id/1346199</v>
      </c>
      <c r="F14596" s="2" t="s">
        <v>11</v>
      </c>
      <c r="G14596" s="2" t="s">
        <v>15458</v>
      </c>
      <c r="H14596" s="2" t="s">
        <v>15459</v>
      </c>
    </row>
    <row r="14597" spans="1:8" ht="25.05" customHeight="1" x14ac:dyDescent="0.25">
      <c r="A14597" s="2" t="s">
        <v>8</v>
      </c>
      <c r="B14597" s="2" t="str">
        <f>HYPERLINK("http://ts.21cn.com/tousu/show/id/1346198","尚诚消费金融请求协商还款")</f>
        <v>尚诚消费金融请求协商还款</v>
      </c>
      <c r="C14597" s="2" t="s">
        <v>9</v>
      </c>
      <c r="D14597" s="2" t="s">
        <v>10</v>
      </c>
      <c r="E14597" s="2" t="str">
        <f>HYPERLINK("http://ts.21cn.com/tousu/show/id/1346198","http://ts.21cn.com/tousu/show/id/1346198")</f>
        <v>http://ts.21cn.com/tousu/show/id/1346198</v>
      </c>
      <c r="F14597" s="2" t="s">
        <v>11</v>
      </c>
      <c r="G14597" s="2" t="s">
        <v>15456</v>
      </c>
      <c r="H14597" s="2" t="s">
        <v>15457</v>
      </c>
    </row>
    <row r="14598" spans="1:8" ht="25.05" customHeight="1" x14ac:dyDescent="0.25">
      <c r="A14598" s="2" t="s">
        <v>8</v>
      </c>
      <c r="B14598" s="2" t="str">
        <f>HYPERLINK("http://ts.21cn.com/tousu/show/id/1346200","同程旅游买卡不给下款")</f>
        <v>同程旅游买卡不给下款</v>
      </c>
      <c r="C14598" s="2" t="s">
        <v>34</v>
      </c>
      <c r="D14598" s="2" t="s">
        <v>10</v>
      </c>
      <c r="E14598" s="2" t="str">
        <f>HYPERLINK("http://ts.21cn.com/tousu/show/id/1346200","http://ts.21cn.com/tousu/show/id/1346200")</f>
        <v>http://ts.21cn.com/tousu/show/id/1346200</v>
      </c>
      <c r="F14598" s="2" t="s">
        <v>11</v>
      </c>
      <c r="G14598" s="2" t="s">
        <v>15454</v>
      </c>
      <c r="H14598" s="2" t="s">
        <v>15455</v>
      </c>
    </row>
    <row r="14599" spans="1:8" ht="25.05" customHeight="1" x14ac:dyDescent="0.25">
      <c r="A14599" s="2" t="s">
        <v>8</v>
      </c>
      <c r="B14599" s="2" t="str">
        <f>HYPERLINK("http://ts.21cn.com/tousu/show/id/1346201","蟹老弟砍头息高利贷")</f>
        <v>蟹老弟砍头息高利贷</v>
      </c>
      <c r="C14599" s="2" t="s">
        <v>9</v>
      </c>
      <c r="D14599" s="2" t="s">
        <v>10</v>
      </c>
      <c r="E14599" s="2" t="str">
        <f>HYPERLINK("http://ts.21cn.com/tousu/show/id/1346201","http://ts.21cn.com/tousu/show/id/1346201")</f>
        <v>http://ts.21cn.com/tousu/show/id/1346201</v>
      </c>
      <c r="F14599" s="2" t="s">
        <v>11</v>
      </c>
      <c r="G14599" s="2" t="s">
        <v>15452</v>
      </c>
      <c r="H14599" s="2" t="s">
        <v>15453</v>
      </c>
    </row>
    <row r="14600" spans="1:8" ht="25.05" customHeight="1" x14ac:dyDescent="0.25">
      <c r="A14600" s="2" t="s">
        <v>8</v>
      </c>
      <c r="B14600" s="2" t="str">
        <f>HYPERLINK("http://ts.21cn.com/tousu/show/id/1346202","京东白条委托第三方机构恶意催收")</f>
        <v>京东白条委托第三方机构恶意催收</v>
      </c>
      <c r="C14600" s="2" t="s">
        <v>9</v>
      </c>
      <c r="D14600" s="2" t="s">
        <v>10</v>
      </c>
      <c r="E14600" s="2" t="str">
        <f>HYPERLINK("http://ts.21cn.com/tousu/show/id/1346202","http://ts.21cn.com/tousu/show/id/1346202")</f>
        <v>http://ts.21cn.com/tousu/show/id/1346202</v>
      </c>
      <c r="F14600" s="2" t="s">
        <v>11</v>
      </c>
      <c r="G14600" s="2" t="s">
        <v>15450</v>
      </c>
      <c r="H14600" s="2" t="s">
        <v>15451</v>
      </c>
    </row>
    <row r="14601" spans="1:8" ht="25.05" customHeight="1" x14ac:dyDescent="0.25">
      <c r="A14601" s="2" t="s">
        <v>8</v>
      </c>
      <c r="B14601" s="2" t="str">
        <f>HYPERLINK("http://ts.21cn.com/tousu/show/id/1346203","钱站高利贷高额砍头息暴力催收")</f>
        <v>钱站高利贷高额砍头息暴力催收</v>
      </c>
      <c r="C14601" s="2" t="s">
        <v>9</v>
      </c>
      <c r="D14601" s="2" t="s">
        <v>10</v>
      </c>
      <c r="E14601" s="2" t="str">
        <f>HYPERLINK("http://ts.21cn.com/tousu/show/id/1346203","http://ts.21cn.com/tousu/show/id/1346203")</f>
        <v>http://ts.21cn.com/tousu/show/id/1346203</v>
      </c>
      <c r="F14601" s="2" t="s">
        <v>11</v>
      </c>
      <c r="G14601" s="2" t="s">
        <v>15448</v>
      </c>
      <c r="H14601" s="2" t="s">
        <v>15449</v>
      </c>
    </row>
    <row r="14602" spans="1:8" ht="25.05" customHeight="1" x14ac:dyDescent="0.25">
      <c r="A14602" s="2" t="s">
        <v>8</v>
      </c>
      <c r="B14602" s="2" t="str">
        <f>HYPERLINK("http://ts.21cn.com/tousu/show/id/1346206","闪电平台变相收取砍头息")</f>
        <v>闪电平台变相收取砍头息</v>
      </c>
      <c r="C14602" s="2" t="s">
        <v>9</v>
      </c>
      <c r="D14602" s="2" t="s">
        <v>10</v>
      </c>
      <c r="E14602" s="2" t="str">
        <f>HYPERLINK("http://ts.21cn.com/tousu/show/id/1346206","http://ts.21cn.com/tousu/show/id/1346206")</f>
        <v>http://ts.21cn.com/tousu/show/id/1346206</v>
      </c>
      <c r="F14602" s="2" t="s">
        <v>11</v>
      </c>
      <c r="G14602" s="2" t="s">
        <v>15446</v>
      </c>
      <c r="H14602" s="2" t="s">
        <v>15447</v>
      </c>
    </row>
    <row r="14603" spans="1:8" ht="25.05" customHeight="1" x14ac:dyDescent="0.25">
      <c r="A14603" s="2" t="s">
        <v>8</v>
      </c>
      <c r="B14603" s="2" t="str">
        <f>HYPERLINK("http://ts.21cn.com/tousu/show/id/1346174","甜橙白条违法暴利电话轰炸")</f>
        <v>甜橙白条违法暴利电话轰炸</v>
      </c>
      <c r="C14603" s="2" t="s">
        <v>9</v>
      </c>
      <c r="D14603" s="2" t="s">
        <v>10</v>
      </c>
      <c r="E14603" s="2" t="str">
        <f>HYPERLINK("http://ts.21cn.com/tousu/show/id/1346174","http://ts.21cn.com/tousu/show/id/1346174")</f>
        <v>http://ts.21cn.com/tousu/show/id/1346174</v>
      </c>
      <c r="F14603" s="2" t="s">
        <v>11</v>
      </c>
      <c r="G14603" s="2" t="s">
        <v>15444</v>
      </c>
      <c r="H14603" s="2" t="s">
        <v>15445</v>
      </c>
    </row>
    <row r="14604" spans="1:8" ht="25.05" customHeight="1" x14ac:dyDescent="0.25">
      <c r="A14604" s="2" t="s">
        <v>8</v>
      </c>
      <c r="B14604" s="2" t="str">
        <f>HYPERLINK("http://ts.21cn.com/tousu/show/id/1346204","私自更改借款期数")</f>
        <v>私自更改借款期数</v>
      </c>
      <c r="C14604" s="2" t="s">
        <v>9</v>
      </c>
      <c r="D14604" s="2" t="s">
        <v>10</v>
      </c>
      <c r="E14604" s="2" t="str">
        <f>HYPERLINK("http://ts.21cn.com/tousu/show/id/1346204","http://ts.21cn.com/tousu/show/id/1346204")</f>
        <v>http://ts.21cn.com/tousu/show/id/1346204</v>
      </c>
      <c r="F14604" s="2" t="s">
        <v>11</v>
      </c>
      <c r="G14604" s="2" t="s">
        <v>15442</v>
      </c>
      <c r="H14604" s="2" t="s">
        <v>15443</v>
      </c>
    </row>
    <row r="14605" spans="1:8" ht="25.05" customHeight="1" x14ac:dyDescent="0.25">
      <c r="A14605" s="2" t="s">
        <v>8</v>
      </c>
      <c r="B14605" s="2" t="str">
        <f>HYPERLINK("http://ts.21cn.com/tousu/show/id/1346205","途家网出租民宿地址为虚假信息")</f>
        <v>途家网出租民宿地址为虚假信息</v>
      </c>
      <c r="C14605" s="2" t="s">
        <v>9</v>
      </c>
      <c r="D14605" s="2" t="s">
        <v>10</v>
      </c>
      <c r="E14605" s="2" t="str">
        <f>HYPERLINK("http://ts.21cn.com/tousu/show/id/1346205","http://ts.21cn.com/tousu/show/id/1346205")</f>
        <v>http://ts.21cn.com/tousu/show/id/1346205</v>
      </c>
      <c r="F14605" s="2" t="s">
        <v>11</v>
      </c>
      <c r="G14605" s="2" t="s">
        <v>15440</v>
      </c>
      <c r="H14605" s="2" t="s">
        <v>15441</v>
      </c>
    </row>
    <row r="14606" spans="1:8" ht="25.05" customHeight="1" x14ac:dyDescent="0.25">
      <c r="A14606" s="2" t="s">
        <v>8</v>
      </c>
      <c r="B14606" s="2" t="str">
        <f>HYPERLINK("http://ts.21cn.com/tousu/show/id/1346208","友信信贷在未逾期的时间内对借款人进行暴力催收")</f>
        <v>友信信贷在未逾期的时间内对借款人进行暴力催收</v>
      </c>
      <c r="C14606" s="2" t="s">
        <v>9</v>
      </c>
      <c r="D14606" s="2" t="s">
        <v>10</v>
      </c>
      <c r="E14606" s="2" t="str">
        <f>HYPERLINK("http://ts.21cn.com/tousu/show/id/1346208","http://ts.21cn.com/tousu/show/id/1346208")</f>
        <v>http://ts.21cn.com/tousu/show/id/1346208</v>
      </c>
      <c r="F14606" s="2" t="s">
        <v>11</v>
      </c>
      <c r="G14606" s="2" t="s">
        <v>15438</v>
      </c>
      <c r="H14606" s="2" t="s">
        <v>15439</v>
      </c>
    </row>
    <row r="14607" spans="1:8" ht="25.05" customHeight="1" x14ac:dyDescent="0.25">
      <c r="A14607" s="2" t="s">
        <v>8</v>
      </c>
      <c r="B14607" s="2" t="str">
        <f>HYPERLINK("http://ts.21cn.com/tousu/show/id/1346207","拍拍贷催收爆通讯录")</f>
        <v>拍拍贷催收爆通讯录</v>
      </c>
      <c r="C14607" s="2" t="s">
        <v>9</v>
      </c>
      <c r="D14607" s="2" t="s">
        <v>10</v>
      </c>
      <c r="E14607" s="2" t="str">
        <f>HYPERLINK("http://ts.21cn.com/tousu/show/id/1346207","http://ts.21cn.com/tousu/show/id/1346207")</f>
        <v>http://ts.21cn.com/tousu/show/id/1346207</v>
      </c>
      <c r="F14607" s="2" t="s">
        <v>11</v>
      </c>
      <c r="G14607" s="2" t="s">
        <v>15436</v>
      </c>
      <c r="H14607" s="2" t="s">
        <v>15437</v>
      </c>
    </row>
    <row r="14608" spans="1:8" ht="25.05" customHeight="1" x14ac:dyDescent="0.25">
      <c r="A14608" s="2" t="s">
        <v>8</v>
      </c>
      <c r="B14608" s="2" t="str">
        <f>HYPERLINK("http://ts.21cn.com/tousu/show/id/1346212","唯渡科技暴力催收，爆通讯录，涉黑")</f>
        <v>唯渡科技暴力催收，爆通讯录，涉黑</v>
      </c>
      <c r="C14608" s="2" t="s">
        <v>9</v>
      </c>
      <c r="D14608" s="2" t="s">
        <v>10</v>
      </c>
      <c r="E14608" s="2" t="str">
        <f>HYPERLINK("http://ts.21cn.com/tousu/show/id/1346212","http://ts.21cn.com/tousu/show/id/1346212")</f>
        <v>http://ts.21cn.com/tousu/show/id/1346212</v>
      </c>
      <c r="F14608" s="2" t="s">
        <v>11</v>
      </c>
      <c r="G14608" s="2" t="s">
        <v>15434</v>
      </c>
      <c r="H14608" s="2" t="s">
        <v>15435</v>
      </c>
    </row>
    <row r="14609" spans="1:8" ht="25.05" customHeight="1" x14ac:dyDescent="0.25">
      <c r="A14609" s="2" t="s">
        <v>8</v>
      </c>
      <c r="B14609" s="2" t="str">
        <f>HYPERLINK("http://ts.21cn.com/tousu/show/id/1346214","拍拍贷高利贷阴阳合同")</f>
        <v>拍拍贷高利贷阴阳合同</v>
      </c>
      <c r="C14609" s="2" t="s">
        <v>9</v>
      </c>
      <c r="D14609" s="2" t="s">
        <v>10</v>
      </c>
      <c r="E14609" s="2" t="str">
        <f>HYPERLINK("http://ts.21cn.com/tousu/show/id/1346214","http://ts.21cn.com/tousu/show/id/1346214")</f>
        <v>http://ts.21cn.com/tousu/show/id/1346214</v>
      </c>
      <c r="F14609" s="2" t="s">
        <v>11</v>
      </c>
      <c r="G14609" s="2" t="s">
        <v>15432</v>
      </c>
      <c r="H14609" s="2" t="s">
        <v>15433</v>
      </c>
    </row>
    <row r="14610" spans="1:8" ht="25.05" customHeight="1" x14ac:dyDescent="0.25">
      <c r="A14610" s="2" t="s">
        <v>8</v>
      </c>
      <c r="B14610" s="2" t="str">
        <f>HYPERLINK("http://ts.21cn.com/tousu/show/id/1346213","还呗提前还款坚持收全部利息")</f>
        <v>还呗提前还款坚持收全部利息</v>
      </c>
      <c r="C14610" s="2" t="s">
        <v>34</v>
      </c>
      <c r="D14610" s="2" t="s">
        <v>10</v>
      </c>
      <c r="E14610" s="2" t="str">
        <f>HYPERLINK("http://ts.21cn.com/tousu/show/id/1346213","http://ts.21cn.com/tousu/show/id/1346213")</f>
        <v>http://ts.21cn.com/tousu/show/id/1346213</v>
      </c>
      <c r="F14610" s="2" t="s">
        <v>11</v>
      </c>
      <c r="G14610" s="2" t="s">
        <v>15430</v>
      </c>
      <c r="H14610" s="2" t="s">
        <v>15431</v>
      </c>
    </row>
    <row r="14611" spans="1:8" ht="25.05" customHeight="1" x14ac:dyDescent="0.25">
      <c r="A14611" s="2" t="s">
        <v>8</v>
      </c>
      <c r="B14611" s="2" t="str">
        <f>HYPERLINK("http://ts.21cn.com/tousu/show/id/1346215","点点通高利息，骚扰")</f>
        <v>点点通高利息，骚扰</v>
      </c>
      <c r="C14611" s="2" t="s">
        <v>9</v>
      </c>
      <c r="D14611" s="2" t="s">
        <v>10</v>
      </c>
      <c r="E14611" s="2" t="str">
        <f>HYPERLINK("http://ts.21cn.com/tousu/show/id/1346215","http://ts.21cn.com/tousu/show/id/1346215")</f>
        <v>http://ts.21cn.com/tousu/show/id/1346215</v>
      </c>
      <c r="F14611" s="2" t="s">
        <v>11</v>
      </c>
      <c r="G14611" s="2" t="s">
        <v>15428</v>
      </c>
      <c r="H14611" s="2" t="s">
        <v>15429</v>
      </c>
    </row>
    <row r="14612" spans="1:8" ht="25.05" customHeight="1" x14ac:dyDescent="0.25">
      <c r="A14612" s="2" t="s">
        <v>8</v>
      </c>
      <c r="B14612" s="2" t="str">
        <f>HYPERLINK("http://ts.21cn.com/tousu/show/id/1346216","好分期高利贷")</f>
        <v>好分期高利贷</v>
      </c>
      <c r="C14612" s="2" t="s">
        <v>9</v>
      </c>
      <c r="D14612" s="2" t="s">
        <v>10</v>
      </c>
      <c r="E14612" s="2" t="str">
        <f>HYPERLINK("http://ts.21cn.com/tousu/show/id/1346216","http://ts.21cn.com/tousu/show/id/1346216")</f>
        <v>http://ts.21cn.com/tousu/show/id/1346216</v>
      </c>
      <c r="F14612" s="2" t="s">
        <v>11</v>
      </c>
      <c r="G14612" s="2" t="s">
        <v>15426</v>
      </c>
      <c r="H14612" s="2" t="s">
        <v>15427</v>
      </c>
    </row>
    <row r="14613" spans="1:8" ht="25.05" customHeight="1" x14ac:dyDescent="0.25">
      <c r="A14613" s="2" t="s">
        <v>8</v>
      </c>
      <c r="B14613" s="2" t="str">
        <f>HYPERLINK("http://ts.21cn.com/tousu/show/id/1346217","豹子贷无故扣钱不需要还要扣")</f>
        <v>豹子贷无故扣钱不需要还要扣</v>
      </c>
      <c r="C14613" s="2" t="s">
        <v>9</v>
      </c>
      <c r="D14613" s="2" t="s">
        <v>10</v>
      </c>
      <c r="E14613" s="2" t="str">
        <f>HYPERLINK("http://ts.21cn.com/tousu/show/id/1346217","http://ts.21cn.com/tousu/show/id/1346217")</f>
        <v>http://ts.21cn.com/tousu/show/id/1346217</v>
      </c>
      <c r="F14613" s="2" t="s">
        <v>11</v>
      </c>
      <c r="G14613" s="2" t="s">
        <v>15424</v>
      </c>
      <c r="H14613" s="2" t="s">
        <v>15425</v>
      </c>
    </row>
    <row r="14614" spans="1:8" ht="25.05" customHeight="1" x14ac:dyDescent="0.25">
      <c r="A14614" s="2" t="s">
        <v>8</v>
      </c>
      <c r="B14614" s="2" t="str">
        <f>HYPERLINK("http://ts.21cn.com/tousu/show/id/1346218","斗牛士暴力催收")</f>
        <v>斗牛士暴力催收</v>
      </c>
      <c r="C14614" s="2" t="s">
        <v>9</v>
      </c>
      <c r="D14614" s="2" t="s">
        <v>10</v>
      </c>
      <c r="E14614" s="2" t="str">
        <f>HYPERLINK("http://ts.21cn.com/tousu/show/id/1346218","http://ts.21cn.com/tousu/show/id/1346218")</f>
        <v>http://ts.21cn.com/tousu/show/id/1346218</v>
      </c>
      <c r="F14614" s="2" t="s">
        <v>11</v>
      </c>
      <c r="G14614" s="2" t="s">
        <v>15422</v>
      </c>
      <c r="H14614" s="2" t="s">
        <v>15423</v>
      </c>
    </row>
    <row r="14615" spans="1:8" ht="25.05" customHeight="1" x14ac:dyDescent="0.25">
      <c r="A14615" s="2" t="s">
        <v>8</v>
      </c>
      <c r="B14615" s="2" t="str">
        <f>HYPERLINK("http://ts.21cn.com/tousu/show/id/1346219","拼多多砍价至0元说无法生成订单")</f>
        <v>拼多多砍价至0元说无法生成订单</v>
      </c>
      <c r="C14615" s="2" t="s">
        <v>9</v>
      </c>
      <c r="D14615" s="2" t="s">
        <v>10</v>
      </c>
      <c r="E14615" s="2" t="str">
        <f>HYPERLINK("http://ts.21cn.com/tousu/show/id/1346219","http://ts.21cn.com/tousu/show/id/1346219")</f>
        <v>http://ts.21cn.com/tousu/show/id/1346219</v>
      </c>
      <c r="F14615" s="2" t="s">
        <v>11</v>
      </c>
      <c r="G14615" s="2" t="s">
        <v>15420</v>
      </c>
      <c r="H14615" s="2" t="s">
        <v>15421</v>
      </c>
    </row>
    <row r="14616" spans="1:8" ht="25.05" customHeight="1" x14ac:dyDescent="0.25">
      <c r="A14616" s="2" t="s">
        <v>8</v>
      </c>
      <c r="B14616" s="2" t="str">
        <f>HYPERLINK("http://ts.21cn.com/tousu/show/id/1346221","购买商品降价幅度大")</f>
        <v>购买商品降价幅度大</v>
      </c>
      <c r="C14616" s="2" t="s">
        <v>34</v>
      </c>
      <c r="D14616" s="2" t="s">
        <v>10</v>
      </c>
      <c r="E14616" s="2" t="str">
        <f>HYPERLINK("http://ts.21cn.com/tousu/show/id/1346221","http://ts.21cn.com/tousu/show/id/1346221")</f>
        <v>http://ts.21cn.com/tousu/show/id/1346221</v>
      </c>
      <c r="F14616" s="2" t="s">
        <v>11</v>
      </c>
      <c r="G14616" s="2" t="s">
        <v>15418</v>
      </c>
      <c r="H14616" s="2" t="s">
        <v>15419</v>
      </c>
    </row>
    <row r="14617" spans="1:8" ht="25.05" customHeight="1" x14ac:dyDescent="0.25">
      <c r="A14617" s="2" t="s">
        <v>8</v>
      </c>
      <c r="B14617" s="2" t="str">
        <f>HYPERLINK("http://ts.21cn.com/tousu/show/id/1346220","项目申请失败拒不退款")</f>
        <v>项目申请失败拒不退款</v>
      </c>
      <c r="C14617" s="2" t="s">
        <v>9</v>
      </c>
      <c r="D14617" s="2" t="s">
        <v>10</v>
      </c>
      <c r="E14617" s="2" t="str">
        <f>HYPERLINK("http://ts.21cn.com/tousu/show/id/1346220","http://ts.21cn.com/tousu/show/id/1346220")</f>
        <v>http://ts.21cn.com/tousu/show/id/1346220</v>
      </c>
      <c r="F14617" s="2" t="s">
        <v>11</v>
      </c>
      <c r="G14617" s="2" t="s">
        <v>15416</v>
      </c>
      <c r="H14617" s="2" t="s">
        <v>15417</v>
      </c>
    </row>
    <row r="14618" spans="1:8" ht="25.05" customHeight="1" x14ac:dyDescent="0.25">
      <c r="A14618" s="2" t="s">
        <v>8</v>
      </c>
      <c r="B14618" s="2" t="str">
        <f>HYPERLINK("http://ts.21cn.com/tousu/show/id/1346210","根据国家规定，该app平台非法收取高额利息")</f>
        <v>根据国家规定，该app平台非法收取高额利息</v>
      </c>
      <c r="C14618" s="2" t="s">
        <v>9</v>
      </c>
      <c r="D14618" s="2" t="s">
        <v>10</v>
      </c>
      <c r="E14618" s="2" t="str">
        <f>HYPERLINK("http://ts.21cn.com/tousu/show/id/1346210","http://ts.21cn.com/tousu/show/id/1346210")</f>
        <v>http://ts.21cn.com/tousu/show/id/1346210</v>
      </c>
      <c r="F14618" s="2" t="s">
        <v>11</v>
      </c>
      <c r="G14618" s="2" t="s">
        <v>15414</v>
      </c>
      <c r="H14618" s="2" t="s">
        <v>15415</v>
      </c>
    </row>
    <row r="14619" spans="1:8" ht="25.05" customHeight="1" x14ac:dyDescent="0.25">
      <c r="A14619" s="2" t="s">
        <v>8</v>
      </c>
      <c r="B14619" s="2" t="str">
        <f>HYPERLINK("http://ts.21cn.com/tousu/show/id/1346223","有用分期暴力催收恐吓骚扰亲友")</f>
        <v>有用分期暴力催收恐吓骚扰亲友</v>
      </c>
      <c r="C14619" s="2" t="s">
        <v>9</v>
      </c>
      <c r="D14619" s="2" t="s">
        <v>10</v>
      </c>
      <c r="E14619" s="2" t="str">
        <f>HYPERLINK("http://ts.21cn.com/tousu/show/id/1346223","http://ts.21cn.com/tousu/show/id/1346223")</f>
        <v>http://ts.21cn.com/tousu/show/id/1346223</v>
      </c>
      <c r="F14619" s="2" t="s">
        <v>11</v>
      </c>
      <c r="G14619" s="2" t="s">
        <v>15412</v>
      </c>
      <c r="H14619" s="2" t="s">
        <v>15413</v>
      </c>
    </row>
    <row r="14620" spans="1:8" ht="25.05" customHeight="1" x14ac:dyDescent="0.25">
      <c r="A14620" s="2" t="s">
        <v>8</v>
      </c>
      <c r="B14620" s="2" t="str">
        <f>HYPERLINK("http://ts.21cn.com/tousu/show/id/1346211","小霸王高炮套路贷")</f>
        <v>小霸王高炮套路贷</v>
      </c>
      <c r="C14620" s="2" t="s">
        <v>9</v>
      </c>
      <c r="D14620" s="2" t="s">
        <v>10</v>
      </c>
      <c r="E14620" s="2" t="str">
        <f>HYPERLINK("http://ts.21cn.com/tousu/show/id/1346211","http://ts.21cn.com/tousu/show/id/1346211")</f>
        <v>http://ts.21cn.com/tousu/show/id/1346211</v>
      </c>
      <c r="F14620" s="2" t="s">
        <v>11</v>
      </c>
      <c r="G14620" s="2" t="s">
        <v>15410</v>
      </c>
      <c r="H14620" s="2" t="s">
        <v>15411</v>
      </c>
    </row>
    <row r="14621" spans="1:8" ht="25.05" customHeight="1" x14ac:dyDescent="0.25">
      <c r="A14621" s="2" t="s">
        <v>8</v>
      </c>
      <c r="B14621" s="2" t="str">
        <f>HYPERLINK("http://ts.21cn.com/tousu/show/id/1346224","同程金服收取高额砍头息")</f>
        <v>同程金服收取高额砍头息</v>
      </c>
      <c r="C14621" s="2" t="s">
        <v>34</v>
      </c>
      <c r="D14621" s="2" t="s">
        <v>10</v>
      </c>
      <c r="E14621" s="2" t="str">
        <f>HYPERLINK("http://ts.21cn.com/tousu/show/id/1346224","http://ts.21cn.com/tousu/show/id/1346224")</f>
        <v>http://ts.21cn.com/tousu/show/id/1346224</v>
      </c>
      <c r="F14621" s="2" t="s">
        <v>11</v>
      </c>
      <c r="G14621" s="2" t="s">
        <v>15408</v>
      </c>
      <c r="H14621" s="2" t="s">
        <v>15409</v>
      </c>
    </row>
    <row r="14622" spans="1:8" ht="25.05" customHeight="1" x14ac:dyDescent="0.25">
      <c r="A14622" s="2" t="s">
        <v>8</v>
      </c>
      <c r="B14622" s="2" t="str">
        <f>HYPERLINK("http://ts.21cn.com/tousu/show/id/1346225","无缘无故扣款")</f>
        <v>无缘无故扣款</v>
      </c>
      <c r="C14622" s="2" t="s">
        <v>9</v>
      </c>
      <c r="D14622" s="2" t="s">
        <v>10</v>
      </c>
      <c r="E14622" s="2" t="str">
        <f>HYPERLINK("http://ts.21cn.com/tousu/show/id/1346225","http://ts.21cn.com/tousu/show/id/1346225")</f>
        <v>http://ts.21cn.com/tousu/show/id/1346225</v>
      </c>
      <c r="F14622" s="2" t="s">
        <v>11</v>
      </c>
      <c r="G14622" s="2" t="s">
        <v>15406</v>
      </c>
      <c r="H14622" s="2" t="s">
        <v>15407</v>
      </c>
    </row>
    <row r="14623" spans="1:8" ht="25.05" customHeight="1" x14ac:dyDescent="0.25">
      <c r="A14623" s="2" t="s">
        <v>8</v>
      </c>
      <c r="B14623" s="2" t="str">
        <f>HYPERLINK("http://ts.21cn.com/tousu/show/id/1346226","悟空租车售后")</f>
        <v>悟空租车售后</v>
      </c>
      <c r="C14623" s="2" t="s">
        <v>34</v>
      </c>
      <c r="D14623" s="2" t="s">
        <v>10</v>
      </c>
      <c r="E14623" s="2" t="str">
        <f>HYPERLINK("http://ts.21cn.com/tousu/show/id/1346226","http://ts.21cn.com/tousu/show/id/1346226")</f>
        <v>http://ts.21cn.com/tousu/show/id/1346226</v>
      </c>
      <c r="F14623" s="2" t="s">
        <v>11</v>
      </c>
      <c r="G14623" s="2" t="s">
        <v>15404</v>
      </c>
      <c r="H14623" s="2" t="s">
        <v>15405</v>
      </c>
    </row>
    <row r="14624" spans="1:8" ht="25.05" customHeight="1" x14ac:dyDescent="0.25">
      <c r="A14624" s="2" t="s">
        <v>8</v>
      </c>
      <c r="B14624" s="2" t="str">
        <f>HYPERLINK("http://ts.21cn.com/tousu/show/id/1346227","我不欠你们钱，你们对我暴力催收？")</f>
        <v>我不欠你们钱，你们对我暴力催收？</v>
      </c>
      <c r="C14624" s="2" t="s">
        <v>9</v>
      </c>
      <c r="D14624" s="2" t="s">
        <v>10</v>
      </c>
      <c r="E14624" s="2" t="str">
        <f>HYPERLINK("http://ts.21cn.com/tousu/show/id/1346227","http://ts.21cn.com/tousu/show/id/1346227")</f>
        <v>http://ts.21cn.com/tousu/show/id/1346227</v>
      </c>
      <c r="F14624" s="2" t="s">
        <v>11</v>
      </c>
      <c r="G14624" s="2" t="s">
        <v>15402</v>
      </c>
      <c r="H14624" s="2" t="s">
        <v>15403</v>
      </c>
    </row>
    <row r="14625" spans="1:8" ht="25.05" customHeight="1" x14ac:dyDescent="0.25">
      <c r="A14625" s="2" t="s">
        <v>8</v>
      </c>
      <c r="B14625" s="2" t="str">
        <f>HYPERLINK("http://ts.21cn.com/tousu/show/id/1346228","网银在线违规违纪京东拒不承认")</f>
        <v>网银在线违规违纪京东拒不承认</v>
      </c>
      <c r="C14625" s="2" t="s">
        <v>9</v>
      </c>
      <c r="D14625" s="2" t="s">
        <v>10</v>
      </c>
      <c r="E14625" s="2" t="str">
        <f>HYPERLINK("http://ts.21cn.com/tousu/show/id/1346228","http://ts.21cn.com/tousu/show/id/1346228")</f>
        <v>http://ts.21cn.com/tousu/show/id/1346228</v>
      </c>
      <c r="F14625" s="2" t="s">
        <v>11</v>
      </c>
      <c r="G14625" s="2" t="s">
        <v>15400</v>
      </c>
      <c r="H14625" s="2" t="s">
        <v>15401</v>
      </c>
    </row>
    <row r="14626" spans="1:8" ht="25.05" customHeight="1" x14ac:dyDescent="0.25">
      <c r="A14626" s="2" t="s">
        <v>8</v>
      </c>
      <c r="B14626" s="2" t="str">
        <f>HYPERLINK("http://ts.21cn.com/tousu/show/id/1346229","额外账单扣款")</f>
        <v>额外账单扣款</v>
      </c>
      <c r="C14626" s="2" t="s">
        <v>34</v>
      </c>
      <c r="D14626" s="2" t="s">
        <v>10</v>
      </c>
      <c r="E14626" s="2" t="str">
        <f>HYPERLINK("http://ts.21cn.com/tousu/show/id/1346229","http://ts.21cn.com/tousu/show/id/1346229")</f>
        <v>http://ts.21cn.com/tousu/show/id/1346229</v>
      </c>
      <c r="F14626" s="2" t="s">
        <v>11</v>
      </c>
      <c r="G14626" s="2" t="s">
        <v>15398</v>
      </c>
      <c r="H14626" s="2" t="s">
        <v>15399</v>
      </c>
    </row>
    <row r="14627" spans="1:8" ht="25.05" customHeight="1" x14ac:dyDescent="0.25">
      <c r="A14627" s="2" t="s">
        <v>8</v>
      </c>
      <c r="B14627" s="2" t="str">
        <f>HYPERLINK("http://ts.21cn.com/tousu/show/id/1346230","捷信违法催收")</f>
        <v>捷信违法催收</v>
      </c>
      <c r="C14627" s="2" t="s">
        <v>9</v>
      </c>
      <c r="D14627" s="2" t="s">
        <v>10</v>
      </c>
      <c r="E14627" s="2" t="str">
        <f>HYPERLINK("http://ts.21cn.com/tousu/show/id/1346230","http://ts.21cn.com/tousu/show/id/1346230")</f>
        <v>http://ts.21cn.com/tousu/show/id/1346230</v>
      </c>
      <c r="F14627" s="2" t="s">
        <v>11</v>
      </c>
      <c r="G14627" s="2" t="s">
        <v>15396</v>
      </c>
      <c r="H14627" s="2" t="s">
        <v>15397</v>
      </c>
    </row>
    <row r="14628" spans="1:8" ht="25.05" customHeight="1" x14ac:dyDescent="0.25">
      <c r="A14628" s="2" t="s">
        <v>8</v>
      </c>
      <c r="B14628" s="2" t="str">
        <f>HYPERLINK("http://ts.21cn.com/tousu/show/id/1346231","贷款被多贷")</f>
        <v>贷款被多贷</v>
      </c>
      <c r="C14628" s="2" t="s">
        <v>34</v>
      </c>
      <c r="D14628" s="2" t="s">
        <v>10</v>
      </c>
      <c r="E14628" s="2" t="str">
        <f>HYPERLINK("http://ts.21cn.com/tousu/show/id/1346231","http://ts.21cn.com/tousu/show/id/1346231")</f>
        <v>http://ts.21cn.com/tousu/show/id/1346231</v>
      </c>
      <c r="F14628" s="2" t="s">
        <v>11</v>
      </c>
      <c r="G14628" s="2" t="s">
        <v>15394</v>
      </c>
      <c r="H14628" s="2" t="s">
        <v>15395</v>
      </c>
    </row>
    <row r="14629" spans="1:8" ht="25.05" customHeight="1" x14ac:dyDescent="0.25">
      <c r="A14629" s="2" t="s">
        <v>8</v>
      </c>
      <c r="B14629" s="2" t="str">
        <f>HYPERLINK("http://ts.21cn.com/tousu/show/id/1346232","51人品贷爆我通讯录，恶意诋毁我")</f>
        <v>51人品贷爆我通讯录，恶意诋毁我</v>
      </c>
      <c r="C14629" s="2" t="s">
        <v>9</v>
      </c>
      <c r="D14629" s="2" t="s">
        <v>10</v>
      </c>
      <c r="E14629" s="2" t="str">
        <f>HYPERLINK("http://ts.21cn.com/tousu/show/id/1346232","http://ts.21cn.com/tousu/show/id/1346232")</f>
        <v>http://ts.21cn.com/tousu/show/id/1346232</v>
      </c>
      <c r="F14629" s="2" t="s">
        <v>11</v>
      </c>
      <c r="G14629" s="2" t="s">
        <v>15392</v>
      </c>
      <c r="H14629" s="2" t="s">
        <v>15393</v>
      </c>
    </row>
    <row r="14630" spans="1:8" ht="25.05" customHeight="1" x14ac:dyDescent="0.25">
      <c r="A14630" s="2" t="s">
        <v>8</v>
      </c>
      <c r="B14630" s="2" t="str">
        <f>HYPERLINK("http://ts.21cn.com/tousu/show/id/1346233","天天给我发一些乱七八糟消息")</f>
        <v>天天给我发一些乱七八糟消息</v>
      </c>
      <c r="C14630" s="2" t="s">
        <v>34</v>
      </c>
      <c r="D14630" s="2" t="s">
        <v>10</v>
      </c>
      <c r="E14630" s="2" t="str">
        <f>HYPERLINK("http://ts.21cn.com/tousu/show/id/1346233","http://ts.21cn.com/tousu/show/id/1346233")</f>
        <v>http://ts.21cn.com/tousu/show/id/1346233</v>
      </c>
      <c r="F14630" s="2" t="s">
        <v>11</v>
      </c>
      <c r="G14630" s="2" t="s">
        <v>15390</v>
      </c>
      <c r="H14630" s="2" t="s">
        <v>15391</v>
      </c>
    </row>
    <row r="14631" spans="1:8" ht="25.05" customHeight="1" x14ac:dyDescent="0.25">
      <c r="A14631" s="2" t="s">
        <v>8</v>
      </c>
      <c r="B14631" s="2" t="str">
        <f>HYPERLINK("http://ts.21cn.com/tousu/show/id/1346235","融360以购物方式变相收取费用")</f>
        <v>融360以购物方式变相收取费用</v>
      </c>
      <c r="C14631" s="2" t="s">
        <v>9</v>
      </c>
      <c r="D14631" s="2" t="s">
        <v>10</v>
      </c>
      <c r="E14631" s="2" t="str">
        <f>HYPERLINK("http://ts.21cn.com/tousu/show/id/1346235","http://ts.21cn.com/tousu/show/id/1346235")</f>
        <v>http://ts.21cn.com/tousu/show/id/1346235</v>
      </c>
      <c r="F14631" s="2" t="s">
        <v>11</v>
      </c>
      <c r="G14631" s="2" t="s">
        <v>15388</v>
      </c>
      <c r="H14631" s="2" t="s">
        <v>15389</v>
      </c>
    </row>
    <row r="14632" spans="1:8" ht="25.05" customHeight="1" x14ac:dyDescent="0.25">
      <c r="A14632" s="2" t="s">
        <v>8</v>
      </c>
      <c r="B14632" s="2" t="str">
        <f>HYPERLINK("http://ts.21cn.com/tousu/show/id/1346237","高利贷骚扰")</f>
        <v>高利贷骚扰</v>
      </c>
      <c r="C14632" s="2" t="s">
        <v>9</v>
      </c>
      <c r="D14632" s="2" t="s">
        <v>10</v>
      </c>
      <c r="E14632" s="2" t="str">
        <f>HYPERLINK("http://ts.21cn.com/tousu/show/id/1346237","http://ts.21cn.com/tousu/show/id/1346237")</f>
        <v>http://ts.21cn.com/tousu/show/id/1346237</v>
      </c>
      <c r="F14632" s="2" t="s">
        <v>11</v>
      </c>
      <c r="G14632" s="2" t="s">
        <v>15386</v>
      </c>
      <c r="H14632" s="2" t="s">
        <v>15387</v>
      </c>
    </row>
    <row r="14633" spans="1:8" ht="25.05" customHeight="1" x14ac:dyDescent="0.25">
      <c r="A14633" s="2" t="s">
        <v>8</v>
      </c>
      <c r="B14633" s="2" t="str">
        <f>HYPERLINK("http://ts.21cn.com/tousu/show/id/1346189","投诉洋钱罐违规高利贷，恶意催收")</f>
        <v>投诉洋钱罐违规高利贷，恶意催收</v>
      </c>
      <c r="C14633" s="2" t="s">
        <v>9</v>
      </c>
      <c r="D14633" s="2" t="s">
        <v>10</v>
      </c>
      <c r="E14633" s="2" t="str">
        <f>HYPERLINK("http://ts.21cn.com/tousu/show/id/1346189","http://ts.21cn.com/tousu/show/id/1346189")</f>
        <v>http://ts.21cn.com/tousu/show/id/1346189</v>
      </c>
      <c r="F14633" s="2" t="s">
        <v>11</v>
      </c>
      <c r="G14633" s="2" t="s">
        <v>15384</v>
      </c>
      <c r="H14633" s="2" t="s">
        <v>15385</v>
      </c>
    </row>
    <row r="14634" spans="1:8" ht="25.05" customHeight="1" x14ac:dyDescent="0.25">
      <c r="A14634" s="2" t="s">
        <v>8</v>
      </c>
      <c r="B14634" s="2" t="str">
        <f>HYPERLINK("http://ts.21cn.com/tousu/show/id/1346239","北京聚财通科技有限公司")</f>
        <v>北京聚财通科技有限公司</v>
      </c>
      <c r="C14634" s="2" t="s">
        <v>34</v>
      </c>
      <c r="D14634" s="2" t="s">
        <v>10</v>
      </c>
      <c r="E14634" s="2" t="str">
        <f>HYPERLINK("http://ts.21cn.com/tousu/show/id/1346239","http://ts.21cn.com/tousu/show/id/1346239")</f>
        <v>http://ts.21cn.com/tousu/show/id/1346239</v>
      </c>
      <c r="F14634" s="2" t="s">
        <v>11</v>
      </c>
      <c r="G14634" s="2" t="s">
        <v>15382</v>
      </c>
      <c r="H14634" s="2" t="s">
        <v>15383</v>
      </c>
    </row>
    <row r="14635" spans="1:8" ht="25.05" customHeight="1" x14ac:dyDescent="0.25">
      <c r="A14635" s="2" t="s">
        <v>8</v>
      </c>
      <c r="B14635" s="2" t="str">
        <f>HYPERLINK("http://ts.21cn.com/tousu/show/id/1346240","钱站高利贷阴阳合同")</f>
        <v>钱站高利贷阴阳合同</v>
      </c>
      <c r="C14635" s="2" t="s">
        <v>9</v>
      </c>
      <c r="D14635" s="2" t="s">
        <v>10</v>
      </c>
      <c r="E14635" s="2" t="str">
        <f>HYPERLINK("http://ts.21cn.com/tousu/show/id/1346240","http://ts.21cn.com/tousu/show/id/1346240")</f>
        <v>http://ts.21cn.com/tousu/show/id/1346240</v>
      </c>
      <c r="F14635" s="2" t="s">
        <v>11</v>
      </c>
      <c r="G14635" s="2" t="s">
        <v>15380</v>
      </c>
      <c r="H14635" s="2" t="s">
        <v>15381</v>
      </c>
    </row>
    <row r="14636" spans="1:8" ht="25.05" customHeight="1" x14ac:dyDescent="0.25">
      <c r="A14636" s="2" t="s">
        <v>8</v>
      </c>
      <c r="B14636" s="2" t="str">
        <f>HYPERLINK("http://ts.21cn.com/tousu/show/id/1346241","借贷宝纵容放高利贷暴力催收")</f>
        <v>借贷宝纵容放高利贷暴力催收</v>
      </c>
      <c r="C14636" s="2" t="s">
        <v>9</v>
      </c>
      <c r="D14636" s="2" t="s">
        <v>10</v>
      </c>
      <c r="E14636" s="2" t="str">
        <f>HYPERLINK("http://ts.21cn.com/tousu/show/id/1346241","http://ts.21cn.com/tousu/show/id/1346241")</f>
        <v>http://ts.21cn.com/tousu/show/id/1346241</v>
      </c>
      <c r="F14636" s="2" t="s">
        <v>11</v>
      </c>
      <c r="G14636" s="2" t="s">
        <v>15378</v>
      </c>
      <c r="H14636" s="2" t="s">
        <v>15379</v>
      </c>
    </row>
    <row r="14637" spans="1:8" ht="25.05" customHeight="1" x14ac:dyDescent="0.25">
      <c r="A14637" s="2" t="s">
        <v>8</v>
      </c>
      <c r="B14637" s="2" t="str">
        <f>HYPERLINK("http://ts.21cn.com/tousu/show/id/1346243","闪银恐吓侮辱催收")</f>
        <v>闪银恐吓侮辱催收</v>
      </c>
      <c r="C14637" s="2" t="s">
        <v>9</v>
      </c>
      <c r="D14637" s="2" t="s">
        <v>10</v>
      </c>
      <c r="E14637" s="2" t="str">
        <f>HYPERLINK("http://ts.21cn.com/tousu/show/id/1346243","http://ts.21cn.com/tousu/show/id/1346243")</f>
        <v>http://ts.21cn.com/tousu/show/id/1346243</v>
      </c>
      <c r="F14637" s="2" t="s">
        <v>11</v>
      </c>
      <c r="G14637" s="2" t="s">
        <v>15376</v>
      </c>
      <c r="H14637" s="2" t="s">
        <v>15377</v>
      </c>
    </row>
    <row r="14638" spans="1:8" ht="25.05" customHeight="1" x14ac:dyDescent="0.25">
      <c r="A14638" s="2" t="s">
        <v>8</v>
      </c>
      <c r="B14638" s="2" t="str">
        <f>HYPERLINK("http://ts.21cn.com/tousu/show/id/1346244","中信银行信用卡遭集体投诉，三成系盗刷问题")</f>
        <v>中信银行信用卡遭集体投诉，三成系盗刷问题</v>
      </c>
      <c r="C14638" s="2" t="s">
        <v>9</v>
      </c>
      <c r="D14638" s="2" t="s">
        <v>10</v>
      </c>
      <c r="E14638" s="2" t="str">
        <f>HYPERLINK("http://ts.21cn.com/tousu/show/id/1346244","http://ts.21cn.com/tousu/show/id/1346244")</f>
        <v>http://ts.21cn.com/tousu/show/id/1346244</v>
      </c>
      <c r="F14638" s="2" t="s">
        <v>11</v>
      </c>
      <c r="G14638" s="2" t="s">
        <v>15374</v>
      </c>
      <c r="H14638" s="2" t="s">
        <v>15375</v>
      </c>
    </row>
    <row r="14639" spans="1:8" ht="25.05" customHeight="1" x14ac:dyDescent="0.25">
      <c r="A14639" s="2" t="s">
        <v>8</v>
      </c>
      <c r="B14639" s="2" t="str">
        <f>HYPERLINK("http://ts.21cn.com/tousu/show/id/1346245","哆米黑卡恶意扣款，欺诈诱导")</f>
        <v>哆米黑卡恶意扣款，欺诈诱导</v>
      </c>
      <c r="C14639" s="2" t="s">
        <v>9</v>
      </c>
      <c r="D14639" s="2" t="s">
        <v>10</v>
      </c>
      <c r="E14639" s="2" t="str">
        <f>HYPERLINK("http://ts.21cn.com/tousu/show/id/1346245","http://ts.21cn.com/tousu/show/id/1346245")</f>
        <v>http://ts.21cn.com/tousu/show/id/1346245</v>
      </c>
      <c r="F14639" s="2" t="s">
        <v>11</v>
      </c>
      <c r="G14639" s="2" t="s">
        <v>15372</v>
      </c>
      <c r="H14639" s="2" t="s">
        <v>15373</v>
      </c>
    </row>
    <row r="14640" spans="1:8" ht="25.05" customHeight="1" x14ac:dyDescent="0.25">
      <c r="A14640" s="2" t="s">
        <v>8</v>
      </c>
      <c r="B14640" s="2" t="str">
        <f>HYPERLINK("http://ts.21cn.com/tousu/show/id/1346246","随手记坎头息，暴力催收")</f>
        <v>随手记坎头息，暴力催收</v>
      </c>
      <c r="C14640" s="2" t="s">
        <v>9</v>
      </c>
      <c r="D14640" s="2" t="s">
        <v>10</v>
      </c>
      <c r="E14640" s="2" t="str">
        <f>HYPERLINK("http://ts.21cn.com/tousu/show/id/1346246","http://ts.21cn.com/tousu/show/id/1346246")</f>
        <v>http://ts.21cn.com/tousu/show/id/1346246</v>
      </c>
      <c r="F14640" s="2" t="s">
        <v>11</v>
      </c>
      <c r="G14640" s="2" t="s">
        <v>15369</v>
      </c>
      <c r="H14640" s="2" t="s">
        <v>15370</v>
      </c>
    </row>
    <row r="14641" spans="1:8" ht="25.05" customHeight="1" x14ac:dyDescent="0.25">
      <c r="A14641" s="2" t="s">
        <v>8</v>
      </c>
      <c r="B14641" s="2" t="str">
        <f>HYPERLINK("http://ts.21cn.com/tousu/show/id/1346247","活力花套路我")</f>
        <v>活力花套路我</v>
      </c>
      <c r="C14641" s="2" t="s">
        <v>34</v>
      </c>
      <c r="D14641" s="2" t="s">
        <v>10</v>
      </c>
      <c r="E14641" s="2" t="str">
        <f>HYPERLINK("http://ts.21cn.com/tousu/show/id/1346247","http://ts.21cn.com/tousu/show/id/1346247")</f>
        <v>http://ts.21cn.com/tousu/show/id/1346247</v>
      </c>
      <c r="F14641" s="2" t="s">
        <v>11</v>
      </c>
      <c r="G14641" s="2" t="s">
        <v>15369</v>
      </c>
      <c r="H14641" s="2" t="s">
        <v>15371</v>
      </c>
    </row>
    <row r="14642" spans="1:8" ht="25.05" customHeight="1" x14ac:dyDescent="0.25">
      <c r="A14642" s="2" t="s">
        <v>8</v>
      </c>
      <c r="B14642" s="2" t="str">
        <f>HYPERLINK("http://ts.21cn.com/tousu/show/id/1346251","本人承诺今天还款维信卡卡贷仍然暴力催收")</f>
        <v>本人承诺今天还款维信卡卡贷仍然暴力催收</v>
      </c>
      <c r="C14642" s="2" t="s">
        <v>9</v>
      </c>
      <c r="D14642" s="2" t="s">
        <v>10</v>
      </c>
      <c r="E14642" s="2" t="str">
        <f>HYPERLINK("http://ts.21cn.com/tousu/show/id/1346251","http://ts.21cn.com/tousu/show/id/1346251")</f>
        <v>http://ts.21cn.com/tousu/show/id/1346251</v>
      </c>
      <c r="F14642" s="2" t="s">
        <v>11</v>
      </c>
      <c r="G14642" s="2" t="s">
        <v>15367</v>
      </c>
      <c r="H14642" s="2" t="s">
        <v>15368</v>
      </c>
    </row>
    <row r="14643" spans="1:8" ht="25.05" customHeight="1" x14ac:dyDescent="0.25">
      <c r="A14643" s="2" t="s">
        <v>8</v>
      </c>
      <c r="B14643" s="2" t="str">
        <f>HYPERLINK("http://ts.21cn.com/tousu/show/id/1346248","威胁，恐吓，爆通讯录")</f>
        <v>威胁，恐吓，爆通讯录</v>
      </c>
      <c r="C14643" s="2" t="s">
        <v>9</v>
      </c>
      <c r="D14643" s="2" t="s">
        <v>10</v>
      </c>
      <c r="E14643" s="2" t="str">
        <f>HYPERLINK("http://ts.21cn.com/tousu/show/id/1346248","http://ts.21cn.com/tousu/show/id/1346248")</f>
        <v>http://ts.21cn.com/tousu/show/id/1346248</v>
      </c>
      <c r="F14643" s="2" t="s">
        <v>11</v>
      </c>
      <c r="G14643" s="2" t="s">
        <v>15365</v>
      </c>
      <c r="H14643" s="2" t="s">
        <v>15366</v>
      </c>
    </row>
    <row r="14644" spans="1:8" ht="25.05" customHeight="1" x14ac:dyDescent="0.25">
      <c r="A14644" s="2" t="s">
        <v>8</v>
      </c>
      <c r="B14644" s="2" t="str">
        <f>HYPERLINK("http://ts.21cn.com/tousu/show/id/1346249","江湖救急没人性")</f>
        <v>江湖救急没人性</v>
      </c>
      <c r="C14644" s="2" t="s">
        <v>9</v>
      </c>
      <c r="D14644" s="2" t="s">
        <v>10</v>
      </c>
      <c r="E14644" s="2" t="str">
        <f>HYPERLINK("http://ts.21cn.com/tousu/show/id/1346249","http://ts.21cn.com/tousu/show/id/1346249")</f>
        <v>http://ts.21cn.com/tousu/show/id/1346249</v>
      </c>
      <c r="F14644" s="2" t="s">
        <v>11</v>
      </c>
      <c r="G14644" s="2" t="s">
        <v>15363</v>
      </c>
      <c r="H14644" s="2" t="s">
        <v>15364</v>
      </c>
    </row>
    <row r="14645" spans="1:8" ht="25.05" customHeight="1" x14ac:dyDescent="0.25">
      <c r="A14645" s="2" t="s">
        <v>8</v>
      </c>
      <c r="B14645" s="2" t="str">
        <f>HYPERLINK("http://ts.21cn.com/tousu/show/id/1346253","返还信用钱包贷款却强制收取9期所有担保费")</f>
        <v>返还信用钱包贷款却强制收取9期所有担保费</v>
      </c>
      <c r="C14645" s="2" t="s">
        <v>9</v>
      </c>
      <c r="D14645" s="2" t="s">
        <v>10</v>
      </c>
      <c r="E14645" s="2" t="str">
        <f>HYPERLINK("http://ts.21cn.com/tousu/show/id/1346253","http://ts.21cn.com/tousu/show/id/1346253")</f>
        <v>http://ts.21cn.com/tousu/show/id/1346253</v>
      </c>
      <c r="F14645" s="2" t="s">
        <v>11</v>
      </c>
      <c r="G14645" s="2" t="s">
        <v>15361</v>
      </c>
      <c r="H14645" s="2" t="s">
        <v>15362</v>
      </c>
    </row>
    <row r="14646" spans="1:8" ht="25.05" customHeight="1" x14ac:dyDescent="0.25">
      <c r="A14646" s="2" t="s">
        <v>8</v>
      </c>
      <c r="B14646" s="2" t="str">
        <f>HYPERLINK("http://ts.21cn.com/tousu/show/id/1346254","交通银行打骚扰电话")</f>
        <v>交通银行打骚扰电话</v>
      </c>
      <c r="C14646" s="2" t="s">
        <v>9</v>
      </c>
      <c r="D14646" s="2" t="s">
        <v>10</v>
      </c>
      <c r="E14646" s="2" t="str">
        <f>HYPERLINK("http://ts.21cn.com/tousu/show/id/1346254","http://ts.21cn.com/tousu/show/id/1346254")</f>
        <v>http://ts.21cn.com/tousu/show/id/1346254</v>
      </c>
      <c r="F14646" s="2" t="s">
        <v>11</v>
      </c>
      <c r="G14646" s="2" t="s">
        <v>15359</v>
      </c>
      <c r="H14646" s="2" t="s">
        <v>15360</v>
      </c>
    </row>
    <row r="14647" spans="1:8" ht="25.05" customHeight="1" x14ac:dyDescent="0.25">
      <c r="A14647" s="2" t="s">
        <v>8</v>
      </c>
      <c r="B14647" s="2" t="str">
        <f>HYPERLINK("http://ts.21cn.com/tousu/show/id/1346046","蜜瓜钱包违法高利贷，汇潮支付提供支付通道")</f>
        <v>蜜瓜钱包违法高利贷，汇潮支付提供支付通道</v>
      </c>
      <c r="C14647" s="2" t="s">
        <v>9</v>
      </c>
      <c r="D14647" s="2" t="s">
        <v>10</v>
      </c>
      <c r="E14647" s="2" t="str">
        <f>HYPERLINK("http://ts.21cn.com/tousu/show/id/1346046","http://ts.21cn.com/tousu/show/id/1346046")</f>
        <v>http://ts.21cn.com/tousu/show/id/1346046</v>
      </c>
      <c r="F14647" s="2" t="s">
        <v>11</v>
      </c>
      <c r="G14647" s="2" t="s">
        <v>15357</v>
      </c>
      <c r="H14647" s="2" t="s">
        <v>15358</v>
      </c>
    </row>
    <row r="14648" spans="1:8" ht="25.05" customHeight="1" x14ac:dyDescent="0.25">
      <c r="A14648" s="2" t="s">
        <v>8</v>
      </c>
      <c r="B14648" s="2" t="str">
        <f>HYPERLINK("http://ts.21cn.com/tousu/show/id/1346256","和苏宁金融协商还款不同意减免，利息已超过国家法定利息")</f>
        <v>和苏宁金融协商还款不同意减免，利息已超过国家法定利息</v>
      </c>
      <c r="C14648" s="2" t="s">
        <v>9</v>
      </c>
      <c r="D14648" s="2" t="s">
        <v>10</v>
      </c>
      <c r="E14648" s="2" t="str">
        <f>HYPERLINK("http://ts.21cn.com/tousu/show/id/1346256","http://ts.21cn.com/tousu/show/id/1346256")</f>
        <v>http://ts.21cn.com/tousu/show/id/1346256</v>
      </c>
      <c r="F14648" s="2" t="s">
        <v>11</v>
      </c>
      <c r="G14648" s="2" t="s">
        <v>15355</v>
      </c>
      <c r="H14648" s="2" t="s">
        <v>15356</v>
      </c>
    </row>
    <row r="14649" spans="1:8" ht="25.05" customHeight="1" x14ac:dyDescent="0.25">
      <c r="A14649" s="2" t="s">
        <v>8</v>
      </c>
      <c r="B14649" s="2" t="str">
        <f>HYPERLINK("http://ts.21cn.com/tousu/show/id/1346257","无故盗刷")</f>
        <v>无故盗刷</v>
      </c>
      <c r="C14649" s="2" t="s">
        <v>9</v>
      </c>
      <c r="D14649" s="2" t="s">
        <v>10</v>
      </c>
      <c r="E14649" s="2" t="str">
        <f>HYPERLINK("http://ts.21cn.com/tousu/show/id/1346257","http://ts.21cn.com/tousu/show/id/1346257")</f>
        <v>http://ts.21cn.com/tousu/show/id/1346257</v>
      </c>
      <c r="F14649" s="2" t="s">
        <v>11</v>
      </c>
      <c r="G14649" s="2" t="s">
        <v>15353</v>
      </c>
      <c r="H14649" s="2" t="s">
        <v>15354</v>
      </c>
    </row>
    <row r="14650" spans="1:8" ht="25.05" customHeight="1" x14ac:dyDescent="0.25">
      <c r="A14650" s="2" t="s">
        <v>8</v>
      </c>
      <c r="B14650" s="2" t="str">
        <f>HYPERLINK("http://ts.21cn.com/tousu/show/id/1346258","投诉闪银威胁我炸通讯录")</f>
        <v>投诉闪银威胁我炸通讯录</v>
      </c>
      <c r="C14650" s="2" t="s">
        <v>9</v>
      </c>
      <c r="D14650" s="2" t="s">
        <v>10</v>
      </c>
      <c r="E14650" s="2" t="str">
        <f>HYPERLINK("http://ts.21cn.com/tousu/show/id/1346258","http://ts.21cn.com/tousu/show/id/1346258")</f>
        <v>http://ts.21cn.com/tousu/show/id/1346258</v>
      </c>
      <c r="F14650" s="2" t="s">
        <v>11</v>
      </c>
      <c r="G14650" s="2" t="s">
        <v>15351</v>
      </c>
      <c r="H14650" s="2" t="s">
        <v>15352</v>
      </c>
    </row>
    <row r="14651" spans="1:8" ht="25.05" customHeight="1" x14ac:dyDescent="0.25">
      <c r="A14651" s="2" t="s">
        <v>8</v>
      </c>
      <c r="B14651" s="2" t="str">
        <f>HYPERLINK("http://ts.21cn.com/tousu/show/id/1346262","京东买手机用一天坏了不处理")</f>
        <v>京东买手机用一天坏了不处理</v>
      </c>
      <c r="C14651" s="2" t="s">
        <v>9</v>
      </c>
      <c r="D14651" s="2" t="s">
        <v>10</v>
      </c>
      <c r="E14651" s="2" t="str">
        <f>HYPERLINK("http://ts.21cn.com/tousu/show/id/1346262","http://ts.21cn.com/tousu/show/id/1346262")</f>
        <v>http://ts.21cn.com/tousu/show/id/1346262</v>
      </c>
      <c r="F14651" s="2" t="s">
        <v>11</v>
      </c>
      <c r="G14651" s="2" t="s">
        <v>15349</v>
      </c>
      <c r="H14651" s="2" t="s">
        <v>15350</v>
      </c>
    </row>
    <row r="14652" spans="1:8" ht="25.05" customHeight="1" x14ac:dyDescent="0.25">
      <c r="A14652" s="2" t="s">
        <v>8</v>
      </c>
      <c r="B14652" s="2" t="str">
        <f>HYPERLINK("http://ts.21cn.com/tousu/show/id/1346260","2345贷款王不协商还款")</f>
        <v>2345贷款王不协商还款</v>
      </c>
      <c r="C14652" s="2" t="s">
        <v>34</v>
      </c>
      <c r="D14652" s="2" t="s">
        <v>10</v>
      </c>
      <c r="E14652" s="2" t="str">
        <f>HYPERLINK("http://ts.21cn.com/tousu/show/id/1346260","http://ts.21cn.com/tousu/show/id/1346260")</f>
        <v>http://ts.21cn.com/tousu/show/id/1346260</v>
      </c>
      <c r="F14652" s="2" t="s">
        <v>11</v>
      </c>
      <c r="G14652" s="2" t="s">
        <v>15347</v>
      </c>
      <c r="H14652" s="2" t="s">
        <v>15348</v>
      </c>
    </row>
    <row r="14653" spans="1:8" ht="25.05" customHeight="1" x14ac:dyDescent="0.25">
      <c r="A14653" s="2" t="s">
        <v>8</v>
      </c>
      <c r="B14653" s="2" t="str">
        <f>HYPERLINK("http://ts.21cn.com/tousu/show/id/1346261","我没有申请借款的提前扣了我150元信息费用")</f>
        <v>我没有申请借款的提前扣了我150元信息费用</v>
      </c>
      <c r="C14653" s="2" t="s">
        <v>9</v>
      </c>
      <c r="D14653" s="2" t="s">
        <v>10</v>
      </c>
      <c r="E14653" s="2" t="str">
        <f>HYPERLINK("http://ts.21cn.com/tousu/show/id/1346261","http://ts.21cn.com/tousu/show/id/1346261")</f>
        <v>http://ts.21cn.com/tousu/show/id/1346261</v>
      </c>
      <c r="F14653" s="2" t="s">
        <v>11</v>
      </c>
      <c r="G14653" s="2" t="s">
        <v>15345</v>
      </c>
      <c r="H14653" s="2" t="s">
        <v>15346</v>
      </c>
    </row>
    <row r="14654" spans="1:8" ht="25.05" customHeight="1" x14ac:dyDescent="0.25">
      <c r="A14654" s="2" t="s">
        <v>8</v>
      </c>
      <c r="B14654" s="2" t="str">
        <f>HYPERLINK("http://ts.21cn.com/tousu/show/id/1346263","拍拍贷多次骚扰，我不是借款人")</f>
        <v>拍拍贷多次骚扰，我不是借款人</v>
      </c>
      <c r="C14654" s="2" t="s">
        <v>9</v>
      </c>
      <c r="D14654" s="2" t="s">
        <v>10</v>
      </c>
      <c r="E14654" s="2" t="str">
        <f>HYPERLINK("http://ts.21cn.com/tousu/show/id/1346263","http://ts.21cn.com/tousu/show/id/1346263")</f>
        <v>http://ts.21cn.com/tousu/show/id/1346263</v>
      </c>
      <c r="F14654" s="2" t="s">
        <v>11</v>
      </c>
      <c r="G14654" s="2" t="s">
        <v>15343</v>
      </c>
      <c r="H14654" s="2" t="s">
        <v>15344</v>
      </c>
    </row>
    <row r="14655" spans="1:8" ht="25.05" customHeight="1" x14ac:dyDescent="0.25">
      <c r="A14655" s="2" t="s">
        <v>8</v>
      </c>
      <c r="B14655" s="2" t="str">
        <f>HYPERLINK("http://ts.21cn.com/tousu/show/id/1346265","马上消费金融，暴力催收，群发短信，恐吓催收")</f>
        <v>马上消费金融，暴力催收，群发短信，恐吓催收</v>
      </c>
      <c r="C14655" s="2" t="s">
        <v>9</v>
      </c>
      <c r="D14655" s="2" t="s">
        <v>10</v>
      </c>
      <c r="E14655" s="2" t="str">
        <f>HYPERLINK("http://ts.21cn.com/tousu/show/id/1346265","http://ts.21cn.com/tousu/show/id/1346265")</f>
        <v>http://ts.21cn.com/tousu/show/id/1346265</v>
      </c>
      <c r="F14655" s="2" t="s">
        <v>11</v>
      </c>
      <c r="G14655" s="2" t="s">
        <v>15341</v>
      </c>
      <c r="H14655" s="2" t="s">
        <v>15342</v>
      </c>
    </row>
    <row r="14656" spans="1:8" ht="25.05" customHeight="1" x14ac:dyDescent="0.25">
      <c r="A14656" s="2" t="s">
        <v>8</v>
      </c>
      <c r="B14656" s="2" t="str">
        <f>HYPERLINK("http://ts.21cn.com/tousu/show/id/1346264","德邦快递未履行三日退货款。不给退代收货款")</f>
        <v>德邦快递未履行三日退货款。不给退代收货款</v>
      </c>
      <c r="C14656" s="2" t="s">
        <v>9</v>
      </c>
      <c r="D14656" s="2" t="s">
        <v>10</v>
      </c>
      <c r="E14656" s="2" t="str">
        <f>HYPERLINK("http://ts.21cn.com/tousu/show/id/1346264","http://ts.21cn.com/tousu/show/id/1346264")</f>
        <v>http://ts.21cn.com/tousu/show/id/1346264</v>
      </c>
      <c r="F14656" s="2" t="s">
        <v>11</v>
      </c>
      <c r="G14656" s="2" t="s">
        <v>15339</v>
      </c>
      <c r="H14656" s="2" t="s">
        <v>15340</v>
      </c>
    </row>
    <row r="14657" spans="1:8" ht="25.05" customHeight="1" x14ac:dyDescent="0.25">
      <c r="A14657" s="2" t="s">
        <v>8</v>
      </c>
      <c r="B14657" s="2" t="str">
        <f>HYPERLINK("http://ts.21cn.com/tousu/show/id/1346266","豹子贷申请不成功乱扣费")</f>
        <v>豹子贷申请不成功乱扣费</v>
      </c>
      <c r="C14657" s="2" t="s">
        <v>9</v>
      </c>
      <c r="D14657" s="2" t="s">
        <v>10</v>
      </c>
      <c r="E14657" s="2" t="str">
        <f>HYPERLINK("http://ts.21cn.com/tousu/show/id/1346266","http://ts.21cn.com/tousu/show/id/1346266")</f>
        <v>http://ts.21cn.com/tousu/show/id/1346266</v>
      </c>
      <c r="F14657" s="2" t="s">
        <v>11</v>
      </c>
      <c r="G14657" s="2" t="s">
        <v>15337</v>
      </c>
      <c r="H14657" s="2" t="s">
        <v>15338</v>
      </c>
    </row>
    <row r="14658" spans="1:8" ht="25.05" customHeight="1" x14ac:dyDescent="0.25">
      <c r="A14658" s="2" t="s">
        <v>8</v>
      </c>
      <c r="B14658" s="2" t="str">
        <f>HYPERLINK("http://ts.21cn.com/tousu/show/id/1346267","信而富捆绑式贷款")</f>
        <v>信而富捆绑式贷款</v>
      </c>
      <c r="C14658" s="2" t="s">
        <v>9</v>
      </c>
      <c r="D14658" s="2" t="s">
        <v>10</v>
      </c>
      <c r="E14658" s="2" t="str">
        <f>HYPERLINK("http://ts.21cn.com/tousu/show/id/1346267","http://ts.21cn.com/tousu/show/id/1346267")</f>
        <v>http://ts.21cn.com/tousu/show/id/1346267</v>
      </c>
      <c r="F14658" s="2" t="s">
        <v>11</v>
      </c>
      <c r="G14658" s="2" t="s">
        <v>15335</v>
      </c>
      <c r="H14658" s="2" t="s">
        <v>15336</v>
      </c>
    </row>
    <row r="14659" spans="1:8" ht="25.05" customHeight="1" x14ac:dyDescent="0.25">
      <c r="A14659" s="2" t="s">
        <v>8</v>
      </c>
      <c r="B14659" s="2" t="str">
        <f>HYPERLINK("http://ts.21cn.com/tousu/show/id/1346268","趣花分期伪造律师函恐吓")</f>
        <v>趣花分期伪造律师函恐吓</v>
      </c>
      <c r="C14659" s="2" t="s">
        <v>9</v>
      </c>
      <c r="D14659" s="2" t="s">
        <v>10</v>
      </c>
      <c r="E14659" s="2" t="str">
        <f>HYPERLINK("http://ts.21cn.com/tousu/show/id/1346268","http://ts.21cn.com/tousu/show/id/1346268")</f>
        <v>http://ts.21cn.com/tousu/show/id/1346268</v>
      </c>
      <c r="F14659" s="2" t="s">
        <v>11</v>
      </c>
      <c r="G14659" s="2" t="s">
        <v>15332</v>
      </c>
      <c r="H14659" s="2" t="s">
        <v>15333</v>
      </c>
    </row>
    <row r="14660" spans="1:8" ht="25.05" customHeight="1" x14ac:dyDescent="0.25">
      <c r="A14660" s="2" t="s">
        <v>8</v>
      </c>
      <c r="B14660" s="2" t="str">
        <f>HYPERLINK("http://ts.21cn.com/tousu/show/id/1346269","宜人贷频繁骚扰电话，引诱贷款")</f>
        <v>宜人贷频繁骚扰电话，引诱贷款</v>
      </c>
      <c r="C14660" s="2" t="s">
        <v>9</v>
      </c>
      <c r="D14660" s="2" t="s">
        <v>10</v>
      </c>
      <c r="E14660" s="2" t="str">
        <f>HYPERLINK("http://ts.21cn.com/tousu/show/id/1346269","http://ts.21cn.com/tousu/show/id/1346269")</f>
        <v>http://ts.21cn.com/tousu/show/id/1346269</v>
      </c>
      <c r="F14660" s="2" t="s">
        <v>11</v>
      </c>
      <c r="G14660" s="2" t="s">
        <v>15332</v>
      </c>
      <c r="H14660" s="2" t="s">
        <v>15334</v>
      </c>
    </row>
    <row r="14661" spans="1:8" ht="25.05" customHeight="1" x14ac:dyDescent="0.25">
      <c r="A14661" s="2" t="s">
        <v>8</v>
      </c>
      <c r="B14661" s="2" t="str">
        <f>HYPERLINK("http://ts.21cn.com/tousu/show/id/1346270","苏宁易购商城答应的免单，不给免")</f>
        <v>苏宁易购商城答应的免单，不给免</v>
      </c>
      <c r="C14661" s="2" t="s">
        <v>34</v>
      </c>
      <c r="D14661" s="2" t="s">
        <v>10</v>
      </c>
      <c r="E14661" s="2" t="str">
        <f>HYPERLINK("http://ts.21cn.com/tousu/show/id/1346270","http://ts.21cn.com/tousu/show/id/1346270")</f>
        <v>http://ts.21cn.com/tousu/show/id/1346270</v>
      </c>
      <c r="F14661" s="2" t="s">
        <v>11</v>
      </c>
      <c r="G14661" s="2" t="s">
        <v>15330</v>
      </c>
      <c r="H14661" s="2" t="s">
        <v>15331</v>
      </c>
    </row>
    <row r="14662" spans="1:8" ht="25.05" customHeight="1" x14ac:dyDescent="0.25">
      <c r="A14662" s="2" t="s">
        <v>8</v>
      </c>
      <c r="B14662" s="2" t="str">
        <f>HYPERLINK("http://ts.21cn.com/tousu/show/id/1346271","交通银行骚扰我同事正常生活")</f>
        <v>交通银行骚扰我同事正常生活</v>
      </c>
      <c r="C14662" s="2" t="s">
        <v>9</v>
      </c>
      <c r="D14662" s="2" t="s">
        <v>10</v>
      </c>
      <c r="E14662" s="2" t="str">
        <f>HYPERLINK("http://ts.21cn.com/tousu/show/id/1346271","http://ts.21cn.com/tousu/show/id/1346271")</f>
        <v>http://ts.21cn.com/tousu/show/id/1346271</v>
      </c>
      <c r="F14662" s="2" t="s">
        <v>11</v>
      </c>
      <c r="G14662" s="2" t="s">
        <v>15328</v>
      </c>
      <c r="H14662" s="2" t="s">
        <v>15329</v>
      </c>
    </row>
    <row r="14663" spans="1:8" ht="25.05" customHeight="1" x14ac:dyDescent="0.25">
      <c r="A14663" s="2" t="s">
        <v>8</v>
      </c>
      <c r="B14663" s="2" t="str">
        <f>HYPERLINK("http://ts.21cn.com/tousu/show/id/1346278","钱站高利贷阴阳合同")</f>
        <v>钱站高利贷阴阳合同</v>
      </c>
      <c r="C14663" s="2" t="s">
        <v>9</v>
      </c>
      <c r="D14663" s="2" t="s">
        <v>10</v>
      </c>
      <c r="E14663" s="2" t="str">
        <f>HYPERLINK("http://ts.21cn.com/tousu/show/id/1346278","http://ts.21cn.com/tousu/show/id/1346278")</f>
        <v>http://ts.21cn.com/tousu/show/id/1346278</v>
      </c>
      <c r="F14663" s="2" t="s">
        <v>11</v>
      </c>
      <c r="G14663" s="2" t="s">
        <v>15326</v>
      </c>
      <c r="H14663" s="2" t="s">
        <v>15327</v>
      </c>
    </row>
    <row r="14664" spans="1:8" ht="25.05" customHeight="1" x14ac:dyDescent="0.25">
      <c r="A14664" s="2" t="s">
        <v>8</v>
      </c>
      <c r="B14664" s="2" t="str">
        <f>HYPERLINK("http://ts.21cn.com/tousu/show/id/1346272","暴力催收，威胁")</f>
        <v>暴力催收，威胁</v>
      </c>
      <c r="C14664" s="2" t="s">
        <v>9</v>
      </c>
      <c r="D14664" s="2" t="s">
        <v>10</v>
      </c>
      <c r="E14664" s="2" t="str">
        <f>HYPERLINK("http://ts.21cn.com/tousu/show/id/1346272","http://ts.21cn.com/tousu/show/id/1346272")</f>
        <v>http://ts.21cn.com/tousu/show/id/1346272</v>
      </c>
      <c r="F14664" s="2" t="s">
        <v>11</v>
      </c>
      <c r="G14664" s="2" t="s">
        <v>15324</v>
      </c>
      <c r="H14664" s="2" t="s">
        <v>15325</v>
      </c>
    </row>
    <row r="14665" spans="1:8" ht="25.05" customHeight="1" x14ac:dyDescent="0.25">
      <c r="A14665" s="2" t="s">
        <v>8</v>
      </c>
      <c r="B14665" s="2" t="str">
        <f>HYPERLINK("http://ts.21cn.com/tousu/show/id/1346273","侮辱，诽谤，暴力催收")</f>
        <v>侮辱，诽谤，暴力催收</v>
      </c>
      <c r="C14665" s="2" t="s">
        <v>9</v>
      </c>
      <c r="D14665" s="2" t="s">
        <v>10</v>
      </c>
      <c r="E14665" s="2" t="str">
        <f>HYPERLINK("http://ts.21cn.com/tousu/show/id/1346273","http://ts.21cn.com/tousu/show/id/1346273")</f>
        <v>http://ts.21cn.com/tousu/show/id/1346273</v>
      </c>
      <c r="F14665" s="2" t="s">
        <v>11</v>
      </c>
      <c r="G14665" s="2" t="s">
        <v>15322</v>
      </c>
      <c r="H14665" s="2" t="s">
        <v>15323</v>
      </c>
    </row>
    <row r="14666" spans="1:8" ht="25.05" customHeight="1" x14ac:dyDescent="0.25">
      <c r="A14666" s="2" t="s">
        <v>8</v>
      </c>
      <c r="B14666" s="2" t="str">
        <f>HYPERLINK("http://ts.21cn.com/tousu/show/id/1346197","暴力催收恶意让用户逾期不减免逾期费用")</f>
        <v>暴力催收恶意让用户逾期不减免逾期费用</v>
      </c>
      <c r="C14666" s="2" t="s">
        <v>9</v>
      </c>
      <c r="D14666" s="2" t="s">
        <v>10</v>
      </c>
      <c r="E14666" s="2" t="str">
        <f>HYPERLINK("http://ts.21cn.com/tousu/show/id/1346197","http://ts.21cn.com/tousu/show/id/1346197")</f>
        <v>http://ts.21cn.com/tousu/show/id/1346197</v>
      </c>
      <c r="F14666" s="2" t="s">
        <v>11</v>
      </c>
      <c r="G14666" s="2" t="s">
        <v>15320</v>
      </c>
      <c r="H14666" s="2" t="s">
        <v>15321</v>
      </c>
    </row>
    <row r="14667" spans="1:8" ht="25.05" customHeight="1" x14ac:dyDescent="0.25">
      <c r="A14667" s="2" t="s">
        <v>8</v>
      </c>
      <c r="B14667" s="2" t="str">
        <f>HYPERLINK("http://ts.21cn.com/tousu/show/id/1346274","今日头条鲁班后台/值点商家后台（放心购）保证金迟迟未退还")</f>
        <v>今日头条鲁班后台/值点商家后台（放心购）保证金迟迟未退还</v>
      </c>
      <c r="C14667" s="2" t="s">
        <v>9</v>
      </c>
      <c r="D14667" s="2" t="s">
        <v>10</v>
      </c>
      <c r="E14667" s="2" t="str">
        <f>HYPERLINK("http://ts.21cn.com/tousu/show/id/1346274","http://ts.21cn.com/tousu/show/id/1346274")</f>
        <v>http://ts.21cn.com/tousu/show/id/1346274</v>
      </c>
      <c r="F14667" s="2" t="s">
        <v>11</v>
      </c>
      <c r="G14667" s="2" t="s">
        <v>15318</v>
      </c>
      <c r="H14667" s="2" t="s">
        <v>15319</v>
      </c>
    </row>
    <row r="14668" spans="1:8" ht="25.05" customHeight="1" x14ac:dyDescent="0.25">
      <c r="A14668" s="2" t="s">
        <v>8</v>
      </c>
      <c r="B14668" s="2" t="str">
        <f>HYPERLINK("http://ts.21cn.com/tousu/show/id/1346275","爱又米打着合法的幌子，做着黑社会的梦")</f>
        <v>爱又米打着合法的幌子，做着黑社会的梦</v>
      </c>
      <c r="C14668" s="2" t="s">
        <v>9</v>
      </c>
      <c r="D14668" s="2" t="s">
        <v>10</v>
      </c>
      <c r="E14668" s="2" t="str">
        <f>HYPERLINK("http://ts.21cn.com/tousu/show/id/1346275","http://ts.21cn.com/tousu/show/id/1346275")</f>
        <v>http://ts.21cn.com/tousu/show/id/1346275</v>
      </c>
      <c r="F14668" s="2" t="s">
        <v>11</v>
      </c>
      <c r="G14668" s="2" t="s">
        <v>15316</v>
      </c>
      <c r="H14668" s="2" t="s">
        <v>15317</v>
      </c>
    </row>
    <row r="14669" spans="1:8" ht="25.05" customHeight="1" x14ac:dyDescent="0.25">
      <c r="A14669" s="2" t="s">
        <v>8</v>
      </c>
      <c r="B14669" s="2" t="str">
        <f>HYPERLINK("http://ts.21cn.com/tousu/show/id/1346276","速金服存在高利贷和砍头息，申请撤销借款被拒")</f>
        <v>速金服存在高利贷和砍头息，申请撤销借款被拒</v>
      </c>
      <c r="C14669" s="2" t="s">
        <v>9</v>
      </c>
      <c r="D14669" s="2" t="s">
        <v>10</v>
      </c>
      <c r="E14669" s="2" t="str">
        <f>HYPERLINK("http://ts.21cn.com/tousu/show/id/1346276","http://ts.21cn.com/tousu/show/id/1346276")</f>
        <v>http://ts.21cn.com/tousu/show/id/1346276</v>
      </c>
      <c r="F14669" s="2" t="s">
        <v>11</v>
      </c>
      <c r="G14669" s="2" t="s">
        <v>15314</v>
      </c>
      <c r="H14669" s="2" t="s">
        <v>15315</v>
      </c>
    </row>
    <row r="14670" spans="1:8" ht="25.05" customHeight="1" x14ac:dyDescent="0.25">
      <c r="A14670" s="2" t="s">
        <v>8</v>
      </c>
      <c r="B14670" s="2" t="str">
        <f>HYPERLINK("http://ts.21cn.com/tousu/show/id/1346209","投诉钱站高额利息")</f>
        <v>投诉钱站高额利息</v>
      </c>
      <c r="C14670" s="2" t="s">
        <v>9</v>
      </c>
      <c r="D14670" s="2" t="s">
        <v>10</v>
      </c>
      <c r="E14670" s="2" t="str">
        <f>HYPERLINK("http://ts.21cn.com/tousu/show/id/1346209","http://ts.21cn.com/tousu/show/id/1346209")</f>
        <v>http://ts.21cn.com/tousu/show/id/1346209</v>
      </c>
      <c r="F14670" s="2" t="s">
        <v>11</v>
      </c>
      <c r="G14670" s="2" t="s">
        <v>15312</v>
      </c>
      <c r="H14670" s="2" t="s">
        <v>15313</v>
      </c>
    </row>
    <row r="14671" spans="1:8" ht="25.05" customHeight="1" x14ac:dyDescent="0.25">
      <c r="A14671" s="2" t="s">
        <v>8</v>
      </c>
      <c r="B14671" s="2" t="str">
        <f>HYPERLINK("http://ts.21cn.com/tousu/show/id/1346277","暴力催收，群发短信")</f>
        <v>暴力催收，群发短信</v>
      </c>
      <c r="C14671" s="2" t="s">
        <v>9</v>
      </c>
      <c r="D14671" s="2" t="s">
        <v>10</v>
      </c>
      <c r="E14671" s="2" t="str">
        <f>HYPERLINK("http://ts.21cn.com/tousu/show/id/1346277","http://ts.21cn.com/tousu/show/id/1346277")</f>
        <v>http://ts.21cn.com/tousu/show/id/1346277</v>
      </c>
      <c r="F14671" s="2" t="s">
        <v>11</v>
      </c>
      <c r="G14671" s="2" t="s">
        <v>15310</v>
      </c>
      <c r="H14671" s="2" t="s">
        <v>15311</v>
      </c>
    </row>
    <row r="14672" spans="1:8" ht="25.05" customHeight="1" x14ac:dyDescent="0.25">
      <c r="A14672" s="2" t="s">
        <v>8</v>
      </c>
      <c r="B14672" s="2" t="str">
        <f>HYPERLINK("http://ts.21cn.com/tousu/show/id/1346281","暴力催收合同欺诈高利贷")</f>
        <v>暴力催收合同欺诈高利贷</v>
      </c>
      <c r="C14672" s="2" t="s">
        <v>9</v>
      </c>
      <c r="D14672" s="2" t="s">
        <v>10</v>
      </c>
      <c r="E14672" s="2" t="str">
        <f>HYPERLINK("http://ts.21cn.com/tousu/show/id/1346281","http://ts.21cn.com/tousu/show/id/1346281")</f>
        <v>http://ts.21cn.com/tousu/show/id/1346281</v>
      </c>
      <c r="F14672" s="2" t="s">
        <v>11</v>
      </c>
      <c r="G14672" s="2" t="s">
        <v>15308</v>
      </c>
      <c r="H14672" s="2" t="s">
        <v>15309</v>
      </c>
    </row>
    <row r="14673" spans="1:8" ht="25.05" customHeight="1" x14ac:dyDescent="0.25">
      <c r="A14673" s="2" t="s">
        <v>8</v>
      </c>
      <c r="B14673" s="2" t="str">
        <f>HYPERLINK("http://ts.21cn.com/tousu/show/id/1346280","英孚教育售后不理人，赔款不合理")</f>
        <v>英孚教育售后不理人，赔款不合理</v>
      </c>
      <c r="C14673" s="2" t="s">
        <v>9</v>
      </c>
      <c r="D14673" s="2" t="s">
        <v>10</v>
      </c>
      <c r="E14673" s="2" t="str">
        <f>HYPERLINK("http://ts.21cn.com/tousu/show/id/1346280","http://ts.21cn.com/tousu/show/id/1346280")</f>
        <v>http://ts.21cn.com/tousu/show/id/1346280</v>
      </c>
      <c r="F14673" s="2" t="s">
        <v>11</v>
      </c>
      <c r="G14673" s="2" t="s">
        <v>15306</v>
      </c>
      <c r="H14673" s="2" t="s">
        <v>15307</v>
      </c>
    </row>
    <row r="14674" spans="1:8" ht="25.05" customHeight="1" x14ac:dyDescent="0.25">
      <c r="A14674" s="2" t="s">
        <v>8</v>
      </c>
      <c r="B14674" s="2" t="str">
        <f>HYPERLINK("http://ts.21cn.com/tousu/show/id/1346086","本人要求有鱼粮归还高额砍头息")</f>
        <v>本人要求有鱼粮归还高额砍头息</v>
      </c>
      <c r="C14674" s="2" t="s">
        <v>34</v>
      </c>
      <c r="D14674" s="2" t="s">
        <v>10</v>
      </c>
      <c r="E14674" s="2" t="str">
        <f>HYPERLINK("http://ts.21cn.com/tousu/show/id/1346086","http://ts.21cn.com/tousu/show/id/1346086")</f>
        <v>http://ts.21cn.com/tousu/show/id/1346086</v>
      </c>
      <c r="F14674" s="2" t="s">
        <v>11</v>
      </c>
      <c r="G14674" s="2" t="s">
        <v>15304</v>
      </c>
      <c r="H14674" s="2" t="s">
        <v>15305</v>
      </c>
    </row>
    <row r="14675" spans="1:8" ht="25.05" customHeight="1" x14ac:dyDescent="0.25">
      <c r="A14675" s="2" t="s">
        <v>8</v>
      </c>
      <c r="B14675" s="2" t="str">
        <f>HYPERLINK("http://ts.21cn.com/tousu/show/id/1346283","套路贷")</f>
        <v>套路贷</v>
      </c>
      <c r="C14675" s="2" t="s">
        <v>9</v>
      </c>
      <c r="D14675" s="2" t="s">
        <v>10</v>
      </c>
      <c r="E14675" s="2" t="str">
        <f>HYPERLINK("http://ts.21cn.com/tousu/show/id/1346283","http://ts.21cn.com/tousu/show/id/1346283")</f>
        <v>http://ts.21cn.com/tousu/show/id/1346283</v>
      </c>
      <c r="F14675" s="2" t="s">
        <v>11</v>
      </c>
      <c r="G14675" s="2" t="s">
        <v>15302</v>
      </c>
      <c r="H14675" s="2" t="s">
        <v>15303</v>
      </c>
    </row>
    <row r="14676" spans="1:8" ht="25.05" customHeight="1" x14ac:dyDescent="0.25">
      <c r="A14676" s="2" t="s">
        <v>8</v>
      </c>
      <c r="B14676" s="2" t="str">
        <f>HYPERLINK("http://ts.21cn.com/tousu/show/id/1346284","捷信违法催收")</f>
        <v>捷信违法催收</v>
      </c>
      <c r="C14676" s="2" t="s">
        <v>9</v>
      </c>
      <c r="D14676" s="2" t="s">
        <v>10</v>
      </c>
      <c r="E14676" s="2" t="str">
        <f>HYPERLINK("http://ts.21cn.com/tousu/show/id/1346284","http://ts.21cn.com/tousu/show/id/1346284")</f>
        <v>http://ts.21cn.com/tousu/show/id/1346284</v>
      </c>
      <c r="F14676" s="2" t="s">
        <v>11</v>
      </c>
      <c r="G14676" s="2" t="s">
        <v>15300</v>
      </c>
      <c r="H14676" s="2" t="s">
        <v>15301</v>
      </c>
    </row>
    <row r="14677" spans="1:8" ht="25.05" customHeight="1" x14ac:dyDescent="0.25">
      <c r="A14677" s="2" t="s">
        <v>8</v>
      </c>
      <c r="B14677" s="2" t="str">
        <f>HYPERLINK("http://ts.21cn.com/tousu/show/id/1346285","手机贷趣花分期")</f>
        <v>手机贷趣花分期</v>
      </c>
      <c r="C14677" s="2" t="s">
        <v>9</v>
      </c>
      <c r="D14677" s="2" t="s">
        <v>10</v>
      </c>
      <c r="E14677" s="2" t="str">
        <f>HYPERLINK("http://ts.21cn.com/tousu/show/id/1346285","http://ts.21cn.com/tousu/show/id/1346285")</f>
        <v>http://ts.21cn.com/tousu/show/id/1346285</v>
      </c>
      <c r="F14677" s="2" t="s">
        <v>11</v>
      </c>
      <c r="G14677" s="2" t="s">
        <v>15298</v>
      </c>
      <c r="H14677" s="2" t="s">
        <v>15299</v>
      </c>
    </row>
    <row r="14678" spans="1:8" ht="25.05" customHeight="1" x14ac:dyDescent="0.25">
      <c r="A14678" s="2" t="s">
        <v>8</v>
      </c>
      <c r="B14678" s="2" t="str">
        <f>HYPERLINK("http://ts.21cn.com/tousu/show/id/1346287","到期无法扣款，造成逾期")</f>
        <v>到期无法扣款，造成逾期</v>
      </c>
      <c r="C14678" s="2" t="s">
        <v>9</v>
      </c>
      <c r="D14678" s="2" t="s">
        <v>10</v>
      </c>
      <c r="E14678" s="2" t="str">
        <f>HYPERLINK("http://ts.21cn.com/tousu/show/id/1346287","http://ts.21cn.com/tousu/show/id/1346287")</f>
        <v>http://ts.21cn.com/tousu/show/id/1346287</v>
      </c>
      <c r="F14678" s="2" t="s">
        <v>11</v>
      </c>
      <c r="G14678" s="2" t="s">
        <v>15296</v>
      </c>
      <c r="H14678" s="2" t="s">
        <v>15297</v>
      </c>
    </row>
    <row r="14679" spans="1:8" ht="25.05" customHeight="1" x14ac:dyDescent="0.25">
      <c r="A14679" s="2" t="s">
        <v>8</v>
      </c>
      <c r="B14679" s="2" t="str">
        <f>HYPERLINK("http://ts.21cn.com/tousu/show/id/1346288","小黑鱼暴力催收恐吓家人")</f>
        <v>小黑鱼暴力催收恐吓家人</v>
      </c>
      <c r="C14679" s="2" t="s">
        <v>9</v>
      </c>
      <c r="D14679" s="2" t="s">
        <v>10</v>
      </c>
      <c r="E14679" s="2" t="str">
        <f>HYPERLINK("http://ts.21cn.com/tousu/show/id/1346288","http://ts.21cn.com/tousu/show/id/1346288")</f>
        <v>http://ts.21cn.com/tousu/show/id/1346288</v>
      </c>
      <c r="F14679" s="2" t="s">
        <v>11</v>
      </c>
      <c r="G14679" s="2" t="s">
        <v>15294</v>
      </c>
      <c r="H14679" s="2" t="s">
        <v>15295</v>
      </c>
    </row>
    <row r="14680" spans="1:8" ht="25.05" customHeight="1" x14ac:dyDescent="0.25">
      <c r="A14680" s="2" t="s">
        <v>8</v>
      </c>
      <c r="B14680" s="2" t="str">
        <f>HYPERLINK("http://ts.21cn.com/tousu/show/id/1346289","马上金融冒充公检法")</f>
        <v>马上金融冒充公检法</v>
      </c>
      <c r="C14680" s="2" t="s">
        <v>9</v>
      </c>
      <c r="D14680" s="2" t="s">
        <v>10</v>
      </c>
      <c r="E14680" s="2" t="str">
        <f>HYPERLINK("http://ts.21cn.com/tousu/show/id/1346289","http://ts.21cn.com/tousu/show/id/1346289")</f>
        <v>http://ts.21cn.com/tousu/show/id/1346289</v>
      </c>
      <c r="F14680" s="2" t="s">
        <v>11</v>
      </c>
      <c r="G14680" s="2" t="s">
        <v>15292</v>
      </c>
      <c r="H14680" s="2" t="s">
        <v>15293</v>
      </c>
    </row>
    <row r="14681" spans="1:8" ht="25.05" customHeight="1" x14ac:dyDescent="0.25">
      <c r="A14681" s="2" t="s">
        <v>8</v>
      </c>
      <c r="B14681" s="2" t="str">
        <f>HYPERLINK("http://ts.21cn.com/tousu/show/id/1346290","龙行天下虚假宣传误导办卡")</f>
        <v>龙行天下虚假宣传误导办卡</v>
      </c>
      <c r="C14681" s="2" t="s">
        <v>9</v>
      </c>
      <c r="D14681" s="2" t="s">
        <v>10</v>
      </c>
      <c r="E14681" s="2" t="str">
        <f>HYPERLINK("http://ts.21cn.com/tousu/show/id/1346290","http://ts.21cn.com/tousu/show/id/1346290")</f>
        <v>http://ts.21cn.com/tousu/show/id/1346290</v>
      </c>
      <c r="F14681" s="2" t="s">
        <v>11</v>
      </c>
      <c r="G14681" s="2" t="s">
        <v>15290</v>
      </c>
      <c r="H14681" s="2" t="s">
        <v>15291</v>
      </c>
    </row>
    <row r="14682" spans="1:8" ht="25.05" customHeight="1" x14ac:dyDescent="0.25">
      <c r="A14682" s="2" t="s">
        <v>8</v>
      </c>
      <c r="B14682" s="2" t="str">
        <f>HYPERLINK("http://ts.21cn.com/tousu/show/id/1346279","银监会诈骗调解360借条客服不配合，多次致电未解决诉求")</f>
        <v>银监会诈骗调解360借条客服不配合，多次致电未解决诉求</v>
      </c>
      <c r="C14682" s="2" t="s">
        <v>9</v>
      </c>
      <c r="D14682" s="2" t="s">
        <v>10</v>
      </c>
      <c r="E14682" s="2" t="str">
        <f>HYPERLINK("http://ts.21cn.com/tousu/show/id/1346279","http://ts.21cn.com/tousu/show/id/1346279")</f>
        <v>http://ts.21cn.com/tousu/show/id/1346279</v>
      </c>
      <c r="F14682" s="2" t="s">
        <v>11</v>
      </c>
      <c r="G14682" s="2" t="s">
        <v>15288</v>
      </c>
      <c r="H14682" s="2" t="s">
        <v>15289</v>
      </c>
    </row>
    <row r="14683" spans="1:8" ht="25.05" customHeight="1" x14ac:dyDescent="0.25">
      <c r="A14683" s="2" t="s">
        <v>8</v>
      </c>
      <c r="B14683" s="2" t="str">
        <f>HYPERLINK("http://ts.21cn.com/tousu/show/id/1346291","恒易贷到期还款日当天就显示逾期，一直无法操作还款，人工电话，App人工客服全部忙线无法接通")</f>
        <v>恒易贷到期还款日当天就显示逾期，一直无法操作还款，人工电话，App人工客服全部忙线无法接通</v>
      </c>
      <c r="C14683" s="2" t="s">
        <v>9</v>
      </c>
      <c r="D14683" s="2" t="s">
        <v>10</v>
      </c>
      <c r="E14683" s="2" t="str">
        <f>HYPERLINK("http://ts.21cn.com/tousu/show/id/1346291","http://ts.21cn.com/tousu/show/id/1346291")</f>
        <v>http://ts.21cn.com/tousu/show/id/1346291</v>
      </c>
      <c r="F14683" s="2" t="s">
        <v>11</v>
      </c>
      <c r="G14683" s="2" t="s">
        <v>15286</v>
      </c>
      <c r="H14683" s="2" t="s">
        <v>15287</v>
      </c>
    </row>
    <row r="14684" spans="1:8" ht="25.05" customHeight="1" x14ac:dyDescent="0.25">
      <c r="A14684" s="2" t="s">
        <v>8</v>
      </c>
      <c r="B14684" s="2" t="str">
        <f>HYPERLINK("http://ts.21cn.com/tousu/show/id/1346259","我还完款不销账！")</f>
        <v>我还完款不销账！</v>
      </c>
      <c r="C14684" s="2" t="s">
        <v>9</v>
      </c>
      <c r="D14684" s="2" t="s">
        <v>10</v>
      </c>
      <c r="E14684" s="2" t="str">
        <f>HYPERLINK("http://ts.21cn.com/tousu/show/id/1346259","http://ts.21cn.com/tousu/show/id/1346259")</f>
        <v>http://ts.21cn.com/tousu/show/id/1346259</v>
      </c>
      <c r="F14684" s="2" t="s">
        <v>11</v>
      </c>
      <c r="G14684" s="2" t="s">
        <v>15284</v>
      </c>
      <c r="H14684" s="2" t="s">
        <v>15285</v>
      </c>
    </row>
    <row r="14685" spans="1:8" ht="25.05" customHeight="1" x14ac:dyDescent="0.25">
      <c r="A14685" s="2" t="s">
        <v>8</v>
      </c>
      <c r="B14685" s="2" t="str">
        <f>HYPERLINK("http://ts.21cn.com/tousu/show/id/1346292","新橙优品高额利息协商还款")</f>
        <v>新橙优品高额利息协商还款</v>
      </c>
      <c r="C14685" s="2" t="s">
        <v>9</v>
      </c>
      <c r="D14685" s="2" t="s">
        <v>10</v>
      </c>
      <c r="E14685" s="2" t="str">
        <f>HYPERLINK("http://ts.21cn.com/tousu/show/id/1346292","http://ts.21cn.com/tousu/show/id/1346292")</f>
        <v>http://ts.21cn.com/tousu/show/id/1346292</v>
      </c>
      <c r="F14685" s="2" t="s">
        <v>11</v>
      </c>
      <c r="G14685" s="2" t="s">
        <v>15282</v>
      </c>
      <c r="H14685" s="2" t="s">
        <v>15283</v>
      </c>
    </row>
    <row r="14686" spans="1:8" ht="25.05" customHeight="1" x14ac:dyDescent="0.25">
      <c r="A14686" s="2" t="s">
        <v>8</v>
      </c>
      <c r="B14686" s="2" t="str">
        <f>HYPERLINK("http://ts.21cn.com/tousu/show/id/1346294","拍拍贷延期")</f>
        <v>拍拍贷延期</v>
      </c>
      <c r="C14686" s="2" t="s">
        <v>34</v>
      </c>
      <c r="D14686" s="2" t="s">
        <v>10</v>
      </c>
      <c r="E14686" s="2" t="str">
        <f>HYPERLINK("http://ts.21cn.com/tousu/show/id/1346294","http://ts.21cn.com/tousu/show/id/1346294")</f>
        <v>http://ts.21cn.com/tousu/show/id/1346294</v>
      </c>
      <c r="F14686" s="2" t="s">
        <v>11</v>
      </c>
      <c r="G14686" s="2" t="s">
        <v>15280</v>
      </c>
      <c r="H14686" s="2" t="s">
        <v>15281</v>
      </c>
    </row>
    <row r="14687" spans="1:8" ht="25.05" customHeight="1" x14ac:dyDescent="0.25">
      <c r="A14687" s="2" t="s">
        <v>8</v>
      </c>
      <c r="B14687" s="2" t="str">
        <f>HYPERLINK("http://ts.21cn.com/tousu/show/id/1346295","合同欺诈，私自扣款")</f>
        <v>合同欺诈，私自扣款</v>
      </c>
      <c r="C14687" s="2" t="s">
        <v>9</v>
      </c>
      <c r="D14687" s="2" t="s">
        <v>10</v>
      </c>
      <c r="E14687" s="2" t="str">
        <f>HYPERLINK("http://ts.21cn.com/tousu/show/id/1346295","http://ts.21cn.com/tousu/show/id/1346295")</f>
        <v>http://ts.21cn.com/tousu/show/id/1346295</v>
      </c>
      <c r="F14687" s="2" t="s">
        <v>11</v>
      </c>
      <c r="G14687" s="2" t="s">
        <v>15278</v>
      </c>
      <c r="H14687" s="2" t="s">
        <v>15279</v>
      </c>
    </row>
    <row r="14688" spans="1:8" ht="25.05" customHeight="1" x14ac:dyDescent="0.25">
      <c r="A14688" s="2" t="s">
        <v>8</v>
      </c>
      <c r="B14688" s="2" t="str">
        <f>HYPERLINK("http://ts.21cn.com/tousu/show/id/1346298","小花钱包暴力催收，无视法律法规，涉嫌套路贷")</f>
        <v>小花钱包暴力催收，无视法律法规，涉嫌套路贷</v>
      </c>
      <c r="C14688" s="2" t="s">
        <v>9</v>
      </c>
      <c r="D14688" s="2" t="s">
        <v>10</v>
      </c>
      <c r="E14688" s="2" t="str">
        <f>HYPERLINK("http://ts.21cn.com/tousu/show/id/1346298","http://ts.21cn.com/tousu/show/id/1346298")</f>
        <v>http://ts.21cn.com/tousu/show/id/1346298</v>
      </c>
      <c r="F14688" s="2" t="s">
        <v>11</v>
      </c>
      <c r="G14688" s="2" t="s">
        <v>15276</v>
      </c>
      <c r="H14688" s="2" t="s">
        <v>15277</v>
      </c>
    </row>
    <row r="14689" spans="1:8" ht="25.05" customHeight="1" x14ac:dyDescent="0.25">
      <c r="A14689" s="2" t="s">
        <v>8</v>
      </c>
      <c r="B14689" s="2" t="str">
        <f>HYPERLINK("http://ts.21cn.com/tousu/show/id/1346300","平安普惠高额利息")</f>
        <v>平安普惠高额利息</v>
      </c>
      <c r="C14689" s="2" t="s">
        <v>9</v>
      </c>
      <c r="D14689" s="2" t="s">
        <v>10</v>
      </c>
      <c r="E14689" s="2" t="str">
        <f>HYPERLINK("http://ts.21cn.com/tousu/show/id/1346300","http://ts.21cn.com/tousu/show/id/1346300")</f>
        <v>http://ts.21cn.com/tousu/show/id/1346300</v>
      </c>
      <c r="F14689" s="2" t="s">
        <v>11</v>
      </c>
      <c r="G14689" s="2" t="s">
        <v>15274</v>
      </c>
      <c r="H14689" s="2" t="s">
        <v>15275</v>
      </c>
    </row>
    <row r="14690" spans="1:8" ht="25.05" customHeight="1" x14ac:dyDescent="0.25">
      <c r="A14690" s="2" t="s">
        <v>8</v>
      </c>
      <c r="B14690" s="2" t="str">
        <f>HYPERLINK("http://ts.21cn.com/tousu/show/id/1346301","小赢e贷收取保费")</f>
        <v>小赢e贷收取保费</v>
      </c>
      <c r="C14690" s="2" t="s">
        <v>9</v>
      </c>
      <c r="D14690" s="2" t="s">
        <v>10</v>
      </c>
      <c r="E14690" s="2" t="str">
        <f>HYPERLINK("http://ts.21cn.com/tousu/show/id/1346301","http://ts.21cn.com/tousu/show/id/1346301")</f>
        <v>http://ts.21cn.com/tousu/show/id/1346301</v>
      </c>
      <c r="F14690" s="2" t="s">
        <v>11</v>
      </c>
      <c r="G14690" s="2" t="s">
        <v>15272</v>
      </c>
      <c r="H14690" s="2" t="s">
        <v>15273</v>
      </c>
    </row>
    <row r="14691" spans="1:8" ht="25.05" customHeight="1" x14ac:dyDescent="0.25">
      <c r="A14691" s="2" t="s">
        <v>8</v>
      </c>
      <c r="B14691" s="2" t="str">
        <f>HYPERLINK("http://ts.21cn.com/tousu/show/id/1346302","龙分期逾期费用乱收，催收态度恶劣")</f>
        <v>龙分期逾期费用乱收，催收态度恶劣</v>
      </c>
      <c r="C14691" s="2" t="s">
        <v>9</v>
      </c>
      <c r="D14691" s="2" t="s">
        <v>10</v>
      </c>
      <c r="E14691" s="2" t="str">
        <f>HYPERLINK("http://ts.21cn.com/tousu/show/id/1346302","http://ts.21cn.com/tousu/show/id/1346302")</f>
        <v>http://ts.21cn.com/tousu/show/id/1346302</v>
      </c>
      <c r="F14691" s="2" t="s">
        <v>11</v>
      </c>
      <c r="G14691" s="2" t="s">
        <v>15270</v>
      </c>
      <c r="H14691" s="2" t="s">
        <v>15271</v>
      </c>
    </row>
    <row r="14692" spans="1:8" ht="25.05" customHeight="1" x14ac:dyDescent="0.25">
      <c r="A14692" s="2" t="s">
        <v>8</v>
      </c>
      <c r="B14692" s="2" t="str">
        <f>HYPERLINK("http://ts.21cn.com/tousu/show/id/1346303","恶意催收，我高利贷")</f>
        <v>恶意催收，我高利贷</v>
      </c>
      <c r="C14692" s="2" t="s">
        <v>9</v>
      </c>
      <c r="D14692" s="2" t="s">
        <v>10</v>
      </c>
      <c r="E14692" s="2" t="str">
        <f>HYPERLINK("http://ts.21cn.com/tousu/show/id/1346303","http://ts.21cn.com/tousu/show/id/1346303")</f>
        <v>http://ts.21cn.com/tousu/show/id/1346303</v>
      </c>
      <c r="F14692" s="2" t="s">
        <v>11</v>
      </c>
      <c r="G14692" s="2" t="s">
        <v>15268</v>
      </c>
      <c r="H14692" s="2" t="s">
        <v>15269</v>
      </c>
    </row>
    <row r="14693" spans="1:8" ht="25.05" customHeight="1" x14ac:dyDescent="0.25">
      <c r="A14693" s="2" t="s">
        <v>8</v>
      </c>
      <c r="B14693" s="2" t="str">
        <f>HYPERLINK("http://ts.21cn.com/tousu/show/id/1346293","变相刷单忽悠，收款方是拼多多")</f>
        <v>变相刷单忽悠，收款方是拼多多</v>
      </c>
      <c r="C14693" s="2" t="s">
        <v>9</v>
      </c>
      <c r="D14693" s="2" t="s">
        <v>10</v>
      </c>
      <c r="E14693" s="2" t="str">
        <f>HYPERLINK("http://ts.21cn.com/tousu/show/id/1346293","http://ts.21cn.com/tousu/show/id/1346293")</f>
        <v>http://ts.21cn.com/tousu/show/id/1346293</v>
      </c>
      <c r="F14693" s="2" t="s">
        <v>11</v>
      </c>
      <c r="G14693" s="2" t="s">
        <v>15266</v>
      </c>
      <c r="H14693" s="2" t="s">
        <v>15267</v>
      </c>
    </row>
    <row r="14694" spans="1:8" ht="25.05" customHeight="1" x14ac:dyDescent="0.25">
      <c r="A14694" s="2" t="s">
        <v>8</v>
      </c>
      <c r="B14694" s="2" t="str">
        <f>HYPERLINK("http://ts.21cn.com/tousu/show/id/1346304","（成都大悦城店）黄记煌三汁焖锅，工作人员和店长随意辱骂顾客，区域负责人也袒护，平民老百姓无处伸冤")</f>
        <v>（成都大悦城店）黄记煌三汁焖锅，工作人员和店长随意辱骂顾客，区域负责人也袒护，平民老百姓无处伸冤</v>
      </c>
      <c r="C14694" s="2" t="s">
        <v>9</v>
      </c>
      <c r="D14694" s="2" t="s">
        <v>10</v>
      </c>
      <c r="E14694" s="2" t="str">
        <f>HYPERLINK("http://ts.21cn.com/tousu/show/id/1346304","http://ts.21cn.com/tousu/show/id/1346304")</f>
        <v>http://ts.21cn.com/tousu/show/id/1346304</v>
      </c>
      <c r="F14694" s="2" t="s">
        <v>11</v>
      </c>
      <c r="G14694" s="2" t="s">
        <v>15264</v>
      </c>
      <c r="H14694" s="2" t="s">
        <v>15265</v>
      </c>
    </row>
    <row r="14695" spans="1:8" ht="25.05" customHeight="1" x14ac:dyDescent="0.25">
      <c r="A14695" s="2" t="s">
        <v>8</v>
      </c>
      <c r="B14695" s="2" t="str">
        <f>HYPERLINK("http://ts.21cn.com/tousu/show/id/1346305","钱包易贷联合长治银行收取高额砍头息")</f>
        <v>钱包易贷联合长治银行收取高额砍头息</v>
      </c>
      <c r="C14695" s="2" t="s">
        <v>9</v>
      </c>
      <c r="D14695" s="2" t="s">
        <v>10</v>
      </c>
      <c r="E14695" s="2" t="str">
        <f>HYPERLINK("http://ts.21cn.com/tousu/show/id/1346305","http://ts.21cn.com/tousu/show/id/1346305")</f>
        <v>http://ts.21cn.com/tousu/show/id/1346305</v>
      </c>
      <c r="F14695" s="2" t="s">
        <v>11</v>
      </c>
      <c r="G14695" s="2" t="s">
        <v>15262</v>
      </c>
      <c r="H14695" s="2" t="s">
        <v>15263</v>
      </c>
    </row>
    <row r="14696" spans="1:8" ht="25.05" customHeight="1" x14ac:dyDescent="0.25">
      <c r="A14696" s="2" t="s">
        <v>8</v>
      </c>
      <c r="B14696" s="2" t="str">
        <f>HYPERLINK("http://ts.21cn.com/tousu/show/id/1346306","招商银行信用卡不合理费用")</f>
        <v>招商银行信用卡不合理费用</v>
      </c>
      <c r="C14696" s="2" t="s">
        <v>9</v>
      </c>
      <c r="D14696" s="2" t="s">
        <v>10</v>
      </c>
      <c r="E14696" s="2" t="str">
        <f>HYPERLINK("http://ts.21cn.com/tousu/show/id/1346306","http://ts.21cn.com/tousu/show/id/1346306")</f>
        <v>http://ts.21cn.com/tousu/show/id/1346306</v>
      </c>
      <c r="F14696" s="2" t="s">
        <v>11</v>
      </c>
      <c r="G14696" s="2" t="s">
        <v>15260</v>
      </c>
      <c r="H14696" s="2" t="s">
        <v>15261</v>
      </c>
    </row>
    <row r="14697" spans="1:8" ht="25.05" customHeight="1" x14ac:dyDescent="0.25">
      <c r="A14697" s="2" t="s">
        <v>8</v>
      </c>
      <c r="B14697" s="2" t="str">
        <f>HYPERLINK("http://ts.21cn.com/tousu/show/id/1346307","新橙优品砍头息。威胁。改还款时间")</f>
        <v>新橙优品砍头息。威胁。改还款时间</v>
      </c>
      <c r="C14697" s="2" t="s">
        <v>9</v>
      </c>
      <c r="D14697" s="2" t="s">
        <v>10</v>
      </c>
      <c r="E14697" s="2" t="str">
        <f>HYPERLINK("http://ts.21cn.com/tousu/show/id/1346307","http://ts.21cn.com/tousu/show/id/1346307")</f>
        <v>http://ts.21cn.com/tousu/show/id/1346307</v>
      </c>
      <c r="F14697" s="2" t="s">
        <v>11</v>
      </c>
      <c r="G14697" s="2" t="s">
        <v>15258</v>
      </c>
      <c r="H14697" s="2" t="s">
        <v>15259</v>
      </c>
    </row>
    <row r="14698" spans="1:8" ht="25.05" customHeight="1" x14ac:dyDescent="0.25">
      <c r="A14698" s="2" t="s">
        <v>8</v>
      </c>
      <c r="B14698" s="2" t="str">
        <f>HYPERLINK("http://ts.21cn.com/tousu/show/id/1346308","道歉，停止骚扰")</f>
        <v>道歉，停止骚扰</v>
      </c>
      <c r="C14698" s="2" t="s">
        <v>34</v>
      </c>
      <c r="D14698" s="2" t="s">
        <v>10</v>
      </c>
      <c r="E14698" s="2" t="str">
        <f>HYPERLINK("http://ts.21cn.com/tousu/show/id/1346308","http://ts.21cn.com/tousu/show/id/1346308")</f>
        <v>http://ts.21cn.com/tousu/show/id/1346308</v>
      </c>
      <c r="F14698" s="2" t="s">
        <v>11</v>
      </c>
      <c r="G14698" s="2" t="s">
        <v>15256</v>
      </c>
      <c r="H14698" s="2" t="s">
        <v>15257</v>
      </c>
    </row>
    <row r="14699" spans="1:8" ht="25.05" customHeight="1" x14ac:dyDescent="0.25">
      <c r="A14699" s="2" t="s">
        <v>8</v>
      </c>
      <c r="B14699" s="2" t="str">
        <f>HYPERLINK("http://ts.21cn.com/tousu/show/id/1346312","电话骚扰亲戚朋友，群发信息")</f>
        <v>电话骚扰亲戚朋友，群发信息</v>
      </c>
      <c r="C14699" s="2" t="s">
        <v>9</v>
      </c>
      <c r="D14699" s="2" t="s">
        <v>10</v>
      </c>
      <c r="E14699" s="2" t="str">
        <f>HYPERLINK("http://ts.21cn.com/tousu/show/id/1346312","http://ts.21cn.com/tousu/show/id/1346312")</f>
        <v>http://ts.21cn.com/tousu/show/id/1346312</v>
      </c>
      <c r="F14699" s="2" t="s">
        <v>11</v>
      </c>
      <c r="G14699" s="2" t="s">
        <v>15254</v>
      </c>
      <c r="H14699" s="2" t="s">
        <v>15255</v>
      </c>
    </row>
    <row r="14700" spans="1:8" ht="25.05" customHeight="1" x14ac:dyDescent="0.25">
      <c r="A14700" s="2" t="s">
        <v>8</v>
      </c>
      <c r="B14700" s="2" t="str">
        <f>HYPERLINK("http://ts.21cn.com/tousu/show/id/1346314","玖富叮当高利贷，暴力催收，合同欺诈")</f>
        <v>玖富叮当高利贷，暴力催收，合同欺诈</v>
      </c>
      <c r="C14700" s="2" t="s">
        <v>9</v>
      </c>
      <c r="D14700" s="2" t="s">
        <v>10</v>
      </c>
      <c r="E14700" s="2" t="str">
        <f>HYPERLINK("http://ts.21cn.com/tousu/show/id/1346314","http://ts.21cn.com/tousu/show/id/1346314")</f>
        <v>http://ts.21cn.com/tousu/show/id/1346314</v>
      </c>
      <c r="F14700" s="2" t="s">
        <v>11</v>
      </c>
      <c r="G14700" s="2" t="s">
        <v>15252</v>
      </c>
      <c r="H14700" s="2" t="s">
        <v>15253</v>
      </c>
    </row>
    <row r="14701" spans="1:8" ht="25.05" customHeight="1" x14ac:dyDescent="0.25">
      <c r="A14701" s="2" t="s">
        <v>8</v>
      </c>
      <c r="B14701" s="2" t="str">
        <f>HYPERLINK("http://ts.21cn.com/tousu/show/id/1346315","广发信用卡恶意催收")</f>
        <v>广发信用卡恶意催收</v>
      </c>
      <c r="C14701" s="2" t="s">
        <v>9</v>
      </c>
      <c r="D14701" s="2" t="s">
        <v>10</v>
      </c>
      <c r="E14701" s="2" t="str">
        <f>HYPERLINK("http://ts.21cn.com/tousu/show/id/1346315","http://ts.21cn.com/tousu/show/id/1346315")</f>
        <v>http://ts.21cn.com/tousu/show/id/1346315</v>
      </c>
      <c r="F14701" s="2" t="s">
        <v>11</v>
      </c>
      <c r="G14701" s="2" t="s">
        <v>15250</v>
      </c>
      <c r="H14701" s="2" t="s">
        <v>15251</v>
      </c>
    </row>
    <row r="14702" spans="1:8" ht="25.05" customHeight="1" x14ac:dyDescent="0.25">
      <c r="A14702" s="2" t="s">
        <v>8</v>
      </c>
      <c r="B14702" s="2" t="str">
        <f>HYPERLINK("http://ts.21cn.com/tousu/show/id/1346316","平安普惠在还款日当天言语威胁，透露个人信息")</f>
        <v>平安普惠在还款日当天言语威胁，透露个人信息</v>
      </c>
      <c r="C14702" s="2" t="s">
        <v>9</v>
      </c>
      <c r="D14702" s="2" t="s">
        <v>10</v>
      </c>
      <c r="E14702" s="2" t="str">
        <f>HYPERLINK("http://ts.21cn.com/tousu/show/id/1346316","http://ts.21cn.com/tousu/show/id/1346316")</f>
        <v>http://ts.21cn.com/tousu/show/id/1346316</v>
      </c>
      <c r="F14702" s="2" t="s">
        <v>11</v>
      </c>
      <c r="G14702" s="2" t="s">
        <v>15248</v>
      </c>
      <c r="H14702" s="2" t="s">
        <v>15249</v>
      </c>
    </row>
    <row r="14703" spans="1:8" ht="25.05" customHeight="1" x14ac:dyDescent="0.25">
      <c r="A14703" s="2" t="s">
        <v>8</v>
      </c>
      <c r="B14703" s="2" t="str">
        <f>HYPERLINK("http://ts.21cn.com/tousu/show/id/1346317","国美美借高利贷，暴力催收")</f>
        <v>国美美借高利贷，暴力催收</v>
      </c>
      <c r="C14703" s="2" t="s">
        <v>9</v>
      </c>
      <c r="D14703" s="2" t="s">
        <v>10</v>
      </c>
      <c r="E14703" s="2" t="str">
        <f>HYPERLINK("http://ts.21cn.com/tousu/show/id/1346317","http://ts.21cn.com/tousu/show/id/1346317")</f>
        <v>http://ts.21cn.com/tousu/show/id/1346317</v>
      </c>
      <c r="F14703" s="2" t="s">
        <v>11</v>
      </c>
      <c r="G14703" s="2" t="s">
        <v>15246</v>
      </c>
      <c r="H14703" s="2" t="s">
        <v>15247</v>
      </c>
    </row>
    <row r="14704" spans="1:8" ht="25.05" customHeight="1" x14ac:dyDescent="0.25">
      <c r="A14704" s="2" t="s">
        <v>8</v>
      </c>
      <c r="B14704" s="2" t="str">
        <f>HYPERLINK("http://ts.21cn.com/tousu/show/id/1346318","暴力催收威胁恐吓")</f>
        <v>暴力催收威胁恐吓</v>
      </c>
      <c r="C14704" s="2" t="s">
        <v>9</v>
      </c>
      <c r="D14704" s="2" t="s">
        <v>10</v>
      </c>
      <c r="E14704" s="2" t="str">
        <f>HYPERLINK("http://ts.21cn.com/tousu/show/id/1346318","http://ts.21cn.com/tousu/show/id/1346318")</f>
        <v>http://ts.21cn.com/tousu/show/id/1346318</v>
      </c>
      <c r="F14704" s="2" t="s">
        <v>11</v>
      </c>
      <c r="G14704" s="2" t="s">
        <v>15244</v>
      </c>
      <c r="H14704" s="2" t="s">
        <v>15245</v>
      </c>
    </row>
    <row r="14705" spans="1:8" ht="25.05" customHeight="1" x14ac:dyDescent="0.25">
      <c r="A14705" s="2" t="s">
        <v>8</v>
      </c>
      <c r="B14705" s="2" t="str">
        <f>HYPERLINK("http://ts.21cn.com/tousu/show/id/1346319","百万钱包高利贷砍头息")</f>
        <v>百万钱包高利贷砍头息</v>
      </c>
      <c r="C14705" s="2" t="s">
        <v>9</v>
      </c>
      <c r="D14705" s="2" t="s">
        <v>10</v>
      </c>
      <c r="E14705" s="2" t="str">
        <f>HYPERLINK("http://ts.21cn.com/tousu/show/id/1346319","http://ts.21cn.com/tousu/show/id/1346319")</f>
        <v>http://ts.21cn.com/tousu/show/id/1346319</v>
      </c>
      <c r="F14705" s="2" t="s">
        <v>11</v>
      </c>
      <c r="G14705" s="2" t="s">
        <v>15242</v>
      </c>
      <c r="H14705" s="2" t="s">
        <v>15243</v>
      </c>
    </row>
    <row r="14706" spans="1:8" ht="25.05" customHeight="1" x14ac:dyDescent="0.25">
      <c r="A14706" s="2" t="s">
        <v>8</v>
      </c>
      <c r="B14706" s="2" t="str">
        <f>HYPERLINK("http://ts.21cn.com/tousu/show/id/1346321","恒信易贷套路贷，骚扰催收")</f>
        <v>恒信易贷套路贷，骚扰催收</v>
      </c>
      <c r="C14706" s="2" t="s">
        <v>9</v>
      </c>
      <c r="D14706" s="2" t="s">
        <v>10</v>
      </c>
      <c r="E14706" s="2" t="str">
        <f>HYPERLINK("http://ts.21cn.com/tousu/show/id/1346321","http://ts.21cn.com/tousu/show/id/1346321")</f>
        <v>http://ts.21cn.com/tousu/show/id/1346321</v>
      </c>
      <c r="F14706" s="2" t="s">
        <v>11</v>
      </c>
      <c r="G14706" s="2" t="s">
        <v>15240</v>
      </c>
      <c r="H14706" s="2" t="s">
        <v>15241</v>
      </c>
    </row>
    <row r="14707" spans="1:8" ht="25.05" customHeight="1" x14ac:dyDescent="0.25">
      <c r="A14707" s="2" t="s">
        <v>8</v>
      </c>
      <c r="B14707" s="2" t="str">
        <f>HYPERLINK("http://ts.21cn.com/tousu/show/id/1346322","交通银行多次拒绝协商，还请第三方骚扰，需要收高额利息")</f>
        <v>交通银行多次拒绝协商，还请第三方骚扰，需要收高额利息</v>
      </c>
      <c r="C14707" s="2" t="s">
        <v>9</v>
      </c>
      <c r="D14707" s="2" t="s">
        <v>10</v>
      </c>
      <c r="E14707" s="2" t="str">
        <f>HYPERLINK("http://ts.21cn.com/tousu/show/id/1346322","http://ts.21cn.com/tousu/show/id/1346322")</f>
        <v>http://ts.21cn.com/tousu/show/id/1346322</v>
      </c>
      <c r="F14707" s="2" t="s">
        <v>11</v>
      </c>
      <c r="G14707" s="2" t="s">
        <v>15238</v>
      </c>
      <c r="H14707" s="2" t="s">
        <v>15239</v>
      </c>
    </row>
    <row r="14708" spans="1:8" ht="25.05" customHeight="1" x14ac:dyDescent="0.25">
      <c r="A14708" s="2" t="s">
        <v>8</v>
      </c>
      <c r="B14708" s="2" t="str">
        <f>HYPERLINK("http://ts.21cn.com/tousu/show/id/1346323","营润融科技公司请退还我的资金")</f>
        <v>营润融科技公司请退还我的资金</v>
      </c>
      <c r="C14708" s="2" t="s">
        <v>9</v>
      </c>
      <c r="D14708" s="2" t="s">
        <v>10</v>
      </c>
      <c r="E14708" s="2" t="str">
        <f>HYPERLINK("http://ts.21cn.com/tousu/show/id/1346323","http://ts.21cn.com/tousu/show/id/1346323")</f>
        <v>http://ts.21cn.com/tousu/show/id/1346323</v>
      </c>
      <c r="F14708" s="2" t="s">
        <v>11</v>
      </c>
      <c r="G14708" s="2" t="s">
        <v>15236</v>
      </c>
      <c r="H14708" s="2" t="s">
        <v>15237</v>
      </c>
    </row>
    <row r="14709" spans="1:8" ht="25.05" customHeight="1" x14ac:dyDescent="0.25">
      <c r="A14709" s="2" t="s">
        <v>8</v>
      </c>
      <c r="B14709" s="2" t="str">
        <f>HYPERLINK("http://ts.21cn.com/tousu/show/id/1336292","京东的微信代付支付系统漏洞导致损失900元")</f>
        <v>京东的微信代付支付系统漏洞导致损失900元</v>
      </c>
      <c r="C14709" s="2" t="s">
        <v>9</v>
      </c>
      <c r="D14709" s="2" t="s">
        <v>10</v>
      </c>
      <c r="E14709" s="2" t="str">
        <f>HYPERLINK("http://ts.21cn.com/tousu/show/id/1336292","http://ts.21cn.com/tousu/show/id/1336292")</f>
        <v>http://ts.21cn.com/tousu/show/id/1336292</v>
      </c>
      <c r="F14709" s="2" t="s">
        <v>11</v>
      </c>
      <c r="G14709" s="2" t="s">
        <v>15234</v>
      </c>
      <c r="H14709" s="2" t="s">
        <v>15235</v>
      </c>
    </row>
    <row r="14710" spans="1:8" ht="25.05" customHeight="1" x14ac:dyDescent="0.25">
      <c r="A14710" s="2" t="s">
        <v>8</v>
      </c>
      <c r="B14710" s="2" t="str">
        <f>HYPERLINK("http://ts.21cn.com/tousu/show/id/1346324","乐刷来付吧七千元钱未到帐客服不回消息电话不接")</f>
        <v>乐刷来付吧七千元钱未到帐客服不回消息电话不接</v>
      </c>
      <c r="C14710" s="2" t="s">
        <v>9</v>
      </c>
      <c r="D14710" s="2" t="s">
        <v>10</v>
      </c>
      <c r="E14710" s="2" t="str">
        <f>HYPERLINK("http://ts.21cn.com/tousu/show/id/1346324","http://ts.21cn.com/tousu/show/id/1346324")</f>
        <v>http://ts.21cn.com/tousu/show/id/1346324</v>
      </c>
      <c r="F14710" s="2" t="s">
        <v>11</v>
      </c>
      <c r="G14710" s="2" t="s">
        <v>15232</v>
      </c>
      <c r="H14710" s="2" t="s">
        <v>15233</v>
      </c>
    </row>
    <row r="14711" spans="1:8" ht="25.05" customHeight="1" x14ac:dyDescent="0.25">
      <c r="A14711" s="2" t="s">
        <v>8</v>
      </c>
      <c r="B14711" s="2" t="str">
        <f>HYPERLINK("http://ts.21cn.com/tousu/show/id/1346325","跟多享金汇平台协商还款，按本金处理")</f>
        <v>跟多享金汇平台协商还款，按本金处理</v>
      </c>
      <c r="C14711" s="2" t="s">
        <v>34</v>
      </c>
      <c r="D14711" s="2" t="s">
        <v>10</v>
      </c>
      <c r="E14711" s="2" t="str">
        <f>HYPERLINK("http://ts.21cn.com/tousu/show/id/1346325","http://ts.21cn.com/tousu/show/id/1346325")</f>
        <v>http://ts.21cn.com/tousu/show/id/1346325</v>
      </c>
      <c r="F14711" s="2" t="s">
        <v>11</v>
      </c>
      <c r="G14711" s="2" t="s">
        <v>15230</v>
      </c>
      <c r="H14711" s="2" t="s">
        <v>15231</v>
      </c>
    </row>
    <row r="14712" spans="1:8" ht="25.05" customHeight="1" x14ac:dyDescent="0.25">
      <c r="A14712" s="2" t="s">
        <v>8</v>
      </c>
      <c r="B14712" s="2" t="str">
        <f>HYPERLINK("http://ts.21cn.com/tousu/show/id/1346326","未经同意私自扣款")</f>
        <v>未经同意私自扣款</v>
      </c>
      <c r="C14712" s="2" t="s">
        <v>9</v>
      </c>
      <c r="D14712" s="2" t="s">
        <v>10</v>
      </c>
      <c r="E14712" s="2" t="str">
        <f>HYPERLINK("http://ts.21cn.com/tousu/show/id/1346326","http://ts.21cn.com/tousu/show/id/1346326")</f>
        <v>http://ts.21cn.com/tousu/show/id/1346326</v>
      </c>
      <c r="F14712" s="2" t="s">
        <v>11</v>
      </c>
      <c r="G14712" s="2" t="s">
        <v>15228</v>
      </c>
      <c r="H14712" s="2" t="s">
        <v>15229</v>
      </c>
    </row>
    <row r="14713" spans="1:8" ht="25.05" customHeight="1" x14ac:dyDescent="0.25">
      <c r="A14713" s="2" t="s">
        <v>8</v>
      </c>
      <c r="B14713" s="2" t="str">
        <f>HYPERLINK("http://ts.21cn.com/tousu/show/id/1346327","及贷投诉客服态度恶劣，无视法律法规，已经录音！")</f>
        <v>及贷投诉客服态度恶劣，无视法律法规，已经录音！</v>
      </c>
      <c r="C14713" s="2" t="s">
        <v>9</v>
      </c>
      <c r="D14713" s="2" t="s">
        <v>10</v>
      </c>
      <c r="E14713" s="2" t="str">
        <f>HYPERLINK("http://ts.21cn.com/tousu/show/id/1346327","http://ts.21cn.com/tousu/show/id/1346327")</f>
        <v>http://ts.21cn.com/tousu/show/id/1346327</v>
      </c>
      <c r="F14713" s="2" t="s">
        <v>11</v>
      </c>
      <c r="G14713" s="2" t="s">
        <v>15226</v>
      </c>
      <c r="H14713" s="2" t="s">
        <v>15227</v>
      </c>
    </row>
    <row r="14714" spans="1:8" ht="25.05" customHeight="1" x14ac:dyDescent="0.25">
      <c r="A14714" s="2" t="s">
        <v>8</v>
      </c>
      <c r="B14714" s="2" t="str">
        <f>HYPERLINK("http://ts.21cn.com/tousu/show/id/1346328","在月光侠分期借款，借款3000元的实际到账2100元，合同金额写3000元的，其中900元直接砍头息，没有到账。")</f>
        <v>在月光侠分期借款，借款3000元的实际到账2100元，合同金额写3000元的，其中900元直接砍头息，没有到账。</v>
      </c>
      <c r="C14714" s="2" t="s">
        <v>9</v>
      </c>
      <c r="D14714" s="2" t="s">
        <v>10</v>
      </c>
      <c r="E14714" s="2" t="str">
        <f>HYPERLINK("http://ts.21cn.com/tousu/show/id/1346328","http://ts.21cn.com/tousu/show/id/1346328")</f>
        <v>http://ts.21cn.com/tousu/show/id/1346328</v>
      </c>
      <c r="F14714" s="2" t="s">
        <v>11</v>
      </c>
      <c r="G14714" s="2" t="s">
        <v>15224</v>
      </c>
      <c r="H14714" s="2" t="s">
        <v>15225</v>
      </c>
    </row>
    <row r="14715" spans="1:8" ht="25.05" customHeight="1" x14ac:dyDescent="0.25">
      <c r="A14715" s="2" t="s">
        <v>8</v>
      </c>
      <c r="B14715" s="2" t="str">
        <f>HYPERLINK("http://ts.21cn.com/tousu/show/id/1346310","淘宝卖家虚假宣传")</f>
        <v>淘宝卖家虚假宣传</v>
      </c>
      <c r="C14715" s="2" t="s">
        <v>9</v>
      </c>
      <c r="D14715" s="2" t="s">
        <v>10</v>
      </c>
      <c r="E14715" s="2" t="str">
        <f>HYPERLINK("http://ts.21cn.com/tousu/show/id/1346310","http://ts.21cn.com/tousu/show/id/1346310")</f>
        <v>http://ts.21cn.com/tousu/show/id/1346310</v>
      </c>
      <c r="F14715" s="2" t="s">
        <v>11</v>
      </c>
      <c r="G14715" s="2" t="s">
        <v>15222</v>
      </c>
      <c r="H14715" s="2" t="s">
        <v>15223</v>
      </c>
    </row>
    <row r="14716" spans="1:8" ht="25.05" customHeight="1" x14ac:dyDescent="0.25">
      <c r="A14716" s="2" t="s">
        <v>8</v>
      </c>
      <c r="B14716" s="2" t="str">
        <f>HYPERLINK("http://ts.21cn.com/tousu/show/id/1346330","招联金融暴力催收")</f>
        <v>招联金融暴力催收</v>
      </c>
      <c r="C14716" s="2" t="s">
        <v>9</v>
      </c>
      <c r="D14716" s="2" t="s">
        <v>10</v>
      </c>
      <c r="E14716" s="2" t="str">
        <f>HYPERLINK("http://ts.21cn.com/tousu/show/id/1346330","http://ts.21cn.com/tousu/show/id/1346330")</f>
        <v>http://ts.21cn.com/tousu/show/id/1346330</v>
      </c>
      <c r="F14716" s="2" t="s">
        <v>11</v>
      </c>
      <c r="G14716" s="2" t="s">
        <v>15220</v>
      </c>
      <c r="H14716" s="2" t="s">
        <v>15221</v>
      </c>
    </row>
    <row r="14717" spans="1:8" ht="25.05" customHeight="1" x14ac:dyDescent="0.25">
      <c r="A14717" s="2" t="s">
        <v>8</v>
      </c>
      <c r="B14717" s="2" t="str">
        <f>HYPERLINK("http://ts.21cn.com/tousu/show/id/1346332","维信金科，卡卡贷暴力催收工作人员态度恶劣")</f>
        <v>维信金科，卡卡贷暴力催收工作人员态度恶劣</v>
      </c>
      <c r="C14717" s="2" t="s">
        <v>9</v>
      </c>
      <c r="D14717" s="2" t="s">
        <v>10</v>
      </c>
      <c r="E14717" s="2" t="str">
        <f>HYPERLINK("http://ts.21cn.com/tousu/show/id/1346332","http://ts.21cn.com/tousu/show/id/1346332")</f>
        <v>http://ts.21cn.com/tousu/show/id/1346332</v>
      </c>
      <c r="F14717" s="2" t="s">
        <v>11</v>
      </c>
      <c r="G14717" s="2" t="s">
        <v>15217</v>
      </c>
      <c r="H14717" s="2" t="s">
        <v>15218</v>
      </c>
    </row>
    <row r="14718" spans="1:8" ht="25.05" customHeight="1" x14ac:dyDescent="0.25">
      <c r="A14718" s="2" t="s">
        <v>8</v>
      </c>
      <c r="B14718" s="2" t="str">
        <f>HYPERLINK("http://ts.21cn.com/tousu/show/id/1346329","度小满金融催收人员窃取本人私人通讯录，并使用短信轰炸机进行骚扰本人周边朋友！")</f>
        <v>度小满金融催收人员窃取本人私人通讯录，并使用短信轰炸机进行骚扰本人周边朋友！</v>
      </c>
      <c r="C14718" s="2" t="s">
        <v>9</v>
      </c>
      <c r="D14718" s="2" t="s">
        <v>10</v>
      </c>
      <c r="E14718" s="2" t="str">
        <f>HYPERLINK("http://ts.21cn.com/tousu/show/id/1346329","http://ts.21cn.com/tousu/show/id/1346329")</f>
        <v>http://ts.21cn.com/tousu/show/id/1346329</v>
      </c>
      <c r="F14718" s="2" t="s">
        <v>11</v>
      </c>
      <c r="G14718" s="2" t="s">
        <v>15217</v>
      </c>
      <c r="H14718" s="2" t="s">
        <v>15219</v>
      </c>
    </row>
    <row r="14719" spans="1:8" ht="25.05" customHeight="1" x14ac:dyDescent="0.25">
      <c r="A14719" s="2" t="s">
        <v>8</v>
      </c>
      <c r="B14719" s="2" t="str">
        <f>HYPERLINK("http://ts.21cn.com/tousu/show/id/1346331","女神派迟迟不退钱")</f>
        <v>女神派迟迟不退钱</v>
      </c>
      <c r="C14719" s="2" t="s">
        <v>9</v>
      </c>
      <c r="D14719" s="2" t="s">
        <v>10</v>
      </c>
      <c r="E14719" s="2" t="str">
        <f>HYPERLINK("http://ts.21cn.com/tousu/show/id/1346331","http://ts.21cn.com/tousu/show/id/1346331")</f>
        <v>http://ts.21cn.com/tousu/show/id/1346331</v>
      </c>
      <c r="F14719" s="2" t="s">
        <v>11</v>
      </c>
      <c r="G14719" s="2" t="s">
        <v>15215</v>
      </c>
      <c r="H14719" s="2" t="s">
        <v>15216</v>
      </c>
    </row>
    <row r="14720" spans="1:8" ht="25.05" customHeight="1" x14ac:dyDescent="0.25">
      <c r="A14720" s="2" t="s">
        <v>8</v>
      </c>
      <c r="B14720" s="2" t="str">
        <f>HYPERLINK("http://ts.21cn.com/tousu/show/id/1346334","解释，停止骚扰，撤销征信问题")</f>
        <v>解释，停止骚扰，撤销征信问题</v>
      </c>
      <c r="C14720" s="2" t="s">
        <v>9</v>
      </c>
      <c r="D14720" s="2" t="s">
        <v>10</v>
      </c>
      <c r="E14720" s="2" t="str">
        <f>HYPERLINK("http://ts.21cn.com/tousu/show/id/1346334","http://ts.21cn.com/tousu/show/id/1346334")</f>
        <v>http://ts.21cn.com/tousu/show/id/1346334</v>
      </c>
      <c r="F14720" s="2" t="s">
        <v>11</v>
      </c>
      <c r="G14720" s="2" t="s">
        <v>15212</v>
      </c>
      <c r="H14720" s="2" t="s">
        <v>15213</v>
      </c>
    </row>
    <row r="14721" spans="1:8" ht="25.05" customHeight="1" x14ac:dyDescent="0.25">
      <c r="A14721" s="2" t="s">
        <v>8</v>
      </c>
      <c r="B14721" s="2" t="str">
        <f>HYPERLINK("http://ts.21cn.com/tousu/show/id/1346333","豹子贷恶意扣费，不需要还乱扣费！")</f>
        <v>豹子贷恶意扣费，不需要还乱扣费！</v>
      </c>
      <c r="C14721" s="2" t="s">
        <v>9</v>
      </c>
      <c r="D14721" s="2" t="s">
        <v>10</v>
      </c>
      <c r="E14721" s="2" t="str">
        <f>HYPERLINK("http://ts.21cn.com/tousu/show/id/1346333","http://ts.21cn.com/tousu/show/id/1346333")</f>
        <v>http://ts.21cn.com/tousu/show/id/1346333</v>
      </c>
      <c r="F14721" s="2" t="s">
        <v>11</v>
      </c>
      <c r="G14721" s="2" t="s">
        <v>15212</v>
      </c>
      <c r="H14721" s="2" t="s">
        <v>15214</v>
      </c>
    </row>
    <row r="14722" spans="1:8" ht="25.05" customHeight="1" x14ac:dyDescent="0.25">
      <c r="A14722" s="2" t="s">
        <v>8</v>
      </c>
      <c r="B14722" s="2" t="str">
        <f>HYPERLINK("http://ts.21cn.com/tousu/show/id/1346335","小花钱包群发照片暴力催收")</f>
        <v>小花钱包群发照片暴力催收</v>
      </c>
      <c r="C14722" s="2" t="s">
        <v>9</v>
      </c>
      <c r="D14722" s="2" t="s">
        <v>10</v>
      </c>
      <c r="E14722" s="2" t="str">
        <f>HYPERLINK("http://ts.21cn.com/tousu/show/id/1346335","http://ts.21cn.com/tousu/show/id/1346335")</f>
        <v>http://ts.21cn.com/tousu/show/id/1346335</v>
      </c>
      <c r="F14722" s="2" t="s">
        <v>11</v>
      </c>
      <c r="G14722" s="2" t="s">
        <v>15210</v>
      </c>
      <c r="H14722" s="2" t="s">
        <v>15211</v>
      </c>
    </row>
    <row r="14723" spans="1:8" ht="25.05" customHeight="1" x14ac:dyDescent="0.25">
      <c r="A14723" s="2" t="s">
        <v>8</v>
      </c>
      <c r="B14723" s="2" t="str">
        <f>HYPERLINK("http://ts.21cn.com/tousu/show/id/1346337","松紧贷/柯基贷暴利催收，威胁")</f>
        <v>松紧贷/柯基贷暴利催收，威胁</v>
      </c>
      <c r="C14723" s="2" t="s">
        <v>9</v>
      </c>
      <c r="D14723" s="2" t="s">
        <v>10</v>
      </c>
      <c r="E14723" s="2" t="str">
        <f>HYPERLINK("http://ts.21cn.com/tousu/show/id/1346337","http://ts.21cn.com/tousu/show/id/1346337")</f>
        <v>http://ts.21cn.com/tousu/show/id/1346337</v>
      </c>
      <c r="F14723" s="2" t="s">
        <v>11</v>
      </c>
      <c r="G14723" s="2" t="s">
        <v>15208</v>
      </c>
      <c r="H14723" s="2" t="s">
        <v>15209</v>
      </c>
    </row>
    <row r="14724" spans="1:8" ht="25.05" customHeight="1" x14ac:dyDescent="0.25">
      <c r="A14724" s="2" t="s">
        <v>8</v>
      </c>
      <c r="B14724" s="2" t="str">
        <f>HYPERLINK("http://ts.21cn.com/tousu/show/id/1346336","跨境移机")</f>
        <v>跨境移机</v>
      </c>
      <c r="C14724" s="2" t="s">
        <v>9</v>
      </c>
      <c r="D14724" s="2" t="s">
        <v>10</v>
      </c>
      <c r="E14724" s="2" t="str">
        <f>HYPERLINK("http://ts.21cn.com/tousu/show/id/1346336","http://ts.21cn.com/tousu/show/id/1346336")</f>
        <v>http://ts.21cn.com/tousu/show/id/1346336</v>
      </c>
      <c r="F14724" s="2" t="s">
        <v>11</v>
      </c>
      <c r="G14724" s="2" t="s">
        <v>15206</v>
      </c>
      <c r="H14724" s="2" t="s">
        <v>15207</v>
      </c>
    </row>
    <row r="14725" spans="1:8" ht="25.05" customHeight="1" x14ac:dyDescent="0.25">
      <c r="A14725" s="2" t="s">
        <v>8</v>
      </c>
      <c r="B14725" s="2" t="str">
        <f>HYPERLINK("http://ts.21cn.com/tousu/show/id/1346297","如期分期变相收取砍头息")</f>
        <v>如期分期变相收取砍头息</v>
      </c>
      <c r="C14725" s="2" t="s">
        <v>9</v>
      </c>
      <c r="D14725" s="2" t="s">
        <v>10</v>
      </c>
      <c r="E14725" s="2" t="str">
        <f>HYPERLINK("http://ts.21cn.com/tousu/show/id/1346297","http://ts.21cn.com/tousu/show/id/1346297")</f>
        <v>http://ts.21cn.com/tousu/show/id/1346297</v>
      </c>
      <c r="F14725" s="2" t="s">
        <v>11</v>
      </c>
      <c r="G14725" s="2" t="s">
        <v>15204</v>
      </c>
      <c r="H14725" s="2" t="s">
        <v>15205</v>
      </c>
    </row>
    <row r="14726" spans="1:8" ht="25.05" customHeight="1" x14ac:dyDescent="0.25">
      <c r="A14726" s="2" t="s">
        <v>8</v>
      </c>
      <c r="B14726" s="2" t="str">
        <f>HYPERLINK("http://ts.21cn.com/tousu/show/id/1346338","我来贷高利息、无法操作提前结清")</f>
        <v>我来贷高利息、无法操作提前结清</v>
      </c>
      <c r="C14726" s="2" t="s">
        <v>34</v>
      </c>
      <c r="D14726" s="2" t="s">
        <v>10</v>
      </c>
      <c r="E14726" s="2" t="str">
        <f>HYPERLINK("http://ts.21cn.com/tousu/show/id/1346338","http://ts.21cn.com/tousu/show/id/1346338")</f>
        <v>http://ts.21cn.com/tousu/show/id/1346338</v>
      </c>
      <c r="F14726" s="2" t="s">
        <v>11</v>
      </c>
      <c r="G14726" s="2" t="s">
        <v>15202</v>
      </c>
      <c r="H14726" s="2" t="s">
        <v>15203</v>
      </c>
    </row>
    <row r="14727" spans="1:8" ht="25.05" customHeight="1" x14ac:dyDescent="0.25">
      <c r="A14727" s="2" t="s">
        <v>8</v>
      </c>
      <c r="B14727" s="2" t="str">
        <f>HYPERLINK("http://ts.21cn.com/tousu/show/id/1346339","易宝支付帮助各种网贷收取砍头息的利息")</f>
        <v>易宝支付帮助各种网贷收取砍头息的利息</v>
      </c>
      <c r="C14727" s="2" t="s">
        <v>9</v>
      </c>
      <c r="D14727" s="2" t="s">
        <v>10</v>
      </c>
      <c r="E14727" s="2" t="str">
        <f>HYPERLINK("http://ts.21cn.com/tousu/show/id/1346339","http://ts.21cn.com/tousu/show/id/1346339")</f>
        <v>http://ts.21cn.com/tousu/show/id/1346339</v>
      </c>
      <c r="F14727" s="2" t="s">
        <v>11</v>
      </c>
      <c r="G14727" s="2" t="s">
        <v>15200</v>
      </c>
      <c r="H14727" s="2" t="s">
        <v>15201</v>
      </c>
    </row>
    <row r="14728" spans="1:8" ht="25.05" customHeight="1" x14ac:dyDescent="0.25">
      <c r="A14728" s="2" t="s">
        <v>8</v>
      </c>
      <c r="B14728" s="2" t="str">
        <f>HYPERLINK("http://ts.21cn.com/tousu/show/id/1346340","你我贷，暴力催收，侮辱别人，骚扰亲人")</f>
        <v>你我贷，暴力催收，侮辱别人，骚扰亲人</v>
      </c>
      <c r="C14728" s="2" t="s">
        <v>9</v>
      </c>
      <c r="D14728" s="2" t="s">
        <v>10</v>
      </c>
      <c r="E14728" s="2" t="str">
        <f>HYPERLINK("http://ts.21cn.com/tousu/show/id/1346340","http://ts.21cn.com/tousu/show/id/1346340")</f>
        <v>http://ts.21cn.com/tousu/show/id/1346340</v>
      </c>
      <c r="F14728" s="2" t="s">
        <v>11</v>
      </c>
      <c r="G14728" s="2" t="s">
        <v>15198</v>
      </c>
      <c r="H14728" s="2" t="s">
        <v>15199</v>
      </c>
    </row>
    <row r="14729" spans="1:8" ht="25.05" customHeight="1" x14ac:dyDescent="0.25">
      <c r="A14729" s="2" t="s">
        <v>8</v>
      </c>
      <c r="B14729" s="2" t="str">
        <f>HYPERLINK("http://ts.21cn.com/tousu/show/id/1346296","凡普金科旗下钱站app暴力催收")</f>
        <v>凡普金科旗下钱站app暴力催收</v>
      </c>
      <c r="C14729" s="2" t="s">
        <v>9</v>
      </c>
      <c r="D14729" s="2" t="s">
        <v>10</v>
      </c>
      <c r="E14729" s="2" t="str">
        <f>HYPERLINK("http://ts.21cn.com/tousu/show/id/1346296","http://ts.21cn.com/tousu/show/id/1346296")</f>
        <v>http://ts.21cn.com/tousu/show/id/1346296</v>
      </c>
      <c r="F14729" s="2" t="s">
        <v>11</v>
      </c>
      <c r="G14729" s="2" t="s">
        <v>15196</v>
      </c>
      <c r="H14729" s="2" t="s">
        <v>15197</v>
      </c>
    </row>
    <row r="14730" spans="1:8" ht="25.05" customHeight="1" x14ac:dyDescent="0.25">
      <c r="A14730" s="2" t="s">
        <v>8</v>
      </c>
      <c r="B14730" s="2" t="str">
        <f>HYPERLINK("http://ts.21cn.com/tousu/show/id/1346341","平安普惠贷款隐瞒隐藏并强制收取高额保险费管理费投诉事宜")</f>
        <v>平安普惠贷款隐瞒隐藏并强制收取高额保险费管理费投诉事宜</v>
      </c>
      <c r="C14730" s="2" t="s">
        <v>9</v>
      </c>
      <c r="D14730" s="2" t="s">
        <v>10</v>
      </c>
      <c r="E14730" s="2" t="str">
        <f>HYPERLINK("http://ts.21cn.com/tousu/show/id/1346341","http://ts.21cn.com/tousu/show/id/1346341")</f>
        <v>http://ts.21cn.com/tousu/show/id/1346341</v>
      </c>
      <c r="F14730" s="2" t="s">
        <v>11</v>
      </c>
      <c r="G14730" s="2" t="s">
        <v>15194</v>
      </c>
      <c r="H14730" s="2" t="s">
        <v>15195</v>
      </c>
    </row>
    <row r="14731" spans="1:8" ht="25.05" customHeight="1" x14ac:dyDescent="0.25">
      <c r="A14731" s="2" t="s">
        <v>8</v>
      </c>
      <c r="B14731" s="2" t="str">
        <f>HYPERLINK("http://ts.21cn.com/tousu/show/id/1346342","多宝分期高利贷")</f>
        <v>多宝分期高利贷</v>
      </c>
      <c r="C14731" s="2" t="s">
        <v>9</v>
      </c>
      <c r="D14731" s="2" t="s">
        <v>10</v>
      </c>
      <c r="E14731" s="2" t="str">
        <f>HYPERLINK("http://ts.21cn.com/tousu/show/id/1346342","http://ts.21cn.com/tousu/show/id/1346342")</f>
        <v>http://ts.21cn.com/tousu/show/id/1346342</v>
      </c>
      <c r="F14731" s="2" t="s">
        <v>11</v>
      </c>
      <c r="G14731" s="2" t="s">
        <v>15192</v>
      </c>
      <c r="H14731" s="2" t="s">
        <v>15193</v>
      </c>
    </row>
    <row r="14732" spans="1:8" ht="25.05" customHeight="1" x14ac:dyDescent="0.25">
      <c r="A14732" s="2" t="s">
        <v>8</v>
      </c>
      <c r="B14732" s="2" t="str">
        <f>HYPERLINK("http://ts.21cn.com/tousu/show/id/1346343","51公积金柯基贷")</f>
        <v>51公积金柯基贷</v>
      </c>
      <c r="C14732" s="2" t="s">
        <v>9</v>
      </c>
      <c r="D14732" s="2" t="s">
        <v>10</v>
      </c>
      <c r="E14732" s="2" t="str">
        <f>HYPERLINK("http://ts.21cn.com/tousu/show/id/1346343","http://ts.21cn.com/tousu/show/id/1346343")</f>
        <v>http://ts.21cn.com/tousu/show/id/1346343</v>
      </c>
      <c r="F14732" s="2" t="s">
        <v>11</v>
      </c>
      <c r="G14732" s="2" t="s">
        <v>15190</v>
      </c>
      <c r="H14732" s="2" t="s">
        <v>15191</v>
      </c>
    </row>
    <row r="14733" spans="1:8" ht="25.05" customHeight="1" x14ac:dyDescent="0.25">
      <c r="A14733" s="2" t="s">
        <v>8</v>
      </c>
      <c r="B14733" s="2" t="str">
        <f>HYPERLINK("http://ts.21cn.com/tousu/show/id/1346344","小浦优客违规扣款")</f>
        <v>小浦优客违规扣款</v>
      </c>
      <c r="C14733" s="2" t="s">
        <v>9</v>
      </c>
      <c r="D14733" s="2" t="s">
        <v>10</v>
      </c>
      <c r="E14733" s="2" t="str">
        <f>HYPERLINK("http://ts.21cn.com/tousu/show/id/1346344","http://ts.21cn.com/tousu/show/id/1346344")</f>
        <v>http://ts.21cn.com/tousu/show/id/1346344</v>
      </c>
      <c r="F14733" s="2" t="s">
        <v>11</v>
      </c>
      <c r="G14733" s="2" t="s">
        <v>15188</v>
      </c>
      <c r="H14733" s="2" t="s">
        <v>15189</v>
      </c>
    </row>
    <row r="14734" spans="1:8" ht="25.05" customHeight="1" x14ac:dyDescent="0.25">
      <c r="A14734" s="2" t="s">
        <v>8</v>
      </c>
      <c r="B14734" s="2" t="str">
        <f>HYPERLINK("http://ts.21cn.com/tousu/show/id/1346347","微众银行微粒贷个人催款恐吓单位人事部")</f>
        <v>微众银行微粒贷个人催款恐吓单位人事部</v>
      </c>
      <c r="C14734" s="2" t="s">
        <v>9</v>
      </c>
      <c r="D14734" s="2" t="s">
        <v>10</v>
      </c>
      <c r="E14734" s="2" t="str">
        <f>HYPERLINK("http://ts.21cn.com/tousu/show/id/1346347","http://ts.21cn.com/tousu/show/id/1346347")</f>
        <v>http://ts.21cn.com/tousu/show/id/1346347</v>
      </c>
      <c r="F14734" s="2" t="s">
        <v>11</v>
      </c>
      <c r="G14734" s="2" t="s">
        <v>15186</v>
      </c>
      <c r="H14734" s="2" t="s">
        <v>15187</v>
      </c>
    </row>
    <row r="14735" spans="1:8" ht="25.05" customHeight="1" x14ac:dyDescent="0.25">
      <c r="A14735" s="2" t="s">
        <v>8</v>
      </c>
      <c r="B14735" s="2" t="str">
        <f>HYPERLINK("http://ts.21cn.com/tousu/show/id/1346345","信而富工作人员只肯退一期卡，还说他们的是合法的，现在要求退其它的优先特权包")</f>
        <v>信而富工作人员只肯退一期卡，还说他们的是合法的，现在要求退其它的优先特权包</v>
      </c>
      <c r="C14735" s="2" t="s">
        <v>9</v>
      </c>
      <c r="D14735" s="2" t="s">
        <v>10</v>
      </c>
      <c r="E14735" s="2" t="str">
        <f>HYPERLINK("http://ts.21cn.com/tousu/show/id/1346345","http://ts.21cn.com/tousu/show/id/1346345")</f>
        <v>http://ts.21cn.com/tousu/show/id/1346345</v>
      </c>
      <c r="F14735" s="2" t="s">
        <v>11</v>
      </c>
      <c r="G14735" s="2" t="s">
        <v>15184</v>
      </c>
      <c r="H14735" s="2" t="s">
        <v>15185</v>
      </c>
    </row>
    <row r="14736" spans="1:8" ht="25.05" customHeight="1" x14ac:dyDescent="0.25">
      <c r="A14736" s="2" t="s">
        <v>8</v>
      </c>
      <c r="B14736" s="2" t="str">
        <f>HYPERLINK("http://ts.21cn.com/tousu/show/id/1346346","给你花借款利息太高")</f>
        <v>给你花借款利息太高</v>
      </c>
      <c r="C14736" s="2" t="s">
        <v>9</v>
      </c>
      <c r="D14736" s="2" t="s">
        <v>10</v>
      </c>
      <c r="E14736" s="2" t="str">
        <f>HYPERLINK("http://ts.21cn.com/tousu/show/id/1346346","http://ts.21cn.com/tousu/show/id/1346346")</f>
        <v>http://ts.21cn.com/tousu/show/id/1346346</v>
      </c>
      <c r="F14736" s="2" t="s">
        <v>11</v>
      </c>
      <c r="G14736" s="2" t="s">
        <v>15182</v>
      </c>
      <c r="H14736" s="2" t="s">
        <v>15183</v>
      </c>
    </row>
    <row r="14737" spans="1:8" ht="25.05" customHeight="1" x14ac:dyDescent="0.25">
      <c r="A14737" s="2" t="s">
        <v>8</v>
      </c>
      <c r="B14737" s="2" t="str">
        <f>HYPERLINK("http://ts.21cn.com/tousu/show/id/1346348","my钱包阴阳合同，非法高利贷")</f>
        <v>my钱包阴阳合同，非法高利贷</v>
      </c>
      <c r="C14737" s="2" t="s">
        <v>9</v>
      </c>
      <c r="D14737" s="2" t="s">
        <v>10</v>
      </c>
      <c r="E14737" s="2" t="str">
        <f>HYPERLINK("http://ts.21cn.com/tousu/show/id/1346348","http://ts.21cn.com/tousu/show/id/1346348")</f>
        <v>http://ts.21cn.com/tousu/show/id/1346348</v>
      </c>
      <c r="F14737" s="2" t="s">
        <v>11</v>
      </c>
      <c r="G14737" s="2" t="s">
        <v>15180</v>
      </c>
      <c r="H14737" s="2" t="s">
        <v>15181</v>
      </c>
    </row>
    <row r="14738" spans="1:8" ht="25.05" customHeight="1" x14ac:dyDescent="0.25">
      <c r="A14738" s="2" t="s">
        <v>8</v>
      </c>
      <c r="B14738" s="2" t="str">
        <f>HYPERLINK("http://ts.21cn.com/tousu/show/id/1346286","遭遇套路贷，放款中，请求终止放款")</f>
        <v>遭遇套路贷，放款中，请求终止放款</v>
      </c>
      <c r="C14738" s="2" t="s">
        <v>9</v>
      </c>
      <c r="D14738" s="2" t="s">
        <v>10</v>
      </c>
      <c r="E14738" s="2" t="str">
        <f>HYPERLINK("http://ts.21cn.com/tousu/show/id/1346286","http://ts.21cn.com/tousu/show/id/1346286")</f>
        <v>http://ts.21cn.com/tousu/show/id/1346286</v>
      </c>
      <c r="F14738" s="2" t="s">
        <v>11</v>
      </c>
      <c r="G14738" s="2" t="s">
        <v>15177</v>
      </c>
      <c r="H14738" s="2" t="s">
        <v>15178</v>
      </c>
    </row>
    <row r="14739" spans="1:8" ht="25.05" customHeight="1" x14ac:dyDescent="0.25">
      <c r="A14739" s="2" t="s">
        <v>8</v>
      </c>
      <c r="B14739" s="2" t="str">
        <f>HYPERLINK("http://ts.21cn.com/tousu/show/id/1343082","云闪付为网赌提供通道")</f>
        <v>云闪付为网赌提供通道</v>
      </c>
      <c r="C14739" s="2" t="s">
        <v>9</v>
      </c>
      <c r="D14739" s="2" t="s">
        <v>10</v>
      </c>
      <c r="E14739" s="2" t="str">
        <f>HYPERLINK("http://ts.21cn.com/tousu/show/id/1343082","http://ts.21cn.com/tousu/show/id/1343082")</f>
        <v>http://ts.21cn.com/tousu/show/id/1343082</v>
      </c>
      <c r="F14739" s="2" t="s">
        <v>11</v>
      </c>
      <c r="G14739" s="2" t="s">
        <v>15177</v>
      </c>
      <c r="H14739" s="2" t="s">
        <v>15179</v>
      </c>
    </row>
    <row r="14740" spans="1:8" ht="25.05" customHeight="1" x14ac:dyDescent="0.25">
      <c r="A14740" s="2" t="s">
        <v>8</v>
      </c>
      <c r="B14740" s="2" t="str">
        <f>HYPERLINK("http://ts.21cn.com/tousu/show/id/1346349","闪电借款暴力催收")</f>
        <v>闪电借款暴力催收</v>
      </c>
      <c r="C14740" s="2" t="s">
        <v>9</v>
      </c>
      <c r="D14740" s="2" t="s">
        <v>10</v>
      </c>
      <c r="E14740" s="2" t="str">
        <f>HYPERLINK("http://ts.21cn.com/tousu/show/id/1346349","http://ts.21cn.com/tousu/show/id/1346349")</f>
        <v>http://ts.21cn.com/tousu/show/id/1346349</v>
      </c>
      <c r="F14740" s="2" t="s">
        <v>11</v>
      </c>
      <c r="G14740" s="2" t="s">
        <v>15175</v>
      </c>
      <c r="H14740" s="2" t="s">
        <v>15176</v>
      </c>
    </row>
    <row r="14741" spans="1:8" ht="25.05" customHeight="1" x14ac:dyDescent="0.25">
      <c r="A14741" s="2" t="s">
        <v>8</v>
      </c>
      <c r="B14741" s="2" t="str">
        <f>HYPERLINK("http://ts.21cn.com/tousu/show/id/1346350","美团金融催收短信骚扰")</f>
        <v>美团金融催收短信骚扰</v>
      </c>
      <c r="C14741" s="2" t="s">
        <v>9</v>
      </c>
      <c r="D14741" s="2" t="s">
        <v>10</v>
      </c>
      <c r="E14741" s="2" t="str">
        <f>HYPERLINK("http://ts.21cn.com/tousu/show/id/1346350","http://ts.21cn.com/tousu/show/id/1346350")</f>
        <v>http://ts.21cn.com/tousu/show/id/1346350</v>
      </c>
      <c r="F14741" s="2" t="s">
        <v>11</v>
      </c>
      <c r="G14741" s="2" t="s">
        <v>15174</v>
      </c>
      <c r="H14741" s="2" t="s">
        <v>11829</v>
      </c>
    </row>
    <row r="14742" spans="1:8" ht="25.05" customHeight="1" x14ac:dyDescent="0.25">
      <c r="A14742" s="2" t="s">
        <v>8</v>
      </c>
      <c r="B14742" s="2" t="str">
        <f>HYPERLINK("http://ts.21cn.com/tousu/show/id/1346351","高利贷")</f>
        <v>高利贷</v>
      </c>
      <c r="C14742" s="2" t="s">
        <v>9</v>
      </c>
      <c r="D14742" s="2" t="s">
        <v>10</v>
      </c>
      <c r="E14742" s="2" t="str">
        <f>HYPERLINK("http://ts.21cn.com/tousu/show/id/1346351","http://ts.21cn.com/tousu/show/id/1346351")</f>
        <v>http://ts.21cn.com/tousu/show/id/1346351</v>
      </c>
      <c r="F14742" s="2" t="s">
        <v>11</v>
      </c>
      <c r="G14742" s="2" t="s">
        <v>15172</v>
      </c>
      <c r="H14742" s="2" t="s">
        <v>15173</v>
      </c>
    </row>
    <row r="14743" spans="1:8" ht="25.05" customHeight="1" x14ac:dyDescent="0.25">
      <c r="A14743" s="2" t="s">
        <v>8</v>
      </c>
      <c r="B14743" s="2" t="str">
        <f>HYPERLINK("http://ts.21cn.com/tousu/show/id/1346352","暴力催收恐吓")</f>
        <v>暴力催收恐吓</v>
      </c>
      <c r="C14743" s="2" t="s">
        <v>9</v>
      </c>
      <c r="D14743" s="2" t="s">
        <v>10</v>
      </c>
      <c r="E14743" s="2" t="str">
        <f>HYPERLINK("http://ts.21cn.com/tousu/show/id/1346352","http://ts.21cn.com/tousu/show/id/1346352")</f>
        <v>http://ts.21cn.com/tousu/show/id/1346352</v>
      </c>
      <c r="F14743" s="2" t="s">
        <v>11</v>
      </c>
      <c r="G14743" s="2" t="s">
        <v>15170</v>
      </c>
      <c r="H14743" s="2" t="s">
        <v>15171</v>
      </c>
    </row>
    <row r="14744" spans="1:8" ht="25.05" customHeight="1" x14ac:dyDescent="0.25">
      <c r="A14744" s="2" t="s">
        <v>8</v>
      </c>
      <c r="B14744" s="2" t="str">
        <f>HYPERLINK("http://ts.21cn.com/tousu/show/id/1346320","华夏银行信用卡催收人员暴力催收")</f>
        <v>华夏银行信用卡催收人员暴力催收</v>
      </c>
      <c r="C14744" s="2" t="s">
        <v>9</v>
      </c>
      <c r="D14744" s="2" t="s">
        <v>10</v>
      </c>
      <c r="E14744" s="2" t="str">
        <f>HYPERLINK("http://ts.21cn.com/tousu/show/id/1346320","http://ts.21cn.com/tousu/show/id/1346320")</f>
        <v>http://ts.21cn.com/tousu/show/id/1346320</v>
      </c>
      <c r="F14744" s="2" t="s">
        <v>11</v>
      </c>
      <c r="G14744" s="2" t="s">
        <v>15168</v>
      </c>
      <c r="H14744" s="2" t="s">
        <v>15169</v>
      </c>
    </row>
    <row r="14745" spans="1:8" ht="25.05" customHeight="1" x14ac:dyDescent="0.25">
      <c r="A14745" s="2" t="s">
        <v>8</v>
      </c>
      <c r="B14745" s="2" t="str">
        <f>HYPERLINK("http://ts.21cn.com/tousu/show/id/1346353","网商贷协商还款")</f>
        <v>网商贷协商还款</v>
      </c>
      <c r="C14745" s="2" t="s">
        <v>9</v>
      </c>
      <c r="D14745" s="2" t="s">
        <v>10</v>
      </c>
      <c r="E14745" s="2" t="str">
        <f>HYPERLINK("http://ts.21cn.com/tousu/show/id/1346353","http://ts.21cn.com/tousu/show/id/1346353")</f>
        <v>http://ts.21cn.com/tousu/show/id/1346353</v>
      </c>
      <c r="F14745" s="2" t="s">
        <v>11</v>
      </c>
      <c r="G14745" s="2" t="s">
        <v>15166</v>
      </c>
      <c r="H14745" s="2" t="s">
        <v>15167</v>
      </c>
    </row>
    <row r="14746" spans="1:8" ht="25.05" customHeight="1" x14ac:dyDescent="0.25">
      <c r="A14746" s="2" t="s">
        <v>8</v>
      </c>
      <c r="B14746" s="2" t="str">
        <f>HYPERLINK("http://ts.21cn.com/tousu/show/id/1346354","平安银行骚扰信息")</f>
        <v>平安银行骚扰信息</v>
      </c>
      <c r="C14746" s="2" t="s">
        <v>9</v>
      </c>
      <c r="D14746" s="2" t="s">
        <v>10</v>
      </c>
      <c r="E14746" s="2" t="str">
        <f>HYPERLINK("http://ts.21cn.com/tousu/show/id/1346354","http://ts.21cn.com/tousu/show/id/1346354")</f>
        <v>http://ts.21cn.com/tousu/show/id/1346354</v>
      </c>
      <c r="F14746" s="2" t="s">
        <v>11</v>
      </c>
      <c r="G14746" s="2" t="s">
        <v>15164</v>
      </c>
      <c r="H14746" s="2" t="s">
        <v>15165</v>
      </c>
    </row>
    <row r="14747" spans="1:8" ht="25.05" customHeight="1" x14ac:dyDescent="0.25">
      <c r="A14747" s="2" t="s">
        <v>8</v>
      </c>
      <c r="B14747" s="2" t="str">
        <f>HYPERLINK("http://ts.21cn.com/tousu/show/id/1346356","微信附近人两年了用不了")</f>
        <v>微信附近人两年了用不了</v>
      </c>
      <c r="C14747" s="2" t="s">
        <v>34</v>
      </c>
      <c r="D14747" s="2" t="s">
        <v>10</v>
      </c>
      <c r="E14747" s="2" t="str">
        <f>HYPERLINK("http://ts.21cn.com/tousu/show/id/1346356","http://ts.21cn.com/tousu/show/id/1346356")</f>
        <v>http://ts.21cn.com/tousu/show/id/1346356</v>
      </c>
      <c r="F14747" s="2" t="s">
        <v>11</v>
      </c>
      <c r="G14747" s="2" t="s">
        <v>15162</v>
      </c>
      <c r="H14747" s="2" t="s">
        <v>15163</v>
      </c>
    </row>
    <row r="14748" spans="1:8" ht="25.05" customHeight="1" x14ac:dyDescent="0.25">
      <c r="A14748" s="2" t="s">
        <v>8</v>
      </c>
      <c r="B14748" s="2" t="str">
        <f>HYPERLINK("http://ts.21cn.com/tousu/show/id/1346355","平安银行冒充公检法")</f>
        <v>平安银行冒充公检法</v>
      </c>
      <c r="C14748" s="2" t="s">
        <v>9</v>
      </c>
      <c r="D14748" s="2" t="s">
        <v>10</v>
      </c>
      <c r="E14748" s="2" t="str">
        <f>HYPERLINK("http://ts.21cn.com/tousu/show/id/1346355","http://ts.21cn.com/tousu/show/id/1346355")</f>
        <v>http://ts.21cn.com/tousu/show/id/1346355</v>
      </c>
      <c r="F14748" s="2" t="s">
        <v>11</v>
      </c>
      <c r="G14748" s="2" t="s">
        <v>15160</v>
      </c>
      <c r="H14748" s="2" t="s">
        <v>15161</v>
      </c>
    </row>
    <row r="14749" spans="1:8" ht="25.05" customHeight="1" x14ac:dyDescent="0.25">
      <c r="A14749" s="2" t="s">
        <v>8</v>
      </c>
      <c r="B14749" s="2" t="str">
        <f>HYPERLINK("http://ts.21cn.com/tousu/show/id/1346357","汇中公司暴力催收")</f>
        <v>汇中公司暴力催收</v>
      </c>
      <c r="C14749" s="2" t="s">
        <v>9</v>
      </c>
      <c r="D14749" s="2" t="s">
        <v>10</v>
      </c>
      <c r="E14749" s="2" t="str">
        <f>HYPERLINK("http://ts.21cn.com/tousu/show/id/1346357","http://ts.21cn.com/tousu/show/id/1346357")</f>
        <v>http://ts.21cn.com/tousu/show/id/1346357</v>
      </c>
      <c r="F14749" s="2" t="s">
        <v>11</v>
      </c>
      <c r="G14749" s="2" t="s">
        <v>15158</v>
      </c>
      <c r="H14749" s="2" t="s">
        <v>15159</v>
      </c>
    </row>
    <row r="14750" spans="1:8" ht="25.05" customHeight="1" x14ac:dyDescent="0.25">
      <c r="A14750" s="2" t="s">
        <v>8</v>
      </c>
      <c r="B14750" s="2" t="str">
        <f>HYPERLINK("http://ts.21cn.com/tousu/show/id/1346313","闪电借款。套路协商还款，钱还了不按约定的处理账单。造成逾期。")</f>
        <v>闪电借款。套路协商还款，钱还了不按约定的处理账单。造成逾期。</v>
      </c>
      <c r="C14750" s="2" t="s">
        <v>9</v>
      </c>
      <c r="D14750" s="2" t="s">
        <v>10</v>
      </c>
      <c r="E14750" s="2" t="str">
        <f>HYPERLINK("http://ts.21cn.com/tousu/show/id/1346313","http://ts.21cn.com/tousu/show/id/1346313")</f>
        <v>http://ts.21cn.com/tousu/show/id/1346313</v>
      </c>
      <c r="F14750" s="2" t="s">
        <v>11</v>
      </c>
      <c r="G14750" s="2" t="s">
        <v>15156</v>
      </c>
      <c r="H14750" s="2" t="s">
        <v>15157</v>
      </c>
    </row>
    <row r="14751" spans="1:8" ht="25.05" customHeight="1" x14ac:dyDescent="0.25">
      <c r="A14751" s="2" t="s">
        <v>8</v>
      </c>
      <c r="B14751" s="2" t="str">
        <f>HYPERLINK("http://ts.21cn.com/tousu/show/id/1346358","浦发银行协商还款问题催收上门")</f>
        <v>浦发银行协商还款问题催收上门</v>
      </c>
      <c r="C14751" s="2" t="s">
        <v>9</v>
      </c>
      <c r="D14751" s="2" t="s">
        <v>10</v>
      </c>
      <c r="E14751" s="2" t="str">
        <f>HYPERLINK("http://ts.21cn.com/tousu/show/id/1346358","http://ts.21cn.com/tousu/show/id/1346358")</f>
        <v>http://ts.21cn.com/tousu/show/id/1346358</v>
      </c>
      <c r="F14751" s="2" t="s">
        <v>11</v>
      </c>
      <c r="G14751" s="2" t="s">
        <v>15154</v>
      </c>
      <c r="H14751" s="2" t="s">
        <v>15155</v>
      </c>
    </row>
    <row r="14752" spans="1:8" ht="25.05" customHeight="1" x14ac:dyDescent="0.25">
      <c r="A14752" s="2" t="s">
        <v>8</v>
      </c>
      <c r="B14752" s="2" t="str">
        <f>HYPERLINK("http://ts.21cn.com/tousu/show/id/1346359","与时光分期平台协商还款")</f>
        <v>与时光分期平台协商还款</v>
      </c>
      <c r="C14752" s="2" t="s">
        <v>9</v>
      </c>
      <c r="D14752" s="2" t="s">
        <v>10</v>
      </c>
      <c r="E14752" s="2" t="str">
        <f>HYPERLINK("http://ts.21cn.com/tousu/show/id/1346359","http://ts.21cn.com/tousu/show/id/1346359")</f>
        <v>http://ts.21cn.com/tousu/show/id/1346359</v>
      </c>
      <c r="F14752" s="2" t="s">
        <v>11</v>
      </c>
      <c r="G14752" s="2" t="s">
        <v>15152</v>
      </c>
      <c r="H14752" s="2" t="s">
        <v>15153</v>
      </c>
    </row>
    <row r="14753" spans="1:8" ht="25.05" customHeight="1" x14ac:dyDescent="0.25">
      <c r="A14753" s="2" t="s">
        <v>8</v>
      </c>
      <c r="B14753" s="2" t="str">
        <f>HYPERLINK("http://ts.21cn.com/tousu/show/id/1346360","点点平台电话骚扰")</f>
        <v>点点平台电话骚扰</v>
      </c>
      <c r="C14753" s="2" t="s">
        <v>9</v>
      </c>
      <c r="D14753" s="2" t="s">
        <v>10</v>
      </c>
      <c r="E14753" s="2" t="str">
        <f>HYPERLINK("http://ts.21cn.com/tousu/show/id/1346360","http://ts.21cn.com/tousu/show/id/1346360")</f>
        <v>http://ts.21cn.com/tousu/show/id/1346360</v>
      </c>
      <c r="F14753" s="2" t="s">
        <v>11</v>
      </c>
      <c r="G14753" s="2" t="s">
        <v>15150</v>
      </c>
      <c r="H14753" s="2" t="s">
        <v>15151</v>
      </c>
    </row>
    <row r="14754" spans="1:8" ht="25.05" customHeight="1" x14ac:dyDescent="0.25">
      <c r="A14754" s="2" t="s">
        <v>8</v>
      </c>
      <c r="B14754" s="2" t="str">
        <f>HYPERLINK("http://ts.21cn.com/tousu/show/id/1346363","马上消费金融电话威胁")</f>
        <v>马上消费金融电话威胁</v>
      </c>
      <c r="C14754" s="2" t="s">
        <v>9</v>
      </c>
      <c r="D14754" s="2" t="s">
        <v>10</v>
      </c>
      <c r="E14754" s="2" t="str">
        <f>HYPERLINK("http://ts.21cn.com/tousu/show/id/1346363","http://ts.21cn.com/tousu/show/id/1346363")</f>
        <v>http://ts.21cn.com/tousu/show/id/1346363</v>
      </c>
      <c r="F14754" s="2" t="s">
        <v>11</v>
      </c>
      <c r="G14754" s="2" t="s">
        <v>15148</v>
      </c>
      <c r="H14754" s="2" t="s">
        <v>15149</v>
      </c>
    </row>
    <row r="14755" spans="1:8" ht="25.05" customHeight="1" x14ac:dyDescent="0.25">
      <c r="A14755" s="2" t="s">
        <v>8</v>
      </c>
      <c r="B14755" s="2" t="str">
        <f>HYPERLINK("http://ts.21cn.com/tousu/show/id/1346364","有银票不同意协商")</f>
        <v>有银票不同意协商</v>
      </c>
      <c r="C14755" s="2" t="s">
        <v>9</v>
      </c>
      <c r="D14755" s="2" t="s">
        <v>10</v>
      </c>
      <c r="E14755" s="2" t="str">
        <f>HYPERLINK("http://ts.21cn.com/tousu/show/id/1346364","http://ts.21cn.com/tousu/show/id/1346364")</f>
        <v>http://ts.21cn.com/tousu/show/id/1346364</v>
      </c>
      <c r="F14755" s="2" t="s">
        <v>11</v>
      </c>
      <c r="G14755" s="2" t="s">
        <v>15146</v>
      </c>
      <c r="H14755" s="2" t="s">
        <v>15147</v>
      </c>
    </row>
    <row r="14756" spans="1:8" ht="25.05" customHeight="1" x14ac:dyDescent="0.25">
      <c r="A14756" s="2" t="s">
        <v>8</v>
      </c>
      <c r="B14756" s="2" t="str">
        <f>HYPERLINK("http://ts.21cn.com/tousu/show/id/1346366","汇信天下泄露个人信息")</f>
        <v>汇信天下泄露个人信息</v>
      </c>
      <c r="C14756" s="2" t="s">
        <v>9</v>
      </c>
      <c r="D14756" s="2" t="s">
        <v>10</v>
      </c>
      <c r="E14756" s="2" t="str">
        <f>HYPERLINK("http://ts.21cn.com/tousu/show/id/1346366","http://ts.21cn.com/tousu/show/id/1346366")</f>
        <v>http://ts.21cn.com/tousu/show/id/1346366</v>
      </c>
      <c r="F14756" s="2" t="s">
        <v>11</v>
      </c>
      <c r="G14756" s="2" t="s">
        <v>15144</v>
      </c>
      <c r="H14756" s="2" t="s">
        <v>15145</v>
      </c>
    </row>
    <row r="14757" spans="1:8" ht="25.05" customHeight="1" x14ac:dyDescent="0.25">
      <c r="A14757" s="2" t="s">
        <v>8</v>
      </c>
      <c r="B14757" s="2" t="str">
        <f>HYPERLINK("http://ts.21cn.com/tousu/show/id/1346367","所谓中腾信全资子公司鼎泰新软暴力催收轰炸通讯录客服言语恐吓")</f>
        <v>所谓中腾信全资子公司鼎泰新软暴力催收轰炸通讯录客服言语恐吓</v>
      </c>
      <c r="C14757" s="2" t="s">
        <v>9</v>
      </c>
      <c r="D14757" s="2" t="s">
        <v>10</v>
      </c>
      <c r="E14757" s="2" t="str">
        <f>HYPERLINK("http://ts.21cn.com/tousu/show/id/1346367","http://ts.21cn.com/tousu/show/id/1346367")</f>
        <v>http://ts.21cn.com/tousu/show/id/1346367</v>
      </c>
      <c r="F14757" s="2" t="s">
        <v>11</v>
      </c>
      <c r="G14757" s="2" t="s">
        <v>15142</v>
      </c>
      <c r="H14757" s="2" t="s">
        <v>15143</v>
      </c>
    </row>
    <row r="14758" spans="1:8" ht="25.05" customHeight="1" x14ac:dyDescent="0.25">
      <c r="A14758" s="2" t="s">
        <v>8</v>
      </c>
      <c r="B14758" s="2" t="str">
        <f>HYPERLINK("http://ts.21cn.com/tousu/show/id/1346368","暴力催收")</f>
        <v>暴力催收</v>
      </c>
      <c r="C14758" s="2" t="s">
        <v>9</v>
      </c>
      <c r="D14758" s="2" t="s">
        <v>10</v>
      </c>
      <c r="E14758" s="2" t="str">
        <f>HYPERLINK("http://ts.21cn.com/tousu/show/id/1346368","http://ts.21cn.com/tousu/show/id/1346368")</f>
        <v>http://ts.21cn.com/tousu/show/id/1346368</v>
      </c>
      <c r="F14758" s="2" t="s">
        <v>11</v>
      </c>
      <c r="G14758" s="2" t="s">
        <v>15140</v>
      </c>
      <c r="H14758" s="2" t="s">
        <v>15141</v>
      </c>
    </row>
    <row r="14759" spans="1:8" ht="25.05" customHeight="1" x14ac:dyDescent="0.25">
      <c r="A14759" s="2" t="s">
        <v>8</v>
      </c>
      <c r="B14759" s="2" t="str">
        <f>HYPERLINK("http://ts.21cn.com/tousu/show/id/1346369","不停的骚扰联系人")</f>
        <v>不停的骚扰联系人</v>
      </c>
      <c r="C14759" s="2" t="s">
        <v>9</v>
      </c>
      <c r="D14759" s="2" t="s">
        <v>10</v>
      </c>
      <c r="E14759" s="2" t="str">
        <f>HYPERLINK("http://ts.21cn.com/tousu/show/id/1346369","http://ts.21cn.com/tousu/show/id/1346369")</f>
        <v>http://ts.21cn.com/tousu/show/id/1346369</v>
      </c>
      <c r="F14759" s="2" t="s">
        <v>11</v>
      </c>
      <c r="G14759" s="2" t="s">
        <v>15138</v>
      </c>
      <c r="H14759" s="2" t="s">
        <v>15139</v>
      </c>
    </row>
    <row r="14760" spans="1:8" ht="25.05" customHeight="1" x14ac:dyDescent="0.25">
      <c r="A14760" s="2" t="s">
        <v>8</v>
      </c>
      <c r="B14760" s="2" t="str">
        <f>HYPERLINK("http://ts.21cn.com/tousu/show/id/1346370","闪银至尊")</f>
        <v>闪银至尊</v>
      </c>
      <c r="C14760" s="2" t="s">
        <v>9</v>
      </c>
      <c r="D14760" s="2" t="s">
        <v>10</v>
      </c>
      <c r="E14760" s="2" t="str">
        <f>HYPERLINK("http://ts.21cn.com/tousu/show/id/1346370","http://ts.21cn.com/tousu/show/id/1346370")</f>
        <v>http://ts.21cn.com/tousu/show/id/1346370</v>
      </c>
      <c r="F14760" s="2" t="s">
        <v>11</v>
      </c>
      <c r="G14760" s="2" t="s">
        <v>15136</v>
      </c>
      <c r="H14760" s="2" t="s">
        <v>15137</v>
      </c>
    </row>
    <row r="14761" spans="1:8" ht="25.05" customHeight="1" x14ac:dyDescent="0.25">
      <c r="A14761" s="2" t="s">
        <v>8</v>
      </c>
      <c r="B14761" s="2" t="str">
        <f>HYPERLINK("http://ts.21cn.com/tousu/show/id/1346371","招联金融恶意骚扰")</f>
        <v>招联金融恶意骚扰</v>
      </c>
      <c r="C14761" s="2" t="s">
        <v>9</v>
      </c>
      <c r="D14761" s="2" t="s">
        <v>10</v>
      </c>
      <c r="E14761" s="2" t="str">
        <f>HYPERLINK("http://ts.21cn.com/tousu/show/id/1346371","http://ts.21cn.com/tousu/show/id/1346371")</f>
        <v>http://ts.21cn.com/tousu/show/id/1346371</v>
      </c>
      <c r="F14761" s="2" t="s">
        <v>11</v>
      </c>
      <c r="G14761" s="2" t="s">
        <v>15134</v>
      </c>
      <c r="H14761" s="2" t="s">
        <v>15135</v>
      </c>
    </row>
    <row r="14762" spans="1:8" ht="25.05" customHeight="1" x14ac:dyDescent="0.25">
      <c r="A14762" s="2" t="s">
        <v>8</v>
      </c>
      <c r="B14762" s="2" t="str">
        <f>HYPERLINK("http://ts.21cn.com/tousu/show/id/1342756","上海青客公寓以租房为诱饵诱导消费者办理华瑞银行消费贷款，牟取暴利！")</f>
        <v>上海青客公寓以租房为诱饵诱导消费者办理华瑞银行消费贷款，牟取暴利！</v>
      </c>
      <c r="C14762" s="2" t="s">
        <v>9</v>
      </c>
      <c r="D14762" s="2" t="s">
        <v>10</v>
      </c>
      <c r="E14762" s="2" t="str">
        <f>HYPERLINK("http://ts.21cn.com/tousu/show/id/1342756","http://ts.21cn.com/tousu/show/id/1342756")</f>
        <v>http://ts.21cn.com/tousu/show/id/1342756</v>
      </c>
      <c r="F14762" s="2" t="s">
        <v>11</v>
      </c>
      <c r="G14762" s="2" t="s">
        <v>15132</v>
      </c>
      <c r="H14762" s="2" t="s">
        <v>15133</v>
      </c>
    </row>
    <row r="14763" spans="1:8" ht="25.05" customHeight="1" x14ac:dyDescent="0.25">
      <c r="A14763" s="2" t="s">
        <v>8</v>
      </c>
      <c r="B14763" s="2" t="str">
        <f>HYPERLINK("http://ts.21cn.com/tousu/show/id/1346372","杉德支付北京正好博大科技有限公司请退还我的血汗钱！")</f>
        <v>杉德支付北京正好博大科技有限公司请退还我的血汗钱！</v>
      </c>
      <c r="C14763" s="2" t="s">
        <v>9</v>
      </c>
      <c r="D14763" s="2" t="s">
        <v>10</v>
      </c>
      <c r="E14763" s="2" t="str">
        <f>HYPERLINK("http://ts.21cn.com/tousu/show/id/1346372","http://ts.21cn.com/tousu/show/id/1346372")</f>
        <v>http://ts.21cn.com/tousu/show/id/1346372</v>
      </c>
      <c r="F14763" s="2" t="s">
        <v>11</v>
      </c>
      <c r="G14763" s="2" t="s">
        <v>15130</v>
      </c>
      <c r="H14763" s="2" t="s">
        <v>15131</v>
      </c>
    </row>
    <row r="14764" spans="1:8" ht="25.05" customHeight="1" x14ac:dyDescent="0.25">
      <c r="A14764" s="2" t="s">
        <v>8</v>
      </c>
      <c r="B14764" s="2" t="str">
        <f>HYPERLINK("http://ts.21cn.com/tousu/show/id/1346373","辱骂，态度差，暴力恐吓")</f>
        <v>辱骂，态度差，暴力恐吓</v>
      </c>
      <c r="C14764" s="2" t="s">
        <v>9</v>
      </c>
      <c r="D14764" s="2" t="s">
        <v>10</v>
      </c>
      <c r="E14764" s="2" t="str">
        <f>HYPERLINK("http://ts.21cn.com/tousu/show/id/1346373","http://ts.21cn.com/tousu/show/id/1346373")</f>
        <v>http://ts.21cn.com/tousu/show/id/1346373</v>
      </c>
      <c r="F14764" s="2" t="s">
        <v>11</v>
      </c>
      <c r="G14764" s="2" t="s">
        <v>15128</v>
      </c>
      <c r="H14764" s="2" t="s">
        <v>15129</v>
      </c>
    </row>
    <row r="14765" spans="1:8" ht="25.05" customHeight="1" x14ac:dyDescent="0.25">
      <c r="A14765" s="2" t="s">
        <v>8</v>
      </c>
      <c r="B14765" s="2" t="str">
        <f>HYPERLINK("http://ts.21cn.com/tousu/show/id/1346374","砍头息高利")</f>
        <v>砍头息高利</v>
      </c>
      <c r="C14765" s="2" t="s">
        <v>9</v>
      </c>
      <c r="D14765" s="2" t="s">
        <v>10</v>
      </c>
      <c r="E14765" s="2" t="str">
        <f>HYPERLINK("http://ts.21cn.com/tousu/show/id/1346374","http://ts.21cn.com/tousu/show/id/1346374")</f>
        <v>http://ts.21cn.com/tousu/show/id/1346374</v>
      </c>
      <c r="F14765" s="2" t="s">
        <v>11</v>
      </c>
      <c r="G14765" s="2" t="s">
        <v>15126</v>
      </c>
      <c r="H14765" s="2" t="s">
        <v>15127</v>
      </c>
    </row>
    <row r="14766" spans="1:8" ht="25.05" customHeight="1" x14ac:dyDescent="0.25">
      <c r="A14766" s="2" t="s">
        <v>8</v>
      </c>
      <c r="B14766" s="2" t="str">
        <f>HYPERLINK("http://ts.21cn.com/tousu/show/id/1344309","慧金宝支付为非法平台提供支付通道")</f>
        <v>慧金宝支付为非法平台提供支付通道</v>
      </c>
      <c r="C14766" s="2" t="s">
        <v>9</v>
      </c>
      <c r="D14766" s="2" t="s">
        <v>10</v>
      </c>
      <c r="E14766" s="2" t="str">
        <f>HYPERLINK("http://ts.21cn.com/tousu/show/id/1344309","http://ts.21cn.com/tousu/show/id/1344309")</f>
        <v>http://ts.21cn.com/tousu/show/id/1344309</v>
      </c>
      <c r="F14766" s="2" t="s">
        <v>11</v>
      </c>
      <c r="G14766" s="2" t="s">
        <v>15124</v>
      </c>
      <c r="H14766" s="2" t="s">
        <v>15125</v>
      </c>
    </row>
    <row r="14767" spans="1:8" ht="25.05" customHeight="1" x14ac:dyDescent="0.25">
      <c r="A14767" s="2" t="s">
        <v>8</v>
      </c>
      <c r="B14767" s="2" t="str">
        <f>HYPERLINK("http://ts.21cn.com/tousu/show/id/1346377","马上借款2800还3972")</f>
        <v>马上借款2800还3972</v>
      </c>
      <c r="C14767" s="2" t="s">
        <v>9</v>
      </c>
      <c r="D14767" s="2" t="s">
        <v>10</v>
      </c>
      <c r="E14767" s="2" t="str">
        <f>HYPERLINK("http://ts.21cn.com/tousu/show/id/1346377","http://ts.21cn.com/tousu/show/id/1346377")</f>
        <v>http://ts.21cn.com/tousu/show/id/1346377</v>
      </c>
      <c r="F14767" s="2" t="s">
        <v>11</v>
      </c>
      <c r="G14767" s="2" t="s">
        <v>15122</v>
      </c>
      <c r="H14767" s="2" t="s">
        <v>15123</v>
      </c>
    </row>
    <row r="14768" spans="1:8" ht="25.05" customHeight="1" x14ac:dyDescent="0.25">
      <c r="A14768" s="2" t="s">
        <v>8</v>
      </c>
      <c r="B14768" s="2" t="str">
        <f>HYPERLINK("http://ts.21cn.com/tousu/show/id/1346378","套路贷")</f>
        <v>套路贷</v>
      </c>
      <c r="C14768" s="2" t="s">
        <v>9</v>
      </c>
      <c r="D14768" s="2" t="s">
        <v>10</v>
      </c>
      <c r="E14768" s="2" t="str">
        <f>HYPERLINK("http://ts.21cn.com/tousu/show/id/1346378","http://ts.21cn.com/tousu/show/id/1346378")</f>
        <v>http://ts.21cn.com/tousu/show/id/1346378</v>
      </c>
      <c r="F14768" s="2" t="s">
        <v>11</v>
      </c>
      <c r="G14768" s="2" t="s">
        <v>15120</v>
      </c>
      <c r="H14768" s="2" t="s">
        <v>15121</v>
      </c>
    </row>
    <row r="14769" spans="1:8" ht="25.05" customHeight="1" x14ac:dyDescent="0.25">
      <c r="A14769" s="2" t="s">
        <v>8</v>
      </c>
      <c r="B14769" s="2" t="str">
        <f>HYPERLINK("http://ts.21cn.com/tousu/show/id/1346379","求求携程放过我们吧")</f>
        <v>求求携程放过我们吧</v>
      </c>
      <c r="C14769" s="2" t="s">
        <v>9</v>
      </c>
      <c r="D14769" s="2" t="s">
        <v>10</v>
      </c>
      <c r="E14769" s="2" t="str">
        <f>HYPERLINK("http://ts.21cn.com/tousu/show/id/1346379","http://ts.21cn.com/tousu/show/id/1346379")</f>
        <v>http://ts.21cn.com/tousu/show/id/1346379</v>
      </c>
      <c r="F14769" s="2" t="s">
        <v>11</v>
      </c>
      <c r="G14769" s="2" t="s">
        <v>15118</v>
      </c>
      <c r="H14769" s="2" t="s">
        <v>15119</v>
      </c>
    </row>
    <row r="14770" spans="1:8" ht="25.05" customHeight="1" x14ac:dyDescent="0.25">
      <c r="A14770" s="2" t="s">
        <v>8</v>
      </c>
      <c r="B14770" s="2" t="str">
        <f>HYPERLINK("http://ts.21cn.com/tousu/show/id/1346380","及贷非法高利贷催收")</f>
        <v>及贷非法高利贷催收</v>
      </c>
      <c r="C14770" s="2" t="s">
        <v>9</v>
      </c>
      <c r="D14770" s="2" t="s">
        <v>10</v>
      </c>
      <c r="E14770" s="2" t="str">
        <f>HYPERLINK("http://ts.21cn.com/tousu/show/id/1346380","http://ts.21cn.com/tousu/show/id/1346380")</f>
        <v>http://ts.21cn.com/tousu/show/id/1346380</v>
      </c>
      <c r="F14770" s="2" t="s">
        <v>11</v>
      </c>
      <c r="G14770" s="2" t="s">
        <v>15116</v>
      </c>
      <c r="H14770" s="2" t="s">
        <v>15117</v>
      </c>
    </row>
    <row r="14771" spans="1:8" ht="25.05" customHeight="1" x14ac:dyDescent="0.25">
      <c r="A14771" s="2" t="s">
        <v>8</v>
      </c>
      <c r="B14771" s="2" t="str">
        <f>HYPERLINK("http://ts.21cn.com/tousu/show/id/1346382","小黑鲨无法正常还款")</f>
        <v>小黑鲨无法正常还款</v>
      </c>
      <c r="C14771" s="2" t="s">
        <v>9</v>
      </c>
      <c r="D14771" s="2" t="s">
        <v>10</v>
      </c>
      <c r="E14771" s="2" t="str">
        <f>HYPERLINK("http://ts.21cn.com/tousu/show/id/1346382","http://ts.21cn.com/tousu/show/id/1346382")</f>
        <v>http://ts.21cn.com/tousu/show/id/1346382</v>
      </c>
      <c r="F14771" s="2" t="s">
        <v>11</v>
      </c>
      <c r="G14771" s="2" t="s">
        <v>15114</v>
      </c>
      <c r="H14771" s="2" t="s">
        <v>15115</v>
      </c>
    </row>
    <row r="14772" spans="1:8" ht="25.05" customHeight="1" x14ac:dyDescent="0.25">
      <c r="A14772" s="2" t="s">
        <v>8</v>
      </c>
      <c r="B14772" s="2" t="str">
        <f>HYPERLINK("http://ts.21cn.com/tousu/show/id/1346381","福州箭牌瓷砖无良商家")</f>
        <v>福州箭牌瓷砖无良商家</v>
      </c>
      <c r="C14772" s="2" t="s">
        <v>9</v>
      </c>
      <c r="D14772" s="2" t="s">
        <v>10</v>
      </c>
      <c r="E14772" s="2" t="str">
        <f>HYPERLINK("http://ts.21cn.com/tousu/show/id/1346381","http://ts.21cn.com/tousu/show/id/1346381")</f>
        <v>http://ts.21cn.com/tousu/show/id/1346381</v>
      </c>
      <c r="F14772" s="2" t="s">
        <v>11</v>
      </c>
      <c r="G14772" s="2" t="s">
        <v>15112</v>
      </c>
      <c r="H14772" s="2" t="s">
        <v>15113</v>
      </c>
    </row>
    <row r="14773" spans="1:8" ht="25.05" customHeight="1" x14ac:dyDescent="0.25">
      <c r="A14773" s="2" t="s">
        <v>8</v>
      </c>
      <c r="B14773" s="2" t="str">
        <f>HYPERLINK("http://ts.21cn.com/tousu/show/id/1346383","拍拍贷逾期一天就加35利息")</f>
        <v>拍拍贷逾期一天就加35利息</v>
      </c>
      <c r="C14773" s="2" t="s">
        <v>9</v>
      </c>
      <c r="D14773" s="2" t="s">
        <v>10</v>
      </c>
      <c r="E14773" s="2" t="str">
        <f>HYPERLINK("http://ts.21cn.com/tousu/show/id/1346383","http://ts.21cn.com/tousu/show/id/1346383")</f>
        <v>http://ts.21cn.com/tousu/show/id/1346383</v>
      </c>
      <c r="F14773" s="2" t="s">
        <v>11</v>
      </c>
      <c r="G14773" s="2" t="s">
        <v>15110</v>
      </c>
      <c r="H14773" s="2" t="s">
        <v>15111</v>
      </c>
    </row>
    <row r="14774" spans="1:8" ht="25.05" customHeight="1" x14ac:dyDescent="0.25">
      <c r="A14774" s="2" t="s">
        <v>8</v>
      </c>
      <c r="B14774" s="2" t="str">
        <f>HYPERLINK("http://ts.21cn.com/tousu/show/id/1346384","聚福钱包造艺科技乱扣款")</f>
        <v>聚福钱包造艺科技乱扣款</v>
      </c>
      <c r="C14774" s="2" t="s">
        <v>9</v>
      </c>
      <c r="D14774" s="2" t="s">
        <v>10</v>
      </c>
      <c r="E14774" s="2" t="str">
        <f>HYPERLINK("http://ts.21cn.com/tousu/show/id/1346384","http://ts.21cn.com/tousu/show/id/1346384")</f>
        <v>http://ts.21cn.com/tousu/show/id/1346384</v>
      </c>
      <c r="F14774" s="2" t="s">
        <v>11</v>
      </c>
      <c r="G14774" s="2" t="s">
        <v>15108</v>
      </c>
      <c r="H14774" s="2" t="s">
        <v>15109</v>
      </c>
    </row>
    <row r="14775" spans="1:8" ht="25.05" customHeight="1" x14ac:dyDescent="0.25">
      <c r="A14775" s="2" t="s">
        <v>8</v>
      </c>
      <c r="B14775" s="2" t="str">
        <f>HYPERLINK("http://ts.21cn.com/tousu/show/id/1346385","暴力放贷.暴力催收")</f>
        <v>暴力放贷.暴力催收</v>
      </c>
      <c r="C14775" s="2" t="s">
        <v>9</v>
      </c>
      <c r="D14775" s="2" t="s">
        <v>10</v>
      </c>
      <c r="E14775" s="2" t="str">
        <f>HYPERLINK("http://ts.21cn.com/tousu/show/id/1346385","http://ts.21cn.com/tousu/show/id/1346385")</f>
        <v>http://ts.21cn.com/tousu/show/id/1346385</v>
      </c>
      <c r="F14775" s="2" t="s">
        <v>11</v>
      </c>
      <c r="G14775" s="2" t="s">
        <v>15106</v>
      </c>
      <c r="H14775" s="2" t="s">
        <v>15107</v>
      </c>
    </row>
    <row r="14776" spans="1:8" ht="25.05" customHeight="1" x14ac:dyDescent="0.25">
      <c r="A14776" s="2" t="s">
        <v>8</v>
      </c>
      <c r="B14776" s="2" t="str">
        <f>HYPERLINK("http://ts.21cn.com/tousu/show/id/1346386","车子被运管扣了，滴滴一直拖着不给我处理，我要拿回我的车")</f>
        <v>车子被运管扣了，滴滴一直拖着不给我处理，我要拿回我的车</v>
      </c>
      <c r="C14776" s="2" t="s">
        <v>9</v>
      </c>
      <c r="D14776" s="2" t="s">
        <v>10</v>
      </c>
      <c r="E14776" s="2" t="str">
        <f>HYPERLINK("http://ts.21cn.com/tousu/show/id/1346386","http://ts.21cn.com/tousu/show/id/1346386")</f>
        <v>http://ts.21cn.com/tousu/show/id/1346386</v>
      </c>
      <c r="F14776" s="2" t="s">
        <v>11</v>
      </c>
      <c r="G14776" s="2" t="s">
        <v>15103</v>
      </c>
      <c r="H14776" s="2" t="s">
        <v>15104</v>
      </c>
    </row>
    <row r="14777" spans="1:8" ht="25.05" customHeight="1" x14ac:dyDescent="0.25">
      <c r="A14777" s="2" t="s">
        <v>8</v>
      </c>
      <c r="B14777" s="2" t="str">
        <f>HYPERLINK("http://ts.21cn.com/tousu/show/id/1346388","龙行管家虚假宣传误导办卡")</f>
        <v>龙行管家虚假宣传误导办卡</v>
      </c>
      <c r="C14777" s="2" t="s">
        <v>9</v>
      </c>
      <c r="D14777" s="2" t="s">
        <v>10</v>
      </c>
      <c r="E14777" s="2" t="str">
        <f>HYPERLINK("http://ts.21cn.com/tousu/show/id/1346388","http://ts.21cn.com/tousu/show/id/1346388")</f>
        <v>http://ts.21cn.com/tousu/show/id/1346388</v>
      </c>
      <c r="F14777" s="2" t="s">
        <v>11</v>
      </c>
      <c r="G14777" s="2" t="s">
        <v>15103</v>
      </c>
      <c r="H14777" s="2" t="s">
        <v>15105</v>
      </c>
    </row>
    <row r="14778" spans="1:8" ht="25.05" customHeight="1" x14ac:dyDescent="0.25">
      <c r="A14778" s="2" t="s">
        <v>8</v>
      </c>
      <c r="B14778" s="2" t="str">
        <f>HYPERLINK("http://ts.21cn.com/tousu/show/id/1346387","砍头利息跟变更还款期数")</f>
        <v>砍头利息跟变更还款期数</v>
      </c>
      <c r="C14778" s="2" t="s">
        <v>9</v>
      </c>
      <c r="D14778" s="2" t="s">
        <v>10</v>
      </c>
      <c r="E14778" s="2" t="str">
        <f>HYPERLINK("http://ts.21cn.com/tousu/show/id/1346387","http://ts.21cn.com/tousu/show/id/1346387")</f>
        <v>http://ts.21cn.com/tousu/show/id/1346387</v>
      </c>
      <c r="F14778" s="2" t="s">
        <v>11</v>
      </c>
      <c r="G14778" s="2" t="s">
        <v>15101</v>
      </c>
      <c r="H14778" s="2" t="s">
        <v>15102</v>
      </c>
    </row>
    <row r="14779" spans="1:8" ht="25.05" customHeight="1" x14ac:dyDescent="0.25">
      <c r="A14779" s="2" t="s">
        <v>8</v>
      </c>
      <c r="B14779" s="2" t="str">
        <f>HYPERLINK("http://ts.21cn.com/tousu/show/id/1343589","银生宝支付机构始终都是敷衍我的态度")</f>
        <v>银生宝支付机构始终都是敷衍我的态度</v>
      </c>
      <c r="C14779" s="2" t="s">
        <v>9</v>
      </c>
      <c r="D14779" s="2" t="s">
        <v>10</v>
      </c>
      <c r="E14779" s="2" t="str">
        <f>HYPERLINK("http://ts.21cn.com/tousu/show/id/1343589","http://ts.21cn.com/tousu/show/id/1343589")</f>
        <v>http://ts.21cn.com/tousu/show/id/1343589</v>
      </c>
      <c r="F14779" s="2" t="s">
        <v>11</v>
      </c>
      <c r="G14779" s="2" t="s">
        <v>15099</v>
      </c>
      <c r="H14779" s="2" t="s">
        <v>15100</v>
      </c>
    </row>
    <row r="14780" spans="1:8" ht="25.05" customHeight="1" x14ac:dyDescent="0.25">
      <c r="A14780" s="2" t="s">
        <v>8</v>
      </c>
      <c r="B14780" s="2" t="str">
        <f>HYPERLINK("http://ts.21cn.com/tousu/show/id/1346309","石头管家高利贷")</f>
        <v>石头管家高利贷</v>
      </c>
      <c r="C14780" s="2" t="s">
        <v>9</v>
      </c>
      <c r="D14780" s="2" t="s">
        <v>10</v>
      </c>
      <c r="E14780" s="2" t="str">
        <f>HYPERLINK("http://ts.21cn.com/tousu/show/id/1346309","http://ts.21cn.com/tousu/show/id/1346309")</f>
        <v>http://ts.21cn.com/tousu/show/id/1346309</v>
      </c>
      <c r="F14780" s="2" t="s">
        <v>11</v>
      </c>
      <c r="G14780" s="2" t="s">
        <v>15097</v>
      </c>
      <c r="H14780" s="2" t="s">
        <v>15098</v>
      </c>
    </row>
    <row r="14781" spans="1:8" ht="25.05" customHeight="1" x14ac:dyDescent="0.25">
      <c r="A14781" s="2" t="s">
        <v>8</v>
      </c>
      <c r="B14781" s="2" t="str">
        <f>HYPERLINK("http://ts.21cn.com/tousu/show/id/1346392","借贷宝套路高利贷，还款以后不销条")</f>
        <v>借贷宝套路高利贷，还款以后不销条</v>
      </c>
      <c r="C14781" s="2" t="s">
        <v>9</v>
      </c>
      <c r="D14781" s="2" t="s">
        <v>10</v>
      </c>
      <c r="E14781" s="2" t="str">
        <f>HYPERLINK("http://ts.21cn.com/tousu/show/id/1346392","http://ts.21cn.com/tousu/show/id/1346392")</f>
        <v>http://ts.21cn.com/tousu/show/id/1346392</v>
      </c>
      <c r="F14781" s="2" t="s">
        <v>11</v>
      </c>
      <c r="G14781" s="2" t="s">
        <v>15095</v>
      </c>
      <c r="H14781" s="2" t="s">
        <v>15096</v>
      </c>
    </row>
    <row r="14782" spans="1:8" ht="25.05" customHeight="1" x14ac:dyDescent="0.25">
      <c r="A14782" s="2" t="s">
        <v>8</v>
      </c>
      <c r="B14782" s="2" t="str">
        <f>HYPERLINK("http://ts.21cn.com/tousu/show/id/1346389","中信银行信用卡遭集体投诉，三成系盗刷问题")</f>
        <v>中信银行信用卡遭集体投诉，三成系盗刷问题</v>
      </c>
      <c r="C14782" s="2" t="s">
        <v>9</v>
      </c>
      <c r="D14782" s="2" t="s">
        <v>10</v>
      </c>
      <c r="E14782" s="2" t="str">
        <f>HYPERLINK("http://ts.21cn.com/tousu/show/id/1346389","http://ts.21cn.com/tousu/show/id/1346389")</f>
        <v>http://ts.21cn.com/tousu/show/id/1346389</v>
      </c>
      <c r="F14782" s="2" t="s">
        <v>11</v>
      </c>
      <c r="G14782" s="2" t="s">
        <v>15093</v>
      </c>
      <c r="H14782" s="2" t="s">
        <v>15094</v>
      </c>
    </row>
    <row r="14783" spans="1:8" ht="25.05" customHeight="1" x14ac:dyDescent="0.25">
      <c r="A14783" s="2" t="s">
        <v>8</v>
      </c>
      <c r="B14783" s="2" t="str">
        <f>HYPERLINK("http://ts.21cn.com/tousu/show/id/1346390","微粒贷恶意骚扰家人朋友暴力催收")</f>
        <v>微粒贷恶意骚扰家人朋友暴力催收</v>
      </c>
      <c r="C14783" s="2" t="s">
        <v>9</v>
      </c>
      <c r="D14783" s="2" t="s">
        <v>10</v>
      </c>
      <c r="E14783" s="2" t="str">
        <f>HYPERLINK("http://ts.21cn.com/tousu/show/id/1346390","http://ts.21cn.com/tousu/show/id/1346390")</f>
        <v>http://ts.21cn.com/tousu/show/id/1346390</v>
      </c>
      <c r="F14783" s="2" t="s">
        <v>11</v>
      </c>
      <c r="G14783" s="2" t="s">
        <v>15091</v>
      </c>
      <c r="H14783" s="2" t="s">
        <v>15092</v>
      </c>
    </row>
    <row r="14784" spans="1:8" ht="25.05" customHeight="1" x14ac:dyDescent="0.25">
      <c r="A14784" s="2" t="s">
        <v>8</v>
      </c>
      <c r="B14784" s="2" t="str">
        <f>HYPERLINK("http://ts.21cn.com/tousu/show/id/1346394","自由魔卡六便士套路贷")</f>
        <v>自由魔卡六便士套路贷</v>
      </c>
      <c r="C14784" s="2" t="s">
        <v>9</v>
      </c>
      <c r="D14784" s="2" t="s">
        <v>10</v>
      </c>
      <c r="E14784" s="2" t="str">
        <f>HYPERLINK("http://ts.21cn.com/tousu/show/id/1346394","http://ts.21cn.com/tousu/show/id/1346394")</f>
        <v>http://ts.21cn.com/tousu/show/id/1346394</v>
      </c>
      <c r="F14784" s="2" t="s">
        <v>11</v>
      </c>
      <c r="G14784" s="2" t="s">
        <v>15089</v>
      </c>
      <c r="H14784" s="2" t="s">
        <v>15090</v>
      </c>
    </row>
    <row r="14785" spans="1:8" ht="25.05" customHeight="1" x14ac:dyDescent="0.25">
      <c r="A14785" s="2" t="s">
        <v>8</v>
      </c>
      <c r="B14785" s="2" t="str">
        <f>HYPERLINK("http://ts.21cn.com/tousu/show/id/1346395","现金巴士套路贷")</f>
        <v>现金巴士套路贷</v>
      </c>
      <c r="C14785" s="2" t="s">
        <v>9</v>
      </c>
      <c r="D14785" s="2" t="s">
        <v>10</v>
      </c>
      <c r="E14785" s="2" t="str">
        <f>HYPERLINK("http://ts.21cn.com/tousu/show/id/1346395","http://ts.21cn.com/tousu/show/id/1346395")</f>
        <v>http://ts.21cn.com/tousu/show/id/1346395</v>
      </c>
      <c r="F14785" s="2" t="s">
        <v>11</v>
      </c>
      <c r="G14785" s="2" t="s">
        <v>15086</v>
      </c>
      <c r="H14785" s="2" t="s">
        <v>15087</v>
      </c>
    </row>
    <row r="14786" spans="1:8" ht="25.05" customHeight="1" x14ac:dyDescent="0.25">
      <c r="A14786" s="2" t="s">
        <v>8</v>
      </c>
      <c r="B14786" s="2" t="str">
        <f>HYPERLINK("http://ts.21cn.com/tousu/show/id/1346391","钱站收取高额利息费用，要求降低合理利益")</f>
        <v>钱站收取高额利息费用，要求降低合理利益</v>
      </c>
      <c r="C14786" s="2" t="s">
        <v>9</v>
      </c>
      <c r="D14786" s="2" t="s">
        <v>10</v>
      </c>
      <c r="E14786" s="2" t="str">
        <f>HYPERLINK("http://ts.21cn.com/tousu/show/id/1346391","http://ts.21cn.com/tousu/show/id/1346391")</f>
        <v>http://ts.21cn.com/tousu/show/id/1346391</v>
      </c>
      <c r="F14786" s="2" t="s">
        <v>11</v>
      </c>
      <c r="G14786" s="2" t="s">
        <v>15086</v>
      </c>
      <c r="H14786" s="2" t="s">
        <v>15088</v>
      </c>
    </row>
    <row r="14787" spans="1:8" ht="25.05" customHeight="1" x14ac:dyDescent="0.25">
      <c r="A14787" s="2" t="s">
        <v>8</v>
      </c>
      <c r="B14787" s="2" t="str">
        <f>HYPERLINK("http://ts.21cn.com/tousu/show/id/1346393","笑脸金融恶意催收还款不处理")</f>
        <v>笑脸金融恶意催收还款不处理</v>
      </c>
      <c r="C14787" s="2" t="s">
        <v>9</v>
      </c>
      <c r="D14787" s="2" t="s">
        <v>10</v>
      </c>
      <c r="E14787" s="2" t="str">
        <f>HYPERLINK("http://ts.21cn.com/tousu/show/id/1346393","http://ts.21cn.com/tousu/show/id/1346393")</f>
        <v>http://ts.21cn.com/tousu/show/id/1346393</v>
      </c>
      <c r="F14787" s="2" t="s">
        <v>11</v>
      </c>
      <c r="G14787" s="2" t="s">
        <v>15084</v>
      </c>
      <c r="H14787" s="2" t="s">
        <v>15085</v>
      </c>
    </row>
    <row r="14788" spans="1:8" ht="25.05" customHeight="1" x14ac:dyDescent="0.25">
      <c r="A14788" s="2" t="s">
        <v>8</v>
      </c>
      <c r="B14788" s="2" t="str">
        <f>HYPERLINK("http://ts.21cn.com/tousu/show/id/1346397","宝贝支付卡钱不给钱")</f>
        <v>宝贝支付卡钱不给钱</v>
      </c>
      <c r="C14788" s="2" t="s">
        <v>9</v>
      </c>
      <c r="D14788" s="2" t="s">
        <v>10</v>
      </c>
      <c r="E14788" s="2" t="str">
        <f>HYPERLINK("http://ts.21cn.com/tousu/show/id/1346397","http://ts.21cn.com/tousu/show/id/1346397")</f>
        <v>http://ts.21cn.com/tousu/show/id/1346397</v>
      </c>
      <c r="F14788" s="2" t="s">
        <v>11</v>
      </c>
      <c r="G14788" s="2" t="s">
        <v>15082</v>
      </c>
      <c r="H14788" s="2" t="s">
        <v>15083</v>
      </c>
    </row>
    <row r="14789" spans="1:8" ht="25.05" customHeight="1" x14ac:dyDescent="0.25">
      <c r="A14789" s="2" t="s">
        <v>8</v>
      </c>
      <c r="B14789" s="2" t="str">
        <f>HYPERLINK("http://ts.21cn.com/tousu/show/id/1346396","钱站高利贷阴阳合同")</f>
        <v>钱站高利贷阴阳合同</v>
      </c>
      <c r="C14789" s="2" t="s">
        <v>9</v>
      </c>
      <c r="D14789" s="2" t="s">
        <v>10</v>
      </c>
      <c r="E14789" s="2" t="str">
        <f>HYPERLINK("http://ts.21cn.com/tousu/show/id/1346396","http://ts.21cn.com/tousu/show/id/1346396")</f>
        <v>http://ts.21cn.com/tousu/show/id/1346396</v>
      </c>
      <c r="F14789" s="2" t="s">
        <v>11</v>
      </c>
      <c r="G14789" s="2" t="s">
        <v>15080</v>
      </c>
      <c r="H14789" s="2" t="s">
        <v>15081</v>
      </c>
    </row>
    <row r="14790" spans="1:8" ht="25.05" customHeight="1" x14ac:dyDescent="0.25">
      <c r="A14790" s="2" t="s">
        <v>8</v>
      </c>
      <c r="B14790" s="2" t="str">
        <f>HYPERLINK("http://ts.21cn.com/tousu/show/id/1346398","钱站高利贷阴阳合同")</f>
        <v>钱站高利贷阴阳合同</v>
      </c>
      <c r="C14790" s="2" t="s">
        <v>9</v>
      </c>
      <c r="D14790" s="2" t="s">
        <v>10</v>
      </c>
      <c r="E14790" s="2" t="str">
        <f>HYPERLINK("http://ts.21cn.com/tousu/show/id/1346398","http://ts.21cn.com/tousu/show/id/1346398")</f>
        <v>http://ts.21cn.com/tousu/show/id/1346398</v>
      </c>
      <c r="F14790" s="2" t="s">
        <v>11</v>
      </c>
      <c r="G14790" s="2" t="s">
        <v>15078</v>
      </c>
      <c r="H14790" s="2" t="s">
        <v>15079</v>
      </c>
    </row>
    <row r="14791" spans="1:8" ht="25.05" customHeight="1" x14ac:dyDescent="0.25">
      <c r="A14791" s="2" t="s">
        <v>8</v>
      </c>
      <c r="B14791" s="2" t="str">
        <f>HYPERLINK("http://ts.21cn.com/tousu/show/id/1346400","要求退款")</f>
        <v>要求退款</v>
      </c>
      <c r="C14791" s="2" t="s">
        <v>9</v>
      </c>
      <c r="D14791" s="2" t="s">
        <v>10</v>
      </c>
      <c r="E14791" s="2" t="str">
        <f>HYPERLINK("http://ts.21cn.com/tousu/show/id/1346400","http://ts.21cn.com/tousu/show/id/1346400")</f>
        <v>http://ts.21cn.com/tousu/show/id/1346400</v>
      </c>
      <c r="F14791" s="2" t="s">
        <v>11</v>
      </c>
      <c r="G14791" s="2" t="s">
        <v>15076</v>
      </c>
      <c r="H14791" s="2" t="s">
        <v>15077</v>
      </c>
    </row>
    <row r="14792" spans="1:8" ht="25.05" customHeight="1" x14ac:dyDescent="0.25">
      <c r="A14792" s="2" t="s">
        <v>8</v>
      </c>
      <c r="B14792" s="2" t="str">
        <f>HYPERLINK("http://ts.21cn.com/tousu/show/id/1346399","凡普金科对我进行威胁恐吓态度恶劣")</f>
        <v>凡普金科对我进行威胁恐吓态度恶劣</v>
      </c>
      <c r="C14792" s="2" t="s">
        <v>9</v>
      </c>
      <c r="D14792" s="2" t="s">
        <v>10</v>
      </c>
      <c r="E14792" s="2" t="str">
        <f>HYPERLINK("http://ts.21cn.com/tousu/show/id/1346399","http://ts.21cn.com/tousu/show/id/1346399")</f>
        <v>http://ts.21cn.com/tousu/show/id/1346399</v>
      </c>
      <c r="F14792" s="2" t="s">
        <v>11</v>
      </c>
      <c r="G14792" s="2" t="s">
        <v>15074</v>
      </c>
      <c r="H14792" s="2" t="s">
        <v>15075</v>
      </c>
    </row>
    <row r="14793" spans="1:8" ht="25.05" customHeight="1" x14ac:dyDescent="0.25">
      <c r="A14793" s="2" t="s">
        <v>8</v>
      </c>
      <c r="B14793" s="2" t="str">
        <f>HYPERLINK("http://ts.21cn.com/tousu/show/id/1346402","钱站恶意放款，现实申请没通过客服回电我不需要了还放款，利息高的吓人12期该3期借3000还3914.13")</f>
        <v>钱站恶意放款，现实申请没通过客服回电我不需要了还放款，利息高的吓人12期该3期借3000还3914.13</v>
      </c>
      <c r="C14793" s="2" t="s">
        <v>9</v>
      </c>
      <c r="D14793" s="2" t="s">
        <v>10</v>
      </c>
      <c r="E14793" s="2" t="str">
        <f>HYPERLINK("http://ts.21cn.com/tousu/show/id/1346402","http://ts.21cn.com/tousu/show/id/1346402")</f>
        <v>http://ts.21cn.com/tousu/show/id/1346402</v>
      </c>
      <c r="F14793" s="2" t="s">
        <v>11</v>
      </c>
      <c r="G14793" s="2" t="s">
        <v>15072</v>
      </c>
      <c r="H14793" s="2" t="s">
        <v>15073</v>
      </c>
    </row>
    <row r="14794" spans="1:8" ht="25.05" customHeight="1" x14ac:dyDescent="0.25">
      <c r="A14794" s="2" t="s">
        <v>8</v>
      </c>
      <c r="B14794" s="2" t="str">
        <f>HYPERLINK("http://ts.21cn.com/tousu/show/id/1346403","众安保险在本人不知情的情况下捆绑金融贷款销售")</f>
        <v>众安保险在本人不知情的情况下捆绑金融贷款销售</v>
      </c>
      <c r="C14794" s="2" t="s">
        <v>9</v>
      </c>
      <c r="D14794" s="2" t="s">
        <v>10</v>
      </c>
      <c r="E14794" s="2" t="str">
        <f>HYPERLINK("http://ts.21cn.com/tousu/show/id/1346403","http://ts.21cn.com/tousu/show/id/1346403")</f>
        <v>http://ts.21cn.com/tousu/show/id/1346403</v>
      </c>
      <c r="F14794" s="2" t="s">
        <v>11</v>
      </c>
      <c r="G14794" s="2" t="s">
        <v>15070</v>
      </c>
      <c r="H14794" s="2" t="s">
        <v>15071</v>
      </c>
    </row>
    <row r="14795" spans="1:8" ht="25.05" customHeight="1" x14ac:dyDescent="0.25">
      <c r="A14795" s="2" t="s">
        <v>8</v>
      </c>
      <c r="B14795" s="2" t="str">
        <f>HYPERLINK("http://ts.21cn.com/tousu/show/id/1346404","超高利息，乱收逾期费")</f>
        <v>超高利息，乱收逾期费</v>
      </c>
      <c r="C14795" s="2" t="s">
        <v>9</v>
      </c>
      <c r="D14795" s="2" t="s">
        <v>10</v>
      </c>
      <c r="E14795" s="2" t="str">
        <f>HYPERLINK("http://ts.21cn.com/tousu/show/id/1346404","http://ts.21cn.com/tousu/show/id/1346404")</f>
        <v>http://ts.21cn.com/tousu/show/id/1346404</v>
      </c>
      <c r="F14795" s="2" t="s">
        <v>11</v>
      </c>
      <c r="G14795" s="2" t="s">
        <v>15068</v>
      </c>
      <c r="H14795" s="2" t="s">
        <v>15069</v>
      </c>
    </row>
    <row r="14796" spans="1:8" ht="25.05" customHeight="1" x14ac:dyDescent="0.25">
      <c r="A14796" s="2" t="s">
        <v>8</v>
      </c>
      <c r="B14796" s="2" t="str">
        <f>HYPERLINK("http://ts.21cn.com/tousu/show/id/1346406","招商信用卡逾期催收问题")</f>
        <v>招商信用卡逾期催收问题</v>
      </c>
      <c r="C14796" s="2" t="s">
        <v>9</v>
      </c>
      <c r="D14796" s="2" t="s">
        <v>10</v>
      </c>
      <c r="E14796" s="2" t="str">
        <f>HYPERLINK("http://ts.21cn.com/tousu/show/id/1346406","http://ts.21cn.com/tousu/show/id/1346406")</f>
        <v>http://ts.21cn.com/tousu/show/id/1346406</v>
      </c>
      <c r="F14796" s="2" t="s">
        <v>11</v>
      </c>
      <c r="G14796" s="2" t="s">
        <v>15066</v>
      </c>
      <c r="H14796" s="2" t="s">
        <v>15067</v>
      </c>
    </row>
    <row r="14797" spans="1:8" ht="25.05" customHeight="1" x14ac:dyDescent="0.25">
      <c r="A14797" s="2" t="s">
        <v>8</v>
      </c>
      <c r="B14797" s="2" t="str">
        <f>HYPERLINK("http://ts.21cn.com/tousu/show/id/1346407","贷上钱拨打通讯录")</f>
        <v>贷上钱拨打通讯录</v>
      </c>
      <c r="C14797" s="2" t="s">
        <v>34</v>
      </c>
      <c r="D14797" s="2" t="s">
        <v>10</v>
      </c>
      <c r="E14797" s="2" t="str">
        <f>HYPERLINK("http://ts.21cn.com/tousu/show/id/1346407","http://ts.21cn.com/tousu/show/id/1346407")</f>
        <v>http://ts.21cn.com/tousu/show/id/1346407</v>
      </c>
      <c r="F14797" s="2" t="s">
        <v>11</v>
      </c>
      <c r="G14797" s="2" t="s">
        <v>15064</v>
      </c>
      <c r="H14797" s="2" t="s">
        <v>15065</v>
      </c>
    </row>
    <row r="14798" spans="1:8" ht="25.05" customHeight="1" x14ac:dyDescent="0.25">
      <c r="A14798" s="2" t="s">
        <v>8</v>
      </c>
      <c r="B14798" s="2" t="str">
        <f>HYPERLINK("http://ts.21cn.com/tousu/show/id/1346405","投诉闪电借款平台收取不合理费用")</f>
        <v>投诉闪电借款平台收取不合理费用</v>
      </c>
      <c r="C14798" s="2" t="s">
        <v>9</v>
      </c>
      <c r="D14798" s="2" t="s">
        <v>10</v>
      </c>
      <c r="E14798" s="2" t="str">
        <f>HYPERLINK("http://ts.21cn.com/tousu/show/id/1346405","http://ts.21cn.com/tousu/show/id/1346405")</f>
        <v>http://ts.21cn.com/tousu/show/id/1346405</v>
      </c>
      <c r="F14798" s="2" t="s">
        <v>11</v>
      </c>
      <c r="G14798" s="2" t="s">
        <v>15062</v>
      </c>
      <c r="H14798" s="2" t="s">
        <v>15063</v>
      </c>
    </row>
    <row r="14799" spans="1:8" ht="25.05" customHeight="1" x14ac:dyDescent="0.25">
      <c r="A14799" s="2" t="s">
        <v>8</v>
      </c>
      <c r="B14799" s="2" t="str">
        <f>HYPERLINK("http://ts.21cn.com/tousu/show/id/1346408","支付宝收款码异常问题l")</f>
        <v>支付宝收款码异常问题l</v>
      </c>
      <c r="C14799" s="2" t="s">
        <v>9</v>
      </c>
      <c r="D14799" s="2" t="s">
        <v>10</v>
      </c>
      <c r="E14799" s="2" t="str">
        <f>HYPERLINK("http://ts.21cn.com/tousu/show/id/1346408","http://ts.21cn.com/tousu/show/id/1346408")</f>
        <v>http://ts.21cn.com/tousu/show/id/1346408</v>
      </c>
      <c r="F14799" s="2" t="s">
        <v>11</v>
      </c>
      <c r="G14799" s="2" t="s">
        <v>15060</v>
      </c>
      <c r="H14799" s="2" t="s">
        <v>15061</v>
      </c>
    </row>
    <row r="14800" spans="1:8" ht="25.05" customHeight="1" x14ac:dyDescent="0.25">
      <c r="A14800" s="2" t="s">
        <v>8</v>
      </c>
      <c r="B14800" s="2" t="str">
        <f>HYPERLINK("http://ts.21cn.com/tousu/show/id/1346409","众安保险在投保人不知情的情况捆绑销售保险")</f>
        <v>众安保险在投保人不知情的情况捆绑销售保险</v>
      </c>
      <c r="C14800" s="2" t="s">
        <v>9</v>
      </c>
      <c r="D14800" s="2" t="s">
        <v>10</v>
      </c>
      <c r="E14800" s="2" t="str">
        <f>HYPERLINK("http://ts.21cn.com/tousu/show/id/1346409","http://ts.21cn.com/tousu/show/id/1346409")</f>
        <v>http://ts.21cn.com/tousu/show/id/1346409</v>
      </c>
      <c r="F14800" s="2" t="s">
        <v>11</v>
      </c>
      <c r="G14800" s="2" t="s">
        <v>15058</v>
      </c>
      <c r="H14800" s="2" t="s">
        <v>15059</v>
      </c>
    </row>
    <row r="14801" spans="1:8" ht="25.05" customHeight="1" x14ac:dyDescent="0.25">
      <c r="A14801" s="2" t="s">
        <v>8</v>
      </c>
      <c r="B14801" s="2" t="str">
        <f>HYPERLINK("http://ts.21cn.com/tousu/show/id/1346411","玖富万卡高利贷、砍头息")</f>
        <v>玖富万卡高利贷、砍头息</v>
      </c>
      <c r="C14801" s="2" t="s">
        <v>9</v>
      </c>
      <c r="D14801" s="2" t="s">
        <v>10</v>
      </c>
      <c r="E14801" s="2" t="str">
        <f>HYPERLINK("http://ts.21cn.com/tousu/show/id/1346411","http://ts.21cn.com/tousu/show/id/1346411")</f>
        <v>http://ts.21cn.com/tousu/show/id/1346411</v>
      </c>
      <c r="F14801" s="2" t="s">
        <v>11</v>
      </c>
      <c r="G14801" s="2" t="s">
        <v>15056</v>
      </c>
      <c r="H14801" s="2" t="s">
        <v>15057</v>
      </c>
    </row>
    <row r="14802" spans="1:8" ht="25.05" customHeight="1" x14ac:dyDescent="0.25">
      <c r="A14802" s="2" t="s">
        <v>8</v>
      </c>
      <c r="B14802" s="2" t="str">
        <f>HYPERLINK("http://ts.21cn.com/tousu/show/id/1346412","我来数科高额利息费用")</f>
        <v>我来数科高额利息费用</v>
      </c>
      <c r="C14802" s="2" t="s">
        <v>34</v>
      </c>
      <c r="D14802" s="2" t="s">
        <v>10</v>
      </c>
      <c r="E14802" s="2" t="str">
        <f>HYPERLINK("http://ts.21cn.com/tousu/show/id/1346412","http://ts.21cn.com/tousu/show/id/1346412")</f>
        <v>http://ts.21cn.com/tousu/show/id/1346412</v>
      </c>
      <c r="F14802" s="2" t="s">
        <v>11</v>
      </c>
      <c r="G14802" s="2" t="s">
        <v>15054</v>
      </c>
      <c r="H14802" s="2" t="s">
        <v>15055</v>
      </c>
    </row>
    <row r="14803" spans="1:8" ht="25.05" customHeight="1" x14ac:dyDescent="0.25">
      <c r="A14803" s="2" t="s">
        <v>8</v>
      </c>
      <c r="B14803" s="2" t="str">
        <f>HYPERLINK("http://ts.21cn.com/tousu/show/id/1346414","拍拍贷协商处理")</f>
        <v>拍拍贷协商处理</v>
      </c>
      <c r="C14803" s="2" t="s">
        <v>9</v>
      </c>
      <c r="D14803" s="2" t="s">
        <v>10</v>
      </c>
      <c r="E14803" s="2" t="str">
        <f>HYPERLINK("http://ts.21cn.com/tousu/show/id/1346414","http://ts.21cn.com/tousu/show/id/1346414")</f>
        <v>http://ts.21cn.com/tousu/show/id/1346414</v>
      </c>
      <c r="F14803" s="2" t="s">
        <v>11</v>
      </c>
      <c r="G14803" s="2" t="s">
        <v>15052</v>
      </c>
      <c r="H14803" s="2" t="s">
        <v>15053</v>
      </c>
    </row>
    <row r="14804" spans="1:8" ht="25.05" customHeight="1" x14ac:dyDescent="0.25">
      <c r="A14804" s="2" t="s">
        <v>8</v>
      </c>
      <c r="B14804" s="2" t="str">
        <f>HYPERLINK("http://ts.21cn.com/tousu/show/id/1346410","非法操作")</f>
        <v>非法操作</v>
      </c>
      <c r="C14804" s="2" t="s">
        <v>9</v>
      </c>
      <c r="D14804" s="2" t="s">
        <v>10</v>
      </c>
      <c r="E14804" s="2" t="str">
        <f>HYPERLINK("http://ts.21cn.com/tousu/show/id/1346410","http://ts.21cn.com/tousu/show/id/1346410")</f>
        <v>http://ts.21cn.com/tousu/show/id/1346410</v>
      </c>
      <c r="F14804" s="2" t="s">
        <v>11</v>
      </c>
      <c r="G14804" s="2" t="s">
        <v>15050</v>
      </c>
      <c r="H14804" s="2" t="s">
        <v>15051</v>
      </c>
    </row>
    <row r="14805" spans="1:8" ht="25.05" customHeight="1" x14ac:dyDescent="0.25">
      <c r="A14805" s="2" t="s">
        <v>8</v>
      </c>
      <c r="B14805" s="2" t="str">
        <f>HYPERLINK("http://ts.21cn.com/tousu/show/id/1345825","拿回我的工资")</f>
        <v>拿回我的工资</v>
      </c>
      <c r="C14805" s="2" t="s">
        <v>9</v>
      </c>
      <c r="D14805" s="2" t="s">
        <v>10</v>
      </c>
      <c r="E14805" s="2" t="str">
        <f>HYPERLINK("http://ts.21cn.com/tousu/show/id/1345825","http://ts.21cn.com/tousu/show/id/1345825")</f>
        <v>http://ts.21cn.com/tousu/show/id/1345825</v>
      </c>
      <c r="F14805" s="2" t="s">
        <v>11</v>
      </c>
      <c r="G14805" s="2" t="s">
        <v>15048</v>
      </c>
      <c r="H14805" s="2" t="s">
        <v>15049</v>
      </c>
    </row>
    <row r="14806" spans="1:8" ht="25.05" customHeight="1" x14ac:dyDescent="0.25">
      <c r="A14806" s="2" t="s">
        <v>8</v>
      </c>
      <c r="B14806" s="2" t="str">
        <f>HYPERLINK("http://ts.21cn.com/tousu/show/id/1346415","暴力催收")</f>
        <v>暴力催收</v>
      </c>
      <c r="C14806" s="2" t="s">
        <v>9</v>
      </c>
      <c r="D14806" s="2" t="s">
        <v>10</v>
      </c>
      <c r="E14806" s="2" t="str">
        <f>HYPERLINK("http://ts.21cn.com/tousu/show/id/1346415","http://ts.21cn.com/tousu/show/id/1346415")</f>
        <v>http://ts.21cn.com/tousu/show/id/1346415</v>
      </c>
      <c r="F14806" s="2" t="s">
        <v>11</v>
      </c>
      <c r="G14806" s="2" t="s">
        <v>15046</v>
      </c>
      <c r="H14806" s="2" t="s">
        <v>15047</v>
      </c>
    </row>
    <row r="14807" spans="1:8" ht="25.05" customHeight="1" x14ac:dyDescent="0.25">
      <c r="A14807" s="2" t="s">
        <v>8</v>
      </c>
      <c r="B14807" s="2" t="str">
        <f>HYPERLINK("http://ts.21cn.com/tousu/show/id/1346416","还款还逾期")</f>
        <v>还款还逾期</v>
      </c>
      <c r="C14807" s="2" t="s">
        <v>34</v>
      </c>
      <c r="D14807" s="2" t="s">
        <v>10</v>
      </c>
      <c r="E14807" s="2" t="str">
        <f>HYPERLINK("http://ts.21cn.com/tousu/show/id/1346416","http://ts.21cn.com/tousu/show/id/1346416")</f>
        <v>http://ts.21cn.com/tousu/show/id/1346416</v>
      </c>
      <c r="F14807" s="2" t="s">
        <v>11</v>
      </c>
      <c r="G14807" s="2" t="s">
        <v>15044</v>
      </c>
      <c r="H14807" s="2" t="s">
        <v>15045</v>
      </c>
    </row>
    <row r="14808" spans="1:8" ht="25.05" customHeight="1" x14ac:dyDescent="0.25">
      <c r="A14808" s="2" t="s">
        <v>8</v>
      </c>
      <c r="B14808" s="2" t="str">
        <f>HYPERLINK("http://ts.21cn.com/tousu/show/id/1346401","瓜子车速拍卖车商的车子，车子刚过户当一手车卖，而且销售骂人")</f>
        <v>瓜子车速拍卖车商的车子，车子刚过户当一手车卖，而且销售骂人</v>
      </c>
      <c r="C14808" s="2" t="s">
        <v>9</v>
      </c>
      <c r="D14808" s="2" t="s">
        <v>10</v>
      </c>
      <c r="E14808" s="2" t="str">
        <f>HYPERLINK("http://ts.21cn.com/tousu/show/id/1346401","http://ts.21cn.com/tousu/show/id/1346401")</f>
        <v>http://ts.21cn.com/tousu/show/id/1346401</v>
      </c>
      <c r="F14808" s="2" t="s">
        <v>11</v>
      </c>
      <c r="G14808" s="2" t="s">
        <v>15042</v>
      </c>
      <c r="H14808" s="2" t="s">
        <v>15043</v>
      </c>
    </row>
    <row r="14809" spans="1:8" ht="25.05" customHeight="1" x14ac:dyDescent="0.25">
      <c r="A14809" s="2" t="s">
        <v>8</v>
      </c>
      <c r="B14809" s="2" t="str">
        <f>HYPERLINK("http://ts.21cn.com/tousu/show/id/1346417","广州合利宝支付科技有限公司，放高利贷，为714开通存管渠道")</f>
        <v>广州合利宝支付科技有限公司，放高利贷，为714开通存管渠道</v>
      </c>
      <c r="C14809" s="2" t="s">
        <v>9</v>
      </c>
      <c r="D14809" s="2" t="s">
        <v>10</v>
      </c>
      <c r="E14809" s="2" t="str">
        <f>HYPERLINK("http://ts.21cn.com/tousu/show/id/1346417","http://ts.21cn.com/tousu/show/id/1346417")</f>
        <v>http://ts.21cn.com/tousu/show/id/1346417</v>
      </c>
      <c r="F14809" s="2" t="s">
        <v>11</v>
      </c>
      <c r="G14809" s="2" t="s">
        <v>15040</v>
      </c>
      <c r="H14809" s="2" t="s">
        <v>15041</v>
      </c>
    </row>
    <row r="14810" spans="1:8" ht="25.05" customHeight="1" x14ac:dyDescent="0.25">
      <c r="A14810" s="2" t="s">
        <v>8</v>
      </c>
      <c r="B14810" s="2" t="str">
        <f>HYPERLINK("http://ts.21cn.com/tousu/show/id/1346419","恒昌平台暴力催收，爆通讯录说要我小孩注意点，严重威胁我家人的生命安全")</f>
        <v>恒昌平台暴力催收，爆通讯录说要我小孩注意点，严重威胁我家人的生命安全</v>
      </c>
      <c r="C14810" s="2" t="s">
        <v>9</v>
      </c>
      <c r="D14810" s="2" t="s">
        <v>10</v>
      </c>
      <c r="E14810" s="2" t="str">
        <f>HYPERLINK("http://ts.21cn.com/tousu/show/id/1346419","http://ts.21cn.com/tousu/show/id/1346419")</f>
        <v>http://ts.21cn.com/tousu/show/id/1346419</v>
      </c>
      <c r="F14810" s="2" t="s">
        <v>11</v>
      </c>
      <c r="G14810" s="2" t="s">
        <v>15038</v>
      </c>
      <c r="H14810" s="2" t="s">
        <v>15039</v>
      </c>
    </row>
    <row r="14811" spans="1:8" ht="25.05" customHeight="1" x14ac:dyDescent="0.25">
      <c r="A14811" s="2" t="s">
        <v>8</v>
      </c>
      <c r="B14811" s="2" t="str">
        <f>HYPERLINK("http://ts.21cn.com/tousu/show/id/1346421","小赢卡贷高利贷")</f>
        <v>小赢卡贷高利贷</v>
      </c>
      <c r="C14811" s="2" t="s">
        <v>9</v>
      </c>
      <c r="D14811" s="2" t="s">
        <v>10</v>
      </c>
      <c r="E14811" s="2" t="str">
        <f>HYPERLINK("http://ts.21cn.com/tousu/show/id/1346421","http://ts.21cn.com/tousu/show/id/1346421")</f>
        <v>http://ts.21cn.com/tousu/show/id/1346421</v>
      </c>
      <c r="F14811" s="2" t="s">
        <v>11</v>
      </c>
      <c r="G14811" s="2" t="s">
        <v>15036</v>
      </c>
      <c r="H14811" s="2" t="s">
        <v>15037</v>
      </c>
    </row>
    <row r="14812" spans="1:8" ht="25.05" customHeight="1" x14ac:dyDescent="0.25">
      <c r="A14812" s="2" t="s">
        <v>8</v>
      </c>
      <c r="B14812" s="2" t="str">
        <f>HYPERLINK("http://ts.21cn.com/tousu/show/id/1346423","生命受到威胁")</f>
        <v>生命受到威胁</v>
      </c>
      <c r="C14812" s="2" t="s">
        <v>9</v>
      </c>
      <c r="D14812" s="2" t="s">
        <v>10</v>
      </c>
      <c r="E14812" s="2" t="str">
        <f>HYPERLINK("http://ts.21cn.com/tousu/show/id/1346423","http://ts.21cn.com/tousu/show/id/1346423")</f>
        <v>http://ts.21cn.com/tousu/show/id/1346423</v>
      </c>
      <c r="F14812" s="2" t="s">
        <v>11</v>
      </c>
      <c r="G14812" s="2" t="s">
        <v>15033</v>
      </c>
      <c r="H14812" s="2" t="s">
        <v>15034</v>
      </c>
    </row>
    <row r="14813" spans="1:8" ht="25.05" customHeight="1" x14ac:dyDescent="0.25">
      <c r="A14813" s="2" t="s">
        <v>8</v>
      </c>
      <c r="B14813" s="2" t="str">
        <f>HYPERLINK("http://ts.21cn.com/tousu/show/id/1346420","退款")</f>
        <v>退款</v>
      </c>
      <c r="C14813" s="2" t="s">
        <v>9</v>
      </c>
      <c r="D14813" s="2" t="s">
        <v>10</v>
      </c>
      <c r="E14813" s="2" t="str">
        <f>HYPERLINK("http://ts.21cn.com/tousu/show/id/1346420","http://ts.21cn.com/tousu/show/id/1346420")</f>
        <v>http://ts.21cn.com/tousu/show/id/1346420</v>
      </c>
      <c r="F14813" s="2" t="s">
        <v>11</v>
      </c>
      <c r="G14813" s="2" t="s">
        <v>15033</v>
      </c>
      <c r="H14813" s="2" t="s">
        <v>15035</v>
      </c>
    </row>
    <row r="14814" spans="1:8" ht="25.05" customHeight="1" x14ac:dyDescent="0.25">
      <c r="A14814" s="2" t="s">
        <v>8</v>
      </c>
      <c r="B14814" s="2" t="str">
        <f>HYPERLINK("http://ts.21cn.com/tousu/show/id/1346422","新生支付有限公司无故扣款")</f>
        <v>新生支付有限公司无故扣款</v>
      </c>
      <c r="C14814" s="2" t="s">
        <v>9</v>
      </c>
      <c r="D14814" s="2" t="s">
        <v>10</v>
      </c>
      <c r="E14814" s="2" t="str">
        <f>HYPERLINK("http://ts.21cn.com/tousu/show/id/1346422","http://ts.21cn.com/tousu/show/id/1346422")</f>
        <v>http://ts.21cn.com/tousu/show/id/1346422</v>
      </c>
      <c r="F14814" s="2" t="s">
        <v>11</v>
      </c>
      <c r="G14814" s="2" t="s">
        <v>15031</v>
      </c>
      <c r="H14814" s="2" t="s">
        <v>15032</v>
      </c>
    </row>
    <row r="14815" spans="1:8" ht="25.05" customHeight="1" x14ac:dyDescent="0.25">
      <c r="A14815" s="2" t="s">
        <v>8</v>
      </c>
      <c r="B14815" s="2" t="str">
        <f>HYPERLINK("http://ts.21cn.com/tousu/show/id/1346424","厦门金联支付信息科技有限公司")</f>
        <v>厦门金联支付信息科技有限公司</v>
      </c>
      <c r="C14815" s="2" t="s">
        <v>9</v>
      </c>
      <c r="D14815" s="2" t="s">
        <v>10</v>
      </c>
      <c r="E14815" s="2" t="str">
        <f>HYPERLINK("http://ts.21cn.com/tousu/show/id/1346424","http://ts.21cn.com/tousu/show/id/1346424")</f>
        <v>http://ts.21cn.com/tousu/show/id/1346424</v>
      </c>
      <c r="F14815" s="2" t="s">
        <v>11</v>
      </c>
      <c r="G14815" s="2" t="s">
        <v>15029</v>
      </c>
      <c r="H14815" s="2" t="s">
        <v>15030</v>
      </c>
    </row>
    <row r="14816" spans="1:8" ht="25.05" customHeight="1" x14ac:dyDescent="0.25">
      <c r="A14816" s="2" t="s">
        <v>8</v>
      </c>
      <c r="B14816" s="2" t="str">
        <f>HYPERLINK("http://ts.21cn.com/tousu/show/id/1346426","美乐乐不诚信承诺10月8号退款但至今未收到款项")</f>
        <v>美乐乐不诚信承诺10月8号退款但至今未收到款项</v>
      </c>
      <c r="C14816" s="2" t="s">
        <v>34</v>
      </c>
      <c r="D14816" s="2" t="s">
        <v>10</v>
      </c>
      <c r="E14816" s="2" t="str">
        <f>HYPERLINK("http://ts.21cn.com/tousu/show/id/1346426","http://ts.21cn.com/tousu/show/id/1346426")</f>
        <v>http://ts.21cn.com/tousu/show/id/1346426</v>
      </c>
      <c r="F14816" s="2" t="s">
        <v>11</v>
      </c>
      <c r="G14816" s="2" t="s">
        <v>15027</v>
      </c>
      <c r="H14816" s="2" t="s">
        <v>15028</v>
      </c>
    </row>
    <row r="14817" spans="1:8" ht="25.05" customHeight="1" x14ac:dyDescent="0.25">
      <c r="A14817" s="2" t="s">
        <v>8</v>
      </c>
      <c r="B14817" s="2" t="str">
        <f>HYPERLINK("http://ts.21cn.com/tousu/show/id/1346427","想你分期套路贷，6天借款2500元到账1625元")</f>
        <v>想你分期套路贷，6天借款2500元到账1625元</v>
      </c>
      <c r="C14817" s="2" t="s">
        <v>9</v>
      </c>
      <c r="D14817" s="2" t="s">
        <v>10</v>
      </c>
      <c r="E14817" s="2" t="str">
        <f>HYPERLINK("http://ts.21cn.com/tousu/show/id/1346427","http://ts.21cn.com/tousu/show/id/1346427")</f>
        <v>http://ts.21cn.com/tousu/show/id/1346427</v>
      </c>
      <c r="F14817" s="2" t="s">
        <v>11</v>
      </c>
      <c r="G14817" s="2" t="s">
        <v>15025</v>
      </c>
      <c r="H14817" s="2" t="s">
        <v>15026</v>
      </c>
    </row>
    <row r="14818" spans="1:8" ht="25.05" customHeight="1" x14ac:dyDescent="0.25">
      <c r="A14818" s="2" t="s">
        <v>8</v>
      </c>
      <c r="B14818" s="2" t="str">
        <f>HYPERLINK("http://ts.21cn.com/tousu/show/id/1346428","钱站不合理收费，处理态度很不真诚")</f>
        <v>钱站不合理收费，处理态度很不真诚</v>
      </c>
      <c r="C14818" s="2" t="s">
        <v>9</v>
      </c>
      <c r="D14818" s="2" t="s">
        <v>10</v>
      </c>
      <c r="E14818" s="2" t="str">
        <f>HYPERLINK("http://ts.21cn.com/tousu/show/id/1346428","http://ts.21cn.com/tousu/show/id/1346428")</f>
        <v>http://ts.21cn.com/tousu/show/id/1346428</v>
      </c>
      <c r="F14818" s="2" t="s">
        <v>11</v>
      </c>
      <c r="G14818" s="2" t="s">
        <v>15023</v>
      </c>
      <c r="H14818" s="2" t="s">
        <v>15024</v>
      </c>
    </row>
    <row r="14819" spans="1:8" ht="25.05" customHeight="1" x14ac:dyDescent="0.25">
      <c r="A14819" s="2" t="s">
        <v>8</v>
      </c>
      <c r="B14819" s="2" t="str">
        <f>HYPERLINK("http://ts.21cn.com/tousu/show/id/1346436","捷信金融利息非常不合理")</f>
        <v>捷信金融利息非常不合理</v>
      </c>
      <c r="C14819" s="2" t="s">
        <v>9</v>
      </c>
      <c r="D14819" s="2" t="s">
        <v>10</v>
      </c>
      <c r="E14819" s="2" t="str">
        <f>HYPERLINK("http://ts.21cn.com/tousu/show/id/1346436","http://ts.21cn.com/tousu/show/id/1346436")</f>
        <v>http://ts.21cn.com/tousu/show/id/1346436</v>
      </c>
      <c r="F14819" s="2" t="s">
        <v>11</v>
      </c>
      <c r="G14819" s="2" t="s">
        <v>15021</v>
      </c>
      <c r="H14819" s="2" t="s">
        <v>15022</v>
      </c>
    </row>
    <row r="14820" spans="1:8" ht="25.05" customHeight="1" x14ac:dyDescent="0.25">
      <c r="A14820" s="2" t="s">
        <v>8</v>
      </c>
      <c r="B14820" s="2" t="str">
        <f>HYPERLINK("http://ts.21cn.com/tousu/show/id/1346431","快闪卡贷平台暴力收取利息已还当期款项不入账暴力催收")</f>
        <v>快闪卡贷平台暴力收取利息已还当期款项不入账暴力催收</v>
      </c>
      <c r="C14820" s="2" t="s">
        <v>9</v>
      </c>
      <c r="D14820" s="2" t="s">
        <v>10</v>
      </c>
      <c r="E14820" s="2" t="str">
        <f>HYPERLINK("http://ts.21cn.com/tousu/show/id/1346431","http://ts.21cn.com/tousu/show/id/1346431")</f>
        <v>http://ts.21cn.com/tousu/show/id/1346431</v>
      </c>
      <c r="F14820" s="2" t="s">
        <v>11</v>
      </c>
      <c r="G14820" s="2" t="s">
        <v>15019</v>
      </c>
      <c r="H14820" s="2" t="s">
        <v>15020</v>
      </c>
    </row>
    <row r="14821" spans="1:8" ht="25.05" customHeight="1" x14ac:dyDescent="0.25">
      <c r="A14821" s="2" t="s">
        <v>8</v>
      </c>
      <c r="B14821" s="2" t="str">
        <f>HYPERLINK("http://ts.21cn.com/tousu/show/id/1346430","阳光安心贷")</f>
        <v>阳光安心贷</v>
      </c>
      <c r="C14821" s="2" t="s">
        <v>34</v>
      </c>
      <c r="D14821" s="2" t="s">
        <v>10</v>
      </c>
      <c r="E14821" s="2" t="str">
        <f>HYPERLINK("http://ts.21cn.com/tousu/show/id/1346430","http://ts.21cn.com/tousu/show/id/1346430")</f>
        <v>http://ts.21cn.com/tousu/show/id/1346430</v>
      </c>
      <c r="F14821" s="2" t="s">
        <v>11</v>
      </c>
      <c r="G14821" s="2" t="s">
        <v>15017</v>
      </c>
      <c r="H14821" s="2" t="s">
        <v>15018</v>
      </c>
    </row>
    <row r="14822" spans="1:8" ht="25.05" customHeight="1" x14ac:dyDescent="0.25">
      <c r="A14822" s="2" t="s">
        <v>8</v>
      </c>
      <c r="B14822" s="2" t="str">
        <f>HYPERLINK("http://ts.21cn.com/tousu/show/id/1346432","enlightenvideoleap存在误导消费者，未经允许，擅自扣费")</f>
        <v>enlightenvideoleap存在误导消费者，未经允许，擅自扣费</v>
      </c>
      <c r="C14822" s="2" t="s">
        <v>9</v>
      </c>
      <c r="D14822" s="2" t="s">
        <v>10</v>
      </c>
      <c r="E14822" s="2" t="str">
        <f>HYPERLINK("http://ts.21cn.com/tousu/show/id/1346432","http://ts.21cn.com/tousu/show/id/1346432")</f>
        <v>http://ts.21cn.com/tousu/show/id/1346432</v>
      </c>
      <c r="F14822" s="2" t="s">
        <v>11</v>
      </c>
      <c r="G14822" s="2" t="s">
        <v>15015</v>
      </c>
      <c r="H14822" s="2" t="s">
        <v>15016</v>
      </c>
    </row>
    <row r="14823" spans="1:8" ht="25.05" customHeight="1" x14ac:dyDescent="0.25">
      <c r="A14823" s="2" t="s">
        <v>8</v>
      </c>
      <c r="B14823" s="2" t="str">
        <f>HYPERLINK("http://ts.21cn.com/tousu/show/id/1346425","于斯钢琴退费")</f>
        <v>于斯钢琴退费</v>
      </c>
      <c r="C14823" s="2" t="s">
        <v>9</v>
      </c>
      <c r="D14823" s="2" t="s">
        <v>10</v>
      </c>
      <c r="E14823" s="2" t="str">
        <f>HYPERLINK("http://ts.21cn.com/tousu/show/id/1346425","http://ts.21cn.com/tousu/show/id/1346425")</f>
        <v>http://ts.21cn.com/tousu/show/id/1346425</v>
      </c>
      <c r="F14823" s="2" t="s">
        <v>11</v>
      </c>
      <c r="G14823" s="2" t="s">
        <v>15013</v>
      </c>
      <c r="H14823" s="2" t="s">
        <v>15014</v>
      </c>
    </row>
    <row r="14824" spans="1:8" ht="25.05" customHeight="1" x14ac:dyDescent="0.25">
      <c r="A14824" s="2" t="s">
        <v>8</v>
      </c>
      <c r="B14824" s="2" t="str">
        <f>HYPERLINK("http://ts.21cn.com/tousu/show/id/1346433","在交易猫上卖账号钱迟迟不到账")</f>
        <v>在交易猫上卖账号钱迟迟不到账</v>
      </c>
      <c r="C14824" s="2" t="s">
        <v>9</v>
      </c>
      <c r="D14824" s="2" t="s">
        <v>10</v>
      </c>
      <c r="E14824" s="2" t="str">
        <f>HYPERLINK("http://ts.21cn.com/tousu/show/id/1346433","http://ts.21cn.com/tousu/show/id/1346433")</f>
        <v>http://ts.21cn.com/tousu/show/id/1346433</v>
      </c>
      <c r="F14824" s="2" t="s">
        <v>11</v>
      </c>
      <c r="G14824" s="2" t="s">
        <v>15011</v>
      </c>
      <c r="H14824" s="2" t="s">
        <v>15012</v>
      </c>
    </row>
    <row r="14825" spans="1:8" ht="25.05" customHeight="1" x14ac:dyDescent="0.25">
      <c r="A14825" s="2" t="s">
        <v>8</v>
      </c>
      <c r="B14825" s="2" t="str">
        <f>HYPERLINK("http://ts.21cn.com/tousu/show/id/1346434","拉卡拉恶意冻结个人资金不给结算")</f>
        <v>拉卡拉恶意冻结个人资金不给结算</v>
      </c>
      <c r="C14825" s="2" t="s">
        <v>9</v>
      </c>
      <c r="D14825" s="2" t="s">
        <v>10</v>
      </c>
      <c r="E14825" s="2" t="str">
        <f>HYPERLINK("http://ts.21cn.com/tousu/show/id/1346434","http://ts.21cn.com/tousu/show/id/1346434")</f>
        <v>http://ts.21cn.com/tousu/show/id/1346434</v>
      </c>
      <c r="F14825" s="2" t="s">
        <v>11</v>
      </c>
      <c r="G14825" s="2" t="s">
        <v>15009</v>
      </c>
      <c r="H14825" s="2" t="s">
        <v>15010</v>
      </c>
    </row>
    <row r="14826" spans="1:8" ht="25.05" customHeight="1" x14ac:dyDescent="0.25">
      <c r="A14826" s="2" t="s">
        <v>8</v>
      </c>
      <c r="B14826" s="2" t="str">
        <f>HYPERLINK("http://ts.21cn.com/tousu/show/id/1346435","因信用卡逾期因工作出现变故还款压力大想跟银行分期还款")</f>
        <v>因信用卡逾期因工作出现变故还款压力大想跟银行分期还款</v>
      </c>
      <c r="C14826" s="2" t="s">
        <v>9</v>
      </c>
      <c r="D14826" s="2" t="s">
        <v>10</v>
      </c>
      <c r="E14826" s="2" t="str">
        <f>HYPERLINK("http://ts.21cn.com/tousu/show/id/1346435","http://ts.21cn.com/tousu/show/id/1346435")</f>
        <v>http://ts.21cn.com/tousu/show/id/1346435</v>
      </c>
      <c r="F14826" s="2" t="s">
        <v>11</v>
      </c>
      <c r="G14826" s="2" t="s">
        <v>15007</v>
      </c>
      <c r="H14826" s="2" t="s">
        <v>15008</v>
      </c>
    </row>
    <row r="14827" spans="1:8" ht="25.05" customHeight="1" x14ac:dyDescent="0.25">
      <c r="A14827" s="2" t="s">
        <v>8</v>
      </c>
      <c r="B14827" s="2" t="str">
        <f>HYPERLINK("http://ts.21cn.com/tousu/show/id/1346437","钱站高利贷")</f>
        <v>钱站高利贷</v>
      </c>
      <c r="C14827" s="2" t="s">
        <v>9</v>
      </c>
      <c r="D14827" s="2" t="s">
        <v>10</v>
      </c>
      <c r="E14827" s="2" t="str">
        <f>HYPERLINK("http://ts.21cn.com/tousu/show/id/1346437","http://ts.21cn.com/tousu/show/id/1346437")</f>
        <v>http://ts.21cn.com/tousu/show/id/1346437</v>
      </c>
      <c r="F14827" s="2" t="s">
        <v>11</v>
      </c>
      <c r="G14827" s="2" t="s">
        <v>15005</v>
      </c>
      <c r="H14827" s="2" t="s">
        <v>15006</v>
      </c>
    </row>
    <row r="14828" spans="1:8" ht="25.05" customHeight="1" x14ac:dyDescent="0.25">
      <c r="A14828" s="2" t="s">
        <v>8</v>
      </c>
      <c r="B14828" s="2" t="str">
        <f>HYPERLINK("http://ts.21cn.com/tousu/show/id/1346438","投诉玖玖娱乐网络赌博")</f>
        <v>投诉玖玖娱乐网络赌博</v>
      </c>
      <c r="C14828" s="2" t="s">
        <v>9</v>
      </c>
      <c r="D14828" s="2" t="s">
        <v>10</v>
      </c>
      <c r="E14828" s="2" t="str">
        <f>HYPERLINK("http://ts.21cn.com/tousu/show/id/1346438","http://ts.21cn.com/tousu/show/id/1346438")</f>
        <v>http://ts.21cn.com/tousu/show/id/1346438</v>
      </c>
      <c r="F14828" s="2" t="s">
        <v>11</v>
      </c>
      <c r="G14828" s="2" t="s">
        <v>15003</v>
      </c>
      <c r="H14828" s="2" t="s">
        <v>15004</v>
      </c>
    </row>
    <row r="14829" spans="1:8" ht="25.05" customHeight="1" x14ac:dyDescent="0.25">
      <c r="A14829" s="2" t="s">
        <v>8</v>
      </c>
      <c r="B14829" s="2" t="str">
        <f>HYPERLINK("http://ts.21cn.com/tousu/show/id/1346439","钱站平台高利贷，阴阳合同，放款前没有明确告知客户利息")</f>
        <v>钱站平台高利贷，阴阳合同，放款前没有明确告知客户利息</v>
      </c>
      <c r="C14829" s="2" t="s">
        <v>9</v>
      </c>
      <c r="D14829" s="2" t="s">
        <v>10</v>
      </c>
      <c r="E14829" s="2" t="str">
        <f>HYPERLINK("http://ts.21cn.com/tousu/show/id/1346439","http://ts.21cn.com/tousu/show/id/1346439")</f>
        <v>http://ts.21cn.com/tousu/show/id/1346439</v>
      </c>
      <c r="F14829" s="2" t="s">
        <v>11</v>
      </c>
      <c r="G14829" s="2" t="s">
        <v>15001</v>
      </c>
      <c r="H14829" s="2" t="s">
        <v>15002</v>
      </c>
    </row>
    <row r="14830" spans="1:8" ht="25.05" customHeight="1" x14ac:dyDescent="0.25">
      <c r="A14830" s="2" t="s">
        <v>8</v>
      </c>
      <c r="B14830" s="2" t="str">
        <f>HYPERLINK("http://ts.21cn.com/tousu/show/id/1346440","协商还款")</f>
        <v>协商还款</v>
      </c>
      <c r="C14830" s="2" t="s">
        <v>9</v>
      </c>
      <c r="D14830" s="2" t="s">
        <v>10</v>
      </c>
      <c r="E14830" s="2" t="str">
        <f>HYPERLINK("http://ts.21cn.com/tousu/show/id/1346440","http://ts.21cn.com/tousu/show/id/1346440")</f>
        <v>http://ts.21cn.com/tousu/show/id/1346440</v>
      </c>
      <c r="F14830" s="2" t="s">
        <v>11</v>
      </c>
      <c r="G14830" s="2" t="s">
        <v>14999</v>
      </c>
      <c r="H14830" s="2" t="s">
        <v>15000</v>
      </c>
    </row>
    <row r="14831" spans="1:8" ht="25.05" customHeight="1" x14ac:dyDescent="0.25">
      <c r="A14831" s="2" t="s">
        <v>8</v>
      </c>
      <c r="B14831" s="2" t="str">
        <f>HYPERLINK("http://ts.21cn.com/tousu/show/id/1346441","万惠及贷变相收取高额息费以及暴力催收")</f>
        <v>万惠及贷变相收取高额息费以及暴力催收</v>
      </c>
      <c r="C14831" s="2" t="s">
        <v>9</v>
      </c>
      <c r="D14831" s="2" t="s">
        <v>10</v>
      </c>
      <c r="E14831" s="2" t="str">
        <f>HYPERLINK("http://ts.21cn.com/tousu/show/id/1346441","http://ts.21cn.com/tousu/show/id/1346441")</f>
        <v>http://ts.21cn.com/tousu/show/id/1346441</v>
      </c>
      <c r="F14831" s="2" t="s">
        <v>11</v>
      </c>
      <c r="G14831" s="2" t="s">
        <v>14997</v>
      </c>
      <c r="H14831" s="2" t="s">
        <v>14998</v>
      </c>
    </row>
    <row r="14832" spans="1:8" ht="25.05" customHeight="1" x14ac:dyDescent="0.25">
      <c r="A14832" s="2" t="s">
        <v>8</v>
      </c>
      <c r="B14832" s="2" t="str">
        <f>HYPERLINK("http://ts.21cn.com/tousu/show/id/1346442","微博钱包无法提现")</f>
        <v>微博钱包无法提现</v>
      </c>
      <c r="C14832" s="2" t="s">
        <v>9</v>
      </c>
      <c r="D14832" s="2" t="s">
        <v>10</v>
      </c>
      <c r="E14832" s="2" t="str">
        <f>HYPERLINK("http://ts.21cn.com/tousu/show/id/1346442","http://ts.21cn.com/tousu/show/id/1346442")</f>
        <v>http://ts.21cn.com/tousu/show/id/1346442</v>
      </c>
      <c r="F14832" s="2" t="s">
        <v>11</v>
      </c>
      <c r="G14832" s="2" t="s">
        <v>14994</v>
      </c>
      <c r="H14832" s="2" t="s">
        <v>14995</v>
      </c>
    </row>
    <row r="14833" spans="1:8" ht="25.05" customHeight="1" x14ac:dyDescent="0.25">
      <c r="A14833" s="2" t="s">
        <v>8</v>
      </c>
      <c r="B14833" s="2" t="str">
        <f>HYPERLINK("http://ts.21cn.com/tousu/show/id/1346444","网易魔兽争霸官方对战平台霸王行为")</f>
        <v>网易魔兽争霸官方对战平台霸王行为</v>
      </c>
      <c r="C14833" s="2" t="s">
        <v>9</v>
      </c>
      <c r="D14833" s="2" t="s">
        <v>10</v>
      </c>
      <c r="E14833" s="2" t="str">
        <f>HYPERLINK("http://ts.21cn.com/tousu/show/id/1346444","http://ts.21cn.com/tousu/show/id/1346444")</f>
        <v>http://ts.21cn.com/tousu/show/id/1346444</v>
      </c>
      <c r="F14833" s="2" t="s">
        <v>11</v>
      </c>
      <c r="G14833" s="2" t="s">
        <v>14994</v>
      </c>
      <c r="H14833" s="2" t="s">
        <v>14996</v>
      </c>
    </row>
    <row r="14834" spans="1:8" ht="25.05" customHeight="1" x14ac:dyDescent="0.25">
      <c r="A14834" s="2" t="s">
        <v>8</v>
      </c>
      <c r="B14834" s="2" t="str">
        <f>HYPERLINK("http://ts.21cn.com/tousu/show/id/1346413","馒头借钱涉嫌非法")</f>
        <v>馒头借钱涉嫌非法</v>
      </c>
      <c r="C14834" s="2" t="s">
        <v>9</v>
      </c>
      <c r="D14834" s="2" t="s">
        <v>10</v>
      </c>
      <c r="E14834" s="2" t="str">
        <f>HYPERLINK("http://ts.21cn.com/tousu/show/id/1346413","http://ts.21cn.com/tousu/show/id/1346413")</f>
        <v>http://ts.21cn.com/tousu/show/id/1346413</v>
      </c>
      <c r="F14834" s="2" t="s">
        <v>11</v>
      </c>
      <c r="G14834" s="2" t="s">
        <v>14992</v>
      </c>
      <c r="H14834" s="2" t="s">
        <v>14993</v>
      </c>
    </row>
    <row r="14835" spans="1:8" ht="25.05" customHeight="1" x14ac:dyDescent="0.25">
      <c r="A14835" s="2" t="s">
        <v>8</v>
      </c>
      <c r="B14835" s="2" t="str">
        <f>HYPERLINK("http://ts.21cn.com/tousu/show/id/1346445","交通银行逾期费用太高")</f>
        <v>交通银行逾期费用太高</v>
      </c>
      <c r="C14835" s="2" t="s">
        <v>9</v>
      </c>
      <c r="D14835" s="2" t="s">
        <v>10</v>
      </c>
      <c r="E14835" s="2" t="str">
        <f>HYPERLINK("http://ts.21cn.com/tousu/show/id/1346445","http://ts.21cn.com/tousu/show/id/1346445")</f>
        <v>http://ts.21cn.com/tousu/show/id/1346445</v>
      </c>
      <c r="F14835" s="2" t="s">
        <v>11</v>
      </c>
      <c r="G14835" s="2" t="s">
        <v>14990</v>
      </c>
      <c r="H14835" s="2" t="s">
        <v>14991</v>
      </c>
    </row>
    <row r="14836" spans="1:8" ht="25.05" customHeight="1" x14ac:dyDescent="0.25">
      <c r="A14836" s="2" t="s">
        <v>8</v>
      </c>
      <c r="B14836" s="2" t="str">
        <f>HYPERLINK("http://ts.21cn.com/tousu/show/id/1346446","小花钱包合同作假，暴力催收，年利率200%")</f>
        <v>小花钱包合同作假，暴力催收，年利率200%</v>
      </c>
      <c r="C14836" s="2" t="s">
        <v>9</v>
      </c>
      <c r="D14836" s="2" t="s">
        <v>10</v>
      </c>
      <c r="E14836" s="2" t="str">
        <f>HYPERLINK("http://ts.21cn.com/tousu/show/id/1346446","http://ts.21cn.com/tousu/show/id/1346446")</f>
        <v>http://ts.21cn.com/tousu/show/id/1346446</v>
      </c>
      <c r="F14836" s="2" t="s">
        <v>11</v>
      </c>
      <c r="G14836" s="2" t="s">
        <v>14988</v>
      </c>
      <c r="H14836" s="2" t="s">
        <v>14989</v>
      </c>
    </row>
    <row r="14837" spans="1:8" ht="25.05" customHeight="1" x14ac:dyDescent="0.25">
      <c r="A14837" s="2" t="s">
        <v>8</v>
      </c>
      <c r="B14837" s="2" t="str">
        <f>HYPERLINK("http://ts.21cn.com/tousu/show/id/1346443","银河互联网电视恶意扣款")</f>
        <v>银河互联网电视恶意扣款</v>
      </c>
      <c r="C14837" s="2" t="s">
        <v>9</v>
      </c>
      <c r="D14837" s="2" t="s">
        <v>10</v>
      </c>
      <c r="E14837" s="2" t="str">
        <f>HYPERLINK("http://ts.21cn.com/tousu/show/id/1346443","http://ts.21cn.com/tousu/show/id/1346443")</f>
        <v>http://ts.21cn.com/tousu/show/id/1346443</v>
      </c>
      <c r="F14837" s="2" t="s">
        <v>11</v>
      </c>
      <c r="G14837" s="2" t="s">
        <v>14986</v>
      </c>
      <c r="H14837" s="2" t="s">
        <v>14987</v>
      </c>
    </row>
    <row r="14838" spans="1:8" ht="25.05" customHeight="1" x14ac:dyDescent="0.25">
      <c r="A14838" s="2" t="s">
        <v>8</v>
      </c>
      <c r="B14838" s="2" t="str">
        <f>HYPERLINK("http://ts.21cn.com/tousu/show/id/1346447","宜信宜人贷高额收取贷款利息服务费")</f>
        <v>宜信宜人贷高额收取贷款利息服务费</v>
      </c>
      <c r="C14838" s="2" t="s">
        <v>9</v>
      </c>
      <c r="D14838" s="2" t="s">
        <v>10</v>
      </c>
      <c r="E14838" s="2" t="str">
        <f>HYPERLINK("http://ts.21cn.com/tousu/show/id/1346447","http://ts.21cn.com/tousu/show/id/1346447")</f>
        <v>http://ts.21cn.com/tousu/show/id/1346447</v>
      </c>
      <c r="F14838" s="2" t="s">
        <v>11</v>
      </c>
      <c r="G14838" s="2" t="s">
        <v>14984</v>
      </c>
      <c r="H14838" s="2" t="s">
        <v>14985</v>
      </c>
    </row>
    <row r="14839" spans="1:8" ht="25.05" customHeight="1" x14ac:dyDescent="0.25">
      <c r="A14839" s="2" t="s">
        <v>8</v>
      </c>
      <c r="B14839" s="2" t="str">
        <f>HYPERLINK("http://ts.21cn.com/tousu/show/id/1346450","女神派拖延时间不给退款")</f>
        <v>女神派拖延时间不给退款</v>
      </c>
      <c r="C14839" s="2" t="s">
        <v>9</v>
      </c>
      <c r="D14839" s="2" t="s">
        <v>10</v>
      </c>
      <c r="E14839" s="2" t="str">
        <f>HYPERLINK("http://ts.21cn.com/tousu/show/id/1346450","http://ts.21cn.com/tousu/show/id/1346450")</f>
        <v>http://ts.21cn.com/tousu/show/id/1346450</v>
      </c>
      <c r="F14839" s="2" t="s">
        <v>11</v>
      </c>
      <c r="G14839" s="2" t="s">
        <v>14982</v>
      </c>
      <c r="H14839" s="2" t="s">
        <v>14983</v>
      </c>
    </row>
    <row r="14840" spans="1:8" ht="25.05" customHeight="1" x14ac:dyDescent="0.25">
      <c r="A14840" s="2" t="s">
        <v>8</v>
      </c>
      <c r="B14840" s="2" t="str">
        <f>HYPERLINK("http://ts.21cn.com/tousu/show/id/1346451","宜人贷高利贷泄露客户隐私委托第三方公司暴力催收")</f>
        <v>宜人贷高利贷泄露客户隐私委托第三方公司暴力催收</v>
      </c>
      <c r="C14840" s="2" t="s">
        <v>9</v>
      </c>
      <c r="D14840" s="2" t="s">
        <v>10</v>
      </c>
      <c r="E14840" s="2" t="str">
        <f>HYPERLINK("http://ts.21cn.com/tousu/show/id/1346451","http://ts.21cn.com/tousu/show/id/1346451")</f>
        <v>http://ts.21cn.com/tousu/show/id/1346451</v>
      </c>
      <c r="F14840" s="2" t="s">
        <v>11</v>
      </c>
      <c r="G14840" s="2" t="s">
        <v>14980</v>
      </c>
      <c r="H14840" s="2" t="s">
        <v>14981</v>
      </c>
    </row>
    <row r="14841" spans="1:8" ht="25.05" customHeight="1" x14ac:dyDescent="0.25">
      <c r="A14841" s="2" t="s">
        <v>8</v>
      </c>
      <c r="B14841" s="2" t="str">
        <f>HYPERLINK("http://ts.21cn.com/tousu/show/id/1346453","一次性还款后不消帐")</f>
        <v>一次性还款后不消帐</v>
      </c>
      <c r="C14841" s="2" t="s">
        <v>34</v>
      </c>
      <c r="D14841" s="2" t="s">
        <v>10</v>
      </c>
      <c r="E14841" s="2" t="str">
        <f>HYPERLINK("http://ts.21cn.com/tousu/show/id/1346453","http://ts.21cn.com/tousu/show/id/1346453")</f>
        <v>http://ts.21cn.com/tousu/show/id/1346453</v>
      </c>
      <c r="F14841" s="2" t="s">
        <v>11</v>
      </c>
      <c r="G14841" s="2" t="s">
        <v>14978</v>
      </c>
      <c r="H14841" s="2" t="s">
        <v>14979</v>
      </c>
    </row>
    <row r="14842" spans="1:8" ht="25.05" customHeight="1" x14ac:dyDescent="0.25">
      <c r="A14842" s="2" t="s">
        <v>8</v>
      </c>
      <c r="B14842" s="2" t="str">
        <f>HYPERLINK("http://ts.21cn.com/tousu/show/id/1346454","车置宝强制扣出保证金")</f>
        <v>车置宝强制扣出保证金</v>
      </c>
      <c r="C14842" s="2" t="s">
        <v>9</v>
      </c>
      <c r="D14842" s="2" t="s">
        <v>10</v>
      </c>
      <c r="E14842" s="2" t="str">
        <f>HYPERLINK("http://ts.21cn.com/tousu/show/id/1346454","http://ts.21cn.com/tousu/show/id/1346454")</f>
        <v>http://ts.21cn.com/tousu/show/id/1346454</v>
      </c>
      <c r="F14842" s="2" t="s">
        <v>11</v>
      </c>
      <c r="G14842" s="2" t="s">
        <v>14976</v>
      </c>
      <c r="H14842" s="2" t="s">
        <v>14977</v>
      </c>
    </row>
    <row r="14843" spans="1:8" ht="25.05" customHeight="1" x14ac:dyDescent="0.25">
      <c r="A14843" s="2" t="s">
        <v>8</v>
      </c>
      <c r="B14843" s="2" t="str">
        <f>HYPERLINK("http://ts.21cn.com/tousu/show/id/1346456","苏宁易购全新美的冰箱外观存在凹陷")</f>
        <v>苏宁易购全新美的冰箱外观存在凹陷</v>
      </c>
      <c r="C14843" s="2" t="s">
        <v>9</v>
      </c>
      <c r="D14843" s="2" t="s">
        <v>10</v>
      </c>
      <c r="E14843" s="2" t="str">
        <f>HYPERLINK("http://ts.21cn.com/tousu/show/id/1346456","http://ts.21cn.com/tousu/show/id/1346456")</f>
        <v>http://ts.21cn.com/tousu/show/id/1346456</v>
      </c>
      <c r="F14843" s="2" t="s">
        <v>11</v>
      </c>
      <c r="G14843" s="2" t="s">
        <v>14974</v>
      </c>
      <c r="H14843" s="2" t="s">
        <v>14975</v>
      </c>
    </row>
    <row r="14844" spans="1:8" ht="25.05" customHeight="1" x14ac:dyDescent="0.25">
      <c r="A14844" s="2" t="s">
        <v>8</v>
      </c>
      <c r="B14844" s="2" t="str">
        <f>HYPERLINK("http://ts.21cn.com/tousu/show/id/1346457","极速熊猫")</f>
        <v>极速熊猫</v>
      </c>
      <c r="C14844" s="2" t="s">
        <v>9</v>
      </c>
      <c r="D14844" s="2" t="s">
        <v>10</v>
      </c>
      <c r="E14844" s="2" t="str">
        <f>HYPERLINK("http://ts.21cn.com/tousu/show/id/1346457","http://ts.21cn.com/tousu/show/id/1346457")</f>
        <v>http://ts.21cn.com/tousu/show/id/1346457</v>
      </c>
      <c r="F14844" s="2" t="s">
        <v>11</v>
      </c>
      <c r="G14844" s="2" t="s">
        <v>14972</v>
      </c>
      <c r="H14844" s="2" t="s">
        <v>14973</v>
      </c>
    </row>
    <row r="14845" spans="1:8" ht="25.05" customHeight="1" x14ac:dyDescent="0.25">
      <c r="A14845" s="2" t="s">
        <v>8</v>
      </c>
      <c r="B14845" s="2" t="str">
        <f>HYPERLINK("http://ts.21cn.com/tousu/show/id/1346459","滴滴双证迟迟不给验真")</f>
        <v>滴滴双证迟迟不给验真</v>
      </c>
      <c r="C14845" s="2" t="s">
        <v>9</v>
      </c>
      <c r="D14845" s="2" t="s">
        <v>10</v>
      </c>
      <c r="E14845" s="2" t="str">
        <f>HYPERLINK("http://ts.21cn.com/tousu/show/id/1346459","http://ts.21cn.com/tousu/show/id/1346459")</f>
        <v>http://ts.21cn.com/tousu/show/id/1346459</v>
      </c>
      <c r="F14845" s="2" t="s">
        <v>11</v>
      </c>
      <c r="G14845" s="2" t="s">
        <v>14970</v>
      </c>
      <c r="H14845" s="2" t="s">
        <v>14971</v>
      </c>
    </row>
    <row r="14846" spans="1:8" ht="25.05" customHeight="1" x14ac:dyDescent="0.25">
      <c r="A14846" s="2" t="s">
        <v>8</v>
      </c>
      <c r="B14846" s="2" t="str">
        <f>HYPERLINK("http://ts.21cn.com/tousu/show/id/1346460","骚扰家人")</f>
        <v>骚扰家人</v>
      </c>
      <c r="C14846" s="2" t="s">
        <v>9</v>
      </c>
      <c r="D14846" s="2" t="s">
        <v>10</v>
      </c>
      <c r="E14846" s="2" t="str">
        <f>HYPERLINK("http://ts.21cn.com/tousu/show/id/1346460","http://ts.21cn.com/tousu/show/id/1346460")</f>
        <v>http://ts.21cn.com/tousu/show/id/1346460</v>
      </c>
      <c r="F14846" s="2" t="s">
        <v>11</v>
      </c>
      <c r="G14846" s="2" t="s">
        <v>14968</v>
      </c>
      <c r="H14846" s="2" t="s">
        <v>14969</v>
      </c>
    </row>
    <row r="14847" spans="1:8" ht="25.05" customHeight="1" x14ac:dyDescent="0.25">
      <c r="A14847" s="2" t="s">
        <v>8</v>
      </c>
      <c r="B14847" s="2" t="str">
        <f>HYPERLINK("http://ts.21cn.com/tousu/show/id/1346461","说是搞活动，结果跟活动内容不符")</f>
        <v>说是搞活动，结果跟活动内容不符</v>
      </c>
      <c r="C14847" s="2" t="s">
        <v>34</v>
      </c>
      <c r="D14847" s="2" t="s">
        <v>10</v>
      </c>
      <c r="E14847" s="2" t="str">
        <f>HYPERLINK("http://ts.21cn.com/tousu/show/id/1346461","http://ts.21cn.com/tousu/show/id/1346461")</f>
        <v>http://ts.21cn.com/tousu/show/id/1346461</v>
      </c>
      <c r="F14847" s="2" t="s">
        <v>11</v>
      </c>
      <c r="G14847" s="2" t="s">
        <v>14966</v>
      </c>
      <c r="H14847" s="2" t="s">
        <v>14967</v>
      </c>
    </row>
    <row r="14848" spans="1:8" ht="25.05" customHeight="1" x14ac:dyDescent="0.25">
      <c r="A14848" s="2" t="s">
        <v>8</v>
      </c>
      <c r="B14848" s="2" t="str">
        <f>HYPERLINK("http://ts.21cn.com/tousu/show/id/1346463","郑州悦如公寓押金迟迟不退")</f>
        <v>郑州悦如公寓押金迟迟不退</v>
      </c>
      <c r="C14848" s="2" t="s">
        <v>9</v>
      </c>
      <c r="D14848" s="2" t="s">
        <v>10</v>
      </c>
      <c r="E14848" s="2" t="str">
        <f>HYPERLINK("http://ts.21cn.com/tousu/show/id/1346463","http://ts.21cn.com/tousu/show/id/1346463")</f>
        <v>http://ts.21cn.com/tousu/show/id/1346463</v>
      </c>
      <c r="F14848" s="2" t="s">
        <v>11</v>
      </c>
      <c r="G14848" s="2" t="s">
        <v>14964</v>
      </c>
      <c r="H14848" s="2" t="s">
        <v>14965</v>
      </c>
    </row>
    <row r="14849" spans="1:8" ht="25.05" customHeight="1" x14ac:dyDescent="0.25">
      <c r="A14849" s="2" t="s">
        <v>8</v>
      </c>
      <c r="B14849" s="2" t="str">
        <f>HYPERLINK("http://ts.21cn.com/tousu/show/id/1346462","现金巴士威胁爆通讯录，逾期费用高得离谱")</f>
        <v>现金巴士威胁爆通讯录，逾期费用高得离谱</v>
      </c>
      <c r="C14849" s="2" t="s">
        <v>9</v>
      </c>
      <c r="D14849" s="2" t="s">
        <v>10</v>
      </c>
      <c r="E14849" s="2" t="str">
        <f>HYPERLINK("http://ts.21cn.com/tousu/show/id/1346462","http://ts.21cn.com/tousu/show/id/1346462")</f>
        <v>http://ts.21cn.com/tousu/show/id/1346462</v>
      </c>
      <c r="F14849" s="2" t="s">
        <v>11</v>
      </c>
      <c r="G14849" s="2" t="s">
        <v>14962</v>
      </c>
      <c r="H14849" s="2" t="s">
        <v>14963</v>
      </c>
    </row>
    <row r="14850" spans="1:8" ht="25.05" customHeight="1" x14ac:dyDescent="0.25">
      <c r="A14850" s="2" t="s">
        <v>8</v>
      </c>
      <c r="B14850" s="2" t="str">
        <f>HYPERLINK("http://ts.21cn.com/tousu/show/id/1346466","众安保险旗下点点借款平台暴力催收")</f>
        <v>众安保险旗下点点借款平台暴力催收</v>
      </c>
      <c r="C14850" s="2" t="s">
        <v>9</v>
      </c>
      <c r="D14850" s="2" t="s">
        <v>10</v>
      </c>
      <c r="E14850" s="2" t="str">
        <f>HYPERLINK("http://ts.21cn.com/tousu/show/id/1346466","http://ts.21cn.com/tousu/show/id/1346466")</f>
        <v>http://ts.21cn.com/tousu/show/id/1346466</v>
      </c>
      <c r="F14850" s="2" t="s">
        <v>11</v>
      </c>
      <c r="G14850" s="2" t="s">
        <v>14960</v>
      </c>
      <c r="H14850" s="2" t="s">
        <v>14961</v>
      </c>
    </row>
    <row r="14851" spans="1:8" ht="25.05" customHeight="1" x14ac:dyDescent="0.25">
      <c r="A14851" s="2" t="s">
        <v>8</v>
      </c>
      <c r="B14851" s="2" t="str">
        <f>HYPERLINK("http://ts.21cn.com/tousu/show/id/1346465","暴力催收")</f>
        <v>暴力催收</v>
      </c>
      <c r="C14851" s="2" t="s">
        <v>9</v>
      </c>
      <c r="D14851" s="2" t="s">
        <v>10</v>
      </c>
      <c r="E14851" s="2" t="str">
        <f>HYPERLINK("http://ts.21cn.com/tousu/show/id/1346465","http://ts.21cn.com/tousu/show/id/1346465")</f>
        <v>http://ts.21cn.com/tousu/show/id/1346465</v>
      </c>
      <c r="F14851" s="2" t="s">
        <v>11</v>
      </c>
      <c r="G14851" s="2" t="s">
        <v>14958</v>
      </c>
      <c r="H14851" s="2" t="s">
        <v>14959</v>
      </c>
    </row>
    <row r="14852" spans="1:8" ht="25.05" customHeight="1" x14ac:dyDescent="0.25">
      <c r="A14852" s="2" t="s">
        <v>8</v>
      </c>
      <c r="B14852" s="2" t="str">
        <f>HYPERLINK("http://ts.21cn.com/tousu/show/id/1346468","乡里快递代收点额外收费")</f>
        <v>乡里快递代收点额外收费</v>
      </c>
      <c r="C14852" s="2" t="s">
        <v>9</v>
      </c>
      <c r="D14852" s="2" t="s">
        <v>10</v>
      </c>
      <c r="E14852" s="2" t="str">
        <f>HYPERLINK("http://ts.21cn.com/tousu/show/id/1346468","http://ts.21cn.com/tousu/show/id/1346468")</f>
        <v>http://ts.21cn.com/tousu/show/id/1346468</v>
      </c>
      <c r="F14852" s="2" t="s">
        <v>11</v>
      </c>
      <c r="G14852" s="2" t="s">
        <v>14956</v>
      </c>
      <c r="H14852" s="2" t="s">
        <v>14957</v>
      </c>
    </row>
    <row r="14853" spans="1:8" ht="25.05" customHeight="1" x14ac:dyDescent="0.25">
      <c r="A14853" s="2" t="s">
        <v>8</v>
      </c>
      <c r="B14853" s="2" t="str">
        <f>HYPERLINK("http://ts.21cn.com/tousu/show/id/1346469","及贷高利贷，暴力催收，泄露借款人隐私，骚扰借款人通讯录，")</f>
        <v>及贷高利贷，暴力催收，泄露借款人隐私，骚扰借款人通讯录，</v>
      </c>
      <c r="C14853" s="2" t="s">
        <v>9</v>
      </c>
      <c r="D14853" s="2" t="s">
        <v>10</v>
      </c>
      <c r="E14853" s="2" t="str">
        <f>HYPERLINK("http://ts.21cn.com/tousu/show/id/1346469","http://ts.21cn.com/tousu/show/id/1346469")</f>
        <v>http://ts.21cn.com/tousu/show/id/1346469</v>
      </c>
      <c r="F14853" s="2" t="s">
        <v>11</v>
      </c>
      <c r="G14853" s="2" t="s">
        <v>14954</v>
      </c>
      <c r="H14853" s="2" t="s">
        <v>14955</v>
      </c>
    </row>
    <row r="14854" spans="1:8" ht="25.05" customHeight="1" x14ac:dyDescent="0.25">
      <c r="A14854" s="2" t="s">
        <v>8</v>
      </c>
      <c r="B14854" s="2" t="str">
        <f>HYPERLINK("http://ts.21cn.com/tousu/show/id/1346470","误导消费者")</f>
        <v>误导消费者</v>
      </c>
      <c r="C14854" s="2" t="s">
        <v>9</v>
      </c>
      <c r="D14854" s="2" t="s">
        <v>10</v>
      </c>
      <c r="E14854" s="2" t="str">
        <f>HYPERLINK("http://ts.21cn.com/tousu/show/id/1346470","http://ts.21cn.com/tousu/show/id/1346470")</f>
        <v>http://ts.21cn.com/tousu/show/id/1346470</v>
      </c>
      <c r="F14854" s="2" t="s">
        <v>11</v>
      </c>
      <c r="G14854" s="2" t="s">
        <v>14951</v>
      </c>
      <c r="H14854" s="2" t="s">
        <v>14952</v>
      </c>
    </row>
    <row r="14855" spans="1:8" ht="25.05" customHeight="1" x14ac:dyDescent="0.25">
      <c r="A14855" s="2" t="s">
        <v>8</v>
      </c>
      <c r="B14855" s="2" t="str">
        <f>HYPERLINK("http://ts.21cn.com/tousu/show/id/1346471","非法网贷")</f>
        <v>非法网贷</v>
      </c>
      <c r="C14855" s="2" t="s">
        <v>9</v>
      </c>
      <c r="D14855" s="2" t="s">
        <v>10</v>
      </c>
      <c r="E14855" s="2" t="str">
        <f>HYPERLINK("http://ts.21cn.com/tousu/show/id/1346471","http://ts.21cn.com/tousu/show/id/1346471")</f>
        <v>http://ts.21cn.com/tousu/show/id/1346471</v>
      </c>
      <c r="F14855" s="2" t="s">
        <v>11</v>
      </c>
      <c r="G14855" s="2" t="s">
        <v>14951</v>
      </c>
      <c r="H14855" s="2" t="s">
        <v>14953</v>
      </c>
    </row>
    <row r="14856" spans="1:8" ht="25.05" customHeight="1" x14ac:dyDescent="0.25">
      <c r="A14856" s="2" t="s">
        <v>8</v>
      </c>
      <c r="B14856" s="2" t="str">
        <f>HYPERLINK("http://ts.21cn.com/tousu/show/id/1346474","求求招联金融放过我吧")</f>
        <v>求求招联金融放过我吧</v>
      </c>
      <c r="C14856" s="2" t="s">
        <v>9</v>
      </c>
      <c r="D14856" s="2" t="s">
        <v>10</v>
      </c>
      <c r="E14856" s="2" t="str">
        <f>HYPERLINK("http://ts.21cn.com/tousu/show/id/1346474","http://ts.21cn.com/tousu/show/id/1346474")</f>
        <v>http://ts.21cn.com/tousu/show/id/1346474</v>
      </c>
      <c r="F14856" s="2" t="s">
        <v>11</v>
      </c>
      <c r="G14856" s="2" t="s">
        <v>14949</v>
      </c>
      <c r="H14856" s="2" t="s">
        <v>14950</v>
      </c>
    </row>
    <row r="14857" spans="1:8" ht="25.05" customHeight="1" x14ac:dyDescent="0.25">
      <c r="A14857" s="2" t="s">
        <v>8</v>
      </c>
      <c r="B14857" s="2" t="str">
        <f>HYPERLINK("http://ts.21cn.com/tousu/show/id/1346475","快闪卡贷违规收取保险费用高利贷")</f>
        <v>快闪卡贷违规收取保险费用高利贷</v>
      </c>
      <c r="C14857" s="2" t="s">
        <v>9</v>
      </c>
      <c r="D14857" s="2" t="s">
        <v>10</v>
      </c>
      <c r="E14857" s="2" t="str">
        <f>HYPERLINK("http://ts.21cn.com/tousu/show/id/1346475","http://ts.21cn.com/tousu/show/id/1346475")</f>
        <v>http://ts.21cn.com/tousu/show/id/1346475</v>
      </c>
      <c r="F14857" s="2" t="s">
        <v>11</v>
      </c>
      <c r="G14857" s="2" t="s">
        <v>14947</v>
      </c>
      <c r="H14857" s="2" t="s">
        <v>14948</v>
      </c>
    </row>
    <row r="14858" spans="1:8" ht="25.05" customHeight="1" x14ac:dyDescent="0.25">
      <c r="A14858" s="2" t="s">
        <v>8</v>
      </c>
      <c r="B14858" s="2" t="str">
        <f>HYPERLINK("http://ts.21cn.com/tousu/show/id/1346477","撤销借款")</f>
        <v>撤销借款</v>
      </c>
      <c r="C14858" s="2" t="s">
        <v>9</v>
      </c>
      <c r="D14858" s="2" t="s">
        <v>10</v>
      </c>
      <c r="E14858" s="2" t="str">
        <f>HYPERLINK("http://ts.21cn.com/tousu/show/id/1346477","http://ts.21cn.com/tousu/show/id/1346477")</f>
        <v>http://ts.21cn.com/tousu/show/id/1346477</v>
      </c>
      <c r="F14858" s="2" t="s">
        <v>11</v>
      </c>
      <c r="G14858" s="2" t="s">
        <v>14945</v>
      </c>
      <c r="H14858" s="2" t="s">
        <v>14946</v>
      </c>
    </row>
    <row r="14859" spans="1:8" ht="25.05" customHeight="1" x14ac:dyDescent="0.25">
      <c r="A14859" s="2" t="s">
        <v>8</v>
      </c>
      <c r="B14859" s="2" t="str">
        <f>HYPERLINK("http://ts.21cn.com/tousu/show/id/1346478","人人贷阴阳合同高利贷")</f>
        <v>人人贷阴阳合同高利贷</v>
      </c>
      <c r="C14859" s="2" t="s">
        <v>9</v>
      </c>
      <c r="D14859" s="2" t="s">
        <v>10</v>
      </c>
      <c r="E14859" s="2" t="str">
        <f>HYPERLINK("http://ts.21cn.com/tousu/show/id/1346478","http://ts.21cn.com/tousu/show/id/1346478")</f>
        <v>http://ts.21cn.com/tousu/show/id/1346478</v>
      </c>
      <c r="F14859" s="2" t="s">
        <v>11</v>
      </c>
      <c r="G14859" s="2" t="s">
        <v>14943</v>
      </c>
      <c r="H14859" s="2" t="s">
        <v>14944</v>
      </c>
    </row>
    <row r="14860" spans="1:8" ht="25.05" customHeight="1" x14ac:dyDescent="0.25">
      <c r="A14860" s="2" t="s">
        <v>8</v>
      </c>
      <c r="B14860" s="2" t="str">
        <f>HYPERLINK("http://ts.21cn.com/tousu/show/id/1346479","微信骚扰通讯录")</f>
        <v>微信骚扰通讯录</v>
      </c>
      <c r="C14860" s="2" t="s">
        <v>9</v>
      </c>
      <c r="D14860" s="2" t="s">
        <v>10</v>
      </c>
      <c r="E14860" s="2" t="str">
        <f>HYPERLINK("http://ts.21cn.com/tousu/show/id/1346479","http://ts.21cn.com/tousu/show/id/1346479")</f>
        <v>http://ts.21cn.com/tousu/show/id/1346479</v>
      </c>
      <c r="F14860" s="2" t="s">
        <v>11</v>
      </c>
      <c r="G14860" s="2" t="s">
        <v>14940</v>
      </c>
      <c r="H14860" s="2" t="s">
        <v>14941</v>
      </c>
    </row>
    <row r="14861" spans="1:8" ht="25.05" customHeight="1" x14ac:dyDescent="0.25">
      <c r="A14861" s="2" t="s">
        <v>8</v>
      </c>
      <c r="B14861" s="2" t="str">
        <f>HYPERLINK("http://ts.21cn.com/tousu/show/id/1346480","贷上钱暴力催收态度嚣张，套路前期，巨额利息。")</f>
        <v>贷上钱暴力催收态度嚣张，套路前期，巨额利息。</v>
      </c>
      <c r="C14861" s="2" t="s">
        <v>9</v>
      </c>
      <c r="D14861" s="2" t="s">
        <v>10</v>
      </c>
      <c r="E14861" s="2" t="str">
        <f>HYPERLINK("http://ts.21cn.com/tousu/show/id/1346480","http://ts.21cn.com/tousu/show/id/1346480")</f>
        <v>http://ts.21cn.com/tousu/show/id/1346480</v>
      </c>
      <c r="F14861" s="2" t="s">
        <v>11</v>
      </c>
      <c r="G14861" s="2" t="s">
        <v>14940</v>
      </c>
      <c r="H14861" s="2" t="s">
        <v>14942</v>
      </c>
    </row>
    <row r="14862" spans="1:8" ht="25.05" customHeight="1" x14ac:dyDescent="0.25">
      <c r="A14862" s="2" t="s">
        <v>8</v>
      </c>
      <c r="B14862" s="2" t="str">
        <f>HYPERLINK("http://ts.21cn.com/tousu/show/id/1346482","开延期还款，催收不给开通")</f>
        <v>开延期还款，催收不给开通</v>
      </c>
      <c r="C14862" s="2" t="s">
        <v>34</v>
      </c>
      <c r="D14862" s="2" t="s">
        <v>10</v>
      </c>
      <c r="E14862" s="2" t="str">
        <f>HYPERLINK("http://ts.21cn.com/tousu/show/id/1346482","http://ts.21cn.com/tousu/show/id/1346482")</f>
        <v>http://ts.21cn.com/tousu/show/id/1346482</v>
      </c>
      <c r="F14862" s="2" t="s">
        <v>11</v>
      </c>
      <c r="G14862" s="2" t="s">
        <v>14938</v>
      </c>
      <c r="H14862" s="2" t="s">
        <v>14939</v>
      </c>
    </row>
    <row r="14863" spans="1:8" ht="25.05" customHeight="1" x14ac:dyDescent="0.25">
      <c r="A14863" s="2" t="s">
        <v>8</v>
      </c>
      <c r="B14863" s="2" t="str">
        <f>HYPERLINK("http://ts.21cn.com/tousu/show/id/1346483","宜信普惠高利贷，申请延期还款暴力收取逾期费用，暴力催收")</f>
        <v>宜信普惠高利贷，申请延期还款暴力收取逾期费用，暴力催收</v>
      </c>
      <c r="C14863" s="2" t="s">
        <v>9</v>
      </c>
      <c r="D14863" s="2" t="s">
        <v>10</v>
      </c>
      <c r="E14863" s="2" t="str">
        <f>HYPERLINK("http://ts.21cn.com/tousu/show/id/1346483","http://ts.21cn.com/tousu/show/id/1346483")</f>
        <v>http://ts.21cn.com/tousu/show/id/1346483</v>
      </c>
      <c r="F14863" s="2" t="s">
        <v>11</v>
      </c>
      <c r="G14863" s="2" t="s">
        <v>14936</v>
      </c>
      <c r="H14863" s="2" t="s">
        <v>14937</v>
      </c>
    </row>
    <row r="14864" spans="1:8" ht="25.05" customHeight="1" x14ac:dyDescent="0.25">
      <c r="A14864" s="2" t="s">
        <v>8</v>
      </c>
      <c r="B14864" s="2" t="str">
        <f>HYPERLINK("http://ts.21cn.com/tousu/show/id/1346484","未经允许，无故扣款296元")</f>
        <v>未经允许，无故扣款296元</v>
      </c>
      <c r="C14864" s="2" t="s">
        <v>9</v>
      </c>
      <c r="D14864" s="2" t="s">
        <v>10</v>
      </c>
      <c r="E14864" s="2" t="str">
        <f>HYPERLINK("http://ts.21cn.com/tousu/show/id/1346484","http://ts.21cn.com/tousu/show/id/1346484")</f>
        <v>http://ts.21cn.com/tousu/show/id/1346484</v>
      </c>
      <c r="F14864" s="2" t="s">
        <v>11</v>
      </c>
      <c r="G14864" s="2" t="s">
        <v>14934</v>
      </c>
      <c r="H14864" s="2" t="s">
        <v>14935</v>
      </c>
    </row>
    <row r="14865" spans="1:8" ht="25.05" customHeight="1" x14ac:dyDescent="0.25">
      <c r="A14865" s="2" t="s">
        <v>8</v>
      </c>
      <c r="B14865" s="2" t="str">
        <f>HYPERLINK("http://ts.21cn.com/tousu/show/id/1346485","银盛支付业务员忽悠人办理pos机在本人不知情的情况下盗刷299元")</f>
        <v>银盛支付业务员忽悠人办理pos机在本人不知情的情况下盗刷299元</v>
      </c>
      <c r="C14865" s="2" t="s">
        <v>9</v>
      </c>
      <c r="D14865" s="2" t="s">
        <v>10</v>
      </c>
      <c r="E14865" s="2" t="str">
        <f>HYPERLINK("http://ts.21cn.com/tousu/show/id/1346485","http://ts.21cn.com/tousu/show/id/1346485")</f>
        <v>http://ts.21cn.com/tousu/show/id/1346485</v>
      </c>
      <c r="F14865" s="2" t="s">
        <v>11</v>
      </c>
      <c r="G14865" s="2" t="s">
        <v>14932</v>
      </c>
      <c r="H14865" s="2" t="s">
        <v>14933</v>
      </c>
    </row>
    <row r="14866" spans="1:8" ht="25.05" customHeight="1" x14ac:dyDescent="0.25">
      <c r="A14866" s="2" t="s">
        <v>8</v>
      </c>
      <c r="B14866" s="2" t="str">
        <f>HYPERLINK("http://ts.21cn.com/tousu/show/id/1346487","非法爆通讯录，骚扰")</f>
        <v>非法爆通讯录，骚扰</v>
      </c>
      <c r="C14866" s="2" t="s">
        <v>9</v>
      </c>
      <c r="D14866" s="2" t="s">
        <v>10</v>
      </c>
      <c r="E14866" s="2" t="str">
        <f>HYPERLINK("http://ts.21cn.com/tousu/show/id/1346487","http://ts.21cn.com/tousu/show/id/1346487")</f>
        <v>http://ts.21cn.com/tousu/show/id/1346487</v>
      </c>
      <c r="F14866" s="2" t="s">
        <v>11</v>
      </c>
      <c r="G14866" s="2" t="s">
        <v>14930</v>
      </c>
      <c r="H14866" s="2" t="s">
        <v>14931</v>
      </c>
    </row>
    <row r="14867" spans="1:8" ht="25.05" customHeight="1" x14ac:dyDescent="0.25">
      <c r="A14867" s="2" t="s">
        <v>8</v>
      </c>
      <c r="B14867" s="2" t="str">
        <f>HYPERLINK("http://ts.21cn.com/tousu/show/id/1346489","网约车租赁公司合同到期押金未收到押金")</f>
        <v>网约车租赁公司合同到期押金未收到押金</v>
      </c>
      <c r="C14867" s="2" t="s">
        <v>34</v>
      </c>
      <c r="D14867" s="2" t="s">
        <v>10</v>
      </c>
      <c r="E14867" s="2" t="str">
        <f>HYPERLINK("http://ts.21cn.com/tousu/show/id/1346489","http://ts.21cn.com/tousu/show/id/1346489")</f>
        <v>http://ts.21cn.com/tousu/show/id/1346489</v>
      </c>
      <c r="F14867" s="2" t="s">
        <v>11</v>
      </c>
      <c r="G14867" s="2" t="s">
        <v>14928</v>
      </c>
      <c r="H14867" s="2" t="s">
        <v>14929</v>
      </c>
    </row>
    <row r="14868" spans="1:8" ht="25.05" customHeight="1" x14ac:dyDescent="0.25">
      <c r="A14868" s="2" t="s">
        <v>8</v>
      </c>
      <c r="B14868" s="2" t="str">
        <f>HYPERLINK("http://ts.21cn.com/tousu/show/id/1346491","及贷暴力催收")</f>
        <v>及贷暴力催收</v>
      </c>
      <c r="C14868" s="2" t="s">
        <v>9</v>
      </c>
      <c r="D14868" s="2" t="s">
        <v>10</v>
      </c>
      <c r="E14868" s="2" t="str">
        <f>HYPERLINK("http://ts.21cn.com/tousu/show/id/1346491","http://ts.21cn.com/tousu/show/id/1346491")</f>
        <v>http://ts.21cn.com/tousu/show/id/1346491</v>
      </c>
      <c r="F14868" s="2" t="s">
        <v>11</v>
      </c>
      <c r="G14868" s="2" t="s">
        <v>14926</v>
      </c>
      <c r="H14868" s="2" t="s">
        <v>14927</v>
      </c>
    </row>
    <row r="14869" spans="1:8" ht="25.05" customHeight="1" x14ac:dyDescent="0.25">
      <c r="A14869" s="2" t="s">
        <v>8</v>
      </c>
      <c r="B14869" s="2" t="str">
        <f>HYPERLINK("http://ts.21cn.com/tousu/show/id/1346492","立刻出行不退保证金")</f>
        <v>立刻出行不退保证金</v>
      </c>
      <c r="C14869" s="2" t="s">
        <v>9</v>
      </c>
      <c r="D14869" s="2" t="s">
        <v>10</v>
      </c>
      <c r="E14869" s="2" t="str">
        <f>HYPERLINK("http://ts.21cn.com/tousu/show/id/1346492","http://ts.21cn.com/tousu/show/id/1346492")</f>
        <v>http://ts.21cn.com/tousu/show/id/1346492</v>
      </c>
      <c r="F14869" s="2" t="s">
        <v>11</v>
      </c>
      <c r="G14869" s="2" t="s">
        <v>14924</v>
      </c>
      <c r="H14869" s="2" t="s">
        <v>14925</v>
      </c>
    </row>
    <row r="14870" spans="1:8" ht="25.05" customHeight="1" x14ac:dyDescent="0.25">
      <c r="A14870" s="2" t="s">
        <v>8</v>
      </c>
      <c r="B14870" s="2" t="str">
        <f>HYPERLINK("http://ts.21cn.com/tousu/show/id/1346493","分期通恶意收取会员费用")</f>
        <v>分期通恶意收取会员费用</v>
      </c>
      <c r="C14870" s="2" t="s">
        <v>9</v>
      </c>
      <c r="D14870" s="2" t="s">
        <v>10</v>
      </c>
      <c r="E14870" s="2" t="str">
        <f>HYPERLINK("http://ts.21cn.com/tousu/show/id/1346493","http://ts.21cn.com/tousu/show/id/1346493")</f>
        <v>http://ts.21cn.com/tousu/show/id/1346493</v>
      </c>
      <c r="F14870" s="2" t="s">
        <v>11</v>
      </c>
      <c r="G14870" s="2" t="s">
        <v>14922</v>
      </c>
      <c r="H14870" s="2" t="s">
        <v>14923</v>
      </c>
    </row>
    <row r="14871" spans="1:8" ht="25.05" customHeight="1" x14ac:dyDescent="0.25">
      <c r="A14871" s="2" t="s">
        <v>8</v>
      </c>
      <c r="B14871" s="2" t="str">
        <f>HYPERLINK("http://ts.21cn.com/tousu/show/id/1346476","马上金融乱收费")</f>
        <v>马上金融乱收费</v>
      </c>
      <c r="C14871" s="2" t="s">
        <v>9</v>
      </c>
      <c r="D14871" s="2" t="s">
        <v>10</v>
      </c>
      <c r="E14871" s="2" t="str">
        <f>HYPERLINK("http://ts.21cn.com/tousu/show/id/1346476","http://ts.21cn.com/tousu/show/id/1346476")</f>
        <v>http://ts.21cn.com/tousu/show/id/1346476</v>
      </c>
      <c r="F14871" s="2" t="s">
        <v>11</v>
      </c>
      <c r="G14871" s="2" t="s">
        <v>14920</v>
      </c>
      <c r="H14871" s="2" t="s">
        <v>14921</v>
      </c>
    </row>
    <row r="14872" spans="1:8" ht="25.05" customHeight="1" x14ac:dyDescent="0.25">
      <c r="A14872" s="2" t="s">
        <v>8</v>
      </c>
      <c r="B14872" s="2" t="str">
        <f>HYPERLINK("http://ts.21cn.com/tousu/show/id/1346496","多米贷砍头息轰炸通讯录")</f>
        <v>多米贷砍头息轰炸通讯录</v>
      </c>
      <c r="C14872" s="2" t="s">
        <v>9</v>
      </c>
      <c r="D14872" s="2" t="s">
        <v>10</v>
      </c>
      <c r="E14872" s="2" t="str">
        <f>HYPERLINK("http://ts.21cn.com/tousu/show/id/1346496","http://ts.21cn.com/tousu/show/id/1346496")</f>
        <v>http://ts.21cn.com/tousu/show/id/1346496</v>
      </c>
      <c r="F14872" s="2" t="s">
        <v>11</v>
      </c>
      <c r="G14872" s="2" t="s">
        <v>14918</v>
      </c>
      <c r="H14872" s="2" t="s">
        <v>14919</v>
      </c>
    </row>
    <row r="14873" spans="1:8" ht="25.05" customHeight="1" x14ac:dyDescent="0.25">
      <c r="A14873" s="2" t="s">
        <v>8</v>
      </c>
      <c r="B14873" s="2" t="str">
        <f>HYPERLINK("http://ts.21cn.com/tousu/show/id/1346497","投诉佰仟金融与哈尔滨银行狼狈为奸")</f>
        <v>投诉佰仟金融与哈尔滨银行狼狈为奸</v>
      </c>
      <c r="C14873" s="2" t="s">
        <v>9</v>
      </c>
      <c r="D14873" s="2" t="s">
        <v>10</v>
      </c>
      <c r="E14873" s="2" t="str">
        <f>HYPERLINK("http://ts.21cn.com/tousu/show/id/1346497","http://ts.21cn.com/tousu/show/id/1346497")</f>
        <v>http://ts.21cn.com/tousu/show/id/1346497</v>
      </c>
      <c r="F14873" s="2" t="s">
        <v>11</v>
      </c>
      <c r="G14873" s="2" t="s">
        <v>14916</v>
      </c>
      <c r="H14873" s="2" t="s">
        <v>14917</v>
      </c>
    </row>
    <row r="14874" spans="1:8" ht="25.05" customHeight="1" x14ac:dyDescent="0.25">
      <c r="A14874" s="2" t="s">
        <v>8</v>
      </c>
      <c r="B14874" s="2" t="str">
        <f>HYPERLINK("http://ts.21cn.com/tousu/show/id/1346498","暴力催收恐吓骚扰")</f>
        <v>暴力催收恐吓骚扰</v>
      </c>
      <c r="C14874" s="2" t="s">
        <v>9</v>
      </c>
      <c r="D14874" s="2" t="s">
        <v>10</v>
      </c>
      <c r="E14874" s="2" t="str">
        <f>HYPERLINK("http://ts.21cn.com/tousu/show/id/1346498","http://ts.21cn.com/tousu/show/id/1346498")</f>
        <v>http://ts.21cn.com/tousu/show/id/1346498</v>
      </c>
      <c r="F14874" s="2" t="s">
        <v>11</v>
      </c>
      <c r="G14874" s="2" t="s">
        <v>14914</v>
      </c>
      <c r="H14874" s="2" t="s">
        <v>14915</v>
      </c>
    </row>
    <row r="14875" spans="1:8" ht="25.05" customHeight="1" x14ac:dyDescent="0.25">
      <c r="A14875" s="2" t="s">
        <v>8</v>
      </c>
      <c r="B14875" s="2" t="str">
        <f>HYPERLINK("http://ts.21cn.com/tousu/show/id/1346473","高利贷威胁恐吓")</f>
        <v>高利贷威胁恐吓</v>
      </c>
      <c r="C14875" s="2" t="s">
        <v>9</v>
      </c>
      <c r="D14875" s="2" t="s">
        <v>10</v>
      </c>
      <c r="E14875" s="2" t="str">
        <f>HYPERLINK("http://ts.21cn.com/tousu/show/id/1346473","http://ts.21cn.com/tousu/show/id/1346473")</f>
        <v>http://ts.21cn.com/tousu/show/id/1346473</v>
      </c>
      <c r="F14875" s="2" t="s">
        <v>11</v>
      </c>
      <c r="G14875" s="2" t="s">
        <v>14912</v>
      </c>
      <c r="H14875" s="2" t="s">
        <v>14913</v>
      </c>
    </row>
    <row r="14876" spans="1:8" ht="25.05" customHeight="1" x14ac:dyDescent="0.25">
      <c r="A14876" s="2" t="s">
        <v>8</v>
      </c>
      <c r="B14876" s="2" t="str">
        <f>HYPERLINK("http://ts.21cn.com/tousu/show/id/1346499","海象理财暴雷拖欠还款欺诈投资")</f>
        <v>海象理财暴雷拖欠还款欺诈投资</v>
      </c>
      <c r="C14876" s="2" t="s">
        <v>9</v>
      </c>
      <c r="D14876" s="2" t="s">
        <v>10</v>
      </c>
      <c r="E14876" s="2" t="str">
        <f>HYPERLINK("http://ts.21cn.com/tousu/show/id/1346499","http://ts.21cn.com/tousu/show/id/1346499")</f>
        <v>http://ts.21cn.com/tousu/show/id/1346499</v>
      </c>
      <c r="F14876" s="2" t="s">
        <v>11</v>
      </c>
      <c r="G14876" s="2" t="s">
        <v>14910</v>
      </c>
      <c r="H14876" s="2" t="s">
        <v>14911</v>
      </c>
    </row>
    <row r="14877" spans="1:8" ht="25.05" customHeight="1" x14ac:dyDescent="0.25">
      <c r="A14877" s="2" t="s">
        <v>8</v>
      </c>
      <c r="B14877" s="2" t="str">
        <f>HYPERLINK("http://ts.21cn.com/tousu/show/id/1346495","闪银暴力催收，天天电话骚扰")</f>
        <v>闪银暴力催收，天天电话骚扰</v>
      </c>
      <c r="C14877" s="2" t="s">
        <v>9</v>
      </c>
      <c r="D14877" s="2" t="s">
        <v>10</v>
      </c>
      <c r="E14877" s="2" t="str">
        <f>HYPERLINK("http://ts.21cn.com/tousu/show/id/1346495","http://ts.21cn.com/tousu/show/id/1346495")</f>
        <v>http://ts.21cn.com/tousu/show/id/1346495</v>
      </c>
      <c r="F14877" s="2" t="s">
        <v>11</v>
      </c>
      <c r="G14877" s="2" t="s">
        <v>14908</v>
      </c>
      <c r="H14877" s="2" t="s">
        <v>14909</v>
      </c>
    </row>
    <row r="14878" spans="1:8" ht="25.05" customHeight="1" x14ac:dyDescent="0.25">
      <c r="A14878" s="2" t="s">
        <v>8</v>
      </c>
      <c r="B14878" s="2" t="str">
        <f>HYPERLINK("http://ts.21cn.com/tousu/show/id/1346501","交通银行雇佣不明身份人员暴力胁迫")</f>
        <v>交通银行雇佣不明身份人员暴力胁迫</v>
      </c>
      <c r="C14878" s="2" t="s">
        <v>9</v>
      </c>
      <c r="D14878" s="2" t="s">
        <v>10</v>
      </c>
      <c r="E14878" s="2" t="str">
        <f>HYPERLINK("http://ts.21cn.com/tousu/show/id/1346501","http://ts.21cn.com/tousu/show/id/1346501")</f>
        <v>http://ts.21cn.com/tousu/show/id/1346501</v>
      </c>
      <c r="F14878" s="2" t="s">
        <v>11</v>
      </c>
      <c r="G14878" s="2" t="s">
        <v>14906</v>
      </c>
      <c r="H14878" s="2" t="s">
        <v>14907</v>
      </c>
    </row>
    <row r="14879" spans="1:8" ht="25.05" customHeight="1" x14ac:dyDescent="0.25">
      <c r="A14879" s="2" t="s">
        <v>8</v>
      </c>
      <c r="B14879" s="2" t="str">
        <f>HYPERLINK("http://ts.21cn.com/tousu/show/id/1346361","不知情的情况下随意扣费")</f>
        <v>不知情的情况下随意扣费</v>
      </c>
      <c r="C14879" s="2" t="s">
        <v>9</v>
      </c>
      <c r="D14879" s="2" t="s">
        <v>10</v>
      </c>
      <c r="E14879" s="2" t="str">
        <f>HYPERLINK("http://ts.21cn.com/tousu/show/id/1346361","http://ts.21cn.com/tousu/show/id/1346361")</f>
        <v>http://ts.21cn.com/tousu/show/id/1346361</v>
      </c>
      <c r="F14879" s="2" t="s">
        <v>11</v>
      </c>
      <c r="G14879" s="2" t="s">
        <v>14904</v>
      </c>
      <c r="H14879" s="2" t="s">
        <v>14905</v>
      </c>
    </row>
    <row r="14880" spans="1:8" ht="25.05" customHeight="1" x14ac:dyDescent="0.25">
      <c r="A14880" s="2" t="s">
        <v>8</v>
      </c>
      <c r="B14880" s="2" t="str">
        <f>HYPERLINK("http://ts.21cn.com/tousu/show/id/1346467","松紧贷暴力催收给单位打电话进行骚扰")</f>
        <v>松紧贷暴力催收给单位打电话进行骚扰</v>
      </c>
      <c r="C14880" s="2" t="s">
        <v>9</v>
      </c>
      <c r="D14880" s="2" t="s">
        <v>10</v>
      </c>
      <c r="E14880" s="2" t="str">
        <f>HYPERLINK("http://ts.21cn.com/tousu/show/id/1346467","http://ts.21cn.com/tousu/show/id/1346467")</f>
        <v>http://ts.21cn.com/tousu/show/id/1346467</v>
      </c>
      <c r="F14880" s="2" t="s">
        <v>11</v>
      </c>
      <c r="G14880" s="2" t="s">
        <v>14902</v>
      </c>
      <c r="H14880" s="2" t="s">
        <v>14903</v>
      </c>
    </row>
    <row r="14881" spans="1:8" ht="25.05" customHeight="1" x14ac:dyDescent="0.25">
      <c r="A14881" s="2" t="s">
        <v>8</v>
      </c>
      <c r="B14881" s="2" t="str">
        <f>HYPERLINK("http://ts.21cn.com/tousu/show/id/1346502","提前还清仍要还高额利息")</f>
        <v>提前还清仍要还高额利息</v>
      </c>
      <c r="C14881" s="2" t="s">
        <v>9</v>
      </c>
      <c r="D14881" s="2" t="s">
        <v>10</v>
      </c>
      <c r="E14881" s="2" t="str">
        <f>HYPERLINK("http://ts.21cn.com/tousu/show/id/1346502","http://ts.21cn.com/tousu/show/id/1346502")</f>
        <v>http://ts.21cn.com/tousu/show/id/1346502</v>
      </c>
      <c r="F14881" s="2" t="s">
        <v>11</v>
      </c>
      <c r="G14881" s="2" t="s">
        <v>14900</v>
      </c>
      <c r="H14881" s="2" t="s">
        <v>14901</v>
      </c>
    </row>
    <row r="14882" spans="1:8" ht="25.05" customHeight="1" x14ac:dyDescent="0.25">
      <c r="A14882" s="2" t="s">
        <v>8</v>
      </c>
      <c r="B14882" s="2" t="str">
        <f>HYPERLINK("http://ts.21cn.com/tousu/show/id/1346503","汇潮支付为APP来花花高利贷提供非法放款渠道")</f>
        <v>汇潮支付为APP来花花高利贷提供非法放款渠道</v>
      </c>
      <c r="C14882" s="2" t="s">
        <v>9</v>
      </c>
      <c r="D14882" s="2" t="s">
        <v>10</v>
      </c>
      <c r="E14882" s="2" t="str">
        <f>HYPERLINK("http://ts.21cn.com/tousu/show/id/1346503","http://ts.21cn.com/tousu/show/id/1346503")</f>
        <v>http://ts.21cn.com/tousu/show/id/1346503</v>
      </c>
      <c r="F14882" s="2" t="s">
        <v>11</v>
      </c>
      <c r="G14882" s="2" t="s">
        <v>14898</v>
      </c>
      <c r="H14882" s="2" t="s">
        <v>14899</v>
      </c>
    </row>
    <row r="14883" spans="1:8" ht="25.05" customHeight="1" x14ac:dyDescent="0.25">
      <c r="A14883" s="2" t="s">
        <v>8</v>
      </c>
      <c r="B14883" s="2" t="str">
        <f>HYPERLINK("http://ts.21cn.com/tousu/show/id/1346504","小花钱包暴力催收严重骚扰亲戚朋友")</f>
        <v>小花钱包暴力催收严重骚扰亲戚朋友</v>
      </c>
      <c r="C14883" s="2" t="s">
        <v>9</v>
      </c>
      <c r="D14883" s="2" t="s">
        <v>10</v>
      </c>
      <c r="E14883" s="2" t="str">
        <f>HYPERLINK("http://ts.21cn.com/tousu/show/id/1346504","http://ts.21cn.com/tousu/show/id/1346504")</f>
        <v>http://ts.21cn.com/tousu/show/id/1346504</v>
      </c>
      <c r="F14883" s="2" t="s">
        <v>11</v>
      </c>
      <c r="G14883" s="2" t="s">
        <v>14896</v>
      </c>
      <c r="H14883" s="2" t="s">
        <v>14897</v>
      </c>
    </row>
    <row r="14884" spans="1:8" ht="25.05" customHeight="1" x14ac:dyDescent="0.25">
      <c r="A14884" s="2" t="s">
        <v>8</v>
      </c>
      <c r="B14884" s="2" t="str">
        <f>HYPERLINK("http://ts.21cn.com/tousu/show/id/1346506","闪银高利贷砍头息")</f>
        <v>闪银高利贷砍头息</v>
      </c>
      <c r="C14884" s="2" t="s">
        <v>9</v>
      </c>
      <c r="D14884" s="2" t="s">
        <v>10</v>
      </c>
      <c r="E14884" s="2" t="str">
        <f>HYPERLINK("http://ts.21cn.com/tousu/show/id/1346506","http://ts.21cn.com/tousu/show/id/1346506")</f>
        <v>http://ts.21cn.com/tousu/show/id/1346506</v>
      </c>
      <c r="F14884" s="2" t="s">
        <v>11</v>
      </c>
      <c r="G14884" s="2" t="s">
        <v>14894</v>
      </c>
      <c r="H14884" s="2" t="s">
        <v>14895</v>
      </c>
    </row>
    <row r="14885" spans="1:8" ht="25.05" customHeight="1" x14ac:dyDescent="0.25">
      <c r="A14885" s="2" t="s">
        <v>8</v>
      </c>
      <c r="B14885" s="2" t="str">
        <f>HYPERLINK("http://ts.21cn.com/tousu/show/id/1346505","骂人态度恶劣")</f>
        <v>骂人态度恶劣</v>
      </c>
      <c r="C14885" s="2" t="s">
        <v>9</v>
      </c>
      <c r="D14885" s="2" t="s">
        <v>10</v>
      </c>
      <c r="E14885" s="2" t="str">
        <f>HYPERLINK("http://ts.21cn.com/tousu/show/id/1346505","http://ts.21cn.com/tousu/show/id/1346505")</f>
        <v>http://ts.21cn.com/tousu/show/id/1346505</v>
      </c>
      <c r="F14885" s="2" t="s">
        <v>11</v>
      </c>
      <c r="G14885" s="2" t="s">
        <v>14892</v>
      </c>
      <c r="H14885" s="2" t="s">
        <v>14893</v>
      </c>
    </row>
    <row r="14886" spans="1:8" ht="25.05" customHeight="1" x14ac:dyDescent="0.25">
      <c r="A14886" s="2" t="s">
        <v>8</v>
      </c>
      <c r="B14886" s="2" t="str">
        <f>HYPERLINK("http://ts.21cn.com/tousu/show/id/1346507","朋友借的钱拍拍贷多次骚扰我")</f>
        <v>朋友借的钱拍拍贷多次骚扰我</v>
      </c>
      <c r="C14886" s="2" t="s">
        <v>9</v>
      </c>
      <c r="D14886" s="2" t="s">
        <v>10</v>
      </c>
      <c r="E14886" s="2" t="str">
        <f>HYPERLINK("http://ts.21cn.com/tousu/show/id/1346507","http://ts.21cn.com/tousu/show/id/1346507")</f>
        <v>http://ts.21cn.com/tousu/show/id/1346507</v>
      </c>
      <c r="F14886" s="2" t="s">
        <v>11</v>
      </c>
      <c r="G14886" s="2" t="s">
        <v>14890</v>
      </c>
      <c r="H14886" s="2" t="s">
        <v>14891</v>
      </c>
    </row>
    <row r="14887" spans="1:8" ht="25.05" customHeight="1" x14ac:dyDescent="0.25">
      <c r="A14887" s="2" t="s">
        <v>8</v>
      </c>
      <c r="B14887" s="2" t="str">
        <f>HYPERLINK("http://ts.21cn.com/tousu/show/id/1346508","砍头息")</f>
        <v>砍头息</v>
      </c>
      <c r="C14887" s="2" t="s">
        <v>9</v>
      </c>
      <c r="D14887" s="2" t="s">
        <v>10</v>
      </c>
      <c r="E14887" s="2" t="str">
        <f>HYPERLINK("http://ts.21cn.com/tousu/show/id/1346508","http://ts.21cn.com/tousu/show/id/1346508")</f>
        <v>http://ts.21cn.com/tousu/show/id/1346508</v>
      </c>
      <c r="F14887" s="2" t="s">
        <v>11</v>
      </c>
      <c r="G14887" s="2" t="s">
        <v>14888</v>
      </c>
      <c r="H14887" s="2" t="s">
        <v>14889</v>
      </c>
    </row>
    <row r="14888" spans="1:8" ht="25.05" customHeight="1" x14ac:dyDescent="0.25">
      <c r="A14888" s="2" t="s">
        <v>8</v>
      </c>
      <c r="B14888" s="2" t="str">
        <f>HYPERLINK("http://ts.21cn.com/tousu/show/id/1346509","微博借钱利息高，高利贷")</f>
        <v>微博借钱利息高，高利贷</v>
      </c>
      <c r="C14888" s="2" t="s">
        <v>9</v>
      </c>
      <c r="D14888" s="2" t="s">
        <v>10</v>
      </c>
      <c r="E14888" s="2" t="str">
        <f>HYPERLINK("http://ts.21cn.com/tousu/show/id/1346509","http://ts.21cn.com/tousu/show/id/1346509")</f>
        <v>http://ts.21cn.com/tousu/show/id/1346509</v>
      </c>
      <c r="F14888" s="2" t="s">
        <v>11</v>
      </c>
      <c r="G14888" s="2" t="s">
        <v>14886</v>
      </c>
      <c r="H14888" s="2" t="s">
        <v>14887</v>
      </c>
    </row>
    <row r="14889" spans="1:8" ht="25.05" customHeight="1" x14ac:dyDescent="0.25">
      <c r="A14889" s="2" t="s">
        <v>8</v>
      </c>
      <c r="B14889" s="2" t="str">
        <f>HYPERLINK("http://ts.21cn.com/tousu/show/id/1346510","被贷款平台打骚扰电话")</f>
        <v>被贷款平台打骚扰电话</v>
      </c>
      <c r="C14889" s="2" t="s">
        <v>9</v>
      </c>
      <c r="D14889" s="2" t="s">
        <v>10</v>
      </c>
      <c r="E14889" s="2" t="str">
        <f>HYPERLINK("http://ts.21cn.com/tousu/show/id/1346510","http://ts.21cn.com/tousu/show/id/1346510")</f>
        <v>http://ts.21cn.com/tousu/show/id/1346510</v>
      </c>
      <c r="F14889" s="2" t="s">
        <v>11</v>
      </c>
      <c r="G14889" s="2" t="s">
        <v>14884</v>
      </c>
      <c r="H14889" s="2" t="s">
        <v>14885</v>
      </c>
    </row>
    <row r="14890" spans="1:8" ht="25.05" customHeight="1" x14ac:dyDescent="0.25">
      <c r="A14890" s="2" t="s">
        <v>8</v>
      </c>
      <c r="B14890" s="2" t="str">
        <f>HYPERLINK("http://ts.21cn.com/tousu/show/id/1346513","信用飞高利贷威胁恐吓暴力催收")</f>
        <v>信用飞高利贷威胁恐吓暴力催收</v>
      </c>
      <c r="C14890" s="2" t="s">
        <v>9</v>
      </c>
      <c r="D14890" s="2" t="s">
        <v>10</v>
      </c>
      <c r="E14890" s="2" t="str">
        <f>HYPERLINK("http://ts.21cn.com/tousu/show/id/1346513","http://ts.21cn.com/tousu/show/id/1346513")</f>
        <v>http://ts.21cn.com/tousu/show/id/1346513</v>
      </c>
      <c r="F14890" s="2" t="s">
        <v>11</v>
      </c>
      <c r="G14890" s="2" t="s">
        <v>14882</v>
      </c>
      <c r="H14890" s="2" t="s">
        <v>14883</v>
      </c>
    </row>
    <row r="14891" spans="1:8" ht="25.05" customHeight="1" x14ac:dyDescent="0.25">
      <c r="A14891" s="2" t="s">
        <v>8</v>
      </c>
      <c r="B14891" s="2" t="str">
        <f>HYPERLINK("http://ts.21cn.com/tousu/show/id/1346515","辱骂并威胁")</f>
        <v>辱骂并威胁</v>
      </c>
      <c r="C14891" s="2" t="s">
        <v>9</v>
      </c>
      <c r="D14891" s="2" t="s">
        <v>10</v>
      </c>
      <c r="E14891" s="2" t="str">
        <f>HYPERLINK("http://ts.21cn.com/tousu/show/id/1346515","http://ts.21cn.com/tousu/show/id/1346515")</f>
        <v>http://ts.21cn.com/tousu/show/id/1346515</v>
      </c>
      <c r="F14891" s="2" t="s">
        <v>11</v>
      </c>
      <c r="G14891" s="2" t="s">
        <v>14880</v>
      </c>
      <c r="H14891" s="2" t="s">
        <v>14881</v>
      </c>
    </row>
    <row r="14892" spans="1:8" ht="25.05" customHeight="1" x14ac:dyDescent="0.25">
      <c r="A14892" s="2" t="s">
        <v>8</v>
      </c>
      <c r="B14892" s="2" t="str">
        <f>HYPERLINK("http://ts.21cn.com/tousu/show/id/1346516","闪银暴力催收")</f>
        <v>闪银暴力催收</v>
      </c>
      <c r="C14892" s="2" t="s">
        <v>9</v>
      </c>
      <c r="D14892" s="2" t="s">
        <v>10</v>
      </c>
      <c r="E14892" s="2" t="str">
        <f>HYPERLINK("http://ts.21cn.com/tousu/show/id/1346516","http://ts.21cn.com/tousu/show/id/1346516")</f>
        <v>http://ts.21cn.com/tousu/show/id/1346516</v>
      </c>
      <c r="F14892" s="2" t="s">
        <v>11</v>
      </c>
      <c r="G14892" s="2" t="s">
        <v>14878</v>
      </c>
      <c r="H14892" s="2" t="s">
        <v>14879</v>
      </c>
    </row>
    <row r="14893" spans="1:8" ht="25.05" customHeight="1" x14ac:dyDescent="0.25">
      <c r="A14893" s="2" t="s">
        <v>8</v>
      </c>
      <c r="B14893" s="2" t="str">
        <f>HYPERLINK("http://ts.21cn.com/tousu/show/id/1346517","投诉你我贷高利贷砍头息")</f>
        <v>投诉你我贷高利贷砍头息</v>
      </c>
      <c r="C14893" s="2" t="s">
        <v>9</v>
      </c>
      <c r="D14893" s="2" t="s">
        <v>10</v>
      </c>
      <c r="E14893" s="2" t="str">
        <f>HYPERLINK("http://ts.21cn.com/tousu/show/id/1346517","http://ts.21cn.com/tousu/show/id/1346517")</f>
        <v>http://ts.21cn.com/tousu/show/id/1346517</v>
      </c>
      <c r="F14893" s="2" t="s">
        <v>11</v>
      </c>
      <c r="G14893" s="2" t="s">
        <v>14876</v>
      </c>
      <c r="H14893" s="2" t="s">
        <v>14877</v>
      </c>
    </row>
    <row r="14894" spans="1:8" ht="25.05" customHeight="1" x14ac:dyDescent="0.25">
      <c r="A14894" s="2" t="s">
        <v>8</v>
      </c>
      <c r="B14894" s="2" t="str">
        <f>HYPERLINK("http://ts.21cn.com/tousu/show/id/1346519","恶意扣款")</f>
        <v>恶意扣款</v>
      </c>
      <c r="C14894" s="2" t="s">
        <v>9</v>
      </c>
      <c r="D14894" s="2" t="s">
        <v>10</v>
      </c>
      <c r="E14894" s="2" t="str">
        <f>HYPERLINK("http://ts.21cn.com/tousu/show/id/1346519","http://ts.21cn.com/tousu/show/id/1346519")</f>
        <v>http://ts.21cn.com/tousu/show/id/1346519</v>
      </c>
      <c r="F14894" s="2" t="s">
        <v>11</v>
      </c>
      <c r="G14894" s="2" t="s">
        <v>14874</v>
      </c>
      <c r="H14894" s="2" t="s">
        <v>14875</v>
      </c>
    </row>
    <row r="14895" spans="1:8" ht="25.05" customHeight="1" x14ac:dyDescent="0.25">
      <c r="A14895" s="2" t="s">
        <v>8</v>
      </c>
      <c r="B14895" s="2" t="str">
        <f>HYPERLINK("http://ts.21cn.com/tousu/show/id/1346520","阳澄联合的蟹卷无法提货")</f>
        <v>阳澄联合的蟹卷无法提货</v>
      </c>
      <c r="C14895" s="2" t="s">
        <v>9</v>
      </c>
      <c r="D14895" s="2" t="s">
        <v>10</v>
      </c>
      <c r="E14895" s="2" t="str">
        <f>HYPERLINK("http://ts.21cn.com/tousu/show/id/1346520","http://ts.21cn.com/tousu/show/id/1346520")</f>
        <v>http://ts.21cn.com/tousu/show/id/1346520</v>
      </c>
      <c r="F14895" s="2" t="s">
        <v>11</v>
      </c>
      <c r="G14895" s="2" t="s">
        <v>14872</v>
      </c>
      <c r="H14895" s="2" t="s">
        <v>14873</v>
      </c>
    </row>
    <row r="14896" spans="1:8" ht="25.05" customHeight="1" x14ac:dyDescent="0.25">
      <c r="A14896" s="2" t="s">
        <v>8</v>
      </c>
      <c r="B14896" s="2" t="str">
        <f>HYPERLINK("http://ts.21cn.com/tousu/show/id/1346521","钱站催收账单日恐吓")</f>
        <v>钱站催收账单日恐吓</v>
      </c>
      <c r="C14896" s="2" t="s">
        <v>9</v>
      </c>
      <c r="D14896" s="2" t="s">
        <v>10</v>
      </c>
      <c r="E14896" s="2" t="str">
        <f>HYPERLINK("http://ts.21cn.com/tousu/show/id/1346521","http://ts.21cn.com/tousu/show/id/1346521")</f>
        <v>http://ts.21cn.com/tousu/show/id/1346521</v>
      </c>
      <c r="F14896" s="2" t="s">
        <v>11</v>
      </c>
      <c r="G14896" s="2" t="s">
        <v>14870</v>
      </c>
      <c r="H14896" s="2" t="s">
        <v>14871</v>
      </c>
    </row>
    <row r="14897" spans="1:8" ht="25.05" customHeight="1" x14ac:dyDescent="0.25">
      <c r="A14897" s="2" t="s">
        <v>8</v>
      </c>
      <c r="B14897" s="2" t="str">
        <f>HYPERLINK("http://ts.21cn.com/tousu/show/id/1346522","钱站暴力催收")</f>
        <v>钱站暴力催收</v>
      </c>
      <c r="C14897" s="2" t="s">
        <v>9</v>
      </c>
      <c r="D14897" s="2" t="s">
        <v>10</v>
      </c>
      <c r="E14897" s="2" t="str">
        <f>HYPERLINK("http://ts.21cn.com/tousu/show/id/1346522","http://ts.21cn.com/tousu/show/id/1346522")</f>
        <v>http://ts.21cn.com/tousu/show/id/1346522</v>
      </c>
      <c r="F14897" s="2" t="s">
        <v>11</v>
      </c>
      <c r="G14897" s="2" t="s">
        <v>14868</v>
      </c>
      <c r="H14897" s="2" t="s">
        <v>14869</v>
      </c>
    </row>
    <row r="14898" spans="1:8" ht="25.05" customHeight="1" x14ac:dyDescent="0.25">
      <c r="A14898" s="2" t="s">
        <v>8</v>
      </c>
      <c r="B14898" s="2" t="str">
        <f>HYPERLINK("http://ts.21cn.com/tousu/show/id/1346525","超职教育虚假宣传拒不退款")</f>
        <v>超职教育虚假宣传拒不退款</v>
      </c>
      <c r="C14898" s="2" t="s">
        <v>9</v>
      </c>
      <c r="D14898" s="2" t="s">
        <v>10</v>
      </c>
      <c r="E14898" s="2" t="str">
        <f>HYPERLINK("http://ts.21cn.com/tousu/show/id/1346525","http://ts.21cn.com/tousu/show/id/1346525")</f>
        <v>http://ts.21cn.com/tousu/show/id/1346525</v>
      </c>
      <c r="F14898" s="2" t="s">
        <v>11</v>
      </c>
      <c r="G14898" s="2" t="s">
        <v>14866</v>
      </c>
      <c r="H14898" s="2" t="s">
        <v>14867</v>
      </c>
    </row>
    <row r="14899" spans="1:8" ht="25.05" customHeight="1" x14ac:dyDescent="0.25">
      <c r="A14899" s="2" t="s">
        <v>8</v>
      </c>
      <c r="B14899" s="2" t="str">
        <f>HYPERLINK("http://ts.21cn.com/tousu/show/id/1346524","及贷威胁爆通讯录")</f>
        <v>及贷威胁爆通讯录</v>
      </c>
      <c r="C14899" s="2" t="s">
        <v>9</v>
      </c>
      <c r="D14899" s="2" t="s">
        <v>10</v>
      </c>
      <c r="E14899" s="2" t="str">
        <f>HYPERLINK("http://ts.21cn.com/tousu/show/id/1346524","http://ts.21cn.com/tousu/show/id/1346524")</f>
        <v>http://ts.21cn.com/tousu/show/id/1346524</v>
      </c>
      <c r="F14899" s="2" t="s">
        <v>11</v>
      </c>
      <c r="G14899" s="2" t="s">
        <v>14864</v>
      </c>
      <c r="H14899" s="2" t="s">
        <v>14865</v>
      </c>
    </row>
    <row r="14900" spans="1:8" ht="25.05" customHeight="1" x14ac:dyDescent="0.25">
      <c r="A14900" s="2" t="s">
        <v>8</v>
      </c>
      <c r="B14900" s="2" t="str">
        <f>HYPERLINK("http://ts.21cn.com/tousu/show/id/1346511","退费砍头息会员费")</f>
        <v>退费砍头息会员费</v>
      </c>
      <c r="C14900" s="2" t="s">
        <v>9</v>
      </c>
      <c r="D14900" s="2" t="s">
        <v>10</v>
      </c>
      <c r="E14900" s="2" t="str">
        <f>HYPERLINK("http://ts.21cn.com/tousu/show/id/1346511","http://ts.21cn.com/tousu/show/id/1346511")</f>
        <v>http://ts.21cn.com/tousu/show/id/1346511</v>
      </c>
      <c r="F14900" s="2" t="s">
        <v>11</v>
      </c>
      <c r="G14900" s="2" t="s">
        <v>14862</v>
      </c>
      <c r="H14900" s="2" t="s">
        <v>14863</v>
      </c>
    </row>
    <row r="14901" spans="1:8" ht="25.05" customHeight="1" x14ac:dyDescent="0.25">
      <c r="A14901" s="2" t="s">
        <v>8</v>
      </c>
      <c r="B14901" s="2" t="str">
        <f>HYPERLINK("http://ts.21cn.com/tousu/show/id/1346527","微信零钱支付")</f>
        <v>微信零钱支付</v>
      </c>
      <c r="C14901" s="2" t="s">
        <v>9</v>
      </c>
      <c r="D14901" s="2" t="s">
        <v>10</v>
      </c>
      <c r="E14901" s="2" t="str">
        <f>HYPERLINK("http://ts.21cn.com/tousu/show/id/1346527","http://ts.21cn.com/tousu/show/id/1346527")</f>
        <v>http://ts.21cn.com/tousu/show/id/1346527</v>
      </c>
      <c r="F14901" s="2" t="s">
        <v>11</v>
      </c>
      <c r="G14901" s="2" t="s">
        <v>14860</v>
      </c>
      <c r="H14901" s="2" t="s">
        <v>14861</v>
      </c>
    </row>
    <row r="14902" spans="1:8" ht="25.05" customHeight="1" x14ac:dyDescent="0.25">
      <c r="A14902" s="2" t="s">
        <v>8</v>
      </c>
      <c r="B14902" s="2" t="str">
        <f>HYPERLINK("http://ts.21cn.com/tousu/show/id/1346529","广西鸿胜信息服务有限公司高利贷，严重的砍头息，恶意催收，")</f>
        <v>广西鸿胜信息服务有限公司高利贷，严重的砍头息，恶意催收，</v>
      </c>
      <c r="C14902" s="2" t="s">
        <v>9</v>
      </c>
      <c r="D14902" s="2" t="s">
        <v>10</v>
      </c>
      <c r="E14902" s="2" t="str">
        <f>HYPERLINK("http://ts.21cn.com/tousu/show/id/1346529","http://ts.21cn.com/tousu/show/id/1346529")</f>
        <v>http://ts.21cn.com/tousu/show/id/1346529</v>
      </c>
      <c r="F14902" s="2" t="s">
        <v>11</v>
      </c>
      <c r="G14902" s="2" t="s">
        <v>14858</v>
      </c>
      <c r="H14902" s="2" t="s">
        <v>14859</v>
      </c>
    </row>
    <row r="14903" spans="1:8" ht="25.05" customHeight="1" x14ac:dyDescent="0.25">
      <c r="A14903" s="2" t="s">
        <v>8</v>
      </c>
      <c r="B14903" s="2" t="str">
        <f>HYPERLINK("http://ts.21cn.com/tousu/show/id/1346530","中信银行信用卡催收对我造成骚扰")</f>
        <v>中信银行信用卡催收对我造成骚扰</v>
      </c>
      <c r="C14903" s="2" t="s">
        <v>9</v>
      </c>
      <c r="D14903" s="2" t="s">
        <v>10</v>
      </c>
      <c r="E14903" s="2" t="str">
        <f>HYPERLINK("http://ts.21cn.com/tousu/show/id/1346530","http://ts.21cn.com/tousu/show/id/1346530")</f>
        <v>http://ts.21cn.com/tousu/show/id/1346530</v>
      </c>
      <c r="F14903" s="2" t="s">
        <v>11</v>
      </c>
      <c r="G14903" s="2" t="s">
        <v>14856</v>
      </c>
      <c r="H14903" s="2" t="s">
        <v>14857</v>
      </c>
    </row>
    <row r="14904" spans="1:8" ht="25.05" customHeight="1" x14ac:dyDescent="0.25">
      <c r="A14904" s="2" t="s">
        <v>8</v>
      </c>
      <c r="B14904" s="2" t="str">
        <f>HYPERLINK("http://ts.21cn.com/tousu/show/id/1346376","瞬瞬暴力催收骚扰通讯录")</f>
        <v>瞬瞬暴力催收骚扰通讯录</v>
      </c>
      <c r="C14904" s="2" t="s">
        <v>9</v>
      </c>
      <c r="D14904" s="2" t="s">
        <v>10</v>
      </c>
      <c r="E14904" s="2" t="str">
        <f>HYPERLINK("http://ts.21cn.com/tousu/show/id/1346376","http://ts.21cn.com/tousu/show/id/1346376")</f>
        <v>http://ts.21cn.com/tousu/show/id/1346376</v>
      </c>
      <c r="F14904" s="2" t="s">
        <v>11</v>
      </c>
      <c r="G14904" s="2" t="s">
        <v>14854</v>
      </c>
      <c r="H14904" s="2" t="s">
        <v>14855</v>
      </c>
    </row>
    <row r="14905" spans="1:8" ht="25.05" customHeight="1" x14ac:dyDescent="0.25">
      <c r="A14905" s="2" t="s">
        <v>8</v>
      </c>
      <c r="B14905" s="2" t="str">
        <f>HYPERLINK("http://ts.21cn.com/tousu/show/id/1346532","本人资金紧缺，无力还款")</f>
        <v>本人资金紧缺，无力还款</v>
      </c>
      <c r="C14905" s="2" t="s">
        <v>34</v>
      </c>
      <c r="D14905" s="2" t="s">
        <v>10</v>
      </c>
      <c r="E14905" s="2" t="str">
        <f>HYPERLINK("http://ts.21cn.com/tousu/show/id/1346532","http://ts.21cn.com/tousu/show/id/1346532")</f>
        <v>http://ts.21cn.com/tousu/show/id/1346532</v>
      </c>
      <c r="F14905" s="2" t="s">
        <v>11</v>
      </c>
      <c r="G14905" s="2" t="s">
        <v>14852</v>
      </c>
      <c r="H14905" s="2" t="s">
        <v>14853</v>
      </c>
    </row>
    <row r="14906" spans="1:8" ht="25.05" customHeight="1" x14ac:dyDescent="0.25">
      <c r="A14906" s="2" t="s">
        <v>8</v>
      </c>
      <c r="B14906" s="2" t="str">
        <f>HYPERLINK("http://ts.21cn.com/tousu/show/id/1346533","宠芽app涉嫌非法集资")</f>
        <v>宠芽app涉嫌非法集资</v>
      </c>
      <c r="C14906" s="2" t="s">
        <v>9</v>
      </c>
      <c r="D14906" s="2" t="s">
        <v>10</v>
      </c>
      <c r="E14906" s="2" t="str">
        <f>HYPERLINK("http://ts.21cn.com/tousu/show/id/1346533","http://ts.21cn.com/tousu/show/id/1346533")</f>
        <v>http://ts.21cn.com/tousu/show/id/1346533</v>
      </c>
      <c r="F14906" s="2" t="s">
        <v>11</v>
      </c>
      <c r="G14906" s="2" t="s">
        <v>14850</v>
      </c>
      <c r="H14906" s="2" t="s">
        <v>14851</v>
      </c>
    </row>
    <row r="14907" spans="1:8" ht="25.05" customHeight="1" x14ac:dyDescent="0.25">
      <c r="A14907" s="2" t="s">
        <v>8</v>
      </c>
      <c r="B14907" s="2" t="str">
        <f>HYPERLINK("http://ts.21cn.com/tousu/show/id/1346535","暴力催收辱骂我家人")</f>
        <v>暴力催收辱骂我家人</v>
      </c>
      <c r="C14907" s="2" t="s">
        <v>9</v>
      </c>
      <c r="D14907" s="2" t="s">
        <v>10</v>
      </c>
      <c r="E14907" s="2" t="str">
        <f>HYPERLINK("http://ts.21cn.com/tousu/show/id/1346535","http://ts.21cn.com/tousu/show/id/1346535")</f>
        <v>http://ts.21cn.com/tousu/show/id/1346535</v>
      </c>
      <c r="F14907" s="2" t="s">
        <v>11</v>
      </c>
      <c r="G14907" s="2" t="s">
        <v>14848</v>
      </c>
      <c r="H14907" s="2" t="s">
        <v>14849</v>
      </c>
    </row>
    <row r="14908" spans="1:8" ht="25.05" customHeight="1" x14ac:dyDescent="0.25">
      <c r="A14908" s="2" t="s">
        <v>8</v>
      </c>
      <c r="B14908" s="2" t="str">
        <f>HYPERLINK("http://ts.21cn.com/tousu/show/id/1346537","浦发银行第三方催收")</f>
        <v>浦发银行第三方催收</v>
      </c>
      <c r="C14908" s="2" t="s">
        <v>9</v>
      </c>
      <c r="D14908" s="2" t="s">
        <v>10</v>
      </c>
      <c r="E14908" s="2" t="str">
        <f>HYPERLINK("http://ts.21cn.com/tousu/show/id/1346537","http://ts.21cn.com/tousu/show/id/1346537")</f>
        <v>http://ts.21cn.com/tousu/show/id/1346537</v>
      </c>
      <c r="F14908" s="2" t="s">
        <v>11</v>
      </c>
      <c r="G14908" s="2" t="s">
        <v>14846</v>
      </c>
      <c r="H14908" s="2" t="s">
        <v>14847</v>
      </c>
    </row>
    <row r="14909" spans="1:8" ht="25.05" customHeight="1" x14ac:dyDescent="0.25">
      <c r="A14909" s="2" t="s">
        <v>8</v>
      </c>
      <c r="B14909" s="2" t="str">
        <f>HYPERLINK("http://ts.21cn.com/tousu/show/id/1346538","恒昌公司旗下恒易贷高利贷并暴力催收")</f>
        <v>恒昌公司旗下恒易贷高利贷并暴力催收</v>
      </c>
      <c r="C14909" s="2" t="s">
        <v>9</v>
      </c>
      <c r="D14909" s="2" t="s">
        <v>10</v>
      </c>
      <c r="E14909" s="2" t="str">
        <f>HYPERLINK("http://ts.21cn.com/tousu/show/id/1346538","http://ts.21cn.com/tousu/show/id/1346538")</f>
        <v>http://ts.21cn.com/tousu/show/id/1346538</v>
      </c>
      <c r="F14909" s="2" t="s">
        <v>11</v>
      </c>
      <c r="G14909" s="2" t="s">
        <v>14844</v>
      </c>
      <c r="H14909" s="2" t="s">
        <v>14845</v>
      </c>
    </row>
    <row r="14910" spans="1:8" ht="25.05" customHeight="1" x14ac:dyDescent="0.25">
      <c r="A14910" s="2" t="s">
        <v>8</v>
      </c>
      <c r="B14910" s="2" t="str">
        <f>HYPERLINK("http://ts.21cn.com/tousu/show/id/1346539","gofun已在还车点还车，乱收费")</f>
        <v>gofun已在还车点还车，乱收费</v>
      </c>
      <c r="C14910" s="2" t="s">
        <v>9</v>
      </c>
      <c r="D14910" s="2" t="s">
        <v>10</v>
      </c>
      <c r="E14910" s="2" t="str">
        <f>HYPERLINK("http://ts.21cn.com/tousu/show/id/1346539","http://ts.21cn.com/tousu/show/id/1346539")</f>
        <v>http://ts.21cn.com/tousu/show/id/1346539</v>
      </c>
      <c r="F14910" s="2" t="s">
        <v>11</v>
      </c>
      <c r="G14910" s="2" t="s">
        <v>14842</v>
      </c>
      <c r="H14910" s="2" t="s">
        <v>14843</v>
      </c>
    </row>
    <row r="14911" spans="1:8" ht="25.05" customHeight="1" x14ac:dyDescent="0.25">
      <c r="A14911" s="2" t="s">
        <v>8</v>
      </c>
      <c r="B14911" s="2" t="str">
        <f>HYPERLINK("http://ts.21cn.com/tousu/show/id/1346540","钱站app注销需要身份证照片")</f>
        <v>钱站app注销需要身份证照片</v>
      </c>
      <c r="C14911" s="2" t="s">
        <v>9</v>
      </c>
      <c r="D14911" s="2" t="s">
        <v>10</v>
      </c>
      <c r="E14911" s="2" t="str">
        <f>HYPERLINK("http://ts.21cn.com/tousu/show/id/1346540","http://ts.21cn.com/tousu/show/id/1346540")</f>
        <v>http://ts.21cn.com/tousu/show/id/1346540</v>
      </c>
      <c r="F14911" s="2" t="s">
        <v>11</v>
      </c>
      <c r="G14911" s="2" t="s">
        <v>14840</v>
      </c>
      <c r="H14911" s="2" t="s">
        <v>14841</v>
      </c>
    </row>
    <row r="14912" spans="1:8" ht="25.05" customHeight="1" x14ac:dyDescent="0.25">
      <c r="A14912" s="2" t="s">
        <v>8</v>
      </c>
      <c r="B14912" s="2" t="str">
        <f>HYPERLINK("http://ts.21cn.com/tousu/show/id/1346494","没有到账却要还款")</f>
        <v>没有到账却要还款</v>
      </c>
      <c r="C14912" s="2" t="s">
        <v>34</v>
      </c>
      <c r="D14912" s="2" t="s">
        <v>10</v>
      </c>
      <c r="E14912" s="2" t="str">
        <f>HYPERLINK("http://ts.21cn.com/tousu/show/id/1346494","http://ts.21cn.com/tousu/show/id/1346494")</f>
        <v>http://ts.21cn.com/tousu/show/id/1346494</v>
      </c>
      <c r="F14912" s="2" t="s">
        <v>11</v>
      </c>
      <c r="G14912" s="2" t="s">
        <v>14838</v>
      </c>
      <c r="H14912" s="2" t="s">
        <v>14839</v>
      </c>
    </row>
    <row r="14913" spans="1:8" ht="25.05" customHeight="1" x14ac:dyDescent="0.25">
      <c r="A14913" s="2" t="s">
        <v>8</v>
      </c>
      <c r="B14913" s="2" t="str">
        <f>HYPERLINK("http://ts.21cn.com/tousu/show/id/1346541","拍拍贷盗取个人隐私")</f>
        <v>拍拍贷盗取个人隐私</v>
      </c>
      <c r="C14913" s="2" t="s">
        <v>9</v>
      </c>
      <c r="D14913" s="2" t="s">
        <v>10</v>
      </c>
      <c r="E14913" s="2" t="str">
        <f>HYPERLINK("http://ts.21cn.com/tousu/show/id/1346541","http://ts.21cn.com/tousu/show/id/1346541")</f>
        <v>http://ts.21cn.com/tousu/show/id/1346541</v>
      </c>
      <c r="F14913" s="2" t="s">
        <v>11</v>
      </c>
      <c r="G14913" s="2" t="s">
        <v>14836</v>
      </c>
      <c r="H14913" s="2" t="s">
        <v>14837</v>
      </c>
    </row>
    <row r="14914" spans="1:8" ht="25.05" customHeight="1" x14ac:dyDescent="0.25">
      <c r="A14914" s="2" t="s">
        <v>8</v>
      </c>
      <c r="B14914" s="2" t="str">
        <f>HYPERLINK("http://ts.21cn.com/tousu/show/id/1346542","新橙优品收取砍头息，高额逾期费用")</f>
        <v>新橙优品收取砍头息，高额逾期费用</v>
      </c>
      <c r="C14914" s="2" t="s">
        <v>34</v>
      </c>
      <c r="D14914" s="2" t="s">
        <v>10</v>
      </c>
      <c r="E14914" s="2" t="str">
        <f>HYPERLINK("http://ts.21cn.com/tousu/show/id/1346542","http://ts.21cn.com/tousu/show/id/1346542")</f>
        <v>http://ts.21cn.com/tousu/show/id/1346542</v>
      </c>
      <c r="F14914" s="2" t="s">
        <v>11</v>
      </c>
      <c r="G14914" s="2" t="s">
        <v>14834</v>
      </c>
      <c r="H14914" s="2" t="s">
        <v>14835</v>
      </c>
    </row>
    <row r="14915" spans="1:8" ht="25.05" customHeight="1" x14ac:dyDescent="0.25">
      <c r="A14915" s="2" t="s">
        <v>8</v>
      </c>
      <c r="B14915" s="2" t="str">
        <f>HYPERLINK("http://ts.21cn.com/tousu/show/id/1346543","闪银催收")</f>
        <v>闪银催收</v>
      </c>
      <c r="C14915" s="2" t="s">
        <v>9</v>
      </c>
      <c r="D14915" s="2" t="s">
        <v>10</v>
      </c>
      <c r="E14915" s="2" t="str">
        <f>HYPERLINK("http://ts.21cn.com/tousu/show/id/1346543","http://ts.21cn.com/tousu/show/id/1346543")</f>
        <v>http://ts.21cn.com/tousu/show/id/1346543</v>
      </c>
      <c r="F14915" s="2" t="s">
        <v>11</v>
      </c>
      <c r="G14915" s="2" t="s">
        <v>14832</v>
      </c>
      <c r="H14915" s="2" t="s">
        <v>14833</v>
      </c>
    </row>
    <row r="14916" spans="1:8" ht="25.05" customHeight="1" x14ac:dyDescent="0.25">
      <c r="A14916" s="2" t="s">
        <v>8</v>
      </c>
      <c r="B14916" s="2" t="str">
        <f>HYPERLINK("http://ts.21cn.com/tousu/show/id/1346544","退回不合理扣费")</f>
        <v>退回不合理扣费</v>
      </c>
      <c r="C14916" s="2" t="s">
        <v>9</v>
      </c>
      <c r="D14916" s="2" t="s">
        <v>10</v>
      </c>
      <c r="E14916" s="2" t="str">
        <f>HYPERLINK("http://ts.21cn.com/tousu/show/id/1346544","http://ts.21cn.com/tousu/show/id/1346544")</f>
        <v>http://ts.21cn.com/tousu/show/id/1346544</v>
      </c>
      <c r="F14916" s="2" t="s">
        <v>11</v>
      </c>
      <c r="G14916" s="2" t="s">
        <v>14830</v>
      </c>
      <c r="H14916" s="2" t="s">
        <v>14831</v>
      </c>
    </row>
    <row r="14917" spans="1:8" ht="25.05" customHeight="1" x14ac:dyDescent="0.25">
      <c r="A14917" s="2" t="s">
        <v>8</v>
      </c>
      <c r="B14917" s="2" t="str">
        <f>HYPERLINK("http://ts.21cn.com/tousu/show/id/1346545","分期乐公司披露我欠款事实，且拒不承认和道歉")</f>
        <v>分期乐公司披露我欠款事实，且拒不承认和道歉</v>
      </c>
      <c r="C14917" s="2" t="s">
        <v>9</v>
      </c>
      <c r="D14917" s="2" t="s">
        <v>10</v>
      </c>
      <c r="E14917" s="2" t="str">
        <f>HYPERLINK("http://ts.21cn.com/tousu/show/id/1346545","http://ts.21cn.com/tousu/show/id/1346545")</f>
        <v>http://ts.21cn.com/tousu/show/id/1346545</v>
      </c>
      <c r="F14917" s="2" t="s">
        <v>11</v>
      </c>
      <c r="G14917" s="2" t="s">
        <v>14828</v>
      </c>
      <c r="H14917" s="2" t="s">
        <v>14829</v>
      </c>
    </row>
    <row r="14918" spans="1:8" ht="25.05" customHeight="1" x14ac:dyDescent="0.25">
      <c r="A14918" s="2" t="s">
        <v>8</v>
      </c>
      <c r="B14918" s="2" t="str">
        <f>HYPERLINK("http://ts.21cn.com/tousu/show/id/1346546","宜人贷暴力催收骚扰以及收取砍头息")</f>
        <v>宜人贷暴力催收骚扰以及收取砍头息</v>
      </c>
      <c r="C14918" s="2" t="s">
        <v>9</v>
      </c>
      <c r="D14918" s="2" t="s">
        <v>10</v>
      </c>
      <c r="E14918" s="2" t="str">
        <f>HYPERLINK("http://ts.21cn.com/tousu/show/id/1346546","http://ts.21cn.com/tousu/show/id/1346546")</f>
        <v>http://ts.21cn.com/tousu/show/id/1346546</v>
      </c>
      <c r="F14918" s="2" t="s">
        <v>11</v>
      </c>
      <c r="G14918" s="2" t="s">
        <v>14826</v>
      </c>
      <c r="H14918" s="2" t="s">
        <v>14827</v>
      </c>
    </row>
    <row r="14919" spans="1:8" ht="25.05" customHeight="1" x14ac:dyDescent="0.25">
      <c r="A14919" s="2" t="s">
        <v>8</v>
      </c>
      <c r="B14919" s="2" t="str">
        <f>HYPERLINK("http://ts.21cn.com/tousu/show/id/1346547","凡普信这么干到底有人管哦啊")</f>
        <v>凡普信这么干到底有人管哦啊</v>
      </c>
      <c r="C14919" s="2" t="s">
        <v>9</v>
      </c>
      <c r="D14919" s="2" t="s">
        <v>10</v>
      </c>
      <c r="E14919" s="2" t="str">
        <f>HYPERLINK("http://ts.21cn.com/tousu/show/id/1346547","http://ts.21cn.com/tousu/show/id/1346547")</f>
        <v>http://ts.21cn.com/tousu/show/id/1346547</v>
      </c>
      <c r="F14919" s="2" t="s">
        <v>11</v>
      </c>
      <c r="G14919" s="2" t="s">
        <v>14824</v>
      </c>
      <c r="H14919" s="2" t="s">
        <v>14825</v>
      </c>
    </row>
    <row r="14920" spans="1:8" ht="25.05" customHeight="1" x14ac:dyDescent="0.25">
      <c r="A14920" s="2" t="s">
        <v>8</v>
      </c>
      <c r="B14920" s="2" t="str">
        <f>HYPERLINK("http://ts.21cn.com/tousu/show/id/1346549","要求立借终止放款")</f>
        <v>要求立借终止放款</v>
      </c>
      <c r="C14920" s="2" t="s">
        <v>9</v>
      </c>
      <c r="D14920" s="2" t="s">
        <v>10</v>
      </c>
      <c r="E14920" s="2" t="str">
        <f>HYPERLINK("http://ts.21cn.com/tousu/show/id/1346549","http://ts.21cn.com/tousu/show/id/1346549")</f>
        <v>http://ts.21cn.com/tousu/show/id/1346549</v>
      </c>
      <c r="F14920" s="2" t="s">
        <v>11</v>
      </c>
      <c r="G14920" s="2" t="s">
        <v>14822</v>
      </c>
      <c r="H14920" s="2" t="s">
        <v>14823</v>
      </c>
    </row>
    <row r="14921" spans="1:8" ht="25.05" customHeight="1" x14ac:dyDescent="0.25">
      <c r="A14921" s="2" t="s">
        <v>8</v>
      </c>
      <c r="B14921" s="2" t="str">
        <f>HYPERLINK("http://ts.21cn.com/tousu/show/id/1346550","快闪卡贷还完所有欠款不销账")</f>
        <v>快闪卡贷还完所有欠款不销账</v>
      </c>
      <c r="C14921" s="2" t="s">
        <v>9</v>
      </c>
      <c r="D14921" s="2" t="s">
        <v>10</v>
      </c>
      <c r="E14921" s="2" t="str">
        <f>HYPERLINK("http://ts.21cn.com/tousu/show/id/1346550","http://ts.21cn.com/tousu/show/id/1346550")</f>
        <v>http://ts.21cn.com/tousu/show/id/1346550</v>
      </c>
      <c r="F14921" s="2" t="s">
        <v>11</v>
      </c>
      <c r="G14921" s="2" t="s">
        <v>14820</v>
      </c>
      <c r="H14921" s="2" t="s">
        <v>14821</v>
      </c>
    </row>
    <row r="14922" spans="1:8" ht="25.05" customHeight="1" x14ac:dyDescent="0.25">
      <c r="A14922" s="2" t="s">
        <v>8</v>
      </c>
      <c r="B14922" s="2" t="str">
        <f>HYPERLINK("http://ts.21cn.com/tousu/show/id/1346552","小浦优客未经允许恶意扣款")</f>
        <v>小浦优客未经允许恶意扣款</v>
      </c>
      <c r="C14922" s="2" t="s">
        <v>9</v>
      </c>
      <c r="D14922" s="2" t="s">
        <v>10</v>
      </c>
      <c r="E14922" s="2" t="str">
        <f>HYPERLINK("http://ts.21cn.com/tousu/show/id/1346552","http://ts.21cn.com/tousu/show/id/1346552")</f>
        <v>http://ts.21cn.com/tousu/show/id/1346552</v>
      </c>
      <c r="F14922" s="2" t="s">
        <v>11</v>
      </c>
      <c r="G14922" s="2" t="s">
        <v>14818</v>
      </c>
      <c r="H14922" s="2" t="s">
        <v>14819</v>
      </c>
    </row>
    <row r="14923" spans="1:8" ht="25.05" customHeight="1" x14ac:dyDescent="0.25">
      <c r="A14923" s="2" t="s">
        <v>8</v>
      </c>
      <c r="B14923" s="2" t="str">
        <f>HYPERLINK("http://ts.21cn.com/tousu/show/id/1346534","宜人万花道歉")</f>
        <v>宜人万花道歉</v>
      </c>
      <c r="C14923" s="2" t="s">
        <v>34</v>
      </c>
      <c r="D14923" s="2" t="s">
        <v>10</v>
      </c>
      <c r="E14923" s="2" t="str">
        <f>HYPERLINK("http://ts.21cn.com/tousu/show/id/1346534","http://ts.21cn.com/tousu/show/id/1346534")</f>
        <v>http://ts.21cn.com/tousu/show/id/1346534</v>
      </c>
      <c r="F14923" s="2" t="s">
        <v>11</v>
      </c>
      <c r="G14923" s="2" t="s">
        <v>14816</v>
      </c>
      <c r="H14923" s="2" t="s">
        <v>14817</v>
      </c>
    </row>
    <row r="14924" spans="1:8" ht="25.05" customHeight="1" x14ac:dyDescent="0.25">
      <c r="A14924" s="2" t="s">
        <v>8</v>
      </c>
      <c r="B14924" s="2" t="str">
        <f>HYPERLINK("http://ts.21cn.com/tousu/show/id/1346554","贷上钱恶意催收，电话恐吓")</f>
        <v>贷上钱恶意催收，电话恐吓</v>
      </c>
      <c r="C14924" s="2" t="s">
        <v>9</v>
      </c>
      <c r="D14924" s="2" t="s">
        <v>10</v>
      </c>
      <c r="E14924" s="2" t="str">
        <f>HYPERLINK("http://ts.21cn.com/tousu/show/id/1346554","http://ts.21cn.com/tousu/show/id/1346554")</f>
        <v>http://ts.21cn.com/tousu/show/id/1346554</v>
      </c>
      <c r="F14924" s="2" t="s">
        <v>11</v>
      </c>
      <c r="G14924" s="2" t="s">
        <v>14814</v>
      </c>
      <c r="H14924" s="2" t="s">
        <v>14815</v>
      </c>
    </row>
    <row r="14925" spans="1:8" ht="25.05" customHeight="1" x14ac:dyDescent="0.25">
      <c r="A14925" s="2" t="s">
        <v>8</v>
      </c>
      <c r="B14925" s="2" t="str">
        <f>HYPERLINK("http://ts.21cn.com/tousu/show/id/1346557","京东白条泄露个人隐私")</f>
        <v>京东白条泄露个人隐私</v>
      </c>
      <c r="C14925" s="2" t="s">
        <v>9</v>
      </c>
      <c r="D14925" s="2" t="s">
        <v>10</v>
      </c>
      <c r="E14925" s="2" t="str">
        <f>HYPERLINK("http://ts.21cn.com/tousu/show/id/1346557","http://ts.21cn.com/tousu/show/id/1346557")</f>
        <v>http://ts.21cn.com/tousu/show/id/1346557</v>
      </c>
      <c r="F14925" s="2" t="s">
        <v>11</v>
      </c>
      <c r="G14925" s="2" t="s">
        <v>14812</v>
      </c>
      <c r="H14925" s="2" t="s">
        <v>14813</v>
      </c>
    </row>
    <row r="14926" spans="1:8" ht="25.05" customHeight="1" x14ac:dyDescent="0.25">
      <c r="A14926" s="2" t="s">
        <v>8</v>
      </c>
      <c r="B14926" s="2" t="str">
        <f>HYPERLINK("http://ts.21cn.com/tousu/show/id/1346556","钱站服务态度恶劣阴阳合同")</f>
        <v>钱站服务态度恶劣阴阳合同</v>
      </c>
      <c r="C14926" s="2" t="s">
        <v>9</v>
      </c>
      <c r="D14926" s="2" t="s">
        <v>10</v>
      </c>
      <c r="E14926" s="2" t="str">
        <f>HYPERLINK("http://ts.21cn.com/tousu/show/id/1346556","http://ts.21cn.com/tousu/show/id/1346556")</f>
        <v>http://ts.21cn.com/tousu/show/id/1346556</v>
      </c>
      <c r="F14926" s="2" t="s">
        <v>11</v>
      </c>
      <c r="G14926" s="2" t="s">
        <v>14810</v>
      </c>
      <c r="H14926" s="2" t="s">
        <v>14811</v>
      </c>
    </row>
    <row r="14927" spans="1:8" ht="25.05" customHeight="1" x14ac:dyDescent="0.25">
      <c r="A14927" s="2" t="s">
        <v>8</v>
      </c>
      <c r="B14927" s="2" t="str">
        <f>HYPERLINK("http://ts.21cn.com/tousu/show/id/1346558","广州达内退款")</f>
        <v>广州达内退款</v>
      </c>
      <c r="C14927" s="2" t="s">
        <v>9</v>
      </c>
      <c r="D14927" s="2" t="s">
        <v>10</v>
      </c>
      <c r="E14927" s="2" t="str">
        <f>HYPERLINK("http://ts.21cn.com/tousu/show/id/1346558","http://ts.21cn.com/tousu/show/id/1346558")</f>
        <v>http://ts.21cn.com/tousu/show/id/1346558</v>
      </c>
      <c r="F14927" s="2" t="s">
        <v>11</v>
      </c>
      <c r="G14927" s="2" t="s">
        <v>14808</v>
      </c>
      <c r="H14927" s="2" t="s">
        <v>14809</v>
      </c>
    </row>
    <row r="14928" spans="1:8" ht="25.05" customHeight="1" x14ac:dyDescent="0.25">
      <c r="A14928" s="2" t="s">
        <v>8</v>
      </c>
      <c r="B14928" s="2" t="str">
        <f>HYPERLINK("http://ts.21cn.com/tousu/show/id/1346559","招商银行委托第三方来租房骚扰")</f>
        <v>招商银行委托第三方来租房骚扰</v>
      </c>
      <c r="C14928" s="2" t="s">
        <v>9</v>
      </c>
      <c r="D14928" s="2" t="s">
        <v>10</v>
      </c>
      <c r="E14928" s="2" t="str">
        <f>HYPERLINK("http://ts.21cn.com/tousu/show/id/1346559","http://ts.21cn.com/tousu/show/id/1346559")</f>
        <v>http://ts.21cn.com/tousu/show/id/1346559</v>
      </c>
      <c r="F14928" s="2" t="s">
        <v>11</v>
      </c>
      <c r="G14928" s="2" t="s">
        <v>14806</v>
      </c>
      <c r="H14928" s="2" t="s">
        <v>14807</v>
      </c>
    </row>
    <row r="14929" spans="1:8" ht="25.05" customHeight="1" x14ac:dyDescent="0.25">
      <c r="A14929" s="2" t="s">
        <v>8</v>
      </c>
      <c r="B14929" s="2" t="str">
        <f>HYPERLINK("http://ts.21cn.com/tousu/show/id/1346560","拒绝提前还款减免利息高利贷")</f>
        <v>拒绝提前还款减免利息高利贷</v>
      </c>
      <c r="C14929" s="2" t="s">
        <v>9</v>
      </c>
      <c r="D14929" s="2" t="s">
        <v>10</v>
      </c>
      <c r="E14929" s="2" t="str">
        <f>HYPERLINK("http://ts.21cn.com/tousu/show/id/1346560","http://ts.21cn.com/tousu/show/id/1346560")</f>
        <v>http://ts.21cn.com/tousu/show/id/1346560</v>
      </c>
      <c r="F14929" s="2" t="s">
        <v>11</v>
      </c>
      <c r="G14929" s="2" t="s">
        <v>14804</v>
      </c>
      <c r="H14929" s="2" t="s">
        <v>14805</v>
      </c>
    </row>
    <row r="14930" spans="1:8" ht="25.05" customHeight="1" x14ac:dyDescent="0.25">
      <c r="A14930" s="2" t="s">
        <v>8</v>
      </c>
      <c r="B14930" s="2" t="str">
        <f>HYPERLINK("http://ts.21cn.com/tousu/show/id/1346561","闪银还款一直代扣中")</f>
        <v>闪银还款一直代扣中</v>
      </c>
      <c r="C14930" s="2" t="s">
        <v>9</v>
      </c>
      <c r="D14930" s="2" t="s">
        <v>10</v>
      </c>
      <c r="E14930" s="2" t="str">
        <f>HYPERLINK("http://ts.21cn.com/tousu/show/id/1346561","http://ts.21cn.com/tousu/show/id/1346561")</f>
        <v>http://ts.21cn.com/tousu/show/id/1346561</v>
      </c>
      <c r="F14930" s="2" t="s">
        <v>11</v>
      </c>
      <c r="G14930" s="2" t="s">
        <v>14802</v>
      </c>
      <c r="H14930" s="2" t="s">
        <v>14803</v>
      </c>
    </row>
    <row r="14931" spans="1:8" ht="25.05" customHeight="1" x14ac:dyDescent="0.25">
      <c r="A14931" s="2" t="s">
        <v>8</v>
      </c>
      <c r="B14931" s="2" t="str">
        <f>HYPERLINK("http://ts.21cn.com/tousu/show/id/1346562","协商还款")</f>
        <v>协商还款</v>
      </c>
      <c r="C14931" s="2" t="s">
        <v>9</v>
      </c>
      <c r="D14931" s="2" t="s">
        <v>10</v>
      </c>
      <c r="E14931" s="2" t="str">
        <f>HYPERLINK("http://ts.21cn.com/tousu/show/id/1346562","http://ts.21cn.com/tousu/show/id/1346562")</f>
        <v>http://ts.21cn.com/tousu/show/id/1346562</v>
      </c>
      <c r="F14931" s="2" t="s">
        <v>11</v>
      </c>
      <c r="G14931" s="2" t="s">
        <v>14799</v>
      </c>
      <c r="H14931" s="2" t="s">
        <v>14800</v>
      </c>
    </row>
    <row r="14932" spans="1:8" ht="25.05" customHeight="1" x14ac:dyDescent="0.25">
      <c r="A14932" s="2" t="s">
        <v>8</v>
      </c>
      <c r="B14932" s="2" t="str">
        <f>HYPERLINK("http://ts.21cn.com/tousu/show/id/1346563","现金巴士还款日不扣款app不能收到还款")</f>
        <v>现金巴士还款日不扣款app不能收到还款</v>
      </c>
      <c r="C14932" s="2" t="s">
        <v>9</v>
      </c>
      <c r="D14932" s="2" t="s">
        <v>10</v>
      </c>
      <c r="E14932" s="2" t="str">
        <f>HYPERLINK("http://ts.21cn.com/tousu/show/id/1346563","http://ts.21cn.com/tousu/show/id/1346563")</f>
        <v>http://ts.21cn.com/tousu/show/id/1346563</v>
      </c>
      <c r="F14932" s="2" t="s">
        <v>11</v>
      </c>
      <c r="G14932" s="2" t="s">
        <v>14799</v>
      </c>
      <c r="H14932" s="2" t="s">
        <v>14801</v>
      </c>
    </row>
    <row r="14933" spans="1:8" ht="25.05" customHeight="1" x14ac:dyDescent="0.25">
      <c r="A14933" s="2" t="s">
        <v>8</v>
      </c>
      <c r="B14933" s="2" t="str">
        <f>HYPERLINK("http://ts.21cn.com/tousu/show/id/1346565","爱用商城套路贷")</f>
        <v>爱用商城套路贷</v>
      </c>
      <c r="C14933" s="2" t="s">
        <v>9</v>
      </c>
      <c r="D14933" s="2" t="s">
        <v>10</v>
      </c>
      <c r="E14933" s="2" t="str">
        <f>HYPERLINK("http://ts.21cn.com/tousu/show/id/1346565","http://ts.21cn.com/tousu/show/id/1346565")</f>
        <v>http://ts.21cn.com/tousu/show/id/1346565</v>
      </c>
      <c r="F14933" s="2" t="s">
        <v>11</v>
      </c>
      <c r="G14933" s="2" t="s">
        <v>14797</v>
      </c>
      <c r="H14933" s="2" t="s">
        <v>14798</v>
      </c>
    </row>
    <row r="14934" spans="1:8" ht="25.05" customHeight="1" x14ac:dyDescent="0.25">
      <c r="A14934" s="2" t="s">
        <v>8</v>
      </c>
      <c r="B14934" s="2" t="str">
        <f>HYPERLINK("http://ts.21cn.com/tousu/show/id/1346566","本人不知情的情况下工商银行居然能办理信用卡且还能审核通过")</f>
        <v>本人不知情的情况下工商银行居然能办理信用卡且还能审核通过</v>
      </c>
      <c r="C14934" s="2" t="s">
        <v>9</v>
      </c>
      <c r="D14934" s="2" t="s">
        <v>10</v>
      </c>
      <c r="E14934" s="2" t="str">
        <f>HYPERLINK("http://ts.21cn.com/tousu/show/id/1346566","http://ts.21cn.com/tousu/show/id/1346566")</f>
        <v>http://ts.21cn.com/tousu/show/id/1346566</v>
      </c>
      <c r="F14934" s="2" t="s">
        <v>11</v>
      </c>
      <c r="G14934" s="2" t="s">
        <v>14795</v>
      </c>
      <c r="H14934" s="2" t="s">
        <v>14796</v>
      </c>
    </row>
    <row r="14935" spans="1:8" ht="25.05" customHeight="1" x14ac:dyDescent="0.25">
      <c r="A14935" s="2" t="s">
        <v>8</v>
      </c>
      <c r="B14935" s="2" t="str">
        <f>HYPERLINK("http://ts.21cn.com/tousu/show/id/1346567","借款后还款入口没有，高额利息，没有还款入口逾期还会罚息")</f>
        <v>借款后还款入口没有，高额利息，没有还款入口逾期还会罚息</v>
      </c>
      <c r="C14935" s="2" t="s">
        <v>9</v>
      </c>
      <c r="D14935" s="2" t="s">
        <v>10</v>
      </c>
      <c r="E14935" s="2" t="str">
        <f>HYPERLINK("http://ts.21cn.com/tousu/show/id/1346567","http://ts.21cn.com/tousu/show/id/1346567")</f>
        <v>http://ts.21cn.com/tousu/show/id/1346567</v>
      </c>
      <c r="F14935" s="2" t="s">
        <v>11</v>
      </c>
      <c r="G14935" s="2" t="s">
        <v>14793</v>
      </c>
      <c r="H14935" s="2" t="s">
        <v>14794</v>
      </c>
    </row>
    <row r="14936" spans="1:8" ht="25.05" customHeight="1" x14ac:dyDescent="0.25">
      <c r="A14936" s="2" t="s">
        <v>8</v>
      </c>
      <c r="B14936" s="2" t="str">
        <f>HYPERLINK("http://ts.21cn.com/tousu/show/id/1346472","交易猫无视买家举证，睁眼胡说八道，不公平仲裁")</f>
        <v>交易猫无视买家举证，睁眼胡说八道，不公平仲裁</v>
      </c>
      <c r="C14936" s="2" t="s">
        <v>9</v>
      </c>
      <c r="D14936" s="2" t="s">
        <v>10</v>
      </c>
      <c r="E14936" s="2" t="str">
        <f>HYPERLINK("http://ts.21cn.com/tousu/show/id/1346472","http://ts.21cn.com/tousu/show/id/1346472")</f>
        <v>http://ts.21cn.com/tousu/show/id/1346472</v>
      </c>
      <c r="F14936" s="2" t="s">
        <v>11</v>
      </c>
      <c r="G14936" s="2" t="s">
        <v>14791</v>
      </c>
      <c r="H14936" s="2" t="s">
        <v>14792</v>
      </c>
    </row>
    <row r="14937" spans="1:8" ht="25.05" customHeight="1" x14ac:dyDescent="0.25">
      <c r="A14937" s="2" t="s">
        <v>8</v>
      </c>
      <c r="B14937" s="2" t="str">
        <f>HYPERLINK("http://ts.21cn.com/tousu/show/id/1346568","百度金融催收违规群发通讯录")</f>
        <v>百度金融催收违规群发通讯录</v>
      </c>
      <c r="C14937" s="2" t="s">
        <v>9</v>
      </c>
      <c r="D14937" s="2" t="s">
        <v>10</v>
      </c>
      <c r="E14937" s="2" t="str">
        <f>HYPERLINK("http://ts.21cn.com/tousu/show/id/1346568","http://ts.21cn.com/tousu/show/id/1346568")</f>
        <v>http://ts.21cn.com/tousu/show/id/1346568</v>
      </c>
      <c r="F14937" s="2" t="s">
        <v>11</v>
      </c>
      <c r="G14937" s="2" t="s">
        <v>14789</v>
      </c>
      <c r="H14937" s="2" t="s">
        <v>14790</v>
      </c>
    </row>
    <row r="14938" spans="1:8" ht="25.05" customHeight="1" x14ac:dyDescent="0.25">
      <c r="A14938" s="2" t="s">
        <v>8</v>
      </c>
      <c r="B14938" s="2" t="str">
        <f>HYPERLINK("http://ts.21cn.com/tousu/show/id/1346569","安徽中融法律服务有限公司威胁恐吓骚扰的投诉")</f>
        <v>安徽中融法律服务有限公司威胁恐吓骚扰的投诉</v>
      </c>
      <c r="C14938" s="2" t="s">
        <v>9</v>
      </c>
      <c r="D14938" s="2" t="s">
        <v>10</v>
      </c>
      <c r="E14938" s="2" t="str">
        <f>HYPERLINK("http://ts.21cn.com/tousu/show/id/1346569","http://ts.21cn.com/tousu/show/id/1346569")</f>
        <v>http://ts.21cn.com/tousu/show/id/1346569</v>
      </c>
      <c r="F14938" s="2" t="s">
        <v>11</v>
      </c>
      <c r="G14938" s="2" t="s">
        <v>14787</v>
      </c>
      <c r="H14938" s="2" t="s">
        <v>14788</v>
      </c>
    </row>
    <row r="14939" spans="1:8" ht="25.05" customHeight="1" x14ac:dyDescent="0.25">
      <c r="A14939" s="2" t="s">
        <v>8</v>
      </c>
      <c r="B14939" s="2" t="str">
        <f>HYPERLINK("http://ts.21cn.com/tousu/show/id/1346551","淘手游平台不作为")</f>
        <v>淘手游平台不作为</v>
      </c>
      <c r="C14939" s="2" t="s">
        <v>9</v>
      </c>
      <c r="D14939" s="2" t="s">
        <v>10</v>
      </c>
      <c r="E14939" s="2" t="str">
        <f>HYPERLINK("http://ts.21cn.com/tousu/show/id/1346551","http://ts.21cn.com/tousu/show/id/1346551")</f>
        <v>http://ts.21cn.com/tousu/show/id/1346551</v>
      </c>
      <c r="F14939" s="2" t="s">
        <v>11</v>
      </c>
      <c r="G14939" s="2" t="s">
        <v>14785</v>
      </c>
      <c r="H14939" s="2" t="s">
        <v>14786</v>
      </c>
    </row>
    <row r="14940" spans="1:8" ht="25.05" customHeight="1" x14ac:dyDescent="0.25">
      <c r="A14940" s="2" t="s">
        <v>8</v>
      </c>
      <c r="B14940" s="2" t="str">
        <f>HYPERLINK("http://ts.21cn.com/tousu/show/id/1346570","高利贷，砍头息，威胁爆通讯录。")</f>
        <v>高利贷，砍头息，威胁爆通讯录。</v>
      </c>
      <c r="C14940" s="2" t="s">
        <v>9</v>
      </c>
      <c r="D14940" s="2" t="s">
        <v>10</v>
      </c>
      <c r="E14940" s="2" t="str">
        <f>HYPERLINK("http://ts.21cn.com/tousu/show/id/1346570","http://ts.21cn.com/tousu/show/id/1346570")</f>
        <v>http://ts.21cn.com/tousu/show/id/1346570</v>
      </c>
      <c r="F14940" s="2" t="s">
        <v>11</v>
      </c>
      <c r="G14940" s="2" t="s">
        <v>14783</v>
      </c>
      <c r="H14940" s="2" t="s">
        <v>14784</v>
      </c>
    </row>
    <row r="14941" spans="1:8" ht="25.05" customHeight="1" x14ac:dyDescent="0.25">
      <c r="A14941" s="2" t="s">
        <v>8</v>
      </c>
      <c r="B14941" s="2" t="str">
        <f>HYPERLINK("http://ts.21cn.com/tousu/show/id/1346571","玖富万卡擅自改写合同，变相收取费用，高利贷")</f>
        <v>玖富万卡擅自改写合同，变相收取费用，高利贷</v>
      </c>
      <c r="C14941" s="2" t="s">
        <v>9</v>
      </c>
      <c r="D14941" s="2" t="s">
        <v>10</v>
      </c>
      <c r="E14941" s="2" t="str">
        <f>HYPERLINK("http://ts.21cn.com/tousu/show/id/1346571","http://ts.21cn.com/tousu/show/id/1346571")</f>
        <v>http://ts.21cn.com/tousu/show/id/1346571</v>
      </c>
      <c r="F14941" s="2" t="s">
        <v>11</v>
      </c>
      <c r="G14941" s="2" t="s">
        <v>14781</v>
      </c>
      <c r="H14941" s="2" t="s">
        <v>14782</v>
      </c>
    </row>
    <row r="14942" spans="1:8" ht="25.05" customHeight="1" x14ac:dyDescent="0.25">
      <c r="A14942" s="2" t="s">
        <v>8</v>
      </c>
      <c r="B14942" s="2" t="str">
        <f>HYPERLINK("http://ts.21cn.com/tousu/show/id/1346572","嗨学网诱导消费者签订霸王条款，不退费")</f>
        <v>嗨学网诱导消费者签订霸王条款，不退费</v>
      </c>
      <c r="C14942" s="2" t="s">
        <v>9</v>
      </c>
      <c r="D14942" s="2" t="s">
        <v>10</v>
      </c>
      <c r="E14942" s="2" t="str">
        <f>HYPERLINK("http://ts.21cn.com/tousu/show/id/1346572","http://ts.21cn.com/tousu/show/id/1346572")</f>
        <v>http://ts.21cn.com/tousu/show/id/1346572</v>
      </c>
      <c r="F14942" s="2" t="s">
        <v>11</v>
      </c>
      <c r="G14942" s="2" t="s">
        <v>14779</v>
      </c>
      <c r="H14942" s="2" t="s">
        <v>14780</v>
      </c>
    </row>
    <row r="14943" spans="1:8" ht="25.05" customHeight="1" x14ac:dyDescent="0.25">
      <c r="A14943" s="2" t="s">
        <v>8</v>
      </c>
      <c r="B14943" s="2" t="str">
        <f>HYPERLINK("http://ts.21cn.com/tousu/show/id/1346573","记得花6天砍头")</f>
        <v>记得花6天砍头</v>
      </c>
      <c r="C14943" s="2" t="s">
        <v>34</v>
      </c>
      <c r="D14943" s="2" t="s">
        <v>10</v>
      </c>
      <c r="E14943" s="2" t="str">
        <f>HYPERLINK("http://ts.21cn.com/tousu/show/id/1346573","http://ts.21cn.com/tousu/show/id/1346573")</f>
        <v>http://ts.21cn.com/tousu/show/id/1346573</v>
      </c>
      <c r="F14943" s="2" t="s">
        <v>11</v>
      </c>
      <c r="G14943" s="2" t="s">
        <v>14777</v>
      </c>
      <c r="H14943" s="2" t="s">
        <v>14778</v>
      </c>
    </row>
    <row r="14944" spans="1:8" ht="25.05" customHeight="1" x14ac:dyDescent="0.25">
      <c r="A14944" s="2" t="s">
        <v>8</v>
      </c>
      <c r="B14944" s="2" t="str">
        <f>HYPERLINK("http://ts.21cn.com/tousu/show/id/1346574","翼支付随意借盗取个人信息")</f>
        <v>翼支付随意借盗取个人信息</v>
      </c>
      <c r="C14944" s="2" t="s">
        <v>9</v>
      </c>
      <c r="D14944" s="2" t="s">
        <v>10</v>
      </c>
      <c r="E14944" s="2" t="str">
        <f>HYPERLINK("http://ts.21cn.com/tousu/show/id/1346574","http://ts.21cn.com/tousu/show/id/1346574")</f>
        <v>http://ts.21cn.com/tousu/show/id/1346574</v>
      </c>
      <c r="F14944" s="2" t="s">
        <v>11</v>
      </c>
      <c r="G14944" s="2" t="s">
        <v>14775</v>
      </c>
      <c r="H14944" s="2" t="s">
        <v>14776</v>
      </c>
    </row>
    <row r="14945" spans="1:8" ht="25.05" customHeight="1" x14ac:dyDescent="0.25">
      <c r="A14945" s="2" t="s">
        <v>8</v>
      </c>
      <c r="B14945" s="2" t="str">
        <f>HYPERLINK("http://ts.21cn.com/tousu/show/id/1346575","还呗app不合理还款日")</f>
        <v>还呗app不合理还款日</v>
      </c>
      <c r="C14945" s="2" t="s">
        <v>9</v>
      </c>
      <c r="D14945" s="2" t="s">
        <v>10</v>
      </c>
      <c r="E14945" s="2" t="str">
        <f>HYPERLINK("http://ts.21cn.com/tousu/show/id/1346575","http://ts.21cn.com/tousu/show/id/1346575")</f>
        <v>http://ts.21cn.com/tousu/show/id/1346575</v>
      </c>
      <c r="F14945" s="2" t="s">
        <v>11</v>
      </c>
      <c r="G14945" s="2" t="s">
        <v>14773</v>
      </c>
      <c r="H14945" s="2" t="s">
        <v>14774</v>
      </c>
    </row>
    <row r="14946" spans="1:8" ht="25.05" customHeight="1" x14ac:dyDescent="0.25">
      <c r="A14946" s="2" t="s">
        <v>8</v>
      </c>
      <c r="B14946" s="2" t="str">
        <f>HYPERLINK("http://ts.21cn.com/tousu/show/id/1346576","对通讯录轰炸威胁恐吓亲戚朋友")</f>
        <v>对通讯录轰炸威胁恐吓亲戚朋友</v>
      </c>
      <c r="C14946" s="2" t="s">
        <v>9</v>
      </c>
      <c r="D14946" s="2" t="s">
        <v>10</v>
      </c>
      <c r="E14946" s="2" t="str">
        <f>HYPERLINK("http://ts.21cn.com/tousu/show/id/1346576","http://ts.21cn.com/tousu/show/id/1346576")</f>
        <v>http://ts.21cn.com/tousu/show/id/1346576</v>
      </c>
      <c r="F14946" s="2" t="s">
        <v>11</v>
      </c>
      <c r="G14946" s="2" t="s">
        <v>14771</v>
      </c>
      <c r="H14946" s="2" t="s">
        <v>14772</v>
      </c>
    </row>
    <row r="14947" spans="1:8" ht="25.05" customHeight="1" x14ac:dyDescent="0.25">
      <c r="A14947" s="2" t="s">
        <v>8</v>
      </c>
      <c r="B14947" s="2" t="str">
        <f>HYPERLINK("http://ts.21cn.com/tousu/show/id/1346577","高利贷")</f>
        <v>高利贷</v>
      </c>
      <c r="C14947" s="2" t="s">
        <v>9</v>
      </c>
      <c r="D14947" s="2" t="s">
        <v>10</v>
      </c>
      <c r="E14947" s="2" t="str">
        <f>HYPERLINK("http://ts.21cn.com/tousu/show/id/1346577","http://ts.21cn.com/tousu/show/id/1346577")</f>
        <v>http://ts.21cn.com/tousu/show/id/1346577</v>
      </c>
      <c r="F14947" s="2" t="s">
        <v>11</v>
      </c>
      <c r="G14947" s="2" t="s">
        <v>14769</v>
      </c>
      <c r="H14947" s="2" t="s">
        <v>14770</v>
      </c>
    </row>
    <row r="14948" spans="1:8" ht="25.05" customHeight="1" x14ac:dyDescent="0.25">
      <c r="A14948" s="2" t="s">
        <v>8</v>
      </c>
      <c r="B14948" s="2" t="str">
        <f>HYPERLINK("http://ts.21cn.com/tousu/show/id/1346578","侵犯我隐私，没有解决投诉问题，高利贷砍头息")</f>
        <v>侵犯我隐私，没有解决投诉问题，高利贷砍头息</v>
      </c>
      <c r="C14948" s="2" t="s">
        <v>9</v>
      </c>
      <c r="D14948" s="2" t="s">
        <v>10</v>
      </c>
      <c r="E14948" s="2" t="str">
        <f>HYPERLINK("http://ts.21cn.com/tousu/show/id/1346578","http://ts.21cn.com/tousu/show/id/1346578")</f>
        <v>http://ts.21cn.com/tousu/show/id/1346578</v>
      </c>
      <c r="F14948" s="2" t="s">
        <v>11</v>
      </c>
      <c r="G14948" s="2" t="s">
        <v>14767</v>
      </c>
      <c r="H14948" s="2" t="s">
        <v>14768</v>
      </c>
    </row>
    <row r="14949" spans="1:8" ht="25.05" customHeight="1" x14ac:dyDescent="0.25">
      <c r="A14949" s="2" t="s">
        <v>8</v>
      </c>
      <c r="B14949" s="2" t="str">
        <f>HYPERLINK("http://ts.21cn.com/tousu/show/id/1346580","服务机制")</f>
        <v>服务机制</v>
      </c>
      <c r="C14949" s="2" t="s">
        <v>9</v>
      </c>
      <c r="D14949" s="2" t="s">
        <v>10</v>
      </c>
      <c r="E14949" s="2" t="str">
        <f>HYPERLINK("http://ts.21cn.com/tousu/show/id/1346580","http://ts.21cn.com/tousu/show/id/1346580")</f>
        <v>http://ts.21cn.com/tousu/show/id/1346580</v>
      </c>
      <c r="F14949" s="2" t="s">
        <v>11</v>
      </c>
      <c r="G14949" s="2" t="s">
        <v>14765</v>
      </c>
      <c r="H14949" s="2" t="s">
        <v>14766</v>
      </c>
    </row>
    <row r="14950" spans="1:8" ht="25.05" customHeight="1" x14ac:dyDescent="0.25">
      <c r="A14950" s="2" t="s">
        <v>8</v>
      </c>
      <c r="B14950" s="2" t="str">
        <f>HYPERLINK("http://ts.21cn.com/tousu/show/id/1346581","交通信用卡电话催收")</f>
        <v>交通信用卡电话催收</v>
      </c>
      <c r="C14950" s="2" t="s">
        <v>9</v>
      </c>
      <c r="D14950" s="2" t="s">
        <v>10</v>
      </c>
      <c r="E14950" s="2" t="str">
        <f>HYPERLINK("http://ts.21cn.com/tousu/show/id/1346581","http://ts.21cn.com/tousu/show/id/1346581")</f>
        <v>http://ts.21cn.com/tousu/show/id/1346581</v>
      </c>
      <c r="F14950" s="2" t="s">
        <v>11</v>
      </c>
      <c r="G14950" s="2" t="s">
        <v>14763</v>
      </c>
      <c r="H14950" s="2" t="s">
        <v>14764</v>
      </c>
    </row>
    <row r="14951" spans="1:8" ht="25.05" customHeight="1" x14ac:dyDescent="0.25">
      <c r="A14951" s="2" t="s">
        <v>8</v>
      </c>
      <c r="B14951" s="2" t="str">
        <f>HYPERLINK("http://ts.21cn.com/tousu/show/id/1346582","贷上钱以买游戏豆为由收取高额贷款通过费")</f>
        <v>贷上钱以买游戏豆为由收取高额贷款通过费</v>
      </c>
      <c r="C14951" s="2" t="s">
        <v>9</v>
      </c>
      <c r="D14951" s="2" t="s">
        <v>10</v>
      </c>
      <c r="E14951" s="2" t="str">
        <f>HYPERLINK("http://ts.21cn.com/tousu/show/id/1346582","http://ts.21cn.com/tousu/show/id/1346582")</f>
        <v>http://ts.21cn.com/tousu/show/id/1346582</v>
      </c>
      <c r="F14951" s="2" t="s">
        <v>11</v>
      </c>
      <c r="G14951" s="2" t="s">
        <v>14761</v>
      </c>
      <c r="H14951" s="2" t="s">
        <v>14762</v>
      </c>
    </row>
    <row r="14952" spans="1:8" ht="25.05" customHeight="1" x14ac:dyDescent="0.25">
      <c r="A14952" s="2" t="s">
        <v>8</v>
      </c>
      <c r="B14952" s="2" t="str">
        <f>HYPERLINK("http://ts.21cn.com/tousu/show/id/1346585","嘀嗒提现失败")</f>
        <v>嘀嗒提现失败</v>
      </c>
      <c r="C14952" s="2" t="s">
        <v>9</v>
      </c>
      <c r="D14952" s="2" t="s">
        <v>10</v>
      </c>
      <c r="E14952" s="2" t="str">
        <f>HYPERLINK("http://ts.21cn.com/tousu/show/id/1346585","http://ts.21cn.com/tousu/show/id/1346585")</f>
        <v>http://ts.21cn.com/tousu/show/id/1346585</v>
      </c>
      <c r="F14952" s="2" t="s">
        <v>11</v>
      </c>
      <c r="G14952" s="2" t="s">
        <v>14759</v>
      </c>
      <c r="H14952" s="2" t="s">
        <v>14760</v>
      </c>
    </row>
    <row r="14953" spans="1:8" ht="25.05" customHeight="1" x14ac:dyDescent="0.25">
      <c r="A14953" s="2" t="s">
        <v>8</v>
      </c>
      <c r="B14953" s="2" t="str">
        <f>HYPERLINK("http://ts.21cn.com/tousu/show/id/1346587","暴力催收")</f>
        <v>暴力催收</v>
      </c>
      <c r="C14953" s="2" t="s">
        <v>9</v>
      </c>
      <c r="D14953" s="2" t="s">
        <v>10</v>
      </c>
      <c r="E14953" s="2" t="str">
        <f>HYPERLINK("http://ts.21cn.com/tousu/show/id/1346587","http://ts.21cn.com/tousu/show/id/1346587")</f>
        <v>http://ts.21cn.com/tousu/show/id/1346587</v>
      </c>
      <c r="F14953" s="2" t="s">
        <v>11</v>
      </c>
      <c r="G14953" s="2" t="s">
        <v>14757</v>
      </c>
      <c r="H14953" s="2" t="s">
        <v>14758</v>
      </c>
    </row>
    <row r="14954" spans="1:8" ht="25.05" customHeight="1" x14ac:dyDescent="0.25">
      <c r="A14954" s="2" t="s">
        <v>8</v>
      </c>
      <c r="B14954" s="2" t="str">
        <f>HYPERLINK("http://ts.21cn.com/tousu/show/id/1346590","中恒信金融暴力催收")</f>
        <v>中恒信金融暴力催收</v>
      </c>
      <c r="C14954" s="2" t="s">
        <v>9</v>
      </c>
      <c r="D14954" s="2" t="s">
        <v>10</v>
      </c>
      <c r="E14954" s="2" t="str">
        <f>HYPERLINK("http://ts.21cn.com/tousu/show/id/1346590","http://ts.21cn.com/tousu/show/id/1346590")</f>
        <v>http://ts.21cn.com/tousu/show/id/1346590</v>
      </c>
      <c r="F14954" s="2" t="s">
        <v>11</v>
      </c>
      <c r="G14954" s="2" t="s">
        <v>14755</v>
      </c>
      <c r="H14954" s="2" t="s">
        <v>14756</v>
      </c>
    </row>
    <row r="14955" spans="1:8" ht="25.05" customHeight="1" x14ac:dyDescent="0.25">
      <c r="A14955" s="2" t="s">
        <v>8</v>
      </c>
      <c r="B14955" s="2" t="str">
        <f>HYPERLINK("http://ts.21cn.com/tousu/show/id/1346588","家里孩子利用苹果设备恶意购买邪教，不利于名族团结的APP扣款，还拒不退款")</f>
        <v>家里孩子利用苹果设备恶意购买邪教，不利于名族团结的APP扣款，还拒不退款</v>
      </c>
      <c r="C14955" s="2" t="s">
        <v>9</v>
      </c>
      <c r="D14955" s="2" t="s">
        <v>10</v>
      </c>
      <c r="E14955" s="2" t="str">
        <f>HYPERLINK("http://ts.21cn.com/tousu/show/id/1346588","http://ts.21cn.com/tousu/show/id/1346588")</f>
        <v>http://ts.21cn.com/tousu/show/id/1346588</v>
      </c>
      <c r="F14955" s="2" t="s">
        <v>11</v>
      </c>
      <c r="G14955" s="2" t="s">
        <v>14753</v>
      </c>
      <c r="H14955" s="2" t="s">
        <v>14754</v>
      </c>
    </row>
    <row r="14956" spans="1:8" ht="25.05" customHeight="1" x14ac:dyDescent="0.25">
      <c r="A14956" s="2" t="s">
        <v>8</v>
      </c>
      <c r="B14956" s="2" t="str">
        <f>HYPERLINK("http://ts.21cn.com/tousu/show/id/1346589","诽谤恐吓")</f>
        <v>诽谤恐吓</v>
      </c>
      <c r="C14956" s="2" t="s">
        <v>9</v>
      </c>
      <c r="D14956" s="2" t="s">
        <v>10</v>
      </c>
      <c r="E14956" s="2" t="str">
        <f>HYPERLINK("http://ts.21cn.com/tousu/show/id/1346589","http://ts.21cn.com/tousu/show/id/1346589")</f>
        <v>http://ts.21cn.com/tousu/show/id/1346589</v>
      </c>
      <c r="F14956" s="2" t="s">
        <v>11</v>
      </c>
      <c r="G14956" s="2" t="s">
        <v>14751</v>
      </c>
      <c r="H14956" s="2" t="s">
        <v>14752</v>
      </c>
    </row>
    <row r="14957" spans="1:8" ht="25.05" customHeight="1" x14ac:dyDescent="0.25">
      <c r="A14957" s="2" t="s">
        <v>8</v>
      </c>
      <c r="B14957" s="2" t="str">
        <f>HYPERLINK("http://ts.21cn.com/tousu/show/id/1346591","多米贷高利贷砍头息")</f>
        <v>多米贷高利贷砍头息</v>
      </c>
      <c r="C14957" s="2" t="s">
        <v>9</v>
      </c>
      <c r="D14957" s="2" t="s">
        <v>10</v>
      </c>
      <c r="E14957" s="2" t="str">
        <f>HYPERLINK("http://ts.21cn.com/tousu/show/id/1346591","http://ts.21cn.com/tousu/show/id/1346591")</f>
        <v>http://ts.21cn.com/tousu/show/id/1346591</v>
      </c>
      <c r="F14957" s="2" t="s">
        <v>11</v>
      </c>
      <c r="G14957" s="2" t="s">
        <v>14749</v>
      </c>
      <c r="H14957" s="2" t="s">
        <v>14750</v>
      </c>
    </row>
    <row r="14958" spans="1:8" ht="25.05" customHeight="1" x14ac:dyDescent="0.25">
      <c r="A14958" s="2" t="s">
        <v>8</v>
      </c>
      <c r="B14958" s="2" t="str">
        <f>HYPERLINK("http://ts.21cn.com/tousu/show/id/1346592","百事普惠恶意扣款")</f>
        <v>百事普惠恶意扣款</v>
      </c>
      <c r="C14958" s="2" t="s">
        <v>9</v>
      </c>
      <c r="D14958" s="2" t="s">
        <v>10</v>
      </c>
      <c r="E14958" s="2" t="str">
        <f>HYPERLINK("http://ts.21cn.com/tousu/show/id/1346592","http://ts.21cn.com/tousu/show/id/1346592")</f>
        <v>http://ts.21cn.com/tousu/show/id/1346592</v>
      </c>
      <c r="F14958" s="2" t="s">
        <v>11</v>
      </c>
      <c r="G14958" s="2" t="s">
        <v>14747</v>
      </c>
      <c r="H14958" s="2" t="s">
        <v>14748</v>
      </c>
    </row>
    <row r="14959" spans="1:8" ht="25.05" customHeight="1" x14ac:dyDescent="0.25">
      <c r="A14959" s="2" t="s">
        <v>8</v>
      </c>
      <c r="B14959" s="2" t="str">
        <f>HYPERLINK("http://ts.21cn.com/tousu/show/id/1346593","读秒高利贷远超36%利率")</f>
        <v>读秒高利贷远超36%利率</v>
      </c>
      <c r="C14959" s="2" t="s">
        <v>9</v>
      </c>
      <c r="D14959" s="2" t="s">
        <v>10</v>
      </c>
      <c r="E14959" s="2" t="str">
        <f>HYPERLINK("http://ts.21cn.com/tousu/show/id/1346593","http://ts.21cn.com/tousu/show/id/1346593")</f>
        <v>http://ts.21cn.com/tousu/show/id/1346593</v>
      </c>
      <c r="F14959" s="2" t="s">
        <v>11</v>
      </c>
      <c r="G14959" s="2" t="s">
        <v>14745</v>
      </c>
      <c r="H14959" s="2" t="s">
        <v>14746</v>
      </c>
    </row>
    <row r="14960" spans="1:8" ht="25.05" customHeight="1" x14ac:dyDescent="0.25">
      <c r="A14960" s="2" t="s">
        <v>8</v>
      </c>
      <c r="B14960" s="2" t="str">
        <f>HYPERLINK("http://ts.21cn.com/tousu/show/id/1346594","我在豆豆钱借了13000元凭什么要我还18000元我不打算还钱了，还上征信，而且特别黑，持有合法执照的高利贷")</f>
        <v>我在豆豆钱借了13000元凭什么要我还18000元我不打算还钱了，还上征信，而且特别黑，持有合法执照的高利贷</v>
      </c>
      <c r="C14960" s="2" t="s">
        <v>9</v>
      </c>
      <c r="D14960" s="2" t="s">
        <v>10</v>
      </c>
      <c r="E14960" s="2" t="str">
        <f>HYPERLINK("http://ts.21cn.com/tousu/show/id/1346594","http://ts.21cn.com/tousu/show/id/1346594")</f>
        <v>http://ts.21cn.com/tousu/show/id/1346594</v>
      </c>
      <c r="F14960" s="2" t="s">
        <v>11</v>
      </c>
      <c r="G14960" s="2" t="s">
        <v>14743</v>
      </c>
      <c r="H14960" s="2" t="s">
        <v>14744</v>
      </c>
    </row>
    <row r="14961" spans="1:8" ht="25.05" customHeight="1" x14ac:dyDescent="0.25">
      <c r="A14961" s="2" t="s">
        <v>8</v>
      </c>
      <c r="B14961" s="2" t="str">
        <f>HYPERLINK("http://ts.21cn.com/tousu/show/id/1346583","请帮帮一个退伍老兵和消防员")</f>
        <v>请帮帮一个退伍老兵和消防员</v>
      </c>
      <c r="C14961" s="2" t="s">
        <v>9</v>
      </c>
      <c r="D14961" s="2" t="s">
        <v>10</v>
      </c>
      <c r="E14961" s="2" t="str">
        <f>HYPERLINK("http://ts.21cn.com/tousu/show/id/1346583","http://ts.21cn.com/tousu/show/id/1346583")</f>
        <v>http://ts.21cn.com/tousu/show/id/1346583</v>
      </c>
      <c r="F14961" s="2" t="s">
        <v>11</v>
      </c>
      <c r="G14961" s="2" t="s">
        <v>14741</v>
      </c>
      <c r="H14961" s="2" t="s">
        <v>14742</v>
      </c>
    </row>
    <row r="14962" spans="1:8" ht="25.05" customHeight="1" x14ac:dyDescent="0.25">
      <c r="A14962" s="2" t="s">
        <v>8</v>
      </c>
      <c r="B14962" s="2" t="str">
        <f>HYPERLINK("http://ts.21cn.com/tousu/show/id/1346595","凡普暴力催收逾期一天费用高达815元")</f>
        <v>凡普暴力催收逾期一天费用高达815元</v>
      </c>
      <c r="C14962" s="2" t="s">
        <v>9</v>
      </c>
      <c r="D14962" s="2" t="s">
        <v>10</v>
      </c>
      <c r="E14962" s="2" t="str">
        <f>HYPERLINK("http://ts.21cn.com/tousu/show/id/1346595","http://ts.21cn.com/tousu/show/id/1346595")</f>
        <v>http://ts.21cn.com/tousu/show/id/1346595</v>
      </c>
      <c r="F14962" s="2" t="s">
        <v>11</v>
      </c>
      <c r="G14962" s="2" t="s">
        <v>14739</v>
      </c>
      <c r="H14962" s="2" t="s">
        <v>14740</v>
      </c>
    </row>
    <row r="14963" spans="1:8" ht="25.05" customHeight="1" x14ac:dyDescent="0.25">
      <c r="A14963" s="2" t="s">
        <v>8</v>
      </c>
      <c r="B14963" s="2" t="str">
        <f>HYPERLINK("http://ts.21cn.com/tousu/show/id/1346597","投诉刷单云闪付提供虚假收款商户")</f>
        <v>投诉刷单云闪付提供虚假收款商户</v>
      </c>
      <c r="C14963" s="2" t="s">
        <v>9</v>
      </c>
      <c r="D14963" s="2" t="s">
        <v>10</v>
      </c>
      <c r="E14963" s="2" t="str">
        <f>HYPERLINK("http://ts.21cn.com/tousu/show/id/1346597","http://ts.21cn.com/tousu/show/id/1346597")</f>
        <v>http://ts.21cn.com/tousu/show/id/1346597</v>
      </c>
      <c r="F14963" s="2" t="s">
        <v>11</v>
      </c>
      <c r="G14963" s="2" t="s">
        <v>14737</v>
      </c>
      <c r="H14963" s="2" t="s">
        <v>14738</v>
      </c>
    </row>
    <row r="14964" spans="1:8" ht="25.05" customHeight="1" x14ac:dyDescent="0.25">
      <c r="A14964" s="2" t="s">
        <v>8</v>
      </c>
      <c r="B14964" s="2" t="str">
        <f>HYPERLINK("http://ts.21cn.com/tousu/show/id/1346596","京东商城霸王条款未履行换货，投诉客服无门")</f>
        <v>京东商城霸王条款未履行换货，投诉客服无门</v>
      </c>
      <c r="C14964" s="2" t="s">
        <v>9</v>
      </c>
      <c r="D14964" s="2" t="s">
        <v>10</v>
      </c>
      <c r="E14964" s="2" t="str">
        <f>HYPERLINK("http://ts.21cn.com/tousu/show/id/1346596","http://ts.21cn.com/tousu/show/id/1346596")</f>
        <v>http://ts.21cn.com/tousu/show/id/1346596</v>
      </c>
      <c r="F14964" s="2" t="s">
        <v>11</v>
      </c>
      <c r="G14964" s="2" t="s">
        <v>14735</v>
      </c>
      <c r="H14964" s="2" t="s">
        <v>14736</v>
      </c>
    </row>
    <row r="14965" spans="1:8" ht="25.05" customHeight="1" x14ac:dyDescent="0.25">
      <c r="A14965" s="2" t="s">
        <v>8</v>
      </c>
      <c r="B14965" s="2" t="str">
        <f>HYPERLINK("http://ts.21cn.com/tousu/show/id/1346598","花月钱包转卖个人信息")</f>
        <v>花月钱包转卖个人信息</v>
      </c>
      <c r="C14965" s="2" t="s">
        <v>9</v>
      </c>
      <c r="D14965" s="2" t="s">
        <v>10</v>
      </c>
      <c r="E14965" s="2" t="str">
        <f>HYPERLINK("http://ts.21cn.com/tousu/show/id/1346598","http://ts.21cn.com/tousu/show/id/1346598")</f>
        <v>http://ts.21cn.com/tousu/show/id/1346598</v>
      </c>
      <c r="F14965" s="2" t="s">
        <v>11</v>
      </c>
      <c r="G14965" s="2" t="s">
        <v>14733</v>
      </c>
      <c r="H14965" s="2" t="s">
        <v>14734</v>
      </c>
    </row>
    <row r="14966" spans="1:8" ht="25.05" customHeight="1" x14ac:dyDescent="0.25">
      <c r="A14966" s="2" t="s">
        <v>8</v>
      </c>
      <c r="B14966" s="2" t="str">
        <f>HYPERLINK("http://ts.21cn.com/tousu/show/id/1346600","暴力催收")</f>
        <v>暴力催收</v>
      </c>
      <c r="C14966" s="2" t="s">
        <v>9</v>
      </c>
      <c r="D14966" s="2" t="s">
        <v>10</v>
      </c>
      <c r="E14966" s="2" t="str">
        <f>HYPERLINK("http://ts.21cn.com/tousu/show/id/1346600","http://ts.21cn.com/tousu/show/id/1346600")</f>
        <v>http://ts.21cn.com/tousu/show/id/1346600</v>
      </c>
      <c r="F14966" s="2" t="s">
        <v>11</v>
      </c>
      <c r="G14966" s="2" t="s">
        <v>14731</v>
      </c>
      <c r="H14966" s="2" t="s">
        <v>14732</v>
      </c>
    </row>
    <row r="14967" spans="1:8" ht="25.05" customHeight="1" x14ac:dyDescent="0.25">
      <c r="A14967" s="2" t="s">
        <v>8</v>
      </c>
      <c r="B14967" s="2" t="str">
        <f>HYPERLINK("http://ts.21cn.com/tousu/show/id/1346601","高利贷砍头息")</f>
        <v>高利贷砍头息</v>
      </c>
      <c r="C14967" s="2" t="s">
        <v>9</v>
      </c>
      <c r="D14967" s="2" t="s">
        <v>10</v>
      </c>
      <c r="E14967" s="2" t="str">
        <f>HYPERLINK("http://ts.21cn.com/tousu/show/id/1346601","http://ts.21cn.com/tousu/show/id/1346601")</f>
        <v>http://ts.21cn.com/tousu/show/id/1346601</v>
      </c>
      <c r="F14967" s="2" t="s">
        <v>11</v>
      </c>
      <c r="G14967" s="2" t="s">
        <v>14729</v>
      </c>
      <c r="H14967" s="2" t="s">
        <v>14730</v>
      </c>
    </row>
    <row r="14968" spans="1:8" ht="25.05" customHeight="1" x14ac:dyDescent="0.25">
      <c r="A14968" s="2" t="s">
        <v>8</v>
      </c>
      <c r="B14968" s="2" t="str">
        <f>HYPERLINK("http://ts.21cn.com/tousu/show/id/1346603","my钱包借款在不知情的情况下强制购买意外险")</f>
        <v>my钱包借款在不知情的情况下强制购买意外险</v>
      </c>
      <c r="C14968" s="2" t="s">
        <v>9</v>
      </c>
      <c r="D14968" s="2" t="s">
        <v>10</v>
      </c>
      <c r="E14968" s="2" t="str">
        <f>HYPERLINK("http://ts.21cn.com/tousu/show/id/1346603","http://ts.21cn.com/tousu/show/id/1346603")</f>
        <v>http://ts.21cn.com/tousu/show/id/1346603</v>
      </c>
      <c r="F14968" s="2" t="s">
        <v>11</v>
      </c>
      <c r="G14968" s="2" t="s">
        <v>14727</v>
      </c>
      <c r="H14968" s="2" t="s">
        <v>14728</v>
      </c>
    </row>
    <row r="14969" spans="1:8" ht="25.05" customHeight="1" x14ac:dyDescent="0.25">
      <c r="A14969" s="2" t="s">
        <v>8</v>
      </c>
      <c r="B14969" s="2" t="str">
        <f>HYPERLINK("http://ts.21cn.com/tousu/show/id/1346602","催收态度恶劣")</f>
        <v>催收态度恶劣</v>
      </c>
      <c r="C14969" s="2" t="s">
        <v>9</v>
      </c>
      <c r="D14969" s="2" t="s">
        <v>10</v>
      </c>
      <c r="E14969" s="2" t="str">
        <f>HYPERLINK("http://ts.21cn.com/tousu/show/id/1346602","http://ts.21cn.com/tousu/show/id/1346602")</f>
        <v>http://ts.21cn.com/tousu/show/id/1346602</v>
      </c>
      <c r="F14969" s="2" t="s">
        <v>11</v>
      </c>
      <c r="G14969" s="2" t="s">
        <v>14725</v>
      </c>
      <c r="H14969" s="2" t="s">
        <v>14726</v>
      </c>
    </row>
    <row r="14970" spans="1:8" ht="25.05" customHeight="1" x14ac:dyDescent="0.25">
      <c r="A14970" s="2" t="s">
        <v>8</v>
      </c>
      <c r="B14970" s="2" t="str">
        <f>HYPERLINK("http://ts.21cn.com/tousu/show/id/1346604","京东大闸蟹券用不了")</f>
        <v>京东大闸蟹券用不了</v>
      </c>
      <c r="C14970" s="2" t="s">
        <v>9</v>
      </c>
      <c r="D14970" s="2" t="s">
        <v>10</v>
      </c>
      <c r="E14970" s="2" t="str">
        <f>HYPERLINK("http://ts.21cn.com/tousu/show/id/1346604","http://ts.21cn.com/tousu/show/id/1346604")</f>
        <v>http://ts.21cn.com/tousu/show/id/1346604</v>
      </c>
      <c r="F14970" s="2" t="s">
        <v>11</v>
      </c>
      <c r="G14970" s="2" t="s">
        <v>14723</v>
      </c>
      <c r="H14970" s="2" t="s">
        <v>14724</v>
      </c>
    </row>
    <row r="14971" spans="1:8" ht="25.05" customHeight="1" x14ac:dyDescent="0.25">
      <c r="A14971" s="2" t="s">
        <v>8</v>
      </c>
      <c r="B14971" s="2" t="str">
        <f>HYPERLINK("http://ts.21cn.com/tousu/show/id/1346605","高铁管家抢票退款没到账")</f>
        <v>高铁管家抢票退款没到账</v>
      </c>
      <c r="C14971" s="2" t="s">
        <v>34</v>
      </c>
      <c r="D14971" s="2" t="s">
        <v>10</v>
      </c>
      <c r="E14971" s="2" t="str">
        <f>HYPERLINK("http://ts.21cn.com/tousu/show/id/1346605","http://ts.21cn.com/tousu/show/id/1346605")</f>
        <v>http://ts.21cn.com/tousu/show/id/1346605</v>
      </c>
      <c r="F14971" s="2" t="s">
        <v>11</v>
      </c>
      <c r="G14971" s="2" t="s">
        <v>14721</v>
      </c>
      <c r="H14971" s="2" t="s">
        <v>14722</v>
      </c>
    </row>
    <row r="14972" spans="1:8" ht="25.05" customHeight="1" x14ac:dyDescent="0.25">
      <c r="A14972" s="2" t="s">
        <v>8</v>
      </c>
      <c r="B14972" s="2" t="str">
        <f>HYPERLINK("http://ts.21cn.com/tousu/show/id/1346606","兴业信用卡暴力催收")</f>
        <v>兴业信用卡暴力催收</v>
      </c>
      <c r="C14972" s="2" t="s">
        <v>9</v>
      </c>
      <c r="D14972" s="2" t="s">
        <v>10</v>
      </c>
      <c r="E14972" s="2" t="str">
        <f>HYPERLINK("http://ts.21cn.com/tousu/show/id/1346606","http://ts.21cn.com/tousu/show/id/1346606")</f>
        <v>http://ts.21cn.com/tousu/show/id/1346606</v>
      </c>
      <c r="F14972" s="2" t="s">
        <v>11</v>
      </c>
      <c r="G14972" s="2" t="s">
        <v>14719</v>
      </c>
      <c r="H14972" s="2" t="s">
        <v>14720</v>
      </c>
    </row>
    <row r="14973" spans="1:8" ht="25.05" customHeight="1" x14ac:dyDescent="0.25">
      <c r="A14973" s="2" t="s">
        <v>8</v>
      </c>
      <c r="B14973" s="2" t="str">
        <f>HYPERLINK("http://ts.21cn.com/tousu/show/id/1346610","小浦优客未经同意扣款")</f>
        <v>小浦优客未经同意扣款</v>
      </c>
      <c r="C14973" s="2" t="s">
        <v>34</v>
      </c>
      <c r="D14973" s="2" t="s">
        <v>10</v>
      </c>
      <c r="E14973" s="2" t="str">
        <f>HYPERLINK("http://ts.21cn.com/tousu/show/id/1346610","http://ts.21cn.com/tousu/show/id/1346610")</f>
        <v>http://ts.21cn.com/tousu/show/id/1346610</v>
      </c>
      <c r="F14973" s="2" t="s">
        <v>11</v>
      </c>
      <c r="G14973" s="2" t="s">
        <v>14717</v>
      </c>
      <c r="H14973" s="2" t="s">
        <v>14718</v>
      </c>
    </row>
    <row r="14974" spans="1:8" ht="25.05" customHeight="1" x14ac:dyDescent="0.25">
      <c r="A14974" s="2" t="s">
        <v>8</v>
      </c>
      <c r="B14974" s="2" t="str">
        <f>HYPERLINK("http://ts.21cn.com/tousu/show/id/1346609","瞬瞬哼哼催收人员骚扰联系人")</f>
        <v>瞬瞬哼哼催收人员骚扰联系人</v>
      </c>
      <c r="C14974" s="2" t="s">
        <v>9</v>
      </c>
      <c r="D14974" s="2" t="s">
        <v>10</v>
      </c>
      <c r="E14974" s="2" t="str">
        <f>HYPERLINK("http://ts.21cn.com/tousu/show/id/1346609","http://ts.21cn.com/tousu/show/id/1346609")</f>
        <v>http://ts.21cn.com/tousu/show/id/1346609</v>
      </c>
      <c r="F14974" s="2" t="s">
        <v>11</v>
      </c>
      <c r="G14974" s="2" t="s">
        <v>14715</v>
      </c>
      <c r="H14974" s="2" t="s">
        <v>14716</v>
      </c>
    </row>
    <row r="14975" spans="1:8" ht="25.05" customHeight="1" x14ac:dyDescent="0.25">
      <c r="A14975" s="2" t="s">
        <v>8</v>
      </c>
      <c r="B14975" s="2" t="str">
        <f>HYPERLINK("http://ts.21cn.com/tousu/show/id/1346584","注销微博账号遭刁难")</f>
        <v>注销微博账号遭刁难</v>
      </c>
      <c r="C14975" s="2" t="s">
        <v>9</v>
      </c>
      <c r="D14975" s="2" t="s">
        <v>10</v>
      </c>
      <c r="E14975" s="2" t="str">
        <f>HYPERLINK("http://ts.21cn.com/tousu/show/id/1346584","http://ts.21cn.com/tousu/show/id/1346584")</f>
        <v>http://ts.21cn.com/tousu/show/id/1346584</v>
      </c>
      <c r="F14975" s="2" t="s">
        <v>11</v>
      </c>
      <c r="G14975" s="2" t="s">
        <v>14712</v>
      </c>
      <c r="H14975" s="2" t="s">
        <v>14713</v>
      </c>
    </row>
    <row r="14976" spans="1:8" ht="25.05" customHeight="1" x14ac:dyDescent="0.25">
      <c r="A14976" s="2" t="s">
        <v>8</v>
      </c>
      <c r="B14976" s="2" t="str">
        <f>HYPERLINK("http://ts.21cn.com/tousu/show/id/1346608","投诉货拉拉")</f>
        <v>投诉货拉拉</v>
      </c>
      <c r="C14976" s="2" t="s">
        <v>9</v>
      </c>
      <c r="D14976" s="2" t="s">
        <v>10</v>
      </c>
      <c r="E14976" s="2" t="str">
        <f>HYPERLINK("http://ts.21cn.com/tousu/show/id/1346608","http://ts.21cn.com/tousu/show/id/1346608")</f>
        <v>http://ts.21cn.com/tousu/show/id/1346608</v>
      </c>
      <c r="F14976" s="2" t="s">
        <v>11</v>
      </c>
      <c r="G14976" s="2" t="s">
        <v>14712</v>
      </c>
      <c r="H14976" s="2" t="s">
        <v>14714</v>
      </c>
    </row>
    <row r="14977" spans="1:8" ht="25.05" customHeight="1" x14ac:dyDescent="0.25">
      <c r="A14977" s="2" t="s">
        <v>8</v>
      </c>
      <c r="B14977" s="2" t="str">
        <f>HYPERLINK("http://ts.21cn.com/tousu/show/id/1346612","有钱花高利息下款轰炸通讯录")</f>
        <v>有钱花高利息下款轰炸通讯录</v>
      </c>
      <c r="C14977" s="2" t="s">
        <v>9</v>
      </c>
      <c r="D14977" s="2" t="s">
        <v>10</v>
      </c>
      <c r="E14977" s="2" t="str">
        <f>HYPERLINK("http://ts.21cn.com/tousu/show/id/1346612","http://ts.21cn.com/tousu/show/id/1346612")</f>
        <v>http://ts.21cn.com/tousu/show/id/1346612</v>
      </c>
      <c r="F14977" s="2" t="s">
        <v>11</v>
      </c>
      <c r="G14977" s="2" t="s">
        <v>14710</v>
      </c>
      <c r="H14977" s="2" t="s">
        <v>14711</v>
      </c>
    </row>
    <row r="14978" spans="1:8" ht="25.05" customHeight="1" x14ac:dyDescent="0.25">
      <c r="A14978" s="2" t="s">
        <v>8</v>
      </c>
      <c r="B14978" s="2" t="str">
        <f>HYPERLINK("http://ts.21cn.com/tousu/show/id/1346611","马上金融，频繁骚扰，损坏我名誉")</f>
        <v>马上金融，频繁骚扰，损坏我名誉</v>
      </c>
      <c r="C14978" s="2" t="s">
        <v>9</v>
      </c>
      <c r="D14978" s="2" t="s">
        <v>10</v>
      </c>
      <c r="E14978" s="2" t="str">
        <f>HYPERLINK("http://ts.21cn.com/tousu/show/id/1346611","http://ts.21cn.com/tousu/show/id/1346611")</f>
        <v>http://ts.21cn.com/tousu/show/id/1346611</v>
      </c>
      <c r="F14978" s="2" t="s">
        <v>11</v>
      </c>
      <c r="G14978" s="2" t="s">
        <v>14708</v>
      </c>
      <c r="H14978" s="2" t="s">
        <v>14709</v>
      </c>
    </row>
    <row r="14979" spans="1:8" ht="25.05" customHeight="1" x14ac:dyDescent="0.25">
      <c r="A14979" s="2" t="s">
        <v>8</v>
      </c>
      <c r="B14979" s="2" t="str">
        <f>HYPERLINK("http://ts.21cn.com/tousu/show/id/1346613","消除超高的逾期费用后还款！")</f>
        <v>消除超高的逾期费用后还款！</v>
      </c>
      <c r="C14979" s="2" t="s">
        <v>9</v>
      </c>
      <c r="D14979" s="2" t="s">
        <v>10</v>
      </c>
      <c r="E14979" s="2" t="str">
        <f>HYPERLINK("http://ts.21cn.com/tousu/show/id/1346613","http://ts.21cn.com/tousu/show/id/1346613")</f>
        <v>http://ts.21cn.com/tousu/show/id/1346613</v>
      </c>
      <c r="F14979" s="2" t="s">
        <v>11</v>
      </c>
      <c r="G14979" s="2" t="s">
        <v>14706</v>
      </c>
      <c r="H14979" s="2" t="s">
        <v>14707</v>
      </c>
    </row>
    <row r="14980" spans="1:8" ht="25.05" customHeight="1" x14ac:dyDescent="0.25">
      <c r="A14980" s="2" t="s">
        <v>8</v>
      </c>
      <c r="B14980" s="2" t="str">
        <f>HYPERLINK("http://ts.21cn.com/tousu/show/id/1346614","多次电话骚扰恐吓侮辱本人和骚扰通讯录好友")</f>
        <v>多次电话骚扰恐吓侮辱本人和骚扰通讯录好友</v>
      </c>
      <c r="C14980" s="2" t="s">
        <v>9</v>
      </c>
      <c r="D14980" s="2" t="s">
        <v>10</v>
      </c>
      <c r="E14980" s="2" t="str">
        <f>HYPERLINK("http://ts.21cn.com/tousu/show/id/1346614","http://ts.21cn.com/tousu/show/id/1346614")</f>
        <v>http://ts.21cn.com/tousu/show/id/1346614</v>
      </c>
      <c r="F14980" s="2" t="s">
        <v>11</v>
      </c>
      <c r="G14980" s="2" t="s">
        <v>14704</v>
      </c>
      <c r="H14980" s="2" t="s">
        <v>14705</v>
      </c>
    </row>
    <row r="14981" spans="1:8" ht="25.05" customHeight="1" x14ac:dyDescent="0.25">
      <c r="A14981" s="2" t="s">
        <v>8</v>
      </c>
      <c r="B14981" s="2" t="str">
        <f>HYPERLINK("http://ts.21cn.com/tousu/show/id/1346615","借2000元3月第一月还1680元二月还1680元3月680元收高倍利息。")</f>
        <v>借2000元3月第一月还1680元二月还1680元3月680元收高倍利息。</v>
      </c>
      <c r="C14981" s="2" t="s">
        <v>34</v>
      </c>
      <c r="D14981" s="2" t="s">
        <v>10</v>
      </c>
      <c r="E14981" s="2" t="str">
        <f>HYPERLINK("http://ts.21cn.com/tousu/show/id/1346615","http://ts.21cn.com/tousu/show/id/1346615")</f>
        <v>http://ts.21cn.com/tousu/show/id/1346615</v>
      </c>
      <c r="F14981" s="2" t="s">
        <v>11</v>
      </c>
      <c r="G14981" s="2" t="s">
        <v>14702</v>
      </c>
      <c r="H14981" s="2" t="s">
        <v>14703</v>
      </c>
    </row>
    <row r="14982" spans="1:8" ht="25.05" customHeight="1" x14ac:dyDescent="0.25">
      <c r="A14982" s="2" t="s">
        <v>8</v>
      </c>
      <c r="B14982" s="2" t="str">
        <f>HYPERLINK("http://ts.21cn.com/tousu/show/id/1346616","美团催收不与本人联系，直接爆通讯录")</f>
        <v>美团催收不与本人联系，直接爆通讯录</v>
      </c>
      <c r="C14982" s="2" t="s">
        <v>9</v>
      </c>
      <c r="D14982" s="2" t="s">
        <v>10</v>
      </c>
      <c r="E14982" s="2" t="str">
        <f>HYPERLINK("http://ts.21cn.com/tousu/show/id/1346616","http://ts.21cn.com/tousu/show/id/1346616")</f>
        <v>http://ts.21cn.com/tousu/show/id/1346616</v>
      </c>
      <c r="F14982" s="2" t="s">
        <v>11</v>
      </c>
      <c r="G14982" s="2" t="s">
        <v>14700</v>
      </c>
      <c r="H14982" s="2" t="s">
        <v>14701</v>
      </c>
    </row>
    <row r="14983" spans="1:8" ht="25.05" customHeight="1" x14ac:dyDescent="0.25">
      <c r="A14983" s="2" t="s">
        <v>8</v>
      </c>
      <c r="B14983" s="2" t="str">
        <f>HYPERLINK("http://ts.21cn.com/tousu/show/id/1346617","大鹅购平台非法催收")</f>
        <v>大鹅购平台非法催收</v>
      </c>
      <c r="C14983" s="2" t="s">
        <v>9</v>
      </c>
      <c r="D14983" s="2" t="s">
        <v>10</v>
      </c>
      <c r="E14983" s="2" t="str">
        <f>HYPERLINK("http://ts.21cn.com/tousu/show/id/1346617","http://ts.21cn.com/tousu/show/id/1346617")</f>
        <v>http://ts.21cn.com/tousu/show/id/1346617</v>
      </c>
      <c r="F14983" s="2" t="s">
        <v>11</v>
      </c>
      <c r="G14983" s="2" t="s">
        <v>14698</v>
      </c>
      <c r="H14983" s="2" t="s">
        <v>14699</v>
      </c>
    </row>
    <row r="14984" spans="1:8" ht="25.05" customHeight="1" x14ac:dyDescent="0.25">
      <c r="A14984" s="2" t="s">
        <v>8</v>
      </c>
      <c r="B14984" s="2" t="str">
        <f>HYPERLINK("http://ts.21cn.com/tousu/show/id/1346618","众安保险在投保人不知情的情况捆绑销售保险")</f>
        <v>众安保险在投保人不知情的情况捆绑销售保险</v>
      </c>
      <c r="C14984" s="2" t="s">
        <v>9</v>
      </c>
      <c r="D14984" s="2" t="s">
        <v>10</v>
      </c>
      <c r="E14984" s="2" t="str">
        <f>HYPERLINK("http://ts.21cn.com/tousu/show/id/1346618","http://ts.21cn.com/tousu/show/id/1346618")</f>
        <v>http://ts.21cn.com/tousu/show/id/1346618</v>
      </c>
      <c r="F14984" s="2" t="s">
        <v>11</v>
      </c>
      <c r="G14984" s="2" t="s">
        <v>14696</v>
      </c>
      <c r="H14984" s="2" t="s">
        <v>14697</v>
      </c>
    </row>
    <row r="14985" spans="1:8" ht="25.05" customHeight="1" x14ac:dyDescent="0.25">
      <c r="A14985" s="2" t="s">
        <v>8</v>
      </c>
      <c r="B14985" s="2" t="str">
        <f>HYPERLINK("http://ts.21cn.com/tousu/show/id/1346110","钱站高利贷阴阳合同")</f>
        <v>钱站高利贷阴阳合同</v>
      </c>
      <c r="C14985" s="2" t="s">
        <v>9</v>
      </c>
      <c r="D14985" s="2" t="s">
        <v>10</v>
      </c>
      <c r="E14985" s="2" t="str">
        <f>HYPERLINK("http://ts.21cn.com/tousu/show/id/1346110","http://ts.21cn.com/tousu/show/id/1346110")</f>
        <v>http://ts.21cn.com/tousu/show/id/1346110</v>
      </c>
      <c r="F14985" s="2" t="s">
        <v>11</v>
      </c>
      <c r="G14985" s="2" t="s">
        <v>14694</v>
      </c>
      <c r="H14985" s="2" t="s">
        <v>14695</v>
      </c>
    </row>
    <row r="14986" spans="1:8" ht="25.05" customHeight="1" x14ac:dyDescent="0.25">
      <c r="A14986" s="2" t="s">
        <v>8</v>
      </c>
      <c r="B14986" s="2" t="str">
        <f>HYPERLINK("http://ts.21cn.com/tousu/show/id/1346622","钱伴优享高利贷，收取高额利息，拒绝协商")</f>
        <v>钱伴优享高利贷，收取高额利息，拒绝协商</v>
      </c>
      <c r="C14986" s="2" t="s">
        <v>9</v>
      </c>
      <c r="D14986" s="2" t="s">
        <v>10</v>
      </c>
      <c r="E14986" s="2" t="str">
        <f>HYPERLINK("http://ts.21cn.com/tousu/show/id/1346622","http://ts.21cn.com/tousu/show/id/1346622")</f>
        <v>http://ts.21cn.com/tousu/show/id/1346622</v>
      </c>
      <c r="F14986" s="2" t="s">
        <v>11</v>
      </c>
      <c r="G14986" s="2" t="s">
        <v>14692</v>
      </c>
      <c r="H14986" s="2" t="s">
        <v>14693</v>
      </c>
    </row>
    <row r="14987" spans="1:8" ht="25.05" customHeight="1" x14ac:dyDescent="0.25">
      <c r="A14987" s="2" t="s">
        <v>8</v>
      </c>
      <c r="B14987" s="2" t="str">
        <f>HYPERLINK("http://ts.21cn.com/tousu/show/id/1346621","不清楚什么回事就智行微信免密代扣")</f>
        <v>不清楚什么回事就智行微信免密代扣</v>
      </c>
      <c r="C14987" s="2" t="s">
        <v>34</v>
      </c>
      <c r="D14987" s="2" t="s">
        <v>10</v>
      </c>
      <c r="E14987" s="2" t="str">
        <f>HYPERLINK("http://ts.21cn.com/tousu/show/id/1346621","http://ts.21cn.com/tousu/show/id/1346621")</f>
        <v>http://ts.21cn.com/tousu/show/id/1346621</v>
      </c>
      <c r="F14987" s="2" t="s">
        <v>11</v>
      </c>
      <c r="G14987" s="2" t="s">
        <v>14690</v>
      </c>
      <c r="H14987" s="2" t="s">
        <v>14691</v>
      </c>
    </row>
    <row r="14988" spans="1:8" ht="25.05" customHeight="1" x14ac:dyDescent="0.25">
      <c r="A14988" s="2" t="s">
        <v>8</v>
      </c>
      <c r="B14988" s="2" t="str">
        <f>HYPERLINK("http://ts.21cn.com/tousu/show/id/1346623","虚假广告霸王条款")</f>
        <v>虚假广告霸王条款</v>
      </c>
      <c r="C14988" s="2" t="s">
        <v>9</v>
      </c>
      <c r="D14988" s="2" t="s">
        <v>10</v>
      </c>
      <c r="E14988" s="2" t="str">
        <f>HYPERLINK("http://ts.21cn.com/tousu/show/id/1346623","http://ts.21cn.com/tousu/show/id/1346623")</f>
        <v>http://ts.21cn.com/tousu/show/id/1346623</v>
      </c>
      <c r="F14988" s="2" t="s">
        <v>11</v>
      </c>
      <c r="G14988" s="2" t="s">
        <v>14687</v>
      </c>
      <c r="H14988" s="2" t="s">
        <v>14688</v>
      </c>
    </row>
    <row r="14989" spans="1:8" ht="25.05" customHeight="1" x14ac:dyDescent="0.25">
      <c r="A14989" s="2" t="s">
        <v>8</v>
      </c>
      <c r="B14989" s="2" t="str">
        <f>HYPERLINK("http://ts.21cn.com/tousu/show/id/1346624","拍拍贷逾期被催收")</f>
        <v>拍拍贷逾期被催收</v>
      </c>
      <c r="C14989" s="2" t="s">
        <v>9</v>
      </c>
      <c r="D14989" s="2" t="s">
        <v>10</v>
      </c>
      <c r="E14989" s="2" t="str">
        <f>HYPERLINK("http://ts.21cn.com/tousu/show/id/1346624","http://ts.21cn.com/tousu/show/id/1346624")</f>
        <v>http://ts.21cn.com/tousu/show/id/1346624</v>
      </c>
      <c r="F14989" s="2" t="s">
        <v>11</v>
      </c>
      <c r="G14989" s="2" t="s">
        <v>14687</v>
      </c>
      <c r="H14989" s="2" t="s">
        <v>14689</v>
      </c>
    </row>
    <row r="14990" spans="1:8" ht="25.05" customHeight="1" x14ac:dyDescent="0.25">
      <c r="A14990" s="2" t="s">
        <v>8</v>
      </c>
      <c r="B14990" s="2" t="str">
        <f>HYPERLINK("http://ts.21cn.com/tousu/show/id/1346625","协商还款利息太高")</f>
        <v>协商还款利息太高</v>
      </c>
      <c r="C14990" s="2" t="s">
        <v>9</v>
      </c>
      <c r="D14990" s="2" t="s">
        <v>10</v>
      </c>
      <c r="E14990" s="2" t="str">
        <f>HYPERLINK("http://ts.21cn.com/tousu/show/id/1346625","http://ts.21cn.com/tousu/show/id/1346625")</f>
        <v>http://ts.21cn.com/tousu/show/id/1346625</v>
      </c>
      <c r="F14990" s="2" t="s">
        <v>11</v>
      </c>
      <c r="G14990" s="2" t="s">
        <v>14685</v>
      </c>
      <c r="H14990" s="2" t="s">
        <v>14686</v>
      </c>
    </row>
    <row r="14991" spans="1:8" ht="25.05" customHeight="1" x14ac:dyDescent="0.25">
      <c r="A14991" s="2" t="s">
        <v>8</v>
      </c>
      <c r="B14991" s="2" t="str">
        <f>HYPERLINK("http://ts.21cn.com/tousu/show/id/1346628","信而富知法犯法，砍头息高利贷")</f>
        <v>信而富知法犯法，砍头息高利贷</v>
      </c>
      <c r="C14991" s="2" t="s">
        <v>9</v>
      </c>
      <c r="D14991" s="2" t="s">
        <v>10</v>
      </c>
      <c r="E14991" s="2" t="str">
        <f>HYPERLINK("http://ts.21cn.com/tousu/show/id/1346628","http://ts.21cn.com/tousu/show/id/1346628")</f>
        <v>http://ts.21cn.com/tousu/show/id/1346628</v>
      </c>
      <c r="F14991" s="2" t="s">
        <v>11</v>
      </c>
      <c r="G14991" s="2" t="s">
        <v>14683</v>
      </c>
      <c r="H14991" s="2" t="s">
        <v>14684</v>
      </c>
    </row>
    <row r="14992" spans="1:8" ht="25.05" customHeight="1" x14ac:dyDescent="0.25">
      <c r="A14992" s="2" t="s">
        <v>8</v>
      </c>
      <c r="B14992" s="2" t="str">
        <f>HYPERLINK("http://ts.21cn.com/tousu/show/id/1346627","群发信息影响生活盗取通讯录暴力威胁亲友")</f>
        <v>群发信息影响生活盗取通讯录暴力威胁亲友</v>
      </c>
      <c r="C14992" s="2" t="s">
        <v>9</v>
      </c>
      <c r="D14992" s="2" t="s">
        <v>10</v>
      </c>
      <c r="E14992" s="2" t="str">
        <f>HYPERLINK("http://ts.21cn.com/tousu/show/id/1346627","http://ts.21cn.com/tousu/show/id/1346627")</f>
        <v>http://ts.21cn.com/tousu/show/id/1346627</v>
      </c>
      <c r="F14992" s="2" t="s">
        <v>11</v>
      </c>
      <c r="G14992" s="2" t="s">
        <v>14681</v>
      </c>
      <c r="H14992" s="2" t="s">
        <v>14682</v>
      </c>
    </row>
    <row r="14993" spans="1:8" ht="25.05" customHeight="1" x14ac:dyDescent="0.25">
      <c r="A14993" s="2" t="s">
        <v>8</v>
      </c>
      <c r="B14993" s="2" t="str">
        <f>HYPERLINK("http://ts.21cn.com/tousu/show/id/1346629","淘手游强买强卖")</f>
        <v>淘手游强买强卖</v>
      </c>
      <c r="C14993" s="2" t="s">
        <v>9</v>
      </c>
      <c r="D14993" s="2" t="s">
        <v>10</v>
      </c>
      <c r="E14993" s="2" t="str">
        <f>HYPERLINK("http://ts.21cn.com/tousu/show/id/1346629","http://ts.21cn.com/tousu/show/id/1346629")</f>
        <v>http://ts.21cn.com/tousu/show/id/1346629</v>
      </c>
      <c r="F14993" s="2" t="s">
        <v>11</v>
      </c>
      <c r="G14993" s="2" t="s">
        <v>14679</v>
      </c>
      <c r="H14993" s="2" t="s">
        <v>14680</v>
      </c>
    </row>
    <row r="14994" spans="1:8" ht="25.05" customHeight="1" x14ac:dyDescent="0.25">
      <c r="A14994" s="2" t="s">
        <v>8</v>
      </c>
      <c r="B14994" s="2" t="str">
        <f>HYPERLINK("http://ts.21cn.com/tousu/show/id/1346630","闪银闪豆高利息")</f>
        <v>闪银闪豆高利息</v>
      </c>
      <c r="C14994" s="2" t="s">
        <v>9</v>
      </c>
      <c r="D14994" s="2" t="s">
        <v>10</v>
      </c>
      <c r="E14994" s="2" t="str">
        <f>HYPERLINK("http://ts.21cn.com/tousu/show/id/1346630","http://ts.21cn.com/tousu/show/id/1346630")</f>
        <v>http://ts.21cn.com/tousu/show/id/1346630</v>
      </c>
      <c r="F14994" s="2" t="s">
        <v>11</v>
      </c>
      <c r="G14994" s="2" t="s">
        <v>14677</v>
      </c>
      <c r="H14994" s="2" t="s">
        <v>14678</v>
      </c>
    </row>
    <row r="14995" spans="1:8" ht="25.05" customHeight="1" x14ac:dyDescent="0.25">
      <c r="A14995" s="2" t="s">
        <v>8</v>
      </c>
      <c r="B14995" s="2" t="str">
        <f>HYPERLINK("http://ts.21cn.com/tousu/show/id/1346632","拇指下款app恶意扣费！")</f>
        <v>拇指下款app恶意扣费！</v>
      </c>
      <c r="C14995" s="2" t="s">
        <v>9</v>
      </c>
      <c r="D14995" s="2" t="s">
        <v>10</v>
      </c>
      <c r="E14995" s="2" t="str">
        <f>HYPERLINK("http://ts.21cn.com/tousu/show/id/1346632","http://ts.21cn.com/tousu/show/id/1346632")</f>
        <v>http://ts.21cn.com/tousu/show/id/1346632</v>
      </c>
      <c r="F14995" s="2" t="s">
        <v>11</v>
      </c>
      <c r="G14995" s="2" t="s">
        <v>14675</v>
      </c>
      <c r="H14995" s="2" t="s">
        <v>14676</v>
      </c>
    </row>
    <row r="14996" spans="1:8" ht="25.05" customHeight="1" x14ac:dyDescent="0.25">
      <c r="A14996" s="2" t="s">
        <v>8</v>
      </c>
      <c r="B14996" s="2" t="str">
        <f>HYPERLINK("http://ts.21cn.com/tousu/show/id/1346631","私自扣费")</f>
        <v>私自扣费</v>
      </c>
      <c r="C14996" s="2" t="s">
        <v>9</v>
      </c>
      <c r="D14996" s="2" t="s">
        <v>10</v>
      </c>
      <c r="E14996" s="2" t="str">
        <f>HYPERLINK("http://ts.21cn.com/tousu/show/id/1346631","http://ts.21cn.com/tousu/show/id/1346631")</f>
        <v>http://ts.21cn.com/tousu/show/id/1346631</v>
      </c>
      <c r="F14996" s="2" t="s">
        <v>11</v>
      </c>
      <c r="G14996" s="2" t="s">
        <v>14673</v>
      </c>
      <c r="H14996" s="2" t="s">
        <v>14674</v>
      </c>
    </row>
    <row r="14997" spans="1:8" ht="25.05" customHeight="1" x14ac:dyDescent="0.25">
      <c r="A14997" s="2" t="s">
        <v>8</v>
      </c>
      <c r="B14997" s="2" t="str">
        <f>HYPERLINK("http://ts.21cn.com/tousu/show/id/1346635","微信账户被封")</f>
        <v>微信账户被封</v>
      </c>
      <c r="C14997" s="2" t="s">
        <v>34</v>
      </c>
      <c r="D14997" s="2" t="s">
        <v>10</v>
      </c>
      <c r="E14997" s="2" t="str">
        <f>HYPERLINK("http://ts.21cn.com/tousu/show/id/1346635","http://ts.21cn.com/tousu/show/id/1346635")</f>
        <v>http://ts.21cn.com/tousu/show/id/1346635</v>
      </c>
      <c r="F14997" s="2" t="s">
        <v>11</v>
      </c>
      <c r="G14997" s="2" t="s">
        <v>14671</v>
      </c>
      <c r="H14997" s="2" t="s">
        <v>14672</v>
      </c>
    </row>
    <row r="14998" spans="1:8" ht="25.05" customHeight="1" x14ac:dyDescent="0.25">
      <c r="A14998" s="2" t="s">
        <v>8</v>
      </c>
      <c r="B14998" s="2" t="str">
        <f>HYPERLINK("http://ts.21cn.com/tousu/show/id/1346637","要求学院退全部学费，和定金")</f>
        <v>要求学院退全部学费，和定金</v>
      </c>
      <c r="C14998" s="2" t="s">
        <v>9</v>
      </c>
      <c r="D14998" s="2" t="s">
        <v>10</v>
      </c>
      <c r="E14998" s="2" t="str">
        <f>HYPERLINK("http://ts.21cn.com/tousu/show/id/1346637","http://ts.21cn.com/tousu/show/id/1346637")</f>
        <v>http://ts.21cn.com/tousu/show/id/1346637</v>
      </c>
      <c r="F14998" s="2" t="s">
        <v>11</v>
      </c>
      <c r="G14998" s="2" t="s">
        <v>14669</v>
      </c>
      <c r="H14998" s="2" t="s">
        <v>14670</v>
      </c>
    </row>
    <row r="14999" spans="1:8" ht="25.05" customHeight="1" x14ac:dyDescent="0.25">
      <c r="A14999" s="2" t="s">
        <v>8</v>
      </c>
      <c r="B14999" s="2" t="str">
        <f>HYPERLINK("http://ts.21cn.com/tousu/show/id/1346640","聚富分期扣款问题")</f>
        <v>聚富分期扣款问题</v>
      </c>
      <c r="C14999" s="2" t="s">
        <v>9</v>
      </c>
      <c r="D14999" s="2" t="s">
        <v>10</v>
      </c>
      <c r="E14999" s="2" t="str">
        <f>HYPERLINK("http://ts.21cn.com/tousu/show/id/1346640","http://ts.21cn.com/tousu/show/id/1346640")</f>
        <v>http://ts.21cn.com/tousu/show/id/1346640</v>
      </c>
      <c r="F14999" s="2" t="s">
        <v>11</v>
      </c>
      <c r="G14999" s="2" t="s">
        <v>14667</v>
      </c>
      <c r="H14999" s="2" t="s">
        <v>14668</v>
      </c>
    </row>
    <row r="15000" spans="1:8" ht="25.05" customHeight="1" x14ac:dyDescent="0.25">
      <c r="A15000" s="2" t="s">
        <v>8</v>
      </c>
      <c r="B15000" s="2" t="str">
        <f>HYPERLINK("http://ts.21cn.com/tousu/show/id/1346639","随行付刷200扣196元")</f>
        <v>随行付刷200扣196元</v>
      </c>
      <c r="C15000" s="2" t="s">
        <v>9</v>
      </c>
      <c r="D15000" s="2" t="s">
        <v>10</v>
      </c>
      <c r="E15000" s="2" t="str">
        <f>HYPERLINK("http://ts.21cn.com/tousu/show/id/1346639","http://ts.21cn.com/tousu/show/id/1346639")</f>
        <v>http://ts.21cn.com/tousu/show/id/1346639</v>
      </c>
      <c r="F15000" s="2" t="s">
        <v>11</v>
      </c>
      <c r="G15000" s="2" t="s">
        <v>14665</v>
      </c>
      <c r="H15000" s="2" t="s">
        <v>14666</v>
      </c>
    </row>
    <row r="15001" spans="1:8" ht="25.05" customHeight="1" x14ac:dyDescent="0.25">
      <c r="A15001" s="2" t="s">
        <v>8</v>
      </c>
      <c r="B15001" s="2" t="str">
        <f>HYPERLINK("http://ts.21cn.com/tousu/show/id/1346642","暴利催收")</f>
        <v>暴利催收</v>
      </c>
      <c r="C15001" s="2" t="s">
        <v>9</v>
      </c>
      <c r="D15001" s="2" t="s">
        <v>10</v>
      </c>
      <c r="E15001" s="2" t="str">
        <f>HYPERLINK("http://ts.21cn.com/tousu/show/id/1346642","http://ts.21cn.com/tousu/show/id/1346642")</f>
        <v>http://ts.21cn.com/tousu/show/id/1346642</v>
      </c>
      <c r="F15001" s="2" t="s">
        <v>11</v>
      </c>
      <c r="G15001" s="2" t="s">
        <v>14663</v>
      </c>
      <c r="H15001" s="2" t="s">
        <v>14664</v>
      </c>
    </row>
    <row r="15002" spans="1:8" ht="25.05" customHeight="1" x14ac:dyDescent="0.25">
      <c r="A15002" s="2" t="s">
        <v>8</v>
      </c>
      <c r="B15002" s="2" t="str">
        <f>HYPERLINK("http://ts.21cn.com/tousu/show/id/1346643","贷上钱以买游戏豆为由收取高额贷款通过费")</f>
        <v>贷上钱以买游戏豆为由收取高额贷款通过费</v>
      </c>
      <c r="C15002" s="2" t="s">
        <v>9</v>
      </c>
      <c r="D15002" s="2" t="s">
        <v>10</v>
      </c>
      <c r="E15002" s="2" t="str">
        <f>HYPERLINK("http://ts.21cn.com/tousu/show/id/1346643","http://ts.21cn.com/tousu/show/id/1346643")</f>
        <v>http://ts.21cn.com/tousu/show/id/1346643</v>
      </c>
      <c r="F15002" s="2" t="s">
        <v>11</v>
      </c>
      <c r="G15002" s="2" t="s">
        <v>14661</v>
      </c>
      <c r="H15002" s="2" t="s">
        <v>14662</v>
      </c>
    </row>
    <row r="15003" spans="1:8" ht="25.05" customHeight="1" x14ac:dyDescent="0.25">
      <c r="A15003" s="2" t="s">
        <v>8</v>
      </c>
      <c r="B15003" s="2" t="str">
        <f>HYPERLINK("http://ts.21cn.com/tousu/show/id/1346641","购买的商品质量出现严重的问题，客服拒不处理")</f>
        <v>购买的商品质量出现严重的问题，客服拒不处理</v>
      </c>
      <c r="C15003" s="2" t="s">
        <v>9</v>
      </c>
      <c r="D15003" s="2" t="s">
        <v>10</v>
      </c>
      <c r="E15003" s="2" t="str">
        <f>HYPERLINK("http://ts.21cn.com/tousu/show/id/1346641","http://ts.21cn.com/tousu/show/id/1346641")</f>
        <v>http://ts.21cn.com/tousu/show/id/1346641</v>
      </c>
      <c r="F15003" s="2" t="s">
        <v>11</v>
      </c>
      <c r="G15003" s="2" t="s">
        <v>14659</v>
      </c>
      <c r="H15003" s="2" t="s">
        <v>14660</v>
      </c>
    </row>
    <row r="15004" spans="1:8" ht="25.05" customHeight="1" x14ac:dyDescent="0.25">
      <c r="A15004" s="2" t="s">
        <v>8</v>
      </c>
      <c r="B15004" s="2" t="str">
        <f>HYPERLINK("http://ts.21cn.com/tousu/show/id/1346619","众安退我947.6元")</f>
        <v>众安退我947.6元</v>
      </c>
      <c r="C15004" s="2" t="s">
        <v>9</v>
      </c>
      <c r="D15004" s="2" t="s">
        <v>10</v>
      </c>
      <c r="E15004" s="2" t="str">
        <f>HYPERLINK("http://ts.21cn.com/tousu/show/id/1346619","http://ts.21cn.com/tousu/show/id/1346619")</f>
        <v>http://ts.21cn.com/tousu/show/id/1346619</v>
      </c>
      <c r="F15004" s="2" t="s">
        <v>11</v>
      </c>
      <c r="G15004" s="2" t="s">
        <v>14657</v>
      </c>
      <c r="H15004" s="2" t="s">
        <v>14658</v>
      </c>
    </row>
    <row r="15005" spans="1:8" ht="25.05" customHeight="1" x14ac:dyDescent="0.25">
      <c r="A15005" s="2" t="s">
        <v>8</v>
      </c>
      <c r="B15005" s="2" t="str">
        <f>HYPERLINK("http://ts.21cn.com/tousu/show/id/1346645","平安普惠")</f>
        <v>平安普惠</v>
      </c>
      <c r="C15005" s="2" t="s">
        <v>9</v>
      </c>
      <c r="D15005" s="2" t="s">
        <v>10</v>
      </c>
      <c r="E15005" s="2" t="str">
        <f>HYPERLINK("http://ts.21cn.com/tousu/show/id/1346645","http://ts.21cn.com/tousu/show/id/1346645")</f>
        <v>http://ts.21cn.com/tousu/show/id/1346645</v>
      </c>
      <c r="F15005" s="2" t="s">
        <v>11</v>
      </c>
      <c r="G15005" s="2" t="s">
        <v>14655</v>
      </c>
      <c r="H15005" s="2" t="s">
        <v>14656</v>
      </c>
    </row>
    <row r="15006" spans="1:8" ht="25.05" customHeight="1" x14ac:dyDescent="0.25">
      <c r="A15006" s="2" t="s">
        <v>8</v>
      </c>
      <c r="B15006" s="2" t="str">
        <f>HYPERLINK("http://ts.21cn.com/tousu/show/id/1346647","现代金控不给注销账号，撤机，解绑设备")</f>
        <v>现代金控不给注销账号，撤机，解绑设备</v>
      </c>
      <c r="C15006" s="2" t="s">
        <v>34</v>
      </c>
      <c r="D15006" s="2" t="s">
        <v>10</v>
      </c>
      <c r="E15006" s="2" t="str">
        <f>HYPERLINK("http://ts.21cn.com/tousu/show/id/1346647","http://ts.21cn.com/tousu/show/id/1346647")</f>
        <v>http://ts.21cn.com/tousu/show/id/1346647</v>
      </c>
      <c r="F15006" s="2" t="s">
        <v>11</v>
      </c>
      <c r="G15006" s="2" t="s">
        <v>14653</v>
      </c>
      <c r="H15006" s="2" t="s">
        <v>14654</v>
      </c>
    </row>
    <row r="15007" spans="1:8" ht="25.05" customHeight="1" x14ac:dyDescent="0.25">
      <c r="A15007" s="2" t="s">
        <v>8</v>
      </c>
      <c r="B15007" s="2" t="str">
        <f>HYPERLINK("http://ts.21cn.com/tousu/show/id/1346648","恶意骚扰")</f>
        <v>恶意骚扰</v>
      </c>
      <c r="C15007" s="2" t="s">
        <v>9</v>
      </c>
      <c r="D15007" s="2" t="s">
        <v>10</v>
      </c>
      <c r="E15007" s="2" t="str">
        <f>HYPERLINK("http://ts.21cn.com/tousu/show/id/1346648","http://ts.21cn.com/tousu/show/id/1346648")</f>
        <v>http://ts.21cn.com/tousu/show/id/1346648</v>
      </c>
      <c r="F15007" s="2" t="s">
        <v>11</v>
      </c>
      <c r="G15007" s="2" t="s">
        <v>14651</v>
      </c>
      <c r="H15007" s="2" t="s">
        <v>14652</v>
      </c>
    </row>
    <row r="15008" spans="1:8" ht="25.05" customHeight="1" x14ac:dyDescent="0.25">
      <c r="A15008" s="2" t="s">
        <v>8</v>
      </c>
      <c r="B15008" s="2" t="str">
        <f>HYPERLINK("http://ts.21cn.com/tousu/show/id/1346649","诱导她人查询额度套卡扣钱")</f>
        <v>诱导她人查询额度套卡扣钱</v>
      </c>
      <c r="C15008" s="2" t="s">
        <v>9</v>
      </c>
      <c r="D15008" s="2" t="s">
        <v>10</v>
      </c>
      <c r="E15008" s="2" t="str">
        <f>HYPERLINK("http://ts.21cn.com/tousu/show/id/1346649","http://ts.21cn.com/tousu/show/id/1346649")</f>
        <v>http://ts.21cn.com/tousu/show/id/1346649</v>
      </c>
      <c r="F15008" s="2" t="s">
        <v>11</v>
      </c>
      <c r="G15008" s="2" t="s">
        <v>14649</v>
      </c>
      <c r="H15008" s="2" t="s">
        <v>14650</v>
      </c>
    </row>
    <row r="15009" spans="1:8" ht="25.05" customHeight="1" x14ac:dyDescent="0.25">
      <c r="A15009" s="2" t="s">
        <v>8</v>
      </c>
      <c r="B15009" s="2" t="str">
        <f>HYPERLINK("http://ts.21cn.com/tousu/show/id/1346650","借款95000，需要还款159408涉及高利贷")</f>
        <v>借款95000，需要还款159408涉及高利贷</v>
      </c>
      <c r="C15009" s="2" t="s">
        <v>9</v>
      </c>
      <c r="D15009" s="2" t="s">
        <v>10</v>
      </c>
      <c r="E15009" s="2" t="str">
        <f>HYPERLINK("http://ts.21cn.com/tousu/show/id/1346650","http://ts.21cn.com/tousu/show/id/1346650")</f>
        <v>http://ts.21cn.com/tousu/show/id/1346650</v>
      </c>
      <c r="F15009" s="2" t="s">
        <v>11</v>
      </c>
      <c r="G15009" s="2" t="s">
        <v>14647</v>
      </c>
      <c r="H15009" s="2" t="s">
        <v>14648</v>
      </c>
    </row>
    <row r="15010" spans="1:8" ht="25.05" customHeight="1" x14ac:dyDescent="0.25">
      <c r="A15010" s="2" t="s">
        <v>8</v>
      </c>
      <c r="B15010" s="2" t="str">
        <f>HYPERLINK("http://ts.21cn.com/tousu/show/id/1346651","玖富万卡砍头息高利贷")</f>
        <v>玖富万卡砍头息高利贷</v>
      </c>
      <c r="C15010" s="2" t="s">
        <v>9</v>
      </c>
      <c r="D15010" s="2" t="s">
        <v>10</v>
      </c>
      <c r="E15010" s="2" t="str">
        <f>HYPERLINK("http://ts.21cn.com/tousu/show/id/1346651","http://ts.21cn.com/tousu/show/id/1346651")</f>
        <v>http://ts.21cn.com/tousu/show/id/1346651</v>
      </c>
      <c r="F15010" s="2" t="s">
        <v>11</v>
      </c>
      <c r="G15010" s="2" t="s">
        <v>14645</v>
      </c>
      <c r="H15010" s="2" t="s">
        <v>14646</v>
      </c>
    </row>
    <row r="15011" spans="1:8" ht="25.05" customHeight="1" x14ac:dyDescent="0.25">
      <c r="A15011" s="2" t="s">
        <v>8</v>
      </c>
      <c r="B15011" s="2" t="str">
        <f>HYPERLINK("http://ts.21cn.com/tousu/show/id/1346654","applemusic无故自动扣费未享受服务求退款")</f>
        <v>applemusic无故自动扣费未享受服务求退款</v>
      </c>
      <c r="C15011" s="2" t="s">
        <v>9</v>
      </c>
      <c r="D15011" s="2" t="s">
        <v>10</v>
      </c>
      <c r="E15011" s="2" t="str">
        <f>HYPERLINK("http://ts.21cn.com/tousu/show/id/1346654","http://ts.21cn.com/tousu/show/id/1346654")</f>
        <v>http://ts.21cn.com/tousu/show/id/1346654</v>
      </c>
      <c r="F15011" s="2" t="s">
        <v>11</v>
      </c>
      <c r="G15011" s="2" t="s">
        <v>14643</v>
      </c>
      <c r="H15011" s="2" t="s">
        <v>14644</v>
      </c>
    </row>
    <row r="15012" spans="1:8" ht="25.05" customHeight="1" x14ac:dyDescent="0.25">
      <c r="A15012" s="2" t="s">
        <v>8</v>
      </c>
      <c r="B15012" s="2" t="str">
        <f>HYPERLINK("http://ts.21cn.com/tousu/show/id/1346652","高利贷.阴阳合同.")</f>
        <v>高利贷.阴阳合同.</v>
      </c>
      <c r="C15012" s="2" t="s">
        <v>9</v>
      </c>
      <c r="D15012" s="2" t="s">
        <v>10</v>
      </c>
      <c r="E15012" s="2" t="str">
        <f>HYPERLINK("http://ts.21cn.com/tousu/show/id/1346652","http://ts.21cn.com/tousu/show/id/1346652")</f>
        <v>http://ts.21cn.com/tousu/show/id/1346652</v>
      </c>
      <c r="F15012" s="2" t="s">
        <v>11</v>
      </c>
      <c r="G15012" s="2" t="s">
        <v>14641</v>
      </c>
      <c r="H15012" s="2" t="s">
        <v>14642</v>
      </c>
    </row>
    <row r="15013" spans="1:8" ht="25.05" customHeight="1" x14ac:dyDescent="0.25">
      <c r="A15013" s="2" t="s">
        <v>8</v>
      </c>
      <c r="B15013" s="2" t="str">
        <f>HYPERLINK("http://ts.21cn.com/tousu/show/id/1346655","美团酒店砍券无法领取，客服不解决")</f>
        <v>美团酒店砍券无法领取，客服不解决</v>
      </c>
      <c r="C15013" s="2" t="s">
        <v>9</v>
      </c>
      <c r="D15013" s="2" t="s">
        <v>10</v>
      </c>
      <c r="E15013" s="2" t="str">
        <f>HYPERLINK("http://ts.21cn.com/tousu/show/id/1346655","http://ts.21cn.com/tousu/show/id/1346655")</f>
        <v>http://ts.21cn.com/tousu/show/id/1346655</v>
      </c>
      <c r="F15013" s="2" t="s">
        <v>11</v>
      </c>
      <c r="G15013" s="2" t="s">
        <v>14639</v>
      </c>
      <c r="H15013" s="2" t="s">
        <v>14640</v>
      </c>
    </row>
    <row r="15014" spans="1:8" ht="25.05" customHeight="1" x14ac:dyDescent="0.25">
      <c r="A15014" s="2" t="s">
        <v>8</v>
      </c>
      <c r="B15014" s="2" t="str">
        <f>HYPERLINK("http://ts.21cn.com/tousu/show/id/1346656","宜人贷平台盗取用户信息并且频繁骚扰")</f>
        <v>宜人贷平台盗取用户信息并且频繁骚扰</v>
      </c>
      <c r="C15014" s="2" t="s">
        <v>9</v>
      </c>
      <c r="D15014" s="2" t="s">
        <v>10</v>
      </c>
      <c r="E15014" s="2" t="str">
        <f>HYPERLINK("http://ts.21cn.com/tousu/show/id/1346656","http://ts.21cn.com/tousu/show/id/1346656")</f>
        <v>http://ts.21cn.com/tousu/show/id/1346656</v>
      </c>
      <c r="F15014" s="2" t="s">
        <v>11</v>
      </c>
      <c r="G15014" s="2" t="s">
        <v>14637</v>
      </c>
      <c r="H15014" s="2" t="s">
        <v>14638</v>
      </c>
    </row>
    <row r="15015" spans="1:8" ht="25.05" customHeight="1" x14ac:dyDescent="0.25">
      <c r="A15015" s="2" t="s">
        <v>8</v>
      </c>
      <c r="B15015" s="2" t="str">
        <f>HYPERLINK("http://ts.21cn.com/tousu/show/id/1346657","催收恐吓联系通讯录好友")</f>
        <v>催收恐吓联系通讯录好友</v>
      </c>
      <c r="C15015" s="2" t="s">
        <v>9</v>
      </c>
      <c r="D15015" s="2" t="s">
        <v>10</v>
      </c>
      <c r="E15015" s="2" t="str">
        <f>HYPERLINK("http://ts.21cn.com/tousu/show/id/1346657","http://ts.21cn.com/tousu/show/id/1346657")</f>
        <v>http://ts.21cn.com/tousu/show/id/1346657</v>
      </c>
      <c r="F15015" s="2" t="s">
        <v>11</v>
      </c>
      <c r="G15015" s="2" t="s">
        <v>14635</v>
      </c>
      <c r="H15015" s="2" t="s">
        <v>14636</v>
      </c>
    </row>
    <row r="15016" spans="1:8" ht="25.05" customHeight="1" x14ac:dyDescent="0.25">
      <c r="A15016" s="2" t="s">
        <v>8</v>
      </c>
      <c r="B15016" s="2" t="str">
        <f>HYPERLINK("http://ts.21cn.com/tousu/show/id/1346659","小浦优客app未提示扣取报告费要求退回")</f>
        <v>小浦优客app未提示扣取报告费要求退回</v>
      </c>
      <c r="C15016" s="2" t="s">
        <v>9</v>
      </c>
      <c r="D15016" s="2" t="s">
        <v>10</v>
      </c>
      <c r="E15016" s="2" t="str">
        <f>HYPERLINK("http://ts.21cn.com/tousu/show/id/1346659","http://ts.21cn.com/tousu/show/id/1346659")</f>
        <v>http://ts.21cn.com/tousu/show/id/1346659</v>
      </c>
      <c r="F15016" s="2" t="s">
        <v>11</v>
      </c>
      <c r="G15016" s="2" t="s">
        <v>14634</v>
      </c>
      <c r="H15016" s="2" t="s">
        <v>11904</v>
      </c>
    </row>
    <row r="15017" spans="1:8" ht="25.05" customHeight="1" x14ac:dyDescent="0.25">
      <c r="A15017" s="2" t="s">
        <v>8</v>
      </c>
      <c r="B15017" s="2" t="str">
        <f>HYPERLINK("http://ts.21cn.com/tousu/show/id/1346658","豆豆钱")</f>
        <v>豆豆钱</v>
      </c>
      <c r="C15017" s="2" t="s">
        <v>9</v>
      </c>
      <c r="D15017" s="2" t="s">
        <v>10</v>
      </c>
      <c r="E15017" s="2" t="str">
        <f>HYPERLINK("http://ts.21cn.com/tousu/show/id/1346658","http://ts.21cn.com/tousu/show/id/1346658")</f>
        <v>http://ts.21cn.com/tousu/show/id/1346658</v>
      </c>
      <c r="F15017" s="2" t="s">
        <v>11</v>
      </c>
      <c r="G15017" s="2" t="s">
        <v>14632</v>
      </c>
      <c r="H15017" s="2" t="s">
        <v>14633</v>
      </c>
    </row>
    <row r="15018" spans="1:8" ht="25.05" customHeight="1" x14ac:dyDescent="0.25">
      <c r="A15018" s="2" t="s">
        <v>8</v>
      </c>
      <c r="B15018" s="2" t="str">
        <f>HYPERLINK("http://ts.21cn.com/tousu/show/id/1346660","微信ETC没收到设备")</f>
        <v>微信ETC没收到设备</v>
      </c>
      <c r="C15018" s="2" t="s">
        <v>34</v>
      </c>
      <c r="D15018" s="2" t="s">
        <v>10</v>
      </c>
      <c r="E15018" s="2" t="str">
        <f>HYPERLINK("http://ts.21cn.com/tousu/show/id/1346660","http://ts.21cn.com/tousu/show/id/1346660")</f>
        <v>http://ts.21cn.com/tousu/show/id/1346660</v>
      </c>
      <c r="F15018" s="2" t="s">
        <v>11</v>
      </c>
      <c r="G15018" s="2" t="s">
        <v>14630</v>
      </c>
      <c r="H15018" s="2" t="s">
        <v>14631</v>
      </c>
    </row>
    <row r="15019" spans="1:8" ht="25.05" customHeight="1" x14ac:dyDescent="0.25">
      <c r="A15019" s="2" t="s">
        <v>8</v>
      </c>
      <c r="B15019" s="2" t="str">
        <f>HYPERLINK("http://ts.21cn.com/tousu/show/id/1346661","钱站高利贷阴阳合同")</f>
        <v>钱站高利贷阴阳合同</v>
      </c>
      <c r="C15019" s="2" t="s">
        <v>9</v>
      </c>
      <c r="D15019" s="2" t="s">
        <v>10</v>
      </c>
      <c r="E15019" s="2" t="str">
        <f>HYPERLINK("http://ts.21cn.com/tousu/show/id/1346661","http://ts.21cn.com/tousu/show/id/1346661")</f>
        <v>http://ts.21cn.com/tousu/show/id/1346661</v>
      </c>
      <c r="F15019" s="2" t="s">
        <v>11</v>
      </c>
      <c r="G15019" s="2" t="s">
        <v>14628</v>
      </c>
      <c r="H15019" s="2" t="s">
        <v>14629</v>
      </c>
    </row>
    <row r="15020" spans="1:8" ht="25.05" customHeight="1" x14ac:dyDescent="0.25">
      <c r="A15020" s="2" t="s">
        <v>8</v>
      </c>
      <c r="B15020" s="2" t="str">
        <f>HYPERLINK("http://ts.21cn.com/tousu/show/id/1346662","在唯品会购买的施华洛世奇手链发生质量问题，客服店大欺客，拒不处理")</f>
        <v>在唯品会购买的施华洛世奇手链发生质量问题，客服店大欺客，拒不处理</v>
      </c>
      <c r="C15020" s="2" t="s">
        <v>9</v>
      </c>
      <c r="D15020" s="2" t="s">
        <v>10</v>
      </c>
      <c r="E15020" s="2" t="str">
        <f>HYPERLINK("http://ts.21cn.com/tousu/show/id/1346662","http://ts.21cn.com/tousu/show/id/1346662")</f>
        <v>http://ts.21cn.com/tousu/show/id/1346662</v>
      </c>
      <c r="F15020" s="2" t="s">
        <v>11</v>
      </c>
      <c r="G15020" s="2" t="s">
        <v>14626</v>
      </c>
      <c r="H15020" s="2" t="s">
        <v>14627</v>
      </c>
    </row>
    <row r="15021" spans="1:8" ht="25.05" customHeight="1" x14ac:dyDescent="0.25">
      <c r="A15021" s="2" t="s">
        <v>8</v>
      </c>
      <c r="B15021" s="2" t="str">
        <f>HYPERLINK("http://ts.21cn.com/tousu/show/id/1346666","套路贷")</f>
        <v>套路贷</v>
      </c>
      <c r="C15021" s="2" t="s">
        <v>9</v>
      </c>
      <c r="D15021" s="2" t="s">
        <v>10</v>
      </c>
      <c r="E15021" s="2" t="str">
        <f>HYPERLINK("http://ts.21cn.com/tousu/show/id/1346666","http://ts.21cn.com/tousu/show/id/1346666")</f>
        <v>http://ts.21cn.com/tousu/show/id/1346666</v>
      </c>
      <c r="F15021" s="2" t="s">
        <v>11</v>
      </c>
      <c r="G15021" s="2" t="s">
        <v>14624</v>
      </c>
      <c r="H15021" s="2" t="s">
        <v>14625</v>
      </c>
    </row>
    <row r="15022" spans="1:8" ht="25.05" customHeight="1" x14ac:dyDescent="0.25">
      <c r="A15022" s="2" t="s">
        <v>8</v>
      </c>
      <c r="B15022" s="2" t="str">
        <f>HYPERLINK("http://ts.21cn.com/tousu/show/id/1346664","51人品贷高利贷暴力催收不处理问题")</f>
        <v>51人品贷高利贷暴力催收不处理问题</v>
      </c>
      <c r="C15022" s="2" t="s">
        <v>9</v>
      </c>
      <c r="D15022" s="2" t="s">
        <v>10</v>
      </c>
      <c r="E15022" s="2" t="str">
        <f>HYPERLINK("http://ts.21cn.com/tousu/show/id/1346664","http://ts.21cn.com/tousu/show/id/1346664")</f>
        <v>http://ts.21cn.com/tousu/show/id/1346664</v>
      </c>
      <c r="F15022" s="2" t="s">
        <v>11</v>
      </c>
      <c r="G15022" s="2" t="s">
        <v>14622</v>
      </c>
      <c r="H15022" s="2" t="s">
        <v>14623</v>
      </c>
    </row>
    <row r="15023" spans="1:8" ht="25.05" customHeight="1" x14ac:dyDescent="0.25">
      <c r="A15023" s="2" t="s">
        <v>8</v>
      </c>
      <c r="B15023" s="2" t="str">
        <f>HYPERLINK("http://ts.21cn.com/tousu/show/id/1346667","中腾信高利贷")</f>
        <v>中腾信高利贷</v>
      </c>
      <c r="C15023" s="2" t="s">
        <v>9</v>
      </c>
      <c r="D15023" s="2" t="s">
        <v>10</v>
      </c>
      <c r="E15023" s="2" t="str">
        <f>HYPERLINK("http://ts.21cn.com/tousu/show/id/1346667","http://ts.21cn.com/tousu/show/id/1346667")</f>
        <v>http://ts.21cn.com/tousu/show/id/1346667</v>
      </c>
      <c r="F15023" s="2" t="s">
        <v>11</v>
      </c>
      <c r="G15023" s="2" t="s">
        <v>14620</v>
      </c>
      <c r="H15023" s="2" t="s">
        <v>14621</v>
      </c>
    </row>
    <row r="15024" spans="1:8" ht="25.05" customHeight="1" x14ac:dyDescent="0.25">
      <c r="A15024" s="2" t="s">
        <v>8</v>
      </c>
      <c r="B15024" s="2" t="str">
        <f>HYPERLINK("http://ts.21cn.com/tousu/show/id/1346668","京东快递把我的快递弄错")</f>
        <v>京东快递把我的快递弄错</v>
      </c>
      <c r="C15024" s="2" t="s">
        <v>34</v>
      </c>
      <c r="D15024" s="2" t="s">
        <v>10</v>
      </c>
      <c r="E15024" s="2" t="str">
        <f>HYPERLINK("http://ts.21cn.com/tousu/show/id/1346668","http://ts.21cn.com/tousu/show/id/1346668")</f>
        <v>http://ts.21cn.com/tousu/show/id/1346668</v>
      </c>
      <c r="F15024" s="2" t="s">
        <v>11</v>
      </c>
      <c r="G15024" s="2" t="s">
        <v>14618</v>
      </c>
      <c r="H15024" s="2" t="s">
        <v>14619</v>
      </c>
    </row>
    <row r="15025" spans="1:8" ht="25.05" customHeight="1" x14ac:dyDescent="0.25">
      <c r="A15025" s="2" t="s">
        <v>8</v>
      </c>
      <c r="B15025" s="2" t="str">
        <f>HYPERLINK("http://ts.21cn.com/tousu/show/id/1346671","安逸花恶意扣取用户资金")</f>
        <v>安逸花恶意扣取用户资金</v>
      </c>
      <c r="C15025" s="2" t="s">
        <v>9</v>
      </c>
      <c r="D15025" s="2" t="s">
        <v>10</v>
      </c>
      <c r="E15025" s="2" t="str">
        <f>HYPERLINK("http://ts.21cn.com/tousu/show/id/1346671","http://ts.21cn.com/tousu/show/id/1346671")</f>
        <v>http://ts.21cn.com/tousu/show/id/1346671</v>
      </c>
      <c r="F15025" s="2" t="s">
        <v>11</v>
      </c>
      <c r="G15025" s="2" t="s">
        <v>14616</v>
      </c>
      <c r="H15025" s="2" t="s">
        <v>14617</v>
      </c>
    </row>
    <row r="15026" spans="1:8" ht="25.05" customHeight="1" x14ac:dyDescent="0.25">
      <c r="A15026" s="2" t="s">
        <v>8</v>
      </c>
      <c r="B15026" s="2" t="str">
        <f>HYPERLINK("http://ts.21cn.com/tousu/show/id/1346669","浦发银行信用卡暴力催收，爆通讯录，威胁恐吓")</f>
        <v>浦发银行信用卡暴力催收，爆通讯录，威胁恐吓</v>
      </c>
      <c r="C15026" s="2" t="s">
        <v>9</v>
      </c>
      <c r="D15026" s="2" t="s">
        <v>10</v>
      </c>
      <c r="E15026" s="2" t="str">
        <f>HYPERLINK("http://ts.21cn.com/tousu/show/id/1346669","http://ts.21cn.com/tousu/show/id/1346669")</f>
        <v>http://ts.21cn.com/tousu/show/id/1346669</v>
      </c>
      <c r="F15026" s="2" t="s">
        <v>11</v>
      </c>
      <c r="G15026" s="2" t="s">
        <v>14614</v>
      </c>
      <c r="H15026" s="2" t="s">
        <v>14615</v>
      </c>
    </row>
    <row r="15027" spans="1:8" ht="25.05" customHeight="1" x14ac:dyDescent="0.25">
      <c r="A15027" s="2" t="s">
        <v>8</v>
      </c>
      <c r="B15027" s="2" t="str">
        <f>HYPERLINK("http://ts.21cn.com/tousu/show/id/1346670","无缘无故扣钱")</f>
        <v>无缘无故扣钱</v>
      </c>
      <c r="C15027" s="2" t="s">
        <v>9</v>
      </c>
      <c r="D15027" s="2" t="s">
        <v>10</v>
      </c>
      <c r="E15027" s="2" t="str">
        <f>HYPERLINK("http://ts.21cn.com/tousu/show/id/1346670","http://ts.21cn.com/tousu/show/id/1346670")</f>
        <v>http://ts.21cn.com/tousu/show/id/1346670</v>
      </c>
      <c r="F15027" s="2" t="s">
        <v>11</v>
      </c>
      <c r="G15027" s="2" t="s">
        <v>14612</v>
      </c>
      <c r="H15027" s="2" t="s">
        <v>14613</v>
      </c>
    </row>
    <row r="15028" spans="1:8" ht="25.05" customHeight="1" x14ac:dyDescent="0.25">
      <c r="A15028" s="2" t="s">
        <v>8</v>
      </c>
      <c r="B15028" s="2" t="str">
        <f>HYPERLINK("http://ts.21cn.com/tousu/show/id/1346673","及贷骚扰通讯录，侵犯隐私")</f>
        <v>及贷骚扰通讯录，侵犯隐私</v>
      </c>
      <c r="C15028" s="2" t="s">
        <v>9</v>
      </c>
      <c r="D15028" s="2" t="s">
        <v>10</v>
      </c>
      <c r="E15028" s="2" t="str">
        <f>HYPERLINK("http://ts.21cn.com/tousu/show/id/1346673","http://ts.21cn.com/tousu/show/id/1346673")</f>
        <v>http://ts.21cn.com/tousu/show/id/1346673</v>
      </c>
      <c r="F15028" s="2" t="s">
        <v>11</v>
      </c>
      <c r="G15028" s="2" t="s">
        <v>14610</v>
      </c>
      <c r="H15028" s="2" t="s">
        <v>14611</v>
      </c>
    </row>
    <row r="15029" spans="1:8" ht="25.05" customHeight="1" x14ac:dyDescent="0.25">
      <c r="A15029" s="2" t="s">
        <v>8</v>
      </c>
      <c r="B15029" s="2" t="str">
        <f>HYPERLINK("http://ts.21cn.com/tousu/show/id/1346674","高额砍头息，借款1000到账882，还1030")</f>
        <v>高额砍头息，借款1000到账882，还1030</v>
      </c>
      <c r="C15029" s="2" t="s">
        <v>9</v>
      </c>
      <c r="D15029" s="2" t="s">
        <v>10</v>
      </c>
      <c r="E15029" s="2" t="str">
        <f>HYPERLINK("http://ts.21cn.com/tousu/show/id/1346674","http://ts.21cn.com/tousu/show/id/1346674")</f>
        <v>http://ts.21cn.com/tousu/show/id/1346674</v>
      </c>
      <c r="F15029" s="2" t="s">
        <v>11</v>
      </c>
      <c r="G15029" s="2" t="s">
        <v>14608</v>
      </c>
      <c r="H15029" s="2" t="s">
        <v>14609</v>
      </c>
    </row>
    <row r="15030" spans="1:8" ht="25.05" customHeight="1" x14ac:dyDescent="0.25">
      <c r="A15030" s="2" t="s">
        <v>8</v>
      </c>
      <c r="B15030" s="2" t="str">
        <f>HYPERLINK("http://ts.21cn.com/tousu/show/id/1346676","拉卡拉扫码收款未到账，请拉卡拉尽快处理")</f>
        <v>拉卡拉扫码收款未到账，请拉卡拉尽快处理</v>
      </c>
      <c r="C15030" s="2" t="s">
        <v>9</v>
      </c>
      <c r="D15030" s="2" t="s">
        <v>10</v>
      </c>
      <c r="E15030" s="2" t="str">
        <f>HYPERLINK("http://ts.21cn.com/tousu/show/id/1346676","http://ts.21cn.com/tousu/show/id/1346676")</f>
        <v>http://ts.21cn.com/tousu/show/id/1346676</v>
      </c>
      <c r="F15030" s="2" t="s">
        <v>11</v>
      </c>
      <c r="G15030" s="2" t="s">
        <v>14606</v>
      </c>
      <c r="H15030" s="2" t="s">
        <v>14607</v>
      </c>
    </row>
    <row r="15031" spans="1:8" ht="25.05" customHeight="1" x14ac:dyDescent="0.25">
      <c r="A15031" s="2" t="s">
        <v>8</v>
      </c>
      <c r="B15031" s="2" t="str">
        <f>HYPERLINK("http://ts.21cn.com/tousu/show/id/1346677","借款22900，分12期还，计算每月还款额度后，一年下来总共需要还31165.25元，年化率为36.09%")</f>
        <v>借款22900，分12期还，计算每月还款额度后，一年下来总共需要还31165.25元，年化率为36.09%</v>
      </c>
      <c r="C15031" s="2" t="s">
        <v>34</v>
      </c>
      <c r="D15031" s="2" t="s">
        <v>10</v>
      </c>
      <c r="E15031" s="2" t="str">
        <f>HYPERLINK("http://ts.21cn.com/tousu/show/id/1346677","http://ts.21cn.com/tousu/show/id/1346677")</f>
        <v>http://ts.21cn.com/tousu/show/id/1346677</v>
      </c>
      <c r="F15031" s="2" t="s">
        <v>11</v>
      </c>
      <c r="G15031" s="2" t="s">
        <v>14604</v>
      </c>
      <c r="H15031" s="2" t="s">
        <v>14605</v>
      </c>
    </row>
    <row r="15032" spans="1:8" ht="25.05" customHeight="1" x14ac:dyDescent="0.25">
      <c r="A15032" s="2" t="s">
        <v>8</v>
      </c>
      <c r="B15032" s="2" t="str">
        <f>HYPERLINK("http://ts.21cn.com/tousu/show/id/1346678","拒绝开发票")</f>
        <v>拒绝开发票</v>
      </c>
      <c r="C15032" s="2" t="s">
        <v>9</v>
      </c>
      <c r="D15032" s="2" t="s">
        <v>10</v>
      </c>
      <c r="E15032" s="2" t="str">
        <f>HYPERLINK("http://ts.21cn.com/tousu/show/id/1346678","http://ts.21cn.com/tousu/show/id/1346678")</f>
        <v>http://ts.21cn.com/tousu/show/id/1346678</v>
      </c>
      <c r="F15032" s="2" t="s">
        <v>11</v>
      </c>
      <c r="G15032" s="2" t="s">
        <v>14602</v>
      </c>
      <c r="H15032" s="2" t="s">
        <v>14603</v>
      </c>
    </row>
    <row r="15033" spans="1:8" ht="25.05" customHeight="1" x14ac:dyDescent="0.25">
      <c r="A15033" s="2" t="s">
        <v>8</v>
      </c>
      <c r="B15033" s="2" t="str">
        <f>HYPERLINK("http://ts.21cn.com/tousu/show/id/1346680","好分期")</f>
        <v>好分期</v>
      </c>
      <c r="C15033" s="2" t="s">
        <v>9</v>
      </c>
      <c r="D15033" s="2" t="s">
        <v>10</v>
      </c>
      <c r="E15033" s="2" t="str">
        <f>HYPERLINK("http://ts.21cn.com/tousu/show/id/1346680","http://ts.21cn.com/tousu/show/id/1346680")</f>
        <v>http://ts.21cn.com/tousu/show/id/1346680</v>
      </c>
      <c r="F15033" s="2" t="s">
        <v>11</v>
      </c>
      <c r="G15033" s="2" t="s">
        <v>14600</v>
      </c>
      <c r="H15033" s="2" t="s">
        <v>14601</v>
      </c>
    </row>
    <row r="15034" spans="1:8" ht="25.05" customHeight="1" x14ac:dyDescent="0.25">
      <c r="A15034" s="2" t="s">
        <v>8</v>
      </c>
      <c r="B15034" s="2" t="str">
        <f>HYPERLINK("http://ts.21cn.com/tousu/show/id/1346679","打电话，发信息给家里人，不停地骚扰")</f>
        <v>打电话，发信息给家里人，不停地骚扰</v>
      </c>
      <c r="C15034" s="2" t="s">
        <v>9</v>
      </c>
      <c r="D15034" s="2" t="s">
        <v>10</v>
      </c>
      <c r="E15034" s="2" t="str">
        <f>HYPERLINK("http://ts.21cn.com/tousu/show/id/1346679","http://ts.21cn.com/tousu/show/id/1346679")</f>
        <v>http://ts.21cn.com/tousu/show/id/1346679</v>
      </c>
      <c r="F15034" s="2" t="s">
        <v>11</v>
      </c>
      <c r="G15034" s="2" t="s">
        <v>14598</v>
      </c>
      <c r="H15034" s="2" t="s">
        <v>14599</v>
      </c>
    </row>
    <row r="15035" spans="1:8" ht="25.05" customHeight="1" x14ac:dyDescent="0.25">
      <c r="A15035" s="2" t="s">
        <v>8</v>
      </c>
      <c r="B15035" s="2" t="str">
        <f>HYPERLINK("http://ts.21cn.com/tousu/show/id/1346681","合同欺诈，私自扣款")</f>
        <v>合同欺诈，私自扣款</v>
      </c>
      <c r="C15035" s="2" t="s">
        <v>9</v>
      </c>
      <c r="D15035" s="2" t="s">
        <v>10</v>
      </c>
      <c r="E15035" s="2" t="str">
        <f>HYPERLINK("http://ts.21cn.com/tousu/show/id/1346681","http://ts.21cn.com/tousu/show/id/1346681")</f>
        <v>http://ts.21cn.com/tousu/show/id/1346681</v>
      </c>
      <c r="F15035" s="2" t="s">
        <v>11</v>
      </c>
      <c r="G15035" s="2" t="s">
        <v>14596</v>
      </c>
      <c r="H15035" s="2" t="s">
        <v>14597</v>
      </c>
    </row>
    <row r="15036" spans="1:8" ht="25.05" customHeight="1" x14ac:dyDescent="0.25">
      <c r="A15036" s="2" t="s">
        <v>8</v>
      </c>
      <c r="B15036" s="2" t="str">
        <f>HYPERLINK("http://ts.21cn.com/tousu/show/id/1346682","态度差，不能协商还款时间")</f>
        <v>态度差，不能协商还款时间</v>
      </c>
      <c r="C15036" s="2" t="s">
        <v>9</v>
      </c>
      <c r="D15036" s="2" t="s">
        <v>10</v>
      </c>
      <c r="E15036" s="2" t="str">
        <f>HYPERLINK("http://ts.21cn.com/tousu/show/id/1346682","http://ts.21cn.com/tousu/show/id/1346682")</f>
        <v>http://ts.21cn.com/tousu/show/id/1346682</v>
      </c>
      <c r="F15036" s="2" t="s">
        <v>11</v>
      </c>
      <c r="G15036" s="2" t="s">
        <v>14594</v>
      </c>
      <c r="H15036" s="2" t="s">
        <v>14595</v>
      </c>
    </row>
    <row r="15037" spans="1:8" ht="25.05" customHeight="1" x14ac:dyDescent="0.25">
      <c r="A15037" s="2" t="s">
        <v>8</v>
      </c>
      <c r="B15037" s="2" t="str">
        <f>HYPERLINK("http://ts.21cn.com/tousu/show/id/1346634","被平安付扣走3000元（被无缘无故扣走了）")</f>
        <v>被平安付扣走3000元（被无缘无故扣走了）</v>
      </c>
      <c r="C15037" s="2" t="s">
        <v>9</v>
      </c>
      <c r="D15037" s="2" t="s">
        <v>10</v>
      </c>
      <c r="E15037" s="2" t="str">
        <f>HYPERLINK("http://ts.21cn.com/tousu/show/id/1346634","http://ts.21cn.com/tousu/show/id/1346634")</f>
        <v>http://ts.21cn.com/tousu/show/id/1346634</v>
      </c>
      <c r="F15037" s="2" t="s">
        <v>11</v>
      </c>
      <c r="G15037" s="2" t="s">
        <v>14592</v>
      </c>
      <c r="H15037" s="2" t="s">
        <v>14593</v>
      </c>
    </row>
    <row r="15038" spans="1:8" ht="25.05" customHeight="1" x14ac:dyDescent="0.25">
      <c r="A15038" s="2" t="s">
        <v>8</v>
      </c>
      <c r="B15038" s="2" t="str">
        <f>HYPERLINK("http://ts.21cn.com/tousu/show/id/1346683","拍拍贷暴力催收")</f>
        <v>拍拍贷暴力催收</v>
      </c>
      <c r="C15038" s="2" t="s">
        <v>9</v>
      </c>
      <c r="D15038" s="2" t="s">
        <v>10</v>
      </c>
      <c r="E15038" s="2" t="str">
        <f>HYPERLINK("http://ts.21cn.com/tousu/show/id/1346683","http://ts.21cn.com/tousu/show/id/1346683")</f>
        <v>http://ts.21cn.com/tousu/show/id/1346683</v>
      </c>
      <c r="F15038" s="2" t="s">
        <v>11</v>
      </c>
      <c r="G15038" s="2" t="s">
        <v>14590</v>
      </c>
      <c r="H15038" s="2" t="s">
        <v>14591</v>
      </c>
    </row>
    <row r="15039" spans="1:8" ht="25.05" customHeight="1" x14ac:dyDescent="0.25">
      <c r="A15039" s="2" t="s">
        <v>8</v>
      </c>
      <c r="B15039" s="2" t="str">
        <f>HYPERLINK("http://ts.21cn.com/tousu/show/id/1346684","百事普惠恶意扣款")</f>
        <v>百事普惠恶意扣款</v>
      </c>
      <c r="C15039" s="2" t="s">
        <v>9</v>
      </c>
      <c r="D15039" s="2" t="s">
        <v>10</v>
      </c>
      <c r="E15039" s="2" t="str">
        <f>HYPERLINK("http://ts.21cn.com/tousu/show/id/1346684","http://ts.21cn.com/tousu/show/id/1346684")</f>
        <v>http://ts.21cn.com/tousu/show/id/1346684</v>
      </c>
      <c r="F15039" s="2" t="s">
        <v>11</v>
      </c>
      <c r="G15039" s="2" t="s">
        <v>14588</v>
      </c>
      <c r="H15039" s="2" t="s">
        <v>14589</v>
      </c>
    </row>
    <row r="15040" spans="1:8" ht="25.05" customHeight="1" x14ac:dyDescent="0.25">
      <c r="A15040" s="2" t="s">
        <v>8</v>
      </c>
      <c r="B15040" s="2" t="str">
        <f>HYPERLINK("http://ts.21cn.com/tousu/show/id/1346685","恐吓，暴力催收，套路贷")</f>
        <v>恐吓，暴力催收，套路贷</v>
      </c>
      <c r="C15040" s="2" t="s">
        <v>9</v>
      </c>
      <c r="D15040" s="2" t="s">
        <v>10</v>
      </c>
      <c r="E15040" s="2" t="str">
        <f>HYPERLINK("http://ts.21cn.com/tousu/show/id/1346685","http://ts.21cn.com/tousu/show/id/1346685")</f>
        <v>http://ts.21cn.com/tousu/show/id/1346685</v>
      </c>
      <c r="F15040" s="2" t="s">
        <v>11</v>
      </c>
      <c r="G15040" s="2" t="s">
        <v>14586</v>
      </c>
      <c r="H15040" s="2" t="s">
        <v>14587</v>
      </c>
    </row>
    <row r="15041" spans="1:8" ht="25.05" customHeight="1" x14ac:dyDescent="0.25">
      <c r="A15041" s="2" t="s">
        <v>8</v>
      </c>
      <c r="B15041" s="2" t="str">
        <f>HYPERLINK("http://ts.21cn.com/tousu/show/id/1346687","小赢卡贷在不知情下捆绑销售保险")</f>
        <v>小赢卡贷在不知情下捆绑销售保险</v>
      </c>
      <c r="C15041" s="2" t="s">
        <v>9</v>
      </c>
      <c r="D15041" s="2" t="s">
        <v>10</v>
      </c>
      <c r="E15041" s="2" t="str">
        <f>HYPERLINK("http://ts.21cn.com/tousu/show/id/1346687","http://ts.21cn.com/tousu/show/id/1346687")</f>
        <v>http://ts.21cn.com/tousu/show/id/1346687</v>
      </c>
      <c r="F15041" s="2" t="s">
        <v>11</v>
      </c>
      <c r="G15041" s="2" t="s">
        <v>14585</v>
      </c>
      <c r="H15041" s="2" t="s">
        <v>14298</v>
      </c>
    </row>
    <row r="15042" spans="1:8" ht="25.05" customHeight="1" x14ac:dyDescent="0.25">
      <c r="A15042" s="2" t="s">
        <v>8</v>
      </c>
      <c r="B15042" s="2" t="str">
        <f>HYPERLINK("http://ts.21cn.com/tousu/show/id/1346688","拼多多售后不公正处理无视卖家权益，偏袒恶意买家。")</f>
        <v>拼多多售后不公正处理无视卖家权益，偏袒恶意买家。</v>
      </c>
      <c r="C15042" s="2" t="s">
        <v>9</v>
      </c>
      <c r="D15042" s="2" t="s">
        <v>10</v>
      </c>
      <c r="E15042" s="2" t="str">
        <f>HYPERLINK("http://ts.21cn.com/tousu/show/id/1346688","http://ts.21cn.com/tousu/show/id/1346688")</f>
        <v>http://ts.21cn.com/tousu/show/id/1346688</v>
      </c>
      <c r="F15042" s="2" t="s">
        <v>11</v>
      </c>
      <c r="G15042" s="2" t="s">
        <v>14583</v>
      </c>
      <c r="H15042" s="2" t="s">
        <v>14584</v>
      </c>
    </row>
    <row r="15043" spans="1:8" ht="25.05" customHeight="1" x14ac:dyDescent="0.25">
      <c r="A15043" s="2" t="s">
        <v>8</v>
      </c>
      <c r="B15043" s="2" t="str">
        <f>HYPERLINK("http://ts.21cn.com/tousu/show/id/1346689","360霸王条款")</f>
        <v>360霸王条款</v>
      </c>
      <c r="C15043" s="2" t="s">
        <v>9</v>
      </c>
      <c r="D15043" s="2" t="s">
        <v>10</v>
      </c>
      <c r="E15043" s="2" t="str">
        <f>HYPERLINK("http://ts.21cn.com/tousu/show/id/1346689","http://ts.21cn.com/tousu/show/id/1346689")</f>
        <v>http://ts.21cn.com/tousu/show/id/1346689</v>
      </c>
      <c r="F15043" s="2" t="s">
        <v>11</v>
      </c>
      <c r="G15043" s="2" t="s">
        <v>14581</v>
      </c>
      <c r="H15043" s="2" t="s">
        <v>14582</v>
      </c>
    </row>
    <row r="15044" spans="1:8" ht="25.05" customHeight="1" x14ac:dyDescent="0.25">
      <c r="A15044" s="2" t="s">
        <v>8</v>
      </c>
      <c r="B15044" s="2" t="str">
        <f>HYPERLINK("http://ts.21cn.com/tousu/show/id/1346691","悦借钱委托三方催收大通财务恶意催收，")</f>
        <v>悦借钱委托三方催收大通财务恶意催收，</v>
      </c>
      <c r="C15044" s="2" t="s">
        <v>9</v>
      </c>
      <c r="D15044" s="2" t="s">
        <v>10</v>
      </c>
      <c r="E15044" s="2" t="str">
        <f>HYPERLINK("http://ts.21cn.com/tousu/show/id/1346691","http://ts.21cn.com/tousu/show/id/1346691")</f>
        <v>http://ts.21cn.com/tousu/show/id/1346691</v>
      </c>
      <c r="F15044" s="2" t="s">
        <v>11</v>
      </c>
      <c r="G15044" s="2" t="s">
        <v>14579</v>
      </c>
      <c r="H15044" s="2" t="s">
        <v>14580</v>
      </c>
    </row>
    <row r="15045" spans="1:8" ht="25.05" customHeight="1" x14ac:dyDescent="0.25">
      <c r="A15045" s="2" t="s">
        <v>8</v>
      </c>
      <c r="B15045" s="2" t="str">
        <f>HYPERLINK("http://ts.21cn.com/tousu/show/id/1346690","自由摩卡爆通讯录")</f>
        <v>自由摩卡爆通讯录</v>
      </c>
      <c r="C15045" s="2" t="s">
        <v>9</v>
      </c>
      <c r="D15045" s="2" t="s">
        <v>10</v>
      </c>
      <c r="E15045" s="2" t="str">
        <f>HYPERLINK("http://ts.21cn.com/tousu/show/id/1346690","http://ts.21cn.com/tousu/show/id/1346690")</f>
        <v>http://ts.21cn.com/tousu/show/id/1346690</v>
      </c>
      <c r="F15045" s="2" t="s">
        <v>11</v>
      </c>
      <c r="G15045" s="2" t="s">
        <v>14577</v>
      </c>
      <c r="H15045" s="2" t="s">
        <v>14578</v>
      </c>
    </row>
    <row r="15046" spans="1:8" ht="25.05" customHeight="1" x14ac:dyDescent="0.25">
      <c r="A15046" s="2" t="s">
        <v>8</v>
      </c>
      <c r="B15046" s="2" t="str">
        <f>HYPERLINK("http://ts.21cn.com/tousu/show/id/1346692","滴滴平台胡乱判责，判责不规范。")</f>
        <v>滴滴平台胡乱判责，判责不规范。</v>
      </c>
      <c r="C15046" s="2" t="s">
        <v>9</v>
      </c>
      <c r="D15046" s="2" t="s">
        <v>10</v>
      </c>
      <c r="E15046" s="2" t="str">
        <f>HYPERLINK("http://ts.21cn.com/tousu/show/id/1346692","http://ts.21cn.com/tousu/show/id/1346692")</f>
        <v>http://ts.21cn.com/tousu/show/id/1346692</v>
      </c>
      <c r="F15046" s="2" t="s">
        <v>11</v>
      </c>
      <c r="G15046" s="2" t="s">
        <v>14575</v>
      </c>
      <c r="H15046" s="2" t="s">
        <v>14576</v>
      </c>
    </row>
    <row r="15047" spans="1:8" ht="25.05" customHeight="1" x14ac:dyDescent="0.25">
      <c r="A15047" s="2" t="s">
        <v>8</v>
      </c>
      <c r="B15047" s="2" t="str">
        <f>HYPERLINK("http://ts.21cn.com/tousu/show/id/1346693","给我多扣的钱什么时候返回来？")</f>
        <v>给我多扣的钱什么时候返回来？</v>
      </c>
      <c r="C15047" s="2" t="s">
        <v>34</v>
      </c>
      <c r="D15047" s="2" t="s">
        <v>10</v>
      </c>
      <c r="E15047" s="2" t="str">
        <f>HYPERLINK("http://ts.21cn.com/tousu/show/id/1346693","http://ts.21cn.com/tousu/show/id/1346693")</f>
        <v>http://ts.21cn.com/tousu/show/id/1346693</v>
      </c>
      <c r="F15047" s="2" t="s">
        <v>11</v>
      </c>
      <c r="G15047" s="2" t="s">
        <v>14573</v>
      </c>
      <c r="H15047" s="2" t="s">
        <v>14574</v>
      </c>
    </row>
    <row r="15048" spans="1:8" ht="25.05" customHeight="1" x14ac:dyDescent="0.25">
      <c r="A15048" s="2" t="s">
        <v>8</v>
      </c>
      <c r="B15048" s="2" t="str">
        <f>HYPERLINK("http://ts.21cn.com/tousu/show/id/1346694","转转验机太拖拉")</f>
        <v>转转验机太拖拉</v>
      </c>
      <c r="C15048" s="2" t="s">
        <v>9</v>
      </c>
      <c r="D15048" s="2" t="s">
        <v>10</v>
      </c>
      <c r="E15048" s="2" t="str">
        <f>HYPERLINK("http://ts.21cn.com/tousu/show/id/1346694","http://ts.21cn.com/tousu/show/id/1346694")</f>
        <v>http://ts.21cn.com/tousu/show/id/1346694</v>
      </c>
      <c r="F15048" s="2" t="s">
        <v>11</v>
      </c>
      <c r="G15048" s="2" t="s">
        <v>14571</v>
      </c>
      <c r="H15048" s="2" t="s">
        <v>14572</v>
      </c>
    </row>
    <row r="15049" spans="1:8" ht="25.05" customHeight="1" x14ac:dyDescent="0.25">
      <c r="A15049" s="2" t="s">
        <v>8</v>
      </c>
      <c r="B15049" s="2" t="str">
        <f>HYPERLINK("http://ts.21cn.com/tousu/show/id/1346636","中银保险虚假成交")</f>
        <v>中银保险虚假成交</v>
      </c>
      <c r="C15049" s="2" t="s">
        <v>9</v>
      </c>
      <c r="D15049" s="2" t="s">
        <v>10</v>
      </c>
      <c r="E15049" s="2" t="str">
        <f>HYPERLINK("http://ts.21cn.com/tousu/show/id/1346636","http://ts.21cn.com/tousu/show/id/1346636")</f>
        <v>http://ts.21cn.com/tousu/show/id/1346636</v>
      </c>
      <c r="F15049" s="2" t="s">
        <v>11</v>
      </c>
      <c r="G15049" s="2" t="s">
        <v>14569</v>
      </c>
      <c r="H15049" s="2" t="s">
        <v>14570</v>
      </c>
    </row>
    <row r="15050" spans="1:8" ht="25.05" customHeight="1" x14ac:dyDescent="0.25">
      <c r="A15050" s="2" t="s">
        <v>8</v>
      </c>
      <c r="B15050" s="2" t="str">
        <f>HYPERLINK("http://ts.21cn.com/tousu/show/id/1346696","暴力电话骚扰")</f>
        <v>暴力电话骚扰</v>
      </c>
      <c r="C15050" s="2" t="s">
        <v>9</v>
      </c>
      <c r="D15050" s="2" t="s">
        <v>10</v>
      </c>
      <c r="E15050" s="2" t="str">
        <f>HYPERLINK("http://ts.21cn.com/tousu/show/id/1346696","http://ts.21cn.com/tousu/show/id/1346696")</f>
        <v>http://ts.21cn.com/tousu/show/id/1346696</v>
      </c>
      <c r="F15050" s="2" t="s">
        <v>11</v>
      </c>
      <c r="G15050" s="2" t="s">
        <v>14567</v>
      </c>
      <c r="H15050" s="2" t="s">
        <v>14568</v>
      </c>
    </row>
    <row r="15051" spans="1:8" ht="25.05" customHeight="1" x14ac:dyDescent="0.25">
      <c r="A15051" s="2" t="s">
        <v>8</v>
      </c>
      <c r="B15051" s="2" t="str">
        <f>HYPERLINK("http://ts.21cn.com/tousu/show/id/1346695","川程无缘无故扣费")</f>
        <v>川程无缘无故扣费</v>
      </c>
      <c r="C15051" s="2" t="s">
        <v>9</v>
      </c>
      <c r="D15051" s="2" t="s">
        <v>10</v>
      </c>
      <c r="E15051" s="2" t="str">
        <f>HYPERLINK("http://ts.21cn.com/tousu/show/id/1346695","http://ts.21cn.com/tousu/show/id/1346695")</f>
        <v>http://ts.21cn.com/tousu/show/id/1346695</v>
      </c>
      <c r="F15051" s="2" t="s">
        <v>11</v>
      </c>
      <c r="G15051" s="2" t="s">
        <v>14565</v>
      </c>
      <c r="H15051" s="2" t="s">
        <v>14566</v>
      </c>
    </row>
    <row r="15052" spans="1:8" ht="25.05" customHeight="1" x14ac:dyDescent="0.25">
      <c r="A15052" s="2" t="s">
        <v>8</v>
      </c>
      <c r="B15052" s="2" t="str">
        <f>HYPERLINK("http://ts.21cn.com/tousu/show/id/1346697","假冒升级信用卡、私自扣取e务室会员费300元。")</f>
        <v>假冒升级信用卡、私自扣取e务室会员费300元。</v>
      </c>
      <c r="C15052" s="2" t="s">
        <v>9</v>
      </c>
      <c r="D15052" s="2" t="s">
        <v>10</v>
      </c>
      <c r="E15052" s="2" t="str">
        <f>HYPERLINK("http://ts.21cn.com/tousu/show/id/1346697","http://ts.21cn.com/tousu/show/id/1346697")</f>
        <v>http://ts.21cn.com/tousu/show/id/1346697</v>
      </c>
      <c r="F15052" s="2" t="s">
        <v>11</v>
      </c>
      <c r="G15052" s="2" t="s">
        <v>14563</v>
      </c>
      <c r="H15052" s="2" t="s">
        <v>14564</v>
      </c>
    </row>
    <row r="15053" spans="1:8" ht="25.05" customHeight="1" x14ac:dyDescent="0.25">
      <c r="A15053" s="2" t="s">
        <v>8</v>
      </c>
      <c r="B15053" s="2" t="str">
        <f>HYPERLINK("http://ts.21cn.com/tousu/show/id/1346698","宝付支付无缘无故扣款1000元")</f>
        <v>宝付支付无缘无故扣款1000元</v>
      </c>
      <c r="C15053" s="2" t="s">
        <v>9</v>
      </c>
      <c r="D15053" s="2" t="s">
        <v>10</v>
      </c>
      <c r="E15053" s="2" t="str">
        <f>HYPERLINK("http://ts.21cn.com/tousu/show/id/1346698","http://ts.21cn.com/tousu/show/id/1346698")</f>
        <v>http://ts.21cn.com/tousu/show/id/1346698</v>
      </c>
      <c r="F15053" s="2" t="s">
        <v>11</v>
      </c>
      <c r="G15053" s="2" t="s">
        <v>14561</v>
      </c>
      <c r="H15053" s="2" t="s">
        <v>14562</v>
      </c>
    </row>
    <row r="15054" spans="1:8" ht="25.05" customHeight="1" x14ac:dyDescent="0.25">
      <c r="A15054" s="2" t="s">
        <v>8</v>
      </c>
      <c r="B15054" s="2" t="str">
        <f>HYPERLINK("http://ts.21cn.com/tousu/show/id/1346699","交通银行")</f>
        <v>交通银行</v>
      </c>
      <c r="C15054" s="2" t="s">
        <v>9</v>
      </c>
      <c r="D15054" s="2" t="s">
        <v>10</v>
      </c>
      <c r="E15054" s="2" t="str">
        <f>HYPERLINK("http://ts.21cn.com/tousu/show/id/1346699","http://ts.21cn.com/tousu/show/id/1346699")</f>
        <v>http://ts.21cn.com/tousu/show/id/1346699</v>
      </c>
      <c r="F15054" s="2" t="s">
        <v>11</v>
      </c>
      <c r="G15054" s="2" t="s">
        <v>14559</v>
      </c>
      <c r="H15054" s="2" t="s">
        <v>14560</v>
      </c>
    </row>
    <row r="15055" spans="1:8" ht="25.05" customHeight="1" x14ac:dyDescent="0.25">
      <c r="A15055" s="2" t="s">
        <v>8</v>
      </c>
      <c r="B15055" s="2" t="str">
        <f>HYPERLINK("http://ts.21cn.com/tousu/show/id/1346701","暴力威胁还款")</f>
        <v>暴力威胁还款</v>
      </c>
      <c r="C15055" s="2" t="s">
        <v>9</v>
      </c>
      <c r="D15055" s="2" t="s">
        <v>10</v>
      </c>
      <c r="E15055" s="2" t="str">
        <f>HYPERLINK("http://ts.21cn.com/tousu/show/id/1346701","http://ts.21cn.com/tousu/show/id/1346701")</f>
        <v>http://ts.21cn.com/tousu/show/id/1346701</v>
      </c>
      <c r="F15055" s="2" t="s">
        <v>11</v>
      </c>
      <c r="G15055" s="2" t="s">
        <v>14557</v>
      </c>
      <c r="H15055" s="2" t="s">
        <v>14558</v>
      </c>
    </row>
    <row r="15056" spans="1:8" ht="25.05" customHeight="1" x14ac:dyDescent="0.25">
      <c r="A15056" s="2" t="s">
        <v>8</v>
      </c>
      <c r="B15056" s="2" t="str">
        <f>HYPERLINK("http://ts.21cn.com/tousu/show/id/1346702","掌buy商城砍头息")</f>
        <v>掌buy商城砍头息</v>
      </c>
      <c r="C15056" s="2" t="s">
        <v>34</v>
      </c>
      <c r="D15056" s="2" t="s">
        <v>10</v>
      </c>
      <c r="E15056" s="2" t="str">
        <f>HYPERLINK("http://ts.21cn.com/tousu/show/id/1346702","http://ts.21cn.com/tousu/show/id/1346702")</f>
        <v>http://ts.21cn.com/tousu/show/id/1346702</v>
      </c>
      <c r="F15056" s="2" t="s">
        <v>11</v>
      </c>
      <c r="G15056" s="2" t="s">
        <v>14555</v>
      </c>
      <c r="H15056" s="2" t="s">
        <v>14556</v>
      </c>
    </row>
    <row r="15057" spans="1:8" ht="25.05" customHeight="1" x14ac:dyDescent="0.25">
      <c r="A15057" s="2" t="s">
        <v>8</v>
      </c>
      <c r="B15057" s="2" t="str">
        <f>HYPERLINK("http://ts.21cn.com/tousu/show/id/1346644","爱又米恐吓")</f>
        <v>爱又米恐吓</v>
      </c>
      <c r="C15057" s="2" t="s">
        <v>34</v>
      </c>
      <c r="D15057" s="2" t="s">
        <v>10</v>
      </c>
      <c r="E15057" s="2" t="str">
        <f>HYPERLINK("http://ts.21cn.com/tousu/show/id/1346644","http://ts.21cn.com/tousu/show/id/1346644")</f>
        <v>http://ts.21cn.com/tousu/show/id/1346644</v>
      </c>
      <c r="F15057" s="2" t="s">
        <v>11</v>
      </c>
      <c r="G15057" s="2" t="s">
        <v>14553</v>
      </c>
      <c r="H15057" s="2" t="s">
        <v>14554</v>
      </c>
    </row>
    <row r="15058" spans="1:8" ht="25.05" customHeight="1" x14ac:dyDescent="0.25">
      <c r="A15058" s="2" t="s">
        <v>8</v>
      </c>
      <c r="B15058" s="2" t="str">
        <f>HYPERLINK("http://ts.21cn.com/tousu/show/id/1346703","小象优品骚扰通讯录")</f>
        <v>小象优品骚扰通讯录</v>
      </c>
      <c r="C15058" s="2" t="s">
        <v>9</v>
      </c>
      <c r="D15058" s="2" t="s">
        <v>10</v>
      </c>
      <c r="E15058" s="2" t="str">
        <f>HYPERLINK("http://ts.21cn.com/tousu/show/id/1346703","http://ts.21cn.com/tousu/show/id/1346703")</f>
        <v>http://ts.21cn.com/tousu/show/id/1346703</v>
      </c>
      <c r="F15058" s="2" t="s">
        <v>11</v>
      </c>
      <c r="G15058" s="2" t="s">
        <v>14551</v>
      </c>
      <c r="H15058" s="2" t="s">
        <v>14552</v>
      </c>
    </row>
    <row r="15059" spans="1:8" ht="25.05" customHeight="1" x14ac:dyDescent="0.25">
      <c r="A15059" s="2" t="s">
        <v>8</v>
      </c>
      <c r="B15059" s="2" t="str">
        <f>HYPERLINK("http://ts.21cn.com/tousu/show/id/1346704","长城哈弗厂家不作为")</f>
        <v>长城哈弗厂家不作为</v>
      </c>
      <c r="C15059" s="2" t="s">
        <v>9</v>
      </c>
      <c r="D15059" s="2" t="s">
        <v>10</v>
      </c>
      <c r="E15059" s="2" t="str">
        <f>HYPERLINK("http://ts.21cn.com/tousu/show/id/1346704","http://ts.21cn.com/tousu/show/id/1346704")</f>
        <v>http://ts.21cn.com/tousu/show/id/1346704</v>
      </c>
      <c r="F15059" s="2" t="s">
        <v>11</v>
      </c>
      <c r="G15059" s="2" t="s">
        <v>14549</v>
      </c>
      <c r="H15059" s="2" t="s">
        <v>14550</v>
      </c>
    </row>
    <row r="15060" spans="1:8" ht="25.05" customHeight="1" x14ac:dyDescent="0.25">
      <c r="A15060" s="2" t="s">
        <v>8</v>
      </c>
      <c r="B15060" s="2" t="str">
        <f>HYPERLINK("http://ts.21cn.com/tousu/show/id/1346705","安逸花恶意扣取客户资金拒不退款")</f>
        <v>安逸花恶意扣取客户资金拒不退款</v>
      </c>
      <c r="C15060" s="2" t="s">
        <v>9</v>
      </c>
      <c r="D15060" s="2" t="s">
        <v>10</v>
      </c>
      <c r="E15060" s="2" t="str">
        <f>HYPERLINK("http://ts.21cn.com/tousu/show/id/1346705","http://ts.21cn.com/tousu/show/id/1346705")</f>
        <v>http://ts.21cn.com/tousu/show/id/1346705</v>
      </c>
      <c r="F15060" s="2" t="s">
        <v>11</v>
      </c>
      <c r="G15060" s="2" t="s">
        <v>14547</v>
      </c>
      <c r="H15060" s="2" t="s">
        <v>14548</v>
      </c>
    </row>
    <row r="15061" spans="1:8" ht="25.05" customHeight="1" x14ac:dyDescent="0.25">
      <c r="A15061" s="2" t="s">
        <v>8</v>
      </c>
      <c r="B15061" s="2" t="str">
        <f>HYPERLINK("http://ts.21cn.com/tousu/show/id/1346707","立刻出行不退押金")</f>
        <v>立刻出行不退押金</v>
      </c>
      <c r="C15061" s="2" t="s">
        <v>9</v>
      </c>
      <c r="D15061" s="2" t="s">
        <v>10</v>
      </c>
      <c r="E15061" s="2" t="str">
        <f>HYPERLINK("http://ts.21cn.com/tousu/show/id/1346707","http://ts.21cn.com/tousu/show/id/1346707")</f>
        <v>http://ts.21cn.com/tousu/show/id/1346707</v>
      </c>
      <c r="F15061" s="2" t="s">
        <v>11</v>
      </c>
      <c r="G15061" s="2" t="s">
        <v>14545</v>
      </c>
      <c r="H15061" s="2" t="s">
        <v>14546</v>
      </c>
    </row>
    <row r="15062" spans="1:8" ht="25.05" customHeight="1" x14ac:dyDescent="0.25">
      <c r="A15062" s="2" t="s">
        <v>8</v>
      </c>
      <c r="B15062" s="2" t="str">
        <f>HYPERLINK("http://ts.21cn.com/tousu/show/id/1346708","轻周转芒果筹高利贷")</f>
        <v>轻周转芒果筹高利贷</v>
      </c>
      <c r="C15062" s="2" t="s">
        <v>9</v>
      </c>
      <c r="D15062" s="2" t="s">
        <v>10</v>
      </c>
      <c r="E15062" s="2" t="str">
        <f>HYPERLINK("http://ts.21cn.com/tousu/show/id/1346708","http://ts.21cn.com/tousu/show/id/1346708")</f>
        <v>http://ts.21cn.com/tousu/show/id/1346708</v>
      </c>
      <c r="F15062" s="2" t="s">
        <v>11</v>
      </c>
      <c r="G15062" s="2" t="s">
        <v>14543</v>
      </c>
      <c r="H15062" s="2" t="s">
        <v>14544</v>
      </c>
    </row>
    <row r="15063" spans="1:8" ht="25.05" customHeight="1" x14ac:dyDescent="0.25">
      <c r="A15063" s="2" t="s">
        <v>8</v>
      </c>
      <c r="B15063" s="2" t="str">
        <f>HYPERLINK("http://ts.21cn.com/tousu/show/id/1346710","抱金猪无法还款，客服联系不上")</f>
        <v>抱金猪无法还款，客服联系不上</v>
      </c>
      <c r="C15063" s="2" t="s">
        <v>9</v>
      </c>
      <c r="D15063" s="2" t="s">
        <v>10</v>
      </c>
      <c r="E15063" s="2" t="str">
        <f>HYPERLINK("http://ts.21cn.com/tousu/show/id/1346710","http://ts.21cn.com/tousu/show/id/1346710")</f>
        <v>http://ts.21cn.com/tousu/show/id/1346710</v>
      </c>
      <c r="F15063" s="2" t="s">
        <v>11</v>
      </c>
      <c r="G15063" s="2" t="s">
        <v>14541</v>
      </c>
      <c r="H15063" s="2" t="s">
        <v>14542</v>
      </c>
    </row>
    <row r="15064" spans="1:8" ht="25.05" customHeight="1" x14ac:dyDescent="0.25">
      <c r="A15064" s="2" t="s">
        <v>8</v>
      </c>
      <c r="B15064" s="2" t="str">
        <f>HYPERLINK("http://ts.21cn.com/tousu/show/id/1346712","高利贷")</f>
        <v>高利贷</v>
      </c>
      <c r="C15064" s="2" t="s">
        <v>9</v>
      </c>
      <c r="D15064" s="2" t="s">
        <v>10</v>
      </c>
      <c r="E15064" s="2" t="str">
        <f>HYPERLINK("http://ts.21cn.com/tousu/show/id/1346712","http://ts.21cn.com/tousu/show/id/1346712")</f>
        <v>http://ts.21cn.com/tousu/show/id/1346712</v>
      </c>
      <c r="F15064" s="2" t="s">
        <v>11</v>
      </c>
      <c r="G15064" s="2" t="s">
        <v>14539</v>
      </c>
      <c r="H15064" s="2" t="s">
        <v>14540</v>
      </c>
    </row>
    <row r="15065" spans="1:8" ht="25.05" customHeight="1" x14ac:dyDescent="0.25">
      <c r="A15065" s="2" t="s">
        <v>8</v>
      </c>
      <c r="B15065" s="2" t="str">
        <f>HYPERLINK("http://ts.21cn.com/tousu/show/id/1346713","平安普惠i贷不处理我的协商")</f>
        <v>平安普惠i贷不处理我的协商</v>
      </c>
      <c r="C15065" s="2" t="s">
        <v>9</v>
      </c>
      <c r="D15065" s="2" t="s">
        <v>10</v>
      </c>
      <c r="E15065" s="2" t="str">
        <f>HYPERLINK("http://ts.21cn.com/tousu/show/id/1346713","http://ts.21cn.com/tousu/show/id/1346713")</f>
        <v>http://ts.21cn.com/tousu/show/id/1346713</v>
      </c>
      <c r="F15065" s="2" t="s">
        <v>11</v>
      </c>
      <c r="G15065" s="2" t="s">
        <v>14537</v>
      </c>
      <c r="H15065" s="2" t="s">
        <v>14538</v>
      </c>
    </row>
    <row r="15066" spans="1:8" ht="25.05" customHeight="1" x14ac:dyDescent="0.25">
      <c r="A15066" s="2" t="s">
        <v>8</v>
      </c>
      <c r="B15066" s="2" t="str">
        <f>HYPERLINK("http://ts.21cn.com/tousu/show/id/1346714","无缘无故扣钱")</f>
        <v>无缘无故扣钱</v>
      </c>
      <c r="C15066" s="2" t="s">
        <v>9</v>
      </c>
      <c r="D15066" s="2" t="s">
        <v>10</v>
      </c>
      <c r="E15066" s="2" t="str">
        <f>HYPERLINK("http://ts.21cn.com/tousu/show/id/1346714","http://ts.21cn.com/tousu/show/id/1346714")</f>
        <v>http://ts.21cn.com/tousu/show/id/1346714</v>
      </c>
      <c r="F15066" s="2" t="s">
        <v>11</v>
      </c>
      <c r="G15066" s="2" t="s">
        <v>14535</v>
      </c>
      <c r="H15066" s="2" t="s">
        <v>14536</v>
      </c>
    </row>
    <row r="15067" spans="1:8" ht="25.05" customHeight="1" x14ac:dyDescent="0.25">
      <c r="A15067" s="2" t="s">
        <v>8</v>
      </c>
      <c r="B15067" s="2" t="str">
        <f>HYPERLINK("http://ts.21cn.com/tousu/show/id/1346717","拍拍贷高额违约金")</f>
        <v>拍拍贷高额违约金</v>
      </c>
      <c r="C15067" s="2" t="s">
        <v>9</v>
      </c>
      <c r="D15067" s="2" t="s">
        <v>10</v>
      </c>
      <c r="E15067" s="2" t="str">
        <f>HYPERLINK("http://ts.21cn.com/tousu/show/id/1346717","http://ts.21cn.com/tousu/show/id/1346717")</f>
        <v>http://ts.21cn.com/tousu/show/id/1346717</v>
      </c>
      <c r="F15067" s="2" t="s">
        <v>11</v>
      </c>
      <c r="G15067" s="2" t="s">
        <v>14533</v>
      </c>
      <c r="H15067" s="2" t="s">
        <v>14534</v>
      </c>
    </row>
    <row r="15068" spans="1:8" ht="25.05" customHeight="1" x14ac:dyDescent="0.25">
      <c r="A15068" s="2" t="s">
        <v>8</v>
      </c>
      <c r="B15068" s="2" t="str">
        <f>HYPERLINK("http://ts.21cn.com/tousu/show/id/1346716","超高利息，打电话骚扰，威胁")</f>
        <v>超高利息，打电话骚扰，威胁</v>
      </c>
      <c r="C15068" s="2" t="s">
        <v>9</v>
      </c>
      <c r="D15068" s="2" t="s">
        <v>10</v>
      </c>
      <c r="E15068" s="2" t="str">
        <f>HYPERLINK("http://ts.21cn.com/tousu/show/id/1346716","http://ts.21cn.com/tousu/show/id/1346716")</f>
        <v>http://ts.21cn.com/tousu/show/id/1346716</v>
      </c>
      <c r="F15068" s="2" t="s">
        <v>11</v>
      </c>
      <c r="G15068" s="2" t="s">
        <v>14531</v>
      </c>
      <c r="H15068" s="2" t="s">
        <v>14532</v>
      </c>
    </row>
    <row r="15069" spans="1:8" ht="25.05" customHeight="1" x14ac:dyDescent="0.25">
      <c r="A15069" s="2" t="s">
        <v>8</v>
      </c>
      <c r="B15069" s="2" t="str">
        <f>HYPERLINK("http://ts.21cn.com/tousu/show/id/1346718","左右钱包714高炮砍头息")</f>
        <v>左右钱包714高炮砍头息</v>
      </c>
      <c r="C15069" s="2" t="s">
        <v>9</v>
      </c>
      <c r="D15069" s="2" t="s">
        <v>10</v>
      </c>
      <c r="E15069" s="2" t="str">
        <f>HYPERLINK("http://ts.21cn.com/tousu/show/id/1346718","http://ts.21cn.com/tousu/show/id/1346718")</f>
        <v>http://ts.21cn.com/tousu/show/id/1346718</v>
      </c>
      <c r="F15069" s="2" t="s">
        <v>11</v>
      </c>
      <c r="G15069" s="2" t="s">
        <v>14529</v>
      </c>
      <c r="H15069" s="2" t="s">
        <v>14530</v>
      </c>
    </row>
    <row r="15070" spans="1:8" ht="25.05" customHeight="1" x14ac:dyDescent="0.25">
      <c r="A15070" s="2" t="s">
        <v>8</v>
      </c>
      <c r="B15070" s="2" t="str">
        <f>HYPERLINK("http://ts.21cn.com/tousu/show/id/1346719","订单被取消，卖家只赔付首晚")</f>
        <v>订单被取消，卖家只赔付首晚</v>
      </c>
      <c r="C15070" s="2" t="s">
        <v>34</v>
      </c>
      <c r="D15070" s="2" t="s">
        <v>10</v>
      </c>
      <c r="E15070" s="2" t="str">
        <f>HYPERLINK("http://ts.21cn.com/tousu/show/id/1346719","http://ts.21cn.com/tousu/show/id/1346719")</f>
        <v>http://ts.21cn.com/tousu/show/id/1346719</v>
      </c>
      <c r="F15070" s="2" t="s">
        <v>11</v>
      </c>
      <c r="G15070" s="2" t="s">
        <v>14527</v>
      </c>
      <c r="H15070" s="2" t="s">
        <v>14528</v>
      </c>
    </row>
    <row r="15071" spans="1:8" ht="25.05" customHeight="1" x14ac:dyDescent="0.25">
      <c r="A15071" s="2" t="s">
        <v>8</v>
      </c>
      <c r="B15071" s="2" t="str">
        <f>HYPERLINK("http://ts.21cn.com/tousu/show/id/1346720","信而富退会员费")</f>
        <v>信而富退会员费</v>
      </c>
      <c r="C15071" s="2" t="s">
        <v>34</v>
      </c>
      <c r="D15071" s="2" t="s">
        <v>10</v>
      </c>
      <c r="E15071" s="2" t="str">
        <f>HYPERLINK("http://ts.21cn.com/tousu/show/id/1346720","http://ts.21cn.com/tousu/show/id/1346720")</f>
        <v>http://ts.21cn.com/tousu/show/id/1346720</v>
      </c>
      <c r="F15071" s="2" t="s">
        <v>11</v>
      </c>
      <c r="G15071" s="2" t="s">
        <v>14525</v>
      </c>
      <c r="H15071" s="2" t="s">
        <v>14526</v>
      </c>
    </row>
    <row r="15072" spans="1:8" ht="25.05" customHeight="1" x14ac:dyDescent="0.25">
      <c r="A15072" s="2" t="s">
        <v>8</v>
      </c>
      <c r="B15072" s="2" t="str">
        <f>HYPERLINK("http://ts.21cn.com/tousu/show/id/1346721","南航退票敷衍")</f>
        <v>南航退票敷衍</v>
      </c>
      <c r="C15072" s="2" t="s">
        <v>9</v>
      </c>
      <c r="D15072" s="2" t="s">
        <v>10</v>
      </c>
      <c r="E15072" s="2" t="str">
        <f>HYPERLINK("http://ts.21cn.com/tousu/show/id/1346721","http://ts.21cn.com/tousu/show/id/1346721")</f>
        <v>http://ts.21cn.com/tousu/show/id/1346721</v>
      </c>
      <c r="F15072" s="2" t="s">
        <v>11</v>
      </c>
      <c r="G15072" s="2" t="s">
        <v>14523</v>
      </c>
      <c r="H15072" s="2" t="s">
        <v>14524</v>
      </c>
    </row>
    <row r="15073" spans="1:8" ht="25.05" customHeight="1" x14ac:dyDescent="0.25">
      <c r="A15073" s="2" t="s">
        <v>8</v>
      </c>
      <c r="B15073" s="2" t="str">
        <f>HYPERLINK("http://ts.21cn.com/tousu/show/id/1346722","买了黑卡不下款")</f>
        <v>买了黑卡不下款</v>
      </c>
      <c r="C15073" s="2" t="s">
        <v>34</v>
      </c>
      <c r="D15073" s="2" t="s">
        <v>10</v>
      </c>
      <c r="E15073" s="2" t="str">
        <f>HYPERLINK("http://ts.21cn.com/tousu/show/id/1346722","http://ts.21cn.com/tousu/show/id/1346722")</f>
        <v>http://ts.21cn.com/tousu/show/id/1346722</v>
      </c>
      <c r="F15073" s="2" t="s">
        <v>11</v>
      </c>
      <c r="G15073" s="2" t="s">
        <v>14521</v>
      </c>
      <c r="H15073" s="2" t="s">
        <v>14522</v>
      </c>
    </row>
    <row r="15074" spans="1:8" ht="25.05" customHeight="1" x14ac:dyDescent="0.25">
      <c r="A15074" s="2" t="s">
        <v>8</v>
      </c>
      <c r="B15074" s="2" t="str">
        <f>HYPERLINK("http://ts.21cn.com/tousu/show/id/1346723","钱站高利贷阴阳合同")</f>
        <v>钱站高利贷阴阳合同</v>
      </c>
      <c r="C15074" s="2" t="s">
        <v>9</v>
      </c>
      <c r="D15074" s="2" t="s">
        <v>10</v>
      </c>
      <c r="E15074" s="2" t="str">
        <f>HYPERLINK("http://ts.21cn.com/tousu/show/id/1346723","http://ts.21cn.com/tousu/show/id/1346723")</f>
        <v>http://ts.21cn.com/tousu/show/id/1346723</v>
      </c>
      <c r="F15074" s="2" t="s">
        <v>11</v>
      </c>
      <c r="G15074" s="2" t="s">
        <v>14519</v>
      </c>
      <c r="H15074" s="2" t="s">
        <v>14520</v>
      </c>
    </row>
    <row r="15075" spans="1:8" ht="25.05" customHeight="1" x14ac:dyDescent="0.25">
      <c r="A15075" s="2" t="s">
        <v>8</v>
      </c>
      <c r="B15075" s="2" t="str">
        <f>HYPERLINK("http://ts.21cn.com/tousu/show/id/1346724","威胁及侵害隐私")</f>
        <v>威胁及侵害隐私</v>
      </c>
      <c r="C15075" s="2" t="s">
        <v>9</v>
      </c>
      <c r="D15075" s="2" t="s">
        <v>10</v>
      </c>
      <c r="E15075" s="2" t="str">
        <f>HYPERLINK("http://ts.21cn.com/tousu/show/id/1346724","http://ts.21cn.com/tousu/show/id/1346724")</f>
        <v>http://ts.21cn.com/tousu/show/id/1346724</v>
      </c>
      <c r="F15075" s="2" t="s">
        <v>11</v>
      </c>
      <c r="G15075" s="2" t="s">
        <v>14517</v>
      </c>
      <c r="H15075" s="2" t="s">
        <v>14518</v>
      </c>
    </row>
    <row r="15076" spans="1:8" ht="25.05" customHeight="1" x14ac:dyDescent="0.25">
      <c r="A15076" s="2" t="s">
        <v>8</v>
      </c>
      <c r="B15076" s="2" t="str">
        <f>HYPERLINK("http://ts.21cn.com/tousu/show/id/1346725","还款被逼逾期，其中逾期利息一直再叠加")</f>
        <v>还款被逼逾期，其中逾期利息一直再叠加</v>
      </c>
      <c r="C15076" s="2" t="s">
        <v>9</v>
      </c>
      <c r="D15076" s="2" t="s">
        <v>10</v>
      </c>
      <c r="E15076" s="2" t="str">
        <f>HYPERLINK("http://ts.21cn.com/tousu/show/id/1346725","http://ts.21cn.com/tousu/show/id/1346725")</f>
        <v>http://ts.21cn.com/tousu/show/id/1346725</v>
      </c>
      <c r="F15076" s="2" t="s">
        <v>11</v>
      </c>
      <c r="G15076" s="2" t="s">
        <v>14515</v>
      </c>
      <c r="H15076" s="2" t="s">
        <v>14516</v>
      </c>
    </row>
    <row r="15077" spans="1:8" ht="25.05" customHeight="1" x14ac:dyDescent="0.25">
      <c r="A15077" s="2" t="s">
        <v>8</v>
      </c>
      <c r="B15077" s="2" t="str">
        <f>HYPERLINK("http://ts.21cn.com/tousu/show/id/1346706","高额风险评估费，担保费。")</f>
        <v>高额风险评估费，担保费。</v>
      </c>
      <c r="C15077" s="2" t="s">
        <v>9</v>
      </c>
      <c r="D15077" s="2" t="s">
        <v>10</v>
      </c>
      <c r="E15077" s="2" t="str">
        <f>HYPERLINK("http://ts.21cn.com/tousu/show/id/1346706","http://ts.21cn.com/tousu/show/id/1346706")</f>
        <v>http://ts.21cn.com/tousu/show/id/1346706</v>
      </c>
      <c r="F15077" s="2" t="s">
        <v>11</v>
      </c>
      <c r="G15077" s="2" t="s">
        <v>14513</v>
      </c>
      <c r="H15077" s="2" t="s">
        <v>14465</v>
      </c>
    </row>
    <row r="15078" spans="1:8" ht="25.05" customHeight="1" x14ac:dyDescent="0.25">
      <c r="A15078" s="2" t="s">
        <v>8</v>
      </c>
      <c r="B15078" s="2" t="str">
        <f>HYPERLINK("http://ts.21cn.com/tousu/show/id/1346726","你我贷")</f>
        <v>你我贷</v>
      </c>
      <c r="C15078" s="2" t="s">
        <v>9</v>
      </c>
      <c r="D15078" s="2" t="s">
        <v>10</v>
      </c>
      <c r="E15078" s="2" t="str">
        <f>HYPERLINK("http://ts.21cn.com/tousu/show/id/1346726","http://ts.21cn.com/tousu/show/id/1346726")</f>
        <v>http://ts.21cn.com/tousu/show/id/1346726</v>
      </c>
      <c r="F15078" s="2" t="s">
        <v>11</v>
      </c>
      <c r="G15078" s="2" t="s">
        <v>14513</v>
      </c>
      <c r="H15078" s="2" t="s">
        <v>14514</v>
      </c>
    </row>
    <row r="15079" spans="1:8" ht="25.05" customHeight="1" x14ac:dyDescent="0.25">
      <c r="A15079" s="2" t="s">
        <v>8</v>
      </c>
      <c r="B15079" s="2" t="str">
        <f>HYPERLINK("http://ts.21cn.com/tousu/show/id/1346727","钱站高利贷阴阳合同")</f>
        <v>钱站高利贷阴阳合同</v>
      </c>
      <c r="C15079" s="2" t="s">
        <v>9</v>
      </c>
      <c r="D15079" s="2" t="s">
        <v>10</v>
      </c>
      <c r="E15079" s="2" t="str">
        <f>HYPERLINK("http://ts.21cn.com/tousu/show/id/1346727","http://ts.21cn.com/tousu/show/id/1346727")</f>
        <v>http://ts.21cn.com/tousu/show/id/1346727</v>
      </c>
      <c r="F15079" s="2" t="s">
        <v>11</v>
      </c>
      <c r="G15079" s="2" t="s">
        <v>14511</v>
      </c>
      <c r="H15079" s="2" t="s">
        <v>14512</v>
      </c>
    </row>
    <row r="15080" spans="1:8" ht="25.05" customHeight="1" x14ac:dyDescent="0.25">
      <c r="A15080" s="2" t="s">
        <v>8</v>
      </c>
      <c r="B15080" s="2" t="str">
        <f>HYPERLINK("http://ts.21cn.com/tousu/show/id/1346728","微粒贷威胁恐吓、强词夺理、不予协商")</f>
        <v>微粒贷威胁恐吓、强词夺理、不予协商</v>
      </c>
      <c r="C15080" s="2" t="s">
        <v>9</v>
      </c>
      <c r="D15080" s="2" t="s">
        <v>10</v>
      </c>
      <c r="E15080" s="2" t="str">
        <f>HYPERLINK("http://ts.21cn.com/tousu/show/id/1346728","http://ts.21cn.com/tousu/show/id/1346728")</f>
        <v>http://ts.21cn.com/tousu/show/id/1346728</v>
      </c>
      <c r="F15080" s="2" t="s">
        <v>11</v>
      </c>
      <c r="G15080" s="2" t="s">
        <v>14509</v>
      </c>
      <c r="H15080" s="2" t="s">
        <v>14510</v>
      </c>
    </row>
    <row r="15081" spans="1:8" ht="25.05" customHeight="1" x14ac:dyDescent="0.25">
      <c r="A15081" s="2" t="s">
        <v>8</v>
      </c>
      <c r="B15081" s="2" t="str">
        <f>HYPERLINK("http://ts.21cn.com/tousu/show/id/1346730","急着花砍头息高利贷")</f>
        <v>急着花砍头息高利贷</v>
      </c>
      <c r="C15081" s="2" t="s">
        <v>9</v>
      </c>
      <c r="D15081" s="2" t="s">
        <v>10</v>
      </c>
      <c r="E15081" s="2" t="str">
        <f>HYPERLINK("http://ts.21cn.com/tousu/show/id/1346730","http://ts.21cn.com/tousu/show/id/1346730")</f>
        <v>http://ts.21cn.com/tousu/show/id/1346730</v>
      </c>
      <c r="F15081" s="2" t="s">
        <v>11</v>
      </c>
      <c r="G15081" s="2" t="s">
        <v>14507</v>
      </c>
      <c r="H15081" s="2" t="s">
        <v>14508</v>
      </c>
    </row>
    <row r="15082" spans="1:8" ht="25.05" customHeight="1" x14ac:dyDescent="0.25">
      <c r="A15082" s="2" t="s">
        <v>8</v>
      </c>
      <c r="B15082" s="2" t="str">
        <f>HYPERLINK("http://ts.21cn.com/tousu/show/id/1346729","玖富高利贷")</f>
        <v>玖富高利贷</v>
      </c>
      <c r="C15082" s="2" t="s">
        <v>9</v>
      </c>
      <c r="D15082" s="2" t="s">
        <v>10</v>
      </c>
      <c r="E15082" s="2" t="str">
        <f>HYPERLINK("http://ts.21cn.com/tousu/show/id/1346729","http://ts.21cn.com/tousu/show/id/1346729")</f>
        <v>http://ts.21cn.com/tousu/show/id/1346729</v>
      </c>
      <c r="F15082" s="2" t="s">
        <v>11</v>
      </c>
      <c r="G15082" s="2" t="s">
        <v>14505</v>
      </c>
      <c r="H15082" s="2" t="s">
        <v>14506</v>
      </c>
    </row>
    <row r="15083" spans="1:8" ht="25.05" customHeight="1" x14ac:dyDescent="0.25">
      <c r="A15083" s="2" t="s">
        <v>8</v>
      </c>
      <c r="B15083" s="2" t="str">
        <f>HYPERLINK("http://ts.21cn.com/tousu/show/id/1346733","如期分期上门催收打电话威胁借款人")</f>
        <v>如期分期上门催收打电话威胁借款人</v>
      </c>
      <c r="C15083" s="2" t="s">
        <v>9</v>
      </c>
      <c r="D15083" s="2" t="s">
        <v>10</v>
      </c>
      <c r="E15083" s="2" t="str">
        <f>HYPERLINK("http://ts.21cn.com/tousu/show/id/1346733","http://ts.21cn.com/tousu/show/id/1346733")</f>
        <v>http://ts.21cn.com/tousu/show/id/1346733</v>
      </c>
      <c r="F15083" s="2" t="s">
        <v>11</v>
      </c>
      <c r="G15083" s="2" t="s">
        <v>14502</v>
      </c>
      <c r="H15083" s="2" t="s">
        <v>14503</v>
      </c>
    </row>
    <row r="15084" spans="1:8" ht="25.05" customHeight="1" x14ac:dyDescent="0.25">
      <c r="A15084" s="2" t="s">
        <v>8</v>
      </c>
      <c r="B15084" s="2" t="str">
        <f>HYPERLINK("http://ts.21cn.com/tousu/show/id/1346731","钱站阴阳合同，利息过高，逾期费高")</f>
        <v>钱站阴阳合同，利息过高，逾期费高</v>
      </c>
      <c r="C15084" s="2" t="s">
        <v>9</v>
      </c>
      <c r="D15084" s="2" t="s">
        <v>10</v>
      </c>
      <c r="E15084" s="2" t="str">
        <f>HYPERLINK("http://ts.21cn.com/tousu/show/id/1346731","http://ts.21cn.com/tousu/show/id/1346731")</f>
        <v>http://ts.21cn.com/tousu/show/id/1346731</v>
      </c>
      <c r="F15084" s="2" t="s">
        <v>11</v>
      </c>
      <c r="G15084" s="2" t="s">
        <v>14502</v>
      </c>
      <c r="H15084" s="2" t="s">
        <v>14504</v>
      </c>
    </row>
    <row r="15085" spans="1:8" ht="25.05" customHeight="1" x14ac:dyDescent="0.25">
      <c r="A15085" s="2" t="s">
        <v>8</v>
      </c>
      <c r="B15085" s="2" t="str">
        <f>HYPERLINK("http://ts.21cn.com/tousu/show/id/1346732","捷信")</f>
        <v>捷信</v>
      </c>
      <c r="C15085" s="2" t="s">
        <v>9</v>
      </c>
      <c r="D15085" s="2" t="s">
        <v>10</v>
      </c>
      <c r="E15085" s="2" t="str">
        <f>HYPERLINK("http://ts.21cn.com/tousu/show/id/1346732","http://ts.21cn.com/tousu/show/id/1346732")</f>
        <v>http://ts.21cn.com/tousu/show/id/1346732</v>
      </c>
      <c r="F15085" s="2" t="s">
        <v>11</v>
      </c>
      <c r="G15085" s="2" t="s">
        <v>14500</v>
      </c>
      <c r="H15085" s="2" t="s">
        <v>14501</v>
      </c>
    </row>
    <row r="15086" spans="1:8" ht="25.05" customHeight="1" x14ac:dyDescent="0.25">
      <c r="A15086" s="2" t="s">
        <v>8</v>
      </c>
      <c r="B15086" s="2" t="str">
        <f>HYPERLINK("http://ts.21cn.com/tousu/show/id/1346735","旺卡猫恶意扣款")</f>
        <v>旺卡猫恶意扣款</v>
      </c>
      <c r="C15086" s="2" t="s">
        <v>9</v>
      </c>
      <c r="D15086" s="2" t="s">
        <v>10</v>
      </c>
      <c r="E15086" s="2" t="str">
        <f>HYPERLINK("http://ts.21cn.com/tousu/show/id/1346735","http://ts.21cn.com/tousu/show/id/1346735")</f>
        <v>http://ts.21cn.com/tousu/show/id/1346735</v>
      </c>
      <c r="F15086" s="2" t="s">
        <v>11</v>
      </c>
      <c r="G15086" s="2" t="s">
        <v>14498</v>
      </c>
      <c r="H15086" s="2" t="s">
        <v>14499</v>
      </c>
    </row>
    <row r="15087" spans="1:8" ht="25.05" customHeight="1" x14ac:dyDescent="0.25">
      <c r="A15087" s="2" t="s">
        <v>8</v>
      </c>
      <c r="B15087" s="2" t="str">
        <f>HYPERLINK("http://ts.21cn.com/tousu/show/id/1346736","高利息")</f>
        <v>高利息</v>
      </c>
      <c r="C15087" s="2" t="s">
        <v>34</v>
      </c>
      <c r="D15087" s="2" t="s">
        <v>10</v>
      </c>
      <c r="E15087" s="2" t="str">
        <f>HYPERLINK("http://ts.21cn.com/tousu/show/id/1346736","http://ts.21cn.com/tousu/show/id/1346736")</f>
        <v>http://ts.21cn.com/tousu/show/id/1346736</v>
      </c>
      <c r="F15087" s="2" t="s">
        <v>11</v>
      </c>
      <c r="G15087" s="2" t="s">
        <v>14496</v>
      </c>
      <c r="H15087" s="2" t="s">
        <v>14497</v>
      </c>
    </row>
    <row r="15088" spans="1:8" ht="25.05" customHeight="1" x14ac:dyDescent="0.25">
      <c r="A15088" s="2" t="s">
        <v>8</v>
      </c>
      <c r="B15088" s="2" t="str">
        <f>HYPERLINK("http://ts.21cn.com/tousu/show/id/1346738","破头息，阴阳合同")</f>
        <v>破头息，阴阳合同</v>
      </c>
      <c r="C15088" s="2" t="s">
        <v>9</v>
      </c>
      <c r="D15088" s="2" t="s">
        <v>10</v>
      </c>
      <c r="E15088" s="2" t="str">
        <f>HYPERLINK("http://ts.21cn.com/tousu/show/id/1346738","http://ts.21cn.com/tousu/show/id/1346738")</f>
        <v>http://ts.21cn.com/tousu/show/id/1346738</v>
      </c>
      <c r="F15088" s="2" t="s">
        <v>11</v>
      </c>
      <c r="G15088" s="2" t="s">
        <v>14494</v>
      </c>
      <c r="H15088" s="2" t="s">
        <v>14495</v>
      </c>
    </row>
    <row r="15089" spans="1:8" ht="25.05" customHeight="1" x14ac:dyDescent="0.25">
      <c r="A15089" s="2" t="s">
        <v>8</v>
      </c>
      <c r="B15089" s="2" t="str">
        <f>HYPERLINK("http://ts.21cn.com/tousu/show/id/1346737","左右钱包阴阳合同")</f>
        <v>左右钱包阴阳合同</v>
      </c>
      <c r="C15089" s="2" t="s">
        <v>9</v>
      </c>
      <c r="D15089" s="2" t="s">
        <v>10</v>
      </c>
      <c r="E15089" s="2" t="str">
        <f>HYPERLINK("http://ts.21cn.com/tousu/show/id/1346737","http://ts.21cn.com/tousu/show/id/1346737")</f>
        <v>http://ts.21cn.com/tousu/show/id/1346737</v>
      </c>
      <c r="F15089" s="2" t="s">
        <v>11</v>
      </c>
      <c r="G15089" s="2" t="s">
        <v>14492</v>
      </c>
      <c r="H15089" s="2" t="s">
        <v>14493</v>
      </c>
    </row>
    <row r="15090" spans="1:8" ht="25.05" customHeight="1" x14ac:dyDescent="0.25">
      <c r="A15090" s="2" t="s">
        <v>8</v>
      </c>
      <c r="B15090" s="2" t="str">
        <f>HYPERLINK("http://ts.21cn.com/tousu/show/id/1346672","我的工行卡被广东银联分公司无缘无故扣钱")</f>
        <v>我的工行卡被广东银联分公司无缘无故扣钱</v>
      </c>
      <c r="C15090" s="2" t="s">
        <v>9</v>
      </c>
      <c r="D15090" s="2" t="s">
        <v>10</v>
      </c>
      <c r="E15090" s="2" t="str">
        <f>HYPERLINK("http://ts.21cn.com/tousu/show/id/1346672","http://ts.21cn.com/tousu/show/id/1346672")</f>
        <v>http://ts.21cn.com/tousu/show/id/1346672</v>
      </c>
      <c r="F15090" s="2" t="s">
        <v>11</v>
      </c>
      <c r="G15090" s="2" t="s">
        <v>14490</v>
      </c>
      <c r="H15090" s="2" t="s">
        <v>14491</v>
      </c>
    </row>
    <row r="15091" spans="1:8" ht="25.05" customHeight="1" x14ac:dyDescent="0.25">
      <c r="A15091" s="2" t="s">
        <v>8</v>
      </c>
      <c r="B15091" s="2" t="str">
        <f>HYPERLINK("http://ts.21cn.com/tousu/show/id/1346740","小象优品逾期三天爆通讯录")</f>
        <v>小象优品逾期三天爆通讯录</v>
      </c>
      <c r="C15091" s="2" t="s">
        <v>9</v>
      </c>
      <c r="D15091" s="2" t="s">
        <v>10</v>
      </c>
      <c r="E15091" s="2" t="str">
        <f>HYPERLINK("http://ts.21cn.com/tousu/show/id/1346740","http://ts.21cn.com/tousu/show/id/1346740")</f>
        <v>http://ts.21cn.com/tousu/show/id/1346740</v>
      </c>
      <c r="F15091" s="2" t="s">
        <v>11</v>
      </c>
      <c r="G15091" s="2" t="s">
        <v>14488</v>
      </c>
      <c r="H15091" s="2" t="s">
        <v>14489</v>
      </c>
    </row>
    <row r="15092" spans="1:8" ht="25.05" customHeight="1" x14ac:dyDescent="0.25">
      <c r="A15092" s="2" t="s">
        <v>8</v>
      </c>
      <c r="B15092" s="2" t="str">
        <f>HYPERLINK("http://ts.21cn.com/tousu/show/id/1346742","贷上钱高额利息")</f>
        <v>贷上钱高额利息</v>
      </c>
      <c r="C15092" s="2" t="s">
        <v>9</v>
      </c>
      <c r="D15092" s="2" t="s">
        <v>10</v>
      </c>
      <c r="E15092" s="2" t="str">
        <f>HYPERLINK("http://ts.21cn.com/tousu/show/id/1346742","http://ts.21cn.com/tousu/show/id/1346742")</f>
        <v>http://ts.21cn.com/tousu/show/id/1346742</v>
      </c>
      <c r="F15092" s="2" t="s">
        <v>11</v>
      </c>
      <c r="G15092" s="2" t="s">
        <v>14486</v>
      </c>
      <c r="H15092" s="2" t="s">
        <v>14487</v>
      </c>
    </row>
    <row r="15093" spans="1:8" ht="25.05" customHeight="1" x14ac:dyDescent="0.25">
      <c r="A15093" s="2" t="s">
        <v>8</v>
      </c>
      <c r="B15093" s="2" t="str">
        <f>HYPERLINK("http://ts.21cn.com/tousu/show/id/1346741","暴力催收联系家人")</f>
        <v>暴力催收联系家人</v>
      </c>
      <c r="C15093" s="2" t="s">
        <v>9</v>
      </c>
      <c r="D15093" s="2" t="s">
        <v>10</v>
      </c>
      <c r="E15093" s="2" t="str">
        <f>HYPERLINK("http://ts.21cn.com/tousu/show/id/1346741","http://ts.21cn.com/tousu/show/id/1346741")</f>
        <v>http://ts.21cn.com/tousu/show/id/1346741</v>
      </c>
      <c r="F15093" s="2" t="s">
        <v>11</v>
      </c>
      <c r="G15093" s="2" t="s">
        <v>14484</v>
      </c>
      <c r="H15093" s="2" t="s">
        <v>14485</v>
      </c>
    </row>
    <row r="15094" spans="1:8" ht="25.05" customHeight="1" x14ac:dyDescent="0.25">
      <c r="A15094" s="2" t="s">
        <v>8</v>
      </c>
      <c r="B15094" s="2" t="str">
        <f>HYPERLINK("http://ts.21cn.com/tousu/show/id/1346743","协商还款")</f>
        <v>协商还款</v>
      </c>
      <c r="C15094" s="2" t="s">
        <v>9</v>
      </c>
      <c r="D15094" s="2" t="s">
        <v>10</v>
      </c>
      <c r="E15094" s="2" t="str">
        <f>HYPERLINK("http://ts.21cn.com/tousu/show/id/1346743","http://ts.21cn.com/tousu/show/id/1346743")</f>
        <v>http://ts.21cn.com/tousu/show/id/1346743</v>
      </c>
      <c r="F15094" s="2" t="s">
        <v>11</v>
      </c>
      <c r="G15094" s="2" t="s">
        <v>14482</v>
      </c>
      <c r="H15094" s="2" t="s">
        <v>14483</v>
      </c>
    </row>
    <row r="15095" spans="1:8" ht="25.05" customHeight="1" x14ac:dyDescent="0.25">
      <c r="A15095" s="2" t="s">
        <v>8</v>
      </c>
      <c r="B15095" s="2" t="str">
        <f>HYPERLINK("http://ts.21cn.com/tousu/show/id/1346744","我来贷超高利息超高逾期费用暴力催收套路贷")</f>
        <v>我来贷超高利息超高逾期费用暴力催收套路贷</v>
      </c>
      <c r="C15095" s="2" t="s">
        <v>9</v>
      </c>
      <c r="D15095" s="2" t="s">
        <v>10</v>
      </c>
      <c r="E15095" s="2" t="str">
        <f>HYPERLINK("http://ts.21cn.com/tousu/show/id/1346744","http://ts.21cn.com/tousu/show/id/1346744")</f>
        <v>http://ts.21cn.com/tousu/show/id/1346744</v>
      </c>
      <c r="F15095" s="2" t="s">
        <v>11</v>
      </c>
      <c r="G15095" s="2" t="s">
        <v>14480</v>
      </c>
      <c r="H15095" s="2" t="s">
        <v>14481</v>
      </c>
    </row>
    <row r="15096" spans="1:8" ht="25.05" customHeight="1" x14ac:dyDescent="0.25">
      <c r="A15096" s="2" t="s">
        <v>8</v>
      </c>
      <c r="B15096" s="2" t="str">
        <f>HYPERLINK("http://ts.21cn.com/tousu/show/id/1346746","购买的主板cpu套装是有问题的，商家不履行7天无理由退货。")</f>
        <v>购买的主板cpu套装是有问题的，商家不履行7天无理由退货。</v>
      </c>
      <c r="C15096" s="2" t="s">
        <v>9</v>
      </c>
      <c r="D15096" s="2" t="s">
        <v>10</v>
      </c>
      <c r="E15096" s="2" t="str">
        <f>HYPERLINK("http://ts.21cn.com/tousu/show/id/1346746","http://ts.21cn.com/tousu/show/id/1346746")</f>
        <v>http://ts.21cn.com/tousu/show/id/1346746</v>
      </c>
      <c r="F15096" s="2" t="s">
        <v>11</v>
      </c>
      <c r="G15096" s="2" t="s">
        <v>14478</v>
      </c>
      <c r="H15096" s="2" t="s">
        <v>14479</v>
      </c>
    </row>
    <row r="15097" spans="1:8" ht="25.05" customHeight="1" x14ac:dyDescent="0.25">
      <c r="A15097" s="2" t="s">
        <v>8</v>
      </c>
      <c r="B15097" s="2" t="str">
        <f>HYPERLINK("http://ts.21cn.com/tousu/show/id/1346745","EVCARD车辆质量问题")</f>
        <v>EVCARD车辆质量问题</v>
      </c>
      <c r="C15097" s="2" t="s">
        <v>9</v>
      </c>
      <c r="D15097" s="2" t="s">
        <v>10</v>
      </c>
      <c r="E15097" s="2" t="str">
        <f>HYPERLINK("http://ts.21cn.com/tousu/show/id/1346745","http://ts.21cn.com/tousu/show/id/1346745")</f>
        <v>http://ts.21cn.com/tousu/show/id/1346745</v>
      </c>
      <c r="F15097" s="2" t="s">
        <v>11</v>
      </c>
      <c r="G15097" s="2" t="s">
        <v>14476</v>
      </c>
      <c r="H15097" s="2" t="s">
        <v>14477</v>
      </c>
    </row>
    <row r="15098" spans="1:8" ht="25.05" customHeight="1" x14ac:dyDescent="0.25">
      <c r="A15098" s="2" t="s">
        <v>8</v>
      </c>
      <c r="B15098" s="2" t="str">
        <f>HYPERLINK("http://ts.21cn.com/tousu/show/id/1346747","降价补差")</f>
        <v>降价补差</v>
      </c>
      <c r="C15098" s="2" t="s">
        <v>34</v>
      </c>
      <c r="D15098" s="2" t="s">
        <v>10</v>
      </c>
      <c r="E15098" s="2" t="str">
        <f>HYPERLINK("http://ts.21cn.com/tousu/show/id/1346747","http://ts.21cn.com/tousu/show/id/1346747")</f>
        <v>http://ts.21cn.com/tousu/show/id/1346747</v>
      </c>
      <c r="F15098" s="2" t="s">
        <v>11</v>
      </c>
      <c r="G15098" s="2" t="s">
        <v>14474</v>
      </c>
      <c r="H15098" s="2" t="s">
        <v>14475</v>
      </c>
    </row>
    <row r="15099" spans="1:8" ht="25.05" customHeight="1" x14ac:dyDescent="0.25">
      <c r="A15099" s="2" t="s">
        <v>8</v>
      </c>
      <c r="B15099" s="2" t="str">
        <f>HYPERLINK("http://ts.21cn.com/tousu/show/id/1346686","拍拍贷套路消费者")</f>
        <v>拍拍贷套路消费者</v>
      </c>
      <c r="C15099" s="2" t="s">
        <v>9</v>
      </c>
      <c r="D15099" s="2" t="s">
        <v>10</v>
      </c>
      <c r="E15099" s="2" t="str">
        <f>HYPERLINK("http://ts.21cn.com/tousu/show/id/1346686","http://ts.21cn.com/tousu/show/id/1346686")</f>
        <v>http://ts.21cn.com/tousu/show/id/1346686</v>
      </c>
      <c r="F15099" s="2" t="s">
        <v>11</v>
      </c>
      <c r="G15099" s="2" t="s">
        <v>14472</v>
      </c>
      <c r="H15099" s="2" t="s">
        <v>14473</v>
      </c>
    </row>
    <row r="15100" spans="1:8" ht="25.05" customHeight="1" x14ac:dyDescent="0.25">
      <c r="A15100" s="2" t="s">
        <v>8</v>
      </c>
      <c r="B15100" s="2" t="str">
        <f>HYPERLINK("http://ts.21cn.com/tousu/show/id/1346748","张家界美程国际旅行社有限公司虚假宣传、强制消费")</f>
        <v>张家界美程国际旅行社有限公司虚假宣传、强制消费</v>
      </c>
      <c r="C15100" s="2" t="s">
        <v>9</v>
      </c>
      <c r="D15100" s="2" t="s">
        <v>10</v>
      </c>
      <c r="E15100" s="2" t="str">
        <f>HYPERLINK("http://ts.21cn.com/tousu/show/id/1346748","http://ts.21cn.com/tousu/show/id/1346748")</f>
        <v>http://ts.21cn.com/tousu/show/id/1346748</v>
      </c>
      <c r="F15100" s="2" t="s">
        <v>11</v>
      </c>
      <c r="G15100" s="2" t="s">
        <v>14470</v>
      </c>
      <c r="H15100" s="2" t="s">
        <v>14471</v>
      </c>
    </row>
    <row r="15101" spans="1:8" ht="25.05" customHeight="1" x14ac:dyDescent="0.25">
      <c r="A15101" s="2" t="s">
        <v>8</v>
      </c>
      <c r="B15101" s="2" t="str">
        <f>HYPERLINK("http://ts.21cn.com/tousu/show/id/1346750","现在的高利贷都是合法的了吗？")</f>
        <v>现在的高利贷都是合法的了吗？</v>
      </c>
      <c r="C15101" s="2" t="s">
        <v>9</v>
      </c>
      <c r="D15101" s="2" t="s">
        <v>10</v>
      </c>
      <c r="E15101" s="2" t="str">
        <f>HYPERLINK("http://ts.21cn.com/tousu/show/id/1346750","http://ts.21cn.com/tousu/show/id/1346750")</f>
        <v>http://ts.21cn.com/tousu/show/id/1346750</v>
      </c>
      <c r="F15101" s="2" t="s">
        <v>11</v>
      </c>
      <c r="G15101" s="2" t="s">
        <v>14468</v>
      </c>
      <c r="H15101" s="2" t="s">
        <v>14469</v>
      </c>
    </row>
    <row r="15102" spans="1:8" ht="25.05" customHeight="1" x14ac:dyDescent="0.25">
      <c r="A15102" s="2" t="s">
        <v>8</v>
      </c>
      <c r="B15102" s="2" t="str">
        <f>HYPERLINK("http://ts.21cn.com/tousu/show/id/1346751","捷信给家人朋友一天三个电话的打")</f>
        <v>捷信给家人朋友一天三个电话的打</v>
      </c>
      <c r="C15102" s="2" t="s">
        <v>9</v>
      </c>
      <c r="D15102" s="2" t="s">
        <v>10</v>
      </c>
      <c r="E15102" s="2" t="str">
        <f>HYPERLINK("http://ts.21cn.com/tousu/show/id/1346751","http://ts.21cn.com/tousu/show/id/1346751")</f>
        <v>http://ts.21cn.com/tousu/show/id/1346751</v>
      </c>
      <c r="F15102" s="2" t="s">
        <v>11</v>
      </c>
      <c r="G15102" s="2" t="s">
        <v>14466</v>
      </c>
      <c r="H15102" s="2" t="s">
        <v>14467</v>
      </c>
    </row>
    <row r="15103" spans="1:8" ht="25.05" customHeight="1" x14ac:dyDescent="0.25">
      <c r="A15103" s="2" t="s">
        <v>8</v>
      </c>
      <c r="B15103" s="2" t="str">
        <f>HYPERLINK("http://ts.21cn.com/tousu/show/id/1346752","高额砍头息")</f>
        <v>高额砍头息</v>
      </c>
      <c r="C15103" s="2" t="s">
        <v>9</v>
      </c>
      <c r="D15103" s="2" t="s">
        <v>10</v>
      </c>
      <c r="E15103" s="2" t="str">
        <f>HYPERLINK("http://ts.21cn.com/tousu/show/id/1346752","http://ts.21cn.com/tousu/show/id/1346752")</f>
        <v>http://ts.21cn.com/tousu/show/id/1346752</v>
      </c>
      <c r="F15103" s="2" t="s">
        <v>11</v>
      </c>
      <c r="G15103" s="2" t="s">
        <v>14464</v>
      </c>
      <c r="H15103" s="2" t="s">
        <v>14465</v>
      </c>
    </row>
    <row r="15104" spans="1:8" ht="25.05" customHeight="1" x14ac:dyDescent="0.25">
      <c r="A15104" s="2" t="s">
        <v>8</v>
      </c>
      <c r="B15104" s="2" t="str">
        <f>HYPERLINK("http://ts.21cn.com/tousu/show/id/1346754","快贷")</f>
        <v>快贷</v>
      </c>
      <c r="C15104" s="2" t="s">
        <v>9</v>
      </c>
      <c r="D15104" s="2" t="s">
        <v>10</v>
      </c>
      <c r="E15104" s="2" t="str">
        <f>HYPERLINK("http://ts.21cn.com/tousu/show/id/1346754","http://ts.21cn.com/tousu/show/id/1346754")</f>
        <v>http://ts.21cn.com/tousu/show/id/1346754</v>
      </c>
      <c r="F15104" s="2" t="s">
        <v>11</v>
      </c>
      <c r="G15104" s="2" t="s">
        <v>14462</v>
      </c>
      <c r="H15104" s="2" t="s">
        <v>14463</v>
      </c>
    </row>
    <row r="15105" spans="1:8" ht="25.05" customHeight="1" x14ac:dyDescent="0.25">
      <c r="A15105" s="2" t="s">
        <v>8</v>
      </c>
      <c r="B15105" s="2" t="str">
        <f>HYPERLINK("http://ts.21cn.com/tousu/show/id/1346739","百事普惠嘉盈顺无缘无故被扣50块钱")</f>
        <v>百事普惠嘉盈顺无缘无故被扣50块钱</v>
      </c>
      <c r="C15105" s="2" t="s">
        <v>9</v>
      </c>
      <c r="D15105" s="2" t="s">
        <v>10</v>
      </c>
      <c r="E15105" s="2" t="str">
        <f>HYPERLINK("http://ts.21cn.com/tousu/show/id/1346739","http://ts.21cn.com/tousu/show/id/1346739")</f>
        <v>http://ts.21cn.com/tousu/show/id/1346739</v>
      </c>
      <c r="F15105" s="2" t="s">
        <v>11</v>
      </c>
      <c r="G15105" s="2" t="s">
        <v>14460</v>
      </c>
      <c r="H15105" s="2" t="s">
        <v>14461</v>
      </c>
    </row>
    <row r="15106" spans="1:8" ht="25.05" customHeight="1" x14ac:dyDescent="0.25">
      <c r="A15106" s="2" t="s">
        <v>8</v>
      </c>
      <c r="B15106" s="2" t="str">
        <f>HYPERLINK("http://ts.21cn.com/tousu/show/id/1346755","高利贷阴阳合同")</f>
        <v>高利贷阴阳合同</v>
      </c>
      <c r="C15106" s="2" t="s">
        <v>9</v>
      </c>
      <c r="D15106" s="2" t="s">
        <v>10</v>
      </c>
      <c r="E15106" s="2" t="str">
        <f>HYPERLINK("http://ts.21cn.com/tousu/show/id/1346755","http://ts.21cn.com/tousu/show/id/1346755")</f>
        <v>http://ts.21cn.com/tousu/show/id/1346755</v>
      </c>
      <c r="F15106" s="2" t="s">
        <v>11</v>
      </c>
      <c r="G15106" s="2" t="s">
        <v>14458</v>
      </c>
      <c r="H15106" s="2" t="s">
        <v>14459</v>
      </c>
    </row>
    <row r="15107" spans="1:8" ht="25.05" customHeight="1" x14ac:dyDescent="0.25">
      <c r="A15107" s="2" t="s">
        <v>8</v>
      </c>
      <c r="B15107" s="2" t="str">
        <f>HYPERLINK("http://ts.21cn.com/tousu/show/id/1346762","马上金融恶意爆通讯录？严重扰乱生活，随意更改合同，至少换了三家催收，")</f>
        <v>马上金融恶意爆通讯录？严重扰乱生活，随意更改合同，至少换了三家催收，</v>
      </c>
      <c r="C15107" s="2" t="s">
        <v>9</v>
      </c>
      <c r="D15107" s="2" t="s">
        <v>10</v>
      </c>
      <c r="E15107" s="2" t="str">
        <f>HYPERLINK("http://ts.21cn.com/tousu/show/id/1346762","http://ts.21cn.com/tousu/show/id/1346762")</f>
        <v>http://ts.21cn.com/tousu/show/id/1346762</v>
      </c>
      <c r="F15107" s="2" t="s">
        <v>11</v>
      </c>
      <c r="G15107" s="2" t="s">
        <v>14453</v>
      </c>
      <c r="H15107" s="2" t="s">
        <v>14454</v>
      </c>
    </row>
    <row r="15108" spans="1:8" ht="25.05" customHeight="1" x14ac:dyDescent="0.25">
      <c r="A15108" s="2" t="s">
        <v>8</v>
      </c>
      <c r="B15108" s="2" t="str">
        <f>HYPERLINK("http://ts.21cn.com/tousu/show/id/1346761","闪银软暴力高利贷")</f>
        <v>闪银软暴力高利贷</v>
      </c>
      <c r="C15108" s="2" t="s">
        <v>9</v>
      </c>
      <c r="D15108" s="2" t="s">
        <v>10</v>
      </c>
      <c r="E15108" s="2" t="str">
        <f>HYPERLINK("http://ts.21cn.com/tousu/show/id/1346761","http://ts.21cn.com/tousu/show/id/1346761")</f>
        <v>http://ts.21cn.com/tousu/show/id/1346761</v>
      </c>
      <c r="F15108" s="2" t="s">
        <v>11</v>
      </c>
      <c r="G15108" s="2" t="s">
        <v>14453</v>
      </c>
      <c r="H15108" s="2" t="s">
        <v>14455</v>
      </c>
    </row>
    <row r="15109" spans="1:8" ht="25.05" customHeight="1" x14ac:dyDescent="0.25">
      <c r="A15109" s="2" t="s">
        <v>8</v>
      </c>
      <c r="B15109" s="2" t="str">
        <f>HYPERLINK("http://ts.21cn.com/tousu/show/id/1346764","钱站爱钱进高利贷，高坎头息")</f>
        <v>钱站爱钱进高利贷，高坎头息</v>
      </c>
      <c r="C15109" s="2" t="s">
        <v>9</v>
      </c>
      <c r="D15109" s="2" t="s">
        <v>10</v>
      </c>
      <c r="E15109" s="2" t="str">
        <f>HYPERLINK("http://ts.21cn.com/tousu/show/id/1346764","http://ts.21cn.com/tousu/show/id/1346764")</f>
        <v>http://ts.21cn.com/tousu/show/id/1346764</v>
      </c>
      <c r="F15109" s="2" t="s">
        <v>11</v>
      </c>
      <c r="G15109" s="2" t="s">
        <v>14453</v>
      </c>
      <c r="H15109" s="2" t="s">
        <v>14456</v>
      </c>
    </row>
    <row r="15110" spans="1:8" ht="25.05" customHeight="1" x14ac:dyDescent="0.25">
      <c r="A15110" s="2" t="s">
        <v>8</v>
      </c>
      <c r="B15110" s="2" t="str">
        <f>HYPERLINK("http://ts.21cn.com/tousu/show/id/1346760","信用管家神马借高额砍头息暴力催收")</f>
        <v>信用管家神马借高额砍头息暴力催收</v>
      </c>
      <c r="C15110" s="2" t="s">
        <v>9</v>
      </c>
      <c r="D15110" s="2" t="s">
        <v>10</v>
      </c>
      <c r="E15110" s="2" t="str">
        <f>HYPERLINK("http://ts.21cn.com/tousu/show/id/1346760","http://ts.21cn.com/tousu/show/id/1346760")</f>
        <v>http://ts.21cn.com/tousu/show/id/1346760</v>
      </c>
      <c r="F15110" s="2" t="s">
        <v>11</v>
      </c>
      <c r="G15110" s="2" t="s">
        <v>14453</v>
      </c>
      <c r="H15110" s="2" t="s">
        <v>14457</v>
      </c>
    </row>
    <row r="15111" spans="1:8" ht="25.05" customHeight="1" x14ac:dyDescent="0.25">
      <c r="A15111" s="2" t="s">
        <v>8</v>
      </c>
      <c r="B15111" s="2" t="str">
        <f>HYPERLINK("http://ts.21cn.com/tousu/show/id/1346756","我需要一份支付宝借呗结清证明")</f>
        <v>我需要一份支付宝借呗结清证明</v>
      </c>
      <c r="C15111" s="2" t="s">
        <v>9</v>
      </c>
      <c r="D15111" s="2" t="s">
        <v>10</v>
      </c>
      <c r="E15111" s="2" t="str">
        <f>HYPERLINK("http://ts.21cn.com/tousu/show/id/1346756","http://ts.21cn.com/tousu/show/id/1346756")</f>
        <v>http://ts.21cn.com/tousu/show/id/1346756</v>
      </c>
      <c r="F15111" s="2" t="s">
        <v>11</v>
      </c>
      <c r="G15111" s="2" t="s">
        <v>14451</v>
      </c>
      <c r="H15111" s="2" t="s">
        <v>14452</v>
      </c>
    </row>
    <row r="15112" spans="1:8" ht="25.05" customHeight="1" x14ac:dyDescent="0.25">
      <c r="A15112" s="2" t="s">
        <v>8</v>
      </c>
      <c r="B15112" s="2" t="str">
        <f>HYPERLINK("http://ts.21cn.com/tousu/show/id/1346758","招联金融暴力恶催收")</f>
        <v>招联金融暴力恶催收</v>
      </c>
      <c r="C15112" s="2" t="s">
        <v>9</v>
      </c>
      <c r="D15112" s="2" t="s">
        <v>10</v>
      </c>
      <c r="E15112" s="2" t="str">
        <f>HYPERLINK("http://ts.21cn.com/tousu/show/id/1346758","http://ts.21cn.com/tousu/show/id/1346758")</f>
        <v>http://ts.21cn.com/tousu/show/id/1346758</v>
      </c>
      <c r="F15112" s="2" t="s">
        <v>11</v>
      </c>
      <c r="G15112" s="2" t="s">
        <v>14448</v>
      </c>
      <c r="H15112" s="2" t="s">
        <v>14449</v>
      </c>
    </row>
    <row r="15113" spans="1:8" ht="25.05" customHeight="1" x14ac:dyDescent="0.25">
      <c r="A15113" s="2" t="s">
        <v>8</v>
      </c>
      <c r="B15113" s="2" t="str">
        <f>HYPERLINK("http://ts.21cn.com/tousu/show/id/1346757","微品分期一个月期限收取高额利息")</f>
        <v>微品分期一个月期限收取高额利息</v>
      </c>
      <c r="C15113" s="2" t="s">
        <v>9</v>
      </c>
      <c r="D15113" s="2" t="s">
        <v>10</v>
      </c>
      <c r="E15113" s="2" t="str">
        <f>HYPERLINK("http://ts.21cn.com/tousu/show/id/1346757","http://ts.21cn.com/tousu/show/id/1346757")</f>
        <v>http://ts.21cn.com/tousu/show/id/1346757</v>
      </c>
      <c r="F15113" s="2" t="s">
        <v>11</v>
      </c>
      <c r="G15113" s="2" t="s">
        <v>14448</v>
      </c>
      <c r="H15113" s="2" t="s">
        <v>14450</v>
      </c>
    </row>
    <row r="15114" spans="1:8" ht="25.05" customHeight="1" x14ac:dyDescent="0.25">
      <c r="A15114" s="2" t="s">
        <v>8</v>
      </c>
      <c r="B15114" s="2" t="str">
        <f>HYPERLINK("http://ts.21cn.com/tousu/show/id/1346759","闪银至尊暴力催收")</f>
        <v>闪银至尊暴力催收</v>
      </c>
      <c r="C15114" s="2" t="s">
        <v>9</v>
      </c>
      <c r="D15114" s="2" t="s">
        <v>10</v>
      </c>
      <c r="E15114" s="2" t="str">
        <f>HYPERLINK("http://ts.21cn.com/tousu/show/id/1346759","http://ts.21cn.com/tousu/show/id/1346759")</f>
        <v>http://ts.21cn.com/tousu/show/id/1346759</v>
      </c>
      <c r="F15114" s="2" t="s">
        <v>11</v>
      </c>
      <c r="G15114" s="2" t="s">
        <v>14446</v>
      </c>
      <c r="H15114" s="2" t="s">
        <v>14447</v>
      </c>
    </row>
    <row r="15115" spans="1:8" ht="25.05" customHeight="1" x14ac:dyDescent="0.25">
      <c r="A15115" s="2" t="s">
        <v>8</v>
      </c>
      <c r="B15115" s="2" t="str">
        <f>HYPERLINK("http://ts.21cn.com/tousu/show/id/1346763","客户不支付运费，货拉拉不作为")</f>
        <v>客户不支付运费，货拉拉不作为</v>
      </c>
      <c r="C15115" s="2" t="s">
        <v>9</v>
      </c>
      <c r="D15115" s="2" t="s">
        <v>10</v>
      </c>
      <c r="E15115" s="2" t="str">
        <f>HYPERLINK("http://ts.21cn.com/tousu/show/id/1346763","http://ts.21cn.com/tousu/show/id/1346763")</f>
        <v>http://ts.21cn.com/tousu/show/id/1346763</v>
      </c>
      <c r="F15115" s="2" t="s">
        <v>11</v>
      </c>
      <c r="G15115" s="2" t="s">
        <v>14444</v>
      </c>
      <c r="H15115" s="2" t="s">
        <v>14445</v>
      </c>
    </row>
    <row r="15116" spans="1:8" ht="25.05" customHeight="1" x14ac:dyDescent="0.25">
      <c r="A15116" s="2" t="s">
        <v>8</v>
      </c>
      <c r="B15116" s="2" t="str">
        <f>HYPERLINK("http://ts.21cn.com/tousu/show/id/1346766","立借高利贷平台，年利率超法律允许")</f>
        <v>立借高利贷平台，年利率超法律允许</v>
      </c>
      <c r="C15116" s="2" t="s">
        <v>9</v>
      </c>
      <c r="D15116" s="2" t="s">
        <v>10</v>
      </c>
      <c r="E15116" s="2" t="str">
        <f>HYPERLINK("http://ts.21cn.com/tousu/show/id/1346766","http://ts.21cn.com/tousu/show/id/1346766")</f>
        <v>http://ts.21cn.com/tousu/show/id/1346766</v>
      </c>
      <c r="F15116" s="2" t="s">
        <v>11</v>
      </c>
      <c r="G15116" s="2" t="s">
        <v>14442</v>
      </c>
      <c r="H15116" s="2" t="s">
        <v>14443</v>
      </c>
    </row>
    <row r="15117" spans="1:8" ht="25.05" customHeight="1" x14ac:dyDescent="0.25">
      <c r="A15117" s="2" t="s">
        <v>8</v>
      </c>
      <c r="B15117" s="2" t="str">
        <f>HYPERLINK("http://ts.21cn.com/tousu/show/id/1346767","不予退费")</f>
        <v>不予退费</v>
      </c>
      <c r="C15117" s="2" t="s">
        <v>9</v>
      </c>
      <c r="D15117" s="2" t="s">
        <v>10</v>
      </c>
      <c r="E15117" s="2" t="str">
        <f>HYPERLINK("http://ts.21cn.com/tousu/show/id/1346767","http://ts.21cn.com/tousu/show/id/1346767")</f>
        <v>http://ts.21cn.com/tousu/show/id/1346767</v>
      </c>
      <c r="F15117" s="2" t="s">
        <v>11</v>
      </c>
      <c r="G15117" s="2" t="s">
        <v>14440</v>
      </c>
      <c r="H15117" s="2" t="s">
        <v>14441</v>
      </c>
    </row>
    <row r="15118" spans="1:8" ht="25.05" customHeight="1" x14ac:dyDescent="0.25">
      <c r="A15118" s="2" t="s">
        <v>8</v>
      </c>
      <c r="B15118" s="2" t="str">
        <f>HYPERLINK("http://ts.21cn.com/tousu/show/id/1346768","今日头条不退款，无理由扣押保证金后台一直审核中")</f>
        <v>今日头条不退款，无理由扣押保证金后台一直审核中</v>
      </c>
      <c r="C15118" s="2" t="s">
        <v>9</v>
      </c>
      <c r="D15118" s="2" t="s">
        <v>10</v>
      </c>
      <c r="E15118" s="2" t="str">
        <f>HYPERLINK("http://ts.21cn.com/tousu/show/id/1346768","http://ts.21cn.com/tousu/show/id/1346768")</f>
        <v>http://ts.21cn.com/tousu/show/id/1346768</v>
      </c>
      <c r="F15118" s="2" t="s">
        <v>11</v>
      </c>
      <c r="G15118" s="2" t="s">
        <v>14438</v>
      </c>
      <c r="H15118" s="2" t="s">
        <v>14439</v>
      </c>
    </row>
    <row r="15119" spans="1:8" ht="25.05" customHeight="1" x14ac:dyDescent="0.25">
      <c r="A15119" s="2" t="s">
        <v>8</v>
      </c>
      <c r="B15119" s="2" t="str">
        <f>HYPERLINK("http://ts.21cn.com/tousu/show/id/1346770","骚扰通讯录")</f>
        <v>骚扰通讯录</v>
      </c>
      <c r="C15119" s="2" t="s">
        <v>9</v>
      </c>
      <c r="D15119" s="2" t="s">
        <v>10</v>
      </c>
      <c r="E15119" s="2" t="str">
        <f>HYPERLINK("http://ts.21cn.com/tousu/show/id/1346770","http://ts.21cn.com/tousu/show/id/1346770")</f>
        <v>http://ts.21cn.com/tousu/show/id/1346770</v>
      </c>
      <c r="F15119" s="2" t="s">
        <v>11</v>
      </c>
      <c r="G15119" s="2" t="s">
        <v>14436</v>
      </c>
      <c r="H15119" s="2" t="s">
        <v>14437</v>
      </c>
    </row>
    <row r="15120" spans="1:8" ht="25.05" customHeight="1" x14ac:dyDescent="0.25">
      <c r="A15120" s="2" t="s">
        <v>8</v>
      </c>
      <c r="B15120" s="2" t="str">
        <f>HYPERLINK("http://ts.21cn.com/tousu/show/id/1346769","科技宽带不退钱")</f>
        <v>科技宽带不退钱</v>
      </c>
      <c r="C15120" s="2" t="s">
        <v>9</v>
      </c>
      <c r="D15120" s="2" t="s">
        <v>10</v>
      </c>
      <c r="E15120" s="2" t="str">
        <f>HYPERLINK("http://ts.21cn.com/tousu/show/id/1346769","http://ts.21cn.com/tousu/show/id/1346769")</f>
        <v>http://ts.21cn.com/tousu/show/id/1346769</v>
      </c>
      <c r="F15120" s="2" t="s">
        <v>11</v>
      </c>
      <c r="G15120" s="2" t="s">
        <v>14434</v>
      </c>
      <c r="H15120" s="2" t="s">
        <v>14435</v>
      </c>
    </row>
    <row r="15121" spans="1:8" ht="25.05" customHeight="1" x14ac:dyDescent="0.25">
      <c r="A15121" s="2" t="s">
        <v>8</v>
      </c>
      <c r="B15121" s="2" t="str">
        <f>HYPERLINK("http://ts.21cn.com/tousu/show/id/1346771","支付宝借呗踢皮球式不开结清证明")</f>
        <v>支付宝借呗踢皮球式不开结清证明</v>
      </c>
      <c r="C15121" s="2" t="s">
        <v>9</v>
      </c>
      <c r="D15121" s="2" t="s">
        <v>10</v>
      </c>
      <c r="E15121" s="2" t="str">
        <f>HYPERLINK("http://ts.21cn.com/tousu/show/id/1346771","http://ts.21cn.com/tousu/show/id/1346771")</f>
        <v>http://ts.21cn.com/tousu/show/id/1346771</v>
      </c>
      <c r="F15121" s="2" t="s">
        <v>11</v>
      </c>
      <c r="G15121" s="2" t="s">
        <v>14432</v>
      </c>
      <c r="H15121" s="2" t="s">
        <v>14433</v>
      </c>
    </row>
    <row r="15122" spans="1:8" ht="25.05" customHeight="1" x14ac:dyDescent="0.25">
      <c r="A15122" s="2" t="s">
        <v>8</v>
      </c>
      <c r="B15122" s="2" t="str">
        <f>HYPERLINK("http://ts.21cn.com/tousu/show/id/1346772","威胁")</f>
        <v>威胁</v>
      </c>
      <c r="C15122" s="2" t="s">
        <v>9</v>
      </c>
      <c r="D15122" s="2" t="s">
        <v>10</v>
      </c>
      <c r="E15122" s="2" t="str">
        <f>HYPERLINK("http://ts.21cn.com/tousu/show/id/1346772","http://ts.21cn.com/tousu/show/id/1346772")</f>
        <v>http://ts.21cn.com/tousu/show/id/1346772</v>
      </c>
      <c r="F15122" s="2" t="s">
        <v>11</v>
      </c>
      <c r="G15122" s="2" t="s">
        <v>14430</v>
      </c>
      <c r="H15122" s="2" t="s">
        <v>14431</v>
      </c>
    </row>
    <row r="15123" spans="1:8" ht="25.05" customHeight="1" x14ac:dyDescent="0.25">
      <c r="A15123" s="2" t="s">
        <v>8</v>
      </c>
      <c r="B15123" s="2" t="str">
        <f>HYPERLINK("http://ts.21cn.com/tousu/show/id/1346774","交通银行爆通讯录")</f>
        <v>交通银行爆通讯录</v>
      </c>
      <c r="C15123" s="2" t="s">
        <v>9</v>
      </c>
      <c r="D15123" s="2" t="s">
        <v>10</v>
      </c>
      <c r="E15123" s="2" t="str">
        <f>HYPERLINK("http://ts.21cn.com/tousu/show/id/1346774","http://ts.21cn.com/tousu/show/id/1346774")</f>
        <v>http://ts.21cn.com/tousu/show/id/1346774</v>
      </c>
      <c r="F15123" s="2" t="s">
        <v>11</v>
      </c>
      <c r="G15123" s="2" t="s">
        <v>14428</v>
      </c>
      <c r="H15123" s="2" t="s">
        <v>14429</v>
      </c>
    </row>
    <row r="15124" spans="1:8" ht="25.05" customHeight="1" x14ac:dyDescent="0.25">
      <c r="A15124" s="2" t="s">
        <v>8</v>
      </c>
      <c r="B15124" s="2" t="str">
        <f>HYPERLINK("http://ts.21cn.com/tousu/show/id/1346773","未经过本人同意自动扣款，拒不退还")</f>
        <v>未经过本人同意自动扣款，拒不退还</v>
      </c>
      <c r="C15124" s="2" t="s">
        <v>9</v>
      </c>
      <c r="D15124" s="2" t="s">
        <v>10</v>
      </c>
      <c r="E15124" s="2" t="str">
        <f>HYPERLINK("http://ts.21cn.com/tousu/show/id/1346773","http://ts.21cn.com/tousu/show/id/1346773")</f>
        <v>http://ts.21cn.com/tousu/show/id/1346773</v>
      </c>
      <c r="F15124" s="2" t="s">
        <v>11</v>
      </c>
      <c r="G15124" s="2" t="s">
        <v>14426</v>
      </c>
      <c r="H15124" s="2" t="s">
        <v>14427</v>
      </c>
    </row>
    <row r="15125" spans="1:8" ht="25.05" customHeight="1" x14ac:dyDescent="0.25">
      <c r="A15125" s="2" t="s">
        <v>8</v>
      </c>
      <c r="B15125" s="2" t="str">
        <f>HYPERLINK("http://ts.21cn.com/tousu/show/id/1346777","天津银行不给结清证明")</f>
        <v>天津银行不给结清证明</v>
      </c>
      <c r="C15125" s="2" t="s">
        <v>9</v>
      </c>
      <c r="D15125" s="2" t="s">
        <v>10</v>
      </c>
      <c r="E15125" s="2" t="str">
        <f>HYPERLINK("http://ts.21cn.com/tousu/show/id/1346777","http://ts.21cn.com/tousu/show/id/1346777")</f>
        <v>http://ts.21cn.com/tousu/show/id/1346777</v>
      </c>
      <c r="F15125" s="2" t="s">
        <v>11</v>
      </c>
      <c r="G15125" s="2" t="s">
        <v>14424</v>
      </c>
      <c r="H15125" s="2" t="s">
        <v>14425</v>
      </c>
    </row>
    <row r="15126" spans="1:8" ht="25.05" customHeight="1" x14ac:dyDescent="0.25">
      <c r="A15126" s="2" t="s">
        <v>8</v>
      </c>
      <c r="B15126" s="2" t="str">
        <f>HYPERLINK("http://ts.21cn.com/tousu/show/id/1346776","要求退款")</f>
        <v>要求退款</v>
      </c>
      <c r="C15126" s="2" t="s">
        <v>9</v>
      </c>
      <c r="D15126" s="2" t="s">
        <v>10</v>
      </c>
      <c r="E15126" s="2" t="str">
        <f>HYPERLINK("http://ts.21cn.com/tousu/show/id/1346776","http://ts.21cn.com/tousu/show/id/1346776")</f>
        <v>http://ts.21cn.com/tousu/show/id/1346776</v>
      </c>
      <c r="F15126" s="2" t="s">
        <v>11</v>
      </c>
      <c r="G15126" s="2" t="s">
        <v>14422</v>
      </c>
      <c r="H15126" s="2" t="s">
        <v>14423</v>
      </c>
    </row>
    <row r="15127" spans="1:8" ht="25.05" customHeight="1" x14ac:dyDescent="0.25">
      <c r="A15127" s="2" t="s">
        <v>8</v>
      </c>
      <c r="B15127" s="2" t="str">
        <f>HYPERLINK("http://ts.21cn.com/tousu/show/id/1346778","返还高额砍头息正常还款l")</f>
        <v>返还高额砍头息正常还款l</v>
      </c>
      <c r="C15127" s="2" t="s">
        <v>9</v>
      </c>
      <c r="D15127" s="2" t="s">
        <v>10</v>
      </c>
      <c r="E15127" s="2" t="str">
        <f>HYPERLINK("http://ts.21cn.com/tousu/show/id/1346778","http://ts.21cn.com/tousu/show/id/1346778")</f>
        <v>http://ts.21cn.com/tousu/show/id/1346778</v>
      </c>
      <c r="F15127" s="2" t="s">
        <v>11</v>
      </c>
      <c r="G15127" s="2" t="s">
        <v>14420</v>
      </c>
      <c r="H15127" s="2" t="s">
        <v>14421</v>
      </c>
    </row>
    <row r="15128" spans="1:8" ht="25.05" customHeight="1" x14ac:dyDescent="0.25">
      <c r="A15128" s="2" t="s">
        <v>8</v>
      </c>
      <c r="B15128" s="2" t="str">
        <f>HYPERLINK("http://ts.21cn.com/tousu/show/id/1346779","VIP退款")</f>
        <v>VIP退款</v>
      </c>
      <c r="C15128" s="2" t="s">
        <v>34</v>
      </c>
      <c r="D15128" s="2" t="s">
        <v>10</v>
      </c>
      <c r="E15128" s="2" t="str">
        <f>HYPERLINK("http://ts.21cn.com/tousu/show/id/1346779","http://ts.21cn.com/tousu/show/id/1346779")</f>
        <v>http://ts.21cn.com/tousu/show/id/1346779</v>
      </c>
      <c r="F15128" s="2" t="s">
        <v>11</v>
      </c>
      <c r="G15128" s="2" t="s">
        <v>14418</v>
      </c>
      <c r="H15128" s="2" t="s">
        <v>14419</v>
      </c>
    </row>
    <row r="15129" spans="1:8" ht="25.05" customHeight="1" x14ac:dyDescent="0.25">
      <c r="A15129" s="2" t="s">
        <v>8</v>
      </c>
      <c r="B15129" s="2" t="str">
        <f>HYPERLINK("http://ts.21cn.com/tousu/show/id/1346780","华夏保险联合小黑鱼套路贷")</f>
        <v>华夏保险联合小黑鱼套路贷</v>
      </c>
      <c r="C15129" s="2" t="s">
        <v>9</v>
      </c>
      <c r="D15129" s="2" t="s">
        <v>10</v>
      </c>
      <c r="E15129" s="2" t="str">
        <f>HYPERLINK("http://ts.21cn.com/tousu/show/id/1346780","http://ts.21cn.com/tousu/show/id/1346780")</f>
        <v>http://ts.21cn.com/tousu/show/id/1346780</v>
      </c>
      <c r="F15129" s="2" t="s">
        <v>11</v>
      </c>
      <c r="G15129" s="2" t="s">
        <v>14416</v>
      </c>
      <c r="H15129" s="2" t="s">
        <v>14417</v>
      </c>
    </row>
    <row r="15130" spans="1:8" ht="25.05" customHeight="1" x14ac:dyDescent="0.25">
      <c r="A15130" s="2" t="s">
        <v>8</v>
      </c>
      <c r="B15130" s="2" t="str">
        <f>HYPERLINK("http://ts.21cn.com/tousu/show/id/1346781","现金巴士高额利息")</f>
        <v>现金巴士高额利息</v>
      </c>
      <c r="C15130" s="2" t="s">
        <v>9</v>
      </c>
      <c r="D15130" s="2" t="s">
        <v>10</v>
      </c>
      <c r="E15130" s="2" t="str">
        <f>HYPERLINK("http://ts.21cn.com/tousu/show/id/1346781","http://ts.21cn.com/tousu/show/id/1346781")</f>
        <v>http://ts.21cn.com/tousu/show/id/1346781</v>
      </c>
      <c r="F15130" s="2" t="s">
        <v>11</v>
      </c>
      <c r="G15130" s="2" t="s">
        <v>14414</v>
      </c>
      <c r="H15130" s="2" t="s">
        <v>14415</v>
      </c>
    </row>
    <row r="15131" spans="1:8" ht="25.05" customHeight="1" x14ac:dyDescent="0.25">
      <c r="A15131" s="2" t="s">
        <v>8</v>
      </c>
      <c r="B15131" s="2" t="str">
        <f>HYPERLINK("http://ts.21cn.com/tousu/show/id/1346782","中融律师服务所为高利贷催收")</f>
        <v>中融律师服务所为高利贷催收</v>
      </c>
      <c r="C15131" s="2" t="s">
        <v>9</v>
      </c>
      <c r="D15131" s="2" t="s">
        <v>10</v>
      </c>
      <c r="E15131" s="2" t="str">
        <f>HYPERLINK("http://ts.21cn.com/tousu/show/id/1346782","http://ts.21cn.com/tousu/show/id/1346782")</f>
        <v>http://ts.21cn.com/tousu/show/id/1346782</v>
      </c>
      <c r="F15131" s="2" t="s">
        <v>11</v>
      </c>
      <c r="G15131" s="2" t="s">
        <v>14412</v>
      </c>
      <c r="H15131" s="2" t="s">
        <v>14413</v>
      </c>
    </row>
    <row r="15132" spans="1:8" ht="25.05" customHeight="1" x14ac:dyDescent="0.25">
      <c r="A15132" s="2" t="s">
        <v>8</v>
      </c>
      <c r="B15132" s="2" t="str">
        <f>HYPERLINK("http://ts.21cn.com/tousu/show/id/1346749","恶意扣银行卡款")</f>
        <v>恶意扣银行卡款</v>
      </c>
      <c r="C15132" s="2" t="s">
        <v>9</v>
      </c>
      <c r="D15132" s="2" t="s">
        <v>10</v>
      </c>
      <c r="E15132" s="2" t="str">
        <f>HYPERLINK("http://ts.21cn.com/tousu/show/id/1346749","http://ts.21cn.com/tousu/show/id/1346749")</f>
        <v>http://ts.21cn.com/tousu/show/id/1346749</v>
      </c>
      <c r="F15132" s="2" t="s">
        <v>11</v>
      </c>
      <c r="G15132" s="2" t="s">
        <v>14410</v>
      </c>
      <c r="H15132" s="2" t="s">
        <v>14411</v>
      </c>
    </row>
    <row r="15133" spans="1:8" ht="25.05" customHeight="1" x14ac:dyDescent="0.25">
      <c r="A15133" s="2" t="s">
        <v>8</v>
      </c>
      <c r="B15133" s="2" t="str">
        <f>HYPERLINK("http://ts.21cn.com/tousu/show/id/1346783","随意扣款")</f>
        <v>随意扣款</v>
      </c>
      <c r="C15133" s="2" t="s">
        <v>9</v>
      </c>
      <c r="D15133" s="2" t="s">
        <v>10</v>
      </c>
      <c r="E15133" s="2" t="str">
        <f>HYPERLINK("http://ts.21cn.com/tousu/show/id/1346783","http://ts.21cn.com/tousu/show/id/1346783")</f>
        <v>http://ts.21cn.com/tousu/show/id/1346783</v>
      </c>
      <c r="F15133" s="2" t="s">
        <v>11</v>
      </c>
      <c r="G15133" s="2" t="s">
        <v>14408</v>
      </c>
      <c r="H15133" s="2" t="s">
        <v>14409</v>
      </c>
    </row>
    <row r="15134" spans="1:8" ht="25.05" customHeight="1" x14ac:dyDescent="0.25">
      <c r="A15134" s="2" t="s">
        <v>8</v>
      </c>
      <c r="B15134" s="2" t="str">
        <f>HYPERLINK("http://ts.21cn.com/tousu/show/id/1346785","杭州乐客公司虚假夸大宣传收去高额会员费")</f>
        <v>杭州乐客公司虚假夸大宣传收去高额会员费</v>
      </c>
      <c r="C15134" s="2" t="s">
        <v>9</v>
      </c>
      <c r="D15134" s="2" t="s">
        <v>10</v>
      </c>
      <c r="E15134" s="2" t="str">
        <f>HYPERLINK("http://ts.21cn.com/tousu/show/id/1346785","http://ts.21cn.com/tousu/show/id/1346785")</f>
        <v>http://ts.21cn.com/tousu/show/id/1346785</v>
      </c>
      <c r="F15134" s="2" t="s">
        <v>11</v>
      </c>
      <c r="G15134" s="2" t="s">
        <v>14406</v>
      </c>
      <c r="H15134" s="2" t="s">
        <v>14407</v>
      </c>
    </row>
    <row r="15135" spans="1:8" ht="25.05" customHeight="1" x14ac:dyDescent="0.25">
      <c r="A15135" s="2" t="s">
        <v>8</v>
      </c>
      <c r="B15135" s="2" t="str">
        <f>HYPERLINK("http://ts.21cn.com/tousu/show/id/1346786","高利贷，砍头息，还款不销账")</f>
        <v>高利贷，砍头息，还款不销账</v>
      </c>
      <c r="C15135" s="2" t="s">
        <v>9</v>
      </c>
      <c r="D15135" s="2" t="s">
        <v>10</v>
      </c>
      <c r="E15135" s="2" t="str">
        <f>HYPERLINK("http://ts.21cn.com/tousu/show/id/1346786","http://ts.21cn.com/tousu/show/id/1346786")</f>
        <v>http://ts.21cn.com/tousu/show/id/1346786</v>
      </c>
      <c r="F15135" s="2" t="s">
        <v>11</v>
      </c>
      <c r="G15135" s="2" t="s">
        <v>14404</v>
      </c>
      <c r="H15135" s="2" t="s">
        <v>14405</v>
      </c>
    </row>
    <row r="15136" spans="1:8" ht="25.05" customHeight="1" x14ac:dyDescent="0.25">
      <c r="A15136" s="2" t="s">
        <v>8</v>
      </c>
      <c r="B15136" s="2" t="str">
        <f>HYPERLINK("http://ts.21cn.com/tousu/show/id/1346787","同程百旅会退费")</f>
        <v>同程百旅会退费</v>
      </c>
      <c r="C15136" s="2" t="s">
        <v>34</v>
      </c>
      <c r="D15136" s="2" t="s">
        <v>10</v>
      </c>
      <c r="E15136" s="2" t="str">
        <f>HYPERLINK("http://ts.21cn.com/tousu/show/id/1346787","http://ts.21cn.com/tousu/show/id/1346787")</f>
        <v>http://ts.21cn.com/tousu/show/id/1346787</v>
      </c>
      <c r="F15136" s="2" t="s">
        <v>11</v>
      </c>
      <c r="G15136" s="2" t="s">
        <v>14402</v>
      </c>
      <c r="H15136" s="2" t="s">
        <v>14403</v>
      </c>
    </row>
    <row r="15137" spans="1:8" ht="25.05" customHeight="1" x14ac:dyDescent="0.25">
      <c r="A15137" s="2" t="s">
        <v>8</v>
      </c>
      <c r="B15137" s="2" t="str">
        <f>HYPERLINK("http://ts.21cn.com/tousu/show/id/1346788","去哪儿网购买机票出发地购买错误，未出票退票按钮不可操作，人工退票不成，待出票成功已无法退票。")</f>
        <v>去哪儿网购买机票出发地购买错误，未出票退票按钮不可操作，人工退票不成，待出票成功已无法退票。</v>
      </c>
      <c r="C15137" s="2" t="s">
        <v>9</v>
      </c>
      <c r="D15137" s="2" t="s">
        <v>10</v>
      </c>
      <c r="E15137" s="2" t="str">
        <f>HYPERLINK("http://ts.21cn.com/tousu/show/id/1346788","http://ts.21cn.com/tousu/show/id/1346788")</f>
        <v>http://ts.21cn.com/tousu/show/id/1346788</v>
      </c>
      <c r="F15137" s="2" t="s">
        <v>11</v>
      </c>
      <c r="G15137" s="2" t="s">
        <v>14400</v>
      </c>
      <c r="H15137" s="2" t="s">
        <v>14401</v>
      </c>
    </row>
    <row r="15138" spans="1:8" ht="25.05" customHeight="1" x14ac:dyDescent="0.25">
      <c r="A15138" s="2" t="s">
        <v>8</v>
      </c>
      <c r="B15138" s="2" t="str">
        <f>HYPERLINK("http://ts.21cn.com/tousu/show/id/1346599","虚假宣传，阴阳合同")</f>
        <v>虚假宣传，阴阳合同</v>
      </c>
      <c r="C15138" s="2" t="s">
        <v>9</v>
      </c>
      <c r="D15138" s="2" t="s">
        <v>10</v>
      </c>
      <c r="E15138" s="2" t="str">
        <f>HYPERLINK("http://ts.21cn.com/tousu/show/id/1346599","http://ts.21cn.com/tousu/show/id/1346599")</f>
        <v>http://ts.21cn.com/tousu/show/id/1346599</v>
      </c>
      <c r="F15138" s="2" t="s">
        <v>11</v>
      </c>
      <c r="G15138" s="2" t="s">
        <v>14398</v>
      </c>
      <c r="H15138" s="2" t="s">
        <v>14399</v>
      </c>
    </row>
    <row r="15139" spans="1:8" ht="25.05" customHeight="1" x14ac:dyDescent="0.25">
      <c r="A15139" s="2" t="s">
        <v>8</v>
      </c>
      <c r="B15139" s="2" t="str">
        <f>HYPERLINK("http://ts.21cn.com/tousu/show/id/1346789","闪电借钱平台借款1000，实际到账800")</f>
        <v>闪电借钱平台借款1000，实际到账800</v>
      </c>
      <c r="C15139" s="2" t="s">
        <v>9</v>
      </c>
      <c r="D15139" s="2" t="s">
        <v>10</v>
      </c>
      <c r="E15139" s="2" t="str">
        <f>HYPERLINK("http://ts.21cn.com/tousu/show/id/1346789","http://ts.21cn.com/tousu/show/id/1346789")</f>
        <v>http://ts.21cn.com/tousu/show/id/1346789</v>
      </c>
      <c r="F15139" s="2" t="s">
        <v>11</v>
      </c>
      <c r="G15139" s="2" t="s">
        <v>14396</v>
      </c>
      <c r="H15139" s="2" t="s">
        <v>14397</v>
      </c>
    </row>
    <row r="15140" spans="1:8" ht="25.05" customHeight="1" x14ac:dyDescent="0.25">
      <c r="A15140" s="2" t="s">
        <v>8</v>
      </c>
      <c r="B15140" s="2" t="str">
        <f>HYPERLINK("http://ts.21cn.com/tousu/show/id/1346790","同程提钱游软暴力催收")</f>
        <v>同程提钱游软暴力催收</v>
      </c>
      <c r="C15140" s="2" t="s">
        <v>9</v>
      </c>
      <c r="D15140" s="2" t="s">
        <v>10</v>
      </c>
      <c r="E15140" s="2" t="str">
        <f>HYPERLINK("http://ts.21cn.com/tousu/show/id/1346790","http://ts.21cn.com/tousu/show/id/1346790")</f>
        <v>http://ts.21cn.com/tousu/show/id/1346790</v>
      </c>
      <c r="F15140" s="2" t="s">
        <v>11</v>
      </c>
      <c r="G15140" s="2" t="s">
        <v>14394</v>
      </c>
      <c r="H15140" s="2" t="s">
        <v>14395</v>
      </c>
    </row>
    <row r="15141" spans="1:8" ht="25.05" customHeight="1" x14ac:dyDescent="0.25">
      <c r="A15141" s="2" t="s">
        <v>8</v>
      </c>
      <c r="B15141" s="2" t="str">
        <f>HYPERLINK("http://ts.21cn.com/tousu/show/id/1346791","平安惠普最低还款不合理")</f>
        <v>平安惠普最低还款不合理</v>
      </c>
      <c r="C15141" s="2" t="s">
        <v>9</v>
      </c>
      <c r="D15141" s="2" t="s">
        <v>10</v>
      </c>
      <c r="E15141" s="2" t="str">
        <f>HYPERLINK("http://ts.21cn.com/tousu/show/id/1346791","http://ts.21cn.com/tousu/show/id/1346791")</f>
        <v>http://ts.21cn.com/tousu/show/id/1346791</v>
      </c>
      <c r="F15141" s="2" t="s">
        <v>11</v>
      </c>
      <c r="G15141" s="2" t="s">
        <v>14392</v>
      </c>
      <c r="H15141" s="2" t="s">
        <v>14393</v>
      </c>
    </row>
    <row r="15142" spans="1:8" ht="25.05" customHeight="1" x14ac:dyDescent="0.25">
      <c r="A15142" s="2" t="s">
        <v>8</v>
      </c>
      <c r="B15142" s="2" t="str">
        <f>HYPERLINK("http://ts.21cn.com/tousu/show/id/1346792","玖富集团不作为")</f>
        <v>玖富集团不作为</v>
      </c>
      <c r="C15142" s="2" t="s">
        <v>9</v>
      </c>
      <c r="D15142" s="2" t="s">
        <v>10</v>
      </c>
      <c r="E15142" s="2" t="str">
        <f>HYPERLINK("http://ts.21cn.com/tousu/show/id/1346792","http://ts.21cn.com/tousu/show/id/1346792")</f>
        <v>http://ts.21cn.com/tousu/show/id/1346792</v>
      </c>
      <c r="F15142" s="2" t="s">
        <v>11</v>
      </c>
      <c r="G15142" s="2" t="s">
        <v>14390</v>
      </c>
      <c r="H15142" s="2" t="s">
        <v>14391</v>
      </c>
    </row>
    <row r="15143" spans="1:8" ht="25.05" customHeight="1" x14ac:dyDescent="0.25">
      <c r="A15143" s="2" t="s">
        <v>8</v>
      </c>
      <c r="B15143" s="2" t="str">
        <f>HYPERLINK("http://ts.21cn.com/tousu/show/id/1346793","乐意花年利率超过36%")</f>
        <v>乐意花年利率超过36%</v>
      </c>
      <c r="C15143" s="2" t="s">
        <v>9</v>
      </c>
      <c r="D15143" s="2" t="s">
        <v>10</v>
      </c>
      <c r="E15143" s="2" t="str">
        <f>HYPERLINK("http://ts.21cn.com/tousu/show/id/1346793","http://ts.21cn.com/tousu/show/id/1346793")</f>
        <v>http://ts.21cn.com/tousu/show/id/1346793</v>
      </c>
      <c r="F15143" s="2" t="s">
        <v>11</v>
      </c>
      <c r="G15143" s="2" t="s">
        <v>14388</v>
      </c>
      <c r="H15143" s="2" t="s">
        <v>14389</v>
      </c>
    </row>
    <row r="15144" spans="1:8" ht="25.05" customHeight="1" x14ac:dyDescent="0.25">
      <c r="A15144" s="2" t="s">
        <v>8</v>
      </c>
      <c r="B15144" s="2" t="str">
        <f>HYPERLINK("http://ts.21cn.com/tousu/show/id/1346794","关于美约app乱扣费问题，免费试用后，自动续费会员一年298元")</f>
        <v>关于美约app乱扣费问题，免费试用后，自动续费会员一年298元</v>
      </c>
      <c r="C15144" s="2" t="s">
        <v>34</v>
      </c>
      <c r="D15144" s="2" t="s">
        <v>10</v>
      </c>
      <c r="E15144" s="2" t="str">
        <f>HYPERLINK("http://ts.21cn.com/tousu/show/id/1346794","http://ts.21cn.com/tousu/show/id/1346794")</f>
        <v>http://ts.21cn.com/tousu/show/id/1346794</v>
      </c>
      <c r="F15144" s="2" t="s">
        <v>11</v>
      </c>
      <c r="G15144" s="2" t="s">
        <v>14386</v>
      </c>
      <c r="H15144" s="2" t="s">
        <v>14387</v>
      </c>
    </row>
    <row r="15145" spans="1:8" ht="25.05" customHeight="1" x14ac:dyDescent="0.25">
      <c r="A15145" s="2" t="s">
        <v>8</v>
      </c>
      <c r="B15145" s="2" t="str">
        <f>HYPERLINK("http://ts.21cn.com/tousu/show/id/1346795","私自扣费")</f>
        <v>私自扣费</v>
      </c>
      <c r="C15145" s="2" t="s">
        <v>9</v>
      </c>
      <c r="D15145" s="2" t="s">
        <v>10</v>
      </c>
      <c r="E15145" s="2" t="str">
        <f>HYPERLINK("http://ts.21cn.com/tousu/show/id/1346795","http://ts.21cn.com/tousu/show/id/1346795")</f>
        <v>http://ts.21cn.com/tousu/show/id/1346795</v>
      </c>
      <c r="F15145" s="2" t="s">
        <v>11</v>
      </c>
      <c r="G15145" s="2" t="s">
        <v>14384</v>
      </c>
      <c r="H15145" s="2" t="s">
        <v>14385</v>
      </c>
    </row>
    <row r="15146" spans="1:8" ht="25.05" customHeight="1" x14ac:dyDescent="0.25">
      <c r="A15146" s="2" t="s">
        <v>8</v>
      </c>
      <c r="B15146" s="2" t="str">
        <f>HYPERLINK("http://ts.21cn.com/tousu/show/id/1346796","柠檬金服联合和平车行、国银盛达非法上征信")</f>
        <v>柠檬金服联合和平车行、国银盛达非法上征信</v>
      </c>
      <c r="C15146" s="2" t="s">
        <v>9</v>
      </c>
      <c r="D15146" s="2" t="s">
        <v>10</v>
      </c>
      <c r="E15146" s="2" t="str">
        <f>HYPERLINK("http://ts.21cn.com/tousu/show/id/1346796","http://ts.21cn.com/tousu/show/id/1346796")</f>
        <v>http://ts.21cn.com/tousu/show/id/1346796</v>
      </c>
      <c r="F15146" s="2" t="s">
        <v>11</v>
      </c>
      <c r="G15146" s="2" t="s">
        <v>14382</v>
      </c>
      <c r="H15146" s="2" t="s">
        <v>14383</v>
      </c>
    </row>
    <row r="15147" spans="1:8" ht="25.05" customHeight="1" x14ac:dyDescent="0.25">
      <c r="A15147" s="2" t="s">
        <v>8</v>
      </c>
      <c r="B15147" s="2" t="str">
        <f>HYPERLINK("http://ts.21cn.com/tousu/show/id/1346797","蜜瓜钱包app自身原因还不了款")</f>
        <v>蜜瓜钱包app自身原因还不了款</v>
      </c>
      <c r="C15147" s="2" t="s">
        <v>9</v>
      </c>
      <c r="D15147" s="2" t="s">
        <v>10</v>
      </c>
      <c r="E15147" s="2" t="str">
        <f>HYPERLINK("http://ts.21cn.com/tousu/show/id/1346797","http://ts.21cn.com/tousu/show/id/1346797")</f>
        <v>http://ts.21cn.com/tousu/show/id/1346797</v>
      </c>
      <c r="F15147" s="2" t="s">
        <v>11</v>
      </c>
      <c r="G15147" s="2" t="s">
        <v>14380</v>
      </c>
      <c r="H15147" s="2" t="s">
        <v>14381</v>
      </c>
    </row>
    <row r="15148" spans="1:8" ht="25.05" customHeight="1" x14ac:dyDescent="0.25">
      <c r="A15148" s="2" t="s">
        <v>8</v>
      </c>
      <c r="B15148" s="2" t="str">
        <f>HYPERLINK("http://ts.21cn.com/tousu/show/id/1346798","立借套路贷高利贷催收")</f>
        <v>立借套路贷高利贷催收</v>
      </c>
      <c r="C15148" s="2" t="s">
        <v>9</v>
      </c>
      <c r="D15148" s="2" t="s">
        <v>10</v>
      </c>
      <c r="E15148" s="2" t="str">
        <f>HYPERLINK("http://ts.21cn.com/tousu/show/id/1346798","http://ts.21cn.com/tousu/show/id/1346798")</f>
        <v>http://ts.21cn.com/tousu/show/id/1346798</v>
      </c>
      <c r="F15148" s="2" t="s">
        <v>11</v>
      </c>
      <c r="G15148" s="2" t="s">
        <v>14378</v>
      </c>
      <c r="H15148" s="2" t="s">
        <v>14379</v>
      </c>
    </row>
    <row r="15149" spans="1:8" ht="25.05" customHeight="1" x14ac:dyDescent="0.25">
      <c r="A15149" s="2" t="s">
        <v>8</v>
      </c>
      <c r="B15149" s="2" t="str">
        <f>HYPERLINK("http://ts.21cn.com/tousu/show/id/1346803","学费已经缴纳，课程什么都没有，老师也联系不上了")</f>
        <v>学费已经缴纳，课程什么都没有，老师也联系不上了</v>
      </c>
      <c r="C15149" s="2" t="s">
        <v>34</v>
      </c>
      <c r="D15149" s="2" t="s">
        <v>10</v>
      </c>
      <c r="E15149" s="2" t="str">
        <f>HYPERLINK("http://ts.21cn.com/tousu/show/id/1346803","http://ts.21cn.com/tousu/show/id/1346803")</f>
        <v>http://ts.21cn.com/tousu/show/id/1346803</v>
      </c>
      <c r="F15149" s="2" t="s">
        <v>11</v>
      </c>
      <c r="G15149" s="2" t="s">
        <v>14376</v>
      </c>
      <c r="H15149" s="2" t="s">
        <v>14377</v>
      </c>
    </row>
    <row r="15150" spans="1:8" ht="25.05" customHeight="1" x14ac:dyDescent="0.25">
      <c r="A15150" s="2" t="s">
        <v>8</v>
      </c>
      <c r="B15150" s="2" t="str">
        <f>HYPERLINK("http://ts.21cn.com/tousu/show/id/1346801","你我贷暴力催收不给协商")</f>
        <v>你我贷暴力催收不给协商</v>
      </c>
      <c r="C15150" s="2" t="s">
        <v>9</v>
      </c>
      <c r="D15150" s="2" t="s">
        <v>10</v>
      </c>
      <c r="E15150" s="2" t="str">
        <f>HYPERLINK("http://ts.21cn.com/tousu/show/id/1346801","http://ts.21cn.com/tousu/show/id/1346801")</f>
        <v>http://ts.21cn.com/tousu/show/id/1346801</v>
      </c>
      <c r="F15150" s="2" t="s">
        <v>11</v>
      </c>
      <c r="G15150" s="2" t="s">
        <v>14374</v>
      </c>
      <c r="H15150" s="2" t="s">
        <v>14375</v>
      </c>
    </row>
    <row r="15151" spans="1:8" ht="25.05" customHeight="1" x14ac:dyDescent="0.25">
      <c r="A15151" s="2" t="s">
        <v>8</v>
      </c>
      <c r="B15151" s="2" t="str">
        <f>HYPERLINK("http://ts.21cn.com/tousu/show/id/1346802","慧金宝第三方支付平台为赌博网站提供充值通道，还我血汗钱")</f>
        <v>慧金宝第三方支付平台为赌博网站提供充值通道，还我血汗钱</v>
      </c>
      <c r="C15151" s="2" t="s">
        <v>9</v>
      </c>
      <c r="D15151" s="2" t="s">
        <v>10</v>
      </c>
      <c r="E15151" s="2" t="str">
        <f>HYPERLINK("http://ts.21cn.com/tousu/show/id/1346802","http://ts.21cn.com/tousu/show/id/1346802")</f>
        <v>http://ts.21cn.com/tousu/show/id/1346802</v>
      </c>
      <c r="F15151" s="2" t="s">
        <v>11</v>
      </c>
      <c r="G15151" s="2" t="s">
        <v>14372</v>
      </c>
      <c r="H15151" s="2" t="s">
        <v>14373</v>
      </c>
    </row>
    <row r="15152" spans="1:8" ht="25.05" customHeight="1" x14ac:dyDescent="0.25">
      <c r="A15152" s="2" t="s">
        <v>8</v>
      </c>
      <c r="B15152" s="2" t="str">
        <f>HYPERLINK("http://ts.21cn.com/tousu/show/id/1346804","高额利息！暴力催收")</f>
        <v>高额利息！暴力催收</v>
      </c>
      <c r="C15152" s="2" t="s">
        <v>9</v>
      </c>
      <c r="D15152" s="2" t="s">
        <v>10</v>
      </c>
      <c r="E15152" s="2" t="str">
        <f>HYPERLINK("http://ts.21cn.com/tousu/show/id/1346804","http://ts.21cn.com/tousu/show/id/1346804")</f>
        <v>http://ts.21cn.com/tousu/show/id/1346804</v>
      </c>
      <c r="F15152" s="2" t="s">
        <v>11</v>
      </c>
      <c r="G15152" s="2" t="s">
        <v>14370</v>
      </c>
      <c r="H15152" s="2" t="s">
        <v>14371</v>
      </c>
    </row>
    <row r="15153" spans="1:8" ht="25.05" customHeight="1" x14ac:dyDescent="0.25">
      <c r="A15153" s="2" t="s">
        <v>8</v>
      </c>
      <c r="B15153" s="2" t="str">
        <f>HYPERLINK("http://ts.21cn.com/tousu/show/id/1346709","暴力催收威胁恐吓下载本人照片做头像发布不正当言辞")</f>
        <v>暴力催收威胁恐吓下载本人照片做头像发布不正当言辞</v>
      </c>
      <c r="C15153" s="2" t="s">
        <v>9</v>
      </c>
      <c r="D15153" s="2" t="s">
        <v>10</v>
      </c>
      <c r="E15153" s="2" t="str">
        <f>HYPERLINK("http://ts.21cn.com/tousu/show/id/1346709","http://ts.21cn.com/tousu/show/id/1346709")</f>
        <v>http://ts.21cn.com/tousu/show/id/1346709</v>
      </c>
      <c r="F15153" s="2" t="s">
        <v>11</v>
      </c>
      <c r="G15153" s="2" t="s">
        <v>14368</v>
      </c>
      <c r="H15153" s="2" t="s">
        <v>14369</v>
      </c>
    </row>
    <row r="15154" spans="1:8" ht="25.05" customHeight="1" x14ac:dyDescent="0.25">
      <c r="A15154" s="2" t="s">
        <v>8</v>
      </c>
      <c r="B15154" s="2" t="str">
        <f>HYPERLINK("http://ts.21cn.com/tousu/show/id/1346805","京东白条")</f>
        <v>京东白条</v>
      </c>
      <c r="C15154" s="2" t="s">
        <v>9</v>
      </c>
      <c r="D15154" s="2" t="s">
        <v>10</v>
      </c>
      <c r="E15154" s="2" t="str">
        <f>HYPERLINK("http://ts.21cn.com/tousu/show/id/1346805","http://ts.21cn.com/tousu/show/id/1346805")</f>
        <v>http://ts.21cn.com/tousu/show/id/1346805</v>
      </c>
      <c r="F15154" s="2" t="s">
        <v>11</v>
      </c>
      <c r="G15154" s="2" t="s">
        <v>14366</v>
      </c>
      <c r="H15154" s="2" t="s">
        <v>14367</v>
      </c>
    </row>
    <row r="15155" spans="1:8" ht="25.05" customHeight="1" x14ac:dyDescent="0.25">
      <c r="A15155" s="2" t="s">
        <v>8</v>
      </c>
      <c r="B15155" s="2" t="str">
        <f>HYPERLINK("http://ts.21cn.com/tousu/show/id/1346807","大众彩票诱导欺诈")</f>
        <v>大众彩票诱导欺诈</v>
      </c>
      <c r="C15155" s="2" t="s">
        <v>9</v>
      </c>
      <c r="D15155" s="2" t="s">
        <v>10</v>
      </c>
      <c r="E15155" s="2" t="str">
        <f>HYPERLINK("http://ts.21cn.com/tousu/show/id/1346807","http://ts.21cn.com/tousu/show/id/1346807")</f>
        <v>http://ts.21cn.com/tousu/show/id/1346807</v>
      </c>
      <c r="F15155" s="2" t="s">
        <v>11</v>
      </c>
      <c r="G15155" s="2" t="s">
        <v>14364</v>
      </c>
      <c r="H15155" s="2" t="s">
        <v>14365</v>
      </c>
    </row>
    <row r="15156" spans="1:8" ht="25.05" customHeight="1" x14ac:dyDescent="0.25">
      <c r="A15156" s="2" t="s">
        <v>8</v>
      </c>
      <c r="B15156" s="2" t="str">
        <f>HYPERLINK("http://ts.21cn.com/tousu/show/id/1346814","骑呗不给退款一直推脱")</f>
        <v>骑呗不给退款一直推脱</v>
      </c>
      <c r="C15156" s="2" t="s">
        <v>9</v>
      </c>
      <c r="D15156" s="2" t="s">
        <v>10</v>
      </c>
      <c r="E15156" s="2" t="str">
        <f>HYPERLINK("http://ts.21cn.com/tousu/show/id/1346814","http://ts.21cn.com/tousu/show/id/1346814")</f>
        <v>http://ts.21cn.com/tousu/show/id/1346814</v>
      </c>
      <c r="F15156" s="2" t="s">
        <v>11</v>
      </c>
      <c r="G15156" s="2" t="s">
        <v>14362</v>
      </c>
      <c r="H15156" s="2" t="s">
        <v>14363</v>
      </c>
    </row>
    <row r="15157" spans="1:8" ht="25.05" customHeight="1" x14ac:dyDescent="0.25">
      <c r="A15157" s="2" t="s">
        <v>8</v>
      </c>
      <c r="B15157" s="2" t="str">
        <f>HYPERLINK("http://ts.21cn.com/tousu/show/id/1346809","及货平台智享货故意让客户准时还了款，想多收逾期费")</f>
        <v>及货平台智享货故意让客户准时还了款，想多收逾期费</v>
      </c>
      <c r="C15157" s="2" t="s">
        <v>9</v>
      </c>
      <c r="D15157" s="2" t="s">
        <v>10</v>
      </c>
      <c r="E15157" s="2" t="str">
        <f>HYPERLINK("http://ts.21cn.com/tousu/show/id/1346809","http://ts.21cn.com/tousu/show/id/1346809")</f>
        <v>http://ts.21cn.com/tousu/show/id/1346809</v>
      </c>
      <c r="F15157" s="2" t="s">
        <v>11</v>
      </c>
      <c r="G15157" s="2" t="s">
        <v>14360</v>
      </c>
      <c r="H15157" s="2" t="s">
        <v>14361</v>
      </c>
    </row>
    <row r="15158" spans="1:8" ht="25.05" customHeight="1" x14ac:dyDescent="0.25">
      <c r="A15158" s="2" t="s">
        <v>8</v>
      </c>
      <c r="B15158" s="2" t="str">
        <f>HYPERLINK("http://ts.21cn.com/tousu/show/id/1346811","我在京小租租了一个手机一直不发货")</f>
        <v>我在京小租租了一个手机一直不发货</v>
      </c>
      <c r="C15158" s="2" t="s">
        <v>9</v>
      </c>
      <c r="D15158" s="2" t="s">
        <v>10</v>
      </c>
      <c r="E15158" s="2" t="str">
        <f>HYPERLINK("http://ts.21cn.com/tousu/show/id/1346811","http://ts.21cn.com/tousu/show/id/1346811")</f>
        <v>http://ts.21cn.com/tousu/show/id/1346811</v>
      </c>
      <c r="F15158" s="2" t="s">
        <v>11</v>
      </c>
      <c r="G15158" s="2" t="s">
        <v>14358</v>
      </c>
      <c r="H15158" s="2" t="s">
        <v>14359</v>
      </c>
    </row>
    <row r="15159" spans="1:8" ht="25.05" customHeight="1" x14ac:dyDescent="0.25">
      <c r="A15159" s="2" t="s">
        <v>8</v>
      </c>
      <c r="B15159" s="2" t="str">
        <f>HYPERLINK("http://ts.21cn.com/tousu/show/id/1346812","华夏普惠高利贷暴力威胁催收")</f>
        <v>华夏普惠高利贷暴力威胁催收</v>
      </c>
      <c r="C15159" s="2" t="s">
        <v>9</v>
      </c>
      <c r="D15159" s="2" t="s">
        <v>10</v>
      </c>
      <c r="E15159" s="2" t="str">
        <f>HYPERLINK("http://ts.21cn.com/tousu/show/id/1346812","http://ts.21cn.com/tousu/show/id/1346812")</f>
        <v>http://ts.21cn.com/tousu/show/id/1346812</v>
      </c>
      <c r="F15159" s="2" t="s">
        <v>11</v>
      </c>
      <c r="G15159" s="2" t="s">
        <v>14356</v>
      </c>
      <c r="H15159" s="2" t="s">
        <v>14357</v>
      </c>
    </row>
    <row r="15160" spans="1:8" ht="25.05" customHeight="1" x14ac:dyDescent="0.25">
      <c r="A15160" s="2" t="s">
        <v>8</v>
      </c>
      <c r="B15160" s="2" t="str">
        <f>HYPERLINK("http://ts.21cn.com/tousu/show/id/1346810","招商银行活动宣传与实际不符，投诉后不处理问题")</f>
        <v>招商银行活动宣传与实际不符，投诉后不处理问题</v>
      </c>
      <c r="C15160" s="2" t="s">
        <v>9</v>
      </c>
      <c r="D15160" s="2" t="s">
        <v>10</v>
      </c>
      <c r="E15160" s="2" t="str">
        <f>HYPERLINK("http://ts.21cn.com/tousu/show/id/1346810","http://ts.21cn.com/tousu/show/id/1346810")</f>
        <v>http://ts.21cn.com/tousu/show/id/1346810</v>
      </c>
      <c r="F15160" s="2" t="s">
        <v>11</v>
      </c>
      <c r="G15160" s="2" t="s">
        <v>14354</v>
      </c>
      <c r="H15160" s="2" t="s">
        <v>14355</v>
      </c>
    </row>
    <row r="15161" spans="1:8" ht="25.05" customHeight="1" x14ac:dyDescent="0.25">
      <c r="A15161" s="2" t="s">
        <v>8</v>
      </c>
      <c r="B15161" s="2" t="str">
        <f>HYPERLINK("http://ts.21cn.com/tousu/show/id/1346813","及贷违规收取超高利息以及违规催收威胁")</f>
        <v>及贷违规收取超高利息以及违规催收威胁</v>
      </c>
      <c r="C15161" s="2" t="s">
        <v>9</v>
      </c>
      <c r="D15161" s="2" t="s">
        <v>10</v>
      </c>
      <c r="E15161" s="2" t="str">
        <f>HYPERLINK("http://ts.21cn.com/tousu/show/id/1346813","http://ts.21cn.com/tousu/show/id/1346813")</f>
        <v>http://ts.21cn.com/tousu/show/id/1346813</v>
      </c>
      <c r="F15161" s="2" t="s">
        <v>11</v>
      </c>
      <c r="G15161" s="2" t="s">
        <v>14352</v>
      </c>
      <c r="H15161" s="2" t="s">
        <v>14353</v>
      </c>
    </row>
    <row r="15162" spans="1:8" ht="25.05" customHeight="1" x14ac:dyDescent="0.25">
      <c r="A15162" s="2" t="s">
        <v>8</v>
      </c>
      <c r="B15162" s="2" t="str">
        <f>HYPERLINK("http://ts.21cn.com/tousu/show/id/1346784","高利贷")</f>
        <v>高利贷</v>
      </c>
      <c r="C15162" s="2" t="s">
        <v>9</v>
      </c>
      <c r="D15162" s="2" t="s">
        <v>10</v>
      </c>
      <c r="E15162" s="2" t="str">
        <f>HYPERLINK("http://ts.21cn.com/tousu/show/id/1346784","http://ts.21cn.com/tousu/show/id/1346784")</f>
        <v>http://ts.21cn.com/tousu/show/id/1346784</v>
      </c>
      <c r="F15162" s="2" t="s">
        <v>11</v>
      </c>
      <c r="G15162" s="2" t="s">
        <v>14350</v>
      </c>
      <c r="H15162" s="2" t="s">
        <v>14351</v>
      </c>
    </row>
    <row r="15163" spans="1:8" ht="25.05" customHeight="1" x14ac:dyDescent="0.25">
      <c r="A15163" s="2" t="s">
        <v>8</v>
      </c>
      <c r="B15163" s="2" t="str">
        <f>HYPERLINK("http://ts.21cn.com/tousu/show/id/1346818","旺卡猫恶意扣款")</f>
        <v>旺卡猫恶意扣款</v>
      </c>
      <c r="C15163" s="2" t="s">
        <v>9</v>
      </c>
      <c r="D15163" s="2" t="s">
        <v>10</v>
      </c>
      <c r="E15163" s="2" t="str">
        <f>HYPERLINK("http://ts.21cn.com/tousu/show/id/1346818","http://ts.21cn.com/tousu/show/id/1346818")</f>
        <v>http://ts.21cn.com/tousu/show/id/1346818</v>
      </c>
      <c r="F15163" s="2" t="s">
        <v>11</v>
      </c>
      <c r="G15163" s="2" t="s">
        <v>14348</v>
      </c>
      <c r="H15163" s="2" t="s">
        <v>14349</v>
      </c>
    </row>
    <row r="15164" spans="1:8" ht="25.05" customHeight="1" x14ac:dyDescent="0.25">
      <c r="A15164" s="2" t="s">
        <v>8</v>
      </c>
      <c r="B15164" s="2" t="str">
        <f>HYPERLINK("http://ts.21cn.com/tousu/show/id/1346816","小象优品恶意催收诽谤他人名声")</f>
        <v>小象优品恶意催收诽谤他人名声</v>
      </c>
      <c r="C15164" s="2" t="s">
        <v>9</v>
      </c>
      <c r="D15164" s="2" t="s">
        <v>10</v>
      </c>
      <c r="E15164" s="2" t="str">
        <f>HYPERLINK("http://ts.21cn.com/tousu/show/id/1346816","http://ts.21cn.com/tousu/show/id/1346816")</f>
        <v>http://ts.21cn.com/tousu/show/id/1346816</v>
      </c>
      <c r="F15164" s="2" t="s">
        <v>11</v>
      </c>
      <c r="G15164" s="2" t="s">
        <v>14346</v>
      </c>
      <c r="H15164" s="2" t="s">
        <v>14347</v>
      </c>
    </row>
    <row r="15165" spans="1:8" ht="25.05" customHeight="1" x14ac:dyDescent="0.25">
      <c r="A15165" s="2" t="s">
        <v>8</v>
      </c>
      <c r="B15165" s="2" t="str">
        <f>HYPERLINK("http://ts.21cn.com/tousu/show/id/1346819","立借贷款高利贷")</f>
        <v>立借贷款高利贷</v>
      </c>
      <c r="C15165" s="2" t="s">
        <v>9</v>
      </c>
      <c r="D15165" s="2" t="s">
        <v>10</v>
      </c>
      <c r="E15165" s="2" t="str">
        <f>HYPERLINK("http://ts.21cn.com/tousu/show/id/1346819","http://ts.21cn.com/tousu/show/id/1346819")</f>
        <v>http://ts.21cn.com/tousu/show/id/1346819</v>
      </c>
      <c r="F15165" s="2" t="s">
        <v>11</v>
      </c>
      <c r="G15165" s="2" t="s">
        <v>14344</v>
      </c>
      <c r="H15165" s="2" t="s">
        <v>14345</v>
      </c>
    </row>
    <row r="15166" spans="1:8" ht="25.05" customHeight="1" x14ac:dyDescent="0.25">
      <c r="A15166" s="2" t="s">
        <v>8</v>
      </c>
      <c r="B15166" s="2" t="str">
        <f>HYPERLINK("http://ts.21cn.com/tousu/show/id/1346806","我被百合网线下1对1服务黑社会了，希望大家不要相信百合网")</f>
        <v>我被百合网线下1对1服务黑社会了，希望大家不要相信百合网</v>
      </c>
      <c r="C15166" s="2" t="s">
        <v>9</v>
      </c>
      <c r="D15166" s="2" t="s">
        <v>10</v>
      </c>
      <c r="E15166" s="2" t="str">
        <f>HYPERLINK("http://ts.21cn.com/tousu/show/id/1346806","http://ts.21cn.com/tousu/show/id/1346806")</f>
        <v>http://ts.21cn.com/tousu/show/id/1346806</v>
      </c>
      <c r="F15166" s="2" t="s">
        <v>11</v>
      </c>
      <c r="G15166" s="2" t="s">
        <v>14342</v>
      </c>
      <c r="H15166" s="2" t="s">
        <v>14343</v>
      </c>
    </row>
    <row r="15167" spans="1:8" ht="25.05" customHeight="1" x14ac:dyDescent="0.25">
      <c r="A15167" s="2" t="s">
        <v>8</v>
      </c>
      <c r="B15167" s="2" t="str">
        <f>HYPERLINK("http://ts.21cn.com/tousu/show/id/1346821","拼多多平台乱扣费，还没有支付凭证")</f>
        <v>拼多多平台乱扣费，还没有支付凭证</v>
      </c>
      <c r="C15167" s="2" t="s">
        <v>9</v>
      </c>
      <c r="D15167" s="2" t="s">
        <v>10</v>
      </c>
      <c r="E15167" s="2" t="str">
        <f>HYPERLINK("http://ts.21cn.com/tousu/show/id/1346821","http://ts.21cn.com/tousu/show/id/1346821")</f>
        <v>http://ts.21cn.com/tousu/show/id/1346821</v>
      </c>
      <c r="F15167" s="2" t="s">
        <v>11</v>
      </c>
      <c r="G15167" s="2" t="s">
        <v>14340</v>
      </c>
      <c r="H15167" s="2" t="s">
        <v>14341</v>
      </c>
    </row>
    <row r="15168" spans="1:8" ht="25.05" customHeight="1" x14ac:dyDescent="0.25">
      <c r="A15168" s="2" t="s">
        <v>8</v>
      </c>
      <c r="B15168" s="2" t="str">
        <f>HYPERLINK("http://ts.21cn.com/tousu/show/id/1346418","蓝莓金服高利贷，不肯协商")</f>
        <v>蓝莓金服高利贷，不肯协商</v>
      </c>
      <c r="C15168" s="2" t="s">
        <v>9</v>
      </c>
      <c r="D15168" s="2" t="s">
        <v>10</v>
      </c>
      <c r="E15168" s="2" t="str">
        <f>HYPERLINK("http://ts.21cn.com/tousu/show/id/1346418","http://ts.21cn.com/tousu/show/id/1346418")</f>
        <v>http://ts.21cn.com/tousu/show/id/1346418</v>
      </c>
      <c r="F15168" s="2" t="s">
        <v>11</v>
      </c>
      <c r="G15168" s="2" t="s">
        <v>14338</v>
      </c>
      <c r="H15168" s="2" t="s">
        <v>14339</v>
      </c>
    </row>
    <row r="15169" spans="1:8" ht="25.05" customHeight="1" x14ac:dyDescent="0.25">
      <c r="A15169" s="2" t="s">
        <v>8</v>
      </c>
      <c r="B15169" s="2" t="str">
        <f>HYPERLINK("http://ts.21cn.com/tousu/show/id/1346820","恐吓亲人朋友代替还钱")</f>
        <v>恐吓亲人朋友代替还钱</v>
      </c>
      <c r="C15169" s="2" t="s">
        <v>9</v>
      </c>
      <c r="D15169" s="2" t="s">
        <v>10</v>
      </c>
      <c r="E15169" s="2" t="str">
        <f>HYPERLINK("http://ts.21cn.com/tousu/show/id/1346820","http://ts.21cn.com/tousu/show/id/1346820")</f>
        <v>http://ts.21cn.com/tousu/show/id/1346820</v>
      </c>
      <c r="F15169" s="2" t="s">
        <v>11</v>
      </c>
      <c r="G15169" s="2" t="s">
        <v>14336</v>
      </c>
      <c r="H15169" s="2" t="s">
        <v>14337</v>
      </c>
    </row>
    <row r="15170" spans="1:8" ht="25.05" customHeight="1" x14ac:dyDescent="0.25">
      <c r="A15170" s="2" t="s">
        <v>8</v>
      </c>
      <c r="B15170" s="2" t="str">
        <f>HYPERLINK("http://ts.21cn.com/tousu/show/id/1346808","贷上钱高利贷暴力催收谁来监管")</f>
        <v>贷上钱高利贷暴力催收谁来监管</v>
      </c>
      <c r="C15170" s="2" t="s">
        <v>9</v>
      </c>
      <c r="D15170" s="2" t="s">
        <v>10</v>
      </c>
      <c r="E15170" s="2" t="str">
        <f>HYPERLINK("http://ts.21cn.com/tousu/show/id/1346808","http://ts.21cn.com/tousu/show/id/1346808")</f>
        <v>http://ts.21cn.com/tousu/show/id/1346808</v>
      </c>
      <c r="F15170" s="2" t="s">
        <v>11</v>
      </c>
      <c r="G15170" s="2" t="s">
        <v>14334</v>
      </c>
      <c r="H15170" s="2" t="s">
        <v>14335</v>
      </c>
    </row>
    <row r="15171" spans="1:8" ht="25.05" customHeight="1" x14ac:dyDescent="0.25">
      <c r="A15171" s="2" t="s">
        <v>8</v>
      </c>
      <c r="B15171" s="2" t="str">
        <f>HYPERLINK("http://ts.21cn.com/tousu/show/id/1346824","骚扰")</f>
        <v>骚扰</v>
      </c>
      <c r="C15171" s="2" t="s">
        <v>9</v>
      </c>
      <c r="D15171" s="2" t="s">
        <v>10</v>
      </c>
      <c r="E15171" s="2" t="str">
        <f>HYPERLINK("http://ts.21cn.com/tousu/show/id/1346824","http://ts.21cn.com/tousu/show/id/1346824")</f>
        <v>http://ts.21cn.com/tousu/show/id/1346824</v>
      </c>
      <c r="F15171" s="2" t="s">
        <v>11</v>
      </c>
      <c r="G15171" s="2" t="s">
        <v>14332</v>
      </c>
      <c r="H15171" s="2" t="s">
        <v>14333</v>
      </c>
    </row>
    <row r="15172" spans="1:8" ht="25.05" customHeight="1" x14ac:dyDescent="0.25">
      <c r="A15172" s="2" t="s">
        <v>8</v>
      </c>
      <c r="B15172" s="2" t="str">
        <f>HYPERLINK("http://ts.21cn.com/tousu/show/id/1346817","银生宝拖欠血汗钱分拥25000元长达13个月！投诉")</f>
        <v>银生宝拖欠血汗钱分拥25000元长达13个月！投诉</v>
      </c>
      <c r="C15172" s="2" t="s">
        <v>9</v>
      </c>
      <c r="D15172" s="2" t="s">
        <v>10</v>
      </c>
      <c r="E15172" s="2" t="str">
        <f>HYPERLINK("http://ts.21cn.com/tousu/show/id/1346817","http://ts.21cn.com/tousu/show/id/1346817")</f>
        <v>http://ts.21cn.com/tousu/show/id/1346817</v>
      </c>
      <c r="F15172" s="2" t="s">
        <v>11</v>
      </c>
      <c r="G15172" s="2" t="s">
        <v>14330</v>
      </c>
      <c r="H15172" s="2" t="s">
        <v>14331</v>
      </c>
    </row>
    <row r="15173" spans="1:8" ht="25.05" customHeight="1" x14ac:dyDescent="0.25">
      <c r="A15173" s="2" t="s">
        <v>8</v>
      </c>
      <c r="B15173" s="2" t="str">
        <f>HYPERLINK("http://ts.21cn.com/tousu/show/id/1346835","同程金服套路贷")</f>
        <v>同程金服套路贷</v>
      </c>
      <c r="C15173" s="2" t="s">
        <v>9</v>
      </c>
      <c r="D15173" s="2" t="s">
        <v>10</v>
      </c>
      <c r="E15173" s="2" t="str">
        <f>HYPERLINK("http://ts.21cn.com/tousu/show/id/1346835","http://ts.21cn.com/tousu/show/id/1346835")</f>
        <v>http://ts.21cn.com/tousu/show/id/1346835</v>
      </c>
      <c r="F15173" s="2" t="s">
        <v>11</v>
      </c>
      <c r="G15173" s="2" t="s">
        <v>14327</v>
      </c>
      <c r="H15173" s="2" t="s">
        <v>14328</v>
      </c>
    </row>
    <row r="15174" spans="1:8" ht="25.05" customHeight="1" x14ac:dyDescent="0.25">
      <c r="A15174" s="2" t="s">
        <v>8</v>
      </c>
      <c r="B15174" s="2" t="str">
        <f>HYPERLINK("http://ts.21cn.com/tousu/show/id/1346834","高利贷")</f>
        <v>高利贷</v>
      </c>
      <c r="C15174" s="2" t="s">
        <v>9</v>
      </c>
      <c r="D15174" s="2" t="s">
        <v>10</v>
      </c>
      <c r="E15174" s="2" t="str">
        <f>HYPERLINK("http://ts.21cn.com/tousu/show/id/1346834","http://ts.21cn.com/tousu/show/id/1346834")</f>
        <v>http://ts.21cn.com/tousu/show/id/1346834</v>
      </c>
      <c r="F15174" s="2" t="s">
        <v>11</v>
      </c>
      <c r="G15174" s="2" t="s">
        <v>14327</v>
      </c>
      <c r="H15174" s="2" t="s">
        <v>14329</v>
      </c>
    </row>
    <row r="15175" spans="1:8" ht="25.05" customHeight="1" x14ac:dyDescent="0.25">
      <c r="A15175" s="2" t="s">
        <v>8</v>
      </c>
      <c r="B15175" s="2" t="str">
        <f>HYPERLINK("http://ts.21cn.com/tousu/show/id/1346825","浦发信用卡")</f>
        <v>浦发信用卡</v>
      </c>
      <c r="C15175" s="2" t="s">
        <v>34</v>
      </c>
      <c r="D15175" s="2" t="s">
        <v>10</v>
      </c>
      <c r="E15175" s="2" t="str">
        <f>HYPERLINK("http://ts.21cn.com/tousu/show/id/1346825","http://ts.21cn.com/tousu/show/id/1346825")</f>
        <v>http://ts.21cn.com/tousu/show/id/1346825</v>
      </c>
      <c r="F15175" s="2" t="s">
        <v>11</v>
      </c>
      <c r="G15175" s="2" t="s">
        <v>14325</v>
      </c>
      <c r="H15175" s="2" t="s">
        <v>14326</v>
      </c>
    </row>
    <row r="15176" spans="1:8" ht="25.05" customHeight="1" x14ac:dyDescent="0.25">
      <c r="A15176" s="2" t="s">
        <v>8</v>
      </c>
      <c r="B15176" s="2" t="str">
        <f>HYPERLINK("http://ts.21cn.com/tousu/show/id/1346826","国外支付宝付款显示支付成功，商家没有收到钱")</f>
        <v>国外支付宝付款显示支付成功，商家没有收到钱</v>
      </c>
      <c r="C15176" s="2" t="s">
        <v>9</v>
      </c>
      <c r="D15176" s="2" t="s">
        <v>10</v>
      </c>
      <c r="E15176" s="2" t="str">
        <f>HYPERLINK("http://ts.21cn.com/tousu/show/id/1346826","http://ts.21cn.com/tousu/show/id/1346826")</f>
        <v>http://ts.21cn.com/tousu/show/id/1346826</v>
      </c>
      <c r="F15176" s="2" t="s">
        <v>11</v>
      </c>
      <c r="G15176" s="2" t="s">
        <v>14323</v>
      </c>
      <c r="H15176" s="2" t="s">
        <v>14324</v>
      </c>
    </row>
    <row r="15177" spans="1:8" ht="25.05" customHeight="1" x14ac:dyDescent="0.25">
      <c r="A15177" s="2" t="s">
        <v>8</v>
      </c>
      <c r="B15177" s="2" t="str">
        <f>HYPERLINK("http://ts.21cn.com/tousu/show/id/1346827","钱橙无忧贷款app恶意扣款")</f>
        <v>钱橙无忧贷款app恶意扣款</v>
      </c>
      <c r="C15177" s="2" t="s">
        <v>9</v>
      </c>
      <c r="D15177" s="2" t="s">
        <v>10</v>
      </c>
      <c r="E15177" s="2" t="str">
        <f>HYPERLINK("http://ts.21cn.com/tousu/show/id/1346827","http://ts.21cn.com/tousu/show/id/1346827")</f>
        <v>http://ts.21cn.com/tousu/show/id/1346827</v>
      </c>
      <c r="F15177" s="2" t="s">
        <v>11</v>
      </c>
      <c r="G15177" s="2" t="s">
        <v>14321</v>
      </c>
      <c r="H15177" s="2" t="s">
        <v>14322</v>
      </c>
    </row>
    <row r="15178" spans="1:8" ht="25.05" customHeight="1" x14ac:dyDescent="0.25">
      <c r="A15178" s="2" t="s">
        <v>8</v>
      </c>
      <c r="B15178" s="2" t="str">
        <f>HYPERLINK("http://ts.21cn.com/tousu/show/id/1346829","指尖微赚强制消费")</f>
        <v>指尖微赚强制消费</v>
      </c>
      <c r="C15178" s="2" t="s">
        <v>9</v>
      </c>
      <c r="D15178" s="2" t="s">
        <v>10</v>
      </c>
      <c r="E15178" s="2" t="str">
        <f>HYPERLINK("http://ts.21cn.com/tousu/show/id/1346829","http://ts.21cn.com/tousu/show/id/1346829")</f>
        <v>http://ts.21cn.com/tousu/show/id/1346829</v>
      </c>
      <c r="F15178" s="2" t="s">
        <v>11</v>
      </c>
      <c r="G15178" s="2" t="s">
        <v>14319</v>
      </c>
      <c r="H15178" s="2" t="s">
        <v>14320</v>
      </c>
    </row>
    <row r="15179" spans="1:8" ht="25.05" customHeight="1" x14ac:dyDescent="0.25">
      <c r="A15179" s="2" t="s">
        <v>8</v>
      </c>
      <c r="B15179" s="2" t="str">
        <f>HYPERLINK("http://ts.21cn.com/tousu/show/id/1346830","北京闪银科技贷款收新人担保金利息也不合理")</f>
        <v>北京闪银科技贷款收新人担保金利息也不合理</v>
      </c>
      <c r="C15179" s="2" t="s">
        <v>9</v>
      </c>
      <c r="D15179" s="2" t="s">
        <v>10</v>
      </c>
      <c r="E15179" s="2" t="str">
        <f>HYPERLINK("http://ts.21cn.com/tousu/show/id/1346830","http://ts.21cn.com/tousu/show/id/1346830")</f>
        <v>http://ts.21cn.com/tousu/show/id/1346830</v>
      </c>
      <c r="F15179" s="2" t="s">
        <v>11</v>
      </c>
      <c r="G15179" s="2" t="s">
        <v>14317</v>
      </c>
      <c r="H15179" s="2" t="s">
        <v>14318</v>
      </c>
    </row>
    <row r="15180" spans="1:8" ht="25.05" customHeight="1" x14ac:dyDescent="0.25">
      <c r="A15180" s="2" t="s">
        <v>8</v>
      </c>
      <c r="B15180" s="2" t="str">
        <f>HYPERLINK("http://ts.21cn.com/tousu/show/id/1346828","暴力电话骚扰")</f>
        <v>暴力电话骚扰</v>
      </c>
      <c r="C15180" s="2" t="s">
        <v>9</v>
      </c>
      <c r="D15180" s="2" t="s">
        <v>10</v>
      </c>
      <c r="E15180" s="2" t="str">
        <f>HYPERLINK("http://ts.21cn.com/tousu/show/id/1346828","http://ts.21cn.com/tousu/show/id/1346828")</f>
        <v>http://ts.21cn.com/tousu/show/id/1346828</v>
      </c>
      <c r="F15180" s="2" t="s">
        <v>11</v>
      </c>
      <c r="G15180" s="2" t="s">
        <v>14315</v>
      </c>
      <c r="H15180" s="2" t="s">
        <v>14316</v>
      </c>
    </row>
    <row r="15181" spans="1:8" ht="25.05" customHeight="1" x14ac:dyDescent="0.25">
      <c r="A15181" s="2" t="s">
        <v>8</v>
      </c>
      <c r="B15181" s="2" t="str">
        <f>HYPERLINK("http://ts.21cn.com/tousu/show/id/1346831","凡普金科泄露我隐私给朋友单位打电话")</f>
        <v>凡普金科泄露我隐私给朋友单位打电话</v>
      </c>
      <c r="C15181" s="2" t="s">
        <v>9</v>
      </c>
      <c r="D15181" s="2" t="s">
        <v>10</v>
      </c>
      <c r="E15181" s="2" t="str">
        <f>HYPERLINK("http://ts.21cn.com/tousu/show/id/1346831","http://ts.21cn.com/tousu/show/id/1346831")</f>
        <v>http://ts.21cn.com/tousu/show/id/1346831</v>
      </c>
      <c r="F15181" s="2" t="s">
        <v>11</v>
      </c>
      <c r="G15181" s="2" t="s">
        <v>14313</v>
      </c>
      <c r="H15181" s="2" t="s">
        <v>14314</v>
      </c>
    </row>
    <row r="15182" spans="1:8" ht="25.05" customHeight="1" x14ac:dyDescent="0.25">
      <c r="A15182" s="2" t="s">
        <v>8</v>
      </c>
      <c r="B15182" s="2" t="str">
        <f>HYPERLINK("http://ts.21cn.com/tousu/show/id/1346832","利息高，逾期费用也高")</f>
        <v>利息高，逾期费用也高</v>
      </c>
      <c r="C15182" s="2" t="s">
        <v>9</v>
      </c>
      <c r="D15182" s="2" t="s">
        <v>10</v>
      </c>
      <c r="E15182" s="2" t="str">
        <f>HYPERLINK("http://ts.21cn.com/tousu/show/id/1346832","http://ts.21cn.com/tousu/show/id/1346832")</f>
        <v>http://ts.21cn.com/tousu/show/id/1346832</v>
      </c>
      <c r="F15182" s="2" t="s">
        <v>11</v>
      </c>
      <c r="G15182" s="2" t="s">
        <v>14311</v>
      </c>
      <c r="H15182" s="2" t="s">
        <v>14312</v>
      </c>
    </row>
    <row r="15183" spans="1:8" ht="25.05" customHeight="1" x14ac:dyDescent="0.25">
      <c r="A15183" s="2" t="s">
        <v>8</v>
      </c>
      <c r="B15183" s="2" t="str">
        <f>HYPERLINK("http://ts.21cn.com/tousu/show/id/1346799","山西百胜健身恶意欺瞒消费者进行消费")</f>
        <v>山西百胜健身恶意欺瞒消费者进行消费</v>
      </c>
      <c r="C15183" s="2" t="s">
        <v>9</v>
      </c>
      <c r="D15183" s="2" t="s">
        <v>10</v>
      </c>
      <c r="E15183" s="2" t="str">
        <f>HYPERLINK("http://ts.21cn.com/tousu/show/id/1346799","http://ts.21cn.com/tousu/show/id/1346799")</f>
        <v>http://ts.21cn.com/tousu/show/id/1346799</v>
      </c>
      <c r="F15183" s="2" t="s">
        <v>11</v>
      </c>
      <c r="G15183" s="2" t="s">
        <v>14309</v>
      </c>
      <c r="H15183" s="2" t="s">
        <v>14310</v>
      </c>
    </row>
    <row r="15184" spans="1:8" ht="25.05" customHeight="1" x14ac:dyDescent="0.25">
      <c r="A15184" s="2" t="s">
        <v>8</v>
      </c>
      <c r="B15184" s="2" t="str">
        <f>HYPERLINK("http://ts.21cn.com/tousu/show/id/1346833","请求与放款方一次结清，协商还款额")</f>
        <v>请求与放款方一次结清，协商还款额</v>
      </c>
      <c r="C15184" s="2" t="s">
        <v>9</v>
      </c>
      <c r="D15184" s="2" t="s">
        <v>10</v>
      </c>
      <c r="E15184" s="2" t="str">
        <f>HYPERLINK("http://ts.21cn.com/tousu/show/id/1346833","http://ts.21cn.com/tousu/show/id/1346833")</f>
        <v>http://ts.21cn.com/tousu/show/id/1346833</v>
      </c>
      <c r="F15184" s="2" t="s">
        <v>11</v>
      </c>
      <c r="G15184" s="2" t="s">
        <v>14307</v>
      </c>
      <c r="H15184" s="2" t="s">
        <v>14308</v>
      </c>
    </row>
    <row r="15185" spans="1:8" ht="25.05" customHeight="1" x14ac:dyDescent="0.25">
      <c r="A15185" s="2" t="s">
        <v>8</v>
      </c>
      <c r="B15185" s="2" t="str">
        <f>HYPERLINK("http://ts.21cn.com/tousu/show/id/1346836","嗨钱网还款了不入账一直显示逾期")</f>
        <v>嗨钱网还款了不入账一直显示逾期</v>
      </c>
      <c r="C15185" s="2" t="s">
        <v>9</v>
      </c>
      <c r="D15185" s="2" t="s">
        <v>10</v>
      </c>
      <c r="E15185" s="2" t="str">
        <f>HYPERLINK("http://ts.21cn.com/tousu/show/id/1346836","http://ts.21cn.com/tousu/show/id/1346836")</f>
        <v>http://ts.21cn.com/tousu/show/id/1346836</v>
      </c>
      <c r="F15185" s="2" t="s">
        <v>11</v>
      </c>
      <c r="G15185" s="2" t="s">
        <v>14305</v>
      </c>
      <c r="H15185" s="2" t="s">
        <v>14306</v>
      </c>
    </row>
    <row r="15186" spans="1:8" ht="25.05" customHeight="1" x14ac:dyDescent="0.25">
      <c r="A15186" s="2" t="s">
        <v>8</v>
      </c>
      <c r="B15186" s="2" t="str">
        <f>HYPERLINK("http://ts.21cn.com/tousu/show/id/1346823","螃蟹券兑换不了")</f>
        <v>螃蟹券兑换不了</v>
      </c>
      <c r="C15186" s="2" t="s">
        <v>34</v>
      </c>
      <c r="D15186" s="2" t="s">
        <v>10</v>
      </c>
      <c r="E15186" s="2" t="str">
        <f>HYPERLINK("http://ts.21cn.com/tousu/show/id/1346823","http://ts.21cn.com/tousu/show/id/1346823")</f>
        <v>http://ts.21cn.com/tousu/show/id/1346823</v>
      </c>
      <c r="F15186" s="2" t="s">
        <v>11</v>
      </c>
      <c r="G15186" s="2" t="s">
        <v>14303</v>
      </c>
      <c r="H15186" s="2" t="s">
        <v>14304</v>
      </c>
    </row>
    <row r="15187" spans="1:8" ht="25.05" customHeight="1" x14ac:dyDescent="0.25">
      <c r="A15187" s="2" t="s">
        <v>8</v>
      </c>
      <c r="B15187" s="2" t="str">
        <f>HYPERLINK("http://ts.21cn.com/tousu/show/id/1346837","中国工商银行合肥花园街支行未经本人同意按装ETC")</f>
        <v>中国工商银行合肥花园街支行未经本人同意按装ETC</v>
      </c>
      <c r="C15187" s="2" t="s">
        <v>9</v>
      </c>
      <c r="D15187" s="2" t="s">
        <v>10</v>
      </c>
      <c r="E15187" s="2" t="str">
        <f>HYPERLINK("http://ts.21cn.com/tousu/show/id/1346837","http://ts.21cn.com/tousu/show/id/1346837")</f>
        <v>http://ts.21cn.com/tousu/show/id/1346837</v>
      </c>
      <c r="F15187" s="2" t="s">
        <v>11</v>
      </c>
      <c r="G15187" s="2" t="s">
        <v>14301</v>
      </c>
      <c r="H15187" s="2" t="s">
        <v>14302</v>
      </c>
    </row>
    <row r="15188" spans="1:8" ht="25.05" customHeight="1" x14ac:dyDescent="0.25">
      <c r="A15188" s="2" t="s">
        <v>8</v>
      </c>
      <c r="B15188" s="2" t="str">
        <f>HYPERLINK("http://ts.21cn.com/tousu/show/id/1346839","大V店拒不退还会员费")</f>
        <v>大V店拒不退还会员费</v>
      </c>
      <c r="C15188" s="2" t="s">
        <v>9</v>
      </c>
      <c r="D15188" s="2" t="s">
        <v>10</v>
      </c>
      <c r="E15188" s="2" t="str">
        <f>HYPERLINK("http://ts.21cn.com/tousu/show/id/1346839","http://ts.21cn.com/tousu/show/id/1346839")</f>
        <v>http://ts.21cn.com/tousu/show/id/1346839</v>
      </c>
      <c r="F15188" s="2" t="s">
        <v>11</v>
      </c>
      <c r="G15188" s="2" t="s">
        <v>14299</v>
      </c>
      <c r="H15188" s="2" t="s">
        <v>14300</v>
      </c>
    </row>
    <row r="15189" spans="1:8" ht="25.05" customHeight="1" x14ac:dyDescent="0.25">
      <c r="A15189" s="2" t="s">
        <v>8</v>
      </c>
      <c r="B15189" s="2" t="str">
        <f>HYPERLINK("http://ts.21cn.com/tousu/show/id/1346840","小赢卡贷扣除保险费")</f>
        <v>小赢卡贷扣除保险费</v>
      </c>
      <c r="C15189" s="2" t="s">
        <v>9</v>
      </c>
      <c r="D15189" s="2" t="s">
        <v>10</v>
      </c>
      <c r="E15189" s="2" t="str">
        <f>HYPERLINK("http://ts.21cn.com/tousu/show/id/1346840","http://ts.21cn.com/tousu/show/id/1346840")</f>
        <v>http://ts.21cn.com/tousu/show/id/1346840</v>
      </c>
      <c r="F15189" s="2" t="s">
        <v>11</v>
      </c>
      <c r="G15189" s="2" t="s">
        <v>14297</v>
      </c>
      <c r="H15189" s="2" t="s">
        <v>14298</v>
      </c>
    </row>
    <row r="15190" spans="1:8" ht="25.05" customHeight="1" x14ac:dyDescent="0.25">
      <c r="A15190" s="2" t="s">
        <v>8</v>
      </c>
      <c r="B15190" s="2" t="str">
        <f>HYPERLINK("http://ts.21cn.com/tousu/show/id/1346842","没有借款收到催收信息")</f>
        <v>没有借款收到催收信息</v>
      </c>
      <c r="C15190" s="2" t="s">
        <v>34</v>
      </c>
      <c r="D15190" s="2" t="s">
        <v>10</v>
      </c>
      <c r="E15190" s="2" t="str">
        <f>HYPERLINK("http://ts.21cn.com/tousu/show/id/1346842","http://ts.21cn.com/tousu/show/id/1346842")</f>
        <v>http://ts.21cn.com/tousu/show/id/1346842</v>
      </c>
      <c r="F15190" s="2" t="s">
        <v>11</v>
      </c>
      <c r="G15190" s="2" t="s">
        <v>14295</v>
      </c>
      <c r="H15190" s="2" t="s">
        <v>14296</v>
      </c>
    </row>
    <row r="15191" spans="1:8" ht="25.05" customHeight="1" x14ac:dyDescent="0.25">
      <c r="A15191" s="2" t="s">
        <v>8</v>
      </c>
      <c r="B15191" s="2" t="str">
        <f>HYPERLINK("http://ts.21cn.com/tousu/show/id/1346841","消费金融骚扰")</f>
        <v>消费金融骚扰</v>
      </c>
      <c r="C15191" s="2" t="s">
        <v>9</v>
      </c>
      <c r="D15191" s="2" t="s">
        <v>10</v>
      </c>
      <c r="E15191" s="2" t="str">
        <f>HYPERLINK("http://ts.21cn.com/tousu/show/id/1346841","http://ts.21cn.com/tousu/show/id/1346841")</f>
        <v>http://ts.21cn.com/tousu/show/id/1346841</v>
      </c>
      <c r="F15191" s="2" t="s">
        <v>11</v>
      </c>
      <c r="G15191" s="2" t="s">
        <v>14293</v>
      </c>
      <c r="H15191" s="2" t="s">
        <v>14294</v>
      </c>
    </row>
    <row r="15192" spans="1:8" ht="25.05" customHeight="1" x14ac:dyDescent="0.25">
      <c r="A15192" s="2" t="s">
        <v>8</v>
      </c>
      <c r="B15192" s="2" t="str">
        <f>HYPERLINK("http://ts.21cn.com/tousu/show/id/1346845","为赌博网站提供支付渠道")</f>
        <v>为赌博网站提供支付渠道</v>
      </c>
      <c r="C15192" s="2" t="s">
        <v>9</v>
      </c>
      <c r="D15192" s="2" t="s">
        <v>10</v>
      </c>
      <c r="E15192" s="2" t="str">
        <f>HYPERLINK("http://ts.21cn.com/tousu/show/id/1346845","http://ts.21cn.com/tousu/show/id/1346845")</f>
        <v>http://ts.21cn.com/tousu/show/id/1346845</v>
      </c>
      <c r="F15192" s="2" t="s">
        <v>11</v>
      </c>
      <c r="G15192" s="2" t="s">
        <v>14291</v>
      </c>
      <c r="H15192" s="2" t="s">
        <v>14292</v>
      </c>
    </row>
    <row r="15193" spans="1:8" ht="25.05" customHeight="1" x14ac:dyDescent="0.25">
      <c r="A15193" s="2" t="s">
        <v>8</v>
      </c>
      <c r="B15193" s="2" t="str">
        <f>HYPERLINK("http://ts.21cn.com/tousu/show/id/1346843","停止诉讼搔扰")</f>
        <v>停止诉讼搔扰</v>
      </c>
      <c r="C15193" s="2" t="s">
        <v>9</v>
      </c>
      <c r="D15193" s="2" t="s">
        <v>10</v>
      </c>
      <c r="E15193" s="2" t="str">
        <f>HYPERLINK("http://ts.21cn.com/tousu/show/id/1346843","http://ts.21cn.com/tousu/show/id/1346843")</f>
        <v>http://ts.21cn.com/tousu/show/id/1346843</v>
      </c>
      <c r="F15193" s="2" t="s">
        <v>11</v>
      </c>
      <c r="G15193" s="2" t="s">
        <v>14289</v>
      </c>
      <c r="H15193" s="2" t="s">
        <v>14290</v>
      </c>
    </row>
    <row r="15194" spans="1:8" ht="25.05" customHeight="1" x14ac:dyDescent="0.25">
      <c r="A15194" s="2" t="s">
        <v>8</v>
      </c>
      <c r="B15194" s="2" t="str">
        <f>HYPERLINK("http://ts.21cn.com/tousu/show/id/1346844","中邮钱包催收人员非法催收")</f>
        <v>中邮钱包催收人员非法催收</v>
      </c>
      <c r="C15194" s="2" t="s">
        <v>9</v>
      </c>
      <c r="D15194" s="2" t="s">
        <v>10</v>
      </c>
      <c r="E15194" s="2" t="str">
        <f>HYPERLINK("http://ts.21cn.com/tousu/show/id/1346844","http://ts.21cn.com/tousu/show/id/1346844")</f>
        <v>http://ts.21cn.com/tousu/show/id/1346844</v>
      </c>
      <c r="F15194" s="2" t="s">
        <v>11</v>
      </c>
      <c r="G15194" s="2" t="s">
        <v>14287</v>
      </c>
      <c r="H15194" s="2" t="s">
        <v>14288</v>
      </c>
    </row>
    <row r="15195" spans="1:8" ht="25.05" customHeight="1" x14ac:dyDescent="0.25">
      <c r="A15195" s="2" t="s">
        <v>8</v>
      </c>
      <c r="B15195" s="2" t="str">
        <f>HYPERLINK("http://ts.21cn.com/tousu/show/id/1346822","闪电借款充会员卡不借款不退还")</f>
        <v>闪电借款充会员卡不借款不退还</v>
      </c>
      <c r="C15195" s="2" t="s">
        <v>9</v>
      </c>
      <c r="D15195" s="2" t="s">
        <v>10</v>
      </c>
      <c r="E15195" s="2" t="str">
        <f>HYPERLINK("http://ts.21cn.com/tousu/show/id/1346822","http://ts.21cn.com/tousu/show/id/1346822")</f>
        <v>http://ts.21cn.com/tousu/show/id/1346822</v>
      </c>
      <c r="F15195" s="2" t="s">
        <v>11</v>
      </c>
      <c r="G15195" s="2" t="s">
        <v>14285</v>
      </c>
      <c r="H15195" s="2" t="s">
        <v>14286</v>
      </c>
    </row>
    <row r="15196" spans="1:8" ht="25.05" customHeight="1" x14ac:dyDescent="0.25">
      <c r="A15196" s="2" t="s">
        <v>8</v>
      </c>
      <c r="B15196" s="2" t="str">
        <f>HYPERLINK("http://ts.21cn.com/tousu/show/id/1346846","工作丢失")</f>
        <v>工作丢失</v>
      </c>
      <c r="C15196" s="2" t="s">
        <v>9</v>
      </c>
      <c r="D15196" s="2" t="s">
        <v>10</v>
      </c>
      <c r="E15196" s="2" t="str">
        <f>HYPERLINK("http://ts.21cn.com/tousu/show/id/1346846","http://ts.21cn.com/tousu/show/id/1346846")</f>
        <v>http://ts.21cn.com/tousu/show/id/1346846</v>
      </c>
      <c r="F15196" s="2" t="s">
        <v>11</v>
      </c>
      <c r="G15196" s="2" t="s">
        <v>14283</v>
      </c>
      <c r="H15196" s="2" t="s">
        <v>14284</v>
      </c>
    </row>
    <row r="15197" spans="1:8" ht="25.05" customHeight="1" x14ac:dyDescent="0.25">
      <c r="A15197" s="2" t="s">
        <v>8</v>
      </c>
      <c r="B15197" s="2" t="str">
        <f>HYPERLINK("http://ts.21cn.com/tousu/show/id/1346838","好易贷暴力催收高利贷")</f>
        <v>好易贷暴力催收高利贷</v>
      </c>
      <c r="C15197" s="2" t="s">
        <v>9</v>
      </c>
      <c r="D15197" s="2" t="s">
        <v>10</v>
      </c>
      <c r="E15197" s="2" t="str">
        <f>HYPERLINK("http://ts.21cn.com/tousu/show/id/1346838","http://ts.21cn.com/tousu/show/id/1346838")</f>
        <v>http://ts.21cn.com/tousu/show/id/1346838</v>
      </c>
      <c r="F15197" s="2" t="s">
        <v>11</v>
      </c>
      <c r="G15197" s="2" t="s">
        <v>14281</v>
      </c>
      <c r="H15197" s="2" t="s">
        <v>14282</v>
      </c>
    </row>
    <row r="15198" spans="1:8" ht="25.05" customHeight="1" x14ac:dyDescent="0.25">
      <c r="A15198" s="2" t="s">
        <v>8</v>
      </c>
      <c r="B15198" s="2" t="str">
        <f>HYPERLINK("http://ts.21cn.com/tousu/show/id/1346847","瑜伽熊高额砍头息恐吓家人")</f>
        <v>瑜伽熊高额砍头息恐吓家人</v>
      </c>
      <c r="C15198" s="2" t="s">
        <v>9</v>
      </c>
      <c r="D15198" s="2" t="s">
        <v>10</v>
      </c>
      <c r="E15198" s="2" t="str">
        <f>HYPERLINK("http://ts.21cn.com/tousu/show/id/1346847","http://ts.21cn.com/tousu/show/id/1346847")</f>
        <v>http://ts.21cn.com/tousu/show/id/1346847</v>
      </c>
      <c r="F15198" s="2" t="s">
        <v>11</v>
      </c>
      <c r="G15198" s="2" t="s">
        <v>14279</v>
      </c>
      <c r="H15198" s="2" t="s">
        <v>14280</v>
      </c>
    </row>
    <row r="15199" spans="1:8" ht="25.05" customHeight="1" x14ac:dyDescent="0.25">
      <c r="A15199" s="2" t="s">
        <v>8</v>
      </c>
      <c r="B15199" s="2" t="str">
        <f>HYPERLINK("http://ts.21cn.com/tousu/show/id/1346848","钱站app利息太高")</f>
        <v>钱站app利息太高</v>
      </c>
      <c r="C15199" s="2" t="s">
        <v>9</v>
      </c>
      <c r="D15199" s="2" t="s">
        <v>10</v>
      </c>
      <c r="E15199" s="2" t="str">
        <f>HYPERLINK("http://ts.21cn.com/tousu/show/id/1346848","http://ts.21cn.com/tousu/show/id/1346848")</f>
        <v>http://ts.21cn.com/tousu/show/id/1346848</v>
      </c>
      <c r="F15199" s="2" t="s">
        <v>11</v>
      </c>
      <c r="G15199" s="2" t="s">
        <v>14277</v>
      </c>
      <c r="H15199" s="2" t="s">
        <v>14278</v>
      </c>
    </row>
    <row r="15200" spans="1:8" ht="25.05" customHeight="1" x14ac:dyDescent="0.25">
      <c r="A15200" s="2" t="s">
        <v>8</v>
      </c>
      <c r="B15200" s="2" t="str">
        <f>HYPERLINK("http://ts.21cn.com/tousu/show/id/1346850","小浦优客涉嫌违规欺诈要求退款")</f>
        <v>小浦优客涉嫌违规欺诈要求退款</v>
      </c>
      <c r="C15200" s="2" t="s">
        <v>9</v>
      </c>
      <c r="D15200" s="2" t="s">
        <v>10</v>
      </c>
      <c r="E15200" s="2" t="str">
        <f>HYPERLINK("http://ts.21cn.com/tousu/show/id/1346850","http://ts.21cn.com/tousu/show/id/1346850")</f>
        <v>http://ts.21cn.com/tousu/show/id/1346850</v>
      </c>
      <c r="F15200" s="2" t="s">
        <v>11</v>
      </c>
      <c r="G15200" s="2" t="s">
        <v>14275</v>
      </c>
      <c r="H15200" s="2" t="s">
        <v>14276</v>
      </c>
    </row>
    <row r="15201" spans="1:8" ht="25.05" customHeight="1" x14ac:dyDescent="0.25">
      <c r="A15201" s="2" t="s">
        <v>8</v>
      </c>
      <c r="B15201" s="2" t="str">
        <f>HYPERLINK("http://ts.21cn.com/tousu/show/id/1346852","ofo共享单车余额退款，客服联系不上，就是个坑！")</f>
        <v>ofo共享单车余额退款，客服联系不上，就是个坑！</v>
      </c>
      <c r="C15201" s="2" t="s">
        <v>9</v>
      </c>
      <c r="D15201" s="2" t="s">
        <v>10</v>
      </c>
      <c r="E15201" s="2" t="str">
        <f>HYPERLINK("http://ts.21cn.com/tousu/show/id/1346852","http://ts.21cn.com/tousu/show/id/1346852")</f>
        <v>http://ts.21cn.com/tousu/show/id/1346852</v>
      </c>
      <c r="F15201" s="2" t="s">
        <v>11</v>
      </c>
      <c r="G15201" s="2" t="s">
        <v>14273</v>
      </c>
      <c r="H15201" s="2" t="s">
        <v>14274</v>
      </c>
    </row>
    <row r="15202" spans="1:8" ht="25.05" customHeight="1" x14ac:dyDescent="0.25">
      <c r="A15202" s="2" t="s">
        <v>8</v>
      </c>
      <c r="B15202" s="2" t="str">
        <f>HYPERLINK("http://ts.21cn.com/tousu/show/id/1346853","国美易卡高利贷，利息年利率超过国家规定24%")</f>
        <v>国美易卡高利贷，利息年利率超过国家规定24%</v>
      </c>
      <c r="C15202" s="2" t="s">
        <v>9</v>
      </c>
      <c r="D15202" s="2" t="s">
        <v>10</v>
      </c>
      <c r="E15202" s="2" t="str">
        <f>HYPERLINK("http://ts.21cn.com/tousu/show/id/1346853","http://ts.21cn.com/tousu/show/id/1346853")</f>
        <v>http://ts.21cn.com/tousu/show/id/1346853</v>
      </c>
      <c r="F15202" s="2" t="s">
        <v>11</v>
      </c>
      <c r="G15202" s="2" t="s">
        <v>14271</v>
      </c>
      <c r="H15202" s="2" t="s">
        <v>14272</v>
      </c>
    </row>
    <row r="15203" spans="1:8" ht="25.05" customHeight="1" x14ac:dyDescent="0.25">
      <c r="A15203" s="2" t="s">
        <v>8</v>
      </c>
      <c r="B15203" s="2" t="str">
        <f>HYPERLINK("http://ts.21cn.com/tousu/show/id/1346854","捷信老顾客逾期一两天打电话家人造成骚扰")</f>
        <v>捷信老顾客逾期一两天打电话家人造成骚扰</v>
      </c>
      <c r="C15203" s="2" t="s">
        <v>9</v>
      </c>
      <c r="D15203" s="2" t="s">
        <v>10</v>
      </c>
      <c r="E15203" s="2" t="str">
        <f>HYPERLINK("http://ts.21cn.com/tousu/show/id/1346854","http://ts.21cn.com/tousu/show/id/1346854")</f>
        <v>http://ts.21cn.com/tousu/show/id/1346854</v>
      </c>
      <c r="F15203" s="2" t="s">
        <v>11</v>
      </c>
      <c r="G15203" s="2" t="s">
        <v>14269</v>
      </c>
      <c r="H15203" s="2" t="s">
        <v>14270</v>
      </c>
    </row>
    <row r="15204" spans="1:8" ht="25.05" customHeight="1" x14ac:dyDescent="0.25">
      <c r="A15204" s="2" t="s">
        <v>8</v>
      </c>
      <c r="B15204" s="2" t="str">
        <f>HYPERLINK("http://ts.21cn.com/tousu/show/id/1346855","我来贷还款结清，不注销账户")</f>
        <v>我来贷还款结清，不注销账户</v>
      </c>
      <c r="C15204" s="2" t="s">
        <v>9</v>
      </c>
      <c r="D15204" s="2" t="s">
        <v>10</v>
      </c>
      <c r="E15204" s="2" t="str">
        <f>HYPERLINK("http://ts.21cn.com/tousu/show/id/1346855","http://ts.21cn.com/tousu/show/id/1346855")</f>
        <v>http://ts.21cn.com/tousu/show/id/1346855</v>
      </c>
      <c r="F15204" s="2" t="s">
        <v>11</v>
      </c>
      <c r="G15204" s="2" t="s">
        <v>14267</v>
      </c>
      <c r="H15204" s="2" t="s">
        <v>14268</v>
      </c>
    </row>
    <row r="15205" spans="1:8" ht="25.05" customHeight="1" x14ac:dyDescent="0.25">
      <c r="A15205" s="2" t="s">
        <v>8</v>
      </c>
      <c r="B15205" s="2" t="str">
        <f>HYPERLINK("http://ts.21cn.com/tousu/show/id/1346856","平安普惠贷款隐瞒隐藏并强制收取高额保险费管理费投诉事宜")</f>
        <v>平安普惠贷款隐瞒隐藏并强制收取高额保险费管理费投诉事宜</v>
      </c>
      <c r="C15205" s="2" t="s">
        <v>9</v>
      </c>
      <c r="D15205" s="2" t="s">
        <v>10</v>
      </c>
      <c r="E15205" s="2" t="str">
        <f>HYPERLINK("http://ts.21cn.com/tousu/show/id/1346856","http://ts.21cn.com/tousu/show/id/1346856")</f>
        <v>http://ts.21cn.com/tousu/show/id/1346856</v>
      </c>
      <c r="F15205" s="2" t="s">
        <v>11</v>
      </c>
      <c r="G15205" s="2" t="s">
        <v>14265</v>
      </c>
      <c r="H15205" s="2" t="s">
        <v>14266</v>
      </c>
    </row>
    <row r="15206" spans="1:8" ht="25.05" customHeight="1" x14ac:dyDescent="0.25">
      <c r="A15206" s="2" t="s">
        <v>8</v>
      </c>
      <c r="B15206" s="2" t="str">
        <f>HYPERLINK("http://ts.21cn.com/tousu/show/id/1346857","严厉打击黑网贷")</f>
        <v>严厉打击黑网贷</v>
      </c>
      <c r="C15206" s="2" t="s">
        <v>34</v>
      </c>
      <c r="D15206" s="2" t="s">
        <v>10</v>
      </c>
      <c r="E15206" s="2" t="str">
        <f>HYPERLINK("http://ts.21cn.com/tousu/show/id/1346857","http://ts.21cn.com/tousu/show/id/1346857")</f>
        <v>http://ts.21cn.com/tousu/show/id/1346857</v>
      </c>
      <c r="F15206" s="2" t="s">
        <v>11</v>
      </c>
      <c r="G15206" s="2" t="s">
        <v>14263</v>
      </c>
      <c r="H15206" s="2" t="s">
        <v>14264</v>
      </c>
    </row>
    <row r="15207" spans="1:8" ht="25.05" customHeight="1" x14ac:dyDescent="0.25">
      <c r="A15207" s="2" t="s">
        <v>8</v>
      </c>
      <c r="B15207" s="2" t="str">
        <f>HYPERLINK("http://ts.21cn.com/tousu/show/id/1346858","暴力催收,恐吓,侮辱,骚扰，威胁")</f>
        <v>暴力催收,恐吓,侮辱,骚扰，威胁</v>
      </c>
      <c r="C15207" s="2" t="s">
        <v>9</v>
      </c>
      <c r="D15207" s="2" t="s">
        <v>10</v>
      </c>
      <c r="E15207" s="2" t="str">
        <f>HYPERLINK("http://ts.21cn.com/tousu/show/id/1346858","http://ts.21cn.com/tousu/show/id/1346858")</f>
        <v>http://ts.21cn.com/tousu/show/id/1346858</v>
      </c>
      <c r="F15207" s="2" t="s">
        <v>11</v>
      </c>
      <c r="G15207" s="2" t="s">
        <v>14261</v>
      </c>
      <c r="H15207" s="2" t="s">
        <v>14262</v>
      </c>
    </row>
    <row r="15208" spans="1:8" ht="25.05" customHeight="1" x14ac:dyDescent="0.25">
      <c r="A15208" s="2" t="s">
        <v>8</v>
      </c>
      <c r="B15208" s="2" t="str">
        <f>HYPERLINK("http://ts.21cn.com/tousu/show/id/1346859","逾期后不停打催收骚扰电话")</f>
        <v>逾期后不停打催收骚扰电话</v>
      </c>
      <c r="C15208" s="2" t="s">
        <v>9</v>
      </c>
      <c r="D15208" s="2" t="s">
        <v>10</v>
      </c>
      <c r="E15208" s="2" t="str">
        <f>HYPERLINK("http://ts.21cn.com/tousu/show/id/1346859","http://ts.21cn.com/tousu/show/id/1346859")</f>
        <v>http://ts.21cn.com/tousu/show/id/1346859</v>
      </c>
      <c r="F15208" s="2" t="s">
        <v>11</v>
      </c>
      <c r="G15208" s="2" t="s">
        <v>14259</v>
      </c>
      <c r="H15208" s="2" t="s">
        <v>14260</v>
      </c>
    </row>
    <row r="15209" spans="1:8" ht="25.05" customHeight="1" x14ac:dyDescent="0.25">
      <c r="A15209" s="2" t="s">
        <v>8</v>
      </c>
      <c r="B15209" s="2" t="str">
        <f>HYPERLINK("http://ts.21cn.com/tousu/show/id/1346860","只求早日解决")</f>
        <v>只求早日解决</v>
      </c>
      <c r="C15209" s="2" t="s">
        <v>9</v>
      </c>
      <c r="D15209" s="2" t="s">
        <v>10</v>
      </c>
      <c r="E15209" s="2" t="str">
        <f>HYPERLINK("http://ts.21cn.com/tousu/show/id/1346860","http://ts.21cn.com/tousu/show/id/1346860")</f>
        <v>http://ts.21cn.com/tousu/show/id/1346860</v>
      </c>
      <c r="F15209" s="2" t="s">
        <v>11</v>
      </c>
      <c r="G15209" s="2" t="s">
        <v>14257</v>
      </c>
      <c r="H15209" s="2" t="s">
        <v>14258</v>
      </c>
    </row>
    <row r="15210" spans="1:8" ht="25.05" customHeight="1" x14ac:dyDescent="0.25">
      <c r="A15210" s="2" t="s">
        <v>8</v>
      </c>
      <c r="B15210" s="2" t="str">
        <f>HYPERLINK("http://ts.21cn.com/tousu/show/id/1346861","钱站高利贷阴阳合同")</f>
        <v>钱站高利贷阴阳合同</v>
      </c>
      <c r="C15210" s="2" t="s">
        <v>9</v>
      </c>
      <c r="D15210" s="2" t="s">
        <v>10</v>
      </c>
      <c r="E15210" s="2" t="str">
        <f>HYPERLINK("http://ts.21cn.com/tousu/show/id/1346861","http://ts.21cn.com/tousu/show/id/1346861")</f>
        <v>http://ts.21cn.com/tousu/show/id/1346861</v>
      </c>
      <c r="F15210" s="2" t="s">
        <v>11</v>
      </c>
      <c r="G15210" s="2" t="s">
        <v>14255</v>
      </c>
      <c r="H15210" s="2" t="s">
        <v>14256</v>
      </c>
    </row>
    <row r="15211" spans="1:8" ht="25.05" customHeight="1" x14ac:dyDescent="0.25">
      <c r="A15211" s="2" t="s">
        <v>8</v>
      </c>
      <c r="B15211" s="2" t="str">
        <f>HYPERLINK("http://ts.21cn.com/tousu/show/id/1346862","撤销逾期征信记录")</f>
        <v>撤销逾期征信记录</v>
      </c>
      <c r="C15211" s="2" t="s">
        <v>9</v>
      </c>
      <c r="D15211" s="2" t="s">
        <v>10</v>
      </c>
      <c r="E15211" s="2" t="str">
        <f>HYPERLINK("http://ts.21cn.com/tousu/show/id/1346862","http://ts.21cn.com/tousu/show/id/1346862")</f>
        <v>http://ts.21cn.com/tousu/show/id/1346862</v>
      </c>
      <c r="F15211" s="2" t="s">
        <v>11</v>
      </c>
      <c r="G15211" s="2" t="s">
        <v>14253</v>
      </c>
      <c r="H15211" s="2" t="s">
        <v>14254</v>
      </c>
    </row>
    <row r="15212" spans="1:8" ht="25.05" customHeight="1" x14ac:dyDescent="0.25">
      <c r="A15212" s="2" t="s">
        <v>8</v>
      </c>
      <c r="B15212" s="2" t="str">
        <f>HYPERLINK("http://ts.21cn.com/tousu/show/id/1346863","到期还款无短信提醒导致逾期产生征信不良")</f>
        <v>到期还款无短信提醒导致逾期产生征信不良</v>
      </c>
      <c r="C15212" s="2" t="s">
        <v>34</v>
      </c>
      <c r="D15212" s="2" t="s">
        <v>10</v>
      </c>
      <c r="E15212" s="2" t="str">
        <f>HYPERLINK("http://ts.21cn.com/tousu/show/id/1346863","http://ts.21cn.com/tousu/show/id/1346863")</f>
        <v>http://ts.21cn.com/tousu/show/id/1346863</v>
      </c>
      <c r="F15212" s="2" t="s">
        <v>11</v>
      </c>
      <c r="G15212" s="2" t="s">
        <v>14251</v>
      </c>
      <c r="H15212" s="2" t="s">
        <v>14252</v>
      </c>
    </row>
    <row r="15213" spans="1:8" ht="25.05" customHeight="1" x14ac:dyDescent="0.25">
      <c r="A15213" s="2" t="s">
        <v>8</v>
      </c>
      <c r="B15213" s="2" t="str">
        <f>HYPERLINK("http://ts.21cn.com/tousu/show/id/1346865","停止骚扰，协商好好处理")</f>
        <v>停止骚扰，协商好好处理</v>
      </c>
      <c r="C15213" s="2" t="s">
        <v>9</v>
      </c>
      <c r="D15213" s="2" t="s">
        <v>10</v>
      </c>
      <c r="E15213" s="2" t="str">
        <f>HYPERLINK("http://ts.21cn.com/tousu/show/id/1346865","http://ts.21cn.com/tousu/show/id/1346865")</f>
        <v>http://ts.21cn.com/tousu/show/id/1346865</v>
      </c>
      <c r="F15213" s="2" t="s">
        <v>11</v>
      </c>
      <c r="G15213" s="2" t="s">
        <v>14249</v>
      </c>
      <c r="H15213" s="2" t="s">
        <v>14250</v>
      </c>
    </row>
    <row r="15214" spans="1:8" ht="25.05" customHeight="1" x14ac:dyDescent="0.25">
      <c r="A15214" s="2" t="s">
        <v>8</v>
      </c>
      <c r="B15214" s="2" t="str">
        <f>HYPERLINK("http://ts.21cn.com/tousu/show/id/1346864","暴力催收，威胁，辱骂，诽谤，")</f>
        <v>暴力催收，威胁，辱骂，诽谤，</v>
      </c>
      <c r="C15214" s="2" t="s">
        <v>9</v>
      </c>
      <c r="D15214" s="2" t="s">
        <v>10</v>
      </c>
      <c r="E15214" s="2" t="str">
        <f>HYPERLINK("http://ts.21cn.com/tousu/show/id/1346864","http://ts.21cn.com/tousu/show/id/1346864")</f>
        <v>http://ts.21cn.com/tousu/show/id/1346864</v>
      </c>
      <c r="F15214" s="2" t="s">
        <v>11</v>
      </c>
      <c r="G15214" s="2" t="s">
        <v>14247</v>
      </c>
      <c r="H15214" s="2" t="s">
        <v>14248</v>
      </c>
    </row>
    <row r="15215" spans="1:8" ht="25.05" customHeight="1" x14ac:dyDescent="0.25">
      <c r="A15215" s="2" t="s">
        <v>8</v>
      </c>
      <c r="B15215" s="2" t="str">
        <f>HYPERLINK("http://ts.21cn.com/tousu/show/id/1346866","翼锋网回收电脑CPU迟迟未打款")</f>
        <v>翼锋网回收电脑CPU迟迟未打款</v>
      </c>
      <c r="C15215" s="2" t="s">
        <v>9</v>
      </c>
      <c r="D15215" s="2" t="s">
        <v>10</v>
      </c>
      <c r="E15215" s="2" t="str">
        <f>HYPERLINK("http://ts.21cn.com/tousu/show/id/1346866","http://ts.21cn.com/tousu/show/id/1346866")</f>
        <v>http://ts.21cn.com/tousu/show/id/1346866</v>
      </c>
      <c r="F15215" s="2" t="s">
        <v>11</v>
      </c>
      <c r="G15215" s="2" t="s">
        <v>14245</v>
      </c>
      <c r="H15215" s="2" t="s">
        <v>14246</v>
      </c>
    </row>
    <row r="15216" spans="1:8" ht="25.05" customHeight="1" x14ac:dyDescent="0.25">
      <c r="A15216" s="2" t="s">
        <v>8</v>
      </c>
      <c r="B15216" s="2" t="str">
        <f>HYPERLINK("http://ts.21cn.com/tousu/show/id/1346867","没借马上消费金融的每天打电话发信息来骚扰我")</f>
        <v>没借马上消费金融的每天打电话发信息来骚扰我</v>
      </c>
      <c r="C15216" s="2" t="s">
        <v>9</v>
      </c>
      <c r="D15216" s="2" t="s">
        <v>10</v>
      </c>
      <c r="E15216" s="2" t="str">
        <f>HYPERLINK("http://ts.21cn.com/tousu/show/id/1346867","http://ts.21cn.com/tousu/show/id/1346867")</f>
        <v>http://ts.21cn.com/tousu/show/id/1346867</v>
      </c>
      <c r="F15216" s="2" t="s">
        <v>11</v>
      </c>
      <c r="G15216" s="2" t="s">
        <v>14243</v>
      </c>
      <c r="H15216" s="2" t="s">
        <v>14244</v>
      </c>
    </row>
    <row r="15217" spans="1:8" ht="25.05" customHeight="1" x14ac:dyDescent="0.25">
      <c r="A15217" s="2" t="s">
        <v>8</v>
      </c>
      <c r="B15217" s="2" t="str">
        <f>HYPERLINK("http://ts.21cn.com/tousu/show/id/1346868","石榴分期诱导绑卡扣钱")</f>
        <v>石榴分期诱导绑卡扣钱</v>
      </c>
      <c r="C15217" s="2" t="s">
        <v>9</v>
      </c>
      <c r="D15217" s="2" t="s">
        <v>10</v>
      </c>
      <c r="E15217" s="2" t="str">
        <f>HYPERLINK("http://ts.21cn.com/tousu/show/id/1346868","http://ts.21cn.com/tousu/show/id/1346868")</f>
        <v>http://ts.21cn.com/tousu/show/id/1346868</v>
      </c>
      <c r="F15217" s="2" t="s">
        <v>11</v>
      </c>
      <c r="G15217" s="2" t="s">
        <v>14241</v>
      </c>
      <c r="H15217" s="2" t="s">
        <v>14242</v>
      </c>
    </row>
    <row r="15218" spans="1:8" ht="25.05" customHeight="1" x14ac:dyDescent="0.25">
      <c r="A15218" s="2" t="s">
        <v>8</v>
      </c>
      <c r="B15218" s="2" t="str">
        <f>HYPERLINK("http://ts.21cn.com/tousu/show/id/1346869","招商银行催收满到处毁坏欠款人名声，这样合理吗？")</f>
        <v>招商银行催收满到处毁坏欠款人名声，这样合理吗？</v>
      </c>
      <c r="C15218" s="2" t="s">
        <v>9</v>
      </c>
      <c r="D15218" s="2" t="s">
        <v>10</v>
      </c>
      <c r="E15218" s="2" t="str">
        <f>HYPERLINK("http://ts.21cn.com/tousu/show/id/1346869","http://ts.21cn.com/tousu/show/id/1346869")</f>
        <v>http://ts.21cn.com/tousu/show/id/1346869</v>
      </c>
      <c r="F15218" s="2" t="s">
        <v>11</v>
      </c>
      <c r="G15218" s="2" t="s">
        <v>14239</v>
      </c>
      <c r="H15218" s="2" t="s">
        <v>14240</v>
      </c>
    </row>
    <row r="15219" spans="1:8" ht="25.05" customHeight="1" x14ac:dyDescent="0.25">
      <c r="A15219" s="2" t="s">
        <v>8</v>
      </c>
      <c r="B15219" s="2" t="str">
        <f>HYPERLINK("http://ts.21cn.com/tousu/show/id/1346870","恶意扣款")</f>
        <v>恶意扣款</v>
      </c>
      <c r="C15219" s="2" t="s">
        <v>9</v>
      </c>
      <c r="D15219" s="2" t="s">
        <v>10</v>
      </c>
      <c r="E15219" s="2" t="str">
        <f>HYPERLINK("http://ts.21cn.com/tousu/show/id/1346870","http://ts.21cn.com/tousu/show/id/1346870")</f>
        <v>http://ts.21cn.com/tousu/show/id/1346870</v>
      </c>
      <c r="F15219" s="2" t="s">
        <v>11</v>
      </c>
      <c r="G15219" s="2" t="s">
        <v>14237</v>
      </c>
      <c r="H15219" s="2" t="s">
        <v>14238</v>
      </c>
    </row>
    <row r="15220" spans="1:8" ht="25.05" customHeight="1" x14ac:dyDescent="0.25">
      <c r="A15220" s="2" t="s">
        <v>8</v>
      </c>
      <c r="B15220" s="2" t="str">
        <f>HYPERLINK("http://ts.21cn.com/tousu/show/id/1346871","点融魔借强行超高额扣除砍头息")</f>
        <v>点融魔借强行超高额扣除砍头息</v>
      </c>
      <c r="C15220" s="2" t="s">
        <v>9</v>
      </c>
      <c r="D15220" s="2" t="s">
        <v>10</v>
      </c>
      <c r="E15220" s="2" t="str">
        <f>HYPERLINK("http://ts.21cn.com/tousu/show/id/1346871","http://ts.21cn.com/tousu/show/id/1346871")</f>
        <v>http://ts.21cn.com/tousu/show/id/1346871</v>
      </c>
      <c r="F15220" s="2" t="s">
        <v>11</v>
      </c>
      <c r="G15220" s="2" t="s">
        <v>14235</v>
      </c>
      <c r="H15220" s="2" t="s">
        <v>14236</v>
      </c>
    </row>
    <row r="15221" spans="1:8" ht="25.05" customHeight="1" x14ac:dyDescent="0.25">
      <c r="A15221" s="2" t="s">
        <v>8</v>
      </c>
      <c r="B15221" s="2" t="str">
        <f>HYPERLINK("http://ts.21cn.com/tousu/show/id/1346872","火影帮套路贷高利贷")</f>
        <v>火影帮套路贷高利贷</v>
      </c>
      <c r="C15221" s="2" t="s">
        <v>9</v>
      </c>
      <c r="D15221" s="2" t="s">
        <v>10</v>
      </c>
      <c r="E15221" s="2" t="str">
        <f>HYPERLINK("http://ts.21cn.com/tousu/show/id/1346872","http://ts.21cn.com/tousu/show/id/1346872")</f>
        <v>http://ts.21cn.com/tousu/show/id/1346872</v>
      </c>
      <c r="F15221" s="2" t="s">
        <v>11</v>
      </c>
      <c r="G15221" s="2" t="s">
        <v>14233</v>
      </c>
      <c r="H15221" s="2" t="s">
        <v>14234</v>
      </c>
    </row>
    <row r="15222" spans="1:8" ht="25.05" customHeight="1" x14ac:dyDescent="0.25">
      <c r="A15222" s="2" t="s">
        <v>8</v>
      </c>
      <c r="B15222" s="2" t="str">
        <f>HYPERLINK("http://ts.21cn.com/tousu/show/id/1346873","每天好几个推销骚扰电话")</f>
        <v>每天好几个推销骚扰电话</v>
      </c>
      <c r="C15222" s="2" t="s">
        <v>9</v>
      </c>
      <c r="D15222" s="2" t="s">
        <v>10</v>
      </c>
      <c r="E15222" s="2" t="str">
        <f>HYPERLINK("http://ts.21cn.com/tousu/show/id/1346873","http://ts.21cn.com/tousu/show/id/1346873")</f>
        <v>http://ts.21cn.com/tousu/show/id/1346873</v>
      </c>
      <c r="F15222" s="2" t="s">
        <v>11</v>
      </c>
      <c r="G15222" s="2" t="s">
        <v>14231</v>
      </c>
      <c r="H15222" s="2" t="s">
        <v>14232</v>
      </c>
    </row>
    <row r="15223" spans="1:8" ht="25.05" customHeight="1" x14ac:dyDescent="0.25">
      <c r="A15223" s="2" t="s">
        <v>8</v>
      </c>
      <c r="B15223" s="2" t="str">
        <f>HYPERLINK("http://ts.21cn.com/tousu/show/id/1346875","暴力催收高利贷")</f>
        <v>暴力催收高利贷</v>
      </c>
      <c r="C15223" s="2" t="s">
        <v>9</v>
      </c>
      <c r="D15223" s="2" t="s">
        <v>10</v>
      </c>
      <c r="E15223" s="2" t="str">
        <f>HYPERLINK("http://ts.21cn.com/tousu/show/id/1346875","http://ts.21cn.com/tousu/show/id/1346875")</f>
        <v>http://ts.21cn.com/tousu/show/id/1346875</v>
      </c>
      <c r="F15223" s="2" t="s">
        <v>11</v>
      </c>
      <c r="G15223" s="2" t="s">
        <v>14229</v>
      </c>
      <c r="H15223" s="2" t="s">
        <v>14230</v>
      </c>
    </row>
    <row r="15224" spans="1:8" ht="25.05" customHeight="1" x14ac:dyDescent="0.25">
      <c r="A15224" s="2" t="s">
        <v>8</v>
      </c>
      <c r="B15224" s="2" t="str">
        <f>HYPERLINK("http://ts.21cn.com/tousu/show/id/1346876","交通银行信用卡逾期未还，和银行已协商每月还，然后2个月后银行反悔说要报案处理")</f>
        <v>交通银行信用卡逾期未还，和银行已协商每月还，然后2个月后银行反悔说要报案处理</v>
      </c>
      <c r="C15224" s="2" t="s">
        <v>9</v>
      </c>
      <c r="D15224" s="2" t="s">
        <v>10</v>
      </c>
      <c r="E15224" s="2" t="str">
        <f>HYPERLINK("http://ts.21cn.com/tousu/show/id/1346876","http://ts.21cn.com/tousu/show/id/1346876")</f>
        <v>http://ts.21cn.com/tousu/show/id/1346876</v>
      </c>
      <c r="F15224" s="2" t="s">
        <v>11</v>
      </c>
      <c r="G15224" s="2" t="s">
        <v>14227</v>
      </c>
      <c r="H15224" s="2" t="s">
        <v>14228</v>
      </c>
    </row>
    <row r="15225" spans="1:8" ht="25.05" customHeight="1" x14ac:dyDescent="0.25">
      <c r="A15225" s="2" t="s">
        <v>8</v>
      </c>
      <c r="B15225" s="2" t="str">
        <f>HYPERLINK("http://ts.21cn.com/tousu/show/id/1346874","钱橙无忧随意扣费")</f>
        <v>钱橙无忧随意扣费</v>
      </c>
      <c r="C15225" s="2" t="s">
        <v>9</v>
      </c>
      <c r="D15225" s="2" t="s">
        <v>10</v>
      </c>
      <c r="E15225" s="2" t="str">
        <f>HYPERLINK("http://ts.21cn.com/tousu/show/id/1346874","http://ts.21cn.com/tousu/show/id/1346874")</f>
        <v>http://ts.21cn.com/tousu/show/id/1346874</v>
      </c>
      <c r="F15225" s="2" t="s">
        <v>11</v>
      </c>
      <c r="G15225" s="2" t="s">
        <v>14225</v>
      </c>
      <c r="H15225" s="2" t="s">
        <v>14226</v>
      </c>
    </row>
    <row r="15226" spans="1:8" ht="25.05" customHeight="1" x14ac:dyDescent="0.25">
      <c r="A15226" s="2" t="s">
        <v>8</v>
      </c>
      <c r="B15226" s="2" t="str">
        <f>HYPERLINK("http://ts.21cn.com/tousu/show/id/1346877","中通快递敷衍不处理问题")</f>
        <v>中通快递敷衍不处理问题</v>
      </c>
      <c r="C15226" s="2" t="s">
        <v>9</v>
      </c>
      <c r="D15226" s="2" t="s">
        <v>10</v>
      </c>
      <c r="E15226" s="2" t="str">
        <f>HYPERLINK("http://ts.21cn.com/tousu/show/id/1346877","http://ts.21cn.com/tousu/show/id/1346877")</f>
        <v>http://ts.21cn.com/tousu/show/id/1346877</v>
      </c>
      <c r="F15226" s="2" t="s">
        <v>11</v>
      </c>
      <c r="G15226" s="2" t="s">
        <v>14223</v>
      </c>
      <c r="H15226" s="2" t="s">
        <v>14224</v>
      </c>
    </row>
    <row r="15227" spans="1:8" ht="25.05" customHeight="1" x14ac:dyDescent="0.25">
      <c r="A15227" s="2" t="s">
        <v>8</v>
      </c>
      <c r="B15227" s="2" t="str">
        <f>HYPERLINK("http://ts.21cn.com/tousu/show/id/1346878","网易云商城拒绝退货")</f>
        <v>网易云商城拒绝退货</v>
      </c>
      <c r="C15227" s="2" t="s">
        <v>9</v>
      </c>
      <c r="D15227" s="2" t="s">
        <v>10</v>
      </c>
      <c r="E15227" s="2" t="str">
        <f>HYPERLINK("http://ts.21cn.com/tousu/show/id/1346878","http://ts.21cn.com/tousu/show/id/1346878")</f>
        <v>http://ts.21cn.com/tousu/show/id/1346878</v>
      </c>
      <c r="F15227" s="2" t="s">
        <v>11</v>
      </c>
      <c r="G15227" s="2" t="s">
        <v>14221</v>
      </c>
      <c r="H15227" s="2" t="s">
        <v>14222</v>
      </c>
    </row>
    <row r="15228" spans="1:8" ht="25.05" customHeight="1" x14ac:dyDescent="0.25">
      <c r="A15228" s="2" t="s">
        <v>8</v>
      </c>
      <c r="B15228" s="2" t="str">
        <f>HYPERLINK("http://ts.21cn.com/tousu/show/id/1346879","同程旅游app欺诈消费者")</f>
        <v>同程旅游app欺诈消费者</v>
      </c>
      <c r="C15228" s="2" t="s">
        <v>9</v>
      </c>
      <c r="D15228" s="2" t="s">
        <v>10</v>
      </c>
      <c r="E15228" s="2" t="str">
        <f>HYPERLINK("http://ts.21cn.com/tousu/show/id/1346879","http://ts.21cn.com/tousu/show/id/1346879")</f>
        <v>http://ts.21cn.com/tousu/show/id/1346879</v>
      </c>
      <c r="F15228" s="2" t="s">
        <v>11</v>
      </c>
      <c r="G15228" s="2" t="s">
        <v>14219</v>
      </c>
      <c r="H15228" s="2" t="s">
        <v>14220</v>
      </c>
    </row>
    <row r="15229" spans="1:8" ht="25.05" customHeight="1" x14ac:dyDescent="0.25">
      <c r="A15229" s="2" t="s">
        <v>8</v>
      </c>
      <c r="B15229" s="2" t="str">
        <f>HYPERLINK("http://ts.21cn.com/tousu/show/id/1346700","拼多多为众多赌博平台提供资金结算我怀疑涉嫌洗钱服务")</f>
        <v>拼多多为众多赌博平台提供资金结算我怀疑涉嫌洗钱服务</v>
      </c>
      <c r="C15229" s="2" t="s">
        <v>9</v>
      </c>
      <c r="D15229" s="2" t="s">
        <v>10</v>
      </c>
      <c r="E15229" s="2" t="str">
        <f>HYPERLINK("http://ts.21cn.com/tousu/show/id/1346700","http://ts.21cn.com/tousu/show/id/1346700")</f>
        <v>http://ts.21cn.com/tousu/show/id/1346700</v>
      </c>
      <c r="F15229" s="2" t="s">
        <v>11</v>
      </c>
      <c r="G15229" s="2" t="s">
        <v>14217</v>
      </c>
      <c r="H15229" s="2" t="s">
        <v>14218</v>
      </c>
    </row>
    <row r="15230" spans="1:8" ht="25.05" customHeight="1" x14ac:dyDescent="0.25">
      <c r="A15230" s="2" t="s">
        <v>8</v>
      </c>
      <c r="B15230" s="2" t="str">
        <f>HYPERLINK("http://ts.21cn.com/tousu/show/id/1346881","农行卡被网银在线扣款")</f>
        <v>农行卡被网银在线扣款</v>
      </c>
      <c r="C15230" s="2" t="s">
        <v>34</v>
      </c>
      <c r="D15230" s="2" t="s">
        <v>10</v>
      </c>
      <c r="E15230" s="2" t="str">
        <f>HYPERLINK("http://ts.21cn.com/tousu/show/id/1346881","http://ts.21cn.com/tousu/show/id/1346881")</f>
        <v>http://ts.21cn.com/tousu/show/id/1346881</v>
      </c>
      <c r="F15230" s="2" t="s">
        <v>11</v>
      </c>
      <c r="G15230" s="2" t="s">
        <v>14215</v>
      </c>
      <c r="H15230" s="2" t="s">
        <v>14216</v>
      </c>
    </row>
    <row r="15231" spans="1:8" ht="25.05" customHeight="1" x14ac:dyDescent="0.25">
      <c r="A15231" s="2" t="s">
        <v>8</v>
      </c>
      <c r="B15231" s="2" t="str">
        <f>HYPERLINK("http://ts.21cn.com/tousu/show/id/1346880","联系工作单位，影响正常工作")</f>
        <v>联系工作单位，影响正常工作</v>
      </c>
      <c r="C15231" s="2" t="s">
        <v>9</v>
      </c>
      <c r="D15231" s="2" t="s">
        <v>10</v>
      </c>
      <c r="E15231" s="2" t="str">
        <f>HYPERLINK("http://ts.21cn.com/tousu/show/id/1346880","http://ts.21cn.com/tousu/show/id/1346880")</f>
        <v>http://ts.21cn.com/tousu/show/id/1346880</v>
      </c>
      <c r="F15231" s="2" t="s">
        <v>11</v>
      </c>
      <c r="G15231" s="2" t="s">
        <v>14213</v>
      </c>
      <c r="H15231" s="2" t="s">
        <v>14214</v>
      </c>
    </row>
    <row r="15232" spans="1:8" ht="25.05" customHeight="1" x14ac:dyDescent="0.25">
      <c r="A15232" s="2" t="s">
        <v>8</v>
      </c>
      <c r="B15232" s="2" t="str">
        <f>HYPERLINK("http://ts.21cn.com/tousu/show/id/1346882","高额利息砍头")</f>
        <v>高额利息砍头</v>
      </c>
      <c r="C15232" s="2" t="s">
        <v>9</v>
      </c>
      <c r="D15232" s="2" t="s">
        <v>10</v>
      </c>
      <c r="E15232" s="2" t="str">
        <f>HYPERLINK("http://ts.21cn.com/tousu/show/id/1346882","http://ts.21cn.com/tousu/show/id/1346882")</f>
        <v>http://ts.21cn.com/tousu/show/id/1346882</v>
      </c>
      <c r="F15232" s="2" t="s">
        <v>11</v>
      </c>
      <c r="G15232" s="2" t="s">
        <v>14211</v>
      </c>
      <c r="H15232" s="2" t="s">
        <v>14212</v>
      </c>
    </row>
    <row r="15233" spans="1:8" ht="25.05" customHeight="1" x14ac:dyDescent="0.25">
      <c r="A15233" s="2" t="s">
        <v>8</v>
      </c>
      <c r="B15233" s="2" t="str">
        <f>HYPERLINK("http://ts.21cn.com/tousu/show/id/1346883","小浦优客未经同意扣款")</f>
        <v>小浦优客未经同意扣款</v>
      </c>
      <c r="C15233" s="2" t="s">
        <v>9</v>
      </c>
      <c r="D15233" s="2" t="s">
        <v>10</v>
      </c>
      <c r="E15233" s="2" t="str">
        <f>HYPERLINK("http://ts.21cn.com/tousu/show/id/1346883","http://ts.21cn.com/tousu/show/id/1346883")</f>
        <v>http://ts.21cn.com/tousu/show/id/1346883</v>
      </c>
      <c r="F15233" s="2" t="s">
        <v>11</v>
      </c>
      <c r="G15233" s="2" t="s">
        <v>14209</v>
      </c>
      <c r="H15233" s="2" t="s">
        <v>14210</v>
      </c>
    </row>
    <row r="15234" spans="1:8" ht="25.05" customHeight="1" x14ac:dyDescent="0.25">
      <c r="A15234" s="2" t="s">
        <v>8</v>
      </c>
      <c r="B15234" s="2" t="str">
        <f>HYPERLINK("http://ts.21cn.com/tousu/show/id/1346884","合利宝违规操作，砍头息，高利贷")</f>
        <v>合利宝违规操作，砍头息，高利贷</v>
      </c>
      <c r="C15234" s="2" t="s">
        <v>9</v>
      </c>
      <c r="D15234" s="2" t="s">
        <v>10</v>
      </c>
      <c r="E15234" s="2" t="str">
        <f>HYPERLINK("http://ts.21cn.com/tousu/show/id/1346884","http://ts.21cn.com/tousu/show/id/1346884")</f>
        <v>http://ts.21cn.com/tousu/show/id/1346884</v>
      </c>
      <c r="F15234" s="2" t="s">
        <v>11</v>
      </c>
      <c r="G15234" s="2" t="s">
        <v>14207</v>
      </c>
      <c r="H15234" s="2" t="s">
        <v>14208</v>
      </c>
    </row>
    <row r="15235" spans="1:8" ht="25.05" customHeight="1" x14ac:dyDescent="0.25">
      <c r="A15235" s="2" t="s">
        <v>8</v>
      </c>
      <c r="B15235" s="2" t="str">
        <f>HYPERLINK("http://ts.21cn.com/tousu/show/id/1346891","美团骚扰")</f>
        <v>美团骚扰</v>
      </c>
      <c r="C15235" s="2" t="s">
        <v>9</v>
      </c>
      <c r="D15235" s="2" t="s">
        <v>10</v>
      </c>
      <c r="E15235" s="2" t="str">
        <f>HYPERLINK("http://ts.21cn.com/tousu/show/id/1346891","http://ts.21cn.com/tousu/show/id/1346891")</f>
        <v>http://ts.21cn.com/tousu/show/id/1346891</v>
      </c>
      <c r="F15235" s="2" t="s">
        <v>11</v>
      </c>
      <c r="G15235" s="2" t="s">
        <v>14204</v>
      </c>
      <c r="H15235" s="2" t="s">
        <v>14205</v>
      </c>
    </row>
    <row r="15236" spans="1:8" ht="25.05" customHeight="1" x14ac:dyDescent="0.25">
      <c r="A15236" s="2" t="s">
        <v>8</v>
      </c>
      <c r="B15236" s="2" t="str">
        <f>HYPERLINK("http://ts.21cn.com/tousu/show/id/1346851","(特约)中智(消费)")</f>
        <v>(特约)中智(消费)</v>
      </c>
      <c r="C15236" s="2" t="s">
        <v>9</v>
      </c>
      <c r="D15236" s="2" t="s">
        <v>10</v>
      </c>
      <c r="E15236" s="2" t="str">
        <f>HYPERLINK("http://ts.21cn.com/tousu/show/id/1346851","http://ts.21cn.com/tousu/show/id/1346851")</f>
        <v>http://ts.21cn.com/tousu/show/id/1346851</v>
      </c>
      <c r="F15236" s="2" t="s">
        <v>11</v>
      </c>
      <c r="G15236" s="2" t="s">
        <v>14204</v>
      </c>
      <c r="H15236" s="2" t="s">
        <v>14206</v>
      </c>
    </row>
    <row r="15237" spans="1:8" ht="25.05" customHeight="1" x14ac:dyDescent="0.25">
      <c r="A15237" s="2" t="s">
        <v>8</v>
      </c>
      <c r="B15237" s="2" t="str">
        <f>HYPERLINK("http://ts.21cn.com/tousu/show/id/1346886","哪吒钱包与上海况珩信息科技有限公司套路客户，恶意扣费")</f>
        <v>哪吒钱包与上海况珩信息科技有限公司套路客户，恶意扣费</v>
      </c>
      <c r="C15237" s="2" t="s">
        <v>9</v>
      </c>
      <c r="D15237" s="2" t="s">
        <v>10</v>
      </c>
      <c r="E15237" s="2" t="str">
        <f>HYPERLINK("http://ts.21cn.com/tousu/show/id/1346886","http://ts.21cn.com/tousu/show/id/1346886")</f>
        <v>http://ts.21cn.com/tousu/show/id/1346886</v>
      </c>
      <c r="F15237" s="2" t="s">
        <v>11</v>
      </c>
      <c r="G15237" s="2" t="s">
        <v>14202</v>
      </c>
      <c r="H15237" s="2" t="s">
        <v>14203</v>
      </c>
    </row>
    <row r="15238" spans="1:8" ht="25.05" customHeight="1" x14ac:dyDescent="0.25">
      <c r="A15238" s="2" t="s">
        <v>8</v>
      </c>
      <c r="B15238" s="2" t="str">
        <f>HYPERLINK("http://ts.21cn.com/tousu/show/id/1346888","新生支付私自扣除我168元")</f>
        <v>新生支付私自扣除我168元</v>
      </c>
      <c r="C15238" s="2" t="s">
        <v>34</v>
      </c>
      <c r="D15238" s="2" t="s">
        <v>10</v>
      </c>
      <c r="E15238" s="2" t="str">
        <f>HYPERLINK("http://ts.21cn.com/tousu/show/id/1346888","http://ts.21cn.com/tousu/show/id/1346888")</f>
        <v>http://ts.21cn.com/tousu/show/id/1346888</v>
      </c>
      <c r="F15238" s="2" t="s">
        <v>11</v>
      </c>
      <c r="G15238" s="2" t="s">
        <v>14200</v>
      </c>
      <c r="H15238" s="2" t="s">
        <v>14201</v>
      </c>
    </row>
    <row r="15239" spans="1:8" ht="25.05" customHeight="1" x14ac:dyDescent="0.25">
      <c r="A15239" s="2" t="s">
        <v>8</v>
      </c>
      <c r="B15239" s="2" t="str">
        <f>HYPERLINK("http://ts.21cn.com/tousu/show/id/1346889","携趣网络技术上海有限公司乱扣费")</f>
        <v>携趣网络技术上海有限公司乱扣费</v>
      </c>
      <c r="C15239" s="2" t="s">
        <v>9</v>
      </c>
      <c r="D15239" s="2" t="s">
        <v>10</v>
      </c>
      <c r="E15239" s="2" t="str">
        <f>HYPERLINK("http://ts.21cn.com/tousu/show/id/1346889","http://ts.21cn.com/tousu/show/id/1346889")</f>
        <v>http://ts.21cn.com/tousu/show/id/1346889</v>
      </c>
      <c r="F15239" s="2" t="s">
        <v>11</v>
      </c>
      <c r="G15239" s="2" t="s">
        <v>14198</v>
      </c>
      <c r="H15239" s="2" t="s">
        <v>14199</v>
      </c>
    </row>
    <row r="15240" spans="1:8" ht="25.05" customHeight="1" x14ac:dyDescent="0.25">
      <c r="A15240" s="2" t="s">
        <v>8</v>
      </c>
      <c r="B15240" s="2" t="str">
        <f>HYPERLINK("http://ts.21cn.com/tousu/show/id/1346890","参加活动对方不让提现")</f>
        <v>参加活动对方不让提现</v>
      </c>
      <c r="C15240" s="2" t="s">
        <v>9</v>
      </c>
      <c r="D15240" s="2" t="s">
        <v>10</v>
      </c>
      <c r="E15240" s="2" t="str">
        <f>HYPERLINK("http://ts.21cn.com/tousu/show/id/1346890","http://ts.21cn.com/tousu/show/id/1346890")</f>
        <v>http://ts.21cn.com/tousu/show/id/1346890</v>
      </c>
      <c r="F15240" s="2" t="s">
        <v>11</v>
      </c>
      <c r="G15240" s="2" t="s">
        <v>14196</v>
      </c>
      <c r="H15240" s="2" t="s">
        <v>14197</v>
      </c>
    </row>
    <row r="15241" spans="1:8" ht="25.05" customHeight="1" x14ac:dyDescent="0.25">
      <c r="A15241" s="2" t="s">
        <v>8</v>
      </c>
      <c r="B15241" s="2" t="str">
        <f>HYPERLINK("http://ts.21cn.com/tousu/show/id/1346887","富友支付为海南易联普惠的乐易花平台提供非法支付通道和结算")</f>
        <v>富友支付为海南易联普惠的乐易花平台提供非法支付通道和结算</v>
      </c>
      <c r="C15241" s="2" t="s">
        <v>9</v>
      </c>
      <c r="D15241" s="2" t="s">
        <v>10</v>
      </c>
      <c r="E15241" s="2" t="str">
        <f>HYPERLINK("http://ts.21cn.com/tousu/show/id/1346887","http://ts.21cn.com/tousu/show/id/1346887")</f>
        <v>http://ts.21cn.com/tousu/show/id/1346887</v>
      </c>
      <c r="F15241" s="2" t="s">
        <v>11</v>
      </c>
      <c r="G15241" s="2" t="s">
        <v>14194</v>
      </c>
      <c r="H15241" s="2" t="s">
        <v>14195</v>
      </c>
    </row>
    <row r="15242" spans="1:8" ht="25.05" customHeight="1" x14ac:dyDescent="0.25">
      <c r="A15242" s="2" t="s">
        <v>8</v>
      </c>
      <c r="B15242" s="2" t="str">
        <f>HYPERLINK("http://ts.21cn.com/tousu/show/id/1346892","新橙优品结清后重复扣款")</f>
        <v>新橙优品结清后重复扣款</v>
      </c>
      <c r="C15242" s="2" t="s">
        <v>9</v>
      </c>
      <c r="D15242" s="2" t="s">
        <v>10</v>
      </c>
      <c r="E15242" s="2" t="str">
        <f>HYPERLINK("http://ts.21cn.com/tousu/show/id/1346892","http://ts.21cn.com/tousu/show/id/1346892")</f>
        <v>http://ts.21cn.com/tousu/show/id/1346892</v>
      </c>
      <c r="F15242" s="2" t="s">
        <v>11</v>
      </c>
      <c r="G15242" s="2" t="s">
        <v>14192</v>
      </c>
      <c r="H15242" s="2" t="s">
        <v>14193</v>
      </c>
    </row>
    <row r="15243" spans="1:8" ht="25.05" customHeight="1" x14ac:dyDescent="0.25">
      <c r="A15243" s="2" t="s">
        <v>8</v>
      </c>
      <c r="B15243" s="2" t="str">
        <f>HYPERLINK("http://ts.21cn.com/tousu/show/id/1346894","程咬金7天高炮")</f>
        <v>程咬金7天高炮</v>
      </c>
      <c r="C15243" s="2" t="s">
        <v>34</v>
      </c>
      <c r="D15243" s="2" t="s">
        <v>10</v>
      </c>
      <c r="E15243" s="2" t="str">
        <f>HYPERLINK("http://ts.21cn.com/tousu/show/id/1346894","http://ts.21cn.com/tousu/show/id/1346894")</f>
        <v>http://ts.21cn.com/tousu/show/id/1346894</v>
      </c>
      <c r="F15243" s="2" t="s">
        <v>11</v>
      </c>
      <c r="G15243" s="2" t="s">
        <v>14190</v>
      </c>
      <c r="H15243" s="2" t="s">
        <v>14191</v>
      </c>
    </row>
    <row r="15244" spans="1:8" ht="25.05" customHeight="1" x14ac:dyDescent="0.25">
      <c r="A15244" s="2" t="s">
        <v>8</v>
      </c>
      <c r="B15244" s="2" t="str">
        <f>HYPERLINK("http://ts.21cn.com/tousu/show/id/1346895","滴滴出行乱扣所谓的违约金")</f>
        <v>滴滴出行乱扣所谓的违约金</v>
      </c>
      <c r="C15244" s="2" t="s">
        <v>9</v>
      </c>
      <c r="D15244" s="2" t="s">
        <v>10</v>
      </c>
      <c r="E15244" s="2" t="str">
        <f>HYPERLINK("http://ts.21cn.com/tousu/show/id/1346895","http://ts.21cn.com/tousu/show/id/1346895")</f>
        <v>http://ts.21cn.com/tousu/show/id/1346895</v>
      </c>
      <c r="F15244" s="2" t="s">
        <v>11</v>
      </c>
      <c r="G15244" s="2" t="s">
        <v>14188</v>
      </c>
      <c r="H15244" s="2" t="s">
        <v>14189</v>
      </c>
    </row>
    <row r="15245" spans="1:8" ht="25.05" customHeight="1" x14ac:dyDescent="0.25">
      <c r="A15245" s="2" t="s">
        <v>8</v>
      </c>
      <c r="B15245" s="2" t="str">
        <f>HYPERLINK("http://ts.21cn.com/tousu/show/id/1346897","新橙优品恶意导致武器商家联系不上！")</f>
        <v>新橙优品恶意导致武器商家联系不上！</v>
      </c>
      <c r="C15245" s="2" t="s">
        <v>9</v>
      </c>
      <c r="D15245" s="2" t="s">
        <v>10</v>
      </c>
      <c r="E15245" s="2" t="str">
        <f>HYPERLINK("http://ts.21cn.com/tousu/show/id/1346897","http://ts.21cn.com/tousu/show/id/1346897")</f>
        <v>http://ts.21cn.com/tousu/show/id/1346897</v>
      </c>
      <c r="F15245" s="2" t="s">
        <v>11</v>
      </c>
      <c r="G15245" s="2" t="s">
        <v>14186</v>
      </c>
      <c r="H15245" s="2" t="s">
        <v>14187</v>
      </c>
    </row>
    <row r="15246" spans="1:8" ht="25.05" customHeight="1" x14ac:dyDescent="0.25">
      <c r="A15246" s="2" t="s">
        <v>8</v>
      </c>
      <c r="B15246" s="2" t="str">
        <f>HYPERLINK("http://ts.21cn.com/tousu/show/id/1346899","网贷联系不上客服")</f>
        <v>网贷联系不上客服</v>
      </c>
      <c r="C15246" s="2" t="s">
        <v>9</v>
      </c>
      <c r="D15246" s="2" t="s">
        <v>10</v>
      </c>
      <c r="E15246" s="2" t="str">
        <f>HYPERLINK("http://ts.21cn.com/tousu/show/id/1346899","http://ts.21cn.com/tousu/show/id/1346899")</f>
        <v>http://ts.21cn.com/tousu/show/id/1346899</v>
      </c>
      <c r="F15246" s="2" t="s">
        <v>11</v>
      </c>
      <c r="G15246" s="2" t="s">
        <v>14184</v>
      </c>
      <c r="H15246" s="2" t="s">
        <v>14185</v>
      </c>
    </row>
    <row r="15247" spans="1:8" ht="25.05" customHeight="1" x14ac:dyDescent="0.25">
      <c r="A15247" s="2" t="s">
        <v>8</v>
      </c>
      <c r="B15247" s="2" t="str">
        <f>HYPERLINK("http://ts.21cn.com/tousu/show/id/1346898","希望小米给我一点时间")</f>
        <v>希望小米给我一点时间</v>
      </c>
      <c r="C15247" s="2" t="s">
        <v>9</v>
      </c>
      <c r="D15247" s="2" t="s">
        <v>10</v>
      </c>
      <c r="E15247" s="2" t="str">
        <f>HYPERLINK("http://ts.21cn.com/tousu/show/id/1346898","http://ts.21cn.com/tousu/show/id/1346898")</f>
        <v>http://ts.21cn.com/tousu/show/id/1346898</v>
      </c>
      <c r="F15247" s="2" t="s">
        <v>11</v>
      </c>
      <c r="G15247" s="2" t="s">
        <v>14182</v>
      </c>
      <c r="H15247" s="2" t="s">
        <v>14183</v>
      </c>
    </row>
    <row r="15248" spans="1:8" ht="25.05" customHeight="1" x14ac:dyDescent="0.25">
      <c r="A15248" s="2" t="s">
        <v>8</v>
      </c>
      <c r="B15248" s="2" t="str">
        <f>HYPERLINK("http://ts.21cn.com/tousu/show/id/1346901","没经过同意直接扣费")</f>
        <v>没经过同意直接扣费</v>
      </c>
      <c r="C15248" s="2" t="s">
        <v>9</v>
      </c>
      <c r="D15248" s="2" t="s">
        <v>10</v>
      </c>
      <c r="E15248" s="2" t="str">
        <f>HYPERLINK("http://ts.21cn.com/tousu/show/id/1346901","http://ts.21cn.com/tousu/show/id/1346901")</f>
        <v>http://ts.21cn.com/tousu/show/id/1346901</v>
      </c>
      <c r="F15248" s="2" t="s">
        <v>11</v>
      </c>
      <c r="G15248" s="2" t="s">
        <v>14180</v>
      </c>
      <c r="H15248" s="2" t="s">
        <v>14181</v>
      </c>
    </row>
    <row r="15249" spans="1:8" ht="25.05" customHeight="1" x14ac:dyDescent="0.25">
      <c r="A15249" s="2" t="s">
        <v>8</v>
      </c>
      <c r="B15249" s="2" t="str">
        <f>HYPERLINK("http://ts.21cn.com/tousu/show/id/1346903","银行卡莫名被扣100元")</f>
        <v>银行卡莫名被扣100元</v>
      </c>
      <c r="C15249" s="2" t="s">
        <v>9</v>
      </c>
      <c r="D15249" s="2" t="s">
        <v>10</v>
      </c>
      <c r="E15249" s="2" t="str">
        <f>HYPERLINK("http://ts.21cn.com/tousu/show/id/1346903","http://ts.21cn.com/tousu/show/id/1346903")</f>
        <v>http://ts.21cn.com/tousu/show/id/1346903</v>
      </c>
      <c r="F15249" s="2" t="s">
        <v>11</v>
      </c>
      <c r="G15249" s="2" t="s">
        <v>14178</v>
      </c>
      <c r="H15249" s="2" t="s">
        <v>14179</v>
      </c>
    </row>
    <row r="15250" spans="1:8" ht="25.05" customHeight="1" x14ac:dyDescent="0.25">
      <c r="A15250" s="2" t="s">
        <v>8</v>
      </c>
      <c r="B15250" s="2" t="str">
        <f>HYPERLINK("http://ts.21cn.com/tousu/show/id/1346902","投诉非法网贷强制收取利息")</f>
        <v>投诉非法网贷强制收取利息</v>
      </c>
      <c r="C15250" s="2" t="s">
        <v>9</v>
      </c>
      <c r="D15250" s="2" t="s">
        <v>10</v>
      </c>
      <c r="E15250" s="2" t="str">
        <f>HYPERLINK("http://ts.21cn.com/tousu/show/id/1346902","http://ts.21cn.com/tousu/show/id/1346902")</f>
        <v>http://ts.21cn.com/tousu/show/id/1346902</v>
      </c>
      <c r="F15250" s="2" t="s">
        <v>11</v>
      </c>
      <c r="G15250" s="2" t="s">
        <v>14176</v>
      </c>
      <c r="H15250" s="2" t="s">
        <v>14177</v>
      </c>
    </row>
    <row r="15251" spans="1:8" ht="25.05" customHeight="1" x14ac:dyDescent="0.25">
      <c r="A15251" s="2" t="s">
        <v>8</v>
      </c>
      <c r="B15251" s="2" t="str">
        <f>HYPERLINK("http://ts.21cn.com/tousu/show/id/1346904","未消费从银行卡扣款")</f>
        <v>未消费从银行卡扣款</v>
      </c>
      <c r="C15251" s="2" t="s">
        <v>34</v>
      </c>
      <c r="D15251" s="2" t="s">
        <v>10</v>
      </c>
      <c r="E15251" s="2" t="str">
        <f>HYPERLINK("http://ts.21cn.com/tousu/show/id/1346904","http://ts.21cn.com/tousu/show/id/1346904")</f>
        <v>http://ts.21cn.com/tousu/show/id/1346904</v>
      </c>
      <c r="F15251" s="2" t="s">
        <v>11</v>
      </c>
      <c r="G15251" s="2" t="s">
        <v>14174</v>
      </c>
      <c r="H15251" s="2" t="s">
        <v>14175</v>
      </c>
    </row>
    <row r="15252" spans="1:8" ht="25.05" customHeight="1" x14ac:dyDescent="0.25">
      <c r="A15252" s="2" t="s">
        <v>8</v>
      </c>
      <c r="B15252" s="2" t="str">
        <f>HYPERLINK("http://ts.21cn.com/tousu/show/id/1346905","光大信用卡不恢复额度")</f>
        <v>光大信用卡不恢复额度</v>
      </c>
      <c r="C15252" s="2" t="s">
        <v>34</v>
      </c>
      <c r="D15252" s="2" t="s">
        <v>10</v>
      </c>
      <c r="E15252" s="2" t="str">
        <f>HYPERLINK("http://ts.21cn.com/tousu/show/id/1346905","http://ts.21cn.com/tousu/show/id/1346905")</f>
        <v>http://ts.21cn.com/tousu/show/id/1346905</v>
      </c>
      <c r="F15252" s="2" t="s">
        <v>11</v>
      </c>
      <c r="G15252" s="2" t="s">
        <v>14172</v>
      </c>
      <c r="H15252" s="2" t="s">
        <v>14173</v>
      </c>
    </row>
    <row r="15253" spans="1:8" ht="25.05" customHeight="1" x14ac:dyDescent="0.25">
      <c r="A15253" s="2" t="s">
        <v>8</v>
      </c>
      <c r="B15253" s="2" t="str">
        <f>HYPERLINK("http://ts.21cn.com/tousu/show/id/1346906","及贷爆通讯录违规催收")</f>
        <v>及贷爆通讯录违规催收</v>
      </c>
      <c r="C15253" s="2" t="s">
        <v>9</v>
      </c>
      <c r="D15253" s="2" t="s">
        <v>10</v>
      </c>
      <c r="E15253" s="2" t="str">
        <f>HYPERLINK("http://ts.21cn.com/tousu/show/id/1346906","http://ts.21cn.com/tousu/show/id/1346906")</f>
        <v>http://ts.21cn.com/tousu/show/id/1346906</v>
      </c>
      <c r="F15253" s="2" t="s">
        <v>11</v>
      </c>
      <c r="G15253" s="2" t="s">
        <v>14170</v>
      </c>
      <c r="H15253" s="2" t="s">
        <v>14171</v>
      </c>
    </row>
    <row r="15254" spans="1:8" ht="25.05" customHeight="1" x14ac:dyDescent="0.25">
      <c r="A15254" s="2" t="s">
        <v>8</v>
      </c>
      <c r="B15254" s="2" t="str">
        <f>HYPERLINK("http://ts.21cn.com/tousu/show/id/1346907","钱站爱钱进高利贷砍头息")</f>
        <v>钱站爱钱进高利贷砍头息</v>
      </c>
      <c r="C15254" s="2" t="s">
        <v>9</v>
      </c>
      <c r="D15254" s="2" t="s">
        <v>10</v>
      </c>
      <c r="E15254" s="2" t="str">
        <f>HYPERLINK("http://ts.21cn.com/tousu/show/id/1346907","http://ts.21cn.com/tousu/show/id/1346907")</f>
        <v>http://ts.21cn.com/tousu/show/id/1346907</v>
      </c>
      <c r="F15254" s="2" t="s">
        <v>11</v>
      </c>
      <c r="G15254" s="2" t="s">
        <v>14168</v>
      </c>
      <c r="H15254" s="2" t="s">
        <v>14169</v>
      </c>
    </row>
    <row r="15255" spans="1:8" ht="25.05" customHeight="1" x14ac:dyDescent="0.25">
      <c r="A15255" s="2" t="s">
        <v>8</v>
      </c>
      <c r="B15255" s="2" t="str">
        <f>HYPERLINK("http://ts.21cn.com/tousu/show/id/1346908","私自扣除费用")</f>
        <v>私自扣除费用</v>
      </c>
      <c r="C15255" s="2" t="s">
        <v>34</v>
      </c>
      <c r="D15255" s="2" t="s">
        <v>10</v>
      </c>
      <c r="E15255" s="2" t="str">
        <f>HYPERLINK("http://ts.21cn.com/tousu/show/id/1346908","http://ts.21cn.com/tousu/show/id/1346908")</f>
        <v>http://ts.21cn.com/tousu/show/id/1346908</v>
      </c>
      <c r="F15255" s="2" t="s">
        <v>11</v>
      </c>
      <c r="G15255" s="2" t="s">
        <v>14166</v>
      </c>
      <c r="H15255" s="2" t="s">
        <v>14167</v>
      </c>
    </row>
    <row r="15256" spans="1:8" ht="25.05" customHeight="1" x14ac:dyDescent="0.25">
      <c r="A15256" s="2" t="s">
        <v>8</v>
      </c>
      <c r="B15256" s="2" t="str">
        <f>HYPERLINK("http://ts.21cn.com/tousu/show/id/1346910","新网银行好人贷妙下款在校学生白户额度巨高")</f>
        <v>新网银行好人贷妙下款在校学生白户额度巨高</v>
      </c>
      <c r="C15256" s="2" t="s">
        <v>9</v>
      </c>
      <c r="D15256" s="2" t="s">
        <v>10</v>
      </c>
      <c r="E15256" s="2" t="str">
        <f>HYPERLINK("http://ts.21cn.com/tousu/show/id/1346910","http://ts.21cn.com/tousu/show/id/1346910")</f>
        <v>http://ts.21cn.com/tousu/show/id/1346910</v>
      </c>
      <c r="F15256" s="2" t="s">
        <v>11</v>
      </c>
      <c r="G15256" s="2" t="s">
        <v>14164</v>
      </c>
      <c r="H15256" s="2" t="s">
        <v>14165</v>
      </c>
    </row>
    <row r="15257" spans="1:8" ht="25.05" customHeight="1" x14ac:dyDescent="0.25">
      <c r="A15257" s="2" t="s">
        <v>8</v>
      </c>
      <c r="B15257" s="2" t="str">
        <f>HYPERLINK("http://ts.21cn.com/tousu/show/id/1346911","你我贷恶意拨打通讯录电话")</f>
        <v>你我贷恶意拨打通讯录电话</v>
      </c>
      <c r="C15257" s="2" t="s">
        <v>9</v>
      </c>
      <c r="D15257" s="2" t="s">
        <v>10</v>
      </c>
      <c r="E15257" s="2" t="str">
        <f>HYPERLINK("http://ts.21cn.com/tousu/show/id/1346911","http://ts.21cn.com/tousu/show/id/1346911")</f>
        <v>http://ts.21cn.com/tousu/show/id/1346911</v>
      </c>
      <c r="F15257" s="2" t="s">
        <v>11</v>
      </c>
      <c r="G15257" s="2" t="s">
        <v>14162</v>
      </c>
      <c r="H15257" s="2" t="s">
        <v>14163</v>
      </c>
    </row>
    <row r="15258" spans="1:8" ht="25.05" customHeight="1" x14ac:dyDescent="0.25">
      <c r="A15258" s="2" t="s">
        <v>8</v>
      </c>
      <c r="B15258" s="2" t="str">
        <f>HYPERLINK("http://ts.21cn.com/tousu/show/id/1346900","恒富创融科技旗下钱橙无忧app连续两次扣款84,84，共168元")</f>
        <v>恒富创融科技旗下钱橙无忧app连续两次扣款84,84，共168元</v>
      </c>
      <c r="C15258" s="2" t="s">
        <v>9</v>
      </c>
      <c r="D15258" s="2" t="s">
        <v>10</v>
      </c>
      <c r="E15258" s="2" t="str">
        <f>HYPERLINK("http://ts.21cn.com/tousu/show/id/1346900","http://ts.21cn.com/tousu/show/id/1346900")</f>
        <v>http://ts.21cn.com/tousu/show/id/1346900</v>
      </c>
      <c r="F15258" s="2" t="s">
        <v>11</v>
      </c>
      <c r="G15258" s="2" t="s">
        <v>14160</v>
      </c>
      <c r="H15258" s="2" t="s">
        <v>14161</v>
      </c>
    </row>
    <row r="15259" spans="1:8" ht="25.05" customHeight="1" x14ac:dyDescent="0.25">
      <c r="A15259" s="2" t="s">
        <v>8</v>
      </c>
      <c r="B15259" s="2" t="str">
        <f>HYPERLINK("http://ts.21cn.com/tousu/show/id/1346909","百事普惠恶意扣款")</f>
        <v>百事普惠恶意扣款</v>
      </c>
      <c r="C15259" s="2" t="s">
        <v>9</v>
      </c>
      <c r="D15259" s="2" t="s">
        <v>10</v>
      </c>
      <c r="E15259" s="2" t="str">
        <f>HYPERLINK("http://ts.21cn.com/tousu/show/id/1346909","http://ts.21cn.com/tousu/show/id/1346909")</f>
        <v>http://ts.21cn.com/tousu/show/id/1346909</v>
      </c>
      <c r="F15259" s="2" t="s">
        <v>11</v>
      </c>
      <c r="G15259" s="2" t="s">
        <v>14158</v>
      </c>
      <c r="H15259" s="2" t="s">
        <v>14159</v>
      </c>
    </row>
    <row r="15260" spans="1:8" ht="25.05" customHeight="1" x14ac:dyDescent="0.25">
      <c r="A15260" s="2" t="s">
        <v>8</v>
      </c>
      <c r="B15260" s="2" t="str">
        <f>HYPERLINK("http://ts.21cn.com/tousu/show/id/1346914","好分期高利贷")</f>
        <v>好分期高利贷</v>
      </c>
      <c r="C15260" s="2" t="s">
        <v>9</v>
      </c>
      <c r="D15260" s="2" t="s">
        <v>10</v>
      </c>
      <c r="E15260" s="2" t="str">
        <f>HYPERLINK("http://ts.21cn.com/tousu/show/id/1346914","http://ts.21cn.com/tousu/show/id/1346914")</f>
        <v>http://ts.21cn.com/tousu/show/id/1346914</v>
      </c>
      <c r="F15260" s="2" t="s">
        <v>11</v>
      </c>
      <c r="G15260" s="2" t="s">
        <v>14156</v>
      </c>
      <c r="H15260" s="2" t="s">
        <v>14157</v>
      </c>
    </row>
    <row r="15261" spans="1:8" ht="25.05" customHeight="1" x14ac:dyDescent="0.25">
      <c r="A15261" s="2" t="s">
        <v>8</v>
      </c>
      <c r="B15261" s="2" t="str">
        <f>HYPERLINK("http://ts.21cn.com/tousu/show/id/1346915","360借条提前还清，收取剩余期数利息")</f>
        <v>360借条提前还清，收取剩余期数利息</v>
      </c>
      <c r="C15261" s="2" t="s">
        <v>9</v>
      </c>
      <c r="D15261" s="2" t="s">
        <v>10</v>
      </c>
      <c r="E15261" s="2" t="str">
        <f>HYPERLINK("http://ts.21cn.com/tousu/show/id/1346915","http://ts.21cn.com/tousu/show/id/1346915")</f>
        <v>http://ts.21cn.com/tousu/show/id/1346915</v>
      </c>
      <c r="F15261" s="2" t="s">
        <v>11</v>
      </c>
      <c r="G15261" s="2" t="s">
        <v>14154</v>
      </c>
      <c r="H15261" s="2" t="s">
        <v>14155</v>
      </c>
    </row>
    <row r="15262" spans="1:8" ht="25.05" customHeight="1" x14ac:dyDescent="0.25">
      <c r="A15262" s="2" t="s">
        <v>8</v>
      </c>
      <c r="B15262" s="2" t="str">
        <f>HYPERLINK("http://ts.21cn.com/tousu/show/id/1346917","迅付沪快恶意扣款")</f>
        <v>迅付沪快恶意扣款</v>
      </c>
      <c r="C15262" s="2" t="s">
        <v>9</v>
      </c>
      <c r="D15262" s="2" t="s">
        <v>10</v>
      </c>
      <c r="E15262" s="2" t="str">
        <f>HYPERLINK("http://ts.21cn.com/tousu/show/id/1346917","http://ts.21cn.com/tousu/show/id/1346917")</f>
        <v>http://ts.21cn.com/tousu/show/id/1346917</v>
      </c>
      <c r="F15262" s="2" t="s">
        <v>11</v>
      </c>
      <c r="G15262" s="2" t="s">
        <v>14152</v>
      </c>
      <c r="H15262" s="2" t="s">
        <v>14153</v>
      </c>
    </row>
    <row r="15263" spans="1:8" ht="25.05" customHeight="1" x14ac:dyDescent="0.25">
      <c r="A15263" s="2" t="s">
        <v>8</v>
      </c>
      <c r="B15263" s="2" t="str">
        <f>HYPERLINK("http://ts.21cn.com/tousu/show/id/1346916","银联支付涉嫌帮助平台洗黑钱")</f>
        <v>银联支付涉嫌帮助平台洗黑钱</v>
      </c>
      <c r="C15263" s="2" t="s">
        <v>9</v>
      </c>
      <c r="D15263" s="2" t="s">
        <v>10</v>
      </c>
      <c r="E15263" s="2" t="str">
        <f>HYPERLINK("http://ts.21cn.com/tousu/show/id/1346916","http://ts.21cn.com/tousu/show/id/1346916")</f>
        <v>http://ts.21cn.com/tousu/show/id/1346916</v>
      </c>
      <c r="F15263" s="2" t="s">
        <v>11</v>
      </c>
      <c r="G15263" s="2" t="s">
        <v>14150</v>
      </c>
      <c r="H15263" s="2" t="s">
        <v>14151</v>
      </c>
    </row>
    <row r="15264" spans="1:8" ht="25.05" customHeight="1" x14ac:dyDescent="0.25">
      <c r="A15264" s="2" t="s">
        <v>8</v>
      </c>
      <c r="B15264" s="2" t="str">
        <f>HYPERLINK("http://ts.21cn.com/tousu/show/id/1346919","国泰保险拒赔运费险")</f>
        <v>国泰保险拒赔运费险</v>
      </c>
      <c r="C15264" s="2" t="s">
        <v>9</v>
      </c>
      <c r="D15264" s="2" t="s">
        <v>10</v>
      </c>
      <c r="E15264" s="2" t="str">
        <f>HYPERLINK("http://ts.21cn.com/tousu/show/id/1346919","http://ts.21cn.com/tousu/show/id/1346919")</f>
        <v>http://ts.21cn.com/tousu/show/id/1346919</v>
      </c>
      <c r="F15264" s="2" t="s">
        <v>11</v>
      </c>
      <c r="G15264" s="2" t="s">
        <v>14148</v>
      </c>
      <c r="H15264" s="2" t="s">
        <v>14149</v>
      </c>
    </row>
    <row r="15265" spans="1:8" ht="25.05" customHeight="1" x14ac:dyDescent="0.25">
      <c r="A15265" s="2" t="s">
        <v>8</v>
      </c>
      <c r="B15265" s="2" t="str">
        <f>HYPERLINK("http://ts.21cn.com/tousu/show/id/1346920","御剑飞行高利贷")</f>
        <v>御剑飞行高利贷</v>
      </c>
      <c r="C15265" s="2" t="s">
        <v>9</v>
      </c>
      <c r="D15265" s="2" t="s">
        <v>10</v>
      </c>
      <c r="E15265" s="2" t="str">
        <f>HYPERLINK("http://ts.21cn.com/tousu/show/id/1346920","http://ts.21cn.com/tousu/show/id/1346920")</f>
        <v>http://ts.21cn.com/tousu/show/id/1346920</v>
      </c>
      <c r="F15265" s="2" t="s">
        <v>11</v>
      </c>
      <c r="G15265" s="2" t="s">
        <v>14146</v>
      </c>
      <c r="H15265" s="2" t="s">
        <v>14147</v>
      </c>
    </row>
    <row r="15266" spans="1:8" ht="25.05" customHeight="1" x14ac:dyDescent="0.25">
      <c r="A15266" s="2" t="s">
        <v>8</v>
      </c>
      <c r="B15266" s="2" t="str">
        <f>HYPERLINK("http://ts.21cn.com/tousu/show/id/1346921","你我贷暴力催收爆通讯录")</f>
        <v>你我贷暴力催收爆通讯录</v>
      </c>
      <c r="C15266" s="2" t="s">
        <v>9</v>
      </c>
      <c r="D15266" s="2" t="s">
        <v>10</v>
      </c>
      <c r="E15266" s="2" t="str">
        <f>HYPERLINK("http://ts.21cn.com/tousu/show/id/1346921","http://ts.21cn.com/tousu/show/id/1346921")</f>
        <v>http://ts.21cn.com/tousu/show/id/1346921</v>
      </c>
      <c r="F15266" s="2" t="s">
        <v>11</v>
      </c>
      <c r="G15266" s="2" t="s">
        <v>14144</v>
      </c>
      <c r="H15266" s="2" t="s">
        <v>14145</v>
      </c>
    </row>
    <row r="15267" spans="1:8" ht="25.05" customHeight="1" x14ac:dyDescent="0.25">
      <c r="A15267" s="2" t="s">
        <v>8</v>
      </c>
      <c r="B15267" s="2" t="str">
        <f>HYPERLINK("http://ts.21cn.com/tousu/show/id/1346922","拉卡拉首扣贷款金额，超高逾期费等，利用国家征信系统变相要挟用户！！！")</f>
        <v>拉卡拉首扣贷款金额，超高逾期费等，利用国家征信系统变相要挟用户！！！</v>
      </c>
      <c r="C15267" s="2" t="s">
        <v>9</v>
      </c>
      <c r="D15267" s="2" t="s">
        <v>10</v>
      </c>
      <c r="E15267" s="2" t="str">
        <f>HYPERLINK("http://ts.21cn.com/tousu/show/id/1346922","http://ts.21cn.com/tousu/show/id/1346922")</f>
        <v>http://ts.21cn.com/tousu/show/id/1346922</v>
      </c>
      <c r="F15267" s="2" t="s">
        <v>11</v>
      </c>
      <c r="G15267" s="2" t="s">
        <v>14142</v>
      </c>
      <c r="H15267" s="2" t="s">
        <v>14143</v>
      </c>
    </row>
    <row r="15268" spans="1:8" ht="25.05" customHeight="1" x14ac:dyDescent="0.25">
      <c r="A15268" s="2" t="s">
        <v>8</v>
      </c>
      <c r="B15268" s="2" t="str">
        <f>HYPERLINK("http://ts.21cn.com/tousu/show/id/1346923","小浦优客未经同意扣款")</f>
        <v>小浦优客未经同意扣款</v>
      </c>
      <c r="C15268" s="2" t="s">
        <v>9</v>
      </c>
      <c r="D15268" s="2" t="s">
        <v>10</v>
      </c>
      <c r="E15268" s="2" t="str">
        <f>HYPERLINK("http://ts.21cn.com/tousu/show/id/1346923","http://ts.21cn.com/tousu/show/id/1346923")</f>
        <v>http://ts.21cn.com/tousu/show/id/1346923</v>
      </c>
      <c r="F15268" s="2" t="s">
        <v>11</v>
      </c>
      <c r="G15268" s="2" t="s">
        <v>14140</v>
      </c>
      <c r="H15268" s="2" t="s">
        <v>14141</v>
      </c>
    </row>
    <row r="15269" spans="1:8" ht="25.05" customHeight="1" x14ac:dyDescent="0.25">
      <c r="A15269" s="2" t="s">
        <v>8</v>
      </c>
      <c r="B15269" s="2" t="str">
        <f>HYPERLINK("http://ts.21cn.com/tousu/show/id/1346924","蚂蚁借款阴阳合同")</f>
        <v>蚂蚁借款阴阳合同</v>
      </c>
      <c r="C15269" s="2" t="s">
        <v>9</v>
      </c>
      <c r="D15269" s="2" t="s">
        <v>10</v>
      </c>
      <c r="E15269" s="2" t="str">
        <f>HYPERLINK("http://ts.21cn.com/tousu/show/id/1346924","http://ts.21cn.com/tousu/show/id/1346924")</f>
        <v>http://ts.21cn.com/tousu/show/id/1346924</v>
      </c>
      <c r="F15269" s="2" t="s">
        <v>11</v>
      </c>
      <c r="G15269" s="2" t="s">
        <v>14138</v>
      </c>
      <c r="H15269" s="2" t="s">
        <v>14139</v>
      </c>
    </row>
    <row r="15270" spans="1:8" ht="25.05" customHeight="1" x14ac:dyDescent="0.25">
      <c r="A15270" s="2" t="s">
        <v>8</v>
      </c>
      <c r="B15270" s="2" t="str">
        <f>HYPERLINK("http://ts.21cn.com/tousu/show/id/1346926","上海富友合作方网贷公司砍头息套路贷")</f>
        <v>上海富友合作方网贷公司砍头息套路贷</v>
      </c>
      <c r="C15270" s="2" t="s">
        <v>9</v>
      </c>
      <c r="D15270" s="2" t="s">
        <v>10</v>
      </c>
      <c r="E15270" s="2" t="str">
        <f>HYPERLINK("http://ts.21cn.com/tousu/show/id/1346926","http://ts.21cn.com/tousu/show/id/1346926")</f>
        <v>http://ts.21cn.com/tousu/show/id/1346926</v>
      </c>
      <c r="F15270" s="2" t="s">
        <v>11</v>
      </c>
      <c r="G15270" s="2" t="s">
        <v>14136</v>
      </c>
      <c r="H15270" s="2" t="s">
        <v>14137</v>
      </c>
    </row>
    <row r="15271" spans="1:8" ht="25.05" customHeight="1" x14ac:dyDescent="0.25">
      <c r="A15271" s="2" t="s">
        <v>8</v>
      </c>
      <c r="B15271" s="2" t="str">
        <f>HYPERLINK("http://ts.21cn.com/tousu/show/id/1346711","立借平台叮当想花壹本万利暴力催收")</f>
        <v>立借平台叮当想花壹本万利暴力催收</v>
      </c>
      <c r="C15271" s="2" t="s">
        <v>9</v>
      </c>
      <c r="D15271" s="2" t="s">
        <v>10</v>
      </c>
      <c r="E15271" s="2" t="str">
        <f>HYPERLINK("http://ts.21cn.com/tousu/show/id/1346711","http://ts.21cn.com/tousu/show/id/1346711")</f>
        <v>http://ts.21cn.com/tousu/show/id/1346711</v>
      </c>
      <c r="F15271" s="2" t="s">
        <v>11</v>
      </c>
      <c r="G15271" s="2" t="s">
        <v>14134</v>
      </c>
      <c r="H15271" s="2" t="s">
        <v>14135</v>
      </c>
    </row>
    <row r="15272" spans="1:8" ht="25.05" customHeight="1" x14ac:dyDescent="0.25">
      <c r="A15272" s="2" t="s">
        <v>8</v>
      </c>
      <c r="B15272" s="2" t="str">
        <f>HYPERLINK("http://ts.21cn.com/tousu/show/id/1346927","OPPOR9SPLUS大规模无限重启变砖")</f>
        <v>OPPOR9SPLUS大规模无限重启变砖</v>
      </c>
      <c r="C15272" s="2" t="s">
        <v>9</v>
      </c>
      <c r="D15272" s="2" t="s">
        <v>10</v>
      </c>
      <c r="E15272" s="2" t="str">
        <f>HYPERLINK("http://ts.21cn.com/tousu/show/id/1346927","http://ts.21cn.com/tousu/show/id/1346927")</f>
        <v>http://ts.21cn.com/tousu/show/id/1346927</v>
      </c>
      <c r="F15272" s="2" t="s">
        <v>11</v>
      </c>
      <c r="G15272" s="2" t="s">
        <v>14132</v>
      </c>
      <c r="H15272" s="2" t="s">
        <v>14133</v>
      </c>
    </row>
    <row r="15273" spans="1:8" ht="25.05" customHeight="1" x14ac:dyDescent="0.25">
      <c r="A15273" s="2" t="s">
        <v>8</v>
      </c>
      <c r="B15273" s="2" t="str">
        <f>HYPERLINK("http://ts.21cn.com/tousu/show/id/1346849","立借推荐高额利息产品")</f>
        <v>立借推荐高额利息产品</v>
      </c>
      <c r="C15273" s="2" t="s">
        <v>9</v>
      </c>
      <c r="D15273" s="2" t="s">
        <v>10</v>
      </c>
      <c r="E15273" s="2" t="str">
        <f>HYPERLINK("http://ts.21cn.com/tousu/show/id/1346849","http://ts.21cn.com/tousu/show/id/1346849")</f>
        <v>http://ts.21cn.com/tousu/show/id/1346849</v>
      </c>
      <c r="F15273" s="2" t="s">
        <v>11</v>
      </c>
      <c r="G15273" s="2" t="s">
        <v>14130</v>
      </c>
      <c r="H15273" s="2" t="s">
        <v>14131</v>
      </c>
    </row>
    <row r="15274" spans="1:8" ht="25.05" customHeight="1" x14ac:dyDescent="0.25">
      <c r="A15274" s="2" t="s">
        <v>8</v>
      </c>
      <c r="B15274" s="2" t="str">
        <f>HYPERLINK("http://ts.21cn.com/tousu/show/id/1346929","鲁班保证金不退款，时间超时过长")</f>
        <v>鲁班保证金不退款，时间超时过长</v>
      </c>
      <c r="C15274" s="2" t="s">
        <v>9</v>
      </c>
      <c r="D15274" s="2" t="s">
        <v>10</v>
      </c>
      <c r="E15274" s="2" t="str">
        <f>HYPERLINK("http://ts.21cn.com/tousu/show/id/1346929","http://ts.21cn.com/tousu/show/id/1346929")</f>
        <v>http://ts.21cn.com/tousu/show/id/1346929</v>
      </c>
      <c r="F15274" s="2" t="s">
        <v>11</v>
      </c>
      <c r="G15274" s="2" t="s">
        <v>14128</v>
      </c>
      <c r="H15274" s="2" t="s">
        <v>14129</v>
      </c>
    </row>
    <row r="15275" spans="1:8" ht="25.05" customHeight="1" x14ac:dyDescent="0.25">
      <c r="A15275" s="2" t="s">
        <v>8</v>
      </c>
      <c r="B15275" s="2" t="str">
        <f>HYPERLINK("http://ts.21cn.com/tousu/show/id/1346931","点了提前送达却收不到商品，骑手不送了，客服无作为")</f>
        <v>点了提前送达却收不到商品，骑手不送了，客服无作为</v>
      </c>
      <c r="C15275" s="2" t="s">
        <v>9</v>
      </c>
      <c r="D15275" s="2" t="s">
        <v>10</v>
      </c>
      <c r="E15275" s="2" t="str">
        <f>HYPERLINK("http://ts.21cn.com/tousu/show/id/1346931","http://ts.21cn.com/tousu/show/id/1346931")</f>
        <v>http://ts.21cn.com/tousu/show/id/1346931</v>
      </c>
      <c r="F15275" s="2" t="s">
        <v>11</v>
      </c>
      <c r="G15275" s="2" t="s">
        <v>14126</v>
      </c>
      <c r="H15275" s="2" t="s">
        <v>14127</v>
      </c>
    </row>
    <row r="15276" spans="1:8" ht="25.05" customHeight="1" x14ac:dyDescent="0.25">
      <c r="A15276" s="2" t="s">
        <v>8</v>
      </c>
      <c r="B15276" s="2" t="str">
        <f>HYPERLINK("http://ts.21cn.com/tousu/show/id/1346930","协商延期还款联系不上客服")</f>
        <v>协商延期还款联系不上客服</v>
      </c>
      <c r="C15276" s="2" t="s">
        <v>9</v>
      </c>
      <c r="D15276" s="2" t="s">
        <v>10</v>
      </c>
      <c r="E15276" s="2" t="str">
        <f>HYPERLINK("http://ts.21cn.com/tousu/show/id/1346930","http://ts.21cn.com/tousu/show/id/1346930")</f>
        <v>http://ts.21cn.com/tousu/show/id/1346930</v>
      </c>
      <c r="F15276" s="2" t="s">
        <v>11</v>
      </c>
      <c r="G15276" s="2" t="s">
        <v>14124</v>
      </c>
      <c r="H15276" s="2" t="s">
        <v>14125</v>
      </c>
    </row>
    <row r="15277" spans="1:8" ht="25.05" customHeight="1" x14ac:dyDescent="0.25">
      <c r="A15277" s="2" t="s">
        <v>8</v>
      </c>
      <c r="B15277" s="2" t="str">
        <f>HYPERLINK("http://ts.21cn.com/tousu/show/id/1346932","被特约（证通）和（上海优逸）盗刷了")</f>
        <v>被特约（证通）和（上海优逸）盗刷了</v>
      </c>
      <c r="C15277" s="2" t="s">
        <v>9</v>
      </c>
      <c r="D15277" s="2" t="s">
        <v>10</v>
      </c>
      <c r="E15277" s="2" t="str">
        <f>HYPERLINK("http://ts.21cn.com/tousu/show/id/1346932","http://ts.21cn.com/tousu/show/id/1346932")</f>
        <v>http://ts.21cn.com/tousu/show/id/1346932</v>
      </c>
      <c r="F15277" s="2" t="s">
        <v>11</v>
      </c>
      <c r="G15277" s="2" t="s">
        <v>14122</v>
      </c>
      <c r="H15277" s="2" t="s">
        <v>14123</v>
      </c>
    </row>
    <row r="15278" spans="1:8" ht="25.05" customHeight="1" x14ac:dyDescent="0.25">
      <c r="A15278" s="2" t="s">
        <v>8</v>
      </c>
      <c r="B15278" s="2" t="str">
        <f>HYPERLINK("http://ts.21cn.com/tousu/show/id/1346934","蜜瓜钱包高利贷")</f>
        <v>蜜瓜钱包高利贷</v>
      </c>
      <c r="C15278" s="2" t="s">
        <v>9</v>
      </c>
      <c r="D15278" s="2" t="s">
        <v>10</v>
      </c>
      <c r="E15278" s="2" t="str">
        <f>HYPERLINK("http://ts.21cn.com/tousu/show/id/1346934","http://ts.21cn.com/tousu/show/id/1346934")</f>
        <v>http://ts.21cn.com/tousu/show/id/1346934</v>
      </c>
      <c r="F15278" s="2" t="s">
        <v>11</v>
      </c>
      <c r="G15278" s="2" t="s">
        <v>14121</v>
      </c>
      <c r="H15278" s="2" t="s">
        <v>14089</v>
      </c>
    </row>
    <row r="15279" spans="1:8" ht="25.05" customHeight="1" x14ac:dyDescent="0.25">
      <c r="A15279" s="2" t="s">
        <v>8</v>
      </c>
      <c r="B15279" s="2" t="str">
        <f>HYPERLINK("http://ts.21cn.com/tousu/show/id/1346935","牛人优品高利息无法承受")</f>
        <v>牛人优品高利息无法承受</v>
      </c>
      <c r="C15279" s="2" t="s">
        <v>9</v>
      </c>
      <c r="D15279" s="2" t="s">
        <v>10</v>
      </c>
      <c r="E15279" s="2" t="str">
        <f>HYPERLINK("http://ts.21cn.com/tousu/show/id/1346935","http://ts.21cn.com/tousu/show/id/1346935")</f>
        <v>http://ts.21cn.com/tousu/show/id/1346935</v>
      </c>
      <c r="F15279" s="2" t="s">
        <v>11</v>
      </c>
      <c r="G15279" s="2" t="s">
        <v>14119</v>
      </c>
      <c r="H15279" s="2" t="s">
        <v>14120</v>
      </c>
    </row>
    <row r="15280" spans="1:8" ht="25.05" customHeight="1" x14ac:dyDescent="0.25">
      <c r="A15280" s="2" t="s">
        <v>8</v>
      </c>
      <c r="B15280" s="2" t="str">
        <f>HYPERLINK("http://ts.21cn.com/tousu/show/id/1346937","工商银行的催收人员恐吓辱骂我，并扬言要来打我，我并非他们的债务人")</f>
        <v>工商银行的催收人员恐吓辱骂我，并扬言要来打我，我并非他们的债务人</v>
      </c>
      <c r="C15280" s="2" t="s">
        <v>9</v>
      </c>
      <c r="D15280" s="2" t="s">
        <v>10</v>
      </c>
      <c r="E15280" s="2" t="str">
        <f>HYPERLINK("http://ts.21cn.com/tousu/show/id/1346937","http://ts.21cn.com/tousu/show/id/1346937")</f>
        <v>http://ts.21cn.com/tousu/show/id/1346937</v>
      </c>
      <c r="F15280" s="2" t="s">
        <v>11</v>
      </c>
      <c r="G15280" s="2" t="s">
        <v>14117</v>
      </c>
      <c r="H15280" s="2" t="s">
        <v>14118</v>
      </c>
    </row>
    <row r="15281" spans="1:8" ht="25.05" customHeight="1" x14ac:dyDescent="0.25">
      <c r="A15281" s="2" t="s">
        <v>8</v>
      </c>
      <c r="B15281" s="2" t="str">
        <f>HYPERLINK("http://ts.21cn.com/tousu/show/id/1346936","小赢卡贷暴力催收恐吓侮辱")</f>
        <v>小赢卡贷暴力催收恐吓侮辱</v>
      </c>
      <c r="C15281" s="2" t="s">
        <v>9</v>
      </c>
      <c r="D15281" s="2" t="s">
        <v>10</v>
      </c>
      <c r="E15281" s="2" t="str">
        <f>HYPERLINK("http://ts.21cn.com/tousu/show/id/1346936","http://ts.21cn.com/tousu/show/id/1346936")</f>
        <v>http://ts.21cn.com/tousu/show/id/1346936</v>
      </c>
      <c r="F15281" s="2" t="s">
        <v>11</v>
      </c>
      <c r="G15281" s="2" t="s">
        <v>14115</v>
      </c>
      <c r="H15281" s="2" t="s">
        <v>14116</v>
      </c>
    </row>
    <row r="15282" spans="1:8" ht="25.05" customHeight="1" x14ac:dyDescent="0.25">
      <c r="A15282" s="2" t="s">
        <v>8</v>
      </c>
      <c r="B15282" s="2" t="str">
        <f>HYPERLINK("http://ts.21cn.com/tousu/show/id/1346938","汇潮支付为高利贷提供放款渠道")</f>
        <v>汇潮支付为高利贷提供放款渠道</v>
      </c>
      <c r="C15282" s="2" t="s">
        <v>9</v>
      </c>
      <c r="D15282" s="2" t="s">
        <v>10</v>
      </c>
      <c r="E15282" s="2" t="str">
        <f>HYPERLINK("http://ts.21cn.com/tousu/show/id/1346938","http://ts.21cn.com/tousu/show/id/1346938")</f>
        <v>http://ts.21cn.com/tousu/show/id/1346938</v>
      </c>
      <c r="F15282" s="2" t="s">
        <v>11</v>
      </c>
      <c r="G15282" s="2" t="s">
        <v>14113</v>
      </c>
      <c r="H15282" s="2" t="s">
        <v>14114</v>
      </c>
    </row>
    <row r="15283" spans="1:8" ht="25.05" customHeight="1" x14ac:dyDescent="0.25">
      <c r="A15283" s="2" t="s">
        <v>8</v>
      </c>
      <c r="B15283" s="2" t="str">
        <f>HYPERLINK("http://ts.21cn.com/tousu/show/id/1346939","捷信利息高无力承担本月还款申请延期一个月")</f>
        <v>捷信利息高无力承担本月还款申请延期一个月</v>
      </c>
      <c r="C15283" s="2" t="s">
        <v>9</v>
      </c>
      <c r="D15283" s="2" t="s">
        <v>10</v>
      </c>
      <c r="E15283" s="2" t="str">
        <f>HYPERLINK("http://ts.21cn.com/tousu/show/id/1346939","http://ts.21cn.com/tousu/show/id/1346939")</f>
        <v>http://ts.21cn.com/tousu/show/id/1346939</v>
      </c>
      <c r="F15283" s="2" t="s">
        <v>11</v>
      </c>
      <c r="G15283" s="2" t="s">
        <v>14111</v>
      </c>
      <c r="H15283" s="2" t="s">
        <v>14112</v>
      </c>
    </row>
    <row r="15284" spans="1:8" ht="25.05" customHeight="1" x14ac:dyDescent="0.25">
      <c r="A15284" s="2" t="s">
        <v>8</v>
      </c>
      <c r="B15284" s="2" t="str">
        <f>HYPERLINK("http://ts.21cn.com/tousu/show/id/1346940","给我出行分")</f>
        <v>给我出行分</v>
      </c>
      <c r="C15284" s="2" t="s">
        <v>9</v>
      </c>
      <c r="D15284" s="2" t="s">
        <v>10</v>
      </c>
      <c r="E15284" s="2" t="str">
        <f>HYPERLINK("http://ts.21cn.com/tousu/show/id/1346940","http://ts.21cn.com/tousu/show/id/1346940")</f>
        <v>http://ts.21cn.com/tousu/show/id/1346940</v>
      </c>
      <c r="F15284" s="2" t="s">
        <v>11</v>
      </c>
      <c r="G15284" s="2" t="s">
        <v>14109</v>
      </c>
      <c r="H15284" s="2" t="s">
        <v>14110</v>
      </c>
    </row>
    <row r="15285" spans="1:8" ht="25.05" customHeight="1" x14ac:dyDescent="0.25">
      <c r="A15285" s="2" t="s">
        <v>8</v>
      </c>
      <c r="B15285" s="2" t="str">
        <f>HYPERLINK("http://ts.21cn.com/tousu/show/id/1346941","百事普惠")</f>
        <v>百事普惠</v>
      </c>
      <c r="C15285" s="2" t="s">
        <v>9</v>
      </c>
      <c r="D15285" s="2" t="s">
        <v>10</v>
      </c>
      <c r="E15285" s="2" t="str">
        <f>HYPERLINK("http://ts.21cn.com/tousu/show/id/1346941","http://ts.21cn.com/tousu/show/id/1346941")</f>
        <v>http://ts.21cn.com/tousu/show/id/1346941</v>
      </c>
      <c r="F15285" s="2" t="s">
        <v>11</v>
      </c>
      <c r="G15285" s="2" t="s">
        <v>14107</v>
      </c>
      <c r="H15285" s="2" t="s">
        <v>14108</v>
      </c>
    </row>
    <row r="15286" spans="1:8" ht="25.05" customHeight="1" x14ac:dyDescent="0.25">
      <c r="A15286" s="2" t="s">
        <v>8</v>
      </c>
      <c r="B15286" s="2" t="str">
        <f>HYPERLINK("http://ts.21cn.com/tousu/show/id/1346946","要求友信提供当时所有贷款资料")</f>
        <v>要求友信提供当时所有贷款资料</v>
      </c>
      <c r="C15286" s="2" t="s">
        <v>34</v>
      </c>
      <c r="D15286" s="2" t="s">
        <v>10</v>
      </c>
      <c r="E15286" s="2" t="str">
        <f>HYPERLINK("http://ts.21cn.com/tousu/show/id/1346946","http://ts.21cn.com/tousu/show/id/1346946")</f>
        <v>http://ts.21cn.com/tousu/show/id/1346946</v>
      </c>
      <c r="F15286" s="2" t="s">
        <v>11</v>
      </c>
      <c r="G15286" s="2" t="s">
        <v>14105</v>
      </c>
      <c r="H15286" s="2" t="s">
        <v>14106</v>
      </c>
    </row>
    <row r="15287" spans="1:8" ht="25.05" customHeight="1" x14ac:dyDescent="0.25">
      <c r="A15287" s="2" t="s">
        <v>8</v>
      </c>
      <c r="B15287" s="2" t="str">
        <f>HYPERLINK("http://ts.21cn.com/tousu/show/id/1346943","拇指白卡未经本人允许私自扣款")</f>
        <v>拇指白卡未经本人允许私自扣款</v>
      </c>
      <c r="C15287" s="2" t="s">
        <v>9</v>
      </c>
      <c r="D15287" s="2" t="s">
        <v>10</v>
      </c>
      <c r="E15287" s="2" t="str">
        <f>HYPERLINK("http://ts.21cn.com/tousu/show/id/1346943","http://ts.21cn.com/tousu/show/id/1346943")</f>
        <v>http://ts.21cn.com/tousu/show/id/1346943</v>
      </c>
      <c r="F15287" s="2" t="s">
        <v>11</v>
      </c>
      <c r="G15287" s="2" t="s">
        <v>14103</v>
      </c>
      <c r="H15287" s="2" t="s">
        <v>14104</v>
      </c>
    </row>
    <row r="15288" spans="1:8" ht="25.05" customHeight="1" x14ac:dyDescent="0.25">
      <c r="A15288" s="2" t="s">
        <v>8</v>
      </c>
      <c r="B15288" s="2" t="str">
        <f>HYPERLINK("http://ts.21cn.com/tousu/show/id/1346944","叮当想花高利贷")</f>
        <v>叮当想花高利贷</v>
      </c>
      <c r="C15288" s="2" t="s">
        <v>9</v>
      </c>
      <c r="D15288" s="2" t="s">
        <v>10</v>
      </c>
      <c r="E15288" s="2" t="str">
        <f>HYPERLINK("http://ts.21cn.com/tousu/show/id/1346944","http://ts.21cn.com/tousu/show/id/1346944")</f>
        <v>http://ts.21cn.com/tousu/show/id/1346944</v>
      </c>
      <c r="F15288" s="2" t="s">
        <v>11</v>
      </c>
      <c r="G15288" s="2" t="s">
        <v>14101</v>
      </c>
      <c r="H15288" s="2" t="s">
        <v>14102</v>
      </c>
    </row>
    <row r="15289" spans="1:8" ht="25.05" customHeight="1" x14ac:dyDescent="0.25">
      <c r="A15289" s="2" t="s">
        <v>8</v>
      </c>
      <c r="B15289" s="2" t="str">
        <f>HYPERLINK("http://ts.21cn.com/tousu/show/id/1346945","融360退货退款")</f>
        <v>融360退货退款</v>
      </c>
      <c r="C15289" s="2" t="s">
        <v>9</v>
      </c>
      <c r="D15289" s="2" t="s">
        <v>10</v>
      </c>
      <c r="E15289" s="2" t="str">
        <f>HYPERLINK("http://ts.21cn.com/tousu/show/id/1346945","http://ts.21cn.com/tousu/show/id/1346945")</f>
        <v>http://ts.21cn.com/tousu/show/id/1346945</v>
      </c>
      <c r="F15289" s="2" t="s">
        <v>11</v>
      </c>
      <c r="G15289" s="2" t="s">
        <v>14099</v>
      </c>
      <c r="H15289" s="2" t="s">
        <v>14100</v>
      </c>
    </row>
    <row r="15290" spans="1:8" ht="25.05" customHeight="1" x14ac:dyDescent="0.25">
      <c r="A15290" s="2" t="s">
        <v>8</v>
      </c>
      <c r="B15290" s="2" t="str">
        <f>HYPERLINK("http://ts.21cn.com/tousu/show/id/1346947","只还本金")</f>
        <v>只还本金</v>
      </c>
      <c r="C15290" s="2" t="s">
        <v>9</v>
      </c>
      <c r="D15290" s="2" t="s">
        <v>10</v>
      </c>
      <c r="E15290" s="2" t="str">
        <f>HYPERLINK("http://ts.21cn.com/tousu/show/id/1346947","http://ts.21cn.com/tousu/show/id/1346947")</f>
        <v>http://ts.21cn.com/tousu/show/id/1346947</v>
      </c>
      <c r="F15290" s="2" t="s">
        <v>11</v>
      </c>
      <c r="G15290" s="2" t="s">
        <v>14097</v>
      </c>
      <c r="H15290" s="2" t="s">
        <v>14098</v>
      </c>
    </row>
    <row r="15291" spans="1:8" ht="25.05" customHeight="1" x14ac:dyDescent="0.25">
      <c r="A15291" s="2" t="s">
        <v>8</v>
      </c>
      <c r="B15291" s="2" t="str">
        <f>HYPERLINK("http://ts.21cn.com/tousu/show/id/1346948","柠檬金服联合和平车行、国银盛达非法上征信")</f>
        <v>柠檬金服联合和平车行、国银盛达非法上征信</v>
      </c>
      <c r="C15291" s="2" t="s">
        <v>9</v>
      </c>
      <c r="D15291" s="2" t="s">
        <v>10</v>
      </c>
      <c r="E15291" s="2" t="str">
        <f>HYPERLINK("http://ts.21cn.com/tousu/show/id/1346948","http://ts.21cn.com/tousu/show/id/1346948")</f>
        <v>http://ts.21cn.com/tousu/show/id/1346948</v>
      </c>
      <c r="F15291" s="2" t="s">
        <v>11</v>
      </c>
      <c r="G15291" s="2" t="s">
        <v>14095</v>
      </c>
      <c r="H15291" s="2" t="s">
        <v>14096</v>
      </c>
    </row>
    <row r="15292" spans="1:8" ht="25.05" customHeight="1" x14ac:dyDescent="0.25">
      <c r="A15292" s="2" t="s">
        <v>8</v>
      </c>
      <c r="B15292" s="2" t="str">
        <f>HYPERLINK("http://ts.21cn.com/tousu/show/id/1346949","唯品会购物，六号下单八号晚上收到货九号就降价一百五十多")</f>
        <v>唯品会购物，六号下单八号晚上收到货九号就降价一百五十多</v>
      </c>
      <c r="C15292" s="2" t="s">
        <v>9</v>
      </c>
      <c r="D15292" s="2" t="s">
        <v>10</v>
      </c>
      <c r="E15292" s="2" t="str">
        <f>HYPERLINK("http://ts.21cn.com/tousu/show/id/1346949","http://ts.21cn.com/tousu/show/id/1346949")</f>
        <v>http://ts.21cn.com/tousu/show/id/1346949</v>
      </c>
      <c r="F15292" s="2" t="s">
        <v>11</v>
      </c>
      <c r="G15292" s="2" t="s">
        <v>14093</v>
      </c>
      <c r="H15292" s="2" t="s">
        <v>14094</v>
      </c>
    </row>
    <row r="15293" spans="1:8" ht="25.05" customHeight="1" x14ac:dyDescent="0.25">
      <c r="A15293" s="2" t="s">
        <v>8</v>
      </c>
      <c r="B15293" s="2" t="str">
        <f>HYPERLINK("http://ts.21cn.com/tousu/show/id/1346951","马上消费金融，暴力催收，群发短信，恐吓催收")</f>
        <v>马上消费金融，暴力催收，群发短信，恐吓催收</v>
      </c>
      <c r="C15293" s="2" t="s">
        <v>9</v>
      </c>
      <c r="D15293" s="2" t="s">
        <v>10</v>
      </c>
      <c r="E15293" s="2" t="str">
        <f>HYPERLINK("http://ts.21cn.com/tousu/show/id/1346951","http://ts.21cn.com/tousu/show/id/1346951")</f>
        <v>http://ts.21cn.com/tousu/show/id/1346951</v>
      </c>
      <c r="F15293" s="2" t="s">
        <v>11</v>
      </c>
      <c r="G15293" s="2" t="s">
        <v>14091</v>
      </c>
      <c r="H15293" s="2" t="s">
        <v>14092</v>
      </c>
    </row>
    <row r="15294" spans="1:8" ht="25.05" customHeight="1" x14ac:dyDescent="0.25">
      <c r="A15294" s="2" t="s">
        <v>8</v>
      </c>
      <c r="B15294" s="2" t="str">
        <f>HYPERLINK("http://ts.21cn.com/tousu/show/id/1346953","一秒陛下高利贷")</f>
        <v>一秒陛下高利贷</v>
      </c>
      <c r="C15294" s="2" t="s">
        <v>9</v>
      </c>
      <c r="D15294" s="2" t="s">
        <v>10</v>
      </c>
      <c r="E15294" s="2" t="str">
        <f>HYPERLINK("http://ts.21cn.com/tousu/show/id/1346953","http://ts.21cn.com/tousu/show/id/1346953")</f>
        <v>http://ts.21cn.com/tousu/show/id/1346953</v>
      </c>
      <c r="F15294" s="2" t="s">
        <v>11</v>
      </c>
      <c r="G15294" s="2" t="s">
        <v>14088</v>
      </c>
      <c r="H15294" s="2" t="s">
        <v>14089</v>
      </c>
    </row>
    <row r="15295" spans="1:8" ht="25.05" customHeight="1" x14ac:dyDescent="0.25">
      <c r="A15295" s="2" t="s">
        <v>8</v>
      </c>
      <c r="B15295" s="2" t="str">
        <f>HYPERLINK("http://ts.21cn.com/tousu/show/id/1346952","壹心分期")</f>
        <v>壹心分期</v>
      </c>
      <c r="C15295" s="2" t="s">
        <v>9</v>
      </c>
      <c r="D15295" s="2" t="s">
        <v>10</v>
      </c>
      <c r="E15295" s="2" t="str">
        <f>HYPERLINK("http://ts.21cn.com/tousu/show/id/1346952","http://ts.21cn.com/tousu/show/id/1346952")</f>
        <v>http://ts.21cn.com/tousu/show/id/1346952</v>
      </c>
      <c r="F15295" s="2" t="s">
        <v>11</v>
      </c>
      <c r="G15295" s="2" t="s">
        <v>14088</v>
      </c>
      <c r="H15295" s="2" t="s">
        <v>14090</v>
      </c>
    </row>
    <row r="15296" spans="1:8" ht="25.05" customHeight="1" x14ac:dyDescent="0.25">
      <c r="A15296" s="2" t="s">
        <v>8</v>
      </c>
      <c r="B15296" s="2" t="str">
        <f>HYPERLINK("http://ts.21cn.com/tousu/show/id/1346954","小浦优客未经同意扣款")</f>
        <v>小浦优客未经同意扣款</v>
      </c>
      <c r="C15296" s="2" t="s">
        <v>9</v>
      </c>
      <c r="D15296" s="2" t="s">
        <v>10</v>
      </c>
      <c r="E15296" s="2" t="str">
        <f>HYPERLINK("http://ts.21cn.com/tousu/show/id/1346954","http://ts.21cn.com/tousu/show/id/1346954")</f>
        <v>http://ts.21cn.com/tousu/show/id/1346954</v>
      </c>
      <c r="F15296" s="2" t="s">
        <v>11</v>
      </c>
      <c r="G15296" s="2" t="s">
        <v>14087</v>
      </c>
      <c r="H15296" s="2" t="s">
        <v>4538</v>
      </c>
    </row>
    <row r="15297" spans="1:8" ht="25.05" customHeight="1" x14ac:dyDescent="0.25">
      <c r="A15297" s="2" t="s">
        <v>8</v>
      </c>
      <c r="B15297" s="2" t="str">
        <f>HYPERLINK("http://ts.21cn.com/tousu/show/id/1346955","投诉玖富万卡故意不扣款致使借贷人逾期收取逾期费")</f>
        <v>投诉玖富万卡故意不扣款致使借贷人逾期收取逾期费</v>
      </c>
      <c r="C15297" s="2" t="s">
        <v>34</v>
      </c>
      <c r="D15297" s="2" t="s">
        <v>10</v>
      </c>
      <c r="E15297" s="2" t="str">
        <f>HYPERLINK("http://ts.21cn.com/tousu/show/id/1346955","http://ts.21cn.com/tousu/show/id/1346955")</f>
        <v>http://ts.21cn.com/tousu/show/id/1346955</v>
      </c>
      <c r="F15297" s="2" t="s">
        <v>11</v>
      </c>
      <c r="G15297" s="2" t="s">
        <v>14085</v>
      </c>
      <c r="H15297" s="2" t="s">
        <v>14086</v>
      </c>
    </row>
    <row r="15298" spans="1:8" ht="25.05" customHeight="1" x14ac:dyDescent="0.25">
      <c r="A15298" s="2" t="s">
        <v>8</v>
      </c>
      <c r="B15298" s="2" t="str">
        <f>HYPERLINK("http://ts.21cn.com/tousu/show/id/1346956","拼多多购买的手机有质量问题不给退货退款")</f>
        <v>拼多多购买的手机有质量问题不给退货退款</v>
      </c>
      <c r="C15298" s="2" t="s">
        <v>9</v>
      </c>
      <c r="D15298" s="2" t="s">
        <v>10</v>
      </c>
      <c r="E15298" s="2" t="str">
        <f>HYPERLINK("http://ts.21cn.com/tousu/show/id/1346956","http://ts.21cn.com/tousu/show/id/1346956")</f>
        <v>http://ts.21cn.com/tousu/show/id/1346956</v>
      </c>
      <c r="F15298" s="2" t="s">
        <v>11</v>
      </c>
      <c r="G15298" s="2" t="s">
        <v>14083</v>
      </c>
      <c r="H15298" s="2" t="s">
        <v>14084</v>
      </c>
    </row>
    <row r="15299" spans="1:8" ht="25.05" customHeight="1" x14ac:dyDescent="0.25">
      <c r="A15299" s="2" t="s">
        <v>8</v>
      </c>
      <c r="B15299" s="2" t="str">
        <f>HYPERLINK("http://ts.21cn.com/tousu/show/id/1346950","收到山寨版的苹果手机")</f>
        <v>收到山寨版的苹果手机</v>
      </c>
      <c r="C15299" s="2" t="s">
        <v>9</v>
      </c>
      <c r="D15299" s="2" t="s">
        <v>10</v>
      </c>
      <c r="E15299" s="2" t="str">
        <f>HYPERLINK("http://ts.21cn.com/tousu/show/id/1346950","http://ts.21cn.com/tousu/show/id/1346950")</f>
        <v>http://ts.21cn.com/tousu/show/id/1346950</v>
      </c>
      <c r="F15299" s="2" t="s">
        <v>11</v>
      </c>
      <c r="G15299" s="2" t="s">
        <v>14081</v>
      </c>
      <c r="H15299" s="2" t="s">
        <v>14082</v>
      </c>
    </row>
    <row r="15300" spans="1:8" ht="25.05" customHeight="1" x14ac:dyDescent="0.25">
      <c r="A15300" s="2" t="s">
        <v>8</v>
      </c>
      <c r="B15300" s="2" t="str">
        <f>HYPERLINK("http://ts.21cn.com/tousu/show/id/1346942","暴力催收！说要协商还本金！根本就没有！")</f>
        <v>暴力催收！说要协商还本金！根本就没有！</v>
      </c>
      <c r="C15300" s="2" t="s">
        <v>9</v>
      </c>
      <c r="D15300" s="2" t="s">
        <v>10</v>
      </c>
      <c r="E15300" s="2" t="str">
        <f>HYPERLINK("http://ts.21cn.com/tousu/show/id/1346942","http://ts.21cn.com/tousu/show/id/1346942")</f>
        <v>http://ts.21cn.com/tousu/show/id/1346942</v>
      </c>
      <c r="F15300" s="2" t="s">
        <v>11</v>
      </c>
      <c r="G15300" s="2" t="s">
        <v>14079</v>
      </c>
      <c r="H15300" s="2" t="s">
        <v>14080</v>
      </c>
    </row>
    <row r="15301" spans="1:8" ht="25.05" customHeight="1" x14ac:dyDescent="0.25">
      <c r="A15301" s="2" t="s">
        <v>8</v>
      </c>
      <c r="B15301" s="2" t="str">
        <f>HYPERLINK("http://ts.21cn.com/tousu/show/id/1346928","误导消费者消费，购买套餐有问题不退款")</f>
        <v>误导消费者消费，购买套餐有问题不退款</v>
      </c>
      <c r="C15301" s="2" t="s">
        <v>9</v>
      </c>
      <c r="D15301" s="2" t="s">
        <v>10</v>
      </c>
      <c r="E15301" s="2" t="str">
        <f>HYPERLINK("http://ts.21cn.com/tousu/show/id/1346928","http://ts.21cn.com/tousu/show/id/1346928")</f>
        <v>http://ts.21cn.com/tousu/show/id/1346928</v>
      </c>
      <c r="F15301" s="2" t="s">
        <v>11</v>
      </c>
      <c r="G15301" s="2" t="s">
        <v>14077</v>
      </c>
      <c r="H15301" s="2" t="s">
        <v>14078</v>
      </c>
    </row>
    <row r="15302" spans="1:8" ht="25.05" customHeight="1" x14ac:dyDescent="0.25">
      <c r="A15302" s="2" t="s">
        <v>8</v>
      </c>
      <c r="B15302" s="2" t="str">
        <f>HYPERLINK("http://ts.21cn.com/tousu/show/id/1346957","深圳国银盛达融资担保有限公司非法上传本人征信")</f>
        <v>深圳国银盛达融资担保有限公司非法上传本人征信</v>
      </c>
      <c r="C15302" s="2" t="s">
        <v>9</v>
      </c>
      <c r="D15302" s="2" t="s">
        <v>10</v>
      </c>
      <c r="E15302" s="2" t="str">
        <f>HYPERLINK("http://ts.21cn.com/tousu/show/id/1346957","http://ts.21cn.com/tousu/show/id/1346957")</f>
        <v>http://ts.21cn.com/tousu/show/id/1346957</v>
      </c>
      <c r="F15302" s="2" t="s">
        <v>11</v>
      </c>
      <c r="G15302" s="2" t="s">
        <v>14075</v>
      </c>
      <c r="H15302" s="2" t="s">
        <v>14076</v>
      </c>
    </row>
    <row r="15303" spans="1:8" ht="25.05" customHeight="1" x14ac:dyDescent="0.25">
      <c r="A15303" s="2" t="s">
        <v>8</v>
      </c>
      <c r="B15303" s="2" t="str">
        <f>HYPERLINK("http://ts.21cn.com/tousu/show/id/1346960","中原消费金融完全找不到客服")</f>
        <v>中原消费金融完全找不到客服</v>
      </c>
      <c r="C15303" s="2" t="s">
        <v>34</v>
      </c>
      <c r="D15303" s="2" t="s">
        <v>10</v>
      </c>
      <c r="E15303" s="2" t="str">
        <f>HYPERLINK("http://ts.21cn.com/tousu/show/id/1346960","http://ts.21cn.com/tousu/show/id/1346960")</f>
        <v>http://ts.21cn.com/tousu/show/id/1346960</v>
      </c>
      <c r="F15303" s="2" t="s">
        <v>11</v>
      </c>
      <c r="G15303" s="2" t="s">
        <v>14073</v>
      </c>
      <c r="H15303" s="2" t="s">
        <v>14074</v>
      </c>
    </row>
    <row r="15304" spans="1:8" ht="25.05" customHeight="1" x14ac:dyDescent="0.25">
      <c r="A15304" s="2" t="s">
        <v>8</v>
      </c>
      <c r="B15304" s="2" t="str">
        <f>HYPERLINK("http://ts.21cn.com/tousu/show/id/1346961","洋钱罐高额利息催款爆通讯录")</f>
        <v>洋钱罐高额利息催款爆通讯录</v>
      </c>
      <c r="C15304" s="2" t="s">
        <v>9</v>
      </c>
      <c r="D15304" s="2" t="s">
        <v>10</v>
      </c>
      <c r="E15304" s="2" t="str">
        <f>HYPERLINK("http://ts.21cn.com/tousu/show/id/1346961","http://ts.21cn.com/tousu/show/id/1346961")</f>
        <v>http://ts.21cn.com/tousu/show/id/1346961</v>
      </c>
      <c r="F15304" s="2" t="s">
        <v>11</v>
      </c>
      <c r="G15304" s="2" t="s">
        <v>14071</v>
      </c>
      <c r="H15304" s="2" t="s">
        <v>14072</v>
      </c>
    </row>
    <row r="15305" spans="1:8" ht="25.05" customHeight="1" x14ac:dyDescent="0.25">
      <c r="A15305" s="2" t="s">
        <v>8</v>
      </c>
      <c r="B15305" s="2" t="str">
        <f>HYPERLINK("http://ts.21cn.com/tousu/show/id/1346963","聚富分期乱扣费")</f>
        <v>聚富分期乱扣费</v>
      </c>
      <c r="C15305" s="2" t="s">
        <v>9</v>
      </c>
      <c r="D15305" s="2" t="s">
        <v>10</v>
      </c>
      <c r="E15305" s="2" t="str">
        <f>HYPERLINK("http://ts.21cn.com/tousu/show/id/1346963","http://ts.21cn.com/tousu/show/id/1346963")</f>
        <v>http://ts.21cn.com/tousu/show/id/1346963</v>
      </c>
      <c r="F15305" s="2" t="s">
        <v>11</v>
      </c>
      <c r="G15305" s="2" t="s">
        <v>14069</v>
      </c>
      <c r="H15305" s="2" t="s">
        <v>14070</v>
      </c>
    </row>
    <row r="15306" spans="1:8" ht="25.05" customHeight="1" x14ac:dyDescent="0.25">
      <c r="A15306" s="2" t="s">
        <v>8</v>
      </c>
      <c r="B15306" s="2" t="str">
        <f>HYPERLINK("http://ts.21cn.com/tousu/show/id/1346962","重复扣款退会多扣款项")</f>
        <v>重复扣款退会多扣款项</v>
      </c>
      <c r="C15306" s="2" t="s">
        <v>9</v>
      </c>
      <c r="D15306" s="2" t="s">
        <v>10</v>
      </c>
      <c r="E15306" s="2" t="str">
        <f>HYPERLINK("http://ts.21cn.com/tousu/show/id/1346962","http://ts.21cn.com/tousu/show/id/1346962")</f>
        <v>http://ts.21cn.com/tousu/show/id/1346962</v>
      </c>
      <c r="F15306" s="2" t="s">
        <v>11</v>
      </c>
      <c r="G15306" s="2" t="s">
        <v>14067</v>
      </c>
      <c r="H15306" s="2" t="s">
        <v>14068</v>
      </c>
    </row>
    <row r="15307" spans="1:8" ht="25.05" customHeight="1" x14ac:dyDescent="0.25">
      <c r="A15307" s="2" t="s">
        <v>8</v>
      </c>
      <c r="B15307" s="2" t="str">
        <f>HYPERLINK("http://ts.21cn.com/tousu/show/id/1346968","百事普惠未经本人允许私自恶意扣款")</f>
        <v>百事普惠未经本人允许私自恶意扣款</v>
      </c>
      <c r="C15307" s="2" t="s">
        <v>9</v>
      </c>
      <c r="D15307" s="2" t="s">
        <v>10</v>
      </c>
      <c r="E15307" s="2" t="str">
        <f>HYPERLINK("http://ts.21cn.com/tousu/show/id/1346968","http://ts.21cn.com/tousu/show/id/1346968")</f>
        <v>http://ts.21cn.com/tousu/show/id/1346968</v>
      </c>
      <c r="F15307" s="2" t="s">
        <v>11</v>
      </c>
      <c r="G15307" s="2" t="s">
        <v>14065</v>
      </c>
      <c r="H15307" s="2" t="s">
        <v>14066</v>
      </c>
    </row>
    <row r="15308" spans="1:8" ht="25.05" customHeight="1" x14ac:dyDescent="0.25">
      <c r="A15308" s="2" t="s">
        <v>8</v>
      </c>
      <c r="B15308" s="2" t="str">
        <f>HYPERLINK("http://ts.21cn.com/tousu/show/id/1346964","催收员恶心辱骂")</f>
        <v>催收员恶心辱骂</v>
      </c>
      <c r="C15308" s="2" t="s">
        <v>9</v>
      </c>
      <c r="D15308" s="2" t="s">
        <v>10</v>
      </c>
      <c r="E15308" s="2" t="str">
        <f>HYPERLINK("http://ts.21cn.com/tousu/show/id/1346964","http://ts.21cn.com/tousu/show/id/1346964")</f>
        <v>http://ts.21cn.com/tousu/show/id/1346964</v>
      </c>
      <c r="F15308" s="2" t="s">
        <v>11</v>
      </c>
      <c r="G15308" s="2" t="s">
        <v>14063</v>
      </c>
      <c r="H15308" s="2" t="s">
        <v>14064</v>
      </c>
    </row>
    <row r="15309" spans="1:8" ht="25.05" customHeight="1" x14ac:dyDescent="0.25">
      <c r="A15309" s="2" t="s">
        <v>8</v>
      </c>
      <c r="B15309" s="2" t="str">
        <f>HYPERLINK("http://ts.21cn.com/tousu/show/id/1346965","微粒贷催恶意催收致电到我公司")</f>
        <v>微粒贷催恶意催收致电到我公司</v>
      </c>
      <c r="C15309" s="2" t="s">
        <v>9</v>
      </c>
      <c r="D15309" s="2" t="s">
        <v>10</v>
      </c>
      <c r="E15309" s="2" t="str">
        <f>HYPERLINK("http://ts.21cn.com/tousu/show/id/1346965","http://ts.21cn.com/tousu/show/id/1346965")</f>
        <v>http://ts.21cn.com/tousu/show/id/1346965</v>
      </c>
      <c r="F15309" s="2" t="s">
        <v>11</v>
      </c>
      <c r="G15309" s="2" t="s">
        <v>14061</v>
      </c>
      <c r="H15309" s="2" t="s">
        <v>14062</v>
      </c>
    </row>
    <row r="15310" spans="1:8" ht="25.05" customHeight="1" x14ac:dyDescent="0.25">
      <c r="A15310" s="2" t="s">
        <v>8</v>
      </c>
      <c r="B15310" s="2" t="str">
        <f>HYPERLINK("http://ts.21cn.com/tousu/show/id/1343285","广发信用卡软暴力催收")</f>
        <v>广发信用卡软暴力催收</v>
      </c>
      <c r="C15310" s="2" t="s">
        <v>9</v>
      </c>
      <c r="D15310" s="2" t="s">
        <v>10</v>
      </c>
      <c r="E15310" s="2" t="str">
        <f>HYPERLINK("http://ts.21cn.com/tousu/show/id/1343285","http://ts.21cn.com/tousu/show/id/1343285")</f>
        <v>http://ts.21cn.com/tousu/show/id/1343285</v>
      </c>
      <c r="F15310" s="2" t="s">
        <v>11</v>
      </c>
      <c r="G15310" s="2" t="s">
        <v>14059</v>
      </c>
      <c r="H15310" s="2" t="s">
        <v>14060</v>
      </c>
    </row>
    <row r="15311" spans="1:8" ht="25.05" customHeight="1" x14ac:dyDescent="0.25">
      <c r="A15311" s="2" t="s">
        <v>8</v>
      </c>
      <c r="B15311" s="2" t="str">
        <f>HYPERLINK("http://ts.21cn.com/tousu/show/id/1346966","暴力催收")</f>
        <v>暴力催收</v>
      </c>
      <c r="C15311" s="2" t="s">
        <v>9</v>
      </c>
      <c r="D15311" s="2" t="s">
        <v>10</v>
      </c>
      <c r="E15311" s="2" t="str">
        <f>HYPERLINK("http://ts.21cn.com/tousu/show/id/1346966","http://ts.21cn.com/tousu/show/id/1346966")</f>
        <v>http://ts.21cn.com/tousu/show/id/1346966</v>
      </c>
      <c r="F15311" s="2" t="s">
        <v>11</v>
      </c>
      <c r="G15311" s="2" t="s">
        <v>14057</v>
      </c>
      <c r="H15311" s="2" t="s">
        <v>14058</v>
      </c>
    </row>
    <row r="15312" spans="1:8" ht="25.05" customHeight="1" x14ac:dyDescent="0.25">
      <c r="A15312" s="2" t="s">
        <v>8</v>
      </c>
      <c r="B15312" s="2" t="str">
        <f>HYPERLINK("http://ts.21cn.com/tousu/show/id/1346967","拼多多商户为赌博网站收款")</f>
        <v>拼多多商户为赌博网站收款</v>
      </c>
      <c r="C15312" s="2" t="s">
        <v>9</v>
      </c>
      <c r="D15312" s="2" t="s">
        <v>10</v>
      </c>
      <c r="E15312" s="2" t="str">
        <f>HYPERLINK("http://ts.21cn.com/tousu/show/id/1346967","http://ts.21cn.com/tousu/show/id/1346967")</f>
        <v>http://ts.21cn.com/tousu/show/id/1346967</v>
      </c>
      <c r="F15312" s="2" t="s">
        <v>11</v>
      </c>
      <c r="G15312" s="2" t="s">
        <v>14055</v>
      </c>
      <c r="H15312" s="2" t="s">
        <v>14056</v>
      </c>
    </row>
    <row r="15313" spans="1:8" ht="25.05" customHeight="1" x14ac:dyDescent="0.25">
      <c r="A15313" s="2" t="s">
        <v>8</v>
      </c>
      <c r="B15313" s="2" t="str">
        <f>HYPERLINK("http://ts.21cn.com/tousu/show/id/1346971","分期乐暴力催收，威胁打电话给紧急联络人，下午不还钱直接联系当地上门催收")</f>
        <v>分期乐暴力催收，威胁打电话给紧急联络人，下午不还钱直接联系当地上门催收</v>
      </c>
      <c r="C15313" s="2" t="s">
        <v>9</v>
      </c>
      <c r="D15313" s="2" t="s">
        <v>10</v>
      </c>
      <c r="E15313" s="2" t="str">
        <f>HYPERLINK("http://ts.21cn.com/tousu/show/id/1346971","http://ts.21cn.com/tousu/show/id/1346971")</f>
        <v>http://ts.21cn.com/tousu/show/id/1346971</v>
      </c>
      <c r="F15313" s="2" t="s">
        <v>11</v>
      </c>
      <c r="G15313" s="2" t="s">
        <v>14053</v>
      </c>
      <c r="H15313" s="2" t="s">
        <v>14054</v>
      </c>
    </row>
    <row r="15314" spans="1:8" ht="25.05" customHeight="1" x14ac:dyDescent="0.25">
      <c r="A15314" s="2" t="s">
        <v>8</v>
      </c>
      <c r="B15314" s="2" t="str">
        <f>HYPERLINK("http://ts.21cn.com/tousu/show/id/1346969","投诉玖富万卡利息超高，且催收不停。协商一次性还清时，利率超过法律规定的24%,且不肯调整至正常水平")</f>
        <v>投诉玖富万卡利息超高，且催收不停。协商一次性还清时，利率超过法律规定的24%,且不肯调整至正常水平</v>
      </c>
      <c r="C15314" s="2" t="s">
        <v>9</v>
      </c>
      <c r="D15314" s="2" t="s">
        <v>10</v>
      </c>
      <c r="E15314" s="2" t="str">
        <f>HYPERLINK("http://ts.21cn.com/tousu/show/id/1346969","http://ts.21cn.com/tousu/show/id/1346969")</f>
        <v>http://ts.21cn.com/tousu/show/id/1346969</v>
      </c>
      <c r="F15314" s="2" t="s">
        <v>11</v>
      </c>
      <c r="G15314" s="2" t="s">
        <v>14051</v>
      </c>
      <c r="H15314" s="2" t="s">
        <v>14052</v>
      </c>
    </row>
    <row r="15315" spans="1:8" ht="25.05" customHeight="1" x14ac:dyDescent="0.25">
      <c r="A15315" s="2" t="s">
        <v>8</v>
      </c>
      <c r="B15315" s="2" t="str">
        <f>HYPERLINK("http://ts.21cn.com/tousu/show/id/1346974","你我贷公司违法软暴力催收，利息不符国家规定，协商一次性还清，并还国家法定利息，其不同意")</f>
        <v>你我贷公司违法软暴力催收，利息不符国家规定，协商一次性还清，并还国家法定利息，其不同意</v>
      </c>
      <c r="C15315" s="2" t="s">
        <v>9</v>
      </c>
      <c r="D15315" s="2" t="s">
        <v>10</v>
      </c>
      <c r="E15315" s="2" t="str">
        <f>HYPERLINK("http://ts.21cn.com/tousu/show/id/1346974","http://ts.21cn.com/tousu/show/id/1346974")</f>
        <v>http://ts.21cn.com/tousu/show/id/1346974</v>
      </c>
      <c r="F15315" s="2" t="s">
        <v>11</v>
      </c>
      <c r="G15315" s="2" t="s">
        <v>14049</v>
      </c>
      <c r="H15315" s="2" t="s">
        <v>14050</v>
      </c>
    </row>
    <row r="15316" spans="1:8" ht="25.05" customHeight="1" x14ac:dyDescent="0.25">
      <c r="A15316" s="2" t="s">
        <v>8</v>
      </c>
      <c r="B15316" s="2" t="str">
        <f>HYPERLINK("http://ts.21cn.com/tousu/show/id/1346970","小浦优客违规欺诈申请退款")</f>
        <v>小浦优客违规欺诈申请退款</v>
      </c>
      <c r="C15316" s="2" t="s">
        <v>9</v>
      </c>
      <c r="D15316" s="2" t="s">
        <v>10</v>
      </c>
      <c r="E15316" s="2" t="str">
        <f>HYPERLINK("http://ts.21cn.com/tousu/show/id/1346970","http://ts.21cn.com/tousu/show/id/1346970")</f>
        <v>http://ts.21cn.com/tousu/show/id/1346970</v>
      </c>
      <c r="F15316" s="2" t="s">
        <v>11</v>
      </c>
      <c r="G15316" s="2" t="s">
        <v>14047</v>
      </c>
      <c r="H15316" s="2" t="s">
        <v>14048</v>
      </c>
    </row>
    <row r="15317" spans="1:8" ht="25.05" customHeight="1" x14ac:dyDescent="0.25">
      <c r="A15317" s="2" t="s">
        <v>8</v>
      </c>
      <c r="B15317" s="2" t="str">
        <f>HYPERLINK("http://ts.21cn.com/tousu/show/id/1346972","乱扣费")</f>
        <v>乱扣费</v>
      </c>
      <c r="C15317" s="2" t="s">
        <v>9</v>
      </c>
      <c r="D15317" s="2" t="s">
        <v>10</v>
      </c>
      <c r="E15317" s="2" t="str">
        <f>HYPERLINK("http://ts.21cn.com/tousu/show/id/1346972","http://ts.21cn.com/tousu/show/id/1346972")</f>
        <v>http://ts.21cn.com/tousu/show/id/1346972</v>
      </c>
      <c r="F15317" s="2" t="s">
        <v>11</v>
      </c>
      <c r="G15317" s="2" t="s">
        <v>14045</v>
      </c>
      <c r="H15317" s="2" t="s">
        <v>14046</v>
      </c>
    </row>
    <row r="15318" spans="1:8" ht="25.05" customHeight="1" x14ac:dyDescent="0.25">
      <c r="A15318" s="2" t="s">
        <v>8</v>
      </c>
      <c r="B15318" s="2" t="str">
        <f>HYPERLINK("http://ts.21cn.com/tousu/show/id/1346973","哆咪黑卡")</f>
        <v>哆咪黑卡</v>
      </c>
      <c r="C15318" s="2" t="s">
        <v>9</v>
      </c>
      <c r="D15318" s="2" t="s">
        <v>10</v>
      </c>
      <c r="E15318" s="2" t="str">
        <f>HYPERLINK("http://ts.21cn.com/tousu/show/id/1346973","http://ts.21cn.com/tousu/show/id/1346973")</f>
        <v>http://ts.21cn.com/tousu/show/id/1346973</v>
      </c>
      <c r="F15318" s="2" t="s">
        <v>11</v>
      </c>
      <c r="G15318" s="2" t="s">
        <v>14043</v>
      </c>
      <c r="H15318" s="2" t="s">
        <v>14044</v>
      </c>
    </row>
    <row r="15319" spans="1:8" ht="25.05" customHeight="1" x14ac:dyDescent="0.25">
      <c r="A15319" s="2" t="s">
        <v>8</v>
      </c>
      <c r="B15319" s="2" t="str">
        <f>HYPERLINK("http://ts.21cn.com/tousu/show/id/1346975","多宝分期总是还款失败")</f>
        <v>多宝分期总是还款失败</v>
      </c>
      <c r="C15319" s="2" t="s">
        <v>9</v>
      </c>
      <c r="D15319" s="2" t="s">
        <v>10</v>
      </c>
      <c r="E15319" s="2" t="str">
        <f>HYPERLINK("http://ts.21cn.com/tousu/show/id/1346975","http://ts.21cn.com/tousu/show/id/1346975")</f>
        <v>http://ts.21cn.com/tousu/show/id/1346975</v>
      </c>
      <c r="F15319" s="2" t="s">
        <v>11</v>
      </c>
      <c r="G15319" s="2" t="s">
        <v>14041</v>
      </c>
      <c r="H15319" s="2" t="s">
        <v>14042</v>
      </c>
    </row>
    <row r="15320" spans="1:8" ht="25.05" customHeight="1" x14ac:dyDescent="0.25">
      <c r="A15320" s="2" t="s">
        <v>8</v>
      </c>
      <c r="B15320" s="2" t="str">
        <f>HYPERLINK("http://ts.21cn.com/tousu/show/id/1346977","安逸花不能借不能消费")</f>
        <v>安逸花不能借不能消费</v>
      </c>
      <c r="C15320" s="2" t="s">
        <v>34</v>
      </c>
      <c r="D15320" s="2" t="s">
        <v>10</v>
      </c>
      <c r="E15320" s="2" t="str">
        <f>HYPERLINK("http://ts.21cn.com/tousu/show/id/1346977","http://ts.21cn.com/tousu/show/id/1346977")</f>
        <v>http://ts.21cn.com/tousu/show/id/1346977</v>
      </c>
      <c r="F15320" s="2" t="s">
        <v>11</v>
      </c>
      <c r="G15320" s="2" t="s">
        <v>14039</v>
      </c>
      <c r="H15320" s="2" t="s">
        <v>14040</v>
      </c>
    </row>
    <row r="15321" spans="1:8" ht="25.05" customHeight="1" x14ac:dyDescent="0.25">
      <c r="A15321" s="2" t="s">
        <v>8</v>
      </c>
      <c r="B15321" s="2" t="str">
        <f>HYPERLINK("http://ts.21cn.com/tousu/show/id/1346978","喵下贷高利贷")</f>
        <v>喵下贷高利贷</v>
      </c>
      <c r="C15321" s="2" t="s">
        <v>9</v>
      </c>
      <c r="D15321" s="2" t="s">
        <v>10</v>
      </c>
      <c r="E15321" s="2" t="str">
        <f>HYPERLINK("http://ts.21cn.com/tousu/show/id/1346978","http://ts.21cn.com/tousu/show/id/1346978")</f>
        <v>http://ts.21cn.com/tousu/show/id/1346978</v>
      </c>
      <c r="F15321" s="2" t="s">
        <v>11</v>
      </c>
      <c r="G15321" s="2" t="s">
        <v>14037</v>
      </c>
      <c r="H15321" s="2" t="s">
        <v>14038</v>
      </c>
    </row>
    <row r="15322" spans="1:8" ht="25.05" customHeight="1" x14ac:dyDescent="0.25">
      <c r="A15322" s="2" t="s">
        <v>8</v>
      </c>
      <c r="B15322" s="2" t="str">
        <f>HYPERLINK("http://ts.21cn.com/tousu/show/id/1346980","大河票务网诱导消费，加收10%退款费来占用消费者资金。")</f>
        <v>大河票务网诱导消费，加收10%退款费来占用消费者资金。</v>
      </c>
      <c r="C15322" s="2" t="s">
        <v>9</v>
      </c>
      <c r="D15322" s="2" t="s">
        <v>10</v>
      </c>
      <c r="E15322" s="2" t="str">
        <f>HYPERLINK("http://ts.21cn.com/tousu/show/id/1346980","http://ts.21cn.com/tousu/show/id/1346980")</f>
        <v>http://ts.21cn.com/tousu/show/id/1346980</v>
      </c>
      <c r="F15322" s="2" t="s">
        <v>11</v>
      </c>
      <c r="G15322" s="2" t="s">
        <v>14035</v>
      </c>
      <c r="H15322" s="2" t="s">
        <v>14036</v>
      </c>
    </row>
    <row r="15323" spans="1:8" ht="25.05" customHeight="1" x14ac:dyDescent="0.25">
      <c r="A15323" s="2" t="s">
        <v>8</v>
      </c>
      <c r="B15323" s="2" t="str">
        <f>HYPERLINK("http://ts.21cn.com/tousu/show/id/1346979","百万钱包砍头息！暴力催收！")</f>
        <v>百万钱包砍头息！暴力催收！</v>
      </c>
      <c r="C15323" s="2" t="s">
        <v>9</v>
      </c>
      <c r="D15323" s="2" t="s">
        <v>10</v>
      </c>
      <c r="E15323" s="2" t="str">
        <f>HYPERLINK("http://ts.21cn.com/tousu/show/id/1346979","http://ts.21cn.com/tousu/show/id/1346979")</f>
        <v>http://ts.21cn.com/tousu/show/id/1346979</v>
      </c>
      <c r="F15323" s="2" t="s">
        <v>11</v>
      </c>
      <c r="G15323" s="2" t="s">
        <v>14033</v>
      </c>
      <c r="H15323" s="2" t="s">
        <v>14034</v>
      </c>
    </row>
    <row r="15324" spans="1:8" ht="25.05" customHeight="1" x14ac:dyDescent="0.25">
      <c r="A15324" s="2" t="s">
        <v>8</v>
      </c>
      <c r="B15324" s="2" t="str">
        <f>HYPERLINK("http://ts.21cn.com/tousu/show/id/1346959","小花钱包暴力催收")</f>
        <v>小花钱包暴力催收</v>
      </c>
      <c r="C15324" s="2" t="s">
        <v>9</v>
      </c>
      <c r="D15324" s="2" t="s">
        <v>10</v>
      </c>
      <c r="E15324" s="2" t="str">
        <f>HYPERLINK("http://ts.21cn.com/tousu/show/id/1346959","http://ts.21cn.com/tousu/show/id/1346959")</f>
        <v>http://ts.21cn.com/tousu/show/id/1346959</v>
      </c>
      <c r="F15324" s="2" t="s">
        <v>11</v>
      </c>
      <c r="G15324" s="2" t="s">
        <v>14031</v>
      </c>
      <c r="H15324" s="2" t="s">
        <v>14032</v>
      </c>
    </row>
    <row r="15325" spans="1:8" ht="25.05" customHeight="1" x14ac:dyDescent="0.25">
      <c r="A15325" s="2" t="s">
        <v>8</v>
      </c>
      <c r="B15325" s="2" t="str">
        <f>HYPERLINK("http://ts.21cn.com/tousu/show/id/1346514","富友支付给黑网贷平台提供资金接入口")</f>
        <v>富友支付给黑网贷平台提供资金接入口</v>
      </c>
      <c r="C15325" s="2" t="s">
        <v>9</v>
      </c>
      <c r="D15325" s="2" t="s">
        <v>10</v>
      </c>
      <c r="E15325" s="2" t="str">
        <f>HYPERLINK("http://ts.21cn.com/tousu/show/id/1346514","http://ts.21cn.com/tousu/show/id/1346514")</f>
        <v>http://ts.21cn.com/tousu/show/id/1346514</v>
      </c>
      <c r="F15325" s="2" t="s">
        <v>11</v>
      </c>
      <c r="G15325" s="2" t="s">
        <v>14029</v>
      </c>
      <c r="H15325" s="2" t="s">
        <v>14030</v>
      </c>
    </row>
    <row r="15326" spans="1:8" ht="25.05" customHeight="1" x14ac:dyDescent="0.25">
      <c r="A15326" s="2" t="s">
        <v>8</v>
      </c>
      <c r="B15326" s="2" t="str">
        <f>HYPERLINK("http://ts.21cn.com/tousu/show/id/1346984","退款问题")</f>
        <v>退款问题</v>
      </c>
      <c r="C15326" s="2" t="s">
        <v>9</v>
      </c>
      <c r="D15326" s="2" t="s">
        <v>10</v>
      </c>
      <c r="E15326" s="2" t="str">
        <f>HYPERLINK("http://ts.21cn.com/tousu/show/id/1346984","http://ts.21cn.com/tousu/show/id/1346984")</f>
        <v>http://ts.21cn.com/tousu/show/id/1346984</v>
      </c>
      <c r="F15326" s="2" t="s">
        <v>11</v>
      </c>
      <c r="G15326" s="2" t="s">
        <v>14027</v>
      </c>
      <c r="H15326" s="2" t="s">
        <v>14028</v>
      </c>
    </row>
    <row r="15327" spans="1:8" ht="25.05" customHeight="1" x14ac:dyDescent="0.25">
      <c r="A15327" s="2" t="s">
        <v>8</v>
      </c>
      <c r="B15327" s="2" t="str">
        <f>HYPERLINK("http://ts.21cn.com/tousu/show/id/1346985","中国联通手机号不给过户")</f>
        <v>中国联通手机号不给过户</v>
      </c>
      <c r="C15327" s="2" t="s">
        <v>9</v>
      </c>
      <c r="D15327" s="2" t="s">
        <v>10</v>
      </c>
      <c r="E15327" s="2" t="str">
        <f>HYPERLINK("http://ts.21cn.com/tousu/show/id/1346985","http://ts.21cn.com/tousu/show/id/1346985")</f>
        <v>http://ts.21cn.com/tousu/show/id/1346985</v>
      </c>
      <c r="F15327" s="2" t="s">
        <v>11</v>
      </c>
      <c r="G15327" s="2" t="s">
        <v>14025</v>
      </c>
      <c r="H15327" s="2" t="s">
        <v>14026</v>
      </c>
    </row>
    <row r="15328" spans="1:8" ht="25.05" customHeight="1" x14ac:dyDescent="0.25">
      <c r="A15328" s="2" t="s">
        <v>8</v>
      </c>
      <c r="B15328" s="2" t="str">
        <f>HYPERLINK("http://ts.21cn.com/tousu/show/id/1346986","小赢卡贷逾期几个小时暴力催收！")</f>
        <v>小赢卡贷逾期几个小时暴力催收！</v>
      </c>
      <c r="C15328" s="2" t="s">
        <v>9</v>
      </c>
      <c r="D15328" s="2" t="s">
        <v>10</v>
      </c>
      <c r="E15328" s="2" t="str">
        <f>HYPERLINK("http://ts.21cn.com/tousu/show/id/1346986","http://ts.21cn.com/tousu/show/id/1346986")</f>
        <v>http://ts.21cn.com/tousu/show/id/1346986</v>
      </c>
      <c r="F15328" s="2" t="s">
        <v>11</v>
      </c>
      <c r="G15328" s="2" t="s">
        <v>14023</v>
      </c>
      <c r="H15328" s="2" t="s">
        <v>14024</v>
      </c>
    </row>
    <row r="15329" spans="1:8" ht="25.05" customHeight="1" x14ac:dyDescent="0.25">
      <c r="A15329" s="2" t="s">
        <v>8</v>
      </c>
      <c r="B15329" s="2" t="str">
        <f>HYPERLINK("http://ts.21cn.com/tousu/show/id/1346987","骚扰威胁")</f>
        <v>骚扰威胁</v>
      </c>
      <c r="C15329" s="2" t="s">
        <v>9</v>
      </c>
      <c r="D15329" s="2" t="s">
        <v>10</v>
      </c>
      <c r="E15329" s="2" t="str">
        <f>HYPERLINK("http://ts.21cn.com/tousu/show/id/1346987","http://ts.21cn.com/tousu/show/id/1346987")</f>
        <v>http://ts.21cn.com/tousu/show/id/1346987</v>
      </c>
      <c r="F15329" s="2" t="s">
        <v>11</v>
      </c>
      <c r="G15329" s="2" t="s">
        <v>14021</v>
      </c>
      <c r="H15329" s="2" t="s">
        <v>14022</v>
      </c>
    </row>
    <row r="15330" spans="1:8" ht="25.05" customHeight="1" x14ac:dyDescent="0.25">
      <c r="A15330" s="2" t="s">
        <v>8</v>
      </c>
      <c r="B15330" s="2" t="str">
        <f>HYPERLINK("http://ts.21cn.com/tousu/show/id/1346989","玖富万卡高利贷，阴阳合同")</f>
        <v>玖富万卡高利贷，阴阳合同</v>
      </c>
      <c r="C15330" s="2" t="s">
        <v>9</v>
      </c>
      <c r="D15330" s="2" t="s">
        <v>10</v>
      </c>
      <c r="E15330" s="2" t="str">
        <f>HYPERLINK("http://ts.21cn.com/tousu/show/id/1346989","http://ts.21cn.com/tousu/show/id/1346989")</f>
        <v>http://ts.21cn.com/tousu/show/id/1346989</v>
      </c>
      <c r="F15330" s="2" t="s">
        <v>11</v>
      </c>
      <c r="G15330" s="2" t="s">
        <v>14019</v>
      </c>
      <c r="H15330" s="2" t="s">
        <v>14020</v>
      </c>
    </row>
    <row r="15331" spans="1:8" ht="25.05" customHeight="1" x14ac:dyDescent="0.25">
      <c r="A15331" s="2" t="s">
        <v>8</v>
      </c>
      <c r="B15331" s="2" t="str">
        <f>HYPERLINK("http://ts.21cn.com/tousu/show/id/1346992","高利贷，")</f>
        <v>高利贷，</v>
      </c>
      <c r="C15331" s="2" t="s">
        <v>9</v>
      </c>
      <c r="D15331" s="2" t="s">
        <v>10</v>
      </c>
      <c r="E15331" s="2" t="str">
        <f>HYPERLINK("http://ts.21cn.com/tousu/show/id/1346992","http://ts.21cn.com/tousu/show/id/1346992")</f>
        <v>http://ts.21cn.com/tousu/show/id/1346992</v>
      </c>
      <c r="F15331" s="2" t="s">
        <v>11</v>
      </c>
      <c r="G15331" s="2" t="s">
        <v>14017</v>
      </c>
      <c r="H15331" s="2" t="s">
        <v>14018</v>
      </c>
    </row>
    <row r="15332" spans="1:8" ht="25.05" customHeight="1" x14ac:dyDescent="0.25">
      <c r="A15332" s="2" t="s">
        <v>8</v>
      </c>
      <c r="B15332" s="2" t="str">
        <f>HYPERLINK("http://ts.21cn.com/tousu/show/id/1346994","广东信汇电子商务有限公司违法")</f>
        <v>广东信汇电子商务有限公司违法</v>
      </c>
      <c r="C15332" s="2" t="s">
        <v>9</v>
      </c>
      <c r="D15332" s="2" t="s">
        <v>10</v>
      </c>
      <c r="E15332" s="2" t="str">
        <f>HYPERLINK("http://ts.21cn.com/tousu/show/id/1346994","http://ts.21cn.com/tousu/show/id/1346994")</f>
        <v>http://ts.21cn.com/tousu/show/id/1346994</v>
      </c>
      <c r="F15332" s="2" t="s">
        <v>11</v>
      </c>
      <c r="G15332" s="2" t="s">
        <v>14015</v>
      </c>
      <c r="H15332" s="2" t="s">
        <v>14016</v>
      </c>
    </row>
    <row r="15333" spans="1:8" ht="25.05" customHeight="1" x14ac:dyDescent="0.25">
      <c r="A15333" s="2" t="s">
        <v>8</v>
      </c>
      <c r="B15333" s="2" t="str">
        <f>HYPERLINK("http://ts.21cn.com/tousu/show/id/1346995","创客工具把我的淘宝帐号打标降权，这是为什么？")</f>
        <v>创客工具把我的淘宝帐号打标降权，这是为什么？</v>
      </c>
      <c r="C15333" s="2" t="s">
        <v>9</v>
      </c>
      <c r="D15333" s="2" t="s">
        <v>10</v>
      </c>
      <c r="E15333" s="2" t="str">
        <f>HYPERLINK("http://ts.21cn.com/tousu/show/id/1346995","http://ts.21cn.com/tousu/show/id/1346995")</f>
        <v>http://ts.21cn.com/tousu/show/id/1346995</v>
      </c>
      <c r="F15333" s="2" t="s">
        <v>11</v>
      </c>
      <c r="G15333" s="2" t="s">
        <v>14013</v>
      </c>
      <c r="H15333" s="2" t="s">
        <v>14014</v>
      </c>
    </row>
    <row r="15334" spans="1:8" ht="25.05" customHeight="1" x14ac:dyDescent="0.25">
      <c r="A15334" s="2" t="s">
        <v>8</v>
      </c>
      <c r="B15334" s="2" t="str">
        <f>HYPERLINK("http://ts.21cn.com/tousu/show/id/1346996","马上金融骚扰通讯录")</f>
        <v>马上金融骚扰通讯录</v>
      </c>
      <c r="C15334" s="2" t="s">
        <v>9</v>
      </c>
      <c r="D15334" s="2" t="s">
        <v>10</v>
      </c>
      <c r="E15334" s="2" t="str">
        <f>HYPERLINK("http://ts.21cn.com/tousu/show/id/1346996","http://ts.21cn.com/tousu/show/id/1346996")</f>
        <v>http://ts.21cn.com/tousu/show/id/1346996</v>
      </c>
      <c r="F15334" s="2" t="s">
        <v>11</v>
      </c>
      <c r="G15334" s="2" t="s">
        <v>14011</v>
      </c>
      <c r="H15334" s="2" t="s">
        <v>14012</v>
      </c>
    </row>
    <row r="15335" spans="1:8" ht="25.05" customHeight="1" x14ac:dyDescent="0.25">
      <c r="A15335" s="2" t="s">
        <v>8</v>
      </c>
      <c r="B15335" s="2" t="str">
        <f>HYPERLINK("http://ts.21cn.com/tousu/show/id/1346997","苏宁易购65英寸电视送货未让消费者验收发现碎屏不让退款退货")</f>
        <v>苏宁易购65英寸电视送货未让消费者验收发现碎屏不让退款退货</v>
      </c>
      <c r="C15335" s="2" t="s">
        <v>34</v>
      </c>
      <c r="D15335" s="2" t="s">
        <v>10</v>
      </c>
      <c r="E15335" s="2" t="str">
        <f>HYPERLINK("http://ts.21cn.com/tousu/show/id/1346997","http://ts.21cn.com/tousu/show/id/1346997")</f>
        <v>http://ts.21cn.com/tousu/show/id/1346997</v>
      </c>
      <c r="F15335" s="2" t="s">
        <v>11</v>
      </c>
      <c r="G15335" s="2" t="s">
        <v>14009</v>
      </c>
      <c r="H15335" s="2" t="s">
        <v>14010</v>
      </c>
    </row>
    <row r="15336" spans="1:8" ht="25.05" customHeight="1" x14ac:dyDescent="0.25">
      <c r="A15336" s="2" t="s">
        <v>8</v>
      </c>
      <c r="B15336" s="2" t="str">
        <f>HYPERLINK("http://ts.21cn.com/tousu/show/id/1346999","百事惠普恶意扣款")</f>
        <v>百事惠普恶意扣款</v>
      </c>
      <c r="C15336" s="2" t="s">
        <v>9</v>
      </c>
      <c r="D15336" s="2" t="s">
        <v>10</v>
      </c>
      <c r="E15336" s="2" t="str">
        <f>HYPERLINK("http://ts.21cn.com/tousu/show/id/1346999","http://ts.21cn.com/tousu/show/id/1346999")</f>
        <v>http://ts.21cn.com/tousu/show/id/1346999</v>
      </c>
      <c r="F15336" s="2" t="s">
        <v>11</v>
      </c>
      <c r="G15336" s="2" t="s">
        <v>14007</v>
      </c>
      <c r="H15336" s="2" t="s">
        <v>14008</v>
      </c>
    </row>
    <row r="15337" spans="1:8" ht="25.05" customHeight="1" x14ac:dyDescent="0.25">
      <c r="A15337" s="2" t="s">
        <v>8</v>
      </c>
      <c r="B15337" s="2" t="str">
        <f>HYPERLINK("http://ts.21cn.com/tousu/show/id/1347000","时光分期高额利息骚扰通讯录")</f>
        <v>时光分期高额利息骚扰通讯录</v>
      </c>
      <c r="C15337" s="2" t="s">
        <v>9</v>
      </c>
      <c r="D15337" s="2" t="s">
        <v>10</v>
      </c>
      <c r="E15337" s="2" t="str">
        <f>HYPERLINK("http://ts.21cn.com/tousu/show/id/1347000","http://ts.21cn.com/tousu/show/id/1347000")</f>
        <v>http://ts.21cn.com/tousu/show/id/1347000</v>
      </c>
      <c r="F15337" s="2" t="s">
        <v>11</v>
      </c>
      <c r="G15337" s="2" t="s">
        <v>14005</v>
      </c>
      <c r="H15337" s="2" t="s">
        <v>14006</v>
      </c>
    </row>
    <row r="15338" spans="1:8" ht="25.05" customHeight="1" x14ac:dyDescent="0.25">
      <c r="A15338" s="2" t="s">
        <v>8</v>
      </c>
      <c r="B15338" s="2" t="str">
        <f>HYPERLINK("http://ts.21cn.com/tousu/show/id/1346981","希望与马上金融，百度有钱花协商还款")</f>
        <v>希望与马上金融，百度有钱花协商还款</v>
      </c>
      <c r="C15338" s="2" t="s">
        <v>9</v>
      </c>
      <c r="D15338" s="2" t="s">
        <v>10</v>
      </c>
      <c r="E15338" s="2" t="str">
        <f>HYPERLINK("http://ts.21cn.com/tousu/show/id/1346981","http://ts.21cn.com/tousu/show/id/1346981")</f>
        <v>http://ts.21cn.com/tousu/show/id/1346981</v>
      </c>
      <c r="F15338" s="2" t="s">
        <v>11</v>
      </c>
      <c r="G15338" s="2" t="s">
        <v>14003</v>
      </c>
      <c r="H15338" s="2" t="s">
        <v>14004</v>
      </c>
    </row>
    <row r="15339" spans="1:8" ht="25.05" customHeight="1" x14ac:dyDescent="0.25">
      <c r="A15339" s="2" t="s">
        <v>8</v>
      </c>
      <c r="B15339" s="2" t="str">
        <f>HYPERLINK("http://ts.21cn.com/tousu/show/id/1347002","收钱不办事，拉黑用户")</f>
        <v>收钱不办事，拉黑用户</v>
      </c>
      <c r="C15339" s="2" t="s">
        <v>9</v>
      </c>
      <c r="D15339" s="2" t="s">
        <v>10</v>
      </c>
      <c r="E15339" s="2" t="str">
        <f>HYPERLINK("http://ts.21cn.com/tousu/show/id/1347002","http://ts.21cn.com/tousu/show/id/1347002")</f>
        <v>http://ts.21cn.com/tousu/show/id/1347002</v>
      </c>
      <c r="F15339" s="2" t="s">
        <v>11</v>
      </c>
      <c r="G15339" s="2" t="s">
        <v>14001</v>
      </c>
      <c r="H15339" s="2" t="s">
        <v>14002</v>
      </c>
    </row>
    <row r="15340" spans="1:8" ht="25.05" customHeight="1" x14ac:dyDescent="0.25">
      <c r="A15340" s="2" t="s">
        <v>8</v>
      </c>
      <c r="B15340" s="2" t="str">
        <f>HYPERLINK("http://ts.21cn.com/tousu/show/id/1346983","霸王条款，收费问题，退学退款问题")</f>
        <v>霸王条款，收费问题，退学退款问题</v>
      </c>
      <c r="C15340" s="2" t="s">
        <v>9</v>
      </c>
      <c r="D15340" s="2" t="s">
        <v>10</v>
      </c>
      <c r="E15340" s="2" t="str">
        <f>HYPERLINK("http://ts.21cn.com/tousu/show/id/1346983","http://ts.21cn.com/tousu/show/id/1346983")</f>
        <v>http://ts.21cn.com/tousu/show/id/1346983</v>
      </c>
      <c r="F15340" s="2" t="s">
        <v>11</v>
      </c>
      <c r="G15340" s="2" t="s">
        <v>13999</v>
      </c>
      <c r="H15340" s="2" t="s">
        <v>14000</v>
      </c>
    </row>
    <row r="15341" spans="1:8" ht="25.05" customHeight="1" x14ac:dyDescent="0.25">
      <c r="A15341" s="2" t="s">
        <v>8</v>
      </c>
      <c r="B15341" s="2" t="str">
        <f>HYPERLINK("http://ts.21cn.com/tousu/show/id/1347003","我来数科（原名我来贷）收取高额利息、服务费")</f>
        <v>我来数科（原名我来贷）收取高额利息、服务费</v>
      </c>
      <c r="C15341" s="2" t="s">
        <v>9</v>
      </c>
      <c r="D15341" s="2" t="s">
        <v>10</v>
      </c>
      <c r="E15341" s="2" t="str">
        <f>HYPERLINK("http://ts.21cn.com/tousu/show/id/1347003","http://ts.21cn.com/tousu/show/id/1347003")</f>
        <v>http://ts.21cn.com/tousu/show/id/1347003</v>
      </c>
      <c r="F15341" s="2" t="s">
        <v>11</v>
      </c>
      <c r="G15341" s="2" t="s">
        <v>13997</v>
      </c>
      <c r="H15341" s="2" t="s">
        <v>13998</v>
      </c>
    </row>
    <row r="15342" spans="1:8" ht="25.05" customHeight="1" x14ac:dyDescent="0.25">
      <c r="A15342" s="2" t="s">
        <v>8</v>
      </c>
      <c r="B15342" s="2" t="str">
        <f>HYPERLINK("http://ts.21cn.com/tousu/show/id/1346958","友信暴力催收，骚扰")</f>
        <v>友信暴力催收，骚扰</v>
      </c>
      <c r="C15342" s="2" t="s">
        <v>9</v>
      </c>
      <c r="D15342" s="2" t="s">
        <v>10</v>
      </c>
      <c r="E15342" s="2" t="str">
        <f>HYPERLINK("http://ts.21cn.com/tousu/show/id/1346958","http://ts.21cn.com/tousu/show/id/1346958")</f>
        <v>http://ts.21cn.com/tousu/show/id/1346958</v>
      </c>
      <c r="F15342" s="2" t="s">
        <v>11</v>
      </c>
      <c r="G15342" s="2" t="s">
        <v>13995</v>
      </c>
      <c r="H15342" s="2" t="s">
        <v>13996</v>
      </c>
    </row>
    <row r="15343" spans="1:8" ht="25.05" customHeight="1" x14ac:dyDescent="0.25">
      <c r="A15343" s="2" t="s">
        <v>8</v>
      </c>
      <c r="B15343" s="2" t="str">
        <f>HYPERLINK("http://ts.21cn.com/tousu/show/id/1347004","退款")</f>
        <v>退款</v>
      </c>
      <c r="C15343" s="2" t="s">
        <v>9</v>
      </c>
      <c r="D15343" s="2" t="s">
        <v>10</v>
      </c>
      <c r="E15343" s="2" t="str">
        <f>HYPERLINK("http://ts.21cn.com/tousu/show/id/1347004","http://ts.21cn.com/tousu/show/id/1347004")</f>
        <v>http://ts.21cn.com/tousu/show/id/1347004</v>
      </c>
      <c r="F15343" s="2" t="s">
        <v>11</v>
      </c>
      <c r="G15343" s="2" t="s">
        <v>13993</v>
      </c>
      <c r="H15343" s="2" t="s">
        <v>13994</v>
      </c>
    </row>
    <row r="15344" spans="1:8" ht="25.05" customHeight="1" x14ac:dyDescent="0.25">
      <c r="A15344" s="2" t="s">
        <v>8</v>
      </c>
      <c r="B15344" s="2" t="str">
        <f>HYPERLINK("http://ts.21cn.com/tousu/show/id/1347006","审核时间超过一个月")</f>
        <v>审核时间超过一个月</v>
      </c>
      <c r="C15344" s="2" t="s">
        <v>9</v>
      </c>
      <c r="D15344" s="2" t="s">
        <v>10</v>
      </c>
      <c r="E15344" s="2" t="str">
        <f>HYPERLINK("http://ts.21cn.com/tousu/show/id/1347006","http://ts.21cn.com/tousu/show/id/1347006")</f>
        <v>http://ts.21cn.com/tousu/show/id/1347006</v>
      </c>
      <c r="F15344" s="2" t="s">
        <v>11</v>
      </c>
      <c r="G15344" s="2" t="s">
        <v>13991</v>
      </c>
      <c r="H15344" s="2" t="s">
        <v>13992</v>
      </c>
    </row>
    <row r="15345" spans="1:8" ht="25.05" customHeight="1" x14ac:dyDescent="0.25">
      <c r="A15345" s="2" t="s">
        <v>8</v>
      </c>
      <c r="B15345" s="2" t="str">
        <f>HYPERLINK("http://ts.21cn.com/tousu/show/id/1347007","OPPOR9SPLUS大规模无限重启变砖")</f>
        <v>OPPOR9SPLUS大规模无限重启变砖</v>
      </c>
      <c r="C15345" s="2" t="s">
        <v>34</v>
      </c>
      <c r="D15345" s="2" t="s">
        <v>10</v>
      </c>
      <c r="E15345" s="2" t="str">
        <f>HYPERLINK("http://ts.21cn.com/tousu/show/id/1347007","http://ts.21cn.com/tousu/show/id/1347007")</f>
        <v>http://ts.21cn.com/tousu/show/id/1347007</v>
      </c>
      <c r="F15345" s="2" t="s">
        <v>11</v>
      </c>
      <c r="G15345" s="2" t="s">
        <v>13989</v>
      </c>
      <c r="H15345" s="2" t="s">
        <v>13990</v>
      </c>
    </row>
    <row r="15346" spans="1:8" ht="25.05" customHeight="1" x14ac:dyDescent="0.25">
      <c r="A15346" s="2" t="s">
        <v>8</v>
      </c>
      <c r="B15346" s="2" t="str">
        <f>HYPERLINK("http://ts.21cn.com/tousu/show/id/1347008","网贷套路贷")</f>
        <v>网贷套路贷</v>
      </c>
      <c r="C15346" s="2" t="s">
        <v>9</v>
      </c>
      <c r="D15346" s="2" t="s">
        <v>10</v>
      </c>
      <c r="E15346" s="2" t="str">
        <f>HYPERLINK("http://ts.21cn.com/tousu/show/id/1347008","http://ts.21cn.com/tousu/show/id/1347008")</f>
        <v>http://ts.21cn.com/tousu/show/id/1347008</v>
      </c>
      <c r="F15346" s="2" t="s">
        <v>11</v>
      </c>
      <c r="G15346" s="2" t="s">
        <v>13987</v>
      </c>
      <c r="H15346" s="2" t="s">
        <v>13988</v>
      </c>
    </row>
    <row r="15347" spans="1:8" ht="25.05" customHeight="1" x14ac:dyDescent="0.25">
      <c r="A15347" s="2" t="s">
        <v>8</v>
      </c>
      <c r="B15347" s="2" t="str">
        <f>HYPERLINK("http://ts.21cn.com/tousu/show/id/1347009","拼多多商户给网赌提供收款服务")</f>
        <v>拼多多商户给网赌提供收款服务</v>
      </c>
      <c r="C15347" s="2" t="s">
        <v>9</v>
      </c>
      <c r="D15347" s="2" t="s">
        <v>10</v>
      </c>
      <c r="E15347" s="2" t="str">
        <f>HYPERLINK("http://ts.21cn.com/tousu/show/id/1347009","http://ts.21cn.com/tousu/show/id/1347009")</f>
        <v>http://ts.21cn.com/tousu/show/id/1347009</v>
      </c>
      <c r="F15347" s="2" t="s">
        <v>11</v>
      </c>
      <c r="G15347" s="2" t="s">
        <v>13985</v>
      </c>
      <c r="H15347" s="2" t="s">
        <v>13986</v>
      </c>
    </row>
    <row r="15348" spans="1:8" ht="25.05" customHeight="1" x14ac:dyDescent="0.25">
      <c r="A15348" s="2" t="s">
        <v>8</v>
      </c>
      <c r="B15348" s="2" t="str">
        <f>HYPERLINK("http://ts.21cn.com/tousu/show/id/1347011","来分期催收电话骚扰")</f>
        <v>来分期催收电话骚扰</v>
      </c>
      <c r="C15348" s="2" t="s">
        <v>9</v>
      </c>
      <c r="D15348" s="2" t="s">
        <v>10</v>
      </c>
      <c r="E15348" s="2" t="str">
        <f>HYPERLINK("http://ts.21cn.com/tousu/show/id/1347011","http://ts.21cn.com/tousu/show/id/1347011")</f>
        <v>http://ts.21cn.com/tousu/show/id/1347011</v>
      </c>
      <c r="F15348" s="2" t="s">
        <v>11</v>
      </c>
      <c r="G15348" s="2" t="s">
        <v>13983</v>
      </c>
      <c r="H15348" s="2" t="s">
        <v>13984</v>
      </c>
    </row>
    <row r="15349" spans="1:8" ht="25.05" customHeight="1" x14ac:dyDescent="0.25">
      <c r="A15349" s="2" t="s">
        <v>8</v>
      </c>
      <c r="B15349" s="2" t="str">
        <f>HYPERLINK("http://ts.21cn.com/tousu/show/id/1347012","维信闪贷准备骚扰亲朋好友正常生活")</f>
        <v>维信闪贷准备骚扰亲朋好友正常生活</v>
      </c>
      <c r="C15349" s="2" t="s">
        <v>9</v>
      </c>
      <c r="D15349" s="2" t="s">
        <v>10</v>
      </c>
      <c r="E15349" s="2" t="str">
        <f>HYPERLINK("http://ts.21cn.com/tousu/show/id/1347012","http://ts.21cn.com/tousu/show/id/1347012")</f>
        <v>http://ts.21cn.com/tousu/show/id/1347012</v>
      </c>
      <c r="F15349" s="2" t="s">
        <v>11</v>
      </c>
      <c r="G15349" s="2" t="s">
        <v>13981</v>
      </c>
      <c r="H15349" s="2" t="s">
        <v>13982</v>
      </c>
    </row>
    <row r="15350" spans="1:8" ht="25.05" customHeight="1" x14ac:dyDescent="0.25">
      <c r="A15350" s="2" t="s">
        <v>8</v>
      </c>
      <c r="B15350" s="2" t="str">
        <f>HYPERLINK("http://ts.21cn.com/tousu/show/id/1347013","黑心网贷")</f>
        <v>黑心网贷</v>
      </c>
      <c r="C15350" s="2" t="s">
        <v>9</v>
      </c>
      <c r="D15350" s="2" t="s">
        <v>10</v>
      </c>
      <c r="E15350" s="2" t="str">
        <f>HYPERLINK("http://ts.21cn.com/tousu/show/id/1347013","http://ts.21cn.com/tousu/show/id/1347013")</f>
        <v>http://ts.21cn.com/tousu/show/id/1347013</v>
      </c>
      <c r="F15350" s="2" t="s">
        <v>11</v>
      </c>
      <c r="G15350" s="2" t="s">
        <v>13979</v>
      </c>
      <c r="H15350" s="2" t="s">
        <v>13980</v>
      </c>
    </row>
    <row r="15351" spans="1:8" ht="25.05" customHeight="1" x14ac:dyDescent="0.25">
      <c r="A15351" s="2" t="s">
        <v>8</v>
      </c>
      <c r="B15351" s="2" t="str">
        <f>HYPERLINK("http://ts.21cn.com/tousu/show/id/1347014","小浦优客未经同意扣款")</f>
        <v>小浦优客未经同意扣款</v>
      </c>
      <c r="C15351" s="2" t="s">
        <v>9</v>
      </c>
      <c r="D15351" s="2" t="s">
        <v>10</v>
      </c>
      <c r="E15351" s="2" t="str">
        <f>HYPERLINK("http://ts.21cn.com/tousu/show/id/1347014","http://ts.21cn.com/tousu/show/id/1347014")</f>
        <v>http://ts.21cn.com/tousu/show/id/1347014</v>
      </c>
      <c r="F15351" s="2" t="s">
        <v>11</v>
      </c>
      <c r="G15351" s="2" t="s">
        <v>13977</v>
      </c>
      <c r="H15351" s="2" t="s">
        <v>13978</v>
      </c>
    </row>
    <row r="15352" spans="1:8" ht="25.05" customHeight="1" x14ac:dyDescent="0.25">
      <c r="A15352" s="2" t="s">
        <v>8</v>
      </c>
      <c r="B15352" s="2" t="str">
        <f>HYPERLINK("http://ts.21cn.com/tousu/show/id/1347016","工商银行信用卡")</f>
        <v>工商银行信用卡</v>
      </c>
      <c r="C15352" s="2" t="s">
        <v>9</v>
      </c>
      <c r="D15352" s="2" t="s">
        <v>10</v>
      </c>
      <c r="E15352" s="2" t="str">
        <f>HYPERLINK("http://ts.21cn.com/tousu/show/id/1347016","http://ts.21cn.com/tousu/show/id/1347016")</f>
        <v>http://ts.21cn.com/tousu/show/id/1347016</v>
      </c>
      <c r="F15352" s="2" t="s">
        <v>11</v>
      </c>
      <c r="G15352" s="2" t="s">
        <v>13975</v>
      </c>
      <c r="H15352" s="2" t="s">
        <v>13976</v>
      </c>
    </row>
    <row r="15353" spans="1:8" ht="25.05" customHeight="1" x14ac:dyDescent="0.25">
      <c r="A15353" s="2" t="s">
        <v>8</v>
      </c>
      <c r="B15353" s="2" t="str">
        <f>HYPERLINK("http://ts.21cn.com/tousu/show/id/1347017","协商总欠款金额，延长还款期数")</f>
        <v>协商总欠款金额，延长还款期数</v>
      </c>
      <c r="C15353" s="2" t="s">
        <v>34</v>
      </c>
      <c r="D15353" s="2" t="s">
        <v>10</v>
      </c>
      <c r="E15353" s="2" t="str">
        <f>HYPERLINK("http://ts.21cn.com/tousu/show/id/1347017","http://ts.21cn.com/tousu/show/id/1347017")</f>
        <v>http://ts.21cn.com/tousu/show/id/1347017</v>
      </c>
      <c r="F15353" s="2" t="s">
        <v>11</v>
      </c>
      <c r="G15353" s="2" t="s">
        <v>13973</v>
      </c>
      <c r="H15353" s="2" t="s">
        <v>13974</v>
      </c>
    </row>
    <row r="15354" spans="1:8" ht="25.05" customHeight="1" x14ac:dyDescent="0.25">
      <c r="A15354" s="2" t="s">
        <v>8</v>
      </c>
      <c r="B15354" s="2" t="str">
        <f>HYPERLINK("http://ts.21cn.com/tousu/show/id/1347018","希望停止骚扰，协商还款")</f>
        <v>希望停止骚扰，协商还款</v>
      </c>
      <c r="C15354" s="2" t="s">
        <v>9</v>
      </c>
      <c r="D15354" s="2" t="s">
        <v>10</v>
      </c>
      <c r="E15354" s="2" t="str">
        <f>HYPERLINK("http://ts.21cn.com/tousu/show/id/1347018","http://ts.21cn.com/tousu/show/id/1347018")</f>
        <v>http://ts.21cn.com/tousu/show/id/1347018</v>
      </c>
      <c r="F15354" s="2" t="s">
        <v>11</v>
      </c>
      <c r="G15354" s="2" t="s">
        <v>13971</v>
      </c>
      <c r="H15354" s="2" t="s">
        <v>13972</v>
      </c>
    </row>
    <row r="15355" spans="1:8" ht="25.05" customHeight="1" x14ac:dyDescent="0.25">
      <c r="A15355" s="2" t="s">
        <v>8</v>
      </c>
      <c r="B15355" s="2" t="str">
        <f>HYPERLINK("http://ts.21cn.com/tousu/show/id/1347020","51人品贷提前还款利息太高")</f>
        <v>51人品贷提前还款利息太高</v>
      </c>
      <c r="C15355" s="2" t="s">
        <v>9</v>
      </c>
      <c r="D15355" s="2" t="s">
        <v>10</v>
      </c>
      <c r="E15355" s="2" t="str">
        <f>HYPERLINK("http://ts.21cn.com/tousu/show/id/1347020","http://ts.21cn.com/tousu/show/id/1347020")</f>
        <v>http://ts.21cn.com/tousu/show/id/1347020</v>
      </c>
      <c r="F15355" s="2" t="s">
        <v>11</v>
      </c>
      <c r="G15355" s="2" t="s">
        <v>13969</v>
      </c>
      <c r="H15355" s="2" t="s">
        <v>13970</v>
      </c>
    </row>
    <row r="15356" spans="1:8" ht="25.05" customHeight="1" x14ac:dyDescent="0.25">
      <c r="A15356" s="2" t="s">
        <v>8</v>
      </c>
      <c r="B15356" s="2" t="str">
        <f>HYPERLINK("http://ts.21cn.com/tousu/show/id/1347021","小象优品收取高息，恐吓，骚扰，催收")</f>
        <v>小象优品收取高息，恐吓，骚扰，催收</v>
      </c>
      <c r="C15356" s="2" t="s">
        <v>9</v>
      </c>
      <c r="D15356" s="2" t="s">
        <v>10</v>
      </c>
      <c r="E15356" s="2" t="str">
        <f>HYPERLINK("http://ts.21cn.com/tousu/show/id/1347021","http://ts.21cn.com/tousu/show/id/1347021")</f>
        <v>http://ts.21cn.com/tousu/show/id/1347021</v>
      </c>
      <c r="F15356" s="2" t="s">
        <v>11</v>
      </c>
      <c r="G15356" s="2" t="s">
        <v>13967</v>
      </c>
      <c r="H15356" s="2" t="s">
        <v>13968</v>
      </c>
    </row>
    <row r="15357" spans="1:8" ht="25.05" customHeight="1" x14ac:dyDescent="0.25">
      <c r="A15357" s="2" t="s">
        <v>8</v>
      </c>
      <c r="B15357" s="2" t="str">
        <f>HYPERLINK("http://ts.21cn.com/tousu/show/id/1347022","闪查宝流氓页面删除")</f>
        <v>闪查宝流氓页面删除</v>
      </c>
      <c r="C15357" s="2" t="s">
        <v>9</v>
      </c>
      <c r="D15357" s="2" t="s">
        <v>10</v>
      </c>
      <c r="E15357" s="2" t="str">
        <f>HYPERLINK("http://ts.21cn.com/tousu/show/id/1347022","http://ts.21cn.com/tousu/show/id/1347022")</f>
        <v>http://ts.21cn.com/tousu/show/id/1347022</v>
      </c>
      <c r="F15357" s="2" t="s">
        <v>11</v>
      </c>
      <c r="G15357" s="2" t="s">
        <v>13965</v>
      </c>
      <c r="H15357" s="2" t="s">
        <v>13966</v>
      </c>
    </row>
    <row r="15358" spans="1:8" ht="25.05" customHeight="1" x14ac:dyDescent="0.25">
      <c r="A15358" s="2" t="s">
        <v>8</v>
      </c>
      <c r="B15358" s="2" t="str">
        <f>HYPERLINK("http://ts.21cn.com/tousu/show/id/1347023","360暴力催收，不经允许联系我的亲人，还爆我通讯录")</f>
        <v>360暴力催收，不经允许联系我的亲人，还爆我通讯录</v>
      </c>
      <c r="C15358" s="2" t="s">
        <v>9</v>
      </c>
      <c r="D15358" s="2" t="s">
        <v>10</v>
      </c>
      <c r="E15358" s="2" t="str">
        <f>HYPERLINK("http://ts.21cn.com/tousu/show/id/1347023","http://ts.21cn.com/tousu/show/id/1347023")</f>
        <v>http://ts.21cn.com/tousu/show/id/1347023</v>
      </c>
      <c r="F15358" s="2" t="s">
        <v>11</v>
      </c>
      <c r="G15358" s="2" t="s">
        <v>13963</v>
      </c>
      <c r="H15358" s="2" t="s">
        <v>13964</v>
      </c>
    </row>
    <row r="15359" spans="1:8" ht="25.05" customHeight="1" x14ac:dyDescent="0.25">
      <c r="A15359" s="2" t="s">
        <v>8</v>
      </c>
      <c r="B15359" s="2" t="str">
        <f>HYPERLINK("http://ts.21cn.com/tousu/show/id/1347026","中健银座健身丰台区千禧园店私教授黑课")</f>
        <v>中健银座健身丰台区千禧园店私教授黑课</v>
      </c>
      <c r="C15359" s="2" t="s">
        <v>9</v>
      </c>
      <c r="D15359" s="2" t="s">
        <v>10</v>
      </c>
      <c r="E15359" s="2" t="str">
        <f>HYPERLINK("http://ts.21cn.com/tousu/show/id/1347026","http://ts.21cn.com/tousu/show/id/1347026")</f>
        <v>http://ts.21cn.com/tousu/show/id/1347026</v>
      </c>
      <c r="F15359" s="2" t="s">
        <v>11</v>
      </c>
      <c r="G15359" s="2" t="s">
        <v>13961</v>
      </c>
      <c r="H15359" s="2" t="s">
        <v>13962</v>
      </c>
    </row>
    <row r="15360" spans="1:8" ht="25.05" customHeight="1" x14ac:dyDescent="0.25">
      <c r="A15360" s="2" t="s">
        <v>8</v>
      </c>
      <c r="B15360" s="2" t="str">
        <f>HYPERLINK("http://ts.21cn.com/tousu/show/id/1347027","关于协商还款，砍头息问题")</f>
        <v>关于协商还款，砍头息问题</v>
      </c>
      <c r="C15360" s="2" t="s">
        <v>34</v>
      </c>
      <c r="D15360" s="2" t="s">
        <v>10</v>
      </c>
      <c r="E15360" s="2" t="str">
        <f>HYPERLINK("http://ts.21cn.com/tousu/show/id/1347027","http://ts.21cn.com/tousu/show/id/1347027")</f>
        <v>http://ts.21cn.com/tousu/show/id/1347027</v>
      </c>
      <c r="F15360" s="2" t="s">
        <v>11</v>
      </c>
      <c r="G15360" s="2" t="s">
        <v>13959</v>
      </c>
      <c r="H15360" s="2" t="s">
        <v>13960</v>
      </c>
    </row>
    <row r="15361" spans="1:8" ht="25.05" customHeight="1" x14ac:dyDescent="0.25">
      <c r="A15361" s="2" t="s">
        <v>8</v>
      </c>
      <c r="B15361" s="2" t="str">
        <f>HYPERLINK("http://ts.21cn.com/tousu/show/id/1347032","私自扣款")</f>
        <v>私自扣款</v>
      </c>
      <c r="C15361" s="2" t="s">
        <v>9</v>
      </c>
      <c r="D15361" s="2" t="s">
        <v>10</v>
      </c>
      <c r="E15361" s="2" t="str">
        <f>HYPERLINK("http://ts.21cn.com/tousu/show/id/1347032","http://ts.21cn.com/tousu/show/id/1347032")</f>
        <v>http://ts.21cn.com/tousu/show/id/1347032</v>
      </c>
      <c r="F15361" s="2" t="s">
        <v>11</v>
      </c>
      <c r="G15361" s="2" t="s">
        <v>13957</v>
      </c>
      <c r="H15361" s="2" t="s">
        <v>13958</v>
      </c>
    </row>
    <row r="15362" spans="1:8" ht="25.05" customHeight="1" x14ac:dyDescent="0.25">
      <c r="A15362" s="2" t="s">
        <v>8</v>
      </c>
      <c r="B15362" s="2" t="str">
        <f>HYPERLINK("http://ts.21cn.com/tousu/show/id/1347028","小蒲优客未经允许私自扣款")</f>
        <v>小蒲优客未经允许私自扣款</v>
      </c>
      <c r="C15362" s="2" t="s">
        <v>9</v>
      </c>
      <c r="D15362" s="2" t="s">
        <v>10</v>
      </c>
      <c r="E15362" s="2" t="str">
        <f>HYPERLINK("http://ts.21cn.com/tousu/show/id/1347028","http://ts.21cn.com/tousu/show/id/1347028")</f>
        <v>http://ts.21cn.com/tousu/show/id/1347028</v>
      </c>
      <c r="F15362" s="2" t="s">
        <v>11</v>
      </c>
      <c r="G15362" s="2" t="s">
        <v>13956</v>
      </c>
      <c r="H15362" s="2" t="s">
        <v>11904</v>
      </c>
    </row>
    <row r="15363" spans="1:8" ht="25.05" customHeight="1" x14ac:dyDescent="0.25">
      <c r="A15363" s="2" t="s">
        <v>8</v>
      </c>
      <c r="B15363" s="2" t="str">
        <f>HYPERLINK("http://ts.21cn.com/tousu/show/id/1347031","打电话骚扰，威胁我。")</f>
        <v>打电话骚扰，威胁我。</v>
      </c>
      <c r="C15363" s="2" t="s">
        <v>9</v>
      </c>
      <c r="D15363" s="2" t="s">
        <v>10</v>
      </c>
      <c r="E15363" s="2" t="str">
        <f>HYPERLINK("http://ts.21cn.com/tousu/show/id/1347031","http://ts.21cn.com/tousu/show/id/1347031")</f>
        <v>http://ts.21cn.com/tousu/show/id/1347031</v>
      </c>
      <c r="F15363" s="2" t="s">
        <v>11</v>
      </c>
      <c r="G15363" s="2" t="s">
        <v>13954</v>
      </c>
      <c r="H15363" s="2" t="s">
        <v>13955</v>
      </c>
    </row>
    <row r="15364" spans="1:8" ht="25.05" customHeight="1" x14ac:dyDescent="0.25">
      <c r="A15364" s="2" t="s">
        <v>8</v>
      </c>
      <c r="B15364" s="2" t="str">
        <f>HYPERLINK("http://ts.21cn.com/tousu/show/id/1347029","本人在钱站app贷了一笔款，因个人原因逾期几天，跟钱站那边协商无结果直接爆我通讯录")</f>
        <v>本人在钱站app贷了一笔款，因个人原因逾期几天，跟钱站那边协商无结果直接爆我通讯录</v>
      </c>
      <c r="C15364" s="2" t="s">
        <v>9</v>
      </c>
      <c r="D15364" s="2" t="s">
        <v>10</v>
      </c>
      <c r="E15364" s="2" t="str">
        <f>HYPERLINK("http://ts.21cn.com/tousu/show/id/1347029","http://ts.21cn.com/tousu/show/id/1347029")</f>
        <v>http://ts.21cn.com/tousu/show/id/1347029</v>
      </c>
      <c r="F15364" s="2" t="s">
        <v>11</v>
      </c>
      <c r="G15364" s="2" t="s">
        <v>13952</v>
      </c>
      <c r="H15364" s="2" t="s">
        <v>13953</v>
      </c>
    </row>
    <row r="15365" spans="1:8" ht="25.05" customHeight="1" x14ac:dyDescent="0.25">
      <c r="A15365" s="2" t="s">
        <v>8</v>
      </c>
      <c r="B15365" s="2" t="str">
        <f>HYPERLINK("http://ts.21cn.com/tousu/show/id/1347035","同程旅游收取砍头息")</f>
        <v>同程旅游收取砍头息</v>
      </c>
      <c r="C15365" s="2" t="s">
        <v>9</v>
      </c>
      <c r="D15365" s="2" t="s">
        <v>10</v>
      </c>
      <c r="E15365" s="2" t="str">
        <f>HYPERLINK("http://ts.21cn.com/tousu/show/id/1347035","http://ts.21cn.com/tousu/show/id/1347035")</f>
        <v>http://ts.21cn.com/tousu/show/id/1347035</v>
      </c>
      <c r="F15365" s="2" t="s">
        <v>11</v>
      </c>
      <c r="G15365" s="2" t="s">
        <v>13950</v>
      </c>
      <c r="H15365" s="2" t="s">
        <v>13951</v>
      </c>
    </row>
    <row r="15366" spans="1:8" ht="25.05" customHeight="1" x14ac:dyDescent="0.25">
      <c r="A15366" s="2" t="s">
        <v>8</v>
      </c>
      <c r="B15366" s="2" t="str">
        <f>HYPERLINK("http://ts.21cn.com/tousu/show/id/1347033","马上金融阴阳利息")</f>
        <v>马上金融阴阳利息</v>
      </c>
      <c r="C15366" s="2" t="s">
        <v>9</v>
      </c>
      <c r="D15366" s="2" t="s">
        <v>10</v>
      </c>
      <c r="E15366" s="2" t="str">
        <f>HYPERLINK("http://ts.21cn.com/tousu/show/id/1347033","http://ts.21cn.com/tousu/show/id/1347033")</f>
        <v>http://ts.21cn.com/tousu/show/id/1347033</v>
      </c>
      <c r="F15366" s="2" t="s">
        <v>11</v>
      </c>
      <c r="G15366" s="2" t="s">
        <v>13948</v>
      </c>
      <c r="H15366" s="2" t="s">
        <v>13949</v>
      </c>
    </row>
    <row r="15367" spans="1:8" ht="25.05" customHeight="1" x14ac:dyDescent="0.25">
      <c r="A15367" s="2" t="s">
        <v>8</v>
      </c>
      <c r="B15367" s="2" t="str">
        <f>HYPERLINK("http://ts.21cn.com/tousu/show/id/1347034","网银的钱无缘无故被第三方消费")</f>
        <v>网银的钱无缘无故被第三方消费</v>
      </c>
      <c r="C15367" s="2" t="s">
        <v>9</v>
      </c>
      <c r="D15367" s="2" t="s">
        <v>10</v>
      </c>
      <c r="E15367" s="2" t="str">
        <f>HYPERLINK("http://ts.21cn.com/tousu/show/id/1347034","http://ts.21cn.com/tousu/show/id/1347034")</f>
        <v>http://ts.21cn.com/tousu/show/id/1347034</v>
      </c>
      <c r="F15367" s="2" t="s">
        <v>11</v>
      </c>
      <c r="G15367" s="2" t="s">
        <v>13946</v>
      </c>
      <c r="H15367" s="2" t="s">
        <v>13947</v>
      </c>
    </row>
    <row r="15368" spans="1:8" ht="25.05" customHeight="1" x14ac:dyDescent="0.25">
      <c r="A15368" s="2" t="s">
        <v>8</v>
      </c>
      <c r="B15368" s="2" t="str">
        <f>HYPERLINK("http://ts.21cn.com/tousu/show/id/1346991","高利贷故意产生逾期费用，恐吓")</f>
        <v>高利贷故意产生逾期费用，恐吓</v>
      </c>
      <c r="C15368" s="2" t="s">
        <v>9</v>
      </c>
      <c r="D15368" s="2" t="s">
        <v>10</v>
      </c>
      <c r="E15368" s="2" t="str">
        <f>HYPERLINK("http://ts.21cn.com/tousu/show/id/1346991","http://ts.21cn.com/tousu/show/id/1346991")</f>
        <v>http://ts.21cn.com/tousu/show/id/1346991</v>
      </c>
      <c r="F15368" s="2" t="s">
        <v>11</v>
      </c>
      <c r="G15368" s="2" t="s">
        <v>13944</v>
      </c>
      <c r="H15368" s="2" t="s">
        <v>13945</v>
      </c>
    </row>
    <row r="15369" spans="1:8" ht="25.05" customHeight="1" x14ac:dyDescent="0.25">
      <c r="A15369" s="2" t="s">
        <v>8</v>
      </c>
      <c r="B15369" s="2" t="str">
        <f>HYPERLINK("http://ts.21cn.com/tousu/show/id/1347036","闪电借款超国家规定收费，暴力催收")</f>
        <v>闪电借款超国家规定收费，暴力催收</v>
      </c>
      <c r="C15369" s="2" t="s">
        <v>9</v>
      </c>
      <c r="D15369" s="2" t="s">
        <v>10</v>
      </c>
      <c r="E15369" s="2" t="str">
        <f>HYPERLINK("http://ts.21cn.com/tousu/show/id/1347036","http://ts.21cn.com/tousu/show/id/1347036")</f>
        <v>http://ts.21cn.com/tousu/show/id/1347036</v>
      </c>
      <c r="F15369" s="2" t="s">
        <v>11</v>
      </c>
      <c r="G15369" s="2" t="s">
        <v>13942</v>
      </c>
      <c r="H15369" s="2" t="s">
        <v>13943</v>
      </c>
    </row>
    <row r="15370" spans="1:8" ht="25.05" customHeight="1" x14ac:dyDescent="0.25">
      <c r="A15370" s="2" t="s">
        <v>8</v>
      </c>
      <c r="B15370" s="2" t="str">
        <f>HYPERLINK("http://ts.21cn.com/tousu/show/id/1347037","小牛普惠暴力强制结清")</f>
        <v>小牛普惠暴力强制结清</v>
      </c>
      <c r="C15370" s="2" t="s">
        <v>9</v>
      </c>
      <c r="D15370" s="2" t="s">
        <v>10</v>
      </c>
      <c r="E15370" s="2" t="str">
        <f>HYPERLINK("http://ts.21cn.com/tousu/show/id/1347037","http://ts.21cn.com/tousu/show/id/1347037")</f>
        <v>http://ts.21cn.com/tousu/show/id/1347037</v>
      </c>
      <c r="F15370" s="2" t="s">
        <v>11</v>
      </c>
      <c r="G15370" s="2" t="s">
        <v>13940</v>
      </c>
      <c r="H15370" s="2" t="s">
        <v>13941</v>
      </c>
    </row>
    <row r="15371" spans="1:8" ht="25.05" customHeight="1" x14ac:dyDescent="0.25">
      <c r="A15371" s="2" t="s">
        <v>8</v>
      </c>
      <c r="B15371" s="2" t="str">
        <f>HYPERLINK("http://ts.21cn.com/tousu/show/id/1347039","小浦优客未经同意扣款")</f>
        <v>小浦优客未经同意扣款</v>
      </c>
      <c r="C15371" s="2" t="s">
        <v>34</v>
      </c>
      <c r="D15371" s="2" t="s">
        <v>10</v>
      </c>
      <c r="E15371" s="2" t="str">
        <f>HYPERLINK("http://ts.21cn.com/tousu/show/id/1347039","http://ts.21cn.com/tousu/show/id/1347039")</f>
        <v>http://ts.21cn.com/tousu/show/id/1347039</v>
      </c>
      <c r="F15371" s="2" t="s">
        <v>11</v>
      </c>
      <c r="G15371" s="2" t="s">
        <v>13938</v>
      </c>
      <c r="H15371" s="2" t="s">
        <v>13939</v>
      </c>
    </row>
    <row r="15372" spans="1:8" ht="25.05" customHeight="1" x14ac:dyDescent="0.25">
      <c r="A15372" s="2" t="s">
        <v>8</v>
      </c>
      <c r="B15372" s="2" t="str">
        <f>HYPERLINK("http://ts.21cn.com/tousu/show/id/1347038","任买科技骚扰我的家人")</f>
        <v>任买科技骚扰我的家人</v>
      </c>
      <c r="C15372" s="2" t="s">
        <v>9</v>
      </c>
      <c r="D15372" s="2" t="s">
        <v>10</v>
      </c>
      <c r="E15372" s="2" t="str">
        <f>HYPERLINK("http://ts.21cn.com/tousu/show/id/1347038","http://ts.21cn.com/tousu/show/id/1347038")</f>
        <v>http://ts.21cn.com/tousu/show/id/1347038</v>
      </c>
      <c r="F15372" s="2" t="s">
        <v>11</v>
      </c>
      <c r="G15372" s="2" t="s">
        <v>13936</v>
      </c>
      <c r="H15372" s="2" t="s">
        <v>13937</v>
      </c>
    </row>
    <row r="15373" spans="1:8" ht="25.05" customHeight="1" x14ac:dyDescent="0.25">
      <c r="A15373" s="2" t="s">
        <v>8</v>
      </c>
      <c r="B15373" s="2" t="str">
        <f>HYPERLINK("http://ts.21cn.com/tousu/show/id/1347040","飞猪宝平台高利贷，砍头息")</f>
        <v>飞猪宝平台高利贷，砍头息</v>
      </c>
      <c r="C15373" s="2" t="s">
        <v>9</v>
      </c>
      <c r="D15373" s="2" t="s">
        <v>10</v>
      </c>
      <c r="E15373" s="2" t="str">
        <f>HYPERLINK("http://ts.21cn.com/tousu/show/id/1347040","http://ts.21cn.com/tousu/show/id/1347040")</f>
        <v>http://ts.21cn.com/tousu/show/id/1347040</v>
      </c>
      <c r="F15373" s="2" t="s">
        <v>11</v>
      </c>
      <c r="G15373" s="2" t="s">
        <v>13934</v>
      </c>
      <c r="H15373" s="2" t="s">
        <v>13935</v>
      </c>
    </row>
    <row r="15374" spans="1:8" ht="25.05" customHeight="1" x14ac:dyDescent="0.25">
      <c r="A15374" s="2" t="s">
        <v>8</v>
      </c>
      <c r="B15374" s="2" t="str">
        <f>HYPERLINK("http://ts.21cn.com/tousu/show/id/1347041","淘宝小二乱判导致商家钱和货都没有")</f>
        <v>淘宝小二乱判导致商家钱和货都没有</v>
      </c>
      <c r="C15374" s="2" t="s">
        <v>9</v>
      </c>
      <c r="D15374" s="2" t="s">
        <v>10</v>
      </c>
      <c r="E15374" s="2" t="str">
        <f>HYPERLINK("http://ts.21cn.com/tousu/show/id/1347041","http://ts.21cn.com/tousu/show/id/1347041")</f>
        <v>http://ts.21cn.com/tousu/show/id/1347041</v>
      </c>
      <c r="F15374" s="2" t="s">
        <v>11</v>
      </c>
      <c r="G15374" s="2" t="s">
        <v>13932</v>
      </c>
      <c r="H15374" s="2" t="s">
        <v>13933</v>
      </c>
    </row>
    <row r="15375" spans="1:8" ht="25.05" customHeight="1" x14ac:dyDescent="0.25">
      <c r="A15375" s="2" t="s">
        <v>8</v>
      </c>
      <c r="B15375" s="2" t="str">
        <f>HYPERLINK("http://ts.21cn.com/tousu/show/id/1347042","钱站高利贷阴阳合同")</f>
        <v>钱站高利贷阴阳合同</v>
      </c>
      <c r="C15375" s="2" t="s">
        <v>9</v>
      </c>
      <c r="D15375" s="2" t="s">
        <v>10</v>
      </c>
      <c r="E15375" s="2" t="str">
        <f>HYPERLINK("http://ts.21cn.com/tousu/show/id/1347042","http://ts.21cn.com/tousu/show/id/1347042")</f>
        <v>http://ts.21cn.com/tousu/show/id/1347042</v>
      </c>
      <c r="F15375" s="2" t="s">
        <v>11</v>
      </c>
      <c r="G15375" s="2" t="s">
        <v>13930</v>
      </c>
      <c r="H15375" s="2" t="s">
        <v>13931</v>
      </c>
    </row>
    <row r="15376" spans="1:8" ht="25.05" customHeight="1" x14ac:dyDescent="0.25">
      <c r="A15376" s="2" t="s">
        <v>8</v>
      </c>
      <c r="B15376" s="2" t="str">
        <f>HYPERLINK("http://ts.21cn.com/tousu/show/id/1347046","松紧贷高利贷")</f>
        <v>松紧贷高利贷</v>
      </c>
      <c r="C15376" s="2" t="s">
        <v>9</v>
      </c>
      <c r="D15376" s="2" t="s">
        <v>10</v>
      </c>
      <c r="E15376" s="2" t="str">
        <f>HYPERLINK("http://ts.21cn.com/tousu/show/id/1347046","http://ts.21cn.com/tousu/show/id/1347046")</f>
        <v>http://ts.21cn.com/tousu/show/id/1347046</v>
      </c>
      <c r="F15376" s="2" t="s">
        <v>11</v>
      </c>
      <c r="G15376" s="2" t="s">
        <v>13928</v>
      </c>
      <c r="H15376" s="2" t="s">
        <v>13929</v>
      </c>
    </row>
    <row r="15377" spans="1:8" ht="25.05" customHeight="1" x14ac:dyDescent="0.25">
      <c r="A15377" s="2" t="s">
        <v>8</v>
      </c>
      <c r="B15377" s="2" t="str">
        <f>HYPERLINK("http://ts.21cn.com/tousu/show/id/1346982","上海天琥教育深圳分校欺诈")</f>
        <v>上海天琥教育深圳分校欺诈</v>
      </c>
      <c r="C15377" s="2" t="s">
        <v>9</v>
      </c>
      <c r="D15377" s="2" t="s">
        <v>10</v>
      </c>
      <c r="E15377" s="2" t="str">
        <f>HYPERLINK("http://ts.21cn.com/tousu/show/id/1346982","http://ts.21cn.com/tousu/show/id/1346982")</f>
        <v>http://ts.21cn.com/tousu/show/id/1346982</v>
      </c>
      <c r="F15377" s="2" t="s">
        <v>11</v>
      </c>
      <c r="G15377" s="2" t="s">
        <v>13926</v>
      </c>
      <c r="H15377" s="2" t="s">
        <v>13927</v>
      </c>
    </row>
    <row r="15378" spans="1:8" ht="25.05" customHeight="1" x14ac:dyDescent="0.25">
      <c r="A15378" s="2" t="s">
        <v>8</v>
      </c>
      <c r="B15378" s="2" t="str">
        <f>HYPERLINK("http://ts.21cn.com/tousu/show/id/1347049","不作为")</f>
        <v>不作为</v>
      </c>
      <c r="C15378" s="2" t="s">
        <v>9</v>
      </c>
      <c r="D15378" s="2" t="s">
        <v>10</v>
      </c>
      <c r="E15378" s="2" t="str">
        <f>HYPERLINK("http://ts.21cn.com/tousu/show/id/1347049","http://ts.21cn.com/tousu/show/id/1347049")</f>
        <v>http://ts.21cn.com/tousu/show/id/1347049</v>
      </c>
      <c r="F15378" s="2" t="s">
        <v>11</v>
      </c>
      <c r="G15378" s="2" t="s">
        <v>13924</v>
      </c>
      <c r="H15378" s="2" t="s">
        <v>13925</v>
      </c>
    </row>
    <row r="15379" spans="1:8" ht="25.05" customHeight="1" x14ac:dyDescent="0.25">
      <c r="A15379" s="2" t="s">
        <v>8</v>
      </c>
      <c r="B15379" s="2" t="str">
        <f>HYPERLINK("http://ts.21cn.com/tousu/show/id/1347050","你我贷收取高额利息")</f>
        <v>你我贷收取高额利息</v>
      </c>
      <c r="C15379" s="2" t="s">
        <v>34</v>
      </c>
      <c r="D15379" s="2" t="s">
        <v>10</v>
      </c>
      <c r="E15379" s="2" t="str">
        <f>HYPERLINK("http://ts.21cn.com/tousu/show/id/1347050","http://ts.21cn.com/tousu/show/id/1347050")</f>
        <v>http://ts.21cn.com/tousu/show/id/1347050</v>
      </c>
      <c r="F15379" s="2" t="s">
        <v>11</v>
      </c>
      <c r="G15379" s="2" t="s">
        <v>13922</v>
      </c>
      <c r="H15379" s="2" t="s">
        <v>13923</v>
      </c>
    </row>
    <row r="15380" spans="1:8" ht="25.05" customHeight="1" x14ac:dyDescent="0.25">
      <c r="A15380" s="2" t="s">
        <v>8</v>
      </c>
      <c r="B15380" s="2" t="str">
        <f>HYPERLINK("http://ts.21cn.com/tousu/show/id/1347051","及贷高利贷暴力催收")</f>
        <v>及贷高利贷暴力催收</v>
      </c>
      <c r="C15380" s="2" t="s">
        <v>9</v>
      </c>
      <c r="D15380" s="2" t="s">
        <v>10</v>
      </c>
      <c r="E15380" s="2" t="str">
        <f>HYPERLINK("http://ts.21cn.com/tousu/show/id/1347051","http://ts.21cn.com/tousu/show/id/1347051")</f>
        <v>http://ts.21cn.com/tousu/show/id/1347051</v>
      </c>
      <c r="F15380" s="2" t="s">
        <v>11</v>
      </c>
      <c r="G15380" s="2" t="s">
        <v>13920</v>
      </c>
      <c r="H15380" s="2" t="s">
        <v>13921</v>
      </c>
    </row>
    <row r="15381" spans="1:8" ht="25.05" customHeight="1" x14ac:dyDescent="0.25">
      <c r="A15381" s="2" t="s">
        <v>8</v>
      </c>
      <c r="B15381" s="2" t="str">
        <f>HYPERLINK("http://ts.21cn.com/tousu/show/id/1347054","上海拍拍贷年利率过高，超过白粉之50以上。并且暴力催收")</f>
        <v>上海拍拍贷年利率过高，超过白粉之50以上。并且暴力催收</v>
      </c>
      <c r="C15381" s="2" t="s">
        <v>9</v>
      </c>
      <c r="D15381" s="2" t="s">
        <v>10</v>
      </c>
      <c r="E15381" s="2" t="str">
        <f>HYPERLINK("http://ts.21cn.com/tousu/show/id/1347054","http://ts.21cn.com/tousu/show/id/1347054")</f>
        <v>http://ts.21cn.com/tousu/show/id/1347054</v>
      </c>
      <c r="F15381" s="2" t="s">
        <v>11</v>
      </c>
      <c r="G15381" s="2" t="s">
        <v>13918</v>
      </c>
      <c r="H15381" s="2" t="s">
        <v>13919</v>
      </c>
    </row>
    <row r="15382" spans="1:8" ht="25.05" customHeight="1" x14ac:dyDescent="0.25">
      <c r="A15382" s="2" t="s">
        <v>8</v>
      </c>
      <c r="B15382" s="2" t="str">
        <f>HYPERLINK("http://ts.21cn.com/tousu/show/id/1347052","恶意扣款")</f>
        <v>恶意扣款</v>
      </c>
      <c r="C15382" s="2" t="s">
        <v>9</v>
      </c>
      <c r="D15382" s="2" t="s">
        <v>10</v>
      </c>
      <c r="E15382" s="2" t="str">
        <f>HYPERLINK("http://ts.21cn.com/tousu/show/id/1347052","http://ts.21cn.com/tousu/show/id/1347052")</f>
        <v>http://ts.21cn.com/tousu/show/id/1347052</v>
      </c>
      <c r="F15382" s="2" t="s">
        <v>11</v>
      </c>
      <c r="G15382" s="2" t="s">
        <v>13916</v>
      </c>
      <c r="H15382" s="2" t="s">
        <v>13917</v>
      </c>
    </row>
    <row r="15383" spans="1:8" ht="25.05" customHeight="1" x14ac:dyDescent="0.25">
      <c r="A15383" s="2" t="s">
        <v>8</v>
      </c>
      <c r="B15383" s="2" t="str">
        <f>HYPERLINK("http://ts.21cn.com/tousu/show/id/1347053","滴滴派单距离超过3公里")</f>
        <v>滴滴派单距离超过3公里</v>
      </c>
      <c r="C15383" s="2" t="s">
        <v>9</v>
      </c>
      <c r="D15383" s="2" t="s">
        <v>10</v>
      </c>
      <c r="E15383" s="2" t="str">
        <f>HYPERLINK("http://ts.21cn.com/tousu/show/id/1347053","http://ts.21cn.com/tousu/show/id/1347053")</f>
        <v>http://ts.21cn.com/tousu/show/id/1347053</v>
      </c>
      <c r="F15383" s="2" t="s">
        <v>11</v>
      </c>
      <c r="G15383" s="2" t="s">
        <v>13914</v>
      </c>
      <c r="H15383" s="2" t="s">
        <v>13915</v>
      </c>
    </row>
    <row r="15384" spans="1:8" ht="25.05" customHeight="1" x14ac:dyDescent="0.25">
      <c r="A15384" s="2" t="s">
        <v>8</v>
      </c>
      <c r="B15384" s="2" t="str">
        <f>HYPERLINK("http://ts.21cn.com/tousu/show/id/1347055","中国银联，为非法网站提入口导致大量用户蒙受巨大损失。")</f>
        <v>中国银联，为非法网站提入口导致大量用户蒙受巨大损失。</v>
      </c>
      <c r="C15384" s="2" t="s">
        <v>9</v>
      </c>
      <c r="D15384" s="2" t="s">
        <v>10</v>
      </c>
      <c r="E15384" s="2" t="str">
        <f>HYPERLINK("http://ts.21cn.com/tousu/show/id/1347055","http://ts.21cn.com/tousu/show/id/1347055")</f>
        <v>http://ts.21cn.com/tousu/show/id/1347055</v>
      </c>
      <c r="F15384" s="2" t="s">
        <v>11</v>
      </c>
      <c r="G15384" s="2" t="s">
        <v>13912</v>
      </c>
      <c r="H15384" s="2" t="s">
        <v>13913</v>
      </c>
    </row>
    <row r="15385" spans="1:8" ht="25.05" customHeight="1" x14ac:dyDescent="0.25">
      <c r="A15385" s="2" t="s">
        <v>8</v>
      </c>
      <c r="B15385" s="2" t="str">
        <f>HYPERLINK("http://ts.21cn.com/tousu/show/id/1346536","套路贷高利贷")</f>
        <v>套路贷高利贷</v>
      </c>
      <c r="C15385" s="2" t="s">
        <v>9</v>
      </c>
      <c r="D15385" s="2" t="s">
        <v>10</v>
      </c>
      <c r="E15385" s="2" t="str">
        <f>HYPERLINK("http://ts.21cn.com/tousu/show/id/1346536","http://ts.21cn.com/tousu/show/id/1346536")</f>
        <v>http://ts.21cn.com/tousu/show/id/1346536</v>
      </c>
      <c r="F15385" s="2" t="s">
        <v>11</v>
      </c>
      <c r="G15385" s="2" t="s">
        <v>13910</v>
      </c>
      <c r="H15385" s="2" t="s">
        <v>13911</v>
      </c>
    </row>
    <row r="15386" spans="1:8" ht="25.05" customHeight="1" x14ac:dyDescent="0.25">
      <c r="A15386" s="2" t="s">
        <v>8</v>
      </c>
      <c r="B15386" s="2" t="str">
        <f>HYPERLINK("http://ts.21cn.com/tousu/show/id/1347056","宜信普惠砍头息高利贷，恶意催收，视法律不顾，威胁恐吓借款人")</f>
        <v>宜信普惠砍头息高利贷，恶意催收，视法律不顾，威胁恐吓借款人</v>
      </c>
      <c r="C15386" s="2" t="s">
        <v>9</v>
      </c>
      <c r="D15386" s="2" t="s">
        <v>10</v>
      </c>
      <c r="E15386" s="2" t="str">
        <f>HYPERLINK("http://ts.21cn.com/tousu/show/id/1347056","http://ts.21cn.com/tousu/show/id/1347056")</f>
        <v>http://ts.21cn.com/tousu/show/id/1347056</v>
      </c>
      <c r="F15386" s="2" t="s">
        <v>11</v>
      </c>
      <c r="G15386" s="2" t="s">
        <v>13908</v>
      </c>
      <c r="H15386" s="2" t="s">
        <v>13909</v>
      </c>
    </row>
    <row r="15387" spans="1:8" ht="25.05" customHeight="1" x14ac:dyDescent="0.25">
      <c r="A15387" s="2" t="s">
        <v>8</v>
      </c>
      <c r="B15387" s="2" t="str">
        <f>HYPERLINK("http://ts.21cn.com/tousu/show/id/1347057","广发信用卡高利贷好高额违约金和利息")</f>
        <v>广发信用卡高利贷好高额违约金和利息</v>
      </c>
      <c r="C15387" s="2" t="s">
        <v>9</v>
      </c>
      <c r="D15387" s="2" t="s">
        <v>10</v>
      </c>
      <c r="E15387" s="2" t="str">
        <f>HYPERLINK("http://ts.21cn.com/tousu/show/id/1347057","http://ts.21cn.com/tousu/show/id/1347057")</f>
        <v>http://ts.21cn.com/tousu/show/id/1347057</v>
      </c>
      <c r="F15387" s="2" t="s">
        <v>11</v>
      </c>
      <c r="G15387" s="2" t="s">
        <v>13906</v>
      </c>
      <c r="H15387" s="2" t="s">
        <v>13907</v>
      </c>
    </row>
    <row r="15388" spans="1:8" ht="25.05" customHeight="1" x14ac:dyDescent="0.25">
      <c r="A15388" s="2" t="s">
        <v>8</v>
      </c>
      <c r="B15388" s="2" t="str">
        <f>HYPERLINK("http://ts.21cn.com/tousu/show/id/1347058","信用管家云享贷非法砍头息")</f>
        <v>信用管家云享贷非法砍头息</v>
      </c>
      <c r="C15388" s="2" t="s">
        <v>9</v>
      </c>
      <c r="D15388" s="2" t="s">
        <v>10</v>
      </c>
      <c r="E15388" s="2" t="str">
        <f>HYPERLINK("http://ts.21cn.com/tousu/show/id/1347058","http://ts.21cn.com/tousu/show/id/1347058")</f>
        <v>http://ts.21cn.com/tousu/show/id/1347058</v>
      </c>
      <c r="F15388" s="2" t="s">
        <v>11</v>
      </c>
      <c r="G15388" s="2" t="s">
        <v>13904</v>
      </c>
      <c r="H15388" s="2" t="s">
        <v>13905</v>
      </c>
    </row>
    <row r="15389" spans="1:8" ht="25.05" customHeight="1" x14ac:dyDescent="0.25">
      <c r="A15389" s="2" t="s">
        <v>8</v>
      </c>
      <c r="B15389" s="2" t="str">
        <f>HYPERLINK("http://ts.21cn.com/tousu/show/id/1347059","淘宝小二乱判导致商家损失惨重")</f>
        <v>淘宝小二乱判导致商家损失惨重</v>
      </c>
      <c r="C15389" s="2" t="s">
        <v>9</v>
      </c>
      <c r="D15389" s="2" t="s">
        <v>10</v>
      </c>
      <c r="E15389" s="2" t="str">
        <f>HYPERLINK("http://ts.21cn.com/tousu/show/id/1347059","http://ts.21cn.com/tousu/show/id/1347059")</f>
        <v>http://ts.21cn.com/tousu/show/id/1347059</v>
      </c>
      <c r="F15389" s="2" t="s">
        <v>11</v>
      </c>
      <c r="G15389" s="2" t="s">
        <v>13902</v>
      </c>
      <c r="H15389" s="2" t="s">
        <v>13903</v>
      </c>
    </row>
    <row r="15390" spans="1:8" ht="25.05" customHeight="1" x14ac:dyDescent="0.25">
      <c r="A15390" s="2" t="s">
        <v>8</v>
      </c>
      <c r="B15390" s="2" t="str">
        <f>HYPERLINK("http://ts.21cn.com/tousu/show/id/1347060","分期乐延期还款")</f>
        <v>分期乐延期还款</v>
      </c>
      <c r="C15390" s="2" t="s">
        <v>34</v>
      </c>
      <c r="D15390" s="2" t="s">
        <v>10</v>
      </c>
      <c r="E15390" s="2" t="str">
        <f>HYPERLINK("http://ts.21cn.com/tousu/show/id/1347060","http://ts.21cn.com/tousu/show/id/1347060")</f>
        <v>http://ts.21cn.com/tousu/show/id/1347060</v>
      </c>
      <c r="F15390" s="2" t="s">
        <v>11</v>
      </c>
      <c r="G15390" s="2" t="s">
        <v>13900</v>
      </c>
      <c r="H15390" s="2" t="s">
        <v>13901</v>
      </c>
    </row>
    <row r="15391" spans="1:8" ht="25.05" customHeight="1" x14ac:dyDescent="0.25">
      <c r="A15391" s="2" t="s">
        <v>8</v>
      </c>
      <c r="B15391" s="2" t="str">
        <f>HYPERLINK("http://ts.21cn.com/tousu/show/id/1347062","中腾信金融")</f>
        <v>中腾信金融</v>
      </c>
      <c r="C15391" s="2" t="s">
        <v>9</v>
      </c>
      <c r="D15391" s="2" t="s">
        <v>10</v>
      </c>
      <c r="E15391" s="2" t="str">
        <f>HYPERLINK("http://ts.21cn.com/tousu/show/id/1347062","http://ts.21cn.com/tousu/show/id/1347062")</f>
        <v>http://ts.21cn.com/tousu/show/id/1347062</v>
      </c>
      <c r="F15391" s="2" t="s">
        <v>11</v>
      </c>
      <c r="G15391" s="2" t="s">
        <v>13898</v>
      </c>
      <c r="H15391" s="2" t="s">
        <v>13899</v>
      </c>
    </row>
    <row r="15392" spans="1:8" ht="25.05" customHeight="1" x14ac:dyDescent="0.25">
      <c r="A15392" s="2" t="s">
        <v>8</v>
      </c>
      <c r="B15392" s="2" t="str">
        <f>HYPERLINK("http://ts.21cn.com/tousu/show/id/1347065","你我贷爆我通讯录")</f>
        <v>你我贷爆我通讯录</v>
      </c>
      <c r="C15392" s="2" t="s">
        <v>34</v>
      </c>
      <c r="D15392" s="2" t="s">
        <v>10</v>
      </c>
      <c r="E15392" s="2" t="str">
        <f>HYPERLINK("http://ts.21cn.com/tousu/show/id/1347065","http://ts.21cn.com/tousu/show/id/1347065")</f>
        <v>http://ts.21cn.com/tousu/show/id/1347065</v>
      </c>
      <c r="F15392" s="2" t="s">
        <v>11</v>
      </c>
      <c r="G15392" s="2" t="s">
        <v>13896</v>
      </c>
      <c r="H15392" s="2" t="s">
        <v>13897</v>
      </c>
    </row>
    <row r="15393" spans="1:8" ht="25.05" customHeight="1" x14ac:dyDescent="0.25">
      <c r="A15393" s="2" t="s">
        <v>8</v>
      </c>
      <c r="B15393" s="2" t="str">
        <f>HYPERLINK("http://ts.21cn.com/tousu/show/id/1347063","学生无工作及收入，现正四处筹钱想要协商还款")</f>
        <v>学生无工作及收入，现正四处筹钱想要协商还款</v>
      </c>
      <c r="C15393" s="2" t="s">
        <v>34</v>
      </c>
      <c r="D15393" s="2" t="s">
        <v>10</v>
      </c>
      <c r="E15393" s="2" t="str">
        <f>HYPERLINK("http://ts.21cn.com/tousu/show/id/1347063","http://ts.21cn.com/tousu/show/id/1347063")</f>
        <v>http://ts.21cn.com/tousu/show/id/1347063</v>
      </c>
      <c r="F15393" s="2" t="s">
        <v>11</v>
      </c>
      <c r="G15393" s="2" t="s">
        <v>13894</v>
      </c>
      <c r="H15393" s="2" t="s">
        <v>13895</v>
      </c>
    </row>
    <row r="15394" spans="1:8" ht="25.05" customHeight="1" x14ac:dyDescent="0.25">
      <c r="A15394" s="2" t="s">
        <v>8</v>
      </c>
      <c r="B15394" s="2" t="str">
        <f>HYPERLINK("http://ts.21cn.com/tousu/show/id/1347067","湿地福苑小区物业收钱不办事")</f>
        <v>湿地福苑小区物业收钱不办事</v>
      </c>
      <c r="C15394" s="2" t="s">
        <v>9</v>
      </c>
      <c r="D15394" s="2" t="s">
        <v>10</v>
      </c>
      <c r="E15394" s="2" t="str">
        <f>HYPERLINK("http://ts.21cn.com/tousu/show/id/1347067","http://ts.21cn.com/tousu/show/id/1347067")</f>
        <v>http://ts.21cn.com/tousu/show/id/1347067</v>
      </c>
      <c r="F15394" s="2" t="s">
        <v>11</v>
      </c>
      <c r="G15394" s="2" t="s">
        <v>13892</v>
      </c>
      <c r="H15394" s="2" t="s">
        <v>13893</v>
      </c>
    </row>
    <row r="15395" spans="1:8" ht="25.05" customHeight="1" x14ac:dyDescent="0.25">
      <c r="A15395" s="2" t="s">
        <v>8</v>
      </c>
      <c r="B15395" s="2" t="str">
        <f>HYPERLINK("http://ts.21cn.com/tousu/show/id/1347068","中信银行信用卡委托第三方暴力催收")</f>
        <v>中信银行信用卡委托第三方暴力催收</v>
      </c>
      <c r="C15395" s="2" t="s">
        <v>9</v>
      </c>
      <c r="D15395" s="2" t="s">
        <v>10</v>
      </c>
      <c r="E15395" s="2" t="str">
        <f>HYPERLINK("http://ts.21cn.com/tousu/show/id/1347068","http://ts.21cn.com/tousu/show/id/1347068")</f>
        <v>http://ts.21cn.com/tousu/show/id/1347068</v>
      </c>
      <c r="F15395" s="2" t="s">
        <v>11</v>
      </c>
      <c r="G15395" s="2" t="s">
        <v>13890</v>
      </c>
      <c r="H15395" s="2" t="s">
        <v>13891</v>
      </c>
    </row>
    <row r="15396" spans="1:8" ht="25.05" customHeight="1" x14ac:dyDescent="0.25">
      <c r="A15396" s="2" t="s">
        <v>8</v>
      </c>
      <c r="B15396" s="2" t="str">
        <f>HYPERLINK("http://ts.21cn.com/tousu/show/id/1347069","聚富分期乱扣费")</f>
        <v>聚富分期乱扣费</v>
      </c>
      <c r="C15396" s="2" t="s">
        <v>9</v>
      </c>
      <c r="D15396" s="2" t="s">
        <v>10</v>
      </c>
      <c r="E15396" s="2" t="str">
        <f>HYPERLINK("http://ts.21cn.com/tousu/show/id/1347069","http://ts.21cn.com/tousu/show/id/1347069")</f>
        <v>http://ts.21cn.com/tousu/show/id/1347069</v>
      </c>
      <c r="F15396" s="2" t="s">
        <v>11</v>
      </c>
      <c r="G15396" s="2" t="s">
        <v>13888</v>
      </c>
      <c r="H15396" s="2" t="s">
        <v>13889</v>
      </c>
    </row>
    <row r="15397" spans="1:8" ht="25.05" customHeight="1" x14ac:dyDescent="0.25">
      <c r="A15397" s="2" t="s">
        <v>8</v>
      </c>
      <c r="B15397" s="2" t="str">
        <f>HYPERLINK("http://ts.21cn.com/tousu/show/id/1347070","米多点砍头息高利贷")</f>
        <v>米多点砍头息高利贷</v>
      </c>
      <c r="C15397" s="2" t="s">
        <v>9</v>
      </c>
      <c r="D15397" s="2" t="s">
        <v>10</v>
      </c>
      <c r="E15397" s="2" t="str">
        <f>HYPERLINK("http://ts.21cn.com/tousu/show/id/1347070","http://ts.21cn.com/tousu/show/id/1347070")</f>
        <v>http://ts.21cn.com/tousu/show/id/1347070</v>
      </c>
      <c r="F15397" s="2" t="s">
        <v>11</v>
      </c>
      <c r="G15397" s="2" t="s">
        <v>13886</v>
      </c>
      <c r="H15397" s="2" t="s">
        <v>13887</v>
      </c>
    </row>
    <row r="15398" spans="1:8" ht="25.05" customHeight="1" x14ac:dyDescent="0.25">
      <c r="A15398" s="2" t="s">
        <v>8</v>
      </c>
      <c r="B15398" s="2" t="str">
        <f>HYPERLINK("http://ts.21cn.com/tousu/show/id/1347071","利息很高")</f>
        <v>利息很高</v>
      </c>
      <c r="C15398" s="2" t="s">
        <v>34</v>
      </c>
      <c r="D15398" s="2" t="s">
        <v>10</v>
      </c>
      <c r="E15398" s="2" t="str">
        <f>HYPERLINK("http://ts.21cn.com/tousu/show/id/1347071","http://ts.21cn.com/tousu/show/id/1347071")</f>
        <v>http://ts.21cn.com/tousu/show/id/1347071</v>
      </c>
      <c r="F15398" s="2" t="s">
        <v>11</v>
      </c>
      <c r="G15398" s="2" t="s">
        <v>13884</v>
      </c>
      <c r="H15398" s="2" t="s">
        <v>13885</v>
      </c>
    </row>
    <row r="15399" spans="1:8" ht="25.05" customHeight="1" x14ac:dyDescent="0.25">
      <c r="A15399" s="2" t="s">
        <v>8</v>
      </c>
      <c r="B15399" s="2" t="str">
        <f>HYPERLINK("http://ts.21cn.com/tousu/show/id/1347072","高利贷")</f>
        <v>高利贷</v>
      </c>
      <c r="C15399" s="2" t="s">
        <v>9</v>
      </c>
      <c r="D15399" s="2" t="s">
        <v>10</v>
      </c>
      <c r="E15399" s="2" t="str">
        <f>HYPERLINK("http://ts.21cn.com/tousu/show/id/1347072","http://ts.21cn.com/tousu/show/id/1347072")</f>
        <v>http://ts.21cn.com/tousu/show/id/1347072</v>
      </c>
      <c r="F15399" s="2" t="s">
        <v>11</v>
      </c>
      <c r="G15399" s="2" t="s">
        <v>13882</v>
      </c>
      <c r="H15399" s="2" t="s">
        <v>13883</v>
      </c>
    </row>
    <row r="15400" spans="1:8" ht="25.05" customHeight="1" x14ac:dyDescent="0.25">
      <c r="A15400" s="2" t="s">
        <v>8</v>
      </c>
      <c r="B15400" s="2" t="str">
        <f>HYPERLINK("http://ts.21cn.com/tousu/show/id/1347061","中信银行信用卡没经过本人同意恶意调额")</f>
        <v>中信银行信用卡没经过本人同意恶意调额</v>
      </c>
      <c r="C15400" s="2" t="s">
        <v>9</v>
      </c>
      <c r="D15400" s="2" t="s">
        <v>10</v>
      </c>
      <c r="E15400" s="2" t="str">
        <f>HYPERLINK("http://ts.21cn.com/tousu/show/id/1347061","http://ts.21cn.com/tousu/show/id/1347061")</f>
        <v>http://ts.21cn.com/tousu/show/id/1347061</v>
      </c>
      <c r="F15400" s="2" t="s">
        <v>11</v>
      </c>
      <c r="G15400" s="2" t="s">
        <v>13880</v>
      </c>
      <c r="H15400" s="2" t="s">
        <v>13881</v>
      </c>
    </row>
    <row r="15401" spans="1:8" ht="25.05" customHeight="1" x14ac:dyDescent="0.25">
      <c r="A15401" s="2" t="s">
        <v>8</v>
      </c>
      <c r="B15401" s="2" t="str">
        <f>HYPERLINK("http://ts.21cn.com/tousu/show/id/1347073","和信普惠")</f>
        <v>和信普惠</v>
      </c>
      <c r="C15401" s="2" t="s">
        <v>34</v>
      </c>
      <c r="D15401" s="2" t="s">
        <v>10</v>
      </c>
      <c r="E15401" s="2" t="str">
        <f>HYPERLINK("http://ts.21cn.com/tousu/show/id/1347073","http://ts.21cn.com/tousu/show/id/1347073")</f>
        <v>http://ts.21cn.com/tousu/show/id/1347073</v>
      </c>
      <c r="F15401" s="2" t="s">
        <v>11</v>
      </c>
      <c r="G15401" s="2" t="s">
        <v>13878</v>
      </c>
      <c r="H15401" s="2" t="s">
        <v>13879</v>
      </c>
    </row>
    <row r="15402" spans="1:8" ht="25.05" customHeight="1" x14ac:dyDescent="0.25">
      <c r="A15402" s="2" t="s">
        <v>8</v>
      </c>
      <c r="B15402" s="2" t="str">
        <f>HYPERLINK("http://ts.21cn.com/tousu/show/id/1347074","我来贷暴力催收")</f>
        <v>我来贷暴力催收</v>
      </c>
      <c r="C15402" s="2" t="s">
        <v>9</v>
      </c>
      <c r="D15402" s="2" t="s">
        <v>10</v>
      </c>
      <c r="E15402" s="2" t="str">
        <f>HYPERLINK("http://ts.21cn.com/tousu/show/id/1347074","http://ts.21cn.com/tousu/show/id/1347074")</f>
        <v>http://ts.21cn.com/tousu/show/id/1347074</v>
      </c>
      <c r="F15402" s="2" t="s">
        <v>11</v>
      </c>
      <c r="G15402" s="2" t="s">
        <v>13876</v>
      </c>
      <c r="H15402" s="2" t="s">
        <v>13877</v>
      </c>
    </row>
    <row r="15403" spans="1:8" ht="25.05" customHeight="1" x14ac:dyDescent="0.25">
      <c r="A15403" s="2" t="s">
        <v>8</v>
      </c>
      <c r="B15403" s="2" t="str">
        <f>HYPERLINK("http://ts.21cn.com/tousu/show/id/1347075","拼多多和支付宝为赌博平台提供充值渠道")</f>
        <v>拼多多和支付宝为赌博平台提供充值渠道</v>
      </c>
      <c r="C15403" s="2" t="s">
        <v>9</v>
      </c>
      <c r="D15403" s="2" t="s">
        <v>10</v>
      </c>
      <c r="E15403" s="2" t="str">
        <f>HYPERLINK("http://ts.21cn.com/tousu/show/id/1347075","http://ts.21cn.com/tousu/show/id/1347075")</f>
        <v>http://ts.21cn.com/tousu/show/id/1347075</v>
      </c>
      <c r="F15403" s="2" t="s">
        <v>11</v>
      </c>
      <c r="G15403" s="2" t="s">
        <v>13874</v>
      </c>
      <c r="H15403" s="2" t="s">
        <v>13875</v>
      </c>
    </row>
    <row r="15404" spans="1:8" ht="25.05" customHeight="1" x14ac:dyDescent="0.25">
      <c r="A15404" s="2" t="s">
        <v>8</v>
      </c>
      <c r="B15404" s="2" t="str">
        <f>HYPERLINK("http://ts.21cn.com/tousu/show/id/1347076","捷信违法催收")</f>
        <v>捷信违法催收</v>
      </c>
      <c r="C15404" s="2" t="s">
        <v>9</v>
      </c>
      <c r="D15404" s="2" t="s">
        <v>10</v>
      </c>
      <c r="E15404" s="2" t="str">
        <f>HYPERLINK("http://ts.21cn.com/tousu/show/id/1347076","http://ts.21cn.com/tousu/show/id/1347076")</f>
        <v>http://ts.21cn.com/tousu/show/id/1347076</v>
      </c>
      <c r="F15404" s="2" t="s">
        <v>11</v>
      </c>
      <c r="G15404" s="2" t="s">
        <v>13872</v>
      </c>
      <c r="H15404" s="2" t="s">
        <v>13873</v>
      </c>
    </row>
    <row r="15405" spans="1:8" ht="25.05" customHeight="1" x14ac:dyDescent="0.25">
      <c r="A15405" s="2" t="s">
        <v>8</v>
      </c>
      <c r="B15405" s="2" t="str">
        <f>HYPERLINK("http://ts.21cn.com/tousu/show/id/1347077","骚扰电话自称金融催款威胁")</f>
        <v>骚扰电话自称金融催款威胁</v>
      </c>
      <c r="C15405" s="2" t="s">
        <v>9</v>
      </c>
      <c r="D15405" s="2" t="s">
        <v>10</v>
      </c>
      <c r="E15405" s="2" t="str">
        <f>HYPERLINK("http://ts.21cn.com/tousu/show/id/1347077","http://ts.21cn.com/tousu/show/id/1347077")</f>
        <v>http://ts.21cn.com/tousu/show/id/1347077</v>
      </c>
      <c r="F15405" s="2" t="s">
        <v>11</v>
      </c>
      <c r="G15405" s="2" t="s">
        <v>13870</v>
      </c>
      <c r="H15405" s="2" t="s">
        <v>13871</v>
      </c>
    </row>
    <row r="15406" spans="1:8" ht="25.05" customHeight="1" x14ac:dyDescent="0.25">
      <c r="A15406" s="2" t="s">
        <v>8</v>
      </c>
      <c r="B15406" s="2" t="str">
        <f>HYPERLINK("http://ts.21cn.com/tousu/show/id/1347078","买了黑卡却不退款")</f>
        <v>买了黑卡却不退款</v>
      </c>
      <c r="C15406" s="2" t="s">
        <v>9</v>
      </c>
      <c r="D15406" s="2" t="s">
        <v>10</v>
      </c>
      <c r="E15406" s="2" t="str">
        <f>HYPERLINK("http://ts.21cn.com/tousu/show/id/1347078","http://ts.21cn.com/tousu/show/id/1347078")</f>
        <v>http://ts.21cn.com/tousu/show/id/1347078</v>
      </c>
      <c r="F15406" s="2" t="s">
        <v>11</v>
      </c>
      <c r="G15406" s="2" t="s">
        <v>13868</v>
      </c>
      <c r="H15406" s="2" t="s">
        <v>13869</v>
      </c>
    </row>
    <row r="15407" spans="1:8" ht="25.05" customHeight="1" x14ac:dyDescent="0.25">
      <c r="A15407" s="2" t="s">
        <v>8</v>
      </c>
      <c r="B15407" s="2" t="str">
        <f>HYPERLINK("http://ts.21cn.com/tousu/show/id/1347080","招联金融严重电话骚扰")</f>
        <v>招联金融严重电话骚扰</v>
      </c>
      <c r="C15407" s="2" t="s">
        <v>9</v>
      </c>
      <c r="D15407" s="2" t="s">
        <v>10</v>
      </c>
      <c r="E15407" s="2" t="str">
        <f>HYPERLINK("http://ts.21cn.com/tousu/show/id/1347080","http://ts.21cn.com/tousu/show/id/1347080")</f>
        <v>http://ts.21cn.com/tousu/show/id/1347080</v>
      </c>
      <c r="F15407" s="2" t="s">
        <v>11</v>
      </c>
      <c r="G15407" s="2" t="s">
        <v>13866</v>
      </c>
      <c r="H15407" s="2" t="s">
        <v>13867</v>
      </c>
    </row>
    <row r="15408" spans="1:8" ht="25.05" customHeight="1" x14ac:dyDescent="0.25">
      <c r="A15408" s="2" t="s">
        <v>8</v>
      </c>
      <c r="B15408" s="2" t="str">
        <f>HYPERLINK("http://ts.21cn.com/tousu/show/id/1347079","闲鱼买了游戏账号没客服换绑，不能退款")</f>
        <v>闲鱼买了游戏账号没客服换绑，不能退款</v>
      </c>
      <c r="C15408" s="2" t="s">
        <v>9</v>
      </c>
      <c r="D15408" s="2" t="s">
        <v>10</v>
      </c>
      <c r="E15408" s="2" t="str">
        <f>HYPERLINK("http://ts.21cn.com/tousu/show/id/1347079","http://ts.21cn.com/tousu/show/id/1347079")</f>
        <v>http://ts.21cn.com/tousu/show/id/1347079</v>
      </c>
      <c r="F15408" s="2" t="s">
        <v>11</v>
      </c>
      <c r="G15408" s="2" t="s">
        <v>13864</v>
      </c>
      <c r="H15408" s="2" t="s">
        <v>13865</v>
      </c>
    </row>
    <row r="15409" spans="1:8" ht="25.05" customHeight="1" x14ac:dyDescent="0.25">
      <c r="A15409" s="2" t="s">
        <v>8</v>
      </c>
      <c r="B15409" s="2" t="str">
        <f>HYPERLINK("http://ts.21cn.com/tousu/show/id/1347081","拼多多商户涉嫌为博彩黑平台收款")</f>
        <v>拼多多商户涉嫌为博彩黑平台收款</v>
      </c>
      <c r="C15409" s="2" t="s">
        <v>9</v>
      </c>
      <c r="D15409" s="2" t="s">
        <v>10</v>
      </c>
      <c r="E15409" s="2" t="str">
        <f>HYPERLINK("http://ts.21cn.com/tousu/show/id/1347081","http://ts.21cn.com/tousu/show/id/1347081")</f>
        <v>http://ts.21cn.com/tousu/show/id/1347081</v>
      </c>
      <c r="F15409" s="2" t="s">
        <v>11</v>
      </c>
      <c r="G15409" s="2" t="s">
        <v>13862</v>
      </c>
      <c r="H15409" s="2" t="s">
        <v>13863</v>
      </c>
    </row>
    <row r="15410" spans="1:8" ht="25.05" customHeight="1" x14ac:dyDescent="0.25">
      <c r="A15410" s="2" t="s">
        <v>8</v>
      </c>
      <c r="B15410" s="2" t="str">
        <f>HYPERLINK("http://ts.21cn.com/tousu/show/id/1347082","小浦优客乱扣我服务费")</f>
        <v>小浦优客乱扣我服务费</v>
      </c>
      <c r="C15410" s="2" t="s">
        <v>34</v>
      </c>
      <c r="D15410" s="2" t="s">
        <v>10</v>
      </c>
      <c r="E15410" s="2" t="str">
        <f>HYPERLINK("http://ts.21cn.com/tousu/show/id/1347082","http://ts.21cn.com/tousu/show/id/1347082")</f>
        <v>http://ts.21cn.com/tousu/show/id/1347082</v>
      </c>
      <c r="F15410" s="2" t="s">
        <v>11</v>
      </c>
      <c r="G15410" s="2" t="s">
        <v>13860</v>
      </c>
      <c r="H15410" s="2" t="s">
        <v>13861</v>
      </c>
    </row>
    <row r="15411" spans="1:8" ht="25.05" customHeight="1" x14ac:dyDescent="0.25">
      <c r="A15411" s="2" t="s">
        <v>8</v>
      </c>
      <c r="B15411" s="2" t="str">
        <f>HYPERLINK("http://ts.21cn.com/tousu/show/id/1347086","玖富万卡高利息，阴阳合同")</f>
        <v>玖富万卡高利息，阴阳合同</v>
      </c>
      <c r="C15411" s="2" t="s">
        <v>9</v>
      </c>
      <c r="D15411" s="2" t="s">
        <v>10</v>
      </c>
      <c r="E15411" s="2" t="str">
        <f>HYPERLINK("http://ts.21cn.com/tousu/show/id/1347086","http://ts.21cn.com/tousu/show/id/1347086")</f>
        <v>http://ts.21cn.com/tousu/show/id/1347086</v>
      </c>
      <c r="F15411" s="2" t="s">
        <v>11</v>
      </c>
      <c r="G15411" s="2" t="s">
        <v>13858</v>
      </c>
      <c r="H15411" s="2" t="s">
        <v>13859</v>
      </c>
    </row>
    <row r="15412" spans="1:8" ht="25.05" customHeight="1" x14ac:dyDescent="0.25">
      <c r="A15412" s="2" t="s">
        <v>8</v>
      </c>
      <c r="B15412" s="2" t="str">
        <f>HYPERLINK("http://ts.21cn.com/tousu/show/id/1347083","车主邦充电不免停车费")</f>
        <v>车主邦充电不免停车费</v>
      </c>
      <c r="C15412" s="2" t="s">
        <v>9</v>
      </c>
      <c r="D15412" s="2" t="s">
        <v>10</v>
      </c>
      <c r="E15412" s="2" t="str">
        <f>HYPERLINK("http://ts.21cn.com/tousu/show/id/1347083","http://ts.21cn.com/tousu/show/id/1347083")</f>
        <v>http://ts.21cn.com/tousu/show/id/1347083</v>
      </c>
      <c r="F15412" s="2" t="s">
        <v>11</v>
      </c>
      <c r="G15412" s="2" t="s">
        <v>13856</v>
      </c>
      <c r="H15412" s="2" t="s">
        <v>13857</v>
      </c>
    </row>
    <row r="15413" spans="1:8" ht="25.05" customHeight="1" x14ac:dyDescent="0.25">
      <c r="A15413" s="2" t="s">
        <v>8</v>
      </c>
      <c r="B15413" s="2" t="str">
        <f>HYPERLINK("http://ts.21cn.com/tousu/show/id/1347084","高铁管家购买火车票火车站退票后高铁管家未退款")</f>
        <v>高铁管家购买火车票火车站退票后高铁管家未退款</v>
      </c>
      <c r="C15413" s="2" t="s">
        <v>34</v>
      </c>
      <c r="D15413" s="2" t="s">
        <v>10</v>
      </c>
      <c r="E15413" s="2" t="str">
        <f>HYPERLINK("http://ts.21cn.com/tousu/show/id/1347084","http://ts.21cn.com/tousu/show/id/1347084")</f>
        <v>http://ts.21cn.com/tousu/show/id/1347084</v>
      </c>
      <c r="F15413" s="2" t="s">
        <v>11</v>
      </c>
      <c r="G15413" s="2" t="s">
        <v>13854</v>
      </c>
      <c r="H15413" s="2" t="s">
        <v>13855</v>
      </c>
    </row>
    <row r="15414" spans="1:8" ht="25.05" customHeight="1" x14ac:dyDescent="0.25">
      <c r="A15414" s="2" t="s">
        <v>8</v>
      </c>
      <c r="B15414" s="2" t="str">
        <f>HYPERLINK("http://ts.21cn.com/tousu/show/id/1347085","已被催收恐吓")</f>
        <v>已被催收恐吓</v>
      </c>
      <c r="C15414" s="2" t="s">
        <v>9</v>
      </c>
      <c r="D15414" s="2" t="s">
        <v>10</v>
      </c>
      <c r="E15414" s="2" t="str">
        <f>HYPERLINK("http://ts.21cn.com/tousu/show/id/1347085","http://ts.21cn.com/tousu/show/id/1347085")</f>
        <v>http://ts.21cn.com/tousu/show/id/1347085</v>
      </c>
      <c r="F15414" s="2" t="s">
        <v>11</v>
      </c>
      <c r="G15414" s="2" t="s">
        <v>13852</v>
      </c>
      <c r="H15414" s="2" t="s">
        <v>13853</v>
      </c>
    </row>
    <row r="15415" spans="1:8" ht="25.05" customHeight="1" x14ac:dyDescent="0.25">
      <c r="A15415" s="2" t="s">
        <v>8</v>
      </c>
      <c r="B15415" s="2" t="str">
        <f>HYPERLINK("http://ts.21cn.com/tousu/show/id/1347087","58金融")</f>
        <v>58金融</v>
      </c>
      <c r="C15415" s="2" t="s">
        <v>9</v>
      </c>
      <c r="D15415" s="2" t="s">
        <v>10</v>
      </c>
      <c r="E15415" s="2" t="str">
        <f>HYPERLINK("http://ts.21cn.com/tousu/show/id/1347087","http://ts.21cn.com/tousu/show/id/1347087")</f>
        <v>http://ts.21cn.com/tousu/show/id/1347087</v>
      </c>
      <c r="F15415" s="2" t="s">
        <v>11</v>
      </c>
      <c r="G15415" s="2" t="s">
        <v>13850</v>
      </c>
      <c r="H15415" s="2" t="s">
        <v>13851</v>
      </c>
    </row>
    <row r="15416" spans="1:8" ht="25.05" customHeight="1" x14ac:dyDescent="0.25">
      <c r="A15416" s="2" t="s">
        <v>8</v>
      </c>
      <c r="B15416" s="2" t="str">
        <f>HYPERLINK("http://ts.21cn.com/tousu/show/id/1347088","网贷催收威胁恐吓谩骂泄漏个人隐私")</f>
        <v>网贷催收威胁恐吓谩骂泄漏个人隐私</v>
      </c>
      <c r="C15416" s="2" t="s">
        <v>9</v>
      </c>
      <c r="D15416" s="2" t="s">
        <v>10</v>
      </c>
      <c r="E15416" s="2" t="str">
        <f>HYPERLINK("http://ts.21cn.com/tousu/show/id/1347088","http://ts.21cn.com/tousu/show/id/1347088")</f>
        <v>http://ts.21cn.com/tousu/show/id/1347088</v>
      </c>
      <c r="F15416" s="2" t="s">
        <v>11</v>
      </c>
      <c r="G15416" s="2" t="s">
        <v>13848</v>
      </c>
      <c r="H15416" s="2" t="s">
        <v>13849</v>
      </c>
    </row>
    <row r="15417" spans="1:8" ht="25.05" customHeight="1" x14ac:dyDescent="0.25">
      <c r="A15417" s="2" t="s">
        <v>8</v>
      </c>
      <c r="B15417" s="2" t="str">
        <f>HYPERLINK("http://ts.21cn.com/tousu/show/id/1347089","小花钱包暴力催收，爆通讯录")</f>
        <v>小花钱包暴力催收，爆通讯录</v>
      </c>
      <c r="C15417" s="2" t="s">
        <v>9</v>
      </c>
      <c r="D15417" s="2" t="s">
        <v>10</v>
      </c>
      <c r="E15417" s="2" t="str">
        <f>HYPERLINK("http://ts.21cn.com/tousu/show/id/1347089","http://ts.21cn.com/tousu/show/id/1347089")</f>
        <v>http://ts.21cn.com/tousu/show/id/1347089</v>
      </c>
      <c r="F15417" s="2" t="s">
        <v>11</v>
      </c>
      <c r="G15417" s="2" t="s">
        <v>13846</v>
      </c>
      <c r="H15417" s="2" t="s">
        <v>13847</v>
      </c>
    </row>
    <row r="15418" spans="1:8" ht="25.05" customHeight="1" x14ac:dyDescent="0.25">
      <c r="A15418" s="2" t="s">
        <v>8</v>
      </c>
      <c r="B15418" s="2" t="str">
        <f>HYPERLINK("http://ts.21cn.com/tousu/show/id/1347090","拼多多为招财猫棋牌赌博网站提供收款工具")</f>
        <v>拼多多为招财猫棋牌赌博网站提供收款工具</v>
      </c>
      <c r="C15418" s="2" t="s">
        <v>9</v>
      </c>
      <c r="D15418" s="2" t="s">
        <v>10</v>
      </c>
      <c r="E15418" s="2" t="str">
        <f>HYPERLINK("http://ts.21cn.com/tousu/show/id/1347090","http://ts.21cn.com/tousu/show/id/1347090")</f>
        <v>http://ts.21cn.com/tousu/show/id/1347090</v>
      </c>
      <c r="F15418" s="2" t="s">
        <v>11</v>
      </c>
      <c r="G15418" s="2" t="s">
        <v>13844</v>
      </c>
      <c r="H15418" s="2" t="s">
        <v>13845</v>
      </c>
    </row>
    <row r="15419" spans="1:8" ht="25.05" customHeight="1" x14ac:dyDescent="0.25">
      <c r="A15419" s="2" t="s">
        <v>8</v>
      </c>
      <c r="B15419" s="2" t="str">
        <f>HYPERLINK("http://ts.21cn.com/tousu/show/id/1347092","高利贷")</f>
        <v>高利贷</v>
      </c>
      <c r="C15419" s="2" t="s">
        <v>9</v>
      </c>
      <c r="D15419" s="2" t="s">
        <v>10</v>
      </c>
      <c r="E15419" s="2" t="str">
        <f>HYPERLINK("http://ts.21cn.com/tousu/show/id/1347092","http://ts.21cn.com/tousu/show/id/1347092")</f>
        <v>http://ts.21cn.com/tousu/show/id/1347092</v>
      </c>
      <c r="F15419" s="2" t="s">
        <v>11</v>
      </c>
      <c r="G15419" s="2" t="s">
        <v>13842</v>
      </c>
      <c r="H15419" s="2" t="s">
        <v>13843</v>
      </c>
    </row>
    <row r="15420" spans="1:8" ht="25.05" customHeight="1" x14ac:dyDescent="0.25">
      <c r="A15420" s="2" t="s">
        <v>8</v>
      </c>
      <c r="B15420" s="2" t="str">
        <f>HYPERLINK("http://ts.21cn.com/tousu/show/id/1347091","还款失败担心余期")</f>
        <v>还款失败担心余期</v>
      </c>
      <c r="C15420" s="2" t="s">
        <v>9</v>
      </c>
      <c r="D15420" s="2" t="s">
        <v>10</v>
      </c>
      <c r="E15420" s="2" t="str">
        <f>HYPERLINK("http://ts.21cn.com/tousu/show/id/1347091","http://ts.21cn.com/tousu/show/id/1347091")</f>
        <v>http://ts.21cn.com/tousu/show/id/1347091</v>
      </c>
      <c r="F15420" s="2" t="s">
        <v>11</v>
      </c>
      <c r="G15420" s="2" t="s">
        <v>13840</v>
      </c>
      <c r="H15420" s="2" t="s">
        <v>13841</v>
      </c>
    </row>
    <row r="15421" spans="1:8" ht="25.05" customHeight="1" x14ac:dyDescent="0.25">
      <c r="A15421" s="2" t="s">
        <v>8</v>
      </c>
      <c r="B15421" s="2" t="str">
        <f>HYPERLINK("http://ts.21cn.com/tousu/show/id/1347093","在机场被客服忽悠办理一张充值2000元的机场贵宾厅VIP卡，其功效和办卡客服说明完全不一样，存在欺诈消费")</f>
        <v>在机场被客服忽悠办理一张充值2000元的机场贵宾厅VIP卡，其功效和办卡客服说明完全不一样，存在欺诈消费</v>
      </c>
      <c r="C15421" s="2" t="s">
        <v>9</v>
      </c>
      <c r="D15421" s="2" t="s">
        <v>10</v>
      </c>
      <c r="E15421" s="2" t="str">
        <f>HYPERLINK("http://ts.21cn.com/tousu/show/id/1347093","http://ts.21cn.com/tousu/show/id/1347093")</f>
        <v>http://ts.21cn.com/tousu/show/id/1347093</v>
      </c>
      <c r="F15421" s="2" t="s">
        <v>11</v>
      </c>
      <c r="G15421" s="2" t="s">
        <v>13838</v>
      </c>
      <c r="H15421" s="2" t="s">
        <v>13839</v>
      </c>
    </row>
    <row r="15422" spans="1:8" ht="25.05" customHeight="1" x14ac:dyDescent="0.25">
      <c r="A15422" s="2" t="s">
        <v>8</v>
      </c>
      <c r="B15422" s="2" t="str">
        <f>HYPERLINK("http://ts.21cn.com/tousu/show/id/1347094","你我贷暴力催收")</f>
        <v>你我贷暴力催收</v>
      </c>
      <c r="C15422" s="2" t="s">
        <v>9</v>
      </c>
      <c r="D15422" s="2" t="s">
        <v>10</v>
      </c>
      <c r="E15422" s="2" t="str">
        <f>HYPERLINK("http://ts.21cn.com/tousu/show/id/1347094","http://ts.21cn.com/tousu/show/id/1347094")</f>
        <v>http://ts.21cn.com/tousu/show/id/1347094</v>
      </c>
      <c r="F15422" s="2" t="s">
        <v>11</v>
      </c>
      <c r="G15422" s="2" t="s">
        <v>13836</v>
      </c>
      <c r="H15422" s="2" t="s">
        <v>13837</v>
      </c>
    </row>
    <row r="15423" spans="1:8" ht="25.05" customHeight="1" x14ac:dyDescent="0.25">
      <c r="A15423" s="2" t="s">
        <v>8</v>
      </c>
      <c r="B15423" s="2" t="str">
        <f>HYPERLINK("http://ts.21cn.com/tousu/show/id/1347095","没通过本人同意？骚扰通讯录")</f>
        <v>没通过本人同意？骚扰通讯录</v>
      </c>
      <c r="C15423" s="2" t="s">
        <v>9</v>
      </c>
      <c r="D15423" s="2" t="s">
        <v>10</v>
      </c>
      <c r="E15423" s="2" t="str">
        <f>HYPERLINK("http://ts.21cn.com/tousu/show/id/1347095","http://ts.21cn.com/tousu/show/id/1347095")</f>
        <v>http://ts.21cn.com/tousu/show/id/1347095</v>
      </c>
      <c r="F15423" s="2" t="s">
        <v>11</v>
      </c>
      <c r="G15423" s="2" t="s">
        <v>13834</v>
      </c>
      <c r="H15423" s="2" t="s">
        <v>13835</v>
      </c>
    </row>
    <row r="15424" spans="1:8" ht="25.05" customHeight="1" x14ac:dyDescent="0.25">
      <c r="A15424" s="2" t="s">
        <v>8</v>
      </c>
      <c r="B15424" s="2" t="str">
        <f>HYPERLINK("http://ts.21cn.com/tousu/show/id/1347096","贷上钱以买游戏豆为由收取高额砍头息")</f>
        <v>贷上钱以买游戏豆为由收取高额砍头息</v>
      </c>
      <c r="C15424" s="2" t="s">
        <v>9</v>
      </c>
      <c r="D15424" s="2" t="s">
        <v>10</v>
      </c>
      <c r="E15424" s="2" t="str">
        <f>HYPERLINK("http://ts.21cn.com/tousu/show/id/1347096","http://ts.21cn.com/tousu/show/id/1347096")</f>
        <v>http://ts.21cn.com/tousu/show/id/1347096</v>
      </c>
      <c r="F15424" s="2" t="s">
        <v>11</v>
      </c>
      <c r="G15424" s="2" t="s">
        <v>13832</v>
      </c>
      <c r="H15424" s="2" t="s">
        <v>13833</v>
      </c>
    </row>
    <row r="15425" spans="1:8" ht="25.05" customHeight="1" x14ac:dyDescent="0.25">
      <c r="A15425" s="2" t="s">
        <v>8</v>
      </c>
      <c r="B15425" s="2" t="str">
        <f>HYPERLINK("http://ts.21cn.com/tousu/show/id/1347097","京东买到假货，维权遭到专员威胁要起诉我")</f>
        <v>京东买到假货，维权遭到专员威胁要起诉我</v>
      </c>
      <c r="C15425" s="2" t="s">
        <v>9</v>
      </c>
      <c r="D15425" s="2" t="s">
        <v>10</v>
      </c>
      <c r="E15425" s="2" t="str">
        <f>HYPERLINK("http://ts.21cn.com/tousu/show/id/1347097","http://ts.21cn.com/tousu/show/id/1347097")</f>
        <v>http://ts.21cn.com/tousu/show/id/1347097</v>
      </c>
      <c r="F15425" s="2" t="s">
        <v>11</v>
      </c>
      <c r="G15425" s="2" t="s">
        <v>13830</v>
      </c>
      <c r="H15425" s="2" t="s">
        <v>13831</v>
      </c>
    </row>
    <row r="15426" spans="1:8" ht="25.05" customHeight="1" x14ac:dyDescent="0.25">
      <c r="A15426" s="2" t="s">
        <v>8</v>
      </c>
      <c r="B15426" s="2" t="str">
        <f>HYPERLINK("http://ts.21cn.com/tousu/show/id/1347098","钱站高利贷阴阳合同")</f>
        <v>钱站高利贷阴阳合同</v>
      </c>
      <c r="C15426" s="2" t="s">
        <v>9</v>
      </c>
      <c r="D15426" s="2" t="s">
        <v>10</v>
      </c>
      <c r="E15426" s="2" t="str">
        <f>HYPERLINK("http://ts.21cn.com/tousu/show/id/1347098","http://ts.21cn.com/tousu/show/id/1347098")</f>
        <v>http://ts.21cn.com/tousu/show/id/1347098</v>
      </c>
      <c r="F15426" s="2" t="s">
        <v>11</v>
      </c>
      <c r="G15426" s="2" t="s">
        <v>13828</v>
      </c>
      <c r="H15426" s="2" t="s">
        <v>13829</v>
      </c>
    </row>
    <row r="15427" spans="1:8" ht="25.05" customHeight="1" x14ac:dyDescent="0.25">
      <c r="A15427" s="2" t="s">
        <v>8</v>
      </c>
      <c r="B15427" s="2" t="str">
        <f>HYPERLINK("http://ts.21cn.com/tousu/show/id/1347099","投诉晋中龙信互联网小额贷款有限公司新橙优品平台")</f>
        <v>投诉晋中龙信互联网小额贷款有限公司新橙优品平台</v>
      </c>
      <c r="C15427" s="2" t="s">
        <v>9</v>
      </c>
      <c r="D15427" s="2" t="s">
        <v>10</v>
      </c>
      <c r="E15427" s="2" t="str">
        <f>HYPERLINK("http://ts.21cn.com/tousu/show/id/1347099","http://ts.21cn.com/tousu/show/id/1347099")</f>
        <v>http://ts.21cn.com/tousu/show/id/1347099</v>
      </c>
      <c r="F15427" s="2" t="s">
        <v>11</v>
      </c>
      <c r="G15427" s="2" t="s">
        <v>13826</v>
      </c>
      <c r="H15427" s="2" t="s">
        <v>13827</v>
      </c>
    </row>
    <row r="15428" spans="1:8" ht="25.05" customHeight="1" x14ac:dyDescent="0.25">
      <c r="A15428" s="2" t="s">
        <v>8</v>
      </c>
      <c r="B15428" s="2" t="str">
        <f>HYPERLINK("http://ts.21cn.com/tousu/show/id/1347101","小浦优客未经同意扣款")</f>
        <v>小浦优客未经同意扣款</v>
      </c>
      <c r="C15428" s="2" t="s">
        <v>9</v>
      </c>
      <c r="D15428" s="2" t="s">
        <v>10</v>
      </c>
      <c r="E15428" s="2" t="str">
        <f>HYPERLINK("http://ts.21cn.com/tousu/show/id/1347101","http://ts.21cn.com/tousu/show/id/1347101")</f>
        <v>http://ts.21cn.com/tousu/show/id/1347101</v>
      </c>
      <c r="F15428" s="2" t="s">
        <v>11</v>
      </c>
      <c r="G15428" s="2" t="s">
        <v>13824</v>
      </c>
      <c r="H15428" s="2" t="s">
        <v>13825</v>
      </c>
    </row>
    <row r="15429" spans="1:8" ht="25.05" customHeight="1" x14ac:dyDescent="0.25">
      <c r="A15429" s="2" t="s">
        <v>8</v>
      </c>
      <c r="B15429" s="2" t="str">
        <f>HYPERLINK("http://ts.21cn.com/tousu/show/id/1347100","有用分期恶意中伤骚扰")</f>
        <v>有用分期恶意中伤骚扰</v>
      </c>
      <c r="C15429" s="2" t="s">
        <v>9</v>
      </c>
      <c r="D15429" s="2" t="s">
        <v>10</v>
      </c>
      <c r="E15429" s="2" t="str">
        <f>HYPERLINK("http://ts.21cn.com/tousu/show/id/1347100","http://ts.21cn.com/tousu/show/id/1347100")</f>
        <v>http://ts.21cn.com/tousu/show/id/1347100</v>
      </c>
      <c r="F15429" s="2" t="s">
        <v>11</v>
      </c>
      <c r="G15429" s="2" t="s">
        <v>13822</v>
      </c>
      <c r="H15429" s="2" t="s">
        <v>13823</v>
      </c>
    </row>
    <row r="15430" spans="1:8" ht="25.05" customHeight="1" x14ac:dyDescent="0.25">
      <c r="A15430" s="2" t="s">
        <v>8</v>
      </c>
      <c r="B15430" s="2" t="str">
        <f>HYPERLINK("http://ts.21cn.com/tousu/show/id/1347102","360借条收取不明手续费，高利贷骚扰通讯录里朋友")</f>
        <v>360借条收取不明手续费，高利贷骚扰通讯录里朋友</v>
      </c>
      <c r="C15430" s="2" t="s">
        <v>9</v>
      </c>
      <c r="D15430" s="2" t="s">
        <v>10</v>
      </c>
      <c r="E15430" s="2" t="str">
        <f>HYPERLINK("http://ts.21cn.com/tousu/show/id/1347102","http://ts.21cn.com/tousu/show/id/1347102")</f>
        <v>http://ts.21cn.com/tousu/show/id/1347102</v>
      </c>
      <c r="F15430" s="2" t="s">
        <v>11</v>
      </c>
      <c r="G15430" s="2" t="s">
        <v>13820</v>
      </c>
      <c r="H15430" s="2" t="s">
        <v>13821</v>
      </c>
    </row>
    <row r="15431" spans="1:8" ht="25.05" customHeight="1" x14ac:dyDescent="0.25">
      <c r="A15431" s="2" t="s">
        <v>8</v>
      </c>
      <c r="B15431" s="2" t="str">
        <f>HYPERLINK("http://ts.21cn.com/tousu/show/id/1347104","投诉小黑鱼平台，坑服务费")</f>
        <v>投诉小黑鱼平台，坑服务费</v>
      </c>
      <c r="C15431" s="2" t="s">
        <v>9</v>
      </c>
      <c r="D15431" s="2" t="s">
        <v>10</v>
      </c>
      <c r="E15431" s="2" t="str">
        <f>HYPERLINK("http://ts.21cn.com/tousu/show/id/1347104","http://ts.21cn.com/tousu/show/id/1347104")</f>
        <v>http://ts.21cn.com/tousu/show/id/1347104</v>
      </c>
      <c r="F15431" s="2" t="s">
        <v>11</v>
      </c>
      <c r="G15431" s="2" t="s">
        <v>13818</v>
      </c>
      <c r="H15431" s="2" t="s">
        <v>13819</v>
      </c>
    </row>
    <row r="15432" spans="1:8" ht="25.05" customHeight="1" x14ac:dyDescent="0.25">
      <c r="A15432" s="2" t="s">
        <v>8</v>
      </c>
      <c r="B15432" s="2" t="str">
        <f>HYPERLINK("http://ts.21cn.com/tousu/show/id/1347103","多米贷高利贷，收砍头息")</f>
        <v>多米贷高利贷，收砍头息</v>
      </c>
      <c r="C15432" s="2" t="s">
        <v>9</v>
      </c>
      <c r="D15432" s="2" t="s">
        <v>10</v>
      </c>
      <c r="E15432" s="2" t="str">
        <f>HYPERLINK("http://ts.21cn.com/tousu/show/id/1347103","http://ts.21cn.com/tousu/show/id/1347103")</f>
        <v>http://ts.21cn.com/tousu/show/id/1347103</v>
      </c>
      <c r="F15432" s="2" t="s">
        <v>11</v>
      </c>
      <c r="G15432" s="2" t="s">
        <v>13816</v>
      </c>
      <c r="H15432" s="2" t="s">
        <v>13817</v>
      </c>
    </row>
    <row r="15433" spans="1:8" ht="25.05" customHeight="1" x14ac:dyDescent="0.25">
      <c r="A15433" s="2" t="s">
        <v>8</v>
      </c>
      <c r="B15433" s="2" t="str">
        <f>HYPERLINK("http://ts.21cn.com/tousu/show/id/1347106","微信支付零钱不明扣款，申诉无门。")</f>
        <v>微信支付零钱不明扣款，申诉无门。</v>
      </c>
      <c r="C15433" s="2" t="s">
        <v>9</v>
      </c>
      <c r="D15433" s="2" t="s">
        <v>10</v>
      </c>
      <c r="E15433" s="2" t="str">
        <f>HYPERLINK("http://ts.21cn.com/tousu/show/id/1347106","http://ts.21cn.com/tousu/show/id/1347106")</f>
        <v>http://ts.21cn.com/tousu/show/id/1347106</v>
      </c>
      <c r="F15433" s="2" t="s">
        <v>11</v>
      </c>
      <c r="G15433" s="2" t="s">
        <v>13814</v>
      </c>
      <c r="H15433" s="2" t="s">
        <v>13815</v>
      </c>
    </row>
    <row r="15434" spans="1:8" ht="25.05" customHeight="1" x14ac:dyDescent="0.25">
      <c r="A15434" s="2" t="s">
        <v>8</v>
      </c>
      <c r="B15434" s="2" t="str">
        <f>HYPERLINK("http://ts.21cn.com/tousu/show/id/1347105","凡普金科旗下钱站app暴力催收")</f>
        <v>凡普金科旗下钱站app暴力催收</v>
      </c>
      <c r="C15434" s="2" t="s">
        <v>9</v>
      </c>
      <c r="D15434" s="2" t="s">
        <v>10</v>
      </c>
      <c r="E15434" s="2" t="str">
        <f>HYPERLINK("http://ts.21cn.com/tousu/show/id/1347105","http://ts.21cn.com/tousu/show/id/1347105")</f>
        <v>http://ts.21cn.com/tousu/show/id/1347105</v>
      </c>
      <c r="F15434" s="2" t="s">
        <v>11</v>
      </c>
      <c r="G15434" s="2" t="s">
        <v>13812</v>
      </c>
      <c r="H15434" s="2" t="s">
        <v>13813</v>
      </c>
    </row>
    <row r="15435" spans="1:8" ht="25.05" customHeight="1" x14ac:dyDescent="0.25">
      <c r="A15435" s="2" t="s">
        <v>8</v>
      </c>
      <c r="B15435" s="2" t="str">
        <f>HYPERLINK("http://ts.21cn.com/tousu/show/id/1347108","钱金金收取高额砍头息要求退还")</f>
        <v>钱金金收取高额砍头息要求退还</v>
      </c>
      <c r="C15435" s="2" t="s">
        <v>34</v>
      </c>
      <c r="D15435" s="2" t="s">
        <v>10</v>
      </c>
      <c r="E15435" s="2" t="str">
        <f>HYPERLINK("http://ts.21cn.com/tousu/show/id/1347108","http://ts.21cn.com/tousu/show/id/1347108")</f>
        <v>http://ts.21cn.com/tousu/show/id/1347108</v>
      </c>
      <c r="F15435" s="2" t="s">
        <v>11</v>
      </c>
      <c r="G15435" s="2" t="s">
        <v>13810</v>
      </c>
      <c r="H15435" s="2" t="s">
        <v>13811</v>
      </c>
    </row>
    <row r="15436" spans="1:8" ht="25.05" customHeight="1" x14ac:dyDescent="0.25">
      <c r="A15436" s="2" t="s">
        <v>8</v>
      </c>
      <c r="B15436" s="2" t="str">
        <f>HYPERLINK("http://ts.21cn.com/tousu/show/id/1347107","小花钱包暴力催收，微信电话轮流爆")</f>
        <v>小花钱包暴力催收，微信电话轮流爆</v>
      </c>
      <c r="C15436" s="2" t="s">
        <v>9</v>
      </c>
      <c r="D15436" s="2" t="s">
        <v>10</v>
      </c>
      <c r="E15436" s="2" t="str">
        <f>HYPERLINK("http://ts.21cn.com/tousu/show/id/1347107","http://ts.21cn.com/tousu/show/id/1347107")</f>
        <v>http://ts.21cn.com/tousu/show/id/1347107</v>
      </c>
      <c r="F15436" s="2" t="s">
        <v>11</v>
      </c>
      <c r="G15436" s="2" t="s">
        <v>13808</v>
      </c>
      <c r="H15436" s="2" t="s">
        <v>13809</v>
      </c>
    </row>
    <row r="15437" spans="1:8" ht="25.05" customHeight="1" x14ac:dyDescent="0.25">
      <c r="A15437" s="2" t="s">
        <v>8</v>
      </c>
      <c r="B15437" s="2" t="str">
        <f>HYPERLINK("http://ts.21cn.com/tousu/show/id/1347110","不知情的情况下扣我卡上的钱，这应该是盗取")</f>
        <v>不知情的情况下扣我卡上的钱，这应该是盗取</v>
      </c>
      <c r="C15437" s="2" t="s">
        <v>9</v>
      </c>
      <c r="D15437" s="2" t="s">
        <v>10</v>
      </c>
      <c r="E15437" s="2" t="str">
        <f>HYPERLINK("http://ts.21cn.com/tousu/show/id/1347110","http://ts.21cn.com/tousu/show/id/1347110")</f>
        <v>http://ts.21cn.com/tousu/show/id/1347110</v>
      </c>
      <c r="F15437" s="2" t="s">
        <v>11</v>
      </c>
      <c r="G15437" s="2" t="s">
        <v>13806</v>
      </c>
      <c r="H15437" s="2" t="s">
        <v>13807</v>
      </c>
    </row>
    <row r="15438" spans="1:8" ht="25.05" customHeight="1" x14ac:dyDescent="0.25">
      <c r="A15438" s="2" t="s">
        <v>8</v>
      </c>
      <c r="B15438" s="2" t="str">
        <f>HYPERLINK("http://ts.21cn.com/tousu/show/id/1347048","要求砍头息贷款平台淘钱钱退还超出法定利息的部分金额")</f>
        <v>要求砍头息贷款平台淘钱钱退还超出法定利息的部分金额</v>
      </c>
      <c r="C15438" s="2" t="s">
        <v>9</v>
      </c>
      <c r="D15438" s="2" t="s">
        <v>10</v>
      </c>
      <c r="E15438" s="2" t="str">
        <f>HYPERLINK("http://ts.21cn.com/tousu/show/id/1347048","http://ts.21cn.com/tousu/show/id/1347048")</f>
        <v>http://ts.21cn.com/tousu/show/id/1347048</v>
      </c>
      <c r="F15438" s="2" t="s">
        <v>11</v>
      </c>
      <c r="G15438" s="2" t="s">
        <v>13804</v>
      </c>
      <c r="H15438" s="2" t="s">
        <v>13805</v>
      </c>
    </row>
    <row r="15439" spans="1:8" ht="25.05" customHeight="1" x14ac:dyDescent="0.25">
      <c r="A15439" s="2" t="s">
        <v>8</v>
      </c>
      <c r="B15439" s="2" t="str">
        <f>HYPERLINK("http://ts.21cn.com/tousu/show/id/1347113","网贷暴力催收")</f>
        <v>网贷暴力催收</v>
      </c>
      <c r="C15439" s="2" t="s">
        <v>9</v>
      </c>
      <c r="D15439" s="2" t="s">
        <v>10</v>
      </c>
      <c r="E15439" s="2" t="str">
        <f>HYPERLINK("http://ts.21cn.com/tousu/show/id/1347113","http://ts.21cn.com/tousu/show/id/1347113")</f>
        <v>http://ts.21cn.com/tousu/show/id/1347113</v>
      </c>
      <c r="F15439" s="2" t="s">
        <v>11</v>
      </c>
      <c r="G15439" s="2" t="s">
        <v>13802</v>
      </c>
      <c r="H15439" s="2" t="s">
        <v>13803</v>
      </c>
    </row>
    <row r="15440" spans="1:8" ht="25.05" customHeight="1" x14ac:dyDescent="0.25">
      <c r="A15440" s="2" t="s">
        <v>8</v>
      </c>
      <c r="B15440" s="2" t="str">
        <f>HYPERLINK("http://ts.21cn.com/tousu/show/id/1347111","淘集集拖欠货款，三个多月不打款！")</f>
        <v>淘集集拖欠货款，三个多月不打款！</v>
      </c>
      <c r="C15440" s="2" t="s">
        <v>9</v>
      </c>
      <c r="D15440" s="2" t="s">
        <v>10</v>
      </c>
      <c r="E15440" s="2" t="str">
        <f>HYPERLINK("http://ts.21cn.com/tousu/show/id/1347111","http://ts.21cn.com/tousu/show/id/1347111")</f>
        <v>http://ts.21cn.com/tousu/show/id/1347111</v>
      </c>
      <c r="F15440" s="2" t="s">
        <v>11</v>
      </c>
      <c r="G15440" s="2" t="s">
        <v>13800</v>
      </c>
      <c r="H15440" s="2" t="s">
        <v>13801</v>
      </c>
    </row>
    <row r="15441" spans="1:8" ht="25.05" customHeight="1" x14ac:dyDescent="0.25">
      <c r="A15441" s="2" t="s">
        <v>8</v>
      </c>
      <c r="B15441" s="2" t="str">
        <f>HYPERLINK("http://ts.21cn.com/tousu/show/id/1347112","轻周转芒果筹高利贷")</f>
        <v>轻周转芒果筹高利贷</v>
      </c>
      <c r="C15441" s="2" t="s">
        <v>9</v>
      </c>
      <c r="D15441" s="2" t="s">
        <v>10</v>
      </c>
      <c r="E15441" s="2" t="str">
        <f>HYPERLINK("http://ts.21cn.com/tousu/show/id/1347112","http://ts.21cn.com/tousu/show/id/1347112")</f>
        <v>http://ts.21cn.com/tousu/show/id/1347112</v>
      </c>
      <c r="F15441" s="2" t="s">
        <v>11</v>
      </c>
      <c r="G15441" s="2" t="s">
        <v>13798</v>
      </c>
      <c r="H15441" s="2" t="s">
        <v>13799</v>
      </c>
    </row>
    <row r="15442" spans="1:8" ht="25.05" customHeight="1" x14ac:dyDescent="0.25">
      <c r="A15442" s="2" t="s">
        <v>8</v>
      </c>
      <c r="B15442" s="2" t="str">
        <f>HYPERLINK("http://ts.21cn.com/tousu/show/id/1347114","好分期服务费太高")</f>
        <v>好分期服务费太高</v>
      </c>
      <c r="C15442" s="2" t="s">
        <v>9</v>
      </c>
      <c r="D15442" s="2" t="s">
        <v>10</v>
      </c>
      <c r="E15442" s="2" t="str">
        <f>HYPERLINK("http://ts.21cn.com/tousu/show/id/1347114","http://ts.21cn.com/tousu/show/id/1347114")</f>
        <v>http://ts.21cn.com/tousu/show/id/1347114</v>
      </c>
      <c r="F15442" s="2" t="s">
        <v>11</v>
      </c>
      <c r="G15442" s="2" t="s">
        <v>13796</v>
      </c>
      <c r="H15442" s="2" t="s">
        <v>13797</v>
      </c>
    </row>
    <row r="15443" spans="1:8" ht="25.05" customHeight="1" x14ac:dyDescent="0.25">
      <c r="A15443" s="2" t="s">
        <v>8</v>
      </c>
      <c r="B15443" s="2" t="str">
        <f>HYPERLINK("http://ts.21cn.com/tousu/show/id/1347115","来分期还款日当天催不停催收")</f>
        <v>来分期还款日当天催不停催收</v>
      </c>
      <c r="C15443" s="2" t="s">
        <v>9</v>
      </c>
      <c r="D15443" s="2" t="s">
        <v>10</v>
      </c>
      <c r="E15443" s="2" t="str">
        <f>HYPERLINK("http://ts.21cn.com/tousu/show/id/1347115","http://ts.21cn.com/tousu/show/id/1347115")</f>
        <v>http://ts.21cn.com/tousu/show/id/1347115</v>
      </c>
      <c r="F15443" s="2" t="s">
        <v>11</v>
      </c>
      <c r="G15443" s="2" t="s">
        <v>13794</v>
      </c>
      <c r="H15443" s="2" t="s">
        <v>13795</v>
      </c>
    </row>
    <row r="15444" spans="1:8" ht="25.05" customHeight="1" x14ac:dyDescent="0.25">
      <c r="A15444" s="2" t="s">
        <v>8</v>
      </c>
      <c r="B15444" s="2" t="str">
        <f>HYPERLINK("http://ts.21cn.com/tousu/show/id/1347117","捷信金融高利贷借款")</f>
        <v>捷信金融高利贷借款</v>
      </c>
      <c r="C15444" s="2" t="s">
        <v>9</v>
      </c>
      <c r="D15444" s="2" t="s">
        <v>10</v>
      </c>
      <c r="E15444" s="2" t="str">
        <f>HYPERLINK("http://ts.21cn.com/tousu/show/id/1347117","http://ts.21cn.com/tousu/show/id/1347117")</f>
        <v>http://ts.21cn.com/tousu/show/id/1347117</v>
      </c>
      <c r="F15444" s="2" t="s">
        <v>11</v>
      </c>
      <c r="G15444" s="2" t="s">
        <v>13792</v>
      </c>
      <c r="H15444" s="2" t="s">
        <v>13793</v>
      </c>
    </row>
    <row r="15445" spans="1:8" ht="25.05" customHeight="1" x14ac:dyDescent="0.25">
      <c r="A15445" s="2" t="s">
        <v>8</v>
      </c>
      <c r="B15445" s="2" t="str">
        <f>HYPERLINK("http://ts.21cn.com/tousu/show/id/1347120","钱站高利贷阴阳合同")</f>
        <v>钱站高利贷阴阳合同</v>
      </c>
      <c r="C15445" s="2" t="s">
        <v>9</v>
      </c>
      <c r="D15445" s="2" t="s">
        <v>10</v>
      </c>
      <c r="E15445" s="2" t="str">
        <f>HYPERLINK("http://ts.21cn.com/tousu/show/id/1347120","http://ts.21cn.com/tousu/show/id/1347120")</f>
        <v>http://ts.21cn.com/tousu/show/id/1347120</v>
      </c>
      <c r="F15445" s="2" t="s">
        <v>11</v>
      </c>
      <c r="G15445" s="2" t="s">
        <v>13790</v>
      </c>
      <c r="H15445" s="2" t="s">
        <v>13791</v>
      </c>
    </row>
    <row r="15446" spans="1:8" ht="25.05" customHeight="1" x14ac:dyDescent="0.25">
      <c r="A15446" s="2" t="s">
        <v>8</v>
      </c>
      <c r="B15446" s="2" t="str">
        <f>HYPERLINK("http://ts.21cn.com/tousu/show/id/1347119","立借高利贷")</f>
        <v>立借高利贷</v>
      </c>
      <c r="C15446" s="2" t="s">
        <v>9</v>
      </c>
      <c r="D15446" s="2" t="s">
        <v>10</v>
      </c>
      <c r="E15446" s="2" t="str">
        <f>HYPERLINK("http://ts.21cn.com/tousu/show/id/1347119","http://ts.21cn.com/tousu/show/id/1347119")</f>
        <v>http://ts.21cn.com/tousu/show/id/1347119</v>
      </c>
      <c r="F15446" s="2" t="s">
        <v>11</v>
      </c>
      <c r="G15446" s="2" t="s">
        <v>13788</v>
      </c>
      <c r="H15446" s="2" t="s">
        <v>13789</v>
      </c>
    </row>
    <row r="15447" spans="1:8" ht="25.05" customHeight="1" x14ac:dyDescent="0.25">
      <c r="A15447" s="2" t="s">
        <v>8</v>
      </c>
      <c r="B15447" s="2" t="str">
        <f>HYPERLINK("http://ts.21cn.com/tousu/show/id/1347121","左右钱包超利贷")</f>
        <v>左右钱包超利贷</v>
      </c>
      <c r="C15447" s="2" t="s">
        <v>9</v>
      </c>
      <c r="D15447" s="2" t="s">
        <v>10</v>
      </c>
      <c r="E15447" s="2" t="str">
        <f>HYPERLINK("http://ts.21cn.com/tousu/show/id/1347121","http://ts.21cn.com/tousu/show/id/1347121")</f>
        <v>http://ts.21cn.com/tousu/show/id/1347121</v>
      </c>
      <c r="F15447" s="2" t="s">
        <v>11</v>
      </c>
      <c r="G15447" s="2" t="s">
        <v>13786</v>
      </c>
      <c r="H15447" s="2" t="s">
        <v>13787</v>
      </c>
    </row>
    <row r="15448" spans="1:8" ht="25.05" customHeight="1" x14ac:dyDescent="0.25">
      <c r="A15448" s="2" t="s">
        <v>8</v>
      </c>
      <c r="B15448" s="2" t="str">
        <f>HYPERLINK("http://ts.21cn.com/tousu/show/id/1347122","暴力催收，威胁上门")</f>
        <v>暴力催收，威胁上门</v>
      </c>
      <c r="C15448" s="2" t="s">
        <v>9</v>
      </c>
      <c r="D15448" s="2" t="s">
        <v>10</v>
      </c>
      <c r="E15448" s="2" t="str">
        <f>HYPERLINK("http://ts.21cn.com/tousu/show/id/1347122","http://ts.21cn.com/tousu/show/id/1347122")</f>
        <v>http://ts.21cn.com/tousu/show/id/1347122</v>
      </c>
      <c r="F15448" s="2" t="s">
        <v>11</v>
      </c>
      <c r="G15448" s="2" t="s">
        <v>13784</v>
      </c>
      <c r="H15448" s="2" t="s">
        <v>13785</v>
      </c>
    </row>
    <row r="15449" spans="1:8" ht="25.05" customHeight="1" x14ac:dyDescent="0.25">
      <c r="A15449" s="2" t="s">
        <v>8</v>
      </c>
      <c r="B15449" s="2" t="str">
        <f>HYPERLINK("http://ts.21cn.com/tousu/show/id/1347124","高利贷黑社会暴力催收侵犯个人隐私无视国家法律")</f>
        <v>高利贷黑社会暴力催收侵犯个人隐私无视国家法律</v>
      </c>
      <c r="C15449" s="2" t="s">
        <v>9</v>
      </c>
      <c r="D15449" s="2" t="s">
        <v>10</v>
      </c>
      <c r="E15449" s="2" t="str">
        <f>HYPERLINK("http://ts.21cn.com/tousu/show/id/1347124","http://ts.21cn.com/tousu/show/id/1347124")</f>
        <v>http://ts.21cn.com/tousu/show/id/1347124</v>
      </c>
      <c r="F15449" s="2" t="s">
        <v>11</v>
      </c>
      <c r="G15449" s="2" t="s">
        <v>13782</v>
      </c>
      <c r="H15449" s="2" t="s">
        <v>13783</v>
      </c>
    </row>
    <row r="15450" spans="1:8" ht="25.05" customHeight="1" x14ac:dyDescent="0.25">
      <c r="A15450" s="2" t="s">
        <v>8</v>
      </c>
      <c r="B15450" s="2" t="str">
        <f>HYPERLINK("http://ts.21cn.com/tousu/show/id/1347123","暴力催收，威胁恐吓")</f>
        <v>暴力催收，威胁恐吓</v>
      </c>
      <c r="C15450" s="2" t="s">
        <v>9</v>
      </c>
      <c r="D15450" s="2" t="s">
        <v>10</v>
      </c>
      <c r="E15450" s="2" t="str">
        <f>HYPERLINK("http://ts.21cn.com/tousu/show/id/1347123","http://ts.21cn.com/tousu/show/id/1347123")</f>
        <v>http://ts.21cn.com/tousu/show/id/1347123</v>
      </c>
      <c r="F15450" s="2" t="s">
        <v>11</v>
      </c>
      <c r="G15450" s="2" t="s">
        <v>13780</v>
      </c>
      <c r="H15450" s="2" t="s">
        <v>13781</v>
      </c>
    </row>
    <row r="15451" spans="1:8" ht="25.05" customHeight="1" x14ac:dyDescent="0.25">
      <c r="A15451" s="2" t="s">
        <v>8</v>
      </c>
      <c r="B15451" s="2" t="str">
        <f>HYPERLINK("http://ts.21cn.com/tousu/show/id/1347125","聚福钱包未经许可私自扣款")</f>
        <v>聚福钱包未经许可私自扣款</v>
      </c>
      <c r="C15451" s="2" t="s">
        <v>9</v>
      </c>
      <c r="D15451" s="2" t="s">
        <v>10</v>
      </c>
      <c r="E15451" s="2" t="str">
        <f>HYPERLINK("http://ts.21cn.com/tousu/show/id/1347125","http://ts.21cn.com/tousu/show/id/1347125")</f>
        <v>http://ts.21cn.com/tousu/show/id/1347125</v>
      </c>
      <c r="F15451" s="2" t="s">
        <v>11</v>
      </c>
      <c r="G15451" s="2" t="s">
        <v>13778</v>
      </c>
      <c r="H15451" s="2" t="s">
        <v>13779</v>
      </c>
    </row>
    <row r="15452" spans="1:8" ht="25.05" customHeight="1" x14ac:dyDescent="0.25">
      <c r="A15452" s="2" t="s">
        <v>8</v>
      </c>
      <c r="B15452" s="2" t="str">
        <f>HYPERLINK("http://ts.21cn.com/tousu/show/id/1347126","马上金融借贷平台放高利贷提前还款还需要手续费")</f>
        <v>马上金融借贷平台放高利贷提前还款还需要手续费</v>
      </c>
      <c r="C15452" s="2" t="s">
        <v>9</v>
      </c>
      <c r="D15452" s="2" t="s">
        <v>10</v>
      </c>
      <c r="E15452" s="2" t="str">
        <f>HYPERLINK("http://ts.21cn.com/tousu/show/id/1347126","http://ts.21cn.com/tousu/show/id/1347126")</f>
        <v>http://ts.21cn.com/tousu/show/id/1347126</v>
      </c>
      <c r="F15452" s="2" t="s">
        <v>11</v>
      </c>
      <c r="G15452" s="2" t="s">
        <v>13776</v>
      </c>
      <c r="H15452" s="2" t="s">
        <v>13777</v>
      </c>
    </row>
    <row r="15453" spans="1:8" ht="25.05" customHeight="1" x14ac:dyDescent="0.25">
      <c r="A15453" s="2" t="s">
        <v>8</v>
      </c>
      <c r="B15453" s="2" t="str">
        <f>HYPERLINK("http://ts.21cn.com/tousu/show/id/1347127","小赢卡贷平台非法银行账户扣款，暴力催收违法收取利息，工作人员推诿聚不解决问题，账户扣款不退还，经营手续不全，欺诈高息")</f>
        <v>小赢卡贷平台非法银行账户扣款，暴力催收违法收取利息，工作人员推诿聚不解决问题，账户扣款不退还，经营手续不全，欺诈高息</v>
      </c>
      <c r="C15453" s="2" t="s">
        <v>9</v>
      </c>
      <c r="D15453" s="2" t="s">
        <v>10</v>
      </c>
      <c r="E15453" s="2" t="str">
        <f>HYPERLINK("http://ts.21cn.com/tousu/show/id/1347127","http://ts.21cn.com/tousu/show/id/1347127")</f>
        <v>http://ts.21cn.com/tousu/show/id/1347127</v>
      </c>
      <c r="F15453" s="2" t="s">
        <v>11</v>
      </c>
      <c r="G15453" s="2" t="s">
        <v>13774</v>
      </c>
      <c r="H15453" s="2" t="s">
        <v>13775</v>
      </c>
    </row>
    <row r="15454" spans="1:8" ht="25.05" customHeight="1" x14ac:dyDescent="0.25">
      <c r="A15454" s="2" t="s">
        <v>8</v>
      </c>
      <c r="B15454" s="2" t="str">
        <f>HYPERLINK("http://ts.21cn.com/tousu/show/id/1347128","乐刷快捷支付未到账")</f>
        <v>乐刷快捷支付未到账</v>
      </c>
      <c r="C15454" s="2" t="s">
        <v>9</v>
      </c>
      <c r="D15454" s="2" t="s">
        <v>10</v>
      </c>
      <c r="E15454" s="2" t="str">
        <f>HYPERLINK("http://ts.21cn.com/tousu/show/id/1347128","http://ts.21cn.com/tousu/show/id/1347128")</f>
        <v>http://ts.21cn.com/tousu/show/id/1347128</v>
      </c>
      <c r="F15454" s="2" t="s">
        <v>11</v>
      </c>
      <c r="G15454" s="2" t="s">
        <v>13772</v>
      </c>
      <c r="H15454" s="2" t="s">
        <v>13773</v>
      </c>
    </row>
    <row r="15455" spans="1:8" ht="25.05" customHeight="1" x14ac:dyDescent="0.25">
      <c r="A15455" s="2" t="s">
        <v>8</v>
      </c>
      <c r="B15455" s="2" t="str">
        <f>HYPERLINK("http://ts.21cn.com/tousu/show/id/1347129","京东金条未曾提醒还款，逾期9个小时，立马上征信，要求征信维护")</f>
        <v>京东金条未曾提醒还款，逾期9个小时，立马上征信，要求征信维护</v>
      </c>
      <c r="C15455" s="2" t="s">
        <v>34</v>
      </c>
      <c r="D15455" s="2" t="s">
        <v>10</v>
      </c>
      <c r="E15455" s="2" t="str">
        <f>HYPERLINK("http://ts.21cn.com/tousu/show/id/1347129","http://ts.21cn.com/tousu/show/id/1347129")</f>
        <v>http://ts.21cn.com/tousu/show/id/1347129</v>
      </c>
      <c r="F15455" s="2" t="s">
        <v>11</v>
      </c>
      <c r="G15455" s="2" t="s">
        <v>13770</v>
      </c>
      <c r="H15455" s="2" t="s">
        <v>13771</v>
      </c>
    </row>
    <row r="15456" spans="1:8" ht="25.05" customHeight="1" x14ac:dyDescent="0.25">
      <c r="A15456" s="2" t="s">
        <v>8</v>
      </c>
      <c r="B15456" s="2" t="str">
        <f>HYPERLINK("http://ts.21cn.com/tousu/show/id/1347131","拒绝提供公司名字，冒充京东")</f>
        <v>拒绝提供公司名字，冒充京东</v>
      </c>
      <c r="C15456" s="2" t="s">
        <v>9</v>
      </c>
      <c r="D15456" s="2" t="s">
        <v>10</v>
      </c>
      <c r="E15456" s="2" t="str">
        <f>HYPERLINK("http://ts.21cn.com/tousu/show/id/1347131","http://ts.21cn.com/tousu/show/id/1347131")</f>
        <v>http://ts.21cn.com/tousu/show/id/1347131</v>
      </c>
      <c r="F15456" s="2" t="s">
        <v>11</v>
      </c>
      <c r="G15456" s="2" t="s">
        <v>13768</v>
      </c>
      <c r="H15456" s="2" t="s">
        <v>13769</v>
      </c>
    </row>
    <row r="15457" spans="1:8" ht="25.05" customHeight="1" x14ac:dyDescent="0.25">
      <c r="A15457" s="2" t="s">
        <v>8</v>
      </c>
      <c r="B15457" s="2" t="str">
        <f>HYPERLINK("http://ts.21cn.com/tousu/show/id/1347132","宝付违规为非法商户提供结算")</f>
        <v>宝付违规为非法商户提供结算</v>
      </c>
      <c r="C15457" s="2" t="s">
        <v>9</v>
      </c>
      <c r="D15457" s="2" t="s">
        <v>10</v>
      </c>
      <c r="E15457" s="2" t="str">
        <f>HYPERLINK("http://ts.21cn.com/tousu/show/id/1347132","http://ts.21cn.com/tousu/show/id/1347132")</f>
        <v>http://ts.21cn.com/tousu/show/id/1347132</v>
      </c>
      <c r="F15457" s="2" t="s">
        <v>11</v>
      </c>
      <c r="G15457" s="2" t="s">
        <v>13766</v>
      </c>
      <c r="H15457" s="2" t="s">
        <v>13767</v>
      </c>
    </row>
    <row r="15458" spans="1:8" ht="25.05" customHeight="1" x14ac:dyDescent="0.25">
      <c r="A15458" s="2" t="s">
        <v>8</v>
      </c>
      <c r="B15458" s="2" t="str">
        <f>HYPERLINK("http://ts.21cn.com/tousu/show/id/1347133","蚂蚁金呗暴力催收")</f>
        <v>蚂蚁金呗暴力催收</v>
      </c>
      <c r="C15458" s="2" t="s">
        <v>9</v>
      </c>
      <c r="D15458" s="2" t="s">
        <v>10</v>
      </c>
      <c r="E15458" s="2" t="str">
        <f>HYPERLINK("http://ts.21cn.com/tousu/show/id/1347133","http://ts.21cn.com/tousu/show/id/1347133")</f>
        <v>http://ts.21cn.com/tousu/show/id/1347133</v>
      </c>
      <c r="F15458" s="2" t="s">
        <v>11</v>
      </c>
      <c r="G15458" s="2" t="s">
        <v>13764</v>
      </c>
      <c r="H15458" s="2" t="s">
        <v>13765</v>
      </c>
    </row>
    <row r="15459" spans="1:8" ht="25.05" customHeight="1" x14ac:dyDescent="0.25">
      <c r="A15459" s="2" t="s">
        <v>8</v>
      </c>
      <c r="B15459" s="2" t="str">
        <f>HYPERLINK("http://ts.21cn.com/tousu/show/id/1347134","阳光保险和快闪卡贷套路贷")</f>
        <v>阳光保险和快闪卡贷套路贷</v>
      </c>
      <c r="C15459" s="2" t="s">
        <v>9</v>
      </c>
      <c r="D15459" s="2" t="s">
        <v>10</v>
      </c>
      <c r="E15459" s="2" t="str">
        <f>HYPERLINK("http://ts.21cn.com/tousu/show/id/1347134","http://ts.21cn.com/tousu/show/id/1347134")</f>
        <v>http://ts.21cn.com/tousu/show/id/1347134</v>
      </c>
      <c r="F15459" s="2" t="s">
        <v>11</v>
      </c>
      <c r="G15459" s="2" t="s">
        <v>13762</v>
      </c>
      <c r="H15459" s="2" t="s">
        <v>13763</v>
      </c>
    </row>
    <row r="15460" spans="1:8" ht="25.05" customHeight="1" x14ac:dyDescent="0.25">
      <c r="A15460" s="2" t="s">
        <v>8</v>
      </c>
      <c r="B15460" s="2" t="str">
        <f>HYPERLINK("http://ts.21cn.com/tousu/show/id/1347135","招联金融暴力催收")</f>
        <v>招联金融暴力催收</v>
      </c>
      <c r="C15460" s="2" t="s">
        <v>9</v>
      </c>
      <c r="D15460" s="2" t="s">
        <v>10</v>
      </c>
      <c r="E15460" s="2" t="str">
        <f>HYPERLINK("http://ts.21cn.com/tousu/show/id/1347135","http://ts.21cn.com/tousu/show/id/1347135")</f>
        <v>http://ts.21cn.com/tousu/show/id/1347135</v>
      </c>
      <c r="F15460" s="2" t="s">
        <v>11</v>
      </c>
      <c r="G15460" s="2" t="s">
        <v>13760</v>
      </c>
      <c r="H15460" s="2" t="s">
        <v>13761</v>
      </c>
    </row>
    <row r="15461" spans="1:8" ht="25.05" customHeight="1" x14ac:dyDescent="0.25">
      <c r="A15461" s="2" t="s">
        <v>8</v>
      </c>
      <c r="B15461" s="2" t="str">
        <f>HYPERLINK("http://ts.21cn.com/tousu/show/id/1347136","拼多多商户涉嫌为博彩黑平台收款")</f>
        <v>拼多多商户涉嫌为博彩黑平台收款</v>
      </c>
      <c r="C15461" s="2" t="s">
        <v>9</v>
      </c>
      <c r="D15461" s="2" t="s">
        <v>10</v>
      </c>
      <c r="E15461" s="2" t="str">
        <f>HYPERLINK("http://ts.21cn.com/tousu/show/id/1347136","http://ts.21cn.com/tousu/show/id/1347136")</f>
        <v>http://ts.21cn.com/tousu/show/id/1347136</v>
      </c>
      <c r="F15461" s="2" t="s">
        <v>11</v>
      </c>
      <c r="G15461" s="2" t="s">
        <v>13758</v>
      </c>
      <c r="H15461" s="2" t="s">
        <v>13759</v>
      </c>
    </row>
    <row r="15462" spans="1:8" ht="25.05" customHeight="1" x14ac:dyDescent="0.25">
      <c r="A15462" s="2" t="s">
        <v>8</v>
      </c>
      <c r="B15462" s="2" t="str">
        <f>HYPERLINK("http://ts.21cn.com/tousu/show/id/1347137","etc乱收费")</f>
        <v>etc乱收费</v>
      </c>
      <c r="C15462" s="2" t="s">
        <v>9</v>
      </c>
      <c r="D15462" s="2" t="s">
        <v>10</v>
      </c>
      <c r="E15462" s="2" t="str">
        <f>HYPERLINK("http://ts.21cn.com/tousu/show/id/1347137","http://ts.21cn.com/tousu/show/id/1347137")</f>
        <v>http://ts.21cn.com/tousu/show/id/1347137</v>
      </c>
      <c r="F15462" s="2" t="s">
        <v>11</v>
      </c>
      <c r="G15462" s="2" t="s">
        <v>13756</v>
      </c>
      <c r="H15462" s="2" t="s">
        <v>13757</v>
      </c>
    </row>
    <row r="15463" spans="1:8" ht="25.05" customHeight="1" x14ac:dyDescent="0.25">
      <c r="A15463" s="2" t="s">
        <v>8</v>
      </c>
      <c r="B15463" s="2" t="str">
        <f>HYPERLINK("http://ts.21cn.com/tousu/show/id/1347138","360虚假广告横行，损害用户权益")</f>
        <v>360虚假广告横行，损害用户权益</v>
      </c>
      <c r="C15463" s="2" t="s">
        <v>9</v>
      </c>
      <c r="D15463" s="2" t="s">
        <v>10</v>
      </c>
      <c r="E15463" s="2" t="str">
        <f>HYPERLINK("http://ts.21cn.com/tousu/show/id/1347138","http://ts.21cn.com/tousu/show/id/1347138")</f>
        <v>http://ts.21cn.com/tousu/show/id/1347138</v>
      </c>
      <c r="F15463" s="2" t="s">
        <v>11</v>
      </c>
      <c r="G15463" s="2" t="s">
        <v>13754</v>
      </c>
      <c r="H15463" s="2" t="s">
        <v>13755</v>
      </c>
    </row>
    <row r="15464" spans="1:8" ht="25.05" customHeight="1" x14ac:dyDescent="0.25">
      <c r="A15464" s="2" t="s">
        <v>8</v>
      </c>
      <c r="B15464" s="2" t="str">
        <f>HYPERLINK("http://ts.21cn.com/tousu/show/id/1347139","发骚扰信息")</f>
        <v>发骚扰信息</v>
      </c>
      <c r="C15464" s="2" t="s">
        <v>34</v>
      </c>
      <c r="D15464" s="2" t="s">
        <v>10</v>
      </c>
      <c r="E15464" s="2" t="str">
        <f>HYPERLINK("http://ts.21cn.com/tousu/show/id/1347139","http://ts.21cn.com/tousu/show/id/1347139")</f>
        <v>http://ts.21cn.com/tousu/show/id/1347139</v>
      </c>
      <c r="F15464" s="2" t="s">
        <v>11</v>
      </c>
      <c r="G15464" s="2" t="s">
        <v>13752</v>
      </c>
      <c r="H15464" s="2" t="s">
        <v>13753</v>
      </c>
    </row>
    <row r="15465" spans="1:8" ht="25.05" customHeight="1" x14ac:dyDescent="0.25">
      <c r="A15465" s="2" t="s">
        <v>8</v>
      </c>
      <c r="B15465" s="2" t="str">
        <f>HYPERLINK("http://ts.21cn.com/tousu/show/id/1347140","柠檬金服联合和平车行、国银盛达非法上征信")</f>
        <v>柠檬金服联合和平车行、国银盛达非法上征信</v>
      </c>
      <c r="C15465" s="2" t="s">
        <v>9</v>
      </c>
      <c r="D15465" s="2" t="s">
        <v>10</v>
      </c>
      <c r="E15465" s="2" t="str">
        <f>HYPERLINK("http://ts.21cn.com/tousu/show/id/1347140","http://ts.21cn.com/tousu/show/id/1347140")</f>
        <v>http://ts.21cn.com/tousu/show/id/1347140</v>
      </c>
      <c r="F15465" s="2" t="s">
        <v>11</v>
      </c>
      <c r="G15465" s="2" t="s">
        <v>13750</v>
      </c>
      <c r="H15465" s="2" t="s">
        <v>13751</v>
      </c>
    </row>
    <row r="15466" spans="1:8" ht="25.05" customHeight="1" x14ac:dyDescent="0.25">
      <c r="A15466" s="2" t="s">
        <v>8</v>
      </c>
      <c r="B15466" s="2" t="str">
        <f>HYPERLINK("http://ts.21cn.com/tousu/show/id/1347141","买买乐购爆通讯记录")</f>
        <v>买买乐购爆通讯记录</v>
      </c>
      <c r="C15466" s="2" t="s">
        <v>34</v>
      </c>
      <c r="D15466" s="2" t="s">
        <v>10</v>
      </c>
      <c r="E15466" s="2" t="str">
        <f>HYPERLINK("http://ts.21cn.com/tousu/show/id/1347141","http://ts.21cn.com/tousu/show/id/1347141")</f>
        <v>http://ts.21cn.com/tousu/show/id/1347141</v>
      </c>
      <c r="F15466" s="2" t="s">
        <v>11</v>
      </c>
      <c r="G15466" s="2" t="s">
        <v>13748</v>
      </c>
      <c r="H15466" s="2" t="s">
        <v>13749</v>
      </c>
    </row>
    <row r="15467" spans="1:8" ht="25.05" customHeight="1" x14ac:dyDescent="0.25">
      <c r="A15467" s="2" t="s">
        <v>8</v>
      </c>
      <c r="B15467" s="2" t="str">
        <f>HYPERLINK("http://ts.21cn.com/tousu/show/id/1347142","网易邮箱申诉失败引导消费")</f>
        <v>网易邮箱申诉失败引导消费</v>
      </c>
      <c r="C15467" s="2" t="s">
        <v>9</v>
      </c>
      <c r="D15467" s="2" t="s">
        <v>10</v>
      </c>
      <c r="E15467" s="2" t="str">
        <f>HYPERLINK("http://ts.21cn.com/tousu/show/id/1347142","http://ts.21cn.com/tousu/show/id/1347142")</f>
        <v>http://ts.21cn.com/tousu/show/id/1347142</v>
      </c>
      <c r="F15467" s="2" t="s">
        <v>11</v>
      </c>
      <c r="G15467" s="2" t="s">
        <v>13746</v>
      </c>
      <c r="H15467" s="2" t="s">
        <v>13747</v>
      </c>
    </row>
    <row r="15468" spans="1:8" ht="25.05" customHeight="1" x14ac:dyDescent="0.25">
      <c r="A15468" s="2" t="s">
        <v>8</v>
      </c>
      <c r="B15468" s="2" t="str">
        <f>HYPERLINK("http://ts.21cn.com/tousu/show/id/1347145","中国移动不允许客户更换成移动花卡套餐，强迫客户接受捆绑销售")</f>
        <v>中国移动不允许客户更换成移动花卡套餐，强迫客户接受捆绑销售</v>
      </c>
      <c r="C15468" s="2" t="s">
        <v>9</v>
      </c>
      <c r="D15468" s="2" t="s">
        <v>10</v>
      </c>
      <c r="E15468" s="2" t="str">
        <f>HYPERLINK("http://ts.21cn.com/tousu/show/id/1347145","http://ts.21cn.com/tousu/show/id/1347145")</f>
        <v>http://ts.21cn.com/tousu/show/id/1347145</v>
      </c>
      <c r="F15468" s="2" t="s">
        <v>11</v>
      </c>
      <c r="G15468" s="2" t="s">
        <v>13744</v>
      </c>
      <c r="H15468" s="2" t="s">
        <v>13745</v>
      </c>
    </row>
    <row r="15469" spans="1:8" ht="25.05" customHeight="1" x14ac:dyDescent="0.25">
      <c r="A15469" s="2" t="s">
        <v>8</v>
      </c>
      <c r="B15469" s="2" t="str">
        <f>HYPERLINK("http://ts.21cn.com/tousu/show/id/1347118","拇指下款不经本人同意扣299")</f>
        <v>拇指下款不经本人同意扣299</v>
      </c>
      <c r="C15469" s="2" t="s">
        <v>9</v>
      </c>
      <c r="D15469" s="2" t="s">
        <v>10</v>
      </c>
      <c r="E15469" s="2" t="str">
        <f>HYPERLINK("http://ts.21cn.com/tousu/show/id/1347118","http://ts.21cn.com/tousu/show/id/1347118")</f>
        <v>http://ts.21cn.com/tousu/show/id/1347118</v>
      </c>
      <c r="F15469" s="2" t="s">
        <v>11</v>
      </c>
      <c r="G15469" s="2" t="s">
        <v>13742</v>
      </c>
      <c r="H15469" s="2" t="s">
        <v>13743</v>
      </c>
    </row>
    <row r="15470" spans="1:8" ht="25.05" customHeight="1" x14ac:dyDescent="0.25">
      <c r="A15470" s="2" t="s">
        <v>8</v>
      </c>
      <c r="B15470" s="2" t="str">
        <f>HYPERLINK("http://ts.21cn.com/tousu/show/id/1347146","新橙优品代扣失败导致逾期，并且官方失联")</f>
        <v>新橙优品代扣失败导致逾期，并且官方失联</v>
      </c>
      <c r="C15470" s="2" t="s">
        <v>9</v>
      </c>
      <c r="D15470" s="2" t="s">
        <v>10</v>
      </c>
      <c r="E15470" s="2" t="str">
        <f>HYPERLINK("http://ts.21cn.com/tousu/show/id/1347146","http://ts.21cn.com/tousu/show/id/1347146")</f>
        <v>http://ts.21cn.com/tousu/show/id/1347146</v>
      </c>
      <c r="F15470" s="2" t="s">
        <v>11</v>
      </c>
      <c r="G15470" s="2" t="s">
        <v>13740</v>
      </c>
      <c r="H15470" s="2" t="s">
        <v>13741</v>
      </c>
    </row>
    <row r="15471" spans="1:8" ht="25.05" customHeight="1" x14ac:dyDescent="0.25">
      <c r="A15471" s="2" t="s">
        <v>8</v>
      </c>
      <c r="B15471" s="2" t="str">
        <f>HYPERLINK("http://ts.21cn.com/tousu/show/id/1347147","ofo客服电话打不通，打通被挂电话")</f>
        <v>ofo客服电话打不通，打通被挂电话</v>
      </c>
      <c r="C15471" s="2" t="s">
        <v>9</v>
      </c>
      <c r="D15471" s="2" t="s">
        <v>10</v>
      </c>
      <c r="E15471" s="2" t="str">
        <f>HYPERLINK("http://ts.21cn.com/tousu/show/id/1347147","http://ts.21cn.com/tousu/show/id/1347147")</f>
        <v>http://ts.21cn.com/tousu/show/id/1347147</v>
      </c>
      <c r="F15471" s="2" t="s">
        <v>11</v>
      </c>
      <c r="G15471" s="2" t="s">
        <v>13738</v>
      </c>
      <c r="H15471" s="2" t="s">
        <v>13739</v>
      </c>
    </row>
    <row r="15472" spans="1:8" ht="25.05" customHeight="1" x14ac:dyDescent="0.25">
      <c r="A15472" s="2" t="s">
        <v>8</v>
      </c>
      <c r="B15472" s="2" t="str">
        <f>HYPERLINK("http://ts.21cn.com/tousu/show/id/1347149","暴力催收威胁人身安全")</f>
        <v>暴力催收威胁人身安全</v>
      </c>
      <c r="C15472" s="2" t="s">
        <v>9</v>
      </c>
      <c r="D15472" s="2" t="s">
        <v>10</v>
      </c>
      <c r="E15472" s="2" t="str">
        <f>HYPERLINK("http://ts.21cn.com/tousu/show/id/1347149","http://ts.21cn.com/tousu/show/id/1347149")</f>
        <v>http://ts.21cn.com/tousu/show/id/1347149</v>
      </c>
      <c r="F15472" s="2" t="s">
        <v>11</v>
      </c>
      <c r="G15472" s="2" t="s">
        <v>13736</v>
      </c>
      <c r="H15472" s="2" t="s">
        <v>13737</v>
      </c>
    </row>
    <row r="15473" spans="1:8" ht="25.05" customHeight="1" x14ac:dyDescent="0.25">
      <c r="A15473" s="2" t="s">
        <v>8</v>
      </c>
      <c r="B15473" s="2" t="str">
        <f>HYPERLINK("http://ts.21cn.com/tousu/show/id/1347151","反复骚扰亲朋")</f>
        <v>反复骚扰亲朋</v>
      </c>
      <c r="C15473" s="2" t="s">
        <v>34</v>
      </c>
      <c r="D15473" s="2" t="s">
        <v>10</v>
      </c>
      <c r="E15473" s="2" t="str">
        <f>HYPERLINK("http://ts.21cn.com/tousu/show/id/1347151","http://ts.21cn.com/tousu/show/id/1347151")</f>
        <v>http://ts.21cn.com/tousu/show/id/1347151</v>
      </c>
      <c r="F15473" s="2" t="s">
        <v>11</v>
      </c>
      <c r="G15473" s="2" t="s">
        <v>13734</v>
      </c>
      <c r="H15473" s="2" t="s">
        <v>13735</v>
      </c>
    </row>
    <row r="15474" spans="1:8" ht="25.05" customHeight="1" x14ac:dyDescent="0.25">
      <c r="A15474" s="2" t="s">
        <v>8</v>
      </c>
      <c r="B15474" s="2" t="str">
        <f>HYPERLINK("http://ts.21cn.com/tousu/show/id/1347152","乱扣款")</f>
        <v>乱扣款</v>
      </c>
      <c r="C15474" s="2" t="s">
        <v>9</v>
      </c>
      <c r="D15474" s="2" t="s">
        <v>10</v>
      </c>
      <c r="E15474" s="2" t="str">
        <f>HYPERLINK("http://ts.21cn.com/tousu/show/id/1347152","http://ts.21cn.com/tousu/show/id/1347152")</f>
        <v>http://ts.21cn.com/tousu/show/id/1347152</v>
      </c>
      <c r="F15474" s="2" t="s">
        <v>11</v>
      </c>
      <c r="G15474" s="2" t="s">
        <v>13732</v>
      </c>
      <c r="H15474" s="2" t="s">
        <v>13733</v>
      </c>
    </row>
    <row r="15475" spans="1:8" ht="25.05" customHeight="1" x14ac:dyDescent="0.25">
      <c r="A15475" s="2" t="s">
        <v>8</v>
      </c>
      <c r="B15475" s="2" t="str">
        <f>HYPERLINK("http://ts.21cn.com/tousu/show/id/1347153","要求开机")</f>
        <v>要求开机</v>
      </c>
      <c r="C15475" s="2" t="s">
        <v>34</v>
      </c>
      <c r="D15475" s="2" t="s">
        <v>10</v>
      </c>
      <c r="E15475" s="2" t="str">
        <f>HYPERLINK("http://ts.21cn.com/tousu/show/id/1347153","http://ts.21cn.com/tousu/show/id/1347153")</f>
        <v>http://ts.21cn.com/tousu/show/id/1347153</v>
      </c>
      <c r="F15475" s="2" t="s">
        <v>11</v>
      </c>
      <c r="G15475" s="2" t="s">
        <v>13730</v>
      </c>
      <c r="H15475" s="2" t="s">
        <v>13731</v>
      </c>
    </row>
    <row r="15476" spans="1:8" ht="25.05" customHeight="1" x14ac:dyDescent="0.25">
      <c r="A15476" s="2" t="s">
        <v>8</v>
      </c>
      <c r="B15476" s="2" t="str">
        <f>HYPERLINK("http://ts.21cn.com/tousu/show/id/1347154","交易猫无视买家举证，睁眼胡说八道，不公平仲裁")</f>
        <v>交易猫无视买家举证，睁眼胡说八道，不公平仲裁</v>
      </c>
      <c r="C15476" s="2" t="s">
        <v>9</v>
      </c>
      <c r="D15476" s="2" t="s">
        <v>10</v>
      </c>
      <c r="E15476" s="2" t="str">
        <f>HYPERLINK("http://ts.21cn.com/tousu/show/id/1347154","http://ts.21cn.com/tousu/show/id/1347154")</f>
        <v>http://ts.21cn.com/tousu/show/id/1347154</v>
      </c>
      <c r="F15476" s="2" t="s">
        <v>11</v>
      </c>
      <c r="G15476" s="2" t="s">
        <v>13728</v>
      </c>
      <c r="H15476" s="2" t="s">
        <v>13729</v>
      </c>
    </row>
    <row r="15477" spans="1:8" ht="25.05" customHeight="1" x14ac:dyDescent="0.25">
      <c r="A15477" s="2" t="s">
        <v>8</v>
      </c>
      <c r="B15477" s="2" t="str">
        <f>HYPERLINK("http://ts.21cn.com/tousu/show/id/1347064","以贷款之名乱扣费")</f>
        <v>以贷款之名乱扣费</v>
      </c>
      <c r="C15477" s="2" t="s">
        <v>9</v>
      </c>
      <c r="D15477" s="2" t="s">
        <v>10</v>
      </c>
      <c r="E15477" s="2" t="str">
        <f>HYPERLINK("http://ts.21cn.com/tousu/show/id/1347064","http://ts.21cn.com/tousu/show/id/1347064")</f>
        <v>http://ts.21cn.com/tousu/show/id/1347064</v>
      </c>
      <c r="F15477" s="2" t="s">
        <v>11</v>
      </c>
      <c r="G15477" s="2" t="s">
        <v>13726</v>
      </c>
      <c r="H15477" s="2" t="s">
        <v>13727</v>
      </c>
    </row>
    <row r="15478" spans="1:8" ht="25.05" customHeight="1" x14ac:dyDescent="0.25">
      <c r="A15478" s="2" t="s">
        <v>8</v>
      </c>
      <c r="B15478" s="2" t="str">
        <f>HYPERLINK("http://ts.21cn.com/tousu/show/id/1343860","浙江航天电子信息产业有限公司涉嫌为博彩公司违规提供支付通道望聚投诉明察")</f>
        <v>浙江航天电子信息产业有限公司涉嫌为博彩公司违规提供支付通道望聚投诉明察</v>
      </c>
      <c r="C15478" s="2" t="s">
        <v>9</v>
      </c>
      <c r="D15478" s="2" t="s">
        <v>10</v>
      </c>
      <c r="E15478" s="2" t="str">
        <f>HYPERLINK("http://ts.21cn.com/tousu/show/id/1343860","http://ts.21cn.com/tousu/show/id/1343860")</f>
        <v>http://ts.21cn.com/tousu/show/id/1343860</v>
      </c>
      <c r="F15478" s="2" t="s">
        <v>11</v>
      </c>
      <c r="G15478" s="2" t="s">
        <v>13724</v>
      </c>
      <c r="H15478" s="2" t="s">
        <v>13725</v>
      </c>
    </row>
    <row r="15479" spans="1:8" ht="25.05" customHeight="1" x14ac:dyDescent="0.25">
      <c r="A15479" s="2" t="s">
        <v>8</v>
      </c>
      <c r="B15479" s="2" t="str">
        <f>HYPERLINK("http://ts.21cn.com/tousu/show/id/1347155","招联金融暴力非法催收")</f>
        <v>招联金融暴力非法催收</v>
      </c>
      <c r="C15479" s="2" t="s">
        <v>9</v>
      </c>
      <c r="D15479" s="2" t="s">
        <v>10</v>
      </c>
      <c r="E15479" s="2" t="str">
        <f>HYPERLINK("http://ts.21cn.com/tousu/show/id/1347155","http://ts.21cn.com/tousu/show/id/1347155")</f>
        <v>http://ts.21cn.com/tousu/show/id/1347155</v>
      </c>
      <c r="F15479" s="2" t="s">
        <v>11</v>
      </c>
      <c r="G15479" s="2" t="s">
        <v>13722</v>
      </c>
      <c r="H15479" s="2" t="s">
        <v>13723</v>
      </c>
    </row>
    <row r="15480" spans="1:8" ht="25.05" customHeight="1" x14ac:dyDescent="0.25">
      <c r="A15480" s="2" t="s">
        <v>8</v>
      </c>
      <c r="B15480" s="2" t="str">
        <f>HYPERLINK("http://ts.21cn.com/tousu/show/id/1347159","不到还款日电话打爆利率太高")</f>
        <v>不到还款日电话打爆利率太高</v>
      </c>
      <c r="C15480" s="2" t="s">
        <v>9</v>
      </c>
      <c r="D15480" s="2" t="s">
        <v>10</v>
      </c>
      <c r="E15480" s="2" t="str">
        <f>HYPERLINK("http://ts.21cn.com/tousu/show/id/1347159","http://ts.21cn.com/tousu/show/id/1347159")</f>
        <v>http://ts.21cn.com/tousu/show/id/1347159</v>
      </c>
      <c r="F15480" s="2" t="s">
        <v>11</v>
      </c>
      <c r="G15480" s="2" t="s">
        <v>13720</v>
      </c>
      <c r="H15480" s="2" t="s">
        <v>13721</v>
      </c>
    </row>
    <row r="15481" spans="1:8" ht="25.05" customHeight="1" x14ac:dyDescent="0.25">
      <c r="A15481" s="2" t="s">
        <v>8</v>
      </c>
      <c r="B15481" s="2" t="str">
        <f>HYPERLINK("http://ts.21cn.com/tousu/show/id/1347156","京东白条客服态度恶劣")</f>
        <v>京东白条客服态度恶劣</v>
      </c>
      <c r="C15481" s="2" t="s">
        <v>9</v>
      </c>
      <c r="D15481" s="2" t="s">
        <v>10</v>
      </c>
      <c r="E15481" s="2" t="str">
        <f>HYPERLINK("http://ts.21cn.com/tousu/show/id/1347156","http://ts.21cn.com/tousu/show/id/1347156")</f>
        <v>http://ts.21cn.com/tousu/show/id/1347156</v>
      </c>
      <c r="F15481" s="2" t="s">
        <v>11</v>
      </c>
      <c r="G15481" s="2" t="s">
        <v>13718</v>
      </c>
      <c r="H15481" s="2" t="s">
        <v>13719</v>
      </c>
    </row>
    <row r="15482" spans="1:8" ht="25.05" customHeight="1" x14ac:dyDescent="0.25">
      <c r="A15482" s="2" t="s">
        <v>8</v>
      </c>
      <c r="B15482" s="2" t="str">
        <f>HYPERLINK("http://ts.21cn.com/tousu/show/id/1347157","钱站")</f>
        <v>钱站</v>
      </c>
      <c r="C15482" s="2" t="s">
        <v>9</v>
      </c>
      <c r="D15482" s="2" t="s">
        <v>10</v>
      </c>
      <c r="E15482" s="2" t="str">
        <f>HYPERLINK("http://ts.21cn.com/tousu/show/id/1347157","http://ts.21cn.com/tousu/show/id/1347157")</f>
        <v>http://ts.21cn.com/tousu/show/id/1347157</v>
      </c>
      <c r="F15482" s="2" t="s">
        <v>11</v>
      </c>
      <c r="G15482" s="2" t="s">
        <v>13716</v>
      </c>
      <c r="H15482" s="2" t="s">
        <v>13717</v>
      </c>
    </row>
    <row r="15483" spans="1:8" ht="25.05" customHeight="1" x14ac:dyDescent="0.25">
      <c r="A15483" s="2" t="s">
        <v>8</v>
      </c>
      <c r="B15483" s="2" t="str">
        <f>HYPERLINK("http://ts.21cn.com/tousu/show/id/1347160","不知情，不认可")</f>
        <v>不知情，不认可</v>
      </c>
      <c r="C15483" s="2" t="s">
        <v>9</v>
      </c>
      <c r="D15483" s="2" t="s">
        <v>10</v>
      </c>
      <c r="E15483" s="2" t="str">
        <f>HYPERLINK("http://ts.21cn.com/tousu/show/id/1347160","http://ts.21cn.com/tousu/show/id/1347160")</f>
        <v>http://ts.21cn.com/tousu/show/id/1347160</v>
      </c>
      <c r="F15483" s="2" t="s">
        <v>11</v>
      </c>
      <c r="G15483" s="2" t="s">
        <v>13714</v>
      </c>
      <c r="H15483" s="2" t="s">
        <v>13715</v>
      </c>
    </row>
    <row r="15484" spans="1:8" ht="25.05" customHeight="1" x14ac:dyDescent="0.25">
      <c r="A15484" s="2" t="s">
        <v>8</v>
      </c>
      <c r="B15484" s="2" t="str">
        <f>HYPERLINK("http://ts.21cn.com/tousu/show/id/1347161","悦如公寓押金拒付")</f>
        <v>悦如公寓押金拒付</v>
      </c>
      <c r="C15484" s="2" t="s">
        <v>9</v>
      </c>
      <c r="D15484" s="2" t="s">
        <v>10</v>
      </c>
      <c r="E15484" s="2" t="str">
        <f>HYPERLINK("http://ts.21cn.com/tousu/show/id/1347161","http://ts.21cn.com/tousu/show/id/1347161")</f>
        <v>http://ts.21cn.com/tousu/show/id/1347161</v>
      </c>
      <c r="F15484" s="2" t="s">
        <v>11</v>
      </c>
      <c r="G15484" s="2" t="s">
        <v>13712</v>
      </c>
      <c r="H15484" s="2" t="s">
        <v>13713</v>
      </c>
    </row>
    <row r="15485" spans="1:8" ht="25.05" customHeight="1" x14ac:dyDescent="0.25">
      <c r="A15485" s="2" t="s">
        <v>8</v>
      </c>
      <c r="B15485" s="2" t="str">
        <f>HYPERLINK("http://ts.21cn.com/tousu/show/id/1347163","安徽图乐网络科技违法催收")</f>
        <v>安徽图乐网络科技违法催收</v>
      </c>
      <c r="C15485" s="2" t="s">
        <v>9</v>
      </c>
      <c r="D15485" s="2" t="s">
        <v>10</v>
      </c>
      <c r="E15485" s="2" t="str">
        <f>HYPERLINK("http://ts.21cn.com/tousu/show/id/1347163","http://ts.21cn.com/tousu/show/id/1347163")</f>
        <v>http://ts.21cn.com/tousu/show/id/1347163</v>
      </c>
      <c r="F15485" s="2" t="s">
        <v>11</v>
      </c>
      <c r="G15485" s="2" t="s">
        <v>13710</v>
      </c>
      <c r="H15485" s="2" t="s">
        <v>13711</v>
      </c>
    </row>
    <row r="15486" spans="1:8" ht="25.05" customHeight="1" x14ac:dyDescent="0.25">
      <c r="A15486" s="2" t="s">
        <v>8</v>
      </c>
      <c r="B15486" s="2" t="str">
        <f>HYPERLINK("http://ts.21cn.com/tousu/show/id/1347162","京东发放优惠券后0元下单不给用户发货")</f>
        <v>京东发放优惠券后0元下单不给用户发货</v>
      </c>
      <c r="C15486" s="2" t="s">
        <v>34</v>
      </c>
      <c r="D15486" s="2" t="s">
        <v>10</v>
      </c>
      <c r="E15486" s="2" t="str">
        <f>HYPERLINK("http://ts.21cn.com/tousu/show/id/1347162","http://ts.21cn.com/tousu/show/id/1347162")</f>
        <v>http://ts.21cn.com/tousu/show/id/1347162</v>
      </c>
      <c r="F15486" s="2" t="s">
        <v>11</v>
      </c>
      <c r="G15486" s="2" t="s">
        <v>13708</v>
      </c>
      <c r="H15486" s="2" t="s">
        <v>13709</v>
      </c>
    </row>
    <row r="15487" spans="1:8" ht="25.05" customHeight="1" x14ac:dyDescent="0.25">
      <c r="A15487" s="2" t="s">
        <v>8</v>
      </c>
      <c r="B15487" s="2" t="str">
        <f>HYPERLINK("http://ts.21cn.com/tousu/show/id/1347116","美团酒店不能退款")</f>
        <v>美团酒店不能退款</v>
      </c>
      <c r="C15487" s="2" t="s">
        <v>9</v>
      </c>
      <c r="D15487" s="2" t="s">
        <v>10</v>
      </c>
      <c r="E15487" s="2" t="str">
        <f>HYPERLINK("http://ts.21cn.com/tousu/show/id/1347116","http://ts.21cn.com/tousu/show/id/1347116")</f>
        <v>http://ts.21cn.com/tousu/show/id/1347116</v>
      </c>
      <c r="F15487" s="2" t="s">
        <v>11</v>
      </c>
      <c r="G15487" s="2" t="s">
        <v>13706</v>
      </c>
      <c r="H15487" s="2" t="s">
        <v>13707</v>
      </c>
    </row>
    <row r="15488" spans="1:8" ht="25.05" customHeight="1" x14ac:dyDescent="0.25">
      <c r="A15488" s="2" t="s">
        <v>8</v>
      </c>
      <c r="B15488" s="2" t="str">
        <f>HYPERLINK("http://ts.21cn.com/tousu/show/id/1347166","高利贷威胁恐吓准备")</f>
        <v>高利贷威胁恐吓准备</v>
      </c>
      <c r="C15488" s="2" t="s">
        <v>9</v>
      </c>
      <c r="D15488" s="2" t="s">
        <v>10</v>
      </c>
      <c r="E15488" s="2" t="str">
        <f>HYPERLINK("http://ts.21cn.com/tousu/show/id/1347166","http://ts.21cn.com/tousu/show/id/1347166")</f>
        <v>http://ts.21cn.com/tousu/show/id/1347166</v>
      </c>
      <c r="F15488" s="2" t="s">
        <v>11</v>
      </c>
      <c r="G15488" s="2" t="s">
        <v>13704</v>
      </c>
      <c r="H15488" s="2" t="s">
        <v>13705</v>
      </c>
    </row>
    <row r="15489" spans="1:8" ht="25.05" customHeight="1" x14ac:dyDescent="0.25">
      <c r="A15489" s="2" t="s">
        <v>8</v>
      </c>
      <c r="B15489" s="2" t="str">
        <f>HYPERLINK("http://ts.21cn.com/tousu/show/id/1347164","暴力催收，骚扰")</f>
        <v>暴力催收，骚扰</v>
      </c>
      <c r="C15489" s="2" t="s">
        <v>9</v>
      </c>
      <c r="D15489" s="2" t="s">
        <v>10</v>
      </c>
      <c r="E15489" s="2" t="str">
        <f>HYPERLINK("http://ts.21cn.com/tousu/show/id/1347164","http://ts.21cn.com/tousu/show/id/1347164")</f>
        <v>http://ts.21cn.com/tousu/show/id/1347164</v>
      </c>
      <c r="F15489" s="2" t="s">
        <v>11</v>
      </c>
      <c r="G15489" s="2" t="s">
        <v>13702</v>
      </c>
      <c r="H15489" s="2" t="s">
        <v>13703</v>
      </c>
    </row>
    <row r="15490" spans="1:8" ht="25.05" customHeight="1" x14ac:dyDescent="0.25">
      <c r="A15490" s="2" t="s">
        <v>8</v>
      </c>
      <c r="B15490" s="2" t="str">
        <f>HYPERLINK("http://ts.21cn.com/tousu/show/id/1347165","现金巴士违法收取砍头息，收取巨额逾期费")</f>
        <v>现金巴士违法收取砍头息，收取巨额逾期费</v>
      </c>
      <c r="C15490" s="2" t="s">
        <v>9</v>
      </c>
      <c r="D15490" s="2" t="s">
        <v>10</v>
      </c>
      <c r="E15490" s="2" t="str">
        <f>HYPERLINK("http://ts.21cn.com/tousu/show/id/1347165","http://ts.21cn.com/tousu/show/id/1347165")</f>
        <v>http://ts.21cn.com/tousu/show/id/1347165</v>
      </c>
      <c r="F15490" s="2" t="s">
        <v>11</v>
      </c>
      <c r="G15490" s="2" t="s">
        <v>13700</v>
      </c>
      <c r="H15490" s="2" t="s">
        <v>13701</v>
      </c>
    </row>
    <row r="15491" spans="1:8" ht="25.05" customHeight="1" x14ac:dyDescent="0.25">
      <c r="A15491" s="2" t="s">
        <v>8</v>
      </c>
      <c r="B15491" s="2" t="str">
        <f>HYPERLINK("http://ts.21cn.com/tousu/show/id/1347167","闪电借款变相收费")</f>
        <v>闪电借款变相收费</v>
      </c>
      <c r="C15491" s="2" t="s">
        <v>9</v>
      </c>
      <c r="D15491" s="2" t="s">
        <v>10</v>
      </c>
      <c r="E15491" s="2" t="str">
        <f>HYPERLINK("http://ts.21cn.com/tousu/show/id/1347167","http://ts.21cn.com/tousu/show/id/1347167")</f>
        <v>http://ts.21cn.com/tousu/show/id/1347167</v>
      </c>
      <c r="F15491" s="2" t="s">
        <v>11</v>
      </c>
      <c r="G15491" s="2" t="s">
        <v>13698</v>
      </c>
      <c r="H15491" s="2" t="s">
        <v>13699</v>
      </c>
    </row>
    <row r="15492" spans="1:8" ht="25.05" customHeight="1" x14ac:dyDescent="0.25">
      <c r="A15492" s="2" t="s">
        <v>8</v>
      </c>
      <c r="B15492" s="2" t="str">
        <f>HYPERLINK("http://ts.21cn.com/tousu/show/id/1347170","好分期注销账户困难")</f>
        <v>好分期注销账户困难</v>
      </c>
      <c r="C15492" s="2" t="s">
        <v>9</v>
      </c>
      <c r="D15492" s="2" t="s">
        <v>10</v>
      </c>
      <c r="E15492" s="2" t="str">
        <f>HYPERLINK("http://ts.21cn.com/tousu/show/id/1347170","http://ts.21cn.com/tousu/show/id/1347170")</f>
        <v>http://ts.21cn.com/tousu/show/id/1347170</v>
      </c>
      <c r="F15492" s="2" t="s">
        <v>11</v>
      </c>
      <c r="G15492" s="2" t="s">
        <v>13696</v>
      </c>
      <c r="H15492" s="2" t="s">
        <v>13697</v>
      </c>
    </row>
    <row r="15493" spans="1:8" ht="25.05" customHeight="1" x14ac:dyDescent="0.25">
      <c r="A15493" s="2" t="s">
        <v>8</v>
      </c>
      <c r="B15493" s="2" t="str">
        <f>HYPERLINK("http://ts.21cn.com/tousu/show/id/1347168","盈盈有钱涉黑高利贷")</f>
        <v>盈盈有钱涉黑高利贷</v>
      </c>
      <c r="C15493" s="2" t="s">
        <v>9</v>
      </c>
      <c r="D15493" s="2" t="s">
        <v>10</v>
      </c>
      <c r="E15493" s="2" t="str">
        <f>HYPERLINK("http://ts.21cn.com/tousu/show/id/1347168","http://ts.21cn.com/tousu/show/id/1347168")</f>
        <v>http://ts.21cn.com/tousu/show/id/1347168</v>
      </c>
      <c r="F15493" s="2" t="s">
        <v>11</v>
      </c>
      <c r="G15493" s="2" t="s">
        <v>13694</v>
      </c>
      <c r="H15493" s="2" t="s">
        <v>13695</v>
      </c>
    </row>
    <row r="15494" spans="1:8" ht="25.05" customHeight="1" x14ac:dyDescent="0.25">
      <c r="A15494" s="2" t="s">
        <v>8</v>
      </c>
      <c r="B15494" s="2" t="str">
        <f>HYPERLINK("http://ts.21cn.com/tousu/show/id/1347171","变相砍头息")</f>
        <v>变相砍头息</v>
      </c>
      <c r="C15494" s="2" t="s">
        <v>9</v>
      </c>
      <c r="D15494" s="2" t="s">
        <v>10</v>
      </c>
      <c r="E15494" s="2" t="str">
        <f>HYPERLINK("http://ts.21cn.com/tousu/show/id/1347171","http://ts.21cn.com/tousu/show/id/1347171")</f>
        <v>http://ts.21cn.com/tousu/show/id/1347171</v>
      </c>
      <c r="F15494" s="2" t="s">
        <v>11</v>
      </c>
      <c r="G15494" s="2" t="s">
        <v>13692</v>
      </c>
      <c r="H15494" s="2" t="s">
        <v>13693</v>
      </c>
    </row>
    <row r="15495" spans="1:8" ht="25.05" customHeight="1" x14ac:dyDescent="0.25">
      <c r="A15495" s="2" t="s">
        <v>8</v>
      </c>
      <c r="B15495" s="2" t="str">
        <f>HYPERLINK("http://ts.21cn.com/tousu/show/id/1347172","发邮件给我公司宣传我本人不良信息")</f>
        <v>发邮件给我公司宣传我本人不良信息</v>
      </c>
      <c r="C15495" s="2" t="s">
        <v>9</v>
      </c>
      <c r="D15495" s="2" t="s">
        <v>10</v>
      </c>
      <c r="E15495" s="2" t="str">
        <f>HYPERLINK("http://ts.21cn.com/tousu/show/id/1347172","http://ts.21cn.com/tousu/show/id/1347172")</f>
        <v>http://ts.21cn.com/tousu/show/id/1347172</v>
      </c>
      <c r="F15495" s="2" t="s">
        <v>11</v>
      </c>
      <c r="G15495" s="2" t="s">
        <v>13690</v>
      </c>
      <c r="H15495" s="2" t="s">
        <v>13691</v>
      </c>
    </row>
    <row r="15496" spans="1:8" ht="25.05" customHeight="1" x14ac:dyDescent="0.25">
      <c r="A15496" s="2" t="s">
        <v>8</v>
      </c>
      <c r="B15496" s="2" t="str">
        <f>HYPERLINK("http://ts.21cn.com/tousu/show/id/1347173","壹心分期套路贷收取高额砍头息")</f>
        <v>壹心分期套路贷收取高额砍头息</v>
      </c>
      <c r="C15496" s="2" t="s">
        <v>9</v>
      </c>
      <c r="D15496" s="2" t="s">
        <v>10</v>
      </c>
      <c r="E15496" s="2" t="str">
        <f>HYPERLINK("http://ts.21cn.com/tousu/show/id/1347173","http://ts.21cn.com/tousu/show/id/1347173")</f>
        <v>http://ts.21cn.com/tousu/show/id/1347173</v>
      </c>
      <c r="F15496" s="2" t="s">
        <v>11</v>
      </c>
      <c r="G15496" s="2" t="s">
        <v>13688</v>
      </c>
      <c r="H15496" s="2" t="s">
        <v>13689</v>
      </c>
    </row>
    <row r="15497" spans="1:8" ht="25.05" customHeight="1" x14ac:dyDescent="0.25">
      <c r="A15497" s="2" t="s">
        <v>8</v>
      </c>
      <c r="B15497" s="2" t="str">
        <f>HYPERLINK("http://ts.21cn.com/tousu/show/id/1347175","玖富万卡催收人员态度恶劣")</f>
        <v>玖富万卡催收人员态度恶劣</v>
      </c>
      <c r="C15497" s="2" t="s">
        <v>9</v>
      </c>
      <c r="D15497" s="2" t="s">
        <v>10</v>
      </c>
      <c r="E15497" s="2" t="str">
        <f>HYPERLINK("http://ts.21cn.com/tousu/show/id/1347175","http://ts.21cn.com/tousu/show/id/1347175")</f>
        <v>http://ts.21cn.com/tousu/show/id/1347175</v>
      </c>
      <c r="F15497" s="2" t="s">
        <v>11</v>
      </c>
      <c r="G15497" s="2" t="s">
        <v>13686</v>
      </c>
      <c r="H15497" s="2" t="s">
        <v>13687</v>
      </c>
    </row>
    <row r="15498" spans="1:8" ht="25.05" customHeight="1" x14ac:dyDescent="0.25">
      <c r="A15498" s="2" t="s">
        <v>8</v>
      </c>
      <c r="B15498" s="2" t="str">
        <f>HYPERLINK("http://ts.21cn.com/tousu/show/id/1347174","360借条机器人一天好几个电话")</f>
        <v>360借条机器人一天好几个电话</v>
      </c>
      <c r="C15498" s="2" t="s">
        <v>9</v>
      </c>
      <c r="D15498" s="2" t="s">
        <v>10</v>
      </c>
      <c r="E15498" s="2" t="str">
        <f>HYPERLINK("http://ts.21cn.com/tousu/show/id/1347174","http://ts.21cn.com/tousu/show/id/1347174")</f>
        <v>http://ts.21cn.com/tousu/show/id/1347174</v>
      </c>
      <c r="F15498" s="2" t="s">
        <v>11</v>
      </c>
      <c r="G15498" s="2" t="s">
        <v>13684</v>
      </c>
      <c r="H15498" s="2" t="s">
        <v>13685</v>
      </c>
    </row>
    <row r="15499" spans="1:8" ht="25.05" customHeight="1" x14ac:dyDescent="0.25">
      <c r="A15499" s="2" t="s">
        <v>8</v>
      </c>
      <c r="B15499" s="2" t="str">
        <f>HYPERLINK("http://ts.21cn.com/tousu/show/id/1347176","杭州贝博科技有限公司变相诱导高利贷")</f>
        <v>杭州贝博科技有限公司变相诱导高利贷</v>
      </c>
      <c r="C15499" s="2" t="s">
        <v>9</v>
      </c>
      <c r="D15499" s="2" t="s">
        <v>10</v>
      </c>
      <c r="E15499" s="2" t="str">
        <f>HYPERLINK("http://ts.21cn.com/tousu/show/id/1347176","http://ts.21cn.com/tousu/show/id/1347176")</f>
        <v>http://ts.21cn.com/tousu/show/id/1347176</v>
      </c>
      <c r="F15499" s="2" t="s">
        <v>11</v>
      </c>
      <c r="G15499" s="2" t="s">
        <v>13682</v>
      </c>
      <c r="H15499" s="2" t="s">
        <v>13683</v>
      </c>
    </row>
    <row r="15500" spans="1:8" ht="25.05" customHeight="1" x14ac:dyDescent="0.25">
      <c r="A15500" s="2" t="s">
        <v>8</v>
      </c>
      <c r="B15500" s="2" t="str">
        <f>HYPERLINK("http://ts.21cn.com/tousu/show/id/1347178","催收暴力")</f>
        <v>催收暴力</v>
      </c>
      <c r="C15500" s="2" t="s">
        <v>9</v>
      </c>
      <c r="D15500" s="2" t="s">
        <v>10</v>
      </c>
      <c r="E15500" s="2" t="str">
        <f>HYPERLINK("http://ts.21cn.com/tousu/show/id/1347178","http://ts.21cn.com/tousu/show/id/1347178")</f>
        <v>http://ts.21cn.com/tousu/show/id/1347178</v>
      </c>
      <c r="F15500" s="2" t="s">
        <v>11</v>
      </c>
      <c r="G15500" s="2" t="s">
        <v>13680</v>
      </c>
      <c r="H15500" s="2" t="s">
        <v>13681</v>
      </c>
    </row>
    <row r="15501" spans="1:8" ht="25.05" customHeight="1" x14ac:dyDescent="0.25">
      <c r="A15501" s="2" t="s">
        <v>8</v>
      </c>
      <c r="B15501" s="2" t="str">
        <f>HYPERLINK("http://ts.21cn.com/tousu/show/id/1347180","瓜子二手车集体投诉专题")</f>
        <v>瓜子二手车集体投诉专题</v>
      </c>
      <c r="C15501" s="2" t="s">
        <v>9</v>
      </c>
      <c r="D15501" s="2" t="s">
        <v>10</v>
      </c>
      <c r="E15501" s="2" t="str">
        <f>HYPERLINK("http://ts.21cn.com/tousu/show/id/1347180","http://ts.21cn.com/tousu/show/id/1347180")</f>
        <v>http://ts.21cn.com/tousu/show/id/1347180</v>
      </c>
      <c r="F15501" s="2" t="s">
        <v>11</v>
      </c>
      <c r="G15501" s="2" t="s">
        <v>13678</v>
      </c>
      <c r="H15501" s="2" t="s">
        <v>13679</v>
      </c>
    </row>
    <row r="15502" spans="1:8" ht="25.05" customHeight="1" x14ac:dyDescent="0.25">
      <c r="A15502" s="2" t="s">
        <v>8</v>
      </c>
      <c r="B15502" s="2" t="str">
        <f>HYPERLINK("http://ts.21cn.com/tousu/show/id/1347181","读秒催收电话骚扰威胁")</f>
        <v>读秒催收电话骚扰威胁</v>
      </c>
      <c r="C15502" s="2" t="s">
        <v>9</v>
      </c>
      <c r="D15502" s="2" t="s">
        <v>10</v>
      </c>
      <c r="E15502" s="2" t="str">
        <f>HYPERLINK("http://ts.21cn.com/tousu/show/id/1347181","http://ts.21cn.com/tousu/show/id/1347181")</f>
        <v>http://ts.21cn.com/tousu/show/id/1347181</v>
      </c>
      <c r="F15502" s="2" t="s">
        <v>11</v>
      </c>
      <c r="G15502" s="2" t="s">
        <v>13676</v>
      </c>
      <c r="H15502" s="2" t="s">
        <v>13677</v>
      </c>
    </row>
    <row r="15503" spans="1:8" ht="25.05" customHeight="1" x14ac:dyDescent="0.25">
      <c r="A15503" s="2" t="s">
        <v>8</v>
      </c>
      <c r="B15503" s="2" t="str">
        <f>HYPERLINK("http://ts.21cn.com/tousu/show/id/1347182","聚富分期合同欺诈，私自扣款")</f>
        <v>聚富分期合同欺诈，私自扣款</v>
      </c>
      <c r="C15503" s="2" t="s">
        <v>9</v>
      </c>
      <c r="D15503" s="2" t="s">
        <v>10</v>
      </c>
      <c r="E15503" s="2" t="str">
        <f>HYPERLINK("http://ts.21cn.com/tousu/show/id/1347182","http://ts.21cn.com/tousu/show/id/1347182")</f>
        <v>http://ts.21cn.com/tousu/show/id/1347182</v>
      </c>
      <c r="F15503" s="2" t="s">
        <v>11</v>
      </c>
      <c r="G15503" s="2" t="s">
        <v>13674</v>
      </c>
      <c r="H15503" s="2" t="s">
        <v>13675</v>
      </c>
    </row>
    <row r="15504" spans="1:8" ht="25.05" customHeight="1" x14ac:dyDescent="0.25">
      <c r="A15504" s="2" t="s">
        <v>8</v>
      </c>
      <c r="B15504" s="2" t="str">
        <f>HYPERLINK("http://ts.21cn.com/tousu/show/id/1347183","悦如公寓押金一直不退")</f>
        <v>悦如公寓押金一直不退</v>
      </c>
      <c r="C15504" s="2" t="s">
        <v>9</v>
      </c>
      <c r="D15504" s="2" t="s">
        <v>10</v>
      </c>
      <c r="E15504" s="2" t="str">
        <f>HYPERLINK("http://ts.21cn.com/tousu/show/id/1347183","http://ts.21cn.com/tousu/show/id/1347183")</f>
        <v>http://ts.21cn.com/tousu/show/id/1347183</v>
      </c>
      <c r="F15504" s="2" t="s">
        <v>11</v>
      </c>
      <c r="G15504" s="2" t="s">
        <v>13672</v>
      </c>
      <c r="H15504" s="2" t="s">
        <v>13673</v>
      </c>
    </row>
    <row r="15505" spans="1:8" ht="25.05" customHeight="1" x14ac:dyDescent="0.25">
      <c r="A15505" s="2" t="s">
        <v>8</v>
      </c>
      <c r="B15505" s="2" t="str">
        <f>HYPERLINK("http://ts.21cn.com/tousu/show/id/1347184","捷信非法催收")</f>
        <v>捷信非法催收</v>
      </c>
      <c r="C15505" s="2" t="s">
        <v>9</v>
      </c>
      <c r="D15505" s="2" t="s">
        <v>10</v>
      </c>
      <c r="E15505" s="2" t="str">
        <f>HYPERLINK("http://ts.21cn.com/tousu/show/id/1347184","http://ts.21cn.com/tousu/show/id/1347184")</f>
        <v>http://ts.21cn.com/tousu/show/id/1347184</v>
      </c>
      <c r="F15505" s="2" t="s">
        <v>11</v>
      </c>
      <c r="G15505" s="2" t="s">
        <v>13670</v>
      </c>
      <c r="H15505" s="2" t="s">
        <v>13671</v>
      </c>
    </row>
    <row r="15506" spans="1:8" ht="25.05" customHeight="1" x14ac:dyDescent="0.25">
      <c r="A15506" s="2" t="s">
        <v>8</v>
      </c>
      <c r="B15506" s="2" t="str">
        <f>HYPERLINK("http://ts.21cn.com/tousu/show/id/1347185","暴力威胁催收")</f>
        <v>暴力威胁催收</v>
      </c>
      <c r="C15506" s="2" t="s">
        <v>9</v>
      </c>
      <c r="D15506" s="2" t="s">
        <v>10</v>
      </c>
      <c r="E15506" s="2" t="str">
        <f>HYPERLINK("http://ts.21cn.com/tousu/show/id/1347185","http://ts.21cn.com/tousu/show/id/1347185")</f>
        <v>http://ts.21cn.com/tousu/show/id/1347185</v>
      </c>
      <c r="F15506" s="2" t="s">
        <v>11</v>
      </c>
      <c r="G15506" s="2" t="s">
        <v>13668</v>
      </c>
      <c r="H15506" s="2" t="s">
        <v>13669</v>
      </c>
    </row>
    <row r="15507" spans="1:8" ht="25.05" customHeight="1" x14ac:dyDescent="0.25">
      <c r="A15507" s="2" t="s">
        <v>8</v>
      </c>
      <c r="B15507" s="2" t="str">
        <f>HYPERLINK("http://ts.21cn.com/tousu/show/id/1347186","唯品会投诉专题")</f>
        <v>唯品会投诉专题</v>
      </c>
      <c r="C15507" s="2" t="s">
        <v>9</v>
      </c>
      <c r="D15507" s="2" t="s">
        <v>10</v>
      </c>
      <c r="E15507" s="2" t="str">
        <f>HYPERLINK("http://ts.21cn.com/tousu/show/id/1347186","http://ts.21cn.com/tousu/show/id/1347186")</f>
        <v>http://ts.21cn.com/tousu/show/id/1347186</v>
      </c>
      <c r="F15507" s="2" t="s">
        <v>11</v>
      </c>
      <c r="G15507" s="2" t="s">
        <v>13666</v>
      </c>
      <c r="H15507" s="2" t="s">
        <v>13667</v>
      </c>
    </row>
    <row r="15508" spans="1:8" ht="25.05" customHeight="1" x14ac:dyDescent="0.25">
      <c r="A15508" s="2" t="s">
        <v>8</v>
      </c>
      <c r="B15508" s="2" t="str">
        <f>HYPERLINK("http://ts.21cn.com/tousu/show/id/1347187","中信银行第三方电话上门骚扰")</f>
        <v>中信银行第三方电话上门骚扰</v>
      </c>
      <c r="C15508" s="2" t="s">
        <v>9</v>
      </c>
      <c r="D15508" s="2" t="s">
        <v>10</v>
      </c>
      <c r="E15508" s="2" t="str">
        <f>HYPERLINK("http://ts.21cn.com/tousu/show/id/1347187","http://ts.21cn.com/tousu/show/id/1347187")</f>
        <v>http://ts.21cn.com/tousu/show/id/1347187</v>
      </c>
      <c r="F15508" s="2" t="s">
        <v>11</v>
      </c>
      <c r="G15508" s="2" t="s">
        <v>13664</v>
      </c>
      <c r="H15508" s="2" t="s">
        <v>13665</v>
      </c>
    </row>
    <row r="15509" spans="1:8" ht="25.05" customHeight="1" x14ac:dyDescent="0.25">
      <c r="A15509" s="2" t="s">
        <v>8</v>
      </c>
      <c r="B15509" s="2" t="str">
        <f>HYPERLINK("http://ts.21cn.com/tousu/show/id/1347188","51信用卡即可有利息太高")</f>
        <v>51信用卡即可有利息太高</v>
      </c>
      <c r="C15509" s="2" t="s">
        <v>34</v>
      </c>
      <c r="D15509" s="2" t="s">
        <v>10</v>
      </c>
      <c r="E15509" s="2" t="str">
        <f>HYPERLINK("http://ts.21cn.com/tousu/show/id/1347188","http://ts.21cn.com/tousu/show/id/1347188")</f>
        <v>http://ts.21cn.com/tousu/show/id/1347188</v>
      </c>
      <c r="F15509" s="2" t="s">
        <v>11</v>
      </c>
      <c r="G15509" s="2" t="s">
        <v>13662</v>
      </c>
      <c r="H15509" s="2" t="s">
        <v>13663</v>
      </c>
    </row>
    <row r="15510" spans="1:8" ht="25.05" customHeight="1" x14ac:dyDescent="0.25">
      <c r="A15510" s="2" t="s">
        <v>8</v>
      </c>
      <c r="B15510" s="2" t="str">
        <f>HYPERLINK("http://ts.21cn.com/tousu/show/id/1347189","my钱包恶意催收")</f>
        <v>my钱包恶意催收</v>
      </c>
      <c r="C15510" s="2" t="s">
        <v>9</v>
      </c>
      <c r="D15510" s="2" t="s">
        <v>10</v>
      </c>
      <c r="E15510" s="2" t="str">
        <f>HYPERLINK("http://ts.21cn.com/tousu/show/id/1347189","http://ts.21cn.com/tousu/show/id/1347189")</f>
        <v>http://ts.21cn.com/tousu/show/id/1347189</v>
      </c>
      <c r="F15510" s="2" t="s">
        <v>11</v>
      </c>
      <c r="G15510" s="2" t="s">
        <v>13660</v>
      </c>
      <c r="H15510" s="2" t="s">
        <v>13661</v>
      </c>
    </row>
    <row r="15511" spans="1:8" ht="25.05" customHeight="1" x14ac:dyDescent="0.25">
      <c r="A15511" s="2" t="s">
        <v>8</v>
      </c>
      <c r="B15511" s="2" t="str">
        <f>HYPERLINK("http://ts.21cn.com/tousu/show/id/1347190","语言侮辱，骚扰")</f>
        <v>语言侮辱，骚扰</v>
      </c>
      <c r="C15511" s="2" t="s">
        <v>9</v>
      </c>
      <c r="D15511" s="2" t="s">
        <v>10</v>
      </c>
      <c r="E15511" s="2" t="str">
        <f>HYPERLINK("http://ts.21cn.com/tousu/show/id/1347190","http://ts.21cn.com/tousu/show/id/1347190")</f>
        <v>http://ts.21cn.com/tousu/show/id/1347190</v>
      </c>
      <c r="F15511" s="2" t="s">
        <v>11</v>
      </c>
      <c r="G15511" s="2" t="s">
        <v>13658</v>
      </c>
      <c r="H15511" s="2" t="s">
        <v>13659</v>
      </c>
    </row>
    <row r="15512" spans="1:8" ht="25.05" customHeight="1" x14ac:dyDescent="0.25">
      <c r="A15512" s="2" t="s">
        <v>8</v>
      </c>
      <c r="B15512" s="2" t="str">
        <f>HYPERLINK("http://ts.21cn.com/tousu/show/id/1347191","花薪猫假意协商，撤诉后依旧催收，态度恶劣")</f>
        <v>花薪猫假意协商，撤诉后依旧催收，态度恶劣</v>
      </c>
      <c r="C15512" s="2" t="s">
        <v>9</v>
      </c>
      <c r="D15512" s="2" t="s">
        <v>10</v>
      </c>
      <c r="E15512" s="2" t="str">
        <f>HYPERLINK("http://ts.21cn.com/tousu/show/id/1347191","http://ts.21cn.com/tousu/show/id/1347191")</f>
        <v>http://ts.21cn.com/tousu/show/id/1347191</v>
      </c>
      <c r="F15512" s="2" t="s">
        <v>11</v>
      </c>
      <c r="G15512" s="2" t="s">
        <v>13656</v>
      </c>
      <c r="H15512" s="2" t="s">
        <v>13657</v>
      </c>
    </row>
    <row r="15513" spans="1:8" ht="25.05" customHeight="1" x14ac:dyDescent="0.25">
      <c r="A15513" s="2" t="s">
        <v>8</v>
      </c>
      <c r="B15513" s="2" t="str">
        <f>HYPERLINK("http://ts.21cn.com/tousu/show/id/1347193","捷信消费金融有限公司总是打骚扰电话")</f>
        <v>捷信消费金融有限公司总是打骚扰电话</v>
      </c>
      <c r="C15513" s="2" t="s">
        <v>9</v>
      </c>
      <c r="D15513" s="2" t="s">
        <v>10</v>
      </c>
      <c r="E15513" s="2" t="str">
        <f>HYPERLINK("http://ts.21cn.com/tousu/show/id/1347193","http://ts.21cn.com/tousu/show/id/1347193")</f>
        <v>http://ts.21cn.com/tousu/show/id/1347193</v>
      </c>
      <c r="F15513" s="2" t="s">
        <v>11</v>
      </c>
      <c r="G15513" s="2" t="s">
        <v>13654</v>
      </c>
      <c r="H15513" s="2" t="s">
        <v>13655</v>
      </c>
    </row>
    <row r="15514" spans="1:8" ht="25.05" customHeight="1" x14ac:dyDescent="0.25">
      <c r="A15514" s="2" t="s">
        <v>8</v>
      </c>
      <c r="B15514" s="2" t="str">
        <f>HYPERLINK("http://ts.21cn.com/tousu/show/id/1347030","为不良公司提供结算")</f>
        <v>为不良公司提供结算</v>
      </c>
      <c r="C15514" s="2" t="s">
        <v>9</v>
      </c>
      <c r="D15514" s="2" t="s">
        <v>10</v>
      </c>
      <c r="E15514" s="2" t="str">
        <f>HYPERLINK("http://ts.21cn.com/tousu/show/id/1347030","http://ts.21cn.com/tousu/show/id/1347030")</f>
        <v>http://ts.21cn.com/tousu/show/id/1347030</v>
      </c>
      <c r="F15514" s="2" t="s">
        <v>11</v>
      </c>
      <c r="G15514" s="2" t="s">
        <v>13652</v>
      </c>
      <c r="H15514" s="2" t="s">
        <v>13653</v>
      </c>
    </row>
    <row r="15515" spans="1:8" ht="25.05" customHeight="1" x14ac:dyDescent="0.25">
      <c r="A15515" s="2" t="s">
        <v>8</v>
      </c>
      <c r="B15515" s="2" t="str">
        <f>HYPERLINK("http://ts.21cn.com/tousu/show/id/1347192","马上消费金融暴力催收")</f>
        <v>马上消费金融暴力催收</v>
      </c>
      <c r="C15515" s="2" t="s">
        <v>9</v>
      </c>
      <c r="D15515" s="2" t="s">
        <v>10</v>
      </c>
      <c r="E15515" s="2" t="str">
        <f>HYPERLINK("http://ts.21cn.com/tousu/show/id/1347192","http://ts.21cn.com/tousu/show/id/1347192")</f>
        <v>http://ts.21cn.com/tousu/show/id/1347192</v>
      </c>
      <c r="F15515" s="2" t="s">
        <v>11</v>
      </c>
      <c r="G15515" s="2" t="s">
        <v>13650</v>
      </c>
      <c r="H15515" s="2" t="s">
        <v>13651</v>
      </c>
    </row>
    <row r="15516" spans="1:8" ht="25.05" customHeight="1" x14ac:dyDescent="0.25">
      <c r="A15516" s="2" t="s">
        <v>8</v>
      </c>
      <c r="B15516" s="2" t="str">
        <f>HYPERLINK("http://ts.21cn.com/tousu/show/id/1347195","暴力催收")</f>
        <v>暴力催收</v>
      </c>
      <c r="C15516" s="2" t="s">
        <v>9</v>
      </c>
      <c r="D15516" s="2" t="s">
        <v>10</v>
      </c>
      <c r="E15516" s="2" t="str">
        <f>HYPERLINK("http://ts.21cn.com/tousu/show/id/1347195","http://ts.21cn.com/tousu/show/id/1347195")</f>
        <v>http://ts.21cn.com/tousu/show/id/1347195</v>
      </c>
      <c r="F15516" s="2" t="s">
        <v>11</v>
      </c>
      <c r="G15516" s="2" t="s">
        <v>13648</v>
      </c>
      <c r="H15516" s="2" t="s">
        <v>13649</v>
      </c>
    </row>
    <row r="15517" spans="1:8" ht="25.05" customHeight="1" x14ac:dyDescent="0.25">
      <c r="A15517" s="2" t="s">
        <v>8</v>
      </c>
      <c r="B15517" s="2" t="str">
        <f>HYPERLINK("http://ts.21cn.com/tousu/show/id/1347196","畅捷支付与非法商户套路贷，高利贷，砍头息")</f>
        <v>畅捷支付与非法商户套路贷，高利贷，砍头息</v>
      </c>
      <c r="C15517" s="2" t="s">
        <v>9</v>
      </c>
      <c r="D15517" s="2" t="s">
        <v>10</v>
      </c>
      <c r="E15517" s="2" t="str">
        <f>HYPERLINK("http://ts.21cn.com/tousu/show/id/1347196","http://ts.21cn.com/tousu/show/id/1347196")</f>
        <v>http://ts.21cn.com/tousu/show/id/1347196</v>
      </c>
      <c r="F15517" s="2" t="s">
        <v>11</v>
      </c>
      <c r="G15517" s="2" t="s">
        <v>13646</v>
      </c>
      <c r="H15517" s="2" t="s">
        <v>13647</v>
      </c>
    </row>
    <row r="15518" spans="1:8" ht="25.05" customHeight="1" x14ac:dyDescent="0.25">
      <c r="A15518" s="2" t="s">
        <v>8</v>
      </c>
      <c r="B15518" s="2" t="str">
        <f>HYPERLINK("http://ts.21cn.com/tousu/show/id/1347197","转转卡券回收1500元没有到账")</f>
        <v>转转卡券回收1500元没有到账</v>
      </c>
      <c r="C15518" s="2" t="s">
        <v>34</v>
      </c>
      <c r="D15518" s="2" t="s">
        <v>10</v>
      </c>
      <c r="E15518" s="2" t="str">
        <f>HYPERLINK("http://ts.21cn.com/tousu/show/id/1347197","http://ts.21cn.com/tousu/show/id/1347197")</f>
        <v>http://ts.21cn.com/tousu/show/id/1347197</v>
      </c>
      <c r="F15518" s="2" t="s">
        <v>11</v>
      </c>
      <c r="G15518" s="2" t="s">
        <v>13644</v>
      </c>
      <c r="H15518" s="2" t="s">
        <v>13645</v>
      </c>
    </row>
    <row r="15519" spans="1:8" ht="25.05" customHeight="1" x14ac:dyDescent="0.25">
      <c r="A15519" s="2" t="s">
        <v>8</v>
      </c>
      <c r="B15519" s="2" t="str">
        <f>HYPERLINK("http://ts.21cn.com/tousu/show/id/1347198","多宝分期，高炮高息，")</f>
        <v>多宝分期，高炮高息，</v>
      </c>
      <c r="C15519" s="2" t="s">
        <v>34</v>
      </c>
      <c r="D15519" s="2" t="s">
        <v>10</v>
      </c>
      <c r="E15519" s="2" t="str">
        <f>HYPERLINK("http://ts.21cn.com/tousu/show/id/1347198","http://ts.21cn.com/tousu/show/id/1347198")</f>
        <v>http://ts.21cn.com/tousu/show/id/1347198</v>
      </c>
      <c r="F15519" s="2" t="s">
        <v>11</v>
      </c>
      <c r="G15519" s="2" t="s">
        <v>13642</v>
      </c>
      <c r="H15519" s="2" t="s">
        <v>13643</v>
      </c>
    </row>
    <row r="15520" spans="1:8" ht="25.05" customHeight="1" x14ac:dyDescent="0.25">
      <c r="A15520" s="2" t="s">
        <v>8</v>
      </c>
      <c r="B15520" s="2" t="str">
        <f>HYPERLINK("http://ts.21cn.com/tousu/show/id/1347199","51人品贷暴力催收")</f>
        <v>51人品贷暴力催收</v>
      </c>
      <c r="C15520" s="2" t="s">
        <v>9</v>
      </c>
      <c r="D15520" s="2" t="s">
        <v>10</v>
      </c>
      <c r="E15520" s="2" t="str">
        <f>HYPERLINK("http://ts.21cn.com/tousu/show/id/1347199","http://ts.21cn.com/tousu/show/id/1347199")</f>
        <v>http://ts.21cn.com/tousu/show/id/1347199</v>
      </c>
      <c r="F15520" s="2" t="s">
        <v>11</v>
      </c>
      <c r="G15520" s="2" t="s">
        <v>13640</v>
      </c>
      <c r="H15520" s="2" t="s">
        <v>13641</v>
      </c>
    </row>
    <row r="15521" spans="1:8" ht="25.05" customHeight="1" x14ac:dyDescent="0.25">
      <c r="A15521" s="2" t="s">
        <v>8</v>
      </c>
      <c r="B15521" s="2" t="str">
        <f>HYPERLINK("http://ts.21cn.com/tousu/show/id/1347202","暴力催收电话骚扰")</f>
        <v>暴力催收电话骚扰</v>
      </c>
      <c r="C15521" s="2" t="s">
        <v>9</v>
      </c>
      <c r="D15521" s="2" t="s">
        <v>10</v>
      </c>
      <c r="E15521" s="2" t="str">
        <f>HYPERLINK("http://ts.21cn.com/tousu/show/id/1347202","http://ts.21cn.com/tousu/show/id/1347202")</f>
        <v>http://ts.21cn.com/tousu/show/id/1347202</v>
      </c>
      <c r="F15521" s="2" t="s">
        <v>11</v>
      </c>
      <c r="G15521" s="2" t="s">
        <v>13638</v>
      </c>
      <c r="H15521" s="2" t="s">
        <v>13639</v>
      </c>
    </row>
    <row r="15522" spans="1:8" ht="25.05" customHeight="1" x14ac:dyDescent="0.25">
      <c r="A15522" s="2" t="s">
        <v>8</v>
      </c>
      <c r="B15522" s="2" t="str">
        <f>HYPERLINK("http://ts.21cn.com/tousu/show/id/1347201","你我贷暴力催收")</f>
        <v>你我贷暴力催收</v>
      </c>
      <c r="C15522" s="2" t="s">
        <v>9</v>
      </c>
      <c r="D15522" s="2" t="s">
        <v>10</v>
      </c>
      <c r="E15522" s="2" t="str">
        <f>HYPERLINK("http://ts.21cn.com/tousu/show/id/1347201","http://ts.21cn.com/tousu/show/id/1347201")</f>
        <v>http://ts.21cn.com/tousu/show/id/1347201</v>
      </c>
      <c r="F15522" s="2" t="s">
        <v>11</v>
      </c>
      <c r="G15522" s="2" t="s">
        <v>13636</v>
      </c>
      <c r="H15522" s="2" t="s">
        <v>13637</v>
      </c>
    </row>
    <row r="15523" spans="1:8" ht="25.05" customHeight="1" x14ac:dyDescent="0.25">
      <c r="A15523" s="2" t="s">
        <v>8</v>
      </c>
      <c r="B15523" s="2" t="str">
        <f>HYPERLINK("http://ts.21cn.com/tousu/show/id/1347203","翼钱包爆通讯录，现在国家打击套路贷高利贷的时候他们依然的进行黑恶势力。")</f>
        <v>翼钱包爆通讯录，现在国家打击套路贷高利贷的时候他们依然的进行黑恶势力。</v>
      </c>
      <c r="C15523" s="2" t="s">
        <v>9</v>
      </c>
      <c r="D15523" s="2" t="s">
        <v>10</v>
      </c>
      <c r="E15523" s="2" t="str">
        <f>HYPERLINK("http://ts.21cn.com/tousu/show/id/1347203","http://ts.21cn.com/tousu/show/id/1347203")</f>
        <v>http://ts.21cn.com/tousu/show/id/1347203</v>
      </c>
      <c r="F15523" s="2" t="s">
        <v>11</v>
      </c>
      <c r="G15523" s="2" t="s">
        <v>13634</v>
      </c>
      <c r="H15523" s="2" t="s">
        <v>13635</v>
      </c>
    </row>
    <row r="15524" spans="1:8" ht="25.05" customHeight="1" x14ac:dyDescent="0.25">
      <c r="A15524" s="2" t="s">
        <v>8</v>
      </c>
      <c r="B15524" s="2" t="str">
        <f>HYPERLINK("http://ts.21cn.com/tousu/show/id/1347205","爱钱进北京信息科技")</f>
        <v>爱钱进北京信息科技</v>
      </c>
      <c r="C15524" s="2" t="s">
        <v>9</v>
      </c>
      <c r="D15524" s="2" t="s">
        <v>10</v>
      </c>
      <c r="E15524" s="2" t="str">
        <f>HYPERLINK("http://ts.21cn.com/tousu/show/id/1347205","http://ts.21cn.com/tousu/show/id/1347205")</f>
        <v>http://ts.21cn.com/tousu/show/id/1347205</v>
      </c>
      <c r="F15524" s="2" t="s">
        <v>11</v>
      </c>
      <c r="G15524" s="2" t="s">
        <v>13632</v>
      </c>
      <c r="H15524" s="2" t="s">
        <v>13633</v>
      </c>
    </row>
    <row r="15525" spans="1:8" ht="25.05" customHeight="1" x14ac:dyDescent="0.25">
      <c r="A15525" s="2" t="s">
        <v>8</v>
      </c>
      <c r="B15525" s="2" t="str">
        <f>HYPERLINK("http://ts.21cn.com/tousu/show/id/1347206","交易猫退款失败，钱未入账")</f>
        <v>交易猫退款失败，钱未入账</v>
      </c>
      <c r="C15525" s="2" t="s">
        <v>34</v>
      </c>
      <c r="D15525" s="2" t="s">
        <v>10</v>
      </c>
      <c r="E15525" s="2" t="str">
        <f>HYPERLINK("http://ts.21cn.com/tousu/show/id/1347206","http://ts.21cn.com/tousu/show/id/1347206")</f>
        <v>http://ts.21cn.com/tousu/show/id/1347206</v>
      </c>
      <c r="F15525" s="2" t="s">
        <v>11</v>
      </c>
      <c r="G15525" s="2" t="s">
        <v>13630</v>
      </c>
      <c r="H15525" s="2" t="s">
        <v>13631</v>
      </c>
    </row>
    <row r="15526" spans="1:8" ht="25.05" customHeight="1" x14ac:dyDescent="0.25">
      <c r="A15526" s="2" t="s">
        <v>8</v>
      </c>
      <c r="B15526" s="2" t="str">
        <f>HYPERLINK("http://ts.21cn.com/tousu/show/id/1347207","武汉韵达快递物品丢失拒不赔付")</f>
        <v>武汉韵达快递物品丢失拒不赔付</v>
      </c>
      <c r="C15526" s="2" t="s">
        <v>9</v>
      </c>
      <c r="D15526" s="2" t="s">
        <v>10</v>
      </c>
      <c r="E15526" s="2" t="str">
        <f>HYPERLINK("http://ts.21cn.com/tousu/show/id/1347207","http://ts.21cn.com/tousu/show/id/1347207")</f>
        <v>http://ts.21cn.com/tousu/show/id/1347207</v>
      </c>
      <c r="F15526" s="2" t="s">
        <v>11</v>
      </c>
      <c r="G15526" s="2" t="s">
        <v>13628</v>
      </c>
      <c r="H15526" s="2" t="s">
        <v>13629</v>
      </c>
    </row>
    <row r="15527" spans="1:8" ht="25.05" customHeight="1" x14ac:dyDescent="0.25">
      <c r="A15527" s="2" t="s">
        <v>8</v>
      </c>
      <c r="B15527" s="2" t="str">
        <f>HYPERLINK("http://ts.21cn.com/tousu/show/id/1347208","小浦优客擅自扣除银行卡钱")</f>
        <v>小浦优客擅自扣除银行卡钱</v>
      </c>
      <c r="C15527" s="2" t="s">
        <v>9</v>
      </c>
      <c r="D15527" s="2" t="s">
        <v>10</v>
      </c>
      <c r="E15527" s="2" t="str">
        <f>HYPERLINK("http://ts.21cn.com/tousu/show/id/1347208","http://ts.21cn.com/tousu/show/id/1347208")</f>
        <v>http://ts.21cn.com/tousu/show/id/1347208</v>
      </c>
      <c r="F15527" s="2" t="s">
        <v>11</v>
      </c>
      <c r="G15527" s="2" t="s">
        <v>13626</v>
      </c>
      <c r="H15527" s="2" t="s">
        <v>13627</v>
      </c>
    </row>
    <row r="15528" spans="1:8" ht="25.05" customHeight="1" x14ac:dyDescent="0.25">
      <c r="A15528" s="2" t="s">
        <v>8</v>
      </c>
      <c r="B15528" s="2" t="str">
        <f>HYPERLINK("http://ts.21cn.com/tousu/show/id/1347209","四季钱庄")</f>
        <v>四季钱庄</v>
      </c>
      <c r="C15528" s="2" t="s">
        <v>9</v>
      </c>
      <c r="D15528" s="2" t="s">
        <v>10</v>
      </c>
      <c r="E15528" s="2" t="str">
        <f>HYPERLINK("http://ts.21cn.com/tousu/show/id/1347209","http://ts.21cn.com/tousu/show/id/1347209")</f>
        <v>http://ts.21cn.com/tousu/show/id/1347209</v>
      </c>
      <c r="F15528" s="2" t="s">
        <v>11</v>
      </c>
      <c r="G15528" s="2" t="s">
        <v>13624</v>
      </c>
      <c r="H15528" s="2" t="s">
        <v>13625</v>
      </c>
    </row>
    <row r="15529" spans="1:8" ht="25.05" customHeight="1" x14ac:dyDescent="0.25">
      <c r="A15529" s="2" t="s">
        <v>8</v>
      </c>
      <c r="B15529" s="2" t="str">
        <f>HYPERLINK("http://ts.21cn.com/tousu/show/id/1347211","友信高额砍头息")</f>
        <v>友信高额砍头息</v>
      </c>
      <c r="C15529" s="2" t="s">
        <v>34</v>
      </c>
      <c r="D15529" s="2" t="s">
        <v>10</v>
      </c>
      <c r="E15529" s="2" t="str">
        <f>HYPERLINK("http://ts.21cn.com/tousu/show/id/1347211","http://ts.21cn.com/tousu/show/id/1347211")</f>
        <v>http://ts.21cn.com/tousu/show/id/1347211</v>
      </c>
      <c r="F15529" s="2" t="s">
        <v>11</v>
      </c>
      <c r="G15529" s="2" t="s">
        <v>13622</v>
      </c>
      <c r="H15529" s="2" t="s">
        <v>13623</v>
      </c>
    </row>
    <row r="15530" spans="1:8" ht="25.05" customHeight="1" x14ac:dyDescent="0.25">
      <c r="A15530" s="2" t="s">
        <v>8</v>
      </c>
      <c r="B15530" s="2" t="str">
        <f>HYPERLINK("http://ts.21cn.com/tousu/show/id/1347213","及贷不了解借款人信息，本人跟借款人都不认识，及贷老是打电话来说“你是不是某某人老婆”而且暴力语言侮辱")</f>
        <v>及贷不了解借款人信息，本人跟借款人都不认识，及贷老是打电话来说“你是不是某某人老婆”而且暴力语言侮辱</v>
      </c>
      <c r="C15530" s="2" t="s">
        <v>9</v>
      </c>
      <c r="D15530" s="2" t="s">
        <v>10</v>
      </c>
      <c r="E15530" s="2" t="str">
        <f>HYPERLINK("http://ts.21cn.com/tousu/show/id/1347213","http://ts.21cn.com/tousu/show/id/1347213")</f>
        <v>http://ts.21cn.com/tousu/show/id/1347213</v>
      </c>
      <c r="F15530" s="2" t="s">
        <v>11</v>
      </c>
      <c r="G15530" s="2" t="s">
        <v>13621</v>
      </c>
      <c r="H15530" s="2" t="s">
        <v>160</v>
      </c>
    </row>
    <row r="15531" spans="1:8" ht="25.05" customHeight="1" x14ac:dyDescent="0.25">
      <c r="A15531" s="2" t="s">
        <v>8</v>
      </c>
      <c r="B15531" s="2" t="str">
        <f>HYPERLINK("http://ts.21cn.com/tousu/show/id/1347214","非法扣款")</f>
        <v>非法扣款</v>
      </c>
      <c r="C15531" s="2" t="s">
        <v>9</v>
      </c>
      <c r="D15531" s="2" t="s">
        <v>10</v>
      </c>
      <c r="E15531" s="2" t="str">
        <f>HYPERLINK("http://ts.21cn.com/tousu/show/id/1347214","http://ts.21cn.com/tousu/show/id/1347214")</f>
        <v>http://ts.21cn.com/tousu/show/id/1347214</v>
      </c>
      <c r="F15531" s="2" t="s">
        <v>11</v>
      </c>
      <c r="G15531" s="2" t="s">
        <v>13619</v>
      </c>
      <c r="H15531" s="2" t="s">
        <v>13620</v>
      </c>
    </row>
    <row r="15532" spans="1:8" ht="25.05" customHeight="1" x14ac:dyDescent="0.25">
      <c r="A15532" s="2" t="s">
        <v>8</v>
      </c>
      <c r="B15532" s="2" t="str">
        <f>HYPERLINK("http://ts.21cn.com/tousu/show/id/1347215","苏宁催收骂人恐吓")</f>
        <v>苏宁催收骂人恐吓</v>
      </c>
      <c r="C15532" s="2" t="s">
        <v>9</v>
      </c>
      <c r="D15532" s="2" t="s">
        <v>10</v>
      </c>
      <c r="E15532" s="2" t="str">
        <f>HYPERLINK("http://ts.21cn.com/tousu/show/id/1347215","http://ts.21cn.com/tousu/show/id/1347215")</f>
        <v>http://ts.21cn.com/tousu/show/id/1347215</v>
      </c>
      <c r="F15532" s="2" t="s">
        <v>11</v>
      </c>
      <c r="G15532" s="2" t="s">
        <v>13617</v>
      </c>
      <c r="H15532" s="2" t="s">
        <v>13618</v>
      </c>
    </row>
    <row r="15533" spans="1:8" ht="25.05" customHeight="1" x14ac:dyDescent="0.25">
      <c r="A15533" s="2" t="s">
        <v>8</v>
      </c>
      <c r="B15533" s="2" t="str">
        <f>HYPERLINK("http://ts.21cn.com/tousu/show/id/1347217","京东白条不停打电话，还威胁来家里")</f>
        <v>京东白条不停打电话，还威胁来家里</v>
      </c>
      <c r="C15533" s="2" t="s">
        <v>9</v>
      </c>
      <c r="D15533" s="2" t="s">
        <v>10</v>
      </c>
      <c r="E15533" s="2" t="str">
        <f>HYPERLINK("http://ts.21cn.com/tousu/show/id/1347217","http://ts.21cn.com/tousu/show/id/1347217")</f>
        <v>http://ts.21cn.com/tousu/show/id/1347217</v>
      </c>
      <c r="F15533" s="2" t="s">
        <v>11</v>
      </c>
      <c r="G15533" s="2" t="s">
        <v>13615</v>
      </c>
      <c r="H15533" s="2" t="s">
        <v>13616</v>
      </c>
    </row>
    <row r="15534" spans="1:8" ht="25.05" customHeight="1" x14ac:dyDescent="0.25">
      <c r="A15534" s="2" t="s">
        <v>8</v>
      </c>
      <c r="B15534" s="2" t="str">
        <f>HYPERLINK("http://ts.21cn.com/tousu/show/id/1347216","在闪银的闪豆借款1000元，需要提前够买一个268元的购物费，才能通过，属于高额砍头息")</f>
        <v>在闪银的闪豆借款1000元，需要提前够买一个268元的购物费，才能通过，属于高额砍头息</v>
      </c>
      <c r="C15534" s="2" t="s">
        <v>34</v>
      </c>
      <c r="D15534" s="2" t="s">
        <v>10</v>
      </c>
      <c r="E15534" s="2" t="str">
        <f>HYPERLINK("http://ts.21cn.com/tousu/show/id/1347216","http://ts.21cn.com/tousu/show/id/1347216")</f>
        <v>http://ts.21cn.com/tousu/show/id/1347216</v>
      </c>
      <c r="F15534" s="2" t="s">
        <v>11</v>
      </c>
      <c r="G15534" s="2" t="s">
        <v>13613</v>
      </c>
      <c r="H15534" s="2" t="s">
        <v>13614</v>
      </c>
    </row>
    <row r="15535" spans="1:8" ht="25.05" customHeight="1" x14ac:dyDescent="0.25">
      <c r="A15535" s="2" t="s">
        <v>8</v>
      </c>
      <c r="B15535" s="2" t="str">
        <f>HYPERLINK("http://ts.21cn.com/tousu/show/id/1347218","砍头息服务费")</f>
        <v>砍头息服务费</v>
      </c>
      <c r="C15535" s="2" t="s">
        <v>34</v>
      </c>
      <c r="D15535" s="2" t="s">
        <v>10</v>
      </c>
      <c r="E15535" s="2" t="str">
        <f>HYPERLINK("http://ts.21cn.com/tousu/show/id/1347218","http://ts.21cn.com/tousu/show/id/1347218")</f>
        <v>http://ts.21cn.com/tousu/show/id/1347218</v>
      </c>
      <c r="F15535" s="2" t="s">
        <v>11</v>
      </c>
      <c r="G15535" s="2" t="s">
        <v>13611</v>
      </c>
      <c r="H15535" s="2" t="s">
        <v>13612</v>
      </c>
    </row>
    <row r="15536" spans="1:8" ht="25.05" customHeight="1" x14ac:dyDescent="0.25">
      <c r="A15536" s="2" t="s">
        <v>8</v>
      </c>
      <c r="B15536" s="2" t="str">
        <f>HYPERLINK("http://ts.21cn.com/tousu/show/id/1344797","，银联，云闪付，支付宝，拼多多为不良平台提供不良通道")</f>
        <v>，银联，云闪付，支付宝，拼多多为不良平台提供不良通道</v>
      </c>
      <c r="C15536" s="2" t="s">
        <v>9</v>
      </c>
      <c r="D15536" s="2" t="s">
        <v>10</v>
      </c>
      <c r="E15536" s="2" t="str">
        <f>HYPERLINK("http://ts.21cn.com/tousu/show/id/1344797","http://ts.21cn.com/tousu/show/id/1344797")</f>
        <v>http://ts.21cn.com/tousu/show/id/1344797</v>
      </c>
      <c r="F15536" s="2" t="s">
        <v>11</v>
      </c>
      <c r="G15536" s="2" t="s">
        <v>13609</v>
      </c>
      <c r="H15536" s="2" t="s">
        <v>13610</v>
      </c>
    </row>
    <row r="15537" spans="1:8" ht="25.05" customHeight="1" x14ac:dyDescent="0.25">
      <c r="A15537" s="2" t="s">
        <v>8</v>
      </c>
      <c r="B15537" s="2" t="str">
        <f>HYPERLINK("http://ts.21cn.com/tousu/show/id/1347220","信任分期，暴击催收，套路贷款，高利贷")</f>
        <v>信任分期，暴击催收，套路贷款，高利贷</v>
      </c>
      <c r="C15537" s="2" t="s">
        <v>9</v>
      </c>
      <c r="D15537" s="2" t="s">
        <v>10</v>
      </c>
      <c r="E15537" s="2" t="str">
        <f>HYPERLINK("http://ts.21cn.com/tousu/show/id/1347220","http://ts.21cn.com/tousu/show/id/1347220")</f>
        <v>http://ts.21cn.com/tousu/show/id/1347220</v>
      </c>
      <c r="F15537" s="2" t="s">
        <v>11</v>
      </c>
      <c r="G15537" s="2" t="s">
        <v>13607</v>
      </c>
      <c r="H15537" s="2" t="s">
        <v>13608</v>
      </c>
    </row>
    <row r="15538" spans="1:8" ht="25.05" customHeight="1" x14ac:dyDescent="0.25">
      <c r="A15538" s="2" t="s">
        <v>8</v>
      </c>
      <c r="B15538" s="2" t="str">
        <f>HYPERLINK("http://ts.21cn.com/tousu/show/id/1347221","360借条爆通讯录")</f>
        <v>360借条爆通讯录</v>
      </c>
      <c r="C15538" s="2" t="s">
        <v>9</v>
      </c>
      <c r="D15538" s="2" t="s">
        <v>10</v>
      </c>
      <c r="E15538" s="2" t="str">
        <f>HYPERLINK("http://ts.21cn.com/tousu/show/id/1347221","http://ts.21cn.com/tousu/show/id/1347221")</f>
        <v>http://ts.21cn.com/tousu/show/id/1347221</v>
      </c>
      <c r="F15538" s="2" t="s">
        <v>11</v>
      </c>
      <c r="G15538" s="2" t="s">
        <v>13605</v>
      </c>
      <c r="H15538" s="2" t="s">
        <v>13606</v>
      </c>
    </row>
    <row r="15539" spans="1:8" ht="25.05" customHeight="1" x14ac:dyDescent="0.25">
      <c r="A15539" s="2" t="s">
        <v>8</v>
      </c>
      <c r="B15539" s="2" t="str">
        <f>HYPERLINK("http://ts.21cn.com/tousu/show/id/1347222","立借高额利息放款中需要取消")</f>
        <v>立借高额利息放款中需要取消</v>
      </c>
      <c r="C15539" s="2" t="s">
        <v>9</v>
      </c>
      <c r="D15539" s="2" t="s">
        <v>10</v>
      </c>
      <c r="E15539" s="2" t="str">
        <f>HYPERLINK("http://ts.21cn.com/tousu/show/id/1347222","http://ts.21cn.com/tousu/show/id/1347222")</f>
        <v>http://ts.21cn.com/tousu/show/id/1347222</v>
      </c>
      <c r="F15539" s="2" t="s">
        <v>11</v>
      </c>
      <c r="G15539" s="2" t="s">
        <v>13603</v>
      </c>
      <c r="H15539" s="2" t="s">
        <v>13604</v>
      </c>
    </row>
    <row r="15540" spans="1:8" ht="25.05" customHeight="1" x14ac:dyDescent="0.25">
      <c r="A15540" s="2" t="s">
        <v>8</v>
      </c>
      <c r="B15540" s="2" t="str">
        <f>HYPERLINK("http://ts.21cn.com/tousu/show/id/1347224","八宝粥吃到石头")</f>
        <v>八宝粥吃到石头</v>
      </c>
      <c r="C15540" s="2" t="s">
        <v>9</v>
      </c>
      <c r="D15540" s="2" t="s">
        <v>10</v>
      </c>
      <c r="E15540" s="2" t="str">
        <f>HYPERLINK("http://ts.21cn.com/tousu/show/id/1347224","http://ts.21cn.com/tousu/show/id/1347224")</f>
        <v>http://ts.21cn.com/tousu/show/id/1347224</v>
      </c>
      <c r="F15540" s="2" t="s">
        <v>11</v>
      </c>
      <c r="G15540" s="2" t="s">
        <v>13601</v>
      </c>
      <c r="H15540" s="2" t="s">
        <v>13602</v>
      </c>
    </row>
    <row r="15541" spans="1:8" ht="25.05" customHeight="1" x14ac:dyDescent="0.25">
      <c r="A15541" s="2" t="s">
        <v>8</v>
      </c>
      <c r="B15541" s="2" t="str">
        <f>HYPERLINK("http://ts.21cn.com/tousu/show/id/1347223","无忧借贷，汇潮支付有限公司备付金。高利贷，砍头息，暴力催收！")</f>
        <v>无忧借贷，汇潮支付有限公司备付金。高利贷，砍头息，暴力催收！</v>
      </c>
      <c r="C15541" s="2" t="s">
        <v>9</v>
      </c>
      <c r="D15541" s="2" t="s">
        <v>10</v>
      </c>
      <c r="E15541" s="2" t="str">
        <f>HYPERLINK("http://ts.21cn.com/tousu/show/id/1347223","http://ts.21cn.com/tousu/show/id/1347223")</f>
        <v>http://ts.21cn.com/tousu/show/id/1347223</v>
      </c>
      <c r="F15541" s="2" t="s">
        <v>11</v>
      </c>
      <c r="G15541" s="2" t="s">
        <v>13599</v>
      </c>
      <c r="H15541" s="2" t="s">
        <v>13600</v>
      </c>
    </row>
    <row r="15542" spans="1:8" ht="25.05" customHeight="1" x14ac:dyDescent="0.25">
      <c r="A15542" s="2" t="s">
        <v>8</v>
      </c>
      <c r="B15542" s="2" t="str">
        <f>HYPERLINK("http://ts.21cn.com/tousu/show/id/1347225","好分期")</f>
        <v>好分期</v>
      </c>
      <c r="C15542" s="2" t="s">
        <v>9</v>
      </c>
      <c r="D15542" s="2" t="s">
        <v>10</v>
      </c>
      <c r="E15542" s="2" t="str">
        <f>HYPERLINK("http://ts.21cn.com/tousu/show/id/1347225","http://ts.21cn.com/tousu/show/id/1347225")</f>
        <v>http://ts.21cn.com/tousu/show/id/1347225</v>
      </c>
      <c r="F15542" s="2" t="s">
        <v>11</v>
      </c>
      <c r="G15542" s="2" t="s">
        <v>13597</v>
      </c>
      <c r="H15542" s="2" t="s">
        <v>13598</v>
      </c>
    </row>
    <row r="15543" spans="1:8" ht="25.05" customHeight="1" x14ac:dyDescent="0.25">
      <c r="A15543" s="2" t="s">
        <v>8</v>
      </c>
      <c r="B15543" s="2" t="str">
        <f>HYPERLINK("http://ts.21cn.com/tousu/show/id/1347230","你我贷暴力催收恐吓高利贷")</f>
        <v>你我贷暴力催收恐吓高利贷</v>
      </c>
      <c r="C15543" s="2" t="s">
        <v>9</v>
      </c>
      <c r="D15543" s="2" t="s">
        <v>10</v>
      </c>
      <c r="E15543" s="2" t="str">
        <f>HYPERLINK("http://ts.21cn.com/tousu/show/id/1347230","http://ts.21cn.com/tousu/show/id/1347230")</f>
        <v>http://ts.21cn.com/tousu/show/id/1347230</v>
      </c>
      <c r="F15543" s="2" t="s">
        <v>11</v>
      </c>
      <c r="G15543" s="2" t="s">
        <v>13595</v>
      </c>
      <c r="H15543" s="2" t="s">
        <v>13596</v>
      </c>
    </row>
    <row r="15544" spans="1:8" ht="25.05" customHeight="1" x14ac:dyDescent="0.25">
      <c r="A15544" s="2" t="s">
        <v>8</v>
      </c>
      <c r="B15544" s="2" t="str">
        <f>HYPERLINK("http://ts.21cn.com/tousu/show/id/1347226","拼多多假冒产品，不给退货")</f>
        <v>拼多多假冒产品，不给退货</v>
      </c>
      <c r="C15544" s="2" t="s">
        <v>9</v>
      </c>
      <c r="D15544" s="2" t="s">
        <v>10</v>
      </c>
      <c r="E15544" s="2" t="str">
        <f>HYPERLINK("http://ts.21cn.com/tousu/show/id/1347226","http://ts.21cn.com/tousu/show/id/1347226")</f>
        <v>http://ts.21cn.com/tousu/show/id/1347226</v>
      </c>
      <c r="F15544" s="2" t="s">
        <v>11</v>
      </c>
      <c r="G15544" s="2" t="s">
        <v>13593</v>
      </c>
      <c r="H15544" s="2" t="s">
        <v>13594</v>
      </c>
    </row>
    <row r="15545" spans="1:8" ht="25.05" customHeight="1" x14ac:dyDescent="0.25">
      <c r="A15545" s="2" t="s">
        <v>8</v>
      </c>
      <c r="B15545" s="2" t="str">
        <f>HYPERLINK("http://ts.21cn.com/tousu/show/id/1347227","闪电借款协商问题")</f>
        <v>闪电借款协商问题</v>
      </c>
      <c r="C15545" s="2" t="s">
        <v>9</v>
      </c>
      <c r="D15545" s="2" t="s">
        <v>10</v>
      </c>
      <c r="E15545" s="2" t="str">
        <f>HYPERLINK("http://ts.21cn.com/tousu/show/id/1347227","http://ts.21cn.com/tousu/show/id/1347227")</f>
        <v>http://ts.21cn.com/tousu/show/id/1347227</v>
      </c>
      <c r="F15545" s="2" t="s">
        <v>11</v>
      </c>
      <c r="G15545" s="2" t="s">
        <v>13590</v>
      </c>
      <c r="H15545" s="2" t="s">
        <v>13591</v>
      </c>
    </row>
    <row r="15546" spans="1:8" ht="25.05" customHeight="1" x14ac:dyDescent="0.25">
      <c r="A15546" s="2" t="s">
        <v>8</v>
      </c>
      <c r="B15546" s="2" t="str">
        <f>HYPERLINK("http://ts.21cn.com/tousu/show/id/1347228","小树时代暴力催收")</f>
        <v>小树时代暴力催收</v>
      </c>
      <c r="C15546" s="2" t="s">
        <v>9</v>
      </c>
      <c r="D15546" s="2" t="s">
        <v>10</v>
      </c>
      <c r="E15546" s="2" t="str">
        <f>HYPERLINK("http://ts.21cn.com/tousu/show/id/1347228","http://ts.21cn.com/tousu/show/id/1347228")</f>
        <v>http://ts.21cn.com/tousu/show/id/1347228</v>
      </c>
      <c r="F15546" s="2" t="s">
        <v>11</v>
      </c>
      <c r="G15546" s="2" t="s">
        <v>13590</v>
      </c>
      <c r="H15546" s="2" t="s">
        <v>13592</v>
      </c>
    </row>
    <row r="15547" spans="1:8" ht="25.05" customHeight="1" x14ac:dyDescent="0.25">
      <c r="A15547" s="2" t="s">
        <v>8</v>
      </c>
      <c r="B15547" s="2" t="str">
        <f>HYPERLINK("http://ts.21cn.com/tousu/show/id/1347231","未经允许，恶意扣款")</f>
        <v>未经允许，恶意扣款</v>
      </c>
      <c r="C15547" s="2" t="s">
        <v>9</v>
      </c>
      <c r="D15547" s="2" t="s">
        <v>10</v>
      </c>
      <c r="E15547" s="2" t="str">
        <f>HYPERLINK("http://ts.21cn.com/tousu/show/id/1347231","http://ts.21cn.com/tousu/show/id/1347231")</f>
        <v>http://ts.21cn.com/tousu/show/id/1347231</v>
      </c>
      <c r="F15547" s="2" t="s">
        <v>11</v>
      </c>
      <c r="G15547" s="2" t="s">
        <v>13588</v>
      </c>
      <c r="H15547" s="2" t="s">
        <v>13589</v>
      </c>
    </row>
    <row r="15548" spans="1:8" ht="25.05" customHeight="1" x14ac:dyDescent="0.25">
      <c r="A15548" s="2" t="s">
        <v>8</v>
      </c>
      <c r="B15548" s="2" t="str">
        <f>HYPERLINK("http://ts.21cn.com/tousu/show/id/1347232","拍拍贷暴力催收无人管理")</f>
        <v>拍拍贷暴力催收无人管理</v>
      </c>
      <c r="C15548" s="2" t="s">
        <v>9</v>
      </c>
      <c r="D15548" s="2" t="s">
        <v>10</v>
      </c>
      <c r="E15548" s="2" t="str">
        <f>HYPERLINK("http://ts.21cn.com/tousu/show/id/1347232","http://ts.21cn.com/tousu/show/id/1347232")</f>
        <v>http://ts.21cn.com/tousu/show/id/1347232</v>
      </c>
      <c r="F15548" s="2" t="s">
        <v>11</v>
      </c>
      <c r="G15548" s="2" t="s">
        <v>13586</v>
      </c>
      <c r="H15548" s="2" t="s">
        <v>13587</v>
      </c>
    </row>
    <row r="15549" spans="1:8" ht="25.05" customHeight="1" x14ac:dyDescent="0.25">
      <c r="A15549" s="2" t="s">
        <v>8</v>
      </c>
      <c r="B15549" s="2" t="str">
        <f>HYPERLINK("http://ts.21cn.com/tousu/show/id/1347233","百事普惠恶意扣款")</f>
        <v>百事普惠恶意扣款</v>
      </c>
      <c r="C15549" s="2" t="s">
        <v>9</v>
      </c>
      <c r="D15549" s="2" t="s">
        <v>10</v>
      </c>
      <c r="E15549" s="2" t="str">
        <f>HYPERLINK("http://ts.21cn.com/tousu/show/id/1347233","http://ts.21cn.com/tousu/show/id/1347233")</f>
        <v>http://ts.21cn.com/tousu/show/id/1347233</v>
      </c>
      <c r="F15549" s="2" t="s">
        <v>11</v>
      </c>
      <c r="G15549" s="2" t="s">
        <v>13584</v>
      </c>
      <c r="H15549" s="2" t="s">
        <v>13585</v>
      </c>
    </row>
    <row r="15550" spans="1:8" ht="25.05" customHeight="1" x14ac:dyDescent="0.25">
      <c r="A15550" s="2" t="s">
        <v>8</v>
      </c>
      <c r="B15550" s="2" t="str">
        <f>HYPERLINK("http://ts.21cn.com/tousu/show/id/1347234","美团外卖订餐晚送餐3小时，联系客服态度不好")</f>
        <v>美团外卖订餐晚送餐3小时，联系客服态度不好</v>
      </c>
      <c r="C15550" s="2" t="s">
        <v>9</v>
      </c>
      <c r="D15550" s="2" t="s">
        <v>10</v>
      </c>
      <c r="E15550" s="2" t="str">
        <f>HYPERLINK("http://ts.21cn.com/tousu/show/id/1347234","http://ts.21cn.com/tousu/show/id/1347234")</f>
        <v>http://ts.21cn.com/tousu/show/id/1347234</v>
      </c>
      <c r="F15550" s="2" t="s">
        <v>11</v>
      </c>
      <c r="G15550" s="2" t="s">
        <v>13582</v>
      </c>
      <c r="H15550" s="2" t="s">
        <v>13583</v>
      </c>
    </row>
    <row r="15551" spans="1:8" ht="25.05" customHeight="1" x14ac:dyDescent="0.25">
      <c r="A15551" s="2" t="s">
        <v>8</v>
      </c>
      <c r="B15551" s="2" t="str">
        <f>HYPERLINK("http://ts.21cn.com/tousu/show/id/1347235","居然之家售出严重质量问题商品不给退货")</f>
        <v>居然之家售出严重质量问题商品不给退货</v>
      </c>
      <c r="C15551" s="2" t="s">
        <v>9</v>
      </c>
      <c r="D15551" s="2" t="s">
        <v>10</v>
      </c>
      <c r="E15551" s="2" t="str">
        <f>HYPERLINK("http://ts.21cn.com/tousu/show/id/1347235","http://ts.21cn.com/tousu/show/id/1347235")</f>
        <v>http://ts.21cn.com/tousu/show/id/1347235</v>
      </c>
      <c r="F15551" s="2" t="s">
        <v>11</v>
      </c>
      <c r="G15551" s="2" t="s">
        <v>13580</v>
      </c>
      <c r="H15551" s="2" t="s">
        <v>13581</v>
      </c>
    </row>
    <row r="15552" spans="1:8" ht="25.05" customHeight="1" x14ac:dyDescent="0.25">
      <c r="A15552" s="2" t="s">
        <v>8</v>
      </c>
      <c r="B15552" s="2" t="str">
        <f>HYPERLINK("http://ts.21cn.com/tousu/show/id/1347204","投诉钱站工作人员")</f>
        <v>投诉钱站工作人员</v>
      </c>
      <c r="C15552" s="2" t="s">
        <v>9</v>
      </c>
      <c r="D15552" s="2" t="s">
        <v>10</v>
      </c>
      <c r="E15552" s="2" t="str">
        <f>HYPERLINK("http://ts.21cn.com/tousu/show/id/1347204","http://ts.21cn.com/tousu/show/id/1347204")</f>
        <v>http://ts.21cn.com/tousu/show/id/1347204</v>
      </c>
      <c r="F15552" s="2" t="s">
        <v>11</v>
      </c>
      <c r="G15552" s="2" t="s">
        <v>13578</v>
      </c>
      <c r="H15552" s="2" t="s">
        <v>13579</v>
      </c>
    </row>
    <row r="15553" spans="1:8" ht="25.05" customHeight="1" x14ac:dyDescent="0.25">
      <c r="A15553" s="2" t="s">
        <v>8</v>
      </c>
      <c r="B15553" s="2" t="str">
        <f>HYPERLINK("http://ts.21cn.com/tousu/show/id/1347238","卖号的钱没到账")</f>
        <v>卖号的钱没到账</v>
      </c>
      <c r="C15553" s="2" t="s">
        <v>34</v>
      </c>
      <c r="D15553" s="2" t="s">
        <v>10</v>
      </c>
      <c r="E15553" s="2" t="str">
        <f>HYPERLINK("http://ts.21cn.com/tousu/show/id/1347238","http://ts.21cn.com/tousu/show/id/1347238")</f>
        <v>http://ts.21cn.com/tousu/show/id/1347238</v>
      </c>
      <c r="F15553" s="2" t="s">
        <v>11</v>
      </c>
      <c r="G15553" s="2" t="s">
        <v>13576</v>
      </c>
      <c r="H15553" s="2" t="s">
        <v>13577</v>
      </c>
    </row>
    <row r="15554" spans="1:8" ht="25.05" customHeight="1" x14ac:dyDescent="0.25">
      <c r="A15554" s="2" t="s">
        <v>8</v>
      </c>
      <c r="B15554" s="2" t="str">
        <f>HYPERLINK("http://ts.21cn.com/tousu/show/id/1347239","小浦优客非正规贷款欺诈消费者")</f>
        <v>小浦优客非正规贷款欺诈消费者</v>
      </c>
      <c r="C15554" s="2" t="s">
        <v>9</v>
      </c>
      <c r="D15554" s="2" t="s">
        <v>10</v>
      </c>
      <c r="E15554" s="2" t="str">
        <f>HYPERLINK("http://ts.21cn.com/tousu/show/id/1347239","http://ts.21cn.com/tousu/show/id/1347239")</f>
        <v>http://ts.21cn.com/tousu/show/id/1347239</v>
      </c>
      <c r="F15554" s="2" t="s">
        <v>11</v>
      </c>
      <c r="G15554" s="2" t="s">
        <v>13573</v>
      </c>
      <c r="H15554" s="2" t="s">
        <v>13574</v>
      </c>
    </row>
    <row r="15555" spans="1:8" ht="25.05" customHeight="1" x14ac:dyDescent="0.25">
      <c r="A15555" s="2" t="s">
        <v>8</v>
      </c>
      <c r="B15555" s="2" t="str">
        <f>HYPERLINK("http://ts.21cn.com/tousu/show/id/1347240","兴业银行信用卡暴力催收")</f>
        <v>兴业银行信用卡暴力催收</v>
      </c>
      <c r="C15555" s="2" t="s">
        <v>9</v>
      </c>
      <c r="D15555" s="2" t="s">
        <v>10</v>
      </c>
      <c r="E15555" s="2" t="str">
        <f>HYPERLINK("http://ts.21cn.com/tousu/show/id/1347240","http://ts.21cn.com/tousu/show/id/1347240")</f>
        <v>http://ts.21cn.com/tousu/show/id/1347240</v>
      </c>
      <c r="F15555" s="2" t="s">
        <v>11</v>
      </c>
      <c r="G15555" s="2" t="s">
        <v>13573</v>
      </c>
      <c r="H15555" s="2" t="s">
        <v>13575</v>
      </c>
    </row>
    <row r="15556" spans="1:8" ht="25.05" customHeight="1" x14ac:dyDescent="0.25">
      <c r="A15556" s="2" t="s">
        <v>8</v>
      </c>
      <c r="B15556" s="2" t="str">
        <f>HYPERLINK("http://ts.21cn.com/tousu/show/id/1347236","招联金融催收")</f>
        <v>招联金融催收</v>
      </c>
      <c r="C15556" s="2" t="s">
        <v>9</v>
      </c>
      <c r="D15556" s="2" t="s">
        <v>10</v>
      </c>
      <c r="E15556" s="2" t="str">
        <f>HYPERLINK("http://ts.21cn.com/tousu/show/id/1347236","http://ts.21cn.com/tousu/show/id/1347236")</f>
        <v>http://ts.21cn.com/tousu/show/id/1347236</v>
      </c>
      <c r="F15556" s="2" t="s">
        <v>11</v>
      </c>
      <c r="G15556" s="2" t="s">
        <v>13570</v>
      </c>
      <c r="H15556" s="2" t="s">
        <v>13571</v>
      </c>
    </row>
    <row r="15557" spans="1:8" ht="25.05" customHeight="1" x14ac:dyDescent="0.25">
      <c r="A15557" s="2" t="s">
        <v>8</v>
      </c>
      <c r="B15557" s="2" t="str">
        <f>HYPERLINK("http://ts.21cn.com/tousu/show/id/1347237","索赔-未保持餐品完整")</f>
        <v>索赔-未保持餐品完整</v>
      </c>
      <c r="C15557" s="2" t="s">
        <v>9</v>
      </c>
      <c r="D15557" s="2" t="s">
        <v>10</v>
      </c>
      <c r="E15557" s="2" t="str">
        <f>HYPERLINK("http://ts.21cn.com/tousu/show/id/1347237","http://ts.21cn.com/tousu/show/id/1347237")</f>
        <v>http://ts.21cn.com/tousu/show/id/1347237</v>
      </c>
      <c r="F15557" s="2" t="s">
        <v>11</v>
      </c>
      <c r="G15557" s="2" t="s">
        <v>13570</v>
      </c>
      <c r="H15557" s="2" t="s">
        <v>13572</v>
      </c>
    </row>
    <row r="15558" spans="1:8" ht="25.05" customHeight="1" x14ac:dyDescent="0.25">
      <c r="A15558" s="2" t="s">
        <v>8</v>
      </c>
      <c r="B15558" s="2" t="str">
        <f>HYPERLINK("http://ts.21cn.com/tousu/show/id/1347241","玖富万卡擅自改写合同，变相收取费用，高利贷")</f>
        <v>玖富万卡擅自改写合同，变相收取费用，高利贷</v>
      </c>
      <c r="C15558" s="2" t="s">
        <v>9</v>
      </c>
      <c r="D15558" s="2" t="s">
        <v>10</v>
      </c>
      <c r="E15558" s="2" t="str">
        <f>HYPERLINK("http://ts.21cn.com/tousu/show/id/1347241","http://ts.21cn.com/tousu/show/id/1347241")</f>
        <v>http://ts.21cn.com/tousu/show/id/1347241</v>
      </c>
      <c r="F15558" s="2" t="s">
        <v>11</v>
      </c>
      <c r="G15558" s="2" t="s">
        <v>13568</v>
      </c>
      <c r="H15558" s="2" t="s">
        <v>13569</v>
      </c>
    </row>
    <row r="15559" spans="1:8" ht="25.05" customHeight="1" x14ac:dyDescent="0.25">
      <c r="A15559" s="2" t="s">
        <v>8</v>
      </c>
      <c r="B15559" s="2" t="str">
        <f>HYPERLINK("http://ts.21cn.com/tousu/show/id/1347242","微贷爆我通讯录，骚扰联系人")</f>
        <v>微贷爆我通讯录，骚扰联系人</v>
      </c>
      <c r="C15559" s="2" t="s">
        <v>9</v>
      </c>
      <c r="D15559" s="2" t="s">
        <v>10</v>
      </c>
      <c r="E15559" s="2" t="str">
        <f>HYPERLINK("http://ts.21cn.com/tousu/show/id/1347242","http://ts.21cn.com/tousu/show/id/1347242")</f>
        <v>http://ts.21cn.com/tousu/show/id/1347242</v>
      </c>
      <c r="F15559" s="2" t="s">
        <v>11</v>
      </c>
      <c r="G15559" s="2" t="s">
        <v>13565</v>
      </c>
      <c r="H15559" s="2" t="s">
        <v>13566</v>
      </c>
    </row>
    <row r="15560" spans="1:8" ht="25.05" customHeight="1" x14ac:dyDescent="0.25">
      <c r="A15560" s="2" t="s">
        <v>8</v>
      </c>
      <c r="B15560" s="2" t="str">
        <f>HYPERLINK("http://ts.21cn.com/tousu/show/id/1347243","闪银暴力催收威胁恐吓")</f>
        <v>闪银暴力催收威胁恐吓</v>
      </c>
      <c r="C15560" s="2" t="s">
        <v>9</v>
      </c>
      <c r="D15560" s="2" t="s">
        <v>10</v>
      </c>
      <c r="E15560" s="2" t="str">
        <f>HYPERLINK("http://ts.21cn.com/tousu/show/id/1347243","http://ts.21cn.com/tousu/show/id/1347243")</f>
        <v>http://ts.21cn.com/tousu/show/id/1347243</v>
      </c>
      <c r="F15560" s="2" t="s">
        <v>11</v>
      </c>
      <c r="G15560" s="2" t="s">
        <v>13565</v>
      </c>
      <c r="H15560" s="2" t="s">
        <v>13567</v>
      </c>
    </row>
    <row r="15561" spans="1:8" ht="25.05" customHeight="1" x14ac:dyDescent="0.25">
      <c r="A15561" s="2" t="s">
        <v>8</v>
      </c>
      <c r="B15561" s="2" t="str">
        <f>HYPERLINK("http://ts.21cn.com/tousu/show/id/1347244","泄露信息胡乱注册APP")</f>
        <v>泄露信息胡乱注册APP</v>
      </c>
      <c r="C15561" s="2" t="s">
        <v>9</v>
      </c>
      <c r="D15561" s="2" t="s">
        <v>10</v>
      </c>
      <c r="E15561" s="2" t="str">
        <f>HYPERLINK("http://ts.21cn.com/tousu/show/id/1347244","http://ts.21cn.com/tousu/show/id/1347244")</f>
        <v>http://ts.21cn.com/tousu/show/id/1347244</v>
      </c>
      <c r="F15561" s="2" t="s">
        <v>11</v>
      </c>
      <c r="G15561" s="2" t="s">
        <v>13563</v>
      </c>
      <c r="H15561" s="2" t="s">
        <v>13564</v>
      </c>
    </row>
    <row r="15562" spans="1:8" ht="25.05" customHeight="1" x14ac:dyDescent="0.25">
      <c r="A15562" s="2" t="s">
        <v>8</v>
      </c>
      <c r="B15562" s="2" t="str">
        <f>HYPERLINK("http://ts.21cn.com/tousu/show/id/1347245","暴力催收态度恶劣")</f>
        <v>暴力催收态度恶劣</v>
      </c>
      <c r="C15562" s="2" t="s">
        <v>9</v>
      </c>
      <c r="D15562" s="2" t="s">
        <v>10</v>
      </c>
      <c r="E15562" s="2" t="str">
        <f>HYPERLINK("http://ts.21cn.com/tousu/show/id/1347245","http://ts.21cn.com/tousu/show/id/1347245")</f>
        <v>http://ts.21cn.com/tousu/show/id/1347245</v>
      </c>
      <c r="F15562" s="2" t="s">
        <v>11</v>
      </c>
      <c r="G15562" s="2" t="s">
        <v>13561</v>
      </c>
      <c r="H15562" s="2" t="s">
        <v>13562</v>
      </c>
    </row>
    <row r="15563" spans="1:8" ht="25.05" customHeight="1" x14ac:dyDescent="0.25">
      <c r="A15563" s="2" t="s">
        <v>8</v>
      </c>
      <c r="B15563" s="2" t="str">
        <f>HYPERLINK("http://ts.21cn.com/tousu/show/id/1347248","交通银行1小时内打了几十个亲人同事电话")</f>
        <v>交通银行1小时内打了几十个亲人同事电话</v>
      </c>
      <c r="C15563" s="2" t="s">
        <v>9</v>
      </c>
      <c r="D15563" s="2" t="s">
        <v>10</v>
      </c>
      <c r="E15563" s="2" t="str">
        <f>HYPERLINK("http://ts.21cn.com/tousu/show/id/1347248","http://ts.21cn.com/tousu/show/id/1347248")</f>
        <v>http://ts.21cn.com/tousu/show/id/1347248</v>
      </c>
      <c r="F15563" s="2" t="s">
        <v>11</v>
      </c>
      <c r="G15563" s="2" t="s">
        <v>13559</v>
      </c>
      <c r="H15563" s="2" t="s">
        <v>13560</v>
      </c>
    </row>
    <row r="15564" spans="1:8" ht="25.05" customHeight="1" x14ac:dyDescent="0.25">
      <c r="A15564" s="2" t="s">
        <v>8</v>
      </c>
      <c r="B15564" s="2" t="str">
        <f>HYPERLINK("http://ts.21cn.com/tousu/show/id/1347246","微信留言互动活动不发货")</f>
        <v>微信留言互动活动不发货</v>
      </c>
      <c r="C15564" s="2" t="s">
        <v>34</v>
      </c>
      <c r="D15564" s="2" t="s">
        <v>10</v>
      </c>
      <c r="E15564" s="2" t="str">
        <f>HYPERLINK("http://ts.21cn.com/tousu/show/id/1347246","http://ts.21cn.com/tousu/show/id/1347246")</f>
        <v>http://ts.21cn.com/tousu/show/id/1347246</v>
      </c>
      <c r="F15564" s="2" t="s">
        <v>11</v>
      </c>
      <c r="G15564" s="2" t="s">
        <v>13557</v>
      </c>
      <c r="H15564" s="2" t="s">
        <v>13558</v>
      </c>
    </row>
    <row r="15565" spans="1:8" ht="25.05" customHeight="1" x14ac:dyDescent="0.25">
      <c r="A15565" s="2" t="s">
        <v>8</v>
      </c>
      <c r="B15565" s="2" t="str">
        <f>HYPERLINK("http://ts.21cn.com/tousu/show/id/1347249","暴力催收高利贷爆通讯录")</f>
        <v>暴力催收高利贷爆通讯录</v>
      </c>
      <c r="C15565" s="2" t="s">
        <v>9</v>
      </c>
      <c r="D15565" s="2" t="s">
        <v>10</v>
      </c>
      <c r="E15565" s="2" t="str">
        <f>HYPERLINK("http://ts.21cn.com/tousu/show/id/1347249","http://ts.21cn.com/tousu/show/id/1347249")</f>
        <v>http://ts.21cn.com/tousu/show/id/1347249</v>
      </c>
      <c r="F15565" s="2" t="s">
        <v>11</v>
      </c>
      <c r="G15565" s="2" t="s">
        <v>13555</v>
      </c>
      <c r="H15565" s="2" t="s">
        <v>13556</v>
      </c>
    </row>
    <row r="15566" spans="1:8" ht="25.05" customHeight="1" x14ac:dyDescent="0.25">
      <c r="A15566" s="2" t="s">
        <v>8</v>
      </c>
      <c r="B15566" s="2" t="str">
        <f>HYPERLINK("http://ts.21cn.com/tousu/show/id/1347250","易借骚扰联系人诽谤")</f>
        <v>易借骚扰联系人诽谤</v>
      </c>
      <c r="C15566" s="2" t="s">
        <v>9</v>
      </c>
      <c r="D15566" s="2" t="s">
        <v>10</v>
      </c>
      <c r="E15566" s="2" t="str">
        <f>HYPERLINK("http://ts.21cn.com/tousu/show/id/1347250","http://ts.21cn.com/tousu/show/id/1347250")</f>
        <v>http://ts.21cn.com/tousu/show/id/1347250</v>
      </c>
      <c r="F15566" s="2" t="s">
        <v>11</v>
      </c>
      <c r="G15566" s="2" t="s">
        <v>13553</v>
      </c>
      <c r="H15566" s="2" t="s">
        <v>13554</v>
      </c>
    </row>
    <row r="15567" spans="1:8" ht="25.05" customHeight="1" x14ac:dyDescent="0.25">
      <c r="A15567" s="2" t="s">
        <v>8</v>
      </c>
      <c r="B15567" s="2" t="str">
        <f>HYPERLINK("http://ts.21cn.com/tousu/show/id/1347251","骚扰")</f>
        <v>骚扰</v>
      </c>
      <c r="C15567" s="2" t="s">
        <v>9</v>
      </c>
      <c r="D15567" s="2" t="s">
        <v>10</v>
      </c>
      <c r="E15567" s="2" t="str">
        <f>HYPERLINK("http://ts.21cn.com/tousu/show/id/1347251","http://ts.21cn.com/tousu/show/id/1347251")</f>
        <v>http://ts.21cn.com/tousu/show/id/1347251</v>
      </c>
      <c r="F15567" s="2" t="s">
        <v>11</v>
      </c>
      <c r="G15567" s="2" t="s">
        <v>13551</v>
      </c>
      <c r="H15567" s="2" t="s">
        <v>13552</v>
      </c>
    </row>
    <row r="15568" spans="1:8" ht="25.05" customHeight="1" x14ac:dyDescent="0.25">
      <c r="A15568" s="2" t="s">
        <v>8</v>
      </c>
      <c r="B15568" s="2" t="str">
        <f>HYPERLINK("http://ts.21cn.com/tousu/show/id/1347252","小赢易贷提前结清要求降低利率")</f>
        <v>小赢易贷提前结清要求降低利率</v>
      </c>
      <c r="C15568" s="2" t="s">
        <v>9</v>
      </c>
      <c r="D15568" s="2" t="s">
        <v>10</v>
      </c>
      <c r="E15568" s="2" t="str">
        <f>HYPERLINK("http://ts.21cn.com/tousu/show/id/1347252","http://ts.21cn.com/tousu/show/id/1347252")</f>
        <v>http://ts.21cn.com/tousu/show/id/1347252</v>
      </c>
      <c r="F15568" s="2" t="s">
        <v>11</v>
      </c>
      <c r="G15568" s="2" t="s">
        <v>13549</v>
      </c>
      <c r="H15568" s="2" t="s">
        <v>13550</v>
      </c>
    </row>
    <row r="15569" spans="1:8" ht="25.05" customHeight="1" x14ac:dyDescent="0.25">
      <c r="A15569" s="2" t="s">
        <v>8</v>
      </c>
      <c r="B15569" s="2" t="str">
        <f>HYPERLINK("http://ts.21cn.com/tousu/show/id/1347253","my钱包担保服务费")</f>
        <v>my钱包担保服务费</v>
      </c>
      <c r="C15569" s="2" t="s">
        <v>9</v>
      </c>
      <c r="D15569" s="2" t="s">
        <v>10</v>
      </c>
      <c r="E15569" s="2" t="str">
        <f>HYPERLINK("http://ts.21cn.com/tousu/show/id/1347253","http://ts.21cn.com/tousu/show/id/1347253")</f>
        <v>http://ts.21cn.com/tousu/show/id/1347253</v>
      </c>
      <c r="F15569" s="2" t="s">
        <v>11</v>
      </c>
      <c r="G15569" s="2" t="s">
        <v>13547</v>
      </c>
      <c r="H15569" s="2" t="s">
        <v>13548</v>
      </c>
    </row>
    <row r="15570" spans="1:8" ht="25.05" customHeight="1" x14ac:dyDescent="0.25">
      <c r="A15570" s="2" t="s">
        <v>8</v>
      </c>
      <c r="B15570" s="2" t="str">
        <f>HYPERLINK("http://ts.21cn.com/tousu/show/id/1347254","凡普金科")</f>
        <v>凡普金科</v>
      </c>
      <c r="C15570" s="2" t="s">
        <v>9</v>
      </c>
      <c r="D15570" s="2" t="s">
        <v>10</v>
      </c>
      <c r="E15570" s="2" t="str">
        <f>HYPERLINK("http://ts.21cn.com/tousu/show/id/1347254","http://ts.21cn.com/tousu/show/id/1347254")</f>
        <v>http://ts.21cn.com/tousu/show/id/1347254</v>
      </c>
      <c r="F15570" s="2" t="s">
        <v>11</v>
      </c>
      <c r="G15570" s="2" t="s">
        <v>13545</v>
      </c>
      <c r="H15570" s="2" t="s">
        <v>13546</v>
      </c>
    </row>
    <row r="15571" spans="1:8" ht="25.05" customHeight="1" x14ac:dyDescent="0.25">
      <c r="A15571" s="2" t="s">
        <v>8</v>
      </c>
      <c r="B15571" s="2" t="str">
        <f>HYPERLINK("http://ts.21cn.com/tousu/show/id/1347255","带上钱借款无法取消")</f>
        <v>带上钱借款无法取消</v>
      </c>
      <c r="C15571" s="2" t="s">
        <v>9</v>
      </c>
      <c r="D15571" s="2" t="s">
        <v>10</v>
      </c>
      <c r="E15571" s="2" t="str">
        <f>HYPERLINK("http://ts.21cn.com/tousu/show/id/1347255","http://ts.21cn.com/tousu/show/id/1347255")</f>
        <v>http://ts.21cn.com/tousu/show/id/1347255</v>
      </c>
      <c r="F15571" s="2" t="s">
        <v>11</v>
      </c>
      <c r="G15571" s="2" t="s">
        <v>13543</v>
      </c>
      <c r="H15571" s="2" t="s">
        <v>13544</v>
      </c>
    </row>
    <row r="15572" spans="1:8" ht="25.05" customHeight="1" x14ac:dyDescent="0.25">
      <c r="A15572" s="2" t="s">
        <v>8</v>
      </c>
      <c r="B15572" s="2" t="str">
        <f>HYPERLINK("http://ts.21cn.com/tousu/show/id/1347258","借6千还9600高额利息")</f>
        <v>借6千还9600高额利息</v>
      </c>
      <c r="C15572" s="2" t="s">
        <v>9</v>
      </c>
      <c r="D15572" s="2" t="s">
        <v>10</v>
      </c>
      <c r="E15572" s="2" t="str">
        <f>HYPERLINK("http://ts.21cn.com/tousu/show/id/1347258","http://ts.21cn.com/tousu/show/id/1347258")</f>
        <v>http://ts.21cn.com/tousu/show/id/1347258</v>
      </c>
      <c r="F15572" s="2" t="s">
        <v>11</v>
      </c>
      <c r="G15572" s="2" t="s">
        <v>13541</v>
      </c>
      <c r="H15572" s="2" t="s">
        <v>13542</v>
      </c>
    </row>
    <row r="15573" spans="1:8" ht="25.05" customHeight="1" x14ac:dyDescent="0.25">
      <c r="A15573" s="2" t="s">
        <v>8</v>
      </c>
      <c r="B15573" s="2" t="str">
        <f>HYPERLINK("http://ts.21cn.com/tousu/show/id/1347256","拍拍贷骚扰通讯录电话")</f>
        <v>拍拍贷骚扰通讯录电话</v>
      </c>
      <c r="C15573" s="2" t="s">
        <v>9</v>
      </c>
      <c r="D15573" s="2" t="s">
        <v>10</v>
      </c>
      <c r="E15573" s="2" t="str">
        <f>HYPERLINK("http://ts.21cn.com/tousu/show/id/1347256","http://ts.21cn.com/tousu/show/id/1347256")</f>
        <v>http://ts.21cn.com/tousu/show/id/1347256</v>
      </c>
      <c r="F15573" s="2" t="s">
        <v>11</v>
      </c>
      <c r="G15573" s="2" t="s">
        <v>13539</v>
      </c>
      <c r="H15573" s="2" t="s">
        <v>13540</v>
      </c>
    </row>
    <row r="15574" spans="1:8" ht="25.05" customHeight="1" x14ac:dyDescent="0.25">
      <c r="A15574" s="2" t="s">
        <v>8</v>
      </c>
      <c r="B15574" s="2" t="str">
        <f>HYPERLINK("http://ts.21cn.com/tousu/show/id/1347257","买新车续保押金问题")</f>
        <v>买新车续保押金问题</v>
      </c>
      <c r="C15574" s="2" t="s">
        <v>34</v>
      </c>
      <c r="D15574" s="2" t="s">
        <v>10</v>
      </c>
      <c r="E15574" s="2" t="str">
        <f>HYPERLINK("http://ts.21cn.com/tousu/show/id/1347257","http://ts.21cn.com/tousu/show/id/1347257")</f>
        <v>http://ts.21cn.com/tousu/show/id/1347257</v>
      </c>
      <c r="F15574" s="2" t="s">
        <v>11</v>
      </c>
      <c r="G15574" s="2" t="s">
        <v>13537</v>
      </c>
      <c r="H15574" s="2" t="s">
        <v>13538</v>
      </c>
    </row>
    <row r="15575" spans="1:8" ht="25.05" customHeight="1" x14ac:dyDescent="0.25">
      <c r="A15575" s="2" t="s">
        <v>8</v>
      </c>
      <c r="B15575" s="2" t="str">
        <f>HYPERLINK("http://ts.21cn.com/tousu/show/id/1347259","先花一亿元高利贷，砍头息")</f>
        <v>先花一亿元高利贷，砍头息</v>
      </c>
      <c r="C15575" s="2" t="s">
        <v>9</v>
      </c>
      <c r="D15575" s="2" t="s">
        <v>10</v>
      </c>
      <c r="E15575" s="2" t="str">
        <f>HYPERLINK("http://ts.21cn.com/tousu/show/id/1347259","http://ts.21cn.com/tousu/show/id/1347259")</f>
        <v>http://ts.21cn.com/tousu/show/id/1347259</v>
      </c>
      <c r="F15575" s="2" t="s">
        <v>11</v>
      </c>
      <c r="G15575" s="2" t="s">
        <v>13535</v>
      </c>
      <c r="H15575" s="2" t="s">
        <v>13536</v>
      </c>
    </row>
    <row r="15576" spans="1:8" ht="25.05" customHeight="1" x14ac:dyDescent="0.25">
      <c r="A15576" s="2" t="s">
        <v>8</v>
      </c>
      <c r="B15576" s="2" t="str">
        <f>HYPERLINK("http://ts.21cn.com/tousu/show/id/1347261","光大银行信用卡中心违规催收")</f>
        <v>光大银行信用卡中心违规催收</v>
      </c>
      <c r="C15576" s="2" t="s">
        <v>9</v>
      </c>
      <c r="D15576" s="2" t="s">
        <v>10</v>
      </c>
      <c r="E15576" s="2" t="str">
        <f>HYPERLINK("http://ts.21cn.com/tousu/show/id/1347261","http://ts.21cn.com/tousu/show/id/1347261")</f>
        <v>http://ts.21cn.com/tousu/show/id/1347261</v>
      </c>
      <c r="F15576" s="2" t="s">
        <v>11</v>
      </c>
      <c r="G15576" s="2" t="s">
        <v>13533</v>
      </c>
      <c r="H15576" s="2" t="s">
        <v>13534</v>
      </c>
    </row>
    <row r="15577" spans="1:8" ht="25.05" customHeight="1" x14ac:dyDescent="0.25">
      <c r="A15577" s="2" t="s">
        <v>8</v>
      </c>
      <c r="B15577" s="2" t="str">
        <f>HYPERLINK("http://ts.21cn.com/tousu/show/id/1347260","钱站高利贷阴阳合同")</f>
        <v>钱站高利贷阴阳合同</v>
      </c>
      <c r="C15577" s="2" t="s">
        <v>9</v>
      </c>
      <c r="D15577" s="2" t="s">
        <v>10</v>
      </c>
      <c r="E15577" s="2" t="str">
        <f>HYPERLINK("http://ts.21cn.com/tousu/show/id/1347260","http://ts.21cn.com/tousu/show/id/1347260")</f>
        <v>http://ts.21cn.com/tousu/show/id/1347260</v>
      </c>
      <c r="F15577" s="2" t="s">
        <v>11</v>
      </c>
      <c r="G15577" s="2" t="s">
        <v>13531</v>
      </c>
      <c r="H15577" s="2" t="s">
        <v>13532</v>
      </c>
    </row>
    <row r="15578" spans="1:8" ht="25.05" customHeight="1" x14ac:dyDescent="0.25">
      <c r="A15578" s="2" t="s">
        <v>8</v>
      </c>
      <c r="B15578" s="2" t="str">
        <f>HYPERLINK("http://ts.21cn.com/tousu/show/id/1347262","口碑商家开店通退款一直没得到解决")</f>
        <v>口碑商家开店通退款一直没得到解决</v>
      </c>
      <c r="C15578" s="2" t="s">
        <v>9</v>
      </c>
      <c r="D15578" s="2" t="s">
        <v>10</v>
      </c>
      <c r="E15578" s="2" t="str">
        <f>HYPERLINK("http://ts.21cn.com/tousu/show/id/1347262","http://ts.21cn.com/tousu/show/id/1347262")</f>
        <v>http://ts.21cn.com/tousu/show/id/1347262</v>
      </c>
      <c r="F15578" s="2" t="s">
        <v>11</v>
      </c>
      <c r="G15578" s="2" t="s">
        <v>13529</v>
      </c>
      <c r="H15578" s="2" t="s">
        <v>13530</v>
      </c>
    </row>
    <row r="15579" spans="1:8" ht="25.05" customHeight="1" x14ac:dyDescent="0.25">
      <c r="A15579" s="2" t="s">
        <v>8</v>
      </c>
      <c r="B15579" s="2" t="str">
        <f>HYPERLINK("http://ts.21cn.com/tousu/show/id/1347263","微粒贷平台电话催收过程中使用威胁")</f>
        <v>微粒贷平台电话催收过程中使用威胁</v>
      </c>
      <c r="C15579" s="2" t="s">
        <v>9</v>
      </c>
      <c r="D15579" s="2" t="s">
        <v>10</v>
      </c>
      <c r="E15579" s="2" t="str">
        <f>HYPERLINK("http://ts.21cn.com/tousu/show/id/1347263","http://ts.21cn.com/tousu/show/id/1347263")</f>
        <v>http://ts.21cn.com/tousu/show/id/1347263</v>
      </c>
      <c r="F15579" s="2" t="s">
        <v>11</v>
      </c>
      <c r="G15579" s="2" t="s">
        <v>13527</v>
      </c>
      <c r="H15579" s="2" t="s">
        <v>13528</v>
      </c>
    </row>
    <row r="15580" spans="1:8" ht="25.05" customHeight="1" x14ac:dyDescent="0.25">
      <c r="A15580" s="2" t="s">
        <v>8</v>
      </c>
      <c r="B15580" s="2" t="str">
        <f>HYPERLINK("http://ts.21cn.com/tousu/show/id/1347210","蜜瓜钱包高利贷app")</f>
        <v>蜜瓜钱包高利贷app</v>
      </c>
      <c r="C15580" s="2" t="s">
        <v>9</v>
      </c>
      <c r="D15580" s="2" t="s">
        <v>10</v>
      </c>
      <c r="E15580" s="2" t="str">
        <f>HYPERLINK("http://ts.21cn.com/tousu/show/id/1347210","http://ts.21cn.com/tousu/show/id/1347210")</f>
        <v>http://ts.21cn.com/tousu/show/id/1347210</v>
      </c>
      <c r="F15580" s="2" t="s">
        <v>11</v>
      </c>
      <c r="G15580" s="2" t="s">
        <v>13525</v>
      </c>
      <c r="H15580" s="2" t="s">
        <v>13526</v>
      </c>
    </row>
    <row r="15581" spans="1:8" ht="25.05" customHeight="1" x14ac:dyDescent="0.25">
      <c r="A15581" s="2" t="s">
        <v>8</v>
      </c>
      <c r="B15581" s="2" t="str">
        <f>HYPERLINK("http://ts.21cn.com/tousu/show/id/1347264","黑网贷正常结算费用")</f>
        <v>黑网贷正常结算费用</v>
      </c>
      <c r="C15581" s="2" t="s">
        <v>9</v>
      </c>
      <c r="D15581" s="2" t="s">
        <v>10</v>
      </c>
      <c r="E15581" s="2" t="str">
        <f>HYPERLINK("http://ts.21cn.com/tousu/show/id/1347264","http://ts.21cn.com/tousu/show/id/1347264")</f>
        <v>http://ts.21cn.com/tousu/show/id/1347264</v>
      </c>
      <c r="F15581" s="2" t="s">
        <v>11</v>
      </c>
      <c r="G15581" s="2" t="s">
        <v>13523</v>
      </c>
      <c r="H15581" s="2" t="s">
        <v>13524</v>
      </c>
    </row>
    <row r="15582" spans="1:8" ht="25.05" customHeight="1" x14ac:dyDescent="0.25">
      <c r="A15582" s="2" t="s">
        <v>8</v>
      </c>
      <c r="B15582" s="2" t="str">
        <f>HYPERLINK("http://ts.21cn.com/tousu/show/id/1347267","信用钱包年化利息36%还说合法")</f>
        <v>信用钱包年化利息36%还说合法</v>
      </c>
      <c r="C15582" s="2" t="s">
        <v>9</v>
      </c>
      <c r="D15582" s="2" t="s">
        <v>10</v>
      </c>
      <c r="E15582" s="2" t="str">
        <f>HYPERLINK("http://ts.21cn.com/tousu/show/id/1347267","http://ts.21cn.com/tousu/show/id/1347267")</f>
        <v>http://ts.21cn.com/tousu/show/id/1347267</v>
      </c>
      <c r="F15582" s="2" t="s">
        <v>11</v>
      </c>
      <c r="G15582" s="2" t="s">
        <v>13521</v>
      </c>
      <c r="H15582" s="2" t="s">
        <v>13522</v>
      </c>
    </row>
    <row r="15583" spans="1:8" ht="25.05" customHeight="1" x14ac:dyDescent="0.25">
      <c r="A15583" s="2" t="s">
        <v>8</v>
      </c>
      <c r="B15583" s="2" t="str">
        <f>HYPERLINK("http://ts.21cn.com/tousu/show/id/1347265","马上金融暴力催收")</f>
        <v>马上金融暴力催收</v>
      </c>
      <c r="C15583" s="2" t="s">
        <v>9</v>
      </c>
      <c r="D15583" s="2" t="s">
        <v>10</v>
      </c>
      <c r="E15583" s="2" t="str">
        <f>HYPERLINK("http://ts.21cn.com/tousu/show/id/1347265","http://ts.21cn.com/tousu/show/id/1347265")</f>
        <v>http://ts.21cn.com/tousu/show/id/1347265</v>
      </c>
      <c r="F15583" s="2" t="s">
        <v>11</v>
      </c>
      <c r="G15583" s="2" t="s">
        <v>13519</v>
      </c>
      <c r="H15583" s="2" t="s">
        <v>13520</v>
      </c>
    </row>
    <row r="15584" spans="1:8" ht="25.05" customHeight="1" x14ac:dyDescent="0.25">
      <c r="A15584" s="2" t="s">
        <v>8</v>
      </c>
      <c r="B15584" s="2" t="str">
        <f>HYPERLINK("http://ts.21cn.com/tousu/show/id/1347268","小黑鲨暴力催收")</f>
        <v>小黑鲨暴力催收</v>
      </c>
      <c r="C15584" s="2" t="s">
        <v>9</v>
      </c>
      <c r="D15584" s="2" t="s">
        <v>10</v>
      </c>
      <c r="E15584" s="2" t="str">
        <f>HYPERLINK("http://ts.21cn.com/tousu/show/id/1347268","http://ts.21cn.com/tousu/show/id/1347268")</f>
        <v>http://ts.21cn.com/tousu/show/id/1347268</v>
      </c>
      <c r="F15584" s="2" t="s">
        <v>11</v>
      </c>
      <c r="G15584" s="2" t="s">
        <v>13517</v>
      </c>
      <c r="H15584" s="2" t="s">
        <v>13518</v>
      </c>
    </row>
    <row r="15585" spans="1:8" ht="25.05" customHeight="1" x14ac:dyDescent="0.25">
      <c r="A15585" s="2" t="s">
        <v>8</v>
      </c>
      <c r="B15585" s="2" t="str">
        <f>HYPERLINK("http://ts.21cn.com/tousu/show/id/1347269","微粒贷催收骚扰")</f>
        <v>微粒贷催收骚扰</v>
      </c>
      <c r="C15585" s="2" t="s">
        <v>9</v>
      </c>
      <c r="D15585" s="2" t="s">
        <v>10</v>
      </c>
      <c r="E15585" s="2" t="str">
        <f>HYPERLINK("http://ts.21cn.com/tousu/show/id/1347269","http://ts.21cn.com/tousu/show/id/1347269")</f>
        <v>http://ts.21cn.com/tousu/show/id/1347269</v>
      </c>
      <c r="F15585" s="2" t="s">
        <v>11</v>
      </c>
      <c r="G15585" s="2" t="s">
        <v>13515</v>
      </c>
      <c r="H15585" s="2" t="s">
        <v>13516</v>
      </c>
    </row>
    <row r="15586" spans="1:8" ht="25.05" customHeight="1" x14ac:dyDescent="0.25">
      <c r="A15586" s="2" t="s">
        <v>8</v>
      </c>
      <c r="B15586" s="2" t="str">
        <f>HYPERLINK("http://ts.21cn.com/tousu/show/id/1347272","招联金融暴力催收")</f>
        <v>招联金融暴力催收</v>
      </c>
      <c r="C15586" s="2" t="s">
        <v>9</v>
      </c>
      <c r="D15586" s="2" t="s">
        <v>10</v>
      </c>
      <c r="E15586" s="2" t="str">
        <f>HYPERLINK("http://ts.21cn.com/tousu/show/id/1347272","http://ts.21cn.com/tousu/show/id/1347272")</f>
        <v>http://ts.21cn.com/tousu/show/id/1347272</v>
      </c>
      <c r="F15586" s="2" t="s">
        <v>11</v>
      </c>
      <c r="G15586" s="2" t="s">
        <v>13513</v>
      </c>
      <c r="H15586" s="2" t="s">
        <v>13514</v>
      </c>
    </row>
    <row r="15587" spans="1:8" ht="25.05" customHeight="1" x14ac:dyDescent="0.25">
      <c r="A15587" s="2" t="s">
        <v>8</v>
      </c>
      <c r="B15587" s="2" t="str">
        <f>HYPERLINK("http://ts.21cn.com/tousu/show/id/1347273","在闪银的闪豆借款1000元，需要提前够买一个268元的购物费，才能通过，属于高额砍头息")</f>
        <v>在闪银的闪豆借款1000元，需要提前够买一个268元的购物费，才能通过，属于高额砍头息</v>
      </c>
      <c r="C15587" s="2" t="s">
        <v>9</v>
      </c>
      <c r="D15587" s="2" t="s">
        <v>10</v>
      </c>
      <c r="E15587" s="2" t="str">
        <f>HYPERLINK("http://ts.21cn.com/tousu/show/id/1347273","http://ts.21cn.com/tousu/show/id/1347273")</f>
        <v>http://ts.21cn.com/tousu/show/id/1347273</v>
      </c>
      <c r="F15587" s="2" t="s">
        <v>11</v>
      </c>
      <c r="G15587" s="2" t="s">
        <v>13511</v>
      </c>
      <c r="H15587" s="2" t="s">
        <v>13512</v>
      </c>
    </row>
    <row r="15588" spans="1:8" ht="25.05" customHeight="1" x14ac:dyDescent="0.25">
      <c r="A15588" s="2" t="s">
        <v>8</v>
      </c>
      <c r="B15588" s="2" t="str">
        <f>HYPERLINK("http://ts.21cn.com/tousu/show/id/1347274","宜人贷频繁电话骚扰家人朋友")</f>
        <v>宜人贷频繁电话骚扰家人朋友</v>
      </c>
      <c r="C15588" s="2" t="s">
        <v>9</v>
      </c>
      <c r="D15588" s="2" t="s">
        <v>10</v>
      </c>
      <c r="E15588" s="2" t="str">
        <f>HYPERLINK("http://ts.21cn.com/tousu/show/id/1347274","http://ts.21cn.com/tousu/show/id/1347274")</f>
        <v>http://ts.21cn.com/tousu/show/id/1347274</v>
      </c>
      <c r="F15588" s="2" t="s">
        <v>11</v>
      </c>
      <c r="G15588" s="2" t="s">
        <v>13509</v>
      </c>
      <c r="H15588" s="2" t="s">
        <v>13510</v>
      </c>
    </row>
    <row r="15589" spans="1:8" ht="25.05" customHeight="1" x14ac:dyDescent="0.25">
      <c r="A15589" s="2" t="s">
        <v>8</v>
      </c>
      <c r="B15589" s="2" t="str">
        <f>HYPERLINK("http://ts.21cn.com/tousu/show/id/1347275","高利贷")</f>
        <v>高利贷</v>
      </c>
      <c r="C15589" s="2" t="s">
        <v>9</v>
      </c>
      <c r="D15589" s="2" t="s">
        <v>10</v>
      </c>
      <c r="E15589" s="2" t="str">
        <f>HYPERLINK("http://ts.21cn.com/tousu/show/id/1347275","http://ts.21cn.com/tousu/show/id/1347275")</f>
        <v>http://ts.21cn.com/tousu/show/id/1347275</v>
      </c>
      <c r="F15589" s="2" t="s">
        <v>11</v>
      </c>
      <c r="G15589" s="2" t="s">
        <v>13507</v>
      </c>
      <c r="H15589" s="2" t="s">
        <v>13508</v>
      </c>
    </row>
    <row r="15590" spans="1:8" ht="25.05" customHeight="1" x14ac:dyDescent="0.25">
      <c r="A15590" s="2" t="s">
        <v>8</v>
      </c>
      <c r="B15590" s="2" t="str">
        <f>HYPERLINK("http://ts.21cn.com/tousu/show/id/1347276","店大欺客不解决问题态度恶劣")</f>
        <v>店大欺客不解决问题态度恶劣</v>
      </c>
      <c r="C15590" s="2" t="s">
        <v>9</v>
      </c>
      <c r="D15590" s="2" t="s">
        <v>10</v>
      </c>
      <c r="E15590" s="2" t="str">
        <f>HYPERLINK("http://ts.21cn.com/tousu/show/id/1347276","http://ts.21cn.com/tousu/show/id/1347276")</f>
        <v>http://ts.21cn.com/tousu/show/id/1347276</v>
      </c>
      <c r="F15590" s="2" t="s">
        <v>11</v>
      </c>
      <c r="G15590" s="2" t="s">
        <v>13505</v>
      </c>
      <c r="H15590" s="2" t="s">
        <v>13506</v>
      </c>
    </row>
    <row r="15591" spans="1:8" ht="25.05" customHeight="1" x14ac:dyDescent="0.25">
      <c r="A15591" s="2" t="s">
        <v>8</v>
      </c>
      <c r="B15591" s="2" t="str">
        <f>HYPERLINK("http://ts.21cn.com/tousu/show/id/1347278","暴力催收恐吓威胁")</f>
        <v>暴力催收恐吓威胁</v>
      </c>
      <c r="C15591" s="2" t="s">
        <v>9</v>
      </c>
      <c r="D15591" s="2" t="s">
        <v>10</v>
      </c>
      <c r="E15591" s="2" t="str">
        <f>HYPERLINK("http://ts.21cn.com/tousu/show/id/1347278","http://ts.21cn.com/tousu/show/id/1347278")</f>
        <v>http://ts.21cn.com/tousu/show/id/1347278</v>
      </c>
      <c r="F15591" s="2" t="s">
        <v>11</v>
      </c>
      <c r="G15591" s="2" t="s">
        <v>13503</v>
      </c>
      <c r="H15591" s="2" t="s">
        <v>13504</v>
      </c>
    </row>
    <row r="15592" spans="1:8" ht="25.05" customHeight="1" x14ac:dyDescent="0.25">
      <c r="A15592" s="2" t="s">
        <v>8</v>
      </c>
      <c r="B15592" s="2" t="str">
        <f>HYPERLINK("http://ts.21cn.com/tousu/show/id/1347279","淘集集拖欠商家三个月多货款，迟迟不打款")</f>
        <v>淘集集拖欠商家三个月多货款，迟迟不打款</v>
      </c>
      <c r="C15592" s="2" t="s">
        <v>9</v>
      </c>
      <c r="D15592" s="2" t="s">
        <v>10</v>
      </c>
      <c r="E15592" s="2" t="str">
        <f>HYPERLINK("http://ts.21cn.com/tousu/show/id/1347279","http://ts.21cn.com/tousu/show/id/1347279")</f>
        <v>http://ts.21cn.com/tousu/show/id/1347279</v>
      </c>
      <c r="F15592" s="2" t="s">
        <v>11</v>
      </c>
      <c r="G15592" s="2" t="s">
        <v>13501</v>
      </c>
      <c r="H15592" s="2" t="s">
        <v>13502</v>
      </c>
    </row>
    <row r="15593" spans="1:8" ht="25.05" customHeight="1" x14ac:dyDescent="0.25">
      <c r="A15593" s="2" t="s">
        <v>8</v>
      </c>
      <c r="B15593" s="2" t="str">
        <f>HYPERLINK("http://ts.21cn.com/tousu/show/id/1347277","北京利浩天雄新能源科技有限公司跟赌博平台合作")</f>
        <v>北京利浩天雄新能源科技有限公司跟赌博平台合作</v>
      </c>
      <c r="C15593" s="2" t="s">
        <v>9</v>
      </c>
      <c r="D15593" s="2" t="s">
        <v>10</v>
      </c>
      <c r="E15593" s="2" t="str">
        <f>HYPERLINK("http://ts.21cn.com/tousu/show/id/1347277","http://ts.21cn.com/tousu/show/id/1347277")</f>
        <v>http://ts.21cn.com/tousu/show/id/1347277</v>
      </c>
      <c r="F15593" s="2" t="s">
        <v>11</v>
      </c>
      <c r="G15593" s="2" t="s">
        <v>13499</v>
      </c>
      <c r="H15593" s="2" t="s">
        <v>13500</v>
      </c>
    </row>
    <row r="15594" spans="1:8" ht="25.05" customHeight="1" x14ac:dyDescent="0.25">
      <c r="A15594" s="2" t="s">
        <v>8</v>
      </c>
      <c r="B15594" s="2" t="str">
        <f>HYPERLINK("http://ts.21cn.com/tousu/show/id/1347280","钱站高利贷阴阳合同")</f>
        <v>钱站高利贷阴阳合同</v>
      </c>
      <c r="C15594" s="2" t="s">
        <v>9</v>
      </c>
      <c r="D15594" s="2" t="s">
        <v>10</v>
      </c>
      <c r="E15594" s="2" t="str">
        <f>HYPERLINK("http://ts.21cn.com/tousu/show/id/1347280","http://ts.21cn.com/tousu/show/id/1347280")</f>
        <v>http://ts.21cn.com/tousu/show/id/1347280</v>
      </c>
      <c r="F15594" s="2" t="s">
        <v>11</v>
      </c>
      <c r="G15594" s="2" t="s">
        <v>13497</v>
      </c>
      <c r="H15594" s="2" t="s">
        <v>13498</v>
      </c>
    </row>
    <row r="15595" spans="1:8" ht="25.05" customHeight="1" x14ac:dyDescent="0.25">
      <c r="A15595" s="2" t="s">
        <v>8</v>
      </c>
      <c r="B15595" s="2" t="str">
        <f>HYPERLINK("http://ts.21cn.com/tousu/show/id/1347281","垃圾宜信销售疯狂频繁打电话！不分时间不分场合")</f>
        <v>垃圾宜信销售疯狂频繁打电话！不分时间不分场合</v>
      </c>
      <c r="C15595" s="2" t="s">
        <v>34</v>
      </c>
      <c r="D15595" s="2" t="s">
        <v>10</v>
      </c>
      <c r="E15595" s="2" t="str">
        <f>HYPERLINK("http://ts.21cn.com/tousu/show/id/1347281","http://ts.21cn.com/tousu/show/id/1347281")</f>
        <v>http://ts.21cn.com/tousu/show/id/1347281</v>
      </c>
      <c r="F15595" s="2" t="s">
        <v>11</v>
      </c>
      <c r="G15595" s="2" t="s">
        <v>13495</v>
      </c>
      <c r="H15595" s="2" t="s">
        <v>13496</v>
      </c>
    </row>
    <row r="15596" spans="1:8" ht="25.05" customHeight="1" x14ac:dyDescent="0.25">
      <c r="A15596" s="2" t="s">
        <v>8</v>
      </c>
      <c r="B15596" s="2" t="str">
        <f>HYPERLINK("http://ts.21cn.com/tousu/show/id/1347282","招商银行信用卡骚扰公司加我QQ好友骂人")</f>
        <v>招商银行信用卡骚扰公司加我QQ好友骂人</v>
      </c>
      <c r="C15596" s="2" t="s">
        <v>9</v>
      </c>
      <c r="D15596" s="2" t="s">
        <v>10</v>
      </c>
      <c r="E15596" s="2" t="str">
        <f>HYPERLINK("http://ts.21cn.com/tousu/show/id/1347282","http://ts.21cn.com/tousu/show/id/1347282")</f>
        <v>http://ts.21cn.com/tousu/show/id/1347282</v>
      </c>
      <c r="F15596" s="2" t="s">
        <v>11</v>
      </c>
      <c r="G15596" s="2" t="s">
        <v>13493</v>
      </c>
      <c r="H15596" s="2" t="s">
        <v>13494</v>
      </c>
    </row>
    <row r="15597" spans="1:8" ht="25.05" customHeight="1" x14ac:dyDescent="0.25">
      <c r="A15597" s="2" t="s">
        <v>8</v>
      </c>
      <c r="B15597" s="2" t="str">
        <f>HYPERLINK("http://ts.21cn.com/tousu/show/id/1347283","首放三千恶意催收，涉嫌软暴力黑社会性质")</f>
        <v>首放三千恶意催收，涉嫌软暴力黑社会性质</v>
      </c>
      <c r="C15597" s="2" t="s">
        <v>9</v>
      </c>
      <c r="D15597" s="2" t="s">
        <v>10</v>
      </c>
      <c r="E15597" s="2" t="str">
        <f>HYPERLINK("http://ts.21cn.com/tousu/show/id/1347283","http://ts.21cn.com/tousu/show/id/1347283")</f>
        <v>http://ts.21cn.com/tousu/show/id/1347283</v>
      </c>
      <c r="F15597" s="2" t="s">
        <v>11</v>
      </c>
      <c r="G15597" s="2" t="s">
        <v>13491</v>
      </c>
      <c r="H15597" s="2" t="s">
        <v>13492</v>
      </c>
    </row>
    <row r="15598" spans="1:8" ht="25.05" customHeight="1" x14ac:dyDescent="0.25">
      <c r="A15598" s="2" t="s">
        <v>8</v>
      </c>
      <c r="B15598" s="2" t="str">
        <f>HYPERLINK("http://ts.21cn.com/tousu/show/id/1347284","国美易卡利息高得超国家要求！")</f>
        <v>国美易卡利息高得超国家要求！</v>
      </c>
      <c r="C15598" s="2" t="s">
        <v>9</v>
      </c>
      <c r="D15598" s="2" t="s">
        <v>10</v>
      </c>
      <c r="E15598" s="2" t="str">
        <f>HYPERLINK("http://ts.21cn.com/tousu/show/id/1347284","http://ts.21cn.com/tousu/show/id/1347284")</f>
        <v>http://ts.21cn.com/tousu/show/id/1347284</v>
      </c>
      <c r="F15598" s="2" t="s">
        <v>11</v>
      </c>
      <c r="G15598" s="2" t="s">
        <v>13489</v>
      </c>
      <c r="H15598" s="2" t="s">
        <v>13490</v>
      </c>
    </row>
    <row r="15599" spans="1:8" ht="25.05" customHeight="1" x14ac:dyDescent="0.25">
      <c r="A15599" s="2" t="s">
        <v>8</v>
      </c>
      <c r="B15599" s="2" t="str">
        <f>HYPERLINK("http://ts.21cn.com/tousu/show/id/1347285","支付宝，花呗。把我的通信录资料给了别人。侵犯我的用户隐私，侵犯我的人权")</f>
        <v>支付宝，花呗。把我的通信录资料给了别人。侵犯我的用户隐私，侵犯我的人权</v>
      </c>
      <c r="C15599" s="2" t="s">
        <v>9</v>
      </c>
      <c r="D15599" s="2" t="s">
        <v>10</v>
      </c>
      <c r="E15599" s="2" t="str">
        <f>HYPERLINK("http://ts.21cn.com/tousu/show/id/1347285","http://ts.21cn.com/tousu/show/id/1347285")</f>
        <v>http://ts.21cn.com/tousu/show/id/1347285</v>
      </c>
      <c r="F15599" s="2" t="s">
        <v>11</v>
      </c>
      <c r="G15599" s="2" t="s">
        <v>13487</v>
      </c>
      <c r="H15599" s="2" t="s">
        <v>13488</v>
      </c>
    </row>
    <row r="15600" spans="1:8" ht="25.05" customHeight="1" x14ac:dyDescent="0.25">
      <c r="A15600" s="2" t="s">
        <v>8</v>
      </c>
      <c r="B15600" s="2" t="str">
        <f>HYPERLINK("http://ts.21cn.com/tousu/show/id/1347287","信而富退会员费迟迟不到账")</f>
        <v>信而富退会员费迟迟不到账</v>
      </c>
      <c r="C15600" s="2" t="s">
        <v>9</v>
      </c>
      <c r="D15600" s="2" t="s">
        <v>10</v>
      </c>
      <c r="E15600" s="2" t="str">
        <f>HYPERLINK("http://ts.21cn.com/tousu/show/id/1347287","http://ts.21cn.com/tousu/show/id/1347287")</f>
        <v>http://ts.21cn.com/tousu/show/id/1347287</v>
      </c>
      <c r="F15600" s="2" t="s">
        <v>11</v>
      </c>
      <c r="G15600" s="2" t="s">
        <v>13485</v>
      </c>
      <c r="H15600" s="2" t="s">
        <v>13486</v>
      </c>
    </row>
    <row r="15601" spans="1:8" ht="25.05" customHeight="1" x14ac:dyDescent="0.25">
      <c r="A15601" s="2" t="s">
        <v>8</v>
      </c>
      <c r="B15601" s="2" t="str">
        <f>HYPERLINK("http://ts.21cn.com/tousu/show/id/1347288","协商还款")</f>
        <v>协商还款</v>
      </c>
      <c r="C15601" s="2" t="s">
        <v>34</v>
      </c>
      <c r="D15601" s="2" t="s">
        <v>10</v>
      </c>
      <c r="E15601" s="2" t="str">
        <f>HYPERLINK("http://ts.21cn.com/tousu/show/id/1347288","http://ts.21cn.com/tousu/show/id/1347288")</f>
        <v>http://ts.21cn.com/tousu/show/id/1347288</v>
      </c>
      <c r="F15601" s="2" t="s">
        <v>11</v>
      </c>
      <c r="G15601" s="2" t="s">
        <v>13483</v>
      </c>
      <c r="H15601" s="2" t="s">
        <v>13484</v>
      </c>
    </row>
    <row r="15602" spans="1:8" ht="25.05" customHeight="1" x14ac:dyDescent="0.25">
      <c r="A15602" s="2" t="s">
        <v>8</v>
      </c>
      <c r="B15602" s="2" t="str">
        <f>HYPERLINK("http://ts.21cn.com/tousu/show/id/1347286","月光侠暴力催收")</f>
        <v>月光侠暴力催收</v>
      </c>
      <c r="C15602" s="2" t="s">
        <v>9</v>
      </c>
      <c r="D15602" s="2" t="s">
        <v>10</v>
      </c>
      <c r="E15602" s="2" t="str">
        <f>HYPERLINK("http://ts.21cn.com/tousu/show/id/1347286","http://ts.21cn.com/tousu/show/id/1347286")</f>
        <v>http://ts.21cn.com/tousu/show/id/1347286</v>
      </c>
      <c r="F15602" s="2" t="s">
        <v>11</v>
      </c>
      <c r="G15602" s="2" t="s">
        <v>13481</v>
      </c>
      <c r="H15602" s="2" t="s">
        <v>13482</v>
      </c>
    </row>
    <row r="15603" spans="1:8" ht="25.05" customHeight="1" x14ac:dyDescent="0.25">
      <c r="A15603" s="2" t="s">
        <v>8</v>
      </c>
      <c r="B15603" s="2" t="str">
        <f>HYPERLINK("http://ts.21cn.com/tousu/show/id/1347289","百万钱包暴力催收，威胁还款，砍头息，高利贷！")</f>
        <v>百万钱包暴力催收，威胁还款，砍头息，高利贷！</v>
      </c>
      <c r="C15603" s="2" t="s">
        <v>9</v>
      </c>
      <c r="D15603" s="2" t="s">
        <v>10</v>
      </c>
      <c r="E15603" s="2" t="str">
        <f>HYPERLINK("http://ts.21cn.com/tousu/show/id/1347289","http://ts.21cn.com/tousu/show/id/1347289")</f>
        <v>http://ts.21cn.com/tousu/show/id/1347289</v>
      </c>
      <c r="F15603" s="2" t="s">
        <v>11</v>
      </c>
      <c r="G15603" s="2" t="s">
        <v>13479</v>
      </c>
      <c r="H15603" s="2" t="s">
        <v>13480</v>
      </c>
    </row>
    <row r="15604" spans="1:8" ht="25.05" customHeight="1" x14ac:dyDescent="0.25">
      <c r="A15604" s="2" t="s">
        <v>8</v>
      </c>
      <c r="B15604" s="2" t="str">
        <f>HYPERLINK("http://ts.21cn.com/tousu/show/id/1347290","特约中智消费无故扣款")</f>
        <v>特约中智消费无故扣款</v>
      </c>
      <c r="C15604" s="2" t="s">
        <v>9</v>
      </c>
      <c r="D15604" s="2" t="s">
        <v>10</v>
      </c>
      <c r="E15604" s="2" t="str">
        <f>HYPERLINK("http://ts.21cn.com/tousu/show/id/1347290","http://ts.21cn.com/tousu/show/id/1347290")</f>
        <v>http://ts.21cn.com/tousu/show/id/1347290</v>
      </c>
      <c r="F15604" s="2" t="s">
        <v>11</v>
      </c>
      <c r="G15604" s="2" t="s">
        <v>13477</v>
      </c>
      <c r="H15604" s="2" t="s">
        <v>13478</v>
      </c>
    </row>
    <row r="15605" spans="1:8" ht="25.05" customHeight="1" x14ac:dyDescent="0.25">
      <c r="A15605" s="2" t="s">
        <v>8</v>
      </c>
      <c r="B15605" s="2" t="str">
        <f>HYPERLINK("http://ts.21cn.com/tousu/show/id/1347291","平安银行雇佣黑恶势力催收")</f>
        <v>平安银行雇佣黑恶势力催收</v>
      </c>
      <c r="C15605" s="2" t="s">
        <v>9</v>
      </c>
      <c r="D15605" s="2" t="s">
        <v>10</v>
      </c>
      <c r="E15605" s="2" t="str">
        <f>HYPERLINK("http://ts.21cn.com/tousu/show/id/1347291","http://ts.21cn.com/tousu/show/id/1347291")</f>
        <v>http://ts.21cn.com/tousu/show/id/1347291</v>
      </c>
      <c r="F15605" s="2" t="s">
        <v>11</v>
      </c>
      <c r="G15605" s="2" t="s">
        <v>13475</v>
      </c>
      <c r="H15605" s="2" t="s">
        <v>13476</v>
      </c>
    </row>
    <row r="15606" spans="1:8" ht="25.05" customHeight="1" x14ac:dyDescent="0.25">
      <c r="A15606" s="2" t="s">
        <v>8</v>
      </c>
      <c r="B15606" s="2" t="str">
        <f>HYPERLINK("http://ts.21cn.com/tousu/show/id/1347292","京东商城售卖假苹果手机，苹果官方不维修")</f>
        <v>京东商城售卖假苹果手机，苹果官方不维修</v>
      </c>
      <c r="C15606" s="2" t="s">
        <v>9</v>
      </c>
      <c r="D15606" s="2" t="s">
        <v>10</v>
      </c>
      <c r="E15606" s="2" t="str">
        <f>HYPERLINK("http://ts.21cn.com/tousu/show/id/1347292","http://ts.21cn.com/tousu/show/id/1347292")</f>
        <v>http://ts.21cn.com/tousu/show/id/1347292</v>
      </c>
      <c r="F15606" s="2" t="s">
        <v>11</v>
      </c>
      <c r="G15606" s="2" t="s">
        <v>13473</v>
      </c>
      <c r="H15606" s="2" t="s">
        <v>13474</v>
      </c>
    </row>
    <row r="15607" spans="1:8" ht="25.05" customHeight="1" x14ac:dyDescent="0.25">
      <c r="A15607" s="2" t="s">
        <v>8</v>
      </c>
      <c r="B15607" s="2" t="str">
        <f>HYPERLINK("http://ts.21cn.com/tousu/show/id/1347294","钱站高利砍头骚扰")</f>
        <v>钱站高利砍头骚扰</v>
      </c>
      <c r="C15607" s="2" t="s">
        <v>9</v>
      </c>
      <c r="D15607" s="2" t="s">
        <v>10</v>
      </c>
      <c r="E15607" s="2" t="str">
        <f>HYPERLINK("http://ts.21cn.com/tousu/show/id/1347294","http://ts.21cn.com/tousu/show/id/1347294")</f>
        <v>http://ts.21cn.com/tousu/show/id/1347294</v>
      </c>
      <c r="F15607" s="2" t="s">
        <v>11</v>
      </c>
      <c r="G15607" s="2" t="s">
        <v>13471</v>
      </c>
      <c r="H15607" s="2" t="s">
        <v>13472</v>
      </c>
    </row>
    <row r="15608" spans="1:8" ht="25.05" customHeight="1" x14ac:dyDescent="0.25">
      <c r="A15608" s="2" t="s">
        <v>8</v>
      </c>
      <c r="B15608" s="2" t="str">
        <f>HYPERLINK("http://ts.21cn.com/tousu/show/id/1347296","贷款提前结清")</f>
        <v>贷款提前结清</v>
      </c>
      <c r="C15608" s="2" t="s">
        <v>9</v>
      </c>
      <c r="D15608" s="2" t="s">
        <v>10</v>
      </c>
      <c r="E15608" s="2" t="str">
        <f>HYPERLINK("http://ts.21cn.com/tousu/show/id/1347296","http://ts.21cn.com/tousu/show/id/1347296")</f>
        <v>http://ts.21cn.com/tousu/show/id/1347296</v>
      </c>
      <c r="F15608" s="2" t="s">
        <v>11</v>
      </c>
      <c r="G15608" s="2" t="s">
        <v>13469</v>
      </c>
      <c r="H15608" s="2" t="s">
        <v>13470</v>
      </c>
    </row>
    <row r="15609" spans="1:8" ht="25.05" customHeight="1" x14ac:dyDescent="0.25">
      <c r="A15609" s="2" t="s">
        <v>8</v>
      </c>
      <c r="B15609" s="2" t="str">
        <f>HYPERLINK("http://ts.21cn.com/tousu/show/id/1347295","百事普惠恶意扣款")</f>
        <v>百事普惠恶意扣款</v>
      </c>
      <c r="C15609" s="2" t="s">
        <v>9</v>
      </c>
      <c r="D15609" s="2" t="s">
        <v>10</v>
      </c>
      <c r="E15609" s="2" t="str">
        <f>HYPERLINK("http://ts.21cn.com/tousu/show/id/1347295","http://ts.21cn.com/tousu/show/id/1347295")</f>
        <v>http://ts.21cn.com/tousu/show/id/1347295</v>
      </c>
      <c r="F15609" s="2" t="s">
        <v>11</v>
      </c>
      <c r="G15609" s="2" t="s">
        <v>13467</v>
      </c>
      <c r="H15609" s="2" t="s">
        <v>13468</v>
      </c>
    </row>
    <row r="15610" spans="1:8" ht="25.05" customHeight="1" x14ac:dyDescent="0.25">
      <c r="A15610" s="2" t="s">
        <v>8</v>
      </c>
      <c r="B15610" s="2" t="str">
        <f>HYPERLINK("http://ts.21cn.com/tousu/show/id/1347297","现金巴士退回砍头利息")</f>
        <v>现金巴士退回砍头利息</v>
      </c>
      <c r="C15610" s="2" t="s">
        <v>9</v>
      </c>
      <c r="D15610" s="2" t="s">
        <v>10</v>
      </c>
      <c r="E15610" s="2" t="str">
        <f>HYPERLINK("http://ts.21cn.com/tousu/show/id/1347297","http://ts.21cn.com/tousu/show/id/1347297")</f>
        <v>http://ts.21cn.com/tousu/show/id/1347297</v>
      </c>
      <c r="F15610" s="2" t="s">
        <v>11</v>
      </c>
      <c r="G15610" s="2" t="s">
        <v>13465</v>
      </c>
      <c r="H15610" s="2" t="s">
        <v>13466</v>
      </c>
    </row>
    <row r="15611" spans="1:8" ht="25.05" customHeight="1" x14ac:dyDescent="0.25">
      <c r="A15611" s="2" t="s">
        <v>8</v>
      </c>
      <c r="B15611" s="2" t="str">
        <f>HYPERLINK("http://ts.21cn.com/tousu/show/id/1347298","恐吓威胁")</f>
        <v>恐吓威胁</v>
      </c>
      <c r="C15611" s="2" t="s">
        <v>9</v>
      </c>
      <c r="D15611" s="2" t="s">
        <v>10</v>
      </c>
      <c r="E15611" s="2" t="str">
        <f>HYPERLINK("http://ts.21cn.com/tousu/show/id/1347298","http://ts.21cn.com/tousu/show/id/1347298")</f>
        <v>http://ts.21cn.com/tousu/show/id/1347298</v>
      </c>
      <c r="F15611" s="2" t="s">
        <v>11</v>
      </c>
      <c r="G15611" s="2" t="s">
        <v>13463</v>
      </c>
      <c r="H15611" s="2" t="s">
        <v>13464</v>
      </c>
    </row>
    <row r="15612" spans="1:8" ht="25.05" customHeight="1" x14ac:dyDescent="0.25">
      <c r="A15612" s="2" t="s">
        <v>8</v>
      </c>
      <c r="B15612" s="2" t="str">
        <f>HYPERLINK("http://ts.21cn.com/tousu/show/id/1347299","闪掌柜原闪管家高额头息")</f>
        <v>闪掌柜原闪管家高额头息</v>
      </c>
      <c r="C15612" s="2" t="s">
        <v>9</v>
      </c>
      <c r="D15612" s="2" t="s">
        <v>10</v>
      </c>
      <c r="E15612" s="2" t="str">
        <f>HYPERLINK("http://ts.21cn.com/tousu/show/id/1347299","http://ts.21cn.com/tousu/show/id/1347299")</f>
        <v>http://ts.21cn.com/tousu/show/id/1347299</v>
      </c>
      <c r="F15612" s="2" t="s">
        <v>11</v>
      </c>
      <c r="G15612" s="2" t="s">
        <v>13461</v>
      </c>
      <c r="H15612" s="2" t="s">
        <v>13462</v>
      </c>
    </row>
    <row r="15613" spans="1:8" ht="25.05" customHeight="1" x14ac:dyDescent="0.25">
      <c r="A15613" s="2" t="s">
        <v>8</v>
      </c>
      <c r="B15613" s="2" t="str">
        <f>HYPERLINK("http://ts.21cn.com/tousu/show/id/1199066","捷信金融")</f>
        <v>捷信金融</v>
      </c>
      <c r="C15613" s="2" t="s">
        <v>9</v>
      </c>
      <c r="D15613" s="2" t="s">
        <v>10</v>
      </c>
      <c r="E15613" s="2" t="str">
        <f>HYPERLINK("http://ts.21cn.com/tousu/show/id/1199066","http://ts.21cn.com/tousu/show/id/1199066")</f>
        <v>http://ts.21cn.com/tousu/show/id/1199066</v>
      </c>
      <c r="F15613" s="2" t="s">
        <v>11</v>
      </c>
      <c r="G15613" s="2" t="s">
        <v>13459</v>
      </c>
      <c r="H15613" s="2" t="s">
        <v>13460</v>
      </c>
    </row>
    <row r="15614" spans="1:8" ht="25.05" customHeight="1" x14ac:dyDescent="0.25">
      <c r="A15614" s="2" t="s">
        <v>8</v>
      </c>
      <c r="B15614" s="2" t="str">
        <f>HYPERLINK("http://ts.21cn.com/tousu/show/id/1347300","小浦优客未经同意扣款")</f>
        <v>小浦优客未经同意扣款</v>
      </c>
      <c r="C15614" s="2" t="s">
        <v>9</v>
      </c>
      <c r="D15614" s="2" t="s">
        <v>10</v>
      </c>
      <c r="E15614" s="2" t="str">
        <f>HYPERLINK("http://ts.21cn.com/tousu/show/id/1347300","http://ts.21cn.com/tousu/show/id/1347300")</f>
        <v>http://ts.21cn.com/tousu/show/id/1347300</v>
      </c>
      <c r="F15614" s="2" t="s">
        <v>11</v>
      </c>
      <c r="G15614" s="2" t="s">
        <v>13458</v>
      </c>
      <c r="H15614" s="2" t="s">
        <v>10213</v>
      </c>
    </row>
    <row r="15615" spans="1:8" ht="25.05" customHeight="1" x14ac:dyDescent="0.25">
      <c r="A15615" s="2" t="s">
        <v>8</v>
      </c>
      <c r="B15615" s="2" t="str">
        <f>HYPERLINK("http://ts.21cn.com/tousu/show/id/1347304","钱站高利贷阴阳合同")</f>
        <v>钱站高利贷阴阳合同</v>
      </c>
      <c r="C15615" s="2" t="s">
        <v>9</v>
      </c>
      <c r="D15615" s="2" t="s">
        <v>10</v>
      </c>
      <c r="E15615" s="2" t="str">
        <f>HYPERLINK("http://ts.21cn.com/tousu/show/id/1347304","http://ts.21cn.com/tousu/show/id/1347304")</f>
        <v>http://ts.21cn.com/tousu/show/id/1347304</v>
      </c>
      <c r="F15615" s="2" t="s">
        <v>11</v>
      </c>
      <c r="G15615" s="2" t="s">
        <v>13456</v>
      </c>
      <c r="H15615" s="2" t="s">
        <v>13457</v>
      </c>
    </row>
    <row r="15616" spans="1:8" ht="25.05" customHeight="1" x14ac:dyDescent="0.25">
      <c r="A15616" s="2" t="s">
        <v>8</v>
      </c>
      <c r="B15616" s="2" t="str">
        <f>HYPERLINK("http://ts.21cn.com/tousu/show/id/1347301","微贷网多米贷恶意收取高额管理费")</f>
        <v>微贷网多米贷恶意收取高额管理费</v>
      </c>
      <c r="C15616" s="2" t="s">
        <v>9</v>
      </c>
      <c r="D15616" s="2" t="s">
        <v>10</v>
      </c>
      <c r="E15616" s="2" t="str">
        <f>HYPERLINK("http://ts.21cn.com/tousu/show/id/1347301","http://ts.21cn.com/tousu/show/id/1347301")</f>
        <v>http://ts.21cn.com/tousu/show/id/1347301</v>
      </c>
      <c r="F15616" s="2" t="s">
        <v>11</v>
      </c>
      <c r="G15616" s="2" t="s">
        <v>13454</v>
      </c>
      <c r="H15616" s="2" t="s">
        <v>13455</v>
      </c>
    </row>
    <row r="15617" spans="1:8" ht="25.05" customHeight="1" x14ac:dyDescent="0.25">
      <c r="A15617" s="2" t="s">
        <v>8</v>
      </c>
      <c r="B15617" s="2" t="str">
        <f>HYPERLINK("http://ts.21cn.com/tousu/show/id/1347302","及贷每天发催收短信给我通讯录好友")</f>
        <v>及贷每天发催收短信给我通讯录好友</v>
      </c>
      <c r="C15617" s="2" t="s">
        <v>9</v>
      </c>
      <c r="D15617" s="2" t="s">
        <v>10</v>
      </c>
      <c r="E15617" s="2" t="str">
        <f>HYPERLINK("http://ts.21cn.com/tousu/show/id/1347302","http://ts.21cn.com/tousu/show/id/1347302")</f>
        <v>http://ts.21cn.com/tousu/show/id/1347302</v>
      </c>
      <c r="F15617" s="2" t="s">
        <v>11</v>
      </c>
      <c r="G15617" s="2" t="s">
        <v>13452</v>
      </c>
      <c r="H15617" s="2" t="s">
        <v>13453</v>
      </c>
    </row>
    <row r="15618" spans="1:8" ht="25.05" customHeight="1" x14ac:dyDescent="0.25">
      <c r="A15618" s="2" t="s">
        <v>8</v>
      </c>
      <c r="B15618" s="2" t="str">
        <f>HYPERLINK("http://ts.21cn.com/tousu/show/id/1347306","闪银瞬瞬骚扰家人")</f>
        <v>闪银瞬瞬骚扰家人</v>
      </c>
      <c r="C15618" s="2" t="s">
        <v>9</v>
      </c>
      <c r="D15618" s="2" t="s">
        <v>10</v>
      </c>
      <c r="E15618" s="2" t="str">
        <f>HYPERLINK("http://ts.21cn.com/tousu/show/id/1347306","http://ts.21cn.com/tousu/show/id/1347306")</f>
        <v>http://ts.21cn.com/tousu/show/id/1347306</v>
      </c>
      <c r="F15618" s="2" t="s">
        <v>11</v>
      </c>
      <c r="G15618" s="2" t="s">
        <v>13450</v>
      </c>
      <c r="H15618" s="2" t="s">
        <v>13451</v>
      </c>
    </row>
    <row r="15619" spans="1:8" ht="25.05" customHeight="1" x14ac:dyDescent="0.25">
      <c r="A15619" s="2" t="s">
        <v>8</v>
      </c>
      <c r="B15619" s="2" t="str">
        <f>HYPERLINK("http://ts.21cn.com/tousu/show/id/1347307","钱站暴力催收，恐吓")</f>
        <v>钱站暴力催收，恐吓</v>
      </c>
      <c r="C15619" s="2" t="s">
        <v>9</v>
      </c>
      <c r="D15619" s="2" t="s">
        <v>10</v>
      </c>
      <c r="E15619" s="2" t="str">
        <f>HYPERLINK("http://ts.21cn.com/tousu/show/id/1347307","http://ts.21cn.com/tousu/show/id/1347307")</f>
        <v>http://ts.21cn.com/tousu/show/id/1347307</v>
      </c>
      <c r="F15619" s="2" t="s">
        <v>11</v>
      </c>
      <c r="G15619" s="2" t="s">
        <v>13448</v>
      </c>
      <c r="H15619" s="2" t="s">
        <v>13449</v>
      </c>
    </row>
    <row r="15620" spans="1:8" ht="25.05" customHeight="1" x14ac:dyDescent="0.25">
      <c r="A15620" s="2" t="s">
        <v>8</v>
      </c>
      <c r="B15620" s="2" t="str">
        <f>HYPERLINK("http://ts.21cn.com/tousu/show/id/1347308","迅捷转换器买的Vip没到时间自动取消")</f>
        <v>迅捷转换器买的Vip没到时间自动取消</v>
      </c>
      <c r="C15620" s="2" t="s">
        <v>34</v>
      </c>
      <c r="D15620" s="2" t="s">
        <v>10</v>
      </c>
      <c r="E15620" s="2" t="str">
        <f>HYPERLINK("http://ts.21cn.com/tousu/show/id/1347308","http://ts.21cn.com/tousu/show/id/1347308")</f>
        <v>http://ts.21cn.com/tousu/show/id/1347308</v>
      </c>
      <c r="F15620" s="2" t="s">
        <v>11</v>
      </c>
      <c r="G15620" s="2" t="s">
        <v>13446</v>
      </c>
      <c r="H15620" s="2" t="s">
        <v>13447</v>
      </c>
    </row>
    <row r="15621" spans="1:8" ht="25.05" customHeight="1" x14ac:dyDescent="0.25">
      <c r="A15621" s="2" t="s">
        <v>8</v>
      </c>
      <c r="B15621" s="2" t="str">
        <f>HYPERLINK("http://ts.21cn.com/tousu/show/id/1347312","捷信违法催收")</f>
        <v>捷信违法催收</v>
      </c>
      <c r="C15621" s="2" t="s">
        <v>9</v>
      </c>
      <c r="D15621" s="2" t="s">
        <v>10</v>
      </c>
      <c r="E15621" s="2" t="str">
        <f>HYPERLINK("http://ts.21cn.com/tousu/show/id/1347312","http://ts.21cn.com/tousu/show/id/1347312")</f>
        <v>http://ts.21cn.com/tousu/show/id/1347312</v>
      </c>
      <c r="F15621" s="2" t="s">
        <v>11</v>
      </c>
      <c r="G15621" s="2" t="s">
        <v>13444</v>
      </c>
      <c r="H15621" s="2" t="s">
        <v>13445</v>
      </c>
    </row>
    <row r="15622" spans="1:8" ht="25.05" customHeight="1" x14ac:dyDescent="0.25">
      <c r="A15622" s="2" t="s">
        <v>8</v>
      </c>
      <c r="B15622" s="2" t="str">
        <f>HYPERLINK("http://ts.21cn.com/tousu/show/id/1347293","投诉合利宝违规支付收款，海王分期砍头息高利贷")</f>
        <v>投诉合利宝违规支付收款，海王分期砍头息高利贷</v>
      </c>
      <c r="C15622" s="2" t="s">
        <v>9</v>
      </c>
      <c r="D15622" s="2" t="s">
        <v>10</v>
      </c>
      <c r="E15622" s="2" t="str">
        <f>HYPERLINK("http://ts.21cn.com/tousu/show/id/1347293","http://ts.21cn.com/tousu/show/id/1347293")</f>
        <v>http://ts.21cn.com/tousu/show/id/1347293</v>
      </c>
      <c r="F15622" s="2" t="s">
        <v>11</v>
      </c>
      <c r="G15622" s="2" t="s">
        <v>13441</v>
      </c>
      <c r="H15622" s="2" t="s">
        <v>13442</v>
      </c>
    </row>
    <row r="15623" spans="1:8" ht="25.05" customHeight="1" x14ac:dyDescent="0.25">
      <c r="A15623" s="2" t="s">
        <v>8</v>
      </c>
      <c r="B15623" s="2" t="str">
        <f>HYPERLINK("http://ts.21cn.com/tousu/show/id/1347310","51信用卡管家给你花推荐高利贷产品")</f>
        <v>51信用卡管家给你花推荐高利贷产品</v>
      </c>
      <c r="C15623" s="2" t="s">
        <v>9</v>
      </c>
      <c r="D15623" s="2" t="s">
        <v>10</v>
      </c>
      <c r="E15623" s="2" t="str">
        <f>HYPERLINK("http://ts.21cn.com/tousu/show/id/1347310","http://ts.21cn.com/tousu/show/id/1347310")</f>
        <v>http://ts.21cn.com/tousu/show/id/1347310</v>
      </c>
      <c r="F15623" s="2" t="s">
        <v>11</v>
      </c>
      <c r="G15623" s="2" t="s">
        <v>13441</v>
      </c>
      <c r="H15623" s="2" t="s">
        <v>13443</v>
      </c>
    </row>
    <row r="15624" spans="1:8" ht="25.05" customHeight="1" x14ac:dyDescent="0.25">
      <c r="A15624" s="2" t="s">
        <v>8</v>
      </c>
      <c r="B15624" s="2" t="str">
        <f>HYPERLINK("http://ts.21cn.com/tousu/show/id/1347311","龙行管家虚假宣传误导办卡")</f>
        <v>龙行管家虚假宣传误导办卡</v>
      </c>
      <c r="C15624" s="2" t="s">
        <v>9</v>
      </c>
      <c r="D15624" s="2" t="s">
        <v>10</v>
      </c>
      <c r="E15624" s="2" t="str">
        <f>HYPERLINK("http://ts.21cn.com/tousu/show/id/1347311","http://ts.21cn.com/tousu/show/id/1347311")</f>
        <v>http://ts.21cn.com/tousu/show/id/1347311</v>
      </c>
      <c r="F15624" s="2" t="s">
        <v>11</v>
      </c>
      <c r="G15624" s="2" t="s">
        <v>13439</v>
      </c>
      <c r="H15624" s="2" t="s">
        <v>13440</v>
      </c>
    </row>
    <row r="15625" spans="1:8" ht="25.05" customHeight="1" x14ac:dyDescent="0.25">
      <c r="A15625" s="2" t="s">
        <v>8</v>
      </c>
      <c r="B15625" s="2" t="str">
        <f>HYPERLINK("http://ts.21cn.com/tousu/show/id/1347313","斗牛士催收发侮辱短信")</f>
        <v>斗牛士催收发侮辱短信</v>
      </c>
      <c r="C15625" s="2" t="s">
        <v>9</v>
      </c>
      <c r="D15625" s="2" t="s">
        <v>10</v>
      </c>
      <c r="E15625" s="2" t="str">
        <f>HYPERLINK("http://ts.21cn.com/tousu/show/id/1347313","http://ts.21cn.com/tousu/show/id/1347313")</f>
        <v>http://ts.21cn.com/tousu/show/id/1347313</v>
      </c>
      <c r="F15625" s="2" t="s">
        <v>11</v>
      </c>
      <c r="G15625" s="2" t="s">
        <v>13437</v>
      </c>
      <c r="H15625" s="2" t="s">
        <v>13438</v>
      </c>
    </row>
    <row r="15626" spans="1:8" ht="25.05" customHeight="1" x14ac:dyDescent="0.25">
      <c r="A15626" s="2" t="s">
        <v>8</v>
      </c>
      <c r="B15626" s="2" t="str">
        <f>HYPERLINK("http://ts.21cn.com/tousu/show/id/1347316","商标代理公司把异议答辩通知书占为己有导致商标无效")</f>
        <v>商标代理公司把异议答辩通知书占为己有导致商标无效</v>
      </c>
      <c r="C15626" s="2" t="s">
        <v>9</v>
      </c>
      <c r="D15626" s="2" t="s">
        <v>10</v>
      </c>
      <c r="E15626" s="2" t="str">
        <f>HYPERLINK("http://ts.21cn.com/tousu/show/id/1347316","http://ts.21cn.com/tousu/show/id/1347316")</f>
        <v>http://ts.21cn.com/tousu/show/id/1347316</v>
      </c>
      <c r="F15626" s="2" t="s">
        <v>11</v>
      </c>
      <c r="G15626" s="2" t="s">
        <v>13435</v>
      </c>
      <c r="H15626" s="2" t="s">
        <v>13436</v>
      </c>
    </row>
    <row r="15627" spans="1:8" ht="25.05" customHeight="1" x14ac:dyDescent="0.25">
      <c r="A15627" s="2" t="s">
        <v>8</v>
      </c>
      <c r="B15627" s="2" t="str">
        <f>HYPERLINK("http://ts.21cn.com/tousu/show/id/1347317","银行卡被无故扣款1000元，而我的财付通中并无任何持仓基金，请腾安基金销售有限公司，财付通，微信支付给我一个合理的解释")</f>
        <v>银行卡被无故扣款1000元，而我的财付通中并无任何持仓基金，请腾安基金销售有限公司，财付通，微信支付给我一个合理的解释</v>
      </c>
      <c r="C15627" s="2" t="s">
        <v>9</v>
      </c>
      <c r="D15627" s="2" t="s">
        <v>10</v>
      </c>
      <c r="E15627" s="2" t="str">
        <f>HYPERLINK("http://ts.21cn.com/tousu/show/id/1347317","http://ts.21cn.com/tousu/show/id/1347317")</f>
        <v>http://ts.21cn.com/tousu/show/id/1347317</v>
      </c>
      <c r="F15627" s="2" t="s">
        <v>11</v>
      </c>
      <c r="G15627" s="2" t="s">
        <v>13433</v>
      </c>
      <c r="H15627" s="2" t="s">
        <v>13434</v>
      </c>
    </row>
    <row r="15628" spans="1:8" ht="25.05" customHeight="1" x14ac:dyDescent="0.25">
      <c r="A15628" s="2" t="s">
        <v>8</v>
      </c>
      <c r="B15628" s="2" t="str">
        <f>HYPERLINK("http://ts.21cn.com/tousu/show/id/1347318","京东买到三五茶叶")</f>
        <v>京东买到三五茶叶</v>
      </c>
      <c r="C15628" s="2" t="s">
        <v>34</v>
      </c>
      <c r="D15628" s="2" t="s">
        <v>10</v>
      </c>
      <c r="E15628" s="2" t="str">
        <f>HYPERLINK("http://ts.21cn.com/tousu/show/id/1347318","http://ts.21cn.com/tousu/show/id/1347318")</f>
        <v>http://ts.21cn.com/tousu/show/id/1347318</v>
      </c>
      <c r="F15628" s="2" t="s">
        <v>11</v>
      </c>
      <c r="G15628" s="2" t="s">
        <v>13431</v>
      </c>
      <c r="H15628" s="2" t="s">
        <v>13432</v>
      </c>
    </row>
    <row r="15629" spans="1:8" ht="25.05" customHeight="1" x14ac:dyDescent="0.25">
      <c r="A15629" s="2" t="s">
        <v>8</v>
      </c>
      <c r="B15629" s="2" t="str">
        <f>HYPERLINK("http://ts.21cn.com/tousu/show/id/1347319","钱战高利贷")</f>
        <v>钱战高利贷</v>
      </c>
      <c r="C15629" s="2" t="s">
        <v>9</v>
      </c>
      <c r="D15629" s="2" t="s">
        <v>10</v>
      </c>
      <c r="E15629" s="2" t="str">
        <f>HYPERLINK("http://ts.21cn.com/tousu/show/id/1347319","http://ts.21cn.com/tousu/show/id/1347319")</f>
        <v>http://ts.21cn.com/tousu/show/id/1347319</v>
      </c>
      <c r="F15629" s="2" t="s">
        <v>11</v>
      </c>
      <c r="G15629" s="2" t="s">
        <v>13429</v>
      </c>
      <c r="H15629" s="2" t="s">
        <v>13430</v>
      </c>
    </row>
    <row r="15630" spans="1:8" ht="25.05" customHeight="1" x14ac:dyDescent="0.25">
      <c r="A15630" s="2" t="s">
        <v>8</v>
      </c>
      <c r="B15630" s="2" t="str">
        <f>HYPERLINK("http://ts.21cn.com/tousu/show/id/1347320","天龙八部荣耀版手游充值没有到账")</f>
        <v>天龙八部荣耀版手游充值没有到账</v>
      </c>
      <c r="C15630" s="2" t="s">
        <v>34</v>
      </c>
      <c r="D15630" s="2" t="s">
        <v>10</v>
      </c>
      <c r="E15630" s="2" t="str">
        <f>HYPERLINK("http://ts.21cn.com/tousu/show/id/1347320","http://ts.21cn.com/tousu/show/id/1347320")</f>
        <v>http://ts.21cn.com/tousu/show/id/1347320</v>
      </c>
      <c r="F15630" s="2" t="s">
        <v>11</v>
      </c>
      <c r="G15630" s="2" t="s">
        <v>13427</v>
      </c>
      <c r="H15630" s="2" t="s">
        <v>13428</v>
      </c>
    </row>
    <row r="15631" spans="1:8" ht="25.05" customHeight="1" x14ac:dyDescent="0.25">
      <c r="A15631" s="2" t="s">
        <v>8</v>
      </c>
      <c r="B15631" s="2" t="str">
        <f>HYPERLINK("http://ts.21cn.com/tousu/show/id/1347321","米多点高利贷")</f>
        <v>米多点高利贷</v>
      </c>
      <c r="C15631" s="2" t="s">
        <v>9</v>
      </c>
      <c r="D15631" s="2" t="s">
        <v>10</v>
      </c>
      <c r="E15631" s="2" t="str">
        <f>HYPERLINK("http://ts.21cn.com/tousu/show/id/1347321","http://ts.21cn.com/tousu/show/id/1347321")</f>
        <v>http://ts.21cn.com/tousu/show/id/1347321</v>
      </c>
      <c r="F15631" s="2" t="s">
        <v>11</v>
      </c>
      <c r="G15631" s="2" t="s">
        <v>13425</v>
      </c>
      <c r="H15631" s="2" t="s">
        <v>13426</v>
      </c>
    </row>
    <row r="15632" spans="1:8" ht="25.05" customHeight="1" x14ac:dyDescent="0.25">
      <c r="A15632" s="2" t="s">
        <v>8</v>
      </c>
      <c r="B15632" s="2" t="str">
        <f>HYPERLINK("http://ts.21cn.com/tousu/show/id/1347322","新浪微博中的你我贷违反规定收取高额服务费，暴力催收")</f>
        <v>新浪微博中的你我贷违反规定收取高额服务费，暴力催收</v>
      </c>
      <c r="C15632" s="2" t="s">
        <v>9</v>
      </c>
      <c r="D15632" s="2" t="s">
        <v>10</v>
      </c>
      <c r="E15632" s="2" t="str">
        <f>HYPERLINK("http://ts.21cn.com/tousu/show/id/1347322","http://ts.21cn.com/tousu/show/id/1347322")</f>
        <v>http://ts.21cn.com/tousu/show/id/1347322</v>
      </c>
      <c r="F15632" s="2" t="s">
        <v>11</v>
      </c>
      <c r="G15632" s="2" t="s">
        <v>13423</v>
      </c>
      <c r="H15632" s="2" t="s">
        <v>13424</v>
      </c>
    </row>
    <row r="15633" spans="1:8" ht="25.05" customHeight="1" x14ac:dyDescent="0.25">
      <c r="A15633" s="2" t="s">
        <v>8</v>
      </c>
      <c r="B15633" s="2" t="str">
        <f>HYPERLINK("http://ts.21cn.com/tousu/show/id/1347323","玖富万卡恶意修改借款合同，增加高额服务费，超过国家规定范围")</f>
        <v>玖富万卡恶意修改借款合同，增加高额服务费，超过国家规定范围</v>
      </c>
      <c r="C15633" s="2" t="s">
        <v>9</v>
      </c>
      <c r="D15633" s="2" t="s">
        <v>10</v>
      </c>
      <c r="E15633" s="2" t="str">
        <f>HYPERLINK("http://ts.21cn.com/tousu/show/id/1347323","http://ts.21cn.com/tousu/show/id/1347323")</f>
        <v>http://ts.21cn.com/tousu/show/id/1347323</v>
      </c>
      <c r="F15633" s="2" t="s">
        <v>11</v>
      </c>
      <c r="G15633" s="2" t="s">
        <v>13421</v>
      </c>
      <c r="H15633" s="2" t="s">
        <v>13422</v>
      </c>
    </row>
    <row r="15634" spans="1:8" ht="25.05" customHeight="1" x14ac:dyDescent="0.25">
      <c r="A15634" s="2" t="s">
        <v>8</v>
      </c>
      <c r="B15634" s="2" t="str">
        <f>HYPERLINK("http://ts.21cn.com/tousu/show/id/1347315","虚假宣传，误导扣款")</f>
        <v>虚假宣传，误导扣款</v>
      </c>
      <c r="C15634" s="2" t="s">
        <v>9</v>
      </c>
      <c r="D15634" s="2" t="s">
        <v>10</v>
      </c>
      <c r="E15634" s="2" t="str">
        <f>HYPERLINK("http://ts.21cn.com/tousu/show/id/1347315","http://ts.21cn.com/tousu/show/id/1347315")</f>
        <v>http://ts.21cn.com/tousu/show/id/1347315</v>
      </c>
      <c r="F15634" s="2" t="s">
        <v>11</v>
      </c>
      <c r="G15634" s="2" t="s">
        <v>13419</v>
      </c>
      <c r="H15634" s="2" t="s">
        <v>13420</v>
      </c>
    </row>
    <row r="15635" spans="1:8" ht="25.05" customHeight="1" x14ac:dyDescent="0.25">
      <c r="A15635" s="2" t="s">
        <v>8</v>
      </c>
      <c r="B15635" s="2" t="str">
        <f>HYPERLINK("http://ts.21cn.com/tousu/show/id/1347325","小浦优客未经本人允许私扣费用")</f>
        <v>小浦优客未经本人允许私扣费用</v>
      </c>
      <c r="C15635" s="2" t="s">
        <v>9</v>
      </c>
      <c r="D15635" s="2" t="s">
        <v>10</v>
      </c>
      <c r="E15635" s="2" t="str">
        <f>HYPERLINK("http://ts.21cn.com/tousu/show/id/1347325","http://ts.21cn.com/tousu/show/id/1347325")</f>
        <v>http://ts.21cn.com/tousu/show/id/1347325</v>
      </c>
      <c r="F15635" s="2" t="s">
        <v>11</v>
      </c>
      <c r="G15635" s="2" t="s">
        <v>13417</v>
      </c>
      <c r="H15635" s="2" t="s">
        <v>13418</v>
      </c>
    </row>
    <row r="15636" spans="1:8" ht="25.05" customHeight="1" x14ac:dyDescent="0.25">
      <c r="A15636" s="2" t="s">
        <v>8</v>
      </c>
      <c r="B15636" s="2" t="str">
        <f>HYPERLINK("http://ts.21cn.com/tousu/show/id/1347326","账号限制购物")</f>
        <v>账号限制购物</v>
      </c>
      <c r="C15636" s="2" t="s">
        <v>9</v>
      </c>
      <c r="D15636" s="2" t="s">
        <v>10</v>
      </c>
      <c r="E15636" s="2" t="str">
        <f>HYPERLINK("http://ts.21cn.com/tousu/show/id/1347326","http://ts.21cn.com/tousu/show/id/1347326")</f>
        <v>http://ts.21cn.com/tousu/show/id/1347326</v>
      </c>
      <c r="F15636" s="2" t="s">
        <v>11</v>
      </c>
      <c r="G15636" s="2" t="s">
        <v>13415</v>
      </c>
      <c r="H15636" s="2" t="s">
        <v>13416</v>
      </c>
    </row>
    <row r="15637" spans="1:8" ht="25.05" customHeight="1" x14ac:dyDescent="0.25">
      <c r="A15637" s="2" t="s">
        <v>8</v>
      </c>
      <c r="B15637" s="2" t="str">
        <f>HYPERLINK("http://ts.21cn.com/tousu/show/id/1347327","上了2个多月的班老板不给工资上海鹏辰服饰有限公司")</f>
        <v>上了2个多月的班老板不给工资上海鹏辰服饰有限公司</v>
      </c>
      <c r="C15637" s="2" t="s">
        <v>9</v>
      </c>
      <c r="D15637" s="2" t="s">
        <v>10</v>
      </c>
      <c r="E15637" s="2" t="str">
        <f>HYPERLINK("http://ts.21cn.com/tousu/show/id/1347327","http://ts.21cn.com/tousu/show/id/1347327")</f>
        <v>http://ts.21cn.com/tousu/show/id/1347327</v>
      </c>
      <c r="F15637" s="2" t="s">
        <v>11</v>
      </c>
      <c r="G15637" s="2" t="s">
        <v>13413</v>
      </c>
      <c r="H15637" s="2" t="s">
        <v>13414</v>
      </c>
    </row>
    <row r="15638" spans="1:8" ht="25.05" customHeight="1" x14ac:dyDescent="0.25">
      <c r="A15638" s="2" t="s">
        <v>8</v>
      </c>
      <c r="B15638" s="2" t="str">
        <f>HYPERLINK("http://ts.21cn.com/tousu/show/id/1347328","无缘无故扣款")</f>
        <v>无缘无故扣款</v>
      </c>
      <c r="C15638" s="2" t="s">
        <v>9</v>
      </c>
      <c r="D15638" s="2" t="s">
        <v>10</v>
      </c>
      <c r="E15638" s="2" t="str">
        <f>HYPERLINK("http://ts.21cn.com/tousu/show/id/1347328","http://ts.21cn.com/tousu/show/id/1347328")</f>
        <v>http://ts.21cn.com/tousu/show/id/1347328</v>
      </c>
      <c r="F15638" s="2" t="s">
        <v>11</v>
      </c>
      <c r="G15638" s="2" t="s">
        <v>13411</v>
      </c>
      <c r="H15638" s="2" t="s">
        <v>13412</v>
      </c>
    </row>
    <row r="15639" spans="1:8" ht="25.05" customHeight="1" x14ac:dyDescent="0.25">
      <c r="A15639" s="2" t="s">
        <v>8</v>
      </c>
      <c r="B15639" s="2" t="str">
        <f>HYPERLINK("http://ts.21cn.com/tousu/show/id/1347330","三星曲面显示器自动屏裂")</f>
        <v>三星曲面显示器自动屏裂</v>
      </c>
      <c r="C15639" s="2" t="s">
        <v>9</v>
      </c>
      <c r="D15639" s="2" t="s">
        <v>10</v>
      </c>
      <c r="E15639" s="2" t="str">
        <f>HYPERLINK("http://ts.21cn.com/tousu/show/id/1347330","http://ts.21cn.com/tousu/show/id/1347330")</f>
        <v>http://ts.21cn.com/tousu/show/id/1347330</v>
      </c>
      <c r="F15639" s="2" t="s">
        <v>11</v>
      </c>
      <c r="G15639" s="2" t="s">
        <v>13409</v>
      </c>
      <c r="H15639" s="2" t="s">
        <v>13410</v>
      </c>
    </row>
    <row r="15640" spans="1:8" ht="25.05" customHeight="1" x14ac:dyDescent="0.25">
      <c r="A15640" s="2" t="s">
        <v>8</v>
      </c>
      <c r="B15640" s="2" t="str">
        <f>HYPERLINK("http://ts.21cn.com/tousu/show/id/1347329","银行卡被微信快捷支付（财付通-零钱充值到账）无故消费1400元")</f>
        <v>银行卡被微信快捷支付（财付通-零钱充值到账）无故消费1400元</v>
      </c>
      <c r="C15640" s="2" t="s">
        <v>9</v>
      </c>
      <c r="D15640" s="2" t="s">
        <v>10</v>
      </c>
      <c r="E15640" s="2" t="str">
        <f>HYPERLINK("http://ts.21cn.com/tousu/show/id/1347329","http://ts.21cn.com/tousu/show/id/1347329")</f>
        <v>http://ts.21cn.com/tousu/show/id/1347329</v>
      </c>
      <c r="F15640" s="2" t="s">
        <v>11</v>
      </c>
      <c r="G15640" s="2" t="s">
        <v>13407</v>
      </c>
      <c r="H15640" s="2" t="s">
        <v>13408</v>
      </c>
    </row>
    <row r="15641" spans="1:8" ht="25.05" customHeight="1" x14ac:dyDescent="0.25">
      <c r="A15641" s="2" t="s">
        <v>8</v>
      </c>
      <c r="B15641" s="2" t="str">
        <f>HYPERLINK("http://ts.21cn.com/tousu/show/id/1347314","随手科技暴利催收")</f>
        <v>随手科技暴利催收</v>
      </c>
      <c r="C15641" s="2" t="s">
        <v>9</v>
      </c>
      <c r="D15641" s="2" t="s">
        <v>10</v>
      </c>
      <c r="E15641" s="2" t="str">
        <f>HYPERLINK("http://ts.21cn.com/tousu/show/id/1347314","http://ts.21cn.com/tousu/show/id/1347314")</f>
        <v>http://ts.21cn.com/tousu/show/id/1347314</v>
      </c>
      <c r="F15641" s="2" t="s">
        <v>11</v>
      </c>
      <c r="G15641" s="2" t="s">
        <v>13405</v>
      </c>
      <c r="H15641" s="2" t="s">
        <v>13406</v>
      </c>
    </row>
    <row r="15642" spans="1:8" ht="25.05" customHeight="1" x14ac:dyDescent="0.25">
      <c r="A15642" s="2" t="s">
        <v>8</v>
      </c>
      <c r="B15642" s="2" t="str">
        <f>HYPERLINK("http://ts.21cn.com/tousu/show/id/1347334","信用管家高利贷砍头息暴力催收")</f>
        <v>信用管家高利贷砍头息暴力催收</v>
      </c>
      <c r="C15642" s="2" t="s">
        <v>9</v>
      </c>
      <c r="D15642" s="2" t="s">
        <v>10</v>
      </c>
      <c r="E15642" s="2" t="str">
        <f>HYPERLINK("http://ts.21cn.com/tousu/show/id/1347334","http://ts.21cn.com/tousu/show/id/1347334")</f>
        <v>http://ts.21cn.com/tousu/show/id/1347334</v>
      </c>
      <c r="F15642" s="2" t="s">
        <v>11</v>
      </c>
      <c r="G15642" s="2" t="s">
        <v>13403</v>
      </c>
      <c r="H15642" s="2" t="s">
        <v>13404</v>
      </c>
    </row>
    <row r="15643" spans="1:8" ht="25.05" customHeight="1" x14ac:dyDescent="0.25">
      <c r="A15643" s="2" t="s">
        <v>8</v>
      </c>
      <c r="B15643" s="2" t="str">
        <f>HYPERLINK("http://ts.21cn.com/tousu/show/id/1347335","虚假宣传，诱导消费")</f>
        <v>虚假宣传，诱导消费</v>
      </c>
      <c r="C15643" s="2" t="s">
        <v>9</v>
      </c>
      <c r="D15643" s="2" t="s">
        <v>10</v>
      </c>
      <c r="E15643" s="2" t="str">
        <f>HYPERLINK("http://ts.21cn.com/tousu/show/id/1347335","http://ts.21cn.com/tousu/show/id/1347335")</f>
        <v>http://ts.21cn.com/tousu/show/id/1347335</v>
      </c>
      <c r="F15643" s="2" t="s">
        <v>11</v>
      </c>
      <c r="G15643" s="2" t="s">
        <v>13401</v>
      </c>
      <c r="H15643" s="2" t="s">
        <v>13402</v>
      </c>
    </row>
    <row r="15644" spans="1:8" ht="25.05" customHeight="1" x14ac:dyDescent="0.25">
      <c r="A15644" s="2" t="s">
        <v>8</v>
      </c>
      <c r="B15644" s="2" t="str">
        <f>HYPERLINK("http://ts.21cn.com/tousu/show/id/1347333","招联金融恶意骚扰")</f>
        <v>招联金融恶意骚扰</v>
      </c>
      <c r="C15644" s="2" t="s">
        <v>9</v>
      </c>
      <c r="D15644" s="2" t="s">
        <v>10</v>
      </c>
      <c r="E15644" s="2" t="str">
        <f>HYPERLINK("http://ts.21cn.com/tousu/show/id/1347333","http://ts.21cn.com/tousu/show/id/1347333")</f>
        <v>http://ts.21cn.com/tousu/show/id/1347333</v>
      </c>
      <c r="F15644" s="2" t="s">
        <v>11</v>
      </c>
      <c r="G15644" s="2" t="s">
        <v>13399</v>
      </c>
      <c r="H15644" s="2" t="s">
        <v>13400</v>
      </c>
    </row>
    <row r="15645" spans="1:8" ht="25.05" customHeight="1" x14ac:dyDescent="0.25">
      <c r="A15645" s="2" t="s">
        <v>8</v>
      </c>
      <c r="B15645" s="2" t="str">
        <f>HYPERLINK("http://ts.21cn.com/tousu/show/id/1347337","我主良缘APP强制消费")</f>
        <v>我主良缘APP强制消费</v>
      </c>
      <c r="C15645" s="2" t="s">
        <v>9</v>
      </c>
      <c r="D15645" s="2" t="s">
        <v>10</v>
      </c>
      <c r="E15645" s="2" t="str">
        <f>HYPERLINK("http://ts.21cn.com/tousu/show/id/1347337","http://ts.21cn.com/tousu/show/id/1347337")</f>
        <v>http://ts.21cn.com/tousu/show/id/1347337</v>
      </c>
      <c r="F15645" s="2" t="s">
        <v>11</v>
      </c>
      <c r="G15645" s="2" t="s">
        <v>13397</v>
      </c>
      <c r="H15645" s="2" t="s">
        <v>13398</v>
      </c>
    </row>
    <row r="15646" spans="1:8" ht="25.05" customHeight="1" x14ac:dyDescent="0.25">
      <c r="A15646" s="2" t="s">
        <v>8</v>
      </c>
      <c r="B15646" s="2" t="str">
        <f>HYPERLINK("http://ts.21cn.com/tousu/show/id/1347338","拼多多平台未经我们商家同意，强制从我们的保证金中扣款给消费者30元作为售后补偿不合理！要求赔偿退回给我们30元！")</f>
        <v>拼多多平台未经我们商家同意，强制从我们的保证金中扣款给消费者30元作为售后补偿不合理！要求赔偿退回给我们30元！</v>
      </c>
      <c r="C15646" s="2" t="s">
        <v>9</v>
      </c>
      <c r="D15646" s="2" t="s">
        <v>10</v>
      </c>
      <c r="E15646" s="2" t="str">
        <f>HYPERLINK("http://ts.21cn.com/tousu/show/id/1347338","http://ts.21cn.com/tousu/show/id/1347338")</f>
        <v>http://ts.21cn.com/tousu/show/id/1347338</v>
      </c>
      <c r="F15646" s="2" t="s">
        <v>11</v>
      </c>
      <c r="G15646" s="2" t="s">
        <v>13395</v>
      </c>
      <c r="H15646" s="2" t="s">
        <v>13396</v>
      </c>
    </row>
    <row r="15647" spans="1:8" ht="25.05" customHeight="1" x14ac:dyDescent="0.25">
      <c r="A15647" s="2" t="s">
        <v>8</v>
      </c>
      <c r="B15647" s="2" t="str">
        <f>HYPERLINK("http://ts.21cn.com/tousu/show/id/1347339","招联金融")</f>
        <v>招联金融</v>
      </c>
      <c r="C15647" s="2" t="s">
        <v>9</v>
      </c>
      <c r="D15647" s="2" t="s">
        <v>10</v>
      </c>
      <c r="E15647" s="2" t="str">
        <f>HYPERLINK("http://ts.21cn.com/tousu/show/id/1347339","http://ts.21cn.com/tousu/show/id/1347339")</f>
        <v>http://ts.21cn.com/tousu/show/id/1347339</v>
      </c>
      <c r="F15647" s="2" t="s">
        <v>11</v>
      </c>
      <c r="G15647" s="2" t="s">
        <v>13393</v>
      </c>
      <c r="H15647" s="2" t="s">
        <v>13394</v>
      </c>
    </row>
    <row r="15648" spans="1:8" ht="25.05" customHeight="1" x14ac:dyDescent="0.25">
      <c r="A15648" s="2" t="s">
        <v>8</v>
      </c>
      <c r="B15648" s="2" t="str">
        <f>HYPERLINK("http://ts.21cn.com/tousu/show/id/1347340","淘宝商家联合翔哥物流伪造单子签名")</f>
        <v>淘宝商家联合翔哥物流伪造单子签名</v>
      </c>
      <c r="C15648" s="2" t="s">
        <v>9</v>
      </c>
      <c r="D15648" s="2" t="s">
        <v>10</v>
      </c>
      <c r="E15648" s="2" t="str">
        <f>HYPERLINK("http://ts.21cn.com/tousu/show/id/1347340","http://ts.21cn.com/tousu/show/id/1347340")</f>
        <v>http://ts.21cn.com/tousu/show/id/1347340</v>
      </c>
      <c r="F15648" s="2" t="s">
        <v>11</v>
      </c>
      <c r="G15648" s="2" t="s">
        <v>13391</v>
      </c>
      <c r="H15648" s="2" t="s">
        <v>13392</v>
      </c>
    </row>
    <row r="15649" spans="1:8" ht="25.05" customHeight="1" x14ac:dyDescent="0.25">
      <c r="A15649" s="2" t="s">
        <v>8</v>
      </c>
      <c r="B15649" s="2" t="str">
        <f>HYPERLINK("http://ts.21cn.com/tousu/show/id/1347341","蓝店商户提现两个月未到账")</f>
        <v>蓝店商户提现两个月未到账</v>
      </c>
      <c r="C15649" s="2" t="s">
        <v>9</v>
      </c>
      <c r="D15649" s="2" t="s">
        <v>10</v>
      </c>
      <c r="E15649" s="2" t="str">
        <f>HYPERLINK("http://ts.21cn.com/tousu/show/id/1347341","http://ts.21cn.com/tousu/show/id/1347341")</f>
        <v>http://ts.21cn.com/tousu/show/id/1347341</v>
      </c>
      <c r="F15649" s="2" t="s">
        <v>11</v>
      </c>
      <c r="G15649" s="2" t="s">
        <v>13389</v>
      </c>
      <c r="H15649" s="2" t="s">
        <v>13390</v>
      </c>
    </row>
    <row r="15650" spans="1:8" ht="25.05" customHeight="1" x14ac:dyDescent="0.25">
      <c r="A15650" s="2" t="s">
        <v>8</v>
      </c>
      <c r="B15650" s="2" t="str">
        <f>HYPERLINK("http://ts.21cn.com/tousu/show/id/1347344","玖富万卡高利贷暴力催收")</f>
        <v>玖富万卡高利贷暴力催收</v>
      </c>
      <c r="C15650" s="2" t="s">
        <v>9</v>
      </c>
      <c r="D15650" s="2" t="s">
        <v>10</v>
      </c>
      <c r="E15650" s="2" t="str">
        <f>HYPERLINK("http://ts.21cn.com/tousu/show/id/1347344","http://ts.21cn.com/tousu/show/id/1347344")</f>
        <v>http://ts.21cn.com/tousu/show/id/1347344</v>
      </c>
      <c r="F15650" s="2" t="s">
        <v>11</v>
      </c>
      <c r="G15650" s="2" t="s">
        <v>13387</v>
      </c>
      <c r="H15650" s="2" t="s">
        <v>13388</v>
      </c>
    </row>
    <row r="15651" spans="1:8" ht="25.05" customHeight="1" x14ac:dyDescent="0.25">
      <c r="A15651" s="2" t="s">
        <v>8</v>
      </c>
      <c r="B15651" s="2" t="str">
        <f>HYPERLINK("http://ts.21cn.com/tousu/show/id/1347345","美团生活费暴力催收")</f>
        <v>美团生活费暴力催收</v>
      </c>
      <c r="C15651" s="2" t="s">
        <v>9</v>
      </c>
      <c r="D15651" s="2" t="s">
        <v>10</v>
      </c>
      <c r="E15651" s="2" t="str">
        <f>HYPERLINK("http://ts.21cn.com/tousu/show/id/1347345","http://ts.21cn.com/tousu/show/id/1347345")</f>
        <v>http://ts.21cn.com/tousu/show/id/1347345</v>
      </c>
      <c r="F15651" s="2" t="s">
        <v>11</v>
      </c>
      <c r="G15651" s="2" t="s">
        <v>13385</v>
      </c>
      <c r="H15651" s="2" t="s">
        <v>13386</v>
      </c>
    </row>
    <row r="15652" spans="1:8" ht="25.05" customHeight="1" x14ac:dyDescent="0.25">
      <c r="A15652" s="2" t="s">
        <v>8</v>
      </c>
      <c r="B15652" s="2" t="str">
        <f>HYPERLINK("http://ts.21cn.com/tousu/show/id/1347349","平安普惠恶意催收，爆通讯录说帮我跟我朋友借钱还款")</f>
        <v>平安普惠恶意催收，爆通讯录说帮我跟我朋友借钱还款</v>
      </c>
      <c r="C15652" s="2" t="s">
        <v>9</v>
      </c>
      <c r="D15652" s="2" t="s">
        <v>10</v>
      </c>
      <c r="E15652" s="2" t="str">
        <f>HYPERLINK("http://ts.21cn.com/tousu/show/id/1347349","http://ts.21cn.com/tousu/show/id/1347349")</f>
        <v>http://ts.21cn.com/tousu/show/id/1347349</v>
      </c>
      <c r="F15652" s="2" t="s">
        <v>11</v>
      </c>
      <c r="G15652" s="2" t="s">
        <v>13383</v>
      </c>
      <c r="H15652" s="2" t="s">
        <v>13384</v>
      </c>
    </row>
    <row r="15653" spans="1:8" ht="25.05" customHeight="1" x14ac:dyDescent="0.25">
      <c r="A15653" s="2" t="s">
        <v>8</v>
      </c>
      <c r="B15653" s="2" t="str">
        <f>HYPERLINK("http://ts.21cn.com/tousu/show/id/1347347","没有提现码")</f>
        <v>没有提现码</v>
      </c>
      <c r="C15653" s="2" t="s">
        <v>34</v>
      </c>
      <c r="D15653" s="2" t="s">
        <v>10</v>
      </c>
      <c r="E15653" s="2" t="str">
        <f>HYPERLINK("http://ts.21cn.com/tousu/show/id/1347347","http://ts.21cn.com/tousu/show/id/1347347")</f>
        <v>http://ts.21cn.com/tousu/show/id/1347347</v>
      </c>
      <c r="F15653" s="2" t="s">
        <v>11</v>
      </c>
      <c r="G15653" s="2" t="s">
        <v>13381</v>
      </c>
      <c r="H15653" s="2" t="s">
        <v>13382</v>
      </c>
    </row>
    <row r="15654" spans="1:8" ht="25.05" customHeight="1" x14ac:dyDescent="0.25">
      <c r="A15654" s="2" t="s">
        <v>8</v>
      </c>
      <c r="B15654" s="2" t="str">
        <f>HYPERLINK("http://ts.21cn.com/tousu/show/id/1347348","暴力催收，高利贷")</f>
        <v>暴力催收，高利贷</v>
      </c>
      <c r="C15654" s="2" t="s">
        <v>9</v>
      </c>
      <c r="D15654" s="2" t="s">
        <v>10</v>
      </c>
      <c r="E15654" s="2" t="str">
        <f>HYPERLINK("http://ts.21cn.com/tousu/show/id/1347348","http://ts.21cn.com/tousu/show/id/1347348")</f>
        <v>http://ts.21cn.com/tousu/show/id/1347348</v>
      </c>
      <c r="F15654" s="2" t="s">
        <v>11</v>
      </c>
      <c r="G15654" s="2" t="s">
        <v>13379</v>
      </c>
      <c r="H15654" s="2" t="s">
        <v>13380</v>
      </c>
    </row>
    <row r="15655" spans="1:8" ht="25.05" customHeight="1" x14ac:dyDescent="0.25">
      <c r="A15655" s="2" t="s">
        <v>8</v>
      </c>
      <c r="B15655" s="2" t="str">
        <f>HYPERLINK("http://ts.21cn.com/tousu/show/id/1347350","钱站高利贷阴阳合同，暴力催收")</f>
        <v>钱站高利贷阴阳合同，暴力催收</v>
      </c>
      <c r="C15655" s="2" t="s">
        <v>9</v>
      </c>
      <c r="D15655" s="2" t="s">
        <v>10</v>
      </c>
      <c r="E15655" s="2" t="str">
        <f>HYPERLINK("http://ts.21cn.com/tousu/show/id/1347350","http://ts.21cn.com/tousu/show/id/1347350")</f>
        <v>http://ts.21cn.com/tousu/show/id/1347350</v>
      </c>
      <c r="F15655" s="2" t="s">
        <v>11</v>
      </c>
      <c r="G15655" s="2" t="s">
        <v>13377</v>
      </c>
      <c r="H15655" s="2" t="s">
        <v>13378</v>
      </c>
    </row>
    <row r="15656" spans="1:8" ht="25.05" customHeight="1" x14ac:dyDescent="0.25">
      <c r="A15656" s="2" t="s">
        <v>8</v>
      </c>
      <c r="B15656" s="2" t="str">
        <f>HYPERLINK("http://ts.21cn.com/tousu/show/id/1347351","天猫苏宁易购买的airpods耳机居然是瑕疵品")</f>
        <v>天猫苏宁易购买的airpods耳机居然是瑕疵品</v>
      </c>
      <c r="C15656" s="2" t="s">
        <v>9</v>
      </c>
      <c r="D15656" s="2" t="s">
        <v>10</v>
      </c>
      <c r="E15656" s="2" t="str">
        <f>HYPERLINK("http://ts.21cn.com/tousu/show/id/1347351","http://ts.21cn.com/tousu/show/id/1347351")</f>
        <v>http://ts.21cn.com/tousu/show/id/1347351</v>
      </c>
      <c r="F15656" s="2" t="s">
        <v>11</v>
      </c>
      <c r="G15656" s="2" t="s">
        <v>13375</v>
      </c>
      <c r="H15656" s="2" t="s">
        <v>13376</v>
      </c>
    </row>
    <row r="15657" spans="1:8" ht="25.05" customHeight="1" x14ac:dyDescent="0.25">
      <c r="A15657" s="2" t="s">
        <v>8</v>
      </c>
      <c r="B15657" s="2" t="str">
        <f>HYPERLINK("http://ts.21cn.com/tousu/show/id/1347352","提前还款，减免月息")</f>
        <v>提前还款，减免月息</v>
      </c>
      <c r="C15657" s="2" t="s">
        <v>9</v>
      </c>
      <c r="D15657" s="2" t="s">
        <v>10</v>
      </c>
      <c r="E15657" s="2" t="str">
        <f>HYPERLINK("http://ts.21cn.com/tousu/show/id/1347352","http://ts.21cn.com/tousu/show/id/1347352")</f>
        <v>http://ts.21cn.com/tousu/show/id/1347352</v>
      </c>
      <c r="F15657" s="2" t="s">
        <v>11</v>
      </c>
      <c r="G15657" s="2" t="s">
        <v>13373</v>
      </c>
      <c r="H15657" s="2" t="s">
        <v>13374</v>
      </c>
    </row>
    <row r="15658" spans="1:8" ht="25.05" customHeight="1" x14ac:dyDescent="0.25">
      <c r="A15658" s="2" t="s">
        <v>8</v>
      </c>
      <c r="B15658" s="2" t="str">
        <f>HYPERLINK("http://ts.21cn.com/tousu/show/id/1347324","高利息阴阳合同")</f>
        <v>高利息阴阳合同</v>
      </c>
      <c r="C15658" s="2" t="s">
        <v>9</v>
      </c>
      <c r="D15658" s="2" t="s">
        <v>10</v>
      </c>
      <c r="E15658" s="2" t="str">
        <f>HYPERLINK("http://ts.21cn.com/tousu/show/id/1347324","http://ts.21cn.com/tousu/show/id/1347324")</f>
        <v>http://ts.21cn.com/tousu/show/id/1347324</v>
      </c>
      <c r="F15658" s="2" t="s">
        <v>11</v>
      </c>
      <c r="G15658" s="2" t="s">
        <v>13371</v>
      </c>
      <c r="H15658" s="2" t="s">
        <v>13372</v>
      </c>
    </row>
    <row r="15659" spans="1:8" ht="25.05" customHeight="1" x14ac:dyDescent="0.25">
      <c r="A15659" s="2" t="s">
        <v>8</v>
      </c>
      <c r="B15659" s="2" t="str">
        <f>HYPERLINK("http://ts.21cn.com/tousu/show/id/1347353","714")</f>
        <v>714</v>
      </c>
      <c r="C15659" s="2" t="s">
        <v>9</v>
      </c>
      <c r="D15659" s="2" t="s">
        <v>10</v>
      </c>
      <c r="E15659" s="2" t="str">
        <f>HYPERLINK("http://ts.21cn.com/tousu/show/id/1347353","http://ts.21cn.com/tousu/show/id/1347353")</f>
        <v>http://ts.21cn.com/tousu/show/id/1347353</v>
      </c>
      <c r="F15659" s="2" t="s">
        <v>11</v>
      </c>
      <c r="G15659" s="2" t="s">
        <v>13369</v>
      </c>
      <c r="H15659" s="2" t="s">
        <v>13370</v>
      </c>
    </row>
    <row r="15660" spans="1:8" ht="25.05" customHeight="1" x14ac:dyDescent="0.25">
      <c r="A15660" s="2" t="s">
        <v>8</v>
      </c>
      <c r="B15660" s="2" t="str">
        <f>HYPERLINK("http://ts.21cn.com/tousu/show/id/1347355","喜鹊快贷电话骚扰")</f>
        <v>喜鹊快贷电话骚扰</v>
      </c>
      <c r="C15660" s="2" t="s">
        <v>9</v>
      </c>
      <c r="D15660" s="2" t="s">
        <v>10</v>
      </c>
      <c r="E15660" s="2" t="str">
        <f>HYPERLINK("http://ts.21cn.com/tousu/show/id/1347355","http://ts.21cn.com/tousu/show/id/1347355")</f>
        <v>http://ts.21cn.com/tousu/show/id/1347355</v>
      </c>
      <c r="F15660" s="2" t="s">
        <v>11</v>
      </c>
      <c r="G15660" s="2" t="s">
        <v>13367</v>
      </c>
      <c r="H15660" s="2" t="s">
        <v>13368</v>
      </c>
    </row>
    <row r="15661" spans="1:8" ht="25.05" customHeight="1" x14ac:dyDescent="0.25">
      <c r="A15661" s="2" t="s">
        <v>8</v>
      </c>
      <c r="B15661" s="2" t="str">
        <f>HYPERLINK("http://ts.21cn.com/tousu/show/id/1347356","拍拍贷利息太高，逾期费太高，催收人员态度很差")</f>
        <v>拍拍贷利息太高，逾期费太高，催收人员态度很差</v>
      </c>
      <c r="C15661" s="2" t="s">
        <v>9</v>
      </c>
      <c r="D15661" s="2" t="s">
        <v>10</v>
      </c>
      <c r="E15661" s="2" t="str">
        <f>HYPERLINK("http://ts.21cn.com/tousu/show/id/1347356","http://ts.21cn.com/tousu/show/id/1347356")</f>
        <v>http://ts.21cn.com/tousu/show/id/1347356</v>
      </c>
      <c r="F15661" s="2" t="s">
        <v>11</v>
      </c>
      <c r="G15661" s="2" t="s">
        <v>13365</v>
      </c>
      <c r="H15661" s="2" t="s">
        <v>13366</v>
      </c>
    </row>
    <row r="15662" spans="1:8" ht="25.05" customHeight="1" x14ac:dyDescent="0.25">
      <c r="A15662" s="2" t="s">
        <v>8</v>
      </c>
      <c r="B15662" s="2" t="str">
        <f>HYPERLINK("http://ts.21cn.com/tousu/show/id/1347358","小浦优客未经同意扣款")</f>
        <v>小浦优客未经同意扣款</v>
      </c>
      <c r="C15662" s="2" t="s">
        <v>34</v>
      </c>
      <c r="D15662" s="2" t="s">
        <v>10</v>
      </c>
      <c r="E15662" s="2" t="str">
        <f>HYPERLINK("http://ts.21cn.com/tousu/show/id/1347358","http://ts.21cn.com/tousu/show/id/1347358")</f>
        <v>http://ts.21cn.com/tousu/show/id/1347358</v>
      </c>
      <c r="F15662" s="2" t="s">
        <v>11</v>
      </c>
      <c r="G15662" s="2" t="s">
        <v>13363</v>
      </c>
      <c r="H15662" s="2" t="s">
        <v>13364</v>
      </c>
    </row>
    <row r="15663" spans="1:8" ht="25.05" customHeight="1" x14ac:dyDescent="0.25">
      <c r="A15663" s="2" t="s">
        <v>8</v>
      </c>
      <c r="B15663" s="2" t="str">
        <f>HYPERLINK("http://ts.21cn.com/tousu/show/id/1347200","拼多多支付宝支付违规")</f>
        <v>拼多多支付宝支付违规</v>
      </c>
      <c r="C15663" s="2" t="s">
        <v>9</v>
      </c>
      <c r="D15663" s="2" t="s">
        <v>10</v>
      </c>
      <c r="E15663" s="2" t="str">
        <f>HYPERLINK("http://ts.21cn.com/tousu/show/id/1347200","http://ts.21cn.com/tousu/show/id/1347200")</f>
        <v>http://ts.21cn.com/tousu/show/id/1347200</v>
      </c>
      <c r="F15663" s="2" t="s">
        <v>11</v>
      </c>
      <c r="G15663" s="2" t="s">
        <v>13361</v>
      </c>
      <c r="H15663" s="2" t="s">
        <v>13362</v>
      </c>
    </row>
    <row r="15664" spans="1:8" ht="25.05" customHeight="1" x14ac:dyDescent="0.25">
      <c r="A15664" s="2" t="s">
        <v>8</v>
      </c>
      <c r="B15664" s="2" t="str">
        <f>HYPERLINK("http://ts.21cn.com/tousu/show/id/1347360","中经汇通赖账，购买的翼汇通不返还")</f>
        <v>中经汇通赖账，购买的翼汇通不返还</v>
      </c>
      <c r="C15664" s="2" t="s">
        <v>9</v>
      </c>
      <c r="D15664" s="2" t="s">
        <v>10</v>
      </c>
      <c r="E15664" s="2" t="str">
        <f>HYPERLINK("http://ts.21cn.com/tousu/show/id/1347360","http://ts.21cn.com/tousu/show/id/1347360")</f>
        <v>http://ts.21cn.com/tousu/show/id/1347360</v>
      </c>
      <c r="F15664" s="2" t="s">
        <v>11</v>
      </c>
      <c r="G15664" s="2" t="s">
        <v>13359</v>
      </c>
      <c r="H15664" s="2" t="s">
        <v>13360</v>
      </c>
    </row>
    <row r="15665" spans="1:8" ht="25.05" customHeight="1" x14ac:dyDescent="0.25">
      <c r="A15665" s="2" t="s">
        <v>8</v>
      </c>
      <c r="B15665" s="2" t="str">
        <f>HYPERLINK("http://ts.21cn.com/tousu/show/id/1347361","玖富万卡协商结清不信守承诺，说话不算话，高利贷吸血")</f>
        <v>玖富万卡协商结清不信守承诺，说话不算话，高利贷吸血</v>
      </c>
      <c r="C15665" s="2" t="s">
        <v>9</v>
      </c>
      <c r="D15665" s="2" t="s">
        <v>10</v>
      </c>
      <c r="E15665" s="2" t="str">
        <f>HYPERLINK("http://ts.21cn.com/tousu/show/id/1347361","http://ts.21cn.com/tousu/show/id/1347361")</f>
        <v>http://ts.21cn.com/tousu/show/id/1347361</v>
      </c>
      <c r="F15665" s="2" t="s">
        <v>11</v>
      </c>
      <c r="G15665" s="2" t="s">
        <v>13356</v>
      </c>
      <c r="H15665" s="2" t="s">
        <v>13357</v>
      </c>
    </row>
    <row r="15666" spans="1:8" ht="25.05" customHeight="1" x14ac:dyDescent="0.25">
      <c r="A15666" s="2" t="s">
        <v>8</v>
      </c>
      <c r="B15666" s="2" t="str">
        <f>HYPERLINK("http://ts.21cn.com/tousu/show/id/1347363","银河互联网电视有限公司恶意扣费")</f>
        <v>银河互联网电视有限公司恶意扣费</v>
      </c>
      <c r="C15666" s="2" t="s">
        <v>9</v>
      </c>
      <c r="D15666" s="2" t="s">
        <v>10</v>
      </c>
      <c r="E15666" s="2" t="str">
        <f>HYPERLINK("http://ts.21cn.com/tousu/show/id/1347363","http://ts.21cn.com/tousu/show/id/1347363")</f>
        <v>http://ts.21cn.com/tousu/show/id/1347363</v>
      </c>
      <c r="F15666" s="2" t="s">
        <v>11</v>
      </c>
      <c r="G15666" s="2" t="s">
        <v>13356</v>
      </c>
      <c r="H15666" s="2" t="s">
        <v>13358</v>
      </c>
    </row>
    <row r="15667" spans="1:8" ht="25.05" customHeight="1" x14ac:dyDescent="0.25">
      <c r="A15667" s="2" t="s">
        <v>8</v>
      </c>
      <c r="B15667" s="2" t="str">
        <f>HYPERLINK("http://ts.21cn.com/tousu/show/id/1347362","快法务公司电话骚扰")</f>
        <v>快法务公司电话骚扰</v>
      </c>
      <c r="C15667" s="2" t="s">
        <v>9</v>
      </c>
      <c r="D15667" s="2" t="s">
        <v>10</v>
      </c>
      <c r="E15667" s="2" t="str">
        <f>HYPERLINK("http://ts.21cn.com/tousu/show/id/1347362","http://ts.21cn.com/tousu/show/id/1347362")</f>
        <v>http://ts.21cn.com/tousu/show/id/1347362</v>
      </c>
      <c r="F15667" s="2" t="s">
        <v>11</v>
      </c>
      <c r="G15667" s="2" t="s">
        <v>13354</v>
      </c>
      <c r="H15667" s="2" t="s">
        <v>13355</v>
      </c>
    </row>
    <row r="15668" spans="1:8" ht="25.05" customHeight="1" x14ac:dyDescent="0.25">
      <c r="A15668" s="2" t="s">
        <v>8</v>
      </c>
      <c r="B15668" s="2" t="str">
        <f>HYPERLINK("http://ts.21cn.com/tousu/show/id/1347364","钱站高利贷阴阳合同")</f>
        <v>钱站高利贷阴阳合同</v>
      </c>
      <c r="C15668" s="2" t="s">
        <v>9</v>
      </c>
      <c r="D15668" s="2" t="s">
        <v>10</v>
      </c>
      <c r="E15668" s="2" t="str">
        <f>HYPERLINK("http://ts.21cn.com/tousu/show/id/1347364","http://ts.21cn.com/tousu/show/id/1347364")</f>
        <v>http://ts.21cn.com/tousu/show/id/1347364</v>
      </c>
      <c r="F15668" s="2" t="s">
        <v>11</v>
      </c>
      <c r="G15668" s="2" t="s">
        <v>13352</v>
      </c>
      <c r="H15668" s="2" t="s">
        <v>13353</v>
      </c>
    </row>
    <row r="15669" spans="1:8" ht="25.05" customHeight="1" x14ac:dyDescent="0.25">
      <c r="A15669" s="2" t="s">
        <v>8</v>
      </c>
      <c r="B15669" s="2" t="str">
        <f>HYPERLINK("http://ts.21cn.com/tousu/show/id/1347365","360借条盗取公民个人信息一直骚扰")</f>
        <v>360借条盗取公民个人信息一直骚扰</v>
      </c>
      <c r="C15669" s="2" t="s">
        <v>9</v>
      </c>
      <c r="D15669" s="2" t="s">
        <v>10</v>
      </c>
      <c r="E15669" s="2" t="str">
        <f>HYPERLINK("http://ts.21cn.com/tousu/show/id/1347365","http://ts.21cn.com/tousu/show/id/1347365")</f>
        <v>http://ts.21cn.com/tousu/show/id/1347365</v>
      </c>
      <c r="F15669" s="2" t="s">
        <v>11</v>
      </c>
      <c r="G15669" s="2" t="s">
        <v>13350</v>
      </c>
      <c r="H15669" s="2" t="s">
        <v>13351</v>
      </c>
    </row>
    <row r="15670" spans="1:8" ht="25.05" customHeight="1" x14ac:dyDescent="0.25">
      <c r="A15670" s="2" t="s">
        <v>8</v>
      </c>
      <c r="B15670" s="2" t="str">
        <f>HYPERLINK("http://ts.21cn.com/tousu/show/id/1347366","达飞云贷垃圾高利贷")</f>
        <v>达飞云贷垃圾高利贷</v>
      </c>
      <c r="C15670" s="2" t="s">
        <v>9</v>
      </c>
      <c r="D15670" s="2" t="s">
        <v>10</v>
      </c>
      <c r="E15670" s="2" t="str">
        <f>HYPERLINK("http://ts.21cn.com/tousu/show/id/1347366","http://ts.21cn.com/tousu/show/id/1347366")</f>
        <v>http://ts.21cn.com/tousu/show/id/1347366</v>
      </c>
      <c r="F15670" s="2" t="s">
        <v>11</v>
      </c>
      <c r="G15670" s="2" t="s">
        <v>13348</v>
      </c>
      <c r="H15670" s="2" t="s">
        <v>13349</v>
      </c>
    </row>
    <row r="15671" spans="1:8" ht="25.05" customHeight="1" x14ac:dyDescent="0.25">
      <c r="A15671" s="2" t="s">
        <v>8</v>
      </c>
      <c r="B15671" s="2" t="str">
        <f>HYPERLINK("http://ts.21cn.com/tousu/show/id/1347367","高炮")</f>
        <v>高炮</v>
      </c>
      <c r="C15671" s="2" t="s">
        <v>9</v>
      </c>
      <c r="D15671" s="2" t="s">
        <v>10</v>
      </c>
      <c r="E15671" s="2" t="str">
        <f>HYPERLINK("http://ts.21cn.com/tousu/show/id/1347367","http://ts.21cn.com/tousu/show/id/1347367")</f>
        <v>http://ts.21cn.com/tousu/show/id/1347367</v>
      </c>
      <c r="F15671" s="2" t="s">
        <v>11</v>
      </c>
      <c r="G15671" s="2" t="s">
        <v>13346</v>
      </c>
      <c r="H15671" s="2" t="s">
        <v>13347</v>
      </c>
    </row>
    <row r="15672" spans="1:8" ht="25.05" customHeight="1" x14ac:dyDescent="0.25">
      <c r="A15672" s="2" t="s">
        <v>8</v>
      </c>
      <c r="B15672" s="2" t="str">
        <f>HYPERLINK("http://ts.21cn.com/tousu/show/id/1347368","提现没有提现码")</f>
        <v>提现没有提现码</v>
      </c>
      <c r="C15672" s="2" t="s">
        <v>34</v>
      </c>
      <c r="D15672" s="2" t="s">
        <v>10</v>
      </c>
      <c r="E15672" s="2" t="str">
        <f>HYPERLINK("http://ts.21cn.com/tousu/show/id/1347368","http://ts.21cn.com/tousu/show/id/1347368")</f>
        <v>http://ts.21cn.com/tousu/show/id/1347368</v>
      </c>
      <c r="F15672" s="2" t="s">
        <v>11</v>
      </c>
      <c r="G15672" s="2" t="s">
        <v>13344</v>
      </c>
      <c r="H15672" s="2" t="s">
        <v>13345</v>
      </c>
    </row>
    <row r="15673" spans="1:8" ht="25.05" customHeight="1" x14ac:dyDescent="0.25">
      <c r="A15673" s="2" t="s">
        <v>8</v>
      </c>
      <c r="B15673" s="2" t="str">
        <f>HYPERLINK("http://ts.21cn.com/tousu/show/id/1347369","支付宝催收态度恶劣，对债务人冷嘲热讽，威胁要抓人")</f>
        <v>支付宝催收态度恶劣，对债务人冷嘲热讽，威胁要抓人</v>
      </c>
      <c r="C15673" s="2" t="s">
        <v>9</v>
      </c>
      <c r="D15673" s="2" t="s">
        <v>10</v>
      </c>
      <c r="E15673" s="2" t="str">
        <f>HYPERLINK("http://ts.21cn.com/tousu/show/id/1347369","http://ts.21cn.com/tousu/show/id/1347369")</f>
        <v>http://ts.21cn.com/tousu/show/id/1347369</v>
      </c>
      <c r="F15673" s="2" t="s">
        <v>11</v>
      </c>
      <c r="G15673" s="2" t="s">
        <v>13342</v>
      </c>
      <c r="H15673" s="2" t="s">
        <v>13343</v>
      </c>
    </row>
    <row r="15674" spans="1:8" ht="25.05" customHeight="1" x14ac:dyDescent="0.25">
      <c r="A15674" s="2" t="s">
        <v>8</v>
      </c>
      <c r="B15674" s="2" t="str">
        <f>HYPERLINK("http://ts.21cn.com/tousu/show/id/1347371","未经本人同意爆通讯录，客服撒谎")</f>
        <v>未经本人同意爆通讯录，客服撒谎</v>
      </c>
      <c r="C15674" s="2" t="s">
        <v>9</v>
      </c>
      <c r="D15674" s="2" t="s">
        <v>10</v>
      </c>
      <c r="E15674" s="2" t="str">
        <f>HYPERLINK("http://ts.21cn.com/tousu/show/id/1347371","http://ts.21cn.com/tousu/show/id/1347371")</f>
        <v>http://ts.21cn.com/tousu/show/id/1347371</v>
      </c>
      <c r="F15674" s="2" t="s">
        <v>11</v>
      </c>
      <c r="G15674" s="2" t="s">
        <v>13340</v>
      </c>
      <c r="H15674" s="2" t="s">
        <v>13341</v>
      </c>
    </row>
    <row r="15675" spans="1:8" ht="25.05" customHeight="1" x14ac:dyDescent="0.25">
      <c r="A15675" s="2" t="s">
        <v>8</v>
      </c>
      <c r="B15675" s="2" t="str">
        <f>HYPERLINK("http://ts.21cn.com/tousu/show/id/1347372","东莞市轻奢维体健身房第二次无缘无故关门，老板跑路")</f>
        <v>东莞市轻奢维体健身房第二次无缘无故关门，老板跑路</v>
      </c>
      <c r="C15675" s="2" t="s">
        <v>9</v>
      </c>
      <c r="D15675" s="2" t="s">
        <v>10</v>
      </c>
      <c r="E15675" s="2" t="str">
        <f>HYPERLINK("http://ts.21cn.com/tousu/show/id/1347372","http://ts.21cn.com/tousu/show/id/1347372")</f>
        <v>http://ts.21cn.com/tousu/show/id/1347372</v>
      </c>
      <c r="F15675" s="2" t="s">
        <v>11</v>
      </c>
      <c r="G15675" s="2" t="s">
        <v>13338</v>
      </c>
      <c r="H15675" s="2" t="s">
        <v>13339</v>
      </c>
    </row>
    <row r="15676" spans="1:8" ht="25.05" customHeight="1" x14ac:dyDescent="0.25">
      <c r="A15676" s="2" t="s">
        <v>8</v>
      </c>
      <c r="B15676" s="2" t="str">
        <f>HYPERLINK("http://ts.21cn.com/tousu/show/id/1347373","招联严重骚扰导致不能正常生活")</f>
        <v>招联严重骚扰导致不能正常生活</v>
      </c>
      <c r="C15676" s="2" t="s">
        <v>9</v>
      </c>
      <c r="D15676" s="2" t="s">
        <v>10</v>
      </c>
      <c r="E15676" s="2" t="str">
        <f>HYPERLINK("http://ts.21cn.com/tousu/show/id/1347373","http://ts.21cn.com/tousu/show/id/1347373")</f>
        <v>http://ts.21cn.com/tousu/show/id/1347373</v>
      </c>
      <c r="F15676" s="2" t="s">
        <v>11</v>
      </c>
      <c r="G15676" s="2" t="s">
        <v>13336</v>
      </c>
      <c r="H15676" s="2" t="s">
        <v>13337</v>
      </c>
    </row>
    <row r="15677" spans="1:8" ht="25.05" customHeight="1" x14ac:dyDescent="0.25">
      <c r="A15677" s="2" t="s">
        <v>8</v>
      </c>
      <c r="B15677" s="2" t="str">
        <f>HYPERLINK("http://ts.21cn.com/tousu/show/id/1347374","借花钱app绑定银行卡恶意扣款")</f>
        <v>借花钱app绑定银行卡恶意扣款</v>
      </c>
      <c r="C15677" s="2" t="s">
        <v>9</v>
      </c>
      <c r="D15677" s="2" t="s">
        <v>10</v>
      </c>
      <c r="E15677" s="2" t="str">
        <f>HYPERLINK("http://ts.21cn.com/tousu/show/id/1347374","http://ts.21cn.com/tousu/show/id/1347374")</f>
        <v>http://ts.21cn.com/tousu/show/id/1347374</v>
      </c>
      <c r="F15677" s="2" t="s">
        <v>11</v>
      </c>
      <c r="G15677" s="2" t="s">
        <v>13334</v>
      </c>
      <c r="H15677" s="2" t="s">
        <v>13335</v>
      </c>
    </row>
    <row r="15678" spans="1:8" ht="25.05" customHeight="1" x14ac:dyDescent="0.25">
      <c r="A15678" s="2" t="s">
        <v>8</v>
      </c>
      <c r="B15678" s="2" t="str">
        <f>HYPERLINK("http://ts.21cn.com/tousu/show/id/1347343","闪联银收取前期费用，接审核名义不放款退款")</f>
        <v>闪联银收取前期费用，接审核名义不放款退款</v>
      </c>
      <c r="C15678" s="2" t="s">
        <v>34</v>
      </c>
      <c r="D15678" s="2" t="s">
        <v>10</v>
      </c>
      <c r="E15678" s="2" t="str">
        <f>HYPERLINK("http://ts.21cn.com/tousu/show/id/1347343","http://ts.21cn.com/tousu/show/id/1347343")</f>
        <v>http://ts.21cn.com/tousu/show/id/1347343</v>
      </c>
      <c r="F15678" s="2" t="s">
        <v>11</v>
      </c>
      <c r="G15678" s="2" t="s">
        <v>13332</v>
      </c>
      <c r="H15678" s="2" t="s">
        <v>13333</v>
      </c>
    </row>
    <row r="15679" spans="1:8" ht="25.05" customHeight="1" x14ac:dyDescent="0.25">
      <c r="A15679" s="2" t="s">
        <v>8</v>
      </c>
      <c r="B15679" s="2" t="str">
        <f>HYPERLINK("http://ts.21cn.com/tousu/show/id/1347378","融360内时光分期高额利息不能提前结清！")</f>
        <v>融360内时光分期高额利息不能提前结清！</v>
      </c>
      <c r="C15679" s="2" t="s">
        <v>9</v>
      </c>
      <c r="D15679" s="2" t="s">
        <v>10</v>
      </c>
      <c r="E15679" s="2" t="str">
        <f>HYPERLINK("http://ts.21cn.com/tousu/show/id/1347378","http://ts.21cn.com/tousu/show/id/1347378")</f>
        <v>http://ts.21cn.com/tousu/show/id/1347378</v>
      </c>
      <c r="F15679" s="2" t="s">
        <v>11</v>
      </c>
      <c r="G15679" s="2" t="s">
        <v>13330</v>
      </c>
      <c r="H15679" s="2" t="s">
        <v>13331</v>
      </c>
    </row>
    <row r="15680" spans="1:8" ht="25.05" customHeight="1" x14ac:dyDescent="0.25">
      <c r="A15680" s="2" t="s">
        <v>8</v>
      </c>
      <c r="B15680" s="2" t="str">
        <f>HYPERLINK("http://ts.21cn.com/tousu/show/id/1347376","七天高利贷返还非法利息")</f>
        <v>七天高利贷返还非法利息</v>
      </c>
      <c r="C15680" s="2" t="s">
        <v>9</v>
      </c>
      <c r="D15680" s="2" t="s">
        <v>10</v>
      </c>
      <c r="E15680" s="2" t="str">
        <f>HYPERLINK("http://ts.21cn.com/tousu/show/id/1347376","http://ts.21cn.com/tousu/show/id/1347376")</f>
        <v>http://ts.21cn.com/tousu/show/id/1347376</v>
      </c>
      <c r="F15680" s="2" t="s">
        <v>11</v>
      </c>
      <c r="G15680" s="2" t="s">
        <v>13327</v>
      </c>
      <c r="H15680" s="2" t="s">
        <v>13328</v>
      </c>
    </row>
    <row r="15681" spans="1:8" ht="25.05" customHeight="1" x14ac:dyDescent="0.25">
      <c r="A15681" s="2" t="s">
        <v>8</v>
      </c>
      <c r="B15681" s="2" t="str">
        <f>HYPERLINK("http://ts.21cn.com/tousu/show/id/1347375","朗玛移动不让实名认证导致手机号报废")</f>
        <v>朗玛移动不让实名认证导致手机号报废</v>
      </c>
      <c r="C15681" s="2" t="s">
        <v>9</v>
      </c>
      <c r="D15681" s="2" t="s">
        <v>10</v>
      </c>
      <c r="E15681" s="2" t="str">
        <f>HYPERLINK("http://ts.21cn.com/tousu/show/id/1347375","http://ts.21cn.com/tousu/show/id/1347375")</f>
        <v>http://ts.21cn.com/tousu/show/id/1347375</v>
      </c>
      <c r="F15681" s="2" t="s">
        <v>11</v>
      </c>
      <c r="G15681" s="2" t="s">
        <v>13327</v>
      </c>
      <c r="H15681" s="2" t="s">
        <v>13329</v>
      </c>
    </row>
    <row r="15682" spans="1:8" ht="25.05" customHeight="1" x14ac:dyDescent="0.25">
      <c r="A15682" s="2" t="s">
        <v>8</v>
      </c>
      <c r="B15682" s="2" t="str">
        <f>HYPERLINK("http://ts.21cn.com/tousu/show/id/1347377","光大银行客服及外访人员态度恶劣，言语恐吓")</f>
        <v>光大银行客服及外访人员态度恶劣，言语恐吓</v>
      </c>
      <c r="C15682" s="2" t="s">
        <v>9</v>
      </c>
      <c r="D15682" s="2" t="s">
        <v>10</v>
      </c>
      <c r="E15682" s="2" t="str">
        <f>HYPERLINK("http://ts.21cn.com/tousu/show/id/1347377","http://ts.21cn.com/tousu/show/id/1347377")</f>
        <v>http://ts.21cn.com/tousu/show/id/1347377</v>
      </c>
      <c r="F15682" s="2" t="s">
        <v>11</v>
      </c>
      <c r="G15682" s="2" t="s">
        <v>13325</v>
      </c>
      <c r="H15682" s="2" t="s">
        <v>13326</v>
      </c>
    </row>
    <row r="15683" spans="1:8" ht="25.05" customHeight="1" x14ac:dyDescent="0.25">
      <c r="A15683" s="2" t="s">
        <v>8</v>
      </c>
      <c r="B15683" s="2" t="str">
        <f>HYPERLINK("http://ts.21cn.com/tousu/show/id/1347379","严重影响我的工作、骚扰我的生活，危害我的身体健康")</f>
        <v>严重影响我的工作、骚扰我的生活，危害我的身体健康</v>
      </c>
      <c r="C15683" s="2" t="s">
        <v>9</v>
      </c>
      <c r="D15683" s="2" t="s">
        <v>10</v>
      </c>
      <c r="E15683" s="2" t="str">
        <f>HYPERLINK("http://ts.21cn.com/tousu/show/id/1347379","http://ts.21cn.com/tousu/show/id/1347379")</f>
        <v>http://ts.21cn.com/tousu/show/id/1347379</v>
      </c>
      <c r="F15683" s="2" t="s">
        <v>11</v>
      </c>
      <c r="G15683" s="2" t="s">
        <v>13323</v>
      </c>
      <c r="H15683" s="2" t="s">
        <v>13324</v>
      </c>
    </row>
    <row r="15684" spans="1:8" ht="25.05" customHeight="1" x14ac:dyDescent="0.25">
      <c r="A15684" s="2" t="s">
        <v>8</v>
      </c>
      <c r="B15684" s="2" t="str">
        <f>HYPERLINK("http://ts.21cn.com/tousu/show/id/1347270","退租后悦如公寓不退押金")</f>
        <v>退租后悦如公寓不退押金</v>
      </c>
      <c r="C15684" s="2" t="s">
        <v>9</v>
      </c>
      <c r="D15684" s="2" t="s">
        <v>10</v>
      </c>
      <c r="E15684" s="2" t="str">
        <f>HYPERLINK("http://ts.21cn.com/tousu/show/id/1347270","http://ts.21cn.com/tousu/show/id/1347270")</f>
        <v>http://ts.21cn.com/tousu/show/id/1347270</v>
      </c>
      <c r="F15684" s="2" t="s">
        <v>11</v>
      </c>
      <c r="G15684" s="2" t="s">
        <v>13321</v>
      </c>
      <c r="H15684" s="2" t="s">
        <v>13322</v>
      </c>
    </row>
    <row r="15685" spans="1:8" ht="25.05" customHeight="1" x14ac:dyDescent="0.25">
      <c r="A15685" s="2" t="s">
        <v>8</v>
      </c>
      <c r="B15685" s="2" t="str">
        <f>HYPERLINK("http://ts.21cn.com/tousu/show/id/1347380","利息太高")</f>
        <v>利息太高</v>
      </c>
      <c r="C15685" s="2" t="s">
        <v>9</v>
      </c>
      <c r="D15685" s="2" t="s">
        <v>10</v>
      </c>
      <c r="E15685" s="2" t="str">
        <f>HYPERLINK("http://ts.21cn.com/tousu/show/id/1347380","http://ts.21cn.com/tousu/show/id/1347380")</f>
        <v>http://ts.21cn.com/tousu/show/id/1347380</v>
      </c>
      <c r="F15685" s="2" t="s">
        <v>11</v>
      </c>
      <c r="G15685" s="2" t="s">
        <v>13319</v>
      </c>
      <c r="H15685" s="2" t="s">
        <v>13320</v>
      </c>
    </row>
    <row r="15686" spans="1:8" ht="25.05" customHeight="1" x14ac:dyDescent="0.25">
      <c r="A15686" s="2" t="s">
        <v>8</v>
      </c>
      <c r="B15686" s="2" t="str">
        <f>HYPERLINK("http://ts.21cn.com/tousu/show/id/1347382","钱站暴力催收、群发信息给我家人朋友")</f>
        <v>钱站暴力催收、群发信息给我家人朋友</v>
      </c>
      <c r="C15686" s="2" t="s">
        <v>9</v>
      </c>
      <c r="D15686" s="2" t="s">
        <v>10</v>
      </c>
      <c r="E15686" s="2" t="str">
        <f>HYPERLINK("http://ts.21cn.com/tousu/show/id/1347382","http://ts.21cn.com/tousu/show/id/1347382")</f>
        <v>http://ts.21cn.com/tousu/show/id/1347382</v>
      </c>
      <c r="F15686" s="2" t="s">
        <v>11</v>
      </c>
      <c r="G15686" s="2" t="s">
        <v>13317</v>
      </c>
      <c r="H15686" s="2" t="s">
        <v>13318</v>
      </c>
    </row>
    <row r="15687" spans="1:8" ht="25.05" customHeight="1" x14ac:dyDescent="0.25">
      <c r="A15687" s="2" t="s">
        <v>8</v>
      </c>
      <c r="B15687" s="2" t="str">
        <f>HYPERLINK("http://ts.21cn.com/tousu/show/id/1347219","马上消费金融，暴力催收，群发短信，恐吓催收")</f>
        <v>马上消费金融，暴力催收，群发短信，恐吓催收</v>
      </c>
      <c r="C15687" s="2" t="s">
        <v>9</v>
      </c>
      <c r="D15687" s="2" t="s">
        <v>10</v>
      </c>
      <c r="E15687" s="2" t="str">
        <f>HYPERLINK("http://ts.21cn.com/tousu/show/id/1347219","http://ts.21cn.com/tousu/show/id/1347219")</f>
        <v>http://ts.21cn.com/tousu/show/id/1347219</v>
      </c>
      <c r="F15687" s="2" t="s">
        <v>11</v>
      </c>
      <c r="G15687" s="2" t="s">
        <v>13315</v>
      </c>
      <c r="H15687" s="2" t="s">
        <v>13316</v>
      </c>
    </row>
    <row r="15688" spans="1:8" ht="25.05" customHeight="1" x14ac:dyDescent="0.25">
      <c r="A15688" s="2" t="s">
        <v>8</v>
      </c>
      <c r="B15688" s="2" t="str">
        <f>HYPERLINK("http://ts.21cn.com/tousu/show/id/1347386","没到还款期就打电话骚扰")</f>
        <v>没到还款期就打电话骚扰</v>
      </c>
      <c r="C15688" s="2" t="s">
        <v>9</v>
      </c>
      <c r="D15688" s="2" t="s">
        <v>10</v>
      </c>
      <c r="E15688" s="2" t="str">
        <f>HYPERLINK("http://ts.21cn.com/tousu/show/id/1347386","http://ts.21cn.com/tousu/show/id/1347386")</f>
        <v>http://ts.21cn.com/tousu/show/id/1347386</v>
      </c>
      <c r="F15688" s="2" t="s">
        <v>11</v>
      </c>
      <c r="G15688" s="2" t="s">
        <v>13313</v>
      </c>
      <c r="H15688" s="2" t="s">
        <v>13314</v>
      </c>
    </row>
    <row r="15689" spans="1:8" ht="25.05" customHeight="1" x14ac:dyDescent="0.25">
      <c r="A15689" s="2" t="s">
        <v>8</v>
      </c>
      <c r="B15689" s="2" t="str">
        <f>HYPERLINK("http://ts.21cn.com/tousu/show/id/1347384","小浦优客没有经过我同意就扣款")</f>
        <v>小浦优客没有经过我同意就扣款</v>
      </c>
      <c r="C15689" s="2" t="s">
        <v>34</v>
      </c>
      <c r="D15689" s="2" t="s">
        <v>10</v>
      </c>
      <c r="E15689" s="2" t="str">
        <f>HYPERLINK("http://ts.21cn.com/tousu/show/id/1347384","http://ts.21cn.com/tousu/show/id/1347384")</f>
        <v>http://ts.21cn.com/tousu/show/id/1347384</v>
      </c>
      <c r="F15689" s="2" t="s">
        <v>11</v>
      </c>
      <c r="G15689" s="2" t="s">
        <v>13311</v>
      </c>
      <c r="H15689" s="2" t="s">
        <v>13312</v>
      </c>
    </row>
    <row r="15690" spans="1:8" ht="25.05" customHeight="1" x14ac:dyDescent="0.25">
      <c r="A15690" s="2" t="s">
        <v>8</v>
      </c>
      <c r="B15690" s="2" t="str">
        <f>HYPERLINK("http://ts.21cn.com/tousu/show/id/1347385","招联金融频繁骚扰")</f>
        <v>招联金融频繁骚扰</v>
      </c>
      <c r="C15690" s="2" t="s">
        <v>9</v>
      </c>
      <c r="D15690" s="2" t="s">
        <v>10</v>
      </c>
      <c r="E15690" s="2" t="str">
        <f>HYPERLINK("http://ts.21cn.com/tousu/show/id/1347385","http://ts.21cn.com/tousu/show/id/1347385")</f>
        <v>http://ts.21cn.com/tousu/show/id/1347385</v>
      </c>
      <c r="F15690" s="2" t="s">
        <v>11</v>
      </c>
      <c r="G15690" s="2" t="s">
        <v>13309</v>
      </c>
      <c r="H15690" s="2" t="s">
        <v>13310</v>
      </c>
    </row>
    <row r="15691" spans="1:8" ht="25.05" customHeight="1" x14ac:dyDescent="0.25">
      <c r="A15691" s="2" t="s">
        <v>8</v>
      </c>
      <c r="B15691" s="2" t="str">
        <f>HYPERLINK("http://ts.21cn.com/tousu/show/id/1347387","聚富分期APP在本人没有同意购买《个人风险等级评估报告》自动扣款")</f>
        <v>聚富分期APP在本人没有同意购买《个人风险等级评估报告》自动扣款</v>
      </c>
      <c r="C15691" s="2" t="s">
        <v>9</v>
      </c>
      <c r="D15691" s="2" t="s">
        <v>10</v>
      </c>
      <c r="E15691" s="2" t="str">
        <f>HYPERLINK("http://ts.21cn.com/tousu/show/id/1347387","http://ts.21cn.com/tousu/show/id/1347387")</f>
        <v>http://ts.21cn.com/tousu/show/id/1347387</v>
      </c>
      <c r="F15691" s="2" t="s">
        <v>11</v>
      </c>
      <c r="G15691" s="2" t="s">
        <v>13307</v>
      </c>
      <c r="H15691" s="2" t="s">
        <v>13308</v>
      </c>
    </row>
    <row r="15692" spans="1:8" ht="25.05" customHeight="1" x14ac:dyDescent="0.25">
      <c r="A15692" s="2" t="s">
        <v>8</v>
      </c>
      <c r="B15692" s="2" t="str">
        <f>HYPERLINK("http://ts.21cn.com/tousu/show/id/1347388","小浦优客私自扣款296")</f>
        <v>小浦优客私自扣款296</v>
      </c>
      <c r="C15692" s="2" t="s">
        <v>9</v>
      </c>
      <c r="D15692" s="2" t="s">
        <v>10</v>
      </c>
      <c r="E15692" s="2" t="str">
        <f>HYPERLINK("http://ts.21cn.com/tousu/show/id/1347388","http://ts.21cn.com/tousu/show/id/1347388")</f>
        <v>http://ts.21cn.com/tousu/show/id/1347388</v>
      </c>
      <c r="F15692" s="2" t="s">
        <v>11</v>
      </c>
      <c r="G15692" s="2" t="s">
        <v>13305</v>
      </c>
      <c r="H15692" s="2" t="s">
        <v>13306</v>
      </c>
    </row>
    <row r="15693" spans="1:8" ht="25.05" customHeight="1" x14ac:dyDescent="0.25">
      <c r="A15693" s="2" t="s">
        <v>8</v>
      </c>
      <c r="B15693" s="2" t="str">
        <f>HYPERLINK("http://ts.21cn.com/tousu/show/id/1347383","淘宝售卖假货淘宝网不处理")</f>
        <v>淘宝售卖假货淘宝网不处理</v>
      </c>
      <c r="C15693" s="2" t="s">
        <v>9</v>
      </c>
      <c r="D15693" s="2" t="s">
        <v>10</v>
      </c>
      <c r="E15693" s="2" t="str">
        <f>HYPERLINK("http://ts.21cn.com/tousu/show/id/1347383","http://ts.21cn.com/tousu/show/id/1347383")</f>
        <v>http://ts.21cn.com/tousu/show/id/1347383</v>
      </c>
      <c r="F15693" s="2" t="s">
        <v>11</v>
      </c>
      <c r="G15693" s="2" t="s">
        <v>13303</v>
      </c>
      <c r="H15693" s="2" t="s">
        <v>13304</v>
      </c>
    </row>
    <row r="15694" spans="1:8" ht="25.05" customHeight="1" x14ac:dyDescent="0.25">
      <c r="A15694" s="2" t="s">
        <v>8</v>
      </c>
      <c r="B15694" s="2" t="str">
        <f>HYPERLINK("http://ts.21cn.com/tousu/show/id/1347390","铁航程商旅悦程出行机场误导办卡，欺瞒消费者，要求尽快全额退款")</f>
        <v>铁航程商旅悦程出行机场误导办卡，欺瞒消费者，要求尽快全额退款</v>
      </c>
      <c r="C15694" s="2" t="s">
        <v>9</v>
      </c>
      <c r="D15694" s="2" t="s">
        <v>10</v>
      </c>
      <c r="E15694" s="2" t="str">
        <f>HYPERLINK("http://ts.21cn.com/tousu/show/id/1347390","http://ts.21cn.com/tousu/show/id/1347390")</f>
        <v>http://ts.21cn.com/tousu/show/id/1347390</v>
      </c>
      <c r="F15694" s="2" t="s">
        <v>11</v>
      </c>
      <c r="G15694" s="2" t="s">
        <v>13301</v>
      </c>
      <c r="H15694" s="2" t="s">
        <v>13302</v>
      </c>
    </row>
    <row r="15695" spans="1:8" ht="25.05" customHeight="1" x14ac:dyDescent="0.25">
      <c r="A15695" s="2" t="s">
        <v>8</v>
      </c>
      <c r="B15695" s="2" t="str">
        <f>HYPERLINK("http://ts.21cn.com/tousu/show/id/1347391","恶意催收威胁辱骂骚扰通讯录")</f>
        <v>恶意催收威胁辱骂骚扰通讯录</v>
      </c>
      <c r="C15695" s="2" t="s">
        <v>9</v>
      </c>
      <c r="D15695" s="2" t="s">
        <v>10</v>
      </c>
      <c r="E15695" s="2" t="str">
        <f>HYPERLINK("http://ts.21cn.com/tousu/show/id/1347391","http://ts.21cn.com/tousu/show/id/1347391")</f>
        <v>http://ts.21cn.com/tousu/show/id/1347391</v>
      </c>
      <c r="F15695" s="2" t="s">
        <v>11</v>
      </c>
      <c r="G15695" s="2" t="s">
        <v>13299</v>
      </c>
      <c r="H15695" s="2" t="s">
        <v>13300</v>
      </c>
    </row>
    <row r="15696" spans="1:8" ht="25.05" customHeight="1" x14ac:dyDescent="0.25">
      <c r="A15696" s="2" t="s">
        <v>8</v>
      </c>
      <c r="B15696" s="2" t="str">
        <f>HYPERLINK("http://ts.21cn.com/tousu/show/id/1347393","高利贷软暴力恐吓")</f>
        <v>高利贷软暴力恐吓</v>
      </c>
      <c r="C15696" s="2" t="s">
        <v>9</v>
      </c>
      <c r="D15696" s="2" t="s">
        <v>10</v>
      </c>
      <c r="E15696" s="2" t="str">
        <f>HYPERLINK("http://ts.21cn.com/tousu/show/id/1347393","http://ts.21cn.com/tousu/show/id/1347393")</f>
        <v>http://ts.21cn.com/tousu/show/id/1347393</v>
      </c>
      <c r="F15696" s="2" t="s">
        <v>11</v>
      </c>
      <c r="G15696" s="2" t="s">
        <v>13297</v>
      </c>
      <c r="H15696" s="2" t="s">
        <v>13298</v>
      </c>
    </row>
    <row r="15697" spans="1:8" ht="25.05" customHeight="1" x14ac:dyDescent="0.25">
      <c r="A15697" s="2" t="s">
        <v>8</v>
      </c>
      <c r="B15697" s="2" t="str">
        <f>HYPERLINK("http://ts.21cn.com/tousu/show/id/1347394","号被盗了申诉不回来")</f>
        <v>号被盗了申诉不回来</v>
      </c>
      <c r="C15697" s="2" t="s">
        <v>9</v>
      </c>
      <c r="D15697" s="2" t="s">
        <v>10</v>
      </c>
      <c r="E15697" s="2" t="str">
        <f>HYPERLINK("http://ts.21cn.com/tousu/show/id/1347394","http://ts.21cn.com/tousu/show/id/1347394")</f>
        <v>http://ts.21cn.com/tousu/show/id/1347394</v>
      </c>
      <c r="F15697" s="2" t="s">
        <v>11</v>
      </c>
      <c r="G15697" s="2" t="s">
        <v>13295</v>
      </c>
      <c r="H15697" s="2" t="s">
        <v>13296</v>
      </c>
    </row>
    <row r="15698" spans="1:8" ht="25.05" customHeight="1" x14ac:dyDescent="0.25">
      <c r="A15698" s="2" t="s">
        <v>8</v>
      </c>
      <c r="B15698" s="2" t="str">
        <f>HYPERLINK("http://ts.21cn.com/tousu/show/id/1347396","虚假宣传高利贷省呗杭银消费金融中原消费金融")</f>
        <v>虚假宣传高利贷省呗杭银消费金融中原消费金融</v>
      </c>
      <c r="C15698" s="2" t="s">
        <v>9</v>
      </c>
      <c r="D15698" s="2" t="s">
        <v>10</v>
      </c>
      <c r="E15698" s="2" t="str">
        <f>HYPERLINK("http://ts.21cn.com/tousu/show/id/1347396","http://ts.21cn.com/tousu/show/id/1347396")</f>
        <v>http://ts.21cn.com/tousu/show/id/1347396</v>
      </c>
      <c r="F15698" s="2" t="s">
        <v>11</v>
      </c>
      <c r="G15698" s="2" t="s">
        <v>13293</v>
      </c>
      <c r="H15698" s="2" t="s">
        <v>13294</v>
      </c>
    </row>
    <row r="15699" spans="1:8" ht="25.05" customHeight="1" x14ac:dyDescent="0.25">
      <c r="A15699" s="2" t="s">
        <v>8</v>
      </c>
      <c r="B15699" s="2" t="str">
        <f>HYPERLINK("http://ts.21cn.com/tousu/show/id/1347397","高利贷")</f>
        <v>高利贷</v>
      </c>
      <c r="C15699" s="2" t="s">
        <v>9</v>
      </c>
      <c r="D15699" s="2" t="s">
        <v>10</v>
      </c>
      <c r="E15699" s="2" t="str">
        <f>HYPERLINK("http://ts.21cn.com/tousu/show/id/1347397","http://ts.21cn.com/tousu/show/id/1347397")</f>
        <v>http://ts.21cn.com/tousu/show/id/1347397</v>
      </c>
      <c r="F15699" s="2" t="s">
        <v>11</v>
      </c>
      <c r="G15699" s="2" t="s">
        <v>13291</v>
      </c>
      <c r="H15699" s="2" t="s">
        <v>13292</v>
      </c>
    </row>
    <row r="15700" spans="1:8" ht="25.05" customHeight="1" x14ac:dyDescent="0.25">
      <c r="A15700" s="2" t="s">
        <v>8</v>
      </c>
      <c r="B15700" s="2" t="str">
        <f>HYPERLINK("http://ts.21cn.com/tousu/show/id/1347400","健身房因不履行服务，拒不退款，侵害权益")</f>
        <v>健身房因不履行服务，拒不退款，侵害权益</v>
      </c>
      <c r="C15700" s="2" t="s">
        <v>9</v>
      </c>
      <c r="D15700" s="2" t="s">
        <v>10</v>
      </c>
      <c r="E15700" s="2" t="str">
        <f>HYPERLINK("http://ts.21cn.com/tousu/show/id/1347400","http://ts.21cn.com/tousu/show/id/1347400")</f>
        <v>http://ts.21cn.com/tousu/show/id/1347400</v>
      </c>
      <c r="F15700" s="2" t="s">
        <v>11</v>
      </c>
      <c r="G15700" s="2" t="s">
        <v>13289</v>
      </c>
      <c r="H15700" s="2" t="s">
        <v>13290</v>
      </c>
    </row>
    <row r="15701" spans="1:8" ht="25.05" customHeight="1" x14ac:dyDescent="0.25">
      <c r="A15701" s="2" t="s">
        <v>8</v>
      </c>
      <c r="B15701" s="2" t="str">
        <f>HYPERLINK("http://ts.21cn.com/tousu/show/id/1347398","旺卡猫恶意扣款")</f>
        <v>旺卡猫恶意扣款</v>
      </c>
      <c r="C15701" s="2" t="s">
        <v>9</v>
      </c>
      <c r="D15701" s="2" t="s">
        <v>10</v>
      </c>
      <c r="E15701" s="2" t="str">
        <f>HYPERLINK("http://ts.21cn.com/tousu/show/id/1347398","http://ts.21cn.com/tousu/show/id/1347398")</f>
        <v>http://ts.21cn.com/tousu/show/id/1347398</v>
      </c>
      <c r="F15701" s="2" t="s">
        <v>11</v>
      </c>
      <c r="G15701" s="2" t="s">
        <v>13287</v>
      </c>
      <c r="H15701" s="2" t="s">
        <v>13288</v>
      </c>
    </row>
    <row r="15702" spans="1:8" ht="25.05" customHeight="1" x14ac:dyDescent="0.25">
      <c r="A15702" s="2" t="s">
        <v>8</v>
      </c>
      <c r="B15702" s="2" t="str">
        <f>HYPERLINK("http://ts.21cn.com/tousu/show/id/1347403","平安普惠i贷催收部门威胁我人生安全")</f>
        <v>平安普惠i贷催收部门威胁我人生安全</v>
      </c>
      <c r="C15702" s="2" t="s">
        <v>9</v>
      </c>
      <c r="D15702" s="2" t="s">
        <v>10</v>
      </c>
      <c r="E15702" s="2" t="str">
        <f>HYPERLINK("http://ts.21cn.com/tousu/show/id/1347403","http://ts.21cn.com/tousu/show/id/1347403")</f>
        <v>http://ts.21cn.com/tousu/show/id/1347403</v>
      </c>
      <c r="F15702" s="2" t="s">
        <v>11</v>
      </c>
      <c r="G15702" s="2" t="s">
        <v>13285</v>
      </c>
      <c r="H15702" s="2" t="s">
        <v>13286</v>
      </c>
    </row>
    <row r="15703" spans="1:8" ht="25.05" customHeight="1" x14ac:dyDescent="0.25">
      <c r="A15703" s="2" t="s">
        <v>8</v>
      </c>
      <c r="B15703" s="2" t="str">
        <f>HYPERLINK("http://ts.21cn.com/tousu/show/id/1347401","乐意花高额利息，远超国家法律规定的")</f>
        <v>乐意花高额利息，远超国家法律规定的</v>
      </c>
      <c r="C15703" s="2" t="s">
        <v>9</v>
      </c>
      <c r="D15703" s="2" t="s">
        <v>10</v>
      </c>
      <c r="E15703" s="2" t="str">
        <f>HYPERLINK("http://ts.21cn.com/tousu/show/id/1347401","http://ts.21cn.com/tousu/show/id/1347401")</f>
        <v>http://ts.21cn.com/tousu/show/id/1347401</v>
      </c>
      <c r="F15703" s="2" t="s">
        <v>11</v>
      </c>
      <c r="G15703" s="2" t="s">
        <v>13283</v>
      </c>
      <c r="H15703" s="2" t="s">
        <v>13284</v>
      </c>
    </row>
    <row r="15704" spans="1:8" ht="25.05" customHeight="1" x14ac:dyDescent="0.25">
      <c r="A15704" s="2" t="s">
        <v>8</v>
      </c>
      <c r="B15704" s="2" t="str">
        <f>HYPERLINK("http://ts.21cn.com/tousu/show/id/1347404","浦发银行信用卡骚扰单位，联系人")</f>
        <v>浦发银行信用卡骚扰单位，联系人</v>
      </c>
      <c r="C15704" s="2" t="s">
        <v>9</v>
      </c>
      <c r="D15704" s="2" t="s">
        <v>10</v>
      </c>
      <c r="E15704" s="2" t="str">
        <f>HYPERLINK("http://ts.21cn.com/tousu/show/id/1347404","http://ts.21cn.com/tousu/show/id/1347404")</f>
        <v>http://ts.21cn.com/tousu/show/id/1347404</v>
      </c>
      <c r="F15704" s="2" t="s">
        <v>11</v>
      </c>
      <c r="G15704" s="2" t="s">
        <v>13281</v>
      </c>
      <c r="H15704" s="2" t="s">
        <v>13282</v>
      </c>
    </row>
    <row r="15705" spans="1:8" ht="25.05" customHeight="1" x14ac:dyDescent="0.25">
      <c r="A15705" s="2" t="s">
        <v>8</v>
      </c>
      <c r="B15705" s="2" t="str">
        <f>HYPERLINK("http://ts.21cn.com/tousu/show/id/1347405","罚息过高高利贷")</f>
        <v>罚息过高高利贷</v>
      </c>
      <c r="C15705" s="2" t="s">
        <v>9</v>
      </c>
      <c r="D15705" s="2" t="s">
        <v>10</v>
      </c>
      <c r="E15705" s="2" t="str">
        <f>HYPERLINK("http://ts.21cn.com/tousu/show/id/1347405","http://ts.21cn.com/tousu/show/id/1347405")</f>
        <v>http://ts.21cn.com/tousu/show/id/1347405</v>
      </c>
      <c r="F15705" s="2" t="s">
        <v>11</v>
      </c>
      <c r="G15705" s="2" t="s">
        <v>13279</v>
      </c>
      <c r="H15705" s="2" t="s">
        <v>13280</v>
      </c>
    </row>
    <row r="15706" spans="1:8" ht="25.05" customHeight="1" x14ac:dyDescent="0.25">
      <c r="A15706" s="2" t="s">
        <v>8</v>
      </c>
      <c r="B15706" s="2" t="str">
        <f>HYPERLINK("http://ts.21cn.com/tousu/show/id/1347406","从不调查，胡乱催收")</f>
        <v>从不调查，胡乱催收</v>
      </c>
      <c r="C15706" s="2" t="s">
        <v>9</v>
      </c>
      <c r="D15706" s="2" t="s">
        <v>10</v>
      </c>
      <c r="E15706" s="2" t="str">
        <f>HYPERLINK("http://ts.21cn.com/tousu/show/id/1347406","http://ts.21cn.com/tousu/show/id/1347406")</f>
        <v>http://ts.21cn.com/tousu/show/id/1347406</v>
      </c>
      <c r="F15706" s="2" t="s">
        <v>11</v>
      </c>
      <c r="G15706" s="2" t="s">
        <v>13277</v>
      </c>
      <c r="H15706" s="2" t="s">
        <v>13278</v>
      </c>
    </row>
    <row r="15707" spans="1:8" ht="25.05" customHeight="1" x14ac:dyDescent="0.25">
      <c r="A15707" s="2" t="s">
        <v>8</v>
      </c>
      <c r="B15707" s="2" t="str">
        <f>HYPERLINK("http://ts.21cn.com/tousu/show/id/1347407","融360内你我贷秒借高额利息！不能提前结清")</f>
        <v>融360内你我贷秒借高额利息！不能提前结清</v>
      </c>
      <c r="C15707" s="2" t="s">
        <v>9</v>
      </c>
      <c r="D15707" s="2" t="s">
        <v>10</v>
      </c>
      <c r="E15707" s="2" t="str">
        <f>HYPERLINK("http://ts.21cn.com/tousu/show/id/1347407","http://ts.21cn.com/tousu/show/id/1347407")</f>
        <v>http://ts.21cn.com/tousu/show/id/1347407</v>
      </c>
      <c r="F15707" s="2" t="s">
        <v>11</v>
      </c>
      <c r="G15707" s="2" t="s">
        <v>13275</v>
      </c>
      <c r="H15707" s="2" t="s">
        <v>13276</v>
      </c>
    </row>
    <row r="15708" spans="1:8" ht="25.05" customHeight="1" x14ac:dyDescent="0.25">
      <c r="A15708" s="2" t="s">
        <v>8</v>
      </c>
      <c r="B15708" s="2" t="str">
        <f>HYPERLINK("http://ts.21cn.com/tousu/show/id/1347408","钱站高额利息")</f>
        <v>钱站高额利息</v>
      </c>
      <c r="C15708" s="2" t="s">
        <v>9</v>
      </c>
      <c r="D15708" s="2" t="s">
        <v>10</v>
      </c>
      <c r="E15708" s="2" t="str">
        <f>HYPERLINK("http://ts.21cn.com/tousu/show/id/1347408","http://ts.21cn.com/tousu/show/id/1347408")</f>
        <v>http://ts.21cn.com/tousu/show/id/1347408</v>
      </c>
      <c r="F15708" s="2" t="s">
        <v>11</v>
      </c>
      <c r="G15708" s="2" t="s">
        <v>13273</v>
      </c>
      <c r="H15708" s="2" t="s">
        <v>13274</v>
      </c>
    </row>
    <row r="15709" spans="1:8" ht="25.05" customHeight="1" x14ac:dyDescent="0.25">
      <c r="A15709" s="2" t="s">
        <v>8</v>
      </c>
      <c r="B15709" s="2" t="str">
        <f>HYPERLINK("http://ts.21cn.com/tousu/show/id/1347409","拍拍贷高利贷")</f>
        <v>拍拍贷高利贷</v>
      </c>
      <c r="C15709" s="2" t="s">
        <v>9</v>
      </c>
      <c r="D15709" s="2" t="s">
        <v>10</v>
      </c>
      <c r="E15709" s="2" t="str">
        <f>HYPERLINK("http://ts.21cn.com/tousu/show/id/1347409","http://ts.21cn.com/tousu/show/id/1347409")</f>
        <v>http://ts.21cn.com/tousu/show/id/1347409</v>
      </c>
      <c r="F15709" s="2" t="s">
        <v>11</v>
      </c>
      <c r="G15709" s="2" t="s">
        <v>13271</v>
      </c>
      <c r="H15709" s="2" t="s">
        <v>13272</v>
      </c>
    </row>
    <row r="15710" spans="1:8" ht="25.05" customHeight="1" x14ac:dyDescent="0.25">
      <c r="A15710" s="2" t="s">
        <v>8</v>
      </c>
      <c r="B15710" s="2" t="str">
        <f>HYPERLINK("http://ts.21cn.com/tousu/show/id/1347410","我要投诉广东东莞中天大厦九楼世纪佳缘")</f>
        <v>我要投诉广东东莞中天大厦九楼世纪佳缘</v>
      </c>
      <c r="C15710" s="2" t="s">
        <v>9</v>
      </c>
      <c r="D15710" s="2" t="s">
        <v>10</v>
      </c>
      <c r="E15710" s="2" t="str">
        <f>HYPERLINK("http://ts.21cn.com/tousu/show/id/1347410","http://ts.21cn.com/tousu/show/id/1347410")</f>
        <v>http://ts.21cn.com/tousu/show/id/1347410</v>
      </c>
      <c r="F15710" s="2" t="s">
        <v>11</v>
      </c>
      <c r="G15710" s="2" t="s">
        <v>13269</v>
      </c>
      <c r="H15710" s="2" t="s">
        <v>13270</v>
      </c>
    </row>
    <row r="15711" spans="1:8" ht="25.05" customHeight="1" x14ac:dyDescent="0.25">
      <c r="A15711" s="2" t="s">
        <v>8</v>
      </c>
      <c r="B15711" s="2" t="str">
        <f>HYPERLINK("http://ts.21cn.com/tousu/show/id/1347402","闪银收费，不退款")</f>
        <v>闪银收费，不退款</v>
      </c>
      <c r="C15711" s="2" t="s">
        <v>9</v>
      </c>
      <c r="D15711" s="2" t="s">
        <v>10</v>
      </c>
      <c r="E15711" s="2" t="str">
        <f>HYPERLINK("http://ts.21cn.com/tousu/show/id/1347402","http://ts.21cn.com/tousu/show/id/1347402")</f>
        <v>http://ts.21cn.com/tousu/show/id/1347402</v>
      </c>
      <c r="F15711" s="2" t="s">
        <v>11</v>
      </c>
      <c r="G15711" s="2" t="s">
        <v>13267</v>
      </c>
      <c r="H15711" s="2" t="s">
        <v>13268</v>
      </c>
    </row>
    <row r="15712" spans="1:8" ht="25.05" customHeight="1" x14ac:dyDescent="0.25">
      <c r="A15712" s="2" t="s">
        <v>8</v>
      </c>
      <c r="B15712" s="2" t="str">
        <f>HYPERLINK("http://ts.21cn.com/tousu/show/id/1347412","小浦优客")</f>
        <v>小浦优客</v>
      </c>
      <c r="C15712" s="2" t="s">
        <v>34</v>
      </c>
      <c r="D15712" s="2" t="s">
        <v>10</v>
      </c>
      <c r="E15712" s="2" t="str">
        <f>HYPERLINK("http://ts.21cn.com/tousu/show/id/1347412","http://ts.21cn.com/tousu/show/id/1347412")</f>
        <v>http://ts.21cn.com/tousu/show/id/1347412</v>
      </c>
      <c r="F15712" s="2" t="s">
        <v>11</v>
      </c>
      <c r="G15712" s="2" t="s">
        <v>13265</v>
      </c>
      <c r="H15712" s="2" t="s">
        <v>13266</v>
      </c>
    </row>
    <row r="15713" spans="1:8" ht="25.05" customHeight="1" x14ac:dyDescent="0.25">
      <c r="A15713" s="2" t="s">
        <v>8</v>
      </c>
      <c r="B15713" s="2" t="str">
        <f>HYPERLINK("http://ts.21cn.com/tousu/show/id/1347414","骚扰威胁恐吓")</f>
        <v>骚扰威胁恐吓</v>
      </c>
      <c r="C15713" s="2" t="s">
        <v>9</v>
      </c>
      <c r="D15713" s="2" t="s">
        <v>10</v>
      </c>
      <c r="E15713" s="2" t="str">
        <f>HYPERLINK("http://ts.21cn.com/tousu/show/id/1347414","http://ts.21cn.com/tousu/show/id/1347414")</f>
        <v>http://ts.21cn.com/tousu/show/id/1347414</v>
      </c>
      <c r="F15713" s="2" t="s">
        <v>11</v>
      </c>
      <c r="G15713" s="2" t="s">
        <v>13263</v>
      </c>
      <c r="H15713" s="2" t="s">
        <v>13264</v>
      </c>
    </row>
    <row r="15714" spans="1:8" ht="25.05" customHeight="1" x14ac:dyDescent="0.25">
      <c r="A15714" s="2" t="s">
        <v>8</v>
      </c>
      <c r="B15714" s="2" t="str">
        <f>HYPERLINK("http://ts.21cn.com/tousu/show/id/1347415","飞猪订房未留房且不积极解决，要求退一赔三并道歉")</f>
        <v>飞猪订房未留房且不积极解决，要求退一赔三并道歉</v>
      </c>
      <c r="C15714" s="2" t="s">
        <v>9</v>
      </c>
      <c r="D15714" s="2" t="s">
        <v>10</v>
      </c>
      <c r="E15714" s="2" t="str">
        <f>HYPERLINK("http://ts.21cn.com/tousu/show/id/1347415","http://ts.21cn.com/tousu/show/id/1347415")</f>
        <v>http://ts.21cn.com/tousu/show/id/1347415</v>
      </c>
      <c r="F15714" s="2" t="s">
        <v>11</v>
      </c>
      <c r="G15714" s="2" t="s">
        <v>13261</v>
      </c>
      <c r="H15714" s="2" t="s">
        <v>13262</v>
      </c>
    </row>
    <row r="15715" spans="1:8" ht="25.05" customHeight="1" x14ac:dyDescent="0.25">
      <c r="A15715" s="2" t="s">
        <v>8</v>
      </c>
      <c r="B15715" s="2" t="str">
        <f>HYPERLINK("http://ts.21cn.com/tousu/show/id/1347229","网贷高利贷")</f>
        <v>网贷高利贷</v>
      </c>
      <c r="C15715" s="2" t="s">
        <v>9</v>
      </c>
      <c r="D15715" s="2" t="s">
        <v>10</v>
      </c>
      <c r="E15715" s="2" t="str">
        <f>HYPERLINK("http://ts.21cn.com/tousu/show/id/1347229","http://ts.21cn.com/tousu/show/id/1347229")</f>
        <v>http://ts.21cn.com/tousu/show/id/1347229</v>
      </c>
      <c r="F15715" s="2" t="s">
        <v>11</v>
      </c>
      <c r="G15715" s="2" t="s">
        <v>13259</v>
      </c>
      <c r="H15715" s="2" t="s">
        <v>13260</v>
      </c>
    </row>
    <row r="15716" spans="1:8" ht="25.05" customHeight="1" x14ac:dyDescent="0.25">
      <c r="A15716" s="2" t="s">
        <v>8</v>
      </c>
      <c r="B15716" s="2" t="str">
        <f>HYPERLINK("http://ts.21cn.com/tousu/show/id/1347416","你我贷乱发信息")</f>
        <v>你我贷乱发信息</v>
      </c>
      <c r="C15716" s="2" t="s">
        <v>9</v>
      </c>
      <c r="D15716" s="2" t="s">
        <v>10</v>
      </c>
      <c r="E15716" s="2" t="str">
        <f>HYPERLINK("http://ts.21cn.com/tousu/show/id/1347416","http://ts.21cn.com/tousu/show/id/1347416")</f>
        <v>http://ts.21cn.com/tousu/show/id/1347416</v>
      </c>
      <c r="F15716" s="2" t="s">
        <v>11</v>
      </c>
      <c r="G15716" s="2" t="s">
        <v>13257</v>
      </c>
      <c r="H15716" s="2" t="s">
        <v>13258</v>
      </c>
    </row>
    <row r="15717" spans="1:8" ht="25.05" customHeight="1" x14ac:dyDescent="0.25">
      <c r="A15717" s="2" t="s">
        <v>8</v>
      </c>
      <c r="B15717" s="2" t="str">
        <f>HYPERLINK("http://ts.21cn.com/tousu/show/id/1347417","阴阳合同，高额服务费来掩盖自己高利贷。")</f>
        <v>阴阳合同，高额服务费来掩盖自己高利贷。</v>
      </c>
      <c r="C15717" s="2" t="s">
        <v>9</v>
      </c>
      <c r="D15717" s="2" t="s">
        <v>10</v>
      </c>
      <c r="E15717" s="2" t="str">
        <f>HYPERLINK("http://ts.21cn.com/tousu/show/id/1347417","http://ts.21cn.com/tousu/show/id/1347417")</f>
        <v>http://ts.21cn.com/tousu/show/id/1347417</v>
      </c>
      <c r="F15717" s="2" t="s">
        <v>11</v>
      </c>
      <c r="G15717" s="2" t="s">
        <v>13255</v>
      </c>
      <c r="H15717" s="2" t="s">
        <v>13256</v>
      </c>
    </row>
    <row r="15718" spans="1:8" ht="25.05" customHeight="1" x14ac:dyDescent="0.25">
      <c r="A15718" s="2" t="s">
        <v>8</v>
      </c>
      <c r="B15718" s="2" t="str">
        <f>HYPERLINK("http://ts.21cn.com/tousu/show/id/1347419","京东拼购--说商家疑似套利，冻结商家货款，不让提现--但是电话咨询具体原因，又说明不了哪里套利")</f>
        <v>京东拼购--说商家疑似套利，冻结商家货款，不让提现--但是电话咨询具体原因，又说明不了哪里套利</v>
      </c>
      <c r="C15718" s="2" t="s">
        <v>9</v>
      </c>
      <c r="D15718" s="2" t="s">
        <v>10</v>
      </c>
      <c r="E15718" s="2" t="str">
        <f>HYPERLINK("http://ts.21cn.com/tousu/show/id/1347419","http://ts.21cn.com/tousu/show/id/1347419")</f>
        <v>http://ts.21cn.com/tousu/show/id/1347419</v>
      </c>
      <c r="F15718" s="2" t="s">
        <v>11</v>
      </c>
      <c r="G15718" s="2" t="s">
        <v>13253</v>
      </c>
      <c r="H15718" s="2" t="s">
        <v>13254</v>
      </c>
    </row>
    <row r="15719" spans="1:8" ht="25.05" customHeight="1" x14ac:dyDescent="0.25">
      <c r="A15719" s="2" t="s">
        <v>8</v>
      </c>
      <c r="B15719" s="2" t="str">
        <f>HYPERLINK("http://ts.21cn.com/tousu/show/id/1347418","暴力催收")</f>
        <v>暴力催收</v>
      </c>
      <c r="C15719" s="2" t="s">
        <v>9</v>
      </c>
      <c r="D15719" s="2" t="s">
        <v>10</v>
      </c>
      <c r="E15719" s="2" t="str">
        <f>HYPERLINK("http://ts.21cn.com/tousu/show/id/1347418","http://ts.21cn.com/tousu/show/id/1347418")</f>
        <v>http://ts.21cn.com/tousu/show/id/1347418</v>
      </c>
      <c r="F15719" s="2" t="s">
        <v>11</v>
      </c>
      <c r="G15719" s="2" t="s">
        <v>13251</v>
      </c>
      <c r="H15719" s="2" t="s">
        <v>13252</v>
      </c>
    </row>
    <row r="15720" spans="1:8" ht="25.05" customHeight="1" x14ac:dyDescent="0.25">
      <c r="A15720" s="2" t="s">
        <v>8</v>
      </c>
      <c r="B15720" s="2" t="str">
        <f>HYPERLINK("http://ts.21cn.com/tousu/show/id/1347420","玖富万卡高额利息")</f>
        <v>玖富万卡高额利息</v>
      </c>
      <c r="C15720" s="2" t="s">
        <v>9</v>
      </c>
      <c r="D15720" s="2" t="s">
        <v>10</v>
      </c>
      <c r="E15720" s="2" t="str">
        <f>HYPERLINK("http://ts.21cn.com/tousu/show/id/1347420","http://ts.21cn.com/tousu/show/id/1347420")</f>
        <v>http://ts.21cn.com/tousu/show/id/1347420</v>
      </c>
      <c r="F15720" s="2" t="s">
        <v>11</v>
      </c>
      <c r="G15720" s="2" t="s">
        <v>13249</v>
      </c>
      <c r="H15720" s="2" t="s">
        <v>13250</v>
      </c>
    </row>
    <row r="15721" spans="1:8" ht="25.05" customHeight="1" x14ac:dyDescent="0.25">
      <c r="A15721" s="2" t="s">
        <v>8</v>
      </c>
      <c r="B15721" s="2" t="str">
        <f>HYPERLINK("http://ts.21cn.com/tousu/show/id/1347421","小浦优客APP未提示扣取取报告费要求退回")</f>
        <v>小浦优客APP未提示扣取取报告费要求退回</v>
      </c>
      <c r="C15721" s="2" t="s">
        <v>9</v>
      </c>
      <c r="D15721" s="2" t="s">
        <v>10</v>
      </c>
      <c r="E15721" s="2" t="str">
        <f>HYPERLINK("http://ts.21cn.com/tousu/show/id/1347421","http://ts.21cn.com/tousu/show/id/1347421")</f>
        <v>http://ts.21cn.com/tousu/show/id/1347421</v>
      </c>
      <c r="F15721" s="2" t="s">
        <v>11</v>
      </c>
      <c r="G15721" s="2" t="s">
        <v>13247</v>
      </c>
      <c r="H15721" s="2" t="s">
        <v>13248</v>
      </c>
    </row>
    <row r="15722" spans="1:8" ht="25.05" customHeight="1" x14ac:dyDescent="0.25">
      <c r="A15722" s="2" t="s">
        <v>8</v>
      </c>
      <c r="B15722" s="2" t="str">
        <f>HYPERLINK("http://ts.21cn.com/tousu/show/id/1347411","对通讯录亲朋好友恐吓")</f>
        <v>对通讯录亲朋好友恐吓</v>
      </c>
      <c r="C15722" s="2" t="s">
        <v>9</v>
      </c>
      <c r="D15722" s="2" t="s">
        <v>10</v>
      </c>
      <c r="E15722" s="2" t="str">
        <f>HYPERLINK("http://ts.21cn.com/tousu/show/id/1347411","http://ts.21cn.com/tousu/show/id/1347411")</f>
        <v>http://ts.21cn.com/tousu/show/id/1347411</v>
      </c>
      <c r="F15722" s="2" t="s">
        <v>11</v>
      </c>
      <c r="G15722" s="2" t="s">
        <v>13245</v>
      </c>
      <c r="H15722" s="2" t="s">
        <v>13246</v>
      </c>
    </row>
    <row r="15723" spans="1:8" ht="25.05" customHeight="1" x14ac:dyDescent="0.25">
      <c r="A15723" s="2" t="s">
        <v>8</v>
      </c>
      <c r="B15723" s="2" t="str">
        <f>HYPERLINK("http://ts.21cn.com/tousu/show/id/1347423","我要投诉王者钱包")</f>
        <v>我要投诉王者钱包</v>
      </c>
      <c r="C15723" s="2" t="s">
        <v>9</v>
      </c>
      <c r="D15723" s="2" t="s">
        <v>10</v>
      </c>
      <c r="E15723" s="2" t="str">
        <f>HYPERLINK("http://ts.21cn.com/tousu/show/id/1347423","http://ts.21cn.com/tousu/show/id/1347423")</f>
        <v>http://ts.21cn.com/tousu/show/id/1347423</v>
      </c>
      <c r="F15723" s="2" t="s">
        <v>11</v>
      </c>
      <c r="G15723" s="2" t="s">
        <v>13243</v>
      </c>
      <c r="H15723" s="2" t="s">
        <v>13244</v>
      </c>
    </row>
    <row r="15724" spans="1:8" ht="25.05" customHeight="1" x14ac:dyDescent="0.25">
      <c r="A15724" s="2" t="s">
        <v>8</v>
      </c>
      <c r="B15724" s="2" t="str">
        <f>HYPERLINK("http://ts.21cn.com/tousu/show/id/1347424","桂林两江机场忽悠乘客办理逸路通vip卡")</f>
        <v>桂林两江机场忽悠乘客办理逸路通vip卡</v>
      </c>
      <c r="C15724" s="2" t="s">
        <v>9</v>
      </c>
      <c r="D15724" s="2" t="s">
        <v>10</v>
      </c>
      <c r="E15724" s="2" t="str">
        <f>HYPERLINK("http://ts.21cn.com/tousu/show/id/1347424","http://ts.21cn.com/tousu/show/id/1347424")</f>
        <v>http://ts.21cn.com/tousu/show/id/1347424</v>
      </c>
      <c r="F15724" s="2" t="s">
        <v>11</v>
      </c>
      <c r="G15724" s="2" t="s">
        <v>13241</v>
      </c>
      <c r="H15724" s="2" t="s">
        <v>13242</v>
      </c>
    </row>
    <row r="15725" spans="1:8" ht="25.05" customHeight="1" x14ac:dyDescent="0.25">
      <c r="A15725" s="2" t="s">
        <v>8</v>
      </c>
      <c r="B15725" s="2" t="str">
        <f>HYPERLINK("http://ts.21cn.com/tousu/show/id/1347427","章鱼精选APP欺诈消费者")</f>
        <v>章鱼精选APP欺诈消费者</v>
      </c>
      <c r="C15725" s="2" t="s">
        <v>9</v>
      </c>
      <c r="D15725" s="2" t="s">
        <v>10</v>
      </c>
      <c r="E15725" s="2" t="str">
        <f>HYPERLINK("http://ts.21cn.com/tousu/show/id/1347427","http://ts.21cn.com/tousu/show/id/1347427")</f>
        <v>http://ts.21cn.com/tousu/show/id/1347427</v>
      </c>
      <c r="F15725" s="2" t="s">
        <v>11</v>
      </c>
      <c r="G15725" s="2" t="s">
        <v>13238</v>
      </c>
      <c r="H15725" s="2" t="s">
        <v>13239</v>
      </c>
    </row>
    <row r="15726" spans="1:8" ht="25.05" customHeight="1" x14ac:dyDescent="0.25">
      <c r="A15726" s="2" t="s">
        <v>8</v>
      </c>
      <c r="B15726" s="2" t="str">
        <f>HYPERLINK("http://ts.21cn.com/tousu/show/id/1347425","退还逾期费用")</f>
        <v>退还逾期费用</v>
      </c>
      <c r="C15726" s="2" t="s">
        <v>34</v>
      </c>
      <c r="D15726" s="2" t="s">
        <v>10</v>
      </c>
      <c r="E15726" s="2" t="str">
        <f>HYPERLINK("http://ts.21cn.com/tousu/show/id/1347425","http://ts.21cn.com/tousu/show/id/1347425")</f>
        <v>http://ts.21cn.com/tousu/show/id/1347425</v>
      </c>
      <c r="F15726" s="2" t="s">
        <v>11</v>
      </c>
      <c r="G15726" s="2" t="s">
        <v>13238</v>
      </c>
      <c r="H15726" s="2" t="s">
        <v>13240</v>
      </c>
    </row>
    <row r="15727" spans="1:8" ht="25.05" customHeight="1" x14ac:dyDescent="0.25">
      <c r="A15727" s="2" t="s">
        <v>8</v>
      </c>
      <c r="B15727" s="2" t="str">
        <f>HYPERLINK("http://ts.21cn.com/tousu/show/id/1347426","到期不兑付,未履行合同")</f>
        <v>到期不兑付,未履行合同</v>
      </c>
      <c r="C15727" s="2" t="s">
        <v>9</v>
      </c>
      <c r="D15727" s="2" t="s">
        <v>10</v>
      </c>
      <c r="E15727" s="2" t="str">
        <f>HYPERLINK("http://ts.21cn.com/tousu/show/id/1347426","http://ts.21cn.com/tousu/show/id/1347426")</f>
        <v>http://ts.21cn.com/tousu/show/id/1347426</v>
      </c>
      <c r="F15727" s="2" t="s">
        <v>11</v>
      </c>
      <c r="G15727" s="2" t="s">
        <v>13236</v>
      </c>
      <c r="H15727" s="2" t="s">
        <v>13237</v>
      </c>
    </row>
    <row r="15728" spans="1:8" ht="25.05" customHeight="1" x14ac:dyDescent="0.25">
      <c r="A15728" s="2" t="s">
        <v>8</v>
      </c>
      <c r="B15728" s="2" t="str">
        <f>HYPERLINK("http://ts.21cn.com/tousu/show/id/1347428","花财到期日未逾期开始恶意催收")</f>
        <v>花财到期日未逾期开始恶意催收</v>
      </c>
      <c r="C15728" s="2" t="s">
        <v>9</v>
      </c>
      <c r="D15728" s="2" t="s">
        <v>10</v>
      </c>
      <c r="E15728" s="2" t="str">
        <f>HYPERLINK("http://ts.21cn.com/tousu/show/id/1347428","http://ts.21cn.com/tousu/show/id/1347428")</f>
        <v>http://ts.21cn.com/tousu/show/id/1347428</v>
      </c>
      <c r="F15728" s="2" t="s">
        <v>11</v>
      </c>
      <c r="G15728" s="2" t="s">
        <v>13234</v>
      </c>
      <c r="H15728" s="2" t="s">
        <v>13235</v>
      </c>
    </row>
    <row r="15729" spans="1:8" ht="25.05" customHeight="1" x14ac:dyDescent="0.25">
      <c r="A15729" s="2" t="s">
        <v>8</v>
      </c>
      <c r="B15729" s="2" t="str">
        <f>HYPERLINK("http://ts.21cn.com/tousu/show/id/1347429","智行手机号不能注销")</f>
        <v>智行手机号不能注销</v>
      </c>
      <c r="C15729" s="2" t="s">
        <v>9</v>
      </c>
      <c r="D15729" s="2" t="s">
        <v>10</v>
      </c>
      <c r="E15729" s="2" t="str">
        <f>HYPERLINK("http://ts.21cn.com/tousu/show/id/1347429","http://ts.21cn.com/tousu/show/id/1347429")</f>
        <v>http://ts.21cn.com/tousu/show/id/1347429</v>
      </c>
      <c r="F15729" s="2" t="s">
        <v>11</v>
      </c>
      <c r="G15729" s="2" t="s">
        <v>13232</v>
      </c>
      <c r="H15729" s="2" t="s">
        <v>13233</v>
      </c>
    </row>
    <row r="15730" spans="1:8" ht="25.05" customHeight="1" x14ac:dyDescent="0.25">
      <c r="A15730" s="2" t="s">
        <v>8</v>
      </c>
      <c r="B15730" s="2" t="str">
        <f>HYPERLINK("http://ts.21cn.com/tousu/show/id/1347430","交通银行催收言语威胁盗取个人信息")</f>
        <v>交通银行催收言语威胁盗取个人信息</v>
      </c>
      <c r="C15730" s="2" t="s">
        <v>9</v>
      </c>
      <c r="D15730" s="2" t="s">
        <v>10</v>
      </c>
      <c r="E15730" s="2" t="str">
        <f>HYPERLINK("http://ts.21cn.com/tousu/show/id/1347430","http://ts.21cn.com/tousu/show/id/1347430")</f>
        <v>http://ts.21cn.com/tousu/show/id/1347430</v>
      </c>
      <c r="F15730" s="2" t="s">
        <v>11</v>
      </c>
      <c r="G15730" s="2" t="s">
        <v>13230</v>
      </c>
      <c r="H15730" s="2" t="s">
        <v>13231</v>
      </c>
    </row>
    <row r="15731" spans="1:8" ht="25.05" customHeight="1" x14ac:dyDescent="0.25">
      <c r="A15731" s="2" t="s">
        <v>8</v>
      </c>
      <c r="B15731" s="2" t="str">
        <f>HYPERLINK("http://ts.21cn.com/tousu/show/id/1347432","融360内深圳万惠–及贷高额利息！不能提前结清")</f>
        <v>融360内深圳万惠–及贷高额利息！不能提前结清</v>
      </c>
      <c r="C15731" s="2" t="s">
        <v>9</v>
      </c>
      <c r="D15731" s="2" t="s">
        <v>10</v>
      </c>
      <c r="E15731" s="2" t="str">
        <f>HYPERLINK("http://ts.21cn.com/tousu/show/id/1347432","http://ts.21cn.com/tousu/show/id/1347432")</f>
        <v>http://ts.21cn.com/tousu/show/id/1347432</v>
      </c>
      <c r="F15731" s="2" t="s">
        <v>11</v>
      </c>
      <c r="G15731" s="2" t="s">
        <v>13228</v>
      </c>
      <c r="H15731" s="2" t="s">
        <v>13229</v>
      </c>
    </row>
    <row r="15732" spans="1:8" ht="25.05" customHeight="1" x14ac:dyDescent="0.25">
      <c r="A15732" s="2" t="s">
        <v>8</v>
      </c>
      <c r="B15732" s="2" t="str">
        <f>HYPERLINK("http://ts.21cn.com/tousu/show/id/1347433","毛豆新车1000订金不给退")</f>
        <v>毛豆新车1000订金不给退</v>
      </c>
      <c r="C15732" s="2" t="s">
        <v>9</v>
      </c>
      <c r="D15732" s="2" t="s">
        <v>10</v>
      </c>
      <c r="E15732" s="2" t="str">
        <f>HYPERLINK("http://ts.21cn.com/tousu/show/id/1347433","http://ts.21cn.com/tousu/show/id/1347433")</f>
        <v>http://ts.21cn.com/tousu/show/id/1347433</v>
      </c>
      <c r="F15732" s="2" t="s">
        <v>11</v>
      </c>
      <c r="G15732" s="2" t="s">
        <v>13226</v>
      </c>
      <c r="H15732" s="2" t="s">
        <v>13227</v>
      </c>
    </row>
    <row r="15733" spans="1:8" ht="25.05" customHeight="1" x14ac:dyDescent="0.25">
      <c r="A15733" s="2" t="s">
        <v>8</v>
      </c>
      <c r="B15733" s="2" t="str">
        <f>HYPERLINK("http://ts.21cn.com/tousu/show/id/1347438","小通商城无故扣我520.15元，到现在我都不知道怎么回事，希望有关部门能帮助我把钱还回来")</f>
        <v>小通商城无故扣我520.15元，到现在我都不知道怎么回事，希望有关部门能帮助我把钱还回来</v>
      </c>
      <c r="C15733" s="2" t="s">
        <v>9</v>
      </c>
      <c r="D15733" s="2" t="s">
        <v>10</v>
      </c>
      <c r="E15733" s="2" t="str">
        <f>HYPERLINK("http://ts.21cn.com/tousu/show/id/1347438","http://ts.21cn.com/tousu/show/id/1347438")</f>
        <v>http://ts.21cn.com/tousu/show/id/1347438</v>
      </c>
      <c r="F15733" s="2" t="s">
        <v>11</v>
      </c>
      <c r="G15733" s="2" t="s">
        <v>13224</v>
      </c>
      <c r="H15733" s="2" t="s">
        <v>13225</v>
      </c>
    </row>
    <row r="15734" spans="1:8" ht="25.05" customHeight="1" x14ac:dyDescent="0.25">
      <c r="A15734" s="2" t="s">
        <v>8</v>
      </c>
      <c r="B15734" s="2" t="str">
        <f>HYPERLINK("http://ts.21cn.com/tousu/show/id/1347437","百事普惠恶意扣款")</f>
        <v>百事普惠恶意扣款</v>
      </c>
      <c r="C15734" s="2" t="s">
        <v>9</v>
      </c>
      <c r="D15734" s="2" t="s">
        <v>10</v>
      </c>
      <c r="E15734" s="2" t="str">
        <f>HYPERLINK("http://ts.21cn.com/tousu/show/id/1347437","http://ts.21cn.com/tousu/show/id/1347437")</f>
        <v>http://ts.21cn.com/tousu/show/id/1347437</v>
      </c>
      <c r="F15734" s="2" t="s">
        <v>11</v>
      </c>
      <c r="G15734" s="2" t="s">
        <v>13221</v>
      </c>
      <c r="H15734" s="2" t="s">
        <v>13222</v>
      </c>
    </row>
    <row r="15735" spans="1:8" ht="25.05" customHeight="1" x14ac:dyDescent="0.25">
      <c r="A15735" s="2" t="s">
        <v>8</v>
      </c>
      <c r="B15735" s="2" t="str">
        <f>HYPERLINK("http://ts.21cn.com/tousu/show/id/1347436","小带鱼收取高额砍头息")</f>
        <v>小带鱼收取高额砍头息</v>
      </c>
      <c r="C15735" s="2" t="s">
        <v>34</v>
      </c>
      <c r="D15735" s="2" t="s">
        <v>10</v>
      </c>
      <c r="E15735" s="2" t="str">
        <f>HYPERLINK("http://ts.21cn.com/tousu/show/id/1347436","http://ts.21cn.com/tousu/show/id/1347436")</f>
        <v>http://ts.21cn.com/tousu/show/id/1347436</v>
      </c>
      <c r="F15735" s="2" t="s">
        <v>11</v>
      </c>
      <c r="G15735" s="2" t="s">
        <v>13221</v>
      </c>
      <c r="H15735" s="2" t="s">
        <v>13223</v>
      </c>
    </row>
    <row r="15736" spans="1:8" ht="25.05" customHeight="1" x14ac:dyDescent="0.25">
      <c r="A15736" s="2" t="s">
        <v>8</v>
      </c>
      <c r="B15736" s="2" t="str">
        <f>HYPERLINK("http://ts.21cn.com/tousu/show/id/1347439","好易贷高额砍头息，阴阳合同，暴力催收")</f>
        <v>好易贷高额砍头息，阴阳合同，暴力催收</v>
      </c>
      <c r="C15736" s="2" t="s">
        <v>9</v>
      </c>
      <c r="D15736" s="2" t="s">
        <v>10</v>
      </c>
      <c r="E15736" s="2" t="str">
        <f>HYPERLINK("http://ts.21cn.com/tousu/show/id/1347439","http://ts.21cn.com/tousu/show/id/1347439")</f>
        <v>http://ts.21cn.com/tousu/show/id/1347439</v>
      </c>
      <c r="F15736" s="2" t="s">
        <v>11</v>
      </c>
      <c r="G15736" s="2" t="s">
        <v>13219</v>
      </c>
      <c r="H15736" s="2" t="s">
        <v>13220</v>
      </c>
    </row>
    <row r="15737" spans="1:8" ht="25.05" customHeight="1" x14ac:dyDescent="0.25">
      <c r="A15737" s="2" t="s">
        <v>8</v>
      </c>
      <c r="B15737" s="2" t="str">
        <f>HYPERLINK("http://ts.21cn.com/tousu/show/id/1347440","投诉广东省雷州市中国银行雷州支行")</f>
        <v>投诉广东省雷州市中国银行雷州支行</v>
      </c>
      <c r="C15737" s="2" t="s">
        <v>9</v>
      </c>
      <c r="D15737" s="2" t="s">
        <v>10</v>
      </c>
      <c r="E15737" s="2" t="str">
        <f>HYPERLINK("http://ts.21cn.com/tousu/show/id/1347440","http://ts.21cn.com/tousu/show/id/1347440")</f>
        <v>http://ts.21cn.com/tousu/show/id/1347440</v>
      </c>
      <c r="F15737" s="2" t="s">
        <v>11</v>
      </c>
      <c r="G15737" s="2" t="s">
        <v>13217</v>
      </c>
      <c r="H15737" s="2" t="s">
        <v>13218</v>
      </c>
    </row>
    <row r="15738" spans="1:8" ht="25.05" customHeight="1" x14ac:dyDescent="0.25">
      <c r="A15738" s="2" t="s">
        <v>8</v>
      </c>
      <c r="B15738" s="2" t="str">
        <f>HYPERLINK("http://ts.21cn.com/tousu/show/id/1347441","信用钱包高利贷利率吓人无法提前还款")</f>
        <v>信用钱包高利贷利率吓人无法提前还款</v>
      </c>
      <c r="C15738" s="2" t="s">
        <v>9</v>
      </c>
      <c r="D15738" s="2" t="s">
        <v>10</v>
      </c>
      <c r="E15738" s="2" t="str">
        <f>HYPERLINK("http://ts.21cn.com/tousu/show/id/1347441","http://ts.21cn.com/tousu/show/id/1347441")</f>
        <v>http://ts.21cn.com/tousu/show/id/1347441</v>
      </c>
      <c r="F15738" s="2" t="s">
        <v>11</v>
      </c>
      <c r="G15738" s="2" t="s">
        <v>13215</v>
      </c>
      <c r="H15738" s="2" t="s">
        <v>13216</v>
      </c>
    </row>
    <row r="15739" spans="1:8" ht="25.05" customHeight="1" x14ac:dyDescent="0.25">
      <c r="A15739" s="2" t="s">
        <v>8</v>
      </c>
      <c r="B15739" s="2" t="str">
        <f>HYPERLINK("http://ts.21cn.com/tousu/show/id/1347442","卡牛信用管家app收砍头息")</f>
        <v>卡牛信用管家app收砍头息</v>
      </c>
      <c r="C15739" s="2" t="s">
        <v>9</v>
      </c>
      <c r="D15739" s="2" t="s">
        <v>10</v>
      </c>
      <c r="E15739" s="2" t="str">
        <f>HYPERLINK("http://ts.21cn.com/tousu/show/id/1347442","http://ts.21cn.com/tousu/show/id/1347442")</f>
        <v>http://ts.21cn.com/tousu/show/id/1347442</v>
      </c>
      <c r="F15739" s="2" t="s">
        <v>11</v>
      </c>
      <c r="G15739" s="2" t="s">
        <v>13213</v>
      </c>
      <c r="H15739" s="2" t="s">
        <v>13214</v>
      </c>
    </row>
    <row r="15740" spans="1:8" ht="25.05" customHeight="1" x14ac:dyDescent="0.25">
      <c r="A15740" s="2" t="s">
        <v>8</v>
      </c>
      <c r="B15740" s="2" t="str">
        <f>HYPERLINK("http://ts.21cn.com/tousu/show/id/1347443","骚扰电话")</f>
        <v>骚扰电话</v>
      </c>
      <c r="C15740" s="2" t="s">
        <v>9</v>
      </c>
      <c r="D15740" s="2" t="s">
        <v>10</v>
      </c>
      <c r="E15740" s="2" t="str">
        <f>HYPERLINK("http://ts.21cn.com/tousu/show/id/1347443","http://ts.21cn.com/tousu/show/id/1347443")</f>
        <v>http://ts.21cn.com/tousu/show/id/1347443</v>
      </c>
      <c r="F15740" s="2" t="s">
        <v>11</v>
      </c>
      <c r="G15740" s="2" t="s">
        <v>13211</v>
      </c>
      <c r="H15740" s="2" t="s">
        <v>13212</v>
      </c>
    </row>
    <row r="15741" spans="1:8" ht="25.05" customHeight="1" x14ac:dyDescent="0.25">
      <c r="A15741" s="2" t="s">
        <v>8</v>
      </c>
      <c r="B15741" s="2" t="str">
        <f>HYPERLINK("http://ts.21cn.com/tousu/show/id/1347435","投诉广东信汇电子商务有限公司为不法分子提供支付通道，要求退款")</f>
        <v>投诉广东信汇电子商务有限公司为不法分子提供支付通道，要求退款</v>
      </c>
      <c r="C15741" s="2" t="s">
        <v>9</v>
      </c>
      <c r="D15741" s="2" t="s">
        <v>10</v>
      </c>
      <c r="E15741" s="2" t="str">
        <f>HYPERLINK("http://ts.21cn.com/tousu/show/id/1347435","http://ts.21cn.com/tousu/show/id/1347435")</f>
        <v>http://ts.21cn.com/tousu/show/id/1347435</v>
      </c>
      <c r="F15741" s="2" t="s">
        <v>11</v>
      </c>
      <c r="G15741" s="2" t="s">
        <v>13209</v>
      </c>
      <c r="H15741" s="2" t="s">
        <v>13210</v>
      </c>
    </row>
    <row r="15742" spans="1:8" ht="25.05" customHeight="1" x14ac:dyDescent="0.25">
      <c r="A15742" s="2" t="s">
        <v>8</v>
      </c>
      <c r="B15742" s="2" t="str">
        <f>HYPERLINK("http://ts.21cn.com/tousu/show/id/1347444","兴业银行")</f>
        <v>兴业银行</v>
      </c>
      <c r="C15742" s="2" t="s">
        <v>9</v>
      </c>
      <c r="D15742" s="2" t="s">
        <v>10</v>
      </c>
      <c r="E15742" s="2" t="str">
        <f>HYPERLINK("http://ts.21cn.com/tousu/show/id/1347444","http://ts.21cn.com/tousu/show/id/1347444")</f>
        <v>http://ts.21cn.com/tousu/show/id/1347444</v>
      </c>
      <c r="F15742" s="2" t="s">
        <v>11</v>
      </c>
      <c r="G15742" s="2" t="s">
        <v>13207</v>
      </c>
      <c r="H15742" s="2" t="s">
        <v>13208</v>
      </c>
    </row>
    <row r="15743" spans="1:8" ht="25.05" customHeight="1" x14ac:dyDescent="0.25">
      <c r="A15743" s="2" t="s">
        <v>8</v>
      </c>
      <c r="B15743" s="2" t="str">
        <f>HYPERLINK("http://ts.21cn.com/tousu/show/id/1347446","不明原因扣费")</f>
        <v>不明原因扣费</v>
      </c>
      <c r="C15743" s="2" t="s">
        <v>34</v>
      </c>
      <c r="D15743" s="2" t="s">
        <v>10</v>
      </c>
      <c r="E15743" s="2" t="str">
        <f>HYPERLINK("http://ts.21cn.com/tousu/show/id/1347446","http://ts.21cn.com/tousu/show/id/1347446")</f>
        <v>http://ts.21cn.com/tousu/show/id/1347446</v>
      </c>
      <c r="F15743" s="2" t="s">
        <v>11</v>
      </c>
      <c r="G15743" s="2" t="s">
        <v>13205</v>
      </c>
      <c r="H15743" s="2" t="s">
        <v>13206</v>
      </c>
    </row>
    <row r="15744" spans="1:8" ht="25.05" customHeight="1" x14ac:dyDescent="0.25">
      <c r="A15744" s="2" t="s">
        <v>8</v>
      </c>
      <c r="B15744" s="2" t="str">
        <f>HYPERLINK("http://ts.21cn.com/tousu/show/id/1347448","该平台收取高额砍头息")</f>
        <v>该平台收取高额砍头息</v>
      </c>
      <c r="C15744" s="2" t="s">
        <v>9</v>
      </c>
      <c r="D15744" s="2" t="s">
        <v>10</v>
      </c>
      <c r="E15744" s="2" t="str">
        <f>HYPERLINK("http://ts.21cn.com/tousu/show/id/1347448","http://ts.21cn.com/tousu/show/id/1347448")</f>
        <v>http://ts.21cn.com/tousu/show/id/1347448</v>
      </c>
      <c r="F15744" s="2" t="s">
        <v>11</v>
      </c>
      <c r="G15744" s="2" t="s">
        <v>13203</v>
      </c>
      <c r="H15744" s="2" t="s">
        <v>13204</v>
      </c>
    </row>
    <row r="15745" spans="1:8" ht="25.05" customHeight="1" x14ac:dyDescent="0.25">
      <c r="A15745" s="2" t="s">
        <v>8</v>
      </c>
      <c r="B15745" s="2" t="str">
        <f>HYPERLINK("http://ts.21cn.com/tousu/show/id/1347449","南京移动牛氓活动")</f>
        <v>南京移动牛氓活动</v>
      </c>
      <c r="C15745" s="2" t="s">
        <v>9</v>
      </c>
      <c r="D15745" s="2" t="s">
        <v>10</v>
      </c>
      <c r="E15745" s="2" t="str">
        <f>HYPERLINK("http://ts.21cn.com/tousu/show/id/1347449","http://ts.21cn.com/tousu/show/id/1347449")</f>
        <v>http://ts.21cn.com/tousu/show/id/1347449</v>
      </c>
      <c r="F15745" s="2" t="s">
        <v>11</v>
      </c>
      <c r="G15745" s="2" t="s">
        <v>13201</v>
      </c>
      <c r="H15745" s="2" t="s">
        <v>13202</v>
      </c>
    </row>
    <row r="15746" spans="1:8" ht="25.05" customHeight="1" x14ac:dyDescent="0.25">
      <c r="A15746" s="2" t="s">
        <v>8</v>
      </c>
      <c r="B15746" s="2" t="str">
        <f>HYPERLINK("http://ts.21cn.com/tousu/show/id/1347453","要求美团点评退款")</f>
        <v>要求美团点评退款</v>
      </c>
      <c r="C15746" s="2" t="s">
        <v>34</v>
      </c>
      <c r="D15746" s="2" t="s">
        <v>10</v>
      </c>
      <c r="E15746" s="2" t="str">
        <f>HYPERLINK("http://ts.21cn.com/tousu/show/id/1347453","http://ts.21cn.com/tousu/show/id/1347453")</f>
        <v>http://ts.21cn.com/tousu/show/id/1347453</v>
      </c>
      <c r="F15746" s="2" t="s">
        <v>11</v>
      </c>
      <c r="G15746" s="2" t="s">
        <v>13199</v>
      </c>
      <c r="H15746" s="2" t="s">
        <v>13200</v>
      </c>
    </row>
    <row r="15747" spans="1:8" ht="25.05" customHeight="1" x14ac:dyDescent="0.25">
      <c r="A15747" s="2" t="s">
        <v>8</v>
      </c>
      <c r="B15747" s="2" t="str">
        <f>HYPERLINK("http://ts.21cn.com/tousu/show/id/1347389","佰仟金融威胁本人，群发通讯录，高利贷，")</f>
        <v>佰仟金融威胁本人，群发通讯录，高利贷，</v>
      </c>
      <c r="C15747" s="2" t="s">
        <v>9</v>
      </c>
      <c r="D15747" s="2" t="s">
        <v>10</v>
      </c>
      <c r="E15747" s="2" t="str">
        <f>HYPERLINK("http://ts.21cn.com/tousu/show/id/1347389","http://ts.21cn.com/tousu/show/id/1347389")</f>
        <v>http://ts.21cn.com/tousu/show/id/1347389</v>
      </c>
      <c r="F15747" s="2" t="s">
        <v>11</v>
      </c>
      <c r="G15747" s="2" t="s">
        <v>13197</v>
      </c>
      <c r="H15747" s="2" t="s">
        <v>13198</v>
      </c>
    </row>
    <row r="15748" spans="1:8" ht="25.05" customHeight="1" x14ac:dyDescent="0.25">
      <c r="A15748" s="2" t="s">
        <v>8</v>
      </c>
      <c r="B15748" s="2" t="str">
        <f>HYPERLINK("http://ts.21cn.com/tousu/show/id/1347451","上海造艺无故扣款")</f>
        <v>上海造艺无故扣款</v>
      </c>
      <c r="C15748" s="2" t="s">
        <v>9</v>
      </c>
      <c r="D15748" s="2" t="s">
        <v>10</v>
      </c>
      <c r="E15748" s="2" t="str">
        <f>HYPERLINK("http://ts.21cn.com/tousu/show/id/1347451","http://ts.21cn.com/tousu/show/id/1347451")</f>
        <v>http://ts.21cn.com/tousu/show/id/1347451</v>
      </c>
      <c r="F15748" s="2" t="s">
        <v>11</v>
      </c>
      <c r="G15748" s="2" t="s">
        <v>13195</v>
      </c>
      <c r="H15748" s="2" t="s">
        <v>13196</v>
      </c>
    </row>
    <row r="15749" spans="1:8" ht="25.05" customHeight="1" x14ac:dyDescent="0.25">
      <c r="A15749" s="2" t="s">
        <v>8</v>
      </c>
      <c r="B15749" s="2" t="str">
        <f>HYPERLINK("http://ts.21cn.com/tousu/show/id/1347452","关于盈盈有钱平台高炮和暴力催收的投诉")</f>
        <v>关于盈盈有钱平台高炮和暴力催收的投诉</v>
      </c>
      <c r="C15749" s="2" t="s">
        <v>9</v>
      </c>
      <c r="D15749" s="2" t="s">
        <v>10</v>
      </c>
      <c r="E15749" s="2" t="str">
        <f>HYPERLINK("http://ts.21cn.com/tousu/show/id/1347452","http://ts.21cn.com/tousu/show/id/1347452")</f>
        <v>http://ts.21cn.com/tousu/show/id/1347452</v>
      </c>
      <c r="F15749" s="2" t="s">
        <v>11</v>
      </c>
      <c r="G15749" s="2" t="s">
        <v>13193</v>
      </c>
      <c r="H15749" s="2" t="s">
        <v>13194</v>
      </c>
    </row>
    <row r="15750" spans="1:8" ht="25.05" customHeight="1" x14ac:dyDescent="0.25">
      <c r="A15750" s="2" t="s">
        <v>8</v>
      </c>
      <c r="B15750" s="2" t="str">
        <f>HYPERLINK("http://ts.21cn.com/tousu/show/id/1347354","网贷高利贷")</f>
        <v>网贷高利贷</v>
      </c>
      <c r="C15750" s="2" t="s">
        <v>9</v>
      </c>
      <c r="D15750" s="2" t="s">
        <v>10</v>
      </c>
      <c r="E15750" s="2" t="str">
        <f>HYPERLINK("http://ts.21cn.com/tousu/show/id/1347354","http://ts.21cn.com/tousu/show/id/1347354")</f>
        <v>http://ts.21cn.com/tousu/show/id/1347354</v>
      </c>
      <c r="F15750" s="2" t="s">
        <v>11</v>
      </c>
      <c r="G15750" s="2" t="s">
        <v>13191</v>
      </c>
      <c r="H15750" s="2" t="s">
        <v>13192</v>
      </c>
    </row>
    <row r="15751" spans="1:8" ht="25.05" customHeight="1" x14ac:dyDescent="0.25">
      <c r="A15751" s="2" t="s">
        <v>8</v>
      </c>
      <c r="B15751" s="2" t="str">
        <f>HYPERLINK("http://ts.21cn.com/tousu/show/id/1347455","51人品暴力催收")</f>
        <v>51人品暴力催收</v>
      </c>
      <c r="C15751" s="2" t="s">
        <v>9</v>
      </c>
      <c r="D15751" s="2" t="s">
        <v>10</v>
      </c>
      <c r="E15751" s="2" t="str">
        <f>HYPERLINK("http://ts.21cn.com/tousu/show/id/1347455","http://ts.21cn.com/tousu/show/id/1347455")</f>
        <v>http://ts.21cn.com/tousu/show/id/1347455</v>
      </c>
      <c r="F15751" s="2" t="s">
        <v>11</v>
      </c>
      <c r="G15751" s="2" t="s">
        <v>13189</v>
      </c>
      <c r="H15751" s="2" t="s">
        <v>13190</v>
      </c>
    </row>
    <row r="15752" spans="1:8" ht="25.05" customHeight="1" x14ac:dyDescent="0.25">
      <c r="A15752" s="2" t="s">
        <v>8</v>
      </c>
      <c r="B15752" s="2" t="str">
        <f>HYPERLINK("http://ts.21cn.com/tousu/show/id/1347456","郑海清，不解决问题。还让第三方进行催收！")</f>
        <v>郑海清，不解决问题。还让第三方进行催收！</v>
      </c>
      <c r="C15752" s="2" t="s">
        <v>9</v>
      </c>
      <c r="D15752" s="2" t="s">
        <v>10</v>
      </c>
      <c r="E15752" s="2" t="str">
        <f>HYPERLINK("http://ts.21cn.com/tousu/show/id/1347456","http://ts.21cn.com/tousu/show/id/1347456")</f>
        <v>http://ts.21cn.com/tousu/show/id/1347456</v>
      </c>
      <c r="F15752" s="2" t="s">
        <v>11</v>
      </c>
      <c r="G15752" s="2" t="s">
        <v>13187</v>
      </c>
      <c r="H15752" s="2" t="s">
        <v>13188</v>
      </c>
    </row>
    <row r="15753" spans="1:8" ht="25.05" customHeight="1" x14ac:dyDescent="0.25">
      <c r="A15753" s="2" t="s">
        <v>8</v>
      </c>
      <c r="B15753" s="2" t="str">
        <f>HYPERLINK("http://ts.21cn.com/tousu/show/id/1347422","玖富万卡出具结清证明")</f>
        <v>玖富万卡出具结清证明</v>
      </c>
      <c r="C15753" s="2" t="s">
        <v>34</v>
      </c>
      <c r="D15753" s="2" t="s">
        <v>10</v>
      </c>
      <c r="E15753" s="2" t="str">
        <f>HYPERLINK("http://ts.21cn.com/tousu/show/id/1347422","http://ts.21cn.com/tousu/show/id/1347422")</f>
        <v>http://ts.21cn.com/tousu/show/id/1347422</v>
      </c>
      <c r="F15753" s="2" t="s">
        <v>11</v>
      </c>
      <c r="G15753" s="2" t="s">
        <v>13185</v>
      </c>
      <c r="H15753" s="2" t="s">
        <v>13186</v>
      </c>
    </row>
    <row r="15754" spans="1:8" ht="25.05" customHeight="1" x14ac:dyDescent="0.25">
      <c r="A15754" s="2" t="s">
        <v>8</v>
      </c>
      <c r="B15754" s="2" t="str">
        <f>HYPERLINK("http://ts.21cn.com/tousu/show/id/1347457","投诉小米贷款")</f>
        <v>投诉小米贷款</v>
      </c>
      <c r="C15754" s="2" t="s">
        <v>9</v>
      </c>
      <c r="D15754" s="2" t="s">
        <v>10</v>
      </c>
      <c r="E15754" s="2" t="str">
        <f>HYPERLINK("http://ts.21cn.com/tousu/show/id/1347457","http://ts.21cn.com/tousu/show/id/1347457")</f>
        <v>http://ts.21cn.com/tousu/show/id/1347457</v>
      </c>
      <c r="F15754" s="2" t="s">
        <v>11</v>
      </c>
      <c r="G15754" s="2" t="s">
        <v>13183</v>
      </c>
      <c r="H15754" s="2" t="s">
        <v>13184</v>
      </c>
    </row>
    <row r="15755" spans="1:8" ht="25.05" customHeight="1" x14ac:dyDescent="0.25">
      <c r="A15755" s="2" t="s">
        <v>8</v>
      </c>
      <c r="B15755" s="2" t="str">
        <f>HYPERLINK("https://ts.21cn.com/tousu/show/cid/18488","东莞市轻奢维体健身房第二次无缘无故关门，老板跑路")</f>
        <v>东莞市轻奢维体健身房第二次无缘无故关门，老板跑路</v>
      </c>
      <c r="C15755" s="2" t="s">
        <v>9</v>
      </c>
      <c r="D15755" s="2" t="s">
        <v>2184</v>
      </c>
      <c r="E15755" s="2" t="str">
        <f>HYPERLINK("https://ts.21cn.com/tousu/show/cid/18488","https://ts.21cn.com/tousu/show/cid/18488")</f>
        <v>https://ts.21cn.com/tousu/show/cid/18488</v>
      </c>
      <c r="F15755" s="2" t="s">
        <v>2185</v>
      </c>
      <c r="G15755" s="2" t="s">
        <v>13180</v>
      </c>
      <c r="H15755" s="2" t="s">
        <v>5975</v>
      </c>
    </row>
    <row r="15756" spans="1:8" ht="25.05" customHeight="1" x14ac:dyDescent="0.25">
      <c r="A15756" s="2" t="s">
        <v>8</v>
      </c>
      <c r="B15756" s="2" t="str">
        <f>HYPERLINK("http://ts.21cn.com/tousu/show/id/1347458","东莞市轻奢维体健身房第二次无缘无故关门，老板跑路")</f>
        <v>东莞市轻奢维体健身房第二次无缘无故关门，老板跑路</v>
      </c>
      <c r="C15756" s="2" t="s">
        <v>9</v>
      </c>
      <c r="D15756" s="2" t="s">
        <v>10</v>
      </c>
      <c r="E15756" s="2" t="str">
        <f>HYPERLINK("http://ts.21cn.com/tousu/show/id/1347458","http://ts.21cn.com/tousu/show/id/1347458")</f>
        <v>http://ts.21cn.com/tousu/show/id/1347458</v>
      </c>
      <c r="F15756" s="2" t="s">
        <v>11</v>
      </c>
      <c r="G15756" s="2" t="s">
        <v>13180</v>
      </c>
      <c r="H15756" s="2" t="s">
        <v>13181</v>
      </c>
    </row>
    <row r="15757" spans="1:8" ht="25.05" customHeight="1" x14ac:dyDescent="0.25">
      <c r="A15757" s="2" t="s">
        <v>8</v>
      </c>
      <c r="B15757" s="2" t="str">
        <f>HYPERLINK("http://ts.21cn.com/tousu/show/cid/18488","东莞市轻奢维体健身房第二次无缘无故关门，老板跑路")</f>
        <v>东莞市轻奢维体健身房第二次无缘无故关门，老板跑路</v>
      </c>
      <c r="C15757" s="2" t="s">
        <v>9</v>
      </c>
      <c r="D15757" s="2" t="s">
        <v>10</v>
      </c>
      <c r="E15757" s="2" t="str">
        <f>HYPERLINK("http://ts.21cn.com/tousu/show/cid/18488","http://ts.21cn.com/tousu/show/cid/18488")</f>
        <v>http://ts.21cn.com/tousu/show/cid/18488</v>
      </c>
      <c r="F15757" s="2" t="s">
        <v>11</v>
      </c>
      <c r="G15757" s="2" t="s">
        <v>13180</v>
      </c>
      <c r="H15757" s="2" t="s">
        <v>13182</v>
      </c>
    </row>
    <row r="15758" spans="1:8" ht="25.05" customHeight="1" x14ac:dyDescent="0.25">
      <c r="A15758" s="2" t="s">
        <v>8</v>
      </c>
      <c r="B15758" s="2" t="str">
        <f>HYPERLINK("http://ts.21cn.com/tousu/show/id/1347459","指上旅行，砍头利息")</f>
        <v>指上旅行，砍头利息</v>
      </c>
      <c r="C15758" s="2" t="s">
        <v>9</v>
      </c>
      <c r="D15758" s="2" t="s">
        <v>10</v>
      </c>
      <c r="E15758" s="2" t="str">
        <f>HYPERLINK("http://ts.21cn.com/tousu/show/id/1347459","http://ts.21cn.com/tousu/show/id/1347459")</f>
        <v>http://ts.21cn.com/tousu/show/id/1347459</v>
      </c>
      <c r="F15758" s="2" t="s">
        <v>11</v>
      </c>
      <c r="G15758" s="2" t="s">
        <v>13178</v>
      </c>
      <c r="H15758" s="2" t="s">
        <v>13179</v>
      </c>
    </row>
    <row r="15759" spans="1:8" ht="25.05" customHeight="1" x14ac:dyDescent="0.25">
      <c r="A15759" s="2" t="s">
        <v>8</v>
      </c>
      <c r="B15759" s="2" t="str">
        <f>HYPERLINK("http://ts.21cn.com/tousu/show/id/1347445","在平台申请贷款的时候弹出付299元才能申请贷款，抓住客户想借款的心理，咨询客服说后续可以退款")</f>
        <v>在平台申请贷款的时候弹出付299元才能申请贷款，抓住客户想借款的心理，咨询客服说后续可以退款</v>
      </c>
      <c r="C15759" s="2" t="s">
        <v>34</v>
      </c>
      <c r="D15759" s="2" t="s">
        <v>10</v>
      </c>
      <c r="E15759" s="2" t="str">
        <f>HYPERLINK("http://ts.21cn.com/tousu/show/id/1347445","http://ts.21cn.com/tousu/show/id/1347445")</f>
        <v>http://ts.21cn.com/tousu/show/id/1347445</v>
      </c>
      <c r="F15759" s="2" t="s">
        <v>11</v>
      </c>
      <c r="G15759" s="2" t="s">
        <v>13174</v>
      </c>
      <c r="H15759" s="2" t="s">
        <v>13175</v>
      </c>
    </row>
    <row r="15760" spans="1:8" ht="25.05" customHeight="1" x14ac:dyDescent="0.25">
      <c r="A15760" s="2" t="s">
        <v>8</v>
      </c>
      <c r="B15760" s="2" t="str">
        <f>HYPERLINK("http://ts.21cn.com/tousu/show/id/1347465","玖富小蓝卡阴阳合同，借11900，合同上写20290，乱加服务费")</f>
        <v>玖富小蓝卡阴阳合同，借11900，合同上写20290，乱加服务费</v>
      </c>
      <c r="C15760" s="2" t="s">
        <v>9</v>
      </c>
      <c r="D15760" s="2" t="s">
        <v>10</v>
      </c>
      <c r="E15760" s="2" t="str">
        <f>HYPERLINK("http://ts.21cn.com/tousu/show/id/1347465","http://ts.21cn.com/tousu/show/id/1347465")</f>
        <v>http://ts.21cn.com/tousu/show/id/1347465</v>
      </c>
      <c r="F15760" s="2" t="s">
        <v>11</v>
      </c>
      <c r="G15760" s="2" t="s">
        <v>13174</v>
      </c>
      <c r="H15760" s="2" t="s">
        <v>13176</v>
      </c>
    </row>
    <row r="15761" spans="1:8" ht="25.05" customHeight="1" x14ac:dyDescent="0.25">
      <c r="A15761" s="2" t="s">
        <v>8</v>
      </c>
      <c r="B15761" s="2" t="str">
        <f>HYPERLINK("http://ts.21cn.com/tousu/show/id/1347466","电话骚扰辱骂恐吓威胁")</f>
        <v>电话骚扰辱骂恐吓威胁</v>
      </c>
      <c r="C15761" s="2" t="s">
        <v>9</v>
      </c>
      <c r="D15761" s="2" t="s">
        <v>10</v>
      </c>
      <c r="E15761" s="2" t="str">
        <f>HYPERLINK("http://ts.21cn.com/tousu/show/id/1347466","http://ts.21cn.com/tousu/show/id/1347466")</f>
        <v>http://ts.21cn.com/tousu/show/id/1347466</v>
      </c>
      <c r="F15761" s="2" t="s">
        <v>11</v>
      </c>
      <c r="G15761" s="2" t="s">
        <v>13174</v>
      </c>
      <c r="H15761" s="2" t="s">
        <v>13177</v>
      </c>
    </row>
    <row r="15762" spans="1:8" ht="25.05" customHeight="1" x14ac:dyDescent="0.25">
      <c r="A15762" s="2" t="s">
        <v>8</v>
      </c>
      <c r="B15762" s="2" t="str">
        <f>HYPERLINK("http://ts.21cn.com/tousu/show/id/1347460","高利贷威胁这不处理吗？")</f>
        <v>高利贷威胁这不处理吗？</v>
      </c>
      <c r="C15762" s="2" t="s">
        <v>9</v>
      </c>
      <c r="D15762" s="2" t="s">
        <v>10</v>
      </c>
      <c r="E15762" s="2" t="str">
        <f>HYPERLINK("http://ts.21cn.com/tousu/show/id/1347460","http://ts.21cn.com/tousu/show/id/1347460")</f>
        <v>http://ts.21cn.com/tousu/show/id/1347460</v>
      </c>
      <c r="F15762" s="2" t="s">
        <v>11</v>
      </c>
      <c r="G15762" s="2" t="s">
        <v>13172</v>
      </c>
      <c r="H15762" s="2" t="s">
        <v>13173</v>
      </c>
    </row>
    <row r="15763" spans="1:8" ht="25.05" customHeight="1" x14ac:dyDescent="0.25">
      <c r="A15763" s="2" t="s">
        <v>8</v>
      </c>
      <c r="B15763" s="2" t="str">
        <f>HYPERLINK("http://ts.21cn.com/tousu/show/id/1347461","高利贷，爆通讯录骚扰家人威胁家人")</f>
        <v>高利贷，爆通讯录骚扰家人威胁家人</v>
      </c>
      <c r="C15763" s="2" t="s">
        <v>9</v>
      </c>
      <c r="D15763" s="2" t="s">
        <v>10</v>
      </c>
      <c r="E15763" s="2" t="str">
        <f>HYPERLINK("http://ts.21cn.com/tousu/show/id/1347461","http://ts.21cn.com/tousu/show/id/1347461")</f>
        <v>http://ts.21cn.com/tousu/show/id/1347461</v>
      </c>
      <c r="F15763" s="2" t="s">
        <v>11</v>
      </c>
      <c r="G15763" s="2" t="s">
        <v>13170</v>
      </c>
      <c r="H15763" s="2" t="s">
        <v>13171</v>
      </c>
    </row>
    <row r="15764" spans="1:8" ht="25.05" customHeight="1" x14ac:dyDescent="0.25">
      <c r="A15764" s="2" t="s">
        <v>8</v>
      </c>
      <c r="B15764" s="2" t="str">
        <f>HYPERLINK("http://ts.21cn.com/tousu/show/id/1347462","打电话给主管平台说有本事去投诉")</f>
        <v>打电话给主管平台说有本事去投诉</v>
      </c>
      <c r="C15764" s="2" t="s">
        <v>9</v>
      </c>
      <c r="D15764" s="2" t="s">
        <v>10</v>
      </c>
      <c r="E15764" s="2" t="str">
        <f>HYPERLINK("http://ts.21cn.com/tousu/show/id/1347462","http://ts.21cn.com/tousu/show/id/1347462")</f>
        <v>http://ts.21cn.com/tousu/show/id/1347462</v>
      </c>
      <c r="F15764" s="2" t="s">
        <v>11</v>
      </c>
      <c r="G15764" s="2" t="s">
        <v>13168</v>
      </c>
      <c r="H15764" s="2" t="s">
        <v>13169</v>
      </c>
    </row>
    <row r="15765" spans="1:8" ht="25.05" customHeight="1" x14ac:dyDescent="0.25">
      <c r="A15765" s="2" t="s">
        <v>8</v>
      </c>
      <c r="B15765" s="2" t="str">
        <f>HYPERLINK("http://ts.21cn.com/tousu/show/id/1347464","松紧贷恶意爆电话")</f>
        <v>松紧贷恶意爆电话</v>
      </c>
      <c r="C15765" s="2" t="s">
        <v>9</v>
      </c>
      <c r="D15765" s="2" t="s">
        <v>10</v>
      </c>
      <c r="E15765" s="2" t="str">
        <f>HYPERLINK("http://ts.21cn.com/tousu/show/id/1347464","http://ts.21cn.com/tousu/show/id/1347464")</f>
        <v>http://ts.21cn.com/tousu/show/id/1347464</v>
      </c>
      <c r="F15765" s="2" t="s">
        <v>11</v>
      </c>
      <c r="G15765" s="2" t="s">
        <v>13166</v>
      </c>
      <c r="H15765" s="2" t="s">
        <v>13167</v>
      </c>
    </row>
    <row r="15766" spans="1:8" ht="25.05" customHeight="1" x14ac:dyDescent="0.25">
      <c r="A15766" s="2" t="s">
        <v>8</v>
      </c>
      <c r="B15766" s="2" t="str">
        <f>HYPERLINK("http://ts.21cn.com/tousu/show/id/1347467","没借钱反而倒扣100")</f>
        <v>没借钱反而倒扣100</v>
      </c>
      <c r="C15766" s="2" t="s">
        <v>34</v>
      </c>
      <c r="D15766" s="2" t="s">
        <v>10</v>
      </c>
      <c r="E15766" s="2" t="str">
        <f>HYPERLINK("http://ts.21cn.com/tousu/show/id/1347467","http://ts.21cn.com/tousu/show/id/1347467")</f>
        <v>http://ts.21cn.com/tousu/show/id/1347467</v>
      </c>
      <c r="F15766" s="2" t="s">
        <v>11</v>
      </c>
      <c r="G15766" s="2" t="s">
        <v>13164</v>
      </c>
      <c r="H15766" s="2" t="s">
        <v>13165</v>
      </c>
    </row>
    <row r="15767" spans="1:8" ht="25.05" customHeight="1" x14ac:dyDescent="0.25">
      <c r="A15767" s="2" t="s">
        <v>8</v>
      </c>
      <c r="B15767" s="2" t="str">
        <f>HYPERLINK("http://ts.21cn.com/tousu/show/id/1347469","恶意扣款")</f>
        <v>恶意扣款</v>
      </c>
      <c r="C15767" s="2" t="s">
        <v>9</v>
      </c>
      <c r="D15767" s="2" t="s">
        <v>10</v>
      </c>
      <c r="E15767" s="2" t="str">
        <f>HYPERLINK("http://ts.21cn.com/tousu/show/id/1347469","http://ts.21cn.com/tousu/show/id/1347469")</f>
        <v>http://ts.21cn.com/tousu/show/id/1347469</v>
      </c>
      <c r="F15767" s="2" t="s">
        <v>11</v>
      </c>
      <c r="G15767" s="2" t="s">
        <v>13162</v>
      </c>
      <c r="H15767" s="2" t="s">
        <v>13163</v>
      </c>
    </row>
    <row r="15768" spans="1:8" ht="25.05" customHeight="1" x14ac:dyDescent="0.25">
      <c r="A15768" s="2" t="s">
        <v>8</v>
      </c>
      <c r="B15768" s="2" t="str">
        <f>HYPERLINK("http://ts.21cn.com/tousu/show/id/1347005","名校贷退还砍头息和多余利息")</f>
        <v>名校贷退还砍头息和多余利息</v>
      </c>
      <c r="C15768" s="2" t="s">
        <v>9</v>
      </c>
      <c r="D15768" s="2" t="s">
        <v>10</v>
      </c>
      <c r="E15768" s="2" t="str">
        <f>HYPERLINK("http://ts.21cn.com/tousu/show/id/1347005","http://ts.21cn.com/tousu/show/id/1347005")</f>
        <v>http://ts.21cn.com/tousu/show/id/1347005</v>
      </c>
      <c r="F15768" s="2" t="s">
        <v>11</v>
      </c>
      <c r="G15768" s="2" t="s">
        <v>13160</v>
      </c>
      <c r="H15768" s="2" t="s">
        <v>13161</v>
      </c>
    </row>
    <row r="15769" spans="1:8" ht="25.05" customHeight="1" x14ac:dyDescent="0.25">
      <c r="A15769" s="2" t="s">
        <v>8</v>
      </c>
      <c r="B15769" s="2" t="str">
        <f>HYPERLINK("http://ts.21cn.com/tousu/show/id/1347470","乐信优品线上不能还款线下处理还本金被侮辱")</f>
        <v>乐信优品线上不能还款线下处理还本金被侮辱</v>
      </c>
      <c r="C15769" s="2" t="s">
        <v>9</v>
      </c>
      <c r="D15769" s="2" t="s">
        <v>10</v>
      </c>
      <c r="E15769" s="2" t="str">
        <f>HYPERLINK("http://ts.21cn.com/tousu/show/id/1347470","http://ts.21cn.com/tousu/show/id/1347470")</f>
        <v>http://ts.21cn.com/tousu/show/id/1347470</v>
      </c>
      <c r="F15769" s="2" t="s">
        <v>11</v>
      </c>
      <c r="G15769" s="2" t="s">
        <v>13158</v>
      </c>
      <c r="H15769" s="2" t="s">
        <v>13159</v>
      </c>
    </row>
    <row r="15770" spans="1:8" ht="25.05" customHeight="1" x14ac:dyDescent="0.25">
      <c r="A15770" s="2" t="s">
        <v>8</v>
      </c>
      <c r="B15770" s="2" t="str">
        <f>HYPERLINK("http://ts.21cn.com/tousu/show/id/1347472","长安汽车金融")</f>
        <v>长安汽车金融</v>
      </c>
      <c r="C15770" s="2" t="s">
        <v>9</v>
      </c>
      <c r="D15770" s="2" t="s">
        <v>10</v>
      </c>
      <c r="E15770" s="2" t="str">
        <f>HYPERLINK("http://ts.21cn.com/tousu/show/id/1347472","http://ts.21cn.com/tousu/show/id/1347472")</f>
        <v>http://ts.21cn.com/tousu/show/id/1347472</v>
      </c>
      <c r="F15770" s="2" t="s">
        <v>11</v>
      </c>
      <c r="G15770" s="2" t="s">
        <v>13156</v>
      </c>
      <c r="H15770" s="2" t="s">
        <v>13157</v>
      </c>
    </row>
    <row r="15771" spans="1:8" ht="25.05" customHeight="1" x14ac:dyDescent="0.25">
      <c r="A15771" s="2" t="s">
        <v>8</v>
      </c>
      <c r="B15771" s="2" t="str">
        <f>HYPERLINK("http://ts.21cn.com/tousu/show/id/1347473","东莞市轻奢维体健身房欺诈消费")</f>
        <v>东莞市轻奢维体健身房欺诈消费</v>
      </c>
      <c r="C15771" s="2" t="s">
        <v>9</v>
      </c>
      <c r="D15771" s="2" t="s">
        <v>10</v>
      </c>
      <c r="E15771" s="2" t="str">
        <f>HYPERLINK("http://ts.21cn.com/tousu/show/id/1347473","http://ts.21cn.com/tousu/show/id/1347473")</f>
        <v>http://ts.21cn.com/tousu/show/id/1347473</v>
      </c>
      <c r="F15771" s="2" t="s">
        <v>11</v>
      </c>
      <c r="G15771" s="2" t="s">
        <v>13154</v>
      </c>
      <c r="H15771" s="2" t="s">
        <v>13155</v>
      </c>
    </row>
    <row r="15772" spans="1:8" ht="25.05" customHeight="1" x14ac:dyDescent="0.25">
      <c r="A15772" s="2" t="s">
        <v>8</v>
      </c>
      <c r="B15772" s="2" t="str">
        <f>HYPERLINK("http://ts.21cn.com/tousu/show/id/1347477","联通易借联合永安保险不知情搭售保险")</f>
        <v>联通易借联合永安保险不知情搭售保险</v>
      </c>
      <c r="C15772" s="2" t="s">
        <v>9</v>
      </c>
      <c r="D15772" s="2" t="s">
        <v>10</v>
      </c>
      <c r="E15772" s="2" t="str">
        <f>HYPERLINK("http://ts.21cn.com/tousu/show/id/1347477","http://ts.21cn.com/tousu/show/id/1347477")</f>
        <v>http://ts.21cn.com/tousu/show/id/1347477</v>
      </c>
      <c r="F15772" s="2" t="s">
        <v>11</v>
      </c>
      <c r="G15772" s="2" t="s">
        <v>13152</v>
      </c>
      <c r="H15772" s="2" t="s">
        <v>13153</v>
      </c>
    </row>
    <row r="15773" spans="1:8" ht="25.05" customHeight="1" x14ac:dyDescent="0.25">
      <c r="A15773" s="2" t="s">
        <v>8</v>
      </c>
      <c r="B15773" s="2" t="str">
        <f>HYPERLINK("http://ts.21cn.com/tousu/show/id/1347474","恐吓威胁")</f>
        <v>恐吓威胁</v>
      </c>
      <c r="C15773" s="2" t="s">
        <v>9</v>
      </c>
      <c r="D15773" s="2" t="s">
        <v>10</v>
      </c>
      <c r="E15773" s="2" t="str">
        <f>HYPERLINK("http://ts.21cn.com/tousu/show/id/1347474","http://ts.21cn.com/tousu/show/id/1347474")</f>
        <v>http://ts.21cn.com/tousu/show/id/1347474</v>
      </c>
      <c r="F15773" s="2" t="s">
        <v>11</v>
      </c>
      <c r="G15773" s="2" t="s">
        <v>13150</v>
      </c>
      <c r="H15773" s="2" t="s">
        <v>13151</v>
      </c>
    </row>
    <row r="15774" spans="1:8" ht="25.05" customHeight="1" x14ac:dyDescent="0.25">
      <c r="A15774" s="2" t="s">
        <v>8</v>
      </c>
      <c r="B15774" s="2" t="str">
        <f>HYPERLINK("http://ts.21cn.com/tousu/show/id/1347475","造艺科技收取风险评估报告的费用")</f>
        <v>造艺科技收取风险评估报告的费用</v>
      </c>
      <c r="C15774" s="2" t="s">
        <v>9</v>
      </c>
      <c r="D15774" s="2" t="s">
        <v>10</v>
      </c>
      <c r="E15774" s="2" t="str">
        <f>HYPERLINK("http://ts.21cn.com/tousu/show/id/1347475","http://ts.21cn.com/tousu/show/id/1347475")</f>
        <v>http://ts.21cn.com/tousu/show/id/1347475</v>
      </c>
      <c r="F15774" s="2" t="s">
        <v>11</v>
      </c>
      <c r="G15774" s="2" t="s">
        <v>13148</v>
      </c>
      <c r="H15774" s="2" t="s">
        <v>13149</v>
      </c>
    </row>
    <row r="15775" spans="1:8" ht="25.05" customHeight="1" x14ac:dyDescent="0.25">
      <c r="A15775" s="2" t="s">
        <v>8</v>
      </c>
      <c r="B15775" s="2" t="str">
        <f>HYPERLINK("http://ts.21cn.com/tousu/show/id/1347476","滴滴出行未上车先打表")</f>
        <v>滴滴出行未上车先打表</v>
      </c>
      <c r="C15775" s="2" t="s">
        <v>9</v>
      </c>
      <c r="D15775" s="2" t="s">
        <v>10</v>
      </c>
      <c r="E15775" s="2" t="str">
        <f>HYPERLINK("http://ts.21cn.com/tousu/show/id/1347476","http://ts.21cn.com/tousu/show/id/1347476")</f>
        <v>http://ts.21cn.com/tousu/show/id/1347476</v>
      </c>
      <c r="F15775" s="2" t="s">
        <v>11</v>
      </c>
      <c r="G15775" s="2" t="s">
        <v>13148</v>
      </c>
      <c r="H15775" s="2" t="s">
        <v>961</v>
      </c>
    </row>
    <row r="15776" spans="1:8" ht="25.05" customHeight="1" x14ac:dyDescent="0.25">
      <c r="A15776" s="2" t="s">
        <v>8</v>
      </c>
      <c r="B15776" s="2" t="str">
        <f>HYPERLINK("http://ts.21cn.com/tousu/show/id/1347478","联通易借平台暴力催收，私自打通讯录电话侵犯个人隐私")</f>
        <v>联通易借平台暴力催收，私自打通讯录电话侵犯个人隐私</v>
      </c>
      <c r="C15776" s="2" t="s">
        <v>9</v>
      </c>
      <c r="D15776" s="2" t="s">
        <v>10</v>
      </c>
      <c r="E15776" s="2" t="str">
        <f>HYPERLINK("http://ts.21cn.com/tousu/show/id/1347478","http://ts.21cn.com/tousu/show/id/1347478")</f>
        <v>http://ts.21cn.com/tousu/show/id/1347478</v>
      </c>
      <c r="F15776" s="2" t="s">
        <v>11</v>
      </c>
      <c r="G15776" s="2" t="s">
        <v>13146</v>
      </c>
      <c r="H15776" s="2" t="s">
        <v>13147</v>
      </c>
    </row>
    <row r="15777" spans="1:8" ht="25.05" customHeight="1" x14ac:dyDescent="0.25">
      <c r="A15777" s="2" t="s">
        <v>8</v>
      </c>
      <c r="B15777" s="2" t="str">
        <f>HYPERLINK("http://ts.21cn.com/tousu/show/id/1347479","信用飞账单已经还清3个月，现在打电话要砍头息")</f>
        <v>信用飞账单已经还清3个月，现在打电话要砍头息</v>
      </c>
      <c r="C15777" s="2" t="s">
        <v>9</v>
      </c>
      <c r="D15777" s="2" t="s">
        <v>10</v>
      </c>
      <c r="E15777" s="2" t="str">
        <f>HYPERLINK("http://ts.21cn.com/tousu/show/id/1347479","http://ts.21cn.com/tousu/show/id/1347479")</f>
        <v>http://ts.21cn.com/tousu/show/id/1347479</v>
      </c>
      <c r="F15777" s="2" t="s">
        <v>11</v>
      </c>
      <c r="G15777" s="2" t="s">
        <v>13144</v>
      </c>
      <c r="H15777" s="2" t="s">
        <v>13145</v>
      </c>
    </row>
    <row r="15778" spans="1:8" ht="25.05" customHeight="1" x14ac:dyDescent="0.25">
      <c r="A15778" s="2" t="s">
        <v>8</v>
      </c>
      <c r="B15778" s="2" t="str">
        <f>HYPERLINK("http://ts.21cn.com/tousu/show/id/1347481","2019年9月30日被中国银联股份有限公司广东分公司专户01转走3730元")</f>
        <v>2019年9月30日被中国银联股份有限公司广东分公司专户01转走3730元</v>
      </c>
      <c r="C15778" s="2" t="s">
        <v>34</v>
      </c>
      <c r="D15778" s="2" t="s">
        <v>10</v>
      </c>
      <c r="E15778" s="2" t="str">
        <f>HYPERLINK("http://ts.21cn.com/tousu/show/id/1347481","http://ts.21cn.com/tousu/show/id/1347481")</f>
        <v>http://ts.21cn.com/tousu/show/id/1347481</v>
      </c>
      <c r="F15778" s="2" t="s">
        <v>11</v>
      </c>
      <c r="G15778" s="2" t="s">
        <v>13142</v>
      </c>
      <c r="H15778" s="2" t="s">
        <v>13143</v>
      </c>
    </row>
    <row r="15779" spans="1:8" ht="25.05" customHeight="1" x14ac:dyDescent="0.25">
      <c r="A15779" s="2" t="s">
        <v>8</v>
      </c>
      <c r="B15779" s="2" t="str">
        <f>HYPERLINK("http://ts.21cn.com/tousu/show/id/1347480","支付宝委托第三方催收")</f>
        <v>支付宝委托第三方催收</v>
      </c>
      <c r="C15779" s="2" t="s">
        <v>9</v>
      </c>
      <c r="D15779" s="2" t="s">
        <v>10</v>
      </c>
      <c r="E15779" s="2" t="str">
        <f>HYPERLINK("http://ts.21cn.com/tousu/show/id/1347480","http://ts.21cn.com/tousu/show/id/1347480")</f>
        <v>http://ts.21cn.com/tousu/show/id/1347480</v>
      </c>
      <c r="F15779" s="2" t="s">
        <v>11</v>
      </c>
      <c r="G15779" s="2" t="s">
        <v>13140</v>
      </c>
      <c r="H15779" s="2" t="s">
        <v>13141</v>
      </c>
    </row>
    <row r="15780" spans="1:8" ht="25.05" customHeight="1" x14ac:dyDescent="0.25">
      <c r="A15780" s="2" t="s">
        <v>8</v>
      </c>
      <c r="B15780" s="2" t="str">
        <f>HYPERLINK("http://ts.21cn.com/tousu/show/id/1347482","拍拍贷，利息超国家标准，违法放贷！！")</f>
        <v>拍拍贷，利息超国家标准，违法放贷！！</v>
      </c>
      <c r="C15780" s="2" t="s">
        <v>9</v>
      </c>
      <c r="D15780" s="2" t="s">
        <v>10</v>
      </c>
      <c r="E15780" s="2" t="str">
        <f>HYPERLINK("http://ts.21cn.com/tousu/show/id/1347482","http://ts.21cn.com/tousu/show/id/1347482")</f>
        <v>http://ts.21cn.com/tousu/show/id/1347482</v>
      </c>
      <c r="F15780" s="2" t="s">
        <v>11</v>
      </c>
      <c r="G15780" s="2" t="s">
        <v>13138</v>
      </c>
      <c r="H15780" s="2" t="s">
        <v>13139</v>
      </c>
    </row>
    <row r="15781" spans="1:8" ht="25.05" customHeight="1" x14ac:dyDescent="0.25">
      <c r="A15781" s="2" t="s">
        <v>8</v>
      </c>
      <c r="B15781" s="2" t="str">
        <f>HYPERLINK("http://ts.21cn.com/tousu/show/id/1347483","交易猫退款失败")</f>
        <v>交易猫退款失败</v>
      </c>
      <c r="C15781" s="2" t="s">
        <v>34</v>
      </c>
      <c r="D15781" s="2" t="s">
        <v>10</v>
      </c>
      <c r="E15781" s="2" t="str">
        <f>HYPERLINK("http://ts.21cn.com/tousu/show/id/1347483","http://ts.21cn.com/tousu/show/id/1347483")</f>
        <v>http://ts.21cn.com/tousu/show/id/1347483</v>
      </c>
      <c r="F15781" s="2" t="s">
        <v>11</v>
      </c>
      <c r="G15781" s="2" t="s">
        <v>13136</v>
      </c>
      <c r="H15781" s="2" t="s">
        <v>13137</v>
      </c>
    </row>
    <row r="15782" spans="1:8" ht="25.05" customHeight="1" x14ac:dyDescent="0.25">
      <c r="A15782" s="2" t="s">
        <v>8</v>
      </c>
      <c r="B15782" s="2" t="str">
        <f>HYPERLINK("http://ts.21cn.com/tousu/show/id/1347484","退款失败")</f>
        <v>退款失败</v>
      </c>
      <c r="C15782" s="2" t="s">
        <v>34</v>
      </c>
      <c r="D15782" s="2" t="s">
        <v>10</v>
      </c>
      <c r="E15782" s="2" t="str">
        <f>HYPERLINK("http://ts.21cn.com/tousu/show/id/1347484","http://ts.21cn.com/tousu/show/id/1347484")</f>
        <v>http://ts.21cn.com/tousu/show/id/1347484</v>
      </c>
      <c r="F15782" s="2" t="s">
        <v>11</v>
      </c>
      <c r="G15782" s="2" t="s">
        <v>13134</v>
      </c>
      <c r="H15782" s="2" t="s">
        <v>13135</v>
      </c>
    </row>
    <row r="15783" spans="1:8" ht="25.05" customHeight="1" x14ac:dyDescent="0.25">
      <c r="A15783" s="2" t="s">
        <v>8</v>
      </c>
      <c r="B15783" s="2" t="str">
        <f>HYPERLINK("http://ts.21cn.com/tousu/show/id/1347488","米多点借款收取高额砍头息")</f>
        <v>米多点借款收取高额砍头息</v>
      </c>
      <c r="C15783" s="2" t="s">
        <v>9</v>
      </c>
      <c r="D15783" s="2" t="s">
        <v>10</v>
      </c>
      <c r="E15783" s="2" t="str">
        <f>HYPERLINK("http://ts.21cn.com/tousu/show/id/1347488","http://ts.21cn.com/tousu/show/id/1347488")</f>
        <v>http://ts.21cn.com/tousu/show/id/1347488</v>
      </c>
      <c r="F15783" s="2" t="s">
        <v>11</v>
      </c>
      <c r="G15783" s="2" t="s">
        <v>13132</v>
      </c>
      <c r="H15783" s="2" t="s">
        <v>13133</v>
      </c>
    </row>
    <row r="15784" spans="1:8" ht="25.05" customHeight="1" x14ac:dyDescent="0.25">
      <c r="A15784" s="2" t="s">
        <v>8</v>
      </c>
      <c r="B15784" s="2" t="str">
        <f>HYPERLINK("http://ts.21cn.com/tousu/show/id/1347486","投诉京东白条与")</f>
        <v>投诉京东白条与</v>
      </c>
      <c r="C15784" s="2" t="s">
        <v>9</v>
      </c>
      <c r="D15784" s="2" t="s">
        <v>10</v>
      </c>
      <c r="E15784" s="2" t="str">
        <f>HYPERLINK("http://ts.21cn.com/tousu/show/id/1347486","http://ts.21cn.com/tousu/show/id/1347486")</f>
        <v>http://ts.21cn.com/tousu/show/id/1347486</v>
      </c>
      <c r="F15784" s="2" t="s">
        <v>11</v>
      </c>
      <c r="G15784" s="2" t="s">
        <v>13130</v>
      </c>
      <c r="H15784" s="2" t="s">
        <v>13131</v>
      </c>
    </row>
    <row r="15785" spans="1:8" ht="25.05" customHeight="1" x14ac:dyDescent="0.25">
      <c r="A15785" s="2" t="s">
        <v>8</v>
      </c>
      <c r="B15785" s="2" t="str">
        <f>HYPERLINK("http://ts.21cn.com/tousu/show/id/1347490","并非本人原因，京东拒绝退货。")</f>
        <v>并非本人原因，京东拒绝退货。</v>
      </c>
      <c r="C15785" s="2" t="s">
        <v>9</v>
      </c>
      <c r="D15785" s="2" t="s">
        <v>10</v>
      </c>
      <c r="E15785" s="2" t="str">
        <f>HYPERLINK("http://ts.21cn.com/tousu/show/id/1347490","http://ts.21cn.com/tousu/show/id/1347490")</f>
        <v>http://ts.21cn.com/tousu/show/id/1347490</v>
      </c>
      <c r="F15785" s="2" t="s">
        <v>11</v>
      </c>
      <c r="G15785" s="2" t="s">
        <v>13128</v>
      </c>
      <c r="H15785" s="2" t="s">
        <v>13129</v>
      </c>
    </row>
    <row r="15786" spans="1:8" ht="25.05" customHeight="1" x14ac:dyDescent="0.25">
      <c r="A15786" s="2" t="s">
        <v>8</v>
      </c>
      <c r="B15786" s="2" t="str">
        <f>HYPERLINK("http://ts.21cn.com/tousu/show/id/1347491","闪银砍头息和通联放款")</f>
        <v>闪银砍头息和通联放款</v>
      </c>
      <c r="C15786" s="2" t="s">
        <v>9</v>
      </c>
      <c r="D15786" s="2" t="s">
        <v>10</v>
      </c>
      <c r="E15786" s="2" t="str">
        <f>HYPERLINK("http://ts.21cn.com/tousu/show/id/1347491","http://ts.21cn.com/tousu/show/id/1347491")</f>
        <v>http://ts.21cn.com/tousu/show/id/1347491</v>
      </c>
      <c r="F15786" s="2" t="s">
        <v>11</v>
      </c>
      <c r="G15786" s="2" t="s">
        <v>13126</v>
      </c>
      <c r="H15786" s="2" t="s">
        <v>13127</v>
      </c>
    </row>
    <row r="15787" spans="1:8" ht="25.05" customHeight="1" x14ac:dyDescent="0.25">
      <c r="A15787" s="2" t="s">
        <v>8</v>
      </c>
      <c r="B15787" s="2" t="str">
        <f>HYPERLINK("http://ts.21cn.com/tousu/show/id/1347492","钱站高利贷阴阳合同")</f>
        <v>钱站高利贷阴阳合同</v>
      </c>
      <c r="C15787" s="2" t="s">
        <v>9</v>
      </c>
      <c r="D15787" s="2" t="s">
        <v>10</v>
      </c>
      <c r="E15787" s="2" t="str">
        <f>HYPERLINK("http://ts.21cn.com/tousu/show/id/1347492","http://ts.21cn.com/tousu/show/id/1347492")</f>
        <v>http://ts.21cn.com/tousu/show/id/1347492</v>
      </c>
      <c r="F15787" s="2" t="s">
        <v>11</v>
      </c>
      <c r="G15787" s="2" t="s">
        <v>13124</v>
      </c>
      <c r="H15787" s="2" t="s">
        <v>13125</v>
      </c>
    </row>
    <row r="15788" spans="1:8" ht="25.05" customHeight="1" x14ac:dyDescent="0.25">
      <c r="A15788" s="2" t="s">
        <v>8</v>
      </c>
      <c r="B15788" s="2" t="str">
        <f>HYPERLINK("http://ts.21cn.com/tousu/show/id/1347493","网商贷暴力催收威胁家人")</f>
        <v>网商贷暴力催收威胁家人</v>
      </c>
      <c r="C15788" s="2" t="s">
        <v>9</v>
      </c>
      <c r="D15788" s="2" t="s">
        <v>10</v>
      </c>
      <c r="E15788" s="2" t="str">
        <f>HYPERLINK("http://ts.21cn.com/tousu/show/id/1347493","http://ts.21cn.com/tousu/show/id/1347493")</f>
        <v>http://ts.21cn.com/tousu/show/id/1347493</v>
      </c>
      <c r="F15788" s="2" t="s">
        <v>11</v>
      </c>
      <c r="G15788" s="2" t="s">
        <v>13122</v>
      </c>
      <c r="H15788" s="2" t="s">
        <v>13123</v>
      </c>
    </row>
    <row r="15789" spans="1:8" ht="25.05" customHeight="1" x14ac:dyDescent="0.25">
      <c r="A15789" s="2" t="s">
        <v>8</v>
      </c>
      <c r="B15789" s="2" t="str">
        <f>HYPERLINK("http://ts.21cn.com/tousu/show/id/1347494","暴力催收！高利贷！套路贷！！")</f>
        <v>暴力催收！高利贷！套路贷！！</v>
      </c>
      <c r="C15789" s="2" t="s">
        <v>9</v>
      </c>
      <c r="D15789" s="2" t="s">
        <v>10</v>
      </c>
      <c r="E15789" s="2" t="str">
        <f>HYPERLINK("http://ts.21cn.com/tousu/show/id/1347494","http://ts.21cn.com/tousu/show/id/1347494")</f>
        <v>http://ts.21cn.com/tousu/show/id/1347494</v>
      </c>
      <c r="F15789" s="2" t="s">
        <v>11</v>
      </c>
      <c r="G15789" s="2" t="s">
        <v>13120</v>
      </c>
      <c r="H15789" s="2" t="s">
        <v>13121</v>
      </c>
    </row>
    <row r="15790" spans="1:8" ht="25.05" customHeight="1" x14ac:dyDescent="0.25">
      <c r="A15790" s="2" t="s">
        <v>8</v>
      </c>
      <c r="B15790" s="2" t="str">
        <f>HYPERLINK("http://ts.21cn.com/tousu/show/id/1347468","聚福钱包恶意退款，欺瞒消费者")</f>
        <v>聚福钱包恶意退款，欺瞒消费者</v>
      </c>
      <c r="C15790" s="2" t="s">
        <v>9</v>
      </c>
      <c r="D15790" s="2" t="s">
        <v>10</v>
      </c>
      <c r="E15790" s="2" t="str">
        <f>HYPERLINK("http://ts.21cn.com/tousu/show/id/1347468","http://ts.21cn.com/tousu/show/id/1347468")</f>
        <v>http://ts.21cn.com/tousu/show/id/1347468</v>
      </c>
      <c r="F15790" s="2" t="s">
        <v>11</v>
      </c>
      <c r="G15790" s="2" t="s">
        <v>13118</v>
      </c>
      <c r="H15790" s="2" t="s">
        <v>13119</v>
      </c>
    </row>
    <row r="15791" spans="1:8" ht="25.05" customHeight="1" x14ac:dyDescent="0.25">
      <c r="A15791" s="2" t="s">
        <v>8</v>
      </c>
      <c r="B15791" s="2" t="str">
        <f>HYPERLINK("http://ts.21cn.com/tousu/show/id/1347497","成都美乐乐家居（www.meilele.com）洛阳分店全款打钱半年发不出来货，退款难！洛阳门店已欠房租关门，要求发货")</f>
        <v>成都美乐乐家居（www.meilele.com）洛阳分店全款打钱半年发不出来货，退款难！洛阳门店已欠房租关门，要求发货</v>
      </c>
      <c r="C15791" s="2" t="s">
        <v>9</v>
      </c>
      <c r="D15791" s="2" t="s">
        <v>10</v>
      </c>
      <c r="E15791" s="2" t="str">
        <f>HYPERLINK("http://ts.21cn.com/tousu/show/id/1347497","http://ts.21cn.com/tousu/show/id/1347497")</f>
        <v>http://ts.21cn.com/tousu/show/id/1347497</v>
      </c>
      <c r="F15791" s="2" t="s">
        <v>11</v>
      </c>
      <c r="G15791" s="2" t="s">
        <v>13116</v>
      </c>
      <c r="H15791" s="2" t="s">
        <v>13117</v>
      </c>
    </row>
    <row r="15792" spans="1:8" ht="25.05" customHeight="1" x14ac:dyDescent="0.25">
      <c r="A15792" s="2" t="s">
        <v>8</v>
      </c>
      <c r="B15792" s="2" t="str">
        <f>HYPERLINK("http://ts.21cn.com/tousu/show/id/1347496","物流不派送，去快递公司取件无理要求，不给快递件")</f>
        <v>物流不派送，去快递公司取件无理要求，不给快递件</v>
      </c>
      <c r="C15792" s="2" t="s">
        <v>9</v>
      </c>
      <c r="D15792" s="2" t="s">
        <v>10</v>
      </c>
      <c r="E15792" s="2" t="str">
        <f>HYPERLINK("http://ts.21cn.com/tousu/show/id/1347496","http://ts.21cn.com/tousu/show/id/1347496")</f>
        <v>http://ts.21cn.com/tousu/show/id/1347496</v>
      </c>
      <c r="F15792" s="2" t="s">
        <v>11</v>
      </c>
      <c r="G15792" s="2" t="s">
        <v>13114</v>
      </c>
      <c r="H15792" s="2" t="s">
        <v>13115</v>
      </c>
    </row>
    <row r="15793" spans="1:8" ht="25.05" customHeight="1" x14ac:dyDescent="0.25">
      <c r="A15793" s="2" t="s">
        <v>8</v>
      </c>
      <c r="B15793" s="2" t="str">
        <f>HYPERLINK("http://ts.21cn.com/tousu/show/id/1347498","美团金融电话短信骚扰恐吓")</f>
        <v>美团金融电话短信骚扰恐吓</v>
      </c>
      <c r="C15793" s="2" t="s">
        <v>9</v>
      </c>
      <c r="D15793" s="2" t="s">
        <v>10</v>
      </c>
      <c r="E15793" s="2" t="str">
        <f>HYPERLINK("http://ts.21cn.com/tousu/show/id/1347498","http://ts.21cn.com/tousu/show/id/1347498")</f>
        <v>http://ts.21cn.com/tousu/show/id/1347498</v>
      </c>
      <c r="F15793" s="2" t="s">
        <v>11</v>
      </c>
      <c r="G15793" s="2" t="s">
        <v>13112</v>
      </c>
      <c r="H15793" s="2" t="s">
        <v>13113</v>
      </c>
    </row>
    <row r="15794" spans="1:8" ht="25.05" customHeight="1" x14ac:dyDescent="0.25">
      <c r="A15794" s="2" t="s">
        <v>8</v>
      </c>
      <c r="B15794" s="2" t="str">
        <f>HYPERLINK("http://ts.21cn.com/tousu/show/id/1347499","合同欺诈，私自扣款")</f>
        <v>合同欺诈，私自扣款</v>
      </c>
      <c r="C15794" s="2" t="s">
        <v>9</v>
      </c>
      <c r="D15794" s="2" t="s">
        <v>10</v>
      </c>
      <c r="E15794" s="2" t="str">
        <f>HYPERLINK("http://ts.21cn.com/tousu/show/id/1347499","http://ts.21cn.com/tousu/show/id/1347499")</f>
        <v>http://ts.21cn.com/tousu/show/id/1347499</v>
      </c>
      <c r="F15794" s="2" t="s">
        <v>11</v>
      </c>
      <c r="G15794" s="2" t="s">
        <v>13110</v>
      </c>
      <c r="H15794" s="2" t="s">
        <v>13111</v>
      </c>
    </row>
    <row r="15795" spans="1:8" ht="25.05" customHeight="1" x14ac:dyDescent="0.25">
      <c r="A15795" s="2" t="s">
        <v>8</v>
      </c>
      <c r="B15795" s="2" t="str">
        <f>HYPERLINK("http://ts.21cn.com/tousu/show/id/1347500","10.2通过10086充值200元话费，至今电话还处于停机状态，联系10086超过5次以上，仍未解决")</f>
        <v>10.2通过10086充值200元话费，至今电话还处于停机状态，联系10086超过5次以上，仍未解决</v>
      </c>
      <c r="C15795" s="2" t="s">
        <v>9</v>
      </c>
      <c r="D15795" s="2" t="s">
        <v>10</v>
      </c>
      <c r="E15795" s="2" t="str">
        <f>HYPERLINK("http://ts.21cn.com/tousu/show/id/1347500","http://ts.21cn.com/tousu/show/id/1347500")</f>
        <v>http://ts.21cn.com/tousu/show/id/1347500</v>
      </c>
      <c r="F15795" s="2" t="s">
        <v>11</v>
      </c>
      <c r="G15795" s="2" t="s">
        <v>13108</v>
      </c>
      <c r="H15795" s="2" t="s">
        <v>13109</v>
      </c>
    </row>
    <row r="15796" spans="1:8" ht="25.05" customHeight="1" x14ac:dyDescent="0.25">
      <c r="A15796" s="2" t="s">
        <v>8</v>
      </c>
      <c r="B15796" s="2" t="str">
        <f>HYPERLINK("http://ts.21cn.com/tousu/show/id/1347502","造艺科技无故扣款")</f>
        <v>造艺科技无故扣款</v>
      </c>
      <c r="C15796" s="2" t="s">
        <v>9</v>
      </c>
      <c r="D15796" s="2" t="s">
        <v>10</v>
      </c>
      <c r="E15796" s="2" t="str">
        <f>HYPERLINK("http://ts.21cn.com/tousu/show/id/1347502","http://ts.21cn.com/tousu/show/id/1347502")</f>
        <v>http://ts.21cn.com/tousu/show/id/1347502</v>
      </c>
      <c r="F15796" s="2" t="s">
        <v>11</v>
      </c>
      <c r="G15796" s="2" t="s">
        <v>13106</v>
      </c>
      <c r="H15796" s="2" t="s">
        <v>13107</v>
      </c>
    </row>
    <row r="15797" spans="1:8" ht="25.05" customHeight="1" x14ac:dyDescent="0.25">
      <c r="A15797" s="2" t="s">
        <v>8</v>
      </c>
      <c r="B15797" s="2" t="str">
        <f>HYPERLINK("http://ts.21cn.com/tousu/show/id/1347504","滴滴平台专坑司机")</f>
        <v>滴滴平台专坑司机</v>
      </c>
      <c r="C15797" s="2" t="s">
        <v>9</v>
      </c>
      <c r="D15797" s="2" t="s">
        <v>10</v>
      </c>
      <c r="E15797" s="2" t="str">
        <f>HYPERLINK("http://ts.21cn.com/tousu/show/id/1347504","http://ts.21cn.com/tousu/show/id/1347504")</f>
        <v>http://ts.21cn.com/tousu/show/id/1347504</v>
      </c>
      <c r="F15797" s="2" t="s">
        <v>11</v>
      </c>
      <c r="G15797" s="2" t="s">
        <v>13103</v>
      </c>
      <c r="H15797" s="2" t="s">
        <v>13104</v>
      </c>
    </row>
    <row r="15798" spans="1:8" ht="25.05" customHeight="1" x14ac:dyDescent="0.25">
      <c r="A15798" s="2" t="s">
        <v>8</v>
      </c>
      <c r="B15798" s="2" t="str">
        <f>HYPERLINK("http://ts.21cn.com/tousu/show/id/1347503","捷信，恐吓我")</f>
        <v>捷信，恐吓我</v>
      </c>
      <c r="C15798" s="2" t="s">
        <v>9</v>
      </c>
      <c r="D15798" s="2" t="s">
        <v>10</v>
      </c>
      <c r="E15798" s="2" t="str">
        <f>HYPERLINK("http://ts.21cn.com/tousu/show/id/1347503","http://ts.21cn.com/tousu/show/id/1347503")</f>
        <v>http://ts.21cn.com/tousu/show/id/1347503</v>
      </c>
      <c r="F15798" s="2" t="s">
        <v>11</v>
      </c>
      <c r="G15798" s="2" t="s">
        <v>13103</v>
      </c>
      <c r="H15798" s="2" t="s">
        <v>13105</v>
      </c>
    </row>
    <row r="15799" spans="1:8" ht="25.05" customHeight="1" x14ac:dyDescent="0.25">
      <c r="A15799" s="2" t="s">
        <v>8</v>
      </c>
      <c r="B15799" s="2" t="str">
        <f>HYPERLINK("http://ts.21cn.com/tousu/show/id/1347505","滴滴默许司机多次恶意修改乘客目的地，强行欺诈")</f>
        <v>滴滴默许司机多次恶意修改乘客目的地，强行欺诈</v>
      </c>
      <c r="C15799" s="2" t="s">
        <v>9</v>
      </c>
      <c r="D15799" s="2" t="s">
        <v>10</v>
      </c>
      <c r="E15799" s="2" t="str">
        <f>HYPERLINK("http://ts.21cn.com/tousu/show/id/1347505","http://ts.21cn.com/tousu/show/id/1347505")</f>
        <v>http://ts.21cn.com/tousu/show/id/1347505</v>
      </c>
      <c r="F15799" s="2" t="s">
        <v>11</v>
      </c>
      <c r="G15799" s="2" t="s">
        <v>13101</v>
      </c>
      <c r="H15799" s="2" t="s">
        <v>13102</v>
      </c>
    </row>
    <row r="15800" spans="1:8" ht="25.05" customHeight="1" x14ac:dyDescent="0.25">
      <c r="A15800" s="2" t="s">
        <v>8</v>
      </c>
      <c r="B15800" s="2" t="str">
        <f>HYPERLINK("http://ts.21cn.com/tousu/show/id/1347471","北京万维互动欠钱不还")</f>
        <v>北京万维互动欠钱不还</v>
      </c>
      <c r="C15800" s="2" t="s">
        <v>9</v>
      </c>
      <c r="D15800" s="2" t="s">
        <v>10</v>
      </c>
      <c r="E15800" s="2" t="str">
        <f>HYPERLINK("http://ts.21cn.com/tousu/show/id/1347471","http://ts.21cn.com/tousu/show/id/1347471")</f>
        <v>http://ts.21cn.com/tousu/show/id/1347471</v>
      </c>
      <c r="F15800" s="2" t="s">
        <v>11</v>
      </c>
      <c r="G15800" s="2" t="s">
        <v>13099</v>
      </c>
      <c r="H15800" s="2" t="s">
        <v>13100</v>
      </c>
    </row>
    <row r="15801" spans="1:8" ht="25.05" customHeight="1" x14ac:dyDescent="0.25">
      <c r="A15801" s="2" t="s">
        <v>8</v>
      </c>
      <c r="B15801" s="2" t="str">
        <f>HYPERLINK("http://ts.21cn.com/tousu/show/id/1347506","急用钱包恶意扣款")</f>
        <v>急用钱包恶意扣款</v>
      </c>
      <c r="C15801" s="2" t="s">
        <v>9</v>
      </c>
      <c r="D15801" s="2" t="s">
        <v>10</v>
      </c>
      <c r="E15801" s="2" t="str">
        <f>HYPERLINK("http://ts.21cn.com/tousu/show/id/1347506","http://ts.21cn.com/tousu/show/id/1347506")</f>
        <v>http://ts.21cn.com/tousu/show/id/1347506</v>
      </c>
      <c r="F15801" s="2" t="s">
        <v>11</v>
      </c>
      <c r="G15801" s="2" t="s">
        <v>13097</v>
      </c>
      <c r="H15801" s="2" t="s">
        <v>13098</v>
      </c>
    </row>
    <row r="15802" spans="1:8" ht="25.05" customHeight="1" x14ac:dyDescent="0.25">
      <c r="A15802" s="2" t="s">
        <v>8</v>
      </c>
      <c r="B15802" s="2" t="str">
        <f>HYPERLINK("http://ts.21cn.com/tousu/show/id/1347507","没有借过款短信和微信让还款")</f>
        <v>没有借过款短信和微信让还款</v>
      </c>
      <c r="C15802" s="2" t="s">
        <v>9</v>
      </c>
      <c r="D15802" s="2" t="s">
        <v>10</v>
      </c>
      <c r="E15802" s="2" t="str">
        <f>HYPERLINK("http://ts.21cn.com/tousu/show/id/1347507","http://ts.21cn.com/tousu/show/id/1347507")</f>
        <v>http://ts.21cn.com/tousu/show/id/1347507</v>
      </c>
      <c r="F15802" s="2" t="s">
        <v>11</v>
      </c>
      <c r="G15802" s="2" t="s">
        <v>13095</v>
      </c>
      <c r="H15802" s="2" t="s">
        <v>13096</v>
      </c>
    </row>
    <row r="15803" spans="1:8" ht="25.05" customHeight="1" x14ac:dyDescent="0.25">
      <c r="A15803" s="2" t="s">
        <v>8</v>
      </c>
      <c r="B15803" s="2" t="str">
        <f>HYPERLINK("http://ts.21cn.com/tousu/show/id/1347509","钱站高利贷阴阳合同")</f>
        <v>钱站高利贷阴阳合同</v>
      </c>
      <c r="C15803" s="2" t="s">
        <v>9</v>
      </c>
      <c r="D15803" s="2" t="s">
        <v>10</v>
      </c>
      <c r="E15803" s="2" t="str">
        <f>HYPERLINK("http://ts.21cn.com/tousu/show/id/1347509","http://ts.21cn.com/tousu/show/id/1347509")</f>
        <v>http://ts.21cn.com/tousu/show/id/1347509</v>
      </c>
      <c r="F15803" s="2" t="s">
        <v>11</v>
      </c>
      <c r="G15803" s="2" t="s">
        <v>13093</v>
      </c>
      <c r="H15803" s="2" t="s">
        <v>13094</v>
      </c>
    </row>
    <row r="15804" spans="1:8" ht="25.05" customHeight="1" x14ac:dyDescent="0.25">
      <c r="A15804" s="2" t="s">
        <v>8</v>
      </c>
      <c r="B15804" s="2" t="str">
        <f>HYPERLINK("http://ts.21cn.com/tousu/show/id/1347508","请浦发银行协商还款")</f>
        <v>请浦发银行协商还款</v>
      </c>
      <c r="C15804" s="2" t="s">
        <v>9</v>
      </c>
      <c r="D15804" s="2" t="s">
        <v>10</v>
      </c>
      <c r="E15804" s="2" t="str">
        <f>HYPERLINK("http://ts.21cn.com/tousu/show/id/1347508","http://ts.21cn.com/tousu/show/id/1347508")</f>
        <v>http://ts.21cn.com/tousu/show/id/1347508</v>
      </c>
      <c r="F15804" s="2" t="s">
        <v>11</v>
      </c>
      <c r="G15804" s="2" t="s">
        <v>13091</v>
      </c>
      <c r="H15804" s="2" t="s">
        <v>13092</v>
      </c>
    </row>
    <row r="15805" spans="1:8" ht="25.05" customHeight="1" x14ac:dyDescent="0.25">
      <c r="A15805" s="2" t="s">
        <v>8</v>
      </c>
      <c r="B15805" s="2" t="str">
        <f>HYPERLINK("http://ts.21cn.com/tousu/show/id/1347487","白条分期恶意扣除服务费")</f>
        <v>白条分期恶意扣除服务费</v>
      </c>
      <c r="C15805" s="2" t="s">
        <v>9</v>
      </c>
      <c r="D15805" s="2" t="s">
        <v>10</v>
      </c>
      <c r="E15805" s="2" t="str">
        <f>HYPERLINK("http://ts.21cn.com/tousu/show/id/1347487","http://ts.21cn.com/tousu/show/id/1347487")</f>
        <v>http://ts.21cn.com/tousu/show/id/1347487</v>
      </c>
      <c r="F15805" s="2" t="s">
        <v>11</v>
      </c>
      <c r="G15805" s="2" t="s">
        <v>13089</v>
      </c>
      <c r="H15805" s="2" t="s">
        <v>13090</v>
      </c>
    </row>
    <row r="15806" spans="1:8" ht="25.05" customHeight="1" x14ac:dyDescent="0.25">
      <c r="A15806" s="2" t="s">
        <v>8</v>
      </c>
      <c r="B15806" s="2" t="str">
        <f>HYPERLINK("http://ts.21cn.com/tousu/show/id/1347510","快钱支付已经成为714高炮的合作伙伴了吗？")</f>
        <v>快钱支付已经成为714高炮的合作伙伴了吗？</v>
      </c>
      <c r="C15806" s="2" t="s">
        <v>9</v>
      </c>
      <c r="D15806" s="2" t="s">
        <v>10</v>
      </c>
      <c r="E15806" s="2" t="str">
        <f>HYPERLINK("http://ts.21cn.com/tousu/show/id/1347510","http://ts.21cn.com/tousu/show/id/1347510")</f>
        <v>http://ts.21cn.com/tousu/show/id/1347510</v>
      </c>
      <c r="F15806" s="2" t="s">
        <v>11</v>
      </c>
      <c r="G15806" s="2" t="s">
        <v>13087</v>
      </c>
      <c r="H15806" s="2" t="s">
        <v>13088</v>
      </c>
    </row>
    <row r="15807" spans="1:8" ht="25.05" customHeight="1" x14ac:dyDescent="0.25">
      <c r="A15807" s="2" t="s">
        <v>8</v>
      </c>
      <c r="B15807" s="2" t="str">
        <f>HYPERLINK("http://ts.21cn.com/tousu/show/id/1347511","我来数科高利贷，暴力催收，超过国家规定")</f>
        <v>我来数科高利贷，暴力催收，超过国家规定</v>
      </c>
      <c r="C15807" s="2" t="s">
        <v>9</v>
      </c>
      <c r="D15807" s="2" t="s">
        <v>10</v>
      </c>
      <c r="E15807" s="2" t="str">
        <f>HYPERLINK("http://ts.21cn.com/tousu/show/id/1347511","http://ts.21cn.com/tousu/show/id/1347511")</f>
        <v>http://ts.21cn.com/tousu/show/id/1347511</v>
      </c>
      <c r="F15807" s="2" t="s">
        <v>11</v>
      </c>
      <c r="G15807" s="2" t="s">
        <v>13085</v>
      </c>
      <c r="H15807" s="2" t="s">
        <v>13086</v>
      </c>
    </row>
    <row r="15808" spans="1:8" ht="25.05" customHeight="1" x14ac:dyDescent="0.25">
      <c r="A15808" s="2" t="s">
        <v>8</v>
      </c>
      <c r="B15808" s="2" t="str">
        <f>HYPERLINK("http://ts.21cn.com/tousu/show/id/1347512","焦作中旅银行股份有限公司套路顾客贷款")</f>
        <v>焦作中旅银行股份有限公司套路顾客贷款</v>
      </c>
      <c r="C15808" s="2" t="s">
        <v>9</v>
      </c>
      <c r="D15808" s="2" t="s">
        <v>10</v>
      </c>
      <c r="E15808" s="2" t="str">
        <f>HYPERLINK("http://ts.21cn.com/tousu/show/id/1347512","http://ts.21cn.com/tousu/show/id/1347512")</f>
        <v>http://ts.21cn.com/tousu/show/id/1347512</v>
      </c>
      <c r="F15808" s="2" t="s">
        <v>11</v>
      </c>
      <c r="G15808" s="2" t="s">
        <v>13083</v>
      </c>
      <c r="H15808" s="2" t="s">
        <v>13084</v>
      </c>
    </row>
    <row r="15809" spans="1:8" ht="25.05" customHeight="1" x14ac:dyDescent="0.25">
      <c r="A15809" s="2" t="s">
        <v>8</v>
      </c>
      <c r="B15809" s="2" t="str">
        <f>HYPERLINK("http://ts.21cn.com/tousu/show/id/1347513","玖富万卡高额费用！黑心高利贷！")</f>
        <v>玖富万卡高额费用！黑心高利贷！</v>
      </c>
      <c r="C15809" s="2" t="s">
        <v>9</v>
      </c>
      <c r="D15809" s="2" t="s">
        <v>10</v>
      </c>
      <c r="E15809" s="2" t="str">
        <f>HYPERLINK("http://ts.21cn.com/tousu/show/id/1347513","http://ts.21cn.com/tousu/show/id/1347513")</f>
        <v>http://ts.21cn.com/tousu/show/id/1347513</v>
      </c>
      <c r="F15809" s="2" t="s">
        <v>11</v>
      </c>
      <c r="G15809" s="2" t="s">
        <v>13081</v>
      </c>
      <c r="H15809" s="2" t="s">
        <v>13082</v>
      </c>
    </row>
    <row r="15810" spans="1:8" ht="25.05" customHeight="1" x14ac:dyDescent="0.25">
      <c r="A15810" s="2" t="s">
        <v>8</v>
      </c>
      <c r="B15810" s="2" t="str">
        <f>HYPERLINK("http://ts.21cn.com/tousu/show/id/1347514","钱站高利贷阴阳合同")</f>
        <v>钱站高利贷阴阳合同</v>
      </c>
      <c r="C15810" s="2" t="s">
        <v>9</v>
      </c>
      <c r="D15810" s="2" t="s">
        <v>10</v>
      </c>
      <c r="E15810" s="2" t="str">
        <f>HYPERLINK("http://ts.21cn.com/tousu/show/id/1347514","http://ts.21cn.com/tousu/show/id/1347514")</f>
        <v>http://ts.21cn.com/tousu/show/id/1347514</v>
      </c>
      <c r="F15810" s="2" t="s">
        <v>11</v>
      </c>
      <c r="G15810" s="2" t="s">
        <v>13079</v>
      </c>
      <c r="H15810" s="2" t="s">
        <v>13080</v>
      </c>
    </row>
    <row r="15811" spans="1:8" ht="25.05" customHeight="1" x14ac:dyDescent="0.25">
      <c r="A15811" s="2" t="s">
        <v>8</v>
      </c>
      <c r="B15811" s="2" t="str">
        <f>HYPERLINK("http://ts.21cn.com/tousu/show/id/1347516","小浦优客未经同意扣款")</f>
        <v>小浦优客未经同意扣款</v>
      </c>
      <c r="C15811" s="2" t="s">
        <v>34</v>
      </c>
      <c r="D15811" s="2" t="s">
        <v>10</v>
      </c>
      <c r="E15811" s="2" t="str">
        <f>HYPERLINK("http://ts.21cn.com/tousu/show/id/1347516","http://ts.21cn.com/tousu/show/id/1347516")</f>
        <v>http://ts.21cn.com/tousu/show/id/1347516</v>
      </c>
      <c r="F15811" s="2" t="s">
        <v>11</v>
      </c>
      <c r="G15811" s="2" t="s">
        <v>13077</v>
      </c>
      <c r="H15811" s="2" t="s">
        <v>13078</v>
      </c>
    </row>
    <row r="15812" spans="1:8" ht="25.05" customHeight="1" x14ac:dyDescent="0.25">
      <c r="A15812" s="2" t="s">
        <v>8</v>
      </c>
      <c r="B15812" s="2" t="str">
        <f>HYPERLINK("http://ts.21cn.com/tousu/show/id/1347518","融360提供714平台快来花放款")</f>
        <v>融360提供714平台快来花放款</v>
      </c>
      <c r="C15812" s="2" t="s">
        <v>9</v>
      </c>
      <c r="D15812" s="2" t="s">
        <v>10</v>
      </c>
      <c r="E15812" s="2" t="str">
        <f>HYPERLINK("http://ts.21cn.com/tousu/show/id/1347518","http://ts.21cn.com/tousu/show/id/1347518")</f>
        <v>http://ts.21cn.com/tousu/show/id/1347518</v>
      </c>
      <c r="F15812" s="2" t="s">
        <v>11</v>
      </c>
      <c r="G15812" s="2" t="s">
        <v>13075</v>
      </c>
      <c r="H15812" s="2" t="s">
        <v>13076</v>
      </c>
    </row>
    <row r="15813" spans="1:8" ht="25.05" customHeight="1" x14ac:dyDescent="0.25">
      <c r="A15813" s="2" t="s">
        <v>8</v>
      </c>
      <c r="B15813" s="2" t="str">
        <f>HYPERLINK("http://ts.21cn.com/tousu/show/id/1347520","拇指下款私自扣费")</f>
        <v>拇指下款私自扣费</v>
      </c>
      <c r="C15813" s="2" t="s">
        <v>9</v>
      </c>
      <c r="D15813" s="2" t="s">
        <v>10</v>
      </c>
      <c r="E15813" s="2" t="str">
        <f>HYPERLINK("http://ts.21cn.com/tousu/show/id/1347520","http://ts.21cn.com/tousu/show/id/1347520")</f>
        <v>http://ts.21cn.com/tousu/show/id/1347520</v>
      </c>
      <c r="F15813" s="2" t="s">
        <v>11</v>
      </c>
      <c r="G15813" s="2" t="s">
        <v>13073</v>
      </c>
      <c r="H15813" s="2" t="s">
        <v>13074</v>
      </c>
    </row>
    <row r="15814" spans="1:8" ht="25.05" customHeight="1" x14ac:dyDescent="0.25">
      <c r="A15814" s="2" t="s">
        <v>8</v>
      </c>
      <c r="B15814" s="2" t="str">
        <f>HYPERLINK("http://ts.21cn.com/tousu/show/id/1347519","不停地骚扰，严重影响生活")</f>
        <v>不停地骚扰，严重影响生活</v>
      </c>
      <c r="C15814" s="2" t="s">
        <v>9</v>
      </c>
      <c r="D15814" s="2" t="s">
        <v>10</v>
      </c>
      <c r="E15814" s="2" t="str">
        <f>HYPERLINK("http://ts.21cn.com/tousu/show/id/1347519","http://ts.21cn.com/tousu/show/id/1347519")</f>
        <v>http://ts.21cn.com/tousu/show/id/1347519</v>
      </c>
      <c r="F15814" s="2" t="s">
        <v>11</v>
      </c>
      <c r="G15814" s="2" t="s">
        <v>13071</v>
      </c>
      <c r="H15814" s="2" t="s">
        <v>13072</v>
      </c>
    </row>
    <row r="15815" spans="1:8" ht="25.05" customHeight="1" x14ac:dyDescent="0.25">
      <c r="A15815" s="2" t="s">
        <v>8</v>
      </c>
      <c r="B15815" s="2" t="str">
        <f>HYPERLINK("http://ts.21cn.com/tousu/show/id/1347522","电话持续骚扰家人，本金一万二还掉一万多还要继续还款一万四")</f>
        <v>电话持续骚扰家人，本金一万二还掉一万多还要继续还款一万四</v>
      </c>
      <c r="C15815" s="2" t="s">
        <v>9</v>
      </c>
      <c r="D15815" s="2" t="s">
        <v>10</v>
      </c>
      <c r="E15815" s="2" t="str">
        <f>HYPERLINK("http://ts.21cn.com/tousu/show/id/1347522","http://ts.21cn.com/tousu/show/id/1347522")</f>
        <v>http://ts.21cn.com/tousu/show/id/1347522</v>
      </c>
      <c r="F15815" s="2" t="s">
        <v>11</v>
      </c>
      <c r="G15815" s="2" t="s">
        <v>13069</v>
      </c>
      <c r="H15815" s="2" t="s">
        <v>13070</v>
      </c>
    </row>
    <row r="15816" spans="1:8" ht="25.05" customHeight="1" x14ac:dyDescent="0.25">
      <c r="A15816" s="2" t="s">
        <v>8</v>
      </c>
      <c r="B15816" s="2" t="str">
        <f>HYPERLINK("http://ts.21cn.com/tousu/show/id/1347523","聚富分期，合同欺诈，玩文字游戏，私自扣银行卡里的钱")</f>
        <v>聚富分期，合同欺诈，玩文字游戏，私自扣银行卡里的钱</v>
      </c>
      <c r="C15816" s="2" t="s">
        <v>9</v>
      </c>
      <c r="D15816" s="2" t="s">
        <v>10</v>
      </c>
      <c r="E15816" s="2" t="str">
        <f>HYPERLINK("http://ts.21cn.com/tousu/show/id/1347523","http://ts.21cn.com/tousu/show/id/1347523")</f>
        <v>http://ts.21cn.com/tousu/show/id/1347523</v>
      </c>
      <c r="F15816" s="2" t="s">
        <v>11</v>
      </c>
      <c r="G15816" s="2" t="s">
        <v>13067</v>
      </c>
      <c r="H15816" s="2" t="s">
        <v>13068</v>
      </c>
    </row>
    <row r="15817" spans="1:8" ht="25.05" customHeight="1" x14ac:dyDescent="0.25">
      <c r="A15817" s="2" t="s">
        <v>8</v>
      </c>
      <c r="B15817" s="2" t="str">
        <f>HYPERLINK("http://ts.21cn.com/tousu/show/id/1347526","交通银行暴力催收")</f>
        <v>交通银行暴力催收</v>
      </c>
      <c r="C15817" s="2" t="s">
        <v>9</v>
      </c>
      <c r="D15817" s="2" t="s">
        <v>10</v>
      </c>
      <c r="E15817" s="2" t="str">
        <f>HYPERLINK("http://ts.21cn.com/tousu/show/id/1347526","http://ts.21cn.com/tousu/show/id/1347526")</f>
        <v>http://ts.21cn.com/tousu/show/id/1347526</v>
      </c>
      <c r="F15817" s="2" t="s">
        <v>11</v>
      </c>
      <c r="G15817" s="2" t="s">
        <v>13065</v>
      </c>
      <c r="H15817" s="2" t="s">
        <v>13066</v>
      </c>
    </row>
    <row r="15818" spans="1:8" ht="25.05" customHeight="1" x14ac:dyDescent="0.25">
      <c r="A15818" s="2" t="s">
        <v>8</v>
      </c>
      <c r="B15818" s="2" t="str">
        <f>HYPERLINK("http://ts.21cn.com/tousu/show/id/1347528","闪银奇异借款无故产生一笔至尊凭证担保费用")</f>
        <v>闪银奇异借款无故产生一笔至尊凭证担保费用</v>
      </c>
      <c r="C15818" s="2" t="s">
        <v>9</v>
      </c>
      <c r="D15818" s="2" t="s">
        <v>10</v>
      </c>
      <c r="E15818" s="2" t="str">
        <f>HYPERLINK("http://ts.21cn.com/tousu/show/id/1347528","http://ts.21cn.com/tousu/show/id/1347528")</f>
        <v>http://ts.21cn.com/tousu/show/id/1347528</v>
      </c>
      <c r="F15818" s="2" t="s">
        <v>11</v>
      </c>
      <c r="G15818" s="2" t="s">
        <v>13063</v>
      </c>
      <c r="H15818" s="2" t="s">
        <v>13064</v>
      </c>
    </row>
    <row r="15819" spans="1:8" ht="25.05" customHeight="1" x14ac:dyDescent="0.25">
      <c r="A15819" s="2" t="s">
        <v>8</v>
      </c>
      <c r="B15819" s="2" t="str">
        <f>HYPERLINK("http://ts.21cn.com/tousu/show/id/1347525","闪电借款协商还款")</f>
        <v>闪电借款协商还款</v>
      </c>
      <c r="C15819" s="2" t="s">
        <v>9</v>
      </c>
      <c r="D15819" s="2" t="s">
        <v>10</v>
      </c>
      <c r="E15819" s="2" t="str">
        <f>HYPERLINK("http://ts.21cn.com/tousu/show/id/1347525","http://ts.21cn.com/tousu/show/id/1347525")</f>
        <v>http://ts.21cn.com/tousu/show/id/1347525</v>
      </c>
      <c r="F15819" s="2" t="s">
        <v>11</v>
      </c>
      <c r="G15819" s="2" t="s">
        <v>13061</v>
      </c>
      <c r="H15819" s="2" t="s">
        <v>13062</v>
      </c>
    </row>
    <row r="15820" spans="1:8" ht="25.05" customHeight="1" x14ac:dyDescent="0.25">
      <c r="A15820" s="2" t="s">
        <v>8</v>
      </c>
      <c r="B15820" s="2" t="str">
        <f>HYPERLINK("http://ts.21cn.com/tousu/show/id/1347529","网贷")</f>
        <v>网贷</v>
      </c>
      <c r="C15820" s="2" t="s">
        <v>9</v>
      </c>
      <c r="D15820" s="2" t="s">
        <v>10</v>
      </c>
      <c r="E15820" s="2" t="str">
        <f>HYPERLINK("http://ts.21cn.com/tousu/show/id/1347529","http://ts.21cn.com/tousu/show/id/1347529")</f>
        <v>http://ts.21cn.com/tousu/show/id/1347529</v>
      </c>
      <c r="F15820" s="2" t="s">
        <v>11</v>
      </c>
      <c r="G15820" s="2" t="s">
        <v>13059</v>
      </c>
      <c r="H15820" s="2" t="s">
        <v>13060</v>
      </c>
    </row>
    <row r="15821" spans="1:8" ht="25.05" customHeight="1" x14ac:dyDescent="0.25">
      <c r="A15821" s="2" t="s">
        <v>8</v>
      </c>
      <c r="B15821" s="2" t="str">
        <f>HYPERLINK("http://ts.21cn.com/tousu/show/id/1346512","投诉拉卡拉虚假结案")</f>
        <v>投诉拉卡拉虚假结案</v>
      </c>
      <c r="C15821" s="2" t="s">
        <v>9</v>
      </c>
      <c r="D15821" s="2" t="s">
        <v>10</v>
      </c>
      <c r="E15821" s="2" t="str">
        <f>HYPERLINK("http://ts.21cn.com/tousu/show/id/1346512","http://ts.21cn.com/tousu/show/id/1346512")</f>
        <v>http://ts.21cn.com/tousu/show/id/1346512</v>
      </c>
      <c r="F15821" s="2" t="s">
        <v>11</v>
      </c>
      <c r="G15821" s="2" t="s">
        <v>13057</v>
      </c>
      <c r="H15821" s="2" t="s">
        <v>13058</v>
      </c>
    </row>
    <row r="15822" spans="1:8" ht="25.05" customHeight="1" x14ac:dyDescent="0.25">
      <c r="A15822" s="2" t="s">
        <v>8</v>
      </c>
      <c r="B15822" s="2" t="str">
        <f>HYPERLINK("http://ts.21cn.com/tousu/show/id/1347530","想花钱包没用过打电话让还款")</f>
        <v>想花钱包没用过打电话让还款</v>
      </c>
      <c r="C15822" s="2" t="s">
        <v>34</v>
      </c>
      <c r="D15822" s="2" t="s">
        <v>10</v>
      </c>
      <c r="E15822" s="2" t="str">
        <f>HYPERLINK("http://ts.21cn.com/tousu/show/id/1347530","http://ts.21cn.com/tousu/show/id/1347530")</f>
        <v>http://ts.21cn.com/tousu/show/id/1347530</v>
      </c>
      <c r="F15822" s="2" t="s">
        <v>11</v>
      </c>
      <c r="G15822" s="2" t="s">
        <v>13055</v>
      </c>
      <c r="H15822" s="2" t="s">
        <v>13056</v>
      </c>
    </row>
    <row r="15823" spans="1:8" ht="25.05" customHeight="1" x14ac:dyDescent="0.25">
      <c r="A15823" s="2" t="s">
        <v>8</v>
      </c>
      <c r="B15823" s="2" t="str">
        <f>HYPERLINK("http://ts.21cn.com/tousu/show/id/1347532","滴滴客服恶意骚扰")</f>
        <v>滴滴客服恶意骚扰</v>
      </c>
      <c r="C15823" s="2" t="s">
        <v>9</v>
      </c>
      <c r="D15823" s="2" t="s">
        <v>10</v>
      </c>
      <c r="E15823" s="2" t="str">
        <f>HYPERLINK("http://ts.21cn.com/tousu/show/id/1347532","http://ts.21cn.com/tousu/show/id/1347532")</f>
        <v>http://ts.21cn.com/tousu/show/id/1347532</v>
      </c>
      <c r="F15823" s="2" t="s">
        <v>11</v>
      </c>
      <c r="G15823" s="2" t="s">
        <v>13054</v>
      </c>
      <c r="H15823" s="2" t="s">
        <v>592</v>
      </c>
    </row>
    <row r="15824" spans="1:8" ht="25.05" customHeight="1" x14ac:dyDescent="0.25">
      <c r="A15824" s="2" t="s">
        <v>8</v>
      </c>
      <c r="B15824" s="2" t="str">
        <f>HYPERLINK("http://ts.21cn.com/tousu/show/id/1347531","上海造艺网络公司无故划取银行账户存款，非法行为")</f>
        <v>上海造艺网络公司无故划取银行账户存款，非法行为</v>
      </c>
      <c r="C15824" s="2" t="s">
        <v>9</v>
      </c>
      <c r="D15824" s="2" t="s">
        <v>10</v>
      </c>
      <c r="E15824" s="2" t="str">
        <f>HYPERLINK("http://ts.21cn.com/tousu/show/id/1347531","http://ts.21cn.com/tousu/show/id/1347531")</f>
        <v>http://ts.21cn.com/tousu/show/id/1347531</v>
      </c>
      <c r="F15824" s="2" t="s">
        <v>11</v>
      </c>
      <c r="G15824" s="2" t="s">
        <v>13052</v>
      </c>
      <c r="H15824" s="2" t="s">
        <v>13053</v>
      </c>
    </row>
    <row r="15825" spans="1:8" ht="25.05" customHeight="1" x14ac:dyDescent="0.25">
      <c r="A15825" s="2" t="s">
        <v>8</v>
      </c>
      <c r="B15825" s="2" t="str">
        <f>HYPERLINK("http://ts.21cn.com/tousu/show/id/1347533","联通易借在可以联系的到本人的情况下，非法获取通讯录骚扰联系人，给联系人的生活造成了困扰。")</f>
        <v>联通易借在可以联系的到本人的情况下，非法获取通讯录骚扰联系人，给联系人的生活造成了困扰。</v>
      </c>
      <c r="C15825" s="2" t="s">
        <v>9</v>
      </c>
      <c r="D15825" s="2" t="s">
        <v>10</v>
      </c>
      <c r="E15825" s="2" t="str">
        <f>HYPERLINK("http://ts.21cn.com/tousu/show/id/1347533","http://ts.21cn.com/tousu/show/id/1347533")</f>
        <v>http://ts.21cn.com/tousu/show/id/1347533</v>
      </c>
      <c r="F15825" s="2" t="s">
        <v>11</v>
      </c>
      <c r="G15825" s="2" t="s">
        <v>13050</v>
      </c>
      <c r="H15825" s="2" t="s">
        <v>13051</v>
      </c>
    </row>
    <row r="15826" spans="1:8" ht="25.05" customHeight="1" x14ac:dyDescent="0.25">
      <c r="A15826" s="2" t="s">
        <v>8</v>
      </c>
      <c r="B15826" s="2" t="str">
        <f>HYPERLINK("http://ts.21cn.com/tousu/show/id/1347489","要求退还租房押金")</f>
        <v>要求退还租房押金</v>
      </c>
      <c r="C15826" s="2" t="s">
        <v>9</v>
      </c>
      <c r="D15826" s="2" t="s">
        <v>10</v>
      </c>
      <c r="E15826" s="2" t="str">
        <f>HYPERLINK("http://ts.21cn.com/tousu/show/id/1347489","http://ts.21cn.com/tousu/show/id/1347489")</f>
        <v>http://ts.21cn.com/tousu/show/id/1347489</v>
      </c>
      <c r="F15826" s="2" t="s">
        <v>11</v>
      </c>
      <c r="G15826" s="2" t="s">
        <v>13047</v>
      </c>
      <c r="H15826" s="2" t="s">
        <v>13048</v>
      </c>
    </row>
    <row r="15827" spans="1:8" ht="25.05" customHeight="1" x14ac:dyDescent="0.25">
      <c r="A15827" s="2" t="s">
        <v>8</v>
      </c>
      <c r="B15827" s="2" t="str">
        <f>HYPERLINK("http://ts.21cn.com/tousu/show/id/1347534","猪八戒平台包庇服务商，伙同存在欺诈行为。")</f>
        <v>猪八戒平台包庇服务商，伙同存在欺诈行为。</v>
      </c>
      <c r="C15827" s="2" t="s">
        <v>9</v>
      </c>
      <c r="D15827" s="2" t="s">
        <v>10</v>
      </c>
      <c r="E15827" s="2" t="str">
        <f>HYPERLINK("http://ts.21cn.com/tousu/show/id/1347534","http://ts.21cn.com/tousu/show/id/1347534")</f>
        <v>http://ts.21cn.com/tousu/show/id/1347534</v>
      </c>
      <c r="F15827" s="2" t="s">
        <v>11</v>
      </c>
      <c r="G15827" s="2" t="s">
        <v>13047</v>
      </c>
      <c r="H15827" s="2" t="s">
        <v>13049</v>
      </c>
    </row>
    <row r="15828" spans="1:8" ht="25.05" customHeight="1" x14ac:dyDescent="0.25">
      <c r="A15828" s="2" t="s">
        <v>8</v>
      </c>
      <c r="B15828" s="2" t="str">
        <f>HYPERLINK("http://ts.21cn.com/tousu/show/id/1347535","活力花")</f>
        <v>活力花</v>
      </c>
      <c r="C15828" s="2" t="s">
        <v>9</v>
      </c>
      <c r="D15828" s="2" t="s">
        <v>10</v>
      </c>
      <c r="E15828" s="2" t="str">
        <f>HYPERLINK("http://ts.21cn.com/tousu/show/id/1347535","http://ts.21cn.com/tousu/show/id/1347535")</f>
        <v>http://ts.21cn.com/tousu/show/id/1347535</v>
      </c>
      <c r="F15828" s="2" t="s">
        <v>11</v>
      </c>
      <c r="G15828" s="2" t="s">
        <v>13045</v>
      </c>
      <c r="H15828" s="2" t="s">
        <v>13046</v>
      </c>
    </row>
    <row r="15829" spans="1:8" ht="25.05" customHeight="1" x14ac:dyDescent="0.25">
      <c r="A15829" s="2" t="s">
        <v>8</v>
      </c>
      <c r="B15829" s="2" t="str">
        <f>HYPERLINK("http://ts.21cn.com/tousu/show/id/1347536","黑心拍拍贷顾催收骂人")</f>
        <v>黑心拍拍贷顾催收骂人</v>
      </c>
      <c r="C15829" s="2" t="s">
        <v>9</v>
      </c>
      <c r="D15829" s="2" t="s">
        <v>10</v>
      </c>
      <c r="E15829" s="2" t="str">
        <f>HYPERLINK("http://ts.21cn.com/tousu/show/id/1347536","http://ts.21cn.com/tousu/show/id/1347536")</f>
        <v>http://ts.21cn.com/tousu/show/id/1347536</v>
      </c>
      <c r="F15829" s="2" t="s">
        <v>11</v>
      </c>
      <c r="G15829" s="2" t="s">
        <v>13043</v>
      </c>
      <c r="H15829" s="2" t="s">
        <v>13044</v>
      </c>
    </row>
    <row r="15830" spans="1:8" ht="25.05" customHeight="1" x14ac:dyDescent="0.25">
      <c r="A15830" s="2" t="s">
        <v>8</v>
      </c>
      <c r="B15830" s="2" t="str">
        <f>HYPERLINK("http://ts.21cn.com/tousu/show/id/1347538","小浦优客未经同意扣款")</f>
        <v>小浦优客未经同意扣款</v>
      </c>
      <c r="C15830" s="2" t="s">
        <v>34</v>
      </c>
      <c r="D15830" s="2" t="s">
        <v>10</v>
      </c>
      <c r="E15830" s="2" t="str">
        <f>HYPERLINK("http://ts.21cn.com/tousu/show/id/1347538","http://ts.21cn.com/tousu/show/id/1347538")</f>
        <v>http://ts.21cn.com/tousu/show/id/1347538</v>
      </c>
      <c r="F15830" s="2" t="s">
        <v>11</v>
      </c>
      <c r="G15830" s="2" t="s">
        <v>13041</v>
      </c>
      <c r="H15830" s="2" t="s">
        <v>13042</v>
      </c>
    </row>
    <row r="15831" spans="1:8" ht="25.05" customHeight="1" x14ac:dyDescent="0.25">
      <c r="A15831" s="2" t="s">
        <v>8</v>
      </c>
      <c r="B15831" s="2" t="str">
        <f>HYPERLINK("http://ts.21cn.com/tousu/show/id/1347501","南宁Tata木门误导宣传忽悠消费者")</f>
        <v>南宁Tata木门误导宣传忽悠消费者</v>
      </c>
      <c r="C15831" s="2" t="s">
        <v>9</v>
      </c>
      <c r="D15831" s="2" t="s">
        <v>10</v>
      </c>
      <c r="E15831" s="2" t="str">
        <f>HYPERLINK("http://ts.21cn.com/tousu/show/id/1347501","http://ts.21cn.com/tousu/show/id/1347501")</f>
        <v>http://ts.21cn.com/tousu/show/id/1347501</v>
      </c>
      <c r="F15831" s="2" t="s">
        <v>11</v>
      </c>
      <c r="G15831" s="2" t="s">
        <v>13039</v>
      </c>
      <c r="H15831" s="2" t="s">
        <v>13040</v>
      </c>
    </row>
    <row r="15832" spans="1:8" ht="25.05" customHeight="1" x14ac:dyDescent="0.25">
      <c r="A15832" s="2" t="s">
        <v>8</v>
      </c>
      <c r="B15832" s="2" t="str">
        <f>HYPERLINK("http://ts.21cn.com/tousu/show/id/1347539","小象优品骚扰通讯录")</f>
        <v>小象优品骚扰通讯录</v>
      </c>
      <c r="C15832" s="2" t="s">
        <v>9</v>
      </c>
      <c r="D15832" s="2" t="s">
        <v>10</v>
      </c>
      <c r="E15832" s="2" t="str">
        <f>HYPERLINK("http://ts.21cn.com/tousu/show/id/1347539","http://ts.21cn.com/tousu/show/id/1347539")</f>
        <v>http://ts.21cn.com/tousu/show/id/1347539</v>
      </c>
      <c r="F15832" s="2" t="s">
        <v>11</v>
      </c>
      <c r="G15832" s="2" t="s">
        <v>13037</v>
      </c>
      <c r="H15832" s="2" t="s">
        <v>13038</v>
      </c>
    </row>
    <row r="15833" spans="1:8" ht="25.05" customHeight="1" x14ac:dyDescent="0.25">
      <c r="A15833" s="2" t="s">
        <v>8</v>
      </c>
      <c r="B15833" s="2" t="str">
        <f>HYPERLINK("http://ts.21cn.com/tousu/show/id/1347517","华为诱惑下载精灵盛典游戏充值返利活动")</f>
        <v>华为诱惑下载精灵盛典游戏充值返利活动</v>
      </c>
      <c r="C15833" s="2" t="s">
        <v>34</v>
      </c>
      <c r="D15833" s="2" t="s">
        <v>10</v>
      </c>
      <c r="E15833" s="2" t="str">
        <f>HYPERLINK("http://ts.21cn.com/tousu/show/id/1347517","http://ts.21cn.com/tousu/show/id/1347517")</f>
        <v>http://ts.21cn.com/tousu/show/id/1347517</v>
      </c>
      <c r="F15833" s="2" t="s">
        <v>11</v>
      </c>
      <c r="G15833" s="2" t="s">
        <v>13035</v>
      </c>
      <c r="H15833" s="2" t="s">
        <v>13036</v>
      </c>
    </row>
    <row r="15834" spans="1:8" ht="25.05" customHeight="1" x14ac:dyDescent="0.25">
      <c r="A15834" s="2" t="s">
        <v>8</v>
      </c>
      <c r="B15834" s="2" t="str">
        <f>HYPERLINK("http://ts.21cn.com/tousu/show/id/1347540","两笔借款都有金豆充值，不够买不下款，高达一千元！")</f>
        <v>两笔借款都有金豆充值，不够买不下款，高达一千元！</v>
      </c>
      <c r="C15834" s="2" t="s">
        <v>9</v>
      </c>
      <c r="D15834" s="2" t="s">
        <v>10</v>
      </c>
      <c r="E15834" s="2" t="str">
        <f>HYPERLINK("http://ts.21cn.com/tousu/show/id/1347540","http://ts.21cn.com/tousu/show/id/1347540")</f>
        <v>http://ts.21cn.com/tousu/show/id/1347540</v>
      </c>
      <c r="F15834" s="2" t="s">
        <v>11</v>
      </c>
      <c r="G15834" s="2" t="s">
        <v>13033</v>
      </c>
      <c r="H15834" s="2" t="s">
        <v>13034</v>
      </c>
    </row>
    <row r="15835" spans="1:8" ht="25.05" customHeight="1" x14ac:dyDescent="0.25">
      <c r="A15835" s="2" t="s">
        <v>8</v>
      </c>
      <c r="B15835" s="2" t="str">
        <f>HYPERLINK("http://ts.21cn.com/tousu/show/id/1347541","造艺科技豹子贷无故扣钱")</f>
        <v>造艺科技豹子贷无故扣钱</v>
      </c>
      <c r="C15835" s="2" t="s">
        <v>9</v>
      </c>
      <c r="D15835" s="2" t="s">
        <v>10</v>
      </c>
      <c r="E15835" s="2" t="str">
        <f>HYPERLINK("http://ts.21cn.com/tousu/show/id/1347541","http://ts.21cn.com/tousu/show/id/1347541")</f>
        <v>http://ts.21cn.com/tousu/show/id/1347541</v>
      </c>
      <c r="F15835" s="2" t="s">
        <v>11</v>
      </c>
      <c r="G15835" s="2" t="s">
        <v>13031</v>
      </c>
      <c r="H15835" s="2" t="s">
        <v>13032</v>
      </c>
    </row>
    <row r="15836" spans="1:8" ht="25.05" customHeight="1" x14ac:dyDescent="0.25">
      <c r="A15836" s="2" t="s">
        <v>8</v>
      </c>
      <c r="B15836" s="2" t="str">
        <f>HYPERLINK("http://ts.21cn.com/tousu/show/id/1347542","我来贷高利贷，套路贷，高逾期费")</f>
        <v>我来贷高利贷，套路贷，高逾期费</v>
      </c>
      <c r="C15836" s="2" t="s">
        <v>9</v>
      </c>
      <c r="D15836" s="2" t="s">
        <v>10</v>
      </c>
      <c r="E15836" s="2" t="str">
        <f>HYPERLINK("http://ts.21cn.com/tousu/show/id/1347542","http://ts.21cn.com/tousu/show/id/1347542")</f>
        <v>http://ts.21cn.com/tousu/show/id/1347542</v>
      </c>
      <c r="F15836" s="2" t="s">
        <v>11</v>
      </c>
      <c r="G15836" s="2" t="s">
        <v>13029</v>
      </c>
      <c r="H15836" s="2" t="s">
        <v>13030</v>
      </c>
    </row>
    <row r="15837" spans="1:8" ht="25.05" customHeight="1" x14ac:dyDescent="0.25">
      <c r="A15837" s="2" t="s">
        <v>8</v>
      </c>
      <c r="B15837" s="2" t="str">
        <f>HYPERLINK("http://ts.21cn.com/tousu/show/id/1347544","还没到还款就来讨钱")</f>
        <v>还没到还款就来讨钱</v>
      </c>
      <c r="C15837" s="2" t="s">
        <v>9</v>
      </c>
      <c r="D15837" s="2" t="s">
        <v>10</v>
      </c>
      <c r="E15837" s="2" t="str">
        <f>HYPERLINK("http://ts.21cn.com/tousu/show/id/1347544","http://ts.21cn.com/tousu/show/id/1347544")</f>
        <v>http://ts.21cn.com/tousu/show/id/1347544</v>
      </c>
      <c r="F15837" s="2" t="s">
        <v>11</v>
      </c>
      <c r="G15837" s="2" t="s">
        <v>13027</v>
      </c>
      <c r="H15837" s="2" t="s">
        <v>13028</v>
      </c>
    </row>
    <row r="15838" spans="1:8" ht="25.05" customHeight="1" x14ac:dyDescent="0.25">
      <c r="A15838" s="2" t="s">
        <v>8</v>
      </c>
      <c r="B15838" s="2" t="str">
        <f>HYPERLINK("http://ts.21cn.com/tousu/show/id/1347543","珍爱网霸王条款诱导消费虚假宣传服务欺诈")</f>
        <v>珍爱网霸王条款诱导消费虚假宣传服务欺诈</v>
      </c>
      <c r="C15838" s="2" t="s">
        <v>9</v>
      </c>
      <c r="D15838" s="2" t="s">
        <v>10</v>
      </c>
      <c r="E15838" s="2" t="str">
        <f>HYPERLINK("http://ts.21cn.com/tousu/show/id/1347543","http://ts.21cn.com/tousu/show/id/1347543")</f>
        <v>http://ts.21cn.com/tousu/show/id/1347543</v>
      </c>
      <c r="F15838" s="2" t="s">
        <v>11</v>
      </c>
      <c r="G15838" s="2" t="s">
        <v>13025</v>
      </c>
      <c r="H15838" s="2" t="s">
        <v>13026</v>
      </c>
    </row>
    <row r="15839" spans="1:8" ht="25.05" customHeight="1" x14ac:dyDescent="0.25">
      <c r="A15839" s="2" t="s">
        <v>8</v>
      </c>
      <c r="B15839" s="2" t="str">
        <f>HYPERLINK("http://ts.21cn.com/tousu/show/id/1347545","暴力催收 骚扰威胁恐吓")</f>
        <v>暴力催收 骚扰威胁恐吓</v>
      </c>
      <c r="C15839" s="2" t="s">
        <v>9</v>
      </c>
      <c r="D15839" s="2" t="s">
        <v>10</v>
      </c>
      <c r="E15839" s="2" t="str">
        <f>HYPERLINK("http://ts.21cn.com/tousu/show/id/1347545","http://ts.21cn.com/tousu/show/id/1347545")</f>
        <v>http://ts.21cn.com/tousu/show/id/1347545</v>
      </c>
      <c r="F15839" s="2" t="s">
        <v>11</v>
      </c>
      <c r="G15839" s="2" t="s">
        <v>13023</v>
      </c>
      <c r="H15839" s="2" t="s">
        <v>13024</v>
      </c>
    </row>
    <row r="15840" spans="1:8" ht="25.05" customHeight="1" x14ac:dyDescent="0.25">
      <c r="A15840" s="2" t="s">
        <v>8</v>
      </c>
      <c r="B15840" s="2" t="str">
        <f>HYPERLINK("http://ts.21cn.com/tousu/show/id/1347546","闪银催收人员暴力催收")</f>
        <v>闪银催收人员暴力催收</v>
      </c>
      <c r="C15840" s="2" t="s">
        <v>9</v>
      </c>
      <c r="D15840" s="2" t="s">
        <v>10</v>
      </c>
      <c r="E15840" s="2" t="str">
        <f>HYPERLINK("http://ts.21cn.com/tousu/show/id/1347546","http://ts.21cn.com/tousu/show/id/1347546")</f>
        <v>http://ts.21cn.com/tousu/show/id/1347546</v>
      </c>
      <c r="F15840" s="2" t="s">
        <v>11</v>
      </c>
      <c r="G15840" s="2" t="s">
        <v>13021</v>
      </c>
      <c r="H15840" s="2" t="s">
        <v>13022</v>
      </c>
    </row>
    <row r="15841" spans="1:8" ht="25.05" customHeight="1" x14ac:dyDescent="0.25">
      <c r="A15841" s="2" t="s">
        <v>8</v>
      </c>
      <c r="B15841" s="2" t="str">
        <f>HYPERLINK("http://ts.21cn.com/tousu/show/id/1347555","暴力催收，砍头息")</f>
        <v>暴力催收，砍头息</v>
      </c>
      <c r="C15841" s="2" t="s">
        <v>9</v>
      </c>
      <c r="D15841" s="2" t="s">
        <v>10</v>
      </c>
      <c r="E15841" s="2" t="str">
        <f>HYPERLINK("http://ts.21cn.com/tousu/show/id/1347555","http://ts.21cn.com/tousu/show/id/1347555")</f>
        <v>http://ts.21cn.com/tousu/show/id/1347555</v>
      </c>
      <c r="F15841" s="2" t="s">
        <v>11</v>
      </c>
      <c r="G15841" s="2" t="s">
        <v>13019</v>
      </c>
      <c r="H15841" s="2" t="s">
        <v>13020</v>
      </c>
    </row>
    <row r="15842" spans="1:8" ht="25.05" customHeight="1" x14ac:dyDescent="0.25">
      <c r="A15842" s="2" t="s">
        <v>8</v>
      </c>
      <c r="B15842" s="2" t="str">
        <f>HYPERLINK("http://ts.21cn.com/tousu/show/id/1347547","网贷借款平台还呗强制购买会员服务，承诺退费却失信！")</f>
        <v>网贷借款平台还呗强制购买会员服务，承诺退费却失信！</v>
      </c>
      <c r="C15842" s="2" t="s">
        <v>9</v>
      </c>
      <c r="D15842" s="2" t="s">
        <v>10</v>
      </c>
      <c r="E15842" s="2" t="str">
        <f>HYPERLINK("http://ts.21cn.com/tousu/show/id/1347547","http://ts.21cn.com/tousu/show/id/1347547")</f>
        <v>http://ts.21cn.com/tousu/show/id/1347547</v>
      </c>
      <c r="F15842" s="2" t="s">
        <v>11</v>
      </c>
      <c r="G15842" s="2" t="s">
        <v>13017</v>
      </c>
      <c r="H15842" s="2" t="s">
        <v>13018</v>
      </c>
    </row>
    <row r="15843" spans="1:8" ht="25.05" customHeight="1" x14ac:dyDescent="0.25">
      <c r="A15843" s="2" t="s">
        <v>8</v>
      </c>
      <c r="B15843" s="2" t="str">
        <f>HYPERLINK("http://ts.21cn.com/tousu/show/id/1347549","上海淇毓信息科技有限公司")</f>
        <v>上海淇毓信息科技有限公司</v>
      </c>
      <c r="C15843" s="2" t="s">
        <v>9</v>
      </c>
      <c r="D15843" s="2" t="s">
        <v>10</v>
      </c>
      <c r="E15843" s="2" t="str">
        <f>HYPERLINK("http://ts.21cn.com/tousu/show/id/1347549","http://ts.21cn.com/tousu/show/id/1347549")</f>
        <v>http://ts.21cn.com/tousu/show/id/1347549</v>
      </c>
      <c r="F15843" s="2" t="s">
        <v>11</v>
      </c>
      <c r="G15843" s="2" t="s">
        <v>13015</v>
      </c>
      <c r="H15843" s="2" t="s">
        <v>13016</v>
      </c>
    </row>
    <row r="15844" spans="1:8" ht="25.05" customHeight="1" x14ac:dyDescent="0.25">
      <c r="A15844" s="2" t="s">
        <v>8</v>
      </c>
      <c r="B15844" s="2" t="str">
        <f>HYPERLINK("http://ts.21cn.com/tousu/show/id/1347550","360借条非法获取我手机通讯录，并在没经过我本人允许情况下给通讯录好友打骚扰电话，严重损害本人名誉")</f>
        <v>360借条非法获取我手机通讯录，并在没经过我本人允许情况下给通讯录好友打骚扰电话，严重损害本人名誉</v>
      </c>
      <c r="C15844" s="2" t="s">
        <v>9</v>
      </c>
      <c r="D15844" s="2" t="s">
        <v>10</v>
      </c>
      <c r="E15844" s="2" t="str">
        <f>HYPERLINK("http://ts.21cn.com/tousu/show/id/1347550","http://ts.21cn.com/tousu/show/id/1347550")</f>
        <v>http://ts.21cn.com/tousu/show/id/1347550</v>
      </c>
      <c r="F15844" s="2" t="s">
        <v>11</v>
      </c>
      <c r="G15844" s="2" t="s">
        <v>13013</v>
      </c>
      <c r="H15844" s="2" t="s">
        <v>13014</v>
      </c>
    </row>
    <row r="15845" spans="1:8" ht="25.05" customHeight="1" x14ac:dyDescent="0.25">
      <c r="A15845" s="2" t="s">
        <v>8</v>
      </c>
      <c r="B15845" s="2" t="str">
        <f>HYPERLINK("http://ts.21cn.com/tousu/show/id/1347551","中山市火炬开发区自来水有限公司不帮开没收到钱款证明")</f>
        <v>中山市火炬开发区自来水有限公司不帮开没收到钱款证明</v>
      </c>
      <c r="C15845" s="2" t="s">
        <v>9</v>
      </c>
      <c r="D15845" s="2" t="s">
        <v>10</v>
      </c>
      <c r="E15845" s="2" t="str">
        <f>HYPERLINK("http://ts.21cn.com/tousu/show/id/1347551","http://ts.21cn.com/tousu/show/id/1347551")</f>
        <v>http://ts.21cn.com/tousu/show/id/1347551</v>
      </c>
      <c r="F15845" s="2" t="s">
        <v>11</v>
      </c>
      <c r="G15845" s="2" t="s">
        <v>13011</v>
      </c>
      <c r="H15845" s="2" t="s">
        <v>13012</v>
      </c>
    </row>
    <row r="15846" spans="1:8" ht="25.05" customHeight="1" x14ac:dyDescent="0.25">
      <c r="A15846" s="2" t="s">
        <v>8</v>
      </c>
      <c r="B15846" s="2" t="str">
        <f>HYPERLINK("http://ts.21cn.com/tousu/show/id/1347552","众泰汽车变速箱质保")</f>
        <v>众泰汽车变速箱质保</v>
      </c>
      <c r="C15846" s="2" t="s">
        <v>34</v>
      </c>
      <c r="D15846" s="2" t="s">
        <v>10</v>
      </c>
      <c r="E15846" s="2" t="str">
        <f>HYPERLINK("http://ts.21cn.com/tousu/show/id/1347552","http://ts.21cn.com/tousu/show/id/1347552")</f>
        <v>http://ts.21cn.com/tousu/show/id/1347552</v>
      </c>
      <c r="F15846" s="2" t="s">
        <v>11</v>
      </c>
      <c r="G15846" s="2" t="s">
        <v>13009</v>
      </c>
      <c r="H15846" s="2" t="s">
        <v>13010</v>
      </c>
    </row>
    <row r="15847" spans="1:8" ht="25.05" customHeight="1" x14ac:dyDescent="0.25">
      <c r="A15847" s="2" t="s">
        <v>8</v>
      </c>
      <c r="B15847" s="2" t="str">
        <f>HYPERLINK("http://ts.21cn.com/tousu/show/id/1347553","微信支付红包被限制")</f>
        <v>微信支付红包被限制</v>
      </c>
      <c r="C15847" s="2" t="s">
        <v>34</v>
      </c>
      <c r="D15847" s="2" t="s">
        <v>10</v>
      </c>
      <c r="E15847" s="2" t="str">
        <f>HYPERLINK("http://ts.21cn.com/tousu/show/id/1347553","http://ts.21cn.com/tousu/show/id/1347553")</f>
        <v>http://ts.21cn.com/tousu/show/id/1347553</v>
      </c>
      <c r="F15847" s="2" t="s">
        <v>11</v>
      </c>
      <c r="G15847" s="2" t="s">
        <v>13007</v>
      </c>
      <c r="H15847" s="2" t="s">
        <v>13008</v>
      </c>
    </row>
    <row r="15848" spans="1:8" ht="25.05" customHeight="1" x14ac:dyDescent="0.25">
      <c r="A15848" s="2" t="s">
        <v>8</v>
      </c>
      <c r="B15848" s="2" t="str">
        <f>HYPERLINK("http://ts.21cn.com/tousu/show/id/1347557","尚德机构不退款")</f>
        <v>尚德机构不退款</v>
      </c>
      <c r="C15848" s="2" t="s">
        <v>9</v>
      </c>
      <c r="D15848" s="2" t="s">
        <v>10</v>
      </c>
      <c r="E15848" s="2" t="str">
        <f>HYPERLINK("http://ts.21cn.com/tousu/show/id/1347557","http://ts.21cn.com/tousu/show/id/1347557")</f>
        <v>http://ts.21cn.com/tousu/show/id/1347557</v>
      </c>
      <c r="F15848" s="2" t="s">
        <v>11</v>
      </c>
      <c r="G15848" s="2" t="s">
        <v>13004</v>
      </c>
      <c r="H15848" s="2" t="s">
        <v>13005</v>
      </c>
    </row>
    <row r="15849" spans="1:8" ht="25.05" customHeight="1" x14ac:dyDescent="0.25">
      <c r="A15849" s="2" t="s">
        <v>8</v>
      </c>
      <c r="B15849" s="2" t="str">
        <f>HYPERLINK("http://ts.21cn.com/tousu/show/id/1347558","闪银奇异重复扣款")</f>
        <v>闪银奇异重复扣款</v>
      </c>
      <c r="C15849" s="2" t="s">
        <v>9</v>
      </c>
      <c r="D15849" s="2" t="s">
        <v>10</v>
      </c>
      <c r="E15849" s="2" t="str">
        <f>HYPERLINK("http://ts.21cn.com/tousu/show/id/1347558","http://ts.21cn.com/tousu/show/id/1347558")</f>
        <v>http://ts.21cn.com/tousu/show/id/1347558</v>
      </c>
      <c r="F15849" s="2" t="s">
        <v>11</v>
      </c>
      <c r="G15849" s="2" t="s">
        <v>13004</v>
      </c>
      <c r="H15849" s="2" t="s">
        <v>13006</v>
      </c>
    </row>
    <row r="15850" spans="1:8" ht="25.05" customHeight="1" x14ac:dyDescent="0.25">
      <c r="A15850" s="2" t="s">
        <v>8</v>
      </c>
      <c r="B15850" s="2" t="str">
        <f>HYPERLINK("http://ts.21cn.com/tousu/show/id/1347556","小黄车余额不退")</f>
        <v>小黄车余额不退</v>
      </c>
      <c r="C15850" s="2" t="s">
        <v>9</v>
      </c>
      <c r="D15850" s="2" t="s">
        <v>10</v>
      </c>
      <c r="E15850" s="2" t="str">
        <f>HYPERLINK("http://ts.21cn.com/tousu/show/id/1347556","http://ts.21cn.com/tousu/show/id/1347556")</f>
        <v>http://ts.21cn.com/tousu/show/id/1347556</v>
      </c>
      <c r="F15850" s="2" t="s">
        <v>11</v>
      </c>
      <c r="G15850" s="2" t="s">
        <v>13002</v>
      </c>
      <c r="H15850" s="2" t="s">
        <v>13003</v>
      </c>
    </row>
    <row r="15851" spans="1:8" ht="25.05" customHeight="1" x14ac:dyDescent="0.25">
      <c r="A15851" s="2" t="s">
        <v>8</v>
      </c>
      <c r="B15851" s="2" t="str">
        <f>HYPERLINK("http://ts.21cn.com/tousu/show/id/1347559","闪银扣了一笔跟还款无关的费用联系客服没回应")</f>
        <v>闪银扣了一笔跟还款无关的费用联系客服没回应</v>
      </c>
      <c r="C15851" s="2" t="s">
        <v>34</v>
      </c>
      <c r="D15851" s="2" t="s">
        <v>10</v>
      </c>
      <c r="E15851" s="2" t="str">
        <f>HYPERLINK("http://ts.21cn.com/tousu/show/id/1347559","http://ts.21cn.com/tousu/show/id/1347559")</f>
        <v>http://ts.21cn.com/tousu/show/id/1347559</v>
      </c>
      <c r="F15851" s="2" t="s">
        <v>11</v>
      </c>
      <c r="G15851" s="2" t="s">
        <v>13001</v>
      </c>
      <c r="H15851" s="2" t="s">
        <v>5521</v>
      </c>
    </row>
    <row r="15852" spans="1:8" ht="25.05" customHeight="1" x14ac:dyDescent="0.25">
      <c r="A15852" s="2" t="s">
        <v>8</v>
      </c>
      <c r="B15852" s="2" t="str">
        <f>HYPERLINK("http://ts.21cn.com/tousu/show/id/1347560","建设银行信用卡逾期暴力催收，恶意骚扰恶意威胁对待")</f>
        <v>建设银行信用卡逾期暴力催收，恶意骚扰恶意威胁对待</v>
      </c>
      <c r="C15852" s="2" t="s">
        <v>9</v>
      </c>
      <c r="D15852" s="2" t="s">
        <v>10</v>
      </c>
      <c r="E15852" s="2" t="str">
        <f>HYPERLINK("http://ts.21cn.com/tousu/show/id/1347560","http://ts.21cn.com/tousu/show/id/1347560")</f>
        <v>http://ts.21cn.com/tousu/show/id/1347560</v>
      </c>
      <c r="F15852" s="2" t="s">
        <v>11</v>
      </c>
      <c r="G15852" s="2" t="s">
        <v>12999</v>
      </c>
      <c r="H15852" s="2" t="s">
        <v>13000</v>
      </c>
    </row>
    <row r="15853" spans="1:8" ht="25.05" customHeight="1" x14ac:dyDescent="0.25">
      <c r="A15853" s="2" t="s">
        <v>8</v>
      </c>
      <c r="B15853" s="2" t="str">
        <f>HYPERLINK("http://ts.21cn.com/tousu/show/id/1347561","小花钱包催收骚扰恐吓")</f>
        <v>小花钱包催收骚扰恐吓</v>
      </c>
      <c r="C15853" s="2" t="s">
        <v>9</v>
      </c>
      <c r="D15853" s="2" t="s">
        <v>10</v>
      </c>
      <c r="E15853" s="2" t="str">
        <f>HYPERLINK("http://ts.21cn.com/tousu/show/id/1347561","http://ts.21cn.com/tousu/show/id/1347561")</f>
        <v>http://ts.21cn.com/tousu/show/id/1347561</v>
      </c>
      <c r="F15853" s="2" t="s">
        <v>11</v>
      </c>
      <c r="G15853" s="2" t="s">
        <v>12997</v>
      </c>
      <c r="H15853" s="2" t="s">
        <v>12998</v>
      </c>
    </row>
    <row r="15854" spans="1:8" ht="25.05" customHeight="1" x14ac:dyDescent="0.25">
      <c r="A15854" s="2" t="s">
        <v>8</v>
      </c>
      <c r="B15854" s="2" t="str">
        <f>HYPERLINK("http://ts.21cn.com/tousu/show/id/1347562","民生银行，威胁，恐吓，要起诉我")</f>
        <v>民生银行，威胁，恐吓，要起诉我</v>
      </c>
      <c r="C15854" s="2" t="s">
        <v>9</v>
      </c>
      <c r="D15854" s="2" t="s">
        <v>10</v>
      </c>
      <c r="E15854" s="2" t="str">
        <f>HYPERLINK("http://ts.21cn.com/tousu/show/id/1347562","http://ts.21cn.com/tousu/show/id/1347562")</f>
        <v>http://ts.21cn.com/tousu/show/id/1347562</v>
      </c>
      <c r="F15854" s="2" t="s">
        <v>11</v>
      </c>
      <c r="G15854" s="2" t="s">
        <v>12995</v>
      </c>
      <c r="H15854" s="2" t="s">
        <v>12996</v>
      </c>
    </row>
    <row r="15855" spans="1:8" ht="25.05" customHeight="1" x14ac:dyDescent="0.25">
      <c r="A15855" s="2" t="s">
        <v>8</v>
      </c>
      <c r="B15855" s="2" t="str">
        <f>HYPERLINK("http://ts.21cn.com/tousu/show/id/1347563","滴滴出行办理人证豁免期欺诈，行为恶劣")</f>
        <v>滴滴出行办理人证豁免期欺诈，行为恶劣</v>
      </c>
      <c r="C15855" s="2" t="s">
        <v>9</v>
      </c>
      <c r="D15855" s="2" t="s">
        <v>10</v>
      </c>
      <c r="E15855" s="2" t="str">
        <f>HYPERLINK("http://ts.21cn.com/tousu/show/id/1347563","http://ts.21cn.com/tousu/show/id/1347563")</f>
        <v>http://ts.21cn.com/tousu/show/id/1347563</v>
      </c>
      <c r="F15855" s="2" t="s">
        <v>11</v>
      </c>
      <c r="G15855" s="2" t="s">
        <v>12993</v>
      </c>
      <c r="H15855" s="2" t="s">
        <v>12994</v>
      </c>
    </row>
    <row r="15856" spans="1:8" ht="25.05" customHeight="1" x14ac:dyDescent="0.25">
      <c r="A15856" s="2" t="s">
        <v>8</v>
      </c>
      <c r="B15856" s="2" t="str">
        <f>HYPERLINK("http://ts.21cn.com/tousu/show/id/1347565","闪银的瞬瞬和哼哼协商延期还款")</f>
        <v>闪银的瞬瞬和哼哼协商延期还款</v>
      </c>
      <c r="C15856" s="2" t="s">
        <v>9</v>
      </c>
      <c r="D15856" s="2" t="s">
        <v>10</v>
      </c>
      <c r="E15856" s="2" t="str">
        <f>HYPERLINK("http://ts.21cn.com/tousu/show/id/1347565","http://ts.21cn.com/tousu/show/id/1347565")</f>
        <v>http://ts.21cn.com/tousu/show/id/1347565</v>
      </c>
      <c r="F15856" s="2" t="s">
        <v>11</v>
      </c>
      <c r="G15856" s="2" t="s">
        <v>12991</v>
      </c>
      <c r="H15856" s="2" t="s">
        <v>12992</v>
      </c>
    </row>
    <row r="15857" spans="1:8" ht="25.05" customHeight="1" x14ac:dyDescent="0.25">
      <c r="A15857" s="2" t="s">
        <v>8</v>
      </c>
      <c r="B15857" s="2" t="str">
        <f>HYPERLINK("http://ts.21cn.com/tousu/show/id/1347566","唯品会买的电脑，到货发现是二手上了锁的，找客服几天迟迟不给解决。")</f>
        <v>唯品会买的电脑，到货发现是二手上了锁的，找客服几天迟迟不给解决。</v>
      </c>
      <c r="C15857" s="2" t="s">
        <v>9</v>
      </c>
      <c r="D15857" s="2" t="s">
        <v>10</v>
      </c>
      <c r="E15857" s="2" t="str">
        <f>HYPERLINK("http://ts.21cn.com/tousu/show/id/1347566","http://ts.21cn.com/tousu/show/id/1347566")</f>
        <v>http://ts.21cn.com/tousu/show/id/1347566</v>
      </c>
      <c r="F15857" s="2" t="s">
        <v>11</v>
      </c>
      <c r="G15857" s="2" t="s">
        <v>12989</v>
      </c>
      <c r="H15857" s="2" t="s">
        <v>12990</v>
      </c>
    </row>
    <row r="15858" spans="1:8" ht="25.05" customHeight="1" x14ac:dyDescent="0.25">
      <c r="A15858" s="2" t="s">
        <v>8</v>
      </c>
      <c r="B15858" s="2" t="str">
        <f>HYPERLINK("http://ts.21cn.com/tousu/show/id/1347567","催收威胁恐吓")</f>
        <v>催收威胁恐吓</v>
      </c>
      <c r="C15858" s="2" t="s">
        <v>9</v>
      </c>
      <c r="D15858" s="2" t="s">
        <v>10</v>
      </c>
      <c r="E15858" s="2" t="str">
        <f>HYPERLINK("http://ts.21cn.com/tousu/show/id/1347567","http://ts.21cn.com/tousu/show/id/1347567")</f>
        <v>http://ts.21cn.com/tousu/show/id/1347567</v>
      </c>
      <c r="F15858" s="2" t="s">
        <v>11</v>
      </c>
      <c r="G15858" s="2" t="s">
        <v>12987</v>
      </c>
      <c r="H15858" s="2" t="s">
        <v>12988</v>
      </c>
    </row>
    <row r="15859" spans="1:8" ht="25.05" customHeight="1" x14ac:dyDescent="0.25">
      <c r="A15859" s="2" t="s">
        <v>8</v>
      </c>
      <c r="B15859" s="2" t="str">
        <f>HYPERLINK("http://ts.21cn.com/tousu/show/id/1347568","闪银高利贷")</f>
        <v>闪银高利贷</v>
      </c>
      <c r="C15859" s="2" t="s">
        <v>9</v>
      </c>
      <c r="D15859" s="2" t="s">
        <v>10</v>
      </c>
      <c r="E15859" s="2" t="str">
        <f>HYPERLINK("http://ts.21cn.com/tousu/show/id/1347568","http://ts.21cn.com/tousu/show/id/1347568")</f>
        <v>http://ts.21cn.com/tousu/show/id/1347568</v>
      </c>
      <c r="F15859" s="2" t="s">
        <v>11</v>
      </c>
      <c r="G15859" s="2" t="s">
        <v>12985</v>
      </c>
      <c r="H15859" s="2" t="s">
        <v>12986</v>
      </c>
    </row>
    <row r="15860" spans="1:8" ht="25.05" customHeight="1" x14ac:dyDescent="0.25">
      <c r="A15860" s="2" t="s">
        <v>8</v>
      </c>
      <c r="B15860" s="2" t="str">
        <f>HYPERLINK("http://ts.21cn.com/tousu/show/id/1347569","投诉安亿花app，退回欺诈的198元钱。")</f>
        <v>投诉安亿花app，退回欺诈的198元钱。</v>
      </c>
      <c r="C15860" s="2" t="s">
        <v>34</v>
      </c>
      <c r="D15860" s="2" t="s">
        <v>10</v>
      </c>
      <c r="E15860" s="2" t="str">
        <f>HYPERLINK("http://ts.21cn.com/tousu/show/id/1347569","http://ts.21cn.com/tousu/show/id/1347569")</f>
        <v>http://ts.21cn.com/tousu/show/id/1347569</v>
      </c>
      <c r="F15860" s="2" t="s">
        <v>11</v>
      </c>
      <c r="G15860" s="2" t="s">
        <v>12983</v>
      </c>
      <c r="H15860" s="2" t="s">
        <v>12984</v>
      </c>
    </row>
    <row r="15861" spans="1:8" ht="25.05" customHeight="1" x14ac:dyDescent="0.25">
      <c r="A15861" s="2" t="s">
        <v>8</v>
      </c>
      <c r="B15861" s="2" t="str">
        <f>HYPERLINK("http://ts.21cn.com/tousu/show/id/1347570","360借条客服威胁我")</f>
        <v>360借条客服威胁我</v>
      </c>
      <c r="C15861" s="2" t="s">
        <v>9</v>
      </c>
      <c r="D15861" s="2" t="s">
        <v>10</v>
      </c>
      <c r="E15861" s="2" t="str">
        <f>HYPERLINK("http://ts.21cn.com/tousu/show/id/1347570","http://ts.21cn.com/tousu/show/id/1347570")</f>
        <v>http://ts.21cn.com/tousu/show/id/1347570</v>
      </c>
      <c r="F15861" s="2" t="s">
        <v>11</v>
      </c>
      <c r="G15861" s="2" t="s">
        <v>12981</v>
      </c>
      <c r="H15861" s="2" t="s">
        <v>12982</v>
      </c>
    </row>
    <row r="15862" spans="1:8" ht="25.05" customHeight="1" x14ac:dyDescent="0.25">
      <c r="A15862" s="2" t="s">
        <v>8</v>
      </c>
      <c r="B15862" s="2" t="str">
        <f>HYPERLINK("http://ts.21cn.com/tousu/show/id/1347571","转转平台买手机已验机完成没有发货选项，找客服来回踢皮球不予理会不作为")</f>
        <v>转转平台买手机已验机完成没有发货选项，找客服来回踢皮球不予理会不作为</v>
      </c>
      <c r="C15862" s="2" t="s">
        <v>9</v>
      </c>
      <c r="D15862" s="2" t="s">
        <v>10</v>
      </c>
      <c r="E15862" s="2" t="str">
        <f>HYPERLINK("http://ts.21cn.com/tousu/show/id/1347571","http://ts.21cn.com/tousu/show/id/1347571")</f>
        <v>http://ts.21cn.com/tousu/show/id/1347571</v>
      </c>
      <c r="F15862" s="2" t="s">
        <v>11</v>
      </c>
      <c r="G15862" s="2" t="s">
        <v>12979</v>
      </c>
      <c r="H15862" s="2" t="s">
        <v>12980</v>
      </c>
    </row>
    <row r="15863" spans="1:8" ht="25.05" customHeight="1" x14ac:dyDescent="0.25">
      <c r="A15863" s="2" t="s">
        <v>8</v>
      </c>
      <c r="B15863" s="2" t="str">
        <f>HYPERLINK("http://ts.21cn.com/tousu/show/id/1347572","凡普金科旗下钱站app暴力催收")</f>
        <v>凡普金科旗下钱站app暴力催收</v>
      </c>
      <c r="C15863" s="2" t="s">
        <v>9</v>
      </c>
      <c r="D15863" s="2" t="s">
        <v>10</v>
      </c>
      <c r="E15863" s="2" t="str">
        <f>HYPERLINK("http://ts.21cn.com/tousu/show/id/1347572","http://ts.21cn.com/tousu/show/id/1347572")</f>
        <v>http://ts.21cn.com/tousu/show/id/1347572</v>
      </c>
      <c r="F15863" s="2" t="s">
        <v>11</v>
      </c>
      <c r="G15863" s="2" t="s">
        <v>12977</v>
      </c>
      <c r="H15863" s="2" t="s">
        <v>12978</v>
      </c>
    </row>
    <row r="15864" spans="1:8" ht="25.05" customHeight="1" x14ac:dyDescent="0.25">
      <c r="A15864" s="2" t="s">
        <v>8</v>
      </c>
      <c r="B15864" s="2" t="str">
        <f>HYPERLINK("http://ts.21cn.com/tousu/show/id/1347573","租房不给退押金")</f>
        <v>租房不给退押金</v>
      </c>
      <c r="C15864" s="2" t="s">
        <v>9</v>
      </c>
      <c r="D15864" s="2" t="s">
        <v>10</v>
      </c>
      <c r="E15864" s="2" t="str">
        <f>HYPERLINK("http://ts.21cn.com/tousu/show/id/1347573","http://ts.21cn.com/tousu/show/id/1347573")</f>
        <v>http://ts.21cn.com/tousu/show/id/1347573</v>
      </c>
      <c r="F15864" s="2" t="s">
        <v>11</v>
      </c>
      <c r="G15864" s="2" t="s">
        <v>12975</v>
      </c>
      <c r="H15864" s="2" t="s">
        <v>12976</v>
      </c>
    </row>
    <row r="15865" spans="1:8" ht="25.05" customHeight="1" x14ac:dyDescent="0.25">
      <c r="A15865" s="2" t="s">
        <v>8</v>
      </c>
      <c r="B15865" s="2" t="str">
        <f>HYPERLINK("http://ts.21cn.com/tousu/show/id/1347574","360借条骚扰")</f>
        <v>360借条骚扰</v>
      </c>
      <c r="C15865" s="2" t="s">
        <v>9</v>
      </c>
      <c r="D15865" s="2" t="s">
        <v>10</v>
      </c>
      <c r="E15865" s="2" t="str">
        <f>HYPERLINK("http://ts.21cn.com/tousu/show/id/1347574","http://ts.21cn.com/tousu/show/id/1347574")</f>
        <v>http://ts.21cn.com/tousu/show/id/1347574</v>
      </c>
      <c r="F15865" s="2" t="s">
        <v>11</v>
      </c>
      <c r="G15865" s="2" t="s">
        <v>12973</v>
      </c>
      <c r="H15865" s="2" t="s">
        <v>12974</v>
      </c>
    </row>
    <row r="15866" spans="1:8" ht="25.05" customHeight="1" x14ac:dyDescent="0.25">
      <c r="A15866" s="2" t="s">
        <v>8</v>
      </c>
      <c r="B15866" s="2" t="str">
        <f>HYPERLINK("http://ts.21cn.com/tousu/show/id/1347575","电话骚扰")</f>
        <v>电话骚扰</v>
      </c>
      <c r="C15866" s="2" t="s">
        <v>9</v>
      </c>
      <c r="D15866" s="2" t="s">
        <v>10</v>
      </c>
      <c r="E15866" s="2" t="str">
        <f>HYPERLINK("http://ts.21cn.com/tousu/show/id/1347575","http://ts.21cn.com/tousu/show/id/1347575")</f>
        <v>http://ts.21cn.com/tousu/show/id/1347575</v>
      </c>
      <c r="F15866" s="2" t="s">
        <v>11</v>
      </c>
      <c r="G15866" s="2" t="s">
        <v>12971</v>
      </c>
      <c r="H15866" s="2" t="s">
        <v>12972</v>
      </c>
    </row>
    <row r="15867" spans="1:8" ht="25.05" customHeight="1" x14ac:dyDescent="0.25">
      <c r="A15867" s="2" t="s">
        <v>8</v>
      </c>
      <c r="B15867" s="2" t="str">
        <f>HYPERLINK("http://ts.21cn.com/tousu/show/id/1347577","暴力催收，骚扰联系人")</f>
        <v>暴力催收，骚扰联系人</v>
      </c>
      <c r="C15867" s="2" t="s">
        <v>9</v>
      </c>
      <c r="D15867" s="2" t="s">
        <v>10</v>
      </c>
      <c r="E15867" s="2" t="str">
        <f>HYPERLINK("http://ts.21cn.com/tousu/show/id/1347577","http://ts.21cn.com/tousu/show/id/1347577")</f>
        <v>http://ts.21cn.com/tousu/show/id/1347577</v>
      </c>
      <c r="F15867" s="2" t="s">
        <v>11</v>
      </c>
      <c r="G15867" s="2" t="s">
        <v>12968</v>
      </c>
      <c r="H15867" s="2" t="s">
        <v>12969</v>
      </c>
    </row>
    <row r="15868" spans="1:8" ht="25.05" customHeight="1" x14ac:dyDescent="0.25">
      <c r="A15868" s="2" t="s">
        <v>8</v>
      </c>
      <c r="B15868" s="2" t="str">
        <f>HYPERLINK("http://ts.21cn.com/tousu/show/id/1347576","闪银放高利贷威胁")</f>
        <v>闪银放高利贷威胁</v>
      </c>
      <c r="C15868" s="2" t="s">
        <v>9</v>
      </c>
      <c r="D15868" s="2" t="s">
        <v>10</v>
      </c>
      <c r="E15868" s="2" t="str">
        <f>HYPERLINK("http://ts.21cn.com/tousu/show/id/1347576","http://ts.21cn.com/tousu/show/id/1347576")</f>
        <v>http://ts.21cn.com/tousu/show/id/1347576</v>
      </c>
      <c r="F15868" s="2" t="s">
        <v>11</v>
      </c>
      <c r="G15868" s="2" t="s">
        <v>12968</v>
      </c>
      <c r="H15868" s="2" t="s">
        <v>12970</v>
      </c>
    </row>
    <row r="15869" spans="1:8" ht="25.05" customHeight="1" x14ac:dyDescent="0.25">
      <c r="A15869" s="2" t="s">
        <v>8</v>
      </c>
      <c r="B15869" s="2" t="str">
        <f>HYPERLINK("http://ts.21cn.com/tousu/show/id/1347578","不给协商的空间")</f>
        <v>不给协商的空间</v>
      </c>
      <c r="C15869" s="2" t="s">
        <v>34</v>
      </c>
      <c r="D15869" s="2" t="s">
        <v>10</v>
      </c>
      <c r="E15869" s="2" t="str">
        <f>HYPERLINK("http://ts.21cn.com/tousu/show/id/1347578","http://ts.21cn.com/tousu/show/id/1347578")</f>
        <v>http://ts.21cn.com/tousu/show/id/1347578</v>
      </c>
      <c r="F15869" s="2" t="s">
        <v>11</v>
      </c>
      <c r="G15869" s="2" t="s">
        <v>12966</v>
      </c>
      <c r="H15869" s="2" t="s">
        <v>12967</v>
      </c>
    </row>
    <row r="15870" spans="1:8" ht="25.05" customHeight="1" x14ac:dyDescent="0.25">
      <c r="A15870" s="2" t="s">
        <v>8</v>
      </c>
      <c r="B15870" s="2" t="str">
        <f>HYPERLINK("http://ts.21cn.com/tousu/show/id/1347579","玖富分期审核通过，没下款，联系不到服务人员，")</f>
        <v>玖富分期审核通过，没下款，联系不到服务人员，</v>
      </c>
      <c r="C15870" s="2" t="s">
        <v>9</v>
      </c>
      <c r="D15870" s="2" t="s">
        <v>10</v>
      </c>
      <c r="E15870" s="2" t="str">
        <f>HYPERLINK("http://ts.21cn.com/tousu/show/id/1347579","http://ts.21cn.com/tousu/show/id/1347579")</f>
        <v>http://ts.21cn.com/tousu/show/id/1347579</v>
      </c>
      <c r="F15870" s="2" t="s">
        <v>11</v>
      </c>
      <c r="G15870" s="2" t="s">
        <v>12964</v>
      </c>
      <c r="H15870" s="2" t="s">
        <v>12965</v>
      </c>
    </row>
    <row r="15871" spans="1:8" ht="25.05" customHeight="1" x14ac:dyDescent="0.25">
      <c r="A15871" s="2" t="s">
        <v>8</v>
      </c>
      <c r="B15871" s="2" t="str">
        <f>HYPERLINK("http://ts.21cn.com/tousu/show/id/1347580","小浦优客未经同意扣款")</f>
        <v>小浦优客未经同意扣款</v>
      </c>
      <c r="C15871" s="2" t="s">
        <v>34</v>
      </c>
      <c r="D15871" s="2" t="s">
        <v>10</v>
      </c>
      <c r="E15871" s="2" t="str">
        <f>HYPERLINK("http://ts.21cn.com/tousu/show/id/1347580","http://ts.21cn.com/tousu/show/id/1347580")</f>
        <v>http://ts.21cn.com/tousu/show/id/1347580</v>
      </c>
      <c r="F15871" s="2" t="s">
        <v>11</v>
      </c>
      <c r="G15871" s="2" t="s">
        <v>12962</v>
      </c>
      <c r="H15871" s="2" t="s">
        <v>12963</v>
      </c>
    </row>
    <row r="15872" spans="1:8" ht="25.05" customHeight="1" x14ac:dyDescent="0.25">
      <c r="A15872" s="2" t="s">
        <v>8</v>
      </c>
      <c r="B15872" s="2" t="str">
        <f>HYPERLINK("http://ts.21cn.com/tousu/show/id/1347583","9月7号的手机退款一直不给退")</f>
        <v>9月7号的手机退款一直不给退</v>
      </c>
      <c r="C15872" s="2" t="s">
        <v>9</v>
      </c>
      <c r="D15872" s="2" t="s">
        <v>10</v>
      </c>
      <c r="E15872" s="2" t="str">
        <f>HYPERLINK("http://ts.21cn.com/tousu/show/id/1347583","http://ts.21cn.com/tousu/show/id/1347583")</f>
        <v>http://ts.21cn.com/tousu/show/id/1347583</v>
      </c>
      <c r="F15872" s="2" t="s">
        <v>11</v>
      </c>
      <c r="G15872" s="2" t="s">
        <v>12960</v>
      </c>
      <c r="H15872" s="2" t="s">
        <v>12961</v>
      </c>
    </row>
    <row r="15873" spans="1:8" ht="25.05" customHeight="1" x14ac:dyDescent="0.25">
      <c r="A15873" s="2" t="s">
        <v>8</v>
      </c>
      <c r="B15873" s="2" t="str">
        <f>HYPERLINK("http://ts.21cn.com/tousu/show/id/1347582","人贷公司人为造成逾期，恶意扣款，拉黑投诉人")</f>
        <v>人贷公司人为造成逾期，恶意扣款，拉黑投诉人</v>
      </c>
      <c r="C15873" s="2" t="s">
        <v>9</v>
      </c>
      <c r="D15873" s="2" t="s">
        <v>10</v>
      </c>
      <c r="E15873" s="2" t="str">
        <f>HYPERLINK("http://ts.21cn.com/tousu/show/id/1347582","http://ts.21cn.com/tousu/show/id/1347582")</f>
        <v>http://ts.21cn.com/tousu/show/id/1347582</v>
      </c>
      <c r="F15873" s="2" t="s">
        <v>11</v>
      </c>
      <c r="G15873" s="2" t="s">
        <v>12958</v>
      </c>
      <c r="H15873" s="2" t="s">
        <v>12959</v>
      </c>
    </row>
    <row r="15874" spans="1:8" ht="25.05" customHeight="1" x14ac:dyDescent="0.25">
      <c r="A15874" s="2" t="s">
        <v>8</v>
      </c>
      <c r="B15874" s="2" t="str">
        <f>HYPERLINK("http://ts.21cn.com/tousu/show/id/1347584","中腾信还未逾期，暴力催收，电话轰炸，严重影响个人声誉和工作")</f>
        <v>中腾信还未逾期，暴力催收，电话轰炸，严重影响个人声誉和工作</v>
      </c>
      <c r="C15874" s="2" t="s">
        <v>9</v>
      </c>
      <c r="D15874" s="2" t="s">
        <v>10</v>
      </c>
      <c r="E15874" s="2" t="str">
        <f>HYPERLINK("http://ts.21cn.com/tousu/show/id/1347584","http://ts.21cn.com/tousu/show/id/1347584")</f>
        <v>http://ts.21cn.com/tousu/show/id/1347584</v>
      </c>
      <c r="F15874" s="2" t="s">
        <v>11</v>
      </c>
      <c r="G15874" s="2" t="s">
        <v>12956</v>
      </c>
      <c r="H15874" s="2" t="s">
        <v>12957</v>
      </c>
    </row>
    <row r="15875" spans="1:8" ht="25.05" customHeight="1" x14ac:dyDescent="0.25">
      <c r="A15875" s="2" t="s">
        <v>8</v>
      </c>
      <c r="B15875" s="2" t="str">
        <f>HYPERLINK("http://ts.21cn.com/tousu/show/id/1347585","群发短信骚扰家人")</f>
        <v>群发短信骚扰家人</v>
      </c>
      <c r="C15875" s="2" t="s">
        <v>9</v>
      </c>
      <c r="D15875" s="2" t="s">
        <v>10</v>
      </c>
      <c r="E15875" s="2" t="str">
        <f>HYPERLINK("http://ts.21cn.com/tousu/show/id/1347585","http://ts.21cn.com/tousu/show/id/1347585")</f>
        <v>http://ts.21cn.com/tousu/show/id/1347585</v>
      </c>
      <c r="F15875" s="2" t="s">
        <v>11</v>
      </c>
      <c r="G15875" s="2" t="s">
        <v>12954</v>
      </c>
      <c r="H15875" s="2" t="s">
        <v>12955</v>
      </c>
    </row>
    <row r="15876" spans="1:8" ht="25.05" customHeight="1" x14ac:dyDescent="0.25">
      <c r="A15876" s="2" t="s">
        <v>8</v>
      </c>
      <c r="B15876" s="2" t="str">
        <f>HYPERLINK("http://ts.21cn.com/tousu/show/id/1274505","骚扰，一天无数个电话")</f>
        <v>骚扰，一天无数个电话</v>
      </c>
      <c r="C15876" s="2" t="s">
        <v>34</v>
      </c>
      <c r="D15876" s="2" t="s">
        <v>10</v>
      </c>
      <c r="E15876" s="2" t="str">
        <f>HYPERLINK("http://ts.21cn.com/tousu/show/id/1274505","http://ts.21cn.com/tousu/show/id/1274505")</f>
        <v>http://ts.21cn.com/tousu/show/id/1274505</v>
      </c>
      <c r="F15876" s="2" t="s">
        <v>11</v>
      </c>
      <c r="G15876" s="2" t="s">
        <v>12952</v>
      </c>
      <c r="H15876" s="2" t="s">
        <v>12953</v>
      </c>
    </row>
    <row r="15877" spans="1:8" ht="25.05" customHeight="1" x14ac:dyDescent="0.25">
      <c r="A15877" s="2" t="s">
        <v>8</v>
      </c>
      <c r="B15877" s="2" t="str">
        <f>HYPERLINK("http://ts.21cn.com/tousu/show/id/1347587","流量超支，提醒太慢，导致欠费300多")</f>
        <v>流量超支，提醒太慢，导致欠费300多</v>
      </c>
      <c r="C15877" s="2" t="s">
        <v>9</v>
      </c>
      <c r="D15877" s="2" t="s">
        <v>10</v>
      </c>
      <c r="E15877" s="2" t="str">
        <f>HYPERLINK("http://ts.21cn.com/tousu/show/id/1347587","http://ts.21cn.com/tousu/show/id/1347587")</f>
        <v>http://ts.21cn.com/tousu/show/id/1347587</v>
      </c>
      <c r="F15877" s="2" t="s">
        <v>11</v>
      </c>
      <c r="G15877" s="2" t="s">
        <v>12950</v>
      </c>
      <c r="H15877" s="2" t="s">
        <v>12951</v>
      </c>
    </row>
    <row r="15878" spans="1:8" ht="25.05" customHeight="1" x14ac:dyDescent="0.25">
      <c r="A15878" s="2" t="s">
        <v>8</v>
      </c>
      <c r="B15878" s="2" t="str">
        <f>HYPERLINK("http://ts.21cn.com/tousu/show/id/1347336","金豹贷未经同意恶意扣款299元")</f>
        <v>金豹贷未经同意恶意扣款299元</v>
      </c>
      <c r="C15878" s="2" t="s">
        <v>9</v>
      </c>
      <c r="D15878" s="2" t="s">
        <v>10</v>
      </c>
      <c r="E15878" s="2" t="str">
        <f>HYPERLINK("http://ts.21cn.com/tousu/show/id/1347336","http://ts.21cn.com/tousu/show/id/1347336")</f>
        <v>http://ts.21cn.com/tousu/show/id/1347336</v>
      </c>
      <c r="F15878" s="2" t="s">
        <v>11</v>
      </c>
      <c r="G15878" s="2" t="s">
        <v>12948</v>
      </c>
      <c r="H15878" s="2" t="s">
        <v>12949</v>
      </c>
    </row>
    <row r="15879" spans="1:8" ht="25.05" customHeight="1" x14ac:dyDescent="0.25">
      <c r="A15879" s="2" t="s">
        <v>8</v>
      </c>
      <c r="B15879" s="2" t="str">
        <f>HYPERLINK("http://ts.21cn.com/tousu/show/id/1347588","未经本人同意恶意骚扰家人")</f>
        <v>未经本人同意恶意骚扰家人</v>
      </c>
      <c r="C15879" s="2" t="s">
        <v>9</v>
      </c>
      <c r="D15879" s="2" t="s">
        <v>10</v>
      </c>
      <c r="E15879" s="2" t="str">
        <f>HYPERLINK("http://ts.21cn.com/tousu/show/id/1347588","http://ts.21cn.com/tousu/show/id/1347588")</f>
        <v>http://ts.21cn.com/tousu/show/id/1347588</v>
      </c>
      <c r="F15879" s="2" t="s">
        <v>11</v>
      </c>
      <c r="G15879" s="2" t="s">
        <v>12946</v>
      </c>
      <c r="H15879" s="2" t="s">
        <v>12947</v>
      </c>
    </row>
    <row r="15880" spans="1:8" ht="25.05" customHeight="1" x14ac:dyDescent="0.25">
      <c r="A15880" s="2" t="s">
        <v>8</v>
      </c>
      <c r="B15880" s="2" t="str">
        <f>HYPERLINK("http://ts.21cn.com/tousu/show/id/1347589","融360平台下的胜呗高利贷套路贷")</f>
        <v>融360平台下的胜呗高利贷套路贷</v>
      </c>
      <c r="C15880" s="2" t="s">
        <v>9</v>
      </c>
      <c r="D15880" s="2" t="s">
        <v>10</v>
      </c>
      <c r="E15880" s="2" t="str">
        <f>HYPERLINK("http://ts.21cn.com/tousu/show/id/1347589","http://ts.21cn.com/tousu/show/id/1347589")</f>
        <v>http://ts.21cn.com/tousu/show/id/1347589</v>
      </c>
      <c r="F15880" s="2" t="s">
        <v>11</v>
      </c>
      <c r="G15880" s="2" t="s">
        <v>12944</v>
      </c>
      <c r="H15880" s="2" t="s">
        <v>12945</v>
      </c>
    </row>
    <row r="15881" spans="1:8" ht="25.05" customHeight="1" x14ac:dyDescent="0.25">
      <c r="A15881" s="2" t="s">
        <v>8</v>
      </c>
      <c r="B15881" s="2" t="str">
        <f>HYPERLINK("http://ts.21cn.com/tousu/show/id/1347590","ppmoney万惠及贷高利贷，阴阳合同")</f>
        <v>ppmoney万惠及贷高利贷，阴阳合同</v>
      </c>
      <c r="C15881" s="2" t="s">
        <v>9</v>
      </c>
      <c r="D15881" s="2" t="s">
        <v>10</v>
      </c>
      <c r="E15881" s="2" t="str">
        <f>HYPERLINK("http://ts.21cn.com/tousu/show/id/1347590","http://ts.21cn.com/tousu/show/id/1347590")</f>
        <v>http://ts.21cn.com/tousu/show/id/1347590</v>
      </c>
      <c r="F15881" s="2" t="s">
        <v>11</v>
      </c>
      <c r="G15881" s="2" t="s">
        <v>12942</v>
      </c>
      <c r="H15881" s="2" t="s">
        <v>12943</v>
      </c>
    </row>
    <row r="15882" spans="1:8" ht="25.05" customHeight="1" x14ac:dyDescent="0.25">
      <c r="A15882" s="2" t="s">
        <v>8</v>
      </c>
      <c r="B15882" s="2" t="str">
        <f>HYPERLINK("http://ts.21cn.com/tousu/show/id/1347591","期待科技暴力催收，语言进行辱骂")</f>
        <v>期待科技暴力催收，语言进行辱骂</v>
      </c>
      <c r="C15882" s="2" t="s">
        <v>9</v>
      </c>
      <c r="D15882" s="2" t="s">
        <v>10</v>
      </c>
      <c r="E15882" s="2" t="str">
        <f>HYPERLINK("http://ts.21cn.com/tousu/show/id/1347591","http://ts.21cn.com/tousu/show/id/1347591")</f>
        <v>http://ts.21cn.com/tousu/show/id/1347591</v>
      </c>
      <c r="F15882" s="2" t="s">
        <v>11</v>
      </c>
      <c r="G15882" s="2" t="s">
        <v>12940</v>
      </c>
      <c r="H15882" s="2" t="s">
        <v>12941</v>
      </c>
    </row>
    <row r="15883" spans="1:8" ht="25.05" customHeight="1" x14ac:dyDescent="0.25">
      <c r="A15883" s="2" t="s">
        <v>8</v>
      </c>
      <c r="B15883" s="2" t="str">
        <f>HYPERLINK("http://ts.21cn.com/tousu/show/id/1347592","万达贷恶意暴力催账")</f>
        <v>万达贷恶意暴力催账</v>
      </c>
      <c r="C15883" s="2" t="s">
        <v>9</v>
      </c>
      <c r="D15883" s="2" t="s">
        <v>10</v>
      </c>
      <c r="E15883" s="2" t="str">
        <f>HYPERLINK("http://ts.21cn.com/tousu/show/id/1347592","http://ts.21cn.com/tousu/show/id/1347592")</f>
        <v>http://ts.21cn.com/tousu/show/id/1347592</v>
      </c>
      <c r="F15883" s="2" t="s">
        <v>11</v>
      </c>
      <c r="G15883" s="2" t="s">
        <v>12938</v>
      </c>
      <c r="H15883" s="2" t="s">
        <v>12939</v>
      </c>
    </row>
    <row r="15884" spans="1:8" ht="25.05" customHeight="1" x14ac:dyDescent="0.25">
      <c r="A15884" s="2" t="s">
        <v>8</v>
      </c>
      <c r="B15884" s="2" t="str">
        <f>HYPERLINK("http://ts.21cn.com/tousu/show/id/1347594","宜信高利贷")</f>
        <v>宜信高利贷</v>
      </c>
      <c r="C15884" s="2" t="s">
        <v>9</v>
      </c>
      <c r="D15884" s="2" t="s">
        <v>10</v>
      </c>
      <c r="E15884" s="2" t="str">
        <f>HYPERLINK("http://ts.21cn.com/tousu/show/id/1347594","http://ts.21cn.com/tousu/show/id/1347594")</f>
        <v>http://ts.21cn.com/tousu/show/id/1347594</v>
      </c>
      <c r="F15884" s="2" t="s">
        <v>11</v>
      </c>
      <c r="G15884" s="2" t="s">
        <v>12936</v>
      </c>
      <c r="H15884" s="2" t="s">
        <v>12937</v>
      </c>
    </row>
    <row r="15885" spans="1:8" ht="25.05" customHeight="1" x14ac:dyDescent="0.25">
      <c r="A15885" s="2" t="s">
        <v>8</v>
      </c>
      <c r="B15885" s="2" t="str">
        <f>HYPERLINK("http://ts.21cn.com/tousu/show/id/1347595","电信卡没有使用欠费停机后仍然一直产生费用")</f>
        <v>电信卡没有使用欠费停机后仍然一直产生费用</v>
      </c>
      <c r="C15885" s="2" t="s">
        <v>9</v>
      </c>
      <c r="D15885" s="2" t="s">
        <v>10</v>
      </c>
      <c r="E15885" s="2" t="str">
        <f>HYPERLINK("http://ts.21cn.com/tousu/show/id/1347595","http://ts.21cn.com/tousu/show/id/1347595")</f>
        <v>http://ts.21cn.com/tousu/show/id/1347595</v>
      </c>
      <c r="F15885" s="2" t="s">
        <v>11</v>
      </c>
      <c r="G15885" s="2" t="s">
        <v>12933</v>
      </c>
      <c r="H15885" s="2" t="s">
        <v>12934</v>
      </c>
    </row>
    <row r="15886" spans="1:8" ht="25.05" customHeight="1" x14ac:dyDescent="0.25">
      <c r="A15886" s="2" t="s">
        <v>8</v>
      </c>
      <c r="B15886" s="2" t="str">
        <f>HYPERLINK("http://ts.21cn.com/tousu/show/id/1347593","骚扰电话假催收")</f>
        <v>骚扰电话假催收</v>
      </c>
      <c r="C15886" s="2" t="s">
        <v>9</v>
      </c>
      <c r="D15886" s="2" t="s">
        <v>10</v>
      </c>
      <c r="E15886" s="2" t="str">
        <f>HYPERLINK("http://ts.21cn.com/tousu/show/id/1347593","http://ts.21cn.com/tousu/show/id/1347593")</f>
        <v>http://ts.21cn.com/tousu/show/id/1347593</v>
      </c>
      <c r="F15886" s="2" t="s">
        <v>11</v>
      </c>
      <c r="G15886" s="2" t="s">
        <v>12933</v>
      </c>
      <c r="H15886" s="2" t="s">
        <v>12935</v>
      </c>
    </row>
    <row r="15887" spans="1:8" ht="25.05" customHeight="1" x14ac:dyDescent="0.25">
      <c r="A15887" s="2" t="s">
        <v>8</v>
      </c>
      <c r="B15887" s="2" t="str">
        <f>HYPERLINK("http://ts.21cn.com/tousu/show/id/1347564","退货退运费")</f>
        <v>退货退运费</v>
      </c>
      <c r="C15887" s="2" t="s">
        <v>34</v>
      </c>
      <c r="D15887" s="2" t="s">
        <v>10</v>
      </c>
      <c r="E15887" s="2" t="str">
        <f>HYPERLINK("http://ts.21cn.com/tousu/show/id/1347564","http://ts.21cn.com/tousu/show/id/1347564")</f>
        <v>http://ts.21cn.com/tousu/show/id/1347564</v>
      </c>
      <c r="F15887" s="2" t="s">
        <v>11</v>
      </c>
      <c r="G15887" s="2" t="s">
        <v>12931</v>
      </c>
      <c r="H15887" s="2" t="s">
        <v>12932</v>
      </c>
    </row>
    <row r="15888" spans="1:8" ht="25.05" customHeight="1" x14ac:dyDescent="0.25">
      <c r="A15888" s="2" t="s">
        <v>8</v>
      </c>
      <c r="B15888" s="2" t="str">
        <f>HYPERLINK("http://ts.21cn.com/tousu/show/id/1347597","造艺科技扣款")</f>
        <v>造艺科技扣款</v>
      </c>
      <c r="C15888" s="2" t="s">
        <v>34</v>
      </c>
      <c r="D15888" s="2" t="s">
        <v>10</v>
      </c>
      <c r="E15888" s="2" t="str">
        <f>HYPERLINK("http://ts.21cn.com/tousu/show/id/1347597","http://ts.21cn.com/tousu/show/id/1347597")</f>
        <v>http://ts.21cn.com/tousu/show/id/1347597</v>
      </c>
      <c r="F15888" s="2" t="s">
        <v>11</v>
      </c>
      <c r="G15888" s="2" t="s">
        <v>12929</v>
      </c>
      <c r="H15888" s="2" t="s">
        <v>12930</v>
      </c>
    </row>
    <row r="15889" spans="1:8" ht="25.05" customHeight="1" x14ac:dyDescent="0.25">
      <c r="A15889" s="2" t="s">
        <v>8</v>
      </c>
      <c r="B15889" s="2" t="str">
        <f>HYPERLINK("http://ts.21cn.com/tousu/show/id/1347600","招联金融企业小额贷款诈")</f>
        <v>招联金融企业小额贷款诈</v>
      </c>
      <c r="C15889" s="2" t="s">
        <v>34</v>
      </c>
      <c r="D15889" s="2" t="s">
        <v>10</v>
      </c>
      <c r="E15889" s="2" t="str">
        <f>HYPERLINK("http://ts.21cn.com/tousu/show/id/1347600","http://ts.21cn.com/tousu/show/id/1347600")</f>
        <v>http://ts.21cn.com/tousu/show/id/1347600</v>
      </c>
      <c r="F15889" s="2" t="s">
        <v>11</v>
      </c>
      <c r="G15889" s="2" t="s">
        <v>12927</v>
      </c>
      <c r="H15889" s="2" t="s">
        <v>12928</v>
      </c>
    </row>
    <row r="15890" spans="1:8" ht="25.05" customHeight="1" x14ac:dyDescent="0.25">
      <c r="A15890" s="2" t="s">
        <v>8</v>
      </c>
      <c r="B15890" s="2" t="str">
        <f>HYPERLINK("http://ts.21cn.com/tousu/show/id/1347598","一年了都不处理投诉苏宁易购不处理商家退店审核严重违背信用迟迟不退保证金")</f>
        <v>一年了都不处理投诉苏宁易购不处理商家退店审核严重违背信用迟迟不退保证金</v>
      </c>
      <c r="C15890" s="2" t="s">
        <v>9</v>
      </c>
      <c r="D15890" s="2" t="s">
        <v>10</v>
      </c>
      <c r="E15890" s="2" t="str">
        <f>HYPERLINK("http://ts.21cn.com/tousu/show/id/1347598","http://ts.21cn.com/tousu/show/id/1347598")</f>
        <v>http://ts.21cn.com/tousu/show/id/1347598</v>
      </c>
      <c r="F15890" s="2" t="s">
        <v>11</v>
      </c>
      <c r="G15890" s="2" t="s">
        <v>12925</v>
      </c>
      <c r="H15890" s="2" t="s">
        <v>12926</v>
      </c>
    </row>
    <row r="15891" spans="1:8" ht="25.05" customHeight="1" x14ac:dyDescent="0.25">
      <c r="A15891" s="2" t="s">
        <v>8</v>
      </c>
      <c r="B15891" s="2" t="str">
        <f>HYPERLINK("http://ts.21cn.com/tousu/show/id/1347599","暴力催收名誉权")</f>
        <v>暴力催收名誉权</v>
      </c>
      <c r="C15891" s="2" t="s">
        <v>9</v>
      </c>
      <c r="D15891" s="2" t="s">
        <v>10</v>
      </c>
      <c r="E15891" s="2" t="str">
        <f>HYPERLINK("http://ts.21cn.com/tousu/show/id/1347599","http://ts.21cn.com/tousu/show/id/1347599")</f>
        <v>http://ts.21cn.com/tousu/show/id/1347599</v>
      </c>
      <c r="F15891" s="2" t="s">
        <v>11</v>
      </c>
      <c r="G15891" s="2" t="s">
        <v>12923</v>
      </c>
      <c r="H15891" s="2" t="s">
        <v>12924</v>
      </c>
    </row>
    <row r="15892" spans="1:8" ht="25.05" customHeight="1" x14ac:dyDescent="0.25">
      <c r="A15892" s="2" t="s">
        <v>8</v>
      </c>
      <c r="B15892" s="2" t="str">
        <f>HYPERLINK("http://ts.21cn.com/tousu/show/id/1347601","东莞市轻奢维体健身房3个月无故关门2次")</f>
        <v>东莞市轻奢维体健身房3个月无故关门2次</v>
      </c>
      <c r="C15892" s="2" t="s">
        <v>9</v>
      </c>
      <c r="D15892" s="2" t="s">
        <v>10</v>
      </c>
      <c r="E15892" s="2" t="str">
        <f>HYPERLINK("http://ts.21cn.com/tousu/show/id/1347601","http://ts.21cn.com/tousu/show/id/1347601")</f>
        <v>http://ts.21cn.com/tousu/show/id/1347601</v>
      </c>
      <c r="F15892" s="2" t="s">
        <v>11</v>
      </c>
      <c r="G15892" s="2" t="s">
        <v>12922</v>
      </c>
      <c r="H15892" s="2" t="s">
        <v>11404</v>
      </c>
    </row>
    <row r="15893" spans="1:8" ht="25.05" customHeight="1" x14ac:dyDescent="0.25">
      <c r="A15893" s="2" t="s">
        <v>8</v>
      </c>
      <c r="B15893" s="2" t="str">
        <f>HYPERLINK("http://ts.21cn.com/tousu/show/id/1347602","高利贷，套路贷，暴力催收")</f>
        <v>高利贷，套路贷，暴力催收</v>
      </c>
      <c r="C15893" s="2" t="s">
        <v>9</v>
      </c>
      <c r="D15893" s="2" t="s">
        <v>10</v>
      </c>
      <c r="E15893" s="2" t="str">
        <f>HYPERLINK("http://ts.21cn.com/tousu/show/id/1347602","http://ts.21cn.com/tousu/show/id/1347602")</f>
        <v>http://ts.21cn.com/tousu/show/id/1347602</v>
      </c>
      <c r="F15893" s="2" t="s">
        <v>11</v>
      </c>
      <c r="G15893" s="2" t="s">
        <v>12920</v>
      </c>
      <c r="H15893" s="2" t="s">
        <v>12921</v>
      </c>
    </row>
    <row r="15894" spans="1:8" ht="25.05" customHeight="1" x14ac:dyDescent="0.25">
      <c r="A15894" s="2" t="s">
        <v>8</v>
      </c>
      <c r="B15894" s="2" t="str">
        <f>HYPERLINK("http://ts.21cn.com/tousu/show/id/1347604","人人追暴力催收")</f>
        <v>人人追暴力催收</v>
      </c>
      <c r="C15894" s="2" t="s">
        <v>9</v>
      </c>
      <c r="D15894" s="2" t="s">
        <v>10</v>
      </c>
      <c r="E15894" s="2" t="str">
        <f>HYPERLINK("http://ts.21cn.com/tousu/show/id/1347604","http://ts.21cn.com/tousu/show/id/1347604")</f>
        <v>http://ts.21cn.com/tousu/show/id/1347604</v>
      </c>
      <c r="F15894" s="2" t="s">
        <v>11</v>
      </c>
      <c r="G15894" s="2" t="s">
        <v>12918</v>
      </c>
      <c r="H15894" s="2" t="s">
        <v>12919</v>
      </c>
    </row>
    <row r="15895" spans="1:8" ht="25.05" customHeight="1" x14ac:dyDescent="0.25">
      <c r="A15895" s="2" t="s">
        <v>8</v>
      </c>
      <c r="B15895" s="2" t="str">
        <f>HYPERLINK("http://ts.21cn.com/tousu/show/id/1347603","未经本人同意恶意从银行卡中扣款")</f>
        <v>未经本人同意恶意从银行卡中扣款</v>
      </c>
      <c r="C15895" s="2" t="s">
        <v>9</v>
      </c>
      <c r="D15895" s="2" t="s">
        <v>10</v>
      </c>
      <c r="E15895" s="2" t="str">
        <f>HYPERLINK("http://ts.21cn.com/tousu/show/id/1347603","http://ts.21cn.com/tousu/show/id/1347603")</f>
        <v>http://ts.21cn.com/tousu/show/id/1347603</v>
      </c>
      <c r="F15895" s="2" t="s">
        <v>11</v>
      </c>
      <c r="G15895" s="2" t="s">
        <v>12916</v>
      </c>
      <c r="H15895" s="2" t="s">
        <v>12917</v>
      </c>
    </row>
    <row r="15896" spans="1:8" ht="25.05" customHeight="1" x14ac:dyDescent="0.25">
      <c r="A15896" s="2" t="s">
        <v>8</v>
      </c>
      <c r="B15896" s="2" t="str">
        <f>HYPERLINK("http://ts.21cn.com/tousu/show/id/1347605","点心贷不仅还款日当天用私人电话联系我而且现在爆我通讯录给家人威胁辱骂我有录音")</f>
        <v>点心贷不仅还款日当天用私人电话联系我而且现在爆我通讯录给家人威胁辱骂我有录音</v>
      </c>
      <c r="C15896" s="2" t="s">
        <v>9</v>
      </c>
      <c r="D15896" s="2" t="s">
        <v>10</v>
      </c>
      <c r="E15896" s="2" t="str">
        <f>HYPERLINK("http://ts.21cn.com/tousu/show/id/1347605","http://ts.21cn.com/tousu/show/id/1347605")</f>
        <v>http://ts.21cn.com/tousu/show/id/1347605</v>
      </c>
      <c r="F15896" s="2" t="s">
        <v>11</v>
      </c>
      <c r="G15896" s="2" t="s">
        <v>12914</v>
      </c>
      <c r="H15896" s="2" t="s">
        <v>12915</v>
      </c>
    </row>
    <row r="15897" spans="1:8" ht="25.05" customHeight="1" x14ac:dyDescent="0.25">
      <c r="A15897" s="2" t="s">
        <v>8</v>
      </c>
      <c r="B15897" s="2" t="str">
        <f>HYPERLINK("http://ts.21cn.com/tousu/show/id/1347607","花转转高利贷")</f>
        <v>花转转高利贷</v>
      </c>
      <c r="C15897" s="2" t="s">
        <v>9</v>
      </c>
      <c r="D15897" s="2" t="s">
        <v>10</v>
      </c>
      <c r="E15897" s="2" t="str">
        <f>HYPERLINK("http://ts.21cn.com/tousu/show/id/1347607","http://ts.21cn.com/tousu/show/id/1347607")</f>
        <v>http://ts.21cn.com/tousu/show/id/1347607</v>
      </c>
      <c r="F15897" s="2" t="s">
        <v>11</v>
      </c>
      <c r="G15897" s="2" t="s">
        <v>12912</v>
      </c>
      <c r="H15897" s="2" t="s">
        <v>12913</v>
      </c>
    </row>
    <row r="15898" spans="1:8" ht="25.05" customHeight="1" x14ac:dyDescent="0.25">
      <c r="A15898" s="2" t="s">
        <v>8</v>
      </c>
      <c r="B15898" s="2" t="str">
        <f>HYPERLINK("http://ts.21cn.com/tousu/show/id/1347608","融360平台利贝高利贷套路贷")</f>
        <v>融360平台利贝高利贷套路贷</v>
      </c>
      <c r="C15898" s="2" t="s">
        <v>9</v>
      </c>
      <c r="D15898" s="2" t="s">
        <v>10</v>
      </c>
      <c r="E15898" s="2" t="str">
        <f>HYPERLINK("http://ts.21cn.com/tousu/show/id/1347608","http://ts.21cn.com/tousu/show/id/1347608")</f>
        <v>http://ts.21cn.com/tousu/show/id/1347608</v>
      </c>
      <c r="F15898" s="2" t="s">
        <v>11</v>
      </c>
      <c r="G15898" s="2" t="s">
        <v>12910</v>
      </c>
      <c r="H15898" s="2" t="s">
        <v>12911</v>
      </c>
    </row>
    <row r="15899" spans="1:8" ht="25.05" customHeight="1" x14ac:dyDescent="0.25">
      <c r="A15899" s="2" t="s">
        <v>8</v>
      </c>
      <c r="B15899" s="2" t="str">
        <f>HYPERLINK("http://ts.21cn.com/tousu/show/id/1347610","唯品会随意降价不返差价")</f>
        <v>唯品会随意降价不返差价</v>
      </c>
      <c r="C15899" s="2" t="s">
        <v>9</v>
      </c>
      <c r="D15899" s="2" t="s">
        <v>10</v>
      </c>
      <c r="E15899" s="2" t="str">
        <f>HYPERLINK("http://ts.21cn.com/tousu/show/id/1347610","http://ts.21cn.com/tousu/show/id/1347610")</f>
        <v>http://ts.21cn.com/tousu/show/id/1347610</v>
      </c>
      <c r="F15899" s="2" t="s">
        <v>11</v>
      </c>
      <c r="G15899" s="2" t="s">
        <v>12908</v>
      </c>
      <c r="H15899" s="2" t="s">
        <v>12909</v>
      </c>
    </row>
    <row r="15900" spans="1:8" ht="25.05" customHeight="1" x14ac:dyDescent="0.25">
      <c r="A15900" s="2" t="s">
        <v>8</v>
      </c>
      <c r="B15900" s="2" t="str">
        <f>HYPERLINK("http://ts.21cn.com/tousu/show/id/1347611","闪电借款砍套路贷")</f>
        <v>闪电借款砍套路贷</v>
      </c>
      <c r="C15900" s="2" t="s">
        <v>9</v>
      </c>
      <c r="D15900" s="2" t="s">
        <v>10</v>
      </c>
      <c r="E15900" s="2" t="str">
        <f>HYPERLINK("http://ts.21cn.com/tousu/show/id/1347611","http://ts.21cn.com/tousu/show/id/1347611")</f>
        <v>http://ts.21cn.com/tousu/show/id/1347611</v>
      </c>
      <c r="F15900" s="2" t="s">
        <v>11</v>
      </c>
      <c r="G15900" s="2" t="s">
        <v>12906</v>
      </c>
      <c r="H15900" s="2" t="s">
        <v>12907</v>
      </c>
    </row>
    <row r="15901" spans="1:8" ht="25.05" customHeight="1" x14ac:dyDescent="0.25">
      <c r="A15901" s="2" t="s">
        <v>8</v>
      </c>
      <c r="B15901" s="2" t="str">
        <f>HYPERLINK("http://ts.21cn.com/tousu/show/id/1347612","智享贷恶意收费")</f>
        <v>智享贷恶意收费</v>
      </c>
      <c r="C15901" s="2" t="s">
        <v>9</v>
      </c>
      <c r="D15901" s="2" t="s">
        <v>10</v>
      </c>
      <c r="E15901" s="2" t="str">
        <f>HYPERLINK("http://ts.21cn.com/tousu/show/id/1347612","http://ts.21cn.com/tousu/show/id/1347612")</f>
        <v>http://ts.21cn.com/tousu/show/id/1347612</v>
      </c>
      <c r="F15901" s="2" t="s">
        <v>11</v>
      </c>
      <c r="G15901" s="2" t="s">
        <v>12904</v>
      </c>
      <c r="H15901" s="2" t="s">
        <v>12905</v>
      </c>
    </row>
    <row r="15902" spans="1:8" ht="25.05" customHeight="1" x14ac:dyDescent="0.25">
      <c r="A15902" s="2" t="s">
        <v>8</v>
      </c>
      <c r="B15902" s="2" t="str">
        <f>HYPERLINK("http://ts.21cn.com/tousu/show/id/1347616","51人品贷乱收费")</f>
        <v>51人品贷乱收费</v>
      </c>
      <c r="C15902" s="2" t="s">
        <v>9</v>
      </c>
      <c r="D15902" s="2" t="s">
        <v>10</v>
      </c>
      <c r="E15902" s="2" t="str">
        <f>HYPERLINK("http://ts.21cn.com/tousu/show/id/1347616","http://ts.21cn.com/tousu/show/id/1347616")</f>
        <v>http://ts.21cn.com/tousu/show/id/1347616</v>
      </c>
      <c r="F15902" s="2" t="s">
        <v>11</v>
      </c>
      <c r="G15902" s="2" t="s">
        <v>12902</v>
      </c>
      <c r="H15902" s="2" t="s">
        <v>12903</v>
      </c>
    </row>
    <row r="15903" spans="1:8" ht="25.05" customHeight="1" x14ac:dyDescent="0.25">
      <c r="A15903" s="2" t="s">
        <v>8</v>
      </c>
      <c r="B15903" s="2" t="str">
        <f>HYPERLINK("http://ts.21cn.com/tousu/show/id/1347614","聚富分期私自扣款")</f>
        <v>聚富分期私自扣款</v>
      </c>
      <c r="C15903" s="2" t="s">
        <v>9</v>
      </c>
      <c r="D15903" s="2" t="s">
        <v>10</v>
      </c>
      <c r="E15903" s="2" t="str">
        <f>HYPERLINK("http://ts.21cn.com/tousu/show/id/1347614","http://ts.21cn.com/tousu/show/id/1347614")</f>
        <v>http://ts.21cn.com/tousu/show/id/1347614</v>
      </c>
      <c r="F15903" s="2" t="s">
        <v>11</v>
      </c>
      <c r="G15903" s="2" t="s">
        <v>12900</v>
      </c>
      <c r="H15903" s="2" t="s">
        <v>12901</v>
      </c>
    </row>
    <row r="15904" spans="1:8" ht="25.05" customHeight="1" x14ac:dyDescent="0.25">
      <c r="A15904" s="2" t="s">
        <v>8</v>
      </c>
      <c r="B15904" s="2" t="str">
        <f>HYPERLINK("http://ts.21cn.com/tousu/show/id/1347615","豹子贷无故扣钱不需要还要扣")</f>
        <v>豹子贷无故扣钱不需要还要扣</v>
      </c>
      <c r="C15904" s="2" t="s">
        <v>34</v>
      </c>
      <c r="D15904" s="2" t="s">
        <v>10</v>
      </c>
      <c r="E15904" s="2" t="str">
        <f>HYPERLINK("http://ts.21cn.com/tousu/show/id/1347615","http://ts.21cn.com/tousu/show/id/1347615")</f>
        <v>http://ts.21cn.com/tousu/show/id/1347615</v>
      </c>
      <c r="F15904" s="2" t="s">
        <v>11</v>
      </c>
      <c r="G15904" s="2" t="s">
        <v>12898</v>
      </c>
      <c r="H15904" s="2" t="s">
        <v>12899</v>
      </c>
    </row>
    <row r="15905" spans="1:8" ht="25.05" customHeight="1" x14ac:dyDescent="0.25">
      <c r="A15905" s="2" t="s">
        <v>8</v>
      </c>
      <c r="B15905" s="2" t="str">
        <f>HYPERLINK("http://ts.21cn.com/tousu/show/id/1347618","滴滴")</f>
        <v>滴滴</v>
      </c>
      <c r="C15905" s="2" t="s">
        <v>9</v>
      </c>
      <c r="D15905" s="2" t="s">
        <v>10</v>
      </c>
      <c r="E15905" s="2" t="str">
        <f>HYPERLINK("http://ts.21cn.com/tousu/show/id/1347618","http://ts.21cn.com/tousu/show/id/1347618")</f>
        <v>http://ts.21cn.com/tousu/show/id/1347618</v>
      </c>
      <c r="F15905" s="2" t="s">
        <v>11</v>
      </c>
      <c r="G15905" s="2" t="s">
        <v>12896</v>
      </c>
      <c r="H15905" s="2" t="s">
        <v>12897</v>
      </c>
    </row>
    <row r="15906" spans="1:8" ht="25.05" customHeight="1" x14ac:dyDescent="0.25">
      <c r="A15906" s="2" t="s">
        <v>8</v>
      </c>
      <c r="B15906" s="2" t="str">
        <f>HYPERLINK("http://ts.21cn.com/tousu/show/id/1347619","美团生活费暴力催收")</f>
        <v>美团生活费暴力催收</v>
      </c>
      <c r="C15906" s="2" t="s">
        <v>9</v>
      </c>
      <c r="D15906" s="2" t="s">
        <v>10</v>
      </c>
      <c r="E15906" s="2" t="str">
        <f>HYPERLINK("http://ts.21cn.com/tousu/show/id/1347619","http://ts.21cn.com/tousu/show/id/1347619")</f>
        <v>http://ts.21cn.com/tousu/show/id/1347619</v>
      </c>
      <c r="F15906" s="2" t="s">
        <v>11</v>
      </c>
      <c r="G15906" s="2" t="s">
        <v>12894</v>
      </c>
      <c r="H15906" s="2" t="s">
        <v>12895</v>
      </c>
    </row>
    <row r="15907" spans="1:8" ht="25.05" customHeight="1" x14ac:dyDescent="0.25">
      <c r="A15907" s="2" t="s">
        <v>8</v>
      </c>
      <c r="B15907" s="2" t="str">
        <f>HYPERLINK("http://ts.21cn.com/tousu/show/id/1347620","坑钱，请求退款")</f>
        <v>坑钱，请求退款</v>
      </c>
      <c r="C15907" s="2" t="s">
        <v>9</v>
      </c>
      <c r="D15907" s="2" t="s">
        <v>10</v>
      </c>
      <c r="E15907" s="2" t="str">
        <f>HYPERLINK("http://ts.21cn.com/tousu/show/id/1347620","http://ts.21cn.com/tousu/show/id/1347620")</f>
        <v>http://ts.21cn.com/tousu/show/id/1347620</v>
      </c>
      <c r="F15907" s="2" t="s">
        <v>11</v>
      </c>
      <c r="G15907" s="2" t="s">
        <v>12892</v>
      </c>
      <c r="H15907" s="2" t="s">
        <v>12893</v>
      </c>
    </row>
    <row r="15908" spans="1:8" ht="25.05" customHeight="1" x14ac:dyDescent="0.25">
      <c r="A15908" s="2" t="s">
        <v>8</v>
      </c>
      <c r="B15908" s="2" t="str">
        <f>HYPERLINK("http://ts.21cn.com/tousu/show/id/1347621","聚富钱包没经本人同意恶意扣款")</f>
        <v>聚富钱包没经本人同意恶意扣款</v>
      </c>
      <c r="C15908" s="2" t="s">
        <v>9</v>
      </c>
      <c r="D15908" s="2" t="s">
        <v>10</v>
      </c>
      <c r="E15908" s="2" t="str">
        <f>HYPERLINK("http://ts.21cn.com/tousu/show/id/1347621","http://ts.21cn.com/tousu/show/id/1347621")</f>
        <v>http://ts.21cn.com/tousu/show/id/1347621</v>
      </c>
      <c r="F15908" s="2" t="s">
        <v>11</v>
      </c>
      <c r="G15908" s="2" t="s">
        <v>12890</v>
      </c>
      <c r="H15908" s="2" t="s">
        <v>12891</v>
      </c>
    </row>
    <row r="15909" spans="1:8" ht="25.05" customHeight="1" x14ac:dyDescent="0.25">
      <c r="A15909" s="2" t="s">
        <v>8</v>
      </c>
      <c r="B15909" s="2" t="str">
        <f>HYPERLINK("http://ts.21cn.com/tousu/show/id/1347622","卡牛网贷")</f>
        <v>卡牛网贷</v>
      </c>
      <c r="C15909" s="2" t="s">
        <v>9</v>
      </c>
      <c r="D15909" s="2" t="s">
        <v>10</v>
      </c>
      <c r="E15909" s="2" t="str">
        <f>HYPERLINK("http://ts.21cn.com/tousu/show/id/1347622","http://ts.21cn.com/tousu/show/id/1347622")</f>
        <v>http://ts.21cn.com/tousu/show/id/1347622</v>
      </c>
      <c r="F15909" s="2" t="s">
        <v>11</v>
      </c>
      <c r="G15909" s="2" t="s">
        <v>12888</v>
      </c>
      <c r="H15909" s="2" t="s">
        <v>12889</v>
      </c>
    </row>
    <row r="15910" spans="1:8" ht="25.05" customHeight="1" x14ac:dyDescent="0.25">
      <c r="A15910" s="2" t="s">
        <v>8</v>
      </c>
      <c r="B15910" s="2" t="str">
        <f>HYPERLINK("http://ts.21cn.com/tousu/show/id/1347624","名校贷套路贷砍头息")</f>
        <v>名校贷套路贷砍头息</v>
      </c>
      <c r="C15910" s="2" t="s">
        <v>9</v>
      </c>
      <c r="D15910" s="2" t="s">
        <v>10</v>
      </c>
      <c r="E15910" s="2" t="str">
        <f>HYPERLINK("http://ts.21cn.com/tousu/show/id/1347624","http://ts.21cn.com/tousu/show/id/1347624")</f>
        <v>http://ts.21cn.com/tousu/show/id/1347624</v>
      </c>
      <c r="F15910" s="2" t="s">
        <v>11</v>
      </c>
      <c r="G15910" s="2" t="s">
        <v>12886</v>
      </c>
      <c r="H15910" s="2" t="s">
        <v>12887</v>
      </c>
    </row>
    <row r="15911" spans="1:8" ht="25.05" customHeight="1" x14ac:dyDescent="0.25">
      <c r="A15911" s="2" t="s">
        <v>8</v>
      </c>
      <c r="B15911" s="2" t="str">
        <f>HYPERLINK("http://ts.21cn.com/tousu/show/id/1347626","融360平台快来花高利贷套路贷")</f>
        <v>融360平台快来花高利贷套路贷</v>
      </c>
      <c r="C15911" s="2" t="s">
        <v>9</v>
      </c>
      <c r="D15911" s="2" t="s">
        <v>10</v>
      </c>
      <c r="E15911" s="2" t="str">
        <f>HYPERLINK("http://ts.21cn.com/tousu/show/id/1347626","http://ts.21cn.com/tousu/show/id/1347626")</f>
        <v>http://ts.21cn.com/tousu/show/id/1347626</v>
      </c>
      <c r="F15911" s="2" t="s">
        <v>11</v>
      </c>
      <c r="G15911" s="2" t="s">
        <v>12884</v>
      </c>
      <c r="H15911" s="2" t="s">
        <v>12885</v>
      </c>
    </row>
    <row r="15912" spans="1:8" ht="25.05" customHeight="1" x14ac:dyDescent="0.25">
      <c r="A15912" s="2" t="s">
        <v>8</v>
      </c>
      <c r="B15912" s="2" t="str">
        <f>HYPERLINK("http://ts.21cn.com/tousu/show/id/1347628","入驻开三云匠网一年没有单子，不给退会员费")</f>
        <v>入驻开三云匠网一年没有单子，不给退会员费</v>
      </c>
      <c r="C15912" s="2" t="s">
        <v>9</v>
      </c>
      <c r="D15912" s="2" t="s">
        <v>10</v>
      </c>
      <c r="E15912" s="2" t="str">
        <f>HYPERLINK("http://ts.21cn.com/tousu/show/id/1347628","http://ts.21cn.com/tousu/show/id/1347628")</f>
        <v>http://ts.21cn.com/tousu/show/id/1347628</v>
      </c>
      <c r="F15912" s="2" t="s">
        <v>11</v>
      </c>
      <c r="G15912" s="2" t="s">
        <v>12882</v>
      </c>
      <c r="H15912" s="2" t="s">
        <v>12883</v>
      </c>
    </row>
    <row r="15913" spans="1:8" ht="25.05" customHeight="1" x14ac:dyDescent="0.25">
      <c r="A15913" s="2" t="s">
        <v>8</v>
      </c>
      <c r="B15913" s="2" t="str">
        <f>HYPERLINK("http://ts.21cn.com/tousu/show/id/1347629","贷上钱恐吓威胁骚扰")</f>
        <v>贷上钱恐吓威胁骚扰</v>
      </c>
      <c r="C15913" s="2" t="s">
        <v>9</v>
      </c>
      <c r="D15913" s="2" t="s">
        <v>10</v>
      </c>
      <c r="E15913" s="2" t="str">
        <f>HYPERLINK("http://ts.21cn.com/tousu/show/id/1347629","http://ts.21cn.com/tousu/show/id/1347629")</f>
        <v>http://ts.21cn.com/tousu/show/id/1347629</v>
      </c>
      <c r="F15913" s="2" t="s">
        <v>11</v>
      </c>
      <c r="G15913" s="2" t="s">
        <v>12880</v>
      </c>
      <c r="H15913" s="2" t="s">
        <v>12881</v>
      </c>
    </row>
    <row r="15914" spans="1:8" ht="25.05" customHeight="1" x14ac:dyDescent="0.25">
      <c r="A15914" s="2" t="s">
        <v>8</v>
      </c>
      <c r="B15914" s="2" t="str">
        <f>HYPERLINK("http://ts.21cn.com/tousu/show/id/1347630","平安普惠贷款隐瞒隐藏并强制收取高额保险费管理费投诉事宜")</f>
        <v>平安普惠贷款隐瞒隐藏并强制收取高额保险费管理费投诉事宜</v>
      </c>
      <c r="C15914" s="2" t="s">
        <v>9</v>
      </c>
      <c r="D15914" s="2" t="s">
        <v>10</v>
      </c>
      <c r="E15914" s="2" t="str">
        <f>HYPERLINK("http://ts.21cn.com/tousu/show/id/1347630","http://ts.21cn.com/tousu/show/id/1347630")</f>
        <v>http://ts.21cn.com/tousu/show/id/1347630</v>
      </c>
      <c r="F15914" s="2" t="s">
        <v>11</v>
      </c>
      <c r="G15914" s="2" t="s">
        <v>12878</v>
      </c>
      <c r="H15914" s="2" t="s">
        <v>12879</v>
      </c>
    </row>
    <row r="15915" spans="1:8" ht="25.05" customHeight="1" x14ac:dyDescent="0.25">
      <c r="A15915" s="2" t="s">
        <v>8</v>
      </c>
      <c r="B15915" s="2" t="str">
        <f>HYPERLINK("http://ts.21cn.com/tousu/show/id/1347632","百事普惠在没有使用到他们服务的情况下第二天无故扣款299")</f>
        <v>百事普惠在没有使用到他们服务的情况下第二天无故扣款299</v>
      </c>
      <c r="C15915" s="2" t="s">
        <v>34</v>
      </c>
      <c r="D15915" s="2" t="s">
        <v>10</v>
      </c>
      <c r="E15915" s="2" t="str">
        <f>HYPERLINK("http://ts.21cn.com/tousu/show/id/1347632","http://ts.21cn.com/tousu/show/id/1347632")</f>
        <v>http://ts.21cn.com/tousu/show/id/1347632</v>
      </c>
      <c r="F15915" s="2" t="s">
        <v>11</v>
      </c>
      <c r="G15915" s="2" t="s">
        <v>12877</v>
      </c>
      <c r="H15915" s="2" t="s">
        <v>12679</v>
      </c>
    </row>
    <row r="15916" spans="1:8" ht="25.05" customHeight="1" x14ac:dyDescent="0.25">
      <c r="A15916" s="2" t="s">
        <v>8</v>
      </c>
      <c r="B15916" s="2" t="str">
        <f>HYPERLINK("http://ts.21cn.com/tousu/show/id/1347634","浦发信用卡第三方协商还款")</f>
        <v>浦发信用卡第三方协商还款</v>
      </c>
      <c r="C15916" s="2" t="s">
        <v>9</v>
      </c>
      <c r="D15916" s="2" t="s">
        <v>10</v>
      </c>
      <c r="E15916" s="2" t="str">
        <f>HYPERLINK("http://ts.21cn.com/tousu/show/id/1347634","http://ts.21cn.com/tousu/show/id/1347634")</f>
        <v>http://ts.21cn.com/tousu/show/id/1347634</v>
      </c>
      <c r="F15916" s="2" t="s">
        <v>11</v>
      </c>
      <c r="G15916" s="2" t="s">
        <v>12875</v>
      </c>
      <c r="H15916" s="2" t="s">
        <v>12876</v>
      </c>
    </row>
    <row r="15917" spans="1:8" ht="25.05" customHeight="1" x14ac:dyDescent="0.25">
      <c r="A15917" s="2" t="s">
        <v>8</v>
      </c>
      <c r="B15917" s="2" t="str">
        <f>HYPERLINK("http://ts.21cn.com/tousu/show/id/1347635","畸形高利贷及暴力催收")</f>
        <v>畸形高利贷及暴力催收</v>
      </c>
      <c r="C15917" s="2" t="s">
        <v>9</v>
      </c>
      <c r="D15917" s="2" t="s">
        <v>10</v>
      </c>
      <c r="E15917" s="2" t="str">
        <f>HYPERLINK("http://ts.21cn.com/tousu/show/id/1347635","http://ts.21cn.com/tousu/show/id/1347635")</f>
        <v>http://ts.21cn.com/tousu/show/id/1347635</v>
      </c>
      <c r="F15917" s="2" t="s">
        <v>11</v>
      </c>
      <c r="G15917" s="2" t="s">
        <v>12873</v>
      </c>
      <c r="H15917" s="2" t="s">
        <v>12874</v>
      </c>
    </row>
    <row r="15918" spans="1:8" ht="25.05" customHeight="1" x14ac:dyDescent="0.25">
      <c r="A15918" s="2" t="s">
        <v>8</v>
      </c>
      <c r="B15918" s="2" t="str">
        <f>HYPERLINK("http://ts.21cn.com/tousu/show/id/1347633","希望不要被骚扰，协商处理，不要上门催收")</f>
        <v>希望不要被骚扰，协商处理，不要上门催收</v>
      </c>
      <c r="C15918" s="2" t="s">
        <v>9</v>
      </c>
      <c r="D15918" s="2" t="s">
        <v>10</v>
      </c>
      <c r="E15918" s="2" t="str">
        <f>HYPERLINK("http://ts.21cn.com/tousu/show/id/1347633","http://ts.21cn.com/tousu/show/id/1347633")</f>
        <v>http://ts.21cn.com/tousu/show/id/1347633</v>
      </c>
      <c r="F15918" s="2" t="s">
        <v>11</v>
      </c>
      <c r="G15918" s="2" t="s">
        <v>12871</v>
      </c>
      <c r="H15918" s="2" t="s">
        <v>12872</v>
      </c>
    </row>
    <row r="15919" spans="1:8" ht="25.05" customHeight="1" x14ac:dyDescent="0.25">
      <c r="A15919" s="2" t="s">
        <v>8</v>
      </c>
      <c r="B15919" s="2" t="str">
        <f>HYPERLINK("http://ts.21cn.com/tousu/show/id/1347636","小黄车ofo不退还押金、客服挂客户电话")</f>
        <v>小黄车ofo不退还押金、客服挂客户电话</v>
      </c>
      <c r="C15919" s="2" t="s">
        <v>9</v>
      </c>
      <c r="D15919" s="2" t="s">
        <v>10</v>
      </c>
      <c r="E15919" s="2" t="str">
        <f>HYPERLINK("http://ts.21cn.com/tousu/show/id/1347636","http://ts.21cn.com/tousu/show/id/1347636")</f>
        <v>http://ts.21cn.com/tousu/show/id/1347636</v>
      </c>
      <c r="F15919" s="2" t="s">
        <v>11</v>
      </c>
      <c r="G15919" s="2" t="s">
        <v>12869</v>
      </c>
      <c r="H15919" s="2" t="s">
        <v>12870</v>
      </c>
    </row>
    <row r="15920" spans="1:8" ht="25.05" customHeight="1" x14ac:dyDescent="0.25">
      <c r="A15920" s="2" t="s">
        <v>8</v>
      </c>
      <c r="B15920" s="2" t="str">
        <f>HYPERLINK("http://ts.21cn.com/tousu/show/id/1347638","坑逼网贷")</f>
        <v>坑逼网贷</v>
      </c>
      <c r="C15920" s="2" t="s">
        <v>9</v>
      </c>
      <c r="D15920" s="2" t="s">
        <v>10</v>
      </c>
      <c r="E15920" s="2" t="str">
        <f>HYPERLINK("http://ts.21cn.com/tousu/show/id/1347638","http://ts.21cn.com/tousu/show/id/1347638")</f>
        <v>http://ts.21cn.com/tousu/show/id/1347638</v>
      </c>
      <c r="F15920" s="2" t="s">
        <v>11</v>
      </c>
      <c r="G15920" s="2" t="s">
        <v>12867</v>
      </c>
      <c r="H15920" s="2" t="s">
        <v>12868</v>
      </c>
    </row>
    <row r="15921" spans="1:8" ht="25.05" customHeight="1" x14ac:dyDescent="0.25">
      <c r="A15921" s="2" t="s">
        <v>8</v>
      </c>
      <c r="B15921" s="2" t="str">
        <f>HYPERLINK("http://ts.21cn.com/tousu/show/id/1347637","恶意扣款298.5元")</f>
        <v>恶意扣款298.5元</v>
      </c>
      <c r="C15921" s="2" t="s">
        <v>9</v>
      </c>
      <c r="D15921" s="2" t="s">
        <v>10</v>
      </c>
      <c r="E15921" s="2" t="str">
        <f>HYPERLINK("http://ts.21cn.com/tousu/show/id/1347637","http://ts.21cn.com/tousu/show/id/1347637")</f>
        <v>http://ts.21cn.com/tousu/show/id/1347637</v>
      </c>
      <c r="F15921" s="2" t="s">
        <v>11</v>
      </c>
      <c r="G15921" s="2" t="s">
        <v>12865</v>
      </c>
      <c r="H15921" s="2" t="s">
        <v>12866</v>
      </c>
    </row>
    <row r="15922" spans="1:8" ht="25.05" customHeight="1" x14ac:dyDescent="0.25">
      <c r="A15922" s="2" t="s">
        <v>8</v>
      </c>
      <c r="B15922" s="2" t="str">
        <f>HYPERLINK("http://ts.21cn.com/tousu/show/id/1347639","交易猫交易成功，却未发货，还删除了我")</f>
        <v>交易猫交易成功，却未发货，还删除了我</v>
      </c>
      <c r="C15922" s="2" t="s">
        <v>34</v>
      </c>
      <c r="D15922" s="2" t="s">
        <v>10</v>
      </c>
      <c r="E15922" s="2" t="str">
        <f>HYPERLINK("http://ts.21cn.com/tousu/show/id/1347639","http://ts.21cn.com/tousu/show/id/1347639")</f>
        <v>http://ts.21cn.com/tousu/show/id/1347639</v>
      </c>
      <c r="F15922" s="2" t="s">
        <v>11</v>
      </c>
      <c r="G15922" s="2" t="s">
        <v>12863</v>
      </c>
      <c r="H15922" s="2" t="s">
        <v>12864</v>
      </c>
    </row>
    <row r="15923" spans="1:8" ht="25.05" customHeight="1" x14ac:dyDescent="0.25">
      <c r="A15923" s="2" t="s">
        <v>8</v>
      </c>
      <c r="B15923" s="2" t="str">
        <f>HYPERLINK("http://ts.21cn.com/tousu/show/id/1347640","退款失败后一直不退钱")</f>
        <v>退款失败后一直不退钱</v>
      </c>
      <c r="C15923" s="2" t="s">
        <v>9</v>
      </c>
      <c r="D15923" s="2" t="s">
        <v>10</v>
      </c>
      <c r="E15923" s="2" t="str">
        <f>HYPERLINK("http://ts.21cn.com/tousu/show/id/1347640","http://ts.21cn.com/tousu/show/id/1347640")</f>
        <v>http://ts.21cn.com/tousu/show/id/1347640</v>
      </c>
      <c r="F15923" s="2" t="s">
        <v>11</v>
      </c>
      <c r="G15923" s="2" t="s">
        <v>12861</v>
      </c>
      <c r="H15923" s="2" t="s">
        <v>12862</v>
      </c>
    </row>
    <row r="15924" spans="1:8" ht="25.05" customHeight="1" x14ac:dyDescent="0.25">
      <c r="A15924" s="2" t="s">
        <v>8</v>
      </c>
      <c r="B15924" s="2" t="str">
        <f>HYPERLINK("http://ts.21cn.com/tousu/show/id/1347609","质量问题淘宝卖家拒绝退款")</f>
        <v>质量问题淘宝卖家拒绝退款</v>
      </c>
      <c r="C15924" s="2" t="s">
        <v>9</v>
      </c>
      <c r="D15924" s="2" t="s">
        <v>10</v>
      </c>
      <c r="E15924" s="2" t="str">
        <f>HYPERLINK("http://ts.21cn.com/tousu/show/id/1347609","http://ts.21cn.com/tousu/show/id/1347609")</f>
        <v>http://ts.21cn.com/tousu/show/id/1347609</v>
      </c>
      <c r="F15924" s="2" t="s">
        <v>11</v>
      </c>
      <c r="G15924" s="2" t="s">
        <v>12859</v>
      </c>
      <c r="H15924" s="2" t="s">
        <v>12860</v>
      </c>
    </row>
    <row r="15925" spans="1:8" ht="25.05" customHeight="1" x14ac:dyDescent="0.25">
      <c r="A15925" s="2" t="s">
        <v>8</v>
      </c>
      <c r="B15925" s="2" t="str">
        <f>HYPERLINK("http://ts.21cn.com/tousu/show/id/1347642","滴滴客服无法为司机解决问题")</f>
        <v>滴滴客服无法为司机解决问题</v>
      </c>
      <c r="C15925" s="2" t="s">
        <v>9</v>
      </c>
      <c r="D15925" s="2" t="s">
        <v>10</v>
      </c>
      <c r="E15925" s="2" t="str">
        <f>HYPERLINK("http://ts.21cn.com/tousu/show/id/1347642","http://ts.21cn.com/tousu/show/id/1347642")</f>
        <v>http://ts.21cn.com/tousu/show/id/1347642</v>
      </c>
      <c r="F15925" s="2" t="s">
        <v>11</v>
      </c>
      <c r="G15925" s="2" t="s">
        <v>12857</v>
      </c>
      <c r="H15925" s="2" t="s">
        <v>12858</v>
      </c>
    </row>
    <row r="15926" spans="1:8" ht="25.05" customHeight="1" x14ac:dyDescent="0.25">
      <c r="A15926" s="2" t="s">
        <v>8</v>
      </c>
      <c r="B15926" s="2" t="str">
        <f>HYPERLINK("http://ts.21cn.com/tousu/show/id/1347641","首汽约车连续两天收不到验证码无法登陆")</f>
        <v>首汽约车连续两天收不到验证码无法登陆</v>
      </c>
      <c r="C15926" s="2" t="s">
        <v>34</v>
      </c>
      <c r="D15926" s="2" t="s">
        <v>10</v>
      </c>
      <c r="E15926" s="2" t="str">
        <f>HYPERLINK("http://ts.21cn.com/tousu/show/id/1347641","http://ts.21cn.com/tousu/show/id/1347641")</f>
        <v>http://ts.21cn.com/tousu/show/id/1347641</v>
      </c>
      <c r="F15926" s="2" t="s">
        <v>11</v>
      </c>
      <c r="G15926" s="2" t="s">
        <v>12855</v>
      </c>
      <c r="H15926" s="2" t="s">
        <v>12856</v>
      </c>
    </row>
    <row r="15927" spans="1:8" ht="25.05" customHeight="1" x14ac:dyDescent="0.25">
      <c r="A15927" s="2" t="s">
        <v>8</v>
      </c>
      <c r="B15927" s="2" t="str">
        <f>HYPERLINK("http://ts.21cn.com/tousu/show/id/1347643","没开课没签协议，不给退款")</f>
        <v>没开课没签协议，不给退款</v>
      </c>
      <c r="C15927" s="2" t="s">
        <v>9</v>
      </c>
      <c r="D15927" s="2" t="s">
        <v>10</v>
      </c>
      <c r="E15927" s="2" t="str">
        <f>HYPERLINK("http://ts.21cn.com/tousu/show/id/1347643","http://ts.21cn.com/tousu/show/id/1347643")</f>
        <v>http://ts.21cn.com/tousu/show/id/1347643</v>
      </c>
      <c r="F15927" s="2" t="s">
        <v>11</v>
      </c>
      <c r="G15927" s="2" t="s">
        <v>12853</v>
      </c>
      <c r="H15927" s="2" t="s">
        <v>12854</v>
      </c>
    </row>
    <row r="15928" spans="1:8" ht="25.05" customHeight="1" x14ac:dyDescent="0.25">
      <c r="A15928" s="2" t="s">
        <v>8</v>
      </c>
      <c r="B15928" s="2" t="str">
        <f>HYPERLINK("http://ts.21cn.com/tousu/show/id/1347644","货拉拉拒绝开具发票")</f>
        <v>货拉拉拒绝开具发票</v>
      </c>
      <c r="C15928" s="2" t="s">
        <v>9</v>
      </c>
      <c r="D15928" s="2" t="s">
        <v>10</v>
      </c>
      <c r="E15928" s="2" t="str">
        <f>HYPERLINK("http://ts.21cn.com/tousu/show/id/1347644","http://ts.21cn.com/tousu/show/id/1347644")</f>
        <v>http://ts.21cn.com/tousu/show/id/1347644</v>
      </c>
      <c r="F15928" s="2" t="s">
        <v>11</v>
      </c>
      <c r="G15928" s="2" t="s">
        <v>12851</v>
      </c>
      <c r="H15928" s="2" t="s">
        <v>12852</v>
      </c>
    </row>
    <row r="15929" spans="1:8" ht="25.05" customHeight="1" x14ac:dyDescent="0.25">
      <c r="A15929" s="2" t="s">
        <v>8</v>
      </c>
      <c r="B15929" s="2" t="str">
        <f>HYPERLINK("http://ts.21cn.com/tousu/show/id/1347647","买买提暴力催收，一直不停打电话，说了还还一直打，我现在就是不想还")</f>
        <v>买买提暴力催收，一直不停打电话，说了还还一直打，我现在就是不想还</v>
      </c>
      <c r="C15929" s="2" t="s">
        <v>9</v>
      </c>
      <c r="D15929" s="2" t="s">
        <v>10</v>
      </c>
      <c r="E15929" s="2" t="str">
        <f>HYPERLINK("http://ts.21cn.com/tousu/show/id/1347647","http://ts.21cn.com/tousu/show/id/1347647")</f>
        <v>http://ts.21cn.com/tousu/show/id/1347647</v>
      </c>
      <c r="F15929" s="2" t="s">
        <v>11</v>
      </c>
      <c r="G15929" s="2" t="s">
        <v>12849</v>
      </c>
      <c r="H15929" s="2" t="s">
        <v>12850</v>
      </c>
    </row>
    <row r="15930" spans="1:8" ht="25.05" customHeight="1" x14ac:dyDescent="0.25">
      <c r="A15930" s="2" t="s">
        <v>8</v>
      </c>
      <c r="B15930" s="2" t="str">
        <f>HYPERLINK("http://ts.21cn.com/tousu/show/id/1347645","钱站高利贷阴阳合同")</f>
        <v>钱站高利贷阴阳合同</v>
      </c>
      <c r="C15930" s="2" t="s">
        <v>9</v>
      </c>
      <c r="D15930" s="2" t="s">
        <v>10</v>
      </c>
      <c r="E15930" s="2" t="str">
        <f>HYPERLINK("http://ts.21cn.com/tousu/show/id/1347645","http://ts.21cn.com/tousu/show/id/1347645")</f>
        <v>http://ts.21cn.com/tousu/show/id/1347645</v>
      </c>
      <c r="F15930" s="2" t="s">
        <v>11</v>
      </c>
      <c r="G15930" s="2" t="s">
        <v>12847</v>
      </c>
      <c r="H15930" s="2" t="s">
        <v>12848</v>
      </c>
    </row>
    <row r="15931" spans="1:8" ht="25.05" customHeight="1" x14ac:dyDescent="0.25">
      <c r="A15931" s="2" t="s">
        <v>8</v>
      </c>
      <c r="B15931" s="2" t="str">
        <f>HYPERLINK("http://ts.21cn.com/tousu/show/id/1347646","淘宝复核不通过")</f>
        <v>淘宝复核不通过</v>
      </c>
      <c r="C15931" s="2" t="s">
        <v>9</v>
      </c>
      <c r="D15931" s="2" t="s">
        <v>10</v>
      </c>
      <c r="E15931" s="2" t="str">
        <f>HYPERLINK("http://ts.21cn.com/tousu/show/id/1347646","http://ts.21cn.com/tousu/show/id/1347646")</f>
        <v>http://ts.21cn.com/tousu/show/id/1347646</v>
      </c>
      <c r="F15931" s="2" t="s">
        <v>11</v>
      </c>
      <c r="G15931" s="2" t="s">
        <v>12845</v>
      </c>
      <c r="H15931" s="2" t="s">
        <v>12846</v>
      </c>
    </row>
    <row r="15932" spans="1:8" ht="25.05" customHeight="1" x14ac:dyDescent="0.25">
      <c r="A15932" s="2" t="s">
        <v>8</v>
      </c>
      <c r="B15932" s="2" t="str">
        <f>HYPERLINK("http://ts.21cn.com/tousu/show/id/1347649","融360平台普惠省高利贷套路贷")</f>
        <v>融360平台普惠省高利贷套路贷</v>
      </c>
      <c r="C15932" s="2" t="s">
        <v>9</v>
      </c>
      <c r="D15932" s="2" t="s">
        <v>10</v>
      </c>
      <c r="E15932" s="2" t="str">
        <f>HYPERLINK("http://ts.21cn.com/tousu/show/id/1347649","http://ts.21cn.com/tousu/show/id/1347649")</f>
        <v>http://ts.21cn.com/tousu/show/id/1347649</v>
      </c>
      <c r="F15932" s="2" t="s">
        <v>11</v>
      </c>
      <c r="G15932" s="2" t="s">
        <v>12843</v>
      </c>
      <c r="H15932" s="2" t="s">
        <v>12844</v>
      </c>
    </row>
    <row r="15933" spans="1:8" ht="25.05" customHeight="1" x14ac:dyDescent="0.25">
      <c r="A15933" s="2" t="s">
        <v>8</v>
      </c>
      <c r="B15933" s="2" t="str">
        <f>HYPERLINK("http://ts.21cn.com/tousu/show/id/1347648","小牛科技狼狈为奸")</f>
        <v>小牛科技狼狈为奸</v>
      </c>
      <c r="C15933" s="2" t="s">
        <v>9</v>
      </c>
      <c r="D15933" s="2" t="s">
        <v>10</v>
      </c>
      <c r="E15933" s="2" t="str">
        <f>HYPERLINK("http://ts.21cn.com/tousu/show/id/1347648","http://ts.21cn.com/tousu/show/id/1347648")</f>
        <v>http://ts.21cn.com/tousu/show/id/1347648</v>
      </c>
      <c r="F15933" s="2" t="s">
        <v>11</v>
      </c>
      <c r="G15933" s="2" t="s">
        <v>12841</v>
      </c>
      <c r="H15933" s="2" t="s">
        <v>12842</v>
      </c>
    </row>
    <row r="15934" spans="1:8" ht="25.05" customHeight="1" x14ac:dyDescent="0.25">
      <c r="A15934" s="2" t="s">
        <v>8</v>
      </c>
      <c r="B15934" s="2" t="str">
        <f>HYPERLINK("http://ts.21cn.com/tousu/show/id/1347650","造艺科技有限公司乱扣费用")</f>
        <v>造艺科技有限公司乱扣费用</v>
      </c>
      <c r="C15934" s="2" t="s">
        <v>9</v>
      </c>
      <c r="D15934" s="2" t="s">
        <v>10</v>
      </c>
      <c r="E15934" s="2" t="str">
        <f>HYPERLINK("http://ts.21cn.com/tousu/show/id/1347650","http://ts.21cn.com/tousu/show/id/1347650")</f>
        <v>http://ts.21cn.com/tousu/show/id/1347650</v>
      </c>
      <c r="F15934" s="2" t="s">
        <v>11</v>
      </c>
      <c r="G15934" s="2" t="s">
        <v>12839</v>
      </c>
      <c r="H15934" s="2" t="s">
        <v>12840</v>
      </c>
    </row>
    <row r="15935" spans="1:8" ht="25.05" customHeight="1" x14ac:dyDescent="0.25">
      <c r="A15935" s="2" t="s">
        <v>8</v>
      </c>
      <c r="B15935" s="2" t="str">
        <f>HYPERLINK("http://ts.21cn.com/tousu/show/id/1347651","上海造艺网络科技有限公司为何如此嚣张")</f>
        <v>上海造艺网络科技有限公司为何如此嚣张</v>
      </c>
      <c r="C15935" s="2" t="s">
        <v>9</v>
      </c>
      <c r="D15935" s="2" t="s">
        <v>10</v>
      </c>
      <c r="E15935" s="2" t="str">
        <f>HYPERLINK("http://ts.21cn.com/tousu/show/id/1347651","http://ts.21cn.com/tousu/show/id/1347651")</f>
        <v>http://ts.21cn.com/tousu/show/id/1347651</v>
      </c>
      <c r="F15935" s="2" t="s">
        <v>11</v>
      </c>
      <c r="G15935" s="2" t="s">
        <v>12837</v>
      </c>
      <c r="H15935" s="2" t="s">
        <v>12838</v>
      </c>
    </row>
    <row r="15936" spans="1:8" ht="25.05" customHeight="1" x14ac:dyDescent="0.25">
      <c r="A15936" s="2" t="s">
        <v>8</v>
      </c>
      <c r="B15936" s="2" t="str">
        <f>HYPERLINK("http://ts.21cn.com/tousu/show/id/1347652","洋钱罐收取不合理手续费")</f>
        <v>洋钱罐收取不合理手续费</v>
      </c>
      <c r="C15936" s="2" t="s">
        <v>34</v>
      </c>
      <c r="D15936" s="2" t="s">
        <v>10</v>
      </c>
      <c r="E15936" s="2" t="str">
        <f>HYPERLINK("http://ts.21cn.com/tousu/show/id/1347652","http://ts.21cn.com/tousu/show/id/1347652")</f>
        <v>http://ts.21cn.com/tousu/show/id/1347652</v>
      </c>
      <c r="F15936" s="2" t="s">
        <v>11</v>
      </c>
      <c r="G15936" s="2" t="s">
        <v>12835</v>
      </c>
      <c r="H15936" s="2" t="s">
        <v>12836</v>
      </c>
    </row>
    <row r="15937" spans="1:8" ht="25.05" customHeight="1" x14ac:dyDescent="0.25">
      <c r="A15937" s="2" t="s">
        <v>8</v>
      </c>
      <c r="B15937" s="2" t="str">
        <f>HYPERLINK("http://ts.21cn.com/tousu/show/id/1347653","珍爱网未履行合同，不许退款，虚假误导宣传")</f>
        <v>珍爱网未履行合同，不许退款，虚假误导宣传</v>
      </c>
      <c r="C15937" s="2" t="s">
        <v>9</v>
      </c>
      <c r="D15937" s="2" t="s">
        <v>10</v>
      </c>
      <c r="E15937" s="2" t="str">
        <f>HYPERLINK("http://ts.21cn.com/tousu/show/id/1347653","http://ts.21cn.com/tousu/show/id/1347653")</f>
        <v>http://ts.21cn.com/tousu/show/id/1347653</v>
      </c>
      <c r="F15937" s="2" t="s">
        <v>11</v>
      </c>
      <c r="G15937" s="2" t="s">
        <v>12833</v>
      </c>
      <c r="H15937" s="2" t="s">
        <v>12834</v>
      </c>
    </row>
    <row r="15938" spans="1:8" ht="25.05" customHeight="1" x14ac:dyDescent="0.25">
      <c r="A15938" s="2" t="s">
        <v>8</v>
      </c>
      <c r="B15938" s="2" t="str">
        <f>HYPERLINK("http://ts.21cn.com/tousu/show/id/1347654","催收威胁恐吓我要爆我通讯录")</f>
        <v>催收威胁恐吓我要爆我通讯录</v>
      </c>
      <c r="C15938" s="2" t="s">
        <v>9</v>
      </c>
      <c r="D15938" s="2" t="s">
        <v>10</v>
      </c>
      <c r="E15938" s="2" t="str">
        <f>HYPERLINK("http://ts.21cn.com/tousu/show/id/1347654","http://ts.21cn.com/tousu/show/id/1347654")</f>
        <v>http://ts.21cn.com/tousu/show/id/1347654</v>
      </c>
      <c r="F15938" s="2" t="s">
        <v>11</v>
      </c>
      <c r="G15938" s="2" t="s">
        <v>12831</v>
      </c>
      <c r="H15938" s="2" t="s">
        <v>12832</v>
      </c>
    </row>
    <row r="15939" spans="1:8" ht="25.05" customHeight="1" x14ac:dyDescent="0.25">
      <c r="A15939" s="2" t="s">
        <v>8</v>
      </c>
      <c r="B15939" s="2" t="str">
        <f>HYPERLINK("http://ts.21cn.com/tousu/show/id/1347655","投诉中腾信收取砍头息，高利率，暴力催收")</f>
        <v>投诉中腾信收取砍头息，高利率，暴力催收</v>
      </c>
      <c r="C15939" s="2" t="s">
        <v>9</v>
      </c>
      <c r="D15939" s="2" t="s">
        <v>10</v>
      </c>
      <c r="E15939" s="2" t="str">
        <f>HYPERLINK("http://ts.21cn.com/tousu/show/id/1347655","http://ts.21cn.com/tousu/show/id/1347655")</f>
        <v>http://ts.21cn.com/tousu/show/id/1347655</v>
      </c>
      <c r="F15939" s="2" t="s">
        <v>11</v>
      </c>
      <c r="G15939" s="2" t="s">
        <v>12829</v>
      </c>
      <c r="H15939" s="2" t="s">
        <v>12830</v>
      </c>
    </row>
    <row r="15940" spans="1:8" ht="25.05" customHeight="1" x14ac:dyDescent="0.25">
      <c r="A15940" s="2" t="s">
        <v>8</v>
      </c>
      <c r="B15940" s="2" t="str">
        <f>HYPERLINK("http://ts.21cn.com/tousu/show/id/1347657","投诉猫眼邀请新人虚假活动，商家不给推广费")</f>
        <v>投诉猫眼邀请新人虚假活动，商家不给推广费</v>
      </c>
      <c r="C15940" s="2" t="s">
        <v>9</v>
      </c>
      <c r="D15940" s="2" t="s">
        <v>10</v>
      </c>
      <c r="E15940" s="2" t="str">
        <f>HYPERLINK("http://ts.21cn.com/tousu/show/id/1347657","http://ts.21cn.com/tousu/show/id/1347657")</f>
        <v>http://ts.21cn.com/tousu/show/id/1347657</v>
      </c>
      <c r="F15940" s="2" t="s">
        <v>11</v>
      </c>
      <c r="G15940" s="2" t="s">
        <v>12827</v>
      </c>
      <c r="H15940" s="2" t="s">
        <v>12828</v>
      </c>
    </row>
    <row r="15941" spans="1:8" ht="25.05" customHeight="1" x14ac:dyDescent="0.25">
      <c r="A15941" s="2" t="s">
        <v>8</v>
      </c>
      <c r="B15941" s="2" t="str">
        <f>HYPERLINK("http://ts.21cn.com/tousu/show/id/1347658","腾讯微粒贷暴力催收")</f>
        <v>腾讯微粒贷暴力催收</v>
      </c>
      <c r="C15941" s="2" t="s">
        <v>9</v>
      </c>
      <c r="D15941" s="2" t="s">
        <v>10</v>
      </c>
      <c r="E15941" s="2" t="str">
        <f>HYPERLINK("http://ts.21cn.com/tousu/show/id/1347658","http://ts.21cn.com/tousu/show/id/1347658")</f>
        <v>http://ts.21cn.com/tousu/show/id/1347658</v>
      </c>
      <c r="F15941" s="2" t="s">
        <v>11</v>
      </c>
      <c r="G15941" s="2" t="s">
        <v>12825</v>
      </c>
      <c r="H15941" s="2" t="s">
        <v>12826</v>
      </c>
    </row>
    <row r="15942" spans="1:8" ht="25.05" customHeight="1" x14ac:dyDescent="0.25">
      <c r="A15942" s="2" t="s">
        <v>8</v>
      </c>
      <c r="B15942" s="2" t="str">
        <f>HYPERLINK("http://ts.21cn.com/tousu/show/id/1347659","投诉深圳市升学教育霸王条约不退款！")</f>
        <v>投诉深圳市升学教育霸王条约不退款！</v>
      </c>
      <c r="C15942" s="2" t="s">
        <v>9</v>
      </c>
      <c r="D15942" s="2" t="s">
        <v>10</v>
      </c>
      <c r="E15942" s="2" t="str">
        <f>HYPERLINK("http://ts.21cn.com/tousu/show/id/1347659","http://ts.21cn.com/tousu/show/id/1347659")</f>
        <v>http://ts.21cn.com/tousu/show/id/1347659</v>
      </c>
      <c r="F15942" s="2" t="s">
        <v>11</v>
      </c>
      <c r="G15942" s="2" t="s">
        <v>12823</v>
      </c>
      <c r="H15942" s="2" t="s">
        <v>12824</v>
      </c>
    </row>
    <row r="15943" spans="1:8" ht="25.05" customHeight="1" x14ac:dyDescent="0.25">
      <c r="A15943" s="2" t="s">
        <v>8</v>
      </c>
      <c r="B15943" s="2" t="str">
        <f>HYPERLINK("http://ts.21cn.com/tousu/show/id/1347660","造艺科技霸王条例")</f>
        <v>造艺科技霸王条例</v>
      </c>
      <c r="C15943" s="2" t="s">
        <v>9</v>
      </c>
      <c r="D15943" s="2" t="s">
        <v>10</v>
      </c>
      <c r="E15943" s="2" t="str">
        <f>HYPERLINK("http://ts.21cn.com/tousu/show/id/1347660","http://ts.21cn.com/tousu/show/id/1347660")</f>
        <v>http://ts.21cn.com/tousu/show/id/1347660</v>
      </c>
      <c r="F15943" s="2" t="s">
        <v>11</v>
      </c>
      <c r="G15943" s="2" t="s">
        <v>12821</v>
      </c>
      <c r="H15943" s="2" t="s">
        <v>12822</v>
      </c>
    </row>
    <row r="15944" spans="1:8" ht="25.05" customHeight="1" x14ac:dyDescent="0.25">
      <c r="A15944" s="2" t="s">
        <v>8</v>
      </c>
      <c r="B15944" s="2" t="str">
        <f>HYPERLINK("http://ts.21cn.com/tousu/show/id/1347663","北京友缘在线网络科技股份有限公司自动扣费")</f>
        <v>北京友缘在线网络科技股份有限公司自动扣费</v>
      </c>
      <c r="C15944" s="2" t="s">
        <v>9</v>
      </c>
      <c r="D15944" s="2" t="s">
        <v>10</v>
      </c>
      <c r="E15944" s="2" t="str">
        <f>HYPERLINK("http://ts.21cn.com/tousu/show/id/1347663","http://ts.21cn.com/tousu/show/id/1347663")</f>
        <v>http://ts.21cn.com/tousu/show/id/1347663</v>
      </c>
      <c r="F15944" s="2" t="s">
        <v>11</v>
      </c>
      <c r="G15944" s="2" t="s">
        <v>12819</v>
      </c>
      <c r="H15944" s="2" t="s">
        <v>12820</v>
      </c>
    </row>
    <row r="15945" spans="1:8" ht="25.05" customHeight="1" x14ac:dyDescent="0.25">
      <c r="A15945" s="2" t="s">
        <v>8</v>
      </c>
      <c r="B15945" s="2" t="str">
        <f>HYPERLINK("http://ts.21cn.com/tousu/show/id/1347667","光大银行联合快闪卡贷放高利贷")</f>
        <v>光大银行联合快闪卡贷放高利贷</v>
      </c>
      <c r="C15945" s="2" t="s">
        <v>9</v>
      </c>
      <c r="D15945" s="2" t="s">
        <v>10</v>
      </c>
      <c r="E15945" s="2" t="str">
        <f>HYPERLINK("http://ts.21cn.com/tousu/show/id/1347667","http://ts.21cn.com/tousu/show/id/1347667")</f>
        <v>http://ts.21cn.com/tousu/show/id/1347667</v>
      </c>
      <c r="F15945" s="2" t="s">
        <v>11</v>
      </c>
      <c r="G15945" s="2" t="s">
        <v>12817</v>
      </c>
      <c r="H15945" s="2" t="s">
        <v>12818</v>
      </c>
    </row>
    <row r="15946" spans="1:8" ht="25.05" customHeight="1" x14ac:dyDescent="0.25">
      <c r="A15946" s="2" t="s">
        <v>8</v>
      </c>
      <c r="B15946" s="2" t="str">
        <f>HYPERLINK("http://ts.21cn.com/tousu/show/id/1347664","网易梦幻西游手游强制消费")</f>
        <v>网易梦幻西游手游强制消费</v>
      </c>
      <c r="C15946" s="2" t="s">
        <v>9</v>
      </c>
      <c r="D15946" s="2" t="s">
        <v>10</v>
      </c>
      <c r="E15946" s="2" t="str">
        <f>HYPERLINK("http://ts.21cn.com/tousu/show/id/1347664","http://ts.21cn.com/tousu/show/id/1347664")</f>
        <v>http://ts.21cn.com/tousu/show/id/1347664</v>
      </c>
      <c r="F15946" s="2" t="s">
        <v>11</v>
      </c>
      <c r="G15946" s="2" t="s">
        <v>12815</v>
      </c>
      <c r="H15946" s="2" t="s">
        <v>12816</v>
      </c>
    </row>
    <row r="15947" spans="1:8" ht="25.05" customHeight="1" x14ac:dyDescent="0.25">
      <c r="A15947" s="2" t="s">
        <v>8</v>
      </c>
      <c r="B15947" s="2" t="str">
        <f>HYPERLINK("http://ts.21cn.com/tousu/show/id/1347665","投诉银生宝违规提供支付通道")</f>
        <v>投诉银生宝违规提供支付通道</v>
      </c>
      <c r="C15947" s="2" t="s">
        <v>9</v>
      </c>
      <c r="D15947" s="2" t="s">
        <v>10</v>
      </c>
      <c r="E15947" s="2" t="str">
        <f>HYPERLINK("http://ts.21cn.com/tousu/show/id/1347665","http://ts.21cn.com/tousu/show/id/1347665")</f>
        <v>http://ts.21cn.com/tousu/show/id/1347665</v>
      </c>
      <c r="F15947" s="2" t="s">
        <v>11</v>
      </c>
      <c r="G15947" s="2" t="s">
        <v>12813</v>
      </c>
      <c r="H15947" s="2" t="s">
        <v>12814</v>
      </c>
    </row>
    <row r="15948" spans="1:8" ht="25.05" customHeight="1" x14ac:dyDescent="0.25">
      <c r="A15948" s="2" t="s">
        <v>8</v>
      </c>
      <c r="B15948" s="2" t="str">
        <f>HYPERLINK("http://ts.21cn.com/tousu/show/id/1347666","滴滴客服恶意骚扰，从早到晚都打")</f>
        <v>滴滴客服恶意骚扰，从早到晚都打</v>
      </c>
      <c r="C15948" s="2" t="s">
        <v>9</v>
      </c>
      <c r="D15948" s="2" t="s">
        <v>10</v>
      </c>
      <c r="E15948" s="2" t="str">
        <f>HYPERLINK("http://ts.21cn.com/tousu/show/id/1347666","http://ts.21cn.com/tousu/show/id/1347666")</f>
        <v>http://ts.21cn.com/tousu/show/id/1347666</v>
      </c>
      <c r="F15948" s="2" t="s">
        <v>11</v>
      </c>
      <c r="G15948" s="2" t="s">
        <v>12811</v>
      </c>
      <c r="H15948" s="2" t="s">
        <v>12812</v>
      </c>
    </row>
    <row r="15949" spans="1:8" ht="25.05" customHeight="1" x14ac:dyDescent="0.25">
      <c r="A15949" s="2" t="s">
        <v>8</v>
      </c>
      <c r="B15949" s="2" t="str">
        <f>HYPERLINK("http://ts.21cn.com/tousu/show/id/1347668","恶意催收，诽谤诋毁")</f>
        <v>恶意催收，诽谤诋毁</v>
      </c>
      <c r="C15949" s="2" t="s">
        <v>9</v>
      </c>
      <c r="D15949" s="2" t="s">
        <v>10</v>
      </c>
      <c r="E15949" s="2" t="str">
        <f>HYPERLINK("http://ts.21cn.com/tousu/show/id/1347668","http://ts.21cn.com/tousu/show/id/1347668")</f>
        <v>http://ts.21cn.com/tousu/show/id/1347668</v>
      </c>
      <c r="F15949" s="2" t="s">
        <v>11</v>
      </c>
      <c r="G15949" s="2" t="s">
        <v>12809</v>
      </c>
      <c r="H15949" s="2" t="s">
        <v>12810</v>
      </c>
    </row>
    <row r="15950" spans="1:8" ht="25.05" customHeight="1" x14ac:dyDescent="0.25">
      <c r="A15950" s="2" t="s">
        <v>8</v>
      </c>
      <c r="B15950" s="2" t="str">
        <f>HYPERLINK("http://ts.21cn.com/tousu/show/id/1347670","无缘无故扣我钱")</f>
        <v>无缘无故扣我钱</v>
      </c>
      <c r="C15950" s="2" t="s">
        <v>9</v>
      </c>
      <c r="D15950" s="2" t="s">
        <v>10</v>
      </c>
      <c r="E15950" s="2" t="str">
        <f>HYPERLINK("http://ts.21cn.com/tousu/show/id/1347670","http://ts.21cn.com/tousu/show/id/1347670")</f>
        <v>http://ts.21cn.com/tousu/show/id/1347670</v>
      </c>
      <c r="F15950" s="2" t="s">
        <v>11</v>
      </c>
      <c r="G15950" s="2" t="s">
        <v>12807</v>
      </c>
      <c r="H15950" s="2" t="s">
        <v>12808</v>
      </c>
    </row>
    <row r="15951" spans="1:8" ht="25.05" customHeight="1" x14ac:dyDescent="0.25">
      <c r="A15951" s="2" t="s">
        <v>8</v>
      </c>
      <c r="B15951" s="2" t="str">
        <f>HYPERLINK("http://ts.21cn.com/tousu/show/id/1347669","上海欢兽电子商务有限公司旗下购物APP淘集集拖欠我69578.1元货款三个多月不给结算")</f>
        <v>上海欢兽电子商务有限公司旗下购物APP淘集集拖欠我69578.1元货款三个多月不给结算</v>
      </c>
      <c r="C15951" s="2" t="s">
        <v>9</v>
      </c>
      <c r="D15951" s="2" t="s">
        <v>10</v>
      </c>
      <c r="E15951" s="2" t="str">
        <f>HYPERLINK("http://ts.21cn.com/tousu/show/id/1347669","http://ts.21cn.com/tousu/show/id/1347669")</f>
        <v>http://ts.21cn.com/tousu/show/id/1347669</v>
      </c>
      <c r="F15951" s="2" t="s">
        <v>11</v>
      </c>
      <c r="G15951" s="2" t="s">
        <v>12805</v>
      </c>
      <c r="H15951" s="2" t="s">
        <v>12806</v>
      </c>
    </row>
    <row r="15952" spans="1:8" ht="25.05" customHeight="1" x14ac:dyDescent="0.25">
      <c r="A15952" s="2" t="s">
        <v>8</v>
      </c>
      <c r="B15952" s="2" t="str">
        <f>HYPERLINK("http://ts.21cn.com/tousu/show/id/1344324","恶意侮辱")</f>
        <v>恶意侮辱</v>
      </c>
      <c r="C15952" s="2" t="s">
        <v>9</v>
      </c>
      <c r="D15952" s="2" t="s">
        <v>10</v>
      </c>
      <c r="E15952" s="2" t="str">
        <f>HYPERLINK("http://ts.21cn.com/tousu/show/id/1344324","http://ts.21cn.com/tousu/show/id/1344324")</f>
        <v>http://ts.21cn.com/tousu/show/id/1344324</v>
      </c>
      <c r="F15952" s="2" t="s">
        <v>11</v>
      </c>
      <c r="G15952" s="2" t="s">
        <v>12803</v>
      </c>
      <c r="H15952" s="2" t="s">
        <v>12804</v>
      </c>
    </row>
    <row r="15953" spans="1:8" ht="25.05" customHeight="1" x14ac:dyDescent="0.25">
      <c r="A15953" s="2" t="s">
        <v>8</v>
      </c>
      <c r="B15953" s="2" t="str">
        <f>HYPERLINK("http://ts.21cn.com/tousu/show/id/1347672","维信卡卡贷涉嫌高利率和砍头息")</f>
        <v>维信卡卡贷涉嫌高利率和砍头息</v>
      </c>
      <c r="C15953" s="2" t="s">
        <v>9</v>
      </c>
      <c r="D15953" s="2" t="s">
        <v>10</v>
      </c>
      <c r="E15953" s="2" t="str">
        <f>HYPERLINK("http://ts.21cn.com/tousu/show/id/1347672","http://ts.21cn.com/tousu/show/id/1347672")</f>
        <v>http://ts.21cn.com/tousu/show/id/1347672</v>
      </c>
      <c r="F15953" s="2" t="s">
        <v>11</v>
      </c>
      <c r="G15953" s="2" t="s">
        <v>12801</v>
      </c>
      <c r="H15953" s="2" t="s">
        <v>12802</v>
      </c>
    </row>
    <row r="15954" spans="1:8" ht="25.05" customHeight="1" x14ac:dyDescent="0.25">
      <c r="A15954" s="2" t="s">
        <v>8</v>
      </c>
      <c r="B15954" s="2" t="str">
        <f>HYPERLINK("http://ts.21cn.com/tousu/show/id/1347671","融360平台酷卡套路贷暴力催收")</f>
        <v>融360平台酷卡套路贷暴力催收</v>
      </c>
      <c r="C15954" s="2" t="s">
        <v>9</v>
      </c>
      <c r="D15954" s="2" t="s">
        <v>10</v>
      </c>
      <c r="E15954" s="2" t="str">
        <f>HYPERLINK("http://ts.21cn.com/tousu/show/id/1347671","http://ts.21cn.com/tousu/show/id/1347671")</f>
        <v>http://ts.21cn.com/tousu/show/id/1347671</v>
      </c>
      <c r="F15954" s="2" t="s">
        <v>11</v>
      </c>
      <c r="G15954" s="2" t="s">
        <v>12799</v>
      </c>
      <c r="H15954" s="2" t="s">
        <v>12800</v>
      </c>
    </row>
    <row r="15955" spans="1:8" ht="25.05" customHeight="1" x14ac:dyDescent="0.25">
      <c r="A15955" s="2" t="s">
        <v>8</v>
      </c>
      <c r="B15955" s="2" t="str">
        <f>HYPERLINK("http://ts.21cn.com/tousu/show/id/1347675","小黑鲨高利贷套路贷")</f>
        <v>小黑鲨高利贷套路贷</v>
      </c>
      <c r="C15955" s="2" t="s">
        <v>9</v>
      </c>
      <c r="D15955" s="2" t="s">
        <v>10</v>
      </c>
      <c r="E15955" s="2" t="str">
        <f>HYPERLINK("http://ts.21cn.com/tousu/show/id/1347675","http://ts.21cn.com/tousu/show/id/1347675")</f>
        <v>http://ts.21cn.com/tousu/show/id/1347675</v>
      </c>
      <c r="F15955" s="2" t="s">
        <v>11</v>
      </c>
      <c r="G15955" s="2" t="s">
        <v>12797</v>
      </c>
      <c r="H15955" s="2" t="s">
        <v>12798</v>
      </c>
    </row>
    <row r="15956" spans="1:8" ht="25.05" customHeight="1" x14ac:dyDescent="0.25">
      <c r="A15956" s="2" t="s">
        <v>8</v>
      </c>
      <c r="B15956" s="2" t="str">
        <f>HYPERLINK("http://ts.21cn.com/tousu/show/id/1347674","霸王条款拒不退款")</f>
        <v>霸王条款拒不退款</v>
      </c>
      <c r="C15956" s="2" t="s">
        <v>9</v>
      </c>
      <c r="D15956" s="2" t="s">
        <v>10</v>
      </c>
      <c r="E15956" s="2" t="str">
        <f>HYPERLINK("http://ts.21cn.com/tousu/show/id/1347674","http://ts.21cn.com/tousu/show/id/1347674")</f>
        <v>http://ts.21cn.com/tousu/show/id/1347674</v>
      </c>
      <c r="F15956" s="2" t="s">
        <v>11</v>
      </c>
      <c r="G15956" s="2" t="s">
        <v>12795</v>
      </c>
      <c r="H15956" s="2" t="s">
        <v>12796</v>
      </c>
    </row>
    <row r="15957" spans="1:8" ht="25.05" customHeight="1" x14ac:dyDescent="0.25">
      <c r="A15957" s="2" t="s">
        <v>8</v>
      </c>
      <c r="B15957" s="2" t="str">
        <f>HYPERLINK("http://ts.21cn.com/tousu/show/id/1347623","oppo账号冻结问题")</f>
        <v>oppo账号冻结问题</v>
      </c>
      <c r="C15957" s="2" t="s">
        <v>9</v>
      </c>
      <c r="D15957" s="2" t="s">
        <v>10</v>
      </c>
      <c r="E15957" s="2" t="str">
        <f>HYPERLINK("http://ts.21cn.com/tousu/show/id/1347623","http://ts.21cn.com/tousu/show/id/1347623")</f>
        <v>http://ts.21cn.com/tousu/show/id/1347623</v>
      </c>
      <c r="F15957" s="2" t="s">
        <v>11</v>
      </c>
      <c r="G15957" s="2" t="s">
        <v>12793</v>
      </c>
      <c r="H15957" s="2" t="s">
        <v>12794</v>
      </c>
    </row>
    <row r="15958" spans="1:8" ht="25.05" customHeight="1" x14ac:dyDescent="0.25">
      <c r="A15958" s="2" t="s">
        <v>8</v>
      </c>
      <c r="B15958" s="2" t="str">
        <f>HYPERLINK("http://ts.21cn.com/tousu/show/id/1347677","结束暴力催收")</f>
        <v>结束暴力催收</v>
      </c>
      <c r="C15958" s="2" t="s">
        <v>9</v>
      </c>
      <c r="D15958" s="2" t="s">
        <v>10</v>
      </c>
      <c r="E15958" s="2" t="str">
        <f>HYPERLINK("http://ts.21cn.com/tousu/show/id/1347677","http://ts.21cn.com/tousu/show/id/1347677")</f>
        <v>http://ts.21cn.com/tousu/show/id/1347677</v>
      </c>
      <c r="F15958" s="2" t="s">
        <v>11</v>
      </c>
      <c r="G15958" s="2" t="s">
        <v>12791</v>
      </c>
      <c r="H15958" s="2" t="s">
        <v>12792</v>
      </c>
    </row>
    <row r="15959" spans="1:8" ht="25.05" customHeight="1" x14ac:dyDescent="0.25">
      <c r="A15959" s="2" t="s">
        <v>8</v>
      </c>
      <c r="B15959" s="2" t="str">
        <f>HYPERLINK("http://ts.21cn.com/tousu/show/id/1347679","钱站高利贷阴阳合同")</f>
        <v>钱站高利贷阴阳合同</v>
      </c>
      <c r="C15959" s="2" t="s">
        <v>9</v>
      </c>
      <c r="D15959" s="2" t="s">
        <v>10</v>
      </c>
      <c r="E15959" s="2" t="str">
        <f>HYPERLINK("http://ts.21cn.com/tousu/show/id/1347679","http://ts.21cn.com/tousu/show/id/1347679")</f>
        <v>http://ts.21cn.com/tousu/show/id/1347679</v>
      </c>
      <c r="F15959" s="2" t="s">
        <v>11</v>
      </c>
      <c r="G15959" s="2" t="s">
        <v>12789</v>
      </c>
      <c r="H15959" s="2" t="s">
        <v>12790</v>
      </c>
    </row>
    <row r="15960" spans="1:8" ht="25.05" customHeight="1" x14ac:dyDescent="0.25">
      <c r="A15960" s="2" t="s">
        <v>8</v>
      </c>
      <c r="B15960" s="2" t="str">
        <f>HYPERLINK("http://ts.21cn.com/tousu/show/id/1347678","点点借款平台暴力催收恐吓威胁恶意拨打通讯录电话")</f>
        <v>点点借款平台暴力催收恐吓威胁恶意拨打通讯录电话</v>
      </c>
      <c r="C15960" s="2" t="s">
        <v>9</v>
      </c>
      <c r="D15960" s="2" t="s">
        <v>10</v>
      </c>
      <c r="E15960" s="2" t="str">
        <f>HYPERLINK("http://ts.21cn.com/tousu/show/id/1347678","http://ts.21cn.com/tousu/show/id/1347678")</f>
        <v>http://ts.21cn.com/tousu/show/id/1347678</v>
      </c>
      <c r="F15960" s="2" t="s">
        <v>11</v>
      </c>
      <c r="G15960" s="2" t="s">
        <v>12787</v>
      </c>
      <c r="H15960" s="2" t="s">
        <v>12788</v>
      </c>
    </row>
    <row r="15961" spans="1:8" ht="25.05" customHeight="1" x14ac:dyDescent="0.25">
      <c r="A15961" s="2" t="s">
        <v>8</v>
      </c>
      <c r="B15961" s="2" t="str">
        <f>HYPERLINK("http://ts.21cn.com/tousu/show/id/1347680","退还砍头息")</f>
        <v>退还砍头息</v>
      </c>
      <c r="C15961" s="2" t="s">
        <v>34</v>
      </c>
      <c r="D15961" s="2" t="s">
        <v>10</v>
      </c>
      <c r="E15961" s="2" t="str">
        <f>HYPERLINK("http://ts.21cn.com/tousu/show/id/1347680","http://ts.21cn.com/tousu/show/id/1347680")</f>
        <v>http://ts.21cn.com/tousu/show/id/1347680</v>
      </c>
      <c r="F15961" s="2" t="s">
        <v>11</v>
      </c>
      <c r="G15961" s="2" t="s">
        <v>12784</v>
      </c>
      <c r="H15961" s="2" t="s">
        <v>12785</v>
      </c>
    </row>
    <row r="15962" spans="1:8" ht="25.05" customHeight="1" x14ac:dyDescent="0.25">
      <c r="A15962" s="2" t="s">
        <v>8</v>
      </c>
      <c r="B15962" s="2" t="str">
        <f>HYPERLINK("http://ts.21cn.com/tousu/show/id/1347681","捷信本金已还清利息太高要求减免")</f>
        <v>捷信本金已还清利息太高要求减免</v>
      </c>
      <c r="C15962" s="2" t="s">
        <v>34</v>
      </c>
      <c r="D15962" s="2" t="s">
        <v>10</v>
      </c>
      <c r="E15962" s="2" t="str">
        <f>HYPERLINK("http://ts.21cn.com/tousu/show/id/1347681","http://ts.21cn.com/tousu/show/id/1347681")</f>
        <v>http://ts.21cn.com/tousu/show/id/1347681</v>
      </c>
      <c r="F15962" s="2" t="s">
        <v>11</v>
      </c>
      <c r="G15962" s="2" t="s">
        <v>12784</v>
      </c>
      <c r="H15962" s="2" t="s">
        <v>12786</v>
      </c>
    </row>
    <row r="15963" spans="1:8" ht="25.05" customHeight="1" x14ac:dyDescent="0.25">
      <c r="A15963" s="2" t="s">
        <v>8</v>
      </c>
      <c r="B15963" s="2" t="str">
        <f>HYPERLINK("http://ts.21cn.com/tousu/show/id/1347682","看不到贷款合同，放款金额与贷款金不符！")</f>
        <v>看不到贷款合同，放款金额与贷款金不符！</v>
      </c>
      <c r="C15963" s="2" t="s">
        <v>34</v>
      </c>
      <c r="D15963" s="2" t="s">
        <v>10</v>
      </c>
      <c r="E15963" s="2" t="str">
        <f>HYPERLINK("http://ts.21cn.com/tousu/show/id/1347682","http://ts.21cn.com/tousu/show/id/1347682")</f>
        <v>http://ts.21cn.com/tousu/show/id/1347682</v>
      </c>
      <c r="F15963" s="2" t="s">
        <v>11</v>
      </c>
      <c r="G15963" s="2" t="s">
        <v>12782</v>
      </c>
      <c r="H15963" s="2" t="s">
        <v>12783</v>
      </c>
    </row>
    <row r="15964" spans="1:8" ht="25.05" customHeight="1" x14ac:dyDescent="0.25">
      <c r="A15964" s="2" t="s">
        <v>8</v>
      </c>
      <c r="B15964" s="2" t="str">
        <f>HYPERLINK("http://ts.21cn.com/tousu/show/id/1347683","暴力催收，威胁上门")</f>
        <v>暴力催收，威胁上门</v>
      </c>
      <c r="C15964" s="2" t="s">
        <v>9</v>
      </c>
      <c r="D15964" s="2" t="s">
        <v>10</v>
      </c>
      <c r="E15964" s="2" t="str">
        <f>HYPERLINK("http://ts.21cn.com/tousu/show/id/1347683","http://ts.21cn.com/tousu/show/id/1347683")</f>
        <v>http://ts.21cn.com/tousu/show/id/1347683</v>
      </c>
      <c r="F15964" s="2" t="s">
        <v>11</v>
      </c>
      <c r="G15964" s="2" t="s">
        <v>12780</v>
      </c>
      <c r="H15964" s="2" t="s">
        <v>12781</v>
      </c>
    </row>
    <row r="15965" spans="1:8" ht="25.05" customHeight="1" x14ac:dyDescent="0.25">
      <c r="A15965" s="2" t="s">
        <v>8</v>
      </c>
      <c r="B15965" s="2" t="str">
        <f>HYPERLINK("http://ts.21cn.com/tousu/show/id/1347686","通联支付为违规商户提供支付渠道")</f>
        <v>通联支付为违规商户提供支付渠道</v>
      </c>
      <c r="C15965" s="2" t="s">
        <v>9</v>
      </c>
      <c r="D15965" s="2" t="s">
        <v>10</v>
      </c>
      <c r="E15965" s="2" t="str">
        <f>HYPERLINK("http://ts.21cn.com/tousu/show/id/1347686","http://ts.21cn.com/tousu/show/id/1347686")</f>
        <v>http://ts.21cn.com/tousu/show/id/1347686</v>
      </c>
      <c r="F15965" s="2" t="s">
        <v>11</v>
      </c>
      <c r="G15965" s="2" t="s">
        <v>12778</v>
      </c>
      <c r="H15965" s="2" t="s">
        <v>12779</v>
      </c>
    </row>
    <row r="15966" spans="1:8" ht="25.05" customHeight="1" x14ac:dyDescent="0.25">
      <c r="A15966" s="2" t="s">
        <v>8</v>
      </c>
      <c r="B15966" s="2" t="str">
        <f>HYPERLINK("http://ts.21cn.com/tousu/show/id/1347688","猫眼app搞虚假活动")</f>
        <v>猫眼app搞虚假活动</v>
      </c>
      <c r="C15966" s="2" t="s">
        <v>9</v>
      </c>
      <c r="D15966" s="2" t="s">
        <v>10</v>
      </c>
      <c r="E15966" s="2" t="str">
        <f>HYPERLINK("http://ts.21cn.com/tousu/show/id/1347688","http://ts.21cn.com/tousu/show/id/1347688")</f>
        <v>http://ts.21cn.com/tousu/show/id/1347688</v>
      </c>
      <c r="F15966" s="2" t="s">
        <v>11</v>
      </c>
      <c r="G15966" s="2" t="s">
        <v>12776</v>
      </c>
      <c r="H15966" s="2" t="s">
        <v>12777</v>
      </c>
    </row>
    <row r="15967" spans="1:8" ht="25.05" customHeight="1" x14ac:dyDescent="0.25">
      <c r="A15967" s="2" t="s">
        <v>8</v>
      </c>
      <c r="B15967" s="2" t="str">
        <f>HYPERLINK("http://ts.21cn.com/tousu/show/id/1347687","自由魔卡六便士变相砍头息")</f>
        <v>自由魔卡六便士变相砍头息</v>
      </c>
      <c r="C15967" s="2" t="s">
        <v>9</v>
      </c>
      <c r="D15967" s="2" t="s">
        <v>10</v>
      </c>
      <c r="E15967" s="2" t="str">
        <f>HYPERLINK("http://ts.21cn.com/tousu/show/id/1347687","http://ts.21cn.com/tousu/show/id/1347687")</f>
        <v>http://ts.21cn.com/tousu/show/id/1347687</v>
      </c>
      <c r="F15967" s="2" t="s">
        <v>11</v>
      </c>
      <c r="G15967" s="2" t="s">
        <v>12774</v>
      </c>
      <c r="H15967" s="2" t="s">
        <v>12775</v>
      </c>
    </row>
    <row r="15968" spans="1:8" ht="25.05" customHeight="1" x14ac:dyDescent="0.25">
      <c r="A15968" s="2" t="s">
        <v>8</v>
      </c>
      <c r="B15968" s="2" t="str">
        <f>HYPERLINK("http://ts.21cn.com/tousu/show/id/1347690","平安普惠催款人员态度极其恶劣，还要连续公司家人等")</f>
        <v>平安普惠催款人员态度极其恶劣，还要连续公司家人等</v>
      </c>
      <c r="C15968" s="2" t="s">
        <v>9</v>
      </c>
      <c r="D15968" s="2" t="s">
        <v>10</v>
      </c>
      <c r="E15968" s="2" t="str">
        <f>HYPERLINK("http://ts.21cn.com/tousu/show/id/1347690","http://ts.21cn.com/tousu/show/id/1347690")</f>
        <v>http://ts.21cn.com/tousu/show/id/1347690</v>
      </c>
      <c r="F15968" s="2" t="s">
        <v>11</v>
      </c>
      <c r="G15968" s="2" t="s">
        <v>12772</v>
      </c>
      <c r="H15968" s="2" t="s">
        <v>12773</v>
      </c>
    </row>
    <row r="15969" spans="1:8" ht="25.05" customHeight="1" x14ac:dyDescent="0.25">
      <c r="A15969" s="2" t="s">
        <v>8</v>
      </c>
      <c r="B15969" s="2" t="str">
        <f>HYPERLINK("http://ts.21cn.com/tousu/show/id/1347692","雇佣不明身份人士对家人进行骚扰恐吓")</f>
        <v>雇佣不明身份人士对家人进行骚扰恐吓</v>
      </c>
      <c r="C15969" s="2" t="s">
        <v>9</v>
      </c>
      <c r="D15969" s="2" t="s">
        <v>10</v>
      </c>
      <c r="E15969" s="2" t="str">
        <f>HYPERLINK("http://ts.21cn.com/tousu/show/id/1347692","http://ts.21cn.com/tousu/show/id/1347692")</f>
        <v>http://ts.21cn.com/tousu/show/id/1347692</v>
      </c>
      <c r="F15969" s="2" t="s">
        <v>11</v>
      </c>
      <c r="G15969" s="2" t="s">
        <v>12770</v>
      </c>
      <c r="H15969" s="2" t="s">
        <v>12771</v>
      </c>
    </row>
    <row r="15970" spans="1:8" ht="25.05" customHeight="1" x14ac:dyDescent="0.25">
      <c r="A15970" s="2" t="s">
        <v>8</v>
      </c>
      <c r="B15970" s="2" t="str">
        <f>HYPERLINK("http://ts.21cn.com/tousu/show/id/1347689","钱站高利贷阴阳合同")</f>
        <v>钱站高利贷阴阳合同</v>
      </c>
      <c r="C15970" s="2" t="s">
        <v>9</v>
      </c>
      <c r="D15970" s="2" t="s">
        <v>10</v>
      </c>
      <c r="E15970" s="2" t="str">
        <f>HYPERLINK("http://ts.21cn.com/tousu/show/id/1347689","http://ts.21cn.com/tousu/show/id/1347689")</f>
        <v>http://ts.21cn.com/tousu/show/id/1347689</v>
      </c>
      <c r="F15970" s="2" t="s">
        <v>11</v>
      </c>
      <c r="G15970" s="2" t="s">
        <v>12768</v>
      </c>
      <c r="H15970" s="2" t="s">
        <v>12769</v>
      </c>
    </row>
    <row r="15971" spans="1:8" ht="25.05" customHeight="1" x14ac:dyDescent="0.25">
      <c r="A15971" s="2" t="s">
        <v>8</v>
      </c>
      <c r="B15971" s="2" t="str">
        <f>HYPERLINK("http://ts.21cn.com/tousu/show/id/1347691","招联金融威胁")</f>
        <v>招联金融威胁</v>
      </c>
      <c r="C15971" s="2" t="s">
        <v>9</v>
      </c>
      <c r="D15971" s="2" t="s">
        <v>10</v>
      </c>
      <c r="E15971" s="2" t="str">
        <f>HYPERLINK("http://ts.21cn.com/tousu/show/id/1347691","http://ts.21cn.com/tousu/show/id/1347691")</f>
        <v>http://ts.21cn.com/tousu/show/id/1347691</v>
      </c>
      <c r="F15971" s="2" t="s">
        <v>11</v>
      </c>
      <c r="G15971" s="2" t="s">
        <v>12766</v>
      </c>
      <c r="H15971" s="2" t="s">
        <v>12767</v>
      </c>
    </row>
    <row r="15972" spans="1:8" ht="25.05" customHeight="1" x14ac:dyDescent="0.25">
      <c r="A15972" s="2" t="s">
        <v>8</v>
      </c>
      <c r="B15972" s="2" t="str">
        <f>HYPERLINK("http://ts.21cn.com/tousu/show/id/1347693","畅捷支付pos机不退押金")</f>
        <v>畅捷支付pos机不退押金</v>
      </c>
      <c r="C15972" s="2" t="s">
        <v>9</v>
      </c>
      <c r="D15972" s="2" t="s">
        <v>10</v>
      </c>
      <c r="E15972" s="2" t="str">
        <f>HYPERLINK("http://ts.21cn.com/tousu/show/id/1347693","http://ts.21cn.com/tousu/show/id/1347693")</f>
        <v>http://ts.21cn.com/tousu/show/id/1347693</v>
      </c>
      <c r="F15972" s="2" t="s">
        <v>11</v>
      </c>
      <c r="G15972" s="2" t="s">
        <v>12764</v>
      </c>
      <c r="H15972" s="2" t="s">
        <v>12765</v>
      </c>
    </row>
    <row r="15973" spans="1:8" ht="25.05" customHeight="1" x14ac:dyDescent="0.25">
      <c r="A15973" s="2" t="s">
        <v>8</v>
      </c>
      <c r="B15973" s="2" t="str">
        <f>HYPERLINK("http://ts.21cn.com/tousu/show/id/1347695","升学教育机构不退款")</f>
        <v>升学教育机构不退款</v>
      </c>
      <c r="C15973" s="2" t="s">
        <v>9</v>
      </c>
      <c r="D15973" s="2" t="s">
        <v>10</v>
      </c>
      <c r="E15973" s="2" t="str">
        <f>HYPERLINK("http://ts.21cn.com/tousu/show/id/1347695","http://ts.21cn.com/tousu/show/id/1347695")</f>
        <v>http://ts.21cn.com/tousu/show/id/1347695</v>
      </c>
      <c r="F15973" s="2" t="s">
        <v>11</v>
      </c>
      <c r="G15973" s="2" t="s">
        <v>12762</v>
      </c>
      <c r="H15973" s="2" t="s">
        <v>12763</v>
      </c>
    </row>
    <row r="15974" spans="1:8" ht="25.05" customHeight="1" x14ac:dyDescent="0.25">
      <c r="A15974" s="2" t="s">
        <v>8</v>
      </c>
      <c r="B15974" s="2" t="str">
        <f>HYPERLINK("http://ts.21cn.com/tousu/show/id/1347661","向钱进发短信欠款")</f>
        <v>向钱进发短信欠款</v>
      </c>
      <c r="C15974" s="2" t="s">
        <v>9</v>
      </c>
      <c r="D15974" s="2" t="s">
        <v>10</v>
      </c>
      <c r="E15974" s="2" t="str">
        <f>HYPERLINK("http://ts.21cn.com/tousu/show/id/1347661","http://ts.21cn.com/tousu/show/id/1347661")</f>
        <v>http://ts.21cn.com/tousu/show/id/1347661</v>
      </c>
      <c r="F15974" s="2" t="s">
        <v>11</v>
      </c>
      <c r="G15974" s="2" t="s">
        <v>12760</v>
      </c>
      <c r="H15974" s="2" t="s">
        <v>12761</v>
      </c>
    </row>
    <row r="15975" spans="1:8" ht="25.05" customHeight="1" x14ac:dyDescent="0.25">
      <c r="A15975" s="2" t="s">
        <v>8</v>
      </c>
      <c r="B15975" s="2" t="str">
        <f>HYPERLINK("http://ts.21cn.com/tousu/show/id/1347697","高额度违约金")</f>
        <v>高额度违约金</v>
      </c>
      <c r="C15975" s="2" t="s">
        <v>9</v>
      </c>
      <c r="D15975" s="2" t="s">
        <v>10</v>
      </c>
      <c r="E15975" s="2" t="str">
        <f>HYPERLINK("http://ts.21cn.com/tousu/show/id/1347697","http://ts.21cn.com/tousu/show/id/1347697")</f>
        <v>http://ts.21cn.com/tousu/show/id/1347697</v>
      </c>
      <c r="F15975" s="2" t="s">
        <v>11</v>
      </c>
      <c r="G15975" s="2" t="s">
        <v>12758</v>
      </c>
      <c r="H15975" s="2" t="s">
        <v>12759</v>
      </c>
    </row>
    <row r="15976" spans="1:8" ht="25.05" customHeight="1" x14ac:dyDescent="0.25">
      <c r="A15976" s="2" t="s">
        <v>8</v>
      </c>
      <c r="B15976" s="2" t="str">
        <f>HYPERLINK("http://ts.21cn.com/tousu/show/id/1347698","你我金融恐吓我")</f>
        <v>你我金融恐吓我</v>
      </c>
      <c r="C15976" s="2" t="s">
        <v>9</v>
      </c>
      <c r="D15976" s="2" t="s">
        <v>10</v>
      </c>
      <c r="E15976" s="2" t="str">
        <f>HYPERLINK("http://ts.21cn.com/tousu/show/id/1347698","http://ts.21cn.com/tousu/show/id/1347698")</f>
        <v>http://ts.21cn.com/tousu/show/id/1347698</v>
      </c>
      <c r="F15976" s="2" t="s">
        <v>11</v>
      </c>
      <c r="G15976" s="2" t="s">
        <v>12756</v>
      </c>
      <c r="H15976" s="2" t="s">
        <v>12757</v>
      </c>
    </row>
    <row r="15977" spans="1:8" ht="25.05" customHeight="1" x14ac:dyDescent="0.25">
      <c r="A15977" s="2" t="s">
        <v>8</v>
      </c>
      <c r="B15977" s="2" t="str">
        <f>HYPERLINK("http://ts.21cn.com/tousu/show/id/1347699","投诉淘宝网自然堂旗舰店加入会员得礼盒的虚假活动，存在套取客户资料信息")</f>
        <v>投诉淘宝网自然堂旗舰店加入会员得礼盒的虚假活动，存在套取客户资料信息</v>
      </c>
      <c r="C15977" s="2" t="s">
        <v>9</v>
      </c>
      <c r="D15977" s="2" t="s">
        <v>10</v>
      </c>
      <c r="E15977" s="2" t="str">
        <f>HYPERLINK("http://ts.21cn.com/tousu/show/id/1347699","http://ts.21cn.com/tousu/show/id/1347699")</f>
        <v>http://ts.21cn.com/tousu/show/id/1347699</v>
      </c>
      <c r="F15977" s="2" t="s">
        <v>11</v>
      </c>
      <c r="G15977" s="2" t="s">
        <v>12754</v>
      </c>
      <c r="H15977" s="2" t="s">
        <v>12755</v>
      </c>
    </row>
    <row r="15978" spans="1:8" ht="25.05" customHeight="1" x14ac:dyDescent="0.25">
      <c r="A15978" s="2" t="s">
        <v>8</v>
      </c>
      <c r="B15978" s="2" t="str">
        <f>HYPERLINK("http://ts.21cn.com/tousu/show/id/1347700","黑心中介匠寓恶意克扣押金")</f>
        <v>黑心中介匠寓恶意克扣押金</v>
      </c>
      <c r="C15978" s="2" t="s">
        <v>9</v>
      </c>
      <c r="D15978" s="2" t="s">
        <v>10</v>
      </c>
      <c r="E15978" s="2" t="str">
        <f>HYPERLINK("http://ts.21cn.com/tousu/show/id/1347700","http://ts.21cn.com/tousu/show/id/1347700")</f>
        <v>http://ts.21cn.com/tousu/show/id/1347700</v>
      </c>
      <c r="F15978" s="2" t="s">
        <v>11</v>
      </c>
      <c r="G15978" s="2" t="s">
        <v>12752</v>
      </c>
      <c r="H15978" s="2" t="s">
        <v>12753</v>
      </c>
    </row>
    <row r="15979" spans="1:8" ht="25.05" customHeight="1" x14ac:dyDescent="0.25">
      <c r="A15979" s="2" t="s">
        <v>8</v>
      </c>
      <c r="B15979" s="2" t="str">
        <f>HYPERLINK("http://ts.21cn.com/tousu/show/id/1347701","骚扰短信")</f>
        <v>骚扰短信</v>
      </c>
      <c r="C15979" s="2" t="s">
        <v>9</v>
      </c>
      <c r="D15979" s="2" t="s">
        <v>10</v>
      </c>
      <c r="E15979" s="2" t="str">
        <f>HYPERLINK("http://ts.21cn.com/tousu/show/id/1347701","http://ts.21cn.com/tousu/show/id/1347701")</f>
        <v>http://ts.21cn.com/tousu/show/id/1347701</v>
      </c>
      <c r="F15979" s="2" t="s">
        <v>11</v>
      </c>
      <c r="G15979" s="2" t="s">
        <v>12750</v>
      </c>
      <c r="H15979" s="2" t="s">
        <v>12751</v>
      </c>
    </row>
    <row r="15980" spans="1:8" ht="25.05" customHeight="1" x14ac:dyDescent="0.25">
      <c r="A15980" s="2" t="s">
        <v>8</v>
      </c>
      <c r="B15980" s="2" t="str">
        <f>HYPERLINK("http://ts.21cn.com/tousu/show/id/1347702","玖富万卡，恶意仲裁，湛江委员会")</f>
        <v>玖富万卡，恶意仲裁，湛江委员会</v>
      </c>
      <c r="C15980" s="2" t="s">
        <v>9</v>
      </c>
      <c r="D15980" s="2" t="s">
        <v>10</v>
      </c>
      <c r="E15980" s="2" t="str">
        <f>HYPERLINK("http://ts.21cn.com/tousu/show/id/1347702","http://ts.21cn.com/tousu/show/id/1347702")</f>
        <v>http://ts.21cn.com/tousu/show/id/1347702</v>
      </c>
      <c r="F15980" s="2" t="s">
        <v>11</v>
      </c>
      <c r="G15980" s="2" t="s">
        <v>12748</v>
      </c>
      <c r="H15980" s="2" t="s">
        <v>12749</v>
      </c>
    </row>
    <row r="15981" spans="1:8" ht="25.05" customHeight="1" x14ac:dyDescent="0.25">
      <c r="A15981" s="2" t="s">
        <v>8</v>
      </c>
      <c r="B15981" s="2" t="str">
        <f>HYPERLINK("http://ts.21cn.com/tousu/show/id/1347704","上海瀚银")</f>
        <v>上海瀚银</v>
      </c>
      <c r="C15981" s="2" t="s">
        <v>9</v>
      </c>
      <c r="D15981" s="2" t="s">
        <v>10</v>
      </c>
      <c r="E15981" s="2" t="str">
        <f>HYPERLINK("http://ts.21cn.com/tousu/show/id/1347704","http://ts.21cn.com/tousu/show/id/1347704")</f>
        <v>http://ts.21cn.com/tousu/show/id/1347704</v>
      </c>
      <c r="F15981" s="2" t="s">
        <v>11</v>
      </c>
      <c r="G15981" s="2" t="s">
        <v>12746</v>
      </c>
      <c r="H15981" s="2" t="s">
        <v>12747</v>
      </c>
    </row>
    <row r="15982" spans="1:8" ht="25.05" customHeight="1" x14ac:dyDescent="0.25">
      <c r="A15982" s="2" t="s">
        <v>8</v>
      </c>
      <c r="B15982" s="2" t="str">
        <f>HYPERLINK("http://ts.21cn.com/tousu/show/id/1347705","小牛科技狼狈为奸")</f>
        <v>小牛科技狼狈为奸</v>
      </c>
      <c r="C15982" s="2" t="s">
        <v>9</v>
      </c>
      <c r="D15982" s="2" t="s">
        <v>10</v>
      </c>
      <c r="E15982" s="2" t="str">
        <f>HYPERLINK("http://ts.21cn.com/tousu/show/id/1347705","http://ts.21cn.com/tousu/show/id/1347705")</f>
        <v>http://ts.21cn.com/tousu/show/id/1347705</v>
      </c>
      <c r="F15982" s="2" t="s">
        <v>11</v>
      </c>
      <c r="G15982" s="2" t="s">
        <v>12744</v>
      </c>
      <c r="H15982" s="2" t="s">
        <v>12745</v>
      </c>
    </row>
    <row r="15983" spans="1:8" ht="25.05" customHeight="1" x14ac:dyDescent="0.25">
      <c r="A15983" s="2" t="s">
        <v>8</v>
      </c>
      <c r="B15983" s="2" t="str">
        <f>HYPERLINK("http://ts.21cn.com/tousu/show/id/1347707","现金巴士协商还款")</f>
        <v>现金巴士协商还款</v>
      </c>
      <c r="C15983" s="2" t="s">
        <v>9</v>
      </c>
      <c r="D15983" s="2" t="s">
        <v>10</v>
      </c>
      <c r="E15983" s="2" t="str">
        <f>HYPERLINK("http://ts.21cn.com/tousu/show/id/1347707","http://ts.21cn.com/tousu/show/id/1347707")</f>
        <v>http://ts.21cn.com/tousu/show/id/1347707</v>
      </c>
      <c r="F15983" s="2" t="s">
        <v>11</v>
      </c>
      <c r="G15983" s="2" t="s">
        <v>12742</v>
      </c>
      <c r="H15983" s="2" t="s">
        <v>12743</v>
      </c>
    </row>
    <row r="15984" spans="1:8" ht="25.05" customHeight="1" x14ac:dyDescent="0.25">
      <c r="A15984" s="2" t="s">
        <v>8</v>
      </c>
      <c r="B15984" s="2" t="str">
        <f>HYPERLINK("http://ts.21cn.com/tousu/show/id/1347708","花转转利息太高，我已走投无路")</f>
        <v>花转转利息太高，我已走投无路</v>
      </c>
      <c r="C15984" s="2" t="s">
        <v>9</v>
      </c>
      <c r="D15984" s="2" t="s">
        <v>10</v>
      </c>
      <c r="E15984" s="2" t="str">
        <f>HYPERLINK("http://ts.21cn.com/tousu/show/id/1347708","http://ts.21cn.com/tousu/show/id/1347708")</f>
        <v>http://ts.21cn.com/tousu/show/id/1347708</v>
      </c>
      <c r="F15984" s="2" t="s">
        <v>11</v>
      </c>
      <c r="G15984" s="2" t="s">
        <v>12740</v>
      </c>
      <c r="H15984" s="2" t="s">
        <v>12741</v>
      </c>
    </row>
    <row r="15985" spans="1:8" ht="25.05" customHeight="1" x14ac:dyDescent="0.25">
      <c r="A15985" s="2" t="s">
        <v>8</v>
      </c>
      <c r="B15985" s="2" t="str">
        <f>HYPERLINK("http://ts.21cn.com/tousu/show/id/1347673","畅金服务恶劣行为")</f>
        <v>畅金服务恶劣行为</v>
      </c>
      <c r="C15985" s="2" t="s">
        <v>9</v>
      </c>
      <c r="D15985" s="2" t="s">
        <v>10</v>
      </c>
      <c r="E15985" s="2" t="str">
        <f>HYPERLINK("http://ts.21cn.com/tousu/show/id/1347673","http://ts.21cn.com/tousu/show/id/1347673")</f>
        <v>http://ts.21cn.com/tousu/show/id/1347673</v>
      </c>
      <c r="F15985" s="2" t="s">
        <v>11</v>
      </c>
      <c r="G15985" s="2" t="s">
        <v>12738</v>
      </c>
      <c r="H15985" s="2" t="s">
        <v>12739</v>
      </c>
    </row>
    <row r="15986" spans="1:8" ht="25.05" customHeight="1" x14ac:dyDescent="0.25">
      <c r="A15986" s="2" t="s">
        <v>8</v>
      </c>
      <c r="B15986" s="2" t="str">
        <f>HYPERLINK("http://ts.21cn.com/tousu/show/id/1347712","恶意催收骚扰通讯录")</f>
        <v>恶意催收骚扰通讯录</v>
      </c>
      <c r="C15986" s="2" t="s">
        <v>9</v>
      </c>
      <c r="D15986" s="2" t="s">
        <v>10</v>
      </c>
      <c r="E15986" s="2" t="str">
        <f>HYPERLINK("http://ts.21cn.com/tousu/show/id/1347712","http://ts.21cn.com/tousu/show/id/1347712")</f>
        <v>http://ts.21cn.com/tousu/show/id/1347712</v>
      </c>
      <c r="F15986" s="2" t="s">
        <v>11</v>
      </c>
      <c r="G15986" s="2" t="s">
        <v>12736</v>
      </c>
      <c r="H15986" s="2" t="s">
        <v>12737</v>
      </c>
    </row>
    <row r="15987" spans="1:8" ht="25.05" customHeight="1" x14ac:dyDescent="0.25">
      <c r="A15987" s="2" t="s">
        <v>8</v>
      </c>
      <c r="B15987" s="2" t="str">
        <f>HYPERLINK("http://ts.21cn.com/tousu/show/id/1347711","中邮消费金融要起诉我")</f>
        <v>中邮消费金融要起诉我</v>
      </c>
      <c r="C15987" s="2" t="s">
        <v>9</v>
      </c>
      <c r="D15987" s="2" t="s">
        <v>10</v>
      </c>
      <c r="E15987" s="2" t="str">
        <f>HYPERLINK("http://ts.21cn.com/tousu/show/id/1347711","http://ts.21cn.com/tousu/show/id/1347711")</f>
        <v>http://ts.21cn.com/tousu/show/id/1347711</v>
      </c>
      <c r="F15987" s="2" t="s">
        <v>11</v>
      </c>
      <c r="G15987" s="2" t="s">
        <v>12734</v>
      </c>
      <c r="H15987" s="2" t="s">
        <v>12735</v>
      </c>
    </row>
    <row r="15988" spans="1:8" ht="25.05" customHeight="1" x14ac:dyDescent="0.25">
      <c r="A15988" s="2" t="s">
        <v>8</v>
      </c>
      <c r="B15988" s="2" t="str">
        <f>HYPERLINK("http://ts.21cn.com/tousu/show/id/1347710","钱伴高利贷")</f>
        <v>钱伴高利贷</v>
      </c>
      <c r="C15988" s="2" t="s">
        <v>9</v>
      </c>
      <c r="D15988" s="2" t="s">
        <v>10</v>
      </c>
      <c r="E15988" s="2" t="str">
        <f>HYPERLINK("http://ts.21cn.com/tousu/show/id/1347710","http://ts.21cn.com/tousu/show/id/1347710")</f>
        <v>http://ts.21cn.com/tousu/show/id/1347710</v>
      </c>
      <c r="F15988" s="2" t="s">
        <v>11</v>
      </c>
      <c r="G15988" s="2" t="s">
        <v>12731</v>
      </c>
      <c r="H15988" s="2" t="s">
        <v>12732</v>
      </c>
    </row>
    <row r="15989" spans="1:8" ht="25.05" customHeight="1" x14ac:dyDescent="0.25">
      <c r="A15989" s="2" t="s">
        <v>8</v>
      </c>
      <c r="B15989" s="2" t="str">
        <f>HYPERLINK("http://ts.21cn.com/tousu/show/id/1347709","不支付保费、服务费不让我还款")</f>
        <v>不支付保费、服务费不让我还款</v>
      </c>
      <c r="C15989" s="2" t="s">
        <v>9</v>
      </c>
      <c r="D15989" s="2" t="s">
        <v>10</v>
      </c>
      <c r="E15989" s="2" t="str">
        <f>HYPERLINK("http://ts.21cn.com/tousu/show/id/1347709","http://ts.21cn.com/tousu/show/id/1347709")</f>
        <v>http://ts.21cn.com/tousu/show/id/1347709</v>
      </c>
      <c r="F15989" s="2" t="s">
        <v>11</v>
      </c>
      <c r="G15989" s="2" t="s">
        <v>12731</v>
      </c>
      <c r="H15989" s="2" t="s">
        <v>12733</v>
      </c>
    </row>
    <row r="15990" spans="1:8" ht="25.05" customHeight="1" x14ac:dyDescent="0.25">
      <c r="A15990" s="2" t="s">
        <v>8</v>
      </c>
      <c r="B15990" s="2" t="str">
        <f>HYPERLINK("http://ts.21cn.com/tousu/show/id/1347713","利息超出国家规定的合法利息")</f>
        <v>利息超出国家规定的合法利息</v>
      </c>
      <c r="C15990" s="2" t="s">
        <v>9</v>
      </c>
      <c r="D15990" s="2" t="s">
        <v>10</v>
      </c>
      <c r="E15990" s="2" t="str">
        <f>HYPERLINK("http://ts.21cn.com/tousu/show/id/1347713","http://ts.21cn.com/tousu/show/id/1347713")</f>
        <v>http://ts.21cn.com/tousu/show/id/1347713</v>
      </c>
      <c r="F15990" s="2" t="s">
        <v>11</v>
      </c>
      <c r="G15990" s="2" t="s">
        <v>12729</v>
      </c>
      <c r="H15990" s="2" t="s">
        <v>12730</v>
      </c>
    </row>
    <row r="15991" spans="1:8" ht="25.05" customHeight="1" x14ac:dyDescent="0.25">
      <c r="A15991" s="2" t="s">
        <v>8</v>
      </c>
      <c r="B15991" s="2" t="str">
        <f>HYPERLINK("http://ts.21cn.com/tousu/show/id/1342912","中国银联，银联商务为不法平台提供入金")</f>
        <v>中国银联，银联商务为不法平台提供入金</v>
      </c>
      <c r="C15991" s="2" t="s">
        <v>9</v>
      </c>
      <c r="D15991" s="2" t="s">
        <v>10</v>
      </c>
      <c r="E15991" s="2" t="str">
        <f>HYPERLINK("http://ts.21cn.com/tousu/show/id/1342912","http://ts.21cn.com/tousu/show/id/1342912")</f>
        <v>http://ts.21cn.com/tousu/show/id/1342912</v>
      </c>
      <c r="F15991" s="2" t="s">
        <v>11</v>
      </c>
      <c r="G15991" s="2" t="s">
        <v>12727</v>
      </c>
      <c r="H15991" s="2" t="s">
        <v>12728</v>
      </c>
    </row>
    <row r="15992" spans="1:8" ht="25.05" customHeight="1" x14ac:dyDescent="0.25">
      <c r="A15992" s="2" t="s">
        <v>8</v>
      </c>
      <c r="B15992" s="2" t="str">
        <f>HYPERLINK("http://ts.21cn.com/tousu/show/id/1347714","信而富平台高利贷收取砍头息")</f>
        <v>信而富平台高利贷收取砍头息</v>
      </c>
      <c r="C15992" s="2" t="s">
        <v>9</v>
      </c>
      <c r="D15992" s="2" t="s">
        <v>10</v>
      </c>
      <c r="E15992" s="2" t="str">
        <f>HYPERLINK("http://ts.21cn.com/tousu/show/id/1347714","http://ts.21cn.com/tousu/show/id/1347714")</f>
        <v>http://ts.21cn.com/tousu/show/id/1347714</v>
      </c>
      <c r="F15992" s="2" t="s">
        <v>11</v>
      </c>
      <c r="G15992" s="2" t="s">
        <v>12725</v>
      </c>
      <c r="H15992" s="2" t="s">
        <v>12726</v>
      </c>
    </row>
    <row r="15993" spans="1:8" ht="25.05" customHeight="1" x14ac:dyDescent="0.25">
      <c r="A15993" s="2" t="s">
        <v>8</v>
      </c>
      <c r="B15993" s="2" t="str">
        <f>HYPERLINK("http://ts.21cn.com/tousu/show/id/1347715","退费")</f>
        <v>退费</v>
      </c>
      <c r="C15993" s="2" t="s">
        <v>9</v>
      </c>
      <c r="D15993" s="2" t="s">
        <v>10</v>
      </c>
      <c r="E15993" s="2" t="str">
        <f>HYPERLINK("http://ts.21cn.com/tousu/show/id/1347715","http://ts.21cn.com/tousu/show/id/1347715")</f>
        <v>http://ts.21cn.com/tousu/show/id/1347715</v>
      </c>
      <c r="F15993" s="2" t="s">
        <v>11</v>
      </c>
      <c r="G15993" s="2" t="s">
        <v>12723</v>
      </c>
      <c r="H15993" s="2" t="s">
        <v>12724</v>
      </c>
    </row>
    <row r="15994" spans="1:8" ht="25.05" customHeight="1" x14ac:dyDescent="0.25">
      <c r="A15994" s="2" t="s">
        <v>8</v>
      </c>
      <c r="B15994" s="2" t="str">
        <f>HYPERLINK("http://ts.21cn.com/tousu/show/id/1347581","苏宁金融借款捆绑销售保险")</f>
        <v>苏宁金融借款捆绑销售保险</v>
      </c>
      <c r="C15994" s="2" t="s">
        <v>9</v>
      </c>
      <c r="D15994" s="2" t="s">
        <v>10</v>
      </c>
      <c r="E15994" s="2" t="str">
        <f>HYPERLINK("http://ts.21cn.com/tousu/show/id/1347581","http://ts.21cn.com/tousu/show/id/1347581")</f>
        <v>http://ts.21cn.com/tousu/show/id/1347581</v>
      </c>
      <c r="F15994" s="2" t="s">
        <v>11</v>
      </c>
      <c r="G15994" s="2" t="s">
        <v>12721</v>
      </c>
      <c r="H15994" s="2" t="s">
        <v>12722</v>
      </c>
    </row>
    <row r="15995" spans="1:8" ht="25.05" customHeight="1" x14ac:dyDescent="0.25">
      <c r="A15995" s="2" t="s">
        <v>8</v>
      </c>
      <c r="B15995" s="2" t="str">
        <f>HYPERLINK("http://ts.21cn.com/tousu/show/id/1347694","平安普惠贷款隐瞒隐藏并强制收取高额保险费管理费投诉事宜")</f>
        <v>平安普惠贷款隐瞒隐藏并强制收取高额保险费管理费投诉事宜</v>
      </c>
      <c r="C15995" s="2" t="s">
        <v>9</v>
      </c>
      <c r="D15995" s="2" t="s">
        <v>10</v>
      </c>
      <c r="E15995" s="2" t="str">
        <f>HYPERLINK("http://ts.21cn.com/tousu/show/id/1347694","http://ts.21cn.com/tousu/show/id/1347694")</f>
        <v>http://ts.21cn.com/tousu/show/id/1347694</v>
      </c>
      <c r="F15995" s="2" t="s">
        <v>11</v>
      </c>
      <c r="G15995" s="2" t="s">
        <v>12719</v>
      </c>
      <c r="H15995" s="2" t="s">
        <v>12720</v>
      </c>
    </row>
    <row r="15996" spans="1:8" ht="25.05" customHeight="1" x14ac:dyDescent="0.25">
      <c r="A15996" s="2" t="s">
        <v>8</v>
      </c>
      <c r="B15996" s="2" t="str">
        <f>HYPERLINK("http://ts.21cn.com/tousu/show/id/1347716","高利贷暴力催收威胁，爆通讯录，骂人恶言恶语")</f>
        <v>高利贷暴力催收威胁，爆通讯录，骂人恶言恶语</v>
      </c>
      <c r="C15996" s="2" t="s">
        <v>9</v>
      </c>
      <c r="D15996" s="2" t="s">
        <v>10</v>
      </c>
      <c r="E15996" s="2" t="str">
        <f>HYPERLINK("http://ts.21cn.com/tousu/show/id/1347716","http://ts.21cn.com/tousu/show/id/1347716")</f>
        <v>http://ts.21cn.com/tousu/show/id/1347716</v>
      </c>
      <c r="F15996" s="2" t="s">
        <v>11</v>
      </c>
      <c r="G15996" s="2" t="s">
        <v>12717</v>
      </c>
      <c r="H15996" s="2" t="s">
        <v>12718</v>
      </c>
    </row>
    <row r="15997" spans="1:8" ht="25.05" customHeight="1" x14ac:dyDescent="0.25">
      <c r="A15997" s="2" t="s">
        <v>8</v>
      </c>
      <c r="B15997" s="2" t="str">
        <f>HYPERLINK("http://ts.21cn.com/tousu/show/id/1347718","钱站利息高，爆打我通讯录")</f>
        <v>钱站利息高，爆打我通讯录</v>
      </c>
      <c r="C15997" s="2" t="s">
        <v>9</v>
      </c>
      <c r="D15997" s="2" t="s">
        <v>10</v>
      </c>
      <c r="E15997" s="2" t="str">
        <f>HYPERLINK("http://ts.21cn.com/tousu/show/id/1347718","http://ts.21cn.com/tousu/show/id/1347718")</f>
        <v>http://ts.21cn.com/tousu/show/id/1347718</v>
      </c>
      <c r="F15997" s="2" t="s">
        <v>11</v>
      </c>
      <c r="G15997" s="2" t="s">
        <v>12714</v>
      </c>
      <c r="H15997" s="2" t="s">
        <v>12715</v>
      </c>
    </row>
    <row r="15998" spans="1:8" ht="25.05" customHeight="1" x14ac:dyDescent="0.25">
      <c r="A15998" s="2" t="s">
        <v>8</v>
      </c>
      <c r="B15998" s="2" t="str">
        <f>HYPERLINK("http://ts.21cn.com/tousu/show/id/1347717","宜人贷砍头息利息太高希望减免利息")</f>
        <v>宜人贷砍头息利息太高希望减免利息</v>
      </c>
      <c r="C15998" s="2" t="s">
        <v>9</v>
      </c>
      <c r="D15998" s="2" t="s">
        <v>10</v>
      </c>
      <c r="E15998" s="2" t="str">
        <f>HYPERLINK("http://ts.21cn.com/tousu/show/id/1347717","http://ts.21cn.com/tousu/show/id/1347717")</f>
        <v>http://ts.21cn.com/tousu/show/id/1347717</v>
      </c>
      <c r="F15998" s="2" t="s">
        <v>11</v>
      </c>
      <c r="G15998" s="2" t="s">
        <v>12714</v>
      </c>
      <c r="H15998" s="2" t="s">
        <v>12716</v>
      </c>
    </row>
    <row r="15999" spans="1:8" ht="25.05" customHeight="1" x14ac:dyDescent="0.25">
      <c r="A15999" s="2" t="s">
        <v>8</v>
      </c>
      <c r="B15999" s="2" t="str">
        <f>HYPERLINK("http://ts.21cn.com/tousu/show/id/1347684","急用钱恶意催收，我都没借过")</f>
        <v>急用钱恶意催收，我都没借过</v>
      </c>
      <c r="C15999" s="2" t="s">
        <v>9</v>
      </c>
      <c r="D15999" s="2" t="s">
        <v>10</v>
      </c>
      <c r="E15999" s="2" t="str">
        <f>HYPERLINK("http://ts.21cn.com/tousu/show/id/1347684","http://ts.21cn.com/tousu/show/id/1347684")</f>
        <v>http://ts.21cn.com/tousu/show/id/1347684</v>
      </c>
      <c r="F15999" s="2" t="s">
        <v>11</v>
      </c>
      <c r="G15999" s="2" t="s">
        <v>12712</v>
      </c>
      <c r="H15999" s="2" t="s">
        <v>12713</v>
      </c>
    </row>
    <row r="16000" spans="1:8" ht="25.05" customHeight="1" x14ac:dyDescent="0.25">
      <c r="A16000" s="2" t="s">
        <v>8</v>
      </c>
      <c r="B16000" s="2" t="str">
        <f>HYPERLINK("http://ts.21cn.com/tousu/show/id/1347721","微信支付冻结投诉")</f>
        <v>微信支付冻结投诉</v>
      </c>
      <c r="C16000" s="2" t="s">
        <v>34</v>
      </c>
      <c r="D16000" s="2" t="s">
        <v>10</v>
      </c>
      <c r="E16000" s="2" t="str">
        <f>HYPERLINK("http://ts.21cn.com/tousu/show/id/1347721","http://ts.21cn.com/tousu/show/id/1347721")</f>
        <v>http://ts.21cn.com/tousu/show/id/1347721</v>
      </c>
      <c r="F16000" s="2" t="s">
        <v>11</v>
      </c>
      <c r="G16000" s="2" t="s">
        <v>12710</v>
      </c>
      <c r="H16000" s="2" t="s">
        <v>12711</v>
      </c>
    </row>
    <row r="16001" spans="1:8" ht="25.05" customHeight="1" x14ac:dyDescent="0.25">
      <c r="A16001" s="2" t="s">
        <v>8</v>
      </c>
      <c r="B16001" s="2" t="str">
        <f>HYPERLINK("http://ts.21cn.com/tousu/show/id/1347720","小浦优客未经同意扣款")</f>
        <v>小浦优客未经同意扣款</v>
      </c>
      <c r="C16001" s="2" t="s">
        <v>9</v>
      </c>
      <c r="D16001" s="2" t="s">
        <v>10</v>
      </c>
      <c r="E16001" s="2" t="str">
        <f>HYPERLINK("http://ts.21cn.com/tousu/show/id/1347720","http://ts.21cn.com/tousu/show/id/1347720")</f>
        <v>http://ts.21cn.com/tousu/show/id/1347720</v>
      </c>
      <c r="F16001" s="2" t="s">
        <v>11</v>
      </c>
      <c r="G16001" s="2" t="s">
        <v>12708</v>
      </c>
      <c r="H16001" s="2" t="s">
        <v>12709</v>
      </c>
    </row>
    <row r="16002" spans="1:8" ht="25.05" customHeight="1" x14ac:dyDescent="0.25">
      <c r="A16002" s="2" t="s">
        <v>8</v>
      </c>
      <c r="B16002" s="2" t="str">
        <f>HYPERLINK("http://ts.21cn.com/tousu/show/id/1347723","平台不分青红皂白扣服务分")</f>
        <v>平台不分青红皂白扣服务分</v>
      </c>
      <c r="C16002" s="2" t="s">
        <v>9</v>
      </c>
      <c r="D16002" s="2" t="s">
        <v>10</v>
      </c>
      <c r="E16002" s="2" t="str">
        <f>HYPERLINK("http://ts.21cn.com/tousu/show/id/1347723","http://ts.21cn.com/tousu/show/id/1347723")</f>
        <v>http://ts.21cn.com/tousu/show/id/1347723</v>
      </c>
      <c r="F16002" s="2" t="s">
        <v>11</v>
      </c>
      <c r="G16002" s="2" t="s">
        <v>12706</v>
      </c>
      <c r="H16002" s="2" t="s">
        <v>12707</v>
      </c>
    </row>
    <row r="16003" spans="1:8" ht="25.05" customHeight="1" x14ac:dyDescent="0.25">
      <c r="A16003" s="2" t="s">
        <v>8</v>
      </c>
      <c r="B16003" s="2" t="str">
        <f>HYPERLINK("http://ts.21cn.com/tousu/show/id/1347722","微信ETC助手无法开发票")</f>
        <v>微信ETC助手无法开发票</v>
      </c>
      <c r="C16003" s="2" t="s">
        <v>9</v>
      </c>
      <c r="D16003" s="2" t="s">
        <v>10</v>
      </c>
      <c r="E16003" s="2" t="str">
        <f>HYPERLINK("http://ts.21cn.com/tousu/show/id/1347722","http://ts.21cn.com/tousu/show/id/1347722")</f>
        <v>http://ts.21cn.com/tousu/show/id/1347722</v>
      </c>
      <c r="F16003" s="2" t="s">
        <v>11</v>
      </c>
      <c r="G16003" s="2" t="s">
        <v>12704</v>
      </c>
      <c r="H16003" s="2" t="s">
        <v>12705</v>
      </c>
    </row>
    <row r="16004" spans="1:8" ht="25.05" customHeight="1" x14ac:dyDescent="0.25">
      <c r="A16004" s="2" t="s">
        <v>8</v>
      </c>
      <c r="B16004" s="2" t="str">
        <f>HYPERLINK("http://ts.21cn.com/tousu/show/id/1347726","中信银行催收")</f>
        <v>中信银行催收</v>
      </c>
      <c r="C16004" s="2" t="s">
        <v>9</v>
      </c>
      <c r="D16004" s="2" t="s">
        <v>10</v>
      </c>
      <c r="E16004" s="2" t="str">
        <f>HYPERLINK("http://ts.21cn.com/tousu/show/id/1347726","http://ts.21cn.com/tousu/show/id/1347726")</f>
        <v>http://ts.21cn.com/tousu/show/id/1347726</v>
      </c>
      <c r="F16004" s="2" t="s">
        <v>11</v>
      </c>
      <c r="G16004" s="2" t="s">
        <v>12702</v>
      </c>
      <c r="H16004" s="2" t="s">
        <v>12703</v>
      </c>
    </row>
    <row r="16005" spans="1:8" ht="25.05" customHeight="1" x14ac:dyDescent="0.25">
      <c r="A16005" s="2" t="s">
        <v>8</v>
      </c>
      <c r="B16005" s="2" t="str">
        <f>HYPERLINK("http://ts.21cn.com/tousu/show/id/1347724","金蔷薇高利贷套路贷")</f>
        <v>金蔷薇高利贷套路贷</v>
      </c>
      <c r="C16005" s="2" t="s">
        <v>9</v>
      </c>
      <c r="D16005" s="2" t="s">
        <v>10</v>
      </c>
      <c r="E16005" s="2" t="str">
        <f>HYPERLINK("http://ts.21cn.com/tousu/show/id/1347724","http://ts.21cn.com/tousu/show/id/1347724")</f>
        <v>http://ts.21cn.com/tousu/show/id/1347724</v>
      </c>
      <c r="F16005" s="2" t="s">
        <v>11</v>
      </c>
      <c r="G16005" s="2" t="s">
        <v>12700</v>
      </c>
      <c r="H16005" s="2" t="s">
        <v>12701</v>
      </c>
    </row>
    <row r="16006" spans="1:8" ht="25.05" customHeight="1" x14ac:dyDescent="0.25">
      <c r="A16006" s="2" t="s">
        <v>8</v>
      </c>
      <c r="B16006" s="2" t="str">
        <f>HYPERLINK("http://ts.21cn.com/tousu/show/id/1347727","暴力催收，泄露个人信息")</f>
        <v>暴力催收，泄露个人信息</v>
      </c>
      <c r="C16006" s="2" t="s">
        <v>9</v>
      </c>
      <c r="D16006" s="2" t="s">
        <v>10</v>
      </c>
      <c r="E16006" s="2" t="str">
        <f>HYPERLINK("http://ts.21cn.com/tousu/show/id/1347727","http://ts.21cn.com/tousu/show/id/1347727")</f>
        <v>http://ts.21cn.com/tousu/show/id/1347727</v>
      </c>
      <c r="F16006" s="2" t="s">
        <v>11</v>
      </c>
      <c r="G16006" s="2" t="s">
        <v>12698</v>
      </c>
      <c r="H16006" s="2" t="s">
        <v>12699</v>
      </c>
    </row>
    <row r="16007" spans="1:8" ht="25.05" customHeight="1" x14ac:dyDescent="0.25">
      <c r="A16007" s="2" t="s">
        <v>8</v>
      </c>
      <c r="B16007" s="2" t="str">
        <f>HYPERLINK("http://ts.21cn.com/tousu/show/id/1347729","爱白条高利贷，规范国家金融法规，危害社会")</f>
        <v>爱白条高利贷，规范国家金融法规，危害社会</v>
      </c>
      <c r="C16007" s="2" t="s">
        <v>9</v>
      </c>
      <c r="D16007" s="2" t="s">
        <v>10</v>
      </c>
      <c r="E16007" s="2" t="str">
        <f>HYPERLINK("http://ts.21cn.com/tousu/show/id/1347729","http://ts.21cn.com/tousu/show/id/1347729")</f>
        <v>http://ts.21cn.com/tousu/show/id/1347729</v>
      </c>
      <c r="F16007" s="2" t="s">
        <v>11</v>
      </c>
      <c r="G16007" s="2" t="s">
        <v>12696</v>
      </c>
      <c r="H16007" s="2" t="s">
        <v>12697</v>
      </c>
    </row>
    <row r="16008" spans="1:8" ht="25.05" customHeight="1" x14ac:dyDescent="0.25">
      <c r="A16008" s="2" t="s">
        <v>8</v>
      </c>
      <c r="B16008" s="2" t="str">
        <f>HYPERLINK("http://ts.21cn.com/tousu/show/id/1347728","闪银哼哼暴力催收")</f>
        <v>闪银哼哼暴力催收</v>
      </c>
      <c r="C16008" s="2" t="s">
        <v>9</v>
      </c>
      <c r="D16008" s="2" t="s">
        <v>10</v>
      </c>
      <c r="E16008" s="2" t="str">
        <f>HYPERLINK("http://ts.21cn.com/tousu/show/id/1347728","http://ts.21cn.com/tousu/show/id/1347728")</f>
        <v>http://ts.21cn.com/tousu/show/id/1347728</v>
      </c>
      <c r="F16008" s="2" t="s">
        <v>11</v>
      </c>
      <c r="G16008" s="2" t="s">
        <v>12694</v>
      </c>
      <c r="H16008" s="2" t="s">
        <v>12695</v>
      </c>
    </row>
    <row r="16009" spans="1:8" ht="25.05" customHeight="1" x14ac:dyDescent="0.25">
      <c r="A16009" s="2" t="s">
        <v>8</v>
      </c>
      <c r="B16009" s="2" t="str">
        <f>HYPERLINK("http://ts.21cn.com/tousu/show/id/1347730","建设银行信用卡冻结，积分不能用。")</f>
        <v>建设银行信用卡冻结，积分不能用。</v>
      </c>
      <c r="C16009" s="2" t="s">
        <v>34</v>
      </c>
      <c r="D16009" s="2" t="s">
        <v>10</v>
      </c>
      <c r="E16009" s="2" t="str">
        <f>HYPERLINK("http://ts.21cn.com/tousu/show/id/1347730","http://ts.21cn.com/tousu/show/id/1347730")</f>
        <v>http://ts.21cn.com/tousu/show/id/1347730</v>
      </c>
      <c r="F16009" s="2" t="s">
        <v>11</v>
      </c>
      <c r="G16009" s="2" t="s">
        <v>12692</v>
      </c>
      <c r="H16009" s="2" t="s">
        <v>12693</v>
      </c>
    </row>
    <row r="16010" spans="1:8" ht="25.05" customHeight="1" x14ac:dyDescent="0.25">
      <c r="A16010" s="2" t="s">
        <v>8</v>
      </c>
      <c r="B16010" s="2" t="str">
        <f>HYPERLINK("http://ts.21cn.com/tousu/show/id/1347731","钱站借款存在砍头息")</f>
        <v>钱站借款存在砍头息</v>
      </c>
      <c r="C16010" s="2" t="s">
        <v>34</v>
      </c>
      <c r="D16010" s="2" t="s">
        <v>10</v>
      </c>
      <c r="E16010" s="2" t="str">
        <f>HYPERLINK("http://ts.21cn.com/tousu/show/id/1347731","http://ts.21cn.com/tousu/show/id/1347731")</f>
        <v>http://ts.21cn.com/tousu/show/id/1347731</v>
      </c>
      <c r="F16010" s="2" t="s">
        <v>11</v>
      </c>
      <c r="G16010" s="2" t="s">
        <v>12690</v>
      </c>
      <c r="H16010" s="2" t="s">
        <v>12691</v>
      </c>
    </row>
    <row r="16011" spans="1:8" ht="25.05" customHeight="1" x14ac:dyDescent="0.25">
      <c r="A16011" s="2" t="s">
        <v>8</v>
      </c>
      <c r="B16011" s="2" t="str">
        <f>HYPERLINK("http://ts.21cn.com/tousu/show/id/1347732","砍头息，阴阳合同")</f>
        <v>砍头息，阴阳合同</v>
      </c>
      <c r="C16011" s="2" t="s">
        <v>9</v>
      </c>
      <c r="D16011" s="2" t="s">
        <v>10</v>
      </c>
      <c r="E16011" s="2" t="str">
        <f>HYPERLINK("http://ts.21cn.com/tousu/show/id/1347732","http://ts.21cn.com/tousu/show/id/1347732")</f>
        <v>http://ts.21cn.com/tousu/show/id/1347732</v>
      </c>
      <c r="F16011" s="2" t="s">
        <v>11</v>
      </c>
      <c r="G16011" s="2" t="s">
        <v>12688</v>
      </c>
      <c r="H16011" s="2" t="s">
        <v>12689</v>
      </c>
    </row>
    <row r="16012" spans="1:8" ht="25.05" customHeight="1" x14ac:dyDescent="0.25">
      <c r="A16012" s="2" t="s">
        <v>8</v>
      </c>
      <c r="B16012" s="2" t="str">
        <f>HYPERLINK("http://ts.21cn.com/tousu/show/id/1347703","拼多多联合站外链接支付订单金额")</f>
        <v>拼多多联合站外链接支付订单金额</v>
      </c>
      <c r="C16012" s="2" t="s">
        <v>34</v>
      </c>
      <c r="D16012" s="2" t="s">
        <v>10</v>
      </c>
      <c r="E16012" s="2" t="str">
        <f>HYPERLINK("http://ts.21cn.com/tousu/show/id/1347703","http://ts.21cn.com/tousu/show/id/1347703")</f>
        <v>http://ts.21cn.com/tousu/show/id/1347703</v>
      </c>
      <c r="F16012" s="2" t="s">
        <v>11</v>
      </c>
      <c r="G16012" s="2" t="s">
        <v>12686</v>
      </c>
      <c r="H16012" s="2" t="s">
        <v>12687</v>
      </c>
    </row>
    <row r="16013" spans="1:8" ht="25.05" customHeight="1" x14ac:dyDescent="0.25">
      <c r="A16013" s="2" t="s">
        <v>8</v>
      </c>
      <c r="B16013" s="2" t="str">
        <f>HYPERLINK("http://ts.21cn.com/tousu/show/id/1347733","唯网贷高额利息，暴通讯录")</f>
        <v>唯网贷高额利息，暴通讯录</v>
      </c>
      <c r="C16013" s="2" t="s">
        <v>9</v>
      </c>
      <c r="D16013" s="2" t="s">
        <v>10</v>
      </c>
      <c r="E16013" s="2" t="str">
        <f>HYPERLINK("http://ts.21cn.com/tousu/show/id/1347733","http://ts.21cn.com/tousu/show/id/1347733")</f>
        <v>http://ts.21cn.com/tousu/show/id/1347733</v>
      </c>
      <c r="F16013" s="2" t="s">
        <v>11</v>
      </c>
      <c r="G16013" s="2" t="s">
        <v>12684</v>
      </c>
      <c r="H16013" s="2" t="s">
        <v>12685</v>
      </c>
    </row>
    <row r="16014" spans="1:8" ht="25.05" customHeight="1" x14ac:dyDescent="0.25">
      <c r="A16014" s="2" t="s">
        <v>8</v>
      </c>
      <c r="B16014" s="2" t="str">
        <f>HYPERLINK("http://ts.21cn.com/tousu/show/id/1347739","态度恶劣，天天骚扰轰炸")</f>
        <v>态度恶劣，天天骚扰轰炸</v>
      </c>
      <c r="C16014" s="2" t="s">
        <v>9</v>
      </c>
      <c r="D16014" s="2" t="s">
        <v>10</v>
      </c>
      <c r="E16014" s="2" t="str">
        <f>HYPERLINK("http://ts.21cn.com/tousu/show/id/1347739","http://ts.21cn.com/tousu/show/id/1347739")</f>
        <v>http://ts.21cn.com/tousu/show/id/1347739</v>
      </c>
      <c r="F16014" s="2" t="s">
        <v>11</v>
      </c>
      <c r="G16014" s="2" t="s">
        <v>12682</v>
      </c>
      <c r="H16014" s="2" t="s">
        <v>12683</v>
      </c>
    </row>
    <row r="16015" spans="1:8" ht="25.05" customHeight="1" x14ac:dyDescent="0.25">
      <c r="A16015" s="2" t="s">
        <v>8</v>
      </c>
      <c r="B16015" s="2" t="str">
        <f>HYPERLINK("http://ts.21cn.com/tousu/show/id/1347734","大量收9800的会员费，提供的项目却不好")</f>
        <v>大量收9800的会员费，提供的项目却不好</v>
      </c>
      <c r="C16015" s="2" t="s">
        <v>9</v>
      </c>
      <c r="D16015" s="2" t="s">
        <v>10</v>
      </c>
      <c r="E16015" s="2" t="str">
        <f>HYPERLINK("http://ts.21cn.com/tousu/show/id/1347734","http://ts.21cn.com/tousu/show/id/1347734")</f>
        <v>http://ts.21cn.com/tousu/show/id/1347734</v>
      </c>
      <c r="F16015" s="2" t="s">
        <v>11</v>
      </c>
      <c r="G16015" s="2" t="s">
        <v>12680</v>
      </c>
      <c r="H16015" s="2" t="s">
        <v>12681</v>
      </c>
    </row>
    <row r="16016" spans="1:8" ht="25.05" customHeight="1" x14ac:dyDescent="0.25">
      <c r="A16016" s="2" t="s">
        <v>8</v>
      </c>
      <c r="B16016" s="2" t="str">
        <f>HYPERLINK("http://ts.21cn.com/tousu/show/id/1347735","百事普惠在没有使用到他们服务的情况下第二天无故扣款299")</f>
        <v>百事普惠在没有使用到他们服务的情况下第二天无故扣款299</v>
      </c>
      <c r="C16016" s="2" t="s">
        <v>34</v>
      </c>
      <c r="D16016" s="2" t="s">
        <v>10</v>
      </c>
      <c r="E16016" s="2" t="str">
        <f>HYPERLINK("http://ts.21cn.com/tousu/show/id/1347735","http://ts.21cn.com/tousu/show/id/1347735")</f>
        <v>http://ts.21cn.com/tousu/show/id/1347735</v>
      </c>
      <c r="F16016" s="2" t="s">
        <v>11</v>
      </c>
      <c r="G16016" s="2" t="s">
        <v>12678</v>
      </c>
      <c r="H16016" s="2" t="s">
        <v>12679</v>
      </c>
    </row>
    <row r="16017" spans="1:8" ht="25.05" customHeight="1" x14ac:dyDescent="0.25">
      <c r="A16017" s="2" t="s">
        <v>8</v>
      </c>
      <c r="B16017" s="2" t="str">
        <f>HYPERLINK("http://ts.21cn.com/tousu/show/id/1347736","好易借高利贷、砍头息，立刻结清不合法息费")</f>
        <v>好易借高利贷、砍头息，立刻结清不合法息费</v>
      </c>
      <c r="C16017" s="2" t="s">
        <v>9</v>
      </c>
      <c r="D16017" s="2" t="s">
        <v>10</v>
      </c>
      <c r="E16017" s="2" t="str">
        <f>HYPERLINK("http://ts.21cn.com/tousu/show/id/1347736","http://ts.21cn.com/tousu/show/id/1347736")</f>
        <v>http://ts.21cn.com/tousu/show/id/1347736</v>
      </c>
      <c r="F16017" s="2" t="s">
        <v>11</v>
      </c>
      <c r="G16017" s="2" t="s">
        <v>12676</v>
      </c>
      <c r="H16017" s="2" t="s">
        <v>12677</v>
      </c>
    </row>
    <row r="16018" spans="1:8" ht="25.05" customHeight="1" x14ac:dyDescent="0.25">
      <c r="A16018" s="2" t="s">
        <v>8</v>
      </c>
      <c r="B16018" s="2" t="str">
        <f>HYPERLINK("http://ts.21cn.com/tousu/show/id/1347738","投诉广东南粤银行违规放贷")</f>
        <v>投诉广东南粤银行违规放贷</v>
      </c>
      <c r="C16018" s="2" t="s">
        <v>9</v>
      </c>
      <c r="D16018" s="2" t="s">
        <v>10</v>
      </c>
      <c r="E16018" s="2" t="str">
        <f>HYPERLINK("http://ts.21cn.com/tousu/show/id/1347738","http://ts.21cn.com/tousu/show/id/1347738")</f>
        <v>http://ts.21cn.com/tousu/show/id/1347738</v>
      </c>
      <c r="F16018" s="2" t="s">
        <v>11</v>
      </c>
      <c r="G16018" s="2" t="s">
        <v>12674</v>
      </c>
      <c r="H16018" s="2" t="s">
        <v>12675</v>
      </c>
    </row>
    <row r="16019" spans="1:8" ht="25.05" customHeight="1" x14ac:dyDescent="0.25">
      <c r="A16019" s="2" t="s">
        <v>8</v>
      </c>
      <c r="B16019" s="2" t="str">
        <f>HYPERLINK("http://ts.21cn.com/tousu/show/id/1347737","上海东瑞保险代理有限公司联合小黑鱼科技套路贷")</f>
        <v>上海东瑞保险代理有限公司联合小黑鱼科技套路贷</v>
      </c>
      <c r="C16019" s="2" t="s">
        <v>9</v>
      </c>
      <c r="D16019" s="2" t="s">
        <v>10</v>
      </c>
      <c r="E16019" s="2" t="str">
        <f>HYPERLINK("http://ts.21cn.com/tousu/show/id/1347737","http://ts.21cn.com/tousu/show/id/1347737")</f>
        <v>http://ts.21cn.com/tousu/show/id/1347737</v>
      </c>
      <c r="F16019" s="2" t="s">
        <v>11</v>
      </c>
      <c r="G16019" s="2" t="s">
        <v>12672</v>
      </c>
      <c r="H16019" s="2" t="s">
        <v>12673</v>
      </c>
    </row>
    <row r="16020" spans="1:8" ht="25.05" customHeight="1" x14ac:dyDescent="0.25">
      <c r="A16020" s="2" t="s">
        <v>8</v>
      </c>
      <c r="B16020" s="2" t="str">
        <f>HYPERLINK("http://ts.21cn.com/tousu/show/id/1347743","猫眼不给提现")</f>
        <v>猫眼不给提现</v>
      </c>
      <c r="C16020" s="2" t="s">
        <v>34</v>
      </c>
      <c r="D16020" s="2" t="s">
        <v>10</v>
      </c>
      <c r="E16020" s="2" t="str">
        <f>HYPERLINK("http://ts.21cn.com/tousu/show/id/1347743","http://ts.21cn.com/tousu/show/id/1347743")</f>
        <v>http://ts.21cn.com/tousu/show/id/1347743</v>
      </c>
      <c r="F16020" s="2" t="s">
        <v>11</v>
      </c>
      <c r="G16020" s="2" t="s">
        <v>12670</v>
      </c>
      <c r="H16020" s="2" t="s">
        <v>12671</v>
      </c>
    </row>
    <row r="16021" spans="1:8" ht="25.05" customHeight="1" x14ac:dyDescent="0.25">
      <c r="A16021" s="2" t="s">
        <v>8</v>
      </c>
      <c r="B16021" s="2" t="str">
        <f>HYPERLINK("http://ts.21cn.com/tousu/show/id/1347742","因换工作单位，工资15号发放。多次说明15号还款。催收人员暴力催收，侮辱家人")</f>
        <v>因换工作单位，工资15号发放。多次说明15号还款。催收人员暴力催收，侮辱家人</v>
      </c>
      <c r="C16021" s="2" t="s">
        <v>9</v>
      </c>
      <c r="D16021" s="2" t="s">
        <v>10</v>
      </c>
      <c r="E16021" s="2" t="str">
        <f>HYPERLINK("http://ts.21cn.com/tousu/show/id/1347742","http://ts.21cn.com/tousu/show/id/1347742")</f>
        <v>http://ts.21cn.com/tousu/show/id/1347742</v>
      </c>
      <c r="F16021" s="2" t="s">
        <v>11</v>
      </c>
      <c r="G16021" s="2" t="s">
        <v>12668</v>
      </c>
      <c r="H16021" s="2" t="s">
        <v>12669</v>
      </c>
    </row>
    <row r="16022" spans="1:8" ht="25.05" customHeight="1" x14ac:dyDescent="0.25">
      <c r="A16022" s="2" t="s">
        <v>8</v>
      </c>
      <c r="B16022" s="2" t="str">
        <f>HYPERLINK("http://ts.21cn.com/tousu/show/id/1347744","拒绝退学费")</f>
        <v>拒绝退学费</v>
      </c>
      <c r="C16022" s="2" t="s">
        <v>9</v>
      </c>
      <c r="D16022" s="2" t="s">
        <v>10</v>
      </c>
      <c r="E16022" s="2" t="str">
        <f>HYPERLINK("http://ts.21cn.com/tousu/show/id/1347744","http://ts.21cn.com/tousu/show/id/1347744")</f>
        <v>http://ts.21cn.com/tousu/show/id/1347744</v>
      </c>
      <c r="F16022" s="2" t="s">
        <v>11</v>
      </c>
      <c r="G16022" s="2" t="s">
        <v>12666</v>
      </c>
      <c r="H16022" s="2" t="s">
        <v>12667</v>
      </c>
    </row>
    <row r="16023" spans="1:8" ht="25.05" customHeight="1" x14ac:dyDescent="0.25">
      <c r="A16023" s="2" t="s">
        <v>8</v>
      </c>
      <c r="B16023" s="2" t="str">
        <f>HYPERLINK("http://ts.21cn.com/tousu/show/id/1347746","安逸花被盗刷客服不受理")</f>
        <v>安逸花被盗刷客服不受理</v>
      </c>
      <c r="C16023" s="2" t="s">
        <v>9</v>
      </c>
      <c r="D16023" s="2" t="s">
        <v>10</v>
      </c>
      <c r="E16023" s="2" t="str">
        <f>HYPERLINK("http://ts.21cn.com/tousu/show/id/1347746","http://ts.21cn.com/tousu/show/id/1347746")</f>
        <v>http://ts.21cn.com/tousu/show/id/1347746</v>
      </c>
      <c r="F16023" s="2" t="s">
        <v>11</v>
      </c>
      <c r="G16023" s="2" t="s">
        <v>12664</v>
      </c>
      <c r="H16023" s="2" t="s">
        <v>12665</v>
      </c>
    </row>
    <row r="16024" spans="1:8" ht="25.05" customHeight="1" x14ac:dyDescent="0.25">
      <c r="A16024" s="2" t="s">
        <v>8</v>
      </c>
      <c r="B16024" s="2" t="str">
        <f>HYPERLINK("http://ts.21cn.com/tousu/show/id/1347748","无法沟通，暴力催收")</f>
        <v>无法沟通，暴力催收</v>
      </c>
      <c r="C16024" s="2" t="s">
        <v>9</v>
      </c>
      <c r="D16024" s="2" t="s">
        <v>10</v>
      </c>
      <c r="E16024" s="2" t="str">
        <f>HYPERLINK("http://ts.21cn.com/tousu/show/id/1347748","http://ts.21cn.com/tousu/show/id/1347748")</f>
        <v>http://ts.21cn.com/tousu/show/id/1347748</v>
      </c>
      <c r="F16024" s="2" t="s">
        <v>11</v>
      </c>
      <c r="G16024" s="2" t="s">
        <v>12662</v>
      </c>
      <c r="H16024" s="2" t="s">
        <v>12663</v>
      </c>
    </row>
    <row r="16025" spans="1:8" ht="25.05" customHeight="1" x14ac:dyDescent="0.25">
      <c r="A16025" s="2" t="s">
        <v>8</v>
      </c>
      <c r="B16025" s="2" t="str">
        <f>HYPERLINK("http://ts.21cn.com/tousu/show/id/1347747","都给我点时间，已经在卖房子了")</f>
        <v>都给我点时间，已经在卖房子了</v>
      </c>
      <c r="C16025" s="2" t="s">
        <v>34</v>
      </c>
      <c r="D16025" s="2" t="s">
        <v>10</v>
      </c>
      <c r="E16025" s="2" t="str">
        <f>HYPERLINK("http://ts.21cn.com/tousu/show/id/1347747","http://ts.21cn.com/tousu/show/id/1347747")</f>
        <v>http://ts.21cn.com/tousu/show/id/1347747</v>
      </c>
      <c r="F16025" s="2" t="s">
        <v>11</v>
      </c>
      <c r="G16025" s="2" t="s">
        <v>12660</v>
      </c>
      <c r="H16025" s="2" t="s">
        <v>12661</v>
      </c>
    </row>
    <row r="16026" spans="1:8" ht="25.05" customHeight="1" x14ac:dyDescent="0.25">
      <c r="A16026" s="2" t="s">
        <v>8</v>
      </c>
      <c r="B16026" s="2" t="str">
        <f>HYPERLINK("http://ts.21cn.com/tousu/show/id/1347749","打电话骚扰我家人")</f>
        <v>打电话骚扰我家人</v>
      </c>
      <c r="C16026" s="2" t="s">
        <v>9</v>
      </c>
      <c r="D16026" s="2" t="s">
        <v>10</v>
      </c>
      <c r="E16026" s="2" t="str">
        <f>HYPERLINK("http://ts.21cn.com/tousu/show/id/1347749","http://ts.21cn.com/tousu/show/id/1347749")</f>
        <v>http://ts.21cn.com/tousu/show/id/1347749</v>
      </c>
      <c r="F16026" s="2" t="s">
        <v>11</v>
      </c>
      <c r="G16026" s="2" t="s">
        <v>12658</v>
      </c>
      <c r="H16026" s="2" t="s">
        <v>12659</v>
      </c>
    </row>
    <row r="16027" spans="1:8" ht="25.05" customHeight="1" x14ac:dyDescent="0.25">
      <c r="A16027" s="2" t="s">
        <v>8</v>
      </c>
      <c r="B16027" s="2" t="str">
        <f>HYPERLINK("http://ts.21cn.com/tousu/show/id/1347754","国美易卡不给提前结清，服务费、增值费、管理费不明不白")</f>
        <v>国美易卡不给提前结清，服务费、增值费、管理费不明不白</v>
      </c>
      <c r="C16027" s="2" t="s">
        <v>9</v>
      </c>
      <c r="D16027" s="2" t="s">
        <v>10</v>
      </c>
      <c r="E16027" s="2" t="str">
        <f>HYPERLINK("http://ts.21cn.com/tousu/show/id/1347754","http://ts.21cn.com/tousu/show/id/1347754")</f>
        <v>http://ts.21cn.com/tousu/show/id/1347754</v>
      </c>
      <c r="F16027" s="2" t="s">
        <v>11</v>
      </c>
      <c r="G16027" s="2" t="s">
        <v>12656</v>
      </c>
      <c r="H16027" s="2" t="s">
        <v>12657</v>
      </c>
    </row>
    <row r="16028" spans="1:8" ht="25.05" customHeight="1" x14ac:dyDescent="0.25">
      <c r="A16028" s="2" t="s">
        <v>8</v>
      </c>
      <c r="B16028" s="2" t="str">
        <f>HYPERLINK("http://ts.21cn.com/tousu/show/id/1347750","融360多款借款软件高利贷砍头息")</f>
        <v>融360多款借款软件高利贷砍头息</v>
      </c>
      <c r="C16028" s="2" t="s">
        <v>9</v>
      </c>
      <c r="D16028" s="2" t="s">
        <v>10</v>
      </c>
      <c r="E16028" s="2" t="str">
        <f>HYPERLINK("http://ts.21cn.com/tousu/show/id/1347750","http://ts.21cn.com/tousu/show/id/1347750")</f>
        <v>http://ts.21cn.com/tousu/show/id/1347750</v>
      </c>
      <c r="F16028" s="2" t="s">
        <v>11</v>
      </c>
      <c r="G16028" s="2" t="s">
        <v>12654</v>
      </c>
      <c r="H16028" s="2" t="s">
        <v>12655</v>
      </c>
    </row>
    <row r="16029" spans="1:8" ht="25.05" customHeight="1" x14ac:dyDescent="0.25">
      <c r="A16029" s="2" t="s">
        <v>8</v>
      </c>
      <c r="B16029" s="2" t="str">
        <f>HYPERLINK("http://ts.21cn.com/tousu/show/id/1347751","恒昌公司暴力催收")</f>
        <v>恒昌公司暴力催收</v>
      </c>
      <c r="C16029" s="2" t="s">
        <v>9</v>
      </c>
      <c r="D16029" s="2" t="s">
        <v>10</v>
      </c>
      <c r="E16029" s="2" t="str">
        <f>HYPERLINK("http://ts.21cn.com/tousu/show/id/1347751","http://ts.21cn.com/tousu/show/id/1347751")</f>
        <v>http://ts.21cn.com/tousu/show/id/1347751</v>
      </c>
      <c r="F16029" s="2" t="s">
        <v>11</v>
      </c>
      <c r="G16029" s="2" t="s">
        <v>12652</v>
      </c>
      <c r="H16029" s="2" t="s">
        <v>12653</v>
      </c>
    </row>
    <row r="16030" spans="1:8" ht="25.05" customHeight="1" x14ac:dyDescent="0.25">
      <c r="A16030" s="2" t="s">
        <v>8</v>
      </c>
      <c r="B16030" s="2" t="str">
        <f>HYPERLINK("http://ts.21cn.com/tousu/show/id/1347752","小象优品借款利息太高提前结清无减免")</f>
        <v>小象优品借款利息太高提前结清无减免</v>
      </c>
      <c r="C16030" s="2" t="s">
        <v>9</v>
      </c>
      <c r="D16030" s="2" t="s">
        <v>10</v>
      </c>
      <c r="E16030" s="2" t="str">
        <f>HYPERLINK("http://ts.21cn.com/tousu/show/id/1347752","http://ts.21cn.com/tousu/show/id/1347752")</f>
        <v>http://ts.21cn.com/tousu/show/id/1347752</v>
      </c>
      <c r="F16030" s="2" t="s">
        <v>11</v>
      </c>
      <c r="G16030" s="2" t="s">
        <v>12650</v>
      </c>
      <c r="H16030" s="2" t="s">
        <v>12651</v>
      </c>
    </row>
    <row r="16031" spans="1:8" ht="25.05" customHeight="1" x14ac:dyDescent="0.25">
      <c r="A16031" s="2" t="s">
        <v>8</v>
      </c>
      <c r="B16031" s="2" t="str">
        <f>HYPERLINK("http://ts.21cn.com/tousu/show/id/1347753","杭州伟福科技有限公司乱福扣费")</f>
        <v>杭州伟福科技有限公司乱福扣费</v>
      </c>
      <c r="C16031" s="2" t="s">
        <v>34</v>
      </c>
      <c r="D16031" s="2" t="s">
        <v>10</v>
      </c>
      <c r="E16031" s="2" t="str">
        <f>HYPERLINK("http://ts.21cn.com/tousu/show/id/1347753","http://ts.21cn.com/tousu/show/id/1347753")</f>
        <v>http://ts.21cn.com/tousu/show/id/1347753</v>
      </c>
      <c r="F16031" s="2" t="s">
        <v>11</v>
      </c>
      <c r="G16031" s="2" t="s">
        <v>12648</v>
      </c>
      <c r="H16031" s="2" t="s">
        <v>12649</v>
      </c>
    </row>
    <row r="16032" spans="1:8" ht="25.05" customHeight="1" x14ac:dyDescent="0.25">
      <c r="A16032" s="2" t="s">
        <v>8</v>
      </c>
      <c r="B16032" s="2" t="str">
        <f>HYPERLINK("http://ts.21cn.com/tousu/show/id/1347755","洲迹通科技公司，助借通")</f>
        <v>洲迹通科技公司，助借通</v>
      </c>
      <c r="C16032" s="2" t="s">
        <v>9</v>
      </c>
      <c r="D16032" s="2" t="s">
        <v>10</v>
      </c>
      <c r="E16032" s="2" t="str">
        <f>HYPERLINK("http://ts.21cn.com/tousu/show/id/1347755","http://ts.21cn.com/tousu/show/id/1347755")</f>
        <v>http://ts.21cn.com/tousu/show/id/1347755</v>
      </c>
      <c r="F16032" s="2" t="s">
        <v>11</v>
      </c>
      <c r="G16032" s="2" t="s">
        <v>12646</v>
      </c>
      <c r="H16032" s="2" t="s">
        <v>12647</v>
      </c>
    </row>
    <row r="16033" spans="1:8" ht="25.05" customHeight="1" x14ac:dyDescent="0.25">
      <c r="A16033" s="2" t="s">
        <v>8</v>
      </c>
      <c r="B16033" s="2" t="str">
        <f>HYPERLINK("http://ts.21cn.com/tousu/show/id/1347759","小马管家破产，充值APP里的款不知去向")</f>
        <v>小马管家破产，充值APP里的款不知去向</v>
      </c>
      <c r="C16033" s="2" t="s">
        <v>9</v>
      </c>
      <c r="D16033" s="2" t="s">
        <v>10</v>
      </c>
      <c r="E16033" s="2" t="str">
        <f>HYPERLINK("http://ts.21cn.com/tousu/show/id/1347759","http://ts.21cn.com/tousu/show/id/1347759")</f>
        <v>http://ts.21cn.com/tousu/show/id/1347759</v>
      </c>
      <c r="F16033" s="2" t="s">
        <v>11</v>
      </c>
      <c r="G16033" s="2" t="s">
        <v>12644</v>
      </c>
      <c r="H16033" s="2" t="s">
        <v>12645</v>
      </c>
    </row>
    <row r="16034" spans="1:8" ht="25.05" customHeight="1" x14ac:dyDescent="0.25">
      <c r="A16034" s="2" t="s">
        <v>8</v>
      </c>
      <c r="B16034" s="2" t="str">
        <f>HYPERLINK("http://ts.21cn.com/tousu/show/id/1347756","融360相关产品原子贷（现时光分期）非法向学生放款")</f>
        <v>融360相关产品原子贷（现时光分期）非法向学生放款</v>
      </c>
      <c r="C16034" s="2" t="s">
        <v>9</v>
      </c>
      <c r="D16034" s="2" t="s">
        <v>10</v>
      </c>
      <c r="E16034" s="2" t="str">
        <f>HYPERLINK("http://ts.21cn.com/tousu/show/id/1347756","http://ts.21cn.com/tousu/show/id/1347756")</f>
        <v>http://ts.21cn.com/tousu/show/id/1347756</v>
      </c>
      <c r="F16034" s="2" t="s">
        <v>11</v>
      </c>
      <c r="G16034" s="2" t="s">
        <v>12642</v>
      </c>
      <c r="H16034" s="2" t="s">
        <v>12643</v>
      </c>
    </row>
    <row r="16035" spans="1:8" ht="25.05" customHeight="1" x14ac:dyDescent="0.25">
      <c r="A16035" s="2" t="s">
        <v>8</v>
      </c>
      <c r="B16035" s="2" t="str">
        <f>HYPERLINK("http://ts.21cn.com/tousu/show/id/1347757","尚德机构不给学生退费")</f>
        <v>尚德机构不给学生退费</v>
      </c>
      <c r="C16035" s="2" t="s">
        <v>9</v>
      </c>
      <c r="D16035" s="2" t="s">
        <v>10</v>
      </c>
      <c r="E16035" s="2" t="str">
        <f>HYPERLINK("http://ts.21cn.com/tousu/show/id/1347757","http://ts.21cn.com/tousu/show/id/1347757")</f>
        <v>http://ts.21cn.com/tousu/show/id/1347757</v>
      </c>
      <c r="F16035" s="2" t="s">
        <v>11</v>
      </c>
      <c r="G16035" s="2" t="s">
        <v>12640</v>
      </c>
      <c r="H16035" s="2" t="s">
        <v>12641</v>
      </c>
    </row>
    <row r="16036" spans="1:8" ht="25.05" customHeight="1" x14ac:dyDescent="0.25">
      <c r="A16036" s="2" t="s">
        <v>8</v>
      </c>
      <c r="B16036" s="2" t="str">
        <f>HYPERLINK("http://ts.21cn.com/tousu/show/id/1347741","微店买到打卡器是假货")</f>
        <v>微店买到打卡器是假货</v>
      </c>
      <c r="C16036" s="2" t="s">
        <v>9</v>
      </c>
      <c r="D16036" s="2" t="s">
        <v>10</v>
      </c>
      <c r="E16036" s="2" t="str">
        <f>HYPERLINK("http://ts.21cn.com/tousu/show/id/1347741","http://ts.21cn.com/tousu/show/id/1347741")</f>
        <v>http://ts.21cn.com/tousu/show/id/1347741</v>
      </c>
      <c r="F16036" s="2" t="s">
        <v>11</v>
      </c>
      <c r="G16036" s="2" t="s">
        <v>12638</v>
      </c>
      <c r="H16036" s="2" t="s">
        <v>12639</v>
      </c>
    </row>
    <row r="16037" spans="1:8" ht="25.05" customHeight="1" x14ac:dyDescent="0.25">
      <c r="A16037" s="2" t="s">
        <v>8</v>
      </c>
      <c r="B16037" s="2" t="str">
        <f>HYPERLINK("http://ts.21cn.com/tousu/show/id/1347758","暴力催收，轰炸手机，带威胁")</f>
        <v>暴力催收，轰炸手机，带威胁</v>
      </c>
      <c r="C16037" s="2" t="s">
        <v>9</v>
      </c>
      <c r="D16037" s="2" t="s">
        <v>10</v>
      </c>
      <c r="E16037" s="2" t="str">
        <f>HYPERLINK("http://ts.21cn.com/tousu/show/id/1347758","http://ts.21cn.com/tousu/show/id/1347758")</f>
        <v>http://ts.21cn.com/tousu/show/id/1347758</v>
      </c>
      <c r="F16037" s="2" t="s">
        <v>11</v>
      </c>
      <c r="G16037" s="2" t="s">
        <v>12636</v>
      </c>
      <c r="H16037" s="2" t="s">
        <v>12637</v>
      </c>
    </row>
    <row r="16038" spans="1:8" ht="25.05" customHeight="1" x14ac:dyDescent="0.25">
      <c r="A16038" s="2" t="s">
        <v>8</v>
      </c>
      <c r="B16038" s="2" t="str">
        <f>HYPERLINK("http://ts.21cn.com/tousu/show/id/1347761","闪电借款平台变相以买会员形式的方式，强制购买会员")</f>
        <v>闪电借款平台变相以买会员形式的方式，强制购买会员</v>
      </c>
      <c r="C16038" s="2" t="s">
        <v>9</v>
      </c>
      <c r="D16038" s="2" t="s">
        <v>10</v>
      </c>
      <c r="E16038" s="2" t="str">
        <f>HYPERLINK("http://ts.21cn.com/tousu/show/id/1347761","http://ts.21cn.com/tousu/show/id/1347761")</f>
        <v>http://ts.21cn.com/tousu/show/id/1347761</v>
      </c>
      <c r="F16038" s="2" t="s">
        <v>11</v>
      </c>
      <c r="G16038" s="2" t="s">
        <v>12634</v>
      </c>
      <c r="H16038" s="2" t="s">
        <v>12635</v>
      </c>
    </row>
    <row r="16039" spans="1:8" ht="25.05" customHeight="1" x14ac:dyDescent="0.25">
      <c r="A16039" s="2" t="s">
        <v>8</v>
      </c>
      <c r="B16039" s="2" t="str">
        <f>HYPERLINK("http://ts.21cn.com/tousu/show/id/1347760","马上金融")</f>
        <v>马上金融</v>
      </c>
      <c r="C16039" s="2" t="s">
        <v>9</v>
      </c>
      <c r="D16039" s="2" t="s">
        <v>10</v>
      </c>
      <c r="E16039" s="2" t="str">
        <f>HYPERLINK("http://ts.21cn.com/tousu/show/id/1347760","http://ts.21cn.com/tousu/show/id/1347760")</f>
        <v>http://ts.21cn.com/tousu/show/id/1347760</v>
      </c>
      <c r="F16039" s="2" t="s">
        <v>11</v>
      </c>
      <c r="G16039" s="2" t="s">
        <v>12632</v>
      </c>
      <c r="H16039" s="2" t="s">
        <v>12633</v>
      </c>
    </row>
    <row r="16040" spans="1:8" ht="25.05" customHeight="1" x14ac:dyDescent="0.25">
      <c r="A16040" s="2" t="s">
        <v>8</v>
      </c>
      <c r="B16040" s="2" t="str">
        <f>HYPERLINK("http://ts.21cn.com/tousu/show/id/1347762","小铺优客无缘无故扣款")</f>
        <v>小铺优客无缘无故扣款</v>
      </c>
      <c r="C16040" s="2" t="s">
        <v>9</v>
      </c>
      <c r="D16040" s="2" t="s">
        <v>10</v>
      </c>
      <c r="E16040" s="2" t="str">
        <f>HYPERLINK("http://ts.21cn.com/tousu/show/id/1347762","http://ts.21cn.com/tousu/show/id/1347762")</f>
        <v>http://ts.21cn.com/tousu/show/id/1347762</v>
      </c>
      <c r="F16040" s="2" t="s">
        <v>11</v>
      </c>
      <c r="G16040" s="2" t="s">
        <v>12630</v>
      </c>
      <c r="H16040" s="2" t="s">
        <v>12631</v>
      </c>
    </row>
    <row r="16041" spans="1:8" ht="25.05" customHeight="1" x14ac:dyDescent="0.25">
      <c r="A16041" s="2" t="s">
        <v>8</v>
      </c>
      <c r="B16041" s="2" t="str">
        <f>HYPERLINK("http://ts.21cn.com/tousu/show/id/1347763","群发损坏名誉，骚扰通讯录")</f>
        <v>群发损坏名誉，骚扰通讯录</v>
      </c>
      <c r="C16041" s="2" t="s">
        <v>9</v>
      </c>
      <c r="D16041" s="2" t="s">
        <v>10</v>
      </c>
      <c r="E16041" s="2" t="str">
        <f>HYPERLINK("http://ts.21cn.com/tousu/show/id/1347763","http://ts.21cn.com/tousu/show/id/1347763")</f>
        <v>http://ts.21cn.com/tousu/show/id/1347763</v>
      </c>
      <c r="F16041" s="2" t="s">
        <v>11</v>
      </c>
      <c r="G16041" s="2" t="s">
        <v>12628</v>
      </c>
      <c r="H16041" s="2" t="s">
        <v>12629</v>
      </c>
    </row>
    <row r="16042" spans="1:8" ht="25.05" customHeight="1" x14ac:dyDescent="0.25">
      <c r="A16042" s="2" t="s">
        <v>8</v>
      </c>
      <c r="B16042" s="2" t="str">
        <f>HYPERLINK("http://ts.21cn.com/tousu/show/id/1347764","平安普惠存在不明确收费款项")</f>
        <v>平安普惠存在不明确收费款项</v>
      </c>
      <c r="C16042" s="2" t="s">
        <v>34</v>
      </c>
      <c r="D16042" s="2" t="s">
        <v>10</v>
      </c>
      <c r="E16042" s="2" t="str">
        <f>HYPERLINK("http://ts.21cn.com/tousu/show/id/1347764","http://ts.21cn.com/tousu/show/id/1347764")</f>
        <v>http://ts.21cn.com/tousu/show/id/1347764</v>
      </c>
      <c r="F16042" s="2" t="s">
        <v>11</v>
      </c>
      <c r="G16042" s="2" t="s">
        <v>12626</v>
      </c>
      <c r="H16042" s="2" t="s">
        <v>12627</v>
      </c>
    </row>
    <row r="16043" spans="1:8" ht="25.05" customHeight="1" x14ac:dyDescent="0.25">
      <c r="A16043" s="2" t="s">
        <v>8</v>
      </c>
      <c r="B16043" s="2" t="str">
        <f>HYPERLINK("http://ts.21cn.com/tousu/show/id/1347613","投诉广东信汇违规提供支付通道")</f>
        <v>投诉广东信汇违规提供支付通道</v>
      </c>
      <c r="C16043" s="2" t="s">
        <v>9</v>
      </c>
      <c r="D16043" s="2" t="s">
        <v>10</v>
      </c>
      <c r="E16043" s="2" t="str">
        <f>HYPERLINK("http://ts.21cn.com/tousu/show/id/1347613","http://ts.21cn.com/tousu/show/id/1347613")</f>
        <v>http://ts.21cn.com/tousu/show/id/1347613</v>
      </c>
      <c r="F16043" s="2" t="s">
        <v>11</v>
      </c>
      <c r="G16043" s="2" t="s">
        <v>12624</v>
      </c>
      <c r="H16043" s="2" t="s">
        <v>12625</v>
      </c>
    </row>
    <row r="16044" spans="1:8" ht="25.05" customHeight="1" x14ac:dyDescent="0.25">
      <c r="A16044" s="2" t="s">
        <v>8</v>
      </c>
      <c r="B16044" s="2" t="str">
        <f>HYPERLINK("http://ts.21cn.com/tousu/show/id/1347765","我的淘宝买家号被创客恶意打标降权")</f>
        <v>我的淘宝买家号被创客恶意打标降权</v>
      </c>
      <c r="C16044" s="2" t="s">
        <v>34</v>
      </c>
      <c r="D16044" s="2" t="s">
        <v>10</v>
      </c>
      <c r="E16044" s="2" t="str">
        <f>HYPERLINK("http://ts.21cn.com/tousu/show/id/1347765","http://ts.21cn.com/tousu/show/id/1347765")</f>
        <v>http://ts.21cn.com/tousu/show/id/1347765</v>
      </c>
      <c r="F16044" s="2" t="s">
        <v>11</v>
      </c>
      <c r="G16044" s="2" t="s">
        <v>12622</v>
      </c>
      <c r="H16044" s="2" t="s">
        <v>12623</v>
      </c>
    </row>
    <row r="16045" spans="1:8" ht="25.05" customHeight="1" x14ac:dyDescent="0.25">
      <c r="A16045" s="2" t="s">
        <v>8</v>
      </c>
      <c r="B16045" s="2" t="str">
        <f>HYPERLINK("http://ts.21cn.com/tousu/show/id/1347767","兴业银行协商还款问题")</f>
        <v>兴业银行协商还款问题</v>
      </c>
      <c r="C16045" s="2" t="s">
        <v>9</v>
      </c>
      <c r="D16045" s="2" t="s">
        <v>10</v>
      </c>
      <c r="E16045" s="2" t="str">
        <f>HYPERLINK("http://ts.21cn.com/tousu/show/id/1347767","http://ts.21cn.com/tousu/show/id/1347767")</f>
        <v>http://ts.21cn.com/tousu/show/id/1347767</v>
      </c>
      <c r="F16045" s="2" t="s">
        <v>11</v>
      </c>
      <c r="G16045" s="2" t="s">
        <v>12620</v>
      </c>
      <c r="H16045" s="2" t="s">
        <v>12621</v>
      </c>
    </row>
    <row r="16046" spans="1:8" ht="25.05" customHeight="1" x14ac:dyDescent="0.25">
      <c r="A16046" s="2" t="s">
        <v>8</v>
      </c>
      <c r="B16046" s="2" t="str">
        <f>HYPERLINK("http://ts.21cn.com/tousu/show/id/1347769","翼支付交电费不到账也不退款")</f>
        <v>翼支付交电费不到账也不退款</v>
      </c>
      <c r="C16046" s="2" t="s">
        <v>9</v>
      </c>
      <c r="D16046" s="2" t="s">
        <v>10</v>
      </c>
      <c r="E16046" s="2" t="str">
        <f>HYPERLINK("http://ts.21cn.com/tousu/show/id/1347769","http://ts.21cn.com/tousu/show/id/1347769")</f>
        <v>http://ts.21cn.com/tousu/show/id/1347769</v>
      </c>
      <c r="F16046" s="2" t="s">
        <v>11</v>
      </c>
      <c r="G16046" s="2" t="s">
        <v>12618</v>
      </c>
      <c r="H16046" s="2" t="s">
        <v>12619</v>
      </c>
    </row>
    <row r="16047" spans="1:8" ht="25.05" customHeight="1" x14ac:dyDescent="0.25">
      <c r="A16047" s="2" t="s">
        <v>8</v>
      </c>
      <c r="B16047" s="2" t="str">
        <f>HYPERLINK("http://ts.21cn.com/tousu/show/id/1347770","宝付跟网贷平台扣取砍头息")</f>
        <v>宝付跟网贷平台扣取砍头息</v>
      </c>
      <c r="C16047" s="2" t="s">
        <v>9</v>
      </c>
      <c r="D16047" s="2" t="s">
        <v>10</v>
      </c>
      <c r="E16047" s="2" t="str">
        <f>HYPERLINK("http://ts.21cn.com/tousu/show/id/1347770","http://ts.21cn.com/tousu/show/id/1347770")</f>
        <v>http://ts.21cn.com/tousu/show/id/1347770</v>
      </c>
      <c r="F16047" s="2" t="s">
        <v>11</v>
      </c>
      <c r="G16047" s="2" t="s">
        <v>12616</v>
      </c>
      <c r="H16047" s="2" t="s">
        <v>12617</v>
      </c>
    </row>
    <row r="16048" spans="1:8" ht="25.05" customHeight="1" x14ac:dyDescent="0.25">
      <c r="A16048" s="2" t="s">
        <v>8</v>
      </c>
      <c r="B16048" s="2" t="str">
        <f>HYPERLINK("http://ts.21cn.com/tousu/show/id/1347771","招商银行催收恶意骚扰")</f>
        <v>招商银行催收恶意骚扰</v>
      </c>
      <c r="C16048" s="2" t="s">
        <v>9</v>
      </c>
      <c r="D16048" s="2" t="s">
        <v>10</v>
      </c>
      <c r="E16048" s="2" t="str">
        <f>HYPERLINK("http://ts.21cn.com/tousu/show/id/1347771","http://ts.21cn.com/tousu/show/id/1347771")</f>
        <v>http://ts.21cn.com/tousu/show/id/1347771</v>
      </c>
      <c r="F16048" s="2" t="s">
        <v>11</v>
      </c>
      <c r="G16048" s="2" t="s">
        <v>12614</v>
      </c>
      <c r="H16048" s="2" t="s">
        <v>12615</v>
      </c>
    </row>
    <row r="16049" spans="1:8" ht="25.05" customHeight="1" x14ac:dyDescent="0.25">
      <c r="A16049" s="2" t="s">
        <v>8</v>
      </c>
      <c r="B16049" s="2" t="str">
        <f>HYPERLINK("http://ts.21cn.com/tousu/show/id/1347772","打扰生活和工作")</f>
        <v>打扰生活和工作</v>
      </c>
      <c r="C16049" s="2" t="s">
        <v>9</v>
      </c>
      <c r="D16049" s="2" t="s">
        <v>10</v>
      </c>
      <c r="E16049" s="2" t="str">
        <f>HYPERLINK("http://ts.21cn.com/tousu/show/id/1347772","http://ts.21cn.com/tousu/show/id/1347772")</f>
        <v>http://ts.21cn.com/tousu/show/id/1347772</v>
      </c>
      <c r="F16049" s="2" t="s">
        <v>11</v>
      </c>
      <c r="G16049" s="2" t="s">
        <v>12612</v>
      </c>
      <c r="H16049" s="2" t="s">
        <v>12613</v>
      </c>
    </row>
    <row r="16050" spans="1:8" ht="25.05" customHeight="1" x14ac:dyDescent="0.25">
      <c r="A16050" s="2" t="s">
        <v>8</v>
      </c>
      <c r="B16050" s="2" t="str">
        <f>HYPERLINK("http://ts.21cn.com/tousu/show/id/1347773","天天打骚扰电话催别人的贷款")</f>
        <v>天天打骚扰电话催别人的贷款</v>
      </c>
      <c r="C16050" s="2" t="s">
        <v>9</v>
      </c>
      <c r="D16050" s="2" t="s">
        <v>10</v>
      </c>
      <c r="E16050" s="2" t="str">
        <f>HYPERLINK("http://ts.21cn.com/tousu/show/id/1347773","http://ts.21cn.com/tousu/show/id/1347773")</f>
        <v>http://ts.21cn.com/tousu/show/id/1347773</v>
      </c>
      <c r="F16050" s="2" t="s">
        <v>11</v>
      </c>
      <c r="G16050" s="2" t="s">
        <v>12610</v>
      </c>
      <c r="H16050" s="2" t="s">
        <v>12611</v>
      </c>
    </row>
    <row r="16051" spans="1:8" ht="25.05" customHeight="1" x14ac:dyDescent="0.25">
      <c r="A16051" s="2" t="s">
        <v>8</v>
      </c>
      <c r="B16051" s="2" t="str">
        <f>HYPERLINK("http://ts.21cn.com/tousu/show/id/1347774","兴业")</f>
        <v>兴业</v>
      </c>
      <c r="C16051" s="2" t="s">
        <v>9</v>
      </c>
      <c r="D16051" s="2" t="s">
        <v>10</v>
      </c>
      <c r="E16051" s="2" t="str">
        <f>HYPERLINK("http://ts.21cn.com/tousu/show/id/1347774","http://ts.21cn.com/tousu/show/id/1347774")</f>
        <v>http://ts.21cn.com/tousu/show/id/1347774</v>
      </c>
      <c r="F16051" s="2" t="s">
        <v>11</v>
      </c>
      <c r="G16051" s="2" t="s">
        <v>12608</v>
      </c>
      <c r="H16051" s="2" t="s">
        <v>12609</v>
      </c>
    </row>
    <row r="16052" spans="1:8" ht="25.05" customHeight="1" x14ac:dyDescent="0.25">
      <c r="A16052" s="2" t="s">
        <v>8</v>
      </c>
      <c r="B16052" s="2" t="str">
        <f>HYPERLINK("http://ts.21cn.com/tousu/show/id/1347775","平安普惠爆通讯录")</f>
        <v>平安普惠爆通讯录</v>
      </c>
      <c r="C16052" s="2" t="s">
        <v>9</v>
      </c>
      <c r="D16052" s="2" t="s">
        <v>10</v>
      </c>
      <c r="E16052" s="2" t="str">
        <f>HYPERLINK("http://ts.21cn.com/tousu/show/id/1347775","http://ts.21cn.com/tousu/show/id/1347775")</f>
        <v>http://ts.21cn.com/tousu/show/id/1347775</v>
      </c>
      <c r="F16052" s="2" t="s">
        <v>11</v>
      </c>
      <c r="G16052" s="2" t="s">
        <v>12606</v>
      </c>
      <c r="H16052" s="2" t="s">
        <v>12607</v>
      </c>
    </row>
    <row r="16053" spans="1:8" ht="25.05" customHeight="1" x14ac:dyDescent="0.25">
      <c r="A16053" s="2" t="s">
        <v>8</v>
      </c>
      <c r="B16053" s="2" t="str">
        <f>HYPERLINK("http://ts.21cn.com/tousu/show/id/1347776","钱站高息，暴力催收")</f>
        <v>钱站高息，暴力催收</v>
      </c>
      <c r="C16053" s="2" t="s">
        <v>9</v>
      </c>
      <c r="D16053" s="2" t="s">
        <v>10</v>
      </c>
      <c r="E16053" s="2" t="str">
        <f>HYPERLINK("http://ts.21cn.com/tousu/show/id/1347776","http://ts.21cn.com/tousu/show/id/1347776")</f>
        <v>http://ts.21cn.com/tousu/show/id/1347776</v>
      </c>
      <c r="F16053" s="2" t="s">
        <v>11</v>
      </c>
      <c r="G16053" s="2" t="s">
        <v>12605</v>
      </c>
      <c r="H16053" s="2" t="s">
        <v>9424</v>
      </c>
    </row>
    <row r="16054" spans="1:8" ht="25.05" customHeight="1" x14ac:dyDescent="0.25">
      <c r="A16054" s="2" t="s">
        <v>8</v>
      </c>
      <c r="B16054" s="2" t="str">
        <f>HYPERLINK("http://ts.21cn.com/tousu/show/id/1347777","不退还咨询费，高利息，套路贷，恶意催收")</f>
        <v>不退还咨询费，高利息，套路贷，恶意催收</v>
      </c>
      <c r="C16054" s="2" t="s">
        <v>9</v>
      </c>
      <c r="D16054" s="2" t="s">
        <v>10</v>
      </c>
      <c r="E16054" s="2" t="str">
        <f>HYPERLINK("http://ts.21cn.com/tousu/show/id/1347777","http://ts.21cn.com/tousu/show/id/1347777")</f>
        <v>http://ts.21cn.com/tousu/show/id/1347777</v>
      </c>
      <c r="F16054" s="2" t="s">
        <v>11</v>
      </c>
      <c r="G16054" s="2" t="s">
        <v>12603</v>
      </c>
      <c r="H16054" s="2" t="s">
        <v>12604</v>
      </c>
    </row>
    <row r="16055" spans="1:8" ht="25.05" customHeight="1" x14ac:dyDescent="0.25">
      <c r="A16055" s="2" t="s">
        <v>8</v>
      </c>
      <c r="B16055" s="2" t="str">
        <f>HYPERLINK("http://ts.21cn.com/tousu/show/id/1347778","拍来贷暴力催收骚扰家人朋友")</f>
        <v>拍来贷暴力催收骚扰家人朋友</v>
      </c>
      <c r="C16055" s="2" t="s">
        <v>9</v>
      </c>
      <c r="D16055" s="2" t="s">
        <v>10</v>
      </c>
      <c r="E16055" s="2" t="str">
        <f>HYPERLINK("http://ts.21cn.com/tousu/show/id/1347778","http://ts.21cn.com/tousu/show/id/1347778")</f>
        <v>http://ts.21cn.com/tousu/show/id/1347778</v>
      </c>
      <c r="F16055" s="2" t="s">
        <v>11</v>
      </c>
      <c r="G16055" s="2" t="s">
        <v>12601</v>
      </c>
      <c r="H16055" s="2" t="s">
        <v>12602</v>
      </c>
    </row>
    <row r="16056" spans="1:8" ht="25.05" customHeight="1" x14ac:dyDescent="0.25">
      <c r="A16056" s="2" t="s">
        <v>8</v>
      </c>
      <c r="B16056" s="2" t="str">
        <f>HYPERLINK("http://ts.21cn.com/tousu/show/id/1347781","我来贷还款问题")</f>
        <v>我来贷还款问题</v>
      </c>
      <c r="C16056" s="2" t="s">
        <v>34</v>
      </c>
      <c r="D16056" s="2" t="s">
        <v>10</v>
      </c>
      <c r="E16056" s="2" t="str">
        <f>HYPERLINK("http://ts.21cn.com/tousu/show/id/1347781","http://ts.21cn.com/tousu/show/id/1347781")</f>
        <v>http://ts.21cn.com/tousu/show/id/1347781</v>
      </c>
      <c r="F16056" s="2" t="s">
        <v>11</v>
      </c>
      <c r="G16056" s="2" t="s">
        <v>12599</v>
      </c>
      <c r="H16056" s="2" t="s">
        <v>12600</v>
      </c>
    </row>
    <row r="16057" spans="1:8" ht="25.05" customHeight="1" x14ac:dyDescent="0.25">
      <c r="A16057" s="2" t="s">
        <v>8</v>
      </c>
      <c r="B16057" s="2" t="str">
        <f>HYPERLINK("http://ts.21cn.com/tousu/show/id/1347782","投诉苏宁易购七天无理由退换货就是幌子")</f>
        <v>投诉苏宁易购七天无理由退换货就是幌子</v>
      </c>
      <c r="C16057" s="2" t="s">
        <v>34</v>
      </c>
      <c r="D16057" s="2" t="s">
        <v>10</v>
      </c>
      <c r="E16057" s="2" t="str">
        <f>HYPERLINK("http://ts.21cn.com/tousu/show/id/1347782","http://ts.21cn.com/tousu/show/id/1347782")</f>
        <v>http://ts.21cn.com/tousu/show/id/1347782</v>
      </c>
      <c r="F16057" s="2" t="s">
        <v>11</v>
      </c>
      <c r="G16057" s="2" t="s">
        <v>12596</v>
      </c>
      <c r="H16057" s="2" t="s">
        <v>12597</v>
      </c>
    </row>
    <row r="16058" spans="1:8" ht="25.05" customHeight="1" x14ac:dyDescent="0.25">
      <c r="A16058" s="2" t="s">
        <v>8</v>
      </c>
      <c r="B16058" s="2" t="str">
        <f>HYPERLINK("http://ts.21cn.com/tousu/show/id/1347779","由于驾驶共享汽车违章，处理违章时改官方无法出示纸质行驶证导致无法处理以至于扣除押金1000元")</f>
        <v>由于驾驶共享汽车违章，处理违章时改官方无法出示纸质行驶证导致无法处理以至于扣除押金1000元</v>
      </c>
      <c r="C16058" s="2" t="s">
        <v>9</v>
      </c>
      <c r="D16058" s="2" t="s">
        <v>10</v>
      </c>
      <c r="E16058" s="2" t="str">
        <f>HYPERLINK("http://ts.21cn.com/tousu/show/id/1347779","http://ts.21cn.com/tousu/show/id/1347779")</f>
        <v>http://ts.21cn.com/tousu/show/id/1347779</v>
      </c>
      <c r="F16058" s="2" t="s">
        <v>11</v>
      </c>
      <c r="G16058" s="2" t="s">
        <v>12596</v>
      </c>
      <c r="H16058" s="2" t="s">
        <v>12598</v>
      </c>
    </row>
    <row r="16059" spans="1:8" ht="25.05" customHeight="1" x14ac:dyDescent="0.25">
      <c r="A16059" s="2" t="s">
        <v>8</v>
      </c>
      <c r="B16059" s="2" t="str">
        <f>HYPERLINK("http://ts.21cn.com/tousu/show/id/1347780","宝付支付涉嫌盗刷")</f>
        <v>宝付支付涉嫌盗刷</v>
      </c>
      <c r="C16059" s="2" t="s">
        <v>9</v>
      </c>
      <c r="D16059" s="2" t="s">
        <v>10</v>
      </c>
      <c r="E16059" s="2" t="str">
        <f>HYPERLINK("http://ts.21cn.com/tousu/show/id/1347780","http://ts.21cn.com/tousu/show/id/1347780")</f>
        <v>http://ts.21cn.com/tousu/show/id/1347780</v>
      </c>
      <c r="F16059" s="2" t="s">
        <v>11</v>
      </c>
      <c r="G16059" s="2" t="s">
        <v>12594</v>
      </c>
      <c r="H16059" s="2" t="s">
        <v>12595</v>
      </c>
    </row>
    <row r="16060" spans="1:8" ht="25.05" customHeight="1" x14ac:dyDescent="0.25">
      <c r="A16060" s="2" t="s">
        <v>8</v>
      </c>
      <c r="B16060" s="2" t="str">
        <f>HYPERLINK("http://ts.21cn.com/tousu/show/id/1347783","威胁恐吓")</f>
        <v>威胁恐吓</v>
      </c>
      <c r="C16060" s="2" t="s">
        <v>9</v>
      </c>
      <c r="D16060" s="2" t="s">
        <v>10</v>
      </c>
      <c r="E16060" s="2" t="str">
        <f>HYPERLINK("http://ts.21cn.com/tousu/show/id/1347783","http://ts.21cn.com/tousu/show/id/1347783")</f>
        <v>http://ts.21cn.com/tousu/show/id/1347783</v>
      </c>
      <c r="F16060" s="2" t="s">
        <v>11</v>
      </c>
      <c r="G16060" s="2" t="s">
        <v>12592</v>
      </c>
      <c r="H16060" s="2" t="s">
        <v>12593</v>
      </c>
    </row>
    <row r="16061" spans="1:8" ht="25.05" customHeight="1" x14ac:dyDescent="0.25">
      <c r="A16061" s="2" t="s">
        <v>8</v>
      </c>
      <c r="B16061" s="2" t="str">
        <f>HYPERLINK("http://ts.21cn.com/tousu/show/id/1347784","造艺隐藏字眼，盗扣，诱导消费者，性质恶劣")</f>
        <v>造艺隐藏字眼，盗扣，诱导消费者，性质恶劣</v>
      </c>
      <c r="C16061" s="2" t="s">
        <v>9</v>
      </c>
      <c r="D16061" s="2" t="s">
        <v>10</v>
      </c>
      <c r="E16061" s="2" t="str">
        <f>HYPERLINK("http://ts.21cn.com/tousu/show/id/1347784","http://ts.21cn.com/tousu/show/id/1347784")</f>
        <v>http://ts.21cn.com/tousu/show/id/1347784</v>
      </c>
      <c r="F16061" s="2" t="s">
        <v>11</v>
      </c>
      <c r="G16061" s="2" t="s">
        <v>12591</v>
      </c>
      <c r="H16061" s="2" t="s">
        <v>307</v>
      </c>
    </row>
    <row r="16062" spans="1:8" ht="25.05" customHeight="1" x14ac:dyDescent="0.25">
      <c r="A16062" s="2" t="s">
        <v>8</v>
      </c>
      <c r="B16062" s="2" t="str">
        <f>HYPERLINK("http://ts.21cn.com/tousu/show/id/1347786","滴滴恶意收取费用")</f>
        <v>滴滴恶意收取费用</v>
      </c>
      <c r="C16062" s="2" t="s">
        <v>9</v>
      </c>
      <c r="D16062" s="2" t="s">
        <v>10</v>
      </c>
      <c r="E16062" s="2" t="str">
        <f>HYPERLINK("http://ts.21cn.com/tousu/show/id/1347786","http://ts.21cn.com/tousu/show/id/1347786")</f>
        <v>http://ts.21cn.com/tousu/show/id/1347786</v>
      </c>
      <c r="F16062" s="2" t="s">
        <v>11</v>
      </c>
      <c r="G16062" s="2" t="s">
        <v>12590</v>
      </c>
      <c r="H16062" s="2" t="s">
        <v>6133</v>
      </c>
    </row>
    <row r="16063" spans="1:8" ht="25.05" customHeight="1" x14ac:dyDescent="0.25">
      <c r="A16063" s="2" t="s">
        <v>8</v>
      </c>
      <c r="B16063" s="2" t="str">
        <f>HYPERLINK("http://ts.21cn.com/tousu/show/id/1347787","和信催收恐吓无关人员")</f>
        <v>和信催收恐吓无关人员</v>
      </c>
      <c r="C16063" s="2" t="s">
        <v>9</v>
      </c>
      <c r="D16063" s="2" t="s">
        <v>10</v>
      </c>
      <c r="E16063" s="2" t="str">
        <f>HYPERLINK("http://ts.21cn.com/tousu/show/id/1347787","http://ts.21cn.com/tousu/show/id/1347787")</f>
        <v>http://ts.21cn.com/tousu/show/id/1347787</v>
      </c>
      <c r="F16063" s="2" t="s">
        <v>11</v>
      </c>
      <c r="G16063" s="2" t="s">
        <v>12588</v>
      </c>
      <c r="H16063" s="2" t="s">
        <v>12589</v>
      </c>
    </row>
    <row r="16064" spans="1:8" ht="25.05" customHeight="1" x14ac:dyDescent="0.25">
      <c r="A16064" s="2" t="s">
        <v>8</v>
      </c>
      <c r="B16064" s="2" t="str">
        <f>HYPERLINK("http://ts.21cn.com/tousu/show/id/1347788","京东更改不了名字对公转账不给销账让还全款")</f>
        <v>京东更改不了名字对公转账不给销账让还全款</v>
      </c>
      <c r="C16064" s="2" t="s">
        <v>34</v>
      </c>
      <c r="D16064" s="2" t="s">
        <v>10</v>
      </c>
      <c r="E16064" s="2" t="str">
        <f>HYPERLINK("http://ts.21cn.com/tousu/show/id/1347788","http://ts.21cn.com/tousu/show/id/1347788")</f>
        <v>http://ts.21cn.com/tousu/show/id/1347788</v>
      </c>
      <c r="F16064" s="2" t="s">
        <v>11</v>
      </c>
      <c r="G16064" s="2" t="s">
        <v>12586</v>
      </c>
      <c r="H16064" s="2" t="s">
        <v>12587</v>
      </c>
    </row>
    <row r="16065" spans="1:8" ht="25.05" customHeight="1" x14ac:dyDescent="0.25">
      <c r="A16065" s="2" t="s">
        <v>8</v>
      </c>
      <c r="B16065" s="2" t="str">
        <f>HYPERLINK("http://ts.21cn.com/tousu/show/id/1347789","京东催收p孩子照片，没人性了？")</f>
        <v>京东催收p孩子照片，没人性了？</v>
      </c>
      <c r="C16065" s="2" t="s">
        <v>9</v>
      </c>
      <c r="D16065" s="2" t="s">
        <v>10</v>
      </c>
      <c r="E16065" s="2" t="str">
        <f>HYPERLINK("http://ts.21cn.com/tousu/show/id/1347789","http://ts.21cn.com/tousu/show/id/1347789")</f>
        <v>http://ts.21cn.com/tousu/show/id/1347789</v>
      </c>
      <c r="F16065" s="2" t="s">
        <v>11</v>
      </c>
      <c r="G16065" s="2" t="s">
        <v>12584</v>
      </c>
      <c r="H16065" s="2" t="s">
        <v>12585</v>
      </c>
    </row>
    <row r="16066" spans="1:8" ht="25.05" customHeight="1" x14ac:dyDescent="0.25">
      <c r="A16066" s="2" t="s">
        <v>8</v>
      </c>
      <c r="B16066" s="2" t="str">
        <f>HYPERLINK("http://ts.21cn.com/tousu/show/id/1347790","闪银催收骚扰")</f>
        <v>闪银催收骚扰</v>
      </c>
      <c r="C16066" s="2" t="s">
        <v>9</v>
      </c>
      <c r="D16066" s="2" t="s">
        <v>10</v>
      </c>
      <c r="E16066" s="2" t="str">
        <f>HYPERLINK("http://ts.21cn.com/tousu/show/id/1347790","http://ts.21cn.com/tousu/show/id/1347790")</f>
        <v>http://ts.21cn.com/tousu/show/id/1347790</v>
      </c>
      <c r="F16066" s="2" t="s">
        <v>11</v>
      </c>
      <c r="G16066" s="2" t="s">
        <v>12582</v>
      </c>
      <c r="H16066" s="2" t="s">
        <v>12583</v>
      </c>
    </row>
    <row r="16067" spans="1:8" ht="25.05" customHeight="1" x14ac:dyDescent="0.25">
      <c r="A16067" s="2" t="s">
        <v>8</v>
      </c>
      <c r="B16067" s="2" t="str">
        <f>HYPERLINK("http://ts.21cn.com/tousu/show/id/1347768","深圳前海富盈金融服务有限公司高利贷、暴力催收、不是还款日内也擅自扣客户款")</f>
        <v>深圳前海富盈金融服务有限公司高利贷、暴力催收、不是还款日内也擅自扣客户款</v>
      </c>
      <c r="C16067" s="2" t="s">
        <v>9</v>
      </c>
      <c r="D16067" s="2" t="s">
        <v>10</v>
      </c>
      <c r="E16067" s="2" t="str">
        <f>HYPERLINK("http://ts.21cn.com/tousu/show/id/1347768","http://ts.21cn.com/tousu/show/id/1347768")</f>
        <v>http://ts.21cn.com/tousu/show/id/1347768</v>
      </c>
      <c r="F16067" s="2" t="s">
        <v>11</v>
      </c>
      <c r="G16067" s="2" t="s">
        <v>12580</v>
      </c>
      <c r="H16067" s="2" t="s">
        <v>12581</v>
      </c>
    </row>
    <row r="16068" spans="1:8" ht="25.05" customHeight="1" x14ac:dyDescent="0.25">
      <c r="A16068" s="2" t="s">
        <v>8</v>
      </c>
      <c r="B16068" s="2" t="str">
        <f>HYPERLINK("http://ts.21cn.com/tousu/show/id/1347791","恶意泄露个人信息")</f>
        <v>恶意泄露个人信息</v>
      </c>
      <c r="C16068" s="2" t="s">
        <v>9</v>
      </c>
      <c r="D16068" s="2" t="s">
        <v>10</v>
      </c>
      <c r="E16068" s="2" t="str">
        <f>HYPERLINK("http://ts.21cn.com/tousu/show/id/1347791","http://ts.21cn.com/tousu/show/id/1347791")</f>
        <v>http://ts.21cn.com/tousu/show/id/1347791</v>
      </c>
      <c r="F16068" s="2" t="s">
        <v>11</v>
      </c>
      <c r="G16068" s="2" t="s">
        <v>12578</v>
      </c>
      <c r="H16068" s="2" t="s">
        <v>12579</v>
      </c>
    </row>
    <row r="16069" spans="1:8" ht="25.05" customHeight="1" x14ac:dyDescent="0.25">
      <c r="A16069" s="2" t="s">
        <v>8</v>
      </c>
      <c r="B16069" s="2" t="str">
        <f>HYPERLINK("http://ts.21cn.com/tousu/show/id/1347792","停止骚扰")</f>
        <v>停止骚扰</v>
      </c>
      <c r="C16069" s="2" t="s">
        <v>9</v>
      </c>
      <c r="D16069" s="2" t="s">
        <v>10</v>
      </c>
      <c r="E16069" s="2" t="str">
        <f>HYPERLINK("http://ts.21cn.com/tousu/show/id/1347792","http://ts.21cn.com/tousu/show/id/1347792")</f>
        <v>http://ts.21cn.com/tousu/show/id/1347792</v>
      </c>
      <c r="F16069" s="2" t="s">
        <v>11</v>
      </c>
      <c r="G16069" s="2" t="s">
        <v>12576</v>
      </c>
      <c r="H16069" s="2" t="s">
        <v>12577</v>
      </c>
    </row>
    <row r="16070" spans="1:8" ht="25.05" customHeight="1" x14ac:dyDescent="0.25">
      <c r="A16070" s="2" t="s">
        <v>8</v>
      </c>
      <c r="B16070" s="2" t="str">
        <f>HYPERLINK("http://ts.21cn.com/tousu/show/id/1347794","小浦优客未经同意扣款")</f>
        <v>小浦优客未经同意扣款</v>
      </c>
      <c r="C16070" s="2" t="s">
        <v>9</v>
      </c>
      <c r="D16070" s="2" t="s">
        <v>10</v>
      </c>
      <c r="E16070" s="2" t="str">
        <f>HYPERLINK("http://ts.21cn.com/tousu/show/id/1347794","http://ts.21cn.com/tousu/show/id/1347794")</f>
        <v>http://ts.21cn.com/tousu/show/id/1347794</v>
      </c>
      <c r="F16070" s="2" t="s">
        <v>11</v>
      </c>
      <c r="G16070" s="2" t="s">
        <v>12574</v>
      </c>
      <c r="H16070" s="2" t="s">
        <v>12575</v>
      </c>
    </row>
    <row r="16071" spans="1:8" ht="25.05" customHeight="1" x14ac:dyDescent="0.25">
      <c r="A16071" s="2" t="s">
        <v>8</v>
      </c>
      <c r="B16071" s="2" t="str">
        <f>HYPERLINK("http://ts.21cn.com/tousu/show/id/1347793","拼多多商家肆意辱骂客服，平台无监管")</f>
        <v>拼多多商家肆意辱骂客服，平台无监管</v>
      </c>
      <c r="C16071" s="2" t="s">
        <v>9</v>
      </c>
      <c r="D16071" s="2" t="s">
        <v>10</v>
      </c>
      <c r="E16071" s="2" t="str">
        <f>HYPERLINK("http://ts.21cn.com/tousu/show/id/1347793","http://ts.21cn.com/tousu/show/id/1347793")</f>
        <v>http://ts.21cn.com/tousu/show/id/1347793</v>
      </c>
      <c r="F16071" s="2" t="s">
        <v>11</v>
      </c>
      <c r="G16071" s="2" t="s">
        <v>12572</v>
      </c>
      <c r="H16071" s="2" t="s">
        <v>12573</v>
      </c>
    </row>
    <row r="16072" spans="1:8" ht="25.05" customHeight="1" x14ac:dyDescent="0.25">
      <c r="A16072" s="2" t="s">
        <v>8</v>
      </c>
      <c r="B16072" s="2" t="str">
        <f>HYPERLINK("http://ts.21cn.com/tousu/show/id/1347796","合利宝支付科技有限公司给黑网贷提供资金接入口")</f>
        <v>合利宝支付科技有限公司给黑网贷提供资金接入口</v>
      </c>
      <c r="C16072" s="2" t="s">
        <v>9</v>
      </c>
      <c r="D16072" s="2" t="s">
        <v>10</v>
      </c>
      <c r="E16072" s="2" t="str">
        <f>HYPERLINK("http://ts.21cn.com/tousu/show/id/1347796","http://ts.21cn.com/tousu/show/id/1347796")</f>
        <v>http://ts.21cn.com/tousu/show/id/1347796</v>
      </c>
      <c r="F16072" s="2" t="s">
        <v>11</v>
      </c>
      <c r="G16072" s="2" t="s">
        <v>12570</v>
      </c>
      <c r="H16072" s="2" t="s">
        <v>12571</v>
      </c>
    </row>
    <row r="16073" spans="1:8" ht="25.05" customHeight="1" x14ac:dyDescent="0.25">
      <c r="A16073" s="2" t="s">
        <v>8</v>
      </c>
      <c r="B16073" s="2" t="str">
        <f>HYPERLINK("http://ts.21cn.com/tousu/show/id/1347795","蚂蚁金服爆我通讯录、打电话群发短信给我通讯录好友")</f>
        <v>蚂蚁金服爆我通讯录、打电话群发短信给我通讯录好友</v>
      </c>
      <c r="C16073" s="2" t="s">
        <v>9</v>
      </c>
      <c r="D16073" s="2" t="s">
        <v>10</v>
      </c>
      <c r="E16073" s="2" t="str">
        <f>HYPERLINK("http://ts.21cn.com/tousu/show/id/1347795","http://ts.21cn.com/tousu/show/id/1347795")</f>
        <v>http://ts.21cn.com/tousu/show/id/1347795</v>
      </c>
      <c r="F16073" s="2" t="s">
        <v>11</v>
      </c>
      <c r="G16073" s="2" t="s">
        <v>12568</v>
      </c>
      <c r="H16073" s="2" t="s">
        <v>12569</v>
      </c>
    </row>
    <row r="16074" spans="1:8" ht="25.05" customHeight="1" x14ac:dyDescent="0.25">
      <c r="A16074" s="2" t="s">
        <v>8</v>
      </c>
      <c r="B16074" s="2" t="str">
        <f>HYPERLINK("http://ts.21cn.com/tousu/show/id/1347798","招联金融在我没有逾期的情况下爆通讯录")</f>
        <v>招联金融在我没有逾期的情况下爆通讯录</v>
      </c>
      <c r="C16074" s="2" t="s">
        <v>9</v>
      </c>
      <c r="D16074" s="2" t="s">
        <v>10</v>
      </c>
      <c r="E16074" s="2" t="str">
        <f>HYPERLINK("http://ts.21cn.com/tousu/show/id/1347798","http://ts.21cn.com/tousu/show/id/1347798")</f>
        <v>http://ts.21cn.com/tousu/show/id/1347798</v>
      </c>
      <c r="F16074" s="2" t="s">
        <v>11</v>
      </c>
      <c r="G16074" s="2" t="s">
        <v>12566</v>
      </c>
      <c r="H16074" s="2" t="s">
        <v>12567</v>
      </c>
    </row>
    <row r="16075" spans="1:8" ht="25.05" customHeight="1" x14ac:dyDescent="0.25">
      <c r="A16075" s="2" t="s">
        <v>8</v>
      </c>
      <c r="B16075" s="2" t="str">
        <f>HYPERLINK("http://ts.21cn.com/tousu/show/id/1347797","立刻出行押金不退还")</f>
        <v>立刻出行押金不退还</v>
      </c>
      <c r="C16075" s="2" t="s">
        <v>9</v>
      </c>
      <c r="D16075" s="2" t="s">
        <v>10</v>
      </c>
      <c r="E16075" s="2" t="str">
        <f>HYPERLINK("http://ts.21cn.com/tousu/show/id/1347797","http://ts.21cn.com/tousu/show/id/1347797")</f>
        <v>http://ts.21cn.com/tousu/show/id/1347797</v>
      </c>
      <c r="F16075" s="2" t="s">
        <v>11</v>
      </c>
      <c r="G16075" s="2" t="s">
        <v>12564</v>
      </c>
      <c r="H16075" s="2" t="s">
        <v>12565</v>
      </c>
    </row>
    <row r="16076" spans="1:8" ht="25.05" customHeight="1" x14ac:dyDescent="0.25">
      <c r="A16076" s="2" t="s">
        <v>8</v>
      </c>
      <c r="B16076" s="2" t="str">
        <f>HYPERLINK("http://ts.21cn.com/tousu/show/id/1347800","严厉打击黑网贷")</f>
        <v>严厉打击黑网贷</v>
      </c>
      <c r="C16076" s="2" t="s">
        <v>34</v>
      </c>
      <c r="D16076" s="2" t="s">
        <v>10</v>
      </c>
      <c r="E16076" s="2" t="str">
        <f>HYPERLINK("http://ts.21cn.com/tousu/show/id/1347800","http://ts.21cn.com/tousu/show/id/1347800")</f>
        <v>http://ts.21cn.com/tousu/show/id/1347800</v>
      </c>
      <c r="F16076" s="2" t="s">
        <v>11</v>
      </c>
      <c r="G16076" s="2" t="s">
        <v>12562</v>
      </c>
      <c r="H16076" s="2" t="s">
        <v>12563</v>
      </c>
    </row>
    <row r="16077" spans="1:8" ht="25.05" customHeight="1" x14ac:dyDescent="0.25">
      <c r="A16077" s="2" t="s">
        <v>8</v>
      </c>
      <c r="B16077" s="2" t="str">
        <f>HYPERLINK("http://ts.21cn.com/tousu/show/id/1347799","投诉光大信用白金卡乱收年费")</f>
        <v>投诉光大信用白金卡乱收年费</v>
      </c>
      <c r="C16077" s="2" t="s">
        <v>9</v>
      </c>
      <c r="D16077" s="2" t="s">
        <v>10</v>
      </c>
      <c r="E16077" s="2" t="str">
        <f>HYPERLINK("http://ts.21cn.com/tousu/show/id/1347799","http://ts.21cn.com/tousu/show/id/1347799")</f>
        <v>http://ts.21cn.com/tousu/show/id/1347799</v>
      </c>
      <c r="F16077" s="2" t="s">
        <v>11</v>
      </c>
      <c r="G16077" s="2" t="s">
        <v>12560</v>
      </c>
      <c r="H16077" s="2" t="s">
        <v>12561</v>
      </c>
    </row>
    <row r="16078" spans="1:8" ht="25.05" customHeight="1" x14ac:dyDescent="0.25">
      <c r="A16078" s="2" t="s">
        <v>8</v>
      </c>
      <c r="B16078" s="2" t="str">
        <f>HYPERLINK("http://ts.21cn.com/tousu/show/id/1347804","飞猪机票霸王条款")</f>
        <v>飞猪机票霸王条款</v>
      </c>
      <c r="C16078" s="2" t="s">
        <v>9</v>
      </c>
      <c r="D16078" s="2" t="s">
        <v>10</v>
      </c>
      <c r="E16078" s="2" t="str">
        <f>HYPERLINK("http://ts.21cn.com/tousu/show/id/1347804","http://ts.21cn.com/tousu/show/id/1347804")</f>
        <v>http://ts.21cn.com/tousu/show/id/1347804</v>
      </c>
      <c r="F16078" s="2" t="s">
        <v>11</v>
      </c>
      <c r="G16078" s="2" t="s">
        <v>12558</v>
      </c>
      <c r="H16078" s="2" t="s">
        <v>12559</v>
      </c>
    </row>
    <row r="16079" spans="1:8" ht="25.05" customHeight="1" x14ac:dyDescent="0.25">
      <c r="A16079" s="2" t="s">
        <v>8</v>
      </c>
      <c r="B16079" s="2" t="str">
        <f>HYPERLINK("http://ts.21cn.com/tousu/show/id/1347805","要求全额退款")</f>
        <v>要求全额退款</v>
      </c>
      <c r="C16079" s="2" t="s">
        <v>34</v>
      </c>
      <c r="D16079" s="2" t="s">
        <v>10</v>
      </c>
      <c r="E16079" s="2" t="str">
        <f>HYPERLINK("http://ts.21cn.com/tousu/show/id/1347805","http://ts.21cn.com/tousu/show/id/1347805")</f>
        <v>http://ts.21cn.com/tousu/show/id/1347805</v>
      </c>
      <c r="F16079" s="2" t="s">
        <v>11</v>
      </c>
      <c r="G16079" s="2" t="s">
        <v>12557</v>
      </c>
      <c r="H16079" s="2" t="s">
        <v>11171</v>
      </c>
    </row>
    <row r="16080" spans="1:8" ht="25.05" customHeight="1" x14ac:dyDescent="0.25">
      <c r="A16080" s="2" t="s">
        <v>8</v>
      </c>
      <c r="B16080" s="2" t="str">
        <f>HYPERLINK("http://ts.21cn.com/tousu/show/id/1347802","嘀嗒出行顺风车司机绕路接多人，平台前后说法自相矛盾，并拒不处理")</f>
        <v>嘀嗒出行顺风车司机绕路接多人，平台前后说法自相矛盾，并拒不处理</v>
      </c>
      <c r="C16080" s="2" t="s">
        <v>9</v>
      </c>
      <c r="D16080" s="2" t="s">
        <v>10</v>
      </c>
      <c r="E16080" s="2" t="str">
        <f>HYPERLINK("http://ts.21cn.com/tousu/show/id/1347802","http://ts.21cn.com/tousu/show/id/1347802")</f>
        <v>http://ts.21cn.com/tousu/show/id/1347802</v>
      </c>
      <c r="F16080" s="2" t="s">
        <v>11</v>
      </c>
      <c r="G16080" s="2" t="s">
        <v>12555</v>
      </c>
      <c r="H16080" s="2" t="s">
        <v>12556</v>
      </c>
    </row>
    <row r="16081" spans="1:8" ht="25.05" customHeight="1" x14ac:dyDescent="0.25">
      <c r="A16081" s="2" t="s">
        <v>8</v>
      </c>
      <c r="B16081" s="2" t="str">
        <f>HYPERLINK("http://ts.21cn.com/tousu/show/id/1347806","交易猫霸王条款强制执行")</f>
        <v>交易猫霸王条款强制执行</v>
      </c>
      <c r="C16081" s="2" t="s">
        <v>9</v>
      </c>
      <c r="D16081" s="2" t="s">
        <v>10</v>
      </c>
      <c r="E16081" s="2" t="str">
        <f>HYPERLINK("http://ts.21cn.com/tousu/show/id/1347806","http://ts.21cn.com/tousu/show/id/1347806")</f>
        <v>http://ts.21cn.com/tousu/show/id/1347806</v>
      </c>
      <c r="F16081" s="2" t="s">
        <v>11</v>
      </c>
      <c r="G16081" s="2" t="s">
        <v>12553</v>
      </c>
      <c r="H16081" s="2" t="s">
        <v>12554</v>
      </c>
    </row>
    <row r="16082" spans="1:8" ht="25.05" customHeight="1" x14ac:dyDescent="0.25">
      <c r="A16082" s="2" t="s">
        <v>8</v>
      </c>
      <c r="B16082" s="2" t="str">
        <f>HYPERLINK("http://ts.21cn.com/tousu/show/id/1347807","滴滴出行未上车先打表，强制消费")</f>
        <v>滴滴出行未上车先打表，强制消费</v>
      </c>
      <c r="C16082" s="2" t="s">
        <v>9</v>
      </c>
      <c r="D16082" s="2" t="s">
        <v>10</v>
      </c>
      <c r="E16082" s="2" t="str">
        <f>HYPERLINK("http://ts.21cn.com/tousu/show/id/1347807","http://ts.21cn.com/tousu/show/id/1347807")</f>
        <v>http://ts.21cn.com/tousu/show/id/1347807</v>
      </c>
      <c r="F16082" s="2" t="s">
        <v>11</v>
      </c>
      <c r="G16082" s="2" t="s">
        <v>12552</v>
      </c>
      <c r="H16082" s="2" t="s">
        <v>961</v>
      </c>
    </row>
    <row r="16083" spans="1:8" ht="25.05" customHeight="1" x14ac:dyDescent="0.25">
      <c r="A16083" s="2" t="s">
        <v>8</v>
      </c>
      <c r="B16083" s="2" t="str">
        <f>HYPERLINK("http://ts.21cn.com/tousu/show/id/1347766","小绿充电")</f>
        <v>小绿充电</v>
      </c>
      <c r="C16083" s="2" t="s">
        <v>9</v>
      </c>
      <c r="D16083" s="2" t="s">
        <v>10</v>
      </c>
      <c r="E16083" s="2" t="str">
        <f>HYPERLINK("http://ts.21cn.com/tousu/show/id/1347766","http://ts.21cn.com/tousu/show/id/1347766")</f>
        <v>http://ts.21cn.com/tousu/show/id/1347766</v>
      </c>
      <c r="F16083" s="2" t="s">
        <v>11</v>
      </c>
      <c r="G16083" s="2" t="s">
        <v>12550</v>
      </c>
      <c r="H16083" s="2" t="s">
        <v>12551</v>
      </c>
    </row>
    <row r="16084" spans="1:8" ht="25.05" customHeight="1" x14ac:dyDescent="0.25">
      <c r="A16084" s="2" t="s">
        <v>8</v>
      </c>
      <c r="B16084" s="2" t="str">
        <f>HYPERLINK("http://ts.21cn.com/tousu/show/id/1347808","资金周转不开，申请延期，催收人员威胁爆通讯录")</f>
        <v>资金周转不开，申请延期，催收人员威胁爆通讯录</v>
      </c>
      <c r="C16084" s="2" t="s">
        <v>9</v>
      </c>
      <c r="D16084" s="2" t="s">
        <v>10</v>
      </c>
      <c r="E16084" s="2" t="str">
        <f>HYPERLINK("http://ts.21cn.com/tousu/show/id/1347808","http://ts.21cn.com/tousu/show/id/1347808")</f>
        <v>http://ts.21cn.com/tousu/show/id/1347808</v>
      </c>
      <c r="F16084" s="2" t="s">
        <v>11</v>
      </c>
      <c r="G16084" s="2" t="s">
        <v>12548</v>
      </c>
      <c r="H16084" s="2" t="s">
        <v>12549</v>
      </c>
    </row>
    <row r="16085" spans="1:8" ht="25.05" customHeight="1" x14ac:dyDescent="0.25">
      <c r="A16085" s="2" t="s">
        <v>8</v>
      </c>
      <c r="B16085" s="2" t="str">
        <f>HYPERLINK("http://ts.21cn.com/tousu/show/id/1347810","多次电话骚扰我亲戚好友")</f>
        <v>多次电话骚扰我亲戚好友</v>
      </c>
      <c r="C16085" s="2" t="s">
        <v>34</v>
      </c>
      <c r="D16085" s="2" t="s">
        <v>10</v>
      </c>
      <c r="E16085" s="2" t="str">
        <f>HYPERLINK("http://ts.21cn.com/tousu/show/id/1347810","http://ts.21cn.com/tousu/show/id/1347810")</f>
        <v>http://ts.21cn.com/tousu/show/id/1347810</v>
      </c>
      <c r="F16085" s="2" t="s">
        <v>11</v>
      </c>
      <c r="G16085" s="2" t="s">
        <v>12546</v>
      </c>
      <c r="H16085" s="2" t="s">
        <v>12547</v>
      </c>
    </row>
    <row r="16086" spans="1:8" ht="25.05" customHeight="1" x14ac:dyDescent="0.25">
      <c r="A16086" s="2" t="s">
        <v>8</v>
      </c>
      <c r="B16086" s="2" t="str">
        <f>HYPERLINK("http://ts.21cn.com/tousu/show/id/1347809","还款页面进不去请魔借自动扣款")</f>
        <v>还款页面进不去请魔借自动扣款</v>
      </c>
      <c r="C16086" s="2" t="s">
        <v>9</v>
      </c>
      <c r="D16086" s="2" t="s">
        <v>10</v>
      </c>
      <c r="E16086" s="2" t="str">
        <f>HYPERLINK("http://ts.21cn.com/tousu/show/id/1347809","http://ts.21cn.com/tousu/show/id/1347809")</f>
        <v>http://ts.21cn.com/tousu/show/id/1347809</v>
      </c>
      <c r="F16086" s="2" t="s">
        <v>11</v>
      </c>
      <c r="G16086" s="2" t="s">
        <v>12544</v>
      </c>
      <c r="H16086" s="2" t="s">
        <v>12545</v>
      </c>
    </row>
    <row r="16087" spans="1:8" ht="25.05" customHeight="1" x14ac:dyDescent="0.25">
      <c r="A16087" s="2" t="s">
        <v>8</v>
      </c>
      <c r="B16087" s="2" t="str">
        <f>HYPERLINK("http://ts.21cn.com/tousu/show/id/1347811","催收骚扰电话天天骚扰我")</f>
        <v>催收骚扰电话天天骚扰我</v>
      </c>
      <c r="C16087" s="2" t="s">
        <v>9</v>
      </c>
      <c r="D16087" s="2" t="s">
        <v>10</v>
      </c>
      <c r="E16087" s="2" t="str">
        <f>HYPERLINK("http://ts.21cn.com/tousu/show/id/1347811","http://ts.21cn.com/tousu/show/id/1347811")</f>
        <v>http://ts.21cn.com/tousu/show/id/1347811</v>
      </c>
      <c r="F16087" s="2" t="s">
        <v>11</v>
      </c>
      <c r="G16087" s="2" t="s">
        <v>12542</v>
      </c>
      <c r="H16087" s="2" t="s">
        <v>12543</v>
      </c>
    </row>
    <row r="16088" spans="1:8" ht="25.05" customHeight="1" x14ac:dyDescent="0.25">
      <c r="A16088" s="2" t="s">
        <v>8</v>
      </c>
      <c r="B16088" s="2" t="str">
        <f>HYPERLINK("http://ts.21cn.com/tousu/show/id/1347813","暴力催收")</f>
        <v>暴力催收</v>
      </c>
      <c r="C16088" s="2" t="s">
        <v>9</v>
      </c>
      <c r="D16088" s="2" t="s">
        <v>10</v>
      </c>
      <c r="E16088" s="2" t="str">
        <f>HYPERLINK("http://ts.21cn.com/tousu/show/id/1347813","http://ts.21cn.com/tousu/show/id/1347813")</f>
        <v>http://ts.21cn.com/tousu/show/id/1347813</v>
      </c>
      <c r="F16088" s="2" t="s">
        <v>11</v>
      </c>
      <c r="G16088" s="2" t="s">
        <v>12540</v>
      </c>
      <c r="H16088" s="2" t="s">
        <v>12541</v>
      </c>
    </row>
    <row r="16089" spans="1:8" ht="25.05" customHeight="1" x14ac:dyDescent="0.25">
      <c r="A16089" s="2" t="s">
        <v>8</v>
      </c>
      <c r="B16089" s="2" t="str">
        <f>HYPERLINK("http://ts.21cn.com/tousu/show/id/1347814","收取高额利息")</f>
        <v>收取高额利息</v>
      </c>
      <c r="C16089" s="2" t="s">
        <v>9</v>
      </c>
      <c r="D16089" s="2" t="s">
        <v>10</v>
      </c>
      <c r="E16089" s="2" t="str">
        <f>HYPERLINK("http://ts.21cn.com/tousu/show/id/1347814","http://ts.21cn.com/tousu/show/id/1347814")</f>
        <v>http://ts.21cn.com/tousu/show/id/1347814</v>
      </c>
      <c r="F16089" s="2" t="s">
        <v>11</v>
      </c>
      <c r="G16089" s="2" t="s">
        <v>12538</v>
      </c>
      <c r="H16089" s="2" t="s">
        <v>12539</v>
      </c>
    </row>
    <row r="16090" spans="1:8" ht="25.05" customHeight="1" x14ac:dyDescent="0.25">
      <c r="A16090" s="2" t="s">
        <v>8</v>
      </c>
      <c r="B16090" s="2" t="str">
        <f>HYPERLINK("http://ts.21cn.com/tousu/show/id/1347816","乱扣钱")</f>
        <v>乱扣钱</v>
      </c>
      <c r="C16090" s="2" t="s">
        <v>9</v>
      </c>
      <c r="D16090" s="2" t="s">
        <v>10</v>
      </c>
      <c r="E16090" s="2" t="str">
        <f>HYPERLINK("http://ts.21cn.com/tousu/show/id/1347816","http://ts.21cn.com/tousu/show/id/1347816")</f>
        <v>http://ts.21cn.com/tousu/show/id/1347816</v>
      </c>
      <c r="F16090" s="2" t="s">
        <v>11</v>
      </c>
      <c r="G16090" s="2" t="s">
        <v>12536</v>
      </c>
      <c r="H16090" s="2" t="s">
        <v>12537</v>
      </c>
    </row>
    <row r="16091" spans="1:8" ht="25.05" customHeight="1" x14ac:dyDescent="0.25">
      <c r="A16091" s="2" t="s">
        <v>8</v>
      </c>
      <c r="B16091" s="2" t="str">
        <f>HYPERLINK("http://ts.21cn.com/tousu/show/id/1347817","中腾信恶意群发短信！骚扰通讯录")</f>
        <v>中腾信恶意群发短信！骚扰通讯录</v>
      </c>
      <c r="C16091" s="2" t="s">
        <v>34</v>
      </c>
      <c r="D16091" s="2" t="s">
        <v>10</v>
      </c>
      <c r="E16091" s="2" t="str">
        <f>HYPERLINK("http://ts.21cn.com/tousu/show/id/1347817","http://ts.21cn.com/tousu/show/id/1347817")</f>
        <v>http://ts.21cn.com/tousu/show/id/1347817</v>
      </c>
      <c r="F16091" s="2" t="s">
        <v>11</v>
      </c>
      <c r="G16091" s="2" t="s">
        <v>12534</v>
      </c>
      <c r="H16091" s="2" t="s">
        <v>12535</v>
      </c>
    </row>
    <row r="16092" spans="1:8" ht="25.05" customHeight="1" x14ac:dyDescent="0.25">
      <c r="A16092" s="2" t="s">
        <v>8</v>
      </c>
      <c r="B16092" s="2" t="str">
        <f>HYPERLINK("http://ts.21cn.com/tousu/show/id/1347818","不退押金")</f>
        <v>不退押金</v>
      </c>
      <c r="C16092" s="2" t="s">
        <v>9</v>
      </c>
      <c r="D16092" s="2" t="s">
        <v>10</v>
      </c>
      <c r="E16092" s="2" t="str">
        <f>HYPERLINK("http://ts.21cn.com/tousu/show/id/1347818","http://ts.21cn.com/tousu/show/id/1347818")</f>
        <v>http://ts.21cn.com/tousu/show/id/1347818</v>
      </c>
      <c r="F16092" s="2" t="s">
        <v>11</v>
      </c>
      <c r="G16092" s="2" t="s">
        <v>12532</v>
      </c>
      <c r="H16092" s="2" t="s">
        <v>12533</v>
      </c>
    </row>
    <row r="16093" spans="1:8" ht="25.05" customHeight="1" x14ac:dyDescent="0.25">
      <c r="A16093" s="2" t="s">
        <v>8</v>
      </c>
      <c r="B16093" s="2" t="str">
        <f>HYPERLINK("http://ts.21cn.com/tousu/show/id/1347819","造艺科技违法暴力催收")</f>
        <v>造艺科技违法暴力催收</v>
      </c>
      <c r="C16093" s="2" t="s">
        <v>9</v>
      </c>
      <c r="D16093" s="2" t="s">
        <v>10</v>
      </c>
      <c r="E16093" s="2" t="str">
        <f>HYPERLINK("http://ts.21cn.com/tousu/show/id/1347819","http://ts.21cn.com/tousu/show/id/1347819")</f>
        <v>http://ts.21cn.com/tousu/show/id/1347819</v>
      </c>
      <c r="F16093" s="2" t="s">
        <v>11</v>
      </c>
      <c r="G16093" s="2" t="s">
        <v>12530</v>
      </c>
      <c r="H16093" s="2" t="s">
        <v>12531</v>
      </c>
    </row>
    <row r="16094" spans="1:8" ht="25.05" customHeight="1" x14ac:dyDescent="0.25">
      <c r="A16094" s="2" t="s">
        <v>8</v>
      </c>
      <c r="B16094" s="2" t="str">
        <f>HYPERLINK("http://ts.21cn.com/tousu/show/id/1347821","我来贷出尔反尔")</f>
        <v>我来贷出尔反尔</v>
      </c>
      <c r="C16094" s="2" t="s">
        <v>9</v>
      </c>
      <c r="D16094" s="2" t="s">
        <v>10</v>
      </c>
      <c r="E16094" s="2" t="str">
        <f>HYPERLINK("http://ts.21cn.com/tousu/show/id/1347821","http://ts.21cn.com/tousu/show/id/1347821")</f>
        <v>http://ts.21cn.com/tousu/show/id/1347821</v>
      </c>
      <c r="F16094" s="2" t="s">
        <v>11</v>
      </c>
      <c r="G16094" s="2" t="s">
        <v>12528</v>
      </c>
      <c r="H16094" s="2" t="s">
        <v>12529</v>
      </c>
    </row>
    <row r="16095" spans="1:8" ht="25.05" customHeight="1" x14ac:dyDescent="0.25">
      <c r="A16095" s="2" t="s">
        <v>8</v>
      </c>
      <c r="B16095" s="2" t="str">
        <f>HYPERLINK("http://ts.21cn.com/tousu/show/id/1347820","贷上钱恶意骚扰")</f>
        <v>贷上钱恶意骚扰</v>
      </c>
      <c r="C16095" s="2" t="s">
        <v>9</v>
      </c>
      <c r="D16095" s="2" t="s">
        <v>10</v>
      </c>
      <c r="E16095" s="2" t="str">
        <f>HYPERLINK("http://ts.21cn.com/tousu/show/id/1347820","http://ts.21cn.com/tousu/show/id/1347820")</f>
        <v>http://ts.21cn.com/tousu/show/id/1347820</v>
      </c>
      <c r="F16095" s="2" t="s">
        <v>11</v>
      </c>
      <c r="G16095" s="2" t="s">
        <v>12526</v>
      </c>
      <c r="H16095" s="2" t="s">
        <v>12527</v>
      </c>
    </row>
    <row r="16096" spans="1:8" ht="25.05" customHeight="1" x14ac:dyDescent="0.25">
      <c r="A16096" s="2" t="s">
        <v>8</v>
      </c>
      <c r="B16096" s="2" t="str">
        <f>HYPERLINK("http://ts.21cn.com/tousu/show/id/1347822","高利贷")</f>
        <v>高利贷</v>
      </c>
      <c r="C16096" s="2" t="s">
        <v>9</v>
      </c>
      <c r="D16096" s="2" t="s">
        <v>10</v>
      </c>
      <c r="E16096" s="2" t="str">
        <f>HYPERLINK("http://ts.21cn.com/tousu/show/id/1347822","http://ts.21cn.com/tousu/show/id/1347822")</f>
        <v>http://ts.21cn.com/tousu/show/id/1347822</v>
      </c>
      <c r="F16096" s="2" t="s">
        <v>11</v>
      </c>
      <c r="G16096" s="2" t="s">
        <v>12524</v>
      </c>
      <c r="H16096" s="2" t="s">
        <v>12525</v>
      </c>
    </row>
    <row r="16097" spans="1:8" ht="25.05" customHeight="1" x14ac:dyDescent="0.25">
      <c r="A16097" s="2" t="s">
        <v>8</v>
      </c>
      <c r="B16097" s="2" t="str">
        <f>HYPERLINK("http://ts.21cn.com/tousu/show/id/1347823","退款失败，钱不到账")</f>
        <v>退款失败，钱不到账</v>
      </c>
      <c r="C16097" s="2" t="s">
        <v>9</v>
      </c>
      <c r="D16097" s="2" t="s">
        <v>10</v>
      </c>
      <c r="E16097" s="2" t="str">
        <f>HYPERLINK("http://ts.21cn.com/tousu/show/id/1347823","http://ts.21cn.com/tousu/show/id/1347823")</f>
        <v>http://ts.21cn.com/tousu/show/id/1347823</v>
      </c>
      <c r="F16097" s="2" t="s">
        <v>11</v>
      </c>
      <c r="G16097" s="2" t="s">
        <v>12522</v>
      </c>
      <c r="H16097" s="2" t="s">
        <v>12523</v>
      </c>
    </row>
    <row r="16098" spans="1:8" ht="25.05" customHeight="1" x14ac:dyDescent="0.25">
      <c r="A16098" s="2" t="s">
        <v>8</v>
      </c>
      <c r="B16098" s="2" t="str">
        <f>HYPERLINK("http://ts.21cn.com/tousu/show/id/1347824","迅捷视频转换器充会员之后用不了")</f>
        <v>迅捷视频转换器充会员之后用不了</v>
      </c>
      <c r="C16098" s="2" t="s">
        <v>34</v>
      </c>
      <c r="D16098" s="2" t="s">
        <v>10</v>
      </c>
      <c r="E16098" s="2" t="str">
        <f>HYPERLINK("http://ts.21cn.com/tousu/show/id/1347824","http://ts.21cn.com/tousu/show/id/1347824")</f>
        <v>http://ts.21cn.com/tousu/show/id/1347824</v>
      </c>
      <c r="F16098" s="2" t="s">
        <v>11</v>
      </c>
      <c r="G16098" s="2" t="s">
        <v>12520</v>
      </c>
      <c r="H16098" s="2" t="s">
        <v>12521</v>
      </c>
    </row>
    <row r="16099" spans="1:8" ht="25.05" customHeight="1" x14ac:dyDescent="0.25">
      <c r="A16099" s="2" t="s">
        <v>8</v>
      </c>
      <c r="B16099" s="2" t="str">
        <f>HYPERLINK("http://ts.21cn.com/tousu/show/id/1347801","拼多多月卡虚假营销误导消费者")</f>
        <v>拼多多月卡虚假营销误导消费者</v>
      </c>
      <c r="C16099" s="2" t="s">
        <v>9</v>
      </c>
      <c r="D16099" s="2" t="s">
        <v>10</v>
      </c>
      <c r="E16099" s="2" t="str">
        <f>HYPERLINK("http://ts.21cn.com/tousu/show/id/1347801","http://ts.21cn.com/tousu/show/id/1347801")</f>
        <v>http://ts.21cn.com/tousu/show/id/1347801</v>
      </c>
      <c r="F16099" s="2" t="s">
        <v>11</v>
      </c>
      <c r="G16099" s="2" t="s">
        <v>12518</v>
      </c>
      <c r="H16099" s="2" t="s">
        <v>12519</v>
      </c>
    </row>
    <row r="16100" spans="1:8" ht="25.05" customHeight="1" x14ac:dyDescent="0.25">
      <c r="A16100" s="2" t="s">
        <v>8</v>
      </c>
      <c r="B16100" s="2" t="str">
        <f>HYPERLINK("http://ts.21cn.com/tousu/show/id/1347825","请分期鸭速度联系我")</f>
        <v>请分期鸭速度联系我</v>
      </c>
      <c r="C16100" s="2" t="s">
        <v>9</v>
      </c>
      <c r="D16100" s="2" t="s">
        <v>10</v>
      </c>
      <c r="E16100" s="2" t="str">
        <f>HYPERLINK("http://ts.21cn.com/tousu/show/id/1347825","http://ts.21cn.com/tousu/show/id/1347825")</f>
        <v>http://ts.21cn.com/tousu/show/id/1347825</v>
      </c>
      <c r="F16100" s="2" t="s">
        <v>11</v>
      </c>
      <c r="G16100" s="2" t="s">
        <v>12516</v>
      </c>
      <c r="H16100" s="2" t="s">
        <v>12517</v>
      </c>
    </row>
    <row r="16101" spans="1:8" ht="25.05" customHeight="1" x14ac:dyDescent="0.25">
      <c r="A16101" s="2" t="s">
        <v>8</v>
      </c>
      <c r="B16101" s="2" t="str">
        <f>HYPERLINK("http://ts.21cn.com/tousu/show/id/1347826","宜信宜人贷高额收取代款利息及砍头息5万多元")</f>
        <v>宜信宜人贷高额收取代款利息及砍头息5万多元</v>
      </c>
      <c r="C16101" s="2" t="s">
        <v>9</v>
      </c>
      <c r="D16101" s="2" t="s">
        <v>10</v>
      </c>
      <c r="E16101" s="2" t="str">
        <f>HYPERLINK("http://ts.21cn.com/tousu/show/id/1347826","http://ts.21cn.com/tousu/show/id/1347826")</f>
        <v>http://ts.21cn.com/tousu/show/id/1347826</v>
      </c>
      <c r="F16101" s="2" t="s">
        <v>11</v>
      </c>
      <c r="G16101" s="2" t="s">
        <v>12514</v>
      </c>
      <c r="H16101" s="2" t="s">
        <v>12515</v>
      </c>
    </row>
    <row r="16102" spans="1:8" ht="25.05" customHeight="1" x14ac:dyDescent="0.25">
      <c r="A16102" s="2" t="s">
        <v>8</v>
      </c>
      <c r="B16102" s="2" t="str">
        <f>HYPERLINK("http://ts.21cn.com/tousu/show/id/1347827","申请网贷一万五给我十万的额度。后面要交宫本费说是。钱没到我银行卡。现在账单显示还款中")</f>
        <v>申请网贷一万五给我十万的额度。后面要交宫本费说是。钱没到我银行卡。现在账单显示还款中</v>
      </c>
      <c r="C16102" s="2" t="s">
        <v>9</v>
      </c>
      <c r="D16102" s="2" t="s">
        <v>10</v>
      </c>
      <c r="E16102" s="2" t="str">
        <f>HYPERLINK("http://ts.21cn.com/tousu/show/id/1347827","http://ts.21cn.com/tousu/show/id/1347827")</f>
        <v>http://ts.21cn.com/tousu/show/id/1347827</v>
      </c>
      <c r="F16102" s="2" t="s">
        <v>11</v>
      </c>
      <c r="G16102" s="2" t="s">
        <v>12512</v>
      </c>
      <c r="H16102" s="2" t="s">
        <v>12513</v>
      </c>
    </row>
    <row r="16103" spans="1:8" ht="25.05" customHeight="1" x14ac:dyDescent="0.25">
      <c r="A16103" s="2" t="s">
        <v>8</v>
      </c>
      <c r="B16103" s="2" t="str">
        <f>HYPERLINK("http://ts.21cn.com/tousu/show/id/1347828","升学教育冒充上市公司诱导消费拒不退款")</f>
        <v>升学教育冒充上市公司诱导消费拒不退款</v>
      </c>
      <c r="C16103" s="2" t="s">
        <v>9</v>
      </c>
      <c r="D16103" s="2" t="s">
        <v>10</v>
      </c>
      <c r="E16103" s="2" t="str">
        <f>HYPERLINK("http://ts.21cn.com/tousu/show/id/1347828","http://ts.21cn.com/tousu/show/id/1347828")</f>
        <v>http://ts.21cn.com/tousu/show/id/1347828</v>
      </c>
      <c r="F16103" s="2" t="s">
        <v>11</v>
      </c>
      <c r="G16103" s="2" t="s">
        <v>12510</v>
      </c>
      <c r="H16103" s="2" t="s">
        <v>12511</v>
      </c>
    </row>
    <row r="16104" spans="1:8" ht="25.05" customHeight="1" x14ac:dyDescent="0.25">
      <c r="A16104" s="2" t="s">
        <v>8</v>
      </c>
      <c r="B16104" s="2" t="str">
        <f>HYPERLINK("http://ts.21cn.com/tousu/show/id/1099265","协商还款")</f>
        <v>协商还款</v>
      </c>
      <c r="C16104" s="2" t="s">
        <v>34</v>
      </c>
      <c r="D16104" s="2" t="s">
        <v>10</v>
      </c>
      <c r="E16104" s="2" t="str">
        <f>HYPERLINK("http://ts.21cn.com/tousu/show/id/1099265","http://ts.21cn.com/tousu/show/id/1099265")</f>
        <v>http://ts.21cn.com/tousu/show/id/1099265</v>
      </c>
      <c r="F16104" s="2" t="s">
        <v>11</v>
      </c>
      <c r="G16104" s="2" t="s">
        <v>12508</v>
      </c>
      <c r="H16104" s="2" t="s">
        <v>12509</v>
      </c>
    </row>
    <row r="16105" spans="1:8" ht="25.05" customHeight="1" x14ac:dyDescent="0.25">
      <c r="A16105" s="2" t="s">
        <v>8</v>
      </c>
      <c r="B16105" s="2" t="str">
        <f>HYPERLINK("http://ts.21cn.com/tousu/show/id/1347829","小浦优客未经同意扣款")</f>
        <v>小浦优客未经同意扣款</v>
      </c>
      <c r="C16105" s="2" t="s">
        <v>9</v>
      </c>
      <c r="D16105" s="2" t="s">
        <v>10</v>
      </c>
      <c r="E16105" s="2" t="str">
        <f>HYPERLINK("http://ts.21cn.com/tousu/show/id/1347829","http://ts.21cn.com/tousu/show/id/1347829")</f>
        <v>http://ts.21cn.com/tousu/show/id/1347829</v>
      </c>
      <c r="F16105" s="2" t="s">
        <v>11</v>
      </c>
      <c r="G16105" s="2" t="s">
        <v>12507</v>
      </c>
      <c r="H16105" s="2" t="s">
        <v>11904</v>
      </c>
    </row>
    <row r="16106" spans="1:8" ht="25.05" customHeight="1" x14ac:dyDescent="0.25">
      <c r="A16106" s="2" t="s">
        <v>8</v>
      </c>
      <c r="B16106" s="2" t="str">
        <f>HYPERLINK("http://ts.21cn.com/tousu/show/id/1347830","买单侠高利贷")</f>
        <v>买单侠高利贷</v>
      </c>
      <c r="C16106" s="2" t="s">
        <v>9</v>
      </c>
      <c r="D16106" s="2" t="s">
        <v>10</v>
      </c>
      <c r="E16106" s="2" t="str">
        <f>HYPERLINK("http://ts.21cn.com/tousu/show/id/1347830","http://ts.21cn.com/tousu/show/id/1347830")</f>
        <v>http://ts.21cn.com/tousu/show/id/1347830</v>
      </c>
      <c r="F16106" s="2" t="s">
        <v>11</v>
      </c>
      <c r="G16106" s="2" t="s">
        <v>12505</v>
      </c>
      <c r="H16106" s="2" t="s">
        <v>12506</v>
      </c>
    </row>
    <row r="16107" spans="1:8" ht="25.05" customHeight="1" x14ac:dyDescent="0.25">
      <c r="A16107" s="2" t="s">
        <v>8</v>
      </c>
      <c r="B16107" s="2" t="str">
        <f>HYPERLINK("http://ts.21cn.com/tousu/show/id/1347831","东莞市轻奢维体健身房第二次无缘无故关门，老板跑路")</f>
        <v>东莞市轻奢维体健身房第二次无缘无故关门，老板跑路</v>
      </c>
      <c r="C16107" s="2" t="s">
        <v>9</v>
      </c>
      <c r="D16107" s="2" t="s">
        <v>10</v>
      </c>
      <c r="E16107" s="2" t="str">
        <f>HYPERLINK("http://ts.21cn.com/tousu/show/id/1347831","http://ts.21cn.com/tousu/show/id/1347831")</f>
        <v>http://ts.21cn.com/tousu/show/id/1347831</v>
      </c>
      <c r="F16107" s="2" t="s">
        <v>11</v>
      </c>
      <c r="G16107" s="2" t="s">
        <v>12504</v>
      </c>
      <c r="H16107" s="2" t="s">
        <v>11404</v>
      </c>
    </row>
    <row r="16108" spans="1:8" ht="25.05" customHeight="1" x14ac:dyDescent="0.25">
      <c r="A16108" s="2" t="s">
        <v>8</v>
      </c>
      <c r="B16108" s="2" t="str">
        <f>HYPERLINK("http://ts.21cn.com/tousu/show/id/1347832","哈啰单车恶意收费")</f>
        <v>哈啰单车恶意收费</v>
      </c>
      <c r="C16108" s="2" t="s">
        <v>9</v>
      </c>
      <c r="D16108" s="2" t="s">
        <v>10</v>
      </c>
      <c r="E16108" s="2" t="str">
        <f>HYPERLINK("http://ts.21cn.com/tousu/show/id/1347832","http://ts.21cn.com/tousu/show/id/1347832")</f>
        <v>http://ts.21cn.com/tousu/show/id/1347832</v>
      </c>
      <c r="F16108" s="2" t="s">
        <v>11</v>
      </c>
      <c r="G16108" s="2" t="s">
        <v>12502</v>
      </c>
      <c r="H16108" s="2" t="s">
        <v>12503</v>
      </c>
    </row>
    <row r="16109" spans="1:8" ht="25.05" customHeight="1" x14ac:dyDescent="0.25">
      <c r="A16109" s="2" t="s">
        <v>8</v>
      </c>
      <c r="B16109" s="2" t="str">
        <f>HYPERLINK("http://ts.21cn.com/tousu/show/id/1347834","深圳万金暴利催收")</f>
        <v>深圳万金暴利催收</v>
      </c>
      <c r="C16109" s="2" t="s">
        <v>9</v>
      </c>
      <c r="D16109" s="2" t="s">
        <v>10</v>
      </c>
      <c r="E16109" s="2" t="str">
        <f>HYPERLINK("http://ts.21cn.com/tousu/show/id/1347834","http://ts.21cn.com/tousu/show/id/1347834")</f>
        <v>http://ts.21cn.com/tousu/show/id/1347834</v>
      </c>
      <c r="F16109" s="2" t="s">
        <v>11</v>
      </c>
      <c r="G16109" s="2" t="s">
        <v>12500</v>
      </c>
      <c r="H16109" s="2" t="s">
        <v>12501</v>
      </c>
    </row>
    <row r="16110" spans="1:8" ht="25.05" customHeight="1" x14ac:dyDescent="0.25">
      <c r="A16110" s="2" t="s">
        <v>8</v>
      </c>
      <c r="B16110" s="2" t="str">
        <f>HYPERLINK("http://ts.21cn.com/tousu/show/id/1347833","暴力催收")</f>
        <v>暴力催收</v>
      </c>
      <c r="C16110" s="2" t="s">
        <v>9</v>
      </c>
      <c r="D16110" s="2" t="s">
        <v>10</v>
      </c>
      <c r="E16110" s="2" t="str">
        <f>HYPERLINK("http://ts.21cn.com/tousu/show/id/1347833","http://ts.21cn.com/tousu/show/id/1347833")</f>
        <v>http://ts.21cn.com/tousu/show/id/1347833</v>
      </c>
      <c r="F16110" s="2" t="s">
        <v>11</v>
      </c>
      <c r="G16110" s="2" t="s">
        <v>12498</v>
      </c>
      <c r="H16110" s="2" t="s">
        <v>12499</v>
      </c>
    </row>
    <row r="16111" spans="1:8" ht="25.05" customHeight="1" x14ac:dyDescent="0.25">
      <c r="A16111" s="2" t="s">
        <v>8</v>
      </c>
      <c r="B16111" s="2" t="str">
        <f>HYPERLINK("http://ts.21cn.com/tousu/show/id/1347835","南京供电局代扣业务不提供撤销服务")</f>
        <v>南京供电局代扣业务不提供撤销服务</v>
      </c>
      <c r="C16111" s="2" t="s">
        <v>9</v>
      </c>
      <c r="D16111" s="2" t="s">
        <v>10</v>
      </c>
      <c r="E16111" s="2" t="str">
        <f>HYPERLINK("http://ts.21cn.com/tousu/show/id/1347835","http://ts.21cn.com/tousu/show/id/1347835")</f>
        <v>http://ts.21cn.com/tousu/show/id/1347835</v>
      </c>
      <c r="F16111" s="2" t="s">
        <v>11</v>
      </c>
      <c r="G16111" s="2" t="s">
        <v>12496</v>
      </c>
      <c r="H16111" s="2" t="s">
        <v>12497</v>
      </c>
    </row>
    <row r="16112" spans="1:8" ht="25.05" customHeight="1" x14ac:dyDescent="0.25">
      <c r="A16112" s="2" t="s">
        <v>8</v>
      </c>
      <c r="B16112" s="2" t="str">
        <f>HYPERLINK("http://ts.21cn.com/tousu/show/id/1347836","恐吓家人，暴力催收")</f>
        <v>恐吓家人，暴力催收</v>
      </c>
      <c r="C16112" s="2" t="s">
        <v>9</v>
      </c>
      <c r="D16112" s="2" t="s">
        <v>10</v>
      </c>
      <c r="E16112" s="2" t="str">
        <f>HYPERLINK("http://ts.21cn.com/tousu/show/id/1347836","http://ts.21cn.com/tousu/show/id/1347836")</f>
        <v>http://ts.21cn.com/tousu/show/id/1347836</v>
      </c>
      <c r="F16112" s="2" t="s">
        <v>11</v>
      </c>
      <c r="G16112" s="2" t="s">
        <v>12494</v>
      </c>
      <c r="H16112" s="2" t="s">
        <v>12495</v>
      </c>
    </row>
    <row r="16113" spans="1:8" ht="25.05" customHeight="1" x14ac:dyDescent="0.25">
      <c r="A16113" s="2" t="s">
        <v>8</v>
      </c>
      <c r="B16113" s="2" t="str">
        <f>HYPERLINK("http://ts.21cn.com/tousu/show/id/1347837","霸王条款不退票")</f>
        <v>霸王条款不退票</v>
      </c>
      <c r="C16113" s="2" t="s">
        <v>9</v>
      </c>
      <c r="D16113" s="2" t="s">
        <v>10</v>
      </c>
      <c r="E16113" s="2" t="str">
        <f>HYPERLINK("http://ts.21cn.com/tousu/show/id/1347837","http://ts.21cn.com/tousu/show/id/1347837")</f>
        <v>http://ts.21cn.com/tousu/show/id/1347837</v>
      </c>
      <c r="F16113" s="2" t="s">
        <v>11</v>
      </c>
      <c r="G16113" s="2" t="s">
        <v>12492</v>
      </c>
      <c r="H16113" s="2" t="s">
        <v>12493</v>
      </c>
    </row>
    <row r="16114" spans="1:8" ht="25.05" customHeight="1" x14ac:dyDescent="0.25">
      <c r="A16114" s="2" t="s">
        <v>8</v>
      </c>
      <c r="B16114" s="2" t="str">
        <f>HYPERLINK("http://ts.21cn.com/tousu/show/id/1347838","利息高的离谱")</f>
        <v>利息高的离谱</v>
      </c>
      <c r="C16114" s="2" t="s">
        <v>9</v>
      </c>
      <c r="D16114" s="2" t="s">
        <v>10</v>
      </c>
      <c r="E16114" s="2" t="str">
        <f>HYPERLINK("http://ts.21cn.com/tousu/show/id/1347838","http://ts.21cn.com/tousu/show/id/1347838")</f>
        <v>http://ts.21cn.com/tousu/show/id/1347838</v>
      </c>
      <c r="F16114" s="2" t="s">
        <v>11</v>
      </c>
      <c r="G16114" s="2" t="s">
        <v>12490</v>
      </c>
      <c r="H16114" s="2" t="s">
        <v>12491</v>
      </c>
    </row>
    <row r="16115" spans="1:8" ht="25.05" customHeight="1" x14ac:dyDescent="0.25">
      <c r="A16115" s="2" t="s">
        <v>8</v>
      </c>
      <c r="B16115" s="2" t="str">
        <f>HYPERLINK("http://ts.21cn.com/tousu/show/id/1347839","本人投诉网银在线（北京）科技有限公司违规提供支付通道")</f>
        <v>本人投诉网银在线（北京）科技有限公司违规提供支付通道</v>
      </c>
      <c r="C16115" s="2" t="s">
        <v>9</v>
      </c>
      <c r="D16115" s="2" t="s">
        <v>10</v>
      </c>
      <c r="E16115" s="2" t="str">
        <f>HYPERLINK("http://ts.21cn.com/tousu/show/id/1347839","http://ts.21cn.com/tousu/show/id/1347839")</f>
        <v>http://ts.21cn.com/tousu/show/id/1347839</v>
      </c>
      <c r="F16115" s="2" t="s">
        <v>11</v>
      </c>
      <c r="G16115" s="2" t="s">
        <v>12489</v>
      </c>
      <c r="H16115" s="2" t="s">
        <v>1740</v>
      </c>
    </row>
    <row r="16116" spans="1:8" ht="25.05" customHeight="1" x14ac:dyDescent="0.25">
      <c r="A16116" s="2" t="s">
        <v>8</v>
      </c>
      <c r="B16116" s="2" t="str">
        <f>HYPERLINK("http://ts.21cn.com/tousu/show/id/1347840","暴力催债")</f>
        <v>暴力催债</v>
      </c>
      <c r="C16116" s="2" t="s">
        <v>9</v>
      </c>
      <c r="D16116" s="2" t="s">
        <v>10</v>
      </c>
      <c r="E16116" s="2" t="str">
        <f>HYPERLINK("http://ts.21cn.com/tousu/show/id/1347840","http://ts.21cn.com/tousu/show/id/1347840")</f>
        <v>http://ts.21cn.com/tousu/show/id/1347840</v>
      </c>
      <c r="F16116" s="2" t="s">
        <v>11</v>
      </c>
      <c r="G16116" s="2" t="s">
        <v>12487</v>
      </c>
      <c r="H16116" s="2" t="s">
        <v>12488</v>
      </c>
    </row>
    <row r="16117" spans="1:8" ht="25.05" customHeight="1" x14ac:dyDescent="0.25">
      <c r="A16117" s="2" t="s">
        <v>8</v>
      </c>
      <c r="B16117" s="2" t="str">
        <f>HYPERLINK("http://ts.21cn.com/tousu/show/id/1347841","齐鲁交通客服不解决问题，现在电话无法拨通")</f>
        <v>齐鲁交通客服不解决问题，现在电话无法拨通</v>
      </c>
      <c r="C16117" s="2" t="s">
        <v>9</v>
      </c>
      <c r="D16117" s="2" t="s">
        <v>10</v>
      </c>
      <c r="E16117" s="2" t="str">
        <f>HYPERLINK("http://ts.21cn.com/tousu/show/id/1347841","http://ts.21cn.com/tousu/show/id/1347841")</f>
        <v>http://ts.21cn.com/tousu/show/id/1347841</v>
      </c>
      <c r="F16117" s="2" t="s">
        <v>11</v>
      </c>
      <c r="G16117" s="2" t="s">
        <v>12485</v>
      </c>
      <c r="H16117" s="2" t="s">
        <v>12486</v>
      </c>
    </row>
    <row r="16118" spans="1:8" ht="25.05" customHeight="1" x14ac:dyDescent="0.25">
      <c r="A16118" s="2" t="s">
        <v>8</v>
      </c>
      <c r="B16118" s="2" t="str">
        <f>HYPERLINK("http://ts.21cn.com/tousu/show/id/1347842","提前还款，减少息费")</f>
        <v>提前还款，减少息费</v>
      </c>
      <c r="C16118" s="2" t="s">
        <v>9</v>
      </c>
      <c r="D16118" s="2" t="s">
        <v>10</v>
      </c>
      <c r="E16118" s="2" t="str">
        <f>HYPERLINK("http://ts.21cn.com/tousu/show/id/1347842","http://ts.21cn.com/tousu/show/id/1347842")</f>
        <v>http://ts.21cn.com/tousu/show/id/1347842</v>
      </c>
      <c r="F16118" s="2" t="s">
        <v>11</v>
      </c>
      <c r="G16118" s="2" t="s">
        <v>12483</v>
      </c>
      <c r="H16118" s="2" t="s">
        <v>12484</v>
      </c>
    </row>
    <row r="16119" spans="1:8" ht="25.05" customHeight="1" x14ac:dyDescent="0.25">
      <c r="A16119" s="2" t="s">
        <v>8</v>
      </c>
      <c r="B16119" s="2" t="str">
        <f>HYPERLINK("http://ts.21cn.com/tousu/show/id/1347843","来分期，电话骚扰")</f>
        <v>来分期，电话骚扰</v>
      </c>
      <c r="C16119" s="2" t="s">
        <v>9</v>
      </c>
      <c r="D16119" s="2" t="s">
        <v>10</v>
      </c>
      <c r="E16119" s="2" t="str">
        <f>HYPERLINK("http://ts.21cn.com/tousu/show/id/1347843","http://ts.21cn.com/tousu/show/id/1347843")</f>
        <v>http://ts.21cn.com/tousu/show/id/1347843</v>
      </c>
      <c r="F16119" s="2" t="s">
        <v>11</v>
      </c>
      <c r="G16119" s="2" t="s">
        <v>12481</v>
      </c>
      <c r="H16119" s="2" t="s">
        <v>12482</v>
      </c>
    </row>
    <row r="16120" spans="1:8" ht="25.05" customHeight="1" x14ac:dyDescent="0.25">
      <c r="A16120" s="2" t="s">
        <v>8</v>
      </c>
      <c r="B16120" s="2" t="str">
        <f>HYPERLINK("http://ts.21cn.com/tousu/show/id/1347844","广州合力宝支付科技有限公司为714高炮提供支付")</f>
        <v>广州合力宝支付科技有限公司为714高炮提供支付</v>
      </c>
      <c r="C16120" s="2" t="s">
        <v>9</v>
      </c>
      <c r="D16120" s="2" t="s">
        <v>10</v>
      </c>
      <c r="E16120" s="2" t="str">
        <f>HYPERLINK("http://ts.21cn.com/tousu/show/id/1347844","http://ts.21cn.com/tousu/show/id/1347844")</f>
        <v>http://ts.21cn.com/tousu/show/id/1347844</v>
      </c>
      <c r="F16120" s="2" t="s">
        <v>11</v>
      </c>
      <c r="G16120" s="2" t="s">
        <v>12479</v>
      </c>
      <c r="H16120" s="2" t="s">
        <v>12480</v>
      </c>
    </row>
    <row r="16121" spans="1:8" ht="25.05" customHeight="1" x14ac:dyDescent="0.25">
      <c r="A16121" s="2" t="s">
        <v>8</v>
      </c>
      <c r="B16121" s="2" t="str">
        <f>HYPERLINK("http://ts.21cn.com/tousu/show/id/1347845","现金巴士高额逾期费用")</f>
        <v>现金巴士高额逾期费用</v>
      </c>
      <c r="C16121" s="2" t="s">
        <v>9</v>
      </c>
      <c r="D16121" s="2" t="s">
        <v>10</v>
      </c>
      <c r="E16121" s="2" t="str">
        <f>HYPERLINK("http://ts.21cn.com/tousu/show/id/1347845","http://ts.21cn.com/tousu/show/id/1347845")</f>
        <v>http://ts.21cn.com/tousu/show/id/1347845</v>
      </c>
      <c r="F16121" s="2" t="s">
        <v>11</v>
      </c>
      <c r="G16121" s="2" t="s">
        <v>12477</v>
      </c>
      <c r="H16121" s="2" t="s">
        <v>12478</v>
      </c>
    </row>
    <row r="16122" spans="1:8" ht="25.05" customHeight="1" x14ac:dyDescent="0.25">
      <c r="A16122" s="2" t="s">
        <v>8</v>
      </c>
      <c r="B16122" s="2" t="str">
        <f>HYPERLINK("http://ts.21cn.com/tousu/show/id/1347846","小浦优客在我不知情的情况下扣我296元")</f>
        <v>小浦优客在我不知情的情况下扣我296元</v>
      </c>
      <c r="C16122" s="2" t="s">
        <v>9</v>
      </c>
      <c r="D16122" s="2" t="s">
        <v>10</v>
      </c>
      <c r="E16122" s="2" t="str">
        <f>HYPERLINK("http://ts.21cn.com/tousu/show/id/1347846","http://ts.21cn.com/tousu/show/id/1347846")</f>
        <v>http://ts.21cn.com/tousu/show/id/1347846</v>
      </c>
      <c r="F16122" s="2" t="s">
        <v>11</v>
      </c>
      <c r="G16122" s="2" t="s">
        <v>12475</v>
      </c>
      <c r="H16122" s="2" t="s">
        <v>12476</v>
      </c>
    </row>
    <row r="16123" spans="1:8" ht="25.05" customHeight="1" x14ac:dyDescent="0.25">
      <c r="A16123" s="2" t="s">
        <v>8</v>
      </c>
      <c r="B16123" s="2" t="str">
        <f>HYPERLINK("http://ts.21cn.com/tousu/show/id/1347847","暴力违法催收")</f>
        <v>暴力违法催收</v>
      </c>
      <c r="C16123" s="2" t="s">
        <v>9</v>
      </c>
      <c r="D16123" s="2" t="s">
        <v>10</v>
      </c>
      <c r="E16123" s="2" t="str">
        <f>HYPERLINK("http://ts.21cn.com/tousu/show/id/1347847","http://ts.21cn.com/tousu/show/id/1347847")</f>
        <v>http://ts.21cn.com/tousu/show/id/1347847</v>
      </c>
      <c r="F16123" s="2" t="s">
        <v>11</v>
      </c>
      <c r="G16123" s="2" t="s">
        <v>12473</v>
      </c>
      <c r="H16123" s="2" t="s">
        <v>12474</v>
      </c>
    </row>
    <row r="16124" spans="1:8" ht="25.05" customHeight="1" x14ac:dyDescent="0.25">
      <c r="A16124" s="2" t="s">
        <v>8</v>
      </c>
      <c r="B16124" s="2" t="str">
        <f>HYPERLINK("http://ts.21cn.com/tousu/show/id/1347848","催收")</f>
        <v>催收</v>
      </c>
      <c r="C16124" s="2" t="s">
        <v>34</v>
      </c>
      <c r="D16124" s="2" t="s">
        <v>10</v>
      </c>
      <c r="E16124" s="2" t="str">
        <f>HYPERLINK("http://ts.21cn.com/tousu/show/id/1347848","http://ts.21cn.com/tousu/show/id/1347848")</f>
        <v>http://ts.21cn.com/tousu/show/id/1347848</v>
      </c>
      <c r="F16124" s="2" t="s">
        <v>11</v>
      </c>
      <c r="G16124" s="2" t="s">
        <v>12471</v>
      </c>
      <c r="H16124" s="2" t="s">
        <v>12472</v>
      </c>
    </row>
    <row r="16125" spans="1:8" ht="25.05" customHeight="1" x14ac:dyDescent="0.25">
      <c r="A16125" s="2" t="s">
        <v>8</v>
      </c>
      <c r="B16125" s="2" t="str">
        <f>HYPERLINK("http://ts.21cn.com/tousu/show/id/1347849","借贷平台会员不给退款l")</f>
        <v>借贷平台会员不给退款l</v>
      </c>
      <c r="C16125" s="2" t="s">
        <v>9</v>
      </c>
      <c r="D16125" s="2" t="s">
        <v>10</v>
      </c>
      <c r="E16125" s="2" t="str">
        <f>HYPERLINK("http://ts.21cn.com/tousu/show/id/1347849","http://ts.21cn.com/tousu/show/id/1347849")</f>
        <v>http://ts.21cn.com/tousu/show/id/1347849</v>
      </c>
      <c r="F16125" s="2" t="s">
        <v>11</v>
      </c>
      <c r="G16125" s="2" t="s">
        <v>12469</v>
      </c>
      <c r="H16125" s="2" t="s">
        <v>12470</v>
      </c>
    </row>
    <row r="16126" spans="1:8" ht="25.05" customHeight="1" x14ac:dyDescent="0.25">
      <c r="A16126" s="2" t="s">
        <v>8</v>
      </c>
      <c r="B16126" s="2" t="str">
        <f>HYPERLINK("http://ts.21cn.com/tousu/show/id/1347850","同程金服权益卡未激活拒不退款")</f>
        <v>同程金服权益卡未激活拒不退款</v>
      </c>
      <c r="C16126" s="2" t="s">
        <v>9</v>
      </c>
      <c r="D16126" s="2" t="s">
        <v>10</v>
      </c>
      <c r="E16126" s="2" t="str">
        <f>HYPERLINK("http://ts.21cn.com/tousu/show/id/1347850","http://ts.21cn.com/tousu/show/id/1347850")</f>
        <v>http://ts.21cn.com/tousu/show/id/1347850</v>
      </c>
      <c r="F16126" s="2" t="s">
        <v>11</v>
      </c>
      <c r="G16126" s="2" t="s">
        <v>12467</v>
      </c>
      <c r="H16126" s="2" t="s">
        <v>12468</v>
      </c>
    </row>
    <row r="16127" spans="1:8" ht="25.05" customHeight="1" x14ac:dyDescent="0.25">
      <c r="A16127" s="2" t="s">
        <v>8</v>
      </c>
      <c r="B16127" s="2" t="str">
        <f>HYPERLINK("http://ts.21cn.com/tousu/show/id/1347851","酷花花高利贷砍头息")</f>
        <v>酷花花高利贷砍头息</v>
      </c>
      <c r="C16127" s="2" t="s">
        <v>9</v>
      </c>
      <c r="D16127" s="2" t="s">
        <v>10</v>
      </c>
      <c r="E16127" s="2" t="str">
        <f>HYPERLINK("http://ts.21cn.com/tousu/show/id/1347851","http://ts.21cn.com/tousu/show/id/1347851")</f>
        <v>http://ts.21cn.com/tousu/show/id/1347851</v>
      </c>
      <c r="F16127" s="2" t="s">
        <v>11</v>
      </c>
      <c r="G16127" s="2" t="s">
        <v>12465</v>
      </c>
      <c r="H16127" s="2" t="s">
        <v>12466</v>
      </c>
    </row>
    <row r="16128" spans="1:8" ht="25.05" customHeight="1" x14ac:dyDescent="0.25">
      <c r="A16128" s="2" t="s">
        <v>8</v>
      </c>
      <c r="B16128" s="2" t="str">
        <f>HYPERLINK("http://ts.21cn.com/tousu/show/id/1347854","钱橙无忧贷款app恶意扣款")</f>
        <v>钱橙无忧贷款app恶意扣款</v>
      </c>
      <c r="C16128" s="2" t="s">
        <v>9</v>
      </c>
      <c r="D16128" s="2" t="s">
        <v>10</v>
      </c>
      <c r="E16128" s="2" t="str">
        <f>HYPERLINK("http://ts.21cn.com/tousu/show/id/1347854","http://ts.21cn.com/tousu/show/id/1347854")</f>
        <v>http://ts.21cn.com/tousu/show/id/1347854</v>
      </c>
      <c r="F16128" s="2" t="s">
        <v>11</v>
      </c>
      <c r="G16128" s="2" t="s">
        <v>12463</v>
      </c>
      <c r="H16128" s="2" t="s">
        <v>12464</v>
      </c>
    </row>
    <row r="16129" spans="1:8" ht="25.05" customHeight="1" x14ac:dyDescent="0.25">
      <c r="A16129" s="2" t="s">
        <v>8</v>
      </c>
      <c r="B16129" s="2" t="str">
        <f>HYPERLINK("http://ts.21cn.com/tousu/show/id/1347852","暴力催收")</f>
        <v>暴力催收</v>
      </c>
      <c r="C16129" s="2" t="s">
        <v>9</v>
      </c>
      <c r="D16129" s="2" t="s">
        <v>10</v>
      </c>
      <c r="E16129" s="2" t="str">
        <f>HYPERLINK("http://ts.21cn.com/tousu/show/id/1347852","http://ts.21cn.com/tousu/show/id/1347852")</f>
        <v>http://ts.21cn.com/tousu/show/id/1347852</v>
      </c>
      <c r="F16129" s="2" t="s">
        <v>11</v>
      </c>
      <c r="G16129" s="2" t="s">
        <v>12461</v>
      </c>
      <c r="H16129" s="2" t="s">
        <v>12462</v>
      </c>
    </row>
    <row r="16130" spans="1:8" ht="25.05" customHeight="1" x14ac:dyDescent="0.25">
      <c r="A16130" s="2" t="s">
        <v>8</v>
      </c>
      <c r="B16130" s="2" t="str">
        <f>HYPERLINK("http://ts.21cn.com/tousu/show/id/1347853","滴滴客服无法为司机解决问题，客服要着是干什么的？")</f>
        <v>滴滴客服无法为司机解决问题，客服要着是干什么的？</v>
      </c>
      <c r="C16130" s="2" t="s">
        <v>9</v>
      </c>
      <c r="D16130" s="2" t="s">
        <v>10</v>
      </c>
      <c r="E16130" s="2" t="str">
        <f>HYPERLINK("http://ts.21cn.com/tousu/show/id/1347853","http://ts.21cn.com/tousu/show/id/1347853")</f>
        <v>http://ts.21cn.com/tousu/show/id/1347853</v>
      </c>
      <c r="F16130" s="2" t="s">
        <v>11</v>
      </c>
      <c r="G16130" s="2" t="s">
        <v>12458</v>
      </c>
      <c r="H16130" s="2" t="s">
        <v>12459</v>
      </c>
    </row>
    <row r="16131" spans="1:8" ht="25.05" customHeight="1" x14ac:dyDescent="0.25">
      <c r="A16131" s="2" t="s">
        <v>8</v>
      </c>
      <c r="B16131" s="2" t="str">
        <f>HYPERLINK("http://ts.21cn.com/tousu/show/id/1347856","不认识贷款人拍拍贷却不停打电话骚扰")</f>
        <v>不认识贷款人拍拍贷却不停打电话骚扰</v>
      </c>
      <c r="C16131" s="2" t="s">
        <v>9</v>
      </c>
      <c r="D16131" s="2" t="s">
        <v>10</v>
      </c>
      <c r="E16131" s="2" t="str">
        <f>HYPERLINK("http://ts.21cn.com/tousu/show/id/1347856","http://ts.21cn.com/tousu/show/id/1347856")</f>
        <v>http://ts.21cn.com/tousu/show/id/1347856</v>
      </c>
      <c r="F16131" s="2" t="s">
        <v>11</v>
      </c>
      <c r="G16131" s="2" t="s">
        <v>12458</v>
      </c>
      <c r="H16131" s="2" t="s">
        <v>12460</v>
      </c>
    </row>
    <row r="16132" spans="1:8" ht="25.05" customHeight="1" x14ac:dyDescent="0.25">
      <c r="A16132" s="2" t="s">
        <v>8</v>
      </c>
      <c r="B16132" s="2" t="str">
        <f>HYPERLINK("http://ts.21cn.com/tousu/show/id/1347857","《诱导非官方交易违规通知》配合处理，否则将被强制退店。要我交10万保证金")</f>
        <v>《诱导非官方交易违规通知》配合处理，否则将被强制退店。要我交10万保证金</v>
      </c>
      <c r="C16132" s="2" t="s">
        <v>9</v>
      </c>
      <c r="D16132" s="2" t="s">
        <v>10</v>
      </c>
      <c r="E16132" s="2" t="str">
        <f>HYPERLINK("http://ts.21cn.com/tousu/show/id/1347857","http://ts.21cn.com/tousu/show/id/1347857")</f>
        <v>http://ts.21cn.com/tousu/show/id/1347857</v>
      </c>
      <c r="F16132" s="2" t="s">
        <v>11</v>
      </c>
      <c r="G16132" s="2" t="s">
        <v>12456</v>
      </c>
      <c r="H16132" s="2" t="s">
        <v>12457</v>
      </c>
    </row>
    <row r="16133" spans="1:8" ht="25.05" customHeight="1" x14ac:dyDescent="0.25">
      <c r="A16133" s="2" t="s">
        <v>8</v>
      </c>
      <c r="B16133" s="2" t="str">
        <f>HYPERLINK("http://ts.21cn.com/tousu/show/id/1347855","快钱支付为薪e贷扣除高额砍头息")</f>
        <v>快钱支付为薪e贷扣除高额砍头息</v>
      </c>
      <c r="C16133" s="2" t="s">
        <v>9</v>
      </c>
      <c r="D16133" s="2" t="s">
        <v>10</v>
      </c>
      <c r="E16133" s="2" t="str">
        <f>HYPERLINK("http://ts.21cn.com/tousu/show/id/1347855","http://ts.21cn.com/tousu/show/id/1347855")</f>
        <v>http://ts.21cn.com/tousu/show/id/1347855</v>
      </c>
      <c r="F16133" s="2" t="s">
        <v>11</v>
      </c>
      <c r="G16133" s="2" t="s">
        <v>12454</v>
      </c>
      <c r="H16133" s="2" t="s">
        <v>12455</v>
      </c>
    </row>
    <row r="16134" spans="1:8" ht="25.05" customHeight="1" x14ac:dyDescent="0.25">
      <c r="A16134" s="2" t="s">
        <v>8</v>
      </c>
      <c r="B16134" s="2" t="str">
        <f>HYPERLINK("http://ts.21cn.com/tousu/show/id/1347858","壹心分期高利贷")</f>
        <v>壹心分期高利贷</v>
      </c>
      <c r="C16134" s="2" t="s">
        <v>9</v>
      </c>
      <c r="D16134" s="2" t="s">
        <v>10</v>
      </c>
      <c r="E16134" s="2" t="str">
        <f>HYPERLINK("http://ts.21cn.com/tousu/show/id/1347858","http://ts.21cn.com/tousu/show/id/1347858")</f>
        <v>http://ts.21cn.com/tousu/show/id/1347858</v>
      </c>
      <c r="F16134" s="2" t="s">
        <v>11</v>
      </c>
      <c r="G16134" s="2" t="s">
        <v>12452</v>
      </c>
      <c r="H16134" s="2" t="s">
        <v>12453</v>
      </c>
    </row>
    <row r="16135" spans="1:8" ht="25.05" customHeight="1" x14ac:dyDescent="0.25">
      <c r="A16135" s="2" t="s">
        <v>8</v>
      </c>
      <c r="B16135" s="2" t="str">
        <f>HYPERLINK("http://ts.21cn.com/tousu/show/id/1347859","你我贷暴力催收群发通讯录")</f>
        <v>你我贷暴力催收群发通讯录</v>
      </c>
      <c r="C16135" s="2" t="s">
        <v>9</v>
      </c>
      <c r="D16135" s="2" t="s">
        <v>10</v>
      </c>
      <c r="E16135" s="2" t="str">
        <f>HYPERLINK("http://ts.21cn.com/tousu/show/id/1347859","http://ts.21cn.com/tousu/show/id/1347859")</f>
        <v>http://ts.21cn.com/tousu/show/id/1347859</v>
      </c>
      <c r="F16135" s="2" t="s">
        <v>11</v>
      </c>
      <c r="G16135" s="2" t="s">
        <v>12450</v>
      </c>
      <c r="H16135" s="2" t="s">
        <v>12451</v>
      </c>
    </row>
    <row r="16136" spans="1:8" ht="25.05" customHeight="1" x14ac:dyDescent="0.25">
      <c r="A16136" s="2" t="s">
        <v>8</v>
      </c>
      <c r="B16136" s="2" t="str">
        <f>HYPERLINK("http://ts.21cn.com/tousu/show/id/1347860","宜人贷砍头息，高额手续费，畸高利率")</f>
        <v>宜人贷砍头息，高额手续费，畸高利率</v>
      </c>
      <c r="C16136" s="2" t="s">
        <v>34</v>
      </c>
      <c r="D16136" s="2" t="s">
        <v>10</v>
      </c>
      <c r="E16136" s="2" t="str">
        <f>HYPERLINK("http://ts.21cn.com/tousu/show/id/1347860","http://ts.21cn.com/tousu/show/id/1347860")</f>
        <v>http://ts.21cn.com/tousu/show/id/1347860</v>
      </c>
      <c r="F16136" s="2" t="s">
        <v>11</v>
      </c>
      <c r="G16136" s="2" t="s">
        <v>12448</v>
      </c>
      <c r="H16136" s="2" t="s">
        <v>12449</v>
      </c>
    </row>
    <row r="16137" spans="1:8" ht="25.05" customHeight="1" x14ac:dyDescent="0.25">
      <c r="A16137" s="2" t="s">
        <v>8</v>
      </c>
      <c r="B16137" s="2" t="str">
        <f>HYPERLINK("http://ts.21cn.com/tousu/show/id/1347862","微博借钱暴力催收")</f>
        <v>微博借钱暴力催收</v>
      </c>
      <c r="C16137" s="2" t="s">
        <v>9</v>
      </c>
      <c r="D16137" s="2" t="s">
        <v>10</v>
      </c>
      <c r="E16137" s="2" t="str">
        <f>HYPERLINK("http://ts.21cn.com/tousu/show/id/1347862","http://ts.21cn.com/tousu/show/id/1347862")</f>
        <v>http://ts.21cn.com/tousu/show/id/1347862</v>
      </c>
      <c r="F16137" s="2" t="s">
        <v>11</v>
      </c>
      <c r="G16137" s="2" t="s">
        <v>12446</v>
      </c>
      <c r="H16137" s="2" t="s">
        <v>12447</v>
      </c>
    </row>
    <row r="16138" spans="1:8" ht="25.05" customHeight="1" x14ac:dyDescent="0.25">
      <c r="A16138" s="2" t="s">
        <v>8</v>
      </c>
      <c r="B16138" s="2" t="str">
        <f>HYPERLINK("http://ts.21cn.com/tousu/show/id/1347863","协商还款")</f>
        <v>协商还款</v>
      </c>
      <c r="C16138" s="2" t="s">
        <v>9</v>
      </c>
      <c r="D16138" s="2" t="s">
        <v>10</v>
      </c>
      <c r="E16138" s="2" t="str">
        <f>HYPERLINK("http://ts.21cn.com/tousu/show/id/1347863","http://ts.21cn.com/tousu/show/id/1347863")</f>
        <v>http://ts.21cn.com/tousu/show/id/1347863</v>
      </c>
      <c r="F16138" s="2" t="s">
        <v>11</v>
      </c>
      <c r="G16138" s="2" t="s">
        <v>12444</v>
      </c>
      <c r="H16138" s="2" t="s">
        <v>12445</v>
      </c>
    </row>
    <row r="16139" spans="1:8" ht="25.05" customHeight="1" x14ac:dyDescent="0.25">
      <c r="A16139" s="2" t="s">
        <v>8</v>
      </c>
      <c r="B16139" s="2" t="str">
        <f>HYPERLINK("http://ts.21cn.com/tousu/show/id/1347864","现金巴士收取高额逾期费用并电话威胁")</f>
        <v>现金巴士收取高额逾期费用并电话威胁</v>
      </c>
      <c r="C16139" s="2" t="s">
        <v>9</v>
      </c>
      <c r="D16139" s="2" t="s">
        <v>10</v>
      </c>
      <c r="E16139" s="2" t="str">
        <f>HYPERLINK("http://ts.21cn.com/tousu/show/id/1347864","http://ts.21cn.com/tousu/show/id/1347864")</f>
        <v>http://ts.21cn.com/tousu/show/id/1347864</v>
      </c>
      <c r="F16139" s="2" t="s">
        <v>11</v>
      </c>
      <c r="G16139" s="2" t="s">
        <v>12442</v>
      </c>
      <c r="H16139" s="2" t="s">
        <v>12443</v>
      </c>
    </row>
    <row r="16140" spans="1:8" ht="25.05" customHeight="1" x14ac:dyDescent="0.25">
      <c r="A16140" s="2" t="s">
        <v>8</v>
      </c>
      <c r="B16140" s="2" t="str">
        <f>HYPERLINK("http://ts.21cn.com/tousu/show/id/1347866","招联金融")</f>
        <v>招联金融</v>
      </c>
      <c r="C16140" s="2" t="s">
        <v>9</v>
      </c>
      <c r="D16140" s="2" t="s">
        <v>10</v>
      </c>
      <c r="E16140" s="2" t="str">
        <f>HYPERLINK("http://ts.21cn.com/tousu/show/id/1347866","http://ts.21cn.com/tousu/show/id/1347866")</f>
        <v>http://ts.21cn.com/tousu/show/id/1347866</v>
      </c>
      <c r="F16140" s="2" t="s">
        <v>11</v>
      </c>
      <c r="G16140" s="2" t="s">
        <v>12440</v>
      </c>
      <c r="H16140" s="2" t="s">
        <v>12441</v>
      </c>
    </row>
    <row r="16141" spans="1:8" ht="25.05" customHeight="1" x14ac:dyDescent="0.25">
      <c r="A16141" s="2" t="s">
        <v>8</v>
      </c>
      <c r="B16141" s="2" t="str">
        <f>HYPERLINK("http://ts.21cn.com/tousu/show/id/1347868","51人品贷黑心高利贷，暴利催收骚扰联系人")</f>
        <v>51人品贷黑心高利贷，暴利催收骚扰联系人</v>
      </c>
      <c r="C16141" s="2" t="s">
        <v>9</v>
      </c>
      <c r="D16141" s="2" t="s">
        <v>10</v>
      </c>
      <c r="E16141" s="2" t="str">
        <f>HYPERLINK("http://ts.21cn.com/tousu/show/id/1347868","http://ts.21cn.com/tousu/show/id/1347868")</f>
        <v>http://ts.21cn.com/tousu/show/id/1347868</v>
      </c>
      <c r="F16141" s="2" t="s">
        <v>11</v>
      </c>
      <c r="G16141" s="2" t="s">
        <v>12438</v>
      </c>
      <c r="H16141" s="2" t="s">
        <v>12439</v>
      </c>
    </row>
    <row r="16142" spans="1:8" ht="25.05" customHeight="1" x14ac:dyDescent="0.25">
      <c r="A16142" s="2" t="s">
        <v>8</v>
      </c>
      <c r="B16142" s="2" t="str">
        <f>HYPERLINK("http://ts.21cn.com/tousu/show/id/1347869","对庄直播间误导并拒绝处理问题")</f>
        <v>对庄直播间误导并拒绝处理问题</v>
      </c>
      <c r="C16142" s="2" t="s">
        <v>9</v>
      </c>
      <c r="D16142" s="2" t="s">
        <v>10</v>
      </c>
      <c r="E16142" s="2" t="str">
        <f>HYPERLINK("http://ts.21cn.com/tousu/show/id/1347869","http://ts.21cn.com/tousu/show/id/1347869")</f>
        <v>http://ts.21cn.com/tousu/show/id/1347869</v>
      </c>
      <c r="F16142" s="2" t="s">
        <v>11</v>
      </c>
      <c r="G16142" s="2" t="s">
        <v>12436</v>
      </c>
      <c r="H16142" s="2" t="s">
        <v>12437</v>
      </c>
    </row>
    <row r="16143" spans="1:8" ht="25.05" customHeight="1" x14ac:dyDescent="0.25">
      <c r="A16143" s="2" t="s">
        <v>8</v>
      </c>
      <c r="B16143" s="2" t="str">
        <f>HYPERLINK("http://ts.21cn.com/tousu/show/id/1347870","美团电话轰炸害我高速数次差点出车祸")</f>
        <v>美团电话轰炸害我高速数次差点出车祸</v>
      </c>
      <c r="C16143" s="2" t="s">
        <v>9</v>
      </c>
      <c r="D16143" s="2" t="s">
        <v>10</v>
      </c>
      <c r="E16143" s="2" t="str">
        <f>HYPERLINK("http://ts.21cn.com/tousu/show/id/1347870","http://ts.21cn.com/tousu/show/id/1347870")</f>
        <v>http://ts.21cn.com/tousu/show/id/1347870</v>
      </c>
      <c r="F16143" s="2" t="s">
        <v>11</v>
      </c>
      <c r="G16143" s="2" t="s">
        <v>12434</v>
      </c>
      <c r="H16143" s="2" t="s">
        <v>12435</v>
      </c>
    </row>
    <row r="16144" spans="1:8" ht="25.05" customHeight="1" x14ac:dyDescent="0.25">
      <c r="A16144" s="2" t="s">
        <v>8</v>
      </c>
      <c r="B16144" s="2" t="str">
        <f>HYPERLINK("http://ts.21cn.com/tousu/show/id/1347871","东莞市轻奢维体健身房第二次无缘无故关门，老板跑路")</f>
        <v>东莞市轻奢维体健身房第二次无缘无故关门，老板跑路</v>
      </c>
      <c r="C16144" s="2" t="s">
        <v>9</v>
      </c>
      <c r="D16144" s="2" t="s">
        <v>10</v>
      </c>
      <c r="E16144" s="2" t="str">
        <f>HYPERLINK("http://ts.21cn.com/tousu/show/id/1347871","http://ts.21cn.com/tousu/show/id/1347871")</f>
        <v>http://ts.21cn.com/tousu/show/id/1347871</v>
      </c>
      <c r="F16144" s="2" t="s">
        <v>11</v>
      </c>
      <c r="G16144" s="2" t="s">
        <v>12433</v>
      </c>
      <c r="H16144" s="2" t="s">
        <v>11404</v>
      </c>
    </row>
    <row r="16145" spans="1:8" ht="25.05" customHeight="1" x14ac:dyDescent="0.25">
      <c r="A16145" s="2" t="s">
        <v>8</v>
      </c>
      <c r="B16145" s="2" t="str">
        <f>HYPERLINK("http://ts.21cn.com/tousu/show/id/1347872","百万钱包北京闪银高利贷")</f>
        <v>百万钱包北京闪银高利贷</v>
      </c>
      <c r="C16145" s="2" t="s">
        <v>9</v>
      </c>
      <c r="D16145" s="2" t="s">
        <v>10</v>
      </c>
      <c r="E16145" s="2" t="str">
        <f>HYPERLINK("http://ts.21cn.com/tousu/show/id/1347872","http://ts.21cn.com/tousu/show/id/1347872")</f>
        <v>http://ts.21cn.com/tousu/show/id/1347872</v>
      </c>
      <c r="F16145" s="2" t="s">
        <v>11</v>
      </c>
      <c r="G16145" s="2" t="s">
        <v>12431</v>
      </c>
      <c r="H16145" s="2" t="s">
        <v>12432</v>
      </c>
    </row>
    <row r="16146" spans="1:8" ht="25.05" customHeight="1" x14ac:dyDescent="0.25">
      <c r="A16146" s="2" t="s">
        <v>8</v>
      </c>
      <c r="B16146" s="2" t="str">
        <f>HYPERLINK("http://ts.21cn.com/tousu/show/id/1347876","中金支付擅自扣款")</f>
        <v>中金支付擅自扣款</v>
      </c>
      <c r="C16146" s="2" t="s">
        <v>9</v>
      </c>
      <c r="D16146" s="2" t="s">
        <v>10</v>
      </c>
      <c r="E16146" s="2" t="str">
        <f>HYPERLINK("http://ts.21cn.com/tousu/show/id/1347876","http://ts.21cn.com/tousu/show/id/1347876")</f>
        <v>http://ts.21cn.com/tousu/show/id/1347876</v>
      </c>
      <c r="F16146" s="2" t="s">
        <v>11</v>
      </c>
      <c r="G16146" s="2" t="s">
        <v>12429</v>
      </c>
      <c r="H16146" s="2" t="s">
        <v>12430</v>
      </c>
    </row>
    <row r="16147" spans="1:8" ht="25.05" customHeight="1" x14ac:dyDescent="0.25">
      <c r="A16147" s="2" t="s">
        <v>8</v>
      </c>
      <c r="B16147" s="2" t="str">
        <f>HYPERLINK("http://ts.21cn.com/tousu/show/id/1347874","平安银行暴力催收，骚扰通讯录")</f>
        <v>平安银行暴力催收，骚扰通讯录</v>
      </c>
      <c r="C16147" s="2" t="s">
        <v>9</v>
      </c>
      <c r="D16147" s="2" t="s">
        <v>10</v>
      </c>
      <c r="E16147" s="2" t="str">
        <f>HYPERLINK("http://ts.21cn.com/tousu/show/id/1347874","http://ts.21cn.com/tousu/show/id/1347874")</f>
        <v>http://ts.21cn.com/tousu/show/id/1347874</v>
      </c>
      <c r="F16147" s="2" t="s">
        <v>11</v>
      </c>
      <c r="G16147" s="2" t="s">
        <v>12427</v>
      </c>
      <c r="H16147" s="2" t="s">
        <v>12428</v>
      </c>
    </row>
    <row r="16148" spans="1:8" ht="25.05" customHeight="1" x14ac:dyDescent="0.25">
      <c r="A16148" s="2" t="s">
        <v>8</v>
      </c>
      <c r="B16148" s="2" t="str">
        <f>HYPERLINK("http://ts.21cn.com/tousu/show/id/1347873","本人投诉新生支付有限公司违规提供支付通道")</f>
        <v>本人投诉新生支付有限公司违规提供支付通道</v>
      </c>
      <c r="C16148" s="2" t="s">
        <v>9</v>
      </c>
      <c r="D16148" s="2" t="s">
        <v>10</v>
      </c>
      <c r="E16148" s="2" t="str">
        <f>HYPERLINK("http://ts.21cn.com/tousu/show/id/1347873","http://ts.21cn.com/tousu/show/id/1347873")</f>
        <v>http://ts.21cn.com/tousu/show/id/1347873</v>
      </c>
      <c r="F16148" s="2" t="s">
        <v>11</v>
      </c>
      <c r="G16148" s="2" t="s">
        <v>12427</v>
      </c>
      <c r="H16148" s="2" t="s">
        <v>1740</v>
      </c>
    </row>
    <row r="16149" spans="1:8" ht="25.05" customHeight="1" x14ac:dyDescent="0.25">
      <c r="A16149" s="2" t="s">
        <v>8</v>
      </c>
      <c r="B16149" s="2" t="str">
        <f>HYPERLINK("http://ts.21cn.com/tousu/show/id/1347877","名校贷咨询费不退还")</f>
        <v>名校贷咨询费不退还</v>
      </c>
      <c r="C16149" s="2" t="s">
        <v>9</v>
      </c>
      <c r="D16149" s="2" t="s">
        <v>10</v>
      </c>
      <c r="E16149" s="2" t="str">
        <f>HYPERLINK("http://ts.21cn.com/tousu/show/id/1347877","http://ts.21cn.com/tousu/show/id/1347877")</f>
        <v>http://ts.21cn.com/tousu/show/id/1347877</v>
      </c>
      <c r="F16149" s="2" t="s">
        <v>11</v>
      </c>
      <c r="G16149" s="2" t="s">
        <v>12425</v>
      </c>
      <c r="H16149" s="2" t="s">
        <v>12426</v>
      </c>
    </row>
    <row r="16150" spans="1:8" ht="25.05" customHeight="1" x14ac:dyDescent="0.25">
      <c r="A16150" s="2" t="s">
        <v>8</v>
      </c>
      <c r="B16150" s="2" t="str">
        <f>HYPERLINK("http://ts.21cn.com/tousu/show/id/1347878","松紧贷催收骂人恐吓方式恶劣")</f>
        <v>松紧贷催收骂人恐吓方式恶劣</v>
      </c>
      <c r="C16150" s="2" t="s">
        <v>9</v>
      </c>
      <c r="D16150" s="2" t="s">
        <v>10</v>
      </c>
      <c r="E16150" s="2" t="str">
        <f>HYPERLINK("http://ts.21cn.com/tousu/show/id/1347878","http://ts.21cn.com/tousu/show/id/1347878")</f>
        <v>http://ts.21cn.com/tousu/show/id/1347878</v>
      </c>
      <c r="F16150" s="2" t="s">
        <v>11</v>
      </c>
      <c r="G16150" s="2" t="s">
        <v>12423</v>
      </c>
      <c r="H16150" s="2" t="s">
        <v>12424</v>
      </c>
    </row>
    <row r="16151" spans="1:8" ht="25.05" customHeight="1" x14ac:dyDescent="0.25">
      <c r="A16151" s="2" t="s">
        <v>8</v>
      </c>
      <c r="B16151" s="2" t="str">
        <f>HYPERLINK("http://ts.21cn.com/tousu/show/id/1347880","微信支付冻结投诉")</f>
        <v>微信支付冻结投诉</v>
      </c>
      <c r="C16151" s="2" t="s">
        <v>34</v>
      </c>
      <c r="D16151" s="2" t="s">
        <v>10</v>
      </c>
      <c r="E16151" s="2" t="str">
        <f>HYPERLINK("http://ts.21cn.com/tousu/show/id/1347880","http://ts.21cn.com/tousu/show/id/1347880")</f>
        <v>http://ts.21cn.com/tousu/show/id/1347880</v>
      </c>
      <c r="F16151" s="2" t="s">
        <v>11</v>
      </c>
      <c r="G16151" s="2" t="s">
        <v>12421</v>
      </c>
      <c r="H16151" s="2" t="s">
        <v>12422</v>
      </c>
    </row>
    <row r="16152" spans="1:8" ht="25.05" customHeight="1" x14ac:dyDescent="0.25">
      <c r="A16152" s="2" t="s">
        <v>8</v>
      </c>
      <c r="B16152" s="2" t="str">
        <f>HYPERLINK("http://ts.21cn.com/tousu/show/id/1347881","神州车闪贷偷车砍头息")</f>
        <v>神州车闪贷偷车砍头息</v>
      </c>
      <c r="C16152" s="2" t="s">
        <v>9</v>
      </c>
      <c r="D16152" s="2" t="s">
        <v>10</v>
      </c>
      <c r="E16152" s="2" t="str">
        <f>HYPERLINK("http://ts.21cn.com/tousu/show/id/1347881","http://ts.21cn.com/tousu/show/id/1347881")</f>
        <v>http://ts.21cn.com/tousu/show/id/1347881</v>
      </c>
      <c r="F16152" s="2" t="s">
        <v>11</v>
      </c>
      <c r="G16152" s="2" t="s">
        <v>12419</v>
      </c>
      <c r="H16152" s="2" t="s">
        <v>12420</v>
      </c>
    </row>
    <row r="16153" spans="1:8" ht="25.05" customHeight="1" x14ac:dyDescent="0.25">
      <c r="A16153" s="2" t="s">
        <v>8</v>
      </c>
      <c r="B16153" s="2" t="str">
        <f>HYPERLINK("http://ts.21cn.com/tousu/show/id/1347882","东莞市轻奢维体健身房第二次无缘无故关门，老板跑路")</f>
        <v>东莞市轻奢维体健身房第二次无缘无故关门，老板跑路</v>
      </c>
      <c r="C16153" s="2" t="s">
        <v>9</v>
      </c>
      <c r="D16153" s="2" t="s">
        <v>10</v>
      </c>
      <c r="E16153" s="2" t="str">
        <f>HYPERLINK("http://ts.21cn.com/tousu/show/id/1347882","http://ts.21cn.com/tousu/show/id/1347882")</f>
        <v>http://ts.21cn.com/tousu/show/id/1347882</v>
      </c>
      <c r="F16153" s="2" t="s">
        <v>11</v>
      </c>
      <c r="G16153" s="2" t="s">
        <v>12417</v>
      </c>
      <c r="H16153" s="2" t="s">
        <v>12418</v>
      </c>
    </row>
    <row r="16154" spans="1:8" ht="25.05" customHeight="1" x14ac:dyDescent="0.25">
      <c r="A16154" s="2" t="s">
        <v>8</v>
      </c>
      <c r="B16154" s="2" t="str">
        <f>HYPERLINK("http://ts.21cn.com/tousu/show/id/1347883","申通快递到了不给派送导致里面鸡蛋变质坏了")</f>
        <v>申通快递到了不给派送导致里面鸡蛋变质坏了</v>
      </c>
      <c r="C16154" s="2" t="s">
        <v>9</v>
      </c>
      <c r="D16154" s="2" t="s">
        <v>10</v>
      </c>
      <c r="E16154" s="2" t="str">
        <f>HYPERLINK("http://ts.21cn.com/tousu/show/id/1347883","http://ts.21cn.com/tousu/show/id/1347883")</f>
        <v>http://ts.21cn.com/tousu/show/id/1347883</v>
      </c>
      <c r="F16154" s="2" t="s">
        <v>11</v>
      </c>
      <c r="G16154" s="2" t="s">
        <v>12415</v>
      </c>
      <c r="H16154" s="2" t="s">
        <v>12416</v>
      </c>
    </row>
    <row r="16155" spans="1:8" ht="25.05" customHeight="1" x14ac:dyDescent="0.25">
      <c r="A16155" s="2" t="s">
        <v>8</v>
      </c>
      <c r="B16155" s="2" t="str">
        <f>HYPERLINK("http://ts.21cn.com/tousu/show/id/1347606","小浦优客未经同意扣款")</f>
        <v>小浦优客未经同意扣款</v>
      </c>
      <c r="C16155" s="2" t="s">
        <v>9</v>
      </c>
      <c r="D16155" s="2" t="s">
        <v>10</v>
      </c>
      <c r="E16155" s="2" t="str">
        <f>HYPERLINK("http://ts.21cn.com/tousu/show/id/1347606","http://ts.21cn.com/tousu/show/id/1347606")</f>
        <v>http://ts.21cn.com/tousu/show/id/1347606</v>
      </c>
      <c r="F16155" s="2" t="s">
        <v>11</v>
      </c>
      <c r="G16155" s="2" t="s">
        <v>12413</v>
      </c>
      <c r="H16155" s="2" t="s">
        <v>12414</v>
      </c>
    </row>
    <row r="16156" spans="1:8" ht="25.05" customHeight="1" x14ac:dyDescent="0.25">
      <c r="A16156" s="2" t="s">
        <v>8</v>
      </c>
      <c r="B16156" s="2" t="str">
        <f>HYPERLINK("http://ts.21cn.com/tousu/show/id/1347884","高利贷")</f>
        <v>高利贷</v>
      </c>
      <c r="C16156" s="2" t="s">
        <v>9</v>
      </c>
      <c r="D16156" s="2" t="s">
        <v>10</v>
      </c>
      <c r="E16156" s="2" t="str">
        <f>HYPERLINK("http://ts.21cn.com/tousu/show/id/1347884","http://ts.21cn.com/tousu/show/id/1347884")</f>
        <v>http://ts.21cn.com/tousu/show/id/1347884</v>
      </c>
      <c r="F16156" s="2" t="s">
        <v>11</v>
      </c>
      <c r="G16156" s="2" t="s">
        <v>12411</v>
      </c>
      <c r="H16156" s="2" t="s">
        <v>12412</v>
      </c>
    </row>
    <row r="16157" spans="1:8" ht="25.05" customHeight="1" x14ac:dyDescent="0.25">
      <c r="A16157" s="2" t="s">
        <v>8</v>
      </c>
      <c r="B16157" s="2" t="str">
        <f>HYPERLINK("http://ts.21cn.com/tousu/show/id/1347886","爱又米平台暴力催收，虽然已还清欠款，但行为影响我的生活")</f>
        <v>爱又米平台暴力催收，虽然已还清欠款，但行为影响我的生活</v>
      </c>
      <c r="C16157" s="2" t="s">
        <v>9</v>
      </c>
      <c r="D16157" s="2" t="s">
        <v>10</v>
      </c>
      <c r="E16157" s="2" t="str">
        <f>HYPERLINK("http://ts.21cn.com/tousu/show/id/1347886","http://ts.21cn.com/tousu/show/id/1347886")</f>
        <v>http://ts.21cn.com/tousu/show/id/1347886</v>
      </c>
      <c r="F16157" s="2" t="s">
        <v>11</v>
      </c>
      <c r="G16157" s="2" t="s">
        <v>12409</v>
      </c>
      <c r="H16157" s="2" t="s">
        <v>12410</v>
      </c>
    </row>
    <row r="16158" spans="1:8" ht="25.05" customHeight="1" x14ac:dyDescent="0.25">
      <c r="A16158" s="2" t="s">
        <v>8</v>
      </c>
      <c r="B16158" s="2" t="str">
        <f>HYPERLINK("http://ts.21cn.com/tousu/show/id/1347885","协商还款")</f>
        <v>协商还款</v>
      </c>
      <c r="C16158" s="2" t="s">
        <v>9</v>
      </c>
      <c r="D16158" s="2" t="s">
        <v>10</v>
      </c>
      <c r="E16158" s="2" t="str">
        <f>HYPERLINK("http://ts.21cn.com/tousu/show/id/1347885","http://ts.21cn.com/tousu/show/id/1347885")</f>
        <v>http://ts.21cn.com/tousu/show/id/1347885</v>
      </c>
      <c r="F16158" s="2" t="s">
        <v>11</v>
      </c>
      <c r="G16158" s="2" t="s">
        <v>12407</v>
      </c>
      <c r="H16158" s="2" t="s">
        <v>12408</v>
      </c>
    </row>
    <row r="16159" spans="1:8" ht="25.05" customHeight="1" x14ac:dyDescent="0.25">
      <c r="A16159" s="2" t="s">
        <v>8</v>
      </c>
      <c r="B16159" s="2" t="str">
        <f>HYPERLINK("http://ts.21cn.com/tousu/show/id/1347887","捷信乱发广告，流氓商家")</f>
        <v>捷信乱发广告，流氓商家</v>
      </c>
      <c r="C16159" s="2" t="s">
        <v>9</v>
      </c>
      <c r="D16159" s="2" t="s">
        <v>10</v>
      </c>
      <c r="E16159" s="2" t="str">
        <f>HYPERLINK("http://ts.21cn.com/tousu/show/id/1347887","http://ts.21cn.com/tousu/show/id/1347887")</f>
        <v>http://ts.21cn.com/tousu/show/id/1347887</v>
      </c>
      <c r="F16159" s="2" t="s">
        <v>11</v>
      </c>
      <c r="G16159" s="2" t="s">
        <v>12405</v>
      </c>
      <c r="H16159" s="2" t="s">
        <v>12406</v>
      </c>
    </row>
    <row r="16160" spans="1:8" ht="25.05" customHeight="1" x14ac:dyDescent="0.25">
      <c r="A16160" s="2" t="s">
        <v>8</v>
      </c>
      <c r="B16160" s="2" t="str">
        <f>HYPERLINK("http://ts.21cn.com/tousu/show/id/1347888","暴力催收")</f>
        <v>暴力催收</v>
      </c>
      <c r="C16160" s="2" t="s">
        <v>9</v>
      </c>
      <c r="D16160" s="2" t="s">
        <v>10</v>
      </c>
      <c r="E16160" s="2" t="str">
        <f>HYPERLINK("http://ts.21cn.com/tousu/show/id/1347888","http://ts.21cn.com/tousu/show/id/1347888")</f>
        <v>http://ts.21cn.com/tousu/show/id/1347888</v>
      </c>
      <c r="F16160" s="2" t="s">
        <v>11</v>
      </c>
      <c r="G16160" s="2" t="s">
        <v>12403</v>
      </c>
      <c r="H16160" s="2" t="s">
        <v>12404</v>
      </c>
    </row>
    <row r="16161" spans="1:8" ht="25.05" customHeight="1" x14ac:dyDescent="0.25">
      <c r="A16161" s="2" t="s">
        <v>8</v>
      </c>
      <c r="B16161" s="2" t="str">
        <f>HYPERLINK("http://ts.21cn.com/merchant/show/id/3194","汇潮支付有限公司")</f>
        <v>汇潮支付有限公司</v>
      </c>
      <c r="C16161" s="2" t="s">
        <v>34</v>
      </c>
      <c r="D16161" s="2" t="s">
        <v>2184</v>
      </c>
      <c r="E16161" s="2" t="str">
        <f>HYPERLINK("http://ts.21cn.com/merchant/show/id/3194","http://ts.21cn.com/merchant/show/id/3194")</f>
        <v>http://ts.21cn.com/merchant/show/id/3194</v>
      </c>
      <c r="F16161" s="2" t="s">
        <v>2185</v>
      </c>
      <c r="G16161" s="2" t="s">
        <v>12402</v>
      </c>
      <c r="H16161" s="2" t="s">
        <v>12401</v>
      </c>
    </row>
    <row r="16162" spans="1:8" ht="25.05" customHeight="1" x14ac:dyDescent="0.25">
      <c r="A16162" s="2" t="s">
        <v>8</v>
      </c>
      <c r="B16162" s="2" t="str">
        <f>HYPERLINK("http://ts.21cn.com/tousu/show/id/1347890","聚福分期违规扣款，造艺科技提供违规支付通道")</f>
        <v>聚福分期违规扣款，造艺科技提供违规支付通道</v>
      </c>
      <c r="C16162" s="2" t="s">
        <v>9</v>
      </c>
      <c r="D16162" s="2" t="s">
        <v>10</v>
      </c>
      <c r="E16162" s="2" t="str">
        <f>HYPERLINK("http://ts.21cn.com/tousu/show/id/1347890","http://ts.21cn.com/tousu/show/id/1347890")</f>
        <v>http://ts.21cn.com/tousu/show/id/1347890</v>
      </c>
      <c r="F16162" s="2" t="s">
        <v>11</v>
      </c>
      <c r="G16162" s="2" t="s">
        <v>12399</v>
      </c>
      <c r="H16162" s="2" t="s">
        <v>12400</v>
      </c>
    </row>
    <row r="16163" spans="1:8" ht="25.05" customHeight="1" x14ac:dyDescent="0.25">
      <c r="A16163" s="2" t="s">
        <v>8</v>
      </c>
      <c r="B16163" s="2" t="str">
        <f>HYPERLINK("http://ts.21cn.com/tousu/show/id/1347889","智享贷逾期半天就爆我通讯录")</f>
        <v>智享贷逾期半天就爆我通讯录</v>
      </c>
      <c r="C16163" s="2" t="s">
        <v>34</v>
      </c>
      <c r="D16163" s="2" t="s">
        <v>10</v>
      </c>
      <c r="E16163" s="2" t="str">
        <f>HYPERLINK("http://ts.21cn.com/tousu/show/id/1347889","http://ts.21cn.com/tousu/show/id/1347889")</f>
        <v>http://ts.21cn.com/tousu/show/id/1347889</v>
      </c>
      <c r="F16163" s="2" t="s">
        <v>11</v>
      </c>
      <c r="G16163" s="2" t="s">
        <v>12397</v>
      </c>
      <c r="H16163" s="2" t="s">
        <v>12398</v>
      </c>
    </row>
    <row r="16164" spans="1:8" ht="25.05" customHeight="1" x14ac:dyDescent="0.25">
      <c r="A16164" s="2" t="s">
        <v>8</v>
      </c>
      <c r="B16164" s="2" t="str">
        <f>HYPERLINK("http://ts.21cn.com/tousu/show/id/1347891","齐鲁ETC不解决问题打电话无人接")</f>
        <v>齐鲁ETC不解决问题打电话无人接</v>
      </c>
      <c r="C16164" s="2" t="s">
        <v>9</v>
      </c>
      <c r="D16164" s="2" t="s">
        <v>10</v>
      </c>
      <c r="E16164" s="2" t="str">
        <f>HYPERLINK("http://ts.21cn.com/tousu/show/id/1347891","http://ts.21cn.com/tousu/show/id/1347891")</f>
        <v>http://ts.21cn.com/tousu/show/id/1347891</v>
      </c>
      <c r="F16164" s="2" t="s">
        <v>11</v>
      </c>
      <c r="G16164" s="2" t="s">
        <v>12395</v>
      </c>
      <c r="H16164" s="2" t="s">
        <v>12396</v>
      </c>
    </row>
    <row r="16165" spans="1:8" ht="25.05" customHeight="1" x14ac:dyDescent="0.25">
      <c r="A16165" s="2" t="s">
        <v>8</v>
      </c>
      <c r="B16165" s="2" t="str">
        <f>HYPERLINK("http://ts.21cn.com/tousu/show/id/1347892","三人以上第三方暴力砸门催收")</f>
        <v>三人以上第三方暴力砸门催收</v>
      </c>
      <c r="C16165" s="2" t="s">
        <v>9</v>
      </c>
      <c r="D16165" s="2" t="s">
        <v>10</v>
      </c>
      <c r="E16165" s="2" t="str">
        <f>HYPERLINK("http://ts.21cn.com/tousu/show/id/1347892","http://ts.21cn.com/tousu/show/id/1347892")</f>
        <v>http://ts.21cn.com/tousu/show/id/1347892</v>
      </c>
      <c r="F16165" s="2" t="s">
        <v>11</v>
      </c>
      <c r="G16165" s="2" t="s">
        <v>12393</v>
      </c>
      <c r="H16165" s="2" t="s">
        <v>12394</v>
      </c>
    </row>
    <row r="16166" spans="1:8" ht="25.05" customHeight="1" x14ac:dyDescent="0.25">
      <c r="A16166" s="2" t="s">
        <v>8</v>
      </c>
      <c r="B16166" s="2" t="str">
        <f>HYPERLINK("http://ts.21cn.com/tousu/show/id/1347893","滴滴出行app无法注销实名认证")</f>
        <v>滴滴出行app无法注销实名认证</v>
      </c>
      <c r="C16166" s="2" t="s">
        <v>9</v>
      </c>
      <c r="D16166" s="2" t="s">
        <v>10</v>
      </c>
      <c r="E16166" s="2" t="str">
        <f>HYPERLINK("http://ts.21cn.com/tousu/show/id/1347893","http://ts.21cn.com/tousu/show/id/1347893")</f>
        <v>http://ts.21cn.com/tousu/show/id/1347893</v>
      </c>
      <c r="F16166" s="2" t="s">
        <v>11</v>
      </c>
      <c r="G16166" s="2" t="s">
        <v>12391</v>
      </c>
      <c r="H16166" s="2" t="s">
        <v>12392</v>
      </c>
    </row>
    <row r="16167" spans="1:8" ht="25.05" customHeight="1" x14ac:dyDescent="0.25">
      <c r="A16167" s="2" t="s">
        <v>8</v>
      </c>
      <c r="B16167" s="2" t="str">
        <f>HYPERLINK("http://ts.21cn.com/tousu/show/id/1347894","汇潮支付为714高炮提供渠道")</f>
        <v>汇潮支付为714高炮提供渠道</v>
      </c>
      <c r="C16167" s="2" t="s">
        <v>9</v>
      </c>
      <c r="D16167" s="2" t="s">
        <v>10</v>
      </c>
      <c r="E16167" s="2" t="str">
        <f>HYPERLINK("http://ts.21cn.com/tousu/show/id/1347894","http://ts.21cn.com/tousu/show/id/1347894")</f>
        <v>http://ts.21cn.com/tousu/show/id/1347894</v>
      </c>
      <c r="F16167" s="2" t="s">
        <v>11</v>
      </c>
      <c r="G16167" s="2" t="s">
        <v>12389</v>
      </c>
      <c r="H16167" s="2" t="s">
        <v>12390</v>
      </c>
    </row>
    <row r="16168" spans="1:8" ht="25.05" customHeight="1" x14ac:dyDescent="0.25">
      <c r="A16168" s="2" t="s">
        <v>8</v>
      </c>
      <c r="B16168" s="2" t="str">
        <f>HYPERLINK("http://ts.21cn.com/tousu/show/id/1347897","章鱼直播不让提现，明明很多方式提现，各种设置门坎，说微信封了没办法给你们提现，帐号还有有1700多这属于压榨主播")</f>
        <v>章鱼直播不让提现，明明很多方式提现，各种设置门坎，说微信封了没办法给你们提现，帐号还有有1700多这属于压榨主播</v>
      </c>
      <c r="C16168" s="2" t="s">
        <v>9</v>
      </c>
      <c r="D16168" s="2" t="s">
        <v>10</v>
      </c>
      <c r="E16168" s="2" t="str">
        <f>HYPERLINK("http://ts.21cn.com/tousu/show/id/1347897","http://ts.21cn.com/tousu/show/id/1347897")</f>
        <v>http://ts.21cn.com/tousu/show/id/1347897</v>
      </c>
      <c r="F16168" s="2" t="s">
        <v>11</v>
      </c>
      <c r="G16168" s="2" t="s">
        <v>12387</v>
      </c>
      <c r="H16168" s="2" t="s">
        <v>12388</v>
      </c>
    </row>
    <row r="16169" spans="1:8" ht="25.05" customHeight="1" x14ac:dyDescent="0.25">
      <c r="A16169" s="2" t="s">
        <v>8</v>
      </c>
      <c r="B16169" s="2" t="str">
        <f>HYPERLINK("http://ts.21cn.com/tousu/show/id/1347895","平台暴力催收还说把我抓进警察局")</f>
        <v>平台暴力催收还说把我抓进警察局</v>
      </c>
      <c r="C16169" s="2" t="s">
        <v>9</v>
      </c>
      <c r="D16169" s="2" t="s">
        <v>10</v>
      </c>
      <c r="E16169" s="2" t="str">
        <f>HYPERLINK("http://ts.21cn.com/tousu/show/id/1347895","http://ts.21cn.com/tousu/show/id/1347895")</f>
        <v>http://ts.21cn.com/tousu/show/id/1347895</v>
      </c>
      <c r="F16169" s="2" t="s">
        <v>11</v>
      </c>
      <c r="G16169" s="2" t="s">
        <v>12385</v>
      </c>
      <c r="H16169" s="2" t="s">
        <v>12386</v>
      </c>
    </row>
    <row r="16170" spans="1:8" ht="25.05" customHeight="1" x14ac:dyDescent="0.25">
      <c r="A16170" s="2" t="s">
        <v>8</v>
      </c>
      <c r="B16170" s="2" t="str">
        <f>HYPERLINK("http://ts.21cn.com/tousu/show/id/1347899","小树时代校园贷")</f>
        <v>小树时代校园贷</v>
      </c>
      <c r="C16170" s="2" t="s">
        <v>9</v>
      </c>
      <c r="D16170" s="2" t="s">
        <v>10</v>
      </c>
      <c r="E16170" s="2" t="str">
        <f>HYPERLINK("http://ts.21cn.com/tousu/show/id/1347899","http://ts.21cn.com/tousu/show/id/1347899")</f>
        <v>http://ts.21cn.com/tousu/show/id/1347899</v>
      </c>
      <c r="F16170" s="2" t="s">
        <v>11</v>
      </c>
      <c r="G16170" s="2" t="s">
        <v>12383</v>
      </c>
      <c r="H16170" s="2" t="s">
        <v>12384</v>
      </c>
    </row>
    <row r="16171" spans="1:8" ht="25.05" customHeight="1" x14ac:dyDescent="0.25">
      <c r="A16171" s="2" t="s">
        <v>8</v>
      </c>
      <c r="B16171" s="2" t="str">
        <f>HYPERLINK("http://ts.21cn.com/tousu/show/id/1347896","东莞市轻奢维体健身房第二次无缘无故关门，老板跑路")</f>
        <v>东莞市轻奢维体健身房第二次无缘无故关门，老板跑路</v>
      </c>
      <c r="C16171" s="2" t="s">
        <v>9</v>
      </c>
      <c r="D16171" s="2" t="s">
        <v>10</v>
      </c>
      <c r="E16171" s="2" t="str">
        <f>HYPERLINK("http://ts.21cn.com/tousu/show/id/1347896","http://ts.21cn.com/tousu/show/id/1347896")</f>
        <v>http://ts.21cn.com/tousu/show/id/1347896</v>
      </c>
      <c r="F16171" s="2" t="s">
        <v>11</v>
      </c>
      <c r="G16171" s="2" t="s">
        <v>12381</v>
      </c>
      <c r="H16171" s="2" t="s">
        <v>12382</v>
      </c>
    </row>
    <row r="16172" spans="1:8" ht="25.05" customHeight="1" x14ac:dyDescent="0.25">
      <c r="A16172" s="2" t="s">
        <v>8</v>
      </c>
      <c r="B16172" s="2" t="str">
        <f>HYPERLINK("http://ts.21cn.com/tousu/show/id/1347898","东莞市轻奢维体健身房第二次无缘无故关门，老板跑路")</f>
        <v>东莞市轻奢维体健身房第二次无缘无故关门，老板跑路</v>
      </c>
      <c r="C16172" s="2" t="s">
        <v>9</v>
      </c>
      <c r="D16172" s="2" t="s">
        <v>10</v>
      </c>
      <c r="E16172" s="2" t="str">
        <f>HYPERLINK("http://ts.21cn.com/tousu/show/id/1347898","http://ts.21cn.com/tousu/show/id/1347898")</f>
        <v>http://ts.21cn.com/tousu/show/id/1347898</v>
      </c>
      <c r="F16172" s="2" t="s">
        <v>11</v>
      </c>
      <c r="G16172" s="2" t="s">
        <v>12379</v>
      </c>
      <c r="H16172" s="2" t="s">
        <v>12380</v>
      </c>
    </row>
    <row r="16173" spans="1:8" ht="25.05" customHeight="1" x14ac:dyDescent="0.25">
      <c r="A16173" s="2" t="s">
        <v>8</v>
      </c>
      <c r="B16173" s="2" t="str">
        <f>HYPERLINK("http://ts.21cn.com/tousu/show/id/1347900","河南悦如公寓到期不交房租，联系电话无人接听")</f>
        <v>河南悦如公寓到期不交房租，联系电话无人接听</v>
      </c>
      <c r="C16173" s="2" t="s">
        <v>9</v>
      </c>
      <c r="D16173" s="2" t="s">
        <v>10</v>
      </c>
      <c r="E16173" s="2" t="str">
        <f>HYPERLINK("http://ts.21cn.com/tousu/show/id/1347900","http://ts.21cn.com/tousu/show/id/1347900")</f>
        <v>http://ts.21cn.com/tousu/show/id/1347900</v>
      </c>
      <c r="F16173" s="2" t="s">
        <v>11</v>
      </c>
      <c r="G16173" s="2" t="s">
        <v>12377</v>
      </c>
      <c r="H16173" s="2" t="s">
        <v>12378</v>
      </c>
    </row>
    <row r="16174" spans="1:8" ht="25.05" customHeight="1" x14ac:dyDescent="0.25">
      <c r="A16174" s="2" t="s">
        <v>8</v>
      </c>
      <c r="B16174" s="2" t="str">
        <f>HYPERLINK("http://ts.21cn.com/tousu/show/id/1347901","融360爱分期高利息恶意催收")</f>
        <v>融360爱分期高利息恶意催收</v>
      </c>
      <c r="C16174" s="2" t="s">
        <v>9</v>
      </c>
      <c r="D16174" s="2" t="s">
        <v>10</v>
      </c>
      <c r="E16174" s="2" t="str">
        <f>HYPERLINK("http://ts.21cn.com/tousu/show/id/1347901","http://ts.21cn.com/tousu/show/id/1347901")</f>
        <v>http://ts.21cn.com/tousu/show/id/1347901</v>
      </c>
      <c r="F16174" s="2" t="s">
        <v>11</v>
      </c>
      <c r="G16174" s="2" t="s">
        <v>12375</v>
      </c>
      <c r="H16174" s="2" t="s">
        <v>12376</v>
      </c>
    </row>
    <row r="16175" spans="1:8" ht="25.05" customHeight="1" x14ac:dyDescent="0.25">
      <c r="A16175" s="2" t="s">
        <v>8</v>
      </c>
      <c r="B16175" s="2" t="str">
        <f>HYPERLINK("http://ts.21cn.com/tousu/show/id/1347902","分期乐app利息太高")</f>
        <v>分期乐app利息太高</v>
      </c>
      <c r="C16175" s="2" t="s">
        <v>9</v>
      </c>
      <c r="D16175" s="2" t="s">
        <v>10</v>
      </c>
      <c r="E16175" s="2" t="str">
        <f>HYPERLINK("http://ts.21cn.com/tousu/show/id/1347902","http://ts.21cn.com/tousu/show/id/1347902")</f>
        <v>http://ts.21cn.com/tousu/show/id/1347902</v>
      </c>
      <c r="F16175" s="2" t="s">
        <v>11</v>
      </c>
      <c r="G16175" s="2" t="s">
        <v>12373</v>
      </c>
      <c r="H16175" s="2" t="s">
        <v>12374</v>
      </c>
    </row>
    <row r="16176" spans="1:8" ht="25.05" customHeight="1" x14ac:dyDescent="0.25">
      <c r="A16176" s="2" t="s">
        <v>8</v>
      </c>
      <c r="B16176" s="2" t="str">
        <f>HYPERLINK("http://ts.21cn.com/tousu/show/id/1347903","无缘无故扣卡里的钱")</f>
        <v>无缘无故扣卡里的钱</v>
      </c>
      <c r="C16176" s="2" t="s">
        <v>34</v>
      </c>
      <c r="D16176" s="2" t="s">
        <v>10</v>
      </c>
      <c r="E16176" s="2" t="str">
        <f>HYPERLINK("http://ts.21cn.com/tousu/show/id/1347903","http://ts.21cn.com/tousu/show/id/1347903")</f>
        <v>http://ts.21cn.com/tousu/show/id/1347903</v>
      </c>
      <c r="F16176" s="2" t="s">
        <v>11</v>
      </c>
      <c r="G16176" s="2" t="s">
        <v>12371</v>
      </c>
      <c r="H16176" s="2" t="s">
        <v>12372</v>
      </c>
    </row>
    <row r="16177" spans="1:8" ht="25.05" customHeight="1" x14ac:dyDescent="0.25">
      <c r="A16177" s="2" t="s">
        <v>8</v>
      </c>
      <c r="B16177" s="2" t="str">
        <f>HYPERLINK("http://ts.21cn.com/tousu/show/id/1347905","上海造艺网络技术有限公司旗下迅付泸快百事普惠恶意扣款299元")</f>
        <v>上海造艺网络技术有限公司旗下迅付泸快百事普惠恶意扣款299元</v>
      </c>
      <c r="C16177" s="2" t="s">
        <v>9</v>
      </c>
      <c r="D16177" s="2" t="s">
        <v>10</v>
      </c>
      <c r="E16177" s="2" t="str">
        <f>HYPERLINK("http://ts.21cn.com/tousu/show/id/1347905","http://ts.21cn.com/tousu/show/id/1347905")</f>
        <v>http://ts.21cn.com/tousu/show/id/1347905</v>
      </c>
      <c r="F16177" s="2" t="s">
        <v>11</v>
      </c>
      <c r="G16177" s="2" t="s">
        <v>12369</v>
      </c>
      <c r="H16177" s="2" t="s">
        <v>12370</v>
      </c>
    </row>
    <row r="16178" spans="1:8" ht="25.05" customHeight="1" x14ac:dyDescent="0.25">
      <c r="A16178" s="2" t="s">
        <v>8</v>
      </c>
      <c r="B16178" s="2" t="str">
        <f>HYPERLINK("http://ts.21cn.com/tousu/show/id/1347904","在猎趣提现了三个月还没有到帐")</f>
        <v>在猎趣提现了三个月还没有到帐</v>
      </c>
      <c r="C16178" s="2" t="s">
        <v>9</v>
      </c>
      <c r="D16178" s="2" t="s">
        <v>10</v>
      </c>
      <c r="E16178" s="2" t="str">
        <f>HYPERLINK("http://ts.21cn.com/tousu/show/id/1347904","http://ts.21cn.com/tousu/show/id/1347904")</f>
        <v>http://ts.21cn.com/tousu/show/id/1347904</v>
      </c>
      <c r="F16178" s="2" t="s">
        <v>11</v>
      </c>
      <c r="G16178" s="2" t="s">
        <v>12367</v>
      </c>
      <c r="H16178" s="2" t="s">
        <v>12368</v>
      </c>
    </row>
    <row r="16179" spans="1:8" ht="25.05" customHeight="1" x14ac:dyDescent="0.25">
      <c r="A16179" s="2" t="s">
        <v>8</v>
      </c>
      <c r="B16179" s="2" t="str">
        <f>HYPERLINK("http://ts.21cn.com/tousu/show/id/1347907","交易猫损害消费者权益")</f>
        <v>交易猫损害消费者权益</v>
      </c>
      <c r="C16179" s="2" t="s">
        <v>9</v>
      </c>
      <c r="D16179" s="2" t="s">
        <v>10</v>
      </c>
      <c r="E16179" s="2" t="str">
        <f>HYPERLINK("http://ts.21cn.com/tousu/show/id/1347907","http://ts.21cn.com/tousu/show/id/1347907")</f>
        <v>http://ts.21cn.com/tousu/show/id/1347907</v>
      </c>
      <c r="F16179" s="2" t="s">
        <v>11</v>
      </c>
      <c r="G16179" s="2" t="s">
        <v>12365</v>
      </c>
      <c r="H16179" s="2" t="s">
        <v>12366</v>
      </c>
    </row>
    <row r="16180" spans="1:8" ht="25.05" customHeight="1" x14ac:dyDescent="0.25">
      <c r="A16180" s="2" t="s">
        <v>8</v>
      </c>
      <c r="B16180" s="2" t="str">
        <f>HYPERLINK("http://ts.21cn.com/tousu/show/id/1347875","公众号:米条联盟伙同客服，弄虚作假打空借条")</f>
        <v>公众号:米条联盟伙同客服，弄虚作假打空借条</v>
      </c>
      <c r="C16180" s="2" t="s">
        <v>9</v>
      </c>
      <c r="D16180" s="2" t="s">
        <v>10</v>
      </c>
      <c r="E16180" s="2" t="str">
        <f>HYPERLINK("http://ts.21cn.com/tousu/show/id/1347875","http://ts.21cn.com/tousu/show/id/1347875")</f>
        <v>http://ts.21cn.com/tousu/show/id/1347875</v>
      </c>
      <c r="F16180" s="2" t="s">
        <v>11</v>
      </c>
      <c r="G16180" s="2" t="s">
        <v>12363</v>
      </c>
      <c r="H16180" s="2" t="s">
        <v>12364</v>
      </c>
    </row>
    <row r="16181" spans="1:8" ht="25.05" customHeight="1" x14ac:dyDescent="0.25">
      <c r="A16181" s="2" t="s">
        <v>8</v>
      </c>
      <c r="B16181" s="2" t="str">
        <f>HYPERLINK("http://ts.21cn.com/tousu/show/id/1347906","捷信垃圾，还款以后不销账，又开始催收，捷信金融你们信誉何在？？？")</f>
        <v>捷信垃圾，还款以后不销账，又开始催收，捷信金融你们信誉何在？？？</v>
      </c>
      <c r="C16181" s="2" t="s">
        <v>9</v>
      </c>
      <c r="D16181" s="2" t="s">
        <v>10</v>
      </c>
      <c r="E16181" s="2" t="str">
        <f>HYPERLINK("http://ts.21cn.com/tousu/show/id/1347906","http://ts.21cn.com/tousu/show/id/1347906")</f>
        <v>http://ts.21cn.com/tousu/show/id/1347906</v>
      </c>
      <c r="F16181" s="2" t="s">
        <v>11</v>
      </c>
      <c r="G16181" s="2" t="s">
        <v>12361</v>
      </c>
      <c r="H16181" s="2" t="s">
        <v>12362</v>
      </c>
    </row>
    <row r="16182" spans="1:8" ht="25.05" customHeight="1" x14ac:dyDescent="0.25">
      <c r="A16182" s="2" t="s">
        <v>8</v>
      </c>
      <c r="B16182" s="2" t="str">
        <f>HYPERLINK("http://ts.21cn.com/tousu/show/id/1347865","退还信用星球强制收取的高利贷砍头息")</f>
        <v>退还信用星球强制收取的高利贷砍头息</v>
      </c>
      <c r="C16182" s="2" t="s">
        <v>9</v>
      </c>
      <c r="D16182" s="2" t="s">
        <v>10</v>
      </c>
      <c r="E16182" s="2" t="str">
        <f>HYPERLINK("http://ts.21cn.com/tousu/show/id/1347865","http://ts.21cn.com/tousu/show/id/1347865")</f>
        <v>http://ts.21cn.com/tousu/show/id/1347865</v>
      </c>
      <c r="F16182" s="2" t="s">
        <v>11</v>
      </c>
      <c r="G16182" s="2" t="s">
        <v>12359</v>
      </c>
      <c r="H16182" s="2" t="s">
        <v>12360</v>
      </c>
    </row>
    <row r="16183" spans="1:8" ht="25.05" customHeight="1" x14ac:dyDescent="0.25">
      <c r="A16183" s="2" t="s">
        <v>8</v>
      </c>
      <c r="B16183" s="2" t="str">
        <f>HYPERLINK("http://ts.21cn.com/tousu/show/id/1347909","聚福钱包未经许可私自扣款")</f>
        <v>聚福钱包未经许可私自扣款</v>
      </c>
      <c r="C16183" s="2" t="s">
        <v>9</v>
      </c>
      <c r="D16183" s="2" t="s">
        <v>10</v>
      </c>
      <c r="E16183" s="2" t="str">
        <f>HYPERLINK("http://ts.21cn.com/tousu/show/id/1347909","http://ts.21cn.com/tousu/show/id/1347909")</f>
        <v>http://ts.21cn.com/tousu/show/id/1347909</v>
      </c>
      <c r="F16183" s="2" t="s">
        <v>11</v>
      </c>
      <c r="G16183" s="2" t="s">
        <v>12357</v>
      </c>
      <c r="H16183" s="2" t="s">
        <v>12358</v>
      </c>
    </row>
    <row r="16184" spans="1:8" ht="25.05" customHeight="1" x14ac:dyDescent="0.25">
      <c r="A16184" s="2" t="s">
        <v>8</v>
      </c>
      <c r="B16184" s="2" t="str">
        <f>HYPERLINK("http://ts.21cn.com/tousu/show/id/1347910","网贷暴力催收")</f>
        <v>网贷暴力催收</v>
      </c>
      <c r="C16184" s="2" t="s">
        <v>9</v>
      </c>
      <c r="D16184" s="2" t="s">
        <v>10</v>
      </c>
      <c r="E16184" s="2" t="str">
        <f>HYPERLINK("http://ts.21cn.com/tousu/show/id/1347910","http://ts.21cn.com/tousu/show/id/1347910")</f>
        <v>http://ts.21cn.com/tousu/show/id/1347910</v>
      </c>
      <c r="F16184" s="2" t="s">
        <v>11</v>
      </c>
      <c r="G16184" s="2" t="s">
        <v>12355</v>
      </c>
      <c r="H16184" s="2" t="s">
        <v>12356</v>
      </c>
    </row>
    <row r="16185" spans="1:8" ht="25.05" customHeight="1" x14ac:dyDescent="0.25">
      <c r="A16185" s="2" t="s">
        <v>8</v>
      </c>
      <c r="B16185" s="2" t="str">
        <f>HYPERLINK("http://ts.21cn.com/tousu/show/id/1347911","东莞市轻奢维体健身房第二次无缘无故关门，老板跑路")</f>
        <v>东莞市轻奢维体健身房第二次无缘无故关门，老板跑路</v>
      </c>
      <c r="C16185" s="2" t="s">
        <v>9</v>
      </c>
      <c r="D16185" s="2" t="s">
        <v>10</v>
      </c>
      <c r="E16185" s="2" t="str">
        <f>HYPERLINK("http://ts.21cn.com/tousu/show/id/1347911","http://ts.21cn.com/tousu/show/id/1347911")</f>
        <v>http://ts.21cn.com/tousu/show/id/1347911</v>
      </c>
      <c r="F16185" s="2" t="s">
        <v>11</v>
      </c>
      <c r="G16185" s="2" t="s">
        <v>12353</v>
      </c>
      <c r="H16185" s="2" t="s">
        <v>12354</v>
      </c>
    </row>
    <row r="16186" spans="1:8" ht="25.05" customHeight="1" x14ac:dyDescent="0.25">
      <c r="A16186" s="2" t="s">
        <v>8</v>
      </c>
      <c r="B16186" s="2" t="str">
        <f>HYPERLINK("http://ts.21cn.com/tousu/show/id/1347913","申请销账")</f>
        <v>申请销账</v>
      </c>
      <c r="C16186" s="2" t="s">
        <v>34</v>
      </c>
      <c r="D16186" s="2" t="s">
        <v>10</v>
      </c>
      <c r="E16186" s="2" t="str">
        <f>HYPERLINK("http://ts.21cn.com/tousu/show/id/1347913","http://ts.21cn.com/tousu/show/id/1347913")</f>
        <v>http://ts.21cn.com/tousu/show/id/1347913</v>
      </c>
      <c r="F16186" s="2" t="s">
        <v>11</v>
      </c>
      <c r="G16186" s="2" t="s">
        <v>12351</v>
      </c>
      <c r="H16186" s="2" t="s">
        <v>12352</v>
      </c>
    </row>
    <row r="16187" spans="1:8" ht="25.05" customHeight="1" x14ac:dyDescent="0.25">
      <c r="A16187" s="2" t="s">
        <v>8</v>
      </c>
      <c r="B16187" s="2" t="str">
        <f>HYPERLINK("http://ts.21cn.com/tousu/show/id/1347914","上海造艺网络科技有限公司恶意扣款，半个月了还未退款")</f>
        <v>上海造艺网络科技有限公司恶意扣款，半个月了还未退款</v>
      </c>
      <c r="C16187" s="2" t="s">
        <v>9</v>
      </c>
      <c r="D16187" s="2" t="s">
        <v>10</v>
      </c>
      <c r="E16187" s="2" t="str">
        <f>HYPERLINK("http://ts.21cn.com/tousu/show/id/1347914","http://ts.21cn.com/tousu/show/id/1347914")</f>
        <v>http://ts.21cn.com/tousu/show/id/1347914</v>
      </c>
      <c r="F16187" s="2" t="s">
        <v>11</v>
      </c>
      <c r="G16187" s="2" t="s">
        <v>12349</v>
      </c>
      <c r="H16187" s="2" t="s">
        <v>12350</v>
      </c>
    </row>
    <row r="16188" spans="1:8" ht="25.05" customHeight="1" x14ac:dyDescent="0.25">
      <c r="A16188" s="2" t="s">
        <v>8</v>
      </c>
      <c r="B16188" s="2" t="str">
        <f>HYPERLINK("http://ts.21cn.com/tousu/show/id/1347915","投诉交易猫")</f>
        <v>投诉交易猫</v>
      </c>
      <c r="C16188" s="2" t="s">
        <v>9</v>
      </c>
      <c r="D16188" s="2" t="s">
        <v>10</v>
      </c>
      <c r="E16188" s="2" t="str">
        <f>HYPERLINK("http://ts.21cn.com/tousu/show/id/1347915","http://ts.21cn.com/tousu/show/id/1347915")</f>
        <v>http://ts.21cn.com/tousu/show/id/1347915</v>
      </c>
      <c r="F16188" s="2" t="s">
        <v>11</v>
      </c>
      <c r="G16188" s="2" t="s">
        <v>12347</v>
      </c>
      <c r="H16188" s="2" t="s">
        <v>12348</v>
      </c>
    </row>
    <row r="16189" spans="1:8" ht="25.05" customHeight="1" x14ac:dyDescent="0.25">
      <c r="A16189" s="2" t="s">
        <v>8</v>
      </c>
      <c r="B16189" s="2" t="str">
        <f>HYPERLINK("http://ts.21cn.com/tousu/show/id/1347916","恐吓威胁本金已还清加上法定利息阴阳合同的我不给就恐吓")</f>
        <v>恐吓威胁本金已还清加上法定利息阴阳合同的我不给就恐吓</v>
      </c>
      <c r="C16189" s="2" t="s">
        <v>9</v>
      </c>
      <c r="D16189" s="2" t="s">
        <v>10</v>
      </c>
      <c r="E16189" s="2" t="str">
        <f>HYPERLINK("http://ts.21cn.com/tousu/show/id/1347916","http://ts.21cn.com/tousu/show/id/1347916")</f>
        <v>http://ts.21cn.com/tousu/show/id/1347916</v>
      </c>
      <c r="F16189" s="2" t="s">
        <v>11</v>
      </c>
      <c r="G16189" s="2" t="s">
        <v>12345</v>
      </c>
      <c r="H16189" s="2" t="s">
        <v>12346</v>
      </c>
    </row>
    <row r="16190" spans="1:8" ht="25.05" customHeight="1" x14ac:dyDescent="0.25">
      <c r="A16190" s="2" t="s">
        <v>8</v>
      </c>
      <c r="B16190" s="2" t="str">
        <f>HYPERLINK("http://ts.21cn.com/tousu/show/id/1347917","交易失败，不退款")</f>
        <v>交易失败，不退款</v>
      </c>
      <c r="C16190" s="2" t="s">
        <v>34</v>
      </c>
      <c r="D16190" s="2" t="s">
        <v>10</v>
      </c>
      <c r="E16190" s="2" t="str">
        <f>HYPERLINK("http://ts.21cn.com/tousu/show/id/1347917","http://ts.21cn.com/tousu/show/id/1347917")</f>
        <v>http://ts.21cn.com/tousu/show/id/1347917</v>
      </c>
      <c r="F16190" s="2" t="s">
        <v>11</v>
      </c>
      <c r="G16190" s="2" t="s">
        <v>12343</v>
      </c>
      <c r="H16190" s="2" t="s">
        <v>12344</v>
      </c>
    </row>
    <row r="16191" spans="1:8" ht="25.05" customHeight="1" x14ac:dyDescent="0.25">
      <c r="A16191" s="2" t="s">
        <v>8</v>
      </c>
      <c r="B16191" s="2" t="str">
        <f>HYPERLINK("http://ts.21cn.com/tousu/show/id/1347918","好分期套路高利贷")</f>
        <v>好分期套路高利贷</v>
      </c>
      <c r="C16191" s="2" t="s">
        <v>9</v>
      </c>
      <c r="D16191" s="2" t="s">
        <v>10</v>
      </c>
      <c r="E16191" s="2" t="str">
        <f>HYPERLINK("http://ts.21cn.com/tousu/show/id/1347918","http://ts.21cn.com/tousu/show/id/1347918")</f>
        <v>http://ts.21cn.com/tousu/show/id/1347918</v>
      </c>
      <c r="F16191" s="2" t="s">
        <v>11</v>
      </c>
      <c r="G16191" s="2" t="s">
        <v>12341</v>
      </c>
      <c r="H16191" s="2" t="s">
        <v>12342</v>
      </c>
    </row>
    <row r="16192" spans="1:8" ht="25.05" customHeight="1" x14ac:dyDescent="0.25">
      <c r="A16192" s="2" t="s">
        <v>8</v>
      </c>
      <c r="B16192" s="2" t="str">
        <f>HYPERLINK("http://ts.21cn.com/tousu/show/id/1347921","名校贷公益（白领金库）涉嫌高利贷")</f>
        <v>名校贷公益（白领金库）涉嫌高利贷</v>
      </c>
      <c r="C16192" s="2" t="s">
        <v>9</v>
      </c>
      <c r="D16192" s="2" t="s">
        <v>10</v>
      </c>
      <c r="E16192" s="2" t="str">
        <f>HYPERLINK("http://ts.21cn.com/tousu/show/id/1347921","http://ts.21cn.com/tousu/show/id/1347921")</f>
        <v>http://ts.21cn.com/tousu/show/id/1347921</v>
      </c>
      <c r="F16192" s="2" t="s">
        <v>11</v>
      </c>
      <c r="G16192" s="2" t="s">
        <v>12339</v>
      </c>
      <c r="H16192" s="2" t="s">
        <v>12340</v>
      </c>
    </row>
    <row r="16193" spans="1:8" ht="25.05" customHeight="1" x14ac:dyDescent="0.25">
      <c r="A16193" s="2" t="s">
        <v>8</v>
      </c>
      <c r="B16193" s="2" t="str">
        <f>HYPERLINK("http://ts.21cn.com/tousu/show/id/1347919","快闪卡贷已还金额征信还是显示未还")</f>
        <v>快闪卡贷已还金额征信还是显示未还</v>
      </c>
      <c r="C16193" s="2" t="s">
        <v>9</v>
      </c>
      <c r="D16193" s="2" t="s">
        <v>10</v>
      </c>
      <c r="E16193" s="2" t="str">
        <f>HYPERLINK("http://ts.21cn.com/tousu/show/id/1347919","http://ts.21cn.com/tousu/show/id/1347919")</f>
        <v>http://ts.21cn.com/tousu/show/id/1347919</v>
      </c>
      <c r="F16193" s="2" t="s">
        <v>11</v>
      </c>
      <c r="G16193" s="2" t="s">
        <v>12337</v>
      </c>
      <c r="H16193" s="2" t="s">
        <v>12338</v>
      </c>
    </row>
    <row r="16194" spans="1:8" ht="25.05" customHeight="1" x14ac:dyDescent="0.25">
      <c r="A16194" s="2" t="s">
        <v>8</v>
      </c>
      <c r="B16194" s="2" t="str">
        <f>HYPERLINK("http://ts.21cn.com/tousu/show/id/1347922","账户有钱转不出来")</f>
        <v>账户有钱转不出来</v>
      </c>
      <c r="C16194" s="2" t="s">
        <v>34</v>
      </c>
      <c r="D16194" s="2" t="s">
        <v>10</v>
      </c>
      <c r="E16194" s="2" t="str">
        <f>HYPERLINK("http://ts.21cn.com/tousu/show/id/1347922","http://ts.21cn.com/tousu/show/id/1347922")</f>
        <v>http://ts.21cn.com/tousu/show/id/1347922</v>
      </c>
      <c r="F16194" s="2" t="s">
        <v>11</v>
      </c>
      <c r="G16194" s="2" t="s">
        <v>12335</v>
      </c>
      <c r="H16194" s="2" t="s">
        <v>12336</v>
      </c>
    </row>
    <row r="16195" spans="1:8" ht="25.05" customHeight="1" x14ac:dyDescent="0.25">
      <c r="A16195" s="2" t="s">
        <v>8</v>
      </c>
      <c r="B16195" s="2" t="str">
        <f>HYPERLINK("http://ts.21cn.com/tousu/show/id/1347925","拍拍贷爆我通讯录，恐吓威胁我家人朋友")</f>
        <v>拍拍贷爆我通讯录，恐吓威胁我家人朋友</v>
      </c>
      <c r="C16195" s="2" t="s">
        <v>9</v>
      </c>
      <c r="D16195" s="2" t="s">
        <v>10</v>
      </c>
      <c r="E16195" s="2" t="str">
        <f>HYPERLINK("http://ts.21cn.com/tousu/show/id/1347925","http://ts.21cn.com/tousu/show/id/1347925")</f>
        <v>http://ts.21cn.com/tousu/show/id/1347925</v>
      </c>
      <c r="F16195" s="2" t="s">
        <v>11</v>
      </c>
      <c r="G16195" s="2" t="s">
        <v>12333</v>
      </c>
      <c r="H16195" s="2" t="s">
        <v>12334</v>
      </c>
    </row>
    <row r="16196" spans="1:8" ht="25.05" customHeight="1" x14ac:dyDescent="0.25">
      <c r="A16196" s="2" t="s">
        <v>8</v>
      </c>
      <c r="B16196" s="2" t="str">
        <f>HYPERLINK("http://ts.21cn.com/tousu/show/id/1347926","信而富涉嫌套路贷，客服人员暴力催收，投诉多次违规")</f>
        <v>信而富涉嫌套路贷，客服人员暴力催收，投诉多次违规</v>
      </c>
      <c r="C16196" s="2" t="s">
        <v>9</v>
      </c>
      <c r="D16196" s="2" t="s">
        <v>10</v>
      </c>
      <c r="E16196" s="2" t="str">
        <f>HYPERLINK("http://ts.21cn.com/tousu/show/id/1347926","http://ts.21cn.com/tousu/show/id/1347926")</f>
        <v>http://ts.21cn.com/tousu/show/id/1347926</v>
      </c>
      <c r="F16196" s="2" t="s">
        <v>11</v>
      </c>
      <c r="G16196" s="2" t="s">
        <v>12330</v>
      </c>
      <c r="H16196" s="2" t="s">
        <v>12331</v>
      </c>
    </row>
    <row r="16197" spans="1:8" ht="25.05" customHeight="1" x14ac:dyDescent="0.25">
      <c r="A16197" s="2" t="s">
        <v>8</v>
      </c>
      <c r="B16197" s="2" t="str">
        <f>HYPERLINK("http://ts.21cn.com/tousu/show/id/1347923","阴阳合同高利贷你我贷")</f>
        <v>阴阳合同高利贷你我贷</v>
      </c>
      <c r="C16197" s="2" t="s">
        <v>9</v>
      </c>
      <c r="D16197" s="2" t="s">
        <v>10</v>
      </c>
      <c r="E16197" s="2" t="str">
        <f>HYPERLINK("http://ts.21cn.com/tousu/show/id/1347923","http://ts.21cn.com/tousu/show/id/1347923")</f>
        <v>http://ts.21cn.com/tousu/show/id/1347923</v>
      </c>
      <c r="F16197" s="2" t="s">
        <v>11</v>
      </c>
      <c r="G16197" s="2" t="s">
        <v>12330</v>
      </c>
      <c r="H16197" s="2" t="s">
        <v>12332</v>
      </c>
    </row>
    <row r="16198" spans="1:8" ht="25.05" customHeight="1" x14ac:dyDescent="0.25">
      <c r="A16198" s="2" t="s">
        <v>8</v>
      </c>
      <c r="B16198" s="2" t="str">
        <f>HYPERLINK("http://ts.21cn.com/tousu/show/id/1347924","逾期费那么贵，说延期，可延期也把逾期费用给我带进去")</f>
        <v>逾期费那么贵，说延期，可延期也把逾期费用给我带进去</v>
      </c>
      <c r="C16198" s="2" t="s">
        <v>9</v>
      </c>
      <c r="D16198" s="2" t="s">
        <v>10</v>
      </c>
      <c r="E16198" s="2" t="str">
        <f>HYPERLINK("http://ts.21cn.com/tousu/show/id/1347924","http://ts.21cn.com/tousu/show/id/1347924")</f>
        <v>http://ts.21cn.com/tousu/show/id/1347924</v>
      </c>
      <c r="F16198" s="2" t="s">
        <v>11</v>
      </c>
      <c r="G16198" s="2" t="s">
        <v>12328</v>
      </c>
      <c r="H16198" s="2" t="s">
        <v>12329</v>
      </c>
    </row>
    <row r="16199" spans="1:8" ht="25.05" customHeight="1" x14ac:dyDescent="0.25">
      <c r="A16199" s="2" t="s">
        <v>8</v>
      </c>
      <c r="B16199" s="2" t="str">
        <f>HYPERLINK("http://ts.21cn.com/tousu/show/id/1347927","小赢轰炸式骚扰通讯录亲戚朋友")</f>
        <v>小赢轰炸式骚扰通讯录亲戚朋友</v>
      </c>
      <c r="C16199" s="2" t="s">
        <v>9</v>
      </c>
      <c r="D16199" s="2" t="s">
        <v>10</v>
      </c>
      <c r="E16199" s="2" t="str">
        <f>HYPERLINK("http://ts.21cn.com/tousu/show/id/1347927","http://ts.21cn.com/tousu/show/id/1347927")</f>
        <v>http://ts.21cn.com/tousu/show/id/1347927</v>
      </c>
      <c r="F16199" s="2" t="s">
        <v>11</v>
      </c>
      <c r="G16199" s="2" t="s">
        <v>12326</v>
      </c>
      <c r="H16199" s="2" t="s">
        <v>12327</v>
      </c>
    </row>
    <row r="16200" spans="1:8" ht="25.05" customHeight="1" x14ac:dyDescent="0.25">
      <c r="A16200" s="2" t="s">
        <v>8</v>
      </c>
      <c r="B16200" s="2" t="str">
        <f>HYPERLINK("http://ts.21cn.com/tousu/show/id/1347929","安逸花利息太高")</f>
        <v>安逸花利息太高</v>
      </c>
      <c r="C16200" s="2" t="s">
        <v>9</v>
      </c>
      <c r="D16200" s="2" t="s">
        <v>10</v>
      </c>
      <c r="E16200" s="2" t="str">
        <f>HYPERLINK("http://ts.21cn.com/tousu/show/id/1347929","http://ts.21cn.com/tousu/show/id/1347929")</f>
        <v>http://ts.21cn.com/tousu/show/id/1347929</v>
      </c>
      <c r="F16200" s="2" t="s">
        <v>11</v>
      </c>
      <c r="G16200" s="2" t="s">
        <v>12324</v>
      </c>
      <c r="H16200" s="2" t="s">
        <v>12325</v>
      </c>
    </row>
    <row r="16201" spans="1:8" ht="25.05" customHeight="1" x14ac:dyDescent="0.25">
      <c r="A16201" s="2" t="s">
        <v>8</v>
      </c>
      <c r="B16201" s="2" t="str">
        <f>HYPERLINK("http://ts.21cn.com/tousu/show/id/1347931","无缘无故扣款")</f>
        <v>无缘无故扣款</v>
      </c>
      <c r="C16201" s="2" t="s">
        <v>9</v>
      </c>
      <c r="D16201" s="2" t="s">
        <v>10</v>
      </c>
      <c r="E16201" s="2" t="str">
        <f>HYPERLINK("http://ts.21cn.com/tousu/show/id/1347931","http://ts.21cn.com/tousu/show/id/1347931")</f>
        <v>http://ts.21cn.com/tousu/show/id/1347931</v>
      </c>
      <c r="F16201" s="2" t="s">
        <v>11</v>
      </c>
      <c r="G16201" s="2" t="s">
        <v>12322</v>
      </c>
      <c r="H16201" s="2" t="s">
        <v>12323</v>
      </c>
    </row>
    <row r="16202" spans="1:8" ht="25.05" customHeight="1" x14ac:dyDescent="0.25">
      <c r="A16202" s="2" t="s">
        <v>8</v>
      </c>
      <c r="B16202" s="2" t="str">
        <f>HYPERLINK("http://ts.21cn.com/tousu/show/id/1347930","啥意思？")</f>
        <v>啥意思？</v>
      </c>
      <c r="C16202" s="2" t="s">
        <v>9</v>
      </c>
      <c r="D16202" s="2" t="s">
        <v>10</v>
      </c>
      <c r="E16202" s="2" t="str">
        <f>HYPERLINK("http://ts.21cn.com/tousu/show/id/1347930","http://ts.21cn.com/tousu/show/id/1347930")</f>
        <v>http://ts.21cn.com/tousu/show/id/1347930</v>
      </c>
      <c r="F16202" s="2" t="s">
        <v>11</v>
      </c>
      <c r="G16202" s="2" t="s">
        <v>12320</v>
      </c>
      <c r="H16202" s="2" t="s">
        <v>12321</v>
      </c>
    </row>
    <row r="16203" spans="1:8" ht="25.05" customHeight="1" x14ac:dyDescent="0.25">
      <c r="A16203" s="2" t="s">
        <v>8</v>
      </c>
      <c r="B16203" s="2" t="str">
        <f>HYPERLINK("http://ts.21cn.com/tousu/show/id/1347920","银行卡被银联广东分公司无故扣款")</f>
        <v>银行卡被银联广东分公司无故扣款</v>
      </c>
      <c r="C16203" s="2" t="s">
        <v>9</v>
      </c>
      <c r="D16203" s="2" t="s">
        <v>10</v>
      </c>
      <c r="E16203" s="2" t="str">
        <f>HYPERLINK("http://ts.21cn.com/tousu/show/id/1347920","http://ts.21cn.com/tousu/show/id/1347920")</f>
        <v>http://ts.21cn.com/tousu/show/id/1347920</v>
      </c>
      <c r="F16203" s="2" t="s">
        <v>11</v>
      </c>
      <c r="G16203" s="2" t="s">
        <v>12318</v>
      </c>
      <c r="H16203" s="2" t="s">
        <v>12319</v>
      </c>
    </row>
    <row r="16204" spans="1:8" ht="25.05" customHeight="1" x14ac:dyDescent="0.25">
      <c r="A16204" s="2" t="s">
        <v>8</v>
      </c>
      <c r="B16204" s="2" t="str">
        <f>HYPERLINK("http://ts.21cn.com/tousu/show/id/1347934","太难了")</f>
        <v>太难了</v>
      </c>
      <c r="C16204" s="2" t="s">
        <v>9</v>
      </c>
      <c r="D16204" s="2" t="s">
        <v>10</v>
      </c>
      <c r="E16204" s="2" t="str">
        <f>HYPERLINK("http://ts.21cn.com/tousu/show/id/1347934","http://ts.21cn.com/tousu/show/id/1347934")</f>
        <v>http://ts.21cn.com/tousu/show/id/1347934</v>
      </c>
      <c r="F16204" s="2" t="s">
        <v>11</v>
      </c>
      <c r="G16204" s="2" t="s">
        <v>12316</v>
      </c>
      <c r="H16204" s="2" t="s">
        <v>12317</v>
      </c>
    </row>
    <row r="16205" spans="1:8" ht="25.05" customHeight="1" x14ac:dyDescent="0.25">
      <c r="A16205" s="2" t="s">
        <v>8</v>
      </c>
      <c r="B16205" s="2" t="str">
        <f>HYPERLINK("http://ts.21cn.com/tousu/show/id/1347935","嗨钱网收取砍头息并打电话威胁恐吓")</f>
        <v>嗨钱网收取砍头息并打电话威胁恐吓</v>
      </c>
      <c r="C16205" s="2" t="s">
        <v>9</v>
      </c>
      <c r="D16205" s="2" t="s">
        <v>10</v>
      </c>
      <c r="E16205" s="2" t="str">
        <f>HYPERLINK("http://ts.21cn.com/tousu/show/id/1347935","http://ts.21cn.com/tousu/show/id/1347935")</f>
        <v>http://ts.21cn.com/tousu/show/id/1347935</v>
      </c>
      <c r="F16205" s="2" t="s">
        <v>11</v>
      </c>
      <c r="G16205" s="2" t="s">
        <v>12314</v>
      </c>
      <c r="H16205" s="2" t="s">
        <v>12315</v>
      </c>
    </row>
    <row r="16206" spans="1:8" ht="25.05" customHeight="1" x14ac:dyDescent="0.25">
      <c r="A16206" s="2" t="s">
        <v>8</v>
      </c>
      <c r="B16206" s="2" t="str">
        <f>HYPERLINK("http://ts.21cn.com/tousu/show/id/1347936","本人投诉天下支付科技有限公司违规提供支付通道")</f>
        <v>本人投诉天下支付科技有限公司违规提供支付通道</v>
      </c>
      <c r="C16206" s="2" t="s">
        <v>9</v>
      </c>
      <c r="D16206" s="2" t="s">
        <v>10</v>
      </c>
      <c r="E16206" s="2" t="str">
        <f>HYPERLINK("http://ts.21cn.com/tousu/show/id/1347936","http://ts.21cn.com/tousu/show/id/1347936")</f>
        <v>http://ts.21cn.com/tousu/show/id/1347936</v>
      </c>
      <c r="F16206" s="2" t="s">
        <v>11</v>
      </c>
      <c r="G16206" s="2" t="s">
        <v>12313</v>
      </c>
      <c r="H16206" s="2" t="s">
        <v>1740</v>
      </c>
    </row>
    <row r="16207" spans="1:8" ht="25.05" customHeight="1" x14ac:dyDescent="0.25">
      <c r="A16207" s="2" t="s">
        <v>8</v>
      </c>
      <c r="B16207" s="2" t="str">
        <f>HYPERLINK("http://ts.21cn.com/tousu/show/id/1347937","小黑鲨高利贷平台")</f>
        <v>小黑鲨高利贷平台</v>
      </c>
      <c r="C16207" s="2" t="s">
        <v>9</v>
      </c>
      <c r="D16207" s="2" t="s">
        <v>10</v>
      </c>
      <c r="E16207" s="2" t="str">
        <f>HYPERLINK("http://ts.21cn.com/tousu/show/id/1347937","http://ts.21cn.com/tousu/show/id/1347937")</f>
        <v>http://ts.21cn.com/tousu/show/id/1347937</v>
      </c>
      <c r="F16207" s="2" t="s">
        <v>11</v>
      </c>
      <c r="G16207" s="2" t="s">
        <v>12311</v>
      </c>
      <c r="H16207" s="2" t="s">
        <v>12312</v>
      </c>
    </row>
    <row r="16208" spans="1:8" ht="25.05" customHeight="1" x14ac:dyDescent="0.25">
      <c r="A16208" s="2" t="s">
        <v>8</v>
      </c>
      <c r="B16208" s="2" t="str">
        <f>HYPERLINK("http://ts.21cn.com/tousu/show/id/1347908","恶意砍头息，高利贷")</f>
        <v>恶意砍头息，高利贷</v>
      </c>
      <c r="C16208" s="2" t="s">
        <v>9</v>
      </c>
      <c r="D16208" s="2" t="s">
        <v>10</v>
      </c>
      <c r="E16208" s="2" t="str">
        <f>HYPERLINK("http://ts.21cn.com/tousu/show/id/1347908","http://ts.21cn.com/tousu/show/id/1347908")</f>
        <v>http://ts.21cn.com/tousu/show/id/1347908</v>
      </c>
      <c r="F16208" s="2" t="s">
        <v>11</v>
      </c>
      <c r="G16208" s="2" t="s">
        <v>12308</v>
      </c>
      <c r="H16208" s="2" t="s">
        <v>12309</v>
      </c>
    </row>
    <row r="16209" spans="1:8" ht="25.05" customHeight="1" x14ac:dyDescent="0.25">
      <c r="A16209" s="2" t="s">
        <v>8</v>
      </c>
      <c r="B16209" s="2" t="str">
        <f>HYPERLINK("http://ts.21cn.com/tousu/show/id/1347938","暴力催收恐吓阴阳合同高利贷")</f>
        <v>暴力催收恐吓阴阳合同高利贷</v>
      </c>
      <c r="C16209" s="2" t="s">
        <v>9</v>
      </c>
      <c r="D16209" s="2" t="s">
        <v>10</v>
      </c>
      <c r="E16209" s="2" t="str">
        <f>HYPERLINK("http://ts.21cn.com/tousu/show/id/1347938","http://ts.21cn.com/tousu/show/id/1347938")</f>
        <v>http://ts.21cn.com/tousu/show/id/1347938</v>
      </c>
      <c r="F16209" s="2" t="s">
        <v>11</v>
      </c>
      <c r="G16209" s="2" t="s">
        <v>12308</v>
      </c>
      <c r="H16209" s="2" t="s">
        <v>12310</v>
      </c>
    </row>
    <row r="16210" spans="1:8" ht="25.05" customHeight="1" x14ac:dyDescent="0.25">
      <c r="A16210" s="2" t="s">
        <v>8</v>
      </c>
      <c r="B16210" s="2" t="str">
        <f>HYPERLINK("http://ts.21cn.com/tousu/show/id/1347939","爆通讯录后反馈无人处理")</f>
        <v>爆通讯录后反馈无人处理</v>
      </c>
      <c r="C16210" s="2" t="s">
        <v>9</v>
      </c>
      <c r="D16210" s="2" t="s">
        <v>10</v>
      </c>
      <c r="E16210" s="2" t="str">
        <f>HYPERLINK("http://ts.21cn.com/tousu/show/id/1347939","http://ts.21cn.com/tousu/show/id/1347939")</f>
        <v>http://ts.21cn.com/tousu/show/id/1347939</v>
      </c>
      <c r="F16210" s="2" t="s">
        <v>11</v>
      </c>
      <c r="G16210" s="2" t="s">
        <v>12306</v>
      </c>
      <c r="H16210" s="2" t="s">
        <v>12307</v>
      </c>
    </row>
    <row r="16211" spans="1:8" ht="25.05" customHeight="1" x14ac:dyDescent="0.25">
      <c r="A16211" s="2" t="s">
        <v>8</v>
      </c>
      <c r="B16211" s="2" t="str">
        <f>HYPERLINK("http://ts.21cn.com/tousu/show/id/1347940","协商还款")</f>
        <v>协商还款</v>
      </c>
      <c r="C16211" s="2" t="s">
        <v>34</v>
      </c>
      <c r="D16211" s="2" t="s">
        <v>10</v>
      </c>
      <c r="E16211" s="2" t="str">
        <f>HYPERLINK("http://ts.21cn.com/tousu/show/id/1347940","http://ts.21cn.com/tousu/show/id/1347940")</f>
        <v>http://ts.21cn.com/tousu/show/id/1347940</v>
      </c>
      <c r="F16211" s="2" t="s">
        <v>11</v>
      </c>
      <c r="G16211" s="2" t="s">
        <v>12304</v>
      </c>
      <c r="H16211" s="2" t="s">
        <v>12305</v>
      </c>
    </row>
    <row r="16212" spans="1:8" ht="25.05" customHeight="1" x14ac:dyDescent="0.25">
      <c r="A16212" s="2" t="s">
        <v>8</v>
      </c>
      <c r="B16212" s="2" t="str">
        <f>HYPERLINK("http://ts.21cn.com/tousu/show/id/1347941","中腾信暴力催收，威胁骚扰，严重影响了自己和亲戚朋友生活")</f>
        <v>中腾信暴力催收，威胁骚扰，严重影响了自己和亲戚朋友生活</v>
      </c>
      <c r="C16212" s="2" t="s">
        <v>9</v>
      </c>
      <c r="D16212" s="2" t="s">
        <v>10</v>
      </c>
      <c r="E16212" s="2" t="str">
        <f>HYPERLINK("http://ts.21cn.com/tousu/show/id/1347941","http://ts.21cn.com/tousu/show/id/1347941")</f>
        <v>http://ts.21cn.com/tousu/show/id/1347941</v>
      </c>
      <c r="F16212" s="2" t="s">
        <v>11</v>
      </c>
      <c r="G16212" s="2" t="s">
        <v>12302</v>
      </c>
      <c r="H16212" s="2" t="s">
        <v>12303</v>
      </c>
    </row>
    <row r="16213" spans="1:8" ht="25.05" customHeight="1" x14ac:dyDescent="0.25">
      <c r="A16213" s="2" t="s">
        <v>8</v>
      </c>
      <c r="B16213" s="2" t="str">
        <f>HYPERLINK("http://ts.21cn.com/tousu/show/id/1347943","借贷宝暴力催收，恐吓，侮辱")</f>
        <v>借贷宝暴力催收，恐吓，侮辱</v>
      </c>
      <c r="C16213" s="2" t="s">
        <v>9</v>
      </c>
      <c r="D16213" s="2" t="s">
        <v>10</v>
      </c>
      <c r="E16213" s="2" t="str">
        <f>HYPERLINK("http://ts.21cn.com/tousu/show/id/1347943","http://ts.21cn.com/tousu/show/id/1347943")</f>
        <v>http://ts.21cn.com/tousu/show/id/1347943</v>
      </c>
      <c r="F16213" s="2" t="s">
        <v>11</v>
      </c>
      <c r="G16213" s="2" t="s">
        <v>12300</v>
      </c>
      <c r="H16213" s="2" t="s">
        <v>12301</v>
      </c>
    </row>
    <row r="16214" spans="1:8" ht="25.05" customHeight="1" x14ac:dyDescent="0.25">
      <c r="A16214" s="2" t="s">
        <v>8</v>
      </c>
      <c r="B16214" s="2" t="str">
        <f>HYPERLINK("http://ts.21cn.com/tousu/show/id/1347944","钱站高利贷阴阳合同")</f>
        <v>钱站高利贷阴阳合同</v>
      </c>
      <c r="C16214" s="2" t="s">
        <v>9</v>
      </c>
      <c r="D16214" s="2" t="s">
        <v>10</v>
      </c>
      <c r="E16214" s="2" t="str">
        <f>HYPERLINK("http://ts.21cn.com/tousu/show/id/1347944","http://ts.21cn.com/tousu/show/id/1347944")</f>
        <v>http://ts.21cn.com/tousu/show/id/1347944</v>
      </c>
      <c r="F16214" s="2" t="s">
        <v>11</v>
      </c>
      <c r="G16214" s="2" t="s">
        <v>12298</v>
      </c>
      <c r="H16214" s="2" t="s">
        <v>12299</v>
      </c>
    </row>
    <row r="16215" spans="1:8" ht="25.05" customHeight="1" x14ac:dyDescent="0.25">
      <c r="A16215" s="2" t="s">
        <v>8</v>
      </c>
      <c r="B16215" s="2" t="str">
        <f>HYPERLINK("http://ts.21cn.com/tousu/show/id/1347946","钱站高利贷")</f>
        <v>钱站高利贷</v>
      </c>
      <c r="C16215" s="2" t="s">
        <v>9</v>
      </c>
      <c r="D16215" s="2" t="s">
        <v>10</v>
      </c>
      <c r="E16215" s="2" t="str">
        <f>HYPERLINK("http://ts.21cn.com/tousu/show/id/1347946","http://ts.21cn.com/tousu/show/id/1347946")</f>
        <v>http://ts.21cn.com/tousu/show/id/1347946</v>
      </c>
      <c r="F16215" s="2" t="s">
        <v>11</v>
      </c>
      <c r="G16215" s="2" t="s">
        <v>12295</v>
      </c>
      <c r="H16215" s="2" t="s">
        <v>12296</v>
      </c>
    </row>
    <row r="16216" spans="1:8" ht="25.05" customHeight="1" x14ac:dyDescent="0.25">
      <c r="A16216" s="2" t="s">
        <v>8</v>
      </c>
      <c r="B16216" s="2" t="str">
        <f>HYPERLINK("http://ts.21cn.com/tousu/show/id/1347945","阴阳合同高利贷害死人小象优品")</f>
        <v>阴阳合同高利贷害死人小象优品</v>
      </c>
      <c r="C16216" s="2" t="s">
        <v>9</v>
      </c>
      <c r="D16216" s="2" t="s">
        <v>10</v>
      </c>
      <c r="E16216" s="2" t="str">
        <f>HYPERLINK("http://ts.21cn.com/tousu/show/id/1347945","http://ts.21cn.com/tousu/show/id/1347945")</f>
        <v>http://ts.21cn.com/tousu/show/id/1347945</v>
      </c>
      <c r="F16216" s="2" t="s">
        <v>11</v>
      </c>
      <c r="G16216" s="2" t="s">
        <v>12295</v>
      </c>
      <c r="H16216" s="2" t="s">
        <v>12297</v>
      </c>
    </row>
    <row r="16217" spans="1:8" ht="25.05" customHeight="1" x14ac:dyDescent="0.25">
      <c r="A16217" s="2" t="s">
        <v>8</v>
      </c>
      <c r="B16217" s="2" t="str">
        <f>HYPERLINK("http://ts.21cn.com/tousu/show/id/1347947","交通银行信用卡出l催款人员暴力催收")</f>
        <v>交通银行信用卡出l催款人员暴力催收</v>
      </c>
      <c r="C16217" s="2" t="s">
        <v>9</v>
      </c>
      <c r="D16217" s="2" t="s">
        <v>10</v>
      </c>
      <c r="E16217" s="2" t="str">
        <f>HYPERLINK("http://ts.21cn.com/tousu/show/id/1347947","http://ts.21cn.com/tousu/show/id/1347947")</f>
        <v>http://ts.21cn.com/tousu/show/id/1347947</v>
      </c>
      <c r="F16217" s="2" t="s">
        <v>11</v>
      </c>
      <c r="G16217" s="2" t="s">
        <v>12293</v>
      </c>
      <c r="H16217" s="2" t="s">
        <v>12294</v>
      </c>
    </row>
    <row r="16218" spans="1:8" ht="25.05" customHeight="1" x14ac:dyDescent="0.25">
      <c r="A16218" s="2" t="s">
        <v>8</v>
      </c>
      <c r="B16218" s="2" t="str">
        <f>HYPERLINK("http://ts.21cn.com/tousu/show/id/1347948","冒充法院判决")</f>
        <v>冒充法院判决</v>
      </c>
      <c r="C16218" s="2" t="s">
        <v>9</v>
      </c>
      <c r="D16218" s="2" t="s">
        <v>10</v>
      </c>
      <c r="E16218" s="2" t="str">
        <f>HYPERLINK("http://ts.21cn.com/tousu/show/id/1347948","http://ts.21cn.com/tousu/show/id/1347948")</f>
        <v>http://ts.21cn.com/tousu/show/id/1347948</v>
      </c>
      <c r="F16218" s="2" t="s">
        <v>11</v>
      </c>
      <c r="G16218" s="2" t="s">
        <v>12291</v>
      </c>
      <c r="H16218" s="2" t="s">
        <v>12292</v>
      </c>
    </row>
    <row r="16219" spans="1:8" ht="25.05" customHeight="1" x14ac:dyDescent="0.25">
      <c r="A16219" s="2" t="s">
        <v>8</v>
      </c>
      <c r="B16219" s="2" t="str">
        <f>HYPERLINK("http://ts.21cn.com/tousu/show/id/1347950","信用管家蓝莓金服高利贷")</f>
        <v>信用管家蓝莓金服高利贷</v>
      </c>
      <c r="C16219" s="2" t="s">
        <v>9</v>
      </c>
      <c r="D16219" s="2" t="s">
        <v>10</v>
      </c>
      <c r="E16219" s="2" t="str">
        <f>HYPERLINK("http://ts.21cn.com/tousu/show/id/1347950","http://ts.21cn.com/tousu/show/id/1347950")</f>
        <v>http://ts.21cn.com/tousu/show/id/1347950</v>
      </c>
      <c r="F16219" s="2" t="s">
        <v>11</v>
      </c>
      <c r="G16219" s="2" t="s">
        <v>12289</v>
      </c>
      <c r="H16219" s="2" t="s">
        <v>12290</v>
      </c>
    </row>
    <row r="16220" spans="1:8" ht="25.05" customHeight="1" x14ac:dyDescent="0.25">
      <c r="A16220" s="2" t="s">
        <v>8</v>
      </c>
      <c r="B16220" s="2" t="str">
        <f>HYPERLINK("http://ts.21cn.com/tousu/show/id/1347949","安逸花骚扰家人")</f>
        <v>安逸花骚扰家人</v>
      </c>
      <c r="C16220" s="2" t="s">
        <v>34</v>
      </c>
      <c r="D16220" s="2" t="s">
        <v>10</v>
      </c>
      <c r="E16220" s="2" t="str">
        <f>HYPERLINK("http://ts.21cn.com/tousu/show/id/1347949","http://ts.21cn.com/tousu/show/id/1347949")</f>
        <v>http://ts.21cn.com/tousu/show/id/1347949</v>
      </c>
      <c r="F16220" s="2" t="s">
        <v>11</v>
      </c>
      <c r="G16220" s="2" t="s">
        <v>12287</v>
      </c>
      <c r="H16220" s="2" t="s">
        <v>12288</v>
      </c>
    </row>
    <row r="16221" spans="1:8" ht="25.05" customHeight="1" x14ac:dyDescent="0.25">
      <c r="A16221" s="2" t="s">
        <v>8</v>
      </c>
      <c r="B16221" s="2" t="str">
        <f>HYPERLINK("http://ts.21cn.com/tousu/show/id/1347951","富友支付联合现金巴士扣除高额利息")</f>
        <v>富友支付联合现金巴士扣除高额利息</v>
      </c>
      <c r="C16221" s="2" t="s">
        <v>9</v>
      </c>
      <c r="D16221" s="2" t="s">
        <v>10</v>
      </c>
      <c r="E16221" s="2" t="str">
        <f>HYPERLINK("http://ts.21cn.com/tousu/show/id/1347951","http://ts.21cn.com/tousu/show/id/1347951")</f>
        <v>http://ts.21cn.com/tousu/show/id/1347951</v>
      </c>
      <c r="F16221" s="2" t="s">
        <v>11</v>
      </c>
      <c r="G16221" s="2" t="s">
        <v>12285</v>
      </c>
      <c r="H16221" s="2" t="s">
        <v>12286</v>
      </c>
    </row>
    <row r="16222" spans="1:8" ht="25.05" customHeight="1" x14ac:dyDescent="0.25">
      <c r="A16222" s="2" t="s">
        <v>8</v>
      </c>
      <c r="B16222" s="2" t="str">
        <f>HYPERLINK("http://ts.21cn.com/tousu/show/id/1347953","学慧网定金不退")</f>
        <v>学慧网定金不退</v>
      </c>
      <c r="C16222" s="2" t="s">
        <v>9</v>
      </c>
      <c r="D16222" s="2" t="s">
        <v>10</v>
      </c>
      <c r="E16222" s="2" t="str">
        <f>HYPERLINK("http://ts.21cn.com/tousu/show/id/1347953","http://ts.21cn.com/tousu/show/id/1347953")</f>
        <v>http://ts.21cn.com/tousu/show/id/1347953</v>
      </c>
      <c r="F16222" s="2" t="s">
        <v>11</v>
      </c>
      <c r="G16222" s="2" t="s">
        <v>12283</v>
      </c>
      <c r="H16222" s="2" t="s">
        <v>12284</v>
      </c>
    </row>
    <row r="16223" spans="1:8" ht="25.05" customHeight="1" x14ac:dyDescent="0.25">
      <c r="A16223" s="2" t="s">
        <v>8</v>
      </c>
      <c r="B16223" s="2" t="str">
        <f>HYPERLINK("http://ts.21cn.com/tousu/show/id/1347954","招联金融")</f>
        <v>招联金融</v>
      </c>
      <c r="C16223" s="2" t="s">
        <v>9</v>
      </c>
      <c r="D16223" s="2" t="s">
        <v>10</v>
      </c>
      <c r="E16223" s="2" t="str">
        <f>HYPERLINK("http://ts.21cn.com/tousu/show/id/1347954","http://ts.21cn.com/tousu/show/id/1347954")</f>
        <v>http://ts.21cn.com/tousu/show/id/1347954</v>
      </c>
      <c r="F16223" s="2" t="s">
        <v>11</v>
      </c>
      <c r="G16223" s="2" t="s">
        <v>12281</v>
      </c>
      <c r="H16223" s="2" t="s">
        <v>12282</v>
      </c>
    </row>
    <row r="16224" spans="1:8" ht="25.05" customHeight="1" x14ac:dyDescent="0.25">
      <c r="A16224" s="2" t="s">
        <v>8</v>
      </c>
      <c r="B16224" s="2" t="str">
        <f>HYPERLINK("http://ts.21cn.com/tousu/show/id/1347955","暴力催收，骚扰通汛录，伪造法庭开庭通知")</f>
        <v>暴力催收，骚扰通汛录，伪造法庭开庭通知</v>
      </c>
      <c r="C16224" s="2" t="s">
        <v>9</v>
      </c>
      <c r="D16224" s="2" t="s">
        <v>10</v>
      </c>
      <c r="E16224" s="2" t="str">
        <f>HYPERLINK("http://ts.21cn.com/tousu/show/id/1347955","http://ts.21cn.com/tousu/show/id/1347955")</f>
        <v>http://ts.21cn.com/tousu/show/id/1347955</v>
      </c>
      <c r="F16224" s="2" t="s">
        <v>11</v>
      </c>
      <c r="G16224" s="2" t="s">
        <v>12279</v>
      </c>
      <c r="H16224" s="2" t="s">
        <v>12280</v>
      </c>
    </row>
    <row r="16225" spans="1:8" ht="25.05" customHeight="1" x14ac:dyDescent="0.25">
      <c r="A16225" s="2" t="s">
        <v>8</v>
      </c>
      <c r="B16225" s="2" t="str">
        <f>HYPERLINK("http://ts.21cn.com/tousu/show/id/1347956","建设银行出尔反尔")</f>
        <v>建设银行出尔反尔</v>
      </c>
      <c r="C16225" s="2" t="s">
        <v>9</v>
      </c>
      <c r="D16225" s="2" t="s">
        <v>10</v>
      </c>
      <c r="E16225" s="2" t="str">
        <f>HYPERLINK("http://ts.21cn.com/tousu/show/id/1347956","http://ts.21cn.com/tousu/show/id/1347956")</f>
        <v>http://ts.21cn.com/tousu/show/id/1347956</v>
      </c>
      <c r="F16225" s="2" t="s">
        <v>11</v>
      </c>
      <c r="G16225" s="2" t="s">
        <v>12277</v>
      </c>
      <c r="H16225" s="2" t="s">
        <v>12278</v>
      </c>
    </row>
    <row r="16226" spans="1:8" ht="25.05" customHeight="1" x14ac:dyDescent="0.25">
      <c r="A16226" s="2" t="s">
        <v>8</v>
      </c>
      <c r="B16226" s="2" t="str">
        <f>HYPERLINK("http://ts.21cn.com/tousu/show/id/1347958","变相收取手续费")</f>
        <v>变相收取手续费</v>
      </c>
      <c r="C16226" s="2" t="s">
        <v>9</v>
      </c>
      <c r="D16226" s="2" t="s">
        <v>10</v>
      </c>
      <c r="E16226" s="2" t="str">
        <f>HYPERLINK("http://ts.21cn.com/tousu/show/id/1347958","http://ts.21cn.com/tousu/show/id/1347958")</f>
        <v>http://ts.21cn.com/tousu/show/id/1347958</v>
      </c>
      <c r="F16226" s="2" t="s">
        <v>11</v>
      </c>
      <c r="G16226" s="2" t="s">
        <v>12275</v>
      </c>
      <c r="H16226" s="2" t="s">
        <v>12276</v>
      </c>
    </row>
    <row r="16227" spans="1:8" ht="25.05" customHeight="1" x14ac:dyDescent="0.25">
      <c r="A16227" s="2" t="s">
        <v>8</v>
      </c>
      <c r="B16227" s="2" t="str">
        <f>HYPERLINK("http://ts.21cn.com/tousu/show/id/1347957","催收骚扰")</f>
        <v>催收骚扰</v>
      </c>
      <c r="C16227" s="2" t="s">
        <v>9</v>
      </c>
      <c r="D16227" s="2" t="s">
        <v>10</v>
      </c>
      <c r="E16227" s="2" t="str">
        <f>HYPERLINK("http://ts.21cn.com/tousu/show/id/1347957","http://ts.21cn.com/tousu/show/id/1347957")</f>
        <v>http://ts.21cn.com/tousu/show/id/1347957</v>
      </c>
      <c r="F16227" s="2" t="s">
        <v>11</v>
      </c>
      <c r="G16227" s="2" t="s">
        <v>12273</v>
      </c>
      <c r="H16227" s="2" t="s">
        <v>12274</v>
      </c>
    </row>
    <row r="16228" spans="1:8" ht="25.05" customHeight="1" x14ac:dyDescent="0.25">
      <c r="A16228" s="2" t="s">
        <v>8</v>
      </c>
      <c r="B16228" s="2" t="str">
        <f>HYPERLINK("http://ts.21cn.com/tousu/show/id/1347959","爱又米利息高且收取担保费")</f>
        <v>爱又米利息高且收取担保费</v>
      </c>
      <c r="C16228" s="2" t="s">
        <v>34</v>
      </c>
      <c r="D16228" s="2" t="s">
        <v>10</v>
      </c>
      <c r="E16228" s="2" t="str">
        <f>HYPERLINK("http://ts.21cn.com/tousu/show/id/1347959","http://ts.21cn.com/tousu/show/id/1347959")</f>
        <v>http://ts.21cn.com/tousu/show/id/1347959</v>
      </c>
      <c r="F16228" s="2" t="s">
        <v>11</v>
      </c>
      <c r="G16228" s="2" t="s">
        <v>12271</v>
      </c>
      <c r="H16228" s="2" t="s">
        <v>12272</v>
      </c>
    </row>
    <row r="16229" spans="1:8" ht="25.05" customHeight="1" x14ac:dyDescent="0.25">
      <c r="A16229" s="2" t="s">
        <v>8</v>
      </c>
      <c r="B16229" s="2" t="str">
        <f>HYPERLINK("http://ts.21cn.com/tousu/show/id/1347961","上海富友合作方网贷公司砍头息套路贷")</f>
        <v>上海富友合作方网贷公司砍头息套路贷</v>
      </c>
      <c r="C16229" s="2" t="s">
        <v>9</v>
      </c>
      <c r="D16229" s="2" t="s">
        <v>10</v>
      </c>
      <c r="E16229" s="2" t="str">
        <f>HYPERLINK("http://ts.21cn.com/tousu/show/id/1347961","http://ts.21cn.com/tousu/show/id/1347961")</f>
        <v>http://ts.21cn.com/tousu/show/id/1347961</v>
      </c>
      <c r="F16229" s="2" t="s">
        <v>11</v>
      </c>
      <c r="G16229" s="2" t="s">
        <v>12269</v>
      </c>
      <c r="H16229" s="2" t="s">
        <v>12270</v>
      </c>
    </row>
    <row r="16230" spans="1:8" ht="25.05" customHeight="1" x14ac:dyDescent="0.25">
      <c r="A16230" s="2" t="s">
        <v>8</v>
      </c>
      <c r="B16230" s="2" t="str">
        <f>HYPERLINK("http://ts.21cn.com/tousu/show/id/1347960","袋鼠口袋高额砍头息")</f>
        <v>袋鼠口袋高额砍头息</v>
      </c>
      <c r="C16230" s="2" t="s">
        <v>34</v>
      </c>
      <c r="D16230" s="2" t="s">
        <v>10</v>
      </c>
      <c r="E16230" s="2" t="str">
        <f>HYPERLINK("http://ts.21cn.com/tousu/show/id/1347960","http://ts.21cn.com/tousu/show/id/1347960")</f>
        <v>http://ts.21cn.com/tousu/show/id/1347960</v>
      </c>
      <c r="F16230" s="2" t="s">
        <v>11</v>
      </c>
      <c r="G16230" s="2" t="s">
        <v>12267</v>
      </c>
      <c r="H16230" s="2" t="s">
        <v>12268</v>
      </c>
    </row>
    <row r="16231" spans="1:8" ht="25.05" customHeight="1" x14ac:dyDescent="0.25">
      <c r="A16231" s="2" t="s">
        <v>8</v>
      </c>
      <c r="B16231" s="2" t="str">
        <f>HYPERLINK("http://ts.21cn.com/tousu/show/id/1347963","身份证信息被他人盗用")</f>
        <v>身份证信息被他人盗用</v>
      </c>
      <c r="C16231" s="2" t="s">
        <v>34</v>
      </c>
      <c r="D16231" s="2" t="s">
        <v>10</v>
      </c>
      <c r="E16231" s="2" t="str">
        <f>HYPERLINK("http://ts.21cn.com/tousu/show/id/1347963","http://ts.21cn.com/tousu/show/id/1347963")</f>
        <v>http://ts.21cn.com/tousu/show/id/1347963</v>
      </c>
      <c r="F16231" s="2" t="s">
        <v>11</v>
      </c>
      <c r="G16231" s="2" t="s">
        <v>12265</v>
      </c>
      <c r="H16231" s="2" t="s">
        <v>12266</v>
      </c>
    </row>
    <row r="16232" spans="1:8" ht="25.05" customHeight="1" x14ac:dyDescent="0.25">
      <c r="A16232" s="2" t="s">
        <v>8</v>
      </c>
      <c r="B16232" s="2" t="str">
        <f>HYPERLINK("http://ts.21cn.com/tousu/show/id/1347965","跟百付宝没有任何的业务往来，多次扣款500元，625元，还有其他的扣款")</f>
        <v>跟百付宝没有任何的业务往来，多次扣款500元，625元，还有其他的扣款</v>
      </c>
      <c r="C16232" s="2" t="s">
        <v>34</v>
      </c>
      <c r="D16232" s="2" t="s">
        <v>10</v>
      </c>
      <c r="E16232" s="2" t="str">
        <f>HYPERLINK("http://ts.21cn.com/tousu/show/id/1347965","http://ts.21cn.com/tousu/show/id/1347965")</f>
        <v>http://ts.21cn.com/tousu/show/id/1347965</v>
      </c>
      <c r="F16232" s="2" t="s">
        <v>11</v>
      </c>
      <c r="G16232" s="2" t="s">
        <v>12263</v>
      </c>
      <c r="H16232" s="2" t="s">
        <v>12264</v>
      </c>
    </row>
    <row r="16233" spans="1:8" ht="25.05" customHeight="1" x14ac:dyDescent="0.25">
      <c r="A16233" s="2" t="s">
        <v>8</v>
      </c>
      <c r="B16233" s="2" t="str">
        <f>HYPERLINK("http://ts.21cn.com/tousu/show/id/1347964","交易猫退款失败")</f>
        <v>交易猫退款失败</v>
      </c>
      <c r="C16233" s="2" t="s">
        <v>9</v>
      </c>
      <c r="D16233" s="2" t="s">
        <v>10</v>
      </c>
      <c r="E16233" s="2" t="str">
        <f>HYPERLINK("http://ts.21cn.com/tousu/show/id/1347964","http://ts.21cn.com/tousu/show/id/1347964")</f>
        <v>http://ts.21cn.com/tousu/show/id/1347964</v>
      </c>
      <c r="F16233" s="2" t="s">
        <v>11</v>
      </c>
      <c r="G16233" s="2" t="s">
        <v>12261</v>
      </c>
      <c r="H16233" s="2" t="s">
        <v>12262</v>
      </c>
    </row>
    <row r="16234" spans="1:8" ht="25.05" customHeight="1" x14ac:dyDescent="0.25">
      <c r="A16234" s="2" t="s">
        <v>8</v>
      </c>
      <c r="B16234" s="2" t="str">
        <f>HYPERLINK("http://ts.21cn.com/tousu/show/id/1347966","南京玉恒商业管理有限公司疑似跑路")</f>
        <v>南京玉恒商业管理有限公司疑似跑路</v>
      </c>
      <c r="C16234" s="2" t="s">
        <v>9</v>
      </c>
      <c r="D16234" s="2" t="s">
        <v>10</v>
      </c>
      <c r="E16234" s="2" t="str">
        <f>HYPERLINK("http://ts.21cn.com/tousu/show/id/1347966","http://ts.21cn.com/tousu/show/id/1347966")</f>
        <v>http://ts.21cn.com/tousu/show/id/1347966</v>
      </c>
      <c r="F16234" s="2" t="s">
        <v>11</v>
      </c>
      <c r="G16234" s="2" t="s">
        <v>12259</v>
      </c>
      <c r="H16234" s="2" t="s">
        <v>12260</v>
      </c>
    </row>
    <row r="16235" spans="1:8" ht="25.05" customHeight="1" x14ac:dyDescent="0.25">
      <c r="A16235" s="2" t="s">
        <v>8</v>
      </c>
      <c r="B16235" s="2" t="str">
        <f>HYPERLINK("http://ts.21cn.com/tousu/show/id/1085749","中信银行信用卡中心")</f>
        <v>中信银行信用卡中心</v>
      </c>
      <c r="C16235" s="2" t="s">
        <v>34</v>
      </c>
      <c r="D16235" s="2" t="s">
        <v>10</v>
      </c>
      <c r="E16235" s="2" t="str">
        <f>HYPERLINK("http://ts.21cn.com/tousu/show/id/1085749","http://ts.21cn.com/tousu/show/id/1085749")</f>
        <v>http://ts.21cn.com/tousu/show/id/1085749</v>
      </c>
      <c r="F16235" s="2" t="s">
        <v>11</v>
      </c>
      <c r="G16235" s="2" t="s">
        <v>12257</v>
      </c>
      <c r="H16235" s="2" t="s">
        <v>12258</v>
      </c>
    </row>
    <row r="16236" spans="1:8" ht="25.05" customHeight="1" x14ac:dyDescent="0.25">
      <c r="A16236" s="2" t="s">
        <v>8</v>
      </c>
      <c r="B16236" s="2" t="str">
        <f>HYPERLINK("http://ts.21cn.com/tousu/show/id/1347967","高利贷阴阳合同暴力")</f>
        <v>高利贷阴阳合同暴力</v>
      </c>
      <c r="C16236" s="2" t="s">
        <v>9</v>
      </c>
      <c r="D16236" s="2" t="s">
        <v>10</v>
      </c>
      <c r="E16236" s="2" t="str">
        <f>HYPERLINK("http://ts.21cn.com/tousu/show/id/1347967","http://ts.21cn.com/tousu/show/id/1347967")</f>
        <v>http://ts.21cn.com/tousu/show/id/1347967</v>
      </c>
      <c r="F16236" s="2" t="s">
        <v>11</v>
      </c>
      <c r="G16236" s="2" t="s">
        <v>12255</v>
      </c>
      <c r="H16236" s="2" t="s">
        <v>12256</v>
      </c>
    </row>
    <row r="16237" spans="1:8" ht="25.05" customHeight="1" x14ac:dyDescent="0.25">
      <c r="A16237" s="2" t="s">
        <v>8</v>
      </c>
      <c r="B16237" s="2" t="str">
        <f>HYPERLINK("http://ts.21cn.com/tousu/show/id/1347970","交易猫退款失败")</f>
        <v>交易猫退款失败</v>
      </c>
      <c r="C16237" s="2" t="s">
        <v>34</v>
      </c>
      <c r="D16237" s="2" t="s">
        <v>10</v>
      </c>
      <c r="E16237" s="2" t="str">
        <f>HYPERLINK("http://ts.21cn.com/tousu/show/id/1347970","http://ts.21cn.com/tousu/show/id/1347970")</f>
        <v>http://ts.21cn.com/tousu/show/id/1347970</v>
      </c>
      <c r="F16237" s="2" t="s">
        <v>11</v>
      </c>
      <c r="G16237" s="2" t="s">
        <v>12253</v>
      </c>
      <c r="H16237" s="2" t="s">
        <v>12254</v>
      </c>
    </row>
    <row r="16238" spans="1:8" ht="25.05" customHeight="1" x14ac:dyDescent="0.25">
      <c r="A16238" s="2" t="s">
        <v>8</v>
      </c>
      <c r="B16238" s="2" t="str">
        <f>HYPERLINK("http://ts.21cn.com/tousu/show/id/1347968","嗨钱砍头息")</f>
        <v>嗨钱砍头息</v>
      </c>
      <c r="C16238" s="2" t="s">
        <v>34</v>
      </c>
      <c r="D16238" s="2" t="s">
        <v>10</v>
      </c>
      <c r="E16238" s="2" t="str">
        <f>HYPERLINK("http://ts.21cn.com/tousu/show/id/1347968","http://ts.21cn.com/tousu/show/id/1347968")</f>
        <v>http://ts.21cn.com/tousu/show/id/1347968</v>
      </c>
      <c r="F16238" s="2" t="s">
        <v>11</v>
      </c>
      <c r="G16238" s="2" t="s">
        <v>12251</v>
      </c>
      <c r="H16238" s="2" t="s">
        <v>12252</v>
      </c>
    </row>
    <row r="16239" spans="1:8" ht="25.05" customHeight="1" x14ac:dyDescent="0.25">
      <c r="A16239" s="2" t="s">
        <v>8</v>
      </c>
      <c r="B16239" s="2" t="str">
        <f>HYPERLINK("http://ts.21cn.com/tousu/show/id/1347972","立刻出行不退保证金，消费者该如何维权")</f>
        <v>立刻出行不退保证金，消费者该如何维权</v>
      </c>
      <c r="C16239" s="2" t="s">
        <v>9</v>
      </c>
      <c r="D16239" s="2" t="s">
        <v>10</v>
      </c>
      <c r="E16239" s="2" t="str">
        <f>HYPERLINK("http://ts.21cn.com/tousu/show/id/1347972","http://ts.21cn.com/tousu/show/id/1347972")</f>
        <v>http://ts.21cn.com/tousu/show/id/1347972</v>
      </c>
      <c r="F16239" s="2" t="s">
        <v>11</v>
      </c>
      <c r="G16239" s="2" t="s">
        <v>12249</v>
      </c>
      <c r="H16239" s="2" t="s">
        <v>12250</v>
      </c>
    </row>
    <row r="16240" spans="1:8" ht="25.05" customHeight="1" x14ac:dyDescent="0.25">
      <c r="A16240" s="2" t="s">
        <v>8</v>
      </c>
      <c r="B16240" s="2" t="str">
        <f>HYPERLINK("http://ts.21cn.com/tousu/show/id/1347971","支付宝催收态度强硬，不给协商的余地")</f>
        <v>支付宝催收态度强硬，不给协商的余地</v>
      </c>
      <c r="C16240" s="2" t="s">
        <v>9</v>
      </c>
      <c r="D16240" s="2" t="s">
        <v>10</v>
      </c>
      <c r="E16240" s="2" t="str">
        <f>HYPERLINK("http://ts.21cn.com/tousu/show/id/1347971","http://ts.21cn.com/tousu/show/id/1347971")</f>
        <v>http://ts.21cn.com/tousu/show/id/1347971</v>
      </c>
      <c r="F16240" s="2" t="s">
        <v>11</v>
      </c>
      <c r="G16240" s="2" t="s">
        <v>12247</v>
      </c>
      <c r="H16240" s="2" t="s">
        <v>12248</v>
      </c>
    </row>
    <row r="16241" spans="1:8" ht="25.05" customHeight="1" x14ac:dyDescent="0.25">
      <c r="A16241" s="2" t="s">
        <v>8</v>
      </c>
      <c r="B16241" s="2" t="str">
        <f>HYPERLINK("http://ts.21cn.com/tousu/show/id/1347969","钱包易贷，高利贷，砍头息，收取用户一次性管理费和保险费")</f>
        <v>钱包易贷，高利贷，砍头息，收取用户一次性管理费和保险费</v>
      </c>
      <c r="C16241" s="2" t="s">
        <v>9</v>
      </c>
      <c r="D16241" s="2" t="s">
        <v>10</v>
      </c>
      <c r="E16241" s="2" t="str">
        <f>HYPERLINK("http://ts.21cn.com/tousu/show/id/1347969","http://ts.21cn.com/tousu/show/id/1347969")</f>
        <v>http://ts.21cn.com/tousu/show/id/1347969</v>
      </c>
      <c r="F16241" s="2" t="s">
        <v>11</v>
      </c>
      <c r="G16241" s="2" t="s">
        <v>12245</v>
      </c>
      <c r="H16241" s="2" t="s">
        <v>12246</v>
      </c>
    </row>
    <row r="16242" spans="1:8" ht="25.05" customHeight="1" x14ac:dyDescent="0.25">
      <c r="A16242" s="2" t="s">
        <v>8</v>
      </c>
      <c r="B16242" s="2" t="str">
        <f>HYPERLINK("http://ts.21cn.com/tousu/show/id/1347973","东莞市轻奢维体健身房第二次无缘无故关门，老板跑路")</f>
        <v>东莞市轻奢维体健身房第二次无缘无故关门，老板跑路</v>
      </c>
      <c r="C16242" s="2" t="s">
        <v>9</v>
      </c>
      <c r="D16242" s="2" t="s">
        <v>10</v>
      </c>
      <c r="E16242" s="2" t="str">
        <f>HYPERLINK("http://ts.21cn.com/tousu/show/id/1347973","http://ts.21cn.com/tousu/show/id/1347973")</f>
        <v>http://ts.21cn.com/tousu/show/id/1347973</v>
      </c>
      <c r="F16242" s="2" t="s">
        <v>11</v>
      </c>
      <c r="G16242" s="2" t="s">
        <v>12243</v>
      </c>
      <c r="H16242" s="2" t="s">
        <v>12244</v>
      </c>
    </row>
    <row r="16243" spans="1:8" ht="25.05" customHeight="1" x14ac:dyDescent="0.25">
      <c r="A16243" s="2" t="s">
        <v>8</v>
      </c>
      <c r="B16243" s="2" t="str">
        <f>HYPERLINK("http://ts.21cn.com/tousu/show/id/1347974","弄丢物件，网点和配送员不接电话，客服天天推迟")</f>
        <v>弄丢物件，网点和配送员不接电话，客服天天推迟</v>
      </c>
      <c r="C16243" s="2" t="s">
        <v>9</v>
      </c>
      <c r="D16243" s="2" t="s">
        <v>10</v>
      </c>
      <c r="E16243" s="2" t="str">
        <f>HYPERLINK("http://ts.21cn.com/tousu/show/id/1347974","http://ts.21cn.com/tousu/show/id/1347974")</f>
        <v>http://ts.21cn.com/tousu/show/id/1347974</v>
      </c>
      <c r="F16243" s="2" t="s">
        <v>11</v>
      </c>
      <c r="G16243" s="2" t="s">
        <v>12241</v>
      </c>
      <c r="H16243" s="2" t="s">
        <v>12242</v>
      </c>
    </row>
    <row r="16244" spans="1:8" ht="25.05" customHeight="1" x14ac:dyDescent="0.25">
      <c r="A16244" s="2" t="s">
        <v>8</v>
      </c>
      <c r="B16244" s="2" t="str">
        <f>HYPERLINK("http://ts.21cn.com/tousu/show/id/1347975","及贷智享贷辱骂借款人通讯录所有人暴力催收")</f>
        <v>及贷智享贷辱骂借款人通讯录所有人暴力催收</v>
      </c>
      <c r="C16244" s="2" t="s">
        <v>9</v>
      </c>
      <c r="D16244" s="2" t="s">
        <v>10</v>
      </c>
      <c r="E16244" s="2" t="str">
        <f>HYPERLINK("http://ts.21cn.com/tousu/show/id/1347975","http://ts.21cn.com/tousu/show/id/1347975")</f>
        <v>http://ts.21cn.com/tousu/show/id/1347975</v>
      </c>
      <c r="F16244" s="2" t="s">
        <v>11</v>
      </c>
      <c r="G16244" s="2" t="s">
        <v>12239</v>
      </c>
      <c r="H16244" s="2" t="s">
        <v>12240</v>
      </c>
    </row>
    <row r="16245" spans="1:8" ht="25.05" customHeight="1" x14ac:dyDescent="0.25">
      <c r="A16245" s="2" t="s">
        <v>8</v>
      </c>
      <c r="B16245" s="2" t="str">
        <f>HYPERLINK("http://ts.21cn.com/tousu/show/id/1347976","钱站高利贷阴阳合同")</f>
        <v>钱站高利贷阴阳合同</v>
      </c>
      <c r="C16245" s="2" t="s">
        <v>9</v>
      </c>
      <c r="D16245" s="2" t="s">
        <v>10</v>
      </c>
      <c r="E16245" s="2" t="str">
        <f>HYPERLINK("http://ts.21cn.com/tousu/show/id/1347976","http://ts.21cn.com/tousu/show/id/1347976")</f>
        <v>http://ts.21cn.com/tousu/show/id/1347976</v>
      </c>
      <c r="F16245" s="2" t="s">
        <v>11</v>
      </c>
      <c r="G16245" s="2" t="s">
        <v>12237</v>
      </c>
      <c r="H16245" s="2" t="s">
        <v>12238</v>
      </c>
    </row>
    <row r="16246" spans="1:8" ht="25.05" customHeight="1" x14ac:dyDescent="0.25">
      <c r="A16246" s="2" t="s">
        <v>8</v>
      </c>
      <c r="B16246" s="2" t="str">
        <f>HYPERLINK("http://ts.21cn.com/tousu/show/id/1347978","造艺强制收取保险费")</f>
        <v>造艺强制收取保险费</v>
      </c>
      <c r="C16246" s="2" t="s">
        <v>9</v>
      </c>
      <c r="D16246" s="2" t="s">
        <v>10</v>
      </c>
      <c r="E16246" s="2" t="str">
        <f>HYPERLINK("http://ts.21cn.com/tousu/show/id/1347978","http://ts.21cn.com/tousu/show/id/1347978")</f>
        <v>http://ts.21cn.com/tousu/show/id/1347978</v>
      </c>
      <c r="F16246" s="2" t="s">
        <v>11</v>
      </c>
      <c r="G16246" s="2" t="s">
        <v>12236</v>
      </c>
      <c r="H16246" s="2" t="s">
        <v>1824</v>
      </c>
    </row>
    <row r="16247" spans="1:8" ht="25.05" customHeight="1" x14ac:dyDescent="0.25">
      <c r="A16247" s="2" t="s">
        <v>8</v>
      </c>
      <c r="B16247" s="2" t="str">
        <f>HYPERLINK("http://ts.21cn.com/tousu/show/id/1347979","还呗提前还款不予减免利息，变相诱惑套取会员费，利息过高！")</f>
        <v>还呗提前还款不予减免利息，变相诱惑套取会员费，利息过高！</v>
      </c>
      <c r="C16247" s="2" t="s">
        <v>9</v>
      </c>
      <c r="D16247" s="2" t="s">
        <v>10</v>
      </c>
      <c r="E16247" s="2" t="str">
        <f>HYPERLINK("http://ts.21cn.com/tousu/show/id/1347979","http://ts.21cn.com/tousu/show/id/1347979")</f>
        <v>http://ts.21cn.com/tousu/show/id/1347979</v>
      </c>
      <c r="F16247" s="2" t="s">
        <v>11</v>
      </c>
      <c r="G16247" s="2" t="s">
        <v>12234</v>
      </c>
      <c r="H16247" s="2" t="s">
        <v>12235</v>
      </c>
    </row>
    <row r="16248" spans="1:8" ht="25.05" customHeight="1" x14ac:dyDescent="0.25">
      <c r="A16248" s="2" t="s">
        <v>8</v>
      </c>
      <c r="B16248" s="2" t="str">
        <f>HYPERLINK("http://ts.21cn.com/tousu/show/id/1347977","小浦优客app无故扣款")</f>
        <v>小浦优客app无故扣款</v>
      </c>
      <c r="C16248" s="2" t="s">
        <v>9</v>
      </c>
      <c r="D16248" s="2" t="s">
        <v>10</v>
      </c>
      <c r="E16248" s="2" t="str">
        <f>HYPERLINK("http://ts.21cn.com/tousu/show/id/1347977","http://ts.21cn.com/tousu/show/id/1347977")</f>
        <v>http://ts.21cn.com/tousu/show/id/1347977</v>
      </c>
      <c r="F16248" s="2" t="s">
        <v>11</v>
      </c>
      <c r="G16248" s="2" t="s">
        <v>12232</v>
      </c>
      <c r="H16248" s="2" t="s">
        <v>12233</v>
      </c>
    </row>
    <row r="16249" spans="1:8" ht="25.05" customHeight="1" x14ac:dyDescent="0.25">
      <c r="A16249" s="2" t="s">
        <v>8</v>
      </c>
      <c r="B16249" s="2" t="str">
        <f>HYPERLINK("http://ts.21cn.com/tousu/show/id/1347981","轻周转芒果筹砍头息恶意逾期")</f>
        <v>轻周转芒果筹砍头息恶意逾期</v>
      </c>
      <c r="C16249" s="2" t="s">
        <v>9</v>
      </c>
      <c r="D16249" s="2" t="s">
        <v>10</v>
      </c>
      <c r="E16249" s="2" t="str">
        <f>HYPERLINK("http://ts.21cn.com/tousu/show/id/1347981","http://ts.21cn.com/tousu/show/id/1347981")</f>
        <v>http://ts.21cn.com/tousu/show/id/1347981</v>
      </c>
      <c r="F16249" s="2" t="s">
        <v>11</v>
      </c>
      <c r="G16249" s="2" t="s">
        <v>12230</v>
      </c>
      <c r="H16249" s="2" t="s">
        <v>12231</v>
      </c>
    </row>
    <row r="16250" spans="1:8" ht="25.05" customHeight="1" x14ac:dyDescent="0.25">
      <c r="A16250" s="2" t="s">
        <v>8</v>
      </c>
      <c r="B16250" s="2" t="str">
        <f>HYPERLINK("http://ts.21cn.com/tousu/show/id/1347980","我买地板买多了跟商家协商过退货退款，我退货了商家签收后又以有破损拒绝退款")</f>
        <v>我买地板买多了跟商家协商过退货退款，我退货了商家签收后又以有破损拒绝退款</v>
      </c>
      <c r="C16250" s="2" t="s">
        <v>9</v>
      </c>
      <c r="D16250" s="2" t="s">
        <v>10</v>
      </c>
      <c r="E16250" s="2" t="str">
        <f>HYPERLINK("http://ts.21cn.com/tousu/show/id/1347980","http://ts.21cn.com/tousu/show/id/1347980")</f>
        <v>http://ts.21cn.com/tousu/show/id/1347980</v>
      </c>
      <c r="F16250" s="2" t="s">
        <v>11</v>
      </c>
      <c r="G16250" s="2" t="s">
        <v>12228</v>
      </c>
      <c r="H16250" s="2" t="s">
        <v>12229</v>
      </c>
    </row>
    <row r="16251" spans="1:8" ht="25.05" customHeight="1" x14ac:dyDescent="0.25">
      <c r="A16251" s="2" t="s">
        <v>8</v>
      </c>
      <c r="B16251" s="2" t="str">
        <f>HYPERLINK("http://ts.21cn.com/tousu/show/id/1347982","高利息阴阳合同")</f>
        <v>高利息阴阳合同</v>
      </c>
      <c r="C16251" s="2" t="s">
        <v>9</v>
      </c>
      <c r="D16251" s="2" t="s">
        <v>10</v>
      </c>
      <c r="E16251" s="2" t="str">
        <f>HYPERLINK("http://ts.21cn.com/tousu/show/id/1347982","http://ts.21cn.com/tousu/show/id/1347982")</f>
        <v>http://ts.21cn.com/tousu/show/id/1347982</v>
      </c>
      <c r="F16251" s="2" t="s">
        <v>11</v>
      </c>
      <c r="G16251" s="2" t="s">
        <v>12226</v>
      </c>
      <c r="H16251" s="2" t="s">
        <v>12227</v>
      </c>
    </row>
    <row r="16252" spans="1:8" ht="25.05" customHeight="1" x14ac:dyDescent="0.25">
      <c r="A16252" s="2" t="s">
        <v>8</v>
      </c>
      <c r="B16252" s="2" t="str">
        <f>HYPERLINK("http://ts.21cn.com/tousu/show/id/1347983","滴滴强制多收费用")</f>
        <v>滴滴强制多收费用</v>
      </c>
      <c r="C16252" s="2" t="s">
        <v>9</v>
      </c>
      <c r="D16252" s="2" t="s">
        <v>10</v>
      </c>
      <c r="E16252" s="2" t="str">
        <f>HYPERLINK("http://ts.21cn.com/tousu/show/id/1347983","http://ts.21cn.com/tousu/show/id/1347983")</f>
        <v>http://ts.21cn.com/tousu/show/id/1347983</v>
      </c>
      <c r="F16252" s="2" t="s">
        <v>11</v>
      </c>
      <c r="G16252" s="2" t="s">
        <v>12224</v>
      </c>
      <c r="H16252" s="2" t="s">
        <v>12225</v>
      </c>
    </row>
    <row r="16253" spans="1:8" ht="25.05" customHeight="1" x14ac:dyDescent="0.25">
      <c r="A16253" s="2" t="s">
        <v>8</v>
      </c>
      <c r="B16253" s="2" t="str">
        <f>HYPERLINK("http://ts.21cn.com/tousu/show/id/1347984","天天发短信威胁，私自获取用户信息")</f>
        <v>天天发短信威胁，私自获取用户信息</v>
      </c>
      <c r="C16253" s="2" t="s">
        <v>9</v>
      </c>
      <c r="D16253" s="2" t="s">
        <v>10</v>
      </c>
      <c r="E16253" s="2" t="str">
        <f>HYPERLINK("http://ts.21cn.com/tousu/show/id/1347984","http://ts.21cn.com/tousu/show/id/1347984")</f>
        <v>http://ts.21cn.com/tousu/show/id/1347984</v>
      </c>
      <c r="F16253" s="2" t="s">
        <v>11</v>
      </c>
      <c r="G16253" s="2" t="s">
        <v>12222</v>
      </c>
      <c r="H16253" s="2" t="s">
        <v>12223</v>
      </c>
    </row>
    <row r="16254" spans="1:8" ht="25.05" customHeight="1" x14ac:dyDescent="0.25">
      <c r="A16254" s="2" t="s">
        <v>8</v>
      </c>
      <c r="B16254" s="2" t="str">
        <f>HYPERLINK("http://ts.21cn.com/tousu/show/id/1347986","小象优品骚扰通讯录")</f>
        <v>小象优品骚扰通讯录</v>
      </c>
      <c r="C16254" s="2" t="s">
        <v>9</v>
      </c>
      <c r="D16254" s="2" t="s">
        <v>10</v>
      </c>
      <c r="E16254" s="2" t="str">
        <f>HYPERLINK("http://ts.21cn.com/tousu/show/id/1347986","http://ts.21cn.com/tousu/show/id/1347986")</f>
        <v>http://ts.21cn.com/tousu/show/id/1347986</v>
      </c>
      <c r="F16254" s="2" t="s">
        <v>11</v>
      </c>
      <c r="G16254" s="2" t="s">
        <v>12220</v>
      </c>
      <c r="H16254" s="2" t="s">
        <v>12221</v>
      </c>
    </row>
    <row r="16255" spans="1:8" ht="25.05" customHeight="1" x14ac:dyDescent="0.25">
      <c r="A16255" s="2" t="s">
        <v>8</v>
      </c>
      <c r="B16255" s="2" t="str">
        <f>HYPERLINK("http://ts.21cn.com/tousu/show/id/1347987","小米电视4A存在大量购买两年主板损坏的情况")</f>
        <v>小米电视4A存在大量购买两年主板损坏的情况</v>
      </c>
      <c r="C16255" s="2" t="s">
        <v>9</v>
      </c>
      <c r="D16255" s="2" t="s">
        <v>10</v>
      </c>
      <c r="E16255" s="2" t="str">
        <f>HYPERLINK("http://ts.21cn.com/tousu/show/id/1347987","http://ts.21cn.com/tousu/show/id/1347987")</f>
        <v>http://ts.21cn.com/tousu/show/id/1347987</v>
      </c>
      <c r="F16255" s="2" t="s">
        <v>11</v>
      </c>
      <c r="G16255" s="2" t="s">
        <v>12218</v>
      </c>
      <c r="H16255" s="2" t="s">
        <v>12219</v>
      </c>
    </row>
    <row r="16256" spans="1:8" ht="25.05" customHeight="1" x14ac:dyDescent="0.25">
      <c r="A16256" s="2" t="s">
        <v>8</v>
      </c>
      <c r="B16256" s="2" t="str">
        <f>HYPERLINK("http://ts.21cn.com/tousu/show/id/1347988","龙光玖龙湾黑暗交易")</f>
        <v>龙光玖龙湾黑暗交易</v>
      </c>
      <c r="C16256" s="2" t="s">
        <v>9</v>
      </c>
      <c r="D16256" s="2" t="s">
        <v>10</v>
      </c>
      <c r="E16256" s="2" t="str">
        <f>HYPERLINK("http://ts.21cn.com/tousu/show/id/1347988","http://ts.21cn.com/tousu/show/id/1347988")</f>
        <v>http://ts.21cn.com/tousu/show/id/1347988</v>
      </c>
      <c r="F16256" s="2" t="s">
        <v>11</v>
      </c>
      <c r="G16256" s="2" t="s">
        <v>12216</v>
      </c>
      <c r="H16256" s="2" t="s">
        <v>12217</v>
      </c>
    </row>
    <row r="16257" spans="1:8" ht="25.05" customHeight="1" x14ac:dyDescent="0.25">
      <c r="A16257" s="2" t="s">
        <v>8</v>
      </c>
      <c r="B16257" s="2" t="str">
        <f>HYPERLINK("http://ts.21cn.com/tousu/show/id/1347989","在交易猫上买的号，取消订单后退款失败")</f>
        <v>在交易猫上买的号，取消订单后退款失败</v>
      </c>
      <c r="C16257" s="2" t="s">
        <v>34</v>
      </c>
      <c r="D16257" s="2" t="s">
        <v>10</v>
      </c>
      <c r="E16257" s="2" t="str">
        <f>HYPERLINK("http://ts.21cn.com/tousu/show/id/1347989","http://ts.21cn.com/tousu/show/id/1347989")</f>
        <v>http://ts.21cn.com/tousu/show/id/1347989</v>
      </c>
      <c r="F16257" s="2" t="s">
        <v>11</v>
      </c>
      <c r="G16257" s="2" t="s">
        <v>12214</v>
      </c>
      <c r="H16257" s="2" t="s">
        <v>12215</v>
      </c>
    </row>
    <row r="16258" spans="1:8" ht="25.05" customHeight="1" x14ac:dyDescent="0.25">
      <c r="A16258" s="2" t="s">
        <v>8</v>
      </c>
      <c r="B16258" s="2" t="str">
        <f>HYPERLINK("http://ts.21cn.com/tousu/show/id/1347990","车辆ETC被不明注册")</f>
        <v>车辆ETC被不明注册</v>
      </c>
      <c r="C16258" s="2" t="s">
        <v>9</v>
      </c>
      <c r="D16258" s="2" t="s">
        <v>10</v>
      </c>
      <c r="E16258" s="2" t="str">
        <f>HYPERLINK("http://ts.21cn.com/tousu/show/id/1347990","http://ts.21cn.com/tousu/show/id/1347990")</f>
        <v>http://ts.21cn.com/tousu/show/id/1347990</v>
      </c>
      <c r="F16258" s="2" t="s">
        <v>11</v>
      </c>
      <c r="G16258" s="2" t="s">
        <v>12212</v>
      </c>
      <c r="H16258" s="2" t="s">
        <v>12213</v>
      </c>
    </row>
    <row r="16259" spans="1:8" ht="25.05" customHeight="1" x14ac:dyDescent="0.25">
      <c r="A16259" s="2" t="s">
        <v>8</v>
      </c>
      <c r="B16259" s="2" t="str">
        <f>HYPERLINK("http://ts.21cn.com/tousu/show/id/1347991","贷上钱")</f>
        <v>贷上钱</v>
      </c>
      <c r="C16259" s="2" t="s">
        <v>9</v>
      </c>
      <c r="D16259" s="2" t="s">
        <v>10</v>
      </c>
      <c r="E16259" s="2" t="str">
        <f>HYPERLINK("http://ts.21cn.com/tousu/show/id/1347991","http://ts.21cn.com/tousu/show/id/1347991")</f>
        <v>http://ts.21cn.com/tousu/show/id/1347991</v>
      </c>
      <c r="F16259" s="2" t="s">
        <v>11</v>
      </c>
      <c r="G16259" s="2" t="s">
        <v>12210</v>
      </c>
      <c r="H16259" s="2" t="s">
        <v>12211</v>
      </c>
    </row>
    <row r="16260" spans="1:8" ht="25.05" customHeight="1" x14ac:dyDescent="0.25">
      <c r="A16260" s="2" t="s">
        <v>8</v>
      </c>
      <c r="B16260" s="2" t="str">
        <f>HYPERLINK("http://ts.21cn.com/tousu/show/id/1347992","京东白条被盗刷，京东方不承认，假冒公检法对本人发所谓律师函，对本人通讯录好友电话轰炸")</f>
        <v>京东白条被盗刷，京东方不承认，假冒公检法对本人发所谓律师函，对本人通讯录好友电话轰炸</v>
      </c>
      <c r="C16260" s="2" t="s">
        <v>9</v>
      </c>
      <c r="D16260" s="2" t="s">
        <v>10</v>
      </c>
      <c r="E16260" s="2" t="str">
        <f>HYPERLINK("http://ts.21cn.com/tousu/show/id/1347992","http://ts.21cn.com/tousu/show/id/1347992")</f>
        <v>http://ts.21cn.com/tousu/show/id/1347992</v>
      </c>
      <c r="F16260" s="2" t="s">
        <v>11</v>
      </c>
      <c r="G16260" s="2" t="s">
        <v>12208</v>
      </c>
      <c r="H16260" s="2" t="s">
        <v>12209</v>
      </c>
    </row>
    <row r="16261" spans="1:8" ht="25.05" customHeight="1" x14ac:dyDescent="0.25">
      <c r="A16261" s="2" t="s">
        <v>8</v>
      </c>
      <c r="B16261" s="2" t="str">
        <f>HYPERLINK("http://ts.21cn.com/tousu/show/id/1347993","网贷催收")</f>
        <v>网贷催收</v>
      </c>
      <c r="C16261" s="2" t="s">
        <v>9</v>
      </c>
      <c r="D16261" s="2" t="s">
        <v>10</v>
      </c>
      <c r="E16261" s="2" t="str">
        <f>HYPERLINK("http://ts.21cn.com/tousu/show/id/1347993","http://ts.21cn.com/tousu/show/id/1347993")</f>
        <v>http://ts.21cn.com/tousu/show/id/1347993</v>
      </c>
      <c r="F16261" s="2" t="s">
        <v>11</v>
      </c>
      <c r="G16261" s="2" t="s">
        <v>12206</v>
      </c>
      <c r="H16261" s="2" t="s">
        <v>12207</v>
      </c>
    </row>
    <row r="16262" spans="1:8" ht="25.05" customHeight="1" x14ac:dyDescent="0.25">
      <c r="A16262" s="2" t="s">
        <v>8</v>
      </c>
      <c r="B16262" s="2" t="str">
        <f>HYPERLINK("http://ts.21cn.com/tousu/show/id/1347994","砍头息")</f>
        <v>砍头息</v>
      </c>
      <c r="C16262" s="2" t="s">
        <v>9</v>
      </c>
      <c r="D16262" s="2" t="s">
        <v>10</v>
      </c>
      <c r="E16262" s="2" t="str">
        <f>HYPERLINK("http://ts.21cn.com/tousu/show/id/1347994","http://ts.21cn.com/tousu/show/id/1347994")</f>
        <v>http://ts.21cn.com/tousu/show/id/1347994</v>
      </c>
      <c r="F16262" s="2" t="s">
        <v>11</v>
      </c>
      <c r="G16262" s="2" t="s">
        <v>12204</v>
      </c>
      <c r="H16262" s="2" t="s">
        <v>12205</v>
      </c>
    </row>
    <row r="16263" spans="1:8" ht="25.05" customHeight="1" x14ac:dyDescent="0.25">
      <c r="A16263" s="2" t="s">
        <v>8</v>
      </c>
      <c r="B16263" s="2" t="str">
        <f>HYPERLINK("http://ts.21cn.com/tousu/show/id/1347995","恐吓诅咒")</f>
        <v>恐吓诅咒</v>
      </c>
      <c r="C16263" s="2" t="s">
        <v>9</v>
      </c>
      <c r="D16263" s="2" t="s">
        <v>10</v>
      </c>
      <c r="E16263" s="2" t="str">
        <f>HYPERLINK("http://ts.21cn.com/tousu/show/id/1347995","http://ts.21cn.com/tousu/show/id/1347995")</f>
        <v>http://ts.21cn.com/tousu/show/id/1347995</v>
      </c>
      <c r="F16263" s="2" t="s">
        <v>11</v>
      </c>
      <c r="G16263" s="2" t="s">
        <v>12202</v>
      </c>
      <c r="H16263" s="2" t="s">
        <v>12203</v>
      </c>
    </row>
    <row r="16264" spans="1:8" ht="25.05" customHeight="1" x14ac:dyDescent="0.25">
      <c r="A16264" s="2" t="s">
        <v>8</v>
      </c>
      <c r="B16264" s="2" t="str">
        <f>HYPERLINK("http://ts.21cn.com/tousu/show/id/1347996","注销账户问题")</f>
        <v>注销账户问题</v>
      </c>
      <c r="C16264" s="2" t="s">
        <v>9</v>
      </c>
      <c r="D16264" s="2" t="s">
        <v>10</v>
      </c>
      <c r="E16264" s="2" t="str">
        <f>HYPERLINK("http://ts.21cn.com/tousu/show/id/1347996","http://ts.21cn.com/tousu/show/id/1347996")</f>
        <v>http://ts.21cn.com/tousu/show/id/1347996</v>
      </c>
      <c r="F16264" s="2" t="s">
        <v>11</v>
      </c>
      <c r="G16264" s="2" t="s">
        <v>12200</v>
      </c>
      <c r="H16264" s="2" t="s">
        <v>12201</v>
      </c>
    </row>
    <row r="16265" spans="1:8" ht="25.05" customHeight="1" x14ac:dyDescent="0.25">
      <c r="A16265" s="2" t="s">
        <v>8</v>
      </c>
      <c r="B16265" s="2" t="str">
        <f>HYPERLINK("http://ts.21cn.com/tousu/show/id/1347997","新意花小木钱包高额利息")</f>
        <v>新意花小木钱包高额利息</v>
      </c>
      <c r="C16265" s="2" t="s">
        <v>9</v>
      </c>
      <c r="D16265" s="2" t="s">
        <v>10</v>
      </c>
      <c r="E16265" s="2" t="str">
        <f>HYPERLINK("http://ts.21cn.com/tousu/show/id/1347997","http://ts.21cn.com/tousu/show/id/1347997")</f>
        <v>http://ts.21cn.com/tousu/show/id/1347997</v>
      </c>
      <c r="F16265" s="2" t="s">
        <v>11</v>
      </c>
      <c r="G16265" s="2" t="s">
        <v>12198</v>
      </c>
      <c r="H16265" s="2" t="s">
        <v>12199</v>
      </c>
    </row>
    <row r="16266" spans="1:8" ht="25.05" customHeight="1" x14ac:dyDescent="0.25">
      <c r="A16266" s="2" t="s">
        <v>8</v>
      </c>
      <c r="B16266" s="2" t="str">
        <f>HYPERLINK("http://ts.21cn.com/tousu/show/id/1347998","交易猫交易失败，不退款")</f>
        <v>交易猫交易失败，不退款</v>
      </c>
      <c r="C16266" s="2" t="s">
        <v>9</v>
      </c>
      <c r="D16266" s="2" t="s">
        <v>10</v>
      </c>
      <c r="E16266" s="2" t="str">
        <f>HYPERLINK("http://ts.21cn.com/tousu/show/id/1347998","http://ts.21cn.com/tousu/show/id/1347998")</f>
        <v>http://ts.21cn.com/tousu/show/id/1347998</v>
      </c>
      <c r="F16266" s="2" t="s">
        <v>11</v>
      </c>
      <c r="G16266" s="2" t="s">
        <v>12196</v>
      </c>
      <c r="H16266" s="2" t="s">
        <v>12197</v>
      </c>
    </row>
    <row r="16267" spans="1:8" ht="25.05" customHeight="1" x14ac:dyDescent="0.25">
      <c r="A16267" s="2" t="s">
        <v>8</v>
      </c>
      <c r="B16267" s="2" t="str">
        <f>HYPERLINK("http://ts.21cn.com/tousu/show/id/1347999","滴滴司机开车太慢导致我迟到车票做废")</f>
        <v>滴滴司机开车太慢导致我迟到车票做废</v>
      </c>
      <c r="C16267" s="2" t="s">
        <v>9</v>
      </c>
      <c r="D16267" s="2" t="s">
        <v>10</v>
      </c>
      <c r="E16267" s="2" t="str">
        <f>HYPERLINK("http://ts.21cn.com/tousu/show/id/1347999","http://ts.21cn.com/tousu/show/id/1347999")</f>
        <v>http://ts.21cn.com/tousu/show/id/1347999</v>
      </c>
      <c r="F16267" s="2" t="s">
        <v>11</v>
      </c>
      <c r="G16267" s="2" t="s">
        <v>12194</v>
      </c>
      <c r="H16267" s="2" t="s">
        <v>12195</v>
      </c>
    </row>
    <row r="16268" spans="1:8" ht="25.05" customHeight="1" x14ac:dyDescent="0.25">
      <c r="A16268" s="2" t="s">
        <v>8</v>
      </c>
      <c r="B16268" s="2" t="str">
        <f>HYPERLINK("http://ts.21cn.com/tousu/show/id/1347933","智享贷变相砍头息套路贷")</f>
        <v>智享贷变相砍头息套路贷</v>
      </c>
      <c r="C16268" s="2" t="s">
        <v>9</v>
      </c>
      <c r="D16268" s="2" t="s">
        <v>10</v>
      </c>
      <c r="E16268" s="2" t="str">
        <f>HYPERLINK("http://ts.21cn.com/tousu/show/id/1347933","http://ts.21cn.com/tousu/show/id/1347933")</f>
        <v>http://ts.21cn.com/tousu/show/id/1347933</v>
      </c>
      <c r="F16268" s="2" t="s">
        <v>11</v>
      </c>
      <c r="G16268" s="2" t="s">
        <v>12192</v>
      </c>
      <c r="H16268" s="2" t="s">
        <v>12193</v>
      </c>
    </row>
    <row r="16269" spans="1:8" ht="25.05" customHeight="1" x14ac:dyDescent="0.25">
      <c r="A16269" s="2" t="s">
        <v>8</v>
      </c>
      <c r="B16269" s="2" t="str">
        <f>HYPERLINK("http://ts.21cn.com/tousu/show/id/1348000","私自乱扣费")</f>
        <v>私自乱扣费</v>
      </c>
      <c r="C16269" s="2" t="s">
        <v>9</v>
      </c>
      <c r="D16269" s="2" t="s">
        <v>10</v>
      </c>
      <c r="E16269" s="2" t="str">
        <f>HYPERLINK("http://ts.21cn.com/tousu/show/id/1348000","http://ts.21cn.com/tousu/show/id/1348000")</f>
        <v>http://ts.21cn.com/tousu/show/id/1348000</v>
      </c>
      <c r="F16269" s="2" t="s">
        <v>11</v>
      </c>
      <c r="G16269" s="2" t="s">
        <v>12190</v>
      </c>
      <c r="H16269" s="2" t="s">
        <v>12191</v>
      </c>
    </row>
    <row r="16270" spans="1:8" ht="25.05" customHeight="1" x14ac:dyDescent="0.25">
      <c r="A16270" s="2" t="s">
        <v>8</v>
      </c>
      <c r="B16270" s="2" t="str">
        <f>HYPERLINK("http://ts.21cn.com/tousu/show/id/1348002","贷款逾期")</f>
        <v>贷款逾期</v>
      </c>
      <c r="C16270" s="2" t="s">
        <v>9</v>
      </c>
      <c r="D16270" s="2" t="s">
        <v>10</v>
      </c>
      <c r="E16270" s="2" t="str">
        <f>HYPERLINK("http://ts.21cn.com/tousu/show/id/1348002","http://ts.21cn.com/tousu/show/id/1348002")</f>
        <v>http://ts.21cn.com/tousu/show/id/1348002</v>
      </c>
      <c r="F16270" s="2" t="s">
        <v>11</v>
      </c>
      <c r="G16270" s="2" t="s">
        <v>12188</v>
      </c>
      <c r="H16270" s="2" t="s">
        <v>12189</v>
      </c>
    </row>
    <row r="16271" spans="1:8" ht="25.05" customHeight="1" x14ac:dyDescent="0.25">
      <c r="A16271" s="2" t="s">
        <v>8</v>
      </c>
      <c r="B16271" s="2" t="str">
        <f>HYPERLINK("http://ts.21cn.com/tousu/show/id/1348004","立借暴击威胁催收")</f>
        <v>立借暴击威胁催收</v>
      </c>
      <c r="C16271" s="2" t="s">
        <v>9</v>
      </c>
      <c r="D16271" s="2" t="s">
        <v>10</v>
      </c>
      <c r="E16271" s="2" t="str">
        <f>HYPERLINK("http://ts.21cn.com/tousu/show/id/1348004","http://ts.21cn.com/tousu/show/id/1348004")</f>
        <v>http://ts.21cn.com/tousu/show/id/1348004</v>
      </c>
      <c r="F16271" s="2" t="s">
        <v>11</v>
      </c>
      <c r="G16271" s="2" t="s">
        <v>12186</v>
      </c>
      <c r="H16271" s="2" t="s">
        <v>12187</v>
      </c>
    </row>
    <row r="16272" spans="1:8" ht="25.05" customHeight="1" x14ac:dyDescent="0.25">
      <c r="A16272" s="2" t="s">
        <v>8</v>
      </c>
      <c r="B16272" s="2" t="str">
        <f>HYPERLINK("http://ts.21cn.com/tousu/show/id/1348003","MY钱包暴力催收")</f>
        <v>MY钱包暴力催收</v>
      </c>
      <c r="C16272" s="2" t="s">
        <v>9</v>
      </c>
      <c r="D16272" s="2" t="s">
        <v>10</v>
      </c>
      <c r="E16272" s="2" t="str">
        <f>HYPERLINK("http://ts.21cn.com/tousu/show/id/1348003","http://ts.21cn.com/tousu/show/id/1348003")</f>
        <v>http://ts.21cn.com/tousu/show/id/1348003</v>
      </c>
      <c r="F16272" s="2" t="s">
        <v>11</v>
      </c>
      <c r="G16272" s="2" t="s">
        <v>12184</v>
      </c>
      <c r="H16272" s="2" t="s">
        <v>12185</v>
      </c>
    </row>
    <row r="16273" spans="1:8" ht="25.05" customHeight="1" x14ac:dyDescent="0.25">
      <c r="A16273" s="2" t="s">
        <v>8</v>
      </c>
      <c r="B16273" s="2" t="str">
        <f>HYPERLINK("http://ts.21cn.com/tousu/show/id/1348005","小浦优客乱扣款，没有提前通知私自扣我296元！")</f>
        <v>小浦优客乱扣款，没有提前通知私自扣我296元！</v>
      </c>
      <c r="C16273" s="2" t="s">
        <v>9</v>
      </c>
      <c r="D16273" s="2" t="s">
        <v>10</v>
      </c>
      <c r="E16273" s="2" t="str">
        <f>HYPERLINK("http://ts.21cn.com/tousu/show/id/1348005","http://ts.21cn.com/tousu/show/id/1348005")</f>
        <v>http://ts.21cn.com/tousu/show/id/1348005</v>
      </c>
      <c r="F16273" s="2" t="s">
        <v>11</v>
      </c>
      <c r="G16273" s="2" t="s">
        <v>12182</v>
      </c>
      <c r="H16273" s="2" t="s">
        <v>12183</v>
      </c>
    </row>
    <row r="16274" spans="1:8" ht="25.05" customHeight="1" x14ac:dyDescent="0.25">
      <c r="A16274" s="2" t="s">
        <v>8</v>
      </c>
      <c r="B16274" s="2" t="str">
        <f>HYPERLINK("http://ts.21cn.com/tousu/show/id/1347985","我来贷逾期暴力征收")</f>
        <v>我来贷逾期暴力征收</v>
      </c>
      <c r="C16274" s="2" t="s">
        <v>9</v>
      </c>
      <c r="D16274" s="2" t="s">
        <v>10</v>
      </c>
      <c r="E16274" s="2" t="str">
        <f>HYPERLINK("http://ts.21cn.com/tousu/show/id/1347985","http://ts.21cn.com/tousu/show/id/1347985")</f>
        <v>http://ts.21cn.com/tousu/show/id/1347985</v>
      </c>
      <c r="F16274" s="2" t="s">
        <v>11</v>
      </c>
      <c r="G16274" s="2" t="s">
        <v>12179</v>
      </c>
      <c r="H16274" s="2" t="s">
        <v>12180</v>
      </c>
    </row>
    <row r="16275" spans="1:8" ht="25.05" customHeight="1" x14ac:dyDescent="0.25">
      <c r="A16275" s="2" t="s">
        <v>8</v>
      </c>
      <c r="B16275" s="2" t="str">
        <f>HYPERLINK("http://ts.21cn.com/tousu/show/id/1348008","拍拍贷高利贷，暴力催收、泄露贷款人信息，恶意骚扰电话")</f>
        <v>拍拍贷高利贷，暴力催收、泄露贷款人信息，恶意骚扰电话</v>
      </c>
      <c r="C16275" s="2" t="s">
        <v>9</v>
      </c>
      <c r="D16275" s="2" t="s">
        <v>10</v>
      </c>
      <c r="E16275" s="2" t="str">
        <f>HYPERLINK("http://ts.21cn.com/tousu/show/id/1348008","http://ts.21cn.com/tousu/show/id/1348008")</f>
        <v>http://ts.21cn.com/tousu/show/id/1348008</v>
      </c>
      <c r="F16275" s="2" t="s">
        <v>11</v>
      </c>
      <c r="G16275" s="2" t="s">
        <v>12179</v>
      </c>
      <c r="H16275" s="2" t="s">
        <v>12181</v>
      </c>
    </row>
    <row r="16276" spans="1:8" ht="25.05" customHeight="1" x14ac:dyDescent="0.25">
      <c r="A16276" s="2" t="s">
        <v>8</v>
      </c>
      <c r="B16276" s="2" t="str">
        <f>HYPERLINK("http://ts.21cn.com/tousu/show/id/1348009","拍拍贷威胁上门，本人已经很努力在借钱还他们，可是他们还不停打电话，找第三方恐吓")</f>
        <v>拍拍贷威胁上门，本人已经很努力在借钱还他们，可是他们还不停打电话，找第三方恐吓</v>
      </c>
      <c r="C16276" s="2" t="s">
        <v>9</v>
      </c>
      <c r="D16276" s="2" t="s">
        <v>10</v>
      </c>
      <c r="E16276" s="2" t="str">
        <f>HYPERLINK("http://ts.21cn.com/tousu/show/id/1348009","http://ts.21cn.com/tousu/show/id/1348009")</f>
        <v>http://ts.21cn.com/tousu/show/id/1348009</v>
      </c>
      <c r="F16276" s="2" t="s">
        <v>11</v>
      </c>
      <c r="G16276" s="2" t="s">
        <v>12177</v>
      </c>
      <c r="H16276" s="2" t="s">
        <v>12178</v>
      </c>
    </row>
    <row r="16277" spans="1:8" ht="25.05" customHeight="1" x14ac:dyDescent="0.25">
      <c r="A16277" s="2" t="s">
        <v>8</v>
      </c>
      <c r="B16277" s="2" t="str">
        <f>HYPERLINK("http://ts.21cn.com/tousu/show/id/1348010","东莞市轻奢维体健身房第二次无缘无故关门，老板跑路")</f>
        <v>东莞市轻奢维体健身房第二次无缘无故关门，老板跑路</v>
      </c>
      <c r="C16277" s="2" t="s">
        <v>9</v>
      </c>
      <c r="D16277" s="2" t="s">
        <v>10</v>
      </c>
      <c r="E16277" s="2" t="str">
        <f>HYPERLINK("http://ts.21cn.com/tousu/show/id/1348010","http://ts.21cn.com/tousu/show/id/1348010")</f>
        <v>http://ts.21cn.com/tousu/show/id/1348010</v>
      </c>
      <c r="F16277" s="2" t="s">
        <v>11</v>
      </c>
      <c r="G16277" s="2" t="s">
        <v>12174</v>
      </c>
      <c r="H16277" s="2" t="s">
        <v>12175</v>
      </c>
    </row>
    <row r="16278" spans="1:8" ht="25.05" customHeight="1" x14ac:dyDescent="0.25">
      <c r="A16278" s="2" t="s">
        <v>8</v>
      </c>
      <c r="B16278" s="2" t="str">
        <f>HYPERLINK("http://ts.21cn.com/tousu/show/id/1348011","微贷网私自帮客户车辆过户客户进行询问无果")</f>
        <v>微贷网私自帮客户车辆过户客户进行询问无果</v>
      </c>
      <c r="C16278" s="2" t="s">
        <v>9</v>
      </c>
      <c r="D16278" s="2" t="s">
        <v>10</v>
      </c>
      <c r="E16278" s="2" t="str">
        <f>HYPERLINK("http://ts.21cn.com/tousu/show/id/1348011","http://ts.21cn.com/tousu/show/id/1348011")</f>
        <v>http://ts.21cn.com/tousu/show/id/1348011</v>
      </c>
      <c r="F16278" s="2" t="s">
        <v>11</v>
      </c>
      <c r="G16278" s="2" t="s">
        <v>12174</v>
      </c>
      <c r="H16278" s="2" t="s">
        <v>12176</v>
      </c>
    </row>
    <row r="16279" spans="1:8" ht="25.05" customHeight="1" x14ac:dyDescent="0.25">
      <c r="A16279" s="2" t="s">
        <v>8</v>
      </c>
      <c r="B16279" s="2" t="str">
        <f>HYPERLINK("http://ts.21cn.com/tousu/show/id/1348013","爆通讯录")</f>
        <v>爆通讯录</v>
      </c>
      <c r="C16279" s="2" t="s">
        <v>9</v>
      </c>
      <c r="D16279" s="2" t="s">
        <v>10</v>
      </c>
      <c r="E16279" s="2" t="str">
        <f>HYPERLINK("http://ts.21cn.com/tousu/show/id/1348013","http://ts.21cn.com/tousu/show/id/1348013")</f>
        <v>http://ts.21cn.com/tousu/show/id/1348013</v>
      </c>
      <c r="F16279" s="2" t="s">
        <v>11</v>
      </c>
      <c r="G16279" s="2" t="s">
        <v>12172</v>
      </c>
      <c r="H16279" s="2" t="s">
        <v>12173</v>
      </c>
    </row>
    <row r="16280" spans="1:8" ht="25.05" customHeight="1" x14ac:dyDescent="0.25">
      <c r="A16280" s="2" t="s">
        <v>8</v>
      </c>
      <c r="B16280" s="2" t="str">
        <f>HYPERLINK("http://ts.21cn.com/tousu/show/id/1348001","为赌博平台提供收款")</f>
        <v>为赌博平台提供收款</v>
      </c>
      <c r="C16280" s="2" t="s">
        <v>9</v>
      </c>
      <c r="D16280" s="2" t="s">
        <v>10</v>
      </c>
      <c r="E16280" s="2" t="str">
        <f>HYPERLINK("http://ts.21cn.com/tousu/show/id/1348001","http://ts.21cn.com/tousu/show/id/1348001")</f>
        <v>http://ts.21cn.com/tousu/show/id/1348001</v>
      </c>
      <c r="F16280" s="2" t="s">
        <v>11</v>
      </c>
      <c r="G16280" s="2" t="s">
        <v>12170</v>
      </c>
      <c r="H16280" s="2" t="s">
        <v>12171</v>
      </c>
    </row>
    <row r="16281" spans="1:8" ht="25.05" customHeight="1" x14ac:dyDescent="0.25">
      <c r="A16281" s="2" t="s">
        <v>8</v>
      </c>
      <c r="B16281" s="2" t="str">
        <f>HYPERLINK("http://ts.21cn.com/tousu/show/id/1348012","造艺科技隐藏条款，盗取客户信息，恶意盗刷，违法行为")</f>
        <v>造艺科技隐藏条款，盗取客户信息，恶意盗刷，违法行为</v>
      </c>
      <c r="C16281" s="2" t="s">
        <v>9</v>
      </c>
      <c r="D16281" s="2" t="s">
        <v>10</v>
      </c>
      <c r="E16281" s="2" t="str">
        <f>HYPERLINK("http://ts.21cn.com/tousu/show/id/1348012","http://ts.21cn.com/tousu/show/id/1348012")</f>
        <v>http://ts.21cn.com/tousu/show/id/1348012</v>
      </c>
      <c r="F16281" s="2" t="s">
        <v>11</v>
      </c>
      <c r="G16281" s="2" t="s">
        <v>12168</v>
      </c>
      <c r="H16281" s="2" t="s">
        <v>12169</v>
      </c>
    </row>
    <row r="16282" spans="1:8" ht="25.05" customHeight="1" x14ac:dyDescent="0.25">
      <c r="A16282" s="2" t="s">
        <v>8</v>
      </c>
      <c r="B16282" s="2" t="str">
        <f>HYPERLINK("http://ts.21cn.com/tousu/show/id/1348015","贷上钱以买游戏豆为由收取高额贷款通过费")</f>
        <v>贷上钱以买游戏豆为由收取高额贷款通过费</v>
      </c>
      <c r="C16282" s="2" t="s">
        <v>9</v>
      </c>
      <c r="D16282" s="2" t="s">
        <v>10</v>
      </c>
      <c r="E16282" s="2" t="str">
        <f>HYPERLINK("http://ts.21cn.com/tousu/show/id/1348015","http://ts.21cn.com/tousu/show/id/1348015")</f>
        <v>http://ts.21cn.com/tousu/show/id/1348015</v>
      </c>
      <c r="F16282" s="2" t="s">
        <v>11</v>
      </c>
      <c r="G16282" s="2" t="s">
        <v>12166</v>
      </c>
      <c r="H16282" s="2" t="s">
        <v>12167</v>
      </c>
    </row>
    <row r="16283" spans="1:8" ht="25.05" customHeight="1" x14ac:dyDescent="0.25">
      <c r="A16283" s="2" t="s">
        <v>8</v>
      </c>
      <c r="B16283" s="2" t="str">
        <f>HYPERLINK("http://ts.21cn.com/tousu/show/id/1348016","小浦优客未经同意扣钱")</f>
        <v>小浦优客未经同意扣钱</v>
      </c>
      <c r="C16283" s="2" t="s">
        <v>9</v>
      </c>
      <c r="D16283" s="2" t="s">
        <v>10</v>
      </c>
      <c r="E16283" s="2" t="str">
        <f>HYPERLINK("http://ts.21cn.com/tousu/show/id/1348016","http://ts.21cn.com/tousu/show/id/1348016")</f>
        <v>http://ts.21cn.com/tousu/show/id/1348016</v>
      </c>
      <c r="F16283" s="2" t="s">
        <v>11</v>
      </c>
      <c r="G16283" s="2" t="s">
        <v>12164</v>
      </c>
      <c r="H16283" s="2" t="s">
        <v>12165</v>
      </c>
    </row>
    <row r="16284" spans="1:8" ht="25.05" customHeight="1" x14ac:dyDescent="0.25">
      <c r="A16284" s="2" t="s">
        <v>8</v>
      </c>
      <c r="B16284" s="2" t="str">
        <f>HYPERLINK("http://ts.21cn.com/tousu/show/id/1348018","京东分错件延误赔偿不合理")</f>
        <v>京东分错件延误赔偿不合理</v>
      </c>
      <c r="C16284" s="2" t="s">
        <v>9</v>
      </c>
      <c r="D16284" s="2" t="s">
        <v>10</v>
      </c>
      <c r="E16284" s="2" t="str">
        <f>HYPERLINK("http://ts.21cn.com/tousu/show/id/1348018","http://ts.21cn.com/tousu/show/id/1348018")</f>
        <v>http://ts.21cn.com/tousu/show/id/1348018</v>
      </c>
      <c r="F16284" s="2" t="s">
        <v>11</v>
      </c>
      <c r="G16284" s="2" t="s">
        <v>12162</v>
      </c>
      <c r="H16284" s="2" t="s">
        <v>12163</v>
      </c>
    </row>
    <row r="16285" spans="1:8" ht="25.05" customHeight="1" x14ac:dyDescent="0.25">
      <c r="A16285" s="2" t="s">
        <v>8</v>
      </c>
      <c r="B16285" s="2" t="str">
        <f>HYPERLINK("http://ts.21cn.com/tousu/show/id/1348020","钱站利息高")</f>
        <v>钱站利息高</v>
      </c>
      <c r="C16285" s="2" t="s">
        <v>34</v>
      </c>
      <c r="D16285" s="2" t="s">
        <v>10</v>
      </c>
      <c r="E16285" s="2" t="str">
        <f>HYPERLINK("http://ts.21cn.com/tousu/show/id/1348020","http://ts.21cn.com/tousu/show/id/1348020")</f>
        <v>http://ts.21cn.com/tousu/show/id/1348020</v>
      </c>
      <c r="F16285" s="2" t="s">
        <v>11</v>
      </c>
      <c r="G16285" s="2" t="s">
        <v>12160</v>
      </c>
      <c r="H16285" s="2" t="s">
        <v>12161</v>
      </c>
    </row>
    <row r="16286" spans="1:8" ht="25.05" customHeight="1" x14ac:dyDescent="0.25">
      <c r="A16286" s="2" t="s">
        <v>8</v>
      </c>
      <c r="B16286" s="2" t="str">
        <f>HYPERLINK("http://ts.21cn.com/tousu/show/id/1348019","cpu回收质检完成后，翼锋网迟迟不打款")</f>
        <v>cpu回收质检完成后，翼锋网迟迟不打款</v>
      </c>
      <c r="C16286" s="2" t="s">
        <v>34</v>
      </c>
      <c r="D16286" s="2" t="s">
        <v>10</v>
      </c>
      <c r="E16286" s="2" t="str">
        <f>HYPERLINK("http://ts.21cn.com/tousu/show/id/1348019","http://ts.21cn.com/tousu/show/id/1348019")</f>
        <v>http://ts.21cn.com/tousu/show/id/1348019</v>
      </c>
      <c r="F16286" s="2" t="s">
        <v>11</v>
      </c>
      <c r="G16286" s="2" t="s">
        <v>12158</v>
      </c>
      <c r="H16286" s="2" t="s">
        <v>12159</v>
      </c>
    </row>
    <row r="16287" spans="1:8" ht="25.05" customHeight="1" x14ac:dyDescent="0.25">
      <c r="A16287" s="2" t="s">
        <v>8</v>
      </c>
      <c r="B16287" s="2" t="str">
        <f>HYPERLINK("http://ts.21cn.com/tousu/show/id/1348021","立借钱置宝客服无人联系")</f>
        <v>立借钱置宝客服无人联系</v>
      </c>
      <c r="C16287" s="2" t="s">
        <v>9</v>
      </c>
      <c r="D16287" s="2" t="s">
        <v>10</v>
      </c>
      <c r="E16287" s="2" t="str">
        <f>HYPERLINK("http://ts.21cn.com/tousu/show/id/1348021","http://ts.21cn.com/tousu/show/id/1348021")</f>
        <v>http://ts.21cn.com/tousu/show/id/1348021</v>
      </c>
      <c r="F16287" s="2" t="s">
        <v>11</v>
      </c>
      <c r="G16287" s="2" t="s">
        <v>12156</v>
      </c>
      <c r="H16287" s="2" t="s">
        <v>12157</v>
      </c>
    </row>
    <row r="16288" spans="1:8" ht="25.05" customHeight="1" x14ac:dyDescent="0.25">
      <c r="A16288" s="2" t="s">
        <v>8</v>
      </c>
      <c r="B16288" s="2" t="str">
        <f>HYPERLINK("http://ts.21cn.com/tousu/show/id/1348022","高利贷骚扰催收")</f>
        <v>高利贷骚扰催收</v>
      </c>
      <c r="C16288" s="2" t="s">
        <v>9</v>
      </c>
      <c r="D16288" s="2" t="s">
        <v>10</v>
      </c>
      <c r="E16288" s="2" t="str">
        <f>HYPERLINK("http://ts.21cn.com/tousu/show/id/1348022","http://ts.21cn.com/tousu/show/id/1348022")</f>
        <v>http://ts.21cn.com/tousu/show/id/1348022</v>
      </c>
      <c r="F16288" s="2" t="s">
        <v>11</v>
      </c>
      <c r="G16288" s="2" t="s">
        <v>12154</v>
      </c>
      <c r="H16288" s="2" t="s">
        <v>12155</v>
      </c>
    </row>
    <row r="16289" spans="1:8" ht="25.05" customHeight="1" x14ac:dyDescent="0.25">
      <c r="A16289" s="2" t="s">
        <v>8</v>
      </c>
      <c r="B16289" s="2" t="str">
        <f>HYPERLINK("http://ts.21cn.com/tousu/show/id/1348024","闪银催收")</f>
        <v>闪银催收</v>
      </c>
      <c r="C16289" s="2" t="s">
        <v>34</v>
      </c>
      <c r="D16289" s="2" t="s">
        <v>10</v>
      </c>
      <c r="E16289" s="2" t="str">
        <f>HYPERLINK("http://ts.21cn.com/tousu/show/id/1348024","http://ts.21cn.com/tousu/show/id/1348024")</f>
        <v>http://ts.21cn.com/tousu/show/id/1348024</v>
      </c>
      <c r="F16289" s="2" t="s">
        <v>11</v>
      </c>
      <c r="G16289" s="2" t="s">
        <v>12151</v>
      </c>
      <c r="H16289" s="2" t="s">
        <v>12152</v>
      </c>
    </row>
    <row r="16290" spans="1:8" ht="25.05" customHeight="1" x14ac:dyDescent="0.25">
      <c r="A16290" s="2" t="s">
        <v>8</v>
      </c>
      <c r="B16290" s="2" t="str">
        <f>HYPERLINK("http://ts.21cn.com/tousu/show/id/1348026","微粒贷暴力催收，投诉以后不但不处理还说欠钱就该骂")</f>
        <v>微粒贷暴力催收，投诉以后不但不处理还说欠钱就该骂</v>
      </c>
      <c r="C16290" s="2" t="s">
        <v>9</v>
      </c>
      <c r="D16290" s="2" t="s">
        <v>10</v>
      </c>
      <c r="E16290" s="2" t="str">
        <f>HYPERLINK("http://ts.21cn.com/tousu/show/id/1348026","http://ts.21cn.com/tousu/show/id/1348026")</f>
        <v>http://ts.21cn.com/tousu/show/id/1348026</v>
      </c>
      <c r="F16290" s="2" t="s">
        <v>11</v>
      </c>
      <c r="G16290" s="2" t="s">
        <v>12151</v>
      </c>
      <c r="H16290" s="2" t="s">
        <v>12153</v>
      </c>
    </row>
    <row r="16291" spans="1:8" ht="25.05" customHeight="1" x14ac:dyDescent="0.25">
      <c r="A16291" s="2" t="s">
        <v>8</v>
      </c>
      <c r="B16291" s="2" t="str">
        <f>HYPERLINK("http://ts.21cn.com/tousu/show/id/1348025","上海造艺网络技术有限公司旗下迅付泸快豹子贷恶意扣款299块")</f>
        <v>上海造艺网络技术有限公司旗下迅付泸快豹子贷恶意扣款299块</v>
      </c>
      <c r="C16291" s="2" t="s">
        <v>9</v>
      </c>
      <c r="D16291" s="2" t="s">
        <v>10</v>
      </c>
      <c r="E16291" s="2" t="str">
        <f>HYPERLINK("http://ts.21cn.com/tousu/show/id/1348025","http://ts.21cn.com/tousu/show/id/1348025")</f>
        <v>http://ts.21cn.com/tousu/show/id/1348025</v>
      </c>
      <c r="F16291" s="2" t="s">
        <v>11</v>
      </c>
      <c r="G16291" s="2" t="s">
        <v>12149</v>
      </c>
      <c r="H16291" s="2" t="s">
        <v>12150</v>
      </c>
    </row>
    <row r="16292" spans="1:8" ht="25.05" customHeight="1" x14ac:dyDescent="0.25">
      <c r="A16292" s="2" t="s">
        <v>8</v>
      </c>
      <c r="B16292" s="2" t="str">
        <f>HYPERLINK("http://ts.21cn.com/tousu/show/id/1348027","闪银暴力催收")</f>
        <v>闪银暴力催收</v>
      </c>
      <c r="C16292" s="2" t="s">
        <v>9</v>
      </c>
      <c r="D16292" s="2" t="s">
        <v>10</v>
      </c>
      <c r="E16292" s="2" t="str">
        <f>HYPERLINK("http://ts.21cn.com/tousu/show/id/1348027","http://ts.21cn.com/tousu/show/id/1348027")</f>
        <v>http://ts.21cn.com/tousu/show/id/1348027</v>
      </c>
      <c r="F16292" s="2" t="s">
        <v>11</v>
      </c>
      <c r="G16292" s="2" t="s">
        <v>12147</v>
      </c>
      <c r="H16292" s="2" t="s">
        <v>12148</v>
      </c>
    </row>
    <row r="16293" spans="1:8" ht="25.05" customHeight="1" x14ac:dyDescent="0.25">
      <c r="A16293" s="2" t="s">
        <v>8</v>
      </c>
      <c r="B16293" s="2" t="str">
        <f>HYPERLINK("http://ts.21cn.com/tousu/show/id/1348030","钱站高利贷阴阳合同")</f>
        <v>钱站高利贷阴阳合同</v>
      </c>
      <c r="C16293" s="2" t="s">
        <v>9</v>
      </c>
      <c r="D16293" s="2" t="s">
        <v>10</v>
      </c>
      <c r="E16293" s="2" t="str">
        <f>HYPERLINK("http://ts.21cn.com/tousu/show/id/1348030","http://ts.21cn.com/tousu/show/id/1348030")</f>
        <v>http://ts.21cn.com/tousu/show/id/1348030</v>
      </c>
      <c r="F16293" s="2" t="s">
        <v>11</v>
      </c>
      <c r="G16293" s="2" t="s">
        <v>12145</v>
      </c>
      <c r="H16293" s="2" t="s">
        <v>12146</v>
      </c>
    </row>
    <row r="16294" spans="1:8" ht="25.05" customHeight="1" x14ac:dyDescent="0.25">
      <c r="A16294" s="2" t="s">
        <v>8</v>
      </c>
      <c r="B16294" s="2" t="str">
        <f>HYPERLINK("http://ts.21cn.com/tousu/show/id/1348028","洋钱罐暴力催收")</f>
        <v>洋钱罐暴力催收</v>
      </c>
      <c r="C16294" s="2" t="s">
        <v>9</v>
      </c>
      <c r="D16294" s="2" t="s">
        <v>10</v>
      </c>
      <c r="E16294" s="2" t="str">
        <f>HYPERLINK("http://ts.21cn.com/tousu/show/id/1348028","http://ts.21cn.com/tousu/show/id/1348028")</f>
        <v>http://ts.21cn.com/tousu/show/id/1348028</v>
      </c>
      <c r="F16294" s="2" t="s">
        <v>11</v>
      </c>
      <c r="G16294" s="2" t="s">
        <v>12143</v>
      </c>
      <c r="H16294" s="2" t="s">
        <v>12144</v>
      </c>
    </row>
    <row r="16295" spans="1:8" ht="25.05" customHeight="1" x14ac:dyDescent="0.25">
      <c r="A16295" s="2" t="s">
        <v>8</v>
      </c>
      <c r="B16295" s="2" t="str">
        <f>HYPERLINK("http://ts.21cn.com/tousu/show/id/1348029","小浦优客未经同意扣款")</f>
        <v>小浦优客未经同意扣款</v>
      </c>
      <c r="C16295" s="2" t="s">
        <v>9</v>
      </c>
      <c r="D16295" s="2" t="s">
        <v>10</v>
      </c>
      <c r="E16295" s="2" t="str">
        <f>HYPERLINK("http://ts.21cn.com/tousu/show/id/1348029","http://ts.21cn.com/tousu/show/id/1348029")</f>
        <v>http://ts.21cn.com/tousu/show/id/1348029</v>
      </c>
      <c r="F16295" s="2" t="s">
        <v>11</v>
      </c>
      <c r="G16295" s="2" t="s">
        <v>12141</v>
      </c>
      <c r="H16295" s="2" t="s">
        <v>12142</v>
      </c>
    </row>
    <row r="16296" spans="1:8" ht="25.05" customHeight="1" x14ac:dyDescent="0.25">
      <c r="A16296" s="2" t="s">
        <v>8</v>
      </c>
      <c r="B16296" s="2" t="str">
        <f>HYPERLINK("http://ts.21cn.com/tousu/show/id/1348031","玖富与潍坊阴阳合同")</f>
        <v>玖富与潍坊阴阳合同</v>
      </c>
      <c r="C16296" s="2" t="s">
        <v>9</v>
      </c>
      <c r="D16296" s="2" t="s">
        <v>10</v>
      </c>
      <c r="E16296" s="2" t="str">
        <f>HYPERLINK("http://ts.21cn.com/tousu/show/id/1348031","http://ts.21cn.com/tousu/show/id/1348031")</f>
        <v>http://ts.21cn.com/tousu/show/id/1348031</v>
      </c>
      <c r="F16296" s="2" t="s">
        <v>11</v>
      </c>
      <c r="G16296" s="2" t="s">
        <v>12139</v>
      </c>
      <c r="H16296" s="2" t="s">
        <v>12140</v>
      </c>
    </row>
    <row r="16297" spans="1:8" ht="25.05" customHeight="1" x14ac:dyDescent="0.25">
      <c r="A16297" s="2" t="s">
        <v>8</v>
      </c>
      <c r="B16297" s="2" t="str">
        <f>HYPERLINK("http://ts.21cn.com/tousu/show/id/1348032","国美金融暴力催收主动泄漏客服身份信息骚扰家人")</f>
        <v>国美金融暴力催收主动泄漏客服身份信息骚扰家人</v>
      </c>
      <c r="C16297" s="2" t="s">
        <v>9</v>
      </c>
      <c r="D16297" s="2" t="s">
        <v>10</v>
      </c>
      <c r="E16297" s="2" t="str">
        <f>HYPERLINK("http://ts.21cn.com/tousu/show/id/1348032","http://ts.21cn.com/tousu/show/id/1348032")</f>
        <v>http://ts.21cn.com/tousu/show/id/1348032</v>
      </c>
      <c r="F16297" s="2" t="s">
        <v>11</v>
      </c>
      <c r="G16297" s="2" t="s">
        <v>12137</v>
      </c>
      <c r="H16297" s="2" t="s">
        <v>12138</v>
      </c>
    </row>
    <row r="16298" spans="1:8" ht="25.05" customHeight="1" x14ac:dyDescent="0.25">
      <c r="A16298" s="2" t="s">
        <v>8</v>
      </c>
      <c r="B16298" s="2" t="str">
        <f>HYPERLINK("http://ts.21cn.com/tousu/show/id/1348033","招商银行信用卡逾期打电话威胁")</f>
        <v>招商银行信用卡逾期打电话威胁</v>
      </c>
      <c r="C16298" s="2" t="s">
        <v>9</v>
      </c>
      <c r="D16298" s="2" t="s">
        <v>10</v>
      </c>
      <c r="E16298" s="2" t="str">
        <f>HYPERLINK("http://ts.21cn.com/tousu/show/id/1348033","http://ts.21cn.com/tousu/show/id/1348033")</f>
        <v>http://ts.21cn.com/tousu/show/id/1348033</v>
      </c>
      <c r="F16298" s="2" t="s">
        <v>11</v>
      </c>
      <c r="G16298" s="2" t="s">
        <v>12135</v>
      </c>
      <c r="H16298" s="2" t="s">
        <v>12136</v>
      </c>
    </row>
    <row r="16299" spans="1:8" ht="25.05" customHeight="1" x14ac:dyDescent="0.25">
      <c r="A16299" s="2" t="s">
        <v>8</v>
      </c>
      <c r="B16299" s="2" t="str">
        <f>HYPERLINK("http://ts.21cn.com/tousu/show/id/1348034","麦子金服砍头息")</f>
        <v>麦子金服砍头息</v>
      </c>
      <c r="C16299" s="2" t="s">
        <v>34</v>
      </c>
      <c r="D16299" s="2" t="s">
        <v>10</v>
      </c>
      <c r="E16299" s="2" t="str">
        <f>HYPERLINK("http://ts.21cn.com/tousu/show/id/1348034","http://ts.21cn.com/tousu/show/id/1348034")</f>
        <v>http://ts.21cn.com/tousu/show/id/1348034</v>
      </c>
      <c r="F16299" s="2" t="s">
        <v>11</v>
      </c>
      <c r="G16299" s="2" t="s">
        <v>12133</v>
      </c>
      <c r="H16299" s="2" t="s">
        <v>12134</v>
      </c>
    </row>
    <row r="16300" spans="1:8" ht="25.05" customHeight="1" x14ac:dyDescent="0.25">
      <c r="A16300" s="2" t="s">
        <v>8</v>
      </c>
      <c r="B16300" s="2" t="str">
        <f>HYPERLINK("http://ts.21cn.com/tousu/show/id/1348035","支付宝恶意扣除芝麻信誉分")</f>
        <v>支付宝恶意扣除芝麻信誉分</v>
      </c>
      <c r="C16300" s="2" t="s">
        <v>9</v>
      </c>
      <c r="D16300" s="2" t="s">
        <v>10</v>
      </c>
      <c r="E16300" s="2" t="str">
        <f>HYPERLINK("http://ts.21cn.com/tousu/show/id/1348035","http://ts.21cn.com/tousu/show/id/1348035")</f>
        <v>http://ts.21cn.com/tousu/show/id/1348035</v>
      </c>
      <c r="F16300" s="2" t="s">
        <v>11</v>
      </c>
      <c r="G16300" s="2" t="s">
        <v>12131</v>
      </c>
      <c r="H16300" s="2" t="s">
        <v>12132</v>
      </c>
    </row>
    <row r="16301" spans="1:8" ht="25.05" customHeight="1" x14ac:dyDescent="0.25">
      <c r="A16301" s="2" t="s">
        <v>8</v>
      </c>
      <c r="B16301" s="2" t="str">
        <f>HYPERLINK("http://ts.21cn.com/tousu/show/id/1348036","买单侠群发我亲朋好友")</f>
        <v>买单侠群发我亲朋好友</v>
      </c>
      <c r="C16301" s="2" t="s">
        <v>9</v>
      </c>
      <c r="D16301" s="2" t="s">
        <v>10</v>
      </c>
      <c r="E16301" s="2" t="str">
        <f>HYPERLINK("http://ts.21cn.com/tousu/show/id/1348036","http://ts.21cn.com/tousu/show/id/1348036")</f>
        <v>http://ts.21cn.com/tousu/show/id/1348036</v>
      </c>
      <c r="F16301" s="2" t="s">
        <v>11</v>
      </c>
      <c r="G16301" s="2" t="s">
        <v>12129</v>
      </c>
      <c r="H16301" s="2" t="s">
        <v>12130</v>
      </c>
    </row>
    <row r="16302" spans="1:8" ht="25.05" customHeight="1" x14ac:dyDescent="0.25">
      <c r="A16302" s="2" t="s">
        <v>8</v>
      </c>
      <c r="B16302" s="2" t="str">
        <f>HYPERLINK("http://ts.21cn.com/tousu/show/id/1348037","蜜瓜钱包违法高利贷收取砍头息")</f>
        <v>蜜瓜钱包违法高利贷收取砍头息</v>
      </c>
      <c r="C16302" s="2" t="s">
        <v>9</v>
      </c>
      <c r="D16302" s="2" t="s">
        <v>10</v>
      </c>
      <c r="E16302" s="2" t="str">
        <f>HYPERLINK("http://ts.21cn.com/tousu/show/id/1348037","http://ts.21cn.com/tousu/show/id/1348037")</f>
        <v>http://ts.21cn.com/tousu/show/id/1348037</v>
      </c>
      <c r="F16302" s="2" t="s">
        <v>11</v>
      </c>
      <c r="G16302" s="2" t="s">
        <v>12127</v>
      </c>
      <c r="H16302" s="2" t="s">
        <v>12128</v>
      </c>
    </row>
    <row r="16303" spans="1:8" ht="25.05" customHeight="1" x14ac:dyDescent="0.25">
      <c r="A16303" s="2" t="s">
        <v>8</v>
      </c>
      <c r="B16303" s="2" t="str">
        <f>HYPERLINK("http://ts.21cn.com/tousu/show/id/1348038","冰箱有划痕因通电拒绝退换货")</f>
        <v>冰箱有划痕因通电拒绝退换货</v>
      </c>
      <c r="C16303" s="2" t="s">
        <v>34</v>
      </c>
      <c r="D16303" s="2" t="s">
        <v>10</v>
      </c>
      <c r="E16303" s="2" t="str">
        <f>HYPERLINK("http://ts.21cn.com/tousu/show/id/1348038","http://ts.21cn.com/tousu/show/id/1348038")</f>
        <v>http://ts.21cn.com/tousu/show/id/1348038</v>
      </c>
      <c r="F16303" s="2" t="s">
        <v>11</v>
      </c>
      <c r="G16303" s="2" t="s">
        <v>12125</v>
      </c>
      <c r="H16303" s="2" t="s">
        <v>12126</v>
      </c>
    </row>
    <row r="16304" spans="1:8" ht="25.05" customHeight="1" x14ac:dyDescent="0.25">
      <c r="A16304" s="2" t="s">
        <v>8</v>
      </c>
      <c r="B16304" s="2" t="str">
        <f>HYPERLINK("http://ts.21cn.com/tousu/show/id/1348041","御剑飞行显示放款，但银行卡未到账")</f>
        <v>御剑飞行显示放款，但银行卡未到账</v>
      </c>
      <c r="C16304" s="2" t="s">
        <v>9</v>
      </c>
      <c r="D16304" s="2" t="s">
        <v>10</v>
      </c>
      <c r="E16304" s="2" t="str">
        <f>HYPERLINK("http://ts.21cn.com/tousu/show/id/1348041","http://ts.21cn.com/tousu/show/id/1348041")</f>
        <v>http://ts.21cn.com/tousu/show/id/1348041</v>
      </c>
      <c r="F16304" s="2" t="s">
        <v>11</v>
      </c>
      <c r="G16304" s="2" t="s">
        <v>12122</v>
      </c>
      <c r="H16304" s="2" t="s">
        <v>12123</v>
      </c>
    </row>
    <row r="16305" spans="1:8" ht="25.05" customHeight="1" x14ac:dyDescent="0.25">
      <c r="A16305" s="2" t="s">
        <v>8</v>
      </c>
      <c r="B16305" s="2" t="str">
        <f>HYPERLINK("http://ts.21cn.com/tousu/show/id/1348040","上海宝付支付乱扣款")</f>
        <v>上海宝付支付乱扣款</v>
      </c>
      <c r="C16305" s="2" t="s">
        <v>9</v>
      </c>
      <c r="D16305" s="2" t="s">
        <v>10</v>
      </c>
      <c r="E16305" s="2" t="str">
        <f>HYPERLINK("http://ts.21cn.com/tousu/show/id/1348040","http://ts.21cn.com/tousu/show/id/1348040")</f>
        <v>http://ts.21cn.com/tousu/show/id/1348040</v>
      </c>
      <c r="F16305" s="2" t="s">
        <v>11</v>
      </c>
      <c r="G16305" s="2" t="s">
        <v>12122</v>
      </c>
      <c r="H16305" s="2" t="s">
        <v>12124</v>
      </c>
    </row>
    <row r="16306" spans="1:8" ht="25.05" customHeight="1" x14ac:dyDescent="0.25">
      <c r="A16306" s="2" t="s">
        <v>8</v>
      </c>
      <c r="B16306" s="2" t="str">
        <f>HYPERLINK("http://ts.21cn.com/tousu/show/id/1348043","入驻淘集集后进行退店，将近3个月保证金也不给退！")</f>
        <v>入驻淘集集后进行退店，将近3个月保证金也不给退！</v>
      </c>
      <c r="C16306" s="2" t="s">
        <v>9</v>
      </c>
      <c r="D16306" s="2" t="s">
        <v>10</v>
      </c>
      <c r="E16306" s="2" t="str">
        <f>HYPERLINK("http://ts.21cn.com/tousu/show/id/1348043","http://ts.21cn.com/tousu/show/id/1348043")</f>
        <v>http://ts.21cn.com/tousu/show/id/1348043</v>
      </c>
      <c r="F16306" s="2" t="s">
        <v>11</v>
      </c>
      <c r="G16306" s="2" t="s">
        <v>12120</v>
      </c>
      <c r="H16306" s="2" t="s">
        <v>12121</v>
      </c>
    </row>
    <row r="16307" spans="1:8" ht="25.05" customHeight="1" x14ac:dyDescent="0.25">
      <c r="A16307" s="2" t="s">
        <v>8</v>
      </c>
      <c r="B16307" s="2" t="str">
        <f>HYPERLINK("http://ts.21cn.com/tousu/show/id/1348042","立马进钱呆呆苞恶意让客户逾期收取高额逾期费")</f>
        <v>立马进钱呆呆苞恶意让客户逾期收取高额逾期费</v>
      </c>
      <c r="C16307" s="2" t="s">
        <v>9</v>
      </c>
      <c r="D16307" s="2" t="s">
        <v>10</v>
      </c>
      <c r="E16307" s="2" t="str">
        <f>HYPERLINK("http://ts.21cn.com/tousu/show/id/1348042","http://ts.21cn.com/tousu/show/id/1348042")</f>
        <v>http://ts.21cn.com/tousu/show/id/1348042</v>
      </c>
      <c r="F16307" s="2" t="s">
        <v>11</v>
      </c>
      <c r="G16307" s="2" t="s">
        <v>12118</v>
      </c>
      <c r="H16307" s="2" t="s">
        <v>12119</v>
      </c>
    </row>
    <row r="16308" spans="1:8" ht="25.05" customHeight="1" x14ac:dyDescent="0.25">
      <c r="A16308" s="2" t="s">
        <v>8</v>
      </c>
      <c r="B16308" s="2" t="str">
        <f>HYPERLINK("http://ts.21cn.com/tousu/show/id/1348046","恶意恐吓")</f>
        <v>恶意恐吓</v>
      </c>
      <c r="C16308" s="2" t="s">
        <v>9</v>
      </c>
      <c r="D16308" s="2" t="s">
        <v>10</v>
      </c>
      <c r="E16308" s="2" t="str">
        <f>HYPERLINK("http://ts.21cn.com/tousu/show/id/1348046","http://ts.21cn.com/tousu/show/id/1348046")</f>
        <v>http://ts.21cn.com/tousu/show/id/1348046</v>
      </c>
      <c r="F16308" s="2" t="s">
        <v>11</v>
      </c>
      <c r="G16308" s="2" t="s">
        <v>12116</v>
      </c>
      <c r="H16308" s="2" t="s">
        <v>12117</v>
      </c>
    </row>
    <row r="16309" spans="1:8" ht="25.05" customHeight="1" x14ac:dyDescent="0.25">
      <c r="A16309" s="2" t="s">
        <v>8</v>
      </c>
      <c r="B16309" s="2" t="str">
        <f>HYPERLINK("http://ts.21cn.com/tousu/show/id/1348044","玖富叮当高利贷，暴力催收，合同欺诈")</f>
        <v>玖富叮当高利贷，暴力催收，合同欺诈</v>
      </c>
      <c r="C16309" s="2" t="s">
        <v>9</v>
      </c>
      <c r="D16309" s="2" t="s">
        <v>10</v>
      </c>
      <c r="E16309" s="2" t="str">
        <f>HYPERLINK("http://ts.21cn.com/tousu/show/id/1348044","http://ts.21cn.com/tousu/show/id/1348044")</f>
        <v>http://ts.21cn.com/tousu/show/id/1348044</v>
      </c>
      <c r="F16309" s="2" t="s">
        <v>11</v>
      </c>
      <c r="G16309" s="2" t="s">
        <v>12114</v>
      </c>
      <c r="H16309" s="2" t="s">
        <v>12115</v>
      </c>
    </row>
    <row r="16310" spans="1:8" ht="25.05" customHeight="1" x14ac:dyDescent="0.25">
      <c r="A16310" s="2" t="s">
        <v>8</v>
      </c>
      <c r="B16310" s="2" t="str">
        <f>HYPERLINK("http://ts.21cn.com/tousu/show/id/1348045","交通银行")</f>
        <v>交通银行</v>
      </c>
      <c r="C16310" s="2" t="s">
        <v>34</v>
      </c>
      <c r="D16310" s="2" t="s">
        <v>10</v>
      </c>
      <c r="E16310" s="2" t="str">
        <f>HYPERLINK("http://ts.21cn.com/tousu/show/id/1348045","http://ts.21cn.com/tousu/show/id/1348045")</f>
        <v>http://ts.21cn.com/tousu/show/id/1348045</v>
      </c>
      <c r="F16310" s="2" t="s">
        <v>11</v>
      </c>
      <c r="G16310" s="2" t="s">
        <v>12112</v>
      </c>
      <c r="H16310" s="2" t="s">
        <v>12113</v>
      </c>
    </row>
    <row r="16311" spans="1:8" ht="25.05" customHeight="1" x14ac:dyDescent="0.25">
      <c r="A16311" s="2" t="s">
        <v>8</v>
      </c>
      <c r="B16311" s="2" t="str">
        <f>HYPERLINK("http://ts.21cn.com/tousu/show/id/1348047","造艺科技恶意扣款")</f>
        <v>造艺科技恶意扣款</v>
      </c>
      <c r="C16311" s="2" t="s">
        <v>9</v>
      </c>
      <c r="D16311" s="2" t="s">
        <v>10</v>
      </c>
      <c r="E16311" s="2" t="str">
        <f>HYPERLINK("http://ts.21cn.com/tousu/show/id/1348047","http://ts.21cn.com/tousu/show/id/1348047")</f>
        <v>http://ts.21cn.com/tousu/show/id/1348047</v>
      </c>
      <c r="F16311" s="2" t="s">
        <v>11</v>
      </c>
      <c r="G16311" s="2" t="s">
        <v>12110</v>
      </c>
      <c r="H16311" s="2" t="s">
        <v>12111</v>
      </c>
    </row>
    <row r="16312" spans="1:8" ht="25.05" customHeight="1" x14ac:dyDescent="0.25">
      <c r="A16312" s="2" t="s">
        <v>8</v>
      </c>
      <c r="B16312" s="2" t="str">
        <f>HYPERLINK("http://ts.21cn.com/tousu/show/id/1348048","捷信高利、上门")</f>
        <v>捷信高利、上门</v>
      </c>
      <c r="C16312" s="2" t="s">
        <v>9</v>
      </c>
      <c r="D16312" s="2" t="s">
        <v>10</v>
      </c>
      <c r="E16312" s="2" t="str">
        <f>HYPERLINK("http://ts.21cn.com/tousu/show/id/1348048","http://ts.21cn.com/tousu/show/id/1348048")</f>
        <v>http://ts.21cn.com/tousu/show/id/1348048</v>
      </c>
      <c r="F16312" s="2" t="s">
        <v>11</v>
      </c>
      <c r="G16312" s="2" t="s">
        <v>12108</v>
      </c>
      <c r="H16312" s="2" t="s">
        <v>12109</v>
      </c>
    </row>
    <row r="16313" spans="1:8" ht="25.05" customHeight="1" x14ac:dyDescent="0.25">
      <c r="A16313" s="2" t="s">
        <v>8</v>
      </c>
      <c r="B16313" s="2" t="str">
        <f>HYPERLINK("http://ts.21cn.com/tousu/show/id/1348049","欺负消费者，不诚信")</f>
        <v>欺负消费者，不诚信</v>
      </c>
      <c r="C16313" s="2" t="s">
        <v>9</v>
      </c>
      <c r="D16313" s="2" t="s">
        <v>10</v>
      </c>
      <c r="E16313" s="2" t="str">
        <f>HYPERLINK("http://ts.21cn.com/tousu/show/id/1348049","http://ts.21cn.com/tousu/show/id/1348049")</f>
        <v>http://ts.21cn.com/tousu/show/id/1348049</v>
      </c>
      <c r="F16313" s="2" t="s">
        <v>11</v>
      </c>
      <c r="G16313" s="2" t="s">
        <v>12106</v>
      </c>
      <c r="H16313" s="2" t="s">
        <v>12107</v>
      </c>
    </row>
    <row r="16314" spans="1:8" ht="25.05" customHeight="1" x14ac:dyDescent="0.25">
      <c r="A16314" s="2" t="s">
        <v>8</v>
      </c>
      <c r="B16314" s="2" t="str">
        <f>HYPERLINK("http://ts.21cn.com/tousu/show/id/1348050","交易猫交易失败，然后显示退款失败")</f>
        <v>交易猫交易失败，然后显示退款失败</v>
      </c>
      <c r="C16314" s="2" t="s">
        <v>9</v>
      </c>
      <c r="D16314" s="2" t="s">
        <v>10</v>
      </c>
      <c r="E16314" s="2" t="str">
        <f>HYPERLINK("http://ts.21cn.com/tousu/show/id/1348050","http://ts.21cn.com/tousu/show/id/1348050")</f>
        <v>http://ts.21cn.com/tousu/show/id/1348050</v>
      </c>
      <c r="F16314" s="2" t="s">
        <v>11</v>
      </c>
      <c r="G16314" s="2" t="s">
        <v>12104</v>
      </c>
      <c r="H16314" s="2" t="s">
        <v>12105</v>
      </c>
    </row>
    <row r="16315" spans="1:8" ht="25.05" customHeight="1" x14ac:dyDescent="0.25">
      <c r="A16315" s="2" t="s">
        <v>8</v>
      </c>
      <c r="B16315" s="2" t="str">
        <f>HYPERLINK("http://ts.21cn.com/tousu/show/id/1348052","51人品贷黑心高利贷，暴利催收骚扰联系人")</f>
        <v>51人品贷黑心高利贷，暴利催收骚扰联系人</v>
      </c>
      <c r="C16315" s="2" t="s">
        <v>9</v>
      </c>
      <c r="D16315" s="2" t="s">
        <v>10</v>
      </c>
      <c r="E16315" s="2" t="str">
        <f>HYPERLINK("http://ts.21cn.com/tousu/show/id/1348052","http://ts.21cn.com/tousu/show/id/1348052")</f>
        <v>http://ts.21cn.com/tousu/show/id/1348052</v>
      </c>
      <c r="F16315" s="2" t="s">
        <v>11</v>
      </c>
      <c r="G16315" s="2" t="s">
        <v>12102</v>
      </c>
      <c r="H16315" s="2" t="s">
        <v>12103</v>
      </c>
    </row>
    <row r="16316" spans="1:8" ht="25.05" customHeight="1" x14ac:dyDescent="0.25">
      <c r="A16316" s="2" t="s">
        <v>8</v>
      </c>
      <c r="B16316" s="2" t="str">
        <f>HYPERLINK("http://ts.21cn.com/tousu/show/id/1348053","百度有钱发")</f>
        <v>百度有钱发</v>
      </c>
      <c r="C16316" s="2" t="s">
        <v>9</v>
      </c>
      <c r="D16316" s="2" t="s">
        <v>10</v>
      </c>
      <c r="E16316" s="2" t="str">
        <f>HYPERLINK("http://ts.21cn.com/tousu/show/id/1348053","http://ts.21cn.com/tousu/show/id/1348053")</f>
        <v>http://ts.21cn.com/tousu/show/id/1348053</v>
      </c>
      <c r="F16316" s="2" t="s">
        <v>11</v>
      </c>
      <c r="G16316" s="2" t="s">
        <v>12100</v>
      </c>
      <c r="H16316" s="2" t="s">
        <v>12101</v>
      </c>
    </row>
    <row r="16317" spans="1:8" ht="25.05" customHeight="1" x14ac:dyDescent="0.25">
      <c r="A16317" s="2" t="s">
        <v>8</v>
      </c>
      <c r="B16317" s="2" t="str">
        <f>HYPERLINK("http://ts.21cn.com/tousu/show/id/1348054","新浪分期爆我通讯录")</f>
        <v>新浪分期爆我通讯录</v>
      </c>
      <c r="C16317" s="2" t="s">
        <v>9</v>
      </c>
      <c r="D16317" s="2" t="s">
        <v>10</v>
      </c>
      <c r="E16317" s="2" t="str">
        <f>HYPERLINK("http://ts.21cn.com/tousu/show/id/1348054","http://ts.21cn.com/tousu/show/id/1348054")</f>
        <v>http://ts.21cn.com/tousu/show/id/1348054</v>
      </c>
      <c r="F16317" s="2" t="s">
        <v>11</v>
      </c>
      <c r="G16317" s="2" t="s">
        <v>12098</v>
      </c>
      <c r="H16317" s="2" t="s">
        <v>12099</v>
      </c>
    </row>
    <row r="16318" spans="1:8" ht="25.05" customHeight="1" x14ac:dyDescent="0.25">
      <c r="A16318" s="2" t="s">
        <v>8</v>
      </c>
      <c r="B16318" s="2" t="str">
        <f>HYPERLINK("http://ts.21cn.com/tousu/show/id/1348055","速金服阴阳合同")</f>
        <v>速金服阴阳合同</v>
      </c>
      <c r="C16318" s="2" t="s">
        <v>9</v>
      </c>
      <c r="D16318" s="2" t="s">
        <v>10</v>
      </c>
      <c r="E16318" s="2" t="str">
        <f>HYPERLINK("http://ts.21cn.com/tousu/show/id/1348055","http://ts.21cn.com/tousu/show/id/1348055")</f>
        <v>http://ts.21cn.com/tousu/show/id/1348055</v>
      </c>
      <c r="F16318" s="2" t="s">
        <v>11</v>
      </c>
      <c r="G16318" s="2" t="s">
        <v>12096</v>
      </c>
      <c r="H16318" s="2" t="s">
        <v>12097</v>
      </c>
    </row>
    <row r="16319" spans="1:8" ht="25.05" customHeight="1" x14ac:dyDescent="0.25">
      <c r="A16319" s="2" t="s">
        <v>8</v>
      </c>
      <c r="B16319" s="2" t="str">
        <f>HYPERLINK("http://ts.21cn.com/tousu/show/id/1348056","兰州中川机场贵宾会员卡虚假宣传要求退款")</f>
        <v>兰州中川机场贵宾会员卡虚假宣传要求退款</v>
      </c>
      <c r="C16319" s="2" t="s">
        <v>9</v>
      </c>
      <c r="D16319" s="2" t="s">
        <v>10</v>
      </c>
      <c r="E16319" s="2" t="str">
        <f>HYPERLINK("http://ts.21cn.com/tousu/show/id/1348056","http://ts.21cn.com/tousu/show/id/1348056")</f>
        <v>http://ts.21cn.com/tousu/show/id/1348056</v>
      </c>
      <c r="F16319" s="2" t="s">
        <v>11</v>
      </c>
      <c r="G16319" s="2" t="s">
        <v>12094</v>
      </c>
      <c r="H16319" s="2" t="s">
        <v>12095</v>
      </c>
    </row>
    <row r="16320" spans="1:8" ht="25.05" customHeight="1" x14ac:dyDescent="0.25">
      <c r="A16320" s="2" t="s">
        <v>8</v>
      </c>
      <c r="B16320" s="2" t="str">
        <f>HYPERLINK("http://ts.21cn.com/tousu/show/id/1348057","海尔消费金融女催收侮辱我")</f>
        <v>海尔消费金融女催收侮辱我</v>
      </c>
      <c r="C16320" s="2" t="s">
        <v>9</v>
      </c>
      <c r="D16320" s="2" t="s">
        <v>10</v>
      </c>
      <c r="E16320" s="2" t="str">
        <f>HYPERLINK("http://ts.21cn.com/tousu/show/id/1348057","http://ts.21cn.com/tousu/show/id/1348057")</f>
        <v>http://ts.21cn.com/tousu/show/id/1348057</v>
      </c>
      <c r="F16320" s="2" t="s">
        <v>11</v>
      </c>
      <c r="G16320" s="2" t="s">
        <v>12092</v>
      </c>
      <c r="H16320" s="2" t="s">
        <v>12093</v>
      </c>
    </row>
    <row r="16321" spans="1:8" ht="25.05" customHeight="1" x14ac:dyDescent="0.25">
      <c r="A16321" s="2" t="s">
        <v>8</v>
      </c>
      <c r="B16321" s="2" t="str">
        <f>HYPERLINK("http://ts.21cn.com/tousu/show/id/1348058","骚扰电话骂人")</f>
        <v>骚扰电话骂人</v>
      </c>
      <c r="C16321" s="2" t="s">
        <v>9</v>
      </c>
      <c r="D16321" s="2" t="s">
        <v>10</v>
      </c>
      <c r="E16321" s="2" t="str">
        <f>HYPERLINK("http://ts.21cn.com/tousu/show/id/1348058","http://ts.21cn.com/tousu/show/id/1348058")</f>
        <v>http://ts.21cn.com/tousu/show/id/1348058</v>
      </c>
      <c r="F16321" s="2" t="s">
        <v>11</v>
      </c>
      <c r="G16321" s="2" t="s">
        <v>12090</v>
      </c>
      <c r="H16321" s="2" t="s">
        <v>12091</v>
      </c>
    </row>
    <row r="16322" spans="1:8" ht="25.05" customHeight="1" x14ac:dyDescent="0.25">
      <c r="A16322" s="2" t="s">
        <v>8</v>
      </c>
      <c r="B16322" s="2" t="str">
        <f>HYPERLINK("http://ts.21cn.com/tousu/show/id/1348059","你我贷阴阳合同高额服务费")</f>
        <v>你我贷阴阳合同高额服务费</v>
      </c>
      <c r="C16322" s="2" t="s">
        <v>9</v>
      </c>
      <c r="D16322" s="2" t="s">
        <v>10</v>
      </c>
      <c r="E16322" s="2" t="str">
        <f>HYPERLINK("http://ts.21cn.com/tousu/show/id/1348059","http://ts.21cn.com/tousu/show/id/1348059")</f>
        <v>http://ts.21cn.com/tousu/show/id/1348059</v>
      </c>
      <c r="F16322" s="2" t="s">
        <v>11</v>
      </c>
      <c r="G16322" s="2" t="s">
        <v>12088</v>
      </c>
      <c r="H16322" s="2" t="s">
        <v>12089</v>
      </c>
    </row>
    <row r="16323" spans="1:8" ht="25.05" customHeight="1" x14ac:dyDescent="0.25">
      <c r="A16323" s="2" t="s">
        <v>8</v>
      </c>
      <c r="B16323" s="2" t="str">
        <f>HYPERLINK("http://ts.21cn.com/tousu/show/id/1348060","安心记加班提现不给过")</f>
        <v>安心记加班提现不给过</v>
      </c>
      <c r="C16323" s="2" t="s">
        <v>9</v>
      </c>
      <c r="D16323" s="2" t="s">
        <v>10</v>
      </c>
      <c r="E16323" s="2" t="str">
        <f>HYPERLINK("http://ts.21cn.com/tousu/show/id/1348060","http://ts.21cn.com/tousu/show/id/1348060")</f>
        <v>http://ts.21cn.com/tousu/show/id/1348060</v>
      </c>
      <c r="F16323" s="2" t="s">
        <v>11</v>
      </c>
      <c r="G16323" s="2" t="s">
        <v>12086</v>
      </c>
      <c r="H16323" s="2" t="s">
        <v>12087</v>
      </c>
    </row>
    <row r="16324" spans="1:8" ht="25.05" customHeight="1" x14ac:dyDescent="0.25">
      <c r="A16324" s="2" t="s">
        <v>8</v>
      </c>
      <c r="B16324" s="2" t="str">
        <f>HYPERLINK("http://ts.21cn.com/tousu/show/id/1348064","浦发银行万用金正常用途、无逾期，却被告知一次性结清")</f>
        <v>浦发银行万用金正常用途、无逾期，却被告知一次性结清</v>
      </c>
      <c r="C16324" s="2" t="s">
        <v>9</v>
      </c>
      <c r="D16324" s="2" t="s">
        <v>10</v>
      </c>
      <c r="E16324" s="2" t="str">
        <f>HYPERLINK("http://ts.21cn.com/tousu/show/id/1348064","http://ts.21cn.com/tousu/show/id/1348064")</f>
        <v>http://ts.21cn.com/tousu/show/id/1348064</v>
      </c>
      <c r="F16324" s="2" t="s">
        <v>11</v>
      </c>
      <c r="G16324" s="2" t="s">
        <v>12083</v>
      </c>
      <c r="H16324" s="2" t="s">
        <v>12084</v>
      </c>
    </row>
    <row r="16325" spans="1:8" ht="25.05" customHeight="1" x14ac:dyDescent="0.25">
      <c r="A16325" s="2" t="s">
        <v>8</v>
      </c>
      <c r="B16325" s="2" t="str">
        <f>HYPERLINK("http://ts.21cn.com/tousu/show/id/1348063","拍拍贷骚扰亲戚朋友")</f>
        <v>拍拍贷骚扰亲戚朋友</v>
      </c>
      <c r="C16325" s="2" t="s">
        <v>9</v>
      </c>
      <c r="D16325" s="2" t="s">
        <v>10</v>
      </c>
      <c r="E16325" s="2" t="str">
        <f>HYPERLINK("http://ts.21cn.com/tousu/show/id/1348063","http://ts.21cn.com/tousu/show/id/1348063")</f>
        <v>http://ts.21cn.com/tousu/show/id/1348063</v>
      </c>
      <c r="F16325" s="2" t="s">
        <v>11</v>
      </c>
      <c r="G16325" s="2" t="s">
        <v>12083</v>
      </c>
      <c r="H16325" s="2" t="s">
        <v>12085</v>
      </c>
    </row>
    <row r="16326" spans="1:8" ht="25.05" customHeight="1" x14ac:dyDescent="0.25">
      <c r="A16326" s="2" t="s">
        <v>8</v>
      </c>
      <c r="B16326" s="2" t="str">
        <f>HYPERLINK("http://ts.21cn.com/tousu/show/id/1348061","电话及信息骚扰")</f>
        <v>电话及信息骚扰</v>
      </c>
      <c r="C16326" s="2" t="s">
        <v>9</v>
      </c>
      <c r="D16326" s="2" t="s">
        <v>10</v>
      </c>
      <c r="E16326" s="2" t="str">
        <f>HYPERLINK("http://ts.21cn.com/tousu/show/id/1348061","http://ts.21cn.com/tousu/show/id/1348061")</f>
        <v>http://ts.21cn.com/tousu/show/id/1348061</v>
      </c>
      <c r="F16326" s="2" t="s">
        <v>11</v>
      </c>
      <c r="G16326" s="2" t="s">
        <v>12081</v>
      </c>
      <c r="H16326" s="2" t="s">
        <v>12082</v>
      </c>
    </row>
    <row r="16327" spans="1:8" ht="25.05" customHeight="1" x14ac:dyDescent="0.25">
      <c r="A16327" s="2" t="s">
        <v>8</v>
      </c>
      <c r="B16327" s="2" t="str">
        <f>HYPERLINK("http://ts.21cn.com/tousu/show/id/1348062","升学教育机构不退款")</f>
        <v>升学教育机构不退款</v>
      </c>
      <c r="C16327" s="2" t="s">
        <v>9</v>
      </c>
      <c r="D16327" s="2" t="s">
        <v>10</v>
      </c>
      <c r="E16327" s="2" t="str">
        <f>HYPERLINK("http://ts.21cn.com/tousu/show/id/1348062","http://ts.21cn.com/tousu/show/id/1348062")</f>
        <v>http://ts.21cn.com/tousu/show/id/1348062</v>
      </c>
      <c r="F16327" s="2" t="s">
        <v>11</v>
      </c>
      <c r="G16327" s="2" t="s">
        <v>12079</v>
      </c>
      <c r="H16327" s="2" t="s">
        <v>12080</v>
      </c>
    </row>
    <row r="16328" spans="1:8" ht="25.05" customHeight="1" x14ac:dyDescent="0.25">
      <c r="A16328" s="2" t="s">
        <v>8</v>
      </c>
      <c r="B16328" s="2" t="str">
        <f>HYPERLINK("http://ts.21cn.com/tousu/show/id/1348065","滴滴恶意收费")</f>
        <v>滴滴恶意收费</v>
      </c>
      <c r="C16328" s="2" t="s">
        <v>9</v>
      </c>
      <c r="D16328" s="2" t="s">
        <v>10</v>
      </c>
      <c r="E16328" s="2" t="str">
        <f>HYPERLINK("http://ts.21cn.com/tousu/show/id/1348065","http://ts.21cn.com/tousu/show/id/1348065")</f>
        <v>http://ts.21cn.com/tousu/show/id/1348065</v>
      </c>
      <c r="F16328" s="2" t="s">
        <v>11</v>
      </c>
      <c r="G16328" s="2" t="s">
        <v>12078</v>
      </c>
      <c r="H16328" s="2" t="s">
        <v>7195</v>
      </c>
    </row>
    <row r="16329" spans="1:8" ht="25.05" customHeight="1" x14ac:dyDescent="0.25">
      <c r="A16329" s="2" t="s">
        <v>8</v>
      </c>
      <c r="B16329" s="2" t="str">
        <f>HYPERLINK("http://ts.21cn.com/tousu/show/id/1348066","骚扰")</f>
        <v>骚扰</v>
      </c>
      <c r="C16329" s="2" t="s">
        <v>9</v>
      </c>
      <c r="D16329" s="2" t="s">
        <v>10</v>
      </c>
      <c r="E16329" s="2" t="str">
        <f>HYPERLINK("http://ts.21cn.com/tousu/show/id/1348066","http://ts.21cn.com/tousu/show/id/1348066")</f>
        <v>http://ts.21cn.com/tousu/show/id/1348066</v>
      </c>
      <c r="F16329" s="2" t="s">
        <v>11</v>
      </c>
      <c r="G16329" s="2" t="s">
        <v>12076</v>
      </c>
      <c r="H16329" s="2" t="s">
        <v>12077</v>
      </c>
    </row>
    <row r="16330" spans="1:8" ht="25.05" customHeight="1" x14ac:dyDescent="0.25">
      <c r="A16330" s="2" t="s">
        <v>8</v>
      </c>
      <c r="B16330" s="2" t="str">
        <f>HYPERLINK("http://ts.21cn.com/tousu/show/id/1348067","瓜子二手车保卖迟迟不给过户")</f>
        <v>瓜子二手车保卖迟迟不给过户</v>
      </c>
      <c r="C16330" s="2" t="s">
        <v>9</v>
      </c>
      <c r="D16330" s="2" t="s">
        <v>10</v>
      </c>
      <c r="E16330" s="2" t="str">
        <f>HYPERLINK("http://ts.21cn.com/tousu/show/id/1348067","http://ts.21cn.com/tousu/show/id/1348067")</f>
        <v>http://ts.21cn.com/tousu/show/id/1348067</v>
      </c>
      <c r="F16330" s="2" t="s">
        <v>11</v>
      </c>
      <c r="G16330" s="2" t="s">
        <v>12074</v>
      </c>
      <c r="H16330" s="2" t="s">
        <v>12075</v>
      </c>
    </row>
    <row r="16331" spans="1:8" ht="25.05" customHeight="1" x14ac:dyDescent="0.25">
      <c r="A16331" s="2" t="s">
        <v>8</v>
      </c>
      <c r="B16331" s="2" t="str">
        <f>HYPERLINK("http://ts.21cn.com/tousu/show/id/1348068","纸上旅游暴力催收714高炮砍头")</f>
        <v>纸上旅游暴力催收714高炮砍头</v>
      </c>
      <c r="C16331" s="2" t="s">
        <v>9</v>
      </c>
      <c r="D16331" s="2" t="s">
        <v>10</v>
      </c>
      <c r="E16331" s="2" t="str">
        <f>HYPERLINK("http://ts.21cn.com/tousu/show/id/1348068","http://ts.21cn.com/tousu/show/id/1348068")</f>
        <v>http://ts.21cn.com/tousu/show/id/1348068</v>
      </c>
      <c r="F16331" s="2" t="s">
        <v>11</v>
      </c>
      <c r="G16331" s="2" t="s">
        <v>12072</v>
      </c>
      <c r="H16331" s="2" t="s">
        <v>12073</v>
      </c>
    </row>
    <row r="16332" spans="1:8" ht="25.05" customHeight="1" x14ac:dyDescent="0.25">
      <c r="A16332" s="2" t="s">
        <v>8</v>
      </c>
      <c r="B16332" s="2" t="str">
        <f>HYPERLINK("http://ts.21cn.com/tousu/show/id/1348071","吉林琦琪文化用品批发有限公司")</f>
        <v>吉林琦琪文化用品批发有限公司</v>
      </c>
      <c r="C16332" s="2" t="s">
        <v>9</v>
      </c>
      <c r="D16332" s="2" t="s">
        <v>10</v>
      </c>
      <c r="E16332" s="2" t="str">
        <f>HYPERLINK("http://ts.21cn.com/tousu/show/id/1348071","http://ts.21cn.com/tousu/show/id/1348071")</f>
        <v>http://ts.21cn.com/tousu/show/id/1348071</v>
      </c>
      <c r="F16332" s="2" t="s">
        <v>11</v>
      </c>
      <c r="G16332" s="2" t="s">
        <v>12071</v>
      </c>
      <c r="H16332" s="2" t="s">
        <v>5447</v>
      </c>
    </row>
    <row r="16333" spans="1:8" ht="25.05" customHeight="1" x14ac:dyDescent="0.25">
      <c r="A16333" s="2" t="s">
        <v>8</v>
      </c>
      <c r="B16333" s="2" t="str">
        <f>HYPERLINK("http://ts.21cn.com/tousu/show/id/1348070","分期乐恶意催收威胁恐吓母亲家人")</f>
        <v>分期乐恶意催收威胁恐吓母亲家人</v>
      </c>
      <c r="C16333" s="2" t="s">
        <v>9</v>
      </c>
      <c r="D16333" s="2" t="s">
        <v>10</v>
      </c>
      <c r="E16333" s="2" t="str">
        <f>HYPERLINK("http://ts.21cn.com/tousu/show/id/1348070","http://ts.21cn.com/tousu/show/id/1348070")</f>
        <v>http://ts.21cn.com/tousu/show/id/1348070</v>
      </c>
      <c r="F16333" s="2" t="s">
        <v>11</v>
      </c>
      <c r="G16333" s="2" t="s">
        <v>12069</v>
      </c>
      <c r="H16333" s="2" t="s">
        <v>12070</v>
      </c>
    </row>
    <row r="16334" spans="1:8" ht="25.05" customHeight="1" x14ac:dyDescent="0.25">
      <c r="A16334" s="2" t="s">
        <v>8</v>
      </c>
      <c r="B16334" s="2" t="str">
        <f>HYPERLINK("http://ts.21cn.com/tousu/show/id/1348076","把我的信息透露给第三方")</f>
        <v>把我的信息透露给第三方</v>
      </c>
      <c r="C16334" s="2" t="s">
        <v>9</v>
      </c>
      <c r="D16334" s="2" t="s">
        <v>10</v>
      </c>
      <c r="E16334" s="2" t="str">
        <f>HYPERLINK("http://ts.21cn.com/tousu/show/id/1348076","http://ts.21cn.com/tousu/show/id/1348076")</f>
        <v>http://ts.21cn.com/tousu/show/id/1348076</v>
      </c>
      <c r="F16334" s="2" t="s">
        <v>11</v>
      </c>
      <c r="G16334" s="2" t="s">
        <v>12066</v>
      </c>
      <c r="H16334" s="2" t="s">
        <v>12067</v>
      </c>
    </row>
    <row r="16335" spans="1:8" ht="25.05" customHeight="1" x14ac:dyDescent="0.25">
      <c r="A16335" s="2" t="s">
        <v>8</v>
      </c>
      <c r="B16335" s="2" t="str">
        <f>HYPERLINK("http://ts.21cn.com/tousu/show/id/1348074","押金退款困难")</f>
        <v>押金退款困难</v>
      </c>
      <c r="C16335" s="2" t="s">
        <v>9</v>
      </c>
      <c r="D16335" s="2" t="s">
        <v>10</v>
      </c>
      <c r="E16335" s="2" t="str">
        <f>HYPERLINK("http://ts.21cn.com/tousu/show/id/1348074","http://ts.21cn.com/tousu/show/id/1348074")</f>
        <v>http://ts.21cn.com/tousu/show/id/1348074</v>
      </c>
      <c r="F16335" s="2" t="s">
        <v>11</v>
      </c>
      <c r="G16335" s="2" t="s">
        <v>12066</v>
      </c>
      <c r="H16335" s="2" t="s">
        <v>12068</v>
      </c>
    </row>
    <row r="16336" spans="1:8" ht="25.05" customHeight="1" x14ac:dyDescent="0.25">
      <c r="A16336" s="2" t="s">
        <v>8</v>
      </c>
      <c r="B16336" s="2" t="str">
        <f>HYPERLINK("http://ts.21cn.com/tousu/show/id/1348069","滴滴金融滴水贷系统问题导致手动还款失败，显示逾期")</f>
        <v>滴滴金融滴水贷系统问题导致手动还款失败，显示逾期</v>
      </c>
      <c r="C16336" s="2" t="s">
        <v>9</v>
      </c>
      <c r="D16336" s="2" t="s">
        <v>10</v>
      </c>
      <c r="E16336" s="2" t="str">
        <f>HYPERLINK("http://ts.21cn.com/tousu/show/id/1348069","http://ts.21cn.com/tousu/show/id/1348069")</f>
        <v>http://ts.21cn.com/tousu/show/id/1348069</v>
      </c>
      <c r="F16336" s="2" t="s">
        <v>11</v>
      </c>
      <c r="G16336" s="2" t="s">
        <v>12064</v>
      </c>
      <c r="H16336" s="2" t="s">
        <v>12065</v>
      </c>
    </row>
    <row r="16337" spans="1:8" ht="25.05" customHeight="1" x14ac:dyDescent="0.25">
      <c r="A16337" s="2" t="s">
        <v>8</v>
      </c>
      <c r="B16337" s="2" t="str">
        <f>HYPERLINK("http://ts.21cn.com/tousu/show/id/1348073","糯米贷瞬瞬服务态度超级差。说话超级拽！")</f>
        <v>糯米贷瞬瞬服务态度超级差。说话超级拽！</v>
      </c>
      <c r="C16337" s="2" t="s">
        <v>9</v>
      </c>
      <c r="D16337" s="2" t="s">
        <v>10</v>
      </c>
      <c r="E16337" s="2" t="str">
        <f>HYPERLINK("http://ts.21cn.com/tousu/show/id/1348073","http://ts.21cn.com/tousu/show/id/1348073")</f>
        <v>http://ts.21cn.com/tousu/show/id/1348073</v>
      </c>
      <c r="F16337" s="2" t="s">
        <v>11</v>
      </c>
      <c r="G16337" s="2" t="s">
        <v>12062</v>
      </c>
      <c r="H16337" s="2" t="s">
        <v>12063</v>
      </c>
    </row>
    <row r="16338" spans="1:8" ht="25.05" customHeight="1" x14ac:dyDescent="0.25">
      <c r="A16338" s="2" t="s">
        <v>8</v>
      </c>
      <c r="B16338" s="2" t="str">
        <f>HYPERLINK("http://ts.21cn.com/tousu/show/id/1347740","高利贷714左右钱包")</f>
        <v>高利贷714左右钱包</v>
      </c>
      <c r="C16338" s="2" t="s">
        <v>9</v>
      </c>
      <c r="D16338" s="2" t="s">
        <v>10</v>
      </c>
      <c r="E16338" s="2" t="str">
        <f>HYPERLINK("http://ts.21cn.com/tousu/show/id/1347740","http://ts.21cn.com/tousu/show/id/1347740")</f>
        <v>http://ts.21cn.com/tousu/show/id/1347740</v>
      </c>
      <c r="F16338" s="2" t="s">
        <v>11</v>
      </c>
      <c r="G16338" s="2" t="s">
        <v>12060</v>
      </c>
      <c r="H16338" s="2" t="s">
        <v>12061</v>
      </c>
    </row>
    <row r="16339" spans="1:8" ht="25.05" customHeight="1" x14ac:dyDescent="0.25">
      <c r="A16339" s="2" t="s">
        <v>8</v>
      </c>
      <c r="B16339" s="2" t="str">
        <f>HYPERLINK("http://ts.21cn.com/tousu/show/id/1348075","泄露个人隐私，暴力催收")</f>
        <v>泄露个人隐私，暴力催收</v>
      </c>
      <c r="C16339" s="2" t="s">
        <v>9</v>
      </c>
      <c r="D16339" s="2" t="s">
        <v>10</v>
      </c>
      <c r="E16339" s="2" t="str">
        <f>HYPERLINK("http://ts.21cn.com/tousu/show/id/1348075","http://ts.21cn.com/tousu/show/id/1348075")</f>
        <v>http://ts.21cn.com/tousu/show/id/1348075</v>
      </c>
      <c r="F16339" s="2" t="s">
        <v>11</v>
      </c>
      <c r="G16339" s="2" t="s">
        <v>12058</v>
      </c>
      <c r="H16339" s="2" t="s">
        <v>12059</v>
      </c>
    </row>
    <row r="16340" spans="1:8" ht="25.05" customHeight="1" x14ac:dyDescent="0.25">
      <c r="A16340" s="2" t="s">
        <v>8</v>
      </c>
      <c r="B16340" s="2" t="str">
        <f>HYPERLINK("http://ts.21cn.com/tousu/show/id/1348077","新浪微博钱包存在暴力催收情况，轰炸通讯录")</f>
        <v>新浪微博钱包存在暴力催收情况，轰炸通讯录</v>
      </c>
      <c r="C16340" s="2" t="s">
        <v>9</v>
      </c>
      <c r="D16340" s="2" t="s">
        <v>10</v>
      </c>
      <c r="E16340" s="2" t="str">
        <f>HYPERLINK("http://ts.21cn.com/tousu/show/id/1348077","http://ts.21cn.com/tousu/show/id/1348077")</f>
        <v>http://ts.21cn.com/tousu/show/id/1348077</v>
      </c>
      <c r="F16340" s="2" t="s">
        <v>11</v>
      </c>
      <c r="G16340" s="2" t="s">
        <v>12056</v>
      </c>
      <c r="H16340" s="2" t="s">
        <v>12057</v>
      </c>
    </row>
    <row r="16341" spans="1:8" ht="25.05" customHeight="1" x14ac:dyDescent="0.25">
      <c r="A16341" s="2" t="s">
        <v>8</v>
      </c>
      <c r="B16341" s="2" t="str">
        <f>HYPERLINK("http://ts.21cn.com/tousu/show/id/1348078","招联暴力催收")</f>
        <v>招联暴力催收</v>
      </c>
      <c r="C16341" s="2" t="s">
        <v>9</v>
      </c>
      <c r="D16341" s="2" t="s">
        <v>10</v>
      </c>
      <c r="E16341" s="2" t="str">
        <f>HYPERLINK("http://ts.21cn.com/tousu/show/id/1348078","http://ts.21cn.com/tousu/show/id/1348078")</f>
        <v>http://ts.21cn.com/tousu/show/id/1348078</v>
      </c>
      <c r="F16341" s="2" t="s">
        <v>11</v>
      </c>
      <c r="G16341" s="2" t="s">
        <v>12054</v>
      </c>
      <c r="H16341" s="2" t="s">
        <v>12055</v>
      </c>
    </row>
    <row r="16342" spans="1:8" ht="25.05" customHeight="1" x14ac:dyDescent="0.25">
      <c r="A16342" s="2" t="s">
        <v>8</v>
      </c>
      <c r="B16342" s="2" t="str">
        <f>HYPERLINK("http://ts.21cn.com/tousu/show/id/1348079","来这分期砍头利息高利贷")</f>
        <v>来这分期砍头利息高利贷</v>
      </c>
      <c r="C16342" s="2" t="s">
        <v>9</v>
      </c>
      <c r="D16342" s="2" t="s">
        <v>10</v>
      </c>
      <c r="E16342" s="2" t="str">
        <f>HYPERLINK("http://ts.21cn.com/tousu/show/id/1348079","http://ts.21cn.com/tousu/show/id/1348079")</f>
        <v>http://ts.21cn.com/tousu/show/id/1348079</v>
      </c>
      <c r="F16342" s="2" t="s">
        <v>11</v>
      </c>
      <c r="G16342" s="2" t="s">
        <v>12052</v>
      </c>
      <c r="H16342" s="2" t="s">
        <v>12053</v>
      </c>
    </row>
    <row r="16343" spans="1:8" ht="25.05" customHeight="1" x14ac:dyDescent="0.25">
      <c r="A16343" s="2" t="s">
        <v>8</v>
      </c>
      <c r="B16343" s="2" t="str">
        <f>HYPERLINK("http://ts.21cn.com/tousu/show/id/1348080","小赢卡贷电话轰炸暴力催收")</f>
        <v>小赢卡贷电话轰炸暴力催收</v>
      </c>
      <c r="C16343" s="2" t="s">
        <v>9</v>
      </c>
      <c r="D16343" s="2" t="s">
        <v>10</v>
      </c>
      <c r="E16343" s="2" t="str">
        <f>HYPERLINK("http://ts.21cn.com/tousu/show/id/1348080","http://ts.21cn.com/tousu/show/id/1348080")</f>
        <v>http://ts.21cn.com/tousu/show/id/1348080</v>
      </c>
      <c r="F16343" s="2" t="s">
        <v>11</v>
      </c>
      <c r="G16343" s="2" t="s">
        <v>12050</v>
      </c>
      <c r="H16343" s="2" t="s">
        <v>12051</v>
      </c>
    </row>
    <row r="16344" spans="1:8" ht="25.05" customHeight="1" x14ac:dyDescent="0.25">
      <c r="A16344" s="2" t="s">
        <v>8</v>
      </c>
      <c r="B16344" s="2" t="str">
        <f>HYPERLINK("http://ts.21cn.com/tousu/show/id/1348081","银行卡里的钱莫名其妙的被扣")</f>
        <v>银行卡里的钱莫名其妙的被扣</v>
      </c>
      <c r="C16344" s="2" t="s">
        <v>34</v>
      </c>
      <c r="D16344" s="2" t="s">
        <v>10</v>
      </c>
      <c r="E16344" s="2" t="str">
        <f>HYPERLINK("http://ts.21cn.com/tousu/show/id/1348081","http://ts.21cn.com/tousu/show/id/1348081")</f>
        <v>http://ts.21cn.com/tousu/show/id/1348081</v>
      </c>
      <c r="F16344" s="2" t="s">
        <v>11</v>
      </c>
      <c r="G16344" s="2" t="s">
        <v>12048</v>
      </c>
      <c r="H16344" s="2" t="s">
        <v>12049</v>
      </c>
    </row>
    <row r="16345" spans="1:8" ht="25.05" customHeight="1" x14ac:dyDescent="0.25">
      <c r="A16345" s="2" t="s">
        <v>8</v>
      </c>
      <c r="B16345" s="2" t="str">
        <f>HYPERLINK("http://ts.21cn.com/tousu/show/id/1348083","采用不文明侮辱性催收")</f>
        <v>采用不文明侮辱性催收</v>
      </c>
      <c r="C16345" s="2" t="s">
        <v>9</v>
      </c>
      <c r="D16345" s="2" t="s">
        <v>10</v>
      </c>
      <c r="E16345" s="2" t="str">
        <f>HYPERLINK("http://ts.21cn.com/tousu/show/id/1348083","http://ts.21cn.com/tousu/show/id/1348083")</f>
        <v>http://ts.21cn.com/tousu/show/id/1348083</v>
      </c>
      <c r="F16345" s="2" t="s">
        <v>11</v>
      </c>
      <c r="G16345" s="2" t="s">
        <v>12046</v>
      </c>
      <c r="H16345" s="2" t="s">
        <v>12047</v>
      </c>
    </row>
    <row r="16346" spans="1:8" ht="25.05" customHeight="1" x14ac:dyDescent="0.25">
      <c r="A16346" s="2" t="s">
        <v>8</v>
      </c>
      <c r="B16346" s="2" t="str">
        <f>HYPERLINK("http://ts.21cn.com/tousu/show/id/1348084","玩物得志平台霸王条款")</f>
        <v>玩物得志平台霸王条款</v>
      </c>
      <c r="C16346" s="2" t="s">
        <v>9</v>
      </c>
      <c r="D16346" s="2" t="s">
        <v>10</v>
      </c>
      <c r="E16346" s="2" t="str">
        <f>HYPERLINK("http://ts.21cn.com/tousu/show/id/1348084","http://ts.21cn.com/tousu/show/id/1348084")</f>
        <v>http://ts.21cn.com/tousu/show/id/1348084</v>
      </c>
      <c r="F16346" s="2" t="s">
        <v>11</v>
      </c>
      <c r="G16346" s="2" t="s">
        <v>12044</v>
      </c>
      <c r="H16346" s="2" t="s">
        <v>12045</v>
      </c>
    </row>
    <row r="16347" spans="1:8" ht="25.05" customHeight="1" x14ac:dyDescent="0.25">
      <c r="A16347" s="2" t="s">
        <v>8</v>
      </c>
      <c r="B16347" s="2" t="str">
        <f>HYPERLINK("http://ts.21cn.com/tousu/show/id/1348086","华夏保险同佰仟金融发放高利贷")</f>
        <v>华夏保险同佰仟金融发放高利贷</v>
      </c>
      <c r="C16347" s="2" t="s">
        <v>9</v>
      </c>
      <c r="D16347" s="2" t="s">
        <v>10</v>
      </c>
      <c r="E16347" s="2" t="str">
        <f>HYPERLINK("http://ts.21cn.com/tousu/show/id/1348086","http://ts.21cn.com/tousu/show/id/1348086")</f>
        <v>http://ts.21cn.com/tousu/show/id/1348086</v>
      </c>
      <c r="F16347" s="2" t="s">
        <v>11</v>
      </c>
      <c r="G16347" s="2" t="s">
        <v>12042</v>
      </c>
      <c r="H16347" s="2" t="s">
        <v>12043</v>
      </c>
    </row>
    <row r="16348" spans="1:8" ht="25.05" customHeight="1" x14ac:dyDescent="0.25">
      <c r="A16348" s="2" t="s">
        <v>8</v>
      </c>
      <c r="B16348" s="2" t="str">
        <f>HYPERLINK("http://ts.21cn.com/tousu/show/id/1348088","旗下聚福分期APP在没有同意购买的情况下强制扣")</f>
        <v>旗下聚福分期APP在没有同意购买的情况下强制扣</v>
      </c>
      <c r="C16348" s="2" t="s">
        <v>9</v>
      </c>
      <c r="D16348" s="2" t="s">
        <v>10</v>
      </c>
      <c r="E16348" s="2" t="str">
        <f>HYPERLINK("http://ts.21cn.com/tousu/show/id/1348088","http://ts.21cn.com/tousu/show/id/1348088")</f>
        <v>http://ts.21cn.com/tousu/show/id/1348088</v>
      </c>
      <c r="F16348" s="2" t="s">
        <v>11</v>
      </c>
      <c r="G16348" s="2" t="s">
        <v>12040</v>
      </c>
      <c r="H16348" s="2" t="s">
        <v>12041</v>
      </c>
    </row>
    <row r="16349" spans="1:8" ht="25.05" customHeight="1" x14ac:dyDescent="0.25">
      <c r="A16349" s="2" t="s">
        <v>8</v>
      </c>
      <c r="B16349" s="2" t="str">
        <f>HYPERLINK("http://ts.21cn.com/tousu/show/id/1348091","尚辅堂家教在收取信息费后家教方拖延许久不确定是否需要家教中介不退还全部收取费用")</f>
        <v>尚辅堂家教在收取信息费后家教方拖延许久不确定是否需要家教中介不退还全部收取费用</v>
      </c>
      <c r="C16349" s="2" t="s">
        <v>9</v>
      </c>
      <c r="D16349" s="2" t="s">
        <v>10</v>
      </c>
      <c r="E16349" s="2" t="str">
        <f>HYPERLINK("http://ts.21cn.com/tousu/show/id/1348091","http://ts.21cn.com/tousu/show/id/1348091")</f>
        <v>http://ts.21cn.com/tousu/show/id/1348091</v>
      </c>
      <c r="F16349" s="2" t="s">
        <v>11</v>
      </c>
      <c r="G16349" s="2" t="s">
        <v>12038</v>
      </c>
      <c r="H16349" s="2" t="s">
        <v>12039</v>
      </c>
    </row>
    <row r="16350" spans="1:8" ht="25.05" customHeight="1" x14ac:dyDescent="0.25">
      <c r="A16350" s="2" t="s">
        <v>8</v>
      </c>
      <c r="B16350" s="2" t="str">
        <f>HYPERLINK("http://ts.21cn.com/tousu/show/id/1348090","爱上街714高炮非法砍头息")</f>
        <v>爱上街714高炮非法砍头息</v>
      </c>
      <c r="C16350" s="2" t="s">
        <v>9</v>
      </c>
      <c r="D16350" s="2" t="s">
        <v>10</v>
      </c>
      <c r="E16350" s="2" t="str">
        <f>HYPERLINK("http://ts.21cn.com/tousu/show/id/1348090","http://ts.21cn.com/tousu/show/id/1348090")</f>
        <v>http://ts.21cn.com/tousu/show/id/1348090</v>
      </c>
      <c r="F16350" s="2" t="s">
        <v>11</v>
      </c>
      <c r="G16350" s="2" t="s">
        <v>12036</v>
      </c>
      <c r="H16350" s="2" t="s">
        <v>9104</v>
      </c>
    </row>
    <row r="16351" spans="1:8" ht="25.05" customHeight="1" x14ac:dyDescent="0.25">
      <c r="A16351" s="2" t="s">
        <v>8</v>
      </c>
      <c r="B16351" s="2" t="str">
        <f>HYPERLINK("http://ts.21cn.com/tousu/show/id/1348089","来用app套路贷平台，暴力催收")</f>
        <v>来用app套路贷平台，暴力催收</v>
      </c>
      <c r="C16351" s="2" t="s">
        <v>9</v>
      </c>
      <c r="D16351" s="2" t="s">
        <v>10</v>
      </c>
      <c r="E16351" s="2" t="str">
        <f>HYPERLINK("http://ts.21cn.com/tousu/show/id/1348089","http://ts.21cn.com/tousu/show/id/1348089")</f>
        <v>http://ts.21cn.com/tousu/show/id/1348089</v>
      </c>
      <c r="F16351" s="2" t="s">
        <v>11</v>
      </c>
      <c r="G16351" s="2" t="s">
        <v>12036</v>
      </c>
      <c r="H16351" s="2" t="s">
        <v>12037</v>
      </c>
    </row>
    <row r="16352" spans="1:8" ht="25.05" customHeight="1" x14ac:dyDescent="0.25">
      <c r="A16352" s="2" t="s">
        <v>8</v>
      </c>
      <c r="B16352" s="2" t="str">
        <f>HYPERLINK("http://ts.21cn.com/tousu/show/id/1348092","叉叉ipa精灵不退款,退款难")</f>
        <v>叉叉ipa精灵不退款,退款难</v>
      </c>
      <c r="C16352" s="2" t="s">
        <v>9</v>
      </c>
      <c r="D16352" s="2" t="s">
        <v>10</v>
      </c>
      <c r="E16352" s="2" t="str">
        <f>HYPERLINK("http://ts.21cn.com/tousu/show/id/1348092","http://ts.21cn.com/tousu/show/id/1348092")</f>
        <v>http://ts.21cn.com/tousu/show/id/1348092</v>
      </c>
      <c r="F16352" s="2" t="s">
        <v>11</v>
      </c>
      <c r="G16352" s="2" t="s">
        <v>12034</v>
      </c>
      <c r="H16352" s="2" t="s">
        <v>12035</v>
      </c>
    </row>
    <row r="16353" spans="1:8" ht="25.05" customHeight="1" x14ac:dyDescent="0.25">
      <c r="A16353" s="2" t="s">
        <v>8</v>
      </c>
      <c r="B16353" s="2" t="str">
        <f>HYPERLINK("http://ts.21cn.com/tousu/show/id/1348093","Zaraapp官方退货后，长达一个多月不予处理退款")</f>
        <v>Zaraapp官方退货后，长达一个多月不予处理退款</v>
      </c>
      <c r="C16353" s="2" t="s">
        <v>9</v>
      </c>
      <c r="D16353" s="2" t="s">
        <v>10</v>
      </c>
      <c r="E16353" s="2" t="str">
        <f>HYPERLINK("http://ts.21cn.com/tousu/show/id/1348093","http://ts.21cn.com/tousu/show/id/1348093")</f>
        <v>http://ts.21cn.com/tousu/show/id/1348093</v>
      </c>
      <c r="F16353" s="2" t="s">
        <v>11</v>
      </c>
      <c r="G16353" s="2" t="s">
        <v>12032</v>
      </c>
      <c r="H16353" s="2" t="s">
        <v>12033</v>
      </c>
    </row>
    <row r="16354" spans="1:8" ht="25.05" customHeight="1" x14ac:dyDescent="0.25">
      <c r="A16354" s="2" t="s">
        <v>8</v>
      </c>
      <c r="B16354" s="2" t="str">
        <f>HYPERLINK("http://ts.21cn.com/tousu/show/id/1348094","闪电借款暴力催收")</f>
        <v>闪电借款暴力催收</v>
      </c>
      <c r="C16354" s="2" t="s">
        <v>9</v>
      </c>
      <c r="D16354" s="2" t="s">
        <v>10</v>
      </c>
      <c r="E16354" s="2" t="str">
        <f>HYPERLINK("http://ts.21cn.com/tousu/show/id/1348094","http://ts.21cn.com/tousu/show/id/1348094")</f>
        <v>http://ts.21cn.com/tousu/show/id/1348094</v>
      </c>
      <c r="F16354" s="2" t="s">
        <v>11</v>
      </c>
      <c r="G16354" s="2" t="s">
        <v>12030</v>
      </c>
      <c r="H16354" s="2" t="s">
        <v>12031</v>
      </c>
    </row>
    <row r="16355" spans="1:8" ht="25.05" customHeight="1" x14ac:dyDescent="0.25">
      <c r="A16355" s="2" t="s">
        <v>8</v>
      </c>
      <c r="B16355" s="2" t="str">
        <f>HYPERLINK("http://ts.21cn.com/tousu/show/id/1348095","要求协商还款并取消征信问题")</f>
        <v>要求协商还款并取消征信问题</v>
      </c>
      <c r="C16355" s="2" t="s">
        <v>9</v>
      </c>
      <c r="D16355" s="2" t="s">
        <v>10</v>
      </c>
      <c r="E16355" s="2" t="str">
        <f>HYPERLINK("http://ts.21cn.com/tousu/show/id/1348095","http://ts.21cn.com/tousu/show/id/1348095")</f>
        <v>http://ts.21cn.com/tousu/show/id/1348095</v>
      </c>
      <c r="F16355" s="2" t="s">
        <v>11</v>
      </c>
      <c r="G16355" s="2" t="s">
        <v>12028</v>
      </c>
      <c r="H16355" s="2" t="s">
        <v>12029</v>
      </c>
    </row>
    <row r="16356" spans="1:8" ht="25.05" customHeight="1" x14ac:dyDescent="0.25">
      <c r="A16356" s="2" t="s">
        <v>8</v>
      </c>
      <c r="B16356" s="2" t="str">
        <f>HYPERLINK("http://ts.21cn.com/tousu/show/id/1348072","滴滴欺诈我买车现在单子不派")</f>
        <v>滴滴欺诈我买车现在单子不派</v>
      </c>
      <c r="C16356" s="2" t="s">
        <v>9</v>
      </c>
      <c r="D16356" s="2" t="s">
        <v>10</v>
      </c>
      <c r="E16356" s="2" t="str">
        <f>HYPERLINK("http://ts.21cn.com/tousu/show/id/1348072","http://ts.21cn.com/tousu/show/id/1348072")</f>
        <v>http://ts.21cn.com/tousu/show/id/1348072</v>
      </c>
      <c r="F16356" s="2" t="s">
        <v>11</v>
      </c>
      <c r="G16356" s="2" t="s">
        <v>12026</v>
      </c>
      <c r="H16356" s="2" t="s">
        <v>12027</v>
      </c>
    </row>
    <row r="16357" spans="1:8" ht="25.05" customHeight="1" x14ac:dyDescent="0.25">
      <c r="A16357" s="2" t="s">
        <v>8</v>
      </c>
      <c r="B16357" s="2" t="str">
        <f>HYPERLINK("http://ts.21cn.com/tousu/show/id/1348096","小花钱包暴力催收")</f>
        <v>小花钱包暴力催收</v>
      </c>
      <c r="C16357" s="2" t="s">
        <v>9</v>
      </c>
      <c r="D16357" s="2" t="s">
        <v>10</v>
      </c>
      <c r="E16357" s="2" t="str">
        <f>HYPERLINK("http://ts.21cn.com/tousu/show/id/1348096","http://ts.21cn.com/tousu/show/id/1348096")</f>
        <v>http://ts.21cn.com/tousu/show/id/1348096</v>
      </c>
      <c r="F16357" s="2" t="s">
        <v>11</v>
      </c>
      <c r="G16357" s="2" t="s">
        <v>12024</v>
      </c>
      <c r="H16357" s="2" t="s">
        <v>12025</v>
      </c>
    </row>
    <row r="16358" spans="1:8" ht="25.05" customHeight="1" x14ac:dyDescent="0.25">
      <c r="A16358" s="2" t="s">
        <v>8</v>
      </c>
      <c r="B16358" s="2" t="str">
        <f>HYPERLINK("http://ts.21cn.com/tousu/show/id/1348098","未经过我允许扣除我卡中296元")</f>
        <v>未经过我允许扣除我卡中296元</v>
      </c>
      <c r="C16358" s="2" t="s">
        <v>9</v>
      </c>
      <c r="D16358" s="2" t="s">
        <v>10</v>
      </c>
      <c r="E16358" s="2" t="str">
        <f>HYPERLINK("http://ts.21cn.com/tousu/show/id/1348098","http://ts.21cn.com/tousu/show/id/1348098")</f>
        <v>http://ts.21cn.com/tousu/show/id/1348098</v>
      </c>
      <c r="F16358" s="2" t="s">
        <v>11</v>
      </c>
      <c r="G16358" s="2" t="s">
        <v>12022</v>
      </c>
      <c r="H16358" s="2" t="s">
        <v>12023</v>
      </c>
    </row>
    <row r="16359" spans="1:8" ht="25.05" customHeight="1" x14ac:dyDescent="0.25">
      <c r="A16359" s="2" t="s">
        <v>8</v>
      </c>
      <c r="B16359" s="2" t="str">
        <f>HYPERLINK("http://ts.21cn.com/tousu/show/id/1348097","闪银套路贷")</f>
        <v>闪银套路贷</v>
      </c>
      <c r="C16359" s="2" t="s">
        <v>9</v>
      </c>
      <c r="D16359" s="2" t="s">
        <v>10</v>
      </c>
      <c r="E16359" s="2" t="str">
        <f>HYPERLINK("http://ts.21cn.com/tousu/show/id/1348097","http://ts.21cn.com/tousu/show/id/1348097")</f>
        <v>http://ts.21cn.com/tousu/show/id/1348097</v>
      </c>
      <c r="F16359" s="2" t="s">
        <v>11</v>
      </c>
      <c r="G16359" s="2" t="s">
        <v>12020</v>
      </c>
      <c r="H16359" s="2" t="s">
        <v>12021</v>
      </c>
    </row>
    <row r="16360" spans="1:8" ht="25.05" customHeight="1" x14ac:dyDescent="0.25">
      <c r="A16360" s="2" t="s">
        <v>8</v>
      </c>
      <c r="B16360" s="2" t="str">
        <f>HYPERLINK("http://ts.21cn.com/tousu/show/id/1348099","我在交易猫购买账号应为卖家原因未成功，而交易猫却不退款")</f>
        <v>我在交易猫购买账号应为卖家原因未成功，而交易猫却不退款</v>
      </c>
      <c r="C16360" s="2" t="s">
        <v>9</v>
      </c>
      <c r="D16360" s="2" t="s">
        <v>10</v>
      </c>
      <c r="E16360" s="2" t="str">
        <f>HYPERLINK("http://ts.21cn.com/tousu/show/id/1348099","http://ts.21cn.com/tousu/show/id/1348099")</f>
        <v>http://ts.21cn.com/tousu/show/id/1348099</v>
      </c>
      <c r="F16360" s="2" t="s">
        <v>11</v>
      </c>
      <c r="G16360" s="2" t="s">
        <v>12018</v>
      </c>
      <c r="H16360" s="2" t="s">
        <v>12019</v>
      </c>
    </row>
    <row r="16361" spans="1:8" ht="25.05" customHeight="1" x14ac:dyDescent="0.25">
      <c r="A16361" s="2" t="s">
        <v>8</v>
      </c>
      <c r="B16361" s="2" t="str">
        <f>HYPERLINK("http://ts.21cn.com/tousu/show/id/1348100","借3700六十天还5843")</f>
        <v>借3700六十天还5843</v>
      </c>
      <c r="C16361" s="2" t="s">
        <v>34</v>
      </c>
      <c r="D16361" s="2" t="s">
        <v>10</v>
      </c>
      <c r="E16361" s="2" t="str">
        <f>HYPERLINK("http://ts.21cn.com/tousu/show/id/1348100","http://ts.21cn.com/tousu/show/id/1348100")</f>
        <v>http://ts.21cn.com/tousu/show/id/1348100</v>
      </c>
      <c r="F16361" s="2" t="s">
        <v>11</v>
      </c>
      <c r="G16361" s="2" t="s">
        <v>12016</v>
      </c>
      <c r="H16361" s="2" t="s">
        <v>12017</v>
      </c>
    </row>
    <row r="16362" spans="1:8" ht="25.05" customHeight="1" x14ac:dyDescent="0.25">
      <c r="A16362" s="2" t="s">
        <v>8</v>
      </c>
      <c r="B16362" s="2" t="str">
        <f>HYPERLINK("http://ts.21cn.com/tousu/show/id/1348101","莫名其妙从我银行卡里扣钱")</f>
        <v>莫名其妙从我银行卡里扣钱</v>
      </c>
      <c r="C16362" s="2" t="s">
        <v>34</v>
      </c>
      <c r="D16362" s="2" t="s">
        <v>10</v>
      </c>
      <c r="E16362" s="2" t="str">
        <f>HYPERLINK("http://ts.21cn.com/tousu/show/id/1348101","http://ts.21cn.com/tousu/show/id/1348101")</f>
        <v>http://ts.21cn.com/tousu/show/id/1348101</v>
      </c>
      <c r="F16362" s="2" t="s">
        <v>11</v>
      </c>
      <c r="G16362" s="2" t="s">
        <v>12014</v>
      </c>
      <c r="H16362" s="2" t="s">
        <v>12015</v>
      </c>
    </row>
    <row r="16363" spans="1:8" ht="25.05" customHeight="1" x14ac:dyDescent="0.25">
      <c r="A16363" s="2" t="s">
        <v>8</v>
      </c>
      <c r="B16363" s="2" t="str">
        <f>HYPERLINK("http://ts.21cn.com/tousu/show/id/1348103","王者钱包非法高利贷")</f>
        <v>王者钱包非法高利贷</v>
      </c>
      <c r="C16363" s="2" t="s">
        <v>9</v>
      </c>
      <c r="D16363" s="2" t="s">
        <v>10</v>
      </c>
      <c r="E16363" s="2" t="str">
        <f>HYPERLINK("http://ts.21cn.com/tousu/show/id/1348103","http://ts.21cn.com/tousu/show/id/1348103")</f>
        <v>http://ts.21cn.com/tousu/show/id/1348103</v>
      </c>
      <c r="F16363" s="2" t="s">
        <v>11</v>
      </c>
      <c r="G16363" s="2" t="s">
        <v>12012</v>
      </c>
      <c r="H16363" s="2" t="s">
        <v>12013</v>
      </c>
    </row>
    <row r="16364" spans="1:8" ht="25.05" customHeight="1" x14ac:dyDescent="0.25">
      <c r="A16364" s="2" t="s">
        <v>8</v>
      </c>
      <c r="B16364" s="2" t="str">
        <f>HYPERLINK("http://ts.21cn.com/tousu/show/id/1348104","东莞市轻奢维体健身房第二次无缘无故关门，老板跑路")</f>
        <v>东莞市轻奢维体健身房第二次无缘无故关门，老板跑路</v>
      </c>
      <c r="C16364" s="2" t="s">
        <v>9</v>
      </c>
      <c r="D16364" s="2" t="s">
        <v>10</v>
      </c>
      <c r="E16364" s="2" t="str">
        <f>HYPERLINK("http://ts.21cn.com/tousu/show/id/1348104","http://ts.21cn.com/tousu/show/id/1348104")</f>
        <v>http://ts.21cn.com/tousu/show/id/1348104</v>
      </c>
      <c r="F16364" s="2" t="s">
        <v>11</v>
      </c>
      <c r="G16364" s="2" t="s">
        <v>12010</v>
      </c>
      <c r="H16364" s="2" t="s">
        <v>12011</v>
      </c>
    </row>
    <row r="16365" spans="1:8" ht="25.05" customHeight="1" x14ac:dyDescent="0.25">
      <c r="A16365" s="2" t="s">
        <v>8</v>
      </c>
      <c r="B16365" s="2" t="str">
        <f>HYPERLINK("http://ts.21cn.com/tousu/show/id/1348082","聚富分期合私自扣费")</f>
        <v>聚富分期合私自扣费</v>
      </c>
      <c r="C16365" s="2" t="s">
        <v>9</v>
      </c>
      <c r="D16365" s="2" t="s">
        <v>10</v>
      </c>
      <c r="E16365" s="2" t="str">
        <f>HYPERLINK("http://ts.21cn.com/tousu/show/id/1348082","http://ts.21cn.com/tousu/show/id/1348082")</f>
        <v>http://ts.21cn.com/tousu/show/id/1348082</v>
      </c>
      <c r="F16365" s="2" t="s">
        <v>11</v>
      </c>
      <c r="G16365" s="2" t="s">
        <v>12008</v>
      </c>
      <c r="H16365" s="2" t="s">
        <v>12009</v>
      </c>
    </row>
    <row r="16366" spans="1:8" ht="25.05" customHeight="1" x14ac:dyDescent="0.25">
      <c r="A16366" s="2" t="s">
        <v>8</v>
      </c>
      <c r="B16366" s="2" t="str">
        <f>HYPERLINK("http://ts.21cn.com/tousu/show/id/1348105","退还咨询费")</f>
        <v>退还咨询费</v>
      </c>
      <c r="C16366" s="2" t="s">
        <v>9</v>
      </c>
      <c r="D16366" s="2" t="s">
        <v>10</v>
      </c>
      <c r="E16366" s="2" t="str">
        <f>HYPERLINK("http://ts.21cn.com/tousu/show/id/1348105","http://ts.21cn.com/tousu/show/id/1348105")</f>
        <v>http://ts.21cn.com/tousu/show/id/1348105</v>
      </c>
      <c r="F16366" s="2" t="s">
        <v>11</v>
      </c>
      <c r="G16366" s="2" t="s">
        <v>12006</v>
      </c>
      <c r="H16366" s="2" t="s">
        <v>12007</v>
      </c>
    </row>
    <row r="16367" spans="1:8" ht="25.05" customHeight="1" x14ac:dyDescent="0.25">
      <c r="A16367" s="2" t="s">
        <v>8</v>
      </c>
      <c r="B16367" s="2" t="str">
        <f>HYPERLINK("http://ts.21cn.com/tousu/show/id/1348109","立借高利贷高利息")</f>
        <v>立借高利贷高利息</v>
      </c>
      <c r="C16367" s="2" t="s">
        <v>9</v>
      </c>
      <c r="D16367" s="2" t="s">
        <v>10</v>
      </c>
      <c r="E16367" s="2" t="str">
        <f>HYPERLINK("http://ts.21cn.com/tousu/show/id/1348109","http://ts.21cn.com/tousu/show/id/1348109")</f>
        <v>http://ts.21cn.com/tousu/show/id/1348109</v>
      </c>
      <c r="F16367" s="2" t="s">
        <v>11</v>
      </c>
      <c r="G16367" s="2" t="s">
        <v>12004</v>
      </c>
      <c r="H16367" s="2" t="s">
        <v>12005</v>
      </c>
    </row>
    <row r="16368" spans="1:8" ht="25.05" customHeight="1" x14ac:dyDescent="0.25">
      <c r="A16368" s="2" t="s">
        <v>8</v>
      </c>
      <c r="B16368" s="2" t="str">
        <f>HYPERLINK("http://ts.21cn.com/tousu/show/id/1348108","暴力催收骚扰亲朋好友")</f>
        <v>暴力催收骚扰亲朋好友</v>
      </c>
      <c r="C16368" s="2" t="s">
        <v>9</v>
      </c>
      <c r="D16368" s="2" t="s">
        <v>10</v>
      </c>
      <c r="E16368" s="2" t="str">
        <f>HYPERLINK("http://ts.21cn.com/tousu/show/id/1348108","http://ts.21cn.com/tousu/show/id/1348108")</f>
        <v>http://ts.21cn.com/tousu/show/id/1348108</v>
      </c>
      <c r="F16368" s="2" t="s">
        <v>11</v>
      </c>
      <c r="G16368" s="2" t="s">
        <v>12002</v>
      </c>
      <c r="H16368" s="2" t="s">
        <v>12003</v>
      </c>
    </row>
    <row r="16369" spans="1:8" ht="25.05" customHeight="1" x14ac:dyDescent="0.25">
      <c r="A16369" s="2" t="s">
        <v>8</v>
      </c>
      <c r="B16369" s="2" t="str">
        <f>HYPERLINK("http://ts.21cn.com/tousu/show/id/1348110","造艺科技旗下的聚富分期恶意收取299元，信征查询费，要求退回299元，客服不处理")</f>
        <v>造艺科技旗下的聚富分期恶意收取299元，信征查询费，要求退回299元，客服不处理</v>
      </c>
      <c r="C16369" s="2" t="s">
        <v>9</v>
      </c>
      <c r="D16369" s="2" t="s">
        <v>10</v>
      </c>
      <c r="E16369" s="2" t="str">
        <f>HYPERLINK("http://ts.21cn.com/tousu/show/id/1348110","http://ts.21cn.com/tousu/show/id/1348110")</f>
        <v>http://ts.21cn.com/tousu/show/id/1348110</v>
      </c>
      <c r="F16369" s="2" t="s">
        <v>11</v>
      </c>
      <c r="G16369" s="2" t="s">
        <v>12000</v>
      </c>
      <c r="H16369" s="2" t="s">
        <v>12001</v>
      </c>
    </row>
    <row r="16370" spans="1:8" ht="25.05" customHeight="1" x14ac:dyDescent="0.25">
      <c r="A16370" s="2" t="s">
        <v>8</v>
      </c>
      <c r="B16370" s="2" t="str">
        <f>HYPERLINK("http://ts.21cn.com/tousu/show/id/1348111","拍拍贷爆个人通迅录隐私")</f>
        <v>拍拍贷爆个人通迅录隐私</v>
      </c>
      <c r="C16370" s="2" t="s">
        <v>9</v>
      </c>
      <c r="D16370" s="2" t="s">
        <v>10</v>
      </c>
      <c r="E16370" s="2" t="str">
        <f>HYPERLINK("http://ts.21cn.com/tousu/show/id/1348111","http://ts.21cn.com/tousu/show/id/1348111")</f>
        <v>http://ts.21cn.com/tousu/show/id/1348111</v>
      </c>
      <c r="F16370" s="2" t="s">
        <v>11</v>
      </c>
      <c r="G16370" s="2" t="s">
        <v>11998</v>
      </c>
      <c r="H16370" s="2" t="s">
        <v>11999</v>
      </c>
    </row>
    <row r="16371" spans="1:8" ht="25.05" customHeight="1" x14ac:dyDescent="0.25">
      <c r="A16371" s="2" t="s">
        <v>8</v>
      </c>
      <c r="B16371" s="2" t="str">
        <f>HYPERLINK("http://ts.21cn.com/tousu/show/id/1348112","造艺科技阴阳合同")</f>
        <v>造艺科技阴阳合同</v>
      </c>
      <c r="C16371" s="2" t="s">
        <v>9</v>
      </c>
      <c r="D16371" s="2" t="s">
        <v>10</v>
      </c>
      <c r="E16371" s="2" t="str">
        <f>HYPERLINK("http://ts.21cn.com/tousu/show/id/1348112","http://ts.21cn.com/tousu/show/id/1348112")</f>
        <v>http://ts.21cn.com/tousu/show/id/1348112</v>
      </c>
      <c r="F16371" s="2" t="s">
        <v>11</v>
      </c>
      <c r="G16371" s="2" t="s">
        <v>11996</v>
      </c>
      <c r="H16371" s="2" t="s">
        <v>11997</v>
      </c>
    </row>
    <row r="16372" spans="1:8" ht="25.05" customHeight="1" x14ac:dyDescent="0.25">
      <c r="A16372" s="2" t="s">
        <v>8</v>
      </c>
      <c r="B16372" s="2" t="str">
        <f>HYPERLINK("http://ts.21cn.com/tousu/show/id/1348113","拍拍贷多次电话骚扰家人")</f>
        <v>拍拍贷多次电话骚扰家人</v>
      </c>
      <c r="C16372" s="2" t="s">
        <v>9</v>
      </c>
      <c r="D16372" s="2" t="s">
        <v>10</v>
      </c>
      <c r="E16372" s="2" t="str">
        <f>HYPERLINK("http://ts.21cn.com/tousu/show/id/1348113","http://ts.21cn.com/tousu/show/id/1348113")</f>
        <v>http://ts.21cn.com/tousu/show/id/1348113</v>
      </c>
      <c r="F16372" s="2" t="s">
        <v>11</v>
      </c>
      <c r="G16372" s="2" t="s">
        <v>11994</v>
      </c>
      <c r="H16372" s="2" t="s">
        <v>11995</v>
      </c>
    </row>
    <row r="16373" spans="1:8" ht="25.05" customHeight="1" x14ac:dyDescent="0.25">
      <c r="A16373" s="2" t="s">
        <v>8</v>
      </c>
      <c r="B16373" s="2" t="str">
        <f>HYPERLINK("http://ts.21cn.com/tousu/show/id/1348114","辱骂客户")</f>
        <v>辱骂客户</v>
      </c>
      <c r="C16373" s="2" t="s">
        <v>9</v>
      </c>
      <c r="D16373" s="2" t="s">
        <v>10</v>
      </c>
      <c r="E16373" s="2" t="str">
        <f>HYPERLINK("http://ts.21cn.com/tousu/show/id/1348114","http://ts.21cn.com/tousu/show/id/1348114")</f>
        <v>http://ts.21cn.com/tousu/show/id/1348114</v>
      </c>
      <c r="F16373" s="2" t="s">
        <v>11</v>
      </c>
      <c r="G16373" s="2" t="s">
        <v>11992</v>
      </c>
      <c r="H16373" s="2" t="s">
        <v>11993</v>
      </c>
    </row>
    <row r="16374" spans="1:8" ht="25.05" customHeight="1" x14ac:dyDescent="0.25">
      <c r="A16374" s="2" t="s">
        <v>8</v>
      </c>
      <c r="B16374" s="2" t="str">
        <f>HYPERLINK("http://ts.21cn.com/tousu/show/id/1348115","银河互联网电视有限公司乱扣费")</f>
        <v>银河互联网电视有限公司乱扣费</v>
      </c>
      <c r="C16374" s="2" t="s">
        <v>9</v>
      </c>
      <c r="D16374" s="2" t="s">
        <v>10</v>
      </c>
      <c r="E16374" s="2" t="str">
        <f>HYPERLINK("http://ts.21cn.com/tousu/show/id/1348115","http://ts.21cn.com/tousu/show/id/1348115")</f>
        <v>http://ts.21cn.com/tousu/show/id/1348115</v>
      </c>
      <c r="F16374" s="2" t="s">
        <v>11</v>
      </c>
      <c r="G16374" s="2" t="s">
        <v>11990</v>
      </c>
      <c r="H16374" s="2" t="s">
        <v>11991</v>
      </c>
    </row>
    <row r="16375" spans="1:8" ht="25.05" customHeight="1" x14ac:dyDescent="0.25">
      <c r="A16375" s="2" t="s">
        <v>8</v>
      </c>
      <c r="B16375" s="2" t="str">
        <f>HYPERLINK("http://ts.21cn.com/tousu/show/id/1348116","转转集体投诉专题")</f>
        <v>转转集体投诉专题</v>
      </c>
      <c r="C16375" s="2" t="s">
        <v>9</v>
      </c>
      <c r="D16375" s="2" t="s">
        <v>10</v>
      </c>
      <c r="E16375" s="2" t="str">
        <f>HYPERLINK("http://ts.21cn.com/tousu/show/id/1348116","http://ts.21cn.com/tousu/show/id/1348116")</f>
        <v>http://ts.21cn.com/tousu/show/id/1348116</v>
      </c>
      <c r="F16375" s="2" t="s">
        <v>11</v>
      </c>
      <c r="G16375" s="2" t="s">
        <v>11988</v>
      </c>
      <c r="H16375" s="2" t="s">
        <v>11989</v>
      </c>
    </row>
    <row r="16376" spans="1:8" ht="25.05" customHeight="1" x14ac:dyDescent="0.25">
      <c r="A16376" s="2" t="s">
        <v>8</v>
      </c>
      <c r="B16376" s="2" t="str">
        <f>HYPERLINK("http://ts.21cn.com/tousu/show/id/1348117","好几年没联系的客户欠钱给我打电话催债")</f>
        <v>好几年没联系的客户欠钱给我打电话催债</v>
      </c>
      <c r="C16376" s="2" t="s">
        <v>9</v>
      </c>
      <c r="D16376" s="2" t="s">
        <v>10</v>
      </c>
      <c r="E16376" s="2" t="str">
        <f>HYPERLINK("http://ts.21cn.com/tousu/show/id/1348117","http://ts.21cn.com/tousu/show/id/1348117")</f>
        <v>http://ts.21cn.com/tousu/show/id/1348117</v>
      </c>
      <c r="F16376" s="2" t="s">
        <v>11</v>
      </c>
      <c r="G16376" s="2" t="s">
        <v>11986</v>
      </c>
      <c r="H16376" s="2" t="s">
        <v>11987</v>
      </c>
    </row>
    <row r="16377" spans="1:8" ht="25.05" customHeight="1" x14ac:dyDescent="0.25">
      <c r="A16377" s="2" t="s">
        <v>8</v>
      </c>
      <c r="B16377" s="2" t="str">
        <f>HYPERLINK("http://ts.21cn.com/tousu/show/id/1348118","你我贷爆通讯录")</f>
        <v>你我贷爆通讯录</v>
      </c>
      <c r="C16377" s="2" t="s">
        <v>9</v>
      </c>
      <c r="D16377" s="2" t="s">
        <v>10</v>
      </c>
      <c r="E16377" s="2" t="str">
        <f>HYPERLINK("http://ts.21cn.com/tousu/show/id/1348118","http://ts.21cn.com/tousu/show/id/1348118")</f>
        <v>http://ts.21cn.com/tousu/show/id/1348118</v>
      </c>
      <c r="F16377" s="2" t="s">
        <v>11</v>
      </c>
      <c r="G16377" s="2" t="s">
        <v>11984</v>
      </c>
      <c r="H16377" s="2" t="s">
        <v>11985</v>
      </c>
    </row>
    <row r="16378" spans="1:8" ht="25.05" customHeight="1" x14ac:dyDescent="0.25">
      <c r="A16378" s="2" t="s">
        <v>8</v>
      </c>
      <c r="B16378" s="2" t="str">
        <f>HYPERLINK("http://ts.21cn.com/tousu/show/id/1348119","深圳新航商务，销售人员随意承诺，公司无法提供服务，要求退款")</f>
        <v>深圳新航商务，销售人员随意承诺，公司无法提供服务，要求退款</v>
      </c>
      <c r="C16378" s="2" t="s">
        <v>9</v>
      </c>
      <c r="D16378" s="2" t="s">
        <v>10</v>
      </c>
      <c r="E16378" s="2" t="str">
        <f>HYPERLINK("http://ts.21cn.com/tousu/show/id/1348119","http://ts.21cn.com/tousu/show/id/1348119")</f>
        <v>http://ts.21cn.com/tousu/show/id/1348119</v>
      </c>
      <c r="F16378" s="2" t="s">
        <v>11</v>
      </c>
      <c r="G16378" s="2" t="s">
        <v>11982</v>
      </c>
      <c r="H16378" s="2" t="s">
        <v>11983</v>
      </c>
    </row>
    <row r="16379" spans="1:8" ht="25.05" customHeight="1" x14ac:dyDescent="0.25">
      <c r="A16379" s="2" t="s">
        <v>8</v>
      </c>
      <c r="B16379" s="2" t="str">
        <f>HYPERLINK("http://ts.21cn.com/tousu/show/id/1348120","滴滴出行霸王条款，跟报价完全不符合")</f>
        <v>滴滴出行霸王条款，跟报价完全不符合</v>
      </c>
      <c r="C16379" s="2" t="s">
        <v>9</v>
      </c>
      <c r="D16379" s="2" t="s">
        <v>10</v>
      </c>
      <c r="E16379" s="2" t="str">
        <f>HYPERLINK("http://ts.21cn.com/tousu/show/id/1348120","http://ts.21cn.com/tousu/show/id/1348120")</f>
        <v>http://ts.21cn.com/tousu/show/id/1348120</v>
      </c>
      <c r="F16379" s="2" t="s">
        <v>11</v>
      </c>
      <c r="G16379" s="2" t="s">
        <v>11980</v>
      </c>
      <c r="H16379" s="2" t="s">
        <v>11981</v>
      </c>
    </row>
    <row r="16380" spans="1:8" ht="25.05" customHeight="1" x14ac:dyDescent="0.25">
      <c r="A16380" s="2" t="s">
        <v>8</v>
      </c>
      <c r="B16380" s="2" t="str">
        <f>HYPERLINK("http://ts.21cn.com/tousu/show/id/1348122","闪银的恶意催收")</f>
        <v>闪银的恶意催收</v>
      </c>
      <c r="C16380" s="2" t="s">
        <v>9</v>
      </c>
      <c r="D16380" s="2" t="s">
        <v>10</v>
      </c>
      <c r="E16380" s="2" t="str">
        <f>HYPERLINK("http://ts.21cn.com/tousu/show/id/1348122","http://ts.21cn.com/tousu/show/id/1348122")</f>
        <v>http://ts.21cn.com/tousu/show/id/1348122</v>
      </c>
      <c r="F16380" s="2" t="s">
        <v>11</v>
      </c>
      <c r="G16380" s="2" t="s">
        <v>11978</v>
      </c>
      <c r="H16380" s="2" t="s">
        <v>11979</v>
      </c>
    </row>
    <row r="16381" spans="1:8" ht="25.05" customHeight="1" x14ac:dyDescent="0.25">
      <c r="A16381" s="2" t="s">
        <v>8</v>
      </c>
      <c r="B16381" s="2" t="str">
        <f>HYPERLINK("http://ts.21cn.com/tousu/show/id/1348123","停止骚扰恶意催收")</f>
        <v>停止骚扰恶意催收</v>
      </c>
      <c r="C16381" s="2" t="s">
        <v>9</v>
      </c>
      <c r="D16381" s="2" t="s">
        <v>10</v>
      </c>
      <c r="E16381" s="2" t="str">
        <f>HYPERLINK("http://ts.21cn.com/tousu/show/id/1348123","http://ts.21cn.com/tousu/show/id/1348123")</f>
        <v>http://ts.21cn.com/tousu/show/id/1348123</v>
      </c>
      <c r="F16381" s="2" t="s">
        <v>11</v>
      </c>
      <c r="G16381" s="2" t="s">
        <v>11976</v>
      </c>
      <c r="H16381" s="2" t="s">
        <v>11977</v>
      </c>
    </row>
    <row r="16382" spans="1:8" ht="25.05" customHeight="1" x14ac:dyDescent="0.25">
      <c r="A16382" s="2" t="s">
        <v>8</v>
      </c>
      <c r="B16382" s="2" t="str">
        <f>HYPERLINK("http://ts.21cn.com/tousu/show/id/1348124","小浦优客无故扣款")</f>
        <v>小浦优客无故扣款</v>
      </c>
      <c r="C16382" s="2" t="s">
        <v>34</v>
      </c>
      <c r="D16382" s="2" t="s">
        <v>10</v>
      </c>
      <c r="E16382" s="2" t="str">
        <f>HYPERLINK("http://ts.21cn.com/tousu/show/id/1348124","http://ts.21cn.com/tousu/show/id/1348124")</f>
        <v>http://ts.21cn.com/tousu/show/id/1348124</v>
      </c>
      <c r="F16382" s="2" t="s">
        <v>11</v>
      </c>
      <c r="G16382" s="2" t="s">
        <v>11974</v>
      </c>
      <c r="H16382" s="2" t="s">
        <v>11975</v>
      </c>
    </row>
    <row r="16383" spans="1:8" ht="25.05" customHeight="1" x14ac:dyDescent="0.25">
      <c r="A16383" s="2" t="s">
        <v>8</v>
      </c>
      <c r="B16383" s="2" t="str">
        <f>HYPERLINK("http://ts.21cn.com/tousu/show/id/1348125","时光分期协商减免超额利息")</f>
        <v>时光分期协商减免超额利息</v>
      </c>
      <c r="C16383" s="2" t="s">
        <v>34</v>
      </c>
      <c r="D16383" s="2" t="s">
        <v>10</v>
      </c>
      <c r="E16383" s="2" t="str">
        <f>HYPERLINK("http://ts.21cn.com/tousu/show/id/1348125","http://ts.21cn.com/tousu/show/id/1348125")</f>
        <v>http://ts.21cn.com/tousu/show/id/1348125</v>
      </c>
      <c r="F16383" s="2" t="s">
        <v>11</v>
      </c>
      <c r="G16383" s="2" t="s">
        <v>11972</v>
      </c>
      <c r="H16383" s="2" t="s">
        <v>11973</v>
      </c>
    </row>
    <row r="16384" spans="1:8" ht="25.05" customHeight="1" x14ac:dyDescent="0.25">
      <c r="A16384" s="2" t="s">
        <v>8</v>
      </c>
      <c r="B16384" s="2" t="str">
        <f>HYPERLINK("http://ts.21cn.com/tousu/show/id/1348051","自考恒企教育不予退款")</f>
        <v>自考恒企教育不予退款</v>
      </c>
      <c r="C16384" s="2" t="s">
        <v>9</v>
      </c>
      <c r="D16384" s="2" t="s">
        <v>10</v>
      </c>
      <c r="E16384" s="2" t="str">
        <f>HYPERLINK("http://ts.21cn.com/tousu/show/id/1348051","http://ts.21cn.com/tousu/show/id/1348051")</f>
        <v>http://ts.21cn.com/tousu/show/id/1348051</v>
      </c>
      <c r="F16384" s="2" t="s">
        <v>11</v>
      </c>
      <c r="G16384" s="2" t="s">
        <v>11970</v>
      </c>
      <c r="H16384" s="2" t="s">
        <v>11971</v>
      </c>
    </row>
    <row r="16385" spans="1:8" ht="25.05" customHeight="1" x14ac:dyDescent="0.25">
      <c r="A16385" s="2" t="s">
        <v>8</v>
      </c>
      <c r="B16385" s="2" t="str">
        <f>HYPERLINK("http://ts.21cn.com/tousu/show/id/1348126","滴滴出行黑心赚取血汗钱")</f>
        <v>滴滴出行黑心赚取血汗钱</v>
      </c>
      <c r="C16385" s="2" t="s">
        <v>9</v>
      </c>
      <c r="D16385" s="2" t="s">
        <v>10</v>
      </c>
      <c r="E16385" s="2" t="str">
        <f>HYPERLINK("http://ts.21cn.com/tousu/show/id/1348126","http://ts.21cn.com/tousu/show/id/1348126")</f>
        <v>http://ts.21cn.com/tousu/show/id/1348126</v>
      </c>
      <c r="F16385" s="2" t="s">
        <v>11</v>
      </c>
      <c r="G16385" s="2" t="s">
        <v>11968</v>
      </c>
      <c r="H16385" s="2" t="s">
        <v>11969</v>
      </c>
    </row>
    <row r="16386" spans="1:8" ht="25.05" customHeight="1" x14ac:dyDescent="0.25">
      <c r="A16386" s="2" t="s">
        <v>8</v>
      </c>
      <c r="B16386" s="2" t="str">
        <f>HYPERLINK("http://ts.21cn.com/tousu/show/id/1348127","就晚了一天就产生了违约金")</f>
        <v>就晚了一天就产生了违约金</v>
      </c>
      <c r="C16386" s="2" t="s">
        <v>9</v>
      </c>
      <c r="D16386" s="2" t="s">
        <v>10</v>
      </c>
      <c r="E16386" s="2" t="str">
        <f>HYPERLINK("http://ts.21cn.com/tousu/show/id/1348127","http://ts.21cn.com/tousu/show/id/1348127")</f>
        <v>http://ts.21cn.com/tousu/show/id/1348127</v>
      </c>
      <c r="F16386" s="2" t="s">
        <v>11</v>
      </c>
      <c r="G16386" s="2" t="s">
        <v>11966</v>
      </c>
      <c r="H16386" s="2" t="s">
        <v>11967</v>
      </c>
    </row>
    <row r="16387" spans="1:8" ht="25.05" customHeight="1" x14ac:dyDescent="0.25">
      <c r="A16387" s="2" t="s">
        <v>8</v>
      </c>
      <c r="B16387" s="2" t="str">
        <f>HYPERLINK("http://ts.21cn.com/tousu/show/id/1348128","网贷")</f>
        <v>网贷</v>
      </c>
      <c r="C16387" s="2" t="s">
        <v>34</v>
      </c>
      <c r="D16387" s="2" t="s">
        <v>10</v>
      </c>
      <c r="E16387" s="2" t="str">
        <f>HYPERLINK("http://ts.21cn.com/tousu/show/id/1348128","http://ts.21cn.com/tousu/show/id/1348128")</f>
        <v>http://ts.21cn.com/tousu/show/id/1348128</v>
      </c>
      <c r="F16387" s="2" t="s">
        <v>11</v>
      </c>
      <c r="G16387" s="2" t="s">
        <v>11964</v>
      </c>
      <c r="H16387" s="2" t="s">
        <v>11965</v>
      </c>
    </row>
    <row r="16388" spans="1:8" ht="25.05" customHeight="1" x14ac:dyDescent="0.25">
      <c r="A16388" s="2" t="s">
        <v>8</v>
      </c>
      <c r="B16388" s="2" t="str">
        <f>HYPERLINK("http://ts.21cn.com/tousu/show/id/1348130","停止对家人的骚扰")</f>
        <v>停止对家人的骚扰</v>
      </c>
      <c r="C16388" s="2" t="s">
        <v>9</v>
      </c>
      <c r="D16388" s="2" t="s">
        <v>10</v>
      </c>
      <c r="E16388" s="2" t="str">
        <f>HYPERLINK("http://ts.21cn.com/tousu/show/id/1348130","http://ts.21cn.com/tousu/show/id/1348130")</f>
        <v>http://ts.21cn.com/tousu/show/id/1348130</v>
      </c>
      <c r="F16388" s="2" t="s">
        <v>11</v>
      </c>
      <c r="G16388" s="2" t="s">
        <v>11962</v>
      </c>
      <c r="H16388" s="2" t="s">
        <v>11963</v>
      </c>
    </row>
    <row r="16389" spans="1:8" ht="25.05" customHeight="1" x14ac:dyDescent="0.25">
      <c r="A16389" s="2" t="s">
        <v>8</v>
      </c>
      <c r="B16389" s="2" t="str">
        <f>HYPERLINK("http://ts.21cn.com/tousu/show/id/1348132","快钱为高利贷提供通道")</f>
        <v>快钱为高利贷提供通道</v>
      </c>
      <c r="C16389" s="2" t="s">
        <v>9</v>
      </c>
      <c r="D16389" s="2" t="s">
        <v>10</v>
      </c>
      <c r="E16389" s="2" t="str">
        <f>HYPERLINK("http://ts.21cn.com/tousu/show/id/1348132","http://ts.21cn.com/tousu/show/id/1348132")</f>
        <v>http://ts.21cn.com/tousu/show/id/1348132</v>
      </c>
      <c r="F16389" s="2" t="s">
        <v>11</v>
      </c>
      <c r="G16389" s="2" t="s">
        <v>11960</v>
      </c>
      <c r="H16389" s="2" t="s">
        <v>11961</v>
      </c>
    </row>
    <row r="16390" spans="1:8" ht="25.05" customHeight="1" x14ac:dyDescent="0.25">
      <c r="A16390" s="2" t="s">
        <v>8</v>
      </c>
      <c r="B16390" s="2" t="str">
        <f>HYPERLINK("http://ts.21cn.com/tousu/show/id/1348134","PPmoney暴力催收砍头息阴阳合同")</f>
        <v>PPmoney暴力催收砍头息阴阳合同</v>
      </c>
      <c r="C16390" s="2" t="s">
        <v>9</v>
      </c>
      <c r="D16390" s="2" t="s">
        <v>10</v>
      </c>
      <c r="E16390" s="2" t="str">
        <f>HYPERLINK("http://ts.21cn.com/tousu/show/id/1348134","http://ts.21cn.com/tousu/show/id/1348134")</f>
        <v>http://ts.21cn.com/tousu/show/id/1348134</v>
      </c>
      <c r="F16390" s="2" t="s">
        <v>11</v>
      </c>
      <c r="G16390" s="2" t="s">
        <v>11958</v>
      </c>
      <c r="H16390" s="2" t="s">
        <v>11959</v>
      </c>
    </row>
    <row r="16391" spans="1:8" ht="25.05" customHeight="1" x14ac:dyDescent="0.25">
      <c r="A16391" s="2" t="s">
        <v>8</v>
      </c>
      <c r="B16391" s="2" t="str">
        <f>HYPERLINK("http://ts.21cn.com/tousu/show/id/1348135","买单侠结清证明")</f>
        <v>买单侠结清证明</v>
      </c>
      <c r="C16391" s="2" t="s">
        <v>34</v>
      </c>
      <c r="D16391" s="2" t="s">
        <v>10</v>
      </c>
      <c r="E16391" s="2" t="str">
        <f>HYPERLINK("http://ts.21cn.com/tousu/show/id/1348135","http://ts.21cn.com/tousu/show/id/1348135")</f>
        <v>http://ts.21cn.com/tousu/show/id/1348135</v>
      </c>
      <c r="F16391" s="2" t="s">
        <v>11</v>
      </c>
      <c r="G16391" s="2" t="s">
        <v>11956</v>
      </c>
      <c r="H16391" s="2" t="s">
        <v>11957</v>
      </c>
    </row>
    <row r="16392" spans="1:8" ht="25.05" customHeight="1" x14ac:dyDescent="0.25">
      <c r="A16392" s="2" t="s">
        <v>8</v>
      </c>
      <c r="B16392" s="2" t="str">
        <f>HYPERLINK("http://ts.21cn.com/tousu/show/id/1348138","东莞市轻奢维体健身房第二次无缘无故关门，老板跑路")</f>
        <v>东莞市轻奢维体健身房第二次无缘无故关门，老板跑路</v>
      </c>
      <c r="C16392" s="2" t="s">
        <v>9</v>
      </c>
      <c r="D16392" s="2" t="s">
        <v>10</v>
      </c>
      <c r="E16392" s="2" t="str">
        <f>HYPERLINK("http://ts.21cn.com/tousu/show/id/1348138","http://ts.21cn.com/tousu/show/id/1348138")</f>
        <v>http://ts.21cn.com/tousu/show/id/1348138</v>
      </c>
      <c r="F16392" s="2" t="s">
        <v>11</v>
      </c>
      <c r="G16392" s="2" t="s">
        <v>11954</v>
      </c>
      <c r="H16392" s="2" t="s">
        <v>11955</v>
      </c>
    </row>
    <row r="16393" spans="1:8" ht="25.05" customHeight="1" x14ac:dyDescent="0.25">
      <c r="A16393" s="2" t="s">
        <v>8</v>
      </c>
      <c r="B16393" s="2" t="str">
        <f>HYPERLINK("http://ts.21cn.com/tousu/show/id/1348136","左右钱包高利贷，暴力催收")</f>
        <v>左右钱包高利贷，暴力催收</v>
      </c>
      <c r="C16393" s="2" t="s">
        <v>9</v>
      </c>
      <c r="D16393" s="2" t="s">
        <v>10</v>
      </c>
      <c r="E16393" s="2" t="str">
        <f>HYPERLINK("http://ts.21cn.com/tousu/show/id/1348136","http://ts.21cn.com/tousu/show/id/1348136")</f>
        <v>http://ts.21cn.com/tousu/show/id/1348136</v>
      </c>
      <c r="F16393" s="2" t="s">
        <v>11</v>
      </c>
      <c r="G16393" s="2" t="s">
        <v>11952</v>
      </c>
      <c r="H16393" s="2" t="s">
        <v>11953</v>
      </c>
    </row>
    <row r="16394" spans="1:8" ht="25.05" customHeight="1" x14ac:dyDescent="0.25">
      <c r="A16394" s="2" t="s">
        <v>8</v>
      </c>
      <c r="B16394" s="2" t="str">
        <f>HYPERLINK("http://ts.21cn.com/tousu/show/id/1348137","折疯了海淘卖假货不承认不退款")</f>
        <v>折疯了海淘卖假货不承认不退款</v>
      </c>
      <c r="C16394" s="2" t="s">
        <v>9</v>
      </c>
      <c r="D16394" s="2" t="s">
        <v>10</v>
      </c>
      <c r="E16394" s="2" t="str">
        <f>HYPERLINK("http://ts.21cn.com/tousu/show/id/1348137","http://ts.21cn.com/tousu/show/id/1348137")</f>
        <v>http://ts.21cn.com/tousu/show/id/1348137</v>
      </c>
      <c r="F16394" s="2" t="s">
        <v>11</v>
      </c>
      <c r="G16394" s="2" t="s">
        <v>11950</v>
      </c>
      <c r="H16394" s="2" t="s">
        <v>11951</v>
      </c>
    </row>
    <row r="16395" spans="1:8" ht="25.05" customHeight="1" x14ac:dyDescent="0.25">
      <c r="A16395" s="2" t="s">
        <v>8</v>
      </c>
      <c r="B16395" s="2" t="str">
        <f>HYPERLINK("http://ts.21cn.com/tousu/show/id/1348140","功夫英语达不到宣传效果")</f>
        <v>功夫英语达不到宣传效果</v>
      </c>
      <c r="C16395" s="2" t="s">
        <v>9</v>
      </c>
      <c r="D16395" s="2" t="s">
        <v>10</v>
      </c>
      <c r="E16395" s="2" t="str">
        <f>HYPERLINK("http://ts.21cn.com/tousu/show/id/1348140","http://ts.21cn.com/tousu/show/id/1348140")</f>
        <v>http://ts.21cn.com/tousu/show/id/1348140</v>
      </c>
      <c r="F16395" s="2" t="s">
        <v>11</v>
      </c>
      <c r="G16395" s="2" t="s">
        <v>11948</v>
      </c>
      <c r="H16395" s="2" t="s">
        <v>11949</v>
      </c>
    </row>
    <row r="16396" spans="1:8" ht="25.05" customHeight="1" x14ac:dyDescent="0.25">
      <c r="A16396" s="2" t="s">
        <v>8</v>
      </c>
      <c r="B16396" s="2" t="str">
        <f>HYPERLINK("http://ts.21cn.com/tousu/show/id/1348142","钱金金变相高利贷，非法收取砍头息，易宝支付助纣为虐，提供非法交易渠道")</f>
        <v>钱金金变相高利贷，非法收取砍头息，易宝支付助纣为虐，提供非法交易渠道</v>
      </c>
      <c r="C16396" s="2" t="s">
        <v>9</v>
      </c>
      <c r="D16396" s="2" t="s">
        <v>10</v>
      </c>
      <c r="E16396" s="2" t="str">
        <f>HYPERLINK("http://ts.21cn.com/tousu/show/id/1348142","http://ts.21cn.com/tousu/show/id/1348142")</f>
        <v>http://ts.21cn.com/tousu/show/id/1348142</v>
      </c>
      <c r="F16396" s="2" t="s">
        <v>11</v>
      </c>
      <c r="G16396" s="2" t="s">
        <v>11946</v>
      </c>
      <c r="H16396" s="2" t="s">
        <v>11947</v>
      </c>
    </row>
    <row r="16397" spans="1:8" ht="25.05" customHeight="1" x14ac:dyDescent="0.25">
      <c r="A16397" s="2" t="s">
        <v>8</v>
      </c>
      <c r="B16397" s="2" t="str">
        <f>HYPERLINK("http://ts.21cn.com/tousu/show/id/1348143","无任何提示就扣钱")</f>
        <v>无任何提示就扣钱</v>
      </c>
      <c r="C16397" s="2" t="s">
        <v>34</v>
      </c>
      <c r="D16397" s="2" t="s">
        <v>10</v>
      </c>
      <c r="E16397" s="2" t="str">
        <f>HYPERLINK("http://ts.21cn.com/tousu/show/id/1348143","http://ts.21cn.com/tousu/show/id/1348143")</f>
        <v>http://ts.21cn.com/tousu/show/id/1348143</v>
      </c>
      <c r="F16397" s="2" t="s">
        <v>11</v>
      </c>
      <c r="G16397" s="2" t="s">
        <v>11944</v>
      </c>
      <c r="H16397" s="2" t="s">
        <v>11945</v>
      </c>
    </row>
    <row r="16398" spans="1:8" ht="25.05" customHeight="1" x14ac:dyDescent="0.25">
      <c r="A16398" s="2" t="s">
        <v>8</v>
      </c>
      <c r="B16398" s="2" t="str">
        <f>HYPERLINK("http://ts.21cn.com/tousu/show/id/1348144","苏宁任性付说好走法律流程还是一直在骚扰")</f>
        <v>苏宁任性付说好走法律流程还是一直在骚扰</v>
      </c>
      <c r="C16398" s="2" t="s">
        <v>9</v>
      </c>
      <c r="D16398" s="2" t="s">
        <v>10</v>
      </c>
      <c r="E16398" s="2" t="str">
        <f>HYPERLINK("http://ts.21cn.com/tousu/show/id/1348144","http://ts.21cn.com/tousu/show/id/1348144")</f>
        <v>http://ts.21cn.com/tousu/show/id/1348144</v>
      </c>
      <c r="F16398" s="2" t="s">
        <v>11</v>
      </c>
      <c r="G16398" s="2" t="s">
        <v>11942</v>
      </c>
      <c r="H16398" s="2" t="s">
        <v>11943</v>
      </c>
    </row>
    <row r="16399" spans="1:8" ht="25.05" customHeight="1" x14ac:dyDescent="0.25">
      <c r="A16399" s="2" t="s">
        <v>8</v>
      </c>
      <c r="B16399" s="2" t="str">
        <f>HYPERLINK("http://ts.21cn.com/tousu/show/id/1348107","暴力催收714高炮")</f>
        <v>暴力催收714高炮</v>
      </c>
      <c r="C16399" s="2" t="s">
        <v>9</v>
      </c>
      <c r="D16399" s="2" t="s">
        <v>10</v>
      </c>
      <c r="E16399" s="2" t="str">
        <f>HYPERLINK("http://ts.21cn.com/tousu/show/id/1348107","http://ts.21cn.com/tousu/show/id/1348107")</f>
        <v>http://ts.21cn.com/tousu/show/id/1348107</v>
      </c>
      <c r="F16399" s="2" t="s">
        <v>11</v>
      </c>
      <c r="G16399" s="2" t="s">
        <v>11940</v>
      </c>
      <c r="H16399" s="2" t="s">
        <v>11941</v>
      </c>
    </row>
    <row r="16400" spans="1:8" ht="25.05" customHeight="1" x14ac:dyDescent="0.25">
      <c r="A16400" s="2" t="s">
        <v>8</v>
      </c>
      <c r="B16400" s="2" t="str">
        <f>HYPERLINK("http://ts.21cn.com/tousu/show/id/1348145","多点坑人")</f>
        <v>多点坑人</v>
      </c>
      <c r="C16400" s="2" t="s">
        <v>9</v>
      </c>
      <c r="D16400" s="2" t="s">
        <v>10</v>
      </c>
      <c r="E16400" s="2" t="str">
        <f>HYPERLINK("http://ts.21cn.com/tousu/show/id/1348145","http://ts.21cn.com/tousu/show/id/1348145")</f>
        <v>http://ts.21cn.com/tousu/show/id/1348145</v>
      </c>
      <c r="F16400" s="2" t="s">
        <v>11</v>
      </c>
      <c r="G16400" s="2" t="s">
        <v>11938</v>
      </c>
      <c r="H16400" s="2" t="s">
        <v>11939</v>
      </c>
    </row>
    <row r="16401" spans="1:8" ht="25.05" customHeight="1" x14ac:dyDescent="0.25">
      <c r="A16401" s="2" t="s">
        <v>8</v>
      </c>
      <c r="B16401" s="2" t="str">
        <f>HYPERLINK("http://ts.21cn.com/tousu/show/id/1348146","闪电借款高利贷，退还砍头息")</f>
        <v>闪电借款高利贷，退还砍头息</v>
      </c>
      <c r="C16401" s="2" t="s">
        <v>9</v>
      </c>
      <c r="D16401" s="2" t="s">
        <v>10</v>
      </c>
      <c r="E16401" s="2" t="str">
        <f>HYPERLINK("http://ts.21cn.com/tousu/show/id/1348146","http://ts.21cn.com/tousu/show/id/1348146")</f>
        <v>http://ts.21cn.com/tousu/show/id/1348146</v>
      </c>
      <c r="F16401" s="2" t="s">
        <v>11</v>
      </c>
      <c r="G16401" s="2" t="s">
        <v>11936</v>
      </c>
      <c r="H16401" s="2" t="s">
        <v>11937</v>
      </c>
    </row>
    <row r="16402" spans="1:8" ht="25.05" customHeight="1" x14ac:dyDescent="0.25">
      <c r="A16402" s="2" t="s">
        <v>8</v>
      </c>
      <c r="B16402" s="2" t="str">
        <f>HYPERLINK("http://ts.21cn.com/tousu/show/id/1348147","小象优品暴力催收")</f>
        <v>小象优品暴力催收</v>
      </c>
      <c r="C16402" s="2" t="s">
        <v>9</v>
      </c>
      <c r="D16402" s="2" t="s">
        <v>10</v>
      </c>
      <c r="E16402" s="2" t="str">
        <f>HYPERLINK("http://ts.21cn.com/tousu/show/id/1348147","http://ts.21cn.com/tousu/show/id/1348147")</f>
        <v>http://ts.21cn.com/tousu/show/id/1348147</v>
      </c>
      <c r="F16402" s="2" t="s">
        <v>11</v>
      </c>
      <c r="G16402" s="2" t="s">
        <v>11934</v>
      </c>
      <c r="H16402" s="2" t="s">
        <v>11935</v>
      </c>
    </row>
    <row r="16403" spans="1:8" ht="25.05" customHeight="1" x14ac:dyDescent="0.25">
      <c r="A16403" s="2" t="s">
        <v>8</v>
      </c>
      <c r="B16403" s="2" t="str">
        <f>HYPERLINK("http://ts.21cn.com/tousu/show/id/1348150","时光分期高额费用")</f>
        <v>时光分期高额费用</v>
      </c>
      <c r="C16403" s="2" t="s">
        <v>34</v>
      </c>
      <c r="D16403" s="2" t="s">
        <v>10</v>
      </c>
      <c r="E16403" s="2" t="str">
        <f>HYPERLINK("http://ts.21cn.com/tousu/show/id/1348150","http://ts.21cn.com/tousu/show/id/1348150")</f>
        <v>http://ts.21cn.com/tousu/show/id/1348150</v>
      </c>
      <c r="F16403" s="2" t="s">
        <v>11</v>
      </c>
      <c r="G16403" s="2" t="s">
        <v>11932</v>
      </c>
      <c r="H16403" s="2" t="s">
        <v>11933</v>
      </c>
    </row>
    <row r="16404" spans="1:8" ht="25.05" customHeight="1" x14ac:dyDescent="0.25">
      <c r="A16404" s="2" t="s">
        <v>8</v>
      </c>
      <c r="B16404" s="2" t="str">
        <f>HYPERLINK("http://ts.21cn.com/tousu/show/id/1348148","恐吓，暴力催收，威胁")</f>
        <v>恐吓，暴力催收，威胁</v>
      </c>
      <c r="C16404" s="2" t="s">
        <v>9</v>
      </c>
      <c r="D16404" s="2" t="s">
        <v>10</v>
      </c>
      <c r="E16404" s="2" t="str">
        <f>HYPERLINK("http://ts.21cn.com/tousu/show/id/1348148","http://ts.21cn.com/tousu/show/id/1348148")</f>
        <v>http://ts.21cn.com/tousu/show/id/1348148</v>
      </c>
      <c r="F16404" s="2" t="s">
        <v>11</v>
      </c>
      <c r="G16404" s="2" t="s">
        <v>11930</v>
      </c>
      <c r="H16404" s="2" t="s">
        <v>11931</v>
      </c>
    </row>
    <row r="16405" spans="1:8" ht="25.05" customHeight="1" x14ac:dyDescent="0.25">
      <c r="A16405" s="2" t="s">
        <v>8</v>
      </c>
      <c r="B16405" s="2" t="str">
        <f>HYPERLINK("http://ts.21cn.com/tousu/show/id/1348149","要求返还购货差价被拒")</f>
        <v>要求返还购货差价被拒</v>
      </c>
      <c r="C16405" s="2" t="s">
        <v>34</v>
      </c>
      <c r="D16405" s="2" t="s">
        <v>10</v>
      </c>
      <c r="E16405" s="2" t="str">
        <f>HYPERLINK("http://ts.21cn.com/tousu/show/id/1348149","http://ts.21cn.com/tousu/show/id/1348149")</f>
        <v>http://ts.21cn.com/tousu/show/id/1348149</v>
      </c>
      <c r="F16405" s="2" t="s">
        <v>11</v>
      </c>
      <c r="G16405" s="2" t="s">
        <v>11928</v>
      </c>
      <c r="H16405" s="2" t="s">
        <v>11929</v>
      </c>
    </row>
    <row r="16406" spans="1:8" ht="25.05" customHeight="1" x14ac:dyDescent="0.25">
      <c r="A16406" s="2" t="s">
        <v>8</v>
      </c>
      <c r="B16406" s="2" t="str">
        <f>HYPERLINK("http://ts.21cn.com/tousu/show/id/1348153","造艺科技欺诈扣取手续费")</f>
        <v>造艺科技欺诈扣取手续费</v>
      </c>
      <c r="C16406" s="2" t="s">
        <v>9</v>
      </c>
      <c r="D16406" s="2" t="s">
        <v>10</v>
      </c>
      <c r="E16406" s="2" t="str">
        <f>HYPERLINK("http://ts.21cn.com/tousu/show/id/1348153","http://ts.21cn.com/tousu/show/id/1348153")</f>
        <v>http://ts.21cn.com/tousu/show/id/1348153</v>
      </c>
      <c r="F16406" s="2" t="s">
        <v>11</v>
      </c>
      <c r="G16406" s="2" t="s">
        <v>11926</v>
      </c>
      <c r="H16406" s="2" t="s">
        <v>11927</v>
      </c>
    </row>
    <row r="16407" spans="1:8" ht="25.05" customHeight="1" x14ac:dyDescent="0.25">
      <c r="A16407" s="2" t="s">
        <v>8</v>
      </c>
      <c r="B16407" s="2" t="str">
        <f>HYPERLINK("http://ts.21cn.com/tousu/show/id/1348151","万达贷")</f>
        <v>万达贷</v>
      </c>
      <c r="C16407" s="2" t="s">
        <v>9</v>
      </c>
      <c r="D16407" s="2" t="s">
        <v>10</v>
      </c>
      <c r="E16407" s="2" t="str">
        <f>HYPERLINK("http://ts.21cn.com/tousu/show/id/1348151","http://ts.21cn.com/tousu/show/id/1348151")</f>
        <v>http://ts.21cn.com/tousu/show/id/1348151</v>
      </c>
      <c r="F16407" s="2" t="s">
        <v>11</v>
      </c>
      <c r="G16407" s="2" t="s">
        <v>11924</v>
      </c>
      <c r="H16407" s="2" t="s">
        <v>11925</v>
      </c>
    </row>
    <row r="16408" spans="1:8" ht="25.05" customHeight="1" x14ac:dyDescent="0.25">
      <c r="A16408" s="2" t="s">
        <v>8</v>
      </c>
      <c r="B16408" s="2" t="str">
        <f>HYPERLINK("http://ts.21cn.com/tousu/show/id/1348154","达内以招聘为由诱使学员签署高利贷学费")</f>
        <v>达内以招聘为由诱使学员签署高利贷学费</v>
      </c>
      <c r="C16408" s="2" t="s">
        <v>9</v>
      </c>
      <c r="D16408" s="2" t="s">
        <v>10</v>
      </c>
      <c r="E16408" s="2" t="str">
        <f>HYPERLINK("http://ts.21cn.com/tousu/show/id/1348154","http://ts.21cn.com/tousu/show/id/1348154")</f>
        <v>http://ts.21cn.com/tousu/show/id/1348154</v>
      </c>
      <c r="F16408" s="2" t="s">
        <v>11</v>
      </c>
      <c r="G16408" s="2" t="s">
        <v>11922</v>
      </c>
      <c r="H16408" s="2" t="s">
        <v>11923</v>
      </c>
    </row>
    <row r="16409" spans="1:8" ht="25.05" customHeight="1" x14ac:dyDescent="0.25">
      <c r="A16409" s="2" t="s">
        <v>8</v>
      </c>
      <c r="B16409" s="2" t="str">
        <f>HYPERLINK("http://ts.21cn.com/tousu/show/id/1348152","洋钱罐借款")</f>
        <v>洋钱罐借款</v>
      </c>
      <c r="C16409" s="2" t="s">
        <v>34</v>
      </c>
      <c r="D16409" s="2" t="s">
        <v>10</v>
      </c>
      <c r="E16409" s="2" t="str">
        <f>HYPERLINK("http://ts.21cn.com/tousu/show/id/1348152","http://ts.21cn.com/tousu/show/id/1348152")</f>
        <v>http://ts.21cn.com/tousu/show/id/1348152</v>
      </c>
      <c r="F16409" s="2" t="s">
        <v>11</v>
      </c>
      <c r="G16409" s="2" t="s">
        <v>11920</v>
      </c>
      <c r="H16409" s="2" t="s">
        <v>11921</v>
      </c>
    </row>
    <row r="16410" spans="1:8" ht="25.05" customHeight="1" x14ac:dyDescent="0.25">
      <c r="A16410" s="2" t="s">
        <v>8</v>
      </c>
      <c r="B16410" s="2" t="str">
        <f>HYPERLINK("http://ts.21cn.com/tousu/show/id/1348155","利息高")</f>
        <v>利息高</v>
      </c>
      <c r="C16410" s="2" t="s">
        <v>9</v>
      </c>
      <c r="D16410" s="2" t="s">
        <v>10</v>
      </c>
      <c r="E16410" s="2" t="str">
        <f>HYPERLINK("http://ts.21cn.com/tousu/show/id/1348155","http://ts.21cn.com/tousu/show/id/1348155")</f>
        <v>http://ts.21cn.com/tousu/show/id/1348155</v>
      </c>
      <c r="F16410" s="2" t="s">
        <v>11</v>
      </c>
      <c r="G16410" s="2" t="s">
        <v>11918</v>
      </c>
      <c r="H16410" s="2" t="s">
        <v>11919</v>
      </c>
    </row>
    <row r="16411" spans="1:8" ht="25.05" customHeight="1" x14ac:dyDescent="0.25">
      <c r="A16411" s="2" t="s">
        <v>8</v>
      </c>
      <c r="B16411" s="2" t="str">
        <f>HYPERLINK("http://ts.21cn.com/tousu/show/id/1348156","短期大额砍头息")</f>
        <v>短期大额砍头息</v>
      </c>
      <c r="C16411" s="2" t="s">
        <v>34</v>
      </c>
      <c r="D16411" s="2" t="s">
        <v>10</v>
      </c>
      <c r="E16411" s="2" t="str">
        <f>HYPERLINK("http://ts.21cn.com/tousu/show/id/1348156","http://ts.21cn.com/tousu/show/id/1348156")</f>
        <v>http://ts.21cn.com/tousu/show/id/1348156</v>
      </c>
      <c r="F16411" s="2" t="s">
        <v>11</v>
      </c>
      <c r="G16411" s="2" t="s">
        <v>11916</v>
      </c>
      <c r="H16411" s="2" t="s">
        <v>11917</v>
      </c>
    </row>
    <row r="16412" spans="1:8" ht="25.05" customHeight="1" x14ac:dyDescent="0.25">
      <c r="A16412" s="2" t="s">
        <v>8</v>
      </c>
      <c r="B16412" s="2" t="str">
        <f>HYPERLINK("http://ts.21cn.com/tousu/show/id/1348157","造艺科技聚福分期盗刷银行卡，当事人不知道情况下")</f>
        <v>造艺科技聚福分期盗刷银行卡，当事人不知道情况下</v>
      </c>
      <c r="C16412" s="2" t="s">
        <v>9</v>
      </c>
      <c r="D16412" s="2" t="s">
        <v>10</v>
      </c>
      <c r="E16412" s="2" t="str">
        <f>HYPERLINK("http://ts.21cn.com/tousu/show/id/1348157","http://ts.21cn.com/tousu/show/id/1348157")</f>
        <v>http://ts.21cn.com/tousu/show/id/1348157</v>
      </c>
      <c r="F16412" s="2" t="s">
        <v>11</v>
      </c>
      <c r="G16412" s="2" t="s">
        <v>11914</v>
      </c>
      <c r="H16412" s="2" t="s">
        <v>11915</v>
      </c>
    </row>
    <row r="16413" spans="1:8" ht="25.05" customHeight="1" x14ac:dyDescent="0.25">
      <c r="A16413" s="2" t="s">
        <v>8</v>
      </c>
      <c r="B16413" s="2" t="str">
        <f>HYPERLINK("http://ts.21cn.com/tousu/show/id/1348160","小浦优客app未提示扣取报告费要求退回")</f>
        <v>小浦优客app未提示扣取报告费要求退回</v>
      </c>
      <c r="C16413" s="2" t="s">
        <v>9</v>
      </c>
      <c r="D16413" s="2" t="s">
        <v>10</v>
      </c>
      <c r="E16413" s="2" t="str">
        <f>HYPERLINK("http://ts.21cn.com/tousu/show/id/1348160","http://ts.21cn.com/tousu/show/id/1348160")</f>
        <v>http://ts.21cn.com/tousu/show/id/1348160</v>
      </c>
      <c r="F16413" s="2" t="s">
        <v>11</v>
      </c>
      <c r="G16413" s="2" t="s">
        <v>11912</v>
      </c>
      <c r="H16413" s="2" t="s">
        <v>11913</v>
      </c>
    </row>
    <row r="16414" spans="1:8" ht="25.05" customHeight="1" x14ac:dyDescent="0.25">
      <c r="A16414" s="2" t="s">
        <v>8</v>
      </c>
      <c r="B16414" s="2" t="str">
        <f>HYPERLINK("http://ts.21cn.com/tousu/show/id/1348159","利率过高")</f>
        <v>利率过高</v>
      </c>
      <c r="C16414" s="2" t="s">
        <v>9</v>
      </c>
      <c r="D16414" s="2" t="s">
        <v>10</v>
      </c>
      <c r="E16414" s="2" t="str">
        <f>HYPERLINK("http://ts.21cn.com/tousu/show/id/1348159","http://ts.21cn.com/tousu/show/id/1348159")</f>
        <v>http://ts.21cn.com/tousu/show/id/1348159</v>
      </c>
      <c r="F16414" s="2" t="s">
        <v>11</v>
      </c>
      <c r="G16414" s="2" t="s">
        <v>11910</v>
      </c>
      <c r="H16414" s="2" t="s">
        <v>11911</v>
      </c>
    </row>
    <row r="16415" spans="1:8" ht="25.05" customHeight="1" x14ac:dyDescent="0.25">
      <c r="A16415" s="2" t="s">
        <v>8</v>
      </c>
      <c r="B16415" s="2" t="str">
        <f>HYPERLINK("http://ts.21cn.com/tousu/show/id/1348162","取消交易后，退款却显示失败，迟迟不到账")</f>
        <v>取消交易后，退款却显示失败，迟迟不到账</v>
      </c>
      <c r="C16415" s="2" t="s">
        <v>9</v>
      </c>
      <c r="D16415" s="2" t="s">
        <v>10</v>
      </c>
      <c r="E16415" s="2" t="str">
        <f>HYPERLINK("http://ts.21cn.com/tousu/show/id/1348162","http://ts.21cn.com/tousu/show/id/1348162")</f>
        <v>http://ts.21cn.com/tousu/show/id/1348162</v>
      </c>
      <c r="F16415" s="2" t="s">
        <v>11</v>
      </c>
      <c r="G16415" s="2" t="s">
        <v>11908</v>
      </c>
      <c r="H16415" s="2" t="s">
        <v>11909</v>
      </c>
    </row>
    <row r="16416" spans="1:8" ht="25.05" customHeight="1" x14ac:dyDescent="0.25">
      <c r="A16416" s="2" t="s">
        <v>8</v>
      </c>
      <c r="B16416" s="2" t="str">
        <f>HYPERLINK("http://ts.21cn.com/tousu/show/id/1348164","借款不给取消，利息高")</f>
        <v>借款不给取消，利息高</v>
      </c>
      <c r="C16416" s="2" t="s">
        <v>9</v>
      </c>
      <c r="D16416" s="2" t="s">
        <v>10</v>
      </c>
      <c r="E16416" s="2" t="str">
        <f>HYPERLINK("http://ts.21cn.com/tousu/show/id/1348164","http://ts.21cn.com/tousu/show/id/1348164")</f>
        <v>http://ts.21cn.com/tousu/show/id/1348164</v>
      </c>
      <c r="F16416" s="2" t="s">
        <v>11</v>
      </c>
      <c r="G16416" s="2" t="s">
        <v>11905</v>
      </c>
      <c r="H16416" s="2" t="s">
        <v>11906</v>
      </c>
    </row>
    <row r="16417" spans="1:8" ht="25.05" customHeight="1" x14ac:dyDescent="0.25">
      <c r="A16417" s="2" t="s">
        <v>8</v>
      </c>
      <c r="B16417" s="2" t="str">
        <f>HYPERLINK("http://ts.21cn.com/tousu/show/id/1348163","网贷")</f>
        <v>网贷</v>
      </c>
      <c r="C16417" s="2" t="s">
        <v>9</v>
      </c>
      <c r="D16417" s="2" t="s">
        <v>10</v>
      </c>
      <c r="E16417" s="2" t="str">
        <f>HYPERLINK("http://ts.21cn.com/tousu/show/id/1348163","http://ts.21cn.com/tousu/show/id/1348163")</f>
        <v>http://ts.21cn.com/tousu/show/id/1348163</v>
      </c>
      <c r="F16417" s="2" t="s">
        <v>11</v>
      </c>
      <c r="G16417" s="2" t="s">
        <v>11905</v>
      </c>
      <c r="H16417" s="2" t="s">
        <v>11907</v>
      </c>
    </row>
    <row r="16418" spans="1:8" ht="25.05" customHeight="1" x14ac:dyDescent="0.25">
      <c r="A16418" s="2" t="s">
        <v>8</v>
      </c>
      <c r="B16418" s="2" t="str">
        <f>HYPERLINK("http://ts.21cn.com/tousu/show/id/1348165","小浦优客app未提示扣取报告费要求全额退回")</f>
        <v>小浦优客app未提示扣取报告费要求全额退回</v>
      </c>
      <c r="C16418" s="2" t="s">
        <v>9</v>
      </c>
      <c r="D16418" s="2" t="s">
        <v>10</v>
      </c>
      <c r="E16418" s="2" t="str">
        <f>HYPERLINK("http://ts.21cn.com/tousu/show/id/1348165","http://ts.21cn.com/tousu/show/id/1348165")</f>
        <v>http://ts.21cn.com/tousu/show/id/1348165</v>
      </c>
      <c r="F16418" s="2" t="s">
        <v>11</v>
      </c>
      <c r="G16418" s="2" t="s">
        <v>11903</v>
      </c>
      <c r="H16418" s="2" t="s">
        <v>11904</v>
      </c>
    </row>
    <row r="16419" spans="1:8" ht="25.05" customHeight="1" x14ac:dyDescent="0.25">
      <c r="A16419" s="2" t="s">
        <v>8</v>
      </c>
      <c r="B16419" s="2" t="str">
        <f>HYPERLINK("http://ts.21cn.com/tousu/show/id/1348166","包银消费")</f>
        <v>包银消费</v>
      </c>
      <c r="C16419" s="2" t="s">
        <v>9</v>
      </c>
      <c r="D16419" s="2" t="s">
        <v>10</v>
      </c>
      <c r="E16419" s="2" t="str">
        <f>HYPERLINK("http://ts.21cn.com/tousu/show/id/1348166","http://ts.21cn.com/tousu/show/id/1348166")</f>
        <v>http://ts.21cn.com/tousu/show/id/1348166</v>
      </c>
      <c r="F16419" s="2" t="s">
        <v>11</v>
      </c>
      <c r="G16419" s="2" t="s">
        <v>11901</v>
      </c>
      <c r="H16419" s="2" t="s">
        <v>11902</v>
      </c>
    </row>
    <row r="16420" spans="1:8" ht="25.05" customHeight="1" x14ac:dyDescent="0.25">
      <c r="A16420" s="2" t="s">
        <v>8</v>
      </c>
      <c r="B16420" s="2" t="str">
        <f>HYPERLINK("http://ts.21cn.com/tousu/show/id/1348167","广州羽栅兰皮具有限公司套路贷，")</f>
        <v>广州羽栅兰皮具有限公司套路贷，</v>
      </c>
      <c r="C16420" s="2" t="s">
        <v>9</v>
      </c>
      <c r="D16420" s="2" t="s">
        <v>10</v>
      </c>
      <c r="E16420" s="2" t="str">
        <f>HYPERLINK("http://ts.21cn.com/tousu/show/id/1348167","http://ts.21cn.com/tousu/show/id/1348167")</f>
        <v>http://ts.21cn.com/tousu/show/id/1348167</v>
      </c>
      <c r="F16420" s="2" t="s">
        <v>11</v>
      </c>
      <c r="G16420" s="2" t="s">
        <v>11899</v>
      </c>
      <c r="H16420" s="2" t="s">
        <v>11900</v>
      </c>
    </row>
    <row r="16421" spans="1:8" ht="25.05" customHeight="1" x14ac:dyDescent="0.25">
      <c r="A16421" s="2" t="s">
        <v>8</v>
      </c>
      <c r="B16421" s="2" t="str">
        <f>HYPERLINK("http://ts.21cn.com/tousu/show/id/1348168","霸王条款")</f>
        <v>霸王条款</v>
      </c>
      <c r="C16421" s="2" t="s">
        <v>9</v>
      </c>
      <c r="D16421" s="2" t="s">
        <v>10</v>
      </c>
      <c r="E16421" s="2" t="str">
        <f>HYPERLINK("http://ts.21cn.com/tousu/show/id/1348168","http://ts.21cn.com/tousu/show/id/1348168")</f>
        <v>http://ts.21cn.com/tousu/show/id/1348168</v>
      </c>
      <c r="F16421" s="2" t="s">
        <v>11</v>
      </c>
      <c r="G16421" s="2" t="s">
        <v>11897</v>
      </c>
      <c r="H16421" s="2" t="s">
        <v>11898</v>
      </c>
    </row>
    <row r="16422" spans="1:8" ht="25.05" customHeight="1" x14ac:dyDescent="0.25">
      <c r="A16422" s="2" t="s">
        <v>8</v>
      </c>
      <c r="B16422" s="2" t="str">
        <f>HYPERLINK("http://ts.21cn.com/tousu/show/id/1348169","“立借”现金借款app，阴阳合同，高额利息。")</f>
        <v>“立借”现金借款app，阴阳合同，高额利息。</v>
      </c>
      <c r="C16422" s="2" t="s">
        <v>9</v>
      </c>
      <c r="D16422" s="2" t="s">
        <v>10</v>
      </c>
      <c r="E16422" s="2" t="str">
        <f>HYPERLINK("http://ts.21cn.com/tousu/show/id/1348169","http://ts.21cn.com/tousu/show/id/1348169")</f>
        <v>http://ts.21cn.com/tousu/show/id/1348169</v>
      </c>
      <c r="F16422" s="2" t="s">
        <v>11</v>
      </c>
      <c r="G16422" s="2" t="s">
        <v>11895</v>
      </c>
      <c r="H16422" s="2" t="s">
        <v>11896</v>
      </c>
    </row>
    <row r="16423" spans="1:8" ht="25.05" customHeight="1" x14ac:dyDescent="0.25">
      <c r="A16423" s="2" t="s">
        <v>8</v>
      </c>
      <c r="B16423" s="2" t="str">
        <f>HYPERLINK("http://ts.21cn.com/tousu/show/id/1348170","民航联盟涉嫌欺诈")</f>
        <v>民航联盟涉嫌欺诈</v>
      </c>
      <c r="C16423" s="2" t="s">
        <v>9</v>
      </c>
      <c r="D16423" s="2" t="s">
        <v>10</v>
      </c>
      <c r="E16423" s="2" t="str">
        <f>HYPERLINK("http://ts.21cn.com/tousu/show/id/1348170","http://ts.21cn.com/tousu/show/id/1348170")</f>
        <v>http://ts.21cn.com/tousu/show/id/1348170</v>
      </c>
      <c r="F16423" s="2" t="s">
        <v>11</v>
      </c>
      <c r="G16423" s="2" t="s">
        <v>11893</v>
      </c>
      <c r="H16423" s="2" t="s">
        <v>11894</v>
      </c>
    </row>
    <row r="16424" spans="1:8" ht="25.05" customHeight="1" x14ac:dyDescent="0.25">
      <c r="A16424" s="2" t="s">
        <v>8</v>
      </c>
      <c r="B16424" s="2" t="str">
        <f>HYPERLINK("http://ts.21cn.com/tousu/show/id/1348172","滴滴冒充别人身份证信息不作为，要你们客服有什么用，客服是处理问题的，是不是平台大了")</f>
        <v>滴滴冒充别人身份证信息不作为，要你们客服有什么用，客服是处理问题的，是不是平台大了</v>
      </c>
      <c r="C16424" s="2" t="s">
        <v>9</v>
      </c>
      <c r="D16424" s="2" t="s">
        <v>10</v>
      </c>
      <c r="E16424" s="2" t="str">
        <f>HYPERLINK("http://ts.21cn.com/tousu/show/id/1348172","http://ts.21cn.com/tousu/show/id/1348172")</f>
        <v>http://ts.21cn.com/tousu/show/id/1348172</v>
      </c>
      <c r="F16424" s="2" t="s">
        <v>11</v>
      </c>
      <c r="G16424" s="2" t="s">
        <v>11891</v>
      </c>
      <c r="H16424" s="2" t="s">
        <v>11892</v>
      </c>
    </row>
    <row r="16425" spans="1:8" ht="25.05" customHeight="1" x14ac:dyDescent="0.25">
      <c r="A16425" s="2" t="s">
        <v>8</v>
      </c>
      <c r="B16425" s="2" t="str">
        <f>HYPERLINK("http://ts.21cn.com/tousu/show/id/1348171","金柯贷无视暴力催收，套路贷")</f>
        <v>金柯贷无视暴力催收，套路贷</v>
      </c>
      <c r="C16425" s="2" t="s">
        <v>9</v>
      </c>
      <c r="D16425" s="2" t="s">
        <v>10</v>
      </c>
      <c r="E16425" s="2" t="str">
        <f>HYPERLINK("http://ts.21cn.com/tousu/show/id/1348171","http://ts.21cn.com/tousu/show/id/1348171")</f>
        <v>http://ts.21cn.com/tousu/show/id/1348171</v>
      </c>
      <c r="F16425" s="2" t="s">
        <v>11</v>
      </c>
      <c r="G16425" s="2" t="s">
        <v>11889</v>
      </c>
      <c r="H16425" s="2" t="s">
        <v>11890</v>
      </c>
    </row>
    <row r="16426" spans="1:8" ht="25.05" customHeight="1" x14ac:dyDescent="0.25">
      <c r="A16426" s="2" t="s">
        <v>8</v>
      </c>
      <c r="B16426" s="2" t="str">
        <f>HYPERLINK("http://ts.21cn.com/tousu/show/id/1348175","点刷结算卡解绑更换无效，资金被扣留")</f>
        <v>点刷结算卡解绑更换无效，资金被扣留</v>
      </c>
      <c r="C16426" s="2" t="s">
        <v>9</v>
      </c>
      <c r="D16426" s="2" t="s">
        <v>10</v>
      </c>
      <c r="E16426" s="2" t="str">
        <f>HYPERLINK("http://ts.21cn.com/tousu/show/id/1348175","http://ts.21cn.com/tousu/show/id/1348175")</f>
        <v>http://ts.21cn.com/tousu/show/id/1348175</v>
      </c>
      <c r="F16426" s="2" t="s">
        <v>11</v>
      </c>
      <c r="G16426" s="2" t="s">
        <v>11887</v>
      </c>
      <c r="H16426" s="2" t="s">
        <v>11888</v>
      </c>
    </row>
    <row r="16427" spans="1:8" ht="25.05" customHeight="1" x14ac:dyDescent="0.25">
      <c r="A16427" s="2" t="s">
        <v>8</v>
      </c>
      <c r="B16427" s="2" t="str">
        <f>HYPERLINK("http://ts.21cn.com/tousu/show/id/1348161","融营通信恶意误导消费，拒不退款")</f>
        <v>融营通信恶意误导消费，拒不退款</v>
      </c>
      <c r="C16427" s="2" t="s">
        <v>9</v>
      </c>
      <c r="D16427" s="2" t="s">
        <v>10</v>
      </c>
      <c r="E16427" s="2" t="str">
        <f>HYPERLINK("http://ts.21cn.com/tousu/show/id/1348161","http://ts.21cn.com/tousu/show/id/1348161")</f>
        <v>http://ts.21cn.com/tousu/show/id/1348161</v>
      </c>
      <c r="F16427" s="2" t="s">
        <v>11</v>
      </c>
      <c r="G16427" s="2" t="s">
        <v>11885</v>
      </c>
      <c r="H16427" s="2" t="s">
        <v>11886</v>
      </c>
    </row>
    <row r="16428" spans="1:8" ht="25.05" customHeight="1" x14ac:dyDescent="0.25">
      <c r="A16428" s="2" t="s">
        <v>8</v>
      </c>
      <c r="B16428" s="2" t="str">
        <f>HYPERLINK("http://ts.21cn.com/tousu/show/id/1348179","小浦优客未经同意扣款")</f>
        <v>小浦优客未经同意扣款</v>
      </c>
      <c r="C16428" s="2" t="s">
        <v>9</v>
      </c>
      <c r="D16428" s="2" t="s">
        <v>10</v>
      </c>
      <c r="E16428" s="2" t="str">
        <f>HYPERLINK("http://ts.21cn.com/tousu/show/id/1348179","http://ts.21cn.com/tousu/show/id/1348179")</f>
        <v>http://ts.21cn.com/tousu/show/id/1348179</v>
      </c>
      <c r="F16428" s="2" t="s">
        <v>11</v>
      </c>
      <c r="G16428" s="2" t="s">
        <v>11883</v>
      </c>
      <c r="H16428" s="2" t="s">
        <v>11884</v>
      </c>
    </row>
    <row r="16429" spans="1:8" ht="25.05" customHeight="1" x14ac:dyDescent="0.25">
      <c r="A16429" s="2" t="s">
        <v>8</v>
      </c>
      <c r="B16429" s="2" t="str">
        <f>HYPERLINK("http://ts.21cn.com/tousu/show/id/1348178","小浦优客套路欺诈扣费")</f>
        <v>小浦优客套路欺诈扣费</v>
      </c>
      <c r="C16429" s="2" t="s">
        <v>9</v>
      </c>
      <c r="D16429" s="2" t="s">
        <v>10</v>
      </c>
      <c r="E16429" s="2" t="str">
        <f>HYPERLINK("http://ts.21cn.com/tousu/show/id/1348178","http://ts.21cn.com/tousu/show/id/1348178")</f>
        <v>http://ts.21cn.com/tousu/show/id/1348178</v>
      </c>
      <c r="F16429" s="2" t="s">
        <v>11</v>
      </c>
      <c r="G16429" s="2" t="s">
        <v>11881</v>
      </c>
      <c r="H16429" s="2" t="s">
        <v>11882</v>
      </c>
    </row>
    <row r="16430" spans="1:8" ht="25.05" customHeight="1" x14ac:dyDescent="0.25">
      <c r="A16430" s="2" t="s">
        <v>8</v>
      </c>
      <c r="B16430" s="2" t="str">
        <f>HYPERLINK("http://ts.21cn.com/tousu/show/id/1348181","东莞市轻奢维体健身房第二次无缘无故关门，老板跑路")</f>
        <v>东莞市轻奢维体健身房第二次无缘无故关门，老板跑路</v>
      </c>
      <c r="C16430" s="2" t="s">
        <v>9</v>
      </c>
      <c r="D16430" s="2" t="s">
        <v>10</v>
      </c>
      <c r="E16430" s="2" t="str">
        <f>HYPERLINK("http://ts.21cn.com/tousu/show/id/1348181","http://ts.21cn.com/tousu/show/id/1348181")</f>
        <v>http://ts.21cn.com/tousu/show/id/1348181</v>
      </c>
      <c r="F16430" s="2" t="s">
        <v>11</v>
      </c>
      <c r="G16430" s="2" t="s">
        <v>11879</v>
      </c>
      <c r="H16430" s="2" t="s">
        <v>11880</v>
      </c>
    </row>
    <row r="16431" spans="1:8" ht="25.05" customHeight="1" x14ac:dyDescent="0.25">
      <c r="A16431" s="2" t="s">
        <v>8</v>
      </c>
      <c r="B16431" s="2" t="str">
        <f>HYPERLINK("http://ts.21cn.com/tousu/show/id/1348182","平安普惠i贷莫名其妙出来保险费")</f>
        <v>平安普惠i贷莫名其妙出来保险费</v>
      </c>
      <c r="C16431" s="2" t="s">
        <v>9</v>
      </c>
      <c r="D16431" s="2" t="s">
        <v>10</v>
      </c>
      <c r="E16431" s="2" t="str">
        <f>HYPERLINK("http://ts.21cn.com/tousu/show/id/1348182","http://ts.21cn.com/tousu/show/id/1348182")</f>
        <v>http://ts.21cn.com/tousu/show/id/1348182</v>
      </c>
      <c r="F16431" s="2" t="s">
        <v>11</v>
      </c>
      <c r="G16431" s="2" t="s">
        <v>11877</v>
      </c>
      <c r="H16431" s="2" t="s">
        <v>11878</v>
      </c>
    </row>
    <row r="16432" spans="1:8" ht="25.05" customHeight="1" x14ac:dyDescent="0.25">
      <c r="A16432" s="2" t="s">
        <v>8</v>
      </c>
      <c r="B16432" s="2" t="str">
        <f>HYPERLINK("http://ts.21cn.com/tousu/show/id/1348183","宜信宜人贷高额收取代款利息及砍头息5万多元")</f>
        <v>宜信宜人贷高额收取代款利息及砍头息5万多元</v>
      </c>
      <c r="C16432" s="2" t="s">
        <v>9</v>
      </c>
      <c r="D16432" s="2" t="s">
        <v>10</v>
      </c>
      <c r="E16432" s="2" t="str">
        <f>HYPERLINK("http://ts.21cn.com/tousu/show/id/1348183","http://ts.21cn.com/tousu/show/id/1348183")</f>
        <v>http://ts.21cn.com/tousu/show/id/1348183</v>
      </c>
      <c r="F16432" s="2" t="s">
        <v>11</v>
      </c>
      <c r="G16432" s="2" t="s">
        <v>11875</v>
      </c>
      <c r="H16432" s="2" t="s">
        <v>11876</v>
      </c>
    </row>
    <row r="16433" spans="1:8" ht="25.05" customHeight="1" x14ac:dyDescent="0.25">
      <c r="A16433" s="2" t="s">
        <v>8</v>
      </c>
      <c r="B16433" s="2" t="str">
        <f>HYPERLINK("http://ts.21cn.com/tousu/show/id/1348184","达飞云贷垃圾高利贷")</f>
        <v>达飞云贷垃圾高利贷</v>
      </c>
      <c r="C16433" s="2" t="s">
        <v>9</v>
      </c>
      <c r="D16433" s="2" t="s">
        <v>10</v>
      </c>
      <c r="E16433" s="2" t="str">
        <f>HYPERLINK("http://ts.21cn.com/tousu/show/id/1348184","http://ts.21cn.com/tousu/show/id/1348184")</f>
        <v>http://ts.21cn.com/tousu/show/id/1348184</v>
      </c>
      <c r="F16433" s="2" t="s">
        <v>11</v>
      </c>
      <c r="G16433" s="2" t="s">
        <v>11873</v>
      </c>
      <c r="H16433" s="2" t="s">
        <v>11874</v>
      </c>
    </row>
    <row r="16434" spans="1:8" ht="25.05" customHeight="1" x14ac:dyDescent="0.25">
      <c r="A16434" s="2" t="s">
        <v>8</v>
      </c>
      <c r="B16434" s="2" t="str">
        <f>HYPERLINK("http://ts.21cn.com/tousu/show/id/1348039","融营通信存在恶意误导，拒不退款")</f>
        <v>融营通信存在恶意误导，拒不退款</v>
      </c>
      <c r="C16434" s="2" t="s">
        <v>9</v>
      </c>
      <c r="D16434" s="2" t="s">
        <v>10</v>
      </c>
      <c r="E16434" s="2" t="str">
        <f>HYPERLINK("http://ts.21cn.com/tousu/show/id/1348039","http://ts.21cn.com/tousu/show/id/1348039")</f>
        <v>http://ts.21cn.com/tousu/show/id/1348039</v>
      </c>
      <c r="F16434" s="2" t="s">
        <v>11</v>
      </c>
      <c r="G16434" s="2" t="s">
        <v>11871</v>
      </c>
      <c r="H16434" s="2" t="s">
        <v>11872</v>
      </c>
    </row>
    <row r="16435" spans="1:8" ht="25.05" customHeight="1" x14ac:dyDescent="0.25">
      <c r="A16435" s="2" t="s">
        <v>8</v>
      </c>
      <c r="B16435" s="2" t="str">
        <f>HYPERLINK("http://ts.21cn.com/tousu/show/id/1348185","贷上钱违法恐吓催收")</f>
        <v>贷上钱违法恐吓催收</v>
      </c>
      <c r="C16435" s="2" t="s">
        <v>9</v>
      </c>
      <c r="D16435" s="2" t="s">
        <v>10</v>
      </c>
      <c r="E16435" s="2" t="str">
        <f>HYPERLINK("http://ts.21cn.com/tousu/show/id/1348185","http://ts.21cn.com/tousu/show/id/1348185")</f>
        <v>http://ts.21cn.com/tousu/show/id/1348185</v>
      </c>
      <c r="F16435" s="2" t="s">
        <v>11</v>
      </c>
      <c r="G16435" s="2" t="s">
        <v>11869</v>
      </c>
      <c r="H16435" s="2" t="s">
        <v>11870</v>
      </c>
    </row>
    <row r="16436" spans="1:8" ht="25.05" customHeight="1" x14ac:dyDescent="0.25">
      <c r="A16436" s="2" t="s">
        <v>8</v>
      </c>
      <c r="B16436" s="2" t="str">
        <f>HYPERLINK("http://ts.21cn.com/tousu/show/id/1348186","小浦优客未经同意扣款")</f>
        <v>小浦优客未经同意扣款</v>
      </c>
      <c r="C16436" s="2" t="s">
        <v>9</v>
      </c>
      <c r="D16436" s="2" t="s">
        <v>10</v>
      </c>
      <c r="E16436" s="2" t="str">
        <f>HYPERLINK("http://ts.21cn.com/tousu/show/id/1348186","http://ts.21cn.com/tousu/show/id/1348186")</f>
        <v>http://ts.21cn.com/tousu/show/id/1348186</v>
      </c>
      <c r="F16436" s="2" t="s">
        <v>11</v>
      </c>
      <c r="G16436" s="2" t="s">
        <v>11867</v>
      </c>
      <c r="H16436" s="2" t="s">
        <v>11868</v>
      </c>
    </row>
    <row r="16437" spans="1:8" ht="25.05" customHeight="1" x14ac:dyDescent="0.25">
      <c r="A16437" s="2" t="s">
        <v>8</v>
      </c>
      <c r="B16437" s="2" t="str">
        <f>HYPERLINK("http://ts.21cn.com/tousu/show/id/1348187","钱站高利贷阴阳合同")</f>
        <v>钱站高利贷阴阳合同</v>
      </c>
      <c r="C16437" s="2" t="s">
        <v>9</v>
      </c>
      <c r="D16437" s="2" t="s">
        <v>10</v>
      </c>
      <c r="E16437" s="2" t="str">
        <f>HYPERLINK("http://ts.21cn.com/tousu/show/id/1348187","http://ts.21cn.com/tousu/show/id/1348187")</f>
        <v>http://ts.21cn.com/tousu/show/id/1348187</v>
      </c>
      <c r="F16437" s="2" t="s">
        <v>11</v>
      </c>
      <c r="G16437" s="2" t="s">
        <v>11865</v>
      </c>
      <c r="H16437" s="2" t="s">
        <v>11866</v>
      </c>
    </row>
    <row r="16438" spans="1:8" ht="25.05" customHeight="1" x14ac:dyDescent="0.25">
      <c r="A16438" s="2" t="s">
        <v>8</v>
      </c>
      <c r="B16438" s="2" t="str">
        <f>HYPERLINK("http://ts.21cn.com/tousu/show/id/1348188","云闪付为不法分子提供支付通道")</f>
        <v>云闪付为不法分子提供支付通道</v>
      </c>
      <c r="C16438" s="2" t="s">
        <v>9</v>
      </c>
      <c r="D16438" s="2" t="s">
        <v>10</v>
      </c>
      <c r="E16438" s="2" t="str">
        <f>HYPERLINK("http://ts.21cn.com/tousu/show/id/1348188","http://ts.21cn.com/tousu/show/id/1348188")</f>
        <v>http://ts.21cn.com/tousu/show/id/1348188</v>
      </c>
      <c r="F16438" s="2" t="s">
        <v>11</v>
      </c>
      <c r="G16438" s="2" t="s">
        <v>11863</v>
      </c>
      <c r="H16438" s="2" t="s">
        <v>11864</v>
      </c>
    </row>
    <row r="16439" spans="1:8" ht="25.05" customHeight="1" x14ac:dyDescent="0.25">
      <c r="A16439" s="2" t="s">
        <v>8</v>
      </c>
      <c r="B16439" s="2" t="str">
        <f>HYPERLINK("http://ts.21cn.com/tousu/show/id/1348189","超高利贷")</f>
        <v>超高利贷</v>
      </c>
      <c r="C16439" s="2" t="s">
        <v>9</v>
      </c>
      <c r="D16439" s="2" t="s">
        <v>10</v>
      </c>
      <c r="E16439" s="2" t="str">
        <f>HYPERLINK("http://ts.21cn.com/tousu/show/id/1348189","http://ts.21cn.com/tousu/show/id/1348189")</f>
        <v>http://ts.21cn.com/tousu/show/id/1348189</v>
      </c>
      <c r="F16439" s="2" t="s">
        <v>11</v>
      </c>
      <c r="G16439" s="2" t="s">
        <v>11861</v>
      </c>
      <c r="H16439" s="2" t="s">
        <v>11862</v>
      </c>
    </row>
    <row r="16440" spans="1:8" ht="25.05" customHeight="1" x14ac:dyDescent="0.25">
      <c r="A16440" s="2" t="s">
        <v>8</v>
      </c>
      <c r="B16440" s="2" t="str">
        <f>HYPERLINK("http://ts.21cn.com/tousu/show/id/1348190","投诉东航用积分购买机票退票不退积分霸王条款")</f>
        <v>投诉东航用积分购买机票退票不退积分霸王条款</v>
      </c>
      <c r="C16440" s="2" t="s">
        <v>9</v>
      </c>
      <c r="D16440" s="2" t="s">
        <v>10</v>
      </c>
      <c r="E16440" s="2" t="str">
        <f>HYPERLINK("http://ts.21cn.com/tousu/show/id/1348190","http://ts.21cn.com/tousu/show/id/1348190")</f>
        <v>http://ts.21cn.com/tousu/show/id/1348190</v>
      </c>
      <c r="F16440" s="2" t="s">
        <v>11</v>
      </c>
      <c r="G16440" s="2" t="s">
        <v>11859</v>
      </c>
      <c r="H16440" s="2" t="s">
        <v>11860</v>
      </c>
    </row>
    <row r="16441" spans="1:8" ht="25.05" customHeight="1" x14ac:dyDescent="0.25">
      <c r="A16441" s="2" t="s">
        <v>8</v>
      </c>
      <c r="B16441" s="2" t="str">
        <f>HYPERLINK("http://ts.21cn.com/tousu/show/id/1348174","钱站高利贷阴阳合同")</f>
        <v>钱站高利贷阴阳合同</v>
      </c>
      <c r="C16441" s="2" t="s">
        <v>9</v>
      </c>
      <c r="D16441" s="2" t="s">
        <v>10</v>
      </c>
      <c r="E16441" s="2" t="str">
        <f>HYPERLINK("http://ts.21cn.com/tousu/show/id/1348174","http://ts.21cn.com/tousu/show/id/1348174")</f>
        <v>http://ts.21cn.com/tousu/show/id/1348174</v>
      </c>
      <c r="F16441" s="2" t="s">
        <v>11</v>
      </c>
      <c r="G16441" s="2" t="s">
        <v>11857</v>
      </c>
      <c r="H16441" s="2" t="s">
        <v>11858</v>
      </c>
    </row>
    <row r="16442" spans="1:8" ht="25.05" customHeight="1" x14ac:dyDescent="0.25">
      <c r="A16442" s="2" t="s">
        <v>8</v>
      </c>
      <c r="B16442" s="2" t="str">
        <f>HYPERLINK("http://ts.21cn.com/tousu/show/id/1348191","现金借款威胁")</f>
        <v>现金借款威胁</v>
      </c>
      <c r="C16442" s="2" t="s">
        <v>9</v>
      </c>
      <c r="D16442" s="2" t="s">
        <v>10</v>
      </c>
      <c r="E16442" s="2" t="str">
        <f>HYPERLINK("http://ts.21cn.com/tousu/show/id/1348191","http://ts.21cn.com/tousu/show/id/1348191")</f>
        <v>http://ts.21cn.com/tousu/show/id/1348191</v>
      </c>
      <c r="F16442" s="2" t="s">
        <v>11</v>
      </c>
      <c r="G16442" s="2" t="s">
        <v>11855</v>
      </c>
      <c r="H16442" s="2" t="s">
        <v>11856</v>
      </c>
    </row>
    <row r="16443" spans="1:8" ht="25.05" customHeight="1" x14ac:dyDescent="0.25">
      <c r="A16443" s="2" t="s">
        <v>8</v>
      </c>
      <c r="B16443" s="2" t="str">
        <f>HYPERLINK("http://ts.21cn.com/tousu/show/id/1348192","爆通讯录，恐吓，骂人，法院传票威胁，暴力催收")</f>
        <v>爆通讯录，恐吓，骂人，法院传票威胁，暴力催收</v>
      </c>
      <c r="C16443" s="2" t="s">
        <v>9</v>
      </c>
      <c r="D16443" s="2" t="s">
        <v>10</v>
      </c>
      <c r="E16443" s="2" t="str">
        <f>HYPERLINK("http://ts.21cn.com/tousu/show/id/1348192","http://ts.21cn.com/tousu/show/id/1348192")</f>
        <v>http://ts.21cn.com/tousu/show/id/1348192</v>
      </c>
      <c r="F16443" s="2" t="s">
        <v>11</v>
      </c>
      <c r="G16443" s="2" t="s">
        <v>11853</v>
      </c>
      <c r="H16443" s="2" t="s">
        <v>11854</v>
      </c>
    </row>
    <row r="16444" spans="1:8" ht="25.05" customHeight="1" x14ac:dyDescent="0.25">
      <c r="A16444" s="2" t="s">
        <v>8</v>
      </c>
      <c r="B16444" s="2" t="str">
        <f>HYPERLINK("http://ts.21cn.com/tousu/show/id/1348196","钱站暴力催收")</f>
        <v>钱站暴力催收</v>
      </c>
      <c r="C16444" s="2" t="s">
        <v>9</v>
      </c>
      <c r="D16444" s="2" t="s">
        <v>10</v>
      </c>
      <c r="E16444" s="2" t="str">
        <f>HYPERLINK("http://ts.21cn.com/tousu/show/id/1348196","http://ts.21cn.com/tousu/show/id/1348196")</f>
        <v>http://ts.21cn.com/tousu/show/id/1348196</v>
      </c>
      <c r="F16444" s="2" t="s">
        <v>11</v>
      </c>
      <c r="G16444" s="2" t="s">
        <v>11851</v>
      </c>
      <c r="H16444" s="2" t="s">
        <v>11852</v>
      </c>
    </row>
    <row r="16445" spans="1:8" ht="25.05" customHeight="1" x14ac:dyDescent="0.25">
      <c r="A16445" s="2" t="s">
        <v>8</v>
      </c>
      <c r="B16445" s="2" t="str">
        <f>HYPERLINK("http://ts.21cn.com/tousu/show/id/1348194","爱又米随意爆通讯录")</f>
        <v>爱又米随意爆通讯录</v>
      </c>
      <c r="C16445" s="2" t="s">
        <v>9</v>
      </c>
      <c r="D16445" s="2" t="s">
        <v>10</v>
      </c>
      <c r="E16445" s="2" t="str">
        <f>HYPERLINK("http://ts.21cn.com/tousu/show/id/1348194","http://ts.21cn.com/tousu/show/id/1348194")</f>
        <v>http://ts.21cn.com/tousu/show/id/1348194</v>
      </c>
      <c r="F16445" s="2" t="s">
        <v>11</v>
      </c>
      <c r="G16445" s="2" t="s">
        <v>11849</v>
      </c>
      <c r="H16445" s="2" t="s">
        <v>11850</v>
      </c>
    </row>
    <row r="16446" spans="1:8" ht="25.05" customHeight="1" x14ac:dyDescent="0.25">
      <c r="A16446" s="2" t="s">
        <v>8</v>
      </c>
      <c r="B16446" s="2" t="str">
        <f>HYPERLINK("http://ts.21cn.com/tousu/show/id/1348195","淘集集货款提现困难，退店不给退")</f>
        <v>淘集集货款提现困难，退店不给退</v>
      </c>
      <c r="C16446" s="2" t="s">
        <v>9</v>
      </c>
      <c r="D16446" s="2" t="s">
        <v>10</v>
      </c>
      <c r="E16446" s="2" t="str">
        <f>HYPERLINK("http://ts.21cn.com/tousu/show/id/1348195","http://ts.21cn.com/tousu/show/id/1348195")</f>
        <v>http://ts.21cn.com/tousu/show/id/1348195</v>
      </c>
      <c r="F16446" s="2" t="s">
        <v>11</v>
      </c>
      <c r="G16446" s="2" t="s">
        <v>11847</v>
      </c>
      <c r="H16446" s="2" t="s">
        <v>11848</v>
      </c>
    </row>
    <row r="16447" spans="1:8" ht="25.05" customHeight="1" x14ac:dyDescent="0.25">
      <c r="A16447" s="2" t="s">
        <v>8</v>
      </c>
      <c r="B16447" s="2" t="str">
        <f>HYPERLINK("http://ts.21cn.com/tousu/show/id/1348197","交易猫平台交易失败，退款失败，不给退款")</f>
        <v>交易猫平台交易失败，退款失败，不给退款</v>
      </c>
      <c r="C16447" s="2" t="s">
        <v>9</v>
      </c>
      <c r="D16447" s="2" t="s">
        <v>10</v>
      </c>
      <c r="E16447" s="2" t="str">
        <f>HYPERLINK("http://ts.21cn.com/tousu/show/id/1348197","http://ts.21cn.com/tousu/show/id/1348197")</f>
        <v>http://ts.21cn.com/tousu/show/id/1348197</v>
      </c>
      <c r="F16447" s="2" t="s">
        <v>11</v>
      </c>
      <c r="G16447" s="2" t="s">
        <v>11845</v>
      </c>
      <c r="H16447" s="2" t="s">
        <v>11846</v>
      </c>
    </row>
    <row r="16448" spans="1:8" ht="25.05" customHeight="1" x14ac:dyDescent="0.25">
      <c r="A16448" s="2" t="s">
        <v>8</v>
      </c>
      <c r="B16448" s="2" t="str">
        <f>HYPERLINK("http://ts.21cn.com/tousu/show/id/1348198","月光侠，阴阳合同，砍头息，高利贷，要求退还900元砍头息。协商一次性还款。")</f>
        <v>月光侠，阴阳合同，砍头息，高利贷，要求退还900元砍头息。协商一次性还款。</v>
      </c>
      <c r="C16448" s="2" t="s">
        <v>9</v>
      </c>
      <c r="D16448" s="2" t="s">
        <v>10</v>
      </c>
      <c r="E16448" s="2" t="str">
        <f>HYPERLINK("http://ts.21cn.com/tousu/show/id/1348198","http://ts.21cn.com/tousu/show/id/1348198")</f>
        <v>http://ts.21cn.com/tousu/show/id/1348198</v>
      </c>
      <c r="F16448" s="2" t="s">
        <v>11</v>
      </c>
      <c r="G16448" s="2" t="s">
        <v>11843</v>
      </c>
      <c r="H16448" s="2" t="s">
        <v>11844</v>
      </c>
    </row>
    <row r="16449" spans="1:8" ht="25.05" customHeight="1" x14ac:dyDescent="0.25">
      <c r="A16449" s="2" t="s">
        <v>8</v>
      </c>
      <c r="B16449" s="2" t="str">
        <f>HYPERLINK("http://ts.21cn.com/tousu/show/id/1348204","招商银行信用卡催收逼死人才愿意吗")</f>
        <v>招商银行信用卡催收逼死人才愿意吗</v>
      </c>
      <c r="C16449" s="2" t="s">
        <v>9</v>
      </c>
      <c r="D16449" s="2" t="s">
        <v>10</v>
      </c>
      <c r="E16449" s="2" t="str">
        <f>HYPERLINK("http://ts.21cn.com/tousu/show/id/1348204","http://ts.21cn.com/tousu/show/id/1348204")</f>
        <v>http://ts.21cn.com/tousu/show/id/1348204</v>
      </c>
      <c r="F16449" s="2" t="s">
        <v>11</v>
      </c>
      <c r="G16449" s="2" t="s">
        <v>11840</v>
      </c>
      <c r="H16449" s="2" t="s">
        <v>11841</v>
      </c>
    </row>
    <row r="16450" spans="1:8" ht="25.05" customHeight="1" x14ac:dyDescent="0.25">
      <c r="A16450" s="2" t="s">
        <v>8</v>
      </c>
      <c r="B16450" s="2" t="str">
        <f>HYPERLINK("http://ts.21cn.com/tousu/show/id/1348200","汇潮支付违规为714高炮提供渠道")</f>
        <v>汇潮支付违规为714高炮提供渠道</v>
      </c>
      <c r="C16450" s="2" t="s">
        <v>9</v>
      </c>
      <c r="D16450" s="2" t="s">
        <v>10</v>
      </c>
      <c r="E16450" s="2" t="str">
        <f>HYPERLINK("http://ts.21cn.com/tousu/show/id/1348200","http://ts.21cn.com/tousu/show/id/1348200")</f>
        <v>http://ts.21cn.com/tousu/show/id/1348200</v>
      </c>
      <c r="F16450" s="2" t="s">
        <v>11</v>
      </c>
      <c r="G16450" s="2" t="s">
        <v>11840</v>
      </c>
      <c r="H16450" s="2" t="s">
        <v>11842</v>
      </c>
    </row>
    <row r="16451" spans="1:8" ht="25.05" customHeight="1" x14ac:dyDescent="0.25">
      <c r="A16451" s="2" t="s">
        <v>8</v>
      </c>
      <c r="B16451" s="2" t="str">
        <f>HYPERLINK("http://ts.21cn.com/tousu/show/id/1348201","滴滴出行恶意收费")</f>
        <v>滴滴出行恶意收费</v>
      </c>
      <c r="C16451" s="2" t="s">
        <v>9</v>
      </c>
      <c r="D16451" s="2" t="s">
        <v>10</v>
      </c>
      <c r="E16451" s="2" t="str">
        <f>HYPERLINK("http://ts.21cn.com/tousu/show/id/1348201","http://ts.21cn.com/tousu/show/id/1348201")</f>
        <v>http://ts.21cn.com/tousu/show/id/1348201</v>
      </c>
      <c r="F16451" s="2" t="s">
        <v>11</v>
      </c>
      <c r="G16451" s="2" t="s">
        <v>11838</v>
      </c>
      <c r="H16451" s="2" t="s">
        <v>11839</v>
      </c>
    </row>
    <row r="16452" spans="1:8" ht="25.05" customHeight="1" x14ac:dyDescent="0.25">
      <c r="A16452" s="2" t="s">
        <v>8</v>
      </c>
      <c r="B16452" s="2" t="str">
        <f>HYPERLINK("http://ts.21cn.com/tousu/show/id/1348202","百川推客不正规推广")</f>
        <v>百川推客不正规推广</v>
      </c>
      <c r="C16452" s="2" t="s">
        <v>9</v>
      </c>
      <c r="D16452" s="2" t="s">
        <v>10</v>
      </c>
      <c r="E16452" s="2" t="str">
        <f>HYPERLINK("http://ts.21cn.com/tousu/show/id/1348202","http://ts.21cn.com/tousu/show/id/1348202")</f>
        <v>http://ts.21cn.com/tousu/show/id/1348202</v>
      </c>
      <c r="F16452" s="2" t="s">
        <v>11</v>
      </c>
      <c r="G16452" s="2" t="s">
        <v>11836</v>
      </c>
      <c r="H16452" s="2" t="s">
        <v>11837</v>
      </c>
    </row>
    <row r="16453" spans="1:8" ht="25.05" customHeight="1" x14ac:dyDescent="0.25">
      <c r="A16453" s="2" t="s">
        <v>8</v>
      </c>
      <c r="B16453" s="2" t="str">
        <f>HYPERLINK("http://ts.21cn.com/tousu/show/id/1348203","上海金桥小额贷款公司")</f>
        <v>上海金桥小额贷款公司</v>
      </c>
      <c r="C16453" s="2" t="s">
        <v>34</v>
      </c>
      <c r="D16453" s="2" t="s">
        <v>10</v>
      </c>
      <c r="E16453" s="2" t="str">
        <f>HYPERLINK("http://ts.21cn.com/tousu/show/id/1348203","http://ts.21cn.com/tousu/show/id/1348203")</f>
        <v>http://ts.21cn.com/tousu/show/id/1348203</v>
      </c>
      <c r="F16453" s="2" t="s">
        <v>11</v>
      </c>
      <c r="G16453" s="2" t="s">
        <v>11834</v>
      </c>
      <c r="H16453" s="2" t="s">
        <v>11835</v>
      </c>
    </row>
    <row r="16454" spans="1:8" ht="25.05" customHeight="1" x14ac:dyDescent="0.25">
      <c r="A16454" s="2" t="s">
        <v>8</v>
      </c>
      <c r="B16454" s="2" t="str">
        <f>HYPERLINK("http://ts.21cn.com/tousu/show/id/1348205","高利贷")</f>
        <v>高利贷</v>
      </c>
      <c r="C16454" s="2" t="s">
        <v>9</v>
      </c>
      <c r="D16454" s="2" t="s">
        <v>10</v>
      </c>
      <c r="E16454" s="2" t="str">
        <f>HYPERLINK("http://ts.21cn.com/tousu/show/id/1348205","http://ts.21cn.com/tousu/show/id/1348205")</f>
        <v>http://ts.21cn.com/tousu/show/id/1348205</v>
      </c>
      <c r="F16454" s="2" t="s">
        <v>11</v>
      </c>
      <c r="G16454" s="2" t="s">
        <v>11832</v>
      </c>
      <c r="H16454" s="2" t="s">
        <v>11833</v>
      </c>
    </row>
    <row r="16455" spans="1:8" ht="25.05" customHeight="1" x14ac:dyDescent="0.25">
      <c r="A16455" s="2" t="s">
        <v>8</v>
      </c>
      <c r="B16455" s="2" t="str">
        <f>HYPERLINK("http://ts.21cn.com/tousu/show/id/1348206","交通银行卡用卡中心恶意催收，骚扰我的妻子和父母")</f>
        <v>交通银行卡用卡中心恶意催收，骚扰我的妻子和父母</v>
      </c>
      <c r="C16455" s="2" t="s">
        <v>9</v>
      </c>
      <c r="D16455" s="2" t="s">
        <v>10</v>
      </c>
      <c r="E16455" s="2" t="str">
        <f>HYPERLINK("http://ts.21cn.com/tousu/show/id/1348206","http://ts.21cn.com/tousu/show/id/1348206")</f>
        <v>http://ts.21cn.com/tousu/show/id/1348206</v>
      </c>
      <c r="F16455" s="2" t="s">
        <v>11</v>
      </c>
      <c r="G16455" s="2" t="s">
        <v>11830</v>
      </c>
      <c r="H16455" s="2" t="s">
        <v>11831</v>
      </c>
    </row>
    <row r="16456" spans="1:8" ht="25.05" customHeight="1" x14ac:dyDescent="0.25">
      <c r="A16456" s="2" t="s">
        <v>8</v>
      </c>
      <c r="B16456" s="2" t="str">
        <f>HYPERLINK("http://ts.21cn.com/tousu/show/id/1348208","短信轰炸")</f>
        <v>短信轰炸</v>
      </c>
      <c r="C16456" s="2" t="s">
        <v>9</v>
      </c>
      <c r="D16456" s="2" t="s">
        <v>10</v>
      </c>
      <c r="E16456" s="2" t="str">
        <f>HYPERLINK("http://ts.21cn.com/tousu/show/id/1348208","http://ts.21cn.com/tousu/show/id/1348208")</f>
        <v>http://ts.21cn.com/tousu/show/id/1348208</v>
      </c>
      <c r="F16456" s="2" t="s">
        <v>11</v>
      </c>
      <c r="G16456" s="2" t="s">
        <v>11828</v>
      </c>
      <c r="H16456" s="2" t="s">
        <v>11829</v>
      </c>
    </row>
    <row r="16457" spans="1:8" ht="25.05" customHeight="1" x14ac:dyDescent="0.25">
      <c r="A16457" s="2" t="s">
        <v>8</v>
      </c>
      <c r="B16457" s="2" t="str">
        <f>HYPERLINK("http://ts.21cn.com/tousu/show/id/1348209","暴力催收，威胁，恐惧人，骂人，各种等")</f>
        <v>暴力催收，威胁，恐惧人，骂人，各种等</v>
      </c>
      <c r="C16457" s="2" t="s">
        <v>9</v>
      </c>
      <c r="D16457" s="2" t="s">
        <v>10</v>
      </c>
      <c r="E16457" s="2" t="str">
        <f>HYPERLINK("http://ts.21cn.com/tousu/show/id/1348209","http://ts.21cn.com/tousu/show/id/1348209")</f>
        <v>http://ts.21cn.com/tousu/show/id/1348209</v>
      </c>
      <c r="F16457" s="2" t="s">
        <v>11</v>
      </c>
      <c r="G16457" s="2" t="s">
        <v>11826</v>
      </c>
      <c r="H16457" s="2" t="s">
        <v>11827</v>
      </c>
    </row>
    <row r="16458" spans="1:8" ht="25.05" customHeight="1" x14ac:dyDescent="0.25">
      <c r="A16458" s="2" t="s">
        <v>8</v>
      </c>
      <c r="B16458" s="2" t="str">
        <f>HYPERLINK("http://ts.21cn.com/tousu/show/id/1348210","上海造艺网络技术有限公司套路贷，未充分告知私自从银行卡里扣款，这不就是欺诈行为吗？")</f>
        <v>上海造艺网络技术有限公司套路贷，未充分告知私自从银行卡里扣款，这不就是欺诈行为吗？</v>
      </c>
      <c r="C16458" s="2" t="s">
        <v>9</v>
      </c>
      <c r="D16458" s="2" t="s">
        <v>10</v>
      </c>
      <c r="E16458" s="2" t="str">
        <f>HYPERLINK("http://ts.21cn.com/tousu/show/id/1348210","http://ts.21cn.com/tousu/show/id/1348210")</f>
        <v>http://ts.21cn.com/tousu/show/id/1348210</v>
      </c>
      <c r="F16458" s="2" t="s">
        <v>11</v>
      </c>
      <c r="G16458" s="2" t="s">
        <v>11824</v>
      </c>
      <c r="H16458" s="2" t="s">
        <v>11825</v>
      </c>
    </row>
    <row r="16459" spans="1:8" ht="25.05" customHeight="1" x14ac:dyDescent="0.25">
      <c r="A16459" s="2" t="s">
        <v>8</v>
      </c>
      <c r="B16459" s="2" t="str">
        <f>HYPERLINK("http://ts.21cn.com/tousu/show/id/1348211","闪银闪闪花花闪豆高额砍头息")</f>
        <v>闪银闪闪花花闪豆高额砍头息</v>
      </c>
      <c r="C16459" s="2" t="s">
        <v>9</v>
      </c>
      <c r="D16459" s="2" t="s">
        <v>10</v>
      </c>
      <c r="E16459" s="2" t="str">
        <f>HYPERLINK("http://ts.21cn.com/tousu/show/id/1348211","http://ts.21cn.com/tousu/show/id/1348211")</f>
        <v>http://ts.21cn.com/tousu/show/id/1348211</v>
      </c>
      <c r="F16459" s="2" t="s">
        <v>11</v>
      </c>
      <c r="G16459" s="2" t="s">
        <v>11822</v>
      </c>
      <c r="H16459" s="2" t="s">
        <v>11823</v>
      </c>
    </row>
    <row r="16460" spans="1:8" ht="25.05" customHeight="1" x14ac:dyDescent="0.25">
      <c r="A16460" s="2" t="s">
        <v>8</v>
      </c>
      <c r="B16460" s="2" t="str">
        <f>HYPERLINK("http://ts.21cn.com/tousu/show/id/1348213","上海维信金融速贷")</f>
        <v>上海维信金融速贷</v>
      </c>
      <c r="C16460" s="2" t="s">
        <v>9</v>
      </c>
      <c r="D16460" s="2" t="s">
        <v>10</v>
      </c>
      <c r="E16460" s="2" t="str">
        <f>HYPERLINK("http://ts.21cn.com/tousu/show/id/1348213","http://ts.21cn.com/tousu/show/id/1348213")</f>
        <v>http://ts.21cn.com/tousu/show/id/1348213</v>
      </c>
      <c r="F16460" s="2" t="s">
        <v>11</v>
      </c>
      <c r="G16460" s="2" t="s">
        <v>11820</v>
      </c>
      <c r="H16460" s="2" t="s">
        <v>11821</v>
      </c>
    </row>
    <row r="16461" spans="1:8" ht="25.05" customHeight="1" x14ac:dyDescent="0.25">
      <c r="A16461" s="2" t="s">
        <v>8</v>
      </c>
      <c r="B16461" s="2" t="str">
        <f>HYPERLINK("http://ts.21cn.com/tousu/show/id/1348199","小蒲优客app在本人不知情情况下恶意扣款")</f>
        <v>小蒲优客app在本人不知情情况下恶意扣款</v>
      </c>
      <c r="C16461" s="2" t="s">
        <v>9</v>
      </c>
      <c r="D16461" s="2" t="s">
        <v>10</v>
      </c>
      <c r="E16461" s="2" t="str">
        <f>HYPERLINK("http://ts.21cn.com/tousu/show/id/1348199","http://ts.21cn.com/tousu/show/id/1348199")</f>
        <v>http://ts.21cn.com/tousu/show/id/1348199</v>
      </c>
      <c r="F16461" s="2" t="s">
        <v>11</v>
      </c>
      <c r="G16461" s="2" t="s">
        <v>11818</v>
      </c>
      <c r="H16461" s="2" t="s">
        <v>11819</v>
      </c>
    </row>
    <row r="16462" spans="1:8" ht="25.05" customHeight="1" x14ac:dyDescent="0.25">
      <c r="A16462" s="2" t="s">
        <v>8</v>
      </c>
      <c r="B16462" s="2" t="str">
        <f>HYPERLINK("http://ts.21cn.com/tousu/show/id/1348214","重复受信，强制逾期后才能协商")</f>
        <v>重复受信，强制逾期后才能协商</v>
      </c>
      <c r="C16462" s="2" t="s">
        <v>34</v>
      </c>
      <c r="D16462" s="2" t="s">
        <v>10</v>
      </c>
      <c r="E16462" s="2" t="str">
        <f>HYPERLINK("http://ts.21cn.com/tousu/show/id/1348214","http://ts.21cn.com/tousu/show/id/1348214")</f>
        <v>http://ts.21cn.com/tousu/show/id/1348214</v>
      </c>
      <c r="F16462" s="2" t="s">
        <v>11</v>
      </c>
      <c r="G16462" s="2" t="s">
        <v>11816</v>
      </c>
      <c r="H16462" s="2" t="s">
        <v>11817</v>
      </c>
    </row>
    <row r="16463" spans="1:8" ht="25.05" customHeight="1" x14ac:dyDescent="0.25">
      <c r="A16463" s="2" t="s">
        <v>8</v>
      </c>
      <c r="B16463" s="2" t="str">
        <f>HYPERLINK("http://ts.21cn.com/tousu/show/id/1348215","信用管家第三方借款砍头息")</f>
        <v>信用管家第三方借款砍头息</v>
      </c>
      <c r="C16463" s="2" t="s">
        <v>34</v>
      </c>
      <c r="D16463" s="2" t="s">
        <v>10</v>
      </c>
      <c r="E16463" s="2" t="str">
        <f>HYPERLINK("http://ts.21cn.com/tousu/show/id/1348215","http://ts.21cn.com/tousu/show/id/1348215")</f>
        <v>http://ts.21cn.com/tousu/show/id/1348215</v>
      </c>
      <c r="F16463" s="2" t="s">
        <v>11</v>
      </c>
      <c r="G16463" s="2" t="s">
        <v>11814</v>
      </c>
      <c r="H16463" s="2" t="s">
        <v>11815</v>
      </c>
    </row>
    <row r="16464" spans="1:8" ht="25.05" customHeight="1" x14ac:dyDescent="0.25">
      <c r="A16464" s="2" t="s">
        <v>8</v>
      </c>
      <c r="B16464" s="2" t="str">
        <f>HYPERLINK("http://ts.21cn.com/tousu/show/id/1348218","东莞市轻奢维体健身房第二次无缘无故关门，老板跑路")</f>
        <v>东莞市轻奢维体健身房第二次无缘无故关门，老板跑路</v>
      </c>
      <c r="C16464" s="2" t="s">
        <v>9</v>
      </c>
      <c r="D16464" s="2" t="s">
        <v>10</v>
      </c>
      <c r="E16464" s="2" t="str">
        <f>HYPERLINK("http://ts.21cn.com/tousu/show/id/1348218","http://ts.21cn.com/tousu/show/id/1348218")</f>
        <v>http://ts.21cn.com/tousu/show/id/1348218</v>
      </c>
      <c r="F16464" s="2" t="s">
        <v>11</v>
      </c>
      <c r="G16464" s="2" t="s">
        <v>11813</v>
      </c>
      <c r="H16464" s="2" t="s">
        <v>11404</v>
      </c>
    </row>
    <row r="16465" spans="1:8" ht="25.05" customHeight="1" x14ac:dyDescent="0.25">
      <c r="A16465" s="2" t="s">
        <v>8</v>
      </c>
      <c r="B16465" s="2" t="str">
        <f>HYPERLINK("http://ts.21cn.com/tousu/show/id/1348219","我在贷款平台借款，现在申请提前还款")</f>
        <v>我在贷款平台借款，现在申请提前还款</v>
      </c>
      <c r="C16465" s="2" t="s">
        <v>34</v>
      </c>
      <c r="D16465" s="2" t="s">
        <v>10</v>
      </c>
      <c r="E16465" s="2" t="str">
        <f>HYPERLINK("http://ts.21cn.com/tousu/show/id/1348219","http://ts.21cn.com/tousu/show/id/1348219")</f>
        <v>http://ts.21cn.com/tousu/show/id/1348219</v>
      </c>
      <c r="F16465" s="2" t="s">
        <v>11</v>
      </c>
      <c r="G16465" s="2" t="s">
        <v>11811</v>
      </c>
      <c r="H16465" s="2" t="s">
        <v>11812</v>
      </c>
    </row>
    <row r="16466" spans="1:8" ht="25.05" customHeight="1" x14ac:dyDescent="0.25">
      <c r="A16466" s="2" t="s">
        <v>8</v>
      </c>
      <c r="B16466" s="2" t="str">
        <f>HYPERLINK("http://ts.21cn.com/tousu/show/id/1348221","淘集集拖欠货款")</f>
        <v>淘集集拖欠货款</v>
      </c>
      <c r="C16466" s="2" t="s">
        <v>9</v>
      </c>
      <c r="D16466" s="2" t="s">
        <v>10</v>
      </c>
      <c r="E16466" s="2" t="str">
        <f>HYPERLINK("http://ts.21cn.com/tousu/show/id/1348221","http://ts.21cn.com/tousu/show/id/1348221")</f>
        <v>http://ts.21cn.com/tousu/show/id/1348221</v>
      </c>
      <c r="F16466" s="2" t="s">
        <v>11</v>
      </c>
      <c r="G16466" s="2" t="s">
        <v>11809</v>
      </c>
      <c r="H16466" s="2" t="s">
        <v>11810</v>
      </c>
    </row>
    <row r="16467" spans="1:8" ht="25.05" customHeight="1" x14ac:dyDescent="0.25">
      <c r="A16467" s="2" t="s">
        <v>8</v>
      </c>
      <c r="B16467" s="2" t="str">
        <f>HYPERLINK("http://ts.21cn.com/tousu/show/id/1348220","速金服突然一天给我发了好多收款消息从未申请过")</f>
        <v>速金服突然一天给我发了好多收款消息从未申请过</v>
      </c>
      <c r="C16467" s="2" t="s">
        <v>9</v>
      </c>
      <c r="D16467" s="2" t="s">
        <v>10</v>
      </c>
      <c r="E16467" s="2" t="str">
        <f>HYPERLINK("http://ts.21cn.com/tousu/show/id/1348220","http://ts.21cn.com/tousu/show/id/1348220")</f>
        <v>http://ts.21cn.com/tousu/show/id/1348220</v>
      </c>
      <c r="F16467" s="2" t="s">
        <v>11</v>
      </c>
      <c r="G16467" s="2" t="s">
        <v>11807</v>
      </c>
      <c r="H16467" s="2" t="s">
        <v>11808</v>
      </c>
    </row>
    <row r="16468" spans="1:8" ht="25.05" customHeight="1" x14ac:dyDescent="0.25">
      <c r="A16468" s="2" t="s">
        <v>8</v>
      </c>
      <c r="B16468" s="2" t="str">
        <f>HYPERLINK("http://ts.21cn.com/tousu/show/id/1348222","发货时物流未讲述实情造成货物直接损失")</f>
        <v>发货时物流未讲述实情造成货物直接损失</v>
      </c>
      <c r="C16468" s="2" t="s">
        <v>9</v>
      </c>
      <c r="D16468" s="2" t="s">
        <v>10</v>
      </c>
      <c r="E16468" s="2" t="str">
        <f>HYPERLINK("http://ts.21cn.com/tousu/show/id/1348222","http://ts.21cn.com/tousu/show/id/1348222")</f>
        <v>http://ts.21cn.com/tousu/show/id/1348222</v>
      </c>
      <c r="F16468" s="2" t="s">
        <v>11</v>
      </c>
      <c r="G16468" s="2" t="s">
        <v>11805</v>
      </c>
      <c r="H16468" s="2" t="s">
        <v>11806</v>
      </c>
    </row>
    <row r="16469" spans="1:8" ht="25.05" customHeight="1" x14ac:dyDescent="0.25">
      <c r="A16469" s="2" t="s">
        <v>8</v>
      </c>
      <c r="B16469" s="2" t="str">
        <f>HYPERLINK("http://ts.21cn.com/tousu/show/id/1348223","放心借电话骚扰，乱滚利息，恐吓")</f>
        <v>放心借电话骚扰，乱滚利息，恐吓</v>
      </c>
      <c r="C16469" s="2" t="s">
        <v>9</v>
      </c>
      <c r="D16469" s="2" t="s">
        <v>10</v>
      </c>
      <c r="E16469" s="2" t="str">
        <f>HYPERLINK("http://ts.21cn.com/tousu/show/id/1348223","http://ts.21cn.com/tousu/show/id/1348223")</f>
        <v>http://ts.21cn.com/tousu/show/id/1348223</v>
      </c>
      <c r="F16469" s="2" t="s">
        <v>11</v>
      </c>
      <c r="G16469" s="2" t="s">
        <v>11803</v>
      </c>
      <c r="H16469" s="2" t="s">
        <v>11804</v>
      </c>
    </row>
    <row r="16470" spans="1:8" ht="25.05" customHeight="1" x14ac:dyDescent="0.25">
      <c r="A16470" s="2" t="s">
        <v>8</v>
      </c>
      <c r="B16470" s="2" t="str">
        <f>HYPERLINK("http://ts.21cn.com/tousu/show/id/1348224","豹子贷恶意扣费")</f>
        <v>豹子贷恶意扣费</v>
      </c>
      <c r="C16470" s="2" t="s">
        <v>9</v>
      </c>
      <c r="D16470" s="2" t="s">
        <v>10</v>
      </c>
      <c r="E16470" s="2" t="str">
        <f>HYPERLINK("http://ts.21cn.com/tousu/show/id/1348224","http://ts.21cn.com/tousu/show/id/1348224")</f>
        <v>http://ts.21cn.com/tousu/show/id/1348224</v>
      </c>
      <c r="F16470" s="2" t="s">
        <v>11</v>
      </c>
      <c r="G16470" s="2" t="s">
        <v>11801</v>
      </c>
      <c r="H16470" s="2" t="s">
        <v>11802</v>
      </c>
    </row>
    <row r="16471" spans="1:8" ht="25.05" customHeight="1" x14ac:dyDescent="0.25">
      <c r="A16471" s="2" t="s">
        <v>8</v>
      </c>
      <c r="B16471" s="2" t="str">
        <f>HYPERLINK("http://ts.21cn.com/tousu/show/id/1348225","小象优品暴力催收骚扰通讯录")</f>
        <v>小象优品暴力催收骚扰通讯录</v>
      </c>
      <c r="C16471" s="2" t="s">
        <v>9</v>
      </c>
      <c r="D16471" s="2" t="s">
        <v>10</v>
      </c>
      <c r="E16471" s="2" t="str">
        <f>HYPERLINK("http://ts.21cn.com/tousu/show/id/1348225","http://ts.21cn.com/tousu/show/id/1348225")</f>
        <v>http://ts.21cn.com/tousu/show/id/1348225</v>
      </c>
      <c r="F16471" s="2" t="s">
        <v>11</v>
      </c>
      <c r="G16471" s="2" t="s">
        <v>11799</v>
      </c>
      <c r="H16471" s="2" t="s">
        <v>11800</v>
      </c>
    </row>
    <row r="16472" spans="1:8" ht="25.05" customHeight="1" x14ac:dyDescent="0.25">
      <c r="A16472" s="2" t="s">
        <v>8</v>
      </c>
      <c r="B16472" s="2" t="str">
        <f>HYPERLINK("http://ts.21cn.com/tousu/show/id/1348226","百度有钱花爆通讯录")</f>
        <v>百度有钱花爆通讯录</v>
      </c>
      <c r="C16472" s="2" t="s">
        <v>9</v>
      </c>
      <c r="D16472" s="2" t="s">
        <v>10</v>
      </c>
      <c r="E16472" s="2" t="str">
        <f>HYPERLINK("http://ts.21cn.com/tousu/show/id/1348226","http://ts.21cn.com/tousu/show/id/1348226")</f>
        <v>http://ts.21cn.com/tousu/show/id/1348226</v>
      </c>
      <c r="F16472" s="2" t="s">
        <v>11</v>
      </c>
      <c r="G16472" s="2" t="s">
        <v>11797</v>
      </c>
      <c r="H16472" s="2" t="s">
        <v>11798</v>
      </c>
    </row>
    <row r="16473" spans="1:8" ht="25.05" customHeight="1" x14ac:dyDescent="0.25">
      <c r="A16473" s="2" t="s">
        <v>8</v>
      </c>
      <c r="B16473" s="2" t="str">
        <f>HYPERLINK("http://ts.21cn.com/tousu/show/id/1348227","暴力催收，恐吓侮辱，高利贷")</f>
        <v>暴力催收，恐吓侮辱，高利贷</v>
      </c>
      <c r="C16473" s="2" t="s">
        <v>9</v>
      </c>
      <c r="D16473" s="2" t="s">
        <v>10</v>
      </c>
      <c r="E16473" s="2" t="str">
        <f>HYPERLINK("http://ts.21cn.com/tousu/show/id/1348227","http://ts.21cn.com/tousu/show/id/1348227")</f>
        <v>http://ts.21cn.com/tousu/show/id/1348227</v>
      </c>
      <c r="F16473" s="2" t="s">
        <v>11</v>
      </c>
      <c r="G16473" s="2" t="s">
        <v>11795</v>
      </c>
      <c r="H16473" s="2" t="s">
        <v>11796</v>
      </c>
    </row>
    <row r="16474" spans="1:8" ht="25.05" customHeight="1" x14ac:dyDescent="0.25">
      <c r="A16474" s="2" t="s">
        <v>8</v>
      </c>
      <c r="B16474" s="2" t="str">
        <f>HYPERLINK("http://ts.21cn.com/tousu/show/id/1348228","未经过我的允许自动开启免密码支付导致付费成功，希望申请退款，谢谢！")</f>
        <v>未经过我的允许自动开启免密码支付导致付费成功，希望申请退款，谢谢！</v>
      </c>
      <c r="C16474" s="2" t="s">
        <v>34</v>
      </c>
      <c r="D16474" s="2" t="s">
        <v>10</v>
      </c>
      <c r="E16474" s="2" t="str">
        <f>HYPERLINK("http://ts.21cn.com/tousu/show/id/1348228","http://ts.21cn.com/tousu/show/id/1348228")</f>
        <v>http://ts.21cn.com/tousu/show/id/1348228</v>
      </c>
      <c r="F16474" s="2" t="s">
        <v>11</v>
      </c>
      <c r="G16474" s="2" t="s">
        <v>11793</v>
      </c>
      <c r="H16474" s="2" t="s">
        <v>11794</v>
      </c>
    </row>
    <row r="16475" spans="1:8" ht="25.05" customHeight="1" x14ac:dyDescent="0.25">
      <c r="A16475" s="2" t="s">
        <v>8</v>
      </c>
      <c r="B16475" s="2" t="str">
        <f>HYPERLINK("http://ts.21cn.com/tousu/show/id/1348229","造艺科技恐吓骚扰")</f>
        <v>造艺科技恐吓骚扰</v>
      </c>
      <c r="C16475" s="2" t="s">
        <v>9</v>
      </c>
      <c r="D16475" s="2" t="s">
        <v>10</v>
      </c>
      <c r="E16475" s="2" t="str">
        <f>HYPERLINK("http://ts.21cn.com/tousu/show/id/1348229","http://ts.21cn.com/tousu/show/id/1348229")</f>
        <v>http://ts.21cn.com/tousu/show/id/1348229</v>
      </c>
      <c r="F16475" s="2" t="s">
        <v>11</v>
      </c>
      <c r="G16475" s="2" t="s">
        <v>11791</v>
      </c>
      <c r="H16475" s="2" t="s">
        <v>11792</v>
      </c>
    </row>
    <row r="16476" spans="1:8" ht="25.05" customHeight="1" x14ac:dyDescent="0.25">
      <c r="A16476" s="2" t="s">
        <v>8</v>
      </c>
      <c r="B16476" s="2" t="str">
        <f>HYPERLINK("http://ts.21cn.com/tousu/show/id/1348177","微信被盗，被解绑手机号，好友全删，找不到微信号了")</f>
        <v>微信被盗，被解绑手机号，好友全删，找不到微信号了</v>
      </c>
      <c r="C16476" s="2" t="s">
        <v>9</v>
      </c>
      <c r="D16476" s="2" t="s">
        <v>10</v>
      </c>
      <c r="E16476" s="2" t="str">
        <f>HYPERLINK("http://ts.21cn.com/tousu/show/id/1348177","http://ts.21cn.com/tousu/show/id/1348177")</f>
        <v>http://ts.21cn.com/tousu/show/id/1348177</v>
      </c>
      <c r="F16476" s="2" t="s">
        <v>11</v>
      </c>
      <c r="G16476" s="2" t="s">
        <v>11789</v>
      </c>
      <c r="H16476" s="2" t="s">
        <v>11790</v>
      </c>
    </row>
    <row r="16477" spans="1:8" ht="25.05" customHeight="1" x14ac:dyDescent="0.25">
      <c r="A16477" s="2" t="s">
        <v>8</v>
      </c>
      <c r="B16477" s="2" t="str">
        <f>HYPERLINK("http://ts.21cn.com/tousu/show/id/1348230","壹心分期收取高额砍头息要求退还")</f>
        <v>壹心分期收取高额砍头息要求退还</v>
      </c>
      <c r="C16477" s="2" t="s">
        <v>9</v>
      </c>
      <c r="D16477" s="2" t="s">
        <v>10</v>
      </c>
      <c r="E16477" s="2" t="str">
        <f>HYPERLINK("http://ts.21cn.com/tousu/show/id/1348230","http://ts.21cn.com/tousu/show/id/1348230")</f>
        <v>http://ts.21cn.com/tousu/show/id/1348230</v>
      </c>
      <c r="F16477" s="2" t="s">
        <v>11</v>
      </c>
      <c r="G16477" s="2" t="s">
        <v>11787</v>
      </c>
      <c r="H16477" s="2" t="s">
        <v>11788</v>
      </c>
    </row>
    <row r="16478" spans="1:8" ht="25.05" customHeight="1" x14ac:dyDescent="0.25">
      <c r="A16478" s="2" t="s">
        <v>8</v>
      </c>
      <c r="B16478" s="2" t="str">
        <f>HYPERLINK("http://ts.21cn.com/tousu/show/id/1348231","滴滴司机辱骂乘客，态度恶劣，且乱收费")</f>
        <v>滴滴司机辱骂乘客，态度恶劣，且乱收费</v>
      </c>
      <c r="C16478" s="2" t="s">
        <v>9</v>
      </c>
      <c r="D16478" s="2" t="s">
        <v>10</v>
      </c>
      <c r="E16478" s="2" t="str">
        <f>HYPERLINK("http://ts.21cn.com/tousu/show/id/1348231","http://ts.21cn.com/tousu/show/id/1348231")</f>
        <v>http://ts.21cn.com/tousu/show/id/1348231</v>
      </c>
      <c r="F16478" s="2" t="s">
        <v>11</v>
      </c>
      <c r="G16478" s="2" t="s">
        <v>11786</v>
      </c>
      <c r="H16478" s="2" t="s">
        <v>1916</v>
      </c>
    </row>
    <row r="16479" spans="1:8" ht="25.05" customHeight="1" x14ac:dyDescent="0.25">
      <c r="A16479" s="2" t="s">
        <v>8</v>
      </c>
      <c r="B16479" s="2" t="str">
        <f>HYPERLINK("http://ts.21cn.com/tousu/show/id/1348232","东莞市轻奢维体健身房第二次无缘无故关门，老板跑路")</f>
        <v>东莞市轻奢维体健身房第二次无缘无故关门，老板跑路</v>
      </c>
      <c r="C16479" s="2" t="s">
        <v>9</v>
      </c>
      <c r="D16479" s="2" t="s">
        <v>10</v>
      </c>
      <c r="E16479" s="2" t="str">
        <f>HYPERLINK("http://ts.21cn.com/tousu/show/id/1348232","http://ts.21cn.com/tousu/show/id/1348232")</f>
        <v>http://ts.21cn.com/tousu/show/id/1348232</v>
      </c>
      <c r="F16479" s="2" t="s">
        <v>11</v>
      </c>
      <c r="G16479" s="2" t="s">
        <v>11784</v>
      </c>
      <c r="H16479" s="2" t="s">
        <v>11785</v>
      </c>
    </row>
    <row r="16480" spans="1:8" ht="25.05" customHeight="1" x14ac:dyDescent="0.25">
      <c r="A16480" s="2" t="s">
        <v>8</v>
      </c>
      <c r="B16480" s="2" t="str">
        <f>HYPERLINK("http://ts.21cn.com/tousu/show/id/1348233","交易猫退款失败")</f>
        <v>交易猫退款失败</v>
      </c>
      <c r="C16480" s="2" t="s">
        <v>34</v>
      </c>
      <c r="D16480" s="2" t="s">
        <v>10</v>
      </c>
      <c r="E16480" s="2" t="str">
        <f>HYPERLINK("http://ts.21cn.com/tousu/show/id/1348233","http://ts.21cn.com/tousu/show/id/1348233")</f>
        <v>http://ts.21cn.com/tousu/show/id/1348233</v>
      </c>
      <c r="F16480" s="2" t="s">
        <v>11</v>
      </c>
      <c r="G16480" s="2" t="s">
        <v>11782</v>
      </c>
      <c r="H16480" s="2" t="s">
        <v>11783</v>
      </c>
    </row>
    <row r="16481" spans="1:8" ht="25.05" customHeight="1" x14ac:dyDescent="0.25">
      <c r="A16481" s="2" t="s">
        <v>8</v>
      </c>
      <c r="B16481" s="2" t="str">
        <f>HYPERLINK("http://ts.21cn.com/tousu/show/id/1348193","银行卡被盗刷，显示快钱公司扣款，快钱公司不负责")</f>
        <v>银行卡被盗刷，显示快钱公司扣款，快钱公司不负责</v>
      </c>
      <c r="C16481" s="2" t="s">
        <v>9</v>
      </c>
      <c r="D16481" s="2" t="s">
        <v>10</v>
      </c>
      <c r="E16481" s="2" t="str">
        <f>HYPERLINK("http://ts.21cn.com/tousu/show/id/1348193","http://ts.21cn.com/tousu/show/id/1348193")</f>
        <v>http://ts.21cn.com/tousu/show/id/1348193</v>
      </c>
      <c r="F16481" s="2" t="s">
        <v>11</v>
      </c>
      <c r="G16481" s="2" t="s">
        <v>11780</v>
      </c>
      <c r="H16481" s="2" t="s">
        <v>11781</v>
      </c>
    </row>
    <row r="16482" spans="1:8" ht="25.05" customHeight="1" x14ac:dyDescent="0.25">
      <c r="A16482" s="2" t="s">
        <v>8</v>
      </c>
      <c r="B16482" s="2" t="str">
        <f>HYPERLINK("http://ts.21cn.com/tousu/show/id/1348235","归还砍头息")</f>
        <v>归还砍头息</v>
      </c>
      <c r="C16482" s="2" t="s">
        <v>34</v>
      </c>
      <c r="D16482" s="2" t="s">
        <v>10</v>
      </c>
      <c r="E16482" s="2" t="str">
        <f>HYPERLINK("http://ts.21cn.com/tousu/show/id/1348235","http://ts.21cn.com/tousu/show/id/1348235")</f>
        <v>http://ts.21cn.com/tousu/show/id/1348235</v>
      </c>
      <c r="F16482" s="2" t="s">
        <v>11</v>
      </c>
      <c r="G16482" s="2" t="s">
        <v>11778</v>
      </c>
      <c r="H16482" s="2" t="s">
        <v>11779</v>
      </c>
    </row>
    <row r="16483" spans="1:8" ht="25.05" customHeight="1" x14ac:dyDescent="0.25">
      <c r="A16483" s="2" t="s">
        <v>8</v>
      </c>
      <c r="B16483" s="2" t="str">
        <f>HYPERLINK("http://ts.21cn.com/tousu/show/id/1348237","贷上钱使用网络号码催收，回电提示空号")</f>
        <v>贷上钱使用网络号码催收，回电提示空号</v>
      </c>
      <c r="C16483" s="2" t="s">
        <v>9</v>
      </c>
      <c r="D16483" s="2" t="s">
        <v>10</v>
      </c>
      <c r="E16483" s="2" t="str">
        <f>HYPERLINK("http://ts.21cn.com/tousu/show/id/1348237","http://ts.21cn.com/tousu/show/id/1348237")</f>
        <v>http://ts.21cn.com/tousu/show/id/1348237</v>
      </c>
      <c r="F16483" s="2" t="s">
        <v>11</v>
      </c>
      <c r="G16483" s="2" t="s">
        <v>11776</v>
      </c>
      <c r="H16483" s="2" t="s">
        <v>11777</v>
      </c>
    </row>
    <row r="16484" spans="1:8" ht="25.05" customHeight="1" x14ac:dyDescent="0.25">
      <c r="A16484" s="2" t="s">
        <v>8</v>
      </c>
      <c r="B16484" s="2" t="str">
        <f>HYPERLINK("http://ts.21cn.com/tousu/show/id/1348238","酷街714高炮，砍头息")</f>
        <v>酷街714高炮，砍头息</v>
      </c>
      <c r="C16484" s="2" t="s">
        <v>34</v>
      </c>
      <c r="D16484" s="2" t="s">
        <v>10</v>
      </c>
      <c r="E16484" s="2" t="str">
        <f>HYPERLINK("http://ts.21cn.com/tousu/show/id/1348238","http://ts.21cn.com/tousu/show/id/1348238")</f>
        <v>http://ts.21cn.com/tousu/show/id/1348238</v>
      </c>
      <c r="F16484" s="2" t="s">
        <v>11</v>
      </c>
      <c r="G16484" s="2" t="s">
        <v>11774</v>
      </c>
      <c r="H16484" s="2" t="s">
        <v>11775</v>
      </c>
    </row>
    <row r="16485" spans="1:8" ht="25.05" customHeight="1" x14ac:dyDescent="0.25">
      <c r="A16485" s="2" t="s">
        <v>8</v>
      </c>
      <c r="B16485" s="2" t="str">
        <f>HYPERLINK("http://ts.21cn.com/tousu/show/id/1348239","极速借汇盈金服暴力催收骚扰诽谤损坏个人名誉")</f>
        <v>极速借汇盈金服暴力催收骚扰诽谤损坏个人名誉</v>
      </c>
      <c r="C16485" s="2" t="s">
        <v>9</v>
      </c>
      <c r="D16485" s="2" t="s">
        <v>10</v>
      </c>
      <c r="E16485" s="2" t="str">
        <f>HYPERLINK("http://ts.21cn.com/tousu/show/id/1348239","http://ts.21cn.com/tousu/show/id/1348239")</f>
        <v>http://ts.21cn.com/tousu/show/id/1348239</v>
      </c>
      <c r="F16485" s="2" t="s">
        <v>11</v>
      </c>
      <c r="G16485" s="2" t="s">
        <v>11772</v>
      </c>
      <c r="H16485" s="2" t="s">
        <v>11773</v>
      </c>
    </row>
    <row r="16486" spans="1:8" ht="25.05" customHeight="1" x14ac:dyDescent="0.25">
      <c r="A16486" s="2" t="s">
        <v>8</v>
      </c>
      <c r="B16486" s="2" t="str">
        <f>HYPERLINK("http://ts.21cn.com/tousu/show/id/1348240","黑心假冒及时雨网贷平台欺诈")</f>
        <v>黑心假冒及时雨网贷平台欺诈</v>
      </c>
      <c r="C16486" s="2" t="s">
        <v>9</v>
      </c>
      <c r="D16486" s="2" t="s">
        <v>10</v>
      </c>
      <c r="E16486" s="2" t="str">
        <f>HYPERLINK("http://ts.21cn.com/tousu/show/id/1348240","http://ts.21cn.com/tousu/show/id/1348240")</f>
        <v>http://ts.21cn.com/tousu/show/id/1348240</v>
      </c>
      <c r="F16486" s="2" t="s">
        <v>11</v>
      </c>
      <c r="G16486" s="2" t="s">
        <v>11770</v>
      </c>
      <c r="H16486" s="2" t="s">
        <v>11771</v>
      </c>
    </row>
    <row r="16487" spans="1:8" ht="25.05" customHeight="1" x14ac:dyDescent="0.25">
      <c r="A16487" s="2" t="s">
        <v>8</v>
      </c>
      <c r="B16487" s="2" t="str">
        <f>HYPERLINK("http://ts.21cn.com/tousu/show/id/1348243","微粒贷微众银行委托第三方暴利催收天天收到威胁")</f>
        <v>微粒贷微众银行委托第三方暴利催收天天收到威胁</v>
      </c>
      <c r="C16487" s="2" t="s">
        <v>9</v>
      </c>
      <c r="D16487" s="2" t="s">
        <v>10</v>
      </c>
      <c r="E16487" s="2" t="str">
        <f>HYPERLINK("http://ts.21cn.com/tousu/show/id/1348243","http://ts.21cn.com/tousu/show/id/1348243")</f>
        <v>http://ts.21cn.com/tousu/show/id/1348243</v>
      </c>
      <c r="F16487" s="2" t="s">
        <v>11</v>
      </c>
      <c r="G16487" s="2" t="s">
        <v>11768</v>
      </c>
      <c r="H16487" s="2" t="s">
        <v>11769</v>
      </c>
    </row>
    <row r="16488" spans="1:8" ht="25.05" customHeight="1" x14ac:dyDescent="0.25">
      <c r="A16488" s="2" t="s">
        <v>8</v>
      </c>
      <c r="B16488" s="2" t="str">
        <f>HYPERLINK("http://ts.21cn.com/tousu/show/id/1348242","恐吓")</f>
        <v>恐吓</v>
      </c>
      <c r="C16488" s="2" t="s">
        <v>9</v>
      </c>
      <c r="D16488" s="2" t="s">
        <v>10</v>
      </c>
      <c r="E16488" s="2" t="str">
        <f>HYPERLINK("http://ts.21cn.com/tousu/show/id/1348242","http://ts.21cn.com/tousu/show/id/1348242")</f>
        <v>http://ts.21cn.com/tousu/show/id/1348242</v>
      </c>
      <c r="F16488" s="2" t="s">
        <v>11</v>
      </c>
      <c r="G16488" s="2" t="s">
        <v>11766</v>
      </c>
      <c r="H16488" s="2" t="s">
        <v>11767</v>
      </c>
    </row>
    <row r="16489" spans="1:8" ht="25.05" customHeight="1" x14ac:dyDescent="0.25">
      <c r="A16489" s="2" t="s">
        <v>8</v>
      </c>
      <c r="B16489" s="2" t="str">
        <f>HYPERLINK("http://ts.21cn.com/tousu/show/id/1348244","凯锐思买的狗粮狗狗吃过吐胃黏膜")</f>
        <v>凯锐思买的狗粮狗狗吃过吐胃黏膜</v>
      </c>
      <c r="C16489" s="2" t="s">
        <v>34</v>
      </c>
      <c r="D16489" s="2" t="s">
        <v>10</v>
      </c>
      <c r="E16489" s="2" t="str">
        <f>HYPERLINK("http://ts.21cn.com/tousu/show/id/1348244","http://ts.21cn.com/tousu/show/id/1348244")</f>
        <v>http://ts.21cn.com/tousu/show/id/1348244</v>
      </c>
      <c r="F16489" s="2" t="s">
        <v>11</v>
      </c>
      <c r="G16489" s="2" t="s">
        <v>11764</v>
      </c>
      <c r="H16489" s="2" t="s">
        <v>11765</v>
      </c>
    </row>
    <row r="16490" spans="1:8" ht="25.05" customHeight="1" x14ac:dyDescent="0.25">
      <c r="A16490" s="2" t="s">
        <v>8</v>
      </c>
      <c r="B16490" s="2" t="str">
        <f>HYPERLINK("http://ts.21cn.com/tousu/show/id/1348245","网约车驾驶证")</f>
        <v>网约车驾驶证</v>
      </c>
      <c r="C16490" s="2" t="s">
        <v>9</v>
      </c>
      <c r="D16490" s="2" t="s">
        <v>10</v>
      </c>
      <c r="E16490" s="2" t="str">
        <f>HYPERLINK("http://ts.21cn.com/tousu/show/id/1348245","http://ts.21cn.com/tousu/show/id/1348245")</f>
        <v>http://ts.21cn.com/tousu/show/id/1348245</v>
      </c>
      <c r="F16490" s="2" t="s">
        <v>11</v>
      </c>
      <c r="G16490" s="2" t="s">
        <v>11762</v>
      </c>
      <c r="H16490" s="2" t="s">
        <v>11763</v>
      </c>
    </row>
    <row r="16491" spans="1:8" ht="25.05" customHeight="1" x14ac:dyDescent="0.25">
      <c r="A16491" s="2" t="s">
        <v>8</v>
      </c>
      <c r="B16491" s="2" t="str">
        <f>HYPERLINK("http://ts.21cn.com/tousu/show/id/1348246","没过还款日电话信息响不停")</f>
        <v>没过还款日电话信息响不停</v>
      </c>
      <c r="C16491" s="2" t="s">
        <v>9</v>
      </c>
      <c r="D16491" s="2" t="s">
        <v>10</v>
      </c>
      <c r="E16491" s="2" t="str">
        <f>HYPERLINK("http://ts.21cn.com/tousu/show/id/1348246","http://ts.21cn.com/tousu/show/id/1348246")</f>
        <v>http://ts.21cn.com/tousu/show/id/1348246</v>
      </c>
      <c r="F16491" s="2" t="s">
        <v>11</v>
      </c>
      <c r="G16491" s="2" t="s">
        <v>11760</v>
      </c>
      <c r="H16491" s="2" t="s">
        <v>11761</v>
      </c>
    </row>
    <row r="16492" spans="1:8" ht="25.05" customHeight="1" x14ac:dyDescent="0.25">
      <c r="A16492" s="2" t="s">
        <v>8</v>
      </c>
      <c r="B16492" s="2" t="str">
        <f>HYPERLINK("http://ts.21cn.com/tousu/show/id/1348247","小浦优客未经同意扣款")</f>
        <v>小浦优客未经同意扣款</v>
      </c>
      <c r="C16492" s="2" t="s">
        <v>9</v>
      </c>
      <c r="D16492" s="2" t="s">
        <v>10</v>
      </c>
      <c r="E16492" s="2" t="str">
        <f>HYPERLINK("http://ts.21cn.com/tousu/show/id/1348247","http://ts.21cn.com/tousu/show/id/1348247")</f>
        <v>http://ts.21cn.com/tousu/show/id/1348247</v>
      </c>
      <c r="F16492" s="2" t="s">
        <v>11</v>
      </c>
      <c r="G16492" s="2" t="s">
        <v>11758</v>
      </c>
      <c r="H16492" s="2" t="s">
        <v>11759</v>
      </c>
    </row>
    <row r="16493" spans="1:8" ht="25.05" customHeight="1" x14ac:dyDescent="0.25">
      <c r="A16493" s="2" t="s">
        <v>8</v>
      </c>
      <c r="B16493" s="2" t="str">
        <f>HYPERLINK("http://ts.21cn.com/tousu/show/id/1348248","在不知情的情况下恶意扣款")</f>
        <v>在不知情的情况下恶意扣款</v>
      </c>
      <c r="C16493" s="2" t="s">
        <v>9</v>
      </c>
      <c r="D16493" s="2" t="s">
        <v>10</v>
      </c>
      <c r="E16493" s="2" t="str">
        <f>HYPERLINK("http://ts.21cn.com/tousu/show/id/1348248","http://ts.21cn.com/tousu/show/id/1348248")</f>
        <v>http://ts.21cn.com/tousu/show/id/1348248</v>
      </c>
      <c r="F16493" s="2" t="s">
        <v>11</v>
      </c>
      <c r="G16493" s="2" t="s">
        <v>11756</v>
      </c>
      <c r="H16493" s="2" t="s">
        <v>11757</v>
      </c>
    </row>
    <row r="16494" spans="1:8" ht="25.05" customHeight="1" x14ac:dyDescent="0.25">
      <c r="A16494" s="2" t="s">
        <v>8</v>
      </c>
      <c r="B16494" s="2" t="str">
        <f>HYPERLINK("http://ts.21cn.com/tousu/show/id/1348249","暴力催收威胁恐吓")</f>
        <v>暴力催收威胁恐吓</v>
      </c>
      <c r="C16494" s="2" t="s">
        <v>9</v>
      </c>
      <c r="D16494" s="2" t="s">
        <v>10</v>
      </c>
      <c r="E16494" s="2" t="str">
        <f>HYPERLINK("http://ts.21cn.com/tousu/show/id/1348249","http://ts.21cn.com/tousu/show/id/1348249")</f>
        <v>http://ts.21cn.com/tousu/show/id/1348249</v>
      </c>
      <c r="F16494" s="2" t="s">
        <v>11</v>
      </c>
      <c r="G16494" s="2" t="s">
        <v>11754</v>
      </c>
      <c r="H16494" s="2" t="s">
        <v>11755</v>
      </c>
    </row>
    <row r="16495" spans="1:8" ht="25.05" customHeight="1" x14ac:dyDescent="0.25">
      <c r="A16495" s="2" t="s">
        <v>8</v>
      </c>
      <c r="B16495" s="2" t="str">
        <f>HYPERLINK("http://ts.21cn.com/tousu/show/id/1348250","下载了app，要求绑定银行卡，生成报告，未经同意私自扣款，也并没有提到服务费，也没有表明服务费的价格。未经本人同意私自扣")</f>
        <v>下载了app，要求绑定银行卡，生成报告，未经同意私自扣款，也并没有提到服务费，也没有表明服务费的价格。未经本人同意私自扣</v>
      </c>
      <c r="C16495" s="2" t="s">
        <v>34</v>
      </c>
      <c r="D16495" s="2" t="s">
        <v>10</v>
      </c>
      <c r="E16495" s="2" t="str">
        <f>HYPERLINK("http://ts.21cn.com/tousu/show/id/1348250","http://ts.21cn.com/tousu/show/id/1348250")</f>
        <v>http://ts.21cn.com/tousu/show/id/1348250</v>
      </c>
      <c r="F16495" s="2" t="s">
        <v>11</v>
      </c>
      <c r="G16495" s="2" t="s">
        <v>11753</v>
      </c>
      <c r="H16495" s="2" t="s">
        <v>10213</v>
      </c>
    </row>
    <row r="16496" spans="1:8" ht="25.05" customHeight="1" x14ac:dyDescent="0.25">
      <c r="A16496" s="2" t="s">
        <v>8</v>
      </c>
      <c r="B16496" s="2" t="str">
        <f>HYPERLINK("http://ts.21cn.com/tousu/show/id/1348251","滴滴霸王条约")</f>
        <v>滴滴霸王条约</v>
      </c>
      <c r="C16496" s="2" t="s">
        <v>9</v>
      </c>
      <c r="D16496" s="2" t="s">
        <v>10</v>
      </c>
      <c r="E16496" s="2" t="str">
        <f>HYPERLINK("http://ts.21cn.com/tousu/show/id/1348251","http://ts.21cn.com/tousu/show/id/1348251")</f>
        <v>http://ts.21cn.com/tousu/show/id/1348251</v>
      </c>
      <c r="F16496" s="2" t="s">
        <v>11</v>
      </c>
      <c r="G16496" s="2" t="s">
        <v>11751</v>
      </c>
      <c r="H16496" s="2" t="s">
        <v>11752</v>
      </c>
    </row>
    <row r="16497" spans="1:8" ht="25.05" customHeight="1" x14ac:dyDescent="0.25">
      <c r="A16497" s="2" t="s">
        <v>8</v>
      </c>
      <c r="B16497" s="2" t="str">
        <f>HYPERLINK("http://ts.21cn.com/tousu/show/id/1348252","及贷暴力催收")</f>
        <v>及贷暴力催收</v>
      </c>
      <c r="C16497" s="2" t="s">
        <v>9</v>
      </c>
      <c r="D16497" s="2" t="s">
        <v>10</v>
      </c>
      <c r="E16497" s="2" t="str">
        <f>HYPERLINK("http://ts.21cn.com/tousu/show/id/1348252","http://ts.21cn.com/tousu/show/id/1348252")</f>
        <v>http://ts.21cn.com/tousu/show/id/1348252</v>
      </c>
      <c r="F16497" s="2" t="s">
        <v>11</v>
      </c>
      <c r="G16497" s="2" t="s">
        <v>11749</v>
      </c>
      <c r="H16497" s="2" t="s">
        <v>11750</v>
      </c>
    </row>
    <row r="16498" spans="1:8" ht="25.05" customHeight="1" x14ac:dyDescent="0.25">
      <c r="A16498" s="2" t="s">
        <v>8</v>
      </c>
      <c r="B16498" s="2" t="str">
        <f>HYPERLINK("http://ts.21cn.com/tousu/show/id/1348253","小浦优客未经同意扣款")</f>
        <v>小浦优客未经同意扣款</v>
      </c>
      <c r="C16498" s="2" t="s">
        <v>34</v>
      </c>
      <c r="D16498" s="2" t="s">
        <v>10</v>
      </c>
      <c r="E16498" s="2" t="str">
        <f>HYPERLINK("http://ts.21cn.com/tousu/show/id/1348253","http://ts.21cn.com/tousu/show/id/1348253")</f>
        <v>http://ts.21cn.com/tousu/show/id/1348253</v>
      </c>
      <c r="F16498" s="2" t="s">
        <v>11</v>
      </c>
      <c r="G16498" s="2" t="s">
        <v>11747</v>
      </c>
      <c r="H16498" s="2" t="s">
        <v>11748</v>
      </c>
    </row>
    <row r="16499" spans="1:8" ht="25.05" customHeight="1" x14ac:dyDescent="0.25">
      <c r="A16499" s="2" t="s">
        <v>8</v>
      </c>
      <c r="B16499" s="2" t="str">
        <f>HYPERLINK("http://ts.21cn.com/tousu/show/id/1348254","造艺科技强制收取高额咨询费，赚钱赚疯了")</f>
        <v>造艺科技强制收取高额咨询费，赚钱赚疯了</v>
      </c>
      <c r="C16499" s="2" t="s">
        <v>9</v>
      </c>
      <c r="D16499" s="2" t="s">
        <v>10</v>
      </c>
      <c r="E16499" s="2" t="str">
        <f>HYPERLINK("http://ts.21cn.com/tousu/show/id/1348254","http://ts.21cn.com/tousu/show/id/1348254")</f>
        <v>http://ts.21cn.com/tousu/show/id/1348254</v>
      </c>
      <c r="F16499" s="2" t="s">
        <v>11</v>
      </c>
      <c r="G16499" s="2" t="s">
        <v>11745</v>
      </c>
      <c r="H16499" s="2" t="s">
        <v>11746</v>
      </c>
    </row>
    <row r="16500" spans="1:8" ht="25.05" customHeight="1" x14ac:dyDescent="0.25">
      <c r="A16500" s="2" t="s">
        <v>8</v>
      </c>
      <c r="B16500" s="2" t="str">
        <f>HYPERLINK("http://ts.21cn.com/tousu/show/id/1348139","深圳国银盛达融资担保有限公司胡乱上传代偿信息为高利贷公司保驾护航")</f>
        <v>深圳国银盛达融资担保有限公司胡乱上传代偿信息为高利贷公司保驾护航</v>
      </c>
      <c r="C16500" s="2" t="s">
        <v>34</v>
      </c>
      <c r="D16500" s="2" t="s">
        <v>10</v>
      </c>
      <c r="E16500" s="2" t="str">
        <f>HYPERLINK("http://ts.21cn.com/tousu/show/id/1348139","http://ts.21cn.com/tousu/show/id/1348139")</f>
        <v>http://ts.21cn.com/tousu/show/id/1348139</v>
      </c>
      <c r="F16500" s="2" t="s">
        <v>11</v>
      </c>
      <c r="G16500" s="2" t="s">
        <v>11743</v>
      </c>
      <c r="H16500" s="2" t="s">
        <v>11744</v>
      </c>
    </row>
    <row r="16501" spans="1:8" ht="25.05" customHeight="1" x14ac:dyDescent="0.25">
      <c r="A16501" s="2" t="s">
        <v>8</v>
      </c>
      <c r="B16501" s="2" t="str">
        <f>HYPERLINK("http://ts.21cn.com/tousu/show/id/1348255","网贷平台提前还款还要收剩余分期利息")</f>
        <v>网贷平台提前还款还要收剩余分期利息</v>
      </c>
      <c r="C16501" s="2" t="s">
        <v>9</v>
      </c>
      <c r="D16501" s="2" t="s">
        <v>10</v>
      </c>
      <c r="E16501" s="2" t="str">
        <f>HYPERLINK("http://ts.21cn.com/tousu/show/id/1348255","http://ts.21cn.com/tousu/show/id/1348255")</f>
        <v>http://ts.21cn.com/tousu/show/id/1348255</v>
      </c>
      <c r="F16501" s="2" t="s">
        <v>11</v>
      </c>
      <c r="G16501" s="2" t="s">
        <v>11741</v>
      </c>
      <c r="H16501" s="2" t="s">
        <v>11742</v>
      </c>
    </row>
    <row r="16502" spans="1:8" ht="25.05" customHeight="1" x14ac:dyDescent="0.25">
      <c r="A16502" s="2" t="s">
        <v>8</v>
      </c>
      <c r="B16502" s="2" t="str">
        <f>HYPERLINK("http://ts.21cn.com/tousu/show/id/1348256","京广快递态度恶劣")</f>
        <v>京广快递态度恶劣</v>
      </c>
      <c r="C16502" s="2" t="s">
        <v>9</v>
      </c>
      <c r="D16502" s="2" t="s">
        <v>10</v>
      </c>
      <c r="E16502" s="2" t="str">
        <f>HYPERLINK("http://ts.21cn.com/tousu/show/id/1348256","http://ts.21cn.com/tousu/show/id/1348256")</f>
        <v>http://ts.21cn.com/tousu/show/id/1348256</v>
      </c>
      <c r="F16502" s="2" t="s">
        <v>11</v>
      </c>
      <c r="G16502" s="2" t="s">
        <v>11739</v>
      </c>
      <c r="H16502" s="2" t="s">
        <v>11740</v>
      </c>
    </row>
    <row r="16503" spans="1:8" ht="25.05" customHeight="1" x14ac:dyDescent="0.25">
      <c r="A16503" s="2" t="s">
        <v>8</v>
      </c>
      <c r="B16503" s="2" t="str">
        <f>HYPERLINK("http://ts.21cn.com/tousu/show/id/1348259","交易猫不给退款")</f>
        <v>交易猫不给退款</v>
      </c>
      <c r="C16503" s="2" t="s">
        <v>9</v>
      </c>
      <c r="D16503" s="2" t="s">
        <v>10</v>
      </c>
      <c r="E16503" s="2" t="str">
        <f>HYPERLINK("http://ts.21cn.com/tousu/show/id/1348259","http://ts.21cn.com/tousu/show/id/1348259")</f>
        <v>http://ts.21cn.com/tousu/show/id/1348259</v>
      </c>
      <c r="F16503" s="2" t="s">
        <v>11</v>
      </c>
      <c r="G16503" s="2" t="s">
        <v>11737</v>
      </c>
      <c r="H16503" s="2" t="s">
        <v>11738</v>
      </c>
    </row>
    <row r="16504" spans="1:8" ht="25.05" customHeight="1" x14ac:dyDescent="0.25">
      <c r="A16504" s="2" t="s">
        <v>8</v>
      </c>
      <c r="B16504" s="2" t="str">
        <f>HYPERLINK("http://ts.21cn.com/tousu/show/id/1348258","联动云客服说差3升油，补了5升油，回来车停到停车场没动，第二天结算竟然又差5.8升油")</f>
        <v>联动云客服说差3升油，补了5升油，回来车停到停车场没动，第二天结算竟然又差5.8升油</v>
      </c>
      <c r="C16504" s="2" t="s">
        <v>9</v>
      </c>
      <c r="D16504" s="2" t="s">
        <v>10</v>
      </c>
      <c r="E16504" s="2" t="str">
        <f>HYPERLINK("http://ts.21cn.com/tousu/show/id/1348258","http://ts.21cn.com/tousu/show/id/1348258")</f>
        <v>http://ts.21cn.com/tousu/show/id/1348258</v>
      </c>
      <c r="F16504" s="2" t="s">
        <v>11</v>
      </c>
      <c r="G16504" s="2" t="s">
        <v>11735</v>
      </c>
      <c r="H16504" s="2" t="s">
        <v>11736</v>
      </c>
    </row>
    <row r="16505" spans="1:8" ht="25.05" customHeight="1" x14ac:dyDescent="0.25">
      <c r="A16505" s="2" t="s">
        <v>8</v>
      </c>
      <c r="B16505" s="2" t="str">
        <f>HYPERLINK("http://ts.21cn.com/tousu/show/id/1348261","修改注册城市变成初始分")</f>
        <v>修改注册城市变成初始分</v>
      </c>
      <c r="C16505" s="2" t="s">
        <v>34</v>
      </c>
      <c r="D16505" s="2" t="s">
        <v>10</v>
      </c>
      <c r="E16505" s="2" t="str">
        <f>HYPERLINK("http://ts.21cn.com/tousu/show/id/1348261","http://ts.21cn.com/tousu/show/id/1348261")</f>
        <v>http://ts.21cn.com/tousu/show/id/1348261</v>
      </c>
      <c r="F16505" s="2" t="s">
        <v>11</v>
      </c>
      <c r="G16505" s="2" t="s">
        <v>11733</v>
      </c>
      <c r="H16505" s="2" t="s">
        <v>11734</v>
      </c>
    </row>
    <row r="16506" spans="1:8" ht="25.05" customHeight="1" x14ac:dyDescent="0.25">
      <c r="A16506" s="2" t="s">
        <v>8</v>
      </c>
      <c r="B16506" s="2" t="str">
        <f>HYPERLINK("http://ts.21cn.com/tousu/show/id/1348260","在交易猫平台退款失败")</f>
        <v>在交易猫平台退款失败</v>
      </c>
      <c r="C16506" s="2" t="s">
        <v>34</v>
      </c>
      <c r="D16506" s="2" t="s">
        <v>10</v>
      </c>
      <c r="E16506" s="2" t="str">
        <f>HYPERLINK("http://ts.21cn.com/tousu/show/id/1348260","http://ts.21cn.com/tousu/show/id/1348260")</f>
        <v>http://ts.21cn.com/tousu/show/id/1348260</v>
      </c>
      <c r="F16506" s="2" t="s">
        <v>11</v>
      </c>
      <c r="G16506" s="2" t="s">
        <v>11731</v>
      </c>
      <c r="H16506" s="2" t="s">
        <v>11732</v>
      </c>
    </row>
    <row r="16507" spans="1:8" ht="25.05" customHeight="1" x14ac:dyDescent="0.25">
      <c r="A16507" s="2" t="s">
        <v>8</v>
      </c>
      <c r="B16507" s="2" t="str">
        <f>HYPERLINK("http://ts.21cn.com/tousu/show/id/1348262","乱收费")</f>
        <v>乱收费</v>
      </c>
      <c r="C16507" s="2" t="s">
        <v>9</v>
      </c>
      <c r="D16507" s="2" t="s">
        <v>10</v>
      </c>
      <c r="E16507" s="2" t="str">
        <f>HYPERLINK("http://ts.21cn.com/tousu/show/id/1348262","http://ts.21cn.com/tousu/show/id/1348262")</f>
        <v>http://ts.21cn.com/tousu/show/id/1348262</v>
      </c>
      <c r="F16507" s="2" t="s">
        <v>11</v>
      </c>
      <c r="G16507" s="2" t="s">
        <v>11729</v>
      </c>
      <c r="H16507" s="2" t="s">
        <v>11730</v>
      </c>
    </row>
    <row r="16508" spans="1:8" ht="25.05" customHeight="1" x14ac:dyDescent="0.25">
      <c r="A16508" s="2" t="s">
        <v>8</v>
      </c>
      <c r="B16508" s="2" t="str">
        <f>HYPERLINK("http://ts.21cn.com/tousu/show/id/1348263","百事普惠恶意扣款并未提供服务，要求退还")</f>
        <v>百事普惠恶意扣款并未提供服务，要求退还</v>
      </c>
      <c r="C16508" s="2" t="s">
        <v>9</v>
      </c>
      <c r="D16508" s="2" t="s">
        <v>10</v>
      </c>
      <c r="E16508" s="2" t="str">
        <f>HYPERLINK("http://ts.21cn.com/tousu/show/id/1348263","http://ts.21cn.com/tousu/show/id/1348263")</f>
        <v>http://ts.21cn.com/tousu/show/id/1348263</v>
      </c>
      <c r="F16508" s="2" t="s">
        <v>11</v>
      </c>
      <c r="G16508" s="2" t="s">
        <v>11727</v>
      </c>
      <c r="H16508" s="2" t="s">
        <v>11728</v>
      </c>
    </row>
    <row r="16509" spans="1:8" ht="25.05" customHeight="1" x14ac:dyDescent="0.25">
      <c r="A16509" s="2" t="s">
        <v>8</v>
      </c>
      <c r="B16509" s="2" t="str">
        <f>HYPERLINK("http://ts.21cn.com/tousu/show/id/1348216","网络营销")</f>
        <v>网络营销</v>
      </c>
      <c r="C16509" s="2" t="s">
        <v>9</v>
      </c>
      <c r="D16509" s="2" t="s">
        <v>10</v>
      </c>
      <c r="E16509" s="2" t="str">
        <f>HYPERLINK("http://ts.21cn.com/tousu/show/id/1348216","http://ts.21cn.com/tousu/show/id/1348216")</f>
        <v>http://ts.21cn.com/tousu/show/id/1348216</v>
      </c>
      <c r="F16509" s="2" t="s">
        <v>11</v>
      </c>
      <c r="G16509" s="2" t="s">
        <v>11725</v>
      </c>
      <c r="H16509" s="2" t="s">
        <v>11726</v>
      </c>
    </row>
    <row r="16510" spans="1:8" ht="25.05" customHeight="1" x14ac:dyDescent="0.25">
      <c r="A16510" s="2" t="s">
        <v>8</v>
      </c>
      <c r="B16510" s="2" t="str">
        <f>HYPERLINK("http://ts.21cn.com/tousu/show/id/1348234","360借条各种违法行径")</f>
        <v>360借条各种违法行径</v>
      </c>
      <c r="C16510" s="2" t="s">
        <v>9</v>
      </c>
      <c r="D16510" s="2" t="s">
        <v>10</v>
      </c>
      <c r="E16510" s="2" t="str">
        <f>HYPERLINK("http://ts.21cn.com/tousu/show/id/1348234","http://ts.21cn.com/tousu/show/id/1348234")</f>
        <v>http://ts.21cn.com/tousu/show/id/1348234</v>
      </c>
      <c r="F16510" s="2" t="s">
        <v>11</v>
      </c>
      <c r="G16510" s="2" t="s">
        <v>11723</v>
      </c>
      <c r="H16510" s="2" t="s">
        <v>11724</v>
      </c>
    </row>
    <row r="16511" spans="1:8" ht="25.05" customHeight="1" x14ac:dyDescent="0.25">
      <c r="A16511" s="2" t="s">
        <v>8</v>
      </c>
      <c r="B16511" s="2" t="str">
        <f>HYPERLINK("http://ts.21cn.com/tousu/show/id/1348257","利用会员制度进行充值")</f>
        <v>利用会员制度进行充值</v>
      </c>
      <c r="C16511" s="2" t="s">
        <v>34</v>
      </c>
      <c r="D16511" s="2" t="s">
        <v>10</v>
      </c>
      <c r="E16511" s="2" t="str">
        <f>HYPERLINK("http://ts.21cn.com/tousu/show/id/1348257","http://ts.21cn.com/tousu/show/id/1348257")</f>
        <v>http://ts.21cn.com/tousu/show/id/1348257</v>
      </c>
      <c r="F16511" s="2" t="s">
        <v>11</v>
      </c>
      <c r="G16511" s="2" t="s">
        <v>11721</v>
      </c>
      <c r="H16511" s="2" t="s">
        <v>11722</v>
      </c>
    </row>
    <row r="16512" spans="1:8" ht="25.05" customHeight="1" x14ac:dyDescent="0.25">
      <c r="A16512" s="2" t="s">
        <v>8</v>
      </c>
      <c r="B16512" s="2" t="str">
        <f>HYPERLINK("http://ts.21cn.com/tousu/show/id/1348264","马上消费金融，暴力催收，群发短信，恐吓催收")</f>
        <v>马上消费金融，暴力催收，群发短信，恐吓催收</v>
      </c>
      <c r="C16512" s="2" t="s">
        <v>9</v>
      </c>
      <c r="D16512" s="2" t="s">
        <v>10</v>
      </c>
      <c r="E16512" s="2" t="str">
        <f>HYPERLINK("http://ts.21cn.com/tousu/show/id/1348264","http://ts.21cn.com/tousu/show/id/1348264")</f>
        <v>http://ts.21cn.com/tousu/show/id/1348264</v>
      </c>
      <c r="F16512" s="2" t="s">
        <v>11</v>
      </c>
      <c r="G16512" s="2" t="s">
        <v>11719</v>
      </c>
      <c r="H16512" s="2" t="s">
        <v>11720</v>
      </c>
    </row>
    <row r="16513" spans="1:8" ht="25.05" customHeight="1" x14ac:dyDescent="0.25">
      <c r="A16513" s="2" t="s">
        <v>8</v>
      </c>
      <c r="B16513" s="2" t="str">
        <f>HYPERLINK("http://ts.21cn.com/tousu/show/id/1348265","滴滴出行旗下贷款平台滴滴分期高利贷")</f>
        <v>滴滴出行旗下贷款平台滴滴分期高利贷</v>
      </c>
      <c r="C16513" s="2" t="s">
        <v>9</v>
      </c>
      <c r="D16513" s="2" t="s">
        <v>10</v>
      </c>
      <c r="E16513" s="2" t="str">
        <f>HYPERLINK("http://ts.21cn.com/tousu/show/id/1348265","http://ts.21cn.com/tousu/show/id/1348265")</f>
        <v>http://ts.21cn.com/tousu/show/id/1348265</v>
      </c>
      <c r="F16513" s="2" t="s">
        <v>11</v>
      </c>
      <c r="G16513" s="2" t="s">
        <v>11717</v>
      </c>
      <c r="H16513" s="2" t="s">
        <v>11718</v>
      </c>
    </row>
    <row r="16514" spans="1:8" ht="25.05" customHeight="1" x14ac:dyDescent="0.25">
      <c r="A16514" s="2" t="s">
        <v>8</v>
      </c>
      <c r="B16514" s="2" t="str">
        <f>HYPERLINK("http://ts.21cn.com/tousu/show/id/1348266","平安普惠i贷催收")</f>
        <v>平安普惠i贷催收</v>
      </c>
      <c r="C16514" s="2" t="s">
        <v>9</v>
      </c>
      <c r="D16514" s="2" t="s">
        <v>10</v>
      </c>
      <c r="E16514" s="2" t="str">
        <f>HYPERLINK("http://ts.21cn.com/tousu/show/id/1348266","http://ts.21cn.com/tousu/show/id/1348266")</f>
        <v>http://ts.21cn.com/tousu/show/id/1348266</v>
      </c>
      <c r="F16514" s="2" t="s">
        <v>11</v>
      </c>
      <c r="G16514" s="2" t="s">
        <v>11715</v>
      </c>
      <c r="H16514" s="2" t="s">
        <v>11716</v>
      </c>
    </row>
    <row r="16515" spans="1:8" ht="25.05" customHeight="1" x14ac:dyDescent="0.25">
      <c r="A16515" s="2" t="s">
        <v>8</v>
      </c>
      <c r="B16515" s="2" t="str">
        <f>HYPERLINK("http://ts.21cn.com/tousu/show/id/1348268","上海宏萨恶意扣款296元")</f>
        <v>上海宏萨恶意扣款296元</v>
      </c>
      <c r="C16515" s="2" t="s">
        <v>9</v>
      </c>
      <c r="D16515" s="2" t="s">
        <v>10</v>
      </c>
      <c r="E16515" s="2" t="str">
        <f>HYPERLINK("http://ts.21cn.com/tousu/show/id/1348268","http://ts.21cn.com/tousu/show/id/1348268")</f>
        <v>http://ts.21cn.com/tousu/show/id/1348268</v>
      </c>
      <c r="F16515" s="2" t="s">
        <v>11</v>
      </c>
      <c r="G16515" s="2" t="s">
        <v>11713</v>
      </c>
      <c r="H16515" s="2" t="s">
        <v>11714</v>
      </c>
    </row>
    <row r="16516" spans="1:8" ht="25.05" customHeight="1" x14ac:dyDescent="0.25">
      <c r="A16516" s="2" t="s">
        <v>8</v>
      </c>
      <c r="B16516" s="2" t="str">
        <f>HYPERLINK("http://ts.21cn.com/tousu/show/id/1348267","造艺科技泄露个人隐私")</f>
        <v>造艺科技泄露个人隐私</v>
      </c>
      <c r="C16516" s="2" t="s">
        <v>9</v>
      </c>
      <c r="D16516" s="2" t="s">
        <v>10</v>
      </c>
      <c r="E16516" s="2" t="str">
        <f>HYPERLINK("http://ts.21cn.com/tousu/show/id/1348267","http://ts.21cn.com/tousu/show/id/1348267")</f>
        <v>http://ts.21cn.com/tousu/show/id/1348267</v>
      </c>
      <c r="F16516" s="2" t="s">
        <v>11</v>
      </c>
      <c r="G16516" s="2" t="s">
        <v>11711</v>
      </c>
      <c r="H16516" s="2" t="s">
        <v>11712</v>
      </c>
    </row>
    <row r="16517" spans="1:8" ht="25.05" customHeight="1" x14ac:dyDescent="0.25">
      <c r="A16517" s="2" t="s">
        <v>8</v>
      </c>
      <c r="B16517" s="2" t="str">
        <f>HYPERLINK("http://ts.21cn.com/tousu/show/id/1348271","钱站高利贷阴阳合同")</f>
        <v>钱站高利贷阴阳合同</v>
      </c>
      <c r="C16517" s="2" t="s">
        <v>9</v>
      </c>
      <c r="D16517" s="2" t="s">
        <v>10</v>
      </c>
      <c r="E16517" s="2" t="str">
        <f>HYPERLINK("http://ts.21cn.com/tousu/show/id/1348271","http://ts.21cn.com/tousu/show/id/1348271")</f>
        <v>http://ts.21cn.com/tousu/show/id/1348271</v>
      </c>
      <c r="F16517" s="2" t="s">
        <v>11</v>
      </c>
      <c r="G16517" s="2" t="s">
        <v>11709</v>
      </c>
      <c r="H16517" s="2" t="s">
        <v>11710</v>
      </c>
    </row>
    <row r="16518" spans="1:8" ht="25.05" customHeight="1" x14ac:dyDescent="0.25">
      <c r="A16518" s="2" t="s">
        <v>8</v>
      </c>
      <c r="B16518" s="2" t="str">
        <f>HYPERLINK("http://ts.21cn.com/tousu/show/id/1348269","不退续保押金")</f>
        <v>不退续保押金</v>
      </c>
      <c r="C16518" s="2" t="s">
        <v>34</v>
      </c>
      <c r="D16518" s="2" t="s">
        <v>10</v>
      </c>
      <c r="E16518" s="2" t="str">
        <f>HYPERLINK("http://ts.21cn.com/tousu/show/id/1348269","http://ts.21cn.com/tousu/show/id/1348269")</f>
        <v>http://ts.21cn.com/tousu/show/id/1348269</v>
      </c>
      <c r="F16518" s="2" t="s">
        <v>11</v>
      </c>
      <c r="G16518" s="2" t="s">
        <v>11706</v>
      </c>
      <c r="H16518" s="2" t="s">
        <v>11707</v>
      </c>
    </row>
    <row r="16519" spans="1:8" ht="25.05" customHeight="1" x14ac:dyDescent="0.25">
      <c r="A16519" s="2" t="s">
        <v>8</v>
      </c>
      <c r="B16519" s="2" t="str">
        <f>HYPERLINK("http://ts.21cn.com/tousu/show/id/1348270","微粒贷暴力催收")</f>
        <v>微粒贷暴力催收</v>
      </c>
      <c r="C16519" s="2" t="s">
        <v>9</v>
      </c>
      <c r="D16519" s="2" t="s">
        <v>10</v>
      </c>
      <c r="E16519" s="2" t="str">
        <f>HYPERLINK("http://ts.21cn.com/tousu/show/id/1348270","http://ts.21cn.com/tousu/show/id/1348270")</f>
        <v>http://ts.21cn.com/tousu/show/id/1348270</v>
      </c>
      <c r="F16519" s="2" t="s">
        <v>11</v>
      </c>
      <c r="G16519" s="2" t="s">
        <v>11706</v>
      </c>
      <c r="H16519" s="2" t="s">
        <v>11708</v>
      </c>
    </row>
    <row r="16520" spans="1:8" ht="25.05" customHeight="1" x14ac:dyDescent="0.25">
      <c r="A16520" s="2" t="s">
        <v>8</v>
      </c>
      <c r="B16520" s="2" t="str">
        <f>HYPERLINK("http://ts.21cn.com/tousu/show/id/1348272","360借条玩文字游戏放高利贷")</f>
        <v>360借条玩文字游戏放高利贷</v>
      </c>
      <c r="C16520" s="2" t="s">
        <v>9</v>
      </c>
      <c r="D16520" s="2" t="s">
        <v>10</v>
      </c>
      <c r="E16520" s="2" t="str">
        <f>HYPERLINK("http://ts.21cn.com/tousu/show/id/1348272","http://ts.21cn.com/tousu/show/id/1348272")</f>
        <v>http://ts.21cn.com/tousu/show/id/1348272</v>
      </c>
      <c r="F16520" s="2" t="s">
        <v>11</v>
      </c>
      <c r="G16520" s="2" t="s">
        <v>11704</v>
      </c>
      <c r="H16520" s="2" t="s">
        <v>11705</v>
      </c>
    </row>
    <row r="16521" spans="1:8" ht="25.05" customHeight="1" x14ac:dyDescent="0.25">
      <c r="A16521" s="2" t="s">
        <v>8</v>
      </c>
      <c r="B16521" s="2" t="str">
        <f>HYPERLINK("http://ts.21cn.com/tousu/show/id/1348273","交易猫退款失败")</f>
        <v>交易猫退款失败</v>
      </c>
      <c r="C16521" s="2" t="s">
        <v>9</v>
      </c>
      <c r="D16521" s="2" t="s">
        <v>10</v>
      </c>
      <c r="E16521" s="2" t="str">
        <f>HYPERLINK("http://ts.21cn.com/tousu/show/id/1348273","http://ts.21cn.com/tousu/show/id/1348273")</f>
        <v>http://ts.21cn.com/tousu/show/id/1348273</v>
      </c>
      <c r="F16521" s="2" t="s">
        <v>11</v>
      </c>
      <c r="G16521" s="2" t="s">
        <v>11702</v>
      </c>
      <c r="H16521" s="2" t="s">
        <v>11703</v>
      </c>
    </row>
    <row r="16522" spans="1:8" ht="25.05" customHeight="1" x14ac:dyDescent="0.25">
      <c r="A16522" s="2" t="s">
        <v>8</v>
      </c>
      <c r="B16522" s="2" t="str">
        <f>HYPERLINK("http://ts.21cn.com/tousu/show/id/1348274","利息高的出奇，还有砍头息")</f>
        <v>利息高的出奇，还有砍头息</v>
      </c>
      <c r="C16522" s="2" t="s">
        <v>9</v>
      </c>
      <c r="D16522" s="2" t="s">
        <v>10</v>
      </c>
      <c r="E16522" s="2" t="str">
        <f>HYPERLINK("http://ts.21cn.com/tousu/show/id/1348274","http://ts.21cn.com/tousu/show/id/1348274")</f>
        <v>http://ts.21cn.com/tousu/show/id/1348274</v>
      </c>
      <c r="F16522" s="2" t="s">
        <v>11</v>
      </c>
      <c r="G16522" s="2" t="s">
        <v>11700</v>
      </c>
      <c r="H16522" s="2" t="s">
        <v>11701</v>
      </c>
    </row>
    <row r="16523" spans="1:8" ht="25.05" customHeight="1" x14ac:dyDescent="0.25">
      <c r="A16523" s="2" t="s">
        <v>8</v>
      </c>
      <c r="B16523" s="2" t="str">
        <f>HYPERLINK("http://ts.21cn.com/tousu/show/id/1348275","北京有缘诱导用户开通免密支付，恶意扣钱")</f>
        <v>北京有缘诱导用户开通免密支付，恶意扣钱</v>
      </c>
      <c r="C16523" s="2" t="s">
        <v>9</v>
      </c>
      <c r="D16523" s="2" t="s">
        <v>10</v>
      </c>
      <c r="E16523" s="2" t="str">
        <f>HYPERLINK("http://ts.21cn.com/tousu/show/id/1348275","http://ts.21cn.com/tousu/show/id/1348275")</f>
        <v>http://ts.21cn.com/tousu/show/id/1348275</v>
      </c>
      <c r="F16523" s="2" t="s">
        <v>11</v>
      </c>
      <c r="G16523" s="2" t="s">
        <v>11698</v>
      </c>
      <c r="H16523" s="2" t="s">
        <v>11699</v>
      </c>
    </row>
    <row r="16524" spans="1:8" ht="25.05" customHeight="1" x14ac:dyDescent="0.25">
      <c r="A16524" s="2" t="s">
        <v>8</v>
      </c>
      <c r="B16524" s="2" t="str">
        <f>HYPERLINK("http://ts.21cn.com/tousu/show/id/1348276","小浦游客乱扣费")</f>
        <v>小浦游客乱扣费</v>
      </c>
      <c r="C16524" s="2" t="s">
        <v>9</v>
      </c>
      <c r="D16524" s="2" t="s">
        <v>10</v>
      </c>
      <c r="E16524" s="2" t="str">
        <f>HYPERLINK("http://ts.21cn.com/tousu/show/id/1348276","http://ts.21cn.com/tousu/show/id/1348276")</f>
        <v>http://ts.21cn.com/tousu/show/id/1348276</v>
      </c>
      <c r="F16524" s="2" t="s">
        <v>11</v>
      </c>
      <c r="G16524" s="2" t="s">
        <v>11696</v>
      </c>
      <c r="H16524" s="2" t="s">
        <v>11697</v>
      </c>
    </row>
    <row r="16525" spans="1:8" ht="25.05" customHeight="1" x14ac:dyDescent="0.25">
      <c r="A16525" s="2" t="s">
        <v>8</v>
      </c>
      <c r="B16525" s="2" t="str">
        <f>HYPERLINK("http://ts.21cn.com/tousu/show/id/1348278","非法获取本人信息透漏给第三方")</f>
        <v>非法获取本人信息透漏给第三方</v>
      </c>
      <c r="C16525" s="2" t="s">
        <v>9</v>
      </c>
      <c r="D16525" s="2" t="s">
        <v>10</v>
      </c>
      <c r="E16525" s="2" t="str">
        <f>HYPERLINK("http://ts.21cn.com/tousu/show/id/1348278","http://ts.21cn.com/tousu/show/id/1348278")</f>
        <v>http://ts.21cn.com/tousu/show/id/1348278</v>
      </c>
      <c r="F16525" s="2" t="s">
        <v>11</v>
      </c>
      <c r="G16525" s="2" t="s">
        <v>11694</v>
      </c>
      <c r="H16525" s="2" t="s">
        <v>11695</v>
      </c>
    </row>
    <row r="16526" spans="1:8" ht="25.05" customHeight="1" x14ac:dyDescent="0.25">
      <c r="A16526" s="2" t="s">
        <v>8</v>
      </c>
      <c r="B16526" s="2" t="str">
        <f>HYPERLINK("http://ts.21cn.com/tousu/show/id/1348280","高利贷")</f>
        <v>高利贷</v>
      </c>
      <c r="C16526" s="2" t="s">
        <v>9</v>
      </c>
      <c r="D16526" s="2" t="s">
        <v>10</v>
      </c>
      <c r="E16526" s="2" t="str">
        <f>HYPERLINK("http://ts.21cn.com/tousu/show/id/1348280","http://ts.21cn.com/tousu/show/id/1348280")</f>
        <v>http://ts.21cn.com/tousu/show/id/1348280</v>
      </c>
      <c r="F16526" s="2" t="s">
        <v>11</v>
      </c>
      <c r="G16526" s="2" t="s">
        <v>11692</v>
      </c>
      <c r="H16526" s="2" t="s">
        <v>11693</v>
      </c>
    </row>
    <row r="16527" spans="1:8" ht="25.05" customHeight="1" x14ac:dyDescent="0.25">
      <c r="A16527" s="2" t="s">
        <v>8</v>
      </c>
      <c r="B16527" s="2" t="str">
        <f>HYPERLINK("http://ts.21cn.com/tousu/show/id/1348282","恶意威胁")</f>
        <v>恶意威胁</v>
      </c>
      <c r="C16527" s="2" t="s">
        <v>9</v>
      </c>
      <c r="D16527" s="2" t="s">
        <v>10</v>
      </c>
      <c r="E16527" s="2" t="str">
        <f>HYPERLINK("http://ts.21cn.com/tousu/show/id/1348282","http://ts.21cn.com/tousu/show/id/1348282")</f>
        <v>http://ts.21cn.com/tousu/show/id/1348282</v>
      </c>
      <c r="F16527" s="2" t="s">
        <v>11</v>
      </c>
      <c r="G16527" s="2" t="s">
        <v>11690</v>
      </c>
      <c r="H16527" s="2" t="s">
        <v>11691</v>
      </c>
    </row>
    <row r="16528" spans="1:8" ht="25.05" customHeight="1" x14ac:dyDescent="0.25">
      <c r="A16528" s="2" t="s">
        <v>8</v>
      </c>
      <c r="B16528" s="2" t="str">
        <f>HYPERLINK("http://ts.21cn.com/tousu/show/id/1348283","柯基贷高额砍头息")</f>
        <v>柯基贷高额砍头息</v>
      </c>
      <c r="C16528" s="2" t="s">
        <v>34</v>
      </c>
      <c r="D16528" s="2" t="s">
        <v>10</v>
      </c>
      <c r="E16528" s="2" t="str">
        <f>HYPERLINK("http://ts.21cn.com/tousu/show/id/1348283","http://ts.21cn.com/tousu/show/id/1348283")</f>
        <v>http://ts.21cn.com/tousu/show/id/1348283</v>
      </c>
      <c r="F16528" s="2" t="s">
        <v>11</v>
      </c>
      <c r="G16528" s="2" t="s">
        <v>11688</v>
      </c>
      <c r="H16528" s="2" t="s">
        <v>11689</v>
      </c>
    </row>
    <row r="16529" spans="1:8" ht="25.05" customHeight="1" x14ac:dyDescent="0.25">
      <c r="A16529" s="2" t="s">
        <v>8</v>
      </c>
      <c r="B16529" s="2" t="str">
        <f>HYPERLINK("http://ts.21cn.com/tousu/show/id/1348281","快闪卡贷高利贷砍头息")</f>
        <v>快闪卡贷高利贷砍头息</v>
      </c>
      <c r="C16529" s="2" t="s">
        <v>9</v>
      </c>
      <c r="D16529" s="2" t="s">
        <v>10</v>
      </c>
      <c r="E16529" s="2" t="str">
        <f>HYPERLINK("http://ts.21cn.com/tousu/show/id/1348281","http://ts.21cn.com/tousu/show/id/1348281")</f>
        <v>http://ts.21cn.com/tousu/show/id/1348281</v>
      </c>
      <c r="F16529" s="2" t="s">
        <v>11</v>
      </c>
      <c r="G16529" s="2" t="s">
        <v>11686</v>
      </c>
      <c r="H16529" s="2" t="s">
        <v>11687</v>
      </c>
    </row>
    <row r="16530" spans="1:8" ht="25.05" customHeight="1" x14ac:dyDescent="0.25">
      <c r="A16530" s="2" t="s">
        <v>8</v>
      </c>
      <c r="B16530" s="2" t="str">
        <f>HYPERLINK("http://ts.21cn.com/tousu/show/id/1348284","罗娅国际瑜伽")</f>
        <v>罗娅国际瑜伽</v>
      </c>
      <c r="C16530" s="2" t="s">
        <v>9</v>
      </c>
      <c r="D16530" s="2" t="s">
        <v>10</v>
      </c>
      <c r="E16530" s="2" t="str">
        <f>HYPERLINK("http://ts.21cn.com/tousu/show/id/1348284","http://ts.21cn.com/tousu/show/id/1348284")</f>
        <v>http://ts.21cn.com/tousu/show/id/1348284</v>
      </c>
      <c r="F16530" s="2" t="s">
        <v>11</v>
      </c>
      <c r="G16530" s="2" t="s">
        <v>11684</v>
      </c>
      <c r="H16530" s="2" t="s">
        <v>11685</v>
      </c>
    </row>
    <row r="16531" spans="1:8" ht="25.05" customHeight="1" x14ac:dyDescent="0.25">
      <c r="A16531" s="2" t="s">
        <v>8</v>
      </c>
      <c r="B16531" s="2" t="str">
        <f>HYPERLINK("http://ts.21cn.com/tousu/show/id/1348285","交易猫退款失败！")</f>
        <v>交易猫退款失败！</v>
      </c>
      <c r="C16531" s="2" t="s">
        <v>9</v>
      </c>
      <c r="D16531" s="2" t="s">
        <v>10</v>
      </c>
      <c r="E16531" s="2" t="str">
        <f>HYPERLINK("http://ts.21cn.com/tousu/show/id/1348285","http://ts.21cn.com/tousu/show/id/1348285")</f>
        <v>http://ts.21cn.com/tousu/show/id/1348285</v>
      </c>
      <c r="F16531" s="2" t="s">
        <v>11</v>
      </c>
      <c r="G16531" s="2" t="s">
        <v>11682</v>
      </c>
      <c r="H16531" s="2" t="s">
        <v>11683</v>
      </c>
    </row>
    <row r="16532" spans="1:8" ht="25.05" customHeight="1" x14ac:dyDescent="0.25">
      <c r="A16532" s="2" t="s">
        <v>8</v>
      </c>
      <c r="B16532" s="2" t="str">
        <f>HYPERLINK("http://ts.21cn.com/tousu/show/id/1348286","网贷平台在能联系债务人情况下，爆通讯录骚扰")</f>
        <v>网贷平台在能联系债务人情况下，爆通讯录骚扰</v>
      </c>
      <c r="C16532" s="2" t="s">
        <v>9</v>
      </c>
      <c r="D16532" s="2" t="s">
        <v>10</v>
      </c>
      <c r="E16532" s="2" t="str">
        <f>HYPERLINK("http://ts.21cn.com/tousu/show/id/1348286","http://ts.21cn.com/tousu/show/id/1348286")</f>
        <v>http://ts.21cn.com/tousu/show/id/1348286</v>
      </c>
      <c r="F16532" s="2" t="s">
        <v>11</v>
      </c>
      <c r="G16532" s="2" t="s">
        <v>11680</v>
      </c>
      <c r="H16532" s="2" t="s">
        <v>11681</v>
      </c>
    </row>
    <row r="16533" spans="1:8" ht="25.05" customHeight="1" x14ac:dyDescent="0.25">
      <c r="A16533" s="2" t="s">
        <v>8</v>
      </c>
      <c r="B16533" s="2" t="str">
        <f>HYPERLINK("http://ts.21cn.com/tousu/show/id/1348287","拍拍贷客服威胁暴力，像黑社会一样")</f>
        <v>拍拍贷客服威胁暴力，像黑社会一样</v>
      </c>
      <c r="C16533" s="2" t="s">
        <v>9</v>
      </c>
      <c r="D16533" s="2" t="s">
        <v>10</v>
      </c>
      <c r="E16533" s="2" t="str">
        <f>HYPERLINK("http://ts.21cn.com/tousu/show/id/1348287","http://ts.21cn.com/tousu/show/id/1348287")</f>
        <v>http://ts.21cn.com/tousu/show/id/1348287</v>
      </c>
      <c r="F16533" s="2" t="s">
        <v>11</v>
      </c>
      <c r="G16533" s="2" t="s">
        <v>11678</v>
      </c>
      <c r="H16533" s="2" t="s">
        <v>11679</v>
      </c>
    </row>
    <row r="16534" spans="1:8" ht="25.05" customHeight="1" x14ac:dyDescent="0.25">
      <c r="A16534" s="2" t="s">
        <v>8</v>
      </c>
      <c r="B16534" s="2" t="str">
        <f>HYPERLINK("http://ts.21cn.com/tousu/show/id/1348288","豆豆钱")</f>
        <v>豆豆钱</v>
      </c>
      <c r="C16534" s="2" t="s">
        <v>9</v>
      </c>
      <c r="D16534" s="2" t="s">
        <v>10</v>
      </c>
      <c r="E16534" s="2" t="str">
        <f>HYPERLINK("http://ts.21cn.com/tousu/show/id/1348288","http://ts.21cn.com/tousu/show/id/1348288")</f>
        <v>http://ts.21cn.com/tousu/show/id/1348288</v>
      </c>
      <c r="F16534" s="2" t="s">
        <v>11</v>
      </c>
      <c r="G16534" s="2" t="s">
        <v>11676</v>
      </c>
      <c r="H16534" s="2" t="s">
        <v>11677</v>
      </c>
    </row>
    <row r="16535" spans="1:8" ht="25.05" customHeight="1" x14ac:dyDescent="0.25">
      <c r="A16535" s="2" t="s">
        <v>8</v>
      </c>
      <c r="B16535" s="2" t="str">
        <f>HYPERLINK("http://ts.21cn.com/tousu/show/id/1348289","闪银变相高利贷")</f>
        <v>闪银变相高利贷</v>
      </c>
      <c r="C16535" s="2" t="s">
        <v>9</v>
      </c>
      <c r="D16535" s="2" t="s">
        <v>10</v>
      </c>
      <c r="E16535" s="2" t="str">
        <f>HYPERLINK("http://ts.21cn.com/tousu/show/id/1348289","http://ts.21cn.com/tousu/show/id/1348289")</f>
        <v>http://ts.21cn.com/tousu/show/id/1348289</v>
      </c>
      <c r="F16535" s="2" t="s">
        <v>11</v>
      </c>
      <c r="G16535" s="2" t="s">
        <v>11674</v>
      </c>
      <c r="H16535" s="2" t="s">
        <v>11675</v>
      </c>
    </row>
    <row r="16536" spans="1:8" ht="25.05" customHeight="1" x14ac:dyDescent="0.25">
      <c r="A16536" s="2" t="s">
        <v>8</v>
      </c>
      <c r="B16536" s="2" t="str">
        <f>HYPERLINK("http://ts.21cn.com/tousu/show/id/1348290","暴力催收，高利贷")</f>
        <v>暴力催收，高利贷</v>
      </c>
      <c r="C16536" s="2" t="s">
        <v>9</v>
      </c>
      <c r="D16536" s="2" t="s">
        <v>10</v>
      </c>
      <c r="E16536" s="2" t="str">
        <f>HYPERLINK("http://ts.21cn.com/tousu/show/id/1348290","http://ts.21cn.com/tousu/show/id/1348290")</f>
        <v>http://ts.21cn.com/tousu/show/id/1348290</v>
      </c>
      <c r="F16536" s="2" t="s">
        <v>11</v>
      </c>
      <c r="G16536" s="2" t="s">
        <v>11672</v>
      </c>
      <c r="H16536" s="2" t="s">
        <v>11673</v>
      </c>
    </row>
    <row r="16537" spans="1:8" ht="25.05" customHeight="1" x14ac:dyDescent="0.25">
      <c r="A16537" s="2" t="s">
        <v>8</v>
      </c>
      <c r="B16537" s="2" t="str">
        <f>HYPERLINK("http://ts.21cn.com/tousu/show/id/1348291","钱站不取消借款")</f>
        <v>钱站不取消借款</v>
      </c>
      <c r="C16537" s="2" t="s">
        <v>9</v>
      </c>
      <c r="D16537" s="2" t="s">
        <v>10</v>
      </c>
      <c r="E16537" s="2" t="str">
        <f>HYPERLINK("http://ts.21cn.com/tousu/show/id/1348291","http://ts.21cn.com/tousu/show/id/1348291")</f>
        <v>http://ts.21cn.com/tousu/show/id/1348291</v>
      </c>
      <c r="F16537" s="2" t="s">
        <v>11</v>
      </c>
      <c r="G16537" s="2" t="s">
        <v>11670</v>
      </c>
      <c r="H16537" s="2" t="s">
        <v>11671</v>
      </c>
    </row>
    <row r="16538" spans="1:8" ht="25.05" customHeight="1" x14ac:dyDescent="0.25">
      <c r="A16538" s="2" t="s">
        <v>8</v>
      </c>
      <c r="B16538" s="2" t="str">
        <f>HYPERLINK("http://ts.21cn.com/tousu/show/id/1348292","滴滴公司处理问题不公正")</f>
        <v>滴滴公司处理问题不公正</v>
      </c>
      <c r="C16538" s="2" t="s">
        <v>9</v>
      </c>
      <c r="D16538" s="2" t="s">
        <v>10</v>
      </c>
      <c r="E16538" s="2" t="str">
        <f>HYPERLINK("http://ts.21cn.com/tousu/show/id/1348292","http://ts.21cn.com/tousu/show/id/1348292")</f>
        <v>http://ts.21cn.com/tousu/show/id/1348292</v>
      </c>
      <c r="F16538" s="2" t="s">
        <v>11</v>
      </c>
      <c r="G16538" s="2" t="s">
        <v>11668</v>
      </c>
      <c r="H16538" s="2" t="s">
        <v>11669</v>
      </c>
    </row>
    <row r="16539" spans="1:8" ht="25.05" customHeight="1" x14ac:dyDescent="0.25">
      <c r="A16539" s="2" t="s">
        <v>8</v>
      </c>
      <c r="B16539" s="2" t="str">
        <f>HYPERLINK("http://ts.21cn.com/tousu/show/id/1348293","速金服阴阳合同，借1000还2020多")</f>
        <v>速金服阴阳合同，借1000还2020多</v>
      </c>
      <c r="C16539" s="2" t="s">
        <v>9</v>
      </c>
      <c r="D16539" s="2" t="s">
        <v>10</v>
      </c>
      <c r="E16539" s="2" t="str">
        <f>HYPERLINK("http://ts.21cn.com/tousu/show/id/1348293","http://ts.21cn.com/tousu/show/id/1348293")</f>
        <v>http://ts.21cn.com/tousu/show/id/1348293</v>
      </c>
      <c r="F16539" s="2" t="s">
        <v>11</v>
      </c>
      <c r="G16539" s="2" t="s">
        <v>11666</v>
      </c>
      <c r="H16539" s="2" t="s">
        <v>11667</v>
      </c>
    </row>
    <row r="16540" spans="1:8" ht="25.05" customHeight="1" x14ac:dyDescent="0.25">
      <c r="A16540" s="2" t="s">
        <v>8</v>
      </c>
      <c r="B16540" s="2" t="str">
        <f>HYPERLINK("http://ts.21cn.com/tousu/show/id/1348294","光大银行信用卡第三方恶意骚扰诽谤")</f>
        <v>光大银行信用卡第三方恶意骚扰诽谤</v>
      </c>
      <c r="C16540" s="2" t="s">
        <v>9</v>
      </c>
      <c r="D16540" s="2" t="s">
        <v>10</v>
      </c>
      <c r="E16540" s="2" t="str">
        <f>HYPERLINK("http://ts.21cn.com/tousu/show/id/1348294","http://ts.21cn.com/tousu/show/id/1348294")</f>
        <v>http://ts.21cn.com/tousu/show/id/1348294</v>
      </c>
      <c r="F16540" s="2" t="s">
        <v>11</v>
      </c>
      <c r="G16540" s="2" t="s">
        <v>11664</v>
      </c>
      <c r="H16540" s="2" t="s">
        <v>11665</v>
      </c>
    </row>
    <row r="16541" spans="1:8" ht="25.05" customHeight="1" x14ac:dyDescent="0.25">
      <c r="A16541" s="2" t="s">
        <v>8</v>
      </c>
      <c r="B16541" s="2" t="str">
        <f>HYPERLINK("http://ts.21cn.com/tousu/show/id/1348295","兴业银行信用卡无故被冻结")</f>
        <v>兴业银行信用卡无故被冻结</v>
      </c>
      <c r="C16541" s="2" t="s">
        <v>9</v>
      </c>
      <c r="D16541" s="2" t="s">
        <v>10</v>
      </c>
      <c r="E16541" s="2" t="str">
        <f>HYPERLINK("http://ts.21cn.com/tousu/show/id/1348295","http://ts.21cn.com/tousu/show/id/1348295")</f>
        <v>http://ts.21cn.com/tousu/show/id/1348295</v>
      </c>
      <c r="F16541" s="2" t="s">
        <v>11</v>
      </c>
      <c r="G16541" s="2" t="s">
        <v>11662</v>
      </c>
      <c r="H16541" s="2" t="s">
        <v>11663</v>
      </c>
    </row>
    <row r="16542" spans="1:8" ht="25.05" customHeight="1" x14ac:dyDescent="0.25">
      <c r="A16542" s="2" t="s">
        <v>8</v>
      </c>
      <c r="B16542" s="2" t="str">
        <f>HYPERLINK("http://ts.21cn.com/tousu/show/id/1348296","云闪付为这些不法分子提供支付通道，请求退款！")</f>
        <v>云闪付为这些不法分子提供支付通道，请求退款！</v>
      </c>
      <c r="C16542" s="2" t="s">
        <v>34</v>
      </c>
      <c r="D16542" s="2" t="s">
        <v>10</v>
      </c>
      <c r="E16542" s="2" t="str">
        <f>HYPERLINK("http://ts.21cn.com/tousu/show/id/1348296","http://ts.21cn.com/tousu/show/id/1348296")</f>
        <v>http://ts.21cn.com/tousu/show/id/1348296</v>
      </c>
      <c r="F16542" s="2" t="s">
        <v>11</v>
      </c>
      <c r="G16542" s="2" t="s">
        <v>11660</v>
      </c>
      <c r="H16542" s="2" t="s">
        <v>11661</v>
      </c>
    </row>
    <row r="16543" spans="1:8" ht="25.05" customHeight="1" x14ac:dyDescent="0.25">
      <c r="A16543" s="2" t="s">
        <v>8</v>
      </c>
      <c r="B16543" s="2" t="str">
        <f>HYPERLINK("http://ts.21cn.com/tousu/show/id/1348297","未消费，不退不改")</f>
        <v>未消费，不退不改</v>
      </c>
      <c r="C16543" s="2" t="s">
        <v>9</v>
      </c>
      <c r="D16543" s="2" t="s">
        <v>10</v>
      </c>
      <c r="E16543" s="2" t="str">
        <f>HYPERLINK("http://ts.21cn.com/tousu/show/id/1348297","http://ts.21cn.com/tousu/show/id/1348297")</f>
        <v>http://ts.21cn.com/tousu/show/id/1348297</v>
      </c>
      <c r="F16543" s="2" t="s">
        <v>11</v>
      </c>
      <c r="G16543" s="2" t="s">
        <v>11658</v>
      </c>
      <c r="H16543" s="2" t="s">
        <v>11659</v>
      </c>
    </row>
    <row r="16544" spans="1:8" ht="25.05" customHeight="1" x14ac:dyDescent="0.25">
      <c r="A16544" s="2" t="s">
        <v>8</v>
      </c>
      <c r="B16544" s="2" t="str">
        <f>HYPERLINK("http://ts.21cn.com/tousu/show/id/1348299","领航融资租凭有限公司结清剩余本金，套路贷，高利贷，砍头息。")</f>
        <v>领航融资租凭有限公司结清剩余本金，套路贷，高利贷，砍头息。</v>
      </c>
      <c r="C16544" s="2" t="s">
        <v>9</v>
      </c>
      <c r="D16544" s="2" t="s">
        <v>10</v>
      </c>
      <c r="E16544" s="2" t="str">
        <f>HYPERLINK("http://ts.21cn.com/tousu/show/id/1348299","http://ts.21cn.com/tousu/show/id/1348299")</f>
        <v>http://ts.21cn.com/tousu/show/id/1348299</v>
      </c>
      <c r="F16544" s="2" t="s">
        <v>11</v>
      </c>
      <c r="G16544" s="2" t="s">
        <v>11656</v>
      </c>
      <c r="H16544" s="2" t="s">
        <v>11657</v>
      </c>
    </row>
    <row r="16545" spans="1:8" ht="25.05" customHeight="1" x14ac:dyDescent="0.25">
      <c r="A16545" s="2" t="s">
        <v>8</v>
      </c>
      <c r="B16545" s="2" t="str">
        <f>HYPERLINK("http://ts.21cn.com/tousu/show/id/1348298","中国平安保险股份有限公司，平安普惠i贷")</f>
        <v>中国平安保险股份有限公司，平安普惠i贷</v>
      </c>
      <c r="C16545" s="2" t="s">
        <v>9</v>
      </c>
      <c r="D16545" s="2" t="s">
        <v>10</v>
      </c>
      <c r="E16545" s="2" t="str">
        <f>HYPERLINK("http://ts.21cn.com/tousu/show/id/1348298","http://ts.21cn.com/tousu/show/id/1348298")</f>
        <v>http://ts.21cn.com/tousu/show/id/1348298</v>
      </c>
      <c r="F16545" s="2" t="s">
        <v>11</v>
      </c>
      <c r="G16545" s="2" t="s">
        <v>11654</v>
      </c>
      <c r="H16545" s="2" t="s">
        <v>11655</v>
      </c>
    </row>
    <row r="16546" spans="1:8" ht="25.05" customHeight="1" x14ac:dyDescent="0.25">
      <c r="A16546" s="2" t="s">
        <v>8</v>
      </c>
      <c r="B16546" s="2" t="str">
        <f>HYPERLINK("http://ts.21cn.com/tousu/show/id/1348301","招联金融多收费")</f>
        <v>招联金融多收费</v>
      </c>
      <c r="C16546" s="2" t="s">
        <v>9</v>
      </c>
      <c r="D16546" s="2" t="s">
        <v>10</v>
      </c>
      <c r="E16546" s="2" t="str">
        <f>HYPERLINK("http://ts.21cn.com/tousu/show/id/1348301","http://ts.21cn.com/tousu/show/id/1348301")</f>
        <v>http://ts.21cn.com/tousu/show/id/1348301</v>
      </c>
      <c r="F16546" s="2" t="s">
        <v>11</v>
      </c>
      <c r="G16546" s="2" t="s">
        <v>11652</v>
      </c>
      <c r="H16546" s="2" t="s">
        <v>11653</v>
      </c>
    </row>
    <row r="16547" spans="1:8" ht="25.05" customHeight="1" x14ac:dyDescent="0.25">
      <c r="A16547" s="2" t="s">
        <v>8</v>
      </c>
      <c r="B16547" s="2" t="str">
        <f>HYPERLINK("http://ts.21cn.com/tousu/show/id/1348302","长治易行商旅服务员涉及虚假宣传")</f>
        <v>长治易行商旅服务员涉及虚假宣传</v>
      </c>
      <c r="C16547" s="2" t="s">
        <v>9</v>
      </c>
      <c r="D16547" s="2" t="s">
        <v>10</v>
      </c>
      <c r="E16547" s="2" t="str">
        <f>HYPERLINK("http://ts.21cn.com/tousu/show/id/1348302","http://ts.21cn.com/tousu/show/id/1348302")</f>
        <v>http://ts.21cn.com/tousu/show/id/1348302</v>
      </c>
      <c r="F16547" s="2" t="s">
        <v>11</v>
      </c>
      <c r="G16547" s="2" t="s">
        <v>11650</v>
      </c>
      <c r="H16547" s="2" t="s">
        <v>11651</v>
      </c>
    </row>
    <row r="16548" spans="1:8" ht="25.05" customHeight="1" x14ac:dyDescent="0.25">
      <c r="A16548" s="2" t="s">
        <v>8</v>
      </c>
      <c r="B16548" s="2" t="str">
        <f>HYPERLINK("http://ts.21cn.com/tousu/show/id/1348303","交易猫交易失败后退款失败")</f>
        <v>交易猫交易失败后退款失败</v>
      </c>
      <c r="C16548" s="2" t="s">
        <v>9</v>
      </c>
      <c r="D16548" s="2" t="s">
        <v>10</v>
      </c>
      <c r="E16548" s="2" t="str">
        <f>HYPERLINK("http://ts.21cn.com/tousu/show/id/1348303","http://ts.21cn.com/tousu/show/id/1348303")</f>
        <v>http://ts.21cn.com/tousu/show/id/1348303</v>
      </c>
      <c r="F16548" s="2" t="s">
        <v>11</v>
      </c>
      <c r="G16548" s="2" t="s">
        <v>11648</v>
      </c>
      <c r="H16548" s="2" t="s">
        <v>11649</v>
      </c>
    </row>
    <row r="16549" spans="1:8" ht="25.05" customHeight="1" x14ac:dyDescent="0.25">
      <c r="A16549" s="2" t="s">
        <v>8</v>
      </c>
      <c r="B16549" s="2" t="str">
        <f>HYPERLINK("http://ts.21cn.com/tousu/show/id/1348304","钱站高利贷阴阳合同")</f>
        <v>钱站高利贷阴阳合同</v>
      </c>
      <c r="C16549" s="2" t="s">
        <v>9</v>
      </c>
      <c r="D16549" s="2" t="s">
        <v>10</v>
      </c>
      <c r="E16549" s="2" t="str">
        <f>HYPERLINK("http://ts.21cn.com/tousu/show/id/1348304","http://ts.21cn.com/tousu/show/id/1348304")</f>
        <v>http://ts.21cn.com/tousu/show/id/1348304</v>
      </c>
      <c r="F16549" s="2" t="s">
        <v>11</v>
      </c>
      <c r="G16549" s="2" t="s">
        <v>11646</v>
      </c>
      <c r="H16549" s="2" t="s">
        <v>11647</v>
      </c>
    </row>
    <row r="16550" spans="1:8" ht="25.05" customHeight="1" x14ac:dyDescent="0.25">
      <c r="A16550" s="2" t="s">
        <v>8</v>
      </c>
      <c r="B16550" s="2" t="str">
        <f>HYPERLINK("http://ts.21cn.com/tousu/show/id/1348300","借贷宝债权人卡条")</f>
        <v>借贷宝债权人卡条</v>
      </c>
      <c r="C16550" s="2" t="s">
        <v>9</v>
      </c>
      <c r="D16550" s="2" t="s">
        <v>10</v>
      </c>
      <c r="E16550" s="2" t="str">
        <f>HYPERLINK("http://ts.21cn.com/tousu/show/id/1348300","http://ts.21cn.com/tousu/show/id/1348300")</f>
        <v>http://ts.21cn.com/tousu/show/id/1348300</v>
      </c>
      <c r="F16550" s="2" t="s">
        <v>11</v>
      </c>
      <c r="G16550" s="2" t="s">
        <v>11644</v>
      </c>
      <c r="H16550" s="2" t="s">
        <v>11645</v>
      </c>
    </row>
    <row r="16551" spans="1:8" ht="25.05" customHeight="1" x14ac:dyDescent="0.25">
      <c r="A16551" s="2" t="s">
        <v>8</v>
      </c>
      <c r="B16551" s="2" t="str">
        <f>HYPERLINK("http://ts.21cn.com/tousu/show/id/1348305","愈期一天网贷爆力催收")</f>
        <v>愈期一天网贷爆力催收</v>
      </c>
      <c r="C16551" s="2" t="s">
        <v>9</v>
      </c>
      <c r="D16551" s="2" t="s">
        <v>10</v>
      </c>
      <c r="E16551" s="2" t="str">
        <f>HYPERLINK("http://ts.21cn.com/tousu/show/id/1348305","http://ts.21cn.com/tousu/show/id/1348305")</f>
        <v>http://ts.21cn.com/tousu/show/id/1348305</v>
      </c>
      <c r="F16551" s="2" t="s">
        <v>11</v>
      </c>
      <c r="G16551" s="2" t="s">
        <v>11642</v>
      </c>
      <c r="H16551" s="2" t="s">
        <v>11643</v>
      </c>
    </row>
    <row r="16552" spans="1:8" ht="25.05" customHeight="1" x14ac:dyDescent="0.25">
      <c r="A16552" s="2" t="s">
        <v>8</v>
      </c>
      <c r="B16552" s="2" t="str">
        <f>HYPERLINK("http://ts.21cn.com/tousu/show/id/1348307","大量用户无法退还立刻出行499元押金")</f>
        <v>大量用户无法退还立刻出行499元押金</v>
      </c>
      <c r="C16552" s="2" t="s">
        <v>34</v>
      </c>
      <c r="D16552" s="2" t="s">
        <v>10</v>
      </c>
      <c r="E16552" s="2" t="str">
        <f>HYPERLINK("http://ts.21cn.com/tousu/show/id/1348307","http://ts.21cn.com/tousu/show/id/1348307")</f>
        <v>http://ts.21cn.com/tousu/show/id/1348307</v>
      </c>
      <c r="F16552" s="2" t="s">
        <v>11</v>
      </c>
      <c r="G16552" s="2" t="s">
        <v>11640</v>
      </c>
      <c r="H16552" s="2" t="s">
        <v>11641</v>
      </c>
    </row>
    <row r="16553" spans="1:8" ht="25.05" customHeight="1" x14ac:dyDescent="0.25">
      <c r="A16553" s="2" t="s">
        <v>8</v>
      </c>
      <c r="B16553" s="2" t="str">
        <f>HYPERLINK("http://ts.21cn.com/tousu/show/id/1348306","微软家庭版自动扣费")</f>
        <v>微软家庭版自动扣费</v>
      </c>
      <c r="C16553" s="2" t="s">
        <v>9</v>
      </c>
      <c r="D16553" s="2" t="s">
        <v>10</v>
      </c>
      <c r="E16553" s="2" t="str">
        <f>HYPERLINK("http://ts.21cn.com/tousu/show/id/1348306","http://ts.21cn.com/tousu/show/id/1348306")</f>
        <v>http://ts.21cn.com/tousu/show/id/1348306</v>
      </c>
      <c r="F16553" s="2" t="s">
        <v>11</v>
      </c>
      <c r="G16553" s="2" t="s">
        <v>11638</v>
      </c>
      <c r="H16553" s="2" t="s">
        <v>11639</v>
      </c>
    </row>
    <row r="16554" spans="1:8" ht="25.05" customHeight="1" x14ac:dyDescent="0.25">
      <c r="A16554" s="2" t="s">
        <v>8</v>
      </c>
      <c r="B16554" s="2" t="str">
        <f>HYPERLINK("http://ts.21cn.com/tousu/show/id/1348309","在积极配合协调还款的前提下电话威胁")</f>
        <v>在积极配合协调还款的前提下电话威胁</v>
      </c>
      <c r="C16554" s="2" t="s">
        <v>9</v>
      </c>
      <c r="D16554" s="2" t="s">
        <v>10</v>
      </c>
      <c r="E16554" s="2" t="str">
        <f>HYPERLINK("http://ts.21cn.com/tousu/show/id/1348309","http://ts.21cn.com/tousu/show/id/1348309")</f>
        <v>http://ts.21cn.com/tousu/show/id/1348309</v>
      </c>
      <c r="F16554" s="2" t="s">
        <v>11</v>
      </c>
      <c r="G16554" s="2" t="s">
        <v>11636</v>
      </c>
      <c r="H16554" s="2" t="s">
        <v>11637</v>
      </c>
    </row>
    <row r="16555" spans="1:8" ht="25.05" customHeight="1" x14ac:dyDescent="0.25">
      <c r="A16555" s="2" t="s">
        <v>8</v>
      </c>
      <c r="B16555" s="2" t="str">
        <f>HYPERLINK("http://ts.21cn.com/tousu/show/id/1348308","小浦优客未经同意扣款")</f>
        <v>小浦优客未经同意扣款</v>
      </c>
      <c r="C16555" s="2" t="s">
        <v>34</v>
      </c>
      <c r="D16555" s="2" t="s">
        <v>10</v>
      </c>
      <c r="E16555" s="2" t="str">
        <f>HYPERLINK("http://ts.21cn.com/tousu/show/id/1348308","http://ts.21cn.com/tousu/show/id/1348308")</f>
        <v>http://ts.21cn.com/tousu/show/id/1348308</v>
      </c>
      <c r="F16555" s="2" t="s">
        <v>11</v>
      </c>
      <c r="G16555" s="2" t="s">
        <v>11633</v>
      </c>
      <c r="H16555" s="2" t="s">
        <v>11634</v>
      </c>
    </row>
    <row r="16556" spans="1:8" ht="25.05" customHeight="1" x14ac:dyDescent="0.25">
      <c r="A16556" s="2" t="s">
        <v>8</v>
      </c>
      <c r="B16556" s="2" t="str">
        <f>HYPERLINK("http://ts.21cn.com/tousu/show/id/1348310","聚富分期恶意扣款")</f>
        <v>聚富分期恶意扣款</v>
      </c>
      <c r="C16556" s="2" t="s">
        <v>9</v>
      </c>
      <c r="D16556" s="2" t="s">
        <v>10</v>
      </c>
      <c r="E16556" s="2" t="str">
        <f>HYPERLINK("http://ts.21cn.com/tousu/show/id/1348310","http://ts.21cn.com/tousu/show/id/1348310")</f>
        <v>http://ts.21cn.com/tousu/show/id/1348310</v>
      </c>
      <c r="F16556" s="2" t="s">
        <v>11</v>
      </c>
      <c r="G16556" s="2" t="s">
        <v>11633</v>
      </c>
      <c r="H16556" s="2" t="s">
        <v>11635</v>
      </c>
    </row>
    <row r="16557" spans="1:8" ht="25.05" customHeight="1" x14ac:dyDescent="0.25">
      <c r="A16557" s="2" t="s">
        <v>8</v>
      </c>
      <c r="B16557" s="2" t="str">
        <f>HYPERLINK("http://ts.21cn.com/tousu/show/id/1348311","米多点高利贷套路贷")</f>
        <v>米多点高利贷套路贷</v>
      </c>
      <c r="C16557" s="2" t="s">
        <v>9</v>
      </c>
      <c r="D16557" s="2" t="s">
        <v>10</v>
      </c>
      <c r="E16557" s="2" t="str">
        <f>HYPERLINK("http://ts.21cn.com/tousu/show/id/1348311","http://ts.21cn.com/tousu/show/id/1348311")</f>
        <v>http://ts.21cn.com/tousu/show/id/1348311</v>
      </c>
      <c r="F16557" s="2" t="s">
        <v>11</v>
      </c>
      <c r="G16557" s="2" t="s">
        <v>11631</v>
      </c>
      <c r="H16557" s="2" t="s">
        <v>11632</v>
      </c>
    </row>
    <row r="16558" spans="1:8" ht="25.05" customHeight="1" x14ac:dyDescent="0.25">
      <c r="A16558" s="2" t="s">
        <v>8</v>
      </c>
      <c r="B16558" s="2" t="str">
        <f>HYPERLINK("http://ts.21cn.com/tousu/show/id/1348312","双证合规，平台不派单")</f>
        <v>双证合规，平台不派单</v>
      </c>
      <c r="C16558" s="2" t="s">
        <v>9</v>
      </c>
      <c r="D16558" s="2" t="s">
        <v>10</v>
      </c>
      <c r="E16558" s="2" t="str">
        <f>HYPERLINK("http://ts.21cn.com/tousu/show/id/1348312","http://ts.21cn.com/tousu/show/id/1348312")</f>
        <v>http://ts.21cn.com/tousu/show/id/1348312</v>
      </c>
      <c r="F16558" s="2" t="s">
        <v>11</v>
      </c>
      <c r="G16558" s="2" t="s">
        <v>11629</v>
      </c>
      <c r="H16558" s="2" t="s">
        <v>11630</v>
      </c>
    </row>
    <row r="16559" spans="1:8" ht="25.05" customHeight="1" x14ac:dyDescent="0.25">
      <c r="A16559" s="2" t="s">
        <v>8</v>
      </c>
      <c r="B16559" s="2" t="str">
        <f>HYPERLINK("http://ts.21cn.com/tousu/show/id/1348313","个人消费贷款")</f>
        <v>个人消费贷款</v>
      </c>
      <c r="C16559" s="2" t="s">
        <v>9</v>
      </c>
      <c r="D16559" s="2" t="s">
        <v>10</v>
      </c>
      <c r="E16559" s="2" t="str">
        <f>HYPERLINK("http://ts.21cn.com/tousu/show/id/1348313","http://ts.21cn.com/tousu/show/id/1348313")</f>
        <v>http://ts.21cn.com/tousu/show/id/1348313</v>
      </c>
      <c r="F16559" s="2" t="s">
        <v>11</v>
      </c>
      <c r="G16559" s="2" t="s">
        <v>11627</v>
      </c>
      <c r="H16559" s="2" t="s">
        <v>11628</v>
      </c>
    </row>
    <row r="16560" spans="1:8" ht="25.05" customHeight="1" x14ac:dyDescent="0.25">
      <c r="A16560" s="2" t="s">
        <v>8</v>
      </c>
      <c r="B16560" s="2" t="str">
        <f>HYPERLINK("http://ts.21cn.com/tousu/show/id/1348314","软暴力催收骚扰家人朋友")</f>
        <v>软暴力催收骚扰家人朋友</v>
      </c>
      <c r="C16560" s="2" t="s">
        <v>9</v>
      </c>
      <c r="D16560" s="2" t="s">
        <v>10</v>
      </c>
      <c r="E16560" s="2" t="str">
        <f>HYPERLINK("http://ts.21cn.com/tousu/show/id/1348314","http://ts.21cn.com/tousu/show/id/1348314")</f>
        <v>http://ts.21cn.com/tousu/show/id/1348314</v>
      </c>
      <c r="F16560" s="2" t="s">
        <v>11</v>
      </c>
      <c r="G16560" s="2" t="s">
        <v>11625</v>
      </c>
      <c r="H16560" s="2" t="s">
        <v>11626</v>
      </c>
    </row>
    <row r="16561" spans="1:8" ht="25.05" customHeight="1" x14ac:dyDescent="0.25">
      <c r="A16561" s="2" t="s">
        <v>8</v>
      </c>
      <c r="B16561" s="2" t="str">
        <f>HYPERLINK("http://ts.21cn.com/tousu/show/id/1348315","退款299元")</f>
        <v>退款299元</v>
      </c>
      <c r="C16561" s="2" t="s">
        <v>9</v>
      </c>
      <c r="D16561" s="2" t="s">
        <v>10</v>
      </c>
      <c r="E16561" s="2" t="str">
        <f>HYPERLINK("http://ts.21cn.com/tousu/show/id/1348315","http://ts.21cn.com/tousu/show/id/1348315")</f>
        <v>http://ts.21cn.com/tousu/show/id/1348315</v>
      </c>
      <c r="F16561" s="2" t="s">
        <v>11</v>
      </c>
      <c r="G16561" s="2" t="s">
        <v>11623</v>
      </c>
      <c r="H16561" s="2" t="s">
        <v>11624</v>
      </c>
    </row>
    <row r="16562" spans="1:8" ht="25.05" customHeight="1" x14ac:dyDescent="0.25">
      <c r="A16562" s="2" t="s">
        <v>8</v>
      </c>
      <c r="B16562" s="2" t="str">
        <f>HYPERLINK("http://ts.21cn.com/tousu/show/id/1348316","滴滴出行平台优先派单给黑车司机")</f>
        <v>滴滴出行平台优先派单给黑车司机</v>
      </c>
      <c r="C16562" s="2" t="s">
        <v>9</v>
      </c>
      <c r="D16562" s="2" t="s">
        <v>10</v>
      </c>
      <c r="E16562" s="2" t="str">
        <f>HYPERLINK("http://ts.21cn.com/tousu/show/id/1348316","http://ts.21cn.com/tousu/show/id/1348316")</f>
        <v>http://ts.21cn.com/tousu/show/id/1348316</v>
      </c>
      <c r="F16562" s="2" t="s">
        <v>11</v>
      </c>
      <c r="G16562" s="2" t="s">
        <v>11621</v>
      </c>
      <c r="H16562" s="2" t="s">
        <v>11622</v>
      </c>
    </row>
    <row r="16563" spans="1:8" ht="25.05" customHeight="1" x14ac:dyDescent="0.25">
      <c r="A16563" s="2" t="s">
        <v>8</v>
      </c>
      <c r="B16563" s="2" t="str">
        <f>HYPERLINK("http://ts.21cn.com/tousu/show/id/1348317","小象优品骚扰通讯录")</f>
        <v>小象优品骚扰通讯录</v>
      </c>
      <c r="C16563" s="2" t="s">
        <v>9</v>
      </c>
      <c r="D16563" s="2" t="s">
        <v>10</v>
      </c>
      <c r="E16563" s="2" t="str">
        <f>HYPERLINK("http://ts.21cn.com/tousu/show/id/1348317","http://ts.21cn.com/tousu/show/id/1348317")</f>
        <v>http://ts.21cn.com/tousu/show/id/1348317</v>
      </c>
      <c r="F16563" s="2" t="s">
        <v>11</v>
      </c>
      <c r="G16563" s="2" t="s">
        <v>11619</v>
      </c>
      <c r="H16563" s="2" t="s">
        <v>11620</v>
      </c>
    </row>
    <row r="16564" spans="1:8" ht="25.05" customHeight="1" x14ac:dyDescent="0.25">
      <c r="A16564" s="2" t="s">
        <v>8</v>
      </c>
      <c r="B16564" s="2" t="str">
        <f>HYPERLINK("http://ts.21cn.com/tousu/show/id/1348318","钱站高利贷阴阳合同")</f>
        <v>钱站高利贷阴阳合同</v>
      </c>
      <c r="C16564" s="2" t="s">
        <v>9</v>
      </c>
      <c r="D16564" s="2" t="s">
        <v>10</v>
      </c>
      <c r="E16564" s="2" t="str">
        <f>HYPERLINK("http://ts.21cn.com/tousu/show/id/1348318","http://ts.21cn.com/tousu/show/id/1348318")</f>
        <v>http://ts.21cn.com/tousu/show/id/1348318</v>
      </c>
      <c r="F16564" s="2" t="s">
        <v>11</v>
      </c>
      <c r="G16564" s="2" t="s">
        <v>11617</v>
      </c>
      <c r="H16564" s="2" t="s">
        <v>11618</v>
      </c>
    </row>
    <row r="16565" spans="1:8" ht="25.05" customHeight="1" x14ac:dyDescent="0.25">
      <c r="A16565" s="2" t="s">
        <v>8</v>
      </c>
      <c r="B16565" s="2" t="str">
        <f>HYPERLINK("http://ts.21cn.com/tousu/show/id/1348320","滴滴不派单，账号显示正常")</f>
        <v>滴滴不派单，账号显示正常</v>
      </c>
      <c r="C16565" s="2" t="s">
        <v>34</v>
      </c>
      <c r="D16565" s="2" t="s">
        <v>10</v>
      </c>
      <c r="E16565" s="2" t="str">
        <f>HYPERLINK("http://ts.21cn.com/tousu/show/id/1348320","http://ts.21cn.com/tousu/show/id/1348320")</f>
        <v>http://ts.21cn.com/tousu/show/id/1348320</v>
      </c>
      <c r="F16565" s="2" t="s">
        <v>11</v>
      </c>
      <c r="G16565" s="2" t="s">
        <v>11615</v>
      </c>
      <c r="H16565" s="2" t="s">
        <v>11616</v>
      </c>
    </row>
    <row r="16566" spans="1:8" ht="25.05" customHeight="1" x14ac:dyDescent="0.25">
      <c r="A16566" s="2" t="s">
        <v>8</v>
      </c>
      <c r="B16566" s="2" t="str">
        <f>HYPERLINK("http://ts.21cn.com/tousu/show/id/1348321","交易失败也不退款")</f>
        <v>交易失败也不退款</v>
      </c>
      <c r="C16566" s="2" t="s">
        <v>9</v>
      </c>
      <c r="D16566" s="2" t="s">
        <v>10</v>
      </c>
      <c r="E16566" s="2" t="str">
        <f>HYPERLINK("http://ts.21cn.com/tousu/show/id/1348321","http://ts.21cn.com/tousu/show/id/1348321")</f>
        <v>http://ts.21cn.com/tousu/show/id/1348321</v>
      </c>
      <c r="F16566" s="2" t="s">
        <v>11</v>
      </c>
      <c r="G16566" s="2" t="s">
        <v>11613</v>
      </c>
      <c r="H16566" s="2" t="s">
        <v>11614</v>
      </c>
    </row>
    <row r="16567" spans="1:8" ht="25.05" customHeight="1" x14ac:dyDescent="0.25">
      <c r="A16567" s="2" t="s">
        <v>8</v>
      </c>
      <c r="B16567" s="2" t="str">
        <f>HYPERLINK("http://ts.21cn.com/tousu/show/id/1348322","我要投诉得仕股份博彩行业提供入款通道，要求退回我的损失")</f>
        <v>我要投诉得仕股份博彩行业提供入款通道，要求退回我的损失</v>
      </c>
      <c r="C16567" s="2" t="s">
        <v>9</v>
      </c>
      <c r="D16567" s="2" t="s">
        <v>10</v>
      </c>
      <c r="E16567" s="2" t="str">
        <f>HYPERLINK("http://ts.21cn.com/tousu/show/id/1348322","http://ts.21cn.com/tousu/show/id/1348322")</f>
        <v>http://ts.21cn.com/tousu/show/id/1348322</v>
      </c>
      <c r="F16567" s="2" t="s">
        <v>11</v>
      </c>
      <c r="G16567" s="2" t="s">
        <v>11611</v>
      </c>
      <c r="H16567" s="2" t="s">
        <v>11612</v>
      </c>
    </row>
    <row r="16568" spans="1:8" ht="25.05" customHeight="1" x14ac:dyDescent="0.25">
      <c r="A16568" s="2" t="s">
        <v>8</v>
      </c>
      <c r="B16568" s="2" t="str">
        <f>HYPERLINK("http://ts.21cn.com/tousu/show/id/1348323","钱站高利贷")</f>
        <v>钱站高利贷</v>
      </c>
      <c r="C16568" s="2" t="s">
        <v>9</v>
      </c>
      <c r="D16568" s="2" t="s">
        <v>10</v>
      </c>
      <c r="E16568" s="2" t="str">
        <f>HYPERLINK("http://ts.21cn.com/tousu/show/id/1348323","http://ts.21cn.com/tousu/show/id/1348323")</f>
        <v>http://ts.21cn.com/tousu/show/id/1348323</v>
      </c>
      <c r="F16568" s="2" t="s">
        <v>11</v>
      </c>
      <c r="G16568" s="2" t="s">
        <v>11609</v>
      </c>
      <c r="H16568" s="2" t="s">
        <v>11610</v>
      </c>
    </row>
    <row r="16569" spans="1:8" ht="25.05" customHeight="1" x14ac:dyDescent="0.25">
      <c r="A16569" s="2" t="s">
        <v>8</v>
      </c>
      <c r="B16569" s="2" t="str">
        <f>HYPERLINK("http://ts.21cn.com/tousu/show/id/1348325","豆豆钱暴力威胁我")</f>
        <v>豆豆钱暴力威胁我</v>
      </c>
      <c r="C16569" s="2" t="s">
        <v>9</v>
      </c>
      <c r="D16569" s="2" t="s">
        <v>10</v>
      </c>
      <c r="E16569" s="2" t="str">
        <f>HYPERLINK("http://ts.21cn.com/tousu/show/id/1348325","http://ts.21cn.com/tousu/show/id/1348325")</f>
        <v>http://ts.21cn.com/tousu/show/id/1348325</v>
      </c>
      <c r="F16569" s="2" t="s">
        <v>11</v>
      </c>
      <c r="G16569" s="2" t="s">
        <v>11607</v>
      </c>
      <c r="H16569" s="2" t="s">
        <v>11608</v>
      </c>
    </row>
    <row r="16570" spans="1:8" ht="25.05" customHeight="1" x14ac:dyDescent="0.25">
      <c r="A16570" s="2" t="s">
        <v>8</v>
      </c>
      <c r="B16570" s="2" t="str">
        <f>HYPERLINK("http://ts.21cn.com/tousu/show/id/1348324","减免利息")</f>
        <v>减免利息</v>
      </c>
      <c r="C16570" s="2" t="s">
        <v>34</v>
      </c>
      <c r="D16570" s="2" t="s">
        <v>10</v>
      </c>
      <c r="E16570" s="2" t="str">
        <f>HYPERLINK("http://ts.21cn.com/tousu/show/id/1348324","http://ts.21cn.com/tousu/show/id/1348324")</f>
        <v>http://ts.21cn.com/tousu/show/id/1348324</v>
      </c>
      <c r="F16570" s="2" t="s">
        <v>11</v>
      </c>
      <c r="G16570" s="2" t="s">
        <v>11605</v>
      </c>
      <c r="H16570" s="2" t="s">
        <v>11606</v>
      </c>
    </row>
    <row r="16571" spans="1:8" ht="25.05" customHeight="1" x14ac:dyDescent="0.25">
      <c r="A16571" s="2" t="s">
        <v>8</v>
      </c>
      <c r="B16571" s="2" t="str">
        <f>HYPERLINK("http://ts.21cn.com/tousu/show/id/1348326","不知情的情况下扣钱")</f>
        <v>不知情的情况下扣钱</v>
      </c>
      <c r="C16571" s="2" t="s">
        <v>9</v>
      </c>
      <c r="D16571" s="2" t="s">
        <v>10</v>
      </c>
      <c r="E16571" s="2" t="str">
        <f>HYPERLINK("http://ts.21cn.com/tousu/show/id/1348326","http://ts.21cn.com/tousu/show/id/1348326")</f>
        <v>http://ts.21cn.com/tousu/show/id/1348326</v>
      </c>
      <c r="F16571" s="2" t="s">
        <v>11</v>
      </c>
      <c r="G16571" s="2" t="s">
        <v>11603</v>
      </c>
      <c r="H16571" s="2" t="s">
        <v>11604</v>
      </c>
    </row>
    <row r="16572" spans="1:8" ht="25.05" customHeight="1" x14ac:dyDescent="0.25">
      <c r="A16572" s="2" t="s">
        <v>8</v>
      </c>
      <c r="B16572" s="2" t="str">
        <f>HYPERLINK("http://ts.21cn.com/tousu/show/id/1348327","高利贷的支付方")</f>
        <v>高利贷的支付方</v>
      </c>
      <c r="C16572" s="2" t="s">
        <v>9</v>
      </c>
      <c r="D16572" s="2" t="s">
        <v>10</v>
      </c>
      <c r="E16572" s="2" t="str">
        <f>HYPERLINK("http://ts.21cn.com/tousu/show/id/1348327","http://ts.21cn.com/tousu/show/id/1348327")</f>
        <v>http://ts.21cn.com/tousu/show/id/1348327</v>
      </c>
      <c r="F16572" s="2" t="s">
        <v>11</v>
      </c>
      <c r="G16572" s="2" t="s">
        <v>11601</v>
      </c>
      <c r="H16572" s="2" t="s">
        <v>11602</v>
      </c>
    </row>
    <row r="16573" spans="1:8" ht="25.05" customHeight="1" x14ac:dyDescent="0.25">
      <c r="A16573" s="2" t="s">
        <v>8</v>
      </c>
      <c r="B16573" s="2" t="str">
        <f>HYPERLINK("http://ts.21cn.com/tousu/show/id/1348328","交易猫欺诈卖家")</f>
        <v>交易猫欺诈卖家</v>
      </c>
      <c r="C16573" s="2" t="s">
        <v>9</v>
      </c>
      <c r="D16573" s="2" t="s">
        <v>10</v>
      </c>
      <c r="E16573" s="2" t="str">
        <f>HYPERLINK("http://ts.21cn.com/tousu/show/id/1348328","http://ts.21cn.com/tousu/show/id/1348328")</f>
        <v>http://ts.21cn.com/tousu/show/id/1348328</v>
      </c>
      <c r="F16573" s="2" t="s">
        <v>11</v>
      </c>
      <c r="G16573" s="2" t="s">
        <v>11599</v>
      </c>
      <c r="H16573" s="2" t="s">
        <v>11600</v>
      </c>
    </row>
    <row r="16574" spans="1:8" ht="25.05" customHeight="1" x14ac:dyDescent="0.25">
      <c r="A16574" s="2" t="s">
        <v>8</v>
      </c>
      <c r="B16574" s="2" t="str">
        <f>HYPERLINK("http://ts.21cn.com/tousu/show/id/1348329","捷信消费")</f>
        <v>捷信消费</v>
      </c>
      <c r="C16574" s="2" t="s">
        <v>9</v>
      </c>
      <c r="D16574" s="2" t="s">
        <v>10</v>
      </c>
      <c r="E16574" s="2" t="str">
        <f>HYPERLINK("http://ts.21cn.com/tousu/show/id/1348329","http://ts.21cn.com/tousu/show/id/1348329")</f>
        <v>http://ts.21cn.com/tousu/show/id/1348329</v>
      </c>
      <c r="F16574" s="2" t="s">
        <v>11</v>
      </c>
      <c r="G16574" s="2" t="s">
        <v>11597</v>
      </c>
      <c r="H16574" s="2" t="s">
        <v>11598</v>
      </c>
    </row>
    <row r="16575" spans="1:8" ht="25.05" customHeight="1" x14ac:dyDescent="0.25">
      <c r="A16575" s="2" t="s">
        <v>8</v>
      </c>
      <c r="B16575" s="2" t="str">
        <f>HYPERLINK("http://ts.21cn.com/tousu/show/id/1348330","捷信金融")</f>
        <v>捷信金融</v>
      </c>
      <c r="C16575" s="2" t="s">
        <v>9</v>
      </c>
      <c r="D16575" s="2" t="s">
        <v>10</v>
      </c>
      <c r="E16575" s="2" t="str">
        <f>HYPERLINK("http://ts.21cn.com/tousu/show/id/1348330","http://ts.21cn.com/tousu/show/id/1348330")</f>
        <v>http://ts.21cn.com/tousu/show/id/1348330</v>
      </c>
      <c r="F16575" s="2" t="s">
        <v>11</v>
      </c>
      <c r="G16575" s="2" t="s">
        <v>11595</v>
      </c>
      <c r="H16575" s="2" t="s">
        <v>11596</v>
      </c>
    </row>
    <row r="16576" spans="1:8" ht="25.05" customHeight="1" x14ac:dyDescent="0.25">
      <c r="A16576" s="2" t="s">
        <v>8</v>
      </c>
      <c r="B16576" s="2" t="str">
        <f>HYPERLINK("http://ts.21cn.com/tousu/show/id/1348331","中金支付乱扣款")</f>
        <v>中金支付乱扣款</v>
      </c>
      <c r="C16576" s="2" t="s">
        <v>9</v>
      </c>
      <c r="D16576" s="2" t="s">
        <v>10</v>
      </c>
      <c r="E16576" s="2" t="str">
        <f>HYPERLINK("http://ts.21cn.com/tousu/show/id/1348331","http://ts.21cn.com/tousu/show/id/1348331")</f>
        <v>http://ts.21cn.com/tousu/show/id/1348331</v>
      </c>
      <c r="F16576" s="2" t="s">
        <v>11</v>
      </c>
      <c r="G16576" s="2" t="s">
        <v>11593</v>
      </c>
      <c r="H16576" s="2" t="s">
        <v>11594</v>
      </c>
    </row>
    <row r="16577" spans="1:8" ht="25.05" customHeight="1" x14ac:dyDescent="0.25">
      <c r="A16577" s="2" t="s">
        <v>8</v>
      </c>
      <c r="B16577" s="2" t="str">
        <f>HYPERLINK("http://ts.21cn.com/tousu/show/id/1348332","中国电信乱扣费，已注销了号码，却欠费了11个月成黑名单")</f>
        <v>中国电信乱扣费，已注销了号码，却欠费了11个月成黑名单</v>
      </c>
      <c r="C16577" s="2" t="s">
        <v>9</v>
      </c>
      <c r="D16577" s="2" t="s">
        <v>10</v>
      </c>
      <c r="E16577" s="2" t="str">
        <f>HYPERLINK("http://ts.21cn.com/tousu/show/id/1348332","http://ts.21cn.com/tousu/show/id/1348332")</f>
        <v>http://ts.21cn.com/tousu/show/id/1348332</v>
      </c>
      <c r="F16577" s="2" t="s">
        <v>11</v>
      </c>
      <c r="G16577" s="2" t="s">
        <v>11591</v>
      </c>
      <c r="H16577" s="2" t="s">
        <v>11592</v>
      </c>
    </row>
    <row r="16578" spans="1:8" ht="25.05" customHeight="1" x14ac:dyDescent="0.25">
      <c r="A16578" s="2" t="s">
        <v>8</v>
      </c>
      <c r="B16578" s="2" t="str">
        <f>HYPERLINK("http://ts.21cn.com/tousu/show/id/1348333","钱站联系不上客服")</f>
        <v>钱站联系不上客服</v>
      </c>
      <c r="C16578" s="2" t="s">
        <v>9</v>
      </c>
      <c r="D16578" s="2" t="s">
        <v>10</v>
      </c>
      <c r="E16578" s="2" t="str">
        <f>HYPERLINK("http://ts.21cn.com/tousu/show/id/1348333","http://ts.21cn.com/tousu/show/id/1348333")</f>
        <v>http://ts.21cn.com/tousu/show/id/1348333</v>
      </c>
      <c r="F16578" s="2" t="s">
        <v>11</v>
      </c>
      <c r="G16578" s="2" t="s">
        <v>11589</v>
      </c>
      <c r="H16578" s="2" t="s">
        <v>11590</v>
      </c>
    </row>
    <row r="16579" spans="1:8" ht="25.05" customHeight="1" x14ac:dyDescent="0.25">
      <c r="A16579" s="2" t="s">
        <v>8</v>
      </c>
      <c r="B16579" s="2" t="str">
        <f>HYPERLINK("http://ts.21cn.com/tousu/show/id/1348335","来伊份买到发霉食品")</f>
        <v>来伊份买到发霉食品</v>
      </c>
      <c r="C16579" s="2" t="s">
        <v>9</v>
      </c>
      <c r="D16579" s="2" t="s">
        <v>10</v>
      </c>
      <c r="E16579" s="2" t="str">
        <f>HYPERLINK("http://ts.21cn.com/tousu/show/id/1348335","http://ts.21cn.com/tousu/show/id/1348335")</f>
        <v>http://ts.21cn.com/tousu/show/id/1348335</v>
      </c>
      <c r="F16579" s="2" t="s">
        <v>11</v>
      </c>
      <c r="G16579" s="2" t="s">
        <v>11587</v>
      </c>
      <c r="H16579" s="2" t="s">
        <v>11588</v>
      </c>
    </row>
    <row r="16580" spans="1:8" ht="25.05" customHeight="1" x14ac:dyDescent="0.25">
      <c r="A16580" s="2" t="s">
        <v>8</v>
      </c>
      <c r="B16580" s="2" t="str">
        <f>HYPERLINK("http://ts.21cn.com/tousu/show/id/1348334","武汉机场怡兴商旅欺瞒消费者办卡")</f>
        <v>武汉机场怡兴商旅欺瞒消费者办卡</v>
      </c>
      <c r="C16580" s="2" t="s">
        <v>9</v>
      </c>
      <c r="D16580" s="2" t="s">
        <v>10</v>
      </c>
      <c r="E16580" s="2" t="str">
        <f>HYPERLINK("http://ts.21cn.com/tousu/show/id/1348334","http://ts.21cn.com/tousu/show/id/1348334")</f>
        <v>http://ts.21cn.com/tousu/show/id/1348334</v>
      </c>
      <c r="F16580" s="2" t="s">
        <v>11</v>
      </c>
      <c r="G16580" s="2" t="s">
        <v>11585</v>
      </c>
      <c r="H16580" s="2" t="s">
        <v>11586</v>
      </c>
    </row>
    <row r="16581" spans="1:8" ht="25.05" customHeight="1" x14ac:dyDescent="0.25">
      <c r="A16581" s="2" t="s">
        <v>8</v>
      </c>
      <c r="B16581" s="2" t="str">
        <f>HYPERLINK("http://ts.21cn.com/tousu/show/id/1348336","国泰产险拒绝赔付哈啰单车事故")</f>
        <v>国泰产险拒绝赔付哈啰单车事故</v>
      </c>
      <c r="C16581" s="2" t="s">
        <v>9</v>
      </c>
      <c r="D16581" s="2" t="s">
        <v>10</v>
      </c>
      <c r="E16581" s="2" t="str">
        <f>HYPERLINK("http://ts.21cn.com/tousu/show/id/1348336","http://ts.21cn.com/tousu/show/id/1348336")</f>
        <v>http://ts.21cn.com/tousu/show/id/1348336</v>
      </c>
      <c r="F16581" s="2" t="s">
        <v>11</v>
      </c>
      <c r="G16581" s="2" t="s">
        <v>11583</v>
      </c>
      <c r="H16581" s="2" t="s">
        <v>11584</v>
      </c>
    </row>
    <row r="16582" spans="1:8" ht="25.05" customHeight="1" x14ac:dyDescent="0.25">
      <c r="A16582" s="2" t="s">
        <v>8</v>
      </c>
      <c r="B16582" s="2" t="str">
        <f>HYPERLINK("http://ts.21cn.com/tousu/show/id/1348337","乱扣钱")</f>
        <v>乱扣钱</v>
      </c>
      <c r="C16582" s="2" t="s">
        <v>9</v>
      </c>
      <c r="D16582" s="2" t="s">
        <v>10</v>
      </c>
      <c r="E16582" s="2" t="str">
        <f>HYPERLINK("http://ts.21cn.com/tousu/show/id/1348337","http://ts.21cn.com/tousu/show/id/1348337")</f>
        <v>http://ts.21cn.com/tousu/show/id/1348337</v>
      </c>
      <c r="F16582" s="2" t="s">
        <v>11</v>
      </c>
      <c r="G16582" s="2" t="s">
        <v>11581</v>
      </c>
      <c r="H16582" s="2" t="s">
        <v>11582</v>
      </c>
    </row>
    <row r="16583" spans="1:8" ht="25.05" customHeight="1" x14ac:dyDescent="0.25">
      <c r="A16583" s="2" t="s">
        <v>8</v>
      </c>
      <c r="B16583" s="2" t="str">
        <f>HYPERLINK("http://ts.21cn.com/tousu/show/id/1348338","小浦优客非法扣费")</f>
        <v>小浦优客非法扣费</v>
      </c>
      <c r="C16583" s="2" t="s">
        <v>9</v>
      </c>
      <c r="D16583" s="2" t="s">
        <v>10</v>
      </c>
      <c r="E16583" s="2" t="str">
        <f>HYPERLINK("http://ts.21cn.com/tousu/show/id/1348338","http://ts.21cn.com/tousu/show/id/1348338")</f>
        <v>http://ts.21cn.com/tousu/show/id/1348338</v>
      </c>
      <c r="F16583" s="2" t="s">
        <v>11</v>
      </c>
      <c r="G16583" s="2" t="s">
        <v>11579</v>
      </c>
      <c r="H16583" s="2" t="s">
        <v>11580</v>
      </c>
    </row>
    <row r="16584" spans="1:8" ht="25.05" customHeight="1" x14ac:dyDescent="0.25">
      <c r="A16584" s="2" t="s">
        <v>8</v>
      </c>
      <c r="B16584" s="2" t="str">
        <f>HYPERLINK("http://ts.21cn.com/tousu/show/id/1348339","还款了还打电话过来摧账")</f>
        <v>还款了还打电话过来摧账</v>
      </c>
      <c r="C16584" s="2" t="s">
        <v>9</v>
      </c>
      <c r="D16584" s="2" t="s">
        <v>10</v>
      </c>
      <c r="E16584" s="2" t="str">
        <f>HYPERLINK("http://ts.21cn.com/tousu/show/id/1348339","http://ts.21cn.com/tousu/show/id/1348339")</f>
        <v>http://ts.21cn.com/tousu/show/id/1348339</v>
      </c>
      <c r="F16584" s="2" t="s">
        <v>11</v>
      </c>
      <c r="G16584" s="2" t="s">
        <v>11577</v>
      </c>
      <c r="H16584" s="2" t="s">
        <v>11578</v>
      </c>
    </row>
    <row r="16585" spans="1:8" ht="25.05" customHeight="1" x14ac:dyDescent="0.25">
      <c r="A16585" s="2" t="s">
        <v>8</v>
      </c>
      <c r="B16585" s="2" t="str">
        <f>HYPERLINK("http://ts.21cn.com/tousu/show/id/1348342","雅酷时空公司酷宝支付随意扣卡上钱")</f>
        <v>雅酷时空公司酷宝支付随意扣卡上钱</v>
      </c>
      <c r="C16585" s="2" t="s">
        <v>9</v>
      </c>
      <c r="D16585" s="2" t="s">
        <v>10</v>
      </c>
      <c r="E16585" s="2" t="str">
        <f>HYPERLINK("http://ts.21cn.com/tousu/show/id/1348342","http://ts.21cn.com/tousu/show/id/1348342")</f>
        <v>http://ts.21cn.com/tousu/show/id/1348342</v>
      </c>
      <c r="F16585" s="2" t="s">
        <v>11</v>
      </c>
      <c r="G16585" s="2" t="s">
        <v>11575</v>
      </c>
      <c r="H16585" s="2" t="s">
        <v>11576</v>
      </c>
    </row>
    <row r="16586" spans="1:8" ht="25.05" customHeight="1" x14ac:dyDescent="0.25">
      <c r="A16586" s="2" t="s">
        <v>8</v>
      </c>
      <c r="B16586" s="2" t="str">
        <f>HYPERLINK("http://ts.21cn.com/tousu/show/id/1348343","滴滴司机拒绝载客")</f>
        <v>滴滴司机拒绝载客</v>
      </c>
      <c r="C16586" s="2" t="s">
        <v>9</v>
      </c>
      <c r="D16586" s="2" t="s">
        <v>10</v>
      </c>
      <c r="E16586" s="2" t="str">
        <f>HYPERLINK("http://ts.21cn.com/tousu/show/id/1348343","http://ts.21cn.com/tousu/show/id/1348343")</f>
        <v>http://ts.21cn.com/tousu/show/id/1348343</v>
      </c>
      <c r="F16586" s="2" t="s">
        <v>11</v>
      </c>
      <c r="G16586" s="2" t="s">
        <v>11573</v>
      </c>
      <c r="H16586" s="2" t="s">
        <v>11574</v>
      </c>
    </row>
    <row r="16587" spans="1:8" ht="25.05" customHeight="1" x14ac:dyDescent="0.25">
      <c r="A16587" s="2" t="s">
        <v>8</v>
      </c>
      <c r="B16587" s="2" t="str">
        <f>HYPERLINK("http://ts.21cn.com/tousu/show/id/1348344","点点")</f>
        <v>点点</v>
      </c>
      <c r="C16587" s="2" t="s">
        <v>9</v>
      </c>
      <c r="D16587" s="2" t="s">
        <v>10</v>
      </c>
      <c r="E16587" s="2" t="str">
        <f>HYPERLINK("http://ts.21cn.com/tousu/show/id/1348344","http://ts.21cn.com/tousu/show/id/1348344")</f>
        <v>http://ts.21cn.com/tousu/show/id/1348344</v>
      </c>
      <c r="F16587" s="2" t="s">
        <v>11</v>
      </c>
      <c r="G16587" s="2" t="s">
        <v>11571</v>
      </c>
      <c r="H16587" s="2" t="s">
        <v>11572</v>
      </c>
    </row>
    <row r="16588" spans="1:8" ht="25.05" customHeight="1" x14ac:dyDescent="0.25">
      <c r="A16588" s="2" t="s">
        <v>8</v>
      </c>
      <c r="B16588" s="2" t="str">
        <f>HYPERLINK("http://ts.21cn.com/tousu/show/id/1348345","上海造艺科技强制收取评估费")</f>
        <v>上海造艺科技强制收取评估费</v>
      </c>
      <c r="C16588" s="2" t="s">
        <v>9</v>
      </c>
      <c r="D16588" s="2" t="s">
        <v>10</v>
      </c>
      <c r="E16588" s="2" t="str">
        <f>HYPERLINK("http://ts.21cn.com/tousu/show/id/1348345","http://ts.21cn.com/tousu/show/id/1348345")</f>
        <v>http://ts.21cn.com/tousu/show/id/1348345</v>
      </c>
      <c r="F16588" s="2" t="s">
        <v>11</v>
      </c>
      <c r="G16588" s="2" t="s">
        <v>11569</v>
      </c>
      <c r="H16588" s="2" t="s">
        <v>11570</v>
      </c>
    </row>
    <row r="16589" spans="1:8" ht="25.05" customHeight="1" x14ac:dyDescent="0.25">
      <c r="A16589" s="2" t="s">
        <v>8</v>
      </c>
      <c r="B16589" s="2" t="str">
        <f>HYPERLINK("http://ts.21cn.com/tousu/show/id/1348346","苏宁任性贷额度不通过")</f>
        <v>苏宁任性贷额度不通过</v>
      </c>
      <c r="C16589" s="2" t="s">
        <v>34</v>
      </c>
      <c r="D16589" s="2" t="s">
        <v>10</v>
      </c>
      <c r="E16589" s="2" t="str">
        <f>HYPERLINK("http://ts.21cn.com/tousu/show/id/1348346","http://ts.21cn.com/tousu/show/id/1348346")</f>
        <v>http://ts.21cn.com/tousu/show/id/1348346</v>
      </c>
      <c r="F16589" s="2" t="s">
        <v>11</v>
      </c>
      <c r="G16589" s="2" t="s">
        <v>11566</v>
      </c>
      <c r="H16589" s="2" t="s">
        <v>11567</v>
      </c>
    </row>
    <row r="16590" spans="1:8" ht="25.05" customHeight="1" x14ac:dyDescent="0.25">
      <c r="A16590" s="2" t="s">
        <v>8</v>
      </c>
      <c r="B16590" s="2" t="str">
        <f>HYPERLINK("http://ts.21cn.com/tousu/show/id/1348347","河口区孤岛贩幺衣店违规给博彩平台提供支付通道")</f>
        <v>河口区孤岛贩幺衣店违规给博彩平台提供支付通道</v>
      </c>
      <c r="C16590" s="2" t="s">
        <v>9</v>
      </c>
      <c r="D16590" s="2" t="s">
        <v>10</v>
      </c>
      <c r="E16590" s="2" t="str">
        <f>HYPERLINK("http://ts.21cn.com/tousu/show/id/1348347","http://ts.21cn.com/tousu/show/id/1348347")</f>
        <v>http://ts.21cn.com/tousu/show/id/1348347</v>
      </c>
      <c r="F16590" s="2" t="s">
        <v>11</v>
      </c>
      <c r="G16590" s="2" t="s">
        <v>11566</v>
      </c>
      <c r="H16590" s="2" t="s">
        <v>11568</v>
      </c>
    </row>
    <row r="16591" spans="1:8" ht="25.05" customHeight="1" x14ac:dyDescent="0.25">
      <c r="A16591" s="2" t="s">
        <v>8</v>
      </c>
      <c r="B16591" s="2" t="str">
        <f>HYPERLINK("http://ts.21cn.com/tousu/show/id/1348348","支付宝委托第三方去老家催款吓唬父母")</f>
        <v>支付宝委托第三方去老家催款吓唬父母</v>
      </c>
      <c r="C16591" s="2" t="s">
        <v>9</v>
      </c>
      <c r="D16591" s="2" t="s">
        <v>10</v>
      </c>
      <c r="E16591" s="2" t="str">
        <f>HYPERLINK("http://ts.21cn.com/tousu/show/id/1348348","http://ts.21cn.com/tousu/show/id/1348348")</f>
        <v>http://ts.21cn.com/tousu/show/id/1348348</v>
      </c>
      <c r="F16591" s="2" t="s">
        <v>11</v>
      </c>
      <c r="G16591" s="2" t="s">
        <v>11564</v>
      </c>
      <c r="H16591" s="2" t="s">
        <v>11565</v>
      </c>
    </row>
    <row r="16592" spans="1:8" ht="25.05" customHeight="1" x14ac:dyDescent="0.25">
      <c r="A16592" s="2" t="s">
        <v>8</v>
      </c>
      <c r="B16592" s="2" t="str">
        <f>HYPERLINK("http://ts.21cn.com/tousu/show/id/1348349","钱站高利贷阴阳合同")</f>
        <v>钱站高利贷阴阳合同</v>
      </c>
      <c r="C16592" s="2" t="s">
        <v>9</v>
      </c>
      <c r="D16592" s="2" t="s">
        <v>10</v>
      </c>
      <c r="E16592" s="2" t="str">
        <f>HYPERLINK("http://ts.21cn.com/tousu/show/id/1348349","http://ts.21cn.com/tousu/show/id/1348349")</f>
        <v>http://ts.21cn.com/tousu/show/id/1348349</v>
      </c>
      <c r="F16592" s="2" t="s">
        <v>11</v>
      </c>
      <c r="G16592" s="2" t="s">
        <v>11562</v>
      </c>
      <c r="H16592" s="2" t="s">
        <v>11563</v>
      </c>
    </row>
    <row r="16593" spans="1:8" ht="25.05" customHeight="1" x14ac:dyDescent="0.25">
      <c r="A16593" s="2" t="s">
        <v>8</v>
      </c>
      <c r="B16593" s="2" t="str">
        <f>HYPERLINK("http://ts.21cn.com/tousu/show/id/1348351","造艺科技冒充国家机构人员")</f>
        <v>造艺科技冒充国家机构人员</v>
      </c>
      <c r="C16593" s="2" t="s">
        <v>9</v>
      </c>
      <c r="D16593" s="2" t="s">
        <v>10</v>
      </c>
      <c r="E16593" s="2" t="str">
        <f>HYPERLINK("http://ts.21cn.com/tousu/show/id/1348351","http://ts.21cn.com/tousu/show/id/1348351")</f>
        <v>http://ts.21cn.com/tousu/show/id/1348351</v>
      </c>
      <c r="F16593" s="2" t="s">
        <v>11</v>
      </c>
      <c r="G16593" s="2" t="s">
        <v>11560</v>
      </c>
      <c r="H16593" s="2" t="s">
        <v>11561</v>
      </c>
    </row>
    <row r="16594" spans="1:8" ht="25.05" customHeight="1" x14ac:dyDescent="0.25">
      <c r="A16594" s="2" t="s">
        <v>8</v>
      </c>
      <c r="B16594" s="2" t="str">
        <f>HYPERLINK("http://ts.21cn.com/tousu/show/id/1348350","钱伴高利贷")</f>
        <v>钱伴高利贷</v>
      </c>
      <c r="C16594" s="2" t="s">
        <v>9</v>
      </c>
      <c r="D16594" s="2" t="s">
        <v>10</v>
      </c>
      <c r="E16594" s="2" t="str">
        <f>HYPERLINK("http://ts.21cn.com/tousu/show/id/1348350","http://ts.21cn.com/tousu/show/id/1348350")</f>
        <v>http://ts.21cn.com/tousu/show/id/1348350</v>
      </c>
      <c r="F16594" s="2" t="s">
        <v>11</v>
      </c>
      <c r="G16594" s="2" t="s">
        <v>11558</v>
      </c>
      <c r="H16594" s="2" t="s">
        <v>11559</v>
      </c>
    </row>
    <row r="16595" spans="1:8" ht="25.05" customHeight="1" x14ac:dyDescent="0.25">
      <c r="A16595" s="2" t="s">
        <v>8</v>
      </c>
      <c r="B16595" s="2" t="str">
        <f>HYPERLINK("http://ts.21cn.com/tousu/show/id/1348352","聚美优品网站账号注销")</f>
        <v>聚美优品网站账号注销</v>
      </c>
      <c r="C16595" s="2" t="s">
        <v>34</v>
      </c>
      <c r="D16595" s="2" t="s">
        <v>10</v>
      </c>
      <c r="E16595" s="2" t="str">
        <f>HYPERLINK("http://ts.21cn.com/tousu/show/id/1348352","http://ts.21cn.com/tousu/show/id/1348352")</f>
        <v>http://ts.21cn.com/tousu/show/id/1348352</v>
      </c>
      <c r="F16595" s="2" t="s">
        <v>11</v>
      </c>
      <c r="G16595" s="2" t="s">
        <v>11556</v>
      </c>
      <c r="H16595" s="2" t="s">
        <v>11557</v>
      </c>
    </row>
    <row r="16596" spans="1:8" ht="25.05" customHeight="1" x14ac:dyDescent="0.25">
      <c r="A16596" s="2" t="s">
        <v>8</v>
      </c>
      <c r="B16596" s="2" t="str">
        <f>HYPERLINK("http://ts.21cn.com/tousu/show/id/1348353","盗刷私自扣款要求退款")</f>
        <v>盗刷私自扣款要求退款</v>
      </c>
      <c r="C16596" s="2" t="s">
        <v>9</v>
      </c>
      <c r="D16596" s="2" t="s">
        <v>10</v>
      </c>
      <c r="E16596" s="2" t="str">
        <f>HYPERLINK("http://ts.21cn.com/tousu/show/id/1348353","http://ts.21cn.com/tousu/show/id/1348353")</f>
        <v>http://ts.21cn.com/tousu/show/id/1348353</v>
      </c>
      <c r="F16596" s="2" t="s">
        <v>11</v>
      </c>
      <c r="G16596" s="2" t="s">
        <v>11554</v>
      </c>
      <c r="H16596" s="2" t="s">
        <v>11555</v>
      </c>
    </row>
    <row r="16597" spans="1:8" ht="25.05" customHeight="1" x14ac:dyDescent="0.25">
      <c r="A16597" s="2" t="s">
        <v>8</v>
      </c>
      <c r="B16597" s="2" t="str">
        <f>HYPERLINK("http://ts.21cn.com/tousu/show/id/1348354","月光侠存在砍头息")</f>
        <v>月光侠存在砍头息</v>
      </c>
      <c r="C16597" s="2" t="s">
        <v>34</v>
      </c>
      <c r="D16597" s="2" t="s">
        <v>10</v>
      </c>
      <c r="E16597" s="2" t="str">
        <f>HYPERLINK("http://ts.21cn.com/tousu/show/id/1348354","http://ts.21cn.com/tousu/show/id/1348354")</f>
        <v>http://ts.21cn.com/tousu/show/id/1348354</v>
      </c>
      <c r="F16597" s="2" t="s">
        <v>11</v>
      </c>
      <c r="G16597" s="2" t="s">
        <v>11552</v>
      </c>
      <c r="H16597" s="2" t="s">
        <v>11553</v>
      </c>
    </row>
    <row r="16598" spans="1:8" ht="25.05" customHeight="1" x14ac:dyDescent="0.25">
      <c r="A16598" s="2" t="s">
        <v>8</v>
      </c>
      <c r="B16598" s="2" t="str">
        <f>HYPERLINK("http://ts.21cn.com/tousu/show/id/1348355","平安银行伪造法院开庭通知骚扰家人")</f>
        <v>平安银行伪造法院开庭通知骚扰家人</v>
      </c>
      <c r="C16598" s="2" t="s">
        <v>9</v>
      </c>
      <c r="D16598" s="2" t="s">
        <v>10</v>
      </c>
      <c r="E16598" s="2" t="str">
        <f>HYPERLINK("http://ts.21cn.com/tousu/show/id/1348355","http://ts.21cn.com/tousu/show/id/1348355")</f>
        <v>http://ts.21cn.com/tousu/show/id/1348355</v>
      </c>
      <c r="F16598" s="2" t="s">
        <v>11</v>
      </c>
      <c r="G16598" s="2" t="s">
        <v>11550</v>
      </c>
      <c r="H16598" s="2" t="s">
        <v>11551</v>
      </c>
    </row>
    <row r="16599" spans="1:8" ht="25.05" customHeight="1" x14ac:dyDescent="0.25">
      <c r="A16599" s="2" t="s">
        <v>8</v>
      </c>
      <c r="B16599" s="2" t="str">
        <f>HYPERLINK("http://ts.21cn.com/tousu/show/id/1348356","华夏银行信用卡乱收费")</f>
        <v>华夏银行信用卡乱收费</v>
      </c>
      <c r="C16599" s="2" t="s">
        <v>9</v>
      </c>
      <c r="D16599" s="2" t="s">
        <v>10</v>
      </c>
      <c r="E16599" s="2" t="str">
        <f>HYPERLINK("http://ts.21cn.com/tousu/show/id/1348356","http://ts.21cn.com/tousu/show/id/1348356")</f>
        <v>http://ts.21cn.com/tousu/show/id/1348356</v>
      </c>
      <c r="F16599" s="2" t="s">
        <v>11</v>
      </c>
      <c r="G16599" s="2" t="s">
        <v>11548</v>
      </c>
      <c r="H16599" s="2" t="s">
        <v>11549</v>
      </c>
    </row>
    <row r="16600" spans="1:8" ht="25.05" customHeight="1" x14ac:dyDescent="0.25">
      <c r="A16600" s="2" t="s">
        <v>8</v>
      </c>
      <c r="B16600" s="2" t="str">
        <f>HYPERLINK("http://ts.21cn.com/tousu/show/id/1348357","因滴滴司机开车太慢，导致迟到，车票作废，失去的是时间，钱都不多")</f>
        <v>因滴滴司机开车太慢，导致迟到，车票作废，失去的是时间，钱都不多</v>
      </c>
      <c r="C16600" s="2" t="s">
        <v>9</v>
      </c>
      <c r="D16600" s="2" t="s">
        <v>10</v>
      </c>
      <c r="E16600" s="2" t="str">
        <f>HYPERLINK("http://ts.21cn.com/tousu/show/id/1348357","http://ts.21cn.com/tousu/show/id/1348357")</f>
        <v>http://ts.21cn.com/tousu/show/id/1348357</v>
      </c>
      <c r="F16600" s="2" t="s">
        <v>11</v>
      </c>
      <c r="G16600" s="2" t="s">
        <v>11548</v>
      </c>
      <c r="H16600" s="2" t="s">
        <v>769</v>
      </c>
    </row>
    <row r="16601" spans="1:8" ht="25.05" customHeight="1" x14ac:dyDescent="0.25">
      <c r="A16601" s="2" t="s">
        <v>8</v>
      </c>
      <c r="B16601" s="2" t="str">
        <f>HYPERLINK("http://ts.21cn.com/tousu/show/id/1348358","吹牛app零钱一直提现不了")</f>
        <v>吹牛app零钱一直提现不了</v>
      </c>
      <c r="C16601" s="2" t="s">
        <v>9</v>
      </c>
      <c r="D16601" s="2" t="s">
        <v>10</v>
      </c>
      <c r="E16601" s="2" t="str">
        <f>HYPERLINK("http://ts.21cn.com/tousu/show/id/1348358","http://ts.21cn.com/tousu/show/id/1348358")</f>
        <v>http://ts.21cn.com/tousu/show/id/1348358</v>
      </c>
      <c r="F16601" s="2" t="s">
        <v>11</v>
      </c>
      <c r="G16601" s="2" t="s">
        <v>11546</v>
      </c>
      <c r="H16601" s="2" t="s">
        <v>11547</v>
      </c>
    </row>
    <row r="16602" spans="1:8" ht="25.05" customHeight="1" x14ac:dyDescent="0.25">
      <c r="A16602" s="2" t="s">
        <v>8</v>
      </c>
      <c r="B16602" s="2" t="str">
        <f>HYPERLINK("http://ts.21cn.com/tousu/show/id/1348359","小浦优客未经同意扣款")</f>
        <v>小浦优客未经同意扣款</v>
      </c>
      <c r="C16602" s="2" t="s">
        <v>9</v>
      </c>
      <c r="D16602" s="2" t="s">
        <v>10</v>
      </c>
      <c r="E16602" s="2" t="str">
        <f>HYPERLINK("http://ts.21cn.com/tousu/show/id/1348359","http://ts.21cn.com/tousu/show/id/1348359")</f>
        <v>http://ts.21cn.com/tousu/show/id/1348359</v>
      </c>
      <c r="F16602" s="2" t="s">
        <v>11</v>
      </c>
      <c r="G16602" s="2" t="s">
        <v>11544</v>
      </c>
      <c r="H16602" s="2" t="s">
        <v>11545</v>
      </c>
    </row>
    <row r="16603" spans="1:8" ht="25.05" customHeight="1" x14ac:dyDescent="0.25">
      <c r="A16603" s="2" t="s">
        <v>8</v>
      </c>
      <c r="B16603" s="2" t="str">
        <f>HYPERLINK("http://ts.21cn.com/tousu/show/id/1348360","淘宝个人订单信息泄露“退款诈骗”")</f>
        <v>淘宝个人订单信息泄露“退款诈骗”</v>
      </c>
      <c r="C16603" s="2" t="s">
        <v>9</v>
      </c>
      <c r="D16603" s="2" t="s">
        <v>10</v>
      </c>
      <c r="E16603" s="2" t="str">
        <f>HYPERLINK("http://ts.21cn.com/tousu/show/id/1348360","http://ts.21cn.com/tousu/show/id/1348360")</f>
        <v>http://ts.21cn.com/tousu/show/id/1348360</v>
      </c>
      <c r="F16603" s="2" t="s">
        <v>11</v>
      </c>
      <c r="G16603" s="2" t="s">
        <v>11542</v>
      </c>
      <c r="H16603" s="2" t="s">
        <v>11543</v>
      </c>
    </row>
    <row r="16604" spans="1:8" ht="25.05" customHeight="1" x14ac:dyDescent="0.25">
      <c r="A16604" s="2" t="s">
        <v>8</v>
      </c>
      <c r="B16604" s="2" t="str">
        <f>HYPERLINK("http://ts.21cn.com/tousu/show/id/1348361","利息有点高")</f>
        <v>利息有点高</v>
      </c>
      <c r="C16604" s="2" t="s">
        <v>9</v>
      </c>
      <c r="D16604" s="2" t="s">
        <v>10</v>
      </c>
      <c r="E16604" s="2" t="str">
        <f>HYPERLINK("http://ts.21cn.com/tousu/show/id/1348361","http://ts.21cn.com/tousu/show/id/1348361")</f>
        <v>http://ts.21cn.com/tousu/show/id/1348361</v>
      </c>
      <c r="F16604" s="2" t="s">
        <v>11</v>
      </c>
      <c r="G16604" s="2" t="s">
        <v>11540</v>
      </c>
      <c r="H16604" s="2" t="s">
        <v>11541</v>
      </c>
    </row>
    <row r="16605" spans="1:8" ht="25.05" customHeight="1" x14ac:dyDescent="0.25">
      <c r="A16605" s="2" t="s">
        <v>8</v>
      </c>
      <c r="B16605" s="2" t="str">
        <f>HYPERLINK("http://ts.21cn.com/tousu/show/id/1348362","暴力催收。群发假律师函")</f>
        <v>暴力催收。群发假律师函</v>
      </c>
      <c r="C16605" s="2" t="s">
        <v>9</v>
      </c>
      <c r="D16605" s="2" t="s">
        <v>10</v>
      </c>
      <c r="E16605" s="2" t="str">
        <f>HYPERLINK("http://ts.21cn.com/tousu/show/id/1348362","http://ts.21cn.com/tousu/show/id/1348362")</f>
        <v>http://ts.21cn.com/tousu/show/id/1348362</v>
      </c>
      <c r="F16605" s="2" t="s">
        <v>11</v>
      </c>
      <c r="G16605" s="2" t="s">
        <v>11538</v>
      </c>
      <c r="H16605" s="2" t="s">
        <v>11539</v>
      </c>
    </row>
    <row r="16606" spans="1:8" ht="25.05" customHeight="1" x14ac:dyDescent="0.25">
      <c r="A16606" s="2" t="s">
        <v>8</v>
      </c>
      <c r="B16606" s="2" t="str">
        <f>HYPERLINK("http://ts.21cn.com/tousu/show/id/1348363","唯品会不当催收")</f>
        <v>唯品会不当催收</v>
      </c>
      <c r="C16606" s="2" t="s">
        <v>9</v>
      </c>
      <c r="D16606" s="2" t="s">
        <v>10</v>
      </c>
      <c r="E16606" s="2" t="str">
        <f>HYPERLINK("http://ts.21cn.com/tousu/show/id/1348363","http://ts.21cn.com/tousu/show/id/1348363")</f>
        <v>http://ts.21cn.com/tousu/show/id/1348363</v>
      </c>
      <c r="F16606" s="2" t="s">
        <v>11</v>
      </c>
      <c r="G16606" s="2" t="s">
        <v>11536</v>
      </c>
      <c r="H16606" s="2" t="s">
        <v>11537</v>
      </c>
    </row>
    <row r="16607" spans="1:8" ht="25.05" customHeight="1" x14ac:dyDescent="0.25">
      <c r="A16607" s="2" t="s">
        <v>8</v>
      </c>
      <c r="B16607" s="2" t="str">
        <f>HYPERLINK("http://ts.21cn.com/tousu/show/id/1348364","滴滴平台不给单")</f>
        <v>滴滴平台不给单</v>
      </c>
      <c r="C16607" s="2" t="s">
        <v>9</v>
      </c>
      <c r="D16607" s="2" t="s">
        <v>10</v>
      </c>
      <c r="E16607" s="2" t="str">
        <f>HYPERLINK("http://ts.21cn.com/tousu/show/id/1348364","http://ts.21cn.com/tousu/show/id/1348364")</f>
        <v>http://ts.21cn.com/tousu/show/id/1348364</v>
      </c>
      <c r="F16607" s="2" t="s">
        <v>11</v>
      </c>
      <c r="G16607" s="2" t="s">
        <v>11534</v>
      </c>
      <c r="H16607" s="2" t="s">
        <v>11535</v>
      </c>
    </row>
    <row r="16608" spans="1:8" ht="25.05" customHeight="1" x14ac:dyDescent="0.25">
      <c r="A16608" s="2" t="s">
        <v>8</v>
      </c>
      <c r="B16608" s="2" t="str">
        <f>HYPERLINK("http://ts.21cn.com/tousu/show/id/1348365","聚福钱包未经许可私自扣款")</f>
        <v>聚福钱包未经许可私自扣款</v>
      </c>
      <c r="C16608" s="2" t="s">
        <v>9</v>
      </c>
      <c r="D16608" s="2" t="s">
        <v>10</v>
      </c>
      <c r="E16608" s="2" t="str">
        <f>HYPERLINK("http://ts.21cn.com/tousu/show/id/1348365","http://ts.21cn.com/tousu/show/id/1348365")</f>
        <v>http://ts.21cn.com/tousu/show/id/1348365</v>
      </c>
      <c r="F16608" s="2" t="s">
        <v>11</v>
      </c>
      <c r="G16608" s="2" t="s">
        <v>11532</v>
      </c>
      <c r="H16608" s="2" t="s">
        <v>11533</v>
      </c>
    </row>
    <row r="16609" spans="1:8" ht="25.05" customHeight="1" x14ac:dyDescent="0.25">
      <c r="A16609" s="2" t="s">
        <v>8</v>
      </c>
      <c r="B16609" s="2" t="str">
        <f>HYPERLINK("http://ts.21cn.com/tousu/show/id/1348367","中腾信阴阳合同")</f>
        <v>中腾信阴阳合同</v>
      </c>
      <c r="C16609" s="2" t="s">
        <v>9</v>
      </c>
      <c r="D16609" s="2" t="s">
        <v>10</v>
      </c>
      <c r="E16609" s="2" t="str">
        <f>HYPERLINK("http://ts.21cn.com/tousu/show/id/1348367","http://ts.21cn.com/tousu/show/id/1348367")</f>
        <v>http://ts.21cn.com/tousu/show/id/1348367</v>
      </c>
      <c r="F16609" s="2" t="s">
        <v>11</v>
      </c>
      <c r="G16609" s="2" t="s">
        <v>11530</v>
      </c>
      <c r="H16609" s="2" t="s">
        <v>11531</v>
      </c>
    </row>
    <row r="16610" spans="1:8" ht="25.05" customHeight="1" x14ac:dyDescent="0.25">
      <c r="A16610" s="2" t="s">
        <v>8</v>
      </c>
      <c r="B16610" s="2" t="str">
        <f>HYPERLINK("http://ts.21cn.com/tousu/show/id/1348366","造艺科技旗下平台合同虚构，内容虚假，扣款都没显示")</f>
        <v>造艺科技旗下平台合同虚构，内容虚假，扣款都没显示</v>
      </c>
      <c r="C16610" s="2" t="s">
        <v>9</v>
      </c>
      <c r="D16610" s="2" t="s">
        <v>10</v>
      </c>
      <c r="E16610" s="2" t="str">
        <f>HYPERLINK("http://ts.21cn.com/tousu/show/id/1348366","http://ts.21cn.com/tousu/show/id/1348366")</f>
        <v>http://ts.21cn.com/tousu/show/id/1348366</v>
      </c>
      <c r="F16610" s="2" t="s">
        <v>11</v>
      </c>
      <c r="G16610" s="2" t="s">
        <v>11528</v>
      </c>
      <c r="H16610" s="2" t="s">
        <v>11529</v>
      </c>
    </row>
    <row r="16611" spans="1:8" ht="25.05" customHeight="1" x14ac:dyDescent="0.25">
      <c r="A16611" s="2" t="s">
        <v>8</v>
      </c>
      <c r="B16611" s="2" t="str">
        <f>HYPERLINK("http://ts.21cn.com/tousu/show/id/1348368","交易猫交易失败不退款")</f>
        <v>交易猫交易失败不退款</v>
      </c>
      <c r="C16611" s="2" t="s">
        <v>9</v>
      </c>
      <c r="D16611" s="2" t="s">
        <v>10</v>
      </c>
      <c r="E16611" s="2" t="str">
        <f>HYPERLINK("http://ts.21cn.com/tousu/show/id/1348368","http://ts.21cn.com/tousu/show/id/1348368")</f>
        <v>http://ts.21cn.com/tousu/show/id/1348368</v>
      </c>
      <c r="F16611" s="2" t="s">
        <v>11</v>
      </c>
      <c r="G16611" s="2" t="s">
        <v>11526</v>
      </c>
      <c r="H16611" s="2" t="s">
        <v>11527</v>
      </c>
    </row>
    <row r="16612" spans="1:8" ht="25.05" customHeight="1" x14ac:dyDescent="0.25">
      <c r="A16612" s="2" t="s">
        <v>8</v>
      </c>
      <c r="B16612" s="2" t="str">
        <f>HYPERLINK("http://ts.21cn.com/tousu/show/id/1348369","短信催收，吓唬亲戚")</f>
        <v>短信催收，吓唬亲戚</v>
      </c>
      <c r="C16612" s="2" t="s">
        <v>9</v>
      </c>
      <c r="D16612" s="2" t="s">
        <v>10</v>
      </c>
      <c r="E16612" s="2" t="str">
        <f>HYPERLINK("http://ts.21cn.com/tousu/show/id/1348369","http://ts.21cn.com/tousu/show/id/1348369")</f>
        <v>http://ts.21cn.com/tousu/show/id/1348369</v>
      </c>
      <c r="F16612" s="2" t="s">
        <v>11</v>
      </c>
      <c r="G16612" s="2" t="s">
        <v>11524</v>
      </c>
      <c r="H16612" s="2" t="s">
        <v>11525</v>
      </c>
    </row>
    <row r="16613" spans="1:8" ht="25.05" customHeight="1" x14ac:dyDescent="0.25">
      <c r="A16613" s="2" t="s">
        <v>8</v>
      </c>
      <c r="B16613" s="2" t="str">
        <f>HYPERLINK("http://ts.21cn.com/tousu/show/id/1348370","无故被扣款296元")</f>
        <v>无故被扣款296元</v>
      </c>
      <c r="C16613" s="2" t="s">
        <v>9</v>
      </c>
      <c r="D16613" s="2" t="s">
        <v>10</v>
      </c>
      <c r="E16613" s="2" t="str">
        <f>HYPERLINK("http://ts.21cn.com/tousu/show/id/1348370","http://ts.21cn.com/tousu/show/id/1348370")</f>
        <v>http://ts.21cn.com/tousu/show/id/1348370</v>
      </c>
      <c r="F16613" s="2" t="s">
        <v>11</v>
      </c>
      <c r="G16613" s="2" t="s">
        <v>11522</v>
      </c>
      <c r="H16613" s="2" t="s">
        <v>11523</v>
      </c>
    </row>
    <row r="16614" spans="1:8" ht="25.05" customHeight="1" x14ac:dyDescent="0.25">
      <c r="A16614" s="2" t="s">
        <v>8</v>
      </c>
      <c r="B16614" s="2" t="str">
        <f>HYPERLINK("http://ts.21cn.com/tousu/show/id/1348371","小浦优客在不知情的情况下扣款")</f>
        <v>小浦优客在不知情的情况下扣款</v>
      </c>
      <c r="C16614" s="2" t="s">
        <v>9</v>
      </c>
      <c r="D16614" s="2" t="s">
        <v>10</v>
      </c>
      <c r="E16614" s="2" t="str">
        <f>HYPERLINK("http://ts.21cn.com/tousu/show/id/1348371","http://ts.21cn.com/tousu/show/id/1348371")</f>
        <v>http://ts.21cn.com/tousu/show/id/1348371</v>
      </c>
      <c r="F16614" s="2" t="s">
        <v>11</v>
      </c>
      <c r="G16614" s="2" t="s">
        <v>11520</v>
      </c>
      <c r="H16614" s="2" t="s">
        <v>11521</v>
      </c>
    </row>
    <row r="16615" spans="1:8" ht="25.05" customHeight="1" x14ac:dyDescent="0.25">
      <c r="A16615" s="2" t="s">
        <v>8</v>
      </c>
      <c r="B16615" s="2" t="str">
        <f>HYPERLINK("http://ts.21cn.com/tousu/show/id/1348372","瑞银信pos机官方未履行合约，没有退回押金，客服不解决，等待一个月无果")</f>
        <v>瑞银信pos机官方未履行合约，没有退回押金，客服不解决，等待一个月无果</v>
      </c>
      <c r="C16615" s="2" t="s">
        <v>9</v>
      </c>
      <c r="D16615" s="2" t="s">
        <v>10</v>
      </c>
      <c r="E16615" s="2" t="str">
        <f>HYPERLINK("http://ts.21cn.com/tousu/show/id/1348372","http://ts.21cn.com/tousu/show/id/1348372")</f>
        <v>http://ts.21cn.com/tousu/show/id/1348372</v>
      </c>
      <c r="F16615" s="2" t="s">
        <v>11</v>
      </c>
      <c r="G16615" s="2" t="s">
        <v>11518</v>
      </c>
      <c r="H16615" s="2" t="s">
        <v>11519</v>
      </c>
    </row>
    <row r="16616" spans="1:8" ht="25.05" customHeight="1" x14ac:dyDescent="0.25">
      <c r="A16616" s="2" t="s">
        <v>8</v>
      </c>
      <c r="B16616" s="2" t="str">
        <f>HYPERLINK("http://ts.21cn.com/tousu/show/id/1348373","小浦优客未经同意扣款")</f>
        <v>小浦优客未经同意扣款</v>
      </c>
      <c r="C16616" s="2" t="s">
        <v>9</v>
      </c>
      <c r="D16616" s="2" t="s">
        <v>10</v>
      </c>
      <c r="E16616" s="2" t="str">
        <f>HYPERLINK("http://ts.21cn.com/tousu/show/id/1348373","http://ts.21cn.com/tousu/show/id/1348373")</f>
        <v>http://ts.21cn.com/tousu/show/id/1348373</v>
      </c>
      <c r="F16616" s="2" t="s">
        <v>11</v>
      </c>
      <c r="G16616" s="2" t="s">
        <v>11516</v>
      </c>
      <c r="H16616" s="2" t="s">
        <v>11517</v>
      </c>
    </row>
    <row r="16617" spans="1:8" ht="25.05" customHeight="1" x14ac:dyDescent="0.25">
      <c r="A16617" s="2" t="s">
        <v>8</v>
      </c>
      <c r="B16617" s="2" t="str">
        <f>HYPERLINK("http://ts.21cn.com/tousu/show/id/1348374","恒昌公司旗下恒易贷合同金额远高于实际借款金额")</f>
        <v>恒昌公司旗下恒易贷合同金额远高于实际借款金额</v>
      </c>
      <c r="C16617" s="2" t="s">
        <v>9</v>
      </c>
      <c r="D16617" s="2" t="s">
        <v>10</v>
      </c>
      <c r="E16617" s="2" t="str">
        <f>HYPERLINK("http://ts.21cn.com/tousu/show/id/1348374","http://ts.21cn.com/tousu/show/id/1348374")</f>
        <v>http://ts.21cn.com/tousu/show/id/1348374</v>
      </c>
      <c r="F16617" s="2" t="s">
        <v>11</v>
      </c>
      <c r="G16617" s="2" t="s">
        <v>11514</v>
      </c>
      <c r="H16617" s="2" t="s">
        <v>11515</v>
      </c>
    </row>
    <row r="16618" spans="1:8" ht="25.05" customHeight="1" x14ac:dyDescent="0.25">
      <c r="A16618" s="2" t="s">
        <v>8</v>
      </c>
      <c r="B16618" s="2" t="str">
        <f>HYPERLINK("http://ts.21cn.com/tousu/show/id/1348377","中腾信高利贷暴力催收，威胁恐吓骚扰通讯录")</f>
        <v>中腾信高利贷暴力催收，威胁恐吓骚扰通讯录</v>
      </c>
      <c r="C16618" s="2" t="s">
        <v>9</v>
      </c>
      <c r="D16618" s="2" t="s">
        <v>10</v>
      </c>
      <c r="E16618" s="2" t="str">
        <f>HYPERLINK("http://ts.21cn.com/tousu/show/id/1348377","http://ts.21cn.com/tousu/show/id/1348377")</f>
        <v>http://ts.21cn.com/tousu/show/id/1348377</v>
      </c>
      <c r="F16618" s="2" t="s">
        <v>11</v>
      </c>
      <c r="G16618" s="2" t="s">
        <v>11512</v>
      </c>
      <c r="H16618" s="2" t="s">
        <v>11513</v>
      </c>
    </row>
    <row r="16619" spans="1:8" ht="25.05" customHeight="1" x14ac:dyDescent="0.25">
      <c r="A16619" s="2" t="s">
        <v>8</v>
      </c>
      <c r="B16619" s="2" t="str">
        <f>HYPERLINK("http://ts.21cn.com/tousu/show/id/1348376","砍头息，暴力催收，骚扰通讯录’")</f>
        <v>砍头息，暴力催收，骚扰通讯录’</v>
      </c>
      <c r="C16619" s="2" t="s">
        <v>9</v>
      </c>
      <c r="D16619" s="2" t="s">
        <v>10</v>
      </c>
      <c r="E16619" s="2" t="str">
        <f>HYPERLINK("http://ts.21cn.com/tousu/show/id/1348376","http://ts.21cn.com/tousu/show/id/1348376")</f>
        <v>http://ts.21cn.com/tousu/show/id/1348376</v>
      </c>
      <c r="F16619" s="2" t="s">
        <v>11</v>
      </c>
      <c r="G16619" s="2" t="s">
        <v>11510</v>
      </c>
      <c r="H16619" s="2" t="s">
        <v>11511</v>
      </c>
    </row>
    <row r="16620" spans="1:8" ht="25.05" customHeight="1" x14ac:dyDescent="0.25">
      <c r="A16620" s="2" t="s">
        <v>8</v>
      </c>
      <c r="B16620" s="2" t="str">
        <f>HYPERLINK("http://ts.21cn.com/tousu/show/id/1348378","今日头条账号无故被封，且没法退钱")</f>
        <v>今日头条账号无故被封，且没法退钱</v>
      </c>
      <c r="C16620" s="2" t="s">
        <v>9</v>
      </c>
      <c r="D16620" s="2" t="s">
        <v>10</v>
      </c>
      <c r="E16620" s="2" t="str">
        <f>HYPERLINK("http://ts.21cn.com/tousu/show/id/1348378","http://ts.21cn.com/tousu/show/id/1348378")</f>
        <v>http://ts.21cn.com/tousu/show/id/1348378</v>
      </c>
      <c r="F16620" s="2" t="s">
        <v>11</v>
      </c>
      <c r="G16620" s="2" t="s">
        <v>11508</v>
      </c>
      <c r="H16620" s="2" t="s">
        <v>11509</v>
      </c>
    </row>
    <row r="16621" spans="1:8" ht="25.05" customHeight="1" x14ac:dyDescent="0.25">
      <c r="A16621" s="2" t="s">
        <v>8</v>
      </c>
      <c r="B16621" s="2" t="str">
        <f>HYPERLINK("http://ts.21cn.com/tousu/show/id/1348379","无故私自扣款")</f>
        <v>无故私自扣款</v>
      </c>
      <c r="C16621" s="2" t="s">
        <v>9</v>
      </c>
      <c r="D16621" s="2" t="s">
        <v>10</v>
      </c>
      <c r="E16621" s="2" t="str">
        <f>HYPERLINK("http://ts.21cn.com/tousu/show/id/1348379","http://ts.21cn.com/tousu/show/id/1348379")</f>
        <v>http://ts.21cn.com/tousu/show/id/1348379</v>
      </c>
      <c r="F16621" s="2" t="s">
        <v>11</v>
      </c>
      <c r="G16621" s="2" t="s">
        <v>11506</v>
      </c>
      <c r="H16621" s="2" t="s">
        <v>11507</v>
      </c>
    </row>
    <row r="16622" spans="1:8" ht="25.05" customHeight="1" x14ac:dyDescent="0.25">
      <c r="A16622" s="2" t="s">
        <v>8</v>
      </c>
      <c r="B16622" s="2" t="str">
        <f>HYPERLINK("http://ts.21cn.com/tousu/show/id/1348380","好易借非法爆通讯录")</f>
        <v>好易借非法爆通讯录</v>
      </c>
      <c r="C16622" s="2" t="s">
        <v>9</v>
      </c>
      <c r="D16622" s="2" t="s">
        <v>10</v>
      </c>
      <c r="E16622" s="2" t="str">
        <f>HYPERLINK("http://ts.21cn.com/tousu/show/id/1348380","http://ts.21cn.com/tousu/show/id/1348380")</f>
        <v>http://ts.21cn.com/tousu/show/id/1348380</v>
      </c>
      <c r="F16622" s="2" t="s">
        <v>11</v>
      </c>
      <c r="G16622" s="2" t="s">
        <v>11504</v>
      </c>
      <c r="H16622" s="2" t="s">
        <v>11505</v>
      </c>
    </row>
    <row r="16623" spans="1:8" ht="25.05" customHeight="1" x14ac:dyDescent="0.25">
      <c r="A16623" s="2" t="s">
        <v>8</v>
      </c>
      <c r="B16623" s="2" t="str">
        <f>HYPERLINK("http://ts.21cn.com/tousu/show/id/1348381","小黄车ofo不退还押金、客服挂客户电话")</f>
        <v>小黄车ofo不退还押金、客服挂客户电话</v>
      </c>
      <c r="C16623" s="2" t="s">
        <v>9</v>
      </c>
      <c r="D16623" s="2" t="s">
        <v>10</v>
      </c>
      <c r="E16623" s="2" t="str">
        <f>HYPERLINK("http://ts.21cn.com/tousu/show/id/1348381","http://ts.21cn.com/tousu/show/id/1348381")</f>
        <v>http://ts.21cn.com/tousu/show/id/1348381</v>
      </c>
      <c r="F16623" s="2" t="s">
        <v>11</v>
      </c>
      <c r="G16623" s="2" t="s">
        <v>11502</v>
      </c>
      <c r="H16623" s="2" t="s">
        <v>11503</v>
      </c>
    </row>
    <row r="16624" spans="1:8" ht="25.05" customHeight="1" x14ac:dyDescent="0.25">
      <c r="A16624" s="2" t="s">
        <v>8</v>
      </c>
      <c r="B16624" s="2" t="str">
        <f>HYPERLINK("http://ts.21cn.com/tousu/show/id/1348382","爆通讯录")</f>
        <v>爆通讯录</v>
      </c>
      <c r="C16624" s="2" t="s">
        <v>9</v>
      </c>
      <c r="D16624" s="2" t="s">
        <v>10</v>
      </c>
      <c r="E16624" s="2" t="str">
        <f>HYPERLINK("http://ts.21cn.com/tousu/show/id/1348382","http://ts.21cn.com/tousu/show/id/1348382")</f>
        <v>http://ts.21cn.com/tousu/show/id/1348382</v>
      </c>
      <c r="F16624" s="2" t="s">
        <v>11</v>
      </c>
      <c r="G16624" s="2" t="s">
        <v>11500</v>
      </c>
      <c r="H16624" s="2" t="s">
        <v>11501</v>
      </c>
    </row>
    <row r="16625" spans="1:8" ht="25.05" customHeight="1" x14ac:dyDescent="0.25">
      <c r="A16625" s="2" t="s">
        <v>8</v>
      </c>
      <c r="B16625" s="2" t="str">
        <f>HYPERLINK("http://ts.21cn.com/tousu/show/id/1348384","微博借钱轰通讯录还骂人。麻烦个我解释")</f>
        <v>微博借钱轰通讯录还骂人。麻烦个我解释</v>
      </c>
      <c r="C16625" s="2" t="s">
        <v>9</v>
      </c>
      <c r="D16625" s="2" t="s">
        <v>10</v>
      </c>
      <c r="E16625" s="2" t="str">
        <f>HYPERLINK("http://ts.21cn.com/tousu/show/id/1348384","http://ts.21cn.com/tousu/show/id/1348384")</f>
        <v>http://ts.21cn.com/tousu/show/id/1348384</v>
      </c>
      <c r="F16625" s="2" t="s">
        <v>11</v>
      </c>
      <c r="G16625" s="2" t="s">
        <v>11498</v>
      </c>
      <c r="H16625" s="2" t="s">
        <v>11499</v>
      </c>
    </row>
    <row r="16626" spans="1:8" ht="25.05" customHeight="1" x14ac:dyDescent="0.25">
      <c r="A16626" s="2" t="s">
        <v>8</v>
      </c>
      <c r="B16626" s="2" t="str">
        <f>HYPERLINK("http://ts.21cn.com/tousu/show/id/1348383","美团骑手超时配送2小时，打电话询问，骑手撒谎，被戳穿后大骂客户")</f>
        <v>美团骑手超时配送2小时，打电话询问，骑手撒谎，被戳穿后大骂客户</v>
      </c>
      <c r="C16626" s="2" t="s">
        <v>9</v>
      </c>
      <c r="D16626" s="2" t="s">
        <v>10</v>
      </c>
      <c r="E16626" s="2" t="str">
        <f>HYPERLINK("http://ts.21cn.com/tousu/show/id/1348383","http://ts.21cn.com/tousu/show/id/1348383")</f>
        <v>http://ts.21cn.com/tousu/show/id/1348383</v>
      </c>
      <c r="F16626" s="2" t="s">
        <v>11</v>
      </c>
      <c r="G16626" s="2" t="s">
        <v>11496</v>
      </c>
      <c r="H16626" s="2" t="s">
        <v>11497</v>
      </c>
    </row>
    <row r="16627" spans="1:8" ht="25.05" customHeight="1" x14ac:dyDescent="0.25">
      <c r="A16627" s="2" t="s">
        <v>8</v>
      </c>
      <c r="B16627" s="2" t="str">
        <f>HYPERLINK("http://ts.21cn.com/tousu/show/id/1348385","砍头息，套路贷")</f>
        <v>砍头息，套路贷</v>
      </c>
      <c r="C16627" s="2" t="s">
        <v>9</v>
      </c>
      <c r="D16627" s="2" t="s">
        <v>10</v>
      </c>
      <c r="E16627" s="2" t="str">
        <f>HYPERLINK("http://ts.21cn.com/tousu/show/id/1348385","http://ts.21cn.com/tousu/show/id/1348385")</f>
        <v>http://ts.21cn.com/tousu/show/id/1348385</v>
      </c>
      <c r="F16627" s="2" t="s">
        <v>11</v>
      </c>
      <c r="G16627" s="2" t="s">
        <v>11494</v>
      </c>
      <c r="H16627" s="2" t="s">
        <v>11495</v>
      </c>
    </row>
    <row r="16628" spans="1:8" ht="25.05" customHeight="1" x14ac:dyDescent="0.25">
      <c r="A16628" s="2" t="s">
        <v>8</v>
      </c>
      <c r="B16628" s="2" t="str">
        <f>HYPERLINK("http://ts.21cn.com/tousu/show/id/1348386","左右钱包，砍头息高利贷")</f>
        <v>左右钱包，砍头息高利贷</v>
      </c>
      <c r="C16628" s="2" t="s">
        <v>9</v>
      </c>
      <c r="D16628" s="2" t="s">
        <v>10</v>
      </c>
      <c r="E16628" s="2" t="str">
        <f>HYPERLINK("http://ts.21cn.com/tousu/show/id/1348386","http://ts.21cn.com/tousu/show/id/1348386")</f>
        <v>http://ts.21cn.com/tousu/show/id/1348386</v>
      </c>
      <c r="F16628" s="2" t="s">
        <v>11</v>
      </c>
      <c r="G16628" s="2" t="s">
        <v>11492</v>
      </c>
      <c r="H16628" s="2" t="s">
        <v>11493</v>
      </c>
    </row>
    <row r="16629" spans="1:8" ht="25.05" customHeight="1" x14ac:dyDescent="0.25">
      <c r="A16629" s="2" t="s">
        <v>8</v>
      </c>
      <c r="B16629" s="2" t="str">
        <f>HYPERLINK("http://ts.21cn.com/tousu/show/id/1348387","天天看看账号注销")</f>
        <v>天天看看账号注销</v>
      </c>
      <c r="C16629" s="2" t="s">
        <v>34</v>
      </c>
      <c r="D16629" s="2" t="s">
        <v>10</v>
      </c>
      <c r="E16629" s="2" t="str">
        <f>HYPERLINK("http://ts.21cn.com/tousu/show/id/1348387","http://ts.21cn.com/tousu/show/id/1348387")</f>
        <v>http://ts.21cn.com/tousu/show/id/1348387</v>
      </c>
      <c r="F16629" s="2" t="s">
        <v>11</v>
      </c>
      <c r="G16629" s="2" t="s">
        <v>11490</v>
      </c>
      <c r="H16629" s="2" t="s">
        <v>11491</v>
      </c>
    </row>
    <row r="16630" spans="1:8" ht="25.05" customHeight="1" x14ac:dyDescent="0.25">
      <c r="A16630" s="2" t="s">
        <v>8</v>
      </c>
      <c r="B16630" s="2" t="str">
        <f>HYPERLINK("http://ts.21cn.com/tousu/show/id/1348398","武汉品质家装饰公司工程质量稀烂，拖延工期")</f>
        <v>武汉品质家装饰公司工程质量稀烂，拖延工期</v>
      </c>
      <c r="C16630" s="2" t="s">
        <v>9</v>
      </c>
      <c r="D16630" s="2" t="s">
        <v>10</v>
      </c>
      <c r="E16630" s="2" t="str">
        <f>HYPERLINK("http://ts.21cn.com/tousu/show/id/1348398","http://ts.21cn.com/tousu/show/id/1348398")</f>
        <v>http://ts.21cn.com/tousu/show/id/1348398</v>
      </c>
      <c r="F16630" s="2" t="s">
        <v>11</v>
      </c>
      <c r="G16630" s="2" t="s">
        <v>11488</v>
      </c>
      <c r="H16630" s="2" t="s">
        <v>11489</v>
      </c>
    </row>
    <row r="16631" spans="1:8" ht="25.05" customHeight="1" x14ac:dyDescent="0.25">
      <c r="A16631" s="2" t="s">
        <v>8</v>
      </c>
      <c r="B16631" s="2" t="str">
        <f>HYPERLINK("http://ts.21cn.com/tousu/show/id/1348388","公众号举办留言点赞活动不开奖")</f>
        <v>公众号举办留言点赞活动不开奖</v>
      </c>
      <c r="C16631" s="2" t="s">
        <v>34</v>
      </c>
      <c r="D16631" s="2" t="s">
        <v>10</v>
      </c>
      <c r="E16631" s="2" t="str">
        <f>HYPERLINK("http://ts.21cn.com/tousu/show/id/1348388","http://ts.21cn.com/tousu/show/id/1348388")</f>
        <v>http://ts.21cn.com/tousu/show/id/1348388</v>
      </c>
      <c r="F16631" s="2" t="s">
        <v>11</v>
      </c>
      <c r="G16631" s="2" t="s">
        <v>11486</v>
      </c>
      <c r="H16631" s="2" t="s">
        <v>11487</v>
      </c>
    </row>
    <row r="16632" spans="1:8" ht="25.05" customHeight="1" x14ac:dyDescent="0.25">
      <c r="A16632" s="2" t="s">
        <v>8</v>
      </c>
      <c r="B16632" s="2" t="str">
        <f>HYPERLINK("http://ts.21cn.com/tousu/show/id/1348389","烟台团俊装饰工程有限公司违规给博彩平台提供支付通道")</f>
        <v>烟台团俊装饰工程有限公司违规给博彩平台提供支付通道</v>
      </c>
      <c r="C16632" s="2" t="s">
        <v>9</v>
      </c>
      <c r="D16632" s="2" t="s">
        <v>10</v>
      </c>
      <c r="E16632" s="2" t="str">
        <f>HYPERLINK("http://ts.21cn.com/tousu/show/id/1348389","http://ts.21cn.com/tousu/show/id/1348389")</f>
        <v>http://ts.21cn.com/tousu/show/id/1348389</v>
      </c>
      <c r="F16632" s="2" t="s">
        <v>11</v>
      </c>
      <c r="G16632" s="2" t="s">
        <v>11484</v>
      </c>
      <c r="H16632" s="2" t="s">
        <v>11485</v>
      </c>
    </row>
    <row r="16633" spans="1:8" ht="25.05" customHeight="1" x14ac:dyDescent="0.25">
      <c r="A16633" s="2" t="s">
        <v>8</v>
      </c>
      <c r="B16633" s="2" t="str">
        <f>HYPERLINK("http://ts.21cn.com/tousu/show/id/1348390","唯品会收到退回的货物却拒不退款，打客服电话始终推脱要求客户等待，要求唯品会会立刻全额退款，并且赔偿道歉")</f>
        <v>唯品会收到退回的货物却拒不退款，打客服电话始终推脱要求客户等待，要求唯品会会立刻全额退款，并且赔偿道歉</v>
      </c>
      <c r="C16633" s="2" t="s">
        <v>34</v>
      </c>
      <c r="D16633" s="2" t="s">
        <v>10</v>
      </c>
      <c r="E16633" s="2" t="str">
        <f>HYPERLINK("http://ts.21cn.com/tousu/show/id/1348390","http://ts.21cn.com/tousu/show/id/1348390")</f>
        <v>http://ts.21cn.com/tousu/show/id/1348390</v>
      </c>
      <c r="F16633" s="2" t="s">
        <v>11</v>
      </c>
      <c r="G16633" s="2" t="s">
        <v>11482</v>
      </c>
      <c r="H16633" s="2" t="s">
        <v>11483</v>
      </c>
    </row>
    <row r="16634" spans="1:8" ht="25.05" customHeight="1" x14ac:dyDescent="0.25">
      <c r="A16634" s="2" t="s">
        <v>8</v>
      </c>
      <c r="B16634" s="2" t="str">
        <f>HYPERLINK("http://ts.21cn.com/tousu/show/id/1348391","小花钱包暴力催收群发短信")</f>
        <v>小花钱包暴力催收群发短信</v>
      </c>
      <c r="C16634" s="2" t="s">
        <v>9</v>
      </c>
      <c r="D16634" s="2" t="s">
        <v>10</v>
      </c>
      <c r="E16634" s="2" t="str">
        <f>HYPERLINK("http://ts.21cn.com/tousu/show/id/1348391","http://ts.21cn.com/tousu/show/id/1348391")</f>
        <v>http://ts.21cn.com/tousu/show/id/1348391</v>
      </c>
      <c r="F16634" s="2" t="s">
        <v>11</v>
      </c>
      <c r="G16634" s="2" t="s">
        <v>11480</v>
      </c>
      <c r="H16634" s="2" t="s">
        <v>11481</v>
      </c>
    </row>
    <row r="16635" spans="1:8" ht="25.05" customHeight="1" x14ac:dyDescent="0.25">
      <c r="A16635" s="2" t="s">
        <v>8</v>
      </c>
      <c r="B16635" s="2" t="str">
        <f>HYPERLINK("http://ts.21cn.com/tousu/show/id/1348392","高利贷")</f>
        <v>高利贷</v>
      </c>
      <c r="C16635" s="2" t="s">
        <v>9</v>
      </c>
      <c r="D16635" s="2" t="s">
        <v>10</v>
      </c>
      <c r="E16635" s="2" t="str">
        <f>HYPERLINK("http://ts.21cn.com/tousu/show/id/1348392","http://ts.21cn.com/tousu/show/id/1348392")</f>
        <v>http://ts.21cn.com/tousu/show/id/1348392</v>
      </c>
      <c r="F16635" s="2" t="s">
        <v>11</v>
      </c>
      <c r="G16635" s="2" t="s">
        <v>11478</v>
      </c>
      <c r="H16635" s="2" t="s">
        <v>11479</v>
      </c>
    </row>
    <row r="16636" spans="1:8" ht="25.05" customHeight="1" x14ac:dyDescent="0.25">
      <c r="A16636" s="2" t="s">
        <v>8</v>
      </c>
      <c r="B16636" s="2" t="str">
        <f>HYPERLINK("http://ts.21cn.com/tousu/show/id/1348393","中腾信旗下小花钱包麻袋理财三方合伙套路贷高利贷")</f>
        <v>中腾信旗下小花钱包麻袋理财三方合伙套路贷高利贷</v>
      </c>
      <c r="C16636" s="2" t="s">
        <v>9</v>
      </c>
      <c r="D16636" s="2" t="s">
        <v>10</v>
      </c>
      <c r="E16636" s="2" t="str">
        <f>HYPERLINK("http://ts.21cn.com/tousu/show/id/1348393","http://ts.21cn.com/tousu/show/id/1348393")</f>
        <v>http://ts.21cn.com/tousu/show/id/1348393</v>
      </c>
      <c r="F16636" s="2" t="s">
        <v>11</v>
      </c>
      <c r="G16636" s="2" t="s">
        <v>11476</v>
      </c>
      <c r="H16636" s="2" t="s">
        <v>11477</v>
      </c>
    </row>
    <row r="16637" spans="1:8" ht="25.05" customHeight="1" x14ac:dyDescent="0.25">
      <c r="A16637" s="2" t="s">
        <v>8</v>
      </c>
      <c r="B16637" s="2" t="str">
        <f>HYPERLINK("http://ts.21cn.com/tousu/show/id/1348394","私发红包被抢走")</f>
        <v>私发红包被抢走</v>
      </c>
      <c r="C16637" s="2" t="s">
        <v>9</v>
      </c>
      <c r="D16637" s="2" t="s">
        <v>10</v>
      </c>
      <c r="E16637" s="2" t="str">
        <f>HYPERLINK("http://ts.21cn.com/tousu/show/id/1348394","http://ts.21cn.com/tousu/show/id/1348394")</f>
        <v>http://ts.21cn.com/tousu/show/id/1348394</v>
      </c>
      <c r="F16637" s="2" t="s">
        <v>11</v>
      </c>
      <c r="G16637" s="2" t="s">
        <v>11474</v>
      </c>
      <c r="H16637" s="2" t="s">
        <v>11475</v>
      </c>
    </row>
    <row r="16638" spans="1:8" ht="25.05" customHeight="1" x14ac:dyDescent="0.25">
      <c r="A16638" s="2" t="s">
        <v>8</v>
      </c>
      <c r="B16638" s="2" t="str">
        <f>HYPERLINK("http://ts.21cn.com/tousu/show/id/1348395","小浦优客未经同意扣款")</f>
        <v>小浦优客未经同意扣款</v>
      </c>
      <c r="C16638" s="2" t="s">
        <v>34</v>
      </c>
      <c r="D16638" s="2" t="s">
        <v>10</v>
      </c>
      <c r="E16638" s="2" t="str">
        <f>HYPERLINK("http://ts.21cn.com/tousu/show/id/1348395","http://ts.21cn.com/tousu/show/id/1348395")</f>
        <v>http://ts.21cn.com/tousu/show/id/1348395</v>
      </c>
      <c r="F16638" s="2" t="s">
        <v>11</v>
      </c>
      <c r="G16638" s="2" t="s">
        <v>11472</v>
      </c>
      <c r="H16638" s="2" t="s">
        <v>11473</v>
      </c>
    </row>
    <row r="16639" spans="1:8" ht="25.05" customHeight="1" x14ac:dyDescent="0.25">
      <c r="A16639" s="2" t="s">
        <v>8</v>
      </c>
      <c r="B16639" s="2" t="str">
        <f>HYPERLINK("http://ts.21cn.com/tousu/show/id/1348396","软暴力催收")</f>
        <v>软暴力催收</v>
      </c>
      <c r="C16639" s="2" t="s">
        <v>9</v>
      </c>
      <c r="D16639" s="2" t="s">
        <v>10</v>
      </c>
      <c r="E16639" s="2" t="str">
        <f>HYPERLINK("http://ts.21cn.com/tousu/show/id/1348396","http://ts.21cn.com/tousu/show/id/1348396")</f>
        <v>http://ts.21cn.com/tousu/show/id/1348396</v>
      </c>
      <c r="F16639" s="2" t="s">
        <v>11</v>
      </c>
      <c r="G16639" s="2" t="s">
        <v>11469</v>
      </c>
      <c r="H16639" s="2" t="s">
        <v>11470</v>
      </c>
    </row>
    <row r="16640" spans="1:8" ht="25.05" customHeight="1" x14ac:dyDescent="0.25">
      <c r="A16640" s="2" t="s">
        <v>8</v>
      </c>
      <c r="B16640" s="2" t="str">
        <f>HYPERLINK("http://ts.21cn.com/tousu/show/id/1348399","拍拍恶意打电话")</f>
        <v>拍拍恶意打电话</v>
      </c>
      <c r="C16640" s="2" t="s">
        <v>9</v>
      </c>
      <c r="D16640" s="2" t="s">
        <v>10</v>
      </c>
      <c r="E16640" s="2" t="str">
        <f>HYPERLINK("http://ts.21cn.com/tousu/show/id/1348399","http://ts.21cn.com/tousu/show/id/1348399")</f>
        <v>http://ts.21cn.com/tousu/show/id/1348399</v>
      </c>
      <c r="F16640" s="2" t="s">
        <v>11</v>
      </c>
      <c r="G16640" s="2" t="s">
        <v>11469</v>
      </c>
      <c r="H16640" s="2" t="s">
        <v>11471</v>
      </c>
    </row>
    <row r="16641" spans="1:8" ht="25.05" customHeight="1" x14ac:dyDescent="0.25">
      <c r="A16641" s="2" t="s">
        <v>8</v>
      </c>
      <c r="B16641" s="2" t="str">
        <f>HYPERLINK("http://ts.21cn.com/tousu/show/id/1348397","借贷宝纵容放高利贷")</f>
        <v>借贷宝纵容放高利贷</v>
      </c>
      <c r="C16641" s="2" t="s">
        <v>9</v>
      </c>
      <c r="D16641" s="2" t="s">
        <v>10</v>
      </c>
      <c r="E16641" s="2" t="str">
        <f>HYPERLINK("http://ts.21cn.com/tousu/show/id/1348397","http://ts.21cn.com/tousu/show/id/1348397")</f>
        <v>http://ts.21cn.com/tousu/show/id/1348397</v>
      </c>
      <c r="F16641" s="2" t="s">
        <v>11</v>
      </c>
      <c r="G16641" s="2" t="s">
        <v>11467</v>
      </c>
      <c r="H16641" s="2" t="s">
        <v>11468</v>
      </c>
    </row>
    <row r="16642" spans="1:8" ht="25.05" customHeight="1" x14ac:dyDescent="0.25">
      <c r="A16642" s="2" t="s">
        <v>8</v>
      </c>
      <c r="B16642" s="2" t="str">
        <f>HYPERLINK("http://ts.21cn.com/tousu/show/id/1348400","暴力催收。多次骚扰")</f>
        <v>暴力催收。多次骚扰</v>
      </c>
      <c r="C16642" s="2" t="s">
        <v>9</v>
      </c>
      <c r="D16642" s="2" t="s">
        <v>10</v>
      </c>
      <c r="E16642" s="2" t="str">
        <f>HYPERLINK("http://ts.21cn.com/tousu/show/id/1348400","http://ts.21cn.com/tousu/show/id/1348400")</f>
        <v>http://ts.21cn.com/tousu/show/id/1348400</v>
      </c>
      <c r="F16642" s="2" t="s">
        <v>11</v>
      </c>
      <c r="G16642" s="2" t="s">
        <v>11465</v>
      </c>
      <c r="H16642" s="2" t="s">
        <v>11466</v>
      </c>
    </row>
    <row r="16643" spans="1:8" ht="25.05" customHeight="1" x14ac:dyDescent="0.25">
      <c r="A16643" s="2" t="s">
        <v>8</v>
      </c>
      <c r="B16643" s="2" t="str">
        <f>HYPERLINK("http://ts.21cn.com/tousu/show/id/1348401","个人征信不良消除")</f>
        <v>个人征信不良消除</v>
      </c>
      <c r="C16643" s="2" t="s">
        <v>9</v>
      </c>
      <c r="D16643" s="2" t="s">
        <v>10</v>
      </c>
      <c r="E16643" s="2" t="str">
        <f>HYPERLINK("http://ts.21cn.com/tousu/show/id/1348401","http://ts.21cn.com/tousu/show/id/1348401")</f>
        <v>http://ts.21cn.com/tousu/show/id/1348401</v>
      </c>
      <c r="F16643" s="2" t="s">
        <v>11</v>
      </c>
      <c r="G16643" s="2" t="s">
        <v>11463</v>
      </c>
      <c r="H16643" s="2" t="s">
        <v>11464</v>
      </c>
    </row>
    <row r="16644" spans="1:8" ht="25.05" customHeight="1" x14ac:dyDescent="0.25">
      <c r="A16644" s="2" t="s">
        <v>8</v>
      </c>
      <c r="B16644" s="2" t="str">
        <f>HYPERLINK("http://ts.21cn.com/tousu/show/id/1348403","无故扣费")</f>
        <v>无故扣费</v>
      </c>
      <c r="C16644" s="2" t="s">
        <v>9</v>
      </c>
      <c r="D16644" s="2" t="s">
        <v>10</v>
      </c>
      <c r="E16644" s="2" t="str">
        <f>HYPERLINK("http://ts.21cn.com/tousu/show/id/1348403","http://ts.21cn.com/tousu/show/id/1348403")</f>
        <v>http://ts.21cn.com/tousu/show/id/1348403</v>
      </c>
      <c r="F16644" s="2" t="s">
        <v>11</v>
      </c>
      <c r="G16644" s="2" t="s">
        <v>11461</v>
      </c>
      <c r="H16644" s="2" t="s">
        <v>11462</v>
      </c>
    </row>
    <row r="16645" spans="1:8" ht="25.05" customHeight="1" x14ac:dyDescent="0.25">
      <c r="A16645" s="2" t="s">
        <v>8</v>
      </c>
      <c r="B16645" s="2" t="str">
        <f>HYPERLINK("http://ts.21cn.com/tousu/show/id/1348404","闪电借款暴力催收，威胁恐吓")</f>
        <v>闪电借款暴力催收，威胁恐吓</v>
      </c>
      <c r="C16645" s="2" t="s">
        <v>9</v>
      </c>
      <c r="D16645" s="2" t="s">
        <v>10</v>
      </c>
      <c r="E16645" s="2" t="str">
        <f>HYPERLINK("http://ts.21cn.com/tousu/show/id/1348404","http://ts.21cn.com/tousu/show/id/1348404")</f>
        <v>http://ts.21cn.com/tousu/show/id/1348404</v>
      </c>
      <c r="F16645" s="2" t="s">
        <v>11</v>
      </c>
      <c r="G16645" s="2" t="s">
        <v>11459</v>
      </c>
      <c r="H16645" s="2" t="s">
        <v>11460</v>
      </c>
    </row>
    <row r="16646" spans="1:8" ht="25.05" customHeight="1" x14ac:dyDescent="0.25">
      <c r="A16646" s="2" t="s">
        <v>8</v>
      </c>
      <c r="B16646" s="2" t="str">
        <f>HYPERLINK("http://ts.21cn.com/tousu/show/id/1348407","小赢卡贷乱收费")</f>
        <v>小赢卡贷乱收费</v>
      </c>
      <c r="C16646" s="2" t="s">
        <v>9</v>
      </c>
      <c r="D16646" s="2" t="s">
        <v>10</v>
      </c>
      <c r="E16646" s="2" t="str">
        <f>HYPERLINK("http://ts.21cn.com/tousu/show/id/1348407","http://ts.21cn.com/tousu/show/id/1348407")</f>
        <v>http://ts.21cn.com/tousu/show/id/1348407</v>
      </c>
      <c r="F16646" s="2" t="s">
        <v>11</v>
      </c>
      <c r="G16646" s="2" t="s">
        <v>11457</v>
      </c>
      <c r="H16646" s="2" t="s">
        <v>11458</v>
      </c>
    </row>
    <row r="16647" spans="1:8" ht="25.05" customHeight="1" x14ac:dyDescent="0.25">
      <c r="A16647" s="2" t="s">
        <v>8</v>
      </c>
      <c r="B16647" s="2" t="str">
        <f>HYPERLINK("http://ts.21cn.com/tousu/show/id/1348408","快闪卡贷")</f>
        <v>快闪卡贷</v>
      </c>
      <c r="C16647" s="2" t="s">
        <v>34</v>
      </c>
      <c r="D16647" s="2" t="s">
        <v>10</v>
      </c>
      <c r="E16647" s="2" t="str">
        <f>HYPERLINK("http://ts.21cn.com/tousu/show/id/1348408","http://ts.21cn.com/tousu/show/id/1348408")</f>
        <v>http://ts.21cn.com/tousu/show/id/1348408</v>
      </c>
      <c r="F16647" s="2" t="s">
        <v>11</v>
      </c>
      <c r="G16647" s="2" t="s">
        <v>11455</v>
      </c>
      <c r="H16647" s="2" t="s">
        <v>11456</v>
      </c>
    </row>
    <row r="16648" spans="1:8" ht="25.05" customHeight="1" x14ac:dyDescent="0.25">
      <c r="A16648" s="2" t="s">
        <v>8</v>
      </c>
      <c r="B16648" s="2" t="str">
        <f>HYPERLINK("http://ts.21cn.com/tousu/show/id/1348409","京东售后维修超时")</f>
        <v>京东售后维修超时</v>
      </c>
      <c r="C16648" s="2" t="s">
        <v>34</v>
      </c>
      <c r="D16648" s="2" t="s">
        <v>10</v>
      </c>
      <c r="E16648" s="2" t="str">
        <f>HYPERLINK("http://ts.21cn.com/tousu/show/id/1348409","http://ts.21cn.com/tousu/show/id/1348409")</f>
        <v>http://ts.21cn.com/tousu/show/id/1348409</v>
      </c>
      <c r="F16648" s="2" t="s">
        <v>11</v>
      </c>
      <c r="G16648" s="2" t="s">
        <v>11453</v>
      </c>
      <c r="H16648" s="2" t="s">
        <v>11454</v>
      </c>
    </row>
    <row r="16649" spans="1:8" ht="25.05" customHeight="1" x14ac:dyDescent="0.25">
      <c r="A16649" s="2" t="s">
        <v>8</v>
      </c>
      <c r="B16649" s="2" t="str">
        <f>HYPERLINK("http://ts.21cn.com/tousu/show/id/1348411","老人被创维m5净水器洗脑，上当购买安装！")</f>
        <v>老人被创维m5净水器洗脑，上当购买安装！</v>
      </c>
      <c r="C16649" s="2" t="s">
        <v>9</v>
      </c>
      <c r="D16649" s="2" t="s">
        <v>10</v>
      </c>
      <c r="E16649" s="2" t="str">
        <f>HYPERLINK("http://ts.21cn.com/tousu/show/id/1348411","http://ts.21cn.com/tousu/show/id/1348411")</f>
        <v>http://ts.21cn.com/tousu/show/id/1348411</v>
      </c>
      <c r="F16649" s="2" t="s">
        <v>11</v>
      </c>
      <c r="G16649" s="2" t="s">
        <v>11451</v>
      </c>
      <c r="H16649" s="2" t="s">
        <v>11452</v>
      </c>
    </row>
    <row r="16650" spans="1:8" ht="25.05" customHeight="1" x14ac:dyDescent="0.25">
      <c r="A16650" s="2" t="s">
        <v>8</v>
      </c>
      <c r="B16650" s="2" t="str">
        <f>HYPERLINK("http://ts.21cn.com/tousu/show/id/1348412","淘集集拖欠商家血汗钱")</f>
        <v>淘集集拖欠商家血汗钱</v>
      </c>
      <c r="C16650" s="2" t="s">
        <v>9</v>
      </c>
      <c r="D16650" s="2" t="s">
        <v>10</v>
      </c>
      <c r="E16650" s="2" t="str">
        <f>HYPERLINK("http://ts.21cn.com/tousu/show/id/1348412","http://ts.21cn.com/tousu/show/id/1348412")</f>
        <v>http://ts.21cn.com/tousu/show/id/1348412</v>
      </c>
      <c r="F16650" s="2" t="s">
        <v>11</v>
      </c>
      <c r="G16650" s="2" t="s">
        <v>11449</v>
      </c>
      <c r="H16650" s="2" t="s">
        <v>11450</v>
      </c>
    </row>
    <row r="16651" spans="1:8" ht="25.05" customHeight="1" x14ac:dyDescent="0.25">
      <c r="A16651" s="2" t="s">
        <v>8</v>
      </c>
      <c r="B16651" s="2" t="str">
        <f>HYPERLINK("http://ts.21cn.com/tousu/show/id/1348413","要求退款")</f>
        <v>要求退款</v>
      </c>
      <c r="C16651" s="2" t="s">
        <v>9</v>
      </c>
      <c r="D16651" s="2" t="s">
        <v>10</v>
      </c>
      <c r="E16651" s="2" t="str">
        <f>HYPERLINK("http://ts.21cn.com/tousu/show/id/1348413","http://ts.21cn.com/tousu/show/id/1348413")</f>
        <v>http://ts.21cn.com/tousu/show/id/1348413</v>
      </c>
      <c r="F16651" s="2" t="s">
        <v>11</v>
      </c>
      <c r="G16651" s="2" t="s">
        <v>11448</v>
      </c>
      <c r="H16651" s="2" t="s">
        <v>11171</v>
      </c>
    </row>
    <row r="16652" spans="1:8" ht="25.05" customHeight="1" x14ac:dyDescent="0.25">
      <c r="A16652" s="2" t="s">
        <v>8</v>
      </c>
      <c r="B16652" s="2" t="str">
        <f>HYPERLINK("http://ts.21cn.com/tousu/show/id/1348416","你我贷暴力催收，恐吓，高利贷")</f>
        <v>你我贷暴力催收，恐吓，高利贷</v>
      </c>
      <c r="C16652" s="2" t="s">
        <v>9</v>
      </c>
      <c r="D16652" s="2" t="s">
        <v>10</v>
      </c>
      <c r="E16652" s="2" t="str">
        <f>HYPERLINK("http://ts.21cn.com/tousu/show/id/1348416","http://ts.21cn.com/tousu/show/id/1348416")</f>
        <v>http://ts.21cn.com/tousu/show/id/1348416</v>
      </c>
      <c r="F16652" s="2" t="s">
        <v>11</v>
      </c>
      <c r="G16652" s="2" t="s">
        <v>11446</v>
      </c>
      <c r="H16652" s="2" t="s">
        <v>11447</v>
      </c>
    </row>
    <row r="16653" spans="1:8" ht="25.05" customHeight="1" x14ac:dyDescent="0.25">
      <c r="A16653" s="2" t="s">
        <v>8</v>
      </c>
      <c r="B16653" s="2" t="str">
        <f>HYPERLINK("http://ts.21cn.com/tousu/show/id/1348405","交易猫出租账号被封禁十年")</f>
        <v>交易猫出租账号被封禁十年</v>
      </c>
      <c r="C16653" s="2" t="s">
        <v>9</v>
      </c>
      <c r="D16653" s="2" t="s">
        <v>10</v>
      </c>
      <c r="E16653" s="2" t="str">
        <f>HYPERLINK("http://ts.21cn.com/tousu/show/id/1348405","http://ts.21cn.com/tousu/show/id/1348405")</f>
        <v>http://ts.21cn.com/tousu/show/id/1348405</v>
      </c>
      <c r="F16653" s="2" t="s">
        <v>11</v>
      </c>
      <c r="G16653" s="2" t="s">
        <v>11444</v>
      </c>
      <c r="H16653" s="2" t="s">
        <v>11445</v>
      </c>
    </row>
    <row r="16654" spans="1:8" ht="25.05" customHeight="1" x14ac:dyDescent="0.25">
      <c r="A16654" s="2" t="s">
        <v>8</v>
      </c>
      <c r="B16654" s="2" t="str">
        <f>HYPERLINK("http://ts.21cn.com/tousu/show/id/1348417","爱又米A+会员虚假宣传")</f>
        <v>爱又米A+会员虚假宣传</v>
      </c>
      <c r="C16654" s="2" t="s">
        <v>9</v>
      </c>
      <c r="D16654" s="2" t="s">
        <v>10</v>
      </c>
      <c r="E16654" s="2" t="str">
        <f>HYPERLINK("http://ts.21cn.com/tousu/show/id/1348417","http://ts.21cn.com/tousu/show/id/1348417")</f>
        <v>http://ts.21cn.com/tousu/show/id/1348417</v>
      </c>
      <c r="F16654" s="2" t="s">
        <v>11</v>
      </c>
      <c r="G16654" s="2" t="s">
        <v>11442</v>
      </c>
      <c r="H16654" s="2" t="s">
        <v>11443</v>
      </c>
    </row>
    <row r="16655" spans="1:8" ht="25.05" customHeight="1" x14ac:dyDescent="0.25">
      <c r="A16655" s="2" t="s">
        <v>8</v>
      </c>
      <c r="B16655" s="2" t="str">
        <f>HYPERLINK("http://ts.21cn.com/tousu/show/id/1348418","民生银行催收影响我的个人生活")</f>
        <v>民生银行催收影响我的个人生活</v>
      </c>
      <c r="C16655" s="2" t="s">
        <v>9</v>
      </c>
      <c r="D16655" s="2" t="s">
        <v>10</v>
      </c>
      <c r="E16655" s="2" t="str">
        <f>HYPERLINK("http://ts.21cn.com/tousu/show/id/1348418","http://ts.21cn.com/tousu/show/id/1348418")</f>
        <v>http://ts.21cn.com/tousu/show/id/1348418</v>
      </c>
      <c r="F16655" s="2" t="s">
        <v>11</v>
      </c>
      <c r="G16655" s="2" t="s">
        <v>11439</v>
      </c>
      <c r="H16655" s="2" t="s">
        <v>11440</v>
      </c>
    </row>
    <row r="16656" spans="1:8" ht="25.05" customHeight="1" x14ac:dyDescent="0.25">
      <c r="A16656" s="2" t="s">
        <v>8</v>
      </c>
      <c r="B16656" s="2" t="str">
        <f>HYPERLINK("http://ts.21cn.com/tousu/show/id/1348420","迅捷视频转换器充会员之后用不了")</f>
        <v>迅捷视频转换器充会员之后用不了</v>
      </c>
      <c r="C16656" s="2" t="s">
        <v>34</v>
      </c>
      <c r="D16656" s="2" t="s">
        <v>10</v>
      </c>
      <c r="E16656" s="2" t="str">
        <f>HYPERLINK("http://ts.21cn.com/tousu/show/id/1348420","http://ts.21cn.com/tousu/show/id/1348420")</f>
        <v>http://ts.21cn.com/tousu/show/id/1348420</v>
      </c>
      <c r="F16656" s="2" t="s">
        <v>11</v>
      </c>
      <c r="G16656" s="2" t="s">
        <v>11439</v>
      </c>
      <c r="H16656" s="2" t="s">
        <v>11441</v>
      </c>
    </row>
    <row r="16657" spans="1:8" ht="25.05" customHeight="1" x14ac:dyDescent="0.25">
      <c r="A16657" s="2" t="s">
        <v>8</v>
      </c>
      <c r="B16657" s="2" t="str">
        <f>HYPERLINK("http://ts.21cn.com/tousu/show/id/1348422","身份被盗用且客服态度恶劣")</f>
        <v>身份被盗用且客服态度恶劣</v>
      </c>
      <c r="C16657" s="2" t="s">
        <v>9</v>
      </c>
      <c r="D16657" s="2" t="s">
        <v>10</v>
      </c>
      <c r="E16657" s="2" t="str">
        <f>HYPERLINK("http://ts.21cn.com/tousu/show/id/1348422","http://ts.21cn.com/tousu/show/id/1348422")</f>
        <v>http://ts.21cn.com/tousu/show/id/1348422</v>
      </c>
      <c r="F16657" s="2" t="s">
        <v>11</v>
      </c>
      <c r="G16657" s="2" t="s">
        <v>11437</v>
      </c>
      <c r="H16657" s="2" t="s">
        <v>11438</v>
      </c>
    </row>
    <row r="16658" spans="1:8" ht="25.05" customHeight="1" x14ac:dyDescent="0.25">
      <c r="A16658" s="2" t="s">
        <v>8</v>
      </c>
      <c r="B16658" s="2" t="str">
        <f>HYPERLINK("http://ts.21cn.com/tousu/show/id/1348419","拍拍贷天天短信轰炸电话轰炸恐吓")</f>
        <v>拍拍贷天天短信轰炸电话轰炸恐吓</v>
      </c>
      <c r="C16658" s="2" t="s">
        <v>9</v>
      </c>
      <c r="D16658" s="2" t="s">
        <v>10</v>
      </c>
      <c r="E16658" s="2" t="str">
        <f>HYPERLINK("http://ts.21cn.com/tousu/show/id/1348419","http://ts.21cn.com/tousu/show/id/1348419")</f>
        <v>http://ts.21cn.com/tousu/show/id/1348419</v>
      </c>
      <c r="F16658" s="2" t="s">
        <v>11</v>
      </c>
      <c r="G16658" s="2" t="s">
        <v>11435</v>
      </c>
      <c r="H16658" s="2" t="s">
        <v>11436</v>
      </c>
    </row>
    <row r="16659" spans="1:8" ht="25.05" customHeight="1" x14ac:dyDescent="0.25">
      <c r="A16659" s="2" t="s">
        <v>8</v>
      </c>
      <c r="B16659" s="2" t="str">
        <f>HYPERLINK("http://ts.21cn.com/tousu/show/id/1348423","玖富叮当高利贷，暴力催收，合同欺诈")</f>
        <v>玖富叮当高利贷，暴力催收，合同欺诈</v>
      </c>
      <c r="C16659" s="2" t="s">
        <v>9</v>
      </c>
      <c r="D16659" s="2" t="s">
        <v>10</v>
      </c>
      <c r="E16659" s="2" t="str">
        <f>HYPERLINK("http://ts.21cn.com/tousu/show/id/1348423","http://ts.21cn.com/tousu/show/id/1348423")</f>
        <v>http://ts.21cn.com/tousu/show/id/1348423</v>
      </c>
      <c r="F16659" s="2" t="s">
        <v>11</v>
      </c>
      <c r="G16659" s="2" t="s">
        <v>11433</v>
      </c>
      <c r="H16659" s="2" t="s">
        <v>11434</v>
      </c>
    </row>
    <row r="16660" spans="1:8" ht="25.05" customHeight="1" x14ac:dyDescent="0.25">
      <c r="A16660" s="2" t="s">
        <v>8</v>
      </c>
      <c r="B16660" s="2" t="str">
        <f>HYPERLINK("http://ts.21cn.com/tousu/show/id/1348424","微众银行")</f>
        <v>微众银行</v>
      </c>
      <c r="C16660" s="2" t="s">
        <v>9</v>
      </c>
      <c r="D16660" s="2" t="s">
        <v>10</v>
      </c>
      <c r="E16660" s="2" t="str">
        <f>HYPERLINK("http://ts.21cn.com/tousu/show/id/1348424","http://ts.21cn.com/tousu/show/id/1348424")</f>
        <v>http://ts.21cn.com/tousu/show/id/1348424</v>
      </c>
      <c r="F16660" s="2" t="s">
        <v>11</v>
      </c>
      <c r="G16660" s="2" t="s">
        <v>11431</v>
      </c>
      <c r="H16660" s="2" t="s">
        <v>11432</v>
      </c>
    </row>
    <row r="16661" spans="1:8" ht="25.05" customHeight="1" x14ac:dyDescent="0.25">
      <c r="A16661" s="2" t="s">
        <v>8</v>
      </c>
      <c r="B16661" s="2" t="str">
        <f>HYPERLINK("http://ts.21cn.com/tousu/show/id/1348427","米多点高利贷")</f>
        <v>米多点高利贷</v>
      </c>
      <c r="C16661" s="2" t="s">
        <v>9</v>
      </c>
      <c r="D16661" s="2" t="s">
        <v>10</v>
      </c>
      <c r="E16661" s="2" t="str">
        <f>HYPERLINK("http://ts.21cn.com/tousu/show/id/1348427","http://ts.21cn.com/tousu/show/id/1348427")</f>
        <v>http://ts.21cn.com/tousu/show/id/1348427</v>
      </c>
      <c r="F16661" s="2" t="s">
        <v>11</v>
      </c>
      <c r="G16661" s="2" t="s">
        <v>11429</v>
      </c>
      <c r="H16661" s="2" t="s">
        <v>11430</v>
      </c>
    </row>
    <row r="16662" spans="1:8" ht="25.05" customHeight="1" x14ac:dyDescent="0.25">
      <c r="A16662" s="2" t="s">
        <v>8</v>
      </c>
      <c r="B16662" s="2" t="str">
        <f>HYPERLINK("http://ts.21cn.com/tousu/show/id/1348425","联动云无法注销个人信息，无法注销")</f>
        <v>联动云无法注销个人信息，无法注销</v>
      </c>
      <c r="C16662" s="2" t="s">
        <v>9</v>
      </c>
      <c r="D16662" s="2" t="s">
        <v>10</v>
      </c>
      <c r="E16662" s="2" t="str">
        <f>HYPERLINK("http://ts.21cn.com/tousu/show/id/1348425","http://ts.21cn.com/tousu/show/id/1348425")</f>
        <v>http://ts.21cn.com/tousu/show/id/1348425</v>
      </c>
      <c r="F16662" s="2" t="s">
        <v>11</v>
      </c>
      <c r="G16662" s="2" t="s">
        <v>11427</v>
      </c>
      <c r="H16662" s="2" t="s">
        <v>11428</v>
      </c>
    </row>
    <row r="16663" spans="1:8" ht="25.05" customHeight="1" x14ac:dyDescent="0.25">
      <c r="A16663" s="2" t="s">
        <v>8</v>
      </c>
      <c r="B16663" s="2" t="str">
        <f>HYPERLINK("http://ts.21cn.com/tousu/show/id/1348428","无法正常使用应有的服务")</f>
        <v>无法正常使用应有的服务</v>
      </c>
      <c r="C16663" s="2" t="s">
        <v>34</v>
      </c>
      <c r="D16663" s="2" t="s">
        <v>10</v>
      </c>
      <c r="E16663" s="2" t="str">
        <f>HYPERLINK("http://ts.21cn.com/tousu/show/id/1348428","http://ts.21cn.com/tousu/show/id/1348428")</f>
        <v>http://ts.21cn.com/tousu/show/id/1348428</v>
      </c>
      <c r="F16663" s="2" t="s">
        <v>11</v>
      </c>
      <c r="G16663" s="2" t="s">
        <v>11425</v>
      </c>
      <c r="H16663" s="2" t="s">
        <v>11426</v>
      </c>
    </row>
    <row r="16664" spans="1:8" ht="25.05" customHeight="1" x14ac:dyDescent="0.25">
      <c r="A16664" s="2" t="s">
        <v>8</v>
      </c>
      <c r="B16664" s="2" t="str">
        <f>HYPERLINK("http://ts.21cn.com/tousu/show/id/1348426","不退还押金")</f>
        <v>不退还押金</v>
      </c>
      <c r="C16664" s="2" t="s">
        <v>9</v>
      </c>
      <c r="D16664" s="2" t="s">
        <v>10</v>
      </c>
      <c r="E16664" s="2" t="str">
        <f>HYPERLINK("http://ts.21cn.com/tousu/show/id/1348426","http://ts.21cn.com/tousu/show/id/1348426")</f>
        <v>http://ts.21cn.com/tousu/show/id/1348426</v>
      </c>
      <c r="F16664" s="2" t="s">
        <v>11</v>
      </c>
      <c r="G16664" s="2" t="s">
        <v>11423</v>
      </c>
      <c r="H16664" s="2" t="s">
        <v>11424</v>
      </c>
    </row>
    <row r="16665" spans="1:8" ht="25.05" customHeight="1" x14ac:dyDescent="0.25">
      <c r="A16665" s="2" t="s">
        <v>8</v>
      </c>
      <c r="B16665" s="2" t="str">
        <f>HYPERLINK("http://ts.21cn.com/tousu/show/id/1348429","收取高额保费")</f>
        <v>收取高额保费</v>
      </c>
      <c r="C16665" s="2" t="s">
        <v>34</v>
      </c>
      <c r="D16665" s="2" t="s">
        <v>10</v>
      </c>
      <c r="E16665" s="2" t="str">
        <f>HYPERLINK("http://ts.21cn.com/tousu/show/id/1348429","http://ts.21cn.com/tousu/show/id/1348429")</f>
        <v>http://ts.21cn.com/tousu/show/id/1348429</v>
      </c>
      <c r="F16665" s="2" t="s">
        <v>11</v>
      </c>
      <c r="G16665" s="2" t="s">
        <v>11421</v>
      </c>
      <c r="H16665" s="2" t="s">
        <v>11422</v>
      </c>
    </row>
    <row r="16666" spans="1:8" ht="25.05" customHeight="1" x14ac:dyDescent="0.25">
      <c r="A16666" s="2" t="s">
        <v>8</v>
      </c>
      <c r="B16666" s="2" t="str">
        <f>HYPERLINK("http://ts.21cn.com/tousu/show/id/1348431","注销路标账号")</f>
        <v>注销路标账号</v>
      </c>
      <c r="C16666" s="2" t="s">
        <v>34</v>
      </c>
      <c r="D16666" s="2" t="s">
        <v>10</v>
      </c>
      <c r="E16666" s="2" t="str">
        <f>HYPERLINK("http://ts.21cn.com/tousu/show/id/1348431","http://ts.21cn.com/tousu/show/id/1348431")</f>
        <v>http://ts.21cn.com/tousu/show/id/1348431</v>
      </c>
      <c r="F16666" s="2" t="s">
        <v>11</v>
      </c>
      <c r="G16666" s="2" t="s">
        <v>11419</v>
      </c>
      <c r="H16666" s="2" t="s">
        <v>11420</v>
      </c>
    </row>
    <row r="16667" spans="1:8" ht="25.05" customHeight="1" x14ac:dyDescent="0.25">
      <c r="A16667" s="2" t="s">
        <v>8</v>
      </c>
      <c r="B16667" s="2" t="str">
        <f>HYPERLINK("http://ts.21cn.com/tousu/show/id/1348432","东莞市轻奢维体健身房第二次无缘无故关门，老板跑路")</f>
        <v>东莞市轻奢维体健身房第二次无缘无故关门，老板跑路</v>
      </c>
      <c r="C16667" s="2" t="s">
        <v>9</v>
      </c>
      <c r="D16667" s="2" t="s">
        <v>10</v>
      </c>
      <c r="E16667" s="2" t="str">
        <f>HYPERLINK("http://ts.21cn.com/tousu/show/id/1348432","http://ts.21cn.com/tousu/show/id/1348432")</f>
        <v>http://ts.21cn.com/tousu/show/id/1348432</v>
      </c>
      <c r="F16667" s="2" t="s">
        <v>11</v>
      </c>
      <c r="G16667" s="2" t="s">
        <v>11417</v>
      </c>
      <c r="H16667" s="2" t="s">
        <v>11418</v>
      </c>
    </row>
    <row r="16668" spans="1:8" ht="25.05" customHeight="1" x14ac:dyDescent="0.25">
      <c r="A16668" s="2" t="s">
        <v>8</v>
      </c>
      <c r="B16668" s="2" t="str">
        <f>HYPERLINK("http://ts.21cn.com/tousu/show/id/1348433","酒店不给退房也不给退款")</f>
        <v>酒店不给退房也不给退款</v>
      </c>
      <c r="C16668" s="2" t="s">
        <v>9</v>
      </c>
      <c r="D16668" s="2" t="s">
        <v>10</v>
      </c>
      <c r="E16668" s="2" t="str">
        <f>HYPERLINK("http://ts.21cn.com/tousu/show/id/1348433","http://ts.21cn.com/tousu/show/id/1348433")</f>
        <v>http://ts.21cn.com/tousu/show/id/1348433</v>
      </c>
      <c r="F16668" s="2" t="s">
        <v>11</v>
      </c>
      <c r="G16668" s="2" t="s">
        <v>11415</v>
      </c>
      <c r="H16668" s="2" t="s">
        <v>11416</v>
      </c>
    </row>
    <row r="16669" spans="1:8" ht="25.05" customHeight="1" x14ac:dyDescent="0.25">
      <c r="A16669" s="2" t="s">
        <v>8</v>
      </c>
      <c r="B16669" s="2" t="str">
        <f>HYPERLINK("http://ts.21cn.com/tousu/show/id/1348410","哆咪黑卡恶意收费用户不知觉的扣费")</f>
        <v>哆咪黑卡恶意收费用户不知觉的扣费</v>
      </c>
      <c r="C16669" s="2" t="s">
        <v>9</v>
      </c>
      <c r="D16669" s="2" t="s">
        <v>10</v>
      </c>
      <c r="E16669" s="2" t="str">
        <f>HYPERLINK("http://ts.21cn.com/tousu/show/id/1348410","http://ts.21cn.com/tousu/show/id/1348410")</f>
        <v>http://ts.21cn.com/tousu/show/id/1348410</v>
      </c>
      <c r="F16669" s="2" t="s">
        <v>11</v>
      </c>
      <c r="G16669" s="2" t="s">
        <v>11413</v>
      </c>
      <c r="H16669" s="2" t="s">
        <v>11414</v>
      </c>
    </row>
    <row r="16670" spans="1:8" ht="25.05" customHeight="1" x14ac:dyDescent="0.25">
      <c r="A16670" s="2" t="s">
        <v>8</v>
      </c>
      <c r="B16670" s="2" t="str">
        <f>HYPERLINK("http://ts.21cn.com/tousu/show/id/1348434","现金巴士")</f>
        <v>现金巴士</v>
      </c>
      <c r="C16670" s="2" t="s">
        <v>9</v>
      </c>
      <c r="D16670" s="2" t="s">
        <v>10</v>
      </c>
      <c r="E16670" s="2" t="str">
        <f>HYPERLINK("http://ts.21cn.com/tousu/show/id/1348434","http://ts.21cn.com/tousu/show/id/1348434")</f>
        <v>http://ts.21cn.com/tousu/show/id/1348434</v>
      </c>
      <c r="F16670" s="2" t="s">
        <v>11</v>
      </c>
      <c r="G16670" s="2" t="s">
        <v>11411</v>
      </c>
      <c r="H16670" s="2" t="s">
        <v>11412</v>
      </c>
    </row>
    <row r="16671" spans="1:8" ht="25.05" customHeight="1" x14ac:dyDescent="0.25">
      <c r="A16671" s="2" t="s">
        <v>8</v>
      </c>
      <c r="B16671" s="2" t="str">
        <f>HYPERLINK("http://ts.21cn.com/tousu/show/id/1348436","个身份信息被盗用，投诉无门，问题无法得到合理的解决")</f>
        <v>个身份信息被盗用，投诉无门，问题无法得到合理的解决</v>
      </c>
      <c r="C16671" s="2" t="s">
        <v>9</v>
      </c>
      <c r="D16671" s="2" t="s">
        <v>10</v>
      </c>
      <c r="E16671" s="2" t="str">
        <f>HYPERLINK("http://ts.21cn.com/tousu/show/id/1348436","http://ts.21cn.com/tousu/show/id/1348436")</f>
        <v>http://ts.21cn.com/tousu/show/id/1348436</v>
      </c>
      <c r="F16671" s="2" t="s">
        <v>11</v>
      </c>
      <c r="G16671" s="2" t="s">
        <v>11409</v>
      </c>
      <c r="H16671" s="2" t="s">
        <v>11410</v>
      </c>
    </row>
    <row r="16672" spans="1:8" ht="25.05" customHeight="1" x14ac:dyDescent="0.25">
      <c r="A16672" s="2" t="s">
        <v>8</v>
      </c>
      <c r="B16672" s="2" t="str">
        <f>HYPERLINK("http://ts.21cn.com/tousu/show/id/1348435","捷信利息太高提前还款也多要求还三个月的利息无力偿还")</f>
        <v>捷信利息太高提前还款也多要求还三个月的利息无力偿还</v>
      </c>
      <c r="C16672" s="2" t="s">
        <v>9</v>
      </c>
      <c r="D16672" s="2" t="s">
        <v>10</v>
      </c>
      <c r="E16672" s="2" t="str">
        <f>HYPERLINK("http://ts.21cn.com/tousu/show/id/1348435","http://ts.21cn.com/tousu/show/id/1348435")</f>
        <v>http://ts.21cn.com/tousu/show/id/1348435</v>
      </c>
      <c r="F16672" s="2" t="s">
        <v>11</v>
      </c>
      <c r="G16672" s="2" t="s">
        <v>11407</v>
      </c>
      <c r="H16672" s="2" t="s">
        <v>11408</v>
      </c>
    </row>
    <row r="16673" spans="1:8" ht="25.05" customHeight="1" x14ac:dyDescent="0.25">
      <c r="A16673" s="2" t="s">
        <v>8</v>
      </c>
      <c r="B16673" s="2" t="str">
        <f>HYPERLINK("http://ts.21cn.com/tousu/show/id/1348430","京东刷单")</f>
        <v>京东刷单</v>
      </c>
      <c r="C16673" s="2" t="s">
        <v>34</v>
      </c>
      <c r="D16673" s="2" t="s">
        <v>10</v>
      </c>
      <c r="E16673" s="2" t="str">
        <f>HYPERLINK("http://ts.21cn.com/tousu/show/id/1348430","http://ts.21cn.com/tousu/show/id/1348430")</f>
        <v>http://ts.21cn.com/tousu/show/id/1348430</v>
      </c>
      <c r="F16673" s="2" t="s">
        <v>11</v>
      </c>
      <c r="G16673" s="2" t="s">
        <v>11405</v>
      </c>
      <c r="H16673" s="2" t="s">
        <v>11406</v>
      </c>
    </row>
    <row r="16674" spans="1:8" ht="25.05" customHeight="1" x14ac:dyDescent="0.25">
      <c r="A16674" s="2" t="s">
        <v>8</v>
      </c>
      <c r="B16674" s="2" t="str">
        <f>HYPERLINK("http://ts.21cn.com/tousu/show/id/1348439","东莞市轻奢维体健身房第二次无缘无故关门，老板跑路")</f>
        <v>东莞市轻奢维体健身房第二次无缘无故关门，老板跑路</v>
      </c>
      <c r="C16674" s="2" t="s">
        <v>9</v>
      </c>
      <c r="D16674" s="2" t="s">
        <v>10</v>
      </c>
      <c r="E16674" s="2" t="str">
        <f>HYPERLINK("http://ts.21cn.com/tousu/show/id/1348439","http://ts.21cn.com/tousu/show/id/1348439")</f>
        <v>http://ts.21cn.com/tousu/show/id/1348439</v>
      </c>
      <c r="F16674" s="2" t="s">
        <v>11</v>
      </c>
      <c r="G16674" s="2" t="s">
        <v>11403</v>
      </c>
      <c r="H16674" s="2" t="s">
        <v>11404</v>
      </c>
    </row>
    <row r="16675" spans="1:8" ht="25.05" customHeight="1" x14ac:dyDescent="0.25">
      <c r="A16675" s="2" t="s">
        <v>8</v>
      </c>
      <c r="B16675" s="2" t="str">
        <f>HYPERLINK("http://ts.21cn.com/tousu/show/id/1348440","请求宽限一天时间")</f>
        <v>请求宽限一天时间</v>
      </c>
      <c r="C16675" s="2" t="s">
        <v>9</v>
      </c>
      <c r="D16675" s="2" t="s">
        <v>10</v>
      </c>
      <c r="E16675" s="2" t="str">
        <f>HYPERLINK("http://ts.21cn.com/tousu/show/id/1348440","http://ts.21cn.com/tousu/show/id/1348440")</f>
        <v>http://ts.21cn.com/tousu/show/id/1348440</v>
      </c>
      <c r="F16675" s="2" t="s">
        <v>11</v>
      </c>
      <c r="G16675" s="2" t="s">
        <v>11401</v>
      </c>
      <c r="H16675" s="2" t="s">
        <v>11402</v>
      </c>
    </row>
    <row r="16676" spans="1:8" ht="25.05" customHeight="1" x14ac:dyDescent="0.25">
      <c r="A16676" s="2" t="s">
        <v>8</v>
      </c>
      <c r="B16676" s="2" t="str">
        <f>HYPERLINK("http://ts.21cn.com/tousu/show/id/1348442","来花花（多乾分期）砍头息高利贷套路贷暴力催收")</f>
        <v>来花花（多乾分期）砍头息高利贷套路贷暴力催收</v>
      </c>
      <c r="C16676" s="2" t="s">
        <v>9</v>
      </c>
      <c r="D16676" s="2" t="s">
        <v>10</v>
      </c>
      <c r="E16676" s="2" t="str">
        <f>HYPERLINK("http://ts.21cn.com/tousu/show/id/1348442","http://ts.21cn.com/tousu/show/id/1348442")</f>
        <v>http://ts.21cn.com/tousu/show/id/1348442</v>
      </c>
      <c r="F16676" s="2" t="s">
        <v>11</v>
      </c>
      <c r="G16676" s="2" t="s">
        <v>11399</v>
      </c>
      <c r="H16676" s="2" t="s">
        <v>11400</v>
      </c>
    </row>
    <row r="16677" spans="1:8" ht="25.05" customHeight="1" x14ac:dyDescent="0.25">
      <c r="A16677" s="2" t="s">
        <v>8</v>
      </c>
      <c r="B16677" s="2" t="str">
        <f>HYPERLINK("http://ts.21cn.com/tousu/show/id/1348443","你我货为高利息货")</f>
        <v>你我货为高利息货</v>
      </c>
      <c r="C16677" s="2" t="s">
        <v>34</v>
      </c>
      <c r="D16677" s="2" t="s">
        <v>10</v>
      </c>
      <c r="E16677" s="2" t="str">
        <f>HYPERLINK("http://ts.21cn.com/tousu/show/id/1348443","http://ts.21cn.com/tousu/show/id/1348443")</f>
        <v>http://ts.21cn.com/tousu/show/id/1348443</v>
      </c>
      <c r="F16677" s="2" t="s">
        <v>11</v>
      </c>
      <c r="G16677" s="2" t="s">
        <v>11396</v>
      </c>
      <c r="H16677" s="2" t="s">
        <v>11397</v>
      </c>
    </row>
    <row r="16678" spans="1:8" ht="25.05" customHeight="1" x14ac:dyDescent="0.25">
      <c r="A16678" s="2" t="s">
        <v>8</v>
      </c>
      <c r="B16678" s="2" t="str">
        <f>HYPERLINK("http://ts.21cn.com/tousu/show/id/1348441","开发票要交税点")</f>
        <v>开发票要交税点</v>
      </c>
      <c r="C16678" s="2" t="s">
        <v>34</v>
      </c>
      <c r="D16678" s="2" t="s">
        <v>10</v>
      </c>
      <c r="E16678" s="2" t="str">
        <f>HYPERLINK("http://ts.21cn.com/tousu/show/id/1348441","http://ts.21cn.com/tousu/show/id/1348441")</f>
        <v>http://ts.21cn.com/tousu/show/id/1348441</v>
      </c>
      <c r="F16678" s="2" t="s">
        <v>11</v>
      </c>
      <c r="G16678" s="2" t="s">
        <v>11396</v>
      </c>
      <c r="H16678" s="2" t="s">
        <v>11398</v>
      </c>
    </row>
    <row r="16679" spans="1:8" ht="25.05" customHeight="1" x14ac:dyDescent="0.25">
      <c r="A16679" s="2" t="s">
        <v>8</v>
      </c>
      <c r="B16679" s="2" t="str">
        <f>HYPERLINK("http://ts.21cn.com/tousu/show/id/1348444","本人投诉北京雅酷时空信息交换技术有限公司违规提供支付通道")</f>
        <v>本人投诉北京雅酷时空信息交换技术有限公司违规提供支付通道</v>
      </c>
      <c r="C16679" s="2" t="s">
        <v>9</v>
      </c>
      <c r="D16679" s="2" t="s">
        <v>10</v>
      </c>
      <c r="E16679" s="2" t="str">
        <f>HYPERLINK("http://ts.21cn.com/tousu/show/id/1348444","http://ts.21cn.com/tousu/show/id/1348444")</f>
        <v>http://ts.21cn.com/tousu/show/id/1348444</v>
      </c>
      <c r="F16679" s="2" t="s">
        <v>11</v>
      </c>
      <c r="G16679" s="2" t="s">
        <v>11394</v>
      </c>
      <c r="H16679" s="2" t="s">
        <v>11395</v>
      </c>
    </row>
    <row r="16680" spans="1:8" ht="25.05" customHeight="1" x14ac:dyDescent="0.25">
      <c r="A16680" s="2" t="s">
        <v>8</v>
      </c>
      <c r="B16680" s="2" t="str">
        <f>HYPERLINK("http://ts.21cn.com/tousu/show/id/1348445","闪银平台变相收取高额砍头息")</f>
        <v>闪银平台变相收取高额砍头息</v>
      </c>
      <c r="C16680" s="2" t="s">
        <v>9</v>
      </c>
      <c r="D16680" s="2" t="s">
        <v>10</v>
      </c>
      <c r="E16680" s="2" t="str">
        <f>HYPERLINK("http://ts.21cn.com/tousu/show/id/1348445","http://ts.21cn.com/tousu/show/id/1348445")</f>
        <v>http://ts.21cn.com/tousu/show/id/1348445</v>
      </c>
      <c r="F16680" s="2" t="s">
        <v>11</v>
      </c>
      <c r="G16680" s="2" t="s">
        <v>11392</v>
      </c>
      <c r="H16680" s="2" t="s">
        <v>11393</v>
      </c>
    </row>
    <row r="16681" spans="1:8" ht="25.05" customHeight="1" x14ac:dyDescent="0.25">
      <c r="A16681" s="2" t="s">
        <v>8</v>
      </c>
      <c r="B16681" s="2" t="str">
        <f>HYPERLINK("http://ts.21cn.com/tousu/show/id/1348446","钱站高利贷阴阳合同")</f>
        <v>钱站高利贷阴阳合同</v>
      </c>
      <c r="C16681" s="2" t="s">
        <v>9</v>
      </c>
      <c r="D16681" s="2" t="s">
        <v>10</v>
      </c>
      <c r="E16681" s="2" t="str">
        <f>HYPERLINK("http://ts.21cn.com/tousu/show/id/1348446","http://ts.21cn.com/tousu/show/id/1348446")</f>
        <v>http://ts.21cn.com/tousu/show/id/1348446</v>
      </c>
      <c r="F16681" s="2" t="s">
        <v>11</v>
      </c>
      <c r="G16681" s="2" t="s">
        <v>11390</v>
      </c>
      <c r="H16681" s="2" t="s">
        <v>11391</v>
      </c>
    </row>
    <row r="16682" spans="1:8" ht="25.05" customHeight="1" x14ac:dyDescent="0.25">
      <c r="A16682" s="2" t="s">
        <v>8</v>
      </c>
      <c r="B16682" s="2" t="str">
        <f>HYPERLINK("http://ts.21cn.com/tousu/show/id/1348447","骚扰短信")</f>
        <v>骚扰短信</v>
      </c>
      <c r="C16682" s="2" t="s">
        <v>9</v>
      </c>
      <c r="D16682" s="2" t="s">
        <v>10</v>
      </c>
      <c r="E16682" s="2" t="str">
        <f>HYPERLINK("http://ts.21cn.com/tousu/show/id/1348447","http://ts.21cn.com/tousu/show/id/1348447")</f>
        <v>http://ts.21cn.com/tousu/show/id/1348447</v>
      </c>
      <c r="F16682" s="2" t="s">
        <v>11</v>
      </c>
      <c r="G16682" s="2" t="s">
        <v>11388</v>
      </c>
      <c r="H16682" s="2" t="s">
        <v>11389</v>
      </c>
    </row>
    <row r="16683" spans="1:8" ht="25.05" customHeight="1" x14ac:dyDescent="0.25">
      <c r="A16683" s="2" t="s">
        <v>8</v>
      </c>
      <c r="B16683" s="2" t="str">
        <f>HYPERLINK("http://ts.21cn.com/tousu/show/id/1348448","蚂蚁借呗委托第三方暴力催收")</f>
        <v>蚂蚁借呗委托第三方暴力催收</v>
      </c>
      <c r="C16683" s="2" t="s">
        <v>9</v>
      </c>
      <c r="D16683" s="2" t="s">
        <v>10</v>
      </c>
      <c r="E16683" s="2" t="str">
        <f>HYPERLINK("http://ts.21cn.com/tousu/show/id/1348448","http://ts.21cn.com/tousu/show/id/1348448")</f>
        <v>http://ts.21cn.com/tousu/show/id/1348448</v>
      </c>
      <c r="F16683" s="2" t="s">
        <v>11</v>
      </c>
      <c r="G16683" s="2" t="s">
        <v>11386</v>
      </c>
      <c r="H16683" s="2" t="s">
        <v>11387</v>
      </c>
    </row>
    <row r="16684" spans="1:8" ht="25.05" customHeight="1" x14ac:dyDescent="0.25">
      <c r="A16684" s="2" t="s">
        <v>8</v>
      </c>
      <c r="B16684" s="2" t="str">
        <f>HYPERLINK("http://ts.21cn.com/tousu/show/id/1348451","闪银奇异莫名的担保金")</f>
        <v>闪银奇异莫名的担保金</v>
      </c>
      <c r="C16684" s="2" t="s">
        <v>9</v>
      </c>
      <c r="D16684" s="2" t="s">
        <v>10</v>
      </c>
      <c r="E16684" s="2" t="str">
        <f>HYPERLINK("http://ts.21cn.com/tousu/show/id/1348451","http://ts.21cn.com/tousu/show/id/1348451")</f>
        <v>http://ts.21cn.com/tousu/show/id/1348451</v>
      </c>
      <c r="F16684" s="2" t="s">
        <v>11</v>
      </c>
      <c r="G16684" s="2" t="s">
        <v>11383</v>
      </c>
      <c r="H16684" s="2" t="s">
        <v>11384</v>
      </c>
    </row>
    <row r="16685" spans="1:8" ht="25.05" customHeight="1" x14ac:dyDescent="0.25">
      <c r="A16685" s="2" t="s">
        <v>8</v>
      </c>
      <c r="B16685" s="2" t="str">
        <f>HYPERLINK("http://ts.21cn.com/tousu/show/id/1348450","拍拍贷催收爆我通讯录，随意骚扰无关人员")</f>
        <v>拍拍贷催收爆我通讯录，随意骚扰无关人员</v>
      </c>
      <c r="C16685" s="2" t="s">
        <v>9</v>
      </c>
      <c r="D16685" s="2" t="s">
        <v>10</v>
      </c>
      <c r="E16685" s="2" t="str">
        <f>HYPERLINK("http://ts.21cn.com/tousu/show/id/1348450","http://ts.21cn.com/tousu/show/id/1348450")</f>
        <v>http://ts.21cn.com/tousu/show/id/1348450</v>
      </c>
      <c r="F16685" s="2" t="s">
        <v>11</v>
      </c>
      <c r="G16685" s="2" t="s">
        <v>11383</v>
      </c>
      <c r="H16685" s="2" t="s">
        <v>11385</v>
      </c>
    </row>
    <row r="16686" spans="1:8" ht="25.05" customHeight="1" x14ac:dyDescent="0.25">
      <c r="A16686" s="2" t="s">
        <v>8</v>
      </c>
      <c r="B16686" s="2" t="str">
        <f>HYPERLINK("http://ts.21cn.com/tousu/show/id/1348438","绿森商城违规发货并且不按顺序发货")</f>
        <v>绿森商城违规发货并且不按顺序发货</v>
      </c>
      <c r="C16686" s="2" t="s">
        <v>9</v>
      </c>
      <c r="D16686" s="2" t="s">
        <v>10</v>
      </c>
      <c r="E16686" s="2" t="str">
        <f>HYPERLINK("http://ts.21cn.com/tousu/show/id/1348438","http://ts.21cn.com/tousu/show/id/1348438")</f>
        <v>http://ts.21cn.com/tousu/show/id/1348438</v>
      </c>
      <c r="F16686" s="2" t="s">
        <v>11</v>
      </c>
      <c r="G16686" s="2" t="s">
        <v>11381</v>
      </c>
      <c r="H16686" s="2" t="s">
        <v>11382</v>
      </c>
    </row>
    <row r="16687" spans="1:8" ht="25.05" customHeight="1" x14ac:dyDescent="0.25">
      <c r="A16687" s="2" t="s">
        <v>8</v>
      </c>
      <c r="B16687" s="2" t="str">
        <f>HYPERLINK("http://ts.21cn.com/tousu/show/id/1348449","苹果商店Videoleap应用自动扣费")</f>
        <v>苹果商店Videoleap应用自动扣费</v>
      </c>
      <c r="C16687" s="2" t="s">
        <v>9</v>
      </c>
      <c r="D16687" s="2" t="s">
        <v>10</v>
      </c>
      <c r="E16687" s="2" t="str">
        <f>HYPERLINK("http://ts.21cn.com/tousu/show/id/1348449","http://ts.21cn.com/tousu/show/id/1348449")</f>
        <v>http://ts.21cn.com/tousu/show/id/1348449</v>
      </c>
      <c r="F16687" s="2" t="s">
        <v>11</v>
      </c>
      <c r="G16687" s="2" t="s">
        <v>11379</v>
      </c>
      <c r="H16687" s="2" t="s">
        <v>11380</v>
      </c>
    </row>
    <row r="16688" spans="1:8" ht="25.05" customHeight="1" x14ac:dyDescent="0.25">
      <c r="A16688" s="2" t="s">
        <v>8</v>
      </c>
      <c r="B16688" s="2" t="str">
        <f>HYPERLINK("http://ts.21cn.com/tousu/show/id/1348452","闪银恶意扣手续费")</f>
        <v>闪银恶意扣手续费</v>
      </c>
      <c r="C16688" s="2" t="s">
        <v>9</v>
      </c>
      <c r="D16688" s="2" t="s">
        <v>10</v>
      </c>
      <c r="E16688" s="2" t="str">
        <f>HYPERLINK("http://ts.21cn.com/tousu/show/id/1348452","http://ts.21cn.com/tousu/show/id/1348452")</f>
        <v>http://ts.21cn.com/tousu/show/id/1348452</v>
      </c>
      <c r="F16688" s="2" t="s">
        <v>11</v>
      </c>
      <c r="G16688" s="2" t="s">
        <v>11377</v>
      </c>
      <c r="H16688" s="2" t="s">
        <v>11378</v>
      </c>
    </row>
    <row r="16689" spans="1:8" ht="25.05" customHeight="1" x14ac:dyDescent="0.25">
      <c r="A16689" s="2" t="s">
        <v>8</v>
      </c>
      <c r="B16689" s="2" t="str">
        <f>HYPERLINK("http://ts.21cn.com/tousu/show/id/1348453","你我贷平台非法爆通讯录")</f>
        <v>你我贷平台非法爆通讯录</v>
      </c>
      <c r="C16689" s="2" t="s">
        <v>9</v>
      </c>
      <c r="D16689" s="2" t="s">
        <v>10</v>
      </c>
      <c r="E16689" s="2" t="str">
        <f>HYPERLINK("http://ts.21cn.com/tousu/show/id/1348453","http://ts.21cn.com/tousu/show/id/1348453")</f>
        <v>http://ts.21cn.com/tousu/show/id/1348453</v>
      </c>
      <c r="F16689" s="2" t="s">
        <v>11</v>
      </c>
      <c r="G16689" s="2" t="s">
        <v>11375</v>
      </c>
      <c r="H16689" s="2" t="s">
        <v>11376</v>
      </c>
    </row>
    <row r="16690" spans="1:8" ht="25.05" customHeight="1" x14ac:dyDescent="0.25">
      <c r="A16690" s="2" t="s">
        <v>8</v>
      </c>
      <c r="B16690" s="2" t="str">
        <f>HYPERLINK("http://ts.21cn.com/tousu/show/id/1348454","名校贷变相砍头息为学生放贷")</f>
        <v>名校贷变相砍头息为学生放贷</v>
      </c>
      <c r="C16690" s="2" t="s">
        <v>9</v>
      </c>
      <c r="D16690" s="2" t="s">
        <v>10</v>
      </c>
      <c r="E16690" s="2" t="str">
        <f>HYPERLINK("http://ts.21cn.com/tousu/show/id/1348454","http://ts.21cn.com/tousu/show/id/1348454")</f>
        <v>http://ts.21cn.com/tousu/show/id/1348454</v>
      </c>
      <c r="F16690" s="2" t="s">
        <v>11</v>
      </c>
      <c r="G16690" s="2" t="s">
        <v>11373</v>
      </c>
      <c r="H16690" s="2" t="s">
        <v>11374</v>
      </c>
    </row>
    <row r="16691" spans="1:8" ht="25.05" customHeight="1" x14ac:dyDescent="0.25">
      <c r="A16691" s="2" t="s">
        <v>8</v>
      </c>
      <c r="B16691" s="2" t="str">
        <f>HYPERLINK("http://ts.21cn.com/tousu/show/id/1348455","高利贷")</f>
        <v>高利贷</v>
      </c>
      <c r="C16691" s="2" t="s">
        <v>9</v>
      </c>
      <c r="D16691" s="2" t="s">
        <v>10</v>
      </c>
      <c r="E16691" s="2" t="str">
        <f>HYPERLINK("http://ts.21cn.com/tousu/show/id/1348455","http://ts.21cn.com/tousu/show/id/1348455")</f>
        <v>http://ts.21cn.com/tousu/show/id/1348455</v>
      </c>
      <c r="F16691" s="2" t="s">
        <v>11</v>
      </c>
      <c r="G16691" s="2" t="s">
        <v>11371</v>
      </c>
      <c r="H16691" s="2" t="s">
        <v>11372</v>
      </c>
    </row>
    <row r="16692" spans="1:8" ht="25.05" customHeight="1" x14ac:dyDescent="0.25">
      <c r="A16692" s="2" t="s">
        <v>8</v>
      </c>
      <c r="B16692" s="2" t="str">
        <f>HYPERLINK("http://ts.21cn.com/tousu/show/id/1348456","京东金条催收上门威胁")</f>
        <v>京东金条催收上门威胁</v>
      </c>
      <c r="C16692" s="2" t="s">
        <v>9</v>
      </c>
      <c r="D16692" s="2" t="s">
        <v>10</v>
      </c>
      <c r="E16692" s="2" t="str">
        <f>HYPERLINK("http://ts.21cn.com/tousu/show/id/1348456","http://ts.21cn.com/tousu/show/id/1348456")</f>
        <v>http://ts.21cn.com/tousu/show/id/1348456</v>
      </c>
      <c r="F16692" s="2" t="s">
        <v>11</v>
      </c>
      <c r="G16692" s="2" t="s">
        <v>11369</v>
      </c>
      <c r="H16692" s="2" t="s">
        <v>11370</v>
      </c>
    </row>
    <row r="16693" spans="1:8" ht="25.05" customHeight="1" x14ac:dyDescent="0.25">
      <c r="A16693" s="2" t="s">
        <v>8</v>
      </c>
      <c r="B16693" s="2" t="str">
        <f>HYPERLINK("http://ts.21cn.com/tousu/show/id/1348457","斗牛DoNewAPP虚假鉴定")</f>
        <v>斗牛DoNewAPP虚假鉴定</v>
      </c>
      <c r="C16693" s="2" t="s">
        <v>9</v>
      </c>
      <c r="D16693" s="2" t="s">
        <v>10</v>
      </c>
      <c r="E16693" s="2" t="str">
        <f>HYPERLINK("http://ts.21cn.com/tousu/show/id/1348457","http://ts.21cn.com/tousu/show/id/1348457")</f>
        <v>http://ts.21cn.com/tousu/show/id/1348457</v>
      </c>
      <c r="F16693" s="2" t="s">
        <v>11</v>
      </c>
      <c r="G16693" s="2" t="s">
        <v>11367</v>
      </c>
      <c r="H16693" s="2" t="s">
        <v>11368</v>
      </c>
    </row>
    <row r="16694" spans="1:8" ht="25.05" customHeight="1" x14ac:dyDescent="0.25">
      <c r="A16694" s="2" t="s">
        <v>8</v>
      </c>
      <c r="B16694" s="2" t="str">
        <f>HYPERLINK("http://ts.21cn.com/tousu/show/id/1348458","微博旗下的浪小花进行违法催收")</f>
        <v>微博旗下的浪小花进行违法催收</v>
      </c>
      <c r="C16694" s="2" t="s">
        <v>9</v>
      </c>
      <c r="D16694" s="2" t="s">
        <v>10</v>
      </c>
      <c r="E16694" s="2" t="str">
        <f>HYPERLINK("http://ts.21cn.com/tousu/show/id/1348458","http://ts.21cn.com/tousu/show/id/1348458")</f>
        <v>http://ts.21cn.com/tousu/show/id/1348458</v>
      </c>
      <c r="F16694" s="2" t="s">
        <v>11</v>
      </c>
      <c r="G16694" s="2" t="s">
        <v>11365</v>
      </c>
      <c r="H16694" s="2" t="s">
        <v>11366</v>
      </c>
    </row>
    <row r="16695" spans="1:8" ht="25.05" customHeight="1" x14ac:dyDescent="0.25">
      <c r="A16695" s="2" t="s">
        <v>8</v>
      </c>
      <c r="B16695" s="2" t="str">
        <f>HYPERLINK("http://ts.21cn.com/tousu/show/id/1348459","你我贷APP涉嫌欺诈收钱")</f>
        <v>你我贷APP涉嫌欺诈收钱</v>
      </c>
      <c r="C16695" s="2" t="s">
        <v>9</v>
      </c>
      <c r="D16695" s="2" t="s">
        <v>10</v>
      </c>
      <c r="E16695" s="2" t="str">
        <f>HYPERLINK("http://ts.21cn.com/tousu/show/id/1348459","http://ts.21cn.com/tousu/show/id/1348459")</f>
        <v>http://ts.21cn.com/tousu/show/id/1348459</v>
      </c>
      <c r="F16695" s="2" t="s">
        <v>11</v>
      </c>
      <c r="G16695" s="2" t="s">
        <v>11363</v>
      </c>
      <c r="H16695" s="2" t="s">
        <v>11364</v>
      </c>
    </row>
    <row r="16696" spans="1:8" ht="25.05" customHeight="1" x14ac:dyDescent="0.25">
      <c r="A16696" s="2" t="s">
        <v>8</v>
      </c>
      <c r="B16696" s="2" t="str">
        <f>HYPERLINK("http://ts.21cn.com/tousu/show/id/1348460","高利贷暴力催收")</f>
        <v>高利贷暴力催收</v>
      </c>
      <c r="C16696" s="2" t="s">
        <v>9</v>
      </c>
      <c r="D16696" s="2" t="s">
        <v>10</v>
      </c>
      <c r="E16696" s="2" t="str">
        <f>HYPERLINK("http://ts.21cn.com/tousu/show/id/1348460","http://ts.21cn.com/tousu/show/id/1348460")</f>
        <v>http://ts.21cn.com/tousu/show/id/1348460</v>
      </c>
      <c r="F16696" s="2" t="s">
        <v>11</v>
      </c>
      <c r="G16696" s="2" t="s">
        <v>11361</v>
      </c>
      <c r="H16696" s="2" t="s">
        <v>11362</v>
      </c>
    </row>
    <row r="16697" spans="1:8" ht="25.05" customHeight="1" x14ac:dyDescent="0.25">
      <c r="A16697" s="2" t="s">
        <v>8</v>
      </c>
      <c r="B16697" s="2" t="str">
        <f>HYPERLINK("http://ts.21cn.com/tousu/show/id/1348461","来这分期高利贷")</f>
        <v>来这分期高利贷</v>
      </c>
      <c r="C16697" s="2" t="s">
        <v>9</v>
      </c>
      <c r="D16697" s="2" t="s">
        <v>10</v>
      </c>
      <c r="E16697" s="2" t="str">
        <f>HYPERLINK("http://ts.21cn.com/tousu/show/id/1348461","http://ts.21cn.com/tousu/show/id/1348461")</f>
        <v>http://ts.21cn.com/tousu/show/id/1348461</v>
      </c>
      <c r="F16697" s="2" t="s">
        <v>11</v>
      </c>
      <c r="G16697" s="2" t="s">
        <v>11359</v>
      </c>
      <c r="H16697" s="2" t="s">
        <v>11360</v>
      </c>
    </row>
    <row r="16698" spans="1:8" ht="25.05" customHeight="1" x14ac:dyDescent="0.25">
      <c r="A16698" s="2" t="s">
        <v>8</v>
      </c>
      <c r="B16698" s="2" t="str">
        <f>HYPERLINK("http://ts.21cn.com/tousu/show/id/1348462","活力花恐吓催收骂人")</f>
        <v>活力花恐吓催收骂人</v>
      </c>
      <c r="C16698" s="2" t="s">
        <v>9</v>
      </c>
      <c r="D16698" s="2" t="s">
        <v>10</v>
      </c>
      <c r="E16698" s="2" t="str">
        <f>HYPERLINK("http://ts.21cn.com/tousu/show/id/1348462","http://ts.21cn.com/tousu/show/id/1348462")</f>
        <v>http://ts.21cn.com/tousu/show/id/1348462</v>
      </c>
      <c r="F16698" s="2" t="s">
        <v>11</v>
      </c>
      <c r="G16698" s="2" t="s">
        <v>11357</v>
      </c>
      <c r="H16698" s="2" t="s">
        <v>11358</v>
      </c>
    </row>
    <row r="16699" spans="1:8" ht="25.05" customHeight="1" x14ac:dyDescent="0.25">
      <c r="A16699" s="2" t="s">
        <v>8</v>
      </c>
      <c r="B16699" s="2" t="str">
        <f>HYPERLINK("http://ts.21cn.com/tousu/show/id/1348463","闪银奇艺平台收新人担保金，且利息很高")</f>
        <v>闪银奇艺平台收新人担保金，且利息很高</v>
      </c>
      <c r="C16699" s="2" t="s">
        <v>9</v>
      </c>
      <c r="D16699" s="2" t="s">
        <v>10</v>
      </c>
      <c r="E16699" s="2" t="str">
        <f>HYPERLINK("http://ts.21cn.com/tousu/show/id/1348463","http://ts.21cn.com/tousu/show/id/1348463")</f>
        <v>http://ts.21cn.com/tousu/show/id/1348463</v>
      </c>
      <c r="F16699" s="2" t="s">
        <v>11</v>
      </c>
      <c r="G16699" s="2" t="s">
        <v>11355</v>
      </c>
      <c r="H16699" s="2" t="s">
        <v>11356</v>
      </c>
    </row>
    <row r="16700" spans="1:8" ht="25.05" customHeight="1" x14ac:dyDescent="0.25">
      <c r="A16700" s="2" t="s">
        <v>8</v>
      </c>
      <c r="B16700" s="2" t="str">
        <f>HYPERLINK("http://ts.21cn.com/tousu/show/id/1348464","我在还呗APP上贷款，现在想提前还款，免除利息。")</f>
        <v>我在还呗APP上贷款，现在想提前还款，免除利息。</v>
      </c>
      <c r="C16700" s="2" t="s">
        <v>34</v>
      </c>
      <c r="D16700" s="2" t="s">
        <v>10</v>
      </c>
      <c r="E16700" s="2" t="str">
        <f>HYPERLINK("http://ts.21cn.com/tousu/show/id/1348464","http://ts.21cn.com/tousu/show/id/1348464")</f>
        <v>http://ts.21cn.com/tousu/show/id/1348464</v>
      </c>
      <c r="F16700" s="2" t="s">
        <v>11</v>
      </c>
      <c r="G16700" s="2" t="s">
        <v>11353</v>
      </c>
      <c r="H16700" s="2" t="s">
        <v>11354</v>
      </c>
    </row>
    <row r="16701" spans="1:8" ht="25.05" customHeight="1" x14ac:dyDescent="0.25">
      <c r="A16701" s="2" t="s">
        <v>8</v>
      </c>
      <c r="B16701" s="2" t="str">
        <f>HYPERLINK("http://ts.21cn.com/tousu/show/id/1348465","高利贷")</f>
        <v>高利贷</v>
      </c>
      <c r="C16701" s="2" t="s">
        <v>9</v>
      </c>
      <c r="D16701" s="2" t="s">
        <v>10</v>
      </c>
      <c r="E16701" s="2" t="str">
        <f>HYPERLINK("http://ts.21cn.com/tousu/show/id/1348465","http://ts.21cn.com/tousu/show/id/1348465")</f>
        <v>http://ts.21cn.com/tousu/show/id/1348465</v>
      </c>
      <c r="F16701" s="2" t="s">
        <v>11</v>
      </c>
      <c r="G16701" s="2" t="s">
        <v>11351</v>
      </c>
      <c r="H16701" s="2" t="s">
        <v>11352</v>
      </c>
    </row>
    <row r="16702" spans="1:8" ht="25.05" customHeight="1" x14ac:dyDescent="0.25">
      <c r="A16702" s="2" t="s">
        <v>8</v>
      </c>
      <c r="B16702" s="2" t="str">
        <f>HYPERLINK("http://ts.21cn.com/tousu/show/id/1348467","学慧网诱导消费者维权无门")</f>
        <v>学慧网诱导消费者维权无门</v>
      </c>
      <c r="C16702" s="2" t="s">
        <v>9</v>
      </c>
      <c r="D16702" s="2" t="s">
        <v>10</v>
      </c>
      <c r="E16702" s="2" t="str">
        <f>HYPERLINK("http://ts.21cn.com/tousu/show/id/1348467","http://ts.21cn.com/tousu/show/id/1348467")</f>
        <v>http://ts.21cn.com/tousu/show/id/1348467</v>
      </c>
      <c r="F16702" s="2" t="s">
        <v>11</v>
      </c>
      <c r="G16702" s="2" t="s">
        <v>11349</v>
      </c>
      <c r="H16702" s="2" t="s">
        <v>11350</v>
      </c>
    </row>
    <row r="16703" spans="1:8" ht="25.05" customHeight="1" x14ac:dyDescent="0.25">
      <c r="A16703" s="2" t="s">
        <v>8</v>
      </c>
      <c r="B16703" s="2" t="str">
        <f>HYPERLINK("http://ts.21cn.com/tousu/show/id/1348466","银生宝旗下商户为境外赌博机构提供收款服务")</f>
        <v>银生宝旗下商户为境外赌博机构提供收款服务</v>
      </c>
      <c r="C16703" s="2" t="s">
        <v>9</v>
      </c>
      <c r="D16703" s="2" t="s">
        <v>10</v>
      </c>
      <c r="E16703" s="2" t="str">
        <f>HYPERLINK("http://ts.21cn.com/tousu/show/id/1348466","http://ts.21cn.com/tousu/show/id/1348466")</f>
        <v>http://ts.21cn.com/tousu/show/id/1348466</v>
      </c>
      <c r="F16703" s="2" t="s">
        <v>11</v>
      </c>
      <c r="G16703" s="2" t="s">
        <v>11347</v>
      </c>
      <c r="H16703" s="2" t="s">
        <v>11348</v>
      </c>
    </row>
    <row r="16704" spans="1:8" ht="25.05" customHeight="1" x14ac:dyDescent="0.25">
      <c r="A16704" s="2" t="s">
        <v>8</v>
      </c>
      <c r="B16704" s="2" t="str">
        <f>HYPERLINK("http://ts.21cn.com/tousu/show/id/1348468","闪电借款套路资料，借款永远打款中，借款失败")</f>
        <v>闪电借款套路资料，借款永远打款中，借款失败</v>
      </c>
      <c r="C16704" s="2" t="s">
        <v>9</v>
      </c>
      <c r="D16704" s="2" t="s">
        <v>10</v>
      </c>
      <c r="E16704" s="2" t="str">
        <f>HYPERLINK("http://ts.21cn.com/tousu/show/id/1348468","http://ts.21cn.com/tousu/show/id/1348468")</f>
        <v>http://ts.21cn.com/tousu/show/id/1348468</v>
      </c>
      <c r="F16704" s="2" t="s">
        <v>11</v>
      </c>
      <c r="G16704" s="2" t="s">
        <v>11345</v>
      </c>
      <c r="H16704" s="2" t="s">
        <v>11346</v>
      </c>
    </row>
    <row r="16705" spans="1:8" ht="25.05" customHeight="1" x14ac:dyDescent="0.25">
      <c r="A16705" s="2" t="s">
        <v>8</v>
      </c>
      <c r="B16705" s="2" t="str">
        <f>HYPERLINK("http://ts.21cn.com/tousu/show/id/1348469","退款")</f>
        <v>退款</v>
      </c>
      <c r="C16705" s="2" t="s">
        <v>9</v>
      </c>
      <c r="D16705" s="2" t="s">
        <v>10</v>
      </c>
      <c r="E16705" s="2" t="str">
        <f>HYPERLINK("http://ts.21cn.com/tousu/show/id/1348469","http://ts.21cn.com/tousu/show/id/1348469")</f>
        <v>http://ts.21cn.com/tousu/show/id/1348469</v>
      </c>
      <c r="F16705" s="2" t="s">
        <v>11</v>
      </c>
      <c r="G16705" s="2" t="s">
        <v>11343</v>
      </c>
      <c r="H16705" s="2" t="s">
        <v>11344</v>
      </c>
    </row>
    <row r="16706" spans="1:8" ht="25.05" customHeight="1" x14ac:dyDescent="0.25">
      <c r="A16706" s="2" t="s">
        <v>8</v>
      </c>
      <c r="B16706" s="2" t="str">
        <f>HYPERLINK("http://ts.21cn.com/tousu/show/id/1348471","钱站高利贷阴阳合同")</f>
        <v>钱站高利贷阴阳合同</v>
      </c>
      <c r="C16706" s="2" t="s">
        <v>9</v>
      </c>
      <c r="D16706" s="2" t="s">
        <v>10</v>
      </c>
      <c r="E16706" s="2" t="str">
        <f>HYPERLINK("http://ts.21cn.com/tousu/show/id/1348471","http://ts.21cn.com/tousu/show/id/1348471")</f>
        <v>http://ts.21cn.com/tousu/show/id/1348471</v>
      </c>
      <c r="F16706" s="2" t="s">
        <v>11</v>
      </c>
      <c r="G16706" s="2" t="s">
        <v>11341</v>
      </c>
      <c r="H16706" s="2" t="s">
        <v>11342</v>
      </c>
    </row>
    <row r="16707" spans="1:8" ht="25.05" customHeight="1" x14ac:dyDescent="0.25">
      <c r="A16707" s="2" t="s">
        <v>8</v>
      </c>
      <c r="B16707" s="2" t="str">
        <f>HYPERLINK("http://ts.21cn.com/tousu/show/id/1348470","速金服扣款未销账。")</f>
        <v>速金服扣款未销账。</v>
      </c>
      <c r="C16707" s="2" t="s">
        <v>9</v>
      </c>
      <c r="D16707" s="2" t="s">
        <v>10</v>
      </c>
      <c r="E16707" s="2" t="str">
        <f>HYPERLINK("http://ts.21cn.com/tousu/show/id/1348470","http://ts.21cn.com/tousu/show/id/1348470")</f>
        <v>http://ts.21cn.com/tousu/show/id/1348470</v>
      </c>
      <c r="F16707" s="2" t="s">
        <v>11</v>
      </c>
      <c r="G16707" s="2" t="s">
        <v>11339</v>
      </c>
      <c r="H16707" s="2" t="s">
        <v>11340</v>
      </c>
    </row>
    <row r="16708" spans="1:8" ht="25.05" customHeight="1" x14ac:dyDescent="0.25">
      <c r="A16708" s="2" t="s">
        <v>8</v>
      </c>
      <c r="B16708" s="2" t="str">
        <f>HYPERLINK("http://ts.21cn.com/tousu/show/id/1348473","高利贷砍头息")</f>
        <v>高利贷砍头息</v>
      </c>
      <c r="C16708" s="2" t="s">
        <v>9</v>
      </c>
      <c r="D16708" s="2" t="s">
        <v>10</v>
      </c>
      <c r="E16708" s="2" t="str">
        <f>HYPERLINK("http://ts.21cn.com/tousu/show/id/1348473","http://ts.21cn.com/tousu/show/id/1348473")</f>
        <v>http://ts.21cn.com/tousu/show/id/1348473</v>
      </c>
      <c r="F16708" s="2" t="s">
        <v>11</v>
      </c>
      <c r="G16708" s="2" t="s">
        <v>11337</v>
      </c>
      <c r="H16708" s="2" t="s">
        <v>11338</v>
      </c>
    </row>
    <row r="16709" spans="1:8" ht="25.05" customHeight="1" x14ac:dyDescent="0.25">
      <c r="A16709" s="2" t="s">
        <v>8</v>
      </c>
      <c r="B16709" s="2" t="str">
        <f>HYPERLINK("http://ts.21cn.com/tousu/show/id/1348472","你我贷平台向在校大学生放非法校园贷")</f>
        <v>你我贷平台向在校大学生放非法校园贷</v>
      </c>
      <c r="C16709" s="2" t="s">
        <v>9</v>
      </c>
      <c r="D16709" s="2" t="s">
        <v>10</v>
      </c>
      <c r="E16709" s="2" t="str">
        <f>HYPERLINK("http://ts.21cn.com/tousu/show/id/1348472","http://ts.21cn.com/tousu/show/id/1348472")</f>
        <v>http://ts.21cn.com/tousu/show/id/1348472</v>
      </c>
      <c r="F16709" s="2" t="s">
        <v>11</v>
      </c>
      <c r="G16709" s="2" t="s">
        <v>11335</v>
      </c>
      <c r="H16709" s="2" t="s">
        <v>11336</v>
      </c>
    </row>
    <row r="16710" spans="1:8" ht="25.05" customHeight="1" x14ac:dyDescent="0.25">
      <c r="A16710" s="2" t="s">
        <v>8</v>
      </c>
      <c r="B16710" s="2" t="str">
        <f>HYPERLINK("http://ts.21cn.com/tousu/show/id/1348474","网商银行转入资金失败一直不退回")</f>
        <v>网商银行转入资金失败一直不退回</v>
      </c>
      <c r="C16710" s="2" t="s">
        <v>9</v>
      </c>
      <c r="D16710" s="2" t="s">
        <v>10</v>
      </c>
      <c r="E16710" s="2" t="str">
        <f>HYPERLINK("http://ts.21cn.com/tousu/show/id/1348474","http://ts.21cn.com/tousu/show/id/1348474")</f>
        <v>http://ts.21cn.com/tousu/show/id/1348474</v>
      </c>
      <c r="F16710" s="2" t="s">
        <v>11</v>
      </c>
      <c r="G16710" s="2" t="s">
        <v>11333</v>
      </c>
      <c r="H16710" s="2" t="s">
        <v>11334</v>
      </c>
    </row>
    <row r="16711" spans="1:8" ht="25.05" customHeight="1" x14ac:dyDescent="0.25">
      <c r="A16711" s="2" t="s">
        <v>8</v>
      </c>
      <c r="B16711" s="2" t="str">
        <f>HYPERLINK("http://ts.21cn.com/tousu/show/id/1348475","违背承诺，答应贷款减免之后再支付2800元就给结清处理，转账后对方违背承诺")</f>
        <v>违背承诺，答应贷款减免之后再支付2800元就给结清处理，转账后对方违背承诺</v>
      </c>
      <c r="C16711" s="2" t="s">
        <v>9</v>
      </c>
      <c r="D16711" s="2" t="s">
        <v>10</v>
      </c>
      <c r="E16711" s="2" t="str">
        <f>HYPERLINK("http://ts.21cn.com/tousu/show/id/1348475","http://ts.21cn.com/tousu/show/id/1348475")</f>
        <v>http://ts.21cn.com/tousu/show/id/1348475</v>
      </c>
      <c r="F16711" s="2" t="s">
        <v>11</v>
      </c>
      <c r="G16711" s="2" t="s">
        <v>11331</v>
      </c>
      <c r="H16711" s="2" t="s">
        <v>11332</v>
      </c>
    </row>
    <row r="16712" spans="1:8" ht="25.05" customHeight="1" x14ac:dyDescent="0.25">
      <c r="A16712" s="2" t="s">
        <v>8</v>
      </c>
      <c r="B16712" s="2" t="str">
        <f>HYPERLINK("http://ts.21cn.com/tousu/show/id/1348421","携程预订酒店隐藏信息误导消费者")</f>
        <v>携程预订酒店隐藏信息误导消费者</v>
      </c>
      <c r="C16712" s="2" t="s">
        <v>9</v>
      </c>
      <c r="D16712" s="2" t="s">
        <v>10</v>
      </c>
      <c r="E16712" s="2" t="str">
        <f>HYPERLINK("http://ts.21cn.com/tousu/show/id/1348421","http://ts.21cn.com/tousu/show/id/1348421")</f>
        <v>http://ts.21cn.com/tousu/show/id/1348421</v>
      </c>
      <c r="F16712" s="2" t="s">
        <v>11</v>
      </c>
      <c r="G16712" s="2" t="s">
        <v>11329</v>
      </c>
      <c r="H16712" s="2" t="s">
        <v>11330</v>
      </c>
    </row>
    <row r="16713" spans="1:8" ht="25.05" customHeight="1" x14ac:dyDescent="0.25">
      <c r="A16713" s="2" t="s">
        <v>8</v>
      </c>
      <c r="B16713" s="2" t="str">
        <f>HYPERLINK("http://ts.21cn.com/tousu/show/id/1348476","闪银奇异征信信息上报错误不给修改打电话不接人工态度恶劣")</f>
        <v>闪银奇异征信信息上报错误不给修改打电话不接人工态度恶劣</v>
      </c>
      <c r="C16713" s="2" t="s">
        <v>9</v>
      </c>
      <c r="D16713" s="2" t="s">
        <v>10</v>
      </c>
      <c r="E16713" s="2" t="str">
        <f>HYPERLINK("http://ts.21cn.com/tousu/show/id/1348476","http://ts.21cn.com/tousu/show/id/1348476")</f>
        <v>http://ts.21cn.com/tousu/show/id/1348476</v>
      </c>
      <c r="F16713" s="2" t="s">
        <v>11</v>
      </c>
      <c r="G16713" s="2" t="s">
        <v>11327</v>
      </c>
      <c r="H16713" s="2" t="s">
        <v>11328</v>
      </c>
    </row>
    <row r="16714" spans="1:8" ht="25.05" customHeight="1" x14ac:dyDescent="0.25">
      <c r="A16714" s="2" t="s">
        <v>8</v>
      </c>
      <c r="B16714" s="2" t="str">
        <f>HYPERLINK("http://ts.21cn.com/tousu/show/id/1348478","强迫收服务费，不让还款，导致逾期")</f>
        <v>强迫收服务费，不让还款，导致逾期</v>
      </c>
      <c r="C16714" s="2" t="s">
        <v>9</v>
      </c>
      <c r="D16714" s="2" t="s">
        <v>10</v>
      </c>
      <c r="E16714" s="2" t="str">
        <f>HYPERLINK("http://ts.21cn.com/tousu/show/id/1348478","http://ts.21cn.com/tousu/show/id/1348478")</f>
        <v>http://ts.21cn.com/tousu/show/id/1348478</v>
      </c>
      <c r="F16714" s="2" t="s">
        <v>11</v>
      </c>
      <c r="G16714" s="2" t="s">
        <v>11325</v>
      </c>
      <c r="H16714" s="2" t="s">
        <v>11326</v>
      </c>
    </row>
    <row r="16715" spans="1:8" ht="25.05" customHeight="1" x14ac:dyDescent="0.25">
      <c r="A16715" s="2" t="s">
        <v>8</v>
      </c>
      <c r="B16715" s="2" t="str">
        <f>HYPERLINK("http://ts.21cn.com/tousu/show/id/1348480","闪银骚扰电话")</f>
        <v>闪银骚扰电话</v>
      </c>
      <c r="C16715" s="2" t="s">
        <v>9</v>
      </c>
      <c r="D16715" s="2" t="s">
        <v>10</v>
      </c>
      <c r="E16715" s="2" t="str">
        <f>HYPERLINK("http://ts.21cn.com/tousu/show/id/1348480","http://ts.21cn.com/tousu/show/id/1348480")</f>
        <v>http://ts.21cn.com/tousu/show/id/1348480</v>
      </c>
      <c r="F16715" s="2" t="s">
        <v>11</v>
      </c>
      <c r="G16715" s="2" t="s">
        <v>11323</v>
      </c>
      <c r="H16715" s="2" t="s">
        <v>11324</v>
      </c>
    </row>
    <row r="16716" spans="1:8" ht="25.05" customHeight="1" x14ac:dyDescent="0.25">
      <c r="A16716" s="2" t="s">
        <v>8</v>
      </c>
      <c r="B16716" s="2" t="str">
        <f>HYPERLINK("http://ts.21cn.com/tousu/show/id/1348481","小浦优客未经同意扣我卡里钱")</f>
        <v>小浦优客未经同意扣我卡里钱</v>
      </c>
      <c r="C16716" s="2" t="s">
        <v>34</v>
      </c>
      <c r="D16716" s="2" t="s">
        <v>10</v>
      </c>
      <c r="E16716" s="2" t="str">
        <f>HYPERLINK("http://ts.21cn.com/tousu/show/id/1348481","http://ts.21cn.com/tousu/show/id/1348481")</f>
        <v>http://ts.21cn.com/tousu/show/id/1348481</v>
      </c>
      <c r="F16716" s="2" t="s">
        <v>11</v>
      </c>
      <c r="G16716" s="2" t="s">
        <v>11321</v>
      </c>
      <c r="H16716" s="2" t="s">
        <v>11322</v>
      </c>
    </row>
    <row r="16717" spans="1:8" ht="25.05" customHeight="1" x14ac:dyDescent="0.25">
      <c r="A16717" s="2" t="s">
        <v>8</v>
      </c>
      <c r="B16717" s="2" t="str">
        <f>HYPERLINK("http://ts.21cn.com/tousu/show/id/1348482","拍拍贷恶意群发短信")</f>
        <v>拍拍贷恶意群发短信</v>
      </c>
      <c r="C16717" s="2" t="s">
        <v>9</v>
      </c>
      <c r="D16717" s="2" t="s">
        <v>10</v>
      </c>
      <c r="E16717" s="2" t="str">
        <f>HYPERLINK("http://ts.21cn.com/tousu/show/id/1348482","http://ts.21cn.com/tousu/show/id/1348482")</f>
        <v>http://ts.21cn.com/tousu/show/id/1348482</v>
      </c>
      <c r="F16717" s="2" t="s">
        <v>11</v>
      </c>
      <c r="G16717" s="2" t="s">
        <v>11319</v>
      </c>
      <c r="H16717" s="2" t="s">
        <v>11320</v>
      </c>
    </row>
    <row r="16718" spans="1:8" ht="25.05" customHeight="1" x14ac:dyDescent="0.25">
      <c r="A16718" s="2" t="s">
        <v>8</v>
      </c>
      <c r="B16718" s="2" t="str">
        <f>HYPERLINK("http://ts.21cn.com/tousu/show/id/1348483","滴滴不派单")</f>
        <v>滴滴不派单</v>
      </c>
      <c r="C16718" s="2" t="s">
        <v>34</v>
      </c>
      <c r="D16718" s="2" t="s">
        <v>10</v>
      </c>
      <c r="E16718" s="2" t="str">
        <f>HYPERLINK("http://ts.21cn.com/tousu/show/id/1348483","http://ts.21cn.com/tousu/show/id/1348483")</f>
        <v>http://ts.21cn.com/tousu/show/id/1348483</v>
      </c>
      <c r="F16718" s="2" t="s">
        <v>11</v>
      </c>
      <c r="G16718" s="2" t="s">
        <v>11317</v>
      </c>
      <c r="H16718" s="2" t="s">
        <v>11318</v>
      </c>
    </row>
    <row r="16719" spans="1:8" ht="25.05" customHeight="1" x14ac:dyDescent="0.25">
      <c r="A16719" s="2" t="s">
        <v>8</v>
      </c>
      <c r="B16719" s="2" t="str">
        <f>HYPERLINK("http://ts.21cn.com/tousu/show/id/1348484","一次性洁清")</f>
        <v>一次性洁清</v>
      </c>
      <c r="C16719" s="2" t="s">
        <v>34</v>
      </c>
      <c r="D16719" s="2" t="s">
        <v>10</v>
      </c>
      <c r="E16719" s="2" t="str">
        <f>HYPERLINK("http://ts.21cn.com/tousu/show/id/1348484","http://ts.21cn.com/tousu/show/id/1348484")</f>
        <v>http://ts.21cn.com/tousu/show/id/1348484</v>
      </c>
      <c r="F16719" s="2" t="s">
        <v>11</v>
      </c>
      <c r="G16719" s="2" t="s">
        <v>11315</v>
      </c>
      <c r="H16719" s="2" t="s">
        <v>11316</v>
      </c>
    </row>
    <row r="16720" spans="1:8" ht="25.05" customHeight="1" x14ac:dyDescent="0.25">
      <c r="A16720" s="2" t="s">
        <v>8</v>
      </c>
      <c r="B16720" s="2" t="str">
        <f>HYPERLINK("http://ts.21cn.com/tousu/show/id/1348485","捷信金融暴力催收骚扰联系人利息太高")</f>
        <v>捷信金融暴力催收骚扰联系人利息太高</v>
      </c>
      <c r="C16720" s="2" t="s">
        <v>9</v>
      </c>
      <c r="D16720" s="2" t="s">
        <v>10</v>
      </c>
      <c r="E16720" s="2" t="str">
        <f>HYPERLINK("http://ts.21cn.com/tousu/show/id/1348485","http://ts.21cn.com/tousu/show/id/1348485")</f>
        <v>http://ts.21cn.com/tousu/show/id/1348485</v>
      </c>
      <c r="F16720" s="2" t="s">
        <v>11</v>
      </c>
      <c r="G16720" s="2" t="s">
        <v>11313</v>
      </c>
      <c r="H16720" s="2" t="s">
        <v>11314</v>
      </c>
    </row>
    <row r="16721" spans="1:8" ht="25.05" customHeight="1" x14ac:dyDescent="0.25">
      <c r="A16721" s="2" t="s">
        <v>8</v>
      </c>
      <c r="B16721" s="2" t="str">
        <f>HYPERLINK("http://ts.21cn.com/tousu/show/id/1348487","闪银平台不放款，必须要收取前期费用才放")</f>
        <v>闪银平台不放款，必须要收取前期费用才放</v>
      </c>
      <c r="C16721" s="2" t="s">
        <v>9</v>
      </c>
      <c r="D16721" s="2" t="s">
        <v>10</v>
      </c>
      <c r="E16721" s="2" t="str">
        <f>HYPERLINK("http://ts.21cn.com/tousu/show/id/1348487","http://ts.21cn.com/tousu/show/id/1348487")</f>
        <v>http://ts.21cn.com/tousu/show/id/1348487</v>
      </c>
      <c r="F16721" s="2" t="s">
        <v>11</v>
      </c>
      <c r="G16721" s="2" t="s">
        <v>11311</v>
      </c>
      <c r="H16721" s="2" t="s">
        <v>11312</v>
      </c>
    </row>
    <row r="16722" spans="1:8" ht="25.05" customHeight="1" x14ac:dyDescent="0.25">
      <c r="A16722" s="2" t="s">
        <v>8</v>
      </c>
      <c r="B16722" s="2" t="str">
        <f>HYPERLINK("http://ts.21cn.com/tousu/show/id/1348486","立借app强制贷款")</f>
        <v>立借app强制贷款</v>
      </c>
      <c r="C16722" s="2" t="s">
        <v>9</v>
      </c>
      <c r="D16722" s="2" t="s">
        <v>10</v>
      </c>
      <c r="E16722" s="2" t="str">
        <f>HYPERLINK("http://ts.21cn.com/tousu/show/id/1348486","http://ts.21cn.com/tousu/show/id/1348486")</f>
        <v>http://ts.21cn.com/tousu/show/id/1348486</v>
      </c>
      <c r="F16722" s="2" t="s">
        <v>11</v>
      </c>
      <c r="G16722" s="2" t="s">
        <v>11309</v>
      </c>
      <c r="H16722" s="2" t="s">
        <v>11310</v>
      </c>
    </row>
    <row r="16723" spans="1:8" ht="25.05" customHeight="1" x14ac:dyDescent="0.25">
      <c r="A16723" s="2" t="s">
        <v>8</v>
      </c>
      <c r="B16723" s="2" t="str">
        <f>HYPERLINK("http://ts.21cn.com/tousu/show/id/1348489","立借高利贷平台，借6500三个月还9100逾期一天各种恐吓威胁，骚扰家人")</f>
        <v>立借高利贷平台，借6500三个月还9100逾期一天各种恐吓威胁，骚扰家人</v>
      </c>
      <c r="C16723" s="2" t="s">
        <v>9</v>
      </c>
      <c r="D16723" s="2" t="s">
        <v>10</v>
      </c>
      <c r="E16723" s="2" t="str">
        <f>HYPERLINK("http://ts.21cn.com/tousu/show/id/1348489","http://ts.21cn.com/tousu/show/id/1348489")</f>
        <v>http://ts.21cn.com/tousu/show/id/1348489</v>
      </c>
      <c r="F16723" s="2" t="s">
        <v>11</v>
      </c>
      <c r="G16723" s="2" t="s">
        <v>11307</v>
      </c>
      <c r="H16723" s="2" t="s">
        <v>11308</v>
      </c>
    </row>
    <row r="16724" spans="1:8" ht="25.05" customHeight="1" x14ac:dyDescent="0.25">
      <c r="A16724" s="2" t="s">
        <v>8</v>
      </c>
      <c r="B16724" s="2" t="str">
        <f>HYPERLINK("http://ts.21cn.com/tousu/show/id/1348488","刚收到货就降价")</f>
        <v>刚收到货就降价</v>
      </c>
      <c r="C16724" s="2" t="s">
        <v>9</v>
      </c>
      <c r="D16724" s="2" t="s">
        <v>10</v>
      </c>
      <c r="E16724" s="2" t="str">
        <f>HYPERLINK("http://ts.21cn.com/tousu/show/id/1348488","http://ts.21cn.com/tousu/show/id/1348488")</f>
        <v>http://ts.21cn.com/tousu/show/id/1348488</v>
      </c>
      <c r="F16724" s="2" t="s">
        <v>11</v>
      </c>
      <c r="G16724" s="2" t="s">
        <v>11305</v>
      </c>
      <c r="H16724" s="2" t="s">
        <v>11306</v>
      </c>
    </row>
    <row r="16725" spans="1:8" ht="25.05" customHeight="1" x14ac:dyDescent="0.25">
      <c r="A16725" s="2" t="s">
        <v>8</v>
      </c>
      <c r="B16725" s="2" t="str">
        <f>HYPERLINK("http://ts.21cn.com/tousu/show/id/1348491","闪银违法暴力催收")</f>
        <v>闪银违法暴力催收</v>
      </c>
      <c r="C16725" s="2" t="s">
        <v>9</v>
      </c>
      <c r="D16725" s="2" t="s">
        <v>10</v>
      </c>
      <c r="E16725" s="2" t="str">
        <f>HYPERLINK("http://ts.21cn.com/tousu/show/id/1348491","http://ts.21cn.com/tousu/show/id/1348491")</f>
        <v>http://ts.21cn.com/tousu/show/id/1348491</v>
      </c>
      <c r="F16725" s="2" t="s">
        <v>11</v>
      </c>
      <c r="G16725" s="2" t="s">
        <v>11303</v>
      </c>
      <c r="H16725" s="2" t="s">
        <v>11304</v>
      </c>
    </row>
    <row r="16726" spans="1:8" ht="25.05" customHeight="1" x14ac:dyDescent="0.25">
      <c r="A16726" s="2" t="s">
        <v>8</v>
      </c>
      <c r="B16726" s="2" t="str">
        <f>HYPERLINK("http://ts.21cn.com/tousu/show/id/1348490","新意花小木钱包砍头息")</f>
        <v>新意花小木钱包砍头息</v>
      </c>
      <c r="C16726" s="2" t="s">
        <v>9</v>
      </c>
      <c r="D16726" s="2" t="s">
        <v>10</v>
      </c>
      <c r="E16726" s="2" t="str">
        <f>HYPERLINK("http://ts.21cn.com/tousu/show/id/1348490","http://ts.21cn.com/tousu/show/id/1348490")</f>
        <v>http://ts.21cn.com/tousu/show/id/1348490</v>
      </c>
      <c r="F16726" s="2" t="s">
        <v>11</v>
      </c>
      <c r="G16726" s="2" t="s">
        <v>11301</v>
      </c>
      <c r="H16726" s="2" t="s">
        <v>11302</v>
      </c>
    </row>
    <row r="16727" spans="1:8" ht="25.05" customHeight="1" x14ac:dyDescent="0.25">
      <c r="A16727" s="2" t="s">
        <v>8</v>
      </c>
      <c r="B16727" s="2" t="str">
        <f>HYPERLINK("http://ts.21cn.com/tousu/show/id/1348492","小浦优客未经同意扣款")</f>
        <v>小浦优客未经同意扣款</v>
      </c>
      <c r="C16727" s="2" t="s">
        <v>9</v>
      </c>
      <c r="D16727" s="2" t="s">
        <v>10</v>
      </c>
      <c r="E16727" s="2" t="str">
        <f>HYPERLINK("http://ts.21cn.com/tousu/show/id/1348492","http://ts.21cn.com/tousu/show/id/1348492")</f>
        <v>http://ts.21cn.com/tousu/show/id/1348492</v>
      </c>
      <c r="F16727" s="2" t="s">
        <v>11</v>
      </c>
      <c r="G16727" s="2" t="s">
        <v>11299</v>
      </c>
      <c r="H16727" s="2" t="s">
        <v>11300</v>
      </c>
    </row>
    <row r="16728" spans="1:8" ht="25.05" customHeight="1" x14ac:dyDescent="0.25">
      <c r="A16728" s="2" t="s">
        <v>8</v>
      </c>
      <c r="B16728" s="2" t="str">
        <f>HYPERLINK("http://ts.21cn.com/tousu/show/id/1348494","唯品会退差价")</f>
        <v>唯品会退差价</v>
      </c>
      <c r="C16728" s="2" t="s">
        <v>9</v>
      </c>
      <c r="D16728" s="2" t="s">
        <v>10</v>
      </c>
      <c r="E16728" s="2" t="str">
        <f>HYPERLINK("http://ts.21cn.com/tousu/show/id/1348494","http://ts.21cn.com/tousu/show/id/1348494")</f>
        <v>http://ts.21cn.com/tousu/show/id/1348494</v>
      </c>
      <c r="F16728" s="2" t="s">
        <v>11</v>
      </c>
      <c r="G16728" s="2" t="s">
        <v>11297</v>
      </c>
      <c r="H16728" s="2" t="s">
        <v>11298</v>
      </c>
    </row>
    <row r="16729" spans="1:8" ht="25.05" customHeight="1" x14ac:dyDescent="0.25">
      <c r="A16729" s="2" t="s">
        <v>8</v>
      </c>
      <c r="B16729" s="2" t="str">
        <f>HYPERLINK("http://ts.21cn.com/tousu/show/id/1348493","为这些不法分子提供支付通道，请求退款！")</f>
        <v>为这些不法分子提供支付通道，请求退款！</v>
      </c>
      <c r="C16729" s="2" t="s">
        <v>9</v>
      </c>
      <c r="D16729" s="2" t="s">
        <v>10</v>
      </c>
      <c r="E16729" s="2" t="str">
        <f>HYPERLINK("http://ts.21cn.com/tousu/show/id/1348493","http://ts.21cn.com/tousu/show/id/1348493")</f>
        <v>http://ts.21cn.com/tousu/show/id/1348493</v>
      </c>
      <c r="F16729" s="2" t="s">
        <v>11</v>
      </c>
      <c r="G16729" s="2" t="s">
        <v>11295</v>
      </c>
      <c r="H16729" s="2" t="s">
        <v>11296</v>
      </c>
    </row>
    <row r="16730" spans="1:8" ht="25.05" customHeight="1" x14ac:dyDescent="0.25">
      <c r="A16730" s="2" t="s">
        <v>8</v>
      </c>
      <c r="B16730" s="2" t="str">
        <f>HYPERLINK("http://ts.21cn.com/tousu/show/id/1348495","小浦优客乱扣费")</f>
        <v>小浦优客乱扣费</v>
      </c>
      <c r="C16730" s="2" t="s">
        <v>9</v>
      </c>
      <c r="D16730" s="2" t="s">
        <v>10</v>
      </c>
      <c r="E16730" s="2" t="str">
        <f>HYPERLINK("http://ts.21cn.com/tousu/show/id/1348495","http://ts.21cn.com/tousu/show/id/1348495")</f>
        <v>http://ts.21cn.com/tousu/show/id/1348495</v>
      </c>
      <c r="F16730" s="2" t="s">
        <v>11</v>
      </c>
      <c r="G16730" s="2" t="s">
        <v>11293</v>
      </c>
      <c r="H16730" s="2" t="s">
        <v>11294</v>
      </c>
    </row>
    <row r="16731" spans="1:8" ht="25.05" customHeight="1" x14ac:dyDescent="0.25">
      <c r="A16731" s="2" t="s">
        <v>8</v>
      </c>
      <c r="B16731" s="2" t="str">
        <f>HYPERLINK("http://ts.21cn.com/tousu/show/id/1348496","闪银平台还清贷款后冻结资金")</f>
        <v>闪银平台还清贷款后冻结资金</v>
      </c>
      <c r="C16731" s="2" t="s">
        <v>9</v>
      </c>
      <c r="D16731" s="2" t="s">
        <v>10</v>
      </c>
      <c r="E16731" s="2" t="str">
        <f>HYPERLINK("http://ts.21cn.com/tousu/show/id/1348496","http://ts.21cn.com/tousu/show/id/1348496")</f>
        <v>http://ts.21cn.com/tousu/show/id/1348496</v>
      </c>
      <c r="F16731" s="2" t="s">
        <v>11</v>
      </c>
      <c r="G16731" s="2" t="s">
        <v>11291</v>
      </c>
      <c r="H16731" s="2" t="s">
        <v>11292</v>
      </c>
    </row>
    <row r="16732" spans="1:8" ht="25.05" customHeight="1" x14ac:dyDescent="0.25">
      <c r="A16732" s="2" t="s">
        <v>8</v>
      </c>
      <c r="B16732" s="2" t="str">
        <f>HYPERLINK("http://ts.21cn.com/tousu/show/id/1326631","去花花违规强搭保险变相砍头息高利贷")</f>
        <v>去花花违规强搭保险变相砍头息高利贷</v>
      </c>
      <c r="C16732" s="2" t="s">
        <v>9</v>
      </c>
      <c r="D16732" s="2" t="s">
        <v>10</v>
      </c>
      <c r="E16732" s="2" t="str">
        <f>HYPERLINK("http://ts.21cn.com/tousu/show/id/1326631","http://ts.21cn.com/tousu/show/id/1326631")</f>
        <v>http://ts.21cn.com/tousu/show/id/1326631</v>
      </c>
      <c r="F16732" s="2" t="s">
        <v>11</v>
      </c>
      <c r="G16732" s="2" t="s">
        <v>11289</v>
      </c>
      <c r="H16732" s="2" t="s">
        <v>11290</v>
      </c>
    </row>
    <row r="16733" spans="1:8" ht="25.05" customHeight="1" x14ac:dyDescent="0.25">
      <c r="A16733" s="2" t="s">
        <v>8</v>
      </c>
      <c r="B16733" s="2" t="str">
        <f>HYPERLINK("http://ts.21cn.com/tousu/show/id/1348497","现金巴士在能够联系本人的情况下还爆通讯录")</f>
        <v>现金巴士在能够联系本人的情况下还爆通讯录</v>
      </c>
      <c r="C16733" s="2" t="s">
        <v>9</v>
      </c>
      <c r="D16733" s="2" t="s">
        <v>10</v>
      </c>
      <c r="E16733" s="2" t="str">
        <f>HYPERLINK("http://ts.21cn.com/tousu/show/id/1348497","http://ts.21cn.com/tousu/show/id/1348497")</f>
        <v>http://ts.21cn.com/tousu/show/id/1348497</v>
      </c>
      <c r="F16733" s="2" t="s">
        <v>11</v>
      </c>
      <c r="G16733" s="2" t="s">
        <v>11287</v>
      </c>
      <c r="H16733" s="2" t="s">
        <v>11288</v>
      </c>
    </row>
    <row r="16734" spans="1:8" ht="25.05" customHeight="1" x14ac:dyDescent="0.25">
      <c r="A16734" s="2" t="s">
        <v>8</v>
      </c>
      <c r="B16734" s="2" t="str">
        <f>HYPERLINK("http://ts.21cn.com/tousu/show/id/1348498","立借套路贷收取高额利息高利贷暴力催收")</f>
        <v>立借套路贷收取高额利息高利贷暴力催收</v>
      </c>
      <c r="C16734" s="2" t="s">
        <v>9</v>
      </c>
      <c r="D16734" s="2" t="s">
        <v>10</v>
      </c>
      <c r="E16734" s="2" t="str">
        <f>HYPERLINK("http://ts.21cn.com/tousu/show/id/1348498","http://ts.21cn.com/tousu/show/id/1348498")</f>
        <v>http://ts.21cn.com/tousu/show/id/1348498</v>
      </c>
      <c r="F16734" s="2" t="s">
        <v>11</v>
      </c>
      <c r="G16734" s="2" t="s">
        <v>11285</v>
      </c>
      <c r="H16734" s="2" t="s">
        <v>11286</v>
      </c>
    </row>
    <row r="16735" spans="1:8" ht="25.05" customHeight="1" x14ac:dyDescent="0.25">
      <c r="A16735" s="2" t="s">
        <v>8</v>
      </c>
      <c r="B16735" s="2" t="str">
        <f>HYPERLINK("http://ts.21cn.com/tousu/show/id/1348499","分期鸭无法还款，APP也打不开，联系不到客服")</f>
        <v>分期鸭无法还款，APP也打不开，联系不到客服</v>
      </c>
      <c r="C16735" s="2" t="s">
        <v>9</v>
      </c>
      <c r="D16735" s="2" t="s">
        <v>10</v>
      </c>
      <c r="E16735" s="2" t="str">
        <f>HYPERLINK("http://ts.21cn.com/tousu/show/id/1348499","http://ts.21cn.com/tousu/show/id/1348499")</f>
        <v>http://ts.21cn.com/tousu/show/id/1348499</v>
      </c>
      <c r="F16735" s="2" t="s">
        <v>11</v>
      </c>
      <c r="G16735" s="2" t="s">
        <v>11283</v>
      </c>
      <c r="H16735" s="2" t="s">
        <v>11284</v>
      </c>
    </row>
    <row r="16736" spans="1:8" ht="25.05" customHeight="1" x14ac:dyDescent="0.25">
      <c r="A16736" s="2" t="s">
        <v>8</v>
      </c>
      <c r="B16736" s="2" t="str">
        <f>HYPERLINK("http://ts.21cn.com/tousu/show/id/1348500","火影帮暴力催收")</f>
        <v>火影帮暴力催收</v>
      </c>
      <c r="C16736" s="2" t="s">
        <v>9</v>
      </c>
      <c r="D16736" s="2" t="s">
        <v>10</v>
      </c>
      <c r="E16736" s="2" t="str">
        <f>HYPERLINK("http://ts.21cn.com/tousu/show/id/1348500","http://ts.21cn.com/tousu/show/id/1348500")</f>
        <v>http://ts.21cn.com/tousu/show/id/1348500</v>
      </c>
      <c r="F16736" s="2" t="s">
        <v>11</v>
      </c>
      <c r="G16736" s="2" t="s">
        <v>11281</v>
      </c>
      <c r="H16736" s="2" t="s">
        <v>11282</v>
      </c>
    </row>
    <row r="16737" spans="1:8" ht="25.05" customHeight="1" x14ac:dyDescent="0.25">
      <c r="A16737" s="2" t="s">
        <v>8</v>
      </c>
      <c r="B16737" s="2" t="str">
        <f>HYPERLINK("http://ts.21cn.com/tousu/show/id/1348502","交易猫退款")</f>
        <v>交易猫退款</v>
      </c>
      <c r="C16737" s="2" t="s">
        <v>34</v>
      </c>
      <c r="D16737" s="2" t="s">
        <v>10</v>
      </c>
      <c r="E16737" s="2" t="str">
        <f>HYPERLINK("http://ts.21cn.com/tousu/show/id/1348502","http://ts.21cn.com/tousu/show/id/1348502")</f>
        <v>http://ts.21cn.com/tousu/show/id/1348502</v>
      </c>
      <c r="F16737" s="2" t="s">
        <v>11</v>
      </c>
      <c r="G16737" s="2" t="s">
        <v>11279</v>
      </c>
      <c r="H16737" s="2" t="s">
        <v>11280</v>
      </c>
    </row>
    <row r="16738" spans="1:8" ht="25.05" customHeight="1" x14ac:dyDescent="0.25">
      <c r="A16738" s="2" t="s">
        <v>8</v>
      </c>
      <c r="B16738" s="2" t="str">
        <f>HYPERLINK("http://ts.21cn.com/tousu/show/id/1348501","小象优品新浪分期套路贷砍头息骚扰通讯录")</f>
        <v>小象优品新浪分期套路贷砍头息骚扰通讯录</v>
      </c>
      <c r="C16738" s="2" t="s">
        <v>9</v>
      </c>
      <c r="D16738" s="2" t="s">
        <v>10</v>
      </c>
      <c r="E16738" s="2" t="str">
        <f>HYPERLINK("http://ts.21cn.com/tousu/show/id/1348501","http://ts.21cn.com/tousu/show/id/1348501")</f>
        <v>http://ts.21cn.com/tousu/show/id/1348501</v>
      </c>
      <c r="F16738" s="2" t="s">
        <v>11</v>
      </c>
      <c r="G16738" s="2" t="s">
        <v>11277</v>
      </c>
      <c r="H16738" s="2" t="s">
        <v>11278</v>
      </c>
    </row>
    <row r="16739" spans="1:8" ht="25.05" customHeight="1" x14ac:dyDescent="0.25">
      <c r="A16739" s="2" t="s">
        <v>8</v>
      </c>
      <c r="B16739" s="2" t="str">
        <f>HYPERLINK("http://ts.21cn.com/tousu/show/id/1348503","钱站高利贷阴阳合同")</f>
        <v>钱站高利贷阴阳合同</v>
      </c>
      <c r="C16739" s="2" t="s">
        <v>9</v>
      </c>
      <c r="D16739" s="2" t="s">
        <v>10</v>
      </c>
      <c r="E16739" s="2" t="str">
        <f>HYPERLINK("http://ts.21cn.com/tousu/show/id/1348503","http://ts.21cn.com/tousu/show/id/1348503")</f>
        <v>http://ts.21cn.com/tousu/show/id/1348503</v>
      </c>
      <c r="F16739" s="2" t="s">
        <v>11</v>
      </c>
      <c r="G16739" s="2" t="s">
        <v>11275</v>
      </c>
      <c r="H16739" s="2" t="s">
        <v>11276</v>
      </c>
    </row>
    <row r="16740" spans="1:8" ht="25.05" customHeight="1" x14ac:dyDescent="0.25">
      <c r="A16740" s="2" t="s">
        <v>8</v>
      </c>
      <c r="B16740" s="2" t="str">
        <f>HYPERLINK("http://ts.21cn.com/tousu/show/id/1348505","我来贷暴力催收")</f>
        <v>我来贷暴力催收</v>
      </c>
      <c r="C16740" s="2" t="s">
        <v>9</v>
      </c>
      <c r="D16740" s="2" t="s">
        <v>10</v>
      </c>
      <c r="E16740" s="2" t="str">
        <f>HYPERLINK("http://ts.21cn.com/tousu/show/id/1348505","http://ts.21cn.com/tousu/show/id/1348505")</f>
        <v>http://ts.21cn.com/tousu/show/id/1348505</v>
      </c>
      <c r="F16740" s="2" t="s">
        <v>11</v>
      </c>
      <c r="G16740" s="2" t="s">
        <v>11273</v>
      </c>
      <c r="H16740" s="2" t="s">
        <v>11274</v>
      </c>
    </row>
    <row r="16741" spans="1:8" ht="25.05" customHeight="1" x14ac:dyDescent="0.25">
      <c r="A16741" s="2" t="s">
        <v>8</v>
      </c>
      <c r="B16741" s="2" t="str">
        <f>HYPERLINK("http://ts.21cn.com/tousu/show/id/1348506","闪银威胁恐吓影响名誉")</f>
        <v>闪银威胁恐吓影响名誉</v>
      </c>
      <c r="C16741" s="2" t="s">
        <v>9</v>
      </c>
      <c r="D16741" s="2" t="s">
        <v>10</v>
      </c>
      <c r="E16741" s="2" t="str">
        <f>HYPERLINK("http://ts.21cn.com/tousu/show/id/1348506","http://ts.21cn.com/tousu/show/id/1348506")</f>
        <v>http://ts.21cn.com/tousu/show/id/1348506</v>
      </c>
      <c r="F16741" s="2" t="s">
        <v>11</v>
      </c>
      <c r="G16741" s="2" t="s">
        <v>11271</v>
      </c>
      <c r="H16741" s="2" t="s">
        <v>11272</v>
      </c>
    </row>
    <row r="16742" spans="1:8" ht="25.05" customHeight="1" x14ac:dyDescent="0.25">
      <c r="A16742" s="2" t="s">
        <v>8</v>
      </c>
      <c r="B16742" s="2" t="str">
        <f>HYPERLINK("http://ts.21cn.com/tousu/show/id/1348508","闪银平台对公还款后任然进行催收，性情恶劣")</f>
        <v>闪银平台对公还款后任然进行催收，性情恶劣</v>
      </c>
      <c r="C16742" s="2" t="s">
        <v>9</v>
      </c>
      <c r="D16742" s="2" t="s">
        <v>10</v>
      </c>
      <c r="E16742" s="2" t="str">
        <f>HYPERLINK("http://ts.21cn.com/tousu/show/id/1348508","http://ts.21cn.com/tousu/show/id/1348508")</f>
        <v>http://ts.21cn.com/tousu/show/id/1348508</v>
      </c>
      <c r="F16742" s="2" t="s">
        <v>11</v>
      </c>
      <c r="G16742" s="2" t="s">
        <v>11269</v>
      </c>
      <c r="H16742" s="2" t="s">
        <v>11270</v>
      </c>
    </row>
    <row r="16743" spans="1:8" ht="25.05" customHeight="1" x14ac:dyDescent="0.25">
      <c r="A16743" s="2" t="s">
        <v>8</v>
      </c>
      <c r="B16743" s="2" t="str">
        <f>HYPERLINK("http://ts.21cn.com/tousu/show/id/1348509","及贷砍头息和爆通讯录")</f>
        <v>及贷砍头息和爆通讯录</v>
      </c>
      <c r="C16743" s="2" t="s">
        <v>9</v>
      </c>
      <c r="D16743" s="2" t="s">
        <v>10</v>
      </c>
      <c r="E16743" s="2" t="str">
        <f>HYPERLINK("http://ts.21cn.com/tousu/show/id/1348509","http://ts.21cn.com/tousu/show/id/1348509")</f>
        <v>http://ts.21cn.com/tousu/show/id/1348509</v>
      </c>
      <c r="F16743" s="2" t="s">
        <v>11</v>
      </c>
      <c r="G16743" s="2" t="s">
        <v>11267</v>
      </c>
      <c r="H16743" s="2" t="s">
        <v>11268</v>
      </c>
    </row>
    <row r="16744" spans="1:8" ht="25.05" customHeight="1" x14ac:dyDescent="0.25">
      <c r="A16744" s="2" t="s">
        <v>8</v>
      </c>
      <c r="B16744" s="2" t="str">
        <f>HYPERLINK("http://ts.21cn.com/tousu/show/id/1348510","小浦优客乱扣费")</f>
        <v>小浦优客乱扣费</v>
      </c>
      <c r="C16744" s="2" t="s">
        <v>9</v>
      </c>
      <c r="D16744" s="2" t="s">
        <v>10</v>
      </c>
      <c r="E16744" s="2" t="str">
        <f>HYPERLINK("http://ts.21cn.com/tousu/show/id/1348510","http://ts.21cn.com/tousu/show/id/1348510")</f>
        <v>http://ts.21cn.com/tousu/show/id/1348510</v>
      </c>
      <c r="F16744" s="2" t="s">
        <v>11</v>
      </c>
      <c r="G16744" s="2" t="s">
        <v>11265</v>
      </c>
      <c r="H16744" s="2" t="s">
        <v>11266</v>
      </c>
    </row>
    <row r="16745" spans="1:8" ht="25.05" customHeight="1" x14ac:dyDescent="0.25">
      <c r="A16745" s="2" t="s">
        <v>8</v>
      </c>
      <c r="B16745" s="2" t="str">
        <f>HYPERLINK("http://ts.21cn.com/tousu/show/id/1348511","速金服阴阳合同高利贷")</f>
        <v>速金服阴阳合同高利贷</v>
      </c>
      <c r="C16745" s="2" t="s">
        <v>9</v>
      </c>
      <c r="D16745" s="2" t="s">
        <v>10</v>
      </c>
      <c r="E16745" s="2" t="str">
        <f>HYPERLINK("http://ts.21cn.com/tousu/show/id/1348511","http://ts.21cn.com/tousu/show/id/1348511")</f>
        <v>http://ts.21cn.com/tousu/show/id/1348511</v>
      </c>
      <c r="F16745" s="2" t="s">
        <v>11</v>
      </c>
      <c r="G16745" s="2" t="s">
        <v>11263</v>
      </c>
      <c r="H16745" s="2" t="s">
        <v>11264</v>
      </c>
    </row>
    <row r="16746" spans="1:8" ht="25.05" customHeight="1" x14ac:dyDescent="0.25">
      <c r="A16746" s="2" t="s">
        <v>8</v>
      </c>
      <c r="B16746" s="2" t="str">
        <f>HYPERLINK("http://ts.21cn.com/tousu/show/id/1348512","云享分期恶意扣款")</f>
        <v>云享分期恶意扣款</v>
      </c>
      <c r="C16746" s="2" t="s">
        <v>9</v>
      </c>
      <c r="D16746" s="2" t="s">
        <v>10</v>
      </c>
      <c r="E16746" s="2" t="str">
        <f>HYPERLINK("http://ts.21cn.com/tousu/show/id/1348512","http://ts.21cn.com/tousu/show/id/1348512")</f>
        <v>http://ts.21cn.com/tousu/show/id/1348512</v>
      </c>
      <c r="F16746" s="2" t="s">
        <v>11</v>
      </c>
      <c r="G16746" s="2" t="s">
        <v>11261</v>
      </c>
      <c r="H16746" s="2" t="s">
        <v>11262</v>
      </c>
    </row>
    <row r="16747" spans="1:8" ht="25.05" customHeight="1" x14ac:dyDescent="0.25">
      <c r="A16747" s="2" t="s">
        <v>8</v>
      </c>
      <c r="B16747" s="2" t="str">
        <f>HYPERLINK("http://ts.21cn.com/tousu/show/id/1348513","小鹅袋深夜骚扰家人")</f>
        <v>小鹅袋深夜骚扰家人</v>
      </c>
      <c r="C16747" s="2" t="s">
        <v>9</v>
      </c>
      <c r="D16747" s="2" t="s">
        <v>10</v>
      </c>
      <c r="E16747" s="2" t="str">
        <f>HYPERLINK("http://ts.21cn.com/tousu/show/id/1348513","http://ts.21cn.com/tousu/show/id/1348513")</f>
        <v>http://ts.21cn.com/tousu/show/id/1348513</v>
      </c>
      <c r="F16747" s="2" t="s">
        <v>11</v>
      </c>
      <c r="G16747" s="2" t="s">
        <v>11259</v>
      </c>
      <c r="H16747" s="2" t="s">
        <v>11260</v>
      </c>
    </row>
    <row r="16748" spans="1:8" ht="25.05" customHeight="1" x14ac:dyDescent="0.25">
      <c r="A16748" s="2" t="s">
        <v>8</v>
      </c>
      <c r="B16748" s="2" t="str">
        <f>HYPERLINK("http://ts.21cn.com/tousu/show/id/1348514","两次退款，第二次不受理退款")</f>
        <v>两次退款，第二次不受理退款</v>
      </c>
      <c r="C16748" s="2" t="s">
        <v>9</v>
      </c>
      <c r="D16748" s="2" t="s">
        <v>10</v>
      </c>
      <c r="E16748" s="2" t="str">
        <f>HYPERLINK("http://ts.21cn.com/tousu/show/id/1348514","http://ts.21cn.com/tousu/show/id/1348514")</f>
        <v>http://ts.21cn.com/tousu/show/id/1348514</v>
      </c>
      <c r="F16748" s="2" t="s">
        <v>11</v>
      </c>
      <c r="G16748" s="2" t="s">
        <v>11257</v>
      </c>
      <c r="H16748" s="2" t="s">
        <v>11258</v>
      </c>
    </row>
    <row r="16749" spans="1:8" ht="25.05" customHeight="1" x14ac:dyDescent="0.25">
      <c r="A16749" s="2" t="s">
        <v>8</v>
      </c>
      <c r="B16749" s="2" t="str">
        <f>HYPERLINK("http://ts.21cn.com/tousu/show/id/1348515","还呗没有电话就直接扣款")</f>
        <v>还呗没有电话就直接扣款</v>
      </c>
      <c r="C16749" s="2" t="s">
        <v>34</v>
      </c>
      <c r="D16749" s="2" t="s">
        <v>10</v>
      </c>
      <c r="E16749" s="2" t="str">
        <f>HYPERLINK("http://ts.21cn.com/tousu/show/id/1348515","http://ts.21cn.com/tousu/show/id/1348515")</f>
        <v>http://ts.21cn.com/tousu/show/id/1348515</v>
      </c>
      <c r="F16749" s="2" t="s">
        <v>11</v>
      </c>
      <c r="G16749" s="2" t="s">
        <v>11255</v>
      </c>
      <c r="H16749" s="2" t="s">
        <v>11256</v>
      </c>
    </row>
    <row r="16750" spans="1:8" ht="25.05" customHeight="1" x14ac:dyDescent="0.25">
      <c r="A16750" s="2" t="s">
        <v>8</v>
      </c>
      <c r="B16750" s="2" t="str">
        <f>HYPERLINK("http://ts.21cn.com/tousu/show/id/1348516","闪银平台暴力催收，态度恶劣")</f>
        <v>闪银平台暴力催收，态度恶劣</v>
      </c>
      <c r="C16750" s="2" t="s">
        <v>9</v>
      </c>
      <c r="D16750" s="2" t="s">
        <v>10</v>
      </c>
      <c r="E16750" s="2" t="str">
        <f>HYPERLINK("http://ts.21cn.com/tousu/show/id/1348516","http://ts.21cn.com/tousu/show/id/1348516")</f>
        <v>http://ts.21cn.com/tousu/show/id/1348516</v>
      </c>
      <c r="F16750" s="2" t="s">
        <v>11</v>
      </c>
      <c r="G16750" s="2" t="s">
        <v>11253</v>
      </c>
      <c r="H16750" s="2" t="s">
        <v>11254</v>
      </c>
    </row>
    <row r="16751" spans="1:8" ht="25.05" customHeight="1" x14ac:dyDescent="0.25">
      <c r="A16751" s="2" t="s">
        <v>8</v>
      </c>
      <c r="B16751" s="2" t="str">
        <f>HYPERLINK("http://ts.21cn.com/tousu/show/id/1348517","你我贷高额服务费")</f>
        <v>你我贷高额服务费</v>
      </c>
      <c r="C16751" s="2" t="s">
        <v>9</v>
      </c>
      <c r="D16751" s="2" t="s">
        <v>10</v>
      </c>
      <c r="E16751" s="2" t="str">
        <f>HYPERLINK("http://ts.21cn.com/tousu/show/id/1348517","http://ts.21cn.com/tousu/show/id/1348517")</f>
        <v>http://ts.21cn.com/tousu/show/id/1348517</v>
      </c>
      <c r="F16751" s="2" t="s">
        <v>11</v>
      </c>
      <c r="G16751" s="2" t="s">
        <v>11251</v>
      </c>
      <c r="H16751" s="2" t="s">
        <v>11252</v>
      </c>
    </row>
    <row r="16752" spans="1:8" ht="25.05" customHeight="1" x14ac:dyDescent="0.25">
      <c r="A16752" s="2" t="s">
        <v>8</v>
      </c>
      <c r="B16752" s="2" t="str">
        <f>HYPERLINK("http://ts.21cn.com/tousu/show/id/1348518","没人性催收侮辱讽刺")</f>
        <v>没人性催收侮辱讽刺</v>
      </c>
      <c r="C16752" s="2" t="s">
        <v>9</v>
      </c>
      <c r="D16752" s="2" t="s">
        <v>10</v>
      </c>
      <c r="E16752" s="2" t="str">
        <f>HYPERLINK("http://ts.21cn.com/tousu/show/id/1348518","http://ts.21cn.com/tousu/show/id/1348518")</f>
        <v>http://ts.21cn.com/tousu/show/id/1348518</v>
      </c>
      <c r="F16752" s="2" t="s">
        <v>11</v>
      </c>
      <c r="G16752" s="2" t="s">
        <v>11249</v>
      </c>
      <c r="H16752" s="2" t="s">
        <v>11250</v>
      </c>
    </row>
    <row r="16753" spans="1:8" ht="25.05" customHeight="1" x14ac:dyDescent="0.25">
      <c r="A16753" s="2" t="s">
        <v>8</v>
      </c>
      <c r="B16753" s="2" t="str">
        <f>HYPERLINK("http://ts.21cn.com/tousu/show/id/1348519","钱站拍拍贷高利爆通讯录")</f>
        <v>钱站拍拍贷高利爆通讯录</v>
      </c>
      <c r="C16753" s="2" t="s">
        <v>9</v>
      </c>
      <c r="D16753" s="2" t="s">
        <v>10</v>
      </c>
      <c r="E16753" s="2" t="str">
        <f>HYPERLINK("http://ts.21cn.com/tousu/show/id/1348519","http://ts.21cn.com/tousu/show/id/1348519")</f>
        <v>http://ts.21cn.com/tousu/show/id/1348519</v>
      </c>
      <c r="F16753" s="2" t="s">
        <v>11</v>
      </c>
      <c r="G16753" s="2" t="s">
        <v>11247</v>
      </c>
      <c r="H16753" s="2" t="s">
        <v>11248</v>
      </c>
    </row>
    <row r="16754" spans="1:8" ht="25.05" customHeight="1" x14ac:dyDescent="0.25">
      <c r="A16754" s="2" t="s">
        <v>8</v>
      </c>
      <c r="B16754" s="2" t="str">
        <f>HYPERLINK("http://ts.21cn.com/tousu/show/id/1348520","淘宝限制了我支付功能")</f>
        <v>淘宝限制了我支付功能</v>
      </c>
      <c r="C16754" s="2" t="s">
        <v>9</v>
      </c>
      <c r="D16754" s="2" t="s">
        <v>10</v>
      </c>
      <c r="E16754" s="2" t="str">
        <f>HYPERLINK("http://ts.21cn.com/tousu/show/id/1348520","http://ts.21cn.com/tousu/show/id/1348520")</f>
        <v>http://ts.21cn.com/tousu/show/id/1348520</v>
      </c>
      <c r="F16754" s="2" t="s">
        <v>11</v>
      </c>
      <c r="G16754" s="2" t="s">
        <v>11245</v>
      </c>
      <c r="H16754" s="2" t="s">
        <v>11246</v>
      </c>
    </row>
    <row r="16755" spans="1:8" ht="25.05" customHeight="1" x14ac:dyDescent="0.25">
      <c r="A16755" s="2" t="s">
        <v>8</v>
      </c>
      <c r="B16755" s="2" t="str">
        <f>HYPERLINK("http://ts.21cn.com/tousu/show/id/1348521","连连银通电子支付有限公司还我血汗钱")</f>
        <v>连连银通电子支付有限公司还我血汗钱</v>
      </c>
      <c r="C16755" s="2" t="s">
        <v>9</v>
      </c>
      <c r="D16755" s="2" t="s">
        <v>10</v>
      </c>
      <c r="E16755" s="2" t="str">
        <f>HYPERLINK("http://ts.21cn.com/tousu/show/id/1348521","http://ts.21cn.com/tousu/show/id/1348521")</f>
        <v>http://ts.21cn.com/tousu/show/id/1348521</v>
      </c>
      <c r="F16755" s="2" t="s">
        <v>11</v>
      </c>
      <c r="G16755" s="2" t="s">
        <v>11243</v>
      </c>
      <c r="H16755" s="2" t="s">
        <v>11244</v>
      </c>
    </row>
    <row r="16756" spans="1:8" ht="25.05" customHeight="1" x14ac:dyDescent="0.25">
      <c r="A16756" s="2" t="s">
        <v>8</v>
      </c>
      <c r="B16756" s="2" t="str">
        <f>HYPERLINK("http://ts.21cn.com/tousu/show/id/1348522","交易猫退款失败")</f>
        <v>交易猫退款失败</v>
      </c>
      <c r="C16756" s="2" t="s">
        <v>34</v>
      </c>
      <c r="D16756" s="2" t="s">
        <v>10</v>
      </c>
      <c r="E16756" s="2" t="str">
        <f>HYPERLINK("http://ts.21cn.com/tousu/show/id/1348522","http://ts.21cn.com/tousu/show/id/1348522")</f>
        <v>http://ts.21cn.com/tousu/show/id/1348522</v>
      </c>
      <c r="F16756" s="2" t="s">
        <v>11</v>
      </c>
      <c r="G16756" s="2" t="s">
        <v>11241</v>
      </c>
      <c r="H16756" s="2" t="s">
        <v>11242</v>
      </c>
    </row>
    <row r="16757" spans="1:8" ht="25.05" customHeight="1" x14ac:dyDescent="0.25">
      <c r="A16757" s="2" t="s">
        <v>8</v>
      </c>
      <c r="B16757" s="2" t="str">
        <f>HYPERLINK("http://ts.21cn.com/tousu/show/id/1348523","约单软件需要服务要充值200诚意金我没有成交现在钱只能退到账户上提现不出来")</f>
        <v>约单软件需要服务要充值200诚意金我没有成交现在钱只能退到账户上提现不出来</v>
      </c>
      <c r="C16757" s="2" t="s">
        <v>9</v>
      </c>
      <c r="D16757" s="2" t="s">
        <v>10</v>
      </c>
      <c r="E16757" s="2" t="str">
        <f>HYPERLINK("http://ts.21cn.com/tousu/show/id/1348523","http://ts.21cn.com/tousu/show/id/1348523")</f>
        <v>http://ts.21cn.com/tousu/show/id/1348523</v>
      </c>
      <c r="F16757" s="2" t="s">
        <v>11</v>
      </c>
      <c r="G16757" s="2" t="s">
        <v>11239</v>
      </c>
      <c r="H16757" s="2" t="s">
        <v>11240</v>
      </c>
    </row>
    <row r="16758" spans="1:8" ht="25.05" customHeight="1" x14ac:dyDescent="0.25">
      <c r="A16758" s="2" t="s">
        <v>8</v>
      </c>
      <c r="B16758" s="2" t="str">
        <f>HYPERLINK("http://ts.21cn.com/tousu/show/id/1348524","交易猫退款失败")</f>
        <v>交易猫退款失败</v>
      </c>
      <c r="C16758" s="2" t="s">
        <v>34</v>
      </c>
      <c r="D16758" s="2" t="s">
        <v>10</v>
      </c>
      <c r="E16758" s="2" t="str">
        <f>HYPERLINK("http://ts.21cn.com/tousu/show/id/1348524","http://ts.21cn.com/tousu/show/id/1348524")</f>
        <v>http://ts.21cn.com/tousu/show/id/1348524</v>
      </c>
      <c r="F16758" s="2" t="s">
        <v>11</v>
      </c>
      <c r="G16758" s="2" t="s">
        <v>11237</v>
      </c>
      <c r="H16758" s="2" t="s">
        <v>11238</v>
      </c>
    </row>
    <row r="16759" spans="1:8" ht="25.05" customHeight="1" x14ac:dyDescent="0.25">
      <c r="A16759" s="2" t="s">
        <v>8</v>
      </c>
      <c r="B16759" s="2" t="str">
        <f>HYPERLINK("http://ts.21cn.com/tousu/show/id/1348527","无故清零推广佣金")</f>
        <v>无故清零推广佣金</v>
      </c>
      <c r="C16759" s="2" t="s">
        <v>9</v>
      </c>
      <c r="D16759" s="2" t="s">
        <v>10</v>
      </c>
      <c r="E16759" s="2" t="str">
        <f>HYPERLINK("http://ts.21cn.com/tousu/show/id/1348527","http://ts.21cn.com/tousu/show/id/1348527")</f>
        <v>http://ts.21cn.com/tousu/show/id/1348527</v>
      </c>
      <c r="F16759" s="2" t="s">
        <v>11</v>
      </c>
      <c r="G16759" s="2" t="s">
        <v>11235</v>
      </c>
      <c r="H16759" s="2" t="s">
        <v>11236</v>
      </c>
    </row>
    <row r="16760" spans="1:8" ht="25.05" customHeight="1" x14ac:dyDescent="0.25">
      <c r="A16760" s="2" t="s">
        <v>8</v>
      </c>
      <c r="B16760" s="2" t="str">
        <f>HYPERLINK("http://ts.21cn.com/tousu/show/id/1348525","本人投诉杉德支付为非法境外博彩平台提供现现金充值通道")</f>
        <v>本人投诉杉德支付为非法境外博彩平台提供现现金充值通道</v>
      </c>
      <c r="C16760" s="2" t="s">
        <v>9</v>
      </c>
      <c r="D16760" s="2" t="s">
        <v>10</v>
      </c>
      <c r="E16760" s="2" t="str">
        <f>HYPERLINK("http://ts.21cn.com/tousu/show/id/1348525","http://ts.21cn.com/tousu/show/id/1348525")</f>
        <v>http://ts.21cn.com/tousu/show/id/1348525</v>
      </c>
      <c r="F16760" s="2" t="s">
        <v>11</v>
      </c>
      <c r="G16760" s="2" t="s">
        <v>11233</v>
      </c>
      <c r="H16760" s="2" t="s">
        <v>11234</v>
      </c>
    </row>
    <row r="16761" spans="1:8" ht="25.05" customHeight="1" x14ac:dyDescent="0.25">
      <c r="A16761" s="2" t="s">
        <v>8</v>
      </c>
      <c r="B16761" s="2" t="str">
        <f>HYPERLINK("http://ts.21cn.com/tousu/show/id/1348526","小花钱包暴力催收，提前还款不免息")</f>
        <v>小花钱包暴力催收，提前还款不免息</v>
      </c>
      <c r="C16761" s="2" t="s">
        <v>9</v>
      </c>
      <c r="D16761" s="2" t="s">
        <v>10</v>
      </c>
      <c r="E16761" s="2" t="str">
        <f>HYPERLINK("http://ts.21cn.com/tousu/show/id/1348526","http://ts.21cn.com/tousu/show/id/1348526")</f>
        <v>http://ts.21cn.com/tousu/show/id/1348526</v>
      </c>
      <c r="F16761" s="2" t="s">
        <v>11</v>
      </c>
      <c r="G16761" s="2" t="s">
        <v>11231</v>
      </c>
      <c r="H16761" s="2" t="s">
        <v>11232</v>
      </c>
    </row>
    <row r="16762" spans="1:8" ht="25.05" customHeight="1" x14ac:dyDescent="0.25">
      <c r="A16762" s="2" t="s">
        <v>8</v>
      </c>
      <c r="B16762" s="2" t="str">
        <f>HYPERLINK("http://ts.21cn.com/tousu/show/id/1348530","闪银不给结清证明")</f>
        <v>闪银不给结清证明</v>
      </c>
      <c r="C16762" s="2" t="s">
        <v>9</v>
      </c>
      <c r="D16762" s="2" t="s">
        <v>10</v>
      </c>
      <c r="E16762" s="2" t="str">
        <f>HYPERLINK("http://ts.21cn.com/tousu/show/id/1348530","http://ts.21cn.com/tousu/show/id/1348530")</f>
        <v>http://ts.21cn.com/tousu/show/id/1348530</v>
      </c>
      <c r="F16762" s="2" t="s">
        <v>11</v>
      </c>
      <c r="G16762" s="2" t="s">
        <v>11229</v>
      </c>
      <c r="H16762" s="2" t="s">
        <v>11230</v>
      </c>
    </row>
    <row r="16763" spans="1:8" ht="25.05" customHeight="1" x14ac:dyDescent="0.25">
      <c r="A16763" s="2" t="s">
        <v>8</v>
      </c>
      <c r="B16763" s="2" t="str">
        <f>HYPERLINK("http://ts.21cn.com/tousu/show/id/1348528","及贷逾期3天催收人员暴力催收")</f>
        <v>及贷逾期3天催收人员暴力催收</v>
      </c>
      <c r="C16763" s="2" t="s">
        <v>9</v>
      </c>
      <c r="D16763" s="2" t="s">
        <v>10</v>
      </c>
      <c r="E16763" s="2" t="str">
        <f>HYPERLINK("http://ts.21cn.com/tousu/show/id/1348528","http://ts.21cn.com/tousu/show/id/1348528")</f>
        <v>http://ts.21cn.com/tousu/show/id/1348528</v>
      </c>
      <c r="F16763" s="2" t="s">
        <v>11</v>
      </c>
      <c r="G16763" s="2" t="s">
        <v>11226</v>
      </c>
      <c r="H16763" s="2" t="s">
        <v>11227</v>
      </c>
    </row>
    <row r="16764" spans="1:8" ht="25.05" customHeight="1" x14ac:dyDescent="0.25">
      <c r="A16764" s="2" t="s">
        <v>8</v>
      </c>
      <c r="B16764" s="2" t="str">
        <f>HYPERLINK("http://ts.21cn.com/tousu/show/id/1348529","恶意催收高额利息")</f>
        <v>恶意催收高额利息</v>
      </c>
      <c r="C16764" s="2" t="s">
        <v>9</v>
      </c>
      <c r="D16764" s="2" t="s">
        <v>10</v>
      </c>
      <c r="E16764" s="2" t="str">
        <f>HYPERLINK("http://ts.21cn.com/tousu/show/id/1348529","http://ts.21cn.com/tousu/show/id/1348529")</f>
        <v>http://ts.21cn.com/tousu/show/id/1348529</v>
      </c>
      <c r="F16764" s="2" t="s">
        <v>11</v>
      </c>
      <c r="G16764" s="2" t="s">
        <v>11226</v>
      </c>
      <c r="H16764" s="2" t="s">
        <v>11228</v>
      </c>
    </row>
    <row r="16765" spans="1:8" ht="25.05" customHeight="1" x14ac:dyDescent="0.25">
      <c r="A16765" s="2" t="s">
        <v>8</v>
      </c>
      <c r="B16765" s="2" t="str">
        <f>HYPERLINK("http://ts.21cn.com/tousu/show/id/1348531","闪银平台雇佣社会人员非法上门对借款人进行非法行为")</f>
        <v>闪银平台雇佣社会人员非法上门对借款人进行非法行为</v>
      </c>
      <c r="C16765" s="2" t="s">
        <v>9</v>
      </c>
      <c r="D16765" s="2" t="s">
        <v>10</v>
      </c>
      <c r="E16765" s="2" t="str">
        <f>HYPERLINK("http://ts.21cn.com/tousu/show/id/1348531","http://ts.21cn.com/tousu/show/id/1348531")</f>
        <v>http://ts.21cn.com/tousu/show/id/1348531</v>
      </c>
      <c r="F16765" s="2" t="s">
        <v>11</v>
      </c>
      <c r="G16765" s="2" t="s">
        <v>11224</v>
      </c>
      <c r="H16765" s="2" t="s">
        <v>11225</v>
      </c>
    </row>
    <row r="16766" spans="1:8" ht="25.05" customHeight="1" x14ac:dyDescent="0.25">
      <c r="A16766" s="2" t="s">
        <v>8</v>
      </c>
      <c r="B16766" s="2" t="str">
        <f>HYPERLINK("http://ts.21cn.com/tousu/show/id/1348532","引导购置学堂学员")</f>
        <v>引导购置学堂学员</v>
      </c>
      <c r="C16766" s="2" t="s">
        <v>34</v>
      </c>
      <c r="D16766" s="2" t="s">
        <v>10</v>
      </c>
      <c r="E16766" s="2" t="str">
        <f>HYPERLINK("http://ts.21cn.com/tousu/show/id/1348532","http://ts.21cn.com/tousu/show/id/1348532")</f>
        <v>http://ts.21cn.com/tousu/show/id/1348532</v>
      </c>
      <c r="F16766" s="2" t="s">
        <v>11</v>
      </c>
      <c r="G16766" s="2" t="s">
        <v>11223</v>
      </c>
      <c r="H16766" s="2" t="s">
        <v>6539</v>
      </c>
    </row>
    <row r="16767" spans="1:8" ht="25.05" customHeight="1" x14ac:dyDescent="0.25">
      <c r="A16767" s="2" t="s">
        <v>8</v>
      </c>
      <c r="B16767" s="2" t="str">
        <f>HYPERLINK("http://ts.21cn.com/tousu/show/id/1348533","凡普信贷收取高额手续费，并以老友计划签订阴阳合同")</f>
        <v>凡普信贷收取高额手续费，并以老友计划签订阴阳合同</v>
      </c>
      <c r="C16767" s="2" t="s">
        <v>9</v>
      </c>
      <c r="D16767" s="2" t="s">
        <v>10</v>
      </c>
      <c r="E16767" s="2" t="str">
        <f>HYPERLINK("http://ts.21cn.com/tousu/show/id/1348533","http://ts.21cn.com/tousu/show/id/1348533")</f>
        <v>http://ts.21cn.com/tousu/show/id/1348533</v>
      </c>
      <c r="F16767" s="2" t="s">
        <v>11</v>
      </c>
      <c r="G16767" s="2" t="s">
        <v>11221</v>
      </c>
      <c r="H16767" s="2" t="s">
        <v>11222</v>
      </c>
    </row>
    <row r="16768" spans="1:8" ht="25.05" customHeight="1" x14ac:dyDescent="0.25">
      <c r="A16768" s="2" t="s">
        <v>8</v>
      </c>
      <c r="B16768" s="2" t="str">
        <f>HYPERLINK("http://ts.21cn.com/tousu/show/id/1348534","请中信银行向我道歉")</f>
        <v>请中信银行向我道歉</v>
      </c>
      <c r="C16768" s="2" t="s">
        <v>9</v>
      </c>
      <c r="D16768" s="2" t="s">
        <v>10</v>
      </c>
      <c r="E16768" s="2" t="str">
        <f>HYPERLINK("http://ts.21cn.com/tousu/show/id/1348534","http://ts.21cn.com/tousu/show/id/1348534")</f>
        <v>http://ts.21cn.com/tousu/show/id/1348534</v>
      </c>
      <c r="F16768" s="2" t="s">
        <v>11</v>
      </c>
      <c r="G16768" s="2" t="s">
        <v>11219</v>
      </c>
      <c r="H16768" s="2" t="s">
        <v>11220</v>
      </c>
    </row>
    <row r="16769" spans="1:8" ht="25.05" customHeight="1" x14ac:dyDescent="0.25">
      <c r="A16769" s="2" t="s">
        <v>8</v>
      </c>
      <c r="B16769" s="2" t="str">
        <f>HYPERLINK("http://ts.21cn.com/tousu/show/id/1348535","建设银行审核不严，导致本人银行卡被盗刷")</f>
        <v>建设银行审核不严，导致本人银行卡被盗刷</v>
      </c>
      <c r="C16769" s="2" t="s">
        <v>9</v>
      </c>
      <c r="D16769" s="2" t="s">
        <v>10</v>
      </c>
      <c r="E16769" s="2" t="str">
        <f>HYPERLINK("http://ts.21cn.com/tousu/show/id/1348535","http://ts.21cn.com/tousu/show/id/1348535")</f>
        <v>http://ts.21cn.com/tousu/show/id/1348535</v>
      </c>
      <c r="F16769" s="2" t="s">
        <v>11</v>
      </c>
      <c r="G16769" s="2" t="s">
        <v>11217</v>
      </c>
      <c r="H16769" s="2" t="s">
        <v>11218</v>
      </c>
    </row>
    <row r="16770" spans="1:8" ht="25.05" customHeight="1" x14ac:dyDescent="0.25">
      <c r="A16770" s="2" t="s">
        <v>8</v>
      </c>
      <c r="B16770" s="2" t="str">
        <f>HYPERLINK("http://ts.21cn.com/tousu/show/id/1348536","交易猫取消订单后发消息退款失败没有退款")</f>
        <v>交易猫取消订单后发消息退款失败没有退款</v>
      </c>
      <c r="C16770" s="2" t="s">
        <v>9</v>
      </c>
      <c r="D16770" s="2" t="s">
        <v>10</v>
      </c>
      <c r="E16770" s="2" t="str">
        <f>HYPERLINK("http://ts.21cn.com/tousu/show/id/1348536","http://ts.21cn.com/tousu/show/id/1348536")</f>
        <v>http://ts.21cn.com/tousu/show/id/1348536</v>
      </c>
      <c r="F16770" s="2" t="s">
        <v>11</v>
      </c>
      <c r="G16770" s="2" t="s">
        <v>11215</v>
      </c>
      <c r="H16770" s="2" t="s">
        <v>11216</v>
      </c>
    </row>
    <row r="16771" spans="1:8" ht="25.05" customHeight="1" x14ac:dyDescent="0.25">
      <c r="A16771" s="2" t="s">
        <v>8</v>
      </c>
      <c r="B16771" s="2" t="str">
        <f>HYPERLINK("http://ts.21cn.com/tousu/show/id/1348537","新意花我要求协商还款")</f>
        <v>新意花我要求协商还款</v>
      </c>
      <c r="C16771" s="2" t="s">
        <v>9</v>
      </c>
      <c r="D16771" s="2" t="s">
        <v>10</v>
      </c>
      <c r="E16771" s="2" t="str">
        <f>HYPERLINK("http://ts.21cn.com/tousu/show/id/1348537","http://ts.21cn.com/tousu/show/id/1348537")</f>
        <v>http://ts.21cn.com/tousu/show/id/1348537</v>
      </c>
      <c r="F16771" s="2" t="s">
        <v>11</v>
      </c>
      <c r="G16771" s="2" t="s">
        <v>11213</v>
      </c>
      <c r="H16771" s="2" t="s">
        <v>11214</v>
      </c>
    </row>
    <row r="16772" spans="1:8" ht="25.05" customHeight="1" x14ac:dyDescent="0.25">
      <c r="A16772" s="2" t="s">
        <v>8</v>
      </c>
      <c r="B16772" s="2" t="str">
        <f>HYPERLINK("http://ts.21cn.com/tousu/show/id/1348538","小浦优客未经同意扣款")</f>
        <v>小浦优客未经同意扣款</v>
      </c>
      <c r="C16772" s="2" t="s">
        <v>9</v>
      </c>
      <c r="D16772" s="2" t="s">
        <v>10</v>
      </c>
      <c r="E16772" s="2" t="str">
        <f>HYPERLINK("http://ts.21cn.com/tousu/show/id/1348538","http://ts.21cn.com/tousu/show/id/1348538")</f>
        <v>http://ts.21cn.com/tousu/show/id/1348538</v>
      </c>
      <c r="F16772" s="2" t="s">
        <v>11</v>
      </c>
      <c r="G16772" s="2" t="s">
        <v>11211</v>
      </c>
      <c r="H16772" s="2" t="s">
        <v>11212</v>
      </c>
    </row>
    <row r="16773" spans="1:8" ht="25.05" customHeight="1" x14ac:dyDescent="0.25">
      <c r="A16773" s="2" t="s">
        <v>8</v>
      </c>
      <c r="B16773" s="2" t="str">
        <f>HYPERLINK("http://ts.21cn.com/tousu/show/id/1348542","提前还清欠款后不给额度")</f>
        <v>提前还清欠款后不给额度</v>
      </c>
      <c r="C16773" s="2" t="s">
        <v>34</v>
      </c>
      <c r="D16773" s="2" t="s">
        <v>10</v>
      </c>
      <c r="E16773" s="2" t="str">
        <f>HYPERLINK("http://ts.21cn.com/tousu/show/id/1348542","http://ts.21cn.com/tousu/show/id/1348542")</f>
        <v>http://ts.21cn.com/tousu/show/id/1348542</v>
      </c>
      <c r="F16773" s="2" t="s">
        <v>11</v>
      </c>
      <c r="G16773" s="2" t="s">
        <v>11209</v>
      </c>
      <c r="H16773" s="2" t="s">
        <v>11210</v>
      </c>
    </row>
    <row r="16774" spans="1:8" ht="25.05" customHeight="1" x14ac:dyDescent="0.25">
      <c r="A16774" s="2" t="s">
        <v>8</v>
      </c>
      <c r="B16774" s="2" t="str">
        <f>HYPERLINK("http://ts.21cn.com/tousu/show/id/1348539","马上金融电话骚扰")</f>
        <v>马上金融电话骚扰</v>
      </c>
      <c r="C16774" s="2" t="s">
        <v>9</v>
      </c>
      <c r="D16774" s="2" t="s">
        <v>10</v>
      </c>
      <c r="E16774" s="2" t="str">
        <f>HYPERLINK("http://ts.21cn.com/tousu/show/id/1348539","http://ts.21cn.com/tousu/show/id/1348539")</f>
        <v>http://ts.21cn.com/tousu/show/id/1348539</v>
      </c>
      <c r="F16774" s="2" t="s">
        <v>11</v>
      </c>
      <c r="G16774" s="2" t="s">
        <v>11207</v>
      </c>
      <c r="H16774" s="2" t="s">
        <v>11208</v>
      </c>
    </row>
    <row r="16775" spans="1:8" ht="25.05" customHeight="1" x14ac:dyDescent="0.25">
      <c r="A16775" s="2" t="s">
        <v>8</v>
      </c>
      <c r="B16775" s="2" t="str">
        <f>HYPERLINK("http://ts.21cn.com/tousu/show/id/1348540","淘宝天猫平台限制购物支付宝无法换绑")</f>
        <v>淘宝天猫平台限制购物支付宝无法换绑</v>
      </c>
      <c r="C16775" s="2" t="s">
        <v>9</v>
      </c>
      <c r="D16775" s="2" t="s">
        <v>10</v>
      </c>
      <c r="E16775" s="2" t="str">
        <f>HYPERLINK("http://ts.21cn.com/tousu/show/id/1348540","http://ts.21cn.com/tousu/show/id/1348540")</f>
        <v>http://ts.21cn.com/tousu/show/id/1348540</v>
      </c>
      <c r="F16775" s="2" t="s">
        <v>11</v>
      </c>
      <c r="G16775" s="2" t="s">
        <v>11205</v>
      </c>
      <c r="H16775" s="2" t="s">
        <v>11206</v>
      </c>
    </row>
    <row r="16776" spans="1:8" ht="25.05" customHeight="1" x14ac:dyDescent="0.25">
      <c r="A16776" s="2" t="s">
        <v>8</v>
      </c>
      <c r="B16776" s="2" t="str">
        <f>HYPERLINK("http://ts.21cn.com/tousu/show/id/1348541","恳请浦发信用卡协商分期还款")</f>
        <v>恳请浦发信用卡协商分期还款</v>
      </c>
      <c r="C16776" s="2" t="s">
        <v>9</v>
      </c>
      <c r="D16776" s="2" t="s">
        <v>10</v>
      </c>
      <c r="E16776" s="2" t="str">
        <f>HYPERLINK("http://ts.21cn.com/tousu/show/id/1348541","http://ts.21cn.com/tousu/show/id/1348541")</f>
        <v>http://ts.21cn.com/tousu/show/id/1348541</v>
      </c>
      <c r="F16776" s="2" t="s">
        <v>11</v>
      </c>
      <c r="G16776" s="2" t="s">
        <v>11203</v>
      </c>
      <c r="H16776" s="2" t="s">
        <v>11204</v>
      </c>
    </row>
    <row r="16777" spans="1:8" ht="25.05" customHeight="1" x14ac:dyDescent="0.25">
      <c r="A16777" s="2" t="s">
        <v>8</v>
      </c>
      <c r="B16777" s="2" t="str">
        <f>HYPERLINK("http://ts.21cn.com/tousu/show/id/1348479","被诱导下单退款无门叫天不应叫地不灵——老百姓被毛豆新车网欺诈欺凌无处讨说法维权")</f>
        <v>被诱导下单退款无门叫天不应叫地不灵——老百姓被毛豆新车网欺诈欺凌无处讨说法维权</v>
      </c>
      <c r="C16777" s="2" t="s">
        <v>9</v>
      </c>
      <c r="D16777" s="2" t="s">
        <v>10</v>
      </c>
      <c r="E16777" s="2" t="str">
        <f>HYPERLINK("http://ts.21cn.com/tousu/show/id/1348479","http://ts.21cn.com/tousu/show/id/1348479")</f>
        <v>http://ts.21cn.com/tousu/show/id/1348479</v>
      </c>
      <c r="F16777" s="2" t="s">
        <v>11</v>
      </c>
      <c r="G16777" s="2" t="s">
        <v>11201</v>
      </c>
      <c r="H16777" s="2" t="s">
        <v>11202</v>
      </c>
    </row>
    <row r="16778" spans="1:8" ht="25.05" customHeight="1" x14ac:dyDescent="0.25">
      <c r="A16778" s="2" t="s">
        <v>8</v>
      </c>
      <c r="B16778" s="2" t="str">
        <f>HYPERLINK("http://ts.21cn.com/tousu/show/id/1348543","还款协商不成，总是骚扰我，接通电话又不说话")</f>
        <v>还款协商不成，总是骚扰我，接通电话又不说话</v>
      </c>
      <c r="C16778" s="2" t="s">
        <v>9</v>
      </c>
      <c r="D16778" s="2" t="s">
        <v>10</v>
      </c>
      <c r="E16778" s="2" t="str">
        <f>HYPERLINK("http://ts.21cn.com/tousu/show/id/1348543","http://ts.21cn.com/tousu/show/id/1348543")</f>
        <v>http://ts.21cn.com/tousu/show/id/1348543</v>
      </c>
      <c r="F16778" s="2" t="s">
        <v>11</v>
      </c>
      <c r="G16778" s="2" t="s">
        <v>11199</v>
      </c>
      <c r="H16778" s="2" t="s">
        <v>11200</v>
      </c>
    </row>
    <row r="16779" spans="1:8" ht="25.05" customHeight="1" x14ac:dyDescent="0.25">
      <c r="A16779" s="2" t="s">
        <v>8</v>
      </c>
      <c r="B16779" s="2" t="str">
        <f>HYPERLINK("http://ts.21cn.com/tousu/show/id/1348477","时光分期提前结清收取高额利息")</f>
        <v>时光分期提前结清收取高额利息</v>
      </c>
      <c r="C16779" s="2" t="s">
        <v>9</v>
      </c>
      <c r="D16779" s="2" t="s">
        <v>10</v>
      </c>
      <c r="E16779" s="2" t="str">
        <f>HYPERLINK("http://ts.21cn.com/tousu/show/id/1348477","http://ts.21cn.com/tousu/show/id/1348477")</f>
        <v>http://ts.21cn.com/tousu/show/id/1348477</v>
      </c>
      <c r="F16779" s="2" t="s">
        <v>11</v>
      </c>
      <c r="G16779" s="2" t="s">
        <v>11196</v>
      </c>
      <c r="H16779" s="2" t="s">
        <v>11197</v>
      </c>
    </row>
    <row r="16780" spans="1:8" ht="25.05" customHeight="1" x14ac:dyDescent="0.25">
      <c r="A16780" s="2" t="s">
        <v>8</v>
      </c>
      <c r="B16780" s="2" t="str">
        <f>HYPERLINK("http://ts.21cn.com/tousu/show/id/1348544","借款5000，钱到卡里后又口子740")</f>
        <v>借款5000，钱到卡里后又口子740</v>
      </c>
      <c r="C16780" s="2" t="s">
        <v>34</v>
      </c>
      <c r="D16780" s="2" t="s">
        <v>10</v>
      </c>
      <c r="E16780" s="2" t="str">
        <f>HYPERLINK("http://ts.21cn.com/tousu/show/id/1348544","http://ts.21cn.com/tousu/show/id/1348544")</f>
        <v>http://ts.21cn.com/tousu/show/id/1348544</v>
      </c>
      <c r="F16780" s="2" t="s">
        <v>11</v>
      </c>
      <c r="G16780" s="2" t="s">
        <v>11196</v>
      </c>
      <c r="H16780" s="2" t="s">
        <v>11198</v>
      </c>
    </row>
    <row r="16781" spans="1:8" ht="25.05" customHeight="1" x14ac:dyDescent="0.25">
      <c r="A16781" s="2" t="s">
        <v>8</v>
      </c>
      <c r="B16781" s="2" t="str">
        <f>HYPERLINK("http://ts.21cn.com/tousu/show/id/1348545","钱站高利贷阴阳合同")</f>
        <v>钱站高利贷阴阳合同</v>
      </c>
      <c r="C16781" s="2" t="s">
        <v>9</v>
      </c>
      <c r="D16781" s="2" t="s">
        <v>10</v>
      </c>
      <c r="E16781" s="2" t="str">
        <f>HYPERLINK("http://ts.21cn.com/tousu/show/id/1348545","http://ts.21cn.com/tousu/show/id/1348545")</f>
        <v>http://ts.21cn.com/tousu/show/id/1348545</v>
      </c>
      <c r="F16781" s="2" t="s">
        <v>11</v>
      </c>
      <c r="G16781" s="2" t="s">
        <v>11194</v>
      </c>
      <c r="H16781" s="2" t="s">
        <v>11195</v>
      </c>
    </row>
    <row r="16782" spans="1:8" ht="25.05" customHeight="1" x14ac:dyDescent="0.25">
      <c r="A16782" s="2" t="s">
        <v>8</v>
      </c>
      <c r="B16782" s="2" t="str">
        <f>HYPERLINK("http://ts.21cn.com/tousu/show/id/1348546","王者钱包非法高利贷套路贷，拨打通讯录")</f>
        <v>王者钱包非法高利贷套路贷，拨打通讯录</v>
      </c>
      <c r="C16782" s="2" t="s">
        <v>9</v>
      </c>
      <c r="D16782" s="2" t="s">
        <v>10</v>
      </c>
      <c r="E16782" s="2" t="str">
        <f>HYPERLINK("http://ts.21cn.com/tousu/show/id/1348546","http://ts.21cn.com/tousu/show/id/1348546")</f>
        <v>http://ts.21cn.com/tousu/show/id/1348546</v>
      </c>
      <c r="F16782" s="2" t="s">
        <v>11</v>
      </c>
      <c r="G16782" s="2" t="s">
        <v>11192</v>
      </c>
      <c r="H16782" s="2" t="s">
        <v>11193</v>
      </c>
    </row>
    <row r="16783" spans="1:8" ht="25.05" customHeight="1" x14ac:dyDescent="0.25">
      <c r="A16783" s="2" t="s">
        <v>8</v>
      </c>
      <c r="B16783" s="2" t="str">
        <f>HYPERLINK("http://ts.21cn.com/tousu/show/id/1348547","不发工资")</f>
        <v>不发工资</v>
      </c>
      <c r="C16783" s="2" t="s">
        <v>9</v>
      </c>
      <c r="D16783" s="2" t="s">
        <v>10</v>
      </c>
      <c r="E16783" s="2" t="str">
        <f>HYPERLINK("http://ts.21cn.com/tousu/show/id/1348547","http://ts.21cn.com/tousu/show/id/1348547")</f>
        <v>http://ts.21cn.com/tousu/show/id/1348547</v>
      </c>
      <c r="F16783" s="2" t="s">
        <v>11</v>
      </c>
      <c r="G16783" s="2" t="s">
        <v>11190</v>
      </c>
      <c r="H16783" s="2" t="s">
        <v>11191</v>
      </c>
    </row>
    <row r="16784" spans="1:8" ht="25.05" customHeight="1" x14ac:dyDescent="0.25">
      <c r="A16784" s="2" t="s">
        <v>8</v>
      </c>
      <c r="B16784" s="2" t="str">
        <f>HYPERLINK("http://ts.21cn.com/tousu/show/id/1348548","闪银放款给学生")</f>
        <v>闪银放款给学生</v>
      </c>
      <c r="C16784" s="2" t="s">
        <v>9</v>
      </c>
      <c r="D16784" s="2" t="s">
        <v>10</v>
      </c>
      <c r="E16784" s="2" t="str">
        <f>HYPERLINK("http://ts.21cn.com/tousu/show/id/1348548","http://ts.21cn.com/tousu/show/id/1348548")</f>
        <v>http://ts.21cn.com/tousu/show/id/1348548</v>
      </c>
      <c r="F16784" s="2" t="s">
        <v>11</v>
      </c>
      <c r="G16784" s="2" t="s">
        <v>11188</v>
      </c>
      <c r="H16784" s="2" t="s">
        <v>11189</v>
      </c>
    </row>
    <row r="16785" spans="1:8" ht="25.05" customHeight="1" x14ac:dyDescent="0.25">
      <c r="A16785" s="2" t="s">
        <v>8</v>
      </c>
      <c r="B16785" s="2" t="str">
        <f>HYPERLINK("http://ts.21cn.com/tousu/show/id/1348549","信用管家元宝宝高利贷714套路贷")</f>
        <v>信用管家元宝宝高利贷714套路贷</v>
      </c>
      <c r="C16785" s="2" t="s">
        <v>9</v>
      </c>
      <c r="D16785" s="2" t="s">
        <v>10</v>
      </c>
      <c r="E16785" s="2" t="str">
        <f>HYPERLINK("http://ts.21cn.com/tousu/show/id/1348549","http://ts.21cn.com/tousu/show/id/1348549")</f>
        <v>http://ts.21cn.com/tousu/show/id/1348549</v>
      </c>
      <c r="F16785" s="2" t="s">
        <v>11</v>
      </c>
      <c r="G16785" s="2" t="s">
        <v>11186</v>
      </c>
      <c r="H16785" s="2" t="s">
        <v>11187</v>
      </c>
    </row>
    <row r="16786" spans="1:8" ht="25.05" customHeight="1" x14ac:dyDescent="0.25">
      <c r="A16786" s="2" t="s">
        <v>8</v>
      </c>
      <c r="B16786" s="2" t="str">
        <f>HYPERLINK("http://ts.21cn.com/tousu/show/id/1348550","不是本人付款，付款项目不明确")</f>
        <v>不是本人付款，付款项目不明确</v>
      </c>
      <c r="C16786" s="2" t="s">
        <v>34</v>
      </c>
      <c r="D16786" s="2" t="s">
        <v>10</v>
      </c>
      <c r="E16786" s="2" t="str">
        <f>HYPERLINK("http://ts.21cn.com/tousu/show/id/1348550","http://ts.21cn.com/tousu/show/id/1348550")</f>
        <v>http://ts.21cn.com/tousu/show/id/1348550</v>
      </c>
      <c r="F16786" s="2" t="s">
        <v>11</v>
      </c>
      <c r="G16786" s="2" t="s">
        <v>11184</v>
      </c>
      <c r="H16786" s="2" t="s">
        <v>11185</v>
      </c>
    </row>
    <row r="16787" spans="1:8" ht="25.05" customHeight="1" x14ac:dyDescent="0.25">
      <c r="A16787" s="2" t="s">
        <v>8</v>
      </c>
      <c r="B16787" s="2" t="str">
        <f>HYPERLINK("http://ts.21cn.com/tousu/show/id/1348551","百事普惠恶意扣款")</f>
        <v>百事普惠恶意扣款</v>
      </c>
      <c r="C16787" s="2" t="s">
        <v>9</v>
      </c>
      <c r="D16787" s="2" t="s">
        <v>10</v>
      </c>
      <c r="E16787" s="2" t="str">
        <f>HYPERLINK("http://ts.21cn.com/tousu/show/id/1348551","http://ts.21cn.com/tousu/show/id/1348551")</f>
        <v>http://ts.21cn.com/tousu/show/id/1348551</v>
      </c>
      <c r="F16787" s="2" t="s">
        <v>11</v>
      </c>
      <c r="G16787" s="2" t="s">
        <v>11182</v>
      </c>
      <c r="H16787" s="2" t="s">
        <v>11183</v>
      </c>
    </row>
    <row r="16788" spans="1:8" ht="25.05" customHeight="1" x14ac:dyDescent="0.25">
      <c r="A16788" s="2" t="s">
        <v>8</v>
      </c>
      <c r="B16788" s="2" t="str">
        <f>HYPERLINK("http://ts.21cn.com/tousu/show/id/1348552","无力偿还，但我有多少还多少了")</f>
        <v>无力偿还，但我有多少还多少了</v>
      </c>
      <c r="C16788" s="2" t="s">
        <v>9</v>
      </c>
      <c r="D16788" s="2" t="s">
        <v>10</v>
      </c>
      <c r="E16788" s="2" t="str">
        <f>HYPERLINK("http://ts.21cn.com/tousu/show/id/1348552","http://ts.21cn.com/tousu/show/id/1348552")</f>
        <v>http://ts.21cn.com/tousu/show/id/1348552</v>
      </c>
      <c r="F16788" s="2" t="s">
        <v>11</v>
      </c>
      <c r="G16788" s="2" t="s">
        <v>11180</v>
      </c>
      <c r="H16788" s="2" t="s">
        <v>11181</v>
      </c>
    </row>
    <row r="16789" spans="1:8" ht="25.05" customHeight="1" x14ac:dyDescent="0.25">
      <c r="A16789" s="2" t="s">
        <v>8</v>
      </c>
      <c r="B16789" s="2" t="str">
        <f>HYPERLINK("http://ts.21cn.com/tousu/show/id/1341393","违停罚款滴滴出行不给于处理")</f>
        <v>违停罚款滴滴出行不给于处理</v>
      </c>
      <c r="C16789" s="2" t="s">
        <v>9</v>
      </c>
      <c r="D16789" s="2" t="s">
        <v>10</v>
      </c>
      <c r="E16789" s="2" t="str">
        <f>HYPERLINK("http://ts.21cn.com/tousu/show/id/1341393","http://ts.21cn.com/tousu/show/id/1341393")</f>
        <v>http://ts.21cn.com/tousu/show/id/1341393</v>
      </c>
      <c r="F16789" s="2" t="s">
        <v>11</v>
      </c>
      <c r="G16789" s="2" t="s">
        <v>11178</v>
      </c>
      <c r="H16789" s="2" t="s">
        <v>11179</v>
      </c>
    </row>
    <row r="16790" spans="1:8" ht="25.05" customHeight="1" x14ac:dyDescent="0.25">
      <c r="A16790" s="2" t="s">
        <v>8</v>
      </c>
      <c r="B16790" s="2" t="str">
        <f>HYPERLINK("http://ts.21cn.com/tousu/show/id/1348553","钱咖分期暴力催收")</f>
        <v>钱咖分期暴力催收</v>
      </c>
      <c r="C16790" s="2" t="s">
        <v>9</v>
      </c>
      <c r="D16790" s="2" t="s">
        <v>10</v>
      </c>
      <c r="E16790" s="2" t="str">
        <f>HYPERLINK("http://ts.21cn.com/tousu/show/id/1348553","http://ts.21cn.com/tousu/show/id/1348553")</f>
        <v>http://ts.21cn.com/tousu/show/id/1348553</v>
      </c>
      <c r="F16790" s="2" t="s">
        <v>11</v>
      </c>
      <c r="G16790" s="2" t="s">
        <v>11176</v>
      </c>
      <c r="H16790" s="2" t="s">
        <v>11177</v>
      </c>
    </row>
    <row r="16791" spans="1:8" ht="25.05" customHeight="1" x14ac:dyDescent="0.25">
      <c r="A16791" s="2" t="s">
        <v>8</v>
      </c>
      <c r="B16791" s="2" t="str">
        <f>HYPERLINK("http://ts.21cn.com/tousu/show/id/1348554","盈盈有钱协利息高，协商还款未果情况下未经本人同意情况下多次进行扣款")</f>
        <v>盈盈有钱协利息高，协商还款未果情况下未经本人同意情况下多次进行扣款</v>
      </c>
      <c r="C16791" s="2" t="s">
        <v>9</v>
      </c>
      <c r="D16791" s="2" t="s">
        <v>10</v>
      </c>
      <c r="E16791" s="2" t="str">
        <f>HYPERLINK("http://ts.21cn.com/tousu/show/id/1348554","http://ts.21cn.com/tousu/show/id/1348554")</f>
        <v>http://ts.21cn.com/tousu/show/id/1348554</v>
      </c>
      <c r="F16791" s="2" t="s">
        <v>11</v>
      </c>
      <c r="G16791" s="2" t="s">
        <v>11174</v>
      </c>
      <c r="H16791" s="2" t="s">
        <v>11175</v>
      </c>
    </row>
    <row r="16792" spans="1:8" ht="25.05" customHeight="1" x14ac:dyDescent="0.25">
      <c r="A16792" s="2" t="s">
        <v>8</v>
      </c>
      <c r="B16792" s="2" t="str">
        <f>HYPERLINK("http://ts.21cn.com/tousu/show/id/1348556","中邮消费金融严重侵权")</f>
        <v>中邮消费金融严重侵权</v>
      </c>
      <c r="C16792" s="2" t="s">
        <v>9</v>
      </c>
      <c r="D16792" s="2" t="s">
        <v>10</v>
      </c>
      <c r="E16792" s="2" t="str">
        <f>HYPERLINK("http://ts.21cn.com/tousu/show/id/1348556","http://ts.21cn.com/tousu/show/id/1348556")</f>
        <v>http://ts.21cn.com/tousu/show/id/1348556</v>
      </c>
      <c r="F16792" s="2" t="s">
        <v>11</v>
      </c>
      <c r="G16792" s="2" t="s">
        <v>11172</v>
      </c>
      <c r="H16792" s="2" t="s">
        <v>11173</v>
      </c>
    </row>
    <row r="16793" spans="1:8" ht="25.05" customHeight="1" x14ac:dyDescent="0.25">
      <c r="A16793" s="2" t="s">
        <v>8</v>
      </c>
      <c r="B16793" s="2" t="str">
        <f>HYPERLINK("http://ts.21cn.com/tousu/show/id/1348557","要求全额退款")</f>
        <v>要求全额退款</v>
      </c>
      <c r="C16793" s="2" t="s">
        <v>34</v>
      </c>
      <c r="D16793" s="2" t="s">
        <v>10</v>
      </c>
      <c r="E16793" s="2" t="str">
        <f>HYPERLINK("http://ts.21cn.com/tousu/show/id/1348557","http://ts.21cn.com/tousu/show/id/1348557")</f>
        <v>http://ts.21cn.com/tousu/show/id/1348557</v>
      </c>
      <c r="F16793" s="2" t="s">
        <v>11</v>
      </c>
      <c r="G16793" s="2" t="s">
        <v>11170</v>
      </c>
      <c r="H16793" s="2" t="s">
        <v>11171</v>
      </c>
    </row>
    <row r="16794" spans="1:8" ht="25.05" customHeight="1" x14ac:dyDescent="0.25">
      <c r="A16794" s="2" t="s">
        <v>8</v>
      </c>
      <c r="B16794" s="2" t="str">
        <f>HYPERLINK("http://ts.21cn.com/tousu/show/id/1348559","钱站高利贷阴阳合同")</f>
        <v>钱站高利贷阴阳合同</v>
      </c>
      <c r="C16794" s="2" t="s">
        <v>9</v>
      </c>
      <c r="D16794" s="2" t="s">
        <v>10</v>
      </c>
      <c r="E16794" s="2" t="str">
        <f>HYPERLINK("http://ts.21cn.com/tousu/show/id/1348559","http://ts.21cn.com/tousu/show/id/1348559")</f>
        <v>http://ts.21cn.com/tousu/show/id/1348559</v>
      </c>
      <c r="F16794" s="2" t="s">
        <v>11</v>
      </c>
      <c r="G16794" s="2" t="s">
        <v>11168</v>
      </c>
      <c r="H16794" s="2" t="s">
        <v>11169</v>
      </c>
    </row>
    <row r="16795" spans="1:8" ht="25.05" customHeight="1" x14ac:dyDescent="0.25">
      <c r="A16795" s="2" t="s">
        <v>8</v>
      </c>
      <c r="B16795" s="2" t="str">
        <f>HYPERLINK("http://ts.21cn.com/tousu/show/id/1348560","滴滴司机一个小时没来接我，拒载且不通知。")</f>
        <v>滴滴司机一个小时没来接我，拒载且不通知。</v>
      </c>
      <c r="C16795" s="2" t="s">
        <v>9</v>
      </c>
      <c r="D16795" s="2" t="s">
        <v>10</v>
      </c>
      <c r="E16795" s="2" t="str">
        <f>HYPERLINK("http://ts.21cn.com/tousu/show/id/1348560","http://ts.21cn.com/tousu/show/id/1348560")</f>
        <v>http://ts.21cn.com/tousu/show/id/1348560</v>
      </c>
      <c r="F16795" s="2" t="s">
        <v>11</v>
      </c>
      <c r="G16795" s="2" t="s">
        <v>11166</v>
      </c>
      <c r="H16795" s="2" t="s">
        <v>11167</v>
      </c>
    </row>
    <row r="16796" spans="1:8" ht="25.05" customHeight="1" x14ac:dyDescent="0.25">
      <c r="A16796" s="2" t="s">
        <v>8</v>
      </c>
      <c r="B16796" s="2" t="str">
        <f>HYPERLINK("http://ts.21cn.com/tousu/show/id/1348561","大手钱包变相砍头息高利贷")</f>
        <v>大手钱包变相砍头息高利贷</v>
      </c>
      <c r="C16796" s="2" t="s">
        <v>9</v>
      </c>
      <c r="D16796" s="2" t="s">
        <v>10</v>
      </c>
      <c r="E16796" s="2" t="str">
        <f>HYPERLINK("http://ts.21cn.com/tousu/show/id/1348561","http://ts.21cn.com/tousu/show/id/1348561")</f>
        <v>http://ts.21cn.com/tousu/show/id/1348561</v>
      </c>
      <c r="F16796" s="2" t="s">
        <v>11</v>
      </c>
      <c r="G16796" s="2" t="s">
        <v>11164</v>
      </c>
      <c r="H16796" s="2" t="s">
        <v>11165</v>
      </c>
    </row>
    <row r="16797" spans="1:8" ht="25.05" customHeight="1" x14ac:dyDescent="0.25">
      <c r="A16797" s="2" t="s">
        <v>8</v>
      </c>
      <c r="B16797" s="2" t="str">
        <f>HYPERLINK("http://ts.21cn.com/tousu/show/id/1348563","微信号被盗，微信平台不支持我找回自己的账号。")</f>
        <v>微信号被盗，微信平台不支持我找回自己的账号。</v>
      </c>
      <c r="C16797" s="2" t="s">
        <v>9</v>
      </c>
      <c r="D16797" s="2" t="s">
        <v>10</v>
      </c>
      <c r="E16797" s="2" t="str">
        <f>HYPERLINK("http://ts.21cn.com/tousu/show/id/1348563","http://ts.21cn.com/tousu/show/id/1348563")</f>
        <v>http://ts.21cn.com/tousu/show/id/1348563</v>
      </c>
      <c r="F16797" s="2" t="s">
        <v>11</v>
      </c>
      <c r="G16797" s="2" t="s">
        <v>11162</v>
      </c>
      <c r="H16797" s="2" t="s">
        <v>11163</v>
      </c>
    </row>
    <row r="16798" spans="1:8" ht="25.05" customHeight="1" x14ac:dyDescent="0.25">
      <c r="A16798" s="2" t="s">
        <v>8</v>
      </c>
      <c r="B16798" s="2" t="str">
        <f>HYPERLINK("http://ts.21cn.com/tousu/show/id/1348562","君达伟业集团有限公司恶意骚扰")</f>
        <v>君达伟业集团有限公司恶意骚扰</v>
      </c>
      <c r="C16798" s="2" t="s">
        <v>9</v>
      </c>
      <c r="D16798" s="2" t="s">
        <v>10</v>
      </c>
      <c r="E16798" s="2" t="str">
        <f>HYPERLINK("http://ts.21cn.com/tousu/show/id/1348562","http://ts.21cn.com/tousu/show/id/1348562")</f>
        <v>http://ts.21cn.com/tousu/show/id/1348562</v>
      </c>
      <c r="F16798" s="2" t="s">
        <v>11</v>
      </c>
      <c r="G16798" s="2" t="s">
        <v>11160</v>
      </c>
      <c r="H16798" s="2" t="s">
        <v>11161</v>
      </c>
    </row>
    <row r="16799" spans="1:8" ht="25.05" customHeight="1" x14ac:dyDescent="0.25">
      <c r="A16799" s="2" t="s">
        <v>8</v>
      </c>
      <c r="B16799" s="2" t="str">
        <f>HYPERLINK("http://ts.21cn.com/tousu/show/id/1348564","闪银公司，涉嫌违法乱收费用，高额费用")</f>
        <v>闪银公司，涉嫌违法乱收费用，高额费用</v>
      </c>
      <c r="C16799" s="2" t="s">
        <v>9</v>
      </c>
      <c r="D16799" s="2" t="s">
        <v>10</v>
      </c>
      <c r="E16799" s="2" t="str">
        <f>HYPERLINK("http://ts.21cn.com/tousu/show/id/1348564","http://ts.21cn.com/tousu/show/id/1348564")</f>
        <v>http://ts.21cn.com/tousu/show/id/1348564</v>
      </c>
      <c r="F16799" s="2" t="s">
        <v>11</v>
      </c>
      <c r="G16799" s="2" t="s">
        <v>11158</v>
      </c>
      <c r="H16799" s="2" t="s">
        <v>11159</v>
      </c>
    </row>
    <row r="16800" spans="1:8" ht="25.05" customHeight="1" x14ac:dyDescent="0.25">
      <c r="A16800" s="2" t="s">
        <v>8</v>
      </c>
      <c r="B16800" s="2" t="str">
        <f>HYPERLINK("http://ts.21cn.com/tousu/show/id/1348566","高利贷催收爆通讯录")</f>
        <v>高利贷催收爆通讯录</v>
      </c>
      <c r="C16800" s="2" t="s">
        <v>9</v>
      </c>
      <c r="D16800" s="2" t="s">
        <v>10</v>
      </c>
      <c r="E16800" s="2" t="str">
        <f>HYPERLINK("http://ts.21cn.com/tousu/show/id/1348566","http://ts.21cn.com/tousu/show/id/1348566")</f>
        <v>http://ts.21cn.com/tousu/show/id/1348566</v>
      </c>
      <c r="F16800" s="2" t="s">
        <v>11</v>
      </c>
      <c r="G16800" s="2" t="s">
        <v>11156</v>
      </c>
      <c r="H16800" s="2" t="s">
        <v>11157</v>
      </c>
    </row>
    <row r="16801" spans="1:8" ht="25.05" customHeight="1" x14ac:dyDescent="0.25">
      <c r="A16801" s="2" t="s">
        <v>8</v>
      </c>
      <c r="B16801" s="2" t="str">
        <f>HYPERLINK("http://ts.21cn.com/tousu/show/id/1348565","捷信")</f>
        <v>捷信</v>
      </c>
      <c r="C16801" s="2" t="s">
        <v>9</v>
      </c>
      <c r="D16801" s="2" t="s">
        <v>10</v>
      </c>
      <c r="E16801" s="2" t="str">
        <f>HYPERLINK("http://ts.21cn.com/tousu/show/id/1348565","http://ts.21cn.com/tousu/show/id/1348565")</f>
        <v>http://ts.21cn.com/tousu/show/id/1348565</v>
      </c>
      <c r="F16801" s="2" t="s">
        <v>11</v>
      </c>
      <c r="G16801" s="2" t="s">
        <v>11154</v>
      </c>
      <c r="H16801" s="2" t="s">
        <v>11155</v>
      </c>
    </row>
    <row r="16802" spans="1:8" ht="25.05" customHeight="1" x14ac:dyDescent="0.25">
      <c r="A16802" s="2" t="s">
        <v>8</v>
      </c>
      <c r="B16802" s="2" t="str">
        <f>HYPERLINK("http://ts.21cn.com/tousu/show/id/1348567","交易猫在我发过验证码换绑之后取消了交易，导致号被盗")</f>
        <v>交易猫在我发过验证码换绑之后取消了交易，导致号被盗</v>
      </c>
      <c r="C16802" s="2" t="s">
        <v>9</v>
      </c>
      <c r="D16802" s="2" t="s">
        <v>10</v>
      </c>
      <c r="E16802" s="2" t="str">
        <f>HYPERLINK("http://ts.21cn.com/tousu/show/id/1348567","http://ts.21cn.com/tousu/show/id/1348567")</f>
        <v>http://ts.21cn.com/tousu/show/id/1348567</v>
      </c>
      <c r="F16802" s="2" t="s">
        <v>11</v>
      </c>
      <c r="G16802" s="2" t="s">
        <v>11152</v>
      </c>
      <c r="H16802" s="2" t="s">
        <v>11153</v>
      </c>
    </row>
    <row r="16803" spans="1:8" ht="25.05" customHeight="1" x14ac:dyDescent="0.25">
      <c r="A16803" s="2" t="s">
        <v>8</v>
      </c>
      <c r="B16803" s="2" t="str">
        <f>HYPERLINK("http://ts.21cn.com/tousu/show/id/1348568","银行卡被盗刷")</f>
        <v>银行卡被盗刷</v>
      </c>
      <c r="C16803" s="2" t="s">
        <v>9</v>
      </c>
      <c r="D16803" s="2" t="s">
        <v>10</v>
      </c>
      <c r="E16803" s="2" t="str">
        <f>HYPERLINK("http://ts.21cn.com/tousu/show/id/1348568","http://ts.21cn.com/tousu/show/id/1348568")</f>
        <v>http://ts.21cn.com/tousu/show/id/1348568</v>
      </c>
      <c r="F16803" s="2" t="s">
        <v>11</v>
      </c>
      <c r="G16803" s="2" t="s">
        <v>11150</v>
      </c>
      <c r="H16803" s="2" t="s">
        <v>11151</v>
      </c>
    </row>
    <row r="16804" spans="1:8" ht="25.05" customHeight="1" x14ac:dyDescent="0.25">
      <c r="A16804" s="2" t="s">
        <v>8</v>
      </c>
      <c r="B16804" s="2" t="str">
        <f>HYPERLINK("http://ts.21cn.com/tousu/show/id/1348569","不给协商，爆通讯录")</f>
        <v>不给协商，爆通讯录</v>
      </c>
      <c r="C16804" s="2" t="s">
        <v>9</v>
      </c>
      <c r="D16804" s="2" t="s">
        <v>10</v>
      </c>
      <c r="E16804" s="2" t="str">
        <f>HYPERLINK("http://ts.21cn.com/tousu/show/id/1348569","http://ts.21cn.com/tousu/show/id/1348569")</f>
        <v>http://ts.21cn.com/tousu/show/id/1348569</v>
      </c>
      <c r="F16804" s="2" t="s">
        <v>11</v>
      </c>
      <c r="G16804" s="2" t="s">
        <v>11148</v>
      </c>
      <c r="H16804" s="2" t="s">
        <v>11149</v>
      </c>
    </row>
    <row r="16805" spans="1:8" ht="25.05" customHeight="1" x14ac:dyDescent="0.25">
      <c r="A16805" s="2" t="s">
        <v>8</v>
      </c>
      <c r="B16805" s="2" t="str">
        <f>HYPERLINK("http://ts.21cn.com/tousu/show/id/1348570","左右钱包砍头息714")</f>
        <v>左右钱包砍头息714</v>
      </c>
      <c r="C16805" s="2" t="s">
        <v>9</v>
      </c>
      <c r="D16805" s="2" t="s">
        <v>10</v>
      </c>
      <c r="E16805" s="2" t="str">
        <f>HYPERLINK("http://ts.21cn.com/tousu/show/id/1348570","http://ts.21cn.com/tousu/show/id/1348570")</f>
        <v>http://ts.21cn.com/tousu/show/id/1348570</v>
      </c>
      <c r="F16805" s="2" t="s">
        <v>11</v>
      </c>
      <c r="G16805" s="2" t="s">
        <v>11146</v>
      </c>
      <c r="H16805" s="2" t="s">
        <v>11147</v>
      </c>
    </row>
    <row r="16806" spans="1:8" ht="25.05" customHeight="1" x14ac:dyDescent="0.25">
      <c r="A16806" s="2" t="s">
        <v>8</v>
      </c>
      <c r="B16806" s="2" t="str">
        <f>HYPERLINK("http://ts.21cn.com/tousu/show/id/1348131","河南智汇魔方虚假宣传")</f>
        <v>河南智汇魔方虚假宣传</v>
      </c>
      <c r="C16806" s="2" t="s">
        <v>9</v>
      </c>
      <c r="D16806" s="2" t="s">
        <v>10</v>
      </c>
      <c r="E16806" s="2" t="str">
        <f>HYPERLINK("http://ts.21cn.com/tousu/show/id/1348131","http://ts.21cn.com/tousu/show/id/1348131")</f>
        <v>http://ts.21cn.com/tousu/show/id/1348131</v>
      </c>
      <c r="F16806" s="2" t="s">
        <v>11</v>
      </c>
      <c r="G16806" s="2" t="s">
        <v>11144</v>
      </c>
      <c r="H16806" s="2" t="s">
        <v>11145</v>
      </c>
    </row>
    <row r="16807" spans="1:8" ht="25.05" customHeight="1" x14ac:dyDescent="0.25">
      <c r="A16807" s="2" t="s">
        <v>8</v>
      </c>
      <c r="B16807" s="2" t="str">
        <f>HYPERLINK("http://ts.21cn.com/tousu/show/id/1348571","交易猫购退款失败")</f>
        <v>交易猫购退款失败</v>
      </c>
      <c r="C16807" s="2" t="s">
        <v>9</v>
      </c>
      <c r="D16807" s="2" t="s">
        <v>10</v>
      </c>
      <c r="E16807" s="2" t="str">
        <f>HYPERLINK("http://ts.21cn.com/tousu/show/id/1348571","http://ts.21cn.com/tousu/show/id/1348571")</f>
        <v>http://ts.21cn.com/tousu/show/id/1348571</v>
      </c>
      <c r="F16807" s="2" t="s">
        <v>11</v>
      </c>
      <c r="G16807" s="2" t="s">
        <v>11142</v>
      </c>
      <c r="H16807" s="2" t="s">
        <v>11143</v>
      </c>
    </row>
    <row r="16808" spans="1:8" ht="25.05" customHeight="1" x14ac:dyDescent="0.25">
      <c r="A16808" s="2" t="s">
        <v>8</v>
      </c>
      <c r="B16808" s="2" t="str">
        <f>HYPERLINK("http://ts.21cn.com/tousu/show/id/1348573","交通银行信用卡软暴力催收")</f>
        <v>交通银行信用卡软暴力催收</v>
      </c>
      <c r="C16808" s="2" t="s">
        <v>9</v>
      </c>
      <c r="D16808" s="2" t="s">
        <v>10</v>
      </c>
      <c r="E16808" s="2" t="str">
        <f>HYPERLINK("http://ts.21cn.com/tousu/show/id/1348573","http://ts.21cn.com/tousu/show/id/1348573")</f>
        <v>http://ts.21cn.com/tousu/show/id/1348573</v>
      </c>
      <c r="F16808" s="2" t="s">
        <v>11</v>
      </c>
      <c r="G16808" s="2" t="s">
        <v>11140</v>
      </c>
      <c r="H16808" s="2" t="s">
        <v>11141</v>
      </c>
    </row>
    <row r="16809" spans="1:8" ht="25.05" customHeight="1" x14ac:dyDescent="0.25">
      <c r="A16809" s="2" t="s">
        <v>8</v>
      </c>
      <c r="B16809" s="2" t="str">
        <f>HYPERLINK("http://ts.21cn.com/tousu/show/id/1348572","京东金融高利贷")</f>
        <v>京东金融高利贷</v>
      </c>
      <c r="C16809" s="2" t="s">
        <v>9</v>
      </c>
      <c r="D16809" s="2" t="s">
        <v>10</v>
      </c>
      <c r="E16809" s="2" t="str">
        <f>HYPERLINK("http://ts.21cn.com/tousu/show/id/1348572","http://ts.21cn.com/tousu/show/id/1348572")</f>
        <v>http://ts.21cn.com/tousu/show/id/1348572</v>
      </c>
      <c r="F16809" s="2" t="s">
        <v>11</v>
      </c>
      <c r="G16809" s="2" t="s">
        <v>11138</v>
      </c>
      <c r="H16809" s="2" t="s">
        <v>11139</v>
      </c>
    </row>
    <row r="16810" spans="1:8" ht="25.05" customHeight="1" x14ac:dyDescent="0.25">
      <c r="A16810" s="2" t="s">
        <v>8</v>
      </c>
      <c r="B16810" s="2" t="str">
        <f>HYPERLINK("http://ts.21cn.com/tousu/show/id/1348575","韵达快递丢失货物")</f>
        <v>韵达快递丢失货物</v>
      </c>
      <c r="C16810" s="2" t="s">
        <v>9</v>
      </c>
      <c r="D16810" s="2" t="s">
        <v>10</v>
      </c>
      <c r="E16810" s="2" t="str">
        <f>HYPERLINK("http://ts.21cn.com/tousu/show/id/1348575","http://ts.21cn.com/tousu/show/id/1348575")</f>
        <v>http://ts.21cn.com/tousu/show/id/1348575</v>
      </c>
      <c r="F16810" s="2" t="s">
        <v>11</v>
      </c>
      <c r="G16810" s="2" t="s">
        <v>11136</v>
      </c>
      <c r="H16810" s="2" t="s">
        <v>11137</v>
      </c>
    </row>
    <row r="16811" spans="1:8" ht="25.05" customHeight="1" x14ac:dyDescent="0.25">
      <c r="A16811" s="2" t="s">
        <v>8</v>
      </c>
      <c r="B16811" s="2" t="str">
        <f>HYPERLINK("http://ts.21cn.com/tousu/show/id/1348577","上海乔融医分期让我逾期环不上款")</f>
        <v>上海乔融医分期让我逾期环不上款</v>
      </c>
      <c r="C16811" s="2" t="s">
        <v>9</v>
      </c>
      <c r="D16811" s="2" t="s">
        <v>10</v>
      </c>
      <c r="E16811" s="2" t="str">
        <f>HYPERLINK("http://ts.21cn.com/tousu/show/id/1348577","http://ts.21cn.com/tousu/show/id/1348577")</f>
        <v>http://ts.21cn.com/tousu/show/id/1348577</v>
      </c>
      <c r="F16811" s="2" t="s">
        <v>11</v>
      </c>
      <c r="G16811" s="2" t="s">
        <v>11134</v>
      </c>
      <c r="H16811" s="2" t="s">
        <v>11135</v>
      </c>
    </row>
    <row r="16812" spans="1:8" ht="25.05" customHeight="1" x14ac:dyDescent="0.25">
      <c r="A16812" s="2" t="s">
        <v>8</v>
      </c>
      <c r="B16812" s="2" t="str">
        <f>HYPERLINK("http://ts.21cn.com/tousu/show/id/1348576","小浦优客未经同意扣款")</f>
        <v>小浦优客未经同意扣款</v>
      </c>
      <c r="C16812" s="2" t="s">
        <v>9</v>
      </c>
      <c r="D16812" s="2" t="s">
        <v>10</v>
      </c>
      <c r="E16812" s="2" t="str">
        <f>HYPERLINK("http://ts.21cn.com/tousu/show/id/1348576","http://ts.21cn.com/tousu/show/id/1348576")</f>
        <v>http://ts.21cn.com/tousu/show/id/1348576</v>
      </c>
      <c r="F16812" s="2" t="s">
        <v>11</v>
      </c>
      <c r="G16812" s="2" t="s">
        <v>11132</v>
      </c>
      <c r="H16812" s="2" t="s">
        <v>11133</v>
      </c>
    </row>
    <row r="16813" spans="1:8" ht="25.05" customHeight="1" x14ac:dyDescent="0.25">
      <c r="A16813" s="2" t="s">
        <v>8</v>
      </c>
      <c r="B16813" s="2" t="str">
        <f>HYPERLINK("http://ts.21cn.com/tousu/show/id/1348578","打黑除恶目北京会牛科技有限公司钱站目无法律肆虐妄为")</f>
        <v>打黑除恶目北京会牛科技有限公司钱站目无法律肆虐妄为</v>
      </c>
      <c r="C16813" s="2" t="s">
        <v>9</v>
      </c>
      <c r="D16813" s="2" t="s">
        <v>10</v>
      </c>
      <c r="E16813" s="2" t="str">
        <f>HYPERLINK("http://ts.21cn.com/tousu/show/id/1348578","http://ts.21cn.com/tousu/show/id/1348578")</f>
        <v>http://ts.21cn.com/tousu/show/id/1348578</v>
      </c>
      <c r="F16813" s="2" t="s">
        <v>11</v>
      </c>
      <c r="G16813" s="2" t="s">
        <v>11130</v>
      </c>
      <c r="H16813" s="2" t="s">
        <v>11131</v>
      </c>
    </row>
    <row r="16814" spans="1:8" ht="25.05" customHeight="1" x14ac:dyDescent="0.25">
      <c r="A16814" s="2" t="s">
        <v>8</v>
      </c>
      <c r="B16814" s="2" t="str">
        <f>HYPERLINK("http://ts.21cn.com/tousu/show/id/1348579","及货恐吓骚扰")</f>
        <v>及货恐吓骚扰</v>
      </c>
      <c r="C16814" s="2" t="s">
        <v>9</v>
      </c>
      <c r="D16814" s="2" t="s">
        <v>10</v>
      </c>
      <c r="E16814" s="2" t="str">
        <f>HYPERLINK("http://ts.21cn.com/tousu/show/id/1348579","http://ts.21cn.com/tousu/show/id/1348579")</f>
        <v>http://ts.21cn.com/tousu/show/id/1348579</v>
      </c>
      <c r="F16814" s="2" t="s">
        <v>11</v>
      </c>
      <c r="G16814" s="2" t="s">
        <v>11128</v>
      </c>
      <c r="H16814" s="2" t="s">
        <v>11129</v>
      </c>
    </row>
    <row r="16815" spans="1:8" ht="25.05" customHeight="1" x14ac:dyDescent="0.25">
      <c r="A16815" s="2" t="s">
        <v>8</v>
      </c>
      <c r="B16815" s="2" t="str">
        <f>HYPERLINK("http://ts.21cn.com/tousu/show/id/1348582","京东未有保修三星s7exge手机")</f>
        <v>京东未有保修三星s7exge手机</v>
      </c>
      <c r="C16815" s="2" t="s">
        <v>9</v>
      </c>
      <c r="D16815" s="2" t="s">
        <v>10</v>
      </c>
      <c r="E16815" s="2" t="str">
        <f>HYPERLINK("http://ts.21cn.com/tousu/show/id/1348582","http://ts.21cn.com/tousu/show/id/1348582")</f>
        <v>http://ts.21cn.com/tousu/show/id/1348582</v>
      </c>
      <c r="F16815" s="2" t="s">
        <v>11</v>
      </c>
      <c r="G16815" s="2" t="s">
        <v>11126</v>
      </c>
      <c r="H16815" s="2" t="s">
        <v>11127</v>
      </c>
    </row>
    <row r="16816" spans="1:8" ht="25.05" customHeight="1" x14ac:dyDescent="0.25">
      <c r="A16816" s="2" t="s">
        <v>8</v>
      </c>
      <c r="B16816" s="2" t="str">
        <f>HYPERLINK("http://ts.21cn.com/tousu/show/id/1348581","乱扣费")</f>
        <v>乱扣费</v>
      </c>
      <c r="C16816" s="2" t="s">
        <v>9</v>
      </c>
      <c r="D16816" s="2" t="s">
        <v>10</v>
      </c>
      <c r="E16816" s="2" t="str">
        <f>HYPERLINK("http://ts.21cn.com/tousu/show/id/1348581","http://ts.21cn.com/tousu/show/id/1348581")</f>
        <v>http://ts.21cn.com/tousu/show/id/1348581</v>
      </c>
      <c r="F16816" s="2" t="s">
        <v>11</v>
      </c>
      <c r="G16816" s="2" t="s">
        <v>11124</v>
      </c>
      <c r="H16816" s="2" t="s">
        <v>11125</v>
      </c>
    </row>
    <row r="16817" spans="1:8" ht="25.05" customHeight="1" x14ac:dyDescent="0.25">
      <c r="A16817" s="2" t="s">
        <v>8</v>
      </c>
      <c r="B16817" s="2" t="str">
        <f>HYPERLINK("http://ts.21cn.com/tousu/show/id/1348584","蜜瓜钱包714顶风作案")</f>
        <v>蜜瓜钱包714顶风作案</v>
      </c>
      <c r="C16817" s="2" t="s">
        <v>9</v>
      </c>
      <c r="D16817" s="2" t="s">
        <v>10</v>
      </c>
      <c r="E16817" s="2" t="str">
        <f>HYPERLINK("http://ts.21cn.com/tousu/show/id/1348584","http://ts.21cn.com/tousu/show/id/1348584")</f>
        <v>http://ts.21cn.com/tousu/show/id/1348584</v>
      </c>
      <c r="F16817" s="2" t="s">
        <v>11</v>
      </c>
      <c r="G16817" s="2" t="s">
        <v>11122</v>
      </c>
      <c r="H16817" s="2" t="s">
        <v>11123</v>
      </c>
    </row>
    <row r="16818" spans="1:8" ht="25.05" customHeight="1" x14ac:dyDescent="0.25">
      <c r="A16818" s="2" t="s">
        <v>8</v>
      </c>
      <c r="B16818" s="2" t="str">
        <f>HYPERLINK("http://ts.21cn.com/tousu/show/id/1348585","钱站高利贷阴阳合同")</f>
        <v>钱站高利贷阴阳合同</v>
      </c>
      <c r="C16818" s="2" t="s">
        <v>9</v>
      </c>
      <c r="D16818" s="2" t="s">
        <v>10</v>
      </c>
      <c r="E16818" s="2" t="str">
        <f>HYPERLINK("http://ts.21cn.com/tousu/show/id/1348585","http://ts.21cn.com/tousu/show/id/1348585")</f>
        <v>http://ts.21cn.com/tousu/show/id/1348585</v>
      </c>
      <c r="F16818" s="2" t="s">
        <v>11</v>
      </c>
      <c r="G16818" s="2" t="s">
        <v>11120</v>
      </c>
      <c r="H16818" s="2" t="s">
        <v>11121</v>
      </c>
    </row>
    <row r="16819" spans="1:8" ht="25.05" customHeight="1" x14ac:dyDescent="0.25">
      <c r="A16819" s="2" t="s">
        <v>8</v>
      </c>
      <c r="B16819" s="2" t="str">
        <f>HYPERLINK("http://ts.21cn.com/tousu/show/id/1348587","东莞市轻奢维体健身房第二次无缘无故关门，老板跑路")</f>
        <v>东莞市轻奢维体健身房第二次无缘无故关门，老板跑路</v>
      </c>
      <c r="C16819" s="2" t="s">
        <v>9</v>
      </c>
      <c r="D16819" s="2" t="s">
        <v>10</v>
      </c>
      <c r="E16819" s="2" t="str">
        <f>HYPERLINK("http://ts.21cn.com/tousu/show/id/1348587","http://ts.21cn.com/tousu/show/id/1348587")</f>
        <v>http://ts.21cn.com/tousu/show/id/1348587</v>
      </c>
      <c r="F16819" s="2" t="s">
        <v>11</v>
      </c>
      <c r="G16819" s="2" t="s">
        <v>11118</v>
      </c>
      <c r="H16819" s="2" t="s">
        <v>11119</v>
      </c>
    </row>
    <row r="16820" spans="1:8" ht="25.05" customHeight="1" x14ac:dyDescent="0.25">
      <c r="A16820" s="2" t="s">
        <v>8</v>
      </c>
      <c r="B16820" s="2" t="str">
        <f>HYPERLINK("http://ts.21cn.com/tousu/show/id/1348588","龙分期还款不销帐！")</f>
        <v>龙分期还款不销帐！</v>
      </c>
      <c r="C16820" s="2" t="s">
        <v>9</v>
      </c>
      <c r="D16820" s="2" t="s">
        <v>10</v>
      </c>
      <c r="E16820" s="2" t="str">
        <f>HYPERLINK("http://ts.21cn.com/tousu/show/id/1348588","http://ts.21cn.com/tousu/show/id/1348588")</f>
        <v>http://ts.21cn.com/tousu/show/id/1348588</v>
      </c>
      <c r="F16820" s="2" t="s">
        <v>11</v>
      </c>
      <c r="G16820" s="2" t="s">
        <v>11116</v>
      </c>
      <c r="H16820" s="2" t="s">
        <v>11117</v>
      </c>
    </row>
    <row r="16821" spans="1:8" ht="25.05" customHeight="1" x14ac:dyDescent="0.25">
      <c r="A16821" s="2" t="s">
        <v>8</v>
      </c>
      <c r="B16821" s="2" t="str">
        <f>HYPERLINK("http://ts.21cn.com/tousu/show/id/1348589","交易猫买的阴阳师账号被找回")</f>
        <v>交易猫买的阴阳师账号被找回</v>
      </c>
      <c r="C16821" s="2" t="s">
        <v>34</v>
      </c>
      <c r="D16821" s="2" t="s">
        <v>10</v>
      </c>
      <c r="E16821" s="2" t="str">
        <f>HYPERLINK("http://ts.21cn.com/tousu/show/id/1348589","http://ts.21cn.com/tousu/show/id/1348589")</f>
        <v>http://ts.21cn.com/tousu/show/id/1348589</v>
      </c>
      <c r="F16821" s="2" t="s">
        <v>11</v>
      </c>
      <c r="G16821" s="2" t="s">
        <v>11114</v>
      </c>
      <c r="H16821" s="2" t="s">
        <v>11115</v>
      </c>
    </row>
    <row r="16822" spans="1:8" ht="25.05" customHeight="1" x14ac:dyDescent="0.25">
      <c r="A16822" s="2" t="s">
        <v>8</v>
      </c>
      <c r="B16822" s="2" t="str">
        <f>HYPERLINK("http://ts.21cn.com/tousu/show/id/1348590","拍拍贷有高利贷行为，违规和不规范服务行为，催收有恐吓和侵犯家人信息隐私行为。")</f>
        <v>拍拍贷有高利贷行为，违规和不规范服务行为，催收有恐吓和侵犯家人信息隐私行为。</v>
      </c>
      <c r="C16822" s="2" t="s">
        <v>9</v>
      </c>
      <c r="D16822" s="2" t="s">
        <v>10</v>
      </c>
      <c r="E16822" s="2" t="str">
        <f>HYPERLINK("http://ts.21cn.com/tousu/show/id/1348590","http://ts.21cn.com/tousu/show/id/1348590")</f>
        <v>http://ts.21cn.com/tousu/show/id/1348590</v>
      </c>
      <c r="F16822" s="2" t="s">
        <v>11</v>
      </c>
      <c r="G16822" s="2" t="s">
        <v>11112</v>
      </c>
      <c r="H16822" s="2" t="s">
        <v>11113</v>
      </c>
    </row>
    <row r="16823" spans="1:8" ht="25.05" customHeight="1" x14ac:dyDescent="0.25">
      <c r="A16823" s="2" t="s">
        <v>8</v>
      </c>
      <c r="B16823" s="2" t="str">
        <f>HYPERLINK("http://ts.21cn.com/tousu/show/id/1348592","微众银行暴力催收")</f>
        <v>微众银行暴力催收</v>
      </c>
      <c r="C16823" s="2" t="s">
        <v>9</v>
      </c>
      <c r="D16823" s="2" t="s">
        <v>10</v>
      </c>
      <c r="E16823" s="2" t="str">
        <f>HYPERLINK("http://ts.21cn.com/tousu/show/id/1348592","http://ts.21cn.com/tousu/show/id/1348592")</f>
        <v>http://ts.21cn.com/tousu/show/id/1348592</v>
      </c>
      <c r="F16823" s="2" t="s">
        <v>11</v>
      </c>
      <c r="G16823" s="2" t="s">
        <v>11110</v>
      </c>
      <c r="H16823" s="2" t="s">
        <v>11111</v>
      </c>
    </row>
    <row r="16824" spans="1:8" ht="25.05" customHeight="1" x14ac:dyDescent="0.25">
      <c r="A16824" s="2" t="s">
        <v>8</v>
      </c>
      <c r="B16824" s="2" t="str">
        <f>HYPERLINK("http://ts.21cn.com/tousu/show/id/1348594","盗刷银行卡")</f>
        <v>盗刷银行卡</v>
      </c>
      <c r="C16824" s="2" t="s">
        <v>9</v>
      </c>
      <c r="D16824" s="2" t="s">
        <v>10</v>
      </c>
      <c r="E16824" s="2" t="str">
        <f>HYPERLINK("http://ts.21cn.com/tousu/show/id/1348594","http://ts.21cn.com/tousu/show/id/1348594")</f>
        <v>http://ts.21cn.com/tousu/show/id/1348594</v>
      </c>
      <c r="F16824" s="2" t="s">
        <v>11</v>
      </c>
      <c r="G16824" s="2" t="s">
        <v>11108</v>
      </c>
      <c r="H16824" s="2" t="s">
        <v>11109</v>
      </c>
    </row>
    <row r="16825" spans="1:8" ht="25.05" customHeight="1" x14ac:dyDescent="0.25">
      <c r="A16825" s="2" t="s">
        <v>8</v>
      </c>
      <c r="B16825" s="2" t="str">
        <f>HYPERLINK("http://ts.21cn.com/tousu/show/id/1348595","闪银暴力恐吓催收")</f>
        <v>闪银暴力恐吓催收</v>
      </c>
      <c r="C16825" s="2" t="s">
        <v>9</v>
      </c>
      <c r="D16825" s="2" t="s">
        <v>10</v>
      </c>
      <c r="E16825" s="2" t="str">
        <f>HYPERLINK("http://ts.21cn.com/tousu/show/id/1348595","http://ts.21cn.com/tousu/show/id/1348595")</f>
        <v>http://ts.21cn.com/tousu/show/id/1348595</v>
      </c>
      <c r="F16825" s="2" t="s">
        <v>11</v>
      </c>
      <c r="G16825" s="2" t="s">
        <v>11106</v>
      </c>
      <c r="H16825" s="2" t="s">
        <v>11107</v>
      </c>
    </row>
    <row r="16826" spans="1:8" ht="25.05" customHeight="1" x14ac:dyDescent="0.25">
      <c r="A16826" s="2" t="s">
        <v>8</v>
      </c>
      <c r="B16826" s="2" t="str">
        <f>HYPERLINK("http://ts.21cn.com/tousu/show/id/1348596","大量用户无法退还立刻出行499元押金")</f>
        <v>大量用户无法退还立刻出行499元押金</v>
      </c>
      <c r="C16826" s="2" t="s">
        <v>34</v>
      </c>
      <c r="D16826" s="2" t="s">
        <v>10</v>
      </c>
      <c r="E16826" s="2" t="str">
        <f>HYPERLINK("http://ts.21cn.com/tousu/show/id/1348596","http://ts.21cn.com/tousu/show/id/1348596")</f>
        <v>http://ts.21cn.com/tousu/show/id/1348596</v>
      </c>
      <c r="F16826" s="2" t="s">
        <v>11</v>
      </c>
      <c r="G16826" s="2" t="s">
        <v>11104</v>
      </c>
      <c r="H16826" s="2" t="s">
        <v>11105</v>
      </c>
    </row>
    <row r="16827" spans="1:8" ht="25.05" customHeight="1" x14ac:dyDescent="0.25">
      <c r="A16827" s="2" t="s">
        <v>8</v>
      </c>
      <c r="B16827" s="2" t="str">
        <f>HYPERLINK("http://ts.21cn.com/tousu/show/id/1348597","钱站高利贷阴阳合同")</f>
        <v>钱站高利贷阴阳合同</v>
      </c>
      <c r="C16827" s="2" t="s">
        <v>9</v>
      </c>
      <c r="D16827" s="2" t="s">
        <v>10</v>
      </c>
      <c r="E16827" s="2" t="str">
        <f>HYPERLINK("http://ts.21cn.com/tousu/show/id/1348597","http://ts.21cn.com/tousu/show/id/1348597")</f>
        <v>http://ts.21cn.com/tousu/show/id/1348597</v>
      </c>
      <c r="F16827" s="2" t="s">
        <v>11</v>
      </c>
      <c r="G16827" s="2" t="s">
        <v>11102</v>
      </c>
      <c r="H16827" s="2" t="s">
        <v>11103</v>
      </c>
    </row>
    <row r="16828" spans="1:8" ht="25.05" customHeight="1" x14ac:dyDescent="0.25">
      <c r="A16828" s="2" t="s">
        <v>8</v>
      </c>
      <c r="B16828" s="2" t="str">
        <f>HYPERLINK("http://ts.21cn.com/tousu/show/id/1348599","平安普惠贷款隐瞒隐藏并强制收取高额保险费管理费投诉事宜")</f>
        <v>平安普惠贷款隐瞒隐藏并强制收取高额保险费管理费投诉事宜</v>
      </c>
      <c r="C16828" s="2" t="s">
        <v>9</v>
      </c>
      <c r="D16828" s="2" t="s">
        <v>10</v>
      </c>
      <c r="E16828" s="2" t="str">
        <f>HYPERLINK("http://ts.21cn.com/tousu/show/id/1348599","http://ts.21cn.com/tousu/show/id/1348599")</f>
        <v>http://ts.21cn.com/tousu/show/id/1348599</v>
      </c>
      <c r="F16828" s="2" t="s">
        <v>11</v>
      </c>
      <c r="G16828" s="2" t="s">
        <v>11100</v>
      </c>
      <c r="H16828" s="2" t="s">
        <v>11101</v>
      </c>
    </row>
    <row r="16829" spans="1:8" ht="25.05" customHeight="1" x14ac:dyDescent="0.25">
      <c r="A16829" s="2" t="s">
        <v>8</v>
      </c>
      <c r="B16829" s="2" t="str">
        <f>HYPERLINK("http://ts.21cn.com/tousu/show/id/1348600","冒充韵达招填单员收取押金")</f>
        <v>冒充韵达招填单员收取押金</v>
      </c>
      <c r="C16829" s="2" t="s">
        <v>9</v>
      </c>
      <c r="D16829" s="2" t="s">
        <v>10</v>
      </c>
      <c r="E16829" s="2" t="str">
        <f>HYPERLINK("http://ts.21cn.com/tousu/show/id/1348600","http://ts.21cn.com/tousu/show/id/1348600")</f>
        <v>http://ts.21cn.com/tousu/show/id/1348600</v>
      </c>
      <c r="F16829" s="2" t="s">
        <v>11</v>
      </c>
      <c r="G16829" s="2" t="s">
        <v>11098</v>
      </c>
      <c r="H16829" s="2" t="s">
        <v>11099</v>
      </c>
    </row>
    <row r="16830" spans="1:8" ht="25.05" customHeight="1" x14ac:dyDescent="0.25">
      <c r="A16830" s="2" t="s">
        <v>8</v>
      </c>
      <c r="B16830" s="2" t="str">
        <f>HYPERLINK("http://ts.21cn.com/tousu/show/id/1348601","平安普惠i贷态度差，隐瞒保险")</f>
        <v>平安普惠i贷态度差，隐瞒保险</v>
      </c>
      <c r="C16830" s="2" t="s">
        <v>9</v>
      </c>
      <c r="D16830" s="2" t="s">
        <v>10</v>
      </c>
      <c r="E16830" s="2" t="str">
        <f>HYPERLINK("http://ts.21cn.com/tousu/show/id/1348601","http://ts.21cn.com/tousu/show/id/1348601")</f>
        <v>http://ts.21cn.com/tousu/show/id/1348601</v>
      </c>
      <c r="F16830" s="2" t="s">
        <v>11</v>
      </c>
      <c r="G16830" s="2" t="s">
        <v>11096</v>
      </c>
      <c r="H16830" s="2" t="s">
        <v>11097</v>
      </c>
    </row>
    <row r="16831" spans="1:8" ht="25.05" customHeight="1" x14ac:dyDescent="0.25">
      <c r="A16831" s="2" t="s">
        <v>8</v>
      </c>
      <c r="B16831" s="2" t="str">
        <f>HYPERLINK("http://ts.21cn.com/tousu/show/id/1348602","平安普惠暴力催收高利贷")</f>
        <v>平安普惠暴力催收高利贷</v>
      </c>
      <c r="C16831" s="2" t="s">
        <v>9</v>
      </c>
      <c r="D16831" s="2" t="s">
        <v>10</v>
      </c>
      <c r="E16831" s="2" t="str">
        <f>HYPERLINK("http://ts.21cn.com/tousu/show/id/1348602","http://ts.21cn.com/tousu/show/id/1348602")</f>
        <v>http://ts.21cn.com/tousu/show/id/1348602</v>
      </c>
      <c r="F16831" s="2" t="s">
        <v>11</v>
      </c>
      <c r="G16831" s="2" t="s">
        <v>11094</v>
      </c>
      <c r="H16831" s="2" t="s">
        <v>11095</v>
      </c>
    </row>
    <row r="16832" spans="1:8" ht="25.05" customHeight="1" x14ac:dyDescent="0.25">
      <c r="A16832" s="2" t="s">
        <v>8</v>
      </c>
      <c r="B16832" s="2" t="str">
        <f>HYPERLINK("http://ts.21cn.com/tousu/show/id/1348604","交易猫购买游戏账号交易失败后，退款失败")</f>
        <v>交易猫购买游戏账号交易失败后，退款失败</v>
      </c>
      <c r="C16832" s="2" t="s">
        <v>34</v>
      </c>
      <c r="D16832" s="2" t="s">
        <v>10</v>
      </c>
      <c r="E16832" s="2" t="str">
        <f>HYPERLINK("http://ts.21cn.com/tousu/show/id/1348604","http://ts.21cn.com/tousu/show/id/1348604")</f>
        <v>http://ts.21cn.com/tousu/show/id/1348604</v>
      </c>
      <c r="F16832" s="2" t="s">
        <v>11</v>
      </c>
      <c r="G16832" s="2" t="s">
        <v>11092</v>
      </c>
      <c r="H16832" s="2" t="s">
        <v>11093</v>
      </c>
    </row>
    <row r="16833" spans="1:8" ht="25.05" customHeight="1" x14ac:dyDescent="0.25">
      <c r="A16833" s="2" t="s">
        <v>8</v>
      </c>
      <c r="B16833" s="2" t="str">
        <f>HYPERLINK("http://ts.21cn.com/tousu/show/id/1348603","马上消费金融暴力催收，砍头息")</f>
        <v>马上消费金融暴力催收，砍头息</v>
      </c>
      <c r="C16833" s="2" t="s">
        <v>9</v>
      </c>
      <c r="D16833" s="2" t="s">
        <v>10</v>
      </c>
      <c r="E16833" s="2" t="str">
        <f>HYPERLINK("http://ts.21cn.com/tousu/show/id/1348603","http://ts.21cn.com/tousu/show/id/1348603")</f>
        <v>http://ts.21cn.com/tousu/show/id/1348603</v>
      </c>
      <c r="F16833" s="2" t="s">
        <v>11</v>
      </c>
      <c r="G16833" s="2" t="s">
        <v>11090</v>
      </c>
      <c r="H16833" s="2" t="s">
        <v>11091</v>
      </c>
    </row>
    <row r="16834" spans="1:8" ht="25.05" customHeight="1" x14ac:dyDescent="0.25">
      <c r="A16834" s="2" t="s">
        <v>8</v>
      </c>
      <c r="B16834" s="2" t="str">
        <f>HYPERLINK("http://ts.21cn.com/tousu/show/id/1348607","退款不成功")</f>
        <v>退款不成功</v>
      </c>
      <c r="C16834" s="2" t="s">
        <v>34</v>
      </c>
      <c r="D16834" s="2" t="s">
        <v>10</v>
      </c>
      <c r="E16834" s="2" t="str">
        <f>HYPERLINK("http://ts.21cn.com/tousu/show/id/1348607","http://ts.21cn.com/tousu/show/id/1348607")</f>
        <v>http://ts.21cn.com/tousu/show/id/1348607</v>
      </c>
      <c r="F16834" s="2" t="s">
        <v>11</v>
      </c>
      <c r="G16834" s="2" t="s">
        <v>11088</v>
      </c>
      <c r="H16834" s="2" t="s">
        <v>11089</v>
      </c>
    </row>
    <row r="16835" spans="1:8" ht="25.05" customHeight="1" x14ac:dyDescent="0.25">
      <c r="A16835" s="2" t="s">
        <v>8</v>
      </c>
      <c r="B16835" s="2" t="str">
        <f>HYPERLINK("http://ts.21cn.com/tousu/show/id/1348606","微信被恶意打标为狐狸")</f>
        <v>微信被恶意打标为狐狸</v>
      </c>
      <c r="C16835" s="2" t="s">
        <v>9</v>
      </c>
      <c r="D16835" s="2" t="s">
        <v>10</v>
      </c>
      <c r="E16835" s="2" t="str">
        <f>HYPERLINK("http://ts.21cn.com/tousu/show/id/1348606","http://ts.21cn.com/tousu/show/id/1348606")</f>
        <v>http://ts.21cn.com/tousu/show/id/1348606</v>
      </c>
      <c r="F16835" s="2" t="s">
        <v>11</v>
      </c>
      <c r="G16835" s="2" t="s">
        <v>11086</v>
      </c>
      <c r="H16835" s="2" t="s">
        <v>11087</v>
      </c>
    </row>
    <row r="16836" spans="1:8" ht="25.05" customHeight="1" x14ac:dyDescent="0.25">
      <c r="A16836" s="2" t="s">
        <v>8</v>
      </c>
      <c r="B16836" s="2" t="str">
        <f>HYPERLINK("http://ts.21cn.com/tousu/show/id/1348608","在唯品会114块钱打水漂")</f>
        <v>在唯品会114块钱打水漂</v>
      </c>
      <c r="C16836" s="2" t="s">
        <v>9</v>
      </c>
      <c r="D16836" s="2" t="s">
        <v>10</v>
      </c>
      <c r="E16836" s="2" t="str">
        <f>HYPERLINK("http://ts.21cn.com/tousu/show/id/1348608","http://ts.21cn.com/tousu/show/id/1348608")</f>
        <v>http://ts.21cn.com/tousu/show/id/1348608</v>
      </c>
      <c r="F16836" s="2" t="s">
        <v>11</v>
      </c>
      <c r="G16836" s="2" t="s">
        <v>11084</v>
      </c>
      <c r="H16836" s="2" t="s">
        <v>11085</v>
      </c>
    </row>
    <row r="16837" spans="1:8" ht="25.05" customHeight="1" x14ac:dyDescent="0.25">
      <c r="A16837" s="2" t="s">
        <v>8</v>
      </c>
      <c r="B16837" s="2" t="str">
        <f>HYPERLINK("http://ts.21cn.com/tousu/show/id/1348609","维信闪贷私自从我银行卡里扣钱")</f>
        <v>维信闪贷私自从我银行卡里扣钱</v>
      </c>
      <c r="C16837" s="2" t="s">
        <v>9</v>
      </c>
      <c r="D16837" s="2" t="s">
        <v>10</v>
      </c>
      <c r="E16837" s="2" t="str">
        <f>HYPERLINK("http://ts.21cn.com/tousu/show/id/1348609","http://ts.21cn.com/tousu/show/id/1348609")</f>
        <v>http://ts.21cn.com/tousu/show/id/1348609</v>
      </c>
      <c r="F16837" s="2" t="s">
        <v>11</v>
      </c>
      <c r="G16837" s="2" t="s">
        <v>11082</v>
      </c>
      <c r="H16837" s="2" t="s">
        <v>11083</v>
      </c>
    </row>
    <row r="16838" spans="1:8" ht="25.05" customHeight="1" x14ac:dyDescent="0.25">
      <c r="A16838" s="2" t="s">
        <v>8</v>
      </c>
      <c r="B16838" s="2" t="str">
        <f>HYPERLINK("http://ts.21cn.com/tousu/show/id/1348610","淘手游提现支付宝不到账")</f>
        <v>淘手游提现支付宝不到账</v>
      </c>
      <c r="C16838" s="2" t="s">
        <v>9</v>
      </c>
      <c r="D16838" s="2" t="s">
        <v>10</v>
      </c>
      <c r="E16838" s="2" t="str">
        <f>HYPERLINK("http://ts.21cn.com/tousu/show/id/1348610","http://ts.21cn.com/tousu/show/id/1348610")</f>
        <v>http://ts.21cn.com/tousu/show/id/1348610</v>
      </c>
      <c r="F16838" s="2" t="s">
        <v>11</v>
      </c>
      <c r="G16838" s="2" t="s">
        <v>11080</v>
      </c>
      <c r="H16838" s="2" t="s">
        <v>11081</v>
      </c>
    </row>
    <row r="16839" spans="1:8" ht="25.05" customHeight="1" x14ac:dyDescent="0.25">
      <c r="A16839" s="2" t="s">
        <v>8</v>
      </c>
      <c r="B16839" s="2" t="str">
        <f>HYPERLINK("http://ts.21cn.com/tousu/show/id/1348611","刚下单不到一小时就取消不了订单了")</f>
        <v>刚下单不到一小时就取消不了订单了</v>
      </c>
      <c r="C16839" s="2" t="s">
        <v>34</v>
      </c>
      <c r="D16839" s="2" t="s">
        <v>10</v>
      </c>
      <c r="E16839" s="2" t="str">
        <f>HYPERLINK("http://ts.21cn.com/tousu/show/id/1348611","http://ts.21cn.com/tousu/show/id/1348611")</f>
        <v>http://ts.21cn.com/tousu/show/id/1348611</v>
      </c>
      <c r="F16839" s="2" t="s">
        <v>11</v>
      </c>
      <c r="G16839" s="2" t="s">
        <v>11078</v>
      </c>
      <c r="H16839" s="2" t="s">
        <v>11079</v>
      </c>
    </row>
    <row r="16840" spans="1:8" ht="25.05" customHeight="1" x14ac:dyDescent="0.25">
      <c r="A16840" s="2" t="s">
        <v>8</v>
      </c>
      <c r="B16840" s="2" t="str">
        <f>HYPERLINK("http://ts.21cn.com/tousu/show/id/1348612","捷信公司利息太高")</f>
        <v>捷信公司利息太高</v>
      </c>
      <c r="C16840" s="2" t="s">
        <v>9</v>
      </c>
      <c r="D16840" s="2" t="s">
        <v>10</v>
      </c>
      <c r="E16840" s="2" t="str">
        <f>HYPERLINK("http://ts.21cn.com/tousu/show/id/1348612","http://ts.21cn.com/tousu/show/id/1348612")</f>
        <v>http://ts.21cn.com/tousu/show/id/1348612</v>
      </c>
      <c r="F16840" s="2" t="s">
        <v>11</v>
      </c>
      <c r="G16840" s="2" t="s">
        <v>11076</v>
      </c>
      <c r="H16840" s="2" t="s">
        <v>11077</v>
      </c>
    </row>
    <row r="16841" spans="1:8" ht="25.05" customHeight="1" x14ac:dyDescent="0.25">
      <c r="A16841" s="2" t="s">
        <v>8</v>
      </c>
      <c r="B16841" s="2" t="str">
        <f>HYPERLINK("http://ts.21cn.com/tousu/show/id/1348613","转转平台恶意扣取保证金")</f>
        <v>转转平台恶意扣取保证金</v>
      </c>
      <c r="C16841" s="2" t="s">
        <v>9</v>
      </c>
      <c r="D16841" s="2" t="s">
        <v>10</v>
      </c>
      <c r="E16841" s="2" t="str">
        <f>HYPERLINK("http://ts.21cn.com/tousu/show/id/1348613","http://ts.21cn.com/tousu/show/id/1348613")</f>
        <v>http://ts.21cn.com/tousu/show/id/1348613</v>
      </c>
      <c r="F16841" s="2" t="s">
        <v>11</v>
      </c>
      <c r="G16841" s="2" t="s">
        <v>11074</v>
      </c>
      <c r="H16841" s="2" t="s">
        <v>11075</v>
      </c>
    </row>
    <row r="16842" spans="1:8" ht="25.05" customHeight="1" x14ac:dyDescent="0.25">
      <c r="A16842" s="2" t="s">
        <v>8</v>
      </c>
      <c r="B16842" s="2" t="str">
        <f>HYPERLINK("http://ts.21cn.com/tousu/show/id/1348614","小浦优客未经同意扣款")</f>
        <v>小浦优客未经同意扣款</v>
      </c>
      <c r="C16842" s="2" t="s">
        <v>9</v>
      </c>
      <c r="D16842" s="2" t="s">
        <v>10</v>
      </c>
      <c r="E16842" s="2" t="str">
        <f>HYPERLINK("http://ts.21cn.com/tousu/show/id/1348614","http://ts.21cn.com/tousu/show/id/1348614")</f>
        <v>http://ts.21cn.com/tousu/show/id/1348614</v>
      </c>
      <c r="F16842" s="2" t="s">
        <v>11</v>
      </c>
      <c r="G16842" s="2" t="s">
        <v>11072</v>
      </c>
      <c r="H16842" s="2" t="s">
        <v>11073</v>
      </c>
    </row>
    <row r="16843" spans="1:8" ht="25.05" customHeight="1" x14ac:dyDescent="0.25">
      <c r="A16843" s="2" t="s">
        <v>8</v>
      </c>
      <c r="B16843" s="2" t="str">
        <f>HYPERLINK("http://ts.21cn.com/tousu/show/id/1348615","腾讯新闻极速版虚假活动")</f>
        <v>腾讯新闻极速版虚假活动</v>
      </c>
      <c r="C16843" s="2" t="s">
        <v>9</v>
      </c>
      <c r="D16843" s="2" t="s">
        <v>10</v>
      </c>
      <c r="E16843" s="2" t="str">
        <f>HYPERLINK("http://ts.21cn.com/tousu/show/id/1348615","http://ts.21cn.com/tousu/show/id/1348615")</f>
        <v>http://ts.21cn.com/tousu/show/id/1348615</v>
      </c>
      <c r="F16843" s="2" t="s">
        <v>11</v>
      </c>
      <c r="G16843" s="2" t="s">
        <v>11070</v>
      </c>
      <c r="H16843" s="2" t="s">
        <v>11071</v>
      </c>
    </row>
    <row r="16844" spans="1:8" ht="25.05" customHeight="1" x14ac:dyDescent="0.25">
      <c r="A16844" s="2" t="s">
        <v>8</v>
      </c>
      <c r="B16844" s="2" t="str">
        <f>HYPERLINK("http://ts.21cn.com/tousu/show/id/1348616","协商还款催收")</f>
        <v>协商还款催收</v>
      </c>
      <c r="C16844" s="2" t="s">
        <v>9</v>
      </c>
      <c r="D16844" s="2" t="s">
        <v>10</v>
      </c>
      <c r="E16844" s="2" t="str">
        <f>HYPERLINK("http://ts.21cn.com/tousu/show/id/1348616","http://ts.21cn.com/tousu/show/id/1348616")</f>
        <v>http://ts.21cn.com/tousu/show/id/1348616</v>
      </c>
      <c r="F16844" s="2" t="s">
        <v>11</v>
      </c>
      <c r="G16844" s="2" t="s">
        <v>11068</v>
      </c>
      <c r="H16844" s="2" t="s">
        <v>11069</v>
      </c>
    </row>
    <row r="16845" spans="1:8" ht="25.05" customHeight="1" x14ac:dyDescent="0.25">
      <c r="A16845" s="2" t="s">
        <v>8</v>
      </c>
      <c r="B16845" s="2" t="str">
        <f>HYPERLINK("http://ts.21cn.com/tousu/show/id/1348617","360借条霸王条款不让提前还款借一天要还12个月利息")</f>
        <v>360借条霸王条款不让提前还款借一天要还12个月利息</v>
      </c>
      <c r="C16845" s="2" t="s">
        <v>9</v>
      </c>
      <c r="D16845" s="2" t="s">
        <v>10</v>
      </c>
      <c r="E16845" s="2" t="str">
        <f>HYPERLINK("http://ts.21cn.com/tousu/show/id/1348617","http://ts.21cn.com/tousu/show/id/1348617")</f>
        <v>http://ts.21cn.com/tousu/show/id/1348617</v>
      </c>
      <c r="F16845" s="2" t="s">
        <v>11</v>
      </c>
      <c r="G16845" s="2" t="s">
        <v>11066</v>
      </c>
      <c r="H16845" s="2" t="s">
        <v>11067</v>
      </c>
    </row>
    <row r="16846" spans="1:8" ht="25.05" customHeight="1" x14ac:dyDescent="0.25">
      <c r="A16846" s="2" t="s">
        <v>8</v>
      </c>
      <c r="B16846" s="2" t="str">
        <f>HYPERLINK("http://ts.21cn.com/tousu/show/id/1348618","交易猫退款失败")</f>
        <v>交易猫退款失败</v>
      </c>
      <c r="C16846" s="2" t="s">
        <v>9</v>
      </c>
      <c r="D16846" s="2" t="s">
        <v>10</v>
      </c>
      <c r="E16846" s="2" t="str">
        <f>HYPERLINK("http://ts.21cn.com/tousu/show/id/1348618","http://ts.21cn.com/tousu/show/id/1348618")</f>
        <v>http://ts.21cn.com/tousu/show/id/1348618</v>
      </c>
      <c r="F16846" s="2" t="s">
        <v>11</v>
      </c>
      <c r="G16846" s="2" t="s">
        <v>11064</v>
      </c>
      <c r="H16846" s="2" t="s">
        <v>11065</v>
      </c>
    </row>
    <row r="16847" spans="1:8" ht="25.05" customHeight="1" x14ac:dyDescent="0.25">
      <c r="A16847" s="2" t="s">
        <v>8</v>
      </c>
      <c r="B16847" s="2" t="str">
        <f>HYPERLINK("http://ts.21cn.com/tousu/show/id/1347627","大麦网买错票不给我退")</f>
        <v>大麦网买错票不给我退</v>
      </c>
      <c r="C16847" s="2" t="s">
        <v>9</v>
      </c>
      <c r="D16847" s="2" t="s">
        <v>10</v>
      </c>
      <c r="E16847" s="2" t="str">
        <f>HYPERLINK("http://ts.21cn.com/tousu/show/id/1347627","http://ts.21cn.com/tousu/show/id/1347627")</f>
        <v>http://ts.21cn.com/tousu/show/id/1347627</v>
      </c>
      <c r="F16847" s="2" t="s">
        <v>11</v>
      </c>
      <c r="G16847" s="2" t="s">
        <v>11062</v>
      </c>
      <c r="H16847" s="2" t="s">
        <v>11063</v>
      </c>
    </row>
    <row r="16848" spans="1:8" ht="25.05" customHeight="1" x14ac:dyDescent="0.25">
      <c r="A16848" s="2" t="s">
        <v>8</v>
      </c>
      <c r="B16848" s="2" t="str">
        <f>HYPERLINK("http://ts.21cn.com/tousu/show/id/1348619","投诉用钱宝爆通讯录，发伪造律师函")</f>
        <v>投诉用钱宝爆通讯录，发伪造律师函</v>
      </c>
      <c r="C16848" s="2" t="s">
        <v>9</v>
      </c>
      <c r="D16848" s="2" t="s">
        <v>10</v>
      </c>
      <c r="E16848" s="2" t="str">
        <f>HYPERLINK("http://ts.21cn.com/tousu/show/id/1348619","http://ts.21cn.com/tousu/show/id/1348619")</f>
        <v>http://ts.21cn.com/tousu/show/id/1348619</v>
      </c>
      <c r="F16848" s="2" t="s">
        <v>11</v>
      </c>
      <c r="G16848" s="2" t="s">
        <v>11060</v>
      </c>
      <c r="H16848" s="2" t="s">
        <v>11061</v>
      </c>
    </row>
    <row r="16849" spans="1:8" ht="25.05" customHeight="1" x14ac:dyDescent="0.25">
      <c r="A16849" s="2" t="s">
        <v>8</v>
      </c>
      <c r="B16849" s="2" t="str">
        <f>HYPERLINK("http://ts.21cn.com/tousu/show/id/1348620","U现金注册绑定银行卡就扣款")</f>
        <v>U现金注册绑定银行卡就扣款</v>
      </c>
      <c r="C16849" s="2" t="s">
        <v>9</v>
      </c>
      <c r="D16849" s="2" t="s">
        <v>10</v>
      </c>
      <c r="E16849" s="2" t="str">
        <f>HYPERLINK("http://ts.21cn.com/tousu/show/id/1348620","http://ts.21cn.com/tousu/show/id/1348620")</f>
        <v>http://ts.21cn.com/tousu/show/id/1348620</v>
      </c>
      <c r="F16849" s="2" t="s">
        <v>11</v>
      </c>
      <c r="G16849" s="2" t="s">
        <v>11058</v>
      </c>
      <c r="H16849" s="2" t="s">
        <v>11059</v>
      </c>
    </row>
    <row r="16850" spans="1:8" ht="25.05" customHeight="1" x14ac:dyDescent="0.25">
      <c r="A16850" s="2" t="s">
        <v>8</v>
      </c>
      <c r="B16850" s="2" t="str">
        <f>HYPERLINK("http://ts.21cn.com/tousu/show/id/1348593","今日头条广告推广长时间不退款")</f>
        <v>今日头条广告推广长时间不退款</v>
      </c>
      <c r="C16850" s="2" t="s">
        <v>9</v>
      </c>
      <c r="D16850" s="2" t="s">
        <v>10</v>
      </c>
      <c r="E16850" s="2" t="str">
        <f>HYPERLINK("http://ts.21cn.com/tousu/show/id/1348593","http://ts.21cn.com/tousu/show/id/1348593")</f>
        <v>http://ts.21cn.com/tousu/show/id/1348593</v>
      </c>
      <c r="F16850" s="2" t="s">
        <v>11</v>
      </c>
      <c r="G16850" s="2" t="s">
        <v>11056</v>
      </c>
      <c r="H16850" s="2" t="s">
        <v>11057</v>
      </c>
    </row>
    <row r="16851" spans="1:8" ht="25.05" customHeight="1" x14ac:dyDescent="0.25">
      <c r="A16851" s="2" t="s">
        <v>8</v>
      </c>
      <c r="B16851" s="2" t="str">
        <f>HYPERLINK("http://ts.21cn.com/tousu/show/id/1348621","合同欺诈，私自扣款")</f>
        <v>合同欺诈，私自扣款</v>
      </c>
      <c r="C16851" s="2" t="s">
        <v>9</v>
      </c>
      <c r="D16851" s="2" t="s">
        <v>10</v>
      </c>
      <c r="E16851" s="2" t="str">
        <f>HYPERLINK("http://ts.21cn.com/tousu/show/id/1348621","http://ts.21cn.com/tousu/show/id/1348621")</f>
        <v>http://ts.21cn.com/tousu/show/id/1348621</v>
      </c>
      <c r="F16851" s="2" t="s">
        <v>11</v>
      </c>
      <c r="G16851" s="2" t="s">
        <v>11054</v>
      </c>
      <c r="H16851" s="2" t="s">
        <v>11055</v>
      </c>
    </row>
    <row r="16852" spans="1:8" ht="25.05" customHeight="1" x14ac:dyDescent="0.25">
      <c r="A16852" s="2" t="s">
        <v>8</v>
      </c>
      <c r="B16852" s="2" t="str">
        <f>HYPERLINK("http://ts.21cn.com/tousu/show/id/1348622","航旅之家vip黑金卡存在欺诈")</f>
        <v>航旅之家vip黑金卡存在欺诈</v>
      </c>
      <c r="C16852" s="2" t="s">
        <v>9</v>
      </c>
      <c r="D16852" s="2" t="s">
        <v>10</v>
      </c>
      <c r="E16852" s="2" t="str">
        <f>HYPERLINK("http://ts.21cn.com/tousu/show/id/1348622","http://ts.21cn.com/tousu/show/id/1348622")</f>
        <v>http://ts.21cn.com/tousu/show/id/1348622</v>
      </c>
      <c r="F16852" s="2" t="s">
        <v>11</v>
      </c>
      <c r="G16852" s="2" t="s">
        <v>11052</v>
      </c>
      <c r="H16852" s="2" t="s">
        <v>11053</v>
      </c>
    </row>
    <row r="16853" spans="1:8" ht="25.05" customHeight="1" x14ac:dyDescent="0.25">
      <c r="A16853" s="2" t="s">
        <v>8</v>
      </c>
      <c r="B16853" s="2" t="str">
        <f>HYPERLINK("http://ts.21cn.com/tousu/show/id/1348625","浦发信用卡逾期暴力催收，不肯协商")</f>
        <v>浦发信用卡逾期暴力催收，不肯协商</v>
      </c>
      <c r="C16853" s="2" t="s">
        <v>9</v>
      </c>
      <c r="D16853" s="2" t="s">
        <v>10</v>
      </c>
      <c r="E16853" s="2" t="str">
        <f>HYPERLINK("http://ts.21cn.com/tousu/show/id/1348625","http://ts.21cn.com/tousu/show/id/1348625")</f>
        <v>http://ts.21cn.com/tousu/show/id/1348625</v>
      </c>
      <c r="F16853" s="2" t="s">
        <v>11</v>
      </c>
      <c r="G16853" s="2" t="s">
        <v>11049</v>
      </c>
      <c r="H16853" s="2" t="s">
        <v>11050</v>
      </c>
    </row>
    <row r="16854" spans="1:8" ht="25.05" customHeight="1" x14ac:dyDescent="0.25">
      <c r="A16854" s="2" t="s">
        <v>8</v>
      </c>
      <c r="B16854" s="2" t="str">
        <f>HYPERLINK("http://ts.21cn.com/tousu/show/id/1348623","一家名叫百事惠普的产品，强行扣除银行卡余额")</f>
        <v>一家名叫百事惠普的产品，强行扣除银行卡余额</v>
      </c>
      <c r="C16854" s="2" t="s">
        <v>9</v>
      </c>
      <c r="D16854" s="2" t="s">
        <v>10</v>
      </c>
      <c r="E16854" s="2" t="str">
        <f>HYPERLINK("http://ts.21cn.com/tousu/show/id/1348623","http://ts.21cn.com/tousu/show/id/1348623")</f>
        <v>http://ts.21cn.com/tousu/show/id/1348623</v>
      </c>
      <c r="F16854" s="2" t="s">
        <v>11</v>
      </c>
      <c r="G16854" s="2" t="s">
        <v>11049</v>
      </c>
      <c r="H16854" s="2" t="s">
        <v>11051</v>
      </c>
    </row>
    <row r="16855" spans="1:8" ht="25.05" customHeight="1" x14ac:dyDescent="0.25">
      <c r="A16855" s="2" t="s">
        <v>8</v>
      </c>
      <c r="B16855" s="2" t="str">
        <f>HYPERLINK("http://ts.21cn.com/tousu/show/id/1348624","货上钱借2000元要还2460")</f>
        <v>货上钱借2000元要还2460</v>
      </c>
      <c r="C16855" s="2" t="s">
        <v>9</v>
      </c>
      <c r="D16855" s="2" t="s">
        <v>10</v>
      </c>
      <c r="E16855" s="2" t="str">
        <f>HYPERLINK("http://ts.21cn.com/tousu/show/id/1348624","http://ts.21cn.com/tousu/show/id/1348624")</f>
        <v>http://ts.21cn.com/tousu/show/id/1348624</v>
      </c>
      <c r="F16855" s="2" t="s">
        <v>11</v>
      </c>
      <c r="G16855" s="2" t="s">
        <v>11047</v>
      </c>
      <c r="H16855" s="2" t="s">
        <v>11048</v>
      </c>
    </row>
    <row r="16856" spans="1:8" ht="25.05" customHeight="1" x14ac:dyDescent="0.25">
      <c r="A16856" s="2" t="s">
        <v>8</v>
      </c>
      <c r="B16856" s="2" t="str">
        <f>HYPERLINK("http://ts.21cn.com/tousu/show/id/1348626","借贷宝纵容放高利贷")</f>
        <v>借贷宝纵容放高利贷</v>
      </c>
      <c r="C16856" s="2" t="s">
        <v>9</v>
      </c>
      <c r="D16856" s="2" t="s">
        <v>10</v>
      </c>
      <c r="E16856" s="2" t="str">
        <f>HYPERLINK("http://ts.21cn.com/tousu/show/id/1348626","http://ts.21cn.com/tousu/show/id/1348626")</f>
        <v>http://ts.21cn.com/tousu/show/id/1348626</v>
      </c>
      <c r="F16856" s="2" t="s">
        <v>11</v>
      </c>
      <c r="G16856" s="2" t="s">
        <v>11045</v>
      </c>
      <c r="H16856" s="2" t="s">
        <v>11046</v>
      </c>
    </row>
    <row r="16857" spans="1:8" ht="25.05" customHeight="1" x14ac:dyDescent="0.25">
      <c r="A16857" s="2" t="s">
        <v>8</v>
      </c>
      <c r="B16857" s="2" t="str">
        <f>HYPERLINK("http://ts.21cn.com/tousu/show/id/1348627","自由魔卡超级马力贷违法高利贷")</f>
        <v>自由魔卡超级马力贷违法高利贷</v>
      </c>
      <c r="C16857" s="2" t="s">
        <v>9</v>
      </c>
      <c r="D16857" s="2" t="s">
        <v>10</v>
      </c>
      <c r="E16857" s="2" t="str">
        <f>HYPERLINK("http://ts.21cn.com/tousu/show/id/1348627","http://ts.21cn.com/tousu/show/id/1348627")</f>
        <v>http://ts.21cn.com/tousu/show/id/1348627</v>
      </c>
      <c r="F16857" s="2" t="s">
        <v>11</v>
      </c>
      <c r="G16857" s="2" t="s">
        <v>11043</v>
      </c>
      <c r="H16857" s="2" t="s">
        <v>11044</v>
      </c>
    </row>
    <row r="16858" spans="1:8" ht="25.05" customHeight="1" x14ac:dyDescent="0.25">
      <c r="A16858" s="2" t="s">
        <v>8</v>
      </c>
      <c r="B16858" s="2" t="str">
        <f>HYPERLINK("http://ts.21cn.com/tousu/show/id/1348628","砍头息，电话骚扰，平台服务费高")</f>
        <v>砍头息，电话骚扰，平台服务费高</v>
      </c>
      <c r="C16858" s="2" t="s">
        <v>9</v>
      </c>
      <c r="D16858" s="2" t="s">
        <v>10</v>
      </c>
      <c r="E16858" s="2" t="str">
        <f>HYPERLINK("http://ts.21cn.com/tousu/show/id/1348628","http://ts.21cn.com/tousu/show/id/1348628")</f>
        <v>http://ts.21cn.com/tousu/show/id/1348628</v>
      </c>
      <c r="F16858" s="2" t="s">
        <v>11</v>
      </c>
      <c r="G16858" s="2" t="s">
        <v>11041</v>
      </c>
      <c r="H16858" s="2" t="s">
        <v>11042</v>
      </c>
    </row>
    <row r="16859" spans="1:8" ht="25.05" customHeight="1" x14ac:dyDescent="0.25">
      <c r="A16859" s="2" t="s">
        <v>8</v>
      </c>
      <c r="B16859" s="2" t="str">
        <f>HYPERLINK("http://ts.21cn.com/tousu/show/id/1348629","交易猫退款没有及时退款")</f>
        <v>交易猫退款没有及时退款</v>
      </c>
      <c r="C16859" s="2" t="s">
        <v>9</v>
      </c>
      <c r="D16859" s="2" t="s">
        <v>10</v>
      </c>
      <c r="E16859" s="2" t="str">
        <f>HYPERLINK("http://ts.21cn.com/tousu/show/id/1348629","http://ts.21cn.com/tousu/show/id/1348629")</f>
        <v>http://ts.21cn.com/tousu/show/id/1348629</v>
      </c>
      <c r="F16859" s="2" t="s">
        <v>11</v>
      </c>
      <c r="G16859" s="2" t="s">
        <v>11038</v>
      </c>
      <c r="H16859" s="2" t="s">
        <v>11039</v>
      </c>
    </row>
    <row r="16860" spans="1:8" ht="25.05" customHeight="1" x14ac:dyDescent="0.25">
      <c r="A16860" s="2" t="s">
        <v>8</v>
      </c>
      <c r="B16860" s="2" t="str">
        <f>HYPERLINK("http://ts.21cn.com/tousu/show/id/1348630","退款问题，欺诈消费者")</f>
        <v>退款问题，欺诈消费者</v>
      </c>
      <c r="C16860" s="2" t="s">
        <v>9</v>
      </c>
      <c r="D16860" s="2" t="s">
        <v>10</v>
      </c>
      <c r="E16860" s="2" t="str">
        <f>HYPERLINK("http://ts.21cn.com/tousu/show/id/1348630","http://ts.21cn.com/tousu/show/id/1348630")</f>
        <v>http://ts.21cn.com/tousu/show/id/1348630</v>
      </c>
      <c r="F16860" s="2" t="s">
        <v>11</v>
      </c>
      <c r="G16860" s="2" t="s">
        <v>11038</v>
      </c>
      <c r="H16860" s="2" t="s">
        <v>11040</v>
      </c>
    </row>
    <row r="16861" spans="1:8" ht="25.05" customHeight="1" x14ac:dyDescent="0.25">
      <c r="A16861" s="2" t="s">
        <v>8</v>
      </c>
      <c r="B16861" s="2" t="str">
        <f>HYPERLINK("http://ts.21cn.com/tousu/show/id/1348631","买车两年多了，滴滴出行一直不给升级专车，车贷都还不起了")</f>
        <v>买车两年多了，滴滴出行一直不给升级专车，车贷都还不起了</v>
      </c>
      <c r="C16861" s="2" t="s">
        <v>9</v>
      </c>
      <c r="D16861" s="2" t="s">
        <v>10</v>
      </c>
      <c r="E16861" s="2" t="str">
        <f>HYPERLINK("http://ts.21cn.com/tousu/show/id/1348631","http://ts.21cn.com/tousu/show/id/1348631")</f>
        <v>http://ts.21cn.com/tousu/show/id/1348631</v>
      </c>
      <c r="F16861" s="2" t="s">
        <v>11</v>
      </c>
      <c r="G16861" s="2" t="s">
        <v>11036</v>
      </c>
      <c r="H16861" s="2" t="s">
        <v>11037</v>
      </c>
    </row>
    <row r="16862" spans="1:8" ht="25.05" customHeight="1" x14ac:dyDescent="0.25">
      <c r="A16862" s="2" t="s">
        <v>8</v>
      </c>
      <c r="B16862" s="2" t="str">
        <f>HYPERLINK("http://ts.21cn.com/tousu/show/id/1348632","信用管家的91买呗砍头息高利贷")</f>
        <v>信用管家的91买呗砍头息高利贷</v>
      </c>
      <c r="C16862" s="2" t="s">
        <v>9</v>
      </c>
      <c r="D16862" s="2" t="s">
        <v>10</v>
      </c>
      <c r="E16862" s="2" t="str">
        <f>HYPERLINK("http://ts.21cn.com/tousu/show/id/1348632","http://ts.21cn.com/tousu/show/id/1348632")</f>
        <v>http://ts.21cn.com/tousu/show/id/1348632</v>
      </c>
      <c r="F16862" s="2" t="s">
        <v>11</v>
      </c>
      <c r="G16862" s="2" t="s">
        <v>11034</v>
      </c>
      <c r="H16862" s="2" t="s">
        <v>11035</v>
      </c>
    </row>
    <row r="16863" spans="1:8" ht="25.05" customHeight="1" x14ac:dyDescent="0.25">
      <c r="A16863" s="2" t="s">
        <v>8</v>
      </c>
      <c r="B16863" s="2" t="str">
        <f>HYPERLINK("http://ts.21cn.com/tousu/show/id/1348633","色情网络")</f>
        <v>色情网络</v>
      </c>
      <c r="C16863" s="2" t="s">
        <v>9</v>
      </c>
      <c r="D16863" s="2" t="s">
        <v>10</v>
      </c>
      <c r="E16863" s="2" t="str">
        <f>HYPERLINK("http://ts.21cn.com/tousu/show/id/1348633","http://ts.21cn.com/tousu/show/id/1348633")</f>
        <v>http://ts.21cn.com/tousu/show/id/1348633</v>
      </c>
      <c r="F16863" s="2" t="s">
        <v>11</v>
      </c>
      <c r="G16863" s="2" t="s">
        <v>11032</v>
      </c>
      <c r="H16863" s="2" t="s">
        <v>11033</v>
      </c>
    </row>
    <row r="16864" spans="1:8" ht="25.05" customHeight="1" x14ac:dyDescent="0.25">
      <c r="A16864" s="2" t="s">
        <v>8</v>
      </c>
      <c r="B16864" s="2" t="str">
        <f>HYPERLINK("http://ts.21cn.com/tousu/show/id/1348636","无法正常使用当面花")</f>
        <v>无法正常使用当面花</v>
      </c>
      <c r="C16864" s="2" t="s">
        <v>9</v>
      </c>
      <c r="D16864" s="2" t="s">
        <v>10</v>
      </c>
      <c r="E16864" s="2" t="str">
        <f>HYPERLINK("http://ts.21cn.com/tousu/show/id/1348636","http://ts.21cn.com/tousu/show/id/1348636")</f>
        <v>http://ts.21cn.com/tousu/show/id/1348636</v>
      </c>
      <c r="F16864" s="2" t="s">
        <v>11</v>
      </c>
      <c r="G16864" s="2" t="s">
        <v>11029</v>
      </c>
      <c r="H16864" s="2" t="s">
        <v>11030</v>
      </c>
    </row>
    <row r="16865" spans="1:8" ht="25.05" customHeight="1" x14ac:dyDescent="0.25">
      <c r="A16865" s="2" t="s">
        <v>8</v>
      </c>
      <c r="B16865" s="2" t="str">
        <f>HYPERLINK("http://ts.21cn.com/tousu/show/id/1348634","恶意诋毁骂人")</f>
        <v>恶意诋毁骂人</v>
      </c>
      <c r="C16865" s="2" t="s">
        <v>9</v>
      </c>
      <c r="D16865" s="2" t="s">
        <v>10</v>
      </c>
      <c r="E16865" s="2" t="str">
        <f>HYPERLINK("http://ts.21cn.com/tousu/show/id/1348634","http://ts.21cn.com/tousu/show/id/1348634")</f>
        <v>http://ts.21cn.com/tousu/show/id/1348634</v>
      </c>
      <c r="F16865" s="2" t="s">
        <v>11</v>
      </c>
      <c r="G16865" s="2" t="s">
        <v>11029</v>
      </c>
      <c r="H16865" s="2" t="s">
        <v>11031</v>
      </c>
    </row>
    <row r="16866" spans="1:8" ht="25.05" customHeight="1" x14ac:dyDescent="0.25">
      <c r="A16866" s="2" t="s">
        <v>8</v>
      </c>
      <c r="B16866" s="2" t="str">
        <f>HYPERLINK("http://ts.21cn.com/tousu/show/id/1348635","拼多多欺诈用户")</f>
        <v>拼多多欺诈用户</v>
      </c>
      <c r="C16866" s="2" t="s">
        <v>9</v>
      </c>
      <c r="D16866" s="2" t="s">
        <v>10</v>
      </c>
      <c r="E16866" s="2" t="str">
        <f>HYPERLINK("http://ts.21cn.com/tousu/show/id/1348635","http://ts.21cn.com/tousu/show/id/1348635")</f>
        <v>http://ts.21cn.com/tousu/show/id/1348635</v>
      </c>
      <c r="F16866" s="2" t="s">
        <v>11</v>
      </c>
      <c r="G16866" s="2" t="s">
        <v>11027</v>
      </c>
      <c r="H16866" s="2" t="s">
        <v>11028</v>
      </c>
    </row>
    <row r="16867" spans="1:8" ht="25.05" customHeight="1" x14ac:dyDescent="0.25">
      <c r="A16867" s="2" t="s">
        <v>8</v>
      </c>
      <c r="B16867" s="2" t="str">
        <f>HYPERLINK("http://ts.21cn.com/tousu/show/id/1348637","悦如公寓房租未到期给断电")</f>
        <v>悦如公寓房租未到期给断电</v>
      </c>
      <c r="C16867" s="2" t="s">
        <v>34</v>
      </c>
      <c r="D16867" s="2" t="s">
        <v>10</v>
      </c>
      <c r="E16867" s="2" t="str">
        <f>HYPERLINK("http://ts.21cn.com/tousu/show/id/1348637","http://ts.21cn.com/tousu/show/id/1348637")</f>
        <v>http://ts.21cn.com/tousu/show/id/1348637</v>
      </c>
      <c r="F16867" s="2" t="s">
        <v>11</v>
      </c>
      <c r="G16867" s="2" t="s">
        <v>11025</v>
      </c>
      <c r="H16867" s="2" t="s">
        <v>11026</v>
      </c>
    </row>
    <row r="16868" spans="1:8" ht="25.05" customHeight="1" x14ac:dyDescent="0.25">
      <c r="A16868" s="2" t="s">
        <v>8</v>
      </c>
      <c r="B16868" s="2" t="str">
        <f>HYPERLINK("http://ts.21cn.com/tousu/show/id/1348638","分期乐暴力催收")</f>
        <v>分期乐暴力催收</v>
      </c>
      <c r="C16868" s="2" t="s">
        <v>9</v>
      </c>
      <c r="D16868" s="2" t="s">
        <v>10</v>
      </c>
      <c r="E16868" s="2" t="str">
        <f>HYPERLINK("http://ts.21cn.com/tousu/show/id/1348638","http://ts.21cn.com/tousu/show/id/1348638")</f>
        <v>http://ts.21cn.com/tousu/show/id/1348638</v>
      </c>
      <c r="F16868" s="2" t="s">
        <v>11</v>
      </c>
      <c r="G16868" s="2" t="s">
        <v>11023</v>
      </c>
      <c r="H16868" s="2" t="s">
        <v>11024</v>
      </c>
    </row>
    <row r="16869" spans="1:8" ht="25.05" customHeight="1" x14ac:dyDescent="0.25">
      <c r="A16869" s="2" t="s">
        <v>8</v>
      </c>
      <c r="B16869" s="2" t="str">
        <f>HYPERLINK("http://ts.21cn.com/tousu/show/id/1348639","百度有钱花暴力催收")</f>
        <v>百度有钱花暴力催收</v>
      </c>
      <c r="C16869" s="2" t="s">
        <v>9</v>
      </c>
      <c r="D16869" s="2" t="s">
        <v>10</v>
      </c>
      <c r="E16869" s="2" t="str">
        <f>HYPERLINK("http://ts.21cn.com/tousu/show/id/1348639","http://ts.21cn.com/tousu/show/id/1348639")</f>
        <v>http://ts.21cn.com/tousu/show/id/1348639</v>
      </c>
      <c r="F16869" s="2" t="s">
        <v>11</v>
      </c>
      <c r="G16869" s="2" t="s">
        <v>11021</v>
      </c>
      <c r="H16869" s="2" t="s">
        <v>11022</v>
      </c>
    </row>
    <row r="16870" spans="1:8" ht="25.05" customHeight="1" x14ac:dyDescent="0.25">
      <c r="A16870" s="2" t="s">
        <v>8</v>
      </c>
      <c r="B16870" s="2" t="str">
        <f>HYPERLINK("http://ts.21cn.com/tousu/show/id/1348640","天津铁航程商旅服务有限公司误导消费者")</f>
        <v>天津铁航程商旅服务有限公司误导消费者</v>
      </c>
      <c r="C16870" s="2" t="s">
        <v>9</v>
      </c>
      <c r="D16870" s="2" t="s">
        <v>10</v>
      </c>
      <c r="E16870" s="2" t="str">
        <f>HYPERLINK("http://ts.21cn.com/tousu/show/id/1348640","http://ts.21cn.com/tousu/show/id/1348640")</f>
        <v>http://ts.21cn.com/tousu/show/id/1348640</v>
      </c>
      <c r="F16870" s="2" t="s">
        <v>11</v>
      </c>
      <c r="G16870" s="2" t="s">
        <v>11019</v>
      </c>
      <c r="H16870" s="2" t="s">
        <v>11020</v>
      </c>
    </row>
    <row r="16871" spans="1:8" ht="25.05" customHeight="1" x14ac:dyDescent="0.25">
      <c r="A16871" s="2" t="s">
        <v>8</v>
      </c>
      <c r="B16871" s="2" t="str">
        <f>HYPERLINK("http://ts.21cn.com/tousu/show/id/1348642","绿森商城不发货")</f>
        <v>绿森商城不发货</v>
      </c>
      <c r="C16871" s="2" t="s">
        <v>9</v>
      </c>
      <c r="D16871" s="2" t="s">
        <v>10</v>
      </c>
      <c r="E16871" s="2" t="str">
        <f>HYPERLINK("http://ts.21cn.com/tousu/show/id/1348642","http://ts.21cn.com/tousu/show/id/1348642")</f>
        <v>http://ts.21cn.com/tousu/show/id/1348642</v>
      </c>
      <c r="F16871" s="2" t="s">
        <v>11</v>
      </c>
      <c r="G16871" s="2" t="s">
        <v>11017</v>
      </c>
      <c r="H16871" s="2" t="s">
        <v>11018</v>
      </c>
    </row>
    <row r="16872" spans="1:8" ht="25.05" customHeight="1" x14ac:dyDescent="0.25">
      <c r="A16872" s="2" t="s">
        <v>8</v>
      </c>
      <c r="B16872" s="2" t="str">
        <f>HYPERLINK("http://ts.21cn.com/tousu/show/id/1348643","钱站自动再次确认，之前借了一次，完全高利贷，不敢碰了")</f>
        <v>钱站自动再次确认，之前借了一次，完全高利贷，不敢碰了</v>
      </c>
      <c r="C16872" s="2" t="s">
        <v>9</v>
      </c>
      <c r="D16872" s="2" t="s">
        <v>10</v>
      </c>
      <c r="E16872" s="2" t="str">
        <f>HYPERLINK("http://ts.21cn.com/tousu/show/id/1348643","http://ts.21cn.com/tousu/show/id/1348643")</f>
        <v>http://ts.21cn.com/tousu/show/id/1348643</v>
      </c>
      <c r="F16872" s="2" t="s">
        <v>11</v>
      </c>
      <c r="G16872" s="2" t="s">
        <v>11015</v>
      </c>
      <c r="H16872" s="2" t="s">
        <v>11016</v>
      </c>
    </row>
    <row r="16873" spans="1:8" ht="25.05" customHeight="1" x14ac:dyDescent="0.25">
      <c r="A16873" s="2" t="s">
        <v>8</v>
      </c>
      <c r="B16873" s="2" t="str">
        <f>HYPERLINK("http://ts.21cn.com/tousu/show/id/1348507","信用管家旗下的91买呗借款存在高利贷，砍头息")</f>
        <v>信用管家旗下的91买呗借款存在高利贷，砍头息</v>
      </c>
      <c r="C16873" s="2" t="s">
        <v>9</v>
      </c>
      <c r="D16873" s="2" t="s">
        <v>10</v>
      </c>
      <c r="E16873" s="2" t="str">
        <f>HYPERLINK("http://ts.21cn.com/tousu/show/id/1348507","http://ts.21cn.com/tousu/show/id/1348507")</f>
        <v>http://ts.21cn.com/tousu/show/id/1348507</v>
      </c>
      <c r="F16873" s="2" t="s">
        <v>11</v>
      </c>
      <c r="G16873" s="2" t="s">
        <v>11013</v>
      </c>
      <c r="H16873" s="2" t="s">
        <v>11014</v>
      </c>
    </row>
    <row r="16874" spans="1:8" ht="25.05" customHeight="1" x14ac:dyDescent="0.25">
      <c r="A16874" s="2" t="s">
        <v>8</v>
      </c>
      <c r="B16874" s="2" t="str">
        <f>HYPERLINK("http://ts.21cn.com/tousu/show/id/1348644","想要相关监管部门查一查为啥融金所欠钱不还，还可以继续生存，还可以搞项目橙子汽车去欺骗更多的消费者")</f>
        <v>想要相关监管部门查一查为啥融金所欠钱不还，还可以继续生存，还可以搞项目橙子汽车去欺骗更多的消费者</v>
      </c>
      <c r="C16874" s="2" t="s">
        <v>9</v>
      </c>
      <c r="D16874" s="2" t="s">
        <v>10</v>
      </c>
      <c r="E16874" s="2" t="str">
        <f>HYPERLINK("http://ts.21cn.com/tousu/show/id/1348644","http://ts.21cn.com/tousu/show/id/1348644")</f>
        <v>http://ts.21cn.com/tousu/show/id/1348644</v>
      </c>
      <c r="F16874" s="2" t="s">
        <v>11</v>
      </c>
      <c r="G16874" s="2" t="s">
        <v>11011</v>
      </c>
      <c r="H16874" s="2" t="s">
        <v>11012</v>
      </c>
    </row>
    <row r="16875" spans="1:8" ht="25.05" customHeight="1" x14ac:dyDescent="0.25">
      <c r="A16875" s="2" t="s">
        <v>8</v>
      </c>
      <c r="B16875" s="2" t="str">
        <f>HYPERLINK("http://ts.21cn.com/tousu/show/id/1348646","提前还款，减免利息")</f>
        <v>提前还款，减免利息</v>
      </c>
      <c r="C16875" s="2" t="s">
        <v>9</v>
      </c>
      <c r="D16875" s="2" t="s">
        <v>10</v>
      </c>
      <c r="E16875" s="2" t="str">
        <f>HYPERLINK("http://ts.21cn.com/tousu/show/id/1348646","http://ts.21cn.com/tousu/show/id/1348646")</f>
        <v>http://ts.21cn.com/tousu/show/id/1348646</v>
      </c>
      <c r="F16875" s="2" t="s">
        <v>11</v>
      </c>
      <c r="G16875" s="2" t="s">
        <v>11009</v>
      </c>
      <c r="H16875" s="2" t="s">
        <v>11010</v>
      </c>
    </row>
    <row r="16876" spans="1:8" ht="25.05" customHeight="1" x14ac:dyDescent="0.25">
      <c r="A16876" s="2" t="s">
        <v>8</v>
      </c>
      <c r="B16876" s="2" t="str">
        <f>HYPERLINK("http://ts.21cn.com/tousu/show/id/1348645","西兰花平台高利贷砍头息")</f>
        <v>西兰花平台高利贷砍头息</v>
      </c>
      <c r="C16876" s="2" t="s">
        <v>9</v>
      </c>
      <c r="D16876" s="2" t="s">
        <v>10</v>
      </c>
      <c r="E16876" s="2" t="str">
        <f>HYPERLINK("http://ts.21cn.com/tousu/show/id/1348645","http://ts.21cn.com/tousu/show/id/1348645")</f>
        <v>http://ts.21cn.com/tousu/show/id/1348645</v>
      </c>
      <c r="F16876" s="2" t="s">
        <v>11</v>
      </c>
      <c r="G16876" s="2" t="s">
        <v>11007</v>
      </c>
      <c r="H16876" s="2" t="s">
        <v>11008</v>
      </c>
    </row>
    <row r="16877" spans="1:8" ht="25.05" customHeight="1" x14ac:dyDescent="0.25">
      <c r="A16877" s="2" t="s">
        <v>8</v>
      </c>
      <c r="B16877" s="2" t="str">
        <f>HYPERLINK("http://ts.21cn.com/tousu/show/id/1348649","接不到单")</f>
        <v>接不到单</v>
      </c>
      <c r="C16877" s="2" t="s">
        <v>34</v>
      </c>
      <c r="D16877" s="2" t="s">
        <v>10</v>
      </c>
      <c r="E16877" s="2" t="str">
        <f>HYPERLINK("http://ts.21cn.com/tousu/show/id/1348649","http://ts.21cn.com/tousu/show/id/1348649")</f>
        <v>http://ts.21cn.com/tousu/show/id/1348649</v>
      </c>
      <c r="F16877" s="2" t="s">
        <v>11</v>
      </c>
      <c r="G16877" s="2" t="s">
        <v>11005</v>
      </c>
      <c r="H16877" s="2" t="s">
        <v>11006</v>
      </c>
    </row>
    <row r="16878" spans="1:8" ht="25.05" customHeight="1" x14ac:dyDescent="0.25">
      <c r="A16878" s="2" t="s">
        <v>8</v>
      </c>
      <c r="B16878" s="2" t="str">
        <f>HYPERLINK("http://ts.21cn.com/tousu/show/id/1348647","第三方支付为非法网站提供资金结算")</f>
        <v>第三方支付为非法网站提供资金结算</v>
      </c>
      <c r="C16878" s="2" t="s">
        <v>9</v>
      </c>
      <c r="D16878" s="2" t="s">
        <v>10</v>
      </c>
      <c r="E16878" s="2" t="str">
        <f>HYPERLINK("http://ts.21cn.com/tousu/show/id/1348647","http://ts.21cn.com/tousu/show/id/1348647")</f>
        <v>http://ts.21cn.com/tousu/show/id/1348647</v>
      </c>
      <c r="F16878" s="2" t="s">
        <v>11</v>
      </c>
      <c r="G16878" s="2" t="s">
        <v>11003</v>
      </c>
      <c r="H16878" s="2" t="s">
        <v>11004</v>
      </c>
    </row>
    <row r="16879" spans="1:8" ht="25.05" customHeight="1" x14ac:dyDescent="0.25">
      <c r="A16879" s="2" t="s">
        <v>8</v>
      </c>
      <c r="B16879" s="2" t="str">
        <f>HYPERLINK("http://ts.21cn.com/tousu/show/id/1348648","神州租车厦门五通公司退车不退款")</f>
        <v>神州租车厦门五通公司退车不退款</v>
      </c>
      <c r="C16879" s="2" t="s">
        <v>9</v>
      </c>
      <c r="D16879" s="2" t="s">
        <v>10</v>
      </c>
      <c r="E16879" s="2" t="str">
        <f>HYPERLINK("http://ts.21cn.com/tousu/show/id/1348648","http://ts.21cn.com/tousu/show/id/1348648")</f>
        <v>http://ts.21cn.com/tousu/show/id/1348648</v>
      </c>
      <c r="F16879" s="2" t="s">
        <v>11</v>
      </c>
      <c r="G16879" s="2" t="s">
        <v>11001</v>
      </c>
      <c r="H16879" s="2" t="s">
        <v>11002</v>
      </c>
    </row>
    <row r="16880" spans="1:8" ht="25.05" customHeight="1" x14ac:dyDescent="0.25">
      <c r="A16880" s="2" t="s">
        <v>8</v>
      </c>
      <c r="B16880" s="2" t="str">
        <f>HYPERLINK("http://ts.21cn.com/tousu/show/id/1348650","上海翰银为赌博输平台收单，请求瀚银为我退款挽回经济损失")</f>
        <v>上海翰银为赌博输平台收单，请求瀚银为我退款挽回经济损失</v>
      </c>
      <c r="C16880" s="2" t="s">
        <v>9</v>
      </c>
      <c r="D16880" s="2" t="s">
        <v>10</v>
      </c>
      <c r="E16880" s="2" t="str">
        <f>HYPERLINK("http://ts.21cn.com/tousu/show/id/1348650","http://ts.21cn.com/tousu/show/id/1348650")</f>
        <v>http://ts.21cn.com/tousu/show/id/1348650</v>
      </c>
      <c r="F16880" s="2" t="s">
        <v>11</v>
      </c>
      <c r="G16880" s="2" t="s">
        <v>10999</v>
      </c>
      <c r="H16880" s="2" t="s">
        <v>11000</v>
      </c>
    </row>
    <row r="16881" spans="1:8" ht="25.05" customHeight="1" x14ac:dyDescent="0.25">
      <c r="A16881" s="2" t="s">
        <v>8</v>
      </c>
      <c r="B16881" s="2" t="str">
        <f>HYPERLINK("http://ts.21cn.com/tousu/show/id/1348651","美团外卖商家拒绝开发票")</f>
        <v>美团外卖商家拒绝开发票</v>
      </c>
      <c r="C16881" s="2" t="s">
        <v>9</v>
      </c>
      <c r="D16881" s="2" t="s">
        <v>10</v>
      </c>
      <c r="E16881" s="2" t="str">
        <f>HYPERLINK("http://ts.21cn.com/tousu/show/id/1348651","http://ts.21cn.com/tousu/show/id/1348651")</f>
        <v>http://ts.21cn.com/tousu/show/id/1348651</v>
      </c>
      <c r="F16881" s="2" t="s">
        <v>11</v>
      </c>
      <c r="G16881" s="2" t="s">
        <v>10997</v>
      </c>
      <c r="H16881" s="2" t="s">
        <v>10998</v>
      </c>
    </row>
    <row r="16882" spans="1:8" ht="25.05" customHeight="1" x14ac:dyDescent="0.25">
      <c r="A16882" s="2" t="s">
        <v>8</v>
      </c>
      <c r="B16882" s="2" t="str">
        <f>HYPERLINK("http://ts.21cn.com/tousu/show/id/1348653","贷上钱砍头息")</f>
        <v>贷上钱砍头息</v>
      </c>
      <c r="C16882" s="2" t="s">
        <v>34</v>
      </c>
      <c r="D16882" s="2" t="s">
        <v>10</v>
      </c>
      <c r="E16882" s="2" t="str">
        <f>HYPERLINK("http://ts.21cn.com/tousu/show/id/1348653","http://ts.21cn.com/tousu/show/id/1348653")</f>
        <v>http://ts.21cn.com/tousu/show/id/1348653</v>
      </c>
      <c r="F16882" s="2" t="s">
        <v>11</v>
      </c>
      <c r="G16882" s="2" t="s">
        <v>10995</v>
      </c>
      <c r="H16882" s="2" t="s">
        <v>10996</v>
      </c>
    </row>
    <row r="16883" spans="1:8" ht="25.05" customHeight="1" x14ac:dyDescent="0.25">
      <c r="A16883" s="2" t="s">
        <v>8</v>
      </c>
      <c r="B16883" s="2" t="str">
        <f>HYPERLINK("http://ts.21cn.com/tousu/show/id/1348654","暴力催款，侵犯隐私")</f>
        <v>暴力催款，侵犯隐私</v>
      </c>
      <c r="C16883" s="2" t="s">
        <v>9</v>
      </c>
      <c r="D16883" s="2" t="s">
        <v>10</v>
      </c>
      <c r="E16883" s="2" t="str">
        <f>HYPERLINK("http://ts.21cn.com/tousu/show/id/1348654","http://ts.21cn.com/tousu/show/id/1348654")</f>
        <v>http://ts.21cn.com/tousu/show/id/1348654</v>
      </c>
      <c r="F16883" s="2" t="s">
        <v>11</v>
      </c>
      <c r="G16883" s="2" t="s">
        <v>10993</v>
      </c>
      <c r="H16883" s="2" t="s">
        <v>10994</v>
      </c>
    </row>
    <row r="16884" spans="1:8" ht="25.05" customHeight="1" x14ac:dyDescent="0.25">
      <c r="A16884" s="2" t="s">
        <v>8</v>
      </c>
      <c r="B16884" s="2" t="str">
        <f>HYPERLINK("http://ts.21cn.com/tousu/show/id/1348655","苏宁易购东西没有送到联系也不给退款")</f>
        <v>苏宁易购东西没有送到联系也不给退款</v>
      </c>
      <c r="C16884" s="2" t="s">
        <v>9</v>
      </c>
      <c r="D16884" s="2" t="s">
        <v>10</v>
      </c>
      <c r="E16884" s="2" t="str">
        <f>HYPERLINK("http://ts.21cn.com/tousu/show/id/1348655","http://ts.21cn.com/tousu/show/id/1348655")</f>
        <v>http://ts.21cn.com/tousu/show/id/1348655</v>
      </c>
      <c r="F16884" s="2" t="s">
        <v>11</v>
      </c>
      <c r="G16884" s="2" t="s">
        <v>10991</v>
      </c>
      <c r="H16884" s="2" t="s">
        <v>10992</v>
      </c>
    </row>
    <row r="16885" spans="1:8" ht="25.05" customHeight="1" x14ac:dyDescent="0.25">
      <c r="A16885" s="2" t="s">
        <v>8</v>
      </c>
      <c r="B16885" s="2" t="str">
        <f>HYPERLINK("http://ts.21cn.com/tousu/show/id/1348656","捷信金融非法暴力收取利息")</f>
        <v>捷信金融非法暴力收取利息</v>
      </c>
      <c r="C16885" s="2" t="s">
        <v>9</v>
      </c>
      <c r="D16885" s="2" t="s">
        <v>10</v>
      </c>
      <c r="E16885" s="2" t="str">
        <f>HYPERLINK("http://ts.21cn.com/tousu/show/id/1348656","http://ts.21cn.com/tousu/show/id/1348656")</f>
        <v>http://ts.21cn.com/tousu/show/id/1348656</v>
      </c>
      <c r="F16885" s="2" t="s">
        <v>11</v>
      </c>
      <c r="G16885" s="2" t="s">
        <v>10989</v>
      </c>
      <c r="H16885" s="2" t="s">
        <v>10990</v>
      </c>
    </row>
    <row r="16886" spans="1:8" ht="25.05" customHeight="1" x14ac:dyDescent="0.25">
      <c r="A16886" s="2" t="s">
        <v>8</v>
      </c>
      <c r="B16886" s="2" t="str">
        <f>HYPERLINK("http://ts.21cn.com/tousu/show/id/1348657","玖富高额利息")</f>
        <v>玖富高额利息</v>
      </c>
      <c r="C16886" s="2" t="s">
        <v>9</v>
      </c>
      <c r="D16886" s="2" t="s">
        <v>10</v>
      </c>
      <c r="E16886" s="2" t="str">
        <f>HYPERLINK("http://ts.21cn.com/tousu/show/id/1348657","http://ts.21cn.com/tousu/show/id/1348657")</f>
        <v>http://ts.21cn.com/tousu/show/id/1348657</v>
      </c>
      <c r="F16886" s="2" t="s">
        <v>11</v>
      </c>
      <c r="G16886" s="2" t="s">
        <v>10987</v>
      </c>
      <c r="H16886" s="2" t="s">
        <v>10988</v>
      </c>
    </row>
    <row r="16887" spans="1:8" ht="25.05" customHeight="1" x14ac:dyDescent="0.25">
      <c r="A16887" s="2" t="s">
        <v>8</v>
      </c>
      <c r="B16887" s="2" t="str">
        <f>HYPERLINK("http://ts.21cn.com/tousu/show/id/1348658","苏宁易购惠尔浦净水器")</f>
        <v>苏宁易购惠尔浦净水器</v>
      </c>
      <c r="C16887" s="2" t="s">
        <v>9</v>
      </c>
      <c r="D16887" s="2" t="s">
        <v>10</v>
      </c>
      <c r="E16887" s="2" t="str">
        <f>HYPERLINK("http://ts.21cn.com/tousu/show/id/1348658","http://ts.21cn.com/tousu/show/id/1348658")</f>
        <v>http://ts.21cn.com/tousu/show/id/1348658</v>
      </c>
      <c r="F16887" s="2" t="s">
        <v>11</v>
      </c>
      <c r="G16887" s="2" t="s">
        <v>10985</v>
      </c>
      <c r="H16887" s="2" t="s">
        <v>10986</v>
      </c>
    </row>
    <row r="16888" spans="1:8" ht="25.05" customHeight="1" x14ac:dyDescent="0.25">
      <c r="A16888" s="2" t="s">
        <v>8</v>
      </c>
      <c r="B16888" s="2" t="str">
        <f>HYPERLINK("http://ts.21cn.com/tousu/show/id/1348659","拍拍贷轰炸通讯录短信恐吓")</f>
        <v>拍拍贷轰炸通讯录短信恐吓</v>
      </c>
      <c r="C16888" s="2" t="s">
        <v>9</v>
      </c>
      <c r="D16888" s="2" t="s">
        <v>10</v>
      </c>
      <c r="E16888" s="2" t="str">
        <f>HYPERLINK("http://ts.21cn.com/tousu/show/id/1348659","http://ts.21cn.com/tousu/show/id/1348659")</f>
        <v>http://ts.21cn.com/tousu/show/id/1348659</v>
      </c>
      <c r="F16888" s="2" t="s">
        <v>11</v>
      </c>
      <c r="G16888" s="2" t="s">
        <v>10983</v>
      </c>
      <c r="H16888" s="2" t="s">
        <v>10984</v>
      </c>
    </row>
    <row r="16889" spans="1:8" ht="25.05" customHeight="1" x14ac:dyDescent="0.25">
      <c r="A16889" s="2" t="s">
        <v>8</v>
      </c>
      <c r="B16889" s="2" t="str">
        <f>HYPERLINK("http://ts.21cn.com/tousu/show/id/1348660","要求还清本金")</f>
        <v>要求还清本金</v>
      </c>
      <c r="C16889" s="2" t="s">
        <v>34</v>
      </c>
      <c r="D16889" s="2" t="s">
        <v>10</v>
      </c>
      <c r="E16889" s="2" t="str">
        <f>HYPERLINK("http://ts.21cn.com/tousu/show/id/1348660","http://ts.21cn.com/tousu/show/id/1348660")</f>
        <v>http://ts.21cn.com/tousu/show/id/1348660</v>
      </c>
      <c r="F16889" s="2" t="s">
        <v>11</v>
      </c>
      <c r="G16889" s="2" t="s">
        <v>10981</v>
      </c>
      <c r="H16889" s="2" t="s">
        <v>10982</v>
      </c>
    </row>
    <row r="16890" spans="1:8" ht="25.05" customHeight="1" x14ac:dyDescent="0.25">
      <c r="A16890" s="2" t="s">
        <v>8</v>
      </c>
      <c r="B16890" s="2" t="str">
        <f>HYPERLINK("http://ts.21cn.com/tousu/show/id/1348661","唯品会购买商品刚收到就降价")</f>
        <v>唯品会购买商品刚收到就降价</v>
      </c>
      <c r="C16890" s="2" t="s">
        <v>34</v>
      </c>
      <c r="D16890" s="2" t="s">
        <v>10</v>
      </c>
      <c r="E16890" s="2" t="str">
        <f>HYPERLINK("http://ts.21cn.com/tousu/show/id/1348661","http://ts.21cn.com/tousu/show/id/1348661")</f>
        <v>http://ts.21cn.com/tousu/show/id/1348661</v>
      </c>
      <c r="F16890" s="2" t="s">
        <v>11</v>
      </c>
      <c r="G16890" s="2" t="s">
        <v>10979</v>
      </c>
      <c r="H16890" s="2" t="s">
        <v>10980</v>
      </c>
    </row>
    <row r="16891" spans="1:8" ht="25.05" customHeight="1" x14ac:dyDescent="0.25">
      <c r="A16891" s="2" t="s">
        <v>8</v>
      </c>
      <c r="B16891" s="2" t="str">
        <f>HYPERLINK("http://ts.21cn.com/tousu/show/id/1348662","现金巴士砍头息")</f>
        <v>现金巴士砍头息</v>
      </c>
      <c r="C16891" s="2" t="s">
        <v>34</v>
      </c>
      <c r="D16891" s="2" t="s">
        <v>10</v>
      </c>
      <c r="E16891" s="2" t="str">
        <f>HYPERLINK("http://ts.21cn.com/tousu/show/id/1348662","http://ts.21cn.com/tousu/show/id/1348662")</f>
        <v>http://ts.21cn.com/tousu/show/id/1348662</v>
      </c>
      <c r="F16891" s="2" t="s">
        <v>11</v>
      </c>
      <c r="G16891" s="2" t="s">
        <v>10977</v>
      </c>
      <c r="H16891" s="2" t="s">
        <v>10978</v>
      </c>
    </row>
    <row r="16892" spans="1:8" ht="25.05" customHeight="1" x14ac:dyDescent="0.25">
      <c r="A16892" s="2" t="s">
        <v>8</v>
      </c>
      <c r="B16892" s="2" t="str">
        <f>HYPERLINK("http://ts.21cn.com/tousu/show/id/1348663","趣花分期骚扰电话不断")</f>
        <v>趣花分期骚扰电话不断</v>
      </c>
      <c r="C16892" s="2" t="s">
        <v>9</v>
      </c>
      <c r="D16892" s="2" t="s">
        <v>10</v>
      </c>
      <c r="E16892" s="2" t="str">
        <f>HYPERLINK("http://ts.21cn.com/tousu/show/id/1348663","http://ts.21cn.com/tousu/show/id/1348663")</f>
        <v>http://ts.21cn.com/tousu/show/id/1348663</v>
      </c>
      <c r="F16892" s="2" t="s">
        <v>11</v>
      </c>
      <c r="G16892" s="2" t="s">
        <v>10975</v>
      </c>
      <c r="H16892" s="2" t="s">
        <v>10976</v>
      </c>
    </row>
    <row r="16893" spans="1:8" ht="25.05" customHeight="1" x14ac:dyDescent="0.25">
      <c r="A16893" s="2" t="s">
        <v>8</v>
      </c>
      <c r="B16893" s="2" t="str">
        <f>HYPERLINK("http://ts.21cn.com/tousu/show/id/1348664","暴力催收威胁")</f>
        <v>暴力催收威胁</v>
      </c>
      <c r="C16893" s="2" t="s">
        <v>9</v>
      </c>
      <c r="D16893" s="2" t="s">
        <v>10</v>
      </c>
      <c r="E16893" s="2" t="str">
        <f>HYPERLINK("http://ts.21cn.com/tousu/show/id/1348664","http://ts.21cn.com/tousu/show/id/1348664")</f>
        <v>http://ts.21cn.com/tousu/show/id/1348664</v>
      </c>
      <c r="F16893" s="2" t="s">
        <v>11</v>
      </c>
      <c r="G16893" s="2" t="s">
        <v>10973</v>
      </c>
      <c r="H16893" s="2" t="s">
        <v>10974</v>
      </c>
    </row>
    <row r="16894" spans="1:8" ht="25.05" customHeight="1" x14ac:dyDescent="0.25">
      <c r="A16894" s="2" t="s">
        <v>8</v>
      </c>
      <c r="B16894" s="2" t="str">
        <f>HYPERLINK("http://ts.21cn.com/tousu/show/id/1348665","被电话骚扰")</f>
        <v>被电话骚扰</v>
      </c>
      <c r="C16894" s="2" t="s">
        <v>9</v>
      </c>
      <c r="D16894" s="2" t="s">
        <v>10</v>
      </c>
      <c r="E16894" s="2" t="str">
        <f>HYPERLINK("http://ts.21cn.com/tousu/show/id/1348665","http://ts.21cn.com/tousu/show/id/1348665")</f>
        <v>http://ts.21cn.com/tousu/show/id/1348665</v>
      </c>
      <c r="F16894" s="2" t="s">
        <v>11</v>
      </c>
      <c r="G16894" s="2" t="s">
        <v>10971</v>
      </c>
      <c r="H16894" s="2" t="s">
        <v>10972</v>
      </c>
    </row>
    <row r="16895" spans="1:8" ht="25.05" customHeight="1" x14ac:dyDescent="0.25">
      <c r="A16895" s="2" t="s">
        <v>8</v>
      </c>
      <c r="B16895" s="2" t="str">
        <f>HYPERLINK("http://ts.21cn.com/tousu/show/id/1348666","套路贷杭州含兹贸易有限公司")</f>
        <v>套路贷杭州含兹贸易有限公司</v>
      </c>
      <c r="C16895" s="2" t="s">
        <v>9</v>
      </c>
      <c r="D16895" s="2" t="s">
        <v>10</v>
      </c>
      <c r="E16895" s="2" t="str">
        <f>HYPERLINK("http://ts.21cn.com/tousu/show/id/1348666","http://ts.21cn.com/tousu/show/id/1348666")</f>
        <v>http://ts.21cn.com/tousu/show/id/1348666</v>
      </c>
      <c r="F16895" s="2" t="s">
        <v>11</v>
      </c>
      <c r="G16895" s="2" t="s">
        <v>10969</v>
      </c>
      <c r="H16895" s="2" t="s">
        <v>10970</v>
      </c>
    </row>
    <row r="16896" spans="1:8" ht="25.05" customHeight="1" x14ac:dyDescent="0.25">
      <c r="A16896" s="2" t="s">
        <v>8</v>
      </c>
      <c r="B16896" s="2" t="str">
        <f>HYPERLINK("http://ts.21cn.com/tousu/show/id/1348667","拼多多商户涉嫌为博彩黑平台收款")</f>
        <v>拼多多商户涉嫌为博彩黑平台收款</v>
      </c>
      <c r="C16896" s="2" t="s">
        <v>9</v>
      </c>
      <c r="D16896" s="2" t="s">
        <v>10</v>
      </c>
      <c r="E16896" s="2" t="str">
        <f>HYPERLINK("http://ts.21cn.com/tousu/show/id/1348667","http://ts.21cn.com/tousu/show/id/1348667")</f>
        <v>http://ts.21cn.com/tousu/show/id/1348667</v>
      </c>
      <c r="F16896" s="2" t="s">
        <v>11</v>
      </c>
      <c r="G16896" s="2" t="s">
        <v>10967</v>
      </c>
      <c r="H16896" s="2" t="s">
        <v>10968</v>
      </c>
    </row>
    <row r="16897" spans="1:8" ht="25.05" customHeight="1" x14ac:dyDescent="0.25">
      <c r="A16897" s="2" t="s">
        <v>8</v>
      </c>
      <c r="B16897" s="2" t="str">
        <f>HYPERLINK("http://ts.21cn.com/tousu/show/id/1348668","优衣库不退款")</f>
        <v>优衣库不退款</v>
      </c>
      <c r="C16897" s="2" t="s">
        <v>9</v>
      </c>
      <c r="D16897" s="2" t="s">
        <v>10</v>
      </c>
      <c r="E16897" s="2" t="str">
        <f>HYPERLINK("http://ts.21cn.com/tousu/show/id/1348668","http://ts.21cn.com/tousu/show/id/1348668")</f>
        <v>http://ts.21cn.com/tousu/show/id/1348668</v>
      </c>
      <c r="F16897" s="2" t="s">
        <v>11</v>
      </c>
      <c r="G16897" s="2" t="s">
        <v>10965</v>
      </c>
      <c r="H16897" s="2" t="s">
        <v>10966</v>
      </c>
    </row>
    <row r="16898" spans="1:8" ht="25.05" customHeight="1" x14ac:dyDescent="0.25">
      <c r="A16898" s="2" t="s">
        <v>8</v>
      </c>
      <c r="B16898" s="2" t="str">
        <f>HYPERLINK("http://ts.21cn.com/tousu/show/id/1348641","利用免密制度扣钱，诱导购买会员")</f>
        <v>利用免密制度扣钱，诱导购买会员</v>
      </c>
      <c r="C16898" s="2" t="s">
        <v>9</v>
      </c>
      <c r="D16898" s="2" t="s">
        <v>10</v>
      </c>
      <c r="E16898" s="2" t="str">
        <f>HYPERLINK("http://ts.21cn.com/tousu/show/id/1348641","http://ts.21cn.com/tousu/show/id/1348641")</f>
        <v>http://ts.21cn.com/tousu/show/id/1348641</v>
      </c>
      <c r="F16898" s="2" t="s">
        <v>11</v>
      </c>
      <c r="G16898" s="2" t="s">
        <v>10963</v>
      </c>
      <c r="H16898" s="2" t="s">
        <v>10964</v>
      </c>
    </row>
    <row r="16899" spans="1:8" ht="25.05" customHeight="1" x14ac:dyDescent="0.25">
      <c r="A16899" s="2" t="s">
        <v>8</v>
      </c>
      <c r="B16899" s="2" t="str">
        <f>HYPERLINK("http://ts.21cn.com/tousu/show/id/1348669","要求偿还本金，停止骚扰")</f>
        <v>要求偿还本金，停止骚扰</v>
      </c>
      <c r="C16899" s="2" t="s">
        <v>9</v>
      </c>
      <c r="D16899" s="2" t="s">
        <v>10</v>
      </c>
      <c r="E16899" s="2" t="str">
        <f>HYPERLINK("http://ts.21cn.com/tousu/show/id/1348669","http://ts.21cn.com/tousu/show/id/1348669")</f>
        <v>http://ts.21cn.com/tousu/show/id/1348669</v>
      </c>
      <c r="F16899" s="2" t="s">
        <v>11</v>
      </c>
      <c r="G16899" s="2" t="s">
        <v>10961</v>
      </c>
      <c r="H16899" s="2" t="s">
        <v>10962</v>
      </c>
    </row>
    <row r="16900" spans="1:8" ht="25.05" customHeight="1" x14ac:dyDescent="0.25">
      <c r="A16900" s="2" t="s">
        <v>8</v>
      </c>
      <c r="B16900" s="2" t="str">
        <f>HYPERLINK("http://ts.21cn.com/tousu/show/id/1348670","中金支付四川分公司未经本人同意扣款")</f>
        <v>中金支付四川分公司未经本人同意扣款</v>
      </c>
      <c r="C16900" s="2" t="s">
        <v>9</v>
      </c>
      <c r="D16900" s="2" t="s">
        <v>10</v>
      </c>
      <c r="E16900" s="2" t="str">
        <f>HYPERLINK("http://ts.21cn.com/tousu/show/id/1348670","http://ts.21cn.com/tousu/show/id/1348670")</f>
        <v>http://ts.21cn.com/tousu/show/id/1348670</v>
      </c>
      <c r="F16900" s="2" t="s">
        <v>11</v>
      </c>
      <c r="G16900" s="2" t="s">
        <v>10959</v>
      </c>
      <c r="H16900" s="2" t="s">
        <v>10960</v>
      </c>
    </row>
    <row r="16901" spans="1:8" ht="25.05" customHeight="1" x14ac:dyDescent="0.25">
      <c r="A16901" s="2" t="s">
        <v>8</v>
      </c>
      <c r="B16901" s="2" t="str">
        <f>HYPERLINK("http://ts.21cn.com/tousu/show/id/1348671","关于（特约）小通商城非法扣款")</f>
        <v>关于（特约）小通商城非法扣款</v>
      </c>
      <c r="C16901" s="2" t="s">
        <v>9</v>
      </c>
      <c r="D16901" s="2" t="s">
        <v>10</v>
      </c>
      <c r="E16901" s="2" t="str">
        <f>HYPERLINK("http://ts.21cn.com/tousu/show/id/1348671","http://ts.21cn.com/tousu/show/id/1348671")</f>
        <v>http://ts.21cn.com/tousu/show/id/1348671</v>
      </c>
      <c r="F16901" s="2" t="s">
        <v>11</v>
      </c>
      <c r="G16901" s="2" t="s">
        <v>10957</v>
      </c>
      <c r="H16901" s="2" t="s">
        <v>10958</v>
      </c>
    </row>
    <row r="16902" spans="1:8" ht="25.05" customHeight="1" x14ac:dyDescent="0.25">
      <c r="A16902" s="2" t="s">
        <v>8</v>
      </c>
      <c r="B16902" s="2" t="str">
        <f>HYPERLINK("http://ts.21cn.com/tousu/show/id/1348672","乱收费投诉")</f>
        <v>乱收费投诉</v>
      </c>
      <c r="C16902" s="2" t="s">
        <v>9</v>
      </c>
      <c r="D16902" s="2" t="s">
        <v>10</v>
      </c>
      <c r="E16902" s="2" t="str">
        <f>HYPERLINK("http://ts.21cn.com/tousu/show/id/1348672","http://ts.21cn.com/tousu/show/id/1348672")</f>
        <v>http://ts.21cn.com/tousu/show/id/1348672</v>
      </c>
      <c r="F16902" s="2" t="s">
        <v>11</v>
      </c>
      <c r="G16902" s="2" t="s">
        <v>10955</v>
      </c>
      <c r="H16902" s="2" t="s">
        <v>10956</v>
      </c>
    </row>
    <row r="16903" spans="1:8" ht="25.05" customHeight="1" x14ac:dyDescent="0.25">
      <c r="A16903" s="2" t="s">
        <v>8</v>
      </c>
      <c r="B16903" s="2" t="str">
        <f>HYPERLINK("http://ts.21cn.com/tousu/show/id/1348673","遭遇恶性催收")</f>
        <v>遭遇恶性催收</v>
      </c>
      <c r="C16903" s="2" t="s">
        <v>9</v>
      </c>
      <c r="D16903" s="2" t="s">
        <v>10</v>
      </c>
      <c r="E16903" s="2" t="str">
        <f>HYPERLINK("http://ts.21cn.com/tousu/show/id/1348673","http://ts.21cn.com/tousu/show/id/1348673")</f>
        <v>http://ts.21cn.com/tousu/show/id/1348673</v>
      </c>
      <c r="F16903" s="2" t="s">
        <v>11</v>
      </c>
      <c r="G16903" s="2" t="s">
        <v>10953</v>
      </c>
      <c r="H16903" s="2" t="s">
        <v>10954</v>
      </c>
    </row>
    <row r="16904" spans="1:8" ht="25.05" customHeight="1" x14ac:dyDescent="0.25">
      <c r="A16904" s="2" t="s">
        <v>8</v>
      </c>
      <c r="B16904" s="2" t="str">
        <f>HYPERLINK("http://ts.21cn.com/tousu/show/id/1348674","月光侠分期贷款是高利贷，合同借款金额和打款金额有差")</f>
        <v>月光侠分期贷款是高利贷，合同借款金额和打款金额有差</v>
      </c>
      <c r="C16904" s="2" t="s">
        <v>9</v>
      </c>
      <c r="D16904" s="2" t="s">
        <v>10</v>
      </c>
      <c r="E16904" s="2" t="str">
        <f>HYPERLINK("http://ts.21cn.com/tousu/show/id/1348674","http://ts.21cn.com/tousu/show/id/1348674")</f>
        <v>http://ts.21cn.com/tousu/show/id/1348674</v>
      </c>
      <c r="F16904" s="2" t="s">
        <v>11</v>
      </c>
      <c r="G16904" s="2" t="s">
        <v>10951</v>
      </c>
      <c r="H16904" s="2" t="s">
        <v>10952</v>
      </c>
    </row>
    <row r="16905" spans="1:8" ht="25.05" customHeight="1" x14ac:dyDescent="0.25">
      <c r="A16905" s="2" t="s">
        <v>8</v>
      </c>
      <c r="B16905" s="2" t="str">
        <f>HYPERLINK("http://ts.21cn.com/tousu/show/id/1348675","暴力催收打骚扰电话到工作单位")</f>
        <v>暴力催收打骚扰电话到工作单位</v>
      </c>
      <c r="C16905" s="2" t="s">
        <v>9</v>
      </c>
      <c r="D16905" s="2" t="s">
        <v>10</v>
      </c>
      <c r="E16905" s="2" t="str">
        <f>HYPERLINK("http://ts.21cn.com/tousu/show/id/1348675","http://ts.21cn.com/tousu/show/id/1348675")</f>
        <v>http://ts.21cn.com/tousu/show/id/1348675</v>
      </c>
      <c r="F16905" s="2" t="s">
        <v>11</v>
      </c>
      <c r="G16905" s="2" t="s">
        <v>10949</v>
      </c>
      <c r="H16905" s="2" t="s">
        <v>10950</v>
      </c>
    </row>
    <row r="16906" spans="1:8" ht="25.05" customHeight="1" x14ac:dyDescent="0.25">
      <c r="A16906" s="2" t="s">
        <v>8</v>
      </c>
      <c r="B16906" s="2" t="str">
        <f>HYPERLINK("http://ts.21cn.com/tousu/show/id/1348676","闪银砍头息")</f>
        <v>闪银砍头息</v>
      </c>
      <c r="C16906" s="2" t="s">
        <v>34</v>
      </c>
      <c r="D16906" s="2" t="s">
        <v>10</v>
      </c>
      <c r="E16906" s="2" t="str">
        <f>HYPERLINK("http://ts.21cn.com/tousu/show/id/1348676","http://ts.21cn.com/tousu/show/id/1348676")</f>
        <v>http://ts.21cn.com/tousu/show/id/1348676</v>
      </c>
      <c r="F16906" s="2" t="s">
        <v>11</v>
      </c>
      <c r="G16906" s="2" t="s">
        <v>10947</v>
      </c>
      <c r="H16906" s="2" t="s">
        <v>10948</v>
      </c>
    </row>
    <row r="16907" spans="1:8" ht="25.05" customHeight="1" x14ac:dyDescent="0.25">
      <c r="A16907" s="2" t="s">
        <v>8</v>
      </c>
      <c r="B16907" s="2" t="str">
        <f>HYPERLINK("http://ts.21cn.com/tousu/show/id/1348677","速金服，高额服务费，高利贷")</f>
        <v>速金服，高额服务费，高利贷</v>
      </c>
      <c r="C16907" s="2" t="s">
        <v>9</v>
      </c>
      <c r="D16907" s="2" t="s">
        <v>10</v>
      </c>
      <c r="E16907" s="2" t="str">
        <f>HYPERLINK("http://ts.21cn.com/tousu/show/id/1348677","http://ts.21cn.com/tousu/show/id/1348677")</f>
        <v>http://ts.21cn.com/tousu/show/id/1348677</v>
      </c>
      <c r="F16907" s="2" t="s">
        <v>11</v>
      </c>
      <c r="G16907" s="2" t="s">
        <v>10945</v>
      </c>
      <c r="H16907" s="2" t="s">
        <v>10946</v>
      </c>
    </row>
    <row r="16908" spans="1:8" ht="25.05" customHeight="1" x14ac:dyDescent="0.25">
      <c r="A16908" s="2" t="s">
        <v>8</v>
      </c>
      <c r="B16908" s="2" t="str">
        <f>HYPERLINK("http://ts.21cn.com/tousu/show/id/1348678","非法催收，侵犯隐私，高利贷")</f>
        <v>非法催收，侵犯隐私，高利贷</v>
      </c>
      <c r="C16908" s="2" t="s">
        <v>9</v>
      </c>
      <c r="D16908" s="2" t="s">
        <v>10</v>
      </c>
      <c r="E16908" s="2" t="str">
        <f>HYPERLINK("http://ts.21cn.com/tousu/show/id/1348678","http://ts.21cn.com/tousu/show/id/1348678")</f>
        <v>http://ts.21cn.com/tousu/show/id/1348678</v>
      </c>
      <c r="F16908" s="2" t="s">
        <v>11</v>
      </c>
      <c r="G16908" s="2" t="s">
        <v>10943</v>
      </c>
      <c r="H16908" s="2" t="s">
        <v>10944</v>
      </c>
    </row>
    <row r="16909" spans="1:8" ht="25.05" customHeight="1" x14ac:dyDescent="0.25">
      <c r="A16909" s="2" t="s">
        <v>8</v>
      </c>
      <c r="B16909" s="2" t="str">
        <f>HYPERLINK("http://ts.21cn.com/tousu/show/id/1348680","友信信贷套路贷、砍头息、暴力催收")</f>
        <v>友信信贷套路贷、砍头息、暴力催收</v>
      </c>
      <c r="C16909" s="2" t="s">
        <v>9</v>
      </c>
      <c r="D16909" s="2" t="s">
        <v>10</v>
      </c>
      <c r="E16909" s="2" t="str">
        <f>HYPERLINK("http://ts.21cn.com/tousu/show/id/1348680","http://ts.21cn.com/tousu/show/id/1348680")</f>
        <v>http://ts.21cn.com/tousu/show/id/1348680</v>
      </c>
      <c r="F16909" s="2" t="s">
        <v>11</v>
      </c>
      <c r="G16909" s="2" t="s">
        <v>10941</v>
      </c>
      <c r="H16909" s="2" t="s">
        <v>10942</v>
      </c>
    </row>
    <row r="16910" spans="1:8" ht="25.05" customHeight="1" x14ac:dyDescent="0.25">
      <c r="A16910" s="2" t="s">
        <v>8</v>
      </c>
      <c r="B16910" s="2" t="str">
        <f>HYPERLINK("http://ts.21cn.com/tousu/show/id/1348681","钱站高利贷阴阳合同")</f>
        <v>钱站高利贷阴阳合同</v>
      </c>
      <c r="C16910" s="2" t="s">
        <v>9</v>
      </c>
      <c r="D16910" s="2" t="s">
        <v>10</v>
      </c>
      <c r="E16910" s="2" t="str">
        <f>HYPERLINK("http://ts.21cn.com/tousu/show/id/1348681","http://ts.21cn.com/tousu/show/id/1348681")</f>
        <v>http://ts.21cn.com/tousu/show/id/1348681</v>
      </c>
      <c r="F16910" s="2" t="s">
        <v>11</v>
      </c>
      <c r="G16910" s="2" t="s">
        <v>10939</v>
      </c>
      <c r="H16910" s="2" t="s">
        <v>10940</v>
      </c>
    </row>
    <row r="16911" spans="1:8" ht="25.05" customHeight="1" x14ac:dyDescent="0.25">
      <c r="A16911" s="2" t="s">
        <v>8</v>
      </c>
      <c r="B16911" s="2" t="str">
        <f>HYPERLINK("http://ts.21cn.com/tousu/show/id/1348682","平安普惠贷款隐瞒隐藏并强制收取高额保险费管理费投诉事宜")</f>
        <v>平安普惠贷款隐瞒隐藏并强制收取高额保险费管理费投诉事宜</v>
      </c>
      <c r="C16911" s="2" t="s">
        <v>9</v>
      </c>
      <c r="D16911" s="2" t="s">
        <v>10</v>
      </c>
      <c r="E16911" s="2" t="str">
        <f>HYPERLINK("http://ts.21cn.com/tousu/show/id/1348682","http://ts.21cn.com/tousu/show/id/1348682")</f>
        <v>http://ts.21cn.com/tousu/show/id/1348682</v>
      </c>
      <c r="F16911" s="2" t="s">
        <v>11</v>
      </c>
      <c r="G16911" s="2" t="s">
        <v>10937</v>
      </c>
      <c r="H16911" s="2" t="s">
        <v>10938</v>
      </c>
    </row>
    <row r="16912" spans="1:8" ht="25.05" customHeight="1" x14ac:dyDescent="0.25">
      <c r="A16912" s="2" t="s">
        <v>8</v>
      </c>
      <c r="B16912" s="2" t="str">
        <f>HYPERLINK("http://ts.21cn.com/tousu/show/id/1348683","要求偿还本金和合理利息")</f>
        <v>要求偿还本金和合理利息</v>
      </c>
      <c r="C16912" s="2" t="s">
        <v>34</v>
      </c>
      <c r="D16912" s="2" t="s">
        <v>10</v>
      </c>
      <c r="E16912" s="2" t="str">
        <f>HYPERLINK("http://ts.21cn.com/tousu/show/id/1348683","http://ts.21cn.com/tousu/show/id/1348683")</f>
        <v>http://ts.21cn.com/tousu/show/id/1348683</v>
      </c>
      <c r="F16912" s="2" t="s">
        <v>11</v>
      </c>
      <c r="G16912" s="2" t="s">
        <v>10935</v>
      </c>
      <c r="H16912" s="2" t="s">
        <v>10936</v>
      </c>
    </row>
    <row r="16913" spans="1:8" ht="25.05" customHeight="1" x14ac:dyDescent="0.25">
      <c r="A16913" s="2" t="s">
        <v>8</v>
      </c>
      <c r="B16913" s="2" t="str">
        <f>HYPERLINK("http://ts.21cn.com/tousu/show/id/1348686","Ｅ下款高利贷")</f>
        <v>Ｅ下款高利贷</v>
      </c>
      <c r="C16913" s="2" t="s">
        <v>9</v>
      </c>
      <c r="D16913" s="2" t="s">
        <v>10</v>
      </c>
      <c r="E16913" s="2" t="str">
        <f>HYPERLINK("http://ts.21cn.com/tousu/show/id/1348686","http://ts.21cn.com/tousu/show/id/1348686")</f>
        <v>http://ts.21cn.com/tousu/show/id/1348686</v>
      </c>
      <c r="F16913" s="2" t="s">
        <v>11</v>
      </c>
      <c r="G16913" s="2" t="s">
        <v>10933</v>
      </c>
      <c r="H16913" s="2" t="s">
        <v>10934</v>
      </c>
    </row>
    <row r="16914" spans="1:8" ht="25.05" customHeight="1" x14ac:dyDescent="0.25">
      <c r="A16914" s="2" t="s">
        <v>8</v>
      </c>
      <c r="B16914" s="2" t="str">
        <f>HYPERLINK("http://ts.21cn.com/tousu/show/id/1348687","交易猫交易虚假账号被盗，客服不理人，没有人工客服")</f>
        <v>交易猫交易虚假账号被盗，客服不理人，没有人工客服</v>
      </c>
      <c r="C16914" s="2" t="s">
        <v>9</v>
      </c>
      <c r="D16914" s="2" t="s">
        <v>10</v>
      </c>
      <c r="E16914" s="2" t="str">
        <f>HYPERLINK("http://ts.21cn.com/tousu/show/id/1348687","http://ts.21cn.com/tousu/show/id/1348687")</f>
        <v>http://ts.21cn.com/tousu/show/id/1348687</v>
      </c>
      <c r="F16914" s="2" t="s">
        <v>11</v>
      </c>
      <c r="G16914" s="2" t="s">
        <v>10931</v>
      </c>
      <c r="H16914" s="2" t="s">
        <v>10932</v>
      </c>
    </row>
    <row r="16915" spans="1:8" ht="25.05" customHeight="1" x14ac:dyDescent="0.25">
      <c r="A16915" s="2" t="s">
        <v>8</v>
      </c>
      <c r="B16915" s="2" t="str">
        <f>HYPERLINK("http://ts.21cn.com/tousu/show/id/1348688","需要时间延期还款")</f>
        <v>需要时间延期还款</v>
      </c>
      <c r="C16915" s="2" t="s">
        <v>34</v>
      </c>
      <c r="D16915" s="2" t="s">
        <v>10</v>
      </c>
      <c r="E16915" s="2" t="str">
        <f>HYPERLINK("http://ts.21cn.com/tousu/show/id/1348688","http://ts.21cn.com/tousu/show/id/1348688")</f>
        <v>http://ts.21cn.com/tousu/show/id/1348688</v>
      </c>
      <c r="F16915" s="2" t="s">
        <v>11</v>
      </c>
      <c r="G16915" s="2" t="s">
        <v>10929</v>
      </c>
      <c r="H16915" s="2" t="s">
        <v>10930</v>
      </c>
    </row>
    <row r="16916" spans="1:8" ht="25.05" customHeight="1" x14ac:dyDescent="0.25">
      <c r="A16916" s="2" t="s">
        <v>8</v>
      </c>
      <c r="B16916" s="2" t="str">
        <f>HYPERLINK("http://ts.21cn.com/tousu/show/id/1348691","祈福楼巴不合理收费")</f>
        <v>祈福楼巴不合理收费</v>
      </c>
      <c r="C16916" s="2" t="s">
        <v>9</v>
      </c>
      <c r="D16916" s="2" t="s">
        <v>10</v>
      </c>
      <c r="E16916" s="2" t="str">
        <f>HYPERLINK("http://ts.21cn.com/tousu/show/id/1348691","http://ts.21cn.com/tousu/show/id/1348691")</f>
        <v>http://ts.21cn.com/tousu/show/id/1348691</v>
      </c>
      <c r="F16916" s="2" t="s">
        <v>11</v>
      </c>
      <c r="G16916" s="2" t="s">
        <v>10927</v>
      </c>
      <c r="H16916" s="2" t="s">
        <v>10928</v>
      </c>
    </row>
    <row r="16917" spans="1:8" ht="25.05" customHeight="1" x14ac:dyDescent="0.25">
      <c r="A16917" s="2" t="s">
        <v>8</v>
      </c>
      <c r="B16917" s="2" t="str">
        <f>HYPERLINK("http://ts.21cn.com/tousu/show/id/1348690","无理骚扰")</f>
        <v>无理骚扰</v>
      </c>
      <c r="C16917" s="2" t="s">
        <v>9</v>
      </c>
      <c r="D16917" s="2" t="s">
        <v>10</v>
      </c>
      <c r="E16917" s="2" t="str">
        <f>HYPERLINK("http://ts.21cn.com/tousu/show/id/1348690","http://ts.21cn.com/tousu/show/id/1348690")</f>
        <v>http://ts.21cn.com/tousu/show/id/1348690</v>
      </c>
      <c r="F16917" s="2" t="s">
        <v>11</v>
      </c>
      <c r="G16917" s="2" t="s">
        <v>10925</v>
      </c>
      <c r="H16917" s="2" t="s">
        <v>10926</v>
      </c>
    </row>
    <row r="16918" spans="1:8" ht="25.05" customHeight="1" x14ac:dyDescent="0.25">
      <c r="A16918" s="2" t="s">
        <v>8</v>
      </c>
      <c r="B16918" s="2" t="str">
        <f>HYPERLINK("http://ts.21cn.com/tousu/show/id/1348692","在高铁管家买的高铁票窗口的改签钱一直没退回账户上")</f>
        <v>在高铁管家买的高铁票窗口的改签钱一直没退回账户上</v>
      </c>
      <c r="C16918" s="2" t="s">
        <v>9</v>
      </c>
      <c r="D16918" s="2" t="s">
        <v>10</v>
      </c>
      <c r="E16918" s="2" t="str">
        <f>HYPERLINK("http://ts.21cn.com/tousu/show/id/1348692","http://ts.21cn.com/tousu/show/id/1348692")</f>
        <v>http://ts.21cn.com/tousu/show/id/1348692</v>
      </c>
      <c r="F16918" s="2" t="s">
        <v>11</v>
      </c>
      <c r="G16918" s="2" t="s">
        <v>10923</v>
      </c>
      <c r="H16918" s="2" t="s">
        <v>10924</v>
      </c>
    </row>
    <row r="16919" spans="1:8" ht="25.05" customHeight="1" x14ac:dyDescent="0.25">
      <c r="A16919" s="2" t="s">
        <v>8</v>
      </c>
      <c r="B16919" s="2" t="str">
        <f>HYPERLINK("http://ts.21cn.com/tousu/show/id/1348693","优乐美骚扰")</f>
        <v>优乐美骚扰</v>
      </c>
      <c r="C16919" s="2" t="s">
        <v>9</v>
      </c>
      <c r="D16919" s="2" t="s">
        <v>10</v>
      </c>
      <c r="E16919" s="2" t="str">
        <f>HYPERLINK("http://ts.21cn.com/tousu/show/id/1348693","http://ts.21cn.com/tousu/show/id/1348693")</f>
        <v>http://ts.21cn.com/tousu/show/id/1348693</v>
      </c>
      <c r="F16919" s="2" t="s">
        <v>11</v>
      </c>
      <c r="G16919" s="2" t="s">
        <v>10921</v>
      </c>
      <c r="H16919" s="2" t="s">
        <v>10922</v>
      </c>
    </row>
    <row r="16920" spans="1:8" ht="25.05" customHeight="1" x14ac:dyDescent="0.25">
      <c r="A16920" s="2" t="s">
        <v>8</v>
      </c>
      <c r="B16920" s="2" t="str">
        <f>HYPERLINK("http://ts.21cn.com/tousu/show/id/1348695","弹个车误导消费者！高利贷公司")</f>
        <v>弹个车误导消费者！高利贷公司</v>
      </c>
      <c r="C16920" s="2" t="s">
        <v>9</v>
      </c>
      <c r="D16920" s="2" t="s">
        <v>10</v>
      </c>
      <c r="E16920" s="2" t="str">
        <f>HYPERLINK("http://ts.21cn.com/tousu/show/id/1348695","http://ts.21cn.com/tousu/show/id/1348695")</f>
        <v>http://ts.21cn.com/tousu/show/id/1348695</v>
      </c>
      <c r="F16920" s="2" t="s">
        <v>11</v>
      </c>
      <c r="G16920" s="2" t="s">
        <v>10919</v>
      </c>
      <c r="H16920" s="2" t="s">
        <v>10920</v>
      </c>
    </row>
    <row r="16921" spans="1:8" ht="25.05" customHeight="1" x14ac:dyDescent="0.25">
      <c r="A16921" s="2" t="s">
        <v>8</v>
      </c>
      <c r="B16921" s="2" t="str">
        <f>HYPERLINK("http://ts.21cn.com/tousu/show/id/1348696","立刻出行超时不退保证金，要求即刻退还")</f>
        <v>立刻出行超时不退保证金，要求即刻退还</v>
      </c>
      <c r="C16921" s="2" t="s">
        <v>9</v>
      </c>
      <c r="D16921" s="2" t="s">
        <v>10</v>
      </c>
      <c r="E16921" s="2" t="str">
        <f>HYPERLINK("http://ts.21cn.com/tousu/show/id/1348696","http://ts.21cn.com/tousu/show/id/1348696")</f>
        <v>http://ts.21cn.com/tousu/show/id/1348696</v>
      </c>
      <c r="F16921" s="2" t="s">
        <v>11</v>
      </c>
      <c r="G16921" s="2" t="s">
        <v>10917</v>
      </c>
      <c r="H16921" s="2" t="s">
        <v>10918</v>
      </c>
    </row>
    <row r="16922" spans="1:8" ht="25.05" customHeight="1" x14ac:dyDescent="0.25">
      <c r="A16922" s="2" t="s">
        <v>8</v>
      </c>
      <c r="B16922" s="2" t="str">
        <f>HYPERLINK("http://ts.21cn.com/tousu/show/id/1348698","要求偿还本金")</f>
        <v>要求偿还本金</v>
      </c>
      <c r="C16922" s="2" t="s">
        <v>34</v>
      </c>
      <c r="D16922" s="2" t="s">
        <v>10</v>
      </c>
      <c r="E16922" s="2" t="str">
        <f>HYPERLINK("http://ts.21cn.com/tousu/show/id/1348698","http://ts.21cn.com/tousu/show/id/1348698")</f>
        <v>http://ts.21cn.com/tousu/show/id/1348698</v>
      </c>
      <c r="F16922" s="2" t="s">
        <v>11</v>
      </c>
      <c r="G16922" s="2" t="s">
        <v>10915</v>
      </c>
      <c r="H16922" s="2" t="s">
        <v>10916</v>
      </c>
    </row>
    <row r="16923" spans="1:8" ht="25.05" customHeight="1" x14ac:dyDescent="0.25">
      <c r="A16923" s="2" t="s">
        <v>8</v>
      </c>
      <c r="B16923" s="2" t="str">
        <f>HYPERLINK("http://ts.21cn.com/tousu/show/id/1348697","交易猫栽赃陷害")</f>
        <v>交易猫栽赃陷害</v>
      </c>
      <c r="C16923" s="2" t="s">
        <v>9</v>
      </c>
      <c r="D16923" s="2" t="s">
        <v>10</v>
      </c>
      <c r="E16923" s="2" t="str">
        <f>HYPERLINK("http://ts.21cn.com/tousu/show/id/1348697","http://ts.21cn.com/tousu/show/id/1348697")</f>
        <v>http://ts.21cn.com/tousu/show/id/1348697</v>
      </c>
      <c r="F16923" s="2" t="s">
        <v>11</v>
      </c>
      <c r="G16923" s="2" t="s">
        <v>10913</v>
      </c>
      <c r="H16923" s="2" t="s">
        <v>10914</v>
      </c>
    </row>
    <row r="16924" spans="1:8" ht="25.05" customHeight="1" x14ac:dyDescent="0.25">
      <c r="A16924" s="2" t="s">
        <v>8</v>
      </c>
      <c r="B16924" s="2" t="str">
        <f>HYPERLINK("http://ts.21cn.com/tousu/show/id/1348700","天猫超市买到发霉鱿鱼要求赔偿1000元")</f>
        <v>天猫超市买到发霉鱿鱼要求赔偿1000元</v>
      </c>
      <c r="C16924" s="2" t="s">
        <v>9</v>
      </c>
      <c r="D16924" s="2" t="s">
        <v>10</v>
      </c>
      <c r="E16924" s="2" t="str">
        <f>HYPERLINK("http://ts.21cn.com/tousu/show/id/1348700","http://ts.21cn.com/tousu/show/id/1348700")</f>
        <v>http://ts.21cn.com/tousu/show/id/1348700</v>
      </c>
      <c r="F16924" s="2" t="s">
        <v>11</v>
      </c>
      <c r="G16924" s="2" t="s">
        <v>10911</v>
      </c>
      <c r="H16924" s="2" t="s">
        <v>10912</v>
      </c>
    </row>
    <row r="16925" spans="1:8" ht="25.05" customHeight="1" x14ac:dyDescent="0.25">
      <c r="A16925" s="2" t="s">
        <v>8</v>
      </c>
      <c r="B16925" s="2" t="str">
        <f>HYPERLINK("http://ts.21cn.com/tousu/show/id/1348699","暴力催收")</f>
        <v>暴力催收</v>
      </c>
      <c r="C16925" s="2" t="s">
        <v>9</v>
      </c>
      <c r="D16925" s="2" t="s">
        <v>10</v>
      </c>
      <c r="E16925" s="2" t="str">
        <f>HYPERLINK("http://ts.21cn.com/tousu/show/id/1348699","http://ts.21cn.com/tousu/show/id/1348699")</f>
        <v>http://ts.21cn.com/tousu/show/id/1348699</v>
      </c>
      <c r="F16925" s="2" t="s">
        <v>11</v>
      </c>
      <c r="G16925" s="2" t="s">
        <v>10909</v>
      </c>
      <c r="H16925" s="2" t="s">
        <v>10910</v>
      </c>
    </row>
    <row r="16926" spans="1:8" ht="25.05" customHeight="1" x14ac:dyDescent="0.25">
      <c r="A16926" s="2" t="s">
        <v>8</v>
      </c>
      <c r="B16926" s="2" t="str">
        <f>HYPERLINK("http://ts.21cn.com/tousu/show/id/1348684","百川推客，不给佣金")</f>
        <v>百川推客，不给佣金</v>
      </c>
      <c r="C16926" s="2" t="s">
        <v>9</v>
      </c>
      <c r="D16926" s="2" t="s">
        <v>10</v>
      </c>
      <c r="E16926" s="2" t="str">
        <f>HYPERLINK("http://ts.21cn.com/tousu/show/id/1348684","http://ts.21cn.com/tousu/show/id/1348684")</f>
        <v>http://ts.21cn.com/tousu/show/id/1348684</v>
      </c>
      <c r="F16926" s="2" t="s">
        <v>11</v>
      </c>
      <c r="G16926" s="2" t="s">
        <v>10907</v>
      </c>
      <c r="H16926" s="2" t="s">
        <v>10908</v>
      </c>
    </row>
    <row r="16927" spans="1:8" ht="25.05" customHeight="1" x14ac:dyDescent="0.25">
      <c r="A16927" s="2" t="s">
        <v>8</v>
      </c>
      <c r="B16927" s="2" t="str">
        <f>HYPERLINK("http://ts.21cn.com/tousu/show/id/1348652","借贷宝打条了，借款没有到账，投诉不处理")</f>
        <v>借贷宝打条了，借款没有到账，投诉不处理</v>
      </c>
      <c r="C16927" s="2" t="s">
        <v>9</v>
      </c>
      <c r="D16927" s="2" t="s">
        <v>10</v>
      </c>
      <c r="E16927" s="2" t="str">
        <f>HYPERLINK("http://ts.21cn.com/tousu/show/id/1348652","http://ts.21cn.com/tousu/show/id/1348652")</f>
        <v>http://ts.21cn.com/tousu/show/id/1348652</v>
      </c>
      <c r="F16927" s="2" t="s">
        <v>11</v>
      </c>
      <c r="G16927" s="2" t="s">
        <v>10905</v>
      </c>
      <c r="H16927" s="2" t="s">
        <v>10906</v>
      </c>
    </row>
    <row r="16928" spans="1:8" ht="25.05" customHeight="1" x14ac:dyDescent="0.25">
      <c r="A16928" s="2" t="s">
        <v>8</v>
      </c>
      <c r="B16928" s="2" t="str">
        <f>HYPERLINK("http://ts.21cn.com/tousu/show/id/1348701","京东商城购买白酒结果破损，京东拒绝退货或赔偿，调出监控证明外包装严重变形，可是京东硬要抵赖说没问题")</f>
        <v>京东商城购买白酒结果破损，京东拒绝退货或赔偿，调出监控证明外包装严重变形，可是京东硬要抵赖说没问题</v>
      </c>
      <c r="C16928" s="2" t="s">
        <v>9</v>
      </c>
      <c r="D16928" s="2" t="s">
        <v>10</v>
      </c>
      <c r="E16928" s="2" t="str">
        <f>HYPERLINK("http://ts.21cn.com/tousu/show/id/1348701","http://ts.21cn.com/tousu/show/id/1348701")</f>
        <v>http://ts.21cn.com/tousu/show/id/1348701</v>
      </c>
      <c r="F16928" s="2" t="s">
        <v>11</v>
      </c>
      <c r="G16928" s="2" t="s">
        <v>10903</v>
      </c>
      <c r="H16928" s="2" t="s">
        <v>10904</v>
      </c>
    </row>
    <row r="16929" spans="1:8" ht="25.05" customHeight="1" x14ac:dyDescent="0.25">
      <c r="A16929" s="2" t="s">
        <v>8</v>
      </c>
      <c r="B16929" s="2" t="str">
        <f>HYPERLINK("http://ts.21cn.com/tousu/show/id/1348702","还呗")</f>
        <v>还呗</v>
      </c>
      <c r="C16929" s="2" t="s">
        <v>9</v>
      </c>
      <c r="D16929" s="2" t="s">
        <v>10</v>
      </c>
      <c r="E16929" s="2" t="str">
        <f>HYPERLINK("http://ts.21cn.com/tousu/show/id/1348702","http://ts.21cn.com/tousu/show/id/1348702")</f>
        <v>http://ts.21cn.com/tousu/show/id/1348702</v>
      </c>
      <c r="F16929" s="2" t="s">
        <v>11</v>
      </c>
      <c r="G16929" s="2" t="s">
        <v>10901</v>
      </c>
      <c r="H16929" s="2" t="s">
        <v>10902</v>
      </c>
    </row>
    <row r="16930" spans="1:8" ht="25.05" customHeight="1" x14ac:dyDescent="0.25">
      <c r="A16930" s="2" t="s">
        <v>8</v>
      </c>
      <c r="B16930" s="2" t="str">
        <f>HYPERLINK("http://ts.21cn.com/tousu/show/id/1348703","你我贷高利贷")</f>
        <v>你我贷高利贷</v>
      </c>
      <c r="C16930" s="2" t="s">
        <v>9</v>
      </c>
      <c r="D16930" s="2" t="s">
        <v>10</v>
      </c>
      <c r="E16930" s="2" t="str">
        <f>HYPERLINK("http://ts.21cn.com/tousu/show/id/1348703","http://ts.21cn.com/tousu/show/id/1348703")</f>
        <v>http://ts.21cn.com/tousu/show/id/1348703</v>
      </c>
      <c r="F16930" s="2" t="s">
        <v>11</v>
      </c>
      <c r="G16930" s="2" t="s">
        <v>10899</v>
      </c>
      <c r="H16930" s="2" t="s">
        <v>10900</v>
      </c>
    </row>
    <row r="16931" spans="1:8" ht="25.05" customHeight="1" x14ac:dyDescent="0.25">
      <c r="A16931" s="2" t="s">
        <v>8</v>
      </c>
      <c r="B16931" s="2" t="str">
        <f>HYPERLINK("http://ts.21cn.com/tousu/show/id/1348704","拿更新说事，后台抹数据")</f>
        <v>拿更新说事，后台抹数据</v>
      </c>
      <c r="C16931" s="2" t="s">
        <v>9</v>
      </c>
      <c r="D16931" s="2" t="s">
        <v>10</v>
      </c>
      <c r="E16931" s="2" t="str">
        <f>HYPERLINK("http://ts.21cn.com/tousu/show/id/1348704","http://ts.21cn.com/tousu/show/id/1348704")</f>
        <v>http://ts.21cn.com/tousu/show/id/1348704</v>
      </c>
      <c r="F16931" s="2" t="s">
        <v>11</v>
      </c>
      <c r="G16931" s="2" t="s">
        <v>10897</v>
      </c>
      <c r="H16931" s="2" t="s">
        <v>10898</v>
      </c>
    </row>
    <row r="16932" spans="1:8" ht="25.05" customHeight="1" x14ac:dyDescent="0.25">
      <c r="A16932" s="2" t="s">
        <v>8</v>
      </c>
      <c r="B16932" s="2" t="str">
        <f>HYPERLINK("http://ts.21cn.com/tousu/show/id/1348707","月光侠分期非法发放高利贷，收取砍头息")</f>
        <v>月光侠分期非法发放高利贷，收取砍头息</v>
      </c>
      <c r="C16932" s="2" t="s">
        <v>9</v>
      </c>
      <c r="D16932" s="2" t="s">
        <v>10</v>
      </c>
      <c r="E16932" s="2" t="str">
        <f>HYPERLINK("http://ts.21cn.com/tousu/show/id/1348707","http://ts.21cn.com/tousu/show/id/1348707")</f>
        <v>http://ts.21cn.com/tousu/show/id/1348707</v>
      </c>
      <c r="F16932" s="2" t="s">
        <v>11</v>
      </c>
      <c r="G16932" s="2" t="s">
        <v>10895</v>
      </c>
      <c r="H16932" s="2" t="s">
        <v>10896</v>
      </c>
    </row>
    <row r="16933" spans="1:8" ht="25.05" customHeight="1" x14ac:dyDescent="0.25">
      <c r="A16933" s="2" t="s">
        <v>8</v>
      </c>
      <c r="B16933" s="2" t="str">
        <f>HYPERLINK("http://ts.21cn.com/tousu/show/id/1348708","凯信金融伪造阴阳合同")</f>
        <v>凯信金融伪造阴阳合同</v>
      </c>
      <c r="C16933" s="2" t="s">
        <v>9</v>
      </c>
      <c r="D16933" s="2" t="s">
        <v>10</v>
      </c>
      <c r="E16933" s="2" t="str">
        <f>HYPERLINK("http://ts.21cn.com/tousu/show/id/1348708","http://ts.21cn.com/tousu/show/id/1348708")</f>
        <v>http://ts.21cn.com/tousu/show/id/1348708</v>
      </c>
      <c r="F16933" s="2" t="s">
        <v>11</v>
      </c>
      <c r="G16933" s="2" t="s">
        <v>10893</v>
      </c>
      <c r="H16933" s="2" t="s">
        <v>10894</v>
      </c>
    </row>
    <row r="16934" spans="1:8" ht="25.05" customHeight="1" x14ac:dyDescent="0.25">
      <c r="A16934" s="2" t="s">
        <v>8</v>
      </c>
      <c r="B16934" s="2" t="str">
        <f>HYPERLINK("http://ts.21cn.com/tousu/show/id/1348709","微信官方在我不知情的情况下冻结我的微信支付，导致我无法使用该功能并无法使用我微信里面的资金，有向微信官方反应但至今回复。")</f>
        <v>微信官方在我不知情的情况下冻结我的微信支付，导致我无法使用该功能并无法使用我微信里面的资金，有向微信官方反应但至今回复。</v>
      </c>
      <c r="C16934" s="2" t="s">
        <v>9</v>
      </c>
      <c r="D16934" s="2" t="s">
        <v>10</v>
      </c>
      <c r="E16934" s="2" t="str">
        <f>HYPERLINK("http://ts.21cn.com/tousu/show/id/1348709","http://ts.21cn.com/tousu/show/id/1348709")</f>
        <v>http://ts.21cn.com/tousu/show/id/1348709</v>
      </c>
      <c r="F16934" s="2" t="s">
        <v>11</v>
      </c>
      <c r="G16934" s="2" t="s">
        <v>10891</v>
      </c>
      <c r="H16934" s="2" t="s">
        <v>10892</v>
      </c>
    </row>
    <row r="16935" spans="1:8" ht="25.05" customHeight="1" x14ac:dyDescent="0.25">
      <c r="A16935" s="2" t="s">
        <v>8</v>
      </c>
      <c r="B16935" s="2" t="str">
        <f>HYPERLINK("http://ts.21cn.com/tousu/show/id/1348710","泰迪熊移动刚申请的企业号码还没有用都有标记申诉不处理")</f>
        <v>泰迪熊移动刚申请的企业号码还没有用都有标记申诉不处理</v>
      </c>
      <c r="C16935" s="2" t="s">
        <v>9</v>
      </c>
      <c r="D16935" s="2" t="s">
        <v>10</v>
      </c>
      <c r="E16935" s="2" t="str">
        <f>HYPERLINK("http://ts.21cn.com/tousu/show/id/1348710","http://ts.21cn.com/tousu/show/id/1348710")</f>
        <v>http://ts.21cn.com/tousu/show/id/1348710</v>
      </c>
      <c r="F16935" s="2" t="s">
        <v>11</v>
      </c>
      <c r="G16935" s="2" t="s">
        <v>10889</v>
      </c>
      <c r="H16935" s="2" t="s">
        <v>10890</v>
      </c>
    </row>
    <row r="16936" spans="1:8" ht="25.05" customHeight="1" x14ac:dyDescent="0.25">
      <c r="A16936" s="2" t="s">
        <v>8</v>
      </c>
      <c r="B16936" s="2" t="str">
        <f>HYPERLINK("http://ts.21cn.com/tousu/show/id/1348712","请求协商还款")</f>
        <v>请求协商还款</v>
      </c>
      <c r="C16936" s="2" t="s">
        <v>9</v>
      </c>
      <c r="D16936" s="2" t="s">
        <v>10</v>
      </c>
      <c r="E16936" s="2" t="str">
        <f>HYPERLINK("http://ts.21cn.com/tousu/show/id/1348712","http://ts.21cn.com/tousu/show/id/1348712")</f>
        <v>http://ts.21cn.com/tousu/show/id/1348712</v>
      </c>
      <c r="F16936" s="2" t="s">
        <v>11</v>
      </c>
      <c r="G16936" s="2" t="s">
        <v>10887</v>
      </c>
      <c r="H16936" s="2" t="s">
        <v>10888</v>
      </c>
    </row>
    <row r="16937" spans="1:8" ht="25.05" customHeight="1" x14ac:dyDescent="0.25">
      <c r="A16937" s="2" t="s">
        <v>8</v>
      </c>
      <c r="B16937" s="2" t="str">
        <f>HYPERLINK("http://ts.21cn.com/tousu/show/id/1348713","请求提前还款，减免高额手续费及利息")</f>
        <v>请求提前还款，减免高额手续费及利息</v>
      </c>
      <c r="C16937" s="2" t="s">
        <v>34</v>
      </c>
      <c r="D16937" s="2" t="s">
        <v>10</v>
      </c>
      <c r="E16937" s="2" t="str">
        <f>HYPERLINK("http://ts.21cn.com/tousu/show/id/1348713","http://ts.21cn.com/tousu/show/id/1348713")</f>
        <v>http://ts.21cn.com/tousu/show/id/1348713</v>
      </c>
      <c r="F16937" s="2" t="s">
        <v>11</v>
      </c>
      <c r="G16937" s="2" t="s">
        <v>10885</v>
      </c>
      <c r="H16937" s="2" t="s">
        <v>10886</v>
      </c>
    </row>
    <row r="16938" spans="1:8" ht="25.05" customHeight="1" x14ac:dyDescent="0.25">
      <c r="A16938" s="2" t="s">
        <v>8</v>
      </c>
      <c r="B16938" s="2" t="str">
        <f>HYPERLINK("http://ts.21cn.com/tousu/show/id/1348714","2019年10.9上午9点多我建设银行卡被无故扣款1000元我要求全额退款")</f>
        <v>2019年10.9上午9点多我建设银行卡被无故扣款1000元我要求全额退款</v>
      </c>
      <c r="C16938" s="2" t="s">
        <v>34</v>
      </c>
      <c r="D16938" s="2" t="s">
        <v>10</v>
      </c>
      <c r="E16938" s="2" t="str">
        <f>HYPERLINK("http://ts.21cn.com/tousu/show/id/1348714","http://ts.21cn.com/tousu/show/id/1348714")</f>
        <v>http://ts.21cn.com/tousu/show/id/1348714</v>
      </c>
      <c r="F16938" s="2" t="s">
        <v>11</v>
      </c>
      <c r="G16938" s="2" t="s">
        <v>10883</v>
      </c>
      <c r="H16938" s="2" t="s">
        <v>10884</v>
      </c>
    </row>
    <row r="16939" spans="1:8" ht="25.05" customHeight="1" x14ac:dyDescent="0.25">
      <c r="A16939" s="2" t="s">
        <v>8</v>
      </c>
      <c r="B16939" s="2" t="str">
        <f>HYPERLINK("http://ts.21cn.com/tousu/show/id/1348716","投诉哆咪黑卡，台州钟超网络科技有限公司")</f>
        <v>投诉哆咪黑卡，台州钟超网络科技有限公司</v>
      </c>
      <c r="C16939" s="2" t="s">
        <v>9</v>
      </c>
      <c r="D16939" s="2" t="s">
        <v>10</v>
      </c>
      <c r="E16939" s="2" t="str">
        <f>HYPERLINK("http://ts.21cn.com/tousu/show/id/1348716","http://ts.21cn.com/tousu/show/id/1348716")</f>
        <v>http://ts.21cn.com/tousu/show/id/1348716</v>
      </c>
      <c r="F16939" s="2" t="s">
        <v>11</v>
      </c>
      <c r="G16939" s="2" t="s">
        <v>10881</v>
      </c>
      <c r="H16939" s="2" t="s">
        <v>10882</v>
      </c>
    </row>
    <row r="16940" spans="1:8" ht="25.05" customHeight="1" x14ac:dyDescent="0.25">
      <c r="A16940" s="2" t="s">
        <v>8</v>
      </c>
      <c r="B16940" s="2" t="str">
        <f>HYPERLINK("http://ts.21cn.com/tousu/show/id/1348715","招联金融暴力催收")</f>
        <v>招联金融暴力催收</v>
      </c>
      <c r="C16940" s="2" t="s">
        <v>9</v>
      </c>
      <c r="D16940" s="2" t="s">
        <v>10</v>
      </c>
      <c r="E16940" s="2" t="str">
        <f>HYPERLINK("http://ts.21cn.com/tousu/show/id/1348715","http://ts.21cn.com/tousu/show/id/1348715")</f>
        <v>http://ts.21cn.com/tousu/show/id/1348715</v>
      </c>
      <c r="F16940" s="2" t="s">
        <v>11</v>
      </c>
      <c r="G16940" s="2" t="s">
        <v>10879</v>
      </c>
      <c r="H16940" s="2" t="s">
        <v>10880</v>
      </c>
    </row>
    <row r="16941" spans="1:8" ht="25.05" customHeight="1" x14ac:dyDescent="0.25">
      <c r="A16941" s="2" t="s">
        <v>8</v>
      </c>
      <c r="B16941" s="2" t="str">
        <f>HYPERLINK("http://ts.21cn.com/tousu/show/id/1348717","要求分期乐停止骚扰")</f>
        <v>要求分期乐停止骚扰</v>
      </c>
      <c r="C16941" s="2" t="s">
        <v>9</v>
      </c>
      <c r="D16941" s="2" t="s">
        <v>10</v>
      </c>
      <c r="E16941" s="2" t="str">
        <f>HYPERLINK("http://ts.21cn.com/tousu/show/id/1348717","http://ts.21cn.com/tousu/show/id/1348717")</f>
        <v>http://ts.21cn.com/tousu/show/id/1348717</v>
      </c>
      <c r="F16941" s="2" t="s">
        <v>11</v>
      </c>
      <c r="G16941" s="2" t="s">
        <v>10877</v>
      </c>
      <c r="H16941" s="2" t="s">
        <v>10878</v>
      </c>
    </row>
    <row r="16942" spans="1:8" ht="25.05" customHeight="1" x14ac:dyDescent="0.25">
      <c r="A16942" s="2" t="s">
        <v>8</v>
      </c>
      <c r="B16942" s="2" t="str">
        <f>HYPERLINK("http://ts.21cn.com/tousu/show/id/1343962","销账")</f>
        <v>销账</v>
      </c>
      <c r="C16942" s="2" t="s">
        <v>9</v>
      </c>
      <c r="D16942" s="2" t="s">
        <v>10</v>
      </c>
      <c r="E16942" s="2" t="str">
        <f>HYPERLINK("http://ts.21cn.com/tousu/show/id/1343962","http://ts.21cn.com/tousu/show/id/1343962")</f>
        <v>http://ts.21cn.com/tousu/show/id/1343962</v>
      </c>
      <c r="F16942" s="2" t="s">
        <v>11</v>
      </c>
      <c r="G16942" s="2" t="s">
        <v>10875</v>
      </c>
      <c r="H16942" s="2" t="s">
        <v>10876</v>
      </c>
    </row>
    <row r="16943" spans="1:8" ht="25.05" customHeight="1" x14ac:dyDescent="0.25">
      <c r="A16943" s="2" t="s">
        <v>8</v>
      </c>
      <c r="B16943" s="2" t="str">
        <f>HYPERLINK("http://ts.21cn.com/tousu/show/id/1348718","宝付违法违规扣砍头息")</f>
        <v>宝付违法违规扣砍头息</v>
      </c>
      <c r="C16943" s="2" t="s">
        <v>9</v>
      </c>
      <c r="D16943" s="2" t="s">
        <v>10</v>
      </c>
      <c r="E16943" s="2" t="str">
        <f>HYPERLINK("http://ts.21cn.com/tousu/show/id/1348718","http://ts.21cn.com/tousu/show/id/1348718")</f>
        <v>http://ts.21cn.com/tousu/show/id/1348718</v>
      </c>
      <c r="F16943" s="2" t="s">
        <v>11</v>
      </c>
      <c r="G16943" s="2" t="s">
        <v>10873</v>
      </c>
      <c r="H16943" s="2" t="s">
        <v>10874</v>
      </c>
    </row>
    <row r="16944" spans="1:8" ht="25.05" customHeight="1" x14ac:dyDescent="0.25">
      <c r="A16944" s="2" t="s">
        <v>8</v>
      </c>
      <c r="B16944" s="2" t="str">
        <f>HYPERLINK("http://ts.21cn.com/tousu/show/id/1348719","点融极贷，对87岁高龄的老人进行催收，连通讯里没有的人也进行暴力催收，简直丧心病狂")</f>
        <v>点融极贷，对87岁高龄的老人进行催收，连通讯里没有的人也进行暴力催收，简直丧心病狂</v>
      </c>
      <c r="C16944" s="2" t="s">
        <v>9</v>
      </c>
      <c r="D16944" s="2" t="s">
        <v>10</v>
      </c>
      <c r="E16944" s="2" t="str">
        <f>HYPERLINK("http://ts.21cn.com/tousu/show/id/1348719","http://ts.21cn.com/tousu/show/id/1348719")</f>
        <v>http://ts.21cn.com/tousu/show/id/1348719</v>
      </c>
      <c r="F16944" s="2" t="s">
        <v>11</v>
      </c>
      <c r="G16944" s="2" t="s">
        <v>10871</v>
      </c>
      <c r="H16944" s="2" t="s">
        <v>10872</v>
      </c>
    </row>
    <row r="16945" spans="1:8" ht="25.05" customHeight="1" x14ac:dyDescent="0.25">
      <c r="A16945" s="2" t="s">
        <v>8</v>
      </c>
      <c r="B16945" s="2" t="str">
        <f>HYPERLINK("http://ts.21cn.com/tousu/show/id/1348721","大量用户无法退还立刻出行499元押金")</f>
        <v>大量用户无法退还立刻出行499元押金</v>
      </c>
      <c r="C16945" s="2" t="s">
        <v>9</v>
      </c>
      <c r="D16945" s="2" t="s">
        <v>10</v>
      </c>
      <c r="E16945" s="2" t="str">
        <f>HYPERLINK("http://ts.21cn.com/tousu/show/id/1348721","http://ts.21cn.com/tousu/show/id/1348721")</f>
        <v>http://ts.21cn.com/tousu/show/id/1348721</v>
      </c>
      <c r="F16945" s="2" t="s">
        <v>11</v>
      </c>
      <c r="G16945" s="2" t="s">
        <v>10869</v>
      </c>
      <c r="H16945" s="2" t="s">
        <v>10870</v>
      </c>
    </row>
    <row r="16946" spans="1:8" ht="25.05" customHeight="1" x14ac:dyDescent="0.25">
      <c r="A16946" s="2" t="s">
        <v>8</v>
      </c>
      <c r="B16946" s="2" t="str">
        <f>HYPERLINK("http://ts.21cn.com/tousu/show/id/1348722","8元额度逾期5天30罚息")</f>
        <v>8元额度逾期5天30罚息</v>
      </c>
      <c r="C16946" s="2" t="s">
        <v>9</v>
      </c>
      <c r="D16946" s="2" t="s">
        <v>10</v>
      </c>
      <c r="E16946" s="2" t="str">
        <f>HYPERLINK("http://ts.21cn.com/tousu/show/id/1348722","http://ts.21cn.com/tousu/show/id/1348722")</f>
        <v>http://ts.21cn.com/tousu/show/id/1348722</v>
      </c>
      <c r="F16946" s="2" t="s">
        <v>11</v>
      </c>
      <c r="G16946" s="2" t="s">
        <v>10867</v>
      </c>
      <c r="H16946" s="2" t="s">
        <v>10868</v>
      </c>
    </row>
    <row r="16947" spans="1:8" ht="25.05" customHeight="1" x14ac:dyDescent="0.25">
      <c r="A16947" s="2" t="s">
        <v>8</v>
      </c>
      <c r="B16947" s="2" t="str">
        <f>HYPERLINK("http://ts.21cn.com/tousu/show/id/1348723","无良豹子贷平台害我没饭收")</f>
        <v>无良豹子贷平台害我没饭收</v>
      </c>
      <c r="C16947" s="2" t="s">
        <v>9</v>
      </c>
      <c r="D16947" s="2" t="s">
        <v>10</v>
      </c>
      <c r="E16947" s="2" t="str">
        <f>HYPERLINK("http://ts.21cn.com/tousu/show/id/1348723","http://ts.21cn.com/tousu/show/id/1348723")</f>
        <v>http://ts.21cn.com/tousu/show/id/1348723</v>
      </c>
      <c r="F16947" s="2" t="s">
        <v>11</v>
      </c>
      <c r="G16947" s="2" t="s">
        <v>10865</v>
      </c>
      <c r="H16947" s="2" t="s">
        <v>10866</v>
      </c>
    </row>
    <row r="16948" spans="1:8" ht="25.05" customHeight="1" x14ac:dyDescent="0.25">
      <c r="A16948" s="2" t="s">
        <v>8</v>
      </c>
      <c r="B16948" s="2" t="str">
        <f>HYPERLINK("http://ts.21cn.com/tousu/show/id/1348724","钱站高利贷阴阳合同")</f>
        <v>钱站高利贷阴阳合同</v>
      </c>
      <c r="C16948" s="2" t="s">
        <v>9</v>
      </c>
      <c r="D16948" s="2" t="s">
        <v>10</v>
      </c>
      <c r="E16948" s="2" t="str">
        <f>HYPERLINK("http://ts.21cn.com/tousu/show/id/1348724","http://ts.21cn.com/tousu/show/id/1348724")</f>
        <v>http://ts.21cn.com/tousu/show/id/1348724</v>
      </c>
      <c r="F16948" s="2" t="s">
        <v>11</v>
      </c>
      <c r="G16948" s="2" t="s">
        <v>10863</v>
      </c>
      <c r="H16948" s="2" t="s">
        <v>10864</v>
      </c>
    </row>
    <row r="16949" spans="1:8" ht="25.05" customHeight="1" x14ac:dyDescent="0.25">
      <c r="A16949" s="2" t="s">
        <v>8</v>
      </c>
      <c r="B16949" s="2" t="str">
        <f>HYPERLINK("http://ts.21cn.com/tousu/show/id/1348725","钱站变相高利贷乱收费")</f>
        <v>钱站变相高利贷乱收费</v>
      </c>
      <c r="C16949" s="2" t="s">
        <v>9</v>
      </c>
      <c r="D16949" s="2" t="s">
        <v>10</v>
      </c>
      <c r="E16949" s="2" t="str">
        <f>HYPERLINK("http://ts.21cn.com/tousu/show/id/1348725","http://ts.21cn.com/tousu/show/id/1348725")</f>
        <v>http://ts.21cn.com/tousu/show/id/1348725</v>
      </c>
      <c r="F16949" s="2" t="s">
        <v>11</v>
      </c>
      <c r="G16949" s="2" t="s">
        <v>10861</v>
      </c>
      <c r="H16949" s="2" t="s">
        <v>10862</v>
      </c>
    </row>
    <row r="16950" spans="1:8" ht="25.05" customHeight="1" x14ac:dyDescent="0.25">
      <c r="A16950" s="2" t="s">
        <v>8</v>
      </c>
      <c r="B16950" s="2" t="str">
        <f>HYPERLINK("http://ts.21cn.com/tousu/show/id/1348726","钱站高利贷阴阳合同")</f>
        <v>钱站高利贷阴阳合同</v>
      </c>
      <c r="C16950" s="2" t="s">
        <v>9</v>
      </c>
      <c r="D16950" s="2" t="s">
        <v>10</v>
      </c>
      <c r="E16950" s="2" t="str">
        <f>HYPERLINK("http://ts.21cn.com/tousu/show/id/1348726","http://ts.21cn.com/tousu/show/id/1348726")</f>
        <v>http://ts.21cn.com/tousu/show/id/1348726</v>
      </c>
      <c r="F16950" s="2" t="s">
        <v>11</v>
      </c>
      <c r="G16950" s="2" t="s">
        <v>10859</v>
      </c>
      <c r="H16950" s="2" t="s">
        <v>10860</v>
      </c>
    </row>
    <row r="16951" spans="1:8" ht="25.05" customHeight="1" x14ac:dyDescent="0.25">
      <c r="A16951" s="2" t="s">
        <v>8</v>
      </c>
      <c r="B16951" s="2" t="str">
        <f>HYPERLINK("http://ts.21cn.com/tousu/show/id/1348727","交易猫退款失败")</f>
        <v>交易猫退款失败</v>
      </c>
      <c r="C16951" s="2" t="s">
        <v>9</v>
      </c>
      <c r="D16951" s="2" t="s">
        <v>10</v>
      </c>
      <c r="E16951" s="2" t="str">
        <f>HYPERLINK("http://ts.21cn.com/tousu/show/id/1348727","http://ts.21cn.com/tousu/show/id/1348727")</f>
        <v>http://ts.21cn.com/tousu/show/id/1348727</v>
      </c>
      <c r="F16951" s="2" t="s">
        <v>11</v>
      </c>
      <c r="G16951" s="2" t="s">
        <v>10857</v>
      </c>
      <c r="H16951" s="2" t="s">
        <v>10858</v>
      </c>
    </row>
    <row r="16952" spans="1:8" ht="25.05" customHeight="1" x14ac:dyDescent="0.25">
      <c r="A16952" s="2" t="s">
        <v>8</v>
      </c>
      <c r="B16952" s="2" t="str">
        <f>HYPERLINK("http://ts.21cn.com/tousu/show/id/1348728","套路贷")</f>
        <v>套路贷</v>
      </c>
      <c r="C16952" s="2" t="s">
        <v>9</v>
      </c>
      <c r="D16952" s="2" t="s">
        <v>10</v>
      </c>
      <c r="E16952" s="2" t="str">
        <f>HYPERLINK("http://ts.21cn.com/tousu/show/id/1348728","http://ts.21cn.com/tousu/show/id/1348728")</f>
        <v>http://ts.21cn.com/tousu/show/id/1348728</v>
      </c>
      <c r="F16952" s="2" t="s">
        <v>11</v>
      </c>
      <c r="G16952" s="2" t="s">
        <v>10855</v>
      </c>
      <c r="H16952" s="2" t="s">
        <v>10856</v>
      </c>
    </row>
    <row r="16953" spans="1:8" ht="25.05" customHeight="1" x14ac:dyDescent="0.25">
      <c r="A16953" s="2" t="s">
        <v>8</v>
      </c>
      <c r="B16953" s="2" t="str">
        <f>HYPERLINK("http://ts.21cn.com/tousu/show/id/1348729","拼多多违法为买家全额退款")</f>
        <v>拼多多违法为买家全额退款</v>
      </c>
      <c r="C16953" s="2" t="s">
        <v>34</v>
      </c>
      <c r="D16953" s="2" t="s">
        <v>10</v>
      </c>
      <c r="E16953" s="2" t="str">
        <f>HYPERLINK("http://ts.21cn.com/tousu/show/id/1348729","http://ts.21cn.com/tousu/show/id/1348729")</f>
        <v>http://ts.21cn.com/tousu/show/id/1348729</v>
      </c>
      <c r="F16953" s="2" t="s">
        <v>11</v>
      </c>
      <c r="G16953" s="2" t="s">
        <v>10853</v>
      </c>
      <c r="H16953" s="2" t="s">
        <v>10854</v>
      </c>
    </row>
    <row r="16954" spans="1:8" ht="25.05" customHeight="1" x14ac:dyDescent="0.25">
      <c r="A16954" s="2" t="s">
        <v>8</v>
      </c>
      <c r="B16954" s="2" t="str">
        <f>HYPERLINK("http://ts.21cn.com/tousu/show/id/1348730","爱上街714高炮")</f>
        <v>爱上街714高炮</v>
      </c>
      <c r="C16954" s="2" t="s">
        <v>9</v>
      </c>
      <c r="D16954" s="2" t="s">
        <v>10</v>
      </c>
      <c r="E16954" s="2" t="str">
        <f>HYPERLINK("http://ts.21cn.com/tousu/show/id/1348730","http://ts.21cn.com/tousu/show/id/1348730")</f>
        <v>http://ts.21cn.com/tousu/show/id/1348730</v>
      </c>
      <c r="F16954" s="2" t="s">
        <v>11</v>
      </c>
      <c r="G16954" s="2" t="s">
        <v>10851</v>
      </c>
      <c r="H16954" s="2" t="s">
        <v>10852</v>
      </c>
    </row>
    <row r="16955" spans="1:8" ht="25.05" customHeight="1" x14ac:dyDescent="0.25">
      <c r="A16955" s="2" t="s">
        <v>8</v>
      </c>
      <c r="B16955" s="2" t="str">
        <f>HYPERLINK("http://ts.21cn.com/tousu/show/id/1348732","电话恐吓，提到后果自负，爆通讯录，影响身边朋友")</f>
        <v>电话恐吓，提到后果自负，爆通讯录，影响身边朋友</v>
      </c>
      <c r="C16955" s="2" t="s">
        <v>9</v>
      </c>
      <c r="D16955" s="2" t="s">
        <v>10</v>
      </c>
      <c r="E16955" s="2" t="str">
        <f>HYPERLINK("http://ts.21cn.com/tousu/show/id/1348732","http://ts.21cn.com/tousu/show/id/1348732")</f>
        <v>http://ts.21cn.com/tousu/show/id/1348732</v>
      </c>
      <c r="F16955" s="2" t="s">
        <v>11</v>
      </c>
      <c r="G16955" s="2" t="s">
        <v>10849</v>
      </c>
      <c r="H16955" s="2" t="s">
        <v>10850</v>
      </c>
    </row>
    <row r="16956" spans="1:8" ht="25.05" customHeight="1" x14ac:dyDescent="0.25">
      <c r="A16956" s="2" t="s">
        <v>8</v>
      </c>
      <c r="B16956" s="2" t="str">
        <f>HYPERLINK("http://ts.21cn.com/tousu/show/id/1348734","在信而富借款都必须先购买商品，购物成功后剩余额度才能用于贷款，而且购买的商品价格是正常市场价的十几倍，但是好歹有东西收取")</f>
        <v>在信而富借款都必须先购买商品，购物成功后剩余额度才能用于贷款，而且购买的商品价格是正常市场价的十几倍，但是好歹有东西收取</v>
      </c>
      <c r="C16956" s="2" t="s">
        <v>9</v>
      </c>
      <c r="D16956" s="2" t="s">
        <v>10</v>
      </c>
      <c r="E16956" s="2" t="str">
        <f>HYPERLINK("http://ts.21cn.com/tousu/show/id/1348734","http://ts.21cn.com/tousu/show/id/1348734")</f>
        <v>http://ts.21cn.com/tousu/show/id/1348734</v>
      </c>
      <c r="F16956" s="2" t="s">
        <v>11</v>
      </c>
      <c r="G16956" s="2" t="s">
        <v>10847</v>
      </c>
      <c r="H16956" s="2" t="s">
        <v>10848</v>
      </c>
    </row>
    <row r="16957" spans="1:8" ht="25.05" customHeight="1" x14ac:dyDescent="0.25">
      <c r="A16957" s="2" t="s">
        <v>8</v>
      </c>
      <c r="B16957" s="2" t="str">
        <f>HYPERLINK("http://ts.21cn.com/tousu/show/id/1348733","乱收新人费")</f>
        <v>乱收新人费</v>
      </c>
      <c r="C16957" s="2" t="s">
        <v>9</v>
      </c>
      <c r="D16957" s="2" t="s">
        <v>10</v>
      </c>
      <c r="E16957" s="2" t="str">
        <f>HYPERLINK("http://ts.21cn.com/tousu/show/id/1348733","http://ts.21cn.com/tousu/show/id/1348733")</f>
        <v>http://ts.21cn.com/tousu/show/id/1348733</v>
      </c>
      <c r="F16957" s="2" t="s">
        <v>11</v>
      </c>
      <c r="G16957" s="2" t="s">
        <v>10845</v>
      </c>
      <c r="H16957" s="2" t="s">
        <v>10846</v>
      </c>
    </row>
    <row r="16958" spans="1:8" ht="25.05" customHeight="1" x14ac:dyDescent="0.25">
      <c r="A16958" s="2" t="s">
        <v>8</v>
      </c>
      <c r="B16958" s="2" t="str">
        <f>HYPERLINK("http://ts.21cn.com/tousu/show/id/1348705","凡普金科钱站APP，暴力催收，违规放贷，预扣服务费，超36利息")</f>
        <v>凡普金科钱站APP，暴力催收，违规放贷，预扣服务费，超36利息</v>
      </c>
      <c r="C16958" s="2" t="s">
        <v>9</v>
      </c>
      <c r="D16958" s="2" t="s">
        <v>10</v>
      </c>
      <c r="E16958" s="2" t="str">
        <f>HYPERLINK("http://ts.21cn.com/tousu/show/id/1348705","http://ts.21cn.com/tousu/show/id/1348705")</f>
        <v>http://ts.21cn.com/tousu/show/id/1348705</v>
      </c>
      <c r="F16958" s="2" t="s">
        <v>11</v>
      </c>
      <c r="G16958" s="2" t="s">
        <v>10843</v>
      </c>
      <c r="H16958" s="2" t="s">
        <v>10844</v>
      </c>
    </row>
    <row r="16959" spans="1:8" ht="25.05" customHeight="1" x14ac:dyDescent="0.25">
      <c r="A16959" s="2" t="s">
        <v>8</v>
      </c>
      <c r="B16959" s="2" t="str">
        <f>HYPERLINK("http://ts.21cn.com/tousu/show/id/1348735","到手7000合同9310六个月要还13025")</f>
        <v>到手7000合同9310六个月要还13025</v>
      </c>
      <c r="C16959" s="2" t="s">
        <v>34</v>
      </c>
      <c r="D16959" s="2" t="s">
        <v>10</v>
      </c>
      <c r="E16959" s="2" t="str">
        <f>HYPERLINK("http://ts.21cn.com/tousu/show/id/1348735","http://ts.21cn.com/tousu/show/id/1348735")</f>
        <v>http://ts.21cn.com/tousu/show/id/1348735</v>
      </c>
      <c r="F16959" s="2" t="s">
        <v>11</v>
      </c>
      <c r="G16959" s="2" t="s">
        <v>10841</v>
      </c>
      <c r="H16959" s="2" t="s">
        <v>10842</v>
      </c>
    </row>
    <row r="16960" spans="1:8" ht="25.05" customHeight="1" x14ac:dyDescent="0.25">
      <c r="A16960" s="2" t="s">
        <v>8</v>
      </c>
      <c r="B16960" s="2" t="str">
        <f>HYPERLINK("http://ts.21cn.com/tousu/show/id/1348736","交易猫吞钱而且误发不赔偿")</f>
        <v>交易猫吞钱而且误发不赔偿</v>
      </c>
      <c r="C16960" s="2" t="s">
        <v>9</v>
      </c>
      <c r="D16960" s="2" t="s">
        <v>10</v>
      </c>
      <c r="E16960" s="2" t="str">
        <f>HYPERLINK("http://ts.21cn.com/tousu/show/id/1348736","http://ts.21cn.com/tousu/show/id/1348736")</f>
        <v>http://ts.21cn.com/tousu/show/id/1348736</v>
      </c>
      <c r="F16960" s="2" t="s">
        <v>11</v>
      </c>
      <c r="G16960" s="2" t="s">
        <v>10839</v>
      </c>
      <c r="H16960" s="2" t="s">
        <v>10840</v>
      </c>
    </row>
    <row r="16961" spans="1:8" ht="25.05" customHeight="1" x14ac:dyDescent="0.25">
      <c r="A16961" s="2" t="s">
        <v>8</v>
      </c>
      <c r="B16961" s="2" t="str">
        <f>HYPERLINK("http://ts.21cn.com/tousu/show/id/1348737","在转转寄售平台买了一台苹果iPadPro11英寸，平台拒绝发货")</f>
        <v>在转转寄售平台买了一台苹果iPadPro11英寸，平台拒绝发货</v>
      </c>
      <c r="C16961" s="2" t="s">
        <v>9</v>
      </c>
      <c r="D16961" s="2" t="s">
        <v>10</v>
      </c>
      <c r="E16961" s="2" t="str">
        <f>HYPERLINK("http://ts.21cn.com/tousu/show/id/1348737","http://ts.21cn.com/tousu/show/id/1348737")</f>
        <v>http://ts.21cn.com/tousu/show/id/1348737</v>
      </c>
      <c r="F16961" s="2" t="s">
        <v>11</v>
      </c>
      <c r="G16961" s="2" t="s">
        <v>10837</v>
      </c>
      <c r="H16961" s="2" t="s">
        <v>10838</v>
      </c>
    </row>
    <row r="16962" spans="1:8" ht="25.05" customHeight="1" x14ac:dyDescent="0.25">
      <c r="A16962" s="2" t="s">
        <v>8</v>
      </c>
      <c r="B16962" s="2" t="str">
        <f>HYPERLINK("http://ts.21cn.com/tousu/show/id/730957","七天高利贷")</f>
        <v>七天高利贷</v>
      </c>
      <c r="C16962" s="2" t="s">
        <v>9</v>
      </c>
      <c r="D16962" s="2" t="s">
        <v>10</v>
      </c>
      <c r="E16962" s="2" t="str">
        <f>HYPERLINK("http://ts.21cn.com/tousu/show/id/730957","http://ts.21cn.com/tousu/show/id/730957")</f>
        <v>http://ts.21cn.com/tousu/show/id/730957</v>
      </c>
      <c r="F16962" s="2" t="s">
        <v>11</v>
      </c>
      <c r="G16962" s="2" t="s">
        <v>10835</v>
      </c>
      <c r="H16962" s="2" t="s">
        <v>10836</v>
      </c>
    </row>
    <row r="16963" spans="1:8" ht="25.05" customHeight="1" x14ac:dyDescent="0.25">
      <c r="A16963" s="2" t="s">
        <v>8</v>
      </c>
      <c r="B16963" s="2" t="str">
        <f>HYPERLINK("http://ts.21cn.com/tousu/show/id/1348738","解除网课协议，中止贷款合同")</f>
        <v>解除网课协议，中止贷款合同</v>
      </c>
      <c r="C16963" s="2" t="s">
        <v>34</v>
      </c>
      <c r="D16963" s="2" t="s">
        <v>10</v>
      </c>
      <c r="E16963" s="2" t="str">
        <f>HYPERLINK("http://ts.21cn.com/tousu/show/id/1348738","http://ts.21cn.com/tousu/show/id/1348738")</f>
        <v>http://ts.21cn.com/tousu/show/id/1348738</v>
      </c>
      <c r="F16963" s="2" t="s">
        <v>11</v>
      </c>
      <c r="G16963" s="2" t="s">
        <v>10833</v>
      </c>
      <c r="H16963" s="2" t="s">
        <v>10834</v>
      </c>
    </row>
    <row r="16964" spans="1:8" ht="25.05" customHeight="1" x14ac:dyDescent="0.25">
      <c r="A16964" s="2" t="s">
        <v>8</v>
      </c>
      <c r="B16964" s="2" t="str">
        <f>HYPERLINK("http://ts.21cn.com/tousu/show/id/1348739","海云端云端商务办卡诱导消费")</f>
        <v>海云端云端商务办卡诱导消费</v>
      </c>
      <c r="C16964" s="2" t="s">
        <v>9</v>
      </c>
      <c r="D16964" s="2" t="s">
        <v>10</v>
      </c>
      <c r="E16964" s="2" t="str">
        <f>HYPERLINK("http://ts.21cn.com/tousu/show/id/1348739","http://ts.21cn.com/tousu/show/id/1348739")</f>
        <v>http://ts.21cn.com/tousu/show/id/1348739</v>
      </c>
      <c r="F16964" s="2" t="s">
        <v>11</v>
      </c>
      <c r="G16964" s="2" t="s">
        <v>10831</v>
      </c>
      <c r="H16964" s="2" t="s">
        <v>10832</v>
      </c>
    </row>
    <row r="16965" spans="1:8" ht="25.05" customHeight="1" x14ac:dyDescent="0.25">
      <c r="A16965" s="2" t="s">
        <v>8</v>
      </c>
      <c r="B16965" s="2" t="str">
        <f>HYPERLINK("http://ts.21cn.com/tousu/show/id/1348740","九江滴滴分公司不给个人办理营运证。")</f>
        <v>九江滴滴分公司不给个人办理营运证。</v>
      </c>
      <c r="C16965" s="2" t="s">
        <v>9</v>
      </c>
      <c r="D16965" s="2" t="s">
        <v>10</v>
      </c>
      <c r="E16965" s="2" t="str">
        <f>HYPERLINK("http://ts.21cn.com/tousu/show/id/1348740","http://ts.21cn.com/tousu/show/id/1348740")</f>
        <v>http://ts.21cn.com/tousu/show/id/1348740</v>
      </c>
      <c r="F16965" s="2" t="s">
        <v>11</v>
      </c>
      <c r="G16965" s="2" t="s">
        <v>10829</v>
      </c>
      <c r="H16965" s="2" t="s">
        <v>10830</v>
      </c>
    </row>
    <row r="16966" spans="1:8" ht="25.05" customHeight="1" x14ac:dyDescent="0.25">
      <c r="A16966" s="2" t="s">
        <v>8</v>
      </c>
      <c r="B16966" s="2" t="str">
        <f>HYPERLINK("http://ts.21cn.com/tousu/show/id/1348741","美丽屋，我的工资什么时候给？")</f>
        <v>美丽屋，我的工资什么时候给？</v>
      </c>
      <c r="C16966" s="2" t="s">
        <v>9</v>
      </c>
      <c r="D16966" s="2" t="s">
        <v>10</v>
      </c>
      <c r="E16966" s="2" t="str">
        <f>HYPERLINK("http://ts.21cn.com/tousu/show/id/1348741","http://ts.21cn.com/tousu/show/id/1348741")</f>
        <v>http://ts.21cn.com/tousu/show/id/1348741</v>
      </c>
      <c r="F16966" s="2" t="s">
        <v>11</v>
      </c>
      <c r="G16966" s="2" t="s">
        <v>10827</v>
      </c>
      <c r="H16966" s="2" t="s">
        <v>10828</v>
      </c>
    </row>
    <row r="16967" spans="1:8" ht="25.05" customHeight="1" x14ac:dyDescent="0.25">
      <c r="A16967" s="2" t="s">
        <v>8</v>
      </c>
      <c r="B16967" s="2" t="str">
        <f>HYPERLINK("http://ts.21cn.com/tousu/show/id/1348742","立借里面的钱置宝，高利贷，还款还不上，联系不上客服，造成了巨大的逾期费用，而且利息已经超出百分之国家规定的百分之36年华")</f>
        <v>立借里面的钱置宝，高利贷，还款还不上，联系不上客服，造成了巨大的逾期费用，而且利息已经超出百分之国家规定的百分之36年华</v>
      </c>
      <c r="C16967" s="2" t="s">
        <v>9</v>
      </c>
      <c r="D16967" s="2" t="s">
        <v>10</v>
      </c>
      <c r="E16967" s="2" t="str">
        <f>HYPERLINK("http://ts.21cn.com/tousu/show/id/1348742","http://ts.21cn.com/tousu/show/id/1348742")</f>
        <v>http://ts.21cn.com/tousu/show/id/1348742</v>
      </c>
      <c r="F16967" s="2" t="s">
        <v>11</v>
      </c>
      <c r="G16967" s="2" t="s">
        <v>10825</v>
      </c>
      <c r="H16967" s="2" t="s">
        <v>10826</v>
      </c>
    </row>
    <row r="16968" spans="1:8" ht="25.05" customHeight="1" x14ac:dyDescent="0.25">
      <c r="A16968" s="2" t="s">
        <v>8</v>
      </c>
      <c r="B16968" s="2" t="str">
        <f>HYPERLINK("http://ts.21cn.com/tousu/show/id/1348743","山东移动扣费乱")</f>
        <v>山东移动扣费乱</v>
      </c>
      <c r="C16968" s="2" t="s">
        <v>9</v>
      </c>
      <c r="D16968" s="2" t="s">
        <v>10</v>
      </c>
      <c r="E16968" s="2" t="str">
        <f>HYPERLINK("http://ts.21cn.com/tousu/show/id/1348743","http://ts.21cn.com/tousu/show/id/1348743")</f>
        <v>http://ts.21cn.com/tousu/show/id/1348743</v>
      </c>
      <c r="F16968" s="2" t="s">
        <v>11</v>
      </c>
      <c r="G16968" s="2" t="s">
        <v>10823</v>
      </c>
      <c r="H16968" s="2" t="s">
        <v>10824</v>
      </c>
    </row>
    <row r="16969" spans="1:8" ht="25.05" customHeight="1" x14ac:dyDescent="0.25">
      <c r="A16969" s="2" t="s">
        <v>8</v>
      </c>
      <c r="B16969" s="2" t="str">
        <f>HYPERLINK("http://ts.21cn.com/tousu/show/id/1348745","腾安基金无故扣款1218元")</f>
        <v>腾安基金无故扣款1218元</v>
      </c>
      <c r="C16969" s="2" t="s">
        <v>34</v>
      </c>
      <c r="D16969" s="2" t="s">
        <v>10</v>
      </c>
      <c r="E16969" s="2" t="str">
        <f>HYPERLINK("http://ts.21cn.com/tousu/show/id/1348745","http://ts.21cn.com/tousu/show/id/1348745")</f>
        <v>http://ts.21cn.com/tousu/show/id/1348745</v>
      </c>
      <c r="F16969" s="2" t="s">
        <v>11</v>
      </c>
      <c r="G16969" s="2" t="s">
        <v>10821</v>
      </c>
      <c r="H16969" s="2" t="s">
        <v>10822</v>
      </c>
    </row>
    <row r="16970" spans="1:8" ht="25.05" customHeight="1" x14ac:dyDescent="0.25">
      <c r="A16970" s="2" t="s">
        <v>8</v>
      </c>
      <c r="B16970" s="2" t="str">
        <f>HYPERLINK("http://ts.21cn.com/tousu/show/id/1348746","马上金融诱使在校学生贷款")</f>
        <v>马上金融诱使在校学生贷款</v>
      </c>
      <c r="C16970" s="2" t="s">
        <v>9</v>
      </c>
      <c r="D16970" s="2" t="s">
        <v>10</v>
      </c>
      <c r="E16970" s="2" t="str">
        <f>HYPERLINK("http://ts.21cn.com/tousu/show/id/1348746","http://ts.21cn.com/tousu/show/id/1348746")</f>
        <v>http://ts.21cn.com/tousu/show/id/1348746</v>
      </c>
      <c r="F16970" s="2" t="s">
        <v>11</v>
      </c>
      <c r="G16970" s="2" t="s">
        <v>10819</v>
      </c>
      <c r="H16970" s="2" t="s">
        <v>10820</v>
      </c>
    </row>
    <row r="16971" spans="1:8" ht="25.05" customHeight="1" x14ac:dyDescent="0.25">
      <c r="A16971" s="2" t="s">
        <v>8</v>
      </c>
      <c r="B16971" s="2" t="str">
        <f>HYPERLINK("http://ts.21cn.com/tousu/show/id/1288462","借贷宝高利贷")</f>
        <v>借贷宝高利贷</v>
      </c>
      <c r="C16971" s="2" t="s">
        <v>9</v>
      </c>
      <c r="D16971" s="2" t="s">
        <v>10</v>
      </c>
      <c r="E16971" s="2" t="str">
        <f>HYPERLINK("http://ts.21cn.com/tousu/show/id/1288462","http://ts.21cn.com/tousu/show/id/1288462")</f>
        <v>http://ts.21cn.com/tousu/show/id/1288462</v>
      </c>
      <c r="F16971" s="2" t="s">
        <v>11</v>
      </c>
      <c r="G16971" s="2" t="s">
        <v>10817</v>
      </c>
      <c r="H16971" s="2" t="s">
        <v>10818</v>
      </c>
    </row>
    <row r="16972" spans="1:8" ht="25.05" customHeight="1" x14ac:dyDescent="0.25">
      <c r="A16972" s="2" t="s">
        <v>8</v>
      </c>
      <c r="B16972" s="2" t="str">
        <f>HYPERLINK("http://ts.21cn.com/tousu/show/id/1348747","停止骚扰亲友")</f>
        <v>停止骚扰亲友</v>
      </c>
      <c r="C16972" s="2" t="s">
        <v>34</v>
      </c>
      <c r="D16972" s="2" t="s">
        <v>10</v>
      </c>
      <c r="E16972" s="2" t="str">
        <f>HYPERLINK("http://ts.21cn.com/tousu/show/id/1348747","http://ts.21cn.com/tousu/show/id/1348747")</f>
        <v>http://ts.21cn.com/tousu/show/id/1348747</v>
      </c>
      <c r="F16972" s="2" t="s">
        <v>11</v>
      </c>
      <c r="G16972" s="2" t="s">
        <v>10815</v>
      </c>
      <c r="H16972" s="2" t="s">
        <v>10816</v>
      </c>
    </row>
    <row r="16973" spans="1:8" ht="25.05" customHeight="1" x14ac:dyDescent="0.25">
      <c r="A16973" s="2" t="s">
        <v>8</v>
      </c>
      <c r="B16973" s="2" t="str">
        <f>HYPERLINK("http://ts.21cn.com/tousu/show/id/1348748","交易猫退款失败")</f>
        <v>交易猫退款失败</v>
      </c>
      <c r="C16973" s="2" t="s">
        <v>9</v>
      </c>
      <c r="D16973" s="2" t="s">
        <v>10</v>
      </c>
      <c r="E16973" s="2" t="str">
        <f>HYPERLINK("http://ts.21cn.com/tousu/show/id/1348748","http://ts.21cn.com/tousu/show/id/1348748")</f>
        <v>http://ts.21cn.com/tousu/show/id/1348748</v>
      </c>
      <c r="F16973" s="2" t="s">
        <v>11</v>
      </c>
      <c r="G16973" s="2" t="s">
        <v>10813</v>
      </c>
      <c r="H16973" s="2" t="s">
        <v>10814</v>
      </c>
    </row>
    <row r="16974" spans="1:8" ht="25.05" customHeight="1" x14ac:dyDescent="0.25">
      <c r="A16974" s="2" t="s">
        <v>8</v>
      </c>
      <c r="B16974" s="2" t="str">
        <f>HYPERLINK("http://ts.21cn.com/tousu/show/id/1348749","好分期，北京好还科技有限公司，额度为9100.实质放款为8000.到账银行为农行，砍头息1100.分12期为1万3千两百")</f>
        <v>好分期，北京好还科技有限公司，额度为9100.实质放款为8000.到账银行为农行，砍头息1100.分12期为1万3千两百</v>
      </c>
      <c r="C16974" s="2" t="s">
        <v>9</v>
      </c>
      <c r="D16974" s="2" t="s">
        <v>10</v>
      </c>
      <c r="E16974" s="2" t="str">
        <f>HYPERLINK("http://ts.21cn.com/tousu/show/id/1348749","http://ts.21cn.com/tousu/show/id/1348749")</f>
        <v>http://ts.21cn.com/tousu/show/id/1348749</v>
      </c>
      <c r="F16974" s="2" t="s">
        <v>11</v>
      </c>
      <c r="G16974" s="2" t="s">
        <v>10811</v>
      </c>
      <c r="H16974" s="2" t="s">
        <v>10812</v>
      </c>
    </row>
    <row r="16975" spans="1:8" ht="25.05" customHeight="1" x14ac:dyDescent="0.25">
      <c r="A16975" s="2" t="s">
        <v>8</v>
      </c>
      <c r="B16975" s="2" t="str">
        <f>HYPERLINK("http://ts.21cn.com/tousu/show/id/1348750","金地艺境天成虚假营销，我要退定金")</f>
        <v>金地艺境天成虚假营销，我要退定金</v>
      </c>
      <c r="C16975" s="2" t="s">
        <v>9</v>
      </c>
      <c r="D16975" s="2" t="s">
        <v>10</v>
      </c>
      <c r="E16975" s="2" t="str">
        <f>HYPERLINK("http://ts.21cn.com/tousu/show/id/1348750","http://ts.21cn.com/tousu/show/id/1348750")</f>
        <v>http://ts.21cn.com/tousu/show/id/1348750</v>
      </c>
      <c r="F16975" s="2" t="s">
        <v>11</v>
      </c>
      <c r="G16975" s="2" t="s">
        <v>10809</v>
      </c>
      <c r="H16975" s="2" t="s">
        <v>10810</v>
      </c>
    </row>
    <row r="16976" spans="1:8" ht="25.05" customHeight="1" x14ac:dyDescent="0.25">
      <c r="A16976" s="2" t="s">
        <v>8</v>
      </c>
      <c r="B16976" s="2" t="str">
        <f>HYPERLINK("http://ts.21cn.com/tousu/show/id/1348751","购买王者荣耀初始号之后，商家不发货且拒绝退款")</f>
        <v>购买王者荣耀初始号之后，商家不发货且拒绝退款</v>
      </c>
      <c r="C16976" s="2" t="s">
        <v>9</v>
      </c>
      <c r="D16976" s="2" t="s">
        <v>10</v>
      </c>
      <c r="E16976" s="2" t="str">
        <f>HYPERLINK("http://ts.21cn.com/tousu/show/id/1348751","http://ts.21cn.com/tousu/show/id/1348751")</f>
        <v>http://ts.21cn.com/tousu/show/id/1348751</v>
      </c>
      <c r="F16976" s="2" t="s">
        <v>11</v>
      </c>
      <c r="G16976" s="2" t="s">
        <v>10807</v>
      </c>
      <c r="H16976" s="2" t="s">
        <v>10808</v>
      </c>
    </row>
    <row r="16977" spans="1:8" ht="25.05" customHeight="1" x14ac:dyDescent="0.25">
      <c r="A16977" s="2" t="s">
        <v>8</v>
      </c>
      <c r="B16977" s="2" t="str">
        <f>HYPERLINK("http://ts.21cn.com/tousu/show/id/1348752","为违法平台提供违规清算通道")</f>
        <v>为违法平台提供违规清算通道</v>
      </c>
      <c r="C16977" s="2" t="s">
        <v>9</v>
      </c>
      <c r="D16977" s="2" t="s">
        <v>10</v>
      </c>
      <c r="E16977" s="2" t="str">
        <f>HYPERLINK("http://ts.21cn.com/tousu/show/id/1348752","http://ts.21cn.com/tousu/show/id/1348752")</f>
        <v>http://ts.21cn.com/tousu/show/id/1348752</v>
      </c>
      <c r="F16977" s="2" t="s">
        <v>11</v>
      </c>
      <c r="G16977" s="2" t="s">
        <v>10805</v>
      </c>
      <c r="H16977" s="2" t="s">
        <v>10806</v>
      </c>
    </row>
    <row r="16978" spans="1:8" ht="25.05" customHeight="1" x14ac:dyDescent="0.25">
      <c r="A16978" s="2" t="s">
        <v>8</v>
      </c>
      <c r="B16978" s="2" t="str">
        <f>HYPERLINK("http://ts.21cn.com/tousu/show/id/1348753","钱站高利贷，阴阳合同")</f>
        <v>钱站高利贷，阴阳合同</v>
      </c>
      <c r="C16978" s="2" t="s">
        <v>9</v>
      </c>
      <c r="D16978" s="2" t="s">
        <v>10</v>
      </c>
      <c r="E16978" s="2" t="str">
        <f>HYPERLINK("http://ts.21cn.com/tousu/show/id/1348753","http://ts.21cn.com/tousu/show/id/1348753")</f>
        <v>http://ts.21cn.com/tousu/show/id/1348753</v>
      </c>
      <c r="F16978" s="2" t="s">
        <v>11</v>
      </c>
      <c r="G16978" s="2" t="s">
        <v>10803</v>
      </c>
      <c r="H16978" s="2" t="s">
        <v>10804</v>
      </c>
    </row>
    <row r="16979" spans="1:8" ht="25.05" customHeight="1" x14ac:dyDescent="0.25">
      <c r="A16979" s="2" t="s">
        <v>8</v>
      </c>
      <c r="B16979" s="2" t="str">
        <f>HYPERLINK("http://ts.21cn.com/tousu/show/id/1348754","之前在数字钱包借过一笔钱2000多，利息高达35%平台现在打不开看不到记录，要求平台退回不合法利息")</f>
        <v>之前在数字钱包借过一笔钱2000多，利息高达35%平台现在打不开看不到记录，要求平台退回不合法利息</v>
      </c>
      <c r="C16979" s="2" t="s">
        <v>9</v>
      </c>
      <c r="D16979" s="2" t="s">
        <v>10</v>
      </c>
      <c r="E16979" s="2" t="str">
        <f>HYPERLINK("http://ts.21cn.com/tousu/show/id/1348754","http://ts.21cn.com/tousu/show/id/1348754")</f>
        <v>http://ts.21cn.com/tousu/show/id/1348754</v>
      </c>
      <c r="F16979" s="2" t="s">
        <v>11</v>
      </c>
      <c r="G16979" s="2" t="s">
        <v>10801</v>
      </c>
      <c r="H16979" s="2" t="s">
        <v>10802</v>
      </c>
    </row>
    <row r="16980" spans="1:8" ht="25.05" customHeight="1" x14ac:dyDescent="0.25">
      <c r="A16980" s="2" t="s">
        <v>8</v>
      </c>
      <c r="B16980" s="2" t="str">
        <f>HYPERLINK("http://ts.21cn.com/tousu/show/id/1348755","维信豆豆钱不承认还钱")</f>
        <v>维信豆豆钱不承认还钱</v>
      </c>
      <c r="C16980" s="2" t="s">
        <v>9</v>
      </c>
      <c r="D16980" s="2" t="s">
        <v>10</v>
      </c>
      <c r="E16980" s="2" t="str">
        <f>HYPERLINK("http://ts.21cn.com/tousu/show/id/1348755","http://ts.21cn.com/tousu/show/id/1348755")</f>
        <v>http://ts.21cn.com/tousu/show/id/1348755</v>
      </c>
      <c r="F16980" s="2" t="s">
        <v>11</v>
      </c>
      <c r="G16980" s="2" t="s">
        <v>10799</v>
      </c>
      <c r="H16980" s="2" t="s">
        <v>10800</v>
      </c>
    </row>
    <row r="16981" spans="1:8" ht="25.05" customHeight="1" x14ac:dyDescent="0.25">
      <c r="A16981" s="2" t="s">
        <v>8</v>
      </c>
      <c r="B16981" s="2" t="str">
        <f>HYPERLINK("http://ts.21cn.com/tousu/show/id/1348756","高利贷，利息计算超出国家规定，贷款逾期暴力催收，恐吓语言，爆通信录影响亲朋好友正常生活")</f>
        <v>高利贷，利息计算超出国家规定，贷款逾期暴力催收，恐吓语言，爆通信录影响亲朋好友正常生活</v>
      </c>
      <c r="C16981" s="2" t="s">
        <v>9</v>
      </c>
      <c r="D16981" s="2" t="s">
        <v>10</v>
      </c>
      <c r="E16981" s="2" t="str">
        <f>HYPERLINK("http://ts.21cn.com/tousu/show/id/1348756","http://ts.21cn.com/tousu/show/id/1348756")</f>
        <v>http://ts.21cn.com/tousu/show/id/1348756</v>
      </c>
      <c r="F16981" s="2" t="s">
        <v>11</v>
      </c>
      <c r="G16981" s="2" t="s">
        <v>10797</v>
      </c>
      <c r="H16981" s="2" t="s">
        <v>10798</v>
      </c>
    </row>
    <row r="16982" spans="1:8" ht="25.05" customHeight="1" x14ac:dyDescent="0.25">
      <c r="A16982" s="2" t="s">
        <v>8</v>
      </c>
      <c r="B16982" s="2" t="str">
        <f>HYPERLINK("http://ts.21cn.com/tousu/show/id/1348759","51人品贷逾期10个小时爆打通迅录")</f>
        <v>51人品贷逾期10个小时爆打通迅录</v>
      </c>
      <c r="C16982" s="2" t="s">
        <v>9</v>
      </c>
      <c r="D16982" s="2" t="s">
        <v>10</v>
      </c>
      <c r="E16982" s="2" t="str">
        <f>HYPERLINK("http://ts.21cn.com/tousu/show/id/1348759","http://ts.21cn.com/tousu/show/id/1348759")</f>
        <v>http://ts.21cn.com/tousu/show/id/1348759</v>
      </c>
      <c r="F16982" s="2" t="s">
        <v>11</v>
      </c>
      <c r="G16982" s="2" t="s">
        <v>10795</v>
      </c>
      <c r="H16982" s="2" t="s">
        <v>10796</v>
      </c>
    </row>
    <row r="16983" spans="1:8" ht="25.05" customHeight="1" x14ac:dyDescent="0.25">
      <c r="A16983" s="2" t="s">
        <v>8</v>
      </c>
      <c r="B16983" s="2" t="str">
        <f>HYPERLINK("http://ts.21cn.com/tousu/show/id/1348758","投诉交易猫")</f>
        <v>投诉交易猫</v>
      </c>
      <c r="C16983" s="2" t="s">
        <v>9</v>
      </c>
      <c r="D16983" s="2" t="s">
        <v>10</v>
      </c>
      <c r="E16983" s="2" t="str">
        <f>HYPERLINK("http://ts.21cn.com/tousu/show/id/1348758","http://ts.21cn.com/tousu/show/id/1348758")</f>
        <v>http://ts.21cn.com/tousu/show/id/1348758</v>
      </c>
      <c r="F16983" s="2" t="s">
        <v>11</v>
      </c>
      <c r="G16983" s="2" t="s">
        <v>10793</v>
      </c>
      <c r="H16983" s="2" t="s">
        <v>10794</v>
      </c>
    </row>
    <row r="16984" spans="1:8" ht="25.05" customHeight="1" x14ac:dyDescent="0.25">
      <c r="A16984" s="2" t="s">
        <v>8</v>
      </c>
      <c r="B16984" s="2" t="str">
        <f>HYPERLINK("http://ts.21cn.com/tousu/show/id/1348757","你我贷巨额砍头息高利贷")</f>
        <v>你我贷巨额砍头息高利贷</v>
      </c>
      <c r="C16984" s="2" t="s">
        <v>9</v>
      </c>
      <c r="D16984" s="2" t="s">
        <v>10</v>
      </c>
      <c r="E16984" s="2" t="str">
        <f>HYPERLINK("http://ts.21cn.com/tousu/show/id/1348757","http://ts.21cn.com/tousu/show/id/1348757")</f>
        <v>http://ts.21cn.com/tousu/show/id/1348757</v>
      </c>
      <c r="F16984" s="2" t="s">
        <v>11</v>
      </c>
      <c r="G16984" s="2" t="s">
        <v>10791</v>
      </c>
      <c r="H16984" s="2" t="s">
        <v>10792</v>
      </c>
    </row>
    <row r="16985" spans="1:8" ht="25.05" customHeight="1" x14ac:dyDescent="0.25">
      <c r="A16985" s="2" t="s">
        <v>8</v>
      </c>
      <c r="B16985" s="2" t="str">
        <f>HYPERLINK("http://ts.21cn.com/tousu/show/id/1348760","约单APP充值后不能提现")</f>
        <v>约单APP充值后不能提现</v>
      </c>
      <c r="C16985" s="2" t="s">
        <v>34</v>
      </c>
      <c r="D16985" s="2" t="s">
        <v>10</v>
      </c>
      <c r="E16985" s="2" t="str">
        <f>HYPERLINK("http://ts.21cn.com/tousu/show/id/1348760","http://ts.21cn.com/tousu/show/id/1348760")</f>
        <v>http://ts.21cn.com/tousu/show/id/1348760</v>
      </c>
      <c r="F16985" s="2" t="s">
        <v>11</v>
      </c>
      <c r="G16985" s="2" t="s">
        <v>10789</v>
      </c>
      <c r="H16985" s="2" t="s">
        <v>10790</v>
      </c>
    </row>
    <row r="16986" spans="1:8" ht="25.05" customHeight="1" x14ac:dyDescent="0.25">
      <c r="A16986" s="2" t="s">
        <v>8</v>
      </c>
      <c r="B16986" s="2" t="str">
        <f>HYPERLINK("http://ts.21cn.com/tousu/show/id/1348761","诉期待科技")</f>
        <v>诉期待科技</v>
      </c>
      <c r="C16986" s="2" t="s">
        <v>9</v>
      </c>
      <c r="D16986" s="2" t="s">
        <v>10</v>
      </c>
      <c r="E16986" s="2" t="str">
        <f>HYPERLINK("http://ts.21cn.com/tousu/show/id/1348761","http://ts.21cn.com/tousu/show/id/1348761")</f>
        <v>http://ts.21cn.com/tousu/show/id/1348761</v>
      </c>
      <c r="F16986" s="2" t="s">
        <v>11</v>
      </c>
      <c r="G16986" s="2" t="s">
        <v>10787</v>
      </c>
      <c r="H16986" s="2" t="s">
        <v>10788</v>
      </c>
    </row>
    <row r="16987" spans="1:8" ht="25.05" customHeight="1" x14ac:dyDescent="0.25">
      <c r="A16987" s="2" t="s">
        <v>8</v>
      </c>
      <c r="B16987" s="2" t="str">
        <f>HYPERLINK("http://ts.21cn.com/tousu/show/id/1348763","豹子贷恶意扣款")</f>
        <v>豹子贷恶意扣款</v>
      </c>
      <c r="C16987" s="2" t="s">
        <v>9</v>
      </c>
      <c r="D16987" s="2" t="s">
        <v>10</v>
      </c>
      <c r="E16987" s="2" t="str">
        <f>HYPERLINK("http://ts.21cn.com/tousu/show/id/1348763","http://ts.21cn.com/tousu/show/id/1348763")</f>
        <v>http://ts.21cn.com/tousu/show/id/1348763</v>
      </c>
      <c r="F16987" s="2" t="s">
        <v>11</v>
      </c>
      <c r="G16987" s="2" t="s">
        <v>10785</v>
      </c>
      <c r="H16987" s="2" t="s">
        <v>10786</v>
      </c>
    </row>
    <row r="16988" spans="1:8" ht="25.05" customHeight="1" x14ac:dyDescent="0.25">
      <c r="A16988" s="2" t="s">
        <v>8</v>
      </c>
      <c r="B16988" s="2" t="str">
        <f>HYPERLINK("http://ts.21cn.com/tousu/show/id/1348762","违规帮助非法平台提供充值通道")</f>
        <v>违规帮助非法平台提供充值通道</v>
      </c>
      <c r="C16988" s="2" t="s">
        <v>9</v>
      </c>
      <c r="D16988" s="2" t="s">
        <v>10</v>
      </c>
      <c r="E16988" s="2" t="str">
        <f>HYPERLINK("http://ts.21cn.com/tousu/show/id/1348762","http://ts.21cn.com/tousu/show/id/1348762")</f>
        <v>http://ts.21cn.com/tousu/show/id/1348762</v>
      </c>
      <c r="F16988" s="2" t="s">
        <v>11</v>
      </c>
      <c r="G16988" s="2" t="s">
        <v>10783</v>
      </c>
      <c r="H16988" s="2" t="s">
        <v>10784</v>
      </c>
    </row>
    <row r="16989" spans="1:8" ht="25.05" customHeight="1" x14ac:dyDescent="0.25">
      <c r="A16989" s="2" t="s">
        <v>8</v>
      </c>
      <c r="B16989" s="2" t="str">
        <f>HYPERLINK("http://ts.21cn.com/tousu/show/id/1348764","上海优逸在我不知情情况下从我卡上扣款")</f>
        <v>上海优逸在我不知情情况下从我卡上扣款</v>
      </c>
      <c r="C16989" s="2" t="s">
        <v>9</v>
      </c>
      <c r="D16989" s="2" t="s">
        <v>10</v>
      </c>
      <c r="E16989" s="2" t="str">
        <f>HYPERLINK("http://ts.21cn.com/tousu/show/id/1348764","http://ts.21cn.com/tousu/show/id/1348764")</f>
        <v>http://ts.21cn.com/tousu/show/id/1348764</v>
      </c>
      <c r="F16989" s="2" t="s">
        <v>11</v>
      </c>
      <c r="G16989" s="2" t="s">
        <v>10781</v>
      </c>
      <c r="H16989" s="2" t="s">
        <v>10782</v>
      </c>
    </row>
    <row r="16990" spans="1:8" ht="25.05" customHeight="1" x14ac:dyDescent="0.25">
      <c r="A16990" s="2" t="s">
        <v>8</v>
      </c>
      <c r="B16990" s="2" t="str">
        <f>HYPERLINK("http://ts.21cn.com/tousu/show/id/1348765","厦门快乐时代科技有限公司（来分期公司变相高利贷）")</f>
        <v>厦门快乐时代科技有限公司（来分期公司变相高利贷）</v>
      </c>
      <c r="C16990" s="2" t="s">
        <v>9</v>
      </c>
      <c r="D16990" s="2" t="s">
        <v>10</v>
      </c>
      <c r="E16990" s="2" t="str">
        <f>HYPERLINK("http://ts.21cn.com/tousu/show/id/1348765","http://ts.21cn.com/tousu/show/id/1348765")</f>
        <v>http://ts.21cn.com/tousu/show/id/1348765</v>
      </c>
      <c r="F16990" s="2" t="s">
        <v>11</v>
      </c>
      <c r="G16990" s="2" t="s">
        <v>10779</v>
      </c>
      <c r="H16990" s="2" t="s">
        <v>10780</v>
      </c>
    </row>
    <row r="16991" spans="1:8" ht="25.05" customHeight="1" x14ac:dyDescent="0.25">
      <c r="A16991" s="2" t="s">
        <v>8</v>
      </c>
      <c r="B16991" s="2" t="str">
        <f>HYPERLINK("http://ts.21cn.com/tousu/show/id/1348767","融360之前很多45天高炮")</f>
        <v>融360之前很多45天高炮</v>
      </c>
      <c r="C16991" s="2" t="s">
        <v>34</v>
      </c>
      <c r="D16991" s="2" t="s">
        <v>10</v>
      </c>
      <c r="E16991" s="2" t="str">
        <f>HYPERLINK("http://ts.21cn.com/tousu/show/id/1348767","http://ts.21cn.com/tousu/show/id/1348767")</f>
        <v>http://ts.21cn.com/tousu/show/id/1348767</v>
      </c>
      <c r="F16991" s="2" t="s">
        <v>11</v>
      </c>
      <c r="G16991" s="2" t="s">
        <v>10777</v>
      </c>
      <c r="H16991" s="2" t="s">
        <v>10778</v>
      </c>
    </row>
    <row r="16992" spans="1:8" ht="25.05" customHeight="1" x14ac:dyDescent="0.25">
      <c r="A16992" s="2" t="s">
        <v>8</v>
      </c>
      <c r="B16992" s="2" t="str">
        <f>HYPERLINK("http://ts.21cn.com/tousu/show/id/1348768","立刻出行不退押金")</f>
        <v>立刻出行不退押金</v>
      </c>
      <c r="C16992" s="2" t="s">
        <v>9</v>
      </c>
      <c r="D16992" s="2" t="s">
        <v>10</v>
      </c>
      <c r="E16992" s="2" t="str">
        <f>HYPERLINK("http://ts.21cn.com/tousu/show/id/1348768","http://ts.21cn.com/tousu/show/id/1348768")</f>
        <v>http://ts.21cn.com/tousu/show/id/1348768</v>
      </c>
      <c r="F16992" s="2" t="s">
        <v>11</v>
      </c>
      <c r="G16992" s="2" t="s">
        <v>10775</v>
      </c>
      <c r="H16992" s="2" t="s">
        <v>10776</v>
      </c>
    </row>
    <row r="16993" spans="1:8" ht="25.05" customHeight="1" x14ac:dyDescent="0.25">
      <c r="A16993" s="2" t="s">
        <v>8</v>
      </c>
      <c r="B16993" s="2" t="str">
        <f>HYPERLINK("http://ts.21cn.com/tousu/show/id/1348769","买前要求开票的，买后天猫商家一直拖着不开票，")</f>
        <v>买前要求开票的，买后天猫商家一直拖着不开票，</v>
      </c>
      <c r="C16993" s="2" t="s">
        <v>9</v>
      </c>
      <c r="D16993" s="2" t="s">
        <v>10</v>
      </c>
      <c r="E16993" s="2" t="str">
        <f>HYPERLINK("http://ts.21cn.com/tousu/show/id/1348769","http://ts.21cn.com/tousu/show/id/1348769")</f>
        <v>http://ts.21cn.com/tousu/show/id/1348769</v>
      </c>
      <c r="F16993" s="2" t="s">
        <v>11</v>
      </c>
      <c r="G16993" s="2" t="s">
        <v>10773</v>
      </c>
      <c r="H16993" s="2" t="s">
        <v>10774</v>
      </c>
    </row>
    <row r="16994" spans="1:8" ht="25.05" customHeight="1" x14ac:dyDescent="0.25">
      <c r="A16994" s="2" t="s">
        <v>8</v>
      </c>
      <c r="B16994" s="2" t="str">
        <f>HYPERLINK("http://ts.21cn.com/tousu/show/id/1348771","贷上钱非法砍头息，私自购买游戏金豆")</f>
        <v>贷上钱非法砍头息，私自购买游戏金豆</v>
      </c>
      <c r="C16994" s="2" t="s">
        <v>9</v>
      </c>
      <c r="D16994" s="2" t="s">
        <v>10</v>
      </c>
      <c r="E16994" s="2" t="str">
        <f>HYPERLINK("http://ts.21cn.com/tousu/show/id/1348771","http://ts.21cn.com/tousu/show/id/1348771")</f>
        <v>http://ts.21cn.com/tousu/show/id/1348771</v>
      </c>
      <c r="F16994" s="2" t="s">
        <v>11</v>
      </c>
      <c r="G16994" s="2" t="s">
        <v>10771</v>
      </c>
      <c r="H16994" s="2" t="s">
        <v>10772</v>
      </c>
    </row>
    <row r="16995" spans="1:8" ht="25.05" customHeight="1" x14ac:dyDescent="0.25">
      <c r="A16995" s="2" t="s">
        <v>8</v>
      </c>
      <c r="B16995" s="2" t="str">
        <f>HYPERLINK("http://ts.21cn.com/tousu/show/id/1348770","投诉先花一亿元恶意给借款人在众安保险投保，且投保人，和被保人都是本人，变相让借款人支付高额利息")</f>
        <v>投诉先花一亿元恶意给借款人在众安保险投保，且投保人，和被保人都是本人，变相让借款人支付高额利息</v>
      </c>
      <c r="C16995" s="2" t="s">
        <v>9</v>
      </c>
      <c r="D16995" s="2" t="s">
        <v>10</v>
      </c>
      <c r="E16995" s="2" t="str">
        <f>HYPERLINK("http://ts.21cn.com/tousu/show/id/1348770","http://ts.21cn.com/tousu/show/id/1348770")</f>
        <v>http://ts.21cn.com/tousu/show/id/1348770</v>
      </c>
      <c r="F16995" s="2" t="s">
        <v>11</v>
      </c>
      <c r="G16995" s="2" t="s">
        <v>10769</v>
      </c>
      <c r="H16995" s="2" t="s">
        <v>10770</v>
      </c>
    </row>
    <row r="16996" spans="1:8" ht="25.05" customHeight="1" x14ac:dyDescent="0.25">
      <c r="A16996" s="2" t="s">
        <v>8</v>
      </c>
      <c r="B16996" s="2" t="str">
        <f>HYPERLINK("http://ts.21cn.com/tousu/show/id/1348772","约单APP充值后不能提现")</f>
        <v>约单APP充值后不能提现</v>
      </c>
      <c r="C16996" s="2" t="s">
        <v>9</v>
      </c>
      <c r="D16996" s="2" t="s">
        <v>10</v>
      </c>
      <c r="E16996" s="2" t="str">
        <f>HYPERLINK("http://ts.21cn.com/tousu/show/id/1348772","http://ts.21cn.com/tousu/show/id/1348772")</f>
        <v>http://ts.21cn.com/tousu/show/id/1348772</v>
      </c>
      <c r="F16996" s="2" t="s">
        <v>11</v>
      </c>
      <c r="G16996" s="2" t="s">
        <v>10767</v>
      </c>
      <c r="H16996" s="2" t="s">
        <v>10768</v>
      </c>
    </row>
    <row r="16997" spans="1:8" ht="25.05" customHeight="1" x14ac:dyDescent="0.25">
      <c r="A16997" s="2" t="s">
        <v>8</v>
      </c>
      <c r="B16997" s="2" t="str">
        <f>HYPERLINK("http://ts.21cn.com/tousu/show/id/1348773","要求活力花退回保险费")</f>
        <v>要求活力花退回保险费</v>
      </c>
      <c r="C16997" s="2" t="s">
        <v>9</v>
      </c>
      <c r="D16997" s="2" t="s">
        <v>10</v>
      </c>
      <c r="E16997" s="2" t="str">
        <f>HYPERLINK("http://ts.21cn.com/tousu/show/id/1348773","http://ts.21cn.com/tousu/show/id/1348773")</f>
        <v>http://ts.21cn.com/tousu/show/id/1348773</v>
      </c>
      <c r="F16997" s="2" t="s">
        <v>11</v>
      </c>
      <c r="G16997" s="2" t="s">
        <v>10765</v>
      </c>
      <c r="H16997" s="2" t="s">
        <v>10766</v>
      </c>
    </row>
    <row r="16998" spans="1:8" ht="25.05" customHeight="1" x14ac:dyDescent="0.25">
      <c r="A16998" s="2" t="s">
        <v>8</v>
      </c>
      <c r="B16998" s="2" t="str">
        <f>HYPERLINK("http://ts.21cn.com/tousu/show/id/1348775","高利贷，网贷维信卡卡贷")</f>
        <v>高利贷，网贷维信卡卡贷</v>
      </c>
      <c r="C16998" s="2" t="s">
        <v>9</v>
      </c>
      <c r="D16998" s="2" t="s">
        <v>10</v>
      </c>
      <c r="E16998" s="2" t="str">
        <f>HYPERLINK("http://ts.21cn.com/tousu/show/id/1348775","http://ts.21cn.com/tousu/show/id/1348775")</f>
        <v>http://ts.21cn.com/tousu/show/id/1348775</v>
      </c>
      <c r="F16998" s="2" t="s">
        <v>11</v>
      </c>
      <c r="G16998" s="2" t="s">
        <v>10763</v>
      </c>
      <c r="H16998" s="2" t="s">
        <v>10764</v>
      </c>
    </row>
    <row r="16999" spans="1:8" ht="25.05" customHeight="1" x14ac:dyDescent="0.25">
      <c r="A16999" s="2" t="s">
        <v>8</v>
      </c>
      <c r="B16999" s="2" t="str">
        <f>HYPERLINK("http://ts.21cn.com/tousu/show/id/1348774","唯品会购买的商品还未收到货，价格就将了一半，且不退差价")</f>
        <v>唯品会购买的商品还未收到货，价格就将了一半，且不退差价</v>
      </c>
      <c r="C16999" s="2" t="s">
        <v>34</v>
      </c>
      <c r="D16999" s="2" t="s">
        <v>10</v>
      </c>
      <c r="E16999" s="2" t="str">
        <f>HYPERLINK("http://ts.21cn.com/tousu/show/id/1348774","http://ts.21cn.com/tousu/show/id/1348774")</f>
        <v>http://ts.21cn.com/tousu/show/id/1348774</v>
      </c>
      <c r="F16999" s="2" t="s">
        <v>11</v>
      </c>
      <c r="G16999" s="2" t="s">
        <v>10761</v>
      </c>
      <c r="H16999" s="2" t="s">
        <v>10762</v>
      </c>
    </row>
    <row r="17000" spans="1:8" ht="25.05" customHeight="1" x14ac:dyDescent="0.25">
      <c r="A17000" s="2" t="s">
        <v>8</v>
      </c>
      <c r="B17000" s="2" t="str">
        <f>HYPERLINK("http://ts.21cn.com/tousu/show/id/1348776","钱站高利贷阴阳合同")</f>
        <v>钱站高利贷阴阳合同</v>
      </c>
      <c r="C17000" s="2" t="s">
        <v>9</v>
      </c>
      <c r="D17000" s="2" t="s">
        <v>10</v>
      </c>
      <c r="E17000" s="2" t="str">
        <f>HYPERLINK("http://ts.21cn.com/tousu/show/id/1348776","http://ts.21cn.com/tousu/show/id/1348776")</f>
        <v>http://ts.21cn.com/tousu/show/id/1348776</v>
      </c>
      <c r="F17000" s="2" t="s">
        <v>11</v>
      </c>
      <c r="G17000" s="2" t="s">
        <v>10759</v>
      </c>
      <c r="H17000" s="2" t="s">
        <v>10760</v>
      </c>
    </row>
    <row r="17001" spans="1:8" ht="25.05" customHeight="1" x14ac:dyDescent="0.25">
      <c r="A17001" s="2" t="s">
        <v>8</v>
      </c>
      <c r="B17001" s="2" t="str">
        <f>HYPERLINK("http://ts.21cn.com/tousu/show/id/1348777","钱站高利贷阴阳合同")</f>
        <v>钱站高利贷阴阳合同</v>
      </c>
      <c r="C17001" s="2" t="s">
        <v>9</v>
      </c>
      <c r="D17001" s="2" t="s">
        <v>10</v>
      </c>
      <c r="E17001" s="2" t="str">
        <f>HYPERLINK("http://ts.21cn.com/tousu/show/id/1348777","http://ts.21cn.com/tousu/show/id/1348777")</f>
        <v>http://ts.21cn.com/tousu/show/id/1348777</v>
      </c>
      <c r="F17001" s="2" t="s">
        <v>11</v>
      </c>
      <c r="G17001" s="2" t="s">
        <v>10757</v>
      </c>
      <c r="H17001" s="2" t="s">
        <v>10758</v>
      </c>
    </row>
    <row r="17002" spans="1:8" ht="25.05" customHeight="1" x14ac:dyDescent="0.25">
      <c r="A17002" s="2" t="s">
        <v>8</v>
      </c>
      <c r="B17002" s="2" t="str">
        <f>HYPERLINK("http://ts.21cn.com/tousu/show/id/1348778","死蟹不认")</f>
        <v>死蟹不认</v>
      </c>
      <c r="C17002" s="2" t="s">
        <v>34</v>
      </c>
      <c r="D17002" s="2" t="s">
        <v>10</v>
      </c>
      <c r="E17002" s="2" t="str">
        <f>HYPERLINK("http://ts.21cn.com/tousu/show/id/1348778","http://ts.21cn.com/tousu/show/id/1348778")</f>
        <v>http://ts.21cn.com/tousu/show/id/1348778</v>
      </c>
      <c r="F17002" s="2" t="s">
        <v>11</v>
      </c>
      <c r="G17002" s="2" t="s">
        <v>10755</v>
      </c>
      <c r="H17002" s="2" t="s">
        <v>10756</v>
      </c>
    </row>
    <row r="17003" spans="1:8" ht="25.05" customHeight="1" x14ac:dyDescent="0.25">
      <c r="A17003" s="2" t="s">
        <v>8</v>
      </c>
      <c r="B17003" s="2" t="str">
        <f>HYPERLINK("http://ts.21cn.com/tousu/show/id/1348780","东莞市轻奢维体健身房第二次无缘无故关门，老板跑路")</f>
        <v>东莞市轻奢维体健身房第二次无缘无故关门，老板跑路</v>
      </c>
      <c r="C17003" s="2" t="s">
        <v>9</v>
      </c>
      <c r="D17003" s="2" t="s">
        <v>10</v>
      </c>
      <c r="E17003" s="2" t="str">
        <f>HYPERLINK("http://ts.21cn.com/tousu/show/id/1348780","http://ts.21cn.com/tousu/show/id/1348780")</f>
        <v>http://ts.21cn.com/tousu/show/id/1348780</v>
      </c>
      <c r="F17003" s="2" t="s">
        <v>11</v>
      </c>
      <c r="G17003" s="2" t="s">
        <v>10753</v>
      </c>
      <c r="H17003" s="2" t="s">
        <v>10754</v>
      </c>
    </row>
    <row r="17004" spans="1:8" ht="25.05" customHeight="1" x14ac:dyDescent="0.25">
      <c r="A17004" s="2" t="s">
        <v>8</v>
      </c>
      <c r="B17004" s="2" t="str">
        <f>HYPERLINK("http://ts.21cn.com/tousu/show/id/1348766","航行神州机场内虚假营销贵宾卡忽悠消费者充值")</f>
        <v>航行神州机场内虚假营销贵宾卡忽悠消费者充值</v>
      </c>
      <c r="C17004" s="2" t="s">
        <v>9</v>
      </c>
      <c r="D17004" s="2" t="s">
        <v>10</v>
      </c>
      <c r="E17004" s="2" t="str">
        <f>HYPERLINK("http://ts.21cn.com/tousu/show/id/1348766","http://ts.21cn.com/tousu/show/id/1348766")</f>
        <v>http://ts.21cn.com/tousu/show/id/1348766</v>
      </c>
      <c r="F17004" s="2" t="s">
        <v>11</v>
      </c>
      <c r="G17004" s="2" t="s">
        <v>10751</v>
      </c>
      <c r="H17004" s="2" t="s">
        <v>10752</v>
      </c>
    </row>
    <row r="17005" spans="1:8" ht="25.05" customHeight="1" x14ac:dyDescent="0.25">
      <c r="A17005" s="2" t="s">
        <v>8</v>
      </c>
      <c r="B17005" s="2" t="str">
        <f>HYPERLINK("http://ts.21cn.com/tousu/show/id/1348781","高利贷")</f>
        <v>高利贷</v>
      </c>
      <c r="C17005" s="2" t="s">
        <v>9</v>
      </c>
      <c r="D17005" s="2" t="s">
        <v>10</v>
      </c>
      <c r="E17005" s="2" t="str">
        <f>HYPERLINK("http://ts.21cn.com/tousu/show/id/1348781","http://ts.21cn.com/tousu/show/id/1348781")</f>
        <v>http://ts.21cn.com/tousu/show/id/1348781</v>
      </c>
      <c r="F17005" s="2" t="s">
        <v>11</v>
      </c>
      <c r="G17005" s="2" t="s">
        <v>10749</v>
      </c>
      <c r="H17005" s="2" t="s">
        <v>10750</v>
      </c>
    </row>
    <row r="17006" spans="1:8" ht="25.05" customHeight="1" x14ac:dyDescent="0.25">
      <c r="A17006" s="2" t="s">
        <v>8</v>
      </c>
      <c r="B17006" s="2" t="str">
        <f>HYPERLINK("http://ts.21cn.com/tousu/show/id/1348782","违规帮助非法平台提供充值通道")</f>
        <v>违规帮助非法平台提供充值通道</v>
      </c>
      <c r="C17006" s="2" t="s">
        <v>9</v>
      </c>
      <c r="D17006" s="2" t="s">
        <v>10</v>
      </c>
      <c r="E17006" s="2" t="str">
        <f>HYPERLINK("http://ts.21cn.com/tousu/show/id/1348782","http://ts.21cn.com/tousu/show/id/1348782")</f>
        <v>http://ts.21cn.com/tousu/show/id/1348782</v>
      </c>
      <c r="F17006" s="2" t="s">
        <v>11</v>
      </c>
      <c r="G17006" s="2" t="s">
        <v>10747</v>
      </c>
      <c r="H17006" s="2" t="s">
        <v>10748</v>
      </c>
    </row>
    <row r="17007" spans="1:8" ht="25.05" customHeight="1" x14ac:dyDescent="0.25">
      <c r="A17007" s="2" t="s">
        <v>8</v>
      </c>
      <c r="B17007" s="2" t="str">
        <f>HYPERLINK("http://ts.21cn.com/tousu/show/id/1348783","不当催收，侵犯个人隐私")</f>
        <v>不当催收，侵犯个人隐私</v>
      </c>
      <c r="C17007" s="2" t="s">
        <v>9</v>
      </c>
      <c r="D17007" s="2" t="s">
        <v>10</v>
      </c>
      <c r="E17007" s="2" t="str">
        <f>HYPERLINK("http://ts.21cn.com/tousu/show/id/1348783","http://ts.21cn.com/tousu/show/id/1348783")</f>
        <v>http://ts.21cn.com/tousu/show/id/1348783</v>
      </c>
      <c r="F17007" s="2" t="s">
        <v>11</v>
      </c>
      <c r="G17007" s="2" t="s">
        <v>10745</v>
      </c>
      <c r="H17007" s="2" t="s">
        <v>10746</v>
      </c>
    </row>
    <row r="17008" spans="1:8" ht="25.05" customHeight="1" x14ac:dyDescent="0.25">
      <c r="A17008" s="2" t="s">
        <v>8</v>
      </c>
      <c r="B17008" s="2" t="str">
        <f>HYPERLINK("http://ts.21cn.com/tousu/show/id/1348784","乱收费，贷款利息高")</f>
        <v>乱收费，贷款利息高</v>
      </c>
      <c r="C17008" s="2" t="s">
        <v>9</v>
      </c>
      <c r="D17008" s="2" t="s">
        <v>10</v>
      </c>
      <c r="E17008" s="2" t="str">
        <f>HYPERLINK("http://ts.21cn.com/tousu/show/id/1348784","http://ts.21cn.com/tousu/show/id/1348784")</f>
        <v>http://ts.21cn.com/tousu/show/id/1348784</v>
      </c>
      <c r="F17008" s="2" t="s">
        <v>11</v>
      </c>
      <c r="G17008" s="2" t="s">
        <v>10743</v>
      </c>
      <c r="H17008" s="2" t="s">
        <v>10744</v>
      </c>
    </row>
    <row r="17009" spans="1:8" ht="25.05" customHeight="1" x14ac:dyDescent="0.25">
      <c r="A17009" s="2" t="s">
        <v>8</v>
      </c>
      <c r="B17009" s="2" t="str">
        <f>HYPERLINK("http://ts.21cn.com/tousu/show/id/1348785","交易猫退款")</f>
        <v>交易猫退款</v>
      </c>
      <c r="C17009" s="2" t="s">
        <v>34</v>
      </c>
      <c r="D17009" s="2" t="s">
        <v>10</v>
      </c>
      <c r="E17009" s="2" t="str">
        <f>HYPERLINK("http://ts.21cn.com/tousu/show/id/1348785","http://ts.21cn.com/tousu/show/id/1348785")</f>
        <v>http://ts.21cn.com/tousu/show/id/1348785</v>
      </c>
      <c r="F17009" s="2" t="s">
        <v>11</v>
      </c>
      <c r="G17009" s="2" t="s">
        <v>10741</v>
      </c>
      <c r="H17009" s="2" t="s">
        <v>10742</v>
      </c>
    </row>
    <row r="17010" spans="1:8" ht="25.05" customHeight="1" x14ac:dyDescent="0.25">
      <c r="A17010" s="2" t="s">
        <v>8</v>
      </c>
      <c r="B17010" s="2" t="str">
        <f>HYPERLINK("http://ts.21cn.com/tousu/show/id/1348786","拍拍贷恶意还款失败产生逾期费")</f>
        <v>拍拍贷恶意还款失败产生逾期费</v>
      </c>
      <c r="C17010" s="2" t="s">
        <v>9</v>
      </c>
      <c r="D17010" s="2" t="s">
        <v>10</v>
      </c>
      <c r="E17010" s="2" t="str">
        <f>HYPERLINK("http://ts.21cn.com/tousu/show/id/1348786","http://ts.21cn.com/tousu/show/id/1348786")</f>
        <v>http://ts.21cn.com/tousu/show/id/1348786</v>
      </c>
      <c r="F17010" s="2" t="s">
        <v>11</v>
      </c>
      <c r="G17010" s="2" t="s">
        <v>10739</v>
      </c>
      <c r="H17010" s="2" t="s">
        <v>10740</v>
      </c>
    </row>
    <row r="17011" spans="1:8" ht="25.05" customHeight="1" x14ac:dyDescent="0.25">
      <c r="A17011" s="2" t="s">
        <v>8</v>
      </c>
      <c r="B17011" s="2" t="str">
        <f>HYPERLINK("http://ts.21cn.com/tousu/show/id/1348787","点融投资提现困难")</f>
        <v>点融投资提现困难</v>
      </c>
      <c r="C17011" s="2" t="s">
        <v>9</v>
      </c>
      <c r="D17011" s="2" t="s">
        <v>10</v>
      </c>
      <c r="E17011" s="2" t="str">
        <f>HYPERLINK("http://ts.21cn.com/tousu/show/id/1348787","http://ts.21cn.com/tousu/show/id/1348787")</f>
        <v>http://ts.21cn.com/tousu/show/id/1348787</v>
      </c>
      <c r="F17011" s="2" t="s">
        <v>11</v>
      </c>
      <c r="G17011" s="2" t="s">
        <v>10737</v>
      </c>
      <c r="H17011" s="2" t="s">
        <v>10738</v>
      </c>
    </row>
    <row r="17012" spans="1:8" ht="25.05" customHeight="1" x14ac:dyDescent="0.25">
      <c r="A17012" s="2" t="s">
        <v>8</v>
      </c>
      <c r="B17012" s="2" t="str">
        <f>HYPERLINK("http://ts.21cn.com/tousu/show/id/1348789","布丁小贷高额利息高利贷协商还款杳无音讯")</f>
        <v>布丁小贷高额利息高利贷协商还款杳无音讯</v>
      </c>
      <c r="C17012" s="2" t="s">
        <v>9</v>
      </c>
      <c r="D17012" s="2" t="s">
        <v>10</v>
      </c>
      <c r="E17012" s="2" t="str">
        <f>HYPERLINK("http://ts.21cn.com/tousu/show/id/1348789","http://ts.21cn.com/tousu/show/id/1348789")</f>
        <v>http://ts.21cn.com/tousu/show/id/1348789</v>
      </c>
      <c r="F17012" s="2" t="s">
        <v>11</v>
      </c>
      <c r="G17012" s="2" t="s">
        <v>10735</v>
      </c>
      <c r="H17012" s="2" t="s">
        <v>10736</v>
      </c>
    </row>
    <row r="17013" spans="1:8" ht="25.05" customHeight="1" x14ac:dyDescent="0.25">
      <c r="A17013" s="2" t="s">
        <v>8</v>
      </c>
      <c r="B17013" s="2" t="str">
        <f>HYPERLINK("http://ts.21cn.com/tousu/show/id/1348788","调整利率")</f>
        <v>调整利率</v>
      </c>
      <c r="C17013" s="2" t="s">
        <v>9</v>
      </c>
      <c r="D17013" s="2" t="s">
        <v>10</v>
      </c>
      <c r="E17013" s="2" t="str">
        <f>HYPERLINK("http://ts.21cn.com/tousu/show/id/1348788","http://ts.21cn.com/tousu/show/id/1348788")</f>
        <v>http://ts.21cn.com/tousu/show/id/1348788</v>
      </c>
      <c r="F17013" s="2" t="s">
        <v>11</v>
      </c>
      <c r="G17013" s="2" t="s">
        <v>10733</v>
      </c>
      <c r="H17013" s="2" t="s">
        <v>10734</v>
      </c>
    </row>
    <row r="17014" spans="1:8" ht="25.05" customHeight="1" x14ac:dyDescent="0.25">
      <c r="A17014" s="2" t="s">
        <v>8</v>
      </c>
      <c r="B17014" s="2" t="str">
        <f>HYPERLINK("http://ts.21cn.com/tousu/show/id/1348791","交易失败，显示退款失败")</f>
        <v>交易失败，显示退款失败</v>
      </c>
      <c r="C17014" s="2" t="s">
        <v>9</v>
      </c>
      <c r="D17014" s="2" t="s">
        <v>10</v>
      </c>
      <c r="E17014" s="2" t="str">
        <f>HYPERLINK("http://ts.21cn.com/tousu/show/id/1348791","http://ts.21cn.com/tousu/show/id/1348791")</f>
        <v>http://ts.21cn.com/tousu/show/id/1348791</v>
      </c>
      <c r="F17014" s="2" t="s">
        <v>11</v>
      </c>
      <c r="G17014" s="2" t="s">
        <v>10731</v>
      </c>
      <c r="H17014" s="2" t="s">
        <v>10732</v>
      </c>
    </row>
    <row r="17015" spans="1:8" ht="25.05" customHeight="1" x14ac:dyDescent="0.25">
      <c r="A17015" s="2" t="s">
        <v>8</v>
      </c>
      <c r="B17015" s="2" t="str">
        <f>HYPERLINK("http://ts.21cn.com/tousu/show/id/1348792","远特通信无缘无故关停我的手机号")</f>
        <v>远特通信无缘无故关停我的手机号</v>
      </c>
      <c r="C17015" s="2" t="s">
        <v>9</v>
      </c>
      <c r="D17015" s="2" t="s">
        <v>10</v>
      </c>
      <c r="E17015" s="2" t="str">
        <f>HYPERLINK("http://ts.21cn.com/tousu/show/id/1348792","http://ts.21cn.com/tousu/show/id/1348792")</f>
        <v>http://ts.21cn.com/tousu/show/id/1348792</v>
      </c>
      <c r="F17015" s="2" t="s">
        <v>11</v>
      </c>
      <c r="G17015" s="2" t="s">
        <v>10729</v>
      </c>
      <c r="H17015" s="2" t="s">
        <v>10730</v>
      </c>
    </row>
    <row r="17016" spans="1:8" ht="25.05" customHeight="1" x14ac:dyDescent="0.25">
      <c r="A17016" s="2" t="s">
        <v>8</v>
      </c>
      <c r="B17016" s="2" t="str">
        <f>HYPERLINK("http://ts.21cn.com/tousu/show/id/1348794","平安普惠未到还款期爆通讯录，电话轰炸")</f>
        <v>平安普惠未到还款期爆通讯录，电话轰炸</v>
      </c>
      <c r="C17016" s="2" t="s">
        <v>9</v>
      </c>
      <c r="D17016" s="2" t="s">
        <v>10</v>
      </c>
      <c r="E17016" s="2" t="str">
        <f>HYPERLINK("http://ts.21cn.com/tousu/show/id/1348794","http://ts.21cn.com/tousu/show/id/1348794")</f>
        <v>http://ts.21cn.com/tousu/show/id/1348794</v>
      </c>
      <c r="F17016" s="2" t="s">
        <v>11</v>
      </c>
      <c r="G17016" s="2" t="s">
        <v>10727</v>
      </c>
      <c r="H17016" s="2" t="s">
        <v>10728</v>
      </c>
    </row>
    <row r="17017" spans="1:8" ht="25.05" customHeight="1" x14ac:dyDescent="0.25">
      <c r="A17017" s="2" t="s">
        <v>8</v>
      </c>
      <c r="B17017" s="2" t="str">
        <f>HYPERLINK("http://ts.21cn.com/tousu/show/id/1348795","淘手游提现没到账太慢了？")</f>
        <v>淘手游提现没到账太慢了？</v>
      </c>
      <c r="C17017" s="2" t="s">
        <v>9</v>
      </c>
      <c r="D17017" s="2" t="s">
        <v>10</v>
      </c>
      <c r="E17017" s="2" t="str">
        <f>HYPERLINK("http://ts.21cn.com/tousu/show/id/1348795","http://ts.21cn.com/tousu/show/id/1348795")</f>
        <v>http://ts.21cn.com/tousu/show/id/1348795</v>
      </c>
      <c r="F17017" s="2" t="s">
        <v>11</v>
      </c>
      <c r="G17017" s="2" t="s">
        <v>10725</v>
      </c>
      <c r="H17017" s="2" t="s">
        <v>10726</v>
      </c>
    </row>
    <row r="17018" spans="1:8" ht="25.05" customHeight="1" x14ac:dyDescent="0.25">
      <c r="A17018" s="2" t="s">
        <v>8</v>
      </c>
      <c r="B17018" s="2" t="str">
        <f>HYPERLINK("http://ts.21cn.com/tousu/show/id/1348679","新中付支付虚假宣传")</f>
        <v>新中付支付虚假宣传</v>
      </c>
      <c r="C17018" s="2" t="s">
        <v>9</v>
      </c>
      <c r="D17018" s="2" t="s">
        <v>10</v>
      </c>
      <c r="E17018" s="2" t="str">
        <f>HYPERLINK("http://ts.21cn.com/tousu/show/id/1348679","http://ts.21cn.com/tousu/show/id/1348679")</f>
        <v>http://ts.21cn.com/tousu/show/id/1348679</v>
      </c>
      <c r="F17018" s="2" t="s">
        <v>11</v>
      </c>
      <c r="G17018" s="2" t="s">
        <v>10723</v>
      </c>
      <c r="H17018" s="2" t="s">
        <v>10724</v>
      </c>
    </row>
    <row r="17019" spans="1:8" ht="25.05" customHeight="1" x14ac:dyDescent="0.25">
      <c r="A17019" s="2" t="s">
        <v>8</v>
      </c>
      <c r="B17019" s="2" t="str">
        <f>HYPERLINK("http://ts.21cn.com/tousu/show/id/1348796","平台扣款失败无法还钱交逾期手续费")</f>
        <v>平台扣款失败无法还钱交逾期手续费</v>
      </c>
      <c r="C17019" s="2" t="s">
        <v>9</v>
      </c>
      <c r="D17019" s="2" t="s">
        <v>10</v>
      </c>
      <c r="E17019" s="2" t="str">
        <f>HYPERLINK("http://ts.21cn.com/tousu/show/id/1348796","http://ts.21cn.com/tousu/show/id/1348796")</f>
        <v>http://ts.21cn.com/tousu/show/id/1348796</v>
      </c>
      <c r="F17019" s="2" t="s">
        <v>11</v>
      </c>
      <c r="G17019" s="2" t="s">
        <v>10721</v>
      </c>
      <c r="H17019" s="2" t="s">
        <v>10722</v>
      </c>
    </row>
    <row r="17020" spans="1:8" ht="25.05" customHeight="1" x14ac:dyDescent="0.25">
      <c r="A17020" s="2" t="s">
        <v>8</v>
      </c>
      <c r="B17020" s="2" t="str">
        <f>HYPERLINK("http://ts.21cn.com/tousu/show/id/1348797","因拼多多客户购买商品后担心不是正品我们就发了厂家官方店铺图片给客户对比被拼多多判定导流交10万，请求撤销处罚，我们太冤了")</f>
        <v>因拼多多客户购买商品后担心不是正品我们就发了厂家官方店铺图片给客户对比被拼多多判定导流交10万，请求撤销处罚，我们太冤了</v>
      </c>
      <c r="C17020" s="2" t="s">
        <v>9</v>
      </c>
      <c r="D17020" s="2" t="s">
        <v>10</v>
      </c>
      <c r="E17020" s="2" t="str">
        <f>HYPERLINK("http://ts.21cn.com/tousu/show/id/1348797","http://ts.21cn.com/tousu/show/id/1348797")</f>
        <v>http://ts.21cn.com/tousu/show/id/1348797</v>
      </c>
      <c r="F17020" s="2" t="s">
        <v>11</v>
      </c>
      <c r="G17020" s="2" t="s">
        <v>10718</v>
      </c>
      <c r="H17020" s="2" t="s">
        <v>10719</v>
      </c>
    </row>
    <row r="17021" spans="1:8" ht="25.05" customHeight="1" x14ac:dyDescent="0.25">
      <c r="A17021" s="2" t="s">
        <v>8</v>
      </c>
      <c r="B17021" s="2" t="str">
        <f>HYPERLINK("http://ts.21cn.com/tousu/show/id/1348779","馒头借钱审核20多天一直没结果，要求退款")</f>
        <v>馒头借钱审核20多天一直没结果，要求退款</v>
      </c>
      <c r="C17021" s="2" t="s">
        <v>34</v>
      </c>
      <c r="D17021" s="2" t="s">
        <v>10</v>
      </c>
      <c r="E17021" s="2" t="str">
        <f>HYPERLINK("http://ts.21cn.com/tousu/show/id/1348779","http://ts.21cn.com/tousu/show/id/1348779")</f>
        <v>http://ts.21cn.com/tousu/show/id/1348779</v>
      </c>
      <c r="F17021" s="2" t="s">
        <v>11</v>
      </c>
      <c r="G17021" s="2" t="s">
        <v>10718</v>
      </c>
      <c r="H17021" s="2" t="s">
        <v>10720</v>
      </c>
    </row>
    <row r="17022" spans="1:8" ht="25.05" customHeight="1" x14ac:dyDescent="0.25">
      <c r="A17022" s="2" t="s">
        <v>8</v>
      </c>
      <c r="B17022" s="2" t="str">
        <f>HYPERLINK("http://ts.21cn.com/tousu/show/id/1348799","转转集体投诉专题")</f>
        <v>转转集体投诉专题</v>
      </c>
      <c r="C17022" s="2" t="s">
        <v>9</v>
      </c>
      <c r="D17022" s="2" t="s">
        <v>10</v>
      </c>
      <c r="E17022" s="2" t="str">
        <f>HYPERLINK("http://ts.21cn.com/tousu/show/id/1348799","http://ts.21cn.com/tousu/show/id/1348799")</f>
        <v>http://ts.21cn.com/tousu/show/id/1348799</v>
      </c>
      <c r="F17022" s="2" t="s">
        <v>11</v>
      </c>
      <c r="G17022" s="2" t="s">
        <v>10716</v>
      </c>
      <c r="H17022" s="2" t="s">
        <v>10717</v>
      </c>
    </row>
    <row r="17023" spans="1:8" ht="25.05" customHeight="1" x14ac:dyDescent="0.25">
      <c r="A17023" s="2" t="s">
        <v>8</v>
      </c>
      <c r="B17023" s="2" t="str">
        <f>HYPERLINK("http://ts.21cn.com/tousu/show/id/1348798","快鱼分期高利贷砍头利息")</f>
        <v>快鱼分期高利贷砍头利息</v>
      </c>
      <c r="C17023" s="2" t="s">
        <v>9</v>
      </c>
      <c r="D17023" s="2" t="s">
        <v>10</v>
      </c>
      <c r="E17023" s="2" t="str">
        <f>HYPERLINK("http://ts.21cn.com/tousu/show/id/1348798","http://ts.21cn.com/tousu/show/id/1348798")</f>
        <v>http://ts.21cn.com/tousu/show/id/1348798</v>
      </c>
      <c r="F17023" s="2" t="s">
        <v>11</v>
      </c>
      <c r="G17023" s="2" t="s">
        <v>10714</v>
      </c>
      <c r="H17023" s="2" t="s">
        <v>10715</v>
      </c>
    </row>
    <row r="17024" spans="1:8" ht="25.05" customHeight="1" x14ac:dyDescent="0.25">
      <c r="A17024" s="2" t="s">
        <v>8</v>
      </c>
      <c r="B17024" s="2" t="str">
        <f>HYPERLINK("http://ts.21cn.com/tousu/show/id/1348800","阿里巴巴无良卖家不肯退款")</f>
        <v>阿里巴巴无良卖家不肯退款</v>
      </c>
      <c r="C17024" s="2" t="s">
        <v>9</v>
      </c>
      <c r="D17024" s="2" t="s">
        <v>10</v>
      </c>
      <c r="E17024" s="2" t="str">
        <f>HYPERLINK("http://ts.21cn.com/tousu/show/id/1348800","http://ts.21cn.com/tousu/show/id/1348800")</f>
        <v>http://ts.21cn.com/tousu/show/id/1348800</v>
      </c>
      <c r="F17024" s="2" t="s">
        <v>11</v>
      </c>
      <c r="G17024" s="2" t="s">
        <v>10712</v>
      </c>
      <c r="H17024" s="2" t="s">
        <v>10713</v>
      </c>
    </row>
    <row r="17025" spans="1:8" ht="25.05" customHeight="1" x14ac:dyDescent="0.25">
      <c r="A17025" s="2" t="s">
        <v>8</v>
      </c>
      <c r="B17025" s="2" t="str">
        <f>HYPERLINK("http://ts.21cn.com/tousu/show/id/1348793","你我贷冒充律师事务所起诉")</f>
        <v>你我贷冒充律师事务所起诉</v>
      </c>
      <c r="C17025" s="2" t="s">
        <v>9</v>
      </c>
      <c r="D17025" s="2" t="s">
        <v>10</v>
      </c>
      <c r="E17025" s="2" t="str">
        <f>HYPERLINK("http://ts.21cn.com/tousu/show/id/1348793","http://ts.21cn.com/tousu/show/id/1348793")</f>
        <v>http://ts.21cn.com/tousu/show/id/1348793</v>
      </c>
      <c r="F17025" s="2" t="s">
        <v>11</v>
      </c>
      <c r="G17025" s="2" t="s">
        <v>10710</v>
      </c>
      <c r="H17025" s="2" t="s">
        <v>10711</v>
      </c>
    </row>
    <row r="17026" spans="1:8" ht="25.05" customHeight="1" x14ac:dyDescent="0.25">
      <c r="A17026" s="2" t="s">
        <v>8</v>
      </c>
      <c r="B17026" s="2" t="str">
        <f>HYPERLINK("http://ts.21cn.com/tousu/show/id/1348801","拉卡拉首扣贷款金额，超高逾期费等，利用国家征信系统变相要挟用户！！！")</f>
        <v>拉卡拉首扣贷款金额，超高逾期费等，利用国家征信系统变相要挟用户！！！</v>
      </c>
      <c r="C17026" s="2" t="s">
        <v>9</v>
      </c>
      <c r="D17026" s="2" t="s">
        <v>10</v>
      </c>
      <c r="E17026" s="2" t="str">
        <f>HYPERLINK("http://ts.21cn.com/tousu/show/id/1348801","http://ts.21cn.com/tousu/show/id/1348801")</f>
        <v>http://ts.21cn.com/tousu/show/id/1348801</v>
      </c>
      <c r="F17026" s="2" t="s">
        <v>11</v>
      </c>
      <c r="G17026" s="2" t="s">
        <v>10708</v>
      </c>
      <c r="H17026" s="2" t="s">
        <v>10709</v>
      </c>
    </row>
    <row r="17027" spans="1:8" ht="25.05" customHeight="1" x14ac:dyDescent="0.25">
      <c r="A17027" s="2" t="s">
        <v>8</v>
      </c>
      <c r="B17027" s="2" t="str">
        <f>HYPERLINK("http://ts.21cn.com/tousu/show/id/1348802","钱站借款金额3990到账3000还4500左右")</f>
        <v>钱站借款金额3990到账3000还4500左右</v>
      </c>
      <c r="C17027" s="2" t="s">
        <v>9</v>
      </c>
      <c r="D17027" s="2" t="s">
        <v>10</v>
      </c>
      <c r="E17027" s="2" t="str">
        <f>HYPERLINK("http://ts.21cn.com/tousu/show/id/1348802","http://ts.21cn.com/tousu/show/id/1348802")</f>
        <v>http://ts.21cn.com/tousu/show/id/1348802</v>
      </c>
      <c r="F17027" s="2" t="s">
        <v>11</v>
      </c>
      <c r="G17027" s="2" t="s">
        <v>10706</v>
      </c>
      <c r="H17027" s="2" t="s">
        <v>10707</v>
      </c>
    </row>
    <row r="17028" spans="1:8" ht="25.05" customHeight="1" x14ac:dyDescent="0.25">
      <c r="A17028" s="2" t="s">
        <v>8</v>
      </c>
      <c r="B17028" s="2" t="str">
        <f>HYPERLINK("http://ts.21cn.com/tousu/show/id/1348803","达成销售活动要求不予返现")</f>
        <v>达成销售活动要求不予返现</v>
      </c>
      <c r="C17028" s="2" t="s">
        <v>34</v>
      </c>
      <c r="D17028" s="2" t="s">
        <v>10</v>
      </c>
      <c r="E17028" s="2" t="str">
        <f>HYPERLINK("http://ts.21cn.com/tousu/show/id/1348803","http://ts.21cn.com/tousu/show/id/1348803")</f>
        <v>http://ts.21cn.com/tousu/show/id/1348803</v>
      </c>
      <c r="F17028" s="2" t="s">
        <v>11</v>
      </c>
      <c r="G17028" s="2" t="s">
        <v>10704</v>
      </c>
      <c r="H17028" s="2" t="s">
        <v>10705</v>
      </c>
    </row>
    <row r="17029" spans="1:8" ht="25.05" customHeight="1" x14ac:dyDescent="0.25">
      <c r="A17029" s="2" t="s">
        <v>8</v>
      </c>
      <c r="B17029" s="2" t="str">
        <f>HYPERLINK("http://ts.21cn.com/tousu/show/id/1348804","上海翰银为赌博输平台收单，请求瀚银为我退款挽回经济损失")</f>
        <v>上海翰银为赌博输平台收单，请求瀚银为我退款挽回经济损失</v>
      </c>
      <c r="C17029" s="2" t="s">
        <v>9</v>
      </c>
      <c r="D17029" s="2" t="s">
        <v>10</v>
      </c>
      <c r="E17029" s="2" t="str">
        <f>HYPERLINK("http://ts.21cn.com/tousu/show/id/1348804","http://ts.21cn.com/tousu/show/id/1348804")</f>
        <v>http://ts.21cn.com/tousu/show/id/1348804</v>
      </c>
      <c r="F17029" s="2" t="s">
        <v>11</v>
      </c>
      <c r="G17029" s="2" t="s">
        <v>10703</v>
      </c>
      <c r="H17029" s="2" t="s">
        <v>5447</v>
      </c>
    </row>
    <row r="17030" spans="1:8" ht="25.05" customHeight="1" x14ac:dyDescent="0.25">
      <c r="A17030" s="2" t="s">
        <v>8</v>
      </c>
      <c r="B17030" s="2" t="str">
        <f>HYPERLINK("http://ts.21cn.com/tousu/show/id/1348805","维信卡卡贷涉嫌高利率和砍头息")</f>
        <v>维信卡卡贷涉嫌高利率和砍头息</v>
      </c>
      <c r="C17030" s="2" t="s">
        <v>9</v>
      </c>
      <c r="D17030" s="2" t="s">
        <v>10</v>
      </c>
      <c r="E17030" s="2" t="str">
        <f>HYPERLINK("http://ts.21cn.com/tousu/show/id/1348805","http://ts.21cn.com/tousu/show/id/1348805")</f>
        <v>http://ts.21cn.com/tousu/show/id/1348805</v>
      </c>
      <c r="F17030" s="2" t="s">
        <v>11</v>
      </c>
      <c r="G17030" s="2" t="s">
        <v>10701</v>
      </c>
      <c r="H17030" s="2" t="s">
        <v>10702</v>
      </c>
    </row>
    <row r="17031" spans="1:8" ht="25.05" customHeight="1" x14ac:dyDescent="0.25">
      <c r="A17031" s="2" t="s">
        <v>8</v>
      </c>
      <c r="B17031" s="2" t="str">
        <f>HYPERLINK("http://ts.21cn.com/tousu/show/id/1348806","立借钱置宝高额砍头息无法联系客服造成逾期")</f>
        <v>立借钱置宝高额砍头息无法联系客服造成逾期</v>
      </c>
      <c r="C17031" s="2" t="s">
        <v>9</v>
      </c>
      <c r="D17031" s="2" t="s">
        <v>10</v>
      </c>
      <c r="E17031" s="2" t="str">
        <f>HYPERLINK("http://ts.21cn.com/tousu/show/id/1348806","http://ts.21cn.com/tousu/show/id/1348806")</f>
        <v>http://ts.21cn.com/tousu/show/id/1348806</v>
      </c>
      <c r="F17031" s="2" t="s">
        <v>11</v>
      </c>
      <c r="G17031" s="2" t="s">
        <v>10699</v>
      </c>
      <c r="H17031" s="2" t="s">
        <v>10700</v>
      </c>
    </row>
    <row r="17032" spans="1:8" ht="25.05" customHeight="1" x14ac:dyDescent="0.25">
      <c r="A17032" s="2" t="s">
        <v>8</v>
      </c>
      <c r="B17032" s="2" t="str">
        <f>HYPERLINK("http://ts.21cn.com/tousu/show/id/1348807","苏宁易购刷单扣费")</f>
        <v>苏宁易购刷单扣费</v>
      </c>
      <c r="C17032" s="2" t="s">
        <v>34</v>
      </c>
      <c r="D17032" s="2" t="s">
        <v>10</v>
      </c>
      <c r="E17032" s="2" t="str">
        <f>HYPERLINK("http://ts.21cn.com/tousu/show/id/1348807","http://ts.21cn.com/tousu/show/id/1348807")</f>
        <v>http://ts.21cn.com/tousu/show/id/1348807</v>
      </c>
      <c r="F17032" s="2" t="s">
        <v>11</v>
      </c>
      <c r="G17032" s="2" t="s">
        <v>10697</v>
      </c>
      <c r="H17032" s="2" t="s">
        <v>10698</v>
      </c>
    </row>
    <row r="17033" spans="1:8" ht="25.05" customHeight="1" x14ac:dyDescent="0.25">
      <c r="A17033" s="2" t="s">
        <v>8</v>
      </c>
      <c r="B17033" s="2" t="str">
        <f>HYPERLINK("http://ts.21cn.com/tousu/show/id/1348808","店铺售假扣24分申诉不成立，但是这款产品是正品有商标注册有品牌不是高仿三无")</f>
        <v>店铺售假扣24分申诉不成立，但是这款产品是正品有商标注册有品牌不是高仿三无</v>
      </c>
      <c r="C17033" s="2" t="s">
        <v>9</v>
      </c>
      <c r="D17033" s="2" t="s">
        <v>10</v>
      </c>
      <c r="E17033" s="2" t="str">
        <f>HYPERLINK("http://ts.21cn.com/tousu/show/id/1348808","http://ts.21cn.com/tousu/show/id/1348808")</f>
        <v>http://ts.21cn.com/tousu/show/id/1348808</v>
      </c>
      <c r="F17033" s="2" t="s">
        <v>11</v>
      </c>
      <c r="G17033" s="2" t="s">
        <v>10695</v>
      </c>
      <c r="H17033" s="2" t="s">
        <v>10696</v>
      </c>
    </row>
    <row r="17034" spans="1:8" ht="25.05" customHeight="1" x14ac:dyDescent="0.25">
      <c r="A17034" s="2" t="s">
        <v>8</v>
      </c>
      <c r="B17034" s="2" t="str">
        <f>HYPERLINK("http://ts.21cn.com/tousu/show/id/1348809","闪银延期")</f>
        <v>闪银延期</v>
      </c>
      <c r="C17034" s="2" t="s">
        <v>34</v>
      </c>
      <c r="D17034" s="2" t="s">
        <v>10</v>
      </c>
      <c r="E17034" s="2" t="str">
        <f>HYPERLINK("http://ts.21cn.com/tousu/show/id/1348809","http://ts.21cn.com/tousu/show/id/1348809")</f>
        <v>http://ts.21cn.com/tousu/show/id/1348809</v>
      </c>
      <c r="F17034" s="2" t="s">
        <v>11</v>
      </c>
      <c r="G17034" s="2" t="s">
        <v>10693</v>
      </c>
      <c r="H17034" s="2" t="s">
        <v>10694</v>
      </c>
    </row>
    <row r="17035" spans="1:8" ht="25.05" customHeight="1" x14ac:dyDescent="0.25">
      <c r="A17035" s="2" t="s">
        <v>8</v>
      </c>
      <c r="B17035" s="2" t="str">
        <f>HYPERLINK("http://ts.21cn.com/tousu/show/id/1348810","325平台虚假信息")</f>
        <v>325平台虚假信息</v>
      </c>
      <c r="C17035" s="2" t="s">
        <v>9</v>
      </c>
      <c r="D17035" s="2" t="s">
        <v>10</v>
      </c>
      <c r="E17035" s="2" t="str">
        <f>HYPERLINK("http://ts.21cn.com/tousu/show/id/1348810","http://ts.21cn.com/tousu/show/id/1348810")</f>
        <v>http://ts.21cn.com/tousu/show/id/1348810</v>
      </c>
      <c r="F17035" s="2" t="s">
        <v>11</v>
      </c>
      <c r="G17035" s="2" t="s">
        <v>10691</v>
      </c>
      <c r="H17035" s="2" t="s">
        <v>10692</v>
      </c>
    </row>
    <row r="17036" spans="1:8" ht="25.05" customHeight="1" x14ac:dyDescent="0.25">
      <c r="A17036" s="2" t="s">
        <v>8</v>
      </c>
      <c r="B17036" s="2" t="str">
        <f>HYPERLINK("http://ts.21cn.com/tousu/show/id/1348811","暴力催收侮辱侮辱")</f>
        <v>暴力催收侮辱侮辱</v>
      </c>
      <c r="C17036" s="2" t="s">
        <v>9</v>
      </c>
      <c r="D17036" s="2" t="s">
        <v>10</v>
      </c>
      <c r="E17036" s="2" t="str">
        <f>HYPERLINK("http://ts.21cn.com/tousu/show/id/1348811","http://ts.21cn.com/tousu/show/id/1348811")</f>
        <v>http://ts.21cn.com/tousu/show/id/1348811</v>
      </c>
      <c r="F17036" s="2" t="s">
        <v>11</v>
      </c>
      <c r="G17036" s="2" t="s">
        <v>10689</v>
      </c>
      <c r="H17036" s="2" t="s">
        <v>10690</v>
      </c>
    </row>
    <row r="17037" spans="1:8" ht="25.05" customHeight="1" x14ac:dyDescent="0.25">
      <c r="A17037" s="2" t="s">
        <v>8</v>
      </c>
      <c r="B17037" s="2" t="str">
        <f>HYPERLINK("http://ts.21cn.com/tousu/show/id/1348812","拼多多平台为赌博提供收款")</f>
        <v>拼多多平台为赌博提供收款</v>
      </c>
      <c r="C17037" s="2" t="s">
        <v>9</v>
      </c>
      <c r="D17037" s="2" t="s">
        <v>10</v>
      </c>
      <c r="E17037" s="2" t="str">
        <f>HYPERLINK("http://ts.21cn.com/tousu/show/id/1348812","http://ts.21cn.com/tousu/show/id/1348812")</f>
        <v>http://ts.21cn.com/tousu/show/id/1348812</v>
      </c>
      <c r="F17037" s="2" t="s">
        <v>11</v>
      </c>
      <c r="G17037" s="2" t="s">
        <v>10687</v>
      </c>
      <c r="H17037" s="2" t="s">
        <v>10688</v>
      </c>
    </row>
    <row r="17038" spans="1:8" ht="25.05" customHeight="1" x14ac:dyDescent="0.25">
      <c r="A17038" s="2" t="s">
        <v>8</v>
      </c>
      <c r="B17038" s="2" t="str">
        <f>HYPERLINK("http://ts.21cn.com/tousu/show/id/1347025","714平台高利息第三方支付公司宝付合伙人")</f>
        <v>714平台高利息第三方支付公司宝付合伙人</v>
      </c>
      <c r="C17038" s="2" t="s">
        <v>9</v>
      </c>
      <c r="D17038" s="2" t="s">
        <v>10</v>
      </c>
      <c r="E17038" s="2" t="str">
        <f>HYPERLINK("http://ts.21cn.com/tousu/show/id/1347025","http://ts.21cn.com/tousu/show/id/1347025")</f>
        <v>http://ts.21cn.com/tousu/show/id/1347025</v>
      </c>
      <c r="F17038" s="2" t="s">
        <v>11</v>
      </c>
      <c r="G17038" s="2" t="s">
        <v>10685</v>
      </c>
      <c r="H17038" s="2" t="s">
        <v>10686</v>
      </c>
    </row>
    <row r="17039" spans="1:8" ht="25.05" customHeight="1" x14ac:dyDescent="0.25">
      <c r="A17039" s="2" t="s">
        <v>8</v>
      </c>
      <c r="B17039" s="2" t="str">
        <f>HYPERLINK("http://ts.21cn.com/tousu/show/id/1348813","小浦优客未经同意扣款")</f>
        <v>小浦优客未经同意扣款</v>
      </c>
      <c r="C17039" s="2" t="s">
        <v>34</v>
      </c>
      <c r="D17039" s="2" t="s">
        <v>10</v>
      </c>
      <c r="E17039" s="2" t="str">
        <f>HYPERLINK("http://ts.21cn.com/tousu/show/id/1348813","http://ts.21cn.com/tousu/show/id/1348813")</f>
        <v>http://ts.21cn.com/tousu/show/id/1348813</v>
      </c>
      <c r="F17039" s="2" t="s">
        <v>11</v>
      </c>
      <c r="G17039" s="2" t="s">
        <v>10683</v>
      </c>
      <c r="H17039" s="2" t="s">
        <v>10684</v>
      </c>
    </row>
    <row r="17040" spans="1:8" ht="25.05" customHeight="1" x14ac:dyDescent="0.25">
      <c r="A17040" s="2" t="s">
        <v>8</v>
      </c>
      <c r="B17040" s="2" t="str">
        <f>HYPERLINK("http://ts.21cn.com/tousu/show/id/1348814","网络赌博")</f>
        <v>网络赌博</v>
      </c>
      <c r="C17040" s="2" t="s">
        <v>9</v>
      </c>
      <c r="D17040" s="2" t="s">
        <v>10</v>
      </c>
      <c r="E17040" s="2" t="str">
        <f>HYPERLINK("http://ts.21cn.com/tousu/show/id/1348814","http://ts.21cn.com/tousu/show/id/1348814")</f>
        <v>http://ts.21cn.com/tousu/show/id/1348814</v>
      </c>
      <c r="F17040" s="2" t="s">
        <v>11</v>
      </c>
      <c r="G17040" s="2" t="s">
        <v>10681</v>
      </c>
      <c r="H17040" s="2" t="s">
        <v>10682</v>
      </c>
    </row>
    <row r="17041" spans="1:8" ht="25.05" customHeight="1" x14ac:dyDescent="0.25">
      <c r="A17041" s="2" t="s">
        <v>8</v>
      </c>
      <c r="B17041" s="2" t="str">
        <f>HYPERLINK("http://ts.21cn.com/tousu/show/id/1348816","招联金融暴力催收")</f>
        <v>招联金融暴力催收</v>
      </c>
      <c r="C17041" s="2" t="s">
        <v>9</v>
      </c>
      <c r="D17041" s="2" t="s">
        <v>10</v>
      </c>
      <c r="E17041" s="2" t="str">
        <f>HYPERLINK("http://ts.21cn.com/tousu/show/id/1348816","http://ts.21cn.com/tousu/show/id/1348816")</f>
        <v>http://ts.21cn.com/tousu/show/id/1348816</v>
      </c>
      <c r="F17041" s="2" t="s">
        <v>11</v>
      </c>
      <c r="G17041" s="2" t="s">
        <v>10679</v>
      </c>
      <c r="H17041" s="2" t="s">
        <v>10680</v>
      </c>
    </row>
    <row r="17042" spans="1:8" ht="25.05" customHeight="1" x14ac:dyDescent="0.25">
      <c r="A17042" s="2" t="s">
        <v>8</v>
      </c>
      <c r="B17042" s="2" t="str">
        <f>HYPERLINK("http://ts.21cn.com/tousu/show/id/1348817","黑心贷")</f>
        <v>黑心贷</v>
      </c>
      <c r="C17042" s="2" t="s">
        <v>9</v>
      </c>
      <c r="D17042" s="2" t="s">
        <v>10</v>
      </c>
      <c r="E17042" s="2" t="str">
        <f>HYPERLINK("http://ts.21cn.com/tousu/show/id/1348817","http://ts.21cn.com/tousu/show/id/1348817")</f>
        <v>http://ts.21cn.com/tousu/show/id/1348817</v>
      </c>
      <c r="F17042" s="2" t="s">
        <v>11</v>
      </c>
      <c r="G17042" s="2" t="s">
        <v>10677</v>
      </c>
      <c r="H17042" s="2" t="s">
        <v>10678</v>
      </c>
    </row>
    <row r="17043" spans="1:8" ht="25.05" customHeight="1" x14ac:dyDescent="0.25">
      <c r="A17043" s="2" t="s">
        <v>8</v>
      </c>
      <c r="B17043" s="2" t="str">
        <f>HYPERLINK("http://ts.21cn.com/tousu/show/id/1348818","退还扣除的违法砍头息")</f>
        <v>退还扣除的违法砍头息</v>
      </c>
      <c r="C17043" s="2" t="s">
        <v>9</v>
      </c>
      <c r="D17043" s="2" t="s">
        <v>10</v>
      </c>
      <c r="E17043" s="2" t="str">
        <f>HYPERLINK("http://ts.21cn.com/tousu/show/id/1348818","http://ts.21cn.com/tousu/show/id/1348818")</f>
        <v>http://ts.21cn.com/tousu/show/id/1348818</v>
      </c>
      <c r="F17043" s="2" t="s">
        <v>11</v>
      </c>
      <c r="G17043" s="2" t="s">
        <v>10675</v>
      </c>
      <c r="H17043" s="2" t="s">
        <v>10676</v>
      </c>
    </row>
    <row r="17044" spans="1:8" ht="25.05" customHeight="1" x14ac:dyDescent="0.25">
      <c r="A17044" s="2" t="s">
        <v>8</v>
      </c>
      <c r="B17044" s="2" t="str">
        <f>HYPERLINK("http://ts.21cn.com/tousu/show/id/1348819","斗牛士app，在不知合同和同意的情况下强制下款，收取高额利息，望解决！")</f>
        <v>斗牛士app，在不知合同和同意的情况下强制下款，收取高额利息，望解决！</v>
      </c>
      <c r="C17044" s="2" t="s">
        <v>9</v>
      </c>
      <c r="D17044" s="2" t="s">
        <v>10</v>
      </c>
      <c r="E17044" s="2" t="str">
        <f>HYPERLINK("http://ts.21cn.com/tousu/show/id/1348819","http://ts.21cn.com/tousu/show/id/1348819")</f>
        <v>http://ts.21cn.com/tousu/show/id/1348819</v>
      </c>
      <c r="F17044" s="2" t="s">
        <v>11</v>
      </c>
      <c r="G17044" s="2" t="s">
        <v>10673</v>
      </c>
      <c r="H17044" s="2" t="s">
        <v>10674</v>
      </c>
    </row>
    <row r="17045" spans="1:8" ht="25.05" customHeight="1" x14ac:dyDescent="0.25">
      <c r="A17045" s="2" t="s">
        <v>8</v>
      </c>
      <c r="B17045" s="2" t="str">
        <f>HYPERLINK("http://ts.21cn.com/tousu/show/id/1348820","钱战阴阳合同高利贷")</f>
        <v>钱战阴阳合同高利贷</v>
      </c>
      <c r="C17045" s="2" t="s">
        <v>9</v>
      </c>
      <c r="D17045" s="2" t="s">
        <v>10</v>
      </c>
      <c r="E17045" s="2" t="str">
        <f>HYPERLINK("http://ts.21cn.com/tousu/show/id/1348820","http://ts.21cn.com/tousu/show/id/1348820")</f>
        <v>http://ts.21cn.com/tousu/show/id/1348820</v>
      </c>
      <c r="F17045" s="2" t="s">
        <v>11</v>
      </c>
      <c r="G17045" s="2" t="s">
        <v>10671</v>
      </c>
      <c r="H17045" s="2" t="s">
        <v>10672</v>
      </c>
    </row>
    <row r="17046" spans="1:8" ht="25.05" customHeight="1" x14ac:dyDescent="0.25">
      <c r="A17046" s="2" t="s">
        <v>8</v>
      </c>
      <c r="B17046" s="2" t="str">
        <f>HYPERLINK("http://ts.21cn.com/tousu/show/id/1348821","工商银行信用卡")</f>
        <v>工商银行信用卡</v>
      </c>
      <c r="C17046" s="2" t="s">
        <v>34</v>
      </c>
      <c r="D17046" s="2" t="s">
        <v>10</v>
      </c>
      <c r="E17046" s="2" t="str">
        <f>HYPERLINK("http://ts.21cn.com/tousu/show/id/1348821","http://ts.21cn.com/tousu/show/id/1348821")</f>
        <v>http://ts.21cn.com/tousu/show/id/1348821</v>
      </c>
      <c r="F17046" s="2" t="s">
        <v>11</v>
      </c>
      <c r="G17046" s="2" t="s">
        <v>10669</v>
      </c>
      <c r="H17046" s="2" t="s">
        <v>10670</v>
      </c>
    </row>
    <row r="17047" spans="1:8" ht="25.05" customHeight="1" x14ac:dyDescent="0.25">
      <c r="A17047" s="2" t="s">
        <v>8</v>
      </c>
      <c r="B17047" s="2" t="str">
        <f>HYPERLINK("http://ts.21cn.com/tousu/show/id/1348822","有用分期")</f>
        <v>有用分期</v>
      </c>
      <c r="C17047" s="2" t="s">
        <v>34</v>
      </c>
      <c r="D17047" s="2" t="s">
        <v>10</v>
      </c>
      <c r="E17047" s="2" t="str">
        <f>HYPERLINK("http://ts.21cn.com/tousu/show/id/1348822","http://ts.21cn.com/tousu/show/id/1348822")</f>
        <v>http://ts.21cn.com/tousu/show/id/1348822</v>
      </c>
      <c r="F17047" s="2" t="s">
        <v>11</v>
      </c>
      <c r="G17047" s="2" t="s">
        <v>10667</v>
      </c>
      <c r="H17047" s="2" t="s">
        <v>10668</v>
      </c>
    </row>
    <row r="17048" spans="1:8" ht="25.05" customHeight="1" x14ac:dyDescent="0.25">
      <c r="A17048" s="2" t="s">
        <v>8</v>
      </c>
      <c r="B17048" s="2" t="str">
        <f>HYPERLINK("http://ts.21cn.com/tousu/show/id/1348823","未经本人同意在没有密码的情况下私自扣款")</f>
        <v>未经本人同意在没有密码的情况下私自扣款</v>
      </c>
      <c r="C17048" s="2" t="s">
        <v>9</v>
      </c>
      <c r="D17048" s="2" t="s">
        <v>10</v>
      </c>
      <c r="E17048" s="2" t="str">
        <f>HYPERLINK("http://ts.21cn.com/tousu/show/id/1348823","http://ts.21cn.com/tousu/show/id/1348823")</f>
        <v>http://ts.21cn.com/tousu/show/id/1348823</v>
      </c>
      <c r="F17048" s="2" t="s">
        <v>11</v>
      </c>
      <c r="G17048" s="2" t="s">
        <v>10665</v>
      </c>
      <c r="H17048" s="2" t="s">
        <v>10666</v>
      </c>
    </row>
    <row r="17049" spans="1:8" ht="25.05" customHeight="1" x14ac:dyDescent="0.25">
      <c r="A17049" s="2" t="s">
        <v>8</v>
      </c>
      <c r="B17049" s="2" t="str">
        <f>HYPERLINK("http://ts.21cn.com/tousu/show/id/1348824","网络平台下线造成无法正常还款产生高额的逾期费用")</f>
        <v>网络平台下线造成无法正常还款产生高额的逾期费用</v>
      </c>
      <c r="C17049" s="2" t="s">
        <v>9</v>
      </c>
      <c r="D17049" s="2" t="s">
        <v>10</v>
      </c>
      <c r="E17049" s="2" t="str">
        <f>HYPERLINK("http://ts.21cn.com/tousu/show/id/1348824","http://ts.21cn.com/tousu/show/id/1348824")</f>
        <v>http://ts.21cn.com/tousu/show/id/1348824</v>
      </c>
      <c r="F17049" s="2" t="s">
        <v>11</v>
      </c>
      <c r="G17049" s="2" t="s">
        <v>10663</v>
      </c>
      <c r="H17049" s="2" t="s">
        <v>10664</v>
      </c>
    </row>
    <row r="17050" spans="1:8" ht="25.05" customHeight="1" x14ac:dyDescent="0.25">
      <c r="A17050" s="2" t="s">
        <v>8</v>
      </c>
      <c r="B17050" s="2" t="str">
        <f>HYPERLINK("http://ts.21cn.com/tousu/show/id/1348825","交易失败一直退款失败")</f>
        <v>交易失败一直退款失败</v>
      </c>
      <c r="C17050" s="2" t="s">
        <v>34</v>
      </c>
      <c r="D17050" s="2" t="s">
        <v>10</v>
      </c>
      <c r="E17050" s="2" t="str">
        <f>HYPERLINK("http://ts.21cn.com/tousu/show/id/1348825","http://ts.21cn.com/tousu/show/id/1348825")</f>
        <v>http://ts.21cn.com/tousu/show/id/1348825</v>
      </c>
      <c r="F17050" s="2" t="s">
        <v>11</v>
      </c>
      <c r="G17050" s="2" t="s">
        <v>10661</v>
      </c>
      <c r="H17050" s="2" t="s">
        <v>10662</v>
      </c>
    </row>
    <row r="17051" spans="1:8" ht="25.05" customHeight="1" x14ac:dyDescent="0.25">
      <c r="A17051" s="2" t="s">
        <v>8</v>
      </c>
      <c r="B17051" s="2" t="str">
        <f>HYPERLINK("http://ts.21cn.com/tousu/show/id/1348826","QQ看点点到广告自动下载“天天快报”")</f>
        <v>QQ看点点到广告自动下载“天天快报”</v>
      </c>
      <c r="C17051" s="2" t="s">
        <v>34</v>
      </c>
      <c r="D17051" s="2" t="s">
        <v>10</v>
      </c>
      <c r="E17051" s="2" t="str">
        <f>HYPERLINK("http://ts.21cn.com/tousu/show/id/1348826","http://ts.21cn.com/tousu/show/id/1348826")</f>
        <v>http://ts.21cn.com/tousu/show/id/1348826</v>
      </c>
      <c r="F17051" s="2" t="s">
        <v>11</v>
      </c>
      <c r="G17051" s="2" t="s">
        <v>10659</v>
      </c>
      <c r="H17051" s="2" t="s">
        <v>10660</v>
      </c>
    </row>
    <row r="17052" spans="1:8" ht="25.05" customHeight="1" x14ac:dyDescent="0.25">
      <c r="A17052" s="2" t="s">
        <v>8</v>
      </c>
      <c r="B17052" s="2" t="str">
        <f>HYPERLINK("http://ts.21cn.com/tousu/show/id/1348827","拍拍贷套路大曝光，建议媒体曝光，上报国家机构")</f>
        <v>拍拍贷套路大曝光，建议媒体曝光，上报国家机构</v>
      </c>
      <c r="C17052" s="2" t="s">
        <v>9</v>
      </c>
      <c r="D17052" s="2" t="s">
        <v>10</v>
      </c>
      <c r="E17052" s="2" t="str">
        <f>HYPERLINK("http://ts.21cn.com/tousu/show/id/1348827","http://ts.21cn.com/tousu/show/id/1348827")</f>
        <v>http://ts.21cn.com/tousu/show/id/1348827</v>
      </c>
      <c r="F17052" s="2" t="s">
        <v>11</v>
      </c>
      <c r="G17052" s="2" t="s">
        <v>10657</v>
      </c>
      <c r="H17052" s="2" t="s">
        <v>10658</v>
      </c>
    </row>
    <row r="17053" spans="1:8" ht="25.05" customHeight="1" x14ac:dyDescent="0.25">
      <c r="A17053" s="2" t="s">
        <v>8</v>
      </c>
      <c r="B17053" s="2" t="str">
        <f>HYPERLINK("http://ts.21cn.com/tousu/show/id/1348828","钱站高利贷")</f>
        <v>钱站高利贷</v>
      </c>
      <c r="C17053" s="2" t="s">
        <v>9</v>
      </c>
      <c r="D17053" s="2" t="s">
        <v>10</v>
      </c>
      <c r="E17053" s="2" t="str">
        <f>HYPERLINK("http://ts.21cn.com/tousu/show/id/1348828","http://ts.21cn.com/tousu/show/id/1348828")</f>
        <v>http://ts.21cn.com/tousu/show/id/1348828</v>
      </c>
      <c r="F17053" s="2" t="s">
        <v>11</v>
      </c>
      <c r="G17053" s="2" t="s">
        <v>10655</v>
      </c>
      <c r="H17053" s="2" t="s">
        <v>10656</v>
      </c>
    </row>
    <row r="17054" spans="1:8" ht="25.05" customHeight="1" x14ac:dyDescent="0.25">
      <c r="A17054" s="2" t="s">
        <v>8</v>
      </c>
      <c r="B17054" s="2" t="str">
        <f>HYPERLINK("http://ts.21cn.com/tousu/show/id/1348829","小浦优客未经同意扣款")</f>
        <v>小浦优客未经同意扣款</v>
      </c>
      <c r="C17054" s="2" t="s">
        <v>9</v>
      </c>
      <c r="D17054" s="2" t="s">
        <v>10</v>
      </c>
      <c r="E17054" s="2" t="str">
        <f>HYPERLINK("http://ts.21cn.com/tousu/show/id/1348829","http://ts.21cn.com/tousu/show/id/1348829")</f>
        <v>http://ts.21cn.com/tousu/show/id/1348829</v>
      </c>
      <c r="F17054" s="2" t="s">
        <v>11</v>
      </c>
      <c r="G17054" s="2" t="s">
        <v>10653</v>
      </c>
      <c r="H17054" s="2" t="s">
        <v>10654</v>
      </c>
    </row>
    <row r="17055" spans="1:8" ht="25.05" customHeight="1" x14ac:dyDescent="0.25">
      <c r="A17055" s="2" t="s">
        <v>8</v>
      </c>
      <c r="B17055" s="2" t="str">
        <f>HYPERLINK("http://ts.21cn.com/tousu/show/id/1348830","融360快来花捏造信息暴力催款")</f>
        <v>融360快来花捏造信息暴力催款</v>
      </c>
      <c r="C17055" s="2" t="s">
        <v>9</v>
      </c>
      <c r="D17055" s="2" t="s">
        <v>10</v>
      </c>
      <c r="E17055" s="2" t="str">
        <f>HYPERLINK("http://ts.21cn.com/tousu/show/id/1348830","http://ts.21cn.com/tousu/show/id/1348830")</f>
        <v>http://ts.21cn.com/tousu/show/id/1348830</v>
      </c>
      <c r="F17055" s="2" t="s">
        <v>11</v>
      </c>
      <c r="G17055" s="2" t="s">
        <v>10651</v>
      </c>
      <c r="H17055" s="2" t="s">
        <v>10652</v>
      </c>
    </row>
    <row r="17056" spans="1:8" ht="25.05" customHeight="1" x14ac:dyDescent="0.25">
      <c r="A17056" s="2" t="s">
        <v>8</v>
      </c>
      <c r="B17056" s="2" t="str">
        <f>HYPERLINK("http://ts.21cn.com/tousu/show/id/1347745","京东刷单")</f>
        <v>京东刷单</v>
      </c>
      <c r="C17056" s="2" t="s">
        <v>9</v>
      </c>
      <c r="D17056" s="2" t="s">
        <v>10</v>
      </c>
      <c r="E17056" s="2" t="str">
        <f>HYPERLINK("http://ts.21cn.com/tousu/show/id/1347745","http://ts.21cn.com/tousu/show/id/1347745")</f>
        <v>http://ts.21cn.com/tousu/show/id/1347745</v>
      </c>
      <c r="F17056" s="2" t="s">
        <v>11</v>
      </c>
      <c r="G17056" s="2" t="s">
        <v>10649</v>
      </c>
      <c r="H17056" s="2" t="s">
        <v>10650</v>
      </c>
    </row>
    <row r="17057" spans="1:8" ht="25.05" customHeight="1" x14ac:dyDescent="0.25">
      <c r="A17057" s="2" t="s">
        <v>8</v>
      </c>
      <c r="B17057" s="2" t="str">
        <f>HYPERLINK("http://ts.21cn.com/tousu/show/id/1348831","不给协商，爆通讯录")</f>
        <v>不给协商，爆通讯录</v>
      </c>
      <c r="C17057" s="2" t="s">
        <v>9</v>
      </c>
      <c r="D17057" s="2" t="s">
        <v>10</v>
      </c>
      <c r="E17057" s="2" t="str">
        <f>HYPERLINK("http://ts.21cn.com/tousu/show/id/1348831","http://ts.21cn.com/tousu/show/id/1348831")</f>
        <v>http://ts.21cn.com/tousu/show/id/1348831</v>
      </c>
      <c r="F17057" s="2" t="s">
        <v>11</v>
      </c>
      <c r="G17057" s="2" t="s">
        <v>10647</v>
      </c>
      <c r="H17057" s="2" t="s">
        <v>10648</v>
      </c>
    </row>
    <row r="17058" spans="1:8" ht="25.05" customHeight="1" x14ac:dyDescent="0.25">
      <c r="A17058" s="2" t="s">
        <v>8</v>
      </c>
      <c r="B17058" s="2" t="str">
        <f>HYPERLINK("http://ts.21cn.com/tousu/show/id/1348832","百事普惠恶意扣款")</f>
        <v>百事普惠恶意扣款</v>
      </c>
      <c r="C17058" s="2" t="s">
        <v>9</v>
      </c>
      <c r="D17058" s="2" t="s">
        <v>10</v>
      </c>
      <c r="E17058" s="2" t="str">
        <f>HYPERLINK("http://ts.21cn.com/tousu/show/id/1348832","http://ts.21cn.com/tousu/show/id/1348832")</f>
        <v>http://ts.21cn.com/tousu/show/id/1348832</v>
      </c>
      <c r="F17058" s="2" t="s">
        <v>11</v>
      </c>
      <c r="G17058" s="2" t="s">
        <v>10645</v>
      </c>
      <c r="H17058" s="2" t="s">
        <v>10646</v>
      </c>
    </row>
    <row r="17059" spans="1:8" ht="25.05" customHeight="1" x14ac:dyDescent="0.25">
      <c r="A17059" s="2" t="s">
        <v>8</v>
      </c>
      <c r="B17059" s="2" t="str">
        <f>HYPERLINK("http://ts.21cn.com/tousu/show/id/1348833","胡乱扣费")</f>
        <v>胡乱扣费</v>
      </c>
      <c r="C17059" s="2" t="s">
        <v>9</v>
      </c>
      <c r="D17059" s="2" t="s">
        <v>10</v>
      </c>
      <c r="E17059" s="2" t="str">
        <f>HYPERLINK("http://ts.21cn.com/tousu/show/id/1348833","http://ts.21cn.com/tousu/show/id/1348833")</f>
        <v>http://ts.21cn.com/tousu/show/id/1348833</v>
      </c>
      <c r="F17059" s="2" t="s">
        <v>11</v>
      </c>
      <c r="G17059" s="2" t="s">
        <v>10643</v>
      </c>
      <c r="H17059" s="2" t="s">
        <v>10644</v>
      </c>
    </row>
    <row r="17060" spans="1:8" ht="25.05" customHeight="1" x14ac:dyDescent="0.25">
      <c r="A17060" s="2" t="s">
        <v>8</v>
      </c>
      <c r="B17060" s="2" t="str">
        <f>HYPERLINK("http://ts.21cn.com/tousu/show/id/1348836","中金支付无缘无故扣款")</f>
        <v>中金支付无缘无故扣款</v>
      </c>
      <c r="C17060" s="2" t="s">
        <v>9</v>
      </c>
      <c r="D17060" s="2" t="s">
        <v>10</v>
      </c>
      <c r="E17060" s="2" t="str">
        <f>HYPERLINK("http://ts.21cn.com/tousu/show/id/1348836","http://ts.21cn.com/tousu/show/id/1348836")</f>
        <v>http://ts.21cn.com/tousu/show/id/1348836</v>
      </c>
      <c r="F17060" s="2" t="s">
        <v>11</v>
      </c>
      <c r="G17060" s="2" t="s">
        <v>10641</v>
      </c>
      <c r="H17060" s="2" t="s">
        <v>10642</v>
      </c>
    </row>
    <row r="17061" spans="1:8" ht="25.05" customHeight="1" x14ac:dyDescent="0.25">
      <c r="A17061" s="2" t="s">
        <v>8</v>
      </c>
      <c r="B17061" s="2" t="str">
        <f>HYPERLINK("http://ts.21cn.com/tousu/show/id/1348835","深圳世联小额贷款有限公司违规收取砍头息")</f>
        <v>深圳世联小额贷款有限公司违规收取砍头息</v>
      </c>
      <c r="C17061" s="2" t="s">
        <v>9</v>
      </c>
      <c r="D17061" s="2" t="s">
        <v>10</v>
      </c>
      <c r="E17061" s="2" t="str">
        <f>HYPERLINK("http://ts.21cn.com/tousu/show/id/1348835","http://ts.21cn.com/tousu/show/id/1348835")</f>
        <v>http://ts.21cn.com/tousu/show/id/1348835</v>
      </c>
      <c r="F17061" s="2" t="s">
        <v>11</v>
      </c>
      <c r="G17061" s="2" t="s">
        <v>10639</v>
      </c>
      <c r="H17061" s="2" t="s">
        <v>10640</v>
      </c>
    </row>
    <row r="17062" spans="1:8" ht="25.05" customHeight="1" x14ac:dyDescent="0.25">
      <c r="A17062" s="2" t="s">
        <v>8</v>
      </c>
      <c r="B17062" s="2" t="str">
        <f>HYPERLINK("http://ts.21cn.com/tousu/show/id/1348837","我可以还本金   相应利息")</f>
        <v>我可以还本金   相应利息</v>
      </c>
      <c r="C17062" s="2" t="s">
        <v>9</v>
      </c>
      <c r="D17062" s="2" t="s">
        <v>10</v>
      </c>
      <c r="E17062" s="2" t="str">
        <f>HYPERLINK("http://ts.21cn.com/tousu/show/id/1348837","http://ts.21cn.com/tousu/show/id/1348837")</f>
        <v>http://ts.21cn.com/tousu/show/id/1348837</v>
      </c>
      <c r="F17062" s="2" t="s">
        <v>11</v>
      </c>
      <c r="G17062" s="2" t="s">
        <v>10637</v>
      </c>
      <c r="H17062" s="2" t="s">
        <v>10638</v>
      </c>
    </row>
    <row r="17063" spans="1:8" ht="25.05" customHeight="1" x14ac:dyDescent="0.25">
      <c r="A17063" s="2" t="s">
        <v>8</v>
      </c>
      <c r="B17063" s="2" t="str">
        <f>HYPERLINK("http://ts.21cn.com/tousu/show/id/1348838","车辆损坏")</f>
        <v>车辆损坏</v>
      </c>
      <c r="C17063" s="2" t="s">
        <v>9</v>
      </c>
      <c r="D17063" s="2" t="s">
        <v>10</v>
      </c>
      <c r="E17063" s="2" t="str">
        <f>HYPERLINK("http://ts.21cn.com/tousu/show/id/1348838","http://ts.21cn.com/tousu/show/id/1348838")</f>
        <v>http://ts.21cn.com/tousu/show/id/1348838</v>
      </c>
      <c r="F17063" s="2" t="s">
        <v>11</v>
      </c>
      <c r="G17063" s="2" t="s">
        <v>10635</v>
      </c>
      <c r="H17063" s="2" t="s">
        <v>10636</v>
      </c>
    </row>
    <row r="17064" spans="1:8" ht="25.05" customHeight="1" x14ac:dyDescent="0.25">
      <c r="A17064" s="2" t="s">
        <v>8</v>
      </c>
      <c r="B17064" s="2" t="str">
        <f>HYPERLINK("http://ts.21cn.com/tousu/show/id/1348839","彩豆理财不良清退")</f>
        <v>彩豆理财不良清退</v>
      </c>
      <c r="C17064" s="2" t="s">
        <v>9</v>
      </c>
      <c r="D17064" s="2" t="s">
        <v>10</v>
      </c>
      <c r="E17064" s="2" t="str">
        <f>HYPERLINK("http://ts.21cn.com/tousu/show/id/1348839","http://ts.21cn.com/tousu/show/id/1348839")</f>
        <v>http://ts.21cn.com/tousu/show/id/1348839</v>
      </c>
      <c r="F17064" s="2" t="s">
        <v>11</v>
      </c>
      <c r="G17064" s="2" t="s">
        <v>10633</v>
      </c>
      <c r="H17064" s="2" t="s">
        <v>10634</v>
      </c>
    </row>
    <row r="17065" spans="1:8" ht="25.05" customHeight="1" x14ac:dyDescent="0.25">
      <c r="A17065" s="2" t="s">
        <v>8</v>
      </c>
      <c r="B17065" s="2" t="str">
        <f>HYPERLINK("http://ts.21cn.com/tousu/show/id/1348840","投诉上海造艺网络有限公司扣费不退款")</f>
        <v>投诉上海造艺网络有限公司扣费不退款</v>
      </c>
      <c r="C17065" s="2" t="s">
        <v>9</v>
      </c>
      <c r="D17065" s="2" t="s">
        <v>10</v>
      </c>
      <c r="E17065" s="2" t="str">
        <f>HYPERLINK("http://ts.21cn.com/tousu/show/id/1348840","http://ts.21cn.com/tousu/show/id/1348840")</f>
        <v>http://ts.21cn.com/tousu/show/id/1348840</v>
      </c>
      <c r="F17065" s="2" t="s">
        <v>11</v>
      </c>
      <c r="G17065" s="2" t="s">
        <v>10631</v>
      </c>
      <c r="H17065" s="2" t="s">
        <v>10632</v>
      </c>
    </row>
    <row r="17066" spans="1:8" ht="25.05" customHeight="1" x14ac:dyDescent="0.25">
      <c r="A17066" s="2" t="s">
        <v>8</v>
      </c>
      <c r="B17066" s="2" t="str">
        <f>HYPERLINK("http://ts.21cn.com/tousu/show/id/1348841","美团酒店未入住酒店确认入住")</f>
        <v>美团酒店未入住酒店确认入住</v>
      </c>
      <c r="C17066" s="2" t="s">
        <v>34</v>
      </c>
      <c r="D17066" s="2" t="s">
        <v>10</v>
      </c>
      <c r="E17066" s="2" t="str">
        <f>HYPERLINK("http://ts.21cn.com/tousu/show/id/1348841","http://ts.21cn.com/tousu/show/id/1348841")</f>
        <v>http://ts.21cn.com/tousu/show/id/1348841</v>
      </c>
      <c r="F17066" s="2" t="s">
        <v>11</v>
      </c>
      <c r="G17066" s="2" t="s">
        <v>10629</v>
      </c>
      <c r="H17066" s="2" t="s">
        <v>10630</v>
      </c>
    </row>
    <row r="17067" spans="1:8" ht="25.05" customHeight="1" x14ac:dyDescent="0.25">
      <c r="A17067" s="2" t="s">
        <v>8</v>
      </c>
      <c r="B17067" s="2" t="str">
        <f>HYPERLINK("http://ts.21cn.com/tousu/show/id/1348842","利率高59.9%，望一次性还清减免利息")</f>
        <v>利率高59.9%，望一次性还清减免利息</v>
      </c>
      <c r="C17067" s="2" t="s">
        <v>9</v>
      </c>
      <c r="D17067" s="2" t="s">
        <v>10</v>
      </c>
      <c r="E17067" s="2" t="str">
        <f>HYPERLINK("http://ts.21cn.com/tousu/show/id/1348842","http://ts.21cn.com/tousu/show/id/1348842")</f>
        <v>http://ts.21cn.com/tousu/show/id/1348842</v>
      </c>
      <c r="F17067" s="2" t="s">
        <v>11</v>
      </c>
      <c r="G17067" s="2" t="s">
        <v>10627</v>
      </c>
      <c r="H17067" s="2" t="s">
        <v>10628</v>
      </c>
    </row>
    <row r="17068" spans="1:8" ht="25.05" customHeight="1" x14ac:dyDescent="0.25">
      <c r="A17068" s="2" t="s">
        <v>8</v>
      </c>
      <c r="B17068" s="2" t="str">
        <f>HYPERLINK("http://ts.21cn.com/tousu/show/id/1348844","关于交易猫退款失败")</f>
        <v>关于交易猫退款失败</v>
      </c>
      <c r="C17068" s="2" t="s">
        <v>9</v>
      </c>
      <c r="D17068" s="2" t="s">
        <v>10</v>
      </c>
      <c r="E17068" s="2" t="str">
        <f>HYPERLINK("http://ts.21cn.com/tousu/show/id/1348844","http://ts.21cn.com/tousu/show/id/1348844")</f>
        <v>http://ts.21cn.com/tousu/show/id/1348844</v>
      </c>
      <c r="F17068" s="2" t="s">
        <v>11</v>
      </c>
      <c r="G17068" s="2" t="s">
        <v>10625</v>
      </c>
      <c r="H17068" s="2" t="s">
        <v>10626</v>
      </c>
    </row>
    <row r="17069" spans="1:8" ht="25.05" customHeight="1" x14ac:dyDescent="0.25">
      <c r="A17069" s="2" t="s">
        <v>8</v>
      </c>
      <c r="B17069" s="2" t="str">
        <f>HYPERLINK("http://ts.21cn.com/tousu/show/id/1348845","闪电借款买卡费用")</f>
        <v>闪电借款买卡费用</v>
      </c>
      <c r="C17069" s="2" t="s">
        <v>9</v>
      </c>
      <c r="D17069" s="2" t="s">
        <v>10</v>
      </c>
      <c r="E17069" s="2" t="str">
        <f>HYPERLINK("http://ts.21cn.com/tousu/show/id/1348845","http://ts.21cn.com/tousu/show/id/1348845")</f>
        <v>http://ts.21cn.com/tousu/show/id/1348845</v>
      </c>
      <c r="F17069" s="2" t="s">
        <v>11</v>
      </c>
      <c r="G17069" s="2" t="s">
        <v>10623</v>
      </c>
      <c r="H17069" s="2" t="s">
        <v>10624</v>
      </c>
    </row>
    <row r="17070" spans="1:8" ht="25.05" customHeight="1" x14ac:dyDescent="0.25">
      <c r="A17070" s="2" t="s">
        <v>8</v>
      </c>
      <c r="B17070" s="2" t="str">
        <f>HYPERLINK("http://ts.21cn.com/tousu/show/id/1348846","虚假宣传请求退款")</f>
        <v>虚假宣传请求退款</v>
      </c>
      <c r="C17070" s="2" t="s">
        <v>9</v>
      </c>
      <c r="D17070" s="2" t="s">
        <v>10</v>
      </c>
      <c r="E17070" s="2" t="str">
        <f>HYPERLINK("http://ts.21cn.com/tousu/show/id/1348846","http://ts.21cn.com/tousu/show/id/1348846")</f>
        <v>http://ts.21cn.com/tousu/show/id/1348846</v>
      </c>
      <c r="F17070" s="2" t="s">
        <v>11</v>
      </c>
      <c r="G17070" s="2" t="s">
        <v>10621</v>
      </c>
      <c r="H17070" s="2" t="s">
        <v>10622</v>
      </c>
    </row>
    <row r="17071" spans="1:8" ht="25.05" customHeight="1" x14ac:dyDescent="0.25">
      <c r="A17071" s="2" t="s">
        <v>8</v>
      </c>
      <c r="B17071" s="2" t="str">
        <f>HYPERLINK("http://ts.21cn.com/tousu/show/id/1348847","钱站套路贷，虚假合同。要求更改实际借款金额。")</f>
        <v>钱站套路贷，虚假合同。要求更改实际借款金额。</v>
      </c>
      <c r="C17071" s="2" t="s">
        <v>9</v>
      </c>
      <c r="D17071" s="2" t="s">
        <v>10</v>
      </c>
      <c r="E17071" s="2" t="str">
        <f>HYPERLINK("http://ts.21cn.com/tousu/show/id/1348847","http://ts.21cn.com/tousu/show/id/1348847")</f>
        <v>http://ts.21cn.com/tousu/show/id/1348847</v>
      </c>
      <c r="F17071" s="2" t="s">
        <v>11</v>
      </c>
      <c r="G17071" s="2" t="s">
        <v>10619</v>
      </c>
      <c r="H17071" s="2" t="s">
        <v>10620</v>
      </c>
    </row>
    <row r="17072" spans="1:8" ht="25.05" customHeight="1" x14ac:dyDescent="0.25">
      <c r="A17072" s="2" t="s">
        <v>8</v>
      </c>
      <c r="B17072" s="2" t="str">
        <f>HYPERLINK("http://ts.21cn.com/tousu/show/id/1348848","交易猫交易失败显示退款失败")</f>
        <v>交易猫交易失败显示退款失败</v>
      </c>
      <c r="C17072" s="2" t="s">
        <v>9</v>
      </c>
      <c r="D17072" s="2" t="s">
        <v>10</v>
      </c>
      <c r="E17072" s="2" t="str">
        <f>HYPERLINK("http://ts.21cn.com/tousu/show/id/1348848","http://ts.21cn.com/tousu/show/id/1348848")</f>
        <v>http://ts.21cn.com/tousu/show/id/1348848</v>
      </c>
      <c r="F17072" s="2" t="s">
        <v>11</v>
      </c>
      <c r="G17072" s="2" t="s">
        <v>10617</v>
      </c>
      <c r="H17072" s="2" t="s">
        <v>10618</v>
      </c>
    </row>
    <row r="17073" spans="1:8" ht="25.05" customHeight="1" x14ac:dyDescent="0.25">
      <c r="A17073" s="2" t="s">
        <v>8</v>
      </c>
      <c r="B17073" s="2" t="str">
        <f>HYPERLINK("http://ts.21cn.com/tousu/show/id/1348849","暴力催收，疑似套路贷")</f>
        <v>暴力催收，疑似套路贷</v>
      </c>
      <c r="C17073" s="2" t="s">
        <v>9</v>
      </c>
      <c r="D17073" s="2" t="s">
        <v>10</v>
      </c>
      <c r="E17073" s="2" t="str">
        <f>HYPERLINK("http://ts.21cn.com/tousu/show/id/1348849","http://ts.21cn.com/tousu/show/id/1348849")</f>
        <v>http://ts.21cn.com/tousu/show/id/1348849</v>
      </c>
      <c r="F17073" s="2" t="s">
        <v>11</v>
      </c>
      <c r="G17073" s="2" t="s">
        <v>10615</v>
      </c>
      <c r="H17073" s="2" t="s">
        <v>10616</v>
      </c>
    </row>
    <row r="17074" spans="1:8" ht="25.05" customHeight="1" x14ac:dyDescent="0.25">
      <c r="A17074" s="2" t="s">
        <v>8</v>
      </c>
      <c r="B17074" s="2" t="str">
        <f>HYPERLINK("http://ts.21cn.com/tousu/show/id/1348850","关于交易猫退款失败")</f>
        <v>关于交易猫退款失败</v>
      </c>
      <c r="C17074" s="2" t="s">
        <v>34</v>
      </c>
      <c r="D17074" s="2" t="s">
        <v>10</v>
      </c>
      <c r="E17074" s="2" t="str">
        <f>HYPERLINK("http://ts.21cn.com/tousu/show/id/1348850","http://ts.21cn.com/tousu/show/id/1348850")</f>
        <v>http://ts.21cn.com/tousu/show/id/1348850</v>
      </c>
      <c r="F17074" s="2" t="s">
        <v>11</v>
      </c>
      <c r="G17074" s="2" t="s">
        <v>10613</v>
      </c>
      <c r="H17074" s="2" t="s">
        <v>10614</v>
      </c>
    </row>
    <row r="17075" spans="1:8" ht="25.05" customHeight="1" x14ac:dyDescent="0.25">
      <c r="A17075" s="2" t="s">
        <v>8</v>
      </c>
      <c r="B17075" s="2" t="str">
        <f>HYPERLINK("http://ts.21cn.com/tousu/show/id/1348851","要求一次性付清全款")</f>
        <v>要求一次性付清全款</v>
      </c>
      <c r="C17075" s="2" t="s">
        <v>34</v>
      </c>
      <c r="D17075" s="2" t="s">
        <v>10</v>
      </c>
      <c r="E17075" s="2" t="str">
        <f>HYPERLINK("http://ts.21cn.com/tousu/show/id/1348851","http://ts.21cn.com/tousu/show/id/1348851")</f>
        <v>http://ts.21cn.com/tousu/show/id/1348851</v>
      </c>
      <c r="F17075" s="2" t="s">
        <v>11</v>
      </c>
      <c r="G17075" s="2" t="s">
        <v>10611</v>
      </c>
      <c r="H17075" s="2" t="s">
        <v>10612</v>
      </c>
    </row>
    <row r="17076" spans="1:8" ht="25.05" customHeight="1" x14ac:dyDescent="0.25">
      <c r="A17076" s="2" t="s">
        <v>8</v>
      </c>
      <c r="B17076" s="2" t="str">
        <f>HYPERLINK("http://ts.21cn.com/tousu/show/id/1348852","交会费后没有任何单可以接")</f>
        <v>交会费后没有任何单可以接</v>
      </c>
      <c r="C17076" s="2" t="s">
        <v>9</v>
      </c>
      <c r="D17076" s="2" t="s">
        <v>10</v>
      </c>
      <c r="E17076" s="2" t="str">
        <f>HYPERLINK("http://ts.21cn.com/tousu/show/id/1348852","http://ts.21cn.com/tousu/show/id/1348852")</f>
        <v>http://ts.21cn.com/tousu/show/id/1348852</v>
      </c>
      <c r="F17076" s="2" t="s">
        <v>11</v>
      </c>
      <c r="G17076" s="2" t="s">
        <v>10609</v>
      </c>
      <c r="H17076" s="2" t="s">
        <v>10610</v>
      </c>
    </row>
    <row r="17077" spans="1:8" ht="25.05" customHeight="1" x14ac:dyDescent="0.25">
      <c r="A17077" s="2" t="s">
        <v>8</v>
      </c>
      <c r="B17077" s="2" t="str">
        <f>HYPERLINK("http://ts.21cn.com/tousu/show/id/1348853","闲鱼骗子引导买家在QQ扫支付宝付款")</f>
        <v>闲鱼骗子引导买家在QQ扫支付宝付款</v>
      </c>
      <c r="C17077" s="2" t="s">
        <v>9</v>
      </c>
      <c r="D17077" s="2" t="s">
        <v>10</v>
      </c>
      <c r="E17077" s="2" t="str">
        <f>HYPERLINK("http://ts.21cn.com/tousu/show/id/1348853","http://ts.21cn.com/tousu/show/id/1348853")</f>
        <v>http://ts.21cn.com/tousu/show/id/1348853</v>
      </c>
      <c r="F17077" s="2" t="s">
        <v>11</v>
      </c>
      <c r="G17077" s="2" t="s">
        <v>10607</v>
      </c>
      <c r="H17077" s="2" t="s">
        <v>10608</v>
      </c>
    </row>
    <row r="17078" spans="1:8" ht="25.05" customHeight="1" x14ac:dyDescent="0.25">
      <c r="A17078" s="2" t="s">
        <v>8</v>
      </c>
      <c r="B17078" s="2" t="str">
        <f>HYPERLINK("http://ts.21cn.com/tousu/show/id/1348854","唯品花莫名其妙不能使用")</f>
        <v>唯品花莫名其妙不能使用</v>
      </c>
      <c r="C17078" s="2" t="s">
        <v>34</v>
      </c>
      <c r="D17078" s="2" t="s">
        <v>10</v>
      </c>
      <c r="E17078" s="2" t="str">
        <f>HYPERLINK("http://ts.21cn.com/tousu/show/id/1348854","http://ts.21cn.com/tousu/show/id/1348854")</f>
        <v>http://ts.21cn.com/tousu/show/id/1348854</v>
      </c>
      <c r="F17078" s="2" t="s">
        <v>11</v>
      </c>
      <c r="G17078" s="2" t="s">
        <v>10605</v>
      </c>
      <c r="H17078" s="2" t="s">
        <v>10606</v>
      </c>
    </row>
    <row r="17079" spans="1:8" ht="25.05" customHeight="1" x14ac:dyDescent="0.25">
      <c r="A17079" s="2" t="s">
        <v>8</v>
      </c>
      <c r="B17079" s="2" t="str">
        <f>HYPERLINK("http://ts.21cn.com/tousu/show/id/1348855","国美易卡强制购买保险高利息")</f>
        <v>国美易卡强制购买保险高利息</v>
      </c>
      <c r="C17079" s="2" t="s">
        <v>9</v>
      </c>
      <c r="D17079" s="2" t="s">
        <v>10</v>
      </c>
      <c r="E17079" s="2" t="str">
        <f>HYPERLINK("http://ts.21cn.com/tousu/show/id/1348855","http://ts.21cn.com/tousu/show/id/1348855")</f>
        <v>http://ts.21cn.com/tousu/show/id/1348855</v>
      </c>
      <c r="F17079" s="2" t="s">
        <v>11</v>
      </c>
      <c r="G17079" s="2" t="s">
        <v>10603</v>
      </c>
      <c r="H17079" s="2" t="s">
        <v>10604</v>
      </c>
    </row>
    <row r="17080" spans="1:8" ht="25.05" customHeight="1" x14ac:dyDescent="0.25">
      <c r="A17080" s="2" t="s">
        <v>8</v>
      </c>
      <c r="B17080" s="2" t="str">
        <f>HYPERLINK("http://ts.21cn.com/tousu/show/id/1348856","滴滴平台不尊重滴滴司机人权")</f>
        <v>滴滴平台不尊重滴滴司机人权</v>
      </c>
      <c r="C17080" s="2" t="s">
        <v>9</v>
      </c>
      <c r="D17080" s="2" t="s">
        <v>10</v>
      </c>
      <c r="E17080" s="2" t="str">
        <f>HYPERLINK("http://ts.21cn.com/tousu/show/id/1348856","http://ts.21cn.com/tousu/show/id/1348856")</f>
        <v>http://ts.21cn.com/tousu/show/id/1348856</v>
      </c>
      <c r="F17080" s="2" t="s">
        <v>11</v>
      </c>
      <c r="G17080" s="2" t="s">
        <v>10601</v>
      </c>
      <c r="H17080" s="2" t="s">
        <v>10602</v>
      </c>
    </row>
    <row r="17081" spans="1:8" ht="25.05" customHeight="1" x14ac:dyDescent="0.25">
      <c r="A17081" s="2" t="s">
        <v>8</v>
      </c>
      <c r="B17081" s="2" t="str">
        <f>HYPERLINK("http://ts.21cn.com/tousu/show/id/1348857","闪银逾期，想协商还款催收不同意")</f>
        <v>闪银逾期，想协商还款催收不同意</v>
      </c>
      <c r="C17081" s="2" t="s">
        <v>34</v>
      </c>
      <c r="D17081" s="2" t="s">
        <v>10</v>
      </c>
      <c r="E17081" s="2" t="str">
        <f>HYPERLINK("http://ts.21cn.com/tousu/show/id/1348857","http://ts.21cn.com/tousu/show/id/1348857")</f>
        <v>http://ts.21cn.com/tousu/show/id/1348857</v>
      </c>
      <c r="F17081" s="2" t="s">
        <v>11</v>
      </c>
      <c r="G17081" s="2" t="s">
        <v>10599</v>
      </c>
      <c r="H17081" s="2" t="s">
        <v>10600</v>
      </c>
    </row>
    <row r="17082" spans="1:8" ht="25.05" customHeight="1" x14ac:dyDescent="0.25">
      <c r="A17082" s="2" t="s">
        <v>8</v>
      </c>
      <c r="B17082" s="2" t="str">
        <f>HYPERLINK("http://ts.21cn.com/tousu/show/id/1348858","凡普金科旗下钱站app暴力催收")</f>
        <v>凡普金科旗下钱站app暴力催收</v>
      </c>
      <c r="C17082" s="2" t="s">
        <v>9</v>
      </c>
      <c r="D17082" s="2" t="s">
        <v>10</v>
      </c>
      <c r="E17082" s="2" t="str">
        <f>HYPERLINK("http://ts.21cn.com/tousu/show/id/1348858","http://ts.21cn.com/tousu/show/id/1348858")</f>
        <v>http://ts.21cn.com/tousu/show/id/1348858</v>
      </c>
      <c r="F17082" s="2" t="s">
        <v>11</v>
      </c>
      <c r="G17082" s="2" t="s">
        <v>10597</v>
      </c>
      <c r="H17082" s="2" t="s">
        <v>10598</v>
      </c>
    </row>
    <row r="17083" spans="1:8" ht="25.05" customHeight="1" x14ac:dyDescent="0.25">
      <c r="A17083" s="2" t="s">
        <v>8</v>
      </c>
      <c r="B17083" s="2" t="str">
        <f>HYPERLINK("http://ts.21cn.com/tousu/show/id/1348860","投诉白沙市场旁边工地夜间施工")</f>
        <v>投诉白沙市场旁边工地夜间施工</v>
      </c>
      <c r="C17083" s="2" t="s">
        <v>9</v>
      </c>
      <c r="D17083" s="2" t="s">
        <v>10</v>
      </c>
      <c r="E17083" s="2" t="str">
        <f>HYPERLINK("http://ts.21cn.com/tousu/show/id/1348860","http://ts.21cn.com/tousu/show/id/1348860")</f>
        <v>http://ts.21cn.com/tousu/show/id/1348860</v>
      </c>
      <c r="F17083" s="2" t="s">
        <v>11</v>
      </c>
      <c r="G17083" s="2" t="s">
        <v>10595</v>
      </c>
      <c r="H17083" s="2" t="s">
        <v>10596</v>
      </c>
    </row>
    <row r="17084" spans="1:8" ht="25.05" customHeight="1" x14ac:dyDescent="0.25">
      <c r="A17084" s="2" t="s">
        <v>8</v>
      </c>
      <c r="B17084" s="2" t="str">
        <f>HYPERLINK("http://ts.21cn.com/tousu/show/id/1348862","下载软件就被扣299元")</f>
        <v>下载软件就被扣299元</v>
      </c>
      <c r="C17084" s="2" t="s">
        <v>34</v>
      </c>
      <c r="D17084" s="2" t="s">
        <v>10</v>
      </c>
      <c r="E17084" s="2" t="str">
        <f>HYPERLINK("http://ts.21cn.com/tousu/show/id/1348862","http://ts.21cn.com/tousu/show/id/1348862")</f>
        <v>http://ts.21cn.com/tousu/show/id/1348862</v>
      </c>
      <c r="F17084" s="2" t="s">
        <v>11</v>
      </c>
      <c r="G17084" s="2" t="s">
        <v>10593</v>
      </c>
      <c r="H17084" s="2" t="s">
        <v>10594</v>
      </c>
    </row>
    <row r="17085" spans="1:8" ht="25.05" customHeight="1" x14ac:dyDescent="0.25">
      <c r="A17085" s="2" t="s">
        <v>8</v>
      </c>
      <c r="B17085" s="2" t="str">
        <f>HYPERLINK("http://ts.21cn.com/tousu/show/id/1348864","说好的月入过万呢？")</f>
        <v>说好的月入过万呢？</v>
      </c>
      <c r="C17085" s="2" t="s">
        <v>9</v>
      </c>
      <c r="D17085" s="2" t="s">
        <v>10</v>
      </c>
      <c r="E17085" s="2" t="str">
        <f>HYPERLINK("http://ts.21cn.com/tousu/show/id/1348864","http://ts.21cn.com/tousu/show/id/1348864")</f>
        <v>http://ts.21cn.com/tousu/show/id/1348864</v>
      </c>
      <c r="F17085" s="2" t="s">
        <v>11</v>
      </c>
      <c r="G17085" s="2" t="s">
        <v>10591</v>
      </c>
      <c r="H17085" s="2" t="s">
        <v>10592</v>
      </c>
    </row>
    <row r="17086" spans="1:8" ht="25.05" customHeight="1" x14ac:dyDescent="0.25">
      <c r="A17086" s="2" t="s">
        <v>8</v>
      </c>
      <c r="B17086" s="2" t="str">
        <f>HYPERLINK("http://ts.21cn.com/tousu/show/id/1348865","花呗")</f>
        <v>花呗</v>
      </c>
      <c r="C17086" s="2" t="s">
        <v>34</v>
      </c>
      <c r="D17086" s="2" t="s">
        <v>10</v>
      </c>
      <c r="E17086" s="2" t="str">
        <f>HYPERLINK("http://ts.21cn.com/tousu/show/id/1348865","http://ts.21cn.com/tousu/show/id/1348865")</f>
        <v>http://ts.21cn.com/tousu/show/id/1348865</v>
      </c>
      <c r="F17086" s="2" t="s">
        <v>11</v>
      </c>
      <c r="G17086" s="2" t="s">
        <v>10589</v>
      </c>
      <c r="H17086" s="2" t="s">
        <v>10590</v>
      </c>
    </row>
    <row r="17087" spans="1:8" ht="25.05" customHeight="1" x14ac:dyDescent="0.25">
      <c r="A17087" s="2" t="s">
        <v>8</v>
      </c>
      <c r="B17087" s="2" t="str">
        <f>HYPERLINK("http://ts.21cn.com/tousu/show/id/1348868","暴力催收泄露个人隐私高利息")</f>
        <v>暴力催收泄露个人隐私高利息</v>
      </c>
      <c r="C17087" s="2" t="s">
        <v>9</v>
      </c>
      <c r="D17087" s="2" t="s">
        <v>10</v>
      </c>
      <c r="E17087" s="2" t="str">
        <f>HYPERLINK("http://ts.21cn.com/tousu/show/id/1348868","http://ts.21cn.com/tousu/show/id/1348868")</f>
        <v>http://ts.21cn.com/tousu/show/id/1348868</v>
      </c>
      <c r="F17087" s="2" t="s">
        <v>11</v>
      </c>
      <c r="G17087" s="2" t="s">
        <v>10587</v>
      </c>
      <c r="H17087" s="2" t="s">
        <v>10588</v>
      </c>
    </row>
    <row r="17088" spans="1:8" ht="25.05" customHeight="1" x14ac:dyDescent="0.25">
      <c r="A17088" s="2" t="s">
        <v>8</v>
      </c>
      <c r="B17088" s="2" t="str">
        <f>HYPERLINK("http://ts.21cn.com/tousu/show/id/1348863","苏宁答谢会")</f>
        <v>苏宁答谢会</v>
      </c>
      <c r="C17088" s="2" t="s">
        <v>9</v>
      </c>
      <c r="D17088" s="2" t="s">
        <v>10</v>
      </c>
      <c r="E17088" s="2" t="str">
        <f>HYPERLINK("http://ts.21cn.com/tousu/show/id/1348863","http://ts.21cn.com/tousu/show/id/1348863")</f>
        <v>http://ts.21cn.com/tousu/show/id/1348863</v>
      </c>
      <c r="F17088" s="2" t="s">
        <v>11</v>
      </c>
      <c r="G17088" s="2" t="s">
        <v>10585</v>
      </c>
      <c r="H17088" s="2" t="s">
        <v>10586</v>
      </c>
    </row>
    <row r="17089" spans="1:8" ht="25.05" customHeight="1" x14ac:dyDescent="0.25">
      <c r="A17089" s="2" t="s">
        <v>8</v>
      </c>
      <c r="B17089" s="2" t="str">
        <f>HYPERLINK("http://ts.21cn.com/tousu/show/id/1348869","群发错误催收短信进行投诉对我进行人身攻击和恐吓")</f>
        <v>群发错误催收短信进行投诉对我进行人身攻击和恐吓</v>
      </c>
      <c r="C17089" s="2" t="s">
        <v>9</v>
      </c>
      <c r="D17089" s="2" t="s">
        <v>10</v>
      </c>
      <c r="E17089" s="2" t="str">
        <f>HYPERLINK("http://ts.21cn.com/tousu/show/id/1348869","http://ts.21cn.com/tousu/show/id/1348869")</f>
        <v>http://ts.21cn.com/tousu/show/id/1348869</v>
      </c>
      <c r="F17089" s="2" t="s">
        <v>11</v>
      </c>
      <c r="G17089" s="2" t="s">
        <v>10583</v>
      </c>
      <c r="H17089" s="2" t="s">
        <v>10584</v>
      </c>
    </row>
    <row r="17090" spans="1:8" ht="25.05" customHeight="1" x14ac:dyDescent="0.25">
      <c r="A17090" s="2" t="s">
        <v>8</v>
      </c>
      <c r="B17090" s="2" t="str">
        <f>HYPERLINK("http://ts.21cn.com/tousu/show/id/1348870","借贷金额与放贷和还款金额严重不符")</f>
        <v>借贷金额与放贷和还款金额严重不符</v>
      </c>
      <c r="C17090" s="2" t="s">
        <v>9</v>
      </c>
      <c r="D17090" s="2" t="s">
        <v>10</v>
      </c>
      <c r="E17090" s="2" t="str">
        <f>HYPERLINK("http://ts.21cn.com/tousu/show/id/1348870","http://ts.21cn.com/tousu/show/id/1348870")</f>
        <v>http://ts.21cn.com/tousu/show/id/1348870</v>
      </c>
      <c r="F17090" s="2" t="s">
        <v>11</v>
      </c>
      <c r="G17090" s="2" t="s">
        <v>10581</v>
      </c>
      <c r="H17090" s="2" t="s">
        <v>10582</v>
      </c>
    </row>
    <row r="17091" spans="1:8" ht="25.05" customHeight="1" x14ac:dyDescent="0.25">
      <c r="A17091" s="2" t="s">
        <v>8</v>
      </c>
      <c r="B17091" s="2" t="str">
        <f>HYPERLINK("http://ts.21cn.com/tousu/show/id/1348871","利用大众创业心理，虚假广告，诱导消费者加入会员，骗取9800会员费")</f>
        <v>利用大众创业心理，虚假广告，诱导消费者加入会员，骗取9800会员费</v>
      </c>
      <c r="C17091" s="2" t="s">
        <v>9</v>
      </c>
      <c r="D17091" s="2" t="s">
        <v>10</v>
      </c>
      <c r="E17091" s="2" t="str">
        <f>HYPERLINK("http://ts.21cn.com/tousu/show/id/1348871","http://ts.21cn.com/tousu/show/id/1348871")</f>
        <v>http://ts.21cn.com/tousu/show/id/1348871</v>
      </c>
      <c r="F17091" s="2" t="s">
        <v>11</v>
      </c>
      <c r="G17091" s="2" t="s">
        <v>10579</v>
      </c>
      <c r="H17091" s="2" t="s">
        <v>10580</v>
      </c>
    </row>
    <row r="17092" spans="1:8" ht="25.05" customHeight="1" x14ac:dyDescent="0.25">
      <c r="A17092" s="2" t="s">
        <v>8</v>
      </c>
      <c r="B17092" s="2" t="str">
        <f>HYPERLINK("http://ts.21cn.com/tousu/show/id/1348874","升学教育机构不退款")</f>
        <v>升学教育机构不退款</v>
      </c>
      <c r="C17092" s="2" t="s">
        <v>9</v>
      </c>
      <c r="D17092" s="2" t="s">
        <v>10</v>
      </c>
      <c r="E17092" s="2" t="str">
        <f>HYPERLINK("http://ts.21cn.com/tousu/show/id/1348874","http://ts.21cn.com/tousu/show/id/1348874")</f>
        <v>http://ts.21cn.com/tousu/show/id/1348874</v>
      </c>
      <c r="F17092" s="2" t="s">
        <v>11</v>
      </c>
      <c r="G17092" s="2" t="s">
        <v>10577</v>
      </c>
      <c r="H17092" s="2" t="s">
        <v>10578</v>
      </c>
    </row>
    <row r="17093" spans="1:8" ht="25.05" customHeight="1" x14ac:dyDescent="0.25">
      <c r="A17093" s="2" t="s">
        <v>8</v>
      </c>
      <c r="B17093" s="2" t="str">
        <f>HYPERLINK("http://ts.21cn.com/tousu/show/id/1348875","高利贷砍头息")</f>
        <v>高利贷砍头息</v>
      </c>
      <c r="C17093" s="2" t="s">
        <v>9</v>
      </c>
      <c r="D17093" s="2" t="s">
        <v>10</v>
      </c>
      <c r="E17093" s="2" t="str">
        <f>HYPERLINK("http://ts.21cn.com/tousu/show/id/1348875","http://ts.21cn.com/tousu/show/id/1348875")</f>
        <v>http://ts.21cn.com/tousu/show/id/1348875</v>
      </c>
      <c r="F17093" s="2" t="s">
        <v>11</v>
      </c>
      <c r="G17093" s="2" t="s">
        <v>10575</v>
      </c>
      <c r="H17093" s="2" t="s">
        <v>10576</v>
      </c>
    </row>
    <row r="17094" spans="1:8" ht="25.05" customHeight="1" x14ac:dyDescent="0.25">
      <c r="A17094" s="2" t="s">
        <v>8</v>
      </c>
      <c r="B17094" s="2" t="str">
        <f>HYPERLINK("http://ts.21cn.com/tousu/show/id/1348876","取消交易后一直退款失败")</f>
        <v>取消交易后一直退款失败</v>
      </c>
      <c r="C17094" s="2" t="s">
        <v>9</v>
      </c>
      <c r="D17094" s="2" t="s">
        <v>10</v>
      </c>
      <c r="E17094" s="2" t="str">
        <f>HYPERLINK("http://ts.21cn.com/tousu/show/id/1348876","http://ts.21cn.com/tousu/show/id/1348876")</f>
        <v>http://ts.21cn.com/tousu/show/id/1348876</v>
      </c>
      <c r="F17094" s="2" t="s">
        <v>11</v>
      </c>
      <c r="G17094" s="2" t="s">
        <v>10573</v>
      </c>
      <c r="H17094" s="2" t="s">
        <v>10574</v>
      </c>
    </row>
    <row r="17095" spans="1:8" ht="25.05" customHeight="1" x14ac:dyDescent="0.25">
      <c r="A17095" s="2" t="s">
        <v>8</v>
      </c>
      <c r="B17095" s="2" t="str">
        <f>HYPERLINK("http://ts.21cn.com/tousu/show/id/1348877","快乐口袋还款不销账")</f>
        <v>快乐口袋还款不销账</v>
      </c>
      <c r="C17095" s="2" t="s">
        <v>9</v>
      </c>
      <c r="D17095" s="2" t="s">
        <v>10</v>
      </c>
      <c r="E17095" s="2" t="str">
        <f>HYPERLINK("http://ts.21cn.com/tousu/show/id/1348877","http://ts.21cn.com/tousu/show/id/1348877")</f>
        <v>http://ts.21cn.com/tousu/show/id/1348877</v>
      </c>
      <c r="F17095" s="2" t="s">
        <v>11</v>
      </c>
      <c r="G17095" s="2" t="s">
        <v>10571</v>
      </c>
      <c r="H17095" s="2" t="s">
        <v>10572</v>
      </c>
    </row>
    <row r="17096" spans="1:8" ht="25.05" customHeight="1" x14ac:dyDescent="0.25">
      <c r="A17096" s="2" t="s">
        <v>8</v>
      </c>
      <c r="B17096" s="2" t="str">
        <f>HYPERLINK("http://ts.21cn.com/tousu/show/id/1348878","小花钱包恶意催收威胁恐吓拒不协商私自联系亲朋好友")</f>
        <v>小花钱包恶意催收威胁恐吓拒不协商私自联系亲朋好友</v>
      </c>
      <c r="C17096" s="2" t="s">
        <v>9</v>
      </c>
      <c r="D17096" s="2" t="s">
        <v>10</v>
      </c>
      <c r="E17096" s="2" t="str">
        <f>HYPERLINK("http://ts.21cn.com/tousu/show/id/1348878","http://ts.21cn.com/tousu/show/id/1348878")</f>
        <v>http://ts.21cn.com/tousu/show/id/1348878</v>
      </c>
      <c r="F17096" s="2" t="s">
        <v>11</v>
      </c>
      <c r="G17096" s="2" t="s">
        <v>10569</v>
      </c>
      <c r="H17096" s="2" t="s">
        <v>10570</v>
      </c>
    </row>
    <row r="17097" spans="1:8" ht="25.05" customHeight="1" x14ac:dyDescent="0.25">
      <c r="A17097" s="2" t="s">
        <v>8</v>
      </c>
      <c r="B17097" s="2" t="str">
        <f>HYPERLINK("http://ts.21cn.com/tousu/show/id/1348872","零元领vip后无故扣费")</f>
        <v>零元领vip后无故扣费</v>
      </c>
      <c r="C17097" s="2" t="s">
        <v>9</v>
      </c>
      <c r="D17097" s="2" t="s">
        <v>10</v>
      </c>
      <c r="E17097" s="2" t="str">
        <f>HYPERLINK("http://ts.21cn.com/tousu/show/id/1348872","http://ts.21cn.com/tousu/show/id/1348872")</f>
        <v>http://ts.21cn.com/tousu/show/id/1348872</v>
      </c>
      <c r="F17097" s="2" t="s">
        <v>11</v>
      </c>
      <c r="G17097" s="2" t="s">
        <v>10567</v>
      </c>
      <c r="H17097" s="2" t="s">
        <v>10568</v>
      </c>
    </row>
    <row r="17098" spans="1:8" ht="25.05" customHeight="1" x14ac:dyDescent="0.25">
      <c r="A17098" s="2" t="s">
        <v>8</v>
      </c>
      <c r="B17098" s="2" t="str">
        <f>HYPERLINK("http://ts.21cn.com/tousu/show/id/1348879","美团泄露客户隐私")</f>
        <v>美团泄露客户隐私</v>
      </c>
      <c r="C17098" s="2" t="s">
        <v>9</v>
      </c>
      <c r="D17098" s="2" t="s">
        <v>10</v>
      </c>
      <c r="E17098" s="2" t="str">
        <f>HYPERLINK("http://ts.21cn.com/tousu/show/id/1348879","http://ts.21cn.com/tousu/show/id/1348879")</f>
        <v>http://ts.21cn.com/tousu/show/id/1348879</v>
      </c>
      <c r="F17098" s="2" t="s">
        <v>11</v>
      </c>
      <c r="G17098" s="2" t="s">
        <v>10565</v>
      </c>
      <c r="H17098" s="2" t="s">
        <v>10566</v>
      </c>
    </row>
    <row r="17099" spans="1:8" ht="25.05" customHeight="1" x14ac:dyDescent="0.25">
      <c r="A17099" s="2" t="s">
        <v>8</v>
      </c>
      <c r="B17099" s="2" t="str">
        <f>HYPERLINK("http://ts.21cn.com/tousu/show/id/1348880","航行神州黑金会员卡虚假推销、诱导消费1380元")</f>
        <v>航行神州黑金会员卡虚假推销、诱导消费1380元</v>
      </c>
      <c r="C17099" s="2" t="s">
        <v>9</v>
      </c>
      <c r="D17099" s="2" t="s">
        <v>10</v>
      </c>
      <c r="E17099" s="2" t="str">
        <f>HYPERLINK("http://ts.21cn.com/tousu/show/id/1348880","http://ts.21cn.com/tousu/show/id/1348880")</f>
        <v>http://ts.21cn.com/tousu/show/id/1348880</v>
      </c>
      <c r="F17099" s="2" t="s">
        <v>11</v>
      </c>
      <c r="G17099" s="2" t="s">
        <v>10563</v>
      </c>
      <c r="H17099" s="2" t="s">
        <v>10564</v>
      </c>
    </row>
    <row r="17100" spans="1:8" ht="25.05" customHeight="1" x14ac:dyDescent="0.25">
      <c r="A17100" s="2" t="s">
        <v>8</v>
      </c>
      <c r="B17100" s="2" t="str">
        <f>HYPERLINK("http://ts.21cn.com/tousu/show/id/1348881","网贷恶意催收，打骚扰电话")</f>
        <v>网贷恶意催收，打骚扰电话</v>
      </c>
      <c r="C17100" s="2" t="s">
        <v>9</v>
      </c>
      <c r="D17100" s="2" t="s">
        <v>10</v>
      </c>
      <c r="E17100" s="2" t="str">
        <f>HYPERLINK("http://ts.21cn.com/tousu/show/id/1348881","http://ts.21cn.com/tousu/show/id/1348881")</f>
        <v>http://ts.21cn.com/tousu/show/id/1348881</v>
      </c>
      <c r="F17100" s="2" t="s">
        <v>11</v>
      </c>
      <c r="G17100" s="2" t="s">
        <v>10561</v>
      </c>
      <c r="H17100" s="2" t="s">
        <v>10562</v>
      </c>
    </row>
    <row r="17101" spans="1:8" ht="25.05" customHeight="1" x14ac:dyDescent="0.25">
      <c r="A17101" s="2" t="s">
        <v>8</v>
      </c>
      <c r="B17101" s="2" t="str">
        <f>HYPERLINK("http://ts.21cn.com/tousu/show/id/1348882","欺诈")</f>
        <v>欺诈</v>
      </c>
      <c r="C17101" s="2" t="s">
        <v>9</v>
      </c>
      <c r="D17101" s="2" t="s">
        <v>10</v>
      </c>
      <c r="E17101" s="2" t="str">
        <f>HYPERLINK("http://ts.21cn.com/tousu/show/id/1348882","http://ts.21cn.com/tousu/show/id/1348882")</f>
        <v>http://ts.21cn.com/tousu/show/id/1348882</v>
      </c>
      <c r="F17101" s="2" t="s">
        <v>11</v>
      </c>
      <c r="G17101" s="2" t="s">
        <v>10559</v>
      </c>
      <c r="H17101" s="2" t="s">
        <v>10560</v>
      </c>
    </row>
    <row r="17102" spans="1:8" ht="25.05" customHeight="1" x14ac:dyDescent="0.25">
      <c r="A17102" s="2" t="s">
        <v>8</v>
      </c>
      <c r="B17102" s="2" t="str">
        <f>HYPERLINK("http://ts.21cn.com/tousu/show/id/1348883","玖富万卡和潍坊银行阴阳合同，违规上征信放高利贷")</f>
        <v>玖富万卡和潍坊银行阴阳合同，违规上征信放高利贷</v>
      </c>
      <c r="C17102" s="2" t="s">
        <v>9</v>
      </c>
      <c r="D17102" s="2" t="s">
        <v>10</v>
      </c>
      <c r="E17102" s="2" t="str">
        <f>HYPERLINK("http://ts.21cn.com/tousu/show/id/1348883","http://ts.21cn.com/tousu/show/id/1348883")</f>
        <v>http://ts.21cn.com/tousu/show/id/1348883</v>
      </c>
      <c r="F17102" s="2" t="s">
        <v>11</v>
      </c>
      <c r="G17102" s="2" t="s">
        <v>10557</v>
      </c>
      <c r="H17102" s="2" t="s">
        <v>10558</v>
      </c>
    </row>
    <row r="17103" spans="1:8" ht="25.05" customHeight="1" x14ac:dyDescent="0.25">
      <c r="A17103" s="2" t="s">
        <v>8</v>
      </c>
      <c r="B17103" s="2" t="str">
        <f>HYPERLINK("http://ts.21cn.com/tousu/show/id/1348884","我在亚马逊日本站开店直接冻结然后扣除我4900日元，目前也没有关闭店铺额度通道")</f>
        <v>我在亚马逊日本站开店直接冻结然后扣除我4900日元，目前也没有关闭店铺额度通道</v>
      </c>
      <c r="C17103" s="2" t="s">
        <v>9</v>
      </c>
      <c r="D17103" s="2" t="s">
        <v>10</v>
      </c>
      <c r="E17103" s="2" t="str">
        <f>HYPERLINK("http://ts.21cn.com/tousu/show/id/1348884","http://ts.21cn.com/tousu/show/id/1348884")</f>
        <v>http://ts.21cn.com/tousu/show/id/1348884</v>
      </c>
      <c r="F17103" s="2" t="s">
        <v>11</v>
      </c>
      <c r="G17103" s="2" t="s">
        <v>10555</v>
      </c>
      <c r="H17103" s="2" t="s">
        <v>10556</v>
      </c>
    </row>
    <row r="17104" spans="1:8" ht="25.05" customHeight="1" x14ac:dyDescent="0.25">
      <c r="A17104" s="2" t="s">
        <v>8</v>
      </c>
      <c r="B17104" s="2" t="str">
        <f>HYPERLINK("http://ts.21cn.com/tousu/show/id/1348885","拼多多平台擅自介入订单导致无法退款")</f>
        <v>拼多多平台擅自介入订单导致无法退款</v>
      </c>
      <c r="C17104" s="2" t="s">
        <v>9</v>
      </c>
      <c r="D17104" s="2" t="s">
        <v>10</v>
      </c>
      <c r="E17104" s="2" t="str">
        <f>HYPERLINK("http://ts.21cn.com/tousu/show/id/1348885","http://ts.21cn.com/tousu/show/id/1348885")</f>
        <v>http://ts.21cn.com/tousu/show/id/1348885</v>
      </c>
      <c r="F17104" s="2" t="s">
        <v>11</v>
      </c>
      <c r="G17104" s="2" t="s">
        <v>10553</v>
      </c>
      <c r="H17104" s="2" t="s">
        <v>10554</v>
      </c>
    </row>
    <row r="17105" spans="1:8" ht="25.05" customHeight="1" x14ac:dyDescent="0.25">
      <c r="A17105" s="2" t="s">
        <v>8</v>
      </c>
      <c r="B17105" s="2" t="str">
        <f>HYPERLINK("http://ts.21cn.com/tousu/show/id/1340157","潜水艇这款APP找不到人无法建议找回退给我钱")</f>
        <v>潜水艇这款APP找不到人无法建议找回退给我钱</v>
      </c>
      <c r="C17105" s="2" t="s">
        <v>9</v>
      </c>
      <c r="D17105" s="2" t="s">
        <v>10</v>
      </c>
      <c r="E17105" s="2" t="str">
        <f>HYPERLINK("http://ts.21cn.com/tousu/show/id/1340157","http://ts.21cn.com/tousu/show/id/1340157")</f>
        <v>http://ts.21cn.com/tousu/show/id/1340157</v>
      </c>
      <c r="F17105" s="2" t="s">
        <v>11</v>
      </c>
      <c r="G17105" s="2" t="s">
        <v>10551</v>
      </c>
      <c r="H17105" s="2" t="s">
        <v>10552</v>
      </c>
    </row>
    <row r="17106" spans="1:8" ht="25.05" customHeight="1" x14ac:dyDescent="0.25">
      <c r="A17106" s="2" t="s">
        <v>8</v>
      </c>
      <c r="B17106" s="2" t="str">
        <f>HYPERLINK("http://ts.21cn.com/tousu/show/id/1348886","黑心豹子贷乱扣银行卡的钱")</f>
        <v>黑心豹子贷乱扣银行卡的钱</v>
      </c>
      <c r="C17106" s="2" t="s">
        <v>9</v>
      </c>
      <c r="D17106" s="2" t="s">
        <v>10</v>
      </c>
      <c r="E17106" s="2" t="str">
        <f>HYPERLINK("http://ts.21cn.com/tousu/show/id/1348886","http://ts.21cn.com/tousu/show/id/1348886")</f>
        <v>http://ts.21cn.com/tousu/show/id/1348886</v>
      </c>
      <c r="F17106" s="2" t="s">
        <v>11</v>
      </c>
      <c r="G17106" s="2" t="s">
        <v>10549</v>
      </c>
      <c r="H17106" s="2" t="s">
        <v>10550</v>
      </c>
    </row>
    <row r="17107" spans="1:8" ht="25.05" customHeight="1" x14ac:dyDescent="0.25">
      <c r="A17107" s="2" t="s">
        <v>8</v>
      </c>
      <c r="B17107" s="2" t="str">
        <f>HYPERLINK("http://ts.21cn.com/tousu/show/id/1348888","威力贷一系列714高炮")</f>
        <v>威力贷一系列714高炮</v>
      </c>
      <c r="C17107" s="2" t="s">
        <v>9</v>
      </c>
      <c r="D17107" s="2" t="s">
        <v>10</v>
      </c>
      <c r="E17107" s="2" t="str">
        <f>HYPERLINK("http://ts.21cn.com/tousu/show/id/1348888","http://ts.21cn.com/tousu/show/id/1348888")</f>
        <v>http://ts.21cn.com/tousu/show/id/1348888</v>
      </c>
      <c r="F17107" s="2" t="s">
        <v>11</v>
      </c>
      <c r="G17107" s="2" t="s">
        <v>10547</v>
      </c>
      <c r="H17107" s="2" t="s">
        <v>10548</v>
      </c>
    </row>
    <row r="17108" spans="1:8" ht="25.05" customHeight="1" x14ac:dyDescent="0.25">
      <c r="A17108" s="2" t="s">
        <v>8</v>
      </c>
      <c r="B17108" s="2" t="str">
        <f>HYPERLINK("http://ts.21cn.com/tousu/show/id/1348890","支付宝信用住")</f>
        <v>支付宝信用住</v>
      </c>
      <c r="C17108" s="2" t="s">
        <v>9</v>
      </c>
      <c r="D17108" s="2" t="s">
        <v>10</v>
      </c>
      <c r="E17108" s="2" t="str">
        <f>HYPERLINK("http://ts.21cn.com/tousu/show/id/1348890","http://ts.21cn.com/tousu/show/id/1348890")</f>
        <v>http://ts.21cn.com/tousu/show/id/1348890</v>
      </c>
      <c r="F17108" s="2" t="s">
        <v>11</v>
      </c>
      <c r="G17108" s="2" t="s">
        <v>10545</v>
      </c>
      <c r="H17108" s="2" t="s">
        <v>10546</v>
      </c>
    </row>
    <row r="17109" spans="1:8" ht="25.05" customHeight="1" x14ac:dyDescent="0.25">
      <c r="A17109" s="2" t="s">
        <v>8</v>
      </c>
      <c r="B17109" s="2" t="str">
        <f>HYPERLINK("http://ts.21cn.com/tousu/show/id/1348891","王者钱包高利贷砍头息")</f>
        <v>王者钱包高利贷砍头息</v>
      </c>
      <c r="C17109" s="2" t="s">
        <v>9</v>
      </c>
      <c r="D17109" s="2" t="s">
        <v>10</v>
      </c>
      <c r="E17109" s="2" t="str">
        <f>HYPERLINK("http://ts.21cn.com/tousu/show/id/1348891","http://ts.21cn.com/tousu/show/id/1348891")</f>
        <v>http://ts.21cn.com/tousu/show/id/1348891</v>
      </c>
      <c r="F17109" s="2" t="s">
        <v>11</v>
      </c>
      <c r="G17109" s="2" t="s">
        <v>10543</v>
      </c>
      <c r="H17109" s="2" t="s">
        <v>10544</v>
      </c>
    </row>
    <row r="17110" spans="1:8" ht="25.05" customHeight="1" x14ac:dyDescent="0.25">
      <c r="A17110" s="2" t="s">
        <v>8</v>
      </c>
      <c r="B17110" s="2" t="str">
        <f>HYPERLINK("http://ts.21cn.com/tousu/show/id/1348892","自由魔卡砍头息违法高利贷")</f>
        <v>自由魔卡砍头息违法高利贷</v>
      </c>
      <c r="C17110" s="2" t="s">
        <v>9</v>
      </c>
      <c r="D17110" s="2" t="s">
        <v>10</v>
      </c>
      <c r="E17110" s="2" t="str">
        <f>HYPERLINK("http://ts.21cn.com/tousu/show/id/1348892","http://ts.21cn.com/tousu/show/id/1348892")</f>
        <v>http://ts.21cn.com/tousu/show/id/1348892</v>
      </c>
      <c r="F17110" s="2" t="s">
        <v>11</v>
      </c>
      <c r="G17110" s="2" t="s">
        <v>10541</v>
      </c>
      <c r="H17110" s="2" t="s">
        <v>10542</v>
      </c>
    </row>
    <row r="17111" spans="1:8" ht="25.05" customHeight="1" x14ac:dyDescent="0.25">
      <c r="A17111" s="2" t="s">
        <v>8</v>
      </c>
      <c r="B17111" s="2" t="str">
        <f>HYPERLINK("http://ts.21cn.com/tousu/show/id/1348893","林肯汽车林肯厂家无视消费者！")</f>
        <v>林肯汽车林肯厂家无视消费者！</v>
      </c>
      <c r="C17111" s="2" t="s">
        <v>9</v>
      </c>
      <c r="D17111" s="2" t="s">
        <v>10</v>
      </c>
      <c r="E17111" s="2" t="str">
        <f>HYPERLINK("http://ts.21cn.com/tousu/show/id/1348893","http://ts.21cn.com/tousu/show/id/1348893")</f>
        <v>http://ts.21cn.com/tousu/show/id/1348893</v>
      </c>
      <c r="F17111" s="2" t="s">
        <v>11</v>
      </c>
      <c r="G17111" s="2" t="s">
        <v>10539</v>
      </c>
      <c r="H17111" s="2" t="s">
        <v>10540</v>
      </c>
    </row>
    <row r="17112" spans="1:8" ht="25.05" customHeight="1" x14ac:dyDescent="0.25">
      <c r="A17112" s="2" t="s">
        <v>8</v>
      </c>
      <c r="B17112" s="2" t="str">
        <f>HYPERLINK("http://ts.21cn.com/tousu/show/id/1348894","要求闪银退还不合理的砍头息")</f>
        <v>要求闪银退还不合理的砍头息</v>
      </c>
      <c r="C17112" s="2" t="s">
        <v>9</v>
      </c>
      <c r="D17112" s="2" t="s">
        <v>10</v>
      </c>
      <c r="E17112" s="2" t="str">
        <f>HYPERLINK("http://ts.21cn.com/tousu/show/id/1348894","http://ts.21cn.com/tousu/show/id/1348894")</f>
        <v>http://ts.21cn.com/tousu/show/id/1348894</v>
      </c>
      <c r="F17112" s="2" t="s">
        <v>11</v>
      </c>
      <c r="G17112" s="2" t="s">
        <v>10537</v>
      </c>
      <c r="H17112" s="2" t="s">
        <v>10538</v>
      </c>
    </row>
    <row r="17113" spans="1:8" ht="25.05" customHeight="1" x14ac:dyDescent="0.25">
      <c r="A17113" s="2" t="s">
        <v>8</v>
      </c>
      <c r="B17113" s="2" t="str">
        <f>HYPERLINK("http://ts.21cn.com/tousu/show/id/1348895","玖富小蓝卡高利贷，套路贷")</f>
        <v>玖富小蓝卡高利贷，套路贷</v>
      </c>
      <c r="C17113" s="2" t="s">
        <v>9</v>
      </c>
      <c r="D17113" s="2" t="s">
        <v>10</v>
      </c>
      <c r="E17113" s="2" t="str">
        <f>HYPERLINK("http://ts.21cn.com/tousu/show/id/1348895","http://ts.21cn.com/tousu/show/id/1348895")</f>
        <v>http://ts.21cn.com/tousu/show/id/1348895</v>
      </c>
      <c r="F17113" s="2" t="s">
        <v>11</v>
      </c>
      <c r="G17113" s="2" t="s">
        <v>10535</v>
      </c>
      <c r="H17113" s="2" t="s">
        <v>10536</v>
      </c>
    </row>
    <row r="17114" spans="1:8" ht="25.05" customHeight="1" x14ac:dyDescent="0.25">
      <c r="A17114" s="2" t="s">
        <v>8</v>
      </c>
      <c r="B17114" s="2" t="str">
        <f>HYPERLINK("http://ts.21cn.com/tousu/show/id/1348867","熊猫贷款App恶意恐吓乌龙事件")</f>
        <v>熊猫贷款App恶意恐吓乌龙事件</v>
      </c>
      <c r="C17114" s="2" t="s">
        <v>9</v>
      </c>
      <c r="D17114" s="2" t="s">
        <v>10</v>
      </c>
      <c r="E17114" s="2" t="str">
        <f>HYPERLINK("http://ts.21cn.com/tousu/show/id/1348867","http://ts.21cn.com/tousu/show/id/1348867")</f>
        <v>http://ts.21cn.com/tousu/show/id/1348867</v>
      </c>
      <c r="F17114" s="2" t="s">
        <v>11</v>
      </c>
      <c r="G17114" s="2" t="s">
        <v>10533</v>
      </c>
      <c r="H17114" s="2" t="s">
        <v>10534</v>
      </c>
    </row>
    <row r="17115" spans="1:8" ht="25.05" customHeight="1" x14ac:dyDescent="0.25">
      <c r="A17115" s="2" t="s">
        <v>8</v>
      </c>
      <c r="B17115" s="2" t="str">
        <f>HYPERLINK("http://ts.21cn.com/tousu/show/id/1348897","招联金融逾期后收取高额逾期利息！！！另外导致芝麻信用分严重降低！！")</f>
        <v>招联金融逾期后收取高额逾期利息！！！另外导致芝麻信用分严重降低！！</v>
      </c>
      <c r="C17115" s="2" t="s">
        <v>9</v>
      </c>
      <c r="D17115" s="2" t="s">
        <v>10</v>
      </c>
      <c r="E17115" s="2" t="str">
        <f>HYPERLINK("http://ts.21cn.com/tousu/show/id/1348897","http://ts.21cn.com/tousu/show/id/1348897")</f>
        <v>http://ts.21cn.com/tousu/show/id/1348897</v>
      </c>
      <c r="F17115" s="2" t="s">
        <v>11</v>
      </c>
      <c r="G17115" s="2" t="s">
        <v>10531</v>
      </c>
      <c r="H17115" s="2" t="s">
        <v>10532</v>
      </c>
    </row>
    <row r="17116" spans="1:8" ht="25.05" customHeight="1" x14ac:dyDescent="0.25">
      <c r="A17116" s="2" t="s">
        <v>8</v>
      </c>
      <c r="B17116" s="2" t="str">
        <f>HYPERLINK("http://ts.21cn.com/tousu/show/id/1348899","办理了龙行天下并充值1500，使用时与业务员说明区别太大，现要求退卡退费")</f>
        <v>办理了龙行天下并充值1500，使用时与业务员说明区别太大，现要求退卡退费</v>
      </c>
      <c r="C17116" s="2" t="s">
        <v>9</v>
      </c>
      <c r="D17116" s="2" t="s">
        <v>10</v>
      </c>
      <c r="E17116" s="2" t="str">
        <f>HYPERLINK("http://ts.21cn.com/tousu/show/id/1348899","http://ts.21cn.com/tousu/show/id/1348899")</f>
        <v>http://ts.21cn.com/tousu/show/id/1348899</v>
      </c>
      <c r="F17116" s="2" t="s">
        <v>11</v>
      </c>
      <c r="G17116" s="2" t="s">
        <v>10529</v>
      </c>
      <c r="H17116" s="2" t="s">
        <v>10530</v>
      </c>
    </row>
    <row r="17117" spans="1:8" ht="25.05" customHeight="1" x14ac:dyDescent="0.25">
      <c r="A17117" s="2" t="s">
        <v>8</v>
      </c>
      <c r="B17117" s="2" t="str">
        <f>HYPERLINK("http://ts.21cn.com/tousu/show/id/1348901","77信用不给注销账号删除个人信息")</f>
        <v>77信用不给注销账号删除个人信息</v>
      </c>
      <c r="C17117" s="2" t="s">
        <v>34</v>
      </c>
      <c r="D17117" s="2" t="s">
        <v>10</v>
      </c>
      <c r="E17117" s="2" t="str">
        <f>HYPERLINK("http://ts.21cn.com/tousu/show/id/1348901","http://ts.21cn.com/tousu/show/id/1348901")</f>
        <v>http://ts.21cn.com/tousu/show/id/1348901</v>
      </c>
      <c r="F17117" s="2" t="s">
        <v>11</v>
      </c>
      <c r="G17117" s="2" t="s">
        <v>10527</v>
      </c>
      <c r="H17117" s="2" t="s">
        <v>10528</v>
      </c>
    </row>
    <row r="17118" spans="1:8" ht="25.05" customHeight="1" x14ac:dyDescent="0.25">
      <c r="A17118" s="2" t="s">
        <v>8</v>
      </c>
      <c r="B17118" s="2" t="str">
        <f>HYPERLINK("http://ts.21cn.com/tousu/show/id/1348902","龙分期还款了，不肯消账")</f>
        <v>龙分期还款了，不肯消账</v>
      </c>
      <c r="C17118" s="2" t="s">
        <v>9</v>
      </c>
      <c r="D17118" s="2" t="s">
        <v>10</v>
      </c>
      <c r="E17118" s="2" t="str">
        <f>HYPERLINK("http://ts.21cn.com/tousu/show/id/1348902","http://ts.21cn.com/tousu/show/id/1348902")</f>
        <v>http://ts.21cn.com/tousu/show/id/1348902</v>
      </c>
      <c r="F17118" s="2" t="s">
        <v>11</v>
      </c>
      <c r="G17118" s="2" t="s">
        <v>10525</v>
      </c>
      <c r="H17118" s="2" t="s">
        <v>10526</v>
      </c>
    </row>
    <row r="17119" spans="1:8" ht="25.05" customHeight="1" x14ac:dyDescent="0.25">
      <c r="A17119" s="2" t="s">
        <v>8</v>
      </c>
      <c r="B17119" s="2" t="str">
        <f>HYPERLINK("http://ts.21cn.com/tousu/show/id/1348900","钱站阴阳合同")</f>
        <v>钱站阴阳合同</v>
      </c>
      <c r="C17119" s="2" t="s">
        <v>9</v>
      </c>
      <c r="D17119" s="2" t="s">
        <v>10</v>
      </c>
      <c r="E17119" s="2" t="str">
        <f>HYPERLINK("http://ts.21cn.com/tousu/show/id/1348900","http://ts.21cn.com/tousu/show/id/1348900")</f>
        <v>http://ts.21cn.com/tousu/show/id/1348900</v>
      </c>
      <c r="F17119" s="2" t="s">
        <v>11</v>
      </c>
      <c r="G17119" s="2" t="s">
        <v>10523</v>
      </c>
      <c r="H17119" s="2" t="s">
        <v>10524</v>
      </c>
    </row>
    <row r="17120" spans="1:8" ht="25.05" customHeight="1" x14ac:dyDescent="0.25">
      <c r="A17120" s="2" t="s">
        <v>8</v>
      </c>
      <c r="B17120" s="2" t="str">
        <f>HYPERLINK("http://ts.21cn.com/tousu/show/id/1348903","贷上钱以购物为由收取高额利息，有购物无商品")</f>
        <v>贷上钱以购物为由收取高额利息，有购物无商品</v>
      </c>
      <c r="C17120" s="2" t="s">
        <v>9</v>
      </c>
      <c r="D17120" s="2" t="s">
        <v>10</v>
      </c>
      <c r="E17120" s="2" t="str">
        <f>HYPERLINK("http://ts.21cn.com/tousu/show/id/1348903","http://ts.21cn.com/tousu/show/id/1348903")</f>
        <v>http://ts.21cn.com/tousu/show/id/1348903</v>
      </c>
      <c r="F17120" s="2" t="s">
        <v>11</v>
      </c>
      <c r="G17120" s="2" t="s">
        <v>10521</v>
      </c>
      <c r="H17120" s="2" t="s">
        <v>10522</v>
      </c>
    </row>
    <row r="17121" spans="1:8" ht="25.05" customHeight="1" x14ac:dyDescent="0.25">
      <c r="A17121" s="2" t="s">
        <v>8</v>
      </c>
      <c r="B17121" s="2" t="str">
        <f>HYPERLINK("http://ts.21cn.com/tousu/show/id/1348904","开店宝冒充浦发业务员推销pops机")</f>
        <v>开店宝冒充浦发业务员推销pops机</v>
      </c>
      <c r="C17121" s="2" t="s">
        <v>9</v>
      </c>
      <c r="D17121" s="2" t="s">
        <v>10</v>
      </c>
      <c r="E17121" s="2" t="str">
        <f>HYPERLINK("http://ts.21cn.com/tousu/show/id/1348904","http://ts.21cn.com/tousu/show/id/1348904")</f>
        <v>http://ts.21cn.com/tousu/show/id/1348904</v>
      </c>
      <c r="F17121" s="2" t="s">
        <v>11</v>
      </c>
      <c r="G17121" s="2" t="s">
        <v>10519</v>
      </c>
      <c r="H17121" s="2" t="s">
        <v>10520</v>
      </c>
    </row>
    <row r="17122" spans="1:8" ht="25.05" customHeight="1" x14ac:dyDescent="0.25">
      <c r="A17122" s="2" t="s">
        <v>8</v>
      </c>
      <c r="B17122" s="2" t="str">
        <f>HYPERLINK("http://ts.21cn.com/tousu/show/id/1348908","你我贷")</f>
        <v>你我贷</v>
      </c>
      <c r="C17122" s="2" t="s">
        <v>9</v>
      </c>
      <c r="D17122" s="2" t="s">
        <v>10</v>
      </c>
      <c r="E17122" s="2" t="str">
        <f>HYPERLINK("http://ts.21cn.com/tousu/show/id/1348908","http://ts.21cn.com/tousu/show/id/1348908")</f>
        <v>http://ts.21cn.com/tousu/show/id/1348908</v>
      </c>
      <c r="F17122" s="2" t="s">
        <v>11</v>
      </c>
      <c r="G17122" s="2" t="s">
        <v>10517</v>
      </c>
      <c r="H17122" s="2" t="s">
        <v>10518</v>
      </c>
    </row>
    <row r="17123" spans="1:8" ht="25.05" customHeight="1" x14ac:dyDescent="0.25">
      <c r="A17123" s="2" t="s">
        <v>8</v>
      </c>
      <c r="B17123" s="2" t="str">
        <f>HYPERLINK("http://ts.21cn.com/tousu/show/id/1348909","高昂利息偿还不起")</f>
        <v>高昂利息偿还不起</v>
      </c>
      <c r="C17123" s="2" t="s">
        <v>9</v>
      </c>
      <c r="D17123" s="2" t="s">
        <v>10</v>
      </c>
      <c r="E17123" s="2" t="str">
        <f>HYPERLINK("http://ts.21cn.com/tousu/show/id/1348909","http://ts.21cn.com/tousu/show/id/1348909")</f>
        <v>http://ts.21cn.com/tousu/show/id/1348909</v>
      </c>
      <c r="F17123" s="2" t="s">
        <v>11</v>
      </c>
      <c r="G17123" s="2" t="s">
        <v>10515</v>
      </c>
      <c r="H17123" s="2" t="s">
        <v>10516</v>
      </c>
    </row>
    <row r="17124" spans="1:8" ht="25.05" customHeight="1" x14ac:dyDescent="0.25">
      <c r="A17124" s="2" t="s">
        <v>8</v>
      </c>
      <c r="B17124" s="2" t="str">
        <f>HYPERLINK("http://ts.21cn.com/tousu/show/id/1348911","虚假软件")</f>
        <v>虚假软件</v>
      </c>
      <c r="C17124" s="2" t="s">
        <v>9</v>
      </c>
      <c r="D17124" s="2" t="s">
        <v>10</v>
      </c>
      <c r="E17124" s="2" t="str">
        <f>HYPERLINK("http://ts.21cn.com/tousu/show/id/1348911","http://ts.21cn.com/tousu/show/id/1348911")</f>
        <v>http://ts.21cn.com/tousu/show/id/1348911</v>
      </c>
      <c r="F17124" s="2" t="s">
        <v>11</v>
      </c>
      <c r="G17124" s="2" t="s">
        <v>10513</v>
      </c>
      <c r="H17124" s="2" t="s">
        <v>10514</v>
      </c>
    </row>
    <row r="17125" spans="1:8" ht="25.05" customHeight="1" x14ac:dyDescent="0.25">
      <c r="A17125" s="2" t="s">
        <v>8</v>
      </c>
      <c r="B17125" s="2" t="str">
        <f>HYPERLINK("http://ts.21cn.com/tousu/show/id/1348912","提前还款，减免利息")</f>
        <v>提前还款，减免利息</v>
      </c>
      <c r="C17125" s="2" t="s">
        <v>34</v>
      </c>
      <c r="D17125" s="2" t="s">
        <v>10</v>
      </c>
      <c r="E17125" s="2" t="str">
        <f>HYPERLINK("http://ts.21cn.com/tousu/show/id/1348912","http://ts.21cn.com/tousu/show/id/1348912")</f>
        <v>http://ts.21cn.com/tousu/show/id/1348912</v>
      </c>
      <c r="F17125" s="2" t="s">
        <v>11</v>
      </c>
      <c r="G17125" s="2" t="s">
        <v>10511</v>
      </c>
      <c r="H17125" s="2" t="s">
        <v>10512</v>
      </c>
    </row>
    <row r="17126" spans="1:8" ht="25.05" customHeight="1" x14ac:dyDescent="0.25">
      <c r="A17126" s="2" t="s">
        <v>8</v>
      </c>
      <c r="B17126" s="2" t="str">
        <f>HYPERLINK("http://ts.21cn.com/tousu/show/id/1348913","汇潮支付提供高利贷放款")</f>
        <v>汇潮支付提供高利贷放款</v>
      </c>
      <c r="C17126" s="2" t="s">
        <v>9</v>
      </c>
      <c r="D17126" s="2" t="s">
        <v>10</v>
      </c>
      <c r="E17126" s="2" t="str">
        <f>HYPERLINK("http://ts.21cn.com/tousu/show/id/1348913","http://ts.21cn.com/tousu/show/id/1348913")</f>
        <v>http://ts.21cn.com/tousu/show/id/1348913</v>
      </c>
      <c r="F17126" s="2" t="s">
        <v>11</v>
      </c>
      <c r="G17126" s="2" t="s">
        <v>10509</v>
      </c>
      <c r="H17126" s="2" t="s">
        <v>10510</v>
      </c>
    </row>
    <row r="17127" spans="1:8" ht="25.05" customHeight="1" x14ac:dyDescent="0.25">
      <c r="A17127" s="2" t="s">
        <v>8</v>
      </c>
      <c r="B17127" s="2" t="str">
        <f>HYPERLINK("http://ts.21cn.com/tousu/show/id/1348914","来分期")</f>
        <v>来分期</v>
      </c>
      <c r="C17127" s="2" t="s">
        <v>9</v>
      </c>
      <c r="D17127" s="2" t="s">
        <v>10</v>
      </c>
      <c r="E17127" s="2" t="str">
        <f>HYPERLINK("http://ts.21cn.com/tousu/show/id/1348914","http://ts.21cn.com/tousu/show/id/1348914")</f>
        <v>http://ts.21cn.com/tousu/show/id/1348914</v>
      </c>
      <c r="F17127" s="2" t="s">
        <v>11</v>
      </c>
      <c r="G17127" s="2" t="s">
        <v>10507</v>
      </c>
      <c r="H17127" s="2" t="s">
        <v>10508</v>
      </c>
    </row>
    <row r="17128" spans="1:8" ht="25.05" customHeight="1" x14ac:dyDescent="0.25">
      <c r="A17128" s="2" t="s">
        <v>8</v>
      </c>
      <c r="B17128" s="2" t="str">
        <f>HYPERLINK("http://ts.21cn.com/tousu/show/id/1347928","安逸花打家人电话恐吓")</f>
        <v>安逸花打家人电话恐吓</v>
      </c>
      <c r="C17128" s="2" t="s">
        <v>9</v>
      </c>
      <c r="D17128" s="2" t="s">
        <v>10</v>
      </c>
      <c r="E17128" s="2" t="str">
        <f>HYPERLINK("http://ts.21cn.com/tousu/show/id/1347928","http://ts.21cn.com/tousu/show/id/1347928")</f>
        <v>http://ts.21cn.com/tousu/show/id/1347928</v>
      </c>
      <c r="F17128" s="2" t="s">
        <v>11</v>
      </c>
      <c r="G17128" s="2" t="s">
        <v>10505</v>
      </c>
      <c r="H17128" s="2" t="s">
        <v>10506</v>
      </c>
    </row>
    <row r="17129" spans="1:8" ht="25.05" customHeight="1" x14ac:dyDescent="0.25">
      <c r="A17129" s="2" t="s">
        <v>8</v>
      </c>
      <c r="B17129" s="2" t="str">
        <f>HYPERLINK("http://ts.21cn.com/tousu/show/id/1348916","喵下贷违法高利贷")</f>
        <v>喵下贷违法高利贷</v>
      </c>
      <c r="C17129" s="2" t="s">
        <v>9</v>
      </c>
      <c r="D17129" s="2" t="s">
        <v>10</v>
      </c>
      <c r="E17129" s="2" t="str">
        <f>HYPERLINK("http://ts.21cn.com/tousu/show/id/1348916","http://ts.21cn.com/tousu/show/id/1348916")</f>
        <v>http://ts.21cn.com/tousu/show/id/1348916</v>
      </c>
      <c r="F17129" s="2" t="s">
        <v>11</v>
      </c>
      <c r="G17129" s="2" t="s">
        <v>10503</v>
      </c>
      <c r="H17129" s="2" t="s">
        <v>10504</v>
      </c>
    </row>
    <row r="17130" spans="1:8" ht="25.05" customHeight="1" x14ac:dyDescent="0.25">
      <c r="A17130" s="2" t="s">
        <v>8</v>
      </c>
      <c r="B17130" s="2" t="str">
        <f>HYPERLINK("http://ts.21cn.com/tousu/show/id/1348917","熊分期快捷通支付扣款299")</f>
        <v>熊分期快捷通支付扣款299</v>
      </c>
      <c r="C17130" s="2" t="s">
        <v>9</v>
      </c>
      <c r="D17130" s="2" t="s">
        <v>10</v>
      </c>
      <c r="E17130" s="2" t="str">
        <f>HYPERLINK("http://ts.21cn.com/tousu/show/id/1348917","http://ts.21cn.com/tousu/show/id/1348917")</f>
        <v>http://ts.21cn.com/tousu/show/id/1348917</v>
      </c>
      <c r="F17130" s="2" t="s">
        <v>11</v>
      </c>
      <c r="G17130" s="2" t="s">
        <v>10501</v>
      </c>
      <c r="H17130" s="2" t="s">
        <v>10502</v>
      </c>
    </row>
    <row r="17131" spans="1:8" ht="25.05" customHeight="1" x14ac:dyDescent="0.25">
      <c r="A17131" s="2" t="s">
        <v>8</v>
      </c>
      <c r="B17131" s="2" t="str">
        <f>HYPERLINK("http://ts.21cn.com/tousu/show/id/1348918","趣惠买8天高利贷")</f>
        <v>趣惠买8天高利贷</v>
      </c>
      <c r="C17131" s="2" t="s">
        <v>9</v>
      </c>
      <c r="D17131" s="2" t="s">
        <v>10</v>
      </c>
      <c r="E17131" s="2" t="str">
        <f>HYPERLINK("http://ts.21cn.com/tousu/show/id/1348918","http://ts.21cn.com/tousu/show/id/1348918")</f>
        <v>http://ts.21cn.com/tousu/show/id/1348918</v>
      </c>
      <c r="F17131" s="2" t="s">
        <v>11</v>
      </c>
      <c r="G17131" s="2" t="s">
        <v>10499</v>
      </c>
      <c r="H17131" s="2" t="s">
        <v>10500</v>
      </c>
    </row>
    <row r="17132" spans="1:8" ht="25.05" customHeight="1" x14ac:dyDescent="0.25">
      <c r="A17132" s="2" t="s">
        <v>8</v>
      </c>
      <c r="B17132" s="2" t="str">
        <f>HYPERLINK("http://ts.21cn.com/tousu/show/id/1348919","马上金融骚扰联系人")</f>
        <v>马上金融骚扰联系人</v>
      </c>
      <c r="C17132" s="2" t="s">
        <v>9</v>
      </c>
      <c r="D17132" s="2" t="s">
        <v>10</v>
      </c>
      <c r="E17132" s="2" t="str">
        <f>HYPERLINK("http://ts.21cn.com/tousu/show/id/1348919","http://ts.21cn.com/tousu/show/id/1348919")</f>
        <v>http://ts.21cn.com/tousu/show/id/1348919</v>
      </c>
      <c r="F17132" s="2" t="s">
        <v>11</v>
      </c>
      <c r="G17132" s="2" t="s">
        <v>10497</v>
      </c>
      <c r="H17132" s="2" t="s">
        <v>10498</v>
      </c>
    </row>
    <row r="17133" spans="1:8" ht="25.05" customHeight="1" x14ac:dyDescent="0.25">
      <c r="A17133" s="2" t="s">
        <v>8</v>
      </c>
      <c r="B17133" s="2" t="str">
        <f>HYPERLINK("http://ts.21cn.com/tousu/show/id/1348920","投诉")</f>
        <v>投诉</v>
      </c>
      <c r="C17133" s="2" t="s">
        <v>9</v>
      </c>
      <c r="D17133" s="2" t="s">
        <v>10</v>
      </c>
      <c r="E17133" s="2" t="str">
        <f>HYPERLINK("http://ts.21cn.com/tousu/show/id/1348920","http://ts.21cn.com/tousu/show/id/1348920")</f>
        <v>http://ts.21cn.com/tousu/show/id/1348920</v>
      </c>
      <c r="F17133" s="2" t="s">
        <v>11</v>
      </c>
      <c r="G17133" s="2" t="s">
        <v>10495</v>
      </c>
      <c r="H17133" s="2" t="s">
        <v>10496</v>
      </c>
    </row>
    <row r="17134" spans="1:8" ht="25.05" customHeight="1" x14ac:dyDescent="0.25">
      <c r="A17134" s="2" t="s">
        <v>8</v>
      </c>
      <c r="B17134" s="2" t="str">
        <f>HYPERLINK("http://ts.21cn.com/tousu/show/id/1348921","逾期还款")</f>
        <v>逾期还款</v>
      </c>
      <c r="C17134" s="2" t="s">
        <v>34</v>
      </c>
      <c r="D17134" s="2" t="s">
        <v>10</v>
      </c>
      <c r="E17134" s="2" t="str">
        <f>HYPERLINK("http://ts.21cn.com/tousu/show/id/1348921","http://ts.21cn.com/tousu/show/id/1348921")</f>
        <v>http://ts.21cn.com/tousu/show/id/1348921</v>
      </c>
      <c r="F17134" s="2" t="s">
        <v>11</v>
      </c>
      <c r="G17134" s="2" t="s">
        <v>10493</v>
      </c>
      <c r="H17134" s="2" t="s">
        <v>10494</v>
      </c>
    </row>
    <row r="17135" spans="1:8" ht="25.05" customHeight="1" x14ac:dyDescent="0.25">
      <c r="A17135" s="2" t="s">
        <v>8</v>
      </c>
      <c r="B17135" s="2" t="str">
        <f>HYPERLINK("http://ts.21cn.com/tousu/show/id/1348922","停止骚扰，退还平台费和非法罚息")</f>
        <v>停止骚扰，退还平台费和非法罚息</v>
      </c>
      <c r="C17135" s="2" t="s">
        <v>9</v>
      </c>
      <c r="D17135" s="2" t="s">
        <v>10</v>
      </c>
      <c r="E17135" s="2" t="str">
        <f>HYPERLINK("http://ts.21cn.com/tousu/show/id/1348922","http://ts.21cn.com/tousu/show/id/1348922")</f>
        <v>http://ts.21cn.com/tousu/show/id/1348922</v>
      </c>
      <c r="F17135" s="2" t="s">
        <v>11</v>
      </c>
      <c r="G17135" s="2" t="s">
        <v>10491</v>
      </c>
      <c r="H17135" s="2" t="s">
        <v>10492</v>
      </c>
    </row>
    <row r="17136" spans="1:8" ht="25.05" customHeight="1" x14ac:dyDescent="0.25">
      <c r="A17136" s="2" t="s">
        <v>8</v>
      </c>
      <c r="B17136" s="2" t="str">
        <f>HYPERLINK("http://ts.21cn.com/tousu/show/id/1348924","我来贷非法高利贷")</f>
        <v>我来贷非法高利贷</v>
      </c>
      <c r="C17136" s="2" t="s">
        <v>9</v>
      </c>
      <c r="D17136" s="2" t="s">
        <v>10</v>
      </c>
      <c r="E17136" s="2" t="str">
        <f>HYPERLINK("http://ts.21cn.com/tousu/show/id/1348924","http://ts.21cn.com/tousu/show/id/1348924")</f>
        <v>http://ts.21cn.com/tousu/show/id/1348924</v>
      </c>
      <c r="F17136" s="2" t="s">
        <v>11</v>
      </c>
      <c r="G17136" s="2" t="s">
        <v>10489</v>
      </c>
      <c r="H17136" s="2" t="s">
        <v>10490</v>
      </c>
    </row>
    <row r="17137" spans="1:8" ht="25.05" customHeight="1" x14ac:dyDescent="0.25">
      <c r="A17137" s="2" t="s">
        <v>8</v>
      </c>
      <c r="B17137" s="2" t="str">
        <f>HYPERLINK("http://ts.21cn.com/tousu/show/id/1348926","最后一期，协商还款")</f>
        <v>最后一期，协商还款</v>
      </c>
      <c r="C17137" s="2" t="s">
        <v>9</v>
      </c>
      <c r="D17137" s="2" t="s">
        <v>10</v>
      </c>
      <c r="E17137" s="2" t="str">
        <f>HYPERLINK("http://ts.21cn.com/tousu/show/id/1348926","http://ts.21cn.com/tousu/show/id/1348926")</f>
        <v>http://ts.21cn.com/tousu/show/id/1348926</v>
      </c>
      <c r="F17137" s="2" t="s">
        <v>11</v>
      </c>
      <c r="G17137" s="2" t="s">
        <v>10487</v>
      </c>
      <c r="H17137" s="2" t="s">
        <v>10488</v>
      </c>
    </row>
    <row r="17138" spans="1:8" ht="25.05" customHeight="1" x14ac:dyDescent="0.25">
      <c r="A17138" s="2" t="s">
        <v>8</v>
      </c>
      <c r="B17138" s="2" t="str">
        <f>HYPERLINK("http://ts.21cn.com/tousu/show/id/1348927","退款失败无人回应")</f>
        <v>退款失败无人回应</v>
      </c>
      <c r="C17138" s="2" t="s">
        <v>9</v>
      </c>
      <c r="D17138" s="2" t="s">
        <v>10</v>
      </c>
      <c r="E17138" s="2" t="str">
        <f>HYPERLINK("http://ts.21cn.com/tousu/show/id/1348927","http://ts.21cn.com/tousu/show/id/1348927")</f>
        <v>http://ts.21cn.com/tousu/show/id/1348927</v>
      </c>
      <c r="F17138" s="2" t="s">
        <v>11</v>
      </c>
      <c r="G17138" s="2" t="s">
        <v>10485</v>
      </c>
      <c r="H17138" s="2" t="s">
        <v>10486</v>
      </c>
    </row>
    <row r="17139" spans="1:8" ht="25.05" customHeight="1" x14ac:dyDescent="0.25">
      <c r="A17139" s="2" t="s">
        <v>8</v>
      </c>
      <c r="B17139" s="2" t="str">
        <f>HYPERLINK("http://ts.21cn.com/tousu/show/id/1348928","高出国家规定利息，属于违法行为")</f>
        <v>高出国家规定利息，属于违法行为</v>
      </c>
      <c r="C17139" s="2" t="s">
        <v>9</v>
      </c>
      <c r="D17139" s="2" t="s">
        <v>10</v>
      </c>
      <c r="E17139" s="2" t="str">
        <f>HYPERLINK("http://ts.21cn.com/tousu/show/id/1348928","http://ts.21cn.com/tousu/show/id/1348928")</f>
        <v>http://ts.21cn.com/tousu/show/id/1348928</v>
      </c>
      <c r="F17139" s="2" t="s">
        <v>11</v>
      </c>
      <c r="G17139" s="2" t="s">
        <v>10483</v>
      </c>
      <c r="H17139" s="2" t="s">
        <v>10484</v>
      </c>
    </row>
    <row r="17140" spans="1:8" ht="25.05" customHeight="1" x14ac:dyDescent="0.25">
      <c r="A17140" s="2" t="s">
        <v>8</v>
      </c>
      <c r="B17140" s="2" t="str">
        <f>HYPERLINK("http://ts.21cn.com/tousu/show/id/1348929","钱站还款多还了一次")</f>
        <v>钱站还款多还了一次</v>
      </c>
      <c r="C17140" s="2" t="s">
        <v>9</v>
      </c>
      <c r="D17140" s="2" t="s">
        <v>10</v>
      </c>
      <c r="E17140" s="2" t="str">
        <f>HYPERLINK("http://ts.21cn.com/tousu/show/id/1348929","http://ts.21cn.com/tousu/show/id/1348929")</f>
        <v>http://ts.21cn.com/tousu/show/id/1348929</v>
      </c>
      <c r="F17140" s="2" t="s">
        <v>11</v>
      </c>
      <c r="G17140" s="2" t="s">
        <v>10481</v>
      </c>
      <c r="H17140" s="2" t="s">
        <v>10482</v>
      </c>
    </row>
    <row r="17141" spans="1:8" ht="25.05" customHeight="1" x14ac:dyDescent="0.25">
      <c r="A17141" s="2" t="s">
        <v>8</v>
      </c>
      <c r="B17141" s="2" t="str">
        <f>HYPERLINK("http://ts.21cn.com/tousu/show/id/1348930","未经本人许可打电话到本人单位催收向本人单位透露本人债务")</f>
        <v>未经本人许可打电话到本人单位催收向本人单位透露本人债务</v>
      </c>
      <c r="C17141" s="2" t="s">
        <v>9</v>
      </c>
      <c r="D17141" s="2" t="s">
        <v>10</v>
      </c>
      <c r="E17141" s="2" t="str">
        <f>HYPERLINK("http://ts.21cn.com/tousu/show/id/1348930","http://ts.21cn.com/tousu/show/id/1348930")</f>
        <v>http://ts.21cn.com/tousu/show/id/1348930</v>
      </c>
      <c r="F17141" s="2" t="s">
        <v>11</v>
      </c>
      <c r="G17141" s="2" t="s">
        <v>10479</v>
      </c>
      <c r="H17141" s="2" t="s">
        <v>10480</v>
      </c>
    </row>
    <row r="17142" spans="1:8" ht="25.05" customHeight="1" x14ac:dyDescent="0.25">
      <c r="A17142" s="2" t="s">
        <v>8</v>
      </c>
      <c r="B17142" s="2" t="str">
        <f>HYPERLINK("http://ts.21cn.com/tousu/show/id/1348931","及贷放款时直接扣除所谓的保费，存在欺诈消费行为")</f>
        <v>及贷放款时直接扣除所谓的保费，存在欺诈消费行为</v>
      </c>
      <c r="C17142" s="2" t="s">
        <v>9</v>
      </c>
      <c r="D17142" s="2" t="s">
        <v>10</v>
      </c>
      <c r="E17142" s="2" t="str">
        <f>HYPERLINK("http://ts.21cn.com/tousu/show/id/1348931","http://ts.21cn.com/tousu/show/id/1348931")</f>
        <v>http://ts.21cn.com/tousu/show/id/1348931</v>
      </c>
      <c r="F17142" s="2" t="s">
        <v>11</v>
      </c>
      <c r="G17142" s="2" t="s">
        <v>10477</v>
      </c>
      <c r="H17142" s="2" t="s">
        <v>10478</v>
      </c>
    </row>
    <row r="17143" spans="1:8" ht="25.05" customHeight="1" x14ac:dyDescent="0.25">
      <c r="A17143" s="2" t="s">
        <v>8</v>
      </c>
      <c r="B17143" s="2" t="str">
        <f>HYPERLINK("http://ts.21cn.com/tousu/show/id/1348932","松紧贷，高利贷，暴力催收")</f>
        <v>松紧贷，高利贷，暴力催收</v>
      </c>
      <c r="C17143" s="2" t="s">
        <v>9</v>
      </c>
      <c r="D17143" s="2" t="s">
        <v>10</v>
      </c>
      <c r="E17143" s="2" t="str">
        <f>HYPERLINK("http://ts.21cn.com/tousu/show/id/1348932","http://ts.21cn.com/tousu/show/id/1348932")</f>
        <v>http://ts.21cn.com/tousu/show/id/1348932</v>
      </c>
      <c r="F17143" s="2" t="s">
        <v>11</v>
      </c>
      <c r="G17143" s="2" t="s">
        <v>10475</v>
      </c>
      <c r="H17143" s="2" t="s">
        <v>10476</v>
      </c>
    </row>
    <row r="17144" spans="1:8" ht="25.05" customHeight="1" x14ac:dyDescent="0.25">
      <c r="A17144" s="2" t="s">
        <v>8</v>
      </c>
      <c r="B17144" s="2" t="str">
        <f>HYPERLINK("http://ts.21cn.com/tousu/show/id/1348933","交易猫忽悠人退款不受理")</f>
        <v>交易猫忽悠人退款不受理</v>
      </c>
      <c r="C17144" s="2" t="s">
        <v>9</v>
      </c>
      <c r="D17144" s="2" t="s">
        <v>10</v>
      </c>
      <c r="E17144" s="2" t="str">
        <f>HYPERLINK("http://ts.21cn.com/tousu/show/id/1348933","http://ts.21cn.com/tousu/show/id/1348933")</f>
        <v>http://ts.21cn.com/tousu/show/id/1348933</v>
      </c>
      <c r="F17144" s="2" t="s">
        <v>11</v>
      </c>
      <c r="G17144" s="2" t="s">
        <v>10473</v>
      </c>
      <c r="H17144" s="2" t="s">
        <v>10474</v>
      </c>
    </row>
    <row r="17145" spans="1:8" ht="25.05" customHeight="1" x14ac:dyDescent="0.25">
      <c r="A17145" s="2" t="s">
        <v>8</v>
      </c>
      <c r="B17145" s="2" t="str">
        <f>HYPERLINK("http://ts.21cn.com/tousu/show/id/1348934","我来贷变相收取高额催收费")</f>
        <v>我来贷变相收取高额催收费</v>
      </c>
      <c r="C17145" s="2" t="s">
        <v>9</v>
      </c>
      <c r="D17145" s="2" t="s">
        <v>10</v>
      </c>
      <c r="E17145" s="2" t="str">
        <f>HYPERLINK("http://ts.21cn.com/tousu/show/id/1348934","http://ts.21cn.com/tousu/show/id/1348934")</f>
        <v>http://ts.21cn.com/tousu/show/id/1348934</v>
      </c>
      <c r="F17145" s="2" t="s">
        <v>11</v>
      </c>
      <c r="G17145" s="2" t="s">
        <v>10471</v>
      </c>
      <c r="H17145" s="2" t="s">
        <v>10472</v>
      </c>
    </row>
    <row r="17146" spans="1:8" ht="25.05" customHeight="1" x14ac:dyDescent="0.25">
      <c r="A17146" s="2" t="s">
        <v>8</v>
      </c>
      <c r="B17146" s="2" t="str">
        <f>HYPERLINK("http://ts.21cn.com/tousu/show/id/1348935","自如公寓，转租提高价格，坑")</f>
        <v>自如公寓，转租提高价格，坑</v>
      </c>
      <c r="C17146" s="2" t="s">
        <v>9</v>
      </c>
      <c r="D17146" s="2" t="s">
        <v>10</v>
      </c>
      <c r="E17146" s="2" t="str">
        <f>HYPERLINK("http://ts.21cn.com/tousu/show/id/1348935","http://ts.21cn.com/tousu/show/id/1348935")</f>
        <v>http://ts.21cn.com/tousu/show/id/1348935</v>
      </c>
      <c r="F17146" s="2" t="s">
        <v>11</v>
      </c>
      <c r="G17146" s="2" t="s">
        <v>10469</v>
      </c>
      <c r="H17146" s="2" t="s">
        <v>10470</v>
      </c>
    </row>
    <row r="17147" spans="1:8" ht="25.05" customHeight="1" x14ac:dyDescent="0.25">
      <c r="A17147" s="2" t="s">
        <v>8</v>
      </c>
      <c r="B17147" s="2" t="str">
        <f>HYPERLINK("http://ts.21cn.com/tousu/show/id/1348936","要求现金巴士以国家法定利益计算还款")</f>
        <v>要求现金巴士以国家法定利益计算还款</v>
      </c>
      <c r="C17147" s="2" t="s">
        <v>9</v>
      </c>
      <c r="D17147" s="2" t="s">
        <v>10</v>
      </c>
      <c r="E17147" s="2" t="str">
        <f>HYPERLINK("http://ts.21cn.com/tousu/show/id/1348936","http://ts.21cn.com/tousu/show/id/1348936")</f>
        <v>http://ts.21cn.com/tousu/show/id/1348936</v>
      </c>
      <c r="F17147" s="2" t="s">
        <v>11</v>
      </c>
      <c r="G17147" s="2" t="s">
        <v>10467</v>
      </c>
      <c r="H17147" s="2" t="s">
        <v>10468</v>
      </c>
    </row>
    <row r="17148" spans="1:8" ht="25.05" customHeight="1" x14ac:dyDescent="0.25">
      <c r="A17148" s="2" t="s">
        <v>8</v>
      </c>
      <c r="B17148" s="2" t="str">
        <f>HYPERLINK("http://ts.21cn.com/tousu/show/id/1348937","交易猫退款失败")</f>
        <v>交易猫退款失败</v>
      </c>
      <c r="C17148" s="2" t="s">
        <v>9</v>
      </c>
      <c r="D17148" s="2" t="s">
        <v>10</v>
      </c>
      <c r="E17148" s="2" t="str">
        <f>HYPERLINK("http://ts.21cn.com/tousu/show/id/1348937","http://ts.21cn.com/tousu/show/id/1348937")</f>
        <v>http://ts.21cn.com/tousu/show/id/1348937</v>
      </c>
      <c r="F17148" s="2" t="s">
        <v>11</v>
      </c>
      <c r="G17148" s="2" t="s">
        <v>10465</v>
      </c>
      <c r="H17148" s="2" t="s">
        <v>10466</v>
      </c>
    </row>
    <row r="17149" spans="1:8" ht="25.05" customHeight="1" x14ac:dyDescent="0.25">
      <c r="A17149" s="2" t="s">
        <v>8</v>
      </c>
      <c r="B17149" s="2" t="str">
        <f>HYPERLINK("http://ts.21cn.com/tousu/show/id/1348938","银行卡不知情的情况下被盗刷299元")</f>
        <v>银行卡不知情的情况下被盗刷299元</v>
      </c>
      <c r="C17149" s="2" t="s">
        <v>9</v>
      </c>
      <c r="D17149" s="2" t="s">
        <v>10</v>
      </c>
      <c r="E17149" s="2" t="str">
        <f>HYPERLINK("http://ts.21cn.com/tousu/show/id/1348938","http://ts.21cn.com/tousu/show/id/1348938")</f>
        <v>http://ts.21cn.com/tousu/show/id/1348938</v>
      </c>
      <c r="F17149" s="2" t="s">
        <v>11</v>
      </c>
      <c r="G17149" s="2" t="s">
        <v>10463</v>
      </c>
      <c r="H17149" s="2" t="s">
        <v>10464</v>
      </c>
    </row>
    <row r="17150" spans="1:8" ht="25.05" customHeight="1" x14ac:dyDescent="0.25">
      <c r="A17150" s="2" t="s">
        <v>8</v>
      </c>
      <c r="B17150" s="2" t="str">
        <f>HYPERLINK("http://ts.21cn.com/tousu/show/id/1348940","态度极其敷衍")</f>
        <v>态度极其敷衍</v>
      </c>
      <c r="C17150" s="2" t="s">
        <v>9</v>
      </c>
      <c r="D17150" s="2" t="s">
        <v>10</v>
      </c>
      <c r="E17150" s="2" t="str">
        <f>HYPERLINK("http://ts.21cn.com/tousu/show/id/1348940","http://ts.21cn.com/tousu/show/id/1348940")</f>
        <v>http://ts.21cn.com/tousu/show/id/1348940</v>
      </c>
      <c r="F17150" s="2" t="s">
        <v>11</v>
      </c>
      <c r="G17150" s="2" t="s">
        <v>10461</v>
      </c>
      <c r="H17150" s="2" t="s">
        <v>10462</v>
      </c>
    </row>
    <row r="17151" spans="1:8" ht="25.05" customHeight="1" x14ac:dyDescent="0.25">
      <c r="A17151" s="2" t="s">
        <v>8</v>
      </c>
      <c r="B17151" s="2" t="str">
        <f>HYPERLINK("http://ts.21cn.com/tousu/show/id/1348941","打电话，发信息侮辱恐吓骚扰家人朋友")</f>
        <v>打电话，发信息侮辱恐吓骚扰家人朋友</v>
      </c>
      <c r="C17151" s="2" t="s">
        <v>9</v>
      </c>
      <c r="D17151" s="2" t="s">
        <v>10</v>
      </c>
      <c r="E17151" s="2" t="str">
        <f>HYPERLINK("http://ts.21cn.com/tousu/show/id/1348941","http://ts.21cn.com/tousu/show/id/1348941")</f>
        <v>http://ts.21cn.com/tousu/show/id/1348941</v>
      </c>
      <c r="F17151" s="2" t="s">
        <v>11</v>
      </c>
      <c r="G17151" s="2" t="s">
        <v>10459</v>
      </c>
      <c r="H17151" s="2" t="s">
        <v>10460</v>
      </c>
    </row>
    <row r="17152" spans="1:8" ht="25.05" customHeight="1" x14ac:dyDescent="0.25">
      <c r="A17152" s="2" t="s">
        <v>8</v>
      </c>
      <c r="B17152" s="2" t="str">
        <f>HYPERLINK("http://ts.21cn.com/tousu/show/id/1348942","逾期利息高")</f>
        <v>逾期利息高</v>
      </c>
      <c r="C17152" s="2" t="s">
        <v>34</v>
      </c>
      <c r="D17152" s="2" t="s">
        <v>10</v>
      </c>
      <c r="E17152" s="2" t="str">
        <f>HYPERLINK("http://ts.21cn.com/tousu/show/id/1348942","http://ts.21cn.com/tousu/show/id/1348942")</f>
        <v>http://ts.21cn.com/tousu/show/id/1348942</v>
      </c>
      <c r="F17152" s="2" t="s">
        <v>11</v>
      </c>
      <c r="G17152" s="2" t="s">
        <v>10457</v>
      </c>
      <c r="H17152" s="2" t="s">
        <v>10458</v>
      </c>
    </row>
    <row r="17153" spans="1:8" ht="25.05" customHeight="1" x14ac:dyDescent="0.25">
      <c r="A17153" s="2" t="s">
        <v>8</v>
      </c>
      <c r="B17153" s="2" t="str">
        <f>HYPERLINK("http://ts.21cn.com/tousu/show/id/1348944","首汽约车app收不到验证码，无法登陆")</f>
        <v>首汽约车app收不到验证码，无法登陆</v>
      </c>
      <c r="C17153" s="2" t="s">
        <v>9</v>
      </c>
      <c r="D17153" s="2" t="s">
        <v>10</v>
      </c>
      <c r="E17153" s="2" t="str">
        <f>HYPERLINK("http://ts.21cn.com/tousu/show/id/1348944","http://ts.21cn.com/tousu/show/id/1348944")</f>
        <v>http://ts.21cn.com/tousu/show/id/1348944</v>
      </c>
      <c r="F17153" s="2" t="s">
        <v>11</v>
      </c>
      <c r="G17153" s="2" t="s">
        <v>10455</v>
      </c>
      <c r="H17153" s="2" t="s">
        <v>10456</v>
      </c>
    </row>
    <row r="17154" spans="1:8" ht="25.05" customHeight="1" x14ac:dyDescent="0.25">
      <c r="A17154" s="2" t="s">
        <v>8</v>
      </c>
      <c r="B17154" s="2" t="str">
        <f>HYPERLINK("http://ts.21cn.com/tousu/show/id/1348945","捷信欺我年少高利息还钱")</f>
        <v>捷信欺我年少高利息还钱</v>
      </c>
      <c r="C17154" s="2" t="s">
        <v>9</v>
      </c>
      <c r="D17154" s="2" t="s">
        <v>10</v>
      </c>
      <c r="E17154" s="2" t="str">
        <f>HYPERLINK("http://ts.21cn.com/tousu/show/id/1348945","http://ts.21cn.com/tousu/show/id/1348945")</f>
        <v>http://ts.21cn.com/tousu/show/id/1348945</v>
      </c>
      <c r="F17154" s="2" t="s">
        <v>11</v>
      </c>
      <c r="G17154" s="2" t="s">
        <v>10453</v>
      </c>
      <c r="H17154" s="2" t="s">
        <v>10454</v>
      </c>
    </row>
    <row r="17155" spans="1:8" ht="25.05" customHeight="1" x14ac:dyDescent="0.25">
      <c r="A17155" s="2" t="s">
        <v>8</v>
      </c>
      <c r="B17155" s="2" t="str">
        <f>HYPERLINK("http://ts.21cn.com/tousu/show/id/1348943","投诉钱包商家招财贷高息砍头套路诱导")</f>
        <v>投诉钱包商家招财贷高息砍头套路诱导</v>
      </c>
      <c r="C17155" s="2" t="s">
        <v>9</v>
      </c>
      <c r="D17155" s="2" t="s">
        <v>10</v>
      </c>
      <c r="E17155" s="2" t="str">
        <f>HYPERLINK("http://ts.21cn.com/tousu/show/id/1348943","http://ts.21cn.com/tousu/show/id/1348943")</f>
        <v>http://ts.21cn.com/tousu/show/id/1348943</v>
      </c>
      <c r="F17155" s="2" t="s">
        <v>11</v>
      </c>
      <c r="G17155" s="2" t="s">
        <v>10451</v>
      </c>
      <c r="H17155" s="2" t="s">
        <v>10452</v>
      </c>
    </row>
    <row r="17156" spans="1:8" ht="25.05" customHeight="1" x14ac:dyDescent="0.25">
      <c r="A17156" s="2" t="s">
        <v>8</v>
      </c>
      <c r="B17156" s="2" t="str">
        <f>HYPERLINK("http://ts.21cn.com/tousu/show/id/1348946","钱站高利贷阴阳合同")</f>
        <v>钱站高利贷阴阳合同</v>
      </c>
      <c r="C17156" s="2" t="s">
        <v>9</v>
      </c>
      <c r="D17156" s="2" t="s">
        <v>10</v>
      </c>
      <c r="E17156" s="2" t="str">
        <f>HYPERLINK("http://ts.21cn.com/tousu/show/id/1348946","http://ts.21cn.com/tousu/show/id/1348946")</f>
        <v>http://ts.21cn.com/tousu/show/id/1348946</v>
      </c>
      <c r="F17156" s="2" t="s">
        <v>11</v>
      </c>
      <c r="G17156" s="2" t="s">
        <v>10449</v>
      </c>
      <c r="H17156" s="2" t="s">
        <v>10450</v>
      </c>
    </row>
    <row r="17157" spans="1:8" ht="25.05" customHeight="1" x14ac:dyDescent="0.25">
      <c r="A17157" s="2" t="s">
        <v>8</v>
      </c>
      <c r="B17157" s="2" t="str">
        <f>HYPERLINK("http://ts.21cn.com/tousu/show/id/1348923","你借我有暴力利息")</f>
        <v>你借我有暴力利息</v>
      </c>
      <c r="C17157" s="2" t="s">
        <v>9</v>
      </c>
      <c r="D17157" s="2" t="s">
        <v>10</v>
      </c>
      <c r="E17157" s="2" t="str">
        <f>HYPERLINK("http://ts.21cn.com/tousu/show/id/1348923","http://ts.21cn.com/tousu/show/id/1348923")</f>
        <v>http://ts.21cn.com/tousu/show/id/1348923</v>
      </c>
      <c r="F17157" s="2" t="s">
        <v>11</v>
      </c>
      <c r="G17157" s="2" t="s">
        <v>10447</v>
      </c>
      <c r="H17157" s="2" t="s">
        <v>10448</v>
      </c>
    </row>
    <row r="17158" spans="1:8" ht="25.05" customHeight="1" x14ac:dyDescent="0.25">
      <c r="A17158" s="2" t="s">
        <v>8</v>
      </c>
      <c r="B17158" s="2" t="str">
        <f>HYPERLINK("http://ts.21cn.com/tousu/show/id/1348947","u卡贷高利贷砍头息")</f>
        <v>u卡贷高利贷砍头息</v>
      </c>
      <c r="C17158" s="2" t="s">
        <v>9</v>
      </c>
      <c r="D17158" s="2" t="s">
        <v>10</v>
      </c>
      <c r="E17158" s="2" t="str">
        <f>HYPERLINK("http://ts.21cn.com/tousu/show/id/1348947","http://ts.21cn.com/tousu/show/id/1348947")</f>
        <v>http://ts.21cn.com/tousu/show/id/1348947</v>
      </c>
      <c r="F17158" s="2" t="s">
        <v>11</v>
      </c>
      <c r="G17158" s="2" t="s">
        <v>10445</v>
      </c>
      <c r="H17158" s="2" t="s">
        <v>10446</v>
      </c>
    </row>
    <row r="17159" spans="1:8" ht="25.05" customHeight="1" x14ac:dyDescent="0.25">
      <c r="A17159" s="2" t="s">
        <v>8</v>
      </c>
      <c r="B17159" s="2" t="str">
        <f>HYPERLINK("http://ts.21cn.com/tousu/show/id/1348948","交易失败，退款失败")</f>
        <v>交易失败，退款失败</v>
      </c>
      <c r="C17159" s="2" t="s">
        <v>34</v>
      </c>
      <c r="D17159" s="2" t="s">
        <v>10</v>
      </c>
      <c r="E17159" s="2" t="str">
        <f>HYPERLINK("http://ts.21cn.com/tousu/show/id/1348948","http://ts.21cn.com/tousu/show/id/1348948")</f>
        <v>http://ts.21cn.com/tousu/show/id/1348948</v>
      </c>
      <c r="F17159" s="2" t="s">
        <v>11</v>
      </c>
      <c r="G17159" s="2" t="s">
        <v>10443</v>
      </c>
      <c r="H17159" s="2" t="s">
        <v>10444</v>
      </c>
    </row>
    <row r="17160" spans="1:8" ht="25.05" customHeight="1" x14ac:dyDescent="0.25">
      <c r="A17160" s="2" t="s">
        <v>8</v>
      </c>
      <c r="B17160" s="2" t="str">
        <f>HYPERLINK("http://ts.21cn.com/tousu/show/id/1348949","接不到单")</f>
        <v>接不到单</v>
      </c>
      <c r="C17160" s="2" t="s">
        <v>34</v>
      </c>
      <c r="D17160" s="2" t="s">
        <v>10</v>
      </c>
      <c r="E17160" s="2" t="str">
        <f>HYPERLINK("http://ts.21cn.com/tousu/show/id/1348949","http://ts.21cn.com/tousu/show/id/1348949")</f>
        <v>http://ts.21cn.com/tousu/show/id/1348949</v>
      </c>
      <c r="F17160" s="2" t="s">
        <v>11</v>
      </c>
      <c r="G17160" s="2" t="s">
        <v>10441</v>
      </c>
      <c r="H17160" s="2" t="s">
        <v>10442</v>
      </c>
    </row>
    <row r="17161" spans="1:8" ht="25.05" customHeight="1" x14ac:dyDescent="0.25">
      <c r="A17161" s="2" t="s">
        <v>8</v>
      </c>
      <c r="B17161" s="2" t="str">
        <f>HYPERLINK("http://ts.21cn.com/tousu/show/id/1348950","王者钱包高利贷汇潮支付有限公司违规提供支付通道")</f>
        <v>王者钱包高利贷汇潮支付有限公司违规提供支付通道</v>
      </c>
      <c r="C17161" s="2" t="s">
        <v>9</v>
      </c>
      <c r="D17161" s="2" t="s">
        <v>10</v>
      </c>
      <c r="E17161" s="2" t="str">
        <f>HYPERLINK("http://ts.21cn.com/tousu/show/id/1348950","http://ts.21cn.com/tousu/show/id/1348950")</f>
        <v>http://ts.21cn.com/tousu/show/id/1348950</v>
      </c>
      <c r="F17161" s="2" t="s">
        <v>11</v>
      </c>
      <c r="G17161" s="2" t="s">
        <v>10439</v>
      </c>
      <c r="H17161" s="2" t="s">
        <v>10440</v>
      </c>
    </row>
    <row r="17162" spans="1:8" ht="25.05" customHeight="1" x14ac:dyDescent="0.25">
      <c r="A17162" s="2" t="s">
        <v>8</v>
      </c>
      <c r="B17162" s="2" t="str">
        <f>HYPERLINK("http://ts.21cn.com/tousu/show/id/1348951","不给退款")</f>
        <v>不给退款</v>
      </c>
      <c r="C17162" s="2" t="s">
        <v>9</v>
      </c>
      <c r="D17162" s="2" t="s">
        <v>10</v>
      </c>
      <c r="E17162" s="2" t="str">
        <f>HYPERLINK("http://ts.21cn.com/tousu/show/id/1348951","http://ts.21cn.com/tousu/show/id/1348951")</f>
        <v>http://ts.21cn.com/tousu/show/id/1348951</v>
      </c>
      <c r="F17162" s="2" t="s">
        <v>11</v>
      </c>
      <c r="G17162" s="2" t="s">
        <v>10437</v>
      </c>
      <c r="H17162" s="2" t="s">
        <v>10438</v>
      </c>
    </row>
    <row r="17163" spans="1:8" ht="25.05" customHeight="1" x14ac:dyDescent="0.25">
      <c r="A17163" s="2" t="s">
        <v>8</v>
      </c>
      <c r="B17163" s="2" t="str">
        <f>HYPERLINK("http://ts.21cn.com/tousu/show/id/1348953","滴滴司机端无故大规模扣服务分")</f>
        <v>滴滴司机端无故大规模扣服务分</v>
      </c>
      <c r="C17163" s="2" t="s">
        <v>9</v>
      </c>
      <c r="D17163" s="2" t="s">
        <v>10</v>
      </c>
      <c r="E17163" s="2" t="str">
        <f>HYPERLINK("http://ts.21cn.com/tousu/show/id/1348953","http://ts.21cn.com/tousu/show/id/1348953")</f>
        <v>http://ts.21cn.com/tousu/show/id/1348953</v>
      </c>
      <c r="F17163" s="2" t="s">
        <v>11</v>
      </c>
      <c r="G17163" s="2" t="s">
        <v>10435</v>
      </c>
      <c r="H17163" s="2" t="s">
        <v>10436</v>
      </c>
    </row>
    <row r="17164" spans="1:8" ht="25.05" customHeight="1" x14ac:dyDescent="0.25">
      <c r="A17164" s="2" t="s">
        <v>8</v>
      </c>
      <c r="B17164" s="2" t="str">
        <f>HYPERLINK("http://ts.21cn.com/tousu/show/id/1348952","投诉云闪付为赌博网站收款、造成大量资金、希望能追回损失！")</f>
        <v>投诉云闪付为赌博网站收款、造成大量资金、希望能追回损失！</v>
      </c>
      <c r="C17164" s="2" t="s">
        <v>9</v>
      </c>
      <c r="D17164" s="2" t="s">
        <v>10</v>
      </c>
      <c r="E17164" s="2" t="str">
        <f>HYPERLINK("http://ts.21cn.com/tousu/show/id/1348952","http://ts.21cn.com/tousu/show/id/1348952")</f>
        <v>http://ts.21cn.com/tousu/show/id/1348952</v>
      </c>
      <c r="F17164" s="2" t="s">
        <v>11</v>
      </c>
      <c r="G17164" s="2" t="s">
        <v>10433</v>
      </c>
      <c r="H17164" s="2" t="s">
        <v>10434</v>
      </c>
    </row>
    <row r="17165" spans="1:8" ht="25.05" customHeight="1" x14ac:dyDescent="0.25">
      <c r="A17165" s="2" t="s">
        <v>8</v>
      </c>
      <c r="B17165" s="2" t="str">
        <f>HYPERLINK("http://ts.21cn.com/tousu/show/id/1348954","工商银行储蓄卡被无故扣款")</f>
        <v>工商银行储蓄卡被无故扣款</v>
      </c>
      <c r="C17165" s="2" t="s">
        <v>34</v>
      </c>
      <c r="D17165" s="2" t="s">
        <v>10</v>
      </c>
      <c r="E17165" s="2" t="str">
        <f>HYPERLINK("http://ts.21cn.com/tousu/show/id/1348954","http://ts.21cn.com/tousu/show/id/1348954")</f>
        <v>http://ts.21cn.com/tousu/show/id/1348954</v>
      </c>
      <c r="F17165" s="2" t="s">
        <v>11</v>
      </c>
      <c r="G17165" s="2" t="s">
        <v>10431</v>
      </c>
      <c r="H17165" s="2" t="s">
        <v>10432</v>
      </c>
    </row>
    <row r="17166" spans="1:8" ht="25.05" customHeight="1" x14ac:dyDescent="0.25">
      <c r="A17166" s="2" t="s">
        <v>8</v>
      </c>
      <c r="B17166" s="2" t="str">
        <f>HYPERLINK("http://ts.21cn.com/tousu/show/id/1348956","暴力催收威胁骚扰")</f>
        <v>暴力催收威胁骚扰</v>
      </c>
      <c r="C17166" s="2" t="s">
        <v>9</v>
      </c>
      <c r="D17166" s="2" t="s">
        <v>10</v>
      </c>
      <c r="E17166" s="2" t="str">
        <f>HYPERLINK("http://ts.21cn.com/tousu/show/id/1348956","http://ts.21cn.com/tousu/show/id/1348956")</f>
        <v>http://ts.21cn.com/tousu/show/id/1348956</v>
      </c>
      <c r="F17166" s="2" t="s">
        <v>11</v>
      </c>
      <c r="G17166" s="2" t="s">
        <v>10429</v>
      </c>
      <c r="H17166" s="2" t="s">
        <v>10430</v>
      </c>
    </row>
    <row r="17167" spans="1:8" ht="25.05" customHeight="1" x14ac:dyDescent="0.25">
      <c r="A17167" s="2" t="s">
        <v>8</v>
      </c>
      <c r="B17167" s="2" t="str">
        <f>HYPERLINK("http://ts.21cn.com/tousu/show/id/1348955","交易猫订单退款一直失败")</f>
        <v>交易猫订单退款一直失败</v>
      </c>
      <c r="C17167" s="2" t="s">
        <v>34</v>
      </c>
      <c r="D17167" s="2" t="s">
        <v>10</v>
      </c>
      <c r="E17167" s="2" t="str">
        <f>HYPERLINK("http://ts.21cn.com/tousu/show/id/1348955","http://ts.21cn.com/tousu/show/id/1348955")</f>
        <v>http://ts.21cn.com/tousu/show/id/1348955</v>
      </c>
      <c r="F17167" s="2" t="s">
        <v>11</v>
      </c>
      <c r="G17167" s="2" t="s">
        <v>10427</v>
      </c>
      <c r="H17167" s="2" t="s">
        <v>10428</v>
      </c>
    </row>
    <row r="17168" spans="1:8" ht="25.05" customHeight="1" x14ac:dyDescent="0.25">
      <c r="A17168" s="2" t="s">
        <v>8</v>
      </c>
      <c r="B17168" s="2" t="str">
        <f>HYPERLINK("http://ts.21cn.com/tousu/show/id/1348957","东莞市轻奢维体健身房第二次无缘无故关门，老板跑路")</f>
        <v>东莞市轻奢维体健身房第二次无缘无故关门，老板跑路</v>
      </c>
      <c r="C17168" s="2" t="s">
        <v>9</v>
      </c>
      <c r="D17168" s="2" t="s">
        <v>10</v>
      </c>
      <c r="E17168" s="2" t="str">
        <f>HYPERLINK("http://ts.21cn.com/tousu/show/id/1348957","http://ts.21cn.com/tousu/show/id/1348957")</f>
        <v>http://ts.21cn.com/tousu/show/id/1348957</v>
      </c>
      <c r="F17168" s="2" t="s">
        <v>11</v>
      </c>
      <c r="G17168" s="2" t="s">
        <v>10425</v>
      </c>
      <c r="H17168" s="2" t="s">
        <v>10426</v>
      </c>
    </row>
    <row r="17169" spans="1:8" ht="25.05" customHeight="1" x14ac:dyDescent="0.25">
      <c r="A17169" s="2" t="s">
        <v>8</v>
      </c>
      <c r="B17169" s="2" t="str">
        <f>HYPERLINK("http://ts.21cn.com/tousu/show/id/1348958","不给退款")</f>
        <v>不给退款</v>
      </c>
      <c r="C17169" s="2" t="s">
        <v>9</v>
      </c>
      <c r="D17169" s="2" t="s">
        <v>10</v>
      </c>
      <c r="E17169" s="2" t="str">
        <f>HYPERLINK("http://ts.21cn.com/tousu/show/id/1348958","http://ts.21cn.com/tousu/show/id/1348958")</f>
        <v>http://ts.21cn.com/tousu/show/id/1348958</v>
      </c>
      <c r="F17169" s="2" t="s">
        <v>11</v>
      </c>
      <c r="G17169" s="2" t="s">
        <v>10423</v>
      </c>
      <c r="H17169" s="2" t="s">
        <v>10424</v>
      </c>
    </row>
    <row r="17170" spans="1:8" ht="25.05" customHeight="1" x14ac:dyDescent="0.25">
      <c r="A17170" s="2" t="s">
        <v>8</v>
      </c>
      <c r="B17170" s="2" t="str">
        <f>HYPERLINK("http://ts.21cn.com/tousu/show/id/1348959","钱站虚假合同无反馈")</f>
        <v>钱站虚假合同无反馈</v>
      </c>
      <c r="C17170" s="2" t="s">
        <v>9</v>
      </c>
      <c r="D17170" s="2" t="s">
        <v>10</v>
      </c>
      <c r="E17170" s="2" t="str">
        <f>HYPERLINK("http://ts.21cn.com/tousu/show/id/1348959","http://ts.21cn.com/tousu/show/id/1348959")</f>
        <v>http://ts.21cn.com/tousu/show/id/1348959</v>
      </c>
      <c r="F17170" s="2" t="s">
        <v>11</v>
      </c>
      <c r="G17170" s="2" t="s">
        <v>10421</v>
      </c>
      <c r="H17170" s="2" t="s">
        <v>10422</v>
      </c>
    </row>
    <row r="17171" spans="1:8" ht="25.05" customHeight="1" x14ac:dyDescent="0.25">
      <c r="A17171" s="2" t="s">
        <v>8</v>
      </c>
      <c r="B17171" s="2" t="str">
        <f>HYPERLINK("http://ts.21cn.com/tousu/show/id/1348960","淘宝和支付宝对个人支付宝止付，冻结合法钱财")</f>
        <v>淘宝和支付宝对个人支付宝止付，冻结合法钱财</v>
      </c>
      <c r="C17171" s="2" t="s">
        <v>9</v>
      </c>
      <c r="D17171" s="2" t="s">
        <v>10</v>
      </c>
      <c r="E17171" s="2" t="str">
        <f>HYPERLINK("http://ts.21cn.com/tousu/show/id/1348960","http://ts.21cn.com/tousu/show/id/1348960")</f>
        <v>http://ts.21cn.com/tousu/show/id/1348960</v>
      </c>
      <c r="F17171" s="2" t="s">
        <v>11</v>
      </c>
      <c r="G17171" s="2" t="s">
        <v>10419</v>
      </c>
      <c r="H17171" s="2" t="s">
        <v>10420</v>
      </c>
    </row>
    <row r="17172" spans="1:8" ht="25.05" customHeight="1" x14ac:dyDescent="0.25">
      <c r="A17172" s="2" t="s">
        <v>8</v>
      </c>
      <c r="B17172" s="2" t="str">
        <f>HYPERLINK("http://ts.21cn.com/tousu/show/id/1348961","优信二手车集体投诉专题")</f>
        <v>优信二手车集体投诉专题</v>
      </c>
      <c r="C17172" s="2" t="s">
        <v>34</v>
      </c>
      <c r="D17172" s="2" t="s">
        <v>10</v>
      </c>
      <c r="E17172" s="2" t="str">
        <f>HYPERLINK("http://ts.21cn.com/tousu/show/id/1348961","http://ts.21cn.com/tousu/show/id/1348961")</f>
        <v>http://ts.21cn.com/tousu/show/id/1348961</v>
      </c>
      <c r="F17172" s="2" t="s">
        <v>11</v>
      </c>
      <c r="G17172" s="2" t="s">
        <v>10417</v>
      </c>
      <c r="H17172" s="2" t="s">
        <v>10418</v>
      </c>
    </row>
    <row r="17173" spans="1:8" ht="25.05" customHeight="1" x14ac:dyDescent="0.25">
      <c r="A17173" s="2" t="s">
        <v>8</v>
      </c>
      <c r="B17173" s="2" t="str">
        <f>HYPERLINK("http://ts.21cn.com/tousu/show/id/1348962","小黑鲨高利贷！")</f>
        <v>小黑鲨高利贷！</v>
      </c>
      <c r="C17173" s="2" t="s">
        <v>9</v>
      </c>
      <c r="D17173" s="2" t="s">
        <v>10</v>
      </c>
      <c r="E17173" s="2" t="str">
        <f>HYPERLINK("http://ts.21cn.com/tousu/show/id/1348962","http://ts.21cn.com/tousu/show/id/1348962")</f>
        <v>http://ts.21cn.com/tousu/show/id/1348962</v>
      </c>
      <c r="F17173" s="2" t="s">
        <v>11</v>
      </c>
      <c r="G17173" s="2" t="s">
        <v>10415</v>
      </c>
      <c r="H17173" s="2" t="s">
        <v>10416</v>
      </c>
    </row>
    <row r="17174" spans="1:8" ht="25.05" customHeight="1" x14ac:dyDescent="0.25">
      <c r="A17174" s="2" t="s">
        <v>8</v>
      </c>
      <c r="B17174" s="2" t="str">
        <f>HYPERLINK("http://ts.21cn.com/tousu/show/id/1348963","！！！好易借高利贷！！！")</f>
        <v>！！！好易借高利贷！！！</v>
      </c>
      <c r="C17174" s="2" t="s">
        <v>9</v>
      </c>
      <c r="D17174" s="2" t="s">
        <v>10</v>
      </c>
      <c r="E17174" s="2" t="str">
        <f>HYPERLINK("http://ts.21cn.com/tousu/show/id/1348963","http://ts.21cn.com/tousu/show/id/1348963")</f>
        <v>http://ts.21cn.com/tousu/show/id/1348963</v>
      </c>
      <c r="F17174" s="2" t="s">
        <v>11</v>
      </c>
      <c r="G17174" s="2" t="s">
        <v>10413</v>
      </c>
      <c r="H17174" s="2" t="s">
        <v>10414</v>
      </c>
    </row>
    <row r="17175" spans="1:8" ht="25.05" customHeight="1" x14ac:dyDescent="0.25">
      <c r="A17175" s="2" t="s">
        <v>8</v>
      </c>
      <c r="B17175" s="2" t="str">
        <f>HYPERLINK("http://ts.21cn.com/tousu/show/id/1348964","速金服借1000还2018")</f>
        <v>速金服借1000还2018</v>
      </c>
      <c r="C17175" s="2" t="s">
        <v>9</v>
      </c>
      <c r="D17175" s="2" t="s">
        <v>10</v>
      </c>
      <c r="E17175" s="2" t="str">
        <f>HYPERLINK("http://ts.21cn.com/tousu/show/id/1348964","http://ts.21cn.com/tousu/show/id/1348964")</f>
        <v>http://ts.21cn.com/tousu/show/id/1348964</v>
      </c>
      <c r="F17175" s="2" t="s">
        <v>11</v>
      </c>
      <c r="G17175" s="2" t="s">
        <v>10411</v>
      </c>
      <c r="H17175" s="2" t="s">
        <v>10412</v>
      </c>
    </row>
    <row r="17176" spans="1:8" ht="25.05" customHeight="1" x14ac:dyDescent="0.25">
      <c r="A17176" s="2" t="s">
        <v>8</v>
      </c>
      <c r="B17176" s="2" t="str">
        <f>HYPERLINK("http://ts.21cn.com/tousu/show/id/1348965","恒昌贷款暴力催收")</f>
        <v>恒昌贷款暴力催收</v>
      </c>
      <c r="C17176" s="2" t="s">
        <v>9</v>
      </c>
      <c r="D17176" s="2" t="s">
        <v>10</v>
      </c>
      <c r="E17176" s="2" t="str">
        <f>HYPERLINK("http://ts.21cn.com/tousu/show/id/1348965","http://ts.21cn.com/tousu/show/id/1348965")</f>
        <v>http://ts.21cn.com/tousu/show/id/1348965</v>
      </c>
      <c r="F17176" s="2" t="s">
        <v>11</v>
      </c>
      <c r="G17176" s="2" t="s">
        <v>10409</v>
      </c>
      <c r="H17176" s="2" t="s">
        <v>10410</v>
      </c>
    </row>
    <row r="17177" spans="1:8" ht="25.05" customHeight="1" x14ac:dyDescent="0.25">
      <c r="A17177" s="2" t="s">
        <v>8</v>
      </c>
      <c r="B17177" s="2" t="str">
        <f>HYPERLINK("http://ts.21cn.com/tousu/show/id/1348966","投诉钱站APP利息太高")</f>
        <v>投诉钱站APP利息太高</v>
      </c>
      <c r="C17177" s="2" t="s">
        <v>9</v>
      </c>
      <c r="D17177" s="2" t="s">
        <v>10</v>
      </c>
      <c r="E17177" s="2" t="str">
        <f>HYPERLINK("http://ts.21cn.com/tousu/show/id/1348966","http://ts.21cn.com/tousu/show/id/1348966")</f>
        <v>http://ts.21cn.com/tousu/show/id/1348966</v>
      </c>
      <c r="F17177" s="2" t="s">
        <v>11</v>
      </c>
      <c r="G17177" s="2" t="s">
        <v>10407</v>
      </c>
      <c r="H17177" s="2" t="s">
        <v>10408</v>
      </c>
    </row>
    <row r="17178" spans="1:8" ht="25.05" customHeight="1" x14ac:dyDescent="0.25">
      <c r="A17178" s="2" t="s">
        <v>8</v>
      </c>
      <c r="B17178" s="2" t="str">
        <f>HYPERLINK("http://ts.21cn.com/tousu/show/id/1348967","王者钱包利息太高，协商还款")</f>
        <v>王者钱包利息太高，协商还款</v>
      </c>
      <c r="C17178" s="2" t="s">
        <v>9</v>
      </c>
      <c r="D17178" s="2" t="s">
        <v>10</v>
      </c>
      <c r="E17178" s="2" t="str">
        <f>HYPERLINK("http://ts.21cn.com/tousu/show/id/1348967","http://ts.21cn.com/tousu/show/id/1348967")</f>
        <v>http://ts.21cn.com/tousu/show/id/1348967</v>
      </c>
      <c r="F17178" s="2" t="s">
        <v>11</v>
      </c>
      <c r="G17178" s="2" t="s">
        <v>10406</v>
      </c>
      <c r="H17178" s="2" t="s">
        <v>7958</v>
      </c>
    </row>
    <row r="17179" spans="1:8" ht="25.05" customHeight="1" x14ac:dyDescent="0.25">
      <c r="A17179" s="2" t="s">
        <v>8</v>
      </c>
      <c r="B17179" s="2" t="str">
        <f>HYPERLINK("http://ts.21cn.com/tousu/show/id/1348968","拍拍贷捏造事实，公然违法，违背催收公约")</f>
        <v>拍拍贷捏造事实，公然违法，违背催收公约</v>
      </c>
      <c r="C17179" s="2" t="s">
        <v>9</v>
      </c>
      <c r="D17179" s="2" t="s">
        <v>10</v>
      </c>
      <c r="E17179" s="2" t="str">
        <f>HYPERLINK("http://ts.21cn.com/tousu/show/id/1348968","http://ts.21cn.com/tousu/show/id/1348968")</f>
        <v>http://ts.21cn.com/tousu/show/id/1348968</v>
      </c>
      <c r="F17179" s="2" t="s">
        <v>11</v>
      </c>
      <c r="G17179" s="2" t="s">
        <v>10404</v>
      </c>
      <c r="H17179" s="2" t="s">
        <v>10405</v>
      </c>
    </row>
    <row r="17180" spans="1:8" ht="25.05" customHeight="1" x14ac:dyDescent="0.25">
      <c r="A17180" s="2" t="s">
        <v>8</v>
      </c>
      <c r="B17180" s="2" t="str">
        <f>HYPERLINK("http://ts.21cn.com/tousu/show/id/1348970","速金服借1000还2018")</f>
        <v>速金服借1000还2018</v>
      </c>
      <c r="C17180" s="2" t="s">
        <v>9</v>
      </c>
      <c r="D17180" s="2" t="s">
        <v>10</v>
      </c>
      <c r="E17180" s="2" t="str">
        <f>HYPERLINK("http://ts.21cn.com/tousu/show/id/1348970","http://ts.21cn.com/tousu/show/id/1348970")</f>
        <v>http://ts.21cn.com/tousu/show/id/1348970</v>
      </c>
      <c r="F17180" s="2" t="s">
        <v>11</v>
      </c>
      <c r="G17180" s="2" t="s">
        <v>10402</v>
      </c>
      <c r="H17180" s="2" t="s">
        <v>10403</v>
      </c>
    </row>
    <row r="17181" spans="1:8" ht="25.05" customHeight="1" x14ac:dyDescent="0.25">
      <c r="A17181" s="2" t="s">
        <v>8</v>
      </c>
      <c r="B17181" s="2" t="str">
        <f>HYPERLINK("http://ts.21cn.com/tousu/show/id/1348971","高铁管家购票支付成功没有订单")</f>
        <v>高铁管家购票支付成功没有订单</v>
      </c>
      <c r="C17181" s="2" t="s">
        <v>9</v>
      </c>
      <c r="D17181" s="2" t="s">
        <v>10</v>
      </c>
      <c r="E17181" s="2" t="str">
        <f>HYPERLINK("http://ts.21cn.com/tousu/show/id/1348971","http://ts.21cn.com/tousu/show/id/1348971")</f>
        <v>http://ts.21cn.com/tousu/show/id/1348971</v>
      </c>
      <c r="F17181" s="2" t="s">
        <v>11</v>
      </c>
      <c r="G17181" s="2" t="s">
        <v>10400</v>
      </c>
      <c r="H17181" s="2" t="s">
        <v>10401</v>
      </c>
    </row>
    <row r="17182" spans="1:8" ht="25.05" customHeight="1" x14ac:dyDescent="0.25">
      <c r="A17182" s="2" t="s">
        <v>8</v>
      </c>
      <c r="B17182" s="2" t="str">
        <f>HYPERLINK("http://ts.21cn.com/tousu/show/id/1348972","找靓机买的手机一天白屏和屏幕失效")</f>
        <v>找靓机买的手机一天白屏和屏幕失效</v>
      </c>
      <c r="C17182" s="2" t="s">
        <v>34</v>
      </c>
      <c r="D17182" s="2" t="s">
        <v>10</v>
      </c>
      <c r="E17182" s="2" t="str">
        <f>HYPERLINK("http://ts.21cn.com/tousu/show/id/1348972","http://ts.21cn.com/tousu/show/id/1348972")</f>
        <v>http://ts.21cn.com/tousu/show/id/1348972</v>
      </c>
      <c r="F17182" s="2" t="s">
        <v>11</v>
      </c>
      <c r="G17182" s="2" t="s">
        <v>10398</v>
      </c>
      <c r="H17182" s="2" t="s">
        <v>10399</v>
      </c>
    </row>
    <row r="17183" spans="1:8" ht="25.05" customHeight="1" x14ac:dyDescent="0.25">
      <c r="A17183" s="2" t="s">
        <v>8</v>
      </c>
      <c r="B17183" s="2" t="str">
        <f>HYPERLINK("http://ts.21cn.com/tousu/show/id/1348973","小沃科技TV平台")</f>
        <v>小沃科技TV平台</v>
      </c>
      <c r="C17183" s="2" t="s">
        <v>9</v>
      </c>
      <c r="D17183" s="2" t="s">
        <v>10</v>
      </c>
      <c r="E17183" s="2" t="str">
        <f>HYPERLINK("http://ts.21cn.com/tousu/show/id/1348973","http://ts.21cn.com/tousu/show/id/1348973")</f>
        <v>http://ts.21cn.com/tousu/show/id/1348973</v>
      </c>
      <c r="F17183" s="2" t="s">
        <v>11</v>
      </c>
      <c r="G17183" s="2" t="s">
        <v>10396</v>
      </c>
      <c r="H17183" s="2" t="s">
        <v>10397</v>
      </c>
    </row>
    <row r="17184" spans="1:8" ht="25.05" customHeight="1" x14ac:dyDescent="0.25">
      <c r="A17184" s="2" t="s">
        <v>8</v>
      </c>
      <c r="B17184" s="2" t="str">
        <f>HYPERLINK("http://ts.21cn.com/tousu/show/id/1348974","闪银至尊催收")</f>
        <v>闪银至尊催收</v>
      </c>
      <c r="C17184" s="2" t="s">
        <v>34</v>
      </c>
      <c r="D17184" s="2" t="s">
        <v>10</v>
      </c>
      <c r="E17184" s="2" t="str">
        <f>HYPERLINK("http://ts.21cn.com/tousu/show/id/1348974","http://ts.21cn.com/tousu/show/id/1348974")</f>
        <v>http://ts.21cn.com/tousu/show/id/1348974</v>
      </c>
      <c r="F17184" s="2" t="s">
        <v>11</v>
      </c>
      <c r="G17184" s="2" t="s">
        <v>10394</v>
      </c>
      <c r="H17184" s="2" t="s">
        <v>10395</v>
      </c>
    </row>
    <row r="17185" spans="1:8" ht="25.05" customHeight="1" x14ac:dyDescent="0.25">
      <c r="A17185" s="2" t="s">
        <v>8</v>
      </c>
      <c r="B17185" s="2" t="str">
        <f>HYPERLINK("http://ts.21cn.com/tousu/show/id/1348975","立借高利贷套路贷暴力催收不合法利息非法服务费")</f>
        <v>立借高利贷套路贷暴力催收不合法利息非法服务费</v>
      </c>
      <c r="C17185" s="2" t="s">
        <v>9</v>
      </c>
      <c r="D17185" s="2" t="s">
        <v>10</v>
      </c>
      <c r="E17185" s="2" t="str">
        <f>HYPERLINK("http://ts.21cn.com/tousu/show/id/1348975","http://ts.21cn.com/tousu/show/id/1348975")</f>
        <v>http://ts.21cn.com/tousu/show/id/1348975</v>
      </c>
      <c r="F17185" s="2" t="s">
        <v>11</v>
      </c>
      <c r="G17185" s="2" t="s">
        <v>10392</v>
      </c>
      <c r="H17185" s="2" t="s">
        <v>10393</v>
      </c>
    </row>
    <row r="17186" spans="1:8" ht="25.05" customHeight="1" x14ac:dyDescent="0.25">
      <c r="A17186" s="2" t="s">
        <v>8</v>
      </c>
      <c r="B17186" s="2" t="str">
        <f>HYPERLINK("http://ts.21cn.com/tousu/show/id/1348976","宜贷分期高利贷")</f>
        <v>宜贷分期高利贷</v>
      </c>
      <c r="C17186" s="2" t="s">
        <v>9</v>
      </c>
      <c r="D17186" s="2" t="s">
        <v>10</v>
      </c>
      <c r="E17186" s="2" t="str">
        <f>HYPERLINK("http://ts.21cn.com/tousu/show/id/1348976","http://ts.21cn.com/tousu/show/id/1348976")</f>
        <v>http://ts.21cn.com/tousu/show/id/1348976</v>
      </c>
      <c r="F17186" s="2" t="s">
        <v>11</v>
      </c>
      <c r="G17186" s="2" t="s">
        <v>10390</v>
      </c>
      <c r="H17186" s="2" t="s">
        <v>10391</v>
      </c>
    </row>
    <row r="17187" spans="1:8" ht="25.05" customHeight="1" x14ac:dyDescent="0.25">
      <c r="A17187" s="2" t="s">
        <v>8</v>
      </c>
      <c r="B17187" s="2" t="str">
        <f>HYPERLINK("http://ts.21cn.com/tousu/show/id/1348977","云米油烟机烟管质量问题不保修")</f>
        <v>云米油烟机烟管质量问题不保修</v>
      </c>
      <c r="C17187" s="2" t="s">
        <v>9</v>
      </c>
      <c r="D17187" s="2" t="s">
        <v>10</v>
      </c>
      <c r="E17187" s="2" t="str">
        <f>HYPERLINK("http://ts.21cn.com/tousu/show/id/1348977","http://ts.21cn.com/tousu/show/id/1348977")</f>
        <v>http://ts.21cn.com/tousu/show/id/1348977</v>
      </c>
      <c r="F17187" s="2" t="s">
        <v>11</v>
      </c>
      <c r="G17187" s="2" t="s">
        <v>10388</v>
      </c>
      <c r="H17187" s="2" t="s">
        <v>10389</v>
      </c>
    </row>
    <row r="17188" spans="1:8" ht="25.05" customHeight="1" x14ac:dyDescent="0.25">
      <c r="A17188" s="2" t="s">
        <v>8</v>
      </c>
      <c r="B17188" s="2" t="str">
        <f>HYPERLINK("http://ts.21cn.com/tousu/show/id/1348978","不知情的情况下成为京东PLUS")</f>
        <v>不知情的情况下成为京东PLUS</v>
      </c>
      <c r="C17188" s="2" t="s">
        <v>9</v>
      </c>
      <c r="D17188" s="2" t="s">
        <v>10</v>
      </c>
      <c r="E17188" s="2" t="str">
        <f>HYPERLINK("http://ts.21cn.com/tousu/show/id/1348978","http://ts.21cn.com/tousu/show/id/1348978")</f>
        <v>http://ts.21cn.com/tousu/show/id/1348978</v>
      </c>
      <c r="F17188" s="2" t="s">
        <v>11</v>
      </c>
      <c r="G17188" s="2" t="s">
        <v>10386</v>
      </c>
      <c r="H17188" s="2" t="s">
        <v>10387</v>
      </c>
    </row>
    <row r="17189" spans="1:8" ht="25.05" customHeight="1" x14ac:dyDescent="0.25">
      <c r="A17189" s="2" t="s">
        <v>8</v>
      </c>
      <c r="B17189" s="2" t="str">
        <f>HYPERLINK("http://ts.21cn.com/tousu/show/id/1348979","闪银糯米白条高利贷砍头息")</f>
        <v>闪银糯米白条高利贷砍头息</v>
      </c>
      <c r="C17189" s="2" t="s">
        <v>9</v>
      </c>
      <c r="D17189" s="2" t="s">
        <v>10</v>
      </c>
      <c r="E17189" s="2" t="str">
        <f>HYPERLINK("http://ts.21cn.com/tousu/show/id/1348979","http://ts.21cn.com/tousu/show/id/1348979")</f>
        <v>http://ts.21cn.com/tousu/show/id/1348979</v>
      </c>
      <c r="F17189" s="2" t="s">
        <v>11</v>
      </c>
      <c r="G17189" s="2" t="s">
        <v>10384</v>
      </c>
      <c r="H17189" s="2" t="s">
        <v>10385</v>
      </c>
    </row>
    <row r="17190" spans="1:8" ht="25.05" customHeight="1" x14ac:dyDescent="0.25">
      <c r="A17190" s="2" t="s">
        <v>8</v>
      </c>
      <c r="B17190" s="2" t="str">
        <f>HYPERLINK("http://ts.21cn.com/tousu/show/id/1348980","暴力催收恐吓侮辱")</f>
        <v>暴力催收恐吓侮辱</v>
      </c>
      <c r="C17190" s="2" t="s">
        <v>9</v>
      </c>
      <c r="D17190" s="2" t="s">
        <v>10</v>
      </c>
      <c r="E17190" s="2" t="str">
        <f>HYPERLINK("http://ts.21cn.com/tousu/show/id/1348980","http://ts.21cn.com/tousu/show/id/1348980")</f>
        <v>http://ts.21cn.com/tousu/show/id/1348980</v>
      </c>
      <c r="F17190" s="2" t="s">
        <v>11</v>
      </c>
      <c r="G17190" s="2" t="s">
        <v>10382</v>
      </c>
      <c r="H17190" s="2" t="s">
        <v>10383</v>
      </c>
    </row>
    <row r="17191" spans="1:8" ht="25.05" customHeight="1" x14ac:dyDescent="0.25">
      <c r="A17191" s="2" t="s">
        <v>8</v>
      </c>
      <c r="B17191" s="2" t="str">
        <f>HYPERLINK("http://ts.21cn.com/tousu/show/id/1348981","暴力催收，私自联系亲人的公司。")</f>
        <v>暴力催收，私自联系亲人的公司。</v>
      </c>
      <c r="C17191" s="2" t="s">
        <v>9</v>
      </c>
      <c r="D17191" s="2" t="s">
        <v>10</v>
      </c>
      <c r="E17191" s="2" t="str">
        <f>HYPERLINK("http://ts.21cn.com/tousu/show/id/1348981","http://ts.21cn.com/tousu/show/id/1348981")</f>
        <v>http://ts.21cn.com/tousu/show/id/1348981</v>
      </c>
      <c r="F17191" s="2" t="s">
        <v>11</v>
      </c>
      <c r="G17191" s="2" t="s">
        <v>10380</v>
      </c>
      <c r="H17191" s="2" t="s">
        <v>10381</v>
      </c>
    </row>
    <row r="17192" spans="1:8" ht="25.05" customHeight="1" x14ac:dyDescent="0.25">
      <c r="A17192" s="2" t="s">
        <v>8</v>
      </c>
      <c r="B17192" s="2" t="str">
        <f>HYPERLINK("http://ts.21cn.com/tousu/show/id/1348982","齐鲁交通ETC设备迟迟不发货处理速度慢")</f>
        <v>齐鲁交通ETC设备迟迟不发货处理速度慢</v>
      </c>
      <c r="C17192" s="2" t="s">
        <v>9</v>
      </c>
      <c r="D17192" s="2" t="s">
        <v>10</v>
      </c>
      <c r="E17192" s="2" t="str">
        <f>HYPERLINK("http://ts.21cn.com/tousu/show/id/1348982","http://ts.21cn.com/tousu/show/id/1348982")</f>
        <v>http://ts.21cn.com/tousu/show/id/1348982</v>
      </c>
      <c r="F17192" s="2" t="s">
        <v>11</v>
      </c>
      <c r="G17192" s="2" t="s">
        <v>10378</v>
      </c>
      <c r="H17192" s="2" t="s">
        <v>10379</v>
      </c>
    </row>
    <row r="17193" spans="1:8" ht="25.05" customHeight="1" x14ac:dyDescent="0.25">
      <c r="A17193" s="2" t="s">
        <v>8</v>
      </c>
      <c r="B17193" s="2" t="str">
        <f>HYPERLINK("http://ts.21cn.com/tousu/show/id/1338175","滴滴出行拿司机当儿戏！")</f>
        <v>滴滴出行拿司机当儿戏！</v>
      </c>
      <c r="C17193" s="2" t="s">
        <v>9</v>
      </c>
      <c r="D17193" s="2" t="s">
        <v>10</v>
      </c>
      <c r="E17193" s="2" t="str">
        <f>HYPERLINK("http://ts.21cn.com/tousu/show/id/1338175","http://ts.21cn.com/tousu/show/id/1338175")</f>
        <v>http://ts.21cn.com/tousu/show/id/1338175</v>
      </c>
      <c r="F17193" s="2" t="s">
        <v>11</v>
      </c>
      <c r="G17193" s="2" t="s">
        <v>10376</v>
      </c>
      <c r="H17193" s="2" t="s">
        <v>10377</v>
      </c>
    </row>
    <row r="17194" spans="1:8" ht="25.05" customHeight="1" x14ac:dyDescent="0.25">
      <c r="A17194" s="2" t="s">
        <v>8</v>
      </c>
      <c r="B17194" s="2" t="str">
        <f>HYPERLINK("http://ts.21cn.com/tousu/show/id/1348969","钱橙无忧随意扣费")</f>
        <v>钱橙无忧随意扣费</v>
      </c>
      <c r="C17194" s="2" t="s">
        <v>9</v>
      </c>
      <c r="D17194" s="2" t="s">
        <v>10</v>
      </c>
      <c r="E17194" s="2" t="str">
        <f>HYPERLINK("http://ts.21cn.com/tousu/show/id/1348969","http://ts.21cn.com/tousu/show/id/1348969")</f>
        <v>http://ts.21cn.com/tousu/show/id/1348969</v>
      </c>
      <c r="F17194" s="2" t="s">
        <v>11</v>
      </c>
      <c r="G17194" s="2" t="s">
        <v>10374</v>
      </c>
      <c r="H17194" s="2" t="s">
        <v>10375</v>
      </c>
    </row>
    <row r="17195" spans="1:8" ht="25.05" customHeight="1" x14ac:dyDescent="0.25">
      <c r="A17195" s="2" t="s">
        <v>8</v>
      </c>
      <c r="B17195" s="2" t="str">
        <f>HYPERLINK("http://ts.21cn.com/tousu/show/id/1348983","省呗公司暴力催收，威胁恐吓我和我家人")</f>
        <v>省呗公司暴力催收，威胁恐吓我和我家人</v>
      </c>
      <c r="C17195" s="2" t="s">
        <v>9</v>
      </c>
      <c r="D17195" s="2" t="s">
        <v>10</v>
      </c>
      <c r="E17195" s="2" t="str">
        <f>HYPERLINK("http://ts.21cn.com/tousu/show/id/1348983","http://ts.21cn.com/tousu/show/id/1348983")</f>
        <v>http://ts.21cn.com/tousu/show/id/1348983</v>
      </c>
      <c r="F17195" s="2" t="s">
        <v>11</v>
      </c>
      <c r="G17195" s="2" t="s">
        <v>10372</v>
      </c>
      <c r="H17195" s="2" t="s">
        <v>10373</v>
      </c>
    </row>
    <row r="17196" spans="1:8" ht="25.05" customHeight="1" x14ac:dyDescent="0.25">
      <c r="A17196" s="2" t="s">
        <v>8</v>
      </c>
      <c r="B17196" s="2" t="str">
        <f>HYPERLINK("http://ts.21cn.com/tousu/show/id/1348984","找靓机故意损坏回收手机达到压价目的")</f>
        <v>找靓机故意损坏回收手机达到压价目的</v>
      </c>
      <c r="C17196" s="2" t="s">
        <v>9</v>
      </c>
      <c r="D17196" s="2" t="s">
        <v>10</v>
      </c>
      <c r="E17196" s="2" t="str">
        <f>HYPERLINK("http://ts.21cn.com/tousu/show/id/1348984","http://ts.21cn.com/tousu/show/id/1348984")</f>
        <v>http://ts.21cn.com/tousu/show/id/1348984</v>
      </c>
      <c r="F17196" s="2" t="s">
        <v>11</v>
      </c>
      <c r="G17196" s="2" t="s">
        <v>10370</v>
      </c>
      <c r="H17196" s="2" t="s">
        <v>10371</v>
      </c>
    </row>
    <row r="17197" spans="1:8" ht="25.05" customHeight="1" x14ac:dyDescent="0.25">
      <c r="A17197" s="2" t="s">
        <v>8</v>
      </c>
      <c r="B17197" s="2" t="str">
        <f>HYPERLINK("http://ts.21cn.com/tousu/show/id/1348985","恶意骚扰催收，恐吓")</f>
        <v>恶意骚扰催收，恐吓</v>
      </c>
      <c r="C17197" s="2" t="s">
        <v>9</v>
      </c>
      <c r="D17197" s="2" t="s">
        <v>10</v>
      </c>
      <c r="E17197" s="2" t="str">
        <f>HYPERLINK("http://ts.21cn.com/tousu/show/id/1348985","http://ts.21cn.com/tousu/show/id/1348985")</f>
        <v>http://ts.21cn.com/tousu/show/id/1348985</v>
      </c>
      <c r="F17197" s="2" t="s">
        <v>11</v>
      </c>
      <c r="G17197" s="2" t="s">
        <v>10368</v>
      </c>
      <c r="H17197" s="2" t="s">
        <v>10369</v>
      </c>
    </row>
    <row r="17198" spans="1:8" ht="25.05" customHeight="1" x14ac:dyDescent="0.25">
      <c r="A17198" s="2" t="s">
        <v>8</v>
      </c>
      <c r="B17198" s="2" t="str">
        <f>HYPERLINK("http://ts.21cn.com/tousu/show/id/1348986","小霸王app高利贷套路贷砍头息")</f>
        <v>小霸王app高利贷套路贷砍头息</v>
      </c>
      <c r="C17198" s="2" t="s">
        <v>9</v>
      </c>
      <c r="D17198" s="2" t="s">
        <v>10</v>
      </c>
      <c r="E17198" s="2" t="str">
        <f>HYPERLINK("http://ts.21cn.com/tousu/show/id/1348986","http://ts.21cn.com/tousu/show/id/1348986")</f>
        <v>http://ts.21cn.com/tousu/show/id/1348986</v>
      </c>
      <c r="F17198" s="2" t="s">
        <v>11</v>
      </c>
      <c r="G17198" s="2" t="s">
        <v>10366</v>
      </c>
      <c r="H17198" s="2" t="s">
        <v>10367</v>
      </c>
    </row>
    <row r="17199" spans="1:8" ht="25.05" customHeight="1" x14ac:dyDescent="0.25">
      <c r="A17199" s="2" t="s">
        <v>8</v>
      </c>
      <c r="B17199" s="2" t="str">
        <f>HYPERLINK("http://ts.21cn.com/tousu/show/id/1348987","钱橙无忧随意扣费")</f>
        <v>钱橙无忧随意扣费</v>
      </c>
      <c r="C17199" s="2" t="s">
        <v>9</v>
      </c>
      <c r="D17199" s="2" t="s">
        <v>10</v>
      </c>
      <c r="E17199" s="2" t="str">
        <f>HYPERLINK("http://ts.21cn.com/tousu/show/id/1348987","http://ts.21cn.com/tousu/show/id/1348987")</f>
        <v>http://ts.21cn.com/tousu/show/id/1348987</v>
      </c>
      <c r="F17199" s="2" t="s">
        <v>11</v>
      </c>
      <c r="G17199" s="2" t="s">
        <v>10364</v>
      </c>
      <c r="H17199" s="2" t="s">
        <v>10365</v>
      </c>
    </row>
    <row r="17200" spans="1:8" ht="25.05" customHeight="1" x14ac:dyDescent="0.25">
      <c r="A17200" s="2" t="s">
        <v>8</v>
      </c>
      <c r="B17200" s="2" t="str">
        <f>HYPERLINK("http://ts.21cn.com/tousu/show/id/1348988","闪银信用商城拒收退货还要还款")</f>
        <v>闪银信用商城拒收退货还要还款</v>
      </c>
      <c r="C17200" s="2" t="s">
        <v>9</v>
      </c>
      <c r="D17200" s="2" t="s">
        <v>10</v>
      </c>
      <c r="E17200" s="2" t="str">
        <f>HYPERLINK("http://ts.21cn.com/tousu/show/id/1348988","http://ts.21cn.com/tousu/show/id/1348988")</f>
        <v>http://ts.21cn.com/tousu/show/id/1348988</v>
      </c>
      <c r="F17200" s="2" t="s">
        <v>11</v>
      </c>
      <c r="G17200" s="2" t="s">
        <v>10362</v>
      </c>
      <c r="H17200" s="2" t="s">
        <v>10363</v>
      </c>
    </row>
    <row r="17201" spans="1:8" ht="25.05" customHeight="1" x14ac:dyDescent="0.25">
      <c r="A17201" s="2" t="s">
        <v>8</v>
      </c>
      <c r="B17201" s="2" t="str">
        <f>HYPERLINK("http://ts.21cn.com/tousu/show/id/1348989","民生银行爆我通迅录，到我公司骚")</f>
        <v>民生银行爆我通迅录，到我公司骚</v>
      </c>
      <c r="C17201" s="2" t="s">
        <v>9</v>
      </c>
      <c r="D17201" s="2" t="s">
        <v>10</v>
      </c>
      <c r="E17201" s="2" t="str">
        <f>HYPERLINK("http://ts.21cn.com/tousu/show/id/1348989","http://ts.21cn.com/tousu/show/id/1348989")</f>
        <v>http://ts.21cn.com/tousu/show/id/1348989</v>
      </c>
      <c r="F17201" s="2" t="s">
        <v>11</v>
      </c>
      <c r="G17201" s="2" t="s">
        <v>10360</v>
      </c>
      <c r="H17201" s="2" t="s">
        <v>10361</v>
      </c>
    </row>
    <row r="17202" spans="1:8" ht="25.05" customHeight="1" x14ac:dyDescent="0.25">
      <c r="A17202" s="2" t="s">
        <v>8</v>
      </c>
      <c r="B17202" s="2" t="str">
        <f>HYPERLINK("http://ts.21cn.com/tousu/show/id/1348991","闪银借款砍头息强制购物")</f>
        <v>闪银借款砍头息强制购物</v>
      </c>
      <c r="C17202" s="2" t="s">
        <v>9</v>
      </c>
      <c r="D17202" s="2" t="s">
        <v>10</v>
      </c>
      <c r="E17202" s="2" t="str">
        <f>HYPERLINK("http://ts.21cn.com/tousu/show/id/1348991","http://ts.21cn.com/tousu/show/id/1348991")</f>
        <v>http://ts.21cn.com/tousu/show/id/1348991</v>
      </c>
      <c r="F17202" s="2" t="s">
        <v>11</v>
      </c>
      <c r="G17202" s="2" t="s">
        <v>10358</v>
      </c>
      <c r="H17202" s="2" t="s">
        <v>10359</v>
      </c>
    </row>
    <row r="17203" spans="1:8" ht="25.05" customHeight="1" x14ac:dyDescent="0.25">
      <c r="A17203" s="2" t="s">
        <v>8</v>
      </c>
      <c r="B17203" s="2" t="str">
        <f>HYPERLINK("http://ts.21cn.com/tousu/show/id/1348993","捷信高利贷")</f>
        <v>捷信高利贷</v>
      </c>
      <c r="C17203" s="2" t="s">
        <v>9</v>
      </c>
      <c r="D17203" s="2" t="s">
        <v>10</v>
      </c>
      <c r="E17203" s="2" t="str">
        <f>HYPERLINK("http://ts.21cn.com/tousu/show/id/1348993","http://ts.21cn.com/tousu/show/id/1348993")</f>
        <v>http://ts.21cn.com/tousu/show/id/1348993</v>
      </c>
      <c r="F17203" s="2" t="s">
        <v>11</v>
      </c>
      <c r="G17203" s="2" t="s">
        <v>10356</v>
      </c>
      <c r="H17203" s="2" t="s">
        <v>10357</v>
      </c>
    </row>
    <row r="17204" spans="1:8" ht="25.05" customHeight="1" x14ac:dyDescent="0.25">
      <c r="A17204" s="2" t="s">
        <v>8</v>
      </c>
      <c r="B17204" s="2" t="str">
        <f>HYPERLINK("http://ts.21cn.com/tousu/show/id/1348994","为714高炮导流，暴力催收，要求退还我不合理的利息")</f>
        <v>为714高炮导流，暴力催收，要求退还我不合理的利息</v>
      </c>
      <c r="C17204" s="2" t="s">
        <v>9</v>
      </c>
      <c r="D17204" s="2" t="s">
        <v>10</v>
      </c>
      <c r="E17204" s="2" t="str">
        <f>HYPERLINK("http://ts.21cn.com/tousu/show/id/1348994","http://ts.21cn.com/tousu/show/id/1348994")</f>
        <v>http://ts.21cn.com/tousu/show/id/1348994</v>
      </c>
      <c r="F17204" s="2" t="s">
        <v>11</v>
      </c>
      <c r="G17204" s="2" t="s">
        <v>10354</v>
      </c>
      <c r="H17204" s="2" t="s">
        <v>10355</v>
      </c>
    </row>
    <row r="17205" spans="1:8" ht="25.05" customHeight="1" x14ac:dyDescent="0.25">
      <c r="A17205" s="2" t="s">
        <v>8</v>
      </c>
      <c r="B17205" s="2" t="str">
        <f>HYPERLINK("http://ts.21cn.com/tousu/show/id/1348997","钱咖分期高利贷")</f>
        <v>钱咖分期高利贷</v>
      </c>
      <c r="C17205" s="2" t="s">
        <v>9</v>
      </c>
      <c r="D17205" s="2" t="s">
        <v>10</v>
      </c>
      <c r="E17205" s="2" t="str">
        <f>HYPERLINK("http://ts.21cn.com/tousu/show/id/1348997","http://ts.21cn.com/tousu/show/id/1348997")</f>
        <v>http://ts.21cn.com/tousu/show/id/1348997</v>
      </c>
      <c r="F17205" s="2" t="s">
        <v>11</v>
      </c>
      <c r="G17205" s="2" t="s">
        <v>10352</v>
      </c>
      <c r="H17205" s="2" t="s">
        <v>10353</v>
      </c>
    </row>
    <row r="17206" spans="1:8" ht="25.05" customHeight="1" x14ac:dyDescent="0.25">
      <c r="A17206" s="2" t="s">
        <v>8</v>
      </c>
      <c r="B17206" s="2" t="str">
        <f>HYPERLINK("http://ts.21cn.com/tousu/show/id/1348998","【报喜鸟】背后经营714高炮")</f>
        <v>【报喜鸟】背后经营714高炮</v>
      </c>
      <c r="C17206" s="2" t="s">
        <v>34</v>
      </c>
      <c r="D17206" s="2" t="s">
        <v>10</v>
      </c>
      <c r="E17206" s="2" t="str">
        <f>HYPERLINK("http://ts.21cn.com/tousu/show/id/1348998","http://ts.21cn.com/tousu/show/id/1348998")</f>
        <v>http://ts.21cn.com/tousu/show/id/1348998</v>
      </c>
      <c r="F17206" s="2" t="s">
        <v>11</v>
      </c>
      <c r="G17206" s="2" t="s">
        <v>10350</v>
      </c>
      <c r="H17206" s="2" t="s">
        <v>10351</v>
      </c>
    </row>
    <row r="17207" spans="1:8" ht="25.05" customHeight="1" x14ac:dyDescent="0.25">
      <c r="A17207" s="2" t="s">
        <v>8</v>
      </c>
      <c r="B17207" s="2" t="str">
        <f>HYPERLINK("http://ts.21cn.com/tousu/show/id/1348999","马上消费金融安逸花暴力催收")</f>
        <v>马上消费金融安逸花暴力催收</v>
      </c>
      <c r="C17207" s="2" t="s">
        <v>9</v>
      </c>
      <c r="D17207" s="2" t="s">
        <v>10</v>
      </c>
      <c r="E17207" s="2" t="str">
        <f>HYPERLINK("http://ts.21cn.com/tousu/show/id/1348999","http://ts.21cn.com/tousu/show/id/1348999")</f>
        <v>http://ts.21cn.com/tousu/show/id/1348999</v>
      </c>
      <c r="F17207" s="2" t="s">
        <v>11</v>
      </c>
      <c r="G17207" s="2" t="s">
        <v>10348</v>
      </c>
      <c r="H17207" s="2" t="s">
        <v>10349</v>
      </c>
    </row>
    <row r="17208" spans="1:8" ht="25.05" customHeight="1" x14ac:dyDescent="0.25">
      <c r="A17208" s="2" t="s">
        <v>8</v>
      </c>
      <c r="B17208" s="2" t="str">
        <f>HYPERLINK("http://ts.21cn.com/tousu/show/id/1348996","钱站高利贷阴阳合同")</f>
        <v>钱站高利贷阴阳合同</v>
      </c>
      <c r="C17208" s="2" t="s">
        <v>9</v>
      </c>
      <c r="D17208" s="2" t="s">
        <v>10</v>
      </c>
      <c r="E17208" s="2" t="str">
        <f>HYPERLINK("http://ts.21cn.com/tousu/show/id/1348996","http://ts.21cn.com/tousu/show/id/1348996")</f>
        <v>http://ts.21cn.com/tousu/show/id/1348996</v>
      </c>
      <c r="F17208" s="2" t="s">
        <v>11</v>
      </c>
      <c r="G17208" s="2" t="s">
        <v>10346</v>
      </c>
      <c r="H17208" s="2" t="s">
        <v>10347</v>
      </c>
    </row>
    <row r="17209" spans="1:8" ht="25.05" customHeight="1" x14ac:dyDescent="0.25">
      <c r="A17209" s="2" t="s">
        <v>8</v>
      </c>
      <c r="B17209" s="2" t="str">
        <f>HYPERLINK("http://ts.21cn.com/tousu/show/id/1349002","videoleap苹果支付扣费")</f>
        <v>videoleap苹果支付扣费</v>
      </c>
      <c r="C17209" s="2" t="s">
        <v>34</v>
      </c>
      <c r="D17209" s="2" t="s">
        <v>10</v>
      </c>
      <c r="E17209" s="2" t="str">
        <f>HYPERLINK("http://ts.21cn.com/tousu/show/id/1349002","http://ts.21cn.com/tousu/show/id/1349002")</f>
        <v>http://ts.21cn.com/tousu/show/id/1349002</v>
      </c>
      <c r="F17209" s="2" t="s">
        <v>11</v>
      </c>
      <c r="G17209" s="2" t="s">
        <v>10344</v>
      </c>
      <c r="H17209" s="2" t="s">
        <v>10345</v>
      </c>
    </row>
    <row r="17210" spans="1:8" ht="25.05" customHeight="1" x14ac:dyDescent="0.25">
      <c r="A17210" s="2" t="s">
        <v>8</v>
      </c>
      <c r="B17210" s="2" t="str">
        <f>HYPERLINK("http://ts.21cn.com/tousu/show/id/1349001","掌众金融闪电借款高额砍头息")</f>
        <v>掌众金融闪电借款高额砍头息</v>
      </c>
      <c r="C17210" s="2" t="s">
        <v>9</v>
      </c>
      <c r="D17210" s="2" t="s">
        <v>10</v>
      </c>
      <c r="E17210" s="2" t="str">
        <f>HYPERLINK("http://ts.21cn.com/tousu/show/id/1349001","http://ts.21cn.com/tousu/show/id/1349001")</f>
        <v>http://ts.21cn.com/tousu/show/id/1349001</v>
      </c>
      <c r="F17210" s="2" t="s">
        <v>11</v>
      </c>
      <c r="G17210" s="2" t="s">
        <v>10342</v>
      </c>
      <c r="H17210" s="2" t="s">
        <v>10343</v>
      </c>
    </row>
    <row r="17211" spans="1:8" ht="25.05" customHeight="1" x14ac:dyDescent="0.25">
      <c r="A17211" s="2" t="s">
        <v>8</v>
      </c>
      <c r="B17211" s="2" t="str">
        <f>HYPERLINK("http://ts.21cn.com/tousu/show/id/1349004","恒昌利通恒易贷虚假合同并恐吓威胁消费者")</f>
        <v>恒昌利通恒易贷虚假合同并恐吓威胁消费者</v>
      </c>
      <c r="C17211" s="2" t="s">
        <v>9</v>
      </c>
      <c r="D17211" s="2" t="s">
        <v>10</v>
      </c>
      <c r="E17211" s="2" t="str">
        <f>HYPERLINK("http://ts.21cn.com/tousu/show/id/1349004","http://ts.21cn.com/tousu/show/id/1349004")</f>
        <v>http://ts.21cn.com/tousu/show/id/1349004</v>
      </c>
      <c r="F17211" s="2" t="s">
        <v>11</v>
      </c>
      <c r="G17211" s="2" t="s">
        <v>10340</v>
      </c>
      <c r="H17211" s="2" t="s">
        <v>10341</v>
      </c>
    </row>
    <row r="17212" spans="1:8" ht="25.05" customHeight="1" x14ac:dyDescent="0.25">
      <c r="A17212" s="2" t="s">
        <v>8</v>
      </c>
      <c r="B17212" s="2" t="str">
        <f>HYPERLINK("http://ts.21cn.com/tousu/show/id/1349007","掌众金服闪电借款协商问题")</f>
        <v>掌众金服闪电借款协商问题</v>
      </c>
      <c r="C17212" s="2" t="s">
        <v>9</v>
      </c>
      <c r="D17212" s="2" t="s">
        <v>10</v>
      </c>
      <c r="E17212" s="2" t="str">
        <f>HYPERLINK("http://ts.21cn.com/tousu/show/id/1349007","http://ts.21cn.com/tousu/show/id/1349007")</f>
        <v>http://ts.21cn.com/tousu/show/id/1349007</v>
      </c>
      <c r="F17212" s="2" t="s">
        <v>11</v>
      </c>
      <c r="G17212" s="2" t="s">
        <v>10338</v>
      </c>
      <c r="H17212" s="2" t="s">
        <v>10339</v>
      </c>
    </row>
    <row r="17213" spans="1:8" ht="25.05" customHeight="1" x14ac:dyDescent="0.25">
      <c r="A17213" s="2" t="s">
        <v>8</v>
      </c>
      <c r="B17213" s="2" t="str">
        <f>HYPERLINK("http://ts.21cn.com/tousu/show/id/1349005","东莞市轻奢维体健身房第二次无缘无故关门，老板跑路")</f>
        <v>东莞市轻奢维体健身房第二次无缘无故关门，老板跑路</v>
      </c>
      <c r="C17213" s="2" t="s">
        <v>9</v>
      </c>
      <c r="D17213" s="2" t="s">
        <v>10</v>
      </c>
      <c r="E17213" s="2" t="str">
        <f>HYPERLINK("http://ts.21cn.com/tousu/show/id/1349005","http://ts.21cn.com/tousu/show/id/1349005")</f>
        <v>http://ts.21cn.com/tousu/show/id/1349005</v>
      </c>
      <c r="F17213" s="2" t="s">
        <v>11</v>
      </c>
      <c r="G17213" s="2" t="s">
        <v>10335</v>
      </c>
      <c r="H17213" s="2" t="s">
        <v>10336</v>
      </c>
    </row>
    <row r="17214" spans="1:8" ht="25.05" customHeight="1" x14ac:dyDescent="0.25">
      <c r="A17214" s="2" t="s">
        <v>8</v>
      </c>
      <c r="B17214" s="2" t="str">
        <f>HYPERLINK("http://ts.21cn.com/tousu/show/id/1349006","交易猫投保险拒绝理赔")</f>
        <v>交易猫投保险拒绝理赔</v>
      </c>
      <c r="C17214" s="2" t="s">
        <v>9</v>
      </c>
      <c r="D17214" s="2" t="s">
        <v>10</v>
      </c>
      <c r="E17214" s="2" t="str">
        <f>HYPERLINK("http://ts.21cn.com/tousu/show/id/1349006","http://ts.21cn.com/tousu/show/id/1349006")</f>
        <v>http://ts.21cn.com/tousu/show/id/1349006</v>
      </c>
      <c r="F17214" s="2" t="s">
        <v>11</v>
      </c>
      <c r="G17214" s="2" t="s">
        <v>10335</v>
      </c>
      <c r="H17214" s="2" t="s">
        <v>10337</v>
      </c>
    </row>
    <row r="17215" spans="1:8" ht="25.05" customHeight="1" x14ac:dyDescent="0.25">
      <c r="A17215" s="2" t="s">
        <v>8</v>
      </c>
      <c r="B17215" s="2" t="str">
        <f>HYPERLINK("http://ts.21cn.com/tousu/show/id/1349009","拼多多商户涉嫌为博彩黑平台收款")</f>
        <v>拼多多商户涉嫌为博彩黑平台收款</v>
      </c>
      <c r="C17215" s="2" t="s">
        <v>9</v>
      </c>
      <c r="D17215" s="2" t="s">
        <v>10</v>
      </c>
      <c r="E17215" s="2" t="str">
        <f>HYPERLINK("http://ts.21cn.com/tousu/show/id/1349009","http://ts.21cn.com/tousu/show/id/1349009")</f>
        <v>http://ts.21cn.com/tousu/show/id/1349009</v>
      </c>
      <c r="F17215" s="2" t="s">
        <v>11</v>
      </c>
      <c r="G17215" s="2" t="s">
        <v>10333</v>
      </c>
      <c r="H17215" s="2" t="s">
        <v>10334</v>
      </c>
    </row>
    <row r="17216" spans="1:8" ht="25.05" customHeight="1" x14ac:dyDescent="0.25">
      <c r="A17216" s="2" t="s">
        <v>8</v>
      </c>
      <c r="B17216" s="2" t="str">
        <f>HYPERLINK("http://ts.21cn.com/tousu/show/id/1349008","威胁带恐吓，")</f>
        <v>威胁带恐吓，</v>
      </c>
      <c r="C17216" s="2" t="s">
        <v>9</v>
      </c>
      <c r="D17216" s="2" t="s">
        <v>10</v>
      </c>
      <c r="E17216" s="2" t="str">
        <f>HYPERLINK("http://ts.21cn.com/tousu/show/id/1349008","http://ts.21cn.com/tousu/show/id/1349008")</f>
        <v>http://ts.21cn.com/tousu/show/id/1349008</v>
      </c>
      <c r="F17216" s="2" t="s">
        <v>11</v>
      </c>
      <c r="G17216" s="2" t="s">
        <v>10331</v>
      </c>
      <c r="H17216" s="2" t="s">
        <v>10332</v>
      </c>
    </row>
    <row r="17217" spans="1:8" ht="25.05" customHeight="1" x14ac:dyDescent="0.25">
      <c r="A17217" s="2" t="s">
        <v>8</v>
      </c>
      <c r="B17217" s="2" t="str">
        <f>HYPERLINK("http://ts.21cn.com/tousu/show/id/1348990","御剑飞行强制贷款")</f>
        <v>御剑飞行强制贷款</v>
      </c>
      <c r="C17217" s="2" t="s">
        <v>9</v>
      </c>
      <c r="D17217" s="2" t="s">
        <v>10</v>
      </c>
      <c r="E17217" s="2" t="str">
        <f>HYPERLINK("http://ts.21cn.com/tousu/show/id/1348990","http://ts.21cn.com/tousu/show/id/1348990")</f>
        <v>http://ts.21cn.com/tousu/show/id/1348990</v>
      </c>
      <c r="F17217" s="2" t="s">
        <v>11</v>
      </c>
      <c r="G17217" s="2" t="s">
        <v>10329</v>
      </c>
      <c r="H17217" s="2" t="s">
        <v>10330</v>
      </c>
    </row>
    <row r="17218" spans="1:8" ht="25.05" customHeight="1" x14ac:dyDescent="0.25">
      <c r="A17218" s="2" t="s">
        <v>8</v>
      </c>
      <c r="B17218" s="2" t="str">
        <f>HYPERLINK("http://ts.21cn.com/tousu/show/id/1349013","维信现贷高利贷")</f>
        <v>维信现贷高利贷</v>
      </c>
      <c r="C17218" s="2" t="s">
        <v>9</v>
      </c>
      <c r="D17218" s="2" t="s">
        <v>10</v>
      </c>
      <c r="E17218" s="2" t="str">
        <f>HYPERLINK("http://ts.21cn.com/tousu/show/id/1349013","http://ts.21cn.com/tousu/show/id/1349013")</f>
        <v>http://ts.21cn.com/tousu/show/id/1349013</v>
      </c>
      <c r="F17218" s="2" t="s">
        <v>11</v>
      </c>
      <c r="G17218" s="2" t="s">
        <v>10327</v>
      </c>
      <c r="H17218" s="2" t="s">
        <v>10328</v>
      </c>
    </row>
    <row r="17219" spans="1:8" ht="25.05" customHeight="1" x14ac:dyDescent="0.25">
      <c r="A17219" s="2" t="s">
        <v>8</v>
      </c>
      <c r="B17219" s="2" t="str">
        <f>HYPERLINK("http://ts.21cn.com/tousu/show/id/1349014","714高炮喵下贷暴力催收")</f>
        <v>714高炮喵下贷暴力催收</v>
      </c>
      <c r="C17219" s="2" t="s">
        <v>9</v>
      </c>
      <c r="D17219" s="2" t="s">
        <v>10</v>
      </c>
      <c r="E17219" s="2" t="str">
        <f>HYPERLINK("http://ts.21cn.com/tousu/show/id/1349014","http://ts.21cn.com/tousu/show/id/1349014")</f>
        <v>http://ts.21cn.com/tousu/show/id/1349014</v>
      </c>
      <c r="F17219" s="2" t="s">
        <v>11</v>
      </c>
      <c r="G17219" s="2" t="s">
        <v>10325</v>
      </c>
      <c r="H17219" s="2" t="s">
        <v>10326</v>
      </c>
    </row>
    <row r="17220" spans="1:8" ht="25.05" customHeight="1" x14ac:dyDescent="0.25">
      <c r="A17220" s="2" t="s">
        <v>8</v>
      </c>
      <c r="B17220" s="2" t="str">
        <f>HYPERLINK("http://ts.21cn.com/tousu/show/id/1349015","智行加钱抢票，未成功")</f>
        <v>智行加钱抢票，未成功</v>
      </c>
      <c r="C17220" s="2" t="s">
        <v>34</v>
      </c>
      <c r="D17220" s="2" t="s">
        <v>10</v>
      </c>
      <c r="E17220" s="2" t="str">
        <f>HYPERLINK("http://ts.21cn.com/tousu/show/id/1349015","http://ts.21cn.com/tousu/show/id/1349015")</f>
        <v>http://ts.21cn.com/tousu/show/id/1349015</v>
      </c>
      <c r="F17220" s="2" t="s">
        <v>11</v>
      </c>
      <c r="G17220" s="2" t="s">
        <v>10323</v>
      </c>
      <c r="H17220" s="2" t="s">
        <v>10324</v>
      </c>
    </row>
    <row r="17221" spans="1:8" ht="25.05" customHeight="1" x14ac:dyDescent="0.25">
      <c r="A17221" s="2" t="s">
        <v>8</v>
      </c>
      <c r="B17221" s="2" t="str">
        <f>HYPERLINK("http://ts.21cn.com/tousu/show/id/1349016","造艺科技违规扣款，客服拒不退款")</f>
        <v>造艺科技违规扣款，客服拒不退款</v>
      </c>
      <c r="C17221" s="2" t="s">
        <v>9</v>
      </c>
      <c r="D17221" s="2" t="s">
        <v>10</v>
      </c>
      <c r="E17221" s="2" t="str">
        <f>HYPERLINK("http://ts.21cn.com/tousu/show/id/1349016","http://ts.21cn.com/tousu/show/id/1349016")</f>
        <v>http://ts.21cn.com/tousu/show/id/1349016</v>
      </c>
      <c r="F17221" s="2" t="s">
        <v>11</v>
      </c>
      <c r="G17221" s="2" t="s">
        <v>10321</v>
      </c>
      <c r="H17221" s="2" t="s">
        <v>10322</v>
      </c>
    </row>
    <row r="17222" spans="1:8" ht="25.05" customHeight="1" x14ac:dyDescent="0.25">
      <c r="A17222" s="2" t="s">
        <v>8</v>
      </c>
      <c r="B17222" s="2" t="str">
        <f>HYPERLINK("http://ts.21cn.com/tousu/show/id/1349017","钱站的利息好恐怖")</f>
        <v>钱站的利息好恐怖</v>
      </c>
      <c r="C17222" s="2" t="s">
        <v>9</v>
      </c>
      <c r="D17222" s="2" t="s">
        <v>10</v>
      </c>
      <c r="E17222" s="2" t="str">
        <f>HYPERLINK("http://ts.21cn.com/tousu/show/id/1349017","http://ts.21cn.com/tousu/show/id/1349017")</f>
        <v>http://ts.21cn.com/tousu/show/id/1349017</v>
      </c>
      <c r="F17222" s="2" t="s">
        <v>11</v>
      </c>
      <c r="G17222" s="2" t="s">
        <v>10319</v>
      </c>
      <c r="H17222" s="2" t="s">
        <v>10320</v>
      </c>
    </row>
    <row r="17223" spans="1:8" ht="25.05" customHeight="1" x14ac:dyDescent="0.25">
      <c r="A17223" s="2" t="s">
        <v>8</v>
      </c>
      <c r="B17223" s="2" t="str">
        <f>HYPERLINK("http://ts.21cn.com/tousu/show/id/1349019","玖富万卡高额利息")</f>
        <v>玖富万卡高额利息</v>
      </c>
      <c r="C17223" s="2" t="s">
        <v>9</v>
      </c>
      <c r="D17223" s="2" t="s">
        <v>10</v>
      </c>
      <c r="E17223" s="2" t="str">
        <f>HYPERLINK("http://ts.21cn.com/tousu/show/id/1349019","http://ts.21cn.com/tousu/show/id/1349019")</f>
        <v>http://ts.21cn.com/tousu/show/id/1349019</v>
      </c>
      <c r="F17223" s="2" t="s">
        <v>11</v>
      </c>
      <c r="G17223" s="2" t="s">
        <v>10317</v>
      </c>
      <c r="H17223" s="2" t="s">
        <v>10318</v>
      </c>
    </row>
    <row r="17224" spans="1:8" ht="25.05" customHeight="1" x14ac:dyDescent="0.25">
      <c r="A17224" s="2" t="s">
        <v>8</v>
      </c>
      <c r="B17224" s="2" t="str">
        <f>HYPERLINK("http://ts.21cn.com/tousu/show/id/1349020","嗨钱网还款了不入账一直显示逾期")</f>
        <v>嗨钱网还款了不入账一直显示逾期</v>
      </c>
      <c r="C17224" s="2" t="s">
        <v>9</v>
      </c>
      <c r="D17224" s="2" t="s">
        <v>10</v>
      </c>
      <c r="E17224" s="2" t="str">
        <f>HYPERLINK("http://ts.21cn.com/tousu/show/id/1349020","http://ts.21cn.com/tousu/show/id/1349020")</f>
        <v>http://ts.21cn.com/tousu/show/id/1349020</v>
      </c>
      <c r="F17224" s="2" t="s">
        <v>11</v>
      </c>
      <c r="G17224" s="2" t="s">
        <v>10315</v>
      </c>
      <c r="H17224" s="2" t="s">
        <v>10316</v>
      </c>
    </row>
    <row r="17225" spans="1:8" ht="25.05" customHeight="1" x14ac:dyDescent="0.25">
      <c r="A17225" s="2" t="s">
        <v>8</v>
      </c>
      <c r="B17225" s="2" t="str">
        <f>HYPERLINK("http://ts.21cn.com/tousu/show/id/1349021","信而富变相收取高额费用")</f>
        <v>信而富变相收取高额费用</v>
      </c>
      <c r="C17225" s="2" t="s">
        <v>9</v>
      </c>
      <c r="D17225" s="2" t="s">
        <v>10</v>
      </c>
      <c r="E17225" s="2" t="str">
        <f>HYPERLINK("http://ts.21cn.com/tousu/show/id/1349021","http://ts.21cn.com/tousu/show/id/1349021")</f>
        <v>http://ts.21cn.com/tousu/show/id/1349021</v>
      </c>
      <c r="F17225" s="2" t="s">
        <v>11</v>
      </c>
      <c r="G17225" s="2" t="s">
        <v>10313</v>
      </c>
      <c r="H17225" s="2" t="s">
        <v>10314</v>
      </c>
    </row>
    <row r="17226" spans="1:8" ht="25.05" customHeight="1" x14ac:dyDescent="0.25">
      <c r="A17226" s="2" t="s">
        <v>8</v>
      </c>
      <c r="B17226" s="2" t="str">
        <f>HYPERLINK("http://ts.21cn.com/tousu/show/id/1349022","小遛共享欺诈消费者")</f>
        <v>小遛共享欺诈消费者</v>
      </c>
      <c r="C17226" s="2" t="s">
        <v>9</v>
      </c>
      <c r="D17226" s="2" t="s">
        <v>10</v>
      </c>
      <c r="E17226" s="2" t="str">
        <f>HYPERLINK("http://ts.21cn.com/tousu/show/id/1349022","http://ts.21cn.com/tousu/show/id/1349022")</f>
        <v>http://ts.21cn.com/tousu/show/id/1349022</v>
      </c>
      <c r="F17226" s="2" t="s">
        <v>11</v>
      </c>
      <c r="G17226" s="2" t="s">
        <v>10311</v>
      </c>
      <c r="H17226" s="2" t="s">
        <v>10312</v>
      </c>
    </row>
    <row r="17227" spans="1:8" ht="25.05" customHeight="1" x14ac:dyDescent="0.25">
      <c r="A17227" s="2" t="s">
        <v>8</v>
      </c>
      <c r="B17227" s="2" t="str">
        <f>HYPERLINK("http://ts.21cn.com/tousu/show/id/1349023","逾期短信轰炸威胁家人")</f>
        <v>逾期短信轰炸威胁家人</v>
      </c>
      <c r="C17227" s="2" t="s">
        <v>9</v>
      </c>
      <c r="D17227" s="2" t="s">
        <v>10</v>
      </c>
      <c r="E17227" s="2" t="str">
        <f>HYPERLINK("http://ts.21cn.com/tousu/show/id/1349023","http://ts.21cn.com/tousu/show/id/1349023")</f>
        <v>http://ts.21cn.com/tousu/show/id/1349023</v>
      </c>
      <c r="F17227" s="2" t="s">
        <v>11</v>
      </c>
      <c r="G17227" s="2" t="s">
        <v>10309</v>
      </c>
      <c r="H17227" s="2" t="s">
        <v>10310</v>
      </c>
    </row>
    <row r="17228" spans="1:8" ht="25.05" customHeight="1" x14ac:dyDescent="0.25">
      <c r="A17228" s="2" t="s">
        <v>8</v>
      </c>
      <c r="B17228" s="2" t="str">
        <f>HYPERLINK("http://ts.21cn.com/tousu/show/id/1349024","砍头费")</f>
        <v>砍头费</v>
      </c>
      <c r="C17228" s="2" t="s">
        <v>34</v>
      </c>
      <c r="D17228" s="2" t="s">
        <v>10</v>
      </c>
      <c r="E17228" s="2" t="str">
        <f>HYPERLINK("http://ts.21cn.com/tousu/show/id/1349024","http://ts.21cn.com/tousu/show/id/1349024")</f>
        <v>http://ts.21cn.com/tousu/show/id/1349024</v>
      </c>
      <c r="F17228" s="2" t="s">
        <v>11</v>
      </c>
      <c r="G17228" s="2" t="s">
        <v>10307</v>
      </c>
      <c r="H17228" s="2" t="s">
        <v>10308</v>
      </c>
    </row>
    <row r="17229" spans="1:8" ht="25.05" customHeight="1" x14ac:dyDescent="0.25">
      <c r="A17229" s="2" t="s">
        <v>8</v>
      </c>
      <c r="B17229" s="2" t="str">
        <f>HYPERLINK("http://ts.21cn.com/tousu/show/id/1349025","招联金融爆力催收威胁")</f>
        <v>招联金融爆力催收威胁</v>
      </c>
      <c r="C17229" s="2" t="s">
        <v>9</v>
      </c>
      <c r="D17229" s="2" t="s">
        <v>10</v>
      </c>
      <c r="E17229" s="2" t="str">
        <f>HYPERLINK("http://ts.21cn.com/tousu/show/id/1349025","http://ts.21cn.com/tousu/show/id/1349025")</f>
        <v>http://ts.21cn.com/tousu/show/id/1349025</v>
      </c>
      <c r="F17229" s="2" t="s">
        <v>11</v>
      </c>
      <c r="G17229" s="2" t="s">
        <v>10305</v>
      </c>
      <c r="H17229" s="2" t="s">
        <v>10306</v>
      </c>
    </row>
    <row r="17230" spans="1:8" ht="25.05" customHeight="1" x14ac:dyDescent="0.25">
      <c r="A17230" s="2" t="s">
        <v>8</v>
      </c>
      <c r="B17230" s="2" t="str">
        <f>HYPERLINK("http://ts.21cn.com/tousu/show/id/1349026","微粒贷暴力催收")</f>
        <v>微粒贷暴力催收</v>
      </c>
      <c r="C17230" s="2" t="s">
        <v>9</v>
      </c>
      <c r="D17230" s="2" t="s">
        <v>10</v>
      </c>
      <c r="E17230" s="2" t="str">
        <f>HYPERLINK("http://ts.21cn.com/tousu/show/id/1349026","http://ts.21cn.com/tousu/show/id/1349026")</f>
        <v>http://ts.21cn.com/tousu/show/id/1349026</v>
      </c>
      <c r="F17230" s="2" t="s">
        <v>11</v>
      </c>
      <c r="G17230" s="2" t="s">
        <v>10303</v>
      </c>
      <c r="H17230" s="2" t="s">
        <v>10304</v>
      </c>
    </row>
    <row r="17231" spans="1:8" ht="25.05" customHeight="1" x14ac:dyDescent="0.25">
      <c r="A17231" s="2" t="s">
        <v>8</v>
      </c>
      <c r="B17231" s="2" t="str">
        <f>HYPERLINK("http://ts.21cn.com/tousu/show/id/1157121","捷信高利贷上门催收不提前通知导致我妈妈高血压发病半身麻木")</f>
        <v>捷信高利贷上门催收不提前通知导致我妈妈高血压发病半身麻木</v>
      </c>
      <c r="C17231" s="2" t="s">
        <v>9</v>
      </c>
      <c r="D17231" s="2" t="s">
        <v>10</v>
      </c>
      <c r="E17231" s="2" t="str">
        <f>HYPERLINK("http://ts.21cn.com/tousu/show/id/1157121","http://ts.21cn.com/tousu/show/id/1157121")</f>
        <v>http://ts.21cn.com/tousu/show/id/1157121</v>
      </c>
      <c r="F17231" s="2" t="s">
        <v>11</v>
      </c>
      <c r="G17231" s="2" t="s">
        <v>10301</v>
      </c>
      <c r="H17231" s="2" t="s">
        <v>10302</v>
      </c>
    </row>
    <row r="17232" spans="1:8" ht="25.05" customHeight="1" x14ac:dyDescent="0.25">
      <c r="A17232" s="2" t="s">
        <v>8</v>
      </c>
      <c r="B17232" s="2" t="str">
        <f>HYPERLINK("http://ts.21cn.com/tousu/show/id/1349027","东莞市轻奢维体健身房第二次无缘无故关门，老板跑路")</f>
        <v>东莞市轻奢维体健身房第二次无缘无故关门，老板跑路</v>
      </c>
      <c r="C17232" s="2" t="s">
        <v>9</v>
      </c>
      <c r="D17232" s="2" t="s">
        <v>10</v>
      </c>
      <c r="E17232" s="2" t="str">
        <f>HYPERLINK("http://ts.21cn.com/tousu/show/id/1349027","http://ts.21cn.com/tousu/show/id/1349027")</f>
        <v>http://ts.21cn.com/tousu/show/id/1349027</v>
      </c>
      <c r="F17232" s="2" t="s">
        <v>11</v>
      </c>
      <c r="G17232" s="2" t="s">
        <v>10299</v>
      </c>
      <c r="H17232" s="2" t="s">
        <v>10300</v>
      </c>
    </row>
    <row r="17233" spans="1:8" ht="25.05" customHeight="1" x14ac:dyDescent="0.25">
      <c r="A17233" s="2" t="s">
        <v>8</v>
      </c>
      <c r="B17233" s="2" t="str">
        <f>HYPERLINK("http://ts.21cn.com/tousu/show/id/1349030","为高利贷导流，")</f>
        <v>为高利贷导流，</v>
      </c>
      <c r="C17233" s="2" t="s">
        <v>9</v>
      </c>
      <c r="D17233" s="2" t="s">
        <v>10</v>
      </c>
      <c r="E17233" s="2" t="str">
        <f>HYPERLINK("http://ts.21cn.com/tousu/show/id/1349030","http://ts.21cn.com/tousu/show/id/1349030")</f>
        <v>http://ts.21cn.com/tousu/show/id/1349030</v>
      </c>
      <c r="F17233" s="2" t="s">
        <v>11</v>
      </c>
      <c r="G17233" s="2" t="s">
        <v>10297</v>
      </c>
      <c r="H17233" s="2" t="s">
        <v>10298</v>
      </c>
    </row>
    <row r="17234" spans="1:8" ht="25.05" customHeight="1" x14ac:dyDescent="0.25">
      <c r="A17234" s="2" t="s">
        <v>8</v>
      </c>
      <c r="B17234" s="2" t="str">
        <f>HYPERLINK("http://ts.21cn.com/tousu/show/id/1349031","安逸花爆力催收威胁")</f>
        <v>安逸花爆力催收威胁</v>
      </c>
      <c r="C17234" s="2" t="s">
        <v>9</v>
      </c>
      <c r="D17234" s="2" t="s">
        <v>10</v>
      </c>
      <c r="E17234" s="2" t="str">
        <f>HYPERLINK("http://ts.21cn.com/tousu/show/id/1349031","http://ts.21cn.com/tousu/show/id/1349031")</f>
        <v>http://ts.21cn.com/tousu/show/id/1349031</v>
      </c>
      <c r="F17234" s="2" t="s">
        <v>11</v>
      </c>
      <c r="G17234" s="2" t="s">
        <v>10295</v>
      </c>
      <c r="H17234" s="2" t="s">
        <v>10296</v>
      </c>
    </row>
    <row r="17235" spans="1:8" ht="25.05" customHeight="1" x14ac:dyDescent="0.25">
      <c r="A17235" s="2" t="s">
        <v>8</v>
      </c>
      <c r="B17235" s="2" t="str">
        <f>HYPERLINK("http://ts.21cn.com/tousu/show/id/1349032","拼多多售假")</f>
        <v>拼多多售假</v>
      </c>
      <c r="C17235" s="2" t="s">
        <v>9</v>
      </c>
      <c r="D17235" s="2" t="s">
        <v>10</v>
      </c>
      <c r="E17235" s="2" t="str">
        <f>HYPERLINK("http://ts.21cn.com/tousu/show/id/1349032","http://ts.21cn.com/tousu/show/id/1349032")</f>
        <v>http://ts.21cn.com/tousu/show/id/1349032</v>
      </c>
      <c r="F17235" s="2" t="s">
        <v>11</v>
      </c>
      <c r="G17235" s="2" t="s">
        <v>10293</v>
      </c>
      <c r="H17235" s="2" t="s">
        <v>10294</v>
      </c>
    </row>
    <row r="17236" spans="1:8" ht="25.05" customHeight="1" x14ac:dyDescent="0.25">
      <c r="A17236" s="2" t="s">
        <v>8</v>
      </c>
      <c r="B17236" s="2" t="str">
        <f>HYPERLINK("http://ts.21cn.com/tousu/show/id/1349033","恒安标准人寿捆绑网贷销售保险")</f>
        <v>恒安标准人寿捆绑网贷销售保险</v>
      </c>
      <c r="C17236" s="2" t="s">
        <v>9</v>
      </c>
      <c r="D17236" s="2" t="s">
        <v>10</v>
      </c>
      <c r="E17236" s="2" t="str">
        <f>HYPERLINK("http://ts.21cn.com/tousu/show/id/1349033","http://ts.21cn.com/tousu/show/id/1349033")</f>
        <v>http://ts.21cn.com/tousu/show/id/1349033</v>
      </c>
      <c r="F17236" s="2" t="s">
        <v>11</v>
      </c>
      <c r="G17236" s="2" t="s">
        <v>10290</v>
      </c>
      <c r="H17236" s="2" t="s">
        <v>10291</v>
      </c>
    </row>
    <row r="17237" spans="1:8" ht="25.05" customHeight="1" x14ac:dyDescent="0.25">
      <c r="A17237" s="2" t="s">
        <v>8</v>
      </c>
      <c r="B17237" s="2" t="str">
        <f>HYPERLINK("http://ts.21cn.com/tousu/show/id/1349034","小赢卡贷威胁")</f>
        <v>小赢卡贷威胁</v>
      </c>
      <c r="C17237" s="2" t="s">
        <v>9</v>
      </c>
      <c r="D17237" s="2" t="s">
        <v>10</v>
      </c>
      <c r="E17237" s="2" t="str">
        <f>HYPERLINK("http://ts.21cn.com/tousu/show/id/1349034","http://ts.21cn.com/tousu/show/id/1349034")</f>
        <v>http://ts.21cn.com/tousu/show/id/1349034</v>
      </c>
      <c r="F17237" s="2" t="s">
        <v>11</v>
      </c>
      <c r="G17237" s="2" t="s">
        <v>10290</v>
      </c>
      <c r="H17237" s="2" t="s">
        <v>10292</v>
      </c>
    </row>
    <row r="17238" spans="1:8" ht="25.05" customHeight="1" x14ac:dyDescent="0.25">
      <c r="A17238" s="2" t="s">
        <v>8</v>
      </c>
      <c r="B17238" s="2" t="str">
        <f>HYPERLINK("http://ts.21cn.com/tousu/show/id/1349035","尚德拒退学费")</f>
        <v>尚德拒退学费</v>
      </c>
      <c r="C17238" s="2" t="s">
        <v>9</v>
      </c>
      <c r="D17238" s="2" t="s">
        <v>10</v>
      </c>
      <c r="E17238" s="2" t="str">
        <f>HYPERLINK("http://ts.21cn.com/tousu/show/id/1349035","http://ts.21cn.com/tousu/show/id/1349035")</f>
        <v>http://ts.21cn.com/tousu/show/id/1349035</v>
      </c>
      <c r="F17238" s="2" t="s">
        <v>11</v>
      </c>
      <c r="G17238" s="2" t="s">
        <v>10288</v>
      </c>
      <c r="H17238" s="2" t="s">
        <v>10289</v>
      </c>
    </row>
    <row r="17239" spans="1:8" ht="25.05" customHeight="1" x14ac:dyDescent="0.25">
      <c r="A17239" s="2" t="s">
        <v>8</v>
      </c>
      <c r="B17239" s="2" t="str">
        <f>HYPERLINK("http://ts.21cn.com/tousu/show/id/1349036","猫眼软件搞欺诈活动")</f>
        <v>猫眼软件搞欺诈活动</v>
      </c>
      <c r="C17239" s="2" t="s">
        <v>9</v>
      </c>
      <c r="D17239" s="2" t="s">
        <v>10</v>
      </c>
      <c r="E17239" s="2" t="str">
        <f>HYPERLINK("http://ts.21cn.com/tousu/show/id/1349036","http://ts.21cn.com/tousu/show/id/1349036")</f>
        <v>http://ts.21cn.com/tousu/show/id/1349036</v>
      </c>
      <c r="F17239" s="2" t="s">
        <v>11</v>
      </c>
      <c r="G17239" s="2" t="s">
        <v>10286</v>
      </c>
      <c r="H17239" s="2" t="s">
        <v>10287</v>
      </c>
    </row>
    <row r="17240" spans="1:8" ht="25.05" customHeight="1" x14ac:dyDescent="0.25">
      <c r="A17240" s="2" t="s">
        <v>8</v>
      </c>
      <c r="B17240" s="2" t="str">
        <f>HYPERLINK("http://ts.21cn.com/tousu/show/id/1349037","广发银行信用卡中心催收扰民影响生活")</f>
        <v>广发银行信用卡中心催收扰民影响生活</v>
      </c>
      <c r="C17240" s="2" t="s">
        <v>9</v>
      </c>
      <c r="D17240" s="2" t="s">
        <v>10</v>
      </c>
      <c r="E17240" s="2" t="str">
        <f>HYPERLINK("http://ts.21cn.com/tousu/show/id/1349037","http://ts.21cn.com/tousu/show/id/1349037")</f>
        <v>http://ts.21cn.com/tousu/show/id/1349037</v>
      </c>
      <c r="F17240" s="2" t="s">
        <v>11</v>
      </c>
      <c r="G17240" s="2" t="s">
        <v>10284</v>
      </c>
      <c r="H17240" s="2" t="s">
        <v>10285</v>
      </c>
    </row>
    <row r="17241" spans="1:8" ht="25.05" customHeight="1" x14ac:dyDescent="0.25">
      <c r="A17241" s="2" t="s">
        <v>8</v>
      </c>
      <c r="B17241" s="2" t="str">
        <f>HYPERLINK("http://ts.21cn.com/tousu/show/id/1349039","爱剪辑恶意扣费")</f>
        <v>爱剪辑恶意扣费</v>
      </c>
      <c r="C17241" s="2" t="s">
        <v>9</v>
      </c>
      <c r="D17241" s="2" t="s">
        <v>10</v>
      </c>
      <c r="E17241" s="2" t="str">
        <f>HYPERLINK("http://ts.21cn.com/tousu/show/id/1349039","http://ts.21cn.com/tousu/show/id/1349039")</f>
        <v>http://ts.21cn.com/tousu/show/id/1349039</v>
      </c>
      <c r="F17241" s="2" t="s">
        <v>11</v>
      </c>
      <c r="G17241" s="2" t="s">
        <v>10282</v>
      </c>
      <c r="H17241" s="2" t="s">
        <v>10283</v>
      </c>
    </row>
    <row r="17242" spans="1:8" ht="25.05" customHeight="1" x14ac:dyDescent="0.25">
      <c r="A17242" s="2" t="s">
        <v>8</v>
      </c>
      <c r="B17242" s="2" t="str">
        <f>HYPERLINK("http://ts.21cn.com/tousu/show/id/1349040","钱站利息坑人")</f>
        <v>钱站利息坑人</v>
      </c>
      <c r="C17242" s="2" t="s">
        <v>9</v>
      </c>
      <c r="D17242" s="2" t="s">
        <v>10</v>
      </c>
      <c r="E17242" s="2" t="str">
        <f>HYPERLINK("http://ts.21cn.com/tousu/show/id/1349040","http://ts.21cn.com/tousu/show/id/1349040")</f>
        <v>http://ts.21cn.com/tousu/show/id/1349040</v>
      </c>
      <c r="F17242" s="2" t="s">
        <v>11</v>
      </c>
      <c r="G17242" s="2" t="s">
        <v>10280</v>
      </c>
      <c r="H17242" s="2" t="s">
        <v>10281</v>
      </c>
    </row>
    <row r="17243" spans="1:8" ht="25.05" customHeight="1" x14ac:dyDescent="0.25">
      <c r="A17243" s="2" t="s">
        <v>8</v>
      </c>
      <c r="B17243" s="2" t="str">
        <f>HYPERLINK("http://ts.21cn.com/tousu/show/id/1349038","时光分期高利息")</f>
        <v>时光分期高利息</v>
      </c>
      <c r="C17243" s="2" t="s">
        <v>9</v>
      </c>
      <c r="D17243" s="2" t="s">
        <v>10</v>
      </c>
      <c r="E17243" s="2" t="str">
        <f>HYPERLINK("http://ts.21cn.com/tousu/show/id/1349038","http://ts.21cn.com/tousu/show/id/1349038")</f>
        <v>http://ts.21cn.com/tousu/show/id/1349038</v>
      </c>
      <c r="F17243" s="2" t="s">
        <v>11</v>
      </c>
      <c r="G17243" s="2" t="s">
        <v>10278</v>
      </c>
      <c r="H17243" s="2" t="s">
        <v>10279</v>
      </c>
    </row>
    <row r="17244" spans="1:8" ht="25.05" customHeight="1" x14ac:dyDescent="0.25">
      <c r="A17244" s="2" t="s">
        <v>8</v>
      </c>
      <c r="B17244" s="2" t="str">
        <f>HYPERLINK("http://ts.21cn.com/tousu/show/id/1349041","钱站网贷平台超高利息，让老百姓无法生活下去")</f>
        <v>钱站网贷平台超高利息，让老百姓无法生活下去</v>
      </c>
      <c r="C17244" s="2" t="s">
        <v>9</v>
      </c>
      <c r="D17244" s="2" t="s">
        <v>10</v>
      </c>
      <c r="E17244" s="2" t="str">
        <f>HYPERLINK("http://ts.21cn.com/tousu/show/id/1349041","http://ts.21cn.com/tousu/show/id/1349041")</f>
        <v>http://ts.21cn.com/tousu/show/id/1349041</v>
      </c>
      <c r="F17244" s="2" t="s">
        <v>11</v>
      </c>
      <c r="G17244" s="2" t="s">
        <v>10276</v>
      </c>
      <c r="H17244" s="2" t="s">
        <v>10277</v>
      </c>
    </row>
    <row r="17245" spans="1:8" ht="25.05" customHeight="1" x14ac:dyDescent="0.25">
      <c r="A17245" s="2" t="s">
        <v>8</v>
      </c>
      <c r="B17245" s="2" t="str">
        <f>HYPERLINK("http://ts.21cn.com/tousu/show/id/1349042","闪银旗下百万钱包存在砍头息，高额利息")</f>
        <v>闪银旗下百万钱包存在砍头息，高额利息</v>
      </c>
      <c r="C17245" s="2" t="s">
        <v>9</v>
      </c>
      <c r="D17245" s="2" t="s">
        <v>10</v>
      </c>
      <c r="E17245" s="2" t="str">
        <f>HYPERLINK("http://ts.21cn.com/tousu/show/id/1349042","http://ts.21cn.com/tousu/show/id/1349042")</f>
        <v>http://ts.21cn.com/tousu/show/id/1349042</v>
      </c>
      <c r="F17245" s="2" t="s">
        <v>11</v>
      </c>
      <c r="G17245" s="2" t="s">
        <v>10274</v>
      </c>
      <c r="H17245" s="2" t="s">
        <v>10275</v>
      </c>
    </row>
    <row r="17246" spans="1:8" ht="25.05" customHeight="1" x14ac:dyDescent="0.25">
      <c r="A17246" s="2" t="s">
        <v>8</v>
      </c>
      <c r="B17246" s="2" t="str">
        <f>HYPERLINK("http://ts.21cn.com/tousu/show/id/1349043","祈福南湾半岛楼吧乱收费问题")</f>
        <v>祈福南湾半岛楼吧乱收费问题</v>
      </c>
      <c r="C17246" s="2" t="s">
        <v>9</v>
      </c>
      <c r="D17246" s="2" t="s">
        <v>10</v>
      </c>
      <c r="E17246" s="2" t="str">
        <f>HYPERLINK("http://ts.21cn.com/tousu/show/id/1349043","http://ts.21cn.com/tousu/show/id/1349043")</f>
        <v>http://ts.21cn.com/tousu/show/id/1349043</v>
      </c>
      <c r="F17246" s="2" t="s">
        <v>11</v>
      </c>
      <c r="G17246" s="2" t="s">
        <v>10272</v>
      </c>
      <c r="H17246" s="2" t="s">
        <v>10273</v>
      </c>
    </row>
    <row r="17247" spans="1:8" ht="25.05" customHeight="1" x14ac:dyDescent="0.25">
      <c r="A17247" s="2" t="s">
        <v>8</v>
      </c>
      <c r="B17247" s="2" t="str">
        <f>HYPERLINK("http://ts.21cn.com/tousu/show/id/1349044","造艺科技,携趣信息科技（上海）有限公司,拇指下款")</f>
        <v>造艺科技,携趣信息科技（上海）有限公司,拇指下款</v>
      </c>
      <c r="C17247" s="2" t="s">
        <v>9</v>
      </c>
      <c r="D17247" s="2" t="s">
        <v>10</v>
      </c>
      <c r="E17247" s="2" t="str">
        <f>HYPERLINK("http://ts.21cn.com/tousu/show/id/1349044","http://ts.21cn.com/tousu/show/id/1349044")</f>
        <v>http://ts.21cn.com/tousu/show/id/1349044</v>
      </c>
      <c r="F17247" s="2" t="s">
        <v>11</v>
      </c>
      <c r="G17247" s="2" t="s">
        <v>10270</v>
      </c>
      <c r="H17247" s="2" t="s">
        <v>10271</v>
      </c>
    </row>
    <row r="17248" spans="1:8" ht="25.05" customHeight="1" x14ac:dyDescent="0.25">
      <c r="A17248" s="2" t="s">
        <v>8</v>
      </c>
      <c r="B17248" s="2" t="str">
        <f>HYPERLINK("http://ts.21cn.com/tousu/show/id/1349045","玖富万卡砍头息、高利贷")</f>
        <v>玖富万卡砍头息、高利贷</v>
      </c>
      <c r="C17248" s="2" t="s">
        <v>34</v>
      </c>
      <c r="D17248" s="2" t="s">
        <v>10</v>
      </c>
      <c r="E17248" s="2" t="str">
        <f>HYPERLINK("http://ts.21cn.com/tousu/show/id/1349045","http://ts.21cn.com/tousu/show/id/1349045")</f>
        <v>http://ts.21cn.com/tousu/show/id/1349045</v>
      </c>
      <c r="F17248" s="2" t="s">
        <v>11</v>
      </c>
      <c r="G17248" s="2" t="s">
        <v>10268</v>
      </c>
      <c r="H17248" s="2" t="s">
        <v>10269</v>
      </c>
    </row>
    <row r="17249" spans="1:8" ht="25.05" customHeight="1" x14ac:dyDescent="0.25">
      <c r="A17249" s="2" t="s">
        <v>8</v>
      </c>
      <c r="B17249" s="2" t="str">
        <f>HYPERLINK("http://ts.21cn.com/tousu/show/id/1349046","橘子分期买会员不退款")</f>
        <v>橘子分期买会员不退款</v>
      </c>
      <c r="C17249" s="2" t="s">
        <v>34</v>
      </c>
      <c r="D17249" s="2" t="s">
        <v>10</v>
      </c>
      <c r="E17249" s="2" t="str">
        <f>HYPERLINK("http://ts.21cn.com/tousu/show/id/1349046","http://ts.21cn.com/tousu/show/id/1349046")</f>
        <v>http://ts.21cn.com/tousu/show/id/1349046</v>
      </c>
      <c r="F17249" s="2" t="s">
        <v>11</v>
      </c>
      <c r="G17249" s="2" t="s">
        <v>10266</v>
      </c>
      <c r="H17249" s="2" t="s">
        <v>10267</v>
      </c>
    </row>
    <row r="17250" spans="1:8" ht="25.05" customHeight="1" x14ac:dyDescent="0.25">
      <c r="A17250" s="2" t="s">
        <v>8</v>
      </c>
      <c r="B17250" s="2" t="str">
        <f>HYPERLINK("http://ts.21cn.com/tousu/show/id/1349047","催收威胁")</f>
        <v>催收威胁</v>
      </c>
      <c r="C17250" s="2" t="s">
        <v>9</v>
      </c>
      <c r="D17250" s="2" t="s">
        <v>10</v>
      </c>
      <c r="E17250" s="2" t="str">
        <f>HYPERLINK("http://ts.21cn.com/tousu/show/id/1349047","http://ts.21cn.com/tousu/show/id/1349047")</f>
        <v>http://ts.21cn.com/tousu/show/id/1349047</v>
      </c>
      <c r="F17250" s="2" t="s">
        <v>11</v>
      </c>
      <c r="G17250" s="2" t="s">
        <v>10264</v>
      </c>
      <c r="H17250" s="2" t="s">
        <v>10265</v>
      </c>
    </row>
    <row r="17251" spans="1:8" ht="25.05" customHeight="1" x14ac:dyDescent="0.25">
      <c r="A17251" s="2" t="s">
        <v>8</v>
      </c>
      <c r="B17251" s="2" t="str">
        <f>HYPERLINK("http://ts.21cn.com/tousu/show/id/1349048","威胁恐吓")</f>
        <v>威胁恐吓</v>
      </c>
      <c r="C17251" s="2" t="s">
        <v>9</v>
      </c>
      <c r="D17251" s="2" t="s">
        <v>10</v>
      </c>
      <c r="E17251" s="2" t="str">
        <f>HYPERLINK("http://ts.21cn.com/tousu/show/id/1349048","http://ts.21cn.com/tousu/show/id/1349048")</f>
        <v>http://ts.21cn.com/tousu/show/id/1349048</v>
      </c>
      <c r="F17251" s="2" t="s">
        <v>11</v>
      </c>
      <c r="G17251" s="2" t="s">
        <v>10262</v>
      </c>
      <c r="H17251" s="2" t="s">
        <v>10263</v>
      </c>
    </row>
    <row r="17252" spans="1:8" ht="25.05" customHeight="1" x14ac:dyDescent="0.25">
      <c r="A17252" s="2" t="s">
        <v>8</v>
      </c>
      <c r="B17252" s="2" t="str">
        <f>HYPERLINK("http://ts.21cn.com/tousu/show/id/1349049","东莞市轻奢维体健身房第二次无缘无故关门，老板跑路")</f>
        <v>东莞市轻奢维体健身房第二次无缘无故关门，老板跑路</v>
      </c>
      <c r="C17252" s="2" t="s">
        <v>9</v>
      </c>
      <c r="D17252" s="2" t="s">
        <v>10</v>
      </c>
      <c r="E17252" s="2" t="str">
        <f>HYPERLINK("http://ts.21cn.com/tousu/show/id/1349049","http://ts.21cn.com/tousu/show/id/1349049")</f>
        <v>http://ts.21cn.com/tousu/show/id/1349049</v>
      </c>
      <c r="F17252" s="2" t="s">
        <v>11</v>
      </c>
      <c r="G17252" s="2" t="s">
        <v>10260</v>
      </c>
      <c r="H17252" s="2" t="s">
        <v>10261</v>
      </c>
    </row>
    <row r="17253" spans="1:8" ht="25.05" customHeight="1" x14ac:dyDescent="0.25">
      <c r="A17253" s="2" t="s">
        <v>8</v>
      </c>
      <c r="B17253" s="2" t="str">
        <f>HYPERLINK("http://ts.21cn.com/tousu/show/id/1349051","百度糯米本地直通车，私自后台暗箱操作调高推广费和无理不退还，终止业务剩余的推广费用")</f>
        <v>百度糯米本地直通车，私自后台暗箱操作调高推广费和无理不退还，终止业务剩余的推广费用</v>
      </c>
      <c r="C17253" s="2" t="s">
        <v>9</v>
      </c>
      <c r="D17253" s="2" t="s">
        <v>10</v>
      </c>
      <c r="E17253" s="2" t="str">
        <f>HYPERLINK("http://ts.21cn.com/tousu/show/id/1349051","http://ts.21cn.com/tousu/show/id/1349051")</f>
        <v>http://ts.21cn.com/tousu/show/id/1349051</v>
      </c>
      <c r="F17253" s="2" t="s">
        <v>11</v>
      </c>
      <c r="G17253" s="2" t="s">
        <v>10258</v>
      </c>
      <c r="H17253" s="2" t="s">
        <v>10259</v>
      </c>
    </row>
    <row r="17254" spans="1:8" ht="25.05" customHeight="1" x14ac:dyDescent="0.25">
      <c r="A17254" s="2" t="s">
        <v>8</v>
      </c>
      <c r="B17254" s="2" t="str">
        <f>HYPERLINK("http://ts.21cn.com/tousu/show/id/1349050","没有任何提示，逾期一天扣一百，")</f>
        <v>没有任何提示，逾期一天扣一百，</v>
      </c>
      <c r="C17254" s="2" t="s">
        <v>34</v>
      </c>
      <c r="D17254" s="2" t="s">
        <v>10</v>
      </c>
      <c r="E17254" s="2" t="str">
        <f>HYPERLINK("http://ts.21cn.com/tousu/show/id/1349050","http://ts.21cn.com/tousu/show/id/1349050")</f>
        <v>http://ts.21cn.com/tousu/show/id/1349050</v>
      </c>
      <c r="F17254" s="2" t="s">
        <v>11</v>
      </c>
      <c r="G17254" s="2" t="s">
        <v>10256</v>
      </c>
      <c r="H17254" s="2" t="s">
        <v>10257</v>
      </c>
    </row>
    <row r="17255" spans="1:8" ht="25.05" customHeight="1" x14ac:dyDescent="0.25">
      <c r="A17255" s="2" t="s">
        <v>8</v>
      </c>
      <c r="B17255" s="2" t="str">
        <f>HYPERLINK("http://ts.21cn.com/tousu/show/id/1349052","钱站放高利贷")</f>
        <v>钱站放高利贷</v>
      </c>
      <c r="C17255" s="2" t="s">
        <v>9</v>
      </c>
      <c r="D17255" s="2" t="s">
        <v>10</v>
      </c>
      <c r="E17255" s="2" t="str">
        <f>HYPERLINK("http://ts.21cn.com/tousu/show/id/1349052","http://ts.21cn.com/tousu/show/id/1349052")</f>
        <v>http://ts.21cn.com/tousu/show/id/1349052</v>
      </c>
      <c r="F17255" s="2" t="s">
        <v>11</v>
      </c>
      <c r="G17255" s="2" t="s">
        <v>10254</v>
      </c>
      <c r="H17255" s="2" t="s">
        <v>10255</v>
      </c>
    </row>
    <row r="17256" spans="1:8" ht="25.05" customHeight="1" x14ac:dyDescent="0.25">
      <c r="A17256" s="2" t="s">
        <v>8</v>
      </c>
      <c r="B17256" s="2" t="str">
        <f>HYPERLINK("http://ts.21cn.com/tousu/show/id/1349053","拍拍贷以找不到当事人对自己进行骚扰")</f>
        <v>拍拍贷以找不到当事人对自己进行骚扰</v>
      </c>
      <c r="C17256" s="2" t="s">
        <v>9</v>
      </c>
      <c r="D17256" s="2" t="s">
        <v>10</v>
      </c>
      <c r="E17256" s="2" t="str">
        <f>HYPERLINK("http://ts.21cn.com/tousu/show/id/1349053","http://ts.21cn.com/tousu/show/id/1349053")</f>
        <v>http://ts.21cn.com/tousu/show/id/1349053</v>
      </c>
      <c r="F17256" s="2" t="s">
        <v>11</v>
      </c>
      <c r="G17256" s="2" t="s">
        <v>10252</v>
      </c>
      <c r="H17256" s="2" t="s">
        <v>10253</v>
      </c>
    </row>
    <row r="17257" spans="1:8" ht="25.05" customHeight="1" x14ac:dyDescent="0.25">
      <c r="A17257" s="2" t="s">
        <v>8</v>
      </c>
      <c r="B17257" s="2" t="str">
        <f>HYPERLINK("http://ts.21cn.com/tousu/show/id/1349054","抖音平台大力推广贷款广告")</f>
        <v>抖音平台大力推广贷款广告</v>
      </c>
      <c r="C17257" s="2" t="s">
        <v>34</v>
      </c>
      <c r="D17257" s="2" t="s">
        <v>10</v>
      </c>
      <c r="E17257" s="2" t="str">
        <f>HYPERLINK("http://ts.21cn.com/tousu/show/id/1349054","http://ts.21cn.com/tousu/show/id/1349054")</f>
        <v>http://ts.21cn.com/tousu/show/id/1349054</v>
      </c>
      <c r="F17257" s="2" t="s">
        <v>11</v>
      </c>
      <c r="G17257" s="2" t="s">
        <v>10250</v>
      </c>
      <c r="H17257" s="2" t="s">
        <v>10251</v>
      </c>
    </row>
    <row r="17258" spans="1:8" ht="25.05" customHeight="1" x14ac:dyDescent="0.25">
      <c r="A17258" s="2" t="s">
        <v>8</v>
      </c>
      <c r="B17258" s="2" t="str">
        <f>HYPERLINK("http://ts.21cn.com/tousu/show/id/1349055","工商银行信用卡")</f>
        <v>工商银行信用卡</v>
      </c>
      <c r="C17258" s="2" t="s">
        <v>34</v>
      </c>
      <c r="D17258" s="2" t="s">
        <v>10</v>
      </c>
      <c r="E17258" s="2" t="str">
        <f>HYPERLINK("http://ts.21cn.com/tousu/show/id/1349055","http://ts.21cn.com/tousu/show/id/1349055")</f>
        <v>http://ts.21cn.com/tousu/show/id/1349055</v>
      </c>
      <c r="F17258" s="2" t="s">
        <v>11</v>
      </c>
      <c r="G17258" s="2" t="s">
        <v>10248</v>
      </c>
      <c r="H17258" s="2" t="s">
        <v>10249</v>
      </c>
    </row>
    <row r="17259" spans="1:8" ht="25.05" customHeight="1" x14ac:dyDescent="0.25">
      <c r="A17259" s="2" t="s">
        <v>8</v>
      </c>
      <c r="B17259" s="2" t="str">
        <f>HYPERLINK("http://ts.21cn.com/tousu/show/id/1349056","逾期费用太高")</f>
        <v>逾期费用太高</v>
      </c>
      <c r="C17259" s="2" t="s">
        <v>9</v>
      </c>
      <c r="D17259" s="2" t="s">
        <v>10</v>
      </c>
      <c r="E17259" s="2" t="str">
        <f>HYPERLINK("http://ts.21cn.com/tousu/show/id/1349056","http://ts.21cn.com/tousu/show/id/1349056")</f>
        <v>http://ts.21cn.com/tousu/show/id/1349056</v>
      </c>
      <c r="F17259" s="2" t="s">
        <v>11</v>
      </c>
      <c r="G17259" s="2" t="s">
        <v>10246</v>
      </c>
      <c r="H17259" s="2" t="s">
        <v>10247</v>
      </c>
    </row>
    <row r="17260" spans="1:8" ht="25.05" customHeight="1" x14ac:dyDescent="0.25">
      <c r="A17260" s="2" t="s">
        <v>8</v>
      </c>
      <c r="B17260" s="2" t="str">
        <f>HYPERLINK("http://ts.21cn.com/tousu/show/id/1349057","非法高利贷")</f>
        <v>非法高利贷</v>
      </c>
      <c r="C17260" s="2" t="s">
        <v>9</v>
      </c>
      <c r="D17260" s="2" t="s">
        <v>10</v>
      </c>
      <c r="E17260" s="2" t="str">
        <f>HYPERLINK("http://ts.21cn.com/tousu/show/id/1349057","http://ts.21cn.com/tousu/show/id/1349057")</f>
        <v>http://ts.21cn.com/tousu/show/id/1349057</v>
      </c>
      <c r="F17260" s="2" t="s">
        <v>11</v>
      </c>
      <c r="G17260" s="2" t="s">
        <v>10244</v>
      </c>
      <c r="H17260" s="2" t="s">
        <v>10245</v>
      </c>
    </row>
    <row r="17261" spans="1:8" ht="25.05" customHeight="1" x14ac:dyDescent="0.25">
      <c r="A17261" s="2" t="s">
        <v>8</v>
      </c>
      <c r="B17261" s="2" t="str">
        <f>HYPERLINK("http://ts.21cn.com/tousu/show/id/1349058","捷信金融高利贷")</f>
        <v>捷信金融高利贷</v>
      </c>
      <c r="C17261" s="2" t="s">
        <v>9</v>
      </c>
      <c r="D17261" s="2" t="s">
        <v>10</v>
      </c>
      <c r="E17261" s="2" t="str">
        <f>HYPERLINK("http://ts.21cn.com/tousu/show/id/1349058","http://ts.21cn.com/tousu/show/id/1349058")</f>
        <v>http://ts.21cn.com/tousu/show/id/1349058</v>
      </c>
      <c r="F17261" s="2" t="s">
        <v>11</v>
      </c>
      <c r="G17261" s="2" t="s">
        <v>10242</v>
      </c>
      <c r="H17261" s="2" t="s">
        <v>10243</v>
      </c>
    </row>
    <row r="17262" spans="1:8" ht="25.05" customHeight="1" x14ac:dyDescent="0.25">
      <c r="A17262" s="2" t="s">
        <v>8</v>
      </c>
      <c r="B17262" s="2" t="str">
        <f>HYPERLINK("http://ts.21cn.com/tousu/show/id/1349059","iTunes扣费")</f>
        <v>iTunes扣费</v>
      </c>
      <c r="C17262" s="2" t="s">
        <v>9</v>
      </c>
      <c r="D17262" s="2" t="s">
        <v>10</v>
      </c>
      <c r="E17262" s="2" t="str">
        <f>HYPERLINK("http://ts.21cn.com/tousu/show/id/1349059","http://ts.21cn.com/tousu/show/id/1349059")</f>
        <v>http://ts.21cn.com/tousu/show/id/1349059</v>
      </c>
      <c r="F17262" s="2" t="s">
        <v>11</v>
      </c>
      <c r="G17262" s="2" t="s">
        <v>10240</v>
      </c>
      <c r="H17262" s="2" t="s">
        <v>10241</v>
      </c>
    </row>
    <row r="17263" spans="1:8" ht="25.05" customHeight="1" x14ac:dyDescent="0.25">
      <c r="A17263" s="2" t="s">
        <v>8</v>
      </c>
      <c r="B17263" s="2" t="str">
        <f>HYPERLINK("http://ts.21cn.com/tousu/show/id/1349060","酒店未入住不退款")</f>
        <v>酒店未入住不退款</v>
      </c>
      <c r="C17263" s="2" t="s">
        <v>9</v>
      </c>
      <c r="D17263" s="2" t="s">
        <v>10</v>
      </c>
      <c r="E17263" s="2" t="str">
        <f>HYPERLINK("http://ts.21cn.com/tousu/show/id/1349060","http://ts.21cn.com/tousu/show/id/1349060")</f>
        <v>http://ts.21cn.com/tousu/show/id/1349060</v>
      </c>
      <c r="F17263" s="2" t="s">
        <v>11</v>
      </c>
      <c r="G17263" s="2" t="s">
        <v>10238</v>
      </c>
      <c r="H17263" s="2" t="s">
        <v>10239</v>
      </c>
    </row>
    <row r="17264" spans="1:8" ht="25.05" customHeight="1" x14ac:dyDescent="0.25">
      <c r="A17264" s="2" t="s">
        <v>8</v>
      </c>
      <c r="B17264" s="2" t="str">
        <f>HYPERLINK("http://ts.21cn.com/tousu/show/id/1349061","闪电借款黑卡砍头息请退回！")</f>
        <v>闪电借款黑卡砍头息请退回！</v>
      </c>
      <c r="C17264" s="2" t="s">
        <v>9</v>
      </c>
      <c r="D17264" s="2" t="s">
        <v>10</v>
      </c>
      <c r="E17264" s="2" t="str">
        <f>HYPERLINK("http://ts.21cn.com/tousu/show/id/1349061","http://ts.21cn.com/tousu/show/id/1349061")</f>
        <v>http://ts.21cn.com/tousu/show/id/1349061</v>
      </c>
      <c r="F17264" s="2" t="s">
        <v>11</v>
      </c>
      <c r="G17264" s="2" t="s">
        <v>10236</v>
      </c>
      <c r="H17264" s="2" t="s">
        <v>10237</v>
      </c>
    </row>
    <row r="17265" spans="1:8" ht="25.05" customHeight="1" x14ac:dyDescent="0.25">
      <c r="A17265" s="2" t="s">
        <v>8</v>
      </c>
      <c r="B17265" s="2" t="str">
        <f>HYPERLINK("http://ts.21cn.com/tousu/show/id/1349062","要求易宝支付，极速钱包退还砍头息")</f>
        <v>要求易宝支付，极速钱包退还砍头息</v>
      </c>
      <c r="C17265" s="2" t="s">
        <v>9</v>
      </c>
      <c r="D17265" s="2" t="s">
        <v>10</v>
      </c>
      <c r="E17265" s="2" t="str">
        <f>HYPERLINK("http://ts.21cn.com/tousu/show/id/1349062","http://ts.21cn.com/tousu/show/id/1349062")</f>
        <v>http://ts.21cn.com/tousu/show/id/1349062</v>
      </c>
      <c r="F17265" s="2" t="s">
        <v>11</v>
      </c>
      <c r="G17265" s="2" t="s">
        <v>10234</v>
      </c>
      <c r="H17265" s="2" t="s">
        <v>10235</v>
      </c>
    </row>
    <row r="17266" spans="1:8" ht="25.05" customHeight="1" x14ac:dyDescent="0.25">
      <c r="A17266" s="2" t="s">
        <v>8</v>
      </c>
      <c r="B17266" s="2" t="str">
        <f>HYPERLINK("http://ts.21cn.com/tousu/show/id/1349063","东莞市轻奢维体健身房第二次无缘无故关门，老板跑路")</f>
        <v>东莞市轻奢维体健身房第二次无缘无故关门，老板跑路</v>
      </c>
      <c r="C17266" s="2" t="s">
        <v>9</v>
      </c>
      <c r="D17266" s="2" t="s">
        <v>10</v>
      </c>
      <c r="E17266" s="2" t="str">
        <f>HYPERLINK("http://ts.21cn.com/tousu/show/id/1349063","http://ts.21cn.com/tousu/show/id/1349063")</f>
        <v>http://ts.21cn.com/tousu/show/id/1349063</v>
      </c>
      <c r="F17266" s="2" t="s">
        <v>11</v>
      </c>
      <c r="G17266" s="2" t="s">
        <v>10232</v>
      </c>
      <c r="H17266" s="2" t="s">
        <v>10233</v>
      </c>
    </row>
    <row r="17267" spans="1:8" ht="25.05" customHeight="1" x14ac:dyDescent="0.25">
      <c r="A17267" s="2" t="s">
        <v>8</v>
      </c>
      <c r="B17267" s="2" t="str">
        <f>HYPERLINK("http://ts.21cn.com/tousu/show/id/1349065","拍拍贷暴力催收，协商还款没有诚意")</f>
        <v>拍拍贷暴力催收，协商还款没有诚意</v>
      </c>
      <c r="C17267" s="2" t="s">
        <v>9</v>
      </c>
      <c r="D17267" s="2" t="s">
        <v>10</v>
      </c>
      <c r="E17267" s="2" t="str">
        <f>HYPERLINK("http://ts.21cn.com/tousu/show/id/1349065","http://ts.21cn.com/tousu/show/id/1349065")</f>
        <v>http://ts.21cn.com/tousu/show/id/1349065</v>
      </c>
      <c r="F17267" s="2" t="s">
        <v>11</v>
      </c>
      <c r="G17267" s="2" t="s">
        <v>10230</v>
      </c>
      <c r="H17267" s="2" t="s">
        <v>10231</v>
      </c>
    </row>
    <row r="17268" spans="1:8" ht="25.05" customHeight="1" x14ac:dyDescent="0.25">
      <c r="A17268" s="2" t="s">
        <v>8</v>
      </c>
      <c r="B17268" s="2" t="str">
        <f>HYPERLINK("http://ts.21cn.com/tousu/show/id/1349064","取消订单，退款失败")</f>
        <v>取消订单，退款失败</v>
      </c>
      <c r="C17268" s="2" t="s">
        <v>34</v>
      </c>
      <c r="D17268" s="2" t="s">
        <v>10</v>
      </c>
      <c r="E17268" s="2" t="str">
        <f>HYPERLINK("http://ts.21cn.com/tousu/show/id/1349064","http://ts.21cn.com/tousu/show/id/1349064")</f>
        <v>http://ts.21cn.com/tousu/show/id/1349064</v>
      </c>
      <c r="F17268" s="2" t="s">
        <v>11</v>
      </c>
      <c r="G17268" s="2" t="s">
        <v>10228</v>
      </c>
      <c r="H17268" s="2" t="s">
        <v>10229</v>
      </c>
    </row>
    <row r="17269" spans="1:8" ht="25.05" customHeight="1" x14ac:dyDescent="0.25">
      <c r="A17269" s="2" t="s">
        <v>8</v>
      </c>
      <c r="B17269" s="2" t="str">
        <f>HYPERLINK("http://ts.21cn.com/tousu/show/id/1349066","猴犀利，联系不上客服，却坚持暴力催收，不协商。")</f>
        <v>猴犀利，联系不上客服，却坚持暴力催收，不协商。</v>
      </c>
      <c r="C17269" s="2" t="s">
        <v>9</v>
      </c>
      <c r="D17269" s="2" t="s">
        <v>10</v>
      </c>
      <c r="E17269" s="2" t="str">
        <f>HYPERLINK("http://ts.21cn.com/tousu/show/id/1349066","http://ts.21cn.com/tousu/show/id/1349066")</f>
        <v>http://ts.21cn.com/tousu/show/id/1349066</v>
      </c>
      <c r="F17269" s="2" t="s">
        <v>11</v>
      </c>
      <c r="G17269" s="2" t="s">
        <v>10226</v>
      </c>
      <c r="H17269" s="2" t="s">
        <v>10227</v>
      </c>
    </row>
    <row r="17270" spans="1:8" ht="25.05" customHeight="1" x14ac:dyDescent="0.25">
      <c r="A17270" s="2" t="s">
        <v>8</v>
      </c>
      <c r="B17270" s="2" t="str">
        <f>HYPERLINK("http://ts.21cn.com/tousu/show/id/1349067","请邮政储蓄的工作人员给我一个能沟通上你们的方式，还有请你们合理催收")</f>
        <v>请邮政储蓄的工作人员给我一个能沟通上你们的方式，还有请你们合理催收</v>
      </c>
      <c r="C17270" s="2" t="s">
        <v>9</v>
      </c>
      <c r="D17270" s="2" t="s">
        <v>10</v>
      </c>
      <c r="E17270" s="2" t="str">
        <f>HYPERLINK("http://ts.21cn.com/tousu/show/id/1349067","http://ts.21cn.com/tousu/show/id/1349067")</f>
        <v>http://ts.21cn.com/tousu/show/id/1349067</v>
      </c>
      <c r="F17270" s="2" t="s">
        <v>11</v>
      </c>
      <c r="G17270" s="2" t="s">
        <v>10224</v>
      </c>
      <c r="H17270" s="2" t="s">
        <v>10225</v>
      </c>
    </row>
    <row r="17271" spans="1:8" ht="25.05" customHeight="1" x14ac:dyDescent="0.25">
      <c r="A17271" s="2" t="s">
        <v>8</v>
      </c>
      <c r="B17271" s="2" t="str">
        <f>HYPERLINK("http://ts.21cn.com/tousu/show/id/1349068","还了本金不给我结清")</f>
        <v>还了本金不给我结清</v>
      </c>
      <c r="C17271" s="2" t="s">
        <v>9</v>
      </c>
      <c r="D17271" s="2" t="s">
        <v>10</v>
      </c>
      <c r="E17271" s="2" t="str">
        <f>HYPERLINK("http://ts.21cn.com/tousu/show/id/1349068","http://ts.21cn.com/tousu/show/id/1349068")</f>
        <v>http://ts.21cn.com/tousu/show/id/1349068</v>
      </c>
      <c r="F17271" s="2" t="s">
        <v>11</v>
      </c>
      <c r="G17271" s="2" t="s">
        <v>10222</v>
      </c>
      <c r="H17271" s="2" t="s">
        <v>10223</v>
      </c>
    </row>
    <row r="17272" spans="1:8" ht="25.05" customHeight="1" x14ac:dyDescent="0.25">
      <c r="A17272" s="2" t="s">
        <v>8</v>
      </c>
      <c r="B17272" s="2" t="str">
        <f>HYPERLINK("http://ts.21cn.com/tousu/show/id/1349069","元丰手机贷（趣花分期）高利贷")</f>
        <v>元丰手机贷（趣花分期）高利贷</v>
      </c>
      <c r="C17272" s="2" t="s">
        <v>9</v>
      </c>
      <c r="D17272" s="2" t="s">
        <v>10</v>
      </c>
      <c r="E17272" s="2" t="str">
        <f>HYPERLINK("http://ts.21cn.com/tousu/show/id/1349069","http://ts.21cn.com/tousu/show/id/1349069")</f>
        <v>http://ts.21cn.com/tousu/show/id/1349069</v>
      </c>
      <c r="F17272" s="2" t="s">
        <v>11</v>
      </c>
      <c r="G17272" s="2" t="s">
        <v>10220</v>
      </c>
      <c r="H17272" s="2" t="s">
        <v>10221</v>
      </c>
    </row>
    <row r="17273" spans="1:8" ht="25.05" customHeight="1" x14ac:dyDescent="0.25">
      <c r="A17273" s="2" t="s">
        <v>8</v>
      </c>
      <c r="B17273" s="2" t="str">
        <f>HYPERLINK("http://ts.21cn.com/tousu/show/id/1349070","退款失败")</f>
        <v>退款失败</v>
      </c>
      <c r="C17273" s="2" t="s">
        <v>34</v>
      </c>
      <c r="D17273" s="2" t="s">
        <v>10</v>
      </c>
      <c r="E17273" s="2" t="str">
        <f>HYPERLINK("http://ts.21cn.com/tousu/show/id/1349070","http://ts.21cn.com/tousu/show/id/1349070")</f>
        <v>http://ts.21cn.com/tousu/show/id/1349070</v>
      </c>
      <c r="F17273" s="2" t="s">
        <v>11</v>
      </c>
      <c r="G17273" s="2" t="s">
        <v>10218</v>
      </c>
      <c r="H17273" s="2" t="s">
        <v>10219</v>
      </c>
    </row>
    <row r="17274" spans="1:8" ht="25.05" customHeight="1" x14ac:dyDescent="0.25">
      <c r="A17274" s="2" t="s">
        <v>8</v>
      </c>
      <c r="B17274" s="2" t="str">
        <f>HYPERLINK("http://ts.21cn.com/tousu/show/id/1349072","拍拍贷暴力催收")</f>
        <v>拍拍贷暴力催收</v>
      </c>
      <c r="C17274" s="2" t="s">
        <v>9</v>
      </c>
      <c r="D17274" s="2" t="s">
        <v>10</v>
      </c>
      <c r="E17274" s="2" t="str">
        <f>HYPERLINK("http://ts.21cn.com/tousu/show/id/1349072","http://ts.21cn.com/tousu/show/id/1349072")</f>
        <v>http://ts.21cn.com/tousu/show/id/1349072</v>
      </c>
      <c r="F17274" s="2" t="s">
        <v>11</v>
      </c>
      <c r="G17274" s="2" t="s">
        <v>10216</v>
      </c>
      <c r="H17274" s="2" t="s">
        <v>10217</v>
      </c>
    </row>
    <row r="17275" spans="1:8" ht="25.05" customHeight="1" x14ac:dyDescent="0.25">
      <c r="A17275" s="2" t="s">
        <v>8</v>
      </c>
      <c r="B17275" s="2" t="str">
        <f>HYPERLINK("http://ts.21cn.com/tousu/show/id/1349073","ETC已经注销，保证金已退给我，但是在重新申办还是有发卡方信息")</f>
        <v>ETC已经注销，保证金已退给我，但是在重新申办还是有发卡方信息</v>
      </c>
      <c r="C17275" s="2" t="s">
        <v>9</v>
      </c>
      <c r="D17275" s="2" t="s">
        <v>10</v>
      </c>
      <c r="E17275" s="2" t="str">
        <f>HYPERLINK("http://ts.21cn.com/tousu/show/id/1349073","http://ts.21cn.com/tousu/show/id/1349073")</f>
        <v>http://ts.21cn.com/tousu/show/id/1349073</v>
      </c>
      <c r="F17275" s="2" t="s">
        <v>11</v>
      </c>
      <c r="G17275" s="2" t="s">
        <v>10214</v>
      </c>
      <c r="H17275" s="2" t="s">
        <v>10215</v>
      </c>
    </row>
    <row r="17276" spans="1:8" ht="25.05" customHeight="1" x14ac:dyDescent="0.25">
      <c r="A17276" s="2" t="s">
        <v>8</v>
      </c>
      <c r="B17276" s="2" t="str">
        <f>HYPERLINK("http://ts.21cn.com/tousu/show/id/1349071","小浦优客未经同意扣款")</f>
        <v>小浦优客未经同意扣款</v>
      </c>
      <c r="C17276" s="2" t="s">
        <v>9</v>
      </c>
      <c r="D17276" s="2" t="s">
        <v>10</v>
      </c>
      <c r="E17276" s="2" t="str">
        <f>HYPERLINK("http://ts.21cn.com/tousu/show/id/1349071","http://ts.21cn.com/tousu/show/id/1349071")</f>
        <v>http://ts.21cn.com/tousu/show/id/1349071</v>
      </c>
      <c r="F17276" s="2" t="s">
        <v>11</v>
      </c>
      <c r="G17276" s="2" t="s">
        <v>10212</v>
      </c>
      <c r="H17276" s="2" t="s">
        <v>10213</v>
      </c>
    </row>
    <row r="17277" spans="1:8" ht="25.05" customHeight="1" x14ac:dyDescent="0.25">
      <c r="A17277" s="2" t="s">
        <v>8</v>
      </c>
      <c r="B17277" s="2" t="str">
        <f>HYPERLINK("http://ts.21cn.com/tousu/show/id/1349074","北京市政交通一卡通官网10月9日起无法登陆，继而无法查询充值记录等信息")</f>
        <v>北京市政交通一卡通官网10月9日起无法登陆，继而无法查询充值记录等信息</v>
      </c>
      <c r="C17277" s="2" t="s">
        <v>34</v>
      </c>
      <c r="D17277" s="2" t="s">
        <v>10</v>
      </c>
      <c r="E17277" s="2" t="str">
        <f>HYPERLINK("http://ts.21cn.com/tousu/show/id/1349074","http://ts.21cn.com/tousu/show/id/1349074")</f>
        <v>http://ts.21cn.com/tousu/show/id/1349074</v>
      </c>
      <c r="F17277" s="2" t="s">
        <v>11</v>
      </c>
      <c r="G17277" s="2" t="s">
        <v>10210</v>
      </c>
      <c r="H17277" s="2" t="s">
        <v>10211</v>
      </c>
    </row>
    <row r="17278" spans="1:8" ht="25.05" customHeight="1" x14ac:dyDescent="0.25">
      <c r="A17278" s="2" t="s">
        <v>8</v>
      </c>
      <c r="B17278" s="2" t="str">
        <f>HYPERLINK("http://ts.21cn.com/tousu/show/id/1349075","广发信用卡利息高，催收态度嚣张")</f>
        <v>广发信用卡利息高，催收态度嚣张</v>
      </c>
      <c r="C17278" s="2" t="s">
        <v>9</v>
      </c>
      <c r="D17278" s="2" t="s">
        <v>10</v>
      </c>
      <c r="E17278" s="2" t="str">
        <f>HYPERLINK("http://ts.21cn.com/tousu/show/id/1349075","http://ts.21cn.com/tousu/show/id/1349075")</f>
        <v>http://ts.21cn.com/tousu/show/id/1349075</v>
      </c>
      <c r="F17278" s="2" t="s">
        <v>11</v>
      </c>
      <c r="G17278" s="2" t="s">
        <v>10208</v>
      </c>
      <c r="H17278" s="2" t="s">
        <v>10209</v>
      </c>
    </row>
    <row r="17279" spans="1:8" ht="25.05" customHeight="1" x14ac:dyDescent="0.25">
      <c r="A17279" s="2" t="s">
        <v>8</v>
      </c>
      <c r="B17279" s="2" t="str">
        <f>HYPERLINK("http://ts.21cn.com/tousu/show/id/1348992","过长时间未退押金")</f>
        <v>过长时间未退押金</v>
      </c>
      <c r="C17279" s="2" t="s">
        <v>9</v>
      </c>
      <c r="D17279" s="2" t="s">
        <v>10</v>
      </c>
      <c r="E17279" s="2" t="str">
        <f>HYPERLINK("http://ts.21cn.com/tousu/show/id/1348992","http://ts.21cn.com/tousu/show/id/1348992")</f>
        <v>http://ts.21cn.com/tousu/show/id/1348992</v>
      </c>
      <c r="F17279" s="2" t="s">
        <v>11</v>
      </c>
      <c r="G17279" s="2" t="s">
        <v>10206</v>
      </c>
      <c r="H17279" s="2" t="s">
        <v>10207</v>
      </c>
    </row>
    <row r="17280" spans="1:8" ht="25.05" customHeight="1" x14ac:dyDescent="0.25">
      <c r="A17280" s="2" t="s">
        <v>8</v>
      </c>
      <c r="B17280" s="2" t="str">
        <f>HYPERLINK("http://ts.21cn.com/tousu/show/id/1349076","马上金融催收暴力")</f>
        <v>马上金融催收暴力</v>
      </c>
      <c r="C17280" s="2" t="s">
        <v>9</v>
      </c>
      <c r="D17280" s="2" t="s">
        <v>10</v>
      </c>
      <c r="E17280" s="2" t="str">
        <f>HYPERLINK("http://ts.21cn.com/tousu/show/id/1349076","http://ts.21cn.com/tousu/show/id/1349076")</f>
        <v>http://ts.21cn.com/tousu/show/id/1349076</v>
      </c>
      <c r="F17280" s="2" t="s">
        <v>11</v>
      </c>
      <c r="G17280" s="2" t="s">
        <v>10204</v>
      </c>
      <c r="H17280" s="2" t="s">
        <v>10205</v>
      </c>
    </row>
    <row r="17281" spans="1:8" ht="25.05" customHeight="1" x14ac:dyDescent="0.25">
      <c r="A17281" s="2" t="s">
        <v>8</v>
      </c>
      <c r="B17281" s="2" t="str">
        <f>HYPERLINK("http://ts.21cn.com/tousu/show/id/1349077","关于移动公司对于客户的诉求置之不理")</f>
        <v>关于移动公司对于客户的诉求置之不理</v>
      </c>
      <c r="C17281" s="2" t="s">
        <v>9</v>
      </c>
      <c r="D17281" s="2" t="s">
        <v>10</v>
      </c>
      <c r="E17281" s="2" t="str">
        <f>HYPERLINK("http://ts.21cn.com/tousu/show/id/1349077","http://ts.21cn.com/tousu/show/id/1349077")</f>
        <v>http://ts.21cn.com/tousu/show/id/1349077</v>
      </c>
      <c r="F17281" s="2" t="s">
        <v>11</v>
      </c>
      <c r="G17281" s="2" t="s">
        <v>10202</v>
      </c>
      <c r="H17281" s="2" t="s">
        <v>10203</v>
      </c>
    </row>
    <row r="17282" spans="1:8" ht="25.05" customHeight="1" x14ac:dyDescent="0.25">
      <c r="A17282" s="2" t="s">
        <v>8</v>
      </c>
      <c r="B17282" s="2" t="str">
        <f>HYPERLINK("http://ts.21cn.com/tousu/show/id/1349078","借了呗高炮复活")</f>
        <v>借了呗高炮复活</v>
      </c>
      <c r="C17282" s="2" t="s">
        <v>9</v>
      </c>
      <c r="D17282" s="2" t="s">
        <v>10</v>
      </c>
      <c r="E17282" s="2" t="str">
        <f>HYPERLINK("http://ts.21cn.com/tousu/show/id/1349078","http://ts.21cn.com/tousu/show/id/1349078")</f>
        <v>http://ts.21cn.com/tousu/show/id/1349078</v>
      </c>
      <c r="F17282" s="2" t="s">
        <v>11</v>
      </c>
      <c r="G17282" s="2" t="s">
        <v>10200</v>
      </c>
      <c r="H17282" s="2" t="s">
        <v>10201</v>
      </c>
    </row>
    <row r="17283" spans="1:8" ht="25.05" customHeight="1" x14ac:dyDescent="0.25">
      <c r="A17283" s="2" t="s">
        <v>8</v>
      </c>
      <c r="B17283" s="2" t="str">
        <f>HYPERLINK("http://ts.21cn.com/tousu/show/id/1349081","小浦优客乱扣费")</f>
        <v>小浦优客乱扣费</v>
      </c>
      <c r="C17283" s="2" t="s">
        <v>9</v>
      </c>
      <c r="D17283" s="2" t="s">
        <v>10</v>
      </c>
      <c r="E17283" s="2" t="str">
        <f>HYPERLINK("http://ts.21cn.com/tousu/show/id/1349081","http://ts.21cn.com/tousu/show/id/1349081")</f>
        <v>http://ts.21cn.com/tousu/show/id/1349081</v>
      </c>
      <c r="F17283" s="2" t="s">
        <v>11</v>
      </c>
      <c r="G17283" s="2" t="s">
        <v>10198</v>
      </c>
      <c r="H17283" s="2" t="s">
        <v>10199</v>
      </c>
    </row>
    <row r="17284" spans="1:8" ht="25.05" customHeight="1" x14ac:dyDescent="0.25">
      <c r="A17284" s="2" t="s">
        <v>8</v>
      </c>
      <c r="B17284" s="2" t="str">
        <f>HYPERLINK("http://ts.21cn.com/tousu/show/id/1349079","钱站超高利贷，阴阳合同")</f>
        <v>钱站超高利贷，阴阳合同</v>
      </c>
      <c r="C17284" s="2" t="s">
        <v>9</v>
      </c>
      <c r="D17284" s="2" t="s">
        <v>10</v>
      </c>
      <c r="E17284" s="2" t="str">
        <f>HYPERLINK("http://ts.21cn.com/tousu/show/id/1349079","http://ts.21cn.com/tousu/show/id/1349079")</f>
        <v>http://ts.21cn.com/tousu/show/id/1349079</v>
      </c>
      <c r="F17284" s="2" t="s">
        <v>11</v>
      </c>
      <c r="G17284" s="2" t="s">
        <v>10196</v>
      </c>
      <c r="H17284" s="2" t="s">
        <v>10197</v>
      </c>
    </row>
    <row r="17285" spans="1:8" ht="25.05" customHeight="1" x14ac:dyDescent="0.25">
      <c r="A17285" s="2" t="s">
        <v>8</v>
      </c>
      <c r="B17285" s="2" t="str">
        <f>HYPERLINK("http://ts.21cn.com/tousu/show/id/1349080","畅捷支付为信用管家里面的高利贷存钱柜提供支付服务")</f>
        <v>畅捷支付为信用管家里面的高利贷存钱柜提供支付服务</v>
      </c>
      <c r="C17285" s="2" t="s">
        <v>9</v>
      </c>
      <c r="D17285" s="2" t="s">
        <v>10</v>
      </c>
      <c r="E17285" s="2" t="str">
        <f>HYPERLINK("http://ts.21cn.com/tousu/show/id/1349080","http://ts.21cn.com/tousu/show/id/1349080")</f>
        <v>http://ts.21cn.com/tousu/show/id/1349080</v>
      </c>
      <c r="F17285" s="2" t="s">
        <v>11</v>
      </c>
      <c r="G17285" s="2" t="s">
        <v>10194</v>
      </c>
      <c r="H17285" s="2" t="s">
        <v>10195</v>
      </c>
    </row>
    <row r="17286" spans="1:8" ht="25.05" customHeight="1" x14ac:dyDescent="0.25">
      <c r="A17286" s="2" t="s">
        <v>8</v>
      </c>
      <c r="B17286" s="2" t="str">
        <f>HYPERLINK("http://ts.21cn.com/tousu/show/id/1349083","且贷且花，714高炮，协商还款态度超级恶劣！")</f>
        <v>且贷且花，714高炮，协商还款态度超级恶劣！</v>
      </c>
      <c r="C17286" s="2" t="s">
        <v>9</v>
      </c>
      <c r="D17286" s="2" t="s">
        <v>10</v>
      </c>
      <c r="E17286" s="2" t="str">
        <f>HYPERLINK("http://ts.21cn.com/tousu/show/id/1349083","http://ts.21cn.com/tousu/show/id/1349083")</f>
        <v>http://ts.21cn.com/tousu/show/id/1349083</v>
      </c>
      <c r="F17286" s="2" t="s">
        <v>11</v>
      </c>
      <c r="G17286" s="2" t="s">
        <v>10192</v>
      </c>
      <c r="H17286" s="2" t="s">
        <v>10193</v>
      </c>
    </row>
    <row r="17287" spans="1:8" ht="25.05" customHeight="1" x14ac:dyDescent="0.25">
      <c r="A17287" s="2" t="s">
        <v>8</v>
      </c>
      <c r="B17287" s="2" t="str">
        <f>HYPERLINK("http://ts.21cn.com/tousu/show/id/1349082","高利贷平台收取高额砍头息")</f>
        <v>高利贷平台收取高额砍头息</v>
      </c>
      <c r="C17287" s="2" t="s">
        <v>9</v>
      </c>
      <c r="D17287" s="2" t="s">
        <v>10</v>
      </c>
      <c r="E17287" s="2" t="str">
        <f>HYPERLINK("http://ts.21cn.com/tousu/show/id/1349082","http://ts.21cn.com/tousu/show/id/1349082")</f>
        <v>http://ts.21cn.com/tousu/show/id/1349082</v>
      </c>
      <c r="F17287" s="2" t="s">
        <v>11</v>
      </c>
      <c r="G17287" s="2" t="s">
        <v>10191</v>
      </c>
      <c r="H17287" s="2" t="s">
        <v>5944</v>
      </c>
    </row>
    <row r="17288" spans="1:8" ht="25.05" customHeight="1" x14ac:dyDescent="0.25">
      <c r="A17288" s="2" t="s">
        <v>8</v>
      </c>
      <c r="B17288" s="2" t="str">
        <f>HYPERLINK("http://ts.21cn.com/tousu/show/id/1346775","“nice”平台闪购交易存在恶意引导市场价格，平时一百多的衣服，当日闪购竟然高达1000多，严重损坏了消费者的利益！")</f>
        <v>“nice”平台闪购交易存在恶意引导市场价格，平时一百多的衣服，当日闪购竟然高达1000多，严重损坏了消费者的利益！</v>
      </c>
      <c r="C17288" s="2" t="s">
        <v>9</v>
      </c>
      <c r="D17288" s="2" t="s">
        <v>10</v>
      </c>
      <c r="E17288" s="2" t="str">
        <f>HYPERLINK("http://ts.21cn.com/tousu/show/id/1346775","http://ts.21cn.com/tousu/show/id/1346775")</f>
        <v>http://ts.21cn.com/tousu/show/id/1346775</v>
      </c>
      <c r="F17288" s="2" t="s">
        <v>11</v>
      </c>
      <c r="G17288" s="2" t="s">
        <v>10189</v>
      </c>
      <c r="H17288" s="2" t="s">
        <v>10190</v>
      </c>
    </row>
    <row r="17289" spans="1:8" ht="25.05" customHeight="1" x14ac:dyDescent="0.25">
      <c r="A17289" s="2" t="s">
        <v>8</v>
      </c>
      <c r="B17289" s="2" t="str">
        <f>HYPERLINK("http://ts.21cn.com/tousu/show/id/1349084","钱站高利贷阴阳合同")</f>
        <v>钱站高利贷阴阳合同</v>
      </c>
      <c r="C17289" s="2" t="s">
        <v>9</v>
      </c>
      <c r="D17289" s="2" t="s">
        <v>10</v>
      </c>
      <c r="E17289" s="2" t="str">
        <f>HYPERLINK("http://ts.21cn.com/tousu/show/id/1349084","http://ts.21cn.com/tousu/show/id/1349084")</f>
        <v>http://ts.21cn.com/tousu/show/id/1349084</v>
      </c>
      <c r="F17289" s="2" t="s">
        <v>11</v>
      </c>
      <c r="G17289" s="2" t="s">
        <v>10187</v>
      </c>
      <c r="H17289" s="2" t="s">
        <v>10188</v>
      </c>
    </row>
    <row r="17290" spans="1:8" ht="25.05" customHeight="1" x14ac:dyDescent="0.25">
      <c r="A17290" s="2" t="s">
        <v>8</v>
      </c>
      <c r="B17290" s="2" t="str">
        <f>HYPERLINK("http://ts.21cn.com/tousu/show/id/1349085","四川巴中市的哈啰助力车管理问题应该引起重视")</f>
        <v>四川巴中市的哈啰助力车管理问题应该引起重视</v>
      </c>
      <c r="C17290" s="2" t="s">
        <v>9</v>
      </c>
      <c r="D17290" s="2" t="s">
        <v>10</v>
      </c>
      <c r="E17290" s="2" t="str">
        <f>HYPERLINK("http://ts.21cn.com/tousu/show/id/1349085","http://ts.21cn.com/tousu/show/id/1349085")</f>
        <v>http://ts.21cn.com/tousu/show/id/1349085</v>
      </c>
      <c r="F17290" s="2" t="s">
        <v>11</v>
      </c>
      <c r="G17290" s="2" t="s">
        <v>10185</v>
      </c>
      <c r="H17290" s="2" t="s">
        <v>10186</v>
      </c>
    </row>
    <row r="17291" spans="1:8" ht="25.05" customHeight="1" x14ac:dyDescent="0.25">
      <c r="A17291" s="2" t="s">
        <v>8</v>
      </c>
      <c r="B17291" s="2" t="str">
        <f>HYPERLINK("http://ts.21cn.com/tousu/show/id/1349086","小花钱包扣款成功不销账")</f>
        <v>小花钱包扣款成功不销账</v>
      </c>
      <c r="C17291" s="2" t="s">
        <v>9</v>
      </c>
      <c r="D17291" s="2" t="s">
        <v>10</v>
      </c>
      <c r="E17291" s="2" t="str">
        <f>HYPERLINK("http://ts.21cn.com/tousu/show/id/1349086","http://ts.21cn.com/tousu/show/id/1349086")</f>
        <v>http://ts.21cn.com/tousu/show/id/1349086</v>
      </c>
      <c r="F17291" s="2" t="s">
        <v>11</v>
      </c>
      <c r="G17291" s="2" t="s">
        <v>10183</v>
      </c>
      <c r="H17291" s="2" t="s">
        <v>10184</v>
      </c>
    </row>
    <row r="17292" spans="1:8" ht="25.05" customHeight="1" x14ac:dyDescent="0.25">
      <c r="A17292" s="2" t="s">
        <v>8</v>
      </c>
      <c r="B17292" s="2" t="str">
        <f>HYPERLINK("http://ts.21cn.com/tousu/show/id/1349087","马上消费金融，暴力催收，群发短信，恐吓催收")</f>
        <v>马上消费金融，暴力催收，群发短信，恐吓催收</v>
      </c>
      <c r="C17292" s="2" t="s">
        <v>9</v>
      </c>
      <c r="D17292" s="2" t="s">
        <v>10</v>
      </c>
      <c r="E17292" s="2" t="str">
        <f>HYPERLINK("http://ts.21cn.com/tousu/show/id/1349087","http://ts.21cn.com/tousu/show/id/1349087")</f>
        <v>http://ts.21cn.com/tousu/show/id/1349087</v>
      </c>
      <c r="F17292" s="2" t="s">
        <v>11</v>
      </c>
      <c r="G17292" s="2" t="s">
        <v>10181</v>
      </c>
      <c r="H17292" s="2" t="s">
        <v>10182</v>
      </c>
    </row>
    <row r="17293" spans="1:8" ht="25.05" customHeight="1" x14ac:dyDescent="0.25">
      <c r="A17293" s="2" t="s">
        <v>8</v>
      </c>
      <c r="B17293" s="2" t="str">
        <f>HYPERLINK("http://ts.21cn.com/tousu/show/id/1349088","马上金融逾期一天 想要协商处理 客服电话打不进 催收也不理会")</f>
        <v>马上金融逾期一天 想要协商处理 客服电话打不进 催收也不理会</v>
      </c>
      <c r="C17293" s="2" t="s">
        <v>9</v>
      </c>
      <c r="D17293" s="2" t="s">
        <v>10</v>
      </c>
      <c r="E17293" s="2" t="str">
        <f>HYPERLINK("http://ts.21cn.com/tousu/show/id/1349088","http://ts.21cn.com/tousu/show/id/1349088")</f>
        <v>http://ts.21cn.com/tousu/show/id/1349088</v>
      </c>
      <c r="F17293" s="2" t="s">
        <v>11</v>
      </c>
      <c r="G17293" s="2" t="s">
        <v>10179</v>
      </c>
      <c r="H17293" s="2" t="s">
        <v>10180</v>
      </c>
    </row>
    <row r="17294" spans="1:8" ht="25.05" customHeight="1" x14ac:dyDescent="0.25">
      <c r="A17294" s="2" t="s">
        <v>8</v>
      </c>
      <c r="B17294" s="2" t="str">
        <f>HYPERLINK("http://ts.21cn.com/tousu/show/id/1349089","高炮，提供违规支付通道")</f>
        <v>高炮，提供违规支付通道</v>
      </c>
      <c r="C17294" s="2" t="s">
        <v>9</v>
      </c>
      <c r="D17294" s="2" t="s">
        <v>10</v>
      </c>
      <c r="E17294" s="2" t="str">
        <f>HYPERLINK("http://ts.21cn.com/tousu/show/id/1349089","http://ts.21cn.com/tousu/show/id/1349089")</f>
        <v>http://ts.21cn.com/tousu/show/id/1349089</v>
      </c>
      <c r="F17294" s="2" t="s">
        <v>11</v>
      </c>
      <c r="G17294" s="2" t="s">
        <v>10177</v>
      </c>
      <c r="H17294" s="2" t="s">
        <v>10178</v>
      </c>
    </row>
    <row r="17295" spans="1:8" ht="25.05" customHeight="1" x14ac:dyDescent="0.25">
      <c r="A17295" s="2" t="s">
        <v>8</v>
      </c>
      <c r="B17295" s="2" t="str">
        <f>HYPERLINK("http://ts.21cn.com/tousu/show/id/1349090","王者钱包高利贷，套路贷，威胁恐吓通讯录")</f>
        <v>王者钱包高利贷，套路贷，威胁恐吓通讯录</v>
      </c>
      <c r="C17295" s="2" t="s">
        <v>9</v>
      </c>
      <c r="D17295" s="2" t="s">
        <v>10</v>
      </c>
      <c r="E17295" s="2" t="str">
        <f>HYPERLINK("http://ts.21cn.com/tousu/show/id/1349090","http://ts.21cn.com/tousu/show/id/1349090")</f>
        <v>http://ts.21cn.com/tousu/show/id/1349090</v>
      </c>
      <c r="F17295" s="2" t="s">
        <v>11</v>
      </c>
      <c r="G17295" s="2" t="s">
        <v>10175</v>
      </c>
      <c r="H17295" s="2" t="s">
        <v>10176</v>
      </c>
    </row>
    <row r="17296" spans="1:8" ht="25.05" customHeight="1" x14ac:dyDescent="0.25">
      <c r="A17296" s="2" t="s">
        <v>8</v>
      </c>
      <c r="B17296" s="2" t="str">
        <f>HYPERLINK("http://ts.21cn.com/tousu/show/id/1349091","钱站高利贷砍头息阴阳合同")</f>
        <v>钱站高利贷砍头息阴阳合同</v>
      </c>
      <c r="C17296" s="2" t="s">
        <v>9</v>
      </c>
      <c r="D17296" s="2" t="s">
        <v>10</v>
      </c>
      <c r="E17296" s="2" t="str">
        <f>HYPERLINK("http://ts.21cn.com/tousu/show/id/1349091","http://ts.21cn.com/tousu/show/id/1349091")</f>
        <v>http://ts.21cn.com/tousu/show/id/1349091</v>
      </c>
      <c r="F17296" s="2" t="s">
        <v>11</v>
      </c>
      <c r="G17296" s="2" t="s">
        <v>10173</v>
      </c>
      <c r="H17296" s="2" t="s">
        <v>10174</v>
      </c>
    </row>
    <row r="17297" spans="1:8" ht="25.05" customHeight="1" x14ac:dyDescent="0.25">
      <c r="A17297" s="2" t="s">
        <v>8</v>
      </c>
      <c r="B17297" s="2" t="str">
        <f>HYPERLINK("http://ts.21cn.com/tousu/show/id/1349092","网信P2P投资钱款两月不到账")</f>
        <v>网信P2P投资钱款两月不到账</v>
      </c>
      <c r="C17297" s="2" t="s">
        <v>9</v>
      </c>
      <c r="D17297" s="2" t="s">
        <v>10</v>
      </c>
      <c r="E17297" s="2" t="str">
        <f>HYPERLINK("http://ts.21cn.com/tousu/show/id/1349092","http://ts.21cn.com/tousu/show/id/1349092")</f>
        <v>http://ts.21cn.com/tousu/show/id/1349092</v>
      </c>
      <c r="F17297" s="2" t="s">
        <v>11</v>
      </c>
      <c r="G17297" s="2" t="s">
        <v>10171</v>
      </c>
      <c r="H17297" s="2" t="s">
        <v>10172</v>
      </c>
    </row>
    <row r="17298" spans="1:8" ht="25.05" customHeight="1" x14ac:dyDescent="0.25">
      <c r="A17298" s="2" t="s">
        <v>8</v>
      </c>
      <c r="B17298" s="2" t="str">
        <f>HYPERLINK("http://ts.21cn.com/tousu/show/id/1349093","严惩高利贷")</f>
        <v>严惩高利贷</v>
      </c>
      <c r="C17298" s="2" t="s">
        <v>9</v>
      </c>
      <c r="D17298" s="2" t="s">
        <v>10</v>
      </c>
      <c r="E17298" s="2" t="str">
        <f>HYPERLINK("http://ts.21cn.com/tousu/show/id/1349093","http://ts.21cn.com/tousu/show/id/1349093")</f>
        <v>http://ts.21cn.com/tousu/show/id/1349093</v>
      </c>
      <c r="F17298" s="2" t="s">
        <v>11</v>
      </c>
      <c r="G17298" s="2" t="s">
        <v>10169</v>
      </c>
      <c r="H17298" s="2" t="s">
        <v>10170</v>
      </c>
    </row>
    <row r="17299" spans="1:8" ht="25.05" customHeight="1" x14ac:dyDescent="0.25">
      <c r="A17299" s="2" t="s">
        <v>8</v>
      </c>
      <c r="B17299" s="2" t="str">
        <f>HYPERLINK("http://ts.21cn.com/tousu/show/id/1349094","交易猫交易失败退款频繁失败不到账")</f>
        <v>交易猫交易失败退款频繁失败不到账</v>
      </c>
      <c r="C17299" s="2" t="s">
        <v>9</v>
      </c>
      <c r="D17299" s="2" t="s">
        <v>10</v>
      </c>
      <c r="E17299" s="2" t="str">
        <f>HYPERLINK("http://ts.21cn.com/tousu/show/id/1349094","http://ts.21cn.com/tousu/show/id/1349094")</f>
        <v>http://ts.21cn.com/tousu/show/id/1349094</v>
      </c>
      <c r="F17299" s="2" t="s">
        <v>11</v>
      </c>
      <c r="G17299" s="2" t="s">
        <v>10167</v>
      </c>
      <c r="H17299" s="2" t="s">
        <v>10168</v>
      </c>
    </row>
    <row r="17300" spans="1:8" ht="25.05" customHeight="1" x14ac:dyDescent="0.25">
      <c r="A17300" s="2" t="s">
        <v>8</v>
      </c>
      <c r="B17300" s="2" t="str">
        <f>HYPERLINK("http://ts.21cn.com/tousu/show/id/1349099","国美易卡不予受理注销客户账号")</f>
        <v>国美易卡不予受理注销客户账号</v>
      </c>
      <c r="C17300" s="2" t="s">
        <v>9</v>
      </c>
      <c r="D17300" s="2" t="s">
        <v>10</v>
      </c>
      <c r="E17300" s="2" t="str">
        <f>HYPERLINK("http://ts.21cn.com/tousu/show/id/1349099","http://ts.21cn.com/tousu/show/id/1349099")</f>
        <v>http://ts.21cn.com/tousu/show/id/1349099</v>
      </c>
      <c r="F17300" s="2" t="s">
        <v>11</v>
      </c>
      <c r="G17300" s="2" t="s">
        <v>10165</v>
      </c>
      <c r="H17300" s="2" t="s">
        <v>10166</v>
      </c>
    </row>
    <row r="17301" spans="1:8" ht="25.05" customHeight="1" x14ac:dyDescent="0.25">
      <c r="A17301" s="2" t="s">
        <v>8</v>
      </c>
      <c r="B17301" s="2" t="str">
        <f>HYPERLINK("http://ts.21cn.com/tousu/show/id/1349096","交易猫退款一直失败，没有任何方式联系他们。")</f>
        <v>交易猫退款一直失败，没有任何方式联系他们。</v>
      </c>
      <c r="C17301" s="2" t="s">
        <v>9</v>
      </c>
      <c r="D17301" s="2" t="s">
        <v>10</v>
      </c>
      <c r="E17301" s="2" t="str">
        <f>HYPERLINK("http://ts.21cn.com/tousu/show/id/1349096","http://ts.21cn.com/tousu/show/id/1349096")</f>
        <v>http://ts.21cn.com/tousu/show/id/1349096</v>
      </c>
      <c r="F17301" s="2" t="s">
        <v>11</v>
      </c>
      <c r="G17301" s="2" t="s">
        <v>10163</v>
      </c>
      <c r="H17301" s="2" t="s">
        <v>10164</v>
      </c>
    </row>
    <row r="17302" spans="1:8" ht="25.05" customHeight="1" x14ac:dyDescent="0.25">
      <c r="A17302" s="2" t="s">
        <v>8</v>
      </c>
      <c r="B17302" s="2" t="str">
        <f>HYPERLINK("http://ts.21cn.com/tousu/show/id/1349097","要求极速收退还利息")</f>
        <v>要求极速收退还利息</v>
      </c>
      <c r="C17302" s="2" t="s">
        <v>34</v>
      </c>
      <c r="D17302" s="2" t="s">
        <v>10</v>
      </c>
      <c r="E17302" s="2" t="str">
        <f>HYPERLINK("http://ts.21cn.com/tousu/show/id/1349097","http://ts.21cn.com/tousu/show/id/1349097")</f>
        <v>http://ts.21cn.com/tousu/show/id/1349097</v>
      </c>
      <c r="F17302" s="2" t="s">
        <v>11</v>
      </c>
      <c r="G17302" s="2" t="s">
        <v>10161</v>
      </c>
      <c r="H17302" s="2" t="s">
        <v>10162</v>
      </c>
    </row>
    <row r="17303" spans="1:8" ht="25.05" customHeight="1" x14ac:dyDescent="0.25">
      <c r="A17303" s="2" t="s">
        <v>8</v>
      </c>
      <c r="B17303" s="2" t="str">
        <f>HYPERLINK("http://ts.21cn.com/tousu/show/id/1349098","温州银行信用卡暴力催收")</f>
        <v>温州银行信用卡暴力催收</v>
      </c>
      <c r="C17303" s="2" t="s">
        <v>9</v>
      </c>
      <c r="D17303" s="2" t="s">
        <v>10</v>
      </c>
      <c r="E17303" s="2" t="str">
        <f>HYPERLINK("http://ts.21cn.com/tousu/show/id/1349098","http://ts.21cn.com/tousu/show/id/1349098")</f>
        <v>http://ts.21cn.com/tousu/show/id/1349098</v>
      </c>
      <c r="F17303" s="2" t="s">
        <v>11</v>
      </c>
      <c r="G17303" s="2" t="s">
        <v>10159</v>
      </c>
      <c r="H17303" s="2" t="s">
        <v>10160</v>
      </c>
    </row>
    <row r="17304" spans="1:8" ht="25.05" customHeight="1" x14ac:dyDescent="0.25">
      <c r="A17304" s="2" t="s">
        <v>8</v>
      </c>
      <c r="B17304" s="2" t="str">
        <f>HYPERLINK("http://ts.21cn.com/tousu/show/id/1349100","魅族15两次漏液")</f>
        <v>魅族15两次漏液</v>
      </c>
      <c r="C17304" s="2" t="s">
        <v>9</v>
      </c>
      <c r="D17304" s="2" t="s">
        <v>10</v>
      </c>
      <c r="E17304" s="2" t="str">
        <f>HYPERLINK("http://ts.21cn.com/tousu/show/id/1349100","http://ts.21cn.com/tousu/show/id/1349100")</f>
        <v>http://ts.21cn.com/tousu/show/id/1349100</v>
      </c>
      <c r="F17304" s="2" t="s">
        <v>11</v>
      </c>
      <c r="G17304" s="2" t="s">
        <v>10157</v>
      </c>
      <c r="H17304" s="2" t="s">
        <v>10158</v>
      </c>
    </row>
    <row r="17305" spans="1:8" ht="25.05" customHeight="1" x14ac:dyDescent="0.25">
      <c r="A17305" s="2" t="s">
        <v>8</v>
      </c>
      <c r="B17305" s="2" t="str">
        <f>HYPERLINK("http://ts.21cn.com/tousu/show/id/1349101","给我介绍的课程和实际开课的课程不一致")</f>
        <v>给我介绍的课程和实际开课的课程不一致</v>
      </c>
      <c r="C17305" s="2" t="s">
        <v>9</v>
      </c>
      <c r="D17305" s="2" t="s">
        <v>10</v>
      </c>
      <c r="E17305" s="2" t="str">
        <f>HYPERLINK("http://ts.21cn.com/tousu/show/id/1349101","http://ts.21cn.com/tousu/show/id/1349101")</f>
        <v>http://ts.21cn.com/tousu/show/id/1349101</v>
      </c>
      <c r="F17305" s="2" t="s">
        <v>11</v>
      </c>
      <c r="G17305" s="2" t="s">
        <v>10155</v>
      </c>
      <c r="H17305" s="2" t="s">
        <v>10156</v>
      </c>
    </row>
    <row r="17306" spans="1:8" ht="25.05" customHeight="1" x14ac:dyDescent="0.25">
      <c r="A17306" s="2" t="s">
        <v>8</v>
      </c>
      <c r="B17306" s="2" t="str">
        <f>HYPERLINK("http://ts.21cn.com/tousu/show/id/1349102","光大银行催收人员态度恶劣")</f>
        <v>光大银行催收人员态度恶劣</v>
      </c>
      <c r="C17306" s="2" t="s">
        <v>9</v>
      </c>
      <c r="D17306" s="2" t="s">
        <v>10</v>
      </c>
      <c r="E17306" s="2" t="str">
        <f>HYPERLINK("http://ts.21cn.com/tousu/show/id/1349102","http://ts.21cn.com/tousu/show/id/1349102")</f>
        <v>http://ts.21cn.com/tousu/show/id/1349102</v>
      </c>
      <c r="F17306" s="2" t="s">
        <v>11</v>
      </c>
      <c r="G17306" s="2" t="s">
        <v>10153</v>
      </c>
      <c r="H17306" s="2" t="s">
        <v>10154</v>
      </c>
    </row>
    <row r="17307" spans="1:8" ht="25.05" customHeight="1" x14ac:dyDescent="0.25">
      <c r="A17307" s="2" t="s">
        <v>8</v>
      </c>
      <c r="B17307" s="2" t="str">
        <f>HYPERLINK("http://ts.21cn.com/tousu/show/id/1349103","交易猫不肯退款")</f>
        <v>交易猫不肯退款</v>
      </c>
      <c r="C17307" s="2" t="s">
        <v>9</v>
      </c>
      <c r="D17307" s="2" t="s">
        <v>10</v>
      </c>
      <c r="E17307" s="2" t="str">
        <f>HYPERLINK("http://ts.21cn.com/tousu/show/id/1349103","http://ts.21cn.com/tousu/show/id/1349103")</f>
        <v>http://ts.21cn.com/tousu/show/id/1349103</v>
      </c>
      <c r="F17307" s="2" t="s">
        <v>11</v>
      </c>
      <c r="G17307" s="2" t="s">
        <v>10151</v>
      </c>
      <c r="H17307" s="2" t="s">
        <v>10152</v>
      </c>
    </row>
    <row r="17308" spans="1:8" ht="25.05" customHeight="1" x14ac:dyDescent="0.25">
      <c r="A17308" s="2" t="s">
        <v>8</v>
      </c>
      <c r="B17308" s="2" t="str">
        <f>HYPERLINK("http://ts.21cn.com/tousu/show/id/1349104","东莞市轻奢维体健身房第二次无缘无故关门，老板跑路")</f>
        <v>东莞市轻奢维体健身房第二次无缘无故关门，老板跑路</v>
      </c>
      <c r="C17308" s="2" t="s">
        <v>9</v>
      </c>
      <c r="D17308" s="2" t="s">
        <v>10</v>
      </c>
      <c r="E17308" s="2" t="str">
        <f>HYPERLINK("http://ts.21cn.com/tousu/show/id/1349104","http://ts.21cn.com/tousu/show/id/1349104")</f>
        <v>http://ts.21cn.com/tousu/show/id/1349104</v>
      </c>
      <c r="F17308" s="2" t="s">
        <v>11</v>
      </c>
      <c r="G17308" s="2" t="s">
        <v>10149</v>
      </c>
      <c r="H17308" s="2" t="s">
        <v>10150</v>
      </c>
    </row>
    <row r="17309" spans="1:8" ht="25.05" customHeight="1" x14ac:dyDescent="0.25">
      <c r="A17309" s="2" t="s">
        <v>8</v>
      </c>
      <c r="B17309" s="2" t="str">
        <f>HYPERLINK("http://ts.21cn.com/tousu/show/id/1349105","快递派送未与本人联系，投放地址不清楚")</f>
        <v>快递派送未与本人联系，投放地址不清楚</v>
      </c>
      <c r="C17309" s="2" t="s">
        <v>34</v>
      </c>
      <c r="D17309" s="2" t="s">
        <v>10</v>
      </c>
      <c r="E17309" s="2" t="str">
        <f>HYPERLINK("http://ts.21cn.com/tousu/show/id/1349105","http://ts.21cn.com/tousu/show/id/1349105")</f>
        <v>http://ts.21cn.com/tousu/show/id/1349105</v>
      </c>
      <c r="F17309" s="2" t="s">
        <v>11</v>
      </c>
      <c r="G17309" s="2" t="s">
        <v>10147</v>
      </c>
      <c r="H17309" s="2" t="s">
        <v>10148</v>
      </c>
    </row>
    <row r="17310" spans="1:8" ht="25.05" customHeight="1" x14ac:dyDescent="0.25">
      <c r="A17310" s="2" t="s">
        <v>8</v>
      </c>
      <c r="B17310" s="2" t="str">
        <f>HYPERLINK("http://ts.21cn.com/tousu/show/id/1349106","捷信公司，骚扰借款人父母")</f>
        <v>捷信公司，骚扰借款人父母</v>
      </c>
      <c r="C17310" s="2" t="s">
        <v>9</v>
      </c>
      <c r="D17310" s="2" t="s">
        <v>10</v>
      </c>
      <c r="E17310" s="2" t="str">
        <f>HYPERLINK("http://ts.21cn.com/tousu/show/id/1349106","http://ts.21cn.com/tousu/show/id/1349106")</f>
        <v>http://ts.21cn.com/tousu/show/id/1349106</v>
      </c>
      <c r="F17310" s="2" t="s">
        <v>11</v>
      </c>
      <c r="G17310" s="2" t="s">
        <v>10145</v>
      </c>
      <c r="H17310" s="2" t="s">
        <v>10146</v>
      </c>
    </row>
    <row r="17311" spans="1:8" ht="25.05" customHeight="1" x14ac:dyDescent="0.25">
      <c r="A17311" s="2" t="s">
        <v>8</v>
      </c>
      <c r="B17311" s="2" t="str">
        <f>HYPERLINK("http://ts.21cn.com/tousu/show/id/1349107","恶意催收")</f>
        <v>恶意催收</v>
      </c>
      <c r="C17311" s="2" t="s">
        <v>9</v>
      </c>
      <c r="D17311" s="2" t="s">
        <v>10</v>
      </c>
      <c r="E17311" s="2" t="str">
        <f>HYPERLINK("http://ts.21cn.com/tousu/show/id/1349107","http://ts.21cn.com/tousu/show/id/1349107")</f>
        <v>http://ts.21cn.com/tousu/show/id/1349107</v>
      </c>
      <c r="F17311" s="2" t="s">
        <v>11</v>
      </c>
      <c r="G17311" s="2" t="s">
        <v>10143</v>
      </c>
      <c r="H17311" s="2" t="s">
        <v>10144</v>
      </c>
    </row>
    <row r="17312" spans="1:8" ht="25.05" customHeight="1" x14ac:dyDescent="0.25">
      <c r="A17312" s="2" t="s">
        <v>8</v>
      </c>
      <c r="B17312" s="2" t="str">
        <f>HYPERLINK("http://ts.21cn.com/tousu/show/id/1349109","民生银行信用卡")</f>
        <v>民生银行信用卡</v>
      </c>
      <c r="C17312" s="2" t="s">
        <v>9</v>
      </c>
      <c r="D17312" s="2" t="s">
        <v>10</v>
      </c>
      <c r="E17312" s="2" t="str">
        <f>HYPERLINK("http://ts.21cn.com/tousu/show/id/1349109","http://ts.21cn.com/tousu/show/id/1349109")</f>
        <v>http://ts.21cn.com/tousu/show/id/1349109</v>
      </c>
      <c r="F17312" s="2" t="s">
        <v>11</v>
      </c>
      <c r="G17312" s="2" t="s">
        <v>10141</v>
      </c>
      <c r="H17312" s="2" t="s">
        <v>10142</v>
      </c>
    </row>
    <row r="17313" spans="1:8" ht="25.05" customHeight="1" x14ac:dyDescent="0.25">
      <c r="A17313" s="2" t="s">
        <v>8</v>
      </c>
      <c r="B17313" s="2" t="str">
        <f>HYPERLINK("http://ts.21cn.com/tousu/show/id/1349110","好易贷7天高利贷，套路贷")</f>
        <v>好易贷7天高利贷，套路贷</v>
      </c>
      <c r="C17313" s="2" t="s">
        <v>9</v>
      </c>
      <c r="D17313" s="2" t="s">
        <v>10</v>
      </c>
      <c r="E17313" s="2" t="str">
        <f>HYPERLINK("http://ts.21cn.com/tousu/show/id/1349110","http://ts.21cn.com/tousu/show/id/1349110")</f>
        <v>http://ts.21cn.com/tousu/show/id/1349110</v>
      </c>
      <c r="F17313" s="2" t="s">
        <v>11</v>
      </c>
      <c r="G17313" s="2" t="s">
        <v>10139</v>
      </c>
      <c r="H17313" s="2" t="s">
        <v>10140</v>
      </c>
    </row>
    <row r="17314" spans="1:8" ht="25.05" customHeight="1" x14ac:dyDescent="0.25">
      <c r="A17314" s="2" t="s">
        <v>8</v>
      </c>
      <c r="B17314" s="2" t="str">
        <f>HYPERLINK("http://ts.21cn.com/tousu/show/id/1349113","钱伴催收态度恶劣")</f>
        <v>钱伴催收态度恶劣</v>
      </c>
      <c r="C17314" s="2" t="s">
        <v>9</v>
      </c>
      <c r="D17314" s="2" t="s">
        <v>10</v>
      </c>
      <c r="E17314" s="2" t="str">
        <f>HYPERLINK("http://ts.21cn.com/tousu/show/id/1349113","http://ts.21cn.com/tousu/show/id/1349113")</f>
        <v>http://ts.21cn.com/tousu/show/id/1349113</v>
      </c>
      <c r="F17314" s="2" t="s">
        <v>11</v>
      </c>
      <c r="G17314" s="2" t="s">
        <v>10137</v>
      </c>
      <c r="H17314" s="2" t="s">
        <v>10138</v>
      </c>
    </row>
    <row r="17315" spans="1:8" ht="25.05" customHeight="1" x14ac:dyDescent="0.25">
      <c r="A17315" s="2" t="s">
        <v>8</v>
      </c>
      <c r="B17315" s="2" t="str">
        <f>HYPERLINK("http://ts.21cn.com/tousu/show/id/1349111","现控达人恶意逾期")</f>
        <v>现控达人恶意逾期</v>
      </c>
      <c r="C17315" s="2" t="s">
        <v>9</v>
      </c>
      <c r="D17315" s="2" t="s">
        <v>10</v>
      </c>
      <c r="E17315" s="2" t="str">
        <f>HYPERLINK("http://ts.21cn.com/tousu/show/id/1349111","http://ts.21cn.com/tousu/show/id/1349111")</f>
        <v>http://ts.21cn.com/tousu/show/id/1349111</v>
      </c>
      <c r="F17315" s="2" t="s">
        <v>11</v>
      </c>
      <c r="G17315" s="2" t="s">
        <v>10135</v>
      </c>
      <c r="H17315" s="2" t="s">
        <v>10136</v>
      </c>
    </row>
    <row r="17316" spans="1:8" ht="25.05" customHeight="1" x14ac:dyDescent="0.25">
      <c r="A17316" s="2" t="s">
        <v>8</v>
      </c>
      <c r="B17316" s="2" t="str">
        <f>HYPERLINK("http://ts.21cn.com/tousu/show/id/1349112","拼多多客服专员不作为维权三天又三天不肯处理")</f>
        <v>拼多多客服专员不作为维权三天又三天不肯处理</v>
      </c>
      <c r="C17316" s="2" t="s">
        <v>9</v>
      </c>
      <c r="D17316" s="2" t="s">
        <v>10</v>
      </c>
      <c r="E17316" s="2" t="str">
        <f>HYPERLINK("http://ts.21cn.com/tousu/show/id/1349112","http://ts.21cn.com/tousu/show/id/1349112")</f>
        <v>http://ts.21cn.com/tousu/show/id/1349112</v>
      </c>
      <c r="F17316" s="2" t="s">
        <v>11</v>
      </c>
      <c r="G17316" s="2" t="s">
        <v>10133</v>
      </c>
      <c r="H17316" s="2" t="s">
        <v>10134</v>
      </c>
    </row>
    <row r="17317" spans="1:8" ht="25.05" customHeight="1" x14ac:dyDescent="0.25">
      <c r="A17317" s="2" t="s">
        <v>8</v>
      </c>
      <c r="B17317" s="2" t="str">
        <f>HYPERLINK("http://ts.21cn.com/tousu/show/id/1349115","民航通黑卡虚假宣传、存在欺诈行为")</f>
        <v>民航通黑卡虚假宣传、存在欺诈行为</v>
      </c>
      <c r="C17317" s="2" t="s">
        <v>9</v>
      </c>
      <c r="D17317" s="2" t="s">
        <v>10</v>
      </c>
      <c r="E17317" s="2" t="str">
        <f>HYPERLINK("http://ts.21cn.com/tousu/show/id/1349115","http://ts.21cn.com/tousu/show/id/1349115")</f>
        <v>http://ts.21cn.com/tousu/show/id/1349115</v>
      </c>
      <c r="F17317" s="2" t="s">
        <v>11</v>
      </c>
      <c r="G17317" s="2" t="s">
        <v>10131</v>
      </c>
      <c r="H17317" s="2" t="s">
        <v>10132</v>
      </c>
    </row>
    <row r="17318" spans="1:8" ht="25.05" customHeight="1" x14ac:dyDescent="0.25">
      <c r="A17318" s="2" t="s">
        <v>8</v>
      </c>
      <c r="B17318" s="2" t="str">
        <f>HYPERLINK("http://ts.21cn.com/tousu/show/id/1349114","骚扰公司领导严重影响本人正常工作")</f>
        <v>骚扰公司领导严重影响本人正常工作</v>
      </c>
      <c r="C17318" s="2" t="s">
        <v>9</v>
      </c>
      <c r="D17318" s="2" t="s">
        <v>10</v>
      </c>
      <c r="E17318" s="2" t="str">
        <f>HYPERLINK("http://ts.21cn.com/tousu/show/id/1349114","http://ts.21cn.com/tousu/show/id/1349114")</f>
        <v>http://ts.21cn.com/tousu/show/id/1349114</v>
      </c>
      <c r="F17318" s="2" t="s">
        <v>11</v>
      </c>
      <c r="G17318" s="2" t="s">
        <v>10129</v>
      </c>
      <c r="H17318" s="2" t="s">
        <v>10130</v>
      </c>
    </row>
    <row r="17319" spans="1:8" ht="25.05" customHeight="1" x14ac:dyDescent="0.25">
      <c r="A17319" s="2" t="s">
        <v>8</v>
      </c>
      <c r="B17319" s="2" t="str">
        <f>HYPERLINK("http://ts.21cn.com/tousu/show/id/1349116","死交易猫")</f>
        <v>死交易猫</v>
      </c>
      <c r="C17319" s="2" t="s">
        <v>9</v>
      </c>
      <c r="D17319" s="2" t="s">
        <v>10</v>
      </c>
      <c r="E17319" s="2" t="str">
        <f>HYPERLINK("http://ts.21cn.com/tousu/show/id/1349116","http://ts.21cn.com/tousu/show/id/1349116")</f>
        <v>http://ts.21cn.com/tousu/show/id/1349116</v>
      </c>
      <c r="F17319" s="2" t="s">
        <v>11</v>
      </c>
      <c r="G17319" s="2" t="s">
        <v>10127</v>
      </c>
      <c r="H17319" s="2" t="s">
        <v>10128</v>
      </c>
    </row>
    <row r="17320" spans="1:8" ht="25.05" customHeight="1" x14ac:dyDescent="0.25">
      <c r="A17320" s="2" t="s">
        <v>8</v>
      </c>
      <c r="B17320" s="2" t="str">
        <f>HYPERLINK("http://ts.21cn.com/tousu/show/id/1349117","骚扰短信和电话")</f>
        <v>骚扰短信和电话</v>
      </c>
      <c r="C17320" s="2" t="s">
        <v>9</v>
      </c>
      <c r="D17320" s="2" t="s">
        <v>10</v>
      </c>
      <c r="E17320" s="2" t="str">
        <f>HYPERLINK("http://ts.21cn.com/tousu/show/id/1349117","http://ts.21cn.com/tousu/show/id/1349117")</f>
        <v>http://ts.21cn.com/tousu/show/id/1349117</v>
      </c>
      <c r="F17320" s="2" t="s">
        <v>11</v>
      </c>
      <c r="G17320" s="2" t="s">
        <v>10125</v>
      </c>
      <c r="H17320" s="2" t="s">
        <v>10126</v>
      </c>
    </row>
    <row r="17321" spans="1:8" ht="25.05" customHeight="1" x14ac:dyDescent="0.25">
      <c r="A17321" s="2" t="s">
        <v>8</v>
      </c>
      <c r="B17321" s="2" t="str">
        <f>HYPERLINK("http://ts.21cn.com/tousu/show/id/1349108","砍头息")</f>
        <v>砍头息</v>
      </c>
      <c r="C17321" s="2" t="s">
        <v>9</v>
      </c>
      <c r="D17321" s="2" t="s">
        <v>10</v>
      </c>
      <c r="E17321" s="2" t="str">
        <f>HYPERLINK("http://ts.21cn.com/tousu/show/id/1349108","http://ts.21cn.com/tousu/show/id/1349108")</f>
        <v>http://ts.21cn.com/tousu/show/id/1349108</v>
      </c>
      <c r="F17321" s="2" t="s">
        <v>11</v>
      </c>
      <c r="G17321" s="2" t="s">
        <v>10123</v>
      </c>
      <c r="H17321" s="2" t="s">
        <v>10124</v>
      </c>
    </row>
    <row r="17322" spans="1:8" ht="25.05" customHeight="1" x14ac:dyDescent="0.25">
      <c r="A17322" s="2" t="s">
        <v>8</v>
      </c>
      <c r="B17322" s="2" t="str">
        <f>HYPERLINK("http://ts.21cn.com/tousu/show/id/1349118","黑贷")</f>
        <v>黑贷</v>
      </c>
      <c r="C17322" s="2" t="s">
        <v>9</v>
      </c>
      <c r="D17322" s="2" t="s">
        <v>10</v>
      </c>
      <c r="E17322" s="2" t="str">
        <f>HYPERLINK("http://ts.21cn.com/tousu/show/id/1349118","http://ts.21cn.com/tousu/show/id/1349118")</f>
        <v>http://ts.21cn.com/tousu/show/id/1349118</v>
      </c>
      <c r="F17322" s="2" t="s">
        <v>11</v>
      </c>
      <c r="G17322" s="2" t="s">
        <v>10121</v>
      </c>
      <c r="H17322" s="2" t="s">
        <v>10122</v>
      </c>
    </row>
    <row r="17323" spans="1:8" ht="25.05" customHeight="1" x14ac:dyDescent="0.25">
      <c r="A17323" s="2" t="s">
        <v>8</v>
      </c>
      <c r="B17323" s="2" t="str">
        <f>HYPERLINK("http://ts.21cn.com/tousu/show/id/1349119","兴业消费金融存在砍头息高额利息")</f>
        <v>兴业消费金融存在砍头息高额利息</v>
      </c>
      <c r="C17323" s="2" t="s">
        <v>9</v>
      </c>
      <c r="D17323" s="2" t="s">
        <v>10</v>
      </c>
      <c r="E17323" s="2" t="str">
        <f>HYPERLINK("http://ts.21cn.com/tousu/show/id/1349119","http://ts.21cn.com/tousu/show/id/1349119")</f>
        <v>http://ts.21cn.com/tousu/show/id/1349119</v>
      </c>
      <c r="F17323" s="2" t="s">
        <v>11</v>
      </c>
      <c r="G17323" s="2" t="s">
        <v>10119</v>
      </c>
      <c r="H17323" s="2" t="s">
        <v>10120</v>
      </c>
    </row>
    <row r="17324" spans="1:8" ht="25.05" customHeight="1" x14ac:dyDescent="0.25">
      <c r="A17324" s="2" t="s">
        <v>8</v>
      </c>
      <c r="B17324" s="2" t="str">
        <f>HYPERLINK("http://ts.21cn.com/tousu/show/id/1349120","闪银凭证砍头息，微信支付为其违法提供支付平台")</f>
        <v>闪银凭证砍头息，微信支付为其违法提供支付平台</v>
      </c>
      <c r="C17324" s="2" t="s">
        <v>9</v>
      </c>
      <c r="D17324" s="2" t="s">
        <v>10</v>
      </c>
      <c r="E17324" s="2" t="str">
        <f>HYPERLINK("http://ts.21cn.com/tousu/show/id/1349120","http://ts.21cn.com/tousu/show/id/1349120")</f>
        <v>http://ts.21cn.com/tousu/show/id/1349120</v>
      </c>
      <c r="F17324" s="2" t="s">
        <v>11</v>
      </c>
      <c r="G17324" s="2" t="s">
        <v>10117</v>
      </c>
      <c r="H17324" s="2" t="s">
        <v>10118</v>
      </c>
    </row>
    <row r="17325" spans="1:8" ht="25.05" customHeight="1" x14ac:dyDescent="0.25">
      <c r="A17325" s="2" t="s">
        <v>8</v>
      </c>
      <c r="B17325" s="2" t="str">
        <f>HYPERLINK("http://ts.21cn.com/tousu/show/id/1349122","支付宝催收非法骚扰")</f>
        <v>支付宝催收非法骚扰</v>
      </c>
      <c r="C17325" s="2" t="s">
        <v>9</v>
      </c>
      <c r="D17325" s="2" t="s">
        <v>10</v>
      </c>
      <c r="E17325" s="2" t="str">
        <f>HYPERLINK("http://ts.21cn.com/tousu/show/id/1349122","http://ts.21cn.com/tousu/show/id/1349122")</f>
        <v>http://ts.21cn.com/tousu/show/id/1349122</v>
      </c>
      <c r="F17325" s="2" t="s">
        <v>11</v>
      </c>
      <c r="G17325" s="2" t="s">
        <v>10115</v>
      </c>
      <c r="H17325" s="2" t="s">
        <v>10116</v>
      </c>
    </row>
    <row r="17326" spans="1:8" ht="25.05" customHeight="1" x14ac:dyDescent="0.25">
      <c r="A17326" s="2" t="s">
        <v>8</v>
      </c>
      <c r="B17326" s="2" t="str">
        <f>HYPERLINK("http://ts.21cn.com/tousu/show/id/1349121","圈圈分期高利贷砍头息，拒不协商")</f>
        <v>圈圈分期高利贷砍头息，拒不协商</v>
      </c>
      <c r="C17326" s="2" t="s">
        <v>9</v>
      </c>
      <c r="D17326" s="2" t="s">
        <v>10</v>
      </c>
      <c r="E17326" s="2" t="str">
        <f>HYPERLINK("http://ts.21cn.com/tousu/show/id/1349121","http://ts.21cn.com/tousu/show/id/1349121")</f>
        <v>http://ts.21cn.com/tousu/show/id/1349121</v>
      </c>
      <c r="F17326" s="2" t="s">
        <v>11</v>
      </c>
      <c r="G17326" s="2" t="s">
        <v>10113</v>
      </c>
      <c r="H17326" s="2" t="s">
        <v>10114</v>
      </c>
    </row>
    <row r="17327" spans="1:8" ht="25.05" customHeight="1" x14ac:dyDescent="0.25">
      <c r="A17327" s="2" t="s">
        <v>8</v>
      </c>
      <c r="B17327" s="2" t="str">
        <f>HYPERLINK("http://ts.21cn.com/tousu/show/id/1349123","泰迪熊移动没经过同意，误标记我手机号码")</f>
        <v>泰迪熊移动没经过同意，误标记我手机号码</v>
      </c>
      <c r="C17327" s="2" t="s">
        <v>9</v>
      </c>
      <c r="D17327" s="2" t="s">
        <v>10</v>
      </c>
      <c r="E17327" s="2" t="str">
        <f>HYPERLINK("http://ts.21cn.com/tousu/show/id/1349123","http://ts.21cn.com/tousu/show/id/1349123")</f>
        <v>http://ts.21cn.com/tousu/show/id/1349123</v>
      </c>
      <c r="F17327" s="2" t="s">
        <v>11</v>
      </c>
      <c r="G17327" s="2" t="s">
        <v>10111</v>
      </c>
      <c r="H17327" s="2" t="s">
        <v>10112</v>
      </c>
    </row>
    <row r="17328" spans="1:8" ht="25.05" customHeight="1" x14ac:dyDescent="0.25">
      <c r="A17328" s="2" t="s">
        <v>8</v>
      </c>
      <c r="B17328" s="2" t="str">
        <f>HYPERLINK("http://ts.21cn.com/tousu/show/id/1349125","轻周转芒果筹高利贷砍头息")</f>
        <v>轻周转芒果筹高利贷砍头息</v>
      </c>
      <c r="C17328" s="2" t="s">
        <v>9</v>
      </c>
      <c r="D17328" s="2" t="s">
        <v>10</v>
      </c>
      <c r="E17328" s="2" t="str">
        <f>HYPERLINK("http://ts.21cn.com/tousu/show/id/1349125","http://ts.21cn.com/tousu/show/id/1349125")</f>
        <v>http://ts.21cn.com/tousu/show/id/1349125</v>
      </c>
      <c r="F17328" s="2" t="s">
        <v>11</v>
      </c>
      <c r="G17328" s="2" t="s">
        <v>10109</v>
      </c>
      <c r="H17328" s="2" t="s">
        <v>10110</v>
      </c>
    </row>
    <row r="17329" spans="1:8" ht="25.05" customHeight="1" x14ac:dyDescent="0.25">
      <c r="A17329" s="2" t="s">
        <v>8</v>
      </c>
      <c r="B17329" s="2" t="str">
        <f>HYPERLINK("http://ts.21cn.com/tousu/show/id/1349126","百度金融第三方暴力催收威胁")</f>
        <v>百度金融第三方暴力催收威胁</v>
      </c>
      <c r="C17329" s="2" t="s">
        <v>9</v>
      </c>
      <c r="D17329" s="2" t="s">
        <v>10</v>
      </c>
      <c r="E17329" s="2" t="str">
        <f>HYPERLINK("http://ts.21cn.com/tousu/show/id/1349126","http://ts.21cn.com/tousu/show/id/1349126")</f>
        <v>http://ts.21cn.com/tousu/show/id/1349126</v>
      </c>
      <c r="F17329" s="2" t="s">
        <v>11</v>
      </c>
      <c r="G17329" s="2" t="s">
        <v>10107</v>
      </c>
      <c r="H17329" s="2" t="s">
        <v>10108</v>
      </c>
    </row>
    <row r="17330" spans="1:8" ht="25.05" customHeight="1" x14ac:dyDescent="0.25">
      <c r="A17330" s="2" t="s">
        <v>8</v>
      </c>
      <c r="B17330" s="2" t="str">
        <f>HYPERLINK("http://ts.21cn.com/tousu/show/id/1349127","创客工具箱显示降权淘宝号正常无违规申请取消")</f>
        <v>创客工具箱显示降权淘宝号正常无违规申请取消</v>
      </c>
      <c r="C17330" s="2" t="s">
        <v>9</v>
      </c>
      <c r="D17330" s="2" t="s">
        <v>10</v>
      </c>
      <c r="E17330" s="2" t="str">
        <f>HYPERLINK("http://ts.21cn.com/tousu/show/id/1349127","http://ts.21cn.com/tousu/show/id/1349127")</f>
        <v>http://ts.21cn.com/tousu/show/id/1349127</v>
      </c>
      <c r="F17330" s="2" t="s">
        <v>11</v>
      </c>
      <c r="G17330" s="2" t="s">
        <v>10106</v>
      </c>
      <c r="H17330" s="2" t="s">
        <v>9246</v>
      </c>
    </row>
    <row r="17331" spans="1:8" ht="25.05" customHeight="1" x14ac:dyDescent="0.25">
      <c r="A17331" s="2" t="s">
        <v>8</v>
      </c>
      <c r="B17331" s="2" t="str">
        <f>HYPERLINK("http://ts.21cn.com/tousu/show/id/1349128","工商银行暴力催收")</f>
        <v>工商银行暴力催收</v>
      </c>
      <c r="C17331" s="2" t="s">
        <v>9</v>
      </c>
      <c r="D17331" s="2" t="s">
        <v>10</v>
      </c>
      <c r="E17331" s="2" t="str">
        <f>HYPERLINK("http://ts.21cn.com/tousu/show/id/1349128","http://ts.21cn.com/tousu/show/id/1349128")</f>
        <v>http://ts.21cn.com/tousu/show/id/1349128</v>
      </c>
      <c r="F17331" s="2" t="s">
        <v>11</v>
      </c>
      <c r="G17331" s="2" t="s">
        <v>10104</v>
      </c>
      <c r="H17331" s="2" t="s">
        <v>10105</v>
      </c>
    </row>
    <row r="17332" spans="1:8" ht="25.05" customHeight="1" x14ac:dyDescent="0.25">
      <c r="A17332" s="2" t="s">
        <v>8</v>
      </c>
      <c r="B17332" s="2" t="str">
        <f>HYPERLINK("http://ts.21cn.com/tousu/show/id/1349130","暴力催收")</f>
        <v>暴力催收</v>
      </c>
      <c r="C17332" s="2" t="s">
        <v>9</v>
      </c>
      <c r="D17332" s="2" t="s">
        <v>10</v>
      </c>
      <c r="E17332" s="2" t="str">
        <f>HYPERLINK("http://ts.21cn.com/tousu/show/id/1349130","http://ts.21cn.com/tousu/show/id/1349130")</f>
        <v>http://ts.21cn.com/tousu/show/id/1349130</v>
      </c>
      <c r="F17332" s="2" t="s">
        <v>11</v>
      </c>
      <c r="G17332" s="2" t="s">
        <v>10101</v>
      </c>
      <c r="H17332" s="2" t="s">
        <v>10102</v>
      </c>
    </row>
    <row r="17333" spans="1:8" ht="25.05" customHeight="1" x14ac:dyDescent="0.25">
      <c r="A17333" s="2" t="s">
        <v>8</v>
      </c>
      <c r="B17333" s="2" t="str">
        <f>HYPERLINK("http://ts.21cn.com/tousu/show/id/1349129","十多天就降价一半")</f>
        <v>十多天就降价一半</v>
      </c>
      <c r="C17333" s="2" t="s">
        <v>34</v>
      </c>
      <c r="D17333" s="2" t="s">
        <v>10</v>
      </c>
      <c r="E17333" s="2" t="str">
        <f>HYPERLINK("http://ts.21cn.com/tousu/show/id/1349129","http://ts.21cn.com/tousu/show/id/1349129")</f>
        <v>http://ts.21cn.com/tousu/show/id/1349129</v>
      </c>
      <c r="F17333" s="2" t="s">
        <v>11</v>
      </c>
      <c r="G17333" s="2" t="s">
        <v>10101</v>
      </c>
      <c r="H17333" s="2" t="s">
        <v>10103</v>
      </c>
    </row>
    <row r="17334" spans="1:8" ht="25.05" customHeight="1" x14ac:dyDescent="0.25">
      <c r="A17334" s="2" t="s">
        <v>8</v>
      </c>
      <c r="B17334" s="2" t="str">
        <f>HYPERLINK("http://ts.21cn.com/tousu/show/id/1349131","闪管家催收客服态度恶劣")</f>
        <v>闪管家催收客服态度恶劣</v>
      </c>
      <c r="C17334" s="2" t="s">
        <v>9</v>
      </c>
      <c r="D17334" s="2" t="s">
        <v>10</v>
      </c>
      <c r="E17334" s="2" t="str">
        <f>HYPERLINK("http://ts.21cn.com/tousu/show/id/1349131","http://ts.21cn.com/tousu/show/id/1349131")</f>
        <v>http://ts.21cn.com/tousu/show/id/1349131</v>
      </c>
      <c r="F17334" s="2" t="s">
        <v>11</v>
      </c>
      <c r="G17334" s="2" t="s">
        <v>10099</v>
      </c>
      <c r="H17334" s="2" t="s">
        <v>10100</v>
      </c>
    </row>
    <row r="17335" spans="1:8" ht="25.05" customHeight="1" x14ac:dyDescent="0.25">
      <c r="A17335" s="2" t="s">
        <v>8</v>
      </c>
      <c r="B17335" s="2" t="str">
        <f>HYPERLINK("http://ts.21cn.com/tousu/show/id/1349132","我收到卖家挂羊头卖牛肉用普通的69元的A级锁冒充109元的C级锁。卖家就是施诈")</f>
        <v>我收到卖家挂羊头卖牛肉用普通的69元的A级锁冒充109元的C级锁。卖家就是施诈</v>
      </c>
      <c r="C17335" s="2" t="s">
        <v>9</v>
      </c>
      <c r="D17335" s="2" t="s">
        <v>10</v>
      </c>
      <c r="E17335" s="2" t="str">
        <f>HYPERLINK("http://ts.21cn.com/tousu/show/id/1349132","http://ts.21cn.com/tousu/show/id/1349132")</f>
        <v>http://ts.21cn.com/tousu/show/id/1349132</v>
      </c>
      <c r="F17335" s="2" t="s">
        <v>11</v>
      </c>
      <c r="G17335" s="2" t="s">
        <v>10097</v>
      </c>
      <c r="H17335" s="2" t="s">
        <v>10098</v>
      </c>
    </row>
    <row r="17336" spans="1:8" ht="25.05" customHeight="1" x14ac:dyDescent="0.25">
      <c r="A17336" s="2" t="s">
        <v>8</v>
      </c>
      <c r="B17336" s="2" t="str">
        <f>HYPERLINK("http://ts.21cn.com/tousu/show/id/1349133","利率过高，盗取用户信息。")</f>
        <v>利率过高，盗取用户信息。</v>
      </c>
      <c r="C17336" s="2" t="s">
        <v>9</v>
      </c>
      <c r="D17336" s="2" t="s">
        <v>10</v>
      </c>
      <c r="E17336" s="2" t="str">
        <f>HYPERLINK("http://ts.21cn.com/tousu/show/id/1349133","http://ts.21cn.com/tousu/show/id/1349133")</f>
        <v>http://ts.21cn.com/tousu/show/id/1349133</v>
      </c>
      <c r="F17336" s="2" t="s">
        <v>11</v>
      </c>
      <c r="G17336" s="2" t="s">
        <v>10095</v>
      </c>
      <c r="H17336" s="2" t="s">
        <v>10096</v>
      </c>
    </row>
    <row r="17337" spans="1:8" ht="25.05" customHeight="1" x14ac:dyDescent="0.25">
      <c r="A17337" s="2" t="s">
        <v>8</v>
      </c>
      <c r="B17337" s="2" t="str">
        <f>HYPERLINK("http://ts.21cn.com/tousu/show/id/1349134","华夏翔博教育欺瞒行为")</f>
        <v>华夏翔博教育欺瞒行为</v>
      </c>
      <c r="C17337" s="2" t="s">
        <v>9</v>
      </c>
      <c r="D17337" s="2" t="s">
        <v>10</v>
      </c>
      <c r="E17337" s="2" t="str">
        <f>HYPERLINK("http://ts.21cn.com/tousu/show/id/1349134","http://ts.21cn.com/tousu/show/id/1349134")</f>
        <v>http://ts.21cn.com/tousu/show/id/1349134</v>
      </c>
      <c r="F17337" s="2" t="s">
        <v>11</v>
      </c>
      <c r="G17337" s="2" t="s">
        <v>10093</v>
      </c>
      <c r="H17337" s="2" t="s">
        <v>10094</v>
      </c>
    </row>
    <row r="17338" spans="1:8" ht="25.05" customHeight="1" x14ac:dyDescent="0.25">
      <c r="A17338" s="2" t="s">
        <v>8</v>
      </c>
      <c r="B17338" s="2" t="str">
        <f>HYPERLINK("http://ts.21cn.com/tousu/show/id/1349136","闪银优智借砍头息高利贷")</f>
        <v>闪银优智借砍头息高利贷</v>
      </c>
      <c r="C17338" s="2" t="s">
        <v>9</v>
      </c>
      <c r="D17338" s="2" t="s">
        <v>10</v>
      </c>
      <c r="E17338" s="2" t="str">
        <f>HYPERLINK("http://ts.21cn.com/tousu/show/id/1349136","http://ts.21cn.com/tousu/show/id/1349136")</f>
        <v>http://ts.21cn.com/tousu/show/id/1349136</v>
      </c>
      <c r="F17338" s="2" t="s">
        <v>11</v>
      </c>
      <c r="G17338" s="2" t="s">
        <v>10091</v>
      </c>
      <c r="H17338" s="2" t="s">
        <v>10092</v>
      </c>
    </row>
    <row r="17339" spans="1:8" ht="25.05" customHeight="1" x14ac:dyDescent="0.25">
      <c r="A17339" s="2" t="s">
        <v>8</v>
      </c>
      <c r="B17339" s="2" t="str">
        <f>HYPERLINK("http://ts.21cn.com/tousu/show/id/1349137","买单侠高利贷借10600半年还14385暴力催收")</f>
        <v>买单侠高利贷借10600半年还14385暴力催收</v>
      </c>
      <c r="C17339" s="2" t="s">
        <v>9</v>
      </c>
      <c r="D17339" s="2" t="s">
        <v>10</v>
      </c>
      <c r="E17339" s="2" t="str">
        <f>HYPERLINK("http://ts.21cn.com/tousu/show/id/1349137","http://ts.21cn.com/tousu/show/id/1349137")</f>
        <v>http://ts.21cn.com/tousu/show/id/1349137</v>
      </c>
      <c r="F17339" s="2" t="s">
        <v>11</v>
      </c>
      <c r="G17339" s="2" t="s">
        <v>10089</v>
      </c>
      <c r="H17339" s="2" t="s">
        <v>10090</v>
      </c>
    </row>
    <row r="17340" spans="1:8" ht="25.05" customHeight="1" x14ac:dyDescent="0.25">
      <c r="A17340" s="2" t="s">
        <v>8</v>
      </c>
      <c r="B17340" s="2" t="str">
        <f>HYPERLINK("http://ts.21cn.com/tousu/show/id/1349140","客服暴力催收")</f>
        <v>客服暴力催收</v>
      </c>
      <c r="C17340" s="2" t="s">
        <v>9</v>
      </c>
      <c r="D17340" s="2" t="s">
        <v>10</v>
      </c>
      <c r="E17340" s="2" t="str">
        <f>HYPERLINK("http://ts.21cn.com/tousu/show/id/1349140","http://ts.21cn.com/tousu/show/id/1349140")</f>
        <v>http://ts.21cn.com/tousu/show/id/1349140</v>
      </c>
      <c r="F17340" s="2" t="s">
        <v>11</v>
      </c>
      <c r="G17340" s="2" t="s">
        <v>10087</v>
      </c>
      <c r="H17340" s="2" t="s">
        <v>10088</v>
      </c>
    </row>
    <row r="17341" spans="1:8" ht="25.05" customHeight="1" x14ac:dyDescent="0.25">
      <c r="A17341" s="2" t="s">
        <v>8</v>
      </c>
      <c r="B17341" s="2" t="str">
        <f>HYPERLINK("http://ts.21cn.com/tousu/show/id/1349141","小花钱包暴力催收")</f>
        <v>小花钱包暴力催收</v>
      </c>
      <c r="C17341" s="2" t="s">
        <v>9</v>
      </c>
      <c r="D17341" s="2" t="s">
        <v>10</v>
      </c>
      <c r="E17341" s="2" t="str">
        <f>HYPERLINK("http://ts.21cn.com/tousu/show/id/1349141","http://ts.21cn.com/tousu/show/id/1349141")</f>
        <v>http://ts.21cn.com/tousu/show/id/1349141</v>
      </c>
      <c r="F17341" s="2" t="s">
        <v>11</v>
      </c>
      <c r="G17341" s="2" t="s">
        <v>10085</v>
      </c>
      <c r="H17341" s="2" t="s">
        <v>10086</v>
      </c>
    </row>
    <row r="17342" spans="1:8" ht="25.05" customHeight="1" x14ac:dyDescent="0.25">
      <c r="A17342" s="2" t="s">
        <v>8</v>
      </c>
      <c r="B17342" s="2" t="str">
        <f>HYPERLINK("http://ts.21cn.com/tousu/show/id/1349142","骚扰我通讯录，损坏名声，让我不能正常生活")</f>
        <v>骚扰我通讯录，损坏名声，让我不能正常生活</v>
      </c>
      <c r="C17342" s="2" t="s">
        <v>9</v>
      </c>
      <c r="D17342" s="2" t="s">
        <v>10</v>
      </c>
      <c r="E17342" s="2" t="str">
        <f>HYPERLINK("http://ts.21cn.com/tousu/show/id/1349142","http://ts.21cn.com/tousu/show/id/1349142")</f>
        <v>http://ts.21cn.com/tousu/show/id/1349142</v>
      </c>
      <c r="F17342" s="2" t="s">
        <v>11</v>
      </c>
      <c r="G17342" s="2" t="s">
        <v>10083</v>
      </c>
      <c r="H17342" s="2" t="s">
        <v>10084</v>
      </c>
    </row>
    <row r="17343" spans="1:8" ht="25.05" customHeight="1" x14ac:dyDescent="0.25">
      <c r="A17343" s="2" t="s">
        <v>8</v>
      </c>
      <c r="B17343" s="2" t="str">
        <f>HYPERLINK("http://ts.21cn.com/tousu/show/id/1349143","微信被打标")</f>
        <v>微信被打标</v>
      </c>
      <c r="C17343" s="2" t="s">
        <v>34</v>
      </c>
      <c r="D17343" s="2" t="s">
        <v>10</v>
      </c>
      <c r="E17343" s="2" t="str">
        <f>HYPERLINK("http://ts.21cn.com/tousu/show/id/1349143","http://ts.21cn.com/tousu/show/id/1349143")</f>
        <v>http://ts.21cn.com/tousu/show/id/1349143</v>
      </c>
      <c r="F17343" s="2" t="s">
        <v>11</v>
      </c>
      <c r="G17343" s="2" t="s">
        <v>10081</v>
      </c>
      <c r="H17343" s="2" t="s">
        <v>10082</v>
      </c>
    </row>
    <row r="17344" spans="1:8" ht="25.05" customHeight="1" x14ac:dyDescent="0.25">
      <c r="A17344" s="2" t="s">
        <v>8</v>
      </c>
      <c r="B17344" s="2" t="str">
        <f>HYPERLINK("http://ts.21cn.com/tousu/show/id/1349144","唯品会买玩几天就降价，客服不返差价")</f>
        <v>唯品会买玩几天就降价，客服不返差价</v>
      </c>
      <c r="C17344" s="2" t="s">
        <v>34</v>
      </c>
      <c r="D17344" s="2" t="s">
        <v>10</v>
      </c>
      <c r="E17344" s="2" t="str">
        <f>HYPERLINK("http://ts.21cn.com/tousu/show/id/1349144","http://ts.21cn.com/tousu/show/id/1349144")</f>
        <v>http://ts.21cn.com/tousu/show/id/1349144</v>
      </c>
      <c r="F17344" s="2" t="s">
        <v>11</v>
      </c>
      <c r="G17344" s="2" t="s">
        <v>10079</v>
      </c>
      <c r="H17344" s="2" t="s">
        <v>10080</v>
      </c>
    </row>
    <row r="17345" spans="1:8" ht="25.05" customHeight="1" x14ac:dyDescent="0.25">
      <c r="A17345" s="2" t="s">
        <v>8</v>
      </c>
      <c r="B17345" s="2" t="str">
        <f>HYPERLINK("http://ts.21cn.com/tousu/show/id/1349145","出行唯选退卡")</f>
        <v>出行唯选退卡</v>
      </c>
      <c r="C17345" s="2" t="s">
        <v>9</v>
      </c>
      <c r="D17345" s="2" t="s">
        <v>10</v>
      </c>
      <c r="E17345" s="2" t="str">
        <f>HYPERLINK("http://ts.21cn.com/tousu/show/id/1349145","http://ts.21cn.com/tousu/show/id/1349145")</f>
        <v>http://ts.21cn.com/tousu/show/id/1349145</v>
      </c>
      <c r="F17345" s="2" t="s">
        <v>11</v>
      </c>
      <c r="G17345" s="2" t="s">
        <v>10077</v>
      </c>
      <c r="H17345" s="2" t="s">
        <v>10078</v>
      </c>
    </row>
    <row r="17346" spans="1:8" ht="25.05" customHeight="1" x14ac:dyDescent="0.25">
      <c r="A17346" s="2" t="s">
        <v>8</v>
      </c>
      <c r="B17346" s="2" t="str">
        <f>HYPERLINK("http://ts.21cn.com/tousu/show/id/1349147","你我贷出尔反尔")</f>
        <v>你我贷出尔反尔</v>
      </c>
      <c r="C17346" s="2" t="s">
        <v>9</v>
      </c>
      <c r="D17346" s="2" t="s">
        <v>10</v>
      </c>
      <c r="E17346" s="2" t="str">
        <f>HYPERLINK("http://ts.21cn.com/tousu/show/id/1349147","http://ts.21cn.com/tousu/show/id/1349147")</f>
        <v>http://ts.21cn.com/tousu/show/id/1349147</v>
      </c>
      <c r="F17346" s="2" t="s">
        <v>11</v>
      </c>
      <c r="G17346" s="2" t="s">
        <v>10075</v>
      </c>
      <c r="H17346" s="2" t="s">
        <v>10076</v>
      </c>
    </row>
    <row r="17347" spans="1:8" ht="25.05" customHeight="1" x14ac:dyDescent="0.25">
      <c r="A17347" s="2" t="s">
        <v>8</v>
      </c>
      <c r="B17347" s="2" t="str">
        <f>HYPERLINK("http://ts.21cn.com/tousu/show/id/1349149","交易猫退款失败客服敷衍了事")</f>
        <v>交易猫退款失败客服敷衍了事</v>
      </c>
      <c r="C17347" s="2" t="s">
        <v>9</v>
      </c>
      <c r="D17347" s="2" t="s">
        <v>10</v>
      </c>
      <c r="E17347" s="2" t="str">
        <f>HYPERLINK("http://ts.21cn.com/tousu/show/id/1349149","http://ts.21cn.com/tousu/show/id/1349149")</f>
        <v>http://ts.21cn.com/tousu/show/id/1349149</v>
      </c>
      <c r="F17347" s="2" t="s">
        <v>11</v>
      </c>
      <c r="G17347" s="2" t="s">
        <v>10073</v>
      </c>
      <c r="H17347" s="2" t="s">
        <v>10074</v>
      </c>
    </row>
    <row r="17348" spans="1:8" ht="25.05" customHeight="1" x14ac:dyDescent="0.25">
      <c r="A17348" s="2" t="s">
        <v>8</v>
      </c>
      <c r="B17348" s="2" t="str">
        <f>HYPERLINK("http://ts.21cn.com/tousu/show/id/1349151","恶意扣费，盗刷")</f>
        <v>恶意扣费，盗刷</v>
      </c>
      <c r="C17348" s="2" t="s">
        <v>9</v>
      </c>
      <c r="D17348" s="2" t="s">
        <v>10</v>
      </c>
      <c r="E17348" s="2" t="str">
        <f>HYPERLINK("http://ts.21cn.com/tousu/show/id/1349151","http://ts.21cn.com/tousu/show/id/1349151")</f>
        <v>http://ts.21cn.com/tousu/show/id/1349151</v>
      </c>
      <c r="F17348" s="2" t="s">
        <v>11</v>
      </c>
      <c r="G17348" s="2" t="s">
        <v>10071</v>
      </c>
      <c r="H17348" s="2" t="s">
        <v>10072</v>
      </c>
    </row>
    <row r="17349" spans="1:8" ht="25.05" customHeight="1" x14ac:dyDescent="0.25">
      <c r="A17349" s="2" t="s">
        <v>8</v>
      </c>
      <c r="B17349" s="2" t="str">
        <f>HYPERLINK("http://ts.21cn.com/tousu/show/id/1349150","利率过高，盗取用户个人信息。")</f>
        <v>利率过高，盗取用户个人信息。</v>
      </c>
      <c r="C17349" s="2" t="s">
        <v>9</v>
      </c>
      <c r="D17349" s="2" t="s">
        <v>10</v>
      </c>
      <c r="E17349" s="2" t="str">
        <f>HYPERLINK("http://ts.21cn.com/tousu/show/id/1349150","http://ts.21cn.com/tousu/show/id/1349150")</f>
        <v>http://ts.21cn.com/tousu/show/id/1349150</v>
      </c>
      <c r="F17349" s="2" t="s">
        <v>11</v>
      </c>
      <c r="G17349" s="2" t="s">
        <v>10069</v>
      </c>
      <c r="H17349" s="2" t="s">
        <v>10070</v>
      </c>
    </row>
    <row r="17350" spans="1:8" ht="25.05" customHeight="1" x14ac:dyDescent="0.25">
      <c r="A17350" s="2" t="s">
        <v>8</v>
      </c>
      <c r="B17350" s="2" t="str">
        <f>HYPERLINK("http://ts.21cn.com/tousu/show/id/1349153","小赢卡贷高额不合法利息")</f>
        <v>小赢卡贷高额不合法利息</v>
      </c>
      <c r="C17350" s="2" t="s">
        <v>9</v>
      </c>
      <c r="D17350" s="2" t="s">
        <v>10</v>
      </c>
      <c r="E17350" s="2" t="str">
        <f>HYPERLINK("http://ts.21cn.com/tousu/show/id/1349153","http://ts.21cn.com/tousu/show/id/1349153")</f>
        <v>http://ts.21cn.com/tousu/show/id/1349153</v>
      </c>
      <c r="F17350" s="2" t="s">
        <v>11</v>
      </c>
      <c r="G17350" s="2" t="s">
        <v>10067</v>
      </c>
      <c r="H17350" s="2" t="s">
        <v>10068</v>
      </c>
    </row>
    <row r="17351" spans="1:8" ht="25.05" customHeight="1" x14ac:dyDescent="0.25">
      <c r="A17351" s="2" t="s">
        <v>8</v>
      </c>
      <c r="B17351" s="2" t="str">
        <f>HYPERLINK("http://ts.21cn.com/tousu/show/id/1349152","交易猫交易失败一直显示退款失败")</f>
        <v>交易猫交易失败一直显示退款失败</v>
      </c>
      <c r="C17351" s="2" t="s">
        <v>9</v>
      </c>
      <c r="D17351" s="2" t="s">
        <v>10</v>
      </c>
      <c r="E17351" s="2" t="str">
        <f>HYPERLINK("http://ts.21cn.com/tousu/show/id/1349152","http://ts.21cn.com/tousu/show/id/1349152")</f>
        <v>http://ts.21cn.com/tousu/show/id/1349152</v>
      </c>
      <c r="F17351" s="2" t="s">
        <v>11</v>
      </c>
      <c r="G17351" s="2" t="s">
        <v>10065</v>
      </c>
      <c r="H17351" s="2" t="s">
        <v>10066</v>
      </c>
    </row>
    <row r="17352" spans="1:8" ht="25.05" customHeight="1" x14ac:dyDescent="0.25">
      <c r="A17352" s="2" t="s">
        <v>8</v>
      </c>
      <c r="B17352" s="2" t="str">
        <f>HYPERLINK("http://ts.21cn.com/tousu/show/id/1349154","闪银百万钱包要求销账")</f>
        <v>闪银百万钱包要求销账</v>
      </c>
      <c r="C17352" s="2" t="s">
        <v>9</v>
      </c>
      <c r="D17352" s="2" t="s">
        <v>10</v>
      </c>
      <c r="E17352" s="2" t="str">
        <f>HYPERLINK("http://ts.21cn.com/tousu/show/id/1349154","http://ts.21cn.com/tousu/show/id/1349154")</f>
        <v>http://ts.21cn.com/tousu/show/id/1349154</v>
      </c>
      <c r="F17352" s="2" t="s">
        <v>11</v>
      </c>
      <c r="G17352" s="2" t="s">
        <v>10063</v>
      </c>
      <c r="H17352" s="2" t="s">
        <v>10064</v>
      </c>
    </row>
    <row r="17353" spans="1:8" ht="25.05" customHeight="1" x14ac:dyDescent="0.25">
      <c r="A17353" s="2" t="s">
        <v>8</v>
      </c>
      <c r="B17353" s="2" t="str">
        <f>HYPERLINK("http://ts.21cn.com/tousu/show/id/1349155","西部明珠会员卡虚假宣传诱导消费")</f>
        <v>西部明珠会员卡虚假宣传诱导消费</v>
      </c>
      <c r="C17353" s="2" t="s">
        <v>9</v>
      </c>
      <c r="D17353" s="2" t="s">
        <v>10</v>
      </c>
      <c r="E17353" s="2" t="str">
        <f>HYPERLINK("http://ts.21cn.com/tousu/show/id/1349155","http://ts.21cn.com/tousu/show/id/1349155")</f>
        <v>http://ts.21cn.com/tousu/show/id/1349155</v>
      </c>
      <c r="F17353" s="2" t="s">
        <v>11</v>
      </c>
      <c r="G17353" s="2" t="s">
        <v>10061</v>
      </c>
      <c r="H17353" s="2" t="s">
        <v>10062</v>
      </c>
    </row>
    <row r="17354" spans="1:8" ht="25.05" customHeight="1" x14ac:dyDescent="0.25">
      <c r="A17354" s="2" t="s">
        <v>8</v>
      </c>
      <c r="B17354" s="2" t="str">
        <f>HYPERLINK("http://ts.21cn.com/tousu/show/id/1349157","盐城南金鹰门口不作为")</f>
        <v>盐城南金鹰门口不作为</v>
      </c>
      <c r="C17354" s="2" t="s">
        <v>9</v>
      </c>
      <c r="D17354" s="2" t="s">
        <v>10</v>
      </c>
      <c r="E17354" s="2" t="str">
        <f>HYPERLINK("http://ts.21cn.com/tousu/show/id/1349157","http://ts.21cn.com/tousu/show/id/1349157")</f>
        <v>http://ts.21cn.com/tousu/show/id/1349157</v>
      </c>
      <c r="F17354" s="2" t="s">
        <v>11</v>
      </c>
      <c r="G17354" s="2" t="s">
        <v>10059</v>
      </c>
      <c r="H17354" s="2" t="s">
        <v>10060</v>
      </c>
    </row>
    <row r="17355" spans="1:8" ht="25.05" customHeight="1" x14ac:dyDescent="0.25">
      <c r="A17355" s="2" t="s">
        <v>8</v>
      </c>
      <c r="B17355" s="2" t="str">
        <f>HYPERLINK("http://ts.21cn.com/tousu/show/id/1349156","新橙优品罚息属高利贷")</f>
        <v>新橙优品罚息属高利贷</v>
      </c>
      <c r="C17355" s="2" t="s">
        <v>9</v>
      </c>
      <c r="D17355" s="2" t="s">
        <v>10</v>
      </c>
      <c r="E17355" s="2" t="str">
        <f>HYPERLINK("http://ts.21cn.com/tousu/show/id/1349156","http://ts.21cn.com/tousu/show/id/1349156")</f>
        <v>http://ts.21cn.com/tousu/show/id/1349156</v>
      </c>
      <c r="F17355" s="2" t="s">
        <v>11</v>
      </c>
      <c r="G17355" s="2" t="s">
        <v>10057</v>
      </c>
      <c r="H17355" s="2" t="s">
        <v>10058</v>
      </c>
    </row>
    <row r="17356" spans="1:8" ht="25.05" customHeight="1" x14ac:dyDescent="0.25">
      <c r="A17356" s="2" t="s">
        <v>8</v>
      </c>
      <c r="B17356" s="2" t="str">
        <f>HYPERLINK("http://ts.21cn.com/tousu/show/id/1349158","360借条暴力催收威胁恐吓")</f>
        <v>360借条暴力催收威胁恐吓</v>
      </c>
      <c r="C17356" s="2" t="s">
        <v>9</v>
      </c>
      <c r="D17356" s="2" t="s">
        <v>10</v>
      </c>
      <c r="E17356" s="2" t="str">
        <f>HYPERLINK("http://ts.21cn.com/tousu/show/id/1349158","http://ts.21cn.com/tousu/show/id/1349158")</f>
        <v>http://ts.21cn.com/tousu/show/id/1349158</v>
      </c>
      <c r="F17356" s="2" t="s">
        <v>11</v>
      </c>
      <c r="G17356" s="2" t="s">
        <v>10055</v>
      </c>
      <c r="H17356" s="2" t="s">
        <v>10056</v>
      </c>
    </row>
    <row r="17357" spans="1:8" ht="25.05" customHeight="1" x14ac:dyDescent="0.25">
      <c r="A17357" s="2" t="s">
        <v>8</v>
      </c>
      <c r="B17357" s="2" t="str">
        <f>HYPERLINK("http://ts.21cn.com/tousu/show/id/1349159","拍拍贷催收骚扰我家人爆我通讯录")</f>
        <v>拍拍贷催收骚扰我家人爆我通讯录</v>
      </c>
      <c r="C17357" s="2" t="s">
        <v>9</v>
      </c>
      <c r="D17357" s="2" t="s">
        <v>10</v>
      </c>
      <c r="E17357" s="2" t="str">
        <f>HYPERLINK("http://ts.21cn.com/tousu/show/id/1349159","http://ts.21cn.com/tousu/show/id/1349159")</f>
        <v>http://ts.21cn.com/tousu/show/id/1349159</v>
      </c>
      <c r="F17357" s="2" t="s">
        <v>11</v>
      </c>
      <c r="G17357" s="2" t="s">
        <v>10053</v>
      </c>
      <c r="H17357" s="2" t="s">
        <v>10054</v>
      </c>
    </row>
    <row r="17358" spans="1:8" ht="25.05" customHeight="1" x14ac:dyDescent="0.25">
      <c r="A17358" s="2" t="s">
        <v>8</v>
      </c>
      <c r="B17358" s="2" t="str">
        <f>HYPERLINK("http://ts.21cn.com/tousu/show/id/1349161","已还够本金，协商减免清账")</f>
        <v>已还够本金，协商减免清账</v>
      </c>
      <c r="C17358" s="2" t="s">
        <v>34</v>
      </c>
      <c r="D17358" s="2" t="s">
        <v>10</v>
      </c>
      <c r="E17358" s="2" t="str">
        <f>HYPERLINK("http://ts.21cn.com/tousu/show/id/1349161","http://ts.21cn.com/tousu/show/id/1349161")</f>
        <v>http://ts.21cn.com/tousu/show/id/1349161</v>
      </c>
      <c r="F17358" s="2" t="s">
        <v>11</v>
      </c>
      <c r="G17358" s="2" t="s">
        <v>10051</v>
      </c>
      <c r="H17358" s="2" t="s">
        <v>10052</v>
      </c>
    </row>
    <row r="17359" spans="1:8" ht="25.05" customHeight="1" x14ac:dyDescent="0.25">
      <c r="A17359" s="2" t="s">
        <v>8</v>
      </c>
      <c r="B17359" s="2" t="str">
        <f>HYPERLINK("http://ts.21cn.com/tousu/show/id/1349162","你我贷暴力催收态度恶劣严重骚扰")</f>
        <v>你我贷暴力催收态度恶劣严重骚扰</v>
      </c>
      <c r="C17359" s="2" t="s">
        <v>9</v>
      </c>
      <c r="D17359" s="2" t="s">
        <v>10</v>
      </c>
      <c r="E17359" s="2" t="str">
        <f>HYPERLINK("http://ts.21cn.com/tousu/show/id/1349162","http://ts.21cn.com/tousu/show/id/1349162")</f>
        <v>http://ts.21cn.com/tousu/show/id/1349162</v>
      </c>
      <c r="F17359" s="2" t="s">
        <v>11</v>
      </c>
      <c r="G17359" s="2" t="s">
        <v>10049</v>
      </c>
      <c r="H17359" s="2" t="s">
        <v>10050</v>
      </c>
    </row>
    <row r="17360" spans="1:8" ht="25.05" customHeight="1" x14ac:dyDescent="0.25">
      <c r="A17360" s="2" t="s">
        <v>8</v>
      </c>
      <c r="B17360" s="2" t="str">
        <f>HYPERLINK("http://ts.21cn.com/tousu/show/id/1349163","在机场办理会员卡，要求退卡，退款")</f>
        <v>在机场办理会员卡，要求退卡，退款</v>
      </c>
      <c r="C17360" s="2" t="s">
        <v>9</v>
      </c>
      <c r="D17360" s="2" t="s">
        <v>10</v>
      </c>
      <c r="E17360" s="2" t="str">
        <f>HYPERLINK("http://ts.21cn.com/tousu/show/id/1349163","http://ts.21cn.com/tousu/show/id/1349163")</f>
        <v>http://ts.21cn.com/tousu/show/id/1349163</v>
      </c>
      <c r="F17360" s="2" t="s">
        <v>11</v>
      </c>
      <c r="G17360" s="2" t="s">
        <v>10047</v>
      </c>
      <c r="H17360" s="2" t="s">
        <v>10048</v>
      </c>
    </row>
    <row r="17361" spans="1:8" ht="25.05" customHeight="1" x14ac:dyDescent="0.25">
      <c r="A17361" s="2" t="s">
        <v>8</v>
      </c>
      <c r="B17361" s="2" t="str">
        <f>HYPERLINK("http://ts.21cn.com/tousu/show/id/1349165","趣花分期手机贷收会员费高利息")</f>
        <v>趣花分期手机贷收会员费高利息</v>
      </c>
      <c r="C17361" s="2" t="s">
        <v>9</v>
      </c>
      <c r="D17361" s="2" t="s">
        <v>10</v>
      </c>
      <c r="E17361" s="2" t="str">
        <f>HYPERLINK("http://ts.21cn.com/tousu/show/id/1349165","http://ts.21cn.com/tousu/show/id/1349165")</f>
        <v>http://ts.21cn.com/tousu/show/id/1349165</v>
      </c>
      <c r="F17361" s="2" t="s">
        <v>11</v>
      </c>
      <c r="G17361" s="2" t="s">
        <v>10045</v>
      </c>
      <c r="H17361" s="2" t="s">
        <v>10046</v>
      </c>
    </row>
    <row r="17362" spans="1:8" ht="25.05" customHeight="1" x14ac:dyDescent="0.25">
      <c r="A17362" s="2" t="s">
        <v>8</v>
      </c>
      <c r="B17362" s="2" t="str">
        <f>HYPERLINK("http://ts.21cn.com/tousu/show/id/1349166","高额逾期费用")</f>
        <v>高额逾期费用</v>
      </c>
      <c r="C17362" s="2" t="s">
        <v>34</v>
      </c>
      <c r="D17362" s="2" t="s">
        <v>10</v>
      </c>
      <c r="E17362" s="2" t="str">
        <f>HYPERLINK("http://ts.21cn.com/tousu/show/id/1349166","http://ts.21cn.com/tousu/show/id/1349166")</f>
        <v>http://ts.21cn.com/tousu/show/id/1349166</v>
      </c>
      <c r="F17362" s="2" t="s">
        <v>11</v>
      </c>
      <c r="G17362" s="2" t="s">
        <v>10043</v>
      </c>
      <c r="H17362" s="2" t="s">
        <v>10044</v>
      </c>
    </row>
    <row r="17363" spans="1:8" ht="25.05" customHeight="1" x14ac:dyDescent="0.25">
      <c r="A17363" s="2" t="s">
        <v>8</v>
      </c>
      <c r="B17363" s="2" t="str">
        <f>HYPERLINK("http://ts.21cn.com/tousu/show/id/1349167","淘集集拖欠货款")</f>
        <v>淘集集拖欠货款</v>
      </c>
      <c r="C17363" s="2" t="s">
        <v>9</v>
      </c>
      <c r="D17363" s="2" t="s">
        <v>10</v>
      </c>
      <c r="E17363" s="2" t="str">
        <f>HYPERLINK("http://ts.21cn.com/tousu/show/id/1349167","http://ts.21cn.com/tousu/show/id/1349167")</f>
        <v>http://ts.21cn.com/tousu/show/id/1349167</v>
      </c>
      <c r="F17363" s="2" t="s">
        <v>11</v>
      </c>
      <c r="G17363" s="2" t="s">
        <v>10041</v>
      </c>
      <c r="H17363" s="2" t="s">
        <v>10042</v>
      </c>
    </row>
    <row r="17364" spans="1:8" ht="25.05" customHeight="1" x14ac:dyDescent="0.25">
      <c r="A17364" s="2" t="s">
        <v>8</v>
      </c>
      <c r="B17364" s="2" t="str">
        <f>HYPERLINK("http://ts.21cn.com/tousu/show/id/1349168","拉卡拉协商一次性还款后不消帐")</f>
        <v>拉卡拉协商一次性还款后不消帐</v>
      </c>
      <c r="C17364" s="2" t="s">
        <v>9</v>
      </c>
      <c r="D17364" s="2" t="s">
        <v>10</v>
      </c>
      <c r="E17364" s="2" t="str">
        <f>HYPERLINK("http://ts.21cn.com/tousu/show/id/1349168","http://ts.21cn.com/tousu/show/id/1349168")</f>
        <v>http://ts.21cn.com/tousu/show/id/1349168</v>
      </c>
      <c r="F17364" s="2" t="s">
        <v>11</v>
      </c>
      <c r="G17364" s="2" t="s">
        <v>10039</v>
      </c>
      <c r="H17364" s="2" t="s">
        <v>10040</v>
      </c>
    </row>
    <row r="17365" spans="1:8" ht="25.05" customHeight="1" x14ac:dyDescent="0.25">
      <c r="A17365" s="2" t="s">
        <v>8</v>
      </c>
      <c r="B17365" s="2" t="str">
        <f>HYPERLINK("http://ts.21cn.com/tousu/show/id/1349169","退款失败")</f>
        <v>退款失败</v>
      </c>
      <c r="C17365" s="2" t="s">
        <v>34</v>
      </c>
      <c r="D17365" s="2" t="s">
        <v>10</v>
      </c>
      <c r="E17365" s="2" t="str">
        <f>HYPERLINK("http://ts.21cn.com/tousu/show/id/1349169","http://ts.21cn.com/tousu/show/id/1349169")</f>
        <v>http://ts.21cn.com/tousu/show/id/1349169</v>
      </c>
      <c r="F17365" s="2" t="s">
        <v>11</v>
      </c>
      <c r="G17365" s="2" t="s">
        <v>10037</v>
      </c>
      <c r="H17365" s="2" t="s">
        <v>10038</v>
      </c>
    </row>
    <row r="17366" spans="1:8" ht="25.05" customHeight="1" x14ac:dyDescent="0.25">
      <c r="A17366" s="2" t="s">
        <v>8</v>
      </c>
      <c r="B17366" s="2" t="str">
        <f>HYPERLINK("http://ts.21cn.com/tousu/show/id/1349170","砍头息，高利贷，催收")</f>
        <v>砍头息，高利贷，催收</v>
      </c>
      <c r="C17366" s="2" t="s">
        <v>9</v>
      </c>
      <c r="D17366" s="2" t="s">
        <v>10</v>
      </c>
      <c r="E17366" s="2" t="str">
        <f>HYPERLINK("http://ts.21cn.com/tousu/show/id/1349170","http://ts.21cn.com/tousu/show/id/1349170")</f>
        <v>http://ts.21cn.com/tousu/show/id/1349170</v>
      </c>
      <c r="F17366" s="2" t="s">
        <v>11</v>
      </c>
      <c r="G17366" s="2" t="s">
        <v>10035</v>
      </c>
      <c r="H17366" s="2" t="s">
        <v>10036</v>
      </c>
    </row>
    <row r="17367" spans="1:8" ht="25.05" customHeight="1" x14ac:dyDescent="0.25">
      <c r="A17367" s="2" t="s">
        <v>8</v>
      </c>
      <c r="B17367" s="2" t="str">
        <f>HYPERLINK("http://ts.21cn.com/tousu/show/id/1349171","有用分期")</f>
        <v>有用分期</v>
      </c>
      <c r="C17367" s="2" t="s">
        <v>9</v>
      </c>
      <c r="D17367" s="2" t="s">
        <v>10</v>
      </c>
      <c r="E17367" s="2" t="str">
        <f>HYPERLINK("http://ts.21cn.com/tousu/show/id/1349171","http://ts.21cn.com/tousu/show/id/1349171")</f>
        <v>http://ts.21cn.com/tousu/show/id/1349171</v>
      </c>
      <c r="F17367" s="2" t="s">
        <v>11</v>
      </c>
      <c r="G17367" s="2" t="s">
        <v>10033</v>
      </c>
      <c r="H17367" s="2" t="s">
        <v>10034</v>
      </c>
    </row>
    <row r="17368" spans="1:8" ht="25.05" customHeight="1" x14ac:dyDescent="0.25">
      <c r="A17368" s="2" t="s">
        <v>8</v>
      </c>
      <c r="B17368" s="2" t="str">
        <f>HYPERLINK("http://ts.21cn.com/tousu/show/id/1349172","高额逾期费高额利息")</f>
        <v>高额逾期费高额利息</v>
      </c>
      <c r="C17368" s="2" t="s">
        <v>9</v>
      </c>
      <c r="D17368" s="2" t="s">
        <v>10</v>
      </c>
      <c r="E17368" s="2" t="str">
        <f>HYPERLINK("http://ts.21cn.com/tousu/show/id/1349172","http://ts.21cn.com/tousu/show/id/1349172")</f>
        <v>http://ts.21cn.com/tousu/show/id/1349172</v>
      </c>
      <c r="F17368" s="2" t="s">
        <v>11</v>
      </c>
      <c r="G17368" s="2" t="s">
        <v>10031</v>
      </c>
      <c r="H17368" s="2" t="s">
        <v>10032</v>
      </c>
    </row>
    <row r="17369" spans="1:8" ht="25.05" customHeight="1" x14ac:dyDescent="0.25">
      <c r="A17369" s="2" t="s">
        <v>8</v>
      </c>
      <c r="B17369" s="2" t="str">
        <f>HYPERLINK("http://ts.21cn.com/tousu/show/id/1349173","恶意骚扰")</f>
        <v>恶意骚扰</v>
      </c>
      <c r="C17369" s="2" t="s">
        <v>9</v>
      </c>
      <c r="D17369" s="2" t="s">
        <v>10</v>
      </c>
      <c r="E17369" s="2" t="str">
        <f>HYPERLINK("http://ts.21cn.com/tousu/show/id/1349173","http://ts.21cn.com/tousu/show/id/1349173")</f>
        <v>http://ts.21cn.com/tousu/show/id/1349173</v>
      </c>
      <c r="F17369" s="2" t="s">
        <v>11</v>
      </c>
      <c r="G17369" s="2" t="s">
        <v>10029</v>
      </c>
      <c r="H17369" s="2" t="s">
        <v>10030</v>
      </c>
    </row>
    <row r="17370" spans="1:8" ht="25.05" customHeight="1" x14ac:dyDescent="0.25">
      <c r="A17370" s="2" t="s">
        <v>8</v>
      </c>
      <c r="B17370" s="2" t="str">
        <f>HYPERLINK("http://ts.21cn.com/tousu/show/id/1349176","百事造艺科技扣款不退")</f>
        <v>百事造艺科技扣款不退</v>
      </c>
      <c r="C17370" s="2" t="s">
        <v>9</v>
      </c>
      <c r="D17370" s="2" t="s">
        <v>10</v>
      </c>
      <c r="E17370" s="2" t="str">
        <f>HYPERLINK("http://ts.21cn.com/tousu/show/id/1349176","http://ts.21cn.com/tousu/show/id/1349176")</f>
        <v>http://ts.21cn.com/tousu/show/id/1349176</v>
      </c>
      <c r="F17370" s="2" t="s">
        <v>11</v>
      </c>
      <c r="G17370" s="2" t="s">
        <v>10027</v>
      </c>
      <c r="H17370" s="2" t="s">
        <v>10028</v>
      </c>
    </row>
    <row r="17371" spans="1:8" ht="25.05" customHeight="1" x14ac:dyDescent="0.25">
      <c r="A17371" s="2" t="s">
        <v>8</v>
      </c>
      <c r="B17371" s="2" t="str">
        <f>HYPERLINK("http://ts.21cn.com/tousu/show/id/1349175","小象优品砍头息太严重")</f>
        <v>小象优品砍头息太严重</v>
      </c>
      <c r="C17371" s="2" t="s">
        <v>9</v>
      </c>
      <c r="D17371" s="2" t="s">
        <v>10</v>
      </c>
      <c r="E17371" s="2" t="str">
        <f>HYPERLINK("http://ts.21cn.com/tousu/show/id/1349175","http://ts.21cn.com/tousu/show/id/1349175")</f>
        <v>http://ts.21cn.com/tousu/show/id/1349175</v>
      </c>
      <c r="F17371" s="2" t="s">
        <v>11</v>
      </c>
      <c r="G17371" s="2" t="s">
        <v>10025</v>
      </c>
      <c r="H17371" s="2" t="s">
        <v>10026</v>
      </c>
    </row>
    <row r="17372" spans="1:8" ht="25.05" customHeight="1" x14ac:dyDescent="0.25">
      <c r="A17372" s="2" t="s">
        <v>8</v>
      </c>
      <c r="B17372" s="2" t="str">
        <f>HYPERLINK("http://ts.21cn.com/tousu/show/id/1349177","易鑫车贷黑社会")</f>
        <v>易鑫车贷黑社会</v>
      </c>
      <c r="C17372" s="2" t="s">
        <v>9</v>
      </c>
      <c r="D17372" s="2" t="s">
        <v>10</v>
      </c>
      <c r="E17372" s="2" t="str">
        <f>HYPERLINK("http://ts.21cn.com/tousu/show/id/1349177","http://ts.21cn.com/tousu/show/id/1349177")</f>
        <v>http://ts.21cn.com/tousu/show/id/1349177</v>
      </c>
      <c r="F17372" s="2" t="s">
        <v>11</v>
      </c>
      <c r="G17372" s="2" t="s">
        <v>10023</v>
      </c>
      <c r="H17372" s="2" t="s">
        <v>10024</v>
      </c>
    </row>
    <row r="17373" spans="1:8" ht="25.05" customHeight="1" x14ac:dyDescent="0.25">
      <c r="A17373" s="2" t="s">
        <v>8</v>
      </c>
      <c r="B17373" s="2" t="str">
        <f>HYPERLINK("http://ts.21cn.com/tousu/show/id/1349178","高利贷，不合理的费用")</f>
        <v>高利贷，不合理的费用</v>
      </c>
      <c r="C17373" s="2" t="s">
        <v>9</v>
      </c>
      <c r="D17373" s="2" t="s">
        <v>10</v>
      </c>
      <c r="E17373" s="2" t="str">
        <f>HYPERLINK("http://ts.21cn.com/tousu/show/id/1349178","http://ts.21cn.com/tousu/show/id/1349178")</f>
        <v>http://ts.21cn.com/tousu/show/id/1349178</v>
      </c>
      <c r="F17373" s="2" t="s">
        <v>11</v>
      </c>
      <c r="G17373" s="2" t="s">
        <v>10021</v>
      </c>
      <c r="H17373" s="2" t="s">
        <v>10022</v>
      </c>
    </row>
    <row r="17374" spans="1:8" ht="25.05" customHeight="1" x14ac:dyDescent="0.25">
      <c r="A17374" s="2" t="s">
        <v>8</v>
      </c>
      <c r="B17374" s="2" t="str">
        <f>HYPERLINK("http://ts.21cn.com/tousu/show/id/1349180","嗨包暴力催收")</f>
        <v>嗨包暴力催收</v>
      </c>
      <c r="C17374" s="2" t="s">
        <v>9</v>
      </c>
      <c r="D17374" s="2" t="s">
        <v>10</v>
      </c>
      <c r="E17374" s="2" t="str">
        <f>HYPERLINK("http://ts.21cn.com/tousu/show/id/1349180","http://ts.21cn.com/tousu/show/id/1349180")</f>
        <v>http://ts.21cn.com/tousu/show/id/1349180</v>
      </c>
      <c r="F17374" s="2" t="s">
        <v>11</v>
      </c>
      <c r="G17374" s="2" t="s">
        <v>10019</v>
      </c>
      <c r="H17374" s="2" t="s">
        <v>10020</v>
      </c>
    </row>
    <row r="17375" spans="1:8" ht="25.05" customHeight="1" x14ac:dyDescent="0.25">
      <c r="A17375" s="2" t="s">
        <v>8</v>
      </c>
      <c r="B17375" s="2" t="str">
        <f>HYPERLINK("http://ts.21cn.com/tousu/show/id/1349160","支付宝被限制")</f>
        <v>支付宝被限制</v>
      </c>
      <c r="C17375" s="2" t="s">
        <v>9</v>
      </c>
      <c r="D17375" s="2" t="s">
        <v>10</v>
      </c>
      <c r="E17375" s="2" t="str">
        <f>HYPERLINK("http://ts.21cn.com/tousu/show/id/1349160","http://ts.21cn.com/tousu/show/id/1349160")</f>
        <v>http://ts.21cn.com/tousu/show/id/1349160</v>
      </c>
      <c r="F17375" s="2" t="s">
        <v>11</v>
      </c>
      <c r="G17375" s="2" t="s">
        <v>10017</v>
      </c>
      <c r="H17375" s="2" t="s">
        <v>10018</v>
      </c>
    </row>
    <row r="17376" spans="1:8" ht="25.05" customHeight="1" x14ac:dyDescent="0.25">
      <c r="A17376" s="2" t="s">
        <v>8</v>
      </c>
      <c r="B17376" s="2" t="str">
        <f>HYPERLINK("http://ts.21cn.com/tousu/show/id/1349182","催收威胁")</f>
        <v>催收威胁</v>
      </c>
      <c r="C17376" s="2" t="s">
        <v>9</v>
      </c>
      <c r="D17376" s="2" t="s">
        <v>10</v>
      </c>
      <c r="E17376" s="2" t="str">
        <f>HYPERLINK("http://ts.21cn.com/tousu/show/id/1349182","http://ts.21cn.com/tousu/show/id/1349182")</f>
        <v>http://ts.21cn.com/tousu/show/id/1349182</v>
      </c>
      <c r="F17376" s="2" t="s">
        <v>11</v>
      </c>
      <c r="G17376" s="2" t="s">
        <v>10015</v>
      </c>
      <c r="H17376" s="2" t="s">
        <v>10016</v>
      </c>
    </row>
    <row r="17377" spans="1:8" ht="25.05" customHeight="1" x14ac:dyDescent="0.25">
      <c r="A17377" s="2" t="s">
        <v>8</v>
      </c>
      <c r="B17377" s="2" t="str">
        <f>HYPERLINK("http://ts.21cn.com/tousu/show/id/1349185","深圳新航商务，销售人员随意承诺，公司无法提供服务，要求退款")</f>
        <v>深圳新航商务，销售人员随意承诺，公司无法提供服务，要求退款</v>
      </c>
      <c r="C17377" s="2" t="s">
        <v>9</v>
      </c>
      <c r="D17377" s="2" t="s">
        <v>10</v>
      </c>
      <c r="E17377" s="2" t="str">
        <f>HYPERLINK("http://ts.21cn.com/tousu/show/id/1349185","http://ts.21cn.com/tousu/show/id/1349185")</f>
        <v>http://ts.21cn.com/tousu/show/id/1349185</v>
      </c>
      <c r="F17377" s="2" t="s">
        <v>11</v>
      </c>
      <c r="G17377" s="2" t="s">
        <v>10013</v>
      </c>
      <c r="H17377" s="2" t="s">
        <v>10014</v>
      </c>
    </row>
    <row r="17378" spans="1:8" ht="25.05" customHeight="1" x14ac:dyDescent="0.25">
      <c r="A17378" s="2" t="s">
        <v>8</v>
      </c>
      <c r="B17378" s="2" t="str">
        <f>HYPERLINK("http://ts.21cn.com/tousu/show/id/1349184","使用立刻出行后无任何违规，保证金不给予退还。")</f>
        <v>使用立刻出行后无任何违规，保证金不给予退还。</v>
      </c>
      <c r="C17378" s="2" t="s">
        <v>9</v>
      </c>
      <c r="D17378" s="2" t="s">
        <v>10</v>
      </c>
      <c r="E17378" s="2" t="str">
        <f>HYPERLINK("http://ts.21cn.com/tousu/show/id/1349184","http://ts.21cn.com/tousu/show/id/1349184")</f>
        <v>http://ts.21cn.com/tousu/show/id/1349184</v>
      </c>
      <c r="F17378" s="2" t="s">
        <v>11</v>
      </c>
      <c r="G17378" s="2" t="s">
        <v>10011</v>
      </c>
      <c r="H17378" s="2" t="s">
        <v>10012</v>
      </c>
    </row>
    <row r="17379" spans="1:8" ht="25.05" customHeight="1" x14ac:dyDescent="0.25">
      <c r="A17379" s="2" t="s">
        <v>8</v>
      </c>
      <c r="B17379" s="2" t="str">
        <f>HYPERLINK("http://ts.21cn.com/tousu/show/id/1349186","急用钱包app盗刷299元")</f>
        <v>急用钱包app盗刷299元</v>
      </c>
      <c r="C17379" s="2" t="s">
        <v>9</v>
      </c>
      <c r="D17379" s="2" t="s">
        <v>10</v>
      </c>
      <c r="E17379" s="2" t="str">
        <f>HYPERLINK("http://ts.21cn.com/tousu/show/id/1349186","http://ts.21cn.com/tousu/show/id/1349186")</f>
        <v>http://ts.21cn.com/tousu/show/id/1349186</v>
      </c>
      <c r="F17379" s="2" t="s">
        <v>11</v>
      </c>
      <c r="G17379" s="2" t="s">
        <v>10009</v>
      </c>
      <c r="H17379" s="2" t="s">
        <v>10010</v>
      </c>
    </row>
    <row r="17380" spans="1:8" ht="25.05" customHeight="1" x14ac:dyDescent="0.25">
      <c r="A17380" s="2" t="s">
        <v>8</v>
      </c>
      <c r="B17380" s="2" t="str">
        <f>HYPERLINK("http://ts.21cn.com/tousu/show/id/1349187","阳光信保与网贷强制捆绑销售保险")</f>
        <v>阳光信保与网贷强制捆绑销售保险</v>
      </c>
      <c r="C17380" s="2" t="s">
        <v>9</v>
      </c>
      <c r="D17380" s="2" t="s">
        <v>10</v>
      </c>
      <c r="E17380" s="2" t="str">
        <f>HYPERLINK("http://ts.21cn.com/tousu/show/id/1349187","http://ts.21cn.com/tousu/show/id/1349187")</f>
        <v>http://ts.21cn.com/tousu/show/id/1349187</v>
      </c>
      <c r="F17380" s="2" t="s">
        <v>11</v>
      </c>
      <c r="G17380" s="2" t="s">
        <v>10007</v>
      </c>
      <c r="H17380" s="2" t="s">
        <v>10008</v>
      </c>
    </row>
    <row r="17381" spans="1:8" ht="25.05" customHeight="1" x14ac:dyDescent="0.25">
      <c r="A17381" s="2" t="s">
        <v>8</v>
      </c>
      <c r="B17381" s="2" t="str">
        <f>HYPERLINK("http://ts.21cn.com/tousu/show/id/1349188","关于“英特教育”机构不予退自考培训费的问题")</f>
        <v>关于“英特教育”机构不予退自考培训费的问题</v>
      </c>
      <c r="C17381" s="2" t="s">
        <v>9</v>
      </c>
      <c r="D17381" s="2" t="s">
        <v>10</v>
      </c>
      <c r="E17381" s="2" t="str">
        <f>HYPERLINK("http://ts.21cn.com/tousu/show/id/1349188","http://ts.21cn.com/tousu/show/id/1349188")</f>
        <v>http://ts.21cn.com/tousu/show/id/1349188</v>
      </c>
      <c r="F17381" s="2" t="s">
        <v>11</v>
      </c>
      <c r="G17381" s="2" t="s">
        <v>10005</v>
      </c>
      <c r="H17381" s="2" t="s">
        <v>10006</v>
      </c>
    </row>
    <row r="17382" spans="1:8" ht="25.05" customHeight="1" x14ac:dyDescent="0.25">
      <c r="A17382" s="2" t="s">
        <v>8</v>
      </c>
      <c r="B17382" s="2" t="str">
        <f>HYPERLINK("http://ts.21cn.com/tousu/show/id/1349189","不给开发票")</f>
        <v>不给开发票</v>
      </c>
      <c r="C17382" s="2" t="s">
        <v>9</v>
      </c>
      <c r="D17382" s="2" t="s">
        <v>10</v>
      </c>
      <c r="E17382" s="2" t="str">
        <f>HYPERLINK("http://ts.21cn.com/tousu/show/id/1349189","http://ts.21cn.com/tousu/show/id/1349189")</f>
        <v>http://ts.21cn.com/tousu/show/id/1349189</v>
      </c>
      <c r="F17382" s="2" t="s">
        <v>11</v>
      </c>
      <c r="G17382" s="2" t="s">
        <v>10003</v>
      </c>
      <c r="H17382" s="2" t="s">
        <v>10004</v>
      </c>
    </row>
    <row r="17383" spans="1:8" ht="25.05" customHeight="1" x14ac:dyDescent="0.25">
      <c r="A17383" s="2" t="s">
        <v>8</v>
      </c>
      <c r="B17383" s="2" t="str">
        <f>HYPERLINK("http://ts.21cn.com/tousu/show/id/1349190","365分期砍头息暴力催收")</f>
        <v>365分期砍头息暴力催收</v>
      </c>
      <c r="C17383" s="2" t="s">
        <v>9</v>
      </c>
      <c r="D17383" s="2" t="s">
        <v>10</v>
      </c>
      <c r="E17383" s="2" t="str">
        <f>HYPERLINK("http://ts.21cn.com/tousu/show/id/1349190","http://ts.21cn.com/tousu/show/id/1349190")</f>
        <v>http://ts.21cn.com/tousu/show/id/1349190</v>
      </c>
      <c r="F17383" s="2" t="s">
        <v>11</v>
      </c>
      <c r="G17383" s="2" t="s">
        <v>10001</v>
      </c>
      <c r="H17383" s="2" t="s">
        <v>10002</v>
      </c>
    </row>
    <row r="17384" spans="1:8" ht="25.05" customHeight="1" x14ac:dyDescent="0.25">
      <c r="A17384" s="2" t="s">
        <v>8</v>
      </c>
      <c r="B17384" s="2" t="str">
        <f>HYPERLINK("http://ts.21cn.com/tousu/show/id/1349191","影响身边的朋友正常生活")</f>
        <v>影响身边的朋友正常生活</v>
      </c>
      <c r="C17384" s="2" t="s">
        <v>9</v>
      </c>
      <c r="D17384" s="2" t="s">
        <v>10</v>
      </c>
      <c r="E17384" s="2" t="str">
        <f>HYPERLINK("http://ts.21cn.com/tousu/show/id/1349191","http://ts.21cn.com/tousu/show/id/1349191")</f>
        <v>http://ts.21cn.com/tousu/show/id/1349191</v>
      </c>
      <c r="F17384" s="2" t="s">
        <v>11</v>
      </c>
      <c r="G17384" s="2" t="s">
        <v>9999</v>
      </c>
      <c r="H17384" s="2" t="s">
        <v>10000</v>
      </c>
    </row>
    <row r="17385" spans="1:8" ht="25.05" customHeight="1" x14ac:dyDescent="0.25">
      <c r="A17385" s="2" t="s">
        <v>8</v>
      </c>
      <c r="B17385" s="2" t="str">
        <f>HYPERLINK("http://ts.21cn.com/tousu/show/id/1349192","招商银行暴力催收")</f>
        <v>招商银行暴力催收</v>
      </c>
      <c r="C17385" s="2" t="s">
        <v>9</v>
      </c>
      <c r="D17385" s="2" t="s">
        <v>10</v>
      </c>
      <c r="E17385" s="2" t="str">
        <f>HYPERLINK("http://ts.21cn.com/tousu/show/id/1349192","http://ts.21cn.com/tousu/show/id/1349192")</f>
        <v>http://ts.21cn.com/tousu/show/id/1349192</v>
      </c>
      <c r="F17385" s="2" t="s">
        <v>11</v>
      </c>
      <c r="G17385" s="2" t="s">
        <v>9997</v>
      </c>
      <c r="H17385" s="2" t="s">
        <v>9998</v>
      </c>
    </row>
    <row r="17386" spans="1:8" ht="25.05" customHeight="1" x14ac:dyDescent="0.25">
      <c r="A17386" s="2" t="s">
        <v>8</v>
      </c>
      <c r="B17386" s="2" t="str">
        <f>HYPERLINK("http://ts.21cn.com/tousu/show/id/1349193","及贷暴利催收，爆通讯录，群发短信，收取砍头息")</f>
        <v>及贷暴利催收，爆通讯录，群发短信，收取砍头息</v>
      </c>
      <c r="C17386" s="2" t="s">
        <v>9</v>
      </c>
      <c r="D17386" s="2" t="s">
        <v>10</v>
      </c>
      <c r="E17386" s="2" t="str">
        <f>HYPERLINK("http://ts.21cn.com/tousu/show/id/1349193","http://ts.21cn.com/tousu/show/id/1349193")</f>
        <v>http://ts.21cn.com/tousu/show/id/1349193</v>
      </c>
      <c r="F17386" s="2" t="s">
        <v>11</v>
      </c>
      <c r="G17386" s="2" t="s">
        <v>9995</v>
      </c>
      <c r="H17386" s="2" t="s">
        <v>9996</v>
      </c>
    </row>
    <row r="17387" spans="1:8" ht="25.05" customHeight="1" x14ac:dyDescent="0.25">
      <c r="A17387" s="2" t="s">
        <v>8</v>
      </c>
      <c r="B17387" s="2" t="str">
        <f>HYPERLINK("http://ts.21cn.com/tousu/show/id/1349181","天猫平台包庇商家误导消费者购买商品退货不承担运费")</f>
        <v>天猫平台包庇商家误导消费者购买商品退货不承担运费</v>
      </c>
      <c r="C17387" s="2" t="s">
        <v>9</v>
      </c>
      <c r="D17387" s="2" t="s">
        <v>10</v>
      </c>
      <c r="E17387" s="2" t="str">
        <f>HYPERLINK("http://ts.21cn.com/tousu/show/id/1349181","http://ts.21cn.com/tousu/show/id/1349181")</f>
        <v>http://ts.21cn.com/tousu/show/id/1349181</v>
      </c>
      <c r="F17387" s="2" t="s">
        <v>11</v>
      </c>
      <c r="G17387" s="2" t="s">
        <v>9993</v>
      </c>
      <c r="H17387" s="2" t="s">
        <v>9994</v>
      </c>
    </row>
    <row r="17388" spans="1:8" ht="25.05" customHeight="1" x14ac:dyDescent="0.25">
      <c r="A17388" s="2" t="s">
        <v>8</v>
      </c>
      <c r="B17388" s="2" t="str">
        <f>HYPERLINK("http://ts.21cn.com/tousu/show/id/1349194","小花钱包太暴力了")</f>
        <v>小花钱包太暴力了</v>
      </c>
      <c r="C17388" s="2" t="s">
        <v>34</v>
      </c>
      <c r="D17388" s="2" t="s">
        <v>10</v>
      </c>
      <c r="E17388" s="2" t="str">
        <f>HYPERLINK("http://ts.21cn.com/tousu/show/id/1349194","http://ts.21cn.com/tousu/show/id/1349194")</f>
        <v>http://ts.21cn.com/tousu/show/id/1349194</v>
      </c>
      <c r="F17388" s="2" t="s">
        <v>11</v>
      </c>
      <c r="G17388" s="2" t="s">
        <v>9991</v>
      </c>
      <c r="H17388" s="2" t="s">
        <v>9992</v>
      </c>
    </row>
    <row r="17389" spans="1:8" ht="25.05" customHeight="1" x14ac:dyDescent="0.25">
      <c r="A17389" s="2" t="s">
        <v>8</v>
      </c>
      <c r="B17389" s="2" t="str">
        <f>HYPERLINK("http://ts.21cn.com/tousu/show/id/1349195","交易猫欺诈买家，被找回不理人！")</f>
        <v>交易猫欺诈买家，被找回不理人！</v>
      </c>
      <c r="C17389" s="2" t="s">
        <v>9</v>
      </c>
      <c r="D17389" s="2" t="s">
        <v>10</v>
      </c>
      <c r="E17389" s="2" t="str">
        <f>HYPERLINK("http://ts.21cn.com/tousu/show/id/1349195","http://ts.21cn.com/tousu/show/id/1349195")</f>
        <v>http://ts.21cn.com/tousu/show/id/1349195</v>
      </c>
      <c r="F17389" s="2" t="s">
        <v>11</v>
      </c>
      <c r="G17389" s="2" t="s">
        <v>9989</v>
      </c>
      <c r="H17389" s="2" t="s">
        <v>9990</v>
      </c>
    </row>
    <row r="17390" spans="1:8" ht="25.05" customHeight="1" x14ac:dyDescent="0.25">
      <c r="A17390" s="2" t="s">
        <v>8</v>
      </c>
      <c r="B17390" s="2" t="str">
        <f>HYPERLINK("http://ts.21cn.com/tousu/show/id/1349196","出车一个半小时就派2单")</f>
        <v>出车一个半小时就派2单</v>
      </c>
      <c r="C17390" s="2" t="s">
        <v>9</v>
      </c>
      <c r="D17390" s="2" t="s">
        <v>10</v>
      </c>
      <c r="E17390" s="2" t="str">
        <f>HYPERLINK("http://ts.21cn.com/tousu/show/id/1349196","http://ts.21cn.com/tousu/show/id/1349196")</f>
        <v>http://ts.21cn.com/tousu/show/id/1349196</v>
      </c>
      <c r="F17390" s="2" t="s">
        <v>11</v>
      </c>
      <c r="G17390" s="2" t="s">
        <v>9987</v>
      </c>
      <c r="H17390" s="2" t="s">
        <v>9988</v>
      </c>
    </row>
    <row r="17391" spans="1:8" ht="25.05" customHeight="1" x14ac:dyDescent="0.25">
      <c r="A17391" s="2" t="s">
        <v>8</v>
      </c>
      <c r="B17391" s="2" t="str">
        <f>HYPERLINK("http://ts.21cn.com/tousu/show/id/1349198","你我贷上门暴力催收")</f>
        <v>你我贷上门暴力催收</v>
      </c>
      <c r="C17391" s="2" t="s">
        <v>9</v>
      </c>
      <c r="D17391" s="2" t="s">
        <v>10</v>
      </c>
      <c r="E17391" s="2" t="str">
        <f>HYPERLINK("http://ts.21cn.com/tousu/show/id/1349198","http://ts.21cn.com/tousu/show/id/1349198")</f>
        <v>http://ts.21cn.com/tousu/show/id/1349198</v>
      </c>
      <c r="F17391" s="2" t="s">
        <v>11</v>
      </c>
      <c r="G17391" s="2" t="s">
        <v>9985</v>
      </c>
      <c r="H17391" s="2" t="s">
        <v>9986</v>
      </c>
    </row>
    <row r="17392" spans="1:8" ht="25.05" customHeight="1" x14ac:dyDescent="0.25">
      <c r="A17392" s="2" t="s">
        <v>8</v>
      </c>
      <c r="B17392" s="2" t="str">
        <f>HYPERLINK("http://ts.21cn.com/tousu/show/id/1349197","钱站高利贷威胁恐吓")</f>
        <v>钱站高利贷威胁恐吓</v>
      </c>
      <c r="C17392" s="2" t="s">
        <v>9</v>
      </c>
      <c r="D17392" s="2" t="s">
        <v>10</v>
      </c>
      <c r="E17392" s="2" t="str">
        <f>HYPERLINK("http://ts.21cn.com/tousu/show/id/1349197","http://ts.21cn.com/tousu/show/id/1349197")</f>
        <v>http://ts.21cn.com/tousu/show/id/1349197</v>
      </c>
      <c r="F17392" s="2" t="s">
        <v>11</v>
      </c>
      <c r="G17392" s="2" t="s">
        <v>9983</v>
      </c>
      <c r="H17392" s="2" t="s">
        <v>9984</v>
      </c>
    </row>
    <row r="17393" spans="1:8" ht="25.05" customHeight="1" x14ac:dyDescent="0.25">
      <c r="A17393" s="2" t="s">
        <v>8</v>
      </c>
      <c r="B17393" s="2" t="str">
        <f>HYPERLINK("http://ts.21cn.com/tousu/show/id/1349201","东莞市轻奢维体健身房第二次无缘无故关门，老板跑路")</f>
        <v>东莞市轻奢维体健身房第二次无缘无故关门，老板跑路</v>
      </c>
      <c r="C17393" s="2" t="s">
        <v>9</v>
      </c>
      <c r="D17393" s="2" t="s">
        <v>10</v>
      </c>
      <c r="E17393" s="2" t="str">
        <f>HYPERLINK("http://ts.21cn.com/tousu/show/id/1349201","http://ts.21cn.com/tousu/show/id/1349201")</f>
        <v>http://ts.21cn.com/tousu/show/id/1349201</v>
      </c>
      <c r="F17393" s="2" t="s">
        <v>11</v>
      </c>
      <c r="G17393" s="2" t="s">
        <v>9981</v>
      </c>
      <c r="H17393" s="2" t="s">
        <v>9982</v>
      </c>
    </row>
    <row r="17394" spans="1:8" ht="25.05" customHeight="1" x14ac:dyDescent="0.25">
      <c r="A17394" s="2" t="s">
        <v>8</v>
      </c>
      <c r="B17394" s="2" t="str">
        <f>HYPERLINK("http://ts.21cn.com/tousu/show/id/1349199","借贷宝恶意催收")</f>
        <v>借贷宝恶意催收</v>
      </c>
      <c r="C17394" s="2" t="s">
        <v>9</v>
      </c>
      <c r="D17394" s="2" t="s">
        <v>10</v>
      </c>
      <c r="E17394" s="2" t="str">
        <f>HYPERLINK("http://ts.21cn.com/tousu/show/id/1349199","http://ts.21cn.com/tousu/show/id/1349199")</f>
        <v>http://ts.21cn.com/tousu/show/id/1349199</v>
      </c>
      <c r="F17394" s="2" t="s">
        <v>11</v>
      </c>
      <c r="G17394" s="2" t="s">
        <v>9979</v>
      </c>
      <c r="H17394" s="2" t="s">
        <v>9980</v>
      </c>
    </row>
    <row r="17395" spans="1:8" ht="25.05" customHeight="1" x14ac:dyDescent="0.25">
      <c r="A17395" s="2" t="s">
        <v>8</v>
      </c>
      <c r="B17395" s="2" t="str">
        <f>HYPERLINK("http://ts.21cn.com/tousu/show/id/1349200","泄露客户信息")</f>
        <v>泄露客户信息</v>
      </c>
      <c r="C17395" s="2" t="s">
        <v>9</v>
      </c>
      <c r="D17395" s="2" t="s">
        <v>10</v>
      </c>
      <c r="E17395" s="2" t="str">
        <f>HYPERLINK("http://ts.21cn.com/tousu/show/id/1349200","http://ts.21cn.com/tousu/show/id/1349200")</f>
        <v>http://ts.21cn.com/tousu/show/id/1349200</v>
      </c>
      <c r="F17395" s="2" t="s">
        <v>11</v>
      </c>
      <c r="G17395" s="2" t="s">
        <v>9977</v>
      </c>
      <c r="H17395" s="2" t="s">
        <v>9978</v>
      </c>
    </row>
    <row r="17396" spans="1:8" ht="25.05" customHeight="1" x14ac:dyDescent="0.25">
      <c r="A17396" s="2" t="s">
        <v>8</v>
      </c>
      <c r="B17396" s="2" t="str">
        <f>HYPERLINK("http://ts.21cn.com/tousu/show/id/1349204","小米金融暴力催收")</f>
        <v>小米金融暴力催收</v>
      </c>
      <c r="C17396" s="2" t="s">
        <v>9</v>
      </c>
      <c r="D17396" s="2" t="s">
        <v>10</v>
      </c>
      <c r="E17396" s="2" t="str">
        <f>HYPERLINK("http://ts.21cn.com/tousu/show/id/1349204","http://ts.21cn.com/tousu/show/id/1349204")</f>
        <v>http://ts.21cn.com/tousu/show/id/1349204</v>
      </c>
      <c r="F17396" s="2" t="s">
        <v>11</v>
      </c>
      <c r="G17396" s="2" t="s">
        <v>9975</v>
      </c>
      <c r="H17396" s="2" t="s">
        <v>9976</v>
      </c>
    </row>
    <row r="17397" spans="1:8" ht="25.05" customHeight="1" x14ac:dyDescent="0.25">
      <c r="A17397" s="2" t="s">
        <v>8</v>
      </c>
      <c r="B17397" s="2" t="str">
        <f>HYPERLINK("http://ts.21cn.com/tousu/show/id/1349203","钱站恶意催收加威胁")</f>
        <v>钱站恶意催收加威胁</v>
      </c>
      <c r="C17397" s="2" t="s">
        <v>9</v>
      </c>
      <c r="D17397" s="2" t="s">
        <v>10</v>
      </c>
      <c r="E17397" s="2" t="str">
        <f>HYPERLINK("http://ts.21cn.com/tousu/show/id/1349203","http://ts.21cn.com/tousu/show/id/1349203")</f>
        <v>http://ts.21cn.com/tousu/show/id/1349203</v>
      </c>
      <c r="F17397" s="2" t="s">
        <v>11</v>
      </c>
      <c r="G17397" s="2" t="s">
        <v>9973</v>
      </c>
      <c r="H17397" s="2" t="s">
        <v>9974</v>
      </c>
    </row>
    <row r="17398" spans="1:8" ht="25.05" customHeight="1" x14ac:dyDescent="0.25">
      <c r="A17398" s="2" t="s">
        <v>8</v>
      </c>
      <c r="B17398" s="2" t="str">
        <f>HYPERLINK("http://ts.21cn.com/tousu/show/id/1349183","网络诱导充值")</f>
        <v>网络诱导充值</v>
      </c>
      <c r="C17398" s="2" t="s">
        <v>9</v>
      </c>
      <c r="D17398" s="2" t="s">
        <v>10</v>
      </c>
      <c r="E17398" s="2" t="str">
        <f>HYPERLINK("http://ts.21cn.com/tousu/show/id/1349183","http://ts.21cn.com/tousu/show/id/1349183")</f>
        <v>http://ts.21cn.com/tousu/show/id/1349183</v>
      </c>
      <c r="F17398" s="2" t="s">
        <v>11</v>
      </c>
      <c r="G17398" s="2" t="s">
        <v>9971</v>
      </c>
      <c r="H17398" s="2" t="s">
        <v>9972</v>
      </c>
    </row>
    <row r="17399" spans="1:8" ht="25.05" customHeight="1" x14ac:dyDescent="0.25">
      <c r="A17399" s="2" t="s">
        <v>8</v>
      </c>
      <c r="B17399" s="2" t="str">
        <f>HYPERLINK("http://ts.21cn.com/tousu/show/id/1349205","逾期利息太高")</f>
        <v>逾期利息太高</v>
      </c>
      <c r="C17399" s="2" t="s">
        <v>9</v>
      </c>
      <c r="D17399" s="2" t="s">
        <v>10</v>
      </c>
      <c r="E17399" s="2" t="str">
        <f>HYPERLINK("http://ts.21cn.com/tousu/show/id/1349205","http://ts.21cn.com/tousu/show/id/1349205")</f>
        <v>http://ts.21cn.com/tousu/show/id/1349205</v>
      </c>
      <c r="F17399" s="2" t="s">
        <v>11</v>
      </c>
      <c r="G17399" s="2" t="s">
        <v>9969</v>
      </c>
      <c r="H17399" s="2" t="s">
        <v>9970</v>
      </c>
    </row>
    <row r="17400" spans="1:8" ht="25.05" customHeight="1" x14ac:dyDescent="0.25">
      <c r="A17400" s="2" t="s">
        <v>8</v>
      </c>
      <c r="B17400" s="2" t="str">
        <f>HYPERLINK("http://ts.21cn.com/tousu/show/id/1349206","小花钱包无法销户")</f>
        <v>小花钱包无法销户</v>
      </c>
      <c r="C17400" s="2" t="s">
        <v>9</v>
      </c>
      <c r="D17400" s="2" t="s">
        <v>10</v>
      </c>
      <c r="E17400" s="2" t="str">
        <f>HYPERLINK("http://ts.21cn.com/tousu/show/id/1349206","http://ts.21cn.com/tousu/show/id/1349206")</f>
        <v>http://ts.21cn.com/tousu/show/id/1349206</v>
      </c>
      <c r="F17400" s="2" t="s">
        <v>11</v>
      </c>
      <c r="G17400" s="2" t="s">
        <v>9967</v>
      </c>
      <c r="H17400" s="2" t="s">
        <v>9968</v>
      </c>
    </row>
    <row r="17401" spans="1:8" ht="25.05" customHeight="1" x14ac:dyDescent="0.25">
      <c r="A17401" s="2" t="s">
        <v>8</v>
      </c>
      <c r="B17401" s="2" t="str">
        <f>HYPERLINK("http://ts.21cn.com/tousu/show/id/1349208","钱伴利息违法超标！电话威胁催款！")</f>
        <v>钱伴利息违法超标！电话威胁催款！</v>
      </c>
      <c r="C17401" s="2" t="s">
        <v>9</v>
      </c>
      <c r="D17401" s="2" t="s">
        <v>10</v>
      </c>
      <c r="E17401" s="2" t="str">
        <f>HYPERLINK("http://ts.21cn.com/tousu/show/id/1349208","http://ts.21cn.com/tousu/show/id/1349208")</f>
        <v>http://ts.21cn.com/tousu/show/id/1349208</v>
      </c>
      <c r="F17401" s="2" t="s">
        <v>11</v>
      </c>
      <c r="G17401" s="2" t="s">
        <v>9965</v>
      </c>
      <c r="H17401" s="2" t="s">
        <v>9966</v>
      </c>
    </row>
    <row r="17402" spans="1:8" ht="25.05" customHeight="1" x14ac:dyDescent="0.25">
      <c r="A17402" s="2" t="s">
        <v>8</v>
      </c>
      <c r="B17402" s="2" t="str">
        <f>HYPERLINK("http://ts.21cn.com/tousu/show/id/1349209","滴滴平台坑司机")</f>
        <v>滴滴平台坑司机</v>
      </c>
      <c r="C17402" s="2" t="s">
        <v>9</v>
      </c>
      <c r="D17402" s="2" t="s">
        <v>10</v>
      </c>
      <c r="E17402" s="2" t="str">
        <f>HYPERLINK("http://ts.21cn.com/tousu/show/id/1349209","http://ts.21cn.com/tousu/show/id/1349209")</f>
        <v>http://ts.21cn.com/tousu/show/id/1349209</v>
      </c>
      <c r="F17402" s="2" t="s">
        <v>11</v>
      </c>
      <c r="G17402" s="2" t="s">
        <v>9963</v>
      </c>
      <c r="H17402" s="2" t="s">
        <v>9964</v>
      </c>
    </row>
    <row r="17403" spans="1:8" ht="25.05" customHeight="1" x14ac:dyDescent="0.25">
      <c r="A17403" s="2" t="s">
        <v>8</v>
      </c>
      <c r="B17403" s="2" t="str">
        <f>HYPERLINK("http://ts.21cn.com/tousu/show/id/1349211","民生银行信用卡被盗刷。却当成正常消费")</f>
        <v>民生银行信用卡被盗刷。却当成正常消费</v>
      </c>
      <c r="C17403" s="2" t="s">
        <v>9</v>
      </c>
      <c r="D17403" s="2" t="s">
        <v>10</v>
      </c>
      <c r="E17403" s="2" t="str">
        <f>HYPERLINK("http://ts.21cn.com/tousu/show/id/1349211","http://ts.21cn.com/tousu/show/id/1349211")</f>
        <v>http://ts.21cn.com/tousu/show/id/1349211</v>
      </c>
      <c r="F17403" s="2" t="s">
        <v>11</v>
      </c>
      <c r="G17403" s="2" t="s">
        <v>9961</v>
      </c>
      <c r="H17403" s="2" t="s">
        <v>9962</v>
      </c>
    </row>
    <row r="17404" spans="1:8" ht="25.05" customHeight="1" x14ac:dyDescent="0.25">
      <c r="A17404" s="2" t="s">
        <v>8</v>
      </c>
      <c r="B17404" s="2" t="str">
        <f>HYPERLINK("http://ts.21cn.com/tousu/show/id/1349210","小蛙卡贷暴力催收")</f>
        <v>小蛙卡贷暴力催收</v>
      </c>
      <c r="C17404" s="2" t="s">
        <v>9</v>
      </c>
      <c r="D17404" s="2" t="s">
        <v>10</v>
      </c>
      <c r="E17404" s="2" t="str">
        <f>HYPERLINK("http://ts.21cn.com/tousu/show/id/1349210","http://ts.21cn.com/tousu/show/id/1349210")</f>
        <v>http://ts.21cn.com/tousu/show/id/1349210</v>
      </c>
      <c r="F17404" s="2" t="s">
        <v>11</v>
      </c>
      <c r="G17404" s="2" t="s">
        <v>9959</v>
      </c>
      <c r="H17404" s="2" t="s">
        <v>9960</v>
      </c>
    </row>
    <row r="17405" spans="1:8" ht="25.05" customHeight="1" x14ac:dyDescent="0.25">
      <c r="A17405" s="2" t="s">
        <v>8</v>
      </c>
      <c r="B17405" s="2" t="str">
        <f>HYPERLINK("http://ts.21cn.com/tousu/show/id/1349214","闪电借款收取高额前期，并且不放款")</f>
        <v>闪电借款收取高额前期，并且不放款</v>
      </c>
      <c r="C17405" s="2" t="s">
        <v>9</v>
      </c>
      <c r="D17405" s="2" t="s">
        <v>10</v>
      </c>
      <c r="E17405" s="2" t="str">
        <f>HYPERLINK("http://ts.21cn.com/tousu/show/id/1349214","http://ts.21cn.com/tousu/show/id/1349214")</f>
        <v>http://ts.21cn.com/tousu/show/id/1349214</v>
      </c>
      <c r="F17405" s="2" t="s">
        <v>11</v>
      </c>
      <c r="G17405" s="2" t="s">
        <v>9957</v>
      </c>
      <c r="H17405" s="2" t="s">
        <v>9958</v>
      </c>
    </row>
    <row r="17406" spans="1:8" ht="25.05" customHeight="1" x14ac:dyDescent="0.25">
      <c r="A17406" s="2" t="s">
        <v>8</v>
      </c>
      <c r="B17406" s="2" t="str">
        <f>HYPERLINK("http://ts.21cn.com/tousu/show/id/1349212","襄阳悦发网络科技有限公司请托加需假承诺帮淘宝店铺销售推广，办营业执照（淘宝店个人店铺根本不需要办执照）")</f>
        <v>襄阳悦发网络科技有限公司请托加需假承诺帮淘宝店铺销售推广，办营业执照（淘宝店个人店铺根本不需要办执照）</v>
      </c>
      <c r="C17406" s="2" t="s">
        <v>34</v>
      </c>
      <c r="D17406" s="2" t="s">
        <v>10</v>
      </c>
      <c r="E17406" s="2" t="str">
        <f>HYPERLINK("http://ts.21cn.com/tousu/show/id/1349212","http://ts.21cn.com/tousu/show/id/1349212")</f>
        <v>http://ts.21cn.com/tousu/show/id/1349212</v>
      </c>
      <c r="F17406" s="2" t="s">
        <v>11</v>
      </c>
      <c r="G17406" s="2" t="s">
        <v>9955</v>
      </c>
      <c r="H17406" s="2" t="s">
        <v>9956</v>
      </c>
    </row>
    <row r="17407" spans="1:8" ht="25.05" customHeight="1" x14ac:dyDescent="0.25">
      <c r="A17407" s="2" t="s">
        <v>8</v>
      </c>
      <c r="B17407" s="2" t="str">
        <f>HYPERLINK("http://ts.21cn.com/tousu/show/id/1349213","打骚扰电话，发恐吓信息")</f>
        <v>打骚扰电话，发恐吓信息</v>
      </c>
      <c r="C17407" s="2" t="s">
        <v>9</v>
      </c>
      <c r="D17407" s="2" t="s">
        <v>10</v>
      </c>
      <c r="E17407" s="2" t="str">
        <f>HYPERLINK("http://ts.21cn.com/tousu/show/id/1349213","http://ts.21cn.com/tousu/show/id/1349213")</f>
        <v>http://ts.21cn.com/tousu/show/id/1349213</v>
      </c>
      <c r="F17407" s="2" t="s">
        <v>11</v>
      </c>
      <c r="G17407" s="2" t="s">
        <v>9953</v>
      </c>
      <c r="H17407" s="2" t="s">
        <v>9954</v>
      </c>
    </row>
    <row r="17408" spans="1:8" ht="25.05" customHeight="1" x14ac:dyDescent="0.25">
      <c r="A17408" s="2" t="s">
        <v>8</v>
      </c>
      <c r="B17408" s="2" t="str">
        <f>HYPERLINK("http://ts.21cn.com/tousu/show/id/1349215","51信用卡管家一个披着羊皮的狼")</f>
        <v>51信用卡管家一个披着羊皮的狼</v>
      </c>
      <c r="C17408" s="2" t="s">
        <v>9</v>
      </c>
      <c r="D17408" s="2" t="s">
        <v>10</v>
      </c>
      <c r="E17408" s="2" t="str">
        <f>HYPERLINK("http://ts.21cn.com/tousu/show/id/1349215","http://ts.21cn.com/tousu/show/id/1349215")</f>
        <v>http://ts.21cn.com/tousu/show/id/1349215</v>
      </c>
      <c r="F17408" s="2" t="s">
        <v>11</v>
      </c>
      <c r="G17408" s="2" t="s">
        <v>9951</v>
      </c>
      <c r="H17408" s="2" t="s">
        <v>9952</v>
      </c>
    </row>
    <row r="17409" spans="1:8" ht="25.05" customHeight="1" x14ac:dyDescent="0.25">
      <c r="A17409" s="2" t="s">
        <v>8</v>
      </c>
      <c r="B17409" s="2" t="str">
        <f>HYPERLINK("http://ts.21cn.com/tousu/show/id/1349216","京东白条暴力催收打通讯录")</f>
        <v>京东白条暴力催收打通讯录</v>
      </c>
      <c r="C17409" s="2" t="s">
        <v>9</v>
      </c>
      <c r="D17409" s="2" t="s">
        <v>10</v>
      </c>
      <c r="E17409" s="2" t="str">
        <f>HYPERLINK("http://ts.21cn.com/tousu/show/id/1349216","http://ts.21cn.com/tousu/show/id/1349216")</f>
        <v>http://ts.21cn.com/tousu/show/id/1349216</v>
      </c>
      <c r="F17409" s="2" t="s">
        <v>11</v>
      </c>
      <c r="G17409" s="2" t="s">
        <v>9949</v>
      </c>
      <c r="H17409" s="2" t="s">
        <v>9950</v>
      </c>
    </row>
    <row r="17410" spans="1:8" ht="25.05" customHeight="1" x14ac:dyDescent="0.25">
      <c r="A17410" s="2" t="s">
        <v>8</v>
      </c>
      <c r="B17410" s="2" t="str">
        <f>HYPERLINK("http://ts.21cn.com/tousu/show/id/1349217","星之付星pos管家")</f>
        <v>星之付星pos管家</v>
      </c>
      <c r="C17410" s="2" t="s">
        <v>9</v>
      </c>
      <c r="D17410" s="2" t="s">
        <v>10</v>
      </c>
      <c r="E17410" s="2" t="str">
        <f>HYPERLINK("http://ts.21cn.com/tousu/show/id/1349217","http://ts.21cn.com/tousu/show/id/1349217")</f>
        <v>http://ts.21cn.com/tousu/show/id/1349217</v>
      </c>
      <c r="F17410" s="2" t="s">
        <v>11</v>
      </c>
      <c r="G17410" s="2" t="s">
        <v>9947</v>
      </c>
      <c r="H17410" s="2" t="s">
        <v>9948</v>
      </c>
    </row>
    <row r="17411" spans="1:8" ht="25.05" customHeight="1" x14ac:dyDescent="0.25">
      <c r="A17411" s="2" t="s">
        <v>8</v>
      </c>
      <c r="B17411" s="2" t="str">
        <f>HYPERLINK("http://ts.21cn.com/tousu/show/id/1349221","世纪天成活动设计不合理，造成新用户损失")</f>
        <v>世纪天成活动设计不合理，造成新用户损失</v>
      </c>
      <c r="C17411" s="2" t="s">
        <v>9</v>
      </c>
      <c r="D17411" s="2" t="s">
        <v>10</v>
      </c>
      <c r="E17411" s="2" t="str">
        <f>HYPERLINK("http://ts.21cn.com/tousu/show/id/1349221","http://ts.21cn.com/tousu/show/id/1349221")</f>
        <v>http://ts.21cn.com/tousu/show/id/1349221</v>
      </c>
      <c r="F17411" s="2" t="s">
        <v>11</v>
      </c>
      <c r="G17411" s="2" t="s">
        <v>9945</v>
      </c>
      <c r="H17411" s="2" t="s">
        <v>9946</v>
      </c>
    </row>
    <row r="17412" spans="1:8" ht="25.05" customHeight="1" x14ac:dyDescent="0.25">
      <c r="A17412" s="2" t="s">
        <v>8</v>
      </c>
      <c r="B17412" s="2" t="str">
        <f>HYPERLINK("http://ts.21cn.com/tousu/show/id/1349219","未放款就开始算还款日")</f>
        <v>未放款就开始算还款日</v>
      </c>
      <c r="C17412" s="2" t="s">
        <v>9</v>
      </c>
      <c r="D17412" s="2" t="s">
        <v>10</v>
      </c>
      <c r="E17412" s="2" t="str">
        <f>HYPERLINK("http://ts.21cn.com/tousu/show/id/1349219","http://ts.21cn.com/tousu/show/id/1349219")</f>
        <v>http://ts.21cn.com/tousu/show/id/1349219</v>
      </c>
      <c r="F17412" s="2" t="s">
        <v>11</v>
      </c>
      <c r="G17412" s="2" t="s">
        <v>9943</v>
      </c>
      <c r="H17412" s="2" t="s">
        <v>9944</v>
      </c>
    </row>
    <row r="17413" spans="1:8" ht="25.05" customHeight="1" x14ac:dyDescent="0.25">
      <c r="A17413" s="2" t="s">
        <v>8</v>
      </c>
      <c r="B17413" s="2" t="str">
        <f>HYPERLINK("http://ts.21cn.com/tousu/show/id/1349220","马上金融安逸花高利贷")</f>
        <v>马上金融安逸花高利贷</v>
      </c>
      <c r="C17413" s="2" t="s">
        <v>9</v>
      </c>
      <c r="D17413" s="2" t="s">
        <v>10</v>
      </c>
      <c r="E17413" s="2" t="str">
        <f>HYPERLINK("http://ts.21cn.com/tousu/show/id/1349220","http://ts.21cn.com/tousu/show/id/1349220")</f>
        <v>http://ts.21cn.com/tousu/show/id/1349220</v>
      </c>
      <c r="F17413" s="2" t="s">
        <v>11</v>
      </c>
      <c r="G17413" s="2" t="s">
        <v>9941</v>
      </c>
      <c r="H17413" s="2" t="s">
        <v>9942</v>
      </c>
    </row>
    <row r="17414" spans="1:8" ht="25.05" customHeight="1" x14ac:dyDescent="0.25">
      <c r="A17414" s="2" t="s">
        <v>8</v>
      </c>
      <c r="B17414" s="2" t="str">
        <f>HYPERLINK("http://ts.21cn.com/tousu/show/id/1349222","微信ETC助手成功邀请5人开通100元不返现")</f>
        <v>微信ETC助手成功邀请5人开通100元不返现</v>
      </c>
      <c r="C17414" s="2" t="s">
        <v>34</v>
      </c>
      <c r="D17414" s="2" t="s">
        <v>10</v>
      </c>
      <c r="E17414" s="2" t="str">
        <f>HYPERLINK("http://ts.21cn.com/tousu/show/id/1349222","http://ts.21cn.com/tousu/show/id/1349222")</f>
        <v>http://ts.21cn.com/tousu/show/id/1349222</v>
      </c>
      <c r="F17414" s="2" t="s">
        <v>11</v>
      </c>
      <c r="G17414" s="2" t="s">
        <v>9939</v>
      </c>
      <c r="H17414" s="2" t="s">
        <v>9940</v>
      </c>
    </row>
    <row r="17415" spans="1:8" ht="25.05" customHeight="1" x14ac:dyDescent="0.25">
      <c r="A17415" s="2" t="s">
        <v>8</v>
      </c>
      <c r="B17415" s="2" t="str">
        <f>HYPERLINK("http://ts.21cn.com/tousu/show/id/1349223","借款8000要求还11000")</f>
        <v>借款8000要求还11000</v>
      </c>
      <c r="C17415" s="2" t="s">
        <v>34</v>
      </c>
      <c r="D17415" s="2" t="s">
        <v>10</v>
      </c>
      <c r="E17415" s="2" t="str">
        <f>HYPERLINK("http://ts.21cn.com/tousu/show/id/1349223","http://ts.21cn.com/tousu/show/id/1349223")</f>
        <v>http://ts.21cn.com/tousu/show/id/1349223</v>
      </c>
      <c r="F17415" s="2" t="s">
        <v>11</v>
      </c>
      <c r="G17415" s="2" t="s">
        <v>9937</v>
      </c>
      <c r="H17415" s="2" t="s">
        <v>9938</v>
      </c>
    </row>
    <row r="17416" spans="1:8" ht="25.05" customHeight="1" x14ac:dyDescent="0.25">
      <c r="A17416" s="2" t="s">
        <v>8</v>
      </c>
      <c r="B17416" s="2" t="str">
        <f>HYPERLINK("http://ts.21cn.com/tousu/show/id/1349224","农行卡被莫名扣除特约中国联通通信业务资金归集92.28元")</f>
        <v>农行卡被莫名扣除特约中国联通通信业务资金归集92.28元</v>
      </c>
      <c r="C17416" s="2" t="s">
        <v>9</v>
      </c>
      <c r="D17416" s="2" t="s">
        <v>10</v>
      </c>
      <c r="E17416" s="2" t="str">
        <f>HYPERLINK("http://ts.21cn.com/tousu/show/id/1349224","http://ts.21cn.com/tousu/show/id/1349224")</f>
        <v>http://ts.21cn.com/tousu/show/id/1349224</v>
      </c>
      <c r="F17416" s="2" t="s">
        <v>11</v>
      </c>
      <c r="G17416" s="2" t="s">
        <v>9935</v>
      </c>
      <c r="H17416" s="2" t="s">
        <v>9936</v>
      </c>
    </row>
    <row r="17417" spans="1:8" ht="25.05" customHeight="1" x14ac:dyDescent="0.25">
      <c r="A17417" s="2" t="s">
        <v>8</v>
      </c>
      <c r="B17417" s="2" t="str">
        <f>HYPERLINK("http://ts.21cn.com/tousu/show/id/1349225","高额利息")</f>
        <v>高额利息</v>
      </c>
      <c r="C17417" s="2" t="s">
        <v>9</v>
      </c>
      <c r="D17417" s="2" t="s">
        <v>10</v>
      </c>
      <c r="E17417" s="2" t="str">
        <f>HYPERLINK("http://ts.21cn.com/tousu/show/id/1349225","http://ts.21cn.com/tousu/show/id/1349225")</f>
        <v>http://ts.21cn.com/tousu/show/id/1349225</v>
      </c>
      <c r="F17417" s="2" t="s">
        <v>11</v>
      </c>
      <c r="G17417" s="2" t="s">
        <v>9933</v>
      </c>
      <c r="H17417" s="2" t="s">
        <v>9934</v>
      </c>
    </row>
    <row r="17418" spans="1:8" ht="25.05" customHeight="1" x14ac:dyDescent="0.25">
      <c r="A17418" s="2" t="s">
        <v>8</v>
      </c>
      <c r="B17418" s="2" t="str">
        <f>HYPERLINK("http://ts.21cn.com/tousu/show/id/1345596","本人投诉投诉现代金融为非法境外博彩平台提供现现金充值通道")</f>
        <v>本人投诉投诉现代金融为非法境外博彩平台提供现现金充值通道</v>
      </c>
      <c r="C17418" s="2" t="s">
        <v>9</v>
      </c>
      <c r="D17418" s="2" t="s">
        <v>10</v>
      </c>
      <c r="E17418" s="2" t="str">
        <f>HYPERLINK("http://ts.21cn.com/tousu/show/id/1345596","http://ts.21cn.com/tousu/show/id/1345596")</f>
        <v>http://ts.21cn.com/tousu/show/id/1345596</v>
      </c>
      <c r="F17418" s="2" t="s">
        <v>11</v>
      </c>
      <c r="G17418" s="2" t="s">
        <v>9931</v>
      </c>
      <c r="H17418" s="2" t="s">
        <v>9932</v>
      </c>
    </row>
    <row r="17419" spans="1:8" ht="25.05" customHeight="1" x14ac:dyDescent="0.25">
      <c r="A17419" s="2" t="s">
        <v>8</v>
      </c>
      <c r="B17419" s="2" t="str">
        <f>HYPERLINK("http://ts.21cn.com/tousu/show/id/1349227","宙斯钱包暴力催收乱发身份证照片个人信息")</f>
        <v>宙斯钱包暴力催收乱发身份证照片个人信息</v>
      </c>
      <c r="C17419" s="2" t="s">
        <v>9</v>
      </c>
      <c r="D17419" s="2" t="s">
        <v>10</v>
      </c>
      <c r="E17419" s="2" t="str">
        <f>HYPERLINK("http://ts.21cn.com/tousu/show/id/1349227","http://ts.21cn.com/tousu/show/id/1349227")</f>
        <v>http://ts.21cn.com/tousu/show/id/1349227</v>
      </c>
      <c r="F17419" s="2" t="s">
        <v>11</v>
      </c>
      <c r="G17419" s="2" t="s">
        <v>9929</v>
      </c>
      <c r="H17419" s="2" t="s">
        <v>9930</v>
      </c>
    </row>
    <row r="17420" spans="1:8" ht="25.05" customHeight="1" x14ac:dyDescent="0.25">
      <c r="A17420" s="2" t="s">
        <v>8</v>
      </c>
      <c r="B17420" s="2" t="str">
        <f>HYPERLINK("http://ts.21cn.com/tousu/show/id/1349231","已经协商处理完还款，又要求补交")</f>
        <v>已经协商处理完还款，又要求补交</v>
      </c>
      <c r="C17420" s="2" t="s">
        <v>9</v>
      </c>
      <c r="D17420" s="2" t="s">
        <v>10</v>
      </c>
      <c r="E17420" s="2" t="str">
        <f>HYPERLINK("http://ts.21cn.com/tousu/show/id/1349231","http://ts.21cn.com/tousu/show/id/1349231")</f>
        <v>http://ts.21cn.com/tousu/show/id/1349231</v>
      </c>
      <c r="F17420" s="2" t="s">
        <v>11</v>
      </c>
      <c r="G17420" s="2" t="s">
        <v>9927</v>
      </c>
      <c r="H17420" s="2" t="s">
        <v>9928</v>
      </c>
    </row>
    <row r="17421" spans="1:8" ht="25.05" customHeight="1" x14ac:dyDescent="0.25">
      <c r="A17421" s="2" t="s">
        <v>8</v>
      </c>
      <c r="B17421" s="2" t="str">
        <f>HYPERLINK("http://ts.21cn.com/tousu/show/id/1349230","玖富万卡系统还款还不上，高利贷，还恶意收取逾期费")</f>
        <v>玖富万卡系统还款还不上，高利贷，还恶意收取逾期费</v>
      </c>
      <c r="C17421" s="2" t="s">
        <v>9</v>
      </c>
      <c r="D17421" s="2" t="s">
        <v>10</v>
      </c>
      <c r="E17421" s="2" t="str">
        <f>HYPERLINK("http://ts.21cn.com/tousu/show/id/1349230","http://ts.21cn.com/tousu/show/id/1349230")</f>
        <v>http://ts.21cn.com/tousu/show/id/1349230</v>
      </c>
      <c r="F17421" s="2" t="s">
        <v>11</v>
      </c>
      <c r="G17421" s="2" t="s">
        <v>9925</v>
      </c>
      <c r="H17421" s="2" t="s">
        <v>9926</v>
      </c>
    </row>
    <row r="17422" spans="1:8" ht="25.05" customHeight="1" x14ac:dyDescent="0.25">
      <c r="A17422" s="2" t="s">
        <v>8</v>
      </c>
      <c r="B17422" s="2" t="str">
        <f>HYPERLINK("http://ts.21cn.com/tousu/show/id/1349229","普惠及贷非法获取通讯录发送短信")</f>
        <v>普惠及贷非法获取通讯录发送短信</v>
      </c>
      <c r="C17422" s="2" t="s">
        <v>9</v>
      </c>
      <c r="D17422" s="2" t="s">
        <v>10</v>
      </c>
      <c r="E17422" s="2" t="str">
        <f>HYPERLINK("http://ts.21cn.com/tousu/show/id/1349229","http://ts.21cn.com/tousu/show/id/1349229")</f>
        <v>http://ts.21cn.com/tousu/show/id/1349229</v>
      </c>
      <c r="F17422" s="2" t="s">
        <v>11</v>
      </c>
      <c r="G17422" s="2" t="s">
        <v>9923</v>
      </c>
      <c r="H17422" s="2" t="s">
        <v>9924</v>
      </c>
    </row>
    <row r="17423" spans="1:8" ht="25.05" customHeight="1" x14ac:dyDescent="0.25">
      <c r="A17423" s="2" t="s">
        <v>8</v>
      </c>
      <c r="B17423" s="2" t="str">
        <f>HYPERLINK("http://ts.21cn.com/tousu/show/id/1349232","立刻出行499押金无法退还")</f>
        <v>立刻出行499押金无法退还</v>
      </c>
      <c r="C17423" s="2" t="s">
        <v>9</v>
      </c>
      <c r="D17423" s="2" t="s">
        <v>10</v>
      </c>
      <c r="E17423" s="2" t="str">
        <f>HYPERLINK("http://ts.21cn.com/tousu/show/id/1349232","http://ts.21cn.com/tousu/show/id/1349232")</f>
        <v>http://ts.21cn.com/tousu/show/id/1349232</v>
      </c>
      <c r="F17423" s="2" t="s">
        <v>11</v>
      </c>
      <c r="G17423" s="2" t="s">
        <v>9921</v>
      </c>
      <c r="H17423" s="2" t="s">
        <v>9922</v>
      </c>
    </row>
    <row r="17424" spans="1:8" ht="25.05" customHeight="1" x14ac:dyDescent="0.25">
      <c r="A17424" s="2" t="s">
        <v>8</v>
      </c>
      <c r="B17424" s="2" t="str">
        <f>HYPERLINK("http://ts.21cn.com/tousu/show/id/1349234","麦子金服砍头息，收取高额头息费用")</f>
        <v>麦子金服砍头息，收取高额头息费用</v>
      </c>
      <c r="C17424" s="2" t="s">
        <v>9</v>
      </c>
      <c r="D17424" s="2" t="s">
        <v>10</v>
      </c>
      <c r="E17424" s="2" t="str">
        <f>HYPERLINK("http://ts.21cn.com/tousu/show/id/1349234","http://ts.21cn.com/tousu/show/id/1349234")</f>
        <v>http://ts.21cn.com/tousu/show/id/1349234</v>
      </c>
      <c r="F17424" s="2" t="s">
        <v>11</v>
      </c>
      <c r="G17424" s="2" t="s">
        <v>9919</v>
      </c>
      <c r="H17424" s="2" t="s">
        <v>9920</v>
      </c>
    </row>
    <row r="17425" spans="1:8" ht="25.05" customHeight="1" x14ac:dyDescent="0.25">
      <c r="A17425" s="2" t="s">
        <v>8</v>
      </c>
      <c r="B17425" s="2" t="str">
        <f>HYPERLINK("http://ts.21cn.com/tousu/show/id/1349235","北京宜信暴力催收")</f>
        <v>北京宜信暴力催收</v>
      </c>
      <c r="C17425" s="2" t="s">
        <v>9</v>
      </c>
      <c r="D17425" s="2" t="s">
        <v>10</v>
      </c>
      <c r="E17425" s="2" t="str">
        <f>HYPERLINK("http://ts.21cn.com/tousu/show/id/1349235","http://ts.21cn.com/tousu/show/id/1349235")</f>
        <v>http://ts.21cn.com/tousu/show/id/1349235</v>
      </c>
      <c r="F17425" s="2" t="s">
        <v>11</v>
      </c>
      <c r="G17425" s="2" t="s">
        <v>9916</v>
      </c>
      <c r="H17425" s="2" t="s">
        <v>9917</v>
      </c>
    </row>
    <row r="17426" spans="1:8" ht="25.05" customHeight="1" x14ac:dyDescent="0.25">
      <c r="A17426" s="2" t="s">
        <v>8</v>
      </c>
      <c r="B17426" s="2" t="str">
        <f>HYPERLINK("http://ts.21cn.com/tousu/show/id/1349233","名校贷咨询费不退还")</f>
        <v>名校贷咨询费不退还</v>
      </c>
      <c r="C17426" s="2" t="s">
        <v>9</v>
      </c>
      <c r="D17426" s="2" t="s">
        <v>10</v>
      </c>
      <c r="E17426" s="2" t="str">
        <f>HYPERLINK("http://ts.21cn.com/tousu/show/id/1349233","http://ts.21cn.com/tousu/show/id/1349233")</f>
        <v>http://ts.21cn.com/tousu/show/id/1349233</v>
      </c>
      <c r="F17426" s="2" t="s">
        <v>11</v>
      </c>
      <c r="G17426" s="2" t="s">
        <v>9916</v>
      </c>
      <c r="H17426" s="2" t="s">
        <v>9918</v>
      </c>
    </row>
    <row r="17427" spans="1:8" ht="25.05" customHeight="1" x14ac:dyDescent="0.25">
      <c r="A17427" s="2" t="s">
        <v>8</v>
      </c>
      <c r="B17427" s="2" t="str">
        <f>HYPERLINK("http://ts.21cn.com/tousu/show/id/1349207","光大银行联合快闪卡贷超利贷，砍头息。")</f>
        <v>光大银行联合快闪卡贷超利贷，砍头息。</v>
      </c>
      <c r="C17427" s="2" t="s">
        <v>9</v>
      </c>
      <c r="D17427" s="2" t="s">
        <v>10</v>
      </c>
      <c r="E17427" s="2" t="str">
        <f>HYPERLINK("http://ts.21cn.com/tousu/show/id/1349207","http://ts.21cn.com/tousu/show/id/1349207")</f>
        <v>http://ts.21cn.com/tousu/show/id/1349207</v>
      </c>
      <c r="F17427" s="2" t="s">
        <v>11</v>
      </c>
      <c r="G17427" s="2" t="s">
        <v>9914</v>
      </c>
      <c r="H17427" s="2" t="s">
        <v>9915</v>
      </c>
    </row>
    <row r="17428" spans="1:8" ht="25.05" customHeight="1" x14ac:dyDescent="0.25">
      <c r="A17428" s="2" t="s">
        <v>8</v>
      </c>
      <c r="B17428" s="2" t="str">
        <f>HYPERLINK("http://ts.21cn.com/tousu/show/id/1349138","网络非法售卖彩票")</f>
        <v>网络非法售卖彩票</v>
      </c>
      <c r="C17428" s="2" t="s">
        <v>9</v>
      </c>
      <c r="D17428" s="2" t="s">
        <v>10</v>
      </c>
      <c r="E17428" s="2" t="str">
        <f>HYPERLINK("http://ts.21cn.com/tousu/show/id/1349138","http://ts.21cn.com/tousu/show/id/1349138")</f>
        <v>http://ts.21cn.com/tousu/show/id/1349138</v>
      </c>
      <c r="F17428" s="2" t="s">
        <v>11</v>
      </c>
      <c r="G17428" s="2" t="s">
        <v>9912</v>
      </c>
      <c r="H17428" s="2" t="s">
        <v>9913</v>
      </c>
    </row>
    <row r="17429" spans="1:8" ht="25.05" customHeight="1" x14ac:dyDescent="0.25">
      <c r="A17429" s="2" t="s">
        <v>8</v>
      </c>
      <c r="B17429" s="2" t="str">
        <f>HYPERLINK("http://ts.21cn.com/tousu/show/id/1349237","打电话威胁恐吓家人，打电话威胁恐吓家人，假冒公检法给亲朋好友发律师函")</f>
        <v>打电话威胁恐吓家人，打电话威胁恐吓家人，假冒公检法给亲朋好友发律师函</v>
      </c>
      <c r="C17429" s="2" t="s">
        <v>9</v>
      </c>
      <c r="D17429" s="2" t="s">
        <v>10</v>
      </c>
      <c r="E17429" s="2" t="str">
        <f>HYPERLINK("http://ts.21cn.com/tousu/show/id/1349237","http://ts.21cn.com/tousu/show/id/1349237")</f>
        <v>http://ts.21cn.com/tousu/show/id/1349237</v>
      </c>
      <c r="F17429" s="2" t="s">
        <v>11</v>
      </c>
      <c r="G17429" s="2" t="s">
        <v>9910</v>
      </c>
      <c r="H17429" s="2" t="s">
        <v>9911</v>
      </c>
    </row>
    <row r="17430" spans="1:8" ht="25.05" customHeight="1" x14ac:dyDescent="0.25">
      <c r="A17430" s="2" t="s">
        <v>8</v>
      </c>
      <c r="B17430" s="2" t="str">
        <f>HYPERLINK("http://ts.21cn.com/tousu/show/id/1349238","无缘无故被扣了296元的报告费！！！")</f>
        <v>无缘无故被扣了296元的报告费！！！</v>
      </c>
      <c r="C17430" s="2" t="s">
        <v>9</v>
      </c>
      <c r="D17430" s="2" t="s">
        <v>10</v>
      </c>
      <c r="E17430" s="2" t="str">
        <f>HYPERLINK("http://ts.21cn.com/tousu/show/id/1349238","http://ts.21cn.com/tousu/show/id/1349238")</f>
        <v>http://ts.21cn.com/tousu/show/id/1349238</v>
      </c>
      <c r="F17430" s="2" t="s">
        <v>11</v>
      </c>
      <c r="G17430" s="2" t="s">
        <v>9908</v>
      </c>
      <c r="H17430" s="2" t="s">
        <v>9909</v>
      </c>
    </row>
    <row r="17431" spans="1:8" ht="25.05" customHeight="1" x14ac:dyDescent="0.25">
      <c r="A17431" s="2" t="s">
        <v>8</v>
      </c>
      <c r="B17431" s="2" t="str">
        <f>HYPERLINK("http://ts.21cn.com/tousu/show/id/1349239","平安惠普，多人多个电话，轮流致电骚扰，语言粗鲁")</f>
        <v>平安惠普，多人多个电话，轮流致电骚扰，语言粗鲁</v>
      </c>
      <c r="C17431" s="2" t="s">
        <v>9</v>
      </c>
      <c r="D17431" s="2" t="s">
        <v>10</v>
      </c>
      <c r="E17431" s="2" t="str">
        <f>HYPERLINK("http://ts.21cn.com/tousu/show/id/1349239","http://ts.21cn.com/tousu/show/id/1349239")</f>
        <v>http://ts.21cn.com/tousu/show/id/1349239</v>
      </c>
      <c r="F17431" s="2" t="s">
        <v>11</v>
      </c>
      <c r="G17431" s="2" t="s">
        <v>9906</v>
      </c>
      <c r="H17431" s="2" t="s">
        <v>9907</v>
      </c>
    </row>
    <row r="17432" spans="1:8" ht="25.05" customHeight="1" x14ac:dyDescent="0.25">
      <c r="A17432" s="2" t="s">
        <v>8</v>
      </c>
      <c r="B17432" s="2" t="str">
        <f>HYPERLINK("http://ts.21cn.com/tousu/show/id/1349240","你我贷不同意协商")</f>
        <v>你我贷不同意协商</v>
      </c>
      <c r="C17432" s="2" t="s">
        <v>9</v>
      </c>
      <c r="D17432" s="2" t="s">
        <v>10</v>
      </c>
      <c r="E17432" s="2" t="str">
        <f>HYPERLINK("http://ts.21cn.com/tousu/show/id/1349240","http://ts.21cn.com/tousu/show/id/1349240")</f>
        <v>http://ts.21cn.com/tousu/show/id/1349240</v>
      </c>
      <c r="F17432" s="2" t="s">
        <v>11</v>
      </c>
      <c r="G17432" s="2" t="s">
        <v>9904</v>
      </c>
      <c r="H17432" s="2" t="s">
        <v>9905</v>
      </c>
    </row>
    <row r="17433" spans="1:8" ht="25.05" customHeight="1" x14ac:dyDescent="0.25">
      <c r="A17433" s="2" t="s">
        <v>8</v>
      </c>
      <c r="B17433" s="2" t="str">
        <f>HYPERLINK("http://ts.21cn.com/tousu/show/id/1349241","钱包易贷砍头费用骚扰")</f>
        <v>钱包易贷砍头费用骚扰</v>
      </c>
      <c r="C17433" s="2" t="s">
        <v>9</v>
      </c>
      <c r="D17433" s="2" t="s">
        <v>10</v>
      </c>
      <c r="E17433" s="2" t="str">
        <f>HYPERLINK("http://ts.21cn.com/tousu/show/id/1349241","http://ts.21cn.com/tousu/show/id/1349241")</f>
        <v>http://ts.21cn.com/tousu/show/id/1349241</v>
      </c>
      <c r="F17433" s="2" t="s">
        <v>11</v>
      </c>
      <c r="G17433" s="2" t="s">
        <v>9902</v>
      </c>
      <c r="H17433" s="2" t="s">
        <v>9903</v>
      </c>
    </row>
    <row r="17434" spans="1:8" ht="25.05" customHeight="1" x14ac:dyDescent="0.25">
      <c r="A17434" s="2" t="s">
        <v>8</v>
      </c>
      <c r="B17434" s="2" t="str">
        <f>HYPERLINK("http://ts.21cn.com/tousu/show/id/1349242","交通银行骚扰家人")</f>
        <v>交通银行骚扰家人</v>
      </c>
      <c r="C17434" s="2" t="s">
        <v>9</v>
      </c>
      <c r="D17434" s="2" t="s">
        <v>10</v>
      </c>
      <c r="E17434" s="2" t="str">
        <f>HYPERLINK("http://ts.21cn.com/tousu/show/id/1349242","http://ts.21cn.com/tousu/show/id/1349242")</f>
        <v>http://ts.21cn.com/tousu/show/id/1349242</v>
      </c>
      <c r="F17434" s="2" t="s">
        <v>11</v>
      </c>
      <c r="G17434" s="2" t="s">
        <v>9900</v>
      </c>
      <c r="H17434" s="2" t="s">
        <v>9901</v>
      </c>
    </row>
    <row r="17435" spans="1:8" ht="25.05" customHeight="1" x14ac:dyDescent="0.25">
      <c r="A17435" s="2" t="s">
        <v>8</v>
      </c>
      <c r="B17435" s="2" t="str">
        <f>HYPERLINK("http://ts.21cn.com/tousu/show/id/1349243","诱导消费者、不按合同约定履行合同义务")</f>
        <v>诱导消费者、不按合同约定履行合同义务</v>
      </c>
      <c r="C17435" s="2" t="s">
        <v>9</v>
      </c>
      <c r="D17435" s="2" t="s">
        <v>10</v>
      </c>
      <c r="E17435" s="2" t="str">
        <f>HYPERLINK("http://ts.21cn.com/tousu/show/id/1349243","http://ts.21cn.com/tousu/show/id/1349243")</f>
        <v>http://ts.21cn.com/tousu/show/id/1349243</v>
      </c>
      <c r="F17435" s="2" t="s">
        <v>11</v>
      </c>
      <c r="G17435" s="2" t="s">
        <v>9898</v>
      </c>
      <c r="H17435" s="2" t="s">
        <v>9899</v>
      </c>
    </row>
    <row r="17436" spans="1:8" ht="25.05" customHeight="1" x14ac:dyDescent="0.25">
      <c r="A17436" s="2" t="s">
        <v>8</v>
      </c>
      <c r="B17436" s="2" t="str">
        <f>HYPERLINK("http://ts.21cn.com/tousu/show/id/1349245","购买黑卡无法使用，要求退款")</f>
        <v>购买黑卡无法使用，要求退款</v>
      </c>
      <c r="C17436" s="2" t="s">
        <v>34</v>
      </c>
      <c r="D17436" s="2" t="s">
        <v>10</v>
      </c>
      <c r="E17436" s="2" t="str">
        <f>HYPERLINK("http://ts.21cn.com/tousu/show/id/1349245","http://ts.21cn.com/tousu/show/id/1349245")</f>
        <v>http://ts.21cn.com/tousu/show/id/1349245</v>
      </c>
      <c r="F17436" s="2" t="s">
        <v>11</v>
      </c>
      <c r="G17436" s="2" t="s">
        <v>9896</v>
      </c>
      <c r="H17436" s="2" t="s">
        <v>9897</v>
      </c>
    </row>
    <row r="17437" spans="1:8" ht="25.05" customHeight="1" x14ac:dyDescent="0.25">
      <c r="A17437" s="2" t="s">
        <v>8</v>
      </c>
      <c r="B17437" s="2" t="str">
        <f>HYPERLINK("http://ts.21cn.com/tousu/show/id/1347463","天誉国际金业有限公司违规操作，恶意喊单让客户亏损")</f>
        <v>天誉国际金业有限公司违规操作，恶意喊单让客户亏损</v>
      </c>
      <c r="C17437" s="2" t="s">
        <v>9</v>
      </c>
      <c r="D17437" s="2" t="s">
        <v>10</v>
      </c>
      <c r="E17437" s="2" t="str">
        <f>HYPERLINK("http://ts.21cn.com/tousu/show/id/1347463","http://ts.21cn.com/tousu/show/id/1347463")</f>
        <v>http://ts.21cn.com/tousu/show/id/1347463</v>
      </c>
      <c r="F17437" s="2" t="s">
        <v>11</v>
      </c>
      <c r="G17437" s="2" t="s">
        <v>9893</v>
      </c>
      <c r="H17437" s="2" t="s">
        <v>9894</v>
      </c>
    </row>
    <row r="17438" spans="1:8" ht="25.05" customHeight="1" x14ac:dyDescent="0.25">
      <c r="A17438" s="2" t="s">
        <v>8</v>
      </c>
      <c r="B17438" s="2" t="str">
        <f>HYPERLINK("http://ts.21cn.com/tousu/show/id/1349244","砍头息恶意催收")</f>
        <v>砍头息恶意催收</v>
      </c>
      <c r="C17438" s="2" t="s">
        <v>9</v>
      </c>
      <c r="D17438" s="2" t="s">
        <v>10</v>
      </c>
      <c r="E17438" s="2" t="str">
        <f>HYPERLINK("http://ts.21cn.com/tousu/show/id/1349244","http://ts.21cn.com/tousu/show/id/1349244")</f>
        <v>http://ts.21cn.com/tousu/show/id/1349244</v>
      </c>
      <c r="F17438" s="2" t="s">
        <v>11</v>
      </c>
      <c r="G17438" s="2" t="s">
        <v>9893</v>
      </c>
      <c r="H17438" s="2" t="s">
        <v>9895</v>
      </c>
    </row>
    <row r="17439" spans="1:8" ht="25.05" customHeight="1" x14ac:dyDescent="0.25">
      <c r="A17439" s="2" t="s">
        <v>8</v>
      </c>
      <c r="B17439" s="2" t="str">
        <f>HYPERLINK("http://ts.21cn.com/tousu/show/id/1349246","交通信用卡恶意爆通讯录")</f>
        <v>交通信用卡恶意爆通讯录</v>
      </c>
      <c r="C17439" s="2" t="s">
        <v>9</v>
      </c>
      <c r="D17439" s="2" t="s">
        <v>10</v>
      </c>
      <c r="E17439" s="2" t="str">
        <f>HYPERLINK("http://ts.21cn.com/tousu/show/id/1349246","http://ts.21cn.com/tousu/show/id/1349246")</f>
        <v>http://ts.21cn.com/tousu/show/id/1349246</v>
      </c>
      <c r="F17439" s="2" t="s">
        <v>11</v>
      </c>
      <c r="G17439" s="2" t="s">
        <v>9891</v>
      </c>
      <c r="H17439" s="2" t="s">
        <v>9892</v>
      </c>
    </row>
    <row r="17440" spans="1:8" ht="25.05" customHeight="1" x14ac:dyDescent="0.25">
      <c r="A17440" s="2" t="s">
        <v>8</v>
      </c>
      <c r="B17440" s="2" t="str">
        <f>HYPERLINK("http://ts.21cn.com/tousu/show/id/1349247","员工喝的水从厕所引过来的？")</f>
        <v>员工喝的水从厕所引过来的？</v>
      </c>
      <c r="C17440" s="2" t="s">
        <v>34</v>
      </c>
      <c r="D17440" s="2" t="s">
        <v>10</v>
      </c>
      <c r="E17440" s="2" t="str">
        <f>HYPERLINK("http://ts.21cn.com/tousu/show/id/1349247","http://ts.21cn.com/tousu/show/id/1349247")</f>
        <v>http://ts.21cn.com/tousu/show/id/1349247</v>
      </c>
      <c r="F17440" s="2" t="s">
        <v>11</v>
      </c>
      <c r="G17440" s="2" t="s">
        <v>9889</v>
      </c>
      <c r="H17440" s="2" t="s">
        <v>9890</v>
      </c>
    </row>
    <row r="17441" spans="1:8" ht="25.05" customHeight="1" x14ac:dyDescent="0.25">
      <c r="A17441" s="2" t="s">
        <v>8</v>
      </c>
      <c r="B17441" s="2" t="str">
        <f>HYPERLINK("http://ts.21cn.com/tousu/show/id/1349249","请求易鑫车贷能允许适当更改每期还款日，以解我惑")</f>
        <v>请求易鑫车贷能允许适当更改每期还款日，以解我惑</v>
      </c>
      <c r="C17441" s="2" t="s">
        <v>9</v>
      </c>
      <c r="D17441" s="2" t="s">
        <v>10</v>
      </c>
      <c r="E17441" s="2" t="str">
        <f>HYPERLINK("http://ts.21cn.com/tousu/show/id/1349249","http://ts.21cn.com/tousu/show/id/1349249")</f>
        <v>http://ts.21cn.com/tousu/show/id/1349249</v>
      </c>
      <c r="F17441" s="2" t="s">
        <v>11</v>
      </c>
      <c r="G17441" s="2" t="s">
        <v>9887</v>
      </c>
      <c r="H17441" s="2" t="s">
        <v>9888</v>
      </c>
    </row>
    <row r="17442" spans="1:8" ht="25.05" customHeight="1" x14ac:dyDescent="0.25">
      <c r="A17442" s="2" t="s">
        <v>8</v>
      </c>
      <c r="B17442" s="2" t="str">
        <f>HYPERLINK("http://ts.21cn.com/tousu/show/id/1349250","严重骚扰亲朋好友")</f>
        <v>严重骚扰亲朋好友</v>
      </c>
      <c r="C17442" s="2" t="s">
        <v>9</v>
      </c>
      <c r="D17442" s="2" t="s">
        <v>10</v>
      </c>
      <c r="E17442" s="2" t="str">
        <f>HYPERLINK("http://ts.21cn.com/tousu/show/id/1349250","http://ts.21cn.com/tousu/show/id/1349250")</f>
        <v>http://ts.21cn.com/tousu/show/id/1349250</v>
      </c>
      <c r="F17442" s="2" t="s">
        <v>11</v>
      </c>
      <c r="G17442" s="2" t="s">
        <v>9885</v>
      </c>
      <c r="H17442" s="2" t="s">
        <v>9886</v>
      </c>
    </row>
    <row r="17443" spans="1:8" ht="25.05" customHeight="1" x14ac:dyDescent="0.25">
      <c r="A17443" s="2" t="s">
        <v>8</v>
      </c>
      <c r="B17443" s="2" t="str">
        <f>HYPERLINK("http://ts.21cn.com/tousu/show/id/1349254","高利贷骚扰催收")</f>
        <v>高利贷骚扰催收</v>
      </c>
      <c r="C17443" s="2" t="s">
        <v>9</v>
      </c>
      <c r="D17443" s="2" t="s">
        <v>10</v>
      </c>
      <c r="E17443" s="2" t="str">
        <f>HYPERLINK("http://ts.21cn.com/tousu/show/id/1349254","http://ts.21cn.com/tousu/show/id/1349254")</f>
        <v>http://ts.21cn.com/tousu/show/id/1349254</v>
      </c>
      <c r="F17443" s="2" t="s">
        <v>11</v>
      </c>
      <c r="G17443" s="2" t="s">
        <v>9883</v>
      </c>
      <c r="H17443" s="2" t="s">
        <v>9884</v>
      </c>
    </row>
    <row r="17444" spans="1:8" ht="25.05" customHeight="1" x14ac:dyDescent="0.25">
      <c r="A17444" s="2" t="s">
        <v>8</v>
      </c>
      <c r="B17444" s="2" t="str">
        <f>HYPERLINK("http://ts.21cn.com/tousu/show/id/1349252","高利贷，盗取用户个人信息，强制性要求购买保险")</f>
        <v>高利贷，盗取用户个人信息，强制性要求购买保险</v>
      </c>
      <c r="C17444" s="2" t="s">
        <v>9</v>
      </c>
      <c r="D17444" s="2" t="s">
        <v>10</v>
      </c>
      <c r="E17444" s="2" t="str">
        <f>HYPERLINK("http://ts.21cn.com/tousu/show/id/1349252","http://ts.21cn.com/tousu/show/id/1349252")</f>
        <v>http://ts.21cn.com/tousu/show/id/1349252</v>
      </c>
      <c r="F17444" s="2" t="s">
        <v>11</v>
      </c>
      <c r="G17444" s="2" t="s">
        <v>9881</v>
      </c>
      <c r="H17444" s="2" t="s">
        <v>9882</v>
      </c>
    </row>
    <row r="17445" spans="1:8" ht="25.05" customHeight="1" x14ac:dyDescent="0.25">
      <c r="A17445" s="2" t="s">
        <v>8</v>
      </c>
      <c r="B17445" s="2" t="str">
        <f>HYPERLINK("http://ts.21cn.com/tousu/show/id/1349253","兴业银行外包催收恐吓")</f>
        <v>兴业银行外包催收恐吓</v>
      </c>
      <c r="C17445" s="2" t="s">
        <v>9</v>
      </c>
      <c r="D17445" s="2" t="s">
        <v>10</v>
      </c>
      <c r="E17445" s="2" t="str">
        <f>HYPERLINK("http://ts.21cn.com/tousu/show/id/1349253","http://ts.21cn.com/tousu/show/id/1349253")</f>
        <v>http://ts.21cn.com/tousu/show/id/1349253</v>
      </c>
      <c r="F17445" s="2" t="s">
        <v>11</v>
      </c>
      <c r="G17445" s="2" t="s">
        <v>9879</v>
      </c>
      <c r="H17445" s="2" t="s">
        <v>9880</v>
      </c>
    </row>
    <row r="17446" spans="1:8" ht="25.05" customHeight="1" x14ac:dyDescent="0.25">
      <c r="A17446" s="2" t="s">
        <v>8</v>
      </c>
      <c r="B17446" s="2" t="str">
        <f>HYPERLINK("http://ts.21cn.com/tousu/show/id/1349255","微粒贷暴力催收")</f>
        <v>微粒贷暴力催收</v>
      </c>
      <c r="C17446" s="2" t="s">
        <v>9</v>
      </c>
      <c r="D17446" s="2" t="s">
        <v>10</v>
      </c>
      <c r="E17446" s="2" t="str">
        <f>HYPERLINK("http://ts.21cn.com/tousu/show/id/1349255","http://ts.21cn.com/tousu/show/id/1349255")</f>
        <v>http://ts.21cn.com/tousu/show/id/1349255</v>
      </c>
      <c r="F17446" s="2" t="s">
        <v>11</v>
      </c>
      <c r="G17446" s="2" t="s">
        <v>9877</v>
      </c>
      <c r="H17446" s="2" t="s">
        <v>9878</v>
      </c>
    </row>
    <row r="17447" spans="1:8" ht="25.05" customHeight="1" x14ac:dyDescent="0.25">
      <c r="A17447" s="2" t="s">
        <v>8</v>
      </c>
      <c r="B17447" s="2" t="str">
        <f>HYPERLINK("http://ts.21cn.com/tousu/show/id/1349257","gofun换车时因为自身软件问题造成乱收费")</f>
        <v>gofun换车时因为自身软件问题造成乱收费</v>
      </c>
      <c r="C17447" s="2" t="s">
        <v>9</v>
      </c>
      <c r="D17447" s="2" t="s">
        <v>10</v>
      </c>
      <c r="E17447" s="2" t="str">
        <f>HYPERLINK("http://ts.21cn.com/tousu/show/id/1349257","http://ts.21cn.com/tousu/show/id/1349257")</f>
        <v>http://ts.21cn.com/tousu/show/id/1349257</v>
      </c>
      <c r="F17447" s="2" t="s">
        <v>11</v>
      </c>
      <c r="G17447" s="2" t="s">
        <v>9875</v>
      </c>
      <c r="H17447" s="2" t="s">
        <v>9876</v>
      </c>
    </row>
    <row r="17448" spans="1:8" ht="25.05" customHeight="1" x14ac:dyDescent="0.25">
      <c r="A17448" s="2" t="s">
        <v>8</v>
      </c>
      <c r="B17448" s="2" t="str">
        <f>HYPERLINK("http://ts.21cn.com/tousu/show/id/1349146","砍头息，高利贷，阴阳合同")</f>
        <v>砍头息，高利贷，阴阳合同</v>
      </c>
      <c r="C17448" s="2" t="s">
        <v>9</v>
      </c>
      <c r="D17448" s="2" t="s">
        <v>10</v>
      </c>
      <c r="E17448" s="2" t="str">
        <f>HYPERLINK("http://ts.21cn.com/tousu/show/id/1349146","http://ts.21cn.com/tousu/show/id/1349146")</f>
        <v>http://ts.21cn.com/tousu/show/id/1349146</v>
      </c>
      <c r="F17448" s="2" t="s">
        <v>11</v>
      </c>
      <c r="G17448" s="2" t="s">
        <v>9873</v>
      </c>
      <c r="H17448" s="2" t="s">
        <v>9874</v>
      </c>
    </row>
    <row r="17449" spans="1:8" ht="25.05" customHeight="1" x14ac:dyDescent="0.25">
      <c r="A17449" s="2" t="s">
        <v>8</v>
      </c>
      <c r="B17449" s="2" t="str">
        <f>HYPERLINK("http://ts.21cn.com/tousu/show/id/1349259","转转集体投诉专题")</f>
        <v>转转集体投诉专题</v>
      </c>
      <c r="C17449" s="2" t="s">
        <v>9</v>
      </c>
      <c r="D17449" s="2" t="s">
        <v>10</v>
      </c>
      <c r="E17449" s="2" t="str">
        <f>HYPERLINK("http://ts.21cn.com/tousu/show/id/1349259","http://ts.21cn.com/tousu/show/id/1349259")</f>
        <v>http://ts.21cn.com/tousu/show/id/1349259</v>
      </c>
      <c r="F17449" s="2" t="s">
        <v>11</v>
      </c>
      <c r="G17449" s="2" t="s">
        <v>9871</v>
      </c>
      <c r="H17449" s="2" t="s">
        <v>9872</v>
      </c>
    </row>
    <row r="17450" spans="1:8" ht="25.05" customHeight="1" x14ac:dyDescent="0.25">
      <c r="A17450" s="2" t="s">
        <v>8</v>
      </c>
      <c r="B17450" s="2" t="str">
        <f>HYPERLINK("http://ts.21cn.com/tousu/show/id/1349261","北京海科融通支付公司代理商恶意扣除机器押金")</f>
        <v>北京海科融通支付公司代理商恶意扣除机器押金</v>
      </c>
      <c r="C17450" s="2" t="s">
        <v>9</v>
      </c>
      <c r="D17450" s="2" t="s">
        <v>10</v>
      </c>
      <c r="E17450" s="2" t="str">
        <f>HYPERLINK("http://ts.21cn.com/tousu/show/id/1349261","http://ts.21cn.com/tousu/show/id/1349261")</f>
        <v>http://ts.21cn.com/tousu/show/id/1349261</v>
      </c>
      <c r="F17450" s="2" t="s">
        <v>11</v>
      </c>
      <c r="G17450" s="2" t="s">
        <v>9869</v>
      </c>
      <c r="H17450" s="2" t="s">
        <v>9870</v>
      </c>
    </row>
    <row r="17451" spans="1:8" ht="25.05" customHeight="1" x14ac:dyDescent="0.25">
      <c r="A17451" s="2" t="s">
        <v>8</v>
      </c>
      <c r="B17451" s="2" t="str">
        <f>HYPERLINK("http://ts.21cn.com/tousu/show/id/1349260","喜鹊快贷阴阳合同，砍头息")</f>
        <v>喜鹊快贷阴阳合同，砍头息</v>
      </c>
      <c r="C17451" s="2" t="s">
        <v>9</v>
      </c>
      <c r="D17451" s="2" t="s">
        <v>10</v>
      </c>
      <c r="E17451" s="2" t="str">
        <f>HYPERLINK("http://ts.21cn.com/tousu/show/id/1349260","http://ts.21cn.com/tousu/show/id/1349260")</f>
        <v>http://ts.21cn.com/tousu/show/id/1349260</v>
      </c>
      <c r="F17451" s="2" t="s">
        <v>11</v>
      </c>
      <c r="G17451" s="2" t="s">
        <v>9867</v>
      </c>
      <c r="H17451" s="2" t="s">
        <v>9868</v>
      </c>
    </row>
    <row r="17452" spans="1:8" ht="25.05" customHeight="1" x14ac:dyDescent="0.25">
      <c r="A17452" s="2" t="s">
        <v>8</v>
      </c>
      <c r="B17452" s="2" t="str">
        <f>HYPERLINK("http://ts.21cn.com/tousu/show/id/1349262","04715690643")</f>
        <v>04715690643</v>
      </c>
      <c r="C17452" s="2" t="s">
        <v>9</v>
      </c>
      <c r="D17452" s="2" t="s">
        <v>10</v>
      </c>
      <c r="E17452" s="2" t="str">
        <f>HYPERLINK("http://ts.21cn.com/tousu/show/id/1349262","http://ts.21cn.com/tousu/show/id/1349262")</f>
        <v>http://ts.21cn.com/tousu/show/id/1349262</v>
      </c>
      <c r="F17452" s="2" t="s">
        <v>11</v>
      </c>
      <c r="G17452" s="2" t="s">
        <v>9865</v>
      </c>
      <c r="H17452" s="2" t="s">
        <v>9866</v>
      </c>
    </row>
    <row r="17453" spans="1:8" ht="25.05" customHeight="1" x14ac:dyDescent="0.25">
      <c r="A17453" s="2" t="s">
        <v>8</v>
      </c>
      <c r="B17453" s="2" t="str">
        <f>HYPERLINK("http://ts.21cn.com/tousu/show/id/1349263","给美团外卖差评收到恶意辱骂及威胁")</f>
        <v>给美团外卖差评收到恶意辱骂及威胁</v>
      </c>
      <c r="C17453" s="2" t="s">
        <v>9</v>
      </c>
      <c r="D17453" s="2" t="s">
        <v>10</v>
      </c>
      <c r="E17453" s="2" t="str">
        <f>HYPERLINK("http://ts.21cn.com/tousu/show/id/1349263","http://ts.21cn.com/tousu/show/id/1349263")</f>
        <v>http://ts.21cn.com/tousu/show/id/1349263</v>
      </c>
      <c r="F17453" s="2" t="s">
        <v>11</v>
      </c>
      <c r="G17453" s="2" t="s">
        <v>9863</v>
      </c>
      <c r="H17453" s="2" t="s">
        <v>9864</v>
      </c>
    </row>
    <row r="17454" spans="1:8" ht="25.05" customHeight="1" x14ac:dyDescent="0.25">
      <c r="A17454" s="2" t="s">
        <v>8</v>
      </c>
      <c r="B17454" s="2" t="str">
        <f>HYPERLINK("http://ts.21cn.com/tousu/show/id/1349264","恳求钱站把我的借款申请取消")</f>
        <v>恳求钱站把我的借款申请取消</v>
      </c>
      <c r="C17454" s="2" t="s">
        <v>9</v>
      </c>
      <c r="D17454" s="2" t="s">
        <v>10</v>
      </c>
      <c r="E17454" s="2" t="str">
        <f>HYPERLINK("http://ts.21cn.com/tousu/show/id/1349264","http://ts.21cn.com/tousu/show/id/1349264")</f>
        <v>http://ts.21cn.com/tousu/show/id/1349264</v>
      </c>
      <c r="F17454" s="2" t="s">
        <v>11</v>
      </c>
      <c r="G17454" s="2" t="s">
        <v>9861</v>
      </c>
      <c r="H17454" s="2" t="s">
        <v>9862</v>
      </c>
    </row>
    <row r="17455" spans="1:8" ht="25.05" customHeight="1" x14ac:dyDescent="0.25">
      <c r="A17455" s="2" t="s">
        <v>8</v>
      </c>
      <c r="B17455" s="2" t="str">
        <f>HYPERLINK("http://ts.21cn.com/tousu/show/id/1349265","交易猫退款失败")</f>
        <v>交易猫退款失败</v>
      </c>
      <c r="C17455" s="2" t="s">
        <v>9</v>
      </c>
      <c r="D17455" s="2" t="s">
        <v>10</v>
      </c>
      <c r="E17455" s="2" t="str">
        <f>HYPERLINK("http://ts.21cn.com/tousu/show/id/1349265","http://ts.21cn.com/tousu/show/id/1349265")</f>
        <v>http://ts.21cn.com/tousu/show/id/1349265</v>
      </c>
      <c r="F17455" s="2" t="s">
        <v>11</v>
      </c>
      <c r="G17455" s="2" t="s">
        <v>9859</v>
      </c>
      <c r="H17455" s="2" t="s">
        <v>9860</v>
      </c>
    </row>
    <row r="17456" spans="1:8" ht="25.05" customHeight="1" x14ac:dyDescent="0.25">
      <c r="A17456" s="2" t="s">
        <v>8</v>
      </c>
      <c r="B17456" s="2" t="str">
        <f>HYPERLINK("http://ts.21cn.com/tousu/show/id/1349266","东莞市轻奢维体健身房第二次无缘无故关门，老板跑路")</f>
        <v>东莞市轻奢维体健身房第二次无缘无故关门，老板跑路</v>
      </c>
      <c r="C17456" s="2" t="s">
        <v>9</v>
      </c>
      <c r="D17456" s="2" t="s">
        <v>10</v>
      </c>
      <c r="E17456" s="2" t="str">
        <f>HYPERLINK("http://ts.21cn.com/tousu/show/id/1349266","http://ts.21cn.com/tousu/show/id/1349266")</f>
        <v>http://ts.21cn.com/tousu/show/id/1349266</v>
      </c>
      <c r="F17456" s="2" t="s">
        <v>11</v>
      </c>
      <c r="G17456" s="2" t="s">
        <v>9857</v>
      </c>
      <c r="H17456" s="2" t="s">
        <v>9858</v>
      </c>
    </row>
    <row r="17457" spans="1:8" ht="25.05" customHeight="1" x14ac:dyDescent="0.25">
      <c r="A17457" s="2" t="s">
        <v>8</v>
      </c>
      <c r="B17457" s="2" t="str">
        <f>HYPERLINK("http://ts.21cn.com/tousu/show/id/1349267","小当家套路贷")</f>
        <v>小当家套路贷</v>
      </c>
      <c r="C17457" s="2" t="s">
        <v>9</v>
      </c>
      <c r="D17457" s="2" t="s">
        <v>10</v>
      </c>
      <c r="E17457" s="2" t="str">
        <f>HYPERLINK("http://ts.21cn.com/tousu/show/id/1349267","http://ts.21cn.com/tousu/show/id/1349267")</f>
        <v>http://ts.21cn.com/tousu/show/id/1349267</v>
      </c>
      <c r="F17457" s="2" t="s">
        <v>11</v>
      </c>
      <c r="G17457" s="2" t="s">
        <v>9855</v>
      </c>
      <c r="H17457" s="2" t="s">
        <v>9856</v>
      </c>
    </row>
    <row r="17458" spans="1:8" ht="25.05" customHeight="1" x14ac:dyDescent="0.25">
      <c r="A17458" s="2" t="s">
        <v>8</v>
      </c>
      <c r="B17458" s="2" t="str">
        <f>HYPERLINK("http://ts.21cn.com/tousu/show/id/1349268","不知情的情况下扣款")</f>
        <v>不知情的情况下扣款</v>
      </c>
      <c r="C17458" s="2" t="s">
        <v>9</v>
      </c>
      <c r="D17458" s="2" t="s">
        <v>10</v>
      </c>
      <c r="E17458" s="2" t="str">
        <f>HYPERLINK("http://ts.21cn.com/tousu/show/id/1349268","http://ts.21cn.com/tousu/show/id/1349268")</f>
        <v>http://ts.21cn.com/tousu/show/id/1349268</v>
      </c>
      <c r="F17458" s="2" t="s">
        <v>11</v>
      </c>
      <c r="G17458" s="2" t="s">
        <v>9853</v>
      </c>
      <c r="H17458" s="2" t="s">
        <v>9854</v>
      </c>
    </row>
    <row r="17459" spans="1:8" ht="25.05" customHeight="1" x14ac:dyDescent="0.25">
      <c r="A17459" s="2" t="s">
        <v>8</v>
      </c>
      <c r="B17459" s="2" t="str">
        <f>HYPERLINK("http://ts.21cn.com/tousu/show/id/1349270","宝付支付给非法商户提供非法扣款渠道，且客服不予理会")</f>
        <v>宝付支付给非法商户提供非法扣款渠道，且客服不予理会</v>
      </c>
      <c r="C17459" s="2" t="s">
        <v>9</v>
      </c>
      <c r="D17459" s="2" t="s">
        <v>10</v>
      </c>
      <c r="E17459" s="2" t="str">
        <f>HYPERLINK("http://ts.21cn.com/tousu/show/id/1349270","http://ts.21cn.com/tousu/show/id/1349270")</f>
        <v>http://ts.21cn.com/tousu/show/id/1349270</v>
      </c>
      <c r="F17459" s="2" t="s">
        <v>11</v>
      </c>
      <c r="G17459" s="2" t="s">
        <v>9851</v>
      </c>
      <c r="H17459" s="2" t="s">
        <v>9852</v>
      </c>
    </row>
    <row r="17460" spans="1:8" ht="25.05" customHeight="1" x14ac:dyDescent="0.25">
      <c r="A17460" s="2" t="s">
        <v>8</v>
      </c>
      <c r="B17460" s="2" t="str">
        <f>HYPERLINK("http://ts.21cn.com/tousu/show/id/1349269","你我贷暴力催收威胁")</f>
        <v>你我贷暴力催收威胁</v>
      </c>
      <c r="C17460" s="2" t="s">
        <v>9</v>
      </c>
      <c r="D17460" s="2" t="s">
        <v>10</v>
      </c>
      <c r="E17460" s="2" t="str">
        <f>HYPERLINK("http://ts.21cn.com/tousu/show/id/1349269","http://ts.21cn.com/tousu/show/id/1349269")</f>
        <v>http://ts.21cn.com/tousu/show/id/1349269</v>
      </c>
      <c r="F17460" s="2" t="s">
        <v>11</v>
      </c>
      <c r="G17460" s="2" t="s">
        <v>9849</v>
      </c>
      <c r="H17460" s="2" t="s">
        <v>9850</v>
      </c>
    </row>
    <row r="17461" spans="1:8" ht="25.05" customHeight="1" x14ac:dyDescent="0.25">
      <c r="A17461" s="2" t="s">
        <v>8</v>
      </c>
      <c r="B17461" s="2" t="str">
        <f>HYPERLINK("http://ts.21cn.com/tousu/show/id/1349271","恶意骚扰联系人")</f>
        <v>恶意骚扰联系人</v>
      </c>
      <c r="C17461" s="2" t="s">
        <v>9</v>
      </c>
      <c r="D17461" s="2" t="s">
        <v>10</v>
      </c>
      <c r="E17461" s="2" t="str">
        <f>HYPERLINK("http://ts.21cn.com/tousu/show/id/1349271","http://ts.21cn.com/tousu/show/id/1349271")</f>
        <v>http://ts.21cn.com/tousu/show/id/1349271</v>
      </c>
      <c r="F17461" s="2" t="s">
        <v>11</v>
      </c>
      <c r="G17461" s="2" t="s">
        <v>9847</v>
      </c>
      <c r="H17461" s="2" t="s">
        <v>9848</v>
      </c>
    </row>
    <row r="17462" spans="1:8" ht="25.05" customHeight="1" x14ac:dyDescent="0.25">
      <c r="A17462" s="2" t="s">
        <v>8</v>
      </c>
      <c r="B17462" s="2" t="str">
        <f>HYPERLINK("http://ts.21cn.com/tousu/show/id/1349272","小黑鲨威胁爆通讯录")</f>
        <v>小黑鲨威胁爆通讯录</v>
      </c>
      <c r="C17462" s="2" t="s">
        <v>9</v>
      </c>
      <c r="D17462" s="2" t="s">
        <v>10</v>
      </c>
      <c r="E17462" s="2" t="str">
        <f>HYPERLINK("http://ts.21cn.com/tousu/show/id/1349272","http://ts.21cn.com/tousu/show/id/1349272")</f>
        <v>http://ts.21cn.com/tousu/show/id/1349272</v>
      </c>
      <c r="F17462" s="2" t="s">
        <v>11</v>
      </c>
      <c r="G17462" s="2" t="s">
        <v>9845</v>
      </c>
      <c r="H17462" s="2" t="s">
        <v>9846</v>
      </c>
    </row>
    <row r="17463" spans="1:8" ht="25.05" customHeight="1" x14ac:dyDescent="0.25">
      <c r="A17463" s="2" t="s">
        <v>8</v>
      </c>
      <c r="B17463" s="2" t="str">
        <f>HYPERLINK("http://ts.21cn.com/tousu/show/id/1349273","网贷，714高炮，套路高利贷")</f>
        <v>网贷，714高炮，套路高利贷</v>
      </c>
      <c r="C17463" s="2" t="s">
        <v>9</v>
      </c>
      <c r="D17463" s="2" t="s">
        <v>10</v>
      </c>
      <c r="E17463" s="2" t="str">
        <f>HYPERLINK("http://ts.21cn.com/tousu/show/id/1349273","http://ts.21cn.com/tousu/show/id/1349273")</f>
        <v>http://ts.21cn.com/tousu/show/id/1349273</v>
      </c>
      <c r="F17463" s="2" t="s">
        <v>11</v>
      </c>
      <c r="G17463" s="2" t="s">
        <v>9843</v>
      </c>
      <c r="H17463" s="2" t="s">
        <v>9844</v>
      </c>
    </row>
    <row r="17464" spans="1:8" ht="25.05" customHeight="1" x14ac:dyDescent="0.25">
      <c r="A17464" s="2" t="s">
        <v>8</v>
      </c>
      <c r="B17464" s="2" t="str">
        <f>HYPERLINK("http://ts.21cn.com/tousu/show/id/1349274","钱站以服务费名义变向手续高额利息")</f>
        <v>钱站以服务费名义变向手续高额利息</v>
      </c>
      <c r="C17464" s="2" t="s">
        <v>9</v>
      </c>
      <c r="D17464" s="2" t="s">
        <v>10</v>
      </c>
      <c r="E17464" s="2" t="str">
        <f>HYPERLINK("http://ts.21cn.com/tousu/show/id/1349274","http://ts.21cn.com/tousu/show/id/1349274")</f>
        <v>http://ts.21cn.com/tousu/show/id/1349274</v>
      </c>
      <c r="F17464" s="2" t="s">
        <v>11</v>
      </c>
      <c r="G17464" s="2" t="s">
        <v>9841</v>
      </c>
      <c r="H17464" s="2" t="s">
        <v>9842</v>
      </c>
    </row>
    <row r="17465" spans="1:8" ht="25.05" customHeight="1" x14ac:dyDescent="0.25">
      <c r="A17465" s="2" t="s">
        <v>8</v>
      </c>
      <c r="B17465" s="2" t="str">
        <f>HYPERLINK("http://ts.21cn.com/tousu/show/id/1349275","小赢暴力催收，威逼利诱欠款人")</f>
        <v>小赢暴力催收，威逼利诱欠款人</v>
      </c>
      <c r="C17465" s="2" t="s">
        <v>9</v>
      </c>
      <c r="D17465" s="2" t="s">
        <v>10</v>
      </c>
      <c r="E17465" s="2" t="str">
        <f>HYPERLINK("http://ts.21cn.com/tousu/show/id/1349275","http://ts.21cn.com/tousu/show/id/1349275")</f>
        <v>http://ts.21cn.com/tousu/show/id/1349275</v>
      </c>
      <c r="F17465" s="2" t="s">
        <v>11</v>
      </c>
      <c r="G17465" s="2" t="s">
        <v>9839</v>
      </c>
      <c r="H17465" s="2" t="s">
        <v>9840</v>
      </c>
    </row>
    <row r="17466" spans="1:8" ht="25.05" customHeight="1" x14ac:dyDescent="0.25">
      <c r="A17466" s="2" t="s">
        <v>8</v>
      </c>
      <c r="B17466" s="2" t="str">
        <f>HYPERLINK("http://ts.21cn.com/tousu/show/id/1349276","招联好期待恶意打催收电话，打联系人")</f>
        <v>招联好期待恶意打催收电话，打联系人</v>
      </c>
      <c r="C17466" s="2" t="s">
        <v>34</v>
      </c>
      <c r="D17466" s="2" t="s">
        <v>10</v>
      </c>
      <c r="E17466" s="2" t="str">
        <f>HYPERLINK("http://ts.21cn.com/tousu/show/id/1349276","http://ts.21cn.com/tousu/show/id/1349276")</f>
        <v>http://ts.21cn.com/tousu/show/id/1349276</v>
      </c>
      <c r="F17466" s="2" t="s">
        <v>11</v>
      </c>
      <c r="G17466" s="2" t="s">
        <v>9837</v>
      </c>
      <c r="H17466" s="2" t="s">
        <v>9838</v>
      </c>
    </row>
    <row r="17467" spans="1:8" ht="25.05" customHeight="1" x14ac:dyDescent="0.25">
      <c r="A17467" s="2" t="s">
        <v>8</v>
      </c>
      <c r="B17467" s="2" t="str">
        <f>HYPERLINK("http://ts.21cn.com/tousu/show/id/1349148","蚂蚁秒购APP侵犯消费者权益")</f>
        <v>蚂蚁秒购APP侵犯消费者权益</v>
      </c>
      <c r="C17467" s="2" t="s">
        <v>9</v>
      </c>
      <c r="D17467" s="2" t="s">
        <v>10</v>
      </c>
      <c r="E17467" s="2" t="str">
        <f>HYPERLINK("http://ts.21cn.com/tousu/show/id/1349148","http://ts.21cn.com/tousu/show/id/1349148")</f>
        <v>http://ts.21cn.com/tousu/show/id/1349148</v>
      </c>
      <c r="F17467" s="2" t="s">
        <v>11</v>
      </c>
      <c r="G17467" s="2" t="s">
        <v>9835</v>
      </c>
      <c r="H17467" s="2" t="s">
        <v>9836</v>
      </c>
    </row>
    <row r="17468" spans="1:8" ht="25.05" customHeight="1" x14ac:dyDescent="0.25">
      <c r="A17468" s="2" t="s">
        <v>8</v>
      </c>
      <c r="B17468" s="2" t="str">
        <f>HYPERLINK("http://ts.21cn.com/tousu/show/id/1349278","腾讯王卡推销电话过多")</f>
        <v>腾讯王卡推销电话过多</v>
      </c>
      <c r="C17468" s="2" t="s">
        <v>9</v>
      </c>
      <c r="D17468" s="2" t="s">
        <v>10</v>
      </c>
      <c r="E17468" s="2" t="str">
        <f>HYPERLINK("http://ts.21cn.com/tousu/show/id/1349278","http://ts.21cn.com/tousu/show/id/1349278")</f>
        <v>http://ts.21cn.com/tousu/show/id/1349278</v>
      </c>
      <c r="F17468" s="2" t="s">
        <v>11</v>
      </c>
      <c r="G17468" s="2" t="s">
        <v>9833</v>
      </c>
      <c r="H17468" s="2" t="s">
        <v>9834</v>
      </c>
    </row>
    <row r="17469" spans="1:8" ht="25.05" customHeight="1" x14ac:dyDescent="0.25">
      <c r="A17469" s="2" t="s">
        <v>8</v>
      </c>
      <c r="B17469" s="2" t="str">
        <f>HYPERLINK("http://ts.21cn.com/tousu/show/id/1349279","中信银行信用卡暴力催收")</f>
        <v>中信银行信用卡暴力催收</v>
      </c>
      <c r="C17469" s="2" t="s">
        <v>9</v>
      </c>
      <c r="D17469" s="2" t="s">
        <v>10</v>
      </c>
      <c r="E17469" s="2" t="str">
        <f>HYPERLINK("http://ts.21cn.com/tousu/show/id/1349279","http://ts.21cn.com/tousu/show/id/1349279")</f>
        <v>http://ts.21cn.com/tousu/show/id/1349279</v>
      </c>
      <c r="F17469" s="2" t="s">
        <v>11</v>
      </c>
      <c r="G17469" s="2" t="s">
        <v>9831</v>
      </c>
      <c r="H17469" s="2" t="s">
        <v>9832</v>
      </c>
    </row>
    <row r="17470" spans="1:8" ht="25.05" customHeight="1" x14ac:dyDescent="0.25">
      <c r="A17470" s="2" t="s">
        <v>8</v>
      </c>
      <c r="B17470" s="2" t="str">
        <f>HYPERLINK("http://ts.21cn.com/tousu/show/id/1349284","浦发银行第三方暴力，恶意催收")</f>
        <v>浦发银行第三方暴力，恶意催收</v>
      </c>
      <c r="C17470" s="2" t="s">
        <v>9</v>
      </c>
      <c r="D17470" s="2" t="s">
        <v>10</v>
      </c>
      <c r="E17470" s="2" t="str">
        <f>HYPERLINK("http://ts.21cn.com/tousu/show/id/1349284","http://ts.21cn.com/tousu/show/id/1349284")</f>
        <v>http://ts.21cn.com/tousu/show/id/1349284</v>
      </c>
      <c r="F17470" s="2" t="s">
        <v>11</v>
      </c>
      <c r="G17470" s="2" t="s">
        <v>9829</v>
      </c>
      <c r="H17470" s="2" t="s">
        <v>9830</v>
      </c>
    </row>
    <row r="17471" spans="1:8" ht="25.05" customHeight="1" x14ac:dyDescent="0.25">
      <c r="A17471" s="2" t="s">
        <v>8</v>
      </c>
      <c r="B17471" s="2" t="str">
        <f>HYPERLINK("http://ts.21cn.com/tousu/show/id/1349251","投诉厚本金融无理更改还款日期还说逾期")</f>
        <v>投诉厚本金融无理更改还款日期还说逾期</v>
      </c>
      <c r="C17471" s="2" t="s">
        <v>9</v>
      </c>
      <c r="D17471" s="2" t="s">
        <v>10</v>
      </c>
      <c r="E17471" s="2" t="str">
        <f>HYPERLINK("http://ts.21cn.com/tousu/show/id/1349251","http://ts.21cn.com/tousu/show/id/1349251")</f>
        <v>http://ts.21cn.com/tousu/show/id/1349251</v>
      </c>
      <c r="F17471" s="2" t="s">
        <v>11</v>
      </c>
      <c r="G17471" s="2" t="s">
        <v>9827</v>
      </c>
      <c r="H17471" s="2" t="s">
        <v>9828</v>
      </c>
    </row>
    <row r="17472" spans="1:8" ht="25.05" customHeight="1" x14ac:dyDescent="0.25">
      <c r="A17472" s="2" t="s">
        <v>8</v>
      </c>
      <c r="B17472" s="2" t="str">
        <f>HYPERLINK("http://ts.21cn.com/tousu/show/id/1349218","闪银忽悠")</f>
        <v>闪银忽悠</v>
      </c>
      <c r="C17472" s="2" t="s">
        <v>9</v>
      </c>
      <c r="D17472" s="2" t="s">
        <v>10</v>
      </c>
      <c r="E17472" s="2" t="str">
        <f>HYPERLINK("http://ts.21cn.com/tousu/show/id/1349218","http://ts.21cn.com/tousu/show/id/1349218")</f>
        <v>http://ts.21cn.com/tousu/show/id/1349218</v>
      </c>
      <c r="F17472" s="2" t="s">
        <v>11</v>
      </c>
      <c r="G17472" s="2" t="s">
        <v>9825</v>
      </c>
      <c r="H17472" s="2" t="s">
        <v>9826</v>
      </c>
    </row>
    <row r="17473" spans="1:8" ht="25.05" customHeight="1" x14ac:dyDescent="0.25">
      <c r="A17473" s="2" t="s">
        <v>8</v>
      </c>
      <c r="B17473" s="2" t="str">
        <f>HYPERLINK("http://ts.21cn.com/tousu/show/id/1349285","拍拍贷暴力催收")</f>
        <v>拍拍贷暴力催收</v>
      </c>
      <c r="C17473" s="2" t="s">
        <v>9</v>
      </c>
      <c r="D17473" s="2" t="s">
        <v>10</v>
      </c>
      <c r="E17473" s="2" t="str">
        <f>HYPERLINK("http://ts.21cn.com/tousu/show/id/1349285","http://ts.21cn.com/tousu/show/id/1349285")</f>
        <v>http://ts.21cn.com/tousu/show/id/1349285</v>
      </c>
      <c r="F17473" s="2" t="s">
        <v>11</v>
      </c>
      <c r="G17473" s="2" t="s">
        <v>9823</v>
      </c>
      <c r="H17473" s="2" t="s">
        <v>9824</v>
      </c>
    </row>
    <row r="17474" spans="1:8" ht="25.05" customHeight="1" x14ac:dyDescent="0.25">
      <c r="A17474" s="2" t="s">
        <v>8</v>
      </c>
      <c r="B17474" s="2" t="str">
        <f>HYPERLINK("http://ts.21cn.com/tousu/show/id/1349286","高利贷，利息高，暴力催收")</f>
        <v>高利贷，利息高，暴力催收</v>
      </c>
      <c r="C17474" s="2" t="s">
        <v>9</v>
      </c>
      <c r="D17474" s="2" t="s">
        <v>10</v>
      </c>
      <c r="E17474" s="2" t="str">
        <f>HYPERLINK("http://ts.21cn.com/tousu/show/id/1349286","http://ts.21cn.com/tousu/show/id/1349286")</f>
        <v>http://ts.21cn.com/tousu/show/id/1349286</v>
      </c>
      <c r="F17474" s="2" t="s">
        <v>11</v>
      </c>
      <c r="G17474" s="2" t="s">
        <v>9821</v>
      </c>
      <c r="H17474" s="2" t="s">
        <v>9822</v>
      </c>
    </row>
    <row r="17475" spans="1:8" ht="25.05" customHeight="1" x14ac:dyDescent="0.25">
      <c r="A17475" s="2" t="s">
        <v>8</v>
      </c>
      <c r="B17475" s="2" t="str">
        <f>HYPERLINK("http://ts.21cn.com/tousu/show/id/1349287","兴业银行信用卡客服")</f>
        <v>兴业银行信用卡客服</v>
      </c>
      <c r="C17475" s="2" t="s">
        <v>9</v>
      </c>
      <c r="D17475" s="2" t="s">
        <v>10</v>
      </c>
      <c r="E17475" s="2" t="str">
        <f>HYPERLINK("http://ts.21cn.com/tousu/show/id/1349287","http://ts.21cn.com/tousu/show/id/1349287")</f>
        <v>http://ts.21cn.com/tousu/show/id/1349287</v>
      </c>
      <c r="F17475" s="2" t="s">
        <v>11</v>
      </c>
      <c r="G17475" s="2" t="s">
        <v>9819</v>
      </c>
      <c r="H17475" s="2" t="s">
        <v>9820</v>
      </c>
    </row>
    <row r="17476" spans="1:8" ht="25.05" customHeight="1" x14ac:dyDescent="0.25">
      <c r="A17476" s="2" t="s">
        <v>8</v>
      </c>
      <c r="B17476" s="2" t="str">
        <f>HYPERLINK("http://ts.21cn.com/tousu/show/id/1349288","畅捷通支付违规为高利贷公司提供支付通道")</f>
        <v>畅捷通支付违规为高利贷公司提供支付通道</v>
      </c>
      <c r="C17476" s="2" t="s">
        <v>9</v>
      </c>
      <c r="D17476" s="2" t="s">
        <v>10</v>
      </c>
      <c r="E17476" s="2" t="str">
        <f>HYPERLINK("http://ts.21cn.com/tousu/show/id/1349288","http://ts.21cn.com/tousu/show/id/1349288")</f>
        <v>http://ts.21cn.com/tousu/show/id/1349288</v>
      </c>
      <c r="F17476" s="2" t="s">
        <v>11</v>
      </c>
      <c r="G17476" s="2" t="s">
        <v>9817</v>
      </c>
      <c r="H17476" s="2" t="s">
        <v>9818</v>
      </c>
    </row>
    <row r="17477" spans="1:8" ht="25.05" customHeight="1" x14ac:dyDescent="0.25">
      <c r="A17477" s="2" t="s">
        <v>8</v>
      </c>
      <c r="B17477" s="2" t="str">
        <f>HYPERLINK("http://ts.21cn.com/tousu/show/id/1349289","商户多收我利息以外的扣款，联系第三方反馈，提供了材料，后续一直没消息，跟客服沟通来电问题，还不给解决。")</f>
        <v>商户多收我利息以外的扣款，联系第三方反馈，提供了材料，后续一直没消息，跟客服沟通来电问题，还不给解决。</v>
      </c>
      <c r="C17477" s="2" t="s">
        <v>9</v>
      </c>
      <c r="D17477" s="2" t="s">
        <v>10</v>
      </c>
      <c r="E17477" s="2" t="str">
        <f>HYPERLINK("http://ts.21cn.com/tousu/show/id/1349289","http://ts.21cn.com/tousu/show/id/1349289")</f>
        <v>http://ts.21cn.com/tousu/show/id/1349289</v>
      </c>
      <c r="F17477" s="2" t="s">
        <v>11</v>
      </c>
      <c r="G17477" s="2" t="s">
        <v>9815</v>
      </c>
      <c r="H17477" s="2" t="s">
        <v>9816</v>
      </c>
    </row>
    <row r="17478" spans="1:8" ht="25.05" customHeight="1" x14ac:dyDescent="0.25">
      <c r="A17478" s="2" t="s">
        <v>8</v>
      </c>
      <c r="B17478" s="2" t="str">
        <f>HYPERLINK("http://ts.21cn.com/tousu/show/id/1349290","唯品会购物降价不补差价")</f>
        <v>唯品会购物降价不补差价</v>
      </c>
      <c r="C17478" s="2" t="s">
        <v>34</v>
      </c>
      <c r="D17478" s="2" t="s">
        <v>10</v>
      </c>
      <c r="E17478" s="2" t="str">
        <f>HYPERLINK("http://ts.21cn.com/tousu/show/id/1349290","http://ts.21cn.com/tousu/show/id/1349290")</f>
        <v>http://ts.21cn.com/tousu/show/id/1349290</v>
      </c>
      <c r="F17478" s="2" t="s">
        <v>11</v>
      </c>
      <c r="G17478" s="2" t="s">
        <v>9813</v>
      </c>
      <c r="H17478" s="2" t="s">
        <v>9814</v>
      </c>
    </row>
    <row r="17479" spans="1:8" ht="25.05" customHeight="1" x14ac:dyDescent="0.25">
      <c r="A17479" s="2" t="s">
        <v>8</v>
      </c>
      <c r="B17479" s="2" t="str">
        <f>HYPERLINK("http://ts.21cn.com/tousu/show/id/1349281","请找靓机退还少给我的国行iPhone7的277元")</f>
        <v>请找靓机退还少给我的国行iPhone7的277元</v>
      </c>
      <c r="C17479" s="2" t="s">
        <v>9</v>
      </c>
      <c r="D17479" s="2" t="s">
        <v>10</v>
      </c>
      <c r="E17479" s="2" t="str">
        <f>HYPERLINK("http://ts.21cn.com/tousu/show/id/1349281","http://ts.21cn.com/tousu/show/id/1349281")</f>
        <v>http://ts.21cn.com/tousu/show/id/1349281</v>
      </c>
      <c r="F17479" s="2" t="s">
        <v>11</v>
      </c>
      <c r="G17479" s="2" t="s">
        <v>9811</v>
      </c>
      <c r="H17479" s="2" t="s">
        <v>9812</v>
      </c>
    </row>
    <row r="17480" spans="1:8" ht="25.05" customHeight="1" x14ac:dyDescent="0.25">
      <c r="A17480" s="2" t="s">
        <v>8</v>
      </c>
      <c r="B17480" s="2" t="str">
        <f>HYPERLINK("http://ts.21cn.com/tousu/show/id/1349292","投诉北京尚德在线教育科技有限公司隐瞒引导套路贷款")</f>
        <v>投诉北京尚德在线教育科技有限公司隐瞒引导套路贷款</v>
      </c>
      <c r="C17480" s="2" t="s">
        <v>9</v>
      </c>
      <c r="D17480" s="2" t="s">
        <v>10</v>
      </c>
      <c r="E17480" s="2" t="str">
        <f>HYPERLINK("http://ts.21cn.com/tousu/show/id/1349292","http://ts.21cn.com/tousu/show/id/1349292")</f>
        <v>http://ts.21cn.com/tousu/show/id/1349292</v>
      </c>
      <c r="F17480" s="2" t="s">
        <v>11</v>
      </c>
      <c r="G17480" s="2" t="s">
        <v>9809</v>
      </c>
      <c r="H17480" s="2" t="s">
        <v>9810</v>
      </c>
    </row>
    <row r="17481" spans="1:8" ht="25.05" customHeight="1" x14ac:dyDescent="0.25">
      <c r="A17481" s="2" t="s">
        <v>8</v>
      </c>
      <c r="B17481" s="2" t="str">
        <f>HYPERLINK("http://ts.21cn.com/tousu/show/id/1349293","无良淘集集平台，无限期拖延货款，不让退店")</f>
        <v>无良淘集集平台，无限期拖延货款，不让退店</v>
      </c>
      <c r="C17481" s="2" t="s">
        <v>9</v>
      </c>
      <c r="D17481" s="2" t="s">
        <v>10</v>
      </c>
      <c r="E17481" s="2" t="str">
        <f>HYPERLINK("http://ts.21cn.com/tousu/show/id/1349293","http://ts.21cn.com/tousu/show/id/1349293")</f>
        <v>http://ts.21cn.com/tousu/show/id/1349293</v>
      </c>
      <c r="F17481" s="2" t="s">
        <v>11</v>
      </c>
      <c r="G17481" s="2" t="s">
        <v>9807</v>
      </c>
      <c r="H17481" s="2" t="s">
        <v>9808</v>
      </c>
    </row>
    <row r="17482" spans="1:8" ht="25.05" customHeight="1" x14ac:dyDescent="0.25">
      <c r="A17482" s="2" t="s">
        <v>8</v>
      </c>
      <c r="B17482" s="2" t="str">
        <f>HYPERLINK("http://ts.21cn.com/tousu/show/id/1349291","立借高利贷，误导借款，阴阳合同")</f>
        <v>立借高利贷，误导借款，阴阳合同</v>
      </c>
      <c r="C17482" s="2" t="s">
        <v>9</v>
      </c>
      <c r="D17482" s="2" t="s">
        <v>10</v>
      </c>
      <c r="E17482" s="2" t="str">
        <f>HYPERLINK("http://ts.21cn.com/tousu/show/id/1349291","http://ts.21cn.com/tousu/show/id/1349291")</f>
        <v>http://ts.21cn.com/tousu/show/id/1349291</v>
      </c>
      <c r="F17482" s="2" t="s">
        <v>11</v>
      </c>
      <c r="G17482" s="2" t="s">
        <v>9805</v>
      </c>
      <c r="H17482" s="2" t="s">
        <v>9806</v>
      </c>
    </row>
    <row r="17483" spans="1:8" ht="25.05" customHeight="1" x14ac:dyDescent="0.25">
      <c r="A17483" s="2" t="s">
        <v>8</v>
      </c>
      <c r="B17483" s="2" t="str">
        <f>HYPERLINK("http://ts.21cn.com/tousu/show/id/1349294","交通信用卡逾期恶意骚扰我的家人同事单位电话")</f>
        <v>交通信用卡逾期恶意骚扰我的家人同事单位电话</v>
      </c>
      <c r="C17483" s="2" t="s">
        <v>9</v>
      </c>
      <c r="D17483" s="2" t="s">
        <v>10</v>
      </c>
      <c r="E17483" s="2" t="str">
        <f>HYPERLINK("http://ts.21cn.com/tousu/show/id/1349294","http://ts.21cn.com/tousu/show/id/1349294")</f>
        <v>http://ts.21cn.com/tousu/show/id/1349294</v>
      </c>
      <c r="F17483" s="2" t="s">
        <v>11</v>
      </c>
      <c r="G17483" s="2" t="s">
        <v>9803</v>
      </c>
      <c r="H17483" s="2" t="s">
        <v>9804</v>
      </c>
    </row>
    <row r="17484" spans="1:8" ht="25.05" customHeight="1" x14ac:dyDescent="0.25">
      <c r="A17484" s="2" t="s">
        <v>8</v>
      </c>
      <c r="B17484" s="2" t="str">
        <f>HYPERLINK("http://ts.21cn.com/tousu/show/id/1349258","威胁，暴力催收，态度恶劣")</f>
        <v>威胁，暴力催收，态度恶劣</v>
      </c>
      <c r="C17484" s="2" t="s">
        <v>9</v>
      </c>
      <c r="D17484" s="2" t="s">
        <v>10</v>
      </c>
      <c r="E17484" s="2" t="str">
        <f>HYPERLINK("http://ts.21cn.com/tousu/show/id/1349258","http://ts.21cn.com/tousu/show/id/1349258")</f>
        <v>http://ts.21cn.com/tousu/show/id/1349258</v>
      </c>
      <c r="F17484" s="2" t="s">
        <v>11</v>
      </c>
      <c r="G17484" s="2" t="s">
        <v>9801</v>
      </c>
      <c r="H17484" s="2" t="s">
        <v>9802</v>
      </c>
    </row>
    <row r="17485" spans="1:8" ht="25.05" customHeight="1" x14ac:dyDescent="0.25">
      <c r="A17485" s="2" t="s">
        <v>8</v>
      </c>
      <c r="B17485" s="2" t="str">
        <f>HYPERLINK("http://ts.21cn.com/tousu/show/id/1349295","申请延期还款")</f>
        <v>申请延期还款</v>
      </c>
      <c r="C17485" s="2" t="s">
        <v>34</v>
      </c>
      <c r="D17485" s="2" t="s">
        <v>10</v>
      </c>
      <c r="E17485" s="2" t="str">
        <f>HYPERLINK("http://ts.21cn.com/tousu/show/id/1349295","http://ts.21cn.com/tousu/show/id/1349295")</f>
        <v>http://ts.21cn.com/tousu/show/id/1349295</v>
      </c>
      <c r="F17485" s="2" t="s">
        <v>11</v>
      </c>
      <c r="G17485" s="2" t="s">
        <v>9799</v>
      </c>
      <c r="H17485" s="2" t="s">
        <v>9800</v>
      </c>
    </row>
    <row r="17486" spans="1:8" ht="25.05" customHeight="1" x14ac:dyDescent="0.25">
      <c r="A17486" s="2" t="s">
        <v>8</v>
      </c>
      <c r="B17486" s="2" t="str">
        <f>HYPERLINK("http://ts.21cn.com/tousu/show/id/1349296","喜鹊快贷平台高利贷！利息瞎收！！")</f>
        <v>喜鹊快贷平台高利贷！利息瞎收！！</v>
      </c>
      <c r="C17486" s="2" t="s">
        <v>9</v>
      </c>
      <c r="D17486" s="2" t="s">
        <v>10</v>
      </c>
      <c r="E17486" s="2" t="str">
        <f>HYPERLINK("http://ts.21cn.com/tousu/show/id/1349296","http://ts.21cn.com/tousu/show/id/1349296")</f>
        <v>http://ts.21cn.com/tousu/show/id/1349296</v>
      </c>
      <c r="F17486" s="2" t="s">
        <v>11</v>
      </c>
      <c r="G17486" s="2" t="s">
        <v>9797</v>
      </c>
      <c r="H17486" s="2" t="s">
        <v>9798</v>
      </c>
    </row>
    <row r="17487" spans="1:8" ht="25.05" customHeight="1" x14ac:dyDescent="0.25">
      <c r="A17487" s="2" t="s">
        <v>8</v>
      </c>
      <c r="B17487" s="2" t="str">
        <f>HYPERLINK("http://ts.21cn.com/tousu/show/id/1349298","360借条暴力催收，恐吓我家人")</f>
        <v>360借条暴力催收，恐吓我家人</v>
      </c>
      <c r="C17487" s="2" t="s">
        <v>9</v>
      </c>
      <c r="D17487" s="2" t="s">
        <v>10</v>
      </c>
      <c r="E17487" s="2" t="str">
        <f>HYPERLINK("http://ts.21cn.com/tousu/show/id/1349298","http://ts.21cn.com/tousu/show/id/1349298")</f>
        <v>http://ts.21cn.com/tousu/show/id/1349298</v>
      </c>
      <c r="F17487" s="2" t="s">
        <v>11</v>
      </c>
      <c r="G17487" s="2" t="s">
        <v>9795</v>
      </c>
      <c r="H17487" s="2" t="s">
        <v>9796</v>
      </c>
    </row>
    <row r="17488" spans="1:8" ht="25.05" customHeight="1" x14ac:dyDescent="0.25">
      <c r="A17488" s="2" t="s">
        <v>8</v>
      </c>
      <c r="B17488" s="2" t="str">
        <f>HYPERLINK("http://ts.21cn.com/tousu/show/id/1349297","你我贷暴力催收不让我工作")</f>
        <v>你我贷暴力催收不让我工作</v>
      </c>
      <c r="C17488" s="2" t="s">
        <v>9</v>
      </c>
      <c r="D17488" s="2" t="s">
        <v>10</v>
      </c>
      <c r="E17488" s="2" t="str">
        <f>HYPERLINK("http://ts.21cn.com/tousu/show/id/1349297","http://ts.21cn.com/tousu/show/id/1349297")</f>
        <v>http://ts.21cn.com/tousu/show/id/1349297</v>
      </c>
      <c r="F17488" s="2" t="s">
        <v>11</v>
      </c>
      <c r="G17488" s="2" t="s">
        <v>9793</v>
      </c>
      <c r="H17488" s="2" t="s">
        <v>9794</v>
      </c>
    </row>
    <row r="17489" spans="1:8" ht="25.05" customHeight="1" x14ac:dyDescent="0.25">
      <c r="A17489" s="2" t="s">
        <v>8</v>
      </c>
      <c r="B17489" s="2" t="str">
        <f>HYPERLINK("http://ts.21cn.com/tousu/show/id/1349299","苏宁消费金融不予以协商，委托第三方平台上班期间辱骂，发侮辱短信")</f>
        <v>苏宁消费金融不予以协商，委托第三方平台上班期间辱骂，发侮辱短信</v>
      </c>
      <c r="C17489" s="2" t="s">
        <v>9</v>
      </c>
      <c r="D17489" s="2" t="s">
        <v>10</v>
      </c>
      <c r="E17489" s="2" t="str">
        <f>HYPERLINK("http://ts.21cn.com/tousu/show/id/1349299","http://ts.21cn.com/tousu/show/id/1349299")</f>
        <v>http://ts.21cn.com/tousu/show/id/1349299</v>
      </c>
      <c r="F17489" s="2" t="s">
        <v>11</v>
      </c>
      <c r="G17489" s="2" t="s">
        <v>9791</v>
      </c>
      <c r="H17489" s="2" t="s">
        <v>9792</v>
      </c>
    </row>
    <row r="17490" spans="1:8" ht="25.05" customHeight="1" x14ac:dyDescent="0.25">
      <c r="A17490" s="2" t="s">
        <v>8</v>
      </c>
      <c r="B17490" s="2" t="str">
        <f>HYPERLINK("http://ts.21cn.com/tousu/show/id/1349300","小浦优客未经同意扣款")</f>
        <v>小浦优客未经同意扣款</v>
      </c>
      <c r="C17490" s="2" t="s">
        <v>9</v>
      </c>
      <c r="D17490" s="2" t="s">
        <v>10</v>
      </c>
      <c r="E17490" s="2" t="str">
        <f>HYPERLINK("http://ts.21cn.com/tousu/show/id/1349300","http://ts.21cn.com/tousu/show/id/1349300")</f>
        <v>http://ts.21cn.com/tousu/show/id/1349300</v>
      </c>
      <c r="F17490" s="2" t="s">
        <v>11</v>
      </c>
      <c r="G17490" s="2" t="s">
        <v>9789</v>
      </c>
      <c r="H17490" s="2" t="s">
        <v>9790</v>
      </c>
    </row>
    <row r="17491" spans="1:8" ht="25.05" customHeight="1" x14ac:dyDescent="0.25">
      <c r="A17491" s="2" t="s">
        <v>8</v>
      </c>
      <c r="B17491" s="2" t="str">
        <f>HYPERLINK("http://ts.21cn.com/tousu/show/id/1349301","现金巴士高利砍头息打通讯录暴力催收")</f>
        <v>现金巴士高利砍头息打通讯录暴力催收</v>
      </c>
      <c r="C17491" s="2" t="s">
        <v>9</v>
      </c>
      <c r="D17491" s="2" t="s">
        <v>10</v>
      </c>
      <c r="E17491" s="2" t="str">
        <f>HYPERLINK("http://ts.21cn.com/tousu/show/id/1349301","http://ts.21cn.com/tousu/show/id/1349301")</f>
        <v>http://ts.21cn.com/tousu/show/id/1349301</v>
      </c>
      <c r="F17491" s="2" t="s">
        <v>11</v>
      </c>
      <c r="G17491" s="2" t="s">
        <v>9787</v>
      </c>
      <c r="H17491" s="2" t="s">
        <v>9788</v>
      </c>
    </row>
    <row r="17492" spans="1:8" ht="25.05" customHeight="1" x14ac:dyDescent="0.25">
      <c r="A17492" s="2" t="s">
        <v>8</v>
      </c>
      <c r="B17492" s="2" t="str">
        <f>HYPERLINK("http://ts.21cn.com/tousu/show/id/1349302","百世汇通丢件已收件人弃件虚假签收")</f>
        <v>百世汇通丢件已收件人弃件虚假签收</v>
      </c>
      <c r="C17492" s="2" t="s">
        <v>9</v>
      </c>
      <c r="D17492" s="2" t="s">
        <v>10</v>
      </c>
      <c r="E17492" s="2" t="str">
        <f>HYPERLINK("http://ts.21cn.com/tousu/show/id/1349302","http://ts.21cn.com/tousu/show/id/1349302")</f>
        <v>http://ts.21cn.com/tousu/show/id/1349302</v>
      </c>
      <c r="F17492" s="2" t="s">
        <v>11</v>
      </c>
      <c r="G17492" s="2" t="s">
        <v>9785</v>
      </c>
      <c r="H17492" s="2" t="s">
        <v>9786</v>
      </c>
    </row>
    <row r="17493" spans="1:8" ht="25.05" customHeight="1" x14ac:dyDescent="0.25">
      <c r="A17493" s="2" t="s">
        <v>8</v>
      </c>
      <c r="B17493" s="2" t="str">
        <f>HYPERLINK("http://ts.21cn.com/tousu/show/id/1349303","聚福钱包恶意扣款")</f>
        <v>聚福钱包恶意扣款</v>
      </c>
      <c r="C17493" s="2" t="s">
        <v>9</v>
      </c>
      <c r="D17493" s="2" t="s">
        <v>10</v>
      </c>
      <c r="E17493" s="2" t="str">
        <f>HYPERLINK("http://ts.21cn.com/tousu/show/id/1349303","http://ts.21cn.com/tousu/show/id/1349303")</f>
        <v>http://ts.21cn.com/tousu/show/id/1349303</v>
      </c>
      <c r="F17493" s="2" t="s">
        <v>11</v>
      </c>
      <c r="G17493" s="2" t="s">
        <v>9783</v>
      </c>
      <c r="H17493" s="2" t="s">
        <v>9784</v>
      </c>
    </row>
    <row r="17494" spans="1:8" ht="25.05" customHeight="1" x14ac:dyDescent="0.25">
      <c r="A17494" s="2" t="s">
        <v>8</v>
      </c>
      <c r="B17494" s="2" t="str">
        <f>HYPERLINK("http://ts.21cn.com/tousu/show/id/1349304","东莞市轻奢维体健身房第二次无缘无故关门，老板跑路")</f>
        <v>东莞市轻奢维体健身房第二次无缘无故关门，老板跑路</v>
      </c>
      <c r="C17494" s="2" t="s">
        <v>9</v>
      </c>
      <c r="D17494" s="2" t="s">
        <v>10</v>
      </c>
      <c r="E17494" s="2" t="str">
        <f>HYPERLINK("http://ts.21cn.com/tousu/show/id/1349304","http://ts.21cn.com/tousu/show/id/1349304")</f>
        <v>http://ts.21cn.com/tousu/show/id/1349304</v>
      </c>
      <c r="F17494" s="2" t="s">
        <v>11</v>
      </c>
      <c r="G17494" s="2" t="s">
        <v>9781</v>
      </c>
      <c r="H17494" s="2" t="s">
        <v>9782</v>
      </c>
    </row>
    <row r="17495" spans="1:8" ht="25.05" customHeight="1" x14ac:dyDescent="0.25">
      <c r="A17495" s="2" t="s">
        <v>8</v>
      </c>
      <c r="B17495" s="2" t="str">
        <f>HYPERLINK("http://ts.21cn.com/tousu/show/id/1349305","小当家砍头息")</f>
        <v>小当家砍头息</v>
      </c>
      <c r="C17495" s="2" t="s">
        <v>9</v>
      </c>
      <c r="D17495" s="2" t="s">
        <v>10</v>
      </c>
      <c r="E17495" s="2" t="str">
        <f>HYPERLINK("http://ts.21cn.com/tousu/show/id/1349305","http://ts.21cn.com/tousu/show/id/1349305")</f>
        <v>http://ts.21cn.com/tousu/show/id/1349305</v>
      </c>
      <c r="F17495" s="2" t="s">
        <v>11</v>
      </c>
      <c r="G17495" s="2" t="s">
        <v>9779</v>
      </c>
      <c r="H17495" s="2" t="s">
        <v>9780</v>
      </c>
    </row>
    <row r="17496" spans="1:8" ht="25.05" customHeight="1" x14ac:dyDescent="0.25">
      <c r="A17496" s="2" t="s">
        <v>8</v>
      </c>
      <c r="B17496" s="2" t="str">
        <f>HYPERLINK("http://ts.21cn.com/tousu/show/id/1349283","东莞市轻奢维体健身房第二次无缘无故关门，老板跑路")</f>
        <v>东莞市轻奢维体健身房第二次无缘无故关门，老板跑路</v>
      </c>
      <c r="C17496" s="2" t="s">
        <v>9</v>
      </c>
      <c r="D17496" s="2" t="s">
        <v>10</v>
      </c>
      <c r="E17496" s="2" t="str">
        <f>HYPERLINK("http://ts.21cn.com/tousu/show/id/1349283","http://ts.21cn.com/tousu/show/id/1349283")</f>
        <v>http://ts.21cn.com/tousu/show/id/1349283</v>
      </c>
      <c r="F17496" s="2" t="s">
        <v>11</v>
      </c>
      <c r="G17496" s="2" t="s">
        <v>9777</v>
      </c>
      <c r="H17496" s="2" t="s">
        <v>9778</v>
      </c>
    </row>
    <row r="17497" spans="1:8" ht="25.05" customHeight="1" x14ac:dyDescent="0.25">
      <c r="A17497" s="2" t="s">
        <v>8</v>
      </c>
      <c r="B17497" s="2" t="str">
        <f>HYPERLINK("http://ts.21cn.com/tousu/show/id/1349306","友信普惠高利贷高额服务费爆通讯录")</f>
        <v>友信普惠高利贷高额服务费爆通讯录</v>
      </c>
      <c r="C17497" s="2" t="s">
        <v>9</v>
      </c>
      <c r="D17497" s="2" t="s">
        <v>10</v>
      </c>
      <c r="E17497" s="2" t="str">
        <f>HYPERLINK("http://ts.21cn.com/tousu/show/id/1349306","http://ts.21cn.com/tousu/show/id/1349306")</f>
        <v>http://ts.21cn.com/tousu/show/id/1349306</v>
      </c>
      <c r="F17497" s="2" t="s">
        <v>11</v>
      </c>
      <c r="G17497" s="2" t="s">
        <v>9775</v>
      </c>
      <c r="H17497" s="2" t="s">
        <v>9776</v>
      </c>
    </row>
    <row r="17498" spans="1:8" ht="25.05" customHeight="1" x14ac:dyDescent="0.25">
      <c r="A17498" s="2" t="s">
        <v>8</v>
      </c>
      <c r="B17498" s="2" t="str">
        <f>HYPERLINK("http://ts.21cn.com/tousu/show/id/1349307","维信卡卡贷一天收100块所谓扣款失败违约金")</f>
        <v>维信卡卡贷一天收100块所谓扣款失败违约金</v>
      </c>
      <c r="C17498" s="2" t="s">
        <v>9</v>
      </c>
      <c r="D17498" s="2" t="s">
        <v>10</v>
      </c>
      <c r="E17498" s="2" t="str">
        <f>HYPERLINK("http://ts.21cn.com/tousu/show/id/1349307","http://ts.21cn.com/tousu/show/id/1349307")</f>
        <v>http://ts.21cn.com/tousu/show/id/1349307</v>
      </c>
      <c r="F17498" s="2" t="s">
        <v>11</v>
      </c>
      <c r="G17498" s="2" t="s">
        <v>9773</v>
      </c>
      <c r="H17498" s="2" t="s">
        <v>9774</v>
      </c>
    </row>
    <row r="17499" spans="1:8" ht="25.05" customHeight="1" x14ac:dyDescent="0.25">
      <c r="A17499" s="2" t="s">
        <v>8</v>
      </c>
      <c r="B17499" s="2" t="str">
        <f>HYPERLINK("http://ts.21cn.com/tousu/show/id/1349308","工行信用卡外包迪扬律师事务所暴力催收，骚扰联系人")</f>
        <v>工行信用卡外包迪扬律师事务所暴力催收，骚扰联系人</v>
      </c>
      <c r="C17499" s="2" t="s">
        <v>9</v>
      </c>
      <c r="D17499" s="2" t="s">
        <v>10</v>
      </c>
      <c r="E17499" s="2" t="str">
        <f>HYPERLINK("http://ts.21cn.com/tousu/show/id/1349308","http://ts.21cn.com/tousu/show/id/1349308")</f>
        <v>http://ts.21cn.com/tousu/show/id/1349308</v>
      </c>
      <c r="F17499" s="2" t="s">
        <v>11</v>
      </c>
      <c r="G17499" s="2" t="s">
        <v>9771</v>
      </c>
      <c r="H17499" s="2" t="s">
        <v>9772</v>
      </c>
    </row>
    <row r="17500" spans="1:8" ht="25.05" customHeight="1" x14ac:dyDescent="0.25">
      <c r="A17500" s="2" t="s">
        <v>8</v>
      </c>
      <c r="B17500" s="2" t="str">
        <f>HYPERLINK("http://ts.21cn.com/tousu/show/id/1349309","悦程出行机场误导办卡，请求退卡")</f>
        <v>悦程出行机场误导办卡，请求退卡</v>
      </c>
      <c r="C17500" s="2" t="s">
        <v>9</v>
      </c>
      <c r="D17500" s="2" t="s">
        <v>10</v>
      </c>
      <c r="E17500" s="2" t="str">
        <f>HYPERLINK("http://ts.21cn.com/tousu/show/id/1349309","http://ts.21cn.com/tousu/show/id/1349309")</f>
        <v>http://ts.21cn.com/tousu/show/id/1349309</v>
      </c>
      <c r="F17500" s="2" t="s">
        <v>11</v>
      </c>
      <c r="G17500" s="2" t="s">
        <v>9769</v>
      </c>
      <c r="H17500" s="2" t="s">
        <v>9770</v>
      </c>
    </row>
    <row r="17501" spans="1:8" ht="25.05" customHeight="1" x14ac:dyDescent="0.25">
      <c r="A17501" s="2" t="s">
        <v>8</v>
      </c>
      <c r="B17501" s="2" t="str">
        <f>HYPERLINK("http://ts.21cn.com/tousu/show/id/1349310","不仅不收手还继续这样的发短信和电话骚扰")</f>
        <v>不仅不收手还继续这样的发短信和电话骚扰</v>
      </c>
      <c r="C17501" s="2" t="s">
        <v>9</v>
      </c>
      <c r="D17501" s="2" t="s">
        <v>10</v>
      </c>
      <c r="E17501" s="2" t="str">
        <f>HYPERLINK("http://ts.21cn.com/tousu/show/id/1349310","http://ts.21cn.com/tousu/show/id/1349310")</f>
        <v>http://ts.21cn.com/tousu/show/id/1349310</v>
      </c>
      <c r="F17501" s="2" t="s">
        <v>11</v>
      </c>
      <c r="G17501" s="2" t="s">
        <v>9767</v>
      </c>
      <c r="H17501" s="2" t="s">
        <v>9768</v>
      </c>
    </row>
    <row r="17502" spans="1:8" ht="25.05" customHeight="1" x14ac:dyDescent="0.25">
      <c r="A17502" s="2" t="s">
        <v>8</v>
      </c>
      <c r="B17502" s="2" t="str">
        <f>HYPERLINK("http://ts.21cn.com/tousu/show/id/1349313","遭到电话恶意骚扰，多次在中国移动投诉无果，要求中国移动立马把骚扰电话拉入黑名单并暂停该号码的使用")</f>
        <v>遭到电话恶意骚扰，多次在中国移动投诉无果，要求中国移动立马把骚扰电话拉入黑名单并暂停该号码的使用</v>
      </c>
      <c r="C17502" s="2" t="s">
        <v>9</v>
      </c>
      <c r="D17502" s="2" t="s">
        <v>10</v>
      </c>
      <c r="E17502" s="2" t="str">
        <f>HYPERLINK("http://ts.21cn.com/tousu/show/id/1349313","http://ts.21cn.com/tousu/show/id/1349313")</f>
        <v>http://ts.21cn.com/tousu/show/id/1349313</v>
      </c>
      <c r="F17502" s="2" t="s">
        <v>11</v>
      </c>
      <c r="G17502" s="2" t="s">
        <v>9765</v>
      </c>
      <c r="H17502" s="2" t="s">
        <v>9766</v>
      </c>
    </row>
    <row r="17503" spans="1:8" ht="25.05" customHeight="1" x14ac:dyDescent="0.25">
      <c r="A17503" s="2" t="s">
        <v>8</v>
      </c>
      <c r="B17503" s="2" t="str">
        <f>HYPERLINK("http://ts.21cn.com/tousu/show/id/1349314","贷上钱以买游戏豆为由收取高额贷款通过费")</f>
        <v>贷上钱以买游戏豆为由收取高额贷款通过费</v>
      </c>
      <c r="C17503" s="2" t="s">
        <v>34</v>
      </c>
      <c r="D17503" s="2" t="s">
        <v>10</v>
      </c>
      <c r="E17503" s="2" t="str">
        <f>HYPERLINK("http://ts.21cn.com/tousu/show/id/1349314","http://ts.21cn.com/tousu/show/id/1349314")</f>
        <v>http://ts.21cn.com/tousu/show/id/1349314</v>
      </c>
      <c r="F17503" s="2" t="s">
        <v>11</v>
      </c>
      <c r="G17503" s="2" t="s">
        <v>9763</v>
      </c>
      <c r="H17503" s="2" t="s">
        <v>9764</v>
      </c>
    </row>
    <row r="17504" spans="1:8" ht="25.05" customHeight="1" x14ac:dyDescent="0.25">
      <c r="A17504" s="2" t="s">
        <v>8</v>
      </c>
      <c r="B17504" s="2" t="str">
        <f>HYPERLINK("http://ts.21cn.com/tousu/show/id/1349316","暴力催收言语侮辱")</f>
        <v>暴力催收言语侮辱</v>
      </c>
      <c r="C17504" s="2" t="s">
        <v>9</v>
      </c>
      <c r="D17504" s="2" t="s">
        <v>10</v>
      </c>
      <c r="E17504" s="2" t="str">
        <f>HYPERLINK("http://ts.21cn.com/tousu/show/id/1349316","http://ts.21cn.com/tousu/show/id/1349316")</f>
        <v>http://ts.21cn.com/tousu/show/id/1349316</v>
      </c>
      <c r="F17504" s="2" t="s">
        <v>11</v>
      </c>
      <c r="G17504" s="2" t="s">
        <v>9761</v>
      </c>
      <c r="H17504" s="2" t="s">
        <v>9762</v>
      </c>
    </row>
    <row r="17505" spans="1:8" ht="25.05" customHeight="1" x14ac:dyDescent="0.25">
      <c r="A17505" s="2" t="s">
        <v>8</v>
      </c>
      <c r="B17505" s="2" t="str">
        <f>HYPERLINK("http://ts.21cn.com/tousu/show/id/1349317","现金巴士高额利息，砍头息")</f>
        <v>现金巴士高额利息，砍头息</v>
      </c>
      <c r="C17505" s="2" t="s">
        <v>9</v>
      </c>
      <c r="D17505" s="2" t="s">
        <v>10</v>
      </c>
      <c r="E17505" s="2" t="str">
        <f>HYPERLINK("http://ts.21cn.com/tousu/show/id/1349317","http://ts.21cn.com/tousu/show/id/1349317")</f>
        <v>http://ts.21cn.com/tousu/show/id/1349317</v>
      </c>
      <c r="F17505" s="2" t="s">
        <v>11</v>
      </c>
      <c r="G17505" s="2" t="s">
        <v>9759</v>
      </c>
      <c r="H17505" s="2" t="s">
        <v>9760</v>
      </c>
    </row>
    <row r="17506" spans="1:8" ht="25.05" customHeight="1" x14ac:dyDescent="0.25">
      <c r="A17506" s="2" t="s">
        <v>8</v>
      </c>
      <c r="B17506" s="2" t="str">
        <f>HYPERLINK("http://ts.21cn.com/tousu/show/id/1349311","交通银行暴力催收，信用卡逾期原因已明确告知，并标明愿意协商。不同意且对家属，以及村委会致电骚扰")</f>
        <v>交通银行暴力催收，信用卡逾期原因已明确告知，并标明愿意协商。不同意且对家属，以及村委会致电骚扰</v>
      </c>
      <c r="C17506" s="2" t="s">
        <v>9</v>
      </c>
      <c r="D17506" s="2" t="s">
        <v>10</v>
      </c>
      <c r="E17506" s="2" t="str">
        <f>HYPERLINK("http://ts.21cn.com/tousu/show/id/1349311","http://ts.21cn.com/tousu/show/id/1349311")</f>
        <v>http://ts.21cn.com/tousu/show/id/1349311</v>
      </c>
      <c r="F17506" s="2" t="s">
        <v>11</v>
      </c>
      <c r="G17506" s="2" t="s">
        <v>9757</v>
      </c>
      <c r="H17506" s="2" t="s">
        <v>9758</v>
      </c>
    </row>
    <row r="17507" spans="1:8" ht="25.05" customHeight="1" x14ac:dyDescent="0.25">
      <c r="A17507" s="2" t="s">
        <v>8</v>
      </c>
      <c r="B17507" s="2" t="str">
        <f>HYPERLINK("http://ts.21cn.com/tousu/show/id/1349318","分期乐平台暴力催收恶意骚扰我联系人")</f>
        <v>分期乐平台暴力催收恶意骚扰我联系人</v>
      </c>
      <c r="C17507" s="2" t="s">
        <v>9</v>
      </c>
      <c r="D17507" s="2" t="s">
        <v>10</v>
      </c>
      <c r="E17507" s="2" t="str">
        <f>HYPERLINK("http://ts.21cn.com/tousu/show/id/1349318","http://ts.21cn.com/tousu/show/id/1349318")</f>
        <v>http://ts.21cn.com/tousu/show/id/1349318</v>
      </c>
      <c r="F17507" s="2" t="s">
        <v>11</v>
      </c>
      <c r="G17507" s="2" t="s">
        <v>9755</v>
      </c>
      <c r="H17507" s="2" t="s">
        <v>9756</v>
      </c>
    </row>
    <row r="17508" spans="1:8" ht="25.05" customHeight="1" x14ac:dyDescent="0.25">
      <c r="A17508" s="2" t="s">
        <v>8</v>
      </c>
      <c r="B17508" s="2" t="str">
        <f>HYPERLINK("http://ts.21cn.com/tousu/show/id/1349319","顺路直递不退押金")</f>
        <v>顺路直递不退押金</v>
      </c>
      <c r="C17508" s="2" t="s">
        <v>9</v>
      </c>
      <c r="D17508" s="2" t="s">
        <v>10</v>
      </c>
      <c r="E17508" s="2" t="str">
        <f>HYPERLINK("http://ts.21cn.com/tousu/show/id/1349319","http://ts.21cn.com/tousu/show/id/1349319")</f>
        <v>http://ts.21cn.com/tousu/show/id/1349319</v>
      </c>
      <c r="F17508" s="2" t="s">
        <v>11</v>
      </c>
      <c r="G17508" s="2" t="s">
        <v>9753</v>
      </c>
      <c r="H17508" s="2" t="s">
        <v>9754</v>
      </c>
    </row>
    <row r="17509" spans="1:8" ht="25.05" customHeight="1" x14ac:dyDescent="0.25">
      <c r="A17509" s="2" t="s">
        <v>8</v>
      </c>
      <c r="B17509" s="2" t="str">
        <f>HYPERLINK("http://ts.21cn.com/tousu/show/id/1349320","服务费太高")</f>
        <v>服务费太高</v>
      </c>
      <c r="C17509" s="2" t="s">
        <v>9</v>
      </c>
      <c r="D17509" s="2" t="s">
        <v>10</v>
      </c>
      <c r="E17509" s="2" t="str">
        <f>HYPERLINK("http://ts.21cn.com/tousu/show/id/1349320","http://ts.21cn.com/tousu/show/id/1349320")</f>
        <v>http://ts.21cn.com/tousu/show/id/1349320</v>
      </c>
      <c r="F17509" s="2" t="s">
        <v>11</v>
      </c>
      <c r="G17509" s="2" t="s">
        <v>9751</v>
      </c>
      <c r="H17509" s="2" t="s">
        <v>9752</v>
      </c>
    </row>
    <row r="17510" spans="1:8" ht="25.05" customHeight="1" x14ac:dyDescent="0.25">
      <c r="A17510" s="2" t="s">
        <v>8</v>
      </c>
      <c r="B17510" s="2" t="str">
        <f>HYPERLINK("http://ts.21cn.com/tousu/show/id/1349321","投诉ofo小黄车退款已经拖延一年了")</f>
        <v>投诉ofo小黄车退款已经拖延一年了</v>
      </c>
      <c r="C17510" s="2" t="s">
        <v>9</v>
      </c>
      <c r="D17510" s="2" t="s">
        <v>10</v>
      </c>
      <c r="E17510" s="2" t="str">
        <f>HYPERLINK("http://ts.21cn.com/tousu/show/id/1349321","http://ts.21cn.com/tousu/show/id/1349321")</f>
        <v>http://ts.21cn.com/tousu/show/id/1349321</v>
      </c>
      <c r="F17510" s="2" t="s">
        <v>11</v>
      </c>
      <c r="G17510" s="2" t="s">
        <v>9749</v>
      </c>
      <c r="H17510" s="2" t="s">
        <v>9750</v>
      </c>
    </row>
    <row r="17511" spans="1:8" ht="25.05" customHeight="1" x14ac:dyDescent="0.25">
      <c r="A17511" s="2" t="s">
        <v>8</v>
      </c>
      <c r="B17511" s="2" t="str">
        <f>HYPERLINK("http://ts.21cn.com/tousu/show/id/1349322","平安i贷不当催收")</f>
        <v>平安i贷不当催收</v>
      </c>
      <c r="C17511" s="2" t="s">
        <v>34</v>
      </c>
      <c r="D17511" s="2" t="s">
        <v>10</v>
      </c>
      <c r="E17511" s="2" t="str">
        <f>HYPERLINK("http://ts.21cn.com/tousu/show/id/1349322","http://ts.21cn.com/tousu/show/id/1349322")</f>
        <v>http://ts.21cn.com/tousu/show/id/1349322</v>
      </c>
      <c r="F17511" s="2" t="s">
        <v>11</v>
      </c>
      <c r="G17511" s="2" t="s">
        <v>9747</v>
      </c>
      <c r="H17511" s="2" t="s">
        <v>9748</v>
      </c>
    </row>
    <row r="17512" spans="1:8" ht="25.05" customHeight="1" x14ac:dyDescent="0.25">
      <c r="A17512" s="2" t="s">
        <v>8</v>
      </c>
      <c r="B17512" s="2" t="str">
        <f>HYPERLINK("http://ts.21cn.com/tousu/show/id/1349323","关于私自扣款问题")</f>
        <v>关于私自扣款问题</v>
      </c>
      <c r="C17512" s="2" t="s">
        <v>9</v>
      </c>
      <c r="D17512" s="2" t="s">
        <v>10</v>
      </c>
      <c r="E17512" s="2" t="str">
        <f>HYPERLINK("http://ts.21cn.com/tousu/show/id/1349323","http://ts.21cn.com/tousu/show/id/1349323")</f>
        <v>http://ts.21cn.com/tousu/show/id/1349323</v>
      </c>
      <c r="F17512" s="2" t="s">
        <v>11</v>
      </c>
      <c r="G17512" s="2" t="s">
        <v>9745</v>
      </c>
      <c r="H17512" s="2" t="s">
        <v>9746</v>
      </c>
    </row>
    <row r="17513" spans="1:8" ht="25.05" customHeight="1" x14ac:dyDescent="0.25">
      <c r="A17513" s="2" t="s">
        <v>8</v>
      </c>
      <c r="B17513" s="2" t="str">
        <f>HYPERLINK("http://ts.21cn.com/tousu/show/id/1349324","现金速递协商还款")</f>
        <v>现金速递协商还款</v>
      </c>
      <c r="C17513" s="2" t="s">
        <v>34</v>
      </c>
      <c r="D17513" s="2" t="s">
        <v>10</v>
      </c>
      <c r="E17513" s="2" t="str">
        <f>HYPERLINK("http://ts.21cn.com/tousu/show/id/1349324","http://ts.21cn.com/tousu/show/id/1349324")</f>
        <v>http://ts.21cn.com/tousu/show/id/1349324</v>
      </c>
      <c r="F17513" s="2" t="s">
        <v>11</v>
      </c>
      <c r="G17513" s="2" t="s">
        <v>9743</v>
      </c>
      <c r="H17513" s="2" t="s">
        <v>9744</v>
      </c>
    </row>
    <row r="17514" spans="1:8" ht="25.05" customHeight="1" x14ac:dyDescent="0.25">
      <c r="A17514" s="2" t="s">
        <v>8</v>
      </c>
      <c r="B17514" s="2" t="str">
        <f>HYPERLINK("http://ts.21cn.com/tousu/show/id/1349325","要求安徽中融法律服务有限公司立即停止对本人通讯录的骚扰")</f>
        <v>要求安徽中融法律服务有限公司立即停止对本人通讯录的骚扰</v>
      </c>
      <c r="C17514" s="2" t="s">
        <v>9</v>
      </c>
      <c r="D17514" s="2" t="s">
        <v>10</v>
      </c>
      <c r="E17514" s="2" t="str">
        <f>HYPERLINK("http://ts.21cn.com/tousu/show/id/1349325","http://ts.21cn.com/tousu/show/id/1349325")</f>
        <v>http://ts.21cn.com/tousu/show/id/1349325</v>
      </c>
      <c r="F17514" s="2" t="s">
        <v>11</v>
      </c>
      <c r="G17514" s="2" t="s">
        <v>9741</v>
      </c>
      <c r="H17514" s="2" t="s">
        <v>9742</v>
      </c>
    </row>
    <row r="17515" spans="1:8" ht="25.05" customHeight="1" x14ac:dyDescent="0.25">
      <c r="A17515" s="2" t="s">
        <v>8</v>
      </c>
      <c r="B17515" s="2" t="str">
        <f>HYPERLINK("http://ts.21cn.com/tousu/show/id/1349326","你我贷暴力催收，无法协商，高利贷")</f>
        <v>你我贷暴力催收，无法协商，高利贷</v>
      </c>
      <c r="C17515" s="2" t="s">
        <v>9</v>
      </c>
      <c r="D17515" s="2" t="s">
        <v>10</v>
      </c>
      <c r="E17515" s="2" t="str">
        <f>HYPERLINK("http://ts.21cn.com/tousu/show/id/1349326","http://ts.21cn.com/tousu/show/id/1349326")</f>
        <v>http://ts.21cn.com/tousu/show/id/1349326</v>
      </c>
      <c r="F17515" s="2" t="s">
        <v>11</v>
      </c>
      <c r="G17515" s="2" t="s">
        <v>9739</v>
      </c>
      <c r="H17515" s="2" t="s">
        <v>9740</v>
      </c>
    </row>
    <row r="17516" spans="1:8" ht="25.05" customHeight="1" x14ac:dyDescent="0.25">
      <c r="A17516" s="2" t="s">
        <v>8</v>
      </c>
      <c r="B17516" s="2" t="str">
        <f>HYPERLINK("http://ts.21cn.com/tousu/show/id/1349327","骚扰家人与朋友")</f>
        <v>骚扰家人与朋友</v>
      </c>
      <c r="C17516" s="2" t="s">
        <v>9</v>
      </c>
      <c r="D17516" s="2" t="s">
        <v>10</v>
      </c>
      <c r="E17516" s="2" t="str">
        <f>HYPERLINK("http://ts.21cn.com/tousu/show/id/1349327","http://ts.21cn.com/tousu/show/id/1349327")</f>
        <v>http://ts.21cn.com/tousu/show/id/1349327</v>
      </c>
      <c r="F17516" s="2" t="s">
        <v>11</v>
      </c>
      <c r="G17516" s="2" t="s">
        <v>9737</v>
      </c>
      <c r="H17516" s="2" t="s">
        <v>9738</v>
      </c>
    </row>
    <row r="17517" spans="1:8" ht="25.05" customHeight="1" x14ac:dyDescent="0.25">
      <c r="A17517" s="2" t="s">
        <v>8</v>
      </c>
      <c r="B17517" s="2" t="str">
        <f>HYPERLINK("http://ts.21cn.com/tousu/show/id/1349328","投诉转转优品，坑人平台，有问题不让退，虚假宣传")</f>
        <v>投诉转转优品，坑人平台，有问题不让退，虚假宣传</v>
      </c>
      <c r="C17517" s="2" t="s">
        <v>9</v>
      </c>
      <c r="D17517" s="2" t="s">
        <v>10</v>
      </c>
      <c r="E17517" s="2" t="str">
        <f>HYPERLINK("http://ts.21cn.com/tousu/show/id/1349328","http://ts.21cn.com/tousu/show/id/1349328")</f>
        <v>http://ts.21cn.com/tousu/show/id/1349328</v>
      </c>
      <c r="F17517" s="2" t="s">
        <v>11</v>
      </c>
      <c r="G17517" s="2" t="s">
        <v>9734</v>
      </c>
      <c r="H17517" s="2" t="s">
        <v>9735</v>
      </c>
    </row>
    <row r="17518" spans="1:8" ht="25.05" customHeight="1" x14ac:dyDescent="0.25">
      <c r="A17518" s="2" t="s">
        <v>8</v>
      </c>
      <c r="B17518" s="2" t="str">
        <f>HYPERLINK("http://ts.21cn.com/tousu/show/id/1349329","充值资金无法用车，要求退款！！！")</f>
        <v>充值资金无法用车，要求退款！！！</v>
      </c>
      <c r="C17518" s="2" t="s">
        <v>9</v>
      </c>
      <c r="D17518" s="2" t="s">
        <v>10</v>
      </c>
      <c r="E17518" s="2" t="str">
        <f>HYPERLINK("http://ts.21cn.com/tousu/show/id/1349329","http://ts.21cn.com/tousu/show/id/1349329")</f>
        <v>http://ts.21cn.com/tousu/show/id/1349329</v>
      </c>
      <c r="F17518" s="2" t="s">
        <v>11</v>
      </c>
      <c r="G17518" s="2" t="s">
        <v>9734</v>
      </c>
      <c r="H17518" s="2" t="s">
        <v>9736</v>
      </c>
    </row>
    <row r="17519" spans="1:8" ht="25.05" customHeight="1" x14ac:dyDescent="0.25">
      <c r="A17519" s="2" t="s">
        <v>8</v>
      </c>
      <c r="B17519" s="2" t="str">
        <f>HYPERLINK("http://ts.21cn.com/tousu/show/id/1349333","我来贷变相收取高额催收费")</f>
        <v>我来贷变相收取高额催收费</v>
      </c>
      <c r="C17519" s="2" t="s">
        <v>9</v>
      </c>
      <c r="D17519" s="2" t="s">
        <v>10</v>
      </c>
      <c r="E17519" s="2" t="str">
        <f>HYPERLINK("http://ts.21cn.com/tousu/show/id/1349333","http://ts.21cn.com/tousu/show/id/1349333")</f>
        <v>http://ts.21cn.com/tousu/show/id/1349333</v>
      </c>
      <c r="F17519" s="2" t="s">
        <v>11</v>
      </c>
      <c r="G17519" s="2" t="s">
        <v>9732</v>
      </c>
      <c r="H17519" s="2" t="s">
        <v>9733</v>
      </c>
    </row>
    <row r="17520" spans="1:8" ht="25.05" customHeight="1" x14ac:dyDescent="0.25">
      <c r="A17520" s="2" t="s">
        <v>8</v>
      </c>
      <c r="B17520" s="2" t="str">
        <f>HYPERLINK("http://ts.21cn.com/tousu/show/id/1349332","蟹老弟处理不当")</f>
        <v>蟹老弟处理不当</v>
      </c>
      <c r="C17520" s="2" t="s">
        <v>9</v>
      </c>
      <c r="D17520" s="2" t="s">
        <v>10</v>
      </c>
      <c r="E17520" s="2" t="str">
        <f>HYPERLINK("http://ts.21cn.com/tousu/show/id/1349332","http://ts.21cn.com/tousu/show/id/1349332")</f>
        <v>http://ts.21cn.com/tousu/show/id/1349332</v>
      </c>
      <c r="F17520" s="2" t="s">
        <v>11</v>
      </c>
      <c r="G17520" s="2" t="s">
        <v>9730</v>
      </c>
      <c r="H17520" s="2" t="s">
        <v>9731</v>
      </c>
    </row>
    <row r="17521" spans="1:8" ht="25.05" customHeight="1" x14ac:dyDescent="0.25">
      <c r="A17521" s="2" t="s">
        <v>8</v>
      </c>
      <c r="B17521" s="2" t="str">
        <f>HYPERLINK("http://ts.21cn.com/tousu/show/id/1349334","威胁")</f>
        <v>威胁</v>
      </c>
      <c r="C17521" s="2" t="s">
        <v>9</v>
      </c>
      <c r="D17521" s="2" t="s">
        <v>10</v>
      </c>
      <c r="E17521" s="2" t="str">
        <f>HYPERLINK("http://ts.21cn.com/tousu/show/id/1349334","http://ts.21cn.com/tousu/show/id/1349334")</f>
        <v>http://ts.21cn.com/tousu/show/id/1349334</v>
      </c>
      <c r="F17521" s="2" t="s">
        <v>11</v>
      </c>
      <c r="G17521" s="2" t="s">
        <v>9728</v>
      </c>
      <c r="H17521" s="2" t="s">
        <v>9729</v>
      </c>
    </row>
    <row r="17522" spans="1:8" ht="25.05" customHeight="1" x14ac:dyDescent="0.25">
      <c r="A17522" s="2" t="s">
        <v>8</v>
      </c>
      <c r="B17522" s="2" t="str">
        <f>HYPERLINK("http://ts.21cn.com/tousu/show/id/1349335","威胁恐吓暴力催收骚扰，盗取搜集信息资料，年化率是国家两倍")</f>
        <v>威胁恐吓暴力催收骚扰，盗取搜集信息资料，年化率是国家两倍</v>
      </c>
      <c r="C17522" s="2" t="s">
        <v>9</v>
      </c>
      <c r="D17522" s="2" t="s">
        <v>10</v>
      </c>
      <c r="E17522" s="2" t="str">
        <f>HYPERLINK("http://ts.21cn.com/tousu/show/id/1349335","http://ts.21cn.com/tousu/show/id/1349335")</f>
        <v>http://ts.21cn.com/tousu/show/id/1349335</v>
      </c>
      <c r="F17522" s="2" t="s">
        <v>11</v>
      </c>
      <c r="G17522" s="2" t="s">
        <v>9726</v>
      </c>
      <c r="H17522" s="2" t="s">
        <v>9727</v>
      </c>
    </row>
    <row r="17523" spans="1:8" ht="25.05" customHeight="1" x14ac:dyDescent="0.25">
      <c r="A17523" s="2" t="s">
        <v>8</v>
      </c>
      <c r="B17523" s="2" t="str">
        <f>HYPERLINK("http://ts.21cn.com/tousu/show/id/1349336","已经协商好还款还爆我通讯录")</f>
        <v>已经协商好还款还爆我通讯录</v>
      </c>
      <c r="C17523" s="2" t="s">
        <v>34</v>
      </c>
      <c r="D17523" s="2" t="s">
        <v>10</v>
      </c>
      <c r="E17523" s="2" t="str">
        <f>HYPERLINK("http://ts.21cn.com/tousu/show/id/1349336","http://ts.21cn.com/tousu/show/id/1349336")</f>
        <v>http://ts.21cn.com/tousu/show/id/1349336</v>
      </c>
      <c r="F17523" s="2" t="s">
        <v>11</v>
      </c>
      <c r="G17523" s="2" t="s">
        <v>9724</v>
      </c>
      <c r="H17523" s="2" t="s">
        <v>9725</v>
      </c>
    </row>
    <row r="17524" spans="1:8" ht="25.05" customHeight="1" x14ac:dyDescent="0.25">
      <c r="A17524" s="2" t="s">
        <v>8</v>
      </c>
      <c r="B17524" s="2" t="str">
        <f>HYPERLINK("http://ts.21cn.com/tousu/show/id/1349338","米多点阴阳合同")</f>
        <v>米多点阴阳合同</v>
      </c>
      <c r="C17524" s="2" t="s">
        <v>9</v>
      </c>
      <c r="D17524" s="2" t="s">
        <v>10</v>
      </c>
      <c r="E17524" s="2" t="str">
        <f>HYPERLINK("http://ts.21cn.com/tousu/show/id/1349338","http://ts.21cn.com/tousu/show/id/1349338")</f>
        <v>http://ts.21cn.com/tousu/show/id/1349338</v>
      </c>
      <c r="F17524" s="2" t="s">
        <v>11</v>
      </c>
      <c r="G17524" s="2" t="s">
        <v>9722</v>
      </c>
      <c r="H17524" s="2" t="s">
        <v>9723</v>
      </c>
    </row>
    <row r="17525" spans="1:8" ht="25.05" customHeight="1" x14ac:dyDescent="0.25">
      <c r="A17525" s="2" t="s">
        <v>8</v>
      </c>
      <c r="B17525" s="2" t="str">
        <f>HYPERLINK("http://ts.21cn.com/tousu/show/id/1349337","贷上钱还款利息费太高")</f>
        <v>贷上钱还款利息费太高</v>
      </c>
      <c r="C17525" s="2" t="s">
        <v>34</v>
      </c>
      <c r="D17525" s="2" t="s">
        <v>10</v>
      </c>
      <c r="E17525" s="2" t="str">
        <f>HYPERLINK("http://ts.21cn.com/tousu/show/id/1349337","http://ts.21cn.com/tousu/show/id/1349337")</f>
        <v>http://ts.21cn.com/tousu/show/id/1349337</v>
      </c>
      <c r="F17525" s="2" t="s">
        <v>11</v>
      </c>
      <c r="G17525" s="2" t="s">
        <v>9720</v>
      </c>
      <c r="H17525" s="2" t="s">
        <v>9721</v>
      </c>
    </row>
    <row r="17526" spans="1:8" ht="25.05" customHeight="1" x14ac:dyDescent="0.25">
      <c r="A17526" s="2" t="s">
        <v>8</v>
      </c>
      <c r="B17526" s="2" t="str">
        <f>HYPERLINK("http://ts.21cn.com/tousu/show/id/1349339","桔子分期电话辱骂，威胁要上门")</f>
        <v>桔子分期电话辱骂，威胁要上门</v>
      </c>
      <c r="C17526" s="2" t="s">
        <v>9</v>
      </c>
      <c r="D17526" s="2" t="s">
        <v>10</v>
      </c>
      <c r="E17526" s="2" t="str">
        <f>HYPERLINK("http://ts.21cn.com/tousu/show/id/1349339","http://ts.21cn.com/tousu/show/id/1349339")</f>
        <v>http://ts.21cn.com/tousu/show/id/1349339</v>
      </c>
      <c r="F17526" s="2" t="s">
        <v>11</v>
      </c>
      <c r="G17526" s="2" t="s">
        <v>9718</v>
      </c>
      <c r="H17526" s="2" t="s">
        <v>9719</v>
      </c>
    </row>
    <row r="17527" spans="1:8" ht="25.05" customHeight="1" x14ac:dyDescent="0.25">
      <c r="A17527" s="2" t="s">
        <v>8</v>
      </c>
      <c r="B17527" s="2" t="str">
        <f>HYPERLINK("http://ts.21cn.com/tousu/show/id/1349341","航天电子支付提供非法支付通道，造成损失")</f>
        <v>航天电子支付提供非法支付通道，造成损失</v>
      </c>
      <c r="C17527" s="2" t="s">
        <v>9</v>
      </c>
      <c r="D17527" s="2" t="s">
        <v>10</v>
      </c>
      <c r="E17527" s="2" t="str">
        <f>HYPERLINK("http://ts.21cn.com/tousu/show/id/1349341","http://ts.21cn.com/tousu/show/id/1349341")</f>
        <v>http://ts.21cn.com/tousu/show/id/1349341</v>
      </c>
      <c r="F17527" s="2" t="s">
        <v>11</v>
      </c>
      <c r="G17527" s="2" t="s">
        <v>9716</v>
      </c>
      <c r="H17527" s="2" t="s">
        <v>9717</v>
      </c>
    </row>
    <row r="17528" spans="1:8" ht="25.05" customHeight="1" x14ac:dyDescent="0.25">
      <c r="A17528" s="2" t="s">
        <v>8</v>
      </c>
      <c r="B17528" s="2" t="str">
        <f>HYPERLINK("http://ts.21cn.com/tousu/show/id/1349340","闲鱼小二不公正判决导致我损失66元运费")</f>
        <v>闲鱼小二不公正判决导致我损失66元运费</v>
      </c>
      <c r="C17528" s="2" t="s">
        <v>9</v>
      </c>
      <c r="D17528" s="2" t="s">
        <v>10</v>
      </c>
      <c r="E17528" s="2" t="str">
        <f>HYPERLINK("http://ts.21cn.com/tousu/show/id/1349340","http://ts.21cn.com/tousu/show/id/1349340")</f>
        <v>http://ts.21cn.com/tousu/show/id/1349340</v>
      </c>
      <c r="F17528" s="2" t="s">
        <v>11</v>
      </c>
      <c r="G17528" s="2" t="s">
        <v>9714</v>
      </c>
      <c r="H17528" s="2" t="s">
        <v>9715</v>
      </c>
    </row>
    <row r="17529" spans="1:8" ht="25.05" customHeight="1" x14ac:dyDescent="0.25">
      <c r="A17529" s="2" t="s">
        <v>8</v>
      </c>
      <c r="B17529" s="2" t="str">
        <f>HYPERLINK("http://ts.21cn.com/tousu/show/id/1349342","立借主动还款不扣钱")</f>
        <v>立借主动还款不扣钱</v>
      </c>
      <c r="C17529" s="2" t="s">
        <v>34</v>
      </c>
      <c r="D17529" s="2" t="s">
        <v>10</v>
      </c>
      <c r="E17529" s="2" t="str">
        <f>HYPERLINK("http://ts.21cn.com/tousu/show/id/1349342","http://ts.21cn.com/tousu/show/id/1349342")</f>
        <v>http://ts.21cn.com/tousu/show/id/1349342</v>
      </c>
      <c r="F17529" s="2" t="s">
        <v>11</v>
      </c>
      <c r="G17529" s="2" t="s">
        <v>9712</v>
      </c>
      <c r="H17529" s="2" t="s">
        <v>9713</v>
      </c>
    </row>
    <row r="17530" spans="1:8" ht="25.05" customHeight="1" x14ac:dyDescent="0.25">
      <c r="A17530" s="2" t="s">
        <v>8</v>
      </c>
      <c r="B17530" s="2" t="str">
        <f>HYPERLINK("http://ts.21cn.com/tousu/show/id/1349343","半夜十二点来电还款")</f>
        <v>半夜十二点来电还款</v>
      </c>
      <c r="C17530" s="2" t="s">
        <v>9</v>
      </c>
      <c r="D17530" s="2" t="s">
        <v>10</v>
      </c>
      <c r="E17530" s="2" t="str">
        <f>HYPERLINK("http://ts.21cn.com/tousu/show/id/1349343","http://ts.21cn.com/tousu/show/id/1349343")</f>
        <v>http://ts.21cn.com/tousu/show/id/1349343</v>
      </c>
      <c r="F17530" s="2" t="s">
        <v>11</v>
      </c>
      <c r="G17530" s="2" t="s">
        <v>9710</v>
      </c>
      <c r="H17530" s="2" t="s">
        <v>9711</v>
      </c>
    </row>
    <row r="17531" spans="1:8" ht="25.05" customHeight="1" x14ac:dyDescent="0.25">
      <c r="A17531" s="2" t="s">
        <v>8</v>
      </c>
      <c r="B17531" s="2" t="str">
        <f>HYPERLINK("http://ts.21cn.com/tousu/show/id/1349344","强制办理业务")</f>
        <v>强制办理业务</v>
      </c>
      <c r="C17531" s="2" t="s">
        <v>9</v>
      </c>
      <c r="D17531" s="2" t="s">
        <v>10</v>
      </c>
      <c r="E17531" s="2" t="str">
        <f>HYPERLINK("http://ts.21cn.com/tousu/show/id/1349344","http://ts.21cn.com/tousu/show/id/1349344")</f>
        <v>http://ts.21cn.com/tousu/show/id/1349344</v>
      </c>
      <c r="F17531" s="2" t="s">
        <v>11</v>
      </c>
      <c r="G17531" s="2" t="s">
        <v>9708</v>
      </c>
      <c r="H17531" s="2" t="s">
        <v>9709</v>
      </c>
    </row>
    <row r="17532" spans="1:8" ht="25.05" customHeight="1" x14ac:dyDescent="0.25">
      <c r="A17532" s="2" t="s">
        <v>8</v>
      </c>
      <c r="B17532" s="2" t="str">
        <f>HYPERLINK("http://ts.21cn.com/tousu/show/id/1349345","暴力催收，短信轰炸，威胁")</f>
        <v>暴力催收，短信轰炸，威胁</v>
      </c>
      <c r="C17532" s="2" t="s">
        <v>9</v>
      </c>
      <c r="D17532" s="2" t="s">
        <v>10</v>
      </c>
      <c r="E17532" s="2" t="str">
        <f>HYPERLINK("http://ts.21cn.com/tousu/show/id/1349345","http://ts.21cn.com/tousu/show/id/1349345")</f>
        <v>http://ts.21cn.com/tousu/show/id/1349345</v>
      </c>
      <c r="F17532" s="2" t="s">
        <v>11</v>
      </c>
      <c r="G17532" s="2" t="s">
        <v>9706</v>
      </c>
      <c r="H17532" s="2" t="s">
        <v>9707</v>
      </c>
    </row>
    <row r="17533" spans="1:8" ht="25.05" customHeight="1" x14ac:dyDescent="0.25">
      <c r="A17533" s="2" t="s">
        <v>8</v>
      </c>
      <c r="B17533" s="2" t="str">
        <f>HYPERLINK("http://ts.21cn.com/tousu/show/id/1349346","交易猫退款失败，客服不处理")</f>
        <v>交易猫退款失败，客服不处理</v>
      </c>
      <c r="C17533" s="2" t="s">
        <v>9</v>
      </c>
      <c r="D17533" s="2" t="s">
        <v>10</v>
      </c>
      <c r="E17533" s="2" t="str">
        <f>HYPERLINK("http://ts.21cn.com/tousu/show/id/1349346","http://ts.21cn.com/tousu/show/id/1349346")</f>
        <v>http://ts.21cn.com/tousu/show/id/1349346</v>
      </c>
      <c r="F17533" s="2" t="s">
        <v>11</v>
      </c>
      <c r="G17533" s="2" t="s">
        <v>9704</v>
      </c>
      <c r="H17533" s="2" t="s">
        <v>9705</v>
      </c>
    </row>
    <row r="17534" spans="1:8" ht="25.05" customHeight="1" x14ac:dyDescent="0.25">
      <c r="A17534" s="2" t="s">
        <v>8</v>
      </c>
      <c r="B17534" s="2" t="str">
        <f>HYPERLINK("http://ts.21cn.com/tousu/show/id/1349347","交|易猫交易失败退款显示失败")</f>
        <v>交|易猫交易失败退款显示失败</v>
      </c>
      <c r="C17534" s="2" t="s">
        <v>34</v>
      </c>
      <c r="D17534" s="2" t="s">
        <v>10</v>
      </c>
      <c r="E17534" s="2" t="str">
        <f>HYPERLINK("http://ts.21cn.com/tousu/show/id/1349347","http://ts.21cn.com/tousu/show/id/1349347")</f>
        <v>http://ts.21cn.com/tousu/show/id/1349347</v>
      </c>
      <c r="F17534" s="2" t="s">
        <v>11</v>
      </c>
      <c r="G17534" s="2" t="s">
        <v>9702</v>
      </c>
      <c r="H17534" s="2" t="s">
        <v>9703</v>
      </c>
    </row>
    <row r="17535" spans="1:8" ht="25.05" customHeight="1" x14ac:dyDescent="0.25">
      <c r="A17535" s="2" t="s">
        <v>8</v>
      </c>
      <c r="B17535" s="2" t="str">
        <f>HYPERLINK("http://ts.21cn.com/tousu/show/id/1349348","微众银行微粒贷爆通讯录骚扰公司和领导")</f>
        <v>微众银行微粒贷爆通讯录骚扰公司和领导</v>
      </c>
      <c r="C17535" s="2" t="s">
        <v>9</v>
      </c>
      <c r="D17535" s="2" t="s">
        <v>10</v>
      </c>
      <c r="E17535" s="2" t="str">
        <f>HYPERLINK("http://ts.21cn.com/tousu/show/id/1349348","http://ts.21cn.com/tousu/show/id/1349348")</f>
        <v>http://ts.21cn.com/tousu/show/id/1349348</v>
      </c>
      <c r="F17535" s="2" t="s">
        <v>11</v>
      </c>
      <c r="G17535" s="2" t="s">
        <v>9700</v>
      </c>
      <c r="H17535" s="2" t="s">
        <v>9701</v>
      </c>
    </row>
    <row r="17536" spans="1:8" ht="25.05" customHeight="1" x14ac:dyDescent="0.25">
      <c r="A17536" s="2" t="s">
        <v>8</v>
      </c>
      <c r="B17536" s="2" t="str">
        <f>HYPERLINK("http://ts.21cn.com/tousu/show/id/1349349","暴力催收，微信")</f>
        <v>暴力催收，微信</v>
      </c>
      <c r="C17536" s="2" t="s">
        <v>9</v>
      </c>
      <c r="D17536" s="2" t="s">
        <v>10</v>
      </c>
      <c r="E17536" s="2" t="str">
        <f>HYPERLINK("http://ts.21cn.com/tousu/show/id/1349349","http://ts.21cn.com/tousu/show/id/1349349")</f>
        <v>http://ts.21cn.com/tousu/show/id/1349349</v>
      </c>
      <c r="F17536" s="2" t="s">
        <v>11</v>
      </c>
      <c r="G17536" s="2" t="s">
        <v>9698</v>
      </c>
      <c r="H17536" s="2" t="s">
        <v>9699</v>
      </c>
    </row>
    <row r="17537" spans="1:8" ht="25.05" customHeight="1" x14ac:dyDescent="0.25">
      <c r="A17537" s="2" t="s">
        <v>8</v>
      </c>
      <c r="B17537" s="2" t="str">
        <f>HYPERLINK("http://ts.21cn.com/tousu/show/id/1349350","还我黑卡钱")</f>
        <v>还我黑卡钱</v>
      </c>
      <c r="C17537" s="2" t="s">
        <v>34</v>
      </c>
      <c r="D17537" s="2" t="s">
        <v>10</v>
      </c>
      <c r="E17537" s="2" t="str">
        <f>HYPERLINK("http://ts.21cn.com/tousu/show/id/1349350","http://ts.21cn.com/tousu/show/id/1349350")</f>
        <v>http://ts.21cn.com/tousu/show/id/1349350</v>
      </c>
      <c r="F17537" s="2" t="s">
        <v>11</v>
      </c>
      <c r="G17537" s="2" t="s">
        <v>9696</v>
      </c>
      <c r="H17537" s="2" t="s">
        <v>9697</v>
      </c>
    </row>
    <row r="17538" spans="1:8" ht="25.05" customHeight="1" x14ac:dyDescent="0.25">
      <c r="A17538" s="2" t="s">
        <v>8</v>
      </c>
      <c r="B17538" s="2" t="str">
        <f>HYPERLINK("http://ts.21cn.com/tousu/show/id/1349351","滴滴出行派单不公平")</f>
        <v>滴滴出行派单不公平</v>
      </c>
      <c r="C17538" s="2" t="s">
        <v>9</v>
      </c>
      <c r="D17538" s="2" t="s">
        <v>10</v>
      </c>
      <c r="E17538" s="2" t="str">
        <f>HYPERLINK("http://ts.21cn.com/tousu/show/id/1349351","http://ts.21cn.com/tousu/show/id/1349351")</f>
        <v>http://ts.21cn.com/tousu/show/id/1349351</v>
      </c>
      <c r="F17538" s="2" t="s">
        <v>11</v>
      </c>
      <c r="G17538" s="2" t="s">
        <v>9694</v>
      </c>
      <c r="H17538" s="2" t="s">
        <v>9695</v>
      </c>
    </row>
    <row r="17539" spans="1:8" ht="25.05" customHeight="1" x14ac:dyDescent="0.25">
      <c r="A17539" s="2" t="s">
        <v>8</v>
      </c>
      <c r="B17539" s="2" t="str">
        <f>HYPERLINK("http://ts.21cn.com/tousu/show/id/1349352","韵达快递上门寄件货物丢失")</f>
        <v>韵达快递上门寄件货物丢失</v>
      </c>
      <c r="C17539" s="2" t="s">
        <v>9</v>
      </c>
      <c r="D17539" s="2" t="s">
        <v>10</v>
      </c>
      <c r="E17539" s="2" t="str">
        <f>HYPERLINK("http://ts.21cn.com/tousu/show/id/1349352","http://ts.21cn.com/tousu/show/id/1349352")</f>
        <v>http://ts.21cn.com/tousu/show/id/1349352</v>
      </c>
      <c r="F17539" s="2" t="s">
        <v>11</v>
      </c>
      <c r="G17539" s="2" t="s">
        <v>9692</v>
      </c>
      <c r="H17539" s="2" t="s">
        <v>9693</v>
      </c>
    </row>
    <row r="17540" spans="1:8" ht="25.05" customHeight="1" x14ac:dyDescent="0.25">
      <c r="A17540" s="2" t="s">
        <v>8</v>
      </c>
      <c r="B17540" s="2" t="str">
        <f>HYPERLINK("http://ts.21cn.com/tousu/show/id/1349356","APP找不到客服联系不上")</f>
        <v>APP找不到客服联系不上</v>
      </c>
      <c r="C17540" s="2" t="s">
        <v>9</v>
      </c>
      <c r="D17540" s="2" t="s">
        <v>10</v>
      </c>
      <c r="E17540" s="2" t="str">
        <f>HYPERLINK("http://ts.21cn.com/tousu/show/id/1349356","http://ts.21cn.com/tousu/show/id/1349356")</f>
        <v>http://ts.21cn.com/tousu/show/id/1349356</v>
      </c>
      <c r="F17540" s="2" t="s">
        <v>11</v>
      </c>
      <c r="G17540" s="2" t="s">
        <v>9690</v>
      </c>
      <c r="H17540" s="2" t="s">
        <v>9691</v>
      </c>
    </row>
    <row r="17541" spans="1:8" ht="25.05" customHeight="1" x14ac:dyDescent="0.25">
      <c r="A17541" s="2" t="s">
        <v>8</v>
      </c>
      <c r="B17541" s="2" t="str">
        <f>HYPERLINK("http://ts.21cn.com/tousu/show/id/1349353","我来贷逾期暴力征收")</f>
        <v>我来贷逾期暴力征收</v>
      </c>
      <c r="C17541" s="2" t="s">
        <v>9</v>
      </c>
      <c r="D17541" s="2" t="s">
        <v>10</v>
      </c>
      <c r="E17541" s="2" t="str">
        <f>HYPERLINK("http://ts.21cn.com/tousu/show/id/1349353","http://ts.21cn.com/tousu/show/id/1349353")</f>
        <v>http://ts.21cn.com/tousu/show/id/1349353</v>
      </c>
      <c r="F17541" s="2" t="s">
        <v>11</v>
      </c>
      <c r="G17541" s="2" t="s">
        <v>9688</v>
      </c>
      <c r="H17541" s="2" t="s">
        <v>9689</v>
      </c>
    </row>
    <row r="17542" spans="1:8" ht="25.05" customHeight="1" x14ac:dyDescent="0.25">
      <c r="A17542" s="2" t="s">
        <v>8</v>
      </c>
      <c r="B17542" s="2" t="str">
        <f>HYPERLINK("http://ts.21cn.com/tousu/show/id/1349354","贷上钱伪造购物信息变相收取超高利息")</f>
        <v>贷上钱伪造购物信息变相收取超高利息</v>
      </c>
      <c r="C17542" s="2" t="s">
        <v>9</v>
      </c>
      <c r="D17542" s="2" t="s">
        <v>10</v>
      </c>
      <c r="E17542" s="2" t="str">
        <f>HYPERLINK("http://ts.21cn.com/tousu/show/id/1349354","http://ts.21cn.com/tousu/show/id/1349354")</f>
        <v>http://ts.21cn.com/tousu/show/id/1349354</v>
      </c>
      <c r="F17542" s="2" t="s">
        <v>11</v>
      </c>
      <c r="G17542" s="2" t="s">
        <v>9686</v>
      </c>
      <c r="H17542" s="2" t="s">
        <v>9687</v>
      </c>
    </row>
    <row r="17543" spans="1:8" ht="25.05" customHeight="1" x14ac:dyDescent="0.25">
      <c r="A17543" s="2" t="s">
        <v>8</v>
      </c>
      <c r="B17543" s="2" t="str">
        <f>HYPERLINK("http://ts.21cn.com/tousu/show/id/1349358","及贷打电话不还款联系其他联系人")</f>
        <v>及贷打电话不还款联系其他联系人</v>
      </c>
      <c r="C17543" s="2" t="s">
        <v>9</v>
      </c>
      <c r="D17543" s="2" t="s">
        <v>10</v>
      </c>
      <c r="E17543" s="2" t="str">
        <f>HYPERLINK("http://ts.21cn.com/tousu/show/id/1349358","http://ts.21cn.com/tousu/show/id/1349358")</f>
        <v>http://ts.21cn.com/tousu/show/id/1349358</v>
      </c>
      <c r="F17543" s="2" t="s">
        <v>11</v>
      </c>
      <c r="G17543" s="2" t="s">
        <v>9684</v>
      </c>
      <c r="H17543" s="2" t="s">
        <v>9685</v>
      </c>
    </row>
    <row r="17544" spans="1:8" ht="25.05" customHeight="1" x14ac:dyDescent="0.25">
      <c r="A17544" s="2" t="s">
        <v>8</v>
      </c>
      <c r="B17544" s="2" t="str">
        <f>HYPERLINK("http://ts.21cn.com/tousu/show/id/1349355","豆豆钱暴力催收")</f>
        <v>豆豆钱暴力催收</v>
      </c>
      <c r="C17544" s="2" t="s">
        <v>9</v>
      </c>
      <c r="D17544" s="2" t="s">
        <v>10</v>
      </c>
      <c r="E17544" s="2" t="str">
        <f>HYPERLINK("http://ts.21cn.com/tousu/show/id/1349355","http://ts.21cn.com/tousu/show/id/1349355")</f>
        <v>http://ts.21cn.com/tousu/show/id/1349355</v>
      </c>
      <c r="F17544" s="2" t="s">
        <v>11</v>
      </c>
      <c r="G17544" s="2" t="s">
        <v>9682</v>
      </c>
      <c r="H17544" s="2" t="s">
        <v>9683</v>
      </c>
    </row>
    <row r="17545" spans="1:8" ht="25.05" customHeight="1" x14ac:dyDescent="0.25">
      <c r="A17545" s="2" t="s">
        <v>8</v>
      </c>
      <c r="B17545" s="2" t="str">
        <f>HYPERLINK("http://ts.21cn.com/tousu/show/id/1349357","交易猫分润不给退回")</f>
        <v>交易猫分润不给退回</v>
      </c>
      <c r="C17545" s="2" t="s">
        <v>9</v>
      </c>
      <c r="D17545" s="2" t="s">
        <v>10</v>
      </c>
      <c r="E17545" s="2" t="str">
        <f>HYPERLINK("http://ts.21cn.com/tousu/show/id/1349357","http://ts.21cn.com/tousu/show/id/1349357")</f>
        <v>http://ts.21cn.com/tousu/show/id/1349357</v>
      </c>
      <c r="F17545" s="2" t="s">
        <v>11</v>
      </c>
      <c r="G17545" s="2" t="s">
        <v>9680</v>
      </c>
      <c r="H17545" s="2" t="s">
        <v>9681</v>
      </c>
    </row>
    <row r="17546" spans="1:8" ht="25.05" customHeight="1" x14ac:dyDescent="0.25">
      <c r="A17546" s="2" t="s">
        <v>8</v>
      </c>
      <c r="B17546" s="2" t="str">
        <f>HYPERLINK("http://ts.21cn.com/tousu/show/id/1349359","网贷暴力催收")</f>
        <v>网贷暴力催收</v>
      </c>
      <c r="C17546" s="2" t="s">
        <v>9</v>
      </c>
      <c r="D17546" s="2" t="s">
        <v>10</v>
      </c>
      <c r="E17546" s="2" t="str">
        <f>HYPERLINK("http://ts.21cn.com/tousu/show/id/1349359","http://ts.21cn.com/tousu/show/id/1349359")</f>
        <v>http://ts.21cn.com/tousu/show/id/1349359</v>
      </c>
      <c r="F17546" s="2" t="s">
        <v>11</v>
      </c>
      <c r="G17546" s="2" t="s">
        <v>9678</v>
      </c>
      <c r="H17546" s="2" t="s">
        <v>9679</v>
      </c>
    </row>
    <row r="17547" spans="1:8" ht="25.05" customHeight="1" x14ac:dyDescent="0.25">
      <c r="A17547" s="2" t="s">
        <v>8</v>
      </c>
      <c r="B17547" s="2" t="str">
        <f>HYPERLINK("http://ts.21cn.com/tousu/show/id/1349361","高利贷爆通讯录强制购买平台虚拟产品")</f>
        <v>高利贷爆通讯录强制购买平台虚拟产品</v>
      </c>
      <c r="C17547" s="2" t="s">
        <v>9</v>
      </c>
      <c r="D17547" s="2" t="s">
        <v>10</v>
      </c>
      <c r="E17547" s="2" t="str">
        <f>HYPERLINK("http://ts.21cn.com/tousu/show/id/1349361","http://ts.21cn.com/tousu/show/id/1349361")</f>
        <v>http://ts.21cn.com/tousu/show/id/1349361</v>
      </c>
      <c r="F17547" s="2" t="s">
        <v>11</v>
      </c>
      <c r="G17547" s="2" t="s">
        <v>9676</v>
      </c>
      <c r="H17547" s="2" t="s">
        <v>9677</v>
      </c>
    </row>
    <row r="17548" spans="1:8" ht="25.05" customHeight="1" x14ac:dyDescent="0.25">
      <c r="A17548" s="2" t="s">
        <v>8</v>
      </c>
      <c r="B17548" s="2" t="str">
        <f>HYPERLINK("http://ts.21cn.com/tousu/show/id/1349362","暴力催收！威胁恐吓！协商不成")</f>
        <v>暴力催收！威胁恐吓！协商不成</v>
      </c>
      <c r="C17548" s="2" t="s">
        <v>9</v>
      </c>
      <c r="D17548" s="2" t="s">
        <v>10</v>
      </c>
      <c r="E17548" s="2" t="str">
        <f>HYPERLINK("http://ts.21cn.com/tousu/show/id/1349362","http://ts.21cn.com/tousu/show/id/1349362")</f>
        <v>http://ts.21cn.com/tousu/show/id/1349362</v>
      </c>
      <c r="F17548" s="2" t="s">
        <v>11</v>
      </c>
      <c r="G17548" s="2" t="s">
        <v>9674</v>
      </c>
      <c r="H17548" s="2" t="s">
        <v>9675</v>
      </c>
    </row>
    <row r="17549" spans="1:8" ht="25.05" customHeight="1" x14ac:dyDescent="0.25">
      <c r="A17549" s="2" t="s">
        <v>8</v>
      </c>
      <c r="B17549" s="2" t="str">
        <f>HYPERLINK("http://ts.21cn.com/tousu/show/id/1349003","东莞市轻奢维体健身房第二次无缘无故关门，老板跑路")</f>
        <v>东莞市轻奢维体健身房第二次无缘无故关门，老板跑路</v>
      </c>
      <c r="C17549" s="2" t="s">
        <v>9</v>
      </c>
      <c r="D17549" s="2" t="s">
        <v>10</v>
      </c>
      <c r="E17549" s="2" t="str">
        <f>HYPERLINK("http://ts.21cn.com/tousu/show/id/1349003","http://ts.21cn.com/tousu/show/id/1349003")</f>
        <v>http://ts.21cn.com/tousu/show/id/1349003</v>
      </c>
      <c r="F17549" s="2" t="s">
        <v>11</v>
      </c>
      <c r="G17549" s="2" t="s">
        <v>9672</v>
      </c>
      <c r="H17549" s="2" t="s">
        <v>9673</v>
      </c>
    </row>
    <row r="17550" spans="1:8" ht="25.05" customHeight="1" x14ac:dyDescent="0.25">
      <c r="A17550" s="2" t="s">
        <v>8</v>
      </c>
      <c r="B17550" s="2" t="str">
        <f>HYPERLINK("http://ts.21cn.com/tousu/show/id/1349365","活力花的催收烦不烦啊")</f>
        <v>活力花的催收烦不烦啊</v>
      </c>
      <c r="C17550" s="2" t="s">
        <v>9</v>
      </c>
      <c r="D17550" s="2" t="s">
        <v>10</v>
      </c>
      <c r="E17550" s="2" t="str">
        <f>HYPERLINK("http://ts.21cn.com/tousu/show/id/1349365","http://ts.21cn.com/tousu/show/id/1349365")</f>
        <v>http://ts.21cn.com/tousu/show/id/1349365</v>
      </c>
      <c r="F17550" s="2" t="s">
        <v>11</v>
      </c>
      <c r="G17550" s="2" t="s">
        <v>9670</v>
      </c>
      <c r="H17550" s="2" t="s">
        <v>9671</v>
      </c>
    </row>
    <row r="17551" spans="1:8" ht="25.05" customHeight="1" x14ac:dyDescent="0.25">
      <c r="A17551" s="2" t="s">
        <v>8</v>
      </c>
      <c r="B17551" s="2" t="str">
        <f>HYPERLINK("http://ts.21cn.com/tousu/show/id/1349366","威胁上门")</f>
        <v>威胁上门</v>
      </c>
      <c r="C17551" s="2" t="s">
        <v>9</v>
      </c>
      <c r="D17551" s="2" t="s">
        <v>10</v>
      </c>
      <c r="E17551" s="2" t="str">
        <f>HYPERLINK("http://ts.21cn.com/tousu/show/id/1349366","http://ts.21cn.com/tousu/show/id/1349366")</f>
        <v>http://ts.21cn.com/tousu/show/id/1349366</v>
      </c>
      <c r="F17551" s="2" t="s">
        <v>11</v>
      </c>
      <c r="G17551" s="2" t="s">
        <v>9668</v>
      </c>
      <c r="H17551" s="2" t="s">
        <v>9669</v>
      </c>
    </row>
    <row r="17552" spans="1:8" ht="25.05" customHeight="1" x14ac:dyDescent="0.25">
      <c r="A17552" s="2" t="s">
        <v>8</v>
      </c>
      <c r="B17552" s="2" t="str">
        <f>HYPERLINK("http://ts.21cn.com/tousu/show/id/1349368","微粒贷暴力催收")</f>
        <v>微粒贷暴力催收</v>
      </c>
      <c r="C17552" s="2" t="s">
        <v>9</v>
      </c>
      <c r="D17552" s="2" t="s">
        <v>10</v>
      </c>
      <c r="E17552" s="2" t="str">
        <f>HYPERLINK("http://ts.21cn.com/tousu/show/id/1349368","http://ts.21cn.com/tousu/show/id/1349368")</f>
        <v>http://ts.21cn.com/tousu/show/id/1349368</v>
      </c>
      <c r="F17552" s="2" t="s">
        <v>11</v>
      </c>
      <c r="G17552" s="2" t="s">
        <v>9666</v>
      </c>
      <c r="H17552" s="2" t="s">
        <v>9667</v>
      </c>
    </row>
    <row r="17553" spans="1:8" ht="25.05" customHeight="1" x14ac:dyDescent="0.25">
      <c r="A17553" s="2" t="s">
        <v>8</v>
      </c>
      <c r="B17553" s="2" t="str">
        <f>HYPERLINK("http://ts.21cn.com/tousu/show/id/1349367","无故投款")</f>
        <v>无故投款</v>
      </c>
      <c r="C17553" s="2" t="s">
        <v>9</v>
      </c>
      <c r="D17553" s="2" t="s">
        <v>10</v>
      </c>
      <c r="E17553" s="2" t="str">
        <f>HYPERLINK("http://ts.21cn.com/tousu/show/id/1349367","http://ts.21cn.com/tousu/show/id/1349367")</f>
        <v>http://ts.21cn.com/tousu/show/id/1349367</v>
      </c>
      <c r="F17553" s="2" t="s">
        <v>11</v>
      </c>
      <c r="G17553" s="2" t="s">
        <v>9664</v>
      </c>
      <c r="H17553" s="2" t="s">
        <v>9665</v>
      </c>
    </row>
    <row r="17554" spans="1:8" ht="25.05" customHeight="1" x14ac:dyDescent="0.25">
      <c r="A17554" s="2" t="s">
        <v>8</v>
      </c>
      <c r="B17554" s="2" t="str">
        <f>HYPERLINK("http://ts.21cn.com/tousu/show/id/1349369","快贷炮轰让借款人朋友")</f>
        <v>快贷炮轰让借款人朋友</v>
      </c>
      <c r="C17554" s="2" t="s">
        <v>9</v>
      </c>
      <c r="D17554" s="2" t="s">
        <v>10</v>
      </c>
      <c r="E17554" s="2" t="str">
        <f>HYPERLINK("http://ts.21cn.com/tousu/show/id/1349369","http://ts.21cn.com/tousu/show/id/1349369")</f>
        <v>http://ts.21cn.com/tousu/show/id/1349369</v>
      </c>
      <c r="F17554" s="2" t="s">
        <v>11</v>
      </c>
      <c r="G17554" s="2" t="s">
        <v>9662</v>
      </c>
      <c r="H17554" s="2" t="s">
        <v>9663</v>
      </c>
    </row>
    <row r="17555" spans="1:8" ht="25.05" customHeight="1" x14ac:dyDescent="0.25">
      <c r="A17555" s="2" t="s">
        <v>8</v>
      </c>
      <c r="B17555" s="2" t="str">
        <f>HYPERLINK("http://ts.21cn.com/tousu/show/id/1349370","云冲吧驿站")</f>
        <v>云冲吧驿站</v>
      </c>
      <c r="C17555" s="2" t="s">
        <v>9</v>
      </c>
      <c r="D17555" s="2" t="s">
        <v>10</v>
      </c>
      <c r="E17555" s="2" t="str">
        <f>HYPERLINK("http://ts.21cn.com/tousu/show/id/1349370","http://ts.21cn.com/tousu/show/id/1349370")</f>
        <v>http://ts.21cn.com/tousu/show/id/1349370</v>
      </c>
      <c r="F17555" s="2" t="s">
        <v>11</v>
      </c>
      <c r="G17555" s="2" t="s">
        <v>9660</v>
      </c>
      <c r="H17555" s="2" t="s">
        <v>9661</v>
      </c>
    </row>
    <row r="17556" spans="1:8" ht="25.05" customHeight="1" x14ac:dyDescent="0.25">
      <c r="A17556" s="2" t="s">
        <v>8</v>
      </c>
      <c r="B17556" s="2" t="str">
        <f>HYPERLINK("http://ts.21cn.com/tousu/show/id/1349371","取消etc")</f>
        <v>取消etc</v>
      </c>
      <c r="C17556" s="2" t="s">
        <v>34</v>
      </c>
      <c r="D17556" s="2" t="s">
        <v>10</v>
      </c>
      <c r="E17556" s="2" t="str">
        <f>HYPERLINK("http://ts.21cn.com/tousu/show/id/1349371","http://ts.21cn.com/tousu/show/id/1349371")</f>
        <v>http://ts.21cn.com/tousu/show/id/1349371</v>
      </c>
      <c r="F17556" s="2" t="s">
        <v>11</v>
      </c>
      <c r="G17556" s="2" t="s">
        <v>9658</v>
      </c>
      <c r="H17556" s="2" t="s">
        <v>9659</v>
      </c>
    </row>
    <row r="17557" spans="1:8" ht="25.05" customHeight="1" x14ac:dyDescent="0.25">
      <c r="A17557" s="2" t="s">
        <v>8</v>
      </c>
      <c r="B17557" s="2" t="str">
        <f>HYPERLINK("http://ts.21cn.com/tousu/show/id/1349372","网贷高额砍头息")</f>
        <v>网贷高额砍头息</v>
      </c>
      <c r="C17557" s="2" t="s">
        <v>9</v>
      </c>
      <c r="D17557" s="2" t="s">
        <v>10</v>
      </c>
      <c r="E17557" s="2" t="str">
        <f>HYPERLINK("http://ts.21cn.com/tousu/show/id/1349372","http://ts.21cn.com/tousu/show/id/1349372")</f>
        <v>http://ts.21cn.com/tousu/show/id/1349372</v>
      </c>
      <c r="F17557" s="2" t="s">
        <v>11</v>
      </c>
      <c r="G17557" s="2" t="s">
        <v>9656</v>
      </c>
      <c r="H17557" s="2" t="s">
        <v>9657</v>
      </c>
    </row>
    <row r="17558" spans="1:8" ht="25.05" customHeight="1" x14ac:dyDescent="0.25">
      <c r="A17558" s="2" t="s">
        <v>8</v>
      </c>
      <c r="B17558" s="2" t="str">
        <f>HYPERLINK("http://ts.21cn.com/tousu/show/id/1349374","上海拍拍贷")</f>
        <v>上海拍拍贷</v>
      </c>
      <c r="C17558" s="2" t="s">
        <v>9</v>
      </c>
      <c r="D17558" s="2" t="s">
        <v>10</v>
      </c>
      <c r="E17558" s="2" t="str">
        <f>HYPERLINK("http://ts.21cn.com/tousu/show/id/1349374","http://ts.21cn.com/tousu/show/id/1349374")</f>
        <v>http://ts.21cn.com/tousu/show/id/1349374</v>
      </c>
      <c r="F17558" s="2" t="s">
        <v>11</v>
      </c>
      <c r="G17558" s="2" t="s">
        <v>9654</v>
      </c>
      <c r="H17558" s="2" t="s">
        <v>9655</v>
      </c>
    </row>
    <row r="17559" spans="1:8" ht="25.05" customHeight="1" x14ac:dyDescent="0.25">
      <c r="A17559" s="2" t="s">
        <v>8</v>
      </c>
      <c r="B17559" s="2" t="str">
        <f>HYPERLINK("http://ts.21cn.com/tousu/show/id/1349375","融360现金借款下架找不到还款入口")</f>
        <v>融360现金借款下架找不到还款入口</v>
      </c>
      <c r="C17559" s="2" t="s">
        <v>9</v>
      </c>
      <c r="D17559" s="2" t="s">
        <v>10</v>
      </c>
      <c r="E17559" s="2" t="str">
        <f>HYPERLINK("http://ts.21cn.com/tousu/show/id/1349375","http://ts.21cn.com/tousu/show/id/1349375")</f>
        <v>http://ts.21cn.com/tousu/show/id/1349375</v>
      </c>
      <c r="F17559" s="2" t="s">
        <v>11</v>
      </c>
      <c r="G17559" s="2" t="s">
        <v>9652</v>
      </c>
      <c r="H17559" s="2" t="s">
        <v>9653</v>
      </c>
    </row>
    <row r="17560" spans="1:8" ht="25.05" customHeight="1" x14ac:dyDescent="0.25">
      <c r="A17560" s="2" t="s">
        <v>8</v>
      </c>
      <c r="B17560" s="2" t="str">
        <f>HYPERLINK("http://ts.21cn.com/tousu/show/id/1349376","砍头息")</f>
        <v>砍头息</v>
      </c>
      <c r="C17560" s="2" t="s">
        <v>9</v>
      </c>
      <c r="D17560" s="2" t="s">
        <v>10</v>
      </c>
      <c r="E17560" s="2" t="str">
        <f>HYPERLINK("http://ts.21cn.com/tousu/show/id/1349376","http://ts.21cn.com/tousu/show/id/1349376")</f>
        <v>http://ts.21cn.com/tousu/show/id/1349376</v>
      </c>
      <c r="F17560" s="2" t="s">
        <v>11</v>
      </c>
      <c r="G17560" s="2" t="s">
        <v>9650</v>
      </c>
      <c r="H17560" s="2" t="s">
        <v>9651</v>
      </c>
    </row>
    <row r="17561" spans="1:8" ht="25.05" customHeight="1" x14ac:dyDescent="0.25">
      <c r="A17561" s="2" t="s">
        <v>8</v>
      </c>
      <c r="B17561" s="2" t="str">
        <f>HYPERLINK("http://ts.21cn.com/tousu/show/id/1349378","微粒贷暴力催收")</f>
        <v>微粒贷暴力催收</v>
      </c>
      <c r="C17561" s="2" t="s">
        <v>9</v>
      </c>
      <c r="D17561" s="2" t="s">
        <v>10</v>
      </c>
      <c r="E17561" s="2" t="str">
        <f>HYPERLINK("http://ts.21cn.com/tousu/show/id/1349378","http://ts.21cn.com/tousu/show/id/1349378")</f>
        <v>http://ts.21cn.com/tousu/show/id/1349378</v>
      </c>
      <c r="F17561" s="2" t="s">
        <v>11</v>
      </c>
      <c r="G17561" s="2" t="s">
        <v>9647</v>
      </c>
      <c r="H17561" s="2" t="s">
        <v>9648</v>
      </c>
    </row>
    <row r="17562" spans="1:8" ht="25.05" customHeight="1" x14ac:dyDescent="0.25">
      <c r="A17562" s="2" t="s">
        <v>8</v>
      </c>
      <c r="B17562" s="2" t="str">
        <f>HYPERLINK("http://ts.21cn.com/tousu/show/id/1349377","光大银行信用卡恶意暴力催收和恐吓")</f>
        <v>光大银行信用卡恶意暴力催收和恐吓</v>
      </c>
      <c r="C17562" s="2" t="s">
        <v>9</v>
      </c>
      <c r="D17562" s="2" t="s">
        <v>10</v>
      </c>
      <c r="E17562" s="2" t="str">
        <f>HYPERLINK("http://ts.21cn.com/tousu/show/id/1349377","http://ts.21cn.com/tousu/show/id/1349377")</f>
        <v>http://ts.21cn.com/tousu/show/id/1349377</v>
      </c>
      <c r="F17562" s="2" t="s">
        <v>11</v>
      </c>
      <c r="G17562" s="2" t="s">
        <v>9647</v>
      </c>
      <c r="H17562" s="2" t="s">
        <v>9649</v>
      </c>
    </row>
    <row r="17563" spans="1:8" ht="25.05" customHeight="1" x14ac:dyDescent="0.25">
      <c r="A17563" s="2" t="s">
        <v>8</v>
      </c>
      <c r="B17563" s="2" t="str">
        <f>HYPERLINK("http://ts.21cn.com/tousu/show/id/1349380","要求买买乐购取消客户服务费渠道服务费，收取合计的本息")</f>
        <v>要求买买乐购取消客户服务费渠道服务费，收取合计的本息</v>
      </c>
      <c r="C17563" s="2" t="s">
        <v>9</v>
      </c>
      <c r="D17563" s="2" t="s">
        <v>10</v>
      </c>
      <c r="E17563" s="2" t="str">
        <f>HYPERLINK("http://ts.21cn.com/tousu/show/id/1349380","http://ts.21cn.com/tousu/show/id/1349380")</f>
        <v>http://ts.21cn.com/tousu/show/id/1349380</v>
      </c>
      <c r="F17563" s="2" t="s">
        <v>11</v>
      </c>
      <c r="G17563" s="2" t="s">
        <v>9645</v>
      </c>
      <c r="H17563" s="2" t="s">
        <v>9646</v>
      </c>
    </row>
    <row r="17564" spans="1:8" ht="25.05" customHeight="1" x14ac:dyDescent="0.25">
      <c r="A17564" s="2" t="s">
        <v>8</v>
      </c>
      <c r="B17564" s="2" t="str">
        <f>HYPERLINK("http://ts.21cn.com/tousu/show/id/1349382","长虹官方旗舰店强制发货，扣运费")</f>
        <v>长虹官方旗舰店强制发货，扣运费</v>
      </c>
      <c r="C17564" s="2" t="s">
        <v>9</v>
      </c>
      <c r="D17564" s="2" t="s">
        <v>10</v>
      </c>
      <c r="E17564" s="2" t="str">
        <f>HYPERLINK("http://ts.21cn.com/tousu/show/id/1349382","http://ts.21cn.com/tousu/show/id/1349382")</f>
        <v>http://ts.21cn.com/tousu/show/id/1349382</v>
      </c>
      <c r="F17564" s="2" t="s">
        <v>11</v>
      </c>
      <c r="G17564" s="2" t="s">
        <v>9643</v>
      </c>
      <c r="H17564" s="2" t="s">
        <v>9644</v>
      </c>
    </row>
    <row r="17565" spans="1:8" ht="25.05" customHeight="1" x14ac:dyDescent="0.25">
      <c r="A17565" s="2" t="s">
        <v>8</v>
      </c>
      <c r="B17565" s="2" t="str">
        <f>HYPERLINK("http://ts.21cn.com/tousu/show/id/1349381","北京百度网讯科技有限公司设套扣款")</f>
        <v>北京百度网讯科技有限公司设套扣款</v>
      </c>
      <c r="C17565" s="2" t="s">
        <v>9</v>
      </c>
      <c r="D17565" s="2" t="s">
        <v>10</v>
      </c>
      <c r="E17565" s="2" t="str">
        <f>HYPERLINK("http://ts.21cn.com/tousu/show/id/1349381","http://ts.21cn.com/tousu/show/id/1349381")</f>
        <v>http://ts.21cn.com/tousu/show/id/1349381</v>
      </c>
      <c r="F17565" s="2" t="s">
        <v>11</v>
      </c>
      <c r="G17565" s="2" t="s">
        <v>9641</v>
      </c>
      <c r="H17565" s="2" t="s">
        <v>9642</v>
      </c>
    </row>
    <row r="17566" spans="1:8" ht="25.05" customHeight="1" x14ac:dyDescent="0.25">
      <c r="A17566" s="2" t="s">
        <v>8</v>
      </c>
      <c r="B17566" s="2" t="str">
        <f>HYPERLINK("http://ts.21cn.com/tousu/show/id/1349384","要求解除质保金")</f>
        <v>要求解除质保金</v>
      </c>
      <c r="C17566" s="2" t="s">
        <v>9</v>
      </c>
      <c r="D17566" s="2" t="s">
        <v>10</v>
      </c>
      <c r="E17566" s="2" t="str">
        <f>HYPERLINK("http://ts.21cn.com/tousu/show/id/1349384","http://ts.21cn.com/tousu/show/id/1349384")</f>
        <v>http://ts.21cn.com/tousu/show/id/1349384</v>
      </c>
      <c r="F17566" s="2" t="s">
        <v>11</v>
      </c>
      <c r="G17566" s="2" t="s">
        <v>9639</v>
      </c>
      <c r="H17566" s="2" t="s">
        <v>9640</v>
      </c>
    </row>
    <row r="17567" spans="1:8" ht="25.05" customHeight="1" x14ac:dyDescent="0.25">
      <c r="A17567" s="2" t="s">
        <v>8</v>
      </c>
      <c r="B17567" s="2" t="str">
        <f>HYPERLINK("http://ts.21cn.com/tousu/show/id/1349383","协商还款一直联系不上指上旅行")</f>
        <v>协商还款一直联系不上指上旅行</v>
      </c>
      <c r="C17567" s="2" t="s">
        <v>34</v>
      </c>
      <c r="D17567" s="2" t="s">
        <v>10</v>
      </c>
      <c r="E17567" s="2" t="str">
        <f>HYPERLINK("http://ts.21cn.com/tousu/show/id/1349383","http://ts.21cn.com/tousu/show/id/1349383")</f>
        <v>http://ts.21cn.com/tousu/show/id/1349383</v>
      </c>
      <c r="F17567" s="2" t="s">
        <v>11</v>
      </c>
      <c r="G17567" s="2" t="s">
        <v>9637</v>
      </c>
      <c r="H17567" s="2" t="s">
        <v>9638</v>
      </c>
    </row>
    <row r="17568" spans="1:8" ht="25.05" customHeight="1" x14ac:dyDescent="0.25">
      <c r="A17568" s="2" t="s">
        <v>8</v>
      </c>
      <c r="B17568" s="2" t="str">
        <f>HYPERLINK("http://ts.21cn.com/tousu/show/id/1349385","易宝支付违规为高利贷公司提供支付渠道")</f>
        <v>易宝支付违规为高利贷公司提供支付渠道</v>
      </c>
      <c r="C17568" s="2" t="s">
        <v>9</v>
      </c>
      <c r="D17568" s="2" t="s">
        <v>10</v>
      </c>
      <c r="E17568" s="2" t="str">
        <f>HYPERLINK("http://ts.21cn.com/tousu/show/id/1349385","http://ts.21cn.com/tousu/show/id/1349385")</f>
        <v>http://ts.21cn.com/tousu/show/id/1349385</v>
      </c>
      <c r="F17568" s="2" t="s">
        <v>11</v>
      </c>
      <c r="G17568" s="2" t="s">
        <v>9635</v>
      </c>
      <c r="H17568" s="2" t="s">
        <v>9636</v>
      </c>
    </row>
    <row r="17569" spans="1:8" ht="25.05" customHeight="1" x14ac:dyDescent="0.25">
      <c r="A17569" s="2" t="s">
        <v>8</v>
      </c>
      <c r="B17569" s="2" t="str">
        <f>HYPERLINK("http://ts.21cn.com/tousu/show/id/1349364","优信二手车把暗病车卖给我，两天抛锚，不给退车")</f>
        <v>优信二手车把暗病车卖给我，两天抛锚，不给退车</v>
      </c>
      <c r="C17569" s="2" t="s">
        <v>9</v>
      </c>
      <c r="D17569" s="2" t="s">
        <v>10</v>
      </c>
      <c r="E17569" s="2" t="str">
        <f>HYPERLINK("http://ts.21cn.com/tousu/show/id/1349364","http://ts.21cn.com/tousu/show/id/1349364")</f>
        <v>http://ts.21cn.com/tousu/show/id/1349364</v>
      </c>
      <c r="F17569" s="2" t="s">
        <v>11</v>
      </c>
      <c r="G17569" s="2" t="s">
        <v>9633</v>
      </c>
      <c r="H17569" s="2" t="s">
        <v>9634</v>
      </c>
    </row>
    <row r="17570" spans="1:8" ht="25.05" customHeight="1" x14ac:dyDescent="0.25">
      <c r="A17570" s="2" t="s">
        <v>8</v>
      </c>
      <c r="B17570" s="2" t="str">
        <f>HYPERLINK("http://ts.21cn.com/tousu/show/id/1349386","严重投诉微粒贷暴力催收严重骚扰家人工作单位")</f>
        <v>严重投诉微粒贷暴力催收严重骚扰家人工作单位</v>
      </c>
      <c r="C17570" s="2" t="s">
        <v>9</v>
      </c>
      <c r="D17570" s="2" t="s">
        <v>10</v>
      </c>
      <c r="E17570" s="2" t="str">
        <f>HYPERLINK("http://ts.21cn.com/tousu/show/id/1349386","http://ts.21cn.com/tousu/show/id/1349386")</f>
        <v>http://ts.21cn.com/tousu/show/id/1349386</v>
      </c>
      <c r="F17570" s="2" t="s">
        <v>11</v>
      </c>
      <c r="G17570" s="2" t="s">
        <v>9631</v>
      </c>
      <c r="H17570" s="2" t="s">
        <v>9632</v>
      </c>
    </row>
    <row r="17571" spans="1:8" ht="25.05" customHeight="1" x14ac:dyDescent="0.25">
      <c r="A17571" s="2" t="s">
        <v>8</v>
      </c>
      <c r="B17571" s="2" t="str">
        <f>HYPERLINK("http://ts.21cn.com/tousu/show/id/1349363","快手电商做活动，让9.9元拍下送平衡车，却发来一块皂")</f>
        <v>快手电商做活动，让9.9元拍下送平衡车，却发来一块皂</v>
      </c>
      <c r="C17571" s="2" t="s">
        <v>9</v>
      </c>
      <c r="D17571" s="2" t="s">
        <v>10</v>
      </c>
      <c r="E17571" s="2" t="str">
        <f>HYPERLINK("http://ts.21cn.com/tousu/show/id/1349363","http://ts.21cn.com/tousu/show/id/1349363")</f>
        <v>http://ts.21cn.com/tousu/show/id/1349363</v>
      </c>
      <c r="F17571" s="2" t="s">
        <v>11</v>
      </c>
      <c r="G17571" s="2" t="s">
        <v>9629</v>
      </c>
      <c r="H17571" s="2" t="s">
        <v>9630</v>
      </c>
    </row>
    <row r="17572" spans="1:8" ht="25.05" customHeight="1" x14ac:dyDescent="0.25">
      <c r="A17572" s="2" t="s">
        <v>8</v>
      </c>
      <c r="B17572" s="2" t="str">
        <f>HYPERLINK("http://ts.21cn.com/tousu/show/id/1349387","杭州多彩出行流水不到账")</f>
        <v>杭州多彩出行流水不到账</v>
      </c>
      <c r="C17572" s="2" t="s">
        <v>34</v>
      </c>
      <c r="D17572" s="2" t="s">
        <v>10</v>
      </c>
      <c r="E17572" s="2" t="str">
        <f>HYPERLINK("http://ts.21cn.com/tousu/show/id/1349387","http://ts.21cn.com/tousu/show/id/1349387")</f>
        <v>http://ts.21cn.com/tousu/show/id/1349387</v>
      </c>
      <c r="F17572" s="2" t="s">
        <v>11</v>
      </c>
      <c r="G17572" s="2" t="s">
        <v>9627</v>
      </c>
      <c r="H17572" s="2" t="s">
        <v>9628</v>
      </c>
    </row>
    <row r="17573" spans="1:8" ht="25.05" customHeight="1" x14ac:dyDescent="0.25">
      <c r="A17573" s="2" t="s">
        <v>8</v>
      </c>
      <c r="B17573" s="2" t="str">
        <f>HYPERLINK("http://ts.21cn.com/tousu/show/id/1349388","华夏银行信用卡暴力催收")</f>
        <v>华夏银行信用卡暴力催收</v>
      </c>
      <c r="C17573" s="2" t="s">
        <v>9</v>
      </c>
      <c r="D17573" s="2" t="s">
        <v>10</v>
      </c>
      <c r="E17573" s="2" t="str">
        <f>HYPERLINK("http://ts.21cn.com/tousu/show/id/1349388","http://ts.21cn.com/tousu/show/id/1349388")</f>
        <v>http://ts.21cn.com/tousu/show/id/1349388</v>
      </c>
      <c r="F17573" s="2" t="s">
        <v>11</v>
      </c>
      <c r="G17573" s="2" t="s">
        <v>9625</v>
      </c>
      <c r="H17573" s="2" t="s">
        <v>9626</v>
      </c>
    </row>
    <row r="17574" spans="1:8" ht="25.05" customHeight="1" x14ac:dyDescent="0.25">
      <c r="A17574" s="2" t="s">
        <v>8</v>
      </c>
      <c r="B17574" s="2" t="str">
        <f>HYPERLINK("http://ts.21cn.com/tousu/show/id/1349389","威胁爆通讯录")</f>
        <v>威胁爆通讯录</v>
      </c>
      <c r="C17574" s="2" t="s">
        <v>9</v>
      </c>
      <c r="D17574" s="2" t="s">
        <v>10</v>
      </c>
      <c r="E17574" s="2" t="str">
        <f>HYPERLINK("http://ts.21cn.com/tousu/show/id/1349389","http://ts.21cn.com/tousu/show/id/1349389")</f>
        <v>http://ts.21cn.com/tousu/show/id/1349389</v>
      </c>
      <c r="F17574" s="2" t="s">
        <v>11</v>
      </c>
      <c r="G17574" s="2" t="s">
        <v>9623</v>
      </c>
      <c r="H17574" s="2" t="s">
        <v>9624</v>
      </c>
    </row>
    <row r="17575" spans="1:8" ht="25.05" customHeight="1" x14ac:dyDescent="0.25">
      <c r="A17575" s="2" t="s">
        <v>8</v>
      </c>
      <c r="B17575" s="2" t="str">
        <f>HYPERLINK("http://ts.21cn.com/tousu/show/id/1349391","捷信消费金融有限公司打骚扰电话")</f>
        <v>捷信消费金融有限公司打骚扰电话</v>
      </c>
      <c r="C17575" s="2" t="s">
        <v>9</v>
      </c>
      <c r="D17575" s="2" t="s">
        <v>10</v>
      </c>
      <c r="E17575" s="2" t="str">
        <f>HYPERLINK("http://ts.21cn.com/tousu/show/id/1349391","http://ts.21cn.com/tousu/show/id/1349391")</f>
        <v>http://ts.21cn.com/tousu/show/id/1349391</v>
      </c>
      <c r="F17575" s="2" t="s">
        <v>11</v>
      </c>
      <c r="G17575" s="2" t="s">
        <v>9621</v>
      </c>
      <c r="H17575" s="2" t="s">
        <v>9622</v>
      </c>
    </row>
    <row r="17576" spans="1:8" ht="25.05" customHeight="1" x14ac:dyDescent="0.25">
      <c r="A17576" s="2" t="s">
        <v>8</v>
      </c>
      <c r="B17576" s="2" t="str">
        <f>HYPERLINK("http://ts.21cn.com/tousu/show/id/1349392","京东金融白条不给逾期，暴力催收，交于第三方")</f>
        <v>京东金融白条不给逾期，暴力催收，交于第三方</v>
      </c>
      <c r="C17576" s="2" t="s">
        <v>9</v>
      </c>
      <c r="D17576" s="2" t="s">
        <v>10</v>
      </c>
      <c r="E17576" s="2" t="str">
        <f>HYPERLINK("http://ts.21cn.com/tousu/show/id/1349392","http://ts.21cn.com/tousu/show/id/1349392")</f>
        <v>http://ts.21cn.com/tousu/show/id/1349392</v>
      </c>
      <c r="F17576" s="2" t="s">
        <v>11</v>
      </c>
      <c r="G17576" s="2" t="s">
        <v>9619</v>
      </c>
      <c r="H17576" s="2" t="s">
        <v>9620</v>
      </c>
    </row>
    <row r="17577" spans="1:8" ht="25.05" customHeight="1" x14ac:dyDescent="0.25">
      <c r="A17577" s="2" t="s">
        <v>8</v>
      </c>
      <c r="B17577" s="2" t="str">
        <f>HYPERLINK("http://ts.21cn.com/tousu/show/id/1349394","同程新西兰南北岛11日雪山飞机观星游，冰川变雪山，星星没看到来回坐缆车，北岛团餐差，要求退款冰川行程费用600纽币/人")</f>
        <v>同程新西兰南北岛11日雪山飞机观星游，冰川变雪山，星星没看到来回坐缆车，北岛团餐差，要求退款冰川行程费用600纽币/人</v>
      </c>
      <c r="C17577" s="2" t="s">
        <v>9</v>
      </c>
      <c r="D17577" s="2" t="s">
        <v>10</v>
      </c>
      <c r="E17577" s="2" t="str">
        <f>HYPERLINK("http://ts.21cn.com/tousu/show/id/1349394","http://ts.21cn.com/tousu/show/id/1349394")</f>
        <v>http://ts.21cn.com/tousu/show/id/1349394</v>
      </c>
      <c r="F17577" s="2" t="s">
        <v>11</v>
      </c>
      <c r="G17577" s="2" t="s">
        <v>9617</v>
      </c>
      <c r="H17577" s="2" t="s">
        <v>9618</v>
      </c>
    </row>
    <row r="17578" spans="1:8" ht="25.05" customHeight="1" x14ac:dyDescent="0.25">
      <c r="A17578" s="2" t="s">
        <v>8</v>
      </c>
      <c r="B17578" s="2" t="str">
        <f>HYPERLINK("http://ts.21cn.com/tousu/show/id/1349396","上海宝付私自扣款，本人安全收到威胁")</f>
        <v>上海宝付私自扣款，本人安全收到威胁</v>
      </c>
      <c r="C17578" s="2" t="s">
        <v>9</v>
      </c>
      <c r="D17578" s="2" t="s">
        <v>10</v>
      </c>
      <c r="E17578" s="2" t="str">
        <f>HYPERLINK("http://ts.21cn.com/tousu/show/id/1349396","http://ts.21cn.com/tousu/show/id/1349396")</f>
        <v>http://ts.21cn.com/tousu/show/id/1349396</v>
      </c>
      <c r="F17578" s="2" t="s">
        <v>11</v>
      </c>
      <c r="G17578" s="2" t="s">
        <v>9615</v>
      </c>
      <c r="H17578" s="2" t="s">
        <v>9616</v>
      </c>
    </row>
    <row r="17579" spans="1:8" ht="25.05" customHeight="1" x14ac:dyDescent="0.25">
      <c r="A17579" s="2" t="s">
        <v>8</v>
      </c>
      <c r="B17579" s="2" t="str">
        <f>HYPERLINK("http://ts.21cn.com/tousu/show/id/1349397","骚扰短信")</f>
        <v>骚扰短信</v>
      </c>
      <c r="C17579" s="2" t="s">
        <v>34</v>
      </c>
      <c r="D17579" s="2" t="s">
        <v>10</v>
      </c>
      <c r="E17579" s="2" t="str">
        <f>HYPERLINK("http://ts.21cn.com/tousu/show/id/1349397","http://ts.21cn.com/tousu/show/id/1349397")</f>
        <v>http://ts.21cn.com/tousu/show/id/1349397</v>
      </c>
      <c r="F17579" s="2" t="s">
        <v>11</v>
      </c>
      <c r="G17579" s="2" t="s">
        <v>9613</v>
      </c>
      <c r="H17579" s="2" t="s">
        <v>9614</v>
      </c>
    </row>
    <row r="17580" spans="1:8" ht="25.05" customHeight="1" x14ac:dyDescent="0.25">
      <c r="A17580" s="2" t="s">
        <v>8</v>
      </c>
      <c r="B17580" s="2" t="str">
        <f>HYPERLINK("http://ts.21cn.com/tousu/show/id/1349398","高利贷，")</f>
        <v>高利贷，</v>
      </c>
      <c r="C17580" s="2" t="s">
        <v>9</v>
      </c>
      <c r="D17580" s="2" t="s">
        <v>10</v>
      </c>
      <c r="E17580" s="2" t="str">
        <f>HYPERLINK("http://ts.21cn.com/tousu/show/id/1349398","http://ts.21cn.com/tousu/show/id/1349398")</f>
        <v>http://ts.21cn.com/tousu/show/id/1349398</v>
      </c>
      <c r="F17580" s="2" t="s">
        <v>11</v>
      </c>
      <c r="G17580" s="2" t="s">
        <v>9611</v>
      </c>
      <c r="H17580" s="2" t="s">
        <v>9612</v>
      </c>
    </row>
    <row r="17581" spans="1:8" ht="25.05" customHeight="1" x14ac:dyDescent="0.25">
      <c r="A17581" s="2" t="s">
        <v>8</v>
      </c>
      <c r="B17581" s="2" t="str">
        <f>HYPERLINK("http://ts.21cn.com/tousu/show/id/1349400","小哪吒联系不上客服，恶意让我逾期")</f>
        <v>小哪吒联系不上客服，恶意让我逾期</v>
      </c>
      <c r="C17581" s="2" t="s">
        <v>9</v>
      </c>
      <c r="D17581" s="2" t="s">
        <v>10</v>
      </c>
      <c r="E17581" s="2" t="str">
        <f>HYPERLINK("http://ts.21cn.com/tousu/show/id/1349400","http://ts.21cn.com/tousu/show/id/1349400")</f>
        <v>http://ts.21cn.com/tousu/show/id/1349400</v>
      </c>
      <c r="F17581" s="2" t="s">
        <v>11</v>
      </c>
      <c r="G17581" s="2" t="s">
        <v>9609</v>
      </c>
      <c r="H17581" s="2" t="s">
        <v>9610</v>
      </c>
    </row>
    <row r="17582" spans="1:8" ht="25.05" customHeight="1" x14ac:dyDescent="0.25">
      <c r="A17582" s="2" t="s">
        <v>8</v>
      </c>
      <c r="B17582" s="2" t="str">
        <f>HYPERLINK("http://ts.21cn.com/tousu/show/id/1349399","被强制贷款")</f>
        <v>被强制贷款</v>
      </c>
      <c r="C17582" s="2" t="s">
        <v>9</v>
      </c>
      <c r="D17582" s="2" t="s">
        <v>10</v>
      </c>
      <c r="E17582" s="2" t="str">
        <f>HYPERLINK("http://ts.21cn.com/tousu/show/id/1349399","http://ts.21cn.com/tousu/show/id/1349399")</f>
        <v>http://ts.21cn.com/tousu/show/id/1349399</v>
      </c>
      <c r="F17582" s="2" t="s">
        <v>11</v>
      </c>
      <c r="G17582" s="2" t="s">
        <v>9607</v>
      </c>
      <c r="H17582" s="2" t="s">
        <v>9608</v>
      </c>
    </row>
    <row r="17583" spans="1:8" ht="25.05" customHeight="1" x14ac:dyDescent="0.25">
      <c r="A17583" s="2" t="s">
        <v>8</v>
      </c>
      <c r="B17583" s="2" t="str">
        <f>HYPERLINK("http://ts.21cn.com/tousu/show/id/1349401","个人不知情被投保，要求退保")</f>
        <v>个人不知情被投保，要求退保</v>
      </c>
      <c r="C17583" s="2" t="s">
        <v>9</v>
      </c>
      <c r="D17583" s="2" t="s">
        <v>10</v>
      </c>
      <c r="E17583" s="2" t="str">
        <f>HYPERLINK("http://ts.21cn.com/tousu/show/id/1349401","http://ts.21cn.com/tousu/show/id/1349401")</f>
        <v>http://ts.21cn.com/tousu/show/id/1349401</v>
      </c>
      <c r="F17583" s="2" t="s">
        <v>11</v>
      </c>
      <c r="G17583" s="2" t="s">
        <v>9605</v>
      </c>
      <c r="H17583" s="2" t="s">
        <v>9606</v>
      </c>
    </row>
    <row r="17584" spans="1:8" ht="25.05" customHeight="1" x14ac:dyDescent="0.25">
      <c r="A17584" s="2" t="s">
        <v>8</v>
      </c>
      <c r="B17584" s="2" t="str">
        <f>HYPERLINK("http://ts.21cn.com/tousu/show/id/1349402","无法还款")</f>
        <v>无法还款</v>
      </c>
      <c r="C17584" s="2" t="s">
        <v>34</v>
      </c>
      <c r="D17584" s="2" t="s">
        <v>10</v>
      </c>
      <c r="E17584" s="2" t="str">
        <f>HYPERLINK("http://ts.21cn.com/tousu/show/id/1349402","http://ts.21cn.com/tousu/show/id/1349402")</f>
        <v>http://ts.21cn.com/tousu/show/id/1349402</v>
      </c>
      <c r="F17584" s="2" t="s">
        <v>11</v>
      </c>
      <c r="G17584" s="2" t="s">
        <v>9603</v>
      </c>
      <c r="H17584" s="2" t="s">
        <v>9604</v>
      </c>
    </row>
    <row r="17585" spans="1:8" ht="25.05" customHeight="1" x14ac:dyDescent="0.25">
      <c r="A17585" s="2" t="s">
        <v>8</v>
      </c>
      <c r="B17585" s="2" t="str">
        <f>HYPERLINK("http://ts.21cn.com/tousu/show/id/1349403","闪电借款诱导消费者购买财神卡借款2100到账1660超过国家3分利息")</f>
        <v>闪电借款诱导消费者购买财神卡借款2100到账1660超过国家3分利息</v>
      </c>
      <c r="C17585" s="2" t="s">
        <v>9</v>
      </c>
      <c r="D17585" s="2" t="s">
        <v>10</v>
      </c>
      <c r="E17585" s="2" t="str">
        <f>HYPERLINK("http://ts.21cn.com/tousu/show/id/1349403","http://ts.21cn.com/tousu/show/id/1349403")</f>
        <v>http://ts.21cn.com/tousu/show/id/1349403</v>
      </c>
      <c r="F17585" s="2" t="s">
        <v>11</v>
      </c>
      <c r="G17585" s="2" t="s">
        <v>9601</v>
      </c>
      <c r="H17585" s="2" t="s">
        <v>9602</v>
      </c>
    </row>
    <row r="17586" spans="1:8" ht="25.05" customHeight="1" x14ac:dyDescent="0.25">
      <c r="A17586" s="2" t="s">
        <v>8</v>
      </c>
      <c r="B17586" s="2" t="str">
        <f>HYPERLINK("http://ts.21cn.com/tousu/show/id/1349404","随手记暴力催收，恐吓上门，砍头息")</f>
        <v>随手记暴力催收，恐吓上门，砍头息</v>
      </c>
      <c r="C17586" s="2" t="s">
        <v>9</v>
      </c>
      <c r="D17586" s="2" t="s">
        <v>10</v>
      </c>
      <c r="E17586" s="2" t="str">
        <f>HYPERLINK("http://ts.21cn.com/tousu/show/id/1349404","http://ts.21cn.com/tousu/show/id/1349404")</f>
        <v>http://ts.21cn.com/tousu/show/id/1349404</v>
      </c>
      <c r="F17586" s="2" t="s">
        <v>11</v>
      </c>
      <c r="G17586" s="2" t="s">
        <v>9599</v>
      </c>
      <c r="H17586" s="2" t="s">
        <v>9600</v>
      </c>
    </row>
    <row r="17587" spans="1:8" ht="25.05" customHeight="1" x14ac:dyDescent="0.25">
      <c r="A17587" s="2" t="s">
        <v>8</v>
      </c>
      <c r="B17587" s="2" t="str">
        <f>HYPERLINK("http://ts.21cn.com/tousu/show/id/1349405","2345贷款王即刻贷找不到APP")</f>
        <v>2345贷款王即刻贷找不到APP</v>
      </c>
      <c r="C17587" s="2" t="s">
        <v>9</v>
      </c>
      <c r="D17587" s="2" t="s">
        <v>10</v>
      </c>
      <c r="E17587" s="2" t="str">
        <f>HYPERLINK("http://ts.21cn.com/tousu/show/id/1349405","http://ts.21cn.com/tousu/show/id/1349405")</f>
        <v>http://ts.21cn.com/tousu/show/id/1349405</v>
      </c>
      <c r="F17587" s="2" t="s">
        <v>11</v>
      </c>
      <c r="G17587" s="2" t="s">
        <v>9597</v>
      </c>
      <c r="H17587" s="2" t="s">
        <v>9598</v>
      </c>
    </row>
    <row r="17588" spans="1:8" ht="25.05" customHeight="1" x14ac:dyDescent="0.25">
      <c r="A17588" s="2" t="s">
        <v>8</v>
      </c>
      <c r="B17588" s="2" t="str">
        <f>HYPERLINK("http://ts.21cn.com/tousu/show/id/1349407","变相收费，暴通讯录，骚扰通讯录无关人员")</f>
        <v>变相收费，暴通讯录，骚扰通讯录无关人员</v>
      </c>
      <c r="C17588" s="2" t="s">
        <v>9</v>
      </c>
      <c r="D17588" s="2" t="s">
        <v>10</v>
      </c>
      <c r="E17588" s="2" t="str">
        <f>HYPERLINK("http://ts.21cn.com/tousu/show/id/1349407","http://ts.21cn.com/tousu/show/id/1349407")</f>
        <v>http://ts.21cn.com/tousu/show/id/1349407</v>
      </c>
      <c r="F17588" s="2" t="s">
        <v>11</v>
      </c>
      <c r="G17588" s="2" t="s">
        <v>9595</v>
      </c>
      <c r="H17588" s="2" t="s">
        <v>9596</v>
      </c>
    </row>
    <row r="17589" spans="1:8" ht="25.05" customHeight="1" x14ac:dyDescent="0.25">
      <c r="A17589" s="2" t="s">
        <v>8</v>
      </c>
      <c r="B17589" s="2" t="str">
        <f>HYPERLINK("http://ts.21cn.com/tousu/show/id/1349408","钱站高利贷虚假合同")</f>
        <v>钱站高利贷虚假合同</v>
      </c>
      <c r="C17589" s="2" t="s">
        <v>9</v>
      </c>
      <c r="D17589" s="2" t="s">
        <v>10</v>
      </c>
      <c r="E17589" s="2" t="str">
        <f>HYPERLINK("http://ts.21cn.com/tousu/show/id/1349408","http://ts.21cn.com/tousu/show/id/1349408")</f>
        <v>http://ts.21cn.com/tousu/show/id/1349408</v>
      </c>
      <c r="F17589" s="2" t="s">
        <v>11</v>
      </c>
      <c r="G17589" s="2" t="s">
        <v>9593</v>
      </c>
      <c r="H17589" s="2" t="s">
        <v>9594</v>
      </c>
    </row>
    <row r="17590" spans="1:8" ht="25.05" customHeight="1" x14ac:dyDescent="0.25">
      <c r="A17590" s="2" t="s">
        <v>8</v>
      </c>
      <c r="B17590" s="2" t="str">
        <f>HYPERLINK("http://ts.21cn.com/tousu/show/id/1349410","退款两次都失败？是什么原因？")</f>
        <v>退款两次都失败？是什么原因？</v>
      </c>
      <c r="C17590" s="2" t="s">
        <v>9</v>
      </c>
      <c r="D17590" s="2" t="s">
        <v>10</v>
      </c>
      <c r="E17590" s="2" t="str">
        <f>HYPERLINK("http://ts.21cn.com/tousu/show/id/1349410","http://ts.21cn.com/tousu/show/id/1349410")</f>
        <v>http://ts.21cn.com/tousu/show/id/1349410</v>
      </c>
      <c r="F17590" s="2" t="s">
        <v>11</v>
      </c>
      <c r="G17590" s="2" t="s">
        <v>9591</v>
      </c>
      <c r="H17590" s="2" t="s">
        <v>9592</v>
      </c>
    </row>
    <row r="17591" spans="1:8" ht="25.05" customHeight="1" x14ac:dyDescent="0.25">
      <c r="A17591" s="2" t="s">
        <v>8</v>
      </c>
      <c r="B17591" s="2" t="str">
        <f>HYPERLINK("http://ts.21cn.com/tousu/show/id/1349412","在已还款的情况下持续短信威胁。")</f>
        <v>在已还款的情况下持续短信威胁。</v>
      </c>
      <c r="C17591" s="2" t="s">
        <v>9</v>
      </c>
      <c r="D17591" s="2" t="s">
        <v>10</v>
      </c>
      <c r="E17591" s="2" t="str">
        <f>HYPERLINK("http://ts.21cn.com/tousu/show/id/1349412","http://ts.21cn.com/tousu/show/id/1349412")</f>
        <v>http://ts.21cn.com/tousu/show/id/1349412</v>
      </c>
      <c r="F17591" s="2" t="s">
        <v>11</v>
      </c>
      <c r="G17591" s="2" t="s">
        <v>9589</v>
      </c>
      <c r="H17591" s="2" t="s">
        <v>9590</v>
      </c>
    </row>
    <row r="17592" spans="1:8" ht="25.05" customHeight="1" x14ac:dyDescent="0.25">
      <c r="A17592" s="2" t="s">
        <v>8</v>
      </c>
      <c r="B17592" s="2" t="str">
        <f>HYPERLINK("http://ts.21cn.com/tousu/show/id/1349413","交通银行雇佣第三方催收人员对我进行威胁")</f>
        <v>交通银行雇佣第三方催收人员对我进行威胁</v>
      </c>
      <c r="C17592" s="2" t="s">
        <v>9</v>
      </c>
      <c r="D17592" s="2" t="s">
        <v>10</v>
      </c>
      <c r="E17592" s="2" t="str">
        <f>HYPERLINK("http://ts.21cn.com/tousu/show/id/1349413","http://ts.21cn.com/tousu/show/id/1349413")</f>
        <v>http://ts.21cn.com/tousu/show/id/1349413</v>
      </c>
      <c r="F17592" s="2" t="s">
        <v>11</v>
      </c>
      <c r="G17592" s="2" t="s">
        <v>9587</v>
      </c>
      <c r="H17592" s="2" t="s">
        <v>9588</v>
      </c>
    </row>
    <row r="17593" spans="1:8" ht="25.05" customHeight="1" x14ac:dyDescent="0.25">
      <c r="A17593" s="2" t="s">
        <v>8</v>
      </c>
      <c r="B17593" s="2" t="str">
        <f>HYPERLINK("http://ts.21cn.com/tousu/show/id/1349414","宜人贷高利贷违规催收")</f>
        <v>宜人贷高利贷违规催收</v>
      </c>
      <c r="C17593" s="2" t="s">
        <v>9</v>
      </c>
      <c r="D17593" s="2" t="s">
        <v>10</v>
      </c>
      <c r="E17593" s="2" t="str">
        <f>HYPERLINK("http://ts.21cn.com/tousu/show/id/1349414","http://ts.21cn.com/tousu/show/id/1349414")</f>
        <v>http://ts.21cn.com/tousu/show/id/1349414</v>
      </c>
      <c r="F17593" s="2" t="s">
        <v>11</v>
      </c>
      <c r="G17593" s="2" t="s">
        <v>9585</v>
      </c>
      <c r="H17593" s="2" t="s">
        <v>9586</v>
      </c>
    </row>
    <row r="17594" spans="1:8" ht="25.05" customHeight="1" x14ac:dyDescent="0.25">
      <c r="A17594" s="2" t="s">
        <v>8</v>
      </c>
      <c r="B17594" s="2" t="str">
        <f>HYPERLINK("http://ts.21cn.com/tousu/show/id/1349417","减免逾期费用")</f>
        <v>减免逾期费用</v>
      </c>
      <c r="C17594" s="2" t="s">
        <v>9</v>
      </c>
      <c r="D17594" s="2" t="s">
        <v>10</v>
      </c>
      <c r="E17594" s="2" t="str">
        <f>HYPERLINK("http://ts.21cn.com/tousu/show/id/1349417","http://ts.21cn.com/tousu/show/id/1349417")</f>
        <v>http://ts.21cn.com/tousu/show/id/1349417</v>
      </c>
      <c r="F17594" s="2" t="s">
        <v>11</v>
      </c>
      <c r="G17594" s="2" t="s">
        <v>9583</v>
      </c>
      <c r="H17594" s="2" t="s">
        <v>9584</v>
      </c>
    </row>
    <row r="17595" spans="1:8" ht="25.05" customHeight="1" x14ac:dyDescent="0.25">
      <c r="A17595" s="2" t="s">
        <v>8</v>
      </c>
      <c r="B17595" s="2" t="str">
        <f>HYPERLINK("http://ts.21cn.com/tousu/show/id/1349415","逾期一天多小花暴力催收恐吓我和我的家人")</f>
        <v>逾期一天多小花暴力催收恐吓我和我的家人</v>
      </c>
      <c r="C17595" s="2" t="s">
        <v>9</v>
      </c>
      <c r="D17595" s="2" t="s">
        <v>10</v>
      </c>
      <c r="E17595" s="2" t="str">
        <f>HYPERLINK("http://ts.21cn.com/tousu/show/id/1349415","http://ts.21cn.com/tousu/show/id/1349415")</f>
        <v>http://ts.21cn.com/tousu/show/id/1349415</v>
      </c>
      <c r="F17595" s="2" t="s">
        <v>11</v>
      </c>
      <c r="G17595" s="2" t="s">
        <v>9581</v>
      </c>
      <c r="H17595" s="2" t="s">
        <v>9582</v>
      </c>
    </row>
    <row r="17596" spans="1:8" ht="25.05" customHeight="1" x14ac:dyDescent="0.25">
      <c r="A17596" s="2" t="s">
        <v>8</v>
      </c>
      <c r="B17596" s="2" t="str">
        <f>HYPERLINK("http://ts.21cn.com/tousu/show/id/1349416","随便借乱扣费")</f>
        <v>随便借乱扣费</v>
      </c>
      <c r="C17596" s="2" t="s">
        <v>9</v>
      </c>
      <c r="D17596" s="2" t="s">
        <v>10</v>
      </c>
      <c r="E17596" s="2" t="str">
        <f>HYPERLINK("http://ts.21cn.com/tousu/show/id/1349416","http://ts.21cn.com/tousu/show/id/1349416")</f>
        <v>http://ts.21cn.com/tousu/show/id/1349416</v>
      </c>
      <c r="F17596" s="2" t="s">
        <v>11</v>
      </c>
      <c r="G17596" s="2" t="s">
        <v>9579</v>
      </c>
      <c r="H17596" s="2" t="s">
        <v>9580</v>
      </c>
    </row>
    <row r="17597" spans="1:8" ht="25.05" customHeight="1" x14ac:dyDescent="0.25">
      <c r="A17597" s="2" t="s">
        <v>8</v>
      </c>
      <c r="B17597" s="2" t="str">
        <f>HYPERLINK("http://ts.21cn.com/tousu/show/id/1349418","即有分期恐吓上门")</f>
        <v>即有分期恐吓上门</v>
      </c>
      <c r="C17597" s="2" t="s">
        <v>9</v>
      </c>
      <c r="D17597" s="2" t="s">
        <v>10</v>
      </c>
      <c r="E17597" s="2" t="str">
        <f>HYPERLINK("http://ts.21cn.com/tousu/show/id/1349418","http://ts.21cn.com/tousu/show/id/1349418")</f>
        <v>http://ts.21cn.com/tousu/show/id/1349418</v>
      </c>
      <c r="F17597" s="2" t="s">
        <v>11</v>
      </c>
      <c r="G17597" s="2" t="s">
        <v>9577</v>
      </c>
      <c r="H17597" s="2" t="s">
        <v>9578</v>
      </c>
    </row>
    <row r="17598" spans="1:8" ht="25.05" customHeight="1" x14ac:dyDescent="0.25">
      <c r="A17598" s="2" t="s">
        <v>8</v>
      </c>
      <c r="B17598" s="2" t="str">
        <f>HYPERLINK("http://ts.21cn.com/tousu/show/id/1349423","虚假信息")</f>
        <v>虚假信息</v>
      </c>
      <c r="C17598" s="2" t="s">
        <v>9</v>
      </c>
      <c r="D17598" s="2" t="s">
        <v>10</v>
      </c>
      <c r="E17598" s="2" t="str">
        <f>HYPERLINK("http://ts.21cn.com/tousu/show/id/1349423","http://ts.21cn.com/tousu/show/id/1349423")</f>
        <v>http://ts.21cn.com/tousu/show/id/1349423</v>
      </c>
      <c r="F17598" s="2" t="s">
        <v>11</v>
      </c>
      <c r="G17598" s="2" t="s">
        <v>9575</v>
      </c>
      <c r="H17598" s="2" t="s">
        <v>9576</v>
      </c>
    </row>
    <row r="17599" spans="1:8" ht="25.05" customHeight="1" x14ac:dyDescent="0.25">
      <c r="A17599" s="2" t="s">
        <v>8</v>
      </c>
      <c r="B17599" s="2" t="str">
        <f>HYPERLINK("http://ts.21cn.com/tousu/show/id/1349420","卡牛瑞贷乱扣款")</f>
        <v>卡牛瑞贷乱扣款</v>
      </c>
      <c r="C17599" s="2" t="s">
        <v>9</v>
      </c>
      <c r="D17599" s="2" t="s">
        <v>10</v>
      </c>
      <c r="E17599" s="2" t="str">
        <f>HYPERLINK("http://ts.21cn.com/tousu/show/id/1349420","http://ts.21cn.com/tousu/show/id/1349420")</f>
        <v>http://ts.21cn.com/tousu/show/id/1349420</v>
      </c>
      <c r="F17599" s="2" t="s">
        <v>11</v>
      </c>
      <c r="G17599" s="2" t="s">
        <v>9573</v>
      </c>
      <c r="H17599" s="2" t="s">
        <v>9574</v>
      </c>
    </row>
    <row r="17600" spans="1:8" ht="25.05" customHeight="1" x14ac:dyDescent="0.25">
      <c r="A17600" s="2" t="s">
        <v>8</v>
      </c>
      <c r="B17600" s="2" t="str">
        <f>HYPERLINK("http://ts.21cn.com/tousu/show/id/1349395","分期乐显示贷款通过不放款让交前期费用")</f>
        <v>分期乐显示贷款通过不放款让交前期费用</v>
      </c>
      <c r="C17600" s="2" t="s">
        <v>34</v>
      </c>
      <c r="D17600" s="2" t="s">
        <v>10</v>
      </c>
      <c r="E17600" s="2" t="str">
        <f>HYPERLINK("http://ts.21cn.com/tousu/show/id/1349395","http://ts.21cn.com/tousu/show/id/1349395")</f>
        <v>http://ts.21cn.com/tousu/show/id/1349395</v>
      </c>
      <c r="F17600" s="2" t="s">
        <v>11</v>
      </c>
      <c r="G17600" s="2" t="s">
        <v>9571</v>
      </c>
      <c r="H17600" s="2" t="s">
        <v>9572</v>
      </c>
    </row>
    <row r="17601" spans="1:8" ht="25.05" customHeight="1" x14ac:dyDescent="0.25">
      <c r="A17601" s="2" t="s">
        <v>8</v>
      </c>
      <c r="B17601" s="2" t="str">
        <f>HYPERLINK("http://ts.21cn.com/tousu/show/id/1349421","中国银联从工商银行储蓄卡偷划走的钱还能要的回来吗？")</f>
        <v>中国银联从工商银行储蓄卡偷划走的钱还能要的回来吗？</v>
      </c>
      <c r="C17601" s="2" t="s">
        <v>9</v>
      </c>
      <c r="D17601" s="2" t="s">
        <v>10</v>
      </c>
      <c r="E17601" s="2" t="str">
        <f>HYPERLINK("http://ts.21cn.com/tousu/show/id/1349421","http://ts.21cn.com/tousu/show/id/1349421")</f>
        <v>http://ts.21cn.com/tousu/show/id/1349421</v>
      </c>
      <c r="F17601" s="2" t="s">
        <v>11</v>
      </c>
      <c r="G17601" s="2" t="s">
        <v>9569</v>
      </c>
      <c r="H17601" s="2" t="s">
        <v>9570</v>
      </c>
    </row>
    <row r="17602" spans="1:8" ht="25.05" customHeight="1" x14ac:dyDescent="0.25">
      <c r="A17602" s="2" t="s">
        <v>8</v>
      </c>
      <c r="B17602" s="2" t="str">
        <f>HYPERLINK("http://ts.21cn.com/tousu/show/id/1349424","易宝支付集体投诉")</f>
        <v>易宝支付集体投诉</v>
      </c>
      <c r="C17602" s="2" t="s">
        <v>9</v>
      </c>
      <c r="D17602" s="2" t="s">
        <v>10</v>
      </c>
      <c r="E17602" s="2" t="str">
        <f>HYPERLINK("http://ts.21cn.com/tousu/show/id/1349424","http://ts.21cn.com/tousu/show/id/1349424")</f>
        <v>http://ts.21cn.com/tousu/show/id/1349424</v>
      </c>
      <c r="F17602" s="2" t="s">
        <v>11</v>
      </c>
      <c r="G17602" s="2" t="s">
        <v>9567</v>
      </c>
      <c r="H17602" s="2" t="s">
        <v>9568</v>
      </c>
    </row>
    <row r="17603" spans="1:8" ht="25.05" customHeight="1" x14ac:dyDescent="0.25">
      <c r="A17603" s="2" t="s">
        <v>8</v>
      </c>
      <c r="B17603" s="2" t="str">
        <f>HYPERLINK("http://ts.21cn.com/tousu/show/id/1349425","在本人不知情的情况下收取利息和手续费太高")</f>
        <v>在本人不知情的情况下收取利息和手续费太高</v>
      </c>
      <c r="C17603" s="2" t="s">
        <v>9</v>
      </c>
      <c r="D17603" s="2" t="s">
        <v>10</v>
      </c>
      <c r="E17603" s="2" t="str">
        <f>HYPERLINK("http://ts.21cn.com/tousu/show/id/1349425","http://ts.21cn.com/tousu/show/id/1349425")</f>
        <v>http://ts.21cn.com/tousu/show/id/1349425</v>
      </c>
      <c r="F17603" s="2" t="s">
        <v>11</v>
      </c>
      <c r="G17603" s="2" t="s">
        <v>9565</v>
      </c>
      <c r="H17603" s="2" t="s">
        <v>9566</v>
      </c>
    </row>
    <row r="17604" spans="1:8" ht="25.05" customHeight="1" x14ac:dyDescent="0.25">
      <c r="A17604" s="2" t="s">
        <v>8</v>
      </c>
      <c r="B17604" s="2" t="str">
        <f>HYPERLINK("http://ts.21cn.com/tousu/show/id/1349426","联通易借暴力催收")</f>
        <v>联通易借暴力催收</v>
      </c>
      <c r="C17604" s="2" t="s">
        <v>9</v>
      </c>
      <c r="D17604" s="2" t="s">
        <v>10</v>
      </c>
      <c r="E17604" s="2" t="str">
        <f>HYPERLINK("http://ts.21cn.com/tousu/show/id/1349426","http://ts.21cn.com/tousu/show/id/1349426")</f>
        <v>http://ts.21cn.com/tousu/show/id/1349426</v>
      </c>
      <c r="F17604" s="2" t="s">
        <v>11</v>
      </c>
      <c r="G17604" s="2" t="s">
        <v>9563</v>
      </c>
      <c r="H17604" s="2" t="s">
        <v>9564</v>
      </c>
    </row>
    <row r="17605" spans="1:8" ht="25.05" customHeight="1" x14ac:dyDescent="0.25">
      <c r="A17605" s="2" t="s">
        <v>8</v>
      </c>
      <c r="B17605" s="2" t="str">
        <f>HYPERLINK("http://ts.21cn.com/tousu/show/id/1349428","网络暴力催收")</f>
        <v>网络暴力催收</v>
      </c>
      <c r="C17605" s="2" t="s">
        <v>9</v>
      </c>
      <c r="D17605" s="2" t="s">
        <v>10</v>
      </c>
      <c r="E17605" s="2" t="str">
        <f>HYPERLINK("http://ts.21cn.com/tousu/show/id/1349428","http://ts.21cn.com/tousu/show/id/1349428")</f>
        <v>http://ts.21cn.com/tousu/show/id/1349428</v>
      </c>
      <c r="F17605" s="2" t="s">
        <v>11</v>
      </c>
      <c r="G17605" s="2" t="s">
        <v>9561</v>
      </c>
      <c r="H17605" s="2" t="s">
        <v>9562</v>
      </c>
    </row>
    <row r="17606" spans="1:8" ht="25.05" customHeight="1" x14ac:dyDescent="0.25">
      <c r="A17606" s="2" t="s">
        <v>8</v>
      </c>
      <c r="B17606" s="2" t="str">
        <f>HYPERLINK("http://ts.21cn.com/tousu/show/id/1349429","交易猫一直退款失败，找不到客服协商")</f>
        <v>交易猫一直退款失败，找不到客服协商</v>
      </c>
      <c r="C17606" s="2" t="s">
        <v>34</v>
      </c>
      <c r="D17606" s="2" t="s">
        <v>10</v>
      </c>
      <c r="E17606" s="2" t="str">
        <f>HYPERLINK("http://ts.21cn.com/tousu/show/id/1349429","http://ts.21cn.com/tousu/show/id/1349429")</f>
        <v>http://ts.21cn.com/tousu/show/id/1349429</v>
      </c>
      <c r="F17606" s="2" t="s">
        <v>11</v>
      </c>
      <c r="G17606" s="2" t="s">
        <v>9559</v>
      </c>
      <c r="H17606" s="2" t="s">
        <v>9560</v>
      </c>
    </row>
    <row r="17607" spans="1:8" ht="25.05" customHeight="1" x14ac:dyDescent="0.25">
      <c r="A17607" s="2" t="s">
        <v>8</v>
      </c>
      <c r="B17607" s="2" t="str">
        <f>HYPERLINK("http://ts.21cn.com/tousu/show/id/1349432","蛋壳公寓退房不给处理")</f>
        <v>蛋壳公寓退房不给处理</v>
      </c>
      <c r="C17607" s="2" t="s">
        <v>9</v>
      </c>
      <c r="D17607" s="2" t="s">
        <v>10</v>
      </c>
      <c r="E17607" s="2" t="str">
        <f>HYPERLINK("http://ts.21cn.com/tousu/show/id/1349432","http://ts.21cn.com/tousu/show/id/1349432")</f>
        <v>http://ts.21cn.com/tousu/show/id/1349432</v>
      </c>
      <c r="F17607" s="2" t="s">
        <v>11</v>
      </c>
      <c r="G17607" s="2" t="s">
        <v>9557</v>
      </c>
      <c r="H17607" s="2" t="s">
        <v>9558</v>
      </c>
    </row>
    <row r="17608" spans="1:8" ht="25.05" customHeight="1" x14ac:dyDescent="0.25">
      <c r="A17608" s="2" t="s">
        <v>8</v>
      </c>
      <c r="B17608" s="2" t="str">
        <f>HYPERLINK("http://ts.21cn.com/tousu/show/id/1349430","退还强制购物砍头息")</f>
        <v>退还强制购物砍头息</v>
      </c>
      <c r="C17608" s="2" t="s">
        <v>9</v>
      </c>
      <c r="D17608" s="2" t="s">
        <v>10</v>
      </c>
      <c r="E17608" s="2" t="str">
        <f>HYPERLINK("http://ts.21cn.com/tousu/show/id/1349430","http://ts.21cn.com/tousu/show/id/1349430")</f>
        <v>http://ts.21cn.com/tousu/show/id/1349430</v>
      </c>
      <c r="F17608" s="2" t="s">
        <v>11</v>
      </c>
      <c r="G17608" s="2" t="s">
        <v>9555</v>
      </c>
      <c r="H17608" s="2" t="s">
        <v>9556</v>
      </c>
    </row>
    <row r="17609" spans="1:8" ht="25.05" customHeight="1" x14ac:dyDescent="0.25">
      <c r="A17609" s="2" t="s">
        <v>8</v>
      </c>
      <c r="B17609" s="2" t="str">
        <f>HYPERLINK("http://ts.21cn.com/tousu/show/id/1349431","平安普惠高利贷")</f>
        <v>平安普惠高利贷</v>
      </c>
      <c r="C17609" s="2" t="s">
        <v>9</v>
      </c>
      <c r="D17609" s="2" t="s">
        <v>10</v>
      </c>
      <c r="E17609" s="2" t="str">
        <f>HYPERLINK("http://ts.21cn.com/tousu/show/id/1349431","http://ts.21cn.com/tousu/show/id/1349431")</f>
        <v>http://ts.21cn.com/tousu/show/id/1349431</v>
      </c>
      <c r="F17609" s="2" t="s">
        <v>11</v>
      </c>
      <c r="G17609" s="2" t="s">
        <v>9553</v>
      </c>
      <c r="H17609" s="2" t="s">
        <v>9554</v>
      </c>
    </row>
    <row r="17610" spans="1:8" ht="25.05" customHeight="1" x14ac:dyDescent="0.25">
      <c r="A17610" s="2" t="s">
        <v>8</v>
      </c>
      <c r="B17610" s="2" t="str">
        <f>HYPERLINK("http://ts.21cn.com/tousu/show/id/1349435","玖富万卡恶意增加结清费用")</f>
        <v>玖富万卡恶意增加结清费用</v>
      </c>
      <c r="C17610" s="2" t="s">
        <v>9</v>
      </c>
      <c r="D17610" s="2" t="s">
        <v>10</v>
      </c>
      <c r="E17610" s="2" t="str">
        <f>HYPERLINK("http://ts.21cn.com/tousu/show/id/1349435","http://ts.21cn.com/tousu/show/id/1349435")</f>
        <v>http://ts.21cn.com/tousu/show/id/1349435</v>
      </c>
      <c r="F17610" s="2" t="s">
        <v>11</v>
      </c>
      <c r="G17610" s="2" t="s">
        <v>9551</v>
      </c>
      <c r="H17610" s="2" t="s">
        <v>9552</v>
      </c>
    </row>
    <row r="17611" spans="1:8" ht="25.05" customHeight="1" x14ac:dyDescent="0.25">
      <c r="A17611" s="2" t="s">
        <v>8</v>
      </c>
      <c r="B17611" s="2" t="str">
        <f>HYPERLINK("http://ts.21cn.com/tousu/show/id/1349433","宜信疯狂催收在已经协商还款情况下依然恐吓侮辱！")</f>
        <v>宜信疯狂催收在已经协商还款情况下依然恐吓侮辱！</v>
      </c>
      <c r="C17611" s="2" t="s">
        <v>9</v>
      </c>
      <c r="D17611" s="2" t="s">
        <v>10</v>
      </c>
      <c r="E17611" s="2" t="str">
        <f>HYPERLINK("http://ts.21cn.com/tousu/show/id/1349433","http://ts.21cn.com/tousu/show/id/1349433")</f>
        <v>http://ts.21cn.com/tousu/show/id/1349433</v>
      </c>
      <c r="F17611" s="2" t="s">
        <v>11</v>
      </c>
      <c r="G17611" s="2" t="s">
        <v>9549</v>
      </c>
      <c r="H17611" s="2" t="s">
        <v>9550</v>
      </c>
    </row>
    <row r="17612" spans="1:8" ht="25.05" customHeight="1" x14ac:dyDescent="0.25">
      <c r="A17612" s="2" t="s">
        <v>8</v>
      </c>
      <c r="B17612" s="2" t="str">
        <f>HYPERLINK("http://ts.21cn.com/tousu/show/id/1349434","豆豆钱强制扣保险费晚还款一天多扣100")</f>
        <v>豆豆钱强制扣保险费晚还款一天多扣100</v>
      </c>
      <c r="C17612" s="2" t="s">
        <v>9</v>
      </c>
      <c r="D17612" s="2" t="s">
        <v>10</v>
      </c>
      <c r="E17612" s="2" t="str">
        <f>HYPERLINK("http://ts.21cn.com/tousu/show/id/1349434","http://ts.21cn.com/tousu/show/id/1349434")</f>
        <v>http://ts.21cn.com/tousu/show/id/1349434</v>
      </c>
      <c r="F17612" s="2" t="s">
        <v>11</v>
      </c>
      <c r="G17612" s="2" t="s">
        <v>9547</v>
      </c>
      <c r="H17612" s="2" t="s">
        <v>9548</v>
      </c>
    </row>
    <row r="17613" spans="1:8" ht="25.05" customHeight="1" x14ac:dyDescent="0.25">
      <c r="A17613" s="2" t="s">
        <v>8</v>
      </c>
      <c r="B17613" s="2" t="str">
        <f>HYPERLINK("http://ts.21cn.com/tousu/show/id/1349436","去哪儿网火车票订单取消后仍然出票扣款")</f>
        <v>去哪儿网火车票订单取消后仍然出票扣款</v>
      </c>
      <c r="C17613" s="2" t="s">
        <v>34</v>
      </c>
      <c r="D17613" s="2" t="s">
        <v>10</v>
      </c>
      <c r="E17613" s="2" t="str">
        <f>HYPERLINK("http://ts.21cn.com/tousu/show/id/1349436","http://ts.21cn.com/tousu/show/id/1349436")</f>
        <v>http://ts.21cn.com/tousu/show/id/1349436</v>
      </c>
      <c r="F17613" s="2" t="s">
        <v>11</v>
      </c>
      <c r="G17613" s="2" t="s">
        <v>9545</v>
      </c>
      <c r="H17613" s="2" t="s">
        <v>9546</v>
      </c>
    </row>
    <row r="17614" spans="1:8" ht="25.05" customHeight="1" x14ac:dyDescent="0.25">
      <c r="A17614" s="2" t="s">
        <v>8</v>
      </c>
      <c r="B17614" s="2" t="str">
        <f>HYPERLINK("http://ts.21cn.com/tousu/show/id/1349437","暴力催收如同黑社会，各种威胁，把我往死里逼")</f>
        <v>暴力催收如同黑社会，各种威胁，把我往死里逼</v>
      </c>
      <c r="C17614" s="2" t="s">
        <v>9</v>
      </c>
      <c r="D17614" s="2" t="s">
        <v>10</v>
      </c>
      <c r="E17614" s="2" t="str">
        <f>HYPERLINK("http://ts.21cn.com/tousu/show/id/1349437","http://ts.21cn.com/tousu/show/id/1349437")</f>
        <v>http://ts.21cn.com/tousu/show/id/1349437</v>
      </c>
      <c r="F17614" s="2" t="s">
        <v>11</v>
      </c>
      <c r="G17614" s="2" t="s">
        <v>9543</v>
      </c>
      <c r="H17614" s="2" t="s">
        <v>9544</v>
      </c>
    </row>
    <row r="17615" spans="1:8" ht="25.05" customHeight="1" x14ac:dyDescent="0.25">
      <c r="A17615" s="2" t="s">
        <v>8</v>
      </c>
      <c r="B17615" s="2" t="str">
        <f>HYPERLINK("http://ts.21cn.com/tousu/show/id/1349438","借款高利贷严重超出国家利息")</f>
        <v>借款高利贷严重超出国家利息</v>
      </c>
      <c r="C17615" s="2" t="s">
        <v>9</v>
      </c>
      <c r="D17615" s="2" t="s">
        <v>10</v>
      </c>
      <c r="E17615" s="2" t="str">
        <f>HYPERLINK("http://ts.21cn.com/tousu/show/id/1349438","http://ts.21cn.com/tousu/show/id/1349438")</f>
        <v>http://ts.21cn.com/tousu/show/id/1349438</v>
      </c>
      <c r="F17615" s="2" t="s">
        <v>11</v>
      </c>
      <c r="G17615" s="2" t="s">
        <v>9541</v>
      </c>
      <c r="H17615" s="2" t="s">
        <v>9542</v>
      </c>
    </row>
    <row r="17616" spans="1:8" ht="25.05" customHeight="1" x14ac:dyDescent="0.25">
      <c r="A17616" s="2" t="s">
        <v>8</v>
      </c>
      <c r="B17616" s="2" t="str">
        <f>HYPERLINK("http://ts.21cn.com/tousu/show/id/1349439","民生银行宁波分行催收人员态度恶劣，歪曲事实")</f>
        <v>民生银行宁波分行催收人员态度恶劣，歪曲事实</v>
      </c>
      <c r="C17616" s="2" t="s">
        <v>9</v>
      </c>
      <c r="D17616" s="2" t="s">
        <v>10</v>
      </c>
      <c r="E17616" s="2" t="str">
        <f>HYPERLINK("http://ts.21cn.com/tousu/show/id/1349439","http://ts.21cn.com/tousu/show/id/1349439")</f>
        <v>http://ts.21cn.com/tousu/show/id/1349439</v>
      </c>
      <c r="F17616" s="2" t="s">
        <v>11</v>
      </c>
      <c r="G17616" s="2" t="s">
        <v>9539</v>
      </c>
      <c r="H17616" s="2" t="s">
        <v>9540</v>
      </c>
    </row>
    <row r="17617" spans="1:8" ht="25.05" customHeight="1" x14ac:dyDescent="0.25">
      <c r="A17617" s="2" t="s">
        <v>8</v>
      </c>
      <c r="B17617" s="2" t="str">
        <f>HYPERLINK("http://ts.21cn.com/tousu/show/id/1349440","捷信金融高利贷")</f>
        <v>捷信金融高利贷</v>
      </c>
      <c r="C17617" s="2" t="s">
        <v>9</v>
      </c>
      <c r="D17617" s="2" t="s">
        <v>10</v>
      </c>
      <c r="E17617" s="2" t="str">
        <f>HYPERLINK("http://ts.21cn.com/tousu/show/id/1349440","http://ts.21cn.com/tousu/show/id/1349440")</f>
        <v>http://ts.21cn.com/tousu/show/id/1349440</v>
      </c>
      <c r="F17617" s="2" t="s">
        <v>11</v>
      </c>
      <c r="G17617" s="2" t="s">
        <v>9537</v>
      </c>
      <c r="H17617" s="2" t="s">
        <v>9538</v>
      </c>
    </row>
    <row r="17618" spans="1:8" ht="25.05" customHeight="1" x14ac:dyDescent="0.25">
      <c r="A17618" s="2" t="s">
        <v>8</v>
      </c>
      <c r="B17618" s="2" t="str">
        <f>HYPERLINK("http://ts.21cn.com/tousu/show/id/1349441","中银消费金融高额利息")</f>
        <v>中银消费金融高额利息</v>
      </c>
      <c r="C17618" s="2" t="s">
        <v>9</v>
      </c>
      <c r="D17618" s="2" t="s">
        <v>10</v>
      </c>
      <c r="E17618" s="2" t="str">
        <f>HYPERLINK("http://ts.21cn.com/tousu/show/id/1349441","http://ts.21cn.com/tousu/show/id/1349441")</f>
        <v>http://ts.21cn.com/tousu/show/id/1349441</v>
      </c>
      <c r="F17618" s="2" t="s">
        <v>11</v>
      </c>
      <c r="G17618" s="2" t="s">
        <v>9535</v>
      </c>
      <c r="H17618" s="2" t="s">
        <v>9536</v>
      </c>
    </row>
    <row r="17619" spans="1:8" ht="25.05" customHeight="1" x14ac:dyDescent="0.25">
      <c r="A17619" s="2" t="s">
        <v>8</v>
      </c>
      <c r="B17619" s="2" t="str">
        <f>HYPERLINK("http://ts.21cn.com/tousu/show/id/1349443","万惠及贷涉黑暴力催收")</f>
        <v>万惠及贷涉黑暴力催收</v>
      </c>
      <c r="C17619" s="2" t="s">
        <v>9</v>
      </c>
      <c r="D17619" s="2" t="s">
        <v>10</v>
      </c>
      <c r="E17619" s="2" t="str">
        <f>HYPERLINK("http://ts.21cn.com/tousu/show/id/1349443","http://ts.21cn.com/tousu/show/id/1349443")</f>
        <v>http://ts.21cn.com/tousu/show/id/1349443</v>
      </c>
      <c r="F17619" s="2" t="s">
        <v>11</v>
      </c>
      <c r="G17619" s="2" t="s">
        <v>9533</v>
      </c>
      <c r="H17619" s="2" t="s">
        <v>9534</v>
      </c>
    </row>
    <row r="17620" spans="1:8" ht="25.05" customHeight="1" x14ac:dyDescent="0.25">
      <c r="A17620" s="2" t="s">
        <v>8</v>
      </c>
      <c r="B17620" s="2" t="str">
        <f>HYPERLINK("http://ts.21cn.com/tousu/show/id/1349419","投诉北京中程建教育科技有限公司恶意误导学员，不退费")</f>
        <v>投诉北京中程建教育科技有限公司恶意误导学员，不退费</v>
      </c>
      <c r="C17620" s="2" t="s">
        <v>9</v>
      </c>
      <c r="D17620" s="2" t="s">
        <v>10</v>
      </c>
      <c r="E17620" s="2" t="str">
        <f>HYPERLINK("http://ts.21cn.com/tousu/show/id/1349419","http://ts.21cn.com/tousu/show/id/1349419")</f>
        <v>http://ts.21cn.com/tousu/show/id/1349419</v>
      </c>
      <c r="F17620" s="2" t="s">
        <v>11</v>
      </c>
      <c r="G17620" s="2" t="s">
        <v>9531</v>
      </c>
      <c r="H17620" s="2" t="s">
        <v>9532</v>
      </c>
    </row>
    <row r="17621" spans="1:8" ht="25.05" customHeight="1" x14ac:dyDescent="0.25">
      <c r="A17621" s="2" t="s">
        <v>8</v>
      </c>
      <c r="B17621" s="2" t="str">
        <f>HYPERLINK("http://ts.21cn.com/tousu/show/id/1349444","兴业消费金融高额利息客服态度恶劣")</f>
        <v>兴业消费金融高额利息客服态度恶劣</v>
      </c>
      <c r="C17621" s="2" t="s">
        <v>9</v>
      </c>
      <c r="D17621" s="2" t="s">
        <v>10</v>
      </c>
      <c r="E17621" s="2" t="str">
        <f>HYPERLINK("http://ts.21cn.com/tousu/show/id/1349444","http://ts.21cn.com/tousu/show/id/1349444")</f>
        <v>http://ts.21cn.com/tousu/show/id/1349444</v>
      </c>
      <c r="F17621" s="2" t="s">
        <v>11</v>
      </c>
      <c r="G17621" s="2" t="s">
        <v>9529</v>
      </c>
      <c r="H17621" s="2" t="s">
        <v>9530</v>
      </c>
    </row>
    <row r="17622" spans="1:8" ht="25.05" customHeight="1" x14ac:dyDescent="0.25">
      <c r="A17622" s="2" t="s">
        <v>8</v>
      </c>
      <c r="B17622" s="2" t="str">
        <f>HYPERLINK("http://ts.21cn.com/tousu/show/id/1349445","微品分期超级高利贷")</f>
        <v>微品分期超级高利贷</v>
      </c>
      <c r="C17622" s="2" t="s">
        <v>9</v>
      </c>
      <c r="D17622" s="2" t="s">
        <v>10</v>
      </c>
      <c r="E17622" s="2" t="str">
        <f>HYPERLINK("http://ts.21cn.com/tousu/show/id/1349445","http://ts.21cn.com/tousu/show/id/1349445")</f>
        <v>http://ts.21cn.com/tousu/show/id/1349445</v>
      </c>
      <c r="F17622" s="2" t="s">
        <v>11</v>
      </c>
      <c r="G17622" s="2" t="s">
        <v>9527</v>
      </c>
      <c r="H17622" s="2" t="s">
        <v>9528</v>
      </c>
    </row>
    <row r="17623" spans="1:8" ht="25.05" customHeight="1" x14ac:dyDescent="0.25">
      <c r="A17623" s="2" t="s">
        <v>8</v>
      </c>
      <c r="B17623" s="2" t="str">
        <f>HYPERLINK("http://ts.21cn.com/tousu/show/id/1349446","大白钱包，人人快借套路贷")</f>
        <v>大白钱包，人人快借套路贷</v>
      </c>
      <c r="C17623" s="2" t="s">
        <v>9</v>
      </c>
      <c r="D17623" s="2" t="s">
        <v>10</v>
      </c>
      <c r="E17623" s="2" t="str">
        <f>HYPERLINK("http://ts.21cn.com/tousu/show/id/1349446","http://ts.21cn.com/tousu/show/id/1349446")</f>
        <v>http://ts.21cn.com/tousu/show/id/1349446</v>
      </c>
      <c r="F17623" s="2" t="s">
        <v>11</v>
      </c>
      <c r="G17623" s="2" t="s">
        <v>9525</v>
      </c>
      <c r="H17623" s="2" t="s">
        <v>9526</v>
      </c>
    </row>
    <row r="17624" spans="1:8" ht="25.05" customHeight="1" x14ac:dyDescent="0.25">
      <c r="A17624" s="2" t="s">
        <v>8</v>
      </c>
      <c r="B17624" s="2" t="str">
        <f>HYPERLINK("http://ts.21cn.com/tousu/show/id/1349447","投诉京东支付")</f>
        <v>投诉京东支付</v>
      </c>
      <c r="C17624" s="2" t="s">
        <v>9</v>
      </c>
      <c r="D17624" s="2" t="s">
        <v>10</v>
      </c>
      <c r="E17624" s="2" t="str">
        <f>HYPERLINK("http://ts.21cn.com/tousu/show/id/1349447","http://ts.21cn.com/tousu/show/id/1349447")</f>
        <v>http://ts.21cn.com/tousu/show/id/1349447</v>
      </c>
      <c r="F17624" s="2" t="s">
        <v>11</v>
      </c>
      <c r="G17624" s="2" t="s">
        <v>9523</v>
      </c>
      <c r="H17624" s="2" t="s">
        <v>9524</v>
      </c>
    </row>
    <row r="17625" spans="1:8" ht="25.05" customHeight="1" x14ac:dyDescent="0.25">
      <c r="A17625" s="2" t="s">
        <v>8</v>
      </c>
      <c r="B17625" s="2" t="str">
        <f>HYPERLINK("http://ts.21cn.com/tousu/show/id/1349448","你我货暴力催收")</f>
        <v>你我货暴力催收</v>
      </c>
      <c r="C17625" s="2" t="s">
        <v>9</v>
      </c>
      <c r="D17625" s="2" t="s">
        <v>10</v>
      </c>
      <c r="E17625" s="2" t="str">
        <f>HYPERLINK("http://ts.21cn.com/tousu/show/id/1349448","http://ts.21cn.com/tousu/show/id/1349448")</f>
        <v>http://ts.21cn.com/tousu/show/id/1349448</v>
      </c>
      <c r="F17625" s="2" t="s">
        <v>11</v>
      </c>
      <c r="G17625" s="2" t="s">
        <v>9521</v>
      </c>
      <c r="H17625" s="2" t="s">
        <v>9522</v>
      </c>
    </row>
    <row r="17626" spans="1:8" ht="25.05" customHeight="1" x14ac:dyDescent="0.25">
      <c r="A17626" s="2" t="s">
        <v>8</v>
      </c>
      <c r="B17626" s="2" t="str">
        <f>HYPERLINK("http://ts.21cn.com/tousu/show/id/1349450","招联金融群发通讯录短信")</f>
        <v>招联金融群发通讯录短信</v>
      </c>
      <c r="C17626" s="2" t="s">
        <v>9</v>
      </c>
      <c r="D17626" s="2" t="s">
        <v>10</v>
      </c>
      <c r="E17626" s="2" t="str">
        <f>HYPERLINK("http://ts.21cn.com/tousu/show/id/1349450","http://ts.21cn.com/tousu/show/id/1349450")</f>
        <v>http://ts.21cn.com/tousu/show/id/1349450</v>
      </c>
      <c r="F17626" s="2" t="s">
        <v>11</v>
      </c>
      <c r="G17626" s="2" t="s">
        <v>9519</v>
      </c>
      <c r="H17626" s="2" t="s">
        <v>9520</v>
      </c>
    </row>
    <row r="17627" spans="1:8" ht="25.05" customHeight="1" x14ac:dyDescent="0.25">
      <c r="A17627" s="2" t="s">
        <v>8</v>
      </c>
      <c r="B17627" s="2" t="str">
        <f>HYPERLINK("http://ts.21cn.com/tousu/show/id/1349451","借六期前面两期就要差不多还完本金如果是平均600我能当天还的结果太多今天发工资准备还结果管理费这么多说实话太黑了吧")</f>
        <v>借六期前面两期就要差不多还完本金如果是平均600我能当天还的结果太多今天发工资准备还结果管理费这么多说实话太黑了吧</v>
      </c>
      <c r="C17627" s="2" t="s">
        <v>9</v>
      </c>
      <c r="D17627" s="2" t="s">
        <v>10</v>
      </c>
      <c r="E17627" s="2" t="str">
        <f>HYPERLINK("http://ts.21cn.com/tousu/show/id/1349451","http://ts.21cn.com/tousu/show/id/1349451")</f>
        <v>http://ts.21cn.com/tousu/show/id/1349451</v>
      </c>
      <c r="F17627" s="2" t="s">
        <v>11</v>
      </c>
      <c r="G17627" s="2" t="s">
        <v>9517</v>
      </c>
      <c r="H17627" s="2" t="s">
        <v>9518</v>
      </c>
    </row>
    <row r="17628" spans="1:8" ht="25.05" customHeight="1" x14ac:dyDescent="0.25">
      <c r="A17628" s="2" t="s">
        <v>8</v>
      </c>
      <c r="B17628" s="2" t="str">
        <f>HYPERLINK("http://ts.21cn.com/tousu/show/id/1349379","玖富集团旗下蚂蚁超卡暴力催收")</f>
        <v>玖富集团旗下蚂蚁超卡暴力催收</v>
      </c>
      <c r="C17628" s="2" t="s">
        <v>9</v>
      </c>
      <c r="D17628" s="2" t="s">
        <v>10</v>
      </c>
      <c r="E17628" s="2" t="str">
        <f>HYPERLINK("http://ts.21cn.com/tousu/show/id/1349379","http://ts.21cn.com/tousu/show/id/1349379")</f>
        <v>http://ts.21cn.com/tousu/show/id/1349379</v>
      </c>
      <c r="F17628" s="2" t="s">
        <v>11</v>
      </c>
      <c r="G17628" s="2" t="s">
        <v>9515</v>
      </c>
      <c r="H17628" s="2" t="s">
        <v>9516</v>
      </c>
    </row>
    <row r="17629" spans="1:8" ht="25.05" customHeight="1" x14ac:dyDescent="0.25">
      <c r="A17629" s="2" t="s">
        <v>8</v>
      </c>
      <c r="B17629" s="2" t="str">
        <f>HYPERLINK("http://ts.21cn.com/tousu/show/id/1349452","马上消费金融暴力催收")</f>
        <v>马上消费金融暴力催收</v>
      </c>
      <c r="C17629" s="2" t="s">
        <v>9</v>
      </c>
      <c r="D17629" s="2" t="s">
        <v>10</v>
      </c>
      <c r="E17629" s="2" t="str">
        <f>HYPERLINK("http://ts.21cn.com/tousu/show/id/1349452","http://ts.21cn.com/tousu/show/id/1349452")</f>
        <v>http://ts.21cn.com/tousu/show/id/1349452</v>
      </c>
      <c r="F17629" s="2" t="s">
        <v>11</v>
      </c>
      <c r="G17629" s="2" t="s">
        <v>9513</v>
      </c>
      <c r="H17629" s="2" t="s">
        <v>7715</v>
      </c>
    </row>
    <row r="17630" spans="1:8" ht="25.05" customHeight="1" x14ac:dyDescent="0.25">
      <c r="A17630" s="2" t="s">
        <v>8</v>
      </c>
      <c r="B17630" s="2" t="str">
        <f>HYPERLINK("http://ts.21cn.com/tousu/show/id/1349453","卡卡贷催收频繁")</f>
        <v>卡卡贷催收频繁</v>
      </c>
      <c r="C17630" s="2" t="s">
        <v>9</v>
      </c>
      <c r="D17630" s="2" t="s">
        <v>10</v>
      </c>
      <c r="E17630" s="2" t="str">
        <f>HYPERLINK("http://ts.21cn.com/tousu/show/id/1349453","http://ts.21cn.com/tousu/show/id/1349453")</f>
        <v>http://ts.21cn.com/tousu/show/id/1349453</v>
      </c>
      <c r="F17630" s="2" t="s">
        <v>11</v>
      </c>
      <c r="G17630" s="2" t="s">
        <v>9513</v>
      </c>
      <c r="H17630" s="2" t="s">
        <v>9514</v>
      </c>
    </row>
    <row r="17631" spans="1:8" ht="25.05" customHeight="1" x14ac:dyDescent="0.25">
      <c r="A17631" s="2" t="s">
        <v>8</v>
      </c>
      <c r="B17631" s="2" t="str">
        <f>HYPERLINK("http://ts.21cn.com/tousu/show/id/1349454","威胁恐吓，")</f>
        <v>威胁恐吓，</v>
      </c>
      <c r="C17631" s="2" t="s">
        <v>9</v>
      </c>
      <c r="D17631" s="2" t="s">
        <v>10</v>
      </c>
      <c r="E17631" s="2" t="str">
        <f>HYPERLINK("http://ts.21cn.com/tousu/show/id/1349454","http://ts.21cn.com/tousu/show/id/1349454")</f>
        <v>http://ts.21cn.com/tousu/show/id/1349454</v>
      </c>
      <c r="F17631" s="2" t="s">
        <v>11</v>
      </c>
      <c r="G17631" s="2" t="s">
        <v>9511</v>
      </c>
      <c r="H17631" s="2" t="s">
        <v>9512</v>
      </c>
    </row>
    <row r="17632" spans="1:8" ht="25.05" customHeight="1" x14ac:dyDescent="0.25">
      <c r="A17632" s="2" t="s">
        <v>8</v>
      </c>
      <c r="B17632" s="2" t="str">
        <f>HYPERLINK("http://ts.21cn.com/tousu/show/id/1349455","服务费太高")</f>
        <v>服务费太高</v>
      </c>
      <c r="C17632" s="2" t="s">
        <v>9</v>
      </c>
      <c r="D17632" s="2" t="s">
        <v>10</v>
      </c>
      <c r="E17632" s="2" t="str">
        <f>HYPERLINK("http://ts.21cn.com/tousu/show/id/1349455","http://ts.21cn.com/tousu/show/id/1349455")</f>
        <v>http://ts.21cn.com/tousu/show/id/1349455</v>
      </c>
      <c r="F17632" s="2" t="s">
        <v>11</v>
      </c>
      <c r="G17632" s="2" t="s">
        <v>9509</v>
      </c>
      <c r="H17632" s="2" t="s">
        <v>9510</v>
      </c>
    </row>
    <row r="17633" spans="1:8" ht="25.05" customHeight="1" x14ac:dyDescent="0.25">
      <c r="A17633" s="2" t="s">
        <v>8</v>
      </c>
      <c r="B17633" s="2" t="str">
        <f>HYPERLINK("http://ts.21cn.com/tousu/show/id/1349456","骚扰，爆通讯录")</f>
        <v>骚扰，爆通讯录</v>
      </c>
      <c r="C17633" s="2" t="s">
        <v>9</v>
      </c>
      <c r="D17633" s="2" t="s">
        <v>10</v>
      </c>
      <c r="E17633" s="2" t="str">
        <f>HYPERLINK("http://ts.21cn.com/tousu/show/id/1349456","http://ts.21cn.com/tousu/show/id/1349456")</f>
        <v>http://ts.21cn.com/tousu/show/id/1349456</v>
      </c>
      <c r="F17633" s="2" t="s">
        <v>11</v>
      </c>
      <c r="G17633" s="2" t="s">
        <v>9507</v>
      </c>
      <c r="H17633" s="2" t="s">
        <v>9508</v>
      </c>
    </row>
    <row r="17634" spans="1:8" ht="25.05" customHeight="1" x14ac:dyDescent="0.25">
      <c r="A17634" s="2" t="s">
        <v>8</v>
      </c>
      <c r="B17634" s="2" t="str">
        <f>HYPERLINK("http://ts.21cn.com/tousu/show/id/1349457","网站咨询多个销售联系")</f>
        <v>网站咨询多个销售联系</v>
      </c>
      <c r="C17634" s="2" t="s">
        <v>34</v>
      </c>
      <c r="D17634" s="2" t="s">
        <v>10</v>
      </c>
      <c r="E17634" s="2" t="str">
        <f>HYPERLINK("http://ts.21cn.com/tousu/show/id/1349457","http://ts.21cn.com/tousu/show/id/1349457")</f>
        <v>http://ts.21cn.com/tousu/show/id/1349457</v>
      </c>
      <c r="F17634" s="2" t="s">
        <v>11</v>
      </c>
      <c r="G17634" s="2" t="s">
        <v>9505</v>
      </c>
      <c r="H17634" s="2" t="s">
        <v>9506</v>
      </c>
    </row>
    <row r="17635" spans="1:8" ht="25.05" customHeight="1" x14ac:dyDescent="0.25">
      <c r="A17635" s="2" t="s">
        <v>8</v>
      </c>
      <c r="B17635" s="2" t="str">
        <f>HYPERLINK("http://ts.21cn.com/tousu/show/id/1349459","协商未果，爆通讯录")</f>
        <v>协商未果，爆通讯录</v>
      </c>
      <c r="C17635" s="2" t="s">
        <v>9</v>
      </c>
      <c r="D17635" s="2" t="s">
        <v>10</v>
      </c>
      <c r="E17635" s="2" t="str">
        <f>HYPERLINK("http://ts.21cn.com/tousu/show/id/1349459","http://ts.21cn.com/tousu/show/id/1349459")</f>
        <v>http://ts.21cn.com/tousu/show/id/1349459</v>
      </c>
      <c r="F17635" s="2" t="s">
        <v>11</v>
      </c>
      <c r="G17635" s="2" t="s">
        <v>9503</v>
      </c>
      <c r="H17635" s="2" t="s">
        <v>9504</v>
      </c>
    </row>
    <row r="17636" spans="1:8" ht="25.05" customHeight="1" x14ac:dyDescent="0.25">
      <c r="A17636" s="2" t="s">
        <v>8</v>
      </c>
      <c r="B17636" s="2" t="str">
        <f>HYPERLINK("http://ts.21cn.com/tousu/show/id/1349461","不退押金")</f>
        <v>不退押金</v>
      </c>
      <c r="C17636" s="2" t="s">
        <v>9</v>
      </c>
      <c r="D17636" s="2" t="s">
        <v>10</v>
      </c>
      <c r="E17636" s="2" t="str">
        <f>HYPERLINK("http://ts.21cn.com/tousu/show/id/1349461","http://ts.21cn.com/tousu/show/id/1349461")</f>
        <v>http://ts.21cn.com/tousu/show/id/1349461</v>
      </c>
      <c r="F17636" s="2" t="s">
        <v>11</v>
      </c>
      <c r="G17636" s="2" t="s">
        <v>9501</v>
      </c>
      <c r="H17636" s="2" t="s">
        <v>9502</v>
      </c>
    </row>
    <row r="17637" spans="1:8" ht="25.05" customHeight="1" x14ac:dyDescent="0.25">
      <c r="A17637" s="2" t="s">
        <v>8</v>
      </c>
      <c r="B17637" s="2" t="str">
        <f>HYPERLINK("http://ts.21cn.com/tousu/show/id/1349463","潘达用车，车辆未检修，同一辆车一天爆胎两次")</f>
        <v>潘达用车，车辆未检修，同一辆车一天爆胎两次</v>
      </c>
      <c r="C17637" s="2" t="s">
        <v>9</v>
      </c>
      <c r="D17637" s="2" t="s">
        <v>10</v>
      </c>
      <c r="E17637" s="2" t="str">
        <f>HYPERLINK("http://ts.21cn.com/tousu/show/id/1349463","http://ts.21cn.com/tousu/show/id/1349463")</f>
        <v>http://ts.21cn.com/tousu/show/id/1349463</v>
      </c>
      <c r="F17637" s="2" t="s">
        <v>11</v>
      </c>
      <c r="G17637" s="2" t="s">
        <v>9499</v>
      </c>
      <c r="H17637" s="2" t="s">
        <v>9500</v>
      </c>
    </row>
    <row r="17638" spans="1:8" ht="25.05" customHeight="1" x14ac:dyDescent="0.25">
      <c r="A17638" s="2" t="s">
        <v>8</v>
      </c>
      <c r="B17638" s="2" t="str">
        <f>HYPERLINK("http://ts.21cn.com/tousu/show/id/1349460","好分期平台，天价服务费，综合费利率高达近60%")</f>
        <v>好分期平台，天价服务费，综合费利率高达近60%</v>
      </c>
      <c r="C17638" s="2" t="s">
        <v>9</v>
      </c>
      <c r="D17638" s="2" t="s">
        <v>10</v>
      </c>
      <c r="E17638" s="2" t="str">
        <f>HYPERLINK("http://ts.21cn.com/tousu/show/id/1349460","http://ts.21cn.com/tousu/show/id/1349460")</f>
        <v>http://ts.21cn.com/tousu/show/id/1349460</v>
      </c>
      <c r="F17638" s="2" t="s">
        <v>11</v>
      </c>
      <c r="G17638" s="2" t="s">
        <v>9497</v>
      </c>
      <c r="H17638" s="2" t="s">
        <v>9498</v>
      </c>
    </row>
    <row r="17639" spans="1:8" ht="25.05" customHeight="1" x14ac:dyDescent="0.25">
      <c r="A17639" s="2" t="s">
        <v>8</v>
      </c>
      <c r="B17639" s="2" t="str">
        <f>HYPERLINK("http://ts.21cn.com/tousu/show/id/1349462","停止骚扰")</f>
        <v>停止骚扰</v>
      </c>
      <c r="C17639" s="2" t="s">
        <v>9</v>
      </c>
      <c r="D17639" s="2" t="s">
        <v>10</v>
      </c>
      <c r="E17639" s="2" t="str">
        <f>HYPERLINK("http://ts.21cn.com/tousu/show/id/1349462","http://ts.21cn.com/tousu/show/id/1349462")</f>
        <v>http://ts.21cn.com/tousu/show/id/1349462</v>
      </c>
      <c r="F17639" s="2" t="s">
        <v>11</v>
      </c>
      <c r="G17639" s="2" t="s">
        <v>9495</v>
      </c>
      <c r="H17639" s="2" t="s">
        <v>9496</v>
      </c>
    </row>
    <row r="17640" spans="1:8" ht="25.05" customHeight="1" x14ac:dyDescent="0.25">
      <c r="A17640" s="2" t="s">
        <v>8</v>
      </c>
      <c r="B17640" s="2" t="str">
        <f>HYPERLINK("http://ts.21cn.com/tousu/show/id/1349465","拍拍贷似法律法规为儿戏")</f>
        <v>拍拍贷似法律法规为儿戏</v>
      </c>
      <c r="C17640" s="2" t="s">
        <v>9</v>
      </c>
      <c r="D17640" s="2" t="s">
        <v>10</v>
      </c>
      <c r="E17640" s="2" t="str">
        <f>HYPERLINK("http://ts.21cn.com/tousu/show/id/1349465","http://ts.21cn.com/tousu/show/id/1349465")</f>
        <v>http://ts.21cn.com/tousu/show/id/1349465</v>
      </c>
      <c r="F17640" s="2" t="s">
        <v>11</v>
      </c>
      <c r="G17640" s="2" t="s">
        <v>9492</v>
      </c>
      <c r="H17640" s="2" t="s">
        <v>9493</v>
      </c>
    </row>
    <row r="17641" spans="1:8" ht="25.05" customHeight="1" x14ac:dyDescent="0.25">
      <c r="A17641" s="2" t="s">
        <v>8</v>
      </c>
      <c r="B17641" s="2" t="str">
        <f>HYPERLINK("http://ts.21cn.com/tousu/show/id/1349464","虚假信息，好分期以紧急电话联系上威胁，言语讽刺")</f>
        <v>虚假信息，好分期以紧急电话联系上威胁，言语讽刺</v>
      </c>
      <c r="C17641" s="2" t="s">
        <v>9</v>
      </c>
      <c r="D17641" s="2" t="s">
        <v>10</v>
      </c>
      <c r="E17641" s="2" t="str">
        <f>HYPERLINK("http://ts.21cn.com/tousu/show/id/1349464","http://ts.21cn.com/tousu/show/id/1349464")</f>
        <v>http://ts.21cn.com/tousu/show/id/1349464</v>
      </c>
      <c r="F17641" s="2" t="s">
        <v>11</v>
      </c>
      <c r="G17641" s="2" t="s">
        <v>9492</v>
      </c>
      <c r="H17641" s="2" t="s">
        <v>9494</v>
      </c>
    </row>
    <row r="17642" spans="1:8" ht="25.05" customHeight="1" x14ac:dyDescent="0.25">
      <c r="A17642" s="2" t="s">
        <v>8</v>
      </c>
      <c r="B17642" s="2" t="str">
        <f>HYPERLINK("http://ts.21cn.com/tousu/show/id/1349466","现金巴士催收威胁还款")</f>
        <v>现金巴士催收威胁还款</v>
      </c>
      <c r="C17642" s="2" t="s">
        <v>9</v>
      </c>
      <c r="D17642" s="2" t="s">
        <v>10</v>
      </c>
      <c r="E17642" s="2" t="str">
        <f>HYPERLINK("http://ts.21cn.com/tousu/show/id/1349466","http://ts.21cn.com/tousu/show/id/1349466")</f>
        <v>http://ts.21cn.com/tousu/show/id/1349466</v>
      </c>
      <c r="F17642" s="2" t="s">
        <v>11</v>
      </c>
      <c r="G17642" s="2" t="s">
        <v>9490</v>
      </c>
      <c r="H17642" s="2" t="s">
        <v>9491</v>
      </c>
    </row>
    <row r="17643" spans="1:8" ht="25.05" customHeight="1" x14ac:dyDescent="0.25">
      <c r="A17643" s="2" t="s">
        <v>8</v>
      </c>
      <c r="B17643" s="2" t="str">
        <f>HYPERLINK("http://ts.21cn.com/tousu/show/id/1349467","浦发信用卡私自扣款")</f>
        <v>浦发信用卡私自扣款</v>
      </c>
      <c r="C17643" s="2" t="s">
        <v>9</v>
      </c>
      <c r="D17643" s="2" t="s">
        <v>10</v>
      </c>
      <c r="E17643" s="2" t="str">
        <f>HYPERLINK("http://ts.21cn.com/tousu/show/id/1349467","http://ts.21cn.com/tousu/show/id/1349467")</f>
        <v>http://ts.21cn.com/tousu/show/id/1349467</v>
      </c>
      <c r="F17643" s="2" t="s">
        <v>11</v>
      </c>
      <c r="G17643" s="2" t="s">
        <v>9488</v>
      </c>
      <c r="H17643" s="2" t="s">
        <v>9489</v>
      </c>
    </row>
    <row r="17644" spans="1:8" ht="25.05" customHeight="1" x14ac:dyDescent="0.25">
      <c r="A17644" s="2" t="s">
        <v>8</v>
      </c>
      <c r="B17644" s="2" t="str">
        <f>HYPERLINK("http://ts.21cn.com/tousu/show/id/1349468","伪造合同高利贷砍头息")</f>
        <v>伪造合同高利贷砍头息</v>
      </c>
      <c r="C17644" s="2" t="s">
        <v>9</v>
      </c>
      <c r="D17644" s="2" t="s">
        <v>10</v>
      </c>
      <c r="E17644" s="2" t="str">
        <f>HYPERLINK("http://ts.21cn.com/tousu/show/id/1349468","http://ts.21cn.com/tousu/show/id/1349468")</f>
        <v>http://ts.21cn.com/tousu/show/id/1349468</v>
      </c>
      <c r="F17644" s="2" t="s">
        <v>11</v>
      </c>
      <c r="G17644" s="2" t="s">
        <v>9486</v>
      </c>
      <c r="H17644" s="2" t="s">
        <v>9487</v>
      </c>
    </row>
    <row r="17645" spans="1:8" ht="25.05" customHeight="1" x14ac:dyDescent="0.25">
      <c r="A17645" s="2" t="s">
        <v>8</v>
      </c>
      <c r="B17645" s="2" t="str">
        <f>HYPERLINK("http://ts.21cn.com/tousu/show/id/1349469","百事普惠恶意扣款")</f>
        <v>百事普惠恶意扣款</v>
      </c>
      <c r="C17645" s="2" t="s">
        <v>9</v>
      </c>
      <c r="D17645" s="2" t="s">
        <v>10</v>
      </c>
      <c r="E17645" s="2" t="str">
        <f>HYPERLINK("http://ts.21cn.com/tousu/show/id/1349469","http://ts.21cn.com/tousu/show/id/1349469")</f>
        <v>http://ts.21cn.com/tousu/show/id/1349469</v>
      </c>
      <c r="F17645" s="2" t="s">
        <v>11</v>
      </c>
      <c r="G17645" s="2" t="s">
        <v>9484</v>
      </c>
      <c r="H17645" s="2" t="s">
        <v>9485</v>
      </c>
    </row>
    <row r="17646" spans="1:8" ht="25.05" customHeight="1" x14ac:dyDescent="0.25">
      <c r="A17646" s="2" t="s">
        <v>8</v>
      </c>
      <c r="B17646" s="2" t="str">
        <f>HYPERLINK("http://ts.21cn.com/tousu/show/id/1349470","立借APP借款收取高额费用")</f>
        <v>立借APP借款收取高额费用</v>
      </c>
      <c r="C17646" s="2" t="s">
        <v>9</v>
      </c>
      <c r="D17646" s="2" t="s">
        <v>10</v>
      </c>
      <c r="E17646" s="2" t="str">
        <f>HYPERLINK("http://ts.21cn.com/tousu/show/id/1349470","http://ts.21cn.com/tousu/show/id/1349470")</f>
        <v>http://ts.21cn.com/tousu/show/id/1349470</v>
      </c>
      <c r="F17646" s="2" t="s">
        <v>11</v>
      </c>
      <c r="G17646" s="2" t="s">
        <v>9482</v>
      </c>
      <c r="H17646" s="2" t="s">
        <v>9483</v>
      </c>
    </row>
    <row r="17647" spans="1:8" ht="25.05" customHeight="1" x14ac:dyDescent="0.25">
      <c r="A17647" s="2" t="s">
        <v>8</v>
      </c>
      <c r="B17647" s="2" t="str">
        <f>HYPERLINK("http://ts.21cn.com/tousu/show/id/1349471","微博借钱存在套路")</f>
        <v>微博借钱存在套路</v>
      </c>
      <c r="C17647" s="2" t="s">
        <v>9</v>
      </c>
      <c r="D17647" s="2" t="s">
        <v>10</v>
      </c>
      <c r="E17647" s="2" t="str">
        <f>HYPERLINK("http://ts.21cn.com/tousu/show/id/1349471","http://ts.21cn.com/tousu/show/id/1349471")</f>
        <v>http://ts.21cn.com/tousu/show/id/1349471</v>
      </c>
      <c r="F17647" s="2" t="s">
        <v>11</v>
      </c>
      <c r="G17647" s="2" t="s">
        <v>9480</v>
      </c>
      <c r="H17647" s="2" t="s">
        <v>9481</v>
      </c>
    </row>
    <row r="17648" spans="1:8" ht="25.05" customHeight="1" x14ac:dyDescent="0.25">
      <c r="A17648" s="2" t="s">
        <v>8</v>
      </c>
      <c r="B17648" s="2" t="str">
        <f>HYPERLINK("http://ts.21cn.com/tousu/show/id/1349473","威胁恐吓通讯录联系人")</f>
        <v>威胁恐吓通讯录联系人</v>
      </c>
      <c r="C17648" s="2" t="s">
        <v>9</v>
      </c>
      <c r="D17648" s="2" t="s">
        <v>10</v>
      </c>
      <c r="E17648" s="2" t="str">
        <f>HYPERLINK("http://ts.21cn.com/tousu/show/id/1349473","http://ts.21cn.com/tousu/show/id/1349473")</f>
        <v>http://ts.21cn.com/tousu/show/id/1349473</v>
      </c>
      <c r="F17648" s="2" t="s">
        <v>11</v>
      </c>
      <c r="G17648" s="2" t="s">
        <v>9478</v>
      </c>
      <c r="H17648" s="2" t="s">
        <v>9479</v>
      </c>
    </row>
    <row r="17649" spans="1:8" ht="25.05" customHeight="1" x14ac:dyDescent="0.25">
      <c r="A17649" s="2" t="s">
        <v>8</v>
      </c>
      <c r="B17649" s="2" t="str">
        <f>HYPERLINK("http://ts.21cn.com/tousu/show/id/1349472","交易猫交易失败不退款")</f>
        <v>交易猫交易失败不退款</v>
      </c>
      <c r="C17649" s="2" t="s">
        <v>34</v>
      </c>
      <c r="D17649" s="2" t="s">
        <v>10</v>
      </c>
      <c r="E17649" s="2" t="str">
        <f>HYPERLINK("http://ts.21cn.com/tousu/show/id/1349472","http://ts.21cn.com/tousu/show/id/1349472")</f>
        <v>http://ts.21cn.com/tousu/show/id/1349472</v>
      </c>
      <c r="F17649" s="2" t="s">
        <v>11</v>
      </c>
      <c r="G17649" s="2" t="s">
        <v>9476</v>
      </c>
      <c r="H17649" s="2" t="s">
        <v>9477</v>
      </c>
    </row>
    <row r="17650" spans="1:8" ht="25.05" customHeight="1" x14ac:dyDescent="0.25">
      <c r="A17650" s="2" t="s">
        <v>8</v>
      </c>
      <c r="B17650" s="2" t="str">
        <f>HYPERLINK("http://ts.21cn.com/tousu/show/id/1349475","宜人万花道歉")</f>
        <v>宜人万花道歉</v>
      </c>
      <c r="C17650" s="2" t="s">
        <v>34</v>
      </c>
      <c r="D17650" s="2" t="s">
        <v>10</v>
      </c>
      <c r="E17650" s="2" t="str">
        <f>HYPERLINK("http://ts.21cn.com/tousu/show/id/1349475","http://ts.21cn.com/tousu/show/id/1349475")</f>
        <v>http://ts.21cn.com/tousu/show/id/1349475</v>
      </c>
      <c r="F17650" s="2" t="s">
        <v>11</v>
      </c>
      <c r="G17650" s="2" t="s">
        <v>9474</v>
      </c>
      <c r="H17650" s="2" t="s">
        <v>9475</v>
      </c>
    </row>
    <row r="17651" spans="1:8" ht="25.05" customHeight="1" x14ac:dyDescent="0.25">
      <c r="A17651" s="2" t="s">
        <v>8</v>
      </c>
      <c r="B17651" s="2" t="str">
        <f>HYPERLINK("http://ts.21cn.com/tousu/show/id/1349474","如期分期平台胡乱扣费")</f>
        <v>如期分期平台胡乱扣费</v>
      </c>
      <c r="C17651" s="2" t="s">
        <v>9</v>
      </c>
      <c r="D17651" s="2" t="s">
        <v>10</v>
      </c>
      <c r="E17651" s="2" t="str">
        <f>HYPERLINK("http://ts.21cn.com/tousu/show/id/1349474","http://ts.21cn.com/tousu/show/id/1349474")</f>
        <v>http://ts.21cn.com/tousu/show/id/1349474</v>
      </c>
      <c r="F17651" s="2" t="s">
        <v>11</v>
      </c>
      <c r="G17651" s="2" t="s">
        <v>9472</v>
      </c>
      <c r="H17651" s="2" t="s">
        <v>9473</v>
      </c>
    </row>
    <row r="17652" spans="1:8" ht="25.05" customHeight="1" x14ac:dyDescent="0.25">
      <c r="A17652" s="2" t="s">
        <v>8</v>
      </c>
      <c r="B17652" s="2" t="str">
        <f>HYPERLINK("http://ts.21cn.com/tousu/show/id/1349476","平安银行外包暴力催收")</f>
        <v>平安银行外包暴力催收</v>
      </c>
      <c r="C17652" s="2" t="s">
        <v>9</v>
      </c>
      <c r="D17652" s="2" t="s">
        <v>10</v>
      </c>
      <c r="E17652" s="2" t="str">
        <f>HYPERLINK("http://ts.21cn.com/tousu/show/id/1349476","http://ts.21cn.com/tousu/show/id/1349476")</f>
        <v>http://ts.21cn.com/tousu/show/id/1349476</v>
      </c>
      <c r="F17652" s="2" t="s">
        <v>11</v>
      </c>
      <c r="G17652" s="2" t="s">
        <v>9470</v>
      </c>
      <c r="H17652" s="2" t="s">
        <v>9471</v>
      </c>
    </row>
    <row r="17653" spans="1:8" ht="25.05" customHeight="1" x14ac:dyDescent="0.25">
      <c r="A17653" s="2" t="s">
        <v>8</v>
      </c>
      <c r="B17653" s="2" t="str">
        <f>HYPERLINK("http://ts.21cn.com/tousu/show/id/1349479","51人品贷，小伍钱包骚扰通讯录")</f>
        <v>51人品贷，小伍钱包骚扰通讯录</v>
      </c>
      <c r="C17653" s="2" t="s">
        <v>9</v>
      </c>
      <c r="D17653" s="2" t="s">
        <v>10</v>
      </c>
      <c r="E17653" s="2" t="str">
        <f>HYPERLINK("http://ts.21cn.com/tousu/show/id/1349479","http://ts.21cn.com/tousu/show/id/1349479")</f>
        <v>http://ts.21cn.com/tousu/show/id/1349479</v>
      </c>
      <c r="F17653" s="2" t="s">
        <v>11</v>
      </c>
      <c r="G17653" s="2" t="s">
        <v>9468</v>
      </c>
      <c r="H17653" s="2" t="s">
        <v>9469</v>
      </c>
    </row>
    <row r="17654" spans="1:8" ht="25.05" customHeight="1" x14ac:dyDescent="0.25">
      <c r="A17654" s="2" t="s">
        <v>8</v>
      </c>
      <c r="B17654" s="2" t="str">
        <f>HYPERLINK("http://ts.21cn.com/tousu/show/id/1349480","骚扰公司电话，影响严重")</f>
        <v>骚扰公司电话，影响严重</v>
      </c>
      <c r="C17654" s="2" t="s">
        <v>34</v>
      </c>
      <c r="D17654" s="2" t="s">
        <v>10</v>
      </c>
      <c r="E17654" s="2" t="str">
        <f>HYPERLINK("http://ts.21cn.com/tousu/show/id/1349480","http://ts.21cn.com/tousu/show/id/1349480")</f>
        <v>http://ts.21cn.com/tousu/show/id/1349480</v>
      </c>
      <c r="F17654" s="2" t="s">
        <v>11</v>
      </c>
      <c r="G17654" s="2" t="s">
        <v>9466</v>
      </c>
      <c r="H17654" s="2" t="s">
        <v>9467</v>
      </c>
    </row>
    <row r="17655" spans="1:8" ht="25.05" customHeight="1" x14ac:dyDescent="0.25">
      <c r="A17655" s="2" t="s">
        <v>8</v>
      </c>
      <c r="B17655" s="2" t="str">
        <f>HYPERLINK("http://ts.21cn.com/tousu/show/id/1349477","九阳净水机JYW一RO612")</f>
        <v>九阳净水机JYW一RO612</v>
      </c>
      <c r="C17655" s="2" t="s">
        <v>9</v>
      </c>
      <c r="D17655" s="2" t="s">
        <v>10</v>
      </c>
      <c r="E17655" s="2" t="str">
        <f>HYPERLINK("http://ts.21cn.com/tousu/show/id/1349477","http://ts.21cn.com/tousu/show/id/1349477")</f>
        <v>http://ts.21cn.com/tousu/show/id/1349477</v>
      </c>
      <c r="F17655" s="2" t="s">
        <v>11</v>
      </c>
      <c r="G17655" s="2" t="s">
        <v>9463</v>
      </c>
      <c r="H17655" s="2" t="s">
        <v>9464</v>
      </c>
    </row>
    <row r="17656" spans="1:8" ht="25.05" customHeight="1" x14ac:dyDescent="0.25">
      <c r="A17656" s="2" t="s">
        <v>8</v>
      </c>
      <c r="B17656" s="2" t="str">
        <f>HYPERLINK("http://ts.21cn.com/tousu/show/id/1349478","信而富砍头利息，暴力催款")</f>
        <v>信而富砍头利息，暴力催款</v>
      </c>
      <c r="C17656" s="2" t="s">
        <v>9</v>
      </c>
      <c r="D17656" s="2" t="s">
        <v>10</v>
      </c>
      <c r="E17656" s="2" t="str">
        <f>HYPERLINK("http://ts.21cn.com/tousu/show/id/1349478","http://ts.21cn.com/tousu/show/id/1349478")</f>
        <v>http://ts.21cn.com/tousu/show/id/1349478</v>
      </c>
      <c r="F17656" s="2" t="s">
        <v>11</v>
      </c>
      <c r="G17656" s="2" t="s">
        <v>9463</v>
      </c>
      <c r="H17656" s="2" t="s">
        <v>9465</v>
      </c>
    </row>
    <row r="17657" spans="1:8" ht="25.05" customHeight="1" x14ac:dyDescent="0.25">
      <c r="A17657" s="2" t="s">
        <v>8</v>
      </c>
      <c r="B17657" s="2" t="str">
        <f>HYPERLINK("http://ts.21cn.com/tousu/show/id/1349481","51信用卡黑心高利贷")</f>
        <v>51信用卡黑心高利贷</v>
      </c>
      <c r="C17657" s="2" t="s">
        <v>9</v>
      </c>
      <c r="D17657" s="2" t="s">
        <v>10</v>
      </c>
      <c r="E17657" s="2" t="str">
        <f>HYPERLINK("http://ts.21cn.com/tousu/show/id/1349481","http://ts.21cn.com/tousu/show/id/1349481")</f>
        <v>http://ts.21cn.com/tousu/show/id/1349481</v>
      </c>
      <c r="F17657" s="2" t="s">
        <v>11</v>
      </c>
      <c r="G17657" s="2" t="s">
        <v>9461</v>
      </c>
      <c r="H17657" s="2" t="s">
        <v>9462</v>
      </c>
    </row>
    <row r="17658" spans="1:8" ht="25.05" customHeight="1" x14ac:dyDescent="0.25">
      <c r="A17658" s="2" t="s">
        <v>8</v>
      </c>
      <c r="B17658" s="2" t="str">
        <f>HYPERLINK("http://ts.21cn.com/tousu/show/id/1349482","微粒贷暴力催收，导致丢到工作")</f>
        <v>微粒贷暴力催收，导致丢到工作</v>
      </c>
      <c r="C17658" s="2" t="s">
        <v>9</v>
      </c>
      <c r="D17658" s="2" t="s">
        <v>10</v>
      </c>
      <c r="E17658" s="2" t="str">
        <f>HYPERLINK("http://ts.21cn.com/tousu/show/id/1349482","http://ts.21cn.com/tousu/show/id/1349482")</f>
        <v>http://ts.21cn.com/tousu/show/id/1349482</v>
      </c>
      <c r="F17658" s="2" t="s">
        <v>11</v>
      </c>
      <c r="G17658" s="2" t="s">
        <v>9459</v>
      </c>
      <c r="H17658" s="2" t="s">
        <v>9460</v>
      </c>
    </row>
    <row r="17659" spans="1:8" ht="25.05" customHeight="1" x14ac:dyDescent="0.25">
      <c r="A17659" s="2" t="s">
        <v>8</v>
      </c>
      <c r="B17659" s="2" t="str">
        <f>HYPERLINK("http://ts.21cn.com/tousu/show/id/1349483","活力花暴力催收，进行人身威胁，高额利息及服务费")</f>
        <v>活力花暴力催收，进行人身威胁，高额利息及服务费</v>
      </c>
      <c r="C17659" s="2" t="s">
        <v>9</v>
      </c>
      <c r="D17659" s="2" t="s">
        <v>10</v>
      </c>
      <c r="E17659" s="2" t="str">
        <f>HYPERLINK("http://ts.21cn.com/tousu/show/id/1349483","http://ts.21cn.com/tousu/show/id/1349483")</f>
        <v>http://ts.21cn.com/tousu/show/id/1349483</v>
      </c>
      <c r="F17659" s="2" t="s">
        <v>11</v>
      </c>
      <c r="G17659" s="2" t="s">
        <v>9457</v>
      </c>
      <c r="H17659" s="2" t="s">
        <v>9458</v>
      </c>
    </row>
    <row r="17660" spans="1:8" ht="25.05" customHeight="1" x14ac:dyDescent="0.25">
      <c r="A17660" s="2" t="s">
        <v>8</v>
      </c>
      <c r="B17660" s="2" t="str">
        <f>HYPERLINK("http://ts.21cn.com/tousu/show/id/1349486","玖富万卡原玖富叮当阴阳合同，砍头息")</f>
        <v>玖富万卡原玖富叮当阴阳合同，砍头息</v>
      </c>
      <c r="C17660" s="2" t="s">
        <v>9</v>
      </c>
      <c r="D17660" s="2" t="s">
        <v>10</v>
      </c>
      <c r="E17660" s="2" t="str">
        <f>HYPERLINK("http://ts.21cn.com/tousu/show/id/1349486","http://ts.21cn.com/tousu/show/id/1349486")</f>
        <v>http://ts.21cn.com/tousu/show/id/1349486</v>
      </c>
      <c r="F17660" s="2" t="s">
        <v>11</v>
      </c>
      <c r="G17660" s="2" t="s">
        <v>9455</v>
      </c>
      <c r="H17660" s="2" t="s">
        <v>9456</v>
      </c>
    </row>
    <row r="17661" spans="1:8" ht="25.05" customHeight="1" x14ac:dyDescent="0.25">
      <c r="A17661" s="2" t="s">
        <v>8</v>
      </c>
      <c r="B17661" s="2" t="str">
        <f>HYPERLINK("http://ts.21cn.com/tousu/show/id/1349485","在唯品会买贵了要求退差价（10月9号收货，再进链接发现已降价）")</f>
        <v>在唯品会买贵了要求退差价（10月9号收货，再进链接发现已降价）</v>
      </c>
      <c r="C17661" s="2" t="s">
        <v>9</v>
      </c>
      <c r="D17661" s="2" t="s">
        <v>10</v>
      </c>
      <c r="E17661" s="2" t="str">
        <f>HYPERLINK("http://ts.21cn.com/tousu/show/id/1349485","http://ts.21cn.com/tousu/show/id/1349485")</f>
        <v>http://ts.21cn.com/tousu/show/id/1349485</v>
      </c>
      <c r="F17661" s="2" t="s">
        <v>11</v>
      </c>
      <c r="G17661" s="2" t="s">
        <v>9453</v>
      </c>
      <c r="H17661" s="2" t="s">
        <v>9454</v>
      </c>
    </row>
    <row r="17662" spans="1:8" ht="25.05" customHeight="1" x14ac:dyDescent="0.25">
      <c r="A17662" s="2" t="s">
        <v>8</v>
      </c>
      <c r="B17662" s="2" t="str">
        <f>HYPERLINK("http://ts.21cn.com/tousu/show/id/1349487","饿了么骑手代购多收钱，饿了么平台不作为")</f>
        <v>饿了么骑手代购多收钱，饿了么平台不作为</v>
      </c>
      <c r="C17662" s="2" t="s">
        <v>9</v>
      </c>
      <c r="D17662" s="2" t="s">
        <v>10</v>
      </c>
      <c r="E17662" s="2" t="str">
        <f>HYPERLINK("http://ts.21cn.com/tousu/show/id/1349487","http://ts.21cn.com/tousu/show/id/1349487")</f>
        <v>http://ts.21cn.com/tousu/show/id/1349487</v>
      </c>
      <c r="F17662" s="2" t="s">
        <v>11</v>
      </c>
      <c r="G17662" s="2" t="s">
        <v>9451</v>
      </c>
      <c r="H17662" s="2" t="s">
        <v>9452</v>
      </c>
    </row>
    <row r="17663" spans="1:8" ht="25.05" customHeight="1" x14ac:dyDescent="0.25">
      <c r="A17663" s="2" t="s">
        <v>8</v>
      </c>
      <c r="B17663" s="2" t="str">
        <f>HYPERLINK("http://ts.21cn.com/tousu/show/id/1349490","暴力催收，辱骂亲朋")</f>
        <v>暴力催收，辱骂亲朋</v>
      </c>
      <c r="C17663" s="2" t="s">
        <v>9</v>
      </c>
      <c r="D17663" s="2" t="s">
        <v>10</v>
      </c>
      <c r="E17663" s="2" t="str">
        <f>HYPERLINK("http://ts.21cn.com/tousu/show/id/1349490","http://ts.21cn.com/tousu/show/id/1349490")</f>
        <v>http://ts.21cn.com/tousu/show/id/1349490</v>
      </c>
      <c r="F17663" s="2" t="s">
        <v>11</v>
      </c>
      <c r="G17663" s="2" t="s">
        <v>9449</v>
      </c>
      <c r="H17663" s="2" t="s">
        <v>9450</v>
      </c>
    </row>
    <row r="17664" spans="1:8" ht="25.05" customHeight="1" x14ac:dyDescent="0.25">
      <c r="A17664" s="2" t="s">
        <v>8</v>
      </c>
      <c r="B17664" s="2" t="str">
        <f>HYPERLINK("http://ts.21cn.com/tousu/show/id/1349488","嗨钱网还款了不入账一直显示逾期")</f>
        <v>嗨钱网还款了不入账一直显示逾期</v>
      </c>
      <c r="C17664" s="2" t="s">
        <v>9</v>
      </c>
      <c r="D17664" s="2" t="s">
        <v>10</v>
      </c>
      <c r="E17664" s="2" t="str">
        <f>HYPERLINK("http://ts.21cn.com/tousu/show/id/1349488","http://ts.21cn.com/tousu/show/id/1349488")</f>
        <v>http://ts.21cn.com/tousu/show/id/1349488</v>
      </c>
      <c r="F17664" s="2" t="s">
        <v>11</v>
      </c>
      <c r="G17664" s="2" t="s">
        <v>9447</v>
      </c>
      <c r="H17664" s="2" t="s">
        <v>9448</v>
      </c>
    </row>
    <row r="17665" spans="1:8" ht="25.05" customHeight="1" x14ac:dyDescent="0.25">
      <c r="A17665" s="2" t="s">
        <v>8</v>
      </c>
      <c r="B17665" s="2" t="str">
        <f>HYPERLINK("http://ts.21cn.com/tousu/show/id/1349489","畅捷支付为喵贷吧高利贷提供通道")</f>
        <v>畅捷支付为喵贷吧高利贷提供通道</v>
      </c>
      <c r="C17665" s="2" t="s">
        <v>9</v>
      </c>
      <c r="D17665" s="2" t="s">
        <v>10</v>
      </c>
      <c r="E17665" s="2" t="str">
        <f>HYPERLINK("http://ts.21cn.com/tousu/show/id/1349489","http://ts.21cn.com/tousu/show/id/1349489")</f>
        <v>http://ts.21cn.com/tousu/show/id/1349489</v>
      </c>
      <c r="F17665" s="2" t="s">
        <v>11</v>
      </c>
      <c r="G17665" s="2" t="s">
        <v>9445</v>
      </c>
      <c r="H17665" s="2" t="s">
        <v>9446</v>
      </c>
    </row>
    <row r="17666" spans="1:8" ht="25.05" customHeight="1" x14ac:dyDescent="0.25">
      <c r="A17666" s="2" t="s">
        <v>8</v>
      </c>
      <c r="B17666" s="2" t="str">
        <f>HYPERLINK("http://ts.21cn.com/tousu/show/id/1349493","花转转高利贷")</f>
        <v>花转转高利贷</v>
      </c>
      <c r="C17666" s="2" t="s">
        <v>9</v>
      </c>
      <c r="D17666" s="2" t="s">
        <v>10</v>
      </c>
      <c r="E17666" s="2" t="str">
        <f>HYPERLINK("http://ts.21cn.com/tousu/show/id/1349493","http://ts.21cn.com/tousu/show/id/1349493")</f>
        <v>http://ts.21cn.com/tousu/show/id/1349493</v>
      </c>
      <c r="F17666" s="2" t="s">
        <v>11</v>
      </c>
      <c r="G17666" s="2" t="s">
        <v>9443</v>
      </c>
      <c r="H17666" s="2" t="s">
        <v>9444</v>
      </c>
    </row>
    <row r="17667" spans="1:8" ht="25.05" customHeight="1" x14ac:dyDescent="0.25">
      <c r="A17667" s="2" t="s">
        <v>8</v>
      </c>
      <c r="B17667" s="2" t="str">
        <f>HYPERLINK("http://ts.21cn.com/tousu/show/id/1349495","蓬莱机场放纵西部明珠欺诈行为")</f>
        <v>蓬莱机场放纵西部明珠欺诈行为</v>
      </c>
      <c r="C17667" s="2" t="s">
        <v>9</v>
      </c>
      <c r="D17667" s="2" t="s">
        <v>10</v>
      </c>
      <c r="E17667" s="2" t="str">
        <f>HYPERLINK("http://ts.21cn.com/tousu/show/id/1349495","http://ts.21cn.com/tousu/show/id/1349495")</f>
        <v>http://ts.21cn.com/tousu/show/id/1349495</v>
      </c>
      <c r="F17667" s="2" t="s">
        <v>11</v>
      </c>
      <c r="G17667" s="2" t="s">
        <v>9441</v>
      </c>
      <c r="H17667" s="2" t="s">
        <v>9442</v>
      </c>
    </row>
    <row r="17668" spans="1:8" ht="25.05" customHeight="1" x14ac:dyDescent="0.25">
      <c r="A17668" s="2" t="s">
        <v>8</v>
      </c>
      <c r="B17668" s="2" t="str">
        <f>HYPERLINK("http://ts.21cn.com/tousu/show/id/1349496","钱站高利贷阴阳合同")</f>
        <v>钱站高利贷阴阳合同</v>
      </c>
      <c r="C17668" s="2" t="s">
        <v>9</v>
      </c>
      <c r="D17668" s="2" t="s">
        <v>10</v>
      </c>
      <c r="E17668" s="2" t="str">
        <f>HYPERLINK("http://ts.21cn.com/tousu/show/id/1349496","http://ts.21cn.com/tousu/show/id/1349496")</f>
        <v>http://ts.21cn.com/tousu/show/id/1349496</v>
      </c>
      <c r="F17668" s="2" t="s">
        <v>11</v>
      </c>
      <c r="G17668" s="2" t="s">
        <v>9439</v>
      </c>
      <c r="H17668" s="2" t="s">
        <v>9440</v>
      </c>
    </row>
    <row r="17669" spans="1:8" ht="25.05" customHeight="1" x14ac:dyDescent="0.25">
      <c r="A17669" s="2" t="s">
        <v>8</v>
      </c>
      <c r="B17669" s="2" t="str">
        <f>HYPERLINK("http://ts.21cn.com/tousu/show/id/1349494","立借钱置宝协商还款不结清")</f>
        <v>立借钱置宝协商还款不结清</v>
      </c>
      <c r="C17669" s="2" t="s">
        <v>9</v>
      </c>
      <c r="D17669" s="2" t="s">
        <v>10</v>
      </c>
      <c r="E17669" s="2" t="str">
        <f>HYPERLINK("http://ts.21cn.com/tousu/show/id/1349494","http://ts.21cn.com/tousu/show/id/1349494")</f>
        <v>http://ts.21cn.com/tousu/show/id/1349494</v>
      </c>
      <c r="F17669" s="2" t="s">
        <v>11</v>
      </c>
      <c r="G17669" s="2" t="s">
        <v>9437</v>
      </c>
      <c r="H17669" s="2" t="s">
        <v>9438</v>
      </c>
    </row>
    <row r="17670" spans="1:8" ht="25.05" customHeight="1" x14ac:dyDescent="0.25">
      <c r="A17670" s="2" t="s">
        <v>8</v>
      </c>
      <c r="B17670" s="2" t="str">
        <f>HYPERLINK("http://ts.21cn.com/tousu/show/id/1349498","投诉钱站高利贷阴阳合同")</f>
        <v>投诉钱站高利贷阴阳合同</v>
      </c>
      <c r="C17670" s="2" t="s">
        <v>9</v>
      </c>
      <c r="D17670" s="2" t="s">
        <v>10</v>
      </c>
      <c r="E17670" s="2" t="str">
        <f>HYPERLINK("http://ts.21cn.com/tousu/show/id/1349498","http://ts.21cn.com/tousu/show/id/1349498")</f>
        <v>http://ts.21cn.com/tousu/show/id/1349498</v>
      </c>
      <c r="F17670" s="2" t="s">
        <v>11</v>
      </c>
      <c r="G17670" s="2" t="s">
        <v>9435</v>
      </c>
      <c r="H17670" s="2" t="s">
        <v>9436</v>
      </c>
    </row>
    <row r="17671" spans="1:8" ht="25.05" customHeight="1" x14ac:dyDescent="0.25">
      <c r="A17671" s="2" t="s">
        <v>8</v>
      </c>
      <c r="B17671" s="2" t="str">
        <f>HYPERLINK("http://ts.21cn.com/tousu/show/id/1349499","暴力收款影响本人生活，打电话骚扰。")</f>
        <v>暴力收款影响本人生活，打电话骚扰。</v>
      </c>
      <c r="C17671" s="2" t="s">
        <v>9</v>
      </c>
      <c r="D17671" s="2" t="s">
        <v>10</v>
      </c>
      <c r="E17671" s="2" t="str">
        <f>HYPERLINK("http://ts.21cn.com/tousu/show/id/1349499","http://ts.21cn.com/tousu/show/id/1349499")</f>
        <v>http://ts.21cn.com/tousu/show/id/1349499</v>
      </c>
      <c r="F17671" s="2" t="s">
        <v>11</v>
      </c>
      <c r="G17671" s="2" t="s">
        <v>9433</v>
      </c>
      <c r="H17671" s="2" t="s">
        <v>9434</v>
      </c>
    </row>
    <row r="17672" spans="1:8" ht="25.05" customHeight="1" x14ac:dyDescent="0.25">
      <c r="A17672" s="2" t="s">
        <v>8</v>
      </c>
      <c r="B17672" s="2" t="str">
        <f>HYPERLINK("http://ts.21cn.com/tousu/show/id/1349497","要求广州银行退还罚息")</f>
        <v>要求广州银行退还罚息</v>
      </c>
      <c r="C17672" s="2" t="s">
        <v>34</v>
      </c>
      <c r="D17672" s="2" t="s">
        <v>10</v>
      </c>
      <c r="E17672" s="2" t="str">
        <f>HYPERLINK("http://ts.21cn.com/tousu/show/id/1349497","http://ts.21cn.com/tousu/show/id/1349497")</f>
        <v>http://ts.21cn.com/tousu/show/id/1349497</v>
      </c>
      <c r="F17672" s="2" t="s">
        <v>11</v>
      </c>
      <c r="G17672" s="2" t="s">
        <v>9431</v>
      </c>
      <c r="H17672" s="2" t="s">
        <v>9432</v>
      </c>
    </row>
    <row r="17673" spans="1:8" ht="25.05" customHeight="1" x14ac:dyDescent="0.25">
      <c r="A17673" s="2" t="s">
        <v>8</v>
      </c>
      <c r="B17673" s="2" t="str">
        <f>HYPERLINK("http://ts.21cn.com/tousu/show/id/1349500","你我贷暴力催收，逾期一天爆联系人")</f>
        <v>你我贷暴力催收，逾期一天爆联系人</v>
      </c>
      <c r="C17673" s="2" t="s">
        <v>9</v>
      </c>
      <c r="D17673" s="2" t="s">
        <v>10</v>
      </c>
      <c r="E17673" s="2" t="str">
        <f>HYPERLINK("http://ts.21cn.com/tousu/show/id/1349500","http://ts.21cn.com/tousu/show/id/1349500")</f>
        <v>http://ts.21cn.com/tousu/show/id/1349500</v>
      </c>
      <c r="F17673" s="2" t="s">
        <v>11</v>
      </c>
      <c r="G17673" s="2" t="s">
        <v>9429</v>
      </c>
      <c r="H17673" s="2" t="s">
        <v>9430</v>
      </c>
    </row>
    <row r="17674" spans="1:8" ht="25.05" customHeight="1" x14ac:dyDescent="0.25">
      <c r="A17674" s="2" t="s">
        <v>8</v>
      </c>
      <c r="B17674" s="2" t="str">
        <f>HYPERLINK("http://ts.21cn.com/tousu/show/id/1349501","my钱包高利贷")</f>
        <v>my钱包高利贷</v>
      </c>
      <c r="C17674" s="2" t="s">
        <v>9</v>
      </c>
      <c r="D17674" s="2" t="s">
        <v>10</v>
      </c>
      <c r="E17674" s="2" t="str">
        <f>HYPERLINK("http://ts.21cn.com/tousu/show/id/1349501","http://ts.21cn.com/tousu/show/id/1349501")</f>
        <v>http://ts.21cn.com/tousu/show/id/1349501</v>
      </c>
      <c r="F17674" s="2" t="s">
        <v>11</v>
      </c>
      <c r="G17674" s="2" t="s">
        <v>9427</v>
      </c>
      <c r="H17674" s="2" t="s">
        <v>9428</v>
      </c>
    </row>
    <row r="17675" spans="1:8" ht="25.05" customHeight="1" x14ac:dyDescent="0.25">
      <c r="A17675" s="2" t="s">
        <v>8</v>
      </c>
      <c r="B17675" s="2" t="str">
        <f>HYPERLINK("http://ts.21cn.com/tousu/show/id/1349502","好易借平台暴力催收")</f>
        <v>好易借平台暴力催收</v>
      </c>
      <c r="C17675" s="2" t="s">
        <v>9</v>
      </c>
      <c r="D17675" s="2" t="s">
        <v>10</v>
      </c>
      <c r="E17675" s="2" t="str">
        <f>HYPERLINK("http://ts.21cn.com/tousu/show/id/1349502","http://ts.21cn.com/tousu/show/id/1349502")</f>
        <v>http://ts.21cn.com/tousu/show/id/1349502</v>
      </c>
      <c r="F17675" s="2" t="s">
        <v>11</v>
      </c>
      <c r="G17675" s="2" t="s">
        <v>9425</v>
      </c>
      <c r="H17675" s="2" t="s">
        <v>9426</v>
      </c>
    </row>
    <row r="17676" spans="1:8" ht="25.05" customHeight="1" x14ac:dyDescent="0.25">
      <c r="A17676" s="2" t="s">
        <v>8</v>
      </c>
      <c r="B17676" s="2" t="str">
        <f>HYPERLINK("http://ts.21cn.com/tousu/show/id/1349503","钱站高利贷阴阳合同")</f>
        <v>钱站高利贷阴阳合同</v>
      </c>
      <c r="C17676" s="2" t="s">
        <v>9</v>
      </c>
      <c r="D17676" s="2" t="s">
        <v>10</v>
      </c>
      <c r="E17676" s="2" t="str">
        <f>HYPERLINK("http://ts.21cn.com/tousu/show/id/1349503","http://ts.21cn.com/tousu/show/id/1349503")</f>
        <v>http://ts.21cn.com/tousu/show/id/1349503</v>
      </c>
      <c r="F17676" s="2" t="s">
        <v>11</v>
      </c>
      <c r="G17676" s="2" t="s">
        <v>9423</v>
      </c>
      <c r="H17676" s="2" t="s">
        <v>9424</v>
      </c>
    </row>
    <row r="17677" spans="1:8" ht="25.05" customHeight="1" x14ac:dyDescent="0.25">
      <c r="A17677" s="2" t="s">
        <v>8</v>
      </c>
      <c r="B17677" s="2" t="str">
        <f>HYPERLINK("http://ts.21cn.com/tousu/show/id/1349504","快易花转卖债券，平安普惠暴力催收")</f>
        <v>快易花转卖债券，平安普惠暴力催收</v>
      </c>
      <c r="C17677" s="2" t="s">
        <v>9</v>
      </c>
      <c r="D17677" s="2" t="s">
        <v>10</v>
      </c>
      <c r="E17677" s="2" t="str">
        <f>HYPERLINK("http://ts.21cn.com/tousu/show/id/1349504","http://ts.21cn.com/tousu/show/id/1349504")</f>
        <v>http://ts.21cn.com/tousu/show/id/1349504</v>
      </c>
      <c r="F17677" s="2" t="s">
        <v>11</v>
      </c>
      <c r="G17677" s="2" t="s">
        <v>9421</v>
      </c>
      <c r="H17677" s="2" t="s">
        <v>9422</v>
      </c>
    </row>
    <row r="17678" spans="1:8" ht="25.05" customHeight="1" x14ac:dyDescent="0.25">
      <c r="A17678" s="2" t="s">
        <v>8</v>
      </c>
      <c r="B17678" s="2" t="str">
        <f>HYPERLINK("http://ts.21cn.com/tousu/show/id/1349505","科沃斯扫地机器人不给售后")</f>
        <v>科沃斯扫地机器人不给售后</v>
      </c>
      <c r="C17678" s="2" t="s">
        <v>34</v>
      </c>
      <c r="D17678" s="2" t="s">
        <v>10</v>
      </c>
      <c r="E17678" s="2" t="str">
        <f>HYPERLINK("http://ts.21cn.com/tousu/show/id/1349505","http://ts.21cn.com/tousu/show/id/1349505")</f>
        <v>http://ts.21cn.com/tousu/show/id/1349505</v>
      </c>
      <c r="F17678" s="2" t="s">
        <v>11</v>
      </c>
      <c r="G17678" s="2" t="s">
        <v>9419</v>
      </c>
      <c r="H17678" s="2" t="s">
        <v>9420</v>
      </c>
    </row>
    <row r="17679" spans="1:8" ht="25.05" customHeight="1" x14ac:dyDescent="0.25">
      <c r="A17679" s="2" t="s">
        <v>8</v>
      </c>
      <c r="B17679" s="2" t="str">
        <f>HYPERLINK("http://ts.21cn.com/tousu/show/id/1349506","小浦优客恶意扣款")</f>
        <v>小浦优客恶意扣款</v>
      </c>
      <c r="C17679" s="2" t="s">
        <v>9</v>
      </c>
      <c r="D17679" s="2" t="s">
        <v>10</v>
      </c>
      <c r="E17679" s="2" t="str">
        <f>HYPERLINK("http://ts.21cn.com/tousu/show/id/1349506","http://ts.21cn.com/tousu/show/id/1349506")</f>
        <v>http://ts.21cn.com/tousu/show/id/1349506</v>
      </c>
      <c r="F17679" s="2" t="s">
        <v>11</v>
      </c>
      <c r="G17679" s="2" t="s">
        <v>9417</v>
      </c>
      <c r="H17679" s="2" t="s">
        <v>9418</v>
      </c>
    </row>
    <row r="17680" spans="1:8" ht="25.05" customHeight="1" x14ac:dyDescent="0.25">
      <c r="A17680" s="2" t="s">
        <v>8</v>
      </c>
      <c r="B17680" s="2" t="str">
        <f>HYPERLINK("http://ts.21cn.com/tousu/show/id/1349507","借款32640，实到账24000，却要我还40@万")</f>
        <v>借款32640，实到账24000，却要我还40@万</v>
      </c>
      <c r="C17680" s="2" t="s">
        <v>9</v>
      </c>
      <c r="D17680" s="2" t="s">
        <v>10</v>
      </c>
      <c r="E17680" s="2" t="str">
        <f>HYPERLINK("http://ts.21cn.com/tousu/show/id/1349507","http://ts.21cn.com/tousu/show/id/1349507")</f>
        <v>http://ts.21cn.com/tousu/show/id/1349507</v>
      </c>
      <c r="F17680" s="2" t="s">
        <v>11</v>
      </c>
      <c r="G17680" s="2" t="s">
        <v>9415</v>
      </c>
      <c r="H17680" s="2" t="s">
        <v>9416</v>
      </c>
    </row>
    <row r="17681" spans="1:8" ht="25.05" customHeight="1" x14ac:dyDescent="0.25">
      <c r="A17681" s="2" t="s">
        <v>8</v>
      </c>
      <c r="B17681" s="2" t="str">
        <f>HYPERLINK("http://ts.21cn.com/tousu/show/id/1349509","你我贷高利贷")</f>
        <v>你我贷高利贷</v>
      </c>
      <c r="C17681" s="2" t="s">
        <v>9</v>
      </c>
      <c r="D17681" s="2" t="s">
        <v>10</v>
      </c>
      <c r="E17681" s="2" t="str">
        <f>HYPERLINK("http://ts.21cn.com/tousu/show/id/1349509","http://ts.21cn.com/tousu/show/id/1349509")</f>
        <v>http://ts.21cn.com/tousu/show/id/1349509</v>
      </c>
      <c r="F17681" s="2" t="s">
        <v>11</v>
      </c>
      <c r="G17681" s="2" t="s">
        <v>9413</v>
      </c>
      <c r="H17681" s="2" t="s">
        <v>9414</v>
      </c>
    </row>
    <row r="17682" spans="1:8" ht="25.05" customHeight="1" x14ac:dyDescent="0.25">
      <c r="A17682" s="2" t="s">
        <v>8</v>
      </c>
      <c r="B17682" s="2" t="str">
        <f>HYPERLINK("http://ts.21cn.com/tousu/show/id/1348843","达内以招聘为由诱使学员签署高利贷学费")</f>
        <v>达内以招聘为由诱使学员签署高利贷学费</v>
      </c>
      <c r="C17682" s="2" t="s">
        <v>9</v>
      </c>
      <c r="D17682" s="2" t="s">
        <v>10</v>
      </c>
      <c r="E17682" s="2" t="str">
        <f>HYPERLINK("http://ts.21cn.com/tousu/show/id/1348843","http://ts.21cn.com/tousu/show/id/1348843")</f>
        <v>http://ts.21cn.com/tousu/show/id/1348843</v>
      </c>
      <c r="F17682" s="2" t="s">
        <v>11</v>
      </c>
      <c r="G17682" s="2" t="s">
        <v>9410</v>
      </c>
      <c r="H17682" s="2" t="s">
        <v>9411</v>
      </c>
    </row>
    <row r="17683" spans="1:8" ht="25.05" customHeight="1" x14ac:dyDescent="0.25">
      <c r="A17683" s="2" t="s">
        <v>8</v>
      </c>
      <c r="B17683" s="2" t="str">
        <f>HYPERLINK("http://ts.21cn.com/tousu/show/id/1349508","人人贷高利贷")</f>
        <v>人人贷高利贷</v>
      </c>
      <c r="C17683" s="2" t="s">
        <v>9</v>
      </c>
      <c r="D17683" s="2" t="s">
        <v>10</v>
      </c>
      <c r="E17683" s="2" t="str">
        <f>HYPERLINK("http://ts.21cn.com/tousu/show/id/1349508","http://ts.21cn.com/tousu/show/id/1349508")</f>
        <v>http://ts.21cn.com/tousu/show/id/1349508</v>
      </c>
      <c r="F17683" s="2" t="s">
        <v>11</v>
      </c>
      <c r="G17683" s="2" t="s">
        <v>9410</v>
      </c>
      <c r="H17683" s="2" t="s">
        <v>9412</v>
      </c>
    </row>
    <row r="17684" spans="1:8" ht="25.05" customHeight="1" x14ac:dyDescent="0.25">
      <c r="A17684" s="2" t="s">
        <v>8</v>
      </c>
      <c r="B17684" s="2" t="str">
        <f>HYPERLINK("http://ts.21cn.com/tousu/show/id/1349510","立借平台高利贷，恶意催收，假装和自己无关撇清关系")</f>
        <v>立借平台高利贷，恶意催收，假装和自己无关撇清关系</v>
      </c>
      <c r="C17684" s="2" t="s">
        <v>9</v>
      </c>
      <c r="D17684" s="2" t="s">
        <v>10</v>
      </c>
      <c r="E17684" s="2" t="str">
        <f>HYPERLINK("http://ts.21cn.com/tousu/show/id/1349510","http://ts.21cn.com/tousu/show/id/1349510")</f>
        <v>http://ts.21cn.com/tousu/show/id/1349510</v>
      </c>
      <c r="F17684" s="2" t="s">
        <v>11</v>
      </c>
      <c r="G17684" s="2" t="s">
        <v>9408</v>
      </c>
      <c r="H17684" s="2" t="s">
        <v>9409</v>
      </c>
    </row>
    <row r="17685" spans="1:8" ht="25.05" customHeight="1" x14ac:dyDescent="0.25">
      <c r="A17685" s="2" t="s">
        <v>8</v>
      </c>
      <c r="B17685" s="2" t="str">
        <f>HYPERLINK("http://ts.21cn.com/tousu/show/id/1349511","工商银行卡无故被银联扣款")</f>
        <v>工商银行卡无故被银联扣款</v>
      </c>
      <c r="C17685" s="2" t="s">
        <v>9</v>
      </c>
      <c r="D17685" s="2" t="s">
        <v>10</v>
      </c>
      <c r="E17685" s="2" t="str">
        <f>HYPERLINK("http://ts.21cn.com/tousu/show/id/1349511","http://ts.21cn.com/tousu/show/id/1349511")</f>
        <v>http://ts.21cn.com/tousu/show/id/1349511</v>
      </c>
      <c r="F17685" s="2" t="s">
        <v>11</v>
      </c>
      <c r="G17685" s="2" t="s">
        <v>9406</v>
      </c>
      <c r="H17685" s="2" t="s">
        <v>9407</v>
      </c>
    </row>
    <row r="17686" spans="1:8" ht="25.05" customHeight="1" x14ac:dyDescent="0.25">
      <c r="A17686" s="2" t="s">
        <v>8</v>
      </c>
      <c r="B17686" s="2" t="str">
        <f>HYPERLINK("http://ts.21cn.com/tousu/show/id/1349513","链家任由其员工对本人进行辱骂，并且迟迟不提供解决方案，存在管理监管疏漏")</f>
        <v>链家任由其员工对本人进行辱骂，并且迟迟不提供解决方案，存在管理监管疏漏</v>
      </c>
      <c r="C17686" s="2" t="s">
        <v>9</v>
      </c>
      <c r="D17686" s="2" t="s">
        <v>10</v>
      </c>
      <c r="E17686" s="2" t="str">
        <f>HYPERLINK("http://ts.21cn.com/tousu/show/id/1349513","http://ts.21cn.com/tousu/show/id/1349513")</f>
        <v>http://ts.21cn.com/tousu/show/id/1349513</v>
      </c>
      <c r="F17686" s="2" t="s">
        <v>11</v>
      </c>
      <c r="G17686" s="2" t="s">
        <v>9404</v>
      </c>
      <c r="H17686" s="2" t="s">
        <v>9405</v>
      </c>
    </row>
    <row r="17687" spans="1:8" ht="25.05" customHeight="1" x14ac:dyDescent="0.25">
      <c r="A17687" s="2" t="s">
        <v>8</v>
      </c>
      <c r="B17687" s="2" t="str">
        <f>HYPERLINK("http://ts.21cn.com/tousu/show/id/1349512","捷信利息过高")</f>
        <v>捷信利息过高</v>
      </c>
      <c r="C17687" s="2" t="s">
        <v>9</v>
      </c>
      <c r="D17687" s="2" t="s">
        <v>10</v>
      </c>
      <c r="E17687" s="2" t="str">
        <f>HYPERLINK("http://ts.21cn.com/tousu/show/id/1349512","http://ts.21cn.com/tousu/show/id/1349512")</f>
        <v>http://ts.21cn.com/tousu/show/id/1349512</v>
      </c>
      <c r="F17687" s="2" t="s">
        <v>11</v>
      </c>
      <c r="G17687" s="2" t="s">
        <v>9402</v>
      </c>
      <c r="H17687" s="2" t="s">
        <v>9403</v>
      </c>
    </row>
    <row r="17688" spans="1:8" ht="25.05" customHeight="1" x14ac:dyDescent="0.25">
      <c r="A17688" s="2" t="s">
        <v>8</v>
      </c>
      <c r="B17688" s="2" t="str">
        <f>HYPERLINK("http://ts.21cn.com/tousu/show/id/1349514","济南银飞聚力套路贷退还砍头息")</f>
        <v>济南银飞聚力套路贷退还砍头息</v>
      </c>
      <c r="C17688" s="2" t="s">
        <v>9</v>
      </c>
      <c r="D17688" s="2" t="s">
        <v>10</v>
      </c>
      <c r="E17688" s="2" t="str">
        <f>HYPERLINK("http://ts.21cn.com/tousu/show/id/1349514","http://ts.21cn.com/tousu/show/id/1349514")</f>
        <v>http://ts.21cn.com/tousu/show/id/1349514</v>
      </c>
      <c r="F17688" s="2" t="s">
        <v>11</v>
      </c>
      <c r="G17688" s="2" t="s">
        <v>9400</v>
      </c>
      <c r="H17688" s="2" t="s">
        <v>9401</v>
      </c>
    </row>
    <row r="17689" spans="1:8" ht="25.05" customHeight="1" x14ac:dyDescent="0.25">
      <c r="A17689" s="2" t="s">
        <v>8</v>
      </c>
      <c r="B17689" s="2" t="str">
        <f>HYPERLINK("http://ts.21cn.com/tousu/show/id/1349515","还款费率太高")</f>
        <v>还款费率太高</v>
      </c>
      <c r="C17689" s="2" t="s">
        <v>34</v>
      </c>
      <c r="D17689" s="2" t="s">
        <v>10</v>
      </c>
      <c r="E17689" s="2" t="str">
        <f>HYPERLINK("http://ts.21cn.com/tousu/show/id/1349515","http://ts.21cn.com/tousu/show/id/1349515")</f>
        <v>http://ts.21cn.com/tousu/show/id/1349515</v>
      </c>
      <c r="F17689" s="2" t="s">
        <v>11</v>
      </c>
      <c r="G17689" s="2" t="s">
        <v>9398</v>
      </c>
      <c r="H17689" s="2" t="s">
        <v>9399</v>
      </c>
    </row>
    <row r="17690" spans="1:8" ht="25.05" customHeight="1" x14ac:dyDescent="0.25">
      <c r="A17690" s="2" t="s">
        <v>8</v>
      </c>
      <c r="B17690" s="2" t="str">
        <f>HYPERLINK("http://ts.21cn.com/tousu/show/id/1349516","小花钱包投诉协商")</f>
        <v>小花钱包投诉协商</v>
      </c>
      <c r="C17690" s="2" t="s">
        <v>9</v>
      </c>
      <c r="D17690" s="2" t="s">
        <v>10</v>
      </c>
      <c r="E17690" s="2" t="str">
        <f>HYPERLINK("http://ts.21cn.com/tousu/show/id/1349516","http://ts.21cn.com/tousu/show/id/1349516")</f>
        <v>http://ts.21cn.com/tousu/show/id/1349516</v>
      </c>
      <c r="F17690" s="2" t="s">
        <v>11</v>
      </c>
      <c r="G17690" s="2" t="s">
        <v>9396</v>
      </c>
      <c r="H17690" s="2" t="s">
        <v>9397</v>
      </c>
    </row>
    <row r="17691" spans="1:8" ht="25.05" customHeight="1" x14ac:dyDescent="0.25">
      <c r="A17691" s="2" t="s">
        <v>8</v>
      </c>
      <c r="B17691" s="2" t="str">
        <f>HYPERLINK("http://ts.21cn.com/tousu/show/id/1349517","小浦优客乱扣款")</f>
        <v>小浦优客乱扣款</v>
      </c>
      <c r="C17691" s="2" t="s">
        <v>9</v>
      </c>
      <c r="D17691" s="2" t="s">
        <v>10</v>
      </c>
      <c r="E17691" s="2" t="str">
        <f>HYPERLINK("http://ts.21cn.com/tousu/show/id/1349517","http://ts.21cn.com/tousu/show/id/1349517")</f>
        <v>http://ts.21cn.com/tousu/show/id/1349517</v>
      </c>
      <c r="F17691" s="2" t="s">
        <v>11</v>
      </c>
      <c r="G17691" s="2" t="s">
        <v>9394</v>
      </c>
      <c r="H17691" s="2" t="s">
        <v>9395</v>
      </c>
    </row>
    <row r="17692" spans="1:8" ht="25.05" customHeight="1" x14ac:dyDescent="0.25">
      <c r="A17692" s="2" t="s">
        <v>8</v>
      </c>
      <c r="B17692" s="2" t="str">
        <f>HYPERLINK("http://ts.21cn.com/tousu/show/id/1349518","恒昌公司旗下恒易贷合同金额远高于实际借款金额")</f>
        <v>恒昌公司旗下恒易贷合同金额远高于实际借款金额</v>
      </c>
      <c r="C17692" s="2" t="s">
        <v>34</v>
      </c>
      <c r="D17692" s="2" t="s">
        <v>10</v>
      </c>
      <c r="E17692" s="2" t="str">
        <f>HYPERLINK("http://ts.21cn.com/tousu/show/id/1349518","http://ts.21cn.com/tousu/show/id/1349518")</f>
        <v>http://ts.21cn.com/tousu/show/id/1349518</v>
      </c>
      <c r="F17692" s="2" t="s">
        <v>11</v>
      </c>
      <c r="G17692" s="2" t="s">
        <v>9392</v>
      </c>
      <c r="H17692" s="2" t="s">
        <v>9393</v>
      </c>
    </row>
    <row r="17693" spans="1:8" ht="25.05" customHeight="1" x14ac:dyDescent="0.25">
      <c r="A17693" s="2" t="s">
        <v>8</v>
      </c>
      <c r="B17693" s="2" t="str">
        <f>HYPERLINK("http://ts.21cn.com/tousu/show/id/1349519","微粒贷制造加证件群发信息骚扰我联系人")</f>
        <v>微粒贷制造加证件群发信息骚扰我联系人</v>
      </c>
      <c r="C17693" s="2" t="s">
        <v>9</v>
      </c>
      <c r="D17693" s="2" t="s">
        <v>10</v>
      </c>
      <c r="E17693" s="2" t="str">
        <f>HYPERLINK("http://ts.21cn.com/tousu/show/id/1349519","http://ts.21cn.com/tousu/show/id/1349519")</f>
        <v>http://ts.21cn.com/tousu/show/id/1349519</v>
      </c>
      <c r="F17693" s="2" t="s">
        <v>11</v>
      </c>
      <c r="G17693" s="2" t="s">
        <v>9390</v>
      </c>
      <c r="H17693" s="2" t="s">
        <v>9391</v>
      </c>
    </row>
    <row r="17694" spans="1:8" ht="25.05" customHeight="1" x14ac:dyDescent="0.25">
      <c r="A17694" s="2" t="s">
        <v>8</v>
      </c>
      <c r="B17694" s="2" t="str">
        <f>HYPERLINK("http://ts.21cn.com/tousu/show/id/1349520","微品分期收取高额服务费")</f>
        <v>微品分期收取高额服务费</v>
      </c>
      <c r="C17694" s="2" t="s">
        <v>9</v>
      </c>
      <c r="D17694" s="2" t="s">
        <v>10</v>
      </c>
      <c r="E17694" s="2" t="str">
        <f>HYPERLINK("http://ts.21cn.com/tousu/show/id/1349520","http://ts.21cn.com/tousu/show/id/1349520")</f>
        <v>http://ts.21cn.com/tousu/show/id/1349520</v>
      </c>
      <c r="F17694" s="2" t="s">
        <v>11</v>
      </c>
      <c r="G17694" s="2" t="s">
        <v>9388</v>
      </c>
      <c r="H17694" s="2" t="s">
        <v>9389</v>
      </c>
    </row>
    <row r="17695" spans="1:8" ht="25.05" customHeight="1" x14ac:dyDescent="0.25">
      <c r="A17695" s="2" t="s">
        <v>8</v>
      </c>
      <c r="B17695" s="2" t="str">
        <f>HYPERLINK("http://ts.21cn.com/tousu/show/id/1349521","凡普信暴力催收恐吓")</f>
        <v>凡普信暴力催收恐吓</v>
      </c>
      <c r="C17695" s="2" t="s">
        <v>9</v>
      </c>
      <c r="D17695" s="2" t="s">
        <v>10</v>
      </c>
      <c r="E17695" s="2" t="str">
        <f>HYPERLINK("http://ts.21cn.com/tousu/show/id/1349521","http://ts.21cn.com/tousu/show/id/1349521")</f>
        <v>http://ts.21cn.com/tousu/show/id/1349521</v>
      </c>
      <c r="F17695" s="2" t="s">
        <v>11</v>
      </c>
      <c r="G17695" s="2" t="s">
        <v>9386</v>
      </c>
      <c r="H17695" s="2" t="s">
        <v>9387</v>
      </c>
    </row>
    <row r="17696" spans="1:8" ht="25.05" customHeight="1" x14ac:dyDescent="0.25">
      <c r="A17696" s="2" t="s">
        <v>8</v>
      </c>
      <c r="B17696" s="2" t="str">
        <f>HYPERLINK("http://ts.21cn.com/tousu/show/id/1349522","云闪付充值手机未到账，退款也未收到")</f>
        <v>云闪付充值手机未到账，退款也未收到</v>
      </c>
      <c r="C17696" s="2" t="s">
        <v>9</v>
      </c>
      <c r="D17696" s="2" t="s">
        <v>10</v>
      </c>
      <c r="E17696" s="2" t="str">
        <f>HYPERLINK("http://ts.21cn.com/tousu/show/id/1349522","http://ts.21cn.com/tousu/show/id/1349522")</f>
        <v>http://ts.21cn.com/tousu/show/id/1349522</v>
      </c>
      <c r="F17696" s="2" t="s">
        <v>11</v>
      </c>
      <c r="G17696" s="2" t="s">
        <v>9384</v>
      </c>
      <c r="H17696" s="2" t="s">
        <v>9385</v>
      </c>
    </row>
    <row r="17697" spans="1:8" ht="25.05" customHeight="1" x14ac:dyDescent="0.25">
      <c r="A17697" s="2" t="s">
        <v>8</v>
      </c>
      <c r="B17697" s="2" t="str">
        <f>HYPERLINK("http://ts.21cn.com/tousu/show/id/1349524","民生银行信用卡无故锁卡")</f>
        <v>民生银行信用卡无故锁卡</v>
      </c>
      <c r="C17697" s="2" t="s">
        <v>34</v>
      </c>
      <c r="D17697" s="2" t="s">
        <v>10</v>
      </c>
      <c r="E17697" s="2" t="str">
        <f>HYPERLINK("http://ts.21cn.com/tousu/show/id/1349524","http://ts.21cn.com/tousu/show/id/1349524")</f>
        <v>http://ts.21cn.com/tousu/show/id/1349524</v>
      </c>
      <c r="F17697" s="2" t="s">
        <v>11</v>
      </c>
      <c r="G17697" s="2" t="s">
        <v>9382</v>
      </c>
      <c r="H17697" s="2" t="s">
        <v>9383</v>
      </c>
    </row>
    <row r="17698" spans="1:8" ht="25.05" customHeight="1" x14ac:dyDescent="0.25">
      <c r="A17698" s="2" t="s">
        <v>8</v>
      </c>
      <c r="B17698" s="2" t="str">
        <f>HYPERLINK("http://ts.21cn.com/tousu/show/id/1349525","速金服高利贷砍头息")</f>
        <v>速金服高利贷砍头息</v>
      </c>
      <c r="C17698" s="2" t="s">
        <v>9</v>
      </c>
      <c r="D17698" s="2" t="s">
        <v>10</v>
      </c>
      <c r="E17698" s="2" t="str">
        <f>HYPERLINK("http://ts.21cn.com/tousu/show/id/1349525","http://ts.21cn.com/tousu/show/id/1349525")</f>
        <v>http://ts.21cn.com/tousu/show/id/1349525</v>
      </c>
      <c r="F17698" s="2" t="s">
        <v>11</v>
      </c>
      <c r="G17698" s="2" t="s">
        <v>9380</v>
      </c>
      <c r="H17698" s="2" t="s">
        <v>9381</v>
      </c>
    </row>
    <row r="17699" spans="1:8" ht="25.05" customHeight="1" x14ac:dyDescent="0.25">
      <c r="A17699" s="2" t="s">
        <v>8</v>
      </c>
      <c r="B17699" s="2" t="str">
        <f>HYPERLINK("http://ts.21cn.com/tousu/show/id/1349528","交易猫退款失败")</f>
        <v>交易猫退款失败</v>
      </c>
      <c r="C17699" s="2" t="s">
        <v>34</v>
      </c>
      <c r="D17699" s="2" t="s">
        <v>10</v>
      </c>
      <c r="E17699" s="2" t="str">
        <f>HYPERLINK("http://ts.21cn.com/tousu/show/id/1349528","http://ts.21cn.com/tousu/show/id/1349528")</f>
        <v>http://ts.21cn.com/tousu/show/id/1349528</v>
      </c>
      <c r="F17699" s="2" t="s">
        <v>11</v>
      </c>
      <c r="G17699" s="2" t="s">
        <v>9378</v>
      </c>
      <c r="H17699" s="2" t="s">
        <v>9379</v>
      </c>
    </row>
    <row r="17700" spans="1:8" ht="25.05" customHeight="1" x14ac:dyDescent="0.25">
      <c r="A17700" s="2" t="s">
        <v>8</v>
      </c>
      <c r="B17700" s="2" t="str">
        <f>HYPERLINK("http://ts.21cn.com/tousu/show/id/1349526","魔音钱包高利贷到账日疯狂骚扰")</f>
        <v>魔音钱包高利贷到账日疯狂骚扰</v>
      </c>
      <c r="C17700" s="2" t="s">
        <v>9</v>
      </c>
      <c r="D17700" s="2" t="s">
        <v>10</v>
      </c>
      <c r="E17700" s="2" t="str">
        <f>HYPERLINK("http://ts.21cn.com/tousu/show/id/1349526","http://ts.21cn.com/tousu/show/id/1349526")</f>
        <v>http://ts.21cn.com/tousu/show/id/1349526</v>
      </c>
      <c r="F17700" s="2" t="s">
        <v>11</v>
      </c>
      <c r="G17700" s="2" t="s">
        <v>9376</v>
      </c>
      <c r="H17700" s="2" t="s">
        <v>9377</v>
      </c>
    </row>
    <row r="17701" spans="1:8" ht="25.05" customHeight="1" x14ac:dyDescent="0.25">
      <c r="A17701" s="2" t="s">
        <v>8</v>
      </c>
      <c r="B17701" s="2" t="str">
        <f>HYPERLINK("http://ts.21cn.com/tousu/show/id/1349527","交通信用卡")</f>
        <v>交通信用卡</v>
      </c>
      <c r="C17701" s="2" t="s">
        <v>34</v>
      </c>
      <c r="D17701" s="2" t="s">
        <v>10</v>
      </c>
      <c r="E17701" s="2" t="str">
        <f>HYPERLINK("http://ts.21cn.com/tousu/show/id/1349527","http://ts.21cn.com/tousu/show/id/1349527")</f>
        <v>http://ts.21cn.com/tousu/show/id/1349527</v>
      </c>
      <c r="F17701" s="2" t="s">
        <v>11</v>
      </c>
      <c r="G17701" s="2" t="s">
        <v>9374</v>
      </c>
      <c r="H17701" s="2" t="s">
        <v>9375</v>
      </c>
    </row>
    <row r="17702" spans="1:8" ht="25.05" customHeight="1" x14ac:dyDescent="0.25">
      <c r="A17702" s="2" t="s">
        <v>8</v>
      </c>
      <c r="B17702" s="2" t="str">
        <f>HYPERLINK("http://ts.21cn.com/tousu/show/id/1349529","暴力催收态度蛮横")</f>
        <v>暴力催收态度蛮横</v>
      </c>
      <c r="C17702" s="2" t="s">
        <v>9</v>
      </c>
      <c r="D17702" s="2" t="s">
        <v>10</v>
      </c>
      <c r="E17702" s="2" t="str">
        <f>HYPERLINK("http://ts.21cn.com/tousu/show/id/1349529","http://ts.21cn.com/tousu/show/id/1349529")</f>
        <v>http://ts.21cn.com/tousu/show/id/1349529</v>
      </c>
      <c r="F17702" s="2" t="s">
        <v>11</v>
      </c>
      <c r="G17702" s="2" t="s">
        <v>9372</v>
      </c>
      <c r="H17702" s="2" t="s">
        <v>9373</v>
      </c>
    </row>
    <row r="17703" spans="1:8" ht="25.05" customHeight="1" x14ac:dyDescent="0.25">
      <c r="A17703" s="2" t="s">
        <v>8</v>
      </c>
      <c r="B17703" s="2" t="str">
        <f>HYPERLINK("http://ts.21cn.com/tousu/show/id/1349530","协商偿还读秒平台贷款")</f>
        <v>协商偿还读秒平台贷款</v>
      </c>
      <c r="C17703" s="2" t="s">
        <v>9</v>
      </c>
      <c r="D17703" s="2" t="s">
        <v>10</v>
      </c>
      <c r="E17703" s="2" t="str">
        <f>HYPERLINK("http://ts.21cn.com/tousu/show/id/1349530","http://ts.21cn.com/tousu/show/id/1349530")</f>
        <v>http://ts.21cn.com/tousu/show/id/1349530</v>
      </c>
      <c r="F17703" s="2" t="s">
        <v>11</v>
      </c>
      <c r="G17703" s="2" t="s">
        <v>9370</v>
      </c>
      <c r="H17703" s="2" t="s">
        <v>9371</v>
      </c>
    </row>
    <row r="17704" spans="1:8" ht="25.05" customHeight="1" x14ac:dyDescent="0.25">
      <c r="A17704" s="2" t="s">
        <v>8</v>
      </c>
      <c r="B17704" s="2" t="str">
        <f>HYPERLINK("http://ts.21cn.com/tousu/show/id/1349531","暴力催收、向第三方泄漏欠款信息")</f>
        <v>暴力催收、向第三方泄漏欠款信息</v>
      </c>
      <c r="C17704" s="2" t="s">
        <v>9</v>
      </c>
      <c r="D17704" s="2" t="s">
        <v>10</v>
      </c>
      <c r="E17704" s="2" t="str">
        <f>HYPERLINK("http://ts.21cn.com/tousu/show/id/1349531","http://ts.21cn.com/tousu/show/id/1349531")</f>
        <v>http://ts.21cn.com/tousu/show/id/1349531</v>
      </c>
      <c r="F17704" s="2" t="s">
        <v>11</v>
      </c>
      <c r="G17704" s="2" t="s">
        <v>9368</v>
      </c>
      <c r="H17704" s="2" t="s">
        <v>9369</v>
      </c>
    </row>
    <row r="17705" spans="1:8" ht="25.05" customHeight="1" x14ac:dyDescent="0.25">
      <c r="A17705" s="2" t="s">
        <v>8</v>
      </c>
      <c r="B17705" s="2" t="str">
        <f>HYPERLINK("http://ts.21cn.com/tousu/show/id/1349535","平安银行暴力催收，威胁")</f>
        <v>平安银行暴力催收，威胁</v>
      </c>
      <c r="C17705" s="2" t="s">
        <v>9</v>
      </c>
      <c r="D17705" s="2" t="s">
        <v>10</v>
      </c>
      <c r="E17705" s="2" t="str">
        <f>HYPERLINK("http://ts.21cn.com/tousu/show/id/1349535","http://ts.21cn.com/tousu/show/id/1349535")</f>
        <v>http://ts.21cn.com/tousu/show/id/1349535</v>
      </c>
      <c r="F17705" s="2" t="s">
        <v>11</v>
      </c>
      <c r="G17705" s="2" t="s">
        <v>9366</v>
      </c>
      <c r="H17705" s="2" t="s">
        <v>9367</v>
      </c>
    </row>
    <row r="17706" spans="1:8" ht="25.05" customHeight="1" x14ac:dyDescent="0.25">
      <c r="A17706" s="2" t="s">
        <v>8</v>
      </c>
      <c r="B17706" s="2" t="str">
        <f>HYPERLINK("http://ts.21cn.com/tousu/show/id/1349536","滴滴金融暴力催收")</f>
        <v>滴滴金融暴力催收</v>
      </c>
      <c r="C17706" s="2" t="s">
        <v>9</v>
      </c>
      <c r="D17706" s="2" t="s">
        <v>10</v>
      </c>
      <c r="E17706" s="2" t="str">
        <f>HYPERLINK("http://ts.21cn.com/tousu/show/id/1349536","http://ts.21cn.com/tousu/show/id/1349536")</f>
        <v>http://ts.21cn.com/tousu/show/id/1349536</v>
      </c>
      <c r="F17706" s="2" t="s">
        <v>11</v>
      </c>
      <c r="G17706" s="2" t="s">
        <v>9364</v>
      </c>
      <c r="H17706" s="2" t="s">
        <v>9365</v>
      </c>
    </row>
    <row r="17707" spans="1:8" ht="25.05" customHeight="1" x14ac:dyDescent="0.25">
      <c r="A17707" s="2" t="s">
        <v>8</v>
      </c>
      <c r="B17707" s="2" t="str">
        <f>HYPERLINK("http://ts.21cn.com/tousu/show/id/1349534","广发信用卡高利息私自给我分期")</f>
        <v>广发信用卡高利息私自给我分期</v>
      </c>
      <c r="C17707" s="2" t="s">
        <v>9</v>
      </c>
      <c r="D17707" s="2" t="s">
        <v>10</v>
      </c>
      <c r="E17707" s="2" t="str">
        <f>HYPERLINK("http://ts.21cn.com/tousu/show/id/1349534","http://ts.21cn.com/tousu/show/id/1349534")</f>
        <v>http://ts.21cn.com/tousu/show/id/1349534</v>
      </c>
      <c r="F17707" s="2" t="s">
        <v>11</v>
      </c>
      <c r="G17707" s="2" t="s">
        <v>9362</v>
      </c>
      <c r="H17707" s="2" t="s">
        <v>9363</v>
      </c>
    </row>
    <row r="17708" spans="1:8" ht="25.05" customHeight="1" x14ac:dyDescent="0.25">
      <c r="A17708" s="2" t="s">
        <v>8</v>
      </c>
      <c r="B17708" s="2" t="str">
        <f>HYPERLINK("http://ts.21cn.com/tousu/show/id/1349537","爆通讯录所有人")</f>
        <v>爆通讯录所有人</v>
      </c>
      <c r="C17708" s="2" t="s">
        <v>9</v>
      </c>
      <c r="D17708" s="2" t="s">
        <v>10</v>
      </c>
      <c r="E17708" s="2" t="str">
        <f>HYPERLINK("http://ts.21cn.com/tousu/show/id/1349537","http://ts.21cn.com/tousu/show/id/1349537")</f>
        <v>http://ts.21cn.com/tousu/show/id/1349537</v>
      </c>
      <c r="F17708" s="2" t="s">
        <v>11</v>
      </c>
      <c r="G17708" s="2" t="s">
        <v>9360</v>
      </c>
      <c r="H17708" s="2" t="s">
        <v>9361</v>
      </c>
    </row>
    <row r="17709" spans="1:8" ht="25.05" customHeight="1" x14ac:dyDescent="0.25">
      <c r="A17709" s="2" t="s">
        <v>8</v>
      </c>
      <c r="B17709" s="2" t="str">
        <f>HYPERLINK("http://ts.21cn.com/tousu/show/id/1349538","阳光保险公司涉嫌套路贷")</f>
        <v>阳光保险公司涉嫌套路贷</v>
      </c>
      <c r="C17709" s="2" t="s">
        <v>9</v>
      </c>
      <c r="D17709" s="2" t="s">
        <v>10</v>
      </c>
      <c r="E17709" s="2" t="str">
        <f>HYPERLINK("http://ts.21cn.com/tousu/show/id/1349538","http://ts.21cn.com/tousu/show/id/1349538")</f>
        <v>http://ts.21cn.com/tousu/show/id/1349538</v>
      </c>
      <c r="F17709" s="2" t="s">
        <v>11</v>
      </c>
      <c r="G17709" s="2" t="s">
        <v>9358</v>
      </c>
      <c r="H17709" s="2" t="s">
        <v>9359</v>
      </c>
    </row>
    <row r="17710" spans="1:8" ht="25.05" customHeight="1" x14ac:dyDescent="0.25">
      <c r="A17710" s="2" t="s">
        <v>8</v>
      </c>
      <c r="B17710" s="2" t="str">
        <f>HYPERLINK("http://ts.21cn.com/tousu/show/id/1349539","催收人员暴力催收")</f>
        <v>催收人员暴力催收</v>
      </c>
      <c r="C17710" s="2" t="s">
        <v>9</v>
      </c>
      <c r="D17710" s="2" t="s">
        <v>10</v>
      </c>
      <c r="E17710" s="2" t="str">
        <f>HYPERLINK("http://ts.21cn.com/tousu/show/id/1349539","http://ts.21cn.com/tousu/show/id/1349539")</f>
        <v>http://ts.21cn.com/tousu/show/id/1349539</v>
      </c>
      <c r="F17710" s="2" t="s">
        <v>11</v>
      </c>
      <c r="G17710" s="2" t="s">
        <v>9356</v>
      </c>
      <c r="H17710" s="2" t="s">
        <v>9357</v>
      </c>
    </row>
    <row r="17711" spans="1:8" ht="25.05" customHeight="1" x14ac:dyDescent="0.25">
      <c r="A17711" s="2" t="s">
        <v>8</v>
      </c>
      <c r="B17711" s="2" t="str">
        <f>HYPERLINK("http://ts.21cn.com/tousu/show/id/1349541","手机号用着用着没服务了")</f>
        <v>手机号用着用着没服务了</v>
      </c>
      <c r="C17711" s="2" t="s">
        <v>9</v>
      </c>
      <c r="D17711" s="2" t="s">
        <v>10</v>
      </c>
      <c r="E17711" s="2" t="str">
        <f>HYPERLINK("http://ts.21cn.com/tousu/show/id/1349541","http://ts.21cn.com/tousu/show/id/1349541")</f>
        <v>http://ts.21cn.com/tousu/show/id/1349541</v>
      </c>
      <c r="F17711" s="2" t="s">
        <v>11</v>
      </c>
      <c r="G17711" s="2" t="s">
        <v>9354</v>
      </c>
      <c r="H17711" s="2" t="s">
        <v>9355</v>
      </c>
    </row>
    <row r="17712" spans="1:8" ht="25.05" customHeight="1" x14ac:dyDescent="0.25">
      <c r="A17712" s="2" t="s">
        <v>8</v>
      </c>
      <c r="B17712" s="2" t="str">
        <f>HYPERLINK("http://ts.21cn.com/tousu/show/id/1349540","放款收取%5手续费未放款收取利息")</f>
        <v>放款收取%5手续费未放款收取利息</v>
      </c>
      <c r="C17712" s="2" t="s">
        <v>34</v>
      </c>
      <c r="D17712" s="2" t="s">
        <v>10</v>
      </c>
      <c r="E17712" s="2" t="str">
        <f>HYPERLINK("http://ts.21cn.com/tousu/show/id/1349540","http://ts.21cn.com/tousu/show/id/1349540")</f>
        <v>http://ts.21cn.com/tousu/show/id/1349540</v>
      </c>
      <c r="F17712" s="2" t="s">
        <v>11</v>
      </c>
      <c r="G17712" s="2" t="s">
        <v>9352</v>
      </c>
      <c r="H17712" s="2" t="s">
        <v>9353</v>
      </c>
    </row>
    <row r="17713" spans="1:8" ht="25.05" customHeight="1" x14ac:dyDescent="0.25">
      <c r="A17713" s="2" t="s">
        <v>8</v>
      </c>
      <c r="B17713" s="2" t="str">
        <f>HYPERLINK("http://ts.21cn.com/tousu/show/id/1349542","恶意催收")</f>
        <v>恶意催收</v>
      </c>
      <c r="C17713" s="2" t="s">
        <v>9</v>
      </c>
      <c r="D17713" s="2" t="s">
        <v>10</v>
      </c>
      <c r="E17713" s="2" t="str">
        <f>HYPERLINK("http://ts.21cn.com/tousu/show/id/1349542","http://ts.21cn.com/tousu/show/id/1349542")</f>
        <v>http://ts.21cn.com/tousu/show/id/1349542</v>
      </c>
      <c r="F17713" s="2" t="s">
        <v>11</v>
      </c>
      <c r="G17713" s="2" t="s">
        <v>9350</v>
      </c>
      <c r="H17713" s="2" t="s">
        <v>9351</v>
      </c>
    </row>
    <row r="17714" spans="1:8" ht="25.05" customHeight="1" x14ac:dyDescent="0.25">
      <c r="A17714" s="2" t="s">
        <v>8</v>
      </c>
      <c r="B17714" s="2" t="str">
        <f>HYPERLINK("http://ts.21cn.com/tousu/show/id/1349543","不予协商，骚扰，威胁")</f>
        <v>不予协商，骚扰，威胁</v>
      </c>
      <c r="C17714" s="2" t="s">
        <v>9</v>
      </c>
      <c r="D17714" s="2" t="s">
        <v>10</v>
      </c>
      <c r="E17714" s="2" t="str">
        <f>HYPERLINK("http://ts.21cn.com/tousu/show/id/1349543","http://ts.21cn.com/tousu/show/id/1349543")</f>
        <v>http://ts.21cn.com/tousu/show/id/1349543</v>
      </c>
      <c r="F17714" s="2" t="s">
        <v>11</v>
      </c>
      <c r="G17714" s="2" t="s">
        <v>9348</v>
      </c>
      <c r="H17714" s="2" t="s">
        <v>9349</v>
      </c>
    </row>
    <row r="17715" spans="1:8" ht="25.05" customHeight="1" x14ac:dyDescent="0.25">
      <c r="A17715" s="2" t="s">
        <v>8</v>
      </c>
      <c r="B17715" s="2" t="str">
        <f>HYPERLINK("http://ts.21cn.com/tousu/show/id/1349545","影响个人生活，威胁我打电话骚扰我。")</f>
        <v>影响个人生活，威胁我打电话骚扰我。</v>
      </c>
      <c r="C17715" s="2" t="s">
        <v>9</v>
      </c>
      <c r="D17715" s="2" t="s">
        <v>10</v>
      </c>
      <c r="E17715" s="2" t="str">
        <f>HYPERLINK("http://ts.21cn.com/tousu/show/id/1349545","http://ts.21cn.com/tousu/show/id/1349545")</f>
        <v>http://ts.21cn.com/tousu/show/id/1349545</v>
      </c>
      <c r="F17715" s="2" t="s">
        <v>11</v>
      </c>
      <c r="G17715" s="2" t="s">
        <v>9346</v>
      </c>
      <c r="H17715" s="2" t="s">
        <v>9347</v>
      </c>
    </row>
    <row r="17716" spans="1:8" ht="25.05" customHeight="1" x14ac:dyDescent="0.25">
      <c r="A17716" s="2" t="s">
        <v>8</v>
      </c>
      <c r="B17716" s="2" t="str">
        <f>HYPERLINK("http://ts.21cn.com/tousu/show/id/1349546","现金巴士协商还款")</f>
        <v>现金巴士协商还款</v>
      </c>
      <c r="C17716" s="2" t="s">
        <v>34</v>
      </c>
      <c r="D17716" s="2" t="s">
        <v>10</v>
      </c>
      <c r="E17716" s="2" t="str">
        <f>HYPERLINK("http://ts.21cn.com/tousu/show/id/1349546","http://ts.21cn.com/tousu/show/id/1349546")</f>
        <v>http://ts.21cn.com/tousu/show/id/1349546</v>
      </c>
      <c r="F17716" s="2" t="s">
        <v>11</v>
      </c>
      <c r="G17716" s="2" t="s">
        <v>9344</v>
      </c>
      <c r="H17716" s="2" t="s">
        <v>9345</v>
      </c>
    </row>
    <row r="17717" spans="1:8" ht="25.05" customHeight="1" x14ac:dyDescent="0.25">
      <c r="A17717" s="2" t="s">
        <v>8</v>
      </c>
      <c r="B17717" s="2" t="str">
        <f>HYPERLINK("http://ts.21cn.com/tousu/show/id/1349547","随意扣钱")</f>
        <v>随意扣钱</v>
      </c>
      <c r="C17717" s="2" t="s">
        <v>9</v>
      </c>
      <c r="D17717" s="2" t="s">
        <v>10</v>
      </c>
      <c r="E17717" s="2" t="str">
        <f>HYPERLINK("http://ts.21cn.com/tousu/show/id/1349547","http://ts.21cn.com/tousu/show/id/1349547")</f>
        <v>http://ts.21cn.com/tousu/show/id/1349547</v>
      </c>
      <c r="F17717" s="2" t="s">
        <v>11</v>
      </c>
      <c r="G17717" s="2" t="s">
        <v>9342</v>
      </c>
      <c r="H17717" s="2" t="s">
        <v>9343</v>
      </c>
    </row>
    <row r="17718" spans="1:8" ht="25.05" customHeight="1" x14ac:dyDescent="0.25">
      <c r="A17718" s="2" t="s">
        <v>8</v>
      </c>
      <c r="B17718" s="2" t="str">
        <f>HYPERLINK("http://ts.21cn.com/tousu/show/id/1349549","玖富旗下玖富叮当阴阳合同变相高利贷，骚扰无关人员")</f>
        <v>玖富旗下玖富叮当阴阳合同变相高利贷，骚扰无关人员</v>
      </c>
      <c r="C17718" s="2" t="s">
        <v>9</v>
      </c>
      <c r="D17718" s="2" t="s">
        <v>10</v>
      </c>
      <c r="E17718" s="2" t="str">
        <f>HYPERLINK("http://ts.21cn.com/tousu/show/id/1349549","http://ts.21cn.com/tousu/show/id/1349549")</f>
        <v>http://ts.21cn.com/tousu/show/id/1349549</v>
      </c>
      <c r="F17718" s="2" t="s">
        <v>11</v>
      </c>
      <c r="G17718" s="2" t="s">
        <v>9340</v>
      </c>
      <c r="H17718" s="2" t="s">
        <v>9341</v>
      </c>
    </row>
    <row r="17719" spans="1:8" ht="25.05" customHeight="1" x14ac:dyDescent="0.25">
      <c r="A17719" s="2" t="s">
        <v>8</v>
      </c>
      <c r="B17719" s="2" t="str">
        <f>HYPERLINK("http://ts.21cn.com/tousu/show/id/1349551","立借高利贷")</f>
        <v>立借高利贷</v>
      </c>
      <c r="C17719" s="2" t="s">
        <v>9</v>
      </c>
      <c r="D17719" s="2" t="s">
        <v>10</v>
      </c>
      <c r="E17719" s="2" t="str">
        <f>HYPERLINK("http://ts.21cn.com/tousu/show/id/1349551","http://ts.21cn.com/tousu/show/id/1349551")</f>
        <v>http://ts.21cn.com/tousu/show/id/1349551</v>
      </c>
      <c r="F17719" s="2" t="s">
        <v>11</v>
      </c>
      <c r="G17719" s="2" t="s">
        <v>9338</v>
      </c>
      <c r="H17719" s="2" t="s">
        <v>9339</v>
      </c>
    </row>
    <row r="17720" spans="1:8" ht="25.05" customHeight="1" x14ac:dyDescent="0.25">
      <c r="A17720" s="2" t="s">
        <v>8</v>
      </c>
      <c r="B17720" s="2" t="str">
        <f>HYPERLINK("http://ts.21cn.com/tousu/show/id/1349550","合利宝为套路贷提供放款以及扣款服务")</f>
        <v>合利宝为套路贷提供放款以及扣款服务</v>
      </c>
      <c r="C17720" s="2" t="s">
        <v>9</v>
      </c>
      <c r="D17720" s="2" t="s">
        <v>10</v>
      </c>
      <c r="E17720" s="2" t="str">
        <f>HYPERLINK("http://ts.21cn.com/tousu/show/id/1349550","http://ts.21cn.com/tousu/show/id/1349550")</f>
        <v>http://ts.21cn.com/tousu/show/id/1349550</v>
      </c>
      <c r="F17720" s="2" t="s">
        <v>11</v>
      </c>
      <c r="G17720" s="2" t="s">
        <v>9336</v>
      </c>
      <c r="H17720" s="2" t="s">
        <v>9337</v>
      </c>
    </row>
    <row r="17721" spans="1:8" ht="25.05" customHeight="1" x14ac:dyDescent="0.25">
      <c r="A17721" s="2" t="s">
        <v>8</v>
      </c>
      <c r="B17721" s="2" t="str">
        <f>HYPERLINK("http://ts.21cn.com/tousu/show/id/1349553","求你快点扣款")</f>
        <v>求你快点扣款</v>
      </c>
      <c r="C17721" s="2" t="s">
        <v>9</v>
      </c>
      <c r="D17721" s="2" t="s">
        <v>10</v>
      </c>
      <c r="E17721" s="2" t="str">
        <f>HYPERLINK("http://ts.21cn.com/tousu/show/id/1349553","http://ts.21cn.com/tousu/show/id/1349553")</f>
        <v>http://ts.21cn.com/tousu/show/id/1349553</v>
      </c>
      <c r="F17721" s="2" t="s">
        <v>11</v>
      </c>
      <c r="G17721" s="2" t="s">
        <v>9334</v>
      </c>
      <c r="H17721" s="2" t="s">
        <v>9335</v>
      </c>
    </row>
    <row r="17722" spans="1:8" ht="25.05" customHeight="1" x14ac:dyDescent="0.25">
      <c r="A17722" s="2" t="s">
        <v>8</v>
      </c>
      <c r="B17722" s="2" t="str">
        <f>HYPERLINK("http://ts.21cn.com/tousu/show/id/1349554","阴阳合同、高利贷")</f>
        <v>阴阳合同、高利贷</v>
      </c>
      <c r="C17722" s="2" t="s">
        <v>9</v>
      </c>
      <c r="D17722" s="2" t="s">
        <v>10</v>
      </c>
      <c r="E17722" s="2" t="str">
        <f>HYPERLINK("http://ts.21cn.com/tousu/show/id/1349554","http://ts.21cn.com/tousu/show/id/1349554")</f>
        <v>http://ts.21cn.com/tousu/show/id/1349554</v>
      </c>
      <c r="F17722" s="2" t="s">
        <v>11</v>
      </c>
      <c r="G17722" s="2" t="s">
        <v>9331</v>
      </c>
      <c r="H17722" s="2" t="s">
        <v>9332</v>
      </c>
    </row>
    <row r="17723" spans="1:8" ht="25.05" customHeight="1" x14ac:dyDescent="0.25">
      <c r="A17723" s="2" t="s">
        <v>8</v>
      </c>
      <c r="B17723" s="2" t="str">
        <f>HYPERLINK("http://ts.21cn.com/tousu/show/id/1349555","拍拍贷暴力催收")</f>
        <v>拍拍贷暴力催收</v>
      </c>
      <c r="C17723" s="2" t="s">
        <v>9</v>
      </c>
      <c r="D17723" s="2" t="s">
        <v>10</v>
      </c>
      <c r="E17723" s="2" t="str">
        <f>HYPERLINK("http://ts.21cn.com/tousu/show/id/1349555","http://ts.21cn.com/tousu/show/id/1349555")</f>
        <v>http://ts.21cn.com/tousu/show/id/1349555</v>
      </c>
      <c r="F17723" s="2" t="s">
        <v>11</v>
      </c>
      <c r="G17723" s="2" t="s">
        <v>9331</v>
      </c>
      <c r="H17723" s="2" t="s">
        <v>9333</v>
      </c>
    </row>
    <row r="17724" spans="1:8" ht="25.05" customHeight="1" x14ac:dyDescent="0.25">
      <c r="A17724" s="2" t="s">
        <v>8</v>
      </c>
      <c r="B17724" s="2" t="str">
        <f>HYPERLINK("http://ts.21cn.com/tousu/show/id/1349558","快闪卡贷借款平台借款额度和实际到账额度不符，在借款人不知情情况下非法扣除一部分钱")</f>
        <v>快闪卡贷借款平台借款额度和实际到账额度不符，在借款人不知情情况下非法扣除一部分钱</v>
      </c>
      <c r="C17724" s="2" t="s">
        <v>9</v>
      </c>
      <c r="D17724" s="2" t="s">
        <v>10</v>
      </c>
      <c r="E17724" s="2" t="str">
        <f>HYPERLINK("http://ts.21cn.com/tousu/show/id/1349558","http://ts.21cn.com/tousu/show/id/1349558")</f>
        <v>http://ts.21cn.com/tousu/show/id/1349558</v>
      </c>
      <c r="F17724" s="2" t="s">
        <v>11</v>
      </c>
      <c r="G17724" s="2" t="s">
        <v>9329</v>
      </c>
      <c r="H17724" s="2" t="s">
        <v>9330</v>
      </c>
    </row>
    <row r="17725" spans="1:8" ht="25.05" customHeight="1" x14ac:dyDescent="0.25">
      <c r="A17725" s="2" t="s">
        <v>8</v>
      </c>
      <c r="B17725" s="2" t="str">
        <f>HYPERLINK("http://ts.21cn.com/tousu/show/id/1349560","北京英龙华辰科技有限公司占用客户货款")</f>
        <v>北京英龙华辰科技有限公司占用客户货款</v>
      </c>
      <c r="C17725" s="2" t="s">
        <v>9</v>
      </c>
      <c r="D17725" s="2" t="s">
        <v>10</v>
      </c>
      <c r="E17725" s="2" t="str">
        <f>HYPERLINK("http://ts.21cn.com/tousu/show/id/1349560","http://ts.21cn.com/tousu/show/id/1349560")</f>
        <v>http://ts.21cn.com/tousu/show/id/1349560</v>
      </c>
      <c r="F17725" s="2" t="s">
        <v>11</v>
      </c>
      <c r="G17725" s="2" t="s">
        <v>9327</v>
      </c>
      <c r="H17725" s="2" t="s">
        <v>9328</v>
      </c>
    </row>
    <row r="17726" spans="1:8" ht="25.05" customHeight="1" x14ac:dyDescent="0.25">
      <c r="A17726" s="2" t="s">
        <v>8</v>
      </c>
      <c r="B17726" s="2" t="str">
        <f>HYPERLINK("http://ts.21cn.com/tousu/show/id/1349559","惠普暗影精灵2PLUS电池鼓包")</f>
        <v>惠普暗影精灵2PLUS电池鼓包</v>
      </c>
      <c r="C17726" s="2" t="s">
        <v>9</v>
      </c>
      <c r="D17726" s="2" t="s">
        <v>10</v>
      </c>
      <c r="E17726" s="2" t="str">
        <f>HYPERLINK("http://ts.21cn.com/tousu/show/id/1349559","http://ts.21cn.com/tousu/show/id/1349559")</f>
        <v>http://ts.21cn.com/tousu/show/id/1349559</v>
      </c>
      <c r="F17726" s="2" t="s">
        <v>11</v>
      </c>
      <c r="G17726" s="2" t="s">
        <v>9325</v>
      </c>
      <c r="H17726" s="2" t="s">
        <v>9326</v>
      </c>
    </row>
    <row r="17727" spans="1:8" ht="25.05" customHeight="1" x14ac:dyDescent="0.25">
      <c r="A17727" s="2" t="s">
        <v>8</v>
      </c>
      <c r="B17727" s="2" t="str">
        <f>HYPERLINK("http://ts.21cn.com/tousu/show/id/1349556","网贷电话骚扰联系人")</f>
        <v>网贷电话骚扰联系人</v>
      </c>
      <c r="C17727" s="2" t="s">
        <v>9</v>
      </c>
      <c r="D17727" s="2" t="s">
        <v>10</v>
      </c>
      <c r="E17727" s="2" t="str">
        <f>HYPERLINK("http://ts.21cn.com/tousu/show/id/1349556","http://ts.21cn.com/tousu/show/id/1349556")</f>
        <v>http://ts.21cn.com/tousu/show/id/1349556</v>
      </c>
      <c r="F17727" s="2" t="s">
        <v>11</v>
      </c>
      <c r="G17727" s="2" t="s">
        <v>9323</v>
      </c>
      <c r="H17727" s="2" t="s">
        <v>9324</v>
      </c>
    </row>
    <row r="17728" spans="1:8" ht="25.05" customHeight="1" x14ac:dyDescent="0.25">
      <c r="A17728" s="2" t="s">
        <v>8</v>
      </c>
      <c r="B17728" s="2" t="str">
        <f>HYPERLINK("http://ts.21cn.com/tousu/show/id/1349557","骚扰威胁态度差")</f>
        <v>骚扰威胁态度差</v>
      </c>
      <c r="C17728" s="2" t="s">
        <v>9</v>
      </c>
      <c r="D17728" s="2" t="s">
        <v>10</v>
      </c>
      <c r="E17728" s="2" t="str">
        <f>HYPERLINK("http://ts.21cn.com/tousu/show/id/1349557","http://ts.21cn.com/tousu/show/id/1349557")</f>
        <v>http://ts.21cn.com/tousu/show/id/1349557</v>
      </c>
      <c r="F17728" s="2" t="s">
        <v>11</v>
      </c>
      <c r="G17728" s="2" t="s">
        <v>9321</v>
      </c>
      <c r="H17728" s="2" t="s">
        <v>9322</v>
      </c>
    </row>
    <row r="17729" spans="1:8" ht="25.05" customHeight="1" x14ac:dyDescent="0.25">
      <c r="A17729" s="2" t="s">
        <v>8</v>
      </c>
      <c r="B17729" s="2" t="str">
        <f>HYPERLINK("http://ts.21cn.com/tousu/show/id/1349561","唯品花突然封我唯品花账号")</f>
        <v>唯品花突然封我唯品花账号</v>
      </c>
      <c r="C17729" s="2" t="s">
        <v>34</v>
      </c>
      <c r="D17729" s="2" t="s">
        <v>10</v>
      </c>
      <c r="E17729" s="2" t="str">
        <f>HYPERLINK("http://ts.21cn.com/tousu/show/id/1349561","http://ts.21cn.com/tousu/show/id/1349561")</f>
        <v>http://ts.21cn.com/tousu/show/id/1349561</v>
      </c>
      <c r="F17729" s="2" t="s">
        <v>11</v>
      </c>
      <c r="G17729" s="2" t="s">
        <v>9319</v>
      </c>
      <c r="H17729" s="2" t="s">
        <v>9320</v>
      </c>
    </row>
    <row r="17730" spans="1:8" ht="25.05" customHeight="1" x14ac:dyDescent="0.25">
      <c r="A17730" s="2" t="s">
        <v>8</v>
      </c>
      <c r="B17730" s="2" t="str">
        <f>HYPERLINK("http://ts.21cn.com/tousu/show/id/1349562","百度有钱花催收服务态度差")</f>
        <v>百度有钱花催收服务态度差</v>
      </c>
      <c r="C17730" s="2" t="s">
        <v>9</v>
      </c>
      <c r="D17730" s="2" t="s">
        <v>10</v>
      </c>
      <c r="E17730" s="2" t="str">
        <f>HYPERLINK("http://ts.21cn.com/tousu/show/id/1349562","http://ts.21cn.com/tousu/show/id/1349562")</f>
        <v>http://ts.21cn.com/tousu/show/id/1349562</v>
      </c>
      <c r="F17730" s="2" t="s">
        <v>11</v>
      </c>
      <c r="G17730" s="2" t="s">
        <v>9317</v>
      </c>
      <c r="H17730" s="2" t="s">
        <v>9318</v>
      </c>
    </row>
    <row r="17731" spans="1:8" ht="25.05" customHeight="1" x14ac:dyDescent="0.25">
      <c r="A17731" s="2" t="s">
        <v>8</v>
      </c>
      <c r="B17731" s="2" t="str">
        <f>HYPERLINK("http://ts.21cn.com/tousu/show/id/1349563","交易失败一直五次退款失败了")</f>
        <v>交易失败一直五次退款失败了</v>
      </c>
      <c r="C17731" s="2" t="s">
        <v>34</v>
      </c>
      <c r="D17731" s="2" t="s">
        <v>10</v>
      </c>
      <c r="E17731" s="2" t="str">
        <f>HYPERLINK("http://ts.21cn.com/tousu/show/id/1349563","http://ts.21cn.com/tousu/show/id/1349563")</f>
        <v>http://ts.21cn.com/tousu/show/id/1349563</v>
      </c>
      <c r="F17731" s="2" t="s">
        <v>11</v>
      </c>
      <c r="G17731" s="2" t="s">
        <v>9315</v>
      </c>
      <c r="H17731" s="2" t="s">
        <v>9316</v>
      </c>
    </row>
    <row r="17732" spans="1:8" ht="25.05" customHeight="1" x14ac:dyDescent="0.25">
      <c r="A17732" s="2" t="s">
        <v>8</v>
      </c>
      <c r="B17732" s="2" t="str">
        <f>HYPERLINK("http://ts.21cn.com/tousu/show/id/1349564","微信公众号认证缴费300，认证失败不退钱")</f>
        <v>微信公众号认证缴费300，认证失败不退钱</v>
      </c>
      <c r="C17732" s="2" t="s">
        <v>34</v>
      </c>
      <c r="D17732" s="2" t="s">
        <v>10</v>
      </c>
      <c r="E17732" s="2" t="str">
        <f>HYPERLINK("http://ts.21cn.com/tousu/show/id/1349564","http://ts.21cn.com/tousu/show/id/1349564")</f>
        <v>http://ts.21cn.com/tousu/show/id/1349564</v>
      </c>
      <c r="F17732" s="2" t="s">
        <v>11</v>
      </c>
      <c r="G17732" s="2" t="s">
        <v>9313</v>
      </c>
      <c r="H17732" s="2" t="s">
        <v>9314</v>
      </c>
    </row>
    <row r="17733" spans="1:8" ht="25.05" customHeight="1" x14ac:dyDescent="0.25">
      <c r="A17733" s="2" t="s">
        <v>8</v>
      </c>
      <c r="B17733" s="2" t="str">
        <f>HYPERLINK("http://ts.21cn.com/tousu/show/id/1349565","广东缺钱么涉黑高利贷暴力催收")</f>
        <v>广东缺钱么涉黑高利贷暴力催收</v>
      </c>
      <c r="C17733" s="2" t="s">
        <v>9</v>
      </c>
      <c r="D17733" s="2" t="s">
        <v>10</v>
      </c>
      <c r="E17733" s="2" t="str">
        <f>HYPERLINK("http://ts.21cn.com/tousu/show/id/1349565","http://ts.21cn.com/tousu/show/id/1349565")</f>
        <v>http://ts.21cn.com/tousu/show/id/1349565</v>
      </c>
      <c r="F17733" s="2" t="s">
        <v>11</v>
      </c>
      <c r="G17733" s="2" t="s">
        <v>9311</v>
      </c>
      <c r="H17733" s="2" t="s">
        <v>9312</v>
      </c>
    </row>
    <row r="17734" spans="1:8" ht="25.05" customHeight="1" x14ac:dyDescent="0.25">
      <c r="A17734" s="2" t="s">
        <v>8</v>
      </c>
      <c r="B17734" s="2" t="str">
        <f>HYPERLINK("http://ts.21cn.com/tousu/show/id/1349568","众安恬不知耻敛不义之财")</f>
        <v>众安恬不知耻敛不义之财</v>
      </c>
      <c r="C17734" s="2" t="s">
        <v>9</v>
      </c>
      <c r="D17734" s="2" t="s">
        <v>10</v>
      </c>
      <c r="E17734" s="2" t="str">
        <f>HYPERLINK("http://ts.21cn.com/tousu/show/id/1349568","http://ts.21cn.com/tousu/show/id/1349568")</f>
        <v>http://ts.21cn.com/tousu/show/id/1349568</v>
      </c>
      <c r="F17734" s="2" t="s">
        <v>11</v>
      </c>
      <c r="G17734" s="2" t="s">
        <v>9309</v>
      </c>
      <c r="H17734" s="2" t="s">
        <v>9310</v>
      </c>
    </row>
    <row r="17735" spans="1:8" ht="25.05" customHeight="1" x14ac:dyDescent="0.25">
      <c r="A17735" s="2" t="s">
        <v>8</v>
      </c>
      <c r="B17735" s="2" t="str">
        <f>HYPERLINK("http://ts.21cn.com/tousu/show/id/1349567","骚扰联系人。暴力催收")</f>
        <v>骚扰联系人。暴力催收</v>
      </c>
      <c r="C17735" s="2" t="s">
        <v>9</v>
      </c>
      <c r="D17735" s="2" t="s">
        <v>10</v>
      </c>
      <c r="E17735" s="2" t="str">
        <f>HYPERLINK("http://ts.21cn.com/tousu/show/id/1349567","http://ts.21cn.com/tousu/show/id/1349567")</f>
        <v>http://ts.21cn.com/tousu/show/id/1349567</v>
      </c>
      <c r="F17735" s="2" t="s">
        <v>11</v>
      </c>
      <c r="G17735" s="2" t="s">
        <v>9307</v>
      </c>
      <c r="H17735" s="2" t="s">
        <v>9308</v>
      </c>
    </row>
    <row r="17736" spans="1:8" ht="25.05" customHeight="1" x14ac:dyDescent="0.25">
      <c r="A17736" s="2" t="s">
        <v>8</v>
      </c>
      <c r="B17736" s="2" t="str">
        <f>HYPERLINK("http://ts.21cn.com/tousu/show/id/1349569","高利贷  要求降息  五天利息就一千多")</f>
        <v>高利贷  要求降息  五天利息就一千多</v>
      </c>
      <c r="C17736" s="2" t="s">
        <v>9</v>
      </c>
      <c r="D17736" s="2" t="s">
        <v>10</v>
      </c>
      <c r="E17736" s="2" t="str">
        <f>HYPERLINK("http://ts.21cn.com/tousu/show/id/1349569","http://ts.21cn.com/tousu/show/id/1349569")</f>
        <v>http://ts.21cn.com/tousu/show/id/1349569</v>
      </c>
      <c r="F17736" s="2" t="s">
        <v>11</v>
      </c>
      <c r="G17736" s="2" t="s">
        <v>9305</v>
      </c>
      <c r="H17736" s="2" t="s">
        <v>9306</v>
      </c>
    </row>
    <row r="17737" spans="1:8" ht="25.05" customHeight="1" x14ac:dyDescent="0.25">
      <c r="A17737" s="2" t="s">
        <v>8</v>
      </c>
      <c r="B17737" s="2" t="str">
        <f>HYPERLINK("http://ts.21cn.com/tousu/show/id/1349570","天猫商城小米良米专卖店卖的小米产品是假货")</f>
        <v>天猫商城小米良米专卖店卖的小米产品是假货</v>
      </c>
      <c r="C17737" s="2" t="s">
        <v>9</v>
      </c>
      <c r="D17737" s="2" t="s">
        <v>10</v>
      </c>
      <c r="E17737" s="2" t="str">
        <f>HYPERLINK("http://ts.21cn.com/tousu/show/id/1349570","http://ts.21cn.com/tousu/show/id/1349570")</f>
        <v>http://ts.21cn.com/tousu/show/id/1349570</v>
      </c>
      <c r="F17737" s="2" t="s">
        <v>11</v>
      </c>
      <c r="G17737" s="2" t="s">
        <v>9303</v>
      </c>
      <c r="H17737" s="2" t="s">
        <v>9304</v>
      </c>
    </row>
    <row r="17738" spans="1:8" ht="25.05" customHeight="1" x14ac:dyDescent="0.25">
      <c r="A17738" s="2" t="s">
        <v>8</v>
      </c>
      <c r="B17738" s="2" t="str">
        <f>HYPERLINK("http://ts.21cn.com/tousu/show/id/1349571","多家网贷平台协商还款，尤其是钱站")</f>
        <v>多家网贷平台协商还款，尤其是钱站</v>
      </c>
      <c r="C17738" s="2" t="s">
        <v>9</v>
      </c>
      <c r="D17738" s="2" t="s">
        <v>10</v>
      </c>
      <c r="E17738" s="2" t="str">
        <f>HYPERLINK("http://ts.21cn.com/tousu/show/id/1349571","http://ts.21cn.com/tousu/show/id/1349571")</f>
        <v>http://ts.21cn.com/tousu/show/id/1349571</v>
      </c>
      <c r="F17738" s="2" t="s">
        <v>11</v>
      </c>
      <c r="G17738" s="2" t="s">
        <v>9301</v>
      </c>
      <c r="H17738" s="2" t="s">
        <v>9302</v>
      </c>
    </row>
    <row r="17739" spans="1:8" ht="25.05" customHeight="1" x14ac:dyDescent="0.25">
      <c r="A17739" s="2" t="s">
        <v>8</v>
      </c>
      <c r="B17739" s="2" t="str">
        <f>HYPERLINK("http://ts.21cn.com/tousu/show/id/1349572","阳光安心贷威胁我")</f>
        <v>阳光安心贷威胁我</v>
      </c>
      <c r="C17739" s="2" t="s">
        <v>9</v>
      </c>
      <c r="D17739" s="2" t="s">
        <v>10</v>
      </c>
      <c r="E17739" s="2" t="str">
        <f>HYPERLINK("http://ts.21cn.com/tousu/show/id/1349572","http://ts.21cn.com/tousu/show/id/1349572")</f>
        <v>http://ts.21cn.com/tousu/show/id/1349572</v>
      </c>
      <c r="F17739" s="2" t="s">
        <v>11</v>
      </c>
      <c r="G17739" s="2" t="s">
        <v>9299</v>
      </c>
      <c r="H17739" s="2" t="s">
        <v>9300</v>
      </c>
    </row>
    <row r="17740" spans="1:8" ht="25.05" customHeight="1" x14ac:dyDescent="0.25">
      <c r="A17740" s="2" t="s">
        <v>8</v>
      </c>
      <c r="B17740" s="2" t="str">
        <f>HYPERLINK("http://ts.21cn.com/tousu/show/id/1349573","没有收到还款信息私自扣款")</f>
        <v>没有收到还款信息私自扣款</v>
      </c>
      <c r="C17740" s="2" t="s">
        <v>9</v>
      </c>
      <c r="D17740" s="2" t="s">
        <v>10</v>
      </c>
      <c r="E17740" s="2" t="str">
        <f>HYPERLINK("http://ts.21cn.com/tousu/show/id/1349573","http://ts.21cn.com/tousu/show/id/1349573")</f>
        <v>http://ts.21cn.com/tousu/show/id/1349573</v>
      </c>
      <c r="F17740" s="2" t="s">
        <v>11</v>
      </c>
      <c r="G17740" s="2" t="s">
        <v>9297</v>
      </c>
      <c r="H17740" s="2" t="s">
        <v>9298</v>
      </c>
    </row>
    <row r="17741" spans="1:8" ht="25.05" customHeight="1" x14ac:dyDescent="0.25">
      <c r="A17741" s="2" t="s">
        <v>8</v>
      </c>
      <c r="B17741" s="2" t="str">
        <f>HYPERLINK("http://ts.21cn.com/tousu/show/id/1349577","要求读秒平台结案")</f>
        <v>要求读秒平台结案</v>
      </c>
      <c r="C17741" s="2" t="s">
        <v>9</v>
      </c>
      <c r="D17741" s="2" t="s">
        <v>10</v>
      </c>
      <c r="E17741" s="2" t="str">
        <f>HYPERLINK("http://ts.21cn.com/tousu/show/id/1349577","http://ts.21cn.com/tousu/show/id/1349577")</f>
        <v>http://ts.21cn.com/tousu/show/id/1349577</v>
      </c>
      <c r="F17741" s="2" t="s">
        <v>11</v>
      </c>
      <c r="G17741" s="2" t="s">
        <v>9295</v>
      </c>
      <c r="H17741" s="2" t="s">
        <v>9296</v>
      </c>
    </row>
    <row r="17742" spans="1:8" ht="25.05" customHeight="1" x14ac:dyDescent="0.25">
      <c r="A17742" s="2" t="s">
        <v>8</v>
      </c>
      <c r="B17742" s="2" t="str">
        <f>HYPERLINK("http://ts.21cn.com/tousu/show/id/1349574","微品，你我贷，钱站暴力催收")</f>
        <v>微品，你我贷，钱站暴力催收</v>
      </c>
      <c r="C17742" s="2" t="s">
        <v>9</v>
      </c>
      <c r="D17742" s="2" t="s">
        <v>10</v>
      </c>
      <c r="E17742" s="2" t="str">
        <f>HYPERLINK("http://ts.21cn.com/tousu/show/id/1349574","http://ts.21cn.com/tousu/show/id/1349574")</f>
        <v>http://ts.21cn.com/tousu/show/id/1349574</v>
      </c>
      <c r="F17742" s="2" t="s">
        <v>11</v>
      </c>
      <c r="G17742" s="2" t="s">
        <v>9293</v>
      </c>
      <c r="H17742" s="2" t="s">
        <v>9294</v>
      </c>
    </row>
    <row r="17743" spans="1:8" ht="25.05" customHeight="1" x14ac:dyDescent="0.25">
      <c r="A17743" s="2" t="s">
        <v>8</v>
      </c>
      <c r="B17743" s="2" t="str">
        <f>HYPERLINK("http://ts.21cn.com/tousu/show/id/1349579","联通易借电话骚扰，催收态度恶劣，威胁爆通讯录")</f>
        <v>联通易借电话骚扰，催收态度恶劣，威胁爆通讯录</v>
      </c>
      <c r="C17743" s="2" t="s">
        <v>9</v>
      </c>
      <c r="D17743" s="2" t="s">
        <v>10</v>
      </c>
      <c r="E17743" s="2" t="str">
        <f>HYPERLINK("http://ts.21cn.com/tousu/show/id/1349579","http://ts.21cn.com/tousu/show/id/1349579")</f>
        <v>http://ts.21cn.com/tousu/show/id/1349579</v>
      </c>
      <c r="F17743" s="2" t="s">
        <v>11</v>
      </c>
      <c r="G17743" s="2" t="s">
        <v>9291</v>
      </c>
      <c r="H17743" s="2" t="s">
        <v>9292</v>
      </c>
    </row>
    <row r="17744" spans="1:8" ht="25.05" customHeight="1" x14ac:dyDescent="0.25">
      <c r="A17744" s="2" t="s">
        <v>8</v>
      </c>
      <c r="B17744" s="2" t="str">
        <f>HYPERLINK("http://ts.21cn.com/tousu/show/id/1349575","京东白条威胁恐吓三方")</f>
        <v>京东白条威胁恐吓三方</v>
      </c>
      <c r="C17744" s="2" t="s">
        <v>9</v>
      </c>
      <c r="D17744" s="2" t="s">
        <v>10</v>
      </c>
      <c r="E17744" s="2" t="str">
        <f>HYPERLINK("http://ts.21cn.com/tousu/show/id/1349575","http://ts.21cn.com/tousu/show/id/1349575")</f>
        <v>http://ts.21cn.com/tousu/show/id/1349575</v>
      </c>
      <c r="F17744" s="2" t="s">
        <v>11</v>
      </c>
      <c r="G17744" s="2" t="s">
        <v>9289</v>
      </c>
      <c r="H17744" s="2" t="s">
        <v>9290</v>
      </c>
    </row>
    <row r="17745" spans="1:8" ht="25.05" customHeight="1" x14ac:dyDescent="0.25">
      <c r="A17745" s="2" t="s">
        <v>8</v>
      </c>
      <c r="B17745" s="2" t="str">
        <f>HYPERLINK("http://ts.21cn.com/tousu/show/id/1349576","小浦优客未经我同意在我不知情的情况下私自扣钱")</f>
        <v>小浦优客未经我同意在我不知情的情况下私自扣钱</v>
      </c>
      <c r="C17745" s="2" t="s">
        <v>9</v>
      </c>
      <c r="D17745" s="2" t="s">
        <v>10</v>
      </c>
      <c r="E17745" s="2" t="str">
        <f>HYPERLINK("http://ts.21cn.com/tousu/show/id/1349576","http://ts.21cn.com/tousu/show/id/1349576")</f>
        <v>http://ts.21cn.com/tousu/show/id/1349576</v>
      </c>
      <c r="F17745" s="2" t="s">
        <v>11</v>
      </c>
      <c r="G17745" s="2" t="s">
        <v>9287</v>
      </c>
      <c r="H17745" s="2" t="s">
        <v>9288</v>
      </c>
    </row>
    <row r="17746" spans="1:8" ht="25.05" customHeight="1" x14ac:dyDescent="0.25">
      <c r="A17746" s="2" t="s">
        <v>8</v>
      </c>
      <c r="B17746" s="2" t="str">
        <f>HYPERLINK("http://ts.21cn.com/tousu/show/id/1349578","小花钱包鼎泰鑫恐吓威胁暴力催收")</f>
        <v>小花钱包鼎泰鑫恐吓威胁暴力催收</v>
      </c>
      <c r="C17746" s="2" t="s">
        <v>9</v>
      </c>
      <c r="D17746" s="2" t="s">
        <v>10</v>
      </c>
      <c r="E17746" s="2" t="str">
        <f>HYPERLINK("http://ts.21cn.com/tousu/show/id/1349578","http://ts.21cn.com/tousu/show/id/1349578")</f>
        <v>http://ts.21cn.com/tousu/show/id/1349578</v>
      </c>
      <c r="F17746" s="2" t="s">
        <v>11</v>
      </c>
      <c r="G17746" s="2" t="s">
        <v>9285</v>
      </c>
      <c r="H17746" s="2" t="s">
        <v>9286</v>
      </c>
    </row>
    <row r="17747" spans="1:8" ht="25.05" customHeight="1" x14ac:dyDescent="0.25">
      <c r="A17747" s="2" t="s">
        <v>8</v>
      </c>
      <c r="B17747" s="2" t="str">
        <f>HYPERLINK("http://ts.21cn.com/tousu/show/id/1349580","打击")</f>
        <v>打击</v>
      </c>
      <c r="C17747" s="2" t="s">
        <v>9</v>
      </c>
      <c r="D17747" s="2" t="s">
        <v>10</v>
      </c>
      <c r="E17747" s="2" t="str">
        <f>HYPERLINK("http://ts.21cn.com/tousu/show/id/1349580","http://ts.21cn.com/tousu/show/id/1349580")</f>
        <v>http://ts.21cn.com/tousu/show/id/1349580</v>
      </c>
      <c r="F17747" s="2" t="s">
        <v>11</v>
      </c>
      <c r="G17747" s="2" t="s">
        <v>9283</v>
      </c>
      <c r="H17747" s="2" t="s">
        <v>9284</v>
      </c>
    </row>
    <row r="17748" spans="1:8" ht="25.05" customHeight="1" x14ac:dyDescent="0.25">
      <c r="A17748" s="2" t="s">
        <v>8</v>
      </c>
      <c r="B17748" s="2" t="str">
        <f>HYPERLINK("http://ts.21cn.com/tousu/show/id/1349582","还款金额超过放款金额")</f>
        <v>还款金额超过放款金额</v>
      </c>
      <c r="C17748" s="2" t="s">
        <v>34</v>
      </c>
      <c r="D17748" s="2" t="s">
        <v>10</v>
      </c>
      <c r="E17748" s="2" t="str">
        <f>HYPERLINK("http://ts.21cn.com/tousu/show/id/1349582","http://ts.21cn.com/tousu/show/id/1349582")</f>
        <v>http://ts.21cn.com/tousu/show/id/1349582</v>
      </c>
      <c r="F17748" s="2" t="s">
        <v>11</v>
      </c>
      <c r="G17748" s="2" t="s">
        <v>9280</v>
      </c>
      <c r="H17748" s="2" t="s">
        <v>9281</v>
      </c>
    </row>
    <row r="17749" spans="1:8" ht="25.05" customHeight="1" x14ac:dyDescent="0.25">
      <c r="A17749" s="2" t="s">
        <v>8</v>
      </c>
      <c r="B17749" s="2" t="str">
        <f>HYPERLINK("http://ts.21cn.com/tousu/show/id/1349581","立刻出行不作为用户行为无法保障")</f>
        <v>立刻出行不作为用户行为无法保障</v>
      </c>
      <c r="C17749" s="2" t="s">
        <v>9</v>
      </c>
      <c r="D17749" s="2" t="s">
        <v>10</v>
      </c>
      <c r="E17749" s="2" t="str">
        <f>HYPERLINK("http://ts.21cn.com/tousu/show/id/1349581","http://ts.21cn.com/tousu/show/id/1349581")</f>
        <v>http://ts.21cn.com/tousu/show/id/1349581</v>
      </c>
      <c r="F17749" s="2" t="s">
        <v>11</v>
      </c>
      <c r="G17749" s="2" t="s">
        <v>9280</v>
      </c>
      <c r="H17749" s="2" t="s">
        <v>9282</v>
      </c>
    </row>
    <row r="17750" spans="1:8" ht="25.05" customHeight="1" x14ac:dyDescent="0.25">
      <c r="A17750" s="2" t="s">
        <v>8</v>
      </c>
      <c r="B17750" s="2" t="str">
        <f>HYPERLINK("http://ts.21cn.com/tousu/show/id/1349277","买自动胡须刀给我寄了空盒子")</f>
        <v>买自动胡须刀给我寄了空盒子</v>
      </c>
      <c r="C17750" s="2" t="s">
        <v>34</v>
      </c>
      <c r="D17750" s="2" t="s">
        <v>10</v>
      </c>
      <c r="E17750" s="2" t="str">
        <f>HYPERLINK("http://ts.21cn.com/tousu/show/id/1349277","http://ts.21cn.com/tousu/show/id/1349277")</f>
        <v>http://ts.21cn.com/tousu/show/id/1349277</v>
      </c>
      <c r="F17750" s="2" t="s">
        <v>11</v>
      </c>
      <c r="G17750" s="2" t="s">
        <v>9278</v>
      </c>
      <c r="H17750" s="2" t="s">
        <v>9279</v>
      </c>
    </row>
    <row r="17751" spans="1:8" ht="25.05" customHeight="1" x14ac:dyDescent="0.25">
      <c r="A17751" s="2" t="s">
        <v>8</v>
      </c>
      <c r="B17751" s="2" t="str">
        <f>HYPERLINK("http://ts.21cn.com/tousu/show/id/1349583","解冻打款申请")</f>
        <v>解冻打款申请</v>
      </c>
      <c r="C17751" s="2" t="s">
        <v>9</v>
      </c>
      <c r="D17751" s="2" t="s">
        <v>10</v>
      </c>
      <c r="E17751" s="2" t="str">
        <f>HYPERLINK("http://ts.21cn.com/tousu/show/id/1349583","http://ts.21cn.com/tousu/show/id/1349583")</f>
        <v>http://ts.21cn.com/tousu/show/id/1349583</v>
      </c>
      <c r="F17751" s="2" t="s">
        <v>11</v>
      </c>
      <c r="G17751" s="2" t="s">
        <v>9276</v>
      </c>
      <c r="H17751" s="2" t="s">
        <v>9277</v>
      </c>
    </row>
    <row r="17752" spans="1:8" ht="25.05" customHeight="1" x14ac:dyDescent="0.25">
      <c r="A17752" s="2" t="s">
        <v>8</v>
      </c>
      <c r="B17752" s="2" t="str">
        <f>HYPERLINK("http://ts.21cn.com/tousu/show/id/1349584","深圳小银代高利息砍头息")</f>
        <v>深圳小银代高利息砍头息</v>
      </c>
      <c r="C17752" s="2" t="s">
        <v>9</v>
      </c>
      <c r="D17752" s="2" t="s">
        <v>10</v>
      </c>
      <c r="E17752" s="2" t="str">
        <f>HYPERLINK("http://ts.21cn.com/tousu/show/id/1349584","http://ts.21cn.com/tousu/show/id/1349584")</f>
        <v>http://ts.21cn.com/tousu/show/id/1349584</v>
      </c>
      <c r="F17752" s="2" t="s">
        <v>11</v>
      </c>
      <c r="G17752" s="2" t="s">
        <v>9274</v>
      </c>
      <c r="H17752" s="2" t="s">
        <v>9275</v>
      </c>
    </row>
    <row r="17753" spans="1:8" ht="25.05" customHeight="1" x14ac:dyDescent="0.25">
      <c r="A17753" s="2" t="s">
        <v>8</v>
      </c>
      <c r="B17753" s="2" t="str">
        <f>HYPERLINK("http://ts.21cn.com/tousu/show/id/1349586","投诉光大银行客服诱导办理分期,未说明手续费")</f>
        <v>投诉光大银行客服诱导办理分期,未说明手续费</v>
      </c>
      <c r="C17753" s="2" t="s">
        <v>9</v>
      </c>
      <c r="D17753" s="2" t="s">
        <v>10</v>
      </c>
      <c r="E17753" s="2" t="str">
        <f>HYPERLINK("http://ts.21cn.com/tousu/show/id/1349586","http://ts.21cn.com/tousu/show/id/1349586")</f>
        <v>http://ts.21cn.com/tousu/show/id/1349586</v>
      </c>
      <c r="F17753" s="2" t="s">
        <v>11</v>
      </c>
      <c r="G17753" s="2" t="s">
        <v>9272</v>
      </c>
      <c r="H17753" s="2" t="s">
        <v>9273</v>
      </c>
    </row>
    <row r="17754" spans="1:8" ht="25.05" customHeight="1" x14ac:dyDescent="0.25">
      <c r="A17754" s="2" t="s">
        <v>8</v>
      </c>
      <c r="B17754" s="2" t="str">
        <f>HYPERLINK("http://ts.21cn.com/tousu/show/id/1349585","平安各种骚扰本人和家人")</f>
        <v>平安各种骚扰本人和家人</v>
      </c>
      <c r="C17754" s="2" t="s">
        <v>9</v>
      </c>
      <c r="D17754" s="2" t="s">
        <v>10</v>
      </c>
      <c r="E17754" s="2" t="str">
        <f>HYPERLINK("http://ts.21cn.com/tousu/show/id/1349585","http://ts.21cn.com/tousu/show/id/1349585")</f>
        <v>http://ts.21cn.com/tousu/show/id/1349585</v>
      </c>
      <c r="F17754" s="2" t="s">
        <v>11</v>
      </c>
      <c r="G17754" s="2" t="s">
        <v>9270</v>
      </c>
      <c r="H17754" s="2" t="s">
        <v>9271</v>
      </c>
    </row>
    <row r="17755" spans="1:8" ht="25.05" customHeight="1" x14ac:dyDescent="0.25">
      <c r="A17755" s="2" t="s">
        <v>8</v>
      </c>
      <c r="B17755" s="2" t="str">
        <f>HYPERLINK("http://ts.21cn.com/tousu/show/id/1349588","长时间等不到单")</f>
        <v>长时间等不到单</v>
      </c>
      <c r="C17755" s="2" t="s">
        <v>9</v>
      </c>
      <c r="D17755" s="2" t="s">
        <v>10</v>
      </c>
      <c r="E17755" s="2" t="str">
        <f>HYPERLINK("http://ts.21cn.com/tousu/show/id/1349588","http://ts.21cn.com/tousu/show/id/1349588")</f>
        <v>http://ts.21cn.com/tousu/show/id/1349588</v>
      </c>
      <c r="F17755" s="2" t="s">
        <v>11</v>
      </c>
      <c r="G17755" s="2" t="s">
        <v>9268</v>
      </c>
      <c r="H17755" s="2" t="s">
        <v>9269</v>
      </c>
    </row>
    <row r="17756" spans="1:8" ht="25.05" customHeight="1" x14ac:dyDescent="0.25">
      <c r="A17756" s="2" t="s">
        <v>8</v>
      </c>
      <c r="B17756" s="2" t="str">
        <f>HYPERLINK("http://ts.21cn.com/tousu/show/id/1349589","高利贷砍头息，")</f>
        <v>高利贷砍头息，</v>
      </c>
      <c r="C17756" s="2" t="s">
        <v>9</v>
      </c>
      <c r="D17756" s="2" t="s">
        <v>10</v>
      </c>
      <c r="E17756" s="2" t="str">
        <f>HYPERLINK("http://ts.21cn.com/tousu/show/id/1349589","http://ts.21cn.com/tousu/show/id/1349589")</f>
        <v>http://ts.21cn.com/tousu/show/id/1349589</v>
      </c>
      <c r="F17756" s="2" t="s">
        <v>11</v>
      </c>
      <c r="G17756" s="2" t="s">
        <v>9266</v>
      </c>
      <c r="H17756" s="2" t="s">
        <v>9267</v>
      </c>
    </row>
    <row r="17757" spans="1:8" ht="25.05" customHeight="1" x14ac:dyDescent="0.25">
      <c r="A17757" s="2" t="s">
        <v>8</v>
      </c>
      <c r="B17757" s="2" t="str">
        <f>HYPERLINK("http://ts.21cn.com/tousu/show/id/1349590","安逸花恶意扣取用户资金")</f>
        <v>安逸花恶意扣取用户资金</v>
      </c>
      <c r="C17757" s="2" t="s">
        <v>9</v>
      </c>
      <c r="D17757" s="2" t="s">
        <v>10</v>
      </c>
      <c r="E17757" s="2" t="str">
        <f>HYPERLINK("http://ts.21cn.com/tousu/show/id/1349590","http://ts.21cn.com/tousu/show/id/1349590")</f>
        <v>http://ts.21cn.com/tousu/show/id/1349590</v>
      </c>
      <c r="F17757" s="2" t="s">
        <v>11</v>
      </c>
      <c r="G17757" s="2" t="s">
        <v>9264</v>
      </c>
      <c r="H17757" s="2" t="s">
        <v>9265</v>
      </c>
    </row>
    <row r="17758" spans="1:8" ht="25.05" customHeight="1" x14ac:dyDescent="0.25">
      <c r="A17758" s="2" t="s">
        <v>8</v>
      </c>
      <c r="B17758" s="2" t="str">
        <f>HYPERLINK("http://ts.21cn.com/tousu/show/id/1349591","麦子金服名下白领贷")</f>
        <v>麦子金服名下白领贷</v>
      </c>
      <c r="C17758" s="2" t="s">
        <v>9</v>
      </c>
      <c r="D17758" s="2" t="s">
        <v>10</v>
      </c>
      <c r="E17758" s="2" t="str">
        <f>HYPERLINK("http://ts.21cn.com/tousu/show/id/1349591","http://ts.21cn.com/tousu/show/id/1349591")</f>
        <v>http://ts.21cn.com/tousu/show/id/1349591</v>
      </c>
      <c r="F17758" s="2" t="s">
        <v>11</v>
      </c>
      <c r="G17758" s="2" t="s">
        <v>9262</v>
      </c>
      <c r="H17758" s="2" t="s">
        <v>9263</v>
      </c>
    </row>
    <row r="17759" spans="1:8" ht="25.05" customHeight="1" x14ac:dyDescent="0.25">
      <c r="A17759" s="2" t="s">
        <v>8</v>
      </c>
      <c r="B17759" s="2" t="str">
        <f>HYPERLINK("http://ts.21cn.com/tousu/show/id/1349593","投诉玖富万卡高利贷")</f>
        <v>投诉玖富万卡高利贷</v>
      </c>
      <c r="C17759" s="2" t="s">
        <v>9</v>
      </c>
      <c r="D17759" s="2" t="s">
        <v>10</v>
      </c>
      <c r="E17759" s="2" t="str">
        <f>HYPERLINK("http://ts.21cn.com/tousu/show/id/1349593","http://ts.21cn.com/tousu/show/id/1349593")</f>
        <v>http://ts.21cn.com/tousu/show/id/1349593</v>
      </c>
      <c r="F17759" s="2" t="s">
        <v>11</v>
      </c>
      <c r="G17759" s="2" t="s">
        <v>9260</v>
      </c>
      <c r="H17759" s="2" t="s">
        <v>9261</v>
      </c>
    </row>
    <row r="17760" spans="1:8" ht="25.05" customHeight="1" x14ac:dyDescent="0.25">
      <c r="A17760" s="2" t="s">
        <v>8</v>
      </c>
      <c r="B17760" s="2" t="str">
        <f>HYPERLINK("http://ts.21cn.com/tousu/show/id/1349592","中国移动客服短信轰炸")</f>
        <v>中国移动客服短信轰炸</v>
      </c>
      <c r="C17760" s="2" t="s">
        <v>9</v>
      </c>
      <c r="D17760" s="2" t="s">
        <v>10</v>
      </c>
      <c r="E17760" s="2" t="str">
        <f>HYPERLINK("http://ts.21cn.com/tousu/show/id/1349592","http://ts.21cn.com/tousu/show/id/1349592")</f>
        <v>http://ts.21cn.com/tousu/show/id/1349592</v>
      </c>
      <c r="F17760" s="2" t="s">
        <v>11</v>
      </c>
      <c r="G17760" s="2" t="s">
        <v>9258</v>
      </c>
      <c r="H17760" s="2" t="s">
        <v>9259</v>
      </c>
    </row>
    <row r="17761" spans="1:8" ht="25.05" customHeight="1" x14ac:dyDescent="0.25">
      <c r="A17761" s="2" t="s">
        <v>8</v>
      </c>
      <c r="B17761" s="2" t="str">
        <f>HYPERLINK("http://ts.21cn.com/tousu/show/id/1349594","淘宝天猫旗舰店出售假货")</f>
        <v>淘宝天猫旗舰店出售假货</v>
      </c>
      <c r="C17761" s="2" t="s">
        <v>9</v>
      </c>
      <c r="D17761" s="2" t="s">
        <v>10</v>
      </c>
      <c r="E17761" s="2" t="str">
        <f>HYPERLINK("http://ts.21cn.com/tousu/show/id/1349594","http://ts.21cn.com/tousu/show/id/1349594")</f>
        <v>http://ts.21cn.com/tousu/show/id/1349594</v>
      </c>
      <c r="F17761" s="2" t="s">
        <v>11</v>
      </c>
      <c r="G17761" s="2" t="s">
        <v>9256</v>
      </c>
      <c r="H17761" s="2" t="s">
        <v>9257</v>
      </c>
    </row>
    <row r="17762" spans="1:8" ht="25.05" customHeight="1" x14ac:dyDescent="0.25">
      <c r="A17762" s="2" t="s">
        <v>8</v>
      </c>
      <c r="B17762" s="2" t="str">
        <f>HYPERLINK("http://ts.21cn.com/tousu/show/id/1349595","网贷频繁骚扰联系人")</f>
        <v>网贷频繁骚扰联系人</v>
      </c>
      <c r="C17762" s="2" t="s">
        <v>9</v>
      </c>
      <c r="D17762" s="2" t="s">
        <v>10</v>
      </c>
      <c r="E17762" s="2" t="str">
        <f>HYPERLINK("http://ts.21cn.com/tousu/show/id/1349595","http://ts.21cn.com/tousu/show/id/1349595")</f>
        <v>http://ts.21cn.com/tousu/show/id/1349595</v>
      </c>
      <c r="F17762" s="2" t="s">
        <v>11</v>
      </c>
      <c r="G17762" s="2" t="s">
        <v>9254</v>
      </c>
      <c r="H17762" s="2" t="s">
        <v>9255</v>
      </c>
    </row>
    <row r="17763" spans="1:8" ht="25.05" customHeight="1" x14ac:dyDescent="0.25">
      <c r="A17763" s="2" t="s">
        <v>8</v>
      </c>
      <c r="B17763" s="2" t="str">
        <f>HYPERLINK("http://ts.21cn.com/tousu/show/id/1349596","贷上钱布偶猫恶意违约暴力催收侵犯隐私恶意中伤")</f>
        <v>贷上钱布偶猫恶意违约暴力催收侵犯隐私恶意中伤</v>
      </c>
      <c r="C17763" s="2" t="s">
        <v>9</v>
      </c>
      <c r="D17763" s="2" t="s">
        <v>10</v>
      </c>
      <c r="E17763" s="2" t="str">
        <f>HYPERLINK("http://ts.21cn.com/tousu/show/id/1349596","http://ts.21cn.com/tousu/show/id/1349596")</f>
        <v>http://ts.21cn.com/tousu/show/id/1349596</v>
      </c>
      <c r="F17763" s="2" t="s">
        <v>11</v>
      </c>
      <c r="G17763" s="2" t="s">
        <v>9252</v>
      </c>
      <c r="H17763" s="2" t="s">
        <v>9253</v>
      </c>
    </row>
    <row r="17764" spans="1:8" ht="25.05" customHeight="1" x14ac:dyDescent="0.25">
      <c r="A17764" s="2" t="s">
        <v>8</v>
      </c>
      <c r="B17764" s="2" t="str">
        <f>HYPERLINK("http://ts.21cn.com/tousu/show/id/1349600","本人投诉投诉拼多多为非法境外博彩平台提供现现金充值通道")</f>
        <v>本人投诉投诉拼多多为非法境外博彩平台提供现现金充值通道</v>
      </c>
      <c r="C17764" s="2" t="s">
        <v>9</v>
      </c>
      <c r="D17764" s="2" t="s">
        <v>10</v>
      </c>
      <c r="E17764" s="2" t="str">
        <f>HYPERLINK("http://ts.21cn.com/tousu/show/id/1349600","http://ts.21cn.com/tousu/show/id/1349600")</f>
        <v>http://ts.21cn.com/tousu/show/id/1349600</v>
      </c>
      <c r="F17764" s="2" t="s">
        <v>11</v>
      </c>
      <c r="G17764" s="2" t="s">
        <v>9250</v>
      </c>
      <c r="H17764" s="2" t="s">
        <v>9251</v>
      </c>
    </row>
    <row r="17765" spans="1:8" ht="25.05" customHeight="1" x14ac:dyDescent="0.25">
      <c r="A17765" s="2" t="s">
        <v>8</v>
      </c>
      <c r="B17765" s="2" t="str">
        <f>HYPERLINK("http://ts.21cn.com/tousu/show/id/1349597","火影帮高利贷砍头息")</f>
        <v>火影帮高利贷砍头息</v>
      </c>
      <c r="C17765" s="2" t="s">
        <v>34</v>
      </c>
      <c r="D17765" s="2" t="s">
        <v>10</v>
      </c>
      <c r="E17765" s="2" t="str">
        <f>HYPERLINK("http://ts.21cn.com/tousu/show/id/1349597","http://ts.21cn.com/tousu/show/id/1349597")</f>
        <v>http://ts.21cn.com/tousu/show/id/1349597</v>
      </c>
      <c r="F17765" s="2" t="s">
        <v>11</v>
      </c>
      <c r="G17765" s="2" t="s">
        <v>9248</v>
      </c>
      <c r="H17765" s="2" t="s">
        <v>9249</v>
      </c>
    </row>
    <row r="17766" spans="1:8" ht="25.05" customHeight="1" x14ac:dyDescent="0.25">
      <c r="A17766" s="2" t="s">
        <v>8</v>
      </c>
      <c r="B17766" s="2" t="str">
        <f>HYPERLINK("http://ts.21cn.com/tousu/show/id/1349599","恶意标注并没有降权")</f>
        <v>恶意标注并没有降权</v>
      </c>
      <c r="C17766" s="2" t="s">
        <v>9</v>
      </c>
      <c r="D17766" s="2" t="s">
        <v>10</v>
      </c>
      <c r="E17766" s="2" t="str">
        <f>HYPERLINK("http://ts.21cn.com/tousu/show/id/1349599","http://ts.21cn.com/tousu/show/id/1349599")</f>
        <v>http://ts.21cn.com/tousu/show/id/1349599</v>
      </c>
      <c r="F17766" s="2" t="s">
        <v>11</v>
      </c>
      <c r="G17766" s="2" t="s">
        <v>9245</v>
      </c>
      <c r="H17766" s="2" t="s">
        <v>9246</v>
      </c>
    </row>
    <row r="17767" spans="1:8" ht="25.05" customHeight="1" x14ac:dyDescent="0.25">
      <c r="A17767" s="2" t="s">
        <v>8</v>
      </c>
      <c r="B17767" s="2" t="str">
        <f>HYPERLINK("http://ts.21cn.com/tousu/show/id/1349598","微众银行工作人员态度恶劣暴力催收")</f>
        <v>微众银行工作人员态度恶劣暴力催收</v>
      </c>
      <c r="C17767" s="2" t="s">
        <v>9</v>
      </c>
      <c r="D17767" s="2" t="s">
        <v>10</v>
      </c>
      <c r="E17767" s="2" t="str">
        <f>HYPERLINK("http://ts.21cn.com/tousu/show/id/1349598","http://ts.21cn.com/tousu/show/id/1349598")</f>
        <v>http://ts.21cn.com/tousu/show/id/1349598</v>
      </c>
      <c r="F17767" s="2" t="s">
        <v>11</v>
      </c>
      <c r="G17767" s="2" t="s">
        <v>9245</v>
      </c>
      <c r="H17767" s="2" t="s">
        <v>9247</v>
      </c>
    </row>
    <row r="17768" spans="1:8" ht="25.05" customHeight="1" x14ac:dyDescent="0.25">
      <c r="A17768" s="2" t="s">
        <v>8</v>
      </c>
      <c r="B17768" s="2" t="str">
        <f>HYPERLINK("http://ts.21cn.com/tousu/show/id/1349601","360提前还款利息费一分不少")</f>
        <v>360提前还款利息费一分不少</v>
      </c>
      <c r="C17768" s="2" t="s">
        <v>9</v>
      </c>
      <c r="D17768" s="2" t="s">
        <v>10</v>
      </c>
      <c r="E17768" s="2" t="str">
        <f>HYPERLINK("http://ts.21cn.com/tousu/show/id/1349601","http://ts.21cn.com/tousu/show/id/1349601")</f>
        <v>http://ts.21cn.com/tousu/show/id/1349601</v>
      </c>
      <c r="F17768" s="2" t="s">
        <v>11</v>
      </c>
      <c r="G17768" s="2" t="s">
        <v>9243</v>
      </c>
      <c r="H17768" s="2" t="s">
        <v>9244</v>
      </c>
    </row>
    <row r="17769" spans="1:8" ht="25.05" customHeight="1" x14ac:dyDescent="0.25">
      <c r="A17769" s="2" t="s">
        <v>8</v>
      </c>
      <c r="B17769" s="2" t="str">
        <f>HYPERLINK("http://ts.21cn.com/tousu/show/id/1349602","海澜之家衣服质量及服务态度")</f>
        <v>海澜之家衣服质量及服务态度</v>
      </c>
      <c r="C17769" s="2" t="s">
        <v>9</v>
      </c>
      <c r="D17769" s="2" t="s">
        <v>10</v>
      </c>
      <c r="E17769" s="2" t="str">
        <f>HYPERLINK("http://ts.21cn.com/tousu/show/id/1349602","http://ts.21cn.com/tousu/show/id/1349602")</f>
        <v>http://ts.21cn.com/tousu/show/id/1349602</v>
      </c>
      <c r="F17769" s="2" t="s">
        <v>11</v>
      </c>
      <c r="G17769" s="2" t="s">
        <v>9241</v>
      </c>
      <c r="H17769" s="2" t="s">
        <v>9242</v>
      </c>
    </row>
    <row r="17770" spans="1:8" ht="25.05" customHeight="1" x14ac:dyDescent="0.25">
      <c r="A17770" s="2" t="s">
        <v>8</v>
      </c>
      <c r="B17770" s="2" t="str">
        <f>HYPERLINK("http://ts.21cn.com/tousu/show/id/1349604","暴力催收，拨打骚扰家人电话")</f>
        <v>暴力催收，拨打骚扰家人电话</v>
      </c>
      <c r="C17770" s="2" t="s">
        <v>9</v>
      </c>
      <c r="D17770" s="2" t="s">
        <v>10</v>
      </c>
      <c r="E17770" s="2" t="str">
        <f>HYPERLINK("http://ts.21cn.com/tousu/show/id/1349604","http://ts.21cn.com/tousu/show/id/1349604")</f>
        <v>http://ts.21cn.com/tousu/show/id/1349604</v>
      </c>
      <c r="F17770" s="2" t="s">
        <v>11</v>
      </c>
      <c r="G17770" s="2" t="s">
        <v>9239</v>
      </c>
      <c r="H17770" s="2" t="s">
        <v>9240</v>
      </c>
    </row>
    <row r="17771" spans="1:8" ht="25.05" customHeight="1" x14ac:dyDescent="0.25">
      <c r="A17771" s="2" t="s">
        <v>8</v>
      </c>
      <c r="B17771" s="2" t="str">
        <f>HYPERLINK("http://ts.21cn.com/tousu/show/id/1349603","来分期爆我通讯录")</f>
        <v>来分期爆我通讯录</v>
      </c>
      <c r="C17771" s="2" t="s">
        <v>9</v>
      </c>
      <c r="D17771" s="2" t="s">
        <v>10</v>
      </c>
      <c r="E17771" s="2" t="str">
        <f>HYPERLINK("http://ts.21cn.com/tousu/show/id/1349603","http://ts.21cn.com/tousu/show/id/1349603")</f>
        <v>http://ts.21cn.com/tousu/show/id/1349603</v>
      </c>
      <c r="F17771" s="2" t="s">
        <v>11</v>
      </c>
      <c r="G17771" s="2" t="s">
        <v>9237</v>
      </c>
      <c r="H17771" s="2" t="s">
        <v>9238</v>
      </c>
    </row>
    <row r="17772" spans="1:8" ht="25.05" customHeight="1" x14ac:dyDescent="0.25">
      <c r="A17772" s="2" t="s">
        <v>8</v>
      </c>
      <c r="B17772" s="2" t="str">
        <f>HYPERLINK("http://ts.21cn.com/tousu/show/id/1349605","广发信用卡")</f>
        <v>广发信用卡</v>
      </c>
      <c r="C17772" s="2" t="s">
        <v>9</v>
      </c>
      <c r="D17772" s="2" t="s">
        <v>10</v>
      </c>
      <c r="E17772" s="2" t="str">
        <f>HYPERLINK("http://ts.21cn.com/tousu/show/id/1349605","http://ts.21cn.com/tousu/show/id/1349605")</f>
        <v>http://ts.21cn.com/tousu/show/id/1349605</v>
      </c>
      <c r="F17772" s="2" t="s">
        <v>11</v>
      </c>
      <c r="G17772" s="2" t="s">
        <v>9235</v>
      </c>
      <c r="H17772" s="2" t="s">
        <v>9236</v>
      </c>
    </row>
    <row r="17773" spans="1:8" ht="25.05" customHeight="1" x14ac:dyDescent="0.25">
      <c r="A17773" s="2" t="s">
        <v>8</v>
      </c>
      <c r="B17773" s="2" t="str">
        <f>HYPERLINK("http://ts.21cn.com/tousu/show/id/1349606","注销账号问题")</f>
        <v>注销账号问题</v>
      </c>
      <c r="C17773" s="2" t="s">
        <v>9</v>
      </c>
      <c r="D17773" s="2" t="s">
        <v>10</v>
      </c>
      <c r="E17773" s="2" t="str">
        <f>HYPERLINK("http://ts.21cn.com/tousu/show/id/1349606","http://ts.21cn.com/tousu/show/id/1349606")</f>
        <v>http://ts.21cn.com/tousu/show/id/1349606</v>
      </c>
      <c r="F17773" s="2" t="s">
        <v>11</v>
      </c>
      <c r="G17773" s="2" t="s">
        <v>9233</v>
      </c>
      <c r="H17773" s="2" t="s">
        <v>9234</v>
      </c>
    </row>
    <row r="17774" spans="1:8" ht="25.05" customHeight="1" x14ac:dyDescent="0.25">
      <c r="A17774" s="2" t="s">
        <v>8</v>
      </c>
      <c r="B17774" s="2" t="str">
        <f>HYPERLINK("http://ts.21cn.com/tousu/show/id/1349607","嘀嗒出行管理混乱不完善，已经开了很久到达乘客上车地方后等待很久竟然取消")</f>
        <v>嘀嗒出行管理混乱不完善，已经开了很久到达乘客上车地方后等待很久竟然取消</v>
      </c>
      <c r="C17774" s="2" t="s">
        <v>9</v>
      </c>
      <c r="D17774" s="2" t="s">
        <v>10</v>
      </c>
      <c r="E17774" s="2" t="str">
        <f>HYPERLINK("http://ts.21cn.com/tousu/show/id/1349607","http://ts.21cn.com/tousu/show/id/1349607")</f>
        <v>http://ts.21cn.com/tousu/show/id/1349607</v>
      </c>
      <c r="F17774" s="2" t="s">
        <v>11</v>
      </c>
      <c r="G17774" s="2" t="s">
        <v>9231</v>
      </c>
      <c r="H17774" s="2" t="s">
        <v>9232</v>
      </c>
    </row>
    <row r="17775" spans="1:8" ht="25.05" customHeight="1" x14ac:dyDescent="0.25">
      <c r="A17775" s="2" t="s">
        <v>8</v>
      </c>
      <c r="B17775" s="2" t="str">
        <f>HYPERLINK("http://ts.21cn.com/tousu/show/id/1349609","直接与信用卡中心协商、催收部暴力催收、骚扰、客服不处理/处理不当、服务不到位。要求免除违约金")</f>
        <v>直接与信用卡中心协商、催收部暴力催收、骚扰、客服不处理/处理不当、服务不到位。要求免除违约金</v>
      </c>
      <c r="C17775" s="2" t="s">
        <v>9</v>
      </c>
      <c r="D17775" s="2" t="s">
        <v>10</v>
      </c>
      <c r="E17775" s="2" t="str">
        <f>HYPERLINK("http://ts.21cn.com/tousu/show/id/1349609","http://ts.21cn.com/tousu/show/id/1349609")</f>
        <v>http://ts.21cn.com/tousu/show/id/1349609</v>
      </c>
      <c r="F17775" s="2" t="s">
        <v>11</v>
      </c>
      <c r="G17775" s="2" t="s">
        <v>9229</v>
      </c>
      <c r="H17775" s="2" t="s">
        <v>9230</v>
      </c>
    </row>
    <row r="17776" spans="1:8" ht="25.05" customHeight="1" x14ac:dyDescent="0.25">
      <c r="A17776" s="2" t="s">
        <v>8</v>
      </c>
      <c r="B17776" s="2" t="str">
        <f>HYPERLINK("http://ts.21cn.com/tousu/show/id/1349608","小花钱包暴力催收")</f>
        <v>小花钱包暴力催收</v>
      </c>
      <c r="C17776" s="2" t="s">
        <v>9</v>
      </c>
      <c r="D17776" s="2" t="s">
        <v>10</v>
      </c>
      <c r="E17776" s="2" t="str">
        <f>HYPERLINK("http://ts.21cn.com/tousu/show/id/1349608","http://ts.21cn.com/tousu/show/id/1349608")</f>
        <v>http://ts.21cn.com/tousu/show/id/1349608</v>
      </c>
      <c r="F17776" s="2" t="s">
        <v>11</v>
      </c>
      <c r="G17776" s="2" t="s">
        <v>9227</v>
      </c>
      <c r="H17776" s="2" t="s">
        <v>9228</v>
      </c>
    </row>
    <row r="17777" spans="1:8" ht="25.05" customHeight="1" x14ac:dyDescent="0.25">
      <c r="A17777" s="2" t="s">
        <v>8</v>
      </c>
      <c r="B17777" s="2" t="str">
        <f>HYPERLINK("http://ts.21cn.com/tousu/show/id/1349611","滴滴司机服务分")</f>
        <v>滴滴司机服务分</v>
      </c>
      <c r="C17777" s="2" t="s">
        <v>34</v>
      </c>
      <c r="D17777" s="2" t="s">
        <v>10</v>
      </c>
      <c r="E17777" s="2" t="str">
        <f>HYPERLINK("http://ts.21cn.com/tousu/show/id/1349611","http://ts.21cn.com/tousu/show/id/1349611")</f>
        <v>http://ts.21cn.com/tousu/show/id/1349611</v>
      </c>
      <c r="F17777" s="2" t="s">
        <v>11</v>
      </c>
      <c r="G17777" s="2" t="s">
        <v>9225</v>
      </c>
      <c r="H17777" s="2" t="s">
        <v>9226</v>
      </c>
    </row>
    <row r="17778" spans="1:8" ht="25.05" customHeight="1" x14ac:dyDescent="0.25">
      <c r="A17778" s="2" t="s">
        <v>8</v>
      </c>
      <c r="B17778" s="2" t="str">
        <f>HYPERLINK("http://ts.21cn.com/tousu/show/id/1349610","新橙分期平台以购买保险形式在借款人不知情情况下强制扣除金额")</f>
        <v>新橙分期平台以购买保险形式在借款人不知情情况下强制扣除金额</v>
      </c>
      <c r="C17778" s="2" t="s">
        <v>9</v>
      </c>
      <c r="D17778" s="2" t="s">
        <v>10</v>
      </c>
      <c r="E17778" s="2" t="str">
        <f>HYPERLINK("http://ts.21cn.com/tousu/show/id/1349610","http://ts.21cn.com/tousu/show/id/1349610")</f>
        <v>http://ts.21cn.com/tousu/show/id/1349610</v>
      </c>
      <c r="F17778" s="2" t="s">
        <v>11</v>
      </c>
      <c r="G17778" s="2" t="s">
        <v>9223</v>
      </c>
      <c r="H17778" s="2" t="s">
        <v>9224</v>
      </c>
    </row>
    <row r="17779" spans="1:8" ht="25.05" customHeight="1" x14ac:dyDescent="0.25">
      <c r="A17779" s="2" t="s">
        <v>8</v>
      </c>
      <c r="B17779" s="2" t="str">
        <f>HYPERLINK("http://ts.21cn.com/tousu/show/id/1349612","拍拍贷砍头息高利贷合同借款600实际到账488")</f>
        <v>拍拍贷砍头息高利贷合同借款600实际到账488</v>
      </c>
      <c r="C17779" s="2" t="s">
        <v>9</v>
      </c>
      <c r="D17779" s="2" t="s">
        <v>10</v>
      </c>
      <c r="E17779" s="2" t="str">
        <f>HYPERLINK("http://ts.21cn.com/tousu/show/id/1349612","http://ts.21cn.com/tousu/show/id/1349612")</f>
        <v>http://ts.21cn.com/tousu/show/id/1349612</v>
      </c>
      <c r="F17779" s="2" t="s">
        <v>11</v>
      </c>
      <c r="G17779" s="2" t="s">
        <v>9221</v>
      </c>
      <c r="H17779" s="2" t="s">
        <v>9222</v>
      </c>
    </row>
    <row r="17780" spans="1:8" ht="25.05" customHeight="1" x14ac:dyDescent="0.25">
      <c r="A17780" s="2" t="s">
        <v>8</v>
      </c>
      <c r="B17780" s="2" t="str">
        <f>HYPERLINK("http://ts.21cn.com/tousu/show/id/1349613","我来贷暴力催收")</f>
        <v>我来贷暴力催收</v>
      </c>
      <c r="C17780" s="2" t="s">
        <v>9</v>
      </c>
      <c r="D17780" s="2" t="s">
        <v>10</v>
      </c>
      <c r="E17780" s="2" t="str">
        <f>HYPERLINK("http://ts.21cn.com/tousu/show/id/1349613","http://ts.21cn.com/tousu/show/id/1349613")</f>
        <v>http://ts.21cn.com/tousu/show/id/1349613</v>
      </c>
      <c r="F17780" s="2" t="s">
        <v>11</v>
      </c>
      <c r="G17780" s="2" t="s">
        <v>9219</v>
      </c>
      <c r="H17780" s="2" t="s">
        <v>9220</v>
      </c>
    </row>
    <row r="17781" spans="1:8" ht="25.05" customHeight="1" x14ac:dyDescent="0.25">
      <c r="A17781" s="2" t="s">
        <v>8</v>
      </c>
      <c r="B17781" s="2" t="str">
        <f>HYPERLINK("http://ts.21cn.com/tousu/show/id/1349614","东莞市轻奢维体健身房第二次无缘无故关门，老板跑路")</f>
        <v>东莞市轻奢维体健身房第二次无缘无故关门，老板跑路</v>
      </c>
      <c r="C17781" s="2" t="s">
        <v>9</v>
      </c>
      <c r="D17781" s="2" t="s">
        <v>10</v>
      </c>
      <c r="E17781" s="2" t="str">
        <f>HYPERLINK("http://ts.21cn.com/tousu/show/id/1349614","http://ts.21cn.com/tousu/show/id/1349614")</f>
        <v>http://ts.21cn.com/tousu/show/id/1349614</v>
      </c>
      <c r="F17781" s="2" t="s">
        <v>11</v>
      </c>
      <c r="G17781" s="2" t="s">
        <v>9217</v>
      </c>
      <c r="H17781" s="2" t="s">
        <v>9218</v>
      </c>
    </row>
    <row r="17782" spans="1:8" ht="25.05" customHeight="1" x14ac:dyDescent="0.25">
      <c r="A17782" s="2" t="s">
        <v>8</v>
      </c>
      <c r="B17782" s="2" t="str">
        <f>HYPERLINK("http://ts.21cn.com/tousu/show/id/1349615","交易猫退款失败")</f>
        <v>交易猫退款失败</v>
      </c>
      <c r="C17782" s="2" t="s">
        <v>34</v>
      </c>
      <c r="D17782" s="2" t="s">
        <v>10</v>
      </c>
      <c r="E17782" s="2" t="str">
        <f>HYPERLINK("http://ts.21cn.com/tousu/show/id/1349615","http://ts.21cn.com/tousu/show/id/1349615")</f>
        <v>http://ts.21cn.com/tousu/show/id/1349615</v>
      </c>
      <c r="F17782" s="2" t="s">
        <v>11</v>
      </c>
      <c r="G17782" s="2" t="s">
        <v>9215</v>
      </c>
      <c r="H17782" s="2" t="s">
        <v>9216</v>
      </c>
    </row>
    <row r="17783" spans="1:8" ht="25.05" customHeight="1" x14ac:dyDescent="0.25">
      <c r="A17783" s="2" t="s">
        <v>8</v>
      </c>
      <c r="B17783" s="2" t="str">
        <f>HYPERLINK("http://ts.21cn.com/tousu/show/id/1349616","百事普惠恶意扣款")</f>
        <v>百事普惠恶意扣款</v>
      </c>
      <c r="C17783" s="2" t="s">
        <v>9</v>
      </c>
      <c r="D17783" s="2" t="s">
        <v>10</v>
      </c>
      <c r="E17783" s="2" t="str">
        <f>HYPERLINK("http://ts.21cn.com/tousu/show/id/1349616","http://ts.21cn.com/tousu/show/id/1349616")</f>
        <v>http://ts.21cn.com/tousu/show/id/1349616</v>
      </c>
      <c r="F17783" s="2" t="s">
        <v>11</v>
      </c>
      <c r="G17783" s="2" t="s">
        <v>9213</v>
      </c>
      <c r="H17783" s="2" t="s">
        <v>9214</v>
      </c>
    </row>
    <row r="17784" spans="1:8" ht="25.05" customHeight="1" x14ac:dyDescent="0.25">
      <c r="A17784" s="2" t="s">
        <v>8</v>
      </c>
      <c r="B17784" s="2" t="str">
        <f>HYPERLINK("http://ts.21cn.com/tousu/show/id/1349617","太原国豪商务酒店虚假营销")</f>
        <v>太原国豪商务酒店虚假营销</v>
      </c>
      <c r="C17784" s="2" t="s">
        <v>9</v>
      </c>
      <c r="D17784" s="2" t="s">
        <v>10</v>
      </c>
      <c r="E17784" s="2" t="str">
        <f>HYPERLINK("http://ts.21cn.com/tousu/show/id/1349617","http://ts.21cn.com/tousu/show/id/1349617")</f>
        <v>http://ts.21cn.com/tousu/show/id/1349617</v>
      </c>
      <c r="F17784" s="2" t="s">
        <v>11</v>
      </c>
      <c r="G17784" s="2" t="s">
        <v>9211</v>
      </c>
      <c r="H17784" s="2" t="s">
        <v>9212</v>
      </c>
    </row>
    <row r="17785" spans="1:8" ht="25.05" customHeight="1" x14ac:dyDescent="0.25">
      <c r="A17785" s="2" t="s">
        <v>8</v>
      </c>
      <c r="B17785" s="2" t="str">
        <f>HYPERLINK("http://ts.21cn.com/tousu/show/id/1349620","骚扰电话不停")</f>
        <v>骚扰电话不停</v>
      </c>
      <c r="C17785" s="2" t="s">
        <v>9</v>
      </c>
      <c r="D17785" s="2" t="s">
        <v>10</v>
      </c>
      <c r="E17785" s="2" t="str">
        <f>HYPERLINK("http://ts.21cn.com/tousu/show/id/1349620","http://ts.21cn.com/tousu/show/id/1349620")</f>
        <v>http://ts.21cn.com/tousu/show/id/1349620</v>
      </c>
      <c r="F17785" s="2" t="s">
        <v>11</v>
      </c>
      <c r="G17785" s="2" t="s">
        <v>9209</v>
      </c>
      <c r="H17785" s="2" t="s">
        <v>9210</v>
      </c>
    </row>
    <row r="17786" spans="1:8" ht="25.05" customHeight="1" x14ac:dyDescent="0.25">
      <c r="A17786" s="2" t="s">
        <v>8</v>
      </c>
      <c r="B17786" s="2" t="str">
        <f>HYPERLINK("http://ts.21cn.com/tousu/show/id/1349621","在我没有逾期而且还提前还款的情况下，包银金融竟然电话催收说我逾期")</f>
        <v>在我没有逾期而且还提前还款的情况下，包银金融竟然电话催收说我逾期</v>
      </c>
      <c r="C17786" s="2" t="s">
        <v>9</v>
      </c>
      <c r="D17786" s="2" t="s">
        <v>10</v>
      </c>
      <c r="E17786" s="2" t="str">
        <f>HYPERLINK("http://ts.21cn.com/tousu/show/id/1349621","http://ts.21cn.com/tousu/show/id/1349621")</f>
        <v>http://ts.21cn.com/tousu/show/id/1349621</v>
      </c>
      <c r="F17786" s="2" t="s">
        <v>11</v>
      </c>
      <c r="G17786" s="2" t="s">
        <v>9207</v>
      </c>
      <c r="H17786" s="2" t="s">
        <v>9208</v>
      </c>
    </row>
    <row r="17787" spans="1:8" ht="25.05" customHeight="1" x14ac:dyDescent="0.25">
      <c r="A17787" s="2" t="s">
        <v>8</v>
      </c>
      <c r="B17787" s="2" t="str">
        <f>HYPERLINK("http://ts.21cn.com/tousu/show/id/1349622","豆豆钱爆我通讯录")</f>
        <v>豆豆钱爆我通讯录</v>
      </c>
      <c r="C17787" s="2" t="s">
        <v>9</v>
      </c>
      <c r="D17787" s="2" t="s">
        <v>10</v>
      </c>
      <c r="E17787" s="2" t="str">
        <f>HYPERLINK("http://ts.21cn.com/tousu/show/id/1349622","http://ts.21cn.com/tousu/show/id/1349622")</f>
        <v>http://ts.21cn.com/tousu/show/id/1349622</v>
      </c>
      <c r="F17787" s="2" t="s">
        <v>11</v>
      </c>
      <c r="G17787" s="2" t="s">
        <v>9205</v>
      </c>
      <c r="H17787" s="2" t="s">
        <v>9206</v>
      </c>
    </row>
    <row r="17788" spans="1:8" ht="25.05" customHeight="1" x14ac:dyDescent="0.25">
      <c r="A17788" s="2" t="s">
        <v>8</v>
      </c>
      <c r="B17788" s="2" t="str">
        <f>HYPERLINK("http://ts.21cn.com/tousu/show/id/1349618","优钱花诱导赚取会员费")</f>
        <v>优钱花诱导赚取会员费</v>
      </c>
      <c r="C17788" s="2" t="s">
        <v>9</v>
      </c>
      <c r="D17788" s="2" t="s">
        <v>10</v>
      </c>
      <c r="E17788" s="2" t="str">
        <f>HYPERLINK("http://ts.21cn.com/tousu/show/id/1349618","http://ts.21cn.com/tousu/show/id/1349618")</f>
        <v>http://ts.21cn.com/tousu/show/id/1349618</v>
      </c>
      <c r="F17788" s="2" t="s">
        <v>11</v>
      </c>
      <c r="G17788" s="2" t="s">
        <v>9203</v>
      </c>
      <c r="H17788" s="2" t="s">
        <v>9204</v>
      </c>
    </row>
    <row r="17789" spans="1:8" ht="25.05" customHeight="1" x14ac:dyDescent="0.25">
      <c r="A17789" s="2" t="s">
        <v>8</v>
      </c>
      <c r="B17789" s="2" t="str">
        <f>HYPERLINK("http://ts.21cn.com/tousu/show/id/1349393","投诉闲鱼，闲鱼小二不看申诉，盲目处理")</f>
        <v>投诉闲鱼，闲鱼小二不看申诉，盲目处理</v>
      </c>
      <c r="C17789" s="2" t="s">
        <v>9</v>
      </c>
      <c r="D17789" s="2" t="s">
        <v>10</v>
      </c>
      <c r="E17789" s="2" t="str">
        <f>HYPERLINK("http://ts.21cn.com/tousu/show/id/1349393","http://ts.21cn.com/tousu/show/id/1349393")</f>
        <v>http://ts.21cn.com/tousu/show/id/1349393</v>
      </c>
      <c r="F17789" s="2" t="s">
        <v>11</v>
      </c>
      <c r="G17789" s="2" t="s">
        <v>9201</v>
      </c>
      <c r="H17789" s="2" t="s">
        <v>9202</v>
      </c>
    </row>
    <row r="17790" spans="1:8" ht="25.05" customHeight="1" x14ac:dyDescent="0.25">
      <c r="A17790" s="2" t="s">
        <v>8</v>
      </c>
      <c r="B17790" s="2" t="str">
        <f>HYPERLINK("http://ts.21cn.com/tousu/show/id/1349626","合同不合劳动法")</f>
        <v>合同不合劳动法</v>
      </c>
      <c r="C17790" s="2" t="s">
        <v>9</v>
      </c>
      <c r="D17790" s="2" t="s">
        <v>10</v>
      </c>
      <c r="E17790" s="2" t="str">
        <f>HYPERLINK("http://ts.21cn.com/tousu/show/id/1349626","http://ts.21cn.com/tousu/show/id/1349626")</f>
        <v>http://ts.21cn.com/tousu/show/id/1349626</v>
      </c>
      <c r="F17790" s="2" t="s">
        <v>11</v>
      </c>
      <c r="G17790" s="2" t="s">
        <v>9199</v>
      </c>
      <c r="H17790" s="2" t="s">
        <v>9200</v>
      </c>
    </row>
    <row r="17791" spans="1:8" ht="25.05" customHeight="1" x14ac:dyDescent="0.25">
      <c r="A17791" s="2" t="s">
        <v>8</v>
      </c>
      <c r="B17791" s="2" t="str">
        <f>HYPERLINK("http://ts.21cn.com/tousu/show/id/1349624","钱端平台14亿理财逾期，不直面问题却与招行互相扯皮")</f>
        <v>钱端平台14亿理财逾期，不直面问题却与招行互相扯皮</v>
      </c>
      <c r="C17791" s="2" t="s">
        <v>9</v>
      </c>
      <c r="D17791" s="2" t="s">
        <v>10</v>
      </c>
      <c r="E17791" s="2" t="str">
        <f>HYPERLINK("http://ts.21cn.com/tousu/show/id/1349624","http://ts.21cn.com/tousu/show/id/1349624")</f>
        <v>http://ts.21cn.com/tousu/show/id/1349624</v>
      </c>
      <c r="F17791" s="2" t="s">
        <v>11</v>
      </c>
      <c r="G17791" s="2" t="s">
        <v>9197</v>
      </c>
      <c r="H17791" s="2" t="s">
        <v>9198</v>
      </c>
    </row>
    <row r="17792" spans="1:8" ht="25.05" customHeight="1" x14ac:dyDescent="0.25">
      <c r="A17792" s="2" t="s">
        <v>8</v>
      </c>
      <c r="B17792" s="2" t="str">
        <f>HYPERLINK("http://ts.21cn.com/tousu/show/id/1349625","苹果app钢琴高级版乱扣费")</f>
        <v>苹果app钢琴高级版乱扣费</v>
      </c>
      <c r="C17792" s="2" t="s">
        <v>9</v>
      </c>
      <c r="D17792" s="2" t="s">
        <v>10</v>
      </c>
      <c r="E17792" s="2" t="str">
        <f>HYPERLINK("http://ts.21cn.com/tousu/show/id/1349625","http://ts.21cn.com/tousu/show/id/1349625")</f>
        <v>http://ts.21cn.com/tousu/show/id/1349625</v>
      </c>
      <c r="F17792" s="2" t="s">
        <v>11</v>
      </c>
      <c r="G17792" s="2" t="s">
        <v>9195</v>
      </c>
      <c r="H17792" s="2" t="s">
        <v>9196</v>
      </c>
    </row>
    <row r="17793" spans="1:8" ht="25.05" customHeight="1" x14ac:dyDescent="0.25">
      <c r="A17793" s="2" t="s">
        <v>8</v>
      </c>
      <c r="B17793" s="2" t="str">
        <f>HYPERLINK("http://ts.21cn.com/tousu/show/id/1349628","国美易卡高利贷")</f>
        <v>国美易卡高利贷</v>
      </c>
      <c r="C17793" s="2" t="s">
        <v>9</v>
      </c>
      <c r="D17793" s="2" t="s">
        <v>10</v>
      </c>
      <c r="E17793" s="2" t="str">
        <f>HYPERLINK("http://ts.21cn.com/tousu/show/id/1349628","http://ts.21cn.com/tousu/show/id/1349628")</f>
        <v>http://ts.21cn.com/tousu/show/id/1349628</v>
      </c>
      <c r="F17793" s="2" t="s">
        <v>11</v>
      </c>
      <c r="G17793" s="2" t="s">
        <v>9193</v>
      </c>
      <c r="H17793" s="2" t="s">
        <v>9194</v>
      </c>
    </row>
    <row r="17794" spans="1:8" ht="25.05" customHeight="1" x14ac:dyDescent="0.25">
      <c r="A17794" s="2" t="s">
        <v>8</v>
      </c>
      <c r="B17794" s="2" t="str">
        <f>HYPERLINK("http://ts.21cn.com/tousu/show/id/1349627","聚富分期私自扣款")</f>
        <v>聚富分期私自扣款</v>
      </c>
      <c r="C17794" s="2" t="s">
        <v>9</v>
      </c>
      <c r="D17794" s="2" t="s">
        <v>10</v>
      </c>
      <c r="E17794" s="2" t="str">
        <f>HYPERLINK("http://ts.21cn.com/tousu/show/id/1349627","http://ts.21cn.com/tousu/show/id/1349627")</f>
        <v>http://ts.21cn.com/tousu/show/id/1349627</v>
      </c>
      <c r="F17794" s="2" t="s">
        <v>11</v>
      </c>
      <c r="G17794" s="2" t="s">
        <v>9191</v>
      </c>
      <c r="H17794" s="2" t="s">
        <v>9192</v>
      </c>
    </row>
    <row r="17795" spans="1:8" ht="25.05" customHeight="1" x14ac:dyDescent="0.25">
      <c r="A17795" s="2" t="s">
        <v>8</v>
      </c>
      <c r="B17795" s="2" t="str">
        <f>HYPERLINK("http://ts.21cn.com/tousu/show/id/1349631","新浪分期暴力电话骚扰")</f>
        <v>新浪分期暴力电话骚扰</v>
      </c>
      <c r="C17795" s="2" t="s">
        <v>9</v>
      </c>
      <c r="D17795" s="2" t="s">
        <v>10</v>
      </c>
      <c r="E17795" s="2" t="str">
        <f>HYPERLINK("http://ts.21cn.com/tousu/show/id/1349631","http://ts.21cn.com/tousu/show/id/1349631")</f>
        <v>http://ts.21cn.com/tousu/show/id/1349631</v>
      </c>
      <c r="F17795" s="2" t="s">
        <v>11</v>
      </c>
      <c r="G17795" s="2" t="s">
        <v>9189</v>
      </c>
      <c r="H17795" s="2" t="s">
        <v>9190</v>
      </c>
    </row>
    <row r="17796" spans="1:8" ht="25.05" customHeight="1" x14ac:dyDescent="0.25">
      <c r="A17796" s="2" t="s">
        <v>8</v>
      </c>
      <c r="B17796" s="2" t="str">
        <f>HYPERLINK("http://ts.21cn.com/tousu/show/id/1349629","贷上钱高利贷，阴阳合同，恐吓")</f>
        <v>贷上钱高利贷，阴阳合同，恐吓</v>
      </c>
      <c r="C17796" s="2" t="s">
        <v>9</v>
      </c>
      <c r="D17796" s="2" t="s">
        <v>10</v>
      </c>
      <c r="E17796" s="2" t="str">
        <f>HYPERLINK("http://ts.21cn.com/tousu/show/id/1349629","http://ts.21cn.com/tousu/show/id/1349629")</f>
        <v>http://ts.21cn.com/tousu/show/id/1349629</v>
      </c>
      <c r="F17796" s="2" t="s">
        <v>11</v>
      </c>
      <c r="G17796" s="2" t="s">
        <v>9187</v>
      </c>
      <c r="H17796" s="2" t="s">
        <v>9188</v>
      </c>
    </row>
    <row r="17797" spans="1:8" ht="25.05" customHeight="1" x14ac:dyDescent="0.25">
      <c r="A17797" s="2" t="s">
        <v>8</v>
      </c>
      <c r="B17797" s="2" t="str">
        <f>HYPERLINK("http://ts.21cn.com/tousu/show/id/1349630","天猫国际不给开发票")</f>
        <v>天猫国际不给开发票</v>
      </c>
      <c r="C17797" s="2" t="s">
        <v>9</v>
      </c>
      <c r="D17797" s="2" t="s">
        <v>10</v>
      </c>
      <c r="E17797" s="2" t="str">
        <f>HYPERLINK("http://ts.21cn.com/tousu/show/id/1349630","http://ts.21cn.com/tousu/show/id/1349630")</f>
        <v>http://ts.21cn.com/tousu/show/id/1349630</v>
      </c>
      <c r="F17797" s="2" t="s">
        <v>11</v>
      </c>
      <c r="G17797" s="2" t="s">
        <v>9185</v>
      </c>
      <c r="H17797" s="2" t="s">
        <v>9186</v>
      </c>
    </row>
    <row r="17798" spans="1:8" ht="25.05" customHeight="1" x14ac:dyDescent="0.25">
      <c r="A17798" s="2" t="s">
        <v>8</v>
      </c>
      <c r="B17798" s="2" t="str">
        <f>HYPERLINK("http://ts.21cn.com/tousu/show/id/1349632","退还砍头利息")</f>
        <v>退还砍头利息</v>
      </c>
      <c r="C17798" s="2" t="s">
        <v>34</v>
      </c>
      <c r="D17798" s="2" t="s">
        <v>10</v>
      </c>
      <c r="E17798" s="2" t="str">
        <f>HYPERLINK("http://ts.21cn.com/tousu/show/id/1349632","http://ts.21cn.com/tousu/show/id/1349632")</f>
        <v>http://ts.21cn.com/tousu/show/id/1349632</v>
      </c>
      <c r="F17798" s="2" t="s">
        <v>11</v>
      </c>
      <c r="G17798" s="2" t="s">
        <v>9183</v>
      </c>
      <c r="H17798" s="2" t="s">
        <v>9184</v>
      </c>
    </row>
    <row r="17799" spans="1:8" ht="25.05" customHeight="1" x14ac:dyDescent="0.25">
      <c r="A17799" s="2" t="s">
        <v>8</v>
      </c>
      <c r="B17799" s="2" t="str">
        <f>HYPERLINK("http://ts.21cn.com/tousu/show/id/1349635","今日头条放心购平台恶意拖欠商家保证金")</f>
        <v>今日头条放心购平台恶意拖欠商家保证金</v>
      </c>
      <c r="C17799" s="2" t="s">
        <v>9</v>
      </c>
      <c r="D17799" s="2" t="s">
        <v>10</v>
      </c>
      <c r="E17799" s="2" t="str">
        <f>HYPERLINK("http://ts.21cn.com/tousu/show/id/1349635","http://ts.21cn.com/tousu/show/id/1349635")</f>
        <v>http://ts.21cn.com/tousu/show/id/1349635</v>
      </c>
      <c r="F17799" s="2" t="s">
        <v>11</v>
      </c>
      <c r="G17799" s="2" t="s">
        <v>9181</v>
      </c>
      <c r="H17799" s="2" t="s">
        <v>9182</v>
      </c>
    </row>
    <row r="17800" spans="1:8" ht="25.05" customHeight="1" x14ac:dyDescent="0.25">
      <c r="A17800" s="2" t="s">
        <v>8</v>
      </c>
      <c r="B17800" s="2" t="str">
        <f>HYPERLINK("http://ts.21cn.com/tousu/show/id/1349636","捷信金融公司每天电话骚扰")</f>
        <v>捷信金融公司每天电话骚扰</v>
      </c>
      <c r="C17800" s="2" t="s">
        <v>9</v>
      </c>
      <c r="D17800" s="2" t="s">
        <v>10</v>
      </c>
      <c r="E17800" s="2" t="str">
        <f>HYPERLINK("http://ts.21cn.com/tousu/show/id/1349636","http://ts.21cn.com/tousu/show/id/1349636")</f>
        <v>http://ts.21cn.com/tousu/show/id/1349636</v>
      </c>
      <c r="F17800" s="2" t="s">
        <v>11</v>
      </c>
      <c r="G17800" s="2" t="s">
        <v>9179</v>
      </c>
      <c r="H17800" s="2" t="s">
        <v>9180</v>
      </c>
    </row>
    <row r="17801" spans="1:8" ht="25.05" customHeight="1" x14ac:dyDescent="0.25">
      <c r="A17801" s="2" t="s">
        <v>8</v>
      </c>
      <c r="B17801" s="2" t="str">
        <f>HYPERLINK("http://ts.21cn.com/tousu/show/id/1349637","高额服务费、恐吓、暴力催收")</f>
        <v>高额服务费、恐吓、暴力催收</v>
      </c>
      <c r="C17801" s="2" t="s">
        <v>9</v>
      </c>
      <c r="D17801" s="2" t="s">
        <v>10</v>
      </c>
      <c r="E17801" s="2" t="str">
        <f>HYPERLINK("http://ts.21cn.com/tousu/show/id/1349637","http://ts.21cn.com/tousu/show/id/1349637")</f>
        <v>http://ts.21cn.com/tousu/show/id/1349637</v>
      </c>
      <c r="F17801" s="2" t="s">
        <v>11</v>
      </c>
      <c r="G17801" s="2" t="s">
        <v>9177</v>
      </c>
      <c r="H17801" s="2" t="s">
        <v>9178</v>
      </c>
    </row>
    <row r="17802" spans="1:8" ht="25.05" customHeight="1" x14ac:dyDescent="0.25">
      <c r="A17802" s="2" t="s">
        <v>8</v>
      </c>
      <c r="B17802" s="2" t="str">
        <f>HYPERLINK("http://ts.21cn.com/tousu/show/id/1349638","捷信")</f>
        <v>捷信</v>
      </c>
      <c r="C17802" s="2" t="s">
        <v>9</v>
      </c>
      <c r="D17802" s="2" t="s">
        <v>10</v>
      </c>
      <c r="E17802" s="2" t="str">
        <f>HYPERLINK("http://ts.21cn.com/tousu/show/id/1349638","http://ts.21cn.com/tousu/show/id/1349638")</f>
        <v>http://ts.21cn.com/tousu/show/id/1349638</v>
      </c>
      <c r="F17802" s="2" t="s">
        <v>11</v>
      </c>
      <c r="G17802" s="2" t="s">
        <v>9175</v>
      </c>
      <c r="H17802" s="2" t="s">
        <v>9176</v>
      </c>
    </row>
    <row r="17803" spans="1:8" ht="25.05" customHeight="1" x14ac:dyDescent="0.25">
      <c r="A17803" s="2" t="s">
        <v>8</v>
      </c>
      <c r="B17803" s="2" t="str">
        <f>HYPERLINK("http://ts.21cn.com/tousu/show/id/1349639","中国银行骚扰前公司")</f>
        <v>中国银行骚扰前公司</v>
      </c>
      <c r="C17803" s="2" t="s">
        <v>9</v>
      </c>
      <c r="D17803" s="2" t="s">
        <v>10</v>
      </c>
      <c r="E17803" s="2" t="str">
        <f>HYPERLINK("http://ts.21cn.com/tousu/show/id/1349639","http://ts.21cn.com/tousu/show/id/1349639")</f>
        <v>http://ts.21cn.com/tousu/show/id/1349639</v>
      </c>
      <c r="F17803" s="2" t="s">
        <v>11</v>
      </c>
      <c r="G17803" s="2" t="s">
        <v>9173</v>
      </c>
      <c r="H17803" s="2" t="s">
        <v>9174</v>
      </c>
    </row>
    <row r="17804" spans="1:8" ht="25.05" customHeight="1" x14ac:dyDescent="0.25">
      <c r="A17804" s="2" t="s">
        <v>8</v>
      </c>
      <c r="B17804" s="2" t="str">
        <f>HYPERLINK("http://ts.21cn.com/tousu/show/id/1349641","打款申请")</f>
        <v>打款申请</v>
      </c>
      <c r="C17804" s="2" t="s">
        <v>9</v>
      </c>
      <c r="D17804" s="2" t="s">
        <v>10</v>
      </c>
      <c r="E17804" s="2" t="str">
        <f>HYPERLINK("http://ts.21cn.com/tousu/show/id/1349641","http://ts.21cn.com/tousu/show/id/1349641")</f>
        <v>http://ts.21cn.com/tousu/show/id/1349641</v>
      </c>
      <c r="F17804" s="2" t="s">
        <v>11</v>
      </c>
      <c r="G17804" s="2" t="s">
        <v>9171</v>
      </c>
      <c r="H17804" s="2" t="s">
        <v>9172</v>
      </c>
    </row>
    <row r="17805" spans="1:8" ht="25.05" customHeight="1" x14ac:dyDescent="0.25">
      <c r="A17805" s="2" t="s">
        <v>8</v>
      </c>
      <c r="B17805" s="2" t="str">
        <f>HYPERLINK("http://ts.21cn.com/tousu/show/id/1349644","捷信客服包庇违规员工")</f>
        <v>捷信客服包庇违规员工</v>
      </c>
      <c r="C17805" s="2" t="s">
        <v>9</v>
      </c>
      <c r="D17805" s="2" t="s">
        <v>10</v>
      </c>
      <c r="E17805" s="2" t="str">
        <f>HYPERLINK("http://ts.21cn.com/tousu/show/id/1349644","http://ts.21cn.com/tousu/show/id/1349644")</f>
        <v>http://ts.21cn.com/tousu/show/id/1349644</v>
      </c>
      <c r="F17805" s="2" t="s">
        <v>11</v>
      </c>
      <c r="G17805" s="2" t="s">
        <v>9169</v>
      </c>
      <c r="H17805" s="2" t="s">
        <v>9170</v>
      </c>
    </row>
    <row r="17806" spans="1:8" ht="25.05" customHeight="1" x14ac:dyDescent="0.25">
      <c r="A17806" s="2" t="s">
        <v>8</v>
      </c>
      <c r="B17806" s="2" t="str">
        <f>HYPERLINK("http://ts.21cn.com/tousu/show/id/1349643","威胁辱骂家人")</f>
        <v>威胁辱骂家人</v>
      </c>
      <c r="C17806" s="2" t="s">
        <v>9</v>
      </c>
      <c r="D17806" s="2" t="s">
        <v>10</v>
      </c>
      <c r="E17806" s="2" t="str">
        <f>HYPERLINK("http://ts.21cn.com/tousu/show/id/1349643","http://ts.21cn.com/tousu/show/id/1349643")</f>
        <v>http://ts.21cn.com/tousu/show/id/1349643</v>
      </c>
      <c r="F17806" s="2" t="s">
        <v>11</v>
      </c>
      <c r="G17806" s="2" t="s">
        <v>9166</v>
      </c>
      <c r="H17806" s="2" t="s">
        <v>9167</v>
      </c>
    </row>
    <row r="17807" spans="1:8" ht="25.05" customHeight="1" x14ac:dyDescent="0.25">
      <c r="A17807" s="2" t="s">
        <v>8</v>
      </c>
      <c r="B17807" s="2" t="str">
        <f>HYPERLINK("http://ts.21cn.com/tousu/show/id/1349642","松紧贷暴力催收")</f>
        <v>松紧贷暴力催收</v>
      </c>
      <c r="C17807" s="2" t="s">
        <v>9</v>
      </c>
      <c r="D17807" s="2" t="s">
        <v>10</v>
      </c>
      <c r="E17807" s="2" t="str">
        <f>HYPERLINK("http://ts.21cn.com/tousu/show/id/1349642","http://ts.21cn.com/tousu/show/id/1349642")</f>
        <v>http://ts.21cn.com/tousu/show/id/1349642</v>
      </c>
      <c r="F17807" s="2" t="s">
        <v>11</v>
      </c>
      <c r="G17807" s="2" t="s">
        <v>9166</v>
      </c>
      <c r="H17807" s="2" t="s">
        <v>9168</v>
      </c>
    </row>
    <row r="17808" spans="1:8" ht="25.05" customHeight="1" x14ac:dyDescent="0.25">
      <c r="A17808" s="2" t="s">
        <v>8</v>
      </c>
      <c r="B17808" s="2" t="str">
        <f>HYPERLINK("http://ts.21cn.com/tousu/show/id/1349645","交易猫退款一直失败")</f>
        <v>交易猫退款一直失败</v>
      </c>
      <c r="C17808" s="2" t="s">
        <v>34</v>
      </c>
      <c r="D17808" s="2" t="s">
        <v>10</v>
      </c>
      <c r="E17808" s="2" t="str">
        <f>HYPERLINK("http://ts.21cn.com/tousu/show/id/1349645","http://ts.21cn.com/tousu/show/id/1349645")</f>
        <v>http://ts.21cn.com/tousu/show/id/1349645</v>
      </c>
      <c r="F17808" s="2" t="s">
        <v>11</v>
      </c>
      <c r="G17808" s="2" t="s">
        <v>9164</v>
      </c>
      <c r="H17808" s="2" t="s">
        <v>9165</v>
      </c>
    </row>
    <row r="17809" spans="1:8" ht="25.05" customHeight="1" x14ac:dyDescent="0.25">
      <c r="A17809" s="2" t="s">
        <v>8</v>
      </c>
      <c r="B17809" s="2" t="str">
        <f>HYPERLINK("http://ts.21cn.com/tousu/show/id/1349646","客服嚣张，退款乱扣")</f>
        <v>客服嚣张，退款乱扣</v>
      </c>
      <c r="C17809" s="2" t="s">
        <v>9</v>
      </c>
      <c r="D17809" s="2" t="s">
        <v>10</v>
      </c>
      <c r="E17809" s="2" t="str">
        <f>HYPERLINK("http://ts.21cn.com/tousu/show/id/1349646","http://ts.21cn.com/tousu/show/id/1349646")</f>
        <v>http://ts.21cn.com/tousu/show/id/1349646</v>
      </c>
      <c r="F17809" s="2" t="s">
        <v>11</v>
      </c>
      <c r="G17809" s="2" t="s">
        <v>9162</v>
      </c>
      <c r="H17809" s="2" t="s">
        <v>9163</v>
      </c>
    </row>
    <row r="17810" spans="1:8" ht="25.05" customHeight="1" x14ac:dyDescent="0.25">
      <c r="A17810" s="2" t="s">
        <v>8</v>
      </c>
      <c r="B17810" s="2" t="str">
        <f>HYPERLINK("http://ts.21cn.com/tousu/show/id/1349647","骚扰，恐吓")</f>
        <v>骚扰，恐吓</v>
      </c>
      <c r="C17810" s="2" t="s">
        <v>9</v>
      </c>
      <c r="D17810" s="2" t="s">
        <v>10</v>
      </c>
      <c r="E17810" s="2" t="str">
        <f>HYPERLINK("http://ts.21cn.com/tousu/show/id/1349647","http://ts.21cn.com/tousu/show/id/1349647")</f>
        <v>http://ts.21cn.com/tousu/show/id/1349647</v>
      </c>
      <c r="F17810" s="2" t="s">
        <v>11</v>
      </c>
      <c r="G17810" s="2" t="s">
        <v>9160</v>
      </c>
      <c r="H17810" s="2" t="s">
        <v>9161</v>
      </c>
    </row>
    <row r="17811" spans="1:8" ht="25.05" customHeight="1" x14ac:dyDescent="0.25">
      <c r="A17811" s="2" t="s">
        <v>8</v>
      </c>
      <c r="B17811" s="2" t="str">
        <f>HYPERLINK("http://ts.21cn.com/tousu/show/id/1349648","宏萨信息科技自动扣款")</f>
        <v>宏萨信息科技自动扣款</v>
      </c>
      <c r="C17811" s="2" t="s">
        <v>9</v>
      </c>
      <c r="D17811" s="2" t="s">
        <v>10</v>
      </c>
      <c r="E17811" s="2" t="str">
        <f>HYPERLINK("http://ts.21cn.com/tousu/show/id/1349648","http://ts.21cn.com/tousu/show/id/1349648")</f>
        <v>http://ts.21cn.com/tousu/show/id/1349648</v>
      </c>
      <c r="F17811" s="2" t="s">
        <v>11</v>
      </c>
      <c r="G17811" s="2" t="s">
        <v>9158</v>
      </c>
      <c r="H17811" s="2" t="s">
        <v>9159</v>
      </c>
    </row>
    <row r="17812" spans="1:8" ht="25.05" customHeight="1" x14ac:dyDescent="0.25">
      <c r="A17812" s="2" t="s">
        <v>8</v>
      </c>
      <c r="B17812" s="2" t="str">
        <f>HYPERLINK("http://ts.21cn.com/tousu/show/id/1349651","关于美约app乱扣费问题，免费试用后，自动续费会员一年298元")</f>
        <v>关于美约app乱扣费问题，免费试用后，自动续费会员一年298元</v>
      </c>
      <c r="C17812" s="2" t="s">
        <v>34</v>
      </c>
      <c r="D17812" s="2" t="s">
        <v>10</v>
      </c>
      <c r="E17812" s="2" t="str">
        <f>HYPERLINK("http://ts.21cn.com/tousu/show/id/1349651","http://ts.21cn.com/tousu/show/id/1349651")</f>
        <v>http://ts.21cn.com/tousu/show/id/1349651</v>
      </c>
      <c r="F17812" s="2" t="s">
        <v>11</v>
      </c>
      <c r="G17812" s="2" t="s">
        <v>9156</v>
      </c>
      <c r="H17812" s="2" t="s">
        <v>9157</v>
      </c>
    </row>
    <row r="17813" spans="1:8" ht="25.05" customHeight="1" x14ac:dyDescent="0.25">
      <c r="A17813" s="2" t="s">
        <v>8</v>
      </c>
      <c r="B17813" s="2" t="str">
        <f>HYPERLINK("http://ts.21cn.com/tousu/show/id/1349650","活力花催收骚扰通讯录联系人")</f>
        <v>活力花催收骚扰通讯录联系人</v>
      </c>
      <c r="C17813" s="2" t="s">
        <v>9</v>
      </c>
      <c r="D17813" s="2" t="s">
        <v>10</v>
      </c>
      <c r="E17813" s="2" t="str">
        <f>HYPERLINK("http://ts.21cn.com/tousu/show/id/1349650","http://ts.21cn.com/tousu/show/id/1349650")</f>
        <v>http://ts.21cn.com/tousu/show/id/1349650</v>
      </c>
      <c r="F17813" s="2" t="s">
        <v>11</v>
      </c>
      <c r="G17813" s="2" t="s">
        <v>9154</v>
      </c>
      <c r="H17813" s="2" t="s">
        <v>9155</v>
      </c>
    </row>
    <row r="17814" spans="1:8" ht="25.05" customHeight="1" x14ac:dyDescent="0.25">
      <c r="A17814" s="2" t="s">
        <v>8</v>
      </c>
      <c r="B17814" s="2" t="str">
        <f>HYPERLINK("http://ts.21cn.com/tousu/show/id/1349649","交易猫退款失败")</f>
        <v>交易猫退款失败</v>
      </c>
      <c r="C17814" s="2" t="s">
        <v>9</v>
      </c>
      <c r="D17814" s="2" t="s">
        <v>10</v>
      </c>
      <c r="E17814" s="2" t="str">
        <f>HYPERLINK("http://ts.21cn.com/tousu/show/id/1349649","http://ts.21cn.com/tousu/show/id/1349649")</f>
        <v>http://ts.21cn.com/tousu/show/id/1349649</v>
      </c>
      <c r="F17814" s="2" t="s">
        <v>11</v>
      </c>
      <c r="G17814" s="2" t="s">
        <v>9152</v>
      </c>
      <c r="H17814" s="2" t="s">
        <v>9153</v>
      </c>
    </row>
    <row r="17815" spans="1:8" ht="25.05" customHeight="1" x14ac:dyDescent="0.25">
      <c r="A17815" s="2" t="s">
        <v>8</v>
      </c>
      <c r="B17815" s="2" t="str">
        <f>HYPERLINK("http://ts.21cn.com/tousu/show/id/1349652","王者钱包简直就是高利贷")</f>
        <v>王者钱包简直就是高利贷</v>
      </c>
      <c r="C17815" s="2" t="s">
        <v>9</v>
      </c>
      <c r="D17815" s="2" t="s">
        <v>10</v>
      </c>
      <c r="E17815" s="2" t="str">
        <f>HYPERLINK("http://ts.21cn.com/tousu/show/id/1349652","http://ts.21cn.com/tousu/show/id/1349652")</f>
        <v>http://ts.21cn.com/tousu/show/id/1349652</v>
      </c>
      <c r="F17815" s="2" t="s">
        <v>11</v>
      </c>
      <c r="G17815" s="2" t="s">
        <v>9150</v>
      </c>
      <c r="H17815" s="2" t="s">
        <v>9151</v>
      </c>
    </row>
    <row r="17816" spans="1:8" ht="25.05" customHeight="1" x14ac:dyDescent="0.25">
      <c r="A17816" s="2" t="s">
        <v>8</v>
      </c>
      <c r="B17816" s="2" t="str">
        <f>HYPERLINK("http://ts.21cn.com/tousu/show/id/1349654","聚福钱包扣费问题")</f>
        <v>聚福钱包扣费问题</v>
      </c>
      <c r="C17816" s="2" t="s">
        <v>9</v>
      </c>
      <c r="D17816" s="2" t="s">
        <v>10</v>
      </c>
      <c r="E17816" s="2" t="str">
        <f>HYPERLINK("http://ts.21cn.com/tousu/show/id/1349654","http://ts.21cn.com/tousu/show/id/1349654")</f>
        <v>http://ts.21cn.com/tousu/show/id/1349654</v>
      </c>
      <c r="F17816" s="2" t="s">
        <v>11</v>
      </c>
      <c r="G17816" s="2" t="s">
        <v>9148</v>
      </c>
      <c r="H17816" s="2" t="s">
        <v>9149</v>
      </c>
    </row>
    <row r="17817" spans="1:8" ht="25.05" customHeight="1" x14ac:dyDescent="0.25">
      <c r="A17817" s="2" t="s">
        <v>8</v>
      </c>
      <c r="B17817" s="2" t="str">
        <f>HYPERLINK("http://ts.21cn.com/tousu/show/id/1349656","51人品贷在能联系债务人情况下，爆通讯录骚扰")</f>
        <v>51人品贷在能联系债务人情况下，爆通讯录骚扰</v>
      </c>
      <c r="C17817" s="2" t="s">
        <v>9</v>
      </c>
      <c r="D17817" s="2" t="s">
        <v>10</v>
      </c>
      <c r="E17817" s="2" t="str">
        <f>HYPERLINK("http://ts.21cn.com/tousu/show/id/1349656","http://ts.21cn.com/tousu/show/id/1349656")</f>
        <v>http://ts.21cn.com/tousu/show/id/1349656</v>
      </c>
      <c r="F17817" s="2" t="s">
        <v>11</v>
      </c>
      <c r="G17817" s="2" t="s">
        <v>9145</v>
      </c>
      <c r="H17817" s="2" t="s">
        <v>9146</v>
      </c>
    </row>
    <row r="17818" spans="1:8" ht="25.05" customHeight="1" x14ac:dyDescent="0.25">
      <c r="A17818" s="2" t="s">
        <v>8</v>
      </c>
      <c r="B17818" s="2" t="str">
        <f>HYPERLINK("http://ts.21cn.com/tousu/show/id/1349655","婚介公司收钱以后没有提供相关牵线服务")</f>
        <v>婚介公司收钱以后没有提供相关牵线服务</v>
      </c>
      <c r="C17818" s="2" t="s">
        <v>9</v>
      </c>
      <c r="D17818" s="2" t="s">
        <v>10</v>
      </c>
      <c r="E17818" s="2" t="str">
        <f>HYPERLINK("http://ts.21cn.com/tousu/show/id/1349655","http://ts.21cn.com/tousu/show/id/1349655")</f>
        <v>http://ts.21cn.com/tousu/show/id/1349655</v>
      </c>
      <c r="F17818" s="2" t="s">
        <v>11</v>
      </c>
      <c r="G17818" s="2" t="s">
        <v>9145</v>
      </c>
      <c r="H17818" s="2" t="s">
        <v>9147</v>
      </c>
    </row>
    <row r="17819" spans="1:8" ht="25.05" customHeight="1" x14ac:dyDescent="0.25">
      <c r="A17819" s="2" t="s">
        <v>8</v>
      </c>
      <c r="B17819" s="2" t="str">
        <f>HYPERLINK("http://ts.21cn.com/tousu/show/id/1349657","信用管家元宝宝及支付平台畅捷支付涉嫌套路贷")</f>
        <v>信用管家元宝宝及支付平台畅捷支付涉嫌套路贷</v>
      </c>
      <c r="C17819" s="2" t="s">
        <v>9</v>
      </c>
      <c r="D17819" s="2" t="s">
        <v>10</v>
      </c>
      <c r="E17819" s="2" t="str">
        <f>HYPERLINK("http://ts.21cn.com/tousu/show/id/1349657","http://ts.21cn.com/tousu/show/id/1349657")</f>
        <v>http://ts.21cn.com/tousu/show/id/1349657</v>
      </c>
      <c r="F17819" s="2" t="s">
        <v>11</v>
      </c>
      <c r="G17819" s="2" t="s">
        <v>9143</v>
      </c>
      <c r="H17819" s="2" t="s">
        <v>9144</v>
      </c>
    </row>
    <row r="17820" spans="1:8" ht="25.05" customHeight="1" x14ac:dyDescent="0.25">
      <c r="A17820" s="2" t="s">
        <v>8</v>
      </c>
      <c r="B17820" s="2" t="str">
        <f>HYPERLINK("http://ts.21cn.com/tousu/show/id/1349658","预售买的手机超最后发货时间不发货")</f>
        <v>预售买的手机超最后发货时间不发货</v>
      </c>
      <c r="C17820" s="2" t="s">
        <v>34</v>
      </c>
      <c r="D17820" s="2" t="s">
        <v>10</v>
      </c>
      <c r="E17820" s="2" t="str">
        <f>HYPERLINK("http://ts.21cn.com/tousu/show/id/1349658","http://ts.21cn.com/tousu/show/id/1349658")</f>
        <v>http://ts.21cn.com/tousu/show/id/1349658</v>
      </c>
      <c r="F17820" s="2" t="s">
        <v>11</v>
      </c>
      <c r="G17820" s="2" t="s">
        <v>9141</v>
      </c>
      <c r="H17820" s="2" t="s">
        <v>9142</v>
      </c>
    </row>
    <row r="17821" spans="1:8" ht="25.05" customHeight="1" x14ac:dyDescent="0.25">
      <c r="A17821" s="2" t="s">
        <v>8</v>
      </c>
      <c r="B17821" s="2" t="str">
        <f>HYPERLINK("http://ts.21cn.com/tousu/show/id/1349659","趣惠买8天高炮贷款砍头息，联动优势为高炮贷款提供服务")</f>
        <v>趣惠买8天高炮贷款砍头息，联动优势为高炮贷款提供服务</v>
      </c>
      <c r="C17821" s="2" t="s">
        <v>9</v>
      </c>
      <c r="D17821" s="2" t="s">
        <v>10</v>
      </c>
      <c r="E17821" s="2" t="str">
        <f>HYPERLINK("http://ts.21cn.com/tousu/show/id/1349659","http://ts.21cn.com/tousu/show/id/1349659")</f>
        <v>http://ts.21cn.com/tousu/show/id/1349659</v>
      </c>
      <c r="F17821" s="2" t="s">
        <v>11</v>
      </c>
      <c r="G17821" s="2" t="s">
        <v>9139</v>
      </c>
      <c r="H17821" s="2" t="s">
        <v>9140</v>
      </c>
    </row>
    <row r="17822" spans="1:8" ht="25.05" customHeight="1" x14ac:dyDescent="0.25">
      <c r="A17822" s="2" t="s">
        <v>8</v>
      </c>
      <c r="B17822" s="2" t="str">
        <f>HYPERLINK("http://ts.21cn.com/tousu/show/id/1349664","飞猪退票不明码标价，先斩后奏，诱导客户进入退票流程，要求全额退票（并补偿差价）或原价恢复订单。")</f>
        <v>飞猪退票不明码标价，先斩后奏，诱导客户进入退票流程，要求全额退票（并补偿差价）或原价恢复订单。</v>
      </c>
      <c r="C17822" s="2" t="s">
        <v>9</v>
      </c>
      <c r="D17822" s="2" t="s">
        <v>10</v>
      </c>
      <c r="E17822" s="2" t="str">
        <f>HYPERLINK("http://ts.21cn.com/tousu/show/id/1349664","http://ts.21cn.com/tousu/show/id/1349664")</f>
        <v>http://ts.21cn.com/tousu/show/id/1349664</v>
      </c>
      <c r="F17822" s="2" t="s">
        <v>11</v>
      </c>
      <c r="G17822" s="2" t="s">
        <v>9137</v>
      </c>
      <c r="H17822" s="2" t="s">
        <v>9138</v>
      </c>
    </row>
    <row r="17823" spans="1:8" ht="25.05" customHeight="1" x14ac:dyDescent="0.25">
      <c r="A17823" s="2" t="s">
        <v>8</v>
      </c>
      <c r="B17823" s="2" t="str">
        <f>HYPERLINK("http://ts.21cn.com/tousu/show/id/1349663","YY信用借款平台超国家规定贷款利率逾期轰炸通讯录")</f>
        <v>YY信用借款平台超国家规定贷款利率逾期轰炸通讯录</v>
      </c>
      <c r="C17823" s="2" t="s">
        <v>9</v>
      </c>
      <c r="D17823" s="2" t="s">
        <v>10</v>
      </c>
      <c r="E17823" s="2" t="str">
        <f>HYPERLINK("http://ts.21cn.com/tousu/show/id/1349663","http://ts.21cn.com/tousu/show/id/1349663")</f>
        <v>http://ts.21cn.com/tousu/show/id/1349663</v>
      </c>
      <c r="F17823" s="2" t="s">
        <v>11</v>
      </c>
      <c r="G17823" s="2" t="s">
        <v>9135</v>
      </c>
      <c r="H17823" s="2" t="s">
        <v>9136</v>
      </c>
    </row>
    <row r="17824" spans="1:8" ht="25.05" customHeight="1" x14ac:dyDescent="0.25">
      <c r="A17824" s="2" t="s">
        <v>8</v>
      </c>
      <c r="B17824" s="2" t="str">
        <f>HYPERLINK("http://ts.21cn.com/tousu/show/id/1349662","骚扰通讯录")</f>
        <v>骚扰通讯录</v>
      </c>
      <c r="C17824" s="2" t="s">
        <v>9</v>
      </c>
      <c r="D17824" s="2" t="s">
        <v>10</v>
      </c>
      <c r="E17824" s="2" t="str">
        <f>HYPERLINK("http://ts.21cn.com/tousu/show/id/1349662","http://ts.21cn.com/tousu/show/id/1349662")</f>
        <v>http://ts.21cn.com/tousu/show/id/1349662</v>
      </c>
      <c r="F17824" s="2" t="s">
        <v>11</v>
      </c>
      <c r="G17824" s="2" t="s">
        <v>9133</v>
      </c>
      <c r="H17824" s="2" t="s">
        <v>9134</v>
      </c>
    </row>
    <row r="17825" spans="1:8" ht="25.05" customHeight="1" x14ac:dyDescent="0.25">
      <c r="A17825" s="2" t="s">
        <v>8</v>
      </c>
      <c r="B17825" s="2" t="str">
        <f>HYPERLINK("http://ts.21cn.com/tousu/show/id/1349665","世联金融曝我通讯录")</f>
        <v>世联金融曝我通讯录</v>
      </c>
      <c r="C17825" s="2" t="s">
        <v>9</v>
      </c>
      <c r="D17825" s="2" t="s">
        <v>10</v>
      </c>
      <c r="E17825" s="2" t="str">
        <f>HYPERLINK("http://ts.21cn.com/tousu/show/id/1349665","http://ts.21cn.com/tousu/show/id/1349665")</f>
        <v>http://ts.21cn.com/tousu/show/id/1349665</v>
      </c>
      <c r="F17825" s="2" t="s">
        <v>11</v>
      </c>
      <c r="G17825" s="2" t="s">
        <v>9131</v>
      </c>
      <c r="H17825" s="2" t="s">
        <v>9132</v>
      </c>
    </row>
    <row r="17826" spans="1:8" ht="25.05" customHeight="1" x14ac:dyDescent="0.25">
      <c r="A17826" s="2" t="s">
        <v>8</v>
      </c>
      <c r="B17826" s="2" t="str">
        <f>HYPERLINK("http://ts.21cn.com/tousu/show/id/1349666","拍拍贷暴力恐吓威胁")</f>
        <v>拍拍贷暴力恐吓威胁</v>
      </c>
      <c r="C17826" s="2" t="s">
        <v>9</v>
      </c>
      <c r="D17826" s="2" t="s">
        <v>10</v>
      </c>
      <c r="E17826" s="2" t="str">
        <f>HYPERLINK("http://ts.21cn.com/tousu/show/id/1349666","http://ts.21cn.com/tousu/show/id/1349666")</f>
        <v>http://ts.21cn.com/tousu/show/id/1349666</v>
      </c>
      <c r="F17826" s="2" t="s">
        <v>11</v>
      </c>
      <c r="G17826" s="2" t="s">
        <v>9129</v>
      </c>
      <c r="H17826" s="2" t="s">
        <v>9130</v>
      </c>
    </row>
    <row r="17827" spans="1:8" ht="25.05" customHeight="1" x14ac:dyDescent="0.25">
      <c r="A17827" s="2" t="s">
        <v>8</v>
      </c>
      <c r="B17827" s="2" t="str">
        <f>HYPERLINK("http://ts.21cn.com/tousu/show/id/1349623","百度钱包有钱花不当催收")</f>
        <v>百度钱包有钱花不当催收</v>
      </c>
      <c r="C17827" s="2" t="s">
        <v>9</v>
      </c>
      <c r="D17827" s="2" t="s">
        <v>10</v>
      </c>
      <c r="E17827" s="2" t="str">
        <f>HYPERLINK("http://ts.21cn.com/tousu/show/id/1349623","http://ts.21cn.com/tousu/show/id/1349623")</f>
        <v>http://ts.21cn.com/tousu/show/id/1349623</v>
      </c>
      <c r="F17827" s="2" t="s">
        <v>11</v>
      </c>
      <c r="G17827" s="2" t="s">
        <v>9127</v>
      </c>
      <c r="H17827" s="2" t="s">
        <v>9128</v>
      </c>
    </row>
    <row r="17828" spans="1:8" ht="25.05" customHeight="1" x14ac:dyDescent="0.25">
      <c r="A17828" s="2" t="s">
        <v>8</v>
      </c>
      <c r="B17828" s="2" t="str">
        <f>HYPERLINK("http://ts.21cn.com/tousu/show/id/1349667","京东商城不能按规定送达商品")</f>
        <v>京东商城不能按规定送达商品</v>
      </c>
      <c r="C17828" s="2" t="s">
        <v>9</v>
      </c>
      <c r="D17828" s="2" t="s">
        <v>10</v>
      </c>
      <c r="E17828" s="2" t="str">
        <f>HYPERLINK("http://ts.21cn.com/tousu/show/id/1349667","http://ts.21cn.com/tousu/show/id/1349667")</f>
        <v>http://ts.21cn.com/tousu/show/id/1349667</v>
      </c>
      <c r="F17828" s="2" t="s">
        <v>11</v>
      </c>
      <c r="G17828" s="2" t="s">
        <v>9125</v>
      </c>
      <c r="H17828" s="2" t="s">
        <v>9126</v>
      </c>
    </row>
    <row r="17829" spans="1:8" ht="25.05" customHeight="1" x14ac:dyDescent="0.25">
      <c r="A17829" s="2" t="s">
        <v>8</v>
      </c>
      <c r="B17829" s="2" t="str">
        <f>HYPERLINK("http://ts.21cn.com/tousu/show/id/1349668","中国电信客服处理不当恶意推脱责任")</f>
        <v>中国电信客服处理不当恶意推脱责任</v>
      </c>
      <c r="C17829" s="2" t="s">
        <v>9</v>
      </c>
      <c r="D17829" s="2" t="s">
        <v>10</v>
      </c>
      <c r="E17829" s="2" t="str">
        <f>HYPERLINK("http://ts.21cn.com/tousu/show/id/1349668","http://ts.21cn.com/tousu/show/id/1349668")</f>
        <v>http://ts.21cn.com/tousu/show/id/1349668</v>
      </c>
      <c r="F17829" s="2" t="s">
        <v>11</v>
      </c>
      <c r="G17829" s="2" t="s">
        <v>9123</v>
      </c>
      <c r="H17829" s="2" t="s">
        <v>9124</v>
      </c>
    </row>
    <row r="17830" spans="1:8" ht="25.05" customHeight="1" x14ac:dyDescent="0.25">
      <c r="A17830" s="2" t="s">
        <v>8</v>
      </c>
      <c r="B17830" s="2" t="str">
        <f>HYPERLINK("http://ts.21cn.com/tousu/show/id/1349669","360借条客服处理不当威胁催收")</f>
        <v>360借条客服处理不当威胁催收</v>
      </c>
      <c r="C17830" s="2" t="s">
        <v>9</v>
      </c>
      <c r="D17830" s="2" t="s">
        <v>10</v>
      </c>
      <c r="E17830" s="2" t="str">
        <f>HYPERLINK("http://ts.21cn.com/tousu/show/id/1349669","http://ts.21cn.com/tousu/show/id/1349669")</f>
        <v>http://ts.21cn.com/tousu/show/id/1349669</v>
      </c>
      <c r="F17830" s="2" t="s">
        <v>11</v>
      </c>
      <c r="G17830" s="2" t="s">
        <v>9121</v>
      </c>
      <c r="H17830" s="2" t="s">
        <v>9122</v>
      </c>
    </row>
    <row r="17831" spans="1:8" ht="25.05" customHeight="1" x14ac:dyDescent="0.25">
      <c r="A17831" s="2" t="s">
        <v>8</v>
      </c>
      <c r="B17831" s="2" t="str">
        <f>HYPERLINK("http://ts.21cn.com/tousu/show/id/1349670","本人投诉北京雅酷时空信息交换技术有限公司违规提供支付通道")</f>
        <v>本人投诉北京雅酷时空信息交换技术有限公司违规提供支付通道</v>
      </c>
      <c r="C17831" s="2" t="s">
        <v>9</v>
      </c>
      <c r="D17831" s="2" t="s">
        <v>10</v>
      </c>
      <c r="E17831" s="2" t="str">
        <f>HYPERLINK("http://ts.21cn.com/tousu/show/id/1349670","http://ts.21cn.com/tousu/show/id/1349670")</f>
        <v>http://ts.21cn.com/tousu/show/id/1349670</v>
      </c>
      <c r="F17831" s="2" t="s">
        <v>11</v>
      </c>
      <c r="G17831" s="2" t="s">
        <v>9119</v>
      </c>
      <c r="H17831" s="2" t="s">
        <v>9120</v>
      </c>
    </row>
    <row r="17832" spans="1:8" ht="25.05" customHeight="1" x14ac:dyDescent="0.25">
      <c r="A17832" s="2" t="s">
        <v>8</v>
      </c>
      <c r="B17832" s="2" t="str">
        <f>HYPERLINK("http://ts.21cn.com/tousu/show/id/1349672","万惠及贷变相收取高额息费以及暴力催收")</f>
        <v>万惠及贷变相收取高额息费以及暴力催收</v>
      </c>
      <c r="C17832" s="2" t="s">
        <v>9</v>
      </c>
      <c r="D17832" s="2" t="s">
        <v>10</v>
      </c>
      <c r="E17832" s="2" t="str">
        <f>HYPERLINK("http://ts.21cn.com/tousu/show/id/1349672","http://ts.21cn.com/tousu/show/id/1349672")</f>
        <v>http://ts.21cn.com/tousu/show/id/1349672</v>
      </c>
      <c r="F17832" s="2" t="s">
        <v>11</v>
      </c>
      <c r="G17832" s="2" t="s">
        <v>9117</v>
      </c>
      <c r="H17832" s="2" t="s">
        <v>9118</v>
      </c>
    </row>
    <row r="17833" spans="1:8" ht="25.05" customHeight="1" x14ac:dyDescent="0.25">
      <c r="A17833" s="2" t="s">
        <v>8</v>
      </c>
      <c r="B17833" s="2" t="str">
        <f>HYPERLINK("http://ts.21cn.com/tousu/show/id/1349671","投诉快手直播平台客服不作为")</f>
        <v>投诉快手直播平台客服不作为</v>
      </c>
      <c r="C17833" s="2" t="s">
        <v>9</v>
      </c>
      <c r="D17833" s="2" t="s">
        <v>10</v>
      </c>
      <c r="E17833" s="2" t="str">
        <f>HYPERLINK("http://ts.21cn.com/tousu/show/id/1349671","http://ts.21cn.com/tousu/show/id/1349671")</f>
        <v>http://ts.21cn.com/tousu/show/id/1349671</v>
      </c>
      <c r="F17833" s="2" t="s">
        <v>11</v>
      </c>
      <c r="G17833" s="2" t="s">
        <v>9115</v>
      </c>
      <c r="H17833" s="2" t="s">
        <v>9116</v>
      </c>
    </row>
    <row r="17834" spans="1:8" ht="25.05" customHeight="1" x14ac:dyDescent="0.25">
      <c r="A17834" s="2" t="s">
        <v>8</v>
      </c>
      <c r="B17834" s="2" t="str">
        <f>HYPERLINK("http://ts.21cn.com/tousu/show/id/1349675","百度有钱花电话暴利催收")</f>
        <v>百度有钱花电话暴利催收</v>
      </c>
      <c r="C17834" s="2" t="s">
        <v>9</v>
      </c>
      <c r="D17834" s="2" t="s">
        <v>10</v>
      </c>
      <c r="E17834" s="2" t="str">
        <f>HYPERLINK("http://ts.21cn.com/tousu/show/id/1349675","http://ts.21cn.com/tousu/show/id/1349675")</f>
        <v>http://ts.21cn.com/tousu/show/id/1349675</v>
      </c>
      <c r="F17834" s="2" t="s">
        <v>11</v>
      </c>
      <c r="G17834" s="2" t="s">
        <v>9113</v>
      </c>
      <c r="H17834" s="2" t="s">
        <v>9114</v>
      </c>
    </row>
    <row r="17835" spans="1:8" ht="25.05" customHeight="1" x14ac:dyDescent="0.25">
      <c r="A17835" s="2" t="s">
        <v>8</v>
      </c>
      <c r="B17835" s="2" t="str">
        <f>HYPERLINK("http://ts.21cn.com/tousu/show/id/1349674","淘集集拖欠商家货款超过一百天不处理")</f>
        <v>淘集集拖欠商家货款超过一百天不处理</v>
      </c>
      <c r="C17835" s="2" t="s">
        <v>9</v>
      </c>
      <c r="D17835" s="2" t="s">
        <v>10</v>
      </c>
      <c r="E17835" s="2" t="str">
        <f>HYPERLINK("http://ts.21cn.com/tousu/show/id/1349674","http://ts.21cn.com/tousu/show/id/1349674")</f>
        <v>http://ts.21cn.com/tousu/show/id/1349674</v>
      </c>
      <c r="F17835" s="2" t="s">
        <v>11</v>
      </c>
      <c r="G17835" s="2" t="s">
        <v>9111</v>
      </c>
      <c r="H17835" s="2" t="s">
        <v>9112</v>
      </c>
    </row>
    <row r="17836" spans="1:8" ht="25.05" customHeight="1" x14ac:dyDescent="0.25">
      <c r="A17836" s="2" t="s">
        <v>8</v>
      </c>
      <c r="B17836" s="2" t="str">
        <f>HYPERLINK("http://ts.21cn.com/tousu/show/id/1349676","今借到纵容砍头息，盗取通讯录进行骚扰")</f>
        <v>今借到纵容砍头息，盗取通讯录进行骚扰</v>
      </c>
      <c r="C17836" s="2" t="s">
        <v>9</v>
      </c>
      <c r="D17836" s="2" t="s">
        <v>10</v>
      </c>
      <c r="E17836" s="2" t="str">
        <f>HYPERLINK("http://ts.21cn.com/tousu/show/id/1349676","http://ts.21cn.com/tousu/show/id/1349676")</f>
        <v>http://ts.21cn.com/tousu/show/id/1349676</v>
      </c>
      <c r="F17836" s="2" t="s">
        <v>11</v>
      </c>
      <c r="G17836" s="2" t="s">
        <v>9109</v>
      </c>
      <c r="H17836" s="2" t="s">
        <v>9110</v>
      </c>
    </row>
    <row r="17837" spans="1:8" ht="25.05" customHeight="1" x14ac:dyDescent="0.25">
      <c r="A17837" s="2" t="s">
        <v>8</v>
      </c>
      <c r="B17837" s="2" t="str">
        <f>HYPERLINK("http://ts.21cn.com/tousu/show/id/1349677","来分期网贷平台还款当日电话骚扰")</f>
        <v>来分期网贷平台还款当日电话骚扰</v>
      </c>
      <c r="C17837" s="2" t="s">
        <v>9</v>
      </c>
      <c r="D17837" s="2" t="s">
        <v>10</v>
      </c>
      <c r="E17837" s="2" t="str">
        <f>HYPERLINK("http://ts.21cn.com/tousu/show/id/1349677","http://ts.21cn.com/tousu/show/id/1349677")</f>
        <v>http://ts.21cn.com/tousu/show/id/1349677</v>
      </c>
      <c r="F17837" s="2" t="s">
        <v>11</v>
      </c>
      <c r="G17837" s="2" t="s">
        <v>9107</v>
      </c>
      <c r="H17837" s="2" t="s">
        <v>9108</v>
      </c>
    </row>
    <row r="17838" spans="1:8" ht="25.05" customHeight="1" x14ac:dyDescent="0.25">
      <c r="A17838" s="2" t="s">
        <v>8</v>
      </c>
      <c r="B17838" s="2" t="str">
        <f>HYPERLINK("http://ts.21cn.com/tousu/show/id/1349678","暴力催收")</f>
        <v>暴力催收</v>
      </c>
      <c r="C17838" s="2" t="s">
        <v>9</v>
      </c>
      <c r="D17838" s="2" t="s">
        <v>10</v>
      </c>
      <c r="E17838" s="2" t="str">
        <f>HYPERLINK("http://ts.21cn.com/tousu/show/id/1349678","http://ts.21cn.com/tousu/show/id/1349678")</f>
        <v>http://ts.21cn.com/tousu/show/id/1349678</v>
      </c>
      <c r="F17838" s="2" t="s">
        <v>11</v>
      </c>
      <c r="G17838" s="2" t="s">
        <v>9105</v>
      </c>
      <c r="H17838" s="2" t="s">
        <v>9106</v>
      </c>
    </row>
    <row r="17839" spans="1:8" ht="25.05" customHeight="1" x14ac:dyDescent="0.25">
      <c r="A17839" s="2" t="s">
        <v>8</v>
      </c>
      <c r="B17839" s="2" t="str">
        <f>HYPERLINK("http://ts.21cn.com/tousu/show/id/1349679","退还高额砍头息")</f>
        <v>退还高额砍头息</v>
      </c>
      <c r="C17839" s="2" t="s">
        <v>9</v>
      </c>
      <c r="D17839" s="2" t="s">
        <v>10</v>
      </c>
      <c r="E17839" s="2" t="str">
        <f>HYPERLINK("http://ts.21cn.com/tousu/show/id/1349679","http://ts.21cn.com/tousu/show/id/1349679")</f>
        <v>http://ts.21cn.com/tousu/show/id/1349679</v>
      </c>
      <c r="F17839" s="2" t="s">
        <v>11</v>
      </c>
      <c r="G17839" s="2" t="s">
        <v>9103</v>
      </c>
      <c r="H17839" s="2" t="s">
        <v>9104</v>
      </c>
    </row>
    <row r="17840" spans="1:8" ht="25.05" customHeight="1" x14ac:dyDescent="0.25">
      <c r="A17840" s="2" t="s">
        <v>8</v>
      </c>
      <c r="B17840" s="2" t="str">
        <f>HYPERLINK("http://ts.21cn.com/tousu/show/id/1349680","新浪分期盗取通信录")</f>
        <v>新浪分期盗取通信录</v>
      </c>
      <c r="C17840" s="2" t="s">
        <v>9</v>
      </c>
      <c r="D17840" s="2" t="s">
        <v>10</v>
      </c>
      <c r="E17840" s="2" t="str">
        <f>HYPERLINK("http://ts.21cn.com/tousu/show/id/1349680","http://ts.21cn.com/tousu/show/id/1349680")</f>
        <v>http://ts.21cn.com/tousu/show/id/1349680</v>
      </c>
      <c r="F17840" s="2" t="s">
        <v>11</v>
      </c>
      <c r="G17840" s="2" t="s">
        <v>9101</v>
      </c>
      <c r="H17840" s="2" t="s">
        <v>9102</v>
      </c>
    </row>
    <row r="17841" spans="1:8" ht="25.05" customHeight="1" x14ac:dyDescent="0.25">
      <c r="A17841" s="2" t="s">
        <v>8</v>
      </c>
      <c r="B17841" s="2" t="str">
        <f>HYPERLINK("http://ts.21cn.com/tousu/show/id/1349681","10月3号买的雷士灯具现在都不发货")</f>
        <v>10月3号买的雷士灯具现在都不发货</v>
      </c>
      <c r="C17841" s="2" t="s">
        <v>34</v>
      </c>
      <c r="D17841" s="2" t="s">
        <v>10</v>
      </c>
      <c r="E17841" s="2" t="str">
        <f>HYPERLINK("http://ts.21cn.com/tousu/show/id/1349681","http://ts.21cn.com/tousu/show/id/1349681")</f>
        <v>http://ts.21cn.com/tousu/show/id/1349681</v>
      </c>
      <c r="F17841" s="2" t="s">
        <v>11</v>
      </c>
      <c r="G17841" s="2" t="s">
        <v>9099</v>
      </c>
      <c r="H17841" s="2" t="s">
        <v>9100</v>
      </c>
    </row>
    <row r="17842" spans="1:8" ht="25.05" customHeight="1" x14ac:dyDescent="0.25">
      <c r="A17842" s="2" t="s">
        <v>8</v>
      </c>
      <c r="B17842" s="2" t="str">
        <f>HYPERLINK("http://ts.21cn.com/tousu/show/id/1349682","航班取消携程客服表示无保护航班，无免费改签，只能退款且自己重新买票出行")</f>
        <v>航班取消携程客服表示无保护航班，无免费改签，只能退款且自己重新买票出行</v>
      </c>
      <c r="C17842" s="2" t="s">
        <v>34</v>
      </c>
      <c r="D17842" s="2" t="s">
        <v>10</v>
      </c>
      <c r="E17842" s="2" t="str">
        <f>HYPERLINK("http://ts.21cn.com/tousu/show/id/1349682","http://ts.21cn.com/tousu/show/id/1349682")</f>
        <v>http://ts.21cn.com/tousu/show/id/1349682</v>
      </c>
      <c r="F17842" s="2" t="s">
        <v>11</v>
      </c>
      <c r="G17842" s="2" t="s">
        <v>9097</v>
      </c>
      <c r="H17842" s="2" t="s">
        <v>9098</v>
      </c>
    </row>
    <row r="17843" spans="1:8" ht="25.05" customHeight="1" x14ac:dyDescent="0.25">
      <c r="A17843" s="2" t="s">
        <v>8</v>
      </c>
      <c r="B17843" s="2" t="str">
        <f>HYPERLINK("http://ts.21cn.com/tousu/show/id/1349683","本人于2019.10.9日下午，在交易猫平台购买了倩女账号，交易两笔金额2110元+1805元，不满意取消，退款一直失败")</f>
        <v>本人于2019.10.9日下午，在交易猫平台购买了倩女账号，交易两笔金额2110元+1805元，不满意取消，退款一直失败</v>
      </c>
      <c r="C17843" s="2" t="s">
        <v>9</v>
      </c>
      <c r="D17843" s="2" t="s">
        <v>10</v>
      </c>
      <c r="E17843" s="2" t="str">
        <f>HYPERLINK("http://ts.21cn.com/tousu/show/id/1349683","http://ts.21cn.com/tousu/show/id/1349683")</f>
        <v>http://ts.21cn.com/tousu/show/id/1349683</v>
      </c>
      <c r="F17843" s="2" t="s">
        <v>11</v>
      </c>
      <c r="G17843" s="2" t="s">
        <v>9095</v>
      </c>
      <c r="H17843" s="2" t="s">
        <v>9096</v>
      </c>
    </row>
    <row r="17844" spans="1:8" ht="25.05" customHeight="1" x14ac:dyDescent="0.25">
      <c r="A17844" s="2" t="s">
        <v>8</v>
      </c>
      <c r="B17844" s="2" t="str">
        <f>HYPERLINK("http://ts.21cn.com/tousu/show/id/1349687","功夫贷爆通讯录，骚扰里面联系人")</f>
        <v>功夫贷爆通讯录，骚扰里面联系人</v>
      </c>
      <c r="C17844" s="2" t="s">
        <v>9</v>
      </c>
      <c r="D17844" s="2" t="s">
        <v>10</v>
      </c>
      <c r="E17844" s="2" t="str">
        <f>HYPERLINK("http://ts.21cn.com/tousu/show/id/1349687","http://ts.21cn.com/tousu/show/id/1349687")</f>
        <v>http://ts.21cn.com/tousu/show/id/1349687</v>
      </c>
      <c r="F17844" s="2" t="s">
        <v>11</v>
      </c>
      <c r="G17844" s="2" t="s">
        <v>9093</v>
      </c>
      <c r="H17844" s="2" t="s">
        <v>9094</v>
      </c>
    </row>
    <row r="17845" spans="1:8" ht="25.05" customHeight="1" x14ac:dyDescent="0.25">
      <c r="A17845" s="2" t="s">
        <v>8</v>
      </c>
      <c r="B17845" s="2" t="str">
        <f>HYPERLINK("http://ts.21cn.com/tousu/show/id/1349685","及贷暴力催收")</f>
        <v>及贷暴力催收</v>
      </c>
      <c r="C17845" s="2" t="s">
        <v>9</v>
      </c>
      <c r="D17845" s="2" t="s">
        <v>10</v>
      </c>
      <c r="E17845" s="2" t="str">
        <f>HYPERLINK("http://ts.21cn.com/tousu/show/id/1349685","http://ts.21cn.com/tousu/show/id/1349685")</f>
        <v>http://ts.21cn.com/tousu/show/id/1349685</v>
      </c>
      <c r="F17845" s="2" t="s">
        <v>11</v>
      </c>
      <c r="G17845" s="2" t="s">
        <v>9091</v>
      </c>
      <c r="H17845" s="2" t="s">
        <v>9092</v>
      </c>
    </row>
    <row r="17846" spans="1:8" ht="25.05" customHeight="1" x14ac:dyDescent="0.25">
      <c r="A17846" s="2" t="s">
        <v>8</v>
      </c>
      <c r="B17846" s="2" t="str">
        <f>HYPERLINK("http://ts.21cn.com/tousu/show/id/1349686","押金无法收回")</f>
        <v>押金无法收回</v>
      </c>
      <c r="C17846" s="2" t="s">
        <v>9</v>
      </c>
      <c r="D17846" s="2" t="s">
        <v>10</v>
      </c>
      <c r="E17846" s="2" t="str">
        <f>HYPERLINK("http://ts.21cn.com/tousu/show/id/1349686","http://ts.21cn.com/tousu/show/id/1349686")</f>
        <v>http://ts.21cn.com/tousu/show/id/1349686</v>
      </c>
      <c r="F17846" s="2" t="s">
        <v>11</v>
      </c>
      <c r="G17846" s="2" t="s">
        <v>9089</v>
      </c>
      <c r="H17846" s="2" t="s">
        <v>9090</v>
      </c>
    </row>
    <row r="17847" spans="1:8" ht="25.05" customHeight="1" x14ac:dyDescent="0.25">
      <c r="A17847" s="2" t="s">
        <v>8</v>
      </c>
      <c r="B17847" s="2" t="str">
        <f>HYPERLINK("http://ts.21cn.com/tousu/show/id/1349688","微贷多米贷暴力催收")</f>
        <v>微贷多米贷暴力催收</v>
      </c>
      <c r="C17847" s="2" t="s">
        <v>9</v>
      </c>
      <c r="D17847" s="2" t="s">
        <v>10</v>
      </c>
      <c r="E17847" s="2" t="str">
        <f>HYPERLINK("http://ts.21cn.com/tousu/show/id/1349688","http://ts.21cn.com/tousu/show/id/1349688")</f>
        <v>http://ts.21cn.com/tousu/show/id/1349688</v>
      </c>
      <c r="F17847" s="2" t="s">
        <v>11</v>
      </c>
      <c r="G17847" s="2" t="s">
        <v>9087</v>
      </c>
      <c r="H17847" s="2" t="s">
        <v>9088</v>
      </c>
    </row>
    <row r="17848" spans="1:8" ht="25.05" customHeight="1" x14ac:dyDescent="0.25">
      <c r="A17848" s="2" t="s">
        <v>8</v>
      </c>
      <c r="B17848" s="2" t="str">
        <f>HYPERLINK("http://ts.21cn.com/tousu/show/id/1349689","新网银行给高利贷现金巴士放款")</f>
        <v>新网银行给高利贷现金巴士放款</v>
      </c>
      <c r="C17848" s="2" t="s">
        <v>9</v>
      </c>
      <c r="D17848" s="2" t="s">
        <v>10</v>
      </c>
      <c r="E17848" s="2" t="str">
        <f>HYPERLINK("http://ts.21cn.com/tousu/show/id/1349689","http://ts.21cn.com/tousu/show/id/1349689")</f>
        <v>http://ts.21cn.com/tousu/show/id/1349689</v>
      </c>
      <c r="F17848" s="2" t="s">
        <v>11</v>
      </c>
      <c r="G17848" s="2" t="s">
        <v>9085</v>
      </c>
      <c r="H17848" s="2" t="s">
        <v>9086</v>
      </c>
    </row>
    <row r="17849" spans="1:8" ht="25.05" customHeight="1" x14ac:dyDescent="0.25">
      <c r="A17849" s="2" t="s">
        <v>8</v>
      </c>
      <c r="B17849" s="2" t="str">
        <f>HYPERLINK("http://ts.21cn.com/tousu/show/id/1349690","被垃圾车队绑住首汽账号")</f>
        <v>被垃圾车队绑住首汽账号</v>
      </c>
      <c r="C17849" s="2" t="s">
        <v>9</v>
      </c>
      <c r="D17849" s="2" t="s">
        <v>10</v>
      </c>
      <c r="E17849" s="2" t="str">
        <f>HYPERLINK("http://ts.21cn.com/tousu/show/id/1349690","http://ts.21cn.com/tousu/show/id/1349690")</f>
        <v>http://ts.21cn.com/tousu/show/id/1349690</v>
      </c>
      <c r="F17849" s="2" t="s">
        <v>11</v>
      </c>
      <c r="G17849" s="2" t="s">
        <v>9083</v>
      </c>
      <c r="H17849" s="2" t="s">
        <v>9084</v>
      </c>
    </row>
    <row r="17850" spans="1:8" ht="25.05" customHeight="1" x14ac:dyDescent="0.25">
      <c r="A17850" s="2" t="s">
        <v>8</v>
      </c>
      <c r="B17850" s="2" t="str">
        <f>HYPERLINK("http://ts.21cn.com/tousu/show/id/1349691","王者钱包")</f>
        <v>王者钱包</v>
      </c>
      <c r="C17850" s="2" t="s">
        <v>9</v>
      </c>
      <c r="D17850" s="2" t="s">
        <v>10</v>
      </c>
      <c r="E17850" s="2" t="str">
        <f>HYPERLINK("http://ts.21cn.com/tousu/show/id/1349691","http://ts.21cn.com/tousu/show/id/1349691")</f>
        <v>http://ts.21cn.com/tousu/show/id/1349691</v>
      </c>
      <c r="F17850" s="2" t="s">
        <v>11</v>
      </c>
      <c r="G17850" s="2" t="s">
        <v>9081</v>
      </c>
      <c r="H17850" s="2" t="s">
        <v>9082</v>
      </c>
    </row>
    <row r="17851" spans="1:8" ht="25.05" customHeight="1" x14ac:dyDescent="0.25">
      <c r="A17851" s="2" t="s">
        <v>8</v>
      </c>
      <c r="B17851" s="2" t="str">
        <f>HYPERLINK("http://ts.21cn.com/tousu/show/id/1349693","714高利贷暴力催收恐吓威胁蜘蛛侠鸿运当头")</f>
        <v>714高利贷暴力催收恐吓威胁蜘蛛侠鸿运当头</v>
      </c>
      <c r="C17851" s="2" t="s">
        <v>9</v>
      </c>
      <c r="D17851" s="2" t="s">
        <v>10</v>
      </c>
      <c r="E17851" s="2" t="str">
        <f>HYPERLINK("http://ts.21cn.com/tousu/show/id/1349693","http://ts.21cn.com/tousu/show/id/1349693")</f>
        <v>http://ts.21cn.com/tousu/show/id/1349693</v>
      </c>
      <c r="F17851" s="2" t="s">
        <v>11</v>
      </c>
      <c r="G17851" s="2" t="s">
        <v>9079</v>
      </c>
      <c r="H17851" s="2" t="s">
        <v>9080</v>
      </c>
    </row>
    <row r="17852" spans="1:8" ht="25.05" customHeight="1" x14ac:dyDescent="0.25">
      <c r="A17852" s="2" t="s">
        <v>8</v>
      </c>
      <c r="B17852" s="2" t="str">
        <f>HYPERLINK("http://ts.21cn.com/tousu/show/id/1349692","美团合作商家，我们下单后，接单不出单并收费不退费。霸王条款！")</f>
        <v>美团合作商家，我们下单后，接单不出单并收费不退费。霸王条款！</v>
      </c>
      <c r="C17852" s="2" t="s">
        <v>9</v>
      </c>
      <c r="D17852" s="2" t="s">
        <v>10</v>
      </c>
      <c r="E17852" s="2" t="str">
        <f>HYPERLINK("http://ts.21cn.com/tousu/show/id/1349692","http://ts.21cn.com/tousu/show/id/1349692")</f>
        <v>http://ts.21cn.com/tousu/show/id/1349692</v>
      </c>
      <c r="F17852" s="2" t="s">
        <v>11</v>
      </c>
      <c r="G17852" s="2" t="s">
        <v>9077</v>
      </c>
      <c r="H17852" s="2" t="s">
        <v>9078</v>
      </c>
    </row>
    <row r="17853" spans="1:8" ht="25.05" customHeight="1" x14ac:dyDescent="0.25">
      <c r="A17853" s="2" t="s">
        <v>8</v>
      </c>
      <c r="B17853" s="2" t="str">
        <f>HYPERLINK("http://ts.21cn.com/tousu/show/id/1349694","合同欺诈，私自扣款")</f>
        <v>合同欺诈，私自扣款</v>
      </c>
      <c r="C17853" s="2" t="s">
        <v>9</v>
      </c>
      <c r="D17853" s="2" t="s">
        <v>10</v>
      </c>
      <c r="E17853" s="2" t="str">
        <f>HYPERLINK("http://ts.21cn.com/tousu/show/id/1349694","http://ts.21cn.com/tousu/show/id/1349694")</f>
        <v>http://ts.21cn.com/tousu/show/id/1349694</v>
      </c>
      <c r="F17853" s="2" t="s">
        <v>11</v>
      </c>
      <c r="G17853" s="2" t="s">
        <v>9075</v>
      </c>
      <c r="H17853" s="2" t="s">
        <v>9076</v>
      </c>
    </row>
    <row r="17854" spans="1:8" ht="25.05" customHeight="1" x14ac:dyDescent="0.25">
      <c r="A17854" s="2" t="s">
        <v>8</v>
      </c>
      <c r="B17854" s="2" t="str">
        <f>HYPERLINK("http://ts.21cn.com/tousu/show/id/1349695","小象优品提前一次性结清不给减免后续利息")</f>
        <v>小象优品提前一次性结清不给减免后续利息</v>
      </c>
      <c r="C17854" s="2" t="s">
        <v>9</v>
      </c>
      <c r="D17854" s="2" t="s">
        <v>10</v>
      </c>
      <c r="E17854" s="2" t="str">
        <f>HYPERLINK("http://ts.21cn.com/tousu/show/id/1349695","http://ts.21cn.com/tousu/show/id/1349695")</f>
        <v>http://ts.21cn.com/tousu/show/id/1349695</v>
      </c>
      <c r="F17854" s="2" t="s">
        <v>11</v>
      </c>
      <c r="G17854" s="2" t="s">
        <v>9073</v>
      </c>
      <c r="H17854" s="2" t="s">
        <v>9074</v>
      </c>
    </row>
    <row r="17855" spans="1:8" ht="25.05" customHeight="1" x14ac:dyDescent="0.25">
      <c r="A17855" s="2" t="s">
        <v>8</v>
      </c>
      <c r="B17855" s="2" t="str">
        <f>HYPERLINK("http://ts.21cn.com/tousu/show/id/1349698","没使用过安易借却收到催收电话")</f>
        <v>没使用过安易借却收到催收电话</v>
      </c>
      <c r="C17855" s="2" t="s">
        <v>9</v>
      </c>
      <c r="D17855" s="2" t="s">
        <v>10</v>
      </c>
      <c r="E17855" s="2" t="str">
        <f>HYPERLINK("http://ts.21cn.com/tousu/show/id/1349698","http://ts.21cn.com/tousu/show/id/1349698")</f>
        <v>http://ts.21cn.com/tousu/show/id/1349698</v>
      </c>
      <c r="F17855" s="2" t="s">
        <v>11</v>
      </c>
      <c r="G17855" s="2" t="s">
        <v>9071</v>
      </c>
      <c r="H17855" s="2" t="s">
        <v>9072</v>
      </c>
    </row>
    <row r="17856" spans="1:8" ht="25.05" customHeight="1" x14ac:dyDescent="0.25">
      <c r="A17856" s="2" t="s">
        <v>8</v>
      </c>
      <c r="B17856" s="2" t="str">
        <f>HYPERLINK("http://ts.21cn.com/tousu/show/id/1349634","白条分期，套路贷，在本人没有输入银行卡密码的时候，自动从本人的银行卡中扣除了249的会员费用，不能贷款。明目张胆")</f>
        <v>白条分期，套路贷，在本人没有输入银行卡密码的时候，自动从本人的银行卡中扣除了249的会员费用，不能贷款。明目张胆</v>
      </c>
      <c r="C17856" s="2" t="s">
        <v>9</v>
      </c>
      <c r="D17856" s="2" t="s">
        <v>10</v>
      </c>
      <c r="E17856" s="2" t="str">
        <f>HYPERLINK("http://ts.21cn.com/tousu/show/id/1349634","http://ts.21cn.com/tousu/show/id/1349634")</f>
        <v>http://ts.21cn.com/tousu/show/id/1349634</v>
      </c>
      <c r="F17856" s="2" t="s">
        <v>11</v>
      </c>
      <c r="G17856" s="2" t="s">
        <v>9069</v>
      </c>
      <c r="H17856" s="2" t="s">
        <v>9070</v>
      </c>
    </row>
    <row r="17857" spans="1:8" ht="25.05" customHeight="1" x14ac:dyDescent="0.25">
      <c r="A17857" s="2" t="s">
        <v>8</v>
      </c>
      <c r="B17857" s="2" t="str">
        <f>HYPERLINK("http://ts.21cn.com/tousu/show/id/1349697","要求减免费用，开具结清证明。")</f>
        <v>要求减免费用，开具结清证明。</v>
      </c>
      <c r="C17857" s="2" t="s">
        <v>34</v>
      </c>
      <c r="D17857" s="2" t="s">
        <v>10</v>
      </c>
      <c r="E17857" s="2" t="str">
        <f>HYPERLINK("http://ts.21cn.com/tousu/show/id/1349697","http://ts.21cn.com/tousu/show/id/1349697")</f>
        <v>http://ts.21cn.com/tousu/show/id/1349697</v>
      </c>
      <c r="F17857" s="2" t="s">
        <v>11</v>
      </c>
      <c r="G17857" s="2" t="s">
        <v>9067</v>
      </c>
      <c r="H17857" s="2" t="s">
        <v>9068</v>
      </c>
    </row>
    <row r="17858" spans="1:8" ht="25.05" customHeight="1" x14ac:dyDescent="0.25">
      <c r="A17858" s="2" t="s">
        <v>8</v>
      </c>
      <c r="B17858" s="2" t="str">
        <f>HYPERLINK("http://ts.21cn.com/tousu/show/id/1349696","马上金融的安逸花套路贷账单不清楚")</f>
        <v>马上金融的安逸花套路贷账单不清楚</v>
      </c>
      <c r="C17858" s="2" t="s">
        <v>9</v>
      </c>
      <c r="D17858" s="2" t="s">
        <v>10</v>
      </c>
      <c r="E17858" s="2" t="str">
        <f>HYPERLINK("http://ts.21cn.com/tousu/show/id/1349696","http://ts.21cn.com/tousu/show/id/1349696")</f>
        <v>http://ts.21cn.com/tousu/show/id/1349696</v>
      </c>
      <c r="F17858" s="2" t="s">
        <v>11</v>
      </c>
      <c r="G17858" s="2" t="s">
        <v>9065</v>
      </c>
      <c r="H17858" s="2" t="s">
        <v>9066</v>
      </c>
    </row>
    <row r="17859" spans="1:8" ht="25.05" customHeight="1" x14ac:dyDescent="0.25">
      <c r="A17859" s="2" t="s">
        <v>8</v>
      </c>
      <c r="B17859" s="2" t="str">
        <f>HYPERLINK("http://ts.21cn.com/tousu/show/id/1349699","招联金融骚扰.立即停止")</f>
        <v>招联金融骚扰.立即停止</v>
      </c>
      <c r="C17859" s="2" t="s">
        <v>9</v>
      </c>
      <c r="D17859" s="2" t="s">
        <v>10</v>
      </c>
      <c r="E17859" s="2" t="str">
        <f>HYPERLINK("http://ts.21cn.com/tousu/show/id/1349699","http://ts.21cn.com/tousu/show/id/1349699")</f>
        <v>http://ts.21cn.com/tousu/show/id/1349699</v>
      </c>
      <c r="F17859" s="2" t="s">
        <v>11</v>
      </c>
      <c r="G17859" s="2" t="s">
        <v>9063</v>
      </c>
      <c r="H17859" s="2" t="s">
        <v>9064</v>
      </c>
    </row>
    <row r="17860" spans="1:8" ht="25.05" customHeight="1" x14ac:dyDescent="0.25">
      <c r="A17860" s="2" t="s">
        <v>8</v>
      </c>
      <c r="B17860" s="2" t="str">
        <f>HYPERLINK("http://ts.21cn.com/tousu/show/id/1349700","光大银行信用卡服务罢道之急")</f>
        <v>光大银行信用卡服务罢道之急</v>
      </c>
      <c r="C17860" s="2" t="s">
        <v>9</v>
      </c>
      <c r="D17860" s="2" t="s">
        <v>10</v>
      </c>
      <c r="E17860" s="2" t="str">
        <f>HYPERLINK("http://ts.21cn.com/tousu/show/id/1349700","http://ts.21cn.com/tousu/show/id/1349700")</f>
        <v>http://ts.21cn.com/tousu/show/id/1349700</v>
      </c>
      <c r="F17860" s="2" t="s">
        <v>11</v>
      </c>
      <c r="G17860" s="2" t="s">
        <v>9061</v>
      </c>
      <c r="H17860" s="2" t="s">
        <v>9062</v>
      </c>
    </row>
    <row r="17861" spans="1:8" ht="25.05" customHeight="1" x14ac:dyDescent="0.25">
      <c r="A17861" s="2" t="s">
        <v>8</v>
      </c>
      <c r="B17861" s="2" t="str">
        <f>HYPERLINK("http://ts.21cn.com/tousu/show/id/1349702","捷信公司贷款利息太高，且暴利催收，无力偿还")</f>
        <v>捷信公司贷款利息太高，且暴利催收，无力偿还</v>
      </c>
      <c r="C17861" s="2" t="s">
        <v>9</v>
      </c>
      <c r="D17861" s="2" t="s">
        <v>10</v>
      </c>
      <c r="E17861" s="2" t="str">
        <f>HYPERLINK("http://ts.21cn.com/tousu/show/id/1349702","http://ts.21cn.com/tousu/show/id/1349702")</f>
        <v>http://ts.21cn.com/tousu/show/id/1349702</v>
      </c>
      <c r="F17861" s="2" t="s">
        <v>11</v>
      </c>
      <c r="G17861" s="2" t="s">
        <v>9059</v>
      </c>
      <c r="H17861" s="2" t="s">
        <v>9060</v>
      </c>
    </row>
    <row r="17862" spans="1:8" ht="25.05" customHeight="1" x14ac:dyDescent="0.25">
      <c r="A17862" s="2" t="s">
        <v>8</v>
      </c>
      <c r="B17862" s="2" t="str">
        <f>HYPERLINK("http://ts.21cn.com/tousu/show/id/1349701","招联金融威胁恐吓骚扰家人朋友同事")</f>
        <v>招联金融威胁恐吓骚扰家人朋友同事</v>
      </c>
      <c r="C17862" s="2" t="s">
        <v>9</v>
      </c>
      <c r="D17862" s="2" t="s">
        <v>10</v>
      </c>
      <c r="E17862" s="2" t="str">
        <f>HYPERLINK("http://ts.21cn.com/tousu/show/id/1349701","http://ts.21cn.com/tousu/show/id/1349701")</f>
        <v>http://ts.21cn.com/tousu/show/id/1349701</v>
      </c>
      <c r="F17862" s="2" t="s">
        <v>11</v>
      </c>
      <c r="G17862" s="2" t="s">
        <v>9057</v>
      </c>
      <c r="H17862" s="2" t="s">
        <v>9058</v>
      </c>
    </row>
    <row r="17863" spans="1:8" ht="25.05" customHeight="1" x14ac:dyDescent="0.25">
      <c r="A17863" s="2" t="s">
        <v>8</v>
      </c>
      <c r="B17863" s="2" t="str">
        <f>HYPERLINK("http://ts.21cn.com/tousu/show/id/1349548","拍拍贷说要起诉我")</f>
        <v>拍拍贷说要起诉我</v>
      </c>
      <c r="C17863" s="2" t="s">
        <v>9</v>
      </c>
      <c r="D17863" s="2" t="s">
        <v>10</v>
      </c>
      <c r="E17863" s="2" t="str">
        <f>HYPERLINK("http://ts.21cn.com/tousu/show/id/1349548","http://ts.21cn.com/tousu/show/id/1349548")</f>
        <v>http://ts.21cn.com/tousu/show/id/1349548</v>
      </c>
      <c r="F17863" s="2" t="s">
        <v>11</v>
      </c>
      <c r="G17863" s="2" t="s">
        <v>9055</v>
      </c>
      <c r="H17863" s="2" t="s">
        <v>9056</v>
      </c>
    </row>
    <row r="17864" spans="1:8" ht="25.05" customHeight="1" x14ac:dyDescent="0.25">
      <c r="A17864" s="2" t="s">
        <v>8</v>
      </c>
      <c r="B17864" s="2" t="str">
        <f>HYPERLINK("http://ts.21cn.com/tousu/show/id/1349706","360一直拖着不下款")</f>
        <v>360一直拖着不下款</v>
      </c>
      <c r="C17864" s="2" t="s">
        <v>9</v>
      </c>
      <c r="D17864" s="2" t="s">
        <v>10</v>
      </c>
      <c r="E17864" s="2" t="str">
        <f>HYPERLINK("http://ts.21cn.com/tousu/show/id/1349706","http://ts.21cn.com/tousu/show/id/1349706")</f>
        <v>http://ts.21cn.com/tousu/show/id/1349706</v>
      </c>
      <c r="F17864" s="2" t="s">
        <v>11</v>
      </c>
      <c r="G17864" s="2" t="s">
        <v>9053</v>
      </c>
      <c r="H17864" s="2" t="s">
        <v>9054</v>
      </c>
    </row>
    <row r="17865" spans="1:8" ht="25.05" customHeight="1" x14ac:dyDescent="0.25">
      <c r="A17865" s="2" t="s">
        <v>8</v>
      </c>
      <c r="B17865" s="2" t="str">
        <f>HYPERLINK("http://ts.21cn.com/tousu/show/id/1349704","快鱼分期，高利贷，套路贷，砍头息")</f>
        <v>快鱼分期，高利贷，套路贷，砍头息</v>
      </c>
      <c r="C17865" s="2" t="s">
        <v>9</v>
      </c>
      <c r="D17865" s="2" t="s">
        <v>10</v>
      </c>
      <c r="E17865" s="2" t="str">
        <f>HYPERLINK("http://ts.21cn.com/tousu/show/id/1349704","http://ts.21cn.com/tousu/show/id/1349704")</f>
        <v>http://ts.21cn.com/tousu/show/id/1349704</v>
      </c>
      <c r="F17865" s="2" t="s">
        <v>11</v>
      </c>
      <c r="G17865" s="2" t="s">
        <v>9051</v>
      </c>
      <c r="H17865" s="2" t="s">
        <v>9052</v>
      </c>
    </row>
    <row r="17866" spans="1:8" ht="25.05" customHeight="1" x14ac:dyDescent="0.25">
      <c r="A17866" s="2" t="s">
        <v>8</v>
      </c>
      <c r="B17866" s="2" t="str">
        <f>HYPERLINK("http://ts.21cn.com/tousu/show/id/1349707","滴滴公司太坑人了")</f>
        <v>滴滴公司太坑人了</v>
      </c>
      <c r="C17866" s="2" t="s">
        <v>9</v>
      </c>
      <c r="D17866" s="2" t="s">
        <v>10</v>
      </c>
      <c r="E17866" s="2" t="str">
        <f>HYPERLINK("http://ts.21cn.com/tousu/show/id/1349707","http://ts.21cn.com/tousu/show/id/1349707")</f>
        <v>http://ts.21cn.com/tousu/show/id/1349707</v>
      </c>
      <c r="F17866" s="2" t="s">
        <v>11</v>
      </c>
      <c r="G17866" s="2" t="s">
        <v>9049</v>
      </c>
      <c r="H17866" s="2" t="s">
        <v>9050</v>
      </c>
    </row>
    <row r="17867" spans="1:8" ht="25.05" customHeight="1" x14ac:dyDescent="0.25">
      <c r="A17867" s="2" t="s">
        <v>8</v>
      </c>
      <c r="B17867" s="2" t="str">
        <f>HYPERLINK("http://ts.21cn.com/tousu/show/id/1349708","来分期恶意骚扰")</f>
        <v>来分期恶意骚扰</v>
      </c>
      <c r="C17867" s="2" t="s">
        <v>9</v>
      </c>
      <c r="D17867" s="2" t="s">
        <v>10</v>
      </c>
      <c r="E17867" s="2" t="str">
        <f>HYPERLINK("http://ts.21cn.com/tousu/show/id/1349708","http://ts.21cn.com/tousu/show/id/1349708")</f>
        <v>http://ts.21cn.com/tousu/show/id/1349708</v>
      </c>
      <c r="F17867" s="2" t="s">
        <v>11</v>
      </c>
      <c r="G17867" s="2" t="s">
        <v>9047</v>
      </c>
      <c r="H17867" s="2" t="s">
        <v>9048</v>
      </c>
    </row>
    <row r="17868" spans="1:8" ht="25.05" customHeight="1" x14ac:dyDescent="0.25">
      <c r="A17868" s="2" t="s">
        <v>8</v>
      </c>
      <c r="B17868" s="2" t="str">
        <f>HYPERLINK("http://ts.21cn.com/tousu/show/id/1349709","自由魔卡爆通讯录")</f>
        <v>自由魔卡爆通讯录</v>
      </c>
      <c r="C17868" s="2" t="s">
        <v>9</v>
      </c>
      <c r="D17868" s="2" t="s">
        <v>10</v>
      </c>
      <c r="E17868" s="2" t="str">
        <f>HYPERLINK("http://ts.21cn.com/tousu/show/id/1349709","http://ts.21cn.com/tousu/show/id/1349709")</f>
        <v>http://ts.21cn.com/tousu/show/id/1349709</v>
      </c>
      <c r="F17868" s="2" t="s">
        <v>11</v>
      </c>
      <c r="G17868" s="2" t="s">
        <v>9045</v>
      </c>
      <c r="H17868" s="2" t="s">
        <v>9046</v>
      </c>
    </row>
    <row r="17869" spans="1:8" ht="25.05" customHeight="1" x14ac:dyDescent="0.25">
      <c r="A17869" s="2" t="s">
        <v>8</v>
      </c>
      <c r="B17869" s="2" t="str">
        <f>HYPERLINK("http://ts.21cn.com/tousu/show/id/1349710","暴力催收")</f>
        <v>暴力催收</v>
      </c>
      <c r="C17869" s="2" t="s">
        <v>9</v>
      </c>
      <c r="D17869" s="2" t="s">
        <v>10</v>
      </c>
      <c r="E17869" s="2" t="str">
        <f>HYPERLINK("http://ts.21cn.com/tousu/show/id/1349710","http://ts.21cn.com/tousu/show/id/1349710")</f>
        <v>http://ts.21cn.com/tousu/show/id/1349710</v>
      </c>
      <c r="F17869" s="2" t="s">
        <v>11</v>
      </c>
      <c r="G17869" s="2" t="s">
        <v>9043</v>
      </c>
      <c r="H17869" s="2" t="s">
        <v>9044</v>
      </c>
    </row>
    <row r="17870" spans="1:8" ht="25.05" customHeight="1" x14ac:dyDescent="0.25">
      <c r="A17870" s="2" t="s">
        <v>8</v>
      </c>
      <c r="B17870" s="2" t="str">
        <f>HYPERLINK("http://ts.21cn.com/tousu/show/id/1349712","诚心还款浦发银行不给活路")</f>
        <v>诚心还款浦发银行不给活路</v>
      </c>
      <c r="C17870" s="2" t="s">
        <v>9</v>
      </c>
      <c r="D17870" s="2" t="s">
        <v>10</v>
      </c>
      <c r="E17870" s="2" t="str">
        <f>HYPERLINK("http://ts.21cn.com/tousu/show/id/1349712","http://ts.21cn.com/tousu/show/id/1349712")</f>
        <v>http://ts.21cn.com/tousu/show/id/1349712</v>
      </c>
      <c r="F17870" s="2" t="s">
        <v>11</v>
      </c>
      <c r="G17870" s="2" t="s">
        <v>9040</v>
      </c>
      <c r="H17870" s="2" t="s">
        <v>9041</v>
      </c>
    </row>
    <row r="17871" spans="1:8" ht="25.05" customHeight="1" x14ac:dyDescent="0.25">
      <c r="A17871" s="2" t="s">
        <v>8</v>
      </c>
      <c r="B17871" s="2" t="str">
        <f>HYPERLINK("http://ts.21cn.com/tousu/show/id/1349711","暴力催收")</f>
        <v>暴力催收</v>
      </c>
      <c r="C17871" s="2" t="s">
        <v>9</v>
      </c>
      <c r="D17871" s="2" t="s">
        <v>10</v>
      </c>
      <c r="E17871" s="2" t="str">
        <f>HYPERLINK("http://ts.21cn.com/tousu/show/id/1349711","http://ts.21cn.com/tousu/show/id/1349711")</f>
        <v>http://ts.21cn.com/tousu/show/id/1349711</v>
      </c>
      <c r="F17871" s="2" t="s">
        <v>11</v>
      </c>
      <c r="G17871" s="2" t="s">
        <v>9040</v>
      </c>
      <c r="H17871" s="2" t="s">
        <v>9042</v>
      </c>
    </row>
    <row r="17872" spans="1:8" ht="25.05" customHeight="1" x14ac:dyDescent="0.25">
      <c r="A17872" s="2" t="s">
        <v>8</v>
      </c>
      <c r="B17872" s="2" t="str">
        <f>HYPERLINK("http://ts.21cn.com/tousu/show/id/1349716","申通快递寄件破损，赔偿人员失联")</f>
        <v>申通快递寄件破损，赔偿人员失联</v>
      </c>
      <c r="C17872" s="2" t="s">
        <v>9</v>
      </c>
      <c r="D17872" s="2" t="s">
        <v>10</v>
      </c>
      <c r="E17872" s="2" t="str">
        <f>HYPERLINK("http://ts.21cn.com/tousu/show/id/1349716","http://ts.21cn.com/tousu/show/id/1349716")</f>
        <v>http://ts.21cn.com/tousu/show/id/1349716</v>
      </c>
      <c r="F17872" s="2" t="s">
        <v>11</v>
      </c>
      <c r="G17872" s="2" t="s">
        <v>9038</v>
      </c>
      <c r="H17872" s="2" t="s">
        <v>9039</v>
      </c>
    </row>
    <row r="17873" spans="1:8" ht="25.05" customHeight="1" x14ac:dyDescent="0.25">
      <c r="A17873" s="2" t="s">
        <v>8</v>
      </c>
      <c r="B17873" s="2" t="str">
        <f>HYPERLINK("http://ts.21cn.com/tousu/show/id/1349715","及贷暴力催收，违规骚扰通讯录")</f>
        <v>及贷暴力催收，违规骚扰通讯录</v>
      </c>
      <c r="C17873" s="2" t="s">
        <v>9</v>
      </c>
      <c r="D17873" s="2" t="s">
        <v>10</v>
      </c>
      <c r="E17873" s="2" t="str">
        <f>HYPERLINK("http://ts.21cn.com/tousu/show/id/1349715","http://ts.21cn.com/tousu/show/id/1349715")</f>
        <v>http://ts.21cn.com/tousu/show/id/1349715</v>
      </c>
      <c r="F17873" s="2" t="s">
        <v>11</v>
      </c>
      <c r="G17873" s="2" t="s">
        <v>9036</v>
      </c>
      <c r="H17873" s="2" t="s">
        <v>9037</v>
      </c>
    </row>
    <row r="17874" spans="1:8" ht="25.05" customHeight="1" x14ac:dyDescent="0.25">
      <c r="A17874" s="2" t="s">
        <v>8</v>
      </c>
      <c r="B17874" s="2" t="str">
        <f>HYPERLINK("http://ts.21cn.com/tousu/show/id/1349717","花转转樱桃小借恶意逾期，套路贷")</f>
        <v>花转转樱桃小借恶意逾期，套路贷</v>
      </c>
      <c r="C17874" s="2" t="s">
        <v>9</v>
      </c>
      <c r="D17874" s="2" t="s">
        <v>10</v>
      </c>
      <c r="E17874" s="2" t="str">
        <f>HYPERLINK("http://ts.21cn.com/tousu/show/id/1349717","http://ts.21cn.com/tousu/show/id/1349717")</f>
        <v>http://ts.21cn.com/tousu/show/id/1349717</v>
      </c>
      <c r="F17874" s="2" t="s">
        <v>11</v>
      </c>
      <c r="G17874" s="2" t="s">
        <v>9034</v>
      </c>
      <c r="H17874" s="2" t="s">
        <v>9035</v>
      </c>
    </row>
    <row r="17875" spans="1:8" ht="25.05" customHeight="1" x14ac:dyDescent="0.25">
      <c r="A17875" s="2" t="s">
        <v>8</v>
      </c>
      <c r="B17875" s="2" t="str">
        <f>HYPERLINK("http://ts.21cn.com/tousu/show/id/1311169","兴业银行恶意威胁")</f>
        <v>兴业银行恶意威胁</v>
      </c>
      <c r="C17875" s="2" t="s">
        <v>9</v>
      </c>
      <c r="D17875" s="2" t="s">
        <v>10</v>
      </c>
      <c r="E17875" s="2" t="str">
        <f>HYPERLINK("http://ts.21cn.com/tousu/show/id/1311169","http://ts.21cn.com/tousu/show/id/1311169")</f>
        <v>http://ts.21cn.com/tousu/show/id/1311169</v>
      </c>
      <c r="F17875" s="2" t="s">
        <v>11</v>
      </c>
      <c r="G17875" s="2" t="s">
        <v>9032</v>
      </c>
      <c r="H17875" s="2" t="s">
        <v>9033</v>
      </c>
    </row>
    <row r="17876" spans="1:8" ht="25.05" customHeight="1" x14ac:dyDescent="0.25">
      <c r="A17876" s="2" t="s">
        <v>8</v>
      </c>
      <c r="B17876" s="2" t="str">
        <f>HYPERLINK("http://ts.21cn.com/tousu/show/id/1349718","小花钱包暴力催收，骚扰通讯录好友")</f>
        <v>小花钱包暴力催收，骚扰通讯录好友</v>
      </c>
      <c r="C17876" s="2" t="s">
        <v>9</v>
      </c>
      <c r="D17876" s="2" t="s">
        <v>10</v>
      </c>
      <c r="E17876" s="2" t="str">
        <f>HYPERLINK("http://ts.21cn.com/tousu/show/id/1349718","http://ts.21cn.com/tousu/show/id/1349718")</f>
        <v>http://ts.21cn.com/tousu/show/id/1349718</v>
      </c>
      <c r="F17876" s="2" t="s">
        <v>11</v>
      </c>
      <c r="G17876" s="2" t="s">
        <v>9030</v>
      </c>
      <c r="H17876" s="2" t="s">
        <v>9031</v>
      </c>
    </row>
    <row r="17877" spans="1:8" ht="25.05" customHeight="1" x14ac:dyDescent="0.25">
      <c r="A17877" s="2" t="s">
        <v>8</v>
      </c>
      <c r="B17877" s="2" t="str">
        <f>HYPERLINK("http://ts.21cn.com/tousu/show/id/1349719","爆通讯录，辱骂")</f>
        <v>爆通讯录，辱骂</v>
      </c>
      <c r="C17877" s="2" t="s">
        <v>9</v>
      </c>
      <c r="D17877" s="2" t="s">
        <v>10</v>
      </c>
      <c r="E17877" s="2" t="str">
        <f>HYPERLINK("http://ts.21cn.com/tousu/show/id/1349719","http://ts.21cn.com/tousu/show/id/1349719")</f>
        <v>http://ts.21cn.com/tousu/show/id/1349719</v>
      </c>
      <c r="F17877" s="2" t="s">
        <v>11</v>
      </c>
      <c r="G17877" s="2" t="s">
        <v>9028</v>
      </c>
      <c r="H17877" s="2" t="s">
        <v>9029</v>
      </c>
    </row>
    <row r="17878" spans="1:8" ht="25.05" customHeight="1" x14ac:dyDescent="0.25">
      <c r="A17878" s="2" t="s">
        <v>8</v>
      </c>
      <c r="B17878" s="2" t="str">
        <f>HYPERLINK("http://ts.21cn.com/tousu/show/id/1349720","哈罗单车无法开锁")</f>
        <v>哈罗单车无法开锁</v>
      </c>
      <c r="C17878" s="2" t="s">
        <v>9</v>
      </c>
      <c r="D17878" s="2" t="s">
        <v>10</v>
      </c>
      <c r="E17878" s="2" t="str">
        <f>HYPERLINK("http://ts.21cn.com/tousu/show/id/1349720","http://ts.21cn.com/tousu/show/id/1349720")</f>
        <v>http://ts.21cn.com/tousu/show/id/1349720</v>
      </c>
      <c r="F17878" s="2" t="s">
        <v>11</v>
      </c>
      <c r="G17878" s="2" t="s">
        <v>9026</v>
      </c>
      <c r="H17878" s="2" t="s">
        <v>9027</v>
      </c>
    </row>
    <row r="17879" spans="1:8" ht="25.05" customHeight="1" x14ac:dyDescent="0.25">
      <c r="A17879" s="2" t="s">
        <v>8</v>
      </c>
      <c r="B17879" s="2" t="str">
        <f>HYPERLINK("http://ts.21cn.com/tousu/show/id/1349721","利信快捷金融公司砍头息，高额利息")</f>
        <v>利信快捷金融公司砍头息，高额利息</v>
      </c>
      <c r="C17879" s="2" t="s">
        <v>9</v>
      </c>
      <c r="D17879" s="2" t="s">
        <v>10</v>
      </c>
      <c r="E17879" s="2" t="str">
        <f>HYPERLINK("http://ts.21cn.com/tousu/show/id/1349721","http://ts.21cn.com/tousu/show/id/1349721")</f>
        <v>http://ts.21cn.com/tousu/show/id/1349721</v>
      </c>
      <c r="F17879" s="2" t="s">
        <v>11</v>
      </c>
      <c r="G17879" s="2" t="s">
        <v>9024</v>
      </c>
      <c r="H17879" s="2" t="s">
        <v>9025</v>
      </c>
    </row>
    <row r="17880" spans="1:8" ht="25.05" customHeight="1" x14ac:dyDescent="0.25">
      <c r="A17880" s="2" t="s">
        <v>8</v>
      </c>
      <c r="B17880" s="2" t="str">
        <f>HYPERLINK("http://ts.21cn.com/tousu/show/id/1349722","暴力催收，辱骂，不让还款")</f>
        <v>暴力催收，辱骂，不让还款</v>
      </c>
      <c r="C17880" s="2" t="s">
        <v>9</v>
      </c>
      <c r="D17880" s="2" t="s">
        <v>10</v>
      </c>
      <c r="E17880" s="2" t="str">
        <f>HYPERLINK("http://ts.21cn.com/tousu/show/id/1349722","http://ts.21cn.com/tousu/show/id/1349722")</f>
        <v>http://ts.21cn.com/tousu/show/id/1349722</v>
      </c>
      <c r="F17880" s="2" t="s">
        <v>11</v>
      </c>
      <c r="G17880" s="2" t="s">
        <v>9022</v>
      </c>
      <c r="H17880" s="2" t="s">
        <v>9023</v>
      </c>
    </row>
    <row r="17881" spans="1:8" ht="25.05" customHeight="1" x14ac:dyDescent="0.25">
      <c r="A17881" s="2" t="s">
        <v>8</v>
      </c>
      <c r="B17881" s="2" t="str">
        <f>HYPERLINK("http://ts.21cn.com/tousu/show/id/1349723","好分期未到还款日期催款")</f>
        <v>好分期未到还款日期催款</v>
      </c>
      <c r="C17881" s="2" t="s">
        <v>9</v>
      </c>
      <c r="D17881" s="2" t="s">
        <v>10</v>
      </c>
      <c r="E17881" s="2" t="str">
        <f>HYPERLINK("http://ts.21cn.com/tousu/show/id/1349723","http://ts.21cn.com/tousu/show/id/1349723")</f>
        <v>http://ts.21cn.com/tousu/show/id/1349723</v>
      </c>
      <c r="F17881" s="2" t="s">
        <v>11</v>
      </c>
      <c r="G17881" s="2" t="s">
        <v>9020</v>
      </c>
      <c r="H17881" s="2" t="s">
        <v>9021</v>
      </c>
    </row>
    <row r="17882" spans="1:8" ht="25.05" customHeight="1" x14ac:dyDescent="0.25">
      <c r="A17882" s="2" t="s">
        <v>8</v>
      </c>
      <c r="B17882" s="2" t="str">
        <f>HYPERLINK("http://ts.21cn.com/tousu/show/id/1349725","百度金融威胁我")</f>
        <v>百度金融威胁我</v>
      </c>
      <c r="C17882" s="2" t="s">
        <v>9</v>
      </c>
      <c r="D17882" s="2" t="s">
        <v>10</v>
      </c>
      <c r="E17882" s="2" t="str">
        <f>HYPERLINK("http://ts.21cn.com/tousu/show/id/1349725","http://ts.21cn.com/tousu/show/id/1349725")</f>
        <v>http://ts.21cn.com/tousu/show/id/1349725</v>
      </c>
      <c r="F17882" s="2" t="s">
        <v>11</v>
      </c>
      <c r="G17882" s="2" t="s">
        <v>9018</v>
      </c>
      <c r="H17882" s="2" t="s">
        <v>9019</v>
      </c>
    </row>
    <row r="17883" spans="1:8" ht="25.05" customHeight="1" x14ac:dyDescent="0.25">
      <c r="A17883" s="2" t="s">
        <v>8</v>
      </c>
      <c r="B17883" s="2" t="str">
        <f>HYPERLINK("http://ts.21cn.com/tousu/show/id/1349726","客服辱骂客户")</f>
        <v>客服辱骂客户</v>
      </c>
      <c r="C17883" s="2" t="s">
        <v>9</v>
      </c>
      <c r="D17883" s="2" t="s">
        <v>10</v>
      </c>
      <c r="E17883" s="2" t="str">
        <f>HYPERLINK("http://ts.21cn.com/tousu/show/id/1349726","http://ts.21cn.com/tousu/show/id/1349726")</f>
        <v>http://ts.21cn.com/tousu/show/id/1349726</v>
      </c>
      <c r="F17883" s="2" t="s">
        <v>11</v>
      </c>
      <c r="G17883" s="2" t="s">
        <v>9016</v>
      </c>
      <c r="H17883" s="2" t="s">
        <v>9017</v>
      </c>
    </row>
    <row r="17884" spans="1:8" ht="25.05" customHeight="1" x14ac:dyDescent="0.25">
      <c r="A17884" s="2" t="s">
        <v>8</v>
      </c>
      <c r="B17884" s="2" t="str">
        <f>HYPERLINK("http://ts.21cn.com/tousu/show/id/1349727","拉卡拉支付推销电话恶意骚扰")</f>
        <v>拉卡拉支付推销电话恶意骚扰</v>
      </c>
      <c r="C17884" s="2" t="s">
        <v>9</v>
      </c>
      <c r="D17884" s="2" t="s">
        <v>10</v>
      </c>
      <c r="E17884" s="2" t="str">
        <f>HYPERLINK("http://ts.21cn.com/tousu/show/id/1349727","http://ts.21cn.com/tousu/show/id/1349727")</f>
        <v>http://ts.21cn.com/tousu/show/id/1349727</v>
      </c>
      <c r="F17884" s="2" t="s">
        <v>11</v>
      </c>
      <c r="G17884" s="2" t="s">
        <v>9014</v>
      </c>
      <c r="H17884" s="2" t="s">
        <v>9015</v>
      </c>
    </row>
    <row r="17885" spans="1:8" ht="25.05" customHeight="1" x14ac:dyDescent="0.25">
      <c r="A17885" s="2" t="s">
        <v>8</v>
      </c>
      <c r="B17885" s="2" t="str">
        <f>HYPERLINK("http://ts.21cn.com/tousu/show/id/1349729","还款失败")</f>
        <v>还款失败</v>
      </c>
      <c r="C17885" s="2" t="s">
        <v>9</v>
      </c>
      <c r="D17885" s="2" t="s">
        <v>10</v>
      </c>
      <c r="E17885" s="2" t="str">
        <f>HYPERLINK("http://ts.21cn.com/tousu/show/id/1349729","http://ts.21cn.com/tousu/show/id/1349729")</f>
        <v>http://ts.21cn.com/tousu/show/id/1349729</v>
      </c>
      <c r="F17885" s="2" t="s">
        <v>11</v>
      </c>
      <c r="G17885" s="2" t="s">
        <v>9011</v>
      </c>
      <c r="H17885" s="2" t="s">
        <v>9012</v>
      </c>
    </row>
    <row r="17886" spans="1:8" ht="25.05" customHeight="1" x14ac:dyDescent="0.25">
      <c r="A17886" s="2" t="s">
        <v>8</v>
      </c>
      <c r="B17886" s="2" t="str">
        <f>HYPERLINK("http://ts.21cn.com/tousu/show/id/1349728","平安信用卡不退罚息")</f>
        <v>平安信用卡不退罚息</v>
      </c>
      <c r="C17886" s="2" t="s">
        <v>9</v>
      </c>
      <c r="D17886" s="2" t="s">
        <v>10</v>
      </c>
      <c r="E17886" s="2" t="str">
        <f>HYPERLINK("http://ts.21cn.com/tousu/show/id/1349728","http://ts.21cn.com/tousu/show/id/1349728")</f>
        <v>http://ts.21cn.com/tousu/show/id/1349728</v>
      </c>
      <c r="F17886" s="2" t="s">
        <v>11</v>
      </c>
      <c r="G17886" s="2" t="s">
        <v>9011</v>
      </c>
      <c r="H17886" s="2" t="s">
        <v>9013</v>
      </c>
    </row>
    <row r="17887" spans="1:8" ht="25.05" customHeight="1" x14ac:dyDescent="0.25">
      <c r="A17887" s="2" t="s">
        <v>8</v>
      </c>
      <c r="B17887" s="2" t="str">
        <f>HYPERLINK("http://ts.21cn.com/tousu/show/id/1349732","不予解决问题，利息逾期太高")</f>
        <v>不予解决问题，利息逾期太高</v>
      </c>
      <c r="C17887" s="2" t="s">
        <v>9</v>
      </c>
      <c r="D17887" s="2" t="s">
        <v>10</v>
      </c>
      <c r="E17887" s="2" t="str">
        <f>HYPERLINK("http://ts.21cn.com/tousu/show/id/1349732","http://ts.21cn.com/tousu/show/id/1349732")</f>
        <v>http://ts.21cn.com/tousu/show/id/1349732</v>
      </c>
      <c r="F17887" s="2" t="s">
        <v>11</v>
      </c>
      <c r="G17887" s="2" t="s">
        <v>9009</v>
      </c>
      <c r="H17887" s="2" t="s">
        <v>9010</v>
      </c>
    </row>
    <row r="17888" spans="1:8" ht="25.05" customHeight="1" x14ac:dyDescent="0.25">
      <c r="A17888" s="2" t="s">
        <v>8</v>
      </c>
      <c r="B17888" s="2" t="str">
        <f>HYPERLINK("http://ts.21cn.com/tousu/show/id/1349730","砍头息")</f>
        <v>砍头息</v>
      </c>
      <c r="C17888" s="2" t="s">
        <v>34</v>
      </c>
      <c r="D17888" s="2" t="s">
        <v>10</v>
      </c>
      <c r="E17888" s="2" t="str">
        <f>HYPERLINK("http://ts.21cn.com/tousu/show/id/1349730","http://ts.21cn.com/tousu/show/id/1349730")</f>
        <v>http://ts.21cn.com/tousu/show/id/1349730</v>
      </c>
      <c r="F17888" s="2" t="s">
        <v>11</v>
      </c>
      <c r="G17888" s="2" t="s">
        <v>9007</v>
      </c>
      <c r="H17888" s="2" t="s">
        <v>9008</v>
      </c>
    </row>
    <row r="17889" spans="1:8" ht="25.05" customHeight="1" x14ac:dyDescent="0.25">
      <c r="A17889" s="2" t="s">
        <v>8</v>
      </c>
      <c r="B17889" s="2" t="str">
        <f>HYPERLINK("http://ts.21cn.com/tousu/show/id/1349731","先花一亿元套路贷变向砍头息")</f>
        <v>先花一亿元套路贷变向砍头息</v>
      </c>
      <c r="C17889" s="2" t="s">
        <v>9</v>
      </c>
      <c r="D17889" s="2" t="s">
        <v>10</v>
      </c>
      <c r="E17889" s="2" t="str">
        <f>HYPERLINK("http://ts.21cn.com/tousu/show/id/1349731","http://ts.21cn.com/tousu/show/id/1349731")</f>
        <v>http://ts.21cn.com/tousu/show/id/1349731</v>
      </c>
      <c r="F17889" s="2" t="s">
        <v>11</v>
      </c>
      <c r="G17889" s="2" t="s">
        <v>9005</v>
      </c>
      <c r="H17889" s="2" t="s">
        <v>9006</v>
      </c>
    </row>
    <row r="17890" spans="1:8" ht="25.05" customHeight="1" x14ac:dyDescent="0.25">
      <c r="A17890" s="2" t="s">
        <v>8</v>
      </c>
      <c r="B17890" s="2" t="str">
        <f>HYPERLINK("http://ts.21cn.com/tousu/show/id/1349733","小花钱包暴力催收")</f>
        <v>小花钱包暴力催收</v>
      </c>
      <c r="C17890" s="2" t="s">
        <v>9</v>
      </c>
      <c r="D17890" s="2" t="s">
        <v>10</v>
      </c>
      <c r="E17890" s="2" t="str">
        <f>HYPERLINK("http://ts.21cn.com/tousu/show/id/1349733","http://ts.21cn.com/tousu/show/id/1349733")</f>
        <v>http://ts.21cn.com/tousu/show/id/1349733</v>
      </c>
      <c r="F17890" s="2" t="s">
        <v>11</v>
      </c>
      <c r="G17890" s="2" t="s">
        <v>9003</v>
      </c>
      <c r="H17890" s="2" t="s">
        <v>9004</v>
      </c>
    </row>
    <row r="17891" spans="1:8" ht="25.05" customHeight="1" x14ac:dyDescent="0.25">
      <c r="A17891" s="2" t="s">
        <v>8</v>
      </c>
      <c r="B17891" s="2" t="str">
        <f>HYPERLINK("http://ts.21cn.com/tousu/show/id/1349714","垃圾平台恶意不打款")</f>
        <v>垃圾平台恶意不打款</v>
      </c>
      <c r="C17891" s="2" t="s">
        <v>9</v>
      </c>
      <c r="D17891" s="2" t="s">
        <v>10</v>
      </c>
      <c r="E17891" s="2" t="str">
        <f>HYPERLINK("http://ts.21cn.com/tousu/show/id/1349714","http://ts.21cn.com/tousu/show/id/1349714")</f>
        <v>http://ts.21cn.com/tousu/show/id/1349714</v>
      </c>
      <c r="F17891" s="2" t="s">
        <v>11</v>
      </c>
      <c r="G17891" s="2" t="s">
        <v>9001</v>
      </c>
      <c r="H17891" s="2" t="s">
        <v>9002</v>
      </c>
    </row>
    <row r="17892" spans="1:8" ht="25.05" customHeight="1" x14ac:dyDescent="0.25">
      <c r="A17892" s="2" t="s">
        <v>8</v>
      </c>
      <c r="B17892" s="2" t="str">
        <f>HYPERLINK("http://ts.21cn.com/tousu/show/id/1349734","立借平台导流的钱置宝还款失败，套路贷")</f>
        <v>立借平台导流的钱置宝还款失败，套路贷</v>
      </c>
      <c r="C17892" s="2" t="s">
        <v>9</v>
      </c>
      <c r="D17892" s="2" t="s">
        <v>10</v>
      </c>
      <c r="E17892" s="2" t="str">
        <f>HYPERLINK("http://ts.21cn.com/tousu/show/id/1349734","http://ts.21cn.com/tousu/show/id/1349734")</f>
        <v>http://ts.21cn.com/tousu/show/id/1349734</v>
      </c>
      <c r="F17892" s="2" t="s">
        <v>11</v>
      </c>
      <c r="G17892" s="2" t="s">
        <v>8999</v>
      </c>
      <c r="H17892" s="2" t="s">
        <v>9000</v>
      </c>
    </row>
    <row r="17893" spans="1:8" ht="25.05" customHeight="1" x14ac:dyDescent="0.25">
      <c r="A17893" s="2" t="s">
        <v>8</v>
      </c>
      <c r="B17893" s="2" t="str">
        <f>HYPERLINK("http://ts.21cn.com/tousu/show/id/1349735","马上消费金融利息不符合国家规定")</f>
        <v>马上消费金融利息不符合国家规定</v>
      </c>
      <c r="C17893" s="2" t="s">
        <v>9</v>
      </c>
      <c r="D17893" s="2" t="s">
        <v>10</v>
      </c>
      <c r="E17893" s="2" t="str">
        <f>HYPERLINK("http://ts.21cn.com/tousu/show/id/1349735","http://ts.21cn.com/tousu/show/id/1349735")</f>
        <v>http://ts.21cn.com/tousu/show/id/1349735</v>
      </c>
      <c r="F17893" s="2" t="s">
        <v>11</v>
      </c>
      <c r="G17893" s="2" t="s">
        <v>8997</v>
      </c>
      <c r="H17893" s="2" t="s">
        <v>8998</v>
      </c>
    </row>
    <row r="17894" spans="1:8" ht="25.05" customHeight="1" x14ac:dyDescent="0.25">
      <c r="A17894" s="2" t="s">
        <v>8</v>
      </c>
      <c r="B17894" s="2" t="str">
        <f>HYPERLINK("http://ts.21cn.com/tousu/show/id/1349737","民生银行外包催收冒充公安机关人员违规催收")</f>
        <v>民生银行外包催收冒充公安机关人员违规催收</v>
      </c>
      <c r="C17894" s="2" t="s">
        <v>9</v>
      </c>
      <c r="D17894" s="2" t="s">
        <v>10</v>
      </c>
      <c r="E17894" s="2" t="str">
        <f>HYPERLINK("http://ts.21cn.com/tousu/show/id/1349737","http://ts.21cn.com/tousu/show/id/1349737")</f>
        <v>http://ts.21cn.com/tousu/show/id/1349737</v>
      </c>
      <c r="F17894" s="2" t="s">
        <v>11</v>
      </c>
      <c r="G17894" s="2" t="s">
        <v>8995</v>
      </c>
      <c r="H17894" s="2" t="s">
        <v>8996</v>
      </c>
    </row>
    <row r="17895" spans="1:8" ht="25.05" customHeight="1" x14ac:dyDescent="0.25">
      <c r="A17895" s="2" t="s">
        <v>8</v>
      </c>
      <c r="B17895" s="2" t="str">
        <f>HYPERLINK("http://ts.21cn.com/tousu/show/id/1349738","骚扰家人，暴力催收")</f>
        <v>骚扰家人，暴力催收</v>
      </c>
      <c r="C17895" s="2" t="s">
        <v>9</v>
      </c>
      <c r="D17895" s="2" t="s">
        <v>10</v>
      </c>
      <c r="E17895" s="2" t="str">
        <f>HYPERLINK("http://ts.21cn.com/tousu/show/id/1349738","http://ts.21cn.com/tousu/show/id/1349738")</f>
        <v>http://ts.21cn.com/tousu/show/id/1349738</v>
      </c>
      <c r="F17895" s="2" t="s">
        <v>11</v>
      </c>
      <c r="G17895" s="2" t="s">
        <v>8993</v>
      </c>
      <c r="H17895" s="2" t="s">
        <v>8994</v>
      </c>
    </row>
    <row r="17896" spans="1:8" ht="25.05" customHeight="1" x14ac:dyDescent="0.25">
      <c r="A17896" s="2" t="s">
        <v>8</v>
      </c>
      <c r="B17896" s="2" t="str">
        <f>HYPERLINK("http://ts.21cn.com/tousu/show/id/1349741","玖富万卡高利贷，阴阳合同")</f>
        <v>玖富万卡高利贷，阴阳合同</v>
      </c>
      <c r="C17896" s="2" t="s">
        <v>9</v>
      </c>
      <c r="D17896" s="2" t="s">
        <v>10</v>
      </c>
      <c r="E17896" s="2" t="str">
        <f>HYPERLINK("http://ts.21cn.com/tousu/show/id/1349741","http://ts.21cn.com/tousu/show/id/1349741")</f>
        <v>http://ts.21cn.com/tousu/show/id/1349741</v>
      </c>
      <c r="F17896" s="2" t="s">
        <v>11</v>
      </c>
      <c r="G17896" s="2" t="s">
        <v>8991</v>
      </c>
      <c r="H17896" s="2" t="s">
        <v>8992</v>
      </c>
    </row>
    <row r="17897" spans="1:8" ht="25.05" customHeight="1" x14ac:dyDescent="0.25">
      <c r="A17897" s="2" t="s">
        <v>8</v>
      </c>
      <c r="B17897" s="2" t="str">
        <f>HYPERLINK("http://ts.21cn.com/tousu/show/id/1349740","小浦优客私自扣除银行卡296元要求赔偿")</f>
        <v>小浦优客私自扣除银行卡296元要求赔偿</v>
      </c>
      <c r="C17897" s="2" t="s">
        <v>9</v>
      </c>
      <c r="D17897" s="2" t="s">
        <v>10</v>
      </c>
      <c r="E17897" s="2" t="str">
        <f>HYPERLINK("http://ts.21cn.com/tousu/show/id/1349740","http://ts.21cn.com/tousu/show/id/1349740")</f>
        <v>http://ts.21cn.com/tousu/show/id/1349740</v>
      </c>
      <c r="F17897" s="2" t="s">
        <v>11</v>
      </c>
      <c r="G17897" s="2" t="s">
        <v>8989</v>
      </c>
      <c r="H17897" s="2" t="s">
        <v>8990</v>
      </c>
    </row>
    <row r="17898" spans="1:8" ht="25.05" customHeight="1" x14ac:dyDescent="0.25">
      <c r="A17898" s="2" t="s">
        <v>8</v>
      </c>
      <c r="B17898" s="2" t="str">
        <f>HYPERLINK("http://ts.21cn.com/tousu/show/id/1349705","高额手续费认证费暴利平台")</f>
        <v>高额手续费认证费暴利平台</v>
      </c>
      <c r="C17898" s="2" t="s">
        <v>9</v>
      </c>
      <c r="D17898" s="2" t="s">
        <v>10</v>
      </c>
      <c r="E17898" s="2" t="str">
        <f>HYPERLINK("http://ts.21cn.com/tousu/show/id/1349705","http://ts.21cn.com/tousu/show/id/1349705")</f>
        <v>http://ts.21cn.com/tousu/show/id/1349705</v>
      </c>
      <c r="F17898" s="2" t="s">
        <v>11</v>
      </c>
      <c r="G17898" s="2" t="s">
        <v>8987</v>
      </c>
      <c r="H17898" s="2" t="s">
        <v>8988</v>
      </c>
    </row>
    <row r="17899" spans="1:8" ht="25.05" customHeight="1" x14ac:dyDescent="0.25">
      <c r="A17899" s="2" t="s">
        <v>8</v>
      </c>
      <c r="B17899" s="2" t="str">
        <f>HYPERLINK("http://ts.21cn.com/tousu/show/id/1349742","小当家还款怎么还")</f>
        <v>小当家还款怎么还</v>
      </c>
      <c r="C17899" s="2" t="s">
        <v>34</v>
      </c>
      <c r="D17899" s="2" t="s">
        <v>10</v>
      </c>
      <c r="E17899" s="2" t="str">
        <f>HYPERLINK("http://ts.21cn.com/tousu/show/id/1349742","http://ts.21cn.com/tousu/show/id/1349742")</f>
        <v>http://ts.21cn.com/tousu/show/id/1349742</v>
      </c>
      <c r="F17899" s="2" t="s">
        <v>11</v>
      </c>
      <c r="G17899" s="2" t="s">
        <v>8985</v>
      </c>
      <c r="H17899" s="2" t="s">
        <v>8986</v>
      </c>
    </row>
    <row r="17900" spans="1:8" ht="25.05" customHeight="1" x14ac:dyDescent="0.25">
      <c r="A17900" s="2" t="s">
        <v>8</v>
      </c>
      <c r="B17900" s="2" t="str">
        <f>HYPERLINK("http://ts.21cn.com/tousu/show/id/1349743","小浦优客未经同意扣款")</f>
        <v>小浦优客未经同意扣款</v>
      </c>
      <c r="C17900" s="2" t="s">
        <v>9</v>
      </c>
      <c r="D17900" s="2" t="s">
        <v>10</v>
      </c>
      <c r="E17900" s="2" t="str">
        <f>HYPERLINK("http://ts.21cn.com/tousu/show/id/1349743","http://ts.21cn.com/tousu/show/id/1349743")</f>
        <v>http://ts.21cn.com/tousu/show/id/1349743</v>
      </c>
      <c r="F17900" s="2" t="s">
        <v>11</v>
      </c>
      <c r="G17900" s="2" t="s">
        <v>8983</v>
      </c>
      <c r="H17900" s="2" t="s">
        <v>8984</v>
      </c>
    </row>
    <row r="17901" spans="1:8" ht="25.05" customHeight="1" x14ac:dyDescent="0.25">
      <c r="A17901" s="2" t="s">
        <v>8</v>
      </c>
      <c r="B17901" s="2" t="str">
        <f>HYPERLINK("http://ts.21cn.com/tousu/show/id/1349746","多宝分期还款失败")</f>
        <v>多宝分期还款失败</v>
      </c>
      <c r="C17901" s="2" t="s">
        <v>34</v>
      </c>
      <c r="D17901" s="2" t="s">
        <v>10</v>
      </c>
      <c r="E17901" s="2" t="str">
        <f>HYPERLINK("http://ts.21cn.com/tousu/show/id/1349746","http://ts.21cn.com/tousu/show/id/1349746")</f>
        <v>http://ts.21cn.com/tousu/show/id/1349746</v>
      </c>
      <c r="F17901" s="2" t="s">
        <v>11</v>
      </c>
      <c r="G17901" s="2" t="s">
        <v>8981</v>
      </c>
      <c r="H17901" s="2" t="s">
        <v>8982</v>
      </c>
    </row>
    <row r="17902" spans="1:8" ht="25.05" customHeight="1" x14ac:dyDescent="0.25">
      <c r="A17902" s="2" t="s">
        <v>8</v>
      </c>
      <c r="B17902" s="2" t="str">
        <f>HYPERLINK("http://ts.21cn.com/tousu/show/id/1349744","紧急联系人被短硬验证码轰炸")</f>
        <v>紧急联系人被短硬验证码轰炸</v>
      </c>
      <c r="C17902" s="2" t="s">
        <v>9</v>
      </c>
      <c r="D17902" s="2" t="s">
        <v>10</v>
      </c>
      <c r="E17902" s="2" t="str">
        <f>HYPERLINK("http://ts.21cn.com/tousu/show/id/1349744","http://ts.21cn.com/tousu/show/id/1349744")</f>
        <v>http://ts.21cn.com/tousu/show/id/1349744</v>
      </c>
      <c r="F17902" s="2" t="s">
        <v>11</v>
      </c>
      <c r="G17902" s="2" t="s">
        <v>8979</v>
      </c>
      <c r="H17902" s="2" t="s">
        <v>8980</v>
      </c>
    </row>
    <row r="17903" spans="1:8" ht="25.05" customHeight="1" x14ac:dyDescent="0.25">
      <c r="A17903" s="2" t="s">
        <v>8</v>
      </c>
      <c r="B17903" s="2" t="str">
        <f>HYPERLINK("http://ts.21cn.com/tousu/show/id/1349747","请求中信银行卡协商还款")</f>
        <v>请求中信银行卡协商还款</v>
      </c>
      <c r="C17903" s="2" t="s">
        <v>34</v>
      </c>
      <c r="D17903" s="2" t="s">
        <v>10</v>
      </c>
      <c r="E17903" s="2" t="str">
        <f>HYPERLINK("http://ts.21cn.com/tousu/show/id/1349747","http://ts.21cn.com/tousu/show/id/1349747")</f>
        <v>http://ts.21cn.com/tousu/show/id/1349747</v>
      </c>
      <c r="F17903" s="2" t="s">
        <v>11</v>
      </c>
      <c r="G17903" s="2" t="s">
        <v>8977</v>
      </c>
      <c r="H17903" s="2" t="s">
        <v>8978</v>
      </c>
    </row>
    <row r="17904" spans="1:8" ht="25.05" customHeight="1" x14ac:dyDescent="0.25">
      <c r="A17904" s="2" t="s">
        <v>8</v>
      </c>
      <c r="B17904" s="2" t="str">
        <f>HYPERLINK("http://ts.21cn.com/tousu/show/id/1349748","钱站暴力催收泄漏个人隐私，爆通讯录")</f>
        <v>钱站暴力催收泄漏个人隐私，爆通讯录</v>
      </c>
      <c r="C17904" s="2" t="s">
        <v>9</v>
      </c>
      <c r="D17904" s="2" t="s">
        <v>10</v>
      </c>
      <c r="E17904" s="2" t="str">
        <f>HYPERLINK("http://ts.21cn.com/tousu/show/id/1349748","http://ts.21cn.com/tousu/show/id/1349748")</f>
        <v>http://ts.21cn.com/tousu/show/id/1349748</v>
      </c>
      <c r="F17904" s="2" t="s">
        <v>11</v>
      </c>
      <c r="G17904" s="2" t="s">
        <v>8975</v>
      </c>
      <c r="H17904" s="2" t="s">
        <v>8976</v>
      </c>
    </row>
    <row r="17905" spans="1:8" ht="25.05" customHeight="1" x14ac:dyDescent="0.25">
      <c r="A17905" s="2" t="s">
        <v>8</v>
      </c>
      <c r="B17905" s="2" t="str">
        <f>HYPERLINK("http://ts.21cn.com/tousu/show/id/1349749","趣花分期恶意骚扰")</f>
        <v>趣花分期恶意骚扰</v>
      </c>
      <c r="C17905" s="2" t="s">
        <v>9</v>
      </c>
      <c r="D17905" s="2" t="s">
        <v>10</v>
      </c>
      <c r="E17905" s="2" t="str">
        <f>HYPERLINK("http://ts.21cn.com/tousu/show/id/1349749","http://ts.21cn.com/tousu/show/id/1349749")</f>
        <v>http://ts.21cn.com/tousu/show/id/1349749</v>
      </c>
      <c r="F17905" s="2" t="s">
        <v>11</v>
      </c>
      <c r="G17905" s="2" t="s">
        <v>8973</v>
      </c>
      <c r="H17905" s="2" t="s">
        <v>8974</v>
      </c>
    </row>
    <row r="17906" spans="1:8" ht="25.05" customHeight="1" x14ac:dyDescent="0.25">
      <c r="A17906" s="2" t="s">
        <v>8</v>
      </c>
      <c r="B17906" s="2" t="str">
        <f>HYPERLINK("http://ts.21cn.com/tousu/show/id/1349750","平安普惠非法催收")</f>
        <v>平安普惠非法催收</v>
      </c>
      <c r="C17906" s="2" t="s">
        <v>9</v>
      </c>
      <c r="D17906" s="2" t="s">
        <v>10</v>
      </c>
      <c r="E17906" s="2" t="str">
        <f>HYPERLINK("http://ts.21cn.com/tousu/show/id/1349750","http://ts.21cn.com/tousu/show/id/1349750")</f>
        <v>http://ts.21cn.com/tousu/show/id/1349750</v>
      </c>
      <c r="F17906" s="2" t="s">
        <v>11</v>
      </c>
      <c r="G17906" s="2" t="s">
        <v>8971</v>
      </c>
      <c r="H17906" s="2" t="s">
        <v>8972</v>
      </c>
    </row>
    <row r="17907" spans="1:8" ht="25.05" customHeight="1" x14ac:dyDescent="0.25">
      <c r="A17907" s="2" t="s">
        <v>8</v>
      </c>
      <c r="B17907" s="2" t="str">
        <f>HYPERLINK("http://ts.21cn.com/tousu/show/id/1349751","豆豆钱协商返钱迟迟不到账")</f>
        <v>豆豆钱协商返钱迟迟不到账</v>
      </c>
      <c r="C17907" s="2" t="s">
        <v>9</v>
      </c>
      <c r="D17907" s="2" t="s">
        <v>10</v>
      </c>
      <c r="E17907" s="2" t="str">
        <f>HYPERLINK("http://ts.21cn.com/tousu/show/id/1349751","http://ts.21cn.com/tousu/show/id/1349751")</f>
        <v>http://ts.21cn.com/tousu/show/id/1349751</v>
      </c>
      <c r="F17907" s="2" t="s">
        <v>11</v>
      </c>
      <c r="G17907" s="2" t="s">
        <v>8969</v>
      </c>
      <c r="H17907" s="2" t="s">
        <v>8970</v>
      </c>
    </row>
    <row r="17908" spans="1:8" ht="25.05" customHeight="1" x14ac:dyDescent="0.25">
      <c r="A17908" s="2" t="s">
        <v>8</v>
      </c>
      <c r="B17908" s="2" t="str">
        <f>HYPERLINK("http://ts.21cn.com/tousu/show/id/1349752","银行卡钱被盗扣")</f>
        <v>银行卡钱被盗扣</v>
      </c>
      <c r="C17908" s="2" t="s">
        <v>9</v>
      </c>
      <c r="D17908" s="2" t="s">
        <v>10</v>
      </c>
      <c r="E17908" s="2" t="str">
        <f>HYPERLINK("http://ts.21cn.com/tousu/show/id/1349752","http://ts.21cn.com/tousu/show/id/1349752")</f>
        <v>http://ts.21cn.com/tousu/show/id/1349752</v>
      </c>
      <c r="F17908" s="2" t="s">
        <v>11</v>
      </c>
      <c r="G17908" s="2" t="s">
        <v>8967</v>
      </c>
      <c r="H17908" s="2" t="s">
        <v>8968</v>
      </c>
    </row>
    <row r="17909" spans="1:8" ht="25.05" customHeight="1" x14ac:dyDescent="0.25">
      <c r="A17909" s="2" t="s">
        <v>8</v>
      </c>
      <c r="B17909" s="2" t="str">
        <f>HYPERLINK("http://ts.21cn.com/tousu/show/id/1349758","交易猫仲裁客服恶意仲裁")</f>
        <v>交易猫仲裁客服恶意仲裁</v>
      </c>
      <c r="C17909" s="2" t="s">
        <v>9</v>
      </c>
      <c r="D17909" s="2" t="s">
        <v>10</v>
      </c>
      <c r="E17909" s="2" t="str">
        <f>HYPERLINK("http://ts.21cn.com/tousu/show/id/1349758","http://ts.21cn.com/tousu/show/id/1349758")</f>
        <v>http://ts.21cn.com/tousu/show/id/1349758</v>
      </c>
      <c r="F17909" s="2" t="s">
        <v>11</v>
      </c>
      <c r="G17909" s="2" t="s">
        <v>8965</v>
      </c>
      <c r="H17909" s="2" t="s">
        <v>8966</v>
      </c>
    </row>
    <row r="17910" spans="1:8" ht="25.05" customHeight="1" x14ac:dyDescent="0.25">
      <c r="A17910" s="2" t="s">
        <v>8</v>
      </c>
      <c r="B17910" s="2" t="str">
        <f>HYPERLINK("http://ts.21cn.com/tousu/show/id/1349754","没有人打电话协商一直催收不停")</f>
        <v>没有人打电话协商一直催收不停</v>
      </c>
      <c r="C17910" s="2" t="s">
        <v>9</v>
      </c>
      <c r="D17910" s="2" t="s">
        <v>10</v>
      </c>
      <c r="E17910" s="2" t="str">
        <f>HYPERLINK("http://ts.21cn.com/tousu/show/id/1349754","http://ts.21cn.com/tousu/show/id/1349754")</f>
        <v>http://ts.21cn.com/tousu/show/id/1349754</v>
      </c>
      <c r="F17910" s="2" t="s">
        <v>11</v>
      </c>
      <c r="G17910" s="2" t="s">
        <v>8963</v>
      </c>
      <c r="H17910" s="2" t="s">
        <v>8964</v>
      </c>
    </row>
    <row r="17911" spans="1:8" ht="25.05" customHeight="1" x14ac:dyDescent="0.25">
      <c r="A17911" s="2" t="s">
        <v>8</v>
      </c>
      <c r="B17911" s="2" t="str">
        <f>HYPERLINK("http://ts.21cn.com/tousu/show/id/1349755","凡普信砍头息，高利贷")</f>
        <v>凡普信砍头息，高利贷</v>
      </c>
      <c r="C17911" s="2" t="s">
        <v>9</v>
      </c>
      <c r="D17911" s="2" t="s">
        <v>10</v>
      </c>
      <c r="E17911" s="2" t="str">
        <f>HYPERLINK("http://ts.21cn.com/tousu/show/id/1349755","http://ts.21cn.com/tousu/show/id/1349755")</f>
        <v>http://ts.21cn.com/tousu/show/id/1349755</v>
      </c>
      <c r="F17911" s="2" t="s">
        <v>11</v>
      </c>
      <c r="G17911" s="2" t="s">
        <v>8961</v>
      </c>
      <c r="H17911" s="2" t="s">
        <v>8962</v>
      </c>
    </row>
    <row r="17912" spans="1:8" ht="25.05" customHeight="1" x14ac:dyDescent="0.25">
      <c r="A17912" s="2" t="s">
        <v>8</v>
      </c>
      <c r="B17912" s="2" t="str">
        <f>HYPERLINK("http://ts.21cn.com/tousu/show/id/1349756","微粒贷暴力催收")</f>
        <v>微粒贷暴力催收</v>
      </c>
      <c r="C17912" s="2" t="s">
        <v>9</v>
      </c>
      <c r="D17912" s="2" t="s">
        <v>10</v>
      </c>
      <c r="E17912" s="2" t="str">
        <f>HYPERLINK("http://ts.21cn.com/tousu/show/id/1349756","http://ts.21cn.com/tousu/show/id/1349756")</f>
        <v>http://ts.21cn.com/tousu/show/id/1349756</v>
      </c>
      <c r="F17912" s="2" t="s">
        <v>11</v>
      </c>
      <c r="G17912" s="2" t="s">
        <v>8959</v>
      </c>
      <c r="H17912" s="2" t="s">
        <v>8960</v>
      </c>
    </row>
    <row r="17913" spans="1:8" ht="25.05" customHeight="1" x14ac:dyDescent="0.25">
      <c r="A17913" s="2" t="s">
        <v>8</v>
      </c>
      <c r="B17913" s="2" t="str">
        <f>HYPERLINK("http://ts.21cn.com/tousu/show/id/1349757","维信金科的维信卡卡贷产品未经本人允许强制下款")</f>
        <v>维信金科的维信卡卡贷产品未经本人允许强制下款</v>
      </c>
      <c r="C17913" s="2" t="s">
        <v>9</v>
      </c>
      <c r="D17913" s="2" t="s">
        <v>10</v>
      </c>
      <c r="E17913" s="2" t="str">
        <f>HYPERLINK("http://ts.21cn.com/tousu/show/id/1349757","http://ts.21cn.com/tousu/show/id/1349757")</f>
        <v>http://ts.21cn.com/tousu/show/id/1349757</v>
      </c>
      <c r="F17913" s="2" t="s">
        <v>11</v>
      </c>
      <c r="G17913" s="2" t="s">
        <v>8957</v>
      </c>
      <c r="H17913" s="2" t="s">
        <v>8958</v>
      </c>
    </row>
    <row r="17914" spans="1:8" ht="25.05" customHeight="1" x14ac:dyDescent="0.25">
      <c r="A17914" s="2" t="s">
        <v>8</v>
      </c>
      <c r="B17914" s="2" t="str">
        <f>HYPERLINK("http://ts.21cn.com/tousu/show/id/1349759","你我贷高利贷暴力催收")</f>
        <v>你我贷高利贷暴力催收</v>
      </c>
      <c r="C17914" s="2" t="s">
        <v>9</v>
      </c>
      <c r="D17914" s="2" t="s">
        <v>10</v>
      </c>
      <c r="E17914" s="2" t="str">
        <f>HYPERLINK("http://ts.21cn.com/tousu/show/id/1349759","http://ts.21cn.com/tousu/show/id/1349759")</f>
        <v>http://ts.21cn.com/tousu/show/id/1349759</v>
      </c>
      <c r="F17914" s="2" t="s">
        <v>11</v>
      </c>
      <c r="G17914" s="2" t="s">
        <v>8955</v>
      </c>
      <c r="H17914" s="2" t="s">
        <v>8956</v>
      </c>
    </row>
    <row r="17915" spans="1:8" ht="25.05" customHeight="1" x14ac:dyDescent="0.25">
      <c r="A17915" s="2" t="s">
        <v>8</v>
      </c>
      <c r="B17915" s="2" t="str">
        <f>HYPERLINK("http://ts.21cn.com/tousu/show/id/1349761","恐吓辱骂")</f>
        <v>恐吓辱骂</v>
      </c>
      <c r="C17915" s="2" t="s">
        <v>9</v>
      </c>
      <c r="D17915" s="2" t="s">
        <v>10</v>
      </c>
      <c r="E17915" s="2" t="str">
        <f>HYPERLINK("http://ts.21cn.com/tousu/show/id/1349761","http://ts.21cn.com/tousu/show/id/1349761")</f>
        <v>http://ts.21cn.com/tousu/show/id/1349761</v>
      </c>
      <c r="F17915" s="2" t="s">
        <v>11</v>
      </c>
      <c r="G17915" s="2" t="s">
        <v>8953</v>
      </c>
      <c r="H17915" s="2" t="s">
        <v>8954</v>
      </c>
    </row>
    <row r="17916" spans="1:8" ht="25.05" customHeight="1" x14ac:dyDescent="0.25">
      <c r="A17916" s="2" t="s">
        <v>8</v>
      </c>
      <c r="B17916" s="2" t="str">
        <f>HYPERLINK("http://ts.21cn.com/tousu/show/id/1349762","捷信忽悠消费者")</f>
        <v>捷信忽悠消费者</v>
      </c>
      <c r="C17916" s="2" t="s">
        <v>9</v>
      </c>
      <c r="D17916" s="2" t="s">
        <v>10</v>
      </c>
      <c r="E17916" s="2" t="str">
        <f>HYPERLINK("http://ts.21cn.com/tousu/show/id/1349762","http://ts.21cn.com/tousu/show/id/1349762")</f>
        <v>http://ts.21cn.com/tousu/show/id/1349762</v>
      </c>
      <c r="F17916" s="2" t="s">
        <v>11</v>
      </c>
      <c r="G17916" s="2" t="s">
        <v>8951</v>
      </c>
      <c r="H17916" s="2" t="s">
        <v>8952</v>
      </c>
    </row>
    <row r="17917" spans="1:8" ht="25.05" customHeight="1" x14ac:dyDescent="0.25">
      <c r="A17917" s="2" t="s">
        <v>8</v>
      </c>
      <c r="B17917" s="2" t="str">
        <f>HYPERLINK("http://ts.21cn.com/tousu/show/id/1349739","山东济宁朝夕情感咨询缴费后，电话打不通，没合同，没发票，不给退款，先要求退款")</f>
        <v>山东济宁朝夕情感咨询缴费后，电话打不通，没合同，没发票，不给退款，先要求退款</v>
      </c>
      <c r="C17917" s="2" t="s">
        <v>9</v>
      </c>
      <c r="D17917" s="2" t="s">
        <v>10</v>
      </c>
      <c r="E17917" s="2" t="str">
        <f>HYPERLINK("http://ts.21cn.com/tousu/show/id/1349739","http://ts.21cn.com/tousu/show/id/1349739")</f>
        <v>http://ts.21cn.com/tousu/show/id/1349739</v>
      </c>
      <c r="F17917" s="2" t="s">
        <v>11</v>
      </c>
      <c r="G17917" s="2" t="s">
        <v>8949</v>
      </c>
      <c r="H17917" s="2" t="s">
        <v>8950</v>
      </c>
    </row>
    <row r="17918" spans="1:8" ht="25.05" customHeight="1" x14ac:dyDescent="0.25">
      <c r="A17918" s="2" t="s">
        <v>8</v>
      </c>
      <c r="B17918" s="2" t="str">
        <f>HYPERLINK("http://ts.21cn.com/tousu/show/id/1349139","富友支付代扣平台验证费不退款")</f>
        <v>富友支付代扣平台验证费不退款</v>
      </c>
      <c r="C17918" s="2" t="s">
        <v>9</v>
      </c>
      <c r="D17918" s="2" t="s">
        <v>10</v>
      </c>
      <c r="E17918" s="2" t="str">
        <f>HYPERLINK("http://ts.21cn.com/tousu/show/id/1349139","http://ts.21cn.com/tousu/show/id/1349139")</f>
        <v>http://ts.21cn.com/tousu/show/id/1349139</v>
      </c>
      <c r="F17918" s="2" t="s">
        <v>11</v>
      </c>
      <c r="G17918" s="2" t="s">
        <v>8947</v>
      </c>
      <c r="H17918" s="2" t="s">
        <v>8948</v>
      </c>
    </row>
    <row r="17919" spans="1:8" ht="25.05" customHeight="1" x14ac:dyDescent="0.25">
      <c r="A17919" s="2" t="s">
        <v>8</v>
      </c>
      <c r="B17919" s="2" t="str">
        <f>HYPERLINK("http://ts.21cn.com/tousu/show/id/1349764","恒易贷在还款日恶意催收骚扰家人，恐吓！")</f>
        <v>恒易贷在还款日恶意催收骚扰家人，恐吓！</v>
      </c>
      <c r="C17919" s="2" t="s">
        <v>9</v>
      </c>
      <c r="D17919" s="2" t="s">
        <v>10</v>
      </c>
      <c r="E17919" s="2" t="str">
        <f>HYPERLINK("http://ts.21cn.com/tousu/show/id/1349764","http://ts.21cn.com/tousu/show/id/1349764")</f>
        <v>http://ts.21cn.com/tousu/show/id/1349764</v>
      </c>
      <c r="F17919" s="2" t="s">
        <v>11</v>
      </c>
      <c r="G17919" s="2" t="s">
        <v>8945</v>
      </c>
      <c r="H17919" s="2" t="s">
        <v>8946</v>
      </c>
    </row>
    <row r="17920" spans="1:8" ht="25.05" customHeight="1" x14ac:dyDescent="0.25">
      <c r="A17920" s="2" t="s">
        <v>8</v>
      </c>
      <c r="B17920" s="2" t="str">
        <f>HYPERLINK("http://ts.21cn.com/tousu/show/id/1349765","拇指下款恶意扣费，来回踢皮球")</f>
        <v>拇指下款恶意扣费，来回踢皮球</v>
      </c>
      <c r="C17920" s="2" t="s">
        <v>9</v>
      </c>
      <c r="D17920" s="2" t="s">
        <v>10</v>
      </c>
      <c r="E17920" s="2" t="str">
        <f>HYPERLINK("http://ts.21cn.com/tousu/show/id/1349765","http://ts.21cn.com/tousu/show/id/1349765")</f>
        <v>http://ts.21cn.com/tousu/show/id/1349765</v>
      </c>
      <c r="F17920" s="2" t="s">
        <v>11</v>
      </c>
      <c r="G17920" s="2" t="s">
        <v>8943</v>
      </c>
      <c r="H17920" s="2" t="s">
        <v>8944</v>
      </c>
    </row>
    <row r="17921" spans="1:8" ht="25.05" customHeight="1" x14ac:dyDescent="0.25">
      <c r="A17921" s="2" t="s">
        <v>8</v>
      </c>
      <c r="B17921" s="2" t="str">
        <f>HYPERLINK("http://ts.21cn.com/tousu/show/id/1349766","居家易贷高利贷")</f>
        <v>居家易贷高利贷</v>
      </c>
      <c r="C17921" s="2" t="s">
        <v>9</v>
      </c>
      <c r="D17921" s="2" t="s">
        <v>10</v>
      </c>
      <c r="E17921" s="2" t="str">
        <f>HYPERLINK("http://ts.21cn.com/tousu/show/id/1349766","http://ts.21cn.com/tousu/show/id/1349766")</f>
        <v>http://ts.21cn.com/tousu/show/id/1349766</v>
      </c>
      <c r="F17921" s="2" t="s">
        <v>11</v>
      </c>
      <c r="G17921" s="2" t="s">
        <v>8941</v>
      </c>
      <c r="H17921" s="2" t="s">
        <v>8942</v>
      </c>
    </row>
    <row r="17922" spans="1:8" ht="25.05" customHeight="1" x14ac:dyDescent="0.25">
      <c r="A17922" s="2" t="s">
        <v>8</v>
      </c>
      <c r="B17922" s="2" t="str">
        <f>HYPERLINK("http://ts.21cn.com/tousu/show/id/1349768","网络赌博")</f>
        <v>网络赌博</v>
      </c>
      <c r="C17922" s="2" t="s">
        <v>9</v>
      </c>
      <c r="D17922" s="2" t="s">
        <v>10</v>
      </c>
      <c r="E17922" s="2" t="str">
        <f>HYPERLINK("http://ts.21cn.com/tousu/show/id/1349768","http://ts.21cn.com/tousu/show/id/1349768")</f>
        <v>http://ts.21cn.com/tousu/show/id/1349768</v>
      </c>
      <c r="F17922" s="2" t="s">
        <v>11</v>
      </c>
      <c r="G17922" s="2" t="s">
        <v>8939</v>
      </c>
      <c r="H17922" s="2" t="s">
        <v>8940</v>
      </c>
    </row>
    <row r="17923" spans="1:8" ht="25.05" customHeight="1" x14ac:dyDescent="0.25">
      <c r="A17923" s="2" t="s">
        <v>8</v>
      </c>
      <c r="B17923" s="2" t="str">
        <f>HYPERLINK("http://ts.21cn.com/tousu/show/id/1349769","被暴力催收")</f>
        <v>被暴力催收</v>
      </c>
      <c r="C17923" s="2" t="s">
        <v>9</v>
      </c>
      <c r="D17923" s="2" t="s">
        <v>10</v>
      </c>
      <c r="E17923" s="2" t="str">
        <f>HYPERLINK("http://ts.21cn.com/tousu/show/id/1349769","http://ts.21cn.com/tousu/show/id/1349769")</f>
        <v>http://ts.21cn.com/tousu/show/id/1349769</v>
      </c>
      <c r="F17923" s="2" t="s">
        <v>11</v>
      </c>
      <c r="G17923" s="2" t="s">
        <v>8937</v>
      </c>
      <c r="H17923" s="2" t="s">
        <v>8938</v>
      </c>
    </row>
    <row r="17924" spans="1:8" ht="25.05" customHeight="1" x14ac:dyDescent="0.25">
      <c r="A17924" s="2" t="s">
        <v>8</v>
      </c>
      <c r="B17924" s="2" t="str">
        <f>HYPERLINK("http://ts.21cn.com/tousu/show/id/1349770","宜人贷公司高额砍头息，高额逾期费，诱导还款后不销账")</f>
        <v>宜人贷公司高额砍头息，高额逾期费，诱导还款后不销账</v>
      </c>
      <c r="C17924" s="2" t="s">
        <v>9</v>
      </c>
      <c r="D17924" s="2" t="s">
        <v>10</v>
      </c>
      <c r="E17924" s="2" t="str">
        <f>HYPERLINK("http://ts.21cn.com/tousu/show/id/1349770","http://ts.21cn.com/tousu/show/id/1349770")</f>
        <v>http://ts.21cn.com/tousu/show/id/1349770</v>
      </c>
      <c r="F17924" s="2" t="s">
        <v>11</v>
      </c>
      <c r="G17924" s="2" t="s">
        <v>8935</v>
      </c>
      <c r="H17924" s="2" t="s">
        <v>8936</v>
      </c>
    </row>
    <row r="17925" spans="1:8" ht="25.05" customHeight="1" x14ac:dyDescent="0.25">
      <c r="A17925" s="2" t="s">
        <v>8</v>
      </c>
      <c r="B17925" s="2" t="str">
        <f>HYPERLINK("http://ts.21cn.com/tousu/show/id/1349771","月光侠钱站恶意催收威胁上门催收")</f>
        <v>月光侠钱站恶意催收威胁上门催收</v>
      </c>
      <c r="C17925" s="2" t="s">
        <v>9</v>
      </c>
      <c r="D17925" s="2" t="s">
        <v>10</v>
      </c>
      <c r="E17925" s="2" t="str">
        <f>HYPERLINK("http://ts.21cn.com/tousu/show/id/1349771","http://ts.21cn.com/tousu/show/id/1349771")</f>
        <v>http://ts.21cn.com/tousu/show/id/1349771</v>
      </c>
      <c r="F17925" s="2" t="s">
        <v>11</v>
      </c>
      <c r="G17925" s="2" t="s">
        <v>8933</v>
      </c>
      <c r="H17925" s="2" t="s">
        <v>8934</v>
      </c>
    </row>
    <row r="17926" spans="1:8" ht="25.05" customHeight="1" x14ac:dyDescent="0.25">
      <c r="A17926" s="2" t="s">
        <v>8</v>
      </c>
      <c r="B17926" s="2" t="str">
        <f>HYPERLINK("http://ts.21cn.com/tousu/show/id/1349736","快闪卡贷高利贷，暴力催收骚扰，合同有问题")</f>
        <v>快闪卡贷高利贷，暴力催收骚扰，合同有问题</v>
      </c>
      <c r="C17926" s="2" t="s">
        <v>9</v>
      </c>
      <c r="D17926" s="2" t="s">
        <v>10</v>
      </c>
      <c r="E17926" s="2" t="str">
        <f>HYPERLINK("http://ts.21cn.com/tousu/show/id/1349736","http://ts.21cn.com/tousu/show/id/1349736")</f>
        <v>http://ts.21cn.com/tousu/show/id/1349736</v>
      </c>
      <c r="F17926" s="2" t="s">
        <v>11</v>
      </c>
      <c r="G17926" s="2" t="s">
        <v>8931</v>
      </c>
      <c r="H17926" s="2" t="s">
        <v>8932</v>
      </c>
    </row>
    <row r="17927" spans="1:8" ht="25.05" customHeight="1" x14ac:dyDescent="0.25">
      <c r="A17927" s="2" t="s">
        <v>8</v>
      </c>
      <c r="B17927" s="2" t="str">
        <f>HYPERLINK("http://ts.21cn.com/tousu/show/id/1349772","爆了通讯录，现在威胁上门催收")</f>
        <v>爆了通讯录，现在威胁上门催收</v>
      </c>
      <c r="C17927" s="2" t="s">
        <v>9</v>
      </c>
      <c r="D17927" s="2" t="s">
        <v>10</v>
      </c>
      <c r="E17927" s="2" t="str">
        <f>HYPERLINK("http://ts.21cn.com/tousu/show/id/1349772","http://ts.21cn.com/tousu/show/id/1349772")</f>
        <v>http://ts.21cn.com/tousu/show/id/1349772</v>
      </c>
      <c r="F17927" s="2" t="s">
        <v>11</v>
      </c>
      <c r="G17927" s="2" t="s">
        <v>8929</v>
      </c>
      <c r="H17927" s="2" t="s">
        <v>8930</v>
      </c>
    </row>
    <row r="17928" spans="1:8" ht="25.05" customHeight="1" x14ac:dyDescent="0.25">
      <c r="A17928" s="2" t="s">
        <v>8</v>
      </c>
      <c r="B17928" s="2" t="str">
        <f>HYPERLINK("http://ts.21cn.com/tousu/show/id/1349773","闪银砍头息服务费，超高逾期费")</f>
        <v>闪银砍头息服务费，超高逾期费</v>
      </c>
      <c r="C17928" s="2" t="s">
        <v>9</v>
      </c>
      <c r="D17928" s="2" t="s">
        <v>10</v>
      </c>
      <c r="E17928" s="2" t="str">
        <f>HYPERLINK("http://ts.21cn.com/tousu/show/id/1349773","http://ts.21cn.com/tousu/show/id/1349773")</f>
        <v>http://ts.21cn.com/tousu/show/id/1349773</v>
      </c>
      <c r="F17928" s="2" t="s">
        <v>11</v>
      </c>
      <c r="G17928" s="2" t="s">
        <v>8927</v>
      </c>
      <c r="H17928" s="2" t="s">
        <v>8928</v>
      </c>
    </row>
    <row r="17929" spans="1:8" ht="25.05" customHeight="1" x14ac:dyDescent="0.25">
      <c r="A17929" s="2" t="s">
        <v>8</v>
      </c>
      <c r="B17929" s="2" t="str">
        <f>HYPERLINK("http://ts.21cn.com/tousu/show/id/1349774","高利贷砍头息")</f>
        <v>高利贷砍头息</v>
      </c>
      <c r="C17929" s="2" t="s">
        <v>9</v>
      </c>
      <c r="D17929" s="2" t="s">
        <v>10</v>
      </c>
      <c r="E17929" s="2" t="str">
        <f>HYPERLINK("http://ts.21cn.com/tousu/show/id/1349774","http://ts.21cn.com/tousu/show/id/1349774")</f>
        <v>http://ts.21cn.com/tousu/show/id/1349774</v>
      </c>
      <c r="F17929" s="2" t="s">
        <v>11</v>
      </c>
      <c r="G17929" s="2" t="s">
        <v>8925</v>
      </c>
      <c r="H17929" s="2" t="s">
        <v>8926</v>
      </c>
    </row>
    <row r="17930" spans="1:8" ht="25.05" customHeight="1" x14ac:dyDescent="0.25">
      <c r="A17930" s="2" t="s">
        <v>8</v>
      </c>
      <c r="B17930" s="2" t="str">
        <f>HYPERLINK("http://ts.21cn.com/tousu/show/id/1349776","深圳市前海如期科技有限公司还款时里面有收取高额技术服务费")</f>
        <v>深圳市前海如期科技有限公司还款时里面有收取高额技术服务费</v>
      </c>
      <c r="C17930" s="2" t="s">
        <v>9</v>
      </c>
      <c r="D17930" s="2" t="s">
        <v>10</v>
      </c>
      <c r="E17930" s="2" t="str">
        <f>HYPERLINK("http://ts.21cn.com/tousu/show/id/1349776","http://ts.21cn.com/tousu/show/id/1349776")</f>
        <v>http://ts.21cn.com/tousu/show/id/1349776</v>
      </c>
      <c r="F17930" s="2" t="s">
        <v>11</v>
      </c>
      <c r="G17930" s="2" t="s">
        <v>8923</v>
      </c>
      <c r="H17930" s="2" t="s">
        <v>8924</v>
      </c>
    </row>
    <row r="17931" spans="1:8" ht="25.05" customHeight="1" x14ac:dyDescent="0.25">
      <c r="A17931" s="2" t="s">
        <v>8</v>
      </c>
      <c r="B17931" s="2" t="str">
        <f>HYPERLINK("http://ts.21cn.com/tousu/show/id/1349775","及贷暴力催收")</f>
        <v>及贷暴力催收</v>
      </c>
      <c r="C17931" s="2" t="s">
        <v>9</v>
      </c>
      <c r="D17931" s="2" t="s">
        <v>10</v>
      </c>
      <c r="E17931" s="2" t="str">
        <f>HYPERLINK("http://ts.21cn.com/tousu/show/id/1349775","http://ts.21cn.com/tousu/show/id/1349775")</f>
        <v>http://ts.21cn.com/tousu/show/id/1349775</v>
      </c>
      <c r="F17931" s="2" t="s">
        <v>11</v>
      </c>
      <c r="G17931" s="2" t="s">
        <v>8921</v>
      </c>
      <c r="H17931" s="2" t="s">
        <v>8922</v>
      </c>
    </row>
    <row r="17932" spans="1:8" ht="25.05" customHeight="1" x14ac:dyDescent="0.25">
      <c r="A17932" s="2" t="s">
        <v>8</v>
      </c>
      <c r="B17932" s="2" t="str">
        <f>HYPERLINK("http://ts.21cn.com/tousu/show/id/1349777","月光侠分期放款太慢")</f>
        <v>月光侠分期放款太慢</v>
      </c>
      <c r="C17932" s="2" t="s">
        <v>9</v>
      </c>
      <c r="D17932" s="2" t="s">
        <v>10</v>
      </c>
      <c r="E17932" s="2" t="str">
        <f>HYPERLINK("http://ts.21cn.com/tousu/show/id/1349777","http://ts.21cn.com/tousu/show/id/1349777")</f>
        <v>http://ts.21cn.com/tousu/show/id/1349777</v>
      </c>
      <c r="F17932" s="2" t="s">
        <v>11</v>
      </c>
      <c r="G17932" s="2" t="s">
        <v>8919</v>
      </c>
      <c r="H17932" s="2" t="s">
        <v>8920</v>
      </c>
    </row>
    <row r="17933" spans="1:8" ht="25.05" customHeight="1" x14ac:dyDescent="0.25">
      <c r="A17933" s="2" t="s">
        <v>8</v>
      </c>
      <c r="B17933" s="2" t="str">
        <f>HYPERLINK("http://ts.21cn.com/tousu/show/id/1349779","360借条骚扰联系人并泄漏通讯录暴力催收")</f>
        <v>360借条骚扰联系人并泄漏通讯录暴力催收</v>
      </c>
      <c r="C17933" s="2" t="s">
        <v>9</v>
      </c>
      <c r="D17933" s="2" t="s">
        <v>10</v>
      </c>
      <c r="E17933" s="2" t="str">
        <f>HYPERLINK("http://ts.21cn.com/tousu/show/id/1349779","http://ts.21cn.com/tousu/show/id/1349779")</f>
        <v>http://ts.21cn.com/tousu/show/id/1349779</v>
      </c>
      <c r="F17933" s="2" t="s">
        <v>11</v>
      </c>
      <c r="G17933" s="2" t="s">
        <v>8917</v>
      </c>
      <c r="H17933" s="2" t="s">
        <v>8918</v>
      </c>
    </row>
    <row r="17934" spans="1:8" ht="25.05" customHeight="1" x14ac:dyDescent="0.25">
      <c r="A17934" s="2" t="s">
        <v>8</v>
      </c>
      <c r="B17934" s="2" t="str">
        <f>HYPERLINK("http://ts.21cn.com/tousu/show/id/1349778","上海造艺网络无胡扣款，多次追回无效")</f>
        <v>上海造艺网络无胡扣款，多次追回无效</v>
      </c>
      <c r="C17934" s="2" t="s">
        <v>9</v>
      </c>
      <c r="D17934" s="2" t="s">
        <v>10</v>
      </c>
      <c r="E17934" s="2" t="str">
        <f>HYPERLINK("http://ts.21cn.com/tousu/show/id/1349778","http://ts.21cn.com/tousu/show/id/1349778")</f>
        <v>http://ts.21cn.com/tousu/show/id/1349778</v>
      </c>
      <c r="F17934" s="2" t="s">
        <v>11</v>
      </c>
      <c r="G17934" s="2" t="s">
        <v>8915</v>
      </c>
      <c r="H17934" s="2" t="s">
        <v>8916</v>
      </c>
    </row>
    <row r="17935" spans="1:8" ht="25.05" customHeight="1" x14ac:dyDescent="0.25">
      <c r="A17935" s="2" t="s">
        <v>8</v>
      </c>
      <c r="B17935" s="2" t="str">
        <f>HYPERLINK("http://ts.21cn.com/tousu/show/id/1349760","壹心分期高额砍头息")</f>
        <v>壹心分期高额砍头息</v>
      </c>
      <c r="C17935" s="2" t="s">
        <v>9</v>
      </c>
      <c r="D17935" s="2" t="s">
        <v>10</v>
      </c>
      <c r="E17935" s="2" t="str">
        <f>HYPERLINK("http://ts.21cn.com/tousu/show/id/1349760","http://ts.21cn.com/tousu/show/id/1349760")</f>
        <v>http://ts.21cn.com/tousu/show/id/1349760</v>
      </c>
      <c r="F17935" s="2" t="s">
        <v>11</v>
      </c>
      <c r="G17935" s="2" t="s">
        <v>8913</v>
      </c>
      <c r="H17935" s="2" t="s">
        <v>8914</v>
      </c>
    </row>
    <row r="17936" spans="1:8" ht="25.05" customHeight="1" x14ac:dyDescent="0.25">
      <c r="A17936" s="2" t="s">
        <v>8</v>
      </c>
      <c r="B17936" s="2" t="str">
        <f>HYPERLINK("http://ts.21cn.com/tousu/show/id/1349780","恒昌公司旗下恒易贷合同金额远高于实际借款金额")</f>
        <v>恒昌公司旗下恒易贷合同金额远高于实际借款金额</v>
      </c>
      <c r="C17936" s="2" t="s">
        <v>9</v>
      </c>
      <c r="D17936" s="2" t="s">
        <v>10</v>
      </c>
      <c r="E17936" s="2" t="str">
        <f>HYPERLINK("http://ts.21cn.com/tousu/show/id/1349780","http://ts.21cn.com/tousu/show/id/1349780")</f>
        <v>http://ts.21cn.com/tousu/show/id/1349780</v>
      </c>
      <c r="F17936" s="2" t="s">
        <v>11</v>
      </c>
      <c r="G17936" s="2" t="s">
        <v>8911</v>
      </c>
      <c r="H17936" s="2" t="s">
        <v>8912</v>
      </c>
    </row>
    <row r="17937" spans="1:8" ht="25.05" customHeight="1" x14ac:dyDescent="0.25">
      <c r="A17937" s="2" t="s">
        <v>8</v>
      </c>
      <c r="B17937" s="2" t="str">
        <f>HYPERLINK("http://ts.21cn.com/tousu/show/id/1349781","高息网贷暴力催收及威胁")</f>
        <v>高息网贷暴力催收及威胁</v>
      </c>
      <c r="C17937" s="2" t="s">
        <v>9</v>
      </c>
      <c r="D17937" s="2" t="s">
        <v>10</v>
      </c>
      <c r="E17937" s="2" t="str">
        <f>HYPERLINK("http://ts.21cn.com/tousu/show/id/1349781","http://ts.21cn.com/tousu/show/id/1349781")</f>
        <v>http://ts.21cn.com/tousu/show/id/1349781</v>
      </c>
      <c r="F17937" s="2" t="s">
        <v>11</v>
      </c>
      <c r="G17937" s="2" t="s">
        <v>8909</v>
      </c>
      <c r="H17937" s="2" t="s">
        <v>8910</v>
      </c>
    </row>
    <row r="17938" spans="1:8" ht="25.05" customHeight="1" x14ac:dyDescent="0.25">
      <c r="A17938" s="2" t="s">
        <v>8</v>
      </c>
      <c r="B17938" s="2" t="str">
        <f>HYPERLINK("http://ts.21cn.com/tousu/show/id/1349783","平安普惠投诉处理中心客服恐吓")</f>
        <v>平安普惠投诉处理中心客服恐吓</v>
      </c>
      <c r="C17938" s="2" t="s">
        <v>9</v>
      </c>
      <c r="D17938" s="2" t="s">
        <v>10</v>
      </c>
      <c r="E17938" s="2" t="str">
        <f>HYPERLINK("http://ts.21cn.com/tousu/show/id/1349783","http://ts.21cn.com/tousu/show/id/1349783")</f>
        <v>http://ts.21cn.com/tousu/show/id/1349783</v>
      </c>
      <c r="F17938" s="2" t="s">
        <v>11</v>
      </c>
      <c r="G17938" s="2" t="s">
        <v>8907</v>
      </c>
      <c r="H17938" s="2" t="s">
        <v>8908</v>
      </c>
    </row>
    <row r="17939" spans="1:8" ht="25.05" customHeight="1" x14ac:dyDescent="0.25">
      <c r="A17939" s="2" t="s">
        <v>8</v>
      </c>
      <c r="B17939" s="2" t="str">
        <f>HYPERLINK("http://ts.21cn.com/tousu/show/id/1349784","马上消费金融打骚扰")</f>
        <v>马上消费金融打骚扰</v>
      </c>
      <c r="C17939" s="2" t="s">
        <v>9</v>
      </c>
      <c r="D17939" s="2" t="s">
        <v>10</v>
      </c>
      <c r="E17939" s="2" t="str">
        <f>HYPERLINK("http://ts.21cn.com/tousu/show/id/1349784","http://ts.21cn.com/tousu/show/id/1349784")</f>
        <v>http://ts.21cn.com/tousu/show/id/1349784</v>
      </c>
      <c r="F17939" s="2" t="s">
        <v>11</v>
      </c>
      <c r="G17939" s="2" t="s">
        <v>8905</v>
      </c>
      <c r="H17939" s="2" t="s">
        <v>8906</v>
      </c>
    </row>
    <row r="17940" spans="1:8" ht="25.05" customHeight="1" x14ac:dyDescent="0.25">
      <c r="A17940" s="2" t="s">
        <v>8</v>
      </c>
      <c r="B17940" s="2" t="str">
        <f>HYPERLINK("http://ts.21cn.com/tousu/show/id/1349782","京东金融帐号问题未完全解决")</f>
        <v>京东金融帐号问题未完全解决</v>
      </c>
      <c r="C17940" s="2" t="s">
        <v>34</v>
      </c>
      <c r="D17940" s="2" t="s">
        <v>10</v>
      </c>
      <c r="E17940" s="2" t="str">
        <f>HYPERLINK("http://ts.21cn.com/tousu/show/id/1349782","http://ts.21cn.com/tousu/show/id/1349782")</f>
        <v>http://ts.21cn.com/tousu/show/id/1349782</v>
      </c>
      <c r="F17940" s="2" t="s">
        <v>11</v>
      </c>
      <c r="G17940" s="2" t="s">
        <v>8903</v>
      </c>
      <c r="H17940" s="2" t="s">
        <v>8904</v>
      </c>
    </row>
    <row r="17941" spans="1:8" ht="25.05" customHeight="1" x14ac:dyDescent="0.25">
      <c r="A17941" s="2" t="s">
        <v>8</v>
      </c>
      <c r="B17941" s="2" t="str">
        <f>HYPERLINK("http://ts.21cn.com/tousu/show/id/1349785","暴力威胁催收")</f>
        <v>暴力威胁催收</v>
      </c>
      <c r="C17941" s="2" t="s">
        <v>9</v>
      </c>
      <c r="D17941" s="2" t="s">
        <v>10</v>
      </c>
      <c r="E17941" s="2" t="str">
        <f>HYPERLINK("http://ts.21cn.com/tousu/show/id/1349785","http://ts.21cn.com/tousu/show/id/1349785")</f>
        <v>http://ts.21cn.com/tousu/show/id/1349785</v>
      </c>
      <c r="F17941" s="2" t="s">
        <v>11</v>
      </c>
      <c r="G17941" s="2" t="s">
        <v>8900</v>
      </c>
      <c r="H17941" s="2" t="s">
        <v>8901</v>
      </c>
    </row>
    <row r="17942" spans="1:8" ht="25.05" customHeight="1" x14ac:dyDescent="0.25">
      <c r="A17942" s="2" t="s">
        <v>8</v>
      </c>
      <c r="B17942" s="2" t="str">
        <f>HYPERLINK("http://ts.21cn.com/tousu/show/id/1349767","银行卡被盗刷")</f>
        <v>银行卡被盗刷</v>
      </c>
      <c r="C17942" s="2" t="s">
        <v>9</v>
      </c>
      <c r="D17942" s="2" t="s">
        <v>10</v>
      </c>
      <c r="E17942" s="2" t="str">
        <f>HYPERLINK("http://ts.21cn.com/tousu/show/id/1349767","http://ts.21cn.com/tousu/show/id/1349767")</f>
        <v>http://ts.21cn.com/tousu/show/id/1349767</v>
      </c>
      <c r="F17942" s="2" t="s">
        <v>11</v>
      </c>
      <c r="G17942" s="2" t="s">
        <v>8900</v>
      </c>
      <c r="H17942" s="2" t="s">
        <v>8902</v>
      </c>
    </row>
    <row r="17943" spans="1:8" ht="25.05" customHeight="1" x14ac:dyDescent="0.25">
      <c r="A17943" s="2" t="s">
        <v>8</v>
      </c>
      <c r="B17943" s="2" t="str">
        <f>HYPERLINK("http://ts.21cn.com/tousu/show/id/1349786","两个月了一直不退款")</f>
        <v>两个月了一直不退款</v>
      </c>
      <c r="C17943" s="2" t="s">
        <v>9</v>
      </c>
      <c r="D17943" s="2" t="s">
        <v>10</v>
      </c>
      <c r="E17943" s="2" t="str">
        <f>HYPERLINK("http://ts.21cn.com/tousu/show/id/1349786","http://ts.21cn.com/tousu/show/id/1349786")</f>
        <v>http://ts.21cn.com/tousu/show/id/1349786</v>
      </c>
      <c r="F17943" s="2" t="s">
        <v>11</v>
      </c>
      <c r="G17943" s="2" t="s">
        <v>8898</v>
      </c>
      <c r="H17943" s="2" t="s">
        <v>8899</v>
      </c>
    </row>
    <row r="17944" spans="1:8" ht="25.05" customHeight="1" x14ac:dyDescent="0.25">
      <c r="A17944" s="2" t="s">
        <v>8</v>
      </c>
      <c r="B17944" s="2" t="str">
        <f>HYPERLINK("http://ts.21cn.com/tousu/show/id/1349724","中金支付鸿飞担保不明缘由扣款400元")</f>
        <v>中金支付鸿飞担保不明缘由扣款400元</v>
      </c>
      <c r="C17944" s="2" t="s">
        <v>34</v>
      </c>
      <c r="D17944" s="2" t="s">
        <v>10</v>
      </c>
      <c r="E17944" s="2" t="str">
        <f>HYPERLINK("http://ts.21cn.com/tousu/show/id/1349724","http://ts.21cn.com/tousu/show/id/1349724")</f>
        <v>http://ts.21cn.com/tousu/show/id/1349724</v>
      </c>
      <c r="F17944" s="2" t="s">
        <v>11</v>
      </c>
      <c r="G17944" s="2" t="s">
        <v>8896</v>
      </c>
      <c r="H17944" s="2" t="s">
        <v>8897</v>
      </c>
    </row>
    <row r="17945" spans="1:8" ht="25.05" customHeight="1" x14ac:dyDescent="0.25">
      <c r="A17945" s="2" t="s">
        <v>8</v>
      </c>
      <c r="B17945" s="2" t="str">
        <f>HYPERLINK("http://ts.21cn.com/tousu/show/id/1349787","退费")</f>
        <v>退费</v>
      </c>
      <c r="C17945" s="2" t="s">
        <v>9</v>
      </c>
      <c r="D17945" s="2" t="s">
        <v>10</v>
      </c>
      <c r="E17945" s="2" t="str">
        <f>HYPERLINK("http://ts.21cn.com/tousu/show/id/1349787","http://ts.21cn.com/tousu/show/id/1349787")</f>
        <v>http://ts.21cn.com/tousu/show/id/1349787</v>
      </c>
      <c r="F17945" s="2" t="s">
        <v>11</v>
      </c>
      <c r="G17945" s="2" t="s">
        <v>8894</v>
      </c>
      <c r="H17945" s="2" t="s">
        <v>8895</v>
      </c>
    </row>
    <row r="17946" spans="1:8" ht="25.05" customHeight="1" x14ac:dyDescent="0.25">
      <c r="A17946" s="2" t="s">
        <v>8</v>
      </c>
      <c r="B17946" s="2" t="str">
        <f>HYPERLINK("http://ts.21cn.com/tousu/show/id/1349788","虫虫快借、金银钱包天价砍头息高利贷")</f>
        <v>虫虫快借、金银钱包天价砍头息高利贷</v>
      </c>
      <c r="C17946" s="2" t="s">
        <v>9</v>
      </c>
      <c r="D17946" s="2" t="s">
        <v>10</v>
      </c>
      <c r="E17946" s="2" t="str">
        <f>HYPERLINK("http://ts.21cn.com/tousu/show/id/1349788","http://ts.21cn.com/tousu/show/id/1349788")</f>
        <v>http://ts.21cn.com/tousu/show/id/1349788</v>
      </c>
      <c r="F17946" s="2" t="s">
        <v>11</v>
      </c>
      <c r="G17946" s="2" t="s">
        <v>8892</v>
      </c>
      <c r="H17946" s="2" t="s">
        <v>8893</v>
      </c>
    </row>
    <row r="17947" spans="1:8" ht="25.05" customHeight="1" x14ac:dyDescent="0.25">
      <c r="A17947" s="2" t="s">
        <v>8</v>
      </c>
      <c r="B17947" s="2" t="str">
        <f>HYPERLINK("http://ts.21cn.com/tousu/show/id/1349789","招商银行泄露我的个人信息给网贷")</f>
        <v>招商银行泄露我的个人信息给网贷</v>
      </c>
      <c r="C17947" s="2" t="s">
        <v>9</v>
      </c>
      <c r="D17947" s="2" t="s">
        <v>10</v>
      </c>
      <c r="E17947" s="2" t="str">
        <f>HYPERLINK("http://ts.21cn.com/tousu/show/id/1349789","http://ts.21cn.com/tousu/show/id/1349789")</f>
        <v>http://ts.21cn.com/tousu/show/id/1349789</v>
      </c>
      <c r="F17947" s="2" t="s">
        <v>11</v>
      </c>
      <c r="G17947" s="2" t="s">
        <v>8890</v>
      </c>
      <c r="H17947" s="2" t="s">
        <v>8891</v>
      </c>
    </row>
    <row r="17948" spans="1:8" ht="25.05" customHeight="1" x14ac:dyDescent="0.25">
      <c r="A17948" s="2" t="s">
        <v>8</v>
      </c>
      <c r="B17948" s="2" t="str">
        <f>HYPERLINK("http://ts.21cn.com/tousu/show/id/1349790","聚福钱包自动扣款299元不退款")</f>
        <v>聚福钱包自动扣款299元不退款</v>
      </c>
      <c r="C17948" s="2" t="s">
        <v>9</v>
      </c>
      <c r="D17948" s="2" t="s">
        <v>10</v>
      </c>
      <c r="E17948" s="2" t="str">
        <f>HYPERLINK("http://ts.21cn.com/tousu/show/id/1349790","http://ts.21cn.com/tousu/show/id/1349790")</f>
        <v>http://ts.21cn.com/tousu/show/id/1349790</v>
      </c>
      <c r="F17948" s="2" t="s">
        <v>11</v>
      </c>
      <c r="G17948" s="2" t="s">
        <v>8888</v>
      </c>
      <c r="H17948" s="2" t="s">
        <v>8889</v>
      </c>
    </row>
    <row r="17949" spans="1:8" ht="25.05" customHeight="1" x14ac:dyDescent="0.25">
      <c r="A17949" s="2" t="s">
        <v>8</v>
      </c>
      <c r="B17949" s="2" t="str">
        <f>HYPERLINK("http://ts.21cn.com/tousu/show/id/1349791","无视国家法律、顶风作案！为714高炮提供支付通道")</f>
        <v>无视国家法律、顶风作案！为714高炮提供支付通道</v>
      </c>
      <c r="C17949" s="2" t="s">
        <v>9</v>
      </c>
      <c r="D17949" s="2" t="s">
        <v>10</v>
      </c>
      <c r="E17949" s="2" t="str">
        <f>HYPERLINK("http://ts.21cn.com/tousu/show/id/1349791","http://ts.21cn.com/tousu/show/id/1349791")</f>
        <v>http://ts.21cn.com/tousu/show/id/1349791</v>
      </c>
      <c r="F17949" s="2" t="s">
        <v>11</v>
      </c>
      <c r="G17949" s="2" t="s">
        <v>8886</v>
      </c>
      <c r="H17949" s="2" t="s">
        <v>8887</v>
      </c>
    </row>
    <row r="17950" spans="1:8" ht="25.05" customHeight="1" x14ac:dyDescent="0.25">
      <c r="A17950" s="2" t="s">
        <v>8</v>
      </c>
      <c r="B17950" s="2" t="str">
        <f>HYPERLINK("http://ts.21cn.com/tousu/show/id/1349794","钱站高利贷阴阳合同")</f>
        <v>钱站高利贷阴阳合同</v>
      </c>
      <c r="C17950" s="2" t="s">
        <v>9</v>
      </c>
      <c r="D17950" s="2" t="s">
        <v>10</v>
      </c>
      <c r="E17950" s="2" t="str">
        <f>HYPERLINK("http://ts.21cn.com/tousu/show/id/1349794","http://ts.21cn.com/tousu/show/id/1349794")</f>
        <v>http://ts.21cn.com/tousu/show/id/1349794</v>
      </c>
      <c r="F17950" s="2" t="s">
        <v>11</v>
      </c>
      <c r="G17950" s="2" t="s">
        <v>8884</v>
      </c>
      <c r="H17950" s="2" t="s">
        <v>8885</v>
      </c>
    </row>
    <row r="17951" spans="1:8" ht="25.05" customHeight="1" x14ac:dyDescent="0.25">
      <c r="A17951" s="2" t="s">
        <v>8</v>
      </c>
      <c r="B17951" s="2" t="str">
        <f>HYPERLINK("http://ts.21cn.com/tousu/show/id/1349793","投诉招联消费金融有限公司")</f>
        <v>投诉招联消费金融有限公司</v>
      </c>
      <c r="C17951" s="2" t="s">
        <v>9</v>
      </c>
      <c r="D17951" s="2" t="s">
        <v>10</v>
      </c>
      <c r="E17951" s="2" t="str">
        <f>HYPERLINK("http://ts.21cn.com/tousu/show/id/1349793","http://ts.21cn.com/tousu/show/id/1349793")</f>
        <v>http://ts.21cn.com/tousu/show/id/1349793</v>
      </c>
      <c r="F17951" s="2" t="s">
        <v>11</v>
      </c>
      <c r="G17951" s="2" t="s">
        <v>8882</v>
      </c>
      <c r="H17951" s="2" t="s">
        <v>8883</v>
      </c>
    </row>
    <row r="17952" spans="1:8" ht="25.05" customHeight="1" x14ac:dyDescent="0.25">
      <c r="A17952" s="2" t="s">
        <v>8</v>
      </c>
      <c r="B17952" s="2" t="str">
        <f>HYPERLINK("http://ts.21cn.com/tousu/show/id/1349795","信用飞变相砍头息，收保险管理费")</f>
        <v>信用飞变相砍头息，收保险管理费</v>
      </c>
      <c r="C17952" s="2" t="s">
        <v>9</v>
      </c>
      <c r="D17952" s="2" t="s">
        <v>10</v>
      </c>
      <c r="E17952" s="2" t="str">
        <f>HYPERLINK("http://ts.21cn.com/tousu/show/id/1349795","http://ts.21cn.com/tousu/show/id/1349795")</f>
        <v>http://ts.21cn.com/tousu/show/id/1349795</v>
      </c>
      <c r="F17952" s="2" t="s">
        <v>11</v>
      </c>
      <c r="G17952" s="2" t="s">
        <v>8880</v>
      </c>
      <c r="H17952" s="2" t="s">
        <v>8881</v>
      </c>
    </row>
    <row r="17953" spans="1:8" ht="25.05" customHeight="1" x14ac:dyDescent="0.25">
      <c r="A17953" s="2" t="s">
        <v>8</v>
      </c>
      <c r="B17953" s="2" t="str">
        <f>HYPERLINK("http://ts.21cn.com/tousu/show/id/1343120","上海瀚银信息技术有限公司提供网络赌博支付渠道，我怀疑瀚银涉嫌洗钱行为")</f>
        <v>上海瀚银信息技术有限公司提供网络赌博支付渠道，我怀疑瀚银涉嫌洗钱行为</v>
      </c>
      <c r="C17953" s="2" t="s">
        <v>9</v>
      </c>
      <c r="D17953" s="2" t="s">
        <v>10</v>
      </c>
      <c r="E17953" s="2" t="str">
        <f>HYPERLINK("http://ts.21cn.com/tousu/show/id/1343120","http://ts.21cn.com/tousu/show/id/1343120")</f>
        <v>http://ts.21cn.com/tousu/show/id/1343120</v>
      </c>
      <c r="F17953" s="2" t="s">
        <v>11</v>
      </c>
      <c r="G17953" s="2" t="s">
        <v>8878</v>
      </c>
      <c r="H17953" s="2" t="s">
        <v>8879</v>
      </c>
    </row>
    <row r="17954" spans="1:8" ht="25.05" customHeight="1" x14ac:dyDescent="0.25">
      <c r="A17954" s="2" t="s">
        <v>8</v>
      </c>
      <c r="B17954" s="2" t="str">
        <f>HYPERLINK("http://ts.21cn.com/tousu/show/id/1349796","现金巴士砍头息")</f>
        <v>现金巴士砍头息</v>
      </c>
      <c r="C17954" s="2" t="s">
        <v>34</v>
      </c>
      <c r="D17954" s="2" t="s">
        <v>10</v>
      </c>
      <c r="E17954" s="2" t="str">
        <f>HYPERLINK("http://ts.21cn.com/tousu/show/id/1349796","http://ts.21cn.com/tousu/show/id/1349796")</f>
        <v>http://ts.21cn.com/tousu/show/id/1349796</v>
      </c>
      <c r="F17954" s="2" t="s">
        <v>11</v>
      </c>
      <c r="G17954" s="2" t="s">
        <v>8876</v>
      </c>
      <c r="H17954" s="2" t="s">
        <v>8877</v>
      </c>
    </row>
    <row r="17955" spans="1:8" ht="25.05" customHeight="1" x14ac:dyDescent="0.25">
      <c r="A17955" s="2" t="s">
        <v>8</v>
      </c>
      <c r="B17955" s="2" t="str">
        <f>HYPERLINK("http://ts.21cn.com/tousu/show/id/1349798","招商银行违法催收")</f>
        <v>招商银行违法催收</v>
      </c>
      <c r="C17955" s="2" t="s">
        <v>9</v>
      </c>
      <c r="D17955" s="2" t="s">
        <v>10</v>
      </c>
      <c r="E17955" s="2" t="str">
        <f>HYPERLINK("http://ts.21cn.com/tousu/show/id/1349798","http://ts.21cn.com/tousu/show/id/1349798")</f>
        <v>http://ts.21cn.com/tousu/show/id/1349798</v>
      </c>
      <c r="F17955" s="2" t="s">
        <v>11</v>
      </c>
      <c r="G17955" s="2" t="s">
        <v>8874</v>
      </c>
      <c r="H17955" s="2" t="s">
        <v>8875</v>
      </c>
    </row>
    <row r="17956" spans="1:8" ht="25.05" customHeight="1" x14ac:dyDescent="0.25">
      <c r="A17956" s="2" t="s">
        <v>8</v>
      </c>
      <c r="B17956" s="2" t="str">
        <f>HYPERLINK("http://ts.21cn.com/tousu/show/id/1349797","宜信宜人贷高额收取代款利息及砍头息5万多元")</f>
        <v>宜信宜人贷高额收取代款利息及砍头息5万多元</v>
      </c>
      <c r="C17956" s="2" t="s">
        <v>9</v>
      </c>
      <c r="D17956" s="2" t="s">
        <v>10</v>
      </c>
      <c r="E17956" s="2" t="str">
        <f>HYPERLINK("http://ts.21cn.com/tousu/show/id/1349797","http://ts.21cn.com/tousu/show/id/1349797")</f>
        <v>http://ts.21cn.com/tousu/show/id/1349797</v>
      </c>
      <c r="F17956" s="2" t="s">
        <v>11</v>
      </c>
      <c r="G17956" s="2" t="s">
        <v>8872</v>
      </c>
      <c r="H17956" s="2" t="s">
        <v>8873</v>
      </c>
    </row>
    <row r="17957" spans="1:8" ht="25.05" customHeight="1" x14ac:dyDescent="0.25">
      <c r="A17957" s="2" t="s">
        <v>8</v>
      </c>
      <c r="B17957" s="2" t="str">
        <f>HYPERLINK("http://ts.21cn.com/tousu/show/id/1349799","浦发信用卡银行暴力催收")</f>
        <v>浦发信用卡银行暴力催收</v>
      </c>
      <c r="C17957" s="2" t="s">
        <v>9</v>
      </c>
      <c r="D17957" s="2" t="s">
        <v>10</v>
      </c>
      <c r="E17957" s="2" t="str">
        <f>HYPERLINK("http://ts.21cn.com/tousu/show/id/1349799","http://ts.21cn.com/tousu/show/id/1349799")</f>
        <v>http://ts.21cn.com/tousu/show/id/1349799</v>
      </c>
      <c r="F17957" s="2" t="s">
        <v>11</v>
      </c>
      <c r="G17957" s="2" t="s">
        <v>8870</v>
      </c>
      <c r="H17957" s="2" t="s">
        <v>8871</v>
      </c>
    </row>
    <row r="17958" spans="1:8" ht="25.05" customHeight="1" x14ac:dyDescent="0.25">
      <c r="A17958" s="2" t="s">
        <v>8</v>
      </c>
      <c r="B17958" s="2" t="str">
        <f>HYPERLINK("http://ts.21cn.com/tousu/show/id/1349800","分期鸭无法打开还款请联系我")</f>
        <v>分期鸭无法打开还款请联系我</v>
      </c>
      <c r="C17958" s="2" t="s">
        <v>9</v>
      </c>
      <c r="D17958" s="2" t="s">
        <v>10</v>
      </c>
      <c r="E17958" s="2" t="str">
        <f>HYPERLINK("http://ts.21cn.com/tousu/show/id/1349800","http://ts.21cn.com/tousu/show/id/1349800")</f>
        <v>http://ts.21cn.com/tousu/show/id/1349800</v>
      </c>
      <c r="F17958" s="2" t="s">
        <v>11</v>
      </c>
      <c r="G17958" s="2" t="s">
        <v>8868</v>
      </c>
      <c r="H17958" s="2" t="s">
        <v>8869</v>
      </c>
    </row>
    <row r="17959" spans="1:8" ht="25.05" customHeight="1" x14ac:dyDescent="0.25">
      <c r="A17959" s="2" t="s">
        <v>8</v>
      </c>
      <c r="B17959" s="2" t="str">
        <f>HYPERLINK("http://ts.21cn.com/tousu/show/id/1349801","不符合国家利率")</f>
        <v>不符合国家利率</v>
      </c>
      <c r="C17959" s="2" t="s">
        <v>9</v>
      </c>
      <c r="D17959" s="2" t="s">
        <v>10</v>
      </c>
      <c r="E17959" s="2" t="str">
        <f>HYPERLINK("http://ts.21cn.com/tousu/show/id/1349801","http://ts.21cn.com/tousu/show/id/1349801")</f>
        <v>http://ts.21cn.com/tousu/show/id/1349801</v>
      </c>
      <c r="F17959" s="2" t="s">
        <v>11</v>
      </c>
      <c r="G17959" s="2" t="s">
        <v>8866</v>
      </c>
      <c r="H17959" s="2" t="s">
        <v>8867</v>
      </c>
    </row>
    <row r="17960" spans="1:8" ht="25.05" customHeight="1" x14ac:dyDescent="0.25">
      <c r="A17960" s="2" t="s">
        <v>8</v>
      </c>
      <c r="B17960" s="2" t="str">
        <f>HYPERLINK("http://ts.21cn.com/tousu/show/id/1349802","闪银旗下闪闪花闪豆，变相砍头息，高利贷")</f>
        <v>闪银旗下闪闪花闪豆，变相砍头息，高利贷</v>
      </c>
      <c r="C17960" s="2" t="s">
        <v>9</v>
      </c>
      <c r="D17960" s="2" t="s">
        <v>10</v>
      </c>
      <c r="E17960" s="2" t="str">
        <f>HYPERLINK("http://ts.21cn.com/tousu/show/id/1349802","http://ts.21cn.com/tousu/show/id/1349802")</f>
        <v>http://ts.21cn.com/tousu/show/id/1349802</v>
      </c>
      <c r="F17960" s="2" t="s">
        <v>11</v>
      </c>
      <c r="G17960" s="2" t="s">
        <v>8864</v>
      </c>
      <c r="H17960" s="2" t="s">
        <v>8865</v>
      </c>
    </row>
    <row r="17961" spans="1:8" ht="25.05" customHeight="1" x14ac:dyDescent="0.25">
      <c r="A17961" s="2" t="s">
        <v>8</v>
      </c>
      <c r="B17961" s="2" t="str">
        <f>HYPERLINK("http://ts.21cn.com/tousu/show/id/1349804","交易关闭后退款失败")</f>
        <v>交易关闭后退款失败</v>
      </c>
      <c r="C17961" s="2" t="s">
        <v>9</v>
      </c>
      <c r="D17961" s="2" t="s">
        <v>10</v>
      </c>
      <c r="E17961" s="2" t="str">
        <f>HYPERLINK("http://ts.21cn.com/tousu/show/id/1349804","http://ts.21cn.com/tousu/show/id/1349804")</f>
        <v>http://ts.21cn.com/tousu/show/id/1349804</v>
      </c>
      <c r="F17961" s="2" t="s">
        <v>11</v>
      </c>
      <c r="G17961" s="2" t="s">
        <v>8862</v>
      </c>
      <c r="H17961" s="2" t="s">
        <v>8863</v>
      </c>
    </row>
    <row r="17962" spans="1:8" ht="25.05" customHeight="1" x14ac:dyDescent="0.25">
      <c r="A17962" s="2" t="s">
        <v>8</v>
      </c>
      <c r="B17962" s="2" t="str">
        <f>HYPERLINK("http://ts.21cn.com/tousu/show/id/1349803","随意拨打借款人公司电话，肆意散播借款人借款")</f>
        <v>随意拨打借款人公司电话，肆意散播借款人借款</v>
      </c>
      <c r="C17962" s="2" t="s">
        <v>9</v>
      </c>
      <c r="D17962" s="2" t="s">
        <v>10</v>
      </c>
      <c r="E17962" s="2" t="str">
        <f>HYPERLINK("http://ts.21cn.com/tousu/show/id/1349803","http://ts.21cn.com/tousu/show/id/1349803")</f>
        <v>http://ts.21cn.com/tousu/show/id/1349803</v>
      </c>
      <c r="F17962" s="2" t="s">
        <v>11</v>
      </c>
      <c r="G17962" s="2" t="s">
        <v>8860</v>
      </c>
      <c r="H17962" s="2" t="s">
        <v>8861</v>
      </c>
    </row>
    <row r="17963" spans="1:8" ht="25.05" customHeight="1" x14ac:dyDescent="0.25">
      <c r="A17963" s="2" t="s">
        <v>8</v>
      </c>
      <c r="B17963" s="2" t="str">
        <f>HYPERLINK("http://ts.21cn.com/tousu/show/id/1349805","钱橙无忧随意扣费")</f>
        <v>钱橙无忧随意扣费</v>
      </c>
      <c r="C17963" s="2" t="s">
        <v>9</v>
      </c>
      <c r="D17963" s="2" t="s">
        <v>10</v>
      </c>
      <c r="E17963" s="2" t="str">
        <f>HYPERLINK("http://ts.21cn.com/tousu/show/id/1349805","http://ts.21cn.com/tousu/show/id/1349805")</f>
        <v>http://ts.21cn.com/tousu/show/id/1349805</v>
      </c>
      <c r="F17963" s="2" t="s">
        <v>11</v>
      </c>
      <c r="G17963" s="2" t="s">
        <v>8858</v>
      </c>
      <c r="H17963" s="2" t="s">
        <v>8859</v>
      </c>
    </row>
    <row r="17964" spans="1:8" ht="25.05" customHeight="1" x14ac:dyDescent="0.25">
      <c r="A17964" s="2" t="s">
        <v>8</v>
      </c>
      <c r="B17964" s="2" t="str">
        <f>HYPERLINK("http://ts.21cn.com/tousu/show/id/1345069","鸿飞担保中金支付恶意扣款400元")</f>
        <v>鸿飞担保中金支付恶意扣款400元</v>
      </c>
      <c r="C17964" s="2" t="s">
        <v>9</v>
      </c>
      <c r="D17964" s="2" t="s">
        <v>10</v>
      </c>
      <c r="E17964" s="2" t="str">
        <f>HYPERLINK("http://ts.21cn.com/tousu/show/id/1345069","http://ts.21cn.com/tousu/show/id/1345069")</f>
        <v>http://ts.21cn.com/tousu/show/id/1345069</v>
      </c>
      <c r="F17964" s="2" t="s">
        <v>11</v>
      </c>
      <c r="G17964" s="2" t="s">
        <v>8856</v>
      </c>
      <c r="H17964" s="2" t="s">
        <v>8857</v>
      </c>
    </row>
    <row r="17965" spans="1:8" ht="25.05" customHeight="1" x14ac:dyDescent="0.25">
      <c r="A17965" s="2" t="s">
        <v>8</v>
      </c>
      <c r="B17965" s="2" t="str">
        <f>HYPERLINK("http://ts.21cn.com/tousu/show/id/1349806","玖富万卡就本人之前的投诉并未做出妥善解决方案，客服也没有了回复，也没有联系本人。")</f>
        <v>玖富万卡就本人之前的投诉并未做出妥善解决方案，客服也没有了回复，也没有联系本人。</v>
      </c>
      <c r="C17965" s="2" t="s">
        <v>9</v>
      </c>
      <c r="D17965" s="2" t="s">
        <v>10</v>
      </c>
      <c r="E17965" s="2" t="str">
        <f>HYPERLINK("http://ts.21cn.com/tousu/show/id/1349806","http://ts.21cn.com/tousu/show/id/1349806")</f>
        <v>http://ts.21cn.com/tousu/show/id/1349806</v>
      </c>
      <c r="F17965" s="2" t="s">
        <v>11</v>
      </c>
      <c r="G17965" s="2" t="s">
        <v>8854</v>
      </c>
      <c r="H17965" s="2" t="s">
        <v>8855</v>
      </c>
    </row>
    <row r="17966" spans="1:8" ht="25.05" customHeight="1" x14ac:dyDescent="0.25">
      <c r="A17966" s="2" t="s">
        <v>8</v>
      </c>
      <c r="B17966" s="2" t="str">
        <f>HYPERLINK("http://ts.21cn.com/tousu/show/id/1349807","玖富万卡利率高")</f>
        <v>玖富万卡利率高</v>
      </c>
      <c r="C17966" s="2" t="s">
        <v>34</v>
      </c>
      <c r="D17966" s="2" t="s">
        <v>10</v>
      </c>
      <c r="E17966" s="2" t="str">
        <f>HYPERLINK("http://ts.21cn.com/tousu/show/id/1349807","http://ts.21cn.com/tousu/show/id/1349807")</f>
        <v>http://ts.21cn.com/tousu/show/id/1349807</v>
      </c>
      <c r="F17966" s="2" t="s">
        <v>11</v>
      </c>
      <c r="G17966" s="2" t="s">
        <v>8852</v>
      </c>
      <c r="H17966" s="2" t="s">
        <v>8853</v>
      </c>
    </row>
    <row r="17967" spans="1:8" ht="25.05" customHeight="1" x14ac:dyDescent="0.25">
      <c r="A17967" s="2" t="s">
        <v>8</v>
      </c>
      <c r="B17967" s="2" t="str">
        <f>HYPERLINK("http://ts.21cn.com/tousu/show/id/1349808","上海翰银科技为赌博平台收单，请求瀚银为我退款挽回经济损失")</f>
        <v>上海翰银科技为赌博平台收单，请求瀚银为我退款挽回经济损失</v>
      </c>
      <c r="C17967" s="2" t="s">
        <v>9</v>
      </c>
      <c r="D17967" s="2" t="s">
        <v>10</v>
      </c>
      <c r="E17967" s="2" t="str">
        <f>HYPERLINK("http://ts.21cn.com/tousu/show/id/1349808","http://ts.21cn.com/tousu/show/id/1349808")</f>
        <v>http://ts.21cn.com/tousu/show/id/1349808</v>
      </c>
      <c r="F17967" s="2" t="s">
        <v>11</v>
      </c>
      <c r="G17967" s="2" t="s">
        <v>8851</v>
      </c>
      <c r="H17967" s="2" t="s">
        <v>7966</v>
      </c>
    </row>
    <row r="17968" spans="1:8" ht="25.05" customHeight="1" x14ac:dyDescent="0.25">
      <c r="A17968" s="2" t="s">
        <v>8</v>
      </c>
      <c r="B17968" s="2" t="str">
        <f>HYPERLINK("http://ts.21cn.com/tousu/show/id/1349809","云闪付为不法份子提供支付通道")</f>
        <v>云闪付为不法份子提供支付通道</v>
      </c>
      <c r="C17968" s="2" t="s">
        <v>9</v>
      </c>
      <c r="D17968" s="2" t="s">
        <v>10</v>
      </c>
      <c r="E17968" s="2" t="str">
        <f>HYPERLINK("http://ts.21cn.com/tousu/show/id/1349809","http://ts.21cn.com/tousu/show/id/1349809")</f>
        <v>http://ts.21cn.com/tousu/show/id/1349809</v>
      </c>
      <c r="F17968" s="2" t="s">
        <v>11</v>
      </c>
      <c r="G17968" s="2" t="s">
        <v>8849</v>
      </c>
      <c r="H17968" s="2" t="s">
        <v>8850</v>
      </c>
    </row>
    <row r="17969" spans="1:8" ht="25.05" customHeight="1" x14ac:dyDescent="0.25">
      <c r="A17969" s="2" t="s">
        <v>8</v>
      </c>
      <c r="B17969" s="2" t="str">
        <f>HYPERLINK("http://ts.21cn.com/tousu/show/id/1349763","诱导消费、误导宣传、服务不到位")</f>
        <v>诱导消费、误导宣传、服务不到位</v>
      </c>
      <c r="C17969" s="2" t="s">
        <v>9</v>
      </c>
      <c r="D17969" s="2" t="s">
        <v>10</v>
      </c>
      <c r="E17969" s="2" t="str">
        <f>HYPERLINK("http://ts.21cn.com/tousu/show/id/1349763","http://ts.21cn.com/tousu/show/id/1349763")</f>
        <v>http://ts.21cn.com/tousu/show/id/1349763</v>
      </c>
      <c r="F17969" s="2" t="s">
        <v>11</v>
      </c>
      <c r="G17969" s="2" t="s">
        <v>8847</v>
      </c>
      <c r="H17969" s="2" t="s">
        <v>8848</v>
      </c>
    </row>
    <row r="17970" spans="1:8" ht="25.05" customHeight="1" x14ac:dyDescent="0.25">
      <c r="A17970" s="2" t="s">
        <v>8</v>
      </c>
      <c r="B17970" s="2" t="str">
        <f>HYPERLINK("http://ts.21cn.com/tousu/show/id/1349811","违法骚扰通讯录联系人")</f>
        <v>违法骚扰通讯录联系人</v>
      </c>
      <c r="C17970" s="2" t="s">
        <v>9</v>
      </c>
      <c r="D17970" s="2" t="s">
        <v>10</v>
      </c>
      <c r="E17970" s="2" t="str">
        <f>HYPERLINK("http://ts.21cn.com/tousu/show/id/1349811","http://ts.21cn.com/tousu/show/id/1349811")</f>
        <v>http://ts.21cn.com/tousu/show/id/1349811</v>
      </c>
      <c r="F17970" s="2" t="s">
        <v>11</v>
      </c>
      <c r="G17970" s="2" t="s">
        <v>8845</v>
      </c>
      <c r="H17970" s="2" t="s">
        <v>8846</v>
      </c>
    </row>
    <row r="17971" spans="1:8" ht="25.05" customHeight="1" x14ac:dyDescent="0.25">
      <c r="A17971" s="2" t="s">
        <v>8</v>
      </c>
      <c r="B17971" s="2" t="str">
        <f>HYPERLINK("http://ts.21cn.com/tousu/show/id/1349813","违约支付")</f>
        <v>违约支付</v>
      </c>
      <c r="C17971" s="2" t="s">
        <v>9</v>
      </c>
      <c r="D17971" s="2" t="s">
        <v>10</v>
      </c>
      <c r="E17971" s="2" t="str">
        <f>HYPERLINK("http://ts.21cn.com/tousu/show/id/1349813","http://ts.21cn.com/tousu/show/id/1349813")</f>
        <v>http://ts.21cn.com/tousu/show/id/1349813</v>
      </c>
      <c r="F17971" s="2" t="s">
        <v>11</v>
      </c>
      <c r="G17971" s="2" t="s">
        <v>8843</v>
      </c>
      <c r="H17971" s="2" t="s">
        <v>8844</v>
      </c>
    </row>
    <row r="17972" spans="1:8" ht="25.05" customHeight="1" x14ac:dyDescent="0.25">
      <c r="A17972" s="2" t="s">
        <v>8</v>
      </c>
      <c r="B17972" s="2" t="str">
        <f>HYPERLINK("http://ts.21cn.com/tousu/show/id/1349814","捷信金融骚扰")</f>
        <v>捷信金融骚扰</v>
      </c>
      <c r="C17972" s="2" t="s">
        <v>9</v>
      </c>
      <c r="D17972" s="2" t="s">
        <v>10</v>
      </c>
      <c r="E17972" s="2" t="str">
        <f>HYPERLINK("http://ts.21cn.com/tousu/show/id/1349814","http://ts.21cn.com/tousu/show/id/1349814")</f>
        <v>http://ts.21cn.com/tousu/show/id/1349814</v>
      </c>
      <c r="F17972" s="2" t="s">
        <v>11</v>
      </c>
      <c r="G17972" s="2" t="s">
        <v>8841</v>
      </c>
      <c r="H17972" s="2" t="s">
        <v>8842</v>
      </c>
    </row>
    <row r="17973" spans="1:8" ht="25.05" customHeight="1" x14ac:dyDescent="0.25">
      <c r="A17973" s="2" t="s">
        <v>8</v>
      </c>
      <c r="B17973" s="2" t="str">
        <f>HYPERLINK("http://ts.21cn.com/tousu/show/id/1349816","乱收取费用，违约金")</f>
        <v>乱收取费用，违约金</v>
      </c>
      <c r="C17973" s="2" t="s">
        <v>9</v>
      </c>
      <c r="D17973" s="2" t="s">
        <v>10</v>
      </c>
      <c r="E17973" s="2" t="str">
        <f>HYPERLINK("http://ts.21cn.com/tousu/show/id/1349816","http://ts.21cn.com/tousu/show/id/1349816")</f>
        <v>http://ts.21cn.com/tousu/show/id/1349816</v>
      </c>
      <c r="F17973" s="2" t="s">
        <v>11</v>
      </c>
      <c r="G17973" s="2" t="s">
        <v>8839</v>
      </c>
      <c r="H17973" s="2" t="s">
        <v>8840</v>
      </c>
    </row>
    <row r="17974" spans="1:8" ht="25.05" customHeight="1" x14ac:dyDescent="0.25">
      <c r="A17974" s="2" t="s">
        <v>8</v>
      </c>
      <c r="B17974" s="2" t="str">
        <f>HYPERLINK("http://ts.21cn.com/tousu/show/id/1349817","鑫时贷")</f>
        <v>鑫时贷</v>
      </c>
      <c r="C17974" s="2" t="s">
        <v>34</v>
      </c>
      <c r="D17974" s="2" t="s">
        <v>10</v>
      </c>
      <c r="E17974" s="2" t="str">
        <f>HYPERLINK("http://ts.21cn.com/tousu/show/id/1349817","http://ts.21cn.com/tousu/show/id/1349817")</f>
        <v>http://ts.21cn.com/tousu/show/id/1349817</v>
      </c>
      <c r="F17974" s="2" t="s">
        <v>11</v>
      </c>
      <c r="G17974" s="2" t="s">
        <v>8837</v>
      </c>
      <c r="H17974" s="2" t="s">
        <v>8838</v>
      </c>
    </row>
    <row r="17975" spans="1:8" ht="25.05" customHeight="1" x14ac:dyDescent="0.25">
      <c r="A17975" s="2" t="s">
        <v>8</v>
      </c>
      <c r="B17975" s="2" t="str">
        <f>HYPERLINK("http://ts.21cn.com/tousu/show/id/1349818","立借提供高利贷套路贷平台")</f>
        <v>立借提供高利贷套路贷平台</v>
      </c>
      <c r="C17975" s="2" t="s">
        <v>9</v>
      </c>
      <c r="D17975" s="2" t="s">
        <v>10</v>
      </c>
      <c r="E17975" s="2" t="str">
        <f>HYPERLINK("http://ts.21cn.com/tousu/show/id/1349818","http://ts.21cn.com/tousu/show/id/1349818")</f>
        <v>http://ts.21cn.com/tousu/show/id/1349818</v>
      </c>
      <c r="F17975" s="2" t="s">
        <v>11</v>
      </c>
      <c r="G17975" s="2" t="s">
        <v>8835</v>
      </c>
      <c r="H17975" s="2" t="s">
        <v>8836</v>
      </c>
    </row>
    <row r="17976" spans="1:8" ht="25.05" customHeight="1" x14ac:dyDescent="0.25">
      <c r="A17976" s="2" t="s">
        <v>8</v>
      </c>
      <c r="B17976" s="2" t="str">
        <f>HYPERLINK("http://ts.21cn.com/tousu/show/id/1349819","不联系当事人直接找紧急联系人")</f>
        <v>不联系当事人直接找紧急联系人</v>
      </c>
      <c r="C17976" s="2" t="s">
        <v>34</v>
      </c>
      <c r="D17976" s="2" t="s">
        <v>10</v>
      </c>
      <c r="E17976" s="2" t="str">
        <f>HYPERLINK("http://ts.21cn.com/tousu/show/id/1349819","http://ts.21cn.com/tousu/show/id/1349819")</f>
        <v>http://ts.21cn.com/tousu/show/id/1349819</v>
      </c>
      <c r="F17976" s="2" t="s">
        <v>11</v>
      </c>
      <c r="G17976" s="2" t="s">
        <v>8833</v>
      </c>
      <c r="H17976" s="2" t="s">
        <v>8834</v>
      </c>
    </row>
    <row r="17977" spans="1:8" ht="25.05" customHeight="1" x14ac:dyDescent="0.25">
      <c r="A17977" s="2" t="s">
        <v>8</v>
      </c>
      <c r="B17977" s="2" t="str">
        <f>HYPERLINK("http://ts.21cn.com/tousu/show/id/1349820","美团生活费暴力催收")</f>
        <v>美团生活费暴力催收</v>
      </c>
      <c r="C17977" s="2" t="s">
        <v>9</v>
      </c>
      <c r="D17977" s="2" t="s">
        <v>10</v>
      </c>
      <c r="E17977" s="2" t="str">
        <f>HYPERLINK("http://ts.21cn.com/tousu/show/id/1349820","http://ts.21cn.com/tousu/show/id/1349820")</f>
        <v>http://ts.21cn.com/tousu/show/id/1349820</v>
      </c>
      <c r="F17977" s="2" t="s">
        <v>11</v>
      </c>
      <c r="G17977" s="2" t="s">
        <v>8831</v>
      </c>
      <c r="H17977" s="2" t="s">
        <v>8832</v>
      </c>
    </row>
    <row r="17978" spans="1:8" ht="25.05" customHeight="1" x14ac:dyDescent="0.25">
      <c r="A17978" s="2" t="s">
        <v>8</v>
      </c>
      <c r="B17978" s="2" t="str">
        <f>HYPERLINK("http://ts.21cn.com/tousu/show/id/1349822","张飞充电不给退押金")</f>
        <v>张飞充电不给退押金</v>
      </c>
      <c r="C17978" s="2" t="s">
        <v>9</v>
      </c>
      <c r="D17978" s="2" t="s">
        <v>10</v>
      </c>
      <c r="E17978" s="2" t="str">
        <f>HYPERLINK("http://ts.21cn.com/tousu/show/id/1349822","http://ts.21cn.com/tousu/show/id/1349822")</f>
        <v>http://ts.21cn.com/tousu/show/id/1349822</v>
      </c>
      <c r="F17978" s="2" t="s">
        <v>11</v>
      </c>
      <c r="G17978" s="2" t="s">
        <v>8829</v>
      </c>
      <c r="H17978" s="2" t="s">
        <v>8830</v>
      </c>
    </row>
    <row r="17979" spans="1:8" ht="25.05" customHeight="1" x14ac:dyDescent="0.25">
      <c r="A17979" s="2" t="s">
        <v>8</v>
      </c>
      <c r="B17979" s="2" t="str">
        <f>HYPERLINK("http://ts.21cn.com/tousu/show/id/1349821","催收恶意爆通讯录")</f>
        <v>催收恶意爆通讯录</v>
      </c>
      <c r="C17979" s="2" t="s">
        <v>9</v>
      </c>
      <c r="D17979" s="2" t="s">
        <v>10</v>
      </c>
      <c r="E17979" s="2" t="str">
        <f>HYPERLINK("http://ts.21cn.com/tousu/show/id/1349821","http://ts.21cn.com/tousu/show/id/1349821")</f>
        <v>http://ts.21cn.com/tousu/show/id/1349821</v>
      </c>
      <c r="F17979" s="2" t="s">
        <v>11</v>
      </c>
      <c r="G17979" s="2" t="s">
        <v>8827</v>
      </c>
      <c r="H17979" s="2" t="s">
        <v>8828</v>
      </c>
    </row>
    <row r="17980" spans="1:8" ht="25.05" customHeight="1" x14ac:dyDescent="0.25">
      <c r="A17980" s="2" t="s">
        <v>8</v>
      </c>
      <c r="B17980" s="2" t="str">
        <f>HYPERLINK("http://ts.21cn.com/tousu/show/id/1349823","与钱站贷款平台协商还款")</f>
        <v>与钱站贷款平台协商还款</v>
      </c>
      <c r="C17980" s="2" t="s">
        <v>9</v>
      </c>
      <c r="D17980" s="2" t="s">
        <v>10</v>
      </c>
      <c r="E17980" s="2" t="str">
        <f>HYPERLINK("http://ts.21cn.com/tousu/show/id/1349823","http://ts.21cn.com/tousu/show/id/1349823")</f>
        <v>http://ts.21cn.com/tousu/show/id/1349823</v>
      </c>
      <c r="F17980" s="2" t="s">
        <v>11</v>
      </c>
      <c r="G17980" s="2" t="s">
        <v>8825</v>
      </c>
      <c r="H17980" s="2" t="s">
        <v>8826</v>
      </c>
    </row>
    <row r="17981" spans="1:8" ht="25.05" customHeight="1" x14ac:dyDescent="0.25">
      <c r="A17981" s="2" t="s">
        <v>8</v>
      </c>
      <c r="B17981" s="2" t="str">
        <f>HYPERLINK("http://ts.21cn.com/tousu/show/id/1349824","协商还款")</f>
        <v>协商还款</v>
      </c>
      <c r="C17981" s="2" t="s">
        <v>34</v>
      </c>
      <c r="D17981" s="2" t="s">
        <v>10</v>
      </c>
      <c r="E17981" s="2" t="str">
        <f>HYPERLINK("http://ts.21cn.com/tousu/show/id/1349824","http://ts.21cn.com/tousu/show/id/1349824")</f>
        <v>http://ts.21cn.com/tousu/show/id/1349824</v>
      </c>
      <c r="F17981" s="2" t="s">
        <v>11</v>
      </c>
      <c r="G17981" s="2" t="s">
        <v>8823</v>
      </c>
      <c r="H17981" s="2" t="s">
        <v>8824</v>
      </c>
    </row>
    <row r="17982" spans="1:8" ht="25.05" customHeight="1" x14ac:dyDescent="0.25">
      <c r="A17982" s="2" t="s">
        <v>8</v>
      </c>
      <c r="B17982" s="2" t="str">
        <f>HYPERLINK("http://ts.21cn.com/tousu/show/id/1349825","天价高利贷")</f>
        <v>天价高利贷</v>
      </c>
      <c r="C17982" s="2" t="s">
        <v>9</v>
      </c>
      <c r="D17982" s="2" t="s">
        <v>10</v>
      </c>
      <c r="E17982" s="2" t="str">
        <f>HYPERLINK("http://ts.21cn.com/tousu/show/id/1349825","http://ts.21cn.com/tousu/show/id/1349825")</f>
        <v>http://ts.21cn.com/tousu/show/id/1349825</v>
      </c>
      <c r="F17982" s="2" t="s">
        <v>11</v>
      </c>
      <c r="G17982" s="2" t="s">
        <v>8821</v>
      </c>
      <c r="H17982" s="2" t="s">
        <v>8822</v>
      </c>
    </row>
    <row r="17983" spans="1:8" ht="25.05" customHeight="1" x14ac:dyDescent="0.25">
      <c r="A17983" s="2" t="s">
        <v>8</v>
      </c>
      <c r="B17983" s="2" t="str">
        <f>HYPERLINK("http://ts.21cn.com/tousu/show/id/1349829","马上消费金融，暴力催收，群发短信，恐吓催收")</f>
        <v>马上消费金融，暴力催收，群发短信，恐吓催收</v>
      </c>
      <c r="C17983" s="2" t="s">
        <v>9</v>
      </c>
      <c r="D17983" s="2" t="s">
        <v>10</v>
      </c>
      <c r="E17983" s="2" t="str">
        <f>HYPERLINK("http://ts.21cn.com/tousu/show/id/1349829","http://ts.21cn.com/tousu/show/id/1349829")</f>
        <v>http://ts.21cn.com/tousu/show/id/1349829</v>
      </c>
      <c r="F17983" s="2" t="s">
        <v>11</v>
      </c>
      <c r="G17983" s="2" t="s">
        <v>8819</v>
      </c>
      <c r="H17983" s="2" t="s">
        <v>8820</v>
      </c>
    </row>
    <row r="17984" spans="1:8" ht="25.05" customHeight="1" x14ac:dyDescent="0.25">
      <c r="A17984" s="2" t="s">
        <v>8</v>
      </c>
      <c r="B17984" s="2" t="str">
        <f>HYPERLINK("http://ts.21cn.com/tousu/show/id/1349826","星计划贷款冒充京东金融发信息骚扰")</f>
        <v>星计划贷款冒充京东金融发信息骚扰</v>
      </c>
      <c r="C17984" s="2" t="s">
        <v>9</v>
      </c>
      <c r="D17984" s="2" t="s">
        <v>10</v>
      </c>
      <c r="E17984" s="2" t="str">
        <f>HYPERLINK("http://ts.21cn.com/tousu/show/id/1349826","http://ts.21cn.com/tousu/show/id/1349826")</f>
        <v>http://ts.21cn.com/tousu/show/id/1349826</v>
      </c>
      <c r="F17984" s="2" t="s">
        <v>11</v>
      </c>
      <c r="G17984" s="2" t="s">
        <v>8817</v>
      </c>
      <c r="H17984" s="2" t="s">
        <v>8818</v>
      </c>
    </row>
    <row r="17985" spans="1:8" ht="25.05" customHeight="1" x14ac:dyDescent="0.25">
      <c r="A17985" s="2" t="s">
        <v>8</v>
      </c>
      <c r="B17985" s="2" t="str">
        <f>HYPERLINK("http://ts.21cn.com/tousu/show/id/1349828","虎鲸钱包高额砍头息")</f>
        <v>虎鲸钱包高额砍头息</v>
      </c>
      <c r="C17985" s="2" t="s">
        <v>9</v>
      </c>
      <c r="D17985" s="2" t="s">
        <v>10</v>
      </c>
      <c r="E17985" s="2" t="str">
        <f>HYPERLINK("http://ts.21cn.com/tousu/show/id/1349828","http://ts.21cn.com/tousu/show/id/1349828")</f>
        <v>http://ts.21cn.com/tousu/show/id/1349828</v>
      </c>
      <c r="F17985" s="2" t="s">
        <v>11</v>
      </c>
      <c r="G17985" s="2" t="s">
        <v>8815</v>
      </c>
      <c r="H17985" s="2" t="s">
        <v>8816</v>
      </c>
    </row>
    <row r="17986" spans="1:8" ht="25.05" customHeight="1" x14ac:dyDescent="0.25">
      <c r="A17986" s="2" t="s">
        <v>8</v>
      </c>
      <c r="B17986" s="2" t="str">
        <f>HYPERLINK("http://ts.21cn.com/tousu/show/id/1349830","银行卡被盗刷")</f>
        <v>银行卡被盗刷</v>
      </c>
      <c r="C17986" s="2" t="s">
        <v>9</v>
      </c>
      <c r="D17986" s="2" t="s">
        <v>10</v>
      </c>
      <c r="E17986" s="2" t="str">
        <f>HYPERLINK("http://ts.21cn.com/tousu/show/id/1349830","http://ts.21cn.com/tousu/show/id/1349830")</f>
        <v>http://ts.21cn.com/tousu/show/id/1349830</v>
      </c>
      <c r="F17986" s="2" t="s">
        <v>11</v>
      </c>
      <c r="G17986" s="2" t="s">
        <v>8813</v>
      </c>
      <c r="H17986" s="2" t="s">
        <v>8814</v>
      </c>
    </row>
    <row r="17987" spans="1:8" ht="25.05" customHeight="1" x14ac:dyDescent="0.25">
      <c r="A17987" s="2" t="s">
        <v>8</v>
      </c>
      <c r="B17987" s="2" t="str">
        <f>HYPERLINK("http://ts.21cn.com/tousu/show/id/1349832","暴力催收")</f>
        <v>暴力催收</v>
      </c>
      <c r="C17987" s="2" t="s">
        <v>9</v>
      </c>
      <c r="D17987" s="2" t="s">
        <v>10</v>
      </c>
      <c r="E17987" s="2" t="str">
        <f>HYPERLINK("http://ts.21cn.com/tousu/show/id/1349832","http://ts.21cn.com/tousu/show/id/1349832")</f>
        <v>http://ts.21cn.com/tousu/show/id/1349832</v>
      </c>
      <c r="F17987" s="2" t="s">
        <v>11</v>
      </c>
      <c r="G17987" s="2" t="s">
        <v>8811</v>
      </c>
      <c r="H17987" s="2" t="s">
        <v>8812</v>
      </c>
    </row>
    <row r="17988" spans="1:8" ht="25.05" customHeight="1" x14ac:dyDescent="0.25">
      <c r="A17988" s="2" t="s">
        <v>8</v>
      </c>
      <c r="B17988" s="2" t="str">
        <f>HYPERLINK("http://ts.21cn.com/tousu/show/id/1349833","投诉淘宝小二对商品不合理处罚")</f>
        <v>投诉淘宝小二对商品不合理处罚</v>
      </c>
      <c r="C17988" s="2" t="s">
        <v>9</v>
      </c>
      <c r="D17988" s="2" t="s">
        <v>10</v>
      </c>
      <c r="E17988" s="2" t="str">
        <f>HYPERLINK("http://ts.21cn.com/tousu/show/id/1349833","http://ts.21cn.com/tousu/show/id/1349833")</f>
        <v>http://ts.21cn.com/tousu/show/id/1349833</v>
      </c>
      <c r="F17988" s="2" t="s">
        <v>11</v>
      </c>
      <c r="G17988" s="2" t="s">
        <v>8809</v>
      </c>
      <c r="H17988" s="2" t="s">
        <v>8810</v>
      </c>
    </row>
    <row r="17989" spans="1:8" ht="25.05" customHeight="1" x14ac:dyDescent="0.25">
      <c r="A17989" s="2" t="s">
        <v>8</v>
      </c>
      <c r="B17989" s="2" t="str">
        <f>HYPERLINK("http://ts.21cn.com/tousu/show/id/1349835","花转转利息超高违规")</f>
        <v>花转转利息超高违规</v>
      </c>
      <c r="C17989" s="2" t="s">
        <v>9</v>
      </c>
      <c r="D17989" s="2" t="s">
        <v>10</v>
      </c>
      <c r="E17989" s="2" t="str">
        <f>HYPERLINK("http://ts.21cn.com/tousu/show/id/1349835","http://ts.21cn.com/tousu/show/id/1349835")</f>
        <v>http://ts.21cn.com/tousu/show/id/1349835</v>
      </c>
      <c r="F17989" s="2" t="s">
        <v>11</v>
      </c>
      <c r="G17989" s="2" t="s">
        <v>8807</v>
      </c>
      <c r="H17989" s="2" t="s">
        <v>8808</v>
      </c>
    </row>
    <row r="17990" spans="1:8" ht="25.05" customHeight="1" x14ac:dyDescent="0.25">
      <c r="A17990" s="2" t="s">
        <v>8</v>
      </c>
      <c r="B17990" s="2" t="str">
        <f>HYPERLINK("http://ts.21cn.com/tousu/show/id/1349836","飞贷上门吹收威胁")</f>
        <v>飞贷上门吹收威胁</v>
      </c>
      <c r="C17990" s="2" t="s">
        <v>9</v>
      </c>
      <c r="D17990" s="2" t="s">
        <v>10</v>
      </c>
      <c r="E17990" s="2" t="str">
        <f>HYPERLINK("http://ts.21cn.com/tousu/show/id/1349836","http://ts.21cn.com/tousu/show/id/1349836")</f>
        <v>http://ts.21cn.com/tousu/show/id/1349836</v>
      </c>
      <c r="F17990" s="2" t="s">
        <v>11</v>
      </c>
      <c r="G17990" s="2" t="s">
        <v>8805</v>
      </c>
      <c r="H17990" s="2" t="s">
        <v>8806</v>
      </c>
    </row>
    <row r="17991" spans="1:8" ht="25.05" customHeight="1" x14ac:dyDescent="0.25">
      <c r="A17991" s="2" t="s">
        <v>8</v>
      </c>
      <c r="B17991" s="2" t="str">
        <f>HYPERLINK("http://ts.21cn.com/tousu/show/id/1349837","不予退款")</f>
        <v>不予退款</v>
      </c>
      <c r="C17991" s="2" t="s">
        <v>9</v>
      </c>
      <c r="D17991" s="2" t="s">
        <v>10</v>
      </c>
      <c r="E17991" s="2" t="str">
        <f>HYPERLINK("http://ts.21cn.com/tousu/show/id/1349837","http://ts.21cn.com/tousu/show/id/1349837")</f>
        <v>http://ts.21cn.com/tousu/show/id/1349837</v>
      </c>
      <c r="F17991" s="2" t="s">
        <v>11</v>
      </c>
      <c r="G17991" s="2" t="s">
        <v>8803</v>
      </c>
      <c r="H17991" s="2" t="s">
        <v>8804</v>
      </c>
    </row>
    <row r="17992" spans="1:8" ht="25.05" customHeight="1" x14ac:dyDescent="0.25">
      <c r="A17992" s="2" t="s">
        <v>8</v>
      </c>
      <c r="B17992" s="2" t="str">
        <f>HYPERLINK("http://ts.21cn.com/tousu/show/id/1349810","转转无故冻结资金")</f>
        <v>转转无故冻结资金</v>
      </c>
      <c r="C17992" s="2" t="s">
        <v>9</v>
      </c>
      <c r="D17992" s="2" t="s">
        <v>10</v>
      </c>
      <c r="E17992" s="2" t="str">
        <f>HYPERLINK("http://ts.21cn.com/tousu/show/id/1349810","http://ts.21cn.com/tousu/show/id/1349810")</f>
        <v>http://ts.21cn.com/tousu/show/id/1349810</v>
      </c>
      <c r="F17992" s="2" t="s">
        <v>11</v>
      </c>
      <c r="G17992" s="2" t="s">
        <v>8801</v>
      </c>
      <c r="H17992" s="2" t="s">
        <v>8802</v>
      </c>
    </row>
    <row r="17993" spans="1:8" ht="25.05" customHeight="1" x14ac:dyDescent="0.25">
      <c r="A17993" s="2" t="s">
        <v>8</v>
      </c>
      <c r="B17993" s="2" t="str">
        <f>HYPERLINK("http://ts.21cn.com/tousu/show/id/1349838","投诉拍拍贷暴力催收及伪造律师函")</f>
        <v>投诉拍拍贷暴力催收及伪造律师函</v>
      </c>
      <c r="C17993" s="2" t="s">
        <v>9</v>
      </c>
      <c r="D17993" s="2" t="s">
        <v>10</v>
      </c>
      <c r="E17993" s="2" t="str">
        <f>HYPERLINK("http://ts.21cn.com/tousu/show/id/1349838","http://ts.21cn.com/tousu/show/id/1349838")</f>
        <v>http://ts.21cn.com/tousu/show/id/1349838</v>
      </c>
      <c r="F17993" s="2" t="s">
        <v>11</v>
      </c>
      <c r="G17993" s="2" t="s">
        <v>8799</v>
      </c>
      <c r="H17993" s="2" t="s">
        <v>8800</v>
      </c>
    </row>
    <row r="17994" spans="1:8" ht="25.05" customHeight="1" x14ac:dyDescent="0.25">
      <c r="A17994" s="2" t="s">
        <v>8</v>
      </c>
      <c r="B17994" s="2" t="str">
        <f>HYPERLINK("http://ts.21cn.com/tousu/show/id/1349839","云闪付违约支付")</f>
        <v>云闪付违约支付</v>
      </c>
      <c r="C17994" s="2" t="s">
        <v>9</v>
      </c>
      <c r="D17994" s="2" t="s">
        <v>10</v>
      </c>
      <c r="E17994" s="2" t="str">
        <f>HYPERLINK("http://ts.21cn.com/tousu/show/id/1349839","http://ts.21cn.com/tousu/show/id/1349839")</f>
        <v>http://ts.21cn.com/tousu/show/id/1349839</v>
      </c>
      <c r="F17994" s="2" t="s">
        <v>11</v>
      </c>
      <c r="G17994" s="2" t="s">
        <v>8797</v>
      </c>
      <c r="H17994" s="2" t="s">
        <v>8798</v>
      </c>
    </row>
    <row r="17995" spans="1:8" ht="25.05" customHeight="1" x14ac:dyDescent="0.25">
      <c r="A17995" s="2" t="s">
        <v>8</v>
      </c>
      <c r="B17995" s="2" t="str">
        <f>HYPERLINK("http://ts.21cn.com/tousu/show/id/1349812","高利贷")</f>
        <v>高利贷</v>
      </c>
      <c r="C17995" s="2" t="s">
        <v>9</v>
      </c>
      <c r="D17995" s="2" t="s">
        <v>10</v>
      </c>
      <c r="E17995" s="2" t="str">
        <f>HYPERLINK("http://ts.21cn.com/tousu/show/id/1349812","http://ts.21cn.com/tousu/show/id/1349812")</f>
        <v>http://ts.21cn.com/tousu/show/id/1349812</v>
      </c>
      <c r="F17995" s="2" t="s">
        <v>11</v>
      </c>
      <c r="G17995" s="2" t="s">
        <v>8795</v>
      </c>
      <c r="H17995" s="2" t="s">
        <v>8796</v>
      </c>
    </row>
    <row r="17996" spans="1:8" ht="25.05" customHeight="1" x14ac:dyDescent="0.25">
      <c r="A17996" s="2" t="s">
        <v>8</v>
      </c>
      <c r="B17996" s="2" t="str">
        <f>HYPERLINK("http://ts.21cn.com/tousu/show/id/1349840","小黄车ofo不退还押金、客服挂客户电话")</f>
        <v>小黄车ofo不退还押金、客服挂客户电话</v>
      </c>
      <c r="C17996" s="2" t="s">
        <v>9</v>
      </c>
      <c r="D17996" s="2" t="s">
        <v>10</v>
      </c>
      <c r="E17996" s="2" t="str">
        <f>HYPERLINK("http://ts.21cn.com/tousu/show/id/1349840","http://ts.21cn.com/tousu/show/id/1349840")</f>
        <v>http://ts.21cn.com/tousu/show/id/1349840</v>
      </c>
      <c r="F17996" s="2" t="s">
        <v>11</v>
      </c>
      <c r="G17996" s="2" t="s">
        <v>8793</v>
      </c>
      <c r="H17996" s="2" t="s">
        <v>8794</v>
      </c>
    </row>
    <row r="17997" spans="1:8" ht="25.05" customHeight="1" x14ac:dyDescent="0.25">
      <c r="A17997" s="2" t="s">
        <v>8</v>
      </c>
      <c r="B17997" s="2" t="str">
        <f>HYPERLINK("http://ts.21cn.com/tousu/show/id/1349841","凡普信高利套路贷")</f>
        <v>凡普信高利套路贷</v>
      </c>
      <c r="C17997" s="2" t="s">
        <v>9</v>
      </c>
      <c r="D17997" s="2" t="s">
        <v>10</v>
      </c>
      <c r="E17997" s="2" t="str">
        <f>HYPERLINK("http://ts.21cn.com/tousu/show/id/1349841","http://ts.21cn.com/tousu/show/id/1349841")</f>
        <v>http://ts.21cn.com/tousu/show/id/1349841</v>
      </c>
      <c r="F17997" s="2" t="s">
        <v>11</v>
      </c>
      <c r="G17997" s="2" t="s">
        <v>8791</v>
      </c>
      <c r="H17997" s="2" t="s">
        <v>8792</v>
      </c>
    </row>
    <row r="17998" spans="1:8" ht="25.05" customHeight="1" x14ac:dyDescent="0.25">
      <c r="A17998" s="2" t="s">
        <v>8</v>
      </c>
      <c r="B17998" s="2" t="str">
        <f>HYPERLINK("http://ts.21cn.com/tousu/show/id/1349842","恶意打标降权")</f>
        <v>恶意打标降权</v>
      </c>
      <c r="C17998" s="2" t="s">
        <v>9</v>
      </c>
      <c r="D17998" s="2" t="s">
        <v>10</v>
      </c>
      <c r="E17998" s="2" t="str">
        <f>HYPERLINK("http://ts.21cn.com/tousu/show/id/1349842","http://ts.21cn.com/tousu/show/id/1349842")</f>
        <v>http://ts.21cn.com/tousu/show/id/1349842</v>
      </c>
      <c r="F17998" s="2" t="s">
        <v>11</v>
      </c>
      <c r="G17998" s="2" t="s">
        <v>8789</v>
      </c>
      <c r="H17998" s="2" t="s">
        <v>8790</v>
      </c>
    </row>
    <row r="17999" spans="1:8" ht="25.05" customHeight="1" x14ac:dyDescent="0.25">
      <c r="A17999" s="2" t="s">
        <v>8</v>
      </c>
      <c r="B17999" s="2" t="str">
        <f>HYPERLINK("http://ts.21cn.com/tousu/show/id/1349843","淘宝和支付宝对个人支付宝止付，冻结合法钱财")</f>
        <v>淘宝和支付宝对个人支付宝止付，冻结合法钱财</v>
      </c>
      <c r="C17999" s="2" t="s">
        <v>9</v>
      </c>
      <c r="D17999" s="2" t="s">
        <v>10</v>
      </c>
      <c r="E17999" s="2" t="str">
        <f>HYPERLINK("http://ts.21cn.com/tousu/show/id/1349843","http://ts.21cn.com/tousu/show/id/1349843")</f>
        <v>http://ts.21cn.com/tousu/show/id/1349843</v>
      </c>
      <c r="F17999" s="2" t="s">
        <v>11</v>
      </c>
      <c r="G17999" s="2" t="s">
        <v>8787</v>
      </c>
      <c r="H17999" s="2" t="s">
        <v>8788</v>
      </c>
    </row>
    <row r="18000" spans="1:8" ht="25.05" customHeight="1" x14ac:dyDescent="0.25">
      <c r="A18000" s="2" t="s">
        <v>8</v>
      </c>
      <c r="B18000" s="2" t="str">
        <f>HYPERLINK("http://ts.21cn.com/tousu/show/id/1349844","现金巴士高利贷砍息")</f>
        <v>现金巴士高利贷砍息</v>
      </c>
      <c r="C18000" s="2" t="s">
        <v>9</v>
      </c>
      <c r="D18000" s="2" t="s">
        <v>10</v>
      </c>
      <c r="E18000" s="2" t="str">
        <f>HYPERLINK("http://ts.21cn.com/tousu/show/id/1349844","http://ts.21cn.com/tousu/show/id/1349844")</f>
        <v>http://ts.21cn.com/tousu/show/id/1349844</v>
      </c>
      <c r="F18000" s="2" t="s">
        <v>11</v>
      </c>
      <c r="G18000" s="2" t="s">
        <v>8785</v>
      </c>
      <c r="H18000" s="2" t="s">
        <v>8786</v>
      </c>
    </row>
    <row r="18001" spans="1:8" ht="25.05" customHeight="1" x14ac:dyDescent="0.25">
      <c r="A18001" s="2" t="s">
        <v>8</v>
      </c>
      <c r="B18001" s="2" t="str">
        <f>HYPERLINK("http://ts.21cn.com/tousu/show/id/1349845","平安i贷高利贷，协商处理")</f>
        <v>平安i贷高利贷，协商处理</v>
      </c>
      <c r="C18001" s="2" t="s">
        <v>9</v>
      </c>
      <c r="D18001" s="2" t="s">
        <v>10</v>
      </c>
      <c r="E18001" s="2" t="str">
        <f>HYPERLINK("http://ts.21cn.com/tousu/show/id/1349845","http://ts.21cn.com/tousu/show/id/1349845")</f>
        <v>http://ts.21cn.com/tousu/show/id/1349845</v>
      </c>
      <c r="F18001" s="2" t="s">
        <v>11</v>
      </c>
      <c r="G18001" s="2" t="s">
        <v>8783</v>
      </c>
      <c r="H18001" s="2" t="s">
        <v>8784</v>
      </c>
    </row>
    <row r="18002" spans="1:8" ht="25.05" customHeight="1" x14ac:dyDescent="0.25">
      <c r="A18002" s="2" t="s">
        <v>8</v>
      </c>
      <c r="B18002" s="2" t="str">
        <f>HYPERLINK("http://ts.21cn.com/tousu/show/id/1349846","贷上钱一直存在暴利催收行为，对我通讯录好友进行电话骚扰辱骂等行为")</f>
        <v>贷上钱一直存在暴利催收行为，对我通讯录好友进行电话骚扰辱骂等行为</v>
      </c>
      <c r="C18002" s="2" t="s">
        <v>9</v>
      </c>
      <c r="D18002" s="2" t="s">
        <v>10</v>
      </c>
      <c r="E18002" s="2" t="str">
        <f>HYPERLINK("http://ts.21cn.com/tousu/show/id/1349846","http://ts.21cn.com/tousu/show/id/1349846")</f>
        <v>http://ts.21cn.com/tousu/show/id/1349846</v>
      </c>
      <c r="F18002" s="2" t="s">
        <v>11</v>
      </c>
      <c r="G18002" s="2" t="s">
        <v>8781</v>
      </c>
      <c r="H18002" s="2" t="s">
        <v>8782</v>
      </c>
    </row>
    <row r="18003" spans="1:8" ht="25.05" customHeight="1" x14ac:dyDescent="0.25">
      <c r="A18003" s="2" t="s">
        <v>8</v>
      </c>
      <c r="B18003" s="2" t="str">
        <f>HYPERLINK("http://ts.21cn.com/tousu/show/id/1349847","该商家产品质量有问题，且与宣传不符。多次联系商家客服，都没有解决。")</f>
        <v>该商家产品质量有问题，且与宣传不符。多次联系商家客服，都没有解决。</v>
      </c>
      <c r="C18003" s="2" t="s">
        <v>9</v>
      </c>
      <c r="D18003" s="2" t="s">
        <v>10</v>
      </c>
      <c r="E18003" s="2" t="str">
        <f>HYPERLINK("http://ts.21cn.com/tousu/show/id/1349847","http://ts.21cn.com/tousu/show/id/1349847")</f>
        <v>http://ts.21cn.com/tousu/show/id/1349847</v>
      </c>
      <c r="F18003" s="2" t="s">
        <v>11</v>
      </c>
      <c r="G18003" s="2" t="s">
        <v>8779</v>
      </c>
      <c r="H18003" s="2" t="s">
        <v>8780</v>
      </c>
    </row>
    <row r="18004" spans="1:8" ht="25.05" customHeight="1" x14ac:dyDescent="0.25">
      <c r="A18004" s="2" t="s">
        <v>8</v>
      </c>
      <c r="B18004" s="2" t="str">
        <f>HYPERLINK("http://ts.21cn.com/tousu/show/id/1349850","钱站高利贷阴阳合同")</f>
        <v>钱站高利贷阴阳合同</v>
      </c>
      <c r="C18004" s="2" t="s">
        <v>9</v>
      </c>
      <c r="D18004" s="2" t="s">
        <v>10</v>
      </c>
      <c r="E18004" s="2" t="str">
        <f>HYPERLINK("http://ts.21cn.com/tousu/show/id/1349850","http://ts.21cn.com/tousu/show/id/1349850")</f>
        <v>http://ts.21cn.com/tousu/show/id/1349850</v>
      </c>
      <c r="F18004" s="2" t="s">
        <v>11</v>
      </c>
      <c r="G18004" s="2" t="s">
        <v>8777</v>
      </c>
      <c r="H18004" s="2" t="s">
        <v>8778</v>
      </c>
    </row>
    <row r="18005" spans="1:8" ht="25.05" customHeight="1" x14ac:dyDescent="0.25">
      <c r="A18005" s="2" t="s">
        <v>8</v>
      </c>
      <c r="B18005" s="2" t="str">
        <f>HYPERLINK("http://ts.21cn.com/tousu/show/id/1349848","孙吴县工商银行")</f>
        <v>孙吴县工商银行</v>
      </c>
      <c r="C18005" s="2" t="s">
        <v>9</v>
      </c>
      <c r="D18005" s="2" t="s">
        <v>10</v>
      </c>
      <c r="E18005" s="2" t="str">
        <f>HYPERLINK("http://ts.21cn.com/tousu/show/id/1349848","http://ts.21cn.com/tousu/show/id/1349848")</f>
        <v>http://ts.21cn.com/tousu/show/id/1349848</v>
      </c>
      <c r="F18005" s="2" t="s">
        <v>11</v>
      </c>
      <c r="G18005" s="2" t="s">
        <v>8775</v>
      </c>
      <c r="H18005" s="2" t="s">
        <v>8776</v>
      </c>
    </row>
    <row r="18006" spans="1:8" ht="25.05" customHeight="1" x14ac:dyDescent="0.25">
      <c r="A18006" s="2" t="s">
        <v>8</v>
      </c>
      <c r="B18006" s="2" t="str">
        <f>HYPERLINK("http://ts.21cn.com/tousu/show/id/1349851","国美易卡霸王条款不提供注销")</f>
        <v>国美易卡霸王条款不提供注销</v>
      </c>
      <c r="C18006" s="2" t="s">
        <v>9</v>
      </c>
      <c r="D18006" s="2" t="s">
        <v>10</v>
      </c>
      <c r="E18006" s="2" t="str">
        <f>HYPERLINK("http://ts.21cn.com/tousu/show/id/1349851","http://ts.21cn.com/tousu/show/id/1349851")</f>
        <v>http://ts.21cn.com/tousu/show/id/1349851</v>
      </c>
      <c r="F18006" s="2" t="s">
        <v>11</v>
      </c>
      <c r="G18006" s="2" t="s">
        <v>8773</v>
      </c>
      <c r="H18006" s="2" t="s">
        <v>8774</v>
      </c>
    </row>
    <row r="18007" spans="1:8" ht="25.05" customHeight="1" x14ac:dyDescent="0.25">
      <c r="A18007" s="2" t="s">
        <v>8</v>
      </c>
      <c r="B18007" s="2" t="str">
        <f>HYPERLINK("http://ts.21cn.com/tousu/show/id/1349852","宏萨（上海）信息科技有限公司恶意乱扣款盗取钱财")</f>
        <v>宏萨（上海）信息科技有限公司恶意乱扣款盗取钱财</v>
      </c>
      <c r="C18007" s="2" t="s">
        <v>9</v>
      </c>
      <c r="D18007" s="2" t="s">
        <v>10</v>
      </c>
      <c r="E18007" s="2" t="str">
        <f>HYPERLINK("http://ts.21cn.com/tousu/show/id/1349852","http://ts.21cn.com/tousu/show/id/1349852")</f>
        <v>http://ts.21cn.com/tousu/show/id/1349852</v>
      </c>
      <c r="F18007" s="2" t="s">
        <v>11</v>
      </c>
      <c r="G18007" s="2" t="s">
        <v>8771</v>
      </c>
      <c r="H18007" s="2" t="s">
        <v>8772</v>
      </c>
    </row>
    <row r="18008" spans="1:8" ht="25.05" customHeight="1" x14ac:dyDescent="0.25">
      <c r="A18008" s="2" t="s">
        <v>8</v>
      </c>
      <c r="B18008" s="2" t="str">
        <f>HYPERLINK("http://ts.21cn.com/tousu/show/id/1349854","爱白条高利贷")</f>
        <v>爱白条高利贷</v>
      </c>
      <c r="C18008" s="2" t="s">
        <v>9</v>
      </c>
      <c r="D18008" s="2" t="s">
        <v>10</v>
      </c>
      <c r="E18008" s="2" t="str">
        <f>HYPERLINK("http://ts.21cn.com/tousu/show/id/1349854","http://ts.21cn.com/tousu/show/id/1349854")</f>
        <v>http://ts.21cn.com/tousu/show/id/1349854</v>
      </c>
      <c r="F18008" s="2" t="s">
        <v>11</v>
      </c>
      <c r="G18008" s="2" t="s">
        <v>8769</v>
      </c>
      <c r="H18008" s="2" t="s">
        <v>8770</v>
      </c>
    </row>
    <row r="18009" spans="1:8" ht="25.05" customHeight="1" x14ac:dyDescent="0.25">
      <c r="A18009" s="2" t="s">
        <v>8</v>
      </c>
      <c r="B18009" s="2" t="str">
        <f>HYPERLINK("http://ts.21cn.com/tousu/show/id/1349853","宏萨上海信息科技有限公司")</f>
        <v>宏萨上海信息科技有限公司</v>
      </c>
      <c r="C18009" s="2" t="s">
        <v>9</v>
      </c>
      <c r="D18009" s="2" t="s">
        <v>10</v>
      </c>
      <c r="E18009" s="2" t="str">
        <f>HYPERLINK("http://ts.21cn.com/tousu/show/id/1349853","http://ts.21cn.com/tousu/show/id/1349853")</f>
        <v>http://ts.21cn.com/tousu/show/id/1349853</v>
      </c>
      <c r="F18009" s="2" t="s">
        <v>11</v>
      </c>
      <c r="G18009" s="2" t="s">
        <v>8767</v>
      </c>
      <c r="H18009" s="2" t="s">
        <v>8768</v>
      </c>
    </row>
    <row r="18010" spans="1:8" ht="25.05" customHeight="1" x14ac:dyDescent="0.25">
      <c r="A18010" s="2" t="s">
        <v>8</v>
      </c>
      <c r="B18010" s="2" t="str">
        <f>HYPERLINK("http://ts.21cn.com/tousu/show/id/1349856","闪电借款套路贷")</f>
        <v>闪电借款套路贷</v>
      </c>
      <c r="C18010" s="2" t="s">
        <v>9</v>
      </c>
      <c r="D18010" s="2" t="s">
        <v>10</v>
      </c>
      <c r="E18010" s="2" t="str">
        <f>HYPERLINK("http://ts.21cn.com/tousu/show/id/1349856","http://ts.21cn.com/tousu/show/id/1349856")</f>
        <v>http://ts.21cn.com/tousu/show/id/1349856</v>
      </c>
      <c r="F18010" s="2" t="s">
        <v>11</v>
      </c>
      <c r="G18010" s="2" t="s">
        <v>8765</v>
      </c>
      <c r="H18010" s="2" t="s">
        <v>8766</v>
      </c>
    </row>
    <row r="18011" spans="1:8" ht="25.05" customHeight="1" x14ac:dyDescent="0.25">
      <c r="A18011" s="2" t="s">
        <v>8</v>
      </c>
      <c r="B18011" s="2" t="str">
        <f>HYPERLINK("http://ts.21cn.com/tousu/show/id/1349855","联通易借高利贷、霸王合同")</f>
        <v>联通易借高利贷、霸王合同</v>
      </c>
      <c r="C18011" s="2" t="s">
        <v>9</v>
      </c>
      <c r="D18011" s="2" t="s">
        <v>10</v>
      </c>
      <c r="E18011" s="2" t="str">
        <f>HYPERLINK("http://ts.21cn.com/tousu/show/id/1349855","http://ts.21cn.com/tousu/show/id/1349855")</f>
        <v>http://ts.21cn.com/tousu/show/id/1349855</v>
      </c>
      <c r="F18011" s="2" t="s">
        <v>11</v>
      </c>
      <c r="G18011" s="2" t="s">
        <v>8763</v>
      </c>
      <c r="H18011" s="2" t="s">
        <v>8764</v>
      </c>
    </row>
    <row r="18012" spans="1:8" ht="25.05" customHeight="1" x14ac:dyDescent="0.25">
      <c r="A18012" s="2" t="s">
        <v>8</v>
      </c>
      <c r="B18012" s="2" t="str">
        <f>HYPERLINK("http://ts.21cn.com/tousu/show/id/1349857","骚扰家人朋友")</f>
        <v>骚扰家人朋友</v>
      </c>
      <c r="C18012" s="2" t="s">
        <v>34</v>
      </c>
      <c r="D18012" s="2" t="s">
        <v>10</v>
      </c>
      <c r="E18012" s="2" t="str">
        <f>HYPERLINK("http://ts.21cn.com/tousu/show/id/1349857","http://ts.21cn.com/tousu/show/id/1349857")</f>
        <v>http://ts.21cn.com/tousu/show/id/1349857</v>
      </c>
      <c r="F18012" s="2" t="s">
        <v>11</v>
      </c>
      <c r="G18012" s="2" t="s">
        <v>8761</v>
      </c>
      <c r="H18012" s="2" t="s">
        <v>8762</v>
      </c>
    </row>
    <row r="18013" spans="1:8" ht="25.05" customHeight="1" x14ac:dyDescent="0.25">
      <c r="A18013" s="2" t="s">
        <v>8</v>
      </c>
      <c r="B18013" s="2" t="str">
        <f>HYPERLINK("http://ts.21cn.com/tousu/show/id/1349858","爆通讯录，协商还款")</f>
        <v>爆通讯录，协商还款</v>
      </c>
      <c r="C18013" s="2" t="s">
        <v>9</v>
      </c>
      <c r="D18013" s="2" t="s">
        <v>10</v>
      </c>
      <c r="E18013" s="2" t="str">
        <f>HYPERLINK("http://ts.21cn.com/tousu/show/id/1349858","http://ts.21cn.com/tousu/show/id/1349858")</f>
        <v>http://ts.21cn.com/tousu/show/id/1349858</v>
      </c>
      <c r="F18013" s="2" t="s">
        <v>11</v>
      </c>
      <c r="G18013" s="2" t="s">
        <v>8759</v>
      </c>
      <c r="H18013" s="2" t="s">
        <v>8760</v>
      </c>
    </row>
    <row r="18014" spans="1:8" ht="25.05" customHeight="1" x14ac:dyDescent="0.25">
      <c r="A18014" s="2" t="s">
        <v>8</v>
      </c>
      <c r="B18014" s="2" t="str">
        <f>HYPERLINK("http://ts.21cn.com/tousu/show/id/1349831","快闪卡贷高利砍头不协商")</f>
        <v>快闪卡贷高利砍头不协商</v>
      </c>
      <c r="C18014" s="2" t="s">
        <v>9</v>
      </c>
      <c r="D18014" s="2" t="s">
        <v>10</v>
      </c>
      <c r="E18014" s="2" t="str">
        <f>HYPERLINK("http://ts.21cn.com/tousu/show/id/1349831","http://ts.21cn.com/tousu/show/id/1349831")</f>
        <v>http://ts.21cn.com/tousu/show/id/1349831</v>
      </c>
      <c r="F18014" s="2" t="s">
        <v>11</v>
      </c>
      <c r="G18014" s="2" t="s">
        <v>8757</v>
      </c>
      <c r="H18014" s="2" t="s">
        <v>8758</v>
      </c>
    </row>
    <row r="18015" spans="1:8" ht="25.05" customHeight="1" x14ac:dyDescent="0.25">
      <c r="A18015" s="2" t="s">
        <v>8</v>
      </c>
      <c r="B18015" s="2" t="str">
        <f>HYPERLINK("http://ts.21cn.com/tousu/show/id/1349860","砍头息，高利息，")</f>
        <v>砍头息，高利息，</v>
      </c>
      <c r="C18015" s="2" t="s">
        <v>9</v>
      </c>
      <c r="D18015" s="2" t="s">
        <v>10</v>
      </c>
      <c r="E18015" s="2" t="str">
        <f>HYPERLINK("http://ts.21cn.com/tousu/show/id/1349860","http://ts.21cn.com/tousu/show/id/1349860")</f>
        <v>http://ts.21cn.com/tousu/show/id/1349860</v>
      </c>
      <c r="F18015" s="2" t="s">
        <v>11</v>
      </c>
      <c r="G18015" s="2" t="s">
        <v>8755</v>
      </c>
      <c r="H18015" s="2" t="s">
        <v>8756</v>
      </c>
    </row>
    <row r="18016" spans="1:8" ht="25.05" customHeight="1" x14ac:dyDescent="0.25">
      <c r="A18016" s="2" t="s">
        <v>8</v>
      </c>
      <c r="B18016" s="2" t="str">
        <f>HYPERLINK("http://ts.21cn.com/tousu/show/id/1349859","好易借在我未逾期的情况下恶意拨打我通讯录")</f>
        <v>好易借在我未逾期的情况下恶意拨打我通讯录</v>
      </c>
      <c r="C18016" s="2" t="s">
        <v>9</v>
      </c>
      <c r="D18016" s="2" t="s">
        <v>10</v>
      </c>
      <c r="E18016" s="2" t="str">
        <f>HYPERLINK("http://ts.21cn.com/tousu/show/id/1349859","http://ts.21cn.com/tousu/show/id/1349859")</f>
        <v>http://ts.21cn.com/tousu/show/id/1349859</v>
      </c>
      <c r="F18016" s="2" t="s">
        <v>11</v>
      </c>
      <c r="G18016" s="2" t="s">
        <v>8753</v>
      </c>
      <c r="H18016" s="2" t="s">
        <v>8754</v>
      </c>
    </row>
    <row r="18017" spans="1:8" ht="25.05" customHeight="1" x14ac:dyDescent="0.25">
      <c r="A18017" s="2" t="s">
        <v>8</v>
      </c>
      <c r="B18017" s="2" t="str">
        <f>HYPERLINK("http://ts.21cn.com/tousu/show/id/1349864","小花钱包暴力催收")</f>
        <v>小花钱包暴力催收</v>
      </c>
      <c r="C18017" s="2" t="s">
        <v>9</v>
      </c>
      <c r="D18017" s="2" t="s">
        <v>10</v>
      </c>
      <c r="E18017" s="2" t="str">
        <f>HYPERLINK("http://ts.21cn.com/tousu/show/id/1349864","http://ts.21cn.com/tousu/show/id/1349864")</f>
        <v>http://ts.21cn.com/tousu/show/id/1349864</v>
      </c>
      <c r="F18017" s="2" t="s">
        <v>11</v>
      </c>
      <c r="G18017" s="2" t="s">
        <v>8751</v>
      </c>
      <c r="H18017" s="2" t="s">
        <v>8752</v>
      </c>
    </row>
    <row r="18018" spans="1:8" ht="25.05" customHeight="1" x14ac:dyDescent="0.25">
      <c r="A18018" s="2" t="s">
        <v>8</v>
      </c>
      <c r="B18018" s="2" t="str">
        <f>HYPERLINK("http://ts.21cn.com/tousu/show/id/1349865","小黑鲨典型高利贷")</f>
        <v>小黑鲨典型高利贷</v>
      </c>
      <c r="C18018" s="2" t="s">
        <v>9</v>
      </c>
      <c r="D18018" s="2" t="s">
        <v>10</v>
      </c>
      <c r="E18018" s="2" t="str">
        <f>HYPERLINK("http://ts.21cn.com/tousu/show/id/1349865","http://ts.21cn.com/tousu/show/id/1349865")</f>
        <v>http://ts.21cn.com/tousu/show/id/1349865</v>
      </c>
      <c r="F18018" s="2" t="s">
        <v>11</v>
      </c>
      <c r="G18018" s="2" t="s">
        <v>8749</v>
      </c>
      <c r="H18018" s="2" t="s">
        <v>8750</v>
      </c>
    </row>
    <row r="18019" spans="1:8" ht="25.05" customHeight="1" x14ac:dyDescent="0.25">
      <c r="A18019" s="2" t="s">
        <v>8</v>
      </c>
      <c r="B18019" s="2" t="str">
        <f>HYPERLINK("http://ts.21cn.com/tousu/show/id/1349867","美团退款问题")</f>
        <v>美团退款问题</v>
      </c>
      <c r="C18019" s="2" t="s">
        <v>9</v>
      </c>
      <c r="D18019" s="2" t="s">
        <v>10</v>
      </c>
      <c r="E18019" s="2" t="str">
        <f>HYPERLINK("http://ts.21cn.com/tousu/show/id/1349867","http://ts.21cn.com/tousu/show/id/1349867")</f>
        <v>http://ts.21cn.com/tousu/show/id/1349867</v>
      </c>
      <c r="F18019" s="2" t="s">
        <v>11</v>
      </c>
      <c r="G18019" s="2" t="s">
        <v>8747</v>
      </c>
      <c r="H18019" s="2" t="s">
        <v>8748</v>
      </c>
    </row>
    <row r="18020" spans="1:8" ht="25.05" customHeight="1" x14ac:dyDescent="0.25">
      <c r="A18020" s="2" t="s">
        <v>8</v>
      </c>
      <c r="B18020" s="2" t="str">
        <f>HYPERLINK("http://ts.21cn.com/tousu/show/id/1349870","捷信金融高利贷套路贷款")</f>
        <v>捷信金融高利贷套路贷款</v>
      </c>
      <c r="C18020" s="2" t="s">
        <v>9</v>
      </c>
      <c r="D18020" s="2" t="s">
        <v>10</v>
      </c>
      <c r="E18020" s="2" t="str">
        <f>HYPERLINK("http://ts.21cn.com/tousu/show/id/1349870","http://ts.21cn.com/tousu/show/id/1349870")</f>
        <v>http://ts.21cn.com/tousu/show/id/1349870</v>
      </c>
      <c r="F18020" s="2" t="s">
        <v>11</v>
      </c>
      <c r="G18020" s="2" t="s">
        <v>8745</v>
      </c>
      <c r="H18020" s="2" t="s">
        <v>8746</v>
      </c>
    </row>
    <row r="18021" spans="1:8" ht="25.05" customHeight="1" x14ac:dyDescent="0.25">
      <c r="A18021" s="2" t="s">
        <v>8</v>
      </c>
      <c r="B18021" s="2" t="str">
        <f>HYPERLINK("http://ts.21cn.com/tousu/show/id/1349869","银行卡被中国银联广东分公司专户半夜盗刷")</f>
        <v>银行卡被中国银联广东分公司专户半夜盗刷</v>
      </c>
      <c r="C18021" s="2" t="s">
        <v>9</v>
      </c>
      <c r="D18021" s="2" t="s">
        <v>10</v>
      </c>
      <c r="E18021" s="2" t="str">
        <f>HYPERLINK("http://ts.21cn.com/tousu/show/id/1349869","http://ts.21cn.com/tousu/show/id/1349869")</f>
        <v>http://ts.21cn.com/tousu/show/id/1349869</v>
      </c>
      <c r="F18021" s="2" t="s">
        <v>11</v>
      </c>
      <c r="G18021" s="2" t="s">
        <v>8743</v>
      </c>
      <c r="H18021" s="2" t="s">
        <v>8744</v>
      </c>
    </row>
    <row r="18022" spans="1:8" ht="25.05" customHeight="1" x14ac:dyDescent="0.25">
      <c r="A18022" s="2" t="s">
        <v>8</v>
      </c>
      <c r="B18022" s="2" t="str">
        <f>HYPERLINK("http://ts.21cn.com/tousu/show/id/1349872","来分期还款日无限打电话严重影响生活")</f>
        <v>来分期还款日无限打电话严重影响生活</v>
      </c>
      <c r="C18022" s="2" t="s">
        <v>9</v>
      </c>
      <c r="D18022" s="2" t="s">
        <v>10</v>
      </c>
      <c r="E18022" s="2" t="str">
        <f>HYPERLINK("http://ts.21cn.com/tousu/show/id/1349872","http://ts.21cn.com/tousu/show/id/1349872")</f>
        <v>http://ts.21cn.com/tousu/show/id/1349872</v>
      </c>
      <c r="F18022" s="2" t="s">
        <v>11</v>
      </c>
      <c r="G18022" s="2" t="s">
        <v>8741</v>
      </c>
      <c r="H18022" s="2" t="s">
        <v>8742</v>
      </c>
    </row>
    <row r="18023" spans="1:8" ht="25.05" customHeight="1" x14ac:dyDescent="0.25">
      <c r="A18023" s="2" t="s">
        <v>8</v>
      </c>
      <c r="B18023" s="2" t="str">
        <f>HYPERLINK("http://ts.21cn.com/tousu/show/id/1349875","招联金融暴力催收")</f>
        <v>招联金融暴力催收</v>
      </c>
      <c r="C18023" s="2" t="s">
        <v>9</v>
      </c>
      <c r="D18023" s="2" t="s">
        <v>10</v>
      </c>
      <c r="E18023" s="2" t="str">
        <f>HYPERLINK("http://ts.21cn.com/tousu/show/id/1349875","http://ts.21cn.com/tousu/show/id/1349875")</f>
        <v>http://ts.21cn.com/tousu/show/id/1349875</v>
      </c>
      <c r="F18023" s="2" t="s">
        <v>11</v>
      </c>
      <c r="G18023" s="2" t="s">
        <v>8739</v>
      </c>
      <c r="H18023" s="2" t="s">
        <v>8740</v>
      </c>
    </row>
    <row r="18024" spans="1:8" ht="25.05" customHeight="1" x14ac:dyDescent="0.25">
      <c r="A18024" s="2" t="s">
        <v>8</v>
      </c>
      <c r="B18024" s="2" t="str">
        <f>HYPERLINK("http://ts.21cn.com/tousu/show/id/1349873","初九钱包")</f>
        <v>初九钱包</v>
      </c>
      <c r="C18024" s="2" t="s">
        <v>9</v>
      </c>
      <c r="D18024" s="2" t="s">
        <v>10</v>
      </c>
      <c r="E18024" s="2" t="str">
        <f>HYPERLINK("http://ts.21cn.com/tousu/show/id/1349873","http://ts.21cn.com/tousu/show/id/1349873")</f>
        <v>http://ts.21cn.com/tousu/show/id/1349873</v>
      </c>
      <c r="F18024" s="2" t="s">
        <v>11</v>
      </c>
      <c r="G18024" s="2" t="s">
        <v>8737</v>
      </c>
      <c r="H18024" s="2" t="s">
        <v>8738</v>
      </c>
    </row>
    <row r="18025" spans="1:8" ht="25.05" customHeight="1" x14ac:dyDescent="0.25">
      <c r="A18025" s="2" t="s">
        <v>8</v>
      </c>
      <c r="B18025" s="2" t="str">
        <f>HYPERLINK("http://ts.21cn.com/tousu/show/id/1349874","接不到单")</f>
        <v>接不到单</v>
      </c>
      <c r="C18025" s="2" t="s">
        <v>34</v>
      </c>
      <c r="D18025" s="2" t="s">
        <v>10</v>
      </c>
      <c r="E18025" s="2" t="str">
        <f>HYPERLINK("http://ts.21cn.com/tousu/show/id/1349874","http://ts.21cn.com/tousu/show/id/1349874")</f>
        <v>http://ts.21cn.com/tousu/show/id/1349874</v>
      </c>
      <c r="F18025" s="2" t="s">
        <v>11</v>
      </c>
      <c r="G18025" s="2" t="s">
        <v>8735</v>
      </c>
      <c r="H18025" s="2" t="s">
        <v>8736</v>
      </c>
    </row>
    <row r="18026" spans="1:8" ht="25.05" customHeight="1" x14ac:dyDescent="0.25">
      <c r="A18026" s="2" t="s">
        <v>8</v>
      </c>
      <c r="B18026" s="2" t="str">
        <f>HYPERLINK("http://ts.21cn.com/tousu/show/id/1349877","微信无故冻结我的资金")</f>
        <v>微信无故冻结我的资金</v>
      </c>
      <c r="C18026" s="2" t="s">
        <v>9</v>
      </c>
      <c r="D18026" s="2" t="s">
        <v>10</v>
      </c>
      <c r="E18026" s="2" t="str">
        <f>HYPERLINK("http://ts.21cn.com/tousu/show/id/1349877","http://ts.21cn.com/tousu/show/id/1349877")</f>
        <v>http://ts.21cn.com/tousu/show/id/1349877</v>
      </c>
      <c r="F18026" s="2" t="s">
        <v>11</v>
      </c>
      <c r="G18026" s="2" t="s">
        <v>8733</v>
      </c>
      <c r="H18026" s="2" t="s">
        <v>8734</v>
      </c>
    </row>
    <row r="18027" spans="1:8" ht="25.05" customHeight="1" x14ac:dyDescent="0.25">
      <c r="A18027" s="2" t="s">
        <v>8</v>
      </c>
      <c r="B18027" s="2" t="str">
        <f>HYPERLINK("http://ts.21cn.com/tousu/show/id/1349878","恶意信息加恐吓")</f>
        <v>恶意信息加恐吓</v>
      </c>
      <c r="C18027" s="2" t="s">
        <v>9</v>
      </c>
      <c r="D18027" s="2" t="s">
        <v>10</v>
      </c>
      <c r="E18027" s="2" t="str">
        <f>HYPERLINK("http://ts.21cn.com/tousu/show/id/1349878","http://ts.21cn.com/tousu/show/id/1349878")</f>
        <v>http://ts.21cn.com/tousu/show/id/1349878</v>
      </c>
      <c r="F18027" s="2" t="s">
        <v>11</v>
      </c>
      <c r="G18027" s="2" t="s">
        <v>8731</v>
      </c>
      <c r="H18027" s="2" t="s">
        <v>8732</v>
      </c>
    </row>
    <row r="18028" spans="1:8" ht="25.05" customHeight="1" x14ac:dyDescent="0.25">
      <c r="A18028" s="2" t="s">
        <v>8</v>
      </c>
      <c r="B18028" s="2" t="str">
        <f>HYPERLINK("http://ts.21cn.com/tousu/show/id/1349879","京东以不能更改发票抬头为由拒绝重开发票")</f>
        <v>京东以不能更改发票抬头为由拒绝重开发票</v>
      </c>
      <c r="C18028" s="2" t="s">
        <v>9</v>
      </c>
      <c r="D18028" s="2" t="s">
        <v>10</v>
      </c>
      <c r="E18028" s="2" t="str">
        <f>HYPERLINK("http://ts.21cn.com/tousu/show/id/1349879","http://ts.21cn.com/tousu/show/id/1349879")</f>
        <v>http://ts.21cn.com/tousu/show/id/1349879</v>
      </c>
      <c r="F18028" s="2" t="s">
        <v>11</v>
      </c>
      <c r="G18028" s="2" t="s">
        <v>8728</v>
      </c>
      <c r="H18028" s="2" t="s">
        <v>8729</v>
      </c>
    </row>
    <row r="18029" spans="1:8" ht="25.05" customHeight="1" x14ac:dyDescent="0.25">
      <c r="A18029" s="2" t="s">
        <v>8</v>
      </c>
      <c r="B18029" s="2" t="str">
        <f>HYPERLINK("http://ts.21cn.com/tousu/show/id/1349880","233游戏客服服务态度超级差半天没人有人也不搭理你！")</f>
        <v>233游戏客服服务态度超级差半天没人有人也不搭理你！</v>
      </c>
      <c r="C18029" s="2" t="s">
        <v>9</v>
      </c>
      <c r="D18029" s="2" t="s">
        <v>10</v>
      </c>
      <c r="E18029" s="2" t="str">
        <f>HYPERLINK("http://ts.21cn.com/tousu/show/id/1349880","http://ts.21cn.com/tousu/show/id/1349880")</f>
        <v>http://ts.21cn.com/tousu/show/id/1349880</v>
      </c>
      <c r="F18029" s="2" t="s">
        <v>11</v>
      </c>
      <c r="G18029" s="2" t="s">
        <v>8728</v>
      </c>
      <c r="H18029" s="2" t="s">
        <v>8730</v>
      </c>
    </row>
    <row r="18030" spans="1:8" ht="25.05" customHeight="1" x14ac:dyDescent="0.25">
      <c r="A18030" s="2" t="s">
        <v>8</v>
      </c>
      <c r="B18030" s="2" t="str">
        <f>HYPERLINK("http://ts.21cn.com/tousu/show/id/1349882","钱站阴阳合同")</f>
        <v>钱站阴阳合同</v>
      </c>
      <c r="C18030" s="2" t="s">
        <v>9</v>
      </c>
      <c r="D18030" s="2" t="s">
        <v>10</v>
      </c>
      <c r="E18030" s="2" t="str">
        <f>HYPERLINK("http://ts.21cn.com/tousu/show/id/1349882","http://ts.21cn.com/tousu/show/id/1349882")</f>
        <v>http://ts.21cn.com/tousu/show/id/1349882</v>
      </c>
      <c r="F18030" s="2" t="s">
        <v>11</v>
      </c>
      <c r="G18030" s="2" t="s">
        <v>8726</v>
      </c>
      <c r="H18030" s="2" t="s">
        <v>8727</v>
      </c>
    </row>
    <row r="18031" spans="1:8" ht="25.05" customHeight="1" x14ac:dyDescent="0.25">
      <c r="A18031" s="2" t="s">
        <v>8</v>
      </c>
      <c r="B18031" s="2" t="str">
        <f>HYPERLINK("http://ts.21cn.com/tousu/show/id/1349883","手机丢在美团打车上，被后面乘客捡到，希望美团提供后面乘客联系电话")</f>
        <v>手机丢在美团打车上，被后面乘客捡到，希望美团提供后面乘客联系电话</v>
      </c>
      <c r="C18031" s="2" t="s">
        <v>34</v>
      </c>
      <c r="D18031" s="2" t="s">
        <v>10</v>
      </c>
      <c r="E18031" s="2" t="str">
        <f>HYPERLINK("http://ts.21cn.com/tousu/show/id/1349883","http://ts.21cn.com/tousu/show/id/1349883")</f>
        <v>http://ts.21cn.com/tousu/show/id/1349883</v>
      </c>
      <c r="F18031" s="2" t="s">
        <v>11</v>
      </c>
      <c r="G18031" s="2" t="s">
        <v>8724</v>
      </c>
      <c r="H18031" s="2" t="s">
        <v>8725</v>
      </c>
    </row>
    <row r="18032" spans="1:8" ht="25.05" customHeight="1" x14ac:dyDescent="0.25">
      <c r="A18032" s="2" t="s">
        <v>8</v>
      </c>
      <c r="B18032" s="2" t="str">
        <f>HYPERLINK("http://ts.21cn.com/tousu/show/id/1349884","霸王条款不给退费")</f>
        <v>霸王条款不给退费</v>
      </c>
      <c r="C18032" s="2" t="s">
        <v>9</v>
      </c>
      <c r="D18032" s="2" t="s">
        <v>10</v>
      </c>
      <c r="E18032" s="2" t="str">
        <f>HYPERLINK("http://ts.21cn.com/tousu/show/id/1349884","http://ts.21cn.com/tousu/show/id/1349884")</f>
        <v>http://ts.21cn.com/tousu/show/id/1349884</v>
      </c>
      <c r="F18032" s="2" t="s">
        <v>11</v>
      </c>
      <c r="G18032" s="2" t="s">
        <v>8722</v>
      </c>
      <c r="H18032" s="2" t="s">
        <v>8723</v>
      </c>
    </row>
    <row r="18033" spans="1:8" ht="25.05" customHeight="1" x14ac:dyDescent="0.25">
      <c r="A18033" s="2" t="s">
        <v>8</v>
      </c>
      <c r="B18033" s="2" t="str">
        <f>HYPERLINK("http://ts.21cn.com/tousu/show/id/1349863","我来数科（我来贷）借款欺诈")</f>
        <v>我来数科（我来贷）借款欺诈</v>
      </c>
      <c r="C18033" s="2" t="s">
        <v>9</v>
      </c>
      <c r="D18033" s="2" t="s">
        <v>10</v>
      </c>
      <c r="E18033" s="2" t="str">
        <f>HYPERLINK("http://ts.21cn.com/tousu/show/id/1349863","http://ts.21cn.com/tousu/show/id/1349863")</f>
        <v>http://ts.21cn.com/tousu/show/id/1349863</v>
      </c>
      <c r="F18033" s="2" t="s">
        <v>11</v>
      </c>
      <c r="G18033" s="2" t="s">
        <v>8720</v>
      </c>
      <c r="H18033" s="2" t="s">
        <v>8721</v>
      </c>
    </row>
    <row r="18034" spans="1:8" ht="25.05" customHeight="1" x14ac:dyDescent="0.25">
      <c r="A18034" s="2" t="s">
        <v>8</v>
      </c>
      <c r="B18034" s="2" t="str">
        <f>HYPERLINK("http://ts.21cn.com/tousu/show/id/1349885","还款过后不帮我结清")</f>
        <v>还款过后不帮我结清</v>
      </c>
      <c r="C18034" s="2" t="s">
        <v>9</v>
      </c>
      <c r="D18034" s="2" t="s">
        <v>10</v>
      </c>
      <c r="E18034" s="2" t="str">
        <f>HYPERLINK("http://ts.21cn.com/tousu/show/id/1349885","http://ts.21cn.com/tousu/show/id/1349885")</f>
        <v>http://ts.21cn.com/tousu/show/id/1349885</v>
      </c>
      <c r="F18034" s="2" t="s">
        <v>11</v>
      </c>
      <c r="G18034" s="2" t="s">
        <v>8718</v>
      </c>
      <c r="H18034" s="2" t="s">
        <v>8719</v>
      </c>
    </row>
    <row r="18035" spans="1:8" ht="25.05" customHeight="1" x14ac:dyDescent="0.25">
      <c r="A18035" s="2" t="s">
        <v>8</v>
      </c>
      <c r="B18035" s="2" t="str">
        <f>HYPERLINK("http://ts.21cn.com/tousu/show/id/1349889","拒绝骚扰并且销号")</f>
        <v>拒绝骚扰并且销号</v>
      </c>
      <c r="C18035" s="2" t="s">
        <v>9</v>
      </c>
      <c r="D18035" s="2" t="s">
        <v>10</v>
      </c>
      <c r="E18035" s="2" t="str">
        <f>HYPERLINK("http://ts.21cn.com/tousu/show/id/1349889","http://ts.21cn.com/tousu/show/id/1349889")</f>
        <v>http://ts.21cn.com/tousu/show/id/1349889</v>
      </c>
      <c r="F18035" s="2" t="s">
        <v>11</v>
      </c>
      <c r="G18035" s="2" t="s">
        <v>8716</v>
      </c>
      <c r="H18035" s="2" t="s">
        <v>8717</v>
      </c>
    </row>
    <row r="18036" spans="1:8" ht="25.05" customHeight="1" x14ac:dyDescent="0.25">
      <c r="A18036" s="2" t="s">
        <v>8</v>
      </c>
      <c r="B18036" s="2" t="str">
        <f>HYPERLINK("http://ts.21cn.com/tousu/show/id/1349887","国美易卡不给提前结清，管理费不明不白")</f>
        <v>国美易卡不给提前结清，管理费不明不白</v>
      </c>
      <c r="C18036" s="2" t="s">
        <v>9</v>
      </c>
      <c r="D18036" s="2" t="s">
        <v>10</v>
      </c>
      <c r="E18036" s="2" t="str">
        <f>HYPERLINK("http://ts.21cn.com/tousu/show/id/1349887","http://ts.21cn.com/tousu/show/id/1349887")</f>
        <v>http://ts.21cn.com/tousu/show/id/1349887</v>
      </c>
      <c r="F18036" s="2" t="s">
        <v>11</v>
      </c>
      <c r="G18036" s="2" t="s">
        <v>8714</v>
      </c>
      <c r="H18036" s="2" t="s">
        <v>8715</v>
      </c>
    </row>
    <row r="18037" spans="1:8" ht="25.05" customHeight="1" x14ac:dyDescent="0.25">
      <c r="A18037" s="2" t="s">
        <v>8</v>
      </c>
      <c r="B18037" s="2" t="str">
        <f>HYPERLINK("http://ts.21cn.com/tousu/show/id/1349892","新浪微博给高利贷公司做导流平台")</f>
        <v>新浪微博给高利贷公司做导流平台</v>
      </c>
      <c r="C18037" s="2" t="s">
        <v>9</v>
      </c>
      <c r="D18037" s="2" t="s">
        <v>10</v>
      </c>
      <c r="E18037" s="2" t="str">
        <f>HYPERLINK("http://ts.21cn.com/tousu/show/id/1349892","http://ts.21cn.com/tousu/show/id/1349892")</f>
        <v>http://ts.21cn.com/tousu/show/id/1349892</v>
      </c>
      <c r="F18037" s="2" t="s">
        <v>11</v>
      </c>
      <c r="G18037" s="2" t="s">
        <v>8712</v>
      </c>
      <c r="H18037" s="2" t="s">
        <v>8713</v>
      </c>
    </row>
    <row r="18038" spans="1:8" ht="25.05" customHeight="1" x14ac:dyDescent="0.25">
      <c r="A18038" s="2" t="s">
        <v>8</v>
      </c>
      <c r="B18038" s="2" t="str">
        <f>HYPERLINK("http://ts.21cn.com/tousu/show/id/1349888","上海中谷小金金融信息服务有限公司与现金巴士变相套路贷合作，违法放款，通联支付在本人不知情的情况下扣款银行卡里的钱")</f>
        <v>上海中谷小金金融信息服务有限公司与现金巴士变相套路贷合作，违法放款，通联支付在本人不知情的情况下扣款银行卡里的钱</v>
      </c>
      <c r="C18038" s="2" t="s">
        <v>9</v>
      </c>
      <c r="D18038" s="2" t="s">
        <v>10</v>
      </c>
      <c r="E18038" s="2" t="str">
        <f>HYPERLINK("http://ts.21cn.com/tousu/show/id/1349888","http://ts.21cn.com/tousu/show/id/1349888")</f>
        <v>http://ts.21cn.com/tousu/show/id/1349888</v>
      </c>
      <c r="F18038" s="2" t="s">
        <v>11</v>
      </c>
      <c r="G18038" s="2" t="s">
        <v>8710</v>
      </c>
      <c r="H18038" s="2" t="s">
        <v>8711</v>
      </c>
    </row>
    <row r="18039" spans="1:8" ht="25.05" customHeight="1" x14ac:dyDescent="0.25">
      <c r="A18039" s="2" t="s">
        <v>8</v>
      </c>
      <c r="B18039" s="2" t="str">
        <f>HYPERLINK("http://ts.21cn.com/tousu/show/id/1349890","暴力催收威胁恐吓")</f>
        <v>暴力催收威胁恐吓</v>
      </c>
      <c r="C18039" s="2" t="s">
        <v>9</v>
      </c>
      <c r="D18039" s="2" t="s">
        <v>10</v>
      </c>
      <c r="E18039" s="2" t="str">
        <f>HYPERLINK("http://ts.21cn.com/tousu/show/id/1349890","http://ts.21cn.com/tousu/show/id/1349890")</f>
        <v>http://ts.21cn.com/tousu/show/id/1349890</v>
      </c>
      <c r="F18039" s="2" t="s">
        <v>11</v>
      </c>
      <c r="G18039" s="2" t="s">
        <v>8707</v>
      </c>
      <c r="H18039" s="2" t="s">
        <v>8708</v>
      </c>
    </row>
    <row r="18040" spans="1:8" ht="25.05" customHeight="1" x14ac:dyDescent="0.25">
      <c r="A18040" s="2" t="s">
        <v>8</v>
      </c>
      <c r="B18040" s="2" t="str">
        <f>HYPERLINK("http://ts.21cn.com/tousu/show/id/1349891","爱钱进钱站客服联系不上")</f>
        <v>爱钱进钱站客服联系不上</v>
      </c>
      <c r="C18040" s="2" t="s">
        <v>9</v>
      </c>
      <c r="D18040" s="2" t="s">
        <v>10</v>
      </c>
      <c r="E18040" s="2" t="str">
        <f>HYPERLINK("http://ts.21cn.com/tousu/show/id/1349891","http://ts.21cn.com/tousu/show/id/1349891")</f>
        <v>http://ts.21cn.com/tousu/show/id/1349891</v>
      </c>
      <c r="F18040" s="2" t="s">
        <v>11</v>
      </c>
      <c r="G18040" s="2" t="s">
        <v>8707</v>
      </c>
      <c r="H18040" s="2" t="s">
        <v>8709</v>
      </c>
    </row>
    <row r="18041" spans="1:8" ht="25.05" customHeight="1" x14ac:dyDescent="0.25">
      <c r="A18041" s="2" t="s">
        <v>8</v>
      </c>
      <c r="B18041" s="2" t="str">
        <f>HYPERLINK("http://ts.21cn.com/tousu/show/id/1349894","交通银行每天打骚扰电话")</f>
        <v>交通银行每天打骚扰电话</v>
      </c>
      <c r="C18041" s="2" t="s">
        <v>9</v>
      </c>
      <c r="D18041" s="2" t="s">
        <v>10</v>
      </c>
      <c r="E18041" s="2" t="str">
        <f>HYPERLINK("http://ts.21cn.com/tousu/show/id/1349894","http://ts.21cn.com/tousu/show/id/1349894")</f>
        <v>http://ts.21cn.com/tousu/show/id/1349894</v>
      </c>
      <c r="F18041" s="2" t="s">
        <v>11</v>
      </c>
      <c r="G18041" s="2" t="s">
        <v>8704</v>
      </c>
      <c r="H18041" s="2" t="s">
        <v>8705</v>
      </c>
    </row>
    <row r="18042" spans="1:8" ht="25.05" customHeight="1" x14ac:dyDescent="0.25">
      <c r="A18042" s="2" t="s">
        <v>8</v>
      </c>
      <c r="B18042" s="2" t="str">
        <f>HYPERLINK("http://ts.21cn.com/tousu/show/id/1349897","逾期费用超过国家法定。")</f>
        <v>逾期费用超过国家法定。</v>
      </c>
      <c r="C18042" s="2" t="s">
        <v>34</v>
      </c>
      <c r="D18042" s="2" t="s">
        <v>10</v>
      </c>
      <c r="E18042" s="2" t="str">
        <f>HYPERLINK("http://ts.21cn.com/tousu/show/id/1349897","http://ts.21cn.com/tousu/show/id/1349897")</f>
        <v>http://ts.21cn.com/tousu/show/id/1349897</v>
      </c>
      <c r="F18042" s="2" t="s">
        <v>11</v>
      </c>
      <c r="G18042" s="2" t="s">
        <v>8704</v>
      </c>
      <c r="H18042" s="2" t="s">
        <v>8706</v>
      </c>
    </row>
    <row r="18043" spans="1:8" ht="25.05" customHeight="1" x14ac:dyDescent="0.25">
      <c r="A18043" s="2" t="s">
        <v>8</v>
      </c>
      <c r="B18043" s="2" t="str">
        <f>HYPERLINK("http://ts.21cn.com/tousu/show/id/1349895","青客公寓不退押金")</f>
        <v>青客公寓不退押金</v>
      </c>
      <c r="C18043" s="2" t="s">
        <v>34</v>
      </c>
      <c r="D18043" s="2" t="s">
        <v>10</v>
      </c>
      <c r="E18043" s="2" t="str">
        <f>HYPERLINK("http://ts.21cn.com/tousu/show/id/1349895","http://ts.21cn.com/tousu/show/id/1349895")</f>
        <v>http://ts.21cn.com/tousu/show/id/1349895</v>
      </c>
      <c r="F18043" s="2" t="s">
        <v>11</v>
      </c>
      <c r="G18043" s="2" t="s">
        <v>8702</v>
      </c>
      <c r="H18043" s="2" t="s">
        <v>8703</v>
      </c>
    </row>
    <row r="18044" spans="1:8" ht="25.05" customHeight="1" x14ac:dyDescent="0.25">
      <c r="A18044" s="2" t="s">
        <v>8</v>
      </c>
      <c r="B18044" s="2" t="str">
        <f>HYPERLINK("http://ts.21cn.com/tousu/show/id/1349896","招联金融委托催收公司冒充公检法对我进行恐吓（有录音）")</f>
        <v>招联金融委托催收公司冒充公检法对我进行恐吓（有录音）</v>
      </c>
      <c r="C18044" s="2" t="s">
        <v>9</v>
      </c>
      <c r="D18044" s="2" t="s">
        <v>10</v>
      </c>
      <c r="E18044" s="2" t="str">
        <f>HYPERLINK("http://ts.21cn.com/tousu/show/id/1349896","http://ts.21cn.com/tousu/show/id/1349896")</f>
        <v>http://ts.21cn.com/tousu/show/id/1349896</v>
      </c>
      <c r="F18044" s="2" t="s">
        <v>11</v>
      </c>
      <c r="G18044" s="2" t="s">
        <v>8700</v>
      </c>
      <c r="H18044" s="2" t="s">
        <v>8701</v>
      </c>
    </row>
    <row r="18045" spans="1:8" ht="25.05" customHeight="1" x14ac:dyDescent="0.25">
      <c r="A18045" s="2" t="s">
        <v>8</v>
      </c>
      <c r="B18045" s="2" t="str">
        <f>HYPERLINK("http://ts.21cn.com/tousu/show/id/1349900","及贷骚扰家人高利贷")</f>
        <v>及贷骚扰家人高利贷</v>
      </c>
      <c r="C18045" s="2" t="s">
        <v>9</v>
      </c>
      <c r="D18045" s="2" t="s">
        <v>10</v>
      </c>
      <c r="E18045" s="2" t="str">
        <f>HYPERLINK("http://ts.21cn.com/tousu/show/id/1349900","http://ts.21cn.com/tousu/show/id/1349900")</f>
        <v>http://ts.21cn.com/tousu/show/id/1349900</v>
      </c>
      <c r="F18045" s="2" t="s">
        <v>11</v>
      </c>
      <c r="G18045" s="2" t="s">
        <v>8698</v>
      </c>
      <c r="H18045" s="2" t="s">
        <v>8699</v>
      </c>
    </row>
    <row r="18046" spans="1:8" ht="25.05" customHeight="1" x14ac:dyDescent="0.25">
      <c r="A18046" s="2" t="s">
        <v>8</v>
      </c>
      <c r="B18046" s="2" t="str">
        <f>HYPERLINK("http://ts.21cn.com/tousu/show/id/1349871","易贷分期通过借贷宝套路贷")</f>
        <v>易贷分期通过借贷宝套路贷</v>
      </c>
      <c r="C18046" s="2" t="s">
        <v>9</v>
      </c>
      <c r="D18046" s="2" t="s">
        <v>10</v>
      </c>
      <c r="E18046" s="2" t="str">
        <f>HYPERLINK("http://ts.21cn.com/tousu/show/id/1349871","http://ts.21cn.com/tousu/show/id/1349871")</f>
        <v>http://ts.21cn.com/tousu/show/id/1349871</v>
      </c>
      <c r="F18046" s="2" t="s">
        <v>11</v>
      </c>
      <c r="G18046" s="2" t="s">
        <v>8698</v>
      </c>
      <c r="H18046" s="2" t="s">
        <v>8467</v>
      </c>
    </row>
    <row r="18047" spans="1:8" ht="25.05" customHeight="1" x14ac:dyDescent="0.25">
      <c r="A18047" s="2" t="s">
        <v>8</v>
      </c>
      <c r="B18047" s="2" t="str">
        <f>HYPERLINK("http://ts.21cn.com/tousu/show/id/1349898","希望给个合理的答复")</f>
        <v>希望给个合理的答复</v>
      </c>
      <c r="C18047" s="2" t="s">
        <v>9</v>
      </c>
      <c r="D18047" s="2" t="s">
        <v>10</v>
      </c>
      <c r="E18047" s="2" t="str">
        <f>HYPERLINK("http://ts.21cn.com/tousu/show/id/1349898","http://ts.21cn.com/tousu/show/id/1349898")</f>
        <v>http://ts.21cn.com/tousu/show/id/1349898</v>
      </c>
      <c r="F18047" s="2" t="s">
        <v>11</v>
      </c>
      <c r="G18047" s="2" t="s">
        <v>8696</v>
      </c>
      <c r="H18047" s="2" t="s">
        <v>8697</v>
      </c>
    </row>
    <row r="18048" spans="1:8" ht="25.05" customHeight="1" x14ac:dyDescent="0.25">
      <c r="A18048" s="2" t="s">
        <v>8</v>
      </c>
      <c r="B18048" s="2" t="str">
        <f>HYPERLINK("http://ts.21cn.com/tousu/show/id/1349899","黑心蓝店")</f>
        <v>黑心蓝店</v>
      </c>
      <c r="C18048" s="2" t="s">
        <v>9</v>
      </c>
      <c r="D18048" s="2" t="s">
        <v>10</v>
      </c>
      <c r="E18048" s="2" t="str">
        <f>HYPERLINK("http://ts.21cn.com/tousu/show/id/1349899","http://ts.21cn.com/tousu/show/id/1349899")</f>
        <v>http://ts.21cn.com/tousu/show/id/1349899</v>
      </c>
      <c r="F18048" s="2" t="s">
        <v>11</v>
      </c>
      <c r="G18048" s="2" t="s">
        <v>8694</v>
      </c>
      <c r="H18048" s="2" t="s">
        <v>8695</v>
      </c>
    </row>
    <row r="18049" spans="1:8" ht="25.05" customHeight="1" x14ac:dyDescent="0.25">
      <c r="A18049" s="2" t="s">
        <v>8</v>
      </c>
      <c r="B18049" s="2" t="str">
        <f>HYPERLINK("http://ts.21cn.com/tousu/show/id/1349901","汇潮支付为套路贷提供通道")</f>
        <v>汇潮支付为套路贷提供通道</v>
      </c>
      <c r="C18049" s="2" t="s">
        <v>9</v>
      </c>
      <c r="D18049" s="2" t="s">
        <v>10</v>
      </c>
      <c r="E18049" s="2" t="str">
        <f>HYPERLINK("http://ts.21cn.com/tousu/show/id/1349901","http://ts.21cn.com/tousu/show/id/1349901")</f>
        <v>http://ts.21cn.com/tousu/show/id/1349901</v>
      </c>
      <c r="F18049" s="2" t="s">
        <v>11</v>
      </c>
      <c r="G18049" s="2" t="s">
        <v>8691</v>
      </c>
      <c r="H18049" s="2" t="s">
        <v>8692</v>
      </c>
    </row>
    <row r="18050" spans="1:8" ht="25.05" customHeight="1" x14ac:dyDescent="0.25">
      <c r="A18050" s="2" t="s">
        <v>8</v>
      </c>
      <c r="B18050" s="2" t="str">
        <f>HYPERLINK("http://ts.21cn.com/tousu/show/id/1349903","智行买的机票因为航变问题取消航班但不给我退款")</f>
        <v>智行买的机票因为航变问题取消航班但不给我退款</v>
      </c>
      <c r="C18050" s="2" t="s">
        <v>34</v>
      </c>
      <c r="D18050" s="2" t="s">
        <v>10</v>
      </c>
      <c r="E18050" s="2" t="str">
        <f>HYPERLINK("http://ts.21cn.com/tousu/show/id/1349903","http://ts.21cn.com/tousu/show/id/1349903")</f>
        <v>http://ts.21cn.com/tousu/show/id/1349903</v>
      </c>
      <c r="F18050" s="2" t="s">
        <v>11</v>
      </c>
      <c r="G18050" s="2" t="s">
        <v>8691</v>
      </c>
      <c r="H18050" s="2" t="s">
        <v>8693</v>
      </c>
    </row>
    <row r="18051" spans="1:8" ht="25.05" customHeight="1" x14ac:dyDescent="0.25">
      <c r="A18051" s="2" t="s">
        <v>8</v>
      </c>
      <c r="B18051" s="2" t="str">
        <f>HYPERLINK("http://ts.21cn.com/tousu/show/id/1349868","壹心分期高利贷砍头息")</f>
        <v>壹心分期高利贷砍头息</v>
      </c>
      <c r="C18051" s="2" t="s">
        <v>9</v>
      </c>
      <c r="D18051" s="2" t="s">
        <v>10</v>
      </c>
      <c r="E18051" s="2" t="str">
        <f>HYPERLINK("http://ts.21cn.com/tousu/show/id/1349868","http://ts.21cn.com/tousu/show/id/1349868")</f>
        <v>http://ts.21cn.com/tousu/show/id/1349868</v>
      </c>
      <c r="F18051" s="2" t="s">
        <v>11</v>
      </c>
      <c r="G18051" s="2" t="s">
        <v>8689</v>
      </c>
      <c r="H18051" s="2" t="s">
        <v>8690</v>
      </c>
    </row>
    <row r="18052" spans="1:8" ht="25.05" customHeight="1" x14ac:dyDescent="0.25">
      <c r="A18052" s="2" t="s">
        <v>8</v>
      </c>
      <c r="B18052" s="2" t="str">
        <f>HYPERLINK("http://ts.21cn.com/tousu/show/id/1349905","高利贷，催收")</f>
        <v>高利贷，催收</v>
      </c>
      <c r="C18052" s="2" t="s">
        <v>9</v>
      </c>
      <c r="D18052" s="2" t="s">
        <v>10</v>
      </c>
      <c r="E18052" s="2" t="str">
        <f>HYPERLINK("http://ts.21cn.com/tousu/show/id/1349905","http://ts.21cn.com/tousu/show/id/1349905")</f>
        <v>http://ts.21cn.com/tousu/show/id/1349905</v>
      </c>
      <c r="F18052" s="2" t="s">
        <v>11</v>
      </c>
      <c r="G18052" s="2" t="s">
        <v>8687</v>
      </c>
      <c r="H18052" s="2" t="s">
        <v>8688</v>
      </c>
    </row>
    <row r="18053" spans="1:8" ht="25.05" customHeight="1" x14ac:dyDescent="0.25">
      <c r="A18053" s="2" t="s">
        <v>8</v>
      </c>
      <c r="B18053" s="2" t="str">
        <f>HYPERLINK("http://ts.21cn.com/tousu/show/id/1349906","资料全部给买家后，不打钱")</f>
        <v>资料全部给买家后，不打钱</v>
      </c>
      <c r="C18053" s="2" t="s">
        <v>9</v>
      </c>
      <c r="D18053" s="2" t="s">
        <v>10</v>
      </c>
      <c r="E18053" s="2" t="str">
        <f>HYPERLINK("http://ts.21cn.com/tousu/show/id/1349906","http://ts.21cn.com/tousu/show/id/1349906")</f>
        <v>http://ts.21cn.com/tousu/show/id/1349906</v>
      </c>
      <c r="F18053" s="2" t="s">
        <v>11</v>
      </c>
      <c r="G18053" s="2" t="s">
        <v>8685</v>
      </c>
      <c r="H18053" s="2" t="s">
        <v>8686</v>
      </c>
    </row>
    <row r="18054" spans="1:8" ht="25.05" customHeight="1" x14ac:dyDescent="0.25">
      <c r="A18054" s="2" t="s">
        <v>8</v>
      </c>
      <c r="B18054" s="2" t="str">
        <f>HYPERLINK("http://ts.21cn.com/tousu/show/id/1349876","国美易卡提前还款")</f>
        <v>国美易卡提前还款</v>
      </c>
      <c r="C18054" s="2" t="s">
        <v>9</v>
      </c>
      <c r="D18054" s="2" t="s">
        <v>10</v>
      </c>
      <c r="E18054" s="2" t="str">
        <f>HYPERLINK("http://ts.21cn.com/tousu/show/id/1349876","http://ts.21cn.com/tousu/show/id/1349876")</f>
        <v>http://ts.21cn.com/tousu/show/id/1349876</v>
      </c>
      <c r="F18054" s="2" t="s">
        <v>11</v>
      </c>
      <c r="G18054" s="2" t="s">
        <v>8683</v>
      </c>
      <c r="H18054" s="2" t="s">
        <v>8684</v>
      </c>
    </row>
    <row r="18055" spans="1:8" ht="25.05" customHeight="1" x14ac:dyDescent="0.25">
      <c r="A18055" s="2" t="s">
        <v>8</v>
      </c>
      <c r="B18055" s="2" t="str">
        <f>HYPERLINK("http://ts.21cn.com/tousu/show/id/1349907","工商银行存在违规操作")</f>
        <v>工商银行存在违规操作</v>
      </c>
      <c r="C18055" s="2" t="s">
        <v>9</v>
      </c>
      <c r="D18055" s="2" t="s">
        <v>10</v>
      </c>
      <c r="E18055" s="2" t="str">
        <f>HYPERLINK("http://ts.21cn.com/tousu/show/id/1349907","http://ts.21cn.com/tousu/show/id/1349907")</f>
        <v>http://ts.21cn.com/tousu/show/id/1349907</v>
      </c>
      <c r="F18055" s="2" t="s">
        <v>11</v>
      </c>
      <c r="G18055" s="2" t="s">
        <v>8681</v>
      </c>
      <c r="H18055" s="2" t="s">
        <v>8682</v>
      </c>
    </row>
    <row r="18056" spans="1:8" ht="25.05" customHeight="1" x14ac:dyDescent="0.25">
      <c r="A18056" s="2" t="s">
        <v>8</v>
      </c>
      <c r="B18056" s="2" t="str">
        <f>HYPERLINK("http://ts.21cn.com/tousu/show/id/1349908","拼多多保证金显示以退还并未到账")</f>
        <v>拼多多保证金显示以退还并未到账</v>
      </c>
      <c r="C18056" s="2" t="s">
        <v>9</v>
      </c>
      <c r="D18056" s="2" t="s">
        <v>10</v>
      </c>
      <c r="E18056" s="2" t="str">
        <f>HYPERLINK("http://ts.21cn.com/tousu/show/id/1349908","http://ts.21cn.com/tousu/show/id/1349908")</f>
        <v>http://ts.21cn.com/tousu/show/id/1349908</v>
      </c>
      <c r="F18056" s="2" t="s">
        <v>11</v>
      </c>
      <c r="G18056" s="2" t="s">
        <v>8679</v>
      </c>
      <c r="H18056" s="2" t="s">
        <v>8680</v>
      </c>
    </row>
    <row r="18057" spans="1:8" ht="25.05" customHeight="1" x14ac:dyDescent="0.25">
      <c r="A18057" s="2" t="s">
        <v>8</v>
      </c>
      <c r="B18057" s="2" t="str">
        <f>HYPERLINK("http://ts.21cn.com/tousu/show/id/1349909","闪银催收态度恶劣，无法联系上平台客服")</f>
        <v>闪银催收态度恶劣，无法联系上平台客服</v>
      </c>
      <c r="C18057" s="2" t="s">
        <v>9</v>
      </c>
      <c r="D18057" s="2" t="s">
        <v>10</v>
      </c>
      <c r="E18057" s="2" t="str">
        <f>HYPERLINK("http://ts.21cn.com/tousu/show/id/1349909","http://ts.21cn.com/tousu/show/id/1349909")</f>
        <v>http://ts.21cn.com/tousu/show/id/1349909</v>
      </c>
      <c r="F18057" s="2" t="s">
        <v>11</v>
      </c>
      <c r="G18057" s="2" t="s">
        <v>8677</v>
      </c>
      <c r="H18057" s="2" t="s">
        <v>8678</v>
      </c>
    </row>
    <row r="18058" spans="1:8" ht="25.05" customHeight="1" x14ac:dyDescent="0.25">
      <c r="A18058" s="2" t="s">
        <v>8</v>
      </c>
      <c r="B18058" s="2" t="str">
        <f>HYPERLINK("http://ts.21cn.com/tousu/show/id/1349910","唯品会太坑人，短时间大幅降价，要求差价补偿")</f>
        <v>唯品会太坑人，短时间大幅降价，要求差价补偿</v>
      </c>
      <c r="C18058" s="2" t="s">
        <v>9</v>
      </c>
      <c r="D18058" s="2" t="s">
        <v>10</v>
      </c>
      <c r="E18058" s="2" t="str">
        <f>HYPERLINK("http://ts.21cn.com/tousu/show/id/1349910","http://ts.21cn.com/tousu/show/id/1349910")</f>
        <v>http://ts.21cn.com/tousu/show/id/1349910</v>
      </c>
      <c r="F18058" s="2" t="s">
        <v>11</v>
      </c>
      <c r="G18058" s="2" t="s">
        <v>8675</v>
      </c>
      <c r="H18058" s="2" t="s">
        <v>8676</v>
      </c>
    </row>
    <row r="18059" spans="1:8" ht="25.05" customHeight="1" x14ac:dyDescent="0.25">
      <c r="A18059" s="2" t="s">
        <v>8</v>
      </c>
      <c r="B18059" s="2" t="str">
        <f>HYPERLINK("http://ts.21cn.com/tousu/show/id/1349911","钱站高利贷阴阳合同")</f>
        <v>钱站高利贷阴阳合同</v>
      </c>
      <c r="C18059" s="2" t="s">
        <v>9</v>
      </c>
      <c r="D18059" s="2" t="s">
        <v>10</v>
      </c>
      <c r="E18059" s="2" t="str">
        <f>HYPERLINK("http://ts.21cn.com/tousu/show/id/1349911","http://ts.21cn.com/tousu/show/id/1349911")</f>
        <v>http://ts.21cn.com/tousu/show/id/1349911</v>
      </c>
      <c r="F18059" s="2" t="s">
        <v>11</v>
      </c>
      <c r="G18059" s="2" t="s">
        <v>8673</v>
      </c>
      <c r="H18059" s="2" t="s">
        <v>8674</v>
      </c>
    </row>
    <row r="18060" spans="1:8" ht="25.05" customHeight="1" x14ac:dyDescent="0.25">
      <c r="A18060" s="2" t="s">
        <v>8</v>
      </c>
      <c r="B18060" s="2" t="str">
        <f>HYPERLINK("http://ts.21cn.com/tousu/show/id/1349912","快鱼分期贷款一次性扣500多手续费，不能注销账号，没有客服电话")</f>
        <v>快鱼分期贷款一次性扣500多手续费，不能注销账号，没有客服电话</v>
      </c>
      <c r="C18060" s="2" t="s">
        <v>9</v>
      </c>
      <c r="D18060" s="2" t="s">
        <v>10</v>
      </c>
      <c r="E18060" s="2" t="str">
        <f>HYPERLINK("http://ts.21cn.com/tousu/show/id/1349912","http://ts.21cn.com/tousu/show/id/1349912")</f>
        <v>http://ts.21cn.com/tousu/show/id/1349912</v>
      </c>
      <c r="F18060" s="2" t="s">
        <v>11</v>
      </c>
      <c r="G18060" s="2" t="s">
        <v>8671</v>
      </c>
      <c r="H18060" s="2" t="s">
        <v>8672</v>
      </c>
    </row>
    <row r="18061" spans="1:8" ht="25.05" customHeight="1" x14ac:dyDescent="0.25">
      <c r="A18061" s="2" t="s">
        <v>8</v>
      </c>
      <c r="B18061" s="2" t="str">
        <f>HYPERLINK("http://ts.21cn.com/tousu/show/id/1349913","平安普惠高利贷")</f>
        <v>平安普惠高利贷</v>
      </c>
      <c r="C18061" s="2" t="s">
        <v>9</v>
      </c>
      <c r="D18061" s="2" t="s">
        <v>10</v>
      </c>
      <c r="E18061" s="2" t="str">
        <f>HYPERLINK("http://ts.21cn.com/tousu/show/id/1349913","http://ts.21cn.com/tousu/show/id/1349913")</f>
        <v>http://ts.21cn.com/tousu/show/id/1349913</v>
      </c>
      <c r="F18061" s="2" t="s">
        <v>11</v>
      </c>
      <c r="G18061" s="2" t="s">
        <v>8669</v>
      </c>
      <c r="H18061" s="2" t="s">
        <v>8670</v>
      </c>
    </row>
    <row r="18062" spans="1:8" ht="25.05" customHeight="1" x14ac:dyDescent="0.25">
      <c r="A18062" s="2" t="s">
        <v>8</v>
      </c>
      <c r="B18062" s="2" t="str">
        <f>HYPERLINK("http://ts.21cn.com/tousu/show/id/1349915","一诺情感导师不专业，霸王条款不退款")</f>
        <v>一诺情感导师不专业，霸王条款不退款</v>
      </c>
      <c r="C18062" s="2" t="s">
        <v>9</v>
      </c>
      <c r="D18062" s="2" t="s">
        <v>10</v>
      </c>
      <c r="E18062" s="2" t="str">
        <f>HYPERLINK("http://ts.21cn.com/tousu/show/id/1349915","http://ts.21cn.com/tousu/show/id/1349915")</f>
        <v>http://ts.21cn.com/tousu/show/id/1349915</v>
      </c>
      <c r="F18062" s="2" t="s">
        <v>11</v>
      </c>
      <c r="G18062" s="2" t="s">
        <v>8667</v>
      </c>
      <c r="H18062" s="2" t="s">
        <v>8668</v>
      </c>
    </row>
    <row r="18063" spans="1:8" ht="25.05" customHeight="1" x14ac:dyDescent="0.25">
      <c r="A18063" s="2" t="s">
        <v>8</v>
      </c>
      <c r="B18063" s="2" t="str">
        <f>HYPERLINK("http://ts.21cn.com/tousu/show/id/1349916","要求上海宏萨信息科技有限公司全额退款")</f>
        <v>要求上海宏萨信息科技有限公司全额退款</v>
      </c>
      <c r="C18063" s="2" t="s">
        <v>34</v>
      </c>
      <c r="D18063" s="2" t="s">
        <v>10</v>
      </c>
      <c r="E18063" s="2" t="str">
        <f>HYPERLINK("http://ts.21cn.com/tousu/show/id/1349916","http://ts.21cn.com/tousu/show/id/1349916")</f>
        <v>http://ts.21cn.com/tousu/show/id/1349916</v>
      </c>
      <c r="F18063" s="2" t="s">
        <v>11</v>
      </c>
      <c r="G18063" s="2" t="s">
        <v>8665</v>
      </c>
      <c r="H18063" s="2" t="s">
        <v>8666</v>
      </c>
    </row>
    <row r="18064" spans="1:8" ht="25.05" customHeight="1" x14ac:dyDescent="0.25">
      <c r="A18064" s="2" t="s">
        <v>8</v>
      </c>
      <c r="B18064" s="2" t="str">
        <f>HYPERLINK("http://ts.21cn.com/tousu/show/id/1349914","优信客服不作为")</f>
        <v>优信客服不作为</v>
      </c>
      <c r="C18064" s="2" t="s">
        <v>9</v>
      </c>
      <c r="D18064" s="2" t="s">
        <v>10</v>
      </c>
      <c r="E18064" s="2" t="str">
        <f>HYPERLINK("http://ts.21cn.com/tousu/show/id/1349914","http://ts.21cn.com/tousu/show/id/1349914")</f>
        <v>http://ts.21cn.com/tousu/show/id/1349914</v>
      </c>
      <c r="F18064" s="2" t="s">
        <v>11</v>
      </c>
      <c r="G18064" s="2" t="s">
        <v>8663</v>
      </c>
      <c r="H18064" s="2" t="s">
        <v>8664</v>
      </c>
    </row>
    <row r="18065" spans="1:8" ht="25.05" customHeight="1" x14ac:dyDescent="0.25">
      <c r="A18065" s="2" t="s">
        <v>8</v>
      </c>
      <c r="B18065" s="2" t="str">
        <f>HYPERLINK("http://ts.21cn.com/tousu/show/id/1349917","招商银行上门")</f>
        <v>招商银行上门</v>
      </c>
      <c r="C18065" s="2" t="s">
        <v>34</v>
      </c>
      <c r="D18065" s="2" t="s">
        <v>10</v>
      </c>
      <c r="E18065" s="2" t="str">
        <f>HYPERLINK("http://ts.21cn.com/tousu/show/id/1349917","http://ts.21cn.com/tousu/show/id/1349917")</f>
        <v>http://ts.21cn.com/tousu/show/id/1349917</v>
      </c>
      <c r="F18065" s="2" t="s">
        <v>11</v>
      </c>
      <c r="G18065" s="2" t="s">
        <v>8661</v>
      </c>
      <c r="H18065" s="2" t="s">
        <v>8662</v>
      </c>
    </row>
    <row r="18066" spans="1:8" ht="25.05" customHeight="1" x14ac:dyDescent="0.25">
      <c r="A18066" s="2" t="s">
        <v>8</v>
      </c>
      <c r="B18066" s="2" t="str">
        <f>HYPERLINK("http://ts.21cn.com/tousu/show/id/1349918","百度地图国庆集赞兑换小度音箱虚假宣传")</f>
        <v>百度地图国庆集赞兑换小度音箱虚假宣传</v>
      </c>
      <c r="C18066" s="2" t="s">
        <v>9</v>
      </c>
      <c r="D18066" s="2" t="s">
        <v>10</v>
      </c>
      <c r="E18066" s="2" t="str">
        <f>HYPERLINK("http://ts.21cn.com/tousu/show/id/1349918","http://ts.21cn.com/tousu/show/id/1349918")</f>
        <v>http://ts.21cn.com/tousu/show/id/1349918</v>
      </c>
      <c r="F18066" s="2" t="s">
        <v>11</v>
      </c>
      <c r="G18066" s="2" t="s">
        <v>8659</v>
      </c>
      <c r="H18066" s="2" t="s">
        <v>8660</v>
      </c>
    </row>
    <row r="18067" spans="1:8" ht="25.05" customHeight="1" x14ac:dyDescent="0.25">
      <c r="A18067" s="2" t="s">
        <v>8</v>
      </c>
      <c r="B18067" s="2" t="str">
        <f>HYPERLINK("http://ts.21cn.com/tousu/show/id/1349919","金鸡钱包非法砍头息，套路贷，暴力催收")</f>
        <v>金鸡钱包非法砍头息，套路贷，暴力催收</v>
      </c>
      <c r="C18067" s="2" t="s">
        <v>9</v>
      </c>
      <c r="D18067" s="2" t="s">
        <v>10</v>
      </c>
      <c r="E18067" s="2" t="str">
        <f>HYPERLINK("http://ts.21cn.com/tousu/show/id/1349919","http://ts.21cn.com/tousu/show/id/1349919")</f>
        <v>http://ts.21cn.com/tousu/show/id/1349919</v>
      </c>
      <c r="F18067" s="2" t="s">
        <v>11</v>
      </c>
      <c r="G18067" s="2" t="s">
        <v>8657</v>
      </c>
      <c r="H18067" s="2" t="s">
        <v>8658</v>
      </c>
    </row>
    <row r="18068" spans="1:8" ht="25.05" customHeight="1" x14ac:dyDescent="0.25">
      <c r="A18068" s="2" t="s">
        <v>8</v>
      </c>
      <c r="B18068" s="2" t="str">
        <f>HYPERLINK("http://ts.21cn.com/tousu/show/id/1349866","王者钱包高利贷，要求协商还款")</f>
        <v>王者钱包高利贷，要求协商还款</v>
      </c>
      <c r="C18068" s="2" t="s">
        <v>9</v>
      </c>
      <c r="D18068" s="2" t="s">
        <v>10</v>
      </c>
      <c r="E18068" s="2" t="str">
        <f>HYPERLINK("http://ts.21cn.com/tousu/show/id/1349866","http://ts.21cn.com/tousu/show/id/1349866")</f>
        <v>http://ts.21cn.com/tousu/show/id/1349866</v>
      </c>
      <c r="F18068" s="2" t="s">
        <v>11</v>
      </c>
      <c r="G18068" s="2" t="s">
        <v>8655</v>
      </c>
      <c r="H18068" s="2" t="s">
        <v>8656</v>
      </c>
    </row>
    <row r="18069" spans="1:8" ht="25.05" customHeight="1" x14ac:dyDescent="0.25">
      <c r="A18069" s="2" t="s">
        <v>8</v>
      </c>
      <c r="B18069" s="2" t="str">
        <f>HYPERLINK("http://ts.21cn.com/tousu/show/id/1349920","借了呗高利贷暴力催收顶风作案")</f>
        <v>借了呗高利贷暴力催收顶风作案</v>
      </c>
      <c r="C18069" s="2" t="s">
        <v>9</v>
      </c>
      <c r="D18069" s="2" t="s">
        <v>10</v>
      </c>
      <c r="E18069" s="2" t="str">
        <f>HYPERLINK("http://ts.21cn.com/tousu/show/id/1349920","http://ts.21cn.com/tousu/show/id/1349920")</f>
        <v>http://ts.21cn.com/tousu/show/id/1349920</v>
      </c>
      <c r="F18069" s="2" t="s">
        <v>11</v>
      </c>
      <c r="G18069" s="2" t="s">
        <v>8653</v>
      </c>
      <c r="H18069" s="2" t="s">
        <v>8654</v>
      </c>
    </row>
    <row r="18070" spans="1:8" ht="25.05" customHeight="1" x14ac:dyDescent="0.25">
      <c r="A18070" s="2" t="s">
        <v>8</v>
      </c>
      <c r="B18070" s="2" t="str">
        <f>HYPERLINK("http://ts.21cn.com/tousu/show/id/1349921","已还款未销账")</f>
        <v>已还款未销账</v>
      </c>
      <c r="C18070" s="2" t="s">
        <v>34</v>
      </c>
      <c r="D18070" s="2" t="s">
        <v>10</v>
      </c>
      <c r="E18070" s="2" t="str">
        <f>HYPERLINK("http://ts.21cn.com/tousu/show/id/1349921","http://ts.21cn.com/tousu/show/id/1349921")</f>
        <v>http://ts.21cn.com/tousu/show/id/1349921</v>
      </c>
      <c r="F18070" s="2" t="s">
        <v>11</v>
      </c>
      <c r="G18070" s="2" t="s">
        <v>8651</v>
      </c>
      <c r="H18070" s="2" t="s">
        <v>8652</v>
      </c>
    </row>
    <row r="18071" spans="1:8" ht="25.05" customHeight="1" x14ac:dyDescent="0.25">
      <c r="A18071" s="2" t="s">
        <v>8</v>
      </c>
      <c r="B18071" s="2" t="str">
        <f>HYPERLINK("http://ts.21cn.com/tousu/show/id/1349922","闪电借款暴力催收、威胁恐吓")</f>
        <v>闪电借款暴力催收、威胁恐吓</v>
      </c>
      <c r="C18071" s="2" t="s">
        <v>9</v>
      </c>
      <c r="D18071" s="2" t="s">
        <v>10</v>
      </c>
      <c r="E18071" s="2" t="str">
        <f>HYPERLINK("http://ts.21cn.com/tousu/show/id/1349922","http://ts.21cn.com/tousu/show/id/1349922")</f>
        <v>http://ts.21cn.com/tousu/show/id/1349922</v>
      </c>
      <c r="F18071" s="2" t="s">
        <v>11</v>
      </c>
      <c r="G18071" s="2" t="s">
        <v>8649</v>
      </c>
      <c r="H18071" s="2" t="s">
        <v>8650</v>
      </c>
    </row>
    <row r="18072" spans="1:8" ht="25.05" customHeight="1" x14ac:dyDescent="0.25">
      <c r="A18072" s="2" t="s">
        <v>8</v>
      </c>
      <c r="B18072" s="2" t="str">
        <f>HYPERLINK("http://ts.21cn.com/tousu/show/id/1349924","蚂蚁金呗全额还款，不销账，非结本人账户")</f>
        <v>蚂蚁金呗全额还款，不销账，非结本人账户</v>
      </c>
      <c r="C18072" s="2" t="s">
        <v>9</v>
      </c>
      <c r="D18072" s="2" t="s">
        <v>10</v>
      </c>
      <c r="E18072" s="2" t="str">
        <f>HYPERLINK("http://ts.21cn.com/tousu/show/id/1349924","http://ts.21cn.com/tousu/show/id/1349924")</f>
        <v>http://ts.21cn.com/tousu/show/id/1349924</v>
      </c>
      <c r="F18072" s="2" t="s">
        <v>11</v>
      </c>
      <c r="G18072" s="2" t="s">
        <v>8647</v>
      </c>
      <c r="H18072" s="2" t="s">
        <v>8648</v>
      </c>
    </row>
    <row r="18073" spans="1:8" ht="25.05" customHeight="1" x14ac:dyDescent="0.25">
      <c r="A18073" s="2" t="s">
        <v>8</v>
      </c>
      <c r="B18073" s="2" t="str">
        <f>HYPERLINK("http://ts.21cn.com/tousu/show/id/1349923","百事普惠恶意扣款299元")</f>
        <v>百事普惠恶意扣款299元</v>
      </c>
      <c r="C18073" s="2" t="s">
        <v>9</v>
      </c>
      <c r="D18073" s="2" t="s">
        <v>10</v>
      </c>
      <c r="E18073" s="2" t="str">
        <f>HYPERLINK("http://ts.21cn.com/tousu/show/id/1349923","http://ts.21cn.com/tousu/show/id/1349923")</f>
        <v>http://ts.21cn.com/tousu/show/id/1349923</v>
      </c>
      <c r="F18073" s="2" t="s">
        <v>11</v>
      </c>
      <c r="G18073" s="2" t="s">
        <v>8645</v>
      </c>
      <c r="H18073" s="2" t="s">
        <v>8646</v>
      </c>
    </row>
    <row r="18074" spans="1:8" ht="25.05" customHeight="1" x14ac:dyDescent="0.25">
      <c r="A18074" s="2" t="s">
        <v>8</v>
      </c>
      <c r="B18074" s="2" t="str">
        <f>HYPERLINK("http://ts.21cn.com/tousu/show/id/1349925","汇收宜刷卡不到账")</f>
        <v>汇收宜刷卡不到账</v>
      </c>
      <c r="C18074" s="2" t="s">
        <v>34</v>
      </c>
      <c r="D18074" s="2" t="s">
        <v>10</v>
      </c>
      <c r="E18074" s="2" t="str">
        <f>HYPERLINK("http://ts.21cn.com/tousu/show/id/1349925","http://ts.21cn.com/tousu/show/id/1349925")</f>
        <v>http://ts.21cn.com/tousu/show/id/1349925</v>
      </c>
      <c r="F18074" s="2" t="s">
        <v>11</v>
      </c>
      <c r="G18074" s="2" t="s">
        <v>8643</v>
      </c>
      <c r="H18074" s="2" t="s">
        <v>8644</v>
      </c>
    </row>
    <row r="18075" spans="1:8" ht="25.05" customHeight="1" x14ac:dyDescent="0.25">
      <c r="A18075" s="2" t="s">
        <v>8</v>
      </c>
      <c r="B18075" s="2" t="str">
        <f>HYPERLINK("http://ts.21cn.com/tousu/show/id/1349926","转转不打款")</f>
        <v>转转不打款</v>
      </c>
      <c r="C18075" s="2" t="s">
        <v>34</v>
      </c>
      <c r="D18075" s="2" t="s">
        <v>10</v>
      </c>
      <c r="E18075" s="2" t="str">
        <f>HYPERLINK("http://ts.21cn.com/tousu/show/id/1349926","http://ts.21cn.com/tousu/show/id/1349926")</f>
        <v>http://ts.21cn.com/tousu/show/id/1349926</v>
      </c>
      <c r="F18075" s="2" t="s">
        <v>11</v>
      </c>
      <c r="G18075" s="2" t="s">
        <v>8641</v>
      </c>
      <c r="H18075" s="2" t="s">
        <v>8642</v>
      </c>
    </row>
    <row r="18076" spans="1:8" ht="25.05" customHeight="1" x14ac:dyDescent="0.25">
      <c r="A18076" s="2" t="s">
        <v>8</v>
      </c>
      <c r="B18076" s="2" t="str">
        <f>HYPERLINK("http://ts.21cn.com/tousu/show/id/1349927","滴滴乱扣服务分")</f>
        <v>滴滴乱扣服务分</v>
      </c>
      <c r="C18076" s="2" t="s">
        <v>9</v>
      </c>
      <c r="D18076" s="2" t="s">
        <v>10</v>
      </c>
      <c r="E18076" s="2" t="str">
        <f>HYPERLINK("http://ts.21cn.com/tousu/show/id/1349927","http://ts.21cn.com/tousu/show/id/1349927")</f>
        <v>http://ts.21cn.com/tousu/show/id/1349927</v>
      </c>
      <c r="F18076" s="2" t="s">
        <v>11</v>
      </c>
      <c r="G18076" s="2" t="s">
        <v>8639</v>
      </c>
      <c r="H18076" s="2" t="s">
        <v>8640</v>
      </c>
    </row>
    <row r="18077" spans="1:8" ht="25.05" customHeight="1" x14ac:dyDescent="0.25">
      <c r="A18077" s="2" t="s">
        <v>8</v>
      </c>
      <c r="B18077" s="2" t="str">
        <f>HYPERLINK("http://ts.21cn.com/tousu/show/id/1349929","海尔云贷违规催收爆打通讯录")</f>
        <v>海尔云贷违规催收爆打通讯录</v>
      </c>
      <c r="C18077" s="2" t="s">
        <v>9</v>
      </c>
      <c r="D18077" s="2" t="s">
        <v>10</v>
      </c>
      <c r="E18077" s="2" t="str">
        <f>HYPERLINK("http://ts.21cn.com/tousu/show/id/1349929","http://ts.21cn.com/tousu/show/id/1349929")</f>
        <v>http://ts.21cn.com/tousu/show/id/1349929</v>
      </c>
      <c r="F18077" s="2" t="s">
        <v>11</v>
      </c>
      <c r="G18077" s="2" t="s">
        <v>8637</v>
      </c>
      <c r="H18077" s="2" t="s">
        <v>8638</v>
      </c>
    </row>
    <row r="18078" spans="1:8" ht="25.05" customHeight="1" x14ac:dyDescent="0.25">
      <c r="A18078" s="2" t="s">
        <v>8</v>
      </c>
      <c r="B18078" s="2" t="str">
        <f>HYPERLINK("http://ts.21cn.com/tousu/show/id/1349928","投诉樊登读书会差别待遇侵害消费者权益")</f>
        <v>投诉樊登读书会差别待遇侵害消费者权益</v>
      </c>
      <c r="C18078" s="2" t="s">
        <v>9</v>
      </c>
      <c r="D18078" s="2" t="s">
        <v>10</v>
      </c>
      <c r="E18078" s="2" t="str">
        <f>HYPERLINK("http://ts.21cn.com/tousu/show/id/1349928","http://ts.21cn.com/tousu/show/id/1349928")</f>
        <v>http://ts.21cn.com/tousu/show/id/1349928</v>
      </c>
      <c r="F18078" s="2" t="s">
        <v>11</v>
      </c>
      <c r="G18078" s="2" t="s">
        <v>8635</v>
      </c>
      <c r="H18078" s="2" t="s">
        <v>8636</v>
      </c>
    </row>
    <row r="18079" spans="1:8" ht="25.05" customHeight="1" x14ac:dyDescent="0.25">
      <c r="A18079" s="2" t="s">
        <v>8</v>
      </c>
      <c r="B18079" s="2" t="str">
        <f>HYPERLINK("http://ts.21cn.com/tousu/show/id/1349932","安逸花")</f>
        <v>安逸花</v>
      </c>
      <c r="C18079" s="2" t="s">
        <v>34</v>
      </c>
      <c r="D18079" s="2" t="s">
        <v>10</v>
      </c>
      <c r="E18079" s="2" t="str">
        <f>HYPERLINK("http://ts.21cn.com/tousu/show/id/1349932","http://ts.21cn.com/tousu/show/id/1349932")</f>
        <v>http://ts.21cn.com/tousu/show/id/1349932</v>
      </c>
      <c r="F18079" s="2" t="s">
        <v>11</v>
      </c>
      <c r="G18079" s="2" t="s">
        <v>8633</v>
      </c>
      <c r="H18079" s="2" t="s">
        <v>8634</v>
      </c>
    </row>
    <row r="18080" spans="1:8" ht="25.05" customHeight="1" x14ac:dyDescent="0.25">
      <c r="A18080" s="2" t="s">
        <v>8</v>
      </c>
      <c r="B18080" s="2" t="str">
        <f>HYPERLINK("http://ts.21cn.com/tousu/show/id/1349931","豆豆钱暴力催收，无休止拨打联系人电话，公司做事不作为")</f>
        <v>豆豆钱暴力催收，无休止拨打联系人电话，公司做事不作为</v>
      </c>
      <c r="C18080" s="2" t="s">
        <v>9</v>
      </c>
      <c r="D18080" s="2" t="s">
        <v>10</v>
      </c>
      <c r="E18080" s="2" t="str">
        <f>HYPERLINK("http://ts.21cn.com/tousu/show/id/1349931","http://ts.21cn.com/tousu/show/id/1349931")</f>
        <v>http://ts.21cn.com/tousu/show/id/1349931</v>
      </c>
      <c r="F18080" s="2" t="s">
        <v>11</v>
      </c>
      <c r="G18080" s="2" t="s">
        <v>8631</v>
      </c>
      <c r="H18080" s="2" t="s">
        <v>8632</v>
      </c>
    </row>
    <row r="18081" spans="1:8" ht="25.05" customHeight="1" x14ac:dyDescent="0.25">
      <c r="A18081" s="2" t="s">
        <v>8</v>
      </c>
      <c r="B18081" s="2" t="str">
        <f>HYPERLINK("http://ts.21cn.com/tousu/show/id/1349933","手机借钱多宝分期，借6000，用2个月，让我还9595.2元")</f>
        <v>手机借钱多宝分期，借6000，用2个月，让我还9595.2元</v>
      </c>
      <c r="C18081" s="2" t="s">
        <v>9</v>
      </c>
      <c r="D18081" s="2" t="s">
        <v>10</v>
      </c>
      <c r="E18081" s="2" t="str">
        <f>HYPERLINK("http://ts.21cn.com/tousu/show/id/1349933","http://ts.21cn.com/tousu/show/id/1349933")</f>
        <v>http://ts.21cn.com/tousu/show/id/1349933</v>
      </c>
      <c r="F18081" s="2" t="s">
        <v>11</v>
      </c>
      <c r="G18081" s="2" t="s">
        <v>8629</v>
      </c>
      <c r="H18081" s="2" t="s">
        <v>8630</v>
      </c>
    </row>
    <row r="18082" spans="1:8" ht="25.05" customHeight="1" x14ac:dyDescent="0.25">
      <c r="A18082" s="2" t="s">
        <v>8</v>
      </c>
      <c r="B18082" s="2" t="str">
        <f>HYPERLINK("http://ts.21cn.com/tousu/show/id/1349934","搜狗借钱一点分期暴力催收，辱骂通讯录好友")</f>
        <v>搜狗借钱一点分期暴力催收，辱骂通讯录好友</v>
      </c>
      <c r="C18082" s="2" t="s">
        <v>9</v>
      </c>
      <c r="D18082" s="2" t="s">
        <v>10</v>
      </c>
      <c r="E18082" s="2" t="str">
        <f>HYPERLINK("http://ts.21cn.com/tousu/show/id/1349934","http://ts.21cn.com/tousu/show/id/1349934")</f>
        <v>http://ts.21cn.com/tousu/show/id/1349934</v>
      </c>
      <c r="F18082" s="2" t="s">
        <v>11</v>
      </c>
      <c r="G18082" s="2" t="s">
        <v>8627</v>
      </c>
      <c r="H18082" s="2" t="s">
        <v>8628</v>
      </c>
    </row>
    <row r="18083" spans="1:8" ht="25.05" customHeight="1" x14ac:dyDescent="0.25">
      <c r="A18083" s="2" t="s">
        <v>8</v>
      </c>
      <c r="B18083" s="2" t="str">
        <f>HYPERLINK("http://ts.21cn.com/tousu/show/id/1349902","如期分期在取消投诉后并未履行承诺退款")</f>
        <v>如期分期在取消投诉后并未履行承诺退款</v>
      </c>
      <c r="C18083" s="2" t="s">
        <v>9</v>
      </c>
      <c r="D18083" s="2" t="s">
        <v>10</v>
      </c>
      <c r="E18083" s="2" t="str">
        <f>HYPERLINK("http://ts.21cn.com/tousu/show/id/1349902","http://ts.21cn.com/tousu/show/id/1349902")</f>
        <v>http://ts.21cn.com/tousu/show/id/1349902</v>
      </c>
      <c r="F18083" s="2" t="s">
        <v>11</v>
      </c>
      <c r="G18083" s="2" t="s">
        <v>8625</v>
      </c>
      <c r="H18083" s="2" t="s">
        <v>8626</v>
      </c>
    </row>
    <row r="18084" spans="1:8" ht="25.05" customHeight="1" x14ac:dyDescent="0.25">
      <c r="A18084" s="2" t="s">
        <v>8</v>
      </c>
      <c r="B18084" s="2" t="str">
        <f>HYPERLINK("http://ts.21cn.com/tousu/show/id/1349935","猪福钱包高利贷")</f>
        <v>猪福钱包高利贷</v>
      </c>
      <c r="C18084" s="2" t="s">
        <v>9</v>
      </c>
      <c r="D18084" s="2" t="s">
        <v>10</v>
      </c>
      <c r="E18084" s="2" t="str">
        <f>HYPERLINK("http://ts.21cn.com/tousu/show/id/1349935","http://ts.21cn.com/tousu/show/id/1349935")</f>
        <v>http://ts.21cn.com/tousu/show/id/1349935</v>
      </c>
      <c r="F18084" s="2" t="s">
        <v>11</v>
      </c>
      <c r="G18084" s="2" t="s">
        <v>8623</v>
      </c>
      <c r="H18084" s="2" t="s">
        <v>8624</v>
      </c>
    </row>
    <row r="18085" spans="1:8" ht="25.05" customHeight="1" x14ac:dyDescent="0.25">
      <c r="A18085" s="2" t="s">
        <v>8</v>
      </c>
      <c r="B18085" s="2" t="str">
        <f>HYPERLINK("http://ts.21cn.com/tousu/show/id/1349936","lc分期贷款app旗下神马借")</f>
        <v>lc分期贷款app旗下神马借</v>
      </c>
      <c r="C18085" s="2" t="s">
        <v>9</v>
      </c>
      <c r="D18085" s="2" t="s">
        <v>10</v>
      </c>
      <c r="E18085" s="2" t="str">
        <f>HYPERLINK("http://ts.21cn.com/tousu/show/id/1349936","http://ts.21cn.com/tousu/show/id/1349936")</f>
        <v>http://ts.21cn.com/tousu/show/id/1349936</v>
      </c>
      <c r="F18085" s="2" t="s">
        <v>11</v>
      </c>
      <c r="G18085" s="2" t="s">
        <v>8621</v>
      </c>
      <c r="H18085" s="2" t="s">
        <v>8622</v>
      </c>
    </row>
    <row r="18086" spans="1:8" ht="25.05" customHeight="1" x14ac:dyDescent="0.25">
      <c r="A18086" s="2" t="s">
        <v>8</v>
      </c>
      <c r="B18086" s="2" t="str">
        <f>HYPERLINK("http://ts.21cn.com/tousu/show/id/1349939","中金支付四川分公司在2019年10月10日下午19点期间，在我本人不知情的情况下从我农业银行卡上扣款，用于金融保险-")</f>
        <v>中金支付四川分公司在2019年10月10日下午19点期间，在我本人不知情的情况下从我农业银行卡上扣款，用于金融保险-</v>
      </c>
      <c r="C18086" s="2" t="s">
        <v>9</v>
      </c>
      <c r="D18086" s="2" t="s">
        <v>10</v>
      </c>
      <c r="E18086" s="2" t="str">
        <f>HYPERLINK("http://ts.21cn.com/tousu/show/id/1349939","http://ts.21cn.com/tousu/show/id/1349939")</f>
        <v>http://ts.21cn.com/tousu/show/id/1349939</v>
      </c>
      <c r="F18086" s="2" t="s">
        <v>11</v>
      </c>
      <c r="G18086" s="2" t="s">
        <v>8619</v>
      </c>
      <c r="H18086" s="2" t="s">
        <v>8620</v>
      </c>
    </row>
    <row r="18087" spans="1:8" ht="25.05" customHeight="1" x14ac:dyDescent="0.25">
      <c r="A18087" s="2" t="s">
        <v>8</v>
      </c>
      <c r="B18087" s="2" t="str">
        <f>HYPERLINK("http://ts.21cn.com/tousu/show/id/1349937","滴滴出行预约单公平吗")</f>
        <v>滴滴出行预约单公平吗</v>
      </c>
      <c r="C18087" s="2" t="s">
        <v>9</v>
      </c>
      <c r="D18087" s="2" t="s">
        <v>10</v>
      </c>
      <c r="E18087" s="2" t="str">
        <f>HYPERLINK("http://ts.21cn.com/tousu/show/id/1349937","http://ts.21cn.com/tousu/show/id/1349937")</f>
        <v>http://ts.21cn.com/tousu/show/id/1349937</v>
      </c>
      <c r="F18087" s="2" t="s">
        <v>11</v>
      </c>
      <c r="G18087" s="2" t="s">
        <v>8617</v>
      </c>
      <c r="H18087" s="2" t="s">
        <v>8618</v>
      </c>
    </row>
    <row r="18088" spans="1:8" ht="25.05" customHeight="1" x14ac:dyDescent="0.25">
      <c r="A18088" s="2" t="s">
        <v>8</v>
      </c>
      <c r="B18088" s="2" t="str">
        <f>HYPERLINK("http://ts.21cn.com/tousu/show/id/1349940","工商银行信用卡协商解决")</f>
        <v>工商银行信用卡协商解决</v>
      </c>
      <c r="C18088" s="2" t="s">
        <v>34</v>
      </c>
      <c r="D18088" s="2" t="s">
        <v>10</v>
      </c>
      <c r="E18088" s="2" t="str">
        <f>HYPERLINK("http://ts.21cn.com/tousu/show/id/1349940","http://ts.21cn.com/tousu/show/id/1349940")</f>
        <v>http://ts.21cn.com/tousu/show/id/1349940</v>
      </c>
      <c r="F18088" s="2" t="s">
        <v>11</v>
      </c>
      <c r="G18088" s="2" t="s">
        <v>8615</v>
      </c>
      <c r="H18088" s="2" t="s">
        <v>8616</v>
      </c>
    </row>
    <row r="18089" spans="1:8" ht="25.05" customHeight="1" x14ac:dyDescent="0.25">
      <c r="A18089" s="2" t="s">
        <v>8</v>
      </c>
      <c r="B18089" s="2" t="str">
        <f>HYPERLINK("http://ts.21cn.com/tousu/show/id/1349938","雅思兰贷，阴阳合同，高额利息")</f>
        <v>雅思兰贷，阴阳合同，高额利息</v>
      </c>
      <c r="C18089" s="2" t="s">
        <v>9</v>
      </c>
      <c r="D18089" s="2" t="s">
        <v>10</v>
      </c>
      <c r="E18089" s="2" t="str">
        <f>HYPERLINK("http://ts.21cn.com/tousu/show/id/1349938","http://ts.21cn.com/tousu/show/id/1349938")</f>
        <v>http://ts.21cn.com/tousu/show/id/1349938</v>
      </c>
      <c r="F18089" s="2" t="s">
        <v>11</v>
      </c>
      <c r="G18089" s="2" t="s">
        <v>8613</v>
      </c>
      <c r="H18089" s="2" t="s">
        <v>8614</v>
      </c>
    </row>
    <row r="18090" spans="1:8" ht="25.05" customHeight="1" x14ac:dyDescent="0.25">
      <c r="A18090" s="2" t="s">
        <v>8</v>
      </c>
      <c r="B18090" s="2" t="str">
        <f>HYPERLINK("http://ts.21cn.com/tousu/show/id/1349941","招联金融严重打扰本人与他人")</f>
        <v>招联金融严重打扰本人与他人</v>
      </c>
      <c r="C18090" s="2" t="s">
        <v>9</v>
      </c>
      <c r="D18090" s="2" t="s">
        <v>10</v>
      </c>
      <c r="E18090" s="2" t="str">
        <f>HYPERLINK("http://ts.21cn.com/tousu/show/id/1349941","http://ts.21cn.com/tousu/show/id/1349941")</f>
        <v>http://ts.21cn.com/tousu/show/id/1349941</v>
      </c>
      <c r="F18090" s="2" t="s">
        <v>11</v>
      </c>
      <c r="G18090" s="2" t="s">
        <v>8611</v>
      </c>
      <c r="H18090" s="2" t="s">
        <v>8612</v>
      </c>
    </row>
    <row r="18091" spans="1:8" ht="25.05" customHeight="1" x14ac:dyDescent="0.25">
      <c r="A18091" s="2" t="s">
        <v>8</v>
      </c>
      <c r="B18091" s="2" t="str">
        <f>HYPERLINK("http://ts.21cn.com/tousu/show/id/1349942","速金服自动扣款失败导致逾期")</f>
        <v>速金服自动扣款失败导致逾期</v>
      </c>
      <c r="C18091" s="2" t="s">
        <v>34</v>
      </c>
      <c r="D18091" s="2" t="s">
        <v>10</v>
      </c>
      <c r="E18091" s="2" t="str">
        <f>HYPERLINK("http://ts.21cn.com/tousu/show/id/1349942","http://ts.21cn.com/tousu/show/id/1349942")</f>
        <v>http://ts.21cn.com/tousu/show/id/1349942</v>
      </c>
      <c r="F18091" s="2" t="s">
        <v>11</v>
      </c>
      <c r="G18091" s="2" t="s">
        <v>8609</v>
      </c>
      <c r="H18091" s="2" t="s">
        <v>8610</v>
      </c>
    </row>
    <row r="18092" spans="1:8" ht="25.05" customHeight="1" x14ac:dyDescent="0.25">
      <c r="A18092" s="2" t="s">
        <v>8</v>
      </c>
      <c r="B18092" s="2" t="str">
        <f>HYPERLINK("http://ts.21cn.com/tousu/show/id/1349943","360借条没有经过我同意强买强卖直接放款收取利息")</f>
        <v>360借条没有经过我同意强买强卖直接放款收取利息</v>
      </c>
      <c r="C18092" s="2" t="s">
        <v>9</v>
      </c>
      <c r="D18092" s="2" t="s">
        <v>10</v>
      </c>
      <c r="E18092" s="2" t="str">
        <f>HYPERLINK("http://ts.21cn.com/tousu/show/id/1349943","http://ts.21cn.com/tousu/show/id/1349943")</f>
        <v>http://ts.21cn.com/tousu/show/id/1349943</v>
      </c>
      <c r="F18092" s="2" t="s">
        <v>11</v>
      </c>
      <c r="G18092" s="2" t="s">
        <v>8607</v>
      </c>
      <c r="H18092" s="2" t="s">
        <v>8608</v>
      </c>
    </row>
    <row r="18093" spans="1:8" ht="25.05" customHeight="1" x14ac:dyDescent="0.25">
      <c r="A18093" s="2" t="s">
        <v>8</v>
      </c>
      <c r="B18093" s="2" t="str">
        <f>HYPERLINK("http://ts.21cn.com/tousu/show/id/1349945","小赢金融暴力催收")</f>
        <v>小赢金融暴力催收</v>
      </c>
      <c r="C18093" s="2" t="s">
        <v>9</v>
      </c>
      <c r="D18093" s="2" t="s">
        <v>10</v>
      </c>
      <c r="E18093" s="2" t="str">
        <f>HYPERLINK("http://ts.21cn.com/tousu/show/id/1349945","http://ts.21cn.com/tousu/show/id/1349945")</f>
        <v>http://ts.21cn.com/tousu/show/id/1349945</v>
      </c>
      <c r="F18093" s="2" t="s">
        <v>11</v>
      </c>
      <c r="G18093" s="2" t="s">
        <v>8605</v>
      </c>
      <c r="H18093" s="2" t="s">
        <v>8606</v>
      </c>
    </row>
    <row r="18094" spans="1:8" ht="25.05" customHeight="1" x14ac:dyDescent="0.25">
      <c r="A18094" s="2" t="s">
        <v>8</v>
      </c>
      <c r="B18094" s="2" t="str">
        <f>HYPERLINK("http://ts.21cn.com/tousu/show/id/1349930","4399员工黑钱")</f>
        <v>4399员工黑钱</v>
      </c>
      <c r="C18094" s="2" t="s">
        <v>9</v>
      </c>
      <c r="D18094" s="2" t="s">
        <v>10</v>
      </c>
      <c r="E18094" s="2" t="str">
        <f>HYPERLINK("http://ts.21cn.com/tousu/show/id/1349930","http://ts.21cn.com/tousu/show/id/1349930")</f>
        <v>http://ts.21cn.com/tousu/show/id/1349930</v>
      </c>
      <c r="F18094" s="2" t="s">
        <v>11</v>
      </c>
      <c r="G18094" s="2" t="s">
        <v>8603</v>
      </c>
      <c r="H18094" s="2" t="s">
        <v>8604</v>
      </c>
    </row>
    <row r="18095" spans="1:8" ht="25.05" customHeight="1" x14ac:dyDescent="0.25">
      <c r="A18095" s="2" t="s">
        <v>8</v>
      </c>
      <c r="B18095" s="2" t="str">
        <f>HYPERLINK("http://ts.21cn.com/tousu/show/id/1349946","钱包易贷违法催收")</f>
        <v>钱包易贷违法催收</v>
      </c>
      <c r="C18095" s="2" t="s">
        <v>9</v>
      </c>
      <c r="D18095" s="2" t="s">
        <v>10</v>
      </c>
      <c r="E18095" s="2" t="str">
        <f>HYPERLINK("http://ts.21cn.com/tousu/show/id/1349946","http://ts.21cn.com/tousu/show/id/1349946")</f>
        <v>http://ts.21cn.com/tousu/show/id/1349946</v>
      </c>
      <c r="F18095" s="2" t="s">
        <v>11</v>
      </c>
      <c r="G18095" s="2" t="s">
        <v>8601</v>
      </c>
      <c r="H18095" s="2" t="s">
        <v>8602</v>
      </c>
    </row>
    <row r="18096" spans="1:8" ht="25.05" customHeight="1" x14ac:dyDescent="0.25">
      <c r="A18096" s="2" t="s">
        <v>8</v>
      </c>
      <c r="B18096" s="2" t="str">
        <f>HYPERLINK("http://ts.21cn.com/tousu/show/id/1349947","王者钱包违规砍头息！！短期高炮！")</f>
        <v>王者钱包违规砍头息！！短期高炮！</v>
      </c>
      <c r="C18096" s="2" t="s">
        <v>9</v>
      </c>
      <c r="D18096" s="2" t="s">
        <v>10</v>
      </c>
      <c r="E18096" s="2" t="str">
        <f>HYPERLINK("http://ts.21cn.com/tousu/show/id/1349947","http://ts.21cn.com/tousu/show/id/1349947")</f>
        <v>http://ts.21cn.com/tousu/show/id/1349947</v>
      </c>
      <c r="F18096" s="2" t="s">
        <v>11</v>
      </c>
      <c r="G18096" s="2" t="s">
        <v>8599</v>
      </c>
      <c r="H18096" s="2" t="s">
        <v>8600</v>
      </c>
    </row>
    <row r="18097" spans="1:8" ht="25.05" customHeight="1" x14ac:dyDescent="0.25">
      <c r="A18097" s="2" t="s">
        <v>8</v>
      </c>
      <c r="B18097" s="2" t="str">
        <f>HYPERLINK("http://ts.21cn.com/tousu/show/id/1349948","转转集体投诉专题")</f>
        <v>转转集体投诉专题</v>
      </c>
      <c r="C18097" s="2" t="s">
        <v>9</v>
      </c>
      <c r="D18097" s="2" t="s">
        <v>10</v>
      </c>
      <c r="E18097" s="2" t="str">
        <f>HYPERLINK("http://ts.21cn.com/tousu/show/id/1349948","http://ts.21cn.com/tousu/show/id/1349948")</f>
        <v>http://ts.21cn.com/tousu/show/id/1349948</v>
      </c>
      <c r="F18097" s="2" t="s">
        <v>11</v>
      </c>
      <c r="G18097" s="2" t="s">
        <v>8597</v>
      </c>
      <c r="H18097" s="2" t="s">
        <v>8598</v>
      </c>
    </row>
    <row r="18098" spans="1:8" ht="25.05" customHeight="1" x14ac:dyDescent="0.25">
      <c r="A18098" s="2" t="s">
        <v>8</v>
      </c>
      <c r="B18098" s="2" t="str">
        <f>HYPERLINK("http://ts.21cn.com/tousu/show/id/1349949","钱站扣了我几千元")</f>
        <v>钱站扣了我几千元</v>
      </c>
      <c r="C18098" s="2" t="s">
        <v>34</v>
      </c>
      <c r="D18098" s="2" t="s">
        <v>10</v>
      </c>
      <c r="E18098" s="2" t="str">
        <f>HYPERLINK("http://ts.21cn.com/tousu/show/id/1349949","http://ts.21cn.com/tousu/show/id/1349949")</f>
        <v>http://ts.21cn.com/tousu/show/id/1349949</v>
      </c>
      <c r="F18098" s="2" t="s">
        <v>11</v>
      </c>
      <c r="G18098" s="2" t="s">
        <v>8595</v>
      </c>
      <c r="H18098" s="2" t="s">
        <v>8596</v>
      </c>
    </row>
    <row r="18099" spans="1:8" ht="25.05" customHeight="1" x14ac:dyDescent="0.25">
      <c r="A18099" s="2" t="s">
        <v>8</v>
      </c>
      <c r="B18099" s="2" t="str">
        <f>HYPERLINK("http://ts.21cn.com/tousu/show/id/1349951","分期乐停止骚扰给时间")</f>
        <v>分期乐停止骚扰给时间</v>
      </c>
      <c r="C18099" s="2" t="s">
        <v>9</v>
      </c>
      <c r="D18099" s="2" t="s">
        <v>10</v>
      </c>
      <c r="E18099" s="2" t="str">
        <f>HYPERLINK("http://ts.21cn.com/tousu/show/id/1349951","http://ts.21cn.com/tousu/show/id/1349951")</f>
        <v>http://ts.21cn.com/tousu/show/id/1349951</v>
      </c>
      <c r="F18099" s="2" t="s">
        <v>11</v>
      </c>
      <c r="G18099" s="2" t="s">
        <v>8593</v>
      </c>
      <c r="H18099" s="2" t="s">
        <v>8594</v>
      </c>
    </row>
    <row r="18100" spans="1:8" ht="25.05" customHeight="1" x14ac:dyDescent="0.25">
      <c r="A18100" s="2" t="s">
        <v>8</v>
      </c>
      <c r="B18100" s="2" t="str">
        <f>HYPERLINK("http://ts.21cn.com/tousu/show/id/1349950","私自恶意引导学员更改合同病办理咖啡易融贷款分期以获取更大利益学员发现后要求改回但迟迟不见行动")</f>
        <v>私自恶意引导学员更改合同病办理咖啡易融贷款分期以获取更大利益学员发现后要求改回但迟迟不见行动</v>
      </c>
      <c r="C18100" s="2" t="s">
        <v>9</v>
      </c>
      <c r="D18100" s="2" t="s">
        <v>10</v>
      </c>
      <c r="E18100" s="2" t="str">
        <f>HYPERLINK("http://ts.21cn.com/tousu/show/id/1349950","http://ts.21cn.com/tousu/show/id/1349950")</f>
        <v>http://ts.21cn.com/tousu/show/id/1349950</v>
      </c>
      <c r="F18100" s="2" t="s">
        <v>11</v>
      </c>
      <c r="G18100" s="2" t="s">
        <v>8591</v>
      </c>
      <c r="H18100" s="2" t="s">
        <v>8592</v>
      </c>
    </row>
    <row r="18101" spans="1:8" ht="25.05" customHeight="1" x14ac:dyDescent="0.25">
      <c r="A18101" s="2" t="s">
        <v>8</v>
      </c>
      <c r="B18101" s="2" t="str">
        <f>HYPERLINK("http://ts.21cn.com/tousu/show/id/1349952","闪银套路贷")</f>
        <v>闪银套路贷</v>
      </c>
      <c r="C18101" s="2" t="s">
        <v>9</v>
      </c>
      <c r="D18101" s="2" t="s">
        <v>10</v>
      </c>
      <c r="E18101" s="2" t="str">
        <f>HYPERLINK("http://ts.21cn.com/tousu/show/id/1349952","http://ts.21cn.com/tousu/show/id/1349952")</f>
        <v>http://ts.21cn.com/tousu/show/id/1349952</v>
      </c>
      <c r="F18101" s="2" t="s">
        <v>11</v>
      </c>
      <c r="G18101" s="2" t="s">
        <v>8589</v>
      </c>
      <c r="H18101" s="2" t="s">
        <v>8590</v>
      </c>
    </row>
    <row r="18102" spans="1:8" ht="25.05" customHeight="1" x14ac:dyDescent="0.25">
      <c r="A18102" s="2" t="s">
        <v>8</v>
      </c>
      <c r="B18102" s="2" t="str">
        <f>HYPERLINK("http://ts.21cn.com/tousu/show/id/1349953","要求减免服务费和保障金")</f>
        <v>要求减免服务费和保障金</v>
      </c>
      <c r="C18102" s="2" t="s">
        <v>9</v>
      </c>
      <c r="D18102" s="2" t="s">
        <v>10</v>
      </c>
      <c r="E18102" s="2" t="str">
        <f>HYPERLINK("http://ts.21cn.com/tousu/show/id/1349953","http://ts.21cn.com/tousu/show/id/1349953")</f>
        <v>http://ts.21cn.com/tousu/show/id/1349953</v>
      </c>
      <c r="F18102" s="2" t="s">
        <v>11</v>
      </c>
      <c r="G18102" s="2" t="s">
        <v>8587</v>
      </c>
      <c r="H18102" s="2" t="s">
        <v>8588</v>
      </c>
    </row>
    <row r="18103" spans="1:8" ht="25.05" customHeight="1" x14ac:dyDescent="0.25">
      <c r="A18103" s="2" t="s">
        <v>8</v>
      </c>
      <c r="B18103" s="2" t="str">
        <f>HYPERLINK("http://ts.21cn.com/tousu/show/id/1349956","阴阳合同，砍头息，高利贷")</f>
        <v>阴阳合同，砍头息，高利贷</v>
      </c>
      <c r="C18103" s="2" t="s">
        <v>9</v>
      </c>
      <c r="D18103" s="2" t="s">
        <v>10</v>
      </c>
      <c r="E18103" s="2" t="str">
        <f>HYPERLINK("http://ts.21cn.com/tousu/show/id/1349956","http://ts.21cn.com/tousu/show/id/1349956")</f>
        <v>http://ts.21cn.com/tousu/show/id/1349956</v>
      </c>
      <c r="F18103" s="2" t="s">
        <v>11</v>
      </c>
      <c r="G18103" s="2" t="s">
        <v>8585</v>
      </c>
      <c r="H18103" s="2" t="s">
        <v>8586</v>
      </c>
    </row>
    <row r="18104" spans="1:8" ht="25.05" customHeight="1" x14ac:dyDescent="0.25">
      <c r="A18104" s="2" t="s">
        <v>8</v>
      </c>
      <c r="B18104" s="2" t="str">
        <f>HYPERLINK("http://ts.21cn.com/tousu/show/id/1349955","汇潮支付为高炮714金银钱包开通支付通道")</f>
        <v>汇潮支付为高炮714金银钱包开通支付通道</v>
      </c>
      <c r="C18104" s="2" t="s">
        <v>9</v>
      </c>
      <c r="D18104" s="2" t="s">
        <v>10</v>
      </c>
      <c r="E18104" s="2" t="str">
        <f>HYPERLINK("http://ts.21cn.com/tousu/show/id/1349955","http://ts.21cn.com/tousu/show/id/1349955")</f>
        <v>http://ts.21cn.com/tousu/show/id/1349955</v>
      </c>
      <c r="F18104" s="2" t="s">
        <v>11</v>
      </c>
      <c r="G18104" s="2" t="s">
        <v>8583</v>
      </c>
      <c r="H18104" s="2" t="s">
        <v>8584</v>
      </c>
    </row>
    <row r="18105" spans="1:8" ht="25.05" customHeight="1" x14ac:dyDescent="0.25">
      <c r="A18105" s="2" t="s">
        <v>8</v>
      </c>
      <c r="B18105" s="2" t="str">
        <f>HYPERLINK("http://ts.21cn.com/tousu/show/id/1349957","分润失败，不给转账")</f>
        <v>分润失败，不给转账</v>
      </c>
      <c r="C18105" s="2" t="s">
        <v>9</v>
      </c>
      <c r="D18105" s="2" t="s">
        <v>10</v>
      </c>
      <c r="E18105" s="2" t="str">
        <f>HYPERLINK("http://ts.21cn.com/tousu/show/id/1349957","http://ts.21cn.com/tousu/show/id/1349957")</f>
        <v>http://ts.21cn.com/tousu/show/id/1349957</v>
      </c>
      <c r="F18105" s="2" t="s">
        <v>11</v>
      </c>
      <c r="G18105" s="2" t="s">
        <v>8581</v>
      </c>
      <c r="H18105" s="2" t="s">
        <v>8582</v>
      </c>
    </row>
    <row r="18106" spans="1:8" ht="25.05" customHeight="1" x14ac:dyDescent="0.25">
      <c r="A18106" s="2" t="s">
        <v>8</v>
      </c>
      <c r="B18106" s="2" t="str">
        <f>HYPERLINK("http://ts.21cn.com/tousu/show/id/1349958","趣惠买")</f>
        <v>趣惠买</v>
      </c>
      <c r="C18106" s="2" t="s">
        <v>9</v>
      </c>
      <c r="D18106" s="2" t="s">
        <v>10</v>
      </c>
      <c r="E18106" s="2" t="str">
        <f>HYPERLINK("http://ts.21cn.com/tousu/show/id/1349958","http://ts.21cn.com/tousu/show/id/1349958")</f>
        <v>http://ts.21cn.com/tousu/show/id/1349958</v>
      </c>
      <c r="F18106" s="2" t="s">
        <v>11</v>
      </c>
      <c r="G18106" s="2" t="s">
        <v>8579</v>
      </c>
      <c r="H18106" s="2" t="s">
        <v>8580</v>
      </c>
    </row>
    <row r="18107" spans="1:8" ht="25.05" customHeight="1" x14ac:dyDescent="0.25">
      <c r="A18107" s="2" t="s">
        <v>8</v>
      </c>
      <c r="B18107" s="2" t="str">
        <f>HYPERLINK("http://ts.21cn.com/tousu/show/id/1349959","升学教育退费")</f>
        <v>升学教育退费</v>
      </c>
      <c r="C18107" s="2" t="s">
        <v>9</v>
      </c>
      <c r="D18107" s="2" t="s">
        <v>10</v>
      </c>
      <c r="E18107" s="2" t="str">
        <f>HYPERLINK("http://ts.21cn.com/tousu/show/id/1349959","http://ts.21cn.com/tousu/show/id/1349959")</f>
        <v>http://ts.21cn.com/tousu/show/id/1349959</v>
      </c>
      <c r="F18107" s="2" t="s">
        <v>11</v>
      </c>
      <c r="G18107" s="2" t="s">
        <v>8577</v>
      </c>
      <c r="H18107" s="2" t="s">
        <v>8578</v>
      </c>
    </row>
    <row r="18108" spans="1:8" ht="25.05" customHeight="1" x14ac:dyDescent="0.25">
      <c r="A18108" s="2" t="s">
        <v>8</v>
      </c>
      <c r="B18108" s="2" t="str">
        <f>HYPERLINK("http://ts.21cn.com/tousu/show/id/1349904","上了一张9年前违了章的汽车牌照")</f>
        <v>上了一张9年前违了章的汽车牌照</v>
      </c>
      <c r="C18108" s="2" t="s">
        <v>9</v>
      </c>
      <c r="D18108" s="2" t="s">
        <v>10</v>
      </c>
      <c r="E18108" s="2" t="str">
        <f>HYPERLINK("http://ts.21cn.com/tousu/show/id/1349904","http://ts.21cn.com/tousu/show/id/1349904")</f>
        <v>http://ts.21cn.com/tousu/show/id/1349904</v>
      </c>
      <c r="F18108" s="2" t="s">
        <v>11</v>
      </c>
      <c r="G18108" s="2" t="s">
        <v>8575</v>
      </c>
      <c r="H18108" s="2" t="s">
        <v>8576</v>
      </c>
    </row>
    <row r="18109" spans="1:8" ht="25.05" customHeight="1" x14ac:dyDescent="0.25">
      <c r="A18109" s="2" t="s">
        <v>8</v>
      </c>
      <c r="B18109" s="2" t="str">
        <f>HYPERLINK("http://ts.21cn.com/tousu/show/id/1349960","高利息，高额管理费，服务费，骚扰亲朋好友，冒充法院发判决书")</f>
        <v>高利息，高额管理费，服务费，骚扰亲朋好友，冒充法院发判决书</v>
      </c>
      <c r="C18109" s="2" t="s">
        <v>9</v>
      </c>
      <c r="D18109" s="2" t="s">
        <v>10</v>
      </c>
      <c r="E18109" s="2" t="str">
        <f>HYPERLINK("http://ts.21cn.com/tousu/show/id/1349960","http://ts.21cn.com/tousu/show/id/1349960")</f>
        <v>http://ts.21cn.com/tousu/show/id/1349960</v>
      </c>
      <c r="F18109" s="2" t="s">
        <v>11</v>
      </c>
      <c r="G18109" s="2" t="s">
        <v>8573</v>
      </c>
      <c r="H18109" s="2" t="s">
        <v>8574</v>
      </c>
    </row>
    <row r="18110" spans="1:8" ht="25.05" customHeight="1" x14ac:dyDescent="0.25">
      <c r="A18110" s="2" t="s">
        <v>8</v>
      </c>
      <c r="B18110" s="2" t="str">
        <f>HYPERLINK("http://ts.21cn.com/tousu/show/id/1349961","asppuer欧索普尔旗舰店虚假夸大宣传欺诈消费者")</f>
        <v>asppuer欧索普尔旗舰店虚假夸大宣传欺诈消费者</v>
      </c>
      <c r="C18110" s="2" t="s">
        <v>9</v>
      </c>
      <c r="D18110" s="2" t="s">
        <v>10</v>
      </c>
      <c r="E18110" s="2" t="str">
        <f>HYPERLINK("http://ts.21cn.com/tousu/show/id/1349961","http://ts.21cn.com/tousu/show/id/1349961")</f>
        <v>http://ts.21cn.com/tousu/show/id/1349961</v>
      </c>
      <c r="F18110" s="2" t="s">
        <v>11</v>
      </c>
      <c r="G18110" s="2" t="s">
        <v>8571</v>
      </c>
      <c r="H18110" s="2" t="s">
        <v>8572</v>
      </c>
    </row>
    <row r="18111" spans="1:8" ht="25.05" customHeight="1" x14ac:dyDescent="0.25">
      <c r="A18111" s="2" t="s">
        <v>8</v>
      </c>
      <c r="B18111" s="2" t="str">
        <f>HYPERLINK("http://ts.21cn.com/tousu/show/id/1349962","芒果电单车变相收取调度费")</f>
        <v>芒果电单车变相收取调度费</v>
      </c>
      <c r="C18111" s="2" t="s">
        <v>9</v>
      </c>
      <c r="D18111" s="2" t="s">
        <v>10</v>
      </c>
      <c r="E18111" s="2" t="str">
        <f>HYPERLINK("http://ts.21cn.com/tousu/show/id/1349962","http://ts.21cn.com/tousu/show/id/1349962")</f>
        <v>http://ts.21cn.com/tousu/show/id/1349962</v>
      </c>
      <c r="F18111" s="2" t="s">
        <v>11</v>
      </c>
      <c r="G18111" s="2" t="s">
        <v>8569</v>
      </c>
      <c r="H18111" s="2" t="s">
        <v>8570</v>
      </c>
    </row>
    <row r="18112" spans="1:8" ht="25.05" customHeight="1" x14ac:dyDescent="0.25">
      <c r="A18112" s="2" t="s">
        <v>8</v>
      </c>
      <c r="B18112" s="2" t="str">
        <f>HYPERLINK("http://ts.21cn.com/tousu/show/id/1349964","砍头息高利贷")</f>
        <v>砍头息高利贷</v>
      </c>
      <c r="C18112" s="2" t="s">
        <v>9</v>
      </c>
      <c r="D18112" s="2" t="s">
        <v>10</v>
      </c>
      <c r="E18112" s="2" t="str">
        <f>HYPERLINK("http://ts.21cn.com/tousu/show/id/1349964","http://ts.21cn.com/tousu/show/id/1349964")</f>
        <v>http://ts.21cn.com/tousu/show/id/1349964</v>
      </c>
      <c r="F18112" s="2" t="s">
        <v>11</v>
      </c>
      <c r="G18112" s="2" t="s">
        <v>8567</v>
      </c>
      <c r="H18112" s="2" t="s">
        <v>8568</v>
      </c>
    </row>
    <row r="18113" spans="1:8" ht="25.05" customHeight="1" x14ac:dyDescent="0.25">
      <c r="A18113" s="2" t="s">
        <v>8</v>
      </c>
      <c r="B18113" s="2" t="str">
        <f>HYPERLINK("http://ts.21cn.com/tousu/show/id/1349966","催收电话态度恶劣")</f>
        <v>催收电话态度恶劣</v>
      </c>
      <c r="C18113" s="2" t="s">
        <v>9</v>
      </c>
      <c r="D18113" s="2" t="s">
        <v>10</v>
      </c>
      <c r="E18113" s="2" t="str">
        <f>HYPERLINK("http://ts.21cn.com/tousu/show/id/1349966","http://ts.21cn.com/tousu/show/id/1349966")</f>
        <v>http://ts.21cn.com/tousu/show/id/1349966</v>
      </c>
      <c r="F18113" s="2" t="s">
        <v>11</v>
      </c>
      <c r="G18113" s="2" t="s">
        <v>8565</v>
      </c>
      <c r="H18113" s="2" t="s">
        <v>8566</v>
      </c>
    </row>
    <row r="18114" spans="1:8" ht="25.05" customHeight="1" x14ac:dyDescent="0.25">
      <c r="A18114" s="2" t="s">
        <v>8</v>
      </c>
      <c r="B18114" s="2" t="str">
        <f>HYPERLINK("http://ts.21cn.com/tousu/show/id/1349967","兴业银行信用卡恶性催收")</f>
        <v>兴业银行信用卡恶性催收</v>
      </c>
      <c r="C18114" s="2" t="s">
        <v>9</v>
      </c>
      <c r="D18114" s="2" t="s">
        <v>10</v>
      </c>
      <c r="E18114" s="2" t="str">
        <f>HYPERLINK("http://ts.21cn.com/tousu/show/id/1349967","http://ts.21cn.com/tousu/show/id/1349967")</f>
        <v>http://ts.21cn.com/tousu/show/id/1349967</v>
      </c>
      <c r="F18114" s="2" t="s">
        <v>11</v>
      </c>
      <c r="G18114" s="2" t="s">
        <v>8563</v>
      </c>
      <c r="H18114" s="2" t="s">
        <v>8564</v>
      </c>
    </row>
    <row r="18115" spans="1:8" ht="25.05" customHeight="1" x14ac:dyDescent="0.25">
      <c r="A18115" s="2" t="s">
        <v>8</v>
      </c>
      <c r="B18115" s="2" t="str">
        <f>HYPERLINK("http://ts.21cn.com/tousu/show/id/1349954","中德金控APP，投资人，现已跑路")</f>
        <v>中德金控APP，投资人，现已跑路</v>
      </c>
      <c r="C18115" s="2" t="s">
        <v>9</v>
      </c>
      <c r="D18115" s="2" t="s">
        <v>10</v>
      </c>
      <c r="E18115" s="2" t="str">
        <f>HYPERLINK("http://ts.21cn.com/tousu/show/id/1349954","http://ts.21cn.com/tousu/show/id/1349954")</f>
        <v>http://ts.21cn.com/tousu/show/id/1349954</v>
      </c>
      <c r="F18115" s="2" t="s">
        <v>11</v>
      </c>
      <c r="G18115" s="2" t="s">
        <v>8561</v>
      </c>
      <c r="H18115" s="2" t="s">
        <v>8562</v>
      </c>
    </row>
    <row r="18116" spans="1:8" ht="25.05" customHeight="1" x14ac:dyDescent="0.25">
      <c r="A18116" s="2" t="s">
        <v>8</v>
      </c>
      <c r="B18116" s="2" t="str">
        <f>HYPERLINK("http://ts.21cn.com/tousu/show/id/1349969","既有分期高利贷")</f>
        <v>既有分期高利贷</v>
      </c>
      <c r="C18116" s="2" t="s">
        <v>9</v>
      </c>
      <c r="D18116" s="2" t="s">
        <v>10</v>
      </c>
      <c r="E18116" s="2" t="str">
        <f>HYPERLINK("http://ts.21cn.com/tousu/show/id/1349969","http://ts.21cn.com/tousu/show/id/1349969")</f>
        <v>http://ts.21cn.com/tousu/show/id/1349969</v>
      </c>
      <c r="F18116" s="2" t="s">
        <v>11</v>
      </c>
      <c r="G18116" s="2" t="s">
        <v>8559</v>
      </c>
      <c r="H18116" s="2" t="s">
        <v>8560</v>
      </c>
    </row>
    <row r="18117" spans="1:8" ht="25.05" customHeight="1" x14ac:dyDescent="0.25">
      <c r="A18117" s="2" t="s">
        <v>8</v>
      </c>
      <c r="B18117" s="2" t="str">
        <f>HYPERLINK("http://ts.21cn.com/tousu/show/id/1349971","高利贷速金服")</f>
        <v>高利贷速金服</v>
      </c>
      <c r="C18117" s="2" t="s">
        <v>9</v>
      </c>
      <c r="D18117" s="2" t="s">
        <v>10</v>
      </c>
      <c r="E18117" s="2" t="str">
        <f>HYPERLINK("http://ts.21cn.com/tousu/show/id/1349971","http://ts.21cn.com/tousu/show/id/1349971")</f>
        <v>http://ts.21cn.com/tousu/show/id/1349971</v>
      </c>
      <c r="F18117" s="2" t="s">
        <v>11</v>
      </c>
      <c r="G18117" s="2" t="s">
        <v>8557</v>
      </c>
      <c r="H18117" s="2" t="s">
        <v>8558</v>
      </c>
    </row>
    <row r="18118" spans="1:8" ht="25.05" customHeight="1" x14ac:dyDescent="0.25">
      <c r="A18118" s="2" t="s">
        <v>8</v>
      </c>
      <c r="B18118" s="2" t="str">
        <f>HYPERLINK("http://ts.21cn.com/tousu/show/id/1349970","信用管家元宝宝及支付平台畅捷支付涉嫌套路贷")</f>
        <v>信用管家元宝宝及支付平台畅捷支付涉嫌套路贷</v>
      </c>
      <c r="C18118" s="2" t="s">
        <v>9</v>
      </c>
      <c r="D18118" s="2" t="s">
        <v>10</v>
      </c>
      <c r="E18118" s="2" t="str">
        <f>HYPERLINK("http://ts.21cn.com/tousu/show/id/1349970","http://ts.21cn.com/tousu/show/id/1349970")</f>
        <v>http://ts.21cn.com/tousu/show/id/1349970</v>
      </c>
      <c r="F18118" s="2" t="s">
        <v>11</v>
      </c>
      <c r="G18118" s="2" t="s">
        <v>8555</v>
      </c>
      <c r="H18118" s="2" t="s">
        <v>8556</v>
      </c>
    </row>
    <row r="18119" spans="1:8" ht="25.05" customHeight="1" x14ac:dyDescent="0.25">
      <c r="A18119" s="2" t="s">
        <v>8</v>
      </c>
      <c r="B18119" s="2" t="str">
        <f>HYPERLINK("http://ts.21cn.com/tousu/show/id/1349973","天房天辰世纪楼盘强制捆绑车位售卖且车位不按期交付使用")</f>
        <v>天房天辰世纪楼盘强制捆绑车位售卖且车位不按期交付使用</v>
      </c>
      <c r="C18119" s="2" t="s">
        <v>9</v>
      </c>
      <c r="D18119" s="2" t="s">
        <v>10</v>
      </c>
      <c r="E18119" s="2" t="str">
        <f>HYPERLINK("http://ts.21cn.com/tousu/show/id/1349973","http://ts.21cn.com/tousu/show/id/1349973")</f>
        <v>http://ts.21cn.com/tousu/show/id/1349973</v>
      </c>
      <c r="F18119" s="2" t="s">
        <v>11</v>
      </c>
      <c r="G18119" s="2" t="s">
        <v>8553</v>
      </c>
      <c r="H18119" s="2" t="s">
        <v>8554</v>
      </c>
    </row>
    <row r="18120" spans="1:8" ht="25.05" customHeight="1" x14ac:dyDescent="0.25">
      <c r="A18120" s="2" t="s">
        <v>8</v>
      </c>
      <c r="B18120" s="2" t="str">
        <f>HYPERLINK("http://ts.21cn.com/tousu/show/id/1324787","易鑫车贷套路贷，阴阳合同，暴力催收")</f>
        <v>易鑫车贷套路贷，阴阳合同，暴力催收</v>
      </c>
      <c r="C18120" s="2" t="s">
        <v>9</v>
      </c>
      <c r="D18120" s="2" t="s">
        <v>10</v>
      </c>
      <c r="E18120" s="2" t="str">
        <f>HYPERLINK("http://ts.21cn.com/tousu/show/id/1324787","http://ts.21cn.com/tousu/show/id/1324787")</f>
        <v>http://ts.21cn.com/tousu/show/id/1324787</v>
      </c>
      <c r="F18120" s="2" t="s">
        <v>11</v>
      </c>
      <c r="G18120" s="2" t="s">
        <v>8551</v>
      </c>
      <c r="H18120" s="2" t="s">
        <v>8552</v>
      </c>
    </row>
    <row r="18121" spans="1:8" ht="25.05" customHeight="1" x14ac:dyDescent="0.25">
      <c r="A18121" s="2" t="s">
        <v>8</v>
      </c>
      <c r="B18121" s="2" t="str">
        <f>HYPERLINK("http://ts.21cn.com/tousu/show/id/1349972","用钱宝暴力催收")</f>
        <v>用钱宝暴力催收</v>
      </c>
      <c r="C18121" s="2" t="s">
        <v>9</v>
      </c>
      <c r="D18121" s="2" t="s">
        <v>10</v>
      </c>
      <c r="E18121" s="2" t="str">
        <f>HYPERLINK("http://ts.21cn.com/tousu/show/id/1349972","http://ts.21cn.com/tousu/show/id/1349972")</f>
        <v>http://ts.21cn.com/tousu/show/id/1349972</v>
      </c>
      <c r="F18121" s="2" t="s">
        <v>11</v>
      </c>
      <c r="G18121" s="2" t="s">
        <v>8549</v>
      </c>
      <c r="H18121" s="2" t="s">
        <v>8550</v>
      </c>
    </row>
    <row r="18122" spans="1:8" ht="25.05" customHeight="1" x14ac:dyDescent="0.25">
      <c r="A18122" s="2" t="s">
        <v>8</v>
      </c>
      <c r="B18122" s="2" t="str">
        <f>HYPERLINK("http://ts.21cn.com/tousu/show/id/1349974","唯品会商品不到十五天大幅度降价55元。要求退差价。")</f>
        <v>唯品会商品不到十五天大幅度降价55元。要求退差价。</v>
      </c>
      <c r="C18122" s="2" t="s">
        <v>9</v>
      </c>
      <c r="D18122" s="2" t="s">
        <v>10</v>
      </c>
      <c r="E18122" s="2" t="str">
        <f>HYPERLINK("http://ts.21cn.com/tousu/show/id/1349974","http://ts.21cn.com/tousu/show/id/1349974")</f>
        <v>http://ts.21cn.com/tousu/show/id/1349974</v>
      </c>
      <c r="F18122" s="2" t="s">
        <v>11</v>
      </c>
      <c r="G18122" s="2" t="s">
        <v>8547</v>
      </c>
      <c r="H18122" s="2" t="s">
        <v>8548</v>
      </c>
    </row>
    <row r="18123" spans="1:8" ht="25.05" customHeight="1" x14ac:dyDescent="0.25">
      <c r="A18123" s="2" t="s">
        <v>8</v>
      </c>
      <c r="B18123" s="2" t="str">
        <f>HYPERLINK("http://ts.21cn.com/tousu/show/id/1349975","Ems虚假投递")</f>
        <v>Ems虚假投递</v>
      </c>
      <c r="C18123" s="2" t="s">
        <v>9</v>
      </c>
      <c r="D18123" s="2" t="s">
        <v>10</v>
      </c>
      <c r="E18123" s="2" t="str">
        <f>HYPERLINK("http://ts.21cn.com/tousu/show/id/1349975","http://ts.21cn.com/tousu/show/id/1349975")</f>
        <v>http://ts.21cn.com/tousu/show/id/1349975</v>
      </c>
      <c r="F18123" s="2" t="s">
        <v>11</v>
      </c>
      <c r="G18123" s="2" t="s">
        <v>8545</v>
      </c>
      <c r="H18123" s="2" t="s">
        <v>8546</v>
      </c>
    </row>
    <row r="18124" spans="1:8" ht="25.05" customHeight="1" x14ac:dyDescent="0.25">
      <c r="A18124" s="2" t="s">
        <v>8</v>
      </c>
      <c r="B18124" s="2" t="str">
        <f>HYPERLINK("http://ts.21cn.com/tousu/show/id/1349976","宝贝支付不给退钱")</f>
        <v>宝贝支付不给退钱</v>
      </c>
      <c r="C18124" s="2" t="s">
        <v>9</v>
      </c>
      <c r="D18124" s="2" t="s">
        <v>10</v>
      </c>
      <c r="E18124" s="2" t="str">
        <f>HYPERLINK("http://ts.21cn.com/tousu/show/id/1349976","http://ts.21cn.com/tousu/show/id/1349976")</f>
        <v>http://ts.21cn.com/tousu/show/id/1349976</v>
      </c>
      <c r="F18124" s="2" t="s">
        <v>11</v>
      </c>
      <c r="G18124" s="2" t="s">
        <v>8543</v>
      </c>
      <c r="H18124" s="2" t="s">
        <v>8544</v>
      </c>
    </row>
    <row r="18125" spans="1:8" ht="25.05" customHeight="1" x14ac:dyDescent="0.25">
      <c r="A18125" s="2" t="s">
        <v>8</v>
      </c>
      <c r="B18125" s="2" t="str">
        <f>HYPERLINK("http://ts.21cn.com/tousu/show/id/1349977","宜信公司宜人贷平台恶意催收，还款之后还派第三方不合法人员催收，打客服电话恶语相向，直接挂电话。")</f>
        <v>宜信公司宜人贷平台恶意催收，还款之后还派第三方不合法人员催收，打客服电话恶语相向，直接挂电话。</v>
      </c>
      <c r="C18125" s="2" t="s">
        <v>9</v>
      </c>
      <c r="D18125" s="2" t="s">
        <v>10</v>
      </c>
      <c r="E18125" s="2" t="str">
        <f>HYPERLINK("http://ts.21cn.com/tousu/show/id/1349977","http://ts.21cn.com/tousu/show/id/1349977")</f>
        <v>http://ts.21cn.com/tousu/show/id/1349977</v>
      </c>
      <c r="F18125" s="2" t="s">
        <v>11</v>
      </c>
      <c r="G18125" s="2" t="s">
        <v>8541</v>
      </c>
      <c r="H18125" s="2" t="s">
        <v>8542</v>
      </c>
    </row>
    <row r="18126" spans="1:8" ht="25.05" customHeight="1" x14ac:dyDescent="0.25">
      <c r="A18126" s="2" t="s">
        <v>8</v>
      </c>
      <c r="B18126" s="2" t="str">
        <f>HYPERLINK("http://ts.21cn.com/tousu/show/id/1349978","马上花暴击催收，人生攻击，恶语骂人")</f>
        <v>马上花暴击催收，人生攻击，恶语骂人</v>
      </c>
      <c r="C18126" s="2" t="s">
        <v>9</v>
      </c>
      <c r="D18126" s="2" t="s">
        <v>10</v>
      </c>
      <c r="E18126" s="2" t="str">
        <f>HYPERLINK("http://ts.21cn.com/tousu/show/id/1349978","http://ts.21cn.com/tousu/show/id/1349978")</f>
        <v>http://ts.21cn.com/tousu/show/id/1349978</v>
      </c>
      <c r="F18126" s="2" t="s">
        <v>11</v>
      </c>
      <c r="G18126" s="2" t="s">
        <v>8539</v>
      </c>
      <c r="H18126" s="2" t="s">
        <v>8540</v>
      </c>
    </row>
    <row r="18127" spans="1:8" ht="25.05" customHeight="1" x14ac:dyDescent="0.25">
      <c r="A18127" s="2" t="s">
        <v>8</v>
      </c>
      <c r="B18127" s="2" t="str">
        <f>HYPERLINK("http://ts.21cn.com/tousu/show/id/1349979","贷上钱以买游戏豆为由收取高额贷款通过费")</f>
        <v>贷上钱以买游戏豆为由收取高额贷款通过费</v>
      </c>
      <c r="C18127" s="2" t="s">
        <v>34</v>
      </c>
      <c r="D18127" s="2" t="s">
        <v>10</v>
      </c>
      <c r="E18127" s="2" t="str">
        <f>HYPERLINK("http://ts.21cn.com/tousu/show/id/1349979","http://ts.21cn.com/tousu/show/id/1349979")</f>
        <v>http://ts.21cn.com/tousu/show/id/1349979</v>
      </c>
      <c r="F18127" s="2" t="s">
        <v>11</v>
      </c>
      <c r="G18127" s="2" t="s">
        <v>8537</v>
      </c>
      <c r="H18127" s="2" t="s">
        <v>8538</v>
      </c>
    </row>
    <row r="18128" spans="1:8" ht="25.05" customHeight="1" x14ac:dyDescent="0.25">
      <c r="A18128" s="2" t="s">
        <v>8</v>
      </c>
      <c r="B18128" s="2" t="str">
        <f>HYPERLINK("http://ts.21cn.com/tousu/show/id/1349980","微贷高利息，砍头息")</f>
        <v>微贷高利息，砍头息</v>
      </c>
      <c r="C18128" s="2" t="s">
        <v>9</v>
      </c>
      <c r="D18128" s="2" t="s">
        <v>10</v>
      </c>
      <c r="E18128" s="2" t="str">
        <f>HYPERLINK("http://ts.21cn.com/tousu/show/id/1349980","http://ts.21cn.com/tousu/show/id/1349980")</f>
        <v>http://ts.21cn.com/tousu/show/id/1349980</v>
      </c>
      <c r="F18128" s="2" t="s">
        <v>11</v>
      </c>
      <c r="G18128" s="2" t="s">
        <v>8535</v>
      </c>
      <c r="H18128" s="2" t="s">
        <v>8536</v>
      </c>
    </row>
    <row r="18129" spans="1:8" ht="25.05" customHeight="1" x14ac:dyDescent="0.25">
      <c r="A18129" s="2" t="s">
        <v>8</v>
      </c>
      <c r="B18129" s="2" t="str">
        <f>HYPERLINK("http://ts.21cn.com/tousu/show/id/1349981","钱橙无忧随意扣费")</f>
        <v>钱橙无忧随意扣费</v>
      </c>
      <c r="C18129" s="2" t="s">
        <v>34</v>
      </c>
      <c r="D18129" s="2" t="s">
        <v>10</v>
      </c>
      <c r="E18129" s="2" t="str">
        <f>HYPERLINK("http://ts.21cn.com/tousu/show/id/1349981","http://ts.21cn.com/tousu/show/id/1349981")</f>
        <v>http://ts.21cn.com/tousu/show/id/1349981</v>
      </c>
      <c r="F18129" s="2" t="s">
        <v>11</v>
      </c>
      <c r="G18129" s="2" t="s">
        <v>8533</v>
      </c>
      <c r="H18129" s="2" t="s">
        <v>8534</v>
      </c>
    </row>
    <row r="18130" spans="1:8" ht="25.05" customHeight="1" x14ac:dyDescent="0.25">
      <c r="A18130" s="2" t="s">
        <v>8</v>
      </c>
      <c r="B18130" s="2" t="str">
        <f>HYPERLINK("http://ts.21cn.com/tousu/show/id/1349982","京东蓄意不退货态度恶劣")</f>
        <v>京东蓄意不退货态度恶劣</v>
      </c>
      <c r="C18130" s="2" t="s">
        <v>9</v>
      </c>
      <c r="D18130" s="2" t="s">
        <v>10</v>
      </c>
      <c r="E18130" s="2" t="str">
        <f>HYPERLINK("http://ts.21cn.com/tousu/show/id/1349982","http://ts.21cn.com/tousu/show/id/1349982")</f>
        <v>http://ts.21cn.com/tousu/show/id/1349982</v>
      </c>
      <c r="F18130" s="2" t="s">
        <v>11</v>
      </c>
      <c r="G18130" s="2" t="s">
        <v>8531</v>
      </c>
      <c r="H18130" s="2" t="s">
        <v>8532</v>
      </c>
    </row>
    <row r="18131" spans="1:8" ht="25.05" customHeight="1" x14ac:dyDescent="0.25">
      <c r="A18131" s="2" t="s">
        <v>8</v>
      </c>
      <c r="B18131" s="2" t="str">
        <f>HYPERLINK("http://ts.21cn.com/tousu/show/id/1349983","钱站逾期费高到离谱")</f>
        <v>钱站逾期费高到离谱</v>
      </c>
      <c r="C18131" s="2" t="s">
        <v>9</v>
      </c>
      <c r="D18131" s="2" t="s">
        <v>10</v>
      </c>
      <c r="E18131" s="2" t="str">
        <f>HYPERLINK("http://ts.21cn.com/tousu/show/id/1349983","http://ts.21cn.com/tousu/show/id/1349983")</f>
        <v>http://ts.21cn.com/tousu/show/id/1349983</v>
      </c>
      <c r="F18131" s="2" t="s">
        <v>11</v>
      </c>
      <c r="G18131" s="2" t="s">
        <v>8529</v>
      </c>
      <c r="H18131" s="2" t="s">
        <v>8530</v>
      </c>
    </row>
    <row r="18132" spans="1:8" ht="25.05" customHeight="1" x14ac:dyDescent="0.25">
      <c r="A18132" s="2" t="s">
        <v>8</v>
      </c>
      <c r="B18132" s="2" t="str">
        <f>HYPERLINK("http://ts.21cn.com/tousu/show/id/1349963","兵装财务智富车贷砍头息，高利贷，违法偷车")</f>
        <v>兵装财务智富车贷砍头息，高利贷，违法偷车</v>
      </c>
      <c r="C18132" s="2" t="s">
        <v>9</v>
      </c>
      <c r="D18132" s="2" t="s">
        <v>10</v>
      </c>
      <c r="E18132" s="2" t="str">
        <f>HYPERLINK("http://ts.21cn.com/tousu/show/id/1349963","http://ts.21cn.com/tousu/show/id/1349963")</f>
        <v>http://ts.21cn.com/tousu/show/id/1349963</v>
      </c>
      <c r="F18132" s="2" t="s">
        <v>11</v>
      </c>
      <c r="G18132" s="2" t="s">
        <v>8527</v>
      </c>
      <c r="H18132" s="2" t="s">
        <v>8528</v>
      </c>
    </row>
    <row r="18133" spans="1:8" ht="25.05" customHeight="1" x14ac:dyDescent="0.25">
      <c r="A18133" s="2" t="s">
        <v>8</v>
      </c>
      <c r="B18133" s="2" t="str">
        <f>HYPERLINK("http://ts.21cn.com/tousu/show/id/1349984","支付宝冻结个人资金")</f>
        <v>支付宝冻结个人资金</v>
      </c>
      <c r="C18133" s="2" t="s">
        <v>9</v>
      </c>
      <c r="D18133" s="2" t="s">
        <v>10</v>
      </c>
      <c r="E18133" s="2" t="str">
        <f>HYPERLINK("http://ts.21cn.com/tousu/show/id/1349984","http://ts.21cn.com/tousu/show/id/1349984")</f>
        <v>http://ts.21cn.com/tousu/show/id/1349984</v>
      </c>
      <c r="F18133" s="2" t="s">
        <v>11</v>
      </c>
      <c r="G18133" s="2" t="s">
        <v>8525</v>
      </c>
      <c r="H18133" s="2" t="s">
        <v>8526</v>
      </c>
    </row>
    <row r="18134" spans="1:8" ht="25.05" customHeight="1" x14ac:dyDescent="0.25">
      <c r="A18134" s="2" t="s">
        <v>8</v>
      </c>
      <c r="B18134" s="2" t="str">
        <f>HYPERLINK("http://ts.21cn.com/tousu/show/id/1349985","你我贷给我发威胁短信")</f>
        <v>你我贷给我发威胁短信</v>
      </c>
      <c r="C18134" s="2" t="s">
        <v>9</v>
      </c>
      <c r="D18134" s="2" t="s">
        <v>10</v>
      </c>
      <c r="E18134" s="2" t="str">
        <f>HYPERLINK("http://ts.21cn.com/tousu/show/id/1349985","http://ts.21cn.com/tousu/show/id/1349985")</f>
        <v>http://ts.21cn.com/tousu/show/id/1349985</v>
      </c>
      <c r="F18134" s="2" t="s">
        <v>11</v>
      </c>
      <c r="G18134" s="2" t="s">
        <v>8523</v>
      </c>
      <c r="H18134" s="2" t="s">
        <v>8524</v>
      </c>
    </row>
    <row r="18135" spans="1:8" ht="25.05" customHeight="1" x14ac:dyDescent="0.25">
      <c r="A18135" s="2" t="s">
        <v>8</v>
      </c>
      <c r="B18135" s="2" t="str">
        <f>HYPERLINK("http://ts.21cn.com/tousu/show/id/1349986","期待合伙人隐藏收费，高利贷。")</f>
        <v>期待合伙人隐藏收费，高利贷。</v>
      </c>
      <c r="C18135" s="2" t="s">
        <v>9</v>
      </c>
      <c r="D18135" s="2" t="s">
        <v>10</v>
      </c>
      <c r="E18135" s="2" t="str">
        <f>HYPERLINK("http://ts.21cn.com/tousu/show/id/1349986","http://ts.21cn.com/tousu/show/id/1349986")</f>
        <v>http://ts.21cn.com/tousu/show/id/1349986</v>
      </c>
      <c r="F18135" s="2" t="s">
        <v>11</v>
      </c>
      <c r="G18135" s="2" t="s">
        <v>8521</v>
      </c>
      <c r="H18135" s="2" t="s">
        <v>8522</v>
      </c>
    </row>
    <row r="18136" spans="1:8" ht="25.05" customHeight="1" x14ac:dyDescent="0.25">
      <c r="A18136" s="2" t="s">
        <v>8</v>
      </c>
      <c r="B18136" s="2" t="str">
        <f>HYPERLINK("http://ts.21cn.com/tousu/show/id/1349987","钱站连续三天骚扰家人")</f>
        <v>钱站连续三天骚扰家人</v>
      </c>
      <c r="C18136" s="2" t="s">
        <v>9</v>
      </c>
      <c r="D18136" s="2" t="s">
        <v>10</v>
      </c>
      <c r="E18136" s="2" t="str">
        <f>HYPERLINK("http://ts.21cn.com/tousu/show/id/1349987","http://ts.21cn.com/tousu/show/id/1349987")</f>
        <v>http://ts.21cn.com/tousu/show/id/1349987</v>
      </c>
      <c r="F18136" s="2" t="s">
        <v>11</v>
      </c>
      <c r="G18136" s="2" t="s">
        <v>8519</v>
      </c>
      <c r="H18136" s="2" t="s">
        <v>8520</v>
      </c>
    </row>
    <row r="18137" spans="1:8" ht="25.05" customHeight="1" x14ac:dyDescent="0.25">
      <c r="A18137" s="2" t="s">
        <v>8</v>
      </c>
      <c r="B18137" s="2" t="str">
        <f>HYPERLINK("http://ts.21cn.com/tousu/show/id/1349988","没有借款却有催收威胁")</f>
        <v>没有借款却有催收威胁</v>
      </c>
      <c r="C18137" s="2" t="s">
        <v>9</v>
      </c>
      <c r="D18137" s="2" t="s">
        <v>10</v>
      </c>
      <c r="E18137" s="2" t="str">
        <f>HYPERLINK("http://ts.21cn.com/tousu/show/id/1349988","http://ts.21cn.com/tousu/show/id/1349988")</f>
        <v>http://ts.21cn.com/tousu/show/id/1349988</v>
      </c>
      <c r="F18137" s="2" t="s">
        <v>11</v>
      </c>
      <c r="G18137" s="2" t="s">
        <v>8517</v>
      </c>
      <c r="H18137" s="2" t="s">
        <v>8518</v>
      </c>
    </row>
    <row r="18138" spans="1:8" ht="25.05" customHeight="1" x14ac:dyDescent="0.25">
      <c r="A18138" s="2" t="s">
        <v>8</v>
      </c>
      <c r="B18138" s="2" t="str">
        <f>HYPERLINK("http://ts.21cn.com/tousu/show/id/1349990","砍头利息")</f>
        <v>砍头利息</v>
      </c>
      <c r="C18138" s="2" t="s">
        <v>34</v>
      </c>
      <c r="D18138" s="2" t="s">
        <v>10</v>
      </c>
      <c r="E18138" s="2" t="str">
        <f>HYPERLINK("http://ts.21cn.com/tousu/show/id/1349990","http://ts.21cn.com/tousu/show/id/1349990")</f>
        <v>http://ts.21cn.com/tousu/show/id/1349990</v>
      </c>
      <c r="F18138" s="2" t="s">
        <v>11</v>
      </c>
      <c r="G18138" s="2" t="s">
        <v>8515</v>
      </c>
      <c r="H18138" s="2" t="s">
        <v>8516</v>
      </c>
    </row>
    <row r="18139" spans="1:8" ht="25.05" customHeight="1" x14ac:dyDescent="0.25">
      <c r="A18139" s="2" t="s">
        <v>8</v>
      </c>
      <c r="B18139" s="2" t="str">
        <f>HYPERLINK("http://ts.21cn.com/tousu/show/id/1349989","拍拍贷恐吓")</f>
        <v>拍拍贷恐吓</v>
      </c>
      <c r="C18139" s="2" t="s">
        <v>9</v>
      </c>
      <c r="D18139" s="2" t="s">
        <v>10</v>
      </c>
      <c r="E18139" s="2" t="str">
        <f>HYPERLINK("http://ts.21cn.com/tousu/show/id/1349989","http://ts.21cn.com/tousu/show/id/1349989")</f>
        <v>http://ts.21cn.com/tousu/show/id/1349989</v>
      </c>
      <c r="F18139" s="2" t="s">
        <v>11</v>
      </c>
      <c r="G18139" s="2" t="s">
        <v>8513</v>
      </c>
      <c r="H18139" s="2" t="s">
        <v>8514</v>
      </c>
    </row>
    <row r="18140" spans="1:8" ht="25.05" customHeight="1" x14ac:dyDescent="0.25">
      <c r="A18140" s="2" t="s">
        <v>8</v>
      </c>
      <c r="B18140" s="2" t="str">
        <f>HYPERLINK("http://ts.21cn.com/tousu/show/id/1349991","钱站恶意骚扰威胁恐吓")</f>
        <v>钱站恶意骚扰威胁恐吓</v>
      </c>
      <c r="C18140" s="2" t="s">
        <v>9</v>
      </c>
      <c r="D18140" s="2" t="s">
        <v>10</v>
      </c>
      <c r="E18140" s="2" t="str">
        <f>HYPERLINK("http://ts.21cn.com/tousu/show/id/1349991","http://ts.21cn.com/tousu/show/id/1349991")</f>
        <v>http://ts.21cn.com/tousu/show/id/1349991</v>
      </c>
      <c r="F18140" s="2" t="s">
        <v>11</v>
      </c>
      <c r="G18140" s="2" t="s">
        <v>8511</v>
      </c>
      <c r="H18140" s="2" t="s">
        <v>8512</v>
      </c>
    </row>
    <row r="18141" spans="1:8" ht="25.05" customHeight="1" x14ac:dyDescent="0.25">
      <c r="A18141" s="2" t="s">
        <v>8</v>
      </c>
      <c r="B18141" s="2" t="str">
        <f>HYPERLINK("http://ts.21cn.com/tousu/show/id/1349992","淘宝被恶意投诉举报危机交易安全")</f>
        <v>淘宝被恶意投诉举报危机交易安全</v>
      </c>
      <c r="C18141" s="2" t="s">
        <v>9</v>
      </c>
      <c r="D18141" s="2" t="s">
        <v>10</v>
      </c>
      <c r="E18141" s="2" t="str">
        <f>HYPERLINK("http://ts.21cn.com/tousu/show/id/1349992","http://ts.21cn.com/tousu/show/id/1349992")</f>
        <v>http://ts.21cn.com/tousu/show/id/1349992</v>
      </c>
      <c r="F18141" s="2" t="s">
        <v>11</v>
      </c>
      <c r="G18141" s="2" t="s">
        <v>8509</v>
      </c>
      <c r="H18141" s="2" t="s">
        <v>8510</v>
      </c>
    </row>
    <row r="18142" spans="1:8" ht="25.05" customHeight="1" x14ac:dyDescent="0.25">
      <c r="A18142" s="2" t="s">
        <v>8</v>
      </c>
      <c r="B18142" s="2" t="str">
        <f>HYPERLINK("http://ts.21cn.com/tousu/show/id/1349993","京东上拍拍手机卖有问题手机不给退")</f>
        <v>京东上拍拍手机卖有问题手机不给退</v>
      </c>
      <c r="C18142" s="2" t="s">
        <v>9</v>
      </c>
      <c r="D18142" s="2" t="s">
        <v>10</v>
      </c>
      <c r="E18142" s="2" t="str">
        <f>HYPERLINK("http://ts.21cn.com/tousu/show/id/1349993","http://ts.21cn.com/tousu/show/id/1349993")</f>
        <v>http://ts.21cn.com/tousu/show/id/1349993</v>
      </c>
      <c r="F18142" s="2" t="s">
        <v>11</v>
      </c>
      <c r="G18142" s="2" t="s">
        <v>8507</v>
      </c>
      <c r="H18142" s="2" t="s">
        <v>8508</v>
      </c>
    </row>
    <row r="18143" spans="1:8" ht="25.05" customHeight="1" x14ac:dyDescent="0.25">
      <c r="A18143" s="2" t="s">
        <v>8</v>
      </c>
      <c r="B18143" s="2" t="str">
        <f>HYPERLINK("http://ts.21cn.com/tousu/show/id/1349995","小米金融暴力催收泄露我隐私")</f>
        <v>小米金融暴力催收泄露我隐私</v>
      </c>
      <c r="C18143" s="2" t="s">
        <v>9</v>
      </c>
      <c r="D18143" s="2" t="s">
        <v>10</v>
      </c>
      <c r="E18143" s="2" t="str">
        <f>HYPERLINK("http://ts.21cn.com/tousu/show/id/1349995","http://ts.21cn.com/tousu/show/id/1349995")</f>
        <v>http://ts.21cn.com/tousu/show/id/1349995</v>
      </c>
      <c r="F18143" s="2" t="s">
        <v>11</v>
      </c>
      <c r="G18143" s="2" t="s">
        <v>8505</v>
      </c>
      <c r="H18143" s="2" t="s">
        <v>8506</v>
      </c>
    </row>
    <row r="18144" spans="1:8" ht="25.05" customHeight="1" x14ac:dyDescent="0.25">
      <c r="A18144" s="2" t="s">
        <v>8</v>
      </c>
      <c r="B18144" s="2" t="str">
        <f>HYPERLINK("http://ts.21cn.com/tousu/show/id/1349996","虚假广告，买的四两公蟹三两母蟹实发一两螃蟹")</f>
        <v>虚假广告，买的四两公蟹三两母蟹实发一两螃蟹</v>
      </c>
      <c r="C18144" s="2" t="s">
        <v>9</v>
      </c>
      <c r="D18144" s="2" t="s">
        <v>10</v>
      </c>
      <c r="E18144" s="2" t="str">
        <f>HYPERLINK("http://ts.21cn.com/tousu/show/id/1349996","http://ts.21cn.com/tousu/show/id/1349996")</f>
        <v>http://ts.21cn.com/tousu/show/id/1349996</v>
      </c>
      <c r="F18144" s="2" t="s">
        <v>11</v>
      </c>
      <c r="G18144" s="2" t="s">
        <v>8503</v>
      </c>
      <c r="H18144" s="2" t="s">
        <v>8504</v>
      </c>
    </row>
    <row r="18145" spans="1:8" ht="25.05" customHeight="1" x14ac:dyDescent="0.25">
      <c r="A18145" s="2" t="s">
        <v>8</v>
      </c>
      <c r="B18145" s="2" t="str">
        <f>HYPERLINK("http://ts.21cn.com/tousu/show/id/1349997","建行协商还款")</f>
        <v>建行协商还款</v>
      </c>
      <c r="C18145" s="2" t="s">
        <v>34</v>
      </c>
      <c r="D18145" s="2" t="s">
        <v>10</v>
      </c>
      <c r="E18145" s="2" t="str">
        <f>HYPERLINK("http://ts.21cn.com/tousu/show/id/1349997","http://ts.21cn.com/tousu/show/id/1349997")</f>
        <v>http://ts.21cn.com/tousu/show/id/1349997</v>
      </c>
      <c r="F18145" s="2" t="s">
        <v>11</v>
      </c>
      <c r="G18145" s="2" t="s">
        <v>8501</v>
      </c>
      <c r="H18145" s="2" t="s">
        <v>8502</v>
      </c>
    </row>
    <row r="18146" spans="1:8" ht="25.05" customHeight="1" x14ac:dyDescent="0.25">
      <c r="A18146" s="2" t="s">
        <v>8</v>
      </c>
      <c r="B18146" s="2" t="str">
        <f>HYPERLINK("http://ts.21cn.com/tousu/show/id/1349998","平安普惠已经结清还显示要还款")</f>
        <v>平安普惠已经结清还显示要还款</v>
      </c>
      <c r="C18146" s="2" t="s">
        <v>34</v>
      </c>
      <c r="D18146" s="2" t="s">
        <v>10</v>
      </c>
      <c r="E18146" s="2" t="str">
        <f>HYPERLINK("http://ts.21cn.com/tousu/show/id/1349998","http://ts.21cn.com/tousu/show/id/1349998")</f>
        <v>http://ts.21cn.com/tousu/show/id/1349998</v>
      </c>
      <c r="F18146" s="2" t="s">
        <v>11</v>
      </c>
      <c r="G18146" s="2" t="s">
        <v>8499</v>
      </c>
      <c r="H18146" s="2" t="s">
        <v>8500</v>
      </c>
    </row>
    <row r="18147" spans="1:8" ht="25.05" customHeight="1" x14ac:dyDescent="0.25">
      <c r="A18147" s="2" t="s">
        <v>8</v>
      </c>
      <c r="B18147" s="2" t="str">
        <f>HYPERLINK("http://ts.21cn.com/tousu/show/id/1349999","广发银行信用卡不打本人电话一直骚扰联系人")</f>
        <v>广发银行信用卡不打本人电话一直骚扰联系人</v>
      </c>
      <c r="C18147" s="2" t="s">
        <v>9</v>
      </c>
      <c r="D18147" s="2" t="s">
        <v>10</v>
      </c>
      <c r="E18147" s="2" t="str">
        <f>HYPERLINK("http://ts.21cn.com/tousu/show/id/1349999","http://ts.21cn.com/tousu/show/id/1349999")</f>
        <v>http://ts.21cn.com/tousu/show/id/1349999</v>
      </c>
      <c r="F18147" s="2" t="s">
        <v>11</v>
      </c>
      <c r="G18147" s="2" t="s">
        <v>8497</v>
      </c>
      <c r="H18147" s="2" t="s">
        <v>8498</v>
      </c>
    </row>
    <row r="18148" spans="1:8" ht="25.05" customHeight="1" x14ac:dyDescent="0.25">
      <c r="A18148" s="2" t="s">
        <v>8</v>
      </c>
      <c r="B18148" s="2" t="str">
        <f>HYPERLINK("http://ts.21cn.com/tousu/show/id/1349968","暴力催收，骚扰亲属！")</f>
        <v>暴力催收，骚扰亲属！</v>
      </c>
      <c r="C18148" s="2" t="s">
        <v>9</v>
      </c>
      <c r="D18148" s="2" t="s">
        <v>10</v>
      </c>
      <c r="E18148" s="2" t="str">
        <f>HYPERLINK("http://ts.21cn.com/tousu/show/id/1349968","http://ts.21cn.com/tousu/show/id/1349968")</f>
        <v>http://ts.21cn.com/tousu/show/id/1349968</v>
      </c>
      <c r="F18148" s="2" t="s">
        <v>11</v>
      </c>
      <c r="G18148" s="2" t="s">
        <v>8495</v>
      </c>
      <c r="H18148" s="2" t="s">
        <v>8496</v>
      </c>
    </row>
    <row r="18149" spans="1:8" ht="25.05" customHeight="1" x14ac:dyDescent="0.25">
      <c r="A18149" s="2" t="s">
        <v>8</v>
      </c>
      <c r="B18149" s="2" t="str">
        <f>HYPERLINK("http://ts.21cn.com/tousu/show/id/1350000","申请退款不处理")</f>
        <v>申请退款不处理</v>
      </c>
      <c r="C18149" s="2" t="s">
        <v>9</v>
      </c>
      <c r="D18149" s="2" t="s">
        <v>10</v>
      </c>
      <c r="E18149" s="2" t="str">
        <f>HYPERLINK("http://ts.21cn.com/tousu/show/id/1350000","http://ts.21cn.com/tousu/show/id/1350000")</f>
        <v>http://ts.21cn.com/tousu/show/id/1350000</v>
      </c>
      <c r="F18149" s="2" t="s">
        <v>11</v>
      </c>
      <c r="G18149" s="2" t="s">
        <v>8493</v>
      </c>
      <c r="H18149" s="2" t="s">
        <v>8494</v>
      </c>
    </row>
    <row r="18150" spans="1:8" ht="25.05" customHeight="1" x14ac:dyDescent="0.25">
      <c r="A18150" s="2" t="s">
        <v>8</v>
      </c>
      <c r="B18150" s="2" t="str">
        <f>HYPERLINK("http://ts.21cn.com/tousu/show/id/1350002","威胁")</f>
        <v>威胁</v>
      </c>
      <c r="C18150" s="2" t="s">
        <v>9</v>
      </c>
      <c r="D18150" s="2" t="s">
        <v>10</v>
      </c>
      <c r="E18150" s="2" t="str">
        <f>HYPERLINK("http://ts.21cn.com/tousu/show/id/1350002","http://ts.21cn.com/tousu/show/id/1350002")</f>
        <v>http://ts.21cn.com/tousu/show/id/1350002</v>
      </c>
      <c r="F18150" s="2" t="s">
        <v>11</v>
      </c>
      <c r="G18150" s="2" t="s">
        <v>8491</v>
      </c>
      <c r="H18150" s="2" t="s">
        <v>8492</v>
      </c>
    </row>
    <row r="18151" spans="1:8" ht="25.05" customHeight="1" x14ac:dyDescent="0.25">
      <c r="A18151" s="2" t="s">
        <v>8</v>
      </c>
      <c r="B18151" s="2" t="str">
        <f>HYPERLINK("http://ts.21cn.com/tousu/show/id/1350001","钱站阴阳合同，高利贷")</f>
        <v>钱站阴阳合同，高利贷</v>
      </c>
      <c r="C18151" s="2" t="s">
        <v>9</v>
      </c>
      <c r="D18151" s="2" t="s">
        <v>10</v>
      </c>
      <c r="E18151" s="2" t="str">
        <f>HYPERLINK("http://ts.21cn.com/tousu/show/id/1350001","http://ts.21cn.com/tousu/show/id/1350001")</f>
        <v>http://ts.21cn.com/tousu/show/id/1350001</v>
      </c>
      <c r="F18151" s="2" t="s">
        <v>11</v>
      </c>
      <c r="G18151" s="2" t="s">
        <v>8489</v>
      </c>
      <c r="H18151" s="2" t="s">
        <v>8490</v>
      </c>
    </row>
    <row r="18152" spans="1:8" ht="25.05" customHeight="1" x14ac:dyDescent="0.25">
      <c r="A18152" s="2" t="s">
        <v>8</v>
      </c>
      <c r="B18152" s="2" t="str">
        <f>HYPERLINK("http://ts.21cn.com/tousu/show/id/1350003","要求全额退款")</f>
        <v>要求全额退款</v>
      </c>
      <c r="C18152" s="2" t="s">
        <v>34</v>
      </c>
      <c r="D18152" s="2" t="s">
        <v>10</v>
      </c>
      <c r="E18152" s="2" t="str">
        <f>HYPERLINK("http://ts.21cn.com/tousu/show/id/1350003","http://ts.21cn.com/tousu/show/id/1350003")</f>
        <v>http://ts.21cn.com/tousu/show/id/1350003</v>
      </c>
      <c r="F18152" s="2" t="s">
        <v>11</v>
      </c>
      <c r="G18152" s="2" t="s">
        <v>8487</v>
      </c>
      <c r="H18152" s="2" t="s">
        <v>8488</v>
      </c>
    </row>
    <row r="18153" spans="1:8" ht="25.05" customHeight="1" x14ac:dyDescent="0.25">
      <c r="A18153" s="2" t="s">
        <v>8</v>
      </c>
      <c r="B18153" s="2" t="str">
        <f>HYPERLINK("http://ts.21cn.com/tousu/show/id/1350005","捷信违法催收爆通讯录给家里人打成千上万个电话")</f>
        <v>捷信违法催收爆通讯录给家里人打成千上万个电话</v>
      </c>
      <c r="C18153" s="2" t="s">
        <v>9</v>
      </c>
      <c r="D18153" s="2" t="s">
        <v>10</v>
      </c>
      <c r="E18153" s="2" t="str">
        <f>HYPERLINK("http://ts.21cn.com/tousu/show/id/1350005","http://ts.21cn.com/tousu/show/id/1350005")</f>
        <v>http://ts.21cn.com/tousu/show/id/1350005</v>
      </c>
      <c r="F18153" s="2" t="s">
        <v>11</v>
      </c>
      <c r="G18153" s="2" t="s">
        <v>8485</v>
      </c>
      <c r="H18153" s="2" t="s">
        <v>8486</v>
      </c>
    </row>
    <row r="18154" spans="1:8" ht="25.05" customHeight="1" x14ac:dyDescent="0.25">
      <c r="A18154" s="2" t="s">
        <v>8</v>
      </c>
      <c r="B18154" s="2" t="str">
        <f>HYPERLINK("http://ts.21cn.com/tousu/show/id/1350007","及贷恐吓泄露信息")</f>
        <v>及贷恐吓泄露信息</v>
      </c>
      <c r="C18154" s="2" t="s">
        <v>9</v>
      </c>
      <c r="D18154" s="2" t="s">
        <v>10</v>
      </c>
      <c r="E18154" s="2" t="str">
        <f>HYPERLINK("http://ts.21cn.com/tousu/show/id/1350007","http://ts.21cn.com/tousu/show/id/1350007")</f>
        <v>http://ts.21cn.com/tousu/show/id/1350007</v>
      </c>
      <c r="F18154" s="2" t="s">
        <v>11</v>
      </c>
      <c r="G18154" s="2" t="s">
        <v>8483</v>
      </c>
      <c r="H18154" s="2" t="s">
        <v>8484</v>
      </c>
    </row>
    <row r="18155" spans="1:8" ht="25.05" customHeight="1" x14ac:dyDescent="0.25">
      <c r="A18155" s="2" t="s">
        <v>8</v>
      </c>
      <c r="B18155" s="2" t="str">
        <f>HYPERLINK("http://ts.21cn.com/tousu/show/id/1350006","钱站高利贷阴阳合同")</f>
        <v>钱站高利贷阴阳合同</v>
      </c>
      <c r="C18155" s="2" t="s">
        <v>9</v>
      </c>
      <c r="D18155" s="2" t="s">
        <v>10</v>
      </c>
      <c r="E18155" s="2" t="str">
        <f>HYPERLINK("http://ts.21cn.com/tousu/show/id/1350006","http://ts.21cn.com/tousu/show/id/1350006")</f>
        <v>http://ts.21cn.com/tousu/show/id/1350006</v>
      </c>
      <c r="F18155" s="2" t="s">
        <v>11</v>
      </c>
      <c r="G18155" s="2" t="s">
        <v>8481</v>
      </c>
      <c r="H18155" s="2" t="s">
        <v>8482</v>
      </c>
    </row>
    <row r="18156" spans="1:8" ht="25.05" customHeight="1" x14ac:dyDescent="0.25">
      <c r="A18156" s="2" t="s">
        <v>8</v>
      </c>
      <c r="B18156" s="2" t="str">
        <f>HYPERLINK("http://ts.21cn.com/tousu/show/id/1350008","软暴力催收　严重影响个人生活")</f>
        <v>软暴力催收　严重影响个人生活</v>
      </c>
      <c r="C18156" s="2" t="s">
        <v>9</v>
      </c>
      <c r="D18156" s="2" t="s">
        <v>10</v>
      </c>
      <c r="E18156" s="2" t="str">
        <f>HYPERLINK("http://ts.21cn.com/tousu/show/id/1350008","http://ts.21cn.com/tousu/show/id/1350008")</f>
        <v>http://ts.21cn.com/tousu/show/id/1350008</v>
      </c>
      <c r="F18156" s="2" t="s">
        <v>11</v>
      </c>
      <c r="G18156" s="2" t="s">
        <v>8479</v>
      </c>
      <c r="H18156" s="2" t="s">
        <v>8480</v>
      </c>
    </row>
    <row r="18157" spans="1:8" ht="25.05" customHeight="1" x14ac:dyDescent="0.25">
      <c r="A18157" s="2" t="s">
        <v>8</v>
      </c>
      <c r="B18157" s="2" t="str">
        <f>HYPERLINK("http://ts.21cn.com/tousu/show/id/1350009","我的2020年邮票预定无法付款，我退出后。再登录时，我的预定资格被取消！请妥善解决，我还要从新预定！谢谢。")</f>
        <v>我的2020年邮票预定无法付款，我退出后。再登录时，我的预定资格被取消！请妥善解决，我还要从新预定！谢谢。</v>
      </c>
      <c r="C18157" s="2" t="s">
        <v>34</v>
      </c>
      <c r="D18157" s="2" t="s">
        <v>10</v>
      </c>
      <c r="E18157" s="2" t="str">
        <f>HYPERLINK("http://ts.21cn.com/tousu/show/id/1350009","http://ts.21cn.com/tousu/show/id/1350009")</f>
        <v>http://ts.21cn.com/tousu/show/id/1350009</v>
      </c>
      <c r="F18157" s="2" t="s">
        <v>11</v>
      </c>
      <c r="G18157" s="2" t="s">
        <v>8477</v>
      </c>
      <c r="H18157" s="2" t="s">
        <v>8478</v>
      </c>
    </row>
    <row r="18158" spans="1:8" ht="25.05" customHeight="1" x14ac:dyDescent="0.25">
      <c r="A18158" s="2" t="s">
        <v>8</v>
      </c>
      <c r="B18158" s="2" t="str">
        <f>HYPERLINK("http://ts.21cn.com/tousu/show/id/1350010","国美易卡以查询了征信为由不给注销")</f>
        <v>国美易卡以查询了征信为由不给注销</v>
      </c>
      <c r="C18158" s="2" t="s">
        <v>34</v>
      </c>
      <c r="D18158" s="2" t="s">
        <v>10</v>
      </c>
      <c r="E18158" s="2" t="str">
        <f>HYPERLINK("http://ts.21cn.com/tousu/show/id/1350010","http://ts.21cn.com/tousu/show/id/1350010")</f>
        <v>http://ts.21cn.com/tousu/show/id/1350010</v>
      </c>
      <c r="F18158" s="2" t="s">
        <v>11</v>
      </c>
      <c r="G18158" s="2" t="s">
        <v>8475</v>
      </c>
      <c r="H18158" s="2" t="s">
        <v>8476</v>
      </c>
    </row>
    <row r="18159" spans="1:8" ht="25.05" customHeight="1" x14ac:dyDescent="0.25">
      <c r="A18159" s="2" t="s">
        <v>8</v>
      </c>
      <c r="B18159" s="2" t="str">
        <f>HYPERLINK("http://ts.21cn.com/tousu/show/id/1350011","撤销账")</f>
        <v>撤销账</v>
      </c>
      <c r="C18159" s="2" t="s">
        <v>9</v>
      </c>
      <c r="D18159" s="2" t="s">
        <v>10</v>
      </c>
      <c r="E18159" s="2" t="str">
        <f>HYPERLINK("http://ts.21cn.com/tousu/show/id/1350011","http://ts.21cn.com/tousu/show/id/1350011")</f>
        <v>http://ts.21cn.com/tousu/show/id/1350011</v>
      </c>
      <c r="F18159" s="2" t="s">
        <v>11</v>
      </c>
      <c r="G18159" s="2" t="s">
        <v>8473</v>
      </c>
      <c r="H18159" s="2" t="s">
        <v>8474</v>
      </c>
    </row>
    <row r="18160" spans="1:8" ht="25.05" customHeight="1" x14ac:dyDescent="0.25">
      <c r="A18160" s="2" t="s">
        <v>8</v>
      </c>
      <c r="B18160" s="2" t="str">
        <f>HYPERLINK("http://ts.21cn.com/tousu/show/id/1350012","苏宁金融还款日当天电话稍扰用户。投诉后包庇员工讨要说法一个人仍未有一人和我联系")</f>
        <v>苏宁金融还款日当天电话稍扰用户。投诉后包庇员工讨要说法一个人仍未有一人和我联系</v>
      </c>
      <c r="C18160" s="2" t="s">
        <v>9</v>
      </c>
      <c r="D18160" s="2" t="s">
        <v>10</v>
      </c>
      <c r="E18160" s="2" t="str">
        <f>HYPERLINK("http://ts.21cn.com/tousu/show/id/1350012","http://ts.21cn.com/tousu/show/id/1350012")</f>
        <v>http://ts.21cn.com/tousu/show/id/1350012</v>
      </c>
      <c r="F18160" s="2" t="s">
        <v>11</v>
      </c>
      <c r="G18160" s="2" t="s">
        <v>8471</v>
      </c>
      <c r="H18160" s="2" t="s">
        <v>8472</v>
      </c>
    </row>
    <row r="18161" spans="1:8" ht="25.05" customHeight="1" x14ac:dyDescent="0.25">
      <c r="A18161" s="2" t="s">
        <v>8</v>
      </c>
      <c r="B18161" s="2" t="str">
        <f>HYPERLINK("http://ts.21cn.com/tousu/show/id/1350014","本人受诱导充值购买彩票，后发现为境外赌博网站，主要通过银生宝支付1.7万左右，请求退还相关款项")</f>
        <v>本人受诱导充值购买彩票，后发现为境外赌博网站，主要通过银生宝支付1.7万左右，请求退还相关款项</v>
      </c>
      <c r="C18161" s="2" t="s">
        <v>9</v>
      </c>
      <c r="D18161" s="2" t="s">
        <v>10</v>
      </c>
      <c r="E18161" s="2" t="str">
        <f>HYPERLINK("http://ts.21cn.com/tousu/show/id/1350014","http://ts.21cn.com/tousu/show/id/1350014")</f>
        <v>http://ts.21cn.com/tousu/show/id/1350014</v>
      </c>
      <c r="F18161" s="2" t="s">
        <v>11</v>
      </c>
      <c r="G18161" s="2" t="s">
        <v>8470</v>
      </c>
      <c r="H18161" s="2" t="s">
        <v>5447</v>
      </c>
    </row>
    <row r="18162" spans="1:8" ht="25.05" customHeight="1" x14ac:dyDescent="0.25">
      <c r="A18162" s="2" t="s">
        <v>8</v>
      </c>
      <c r="B18162" s="2" t="str">
        <f>HYPERLINK("http://ts.21cn.com/tousu/show/id/1350015","暴力催收")</f>
        <v>暴力催收</v>
      </c>
      <c r="C18162" s="2" t="s">
        <v>9</v>
      </c>
      <c r="D18162" s="2" t="s">
        <v>10</v>
      </c>
      <c r="E18162" s="2" t="str">
        <f>HYPERLINK("http://ts.21cn.com/tousu/show/id/1350015","http://ts.21cn.com/tousu/show/id/1350015")</f>
        <v>http://ts.21cn.com/tousu/show/id/1350015</v>
      </c>
      <c r="F18162" s="2" t="s">
        <v>11</v>
      </c>
      <c r="G18162" s="2" t="s">
        <v>8468</v>
      </c>
      <c r="H18162" s="2" t="s">
        <v>8469</v>
      </c>
    </row>
    <row r="18163" spans="1:8" ht="25.05" customHeight="1" x14ac:dyDescent="0.25">
      <c r="A18163" s="2" t="s">
        <v>8</v>
      </c>
      <c r="B18163" s="2" t="str">
        <f>HYPERLINK("http://ts.21cn.com/tousu/show/id/1350016","易贷分期通过借贷宝套路贷")</f>
        <v>易贷分期通过借贷宝套路贷</v>
      </c>
      <c r="C18163" s="2" t="s">
        <v>9</v>
      </c>
      <c r="D18163" s="2" t="s">
        <v>10</v>
      </c>
      <c r="E18163" s="2" t="str">
        <f>HYPERLINK("http://ts.21cn.com/tousu/show/id/1350016","http://ts.21cn.com/tousu/show/id/1350016")</f>
        <v>http://ts.21cn.com/tousu/show/id/1350016</v>
      </c>
      <c r="F18163" s="2" t="s">
        <v>11</v>
      </c>
      <c r="G18163" s="2" t="s">
        <v>8466</v>
      </c>
      <c r="H18163" s="2" t="s">
        <v>8467</v>
      </c>
    </row>
    <row r="18164" spans="1:8" ht="25.05" customHeight="1" x14ac:dyDescent="0.25">
      <c r="A18164" s="2" t="s">
        <v>8</v>
      </c>
      <c r="B18164" s="2" t="str">
        <f>HYPERLINK("http://ts.21cn.com/tousu/show/id/1350019","拍拍贷给学生贷款且侵犯隐私权，骚扰通讯录。")</f>
        <v>拍拍贷给学生贷款且侵犯隐私权，骚扰通讯录。</v>
      </c>
      <c r="C18164" s="2" t="s">
        <v>9</v>
      </c>
      <c r="D18164" s="2" t="s">
        <v>10</v>
      </c>
      <c r="E18164" s="2" t="str">
        <f>HYPERLINK("http://ts.21cn.com/tousu/show/id/1350019","http://ts.21cn.com/tousu/show/id/1350019")</f>
        <v>http://ts.21cn.com/tousu/show/id/1350019</v>
      </c>
      <c r="F18164" s="2" t="s">
        <v>11</v>
      </c>
      <c r="G18164" s="2" t="s">
        <v>8464</v>
      </c>
      <c r="H18164" s="2" t="s">
        <v>8465</v>
      </c>
    </row>
    <row r="18165" spans="1:8" ht="25.05" customHeight="1" x14ac:dyDescent="0.25">
      <c r="A18165" s="2" t="s">
        <v>8</v>
      </c>
      <c r="B18165" s="2" t="str">
        <f>HYPERLINK("http://ts.21cn.com/tousu/show/id/1350017","佰仟金融群发拼图，伪造法律文书，涉嫌犯罪")</f>
        <v>佰仟金融群发拼图，伪造法律文书，涉嫌犯罪</v>
      </c>
      <c r="C18165" s="2" t="s">
        <v>9</v>
      </c>
      <c r="D18165" s="2" t="s">
        <v>10</v>
      </c>
      <c r="E18165" s="2" t="str">
        <f>HYPERLINK("http://ts.21cn.com/tousu/show/id/1350017","http://ts.21cn.com/tousu/show/id/1350017")</f>
        <v>http://ts.21cn.com/tousu/show/id/1350017</v>
      </c>
      <c r="F18165" s="2" t="s">
        <v>11</v>
      </c>
      <c r="G18165" s="2" t="s">
        <v>8462</v>
      </c>
      <c r="H18165" s="2" t="s">
        <v>8463</v>
      </c>
    </row>
    <row r="18166" spans="1:8" ht="25.05" customHeight="1" x14ac:dyDescent="0.25">
      <c r="A18166" s="2" t="s">
        <v>8</v>
      </c>
      <c r="B18166" s="2" t="str">
        <f>HYPERLINK("http://ts.21cn.com/tousu/show/id/1350020","幸福花每期按时还但是还是电话轰炸")</f>
        <v>幸福花每期按时还但是还是电话轰炸</v>
      </c>
      <c r="C18166" s="2" t="s">
        <v>9</v>
      </c>
      <c r="D18166" s="2" t="s">
        <v>10</v>
      </c>
      <c r="E18166" s="2" t="str">
        <f>HYPERLINK("http://ts.21cn.com/tousu/show/id/1350020","http://ts.21cn.com/tousu/show/id/1350020")</f>
        <v>http://ts.21cn.com/tousu/show/id/1350020</v>
      </c>
      <c r="F18166" s="2" t="s">
        <v>11</v>
      </c>
      <c r="G18166" s="2" t="s">
        <v>8460</v>
      </c>
      <c r="H18166" s="2" t="s">
        <v>8461</v>
      </c>
    </row>
    <row r="18167" spans="1:8" ht="25.05" customHeight="1" x14ac:dyDescent="0.25">
      <c r="A18167" s="2" t="s">
        <v>8</v>
      </c>
      <c r="B18167" s="2" t="str">
        <f>HYPERLINK("http://ts.21cn.com/tousu/show/id/1350021","暴力催收，威胁，恐吓")</f>
        <v>暴力催收，威胁，恐吓</v>
      </c>
      <c r="C18167" s="2" t="s">
        <v>9</v>
      </c>
      <c r="D18167" s="2" t="s">
        <v>10</v>
      </c>
      <c r="E18167" s="2" t="str">
        <f>HYPERLINK("http://ts.21cn.com/tousu/show/id/1350021","http://ts.21cn.com/tousu/show/id/1350021")</f>
        <v>http://ts.21cn.com/tousu/show/id/1350021</v>
      </c>
      <c r="F18167" s="2" t="s">
        <v>11</v>
      </c>
      <c r="G18167" s="2" t="s">
        <v>8458</v>
      </c>
      <c r="H18167" s="2" t="s">
        <v>8459</v>
      </c>
    </row>
    <row r="18168" spans="1:8" ht="25.05" customHeight="1" x14ac:dyDescent="0.25">
      <c r="A18168" s="2" t="s">
        <v>8</v>
      </c>
      <c r="B18168" s="2" t="str">
        <f>HYPERLINK("http://ts.21cn.com/tousu/show/id/1350024","瓜子金融，暴力催收")</f>
        <v>瓜子金融，暴力催收</v>
      </c>
      <c r="C18168" s="2" t="s">
        <v>9</v>
      </c>
      <c r="D18168" s="2" t="s">
        <v>10</v>
      </c>
      <c r="E18168" s="2" t="str">
        <f>HYPERLINK("http://ts.21cn.com/tousu/show/id/1350024","http://ts.21cn.com/tousu/show/id/1350024")</f>
        <v>http://ts.21cn.com/tousu/show/id/1350024</v>
      </c>
      <c r="F18168" s="2" t="s">
        <v>11</v>
      </c>
      <c r="G18168" s="2" t="s">
        <v>8456</v>
      </c>
      <c r="H18168" s="2" t="s">
        <v>8457</v>
      </c>
    </row>
    <row r="18169" spans="1:8" ht="25.05" customHeight="1" x14ac:dyDescent="0.25">
      <c r="A18169" s="2" t="s">
        <v>8</v>
      </c>
      <c r="B18169" s="2" t="str">
        <f>HYPERLINK("http://ts.21cn.com/tousu/show/id/1350025","新橙优品代扣失败导致逾期，并且官方失联")</f>
        <v>新橙优品代扣失败导致逾期，并且官方失联</v>
      </c>
      <c r="C18169" s="2" t="s">
        <v>9</v>
      </c>
      <c r="D18169" s="2" t="s">
        <v>10</v>
      </c>
      <c r="E18169" s="2" t="str">
        <f>HYPERLINK("http://ts.21cn.com/tousu/show/id/1350025","http://ts.21cn.com/tousu/show/id/1350025")</f>
        <v>http://ts.21cn.com/tousu/show/id/1350025</v>
      </c>
      <c r="F18169" s="2" t="s">
        <v>11</v>
      </c>
      <c r="G18169" s="2" t="s">
        <v>8454</v>
      </c>
      <c r="H18169" s="2" t="s">
        <v>8455</v>
      </c>
    </row>
    <row r="18170" spans="1:8" ht="25.05" customHeight="1" x14ac:dyDescent="0.25">
      <c r="A18170" s="2" t="s">
        <v>8</v>
      </c>
      <c r="B18170" s="2" t="str">
        <f>HYPERLINK("http://ts.21cn.com/tousu/show/id/1350027","闪银奇异故意制造逾期")</f>
        <v>闪银奇异故意制造逾期</v>
      </c>
      <c r="C18170" s="2" t="s">
        <v>9</v>
      </c>
      <c r="D18170" s="2" t="s">
        <v>10</v>
      </c>
      <c r="E18170" s="2" t="str">
        <f>HYPERLINK("http://ts.21cn.com/tousu/show/id/1350027","http://ts.21cn.com/tousu/show/id/1350027")</f>
        <v>http://ts.21cn.com/tousu/show/id/1350027</v>
      </c>
      <c r="F18170" s="2" t="s">
        <v>11</v>
      </c>
      <c r="G18170" s="2" t="s">
        <v>8452</v>
      </c>
      <c r="H18170" s="2" t="s">
        <v>8453</v>
      </c>
    </row>
    <row r="18171" spans="1:8" ht="25.05" customHeight="1" x14ac:dyDescent="0.25">
      <c r="A18171" s="2" t="s">
        <v>8</v>
      </c>
      <c r="B18171" s="2" t="str">
        <f>HYPERLINK("http://ts.21cn.com/tousu/show/id/1350026","投诉淘集集，假冒电子产品，发给客户三无产品")</f>
        <v>投诉淘集集，假冒电子产品，发给客户三无产品</v>
      </c>
      <c r="C18171" s="2" t="s">
        <v>9</v>
      </c>
      <c r="D18171" s="2" t="s">
        <v>10</v>
      </c>
      <c r="E18171" s="2" t="str">
        <f>HYPERLINK("http://ts.21cn.com/tousu/show/id/1350026","http://ts.21cn.com/tousu/show/id/1350026")</f>
        <v>http://ts.21cn.com/tousu/show/id/1350026</v>
      </c>
      <c r="F18171" s="2" t="s">
        <v>11</v>
      </c>
      <c r="G18171" s="2" t="s">
        <v>8450</v>
      </c>
      <c r="H18171" s="2" t="s">
        <v>8451</v>
      </c>
    </row>
    <row r="18172" spans="1:8" ht="25.05" customHeight="1" x14ac:dyDescent="0.25">
      <c r="A18172" s="2" t="s">
        <v>8</v>
      </c>
      <c r="B18172" s="2" t="str">
        <f>HYPERLINK("http://ts.21cn.com/tousu/show/id/1350028","平安普惠贷款隐瞒隐藏并强制收取高额保险费管理费投诉事宜")</f>
        <v>平安普惠贷款隐瞒隐藏并强制收取高额保险费管理费投诉事宜</v>
      </c>
      <c r="C18172" s="2" t="s">
        <v>9</v>
      </c>
      <c r="D18172" s="2" t="s">
        <v>10</v>
      </c>
      <c r="E18172" s="2" t="str">
        <f>HYPERLINK("http://ts.21cn.com/tousu/show/id/1350028","http://ts.21cn.com/tousu/show/id/1350028")</f>
        <v>http://ts.21cn.com/tousu/show/id/1350028</v>
      </c>
      <c r="F18172" s="2" t="s">
        <v>11</v>
      </c>
      <c r="G18172" s="2" t="s">
        <v>8448</v>
      </c>
      <c r="H18172" s="2" t="s">
        <v>8449</v>
      </c>
    </row>
    <row r="18173" spans="1:8" ht="25.05" customHeight="1" x14ac:dyDescent="0.25">
      <c r="A18173" s="2" t="s">
        <v>8</v>
      </c>
      <c r="B18173" s="2" t="str">
        <f>HYPERLINK("http://ts.21cn.com/tousu/show/id/1350004","优信二手车贷款私自增加不明贷款项")</f>
        <v>优信二手车贷款私自增加不明贷款项</v>
      </c>
      <c r="C18173" s="2" t="s">
        <v>9</v>
      </c>
      <c r="D18173" s="2" t="s">
        <v>10</v>
      </c>
      <c r="E18173" s="2" t="str">
        <f>HYPERLINK("http://ts.21cn.com/tousu/show/id/1350004","http://ts.21cn.com/tousu/show/id/1350004")</f>
        <v>http://ts.21cn.com/tousu/show/id/1350004</v>
      </c>
      <c r="F18173" s="2" t="s">
        <v>11</v>
      </c>
      <c r="G18173" s="2" t="s">
        <v>8446</v>
      </c>
      <c r="H18173" s="2" t="s">
        <v>8447</v>
      </c>
    </row>
    <row r="18174" spans="1:8" ht="25.05" customHeight="1" x14ac:dyDescent="0.25">
      <c r="A18174" s="2" t="s">
        <v>8</v>
      </c>
      <c r="B18174" s="2" t="str">
        <f>HYPERLINK("http://ts.21cn.com/tousu/show/id/1349886","瓜子二手车坑车主，超过合约期限，45天迟迟不过户")</f>
        <v>瓜子二手车坑车主，超过合约期限，45天迟迟不过户</v>
      </c>
      <c r="C18174" s="2" t="s">
        <v>9</v>
      </c>
      <c r="D18174" s="2" t="s">
        <v>10</v>
      </c>
      <c r="E18174" s="2" t="str">
        <f>HYPERLINK("http://ts.21cn.com/tousu/show/id/1349886","http://ts.21cn.com/tousu/show/id/1349886")</f>
        <v>http://ts.21cn.com/tousu/show/id/1349886</v>
      </c>
      <c r="F18174" s="2" t="s">
        <v>11</v>
      </c>
      <c r="G18174" s="2" t="s">
        <v>8444</v>
      </c>
      <c r="H18174" s="2" t="s">
        <v>8445</v>
      </c>
    </row>
    <row r="18175" spans="1:8" ht="25.05" customHeight="1" x14ac:dyDescent="0.25">
      <c r="A18175" s="2" t="s">
        <v>8</v>
      </c>
      <c r="B18175" s="2" t="str">
        <f>HYPERLINK("http://ts.21cn.com/tousu/show/id/1350030","拖欠农民工工资")</f>
        <v>拖欠农民工工资</v>
      </c>
      <c r="C18175" s="2" t="s">
        <v>9</v>
      </c>
      <c r="D18175" s="2" t="s">
        <v>10</v>
      </c>
      <c r="E18175" s="2" t="str">
        <f>HYPERLINK("http://ts.21cn.com/tousu/show/id/1350030","http://ts.21cn.com/tousu/show/id/1350030")</f>
        <v>http://ts.21cn.com/tousu/show/id/1350030</v>
      </c>
      <c r="F18175" s="2" t="s">
        <v>11</v>
      </c>
      <c r="G18175" s="2" t="s">
        <v>8442</v>
      </c>
      <c r="H18175" s="2" t="s">
        <v>8443</v>
      </c>
    </row>
    <row r="18176" spans="1:8" ht="25.05" customHeight="1" x14ac:dyDescent="0.25">
      <c r="A18176" s="2" t="s">
        <v>8</v>
      </c>
      <c r="B18176" s="2" t="str">
        <f>HYPERLINK("http://ts.21cn.com/tousu/show/id/1350031","未成年儿童玩腾讯游戏误充值")</f>
        <v>未成年儿童玩腾讯游戏误充值</v>
      </c>
      <c r="C18176" s="2" t="s">
        <v>9</v>
      </c>
      <c r="D18176" s="2" t="s">
        <v>10</v>
      </c>
      <c r="E18176" s="2" t="str">
        <f>HYPERLINK("http://ts.21cn.com/tousu/show/id/1350031","http://ts.21cn.com/tousu/show/id/1350031")</f>
        <v>http://ts.21cn.com/tousu/show/id/1350031</v>
      </c>
      <c r="F18176" s="2" t="s">
        <v>11</v>
      </c>
      <c r="G18176" s="2" t="s">
        <v>8440</v>
      </c>
      <c r="H18176" s="2" t="s">
        <v>8441</v>
      </c>
    </row>
    <row r="18177" spans="1:8" ht="25.05" customHeight="1" x14ac:dyDescent="0.25">
      <c r="A18177" s="2" t="s">
        <v>8</v>
      </c>
      <c r="B18177" s="2" t="str">
        <f>HYPERLINK("http://ts.21cn.com/tousu/show/id/1350033","网络借贷强制扣银行卡的钱")</f>
        <v>网络借贷强制扣银行卡的钱</v>
      </c>
      <c r="C18177" s="2" t="s">
        <v>9</v>
      </c>
      <c r="D18177" s="2" t="s">
        <v>10</v>
      </c>
      <c r="E18177" s="2" t="str">
        <f>HYPERLINK("http://ts.21cn.com/tousu/show/id/1350033","http://ts.21cn.com/tousu/show/id/1350033")</f>
        <v>http://ts.21cn.com/tousu/show/id/1350033</v>
      </c>
      <c r="F18177" s="2" t="s">
        <v>11</v>
      </c>
      <c r="G18177" s="2" t="s">
        <v>8438</v>
      </c>
      <c r="H18177" s="2" t="s">
        <v>8439</v>
      </c>
    </row>
    <row r="18178" spans="1:8" ht="25.05" customHeight="1" x14ac:dyDescent="0.25">
      <c r="A18178" s="2" t="s">
        <v>8</v>
      </c>
      <c r="B18178" s="2" t="str">
        <f>HYPERLINK("http://ts.21cn.com/tousu/show/id/1350034","51即刻有软暴力催收不断骚扰")</f>
        <v>51即刻有软暴力催收不断骚扰</v>
      </c>
      <c r="C18178" s="2" t="s">
        <v>9</v>
      </c>
      <c r="D18178" s="2" t="s">
        <v>10</v>
      </c>
      <c r="E18178" s="2" t="str">
        <f>HYPERLINK("http://ts.21cn.com/tousu/show/id/1350034","http://ts.21cn.com/tousu/show/id/1350034")</f>
        <v>http://ts.21cn.com/tousu/show/id/1350034</v>
      </c>
      <c r="F18178" s="2" t="s">
        <v>11</v>
      </c>
      <c r="G18178" s="2" t="s">
        <v>8436</v>
      </c>
      <c r="H18178" s="2" t="s">
        <v>8437</v>
      </c>
    </row>
    <row r="18179" spans="1:8" ht="25.05" customHeight="1" x14ac:dyDescent="0.25">
      <c r="A18179" s="2" t="s">
        <v>8</v>
      </c>
      <c r="B18179" s="2" t="str">
        <f>HYPERLINK("http://ts.21cn.com/tousu/show/id/1350036","银谷普惠暴力催收、辱骂借款人")</f>
        <v>银谷普惠暴力催收、辱骂借款人</v>
      </c>
      <c r="C18179" s="2" t="s">
        <v>9</v>
      </c>
      <c r="D18179" s="2" t="s">
        <v>10</v>
      </c>
      <c r="E18179" s="2" t="str">
        <f>HYPERLINK("http://ts.21cn.com/tousu/show/id/1350036","http://ts.21cn.com/tousu/show/id/1350036")</f>
        <v>http://ts.21cn.com/tousu/show/id/1350036</v>
      </c>
      <c r="F18179" s="2" t="s">
        <v>11</v>
      </c>
      <c r="G18179" s="2" t="s">
        <v>8434</v>
      </c>
      <c r="H18179" s="2" t="s">
        <v>8435</v>
      </c>
    </row>
    <row r="18180" spans="1:8" ht="25.05" customHeight="1" x14ac:dyDescent="0.25">
      <c r="A18180" s="2" t="s">
        <v>8</v>
      </c>
      <c r="B18180" s="2" t="str">
        <f>HYPERLINK("http://ts.21cn.com/tousu/show/id/1350018","珍爱网退费无人受理")</f>
        <v>珍爱网退费无人受理</v>
      </c>
      <c r="C18180" s="2" t="s">
        <v>9</v>
      </c>
      <c r="D18180" s="2" t="s">
        <v>10</v>
      </c>
      <c r="E18180" s="2" t="str">
        <f>HYPERLINK("http://ts.21cn.com/tousu/show/id/1350018","http://ts.21cn.com/tousu/show/id/1350018")</f>
        <v>http://ts.21cn.com/tousu/show/id/1350018</v>
      </c>
      <c r="F18180" s="2" t="s">
        <v>11</v>
      </c>
      <c r="G18180" s="2" t="s">
        <v>8432</v>
      </c>
      <c r="H18180" s="2" t="s">
        <v>8433</v>
      </c>
    </row>
    <row r="18181" spans="1:8" ht="25.05" customHeight="1" x14ac:dyDescent="0.25">
      <c r="A18181" s="2" t="s">
        <v>8</v>
      </c>
      <c r="B18181" s="2" t="str">
        <f>HYPERLINK("http://ts.21cn.com/tousu/show/id/1350037","百事普惠恶意扣款")</f>
        <v>百事普惠恶意扣款</v>
      </c>
      <c r="C18181" s="2" t="s">
        <v>9</v>
      </c>
      <c r="D18181" s="2" t="s">
        <v>10</v>
      </c>
      <c r="E18181" s="2" t="str">
        <f>HYPERLINK("http://ts.21cn.com/tousu/show/id/1350037","http://ts.21cn.com/tousu/show/id/1350037")</f>
        <v>http://ts.21cn.com/tousu/show/id/1350037</v>
      </c>
      <c r="F18181" s="2" t="s">
        <v>11</v>
      </c>
      <c r="G18181" s="2" t="s">
        <v>8430</v>
      </c>
      <c r="H18181" s="2" t="s">
        <v>8431</v>
      </c>
    </row>
    <row r="18182" spans="1:8" ht="25.05" customHeight="1" x14ac:dyDescent="0.25">
      <c r="A18182" s="2" t="s">
        <v>8</v>
      </c>
      <c r="B18182" s="2" t="str">
        <f>HYPERLINK("http://ts.21cn.com/tousu/show/id/1350038","借贷宝纵容放高利贷")</f>
        <v>借贷宝纵容放高利贷</v>
      </c>
      <c r="C18182" s="2" t="s">
        <v>9</v>
      </c>
      <c r="D18182" s="2" t="s">
        <v>10</v>
      </c>
      <c r="E18182" s="2" t="str">
        <f>HYPERLINK("http://ts.21cn.com/tousu/show/id/1350038","http://ts.21cn.com/tousu/show/id/1350038")</f>
        <v>http://ts.21cn.com/tousu/show/id/1350038</v>
      </c>
      <c r="F18182" s="2" t="s">
        <v>11</v>
      </c>
      <c r="G18182" s="2" t="s">
        <v>8428</v>
      </c>
      <c r="H18182" s="2" t="s">
        <v>8429</v>
      </c>
    </row>
    <row r="18183" spans="1:8" ht="25.05" customHeight="1" x14ac:dyDescent="0.25">
      <c r="A18183" s="2" t="s">
        <v>8</v>
      </c>
      <c r="B18183" s="2" t="str">
        <f>HYPERLINK("http://ts.21cn.com/tousu/show/id/1350039","未放款款私恶意盗刷银行卡恶")</f>
        <v>未放款款私恶意盗刷银行卡恶</v>
      </c>
      <c r="C18183" s="2" t="s">
        <v>9</v>
      </c>
      <c r="D18183" s="2" t="s">
        <v>10</v>
      </c>
      <c r="E18183" s="2" t="str">
        <f>HYPERLINK("http://ts.21cn.com/tousu/show/id/1350039","http://ts.21cn.com/tousu/show/id/1350039")</f>
        <v>http://ts.21cn.com/tousu/show/id/1350039</v>
      </c>
      <c r="F18183" s="2" t="s">
        <v>11</v>
      </c>
      <c r="G18183" s="2" t="s">
        <v>8426</v>
      </c>
      <c r="H18183" s="2" t="s">
        <v>8427</v>
      </c>
    </row>
    <row r="18184" spans="1:8" ht="25.05" customHeight="1" x14ac:dyDescent="0.25">
      <c r="A18184" s="2" t="s">
        <v>8</v>
      </c>
      <c r="B18184" s="2" t="str">
        <f>HYPERLINK("http://ts.21cn.com/tousu/show/id/1350040","取消砍头息")</f>
        <v>取消砍头息</v>
      </c>
      <c r="C18184" s="2" t="s">
        <v>9</v>
      </c>
      <c r="D18184" s="2" t="s">
        <v>10</v>
      </c>
      <c r="E18184" s="2" t="str">
        <f>HYPERLINK("http://ts.21cn.com/tousu/show/id/1350040","http://ts.21cn.com/tousu/show/id/1350040")</f>
        <v>http://ts.21cn.com/tousu/show/id/1350040</v>
      </c>
      <c r="F18184" s="2" t="s">
        <v>11</v>
      </c>
      <c r="G18184" s="2" t="s">
        <v>8424</v>
      </c>
      <c r="H18184" s="2" t="s">
        <v>8425</v>
      </c>
    </row>
    <row r="18185" spans="1:8" ht="25.05" customHeight="1" x14ac:dyDescent="0.25">
      <c r="A18185" s="2" t="s">
        <v>8</v>
      </c>
      <c r="B18185" s="2" t="str">
        <f>HYPERLINK("http://ts.21cn.com/tousu/show/id/1350041","时光分期暴力催收恐吓高利贷")</f>
        <v>时光分期暴力催收恐吓高利贷</v>
      </c>
      <c r="C18185" s="2" t="s">
        <v>9</v>
      </c>
      <c r="D18185" s="2" t="s">
        <v>10</v>
      </c>
      <c r="E18185" s="2" t="str">
        <f>HYPERLINK("http://ts.21cn.com/tousu/show/id/1350041","http://ts.21cn.com/tousu/show/id/1350041")</f>
        <v>http://ts.21cn.com/tousu/show/id/1350041</v>
      </c>
      <c r="F18185" s="2" t="s">
        <v>11</v>
      </c>
      <c r="G18185" s="2" t="s">
        <v>8422</v>
      </c>
      <c r="H18185" s="2" t="s">
        <v>8423</v>
      </c>
    </row>
    <row r="18186" spans="1:8" ht="25.05" customHeight="1" x14ac:dyDescent="0.25">
      <c r="A18186" s="2" t="s">
        <v>8</v>
      </c>
      <c r="B18186" s="2" t="str">
        <f>HYPERLINK("http://ts.21cn.com/tousu/show/id/1350042","闪银瞬瞬暴力催收")</f>
        <v>闪银瞬瞬暴力催收</v>
      </c>
      <c r="C18186" s="2" t="s">
        <v>9</v>
      </c>
      <c r="D18186" s="2" t="s">
        <v>10</v>
      </c>
      <c r="E18186" s="2" t="str">
        <f>HYPERLINK("http://ts.21cn.com/tousu/show/id/1350042","http://ts.21cn.com/tousu/show/id/1350042")</f>
        <v>http://ts.21cn.com/tousu/show/id/1350042</v>
      </c>
      <c r="F18186" s="2" t="s">
        <v>11</v>
      </c>
      <c r="G18186" s="2" t="s">
        <v>8420</v>
      </c>
      <c r="H18186" s="2" t="s">
        <v>8421</v>
      </c>
    </row>
    <row r="18187" spans="1:8" ht="25.05" customHeight="1" x14ac:dyDescent="0.25">
      <c r="A18187" s="2" t="s">
        <v>8</v>
      </c>
      <c r="B18187" s="2" t="str">
        <f>HYPERLINK("http://ts.21cn.com/tousu/show/id/1350044","航天电子为非法博彩网站提供支付通道")</f>
        <v>航天电子为非法博彩网站提供支付通道</v>
      </c>
      <c r="C18187" s="2" t="s">
        <v>9</v>
      </c>
      <c r="D18187" s="2" t="s">
        <v>10</v>
      </c>
      <c r="E18187" s="2" t="str">
        <f>HYPERLINK("http://ts.21cn.com/tousu/show/id/1350044","http://ts.21cn.com/tousu/show/id/1350044")</f>
        <v>http://ts.21cn.com/tousu/show/id/1350044</v>
      </c>
      <c r="F18187" s="2" t="s">
        <v>11</v>
      </c>
      <c r="G18187" s="2" t="s">
        <v>8418</v>
      </c>
      <c r="H18187" s="2" t="s">
        <v>8419</v>
      </c>
    </row>
    <row r="18188" spans="1:8" ht="25.05" customHeight="1" x14ac:dyDescent="0.25">
      <c r="A18188" s="2" t="s">
        <v>8</v>
      </c>
      <c r="B18188" s="2" t="str">
        <f>HYPERLINK("http://ts.21cn.com/tousu/show/id/1350045","我可能遭遇了套路贷，砍头息")</f>
        <v>我可能遭遇了套路贷，砍头息</v>
      </c>
      <c r="C18188" s="2" t="s">
        <v>9</v>
      </c>
      <c r="D18188" s="2" t="s">
        <v>10</v>
      </c>
      <c r="E18188" s="2" t="str">
        <f>HYPERLINK("http://ts.21cn.com/tousu/show/id/1350045","http://ts.21cn.com/tousu/show/id/1350045")</f>
        <v>http://ts.21cn.com/tousu/show/id/1350045</v>
      </c>
      <c r="F18188" s="2" t="s">
        <v>11</v>
      </c>
      <c r="G18188" s="2" t="s">
        <v>8416</v>
      </c>
      <c r="H18188" s="2" t="s">
        <v>8417</v>
      </c>
    </row>
    <row r="18189" spans="1:8" ht="25.05" customHeight="1" x14ac:dyDescent="0.25">
      <c r="A18189" s="2" t="s">
        <v>8</v>
      </c>
      <c r="B18189" s="2" t="str">
        <f>HYPERLINK("http://ts.21cn.com/tousu/show/id/1350043","在答应还款联系到本人后继续给别人打电话催收")</f>
        <v>在答应还款联系到本人后继续给别人打电话催收</v>
      </c>
      <c r="C18189" s="2" t="s">
        <v>9</v>
      </c>
      <c r="D18189" s="2" t="s">
        <v>10</v>
      </c>
      <c r="E18189" s="2" t="str">
        <f>HYPERLINK("http://ts.21cn.com/tousu/show/id/1350043","http://ts.21cn.com/tousu/show/id/1350043")</f>
        <v>http://ts.21cn.com/tousu/show/id/1350043</v>
      </c>
      <c r="F18189" s="2" t="s">
        <v>11</v>
      </c>
      <c r="G18189" s="2" t="s">
        <v>8414</v>
      </c>
      <c r="H18189" s="2" t="s">
        <v>8415</v>
      </c>
    </row>
    <row r="18190" spans="1:8" ht="25.05" customHeight="1" x14ac:dyDescent="0.25">
      <c r="A18190" s="2" t="s">
        <v>8</v>
      </c>
      <c r="B18190" s="2" t="str">
        <f>HYPERLINK("http://ts.21cn.com/tousu/show/id/1350046","暴力催收，客服人员让更改合同")</f>
        <v>暴力催收，客服人员让更改合同</v>
      </c>
      <c r="C18190" s="2" t="s">
        <v>9</v>
      </c>
      <c r="D18190" s="2" t="s">
        <v>10</v>
      </c>
      <c r="E18190" s="2" t="str">
        <f>HYPERLINK("http://ts.21cn.com/tousu/show/id/1350046","http://ts.21cn.com/tousu/show/id/1350046")</f>
        <v>http://ts.21cn.com/tousu/show/id/1350046</v>
      </c>
      <c r="F18190" s="2" t="s">
        <v>11</v>
      </c>
      <c r="G18190" s="2" t="s">
        <v>8412</v>
      </c>
      <c r="H18190" s="2" t="s">
        <v>8413</v>
      </c>
    </row>
    <row r="18191" spans="1:8" ht="25.05" customHeight="1" x14ac:dyDescent="0.25">
      <c r="A18191" s="2" t="s">
        <v>8</v>
      </c>
      <c r="B18191" s="2" t="str">
        <f>HYPERLINK("http://ts.21cn.com/tousu/show/id/1349653","六便士砍头息严重协商还款")</f>
        <v>六便士砍头息严重协商还款</v>
      </c>
      <c r="C18191" s="2" t="s">
        <v>9</v>
      </c>
      <c r="D18191" s="2" t="s">
        <v>10</v>
      </c>
      <c r="E18191" s="2" t="str">
        <f>HYPERLINK("http://ts.21cn.com/tousu/show/id/1349653","http://ts.21cn.com/tousu/show/id/1349653")</f>
        <v>http://ts.21cn.com/tousu/show/id/1349653</v>
      </c>
      <c r="F18191" s="2" t="s">
        <v>11</v>
      </c>
      <c r="G18191" s="2" t="s">
        <v>8410</v>
      </c>
      <c r="H18191" s="2" t="s">
        <v>8411</v>
      </c>
    </row>
    <row r="18192" spans="1:8" ht="25.05" customHeight="1" x14ac:dyDescent="0.25">
      <c r="A18192" s="2" t="s">
        <v>8</v>
      </c>
      <c r="B18192" s="2" t="str">
        <f>HYPERLINK("http://ts.21cn.com/tousu/show/id/1349965","饿了么平台无故取消订单")</f>
        <v>饿了么平台无故取消订单</v>
      </c>
      <c r="C18192" s="2" t="s">
        <v>9</v>
      </c>
      <c r="D18192" s="2" t="s">
        <v>10</v>
      </c>
      <c r="E18192" s="2" t="str">
        <f>HYPERLINK("http://ts.21cn.com/tousu/show/id/1349965","http://ts.21cn.com/tousu/show/id/1349965")</f>
        <v>http://ts.21cn.com/tousu/show/id/1349965</v>
      </c>
      <c r="F18192" s="2" t="s">
        <v>11</v>
      </c>
      <c r="G18192" s="2" t="s">
        <v>8408</v>
      </c>
      <c r="H18192" s="2" t="s">
        <v>8409</v>
      </c>
    </row>
    <row r="18193" spans="1:8" ht="25.05" customHeight="1" x14ac:dyDescent="0.25">
      <c r="A18193" s="2" t="s">
        <v>8</v>
      </c>
      <c r="B18193" s="2" t="str">
        <f>HYPERLINK("http://ts.21cn.com/tousu/show/id/1350047","暴力催收，协商恢复分期")</f>
        <v>暴力催收，协商恢复分期</v>
      </c>
      <c r="C18193" s="2" t="s">
        <v>9</v>
      </c>
      <c r="D18193" s="2" t="s">
        <v>10</v>
      </c>
      <c r="E18193" s="2" t="str">
        <f>HYPERLINK("http://ts.21cn.com/tousu/show/id/1350047","http://ts.21cn.com/tousu/show/id/1350047")</f>
        <v>http://ts.21cn.com/tousu/show/id/1350047</v>
      </c>
      <c r="F18193" s="2" t="s">
        <v>11</v>
      </c>
      <c r="G18193" s="2" t="s">
        <v>8406</v>
      </c>
      <c r="H18193" s="2" t="s">
        <v>8407</v>
      </c>
    </row>
    <row r="18194" spans="1:8" ht="25.05" customHeight="1" x14ac:dyDescent="0.25">
      <c r="A18194" s="2" t="s">
        <v>8</v>
      </c>
      <c r="B18194" s="2" t="str">
        <f>HYPERLINK("http://ts.21cn.com/tousu/show/id/1350048","招财贷未经同意私自扣款")</f>
        <v>招财贷未经同意私自扣款</v>
      </c>
      <c r="C18194" s="2" t="s">
        <v>9</v>
      </c>
      <c r="D18194" s="2" t="s">
        <v>10</v>
      </c>
      <c r="E18194" s="2" t="str">
        <f>HYPERLINK("http://ts.21cn.com/tousu/show/id/1350048","http://ts.21cn.com/tousu/show/id/1350048")</f>
        <v>http://ts.21cn.com/tousu/show/id/1350048</v>
      </c>
      <c r="F18194" s="2" t="s">
        <v>11</v>
      </c>
      <c r="G18194" s="2" t="s">
        <v>8404</v>
      </c>
      <c r="H18194" s="2" t="s">
        <v>8405</v>
      </c>
    </row>
    <row r="18195" spans="1:8" ht="25.05" customHeight="1" x14ac:dyDescent="0.25">
      <c r="A18195" s="2" t="s">
        <v>8</v>
      </c>
      <c r="B18195" s="2" t="str">
        <f>HYPERLINK("http://ts.21cn.com/tousu/show/id/1350051","要求全额退款")</f>
        <v>要求全额退款</v>
      </c>
      <c r="C18195" s="2" t="s">
        <v>34</v>
      </c>
      <c r="D18195" s="2" t="s">
        <v>10</v>
      </c>
      <c r="E18195" s="2" t="str">
        <f>HYPERLINK("http://ts.21cn.com/tousu/show/id/1350051","http://ts.21cn.com/tousu/show/id/1350051")</f>
        <v>http://ts.21cn.com/tousu/show/id/1350051</v>
      </c>
      <c r="F18195" s="2" t="s">
        <v>11</v>
      </c>
      <c r="G18195" s="2" t="s">
        <v>8402</v>
      </c>
      <c r="H18195" s="2" t="s">
        <v>8403</v>
      </c>
    </row>
    <row r="18196" spans="1:8" ht="25.05" customHeight="1" x14ac:dyDescent="0.25">
      <c r="A18196" s="2" t="s">
        <v>8</v>
      </c>
      <c r="B18196" s="2" t="str">
        <f>HYPERLINK("http://ts.21cn.com/tousu/show/id/1350049","来分期恶意催收")</f>
        <v>来分期恶意催收</v>
      </c>
      <c r="C18196" s="2" t="s">
        <v>9</v>
      </c>
      <c r="D18196" s="2" t="s">
        <v>10</v>
      </c>
      <c r="E18196" s="2" t="str">
        <f>HYPERLINK("http://ts.21cn.com/tousu/show/id/1350049","http://ts.21cn.com/tousu/show/id/1350049")</f>
        <v>http://ts.21cn.com/tousu/show/id/1350049</v>
      </c>
      <c r="F18196" s="2" t="s">
        <v>11</v>
      </c>
      <c r="G18196" s="2" t="s">
        <v>8400</v>
      </c>
      <c r="H18196" s="2" t="s">
        <v>8401</v>
      </c>
    </row>
    <row r="18197" spans="1:8" ht="25.05" customHeight="1" x14ac:dyDescent="0.25">
      <c r="A18197" s="2" t="s">
        <v>8</v>
      </c>
      <c r="B18197" s="2" t="str">
        <f>HYPERLINK("http://ts.21cn.com/tousu/show/id/1350050","及贷砍头息会员费")</f>
        <v>及贷砍头息会员费</v>
      </c>
      <c r="C18197" s="2" t="s">
        <v>34</v>
      </c>
      <c r="D18197" s="2" t="s">
        <v>10</v>
      </c>
      <c r="E18197" s="2" t="str">
        <f>HYPERLINK("http://ts.21cn.com/tousu/show/id/1350050","http://ts.21cn.com/tousu/show/id/1350050")</f>
        <v>http://ts.21cn.com/tousu/show/id/1350050</v>
      </c>
      <c r="F18197" s="2" t="s">
        <v>11</v>
      </c>
      <c r="G18197" s="2" t="s">
        <v>8398</v>
      </c>
      <c r="H18197" s="2" t="s">
        <v>8399</v>
      </c>
    </row>
    <row r="18198" spans="1:8" ht="25.05" customHeight="1" x14ac:dyDescent="0.25">
      <c r="A18198" s="2" t="s">
        <v>8</v>
      </c>
      <c r="B18198" s="2" t="str">
        <f>HYPERLINK("http://ts.21cn.com/tousu/show/id/1350052","玖玖分期暴力催收威胁恐吓")</f>
        <v>玖玖分期暴力催收威胁恐吓</v>
      </c>
      <c r="C18198" s="2" t="s">
        <v>9</v>
      </c>
      <c r="D18198" s="2" t="s">
        <v>10</v>
      </c>
      <c r="E18198" s="2" t="str">
        <f>HYPERLINK("http://ts.21cn.com/tousu/show/id/1350052","http://ts.21cn.com/tousu/show/id/1350052")</f>
        <v>http://ts.21cn.com/tousu/show/id/1350052</v>
      </c>
      <c r="F18198" s="2" t="s">
        <v>11</v>
      </c>
      <c r="G18198" s="2" t="s">
        <v>8396</v>
      </c>
      <c r="H18198" s="2" t="s">
        <v>8397</v>
      </c>
    </row>
    <row r="18199" spans="1:8" ht="25.05" customHeight="1" x14ac:dyDescent="0.25">
      <c r="A18199" s="2" t="s">
        <v>8</v>
      </c>
      <c r="B18199" s="2" t="str">
        <f>HYPERLINK("http://ts.21cn.com/tousu/show/id/1350054","威力贷，套路贷")</f>
        <v>威力贷，套路贷</v>
      </c>
      <c r="C18199" s="2" t="s">
        <v>9</v>
      </c>
      <c r="D18199" s="2" t="s">
        <v>10</v>
      </c>
      <c r="E18199" s="2" t="str">
        <f>HYPERLINK("http://ts.21cn.com/tousu/show/id/1350054","http://ts.21cn.com/tousu/show/id/1350054")</f>
        <v>http://ts.21cn.com/tousu/show/id/1350054</v>
      </c>
      <c r="F18199" s="2" t="s">
        <v>11</v>
      </c>
      <c r="G18199" s="2" t="s">
        <v>8394</v>
      </c>
      <c r="H18199" s="2" t="s">
        <v>8395</v>
      </c>
    </row>
    <row r="18200" spans="1:8" ht="25.05" customHeight="1" x14ac:dyDescent="0.25">
      <c r="A18200" s="2" t="s">
        <v>8</v>
      </c>
      <c r="B18200" s="2" t="str">
        <f>HYPERLINK("http://ts.21cn.com/tousu/show/id/1350053","京东")</f>
        <v>京东</v>
      </c>
      <c r="C18200" s="2" t="s">
        <v>9</v>
      </c>
      <c r="D18200" s="2" t="s">
        <v>10</v>
      </c>
      <c r="E18200" s="2" t="str">
        <f>HYPERLINK("http://ts.21cn.com/tousu/show/id/1350053","http://ts.21cn.com/tousu/show/id/1350053")</f>
        <v>http://ts.21cn.com/tousu/show/id/1350053</v>
      </c>
      <c r="F18200" s="2" t="s">
        <v>11</v>
      </c>
      <c r="G18200" s="2" t="s">
        <v>8392</v>
      </c>
      <c r="H18200" s="2" t="s">
        <v>8393</v>
      </c>
    </row>
    <row r="18201" spans="1:8" ht="25.05" customHeight="1" x14ac:dyDescent="0.25">
      <c r="A18201" s="2" t="s">
        <v>8</v>
      </c>
      <c r="B18201" s="2" t="str">
        <f>HYPERLINK("http://ts.21cn.com/tousu/show/id/1350055","信用卡账单不给予分期")</f>
        <v>信用卡账单不给予分期</v>
      </c>
      <c r="C18201" s="2" t="s">
        <v>34</v>
      </c>
      <c r="D18201" s="2" t="s">
        <v>10</v>
      </c>
      <c r="E18201" s="2" t="str">
        <f>HYPERLINK("http://ts.21cn.com/tousu/show/id/1350055","http://ts.21cn.com/tousu/show/id/1350055")</f>
        <v>http://ts.21cn.com/tousu/show/id/1350055</v>
      </c>
      <c r="F18201" s="2" t="s">
        <v>11</v>
      </c>
      <c r="G18201" s="2" t="s">
        <v>8390</v>
      </c>
      <c r="H18201" s="2" t="s">
        <v>8391</v>
      </c>
    </row>
    <row r="18202" spans="1:8" ht="25.05" customHeight="1" x14ac:dyDescent="0.25">
      <c r="A18202" s="2" t="s">
        <v>8</v>
      </c>
      <c r="B18202" s="2" t="str">
        <f>HYPERLINK("http://ts.21cn.com/tousu/show/id/1350056","平台提现不到账")</f>
        <v>平台提现不到账</v>
      </c>
      <c r="C18202" s="2" t="s">
        <v>9</v>
      </c>
      <c r="D18202" s="2" t="s">
        <v>10</v>
      </c>
      <c r="E18202" s="2" t="str">
        <f>HYPERLINK("http://ts.21cn.com/tousu/show/id/1350056","http://ts.21cn.com/tousu/show/id/1350056")</f>
        <v>http://ts.21cn.com/tousu/show/id/1350056</v>
      </c>
      <c r="F18202" s="2" t="s">
        <v>11</v>
      </c>
      <c r="G18202" s="2" t="s">
        <v>8388</v>
      </c>
      <c r="H18202" s="2" t="s">
        <v>8389</v>
      </c>
    </row>
    <row r="18203" spans="1:8" ht="25.05" customHeight="1" x14ac:dyDescent="0.25">
      <c r="A18203" s="2" t="s">
        <v>8</v>
      </c>
      <c r="B18203" s="2" t="str">
        <f>HYPERLINK("http://ts.21cn.com/tousu/show/id/1350058","360借条暴力催收")</f>
        <v>360借条暴力催收</v>
      </c>
      <c r="C18203" s="2" t="s">
        <v>9</v>
      </c>
      <c r="D18203" s="2" t="s">
        <v>10</v>
      </c>
      <c r="E18203" s="2" t="str">
        <f>HYPERLINK("http://ts.21cn.com/tousu/show/id/1350058","http://ts.21cn.com/tousu/show/id/1350058")</f>
        <v>http://ts.21cn.com/tousu/show/id/1350058</v>
      </c>
      <c r="F18203" s="2" t="s">
        <v>11</v>
      </c>
      <c r="G18203" s="2" t="s">
        <v>8386</v>
      </c>
      <c r="H18203" s="2" t="s">
        <v>8387</v>
      </c>
    </row>
    <row r="18204" spans="1:8" ht="25.05" customHeight="1" x14ac:dyDescent="0.25">
      <c r="A18204" s="2" t="s">
        <v>8</v>
      </c>
      <c r="B18204" s="2" t="str">
        <f>HYPERLINK("http://ts.21cn.com/tousu/show/id/1350057","美好分期套路贷暴力催收，轰炸我通讯录，威胁恐吓我家人辱骂我朋友")</f>
        <v>美好分期套路贷暴力催收，轰炸我通讯录，威胁恐吓我家人辱骂我朋友</v>
      </c>
      <c r="C18204" s="2" t="s">
        <v>9</v>
      </c>
      <c r="D18204" s="2" t="s">
        <v>10</v>
      </c>
      <c r="E18204" s="2" t="str">
        <f>HYPERLINK("http://ts.21cn.com/tousu/show/id/1350057","http://ts.21cn.com/tousu/show/id/1350057")</f>
        <v>http://ts.21cn.com/tousu/show/id/1350057</v>
      </c>
      <c r="F18204" s="2" t="s">
        <v>11</v>
      </c>
      <c r="G18204" s="2" t="s">
        <v>8384</v>
      </c>
      <c r="H18204" s="2" t="s">
        <v>8385</v>
      </c>
    </row>
    <row r="18205" spans="1:8" ht="25.05" customHeight="1" x14ac:dyDescent="0.25">
      <c r="A18205" s="2" t="s">
        <v>8</v>
      </c>
      <c r="B18205" s="2" t="str">
        <f>HYPERLINK("http://ts.21cn.com/tousu/show/id/1350059","闪银未根据个人意愿私自发放借款，且存在恶意变相收取利息")</f>
        <v>闪银未根据个人意愿私自发放借款，且存在恶意变相收取利息</v>
      </c>
      <c r="C18205" s="2" t="s">
        <v>9</v>
      </c>
      <c r="D18205" s="2" t="s">
        <v>10</v>
      </c>
      <c r="E18205" s="2" t="str">
        <f>HYPERLINK("http://ts.21cn.com/tousu/show/id/1350059","http://ts.21cn.com/tousu/show/id/1350059")</f>
        <v>http://ts.21cn.com/tousu/show/id/1350059</v>
      </c>
      <c r="F18205" s="2" t="s">
        <v>11</v>
      </c>
      <c r="G18205" s="2" t="s">
        <v>8382</v>
      </c>
      <c r="H18205" s="2" t="s">
        <v>8383</v>
      </c>
    </row>
    <row r="18206" spans="1:8" ht="25.05" customHeight="1" x14ac:dyDescent="0.25">
      <c r="A18206" s="2" t="s">
        <v>8</v>
      </c>
      <c r="B18206" s="2" t="str">
        <f>HYPERLINK("http://ts.21cn.com/tousu/show/id/1350060","霸王条款")</f>
        <v>霸王条款</v>
      </c>
      <c r="C18206" s="2" t="s">
        <v>9</v>
      </c>
      <c r="D18206" s="2" t="s">
        <v>10</v>
      </c>
      <c r="E18206" s="2" t="str">
        <f>HYPERLINK("http://ts.21cn.com/tousu/show/id/1350060","http://ts.21cn.com/tousu/show/id/1350060")</f>
        <v>http://ts.21cn.com/tousu/show/id/1350060</v>
      </c>
      <c r="F18206" s="2" t="s">
        <v>11</v>
      </c>
      <c r="G18206" s="2" t="s">
        <v>8380</v>
      </c>
      <c r="H18206" s="2" t="s">
        <v>8381</v>
      </c>
    </row>
    <row r="18207" spans="1:8" ht="25.05" customHeight="1" x14ac:dyDescent="0.25">
      <c r="A18207" s="2" t="s">
        <v>8</v>
      </c>
      <c r="B18207" s="2" t="str">
        <f>HYPERLINK("http://ts.21cn.com/tousu/show/id/1350061","天天快递雇佣刑满释放人员，对我进行人身威胁")</f>
        <v>天天快递雇佣刑满释放人员，对我进行人身威胁</v>
      </c>
      <c r="C18207" s="2" t="s">
        <v>9</v>
      </c>
      <c r="D18207" s="2" t="s">
        <v>10</v>
      </c>
      <c r="E18207" s="2" t="str">
        <f>HYPERLINK("http://ts.21cn.com/tousu/show/id/1350061","http://ts.21cn.com/tousu/show/id/1350061")</f>
        <v>http://ts.21cn.com/tousu/show/id/1350061</v>
      </c>
      <c r="F18207" s="2" t="s">
        <v>11</v>
      </c>
      <c r="G18207" s="2" t="s">
        <v>8378</v>
      </c>
      <c r="H18207" s="2" t="s">
        <v>8379</v>
      </c>
    </row>
    <row r="18208" spans="1:8" ht="25.05" customHeight="1" x14ac:dyDescent="0.25">
      <c r="A18208" s="2" t="s">
        <v>8</v>
      </c>
      <c r="B18208" s="2" t="str">
        <f>HYPERLINK("http://ts.21cn.com/tousu/show/id/1350062","爆通讯录")</f>
        <v>爆通讯录</v>
      </c>
      <c r="C18208" s="2" t="s">
        <v>9</v>
      </c>
      <c r="D18208" s="2" t="s">
        <v>10</v>
      </c>
      <c r="E18208" s="2" t="str">
        <f>HYPERLINK("http://ts.21cn.com/tousu/show/id/1350062","http://ts.21cn.com/tousu/show/id/1350062")</f>
        <v>http://ts.21cn.com/tousu/show/id/1350062</v>
      </c>
      <c r="F18208" s="2" t="s">
        <v>11</v>
      </c>
      <c r="G18208" s="2" t="s">
        <v>8376</v>
      </c>
      <c r="H18208" s="2" t="s">
        <v>8377</v>
      </c>
    </row>
    <row r="18209" spans="1:8" ht="25.05" customHeight="1" x14ac:dyDescent="0.25">
      <c r="A18209" s="2" t="s">
        <v>8</v>
      </c>
      <c r="B18209" s="2" t="str">
        <f>HYPERLINK("http://ts.21cn.com/tousu/show/id/1350063","你我贷非法骚扰恐吓")</f>
        <v>你我贷非法骚扰恐吓</v>
      </c>
      <c r="C18209" s="2" t="s">
        <v>9</v>
      </c>
      <c r="D18209" s="2" t="s">
        <v>10</v>
      </c>
      <c r="E18209" s="2" t="str">
        <f>HYPERLINK("http://ts.21cn.com/tousu/show/id/1350063","http://ts.21cn.com/tousu/show/id/1350063")</f>
        <v>http://ts.21cn.com/tousu/show/id/1350063</v>
      </c>
      <c r="F18209" s="2" t="s">
        <v>11</v>
      </c>
      <c r="G18209" s="2" t="s">
        <v>8374</v>
      </c>
      <c r="H18209" s="2" t="s">
        <v>8375</v>
      </c>
    </row>
    <row r="18210" spans="1:8" ht="25.05" customHeight="1" x14ac:dyDescent="0.25">
      <c r="A18210" s="2" t="s">
        <v>8</v>
      </c>
      <c r="B18210" s="2" t="str">
        <f>HYPERLINK("http://ts.21cn.com/tousu/show/id/1350064","友信信贷砍头息")</f>
        <v>友信信贷砍头息</v>
      </c>
      <c r="C18210" s="2" t="s">
        <v>9</v>
      </c>
      <c r="D18210" s="2" t="s">
        <v>10</v>
      </c>
      <c r="E18210" s="2" t="str">
        <f>HYPERLINK("http://ts.21cn.com/tousu/show/id/1350064","http://ts.21cn.com/tousu/show/id/1350064")</f>
        <v>http://ts.21cn.com/tousu/show/id/1350064</v>
      </c>
      <c r="F18210" s="2" t="s">
        <v>11</v>
      </c>
      <c r="G18210" s="2" t="s">
        <v>8372</v>
      </c>
      <c r="H18210" s="2" t="s">
        <v>8373</v>
      </c>
    </row>
    <row r="18211" spans="1:8" ht="25.05" customHeight="1" x14ac:dyDescent="0.25">
      <c r="A18211" s="2" t="s">
        <v>8</v>
      </c>
      <c r="B18211" s="2" t="str">
        <f>HYPERLINK("http://ts.21cn.com/tousu/show/id/1350065","我来数科我来贷")</f>
        <v>我来数科我来贷</v>
      </c>
      <c r="C18211" s="2" t="s">
        <v>9</v>
      </c>
      <c r="D18211" s="2" t="s">
        <v>10</v>
      </c>
      <c r="E18211" s="2" t="str">
        <f>HYPERLINK("http://ts.21cn.com/tousu/show/id/1350065","http://ts.21cn.com/tousu/show/id/1350065")</f>
        <v>http://ts.21cn.com/tousu/show/id/1350065</v>
      </c>
      <c r="F18211" s="2" t="s">
        <v>11</v>
      </c>
      <c r="G18211" s="2" t="s">
        <v>8370</v>
      </c>
      <c r="H18211" s="2" t="s">
        <v>8371</v>
      </c>
    </row>
    <row r="18212" spans="1:8" ht="25.05" customHeight="1" x14ac:dyDescent="0.25">
      <c r="A18212" s="2" t="s">
        <v>8</v>
      </c>
      <c r="B18212" s="2" t="str">
        <f>HYPERLINK("http://ts.21cn.com/tousu/show/id/1350067","试客联盟解除合同不退年费")</f>
        <v>试客联盟解除合同不退年费</v>
      </c>
      <c r="C18212" s="2" t="s">
        <v>9</v>
      </c>
      <c r="D18212" s="2" t="s">
        <v>10</v>
      </c>
      <c r="E18212" s="2" t="str">
        <f>HYPERLINK("http://ts.21cn.com/tousu/show/id/1350067","http://ts.21cn.com/tousu/show/id/1350067")</f>
        <v>http://ts.21cn.com/tousu/show/id/1350067</v>
      </c>
      <c r="F18212" s="2" t="s">
        <v>11</v>
      </c>
      <c r="G18212" s="2" t="s">
        <v>8368</v>
      </c>
      <c r="H18212" s="2" t="s">
        <v>8369</v>
      </c>
    </row>
    <row r="18213" spans="1:8" ht="25.05" customHeight="1" x14ac:dyDescent="0.25">
      <c r="A18213" s="2" t="s">
        <v>8</v>
      </c>
      <c r="B18213" s="2" t="str">
        <f>HYPERLINK("http://ts.21cn.com/tousu/show/id/1350068","小花钱包暴力催收爆通讯录")</f>
        <v>小花钱包暴力催收爆通讯录</v>
      </c>
      <c r="C18213" s="2" t="s">
        <v>9</v>
      </c>
      <c r="D18213" s="2" t="s">
        <v>10</v>
      </c>
      <c r="E18213" s="2" t="str">
        <f>HYPERLINK("http://ts.21cn.com/tousu/show/id/1350068","http://ts.21cn.com/tousu/show/id/1350068")</f>
        <v>http://ts.21cn.com/tousu/show/id/1350068</v>
      </c>
      <c r="F18213" s="2" t="s">
        <v>11</v>
      </c>
      <c r="G18213" s="2" t="s">
        <v>8366</v>
      </c>
      <c r="H18213" s="2" t="s">
        <v>8367</v>
      </c>
    </row>
    <row r="18214" spans="1:8" ht="25.05" customHeight="1" x14ac:dyDescent="0.25">
      <c r="A18214" s="2" t="s">
        <v>8</v>
      </c>
      <c r="B18214" s="2" t="str">
        <f>HYPERLINK("http://ts.21cn.com/tousu/show/id/1350066","OPPOR9SPLUS大规模无限重启变砖")</f>
        <v>OPPOR9SPLUS大规模无限重启变砖</v>
      </c>
      <c r="C18214" s="2" t="s">
        <v>9</v>
      </c>
      <c r="D18214" s="2" t="s">
        <v>10</v>
      </c>
      <c r="E18214" s="2" t="str">
        <f>HYPERLINK("http://ts.21cn.com/tousu/show/id/1350066","http://ts.21cn.com/tousu/show/id/1350066")</f>
        <v>http://ts.21cn.com/tousu/show/id/1350066</v>
      </c>
      <c r="F18214" s="2" t="s">
        <v>11</v>
      </c>
      <c r="G18214" s="2" t="s">
        <v>8364</v>
      </c>
      <c r="H18214" s="2" t="s">
        <v>8365</v>
      </c>
    </row>
    <row r="18215" spans="1:8" ht="25.05" customHeight="1" x14ac:dyDescent="0.25">
      <c r="A18215" s="2" t="s">
        <v>8</v>
      </c>
      <c r="B18215" s="2" t="str">
        <f>HYPERLINK("http://ts.21cn.com/tousu/show/id/1350070","钱站")</f>
        <v>钱站</v>
      </c>
      <c r="C18215" s="2" t="s">
        <v>34</v>
      </c>
      <c r="D18215" s="2" t="s">
        <v>10</v>
      </c>
      <c r="E18215" s="2" t="str">
        <f>HYPERLINK("http://ts.21cn.com/tousu/show/id/1350070","http://ts.21cn.com/tousu/show/id/1350070")</f>
        <v>http://ts.21cn.com/tousu/show/id/1350070</v>
      </c>
      <c r="F18215" s="2" t="s">
        <v>11</v>
      </c>
      <c r="G18215" s="2" t="s">
        <v>8362</v>
      </c>
      <c r="H18215" s="2" t="s">
        <v>8363</v>
      </c>
    </row>
    <row r="18216" spans="1:8" ht="25.05" customHeight="1" x14ac:dyDescent="0.25">
      <c r="A18216" s="2" t="s">
        <v>8</v>
      </c>
      <c r="B18216" s="2" t="str">
        <f>HYPERLINK("http://ts.21cn.com/tousu/show/id/1350072","苏宁金融盗取手机通信录骚扰无关人员")</f>
        <v>苏宁金融盗取手机通信录骚扰无关人员</v>
      </c>
      <c r="C18216" s="2" t="s">
        <v>9</v>
      </c>
      <c r="D18216" s="2" t="s">
        <v>10</v>
      </c>
      <c r="E18216" s="2" t="str">
        <f>HYPERLINK("http://ts.21cn.com/tousu/show/id/1350072","http://ts.21cn.com/tousu/show/id/1350072")</f>
        <v>http://ts.21cn.com/tousu/show/id/1350072</v>
      </c>
      <c r="F18216" s="2" t="s">
        <v>11</v>
      </c>
      <c r="G18216" s="2" t="s">
        <v>8360</v>
      </c>
      <c r="H18216" s="2" t="s">
        <v>8361</v>
      </c>
    </row>
    <row r="18217" spans="1:8" ht="25.05" customHeight="1" x14ac:dyDescent="0.25">
      <c r="A18217" s="2" t="s">
        <v>8</v>
      </c>
      <c r="B18217" s="2" t="str">
        <f>HYPERLINK("http://ts.21cn.com/tousu/show/id/1350071","通过农业银行APP购买苹果11不发货，于是点退款不给退")</f>
        <v>通过农业银行APP购买苹果11不发货，于是点退款不给退</v>
      </c>
      <c r="C18217" s="2" t="s">
        <v>9</v>
      </c>
      <c r="D18217" s="2" t="s">
        <v>10</v>
      </c>
      <c r="E18217" s="2" t="str">
        <f>HYPERLINK("http://ts.21cn.com/tousu/show/id/1350071","http://ts.21cn.com/tousu/show/id/1350071")</f>
        <v>http://ts.21cn.com/tousu/show/id/1350071</v>
      </c>
      <c r="F18217" s="2" t="s">
        <v>11</v>
      </c>
      <c r="G18217" s="2" t="s">
        <v>8358</v>
      </c>
      <c r="H18217" s="2" t="s">
        <v>8359</v>
      </c>
    </row>
    <row r="18218" spans="1:8" ht="25.05" customHeight="1" x14ac:dyDescent="0.25">
      <c r="A18218" s="2" t="s">
        <v>8</v>
      </c>
      <c r="B18218" s="2" t="str">
        <f>HYPERLINK("http://ts.21cn.com/tousu/show/id/1350073","来分期还款日未到暴力催收")</f>
        <v>来分期还款日未到暴力催收</v>
      </c>
      <c r="C18218" s="2" t="s">
        <v>9</v>
      </c>
      <c r="D18218" s="2" t="s">
        <v>10</v>
      </c>
      <c r="E18218" s="2" t="str">
        <f>HYPERLINK("http://ts.21cn.com/tousu/show/id/1350073","http://ts.21cn.com/tousu/show/id/1350073")</f>
        <v>http://ts.21cn.com/tousu/show/id/1350073</v>
      </c>
      <c r="F18218" s="2" t="s">
        <v>11</v>
      </c>
      <c r="G18218" s="2" t="s">
        <v>8356</v>
      </c>
      <c r="H18218" s="2" t="s">
        <v>8357</v>
      </c>
    </row>
    <row r="18219" spans="1:8" ht="25.05" customHeight="1" x14ac:dyDescent="0.25">
      <c r="A18219" s="2" t="s">
        <v>8</v>
      </c>
      <c r="B18219" s="2" t="str">
        <f>HYPERLINK("http://ts.21cn.com/tousu/show/id/1350075","云闪付、银联、上海瀚银为不法分子提供违规")</f>
        <v>云闪付、银联、上海瀚银为不法分子提供违规</v>
      </c>
      <c r="C18219" s="2" t="s">
        <v>9</v>
      </c>
      <c r="D18219" s="2" t="s">
        <v>10</v>
      </c>
      <c r="E18219" s="2" t="str">
        <f>HYPERLINK("http://ts.21cn.com/tousu/show/id/1350075","http://ts.21cn.com/tousu/show/id/1350075")</f>
        <v>http://ts.21cn.com/tousu/show/id/1350075</v>
      </c>
      <c r="F18219" s="2" t="s">
        <v>11</v>
      </c>
      <c r="G18219" s="2" t="s">
        <v>8354</v>
      </c>
      <c r="H18219" s="2" t="s">
        <v>8355</v>
      </c>
    </row>
    <row r="18220" spans="1:8" ht="25.05" customHeight="1" x14ac:dyDescent="0.25">
      <c r="A18220" s="2" t="s">
        <v>8</v>
      </c>
      <c r="B18220" s="2" t="str">
        <f>HYPERLINK("http://ts.21cn.com/tousu/show/id/1350077","恶意催收欺诈辱骂骚扰通讯录")</f>
        <v>恶意催收欺诈辱骂骚扰通讯录</v>
      </c>
      <c r="C18220" s="2" t="s">
        <v>9</v>
      </c>
      <c r="D18220" s="2" t="s">
        <v>10</v>
      </c>
      <c r="E18220" s="2" t="str">
        <f>HYPERLINK("http://ts.21cn.com/tousu/show/id/1350077","http://ts.21cn.com/tousu/show/id/1350077")</f>
        <v>http://ts.21cn.com/tousu/show/id/1350077</v>
      </c>
      <c r="F18220" s="2" t="s">
        <v>11</v>
      </c>
      <c r="G18220" s="2" t="s">
        <v>8352</v>
      </c>
      <c r="H18220" s="2" t="s">
        <v>8353</v>
      </c>
    </row>
    <row r="18221" spans="1:8" ht="25.05" customHeight="1" x14ac:dyDescent="0.25">
      <c r="A18221" s="2" t="s">
        <v>8</v>
      </c>
      <c r="B18221" s="2" t="str">
        <f>HYPERLINK("http://ts.21cn.com/tousu/show/id/1350078","小米贷款")</f>
        <v>小米贷款</v>
      </c>
      <c r="C18221" s="2" t="s">
        <v>9</v>
      </c>
      <c r="D18221" s="2" t="s">
        <v>10</v>
      </c>
      <c r="E18221" s="2" t="str">
        <f>HYPERLINK("http://ts.21cn.com/tousu/show/id/1350078","http://ts.21cn.com/tousu/show/id/1350078")</f>
        <v>http://ts.21cn.com/tousu/show/id/1350078</v>
      </c>
      <c r="F18221" s="2" t="s">
        <v>11</v>
      </c>
      <c r="G18221" s="2" t="s">
        <v>8350</v>
      </c>
      <c r="H18221" s="2" t="s">
        <v>8351</v>
      </c>
    </row>
    <row r="18222" spans="1:8" ht="25.05" customHeight="1" x14ac:dyDescent="0.25">
      <c r="A18222" s="2" t="s">
        <v>8</v>
      </c>
      <c r="B18222" s="2" t="str">
        <f>HYPERLINK("http://ts.21cn.com/tousu/show/id/1350079","套路贷")</f>
        <v>套路贷</v>
      </c>
      <c r="C18222" s="2" t="s">
        <v>9</v>
      </c>
      <c r="D18222" s="2" t="s">
        <v>10</v>
      </c>
      <c r="E18222" s="2" t="str">
        <f>HYPERLINK("http://ts.21cn.com/tousu/show/id/1350079","http://ts.21cn.com/tousu/show/id/1350079")</f>
        <v>http://ts.21cn.com/tousu/show/id/1350079</v>
      </c>
      <c r="F18222" s="2" t="s">
        <v>11</v>
      </c>
      <c r="G18222" s="2" t="s">
        <v>8348</v>
      </c>
      <c r="H18222" s="2" t="s">
        <v>8349</v>
      </c>
    </row>
    <row r="18223" spans="1:8" ht="25.05" customHeight="1" x14ac:dyDescent="0.25">
      <c r="A18223" s="2" t="s">
        <v>8</v>
      </c>
      <c r="B18223" s="2" t="str">
        <f>HYPERLINK("http://ts.21cn.com/tousu/show/id/1350080","网贷平台故意让人逾期收取高额逾期费")</f>
        <v>网贷平台故意让人逾期收取高额逾期费</v>
      </c>
      <c r="C18223" s="2" t="s">
        <v>9</v>
      </c>
      <c r="D18223" s="2" t="s">
        <v>10</v>
      </c>
      <c r="E18223" s="2" t="str">
        <f>HYPERLINK("http://ts.21cn.com/tousu/show/id/1350080","http://ts.21cn.com/tousu/show/id/1350080")</f>
        <v>http://ts.21cn.com/tousu/show/id/1350080</v>
      </c>
      <c r="F18223" s="2" t="s">
        <v>11</v>
      </c>
      <c r="G18223" s="2" t="s">
        <v>8346</v>
      </c>
      <c r="H18223" s="2" t="s">
        <v>8347</v>
      </c>
    </row>
    <row r="18224" spans="1:8" ht="25.05" customHeight="1" x14ac:dyDescent="0.25">
      <c r="A18224" s="2" t="s">
        <v>8</v>
      </c>
      <c r="B18224" s="2" t="str">
        <f>HYPERLINK("http://ts.21cn.com/tousu/show/id/1350081","下单超三天不发货，客服、物流来回推脱责任，不予解决")</f>
        <v>下单超三天不发货，客服、物流来回推脱责任，不予解决</v>
      </c>
      <c r="C18224" s="2" t="s">
        <v>9</v>
      </c>
      <c r="D18224" s="2" t="s">
        <v>10</v>
      </c>
      <c r="E18224" s="2" t="str">
        <f>HYPERLINK("http://ts.21cn.com/tousu/show/id/1350081","http://ts.21cn.com/tousu/show/id/1350081")</f>
        <v>http://ts.21cn.com/tousu/show/id/1350081</v>
      </c>
      <c r="F18224" s="2" t="s">
        <v>11</v>
      </c>
      <c r="G18224" s="2" t="s">
        <v>8344</v>
      </c>
      <c r="H18224" s="2" t="s">
        <v>8345</v>
      </c>
    </row>
    <row r="18225" spans="1:8" ht="25.05" customHeight="1" x14ac:dyDescent="0.25">
      <c r="A18225" s="2" t="s">
        <v>8</v>
      </c>
      <c r="B18225" s="2" t="str">
        <f>HYPERLINK("http://ts.21cn.com/tousu/show/id/1350082","百事普惠乱扣钱")</f>
        <v>百事普惠乱扣钱</v>
      </c>
      <c r="C18225" s="2" t="s">
        <v>9</v>
      </c>
      <c r="D18225" s="2" t="s">
        <v>10</v>
      </c>
      <c r="E18225" s="2" t="str">
        <f>HYPERLINK("http://ts.21cn.com/tousu/show/id/1350082","http://ts.21cn.com/tousu/show/id/1350082")</f>
        <v>http://ts.21cn.com/tousu/show/id/1350082</v>
      </c>
      <c r="F18225" s="2" t="s">
        <v>11</v>
      </c>
      <c r="G18225" s="2" t="s">
        <v>8342</v>
      </c>
      <c r="H18225" s="2" t="s">
        <v>8343</v>
      </c>
    </row>
    <row r="18226" spans="1:8" ht="25.05" customHeight="1" x14ac:dyDescent="0.25">
      <c r="A18226" s="2" t="s">
        <v>8</v>
      </c>
      <c r="B18226" s="2" t="str">
        <f>HYPERLINK("http://ts.21cn.com/tousu/show/id/1350083","新橙优品逾期一天爆通讯录")</f>
        <v>新橙优品逾期一天爆通讯录</v>
      </c>
      <c r="C18226" s="2" t="s">
        <v>9</v>
      </c>
      <c r="D18226" s="2" t="s">
        <v>10</v>
      </c>
      <c r="E18226" s="2" t="str">
        <f>HYPERLINK("http://ts.21cn.com/tousu/show/id/1350083","http://ts.21cn.com/tousu/show/id/1350083")</f>
        <v>http://ts.21cn.com/tousu/show/id/1350083</v>
      </c>
      <c r="F18226" s="2" t="s">
        <v>11</v>
      </c>
      <c r="G18226" s="2" t="s">
        <v>8340</v>
      </c>
      <c r="H18226" s="2" t="s">
        <v>8341</v>
      </c>
    </row>
    <row r="18227" spans="1:8" ht="25.05" customHeight="1" x14ac:dyDescent="0.25">
      <c r="A18227" s="2" t="s">
        <v>8</v>
      </c>
      <c r="B18227" s="2" t="str">
        <f>HYPERLINK("http://ts.21cn.com/tousu/show/id/1350084","退货不给退款")</f>
        <v>退货不给退款</v>
      </c>
      <c r="C18227" s="2" t="s">
        <v>9</v>
      </c>
      <c r="D18227" s="2" t="s">
        <v>10</v>
      </c>
      <c r="E18227" s="2" t="str">
        <f>HYPERLINK("http://ts.21cn.com/tousu/show/id/1350084","http://ts.21cn.com/tousu/show/id/1350084")</f>
        <v>http://ts.21cn.com/tousu/show/id/1350084</v>
      </c>
      <c r="F18227" s="2" t="s">
        <v>11</v>
      </c>
      <c r="G18227" s="2" t="s">
        <v>8338</v>
      </c>
      <c r="H18227" s="2" t="s">
        <v>8339</v>
      </c>
    </row>
    <row r="18228" spans="1:8" ht="25.05" customHeight="1" x14ac:dyDescent="0.25">
      <c r="A18228" s="2" t="s">
        <v>8</v>
      </c>
      <c r="B18228" s="2" t="str">
        <f>HYPERLINK("http://ts.21cn.com/tousu/show/id/1350035","不知情被贷款")</f>
        <v>不知情被贷款</v>
      </c>
      <c r="C18228" s="2" t="s">
        <v>9</v>
      </c>
      <c r="D18228" s="2" t="s">
        <v>10</v>
      </c>
      <c r="E18228" s="2" t="str">
        <f>HYPERLINK("http://ts.21cn.com/tousu/show/id/1350035","http://ts.21cn.com/tousu/show/id/1350035")</f>
        <v>http://ts.21cn.com/tousu/show/id/1350035</v>
      </c>
      <c r="F18228" s="2" t="s">
        <v>11</v>
      </c>
      <c r="G18228" s="2" t="s">
        <v>8336</v>
      </c>
      <c r="H18228" s="2" t="s">
        <v>8337</v>
      </c>
    </row>
    <row r="18229" spans="1:8" ht="25.05" customHeight="1" x14ac:dyDescent="0.25">
      <c r="A18229" s="2" t="s">
        <v>8</v>
      </c>
      <c r="B18229" s="2" t="str">
        <f>HYPERLINK("http://ts.21cn.com/tousu/show/id/1350087","优卡白条充值不到账")</f>
        <v>优卡白条充值不到账</v>
      </c>
      <c r="C18229" s="2" t="s">
        <v>9</v>
      </c>
      <c r="D18229" s="2" t="s">
        <v>10</v>
      </c>
      <c r="E18229" s="2" t="str">
        <f>HYPERLINK("http://ts.21cn.com/tousu/show/id/1350087","http://ts.21cn.com/tousu/show/id/1350087")</f>
        <v>http://ts.21cn.com/tousu/show/id/1350087</v>
      </c>
      <c r="F18229" s="2" t="s">
        <v>11</v>
      </c>
      <c r="G18229" s="2" t="s">
        <v>8334</v>
      </c>
      <c r="H18229" s="2" t="s">
        <v>8335</v>
      </c>
    </row>
    <row r="18230" spans="1:8" ht="25.05" customHeight="1" x14ac:dyDescent="0.25">
      <c r="A18230" s="2" t="s">
        <v>8</v>
      </c>
      <c r="B18230" s="2" t="str">
        <f>HYPERLINK("http://ts.21cn.com/tousu/show/id/1350086","催收爆通讯录高利贷")</f>
        <v>催收爆通讯录高利贷</v>
      </c>
      <c r="C18230" s="2" t="s">
        <v>9</v>
      </c>
      <c r="D18230" s="2" t="s">
        <v>10</v>
      </c>
      <c r="E18230" s="2" t="str">
        <f>HYPERLINK("http://ts.21cn.com/tousu/show/id/1350086","http://ts.21cn.com/tousu/show/id/1350086")</f>
        <v>http://ts.21cn.com/tousu/show/id/1350086</v>
      </c>
      <c r="F18230" s="2" t="s">
        <v>11</v>
      </c>
      <c r="G18230" s="2" t="s">
        <v>8332</v>
      </c>
      <c r="H18230" s="2" t="s">
        <v>8333</v>
      </c>
    </row>
    <row r="18231" spans="1:8" ht="25.05" customHeight="1" x14ac:dyDescent="0.25">
      <c r="A18231" s="2" t="s">
        <v>8</v>
      </c>
      <c r="B18231" s="2" t="str">
        <f>HYPERLINK("http://ts.21cn.com/tousu/show/id/1350088","钱站利息超过国家规定标准")</f>
        <v>钱站利息超过国家规定标准</v>
      </c>
      <c r="C18231" s="2" t="s">
        <v>9</v>
      </c>
      <c r="D18231" s="2" t="s">
        <v>10</v>
      </c>
      <c r="E18231" s="2" t="str">
        <f>HYPERLINK("http://ts.21cn.com/tousu/show/id/1350088","http://ts.21cn.com/tousu/show/id/1350088")</f>
        <v>http://ts.21cn.com/tousu/show/id/1350088</v>
      </c>
      <c r="F18231" s="2" t="s">
        <v>11</v>
      </c>
      <c r="G18231" s="2" t="s">
        <v>8330</v>
      </c>
      <c r="H18231" s="2" t="s">
        <v>8331</v>
      </c>
    </row>
    <row r="18232" spans="1:8" ht="25.05" customHeight="1" x14ac:dyDescent="0.25">
      <c r="A18232" s="2" t="s">
        <v>8</v>
      </c>
      <c r="B18232" s="2" t="str">
        <f>HYPERLINK("http://ts.21cn.com/tousu/show/id/1350090","新橙优品违规收取砍头息高利贷远超国家规定利率")</f>
        <v>新橙优品违规收取砍头息高利贷远超国家规定利率</v>
      </c>
      <c r="C18232" s="2" t="s">
        <v>9</v>
      </c>
      <c r="D18232" s="2" t="s">
        <v>10</v>
      </c>
      <c r="E18232" s="2" t="str">
        <f>HYPERLINK("http://ts.21cn.com/tousu/show/id/1350090","http://ts.21cn.com/tousu/show/id/1350090")</f>
        <v>http://ts.21cn.com/tousu/show/id/1350090</v>
      </c>
      <c r="F18232" s="2" t="s">
        <v>11</v>
      </c>
      <c r="G18232" s="2" t="s">
        <v>8328</v>
      </c>
      <c r="H18232" s="2" t="s">
        <v>8329</v>
      </c>
    </row>
    <row r="18233" spans="1:8" ht="25.05" customHeight="1" x14ac:dyDescent="0.25">
      <c r="A18233" s="2" t="s">
        <v>8</v>
      </c>
      <c r="B18233" s="2" t="str">
        <f>HYPERLINK("http://ts.21cn.com/tousu/show/id/1350089","壹心分期高利贷砍头息")</f>
        <v>壹心分期高利贷砍头息</v>
      </c>
      <c r="C18233" s="2" t="s">
        <v>9</v>
      </c>
      <c r="D18233" s="2" t="s">
        <v>10</v>
      </c>
      <c r="E18233" s="2" t="str">
        <f>HYPERLINK("http://ts.21cn.com/tousu/show/id/1350089","http://ts.21cn.com/tousu/show/id/1350089")</f>
        <v>http://ts.21cn.com/tousu/show/id/1350089</v>
      </c>
      <c r="F18233" s="2" t="s">
        <v>11</v>
      </c>
      <c r="G18233" s="2" t="s">
        <v>8326</v>
      </c>
      <c r="H18233" s="2" t="s">
        <v>8327</v>
      </c>
    </row>
    <row r="18234" spans="1:8" ht="25.05" customHeight="1" x14ac:dyDescent="0.25">
      <c r="A18234" s="2" t="s">
        <v>8</v>
      </c>
      <c r="B18234" s="2" t="str">
        <f>HYPERLINK("http://ts.21cn.com/tousu/show/id/1350092","好分期高利贷乱收费，隐藏高额服务费")</f>
        <v>好分期高利贷乱收费，隐藏高额服务费</v>
      </c>
      <c r="C18234" s="2" t="s">
        <v>9</v>
      </c>
      <c r="D18234" s="2" t="s">
        <v>10</v>
      </c>
      <c r="E18234" s="2" t="str">
        <f>HYPERLINK("http://ts.21cn.com/tousu/show/id/1350092","http://ts.21cn.com/tousu/show/id/1350092")</f>
        <v>http://ts.21cn.com/tousu/show/id/1350092</v>
      </c>
      <c r="F18234" s="2" t="s">
        <v>11</v>
      </c>
      <c r="G18234" s="2" t="s">
        <v>8324</v>
      </c>
      <c r="H18234" s="2" t="s">
        <v>8325</v>
      </c>
    </row>
    <row r="18235" spans="1:8" ht="25.05" customHeight="1" x14ac:dyDescent="0.25">
      <c r="A18235" s="2" t="s">
        <v>8</v>
      </c>
      <c r="B18235" s="2" t="str">
        <f>HYPERLINK("http://ts.21cn.com/tousu/show/id/1350091","来分期非法催收，账单没到期就开始催收")</f>
        <v>来分期非法催收，账单没到期就开始催收</v>
      </c>
      <c r="C18235" s="2" t="s">
        <v>9</v>
      </c>
      <c r="D18235" s="2" t="s">
        <v>10</v>
      </c>
      <c r="E18235" s="2" t="str">
        <f>HYPERLINK("http://ts.21cn.com/tousu/show/id/1350091","http://ts.21cn.com/tousu/show/id/1350091")</f>
        <v>http://ts.21cn.com/tousu/show/id/1350091</v>
      </c>
      <c r="F18235" s="2" t="s">
        <v>11</v>
      </c>
      <c r="G18235" s="2" t="s">
        <v>8322</v>
      </c>
      <c r="H18235" s="2" t="s">
        <v>8323</v>
      </c>
    </row>
    <row r="18236" spans="1:8" ht="25.05" customHeight="1" x14ac:dyDescent="0.25">
      <c r="A18236" s="2" t="s">
        <v>8</v>
      </c>
      <c r="B18236" s="2" t="str">
        <f>HYPERLINK("http://ts.21cn.com/tousu/show/id/1350093","飞贷已给单位打电话相威胁要求还款还拒不协商")</f>
        <v>飞贷已给单位打电话相威胁要求还款还拒不协商</v>
      </c>
      <c r="C18236" s="2" t="s">
        <v>9</v>
      </c>
      <c r="D18236" s="2" t="s">
        <v>10</v>
      </c>
      <c r="E18236" s="2" t="str">
        <f>HYPERLINK("http://ts.21cn.com/tousu/show/id/1350093","http://ts.21cn.com/tousu/show/id/1350093")</f>
        <v>http://ts.21cn.com/tousu/show/id/1350093</v>
      </c>
      <c r="F18236" s="2" t="s">
        <v>11</v>
      </c>
      <c r="G18236" s="2" t="s">
        <v>8320</v>
      </c>
      <c r="H18236" s="2" t="s">
        <v>8321</v>
      </c>
    </row>
    <row r="18237" spans="1:8" ht="25.05" customHeight="1" x14ac:dyDescent="0.25">
      <c r="A18237" s="2" t="s">
        <v>8</v>
      </c>
      <c r="B18237" s="2" t="str">
        <f>HYPERLINK("http://ts.21cn.com/tousu/show/id/1350094","砍头息和骚扰")</f>
        <v>砍头息和骚扰</v>
      </c>
      <c r="C18237" s="2" t="s">
        <v>9</v>
      </c>
      <c r="D18237" s="2" t="s">
        <v>10</v>
      </c>
      <c r="E18237" s="2" t="str">
        <f>HYPERLINK("http://ts.21cn.com/tousu/show/id/1350094","http://ts.21cn.com/tousu/show/id/1350094")</f>
        <v>http://ts.21cn.com/tousu/show/id/1350094</v>
      </c>
      <c r="F18237" s="2" t="s">
        <v>11</v>
      </c>
      <c r="G18237" s="2" t="s">
        <v>8318</v>
      </c>
      <c r="H18237" s="2" t="s">
        <v>8319</v>
      </c>
    </row>
    <row r="18238" spans="1:8" ht="25.05" customHeight="1" x14ac:dyDescent="0.25">
      <c r="A18238" s="2" t="s">
        <v>8</v>
      </c>
      <c r="B18238" s="2" t="str">
        <f>HYPERLINK("http://ts.21cn.com/tousu/show/id/1350095","中国银行卡被这个账号：（特约）中建投（银企入金）无故划扣972")</f>
        <v>中国银行卡被这个账号：（特约）中建投（银企入金）无故划扣972</v>
      </c>
      <c r="C18238" s="2" t="s">
        <v>34</v>
      </c>
      <c r="D18238" s="2" t="s">
        <v>10</v>
      </c>
      <c r="E18238" s="2" t="str">
        <f>HYPERLINK("http://ts.21cn.com/tousu/show/id/1350095","http://ts.21cn.com/tousu/show/id/1350095")</f>
        <v>http://ts.21cn.com/tousu/show/id/1350095</v>
      </c>
      <c r="F18238" s="2" t="s">
        <v>11</v>
      </c>
      <c r="G18238" s="2" t="s">
        <v>8316</v>
      </c>
      <c r="H18238" s="2" t="s">
        <v>8317</v>
      </c>
    </row>
    <row r="18239" spans="1:8" ht="25.05" customHeight="1" x14ac:dyDescent="0.25">
      <c r="A18239" s="2" t="s">
        <v>8</v>
      </c>
      <c r="B18239" s="2" t="str">
        <f>HYPERLINK("http://ts.21cn.com/tousu/show/id/1350096","马上金融催收骂我出门被车撞")</f>
        <v>马上金融催收骂我出门被车撞</v>
      </c>
      <c r="C18239" s="2" t="s">
        <v>9</v>
      </c>
      <c r="D18239" s="2" t="s">
        <v>10</v>
      </c>
      <c r="E18239" s="2" t="str">
        <f>HYPERLINK("http://ts.21cn.com/tousu/show/id/1350096","http://ts.21cn.com/tousu/show/id/1350096")</f>
        <v>http://ts.21cn.com/tousu/show/id/1350096</v>
      </c>
      <c r="F18239" s="2" t="s">
        <v>11</v>
      </c>
      <c r="G18239" s="2" t="s">
        <v>8314</v>
      </c>
      <c r="H18239" s="2" t="s">
        <v>8315</v>
      </c>
    </row>
    <row r="18240" spans="1:8" ht="25.05" customHeight="1" x14ac:dyDescent="0.25">
      <c r="A18240" s="2" t="s">
        <v>8</v>
      </c>
      <c r="B18240" s="2" t="str">
        <f>HYPERLINK("http://ts.21cn.com/tousu/show/id/1350097","天房天辰世纪楼盘强制捆绑车位售卖且车位不按期交付使用")</f>
        <v>天房天辰世纪楼盘强制捆绑车位售卖且车位不按期交付使用</v>
      </c>
      <c r="C18240" s="2" t="s">
        <v>9</v>
      </c>
      <c r="D18240" s="2" t="s">
        <v>10</v>
      </c>
      <c r="E18240" s="2" t="str">
        <f>HYPERLINK("http://ts.21cn.com/tousu/show/id/1350097","http://ts.21cn.com/tousu/show/id/1350097")</f>
        <v>http://ts.21cn.com/tousu/show/id/1350097</v>
      </c>
      <c r="F18240" s="2" t="s">
        <v>11</v>
      </c>
      <c r="G18240" s="2" t="s">
        <v>8312</v>
      </c>
      <c r="H18240" s="2" t="s">
        <v>8313</v>
      </c>
    </row>
    <row r="18241" spans="1:8" ht="25.05" customHeight="1" x14ac:dyDescent="0.25">
      <c r="A18241" s="2" t="s">
        <v>8</v>
      </c>
      <c r="B18241" s="2" t="str">
        <f>HYPERLINK("http://ts.21cn.com/tousu/show/id/1350099","我在转转平台租号玩正常出租账号，租客没有绿色游戏遵守游戏规定导致号主游戏帐户永久冻结封停")</f>
        <v>我在转转平台租号玩正常出租账号，租客没有绿色游戏遵守游戏规定导致号主游戏帐户永久冻结封停</v>
      </c>
      <c r="C18241" s="2" t="s">
        <v>9</v>
      </c>
      <c r="D18241" s="2" t="s">
        <v>10</v>
      </c>
      <c r="E18241" s="2" t="str">
        <f>HYPERLINK("http://ts.21cn.com/tousu/show/id/1350099","http://ts.21cn.com/tousu/show/id/1350099")</f>
        <v>http://ts.21cn.com/tousu/show/id/1350099</v>
      </c>
      <c r="F18241" s="2" t="s">
        <v>11</v>
      </c>
      <c r="G18241" s="2" t="s">
        <v>8310</v>
      </c>
      <c r="H18241" s="2" t="s">
        <v>8311</v>
      </c>
    </row>
    <row r="18242" spans="1:8" ht="25.05" customHeight="1" x14ac:dyDescent="0.25">
      <c r="A18242" s="2" t="s">
        <v>8</v>
      </c>
      <c r="B18242" s="2" t="str">
        <f>HYPERLINK("http://ts.21cn.com/tousu/show/id/1350023","捷信公司的骚扰电话每天不断")</f>
        <v>捷信公司的骚扰电话每天不断</v>
      </c>
      <c r="C18242" s="2" t="s">
        <v>9</v>
      </c>
      <c r="D18242" s="2" t="s">
        <v>10</v>
      </c>
      <c r="E18242" s="2" t="str">
        <f>HYPERLINK("http://ts.21cn.com/tousu/show/id/1350023","http://ts.21cn.com/tousu/show/id/1350023")</f>
        <v>http://ts.21cn.com/tousu/show/id/1350023</v>
      </c>
      <c r="F18242" s="2" t="s">
        <v>11</v>
      </c>
      <c r="G18242" s="2" t="s">
        <v>8308</v>
      </c>
      <c r="H18242" s="2" t="s">
        <v>8309</v>
      </c>
    </row>
    <row r="18243" spans="1:8" ht="25.05" customHeight="1" x14ac:dyDescent="0.25">
      <c r="A18243" s="2" t="s">
        <v>8</v>
      </c>
      <c r="B18243" s="2" t="str">
        <f>HYPERLINK("http://ts.21cn.com/tousu/show/id/1350098","阴阳合同")</f>
        <v>阴阳合同</v>
      </c>
      <c r="C18243" s="2" t="s">
        <v>9</v>
      </c>
      <c r="D18243" s="2" t="s">
        <v>10</v>
      </c>
      <c r="E18243" s="2" t="str">
        <f>HYPERLINK("http://ts.21cn.com/tousu/show/id/1350098","http://ts.21cn.com/tousu/show/id/1350098")</f>
        <v>http://ts.21cn.com/tousu/show/id/1350098</v>
      </c>
      <c r="F18243" s="2" t="s">
        <v>11</v>
      </c>
      <c r="G18243" s="2" t="s">
        <v>8305</v>
      </c>
      <c r="H18243" s="2" t="s">
        <v>8306</v>
      </c>
    </row>
    <row r="18244" spans="1:8" ht="25.05" customHeight="1" x14ac:dyDescent="0.25">
      <c r="A18244" s="2" t="s">
        <v>8</v>
      </c>
      <c r="B18244" s="2" t="str">
        <f>HYPERLINK("http://ts.21cn.com/tousu/show/id/1350085","忽悠举报者，许诺不兑现")</f>
        <v>忽悠举报者，许诺不兑现</v>
      </c>
      <c r="C18244" s="2" t="s">
        <v>9</v>
      </c>
      <c r="D18244" s="2" t="s">
        <v>10</v>
      </c>
      <c r="E18244" s="2" t="str">
        <f>HYPERLINK("http://ts.21cn.com/tousu/show/id/1350085","http://ts.21cn.com/tousu/show/id/1350085")</f>
        <v>http://ts.21cn.com/tousu/show/id/1350085</v>
      </c>
      <c r="F18244" s="2" t="s">
        <v>11</v>
      </c>
      <c r="G18244" s="2" t="s">
        <v>8305</v>
      </c>
      <c r="H18244" s="2" t="s">
        <v>8307</v>
      </c>
    </row>
    <row r="18245" spans="1:8" ht="25.05" customHeight="1" x14ac:dyDescent="0.25">
      <c r="A18245" s="2" t="s">
        <v>8</v>
      </c>
      <c r="B18245" s="2" t="str">
        <f>HYPERLINK("http://ts.21cn.com/tousu/show/id/1350100","自动扣费要求退款")</f>
        <v>自动扣费要求退款</v>
      </c>
      <c r="C18245" s="2" t="s">
        <v>34</v>
      </c>
      <c r="D18245" s="2" t="s">
        <v>10</v>
      </c>
      <c r="E18245" s="2" t="str">
        <f>HYPERLINK("http://ts.21cn.com/tousu/show/id/1350100","http://ts.21cn.com/tousu/show/id/1350100")</f>
        <v>http://ts.21cn.com/tousu/show/id/1350100</v>
      </c>
      <c r="F18245" s="2" t="s">
        <v>11</v>
      </c>
      <c r="G18245" s="2" t="s">
        <v>8303</v>
      </c>
      <c r="H18245" s="2" t="s">
        <v>8304</v>
      </c>
    </row>
    <row r="18246" spans="1:8" ht="25.05" customHeight="1" x14ac:dyDescent="0.25">
      <c r="A18246" s="2" t="s">
        <v>8</v>
      </c>
      <c r="B18246" s="2" t="str">
        <f>HYPERLINK("http://ts.21cn.com/tousu/show/id/1350101","新橙优品平台以购买保险形式扣取砍头息，以及不合理高额利息")</f>
        <v>新橙优品平台以购买保险形式扣取砍头息，以及不合理高额利息</v>
      </c>
      <c r="C18246" s="2" t="s">
        <v>9</v>
      </c>
      <c r="D18246" s="2" t="s">
        <v>10</v>
      </c>
      <c r="E18246" s="2" t="str">
        <f>HYPERLINK("http://ts.21cn.com/tousu/show/id/1350101","http://ts.21cn.com/tousu/show/id/1350101")</f>
        <v>http://ts.21cn.com/tousu/show/id/1350101</v>
      </c>
      <c r="F18246" s="2" t="s">
        <v>11</v>
      </c>
      <c r="G18246" s="2" t="s">
        <v>8301</v>
      </c>
      <c r="H18246" s="2" t="s">
        <v>8302</v>
      </c>
    </row>
    <row r="18247" spans="1:8" ht="25.05" customHeight="1" x14ac:dyDescent="0.25">
      <c r="A18247" s="2" t="s">
        <v>8</v>
      </c>
      <c r="B18247" s="2" t="str">
        <f>HYPERLINK("http://ts.21cn.com/tousu/show/id/1350103","U钱包高利贷催收骚扰家人")</f>
        <v>U钱包高利贷催收骚扰家人</v>
      </c>
      <c r="C18247" s="2" t="s">
        <v>9</v>
      </c>
      <c r="D18247" s="2" t="s">
        <v>10</v>
      </c>
      <c r="E18247" s="2" t="str">
        <f>HYPERLINK("http://ts.21cn.com/tousu/show/id/1350103","http://ts.21cn.com/tousu/show/id/1350103")</f>
        <v>http://ts.21cn.com/tousu/show/id/1350103</v>
      </c>
      <c r="F18247" s="2" t="s">
        <v>11</v>
      </c>
      <c r="G18247" s="2" t="s">
        <v>8299</v>
      </c>
      <c r="H18247" s="2" t="s">
        <v>8300</v>
      </c>
    </row>
    <row r="18248" spans="1:8" ht="25.05" customHeight="1" x14ac:dyDescent="0.25">
      <c r="A18248" s="2" t="s">
        <v>8</v>
      </c>
      <c r="B18248" s="2" t="str">
        <f>HYPERLINK("http://ts.21cn.com/tousu/show/id/1350104","摇钱花暴力催收")</f>
        <v>摇钱花暴力催收</v>
      </c>
      <c r="C18248" s="2" t="s">
        <v>9</v>
      </c>
      <c r="D18248" s="2" t="s">
        <v>10</v>
      </c>
      <c r="E18248" s="2" t="str">
        <f>HYPERLINK("http://ts.21cn.com/tousu/show/id/1350104","http://ts.21cn.com/tousu/show/id/1350104")</f>
        <v>http://ts.21cn.com/tousu/show/id/1350104</v>
      </c>
      <c r="F18248" s="2" t="s">
        <v>11</v>
      </c>
      <c r="G18248" s="2" t="s">
        <v>8297</v>
      </c>
      <c r="H18248" s="2" t="s">
        <v>8298</v>
      </c>
    </row>
    <row r="18249" spans="1:8" ht="25.05" customHeight="1" x14ac:dyDescent="0.25">
      <c r="A18249" s="2" t="s">
        <v>8</v>
      </c>
      <c r="B18249" s="2" t="str">
        <f>HYPERLINK("http://ts.21cn.com/tousu/show/id/1350106","申请万达贷延期还款")</f>
        <v>申请万达贷延期还款</v>
      </c>
      <c r="C18249" s="2" t="s">
        <v>9</v>
      </c>
      <c r="D18249" s="2" t="s">
        <v>10</v>
      </c>
      <c r="E18249" s="2" t="str">
        <f>HYPERLINK("http://ts.21cn.com/tousu/show/id/1350106","http://ts.21cn.com/tousu/show/id/1350106")</f>
        <v>http://ts.21cn.com/tousu/show/id/1350106</v>
      </c>
      <c r="F18249" s="2" t="s">
        <v>11</v>
      </c>
      <c r="G18249" s="2" t="s">
        <v>8295</v>
      </c>
      <c r="H18249" s="2" t="s">
        <v>8296</v>
      </c>
    </row>
    <row r="18250" spans="1:8" ht="25.05" customHeight="1" x14ac:dyDescent="0.25">
      <c r="A18250" s="2" t="s">
        <v>8</v>
      </c>
      <c r="B18250" s="2" t="str">
        <f>HYPERLINK("http://ts.21cn.com/tousu/show/id/1350107","魔盒citybox乱收费")</f>
        <v>魔盒citybox乱收费</v>
      </c>
      <c r="C18250" s="2" t="s">
        <v>9</v>
      </c>
      <c r="D18250" s="2" t="s">
        <v>10</v>
      </c>
      <c r="E18250" s="2" t="str">
        <f>HYPERLINK("http://ts.21cn.com/tousu/show/id/1350107","http://ts.21cn.com/tousu/show/id/1350107")</f>
        <v>http://ts.21cn.com/tousu/show/id/1350107</v>
      </c>
      <c r="F18250" s="2" t="s">
        <v>11</v>
      </c>
      <c r="G18250" s="2" t="s">
        <v>8293</v>
      </c>
      <c r="H18250" s="2" t="s">
        <v>8294</v>
      </c>
    </row>
    <row r="18251" spans="1:8" ht="25.05" customHeight="1" x14ac:dyDescent="0.25">
      <c r="A18251" s="2" t="s">
        <v>8</v>
      </c>
      <c r="B18251" s="2" t="str">
        <f>HYPERLINK("http://ts.21cn.com/tousu/show/id/1350102","钱站暴力催收爆通讯录骚扰家人")</f>
        <v>钱站暴力催收爆通讯录骚扰家人</v>
      </c>
      <c r="C18251" s="2" t="s">
        <v>9</v>
      </c>
      <c r="D18251" s="2" t="s">
        <v>10</v>
      </c>
      <c r="E18251" s="2" t="str">
        <f>HYPERLINK("http://ts.21cn.com/tousu/show/id/1350102","http://ts.21cn.com/tousu/show/id/1350102")</f>
        <v>http://ts.21cn.com/tousu/show/id/1350102</v>
      </c>
      <c r="F18251" s="2" t="s">
        <v>11</v>
      </c>
      <c r="G18251" s="2" t="s">
        <v>8291</v>
      </c>
      <c r="H18251" s="2" t="s">
        <v>8292</v>
      </c>
    </row>
    <row r="18252" spans="1:8" ht="25.05" customHeight="1" x14ac:dyDescent="0.25">
      <c r="A18252" s="2" t="s">
        <v>8</v>
      </c>
      <c r="B18252" s="2" t="str">
        <f>HYPERLINK("http://ts.21cn.com/tousu/show/id/1350108","南航超时不退款")</f>
        <v>南航超时不退款</v>
      </c>
      <c r="C18252" s="2" t="s">
        <v>9</v>
      </c>
      <c r="D18252" s="2" t="s">
        <v>10</v>
      </c>
      <c r="E18252" s="2" t="str">
        <f>HYPERLINK("http://ts.21cn.com/tousu/show/id/1350108","http://ts.21cn.com/tousu/show/id/1350108")</f>
        <v>http://ts.21cn.com/tousu/show/id/1350108</v>
      </c>
      <c r="F18252" s="2" t="s">
        <v>11</v>
      </c>
      <c r="G18252" s="2" t="s">
        <v>8289</v>
      </c>
      <c r="H18252" s="2" t="s">
        <v>8290</v>
      </c>
    </row>
    <row r="18253" spans="1:8" ht="25.05" customHeight="1" x14ac:dyDescent="0.25">
      <c r="A18253" s="2" t="s">
        <v>8</v>
      </c>
      <c r="B18253" s="2" t="str">
        <f>HYPERLINK("http://ts.21cn.com/tousu/show/id/1350109","广发信用卡一次性结清还要收取手续费")</f>
        <v>广发信用卡一次性结清还要收取手续费</v>
      </c>
      <c r="C18253" s="2" t="s">
        <v>9</v>
      </c>
      <c r="D18253" s="2" t="s">
        <v>10</v>
      </c>
      <c r="E18253" s="2" t="str">
        <f>HYPERLINK("http://ts.21cn.com/tousu/show/id/1350109","http://ts.21cn.com/tousu/show/id/1350109")</f>
        <v>http://ts.21cn.com/tousu/show/id/1350109</v>
      </c>
      <c r="F18253" s="2" t="s">
        <v>11</v>
      </c>
      <c r="G18253" s="2" t="s">
        <v>8287</v>
      </c>
      <c r="H18253" s="2" t="s">
        <v>8288</v>
      </c>
    </row>
    <row r="18254" spans="1:8" ht="25.05" customHeight="1" x14ac:dyDescent="0.25">
      <c r="A18254" s="2" t="s">
        <v>8</v>
      </c>
      <c r="B18254" s="2" t="str">
        <f>HYPERLINK("http://ts.21cn.com/tousu/show/id/1350110","协商提前还款")</f>
        <v>协商提前还款</v>
      </c>
      <c r="C18254" s="2" t="s">
        <v>9</v>
      </c>
      <c r="D18254" s="2" t="s">
        <v>10</v>
      </c>
      <c r="E18254" s="2" t="str">
        <f>HYPERLINK("http://ts.21cn.com/tousu/show/id/1350110","http://ts.21cn.com/tousu/show/id/1350110")</f>
        <v>http://ts.21cn.com/tousu/show/id/1350110</v>
      </c>
      <c r="F18254" s="2" t="s">
        <v>11</v>
      </c>
      <c r="G18254" s="2" t="s">
        <v>8285</v>
      </c>
      <c r="H18254" s="2" t="s">
        <v>8286</v>
      </c>
    </row>
    <row r="18255" spans="1:8" ht="25.05" customHeight="1" x14ac:dyDescent="0.25">
      <c r="A18255" s="2" t="s">
        <v>8</v>
      </c>
      <c r="B18255" s="2" t="str">
        <f>HYPERLINK("http://ts.21cn.com/tousu/show/id/1350112","信用飞砍头息")</f>
        <v>信用飞砍头息</v>
      </c>
      <c r="C18255" s="2" t="s">
        <v>9</v>
      </c>
      <c r="D18255" s="2" t="s">
        <v>10</v>
      </c>
      <c r="E18255" s="2" t="str">
        <f>HYPERLINK("http://ts.21cn.com/tousu/show/id/1350112","http://ts.21cn.com/tousu/show/id/1350112")</f>
        <v>http://ts.21cn.com/tousu/show/id/1350112</v>
      </c>
      <c r="F18255" s="2" t="s">
        <v>11</v>
      </c>
      <c r="G18255" s="2" t="s">
        <v>8283</v>
      </c>
      <c r="H18255" s="2" t="s">
        <v>8284</v>
      </c>
    </row>
    <row r="18256" spans="1:8" ht="25.05" customHeight="1" x14ac:dyDescent="0.25">
      <c r="A18256" s="2" t="s">
        <v>8</v>
      </c>
      <c r="B18256" s="2" t="str">
        <f>HYPERLINK("http://ts.21cn.com/tousu/show/id/1350113","网贷催收威胁恐吓")</f>
        <v>网贷催收威胁恐吓</v>
      </c>
      <c r="C18256" s="2" t="s">
        <v>9</v>
      </c>
      <c r="D18256" s="2" t="s">
        <v>10</v>
      </c>
      <c r="E18256" s="2" t="str">
        <f>HYPERLINK("http://ts.21cn.com/tousu/show/id/1350113","http://ts.21cn.com/tousu/show/id/1350113")</f>
        <v>http://ts.21cn.com/tousu/show/id/1350113</v>
      </c>
      <c r="F18256" s="2" t="s">
        <v>11</v>
      </c>
      <c r="G18256" s="2" t="s">
        <v>8281</v>
      </c>
      <c r="H18256" s="2" t="s">
        <v>8282</v>
      </c>
    </row>
    <row r="18257" spans="1:8" ht="25.05" customHeight="1" x14ac:dyDescent="0.25">
      <c r="A18257" s="2" t="s">
        <v>8</v>
      </c>
      <c r="B18257" s="2" t="str">
        <f>HYPERLINK("http://ts.21cn.com/tousu/show/id/1350114","安逸花暴力催收，疯狂打通讯录电话")</f>
        <v>安逸花暴力催收，疯狂打通讯录电话</v>
      </c>
      <c r="C18257" s="2" t="s">
        <v>9</v>
      </c>
      <c r="D18257" s="2" t="s">
        <v>10</v>
      </c>
      <c r="E18257" s="2" t="str">
        <f>HYPERLINK("http://ts.21cn.com/tousu/show/id/1350114","http://ts.21cn.com/tousu/show/id/1350114")</f>
        <v>http://ts.21cn.com/tousu/show/id/1350114</v>
      </c>
      <c r="F18257" s="2" t="s">
        <v>11</v>
      </c>
      <c r="G18257" s="2" t="s">
        <v>8279</v>
      </c>
      <c r="H18257" s="2" t="s">
        <v>8280</v>
      </c>
    </row>
    <row r="18258" spans="1:8" ht="25.05" customHeight="1" x14ac:dyDescent="0.25">
      <c r="A18258" s="2" t="s">
        <v>8</v>
      </c>
      <c r="B18258" s="2" t="str">
        <f>HYPERLINK("http://ts.21cn.com/tousu/show/id/1350115","办理双证后平台派单极少")</f>
        <v>办理双证后平台派单极少</v>
      </c>
      <c r="C18258" s="2" t="s">
        <v>34</v>
      </c>
      <c r="D18258" s="2" t="s">
        <v>10</v>
      </c>
      <c r="E18258" s="2" t="str">
        <f>HYPERLINK("http://ts.21cn.com/tousu/show/id/1350115","http://ts.21cn.com/tousu/show/id/1350115")</f>
        <v>http://ts.21cn.com/tousu/show/id/1350115</v>
      </c>
      <c r="F18258" s="2" t="s">
        <v>11</v>
      </c>
      <c r="G18258" s="2" t="s">
        <v>8277</v>
      </c>
      <c r="H18258" s="2" t="s">
        <v>8278</v>
      </c>
    </row>
    <row r="18259" spans="1:8" ht="25.05" customHeight="1" x14ac:dyDescent="0.25">
      <c r="A18259" s="2" t="s">
        <v>8</v>
      </c>
      <c r="B18259" s="2" t="str">
        <f>HYPERLINK("http://ts.21cn.com/tousu/show/id/1350117","京东商城购买的自营耳机不给7天无理由退换货")</f>
        <v>京东商城购买的自营耳机不给7天无理由退换货</v>
      </c>
      <c r="C18259" s="2" t="s">
        <v>34</v>
      </c>
      <c r="D18259" s="2" t="s">
        <v>10</v>
      </c>
      <c r="E18259" s="2" t="str">
        <f>HYPERLINK("http://ts.21cn.com/tousu/show/id/1350117","http://ts.21cn.com/tousu/show/id/1350117")</f>
        <v>http://ts.21cn.com/tousu/show/id/1350117</v>
      </c>
      <c r="F18259" s="2" t="s">
        <v>11</v>
      </c>
      <c r="G18259" s="2" t="s">
        <v>8275</v>
      </c>
      <c r="H18259" s="2" t="s">
        <v>8276</v>
      </c>
    </row>
    <row r="18260" spans="1:8" ht="25.05" customHeight="1" x14ac:dyDescent="0.25">
      <c r="A18260" s="2" t="s">
        <v>8</v>
      </c>
      <c r="B18260" s="2" t="str">
        <f>HYPERLINK("http://ts.21cn.com/tousu/show/id/1350116","玖富万卡高利贷，阴阳合同")</f>
        <v>玖富万卡高利贷，阴阳合同</v>
      </c>
      <c r="C18260" s="2" t="s">
        <v>9</v>
      </c>
      <c r="D18260" s="2" t="s">
        <v>10</v>
      </c>
      <c r="E18260" s="2" t="str">
        <f>HYPERLINK("http://ts.21cn.com/tousu/show/id/1350116","http://ts.21cn.com/tousu/show/id/1350116")</f>
        <v>http://ts.21cn.com/tousu/show/id/1350116</v>
      </c>
      <c r="F18260" s="2" t="s">
        <v>11</v>
      </c>
      <c r="G18260" s="2" t="s">
        <v>8273</v>
      </c>
      <c r="H18260" s="2" t="s">
        <v>8274</v>
      </c>
    </row>
    <row r="18261" spans="1:8" ht="25.05" customHeight="1" x14ac:dyDescent="0.25">
      <c r="A18261" s="2" t="s">
        <v>8</v>
      </c>
      <c r="B18261" s="2" t="str">
        <f>HYPERLINK("http://ts.21cn.com/tousu/show/id/1350119","利息超过国家规定的年利率")</f>
        <v>利息超过国家规定的年利率</v>
      </c>
      <c r="C18261" s="2" t="s">
        <v>9</v>
      </c>
      <c r="D18261" s="2" t="s">
        <v>10</v>
      </c>
      <c r="E18261" s="2" t="str">
        <f>HYPERLINK("http://ts.21cn.com/tousu/show/id/1350119","http://ts.21cn.com/tousu/show/id/1350119")</f>
        <v>http://ts.21cn.com/tousu/show/id/1350119</v>
      </c>
      <c r="F18261" s="2" t="s">
        <v>11</v>
      </c>
      <c r="G18261" s="2" t="s">
        <v>8271</v>
      </c>
      <c r="H18261" s="2" t="s">
        <v>8272</v>
      </c>
    </row>
    <row r="18262" spans="1:8" ht="25.05" customHeight="1" x14ac:dyDescent="0.25">
      <c r="A18262" s="2" t="s">
        <v>8</v>
      </c>
      <c r="B18262" s="2" t="str">
        <f>HYPERLINK("http://ts.21cn.com/tousu/show/id/1350118","易宝支付盗刷银行卡")</f>
        <v>易宝支付盗刷银行卡</v>
      </c>
      <c r="C18262" s="2" t="s">
        <v>9</v>
      </c>
      <c r="D18262" s="2" t="s">
        <v>10</v>
      </c>
      <c r="E18262" s="2" t="str">
        <f>HYPERLINK("http://ts.21cn.com/tousu/show/id/1350118","http://ts.21cn.com/tousu/show/id/1350118")</f>
        <v>http://ts.21cn.com/tousu/show/id/1350118</v>
      </c>
      <c r="F18262" s="2" t="s">
        <v>11</v>
      </c>
      <c r="G18262" s="2" t="s">
        <v>8269</v>
      </c>
      <c r="H18262" s="2" t="s">
        <v>8270</v>
      </c>
    </row>
    <row r="18263" spans="1:8" ht="25.05" customHeight="1" x14ac:dyDescent="0.25">
      <c r="A18263" s="2" t="s">
        <v>8</v>
      </c>
      <c r="B18263" s="2" t="str">
        <f>HYPERLINK("http://ts.21cn.com/tousu/show/id/1349834","报名之后没有参与学习想要退费，没有可联系的人")</f>
        <v>报名之后没有参与学习想要退费，没有可联系的人</v>
      </c>
      <c r="C18263" s="2" t="s">
        <v>9</v>
      </c>
      <c r="D18263" s="2" t="s">
        <v>10</v>
      </c>
      <c r="E18263" s="2" t="str">
        <f>HYPERLINK("http://ts.21cn.com/tousu/show/id/1349834","http://ts.21cn.com/tousu/show/id/1349834")</f>
        <v>http://ts.21cn.com/tousu/show/id/1349834</v>
      </c>
      <c r="F18263" s="2" t="s">
        <v>11</v>
      </c>
      <c r="G18263" s="2" t="s">
        <v>8267</v>
      </c>
      <c r="H18263" s="2" t="s">
        <v>8268</v>
      </c>
    </row>
    <row r="18264" spans="1:8" ht="25.05" customHeight="1" x14ac:dyDescent="0.25">
      <c r="A18264" s="2" t="s">
        <v>8</v>
      </c>
      <c r="B18264" s="2" t="str">
        <f>HYPERLINK("http://ts.21cn.com/tousu/show/id/1350121","砍头息")</f>
        <v>砍头息</v>
      </c>
      <c r="C18264" s="2" t="s">
        <v>9</v>
      </c>
      <c r="D18264" s="2" t="s">
        <v>10</v>
      </c>
      <c r="E18264" s="2" t="str">
        <f>HYPERLINK("http://ts.21cn.com/tousu/show/id/1350121","http://ts.21cn.com/tousu/show/id/1350121")</f>
        <v>http://ts.21cn.com/tousu/show/id/1350121</v>
      </c>
      <c r="F18264" s="2" t="s">
        <v>11</v>
      </c>
      <c r="G18264" s="2" t="s">
        <v>8265</v>
      </c>
      <c r="H18264" s="2" t="s">
        <v>8266</v>
      </c>
    </row>
    <row r="18265" spans="1:8" ht="25.05" customHeight="1" x14ac:dyDescent="0.25">
      <c r="A18265" s="2" t="s">
        <v>8</v>
      </c>
      <c r="B18265" s="2" t="str">
        <f>HYPERLINK("http://ts.21cn.com/tousu/show/id/1350122","易宝支付")</f>
        <v>易宝支付</v>
      </c>
      <c r="C18265" s="2" t="s">
        <v>34</v>
      </c>
      <c r="D18265" s="2" t="s">
        <v>10</v>
      </c>
      <c r="E18265" s="2" t="str">
        <f>HYPERLINK("http://ts.21cn.com/tousu/show/id/1350122","http://ts.21cn.com/tousu/show/id/1350122")</f>
        <v>http://ts.21cn.com/tousu/show/id/1350122</v>
      </c>
      <c r="F18265" s="2" t="s">
        <v>11</v>
      </c>
      <c r="G18265" s="2" t="s">
        <v>8263</v>
      </c>
      <c r="H18265" s="2" t="s">
        <v>8264</v>
      </c>
    </row>
    <row r="18266" spans="1:8" ht="25.05" customHeight="1" x14ac:dyDescent="0.25">
      <c r="A18266" s="2" t="s">
        <v>8</v>
      </c>
      <c r="B18266" s="2" t="str">
        <f>HYPERLINK("http://ts.21cn.com/tousu/show/id/1350123","洛基拒退定金")</f>
        <v>洛基拒退定金</v>
      </c>
      <c r="C18266" s="2" t="s">
        <v>9</v>
      </c>
      <c r="D18266" s="2" t="s">
        <v>10</v>
      </c>
      <c r="E18266" s="2" t="str">
        <f>HYPERLINK("http://ts.21cn.com/tousu/show/id/1350123","http://ts.21cn.com/tousu/show/id/1350123")</f>
        <v>http://ts.21cn.com/tousu/show/id/1350123</v>
      </c>
      <c r="F18266" s="2" t="s">
        <v>11</v>
      </c>
      <c r="G18266" s="2" t="s">
        <v>8261</v>
      </c>
      <c r="H18266" s="2" t="s">
        <v>8262</v>
      </c>
    </row>
    <row r="18267" spans="1:8" ht="25.05" customHeight="1" x14ac:dyDescent="0.25">
      <c r="A18267" s="2" t="s">
        <v>8</v>
      </c>
      <c r="B18267" s="2" t="str">
        <f>HYPERLINK("http://ts.21cn.com/tousu/show/id/1350124","薪薪借钱恶意扣款")</f>
        <v>薪薪借钱恶意扣款</v>
      </c>
      <c r="C18267" s="2" t="s">
        <v>9</v>
      </c>
      <c r="D18267" s="2" t="s">
        <v>10</v>
      </c>
      <c r="E18267" s="2" t="str">
        <f>HYPERLINK("http://ts.21cn.com/tousu/show/id/1350124","http://ts.21cn.com/tousu/show/id/1350124")</f>
        <v>http://ts.21cn.com/tousu/show/id/1350124</v>
      </c>
      <c r="F18267" s="2" t="s">
        <v>11</v>
      </c>
      <c r="G18267" s="2" t="s">
        <v>8259</v>
      </c>
      <c r="H18267" s="2" t="s">
        <v>8260</v>
      </c>
    </row>
    <row r="18268" spans="1:8" ht="25.05" customHeight="1" x14ac:dyDescent="0.25">
      <c r="A18268" s="2" t="s">
        <v>8</v>
      </c>
      <c r="B18268" s="2" t="str">
        <f>HYPERLINK("http://ts.21cn.com/tousu/show/id/1350128","你我贷提前结清利息不规范")</f>
        <v>你我贷提前结清利息不规范</v>
      </c>
      <c r="C18268" s="2" t="s">
        <v>9</v>
      </c>
      <c r="D18268" s="2" t="s">
        <v>10</v>
      </c>
      <c r="E18268" s="2" t="str">
        <f>HYPERLINK("http://ts.21cn.com/tousu/show/id/1350128","http://ts.21cn.com/tousu/show/id/1350128")</f>
        <v>http://ts.21cn.com/tousu/show/id/1350128</v>
      </c>
      <c r="F18268" s="2" t="s">
        <v>11</v>
      </c>
      <c r="G18268" s="2" t="s">
        <v>8257</v>
      </c>
      <c r="H18268" s="2" t="s">
        <v>8258</v>
      </c>
    </row>
    <row r="18269" spans="1:8" ht="25.05" customHeight="1" x14ac:dyDescent="0.25">
      <c r="A18269" s="2" t="s">
        <v>8</v>
      </c>
      <c r="B18269" s="2" t="str">
        <f>HYPERLINK("http://ts.21cn.com/tousu/show/id/1350125","及贷高额砍头息，要求取消借款")</f>
        <v>及贷高额砍头息，要求取消借款</v>
      </c>
      <c r="C18269" s="2" t="s">
        <v>34</v>
      </c>
      <c r="D18269" s="2" t="s">
        <v>10</v>
      </c>
      <c r="E18269" s="2" t="str">
        <f>HYPERLINK("http://ts.21cn.com/tousu/show/id/1350125","http://ts.21cn.com/tousu/show/id/1350125")</f>
        <v>http://ts.21cn.com/tousu/show/id/1350125</v>
      </c>
      <c r="F18269" s="2" t="s">
        <v>11</v>
      </c>
      <c r="G18269" s="2" t="s">
        <v>8255</v>
      </c>
      <c r="H18269" s="2" t="s">
        <v>8256</v>
      </c>
    </row>
    <row r="18270" spans="1:8" ht="25.05" customHeight="1" x14ac:dyDescent="0.25">
      <c r="A18270" s="2" t="s">
        <v>8</v>
      </c>
      <c r="B18270" s="2" t="str">
        <f>HYPERLINK("http://ts.21cn.com/tousu/show/id/1350129","小花钱包暴力催收威胁恐吓")</f>
        <v>小花钱包暴力催收威胁恐吓</v>
      </c>
      <c r="C18270" s="2" t="s">
        <v>9</v>
      </c>
      <c r="D18270" s="2" t="s">
        <v>10</v>
      </c>
      <c r="E18270" s="2" t="str">
        <f>HYPERLINK("http://ts.21cn.com/tousu/show/id/1350129","http://ts.21cn.com/tousu/show/id/1350129")</f>
        <v>http://ts.21cn.com/tousu/show/id/1350129</v>
      </c>
      <c r="F18270" s="2" t="s">
        <v>11</v>
      </c>
      <c r="G18270" s="2" t="s">
        <v>8253</v>
      </c>
      <c r="H18270" s="2" t="s">
        <v>8254</v>
      </c>
    </row>
    <row r="18271" spans="1:8" ht="25.05" customHeight="1" x14ac:dyDescent="0.25">
      <c r="A18271" s="2" t="s">
        <v>8</v>
      </c>
      <c r="B18271" s="2" t="str">
        <f>HYPERLINK("http://ts.21cn.com/tousu/show/id/1350130","受到暴力催收的严重骚扰")</f>
        <v>受到暴力催收的严重骚扰</v>
      </c>
      <c r="C18271" s="2" t="s">
        <v>9</v>
      </c>
      <c r="D18271" s="2" t="s">
        <v>10</v>
      </c>
      <c r="E18271" s="2" t="str">
        <f>HYPERLINK("http://ts.21cn.com/tousu/show/id/1350130","http://ts.21cn.com/tousu/show/id/1350130")</f>
        <v>http://ts.21cn.com/tousu/show/id/1350130</v>
      </c>
      <c r="F18271" s="2" t="s">
        <v>11</v>
      </c>
      <c r="G18271" s="2" t="s">
        <v>8251</v>
      </c>
      <c r="H18271" s="2" t="s">
        <v>8252</v>
      </c>
    </row>
    <row r="18272" spans="1:8" ht="25.05" customHeight="1" x14ac:dyDescent="0.25">
      <c r="A18272" s="2" t="s">
        <v>8</v>
      </c>
      <c r="B18272" s="2" t="str">
        <f>HYPERLINK("http://ts.21cn.com/tousu/show/id/1350131","你我贷利息高")</f>
        <v>你我贷利息高</v>
      </c>
      <c r="C18272" s="2" t="s">
        <v>9</v>
      </c>
      <c r="D18272" s="2" t="s">
        <v>10</v>
      </c>
      <c r="E18272" s="2" t="str">
        <f>HYPERLINK("http://ts.21cn.com/tousu/show/id/1350131","http://ts.21cn.com/tousu/show/id/1350131")</f>
        <v>http://ts.21cn.com/tousu/show/id/1350131</v>
      </c>
      <c r="F18272" s="2" t="s">
        <v>11</v>
      </c>
      <c r="G18272" s="2" t="s">
        <v>8249</v>
      </c>
      <c r="H18272" s="2" t="s">
        <v>8250</v>
      </c>
    </row>
    <row r="18273" spans="1:8" ht="25.05" customHeight="1" x14ac:dyDescent="0.25">
      <c r="A18273" s="2" t="s">
        <v>8</v>
      </c>
      <c r="B18273" s="2" t="str">
        <f>HYPERLINK("http://ts.21cn.com/tousu/show/id/1350132","暴力催款，侵犯隐私，高利贷")</f>
        <v>暴力催款，侵犯隐私，高利贷</v>
      </c>
      <c r="C18273" s="2" t="s">
        <v>9</v>
      </c>
      <c r="D18273" s="2" t="s">
        <v>10</v>
      </c>
      <c r="E18273" s="2" t="str">
        <f>HYPERLINK("http://ts.21cn.com/tousu/show/id/1350132","http://ts.21cn.com/tousu/show/id/1350132")</f>
        <v>http://ts.21cn.com/tousu/show/id/1350132</v>
      </c>
      <c r="F18273" s="2" t="s">
        <v>11</v>
      </c>
      <c r="G18273" s="2" t="s">
        <v>8247</v>
      </c>
      <c r="H18273" s="2" t="s">
        <v>8248</v>
      </c>
    </row>
    <row r="18274" spans="1:8" ht="25.05" customHeight="1" x14ac:dyDescent="0.25">
      <c r="A18274" s="2" t="s">
        <v>8</v>
      </c>
      <c r="B18274" s="2" t="str">
        <f>HYPERLINK("http://ts.21cn.com/tousu/show/id/1350133","爱又米女催收暴力催收，骚扰我联系人")</f>
        <v>爱又米女催收暴力催收，骚扰我联系人</v>
      </c>
      <c r="C18274" s="2" t="s">
        <v>9</v>
      </c>
      <c r="D18274" s="2" t="s">
        <v>10</v>
      </c>
      <c r="E18274" s="2" t="str">
        <f>HYPERLINK("http://ts.21cn.com/tousu/show/id/1350133","http://ts.21cn.com/tousu/show/id/1350133")</f>
        <v>http://ts.21cn.com/tousu/show/id/1350133</v>
      </c>
      <c r="F18274" s="2" t="s">
        <v>11</v>
      </c>
      <c r="G18274" s="2" t="s">
        <v>8245</v>
      </c>
      <c r="H18274" s="2" t="s">
        <v>8246</v>
      </c>
    </row>
    <row r="18275" spans="1:8" ht="25.05" customHeight="1" x14ac:dyDescent="0.25">
      <c r="A18275" s="2" t="s">
        <v>8</v>
      </c>
      <c r="B18275" s="2" t="str">
        <f>HYPERLINK("http://ts.21cn.com/tousu/show/id/1350135","暴力催收态度恶劣威胁恐吓")</f>
        <v>暴力催收态度恶劣威胁恐吓</v>
      </c>
      <c r="C18275" s="2" t="s">
        <v>9</v>
      </c>
      <c r="D18275" s="2" t="s">
        <v>10</v>
      </c>
      <c r="E18275" s="2" t="str">
        <f>HYPERLINK("http://ts.21cn.com/tousu/show/id/1350135","http://ts.21cn.com/tousu/show/id/1350135")</f>
        <v>http://ts.21cn.com/tousu/show/id/1350135</v>
      </c>
      <c r="F18275" s="2" t="s">
        <v>11</v>
      </c>
      <c r="G18275" s="2" t="s">
        <v>8243</v>
      </c>
      <c r="H18275" s="2" t="s">
        <v>8244</v>
      </c>
    </row>
    <row r="18276" spans="1:8" ht="25.05" customHeight="1" x14ac:dyDescent="0.25">
      <c r="A18276" s="2" t="s">
        <v>8</v>
      </c>
      <c r="B18276" s="2" t="str">
        <f>HYPERLINK("http://ts.21cn.com/tousu/show/id/1350136","投诉立借高利贷")</f>
        <v>投诉立借高利贷</v>
      </c>
      <c r="C18276" s="2" t="s">
        <v>9</v>
      </c>
      <c r="D18276" s="2" t="s">
        <v>10</v>
      </c>
      <c r="E18276" s="2" t="str">
        <f>HYPERLINK("http://ts.21cn.com/tousu/show/id/1350136","http://ts.21cn.com/tousu/show/id/1350136")</f>
        <v>http://ts.21cn.com/tousu/show/id/1350136</v>
      </c>
      <c r="F18276" s="2" t="s">
        <v>11</v>
      </c>
      <c r="G18276" s="2" t="s">
        <v>8241</v>
      </c>
      <c r="H18276" s="2" t="s">
        <v>8242</v>
      </c>
    </row>
    <row r="18277" spans="1:8" ht="25.05" customHeight="1" x14ac:dyDescent="0.25">
      <c r="A18277" s="2" t="s">
        <v>8</v>
      </c>
      <c r="B18277" s="2" t="str">
        <f>HYPERLINK("http://ts.21cn.com/tousu/show/id/1350138","停止网贷")</f>
        <v>停止网贷</v>
      </c>
      <c r="C18277" s="2" t="s">
        <v>34</v>
      </c>
      <c r="D18277" s="2" t="s">
        <v>10</v>
      </c>
      <c r="E18277" s="2" t="str">
        <f>HYPERLINK("http://ts.21cn.com/tousu/show/id/1350138","http://ts.21cn.com/tousu/show/id/1350138")</f>
        <v>http://ts.21cn.com/tousu/show/id/1350138</v>
      </c>
      <c r="F18277" s="2" t="s">
        <v>11</v>
      </c>
      <c r="G18277" s="2" t="s">
        <v>8239</v>
      </c>
      <c r="H18277" s="2" t="s">
        <v>8240</v>
      </c>
    </row>
    <row r="18278" spans="1:8" ht="25.05" customHeight="1" x14ac:dyDescent="0.25">
      <c r="A18278" s="2" t="s">
        <v>8</v>
      </c>
      <c r="B18278" s="2" t="str">
        <f>HYPERLINK("http://ts.21cn.com/tousu/show/id/1350140","还了钱还恶意催收")</f>
        <v>还了钱还恶意催收</v>
      </c>
      <c r="C18278" s="2" t="s">
        <v>9</v>
      </c>
      <c r="D18278" s="2" t="s">
        <v>10</v>
      </c>
      <c r="E18278" s="2" t="str">
        <f>HYPERLINK("http://ts.21cn.com/tousu/show/id/1350140","http://ts.21cn.com/tousu/show/id/1350140")</f>
        <v>http://ts.21cn.com/tousu/show/id/1350140</v>
      </c>
      <c r="F18278" s="2" t="s">
        <v>11</v>
      </c>
      <c r="G18278" s="2" t="s">
        <v>8236</v>
      </c>
      <c r="H18278" s="2" t="s">
        <v>8237</v>
      </c>
    </row>
    <row r="18279" spans="1:8" ht="25.05" customHeight="1" x14ac:dyDescent="0.25">
      <c r="A18279" s="2" t="s">
        <v>8</v>
      </c>
      <c r="B18279" s="2" t="str">
        <f>HYPERLINK("http://ts.21cn.com/tousu/show/id/1350137","国美美借砍头息")</f>
        <v>国美美借砍头息</v>
      </c>
      <c r="C18279" s="2" t="s">
        <v>34</v>
      </c>
      <c r="D18279" s="2" t="s">
        <v>10</v>
      </c>
      <c r="E18279" s="2" t="str">
        <f>HYPERLINK("http://ts.21cn.com/tousu/show/id/1350137","http://ts.21cn.com/tousu/show/id/1350137")</f>
        <v>http://ts.21cn.com/tousu/show/id/1350137</v>
      </c>
      <c r="F18279" s="2" t="s">
        <v>11</v>
      </c>
      <c r="G18279" s="2" t="s">
        <v>8236</v>
      </c>
      <c r="H18279" s="2" t="s">
        <v>8238</v>
      </c>
    </row>
    <row r="18280" spans="1:8" ht="25.05" customHeight="1" x14ac:dyDescent="0.25">
      <c r="A18280" s="2" t="s">
        <v>8</v>
      </c>
      <c r="B18280" s="2" t="str">
        <f>HYPERLINK("http://ts.21cn.com/tousu/show/id/1350139","滴滴出行虚假客服，不能回复问题只是敷衍")</f>
        <v>滴滴出行虚假客服，不能回复问题只是敷衍</v>
      </c>
      <c r="C18280" s="2" t="s">
        <v>9</v>
      </c>
      <c r="D18280" s="2" t="s">
        <v>10</v>
      </c>
      <c r="E18280" s="2" t="str">
        <f>HYPERLINK("http://ts.21cn.com/tousu/show/id/1350139","http://ts.21cn.com/tousu/show/id/1350139")</f>
        <v>http://ts.21cn.com/tousu/show/id/1350139</v>
      </c>
      <c r="F18280" s="2" t="s">
        <v>11</v>
      </c>
      <c r="G18280" s="2" t="s">
        <v>8234</v>
      </c>
      <c r="H18280" s="2" t="s">
        <v>8235</v>
      </c>
    </row>
    <row r="18281" spans="1:8" ht="25.05" customHeight="1" x14ac:dyDescent="0.25">
      <c r="A18281" s="2" t="s">
        <v>8</v>
      </c>
      <c r="B18281" s="2" t="str">
        <f>HYPERLINK("http://ts.21cn.com/tousu/show/id/1350143","立即出行押金长时间不退")</f>
        <v>立即出行押金长时间不退</v>
      </c>
      <c r="C18281" s="2" t="s">
        <v>9</v>
      </c>
      <c r="D18281" s="2" t="s">
        <v>10</v>
      </c>
      <c r="E18281" s="2" t="str">
        <f>HYPERLINK("http://ts.21cn.com/tousu/show/id/1350143","http://ts.21cn.com/tousu/show/id/1350143")</f>
        <v>http://ts.21cn.com/tousu/show/id/1350143</v>
      </c>
      <c r="F18281" s="2" t="s">
        <v>11</v>
      </c>
      <c r="G18281" s="2" t="s">
        <v>8232</v>
      </c>
      <c r="H18281" s="2" t="s">
        <v>8233</v>
      </c>
    </row>
    <row r="18282" spans="1:8" ht="25.05" customHeight="1" x14ac:dyDescent="0.25">
      <c r="A18282" s="2" t="s">
        <v>8</v>
      </c>
      <c r="B18282" s="2" t="str">
        <f>HYPERLINK("http://ts.21cn.com/tousu/show/id/1350146","合肥拍来贷对我进行骚扰")</f>
        <v>合肥拍来贷对我进行骚扰</v>
      </c>
      <c r="C18282" s="2" t="s">
        <v>9</v>
      </c>
      <c r="D18282" s="2" t="s">
        <v>10</v>
      </c>
      <c r="E18282" s="2" t="str">
        <f>HYPERLINK("http://ts.21cn.com/tousu/show/id/1350146","http://ts.21cn.com/tousu/show/id/1350146")</f>
        <v>http://ts.21cn.com/tousu/show/id/1350146</v>
      </c>
      <c r="F18282" s="2" t="s">
        <v>11</v>
      </c>
      <c r="G18282" s="2" t="s">
        <v>8230</v>
      </c>
      <c r="H18282" s="2" t="s">
        <v>8231</v>
      </c>
    </row>
    <row r="18283" spans="1:8" ht="25.05" customHeight="1" x14ac:dyDescent="0.25">
      <c r="A18283" s="2" t="s">
        <v>8</v>
      </c>
      <c r="B18283" s="2" t="str">
        <f>HYPERLINK("http://ts.21cn.com/tousu/show/id/1350142","我的首期什么时候退给我？")</f>
        <v>我的首期什么时候退给我？</v>
      </c>
      <c r="C18283" s="2" t="s">
        <v>9</v>
      </c>
      <c r="D18283" s="2" t="s">
        <v>10</v>
      </c>
      <c r="E18283" s="2" t="str">
        <f>HYPERLINK("http://ts.21cn.com/tousu/show/id/1350142","http://ts.21cn.com/tousu/show/id/1350142")</f>
        <v>http://ts.21cn.com/tousu/show/id/1350142</v>
      </c>
      <c r="F18283" s="2" t="s">
        <v>11</v>
      </c>
      <c r="G18283" s="2" t="s">
        <v>8228</v>
      </c>
      <c r="H18283" s="2" t="s">
        <v>8229</v>
      </c>
    </row>
    <row r="18284" spans="1:8" ht="25.05" customHeight="1" x14ac:dyDescent="0.25">
      <c r="A18284" s="2" t="s">
        <v>8</v>
      </c>
      <c r="B18284" s="2" t="str">
        <f>HYPERLINK("http://ts.21cn.com/tousu/show/id/1350144","我也提前跟客服沟通过说延期还款 可她们每隔半小时就给我打电话")</f>
        <v>我也提前跟客服沟通过说延期还款 可她们每隔半小时就给我打电话</v>
      </c>
      <c r="C18284" s="2" t="s">
        <v>34</v>
      </c>
      <c r="D18284" s="2" t="s">
        <v>10</v>
      </c>
      <c r="E18284" s="2" t="str">
        <f>HYPERLINK("http://ts.21cn.com/tousu/show/id/1350144","http://ts.21cn.com/tousu/show/id/1350144")</f>
        <v>http://ts.21cn.com/tousu/show/id/1350144</v>
      </c>
      <c r="F18284" s="2" t="s">
        <v>11</v>
      </c>
      <c r="G18284" s="2" t="s">
        <v>8226</v>
      </c>
      <c r="H18284" s="2" t="s">
        <v>8227</v>
      </c>
    </row>
    <row r="18285" spans="1:8" ht="25.05" customHeight="1" x14ac:dyDescent="0.25">
      <c r="A18285" s="2" t="s">
        <v>8</v>
      </c>
      <c r="B18285" s="2" t="str">
        <f>HYPERLINK("http://ts.21cn.com/tousu/show/id/1350147","恶意扣款")</f>
        <v>恶意扣款</v>
      </c>
      <c r="C18285" s="2" t="s">
        <v>9</v>
      </c>
      <c r="D18285" s="2" t="s">
        <v>10</v>
      </c>
      <c r="E18285" s="2" t="str">
        <f>HYPERLINK("http://ts.21cn.com/tousu/show/id/1350147","http://ts.21cn.com/tousu/show/id/1350147")</f>
        <v>http://ts.21cn.com/tousu/show/id/1350147</v>
      </c>
      <c r="F18285" s="2" t="s">
        <v>11</v>
      </c>
      <c r="G18285" s="2" t="s">
        <v>8224</v>
      </c>
      <c r="H18285" s="2" t="s">
        <v>8225</v>
      </c>
    </row>
    <row r="18286" spans="1:8" ht="25.05" customHeight="1" x14ac:dyDescent="0.25">
      <c r="A18286" s="2" t="s">
        <v>8</v>
      </c>
      <c r="B18286" s="2" t="str">
        <f>HYPERLINK("http://ts.21cn.com/tousu/show/id/1350148","圆通快递广东省深圳市振兴路公司卖假货")</f>
        <v>圆通快递广东省深圳市振兴路公司卖假货</v>
      </c>
      <c r="C18286" s="2" t="s">
        <v>9</v>
      </c>
      <c r="D18286" s="2" t="s">
        <v>10</v>
      </c>
      <c r="E18286" s="2" t="str">
        <f>HYPERLINK("http://ts.21cn.com/tousu/show/id/1350148","http://ts.21cn.com/tousu/show/id/1350148")</f>
        <v>http://ts.21cn.com/tousu/show/id/1350148</v>
      </c>
      <c r="F18286" s="2" t="s">
        <v>11</v>
      </c>
      <c r="G18286" s="2" t="s">
        <v>8222</v>
      </c>
      <c r="H18286" s="2" t="s">
        <v>8223</v>
      </c>
    </row>
    <row r="18287" spans="1:8" ht="25.05" customHeight="1" x14ac:dyDescent="0.25">
      <c r="A18287" s="2" t="s">
        <v>8</v>
      </c>
      <c r="B18287" s="2" t="str">
        <f>HYPERLINK("http://ts.21cn.com/tousu/show/id/1303386","信用星球砍头息")</f>
        <v>信用星球砍头息</v>
      </c>
      <c r="C18287" s="2" t="s">
        <v>34</v>
      </c>
      <c r="D18287" s="2" t="s">
        <v>10</v>
      </c>
      <c r="E18287" s="2" t="str">
        <f>HYPERLINK("http://ts.21cn.com/tousu/show/id/1303386","http://ts.21cn.com/tousu/show/id/1303386")</f>
        <v>http://ts.21cn.com/tousu/show/id/1303386</v>
      </c>
      <c r="F18287" s="2" t="s">
        <v>11</v>
      </c>
      <c r="G18287" s="2" t="s">
        <v>8220</v>
      </c>
      <c r="H18287" s="2" t="s">
        <v>8221</v>
      </c>
    </row>
    <row r="18288" spans="1:8" ht="25.05" customHeight="1" x14ac:dyDescent="0.25">
      <c r="A18288" s="2" t="s">
        <v>8</v>
      </c>
      <c r="B18288" s="2" t="str">
        <f>HYPERLINK("http://ts.21cn.com/tousu/show/id/1350149","钱站高利贷阴阳合同")</f>
        <v>钱站高利贷阴阳合同</v>
      </c>
      <c r="C18288" s="2" t="s">
        <v>9</v>
      </c>
      <c r="D18288" s="2" t="s">
        <v>10</v>
      </c>
      <c r="E18288" s="2" t="str">
        <f>HYPERLINK("http://ts.21cn.com/tousu/show/id/1350149","http://ts.21cn.com/tousu/show/id/1350149")</f>
        <v>http://ts.21cn.com/tousu/show/id/1350149</v>
      </c>
      <c r="F18288" s="2" t="s">
        <v>11</v>
      </c>
      <c r="G18288" s="2" t="s">
        <v>8218</v>
      </c>
      <c r="H18288" s="2" t="s">
        <v>8219</v>
      </c>
    </row>
    <row r="18289" spans="1:8" ht="25.05" customHeight="1" x14ac:dyDescent="0.25">
      <c r="A18289" s="2" t="s">
        <v>8</v>
      </c>
      <c r="B18289" s="2" t="str">
        <f>HYPERLINK("http://ts.21cn.com/tousu/show/id/1350151","恶意催收，恐吓威胁")</f>
        <v>恶意催收，恐吓威胁</v>
      </c>
      <c r="C18289" s="2" t="s">
        <v>9</v>
      </c>
      <c r="D18289" s="2" t="s">
        <v>10</v>
      </c>
      <c r="E18289" s="2" t="str">
        <f>HYPERLINK("http://ts.21cn.com/tousu/show/id/1350151","http://ts.21cn.com/tousu/show/id/1350151")</f>
        <v>http://ts.21cn.com/tousu/show/id/1350151</v>
      </c>
      <c r="F18289" s="2" t="s">
        <v>11</v>
      </c>
      <c r="G18289" s="2" t="s">
        <v>8216</v>
      </c>
      <c r="H18289" s="2" t="s">
        <v>8217</v>
      </c>
    </row>
    <row r="18290" spans="1:8" ht="25.05" customHeight="1" x14ac:dyDescent="0.25">
      <c r="A18290" s="2" t="s">
        <v>8</v>
      </c>
      <c r="B18290" s="2" t="str">
        <f>HYPERLINK("http://ts.21cn.com/tousu/show/id/1350152","的士联盟乘客不付款")</f>
        <v>的士联盟乘客不付款</v>
      </c>
      <c r="C18290" s="2" t="s">
        <v>9</v>
      </c>
      <c r="D18290" s="2" t="s">
        <v>10</v>
      </c>
      <c r="E18290" s="2" t="str">
        <f>HYPERLINK("http://ts.21cn.com/tousu/show/id/1350152","http://ts.21cn.com/tousu/show/id/1350152")</f>
        <v>http://ts.21cn.com/tousu/show/id/1350152</v>
      </c>
      <c r="F18290" s="2" t="s">
        <v>11</v>
      </c>
      <c r="G18290" s="2" t="s">
        <v>8214</v>
      </c>
      <c r="H18290" s="2" t="s">
        <v>8215</v>
      </c>
    </row>
    <row r="18291" spans="1:8" ht="25.05" customHeight="1" x14ac:dyDescent="0.25">
      <c r="A18291" s="2" t="s">
        <v>8</v>
      </c>
      <c r="B18291" s="2" t="str">
        <f>HYPERLINK("http://ts.21cn.com/tousu/show/id/1350154","闪电借款高利贷、砍头息、")</f>
        <v>闪电借款高利贷、砍头息、</v>
      </c>
      <c r="C18291" s="2" t="s">
        <v>9</v>
      </c>
      <c r="D18291" s="2" t="s">
        <v>10</v>
      </c>
      <c r="E18291" s="2" t="str">
        <f>HYPERLINK("http://ts.21cn.com/tousu/show/id/1350154","http://ts.21cn.com/tousu/show/id/1350154")</f>
        <v>http://ts.21cn.com/tousu/show/id/1350154</v>
      </c>
      <c r="F18291" s="2" t="s">
        <v>11</v>
      </c>
      <c r="G18291" s="2" t="s">
        <v>8212</v>
      </c>
      <c r="H18291" s="2" t="s">
        <v>8213</v>
      </c>
    </row>
    <row r="18292" spans="1:8" ht="25.05" customHeight="1" x14ac:dyDescent="0.25">
      <c r="A18292" s="2" t="s">
        <v>8</v>
      </c>
      <c r="B18292" s="2" t="str">
        <f>HYPERLINK("http://ts.21cn.com/tousu/show/id/1350153","友信信贷在未逾期的时间内对借款人进行暴力催收")</f>
        <v>友信信贷在未逾期的时间内对借款人进行暴力催收</v>
      </c>
      <c r="C18292" s="2" t="s">
        <v>9</v>
      </c>
      <c r="D18292" s="2" t="s">
        <v>10</v>
      </c>
      <c r="E18292" s="2" t="str">
        <f>HYPERLINK("http://ts.21cn.com/tousu/show/id/1350153","http://ts.21cn.com/tousu/show/id/1350153")</f>
        <v>http://ts.21cn.com/tousu/show/id/1350153</v>
      </c>
      <c r="F18292" s="2" t="s">
        <v>11</v>
      </c>
      <c r="G18292" s="2" t="s">
        <v>8210</v>
      </c>
      <c r="H18292" s="2" t="s">
        <v>8211</v>
      </c>
    </row>
    <row r="18293" spans="1:8" ht="25.05" customHeight="1" x14ac:dyDescent="0.25">
      <c r="A18293" s="2" t="s">
        <v>8</v>
      </c>
      <c r="B18293" s="2" t="str">
        <f>HYPERLINK("http://ts.21cn.com/tousu/show/id/1350155","么么钱包贷借着保险乱收费")</f>
        <v>么么钱包贷借着保险乱收费</v>
      </c>
      <c r="C18293" s="2" t="s">
        <v>9</v>
      </c>
      <c r="D18293" s="2" t="s">
        <v>10</v>
      </c>
      <c r="E18293" s="2" t="str">
        <f>HYPERLINK("http://ts.21cn.com/tousu/show/id/1350155","http://ts.21cn.com/tousu/show/id/1350155")</f>
        <v>http://ts.21cn.com/tousu/show/id/1350155</v>
      </c>
      <c r="F18293" s="2" t="s">
        <v>11</v>
      </c>
      <c r="G18293" s="2" t="s">
        <v>8207</v>
      </c>
      <c r="H18293" s="2" t="s">
        <v>8208</v>
      </c>
    </row>
    <row r="18294" spans="1:8" ht="25.05" customHeight="1" x14ac:dyDescent="0.25">
      <c r="A18294" s="2" t="s">
        <v>8</v>
      </c>
      <c r="B18294" s="2" t="str">
        <f>HYPERLINK("http://ts.21cn.com/tousu/show/id/1348574","拉卡拉恶意冻结我的钱，关闭店铺，商户号也无效了，店铺也解绑了")</f>
        <v>拉卡拉恶意冻结我的钱，关闭店铺，商户号也无效了，店铺也解绑了</v>
      </c>
      <c r="C18294" s="2" t="s">
        <v>9</v>
      </c>
      <c r="D18294" s="2" t="s">
        <v>10</v>
      </c>
      <c r="E18294" s="2" t="str">
        <f>HYPERLINK("http://ts.21cn.com/tousu/show/id/1348574","http://ts.21cn.com/tousu/show/id/1348574")</f>
        <v>http://ts.21cn.com/tousu/show/id/1348574</v>
      </c>
      <c r="F18294" s="2" t="s">
        <v>11</v>
      </c>
      <c r="G18294" s="2" t="s">
        <v>8207</v>
      </c>
      <c r="H18294" s="2" t="s">
        <v>8209</v>
      </c>
    </row>
    <row r="18295" spans="1:8" ht="25.05" customHeight="1" x14ac:dyDescent="0.25">
      <c r="A18295" s="2" t="s">
        <v>8</v>
      </c>
      <c r="B18295" s="2" t="str">
        <f>HYPERLINK("http://ts.21cn.com/tousu/show/id/1350157","恐吓威胁")</f>
        <v>恐吓威胁</v>
      </c>
      <c r="C18295" s="2" t="s">
        <v>9</v>
      </c>
      <c r="D18295" s="2" t="s">
        <v>10</v>
      </c>
      <c r="E18295" s="2" t="str">
        <f>HYPERLINK("http://ts.21cn.com/tousu/show/id/1350157","http://ts.21cn.com/tousu/show/id/1350157")</f>
        <v>http://ts.21cn.com/tousu/show/id/1350157</v>
      </c>
      <c r="F18295" s="2" t="s">
        <v>11</v>
      </c>
      <c r="G18295" s="2" t="s">
        <v>8205</v>
      </c>
      <c r="H18295" s="2" t="s">
        <v>8206</v>
      </c>
    </row>
    <row r="18296" spans="1:8" ht="25.05" customHeight="1" x14ac:dyDescent="0.25">
      <c r="A18296" s="2" t="s">
        <v>8</v>
      </c>
      <c r="B18296" s="2" t="str">
        <f>HYPERLINK("http://ts.21cn.com/tousu/show/id/1350158","维信卡卡贷涉嫌高利率和砍头息")</f>
        <v>维信卡卡贷涉嫌高利率和砍头息</v>
      </c>
      <c r="C18296" s="2" t="s">
        <v>9</v>
      </c>
      <c r="D18296" s="2" t="s">
        <v>10</v>
      </c>
      <c r="E18296" s="2" t="str">
        <f>HYPERLINK("http://ts.21cn.com/tousu/show/id/1350158","http://ts.21cn.com/tousu/show/id/1350158")</f>
        <v>http://ts.21cn.com/tousu/show/id/1350158</v>
      </c>
      <c r="F18296" s="2" t="s">
        <v>11</v>
      </c>
      <c r="G18296" s="2" t="s">
        <v>8203</v>
      </c>
      <c r="H18296" s="2" t="s">
        <v>8204</v>
      </c>
    </row>
    <row r="18297" spans="1:8" ht="25.05" customHeight="1" x14ac:dyDescent="0.25">
      <c r="A18297" s="2" t="s">
        <v>8</v>
      </c>
      <c r="B18297" s="2" t="str">
        <f>HYPERLINK("http://ts.21cn.com/tousu/show/id/1350159","新橙优品网贷年利率高达百分百")</f>
        <v>新橙优品网贷年利率高达百分百</v>
      </c>
      <c r="C18297" s="2" t="s">
        <v>9</v>
      </c>
      <c r="D18297" s="2" t="s">
        <v>10</v>
      </c>
      <c r="E18297" s="2" t="str">
        <f>HYPERLINK("http://ts.21cn.com/tousu/show/id/1350159","http://ts.21cn.com/tousu/show/id/1350159")</f>
        <v>http://ts.21cn.com/tousu/show/id/1350159</v>
      </c>
      <c r="F18297" s="2" t="s">
        <v>11</v>
      </c>
      <c r="G18297" s="2" t="s">
        <v>8201</v>
      </c>
      <c r="H18297" s="2" t="s">
        <v>8202</v>
      </c>
    </row>
    <row r="18298" spans="1:8" ht="25.05" customHeight="1" x14ac:dyDescent="0.25">
      <c r="A18298" s="2" t="s">
        <v>8</v>
      </c>
      <c r="B18298" s="2" t="str">
        <f>HYPERLINK("http://ts.21cn.com/tousu/show/id/1350160","捷信态度恶劣，骚扰家人")</f>
        <v>捷信态度恶劣，骚扰家人</v>
      </c>
      <c r="C18298" s="2" t="s">
        <v>9</v>
      </c>
      <c r="D18298" s="2" t="s">
        <v>10</v>
      </c>
      <c r="E18298" s="2" t="str">
        <f>HYPERLINK("http://ts.21cn.com/tousu/show/id/1350160","http://ts.21cn.com/tousu/show/id/1350160")</f>
        <v>http://ts.21cn.com/tousu/show/id/1350160</v>
      </c>
      <c r="F18298" s="2" t="s">
        <v>11</v>
      </c>
      <c r="G18298" s="2" t="s">
        <v>8199</v>
      </c>
      <c r="H18298" s="2" t="s">
        <v>8200</v>
      </c>
    </row>
    <row r="18299" spans="1:8" ht="25.05" customHeight="1" x14ac:dyDescent="0.25">
      <c r="A18299" s="2" t="s">
        <v>8</v>
      </c>
      <c r="B18299" s="2" t="str">
        <f>HYPERLINK("http://ts.21cn.com/tousu/show/id/1350161","黑势力网贷无良商家高额利息强制性")</f>
        <v>黑势力网贷无良商家高额利息强制性</v>
      </c>
      <c r="C18299" s="2" t="s">
        <v>9</v>
      </c>
      <c r="D18299" s="2" t="s">
        <v>10</v>
      </c>
      <c r="E18299" s="2" t="str">
        <f>HYPERLINK("http://ts.21cn.com/tousu/show/id/1350161","http://ts.21cn.com/tousu/show/id/1350161")</f>
        <v>http://ts.21cn.com/tousu/show/id/1350161</v>
      </c>
      <c r="F18299" s="2" t="s">
        <v>11</v>
      </c>
      <c r="G18299" s="2" t="s">
        <v>8197</v>
      </c>
      <c r="H18299" s="2" t="s">
        <v>8198</v>
      </c>
    </row>
    <row r="18300" spans="1:8" ht="25.05" customHeight="1" x14ac:dyDescent="0.25">
      <c r="A18300" s="2" t="s">
        <v>8</v>
      </c>
      <c r="B18300" s="2" t="str">
        <f>HYPERLINK("http://ts.21cn.com/tousu/show/id/1350162","小赢轰炸本人手机")</f>
        <v>小赢轰炸本人手机</v>
      </c>
      <c r="C18300" s="2" t="s">
        <v>34</v>
      </c>
      <c r="D18300" s="2" t="s">
        <v>10</v>
      </c>
      <c r="E18300" s="2" t="str">
        <f>HYPERLINK("http://ts.21cn.com/tousu/show/id/1350162","http://ts.21cn.com/tousu/show/id/1350162")</f>
        <v>http://ts.21cn.com/tousu/show/id/1350162</v>
      </c>
      <c r="F18300" s="2" t="s">
        <v>11</v>
      </c>
      <c r="G18300" s="2" t="s">
        <v>8195</v>
      </c>
      <c r="H18300" s="2" t="s">
        <v>8196</v>
      </c>
    </row>
    <row r="18301" spans="1:8" ht="25.05" customHeight="1" x14ac:dyDescent="0.25">
      <c r="A18301" s="2" t="s">
        <v>8</v>
      </c>
      <c r="B18301" s="2" t="str">
        <f>HYPERLINK("http://ts.21cn.com/tousu/show/id/1350164","钱站阴阳合同")</f>
        <v>钱站阴阳合同</v>
      </c>
      <c r="C18301" s="2" t="s">
        <v>9</v>
      </c>
      <c r="D18301" s="2" t="s">
        <v>10</v>
      </c>
      <c r="E18301" s="2" t="str">
        <f>HYPERLINK("http://ts.21cn.com/tousu/show/id/1350164","http://ts.21cn.com/tousu/show/id/1350164")</f>
        <v>http://ts.21cn.com/tousu/show/id/1350164</v>
      </c>
      <c r="F18301" s="2" t="s">
        <v>11</v>
      </c>
      <c r="G18301" s="2" t="s">
        <v>8193</v>
      </c>
      <c r="H18301" s="2" t="s">
        <v>8194</v>
      </c>
    </row>
    <row r="18302" spans="1:8" ht="25.05" customHeight="1" x14ac:dyDescent="0.25">
      <c r="A18302" s="2" t="s">
        <v>8</v>
      </c>
      <c r="B18302" s="2" t="str">
        <f>HYPERLINK("http://ts.21cn.com/tousu/show/id/1350163","快易花爆力催收，协助爆通讯录")</f>
        <v>快易花爆力催收，协助爆通讯录</v>
      </c>
      <c r="C18302" s="2" t="s">
        <v>9</v>
      </c>
      <c r="D18302" s="2" t="s">
        <v>10</v>
      </c>
      <c r="E18302" s="2" t="str">
        <f>HYPERLINK("http://ts.21cn.com/tousu/show/id/1350163","http://ts.21cn.com/tousu/show/id/1350163")</f>
        <v>http://ts.21cn.com/tousu/show/id/1350163</v>
      </c>
      <c r="F18302" s="2" t="s">
        <v>11</v>
      </c>
      <c r="G18302" s="2" t="s">
        <v>8191</v>
      </c>
      <c r="H18302" s="2" t="s">
        <v>8192</v>
      </c>
    </row>
    <row r="18303" spans="1:8" ht="25.05" customHeight="1" x14ac:dyDescent="0.25">
      <c r="A18303" s="2" t="s">
        <v>8</v>
      </c>
      <c r="B18303" s="2" t="str">
        <f>HYPERLINK("http://ts.21cn.com/tousu/show/id/1346035","乐家易付为非法博彩平台提供支付通道")</f>
        <v>乐家易付为非法博彩平台提供支付通道</v>
      </c>
      <c r="C18303" s="2" t="s">
        <v>9</v>
      </c>
      <c r="D18303" s="2" t="s">
        <v>10</v>
      </c>
      <c r="E18303" s="2" t="str">
        <f>HYPERLINK("http://ts.21cn.com/tousu/show/id/1346035","http://ts.21cn.com/tousu/show/id/1346035")</f>
        <v>http://ts.21cn.com/tousu/show/id/1346035</v>
      </c>
      <c r="F18303" s="2" t="s">
        <v>11</v>
      </c>
      <c r="G18303" s="2" t="s">
        <v>8189</v>
      </c>
      <c r="H18303" s="2" t="s">
        <v>8190</v>
      </c>
    </row>
    <row r="18304" spans="1:8" ht="25.05" customHeight="1" x14ac:dyDescent="0.25">
      <c r="A18304" s="2" t="s">
        <v>8</v>
      </c>
      <c r="B18304" s="2" t="str">
        <f>HYPERLINK("http://ts.21cn.com/tousu/show/id/1350165","格力空调安装弄虚作假，以次充好")</f>
        <v>格力空调安装弄虚作假，以次充好</v>
      </c>
      <c r="C18304" s="2" t="s">
        <v>9</v>
      </c>
      <c r="D18304" s="2" t="s">
        <v>10</v>
      </c>
      <c r="E18304" s="2" t="str">
        <f>HYPERLINK("http://ts.21cn.com/tousu/show/id/1350165","http://ts.21cn.com/tousu/show/id/1350165")</f>
        <v>http://ts.21cn.com/tousu/show/id/1350165</v>
      </c>
      <c r="F18304" s="2" t="s">
        <v>11</v>
      </c>
      <c r="G18304" s="2" t="s">
        <v>8187</v>
      </c>
      <c r="H18304" s="2" t="s">
        <v>8188</v>
      </c>
    </row>
    <row r="18305" spans="1:8" ht="25.05" customHeight="1" x14ac:dyDescent="0.25">
      <c r="A18305" s="2" t="s">
        <v>8</v>
      </c>
      <c r="B18305" s="2" t="str">
        <f>HYPERLINK("http://ts.21cn.com/tousu/show/id/1350166","来分期还款日当天一直打电话催缴")</f>
        <v>来分期还款日当天一直打电话催缴</v>
      </c>
      <c r="C18305" s="2" t="s">
        <v>9</v>
      </c>
      <c r="D18305" s="2" t="s">
        <v>10</v>
      </c>
      <c r="E18305" s="2" t="str">
        <f>HYPERLINK("http://ts.21cn.com/tousu/show/id/1350166","http://ts.21cn.com/tousu/show/id/1350166")</f>
        <v>http://ts.21cn.com/tousu/show/id/1350166</v>
      </c>
      <c r="F18305" s="2" t="s">
        <v>11</v>
      </c>
      <c r="G18305" s="2" t="s">
        <v>8185</v>
      </c>
      <c r="H18305" s="2" t="s">
        <v>8186</v>
      </c>
    </row>
    <row r="18306" spans="1:8" ht="25.05" customHeight="1" x14ac:dyDescent="0.25">
      <c r="A18306" s="2" t="s">
        <v>8</v>
      </c>
      <c r="B18306" s="2" t="str">
        <f>HYPERLINK("http://ts.21cn.com/tousu/show/id/1350167","安逸花乱收费")</f>
        <v>安逸花乱收费</v>
      </c>
      <c r="C18306" s="2" t="s">
        <v>9</v>
      </c>
      <c r="D18306" s="2" t="s">
        <v>10</v>
      </c>
      <c r="E18306" s="2" t="str">
        <f>HYPERLINK("http://ts.21cn.com/tousu/show/id/1350167","http://ts.21cn.com/tousu/show/id/1350167")</f>
        <v>http://ts.21cn.com/tousu/show/id/1350167</v>
      </c>
      <c r="F18306" s="2" t="s">
        <v>11</v>
      </c>
      <c r="G18306" s="2" t="s">
        <v>8183</v>
      </c>
      <c r="H18306" s="2" t="s">
        <v>8184</v>
      </c>
    </row>
    <row r="18307" spans="1:8" ht="25.05" customHeight="1" x14ac:dyDescent="0.25">
      <c r="A18307" s="2" t="s">
        <v>8</v>
      </c>
      <c r="B18307" s="2" t="str">
        <f>HYPERLINK("http://ts.21cn.com/tousu/show/id/1350168","耳麦存在质量问题，网易不同意退货")</f>
        <v>耳麦存在质量问题，网易不同意退货</v>
      </c>
      <c r="C18307" s="2" t="s">
        <v>9</v>
      </c>
      <c r="D18307" s="2" t="s">
        <v>10</v>
      </c>
      <c r="E18307" s="2" t="str">
        <f>HYPERLINK("http://ts.21cn.com/tousu/show/id/1350168","http://ts.21cn.com/tousu/show/id/1350168")</f>
        <v>http://ts.21cn.com/tousu/show/id/1350168</v>
      </c>
      <c r="F18307" s="2" t="s">
        <v>11</v>
      </c>
      <c r="G18307" s="2" t="s">
        <v>8181</v>
      </c>
      <c r="H18307" s="2" t="s">
        <v>8182</v>
      </c>
    </row>
    <row r="18308" spans="1:8" ht="25.05" customHeight="1" x14ac:dyDescent="0.25">
      <c r="A18308" s="2" t="s">
        <v>8</v>
      </c>
      <c r="B18308" s="2" t="str">
        <f>HYPERLINK("http://ts.21cn.com/tousu/show/id/1350169","说明情况后还是不停打电话")</f>
        <v>说明情况后还是不停打电话</v>
      </c>
      <c r="C18308" s="2" t="s">
        <v>9</v>
      </c>
      <c r="D18308" s="2" t="s">
        <v>10</v>
      </c>
      <c r="E18308" s="2" t="str">
        <f>HYPERLINK("http://ts.21cn.com/tousu/show/id/1350169","http://ts.21cn.com/tousu/show/id/1350169")</f>
        <v>http://ts.21cn.com/tousu/show/id/1350169</v>
      </c>
      <c r="F18308" s="2" t="s">
        <v>11</v>
      </c>
      <c r="G18308" s="2" t="s">
        <v>8179</v>
      </c>
      <c r="H18308" s="2" t="s">
        <v>8180</v>
      </c>
    </row>
    <row r="18309" spans="1:8" ht="25.05" customHeight="1" x14ac:dyDescent="0.25">
      <c r="A18309" s="2" t="s">
        <v>8</v>
      </c>
      <c r="B18309" s="2" t="str">
        <f>HYPERLINK("http://ts.21cn.com/tousu/show/id/1350172","卖家出售虚假卡密，平台不处理，且联系不到平台客服")</f>
        <v>卖家出售虚假卡密，平台不处理，且联系不到平台客服</v>
      </c>
      <c r="C18309" s="2" t="s">
        <v>9</v>
      </c>
      <c r="D18309" s="2" t="s">
        <v>10</v>
      </c>
      <c r="E18309" s="2" t="str">
        <f>HYPERLINK("http://ts.21cn.com/tousu/show/id/1350172","http://ts.21cn.com/tousu/show/id/1350172")</f>
        <v>http://ts.21cn.com/tousu/show/id/1350172</v>
      </c>
      <c r="F18309" s="2" t="s">
        <v>11</v>
      </c>
      <c r="G18309" s="2" t="s">
        <v>8177</v>
      </c>
      <c r="H18309" s="2" t="s">
        <v>8178</v>
      </c>
    </row>
    <row r="18310" spans="1:8" ht="25.05" customHeight="1" x14ac:dyDescent="0.25">
      <c r="A18310" s="2" t="s">
        <v>8</v>
      </c>
      <c r="B18310" s="2" t="str">
        <f>HYPERLINK("http://ts.21cn.com/tousu/show/id/1350170","押金退款")</f>
        <v>押金退款</v>
      </c>
      <c r="C18310" s="2" t="s">
        <v>34</v>
      </c>
      <c r="D18310" s="2" t="s">
        <v>10</v>
      </c>
      <c r="E18310" s="2" t="str">
        <f>HYPERLINK("http://ts.21cn.com/tousu/show/id/1350170","http://ts.21cn.com/tousu/show/id/1350170")</f>
        <v>http://ts.21cn.com/tousu/show/id/1350170</v>
      </c>
      <c r="F18310" s="2" t="s">
        <v>11</v>
      </c>
      <c r="G18310" s="2" t="s">
        <v>8175</v>
      </c>
      <c r="H18310" s="2" t="s">
        <v>8176</v>
      </c>
    </row>
    <row r="18311" spans="1:8" ht="25.05" customHeight="1" x14ac:dyDescent="0.25">
      <c r="A18311" s="2" t="s">
        <v>8</v>
      </c>
      <c r="B18311" s="2" t="str">
        <f>HYPERLINK("http://ts.21cn.com/tousu/show/id/1350171","拍拍贷套路大曝光，建议媒体曝光，上报国家机构")</f>
        <v>拍拍贷套路大曝光，建议媒体曝光，上报国家机构</v>
      </c>
      <c r="C18311" s="2" t="s">
        <v>9</v>
      </c>
      <c r="D18311" s="2" t="s">
        <v>10</v>
      </c>
      <c r="E18311" s="2" t="str">
        <f>HYPERLINK("http://ts.21cn.com/tousu/show/id/1350171","http://ts.21cn.com/tousu/show/id/1350171")</f>
        <v>http://ts.21cn.com/tousu/show/id/1350171</v>
      </c>
      <c r="F18311" s="2" t="s">
        <v>11</v>
      </c>
      <c r="G18311" s="2" t="s">
        <v>8173</v>
      </c>
      <c r="H18311" s="2" t="s">
        <v>8174</v>
      </c>
    </row>
    <row r="18312" spans="1:8" ht="25.05" customHeight="1" x14ac:dyDescent="0.25">
      <c r="A18312" s="2" t="s">
        <v>8</v>
      </c>
      <c r="B18312" s="2" t="str">
        <f>HYPERLINK("http://ts.21cn.com/tousu/show/id/1350173","新橙优品砍头息高利贷还款失败客服联系不上第二天就骚扰")</f>
        <v>新橙优品砍头息高利贷还款失败客服联系不上第二天就骚扰</v>
      </c>
      <c r="C18312" s="2" t="s">
        <v>9</v>
      </c>
      <c r="D18312" s="2" t="s">
        <v>10</v>
      </c>
      <c r="E18312" s="2" t="str">
        <f>HYPERLINK("http://ts.21cn.com/tousu/show/id/1350173","http://ts.21cn.com/tousu/show/id/1350173")</f>
        <v>http://ts.21cn.com/tousu/show/id/1350173</v>
      </c>
      <c r="F18312" s="2" t="s">
        <v>11</v>
      </c>
      <c r="G18312" s="2" t="s">
        <v>8171</v>
      </c>
      <c r="H18312" s="2" t="s">
        <v>8172</v>
      </c>
    </row>
    <row r="18313" spans="1:8" ht="25.05" customHeight="1" x14ac:dyDescent="0.25">
      <c r="A18313" s="2" t="s">
        <v>8</v>
      </c>
      <c r="B18313" s="2" t="str">
        <f>HYPERLINK("http://ts.21cn.com/tousu/show/id/1350174","淘集集购物平台恶意拖欠商家货款，严重违反了合约条款")</f>
        <v>淘集集购物平台恶意拖欠商家货款，严重违反了合约条款</v>
      </c>
      <c r="C18313" s="2" t="s">
        <v>9</v>
      </c>
      <c r="D18313" s="2" t="s">
        <v>10</v>
      </c>
      <c r="E18313" s="2" t="str">
        <f>HYPERLINK("http://ts.21cn.com/tousu/show/id/1350174","http://ts.21cn.com/tousu/show/id/1350174")</f>
        <v>http://ts.21cn.com/tousu/show/id/1350174</v>
      </c>
      <c r="F18313" s="2" t="s">
        <v>11</v>
      </c>
      <c r="G18313" s="2" t="s">
        <v>8169</v>
      </c>
      <c r="H18313" s="2" t="s">
        <v>8170</v>
      </c>
    </row>
    <row r="18314" spans="1:8" ht="25.05" customHeight="1" x14ac:dyDescent="0.25">
      <c r="A18314" s="2" t="s">
        <v>8</v>
      </c>
      <c r="B18314" s="2" t="str">
        <f>HYPERLINK("http://ts.21cn.com/tousu/show/id/1350175","浦发银行催收人员暴力催收、威胁、恐吓、上门闹事")</f>
        <v>浦发银行催收人员暴力催收、威胁、恐吓、上门闹事</v>
      </c>
      <c r="C18314" s="2" t="s">
        <v>9</v>
      </c>
      <c r="D18314" s="2" t="s">
        <v>10</v>
      </c>
      <c r="E18314" s="2" t="str">
        <f>HYPERLINK("http://ts.21cn.com/tousu/show/id/1350175","http://ts.21cn.com/tousu/show/id/1350175")</f>
        <v>http://ts.21cn.com/tousu/show/id/1350175</v>
      </c>
      <c r="F18314" s="2" t="s">
        <v>11</v>
      </c>
      <c r="G18314" s="2" t="s">
        <v>8167</v>
      </c>
      <c r="H18314" s="2" t="s">
        <v>8168</v>
      </c>
    </row>
    <row r="18315" spans="1:8" ht="25.05" customHeight="1" x14ac:dyDescent="0.25">
      <c r="A18315" s="2" t="s">
        <v>8</v>
      </c>
      <c r="B18315" s="2" t="str">
        <f>HYPERLINK("http://ts.21cn.com/tousu/show/id/1350176","招联金融暴力催收，多次致电骚扰事务局办公电话及单位办公电话")</f>
        <v>招联金融暴力催收，多次致电骚扰事务局办公电话及单位办公电话</v>
      </c>
      <c r="C18315" s="2" t="s">
        <v>9</v>
      </c>
      <c r="D18315" s="2" t="s">
        <v>10</v>
      </c>
      <c r="E18315" s="2" t="str">
        <f>HYPERLINK("http://ts.21cn.com/tousu/show/id/1350176","http://ts.21cn.com/tousu/show/id/1350176")</f>
        <v>http://ts.21cn.com/tousu/show/id/1350176</v>
      </c>
      <c r="F18315" s="2" t="s">
        <v>11</v>
      </c>
      <c r="G18315" s="2" t="s">
        <v>8165</v>
      </c>
      <c r="H18315" s="2" t="s">
        <v>8166</v>
      </c>
    </row>
    <row r="18316" spans="1:8" ht="25.05" customHeight="1" x14ac:dyDescent="0.25">
      <c r="A18316" s="2" t="s">
        <v>8</v>
      </c>
      <c r="B18316" s="2" t="str">
        <f>HYPERLINK("http://ts.21cn.com/tousu/show/id/1350178","苏宁金融威胁要报案")</f>
        <v>苏宁金融威胁要报案</v>
      </c>
      <c r="C18316" s="2" t="s">
        <v>9</v>
      </c>
      <c r="D18316" s="2" t="s">
        <v>10</v>
      </c>
      <c r="E18316" s="2" t="str">
        <f>HYPERLINK("http://ts.21cn.com/tousu/show/id/1350178","http://ts.21cn.com/tousu/show/id/1350178")</f>
        <v>http://ts.21cn.com/tousu/show/id/1350178</v>
      </c>
      <c r="F18316" s="2" t="s">
        <v>11</v>
      </c>
      <c r="G18316" s="2" t="s">
        <v>8163</v>
      </c>
      <c r="H18316" s="2" t="s">
        <v>8164</v>
      </c>
    </row>
    <row r="18317" spans="1:8" ht="25.05" customHeight="1" x14ac:dyDescent="0.25">
      <c r="A18317" s="2" t="s">
        <v>8</v>
      </c>
      <c r="B18317" s="2" t="str">
        <f>HYPERLINK("http://ts.21cn.com/tousu/show/id/1350179","恶意扣除砍头息")</f>
        <v>恶意扣除砍头息</v>
      </c>
      <c r="C18317" s="2" t="s">
        <v>34</v>
      </c>
      <c r="D18317" s="2" t="s">
        <v>10</v>
      </c>
      <c r="E18317" s="2" t="str">
        <f>HYPERLINK("http://ts.21cn.com/tousu/show/id/1350179","http://ts.21cn.com/tousu/show/id/1350179")</f>
        <v>http://ts.21cn.com/tousu/show/id/1350179</v>
      </c>
      <c r="F18317" s="2" t="s">
        <v>11</v>
      </c>
      <c r="G18317" s="2" t="s">
        <v>8161</v>
      </c>
      <c r="H18317" s="2" t="s">
        <v>8162</v>
      </c>
    </row>
    <row r="18318" spans="1:8" ht="25.05" customHeight="1" x14ac:dyDescent="0.25">
      <c r="A18318" s="2" t="s">
        <v>8</v>
      </c>
      <c r="B18318" s="2" t="str">
        <f>HYPERLINK("http://ts.21cn.com/tousu/show/id/1350177","联动优势辽宁乱扣款，扣取本人16748元人民币")</f>
        <v>联动优势辽宁乱扣款，扣取本人16748元人民币</v>
      </c>
      <c r="C18318" s="2" t="s">
        <v>9</v>
      </c>
      <c r="D18318" s="2" t="s">
        <v>10</v>
      </c>
      <c r="E18318" s="2" t="str">
        <f>HYPERLINK("http://ts.21cn.com/tousu/show/id/1350177","http://ts.21cn.com/tousu/show/id/1350177")</f>
        <v>http://ts.21cn.com/tousu/show/id/1350177</v>
      </c>
      <c r="F18318" s="2" t="s">
        <v>11</v>
      </c>
      <c r="G18318" s="2" t="s">
        <v>8159</v>
      </c>
      <c r="H18318" s="2" t="s">
        <v>8160</v>
      </c>
    </row>
    <row r="18319" spans="1:8" ht="25.05" customHeight="1" x14ac:dyDescent="0.25">
      <c r="A18319" s="2" t="s">
        <v>8</v>
      </c>
      <c r="B18319" s="2" t="str">
        <f>HYPERLINK("http://ts.21cn.com/tousu/show/id/1350180","黑心凡普金科坑内部员工")</f>
        <v>黑心凡普金科坑内部员工</v>
      </c>
      <c r="C18319" s="2" t="s">
        <v>9</v>
      </c>
      <c r="D18319" s="2" t="s">
        <v>10</v>
      </c>
      <c r="E18319" s="2" t="str">
        <f>HYPERLINK("http://ts.21cn.com/tousu/show/id/1350180","http://ts.21cn.com/tousu/show/id/1350180")</f>
        <v>http://ts.21cn.com/tousu/show/id/1350180</v>
      </c>
      <c r="F18319" s="2" t="s">
        <v>11</v>
      </c>
      <c r="G18319" s="2" t="s">
        <v>8157</v>
      </c>
      <c r="H18319" s="2" t="s">
        <v>8158</v>
      </c>
    </row>
    <row r="18320" spans="1:8" ht="25.05" customHeight="1" x14ac:dyDescent="0.25">
      <c r="A18320" s="2" t="s">
        <v>8</v>
      </c>
      <c r="B18320" s="2" t="str">
        <f>HYPERLINK("http://ts.21cn.com/tousu/show/id/1350185","友信高利贷，未逾期电话轰炸")</f>
        <v>友信高利贷，未逾期电话轰炸</v>
      </c>
      <c r="C18320" s="2" t="s">
        <v>9</v>
      </c>
      <c r="D18320" s="2" t="s">
        <v>10</v>
      </c>
      <c r="E18320" s="2" t="str">
        <f>HYPERLINK("http://ts.21cn.com/tousu/show/id/1350185","http://ts.21cn.com/tousu/show/id/1350185")</f>
        <v>http://ts.21cn.com/tousu/show/id/1350185</v>
      </c>
      <c r="F18320" s="2" t="s">
        <v>11</v>
      </c>
      <c r="G18320" s="2" t="s">
        <v>8155</v>
      </c>
      <c r="H18320" s="2" t="s">
        <v>8156</v>
      </c>
    </row>
    <row r="18321" spans="1:8" ht="25.05" customHeight="1" x14ac:dyDescent="0.25">
      <c r="A18321" s="2" t="s">
        <v>8</v>
      </c>
      <c r="B18321" s="2" t="str">
        <f>HYPERLINK("http://ts.21cn.com/tousu/show/id/1350181","爱又米恐吓催收")</f>
        <v>爱又米恐吓催收</v>
      </c>
      <c r="C18321" s="2" t="s">
        <v>9</v>
      </c>
      <c r="D18321" s="2" t="s">
        <v>10</v>
      </c>
      <c r="E18321" s="2" t="str">
        <f>HYPERLINK("http://ts.21cn.com/tousu/show/id/1350181","http://ts.21cn.com/tousu/show/id/1350181")</f>
        <v>http://ts.21cn.com/tousu/show/id/1350181</v>
      </c>
      <c r="F18321" s="2" t="s">
        <v>11</v>
      </c>
      <c r="G18321" s="2" t="s">
        <v>8153</v>
      </c>
      <c r="H18321" s="2" t="s">
        <v>8154</v>
      </c>
    </row>
    <row r="18322" spans="1:8" ht="25.05" customHeight="1" x14ac:dyDescent="0.25">
      <c r="A18322" s="2" t="s">
        <v>8</v>
      </c>
      <c r="B18322" s="2" t="str">
        <f>HYPERLINK("http://ts.21cn.com/tousu/show/id/1350182","被催收")</f>
        <v>被催收</v>
      </c>
      <c r="C18322" s="2" t="s">
        <v>9</v>
      </c>
      <c r="D18322" s="2" t="s">
        <v>10</v>
      </c>
      <c r="E18322" s="2" t="str">
        <f>HYPERLINK("http://ts.21cn.com/tousu/show/id/1350182","http://ts.21cn.com/tousu/show/id/1350182")</f>
        <v>http://ts.21cn.com/tousu/show/id/1350182</v>
      </c>
      <c r="F18322" s="2" t="s">
        <v>11</v>
      </c>
      <c r="G18322" s="2" t="s">
        <v>8151</v>
      </c>
      <c r="H18322" s="2" t="s">
        <v>8152</v>
      </c>
    </row>
    <row r="18323" spans="1:8" ht="25.05" customHeight="1" x14ac:dyDescent="0.25">
      <c r="A18323" s="2" t="s">
        <v>8</v>
      </c>
      <c r="B18323" s="2" t="str">
        <f>HYPERLINK("http://ts.21cn.com/tousu/show/id/1350183","魔借砍头息")</f>
        <v>魔借砍头息</v>
      </c>
      <c r="C18323" s="2" t="s">
        <v>9</v>
      </c>
      <c r="D18323" s="2" t="s">
        <v>10</v>
      </c>
      <c r="E18323" s="2" t="str">
        <f>HYPERLINK("http://ts.21cn.com/tousu/show/id/1350183","http://ts.21cn.com/tousu/show/id/1350183")</f>
        <v>http://ts.21cn.com/tousu/show/id/1350183</v>
      </c>
      <c r="F18323" s="2" t="s">
        <v>11</v>
      </c>
      <c r="G18323" s="2" t="s">
        <v>8149</v>
      </c>
      <c r="H18323" s="2" t="s">
        <v>8150</v>
      </c>
    </row>
    <row r="18324" spans="1:8" ht="25.05" customHeight="1" x14ac:dyDescent="0.25">
      <c r="A18324" s="2" t="s">
        <v>8</v>
      </c>
      <c r="B18324" s="2" t="str">
        <f>HYPERLINK("http://ts.21cn.com/tousu/show/id/1350184","信而富砍头息，强制兜售虚假产品")</f>
        <v>信而富砍头息，强制兜售虚假产品</v>
      </c>
      <c r="C18324" s="2" t="s">
        <v>9</v>
      </c>
      <c r="D18324" s="2" t="s">
        <v>10</v>
      </c>
      <c r="E18324" s="2" t="str">
        <f>HYPERLINK("http://ts.21cn.com/tousu/show/id/1350184","http://ts.21cn.com/tousu/show/id/1350184")</f>
        <v>http://ts.21cn.com/tousu/show/id/1350184</v>
      </c>
      <c r="F18324" s="2" t="s">
        <v>11</v>
      </c>
      <c r="G18324" s="2" t="s">
        <v>8147</v>
      </c>
      <c r="H18324" s="2" t="s">
        <v>8148</v>
      </c>
    </row>
    <row r="18325" spans="1:8" ht="25.05" customHeight="1" x14ac:dyDescent="0.25">
      <c r="A18325" s="2" t="s">
        <v>8</v>
      </c>
      <c r="B18325" s="2" t="str">
        <f>HYPERLINK("http://ts.21cn.com/tousu/show/id/1350186","智富汇普套路贷")</f>
        <v>智富汇普套路贷</v>
      </c>
      <c r="C18325" s="2" t="s">
        <v>9</v>
      </c>
      <c r="D18325" s="2" t="s">
        <v>10</v>
      </c>
      <c r="E18325" s="2" t="str">
        <f>HYPERLINK("http://ts.21cn.com/tousu/show/id/1350186","http://ts.21cn.com/tousu/show/id/1350186")</f>
        <v>http://ts.21cn.com/tousu/show/id/1350186</v>
      </c>
      <c r="F18325" s="2" t="s">
        <v>11</v>
      </c>
      <c r="G18325" s="2" t="s">
        <v>8145</v>
      </c>
      <c r="H18325" s="2" t="s">
        <v>8146</v>
      </c>
    </row>
    <row r="18326" spans="1:8" ht="25.05" customHeight="1" x14ac:dyDescent="0.25">
      <c r="A18326" s="2" t="s">
        <v>8</v>
      </c>
      <c r="B18326" s="2" t="str">
        <f>HYPERLINK("http://ts.21cn.com/tousu/show/id/1350188","拼多多商户为赌博平台收款")</f>
        <v>拼多多商户为赌博平台收款</v>
      </c>
      <c r="C18326" s="2" t="s">
        <v>9</v>
      </c>
      <c r="D18326" s="2" t="s">
        <v>10</v>
      </c>
      <c r="E18326" s="2" t="str">
        <f>HYPERLINK("http://ts.21cn.com/tousu/show/id/1350188","http://ts.21cn.com/tousu/show/id/1350188")</f>
        <v>http://ts.21cn.com/tousu/show/id/1350188</v>
      </c>
      <c r="F18326" s="2" t="s">
        <v>11</v>
      </c>
      <c r="G18326" s="2" t="s">
        <v>8143</v>
      </c>
      <c r="H18326" s="2" t="s">
        <v>8144</v>
      </c>
    </row>
    <row r="18327" spans="1:8" ht="25.05" customHeight="1" x14ac:dyDescent="0.25">
      <c r="A18327" s="2" t="s">
        <v>8</v>
      </c>
      <c r="B18327" s="2" t="str">
        <f>HYPERLINK("http://ts.21cn.com/tousu/show/id/1350190","宝付支付给非法商户提供非法扣费渠道，无缘无故扣我的款，损人利己！")</f>
        <v>宝付支付给非法商户提供非法扣费渠道，无缘无故扣我的款，损人利己！</v>
      </c>
      <c r="C18327" s="2" t="s">
        <v>9</v>
      </c>
      <c r="D18327" s="2" t="s">
        <v>10</v>
      </c>
      <c r="E18327" s="2" t="str">
        <f>HYPERLINK("http://ts.21cn.com/tousu/show/id/1350190","http://ts.21cn.com/tousu/show/id/1350190")</f>
        <v>http://ts.21cn.com/tousu/show/id/1350190</v>
      </c>
      <c r="F18327" s="2" t="s">
        <v>11</v>
      </c>
      <c r="G18327" s="2" t="s">
        <v>8141</v>
      </c>
      <c r="H18327" s="2" t="s">
        <v>8142</v>
      </c>
    </row>
    <row r="18328" spans="1:8" ht="25.05" customHeight="1" x14ac:dyDescent="0.25">
      <c r="A18328" s="2" t="s">
        <v>8</v>
      </c>
      <c r="B18328" s="2" t="str">
        <f>HYPERLINK("http://ts.21cn.com/tousu/show/id/1350193","交通银行信用卡催款是黑社会")</f>
        <v>交通银行信用卡催款是黑社会</v>
      </c>
      <c r="C18328" s="2" t="s">
        <v>9</v>
      </c>
      <c r="D18328" s="2" t="s">
        <v>10</v>
      </c>
      <c r="E18328" s="2" t="str">
        <f>HYPERLINK("http://ts.21cn.com/tousu/show/id/1350193","http://ts.21cn.com/tousu/show/id/1350193")</f>
        <v>http://ts.21cn.com/tousu/show/id/1350193</v>
      </c>
      <c r="F18328" s="2" t="s">
        <v>11</v>
      </c>
      <c r="G18328" s="2" t="s">
        <v>8139</v>
      </c>
      <c r="H18328" s="2" t="s">
        <v>8140</v>
      </c>
    </row>
    <row r="18329" spans="1:8" ht="25.05" customHeight="1" x14ac:dyDescent="0.25">
      <c r="A18329" s="2" t="s">
        <v>8</v>
      </c>
      <c r="B18329" s="2" t="str">
        <f>HYPERLINK("http://ts.21cn.com/tousu/show/id/1350192","辱骂，威胁，轰炸通讯录，爆短信")</f>
        <v>辱骂，威胁，轰炸通讯录，爆短信</v>
      </c>
      <c r="C18329" s="2" t="s">
        <v>9</v>
      </c>
      <c r="D18329" s="2" t="s">
        <v>10</v>
      </c>
      <c r="E18329" s="2" t="str">
        <f>HYPERLINK("http://ts.21cn.com/tousu/show/id/1350192","http://ts.21cn.com/tousu/show/id/1350192")</f>
        <v>http://ts.21cn.com/tousu/show/id/1350192</v>
      </c>
      <c r="F18329" s="2" t="s">
        <v>11</v>
      </c>
      <c r="G18329" s="2" t="s">
        <v>8137</v>
      </c>
      <c r="H18329" s="2" t="s">
        <v>8138</v>
      </c>
    </row>
    <row r="18330" spans="1:8" ht="25.05" customHeight="1" x14ac:dyDescent="0.25">
      <c r="A18330" s="2" t="s">
        <v>8</v>
      </c>
      <c r="B18330" s="2" t="str">
        <f>HYPERLINK("http://ts.21cn.com/tousu/show/id/1350195","易宝为高息网贷提供非法渠道通过易宝打款30万元我还款通过易宝还了50万多收了我15万的超额利息")</f>
        <v>易宝为高息网贷提供非法渠道通过易宝打款30万元我还款通过易宝还了50万多收了我15万的超额利息</v>
      </c>
      <c r="C18330" s="2" t="s">
        <v>9</v>
      </c>
      <c r="D18330" s="2" t="s">
        <v>10</v>
      </c>
      <c r="E18330" s="2" t="str">
        <f>HYPERLINK("http://ts.21cn.com/tousu/show/id/1350195","http://ts.21cn.com/tousu/show/id/1350195")</f>
        <v>http://ts.21cn.com/tousu/show/id/1350195</v>
      </c>
      <c r="F18330" s="2" t="s">
        <v>11</v>
      </c>
      <c r="G18330" s="2" t="s">
        <v>8135</v>
      </c>
      <c r="H18330" s="2" t="s">
        <v>8136</v>
      </c>
    </row>
    <row r="18331" spans="1:8" ht="25.05" customHeight="1" x14ac:dyDescent="0.25">
      <c r="A18331" s="2" t="s">
        <v>8</v>
      </c>
      <c r="B18331" s="2" t="str">
        <f>HYPERLINK("http://ts.21cn.com/tousu/show/id/1350194","刷宝智能助手app无法打开，客服解散群里说等待系统修复，截止今天已经一个月时间了，一直提示正在修复中")</f>
        <v>刷宝智能助手app无法打开，客服解散群里说等待系统修复，截止今天已经一个月时间了，一直提示正在修复中</v>
      </c>
      <c r="C18331" s="2" t="s">
        <v>9</v>
      </c>
      <c r="D18331" s="2" t="s">
        <v>10</v>
      </c>
      <c r="E18331" s="2" t="str">
        <f>HYPERLINK("http://ts.21cn.com/tousu/show/id/1350194","http://ts.21cn.com/tousu/show/id/1350194")</f>
        <v>http://ts.21cn.com/tousu/show/id/1350194</v>
      </c>
      <c r="F18331" s="2" t="s">
        <v>11</v>
      </c>
      <c r="G18331" s="2" t="s">
        <v>8133</v>
      </c>
      <c r="H18331" s="2" t="s">
        <v>8134</v>
      </c>
    </row>
    <row r="18332" spans="1:8" ht="25.05" customHeight="1" x14ac:dyDescent="0.25">
      <c r="A18332" s="2" t="s">
        <v>8</v>
      </c>
      <c r="B18332" s="2" t="str">
        <f>HYPERLINK("http://ts.21cn.com/tousu/show/id/1350196","来电充电宝乱扣客户押金还不承认")</f>
        <v>来电充电宝乱扣客户押金还不承认</v>
      </c>
      <c r="C18332" s="2" t="s">
        <v>9</v>
      </c>
      <c r="D18332" s="2" t="s">
        <v>10</v>
      </c>
      <c r="E18332" s="2" t="str">
        <f>HYPERLINK("http://ts.21cn.com/tousu/show/id/1350196","http://ts.21cn.com/tousu/show/id/1350196")</f>
        <v>http://ts.21cn.com/tousu/show/id/1350196</v>
      </c>
      <c r="F18332" s="2" t="s">
        <v>11</v>
      </c>
      <c r="G18332" s="2" t="s">
        <v>8131</v>
      </c>
      <c r="H18332" s="2" t="s">
        <v>8132</v>
      </c>
    </row>
    <row r="18333" spans="1:8" ht="25.05" customHeight="1" x14ac:dyDescent="0.25">
      <c r="A18333" s="2" t="s">
        <v>8</v>
      </c>
      <c r="B18333" s="2" t="str">
        <f>HYPERLINK("http://ts.21cn.com/tousu/show/id/1350197","钱站抢钱")</f>
        <v>钱站抢钱</v>
      </c>
      <c r="C18333" s="2" t="s">
        <v>9</v>
      </c>
      <c r="D18333" s="2" t="s">
        <v>10</v>
      </c>
      <c r="E18333" s="2" t="str">
        <f>HYPERLINK("http://ts.21cn.com/tousu/show/id/1350197","http://ts.21cn.com/tousu/show/id/1350197")</f>
        <v>http://ts.21cn.com/tousu/show/id/1350197</v>
      </c>
      <c r="F18333" s="2" t="s">
        <v>11</v>
      </c>
      <c r="G18333" s="2" t="s">
        <v>8129</v>
      </c>
      <c r="H18333" s="2" t="s">
        <v>8130</v>
      </c>
    </row>
    <row r="18334" spans="1:8" ht="25.05" customHeight="1" x14ac:dyDescent="0.25">
      <c r="A18334" s="2" t="s">
        <v>8</v>
      </c>
      <c r="B18334" s="2" t="str">
        <f>HYPERLINK("http://ts.21cn.com/tousu/show/id/1350198","短信骚扰通讯录")</f>
        <v>短信骚扰通讯录</v>
      </c>
      <c r="C18334" s="2" t="s">
        <v>9</v>
      </c>
      <c r="D18334" s="2" t="s">
        <v>10</v>
      </c>
      <c r="E18334" s="2" t="str">
        <f>HYPERLINK("http://ts.21cn.com/tousu/show/id/1350198","http://ts.21cn.com/tousu/show/id/1350198")</f>
        <v>http://ts.21cn.com/tousu/show/id/1350198</v>
      </c>
      <c r="F18334" s="2" t="s">
        <v>11</v>
      </c>
      <c r="G18334" s="2" t="s">
        <v>8127</v>
      </c>
      <c r="H18334" s="2" t="s">
        <v>8128</v>
      </c>
    </row>
    <row r="18335" spans="1:8" ht="25.05" customHeight="1" x14ac:dyDescent="0.25">
      <c r="A18335" s="2" t="s">
        <v>8</v>
      </c>
      <c r="B18335" s="2" t="str">
        <f>HYPERLINK("http://ts.21cn.com/tousu/show/id/1350199","我想问一下谁有这个权利骚扰我家人的连带我朋友电话你也骚扰")</f>
        <v>我想问一下谁有这个权利骚扰我家人的连带我朋友电话你也骚扰</v>
      </c>
      <c r="C18335" s="2" t="s">
        <v>9</v>
      </c>
      <c r="D18335" s="2" t="s">
        <v>10</v>
      </c>
      <c r="E18335" s="2" t="str">
        <f>HYPERLINK("http://ts.21cn.com/tousu/show/id/1350199","http://ts.21cn.com/tousu/show/id/1350199")</f>
        <v>http://ts.21cn.com/tousu/show/id/1350199</v>
      </c>
      <c r="F18335" s="2" t="s">
        <v>11</v>
      </c>
      <c r="G18335" s="2" t="s">
        <v>8125</v>
      </c>
      <c r="H18335" s="2" t="s">
        <v>8126</v>
      </c>
    </row>
    <row r="18336" spans="1:8" ht="25.05" customHeight="1" x14ac:dyDescent="0.25">
      <c r="A18336" s="2" t="s">
        <v>8</v>
      </c>
      <c r="B18336" s="2" t="str">
        <f>HYPERLINK("http://ts.21cn.com/tousu/show/id/1350200","当天跟客服说明情况可是客服根本不理，之后各种爆电话各种骚扰辱骂。本来我也在尽力还的可是这样搞得我非常的不想还")</f>
        <v>当天跟客服说明情况可是客服根本不理，之后各种爆电话各种骚扰辱骂。本来我也在尽力还的可是这样搞得我非常的不想还</v>
      </c>
      <c r="C18336" s="2" t="s">
        <v>9</v>
      </c>
      <c r="D18336" s="2" t="s">
        <v>10</v>
      </c>
      <c r="E18336" s="2" t="str">
        <f>HYPERLINK("http://ts.21cn.com/tousu/show/id/1350200","http://ts.21cn.com/tousu/show/id/1350200")</f>
        <v>http://ts.21cn.com/tousu/show/id/1350200</v>
      </c>
      <c r="F18336" s="2" t="s">
        <v>11</v>
      </c>
      <c r="G18336" s="2" t="s">
        <v>8123</v>
      </c>
      <c r="H18336" s="2" t="s">
        <v>8124</v>
      </c>
    </row>
    <row r="18337" spans="1:8" ht="25.05" customHeight="1" x14ac:dyDescent="0.25">
      <c r="A18337" s="2" t="s">
        <v>8</v>
      </c>
      <c r="B18337" s="2" t="str">
        <f>HYPERLINK("http://ts.21cn.com/tousu/show/id/1350204","百川推客不给奖励")</f>
        <v>百川推客不给奖励</v>
      </c>
      <c r="C18337" s="2" t="s">
        <v>34</v>
      </c>
      <c r="D18337" s="2" t="s">
        <v>10</v>
      </c>
      <c r="E18337" s="2" t="str">
        <f>HYPERLINK("http://ts.21cn.com/tousu/show/id/1350204","http://ts.21cn.com/tousu/show/id/1350204")</f>
        <v>http://ts.21cn.com/tousu/show/id/1350204</v>
      </c>
      <c r="F18337" s="2" t="s">
        <v>11</v>
      </c>
      <c r="G18337" s="2" t="s">
        <v>8121</v>
      </c>
      <c r="H18337" s="2" t="s">
        <v>8122</v>
      </c>
    </row>
    <row r="18338" spans="1:8" ht="25.05" customHeight="1" x14ac:dyDescent="0.25">
      <c r="A18338" s="2" t="s">
        <v>8</v>
      </c>
      <c r="B18338" s="2" t="str">
        <f>HYPERLINK("http://ts.21cn.com/tousu/show/id/1350203","京东白条逾期要上门")</f>
        <v>京东白条逾期要上门</v>
      </c>
      <c r="C18338" s="2" t="s">
        <v>9</v>
      </c>
      <c r="D18338" s="2" t="s">
        <v>10</v>
      </c>
      <c r="E18338" s="2" t="str">
        <f>HYPERLINK("http://ts.21cn.com/tousu/show/id/1350203","http://ts.21cn.com/tousu/show/id/1350203")</f>
        <v>http://ts.21cn.com/tousu/show/id/1350203</v>
      </c>
      <c r="F18338" s="2" t="s">
        <v>11</v>
      </c>
      <c r="G18338" s="2" t="s">
        <v>8119</v>
      </c>
      <c r="H18338" s="2" t="s">
        <v>8120</v>
      </c>
    </row>
    <row r="18339" spans="1:8" ht="25.05" customHeight="1" x14ac:dyDescent="0.25">
      <c r="A18339" s="2" t="s">
        <v>8</v>
      </c>
      <c r="B18339" s="2" t="str">
        <f>HYPERLINK("http://ts.21cn.com/tousu/show/id/1350202","套路")</f>
        <v>套路</v>
      </c>
      <c r="C18339" s="2" t="s">
        <v>9</v>
      </c>
      <c r="D18339" s="2" t="s">
        <v>10</v>
      </c>
      <c r="E18339" s="2" t="str">
        <f>HYPERLINK("http://ts.21cn.com/tousu/show/id/1350202","http://ts.21cn.com/tousu/show/id/1350202")</f>
        <v>http://ts.21cn.com/tousu/show/id/1350202</v>
      </c>
      <c r="F18339" s="2" t="s">
        <v>11</v>
      </c>
      <c r="G18339" s="2" t="s">
        <v>8117</v>
      </c>
      <c r="H18339" s="2" t="s">
        <v>8118</v>
      </c>
    </row>
    <row r="18340" spans="1:8" ht="25.05" customHeight="1" x14ac:dyDescent="0.25">
      <c r="A18340" s="2" t="s">
        <v>8</v>
      </c>
      <c r="B18340" s="2" t="str">
        <f>HYPERLINK("http://ts.21cn.com/tousu/show/id/1350205","不可提前还款，没有减免")</f>
        <v>不可提前还款，没有减免</v>
      </c>
      <c r="C18340" s="2" t="s">
        <v>9</v>
      </c>
      <c r="D18340" s="2" t="s">
        <v>10</v>
      </c>
      <c r="E18340" s="2" t="str">
        <f>HYPERLINK("http://ts.21cn.com/tousu/show/id/1350205","http://ts.21cn.com/tousu/show/id/1350205")</f>
        <v>http://ts.21cn.com/tousu/show/id/1350205</v>
      </c>
      <c r="F18340" s="2" t="s">
        <v>11</v>
      </c>
      <c r="G18340" s="2" t="s">
        <v>8115</v>
      </c>
      <c r="H18340" s="2" t="s">
        <v>8116</v>
      </c>
    </row>
    <row r="18341" spans="1:8" ht="25.05" customHeight="1" x14ac:dyDescent="0.25">
      <c r="A18341" s="2" t="s">
        <v>8</v>
      </c>
      <c r="B18341" s="2" t="str">
        <f>HYPERLINK("http://ts.21cn.com/tousu/show/id/1350206","盗扣用户信息，盗刷银行卡，自动扣款")</f>
        <v>盗扣用户信息，盗刷银行卡，自动扣款</v>
      </c>
      <c r="C18341" s="2" t="s">
        <v>9</v>
      </c>
      <c r="D18341" s="2" t="s">
        <v>10</v>
      </c>
      <c r="E18341" s="2" t="str">
        <f>HYPERLINK("http://ts.21cn.com/tousu/show/id/1350206","http://ts.21cn.com/tousu/show/id/1350206")</f>
        <v>http://ts.21cn.com/tousu/show/id/1350206</v>
      </c>
      <c r="F18341" s="2" t="s">
        <v>11</v>
      </c>
      <c r="G18341" s="2" t="s">
        <v>8113</v>
      </c>
      <c r="H18341" s="2" t="s">
        <v>8114</v>
      </c>
    </row>
    <row r="18342" spans="1:8" ht="25.05" customHeight="1" x14ac:dyDescent="0.25">
      <c r="A18342" s="2" t="s">
        <v>8</v>
      </c>
      <c r="B18342" s="2" t="str">
        <f>HYPERLINK("http://ts.21cn.com/tousu/show/id/1350207","美团暴力催收")</f>
        <v>美团暴力催收</v>
      </c>
      <c r="C18342" s="2" t="s">
        <v>9</v>
      </c>
      <c r="D18342" s="2" t="s">
        <v>10</v>
      </c>
      <c r="E18342" s="2" t="str">
        <f>HYPERLINK("http://ts.21cn.com/tousu/show/id/1350207","http://ts.21cn.com/tousu/show/id/1350207")</f>
        <v>http://ts.21cn.com/tousu/show/id/1350207</v>
      </c>
      <c r="F18342" s="2" t="s">
        <v>11</v>
      </c>
      <c r="G18342" s="2" t="s">
        <v>8111</v>
      </c>
      <c r="H18342" s="2" t="s">
        <v>8112</v>
      </c>
    </row>
    <row r="18343" spans="1:8" ht="25.05" customHeight="1" x14ac:dyDescent="0.25">
      <c r="A18343" s="2" t="s">
        <v>8</v>
      </c>
      <c r="B18343" s="2" t="str">
        <f>HYPERLINK("http://ts.21cn.com/tousu/show/id/1350208","饿了么平台限制永久接单")</f>
        <v>饿了么平台限制永久接单</v>
      </c>
      <c r="C18343" s="2" t="s">
        <v>9</v>
      </c>
      <c r="D18343" s="2" t="s">
        <v>10</v>
      </c>
      <c r="E18343" s="2" t="str">
        <f>HYPERLINK("http://ts.21cn.com/tousu/show/id/1350208","http://ts.21cn.com/tousu/show/id/1350208")</f>
        <v>http://ts.21cn.com/tousu/show/id/1350208</v>
      </c>
      <c r="F18343" s="2" t="s">
        <v>11</v>
      </c>
      <c r="G18343" s="2" t="s">
        <v>8109</v>
      </c>
      <c r="H18343" s="2" t="s">
        <v>8110</v>
      </c>
    </row>
    <row r="18344" spans="1:8" ht="25.05" customHeight="1" x14ac:dyDescent="0.25">
      <c r="A18344" s="2" t="s">
        <v>8</v>
      </c>
      <c r="B18344" s="2" t="str">
        <f>HYPERLINK("http://ts.21cn.com/tousu/show/id/1350209","电话骚扰")</f>
        <v>电话骚扰</v>
      </c>
      <c r="C18344" s="2" t="s">
        <v>9</v>
      </c>
      <c r="D18344" s="2" t="s">
        <v>10</v>
      </c>
      <c r="E18344" s="2" t="str">
        <f>HYPERLINK("http://ts.21cn.com/tousu/show/id/1350209","http://ts.21cn.com/tousu/show/id/1350209")</f>
        <v>http://ts.21cn.com/tousu/show/id/1350209</v>
      </c>
      <c r="F18344" s="2" t="s">
        <v>11</v>
      </c>
      <c r="G18344" s="2" t="s">
        <v>8107</v>
      </c>
      <c r="H18344" s="2" t="s">
        <v>8108</v>
      </c>
    </row>
    <row r="18345" spans="1:8" ht="25.05" customHeight="1" x14ac:dyDescent="0.25">
      <c r="A18345" s="2" t="s">
        <v>8</v>
      </c>
      <c r="B18345" s="2" t="str">
        <f>HYPERLINK("http://ts.21cn.com/tousu/show/id/1350211","转转平台无故冻结资金")</f>
        <v>转转平台无故冻结资金</v>
      </c>
      <c r="C18345" s="2" t="s">
        <v>9</v>
      </c>
      <c r="D18345" s="2" t="s">
        <v>10</v>
      </c>
      <c r="E18345" s="2" t="str">
        <f>HYPERLINK("http://ts.21cn.com/tousu/show/id/1350211","http://ts.21cn.com/tousu/show/id/1350211")</f>
        <v>http://ts.21cn.com/tousu/show/id/1350211</v>
      </c>
      <c r="F18345" s="2" t="s">
        <v>11</v>
      </c>
      <c r="G18345" s="2" t="s">
        <v>8105</v>
      </c>
      <c r="H18345" s="2" t="s">
        <v>8106</v>
      </c>
    </row>
    <row r="18346" spans="1:8" ht="25.05" customHeight="1" x14ac:dyDescent="0.25">
      <c r="A18346" s="2" t="s">
        <v>8</v>
      </c>
      <c r="B18346" s="2" t="str">
        <f>HYPERLINK("http://ts.21cn.com/tousu/show/id/1350213","中信银行信用卡行动时贷分期")</f>
        <v>中信银行信用卡行动时贷分期</v>
      </c>
      <c r="C18346" s="2" t="s">
        <v>34</v>
      </c>
      <c r="D18346" s="2" t="s">
        <v>10</v>
      </c>
      <c r="E18346" s="2" t="str">
        <f>HYPERLINK("http://ts.21cn.com/tousu/show/id/1350213","http://ts.21cn.com/tousu/show/id/1350213")</f>
        <v>http://ts.21cn.com/tousu/show/id/1350213</v>
      </c>
      <c r="F18346" s="2" t="s">
        <v>11</v>
      </c>
      <c r="G18346" s="2" t="s">
        <v>8103</v>
      </c>
      <c r="H18346" s="2" t="s">
        <v>8104</v>
      </c>
    </row>
    <row r="18347" spans="1:8" ht="25.05" customHeight="1" x14ac:dyDescent="0.25">
      <c r="A18347" s="2" t="s">
        <v>8</v>
      </c>
      <c r="B18347" s="2" t="str">
        <f>HYPERLINK("http://ts.21cn.com/tousu/show/id/1350212","易宝为微笑话和钱通提供支付渠道，收取砍头息，严重超过国家规定36%，希望严肃处理。")</f>
        <v>易宝为微笑话和钱通提供支付渠道，收取砍头息，严重超过国家规定36%，希望严肃处理。</v>
      </c>
      <c r="C18347" s="2" t="s">
        <v>34</v>
      </c>
      <c r="D18347" s="2" t="s">
        <v>10</v>
      </c>
      <c r="E18347" s="2" t="str">
        <f>HYPERLINK("http://ts.21cn.com/tousu/show/id/1350212","http://ts.21cn.com/tousu/show/id/1350212")</f>
        <v>http://ts.21cn.com/tousu/show/id/1350212</v>
      </c>
      <c r="F18347" s="2" t="s">
        <v>11</v>
      </c>
      <c r="G18347" s="2" t="s">
        <v>8101</v>
      </c>
      <c r="H18347" s="2" t="s">
        <v>8102</v>
      </c>
    </row>
    <row r="18348" spans="1:8" ht="25.05" customHeight="1" x14ac:dyDescent="0.25">
      <c r="A18348" s="2" t="s">
        <v>8</v>
      </c>
      <c r="B18348" s="2" t="str">
        <f>HYPERLINK("http://ts.21cn.com/tousu/show/id/1350218","太平洋保险退保不按合同办事")</f>
        <v>太平洋保险退保不按合同办事</v>
      </c>
      <c r="C18348" s="2" t="s">
        <v>9</v>
      </c>
      <c r="D18348" s="2" t="s">
        <v>10</v>
      </c>
      <c r="E18348" s="2" t="str">
        <f>HYPERLINK("http://ts.21cn.com/tousu/show/id/1350218","http://ts.21cn.com/tousu/show/id/1350218")</f>
        <v>http://ts.21cn.com/tousu/show/id/1350218</v>
      </c>
      <c r="F18348" s="2" t="s">
        <v>11</v>
      </c>
      <c r="G18348" s="2" t="s">
        <v>8099</v>
      </c>
      <c r="H18348" s="2" t="s">
        <v>8100</v>
      </c>
    </row>
    <row r="18349" spans="1:8" ht="25.05" customHeight="1" x14ac:dyDescent="0.25">
      <c r="A18349" s="2" t="s">
        <v>8</v>
      </c>
      <c r="B18349" s="2" t="str">
        <f>HYPERLINK("http://ts.21cn.com/tousu/show/id/1350216","不退款")</f>
        <v>不退款</v>
      </c>
      <c r="C18349" s="2" t="s">
        <v>9</v>
      </c>
      <c r="D18349" s="2" t="s">
        <v>10</v>
      </c>
      <c r="E18349" s="2" t="str">
        <f>HYPERLINK("http://ts.21cn.com/tousu/show/id/1350216","http://ts.21cn.com/tousu/show/id/1350216")</f>
        <v>http://ts.21cn.com/tousu/show/id/1350216</v>
      </c>
      <c r="F18349" s="2" t="s">
        <v>11</v>
      </c>
      <c r="G18349" s="2" t="s">
        <v>8097</v>
      </c>
      <c r="H18349" s="2" t="s">
        <v>8098</v>
      </c>
    </row>
    <row r="18350" spans="1:8" ht="25.05" customHeight="1" x14ac:dyDescent="0.25">
      <c r="A18350" s="2" t="s">
        <v>8</v>
      </c>
      <c r="B18350" s="2" t="str">
        <f>HYPERLINK("http://ts.21cn.com/tousu/show/id/1350214","优信二手车套路贷")</f>
        <v>优信二手车套路贷</v>
      </c>
      <c r="C18350" s="2" t="s">
        <v>9</v>
      </c>
      <c r="D18350" s="2" t="s">
        <v>10</v>
      </c>
      <c r="E18350" s="2" t="str">
        <f>HYPERLINK("http://ts.21cn.com/tousu/show/id/1350214","http://ts.21cn.com/tousu/show/id/1350214")</f>
        <v>http://ts.21cn.com/tousu/show/id/1350214</v>
      </c>
      <c r="F18350" s="2" t="s">
        <v>11</v>
      </c>
      <c r="G18350" s="2" t="s">
        <v>8095</v>
      </c>
      <c r="H18350" s="2" t="s">
        <v>8096</v>
      </c>
    </row>
    <row r="18351" spans="1:8" ht="25.05" customHeight="1" x14ac:dyDescent="0.25">
      <c r="A18351" s="2" t="s">
        <v>8</v>
      </c>
      <c r="B18351" s="2" t="str">
        <f>HYPERLINK("http://ts.21cn.com/tousu/show/id/1350217","不知不觉被贷款")</f>
        <v>不知不觉被贷款</v>
      </c>
      <c r="C18351" s="2" t="s">
        <v>9</v>
      </c>
      <c r="D18351" s="2" t="s">
        <v>10</v>
      </c>
      <c r="E18351" s="2" t="str">
        <f>HYPERLINK("http://ts.21cn.com/tousu/show/id/1350217","http://ts.21cn.com/tousu/show/id/1350217")</f>
        <v>http://ts.21cn.com/tousu/show/id/1350217</v>
      </c>
      <c r="F18351" s="2" t="s">
        <v>11</v>
      </c>
      <c r="G18351" s="2" t="s">
        <v>8093</v>
      </c>
      <c r="H18351" s="2" t="s">
        <v>8094</v>
      </c>
    </row>
    <row r="18352" spans="1:8" ht="25.05" customHeight="1" x14ac:dyDescent="0.25">
      <c r="A18352" s="2" t="s">
        <v>8</v>
      </c>
      <c r="B18352" s="2" t="str">
        <f>HYPERLINK("http://ts.21cn.com/tousu/show/id/1350219","京东白条委托方恐吓要求全额还款")</f>
        <v>京东白条委托方恐吓要求全额还款</v>
      </c>
      <c r="C18352" s="2" t="s">
        <v>9</v>
      </c>
      <c r="D18352" s="2" t="s">
        <v>10</v>
      </c>
      <c r="E18352" s="2" t="str">
        <f>HYPERLINK("http://ts.21cn.com/tousu/show/id/1350219","http://ts.21cn.com/tousu/show/id/1350219")</f>
        <v>http://ts.21cn.com/tousu/show/id/1350219</v>
      </c>
      <c r="F18352" s="2" t="s">
        <v>11</v>
      </c>
      <c r="G18352" s="2" t="s">
        <v>8091</v>
      </c>
      <c r="H18352" s="2" t="s">
        <v>8092</v>
      </c>
    </row>
    <row r="18353" spans="1:8" ht="25.05" customHeight="1" x14ac:dyDescent="0.25">
      <c r="A18353" s="2" t="s">
        <v>8</v>
      </c>
      <c r="B18353" s="2" t="str">
        <f>HYPERLINK("http://ts.21cn.com/tousu/show/id/1350221","支付方式只能说微信")</f>
        <v>支付方式只能说微信</v>
      </c>
      <c r="C18353" s="2" t="s">
        <v>34</v>
      </c>
      <c r="D18353" s="2" t="s">
        <v>10</v>
      </c>
      <c r="E18353" s="2" t="str">
        <f>HYPERLINK("http://ts.21cn.com/tousu/show/id/1350221","http://ts.21cn.com/tousu/show/id/1350221")</f>
        <v>http://ts.21cn.com/tousu/show/id/1350221</v>
      </c>
      <c r="F18353" s="2" t="s">
        <v>11</v>
      </c>
      <c r="G18353" s="2" t="s">
        <v>8089</v>
      </c>
      <c r="H18353" s="2" t="s">
        <v>8090</v>
      </c>
    </row>
    <row r="18354" spans="1:8" ht="25.05" customHeight="1" x14ac:dyDescent="0.25">
      <c r="A18354" s="2" t="s">
        <v>8</v>
      </c>
      <c r="B18354" s="2" t="str">
        <f>HYPERLINK("http://ts.21cn.com/tousu/show/id/1350210","交易猫，账号找回无客服")</f>
        <v>交易猫，账号找回无客服</v>
      </c>
      <c r="C18354" s="2" t="s">
        <v>9</v>
      </c>
      <c r="D18354" s="2" t="s">
        <v>10</v>
      </c>
      <c r="E18354" s="2" t="str">
        <f>HYPERLINK("http://ts.21cn.com/tousu/show/id/1350210","http://ts.21cn.com/tousu/show/id/1350210")</f>
        <v>http://ts.21cn.com/tousu/show/id/1350210</v>
      </c>
      <c r="F18354" s="2" t="s">
        <v>11</v>
      </c>
      <c r="G18354" s="2" t="s">
        <v>8087</v>
      </c>
      <c r="H18354" s="2" t="s">
        <v>8088</v>
      </c>
    </row>
    <row r="18355" spans="1:8" ht="25.05" customHeight="1" x14ac:dyDescent="0.25">
      <c r="A18355" s="2" t="s">
        <v>8</v>
      </c>
      <c r="B18355" s="2" t="str">
        <f>HYPERLINK("http://ts.21cn.com/tousu/show/id/1350224","my钱包高利贷暴力催收恐吓")</f>
        <v>my钱包高利贷暴力催收恐吓</v>
      </c>
      <c r="C18355" s="2" t="s">
        <v>9</v>
      </c>
      <c r="D18355" s="2" t="s">
        <v>10</v>
      </c>
      <c r="E18355" s="2" t="str">
        <f>HYPERLINK("http://ts.21cn.com/tousu/show/id/1350224","http://ts.21cn.com/tousu/show/id/1350224")</f>
        <v>http://ts.21cn.com/tousu/show/id/1350224</v>
      </c>
      <c r="F18355" s="2" t="s">
        <v>11</v>
      </c>
      <c r="G18355" s="2" t="s">
        <v>8085</v>
      </c>
      <c r="H18355" s="2" t="s">
        <v>8086</v>
      </c>
    </row>
    <row r="18356" spans="1:8" ht="25.05" customHeight="1" x14ac:dyDescent="0.25">
      <c r="A18356" s="2" t="s">
        <v>8</v>
      </c>
      <c r="B18356" s="2" t="str">
        <f>HYPERLINK("http://ts.21cn.com/tousu/show/id/1350225","信用卡中心违规催收，对家人和单位领导同事造成严重骚扰，影响本人的工作生活。")</f>
        <v>信用卡中心违规催收，对家人和单位领导同事造成严重骚扰，影响本人的工作生活。</v>
      </c>
      <c r="C18356" s="2" t="s">
        <v>9</v>
      </c>
      <c r="D18356" s="2" t="s">
        <v>10</v>
      </c>
      <c r="E18356" s="2" t="str">
        <f>HYPERLINK("http://ts.21cn.com/tousu/show/id/1350225","http://ts.21cn.com/tousu/show/id/1350225")</f>
        <v>http://ts.21cn.com/tousu/show/id/1350225</v>
      </c>
      <c r="F18356" s="2" t="s">
        <v>11</v>
      </c>
      <c r="G18356" s="2" t="s">
        <v>8083</v>
      </c>
      <c r="H18356" s="2" t="s">
        <v>8084</v>
      </c>
    </row>
    <row r="18357" spans="1:8" ht="25.05" customHeight="1" x14ac:dyDescent="0.25">
      <c r="A18357" s="2" t="s">
        <v>8</v>
      </c>
      <c r="B18357" s="2" t="str">
        <f>HYPERLINK("http://ts.21cn.com/tousu/show/id/1350226","手机借钱多宝分期高利贷")</f>
        <v>手机借钱多宝分期高利贷</v>
      </c>
      <c r="C18357" s="2" t="s">
        <v>9</v>
      </c>
      <c r="D18357" s="2" t="s">
        <v>10</v>
      </c>
      <c r="E18357" s="2" t="str">
        <f>HYPERLINK("http://ts.21cn.com/tousu/show/id/1350226","http://ts.21cn.com/tousu/show/id/1350226")</f>
        <v>http://ts.21cn.com/tousu/show/id/1350226</v>
      </c>
      <c r="F18357" s="2" t="s">
        <v>11</v>
      </c>
      <c r="G18357" s="2" t="s">
        <v>8081</v>
      </c>
      <c r="H18357" s="2" t="s">
        <v>8082</v>
      </c>
    </row>
    <row r="18358" spans="1:8" ht="25.05" customHeight="1" x14ac:dyDescent="0.25">
      <c r="A18358" s="2" t="s">
        <v>8</v>
      </c>
      <c r="B18358" s="2" t="str">
        <f>HYPERLINK("http://ts.21cn.com/tousu/show/id/1350227","电话骚扰不断")</f>
        <v>电话骚扰不断</v>
      </c>
      <c r="C18358" s="2" t="s">
        <v>9</v>
      </c>
      <c r="D18358" s="2" t="s">
        <v>10</v>
      </c>
      <c r="E18358" s="2" t="str">
        <f>HYPERLINK("http://ts.21cn.com/tousu/show/id/1350227","http://ts.21cn.com/tousu/show/id/1350227")</f>
        <v>http://ts.21cn.com/tousu/show/id/1350227</v>
      </c>
      <c r="F18358" s="2" t="s">
        <v>11</v>
      </c>
      <c r="G18358" s="2" t="s">
        <v>8079</v>
      </c>
      <c r="H18358" s="2" t="s">
        <v>8080</v>
      </c>
    </row>
    <row r="18359" spans="1:8" ht="25.05" customHeight="1" x14ac:dyDescent="0.25">
      <c r="A18359" s="2" t="s">
        <v>8</v>
      </c>
      <c r="B18359" s="2" t="str">
        <f>HYPERLINK("http://ts.21cn.com/tousu/show/id/1350228","暴力催收，短信威胁，")</f>
        <v>暴力催收，短信威胁，</v>
      </c>
      <c r="C18359" s="2" t="s">
        <v>9</v>
      </c>
      <c r="D18359" s="2" t="s">
        <v>10</v>
      </c>
      <c r="E18359" s="2" t="str">
        <f>HYPERLINK("http://ts.21cn.com/tousu/show/id/1350228","http://ts.21cn.com/tousu/show/id/1350228")</f>
        <v>http://ts.21cn.com/tousu/show/id/1350228</v>
      </c>
      <c r="F18359" s="2" t="s">
        <v>11</v>
      </c>
      <c r="G18359" s="2" t="s">
        <v>8077</v>
      </c>
      <c r="H18359" s="2" t="s">
        <v>8078</v>
      </c>
    </row>
    <row r="18360" spans="1:8" ht="25.05" customHeight="1" x14ac:dyDescent="0.25">
      <c r="A18360" s="2" t="s">
        <v>8</v>
      </c>
      <c r="B18360" s="2" t="str">
        <f>HYPERLINK("http://ts.21cn.com/tousu/show/id/1350229","指上旅行协商还款联系不上")</f>
        <v>指上旅行协商还款联系不上</v>
      </c>
      <c r="C18360" s="2" t="s">
        <v>9</v>
      </c>
      <c r="D18360" s="2" t="s">
        <v>10</v>
      </c>
      <c r="E18360" s="2" t="str">
        <f>HYPERLINK("http://ts.21cn.com/tousu/show/id/1350229","http://ts.21cn.com/tousu/show/id/1350229")</f>
        <v>http://ts.21cn.com/tousu/show/id/1350229</v>
      </c>
      <c r="F18360" s="2" t="s">
        <v>11</v>
      </c>
      <c r="G18360" s="2" t="s">
        <v>8075</v>
      </c>
      <c r="H18360" s="2" t="s">
        <v>8076</v>
      </c>
    </row>
    <row r="18361" spans="1:8" ht="25.05" customHeight="1" x14ac:dyDescent="0.25">
      <c r="A18361" s="2" t="s">
        <v>8</v>
      </c>
      <c r="B18361" s="2" t="str">
        <f>HYPERLINK("http://ts.21cn.com/tousu/show/id/1350231","714高炮，套路贷")</f>
        <v>714高炮，套路贷</v>
      </c>
      <c r="C18361" s="2" t="s">
        <v>9</v>
      </c>
      <c r="D18361" s="2" t="s">
        <v>10</v>
      </c>
      <c r="E18361" s="2" t="str">
        <f>HYPERLINK("http://ts.21cn.com/tousu/show/id/1350231","http://ts.21cn.com/tousu/show/id/1350231")</f>
        <v>http://ts.21cn.com/tousu/show/id/1350231</v>
      </c>
      <c r="F18361" s="2" t="s">
        <v>11</v>
      </c>
      <c r="G18361" s="2" t="s">
        <v>8073</v>
      </c>
      <c r="H18361" s="2" t="s">
        <v>8074</v>
      </c>
    </row>
    <row r="18362" spans="1:8" ht="25.05" customHeight="1" x14ac:dyDescent="0.25">
      <c r="A18362" s="2" t="s">
        <v>8</v>
      </c>
      <c r="B18362" s="2" t="str">
        <f>HYPERLINK("http://ts.21cn.com/tousu/show/id/1350230","时光分期黑社会高利贷")</f>
        <v>时光分期黑社会高利贷</v>
      </c>
      <c r="C18362" s="2" t="s">
        <v>9</v>
      </c>
      <c r="D18362" s="2" t="s">
        <v>10</v>
      </c>
      <c r="E18362" s="2" t="str">
        <f>HYPERLINK("http://ts.21cn.com/tousu/show/id/1350230","http://ts.21cn.com/tousu/show/id/1350230")</f>
        <v>http://ts.21cn.com/tousu/show/id/1350230</v>
      </c>
      <c r="F18362" s="2" t="s">
        <v>11</v>
      </c>
      <c r="G18362" s="2" t="s">
        <v>8071</v>
      </c>
      <c r="H18362" s="2" t="s">
        <v>8072</v>
      </c>
    </row>
    <row r="18363" spans="1:8" ht="25.05" customHeight="1" x14ac:dyDescent="0.25">
      <c r="A18363" s="2" t="s">
        <v>8</v>
      </c>
      <c r="B18363" s="2" t="str">
        <f>HYPERLINK("http://ts.21cn.com/tousu/show/id/1350105","小浦优客违规扣取银行卡里的资金")</f>
        <v>小浦优客违规扣取银行卡里的资金</v>
      </c>
      <c r="C18363" s="2" t="s">
        <v>9</v>
      </c>
      <c r="D18363" s="2" t="s">
        <v>10</v>
      </c>
      <c r="E18363" s="2" t="str">
        <f>HYPERLINK("http://ts.21cn.com/tousu/show/id/1350105","http://ts.21cn.com/tousu/show/id/1350105")</f>
        <v>http://ts.21cn.com/tousu/show/id/1350105</v>
      </c>
      <c r="F18363" s="2" t="s">
        <v>11</v>
      </c>
      <c r="G18363" s="2" t="s">
        <v>8070</v>
      </c>
      <c r="H18363" s="2" t="s">
        <v>4538</v>
      </c>
    </row>
    <row r="18364" spans="1:8" ht="25.05" customHeight="1" x14ac:dyDescent="0.25">
      <c r="A18364" s="2" t="s">
        <v>8</v>
      </c>
      <c r="B18364" s="2" t="str">
        <f>HYPERLINK("http://ts.21cn.com/tousu/show/id/1350232","玖富万卡高利贷")</f>
        <v>玖富万卡高利贷</v>
      </c>
      <c r="C18364" s="2" t="s">
        <v>9</v>
      </c>
      <c r="D18364" s="2" t="s">
        <v>10</v>
      </c>
      <c r="E18364" s="2" t="str">
        <f>HYPERLINK("http://ts.21cn.com/tousu/show/id/1350232","http://ts.21cn.com/tousu/show/id/1350232")</f>
        <v>http://ts.21cn.com/tousu/show/id/1350232</v>
      </c>
      <c r="F18364" s="2" t="s">
        <v>11</v>
      </c>
      <c r="G18364" s="2" t="s">
        <v>8068</v>
      </c>
      <c r="H18364" s="2" t="s">
        <v>8069</v>
      </c>
    </row>
    <row r="18365" spans="1:8" ht="25.05" customHeight="1" x14ac:dyDescent="0.25">
      <c r="A18365" s="2" t="s">
        <v>8</v>
      </c>
      <c r="B18365" s="2" t="str">
        <f>HYPERLINK("http://ts.21cn.com/tousu/show/id/1350233","国美易卡高利贷")</f>
        <v>国美易卡高利贷</v>
      </c>
      <c r="C18365" s="2" t="s">
        <v>9</v>
      </c>
      <c r="D18365" s="2" t="s">
        <v>10</v>
      </c>
      <c r="E18365" s="2" t="str">
        <f>HYPERLINK("http://ts.21cn.com/tousu/show/id/1350233","http://ts.21cn.com/tousu/show/id/1350233")</f>
        <v>http://ts.21cn.com/tousu/show/id/1350233</v>
      </c>
      <c r="F18365" s="2" t="s">
        <v>11</v>
      </c>
      <c r="G18365" s="2" t="s">
        <v>8066</v>
      </c>
      <c r="H18365" s="2" t="s">
        <v>8067</v>
      </c>
    </row>
    <row r="18366" spans="1:8" ht="25.05" customHeight="1" x14ac:dyDescent="0.25">
      <c r="A18366" s="2" t="s">
        <v>8</v>
      </c>
      <c r="B18366" s="2" t="str">
        <f>HYPERLINK("http://ts.21cn.com/tousu/show/id/1350234","利息太高暴力吹收恐吓")</f>
        <v>利息太高暴力吹收恐吓</v>
      </c>
      <c r="C18366" s="2" t="s">
        <v>9</v>
      </c>
      <c r="D18366" s="2" t="s">
        <v>10</v>
      </c>
      <c r="E18366" s="2" t="str">
        <f>HYPERLINK("http://ts.21cn.com/tousu/show/id/1350234","http://ts.21cn.com/tousu/show/id/1350234")</f>
        <v>http://ts.21cn.com/tousu/show/id/1350234</v>
      </c>
      <c r="F18366" s="2" t="s">
        <v>11</v>
      </c>
      <c r="G18366" s="2" t="s">
        <v>8064</v>
      </c>
      <c r="H18366" s="2" t="s">
        <v>8065</v>
      </c>
    </row>
    <row r="18367" spans="1:8" ht="25.05" customHeight="1" x14ac:dyDescent="0.25">
      <c r="A18367" s="2" t="s">
        <v>8</v>
      </c>
      <c r="B18367" s="2" t="str">
        <f>HYPERLINK("http://ts.21cn.com/tousu/show/id/1350235","不遵守承诺！协商好现在又说不算数！")</f>
        <v>不遵守承诺！协商好现在又说不算数！</v>
      </c>
      <c r="C18367" s="2" t="s">
        <v>9</v>
      </c>
      <c r="D18367" s="2" t="s">
        <v>10</v>
      </c>
      <c r="E18367" s="2" t="str">
        <f>HYPERLINK("http://ts.21cn.com/tousu/show/id/1350235","http://ts.21cn.com/tousu/show/id/1350235")</f>
        <v>http://ts.21cn.com/tousu/show/id/1350235</v>
      </c>
      <c r="F18367" s="2" t="s">
        <v>11</v>
      </c>
      <c r="G18367" s="2" t="s">
        <v>8062</v>
      </c>
      <c r="H18367" s="2" t="s">
        <v>8063</v>
      </c>
    </row>
    <row r="18368" spans="1:8" ht="25.05" customHeight="1" x14ac:dyDescent="0.25">
      <c r="A18368" s="2" t="s">
        <v>8</v>
      </c>
      <c r="B18368" s="2" t="str">
        <f>HYPERLINK("http://ts.21cn.com/tousu/show/id/1350236","催收强硬骚扰联系人拨打单位电话")</f>
        <v>催收强硬骚扰联系人拨打单位电话</v>
      </c>
      <c r="C18368" s="2" t="s">
        <v>9</v>
      </c>
      <c r="D18368" s="2" t="s">
        <v>10</v>
      </c>
      <c r="E18368" s="2" t="str">
        <f>HYPERLINK("http://ts.21cn.com/tousu/show/id/1350236","http://ts.21cn.com/tousu/show/id/1350236")</f>
        <v>http://ts.21cn.com/tousu/show/id/1350236</v>
      </c>
      <c r="F18368" s="2" t="s">
        <v>11</v>
      </c>
      <c r="G18368" s="2" t="s">
        <v>8060</v>
      </c>
      <c r="H18368" s="2" t="s">
        <v>8061</v>
      </c>
    </row>
    <row r="18369" spans="1:8" ht="25.05" customHeight="1" x14ac:dyDescent="0.25">
      <c r="A18369" s="2" t="s">
        <v>8</v>
      </c>
      <c r="B18369" s="2" t="str">
        <f>HYPERLINK("http://ts.21cn.com/tousu/show/id/1350237","华夏信财旗下间融速贷平台暴力催收，本人卡里余额充足。华夏信财原因导致扣款不成功。暴力催收")</f>
        <v>华夏信财旗下间融速贷平台暴力催收，本人卡里余额充足。华夏信财原因导致扣款不成功。暴力催收</v>
      </c>
      <c r="C18369" s="2" t="s">
        <v>9</v>
      </c>
      <c r="D18369" s="2" t="s">
        <v>10</v>
      </c>
      <c r="E18369" s="2" t="str">
        <f>HYPERLINK("http://ts.21cn.com/tousu/show/id/1350237","http://ts.21cn.com/tousu/show/id/1350237")</f>
        <v>http://ts.21cn.com/tousu/show/id/1350237</v>
      </c>
      <c r="F18369" s="2" t="s">
        <v>11</v>
      </c>
      <c r="G18369" s="2" t="s">
        <v>8058</v>
      </c>
      <c r="H18369" s="2" t="s">
        <v>8059</v>
      </c>
    </row>
    <row r="18370" spans="1:8" ht="25.05" customHeight="1" x14ac:dyDescent="0.25">
      <c r="A18370" s="2" t="s">
        <v>8</v>
      </c>
      <c r="B18370" s="2" t="str">
        <f>HYPERLINK("http://ts.21cn.com/tousu/show/id/1350238","未经过本人同意，私人调查社保信息")</f>
        <v>未经过本人同意，私人调查社保信息</v>
      </c>
      <c r="C18370" s="2" t="s">
        <v>9</v>
      </c>
      <c r="D18370" s="2" t="s">
        <v>10</v>
      </c>
      <c r="E18370" s="2" t="str">
        <f>HYPERLINK("http://ts.21cn.com/tousu/show/id/1350238","http://ts.21cn.com/tousu/show/id/1350238")</f>
        <v>http://ts.21cn.com/tousu/show/id/1350238</v>
      </c>
      <c r="F18370" s="2" t="s">
        <v>11</v>
      </c>
      <c r="G18370" s="2" t="s">
        <v>8056</v>
      </c>
      <c r="H18370" s="2" t="s">
        <v>8057</v>
      </c>
    </row>
    <row r="18371" spans="1:8" ht="25.05" customHeight="1" x14ac:dyDescent="0.25">
      <c r="A18371" s="2" t="s">
        <v>8</v>
      </c>
      <c r="B18371" s="2" t="str">
        <f>HYPERLINK("http://ts.21cn.com/tousu/show/id/1350240","投诉交易猫仲裁乱判买家输")</f>
        <v>投诉交易猫仲裁乱判买家输</v>
      </c>
      <c r="C18371" s="2" t="s">
        <v>9</v>
      </c>
      <c r="D18371" s="2" t="s">
        <v>10</v>
      </c>
      <c r="E18371" s="2" t="str">
        <f>HYPERLINK("http://ts.21cn.com/tousu/show/id/1350240","http://ts.21cn.com/tousu/show/id/1350240")</f>
        <v>http://ts.21cn.com/tousu/show/id/1350240</v>
      </c>
      <c r="F18371" s="2" t="s">
        <v>11</v>
      </c>
      <c r="G18371" s="2" t="s">
        <v>8054</v>
      </c>
      <c r="H18371" s="2" t="s">
        <v>8055</v>
      </c>
    </row>
    <row r="18372" spans="1:8" ht="25.05" customHeight="1" x14ac:dyDescent="0.25">
      <c r="A18372" s="2" t="s">
        <v>8</v>
      </c>
      <c r="B18372" s="2" t="str">
        <f>HYPERLINK("http://ts.21cn.com/tousu/show/id/1350241","御剑飞行APP违法套路贷")</f>
        <v>御剑飞行APP违法套路贷</v>
      </c>
      <c r="C18372" s="2" t="s">
        <v>9</v>
      </c>
      <c r="D18372" s="2" t="s">
        <v>10</v>
      </c>
      <c r="E18372" s="2" t="str">
        <f>HYPERLINK("http://ts.21cn.com/tousu/show/id/1350241","http://ts.21cn.com/tousu/show/id/1350241")</f>
        <v>http://ts.21cn.com/tousu/show/id/1350241</v>
      </c>
      <c r="F18372" s="2" t="s">
        <v>11</v>
      </c>
      <c r="G18372" s="2" t="s">
        <v>8052</v>
      </c>
      <c r="H18372" s="2" t="s">
        <v>8053</v>
      </c>
    </row>
    <row r="18373" spans="1:8" ht="25.05" customHeight="1" x14ac:dyDescent="0.25">
      <c r="A18373" s="2" t="s">
        <v>8</v>
      </c>
      <c r="B18373" s="2" t="str">
        <f>HYPERLINK("http://ts.21cn.com/tousu/show/id/1350242","浦发银行逼迫人不能正常生活，我想协商还款不跟我协商")</f>
        <v>浦发银行逼迫人不能正常生活，我想协商还款不跟我协商</v>
      </c>
      <c r="C18373" s="2" t="s">
        <v>9</v>
      </c>
      <c r="D18373" s="2" t="s">
        <v>10</v>
      </c>
      <c r="E18373" s="2" t="str">
        <f>HYPERLINK("http://ts.21cn.com/tousu/show/id/1350242","http://ts.21cn.com/tousu/show/id/1350242")</f>
        <v>http://ts.21cn.com/tousu/show/id/1350242</v>
      </c>
      <c r="F18373" s="2" t="s">
        <v>11</v>
      </c>
      <c r="G18373" s="2" t="s">
        <v>8050</v>
      </c>
      <c r="H18373" s="2" t="s">
        <v>8051</v>
      </c>
    </row>
    <row r="18374" spans="1:8" ht="25.05" customHeight="1" x14ac:dyDescent="0.25">
      <c r="A18374" s="2" t="s">
        <v>8</v>
      </c>
      <c r="B18374" s="2" t="str">
        <f>HYPERLINK("http://ts.21cn.com/tousu/show/id/1350243","小象优品催收")</f>
        <v>小象优品催收</v>
      </c>
      <c r="C18374" s="2" t="s">
        <v>9</v>
      </c>
      <c r="D18374" s="2" t="s">
        <v>10</v>
      </c>
      <c r="E18374" s="2" t="str">
        <f>HYPERLINK("http://ts.21cn.com/tousu/show/id/1350243","http://ts.21cn.com/tousu/show/id/1350243")</f>
        <v>http://ts.21cn.com/tousu/show/id/1350243</v>
      </c>
      <c r="F18374" s="2" t="s">
        <v>11</v>
      </c>
      <c r="G18374" s="2" t="s">
        <v>8048</v>
      </c>
      <c r="H18374" s="2" t="s">
        <v>8049</v>
      </c>
    </row>
    <row r="18375" spans="1:8" ht="25.05" customHeight="1" x14ac:dyDescent="0.25">
      <c r="A18375" s="2" t="s">
        <v>8</v>
      </c>
      <c r="B18375" s="2" t="str">
        <f>HYPERLINK("http://ts.21cn.com/tousu/show/id/1350141","钱站收费相当不合理")</f>
        <v>钱站收费相当不合理</v>
      </c>
      <c r="C18375" s="2" t="s">
        <v>9</v>
      </c>
      <c r="D18375" s="2" t="s">
        <v>10</v>
      </c>
      <c r="E18375" s="2" t="str">
        <f>HYPERLINK("http://ts.21cn.com/tousu/show/id/1350141","http://ts.21cn.com/tousu/show/id/1350141")</f>
        <v>http://ts.21cn.com/tousu/show/id/1350141</v>
      </c>
      <c r="F18375" s="2" t="s">
        <v>11</v>
      </c>
      <c r="G18375" s="2" t="s">
        <v>8046</v>
      </c>
      <c r="H18375" s="2" t="s">
        <v>8047</v>
      </c>
    </row>
    <row r="18376" spans="1:8" ht="25.05" customHeight="1" x14ac:dyDescent="0.25">
      <c r="A18376" s="2" t="s">
        <v>8</v>
      </c>
      <c r="B18376" s="2" t="str">
        <f>HYPERLINK("http://ts.21cn.com/tousu/show/id/1350244","捷信高利贷")</f>
        <v>捷信高利贷</v>
      </c>
      <c r="C18376" s="2" t="s">
        <v>9</v>
      </c>
      <c r="D18376" s="2" t="s">
        <v>10</v>
      </c>
      <c r="E18376" s="2" t="str">
        <f>HYPERLINK("http://ts.21cn.com/tousu/show/id/1350244","http://ts.21cn.com/tousu/show/id/1350244")</f>
        <v>http://ts.21cn.com/tousu/show/id/1350244</v>
      </c>
      <c r="F18376" s="2" t="s">
        <v>11</v>
      </c>
      <c r="G18376" s="2" t="s">
        <v>8044</v>
      </c>
      <c r="H18376" s="2" t="s">
        <v>8045</v>
      </c>
    </row>
    <row r="18377" spans="1:8" ht="25.05" customHeight="1" x14ac:dyDescent="0.25">
      <c r="A18377" s="2" t="s">
        <v>8</v>
      </c>
      <c r="B18377" s="2" t="str">
        <f>HYPERLINK("http://ts.21cn.com/tousu/show/id/1350245","未入住霸王条款扣费不退款，要求退款")</f>
        <v>未入住霸王条款扣费不退款，要求退款</v>
      </c>
      <c r="C18377" s="2" t="s">
        <v>9</v>
      </c>
      <c r="D18377" s="2" t="s">
        <v>10</v>
      </c>
      <c r="E18377" s="2" t="str">
        <f>HYPERLINK("http://ts.21cn.com/tousu/show/id/1350245","http://ts.21cn.com/tousu/show/id/1350245")</f>
        <v>http://ts.21cn.com/tousu/show/id/1350245</v>
      </c>
      <c r="F18377" s="2" t="s">
        <v>11</v>
      </c>
      <c r="G18377" s="2" t="s">
        <v>8042</v>
      </c>
      <c r="H18377" s="2" t="s">
        <v>8043</v>
      </c>
    </row>
    <row r="18378" spans="1:8" ht="25.05" customHeight="1" x14ac:dyDescent="0.25">
      <c r="A18378" s="2" t="s">
        <v>8</v>
      </c>
      <c r="B18378" s="2" t="str">
        <f>HYPERLINK("http://ts.21cn.com/tousu/show/id/1350247","高额利息")</f>
        <v>高额利息</v>
      </c>
      <c r="C18378" s="2" t="s">
        <v>9</v>
      </c>
      <c r="D18378" s="2" t="s">
        <v>10</v>
      </c>
      <c r="E18378" s="2" t="str">
        <f>HYPERLINK("http://ts.21cn.com/tousu/show/id/1350247","http://ts.21cn.com/tousu/show/id/1350247")</f>
        <v>http://ts.21cn.com/tousu/show/id/1350247</v>
      </c>
      <c r="F18378" s="2" t="s">
        <v>11</v>
      </c>
      <c r="G18378" s="2" t="s">
        <v>8040</v>
      </c>
      <c r="H18378" s="2" t="s">
        <v>8041</v>
      </c>
    </row>
    <row r="18379" spans="1:8" ht="25.05" customHeight="1" x14ac:dyDescent="0.25">
      <c r="A18379" s="2" t="s">
        <v>8</v>
      </c>
      <c r="B18379" s="2" t="str">
        <f>HYPERLINK("http://ts.21cn.com/tousu/show/id/1350248","京东金融对学生进行威胁恐吓催收")</f>
        <v>京东金融对学生进行威胁恐吓催收</v>
      </c>
      <c r="C18379" s="2" t="s">
        <v>9</v>
      </c>
      <c r="D18379" s="2" t="s">
        <v>10</v>
      </c>
      <c r="E18379" s="2" t="str">
        <f>HYPERLINK("http://ts.21cn.com/tousu/show/id/1350248","http://ts.21cn.com/tousu/show/id/1350248")</f>
        <v>http://ts.21cn.com/tousu/show/id/1350248</v>
      </c>
      <c r="F18379" s="2" t="s">
        <v>11</v>
      </c>
      <c r="G18379" s="2" t="s">
        <v>8038</v>
      </c>
      <c r="H18379" s="2" t="s">
        <v>8039</v>
      </c>
    </row>
    <row r="18380" spans="1:8" ht="25.05" customHeight="1" x14ac:dyDescent="0.25">
      <c r="A18380" s="2" t="s">
        <v>8</v>
      </c>
      <c r="B18380" s="2" t="str">
        <f>HYPERLINK("http://ts.21cn.com/tousu/show/id/1350250","辱骂，爆通讯录，")</f>
        <v>辱骂，爆通讯录，</v>
      </c>
      <c r="C18380" s="2" t="s">
        <v>9</v>
      </c>
      <c r="D18380" s="2" t="s">
        <v>10</v>
      </c>
      <c r="E18380" s="2" t="str">
        <f>HYPERLINK("http://ts.21cn.com/tousu/show/id/1350250","http://ts.21cn.com/tousu/show/id/1350250")</f>
        <v>http://ts.21cn.com/tousu/show/id/1350250</v>
      </c>
      <c r="F18380" s="2" t="s">
        <v>11</v>
      </c>
      <c r="G18380" s="2" t="s">
        <v>8035</v>
      </c>
      <c r="H18380" s="2" t="s">
        <v>8036</v>
      </c>
    </row>
    <row r="18381" spans="1:8" ht="25.05" customHeight="1" x14ac:dyDescent="0.25">
      <c r="A18381" s="2" t="s">
        <v>8</v>
      </c>
      <c r="B18381" s="2" t="str">
        <f>HYPERLINK("http://ts.21cn.com/tousu/show/id/1350249","360借款暴力催收")</f>
        <v>360借款暴力催收</v>
      </c>
      <c r="C18381" s="2" t="s">
        <v>9</v>
      </c>
      <c r="D18381" s="2" t="s">
        <v>10</v>
      </c>
      <c r="E18381" s="2" t="str">
        <f>HYPERLINK("http://ts.21cn.com/tousu/show/id/1350249","http://ts.21cn.com/tousu/show/id/1350249")</f>
        <v>http://ts.21cn.com/tousu/show/id/1350249</v>
      </c>
      <c r="F18381" s="2" t="s">
        <v>11</v>
      </c>
      <c r="G18381" s="2" t="s">
        <v>8035</v>
      </c>
      <c r="H18381" s="2" t="s">
        <v>8037</v>
      </c>
    </row>
    <row r="18382" spans="1:8" ht="25.05" customHeight="1" x14ac:dyDescent="0.25">
      <c r="A18382" s="2" t="s">
        <v>8</v>
      </c>
      <c r="B18382" s="2" t="str">
        <f>HYPERLINK("http://ts.21cn.com/tousu/show/id/1350252","乱收费，客服态度恶劣")</f>
        <v>乱收费，客服态度恶劣</v>
      </c>
      <c r="C18382" s="2" t="s">
        <v>9</v>
      </c>
      <c r="D18382" s="2" t="s">
        <v>10</v>
      </c>
      <c r="E18382" s="2" t="str">
        <f>HYPERLINK("http://ts.21cn.com/tousu/show/id/1350252","http://ts.21cn.com/tousu/show/id/1350252")</f>
        <v>http://ts.21cn.com/tousu/show/id/1350252</v>
      </c>
      <c r="F18382" s="2" t="s">
        <v>11</v>
      </c>
      <c r="G18382" s="2" t="s">
        <v>8033</v>
      </c>
      <c r="H18382" s="2" t="s">
        <v>8034</v>
      </c>
    </row>
    <row r="18383" spans="1:8" ht="25.05" customHeight="1" x14ac:dyDescent="0.25">
      <c r="A18383" s="2" t="s">
        <v>8</v>
      </c>
      <c r="B18383" s="2" t="str">
        <f>HYPERLINK("http://ts.21cn.com/tousu/show/id/1350253","爱玩斗地主app是个赌博的app")</f>
        <v>爱玩斗地主app是个赌博的app</v>
      </c>
      <c r="C18383" s="2" t="s">
        <v>9</v>
      </c>
      <c r="D18383" s="2" t="s">
        <v>10</v>
      </c>
      <c r="E18383" s="2" t="str">
        <f>HYPERLINK("http://ts.21cn.com/tousu/show/id/1350253","http://ts.21cn.com/tousu/show/id/1350253")</f>
        <v>http://ts.21cn.com/tousu/show/id/1350253</v>
      </c>
      <c r="F18383" s="2" t="s">
        <v>11</v>
      </c>
      <c r="G18383" s="2" t="s">
        <v>8031</v>
      </c>
      <c r="H18383" s="2" t="s">
        <v>8032</v>
      </c>
    </row>
    <row r="18384" spans="1:8" ht="25.05" customHeight="1" x14ac:dyDescent="0.25">
      <c r="A18384" s="2" t="s">
        <v>8</v>
      </c>
      <c r="B18384" s="2" t="str">
        <f>HYPERLINK("http://ts.21cn.com/tousu/show/id/1350254","宜人贷收取所谓高额服务费（砍头息）我都不知道自己享受了什么高额服务")</f>
        <v>宜人贷收取所谓高额服务费（砍头息）我都不知道自己享受了什么高额服务</v>
      </c>
      <c r="C18384" s="2" t="s">
        <v>9</v>
      </c>
      <c r="D18384" s="2" t="s">
        <v>10</v>
      </c>
      <c r="E18384" s="2" t="str">
        <f>HYPERLINK("http://ts.21cn.com/tousu/show/id/1350254","http://ts.21cn.com/tousu/show/id/1350254")</f>
        <v>http://ts.21cn.com/tousu/show/id/1350254</v>
      </c>
      <c r="F18384" s="2" t="s">
        <v>11</v>
      </c>
      <c r="G18384" s="2" t="s">
        <v>8029</v>
      </c>
      <c r="H18384" s="2" t="s">
        <v>8030</v>
      </c>
    </row>
    <row r="18385" spans="1:8" ht="25.05" customHeight="1" x14ac:dyDescent="0.25">
      <c r="A18385" s="2" t="s">
        <v>8</v>
      </c>
      <c r="B18385" s="2" t="str">
        <f>HYPERLINK("http://ts.21cn.com/tousu/show/id/1350255","造艺科技，聚富分期。要求退款299")</f>
        <v>造艺科技，聚富分期。要求退款299</v>
      </c>
      <c r="C18385" s="2" t="s">
        <v>34</v>
      </c>
      <c r="D18385" s="2" t="s">
        <v>10</v>
      </c>
      <c r="E18385" s="2" t="str">
        <f>HYPERLINK("http://ts.21cn.com/tousu/show/id/1350255","http://ts.21cn.com/tousu/show/id/1350255")</f>
        <v>http://ts.21cn.com/tousu/show/id/1350255</v>
      </c>
      <c r="F18385" s="2" t="s">
        <v>11</v>
      </c>
      <c r="G18385" s="2" t="s">
        <v>8027</v>
      </c>
      <c r="H18385" s="2" t="s">
        <v>8028</v>
      </c>
    </row>
    <row r="18386" spans="1:8" ht="25.05" customHeight="1" x14ac:dyDescent="0.25">
      <c r="A18386" s="2" t="s">
        <v>8</v>
      </c>
      <c r="B18386" s="2" t="str">
        <f>HYPERLINK("http://ts.21cn.com/tousu/show/id/1350256","立借钱置宝高利贷")</f>
        <v>立借钱置宝高利贷</v>
      </c>
      <c r="C18386" s="2" t="s">
        <v>9</v>
      </c>
      <c r="D18386" s="2" t="s">
        <v>10</v>
      </c>
      <c r="E18386" s="2" t="str">
        <f>HYPERLINK("http://ts.21cn.com/tousu/show/id/1350256","http://ts.21cn.com/tousu/show/id/1350256")</f>
        <v>http://ts.21cn.com/tousu/show/id/1350256</v>
      </c>
      <c r="F18386" s="2" t="s">
        <v>11</v>
      </c>
      <c r="G18386" s="2" t="s">
        <v>8025</v>
      </c>
      <c r="H18386" s="2" t="s">
        <v>8026</v>
      </c>
    </row>
    <row r="18387" spans="1:8" ht="25.05" customHeight="1" x14ac:dyDescent="0.25">
      <c r="A18387" s="2" t="s">
        <v>8</v>
      </c>
      <c r="B18387" s="2" t="str">
        <f>HYPERLINK("http://ts.21cn.com/tousu/show/id/1350257","关于美约app乱扣费问题，免费试用后，自动续费会员一年298元")</f>
        <v>关于美约app乱扣费问题，免费试用后，自动续费会员一年298元</v>
      </c>
      <c r="C18387" s="2" t="s">
        <v>34</v>
      </c>
      <c r="D18387" s="2" t="s">
        <v>10</v>
      </c>
      <c r="E18387" s="2" t="str">
        <f>HYPERLINK("http://ts.21cn.com/tousu/show/id/1350257","http://ts.21cn.com/tousu/show/id/1350257")</f>
        <v>http://ts.21cn.com/tousu/show/id/1350257</v>
      </c>
      <c r="F18387" s="2" t="s">
        <v>11</v>
      </c>
      <c r="G18387" s="2" t="s">
        <v>8023</v>
      </c>
      <c r="H18387" s="2" t="s">
        <v>8024</v>
      </c>
    </row>
    <row r="18388" spans="1:8" ht="25.05" customHeight="1" x14ac:dyDescent="0.25">
      <c r="A18388" s="2" t="s">
        <v>8</v>
      </c>
      <c r="B18388" s="2" t="str">
        <f>HYPERLINK("http://ts.21cn.com/tousu/show/id/1350259","招商银行手机客户端内的高德打车以系统调试为由，使客户一个多月发单失败，许多前期活动优惠券都过期，多次电话联系两家客服无果")</f>
        <v>招商银行手机客户端内的高德打车以系统调试为由，使客户一个多月发单失败，许多前期活动优惠券都过期，多次电话联系两家客服无果</v>
      </c>
      <c r="C18388" s="2" t="s">
        <v>34</v>
      </c>
      <c r="D18388" s="2" t="s">
        <v>10</v>
      </c>
      <c r="E18388" s="2" t="str">
        <f>HYPERLINK("http://ts.21cn.com/tousu/show/id/1350259","http://ts.21cn.com/tousu/show/id/1350259")</f>
        <v>http://ts.21cn.com/tousu/show/id/1350259</v>
      </c>
      <c r="F18388" s="2" t="s">
        <v>11</v>
      </c>
      <c r="G18388" s="2" t="s">
        <v>8021</v>
      </c>
      <c r="H18388" s="2" t="s">
        <v>8022</v>
      </c>
    </row>
    <row r="18389" spans="1:8" ht="25.05" customHeight="1" x14ac:dyDescent="0.25">
      <c r="A18389" s="2" t="s">
        <v>8</v>
      </c>
      <c r="B18389" s="2" t="str">
        <f>HYPERLINK("http://ts.21cn.com/tousu/show/id/1350260","支付宝～蚂蚁金服")</f>
        <v>支付宝～蚂蚁金服</v>
      </c>
      <c r="C18389" s="2" t="s">
        <v>9</v>
      </c>
      <c r="D18389" s="2" t="s">
        <v>10</v>
      </c>
      <c r="E18389" s="2" t="str">
        <f>HYPERLINK("http://ts.21cn.com/tousu/show/id/1350260","http://ts.21cn.com/tousu/show/id/1350260")</f>
        <v>http://ts.21cn.com/tousu/show/id/1350260</v>
      </c>
      <c r="F18389" s="2" t="s">
        <v>11</v>
      </c>
      <c r="G18389" s="2" t="s">
        <v>8019</v>
      </c>
      <c r="H18389" s="2" t="s">
        <v>8020</v>
      </c>
    </row>
    <row r="18390" spans="1:8" ht="25.05" customHeight="1" x14ac:dyDescent="0.25">
      <c r="A18390" s="2" t="s">
        <v>8</v>
      </c>
      <c r="B18390" s="2" t="str">
        <f>HYPERLINK("http://ts.21cn.com/tousu/show/id/1350261","从未办理过省呗业务深圳萨摩耶公司私自扣款")</f>
        <v>从未办理过省呗业务深圳萨摩耶公司私自扣款</v>
      </c>
      <c r="C18390" s="2" t="s">
        <v>9</v>
      </c>
      <c r="D18390" s="2" t="s">
        <v>10</v>
      </c>
      <c r="E18390" s="2" t="str">
        <f>HYPERLINK("http://ts.21cn.com/tousu/show/id/1350261","http://ts.21cn.com/tousu/show/id/1350261")</f>
        <v>http://ts.21cn.com/tousu/show/id/1350261</v>
      </c>
      <c r="F18390" s="2" t="s">
        <v>11</v>
      </c>
      <c r="G18390" s="2" t="s">
        <v>8017</v>
      </c>
      <c r="H18390" s="2" t="s">
        <v>8018</v>
      </c>
    </row>
    <row r="18391" spans="1:8" ht="25.05" customHeight="1" x14ac:dyDescent="0.25">
      <c r="A18391" s="2" t="s">
        <v>8</v>
      </c>
      <c r="B18391" s="2" t="str">
        <f>HYPERLINK("http://ts.21cn.com/tousu/show/id/1350262","用超盟金服收款钱被冻结超盟不给处理说是乐刷冻结的资金乐刷又让找超盟一直踢皮球")</f>
        <v>用超盟金服收款钱被冻结超盟不给处理说是乐刷冻结的资金乐刷又让找超盟一直踢皮球</v>
      </c>
      <c r="C18391" s="2" t="s">
        <v>9</v>
      </c>
      <c r="D18391" s="2" t="s">
        <v>10</v>
      </c>
      <c r="E18391" s="2" t="str">
        <f>HYPERLINK("http://ts.21cn.com/tousu/show/id/1350262","http://ts.21cn.com/tousu/show/id/1350262")</f>
        <v>http://ts.21cn.com/tousu/show/id/1350262</v>
      </c>
      <c r="F18391" s="2" t="s">
        <v>11</v>
      </c>
      <c r="G18391" s="2" t="s">
        <v>8015</v>
      </c>
      <c r="H18391" s="2" t="s">
        <v>8016</v>
      </c>
    </row>
    <row r="18392" spans="1:8" ht="25.05" customHeight="1" x14ac:dyDescent="0.25">
      <c r="A18392" s="2" t="s">
        <v>8</v>
      </c>
      <c r="B18392" s="2" t="str">
        <f>HYPERLINK("http://ts.21cn.com/tousu/show/id/1350263","拼多多维护商家，商家承诺失言")</f>
        <v>拼多多维护商家，商家承诺失言</v>
      </c>
      <c r="C18392" s="2" t="s">
        <v>9</v>
      </c>
      <c r="D18392" s="2" t="s">
        <v>10</v>
      </c>
      <c r="E18392" s="2" t="str">
        <f>HYPERLINK("http://ts.21cn.com/tousu/show/id/1350263","http://ts.21cn.com/tousu/show/id/1350263")</f>
        <v>http://ts.21cn.com/tousu/show/id/1350263</v>
      </c>
      <c r="F18392" s="2" t="s">
        <v>11</v>
      </c>
      <c r="G18392" s="2" t="s">
        <v>8013</v>
      </c>
      <c r="H18392" s="2" t="s">
        <v>8014</v>
      </c>
    </row>
    <row r="18393" spans="1:8" ht="25.05" customHeight="1" x14ac:dyDescent="0.25">
      <c r="A18393" s="2" t="s">
        <v>8</v>
      </c>
      <c r="B18393" s="2" t="str">
        <f>HYPERLINK("http://ts.21cn.com/tousu/show/id/1350264","砍头利息，高利贷放款")</f>
        <v>砍头利息，高利贷放款</v>
      </c>
      <c r="C18393" s="2" t="s">
        <v>9</v>
      </c>
      <c r="D18393" s="2" t="s">
        <v>10</v>
      </c>
      <c r="E18393" s="2" t="str">
        <f>HYPERLINK("http://ts.21cn.com/tousu/show/id/1350264","http://ts.21cn.com/tousu/show/id/1350264")</f>
        <v>http://ts.21cn.com/tousu/show/id/1350264</v>
      </c>
      <c r="F18393" s="2" t="s">
        <v>11</v>
      </c>
      <c r="G18393" s="2" t="s">
        <v>8011</v>
      </c>
      <c r="H18393" s="2" t="s">
        <v>8012</v>
      </c>
    </row>
    <row r="18394" spans="1:8" ht="25.05" customHeight="1" x14ac:dyDescent="0.25">
      <c r="A18394" s="2" t="s">
        <v>8</v>
      </c>
      <c r="B18394" s="2" t="str">
        <f>HYPERLINK("http://ts.21cn.com/tousu/show/id/1350265","要求减免利息")</f>
        <v>要求减免利息</v>
      </c>
      <c r="C18394" s="2" t="s">
        <v>9</v>
      </c>
      <c r="D18394" s="2" t="s">
        <v>10</v>
      </c>
      <c r="E18394" s="2" t="str">
        <f>HYPERLINK("http://ts.21cn.com/tousu/show/id/1350265","http://ts.21cn.com/tousu/show/id/1350265")</f>
        <v>http://ts.21cn.com/tousu/show/id/1350265</v>
      </c>
      <c r="F18394" s="2" t="s">
        <v>11</v>
      </c>
      <c r="G18394" s="2" t="s">
        <v>8009</v>
      </c>
      <c r="H18394" s="2" t="s">
        <v>8010</v>
      </c>
    </row>
    <row r="18395" spans="1:8" ht="25.05" customHeight="1" x14ac:dyDescent="0.25">
      <c r="A18395" s="2" t="s">
        <v>8</v>
      </c>
      <c r="B18395" s="2" t="str">
        <f>HYPERLINK("http://ts.21cn.com/tousu/show/id/1350266","新橙优品砍头息骚扰家人恐吓我母亲收取巨额罚息")</f>
        <v>新橙优品砍头息骚扰家人恐吓我母亲收取巨额罚息</v>
      </c>
      <c r="C18395" s="2" t="s">
        <v>9</v>
      </c>
      <c r="D18395" s="2" t="s">
        <v>10</v>
      </c>
      <c r="E18395" s="2" t="str">
        <f>HYPERLINK("http://ts.21cn.com/tousu/show/id/1350266","http://ts.21cn.com/tousu/show/id/1350266")</f>
        <v>http://ts.21cn.com/tousu/show/id/1350266</v>
      </c>
      <c r="F18395" s="2" t="s">
        <v>11</v>
      </c>
      <c r="G18395" s="2" t="s">
        <v>8007</v>
      </c>
      <c r="H18395" s="2" t="s">
        <v>8008</v>
      </c>
    </row>
    <row r="18396" spans="1:8" ht="25.05" customHeight="1" x14ac:dyDescent="0.25">
      <c r="A18396" s="2" t="s">
        <v>8</v>
      </c>
      <c r="B18396" s="2" t="str">
        <f>HYPERLINK("http://ts.21cn.com/tousu/show/id/1350111","交通银行信用卡承诺减免")</f>
        <v>交通银行信用卡承诺减免</v>
      </c>
      <c r="C18396" s="2" t="s">
        <v>9</v>
      </c>
      <c r="D18396" s="2" t="s">
        <v>10</v>
      </c>
      <c r="E18396" s="2" t="str">
        <f>HYPERLINK("http://ts.21cn.com/tousu/show/id/1350111","http://ts.21cn.com/tousu/show/id/1350111")</f>
        <v>http://ts.21cn.com/tousu/show/id/1350111</v>
      </c>
      <c r="F18396" s="2" t="s">
        <v>11</v>
      </c>
      <c r="G18396" s="2" t="s">
        <v>8005</v>
      </c>
      <c r="H18396" s="2" t="s">
        <v>8006</v>
      </c>
    </row>
    <row r="18397" spans="1:8" ht="25.05" customHeight="1" x14ac:dyDescent="0.25">
      <c r="A18397" s="2" t="s">
        <v>8</v>
      </c>
      <c r="B18397" s="2" t="str">
        <f>HYPERLINK("http://ts.21cn.com/tousu/show/id/1350267","交通银行信用卡中信高额罚息")</f>
        <v>交通银行信用卡中信高额罚息</v>
      </c>
      <c r="C18397" s="2" t="s">
        <v>9</v>
      </c>
      <c r="D18397" s="2" t="s">
        <v>10</v>
      </c>
      <c r="E18397" s="2" t="str">
        <f>HYPERLINK("http://ts.21cn.com/tousu/show/id/1350267","http://ts.21cn.com/tousu/show/id/1350267")</f>
        <v>http://ts.21cn.com/tousu/show/id/1350267</v>
      </c>
      <c r="F18397" s="2" t="s">
        <v>11</v>
      </c>
      <c r="G18397" s="2" t="s">
        <v>8003</v>
      </c>
      <c r="H18397" s="2" t="s">
        <v>8004</v>
      </c>
    </row>
    <row r="18398" spans="1:8" ht="25.05" customHeight="1" x14ac:dyDescent="0.25">
      <c r="A18398" s="2" t="s">
        <v>8</v>
      </c>
      <c r="B18398" s="2" t="str">
        <f>HYPERLINK("http://ts.21cn.com/tousu/show/id/1350268","景程旅游违反消费者权益，未消费不允许退款")</f>
        <v>景程旅游违反消费者权益，未消费不允许退款</v>
      </c>
      <c r="C18398" s="2" t="s">
        <v>9</v>
      </c>
      <c r="D18398" s="2" t="s">
        <v>10</v>
      </c>
      <c r="E18398" s="2" t="str">
        <f>HYPERLINK("http://ts.21cn.com/tousu/show/id/1350268","http://ts.21cn.com/tousu/show/id/1350268")</f>
        <v>http://ts.21cn.com/tousu/show/id/1350268</v>
      </c>
      <c r="F18398" s="2" t="s">
        <v>11</v>
      </c>
      <c r="G18398" s="2" t="s">
        <v>8001</v>
      </c>
      <c r="H18398" s="2" t="s">
        <v>8002</v>
      </c>
    </row>
    <row r="18399" spans="1:8" ht="25.05" customHeight="1" x14ac:dyDescent="0.25">
      <c r="A18399" s="2" t="s">
        <v>8</v>
      </c>
      <c r="B18399" s="2" t="str">
        <f>HYPERLINK("http://ts.21cn.com/tousu/show/id/1350269","民生银行委外催收公司冒充国家公检法恶意催收!")</f>
        <v>民生银行委外催收公司冒充国家公检法恶意催收!</v>
      </c>
      <c r="C18399" s="2" t="s">
        <v>9</v>
      </c>
      <c r="D18399" s="2" t="s">
        <v>10</v>
      </c>
      <c r="E18399" s="2" t="str">
        <f>HYPERLINK("http://ts.21cn.com/tousu/show/id/1350269","http://ts.21cn.com/tousu/show/id/1350269")</f>
        <v>http://ts.21cn.com/tousu/show/id/1350269</v>
      </c>
      <c r="F18399" s="2" t="s">
        <v>11</v>
      </c>
      <c r="G18399" s="2" t="s">
        <v>7999</v>
      </c>
      <c r="H18399" s="2" t="s">
        <v>8000</v>
      </c>
    </row>
    <row r="18400" spans="1:8" ht="25.05" customHeight="1" x14ac:dyDescent="0.25">
      <c r="A18400" s="2" t="s">
        <v>8</v>
      </c>
      <c r="B18400" s="2" t="str">
        <f>HYPERLINK("http://ts.21cn.com/tousu/show/id/1350270","速金服自动扣款失败导致逾期，逾期费减免")</f>
        <v>速金服自动扣款失败导致逾期，逾期费减免</v>
      </c>
      <c r="C18400" s="2" t="s">
        <v>9</v>
      </c>
      <c r="D18400" s="2" t="s">
        <v>10</v>
      </c>
      <c r="E18400" s="2" t="str">
        <f>HYPERLINK("http://ts.21cn.com/tousu/show/id/1350270","http://ts.21cn.com/tousu/show/id/1350270")</f>
        <v>http://ts.21cn.com/tousu/show/id/1350270</v>
      </c>
      <c r="F18400" s="2" t="s">
        <v>11</v>
      </c>
      <c r="G18400" s="2" t="s">
        <v>7997</v>
      </c>
      <c r="H18400" s="2" t="s">
        <v>7998</v>
      </c>
    </row>
    <row r="18401" spans="1:8" ht="25.05" customHeight="1" x14ac:dyDescent="0.25">
      <c r="A18401" s="2" t="s">
        <v>8</v>
      </c>
      <c r="B18401" s="2" t="str">
        <f>HYPERLINK("http://ts.21cn.com/tousu/show/id/1350271","微博借钱虚假宣传，隐瞒超高利率造成本人损失")</f>
        <v>微博借钱虚假宣传，隐瞒超高利率造成本人损失</v>
      </c>
      <c r="C18401" s="2" t="s">
        <v>9</v>
      </c>
      <c r="D18401" s="2" t="s">
        <v>10</v>
      </c>
      <c r="E18401" s="2" t="str">
        <f>HYPERLINK("http://ts.21cn.com/tousu/show/id/1350271","http://ts.21cn.com/tousu/show/id/1350271")</f>
        <v>http://ts.21cn.com/tousu/show/id/1350271</v>
      </c>
      <c r="F18401" s="2" t="s">
        <v>11</v>
      </c>
      <c r="G18401" s="2" t="s">
        <v>7995</v>
      </c>
      <c r="H18401" s="2" t="s">
        <v>7996</v>
      </c>
    </row>
    <row r="18402" spans="1:8" ht="25.05" customHeight="1" x14ac:dyDescent="0.25">
      <c r="A18402" s="2" t="s">
        <v>8</v>
      </c>
      <c r="B18402" s="2" t="str">
        <f>HYPERLINK("http://ts.21cn.com/tousu/show/id/1350272","交通银行信用卡逾期，请求办理分期还款")</f>
        <v>交通银行信用卡逾期，请求办理分期还款</v>
      </c>
      <c r="C18402" s="2" t="s">
        <v>9</v>
      </c>
      <c r="D18402" s="2" t="s">
        <v>10</v>
      </c>
      <c r="E18402" s="2" t="str">
        <f>HYPERLINK("http://ts.21cn.com/tousu/show/id/1350272","http://ts.21cn.com/tousu/show/id/1350272")</f>
        <v>http://ts.21cn.com/tousu/show/id/1350272</v>
      </c>
      <c r="F18402" s="2" t="s">
        <v>11</v>
      </c>
      <c r="G18402" s="2" t="s">
        <v>7993</v>
      </c>
      <c r="H18402" s="2" t="s">
        <v>7994</v>
      </c>
    </row>
    <row r="18403" spans="1:8" ht="25.05" customHeight="1" x14ac:dyDescent="0.25">
      <c r="A18403" s="2" t="s">
        <v>8</v>
      </c>
      <c r="B18403" s="2" t="str">
        <f>HYPERLINK("http://ts.21cn.com/tousu/show/id/1350273","宜人万花道歉")</f>
        <v>宜人万花道歉</v>
      </c>
      <c r="C18403" s="2" t="s">
        <v>9</v>
      </c>
      <c r="D18403" s="2" t="s">
        <v>10</v>
      </c>
      <c r="E18403" s="2" t="str">
        <f>HYPERLINK("http://ts.21cn.com/tousu/show/id/1350273","http://ts.21cn.com/tousu/show/id/1350273")</f>
        <v>http://ts.21cn.com/tousu/show/id/1350273</v>
      </c>
      <c r="F18403" s="2" t="s">
        <v>11</v>
      </c>
      <c r="G18403" s="2" t="s">
        <v>7991</v>
      </c>
      <c r="H18403" s="2" t="s">
        <v>7992</v>
      </c>
    </row>
    <row r="18404" spans="1:8" ht="25.05" customHeight="1" x14ac:dyDescent="0.25">
      <c r="A18404" s="2" t="s">
        <v>8</v>
      </c>
      <c r="B18404" s="2" t="str">
        <f>HYPERLINK("http://ts.21cn.com/tousu/show/id/1350274","私自扣钱")</f>
        <v>私自扣钱</v>
      </c>
      <c r="C18404" s="2" t="s">
        <v>9</v>
      </c>
      <c r="D18404" s="2" t="s">
        <v>10</v>
      </c>
      <c r="E18404" s="2" t="str">
        <f>HYPERLINK("http://ts.21cn.com/tousu/show/id/1350274","http://ts.21cn.com/tousu/show/id/1350274")</f>
        <v>http://ts.21cn.com/tousu/show/id/1350274</v>
      </c>
      <c r="F18404" s="2" t="s">
        <v>11</v>
      </c>
      <c r="G18404" s="2" t="s">
        <v>7989</v>
      </c>
      <c r="H18404" s="2" t="s">
        <v>7990</v>
      </c>
    </row>
    <row r="18405" spans="1:8" ht="25.05" customHeight="1" x14ac:dyDescent="0.25">
      <c r="A18405" s="2" t="s">
        <v>8</v>
      </c>
      <c r="B18405" s="2" t="str">
        <f>HYPERLINK("http://ts.21cn.com/tousu/show/id/1350275","闪银哼哼强制购物无法还款")</f>
        <v>闪银哼哼强制购物无法还款</v>
      </c>
      <c r="C18405" s="2" t="s">
        <v>9</v>
      </c>
      <c r="D18405" s="2" t="s">
        <v>10</v>
      </c>
      <c r="E18405" s="2" t="str">
        <f>HYPERLINK("http://ts.21cn.com/tousu/show/id/1350275","http://ts.21cn.com/tousu/show/id/1350275")</f>
        <v>http://ts.21cn.com/tousu/show/id/1350275</v>
      </c>
      <c r="F18405" s="2" t="s">
        <v>11</v>
      </c>
      <c r="G18405" s="2" t="s">
        <v>7987</v>
      </c>
      <c r="H18405" s="2" t="s">
        <v>7988</v>
      </c>
    </row>
    <row r="18406" spans="1:8" ht="25.05" customHeight="1" x14ac:dyDescent="0.25">
      <c r="A18406" s="2" t="s">
        <v>8</v>
      </c>
      <c r="B18406" s="2" t="str">
        <f>HYPERLINK("http://ts.21cn.com/tousu/show/id/1350276","闪银高利贷暴力催收")</f>
        <v>闪银高利贷暴力催收</v>
      </c>
      <c r="C18406" s="2" t="s">
        <v>9</v>
      </c>
      <c r="D18406" s="2" t="s">
        <v>10</v>
      </c>
      <c r="E18406" s="2" t="str">
        <f>HYPERLINK("http://ts.21cn.com/tousu/show/id/1350276","http://ts.21cn.com/tousu/show/id/1350276")</f>
        <v>http://ts.21cn.com/tousu/show/id/1350276</v>
      </c>
      <c r="F18406" s="2" t="s">
        <v>11</v>
      </c>
      <c r="G18406" s="2" t="s">
        <v>7985</v>
      </c>
      <c r="H18406" s="2" t="s">
        <v>7986</v>
      </c>
    </row>
    <row r="18407" spans="1:8" ht="25.05" customHeight="1" x14ac:dyDescent="0.25">
      <c r="A18407" s="2" t="s">
        <v>8</v>
      </c>
      <c r="B18407" s="2" t="str">
        <f>HYPERLINK("http://ts.21cn.com/tousu/show/id/1350277","恐吓催收")</f>
        <v>恐吓催收</v>
      </c>
      <c r="C18407" s="2" t="s">
        <v>9</v>
      </c>
      <c r="D18407" s="2" t="s">
        <v>10</v>
      </c>
      <c r="E18407" s="2" t="str">
        <f>HYPERLINK("http://ts.21cn.com/tousu/show/id/1350277","http://ts.21cn.com/tousu/show/id/1350277")</f>
        <v>http://ts.21cn.com/tousu/show/id/1350277</v>
      </c>
      <c r="F18407" s="2" t="s">
        <v>11</v>
      </c>
      <c r="G18407" s="2" t="s">
        <v>7983</v>
      </c>
      <c r="H18407" s="2" t="s">
        <v>7984</v>
      </c>
    </row>
    <row r="18408" spans="1:8" ht="25.05" customHeight="1" x14ac:dyDescent="0.25">
      <c r="A18408" s="2" t="s">
        <v>8</v>
      </c>
      <c r="B18408" s="2" t="str">
        <f>HYPERLINK("http://ts.21cn.com/tousu/show/id/1350278","钱站平台砍头息")</f>
        <v>钱站平台砍头息</v>
      </c>
      <c r="C18408" s="2" t="s">
        <v>9</v>
      </c>
      <c r="D18408" s="2" t="s">
        <v>10</v>
      </c>
      <c r="E18408" s="2" t="str">
        <f>HYPERLINK("http://ts.21cn.com/tousu/show/id/1350278","http://ts.21cn.com/tousu/show/id/1350278")</f>
        <v>http://ts.21cn.com/tousu/show/id/1350278</v>
      </c>
      <c r="F18408" s="2" t="s">
        <v>11</v>
      </c>
      <c r="G18408" s="2" t="s">
        <v>7981</v>
      </c>
      <c r="H18408" s="2" t="s">
        <v>7982</v>
      </c>
    </row>
    <row r="18409" spans="1:8" ht="25.05" customHeight="1" x14ac:dyDescent="0.25">
      <c r="A18409" s="2" t="s">
        <v>8</v>
      </c>
      <c r="B18409" s="2" t="str">
        <f>HYPERLINK("http://ts.21cn.com/tousu/show/id/1350279","京东商城无法下单手机类商品")</f>
        <v>京东商城无法下单手机类商品</v>
      </c>
      <c r="C18409" s="2" t="s">
        <v>9</v>
      </c>
      <c r="D18409" s="2" t="s">
        <v>10</v>
      </c>
      <c r="E18409" s="2" t="str">
        <f>HYPERLINK("http://ts.21cn.com/tousu/show/id/1350279","http://ts.21cn.com/tousu/show/id/1350279")</f>
        <v>http://ts.21cn.com/tousu/show/id/1350279</v>
      </c>
      <c r="F18409" s="2" t="s">
        <v>11</v>
      </c>
      <c r="G18409" s="2" t="s">
        <v>7979</v>
      </c>
      <c r="H18409" s="2" t="s">
        <v>7980</v>
      </c>
    </row>
    <row r="18410" spans="1:8" ht="25.05" customHeight="1" x14ac:dyDescent="0.25">
      <c r="A18410" s="2" t="s">
        <v>8</v>
      </c>
      <c r="B18410" s="2" t="str">
        <f>HYPERLINK("http://ts.21cn.com/tousu/show/id/1350280","汇潮支付为高炮王者钱包提供第三方支付！！要求协商还款！！")</f>
        <v>汇潮支付为高炮王者钱包提供第三方支付！！要求协商还款！！</v>
      </c>
      <c r="C18410" s="2" t="s">
        <v>9</v>
      </c>
      <c r="D18410" s="2" t="s">
        <v>10</v>
      </c>
      <c r="E18410" s="2" t="str">
        <f>HYPERLINK("http://ts.21cn.com/tousu/show/id/1350280","http://ts.21cn.com/tousu/show/id/1350280")</f>
        <v>http://ts.21cn.com/tousu/show/id/1350280</v>
      </c>
      <c r="F18410" s="2" t="s">
        <v>11</v>
      </c>
      <c r="G18410" s="2" t="s">
        <v>7977</v>
      </c>
      <c r="H18410" s="2" t="s">
        <v>7978</v>
      </c>
    </row>
    <row r="18411" spans="1:8" ht="25.05" customHeight="1" x14ac:dyDescent="0.25">
      <c r="A18411" s="2" t="s">
        <v>8</v>
      </c>
      <c r="B18411" s="2" t="str">
        <f>HYPERLINK("http://ts.21cn.com/tousu/show/id/1350281","信息泄露")</f>
        <v>信息泄露</v>
      </c>
      <c r="C18411" s="2" t="s">
        <v>9</v>
      </c>
      <c r="D18411" s="2" t="s">
        <v>10</v>
      </c>
      <c r="E18411" s="2" t="str">
        <f>HYPERLINK("http://ts.21cn.com/tousu/show/id/1350281","http://ts.21cn.com/tousu/show/id/1350281")</f>
        <v>http://ts.21cn.com/tousu/show/id/1350281</v>
      </c>
      <c r="F18411" s="2" t="s">
        <v>11</v>
      </c>
      <c r="G18411" s="2" t="s">
        <v>7975</v>
      </c>
      <c r="H18411" s="2" t="s">
        <v>7976</v>
      </c>
    </row>
    <row r="18412" spans="1:8" ht="25.05" customHeight="1" x14ac:dyDescent="0.25">
      <c r="A18412" s="2" t="s">
        <v>8</v>
      </c>
      <c r="B18412" s="2" t="str">
        <f>HYPERLINK("http://ts.21cn.com/tousu/show/id/1350282","退还咨询费")</f>
        <v>退还咨询费</v>
      </c>
      <c r="C18412" s="2" t="s">
        <v>9</v>
      </c>
      <c r="D18412" s="2" t="s">
        <v>10</v>
      </c>
      <c r="E18412" s="2" t="str">
        <f>HYPERLINK("http://ts.21cn.com/tousu/show/id/1350282","http://ts.21cn.com/tousu/show/id/1350282")</f>
        <v>http://ts.21cn.com/tousu/show/id/1350282</v>
      </c>
      <c r="F18412" s="2" t="s">
        <v>11</v>
      </c>
      <c r="G18412" s="2" t="s">
        <v>7973</v>
      </c>
      <c r="H18412" s="2" t="s">
        <v>7974</v>
      </c>
    </row>
    <row r="18413" spans="1:8" ht="25.05" customHeight="1" x14ac:dyDescent="0.25">
      <c r="A18413" s="2" t="s">
        <v>8</v>
      </c>
      <c r="B18413" s="2" t="str">
        <f>HYPERLINK("http://ts.21cn.com/tousu/show/id/1350283","利息过高")</f>
        <v>利息过高</v>
      </c>
      <c r="C18413" s="2" t="s">
        <v>9</v>
      </c>
      <c r="D18413" s="2" t="s">
        <v>10</v>
      </c>
      <c r="E18413" s="2" t="str">
        <f>HYPERLINK("http://ts.21cn.com/tousu/show/id/1350283","http://ts.21cn.com/tousu/show/id/1350283")</f>
        <v>http://ts.21cn.com/tousu/show/id/1350283</v>
      </c>
      <c r="F18413" s="2" t="s">
        <v>11</v>
      </c>
      <c r="G18413" s="2" t="s">
        <v>7971</v>
      </c>
      <c r="H18413" s="2" t="s">
        <v>7972</v>
      </c>
    </row>
    <row r="18414" spans="1:8" ht="25.05" customHeight="1" x14ac:dyDescent="0.25">
      <c r="A18414" s="2" t="s">
        <v>8</v>
      </c>
      <c r="B18414" s="2" t="str">
        <f>HYPERLINK("http://ts.21cn.com/tousu/show/id/1350284","嗨学网高价售卖课程，虚假宣传，过度承诺还拒绝退还学费")</f>
        <v>嗨学网高价售卖课程，虚假宣传，过度承诺还拒绝退还学费</v>
      </c>
      <c r="C18414" s="2" t="s">
        <v>9</v>
      </c>
      <c r="D18414" s="2" t="s">
        <v>10</v>
      </c>
      <c r="E18414" s="2" t="str">
        <f>HYPERLINK("http://ts.21cn.com/tousu/show/id/1350284","http://ts.21cn.com/tousu/show/id/1350284")</f>
        <v>http://ts.21cn.com/tousu/show/id/1350284</v>
      </c>
      <c r="F18414" s="2" t="s">
        <v>11</v>
      </c>
      <c r="G18414" s="2" t="s">
        <v>7969</v>
      </c>
      <c r="H18414" s="2" t="s">
        <v>7970</v>
      </c>
    </row>
    <row r="18415" spans="1:8" ht="25.05" customHeight="1" x14ac:dyDescent="0.25">
      <c r="A18415" s="2" t="s">
        <v>8</v>
      </c>
      <c r="B18415" s="2" t="str">
        <f>HYPERLINK("http://ts.21cn.com/tousu/show/id/1350286","银盛POS机")</f>
        <v>银盛POS机</v>
      </c>
      <c r="C18415" s="2" t="s">
        <v>9</v>
      </c>
      <c r="D18415" s="2" t="s">
        <v>10</v>
      </c>
      <c r="E18415" s="2" t="str">
        <f>HYPERLINK("http://ts.21cn.com/tousu/show/id/1350286","http://ts.21cn.com/tousu/show/id/1350286")</f>
        <v>http://ts.21cn.com/tousu/show/id/1350286</v>
      </c>
      <c r="F18415" s="2" t="s">
        <v>11</v>
      </c>
      <c r="G18415" s="2" t="s">
        <v>7967</v>
      </c>
      <c r="H18415" s="2" t="s">
        <v>7968</v>
      </c>
    </row>
    <row r="18416" spans="1:8" ht="25.05" customHeight="1" x14ac:dyDescent="0.25">
      <c r="A18416" s="2" t="s">
        <v>8</v>
      </c>
      <c r="B18416" s="2" t="str">
        <f>HYPERLINK("http://ts.21cn.com/tousu/show/id/1350285","汇潮支付为赌博输平台收单，请求为我退款挽回经济损失")</f>
        <v>汇潮支付为赌博输平台收单，请求为我退款挽回经济损失</v>
      </c>
      <c r="C18416" s="2" t="s">
        <v>9</v>
      </c>
      <c r="D18416" s="2" t="s">
        <v>10</v>
      </c>
      <c r="E18416" s="2" t="str">
        <f>HYPERLINK("http://ts.21cn.com/tousu/show/id/1350285","http://ts.21cn.com/tousu/show/id/1350285")</f>
        <v>http://ts.21cn.com/tousu/show/id/1350285</v>
      </c>
      <c r="F18416" s="2" t="s">
        <v>11</v>
      </c>
      <c r="G18416" s="2" t="s">
        <v>7965</v>
      </c>
      <c r="H18416" s="2" t="s">
        <v>7966</v>
      </c>
    </row>
    <row r="18417" spans="1:8" ht="25.05" customHeight="1" x14ac:dyDescent="0.25">
      <c r="A18417" s="2" t="s">
        <v>8</v>
      </c>
      <c r="B18417" s="2" t="str">
        <f>HYPERLINK("http://ts.21cn.com/tousu/show/id/1350290","闪银收前期多个放贷渠道涉嫌套路贷")</f>
        <v>闪银收前期多个放贷渠道涉嫌套路贷</v>
      </c>
      <c r="C18417" s="2" t="s">
        <v>9</v>
      </c>
      <c r="D18417" s="2" t="s">
        <v>10</v>
      </c>
      <c r="E18417" s="2" t="str">
        <f>HYPERLINK("http://ts.21cn.com/tousu/show/id/1350290","http://ts.21cn.com/tousu/show/id/1350290")</f>
        <v>http://ts.21cn.com/tousu/show/id/1350290</v>
      </c>
      <c r="F18417" s="2" t="s">
        <v>11</v>
      </c>
      <c r="G18417" s="2" t="s">
        <v>7963</v>
      </c>
      <c r="H18417" s="2" t="s">
        <v>7964</v>
      </c>
    </row>
    <row r="18418" spans="1:8" ht="25.05" customHeight="1" x14ac:dyDescent="0.25">
      <c r="A18418" s="2" t="s">
        <v>8</v>
      </c>
      <c r="B18418" s="2" t="str">
        <f>HYPERLINK("http://ts.21cn.com/tousu/show/id/1350289","拍拍贷就是高利贷")</f>
        <v>拍拍贷就是高利贷</v>
      </c>
      <c r="C18418" s="2" t="s">
        <v>9</v>
      </c>
      <c r="D18418" s="2" t="s">
        <v>10</v>
      </c>
      <c r="E18418" s="2" t="str">
        <f>HYPERLINK("http://ts.21cn.com/tousu/show/id/1350289","http://ts.21cn.com/tousu/show/id/1350289")</f>
        <v>http://ts.21cn.com/tousu/show/id/1350289</v>
      </c>
      <c r="F18418" s="2" t="s">
        <v>11</v>
      </c>
      <c r="G18418" s="2" t="s">
        <v>7961</v>
      </c>
      <c r="H18418" s="2" t="s">
        <v>7962</v>
      </c>
    </row>
    <row r="18419" spans="1:8" ht="25.05" customHeight="1" x14ac:dyDescent="0.25">
      <c r="A18419" s="2" t="s">
        <v>8</v>
      </c>
      <c r="B18419" s="2" t="str">
        <f>HYPERLINK("http://ts.21cn.com/tousu/show/id/1350291","招联金融诱导消费者借款，不诚信。")</f>
        <v>招联金融诱导消费者借款，不诚信。</v>
      </c>
      <c r="C18419" s="2" t="s">
        <v>9</v>
      </c>
      <c r="D18419" s="2" t="s">
        <v>10</v>
      </c>
      <c r="E18419" s="2" t="str">
        <f>HYPERLINK("http://ts.21cn.com/tousu/show/id/1350291","http://ts.21cn.com/tousu/show/id/1350291")</f>
        <v>http://ts.21cn.com/tousu/show/id/1350291</v>
      </c>
      <c r="F18419" s="2" t="s">
        <v>11</v>
      </c>
      <c r="G18419" s="2" t="s">
        <v>7959</v>
      </c>
      <c r="H18419" s="2" t="s">
        <v>7960</v>
      </c>
    </row>
    <row r="18420" spans="1:8" ht="25.05" customHeight="1" x14ac:dyDescent="0.25">
      <c r="A18420" s="2" t="s">
        <v>8</v>
      </c>
      <c r="B18420" s="2" t="str">
        <f>HYPERLINK("http://ts.21cn.com/tousu/show/id/1350292","王者钱包利息太高，协商还款")</f>
        <v>王者钱包利息太高，协商还款</v>
      </c>
      <c r="C18420" s="2" t="s">
        <v>9</v>
      </c>
      <c r="D18420" s="2" t="s">
        <v>10</v>
      </c>
      <c r="E18420" s="2" t="str">
        <f>HYPERLINK("http://ts.21cn.com/tousu/show/id/1350292","http://ts.21cn.com/tousu/show/id/1350292")</f>
        <v>http://ts.21cn.com/tousu/show/id/1350292</v>
      </c>
      <c r="F18420" s="2" t="s">
        <v>11</v>
      </c>
      <c r="G18420" s="2" t="s">
        <v>7957</v>
      </c>
      <c r="H18420" s="2" t="s">
        <v>7958</v>
      </c>
    </row>
    <row r="18421" spans="1:8" ht="25.05" customHeight="1" x14ac:dyDescent="0.25">
      <c r="A18421" s="2" t="s">
        <v>8</v>
      </c>
      <c r="B18421" s="2" t="str">
        <f>HYPERLINK("http://ts.21cn.com/tousu/show/id/1350187","新橙优品利息高的离谱，收砍头息")</f>
        <v>新橙优品利息高的离谱，收砍头息</v>
      </c>
      <c r="C18421" s="2" t="s">
        <v>9</v>
      </c>
      <c r="D18421" s="2" t="s">
        <v>10</v>
      </c>
      <c r="E18421" s="2" t="str">
        <f>HYPERLINK("http://ts.21cn.com/tousu/show/id/1350187","http://ts.21cn.com/tousu/show/id/1350187")</f>
        <v>http://ts.21cn.com/tousu/show/id/1350187</v>
      </c>
      <c r="F18421" s="2" t="s">
        <v>11</v>
      </c>
      <c r="G18421" s="2" t="s">
        <v>7954</v>
      </c>
      <c r="H18421" s="2" t="s">
        <v>7955</v>
      </c>
    </row>
    <row r="18422" spans="1:8" ht="25.05" customHeight="1" x14ac:dyDescent="0.25">
      <c r="A18422" s="2" t="s">
        <v>8</v>
      </c>
      <c r="B18422" s="2" t="str">
        <f>HYPERLINK("http://ts.21cn.com/tousu/show/id/1350293","招联金融冒用身份恐吓侮辱")</f>
        <v>招联金融冒用身份恐吓侮辱</v>
      </c>
      <c r="C18422" s="2" t="s">
        <v>9</v>
      </c>
      <c r="D18422" s="2" t="s">
        <v>10</v>
      </c>
      <c r="E18422" s="2" t="str">
        <f>HYPERLINK("http://ts.21cn.com/tousu/show/id/1350293","http://ts.21cn.com/tousu/show/id/1350293")</f>
        <v>http://ts.21cn.com/tousu/show/id/1350293</v>
      </c>
      <c r="F18422" s="2" t="s">
        <v>11</v>
      </c>
      <c r="G18422" s="2" t="s">
        <v>7954</v>
      </c>
      <c r="H18422" s="2" t="s">
        <v>7956</v>
      </c>
    </row>
    <row r="18423" spans="1:8" ht="25.05" customHeight="1" x14ac:dyDescent="0.25">
      <c r="A18423" s="2" t="s">
        <v>8</v>
      </c>
      <c r="B18423" s="2" t="str">
        <f>HYPERLINK("http://ts.21cn.com/tousu/show/id/1350295","协商还款")</f>
        <v>协商还款</v>
      </c>
      <c r="C18423" s="2" t="s">
        <v>9</v>
      </c>
      <c r="D18423" s="2" t="s">
        <v>10</v>
      </c>
      <c r="E18423" s="2" t="str">
        <f>HYPERLINK("http://ts.21cn.com/tousu/show/id/1350295","http://ts.21cn.com/tousu/show/id/1350295")</f>
        <v>http://ts.21cn.com/tousu/show/id/1350295</v>
      </c>
      <c r="F18423" s="2" t="s">
        <v>11</v>
      </c>
      <c r="G18423" s="2" t="s">
        <v>7952</v>
      </c>
      <c r="H18423" s="2" t="s">
        <v>7953</v>
      </c>
    </row>
    <row r="18424" spans="1:8" ht="25.05" customHeight="1" x14ac:dyDescent="0.25">
      <c r="A18424" s="2" t="s">
        <v>8</v>
      </c>
      <c r="B18424" s="2" t="str">
        <f>HYPERLINK("http://ts.21cn.com/tousu/show/id/1350296","非本人办理信用卡透支产生信用问题，要求回复征信信用")</f>
        <v>非本人办理信用卡透支产生信用问题，要求回复征信信用</v>
      </c>
      <c r="C18424" s="2" t="s">
        <v>9</v>
      </c>
      <c r="D18424" s="2" t="s">
        <v>10</v>
      </c>
      <c r="E18424" s="2" t="str">
        <f>HYPERLINK("http://ts.21cn.com/tousu/show/id/1350296","http://ts.21cn.com/tousu/show/id/1350296")</f>
        <v>http://ts.21cn.com/tousu/show/id/1350296</v>
      </c>
      <c r="F18424" s="2" t="s">
        <v>11</v>
      </c>
      <c r="G18424" s="2" t="s">
        <v>7950</v>
      </c>
      <c r="H18424" s="2" t="s">
        <v>7951</v>
      </c>
    </row>
    <row r="18425" spans="1:8" ht="25.05" customHeight="1" x14ac:dyDescent="0.25">
      <c r="A18425" s="2" t="s">
        <v>8</v>
      </c>
      <c r="B18425" s="2" t="str">
        <f>HYPERLINK("http://ts.21cn.com/tousu/show/id/1350297","钱站恶意扣款")</f>
        <v>钱站恶意扣款</v>
      </c>
      <c r="C18425" s="2" t="s">
        <v>9</v>
      </c>
      <c r="D18425" s="2" t="s">
        <v>10</v>
      </c>
      <c r="E18425" s="2" t="str">
        <f>HYPERLINK("http://ts.21cn.com/tousu/show/id/1350297","http://ts.21cn.com/tousu/show/id/1350297")</f>
        <v>http://ts.21cn.com/tousu/show/id/1350297</v>
      </c>
      <c r="F18425" s="2" t="s">
        <v>11</v>
      </c>
      <c r="G18425" s="2" t="s">
        <v>7948</v>
      </c>
      <c r="H18425" s="2" t="s">
        <v>7949</v>
      </c>
    </row>
    <row r="18426" spans="1:8" ht="25.05" customHeight="1" x14ac:dyDescent="0.25">
      <c r="A18426" s="2" t="s">
        <v>8</v>
      </c>
      <c r="B18426" s="2" t="str">
        <f>HYPERLINK("http://ts.21cn.com/tousu/show/id/1350251","阿尔法平台欺诈资金")</f>
        <v>阿尔法平台欺诈资金</v>
      </c>
      <c r="C18426" s="2" t="s">
        <v>9</v>
      </c>
      <c r="D18426" s="2" t="s">
        <v>10</v>
      </c>
      <c r="E18426" s="2" t="str">
        <f>HYPERLINK("http://ts.21cn.com/tousu/show/id/1350251","http://ts.21cn.com/tousu/show/id/1350251")</f>
        <v>http://ts.21cn.com/tousu/show/id/1350251</v>
      </c>
      <c r="F18426" s="2" t="s">
        <v>11</v>
      </c>
      <c r="G18426" s="2" t="s">
        <v>7946</v>
      </c>
      <c r="H18426" s="2" t="s">
        <v>7947</v>
      </c>
    </row>
    <row r="18427" spans="1:8" ht="25.05" customHeight="1" x14ac:dyDescent="0.25">
      <c r="A18427" s="2" t="s">
        <v>8</v>
      </c>
      <c r="B18427" s="2" t="str">
        <f>HYPERLINK("http://ts.21cn.com/tousu/show/id/1350299","北京百度网讯科技有限公司自动扣费问题")</f>
        <v>北京百度网讯科技有限公司自动扣费问题</v>
      </c>
      <c r="C18427" s="2" t="s">
        <v>9</v>
      </c>
      <c r="D18427" s="2" t="s">
        <v>10</v>
      </c>
      <c r="E18427" s="2" t="str">
        <f>HYPERLINK("http://ts.21cn.com/tousu/show/id/1350299","http://ts.21cn.com/tousu/show/id/1350299")</f>
        <v>http://ts.21cn.com/tousu/show/id/1350299</v>
      </c>
      <c r="F18427" s="2" t="s">
        <v>11</v>
      </c>
      <c r="G18427" s="2" t="s">
        <v>7944</v>
      </c>
      <c r="H18427" s="2" t="s">
        <v>7945</v>
      </c>
    </row>
    <row r="18428" spans="1:8" ht="25.05" customHeight="1" x14ac:dyDescent="0.25">
      <c r="A18428" s="2" t="s">
        <v>8</v>
      </c>
      <c r="B18428" s="2" t="str">
        <f>HYPERLINK("http://ts.21cn.com/tousu/show/id/1350298","玖富万卡擅自改写合同，变相收取费用，高利贷")</f>
        <v>玖富万卡擅自改写合同，变相收取费用，高利贷</v>
      </c>
      <c r="C18428" s="2" t="s">
        <v>9</v>
      </c>
      <c r="D18428" s="2" t="s">
        <v>10</v>
      </c>
      <c r="E18428" s="2" t="str">
        <f>HYPERLINK("http://ts.21cn.com/tousu/show/id/1350298","http://ts.21cn.com/tousu/show/id/1350298")</f>
        <v>http://ts.21cn.com/tousu/show/id/1350298</v>
      </c>
      <c r="F18428" s="2" t="s">
        <v>11</v>
      </c>
      <c r="G18428" s="2" t="s">
        <v>7942</v>
      </c>
      <c r="H18428" s="2" t="s">
        <v>7943</v>
      </c>
    </row>
    <row r="18429" spans="1:8" ht="25.05" customHeight="1" x14ac:dyDescent="0.25">
      <c r="A18429" s="2" t="s">
        <v>8</v>
      </c>
      <c r="B18429" s="2" t="str">
        <f>HYPERLINK("http://ts.21cn.com/tousu/show/id/1350302","北京恒昌恒易融砍头息、高利贷、阴阳合同")</f>
        <v>北京恒昌恒易融砍头息、高利贷、阴阳合同</v>
      </c>
      <c r="C18429" s="2" t="s">
        <v>9</v>
      </c>
      <c r="D18429" s="2" t="s">
        <v>10</v>
      </c>
      <c r="E18429" s="2" t="str">
        <f>HYPERLINK("http://ts.21cn.com/tousu/show/id/1350302","http://ts.21cn.com/tousu/show/id/1350302")</f>
        <v>http://ts.21cn.com/tousu/show/id/1350302</v>
      </c>
      <c r="F18429" s="2" t="s">
        <v>11</v>
      </c>
      <c r="G18429" s="2" t="s">
        <v>7940</v>
      </c>
      <c r="H18429" s="2" t="s">
        <v>7941</v>
      </c>
    </row>
    <row r="18430" spans="1:8" ht="25.05" customHeight="1" x14ac:dyDescent="0.25">
      <c r="A18430" s="2" t="s">
        <v>8</v>
      </c>
      <c r="B18430" s="2" t="str">
        <f>HYPERLINK("http://ts.21cn.com/tousu/show/id/1350300","小米贷款威胁爆通讯录")</f>
        <v>小米贷款威胁爆通讯录</v>
      </c>
      <c r="C18430" s="2" t="s">
        <v>9</v>
      </c>
      <c r="D18430" s="2" t="s">
        <v>10</v>
      </c>
      <c r="E18430" s="2" t="str">
        <f>HYPERLINK("http://ts.21cn.com/tousu/show/id/1350300","http://ts.21cn.com/tousu/show/id/1350300")</f>
        <v>http://ts.21cn.com/tousu/show/id/1350300</v>
      </c>
      <c r="F18430" s="2" t="s">
        <v>11</v>
      </c>
      <c r="G18430" s="2" t="s">
        <v>7938</v>
      </c>
      <c r="H18430" s="2" t="s">
        <v>7939</v>
      </c>
    </row>
    <row r="18431" spans="1:8" ht="25.05" customHeight="1" x14ac:dyDescent="0.25">
      <c r="A18431" s="2" t="s">
        <v>8</v>
      </c>
      <c r="B18431" s="2" t="str">
        <f>HYPERLINK("http://ts.21cn.com/tousu/show/id/1350301","恶意骚扰信息恐吓")</f>
        <v>恶意骚扰信息恐吓</v>
      </c>
      <c r="C18431" s="2" t="s">
        <v>9</v>
      </c>
      <c r="D18431" s="2" t="s">
        <v>10</v>
      </c>
      <c r="E18431" s="2" t="str">
        <f>HYPERLINK("http://ts.21cn.com/tousu/show/id/1350301","http://ts.21cn.com/tousu/show/id/1350301")</f>
        <v>http://ts.21cn.com/tousu/show/id/1350301</v>
      </c>
      <c r="F18431" s="2" t="s">
        <v>11</v>
      </c>
      <c r="G18431" s="2" t="s">
        <v>7936</v>
      </c>
      <c r="H18431" s="2" t="s">
        <v>7937</v>
      </c>
    </row>
    <row r="18432" spans="1:8" ht="25.05" customHeight="1" x14ac:dyDescent="0.25">
      <c r="A18432" s="2" t="s">
        <v>8</v>
      </c>
      <c r="B18432" s="2" t="str">
        <f>HYPERLINK("http://ts.21cn.com/tousu/show/id/1350303","建设银行信用卡委托第三力暴力催收")</f>
        <v>建设银行信用卡委托第三力暴力催收</v>
      </c>
      <c r="C18432" s="2" t="s">
        <v>9</v>
      </c>
      <c r="D18432" s="2" t="s">
        <v>10</v>
      </c>
      <c r="E18432" s="2" t="str">
        <f>HYPERLINK("http://ts.21cn.com/tousu/show/id/1350303","http://ts.21cn.com/tousu/show/id/1350303")</f>
        <v>http://ts.21cn.com/tousu/show/id/1350303</v>
      </c>
      <c r="F18432" s="2" t="s">
        <v>11</v>
      </c>
      <c r="G18432" s="2" t="s">
        <v>7934</v>
      </c>
      <c r="H18432" s="2" t="s">
        <v>7935</v>
      </c>
    </row>
    <row r="18433" spans="1:8" ht="25.05" customHeight="1" x14ac:dyDescent="0.25">
      <c r="A18433" s="2" t="s">
        <v>8</v>
      </c>
      <c r="B18433" s="2" t="str">
        <f>HYPERLINK("http://ts.21cn.com/tousu/show/id/1350304","聚富钱包恶意扣钱不提供服务")</f>
        <v>聚富钱包恶意扣钱不提供服务</v>
      </c>
      <c r="C18433" s="2" t="s">
        <v>9</v>
      </c>
      <c r="D18433" s="2" t="s">
        <v>10</v>
      </c>
      <c r="E18433" s="2" t="str">
        <f>HYPERLINK("http://ts.21cn.com/tousu/show/id/1350304","http://ts.21cn.com/tousu/show/id/1350304")</f>
        <v>http://ts.21cn.com/tousu/show/id/1350304</v>
      </c>
      <c r="F18433" s="2" t="s">
        <v>11</v>
      </c>
      <c r="G18433" s="2" t="s">
        <v>7932</v>
      </c>
      <c r="H18433" s="2" t="s">
        <v>7933</v>
      </c>
    </row>
    <row r="18434" spans="1:8" ht="25.05" customHeight="1" x14ac:dyDescent="0.25">
      <c r="A18434" s="2" t="s">
        <v>8</v>
      </c>
      <c r="B18434" s="2" t="str">
        <f>HYPERLINK("http://ts.21cn.com/tousu/show/id/1350306","未按约定时间发货")</f>
        <v>未按约定时间发货</v>
      </c>
      <c r="C18434" s="2" t="s">
        <v>9</v>
      </c>
      <c r="D18434" s="2" t="s">
        <v>10</v>
      </c>
      <c r="E18434" s="2" t="str">
        <f>HYPERLINK("http://ts.21cn.com/tousu/show/id/1350306","http://ts.21cn.com/tousu/show/id/1350306")</f>
        <v>http://ts.21cn.com/tousu/show/id/1350306</v>
      </c>
      <c r="F18434" s="2" t="s">
        <v>11</v>
      </c>
      <c r="G18434" s="2" t="s">
        <v>7930</v>
      </c>
      <c r="H18434" s="2" t="s">
        <v>7931</v>
      </c>
    </row>
    <row r="18435" spans="1:8" ht="25.05" customHeight="1" x14ac:dyDescent="0.25">
      <c r="A18435" s="2" t="s">
        <v>8</v>
      </c>
      <c r="B18435" s="2" t="str">
        <f>HYPERLINK("http://ts.21cn.com/tousu/show/id/1350305","六天小贷，暴力威胁")</f>
        <v>六天小贷，暴力威胁</v>
      </c>
      <c r="C18435" s="2" t="s">
        <v>9</v>
      </c>
      <c r="D18435" s="2" t="s">
        <v>10</v>
      </c>
      <c r="E18435" s="2" t="str">
        <f>HYPERLINK("http://ts.21cn.com/tousu/show/id/1350305","http://ts.21cn.com/tousu/show/id/1350305")</f>
        <v>http://ts.21cn.com/tousu/show/id/1350305</v>
      </c>
      <c r="F18435" s="2" t="s">
        <v>11</v>
      </c>
      <c r="G18435" s="2" t="s">
        <v>7928</v>
      </c>
      <c r="H18435" s="2" t="s">
        <v>7929</v>
      </c>
    </row>
    <row r="18436" spans="1:8" ht="25.05" customHeight="1" x14ac:dyDescent="0.25">
      <c r="A18436" s="2" t="s">
        <v>8</v>
      </c>
      <c r="B18436" s="2" t="str">
        <f>HYPERLINK("http://ts.21cn.com/tousu/show/id/1350308","拍拍贷无视警告，继续骚扰我公司固话")</f>
        <v>拍拍贷无视警告，继续骚扰我公司固话</v>
      </c>
      <c r="C18436" s="2" t="s">
        <v>9</v>
      </c>
      <c r="D18436" s="2" t="s">
        <v>10</v>
      </c>
      <c r="E18436" s="2" t="str">
        <f>HYPERLINK("http://ts.21cn.com/tousu/show/id/1350308","http://ts.21cn.com/tousu/show/id/1350308")</f>
        <v>http://ts.21cn.com/tousu/show/id/1350308</v>
      </c>
      <c r="F18436" s="2" t="s">
        <v>11</v>
      </c>
      <c r="G18436" s="2" t="s">
        <v>7926</v>
      </c>
      <c r="H18436" s="2" t="s">
        <v>7927</v>
      </c>
    </row>
    <row r="18437" spans="1:8" ht="25.05" customHeight="1" x14ac:dyDescent="0.25">
      <c r="A18437" s="2" t="s">
        <v>8</v>
      </c>
      <c r="B18437" s="2" t="str">
        <f>HYPERLINK("http://ts.21cn.com/tousu/show/id/1350307","被骚扰")</f>
        <v>被骚扰</v>
      </c>
      <c r="C18437" s="2" t="s">
        <v>9</v>
      </c>
      <c r="D18437" s="2" t="s">
        <v>10</v>
      </c>
      <c r="E18437" s="2" t="str">
        <f>HYPERLINK("http://ts.21cn.com/tousu/show/id/1350307","http://ts.21cn.com/tousu/show/id/1350307")</f>
        <v>http://ts.21cn.com/tousu/show/id/1350307</v>
      </c>
      <c r="F18437" s="2" t="s">
        <v>11</v>
      </c>
      <c r="G18437" s="2" t="s">
        <v>7924</v>
      </c>
      <c r="H18437" s="2" t="s">
        <v>7925</v>
      </c>
    </row>
    <row r="18438" spans="1:8" ht="25.05" customHeight="1" x14ac:dyDescent="0.25">
      <c r="A18438" s="2" t="s">
        <v>8</v>
      </c>
      <c r="B18438" s="2" t="str">
        <f>HYPERLINK("http://ts.21cn.com/tousu/show/id/1350310","误导消费随意扣款")</f>
        <v>误导消费随意扣款</v>
      </c>
      <c r="C18438" s="2" t="s">
        <v>9</v>
      </c>
      <c r="D18438" s="2" t="s">
        <v>10</v>
      </c>
      <c r="E18438" s="2" t="str">
        <f>HYPERLINK("http://ts.21cn.com/tousu/show/id/1350310","http://ts.21cn.com/tousu/show/id/1350310")</f>
        <v>http://ts.21cn.com/tousu/show/id/1350310</v>
      </c>
      <c r="F18438" s="2" t="s">
        <v>11</v>
      </c>
      <c r="G18438" s="2" t="s">
        <v>7922</v>
      </c>
      <c r="H18438" s="2" t="s">
        <v>7923</v>
      </c>
    </row>
    <row r="18439" spans="1:8" ht="25.05" customHeight="1" x14ac:dyDescent="0.25">
      <c r="A18439" s="2" t="s">
        <v>8</v>
      </c>
      <c r="B18439" s="2" t="str">
        <f>HYPERLINK("http://ts.21cn.com/tousu/show/id/1350312","交通银行信用卡电话轰炸")</f>
        <v>交通银行信用卡电话轰炸</v>
      </c>
      <c r="C18439" s="2" t="s">
        <v>9</v>
      </c>
      <c r="D18439" s="2" t="s">
        <v>10</v>
      </c>
      <c r="E18439" s="2" t="str">
        <f>HYPERLINK("http://ts.21cn.com/tousu/show/id/1350312","http://ts.21cn.com/tousu/show/id/1350312")</f>
        <v>http://ts.21cn.com/tousu/show/id/1350312</v>
      </c>
      <c r="F18439" s="2" t="s">
        <v>11</v>
      </c>
      <c r="G18439" s="2" t="s">
        <v>7920</v>
      </c>
      <c r="H18439" s="2" t="s">
        <v>7921</v>
      </c>
    </row>
    <row r="18440" spans="1:8" ht="25.05" customHeight="1" x14ac:dyDescent="0.25">
      <c r="A18440" s="2" t="s">
        <v>8</v>
      </c>
      <c r="B18440" s="2" t="str">
        <f>HYPERLINK("http://ts.21cn.com/tousu/show/id/1350313","分期通恶意收取会员费用")</f>
        <v>分期通恶意收取会员费用</v>
      </c>
      <c r="C18440" s="2" t="s">
        <v>9</v>
      </c>
      <c r="D18440" s="2" t="s">
        <v>10</v>
      </c>
      <c r="E18440" s="2" t="str">
        <f>HYPERLINK("http://ts.21cn.com/tousu/show/id/1350313","http://ts.21cn.com/tousu/show/id/1350313")</f>
        <v>http://ts.21cn.com/tousu/show/id/1350313</v>
      </c>
      <c r="F18440" s="2" t="s">
        <v>11</v>
      </c>
      <c r="G18440" s="2" t="s">
        <v>7918</v>
      </c>
      <c r="H18440" s="2" t="s">
        <v>7919</v>
      </c>
    </row>
    <row r="18441" spans="1:8" ht="25.05" customHeight="1" x14ac:dyDescent="0.25">
      <c r="A18441" s="2" t="s">
        <v>8</v>
      </c>
      <c r="B18441" s="2" t="str">
        <f>HYPERLINK("http://ts.21cn.com/tousu/show/id/1350314","找靓机回收手机故意压低价格")</f>
        <v>找靓机回收手机故意压低价格</v>
      </c>
      <c r="C18441" s="2" t="s">
        <v>9</v>
      </c>
      <c r="D18441" s="2" t="s">
        <v>10</v>
      </c>
      <c r="E18441" s="2" t="str">
        <f>HYPERLINK("http://ts.21cn.com/tousu/show/id/1350314","http://ts.21cn.com/tousu/show/id/1350314")</f>
        <v>http://ts.21cn.com/tousu/show/id/1350314</v>
      </c>
      <c r="F18441" s="2" t="s">
        <v>11</v>
      </c>
      <c r="G18441" s="2" t="s">
        <v>7916</v>
      </c>
      <c r="H18441" s="2" t="s">
        <v>7917</v>
      </c>
    </row>
    <row r="18442" spans="1:8" ht="25.05" customHeight="1" x14ac:dyDescent="0.25">
      <c r="A18442" s="2" t="s">
        <v>8</v>
      </c>
      <c r="B18442" s="2" t="str">
        <f>HYPERLINK("http://ts.21cn.com/tousu/show/id/1350315","联动优势辽宁恶意扣款19123元，急急急望平台帮忙！")</f>
        <v>联动优势辽宁恶意扣款19123元，急急急望平台帮忙！</v>
      </c>
      <c r="C18442" s="2" t="s">
        <v>9</v>
      </c>
      <c r="D18442" s="2" t="s">
        <v>10</v>
      </c>
      <c r="E18442" s="2" t="str">
        <f>HYPERLINK("http://ts.21cn.com/tousu/show/id/1350315","http://ts.21cn.com/tousu/show/id/1350315")</f>
        <v>http://ts.21cn.com/tousu/show/id/1350315</v>
      </c>
      <c r="F18442" s="2" t="s">
        <v>11</v>
      </c>
      <c r="G18442" s="2" t="s">
        <v>7914</v>
      </c>
      <c r="H18442" s="2" t="s">
        <v>7915</v>
      </c>
    </row>
    <row r="18443" spans="1:8" ht="25.05" customHeight="1" x14ac:dyDescent="0.25">
      <c r="A18443" s="2" t="s">
        <v>8</v>
      </c>
      <c r="B18443" s="2" t="str">
        <f>HYPERLINK("http://ts.21cn.com/tousu/show/id/1350316","微博金融暴力催收上门威胁")</f>
        <v>微博金融暴力催收上门威胁</v>
      </c>
      <c r="C18443" s="2" t="s">
        <v>9</v>
      </c>
      <c r="D18443" s="2" t="s">
        <v>10</v>
      </c>
      <c r="E18443" s="2" t="str">
        <f>HYPERLINK("http://ts.21cn.com/tousu/show/id/1350316","http://ts.21cn.com/tousu/show/id/1350316")</f>
        <v>http://ts.21cn.com/tousu/show/id/1350316</v>
      </c>
      <c r="F18443" s="2" t="s">
        <v>11</v>
      </c>
      <c r="G18443" s="2" t="s">
        <v>7912</v>
      </c>
      <c r="H18443" s="2" t="s">
        <v>7913</v>
      </c>
    </row>
    <row r="18444" spans="1:8" ht="25.05" customHeight="1" x14ac:dyDescent="0.25">
      <c r="A18444" s="2" t="s">
        <v>8</v>
      </c>
      <c r="B18444" s="2" t="str">
        <f>HYPERLINK("http://ts.21cn.com/tousu/show/id/1350317","欺诈高铁票")</f>
        <v>欺诈高铁票</v>
      </c>
      <c r="C18444" s="2" t="s">
        <v>9</v>
      </c>
      <c r="D18444" s="2" t="s">
        <v>10</v>
      </c>
      <c r="E18444" s="2" t="str">
        <f>HYPERLINK("http://ts.21cn.com/tousu/show/id/1350317","http://ts.21cn.com/tousu/show/id/1350317")</f>
        <v>http://ts.21cn.com/tousu/show/id/1350317</v>
      </c>
      <c r="F18444" s="2" t="s">
        <v>11</v>
      </c>
      <c r="G18444" s="2" t="s">
        <v>7910</v>
      </c>
      <c r="H18444" s="2" t="s">
        <v>7911</v>
      </c>
    </row>
    <row r="18445" spans="1:8" ht="25.05" customHeight="1" x14ac:dyDescent="0.25">
      <c r="A18445" s="2" t="s">
        <v>8</v>
      </c>
      <c r="B18445" s="2" t="str">
        <f>HYPERLINK("http://ts.21cn.com/tousu/show/id/1350318","暴力催收,恐吓,骚扰,客服不处理/处理不当")</f>
        <v>暴力催收,恐吓,骚扰,客服不处理/处理不当</v>
      </c>
      <c r="C18445" s="2" t="s">
        <v>9</v>
      </c>
      <c r="D18445" s="2" t="s">
        <v>10</v>
      </c>
      <c r="E18445" s="2" t="str">
        <f>HYPERLINK("http://ts.21cn.com/tousu/show/id/1350318","http://ts.21cn.com/tousu/show/id/1350318")</f>
        <v>http://ts.21cn.com/tousu/show/id/1350318</v>
      </c>
      <c r="F18445" s="2" t="s">
        <v>11</v>
      </c>
      <c r="G18445" s="2" t="s">
        <v>7908</v>
      </c>
      <c r="H18445" s="2" t="s">
        <v>7909</v>
      </c>
    </row>
    <row r="18446" spans="1:8" ht="25.05" customHeight="1" x14ac:dyDescent="0.25">
      <c r="A18446" s="2" t="s">
        <v>8</v>
      </c>
      <c r="B18446" s="2" t="str">
        <f>HYPERLINK("http://ts.21cn.com/tousu/show/id/1350319","交通银行电话威胁")</f>
        <v>交通银行电话威胁</v>
      </c>
      <c r="C18446" s="2" t="s">
        <v>9</v>
      </c>
      <c r="D18446" s="2" t="s">
        <v>10</v>
      </c>
      <c r="E18446" s="2" t="str">
        <f>HYPERLINK("http://ts.21cn.com/tousu/show/id/1350319","http://ts.21cn.com/tousu/show/id/1350319")</f>
        <v>http://ts.21cn.com/tousu/show/id/1350319</v>
      </c>
      <c r="F18446" s="2" t="s">
        <v>11</v>
      </c>
      <c r="G18446" s="2" t="s">
        <v>7906</v>
      </c>
      <c r="H18446" s="2" t="s">
        <v>7907</v>
      </c>
    </row>
    <row r="18447" spans="1:8" ht="25.05" customHeight="1" x14ac:dyDescent="0.25">
      <c r="A18447" s="2" t="s">
        <v>8</v>
      </c>
      <c r="B18447" s="2" t="str">
        <f>HYPERLINK("http://ts.21cn.com/tousu/show/id/1350320","爆通讯录和个人隐私")</f>
        <v>爆通讯录和个人隐私</v>
      </c>
      <c r="C18447" s="2" t="s">
        <v>9</v>
      </c>
      <c r="D18447" s="2" t="s">
        <v>10</v>
      </c>
      <c r="E18447" s="2" t="str">
        <f>HYPERLINK("http://ts.21cn.com/tousu/show/id/1350320","http://ts.21cn.com/tousu/show/id/1350320")</f>
        <v>http://ts.21cn.com/tousu/show/id/1350320</v>
      </c>
      <c r="F18447" s="2" t="s">
        <v>11</v>
      </c>
      <c r="G18447" s="2" t="s">
        <v>7904</v>
      </c>
      <c r="H18447" s="2" t="s">
        <v>7905</v>
      </c>
    </row>
    <row r="18448" spans="1:8" ht="25.05" customHeight="1" x14ac:dyDescent="0.25">
      <c r="A18448" s="2" t="s">
        <v>8</v>
      </c>
      <c r="B18448" s="2" t="str">
        <f>HYPERLINK("http://ts.21cn.com/tousu/show/id/1350321","盼达用车押金不退以尽快审核为借口推脱")</f>
        <v>盼达用车押金不退以尽快审核为借口推脱</v>
      </c>
      <c r="C18448" s="2" t="s">
        <v>9</v>
      </c>
      <c r="D18448" s="2" t="s">
        <v>10</v>
      </c>
      <c r="E18448" s="2" t="str">
        <f>HYPERLINK("http://ts.21cn.com/tousu/show/id/1350321","http://ts.21cn.com/tousu/show/id/1350321")</f>
        <v>http://ts.21cn.com/tousu/show/id/1350321</v>
      </c>
      <c r="F18448" s="2" t="s">
        <v>11</v>
      </c>
      <c r="G18448" s="2" t="s">
        <v>7902</v>
      </c>
      <c r="H18448" s="2" t="s">
        <v>7903</v>
      </c>
    </row>
    <row r="18449" spans="1:8" ht="25.05" customHeight="1" x14ac:dyDescent="0.25">
      <c r="A18449" s="2" t="s">
        <v>8</v>
      </c>
      <c r="B18449" s="2" t="str">
        <f>HYPERLINK("http://ts.21cn.com/tousu/show/id/1350323","特约中建投银企入金在2019年10月10日13:34本人不知情的情况下私自在我中国银行卡上扣费")</f>
        <v>特约中建投银企入金在2019年10月10日13:34本人不知情的情况下私自在我中国银行卡上扣费</v>
      </c>
      <c r="C18449" s="2" t="s">
        <v>9</v>
      </c>
      <c r="D18449" s="2" t="s">
        <v>10</v>
      </c>
      <c r="E18449" s="2" t="str">
        <f>HYPERLINK("http://ts.21cn.com/tousu/show/id/1350323","http://ts.21cn.com/tousu/show/id/1350323")</f>
        <v>http://ts.21cn.com/tousu/show/id/1350323</v>
      </c>
      <c r="F18449" s="2" t="s">
        <v>11</v>
      </c>
      <c r="G18449" s="2" t="s">
        <v>7900</v>
      </c>
      <c r="H18449" s="2" t="s">
        <v>7901</v>
      </c>
    </row>
    <row r="18450" spans="1:8" ht="25.05" customHeight="1" x14ac:dyDescent="0.25">
      <c r="A18450" s="2" t="s">
        <v>8</v>
      </c>
      <c r="B18450" s="2" t="str">
        <f>HYPERLINK("http://ts.21cn.com/tousu/show/id/1350324","有信公司套路贷款")</f>
        <v>有信公司套路贷款</v>
      </c>
      <c r="C18450" s="2" t="s">
        <v>9</v>
      </c>
      <c r="D18450" s="2" t="s">
        <v>10</v>
      </c>
      <c r="E18450" s="2" t="str">
        <f>HYPERLINK("http://ts.21cn.com/tousu/show/id/1350324","http://ts.21cn.com/tousu/show/id/1350324")</f>
        <v>http://ts.21cn.com/tousu/show/id/1350324</v>
      </c>
      <c r="F18450" s="2" t="s">
        <v>11</v>
      </c>
      <c r="G18450" s="2" t="s">
        <v>7898</v>
      </c>
      <c r="H18450" s="2" t="s">
        <v>7899</v>
      </c>
    </row>
    <row r="18451" spans="1:8" ht="25.05" customHeight="1" x14ac:dyDescent="0.25">
      <c r="A18451" s="2" t="s">
        <v>8</v>
      </c>
      <c r="B18451" s="2" t="str">
        <f>HYPERLINK("http://ts.21cn.com/tousu/show/id/1350325","好易贷6天高炮")</f>
        <v>好易贷6天高炮</v>
      </c>
      <c r="C18451" s="2" t="s">
        <v>34</v>
      </c>
      <c r="D18451" s="2" t="s">
        <v>10</v>
      </c>
      <c r="E18451" s="2" t="str">
        <f>HYPERLINK("http://ts.21cn.com/tousu/show/id/1350325","http://ts.21cn.com/tousu/show/id/1350325")</f>
        <v>http://ts.21cn.com/tousu/show/id/1350325</v>
      </c>
      <c r="F18451" s="2" t="s">
        <v>11</v>
      </c>
      <c r="G18451" s="2" t="s">
        <v>7896</v>
      </c>
      <c r="H18451" s="2" t="s">
        <v>7897</v>
      </c>
    </row>
    <row r="18452" spans="1:8" ht="25.05" customHeight="1" x14ac:dyDescent="0.25">
      <c r="A18452" s="2" t="s">
        <v>8</v>
      </c>
      <c r="B18452" s="2" t="str">
        <f>HYPERLINK("http://ts.21cn.com/tousu/show/id/1350326","恶意扣款")</f>
        <v>恶意扣款</v>
      </c>
      <c r="C18452" s="2" t="s">
        <v>9</v>
      </c>
      <c r="D18452" s="2" t="s">
        <v>10</v>
      </c>
      <c r="E18452" s="2" t="str">
        <f>HYPERLINK("http://ts.21cn.com/tousu/show/id/1350326","http://ts.21cn.com/tousu/show/id/1350326")</f>
        <v>http://ts.21cn.com/tousu/show/id/1350326</v>
      </c>
      <c r="F18452" s="2" t="s">
        <v>11</v>
      </c>
      <c r="G18452" s="2" t="s">
        <v>7894</v>
      </c>
      <c r="H18452" s="2" t="s">
        <v>7895</v>
      </c>
    </row>
    <row r="18453" spans="1:8" ht="25.05" customHeight="1" x14ac:dyDescent="0.25">
      <c r="A18453" s="2" t="s">
        <v>8</v>
      </c>
      <c r="B18453" s="2" t="str">
        <f>HYPERLINK("http://ts.21cn.com/tousu/show/id/1350328","现金巴士砍头息")</f>
        <v>现金巴士砍头息</v>
      </c>
      <c r="C18453" s="2" t="s">
        <v>9</v>
      </c>
      <c r="D18453" s="2" t="s">
        <v>10</v>
      </c>
      <c r="E18453" s="2" t="str">
        <f>HYPERLINK("http://ts.21cn.com/tousu/show/id/1350328","http://ts.21cn.com/tousu/show/id/1350328")</f>
        <v>http://ts.21cn.com/tousu/show/id/1350328</v>
      </c>
      <c r="F18453" s="2" t="s">
        <v>11</v>
      </c>
      <c r="G18453" s="2" t="s">
        <v>7892</v>
      </c>
      <c r="H18453" s="2" t="s">
        <v>7893</v>
      </c>
    </row>
    <row r="18454" spans="1:8" ht="25.05" customHeight="1" x14ac:dyDescent="0.25">
      <c r="A18454" s="2" t="s">
        <v>8</v>
      </c>
      <c r="B18454" s="2" t="str">
        <f>HYPERLINK("http://ts.21cn.com/tousu/show/id/1350329","被中国银联盗刷")</f>
        <v>被中国银联盗刷</v>
      </c>
      <c r="C18454" s="2" t="s">
        <v>9</v>
      </c>
      <c r="D18454" s="2" t="s">
        <v>10</v>
      </c>
      <c r="E18454" s="2" t="str">
        <f>HYPERLINK("http://ts.21cn.com/tousu/show/id/1350329","http://ts.21cn.com/tousu/show/id/1350329")</f>
        <v>http://ts.21cn.com/tousu/show/id/1350329</v>
      </c>
      <c r="F18454" s="2" t="s">
        <v>11</v>
      </c>
      <c r="G18454" s="2" t="s">
        <v>7890</v>
      </c>
      <c r="H18454" s="2" t="s">
        <v>7891</v>
      </c>
    </row>
    <row r="18455" spans="1:8" ht="25.05" customHeight="1" x14ac:dyDescent="0.25">
      <c r="A18455" s="2" t="s">
        <v>8</v>
      </c>
      <c r="B18455" s="2" t="str">
        <f>HYPERLINK("http://ts.21cn.com/tousu/show/id/1350330","辱骂我整个QQ朋友圈还威胁")</f>
        <v>辱骂我整个QQ朋友圈还威胁</v>
      </c>
      <c r="C18455" s="2" t="s">
        <v>9</v>
      </c>
      <c r="D18455" s="2" t="s">
        <v>10</v>
      </c>
      <c r="E18455" s="2" t="str">
        <f>HYPERLINK("http://ts.21cn.com/tousu/show/id/1350330","http://ts.21cn.com/tousu/show/id/1350330")</f>
        <v>http://ts.21cn.com/tousu/show/id/1350330</v>
      </c>
      <c r="F18455" s="2" t="s">
        <v>11</v>
      </c>
      <c r="G18455" s="2" t="s">
        <v>7888</v>
      </c>
      <c r="H18455" s="2" t="s">
        <v>7889</v>
      </c>
    </row>
    <row r="18456" spans="1:8" ht="25.05" customHeight="1" x14ac:dyDescent="0.25">
      <c r="A18456" s="2" t="s">
        <v>8</v>
      </c>
      <c r="B18456" s="2" t="str">
        <f>HYPERLINK("http://ts.21cn.com/tousu/show/id/1350331","帐号被找回，平台不管")</f>
        <v>帐号被找回，平台不管</v>
      </c>
      <c r="C18456" s="2" t="s">
        <v>9</v>
      </c>
      <c r="D18456" s="2" t="s">
        <v>10</v>
      </c>
      <c r="E18456" s="2" t="str">
        <f>HYPERLINK("http://ts.21cn.com/tousu/show/id/1350331","http://ts.21cn.com/tousu/show/id/1350331")</f>
        <v>http://ts.21cn.com/tousu/show/id/1350331</v>
      </c>
      <c r="F18456" s="2" t="s">
        <v>11</v>
      </c>
      <c r="G18456" s="2" t="s">
        <v>7886</v>
      </c>
      <c r="H18456" s="2" t="s">
        <v>7887</v>
      </c>
    </row>
    <row r="18457" spans="1:8" ht="25.05" customHeight="1" x14ac:dyDescent="0.25">
      <c r="A18457" s="2" t="s">
        <v>8</v>
      </c>
      <c r="B18457" s="2" t="str">
        <f>HYPERLINK("http://ts.21cn.com/tousu/show/id/1350332","捷信金融利息太高")</f>
        <v>捷信金融利息太高</v>
      </c>
      <c r="C18457" s="2" t="s">
        <v>9</v>
      </c>
      <c r="D18457" s="2" t="s">
        <v>10</v>
      </c>
      <c r="E18457" s="2" t="str">
        <f>HYPERLINK("http://ts.21cn.com/tousu/show/id/1350332","http://ts.21cn.com/tousu/show/id/1350332")</f>
        <v>http://ts.21cn.com/tousu/show/id/1350332</v>
      </c>
      <c r="F18457" s="2" t="s">
        <v>11</v>
      </c>
      <c r="G18457" s="2" t="s">
        <v>7884</v>
      </c>
      <c r="H18457" s="2" t="s">
        <v>7885</v>
      </c>
    </row>
    <row r="18458" spans="1:8" ht="25.05" customHeight="1" x14ac:dyDescent="0.25">
      <c r="A18458" s="2" t="s">
        <v>8</v>
      </c>
      <c r="B18458" s="2" t="str">
        <f>HYPERLINK("http://ts.21cn.com/tousu/show/id/1350333","骚扰通讯录骚扰通讯录联系人")</f>
        <v>骚扰通讯录骚扰通讯录联系人</v>
      </c>
      <c r="C18458" s="2" t="s">
        <v>9</v>
      </c>
      <c r="D18458" s="2" t="s">
        <v>10</v>
      </c>
      <c r="E18458" s="2" t="str">
        <f>HYPERLINK("http://ts.21cn.com/tousu/show/id/1350333","http://ts.21cn.com/tousu/show/id/1350333")</f>
        <v>http://ts.21cn.com/tousu/show/id/1350333</v>
      </c>
      <c r="F18458" s="2" t="s">
        <v>11</v>
      </c>
      <c r="G18458" s="2" t="s">
        <v>7882</v>
      </c>
      <c r="H18458" s="2" t="s">
        <v>7883</v>
      </c>
    </row>
    <row r="18459" spans="1:8" ht="25.05" customHeight="1" x14ac:dyDescent="0.25">
      <c r="A18459" s="2" t="s">
        <v>8</v>
      </c>
      <c r="B18459" s="2" t="str">
        <f>HYPERLINK("http://ts.21cn.com/tousu/show/id/1350334","友信信贷在未逾期的时间内对借款人进行暴力催收")</f>
        <v>友信信贷在未逾期的时间内对借款人进行暴力催收</v>
      </c>
      <c r="C18459" s="2" t="s">
        <v>9</v>
      </c>
      <c r="D18459" s="2" t="s">
        <v>10</v>
      </c>
      <c r="E18459" s="2" t="str">
        <f>HYPERLINK("http://ts.21cn.com/tousu/show/id/1350334","http://ts.21cn.com/tousu/show/id/1350334")</f>
        <v>http://ts.21cn.com/tousu/show/id/1350334</v>
      </c>
      <c r="F18459" s="2" t="s">
        <v>11</v>
      </c>
      <c r="G18459" s="2" t="s">
        <v>7880</v>
      </c>
      <c r="H18459" s="2" t="s">
        <v>7881</v>
      </c>
    </row>
    <row r="18460" spans="1:8" ht="25.05" customHeight="1" x14ac:dyDescent="0.25">
      <c r="A18460" s="2" t="s">
        <v>8</v>
      </c>
      <c r="B18460" s="2" t="str">
        <f>HYPERLINK("http://ts.21cn.com/tousu/show/id/1350336","钱站的阴阳合同，高利贷问题")</f>
        <v>钱站的阴阳合同，高利贷问题</v>
      </c>
      <c r="C18460" s="2" t="s">
        <v>9</v>
      </c>
      <c r="D18460" s="2" t="s">
        <v>10</v>
      </c>
      <c r="E18460" s="2" t="str">
        <f>HYPERLINK("http://ts.21cn.com/tousu/show/id/1350336","http://ts.21cn.com/tousu/show/id/1350336")</f>
        <v>http://ts.21cn.com/tousu/show/id/1350336</v>
      </c>
      <c r="F18460" s="2" t="s">
        <v>11</v>
      </c>
      <c r="G18460" s="2" t="s">
        <v>7878</v>
      </c>
      <c r="H18460" s="2" t="s">
        <v>7879</v>
      </c>
    </row>
    <row r="18461" spans="1:8" ht="25.05" customHeight="1" x14ac:dyDescent="0.25">
      <c r="A18461" s="2" t="s">
        <v>8</v>
      </c>
      <c r="B18461" s="2" t="str">
        <f>HYPERLINK("http://ts.21cn.com/tousu/show/id/1350337","阿卡索外教网拒不退款")</f>
        <v>阿卡索外教网拒不退款</v>
      </c>
      <c r="C18461" s="2" t="s">
        <v>9</v>
      </c>
      <c r="D18461" s="2" t="s">
        <v>10</v>
      </c>
      <c r="E18461" s="2" t="str">
        <f>HYPERLINK("http://ts.21cn.com/tousu/show/id/1350337","http://ts.21cn.com/tousu/show/id/1350337")</f>
        <v>http://ts.21cn.com/tousu/show/id/1350337</v>
      </c>
      <c r="F18461" s="2" t="s">
        <v>11</v>
      </c>
      <c r="G18461" s="2" t="s">
        <v>7876</v>
      </c>
      <c r="H18461" s="2" t="s">
        <v>7877</v>
      </c>
    </row>
    <row r="18462" spans="1:8" ht="25.05" customHeight="1" x14ac:dyDescent="0.25">
      <c r="A18462" s="2" t="s">
        <v>8</v>
      </c>
      <c r="B18462" s="2" t="str">
        <f>HYPERLINK("http://ts.21cn.com/tousu/show/id/1350338","广发银行暴力催收")</f>
        <v>广发银行暴力催收</v>
      </c>
      <c r="C18462" s="2" t="s">
        <v>9</v>
      </c>
      <c r="D18462" s="2" t="s">
        <v>10</v>
      </c>
      <c r="E18462" s="2" t="str">
        <f>HYPERLINK("http://ts.21cn.com/tousu/show/id/1350338","http://ts.21cn.com/tousu/show/id/1350338")</f>
        <v>http://ts.21cn.com/tousu/show/id/1350338</v>
      </c>
      <c r="F18462" s="2" t="s">
        <v>11</v>
      </c>
      <c r="G18462" s="2" t="s">
        <v>7874</v>
      </c>
      <c r="H18462" s="2" t="s">
        <v>7875</v>
      </c>
    </row>
    <row r="18463" spans="1:8" ht="25.05" customHeight="1" x14ac:dyDescent="0.25">
      <c r="A18463" s="2" t="s">
        <v>8</v>
      </c>
      <c r="B18463" s="2" t="str">
        <f>HYPERLINK("http://ts.21cn.com/tousu/show/id/1350339","包商信用卡暴力催收")</f>
        <v>包商信用卡暴力催收</v>
      </c>
      <c r="C18463" s="2" t="s">
        <v>9</v>
      </c>
      <c r="D18463" s="2" t="s">
        <v>10</v>
      </c>
      <c r="E18463" s="2" t="str">
        <f>HYPERLINK("http://ts.21cn.com/tousu/show/id/1350339","http://ts.21cn.com/tousu/show/id/1350339")</f>
        <v>http://ts.21cn.com/tousu/show/id/1350339</v>
      </c>
      <c r="F18463" s="2" t="s">
        <v>11</v>
      </c>
      <c r="G18463" s="2" t="s">
        <v>7872</v>
      </c>
      <c r="H18463" s="2" t="s">
        <v>7873</v>
      </c>
    </row>
    <row r="18464" spans="1:8" ht="25.05" customHeight="1" x14ac:dyDescent="0.25">
      <c r="A18464" s="2" t="s">
        <v>8</v>
      </c>
      <c r="B18464" s="2" t="str">
        <f>HYPERLINK("http://ts.21cn.com/tousu/show/id/1350340","关于斗鱼直播主播申请退工会事宜")</f>
        <v>关于斗鱼直播主播申请退工会事宜</v>
      </c>
      <c r="C18464" s="2" t="s">
        <v>9</v>
      </c>
      <c r="D18464" s="2" t="s">
        <v>10</v>
      </c>
      <c r="E18464" s="2" t="str">
        <f>HYPERLINK("http://ts.21cn.com/tousu/show/id/1350340","http://ts.21cn.com/tousu/show/id/1350340")</f>
        <v>http://ts.21cn.com/tousu/show/id/1350340</v>
      </c>
      <c r="F18464" s="2" t="s">
        <v>11</v>
      </c>
      <c r="G18464" s="2" t="s">
        <v>7870</v>
      </c>
      <c r="H18464" s="2" t="s">
        <v>7871</v>
      </c>
    </row>
    <row r="18465" spans="1:8" ht="25.05" customHeight="1" x14ac:dyDescent="0.25">
      <c r="A18465" s="2" t="s">
        <v>8</v>
      </c>
      <c r="B18465" s="2" t="str">
        <f>HYPERLINK("http://ts.21cn.com/tousu/show/id/1350341","兴业银行雇佣黑社会暴力催收威胁")</f>
        <v>兴业银行雇佣黑社会暴力催收威胁</v>
      </c>
      <c r="C18465" s="2" t="s">
        <v>9</v>
      </c>
      <c r="D18465" s="2" t="s">
        <v>10</v>
      </c>
      <c r="E18465" s="2" t="str">
        <f>HYPERLINK("http://ts.21cn.com/tousu/show/id/1350341","http://ts.21cn.com/tousu/show/id/1350341")</f>
        <v>http://ts.21cn.com/tousu/show/id/1350341</v>
      </c>
      <c r="F18465" s="2" t="s">
        <v>11</v>
      </c>
      <c r="G18465" s="2" t="s">
        <v>7868</v>
      </c>
      <c r="H18465" s="2" t="s">
        <v>7869</v>
      </c>
    </row>
    <row r="18466" spans="1:8" ht="25.05" customHeight="1" x14ac:dyDescent="0.25">
      <c r="A18466" s="2" t="s">
        <v>8</v>
      </c>
      <c r="B18466" s="2" t="str">
        <f>HYPERLINK("http://ts.21cn.com/tousu/show/id/1350342","无缘无故扣我的辛苦钱")</f>
        <v>无缘无故扣我的辛苦钱</v>
      </c>
      <c r="C18466" s="2" t="s">
        <v>34</v>
      </c>
      <c r="D18466" s="2" t="s">
        <v>10</v>
      </c>
      <c r="E18466" s="2" t="str">
        <f>HYPERLINK("http://ts.21cn.com/tousu/show/id/1350342","http://ts.21cn.com/tousu/show/id/1350342")</f>
        <v>http://ts.21cn.com/tousu/show/id/1350342</v>
      </c>
      <c r="F18466" s="2" t="s">
        <v>11</v>
      </c>
      <c r="G18466" s="2" t="s">
        <v>7866</v>
      </c>
      <c r="H18466" s="2" t="s">
        <v>7867</v>
      </c>
    </row>
    <row r="18467" spans="1:8" ht="25.05" customHeight="1" x14ac:dyDescent="0.25">
      <c r="A18467" s="2" t="s">
        <v>8</v>
      </c>
      <c r="B18467" s="2" t="str">
        <f>HYPERLINK("http://ts.21cn.com/tousu/show/id/1350343","贩卖假货下单后喜团平台拒绝退款")</f>
        <v>贩卖假货下单后喜团平台拒绝退款</v>
      </c>
      <c r="C18467" s="2" t="s">
        <v>9</v>
      </c>
      <c r="D18467" s="2" t="s">
        <v>10</v>
      </c>
      <c r="E18467" s="2" t="str">
        <f>HYPERLINK("http://ts.21cn.com/tousu/show/id/1350343","http://ts.21cn.com/tousu/show/id/1350343")</f>
        <v>http://ts.21cn.com/tousu/show/id/1350343</v>
      </c>
      <c r="F18467" s="2" t="s">
        <v>11</v>
      </c>
      <c r="G18467" s="2" t="s">
        <v>7864</v>
      </c>
      <c r="H18467" s="2" t="s">
        <v>7865</v>
      </c>
    </row>
    <row r="18468" spans="1:8" ht="25.05" customHeight="1" x14ac:dyDescent="0.25">
      <c r="A18468" s="2" t="s">
        <v>8</v>
      </c>
      <c r="B18468" s="2" t="str">
        <f>HYPERLINK("http://ts.21cn.com/tousu/show/id/1350344","投诉网贷")</f>
        <v>投诉网贷</v>
      </c>
      <c r="C18468" s="2" t="s">
        <v>9</v>
      </c>
      <c r="D18468" s="2" t="s">
        <v>10</v>
      </c>
      <c r="E18468" s="2" t="str">
        <f>HYPERLINK("http://ts.21cn.com/tousu/show/id/1350344","http://ts.21cn.com/tousu/show/id/1350344")</f>
        <v>http://ts.21cn.com/tousu/show/id/1350344</v>
      </c>
      <c r="F18468" s="2" t="s">
        <v>11</v>
      </c>
      <c r="G18468" s="2" t="s">
        <v>7862</v>
      </c>
      <c r="H18468" s="2" t="s">
        <v>7863</v>
      </c>
    </row>
    <row r="18469" spans="1:8" ht="25.05" customHeight="1" x14ac:dyDescent="0.25">
      <c r="A18469" s="2" t="s">
        <v>8</v>
      </c>
      <c r="B18469" s="2" t="str">
        <f>HYPERLINK("http://ts.21cn.com/tousu/show/id/1350345","还呗和马上金融不能提供借款合同")</f>
        <v>还呗和马上金融不能提供借款合同</v>
      </c>
      <c r="C18469" s="2" t="s">
        <v>34</v>
      </c>
      <c r="D18469" s="2" t="s">
        <v>10</v>
      </c>
      <c r="E18469" s="2" t="str">
        <f>HYPERLINK("http://ts.21cn.com/tousu/show/id/1350345","http://ts.21cn.com/tousu/show/id/1350345")</f>
        <v>http://ts.21cn.com/tousu/show/id/1350345</v>
      </c>
      <c r="F18469" s="2" t="s">
        <v>11</v>
      </c>
      <c r="G18469" s="2" t="s">
        <v>7860</v>
      </c>
      <c r="H18469" s="2" t="s">
        <v>7861</v>
      </c>
    </row>
    <row r="18470" spans="1:8" ht="25.05" customHeight="1" x14ac:dyDescent="0.25">
      <c r="A18470" s="2" t="s">
        <v>8</v>
      </c>
      <c r="B18470" s="2" t="str">
        <f>HYPERLINK("http://ts.21cn.com/tousu/show/id/1350346","游戏货币已出售却被恶意仲裁")</f>
        <v>游戏货币已出售却被恶意仲裁</v>
      </c>
      <c r="C18470" s="2" t="s">
        <v>9</v>
      </c>
      <c r="D18470" s="2" t="s">
        <v>10</v>
      </c>
      <c r="E18470" s="2" t="str">
        <f>HYPERLINK("http://ts.21cn.com/tousu/show/id/1350346","http://ts.21cn.com/tousu/show/id/1350346")</f>
        <v>http://ts.21cn.com/tousu/show/id/1350346</v>
      </c>
      <c r="F18470" s="2" t="s">
        <v>11</v>
      </c>
      <c r="G18470" s="2" t="s">
        <v>7858</v>
      </c>
      <c r="H18470" s="2" t="s">
        <v>7859</v>
      </c>
    </row>
    <row r="18471" spans="1:8" ht="25.05" customHeight="1" x14ac:dyDescent="0.25">
      <c r="A18471" s="2" t="s">
        <v>8</v>
      </c>
      <c r="B18471" s="2" t="str">
        <f>HYPERLINK("http://ts.21cn.com/tousu/show/id/1350347","拇指下款无故扣我299")</f>
        <v>拇指下款无故扣我299</v>
      </c>
      <c r="C18471" s="2" t="s">
        <v>9</v>
      </c>
      <c r="D18471" s="2" t="s">
        <v>10</v>
      </c>
      <c r="E18471" s="2" t="str">
        <f>HYPERLINK("http://ts.21cn.com/tousu/show/id/1350347","http://ts.21cn.com/tousu/show/id/1350347")</f>
        <v>http://ts.21cn.com/tousu/show/id/1350347</v>
      </c>
      <c r="F18471" s="2" t="s">
        <v>11</v>
      </c>
      <c r="G18471" s="2" t="s">
        <v>7856</v>
      </c>
      <c r="H18471" s="2" t="s">
        <v>7857</v>
      </c>
    </row>
    <row r="18472" spans="1:8" ht="25.05" customHeight="1" x14ac:dyDescent="0.25">
      <c r="A18472" s="2" t="s">
        <v>8</v>
      </c>
      <c r="B18472" s="2" t="str">
        <f>HYPERLINK("http://ts.21cn.com/tousu/show/id/1350348","微粒贷第三方暴力催收")</f>
        <v>微粒贷第三方暴力催收</v>
      </c>
      <c r="C18472" s="2" t="s">
        <v>9</v>
      </c>
      <c r="D18472" s="2" t="s">
        <v>10</v>
      </c>
      <c r="E18472" s="2" t="str">
        <f>HYPERLINK("http://ts.21cn.com/tousu/show/id/1350348","http://ts.21cn.com/tousu/show/id/1350348")</f>
        <v>http://ts.21cn.com/tousu/show/id/1350348</v>
      </c>
      <c r="F18472" s="2" t="s">
        <v>11</v>
      </c>
      <c r="G18472" s="2" t="s">
        <v>7854</v>
      </c>
      <c r="H18472" s="2" t="s">
        <v>7855</v>
      </c>
    </row>
    <row r="18473" spans="1:8" ht="25.05" customHeight="1" x14ac:dyDescent="0.25">
      <c r="A18473" s="2" t="s">
        <v>8</v>
      </c>
      <c r="B18473" s="2" t="str">
        <f>HYPERLINK("http://ts.21cn.com/tousu/show/id/1350350","分期乐轰炸通讯录联系人")</f>
        <v>分期乐轰炸通讯录联系人</v>
      </c>
      <c r="C18473" s="2" t="s">
        <v>9</v>
      </c>
      <c r="D18473" s="2" t="s">
        <v>10</v>
      </c>
      <c r="E18473" s="2" t="str">
        <f>HYPERLINK("http://ts.21cn.com/tousu/show/id/1350350","http://ts.21cn.com/tousu/show/id/1350350")</f>
        <v>http://ts.21cn.com/tousu/show/id/1350350</v>
      </c>
      <c r="F18473" s="2" t="s">
        <v>11</v>
      </c>
      <c r="G18473" s="2" t="s">
        <v>7852</v>
      </c>
      <c r="H18473" s="2" t="s">
        <v>7853</v>
      </c>
    </row>
    <row r="18474" spans="1:8" ht="25.05" customHeight="1" x14ac:dyDescent="0.25">
      <c r="A18474" s="2" t="s">
        <v>8</v>
      </c>
      <c r="B18474" s="2" t="str">
        <f>HYPERLINK("http://ts.21cn.com/tousu/show/id/1350351","虚假宣传，引导消费，与广告不相符。")</f>
        <v>虚假宣传，引导消费，与广告不相符。</v>
      </c>
      <c r="C18474" s="2" t="s">
        <v>9</v>
      </c>
      <c r="D18474" s="2" t="s">
        <v>10</v>
      </c>
      <c r="E18474" s="2" t="str">
        <f>HYPERLINK("http://ts.21cn.com/tousu/show/id/1350351","http://ts.21cn.com/tousu/show/id/1350351")</f>
        <v>http://ts.21cn.com/tousu/show/id/1350351</v>
      </c>
      <c r="F18474" s="2" t="s">
        <v>11</v>
      </c>
      <c r="G18474" s="2" t="s">
        <v>7850</v>
      </c>
      <c r="H18474" s="2" t="s">
        <v>7851</v>
      </c>
    </row>
    <row r="18475" spans="1:8" ht="25.05" customHeight="1" x14ac:dyDescent="0.25">
      <c r="A18475" s="2" t="s">
        <v>8</v>
      </c>
      <c r="B18475" s="2" t="str">
        <f>HYPERLINK("http://ts.21cn.com/tousu/show/id/1350349","盗刷，滥用特约扣款权限，恶意拖延导致逾期收取费用")</f>
        <v>盗刷，滥用特约扣款权限，恶意拖延导致逾期收取费用</v>
      </c>
      <c r="C18475" s="2" t="s">
        <v>9</v>
      </c>
      <c r="D18475" s="2" t="s">
        <v>10</v>
      </c>
      <c r="E18475" s="2" t="str">
        <f>HYPERLINK("http://ts.21cn.com/tousu/show/id/1350349","http://ts.21cn.com/tousu/show/id/1350349")</f>
        <v>http://ts.21cn.com/tousu/show/id/1350349</v>
      </c>
      <c r="F18475" s="2" t="s">
        <v>11</v>
      </c>
      <c r="G18475" s="2" t="s">
        <v>7848</v>
      </c>
      <c r="H18475" s="2" t="s">
        <v>7849</v>
      </c>
    </row>
    <row r="18476" spans="1:8" ht="25.05" customHeight="1" x14ac:dyDescent="0.25">
      <c r="A18476" s="2" t="s">
        <v>8</v>
      </c>
      <c r="B18476" s="2" t="str">
        <f>HYPERLINK("http://ts.21cn.com/tousu/show/id/1350352","来分期威胁爆通讯录")</f>
        <v>来分期威胁爆通讯录</v>
      </c>
      <c r="C18476" s="2" t="s">
        <v>9</v>
      </c>
      <c r="D18476" s="2" t="s">
        <v>10</v>
      </c>
      <c r="E18476" s="2" t="str">
        <f>HYPERLINK("http://ts.21cn.com/tousu/show/id/1350352","http://ts.21cn.com/tousu/show/id/1350352")</f>
        <v>http://ts.21cn.com/tousu/show/id/1350352</v>
      </c>
      <c r="F18476" s="2" t="s">
        <v>11</v>
      </c>
      <c r="G18476" s="2" t="s">
        <v>7846</v>
      </c>
      <c r="H18476" s="2" t="s">
        <v>7847</v>
      </c>
    </row>
    <row r="18477" spans="1:8" ht="25.05" customHeight="1" x14ac:dyDescent="0.25">
      <c r="A18477" s="2" t="s">
        <v>8</v>
      </c>
      <c r="B18477" s="2" t="str">
        <f>HYPERLINK("http://ts.21cn.com/tousu/show/id/1350353","高利贷砍头息")</f>
        <v>高利贷砍头息</v>
      </c>
      <c r="C18477" s="2" t="s">
        <v>9</v>
      </c>
      <c r="D18477" s="2" t="s">
        <v>10</v>
      </c>
      <c r="E18477" s="2" t="str">
        <f>HYPERLINK("http://ts.21cn.com/tousu/show/id/1350353","http://ts.21cn.com/tousu/show/id/1350353")</f>
        <v>http://ts.21cn.com/tousu/show/id/1350353</v>
      </c>
      <c r="F18477" s="2" t="s">
        <v>11</v>
      </c>
      <c r="G18477" s="2" t="s">
        <v>7844</v>
      </c>
      <c r="H18477" s="2" t="s">
        <v>7845</v>
      </c>
    </row>
    <row r="18478" spans="1:8" ht="25.05" customHeight="1" x14ac:dyDescent="0.25">
      <c r="A18478" s="2" t="s">
        <v>8</v>
      </c>
      <c r="B18478" s="2" t="str">
        <f>HYPERLINK("http://ts.21cn.com/tousu/show/id/1350354","闪银奇异客服不处理问题")</f>
        <v>闪银奇异客服不处理问题</v>
      </c>
      <c r="C18478" s="2" t="s">
        <v>9</v>
      </c>
      <c r="D18478" s="2" t="s">
        <v>10</v>
      </c>
      <c r="E18478" s="2" t="str">
        <f>HYPERLINK("http://ts.21cn.com/tousu/show/id/1350354","http://ts.21cn.com/tousu/show/id/1350354")</f>
        <v>http://ts.21cn.com/tousu/show/id/1350354</v>
      </c>
      <c r="F18478" s="2" t="s">
        <v>11</v>
      </c>
      <c r="G18478" s="2" t="s">
        <v>7842</v>
      </c>
      <c r="H18478" s="2" t="s">
        <v>7843</v>
      </c>
    </row>
    <row r="18479" spans="1:8" ht="25.05" customHeight="1" x14ac:dyDescent="0.25">
      <c r="A18479" s="2" t="s">
        <v>8</v>
      </c>
      <c r="B18479" s="2" t="str">
        <f>HYPERLINK("http://ts.21cn.com/tousu/show/id/1350355","与招商银行协议还款，要求让银行人员与我协商")</f>
        <v>与招商银行协议还款，要求让银行人员与我协商</v>
      </c>
      <c r="C18479" s="2" t="s">
        <v>34</v>
      </c>
      <c r="D18479" s="2" t="s">
        <v>10</v>
      </c>
      <c r="E18479" s="2" t="str">
        <f>HYPERLINK("http://ts.21cn.com/tousu/show/id/1350355","http://ts.21cn.com/tousu/show/id/1350355")</f>
        <v>http://ts.21cn.com/tousu/show/id/1350355</v>
      </c>
      <c r="F18479" s="2" t="s">
        <v>11</v>
      </c>
      <c r="G18479" s="2" t="s">
        <v>7840</v>
      </c>
      <c r="H18479" s="2" t="s">
        <v>7841</v>
      </c>
    </row>
    <row r="18480" spans="1:8" ht="25.05" customHeight="1" x14ac:dyDescent="0.25">
      <c r="A18480" s="2" t="s">
        <v>8</v>
      </c>
      <c r="B18480" s="2" t="str">
        <f>HYPERLINK("http://ts.21cn.com/tousu/show/id/1350358","协商还款")</f>
        <v>协商还款</v>
      </c>
      <c r="C18480" s="2" t="s">
        <v>34</v>
      </c>
      <c r="D18480" s="2" t="s">
        <v>10</v>
      </c>
      <c r="E18480" s="2" t="str">
        <f>HYPERLINK("http://ts.21cn.com/tousu/show/id/1350358","http://ts.21cn.com/tousu/show/id/1350358")</f>
        <v>http://ts.21cn.com/tousu/show/id/1350358</v>
      </c>
      <c r="F18480" s="2" t="s">
        <v>11</v>
      </c>
      <c r="G18480" s="2" t="s">
        <v>7838</v>
      </c>
      <c r="H18480" s="2" t="s">
        <v>7839</v>
      </c>
    </row>
    <row r="18481" spans="1:8" ht="25.05" customHeight="1" x14ac:dyDescent="0.25">
      <c r="A18481" s="2" t="s">
        <v>8</v>
      </c>
      <c r="B18481" s="2" t="str">
        <f>HYPERLINK("http://ts.21cn.com/tousu/show/id/1350357","拍拍贷协商减免销户")</f>
        <v>拍拍贷协商减免销户</v>
      </c>
      <c r="C18481" s="2" t="s">
        <v>9</v>
      </c>
      <c r="D18481" s="2" t="s">
        <v>10</v>
      </c>
      <c r="E18481" s="2" t="str">
        <f>HYPERLINK("http://ts.21cn.com/tousu/show/id/1350357","http://ts.21cn.com/tousu/show/id/1350357")</f>
        <v>http://ts.21cn.com/tousu/show/id/1350357</v>
      </c>
      <c r="F18481" s="2" t="s">
        <v>11</v>
      </c>
      <c r="G18481" s="2" t="s">
        <v>7836</v>
      </c>
      <c r="H18481" s="2" t="s">
        <v>7837</v>
      </c>
    </row>
    <row r="18482" spans="1:8" ht="25.05" customHeight="1" x14ac:dyDescent="0.25">
      <c r="A18482" s="2" t="s">
        <v>8</v>
      </c>
      <c r="B18482" s="2" t="str">
        <f>HYPERLINK("http://ts.21cn.com/tousu/show/id/1350360","佑佑分期高炮爆通讯录侮辱恐吓")</f>
        <v>佑佑分期高炮爆通讯录侮辱恐吓</v>
      </c>
      <c r="C18482" s="2" t="s">
        <v>9</v>
      </c>
      <c r="D18482" s="2" t="s">
        <v>10</v>
      </c>
      <c r="E18482" s="2" t="str">
        <f>HYPERLINK("http://ts.21cn.com/tousu/show/id/1350360","http://ts.21cn.com/tousu/show/id/1350360")</f>
        <v>http://ts.21cn.com/tousu/show/id/1350360</v>
      </c>
      <c r="F18482" s="2" t="s">
        <v>11</v>
      </c>
      <c r="G18482" s="2" t="s">
        <v>7834</v>
      </c>
      <c r="H18482" s="2" t="s">
        <v>7835</v>
      </c>
    </row>
    <row r="18483" spans="1:8" ht="25.05" customHeight="1" x14ac:dyDescent="0.25">
      <c r="A18483" s="2" t="s">
        <v>8</v>
      </c>
      <c r="B18483" s="2" t="str">
        <f>HYPERLINK("http://ts.21cn.com/tousu/show/id/1350362","钱站请把逾期的钱退还给我")</f>
        <v>钱站请把逾期的钱退还给我</v>
      </c>
      <c r="C18483" s="2" t="s">
        <v>34</v>
      </c>
      <c r="D18483" s="2" t="s">
        <v>10</v>
      </c>
      <c r="E18483" s="2" t="str">
        <f>HYPERLINK("http://ts.21cn.com/tousu/show/id/1350362","http://ts.21cn.com/tousu/show/id/1350362")</f>
        <v>http://ts.21cn.com/tousu/show/id/1350362</v>
      </c>
      <c r="F18483" s="2" t="s">
        <v>11</v>
      </c>
      <c r="G18483" s="2" t="s">
        <v>7832</v>
      </c>
      <c r="H18483" s="2" t="s">
        <v>7833</v>
      </c>
    </row>
    <row r="18484" spans="1:8" ht="25.05" customHeight="1" x14ac:dyDescent="0.25">
      <c r="A18484" s="2" t="s">
        <v>8</v>
      </c>
      <c r="B18484" s="2" t="str">
        <f>HYPERLINK("http://ts.21cn.com/tousu/show/id/1350365","洋钱罐违法催收，收取高额违约金，恶意骚扰")</f>
        <v>洋钱罐违法催收，收取高额违约金，恶意骚扰</v>
      </c>
      <c r="C18484" s="2" t="s">
        <v>9</v>
      </c>
      <c r="D18484" s="2" t="s">
        <v>10</v>
      </c>
      <c r="E18484" s="2" t="str">
        <f>HYPERLINK("http://ts.21cn.com/tousu/show/id/1350365","http://ts.21cn.com/tousu/show/id/1350365")</f>
        <v>http://ts.21cn.com/tousu/show/id/1350365</v>
      </c>
      <c r="F18484" s="2" t="s">
        <v>11</v>
      </c>
      <c r="G18484" s="2" t="s">
        <v>7830</v>
      </c>
      <c r="H18484" s="2" t="s">
        <v>7831</v>
      </c>
    </row>
    <row r="18485" spans="1:8" ht="25.05" customHeight="1" x14ac:dyDescent="0.25">
      <c r="A18485" s="2" t="s">
        <v>8</v>
      </c>
      <c r="B18485" s="2" t="str">
        <f>HYPERLINK("http://ts.21cn.com/tousu/show/id/1350366","砍头息加高额逾期费")</f>
        <v>砍头息加高额逾期费</v>
      </c>
      <c r="C18485" s="2" t="s">
        <v>34</v>
      </c>
      <c r="D18485" s="2" t="s">
        <v>10</v>
      </c>
      <c r="E18485" s="2" t="str">
        <f>HYPERLINK("http://ts.21cn.com/tousu/show/id/1350366","http://ts.21cn.com/tousu/show/id/1350366")</f>
        <v>http://ts.21cn.com/tousu/show/id/1350366</v>
      </c>
      <c r="F18485" s="2" t="s">
        <v>11</v>
      </c>
      <c r="G18485" s="2" t="s">
        <v>7828</v>
      </c>
      <c r="H18485" s="2" t="s">
        <v>7829</v>
      </c>
    </row>
    <row r="18486" spans="1:8" ht="25.05" customHeight="1" x14ac:dyDescent="0.25">
      <c r="A18486" s="2" t="s">
        <v>8</v>
      </c>
      <c r="B18486" s="2" t="str">
        <f>HYPERLINK("http://ts.21cn.com/tousu/show/id/1350363","来分期骚扰")</f>
        <v>来分期骚扰</v>
      </c>
      <c r="C18486" s="2" t="s">
        <v>9</v>
      </c>
      <c r="D18486" s="2" t="s">
        <v>10</v>
      </c>
      <c r="E18486" s="2" t="str">
        <f>HYPERLINK("http://ts.21cn.com/tousu/show/id/1350363","http://ts.21cn.com/tousu/show/id/1350363")</f>
        <v>http://ts.21cn.com/tousu/show/id/1350363</v>
      </c>
      <c r="F18486" s="2" t="s">
        <v>11</v>
      </c>
      <c r="G18486" s="2" t="s">
        <v>7826</v>
      </c>
      <c r="H18486" s="2" t="s">
        <v>7827</v>
      </c>
    </row>
    <row r="18487" spans="1:8" ht="25.05" customHeight="1" x14ac:dyDescent="0.25">
      <c r="A18487" s="2" t="s">
        <v>8</v>
      </c>
      <c r="B18487" s="2" t="str">
        <f>HYPERLINK("http://ts.21cn.com/tousu/show/id/1350364","交通银行信用卡委托第三方暴力催收")</f>
        <v>交通银行信用卡委托第三方暴力催收</v>
      </c>
      <c r="C18487" s="2" t="s">
        <v>9</v>
      </c>
      <c r="D18487" s="2" t="s">
        <v>10</v>
      </c>
      <c r="E18487" s="2" t="str">
        <f>HYPERLINK("http://ts.21cn.com/tousu/show/id/1350364","http://ts.21cn.com/tousu/show/id/1350364")</f>
        <v>http://ts.21cn.com/tousu/show/id/1350364</v>
      </c>
      <c r="F18487" s="2" t="s">
        <v>11</v>
      </c>
      <c r="G18487" s="2" t="s">
        <v>7824</v>
      </c>
      <c r="H18487" s="2" t="s">
        <v>7825</v>
      </c>
    </row>
    <row r="18488" spans="1:8" ht="25.05" customHeight="1" x14ac:dyDescent="0.25">
      <c r="A18488" s="2" t="s">
        <v>8</v>
      </c>
      <c r="B18488" s="2" t="str">
        <f>HYPERLINK("http://ts.21cn.com/tousu/show/id/1350369","钱站高利贷阴阳合同")</f>
        <v>钱站高利贷阴阳合同</v>
      </c>
      <c r="C18488" s="2" t="s">
        <v>9</v>
      </c>
      <c r="D18488" s="2" t="s">
        <v>10</v>
      </c>
      <c r="E18488" s="2" t="str">
        <f>HYPERLINK("http://ts.21cn.com/tousu/show/id/1350369","http://ts.21cn.com/tousu/show/id/1350369")</f>
        <v>http://ts.21cn.com/tousu/show/id/1350369</v>
      </c>
      <c r="F18488" s="2" t="s">
        <v>11</v>
      </c>
      <c r="G18488" s="2" t="s">
        <v>7822</v>
      </c>
      <c r="H18488" s="2" t="s">
        <v>7823</v>
      </c>
    </row>
    <row r="18489" spans="1:8" ht="25.05" customHeight="1" x14ac:dyDescent="0.25">
      <c r="A18489" s="2" t="s">
        <v>8</v>
      </c>
      <c r="B18489" s="2" t="str">
        <f>HYPERLINK("http://ts.21cn.com/tousu/show/id/1350370","分期乐爆通讯录")</f>
        <v>分期乐爆通讯录</v>
      </c>
      <c r="C18489" s="2" t="s">
        <v>9</v>
      </c>
      <c r="D18489" s="2" t="s">
        <v>10</v>
      </c>
      <c r="E18489" s="2" t="str">
        <f>HYPERLINK("http://ts.21cn.com/tousu/show/id/1350370","http://ts.21cn.com/tousu/show/id/1350370")</f>
        <v>http://ts.21cn.com/tousu/show/id/1350370</v>
      </c>
      <c r="F18489" s="2" t="s">
        <v>11</v>
      </c>
      <c r="G18489" s="2" t="s">
        <v>7820</v>
      </c>
      <c r="H18489" s="2" t="s">
        <v>7821</v>
      </c>
    </row>
    <row r="18490" spans="1:8" ht="25.05" customHeight="1" x14ac:dyDescent="0.25">
      <c r="A18490" s="2" t="s">
        <v>8</v>
      </c>
      <c r="B18490" s="2" t="str">
        <f>HYPERLINK("http://ts.21cn.com/tousu/show/id/1350359","高利贷，变相收费")</f>
        <v>高利贷，变相收费</v>
      </c>
      <c r="C18490" s="2" t="s">
        <v>9</v>
      </c>
      <c r="D18490" s="2" t="s">
        <v>10</v>
      </c>
      <c r="E18490" s="2" t="str">
        <f>HYPERLINK("http://ts.21cn.com/tousu/show/id/1350359","http://ts.21cn.com/tousu/show/id/1350359")</f>
        <v>http://ts.21cn.com/tousu/show/id/1350359</v>
      </c>
      <c r="F18490" s="2" t="s">
        <v>11</v>
      </c>
      <c r="G18490" s="2" t="s">
        <v>7818</v>
      </c>
      <c r="H18490" s="2" t="s">
        <v>7819</v>
      </c>
    </row>
    <row r="18491" spans="1:8" ht="25.05" customHeight="1" x14ac:dyDescent="0.25">
      <c r="A18491" s="2" t="s">
        <v>8</v>
      </c>
      <c r="B18491" s="2" t="str">
        <f>HYPERLINK("http://ts.21cn.com/tousu/show/id/1350371","万惠及贷曝光通讯录")</f>
        <v>万惠及贷曝光通讯录</v>
      </c>
      <c r="C18491" s="2" t="s">
        <v>34</v>
      </c>
      <c r="D18491" s="2" t="s">
        <v>10</v>
      </c>
      <c r="E18491" s="2" t="str">
        <f>HYPERLINK("http://ts.21cn.com/tousu/show/id/1350371","http://ts.21cn.com/tousu/show/id/1350371")</f>
        <v>http://ts.21cn.com/tousu/show/id/1350371</v>
      </c>
      <c r="F18491" s="2" t="s">
        <v>11</v>
      </c>
      <c r="G18491" s="2" t="s">
        <v>7816</v>
      </c>
      <c r="H18491" s="2" t="s">
        <v>7817</v>
      </c>
    </row>
    <row r="18492" spans="1:8" ht="25.05" customHeight="1" x14ac:dyDescent="0.25">
      <c r="A18492" s="2" t="s">
        <v>8</v>
      </c>
      <c r="B18492" s="2" t="str">
        <f>HYPERLINK("http://ts.21cn.com/tousu/show/id/1350372","小浦优客无故扣除银行卡296元")</f>
        <v>小浦优客无故扣除银行卡296元</v>
      </c>
      <c r="C18492" s="2" t="s">
        <v>9</v>
      </c>
      <c r="D18492" s="2" t="s">
        <v>10</v>
      </c>
      <c r="E18492" s="2" t="str">
        <f>HYPERLINK("http://ts.21cn.com/tousu/show/id/1350372","http://ts.21cn.com/tousu/show/id/1350372")</f>
        <v>http://ts.21cn.com/tousu/show/id/1350372</v>
      </c>
      <c r="F18492" s="2" t="s">
        <v>11</v>
      </c>
      <c r="G18492" s="2" t="s">
        <v>7814</v>
      </c>
      <c r="H18492" s="2" t="s">
        <v>7815</v>
      </c>
    </row>
    <row r="18493" spans="1:8" ht="25.05" customHeight="1" x14ac:dyDescent="0.25">
      <c r="A18493" s="2" t="s">
        <v>8</v>
      </c>
      <c r="B18493" s="2" t="str">
        <f>HYPERLINK("http://ts.21cn.com/tousu/show/id/1350373","疯狂催收")</f>
        <v>疯狂催收</v>
      </c>
      <c r="C18493" s="2" t="s">
        <v>9</v>
      </c>
      <c r="D18493" s="2" t="s">
        <v>10</v>
      </c>
      <c r="E18493" s="2" t="str">
        <f>HYPERLINK("http://ts.21cn.com/tousu/show/id/1350373","http://ts.21cn.com/tousu/show/id/1350373")</f>
        <v>http://ts.21cn.com/tousu/show/id/1350373</v>
      </c>
      <c r="F18493" s="2" t="s">
        <v>11</v>
      </c>
      <c r="G18493" s="2" t="s">
        <v>7812</v>
      </c>
      <c r="H18493" s="2" t="s">
        <v>7813</v>
      </c>
    </row>
    <row r="18494" spans="1:8" ht="25.05" customHeight="1" x14ac:dyDescent="0.25">
      <c r="A18494" s="2" t="s">
        <v>8</v>
      </c>
      <c r="B18494" s="2" t="str">
        <f>HYPERLINK("http://ts.21cn.com/tousu/show/id/1350374","网贷平台收取高额逾期管理费！")</f>
        <v>网贷平台收取高额逾期管理费！</v>
      </c>
      <c r="C18494" s="2" t="s">
        <v>9</v>
      </c>
      <c r="D18494" s="2" t="s">
        <v>10</v>
      </c>
      <c r="E18494" s="2" t="str">
        <f>HYPERLINK("http://ts.21cn.com/tousu/show/id/1350374","http://ts.21cn.com/tousu/show/id/1350374")</f>
        <v>http://ts.21cn.com/tousu/show/id/1350374</v>
      </c>
      <c r="F18494" s="2" t="s">
        <v>11</v>
      </c>
      <c r="G18494" s="2" t="s">
        <v>7810</v>
      </c>
      <c r="H18494" s="2" t="s">
        <v>7811</v>
      </c>
    </row>
    <row r="18495" spans="1:8" ht="25.05" customHeight="1" x14ac:dyDescent="0.25">
      <c r="A18495" s="2" t="s">
        <v>8</v>
      </c>
      <c r="B18495" s="2" t="str">
        <f>HYPERLINK("http://ts.21cn.com/tousu/show/id/1350375","一周内商品降价20元，申请补差价，客服不给补")</f>
        <v>一周内商品降价20元，申请补差价，客服不给补</v>
      </c>
      <c r="C18495" s="2" t="s">
        <v>34</v>
      </c>
      <c r="D18495" s="2" t="s">
        <v>10</v>
      </c>
      <c r="E18495" s="2" t="str">
        <f>HYPERLINK("http://ts.21cn.com/tousu/show/id/1350375","http://ts.21cn.com/tousu/show/id/1350375")</f>
        <v>http://ts.21cn.com/tousu/show/id/1350375</v>
      </c>
      <c r="F18495" s="2" t="s">
        <v>11</v>
      </c>
      <c r="G18495" s="2" t="s">
        <v>7808</v>
      </c>
      <c r="H18495" s="2" t="s">
        <v>7809</v>
      </c>
    </row>
    <row r="18496" spans="1:8" ht="25.05" customHeight="1" x14ac:dyDescent="0.25">
      <c r="A18496" s="2" t="s">
        <v>8</v>
      </c>
      <c r="B18496" s="2" t="str">
        <f>HYPERLINK("http://ts.21cn.com/tousu/show/id/1350377","闪银至尊暴击催收，电话轰炸，爆通讯录")</f>
        <v>闪银至尊暴击催收，电话轰炸，爆通讯录</v>
      </c>
      <c r="C18496" s="2" t="s">
        <v>9</v>
      </c>
      <c r="D18496" s="2" t="s">
        <v>10</v>
      </c>
      <c r="E18496" s="2" t="str">
        <f>HYPERLINK("http://ts.21cn.com/tousu/show/id/1350377","http://ts.21cn.com/tousu/show/id/1350377")</f>
        <v>http://ts.21cn.com/tousu/show/id/1350377</v>
      </c>
      <c r="F18496" s="2" t="s">
        <v>11</v>
      </c>
      <c r="G18496" s="2" t="s">
        <v>7806</v>
      </c>
      <c r="H18496" s="2" t="s">
        <v>7807</v>
      </c>
    </row>
    <row r="18497" spans="1:8" ht="25.05" customHeight="1" x14ac:dyDescent="0.25">
      <c r="A18497" s="2" t="s">
        <v>8</v>
      </c>
      <c r="B18497" s="2" t="str">
        <f>HYPERLINK("http://ts.21cn.com/tousu/show/id/1350376","征信无故出现担保人代偿信息")</f>
        <v>征信无故出现担保人代偿信息</v>
      </c>
      <c r="C18497" s="2" t="s">
        <v>34</v>
      </c>
      <c r="D18497" s="2" t="s">
        <v>10</v>
      </c>
      <c r="E18497" s="2" t="str">
        <f>HYPERLINK("http://ts.21cn.com/tousu/show/id/1350376","http://ts.21cn.com/tousu/show/id/1350376")</f>
        <v>http://ts.21cn.com/tousu/show/id/1350376</v>
      </c>
      <c r="F18497" s="2" t="s">
        <v>11</v>
      </c>
      <c r="G18497" s="2" t="s">
        <v>7804</v>
      </c>
      <c r="H18497" s="2" t="s">
        <v>7805</v>
      </c>
    </row>
    <row r="18498" spans="1:8" ht="25.05" customHeight="1" x14ac:dyDescent="0.25">
      <c r="A18498" s="2" t="s">
        <v>8</v>
      </c>
      <c r="B18498" s="2" t="str">
        <f>HYPERLINK("http://ts.21cn.com/tousu/show/id/1350378","好易贷高利贷")</f>
        <v>好易贷高利贷</v>
      </c>
      <c r="C18498" s="2" t="s">
        <v>9</v>
      </c>
      <c r="D18498" s="2" t="s">
        <v>10</v>
      </c>
      <c r="E18498" s="2" t="str">
        <f>HYPERLINK("http://ts.21cn.com/tousu/show/id/1350378","http://ts.21cn.com/tousu/show/id/1350378")</f>
        <v>http://ts.21cn.com/tousu/show/id/1350378</v>
      </c>
      <c r="F18498" s="2" t="s">
        <v>11</v>
      </c>
      <c r="G18498" s="2" t="s">
        <v>7802</v>
      </c>
      <c r="H18498" s="2" t="s">
        <v>7803</v>
      </c>
    </row>
    <row r="18499" spans="1:8" ht="25.05" customHeight="1" x14ac:dyDescent="0.25">
      <c r="A18499" s="2" t="s">
        <v>8</v>
      </c>
      <c r="B18499" s="2" t="str">
        <f>HYPERLINK("http://ts.21cn.com/tousu/show/id/1350380","闪电借款频繁骚扰")</f>
        <v>闪电借款频繁骚扰</v>
      </c>
      <c r="C18499" s="2" t="s">
        <v>9</v>
      </c>
      <c r="D18499" s="2" t="s">
        <v>10</v>
      </c>
      <c r="E18499" s="2" t="str">
        <f>HYPERLINK("http://ts.21cn.com/tousu/show/id/1350380","http://ts.21cn.com/tousu/show/id/1350380")</f>
        <v>http://ts.21cn.com/tousu/show/id/1350380</v>
      </c>
      <c r="F18499" s="2" t="s">
        <v>11</v>
      </c>
      <c r="G18499" s="2" t="s">
        <v>7800</v>
      </c>
      <c r="H18499" s="2" t="s">
        <v>7801</v>
      </c>
    </row>
    <row r="18500" spans="1:8" ht="25.05" customHeight="1" x14ac:dyDescent="0.25">
      <c r="A18500" s="2" t="s">
        <v>8</v>
      </c>
      <c r="B18500" s="2" t="str">
        <f>HYPERLINK("http://ts.21cn.com/tousu/show/id/1350381","我来数科原我来贷")</f>
        <v>我来数科原我来贷</v>
      </c>
      <c r="C18500" s="2" t="s">
        <v>9</v>
      </c>
      <c r="D18500" s="2" t="s">
        <v>10</v>
      </c>
      <c r="E18500" s="2" t="str">
        <f>HYPERLINK("http://ts.21cn.com/tousu/show/id/1350381","http://ts.21cn.com/tousu/show/id/1350381")</f>
        <v>http://ts.21cn.com/tousu/show/id/1350381</v>
      </c>
      <c r="F18500" s="2" t="s">
        <v>11</v>
      </c>
      <c r="G18500" s="2" t="s">
        <v>7798</v>
      </c>
      <c r="H18500" s="2" t="s">
        <v>7799</v>
      </c>
    </row>
    <row r="18501" spans="1:8" ht="25.05" customHeight="1" x14ac:dyDescent="0.25">
      <c r="A18501" s="2" t="s">
        <v>8</v>
      </c>
      <c r="B18501" s="2" t="str">
        <f>HYPERLINK("http://ts.21cn.com/tousu/show/id/1350382","程咬金七天高炮高利贷砍头息惠民支付提供支付通道。")</f>
        <v>程咬金七天高炮高利贷砍头息惠民支付提供支付通道。</v>
      </c>
      <c r="C18501" s="2" t="s">
        <v>9</v>
      </c>
      <c r="D18501" s="2" t="s">
        <v>10</v>
      </c>
      <c r="E18501" s="2" t="str">
        <f>HYPERLINK("http://ts.21cn.com/tousu/show/id/1350382","http://ts.21cn.com/tousu/show/id/1350382")</f>
        <v>http://ts.21cn.com/tousu/show/id/1350382</v>
      </c>
      <c r="F18501" s="2" t="s">
        <v>11</v>
      </c>
      <c r="G18501" s="2" t="s">
        <v>7796</v>
      </c>
      <c r="H18501" s="2" t="s">
        <v>7797</v>
      </c>
    </row>
    <row r="18502" spans="1:8" ht="25.05" customHeight="1" x14ac:dyDescent="0.25">
      <c r="A18502" s="2" t="s">
        <v>8</v>
      </c>
      <c r="B18502" s="2" t="str">
        <f>HYPERLINK("http://ts.21cn.com/tousu/show/id/1350386","京东白条委外催收，骚扰联系人")</f>
        <v>京东白条委外催收，骚扰联系人</v>
      </c>
      <c r="C18502" s="2" t="s">
        <v>9</v>
      </c>
      <c r="D18502" s="2" t="s">
        <v>10</v>
      </c>
      <c r="E18502" s="2" t="str">
        <f>HYPERLINK("http://ts.21cn.com/tousu/show/id/1350386","http://ts.21cn.com/tousu/show/id/1350386")</f>
        <v>http://ts.21cn.com/tousu/show/id/1350386</v>
      </c>
      <c r="F18502" s="2" t="s">
        <v>11</v>
      </c>
      <c r="G18502" s="2" t="s">
        <v>7794</v>
      </c>
      <c r="H18502" s="2" t="s">
        <v>7795</v>
      </c>
    </row>
    <row r="18503" spans="1:8" ht="25.05" customHeight="1" x14ac:dyDescent="0.25">
      <c r="A18503" s="2" t="s">
        <v>8</v>
      </c>
      <c r="B18503" s="2" t="str">
        <f>HYPERLINK("http://ts.21cn.com/tousu/show/id/1350384","宏萨（上海）信息科技有限公司扣款")</f>
        <v>宏萨（上海）信息科技有限公司扣款</v>
      </c>
      <c r="C18503" s="2" t="s">
        <v>9</v>
      </c>
      <c r="D18503" s="2" t="s">
        <v>10</v>
      </c>
      <c r="E18503" s="2" t="str">
        <f>HYPERLINK("http://ts.21cn.com/tousu/show/id/1350384","http://ts.21cn.com/tousu/show/id/1350384")</f>
        <v>http://ts.21cn.com/tousu/show/id/1350384</v>
      </c>
      <c r="F18503" s="2" t="s">
        <v>11</v>
      </c>
      <c r="G18503" s="2" t="s">
        <v>7792</v>
      </c>
      <c r="H18503" s="2" t="s">
        <v>7793</v>
      </c>
    </row>
    <row r="18504" spans="1:8" ht="25.05" customHeight="1" x14ac:dyDescent="0.25">
      <c r="A18504" s="2" t="s">
        <v>8</v>
      </c>
      <c r="B18504" s="2" t="str">
        <f>HYPERLINK("http://ts.21cn.com/tousu/show/id/1350387","信用飞强制搭售保险")</f>
        <v>信用飞强制搭售保险</v>
      </c>
      <c r="C18504" s="2" t="s">
        <v>9</v>
      </c>
      <c r="D18504" s="2" t="s">
        <v>10</v>
      </c>
      <c r="E18504" s="2" t="str">
        <f>HYPERLINK("http://ts.21cn.com/tousu/show/id/1350387","http://ts.21cn.com/tousu/show/id/1350387")</f>
        <v>http://ts.21cn.com/tousu/show/id/1350387</v>
      </c>
      <c r="F18504" s="2" t="s">
        <v>11</v>
      </c>
      <c r="G18504" s="2" t="s">
        <v>7790</v>
      </c>
      <c r="H18504" s="2" t="s">
        <v>7791</v>
      </c>
    </row>
    <row r="18505" spans="1:8" ht="25.05" customHeight="1" x14ac:dyDescent="0.25">
      <c r="A18505" s="2" t="s">
        <v>8</v>
      </c>
      <c r="B18505" s="2" t="str">
        <f>HYPERLINK("http://ts.21cn.com/tousu/show/id/1350385","砍头息骂人暴力催收")</f>
        <v>砍头息骂人暴力催收</v>
      </c>
      <c r="C18505" s="2" t="s">
        <v>9</v>
      </c>
      <c r="D18505" s="2" t="s">
        <v>10</v>
      </c>
      <c r="E18505" s="2" t="str">
        <f>HYPERLINK("http://ts.21cn.com/tousu/show/id/1350385","http://ts.21cn.com/tousu/show/id/1350385")</f>
        <v>http://ts.21cn.com/tousu/show/id/1350385</v>
      </c>
      <c r="F18505" s="2" t="s">
        <v>11</v>
      </c>
      <c r="G18505" s="2" t="s">
        <v>7788</v>
      </c>
      <c r="H18505" s="2" t="s">
        <v>7789</v>
      </c>
    </row>
    <row r="18506" spans="1:8" ht="25.05" customHeight="1" x14ac:dyDescent="0.25">
      <c r="A18506" s="2" t="s">
        <v>8</v>
      </c>
      <c r="B18506" s="2" t="str">
        <f>HYPERLINK("http://ts.21cn.com/tousu/show/id/1350388","招联金融")</f>
        <v>招联金融</v>
      </c>
      <c r="C18506" s="2" t="s">
        <v>9</v>
      </c>
      <c r="D18506" s="2" t="s">
        <v>10</v>
      </c>
      <c r="E18506" s="2" t="str">
        <f>HYPERLINK("http://ts.21cn.com/tousu/show/id/1350388","http://ts.21cn.com/tousu/show/id/1350388")</f>
        <v>http://ts.21cn.com/tousu/show/id/1350388</v>
      </c>
      <c r="F18506" s="2" t="s">
        <v>11</v>
      </c>
      <c r="G18506" s="2" t="s">
        <v>7786</v>
      </c>
      <c r="H18506" s="2" t="s">
        <v>7787</v>
      </c>
    </row>
    <row r="18507" spans="1:8" ht="25.05" customHeight="1" x14ac:dyDescent="0.25">
      <c r="A18507" s="2" t="s">
        <v>8</v>
      </c>
      <c r="B18507" s="2" t="str">
        <f>HYPERLINK("http://ts.21cn.com/tousu/show/id/1350389","中心银行第三方经常骚扰我")</f>
        <v>中心银行第三方经常骚扰我</v>
      </c>
      <c r="C18507" s="2" t="s">
        <v>9</v>
      </c>
      <c r="D18507" s="2" t="s">
        <v>10</v>
      </c>
      <c r="E18507" s="2" t="str">
        <f>HYPERLINK("http://ts.21cn.com/tousu/show/id/1350389","http://ts.21cn.com/tousu/show/id/1350389")</f>
        <v>http://ts.21cn.com/tousu/show/id/1350389</v>
      </c>
      <c r="F18507" s="2" t="s">
        <v>11</v>
      </c>
      <c r="G18507" s="2" t="s">
        <v>7784</v>
      </c>
      <c r="H18507" s="2" t="s">
        <v>7785</v>
      </c>
    </row>
    <row r="18508" spans="1:8" ht="25.05" customHeight="1" x14ac:dyDescent="0.25">
      <c r="A18508" s="2" t="s">
        <v>8</v>
      </c>
      <c r="B18508" s="2" t="str">
        <f>HYPERLINK("http://ts.21cn.com/tousu/show/id/1350390","高利息，骚扰家人，威胁本人")</f>
        <v>高利息，骚扰家人，威胁本人</v>
      </c>
      <c r="C18508" s="2" t="s">
        <v>9</v>
      </c>
      <c r="D18508" s="2" t="s">
        <v>10</v>
      </c>
      <c r="E18508" s="2" t="str">
        <f>HYPERLINK("http://ts.21cn.com/tousu/show/id/1350390","http://ts.21cn.com/tousu/show/id/1350390")</f>
        <v>http://ts.21cn.com/tousu/show/id/1350390</v>
      </c>
      <c r="F18508" s="2" t="s">
        <v>11</v>
      </c>
      <c r="G18508" s="2" t="s">
        <v>7782</v>
      </c>
      <c r="H18508" s="2" t="s">
        <v>7783</v>
      </c>
    </row>
    <row r="18509" spans="1:8" ht="25.05" customHeight="1" x14ac:dyDescent="0.25">
      <c r="A18509" s="2" t="s">
        <v>8</v>
      </c>
      <c r="B18509" s="2" t="str">
        <f>HYPERLINK("http://ts.21cn.com/tousu/show/id/1350392","你我贷暴力催收高利贷")</f>
        <v>你我贷暴力催收高利贷</v>
      </c>
      <c r="C18509" s="2" t="s">
        <v>9</v>
      </c>
      <c r="D18509" s="2" t="s">
        <v>10</v>
      </c>
      <c r="E18509" s="2" t="str">
        <f>HYPERLINK("http://ts.21cn.com/tousu/show/id/1350392","http://ts.21cn.com/tousu/show/id/1350392")</f>
        <v>http://ts.21cn.com/tousu/show/id/1350392</v>
      </c>
      <c r="F18509" s="2" t="s">
        <v>11</v>
      </c>
      <c r="G18509" s="2" t="s">
        <v>7780</v>
      </c>
      <c r="H18509" s="2" t="s">
        <v>7781</v>
      </c>
    </row>
    <row r="18510" spans="1:8" ht="25.05" customHeight="1" x14ac:dyDescent="0.25">
      <c r="A18510" s="2" t="s">
        <v>8</v>
      </c>
      <c r="B18510" s="2" t="str">
        <f>HYPERLINK("http://ts.21cn.com/tousu/show/id/1350393","闪电借款暴力催收")</f>
        <v>闪电借款暴力催收</v>
      </c>
      <c r="C18510" s="2" t="s">
        <v>9</v>
      </c>
      <c r="D18510" s="2" t="s">
        <v>10</v>
      </c>
      <c r="E18510" s="2" t="str">
        <f>HYPERLINK("http://ts.21cn.com/tousu/show/id/1350393","http://ts.21cn.com/tousu/show/id/1350393")</f>
        <v>http://ts.21cn.com/tousu/show/id/1350393</v>
      </c>
      <c r="F18510" s="2" t="s">
        <v>11</v>
      </c>
      <c r="G18510" s="2" t="s">
        <v>7778</v>
      </c>
      <c r="H18510" s="2" t="s">
        <v>7779</v>
      </c>
    </row>
    <row r="18511" spans="1:8" ht="25.05" customHeight="1" x14ac:dyDescent="0.25">
      <c r="A18511" s="2" t="s">
        <v>8</v>
      </c>
      <c r="B18511" s="2" t="str">
        <f>HYPERLINK("http://ts.21cn.com/tousu/show/id/1350391","交通银行信用卡委托其他扣款机构收取高额利息")</f>
        <v>交通银行信用卡委托其他扣款机构收取高额利息</v>
      </c>
      <c r="C18511" s="2" t="s">
        <v>9</v>
      </c>
      <c r="D18511" s="2" t="s">
        <v>10</v>
      </c>
      <c r="E18511" s="2" t="str">
        <f>HYPERLINK("http://ts.21cn.com/tousu/show/id/1350391","http://ts.21cn.com/tousu/show/id/1350391")</f>
        <v>http://ts.21cn.com/tousu/show/id/1350391</v>
      </c>
      <c r="F18511" s="2" t="s">
        <v>11</v>
      </c>
      <c r="G18511" s="2" t="s">
        <v>7776</v>
      </c>
      <c r="H18511" s="2" t="s">
        <v>7777</v>
      </c>
    </row>
    <row r="18512" spans="1:8" ht="25.05" customHeight="1" x14ac:dyDescent="0.25">
      <c r="A18512" s="2" t="s">
        <v>8</v>
      </c>
      <c r="B18512" s="2" t="str">
        <f>HYPERLINK("http://ts.21cn.com/tousu/show/id/1350394","贷上钱以十五天办理注销账户为由拖延办理注销账户")</f>
        <v>贷上钱以十五天办理注销账户为由拖延办理注销账户</v>
      </c>
      <c r="C18512" s="2" t="s">
        <v>9</v>
      </c>
      <c r="D18512" s="2" t="s">
        <v>10</v>
      </c>
      <c r="E18512" s="2" t="str">
        <f>HYPERLINK("http://ts.21cn.com/tousu/show/id/1350394","http://ts.21cn.com/tousu/show/id/1350394")</f>
        <v>http://ts.21cn.com/tousu/show/id/1350394</v>
      </c>
      <c r="F18512" s="2" t="s">
        <v>11</v>
      </c>
      <c r="G18512" s="2" t="s">
        <v>7774</v>
      </c>
      <c r="H18512" s="2" t="s">
        <v>7775</v>
      </c>
    </row>
    <row r="18513" spans="1:8" ht="25.05" customHeight="1" x14ac:dyDescent="0.25">
      <c r="A18513" s="2" t="s">
        <v>8</v>
      </c>
      <c r="B18513" s="2" t="str">
        <f>HYPERLINK("http://ts.21cn.com/tousu/show/id/1350396","高利贷利息、催款严重扰乱生活")</f>
        <v>高利贷利息、催款严重扰乱生活</v>
      </c>
      <c r="C18513" s="2" t="s">
        <v>9</v>
      </c>
      <c r="D18513" s="2" t="s">
        <v>10</v>
      </c>
      <c r="E18513" s="2" t="str">
        <f>HYPERLINK("http://ts.21cn.com/tousu/show/id/1350396","http://ts.21cn.com/tousu/show/id/1350396")</f>
        <v>http://ts.21cn.com/tousu/show/id/1350396</v>
      </c>
      <c r="F18513" s="2" t="s">
        <v>11</v>
      </c>
      <c r="G18513" s="2" t="s">
        <v>7772</v>
      </c>
      <c r="H18513" s="2" t="s">
        <v>7773</v>
      </c>
    </row>
    <row r="18514" spans="1:8" ht="25.05" customHeight="1" x14ac:dyDescent="0.25">
      <c r="A18514" s="2" t="s">
        <v>8</v>
      </c>
      <c r="B18514" s="2" t="str">
        <f>HYPERLINK("http://ts.21cn.com/tousu/show/id/1350395","立借不给注销账号，一直拖着不给出审核结果")</f>
        <v>立借不给注销账号，一直拖着不给出审核结果</v>
      </c>
      <c r="C18514" s="2" t="s">
        <v>9</v>
      </c>
      <c r="D18514" s="2" t="s">
        <v>10</v>
      </c>
      <c r="E18514" s="2" t="str">
        <f>HYPERLINK("http://ts.21cn.com/tousu/show/id/1350395","http://ts.21cn.com/tousu/show/id/1350395")</f>
        <v>http://ts.21cn.com/tousu/show/id/1350395</v>
      </c>
      <c r="F18514" s="2" t="s">
        <v>11</v>
      </c>
      <c r="G18514" s="2" t="s">
        <v>7770</v>
      </c>
      <c r="H18514" s="2" t="s">
        <v>7771</v>
      </c>
    </row>
    <row r="18515" spans="1:8" ht="25.05" customHeight="1" x14ac:dyDescent="0.25">
      <c r="A18515" s="2" t="s">
        <v>8</v>
      </c>
      <c r="B18515" s="2" t="str">
        <f>HYPERLINK("http://ts.21cn.com/tousu/show/id/1350397","退回砍头息，高额利息费")</f>
        <v>退回砍头息，高额利息费</v>
      </c>
      <c r="C18515" s="2" t="s">
        <v>9</v>
      </c>
      <c r="D18515" s="2" t="s">
        <v>10</v>
      </c>
      <c r="E18515" s="2" t="str">
        <f>HYPERLINK("http://ts.21cn.com/tousu/show/id/1350397","http://ts.21cn.com/tousu/show/id/1350397")</f>
        <v>http://ts.21cn.com/tousu/show/id/1350397</v>
      </c>
      <c r="F18515" s="2" t="s">
        <v>11</v>
      </c>
      <c r="G18515" s="2" t="s">
        <v>7768</v>
      </c>
      <c r="H18515" s="2" t="s">
        <v>7769</v>
      </c>
    </row>
    <row r="18516" spans="1:8" ht="25.05" customHeight="1" x14ac:dyDescent="0.25">
      <c r="A18516" s="2" t="s">
        <v>8</v>
      </c>
      <c r="B18516" s="2" t="str">
        <f>HYPERLINK("http://ts.21cn.com/tousu/show/id/1350399","乐意花高额利息")</f>
        <v>乐意花高额利息</v>
      </c>
      <c r="C18516" s="2" t="s">
        <v>9</v>
      </c>
      <c r="D18516" s="2" t="s">
        <v>10</v>
      </c>
      <c r="E18516" s="2" t="str">
        <f>HYPERLINK("http://ts.21cn.com/tousu/show/id/1350399","http://ts.21cn.com/tousu/show/id/1350399")</f>
        <v>http://ts.21cn.com/tousu/show/id/1350399</v>
      </c>
      <c r="F18516" s="2" t="s">
        <v>11</v>
      </c>
      <c r="G18516" s="2" t="s">
        <v>7766</v>
      </c>
      <c r="H18516" s="2" t="s">
        <v>7767</v>
      </c>
    </row>
    <row r="18517" spans="1:8" ht="25.05" customHeight="1" x14ac:dyDescent="0.25">
      <c r="A18517" s="2" t="s">
        <v>8</v>
      </c>
      <c r="B18517" s="2" t="str">
        <f>HYPERLINK("http://ts.21cn.com/tousu/show/id/1350402","要求上海宏萨信息科技有限公司全额退款")</f>
        <v>要求上海宏萨信息科技有限公司全额退款</v>
      </c>
      <c r="C18517" s="2" t="s">
        <v>34</v>
      </c>
      <c r="D18517" s="2" t="s">
        <v>10</v>
      </c>
      <c r="E18517" s="2" t="str">
        <f>HYPERLINK("http://ts.21cn.com/tousu/show/id/1350402","http://ts.21cn.com/tousu/show/id/1350402")</f>
        <v>http://ts.21cn.com/tousu/show/id/1350402</v>
      </c>
      <c r="F18517" s="2" t="s">
        <v>11</v>
      </c>
      <c r="G18517" s="2" t="s">
        <v>7764</v>
      </c>
      <c r="H18517" s="2" t="s">
        <v>7765</v>
      </c>
    </row>
    <row r="18518" spans="1:8" ht="25.05" customHeight="1" x14ac:dyDescent="0.25">
      <c r="A18518" s="2" t="s">
        <v>8</v>
      </c>
      <c r="B18518" s="2" t="str">
        <f>HYPERLINK("http://ts.21cn.com/tousu/show/id/1350400","借款平台乱扣费用")</f>
        <v>借款平台乱扣费用</v>
      </c>
      <c r="C18518" s="2" t="s">
        <v>9</v>
      </c>
      <c r="D18518" s="2" t="s">
        <v>10</v>
      </c>
      <c r="E18518" s="2" t="str">
        <f>HYPERLINK("http://ts.21cn.com/tousu/show/id/1350400","http://ts.21cn.com/tousu/show/id/1350400")</f>
        <v>http://ts.21cn.com/tousu/show/id/1350400</v>
      </c>
      <c r="F18518" s="2" t="s">
        <v>11</v>
      </c>
      <c r="G18518" s="2" t="s">
        <v>7762</v>
      </c>
      <c r="H18518" s="2" t="s">
        <v>7763</v>
      </c>
    </row>
    <row r="18519" spans="1:8" ht="25.05" customHeight="1" x14ac:dyDescent="0.25">
      <c r="A18519" s="2" t="s">
        <v>8</v>
      </c>
      <c r="B18519" s="2" t="str">
        <f>HYPERLINK("http://ts.21cn.com/tousu/show/id/1350403","骚扰，群发，p图恐吓")</f>
        <v>骚扰，群发，p图恐吓</v>
      </c>
      <c r="C18519" s="2" t="s">
        <v>9</v>
      </c>
      <c r="D18519" s="2" t="s">
        <v>10</v>
      </c>
      <c r="E18519" s="2" t="str">
        <f>HYPERLINK("http://ts.21cn.com/tousu/show/id/1350403","http://ts.21cn.com/tousu/show/id/1350403")</f>
        <v>http://ts.21cn.com/tousu/show/id/1350403</v>
      </c>
      <c r="F18519" s="2" t="s">
        <v>11</v>
      </c>
      <c r="G18519" s="2" t="s">
        <v>7760</v>
      </c>
      <c r="H18519" s="2" t="s">
        <v>7761</v>
      </c>
    </row>
    <row r="18520" spans="1:8" ht="25.05" customHeight="1" x14ac:dyDescent="0.25">
      <c r="A18520" s="2" t="s">
        <v>8</v>
      </c>
      <c r="B18520" s="2" t="str">
        <f>HYPERLINK("http://ts.21cn.com/tousu/show/id/1350404","兴业银行暴力催收")</f>
        <v>兴业银行暴力催收</v>
      </c>
      <c r="C18520" s="2" t="s">
        <v>9</v>
      </c>
      <c r="D18520" s="2" t="s">
        <v>10</v>
      </c>
      <c r="E18520" s="2" t="str">
        <f>HYPERLINK("http://ts.21cn.com/tousu/show/id/1350404","http://ts.21cn.com/tousu/show/id/1350404")</f>
        <v>http://ts.21cn.com/tousu/show/id/1350404</v>
      </c>
      <c r="F18520" s="2" t="s">
        <v>11</v>
      </c>
      <c r="G18520" s="2" t="s">
        <v>7758</v>
      </c>
      <c r="H18520" s="2" t="s">
        <v>7759</v>
      </c>
    </row>
    <row r="18521" spans="1:8" ht="25.05" customHeight="1" x14ac:dyDescent="0.25">
      <c r="A18521" s="2" t="s">
        <v>8</v>
      </c>
      <c r="B18521" s="2" t="str">
        <f>HYPERLINK("http://ts.21cn.com/tousu/show/id/1350409","贷上钱高利贷暴力催收")</f>
        <v>贷上钱高利贷暴力催收</v>
      </c>
      <c r="C18521" s="2" t="s">
        <v>9</v>
      </c>
      <c r="D18521" s="2" t="s">
        <v>10</v>
      </c>
      <c r="E18521" s="2" t="str">
        <f>HYPERLINK("http://ts.21cn.com/tousu/show/id/1350409","http://ts.21cn.com/tousu/show/id/1350409")</f>
        <v>http://ts.21cn.com/tousu/show/id/1350409</v>
      </c>
      <c r="F18521" s="2" t="s">
        <v>11</v>
      </c>
      <c r="G18521" s="2" t="s">
        <v>7756</v>
      </c>
      <c r="H18521" s="2" t="s">
        <v>7757</v>
      </c>
    </row>
    <row r="18522" spans="1:8" ht="25.05" customHeight="1" x14ac:dyDescent="0.25">
      <c r="A18522" s="2" t="s">
        <v>8</v>
      </c>
      <c r="B18522" s="2" t="str">
        <f>HYPERLINK("http://ts.21cn.com/tousu/show/id/1350406","闪银里面没有借款显示借款需还款")</f>
        <v>闪银里面没有借款显示借款需还款</v>
      </c>
      <c r="C18522" s="2" t="s">
        <v>9</v>
      </c>
      <c r="D18522" s="2" t="s">
        <v>10</v>
      </c>
      <c r="E18522" s="2" t="str">
        <f>HYPERLINK("http://ts.21cn.com/tousu/show/id/1350406","http://ts.21cn.com/tousu/show/id/1350406")</f>
        <v>http://ts.21cn.com/tousu/show/id/1350406</v>
      </c>
      <c r="F18522" s="2" t="s">
        <v>11</v>
      </c>
      <c r="G18522" s="2" t="s">
        <v>7754</v>
      </c>
      <c r="H18522" s="2" t="s">
        <v>7755</v>
      </c>
    </row>
    <row r="18523" spans="1:8" ht="25.05" customHeight="1" x14ac:dyDescent="0.25">
      <c r="A18523" s="2" t="s">
        <v>8</v>
      </c>
      <c r="B18523" s="2" t="str">
        <f>HYPERLINK("http://ts.21cn.com/tousu/show/id/1350405","暴力催收，威胁恐吓")</f>
        <v>暴力催收，威胁恐吓</v>
      </c>
      <c r="C18523" s="2" t="s">
        <v>9</v>
      </c>
      <c r="D18523" s="2" t="s">
        <v>10</v>
      </c>
      <c r="E18523" s="2" t="str">
        <f>HYPERLINK("http://ts.21cn.com/tousu/show/id/1350405","http://ts.21cn.com/tousu/show/id/1350405")</f>
        <v>http://ts.21cn.com/tousu/show/id/1350405</v>
      </c>
      <c r="F18523" s="2" t="s">
        <v>11</v>
      </c>
      <c r="G18523" s="2" t="s">
        <v>7752</v>
      </c>
      <c r="H18523" s="2" t="s">
        <v>7753</v>
      </c>
    </row>
    <row r="18524" spans="1:8" ht="25.05" customHeight="1" x14ac:dyDescent="0.25">
      <c r="A18524" s="2" t="s">
        <v>8</v>
      </c>
      <c r="B18524" s="2" t="str">
        <f>HYPERLINK("http://ts.21cn.com/tousu/show/id/1350408","网贷强制额外收费，收费金额跟显示的月利息价格完全一样让人误解为基本利息")</f>
        <v>网贷强制额外收费，收费金额跟显示的月利息价格完全一样让人误解为基本利息</v>
      </c>
      <c r="C18524" s="2" t="s">
        <v>9</v>
      </c>
      <c r="D18524" s="2" t="s">
        <v>10</v>
      </c>
      <c r="E18524" s="2" t="str">
        <f>HYPERLINK("http://ts.21cn.com/tousu/show/id/1350408","http://ts.21cn.com/tousu/show/id/1350408")</f>
        <v>http://ts.21cn.com/tousu/show/id/1350408</v>
      </c>
      <c r="F18524" s="2" t="s">
        <v>11</v>
      </c>
      <c r="G18524" s="2" t="s">
        <v>7750</v>
      </c>
      <c r="H18524" s="2" t="s">
        <v>7751</v>
      </c>
    </row>
    <row r="18525" spans="1:8" ht="25.05" customHeight="1" x14ac:dyDescent="0.25">
      <c r="A18525" s="2" t="s">
        <v>8</v>
      </c>
      <c r="B18525" s="2" t="str">
        <f>HYPERLINK("http://ts.21cn.com/tousu/show/id/1350410","捷信消费金融恶意诱导贷款高额利息")</f>
        <v>捷信消费金融恶意诱导贷款高额利息</v>
      </c>
      <c r="C18525" s="2" t="s">
        <v>9</v>
      </c>
      <c r="D18525" s="2" t="s">
        <v>10</v>
      </c>
      <c r="E18525" s="2" t="str">
        <f>HYPERLINK("http://ts.21cn.com/tousu/show/id/1350410","http://ts.21cn.com/tousu/show/id/1350410")</f>
        <v>http://ts.21cn.com/tousu/show/id/1350410</v>
      </c>
      <c r="F18525" s="2" t="s">
        <v>11</v>
      </c>
      <c r="G18525" s="2" t="s">
        <v>7748</v>
      </c>
      <c r="H18525" s="2" t="s">
        <v>7749</v>
      </c>
    </row>
    <row r="18526" spans="1:8" ht="25.05" customHeight="1" x14ac:dyDescent="0.25">
      <c r="A18526" s="2" t="s">
        <v>8</v>
      </c>
      <c r="B18526" s="2" t="str">
        <f>HYPERLINK("http://ts.21cn.com/tousu/show/id/1350411","开发票收快递费")</f>
        <v>开发票收快递费</v>
      </c>
      <c r="C18526" s="2" t="s">
        <v>34</v>
      </c>
      <c r="D18526" s="2" t="s">
        <v>10</v>
      </c>
      <c r="E18526" s="2" t="str">
        <f>HYPERLINK("http://ts.21cn.com/tousu/show/id/1350411","http://ts.21cn.com/tousu/show/id/1350411")</f>
        <v>http://ts.21cn.com/tousu/show/id/1350411</v>
      </c>
      <c r="F18526" s="2" t="s">
        <v>11</v>
      </c>
      <c r="G18526" s="2" t="s">
        <v>7746</v>
      </c>
      <c r="H18526" s="2" t="s">
        <v>7747</v>
      </c>
    </row>
    <row r="18527" spans="1:8" ht="25.05" customHeight="1" x14ac:dyDescent="0.25">
      <c r="A18527" s="2" t="s">
        <v>8</v>
      </c>
      <c r="B18527" s="2" t="str">
        <f>HYPERLINK("http://ts.21cn.com/tousu/show/id/1350412","被暴力催收威胁恐吓")</f>
        <v>被暴力催收威胁恐吓</v>
      </c>
      <c r="C18527" s="2" t="s">
        <v>9</v>
      </c>
      <c r="D18527" s="2" t="s">
        <v>10</v>
      </c>
      <c r="E18527" s="2" t="str">
        <f>HYPERLINK("http://ts.21cn.com/tousu/show/id/1350412","http://ts.21cn.com/tousu/show/id/1350412")</f>
        <v>http://ts.21cn.com/tousu/show/id/1350412</v>
      </c>
      <c r="F18527" s="2" t="s">
        <v>11</v>
      </c>
      <c r="G18527" s="2" t="s">
        <v>7744</v>
      </c>
      <c r="H18527" s="2" t="s">
        <v>7745</v>
      </c>
    </row>
    <row r="18528" spans="1:8" ht="25.05" customHeight="1" x14ac:dyDescent="0.25">
      <c r="A18528" s="2" t="s">
        <v>8</v>
      </c>
      <c r="B18528" s="2" t="str">
        <f>HYPERLINK("http://ts.21cn.com/tousu/show/id/1350413","现在展业达人换催收部门催收了")</f>
        <v>现在展业达人换催收部门催收了</v>
      </c>
      <c r="C18528" s="2" t="s">
        <v>9</v>
      </c>
      <c r="D18528" s="2" t="s">
        <v>10</v>
      </c>
      <c r="E18528" s="2" t="str">
        <f>HYPERLINK("http://ts.21cn.com/tousu/show/id/1350413","http://ts.21cn.com/tousu/show/id/1350413")</f>
        <v>http://ts.21cn.com/tousu/show/id/1350413</v>
      </c>
      <c r="F18528" s="2" t="s">
        <v>11</v>
      </c>
      <c r="G18528" s="2" t="s">
        <v>7742</v>
      </c>
      <c r="H18528" s="2" t="s">
        <v>7743</v>
      </c>
    </row>
    <row r="18529" spans="1:8" ht="25.05" customHeight="1" x14ac:dyDescent="0.25">
      <c r="A18529" s="2" t="s">
        <v>8</v>
      </c>
      <c r="B18529" s="2" t="str">
        <f>HYPERLINK("http://ts.21cn.com/tousu/show/id/1350414","好易借要逼死人")</f>
        <v>好易借要逼死人</v>
      </c>
      <c r="C18529" s="2" t="s">
        <v>9</v>
      </c>
      <c r="D18529" s="2" t="s">
        <v>10</v>
      </c>
      <c r="E18529" s="2" t="str">
        <f>HYPERLINK("http://ts.21cn.com/tousu/show/id/1350414","http://ts.21cn.com/tousu/show/id/1350414")</f>
        <v>http://ts.21cn.com/tousu/show/id/1350414</v>
      </c>
      <c r="F18529" s="2" t="s">
        <v>11</v>
      </c>
      <c r="G18529" s="2" t="s">
        <v>7740</v>
      </c>
      <c r="H18529" s="2" t="s">
        <v>7741</v>
      </c>
    </row>
    <row r="18530" spans="1:8" ht="25.05" customHeight="1" x14ac:dyDescent="0.25">
      <c r="A18530" s="2" t="s">
        <v>8</v>
      </c>
      <c r="B18530" s="2" t="str">
        <f>HYPERLINK("http://ts.21cn.com/tousu/show/id/1350415","微品分期对通讯录骚扰")</f>
        <v>微品分期对通讯录骚扰</v>
      </c>
      <c r="C18530" s="2" t="s">
        <v>9</v>
      </c>
      <c r="D18530" s="2" t="s">
        <v>10</v>
      </c>
      <c r="E18530" s="2" t="str">
        <f>HYPERLINK("http://ts.21cn.com/tousu/show/id/1350415","http://ts.21cn.com/tousu/show/id/1350415")</f>
        <v>http://ts.21cn.com/tousu/show/id/1350415</v>
      </c>
      <c r="F18530" s="2" t="s">
        <v>11</v>
      </c>
      <c r="G18530" s="2" t="s">
        <v>7738</v>
      </c>
      <c r="H18530" s="2" t="s">
        <v>7739</v>
      </c>
    </row>
    <row r="18531" spans="1:8" ht="25.05" customHeight="1" x14ac:dyDescent="0.25">
      <c r="A18531" s="2" t="s">
        <v>8</v>
      </c>
      <c r="B18531" s="2" t="str">
        <f>HYPERLINK("http://ts.21cn.com/tousu/show/id/1350416","必要商城不按约定履行换货")</f>
        <v>必要商城不按约定履行换货</v>
      </c>
      <c r="C18531" s="2" t="s">
        <v>34</v>
      </c>
      <c r="D18531" s="2" t="s">
        <v>10</v>
      </c>
      <c r="E18531" s="2" t="str">
        <f>HYPERLINK("http://ts.21cn.com/tousu/show/id/1350416","http://ts.21cn.com/tousu/show/id/1350416")</f>
        <v>http://ts.21cn.com/tousu/show/id/1350416</v>
      </c>
      <c r="F18531" s="2" t="s">
        <v>11</v>
      </c>
      <c r="G18531" s="2" t="s">
        <v>7736</v>
      </c>
      <c r="H18531" s="2" t="s">
        <v>7737</v>
      </c>
    </row>
    <row r="18532" spans="1:8" ht="25.05" customHeight="1" x14ac:dyDescent="0.25">
      <c r="A18532" s="2" t="s">
        <v>8</v>
      </c>
      <c r="B18532" s="2" t="str">
        <f>HYPERLINK("http://ts.21cn.com/tousu/show/id/1350417","聚富分期不兑现承诺")</f>
        <v>聚富分期不兑现承诺</v>
      </c>
      <c r="C18532" s="2" t="s">
        <v>34</v>
      </c>
      <c r="D18532" s="2" t="s">
        <v>10</v>
      </c>
      <c r="E18532" s="2" t="str">
        <f>HYPERLINK("http://ts.21cn.com/tousu/show/id/1350417","http://ts.21cn.com/tousu/show/id/1350417")</f>
        <v>http://ts.21cn.com/tousu/show/id/1350417</v>
      </c>
      <c r="F18532" s="2" t="s">
        <v>11</v>
      </c>
      <c r="G18532" s="2" t="s">
        <v>7734</v>
      </c>
      <c r="H18532" s="2" t="s">
        <v>7735</v>
      </c>
    </row>
    <row r="18533" spans="1:8" ht="25.05" customHeight="1" x14ac:dyDescent="0.25">
      <c r="A18533" s="2" t="s">
        <v>8</v>
      </c>
      <c r="B18533" s="2" t="str">
        <f>HYPERLINK("http://ts.21cn.com/tousu/show/id/1350419","捷信上门催收")</f>
        <v>捷信上门催收</v>
      </c>
      <c r="C18533" s="2" t="s">
        <v>9</v>
      </c>
      <c r="D18533" s="2" t="s">
        <v>10</v>
      </c>
      <c r="E18533" s="2" t="str">
        <f>HYPERLINK("http://ts.21cn.com/tousu/show/id/1350419","http://ts.21cn.com/tousu/show/id/1350419")</f>
        <v>http://ts.21cn.com/tousu/show/id/1350419</v>
      </c>
      <c r="F18533" s="2" t="s">
        <v>11</v>
      </c>
      <c r="G18533" s="2" t="s">
        <v>7732</v>
      </c>
      <c r="H18533" s="2" t="s">
        <v>7733</v>
      </c>
    </row>
    <row r="18534" spans="1:8" ht="25.05" customHeight="1" x14ac:dyDescent="0.25">
      <c r="A18534" s="2" t="s">
        <v>8</v>
      </c>
      <c r="B18534" s="2" t="str">
        <f>HYPERLINK("http://ts.21cn.com/tousu/show/id/1350423","投诉网贷公司")</f>
        <v>投诉网贷公司</v>
      </c>
      <c r="C18534" s="2" t="s">
        <v>9</v>
      </c>
      <c r="D18534" s="2" t="s">
        <v>10</v>
      </c>
      <c r="E18534" s="2" t="str">
        <f>HYPERLINK("http://ts.21cn.com/tousu/show/id/1350423","http://ts.21cn.com/tousu/show/id/1350423")</f>
        <v>http://ts.21cn.com/tousu/show/id/1350423</v>
      </c>
      <c r="F18534" s="2" t="s">
        <v>11</v>
      </c>
      <c r="G18534" s="2" t="s">
        <v>7730</v>
      </c>
      <c r="H18534" s="2" t="s">
        <v>7731</v>
      </c>
    </row>
    <row r="18535" spans="1:8" ht="25.05" customHeight="1" x14ac:dyDescent="0.25">
      <c r="A18535" s="2" t="s">
        <v>8</v>
      </c>
      <c r="B18535" s="2" t="str">
        <f>HYPERLINK("http://ts.21cn.com/tousu/show/id/1350426","上海造艺网络技术有限公司")</f>
        <v>上海造艺网络技术有限公司</v>
      </c>
      <c r="C18535" s="2" t="s">
        <v>9</v>
      </c>
      <c r="D18535" s="2" t="s">
        <v>10</v>
      </c>
      <c r="E18535" s="2" t="str">
        <f>HYPERLINK("http://ts.21cn.com/tousu/show/id/1350426","http://ts.21cn.com/tousu/show/id/1350426")</f>
        <v>http://ts.21cn.com/tousu/show/id/1350426</v>
      </c>
      <c r="F18535" s="2" t="s">
        <v>11</v>
      </c>
      <c r="G18535" s="2" t="s">
        <v>7728</v>
      </c>
      <c r="H18535" s="2" t="s">
        <v>7729</v>
      </c>
    </row>
    <row r="18536" spans="1:8" ht="25.05" customHeight="1" x14ac:dyDescent="0.25">
      <c r="A18536" s="2" t="s">
        <v>8</v>
      </c>
      <c r="B18536" s="2" t="str">
        <f>HYPERLINK("http://ts.21cn.com/tousu/show/id/1350420","招商银行信用卡不断威胁")</f>
        <v>招商银行信用卡不断威胁</v>
      </c>
      <c r="C18536" s="2" t="s">
        <v>9</v>
      </c>
      <c r="D18536" s="2" t="s">
        <v>10</v>
      </c>
      <c r="E18536" s="2" t="str">
        <f>HYPERLINK("http://ts.21cn.com/tousu/show/id/1350420","http://ts.21cn.com/tousu/show/id/1350420")</f>
        <v>http://ts.21cn.com/tousu/show/id/1350420</v>
      </c>
      <c r="F18536" s="2" t="s">
        <v>11</v>
      </c>
      <c r="G18536" s="2" t="s">
        <v>7726</v>
      </c>
      <c r="H18536" s="2" t="s">
        <v>7727</v>
      </c>
    </row>
    <row r="18537" spans="1:8" ht="25.05" customHeight="1" x14ac:dyDescent="0.25">
      <c r="A18537" s="2" t="s">
        <v>8</v>
      </c>
      <c r="B18537" s="2" t="str">
        <f>HYPERLINK("http://ts.21cn.com/tousu/show/id/1350421","百度热点资讯弹出来的虚假广告")</f>
        <v>百度热点资讯弹出来的虚假广告</v>
      </c>
      <c r="C18537" s="2" t="s">
        <v>9</v>
      </c>
      <c r="D18537" s="2" t="s">
        <v>10</v>
      </c>
      <c r="E18537" s="2" t="str">
        <f>HYPERLINK("http://ts.21cn.com/tousu/show/id/1350421","http://ts.21cn.com/tousu/show/id/1350421")</f>
        <v>http://ts.21cn.com/tousu/show/id/1350421</v>
      </c>
      <c r="F18537" s="2" t="s">
        <v>11</v>
      </c>
      <c r="G18537" s="2" t="s">
        <v>7724</v>
      </c>
      <c r="H18537" s="2" t="s">
        <v>7725</v>
      </c>
    </row>
    <row r="18538" spans="1:8" ht="25.05" customHeight="1" x14ac:dyDescent="0.25">
      <c r="A18538" s="2" t="s">
        <v>8</v>
      </c>
      <c r="B18538" s="2" t="str">
        <f>HYPERLINK("http://ts.21cn.com/tousu/show/id/1350427","高利贷，暴力催收")</f>
        <v>高利贷，暴力催收</v>
      </c>
      <c r="C18538" s="2" t="s">
        <v>9</v>
      </c>
      <c r="D18538" s="2" t="s">
        <v>10</v>
      </c>
      <c r="E18538" s="2" t="str">
        <f>HYPERLINK("http://ts.21cn.com/tousu/show/id/1350427","http://ts.21cn.com/tousu/show/id/1350427")</f>
        <v>http://ts.21cn.com/tousu/show/id/1350427</v>
      </c>
      <c r="F18538" s="2" t="s">
        <v>11</v>
      </c>
      <c r="G18538" s="2" t="s">
        <v>7722</v>
      </c>
      <c r="H18538" s="2" t="s">
        <v>7723</v>
      </c>
    </row>
    <row r="18539" spans="1:8" ht="25.05" customHeight="1" x14ac:dyDescent="0.25">
      <c r="A18539" s="2" t="s">
        <v>8</v>
      </c>
      <c r="B18539" s="2" t="str">
        <f>HYPERLINK("http://ts.21cn.com/tousu/show/id/1350422","不给协商，爆通讯录")</f>
        <v>不给协商，爆通讯录</v>
      </c>
      <c r="C18539" s="2" t="s">
        <v>9</v>
      </c>
      <c r="D18539" s="2" t="s">
        <v>10</v>
      </c>
      <c r="E18539" s="2" t="str">
        <f>HYPERLINK("http://ts.21cn.com/tousu/show/id/1350422","http://ts.21cn.com/tousu/show/id/1350422")</f>
        <v>http://ts.21cn.com/tousu/show/id/1350422</v>
      </c>
      <c r="F18539" s="2" t="s">
        <v>11</v>
      </c>
      <c r="G18539" s="2" t="s">
        <v>7720</v>
      </c>
      <c r="H18539" s="2" t="s">
        <v>7721</v>
      </c>
    </row>
    <row r="18540" spans="1:8" ht="25.05" customHeight="1" x14ac:dyDescent="0.25">
      <c r="A18540" s="2" t="s">
        <v>8</v>
      </c>
      <c r="B18540" s="2" t="str">
        <f>HYPERLINK("http://ts.21cn.com/tousu/show/id/1350424","国美还款还不进去！！！")</f>
        <v>国美还款还不进去！！！</v>
      </c>
      <c r="C18540" s="2" t="s">
        <v>34</v>
      </c>
      <c r="D18540" s="2" t="s">
        <v>10</v>
      </c>
      <c r="E18540" s="2" t="str">
        <f>HYPERLINK("http://ts.21cn.com/tousu/show/id/1350424","http://ts.21cn.com/tousu/show/id/1350424")</f>
        <v>http://ts.21cn.com/tousu/show/id/1350424</v>
      </c>
      <c r="F18540" s="2" t="s">
        <v>11</v>
      </c>
      <c r="G18540" s="2" t="s">
        <v>7718</v>
      </c>
      <c r="H18540" s="2" t="s">
        <v>7719</v>
      </c>
    </row>
    <row r="18541" spans="1:8" ht="25.05" customHeight="1" x14ac:dyDescent="0.25">
      <c r="A18541" s="2" t="s">
        <v>8</v>
      </c>
      <c r="B18541" s="2" t="str">
        <f>HYPERLINK("http://ts.21cn.com/tousu/show/id/1350429","信用星球爆通讯录威胁联系人")</f>
        <v>信用星球爆通讯录威胁联系人</v>
      </c>
      <c r="C18541" s="2" t="s">
        <v>9</v>
      </c>
      <c r="D18541" s="2" t="s">
        <v>10</v>
      </c>
      <c r="E18541" s="2" t="str">
        <f>HYPERLINK("http://ts.21cn.com/tousu/show/id/1350429","http://ts.21cn.com/tousu/show/id/1350429")</f>
        <v>http://ts.21cn.com/tousu/show/id/1350429</v>
      </c>
      <c r="F18541" s="2" t="s">
        <v>11</v>
      </c>
      <c r="G18541" s="2" t="s">
        <v>7716</v>
      </c>
      <c r="H18541" s="2" t="s">
        <v>7717</v>
      </c>
    </row>
    <row r="18542" spans="1:8" ht="25.05" customHeight="1" x14ac:dyDescent="0.25">
      <c r="A18542" s="2" t="s">
        <v>8</v>
      </c>
      <c r="B18542" s="2" t="str">
        <f>HYPERLINK("http://ts.21cn.com/tousu/show/id/1350428","马上金融爆了催收")</f>
        <v>马上金融爆了催收</v>
      </c>
      <c r="C18542" s="2" t="s">
        <v>9</v>
      </c>
      <c r="D18542" s="2" t="s">
        <v>10</v>
      </c>
      <c r="E18542" s="2" t="str">
        <f>HYPERLINK("http://ts.21cn.com/tousu/show/id/1350428","http://ts.21cn.com/tousu/show/id/1350428")</f>
        <v>http://ts.21cn.com/tousu/show/id/1350428</v>
      </c>
      <c r="F18542" s="2" t="s">
        <v>11</v>
      </c>
      <c r="G18542" s="2" t="s">
        <v>7714</v>
      </c>
      <c r="H18542" s="2" t="s">
        <v>7715</v>
      </c>
    </row>
    <row r="18543" spans="1:8" ht="25.05" customHeight="1" x14ac:dyDescent="0.25">
      <c r="A18543" s="2" t="s">
        <v>8</v>
      </c>
      <c r="B18543" s="2" t="str">
        <f>HYPERLINK("http://ts.21cn.com/tousu/show/id/1350432","松紧贷暴力催收；高利贷；轰炸朋友；短信验证码轰炸")</f>
        <v>松紧贷暴力催收；高利贷；轰炸朋友；短信验证码轰炸</v>
      </c>
      <c r="C18543" s="2" t="s">
        <v>9</v>
      </c>
      <c r="D18543" s="2" t="s">
        <v>10</v>
      </c>
      <c r="E18543" s="2" t="str">
        <f>HYPERLINK("http://ts.21cn.com/tousu/show/id/1350432","http://ts.21cn.com/tousu/show/id/1350432")</f>
        <v>http://ts.21cn.com/tousu/show/id/1350432</v>
      </c>
      <c r="F18543" s="2" t="s">
        <v>11</v>
      </c>
      <c r="G18543" s="2" t="s">
        <v>7712</v>
      </c>
      <c r="H18543" s="2" t="s">
        <v>7713</v>
      </c>
    </row>
    <row r="18544" spans="1:8" ht="25.05" customHeight="1" x14ac:dyDescent="0.25">
      <c r="A18544" s="2" t="s">
        <v>8</v>
      </c>
      <c r="B18544" s="2" t="str">
        <f>HYPERLINK("http://ts.21cn.com/tousu/show/id/1350431","盗取通讯录到处打电话骚扰")</f>
        <v>盗取通讯录到处打电话骚扰</v>
      </c>
      <c r="C18544" s="2" t="s">
        <v>9</v>
      </c>
      <c r="D18544" s="2" t="s">
        <v>10</v>
      </c>
      <c r="E18544" s="2" t="str">
        <f>HYPERLINK("http://ts.21cn.com/tousu/show/id/1350431","http://ts.21cn.com/tousu/show/id/1350431")</f>
        <v>http://ts.21cn.com/tousu/show/id/1350431</v>
      </c>
      <c r="F18544" s="2" t="s">
        <v>11</v>
      </c>
      <c r="G18544" s="2" t="s">
        <v>7710</v>
      </c>
      <c r="H18544" s="2" t="s">
        <v>7711</v>
      </c>
    </row>
    <row r="18545" spans="1:8" ht="25.05" customHeight="1" x14ac:dyDescent="0.25">
      <c r="A18545" s="2" t="s">
        <v>8</v>
      </c>
      <c r="B18545" s="2" t="str">
        <f>HYPERLINK("http://ts.21cn.com/tousu/show/id/1350435","投诉拍拍贷违法收取网贷高额利息费，并群发短信给亲朋好友")</f>
        <v>投诉拍拍贷违法收取网贷高额利息费，并群发短信给亲朋好友</v>
      </c>
      <c r="C18545" s="2" t="s">
        <v>9</v>
      </c>
      <c r="D18545" s="2" t="s">
        <v>10</v>
      </c>
      <c r="E18545" s="2" t="str">
        <f>HYPERLINK("http://ts.21cn.com/tousu/show/id/1350435","http://ts.21cn.com/tousu/show/id/1350435")</f>
        <v>http://ts.21cn.com/tousu/show/id/1350435</v>
      </c>
      <c r="F18545" s="2" t="s">
        <v>11</v>
      </c>
      <c r="G18545" s="2" t="s">
        <v>7708</v>
      </c>
      <c r="H18545" s="2" t="s">
        <v>7709</v>
      </c>
    </row>
    <row r="18546" spans="1:8" ht="25.05" customHeight="1" x14ac:dyDescent="0.25">
      <c r="A18546" s="2" t="s">
        <v>8</v>
      </c>
      <c r="B18546" s="2" t="str">
        <f>HYPERLINK("http://ts.21cn.com/tousu/show/id/1350433","公司产品停运说要退款未退款")</f>
        <v>公司产品停运说要退款未退款</v>
      </c>
      <c r="C18546" s="2" t="s">
        <v>34</v>
      </c>
      <c r="D18546" s="2" t="s">
        <v>10</v>
      </c>
      <c r="E18546" s="2" t="str">
        <f>HYPERLINK("http://ts.21cn.com/tousu/show/id/1350433","http://ts.21cn.com/tousu/show/id/1350433")</f>
        <v>http://ts.21cn.com/tousu/show/id/1350433</v>
      </c>
      <c r="F18546" s="2" t="s">
        <v>11</v>
      </c>
      <c r="G18546" s="2" t="s">
        <v>7706</v>
      </c>
      <c r="H18546" s="2" t="s">
        <v>7707</v>
      </c>
    </row>
    <row r="18547" spans="1:8" ht="25.05" customHeight="1" x14ac:dyDescent="0.25">
      <c r="A18547" s="2" t="s">
        <v>8</v>
      </c>
      <c r="B18547" s="2" t="str">
        <f>HYPERLINK("http://ts.21cn.com/tousu/show/id/1350439","招商银行雇佣第三方强收高额利息")</f>
        <v>招商银行雇佣第三方强收高额利息</v>
      </c>
      <c r="C18547" s="2" t="s">
        <v>9</v>
      </c>
      <c r="D18547" s="2" t="s">
        <v>10</v>
      </c>
      <c r="E18547" s="2" t="str">
        <f>HYPERLINK("http://ts.21cn.com/tousu/show/id/1350439","http://ts.21cn.com/tousu/show/id/1350439")</f>
        <v>http://ts.21cn.com/tousu/show/id/1350439</v>
      </c>
      <c r="F18547" s="2" t="s">
        <v>11</v>
      </c>
      <c r="G18547" s="2" t="s">
        <v>7704</v>
      </c>
      <c r="H18547" s="2" t="s">
        <v>7705</v>
      </c>
    </row>
    <row r="18548" spans="1:8" ht="25.05" customHeight="1" x14ac:dyDescent="0.25">
      <c r="A18548" s="2" t="s">
        <v>8</v>
      </c>
      <c r="B18548" s="2" t="str">
        <f>HYPERLINK("http://ts.21cn.com/tousu/show/id/1350436","天津纳什空间恶意拖欠租房押金！")</f>
        <v>天津纳什空间恶意拖欠租房押金！</v>
      </c>
      <c r="C18548" s="2" t="s">
        <v>9</v>
      </c>
      <c r="D18548" s="2" t="s">
        <v>10</v>
      </c>
      <c r="E18548" s="2" t="str">
        <f>HYPERLINK("http://ts.21cn.com/tousu/show/id/1350436","http://ts.21cn.com/tousu/show/id/1350436")</f>
        <v>http://ts.21cn.com/tousu/show/id/1350436</v>
      </c>
      <c r="F18548" s="2" t="s">
        <v>11</v>
      </c>
      <c r="G18548" s="2" t="s">
        <v>7702</v>
      </c>
      <c r="H18548" s="2" t="s">
        <v>7703</v>
      </c>
    </row>
    <row r="18549" spans="1:8" ht="25.05" customHeight="1" x14ac:dyDescent="0.25">
      <c r="A18549" s="2" t="s">
        <v>8</v>
      </c>
      <c r="B18549" s="2" t="str">
        <f>HYPERLINK("http://ts.21cn.com/tousu/show/id/1350438","关于斗鱼直播主播申请退工会事宜")</f>
        <v>关于斗鱼直播主播申请退工会事宜</v>
      </c>
      <c r="C18549" s="2" t="s">
        <v>9</v>
      </c>
      <c r="D18549" s="2" t="s">
        <v>10</v>
      </c>
      <c r="E18549" s="2" t="str">
        <f>HYPERLINK("http://ts.21cn.com/tousu/show/id/1350438","http://ts.21cn.com/tousu/show/id/1350438")</f>
        <v>http://ts.21cn.com/tousu/show/id/1350438</v>
      </c>
      <c r="F18549" s="2" t="s">
        <v>11</v>
      </c>
      <c r="G18549" s="2" t="s">
        <v>7700</v>
      </c>
      <c r="H18549" s="2" t="s">
        <v>7532</v>
      </c>
    </row>
    <row r="18550" spans="1:8" ht="25.05" customHeight="1" x14ac:dyDescent="0.25">
      <c r="A18550" s="2" t="s">
        <v>8</v>
      </c>
      <c r="B18550" s="2" t="str">
        <f>HYPERLINK("http://ts.21cn.com/tousu/show/id/1350437","微信收款商业版冻结资金")</f>
        <v>微信收款商业版冻结资金</v>
      </c>
      <c r="C18550" s="2" t="s">
        <v>9</v>
      </c>
      <c r="D18550" s="2" t="s">
        <v>10</v>
      </c>
      <c r="E18550" s="2" t="str">
        <f>HYPERLINK("http://ts.21cn.com/tousu/show/id/1350437","http://ts.21cn.com/tousu/show/id/1350437")</f>
        <v>http://ts.21cn.com/tousu/show/id/1350437</v>
      </c>
      <c r="F18550" s="2" t="s">
        <v>11</v>
      </c>
      <c r="G18550" s="2" t="s">
        <v>7700</v>
      </c>
      <c r="H18550" s="2" t="s">
        <v>7701</v>
      </c>
    </row>
    <row r="18551" spans="1:8" ht="25.05" customHeight="1" x14ac:dyDescent="0.25">
      <c r="A18551" s="2" t="s">
        <v>8</v>
      </c>
      <c r="B18551" s="2" t="str">
        <f>HYPERLINK("http://ts.21cn.com/tousu/show/id/1350440","洋钱罐超高利息威胁催款")</f>
        <v>洋钱罐超高利息威胁催款</v>
      </c>
      <c r="C18551" s="2" t="s">
        <v>9</v>
      </c>
      <c r="D18551" s="2" t="s">
        <v>10</v>
      </c>
      <c r="E18551" s="2" t="str">
        <f>HYPERLINK("http://ts.21cn.com/tousu/show/id/1350440","http://ts.21cn.com/tousu/show/id/1350440")</f>
        <v>http://ts.21cn.com/tousu/show/id/1350440</v>
      </c>
      <c r="F18551" s="2" t="s">
        <v>11</v>
      </c>
      <c r="G18551" s="2" t="s">
        <v>7698</v>
      </c>
      <c r="H18551" s="2" t="s">
        <v>7699</v>
      </c>
    </row>
    <row r="18552" spans="1:8" ht="25.05" customHeight="1" x14ac:dyDescent="0.25">
      <c r="A18552" s="2" t="s">
        <v>8</v>
      </c>
      <c r="B18552" s="2" t="str">
        <f>HYPERLINK("http://ts.21cn.com/tousu/show/id/1350441","开滴滴被运管扣车了，都过去快二十天了，到现在滴滴也没有处理")</f>
        <v>开滴滴被运管扣车了，都过去快二十天了，到现在滴滴也没有处理</v>
      </c>
      <c r="C18552" s="2" t="s">
        <v>9</v>
      </c>
      <c r="D18552" s="2" t="s">
        <v>10</v>
      </c>
      <c r="E18552" s="2" t="str">
        <f>HYPERLINK("http://ts.21cn.com/tousu/show/id/1350441","http://ts.21cn.com/tousu/show/id/1350441")</f>
        <v>http://ts.21cn.com/tousu/show/id/1350441</v>
      </c>
      <c r="F18552" s="2" t="s">
        <v>11</v>
      </c>
      <c r="G18552" s="2" t="s">
        <v>7696</v>
      </c>
      <c r="H18552" s="2" t="s">
        <v>7697</v>
      </c>
    </row>
    <row r="18553" spans="1:8" ht="25.05" customHeight="1" x14ac:dyDescent="0.25">
      <c r="A18553" s="2" t="s">
        <v>8</v>
      </c>
      <c r="B18553" s="2" t="str">
        <f>HYPERLINK("http://ts.21cn.com/tousu/show/id/1350443","未经授权扣取299元评估费")</f>
        <v>未经授权扣取299元评估费</v>
      </c>
      <c r="C18553" s="2" t="s">
        <v>34</v>
      </c>
      <c r="D18553" s="2" t="s">
        <v>10</v>
      </c>
      <c r="E18553" s="2" t="str">
        <f>HYPERLINK("http://ts.21cn.com/tousu/show/id/1350443","http://ts.21cn.com/tousu/show/id/1350443")</f>
        <v>http://ts.21cn.com/tousu/show/id/1350443</v>
      </c>
      <c r="F18553" s="2" t="s">
        <v>11</v>
      </c>
      <c r="G18553" s="2" t="s">
        <v>7694</v>
      </c>
      <c r="H18553" s="2" t="s">
        <v>7695</v>
      </c>
    </row>
    <row r="18554" spans="1:8" ht="25.05" customHeight="1" x14ac:dyDescent="0.25">
      <c r="A18554" s="2" t="s">
        <v>8</v>
      </c>
      <c r="B18554" s="2" t="str">
        <f>HYPERLINK("http://ts.21cn.com/tousu/show/id/1350444","招联金融暴力催收")</f>
        <v>招联金融暴力催收</v>
      </c>
      <c r="C18554" s="2" t="s">
        <v>9</v>
      </c>
      <c r="D18554" s="2" t="s">
        <v>10</v>
      </c>
      <c r="E18554" s="2" t="str">
        <f>HYPERLINK("http://ts.21cn.com/tousu/show/id/1350444","http://ts.21cn.com/tousu/show/id/1350444")</f>
        <v>http://ts.21cn.com/tousu/show/id/1350444</v>
      </c>
      <c r="F18554" s="2" t="s">
        <v>11</v>
      </c>
      <c r="G18554" s="2" t="s">
        <v>7692</v>
      </c>
      <c r="H18554" s="2" t="s">
        <v>7693</v>
      </c>
    </row>
    <row r="18555" spans="1:8" ht="25.05" customHeight="1" x14ac:dyDescent="0.25">
      <c r="A18555" s="2" t="s">
        <v>8</v>
      </c>
      <c r="B18555" s="2" t="str">
        <f>HYPERLINK("http://ts.21cn.com/tousu/show/id/1350445","投诉51人品贷")</f>
        <v>投诉51人品贷</v>
      </c>
      <c r="C18555" s="2" t="s">
        <v>34</v>
      </c>
      <c r="D18555" s="2" t="s">
        <v>10</v>
      </c>
      <c r="E18555" s="2" t="str">
        <f>HYPERLINK("http://ts.21cn.com/tousu/show/id/1350445","http://ts.21cn.com/tousu/show/id/1350445")</f>
        <v>http://ts.21cn.com/tousu/show/id/1350445</v>
      </c>
      <c r="F18555" s="2" t="s">
        <v>11</v>
      </c>
      <c r="G18555" s="2" t="s">
        <v>7690</v>
      </c>
      <c r="H18555" s="2" t="s">
        <v>7691</v>
      </c>
    </row>
    <row r="18556" spans="1:8" ht="25.05" customHeight="1" x14ac:dyDescent="0.25">
      <c r="A18556" s="2" t="s">
        <v>8</v>
      </c>
      <c r="B18556" s="2" t="str">
        <f>HYPERLINK("http://ts.21cn.com/tousu/show/id/1350446","飞贷APP收取高额费用")</f>
        <v>飞贷APP收取高额费用</v>
      </c>
      <c r="C18556" s="2" t="s">
        <v>9</v>
      </c>
      <c r="D18556" s="2" t="s">
        <v>10</v>
      </c>
      <c r="E18556" s="2" t="str">
        <f>HYPERLINK("http://ts.21cn.com/tousu/show/id/1350446","http://ts.21cn.com/tousu/show/id/1350446")</f>
        <v>http://ts.21cn.com/tousu/show/id/1350446</v>
      </c>
      <c r="F18556" s="2" t="s">
        <v>11</v>
      </c>
      <c r="G18556" s="2" t="s">
        <v>7688</v>
      </c>
      <c r="H18556" s="2" t="s">
        <v>7689</v>
      </c>
    </row>
    <row r="18557" spans="1:8" ht="25.05" customHeight="1" x14ac:dyDescent="0.25">
      <c r="A18557" s="2" t="s">
        <v>8</v>
      </c>
      <c r="B18557" s="2" t="str">
        <f>HYPERLINK("http://ts.21cn.com/tousu/show/id/1350447","速金服高额砍头息逾期费用太贵")</f>
        <v>速金服高额砍头息逾期费用太贵</v>
      </c>
      <c r="C18557" s="2" t="s">
        <v>9</v>
      </c>
      <c r="D18557" s="2" t="s">
        <v>10</v>
      </c>
      <c r="E18557" s="2" t="str">
        <f>HYPERLINK("http://ts.21cn.com/tousu/show/id/1350447","http://ts.21cn.com/tousu/show/id/1350447")</f>
        <v>http://ts.21cn.com/tousu/show/id/1350447</v>
      </c>
      <c r="F18557" s="2" t="s">
        <v>11</v>
      </c>
      <c r="G18557" s="2" t="s">
        <v>7686</v>
      </c>
      <c r="H18557" s="2" t="s">
        <v>7687</v>
      </c>
    </row>
    <row r="18558" spans="1:8" ht="25.05" customHeight="1" x14ac:dyDescent="0.25">
      <c r="A18558" s="2" t="s">
        <v>8</v>
      </c>
      <c r="B18558" s="2" t="str">
        <f>HYPERLINK("http://ts.21cn.com/tousu/show/id/1350448","京东白条上门催收，")</f>
        <v>京东白条上门催收，</v>
      </c>
      <c r="C18558" s="2" t="s">
        <v>9</v>
      </c>
      <c r="D18558" s="2" t="s">
        <v>10</v>
      </c>
      <c r="E18558" s="2" t="str">
        <f>HYPERLINK("http://ts.21cn.com/tousu/show/id/1350448","http://ts.21cn.com/tousu/show/id/1350448")</f>
        <v>http://ts.21cn.com/tousu/show/id/1350448</v>
      </c>
      <c r="F18558" s="2" t="s">
        <v>11</v>
      </c>
      <c r="G18558" s="2" t="s">
        <v>7684</v>
      </c>
      <c r="H18558" s="2" t="s">
        <v>7685</v>
      </c>
    </row>
    <row r="18559" spans="1:8" ht="25.05" customHeight="1" x14ac:dyDescent="0.25">
      <c r="A18559" s="2" t="s">
        <v>8</v>
      </c>
      <c r="B18559" s="2" t="str">
        <f>HYPERLINK("http://ts.21cn.com/tousu/show/id/1350449","前海财险和高利贷平台勾结乱扣钱")</f>
        <v>前海财险和高利贷平台勾结乱扣钱</v>
      </c>
      <c r="C18559" s="2" t="s">
        <v>9</v>
      </c>
      <c r="D18559" s="2" t="s">
        <v>10</v>
      </c>
      <c r="E18559" s="2" t="str">
        <f>HYPERLINK("http://ts.21cn.com/tousu/show/id/1350449","http://ts.21cn.com/tousu/show/id/1350449")</f>
        <v>http://ts.21cn.com/tousu/show/id/1350449</v>
      </c>
      <c r="F18559" s="2" t="s">
        <v>11</v>
      </c>
      <c r="G18559" s="2" t="s">
        <v>7682</v>
      </c>
      <c r="H18559" s="2" t="s">
        <v>7683</v>
      </c>
    </row>
    <row r="18560" spans="1:8" ht="25.05" customHeight="1" x14ac:dyDescent="0.25">
      <c r="A18560" s="2" t="s">
        <v>8</v>
      </c>
      <c r="B18560" s="2" t="str">
        <f>HYPERLINK("http://ts.21cn.com/tousu/show/id/1350450","钱站高利贷阴阳合同")</f>
        <v>钱站高利贷阴阳合同</v>
      </c>
      <c r="C18560" s="2" t="s">
        <v>9</v>
      </c>
      <c r="D18560" s="2" t="s">
        <v>10</v>
      </c>
      <c r="E18560" s="2" t="str">
        <f>HYPERLINK("http://ts.21cn.com/tousu/show/id/1350450","http://ts.21cn.com/tousu/show/id/1350450")</f>
        <v>http://ts.21cn.com/tousu/show/id/1350450</v>
      </c>
      <c r="F18560" s="2" t="s">
        <v>11</v>
      </c>
      <c r="G18560" s="2" t="s">
        <v>7680</v>
      </c>
      <c r="H18560" s="2" t="s">
        <v>7681</v>
      </c>
    </row>
    <row r="18561" spans="1:8" ht="25.05" customHeight="1" x14ac:dyDescent="0.25">
      <c r="A18561" s="2" t="s">
        <v>8</v>
      </c>
      <c r="B18561" s="2" t="str">
        <f>HYPERLINK("http://ts.21cn.com/tousu/show/id/1350451","用钱宝委托青岛海树管理威胁恐吓")</f>
        <v>用钱宝委托青岛海树管理威胁恐吓</v>
      </c>
      <c r="C18561" s="2" t="s">
        <v>9</v>
      </c>
      <c r="D18561" s="2" t="s">
        <v>10</v>
      </c>
      <c r="E18561" s="2" t="str">
        <f>HYPERLINK("http://ts.21cn.com/tousu/show/id/1350451","http://ts.21cn.com/tousu/show/id/1350451")</f>
        <v>http://ts.21cn.com/tousu/show/id/1350451</v>
      </c>
      <c r="F18561" s="2" t="s">
        <v>11</v>
      </c>
      <c r="G18561" s="2" t="s">
        <v>7678</v>
      </c>
      <c r="H18561" s="2" t="s">
        <v>7679</v>
      </c>
    </row>
    <row r="18562" spans="1:8" ht="25.05" customHeight="1" x14ac:dyDescent="0.25">
      <c r="A18562" s="2" t="s">
        <v>8</v>
      </c>
      <c r="B18562" s="2" t="str">
        <f>HYPERLINK("http://ts.21cn.com/tousu/show/id/1350452","暴力催收")</f>
        <v>暴力催收</v>
      </c>
      <c r="C18562" s="2" t="s">
        <v>9</v>
      </c>
      <c r="D18562" s="2" t="s">
        <v>10</v>
      </c>
      <c r="E18562" s="2" t="str">
        <f>HYPERLINK("http://ts.21cn.com/tousu/show/id/1350452","http://ts.21cn.com/tousu/show/id/1350452")</f>
        <v>http://ts.21cn.com/tousu/show/id/1350452</v>
      </c>
      <c r="F18562" s="2" t="s">
        <v>11</v>
      </c>
      <c r="G18562" s="2" t="s">
        <v>7676</v>
      </c>
      <c r="H18562" s="2" t="s">
        <v>7677</v>
      </c>
    </row>
    <row r="18563" spans="1:8" ht="25.05" customHeight="1" x14ac:dyDescent="0.25">
      <c r="A18563" s="2" t="s">
        <v>8</v>
      </c>
      <c r="B18563" s="2" t="str">
        <f>HYPERLINK("http://ts.21cn.com/tousu/show/id/1350455","未经同意骚扰通讯录")</f>
        <v>未经同意骚扰通讯录</v>
      </c>
      <c r="C18563" s="2" t="s">
        <v>9</v>
      </c>
      <c r="D18563" s="2" t="s">
        <v>10</v>
      </c>
      <c r="E18563" s="2" t="str">
        <f>HYPERLINK("http://ts.21cn.com/tousu/show/id/1350455","http://ts.21cn.com/tousu/show/id/1350455")</f>
        <v>http://ts.21cn.com/tousu/show/id/1350455</v>
      </c>
      <c r="F18563" s="2" t="s">
        <v>11</v>
      </c>
      <c r="G18563" s="2" t="s">
        <v>7674</v>
      </c>
      <c r="H18563" s="2" t="s">
        <v>7675</v>
      </c>
    </row>
    <row r="18564" spans="1:8" ht="25.05" customHeight="1" x14ac:dyDescent="0.25">
      <c r="A18564" s="2" t="s">
        <v>8</v>
      </c>
      <c r="B18564" s="2" t="str">
        <f>HYPERLINK("http://ts.21cn.com/tousu/show/id/1350454","在信而富借款多次，其中268元两次150元一次，110元一次的借款并没有到达银行卡")</f>
        <v>在信而富借款多次，其中268元两次150元一次，110元一次的借款并没有到达银行卡</v>
      </c>
      <c r="C18564" s="2" t="s">
        <v>34</v>
      </c>
      <c r="D18564" s="2" t="s">
        <v>10</v>
      </c>
      <c r="E18564" s="2" t="str">
        <f>HYPERLINK("http://ts.21cn.com/tousu/show/id/1350454","http://ts.21cn.com/tousu/show/id/1350454")</f>
        <v>http://ts.21cn.com/tousu/show/id/1350454</v>
      </c>
      <c r="F18564" s="2" t="s">
        <v>11</v>
      </c>
      <c r="G18564" s="2" t="s">
        <v>7672</v>
      </c>
      <c r="H18564" s="2" t="s">
        <v>7673</v>
      </c>
    </row>
    <row r="18565" spans="1:8" ht="25.05" customHeight="1" x14ac:dyDescent="0.25">
      <c r="A18565" s="2" t="s">
        <v>8</v>
      </c>
      <c r="B18565" s="2" t="str">
        <f>HYPERLINK("http://ts.21cn.com/tousu/show/id/1350456","我在玖富万卡申请下款2小时左右，后来取消了下款，次日对方强行打款而且钱数不对我申请11000元，对方给我14330元，")</f>
        <v>我在玖富万卡申请下款2小时左右，后来取消了下款，次日对方强行打款而且钱数不对我申请11000元，对方给我14330元，</v>
      </c>
      <c r="C18565" s="2" t="s">
        <v>9</v>
      </c>
      <c r="D18565" s="2" t="s">
        <v>10</v>
      </c>
      <c r="E18565" s="2" t="str">
        <f>HYPERLINK("http://ts.21cn.com/tousu/show/id/1350456","http://ts.21cn.com/tousu/show/id/1350456")</f>
        <v>http://ts.21cn.com/tousu/show/id/1350456</v>
      </c>
      <c r="F18565" s="2" t="s">
        <v>11</v>
      </c>
      <c r="G18565" s="2" t="s">
        <v>7670</v>
      </c>
      <c r="H18565" s="2" t="s">
        <v>7671</v>
      </c>
    </row>
    <row r="18566" spans="1:8" ht="25.05" customHeight="1" x14ac:dyDescent="0.25">
      <c r="A18566" s="2" t="s">
        <v>8</v>
      </c>
      <c r="B18566" s="2" t="str">
        <f>HYPERLINK("http://ts.21cn.com/tousu/show/id/1350458","浦发银行信用卡")</f>
        <v>浦发银行信用卡</v>
      </c>
      <c r="C18566" s="2" t="s">
        <v>9</v>
      </c>
      <c r="D18566" s="2" t="s">
        <v>10</v>
      </c>
      <c r="E18566" s="2" t="str">
        <f>HYPERLINK("http://ts.21cn.com/tousu/show/id/1350458","http://ts.21cn.com/tousu/show/id/1350458")</f>
        <v>http://ts.21cn.com/tousu/show/id/1350458</v>
      </c>
      <c r="F18566" s="2" t="s">
        <v>11</v>
      </c>
      <c r="G18566" s="2" t="s">
        <v>7668</v>
      </c>
      <c r="H18566" s="2" t="s">
        <v>7669</v>
      </c>
    </row>
    <row r="18567" spans="1:8" ht="25.05" customHeight="1" x14ac:dyDescent="0.25">
      <c r="A18567" s="2" t="s">
        <v>8</v>
      </c>
      <c r="B18567" s="2" t="str">
        <f>HYPERLINK("http://ts.21cn.com/tousu/show/id/1350457","恶意扣款")</f>
        <v>恶意扣款</v>
      </c>
      <c r="C18567" s="2" t="s">
        <v>9</v>
      </c>
      <c r="D18567" s="2" t="s">
        <v>10</v>
      </c>
      <c r="E18567" s="2" t="str">
        <f>HYPERLINK("http://ts.21cn.com/tousu/show/id/1350457","http://ts.21cn.com/tousu/show/id/1350457")</f>
        <v>http://ts.21cn.com/tousu/show/id/1350457</v>
      </c>
      <c r="F18567" s="2" t="s">
        <v>11</v>
      </c>
      <c r="G18567" s="2" t="s">
        <v>7666</v>
      </c>
      <c r="H18567" s="2" t="s">
        <v>7667</v>
      </c>
    </row>
    <row r="18568" spans="1:8" ht="25.05" customHeight="1" x14ac:dyDescent="0.25">
      <c r="A18568" s="2" t="s">
        <v>8</v>
      </c>
      <c r="B18568" s="2" t="str">
        <f>HYPERLINK("http://ts.21cn.com/tousu/show/id/1350460","非法获取通讯录资料")</f>
        <v>非法获取通讯录资料</v>
      </c>
      <c r="C18568" s="2" t="s">
        <v>9</v>
      </c>
      <c r="D18568" s="2" t="s">
        <v>10</v>
      </c>
      <c r="E18568" s="2" t="str">
        <f>HYPERLINK("http://ts.21cn.com/tousu/show/id/1350460","http://ts.21cn.com/tousu/show/id/1350460")</f>
        <v>http://ts.21cn.com/tousu/show/id/1350460</v>
      </c>
      <c r="F18568" s="2" t="s">
        <v>11</v>
      </c>
      <c r="G18568" s="2" t="s">
        <v>7664</v>
      </c>
      <c r="H18568" s="2" t="s">
        <v>7665</v>
      </c>
    </row>
    <row r="18569" spans="1:8" ht="25.05" customHeight="1" x14ac:dyDescent="0.25">
      <c r="A18569" s="2" t="s">
        <v>8</v>
      </c>
      <c r="B18569" s="2" t="str">
        <f>HYPERLINK("http://ts.21cn.com/tousu/show/id/1350461","贷款平台乱扣费")</f>
        <v>贷款平台乱扣费</v>
      </c>
      <c r="C18569" s="2" t="s">
        <v>9</v>
      </c>
      <c r="D18569" s="2" t="s">
        <v>10</v>
      </c>
      <c r="E18569" s="2" t="str">
        <f>HYPERLINK("http://ts.21cn.com/tousu/show/id/1350461","http://ts.21cn.com/tousu/show/id/1350461")</f>
        <v>http://ts.21cn.com/tousu/show/id/1350461</v>
      </c>
      <c r="F18569" s="2" t="s">
        <v>11</v>
      </c>
      <c r="G18569" s="2" t="s">
        <v>7662</v>
      </c>
      <c r="H18569" s="2" t="s">
        <v>7663</v>
      </c>
    </row>
    <row r="18570" spans="1:8" ht="25.05" customHeight="1" x14ac:dyDescent="0.25">
      <c r="A18570" s="2" t="s">
        <v>8</v>
      </c>
      <c r="B18570" s="2" t="str">
        <f>HYPERLINK("http://ts.21cn.com/tousu/show/id/1350459","造艺科技乱扣费")</f>
        <v>造艺科技乱扣费</v>
      </c>
      <c r="C18570" s="2" t="s">
        <v>9</v>
      </c>
      <c r="D18570" s="2" t="s">
        <v>10</v>
      </c>
      <c r="E18570" s="2" t="str">
        <f>HYPERLINK("http://ts.21cn.com/tousu/show/id/1350459","http://ts.21cn.com/tousu/show/id/1350459")</f>
        <v>http://ts.21cn.com/tousu/show/id/1350459</v>
      </c>
      <c r="F18570" s="2" t="s">
        <v>11</v>
      </c>
      <c r="G18570" s="2" t="s">
        <v>7660</v>
      </c>
      <c r="H18570" s="2" t="s">
        <v>7661</v>
      </c>
    </row>
    <row r="18571" spans="1:8" ht="25.05" customHeight="1" x14ac:dyDescent="0.25">
      <c r="A18571" s="2" t="s">
        <v>8</v>
      </c>
      <c r="B18571" s="2" t="str">
        <f>HYPERLINK("http://ts.21cn.com/tousu/show/id/1350462","信用管家高利贷砍头息，恶意强迫客户逾期")</f>
        <v>信用管家高利贷砍头息，恶意强迫客户逾期</v>
      </c>
      <c r="C18571" s="2" t="s">
        <v>9</v>
      </c>
      <c r="D18571" s="2" t="s">
        <v>10</v>
      </c>
      <c r="E18571" s="2" t="str">
        <f>HYPERLINK("http://ts.21cn.com/tousu/show/id/1350462","http://ts.21cn.com/tousu/show/id/1350462")</f>
        <v>http://ts.21cn.com/tousu/show/id/1350462</v>
      </c>
      <c r="F18571" s="2" t="s">
        <v>11</v>
      </c>
      <c r="G18571" s="2" t="s">
        <v>7658</v>
      </c>
      <c r="H18571" s="2" t="s">
        <v>7659</v>
      </c>
    </row>
    <row r="18572" spans="1:8" ht="25.05" customHeight="1" x14ac:dyDescent="0.25">
      <c r="A18572" s="2" t="s">
        <v>8</v>
      </c>
      <c r="B18572" s="2" t="str">
        <f>HYPERLINK("http://ts.21cn.com/tousu/show/id/1350463","信用管家钱咖分期高利贷，要求返还砍头息")</f>
        <v>信用管家钱咖分期高利贷，要求返还砍头息</v>
      </c>
      <c r="C18572" s="2" t="s">
        <v>9</v>
      </c>
      <c r="D18572" s="2" t="s">
        <v>10</v>
      </c>
      <c r="E18572" s="2" t="str">
        <f>HYPERLINK("http://ts.21cn.com/tousu/show/id/1350463","http://ts.21cn.com/tousu/show/id/1350463")</f>
        <v>http://ts.21cn.com/tousu/show/id/1350463</v>
      </c>
      <c r="F18572" s="2" t="s">
        <v>11</v>
      </c>
      <c r="G18572" s="2" t="s">
        <v>7656</v>
      </c>
      <c r="H18572" s="2" t="s">
        <v>7657</v>
      </c>
    </row>
    <row r="18573" spans="1:8" ht="25.05" customHeight="1" x14ac:dyDescent="0.25">
      <c r="A18573" s="2" t="s">
        <v>8</v>
      </c>
      <c r="B18573" s="2" t="str">
        <f>HYPERLINK("http://ts.21cn.com/tousu/show/id/1350465","柯基贷暴力催收，请有关部门重视，我已提交信访办并且转至公安局")</f>
        <v>柯基贷暴力催收，请有关部门重视，我已提交信访办并且转至公安局</v>
      </c>
      <c r="C18573" s="2" t="s">
        <v>9</v>
      </c>
      <c r="D18573" s="2" t="s">
        <v>10</v>
      </c>
      <c r="E18573" s="2" t="str">
        <f>HYPERLINK("http://ts.21cn.com/tousu/show/id/1350465","http://ts.21cn.com/tousu/show/id/1350465")</f>
        <v>http://ts.21cn.com/tousu/show/id/1350465</v>
      </c>
      <c r="F18573" s="2" t="s">
        <v>11</v>
      </c>
      <c r="G18573" s="2" t="s">
        <v>7654</v>
      </c>
      <c r="H18573" s="2" t="s">
        <v>7655</v>
      </c>
    </row>
    <row r="18574" spans="1:8" ht="25.05" customHeight="1" x14ac:dyDescent="0.25">
      <c r="A18574" s="2" t="s">
        <v>8</v>
      </c>
      <c r="B18574" s="2" t="str">
        <f>HYPERLINK("http://ts.21cn.com/tousu/show/id/1350464","被广发骚扰")</f>
        <v>被广发骚扰</v>
      </c>
      <c r="C18574" s="2" t="s">
        <v>9</v>
      </c>
      <c r="D18574" s="2" t="s">
        <v>10</v>
      </c>
      <c r="E18574" s="2" t="str">
        <f>HYPERLINK("http://ts.21cn.com/tousu/show/id/1350464","http://ts.21cn.com/tousu/show/id/1350464")</f>
        <v>http://ts.21cn.com/tousu/show/id/1350464</v>
      </c>
      <c r="F18574" s="2" t="s">
        <v>11</v>
      </c>
      <c r="G18574" s="2" t="s">
        <v>7652</v>
      </c>
      <c r="H18574" s="2" t="s">
        <v>7653</v>
      </c>
    </row>
    <row r="18575" spans="1:8" ht="25.05" customHeight="1" x14ac:dyDescent="0.25">
      <c r="A18575" s="2" t="s">
        <v>8</v>
      </c>
      <c r="B18575" s="2" t="str">
        <f>HYPERLINK("http://ts.21cn.com/tousu/show/id/1350466","马上金融安逸花，暴力催收恐吓")</f>
        <v>马上金融安逸花，暴力催收恐吓</v>
      </c>
      <c r="C18575" s="2" t="s">
        <v>9</v>
      </c>
      <c r="D18575" s="2" t="s">
        <v>10</v>
      </c>
      <c r="E18575" s="2" t="str">
        <f>HYPERLINK("http://ts.21cn.com/tousu/show/id/1350466","http://ts.21cn.com/tousu/show/id/1350466")</f>
        <v>http://ts.21cn.com/tousu/show/id/1350466</v>
      </c>
      <c r="F18575" s="2" t="s">
        <v>11</v>
      </c>
      <c r="G18575" s="2" t="s">
        <v>7650</v>
      </c>
      <c r="H18575" s="2" t="s">
        <v>7651</v>
      </c>
    </row>
    <row r="18576" spans="1:8" ht="25.05" customHeight="1" x14ac:dyDescent="0.25">
      <c r="A18576" s="2" t="s">
        <v>8</v>
      </c>
      <c r="B18576" s="2" t="str">
        <f>HYPERLINK("http://ts.21cn.com/tousu/show/id/1350468","360借条")</f>
        <v>360借条</v>
      </c>
      <c r="C18576" s="2" t="s">
        <v>9</v>
      </c>
      <c r="D18576" s="2" t="s">
        <v>10</v>
      </c>
      <c r="E18576" s="2" t="str">
        <f>HYPERLINK("http://ts.21cn.com/tousu/show/id/1350468","http://ts.21cn.com/tousu/show/id/1350468")</f>
        <v>http://ts.21cn.com/tousu/show/id/1350468</v>
      </c>
      <c r="F18576" s="2" t="s">
        <v>11</v>
      </c>
      <c r="G18576" s="2" t="s">
        <v>7648</v>
      </c>
      <c r="H18576" s="2" t="s">
        <v>7649</v>
      </c>
    </row>
    <row r="18577" spans="1:8" ht="25.05" customHeight="1" x14ac:dyDescent="0.25">
      <c r="A18577" s="2" t="s">
        <v>8</v>
      </c>
      <c r="B18577" s="2" t="str">
        <f>HYPERLINK("http://ts.21cn.com/tousu/show/id/1350469","布丁小贷")</f>
        <v>布丁小贷</v>
      </c>
      <c r="C18577" s="2" t="s">
        <v>9</v>
      </c>
      <c r="D18577" s="2" t="s">
        <v>10</v>
      </c>
      <c r="E18577" s="2" t="str">
        <f>HYPERLINK("http://ts.21cn.com/tousu/show/id/1350469","http://ts.21cn.com/tousu/show/id/1350469")</f>
        <v>http://ts.21cn.com/tousu/show/id/1350469</v>
      </c>
      <c r="F18577" s="2" t="s">
        <v>11</v>
      </c>
      <c r="G18577" s="2" t="s">
        <v>7646</v>
      </c>
      <c r="H18577" s="2" t="s">
        <v>7647</v>
      </c>
    </row>
    <row r="18578" spans="1:8" ht="25.05" customHeight="1" x14ac:dyDescent="0.25">
      <c r="A18578" s="2" t="s">
        <v>8</v>
      </c>
      <c r="B18578" s="2" t="str">
        <f>HYPERLINK("http://ts.21cn.com/tousu/show/id/1350470","拍拍贷说我涉嫌欺诈")</f>
        <v>拍拍贷说我涉嫌欺诈</v>
      </c>
      <c r="C18578" s="2" t="s">
        <v>9</v>
      </c>
      <c r="D18578" s="2" t="s">
        <v>10</v>
      </c>
      <c r="E18578" s="2" t="str">
        <f>HYPERLINK("http://ts.21cn.com/tousu/show/id/1350470","http://ts.21cn.com/tousu/show/id/1350470")</f>
        <v>http://ts.21cn.com/tousu/show/id/1350470</v>
      </c>
      <c r="F18578" s="2" t="s">
        <v>11</v>
      </c>
      <c r="G18578" s="2" t="s">
        <v>7644</v>
      </c>
      <c r="H18578" s="2" t="s">
        <v>7645</v>
      </c>
    </row>
    <row r="18579" spans="1:8" ht="25.05" customHeight="1" x14ac:dyDescent="0.25">
      <c r="A18579" s="2" t="s">
        <v>8</v>
      </c>
      <c r="B18579" s="2" t="str">
        <f>HYPERLINK("http://ts.21cn.com/tousu/show/id/1350471","高利贷，砍头息")</f>
        <v>高利贷，砍头息</v>
      </c>
      <c r="C18579" s="2" t="s">
        <v>9</v>
      </c>
      <c r="D18579" s="2" t="s">
        <v>10</v>
      </c>
      <c r="E18579" s="2" t="str">
        <f>HYPERLINK("http://ts.21cn.com/tousu/show/id/1350471","http://ts.21cn.com/tousu/show/id/1350471")</f>
        <v>http://ts.21cn.com/tousu/show/id/1350471</v>
      </c>
      <c r="F18579" s="2" t="s">
        <v>11</v>
      </c>
      <c r="G18579" s="2" t="s">
        <v>7642</v>
      </c>
      <c r="H18579" s="2" t="s">
        <v>7643</v>
      </c>
    </row>
    <row r="18580" spans="1:8" ht="25.05" customHeight="1" x14ac:dyDescent="0.25">
      <c r="A18580" s="2" t="s">
        <v>8</v>
      </c>
      <c r="B18580" s="2" t="str">
        <f>HYPERLINK("http://ts.21cn.com/tousu/show/id/1350473","小黑鲨高利贷")</f>
        <v>小黑鲨高利贷</v>
      </c>
      <c r="C18580" s="2" t="s">
        <v>9</v>
      </c>
      <c r="D18580" s="2" t="s">
        <v>10</v>
      </c>
      <c r="E18580" s="2" t="str">
        <f>HYPERLINK("http://ts.21cn.com/tousu/show/id/1350473","http://ts.21cn.com/tousu/show/id/1350473")</f>
        <v>http://ts.21cn.com/tousu/show/id/1350473</v>
      </c>
      <c r="F18580" s="2" t="s">
        <v>11</v>
      </c>
      <c r="G18580" s="2" t="s">
        <v>7640</v>
      </c>
      <c r="H18580" s="2" t="s">
        <v>7641</v>
      </c>
    </row>
    <row r="18581" spans="1:8" ht="25.05" customHeight="1" x14ac:dyDescent="0.25">
      <c r="A18581" s="2" t="s">
        <v>8</v>
      </c>
      <c r="B18581" s="2" t="str">
        <f>HYPERLINK("http://ts.21cn.com/tousu/show/id/1350472","浦发银行暴力催收，恐吓家人")</f>
        <v>浦发银行暴力催收，恐吓家人</v>
      </c>
      <c r="C18581" s="2" t="s">
        <v>9</v>
      </c>
      <c r="D18581" s="2" t="s">
        <v>10</v>
      </c>
      <c r="E18581" s="2" t="str">
        <f>HYPERLINK("http://ts.21cn.com/tousu/show/id/1350472","http://ts.21cn.com/tousu/show/id/1350472")</f>
        <v>http://ts.21cn.com/tousu/show/id/1350472</v>
      </c>
      <c r="F18581" s="2" t="s">
        <v>11</v>
      </c>
      <c r="G18581" s="2" t="s">
        <v>7638</v>
      </c>
      <c r="H18581" s="2" t="s">
        <v>7639</v>
      </c>
    </row>
    <row r="18582" spans="1:8" ht="25.05" customHeight="1" x14ac:dyDescent="0.25">
      <c r="A18582" s="2" t="s">
        <v>8</v>
      </c>
      <c r="B18582" s="2" t="str">
        <f>HYPERLINK("http://ts.21cn.com/tousu/show/id/1350311","要求降低手续费")</f>
        <v>要求降低手续费</v>
      </c>
      <c r="C18582" s="2" t="s">
        <v>34</v>
      </c>
      <c r="D18582" s="2" t="s">
        <v>10</v>
      </c>
      <c r="E18582" s="2" t="str">
        <f>HYPERLINK("http://ts.21cn.com/tousu/show/id/1350311","http://ts.21cn.com/tousu/show/id/1350311")</f>
        <v>http://ts.21cn.com/tousu/show/id/1350311</v>
      </c>
      <c r="F18582" s="2" t="s">
        <v>11</v>
      </c>
      <c r="G18582" s="2" t="s">
        <v>7636</v>
      </c>
      <c r="H18582" s="2" t="s">
        <v>7637</v>
      </c>
    </row>
    <row r="18583" spans="1:8" ht="25.05" customHeight="1" x14ac:dyDescent="0.25">
      <c r="A18583" s="2" t="s">
        <v>8</v>
      </c>
      <c r="B18583" s="2" t="str">
        <f>HYPERLINK("http://ts.21cn.com/tousu/show/id/1350474","拍拍贷严重骚扰问题")</f>
        <v>拍拍贷严重骚扰问题</v>
      </c>
      <c r="C18583" s="2" t="s">
        <v>9</v>
      </c>
      <c r="D18583" s="2" t="s">
        <v>10</v>
      </c>
      <c r="E18583" s="2" t="str">
        <f>HYPERLINK("http://ts.21cn.com/tousu/show/id/1350474","http://ts.21cn.com/tousu/show/id/1350474")</f>
        <v>http://ts.21cn.com/tousu/show/id/1350474</v>
      </c>
      <c r="F18583" s="2" t="s">
        <v>11</v>
      </c>
      <c r="G18583" s="2" t="s">
        <v>7634</v>
      </c>
      <c r="H18583" s="2" t="s">
        <v>7635</v>
      </c>
    </row>
    <row r="18584" spans="1:8" ht="25.05" customHeight="1" x14ac:dyDescent="0.25">
      <c r="A18584" s="2" t="s">
        <v>8</v>
      </c>
      <c r="B18584" s="2" t="str">
        <f>HYPERLINK("http://ts.21cn.com/tousu/show/id/1350475","点融暴力催收，态度恶劣。恐吓，威胁，私自联系亲友们的公司")</f>
        <v>点融暴力催收，态度恶劣。恐吓，威胁，私自联系亲友们的公司</v>
      </c>
      <c r="C18584" s="2" t="s">
        <v>9</v>
      </c>
      <c r="D18584" s="2" t="s">
        <v>10</v>
      </c>
      <c r="E18584" s="2" t="str">
        <f>HYPERLINK("http://ts.21cn.com/tousu/show/id/1350475","http://ts.21cn.com/tousu/show/id/1350475")</f>
        <v>http://ts.21cn.com/tousu/show/id/1350475</v>
      </c>
      <c r="F18584" s="2" t="s">
        <v>11</v>
      </c>
      <c r="G18584" s="2" t="s">
        <v>7632</v>
      </c>
      <c r="H18584" s="2" t="s">
        <v>7633</v>
      </c>
    </row>
    <row r="18585" spans="1:8" ht="25.05" customHeight="1" x14ac:dyDescent="0.25">
      <c r="A18585" s="2" t="s">
        <v>8</v>
      </c>
      <c r="B18585" s="2" t="str">
        <f>HYPERLINK("http://ts.21cn.com/tousu/show/id/1350476","快贷还没到期一直打电话")</f>
        <v>快贷还没到期一直打电话</v>
      </c>
      <c r="C18585" s="2" t="s">
        <v>9</v>
      </c>
      <c r="D18585" s="2" t="s">
        <v>10</v>
      </c>
      <c r="E18585" s="2" t="str">
        <f>HYPERLINK("http://ts.21cn.com/tousu/show/id/1350476","http://ts.21cn.com/tousu/show/id/1350476")</f>
        <v>http://ts.21cn.com/tousu/show/id/1350476</v>
      </c>
      <c r="F18585" s="2" t="s">
        <v>11</v>
      </c>
      <c r="G18585" s="2" t="s">
        <v>7630</v>
      </c>
      <c r="H18585" s="2" t="s">
        <v>7631</v>
      </c>
    </row>
    <row r="18586" spans="1:8" ht="25.05" customHeight="1" x14ac:dyDescent="0.25">
      <c r="A18586" s="2" t="s">
        <v>8</v>
      </c>
      <c r="B18586" s="2" t="str">
        <f>HYPERLINK("http://ts.21cn.com/tousu/show/id/1350367","明l世教育霸王条款")</f>
        <v>明l世教育霸王条款</v>
      </c>
      <c r="C18586" s="2" t="s">
        <v>9</v>
      </c>
      <c r="D18586" s="2" t="s">
        <v>10</v>
      </c>
      <c r="E18586" s="2" t="str">
        <f>HYPERLINK("http://ts.21cn.com/tousu/show/id/1350367","http://ts.21cn.com/tousu/show/id/1350367")</f>
        <v>http://ts.21cn.com/tousu/show/id/1350367</v>
      </c>
      <c r="F18586" s="2" t="s">
        <v>11</v>
      </c>
      <c r="G18586" s="2" t="s">
        <v>7627</v>
      </c>
      <c r="H18586" s="2" t="s">
        <v>7628</v>
      </c>
    </row>
    <row r="18587" spans="1:8" ht="25.05" customHeight="1" x14ac:dyDescent="0.25">
      <c r="A18587" s="2" t="s">
        <v>8</v>
      </c>
      <c r="B18587" s="2" t="str">
        <f>HYPERLINK("http://ts.21cn.com/tousu/show/id/1350477","京东金融电话轰炸")</f>
        <v>京东金融电话轰炸</v>
      </c>
      <c r="C18587" s="2" t="s">
        <v>9</v>
      </c>
      <c r="D18587" s="2" t="s">
        <v>10</v>
      </c>
      <c r="E18587" s="2" t="str">
        <f>HYPERLINK("http://ts.21cn.com/tousu/show/id/1350477","http://ts.21cn.com/tousu/show/id/1350477")</f>
        <v>http://ts.21cn.com/tousu/show/id/1350477</v>
      </c>
      <c r="F18587" s="2" t="s">
        <v>11</v>
      </c>
      <c r="G18587" s="2" t="s">
        <v>7627</v>
      </c>
      <c r="H18587" s="2" t="s">
        <v>7629</v>
      </c>
    </row>
    <row r="18588" spans="1:8" ht="25.05" customHeight="1" x14ac:dyDescent="0.25">
      <c r="A18588" s="2" t="s">
        <v>8</v>
      </c>
      <c r="B18588" s="2" t="str">
        <f>HYPERLINK("http://ts.21cn.com/tousu/show/id/1350478","小浦优客未经本人授权乱扣费")</f>
        <v>小浦优客未经本人授权乱扣费</v>
      </c>
      <c r="C18588" s="2" t="s">
        <v>9</v>
      </c>
      <c r="D18588" s="2" t="s">
        <v>10</v>
      </c>
      <c r="E18588" s="2" t="str">
        <f>HYPERLINK("http://ts.21cn.com/tousu/show/id/1350478","http://ts.21cn.com/tousu/show/id/1350478")</f>
        <v>http://ts.21cn.com/tousu/show/id/1350478</v>
      </c>
      <c r="F18588" s="2" t="s">
        <v>11</v>
      </c>
      <c r="G18588" s="2" t="s">
        <v>7625</v>
      </c>
      <c r="H18588" s="2" t="s">
        <v>7626</v>
      </c>
    </row>
    <row r="18589" spans="1:8" ht="25.05" customHeight="1" x14ac:dyDescent="0.25">
      <c r="A18589" s="2" t="s">
        <v>8</v>
      </c>
      <c r="B18589" s="2" t="str">
        <f>HYPERLINK("http://ts.21cn.com/tousu/show/id/1350479","候补订单退单后12306一直不退款")</f>
        <v>候补订单退单后12306一直不退款</v>
      </c>
      <c r="C18589" s="2" t="s">
        <v>9</v>
      </c>
      <c r="D18589" s="2" t="s">
        <v>10</v>
      </c>
      <c r="E18589" s="2" t="str">
        <f>HYPERLINK("http://ts.21cn.com/tousu/show/id/1350479","http://ts.21cn.com/tousu/show/id/1350479")</f>
        <v>http://ts.21cn.com/tousu/show/id/1350479</v>
      </c>
      <c r="F18589" s="2" t="s">
        <v>11</v>
      </c>
      <c r="G18589" s="2" t="s">
        <v>7623</v>
      </c>
      <c r="H18589" s="2" t="s">
        <v>7624</v>
      </c>
    </row>
    <row r="18590" spans="1:8" ht="25.05" customHeight="1" x14ac:dyDescent="0.25">
      <c r="A18590" s="2" t="s">
        <v>8</v>
      </c>
      <c r="B18590" s="2" t="str">
        <f>HYPERLINK("http://ts.21cn.com/tousu/show/id/1350480","合利宝支付公司给714高炮平台提供支付通道")</f>
        <v>合利宝支付公司给714高炮平台提供支付通道</v>
      </c>
      <c r="C18590" s="2" t="s">
        <v>9</v>
      </c>
      <c r="D18590" s="2" t="s">
        <v>10</v>
      </c>
      <c r="E18590" s="2" t="str">
        <f>HYPERLINK("http://ts.21cn.com/tousu/show/id/1350480","http://ts.21cn.com/tousu/show/id/1350480")</f>
        <v>http://ts.21cn.com/tousu/show/id/1350480</v>
      </c>
      <c r="F18590" s="2" t="s">
        <v>11</v>
      </c>
      <c r="G18590" s="2" t="s">
        <v>7621</v>
      </c>
      <c r="H18590" s="2" t="s">
        <v>7622</v>
      </c>
    </row>
    <row r="18591" spans="1:8" ht="25.05" customHeight="1" x14ac:dyDescent="0.25">
      <c r="A18591" s="2" t="s">
        <v>8</v>
      </c>
      <c r="B18591" s="2" t="str">
        <f>HYPERLINK("http://ts.21cn.com/tousu/show/id/1350481","闪电借款")</f>
        <v>闪电借款</v>
      </c>
      <c r="C18591" s="2" t="s">
        <v>9</v>
      </c>
      <c r="D18591" s="2" t="s">
        <v>10</v>
      </c>
      <c r="E18591" s="2" t="str">
        <f>HYPERLINK("http://ts.21cn.com/tousu/show/id/1350481","http://ts.21cn.com/tousu/show/id/1350481")</f>
        <v>http://ts.21cn.com/tousu/show/id/1350481</v>
      </c>
      <c r="F18591" s="2" t="s">
        <v>11</v>
      </c>
      <c r="G18591" s="2" t="s">
        <v>7619</v>
      </c>
      <c r="H18591" s="2" t="s">
        <v>7620</v>
      </c>
    </row>
    <row r="18592" spans="1:8" ht="25.05" customHeight="1" x14ac:dyDescent="0.25">
      <c r="A18592" s="2" t="s">
        <v>8</v>
      </c>
      <c r="B18592" s="2" t="str">
        <f>HYPERLINK("http://ts.21cn.com/tousu/show/id/1350482","恶意扣款")</f>
        <v>恶意扣款</v>
      </c>
      <c r="C18592" s="2" t="s">
        <v>9</v>
      </c>
      <c r="D18592" s="2" t="s">
        <v>10</v>
      </c>
      <c r="E18592" s="2" t="str">
        <f>HYPERLINK("http://ts.21cn.com/tousu/show/id/1350482","http://ts.21cn.com/tousu/show/id/1350482")</f>
        <v>http://ts.21cn.com/tousu/show/id/1350482</v>
      </c>
      <c r="F18592" s="2" t="s">
        <v>11</v>
      </c>
      <c r="G18592" s="2" t="s">
        <v>7616</v>
      </c>
      <c r="H18592" s="2" t="s">
        <v>7617</v>
      </c>
    </row>
    <row r="18593" spans="1:8" ht="25.05" customHeight="1" x14ac:dyDescent="0.25">
      <c r="A18593" s="2" t="s">
        <v>8</v>
      </c>
      <c r="B18593" s="2" t="str">
        <f>HYPERLINK("http://ts.21cn.com/tousu/show/cid/18540","恶意扣款")</f>
        <v>恶意扣款</v>
      </c>
      <c r="C18593" s="2" t="s">
        <v>9</v>
      </c>
      <c r="D18593" s="2" t="s">
        <v>10</v>
      </c>
      <c r="E18593" s="2" t="str">
        <f>HYPERLINK("http://ts.21cn.com/tousu/show/cid/18540","http://ts.21cn.com/tousu/show/cid/18540")</f>
        <v>http://ts.21cn.com/tousu/show/cid/18540</v>
      </c>
      <c r="F18593" s="2" t="s">
        <v>11</v>
      </c>
      <c r="G18593" s="2" t="s">
        <v>7616</v>
      </c>
      <c r="H18593" s="2" t="s">
        <v>7618</v>
      </c>
    </row>
    <row r="18594" spans="1:8" ht="25.05" customHeight="1" x14ac:dyDescent="0.25">
      <c r="A18594" s="2" t="s">
        <v>8</v>
      </c>
      <c r="B18594" s="2" t="str">
        <f>HYPERLINK("http://ts.21cn.com/tousu/show/id/1350484","分期乐高炮爆通讯录恐吓")</f>
        <v>分期乐高炮爆通讯录恐吓</v>
      </c>
      <c r="C18594" s="2" t="s">
        <v>9</v>
      </c>
      <c r="D18594" s="2" t="s">
        <v>10</v>
      </c>
      <c r="E18594" s="2" t="str">
        <f>HYPERLINK("http://ts.21cn.com/tousu/show/id/1350484","http://ts.21cn.com/tousu/show/id/1350484")</f>
        <v>http://ts.21cn.com/tousu/show/id/1350484</v>
      </c>
      <c r="F18594" s="2" t="s">
        <v>11</v>
      </c>
      <c r="G18594" s="2" t="s">
        <v>7613</v>
      </c>
      <c r="H18594" s="2" t="s">
        <v>7614</v>
      </c>
    </row>
    <row r="18595" spans="1:8" ht="25.05" customHeight="1" x14ac:dyDescent="0.25">
      <c r="A18595" s="2" t="s">
        <v>8</v>
      </c>
      <c r="B18595" s="2" t="str">
        <f>HYPERLINK("http://ts.21cn.com/tousu/show/id/1350483","投诉洋钱罐")</f>
        <v>投诉洋钱罐</v>
      </c>
      <c r="C18595" s="2" t="s">
        <v>9</v>
      </c>
      <c r="D18595" s="2" t="s">
        <v>10</v>
      </c>
      <c r="E18595" s="2" t="str">
        <f>HYPERLINK("http://ts.21cn.com/tousu/show/id/1350483","http://ts.21cn.com/tousu/show/id/1350483")</f>
        <v>http://ts.21cn.com/tousu/show/id/1350483</v>
      </c>
      <c r="F18595" s="2" t="s">
        <v>11</v>
      </c>
      <c r="G18595" s="2" t="s">
        <v>7613</v>
      </c>
      <c r="H18595" s="2" t="s">
        <v>7615</v>
      </c>
    </row>
    <row r="18596" spans="1:8" ht="25.05" customHeight="1" x14ac:dyDescent="0.25">
      <c r="A18596" s="2" t="s">
        <v>8</v>
      </c>
      <c r="B18596" s="2" t="str">
        <f>HYPERLINK("http://ts.21cn.com/tousu/show/id/1350485","威胁恐吓我和我家人")</f>
        <v>威胁恐吓我和我家人</v>
      </c>
      <c r="C18596" s="2" t="s">
        <v>9</v>
      </c>
      <c r="D18596" s="2" t="s">
        <v>10</v>
      </c>
      <c r="E18596" s="2" t="str">
        <f>HYPERLINK("http://ts.21cn.com/tousu/show/id/1350485","http://ts.21cn.com/tousu/show/id/1350485")</f>
        <v>http://ts.21cn.com/tousu/show/id/1350485</v>
      </c>
      <c r="F18596" s="2" t="s">
        <v>11</v>
      </c>
      <c r="G18596" s="2" t="s">
        <v>7611</v>
      </c>
      <c r="H18596" s="2" t="s">
        <v>7612</v>
      </c>
    </row>
    <row r="18597" spans="1:8" ht="25.05" customHeight="1" x14ac:dyDescent="0.25">
      <c r="A18597" s="2" t="s">
        <v>8</v>
      </c>
      <c r="B18597" s="2" t="str">
        <f>HYPERLINK("http://ts.21cn.com/tousu/show/id/1350487","赌博平台")</f>
        <v>赌博平台</v>
      </c>
      <c r="C18597" s="2" t="s">
        <v>9</v>
      </c>
      <c r="D18597" s="2" t="s">
        <v>10</v>
      </c>
      <c r="E18597" s="2" t="str">
        <f>HYPERLINK("http://ts.21cn.com/tousu/show/id/1350487","http://ts.21cn.com/tousu/show/id/1350487")</f>
        <v>http://ts.21cn.com/tousu/show/id/1350487</v>
      </c>
      <c r="F18597" s="2" t="s">
        <v>11</v>
      </c>
      <c r="G18597" s="2" t="s">
        <v>7609</v>
      </c>
      <c r="H18597" s="2" t="s">
        <v>7610</v>
      </c>
    </row>
    <row r="18598" spans="1:8" ht="25.05" customHeight="1" x14ac:dyDescent="0.25">
      <c r="A18598" s="2" t="s">
        <v>8</v>
      </c>
      <c r="B18598" s="2" t="str">
        <f>HYPERLINK("http://ts.21cn.com/tousu/show/id/1350486","ppmoney（及贷）高利贷阴阳合同骚扰家人")</f>
        <v>ppmoney（及贷）高利贷阴阳合同骚扰家人</v>
      </c>
      <c r="C18598" s="2" t="s">
        <v>9</v>
      </c>
      <c r="D18598" s="2" t="s">
        <v>10</v>
      </c>
      <c r="E18598" s="2" t="str">
        <f>HYPERLINK("http://ts.21cn.com/tousu/show/id/1350486","http://ts.21cn.com/tousu/show/id/1350486")</f>
        <v>http://ts.21cn.com/tousu/show/id/1350486</v>
      </c>
      <c r="F18598" s="2" t="s">
        <v>11</v>
      </c>
      <c r="G18598" s="2" t="s">
        <v>7607</v>
      </c>
      <c r="H18598" s="2" t="s">
        <v>7608</v>
      </c>
    </row>
    <row r="18599" spans="1:8" ht="25.05" customHeight="1" x14ac:dyDescent="0.25">
      <c r="A18599" s="2" t="s">
        <v>8</v>
      </c>
      <c r="B18599" s="2" t="str">
        <f>HYPERLINK("http://ts.21cn.com/tousu/show/id/1350489","恶意扣款购买会员")</f>
        <v>恶意扣款购买会员</v>
      </c>
      <c r="C18599" s="2" t="s">
        <v>9</v>
      </c>
      <c r="D18599" s="2" t="s">
        <v>10</v>
      </c>
      <c r="E18599" s="2" t="str">
        <f>HYPERLINK("http://ts.21cn.com/tousu/show/id/1350489","http://ts.21cn.com/tousu/show/id/1350489")</f>
        <v>http://ts.21cn.com/tousu/show/id/1350489</v>
      </c>
      <c r="F18599" s="2" t="s">
        <v>11</v>
      </c>
      <c r="G18599" s="2" t="s">
        <v>7605</v>
      </c>
      <c r="H18599" s="2" t="s">
        <v>7606</v>
      </c>
    </row>
    <row r="18600" spans="1:8" ht="25.05" customHeight="1" x14ac:dyDescent="0.25">
      <c r="A18600" s="2" t="s">
        <v>8</v>
      </c>
      <c r="B18600" s="2" t="str">
        <f>HYPERLINK("http://ts.21cn.com/tousu/show/id/1350490","搜款网承诺退现，商品不存在任何影响二次销售问题，现在却说不能退")</f>
        <v>搜款网承诺退现，商品不存在任何影响二次销售问题，现在却说不能退</v>
      </c>
      <c r="C18600" s="2" t="s">
        <v>9</v>
      </c>
      <c r="D18600" s="2" t="s">
        <v>10</v>
      </c>
      <c r="E18600" s="2" t="str">
        <f>HYPERLINK("http://ts.21cn.com/tousu/show/id/1350490","http://ts.21cn.com/tousu/show/id/1350490")</f>
        <v>http://ts.21cn.com/tousu/show/id/1350490</v>
      </c>
      <c r="F18600" s="2" t="s">
        <v>11</v>
      </c>
      <c r="G18600" s="2" t="s">
        <v>7603</v>
      </c>
      <c r="H18600" s="2" t="s">
        <v>7604</v>
      </c>
    </row>
    <row r="18601" spans="1:8" ht="25.05" customHeight="1" x14ac:dyDescent="0.25">
      <c r="A18601" s="2" t="s">
        <v>8</v>
      </c>
      <c r="B18601" s="2" t="str">
        <f>HYPERLINK("http://ts.21cn.com/tousu/show/id/1350491","微信小微商户冻结钱不给提现")</f>
        <v>微信小微商户冻结钱不给提现</v>
      </c>
      <c r="C18601" s="2" t="s">
        <v>9</v>
      </c>
      <c r="D18601" s="2" t="s">
        <v>10</v>
      </c>
      <c r="E18601" s="2" t="str">
        <f>HYPERLINK("http://ts.21cn.com/tousu/show/id/1350491","http://ts.21cn.com/tousu/show/id/1350491")</f>
        <v>http://ts.21cn.com/tousu/show/id/1350491</v>
      </c>
      <c r="F18601" s="2" t="s">
        <v>11</v>
      </c>
      <c r="G18601" s="2" t="s">
        <v>7601</v>
      </c>
      <c r="H18601" s="2" t="s">
        <v>7602</v>
      </c>
    </row>
    <row r="18602" spans="1:8" ht="25.05" customHeight="1" x14ac:dyDescent="0.25">
      <c r="A18602" s="2" t="s">
        <v>8</v>
      </c>
      <c r="B18602" s="2" t="str">
        <f>HYPERLINK("http://ts.21cn.com/tousu/show/id/1350493","忽悠客户")</f>
        <v>忽悠客户</v>
      </c>
      <c r="C18602" s="2" t="s">
        <v>9</v>
      </c>
      <c r="D18602" s="2" t="s">
        <v>10</v>
      </c>
      <c r="E18602" s="2" t="str">
        <f>HYPERLINK("http://ts.21cn.com/tousu/show/id/1350493","http://ts.21cn.com/tousu/show/id/1350493")</f>
        <v>http://ts.21cn.com/tousu/show/id/1350493</v>
      </c>
      <c r="F18602" s="2" t="s">
        <v>11</v>
      </c>
      <c r="G18602" s="2" t="s">
        <v>7599</v>
      </c>
      <c r="H18602" s="2" t="s">
        <v>7600</v>
      </c>
    </row>
    <row r="18603" spans="1:8" ht="25.05" customHeight="1" x14ac:dyDescent="0.25">
      <c r="A18603" s="2" t="s">
        <v>8</v>
      </c>
      <c r="B18603" s="2" t="str">
        <f>HYPERLINK("http://ts.21cn.com/tousu/show/id/1350494","微品分期黑社会高利债平台")</f>
        <v>微品分期黑社会高利债平台</v>
      </c>
      <c r="C18603" s="2" t="s">
        <v>9</v>
      </c>
      <c r="D18603" s="2" t="s">
        <v>10</v>
      </c>
      <c r="E18603" s="2" t="str">
        <f>HYPERLINK("http://ts.21cn.com/tousu/show/id/1350494","http://ts.21cn.com/tousu/show/id/1350494")</f>
        <v>http://ts.21cn.com/tousu/show/id/1350494</v>
      </c>
      <c r="F18603" s="2" t="s">
        <v>11</v>
      </c>
      <c r="G18603" s="2" t="s">
        <v>7597</v>
      </c>
      <c r="H18603" s="2" t="s">
        <v>7598</v>
      </c>
    </row>
    <row r="18604" spans="1:8" ht="25.05" customHeight="1" x14ac:dyDescent="0.25">
      <c r="A18604" s="2" t="s">
        <v>8</v>
      </c>
      <c r="B18604" s="2" t="str">
        <f>HYPERLINK("http://ts.21cn.com/tousu/show/id/1350495","爆通讯录")</f>
        <v>爆通讯录</v>
      </c>
      <c r="C18604" s="2" t="s">
        <v>9</v>
      </c>
      <c r="D18604" s="2" t="s">
        <v>10</v>
      </c>
      <c r="E18604" s="2" t="str">
        <f>HYPERLINK("http://ts.21cn.com/tousu/show/id/1350495","http://ts.21cn.com/tousu/show/id/1350495")</f>
        <v>http://ts.21cn.com/tousu/show/id/1350495</v>
      </c>
      <c r="F18604" s="2" t="s">
        <v>11</v>
      </c>
      <c r="G18604" s="2" t="s">
        <v>7595</v>
      </c>
      <c r="H18604" s="2" t="s">
        <v>7596</v>
      </c>
    </row>
    <row r="18605" spans="1:8" ht="25.05" customHeight="1" x14ac:dyDescent="0.25">
      <c r="A18605" s="2" t="s">
        <v>8</v>
      </c>
      <c r="B18605" s="2" t="str">
        <f>HYPERLINK("http://ts.21cn.com/tousu/show/id/1350496","宜人贷还未到还款日疯狂电话骚扰")</f>
        <v>宜人贷还未到还款日疯狂电话骚扰</v>
      </c>
      <c r="C18605" s="2" t="s">
        <v>9</v>
      </c>
      <c r="D18605" s="2" t="s">
        <v>10</v>
      </c>
      <c r="E18605" s="2" t="str">
        <f>HYPERLINK("http://ts.21cn.com/tousu/show/id/1350496","http://ts.21cn.com/tousu/show/id/1350496")</f>
        <v>http://ts.21cn.com/tousu/show/id/1350496</v>
      </c>
      <c r="F18605" s="2" t="s">
        <v>11</v>
      </c>
      <c r="G18605" s="2" t="s">
        <v>7593</v>
      </c>
      <c r="H18605" s="2" t="s">
        <v>7594</v>
      </c>
    </row>
    <row r="18606" spans="1:8" ht="25.05" customHeight="1" x14ac:dyDescent="0.25">
      <c r="A18606" s="2" t="s">
        <v>8</v>
      </c>
      <c r="B18606" s="2" t="str">
        <f>HYPERLINK("http://ts.21cn.com/tousu/show/id/1350497","长城宽带不退费")</f>
        <v>长城宽带不退费</v>
      </c>
      <c r="C18606" s="2" t="s">
        <v>9</v>
      </c>
      <c r="D18606" s="2" t="s">
        <v>10</v>
      </c>
      <c r="E18606" s="2" t="str">
        <f>HYPERLINK("http://ts.21cn.com/tousu/show/id/1350497","http://ts.21cn.com/tousu/show/id/1350497")</f>
        <v>http://ts.21cn.com/tousu/show/id/1350497</v>
      </c>
      <c r="F18606" s="2" t="s">
        <v>11</v>
      </c>
      <c r="G18606" s="2" t="s">
        <v>7591</v>
      </c>
      <c r="H18606" s="2" t="s">
        <v>7592</v>
      </c>
    </row>
    <row r="18607" spans="1:8" ht="25.05" customHeight="1" x14ac:dyDescent="0.25">
      <c r="A18607" s="2" t="s">
        <v>8</v>
      </c>
      <c r="B18607" s="2" t="str">
        <f>HYPERLINK("http://ts.21cn.com/tousu/show/id/1350498","暴力催收")</f>
        <v>暴力催收</v>
      </c>
      <c r="C18607" s="2" t="s">
        <v>9</v>
      </c>
      <c r="D18607" s="2" t="s">
        <v>10</v>
      </c>
      <c r="E18607" s="2" t="str">
        <f>HYPERLINK("http://ts.21cn.com/tousu/show/id/1350498","http://ts.21cn.com/tousu/show/id/1350498")</f>
        <v>http://ts.21cn.com/tousu/show/id/1350498</v>
      </c>
      <c r="F18607" s="2" t="s">
        <v>11</v>
      </c>
      <c r="G18607" s="2" t="s">
        <v>7589</v>
      </c>
      <c r="H18607" s="2" t="s">
        <v>7590</v>
      </c>
    </row>
    <row r="18608" spans="1:8" ht="25.05" customHeight="1" x14ac:dyDescent="0.25">
      <c r="A18608" s="2" t="s">
        <v>8</v>
      </c>
      <c r="B18608" s="2" t="str">
        <f>HYPERLINK("http://ts.21cn.com/tousu/show/id/1350499","骚扰短信")</f>
        <v>骚扰短信</v>
      </c>
      <c r="C18608" s="2" t="s">
        <v>9</v>
      </c>
      <c r="D18608" s="2" t="s">
        <v>10</v>
      </c>
      <c r="E18608" s="2" t="str">
        <f>HYPERLINK("http://ts.21cn.com/tousu/show/id/1350499","http://ts.21cn.com/tousu/show/id/1350499")</f>
        <v>http://ts.21cn.com/tousu/show/id/1350499</v>
      </c>
      <c r="F18608" s="2" t="s">
        <v>11</v>
      </c>
      <c r="G18608" s="2" t="s">
        <v>7587</v>
      </c>
      <c r="H18608" s="2" t="s">
        <v>7588</v>
      </c>
    </row>
    <row r="18609" spans="1:8" ht="25.05" customHeight="1" x14ac:dyDescent="0.25">
      <c r="A18609" s="2" t="s">
        <v>8</v>
      </c>
      <c r="B18609" s="2" t="str">
        <f>HYPERLINK("http://ts.21cn.com/tousu/show/id/1350500","四川新网银行股份有限公司乱扣钱")</f>
        <v>四川新网银行股份有限公司乱扣钱</v>
      </c>
      <c r="C18609" s="2" t="s">
        <v>9</v>
      </c>
      <c r="D18609" s="2" t="s">
        <v>10</v>
      </c>
      <c r="E18609" s="2" t="str">
        <f>HYPERLINK("http://ts.21cn.com/tousu/show/id/1350500","http://ts.21cn.com/tousu/show/id/1350500")</f>
        <v>http://ts.21cn.com/tousu/show/id/1350500</v>
      </c>
      <c r="F18609" s="2" t="s">
        <v>11</v>
      </c>
      <c r="G18609" s="2" t="s">
        <v>7585</v>
      </c>
      <c r="H18609" s="2" t="s">
        <v>7586</v>
      </c>
    </row>
    <row r="18610" spans="1:8" ht="25.05" customHeight="1" x14ac:dyDescent="0.25">
      <c r="A18610" s="2" t="s">
        <v>8</v>
      </c>
      <c r="B18610" s="2" t="str">
        <f>HYPERLINK("http://ts.21cn.com/tousu/show/id/1350501","招联金融威胁我和我的家人，偷取个人隐私")</f>
        <v>招联金融威胁我和我的家人，偷取个人隐私</v>
      </c>
      <c r="C18610" s="2" t="s">
        <v>9</v>
      </c>
      <c r="D18610" s="2" t="s">
        <v>10</v>
      </c>
      <c r="E18610" s="2" t="str">
        <f>HYPERLINK("http://ts.21cn.com/tousu/show/id/1350501","http://ts.21cn.com/tousu/show/id/1350501")</f>
        <v>http://ts.21cn.com/tousu/show/id/1350501</v>
      </c>
      <c r="F18610" s="2" t="s">
        <v>11</v>
      </c>
      <c r="G18610" s="2" t="s">
        <v>7583</v>
      </c>
      <c r="H18610" s="2" t="s">
        <v>7584</v>
      </c>
    </row>
    <row r="18611" spans="1:8" ht="25.05" customHeight="1" x14ac:dyDescent="0.25">
      <c r="A18611" s="2" t="s">
        <v>8</v>
      </c>
      <c r="B18611" s="2" t="str">
        <f>HYPERLINK("http://ts.21cn.com/tousu/show/id/1350502","通联沪快乱扣费")</f>
        <v>通联沪快乱扣费</v>
      </c>
      <c r="C18611" s="2" t="s">
        <v>9</v>
      </c>
      <c r="D18611" s="2" t="s">
        <v>10</v>
      </c>
      <c r="E18611" s="2" t="str">
        <f>HYPERLINK("http://ts.21cn.com/tousu/show/id/1350502","http://ts.21cn.com/tousu/show/id/1350502")</f>
        <v>http://ts.21cn.com/tousu/show/id/1350502</v>
      </c>
      <c r="F18611" s="2" t="s">
        <v>11</v>
      </c>
      <c r="G18611" s="2" t="s">
        <v>7581</v>
      </c>
      <c r="H18611" s="2" t="s">
        <v>7582</v>
      </c>
    </row>
    <row r="18612" spans="1:8" ht="25.05" customHeight="1" x14ac:dyDescent="0.25">
      <c r="A18612" s="2" t="s">
        <v>8</v>
      </c>
      <c r="B18612" s="2" t="str">
        <f>HYPERLINK("http://ts.21cn.com/tousu/show/id/1350503","马上金融消费公司安逸花不断电话催收毫无沟通效果")</f>
        <v>马上金融消费公司安逸花不断电话催收毫无沟通效果</v>
      </c>
      <c r="C18612" s="2" t="s">
        <v>34</v>
      </c>
      <c r="D18612" s="2" t="s">
        <v>10</v>
      </c>
      <c r="E18612" s="2" t="str">
        <f>HYPERLINK("http://ts.21cn.com/tousu/show/id/1350503","http://ts.21cn.com/tousu/show/id/1350503")</f>
        <v>http://ts.21cn.com/tousu/show/id/1350503</v>
      </c>
      <c r="F18612" s="2" t="s">
        <v>11</v>
      </c>
      <c r="G18612" s="2" t="s">
        <v>7579</v>
      </c>
      <c r="H18612" s="2" t="s">
        <v>7580</v>
      </c>
    </row>
    <row r="18613" spans="1:8" ht="25.05" customHeight="1" x14ac:dyDescent="0.25">
      <c r="A18613" s="2" t="s">
        <v>8</v>
      </c>
      <c r="B18613" s="2" t="str">
        <f>HYPERLINK("http://ts.21cn.com/tousu/show/id/1350504","投诉给你花故意催收")</f>
        <v>投诉给你花故意催收</v>
      </c>
      <c r="C18613" s="2" t="s">
        <v>9</v>
      </c>
      <c r="D18613" s="2" t="s">
        <v>10</v>
      </c>
      <c r="E18613" s="2" t="str">
        <f>HYPERLINK("http://ts.21cn.com/tousu/show/id/1350504","http://ts.21cn.com/tousu/show/id/1350504")</f>
        <v>http://ts.21cn.com/tousu/show/id/1350504</v>
      </c>
      <c r="F18613" s="2" t="s">
        <v>11</v>
      </c>
      <c r="G18613" s="2" t="s">
        <v>7577</v>
      </c>
      <c r="H18613" s="2" t="s">
        <v>7578</v>
      </c>
    </row>
    <row r="18614" spans="1:8" ht="25.05" customHeight="1" x14ac:dyDescent="0.25">
      <c r="A18614" s="2" t="s">
        <v>8</v>
      </c>
      <c r="B18614" s="2" t="str">
        <f>HYPERLINK("http://ts.21cn.com/tousu/show/id/1350505","王者钱包，胁催收威胁爆通讯录")</f>
        <v>王者钱包，胁催收威胁爆通讯录</v>
      </c>
      <c r="C18614" s="2" t="s">
        <v>9</v>
      </c>
      <c r="D18614" s="2" t="s">
        <v>10</v>
      </c>
      <c r="E18614" s="2" t="str">
        <f>HYPERLINK("http://ts.21cn.com/tousu/show/id/1350505","http://ts.21cn.com/tousu/show/id/1350505")</f>
        <v>http://ts.21cn.com/tousu/show/id/1350505</v>
      </c>
      <c r="F18614" s="2" t="s">
        <v>11</v>
      </c>
      <c r="G18614" s="2" t="s">
        <v>7575</v>
      </c>
      <c r="H18614" s="2" t="s">
        <v>7576</v>
      </c>
    </row>
    <row r="18615" spans="1:8" ht="25.05" customHeight="1" x14ac:dyDescent="0.25">
      <c r="A18615" s="2" t="s">
        <v>8</v>
      </c>
      <c r="B18615" s="2" t="str">
        <f>HYPERLINK("http://ts.21cn.com/tousu/show/id/1350506","招联金融催收")</f>
        <v>招联金融催收</v>
      </c>
      <c r="C18615" s="2" t="s">
        <v>9</v>
      </c>
      <c r="D18615" s="2" t="s">
        <v>10</v>
      </c>
      <c r="E18615" s="2" t="str">
        <f>HYPERLINK("http://ts.21cn.com/tousu/show/id/1350506","http://ts.21cn.com/tousu/show/id/1350506")</f>
        <v>http://ts.21cn.com/tousu/show/id/1350506</v>
      </c>
      <c r="F18615" s="2" t="s">
        <v>11</v>
      </c>
      <c r="G18615" s="2" t="s">
        <v>7573</v>
      </c>
      <c r="H18615" s="2" t="s">
        <v>7574</v>
      </c>
    </row>
    <row r="18616" spans="1:8" ht="25.05" customHeight="1" x14ac:dyDescent="0.25">
      <c r="A18616" s="2" t="s">
        <v>8</v>
      </c>
      <c r="B18616" s="2" t="str">
        <f>HYPERLINK("http://ts.21cn.com/tousu/show/id/1350507","闲鱼限制我支付功能使我无法支付手术费")</f>
        <v>闲鱼限制我支付功能使我无法支付手术费</v>
      </c>
      <c r="C18616" s="2" t="s">
        <v>34</v>
      </c>
      <c r="D18616" s="2" t="s">
        <v>10</v>
      </c>
      <c r="E18616" s="2" t="str">
        <f>HYPERLINK("http://ts.21cn.com/tousu/show/id/1350507","http://ts.21cn.com/tousu/show/id/1350507")</f>
        <v>http://ts.21cn.com/tousu/show/id/1350507</v>
      </c>
      <c r="F18616" s="2" t="s">
        <v>11</v>
      </c>
      <c r="G18616" s="2" t="s">
        <v>7571</v>
      </c>
      <c r="H18616" s="2" t="s">
        <v>7572</v>
      </c>
    </row>
    <row r="18617" spans="1:8" ht="25.05" customHeight="1" x14ac:dyDescent="0.25">
      <c r="A18617" s="2" t="s">
        <v>8</v>
      </c>
      <c r="B18617" s="2" t="str">
        <f>HYPERLINK("http://ts.21cn.com/tousu/show/id/1350509","广发信用卡协商还款")</f>
        <v>广发信用卡协商还款</v>
      </c>
      <c r="C18617" s="2" t="s">
        <v>9</v>
      </c>
      <c r="D18617" s="2" t="s">
        <v>10</v>
      </c>
      <c r="E18617" s="2" t="str">
        <f>HYPERLINK("http://ts.21cn.com/tousu/show/id/1350509","http://ts.21cn.com/tousu/show/id/1350509")</f>
        <v>http://ts.21cn.com/tousu/show/id/1350509</v>
      </c>
      <c r="F18617" s="2" t="s">
        <v>11</v>
      </c>
      <c r="G18617" s="2" t="s">
        <v>7569</v>
      </c>
      <c r="H18617" s="2" t="s">
        <v>7570</v>
      </c>
    </row>
    <row r="18618" spans="1:8" ht="25.05" customHeight="1" x14ac:dyDescent="0.25">
      <c r="A18618" s="2" t="s">
        <v>8</v>
      </c>
      <c r="B18618" s="2" t="str">
        <f>HYPERLINK("http://ts.21cn.com/tousu/show/id/1350510","信而富变相收取砍头息强迫撤销投诉后并未处理")</f>
        <v>信而富变相收取砍头息强迫撤销投诉后并未处理</v>
      </c>
      <c r="C18618" s="2" t="s">
        <v>9</v>
      </c>
      <c r="D18618" s="2" t="s">
        <v>10</v>
      </c>
      <c r="E18618" s="2" t="str">
        <f>HYPERLINK("http://ts.21cn.com/tousu/show/id/1350510","http://ts.21cn.com/tousu/show/id/1350510")</f>
        <v>http://ts.21cn.com/tousu/show/id/1350510</v>
      </c>
      <c r="F18618" s="2" t="s">
        <v>11</v>
      </c>
      <c r="G18618" s="2" t="s">
        <v>7567</v>
      </c>
      <c r="H18618" s="2" t="s">
        <v>7568</v>
      </c>
    </row>
    <row r="18619" spans="1:8" ht="25.05" customHeight="1" x14ac:dyDescent="0.25">
      <c r="A18619" s="2" t="s">
        <v>8</v>
      </c>
      <c r="B18619" s="2" t="str">
        <f>HYPERLINK("http://ts.21cn.com/tousu/show/id/1350511","花财")</f>
        <v>花财</v>
      </c>
      <c r="C18619" s="2" t="s">
        <v>9</v>
      </c>
      <c r="D18619" s="2" t="s">
        <v>10</v>
      </c>
      <c r="E18619" s="2" t="str">
        <f>HYPERLINK("http://ts.21cn.com/tousu/show/id/1350511","http://ts.21cn.com/tousu/show/id/1350511")</f>
        <v>http://ts.21cn.com/tousu/show/id/1350511</v>
      </c>
      <c r="F18619" s="2" t="s">
        <v>11</v>
      </c>
      <c r="G18619" s="2" t="s">
        <v>7565</v>
      </c>
      <c r="H18619" s="2" t="s">
        <v>7566</v>
      </c>
    </row>
    <row r="18620" spans="1:8" ht="25.05" customHeight="1" x14ac:dyDescent="0.25">
      <c r="A18620" s="2" t="s">
        <v>8</v>
      </c>
      <c r="B18620" s="2" t="str">
        <f>HYPERLINK("http://ts.21cn.com/tousu/show/id/1350512","每天给我爸妈打电话找我，说是要起诉我")</f>
        <v>每天给我爸妈打电话找我，说是要起诉我</v>
      </c>
      <c r="C18620" s="2" t="s">
        <v>9</v>
      </c>
      <c r="D18620" s="2" t="s">
        <v>10</v>
      </c>
      <c r="E18620" s="2" t="str">
        <f>HYPERLINK("http://ts.21cn.com/tousu/show/id/1350512","http://ts.21cn.com/tousu/show/id/1350512")</f>
        <v>http://ts.21cn.com/tousu/show/id/1350512</v>
      </c>
      <c r="F18620" s="2" t="s">
        <v>11</v>
      </c>
      <c r="G18620" s="2" t="s">
        <v>7562</v>
      </c>
      <c r="H18620" s="2" t="s">
        <v>7563</v>
      </c>
    </row>
    <row r="18621" spans="1:8" ht="25.05" customHeight="1" x14ac:dyDescent="0.25">
      <c r="A18621" s="2" t="s">
        <v>8</v>
      </c>
      <c r="B18621" s="2" t="str">
        <f>HYPERLINK("http://ts.21cn.com/tousu/show/id/1350515","贷上钱网贷高利息暴力催收")</f>
        <v>贷上钱网贷高利息暴力催收</v>
      </c>
      <c r="C18621" s="2" t="s">
        <v>9</v>
      </c>
      <c r="D18621" s="2" t="s">
        <v>10</v>
      </c>
      <c r="E18621" s="2" t="str">
        <f>HYPERLINK("http://ts.21cn.com/tousu/show/id/1350515","http://ts.21cn.com/tousu/show/id/1350515")</f>
        <v>http://ts.21cn.com/tousu/show/id/1350515</v>
      </c>
      <c r="F18621" s="2" t="s">
        <v>11</v>
      </c>
      <c r="G18621" s="2" t="s">
        <v>7562</v>
      </c>
      <c r="H18621" s="2" t="s">
        <v>7564</v>
      </c>
    </row>
    <row r="18622" spans="1:8" ht="25.05" customHeight="1" x14ac:dyDescent="0.25">
      <c r="A18622" s="2" t="s">
        <v>8</v>
      </c>
      <c r="B18622" s="2" t="str">
        <f>HYPERLINK("http://ts.21cn.com/tousu/show/id/1350513","中国银行催收人员骚扰无关人员")</f>
        <v>中国银行催收人员骚扰无关人员</v>
      </c>
      <c r="C18622" s="2" t="s">
        <v>9</v>
      </c>
      <c r="D18622" s="2" t="s">
        <v>10</v>
      </c>
      <c r="E18622" s="2" t="str">
        <f>HYPERLINK("http://ts.21cn.com/tousu/show/id/1350513","http://ts.21cn.com/tousu/show/id/1350513")</f>
        <v>http://ts.21cn.com/tousu/show/id/1350513</v>
      </c>
      <c r="F18622" s="2" t="s">
        <v>11</v>
      </c>
      <c r="G18622" s="2" t="s">
        <v>7560</v>
      </c>
      <c r="H18622" s="2" t="s">
        <v>7561</v>
      </c>
    </row>
    <row r="18623" spans="1:8" ht="25.05" customHeight="1" x14ac:dyDescent="0.25">
      <c r="A18623" s="2" t="s">
        <v>8</v>
      </c>
      <c r="B18623" s="2" t="str">
        <f>HYPERLINK("http://ts.21cn.com/tousu/show/id/1350516","微信发红包给对方对方微信查不到钱却扣了")</f>
        <v>微信发红包给对方对方微信查不到钱却扣了</v>
      </c>
      <c r="C18623" s="2" t="s">
        <v>9</v>
      </c>
      <c r="D18623" s="2" t="s">
        <v>10</v>
      </c>
      <c r="E18623" s="2" t="str">
        <f>HYPERLINK("http://ts.21cn.com/tousu/show/id/1350516","http://ts.21cn.com/tousu/show/id/1350516")</f>
        <v>http://ts.21cn.com/tousu/show/id/1350516</v>
      </c>
      <c r="F18623" s="2" t="s">
        <v>11</v>
      </c>
      <c r="G18623" s="2" t="s">
        <v>7558</v>
      </c>
      <c r="H18623" s="2" t="s">
        <v>7559</v>
      </c>
    </row>
    <row r="18624" spans="1:8" ht="25.05" customHeight="1" x14ac:dyDescent="0.25">
      <c r="A18624" s="2" t="s">
        <v>8</v>
      </c>
      <c r="B18624" s="2" t="str">
        <f>HYPERLINK("http://ts.21cn.com/tousu/show/id/1350517","平安寿险严重侮辱人格，是平安的纵容放纵还是在职人员的素质低下！！！")</f>
        <v>平安寿险严重侮辱人格，是平安的纵容放纵还是在职人员的素质低下！！！</v>
      </c>
      <c r="C18624" s="2" t="s">
        <v>9</v>
      </c>
      <c r="D18624" s="2" t="s">
        <v>10</v>
      </c>
      <c r="E18624" s="2" t="str">
        <f>HYPERLINK("http://ts.21cn.com/tousu/show/id/1350517","http://ts.21cn.com/tousu/show/id/1350517")</f>
        <v>http://ts.21cn.com/tousu/show/id/1350517</v>
      </c>
      <c r="F18624" s="2" t="s">
        <v>11</v>
      </c>
      <c r="G18624" s="2" t="s">
        <v>7556</v>
      </c>
      <c r="H18624" s="2" t="s">
        <v>7557</v>
      </c>
    </row>
    <row r="18625" spans="1:8" ht="25.05" customHeight="1" x14ac:dyDescent="0.25">
      <c r="A18625" s="2" t="s">
        <v>8</v>
      </c>
      <c r="B18625" s="2" t="str">
        <f>HYPERLINK("http://ts.21cn.com/tousu/show/id/1350518","钱站高利贷，款催收，打通讯录")</f>
        <v>钱站高利贷，款催收，打通讯录</v>
      </c>
      <c r="C18625" s="2" t="s">
        <v>9</v>
      </c>
      <c r="D18625" s="2" t="s">
        <v>10</v>
      </c>
      <c r="E18625" s="2" t="str">
        <f>HYPERLINK("http://ts.21cn.com/tousu/show/id/1350518","http://ts.21cn.com/tousu/show/id/1350518")</f>
        <v>http://ts.21cn.com/tousu/show/id/1350518</v>
      </c>
      <c r="F18625" s="2" t="s">
        <v>11</v>
      </c>
      <c r="G18625" s="2" t="s">
        <v>7554</v>
      </c>
      <c r="H18625" s="2" t="s">
        <v>7555</v>
      </c>
    </row>
    <row r="18626" spans="1:8" ht="25.05" customHeight="1" x14ac:dyDescent="0.25">
      <c r="A18626" s="2" t="s">
        <v>8</v>
      </c>
      <c r="B18626" s="2" t="str">
        <f>HYPERLINK("http://ts.21cn.com/tousu/show/id/1350520","达飞云贷垃圾高利贷")</f>
        <v>达飞云贷垃圾高利贷</v>
      </c>
      <c r="C18626" s="2" t="s">
        <v>9</v>
      </c>
      <c r="D18626" s="2" t="s">
        <v>10</v>
      </c>
      <c r="E18626" s="2" t="str">
        <f>HYPERLINK("http://ts.21cn.com/tousu/show/id/1350520","http://ts.21cn.com/tousu/show/id/1350520")</f>
        <v>http://ts.21cn.com/tousu/show/id/1350520</v>
      </c>
      <c r="F18626" s="2" t="s">
        <v>11</v>
      </c>
      <c r="G18626" s="2" t="s">
        <v>7552</v>
      </c>
      <c r="H18626" s="2" t="s">
        <v>7553</v>
      </c>
    </row>
    <row r="18627" spans="1:8" ht="25.05" customHeight="1" x14ac:dyDescent="0.25">
      <c r="A18627" s="2" t="s">
        <v>8</v>
      </c>
      <c r="B18627" s="2" t="str">
        <f>HYPERLINK("http://ts.21cn.com/tousu/show/id/1350521","乱收费")</f>
        <v>乱收费</v>
      </c>
      <c r="C18627" s="2" t="s">
        <v>9</v>
      </c>
      <c r="D18627" s="2" t="s">
        <v>10</v>
      </c>
      <c r="E18627" s="2" t="str">
        <f>HYPERLINK("http://ts.21cn.com/tousu/show/id/1350521","http://ts.21cn.com/tousu/show/id/1350521")</f>
        <v>http://ts.21cn.com/tousu/show/id/1350521</v>
      </c>
      <c r="F18627" s="2" t="s">
        <v>11</v>
      </c>
      <c r="G18627" s="2" t="s">
        <v>7550</v>
      </c>
      <c r="H18627" s="2" t="s">
        <v>7551</v>
      </c>
    </row>
    <row r="18628" spans="1:8" ht="25.05" customHeight="1" x14ac:dyDescent="0.25">
      <c r="A18628" s="2" t="s">
        <v>8</v>
      </c>
      <c r="B18628" s="2" t="str">
        <f>HYPERLINK("http://ts.21cn.com/tousu/show/id/1350074","高利贷诱导消费")</f>
        <v>高利贷诱导消费</v>
      </c>
      <c r="C18628" s="2" t="s">
        <v>9</v>
      </c>
      <c r="D18628" s="2" t="s">
        <v>10</v>
      </c>
      <c r="E18628" s="2" t="str">
        <f>HYPERLINK("http://ts.21cn.com/tousu/show/id/1350074","http://ts.21cn.com/tousu/show/id/1350074")</f>
        <v>http://ts.21cn.com/tousu/show/id/1350074</v>
      </c>
      <c r="F18628" s="2" t="s">
        <v>11</v>
      </c>
      <c r="G18628" s="2" t="s">
        <v>7548</v>
      </c>
      <c r="H18628" s="2" t="s">
        <v>7549</v>
      </c>
    </row>
    <row r="18629" spans="1:8" ht="25.05" customHeight="1" x14ac:dyDescent="0.25">
      <c r="A18629" s="2" t="s">
        <v>8</v>
      </c>
      <c r="B18629" s="2" t="str">
        <f>HYPERLINK("http://ts.21cn.com/tousu/show/id/1350523","金鸡下蛋套路贷")</f>
        <v>金鸡下蛋套路贷</v>
      </c>
      <c r="C18629" s="2" t="s">
        <v>9</v>
      </c>
      <c r="D18629" s="2" t="s">
        <v>10</v>
      </c>
      <c r="E18629" s="2" t="str">
        <f>HYPERLINK("http://ts.21cn.com/tousu/show/id/1350523","http://ts.21cn.com/tousu/show/id/1350523")</f>
        <v>http://ts.21cn.com/tousu/show/id/1350523</v>
      </c>
      <c r="F18629" s="2" t="s">
        <v>11</v>
      </c>
      <c r="G18629" s="2" t="s">
        <v>7546</v>
      </c>
      <c r="H18629" s="2" t="s">
        <v>7547</v>
      </c>
    </row>
    <row r="18630" spans="1:8" ht="25.05" customHeight="1" x14ac:dyDescent="0.25">
      <c r="A18630" s="2" t="s">
        <v>8</v>
      </c>
      <c r="B18630" s="2" t="str">
        <f>HYPERLINK("http://ts.21cn.com/tousu/show/id/1350524","集体投诉英孚教育退款难")</f>
        <v>集体投诉英孚教育退款难</v>
      </c>
      <c r="C18630" s="2" t="s">
        <v>9</v>
      </c>
      <c r="D18630" s="2" t="s">
        <v>10</v>
      </c>
      <c r="E18630" s="2" t="str">
        <f>HYPERLINK("http://ts.21cn.com/tousu/show/id/1350524","http://ts.21cn.com/tousu/show/id/1350524")</f>
        <v>http://ts.21cn.com/tousu/show/id/1350524</v>
      </c>
      <c r="F18630" s="2" t="s">
        <v>11</v>
      </c>
      <c r="G18630" s="2" t="s">
        <v>7544</v>
      </c>
      <c r="H18630" s="2" t="s">
        <v>7545</v>
      </c>
    </row>
    <row r="18631" spans="1:8" ht="25.05" customHeight="1" x14ac:dyDescent="0.25">
      <c r="A18631" s="2" t="s">
        <v>8</v>
      </c>
      <c r="B18631" s="2" t="str">
        <f>HYPERLINK("http://ts.21cn.com/tousu/show/id/1350527","恐吓威胁")</f>
        <v>恐吓威胁</v>
      </c>
      <c r="C18631" s="2" t="s">
        <v>9</v>
      </c>
      <c r="D18631" s="2" t="s">
        <v>10</v>
      </c>
      <c r="E18631" s="2" t="str">
        <f>HYPERLINK("http://ts.21cn.com/tousu/show/id/1350527","http://ts.21cn.com/tousu/show/id/1350527")</f>
        <v>http://ts.21cn.com/tousu/show/id/1350527</v>
      </c>
      <c r="F18631" s="2" t="s">
        <v>11</v>
      </c>
      <c r="G18631" s="2" t="s">
        <v>7542</v>
      </c>
      <c r="H18631" s="2" t="s">
        <v>7543</v>
      </c>
    </row>
    <row r="18632" spans="1:8" ht="25.05" customHeight="1" x14ac:dyDescent="0.25">
      <c r="A18632" s="2" t="s">
        <v>8</v>
      </c>
      <c r="B18632" s="2" t="str">
        <f>HYPERLINK("http://ts.21cn.com/tousu/show/id/1350528","高利贷")</f>
        <v>高利贷</v>
      </c>
      <c r="C18632" s="2" t="s">
        <v>9</v>
      </c>
      <c r="D18632" s="2" t="s">
        <v>10</v>
      </c>
      <c r="E18632" s="2" t="str">
        <f>HYPERLINK("http://ts.21cn.com/tousu/show/id/1350528","http://ts.21cn.com/tousu/show/id/1350528")</f>
        <v>http://ts.21cn.com/tousu/show/id/1350528</v>
      </c>
      <c r="F18632" s="2" t="s">
        <v>11</v>
      </c>
      <c r="G18632" s="2" t="s">
        <v>7539</v>
      </c>
      <c r="H18632" s="2" t="s">
        <v>7540</v>
      </c>
    </row>
    <row r="18633" spans="1:8" ht="25.05" customHeight="1" x14ac:dyDescent="0.25">
      <c r="A18633" s="2" t="s">
        <v>8</v>
      </c>
      <c r="B18633" s="2" t="str">
        <f>HYPERLINK("http://ts.21cn.com/tousu/show/id/1350525","投诉中邮消费金融男催收工作人员拒绝协商，恶意诱导债务人")</f>
        <v>投诉中邮消费金融男催收工作人员拒绝协商，恶意诱导债务人</v>
      </c>
      <c r="C18633" s="2" t="s">
        <v>9</v>
      </c>
      <c r="D18633" s="2" t="s">
        <v>10</v>
      </c>
      <c r="E18633" s="2" t="str">
        <f>HYPERLINK("http://ts.21cn.com/tousu/show/id/1350525","http://ts.21cn.com/tousu/show/id/1350525")</f>
        <v>http://ts.21cn.com/tousu/show/id/1350525</v>
      </c>
      <c r="F18633" s="2" t="s">
        <v>11</v>
      </c>
      <c r="G18633" s="2" t="s">
        <v>7539</v>
      </c>
      <c r="H18633" s="2" t="s">
        <v>7541</v>
      </c>
    </row>
    <row r="18634" spans="1:8" ht="25.05" customHeight="1" x14ac:dyDescent="0.25">
      <c r="A18634" s="2" t="s">
        <v>8</v>
      </c>
      <c r="B18634" s="2" t="str">
        <f>HYPERLINK("http://ts.21cn.com/tousu/show/id/1350529","平安普惠坑人，借款一万多为什么还了快三年了还在还款中")</f>
        <v>平安普惠坑人，借款一万多为什么还了快三年了还在还款中</v>
      </c>
      <c r="C18634" s="2" t="s">
        <v>9</v>
      </c>
      <c r="D18634" s="2" t="s">
        <v>10</v>
      </c>
      <c r="E18634" s="2" t="str">
        <f>HYPERLINK("http://ts.21cn.com/tousu/show/id/1350529","http://ts.21cn.com/tousu/show/id/1350529")</f>
        <v>http://ts.21cn.com/tousu/show/id/1350529</v>
      </c>
      <c r="F18634" s="2" t="s">
        <v>11</v>
      </c>
      <c r="G18634" s="2" t="s">
        <v>7537</v>
      </c>
      <c r="H18634" s="2" t="s">
        <v>7538</v>
      </c>
    </row>
    <row r="18635" spans="1:8" ht="25.05" customHeight="1" x14ac:dyDescent="0.25">
      <c r="A18635" s="2" t="s">
        <v>8</v>
      </c>
      <c r="B18635" s="2" t="str">
        <f>HYPERLINK("http://ts.21cn.com/tousu/show/id/1350531","卡卡贷：恶意催收且骚扰同事朋友")</f>
        <v>卡卡贷：恶意催收且骚扰同事朋友</v>
      </c>
      <c r="C18635" s="2" t="s">
        <v>9</v>
      </c>
      <c r="D18635" s="2" t="s">
        <v>10</v>
      </c>
      <c r="E18635" s="2" t="str">
        <f>HYPERLINK("http://ts.21cn.com/tousu/show/id/1350531","http://ts.21cn.com/tousu/show/id/1350531")</f>
        <v>http://ts.21cn.com/tousu/show/id/1350531</v>
      </c>
      <c r="F18635" s="2" t="s">
        <v>11</v>
      </c>
      <c r="G18635" s="2" t="s">
        <v>7535</v>
      </c>
      <c r="H18635" s="2" t="s">
        <v>7536</v>
      </c>
    </row>
    <row r="18636" spans="1:8" ht="25.05" customHeight="1" x14ac:dyDescent="0.25">
      <c r="A18636" s="2" t="s">
        <v>8</v>
      </c>
      <c r="B18636" s="2" t="str">
        <f>HYPERLINK("http://ts.21cn.com/tousu/show/id/1350530","天天打骚扰电话")</f>
        <v>天天打骚扰电话</v>
      </c>
      <c r="C18636" s="2" t="s">
        <v>9</v>
      </c>
      <c r="D18636" s="2" t="s">
        <v>10</v>
      </c>
      <c r="E18636" s="2" t="str">
        <f>HYPERLINK("http://ts.21cn.com/tousu/show/id/1350530","http://ts.21cn.com/tousu/show/id/1350530")</f>
        <v>http://ts.21cn.com/tousu/show/id/1350530</v>
      </c>
      <c r="F18636" s="2" t="s">
        <v>11</v>
      </c>
      <c r="G18636" s="2" t="s">
        <v>7533</v>
      </c>
      <c r="H18636" s="2" t="s">
        <v>7534</v>
      </c>
    </row>
    <row r="18637" spans="1:8" ht="25.05" customHeight="1" x14ac:dyDescent="0.25">
      <c r="A18637" s="2" t="s">
        <v>8</v>
      </c>
      <c r="B18637" s="2" t="str">
        <f>HYPERLINK("http://ts.21cn.com/tousu/show/id/1350532","关于斗鱼直播主播申请退工会事宜")</f>
        <v>关于斗鱼直播主播申请退工会事宜</v>
      </c>
      <c r="C18637" s="2" t="s">
        <v>9</v>
      </c>
      <c r="D18637" s="2" t="s">
        <v>10</v>
      </c>
      <c r="E18637" s="2" t="str">
        <f>HYPERLINK("http://ts.21cn.com/tousu/show/id/1350532","http://ts.21cn.com/tousu/show/id/1350532")</f>
        <v>http://ts.21cn.com/tousu/show/id/1350532</v>
      </c>
      <c r="F18637" s="2" t="s">
        <v>11</v>
      </c>
      <c r="G18637" s="2" t="s">
        <v>7531</v>
      </c>
      <c r="H18637" s="2" t="s">
        <v>7532</v>
      </c>
    </row>
    <row r="18638" spans="1:8" ht="25.05" customHeight="1" x14ac:dyDescent="0.25">
      <c r="A18638" s="2" t="s">
        <v>8</v>
      </c>
      <c r="B18638" s="2" t="str">
        <f>HYPERLINK("http://ts.21cn.com/tousu/show/id/1350383","714高炮")</f>
        <v>714高炮</v>
      </c>
      <c r="C18638" s="2" t="s">
        <v>9</v>
      </c>
      <c r="D18638" s="2" t="s">
        <v>10</v>
      </c>
      <c r="E18638" s="2" t="str">
        <f>HYPERLINK("http://ts.21cn.com/tousu/show/id/1350383","http://ts.21cn.com/tousu/show/id/1350383")</f>
        <v>http://ts.21cn.com/tousu/show/id/1350383</v>
      </c>
      <c r="F18638" s="2" t="s">
        <v>11</v>
      </c>
      <c r="G18638" s="2" t="s">
        <v>7529</v>
      </c>
      <c r="H18638" s="2" t="s">
        <v>7530</v>
      </c>
    </row>
    <row r="18639" spans="1:8" ht="25.05" customHeight="1" x14ac:dyDescent="0.25">
      <c r="A18639" s="2" t="s">
        <v>8</v>
      </c>
      <c r="B18639" s="2" t="str">
        <f>HYPERLINK("http://ts.21cn.com/tousu/show/id/1350533","投诉王者荣耀游戏方恶意扣玩家信誉分不玩他游戏也扣分？")</f>
        <v>投诉王者荣耀游戏方恶意扣玩家信誉分不玩他游戏也扣分？</v>
      </c>
      <c r="C18639" s="2" t="s">
        <v>9</v>
      </c>
      <c r="D18639" s="2" t="s">
        <v>10</v>
      </c>
      <c r="E18639" s="2" t="str">
        <f>HYPERLINK("http://ts.21cn.com/tousu/show/id/1350533","http://ts.21cn.com/tousu/show/id/1350533")</f>
        <v>http://ts.21cn.com/tousu/show/id/1350533</v>
      </c>
      <c r="F18639" s="2" t="s">
        <v>11</v>
      </c>
      <c r="G18639" s="2" t="s">
        <v>7527</v>
      </c>
      <c r="H18639" s="2" t="s">
        <v>7528</v>
      </c>
    </row>
    <row r="18640" spans="1:8" ht="25.05" customHeight="1" x14ac:dyDescent="0.25">
      <c r="A18640" s="2" t="s">
        <v>8</v>
      </c>
      <c r="B18640" s="2" t="str">
        <f>HYPERLINK("http://ts.21cn.com/tousu/show/id/1350442","安逸花爆通讯录好友，威胁恐吓！")</f>
        <v>安逸花爆通讯录好友，威胁恐吓！</v>
      </c>
      <c r="C18640" s="2" t="s">
        <v>9</v>
      </c>
      <c r="D18640" s="2" t="s">
        <v>10</v>
      </c>
      <c r="E18640" s="2" t="str">
        <f>HYPERLINK("http://ts.21cn.com/tousu/show/id/1350442","http://ts.21cn.com/tousu/show/id/1350442")</f>
        <v>http://ts.21cn.com/tousu/show/id/1350442</v>
      </c>
      <c r="F18640" s="2" t="s">
        <v>11</v>
      </c>
      <c r="G18640" s="2" t="s">
        <v>7525</v>
      </c>
      <c r="H18640" s="2" t="s">
        <v>7526</v>
      </c>
    </row>
    <row r="18641" spans="1:8" ht="25.05" customHeight="1" x14ac:dyDescent="0.25">
      <c r="A18641" s="2" t="s">
        <v>8</v>
      </c>
      <c r="B18641" s="2" t="str">
        <f>HYPERLINK("http://ts.21cn.com/tousu/show/id/1350534","平安普惠贷款隐瞒隐藏并强制收取高额保险费管理费投诉事宜")</f>
        <v>平安普惠贷款隐瞒隐藏并强制收取高额保险费管理费投诉事宜</v>
      </c>
      <c r="C18641" s="2" t="s">
        <v>9</v>
      </c>
      <c r="D18641" s="2" t="s">
        <v>10</v>
      </c>
      <c r="E18641" s="2" t="str">
        <f>HYPERLINK("http://ts.21cn.com/tousu/show/id/1350534","http://ts.21cn.com/tousu/show/id/1350534")</f>
        <v>http://ts.21cn.com/tousu/show/id/1350534</v>
      </c>
      <c r="F18641" s="2" t="s">
        <v>11</v>
      </c>
      <c r="G18641" s="2" t="s">
        <v>7523</v>
      </c>
      <c r="H18641" s="2" t="s">
        <v>7524</v>
      </c>
    </row>
    <row r="18642" spans="1:8" ht="25.05" customHeight="1" x14ac:dyDescent="0.25">
      <c r="A18642" s="2" t="s">
        <v>8</v>
      </c>
      <c r="B18642" s="2" t="str">
        <f>HYPERLINK("http://ts.21cn.com/tousu/show/id/1350535","360委托外包公司暴力催收")</f>
        <v>360委托外包公司暴力催收</v>
      </c>
      <c r="C18642" s="2" t="s">
        <v>9</v>
      </c>
      <c r="D18642" s="2" t="s">
        <v>10</v>
      </c>
      <c r="E18642" s="2" t="str">
        <f>HYPERLINK("http://ts.21cn.com/tousu/show/id/1350535","http://ts.21cn.com/tousu/show/id/1350535")</f>
        <v>http://ts.21cn.com/tousu/show/id/1350535</v>
      </c>
      <c r="F18642" s="2" t="s">
        <v>11</v>
      </c>
      <c r="G18642" s="2" t="s">
        <v>7521</v>
      </c>
      <c r="H18642" s="2" t="s">
        <v>7522</v>
      </c>
    </row>
    <row r="18643" spans="1:8" ht="25.05" customHeight="1" x14ac:dyDescent="0.25">
      <c r="A18643" s="2" t="s">
        <v>8</v>
      </c>
      <c r="B18643" s="2" t="str">
        <f>HYPERLINK("http://ts.21cn.com/tousu/show/id/1350536","我没说不还，只是协商解决。结果你又去爆我通讯录？")</f>
        <v>我没说不还，只是协商解决。结果你又去爆我通讯录？</v>
      </c>
      <c r="C18643" s="2" t="s">
        <v>34</v>
      </c>
      <c r="D18643" s="2" t="s">
        <v>10</v>
      </c>
      <c r="E18643" s="2" t="str">
        <f>HYPERLINK("http://ts.21cn.com/tousu/show/id/1350536","http://ts.21cn.com/tousu/show/id/1350536")</f>
        <v>http://ts.21cn.com/tousu/show/id/1350536</v>
      </c>
      <c r="F18643" s="2" t="s">
        <v>11</v>
      </c>
      <c r="G18643" s="2" t="s">
        <v>7519</v>
      </c>
      <c r="H18643" s="2" t="s">
        <v>7520</v>
      </c>
    </row>
    <row r="18644" spans="1:8" ht="25.05" customHeight="1" x14ac:dyDescent="0.25">
      <c r="A18644" s="2" t="s">
        <v>8</v>
      </c>
      <c r="B18644" s="2" t="str">
        <f>HYPERLINK("http://ts.21cn.com/tousu/show/id/1350537","交易猫欺诈买家，被找回不理人！")</f>
        <v>交易猫欺诈买家，被找回不理人！</v>
      </c>
      <c r="C18644" s="2" t="s">
        <v>34</v>
      </c>
      <c r="D18644" s="2" t="s">
        <v>10</v>
      </c>
      <c r="E18644" s="2" t="str">
        <f>HYPERLINK("http://ts.21cn.com/tousu/show/id/1350537","http://ts.21cn.com/tousu/show/id/1350537")</f>
        <v>http://ts.21cn.com/tousu/show/id/1350537</v>
      </c>
      <c r="F18644" s="2" t="s">
        <v>11</v>
      </c>
      <c r="G18644" s="2" t="s">
        <v>7517</v>
      </c>
      <c r="H18644" s="2" t="s">
        <v>7518</v>
      </c>
    </row>
    <row r="18645" spans="1:8" ht="25.05" customHeight="1" x14ac:dyDescent="0.25">
      <c r="A18645" s="2" t="s">
        <v>8</v>
      </c>
      <c r="B18645" s="2" t="str">
        <f>HYPERLINK("http://ts.21cn.com/tousu/show/id/1350538","上海造艺科技聚福钱包涉嫌盗刷")</f>
        <v>上海造艺科技聚福钱包涉嫌盗刷</v>
      </c>
      <c r="C18645" s="2" t="s">
        <v>9</v>
      </c>
      <c r="D18645" s="2" t="s">
        <v>10</v>
      </c>
      <c r="E18645" s="2" t="str">
        <f>HYPERLINK("http://ts.21cn.com/tousu/show/id/1350538","http://ts.21cn.com/tousu/show/id/1350538")</f>
        <v>http://ts.21cn.com/tousu/show/id/1350538</v>
      </c>
      <c r="F18645" s="2" t="s">
        <v>11</v>
      </c>
      <c r="G18645" s="2" t="s">
        <v>7515</v>
      </c>
      <c r="H18645" s="2" t="s">
        <v>7516</v>
      </c>
    </row>
    <row r="18646" spans="1:8" ht="25.05" customHeight="1" x14ac:dyDescent="0.25">
      <c r="A18646" s="2" t="s">
        <v>8</v>
      </c>
      <c r="B18646" s="2" t="str">
        <f>HYPERLINK("http://ts.21cn.com/tousu/show/id/1350539","京东自营产品不发货，影响使用")</f>
        <v>京东自营产品不发货，影响使用</v>
      </c>
      <c r="C18646" s="2" t="s">
        <v>34</v>
      </c>
      <c r="D18646" s="2" t="s">
        <v>10</v>
      </c>
      <c r="E18646" s="2" t="str">
        <f>HYPERLINK("http://ts.21cn.com/tousu/show/id/1350539","http://ts.21cn.com/tousu/show/id/1350539")</f>
        <v>http://ts.21cn.com/tousu/show/id/1350539</v>
      </c>
      <c r="F18646" s="2" t="s">
        <v>11</v>
      </c>
      <c r="G18646" s="2" t="s">
        <v>7513</v>
      </c>
      <c r="H18646" s="2" t="s">
        <v>7514</v>
      </c>
    </row>
    <row r="18647" spans="1:8" ht="25.05" customHeight="1" x14ac:dyDescent="0.25">
      <c r="A18647" s="2" t="s">
        <v>8</v>
      </c>
      <c r="B18647" s="2" t="str">
        <f>HYPERLINK("http://ts.21cn.com/tousu/show/id/1350541","打电话恐吓辱骂")</f>
        <v>打电话恐吓辱骂</v>
      </c>
      <c r="C18647" s="2" t="s">
        <v>9</v>
      </c>
      <c r="D18647" s="2" t="s">
        <v>10</v>
      </c>
      <c r="E18647" s="2" t="str">
        <f>HYPERLINK("http://ts.21cn.com/tousu/show/id/1350541","http://ts.21cn.com/tousu/show/id/1350541")</f>
        <v>http://ts.21cn.com/tousu/show/id/1350541</v>
      </c>
      <c r="F18647" s="2" t="s">
        <v>11</v>
      </c>
      <c r="G18647" s="2" t="s">
        <v>7511</v>
      </c>
      <c r="H18647" s="2" t="s">
        <v>7512</v>
      </c>
    </row>
    <row r="18648" spans="1:8" ht="25.05" customHeight="1" x14ac:dyDescent="0.25">
      <c r="A18648" s="2" t="s">
        <v>8</v>
      </c>
      <c r="B18648" s="2" t="str">
        <f>HYPERLINK("http://ts.21cn.com/tousu/show/id/1350322","通过JD商城购买国通石油，使用半年后剩余1848元无法兑换")</f>
        <v>通过JD商城购买国通石油，使用半年后剩余1848元无法兑换</v>
      </c>
      <c r="C18648" s="2" t="s">
        <v>34</v>
      </c>
      <c r="D18648" s="2" t="s">
        <v>10</v>
      </c>
      <c r="E18648" s="2" t="str">
        <f>HYPERLINK("http://ts.21cn.com/tousu/show/id/1350322","http://ts.21cn.com/tousu/show/id/1350322")</f>
        <v>http://ts.21cn.com/tousu/show/id/1350322</v>
      </c>
      <c r="F18648" s="2" t="s">
        <v>11</v>
      </c>
      <c r="G18648" s="2" t="s">
        <v>7509</v>
      </c>
      <c r="H18648" s="2" t="s">
        <v>7510</v>
      </c>
    </row>
    <row r="18649" spans="1:8" ht="25.05" customHeight="1" x14ac:dyDescent="0.25">
      <c r="A18649" s="2" t="s">
        <v>8</v>
      </c>
      <c r="B18649" s="2" t="str">
        <f>HYPERLINK("http://ts.21cn.com/tousu/show/id/1350540","我来贷暴力催收")</f>
        <v>我来贷暴力催收</v>
      </c>
      <c r="C18649" s="2" t="s">
        <v>9</v>
      </c>
      <c r="D18649" s="2" t="s">
        <v>10</v>
      </c>
      <c r="E18649" s="2" t="str">
        <f>HYPERLINK("http://ts.21cn.com/tousu/show/id/1350540","http://ts.21cn.com/tousu/show/id/1350540")</f>
        <v>http://ts.21cn.com/tousu/show/id/1350540</v>
      </c>
      <c r="F18649" s="2" t="s">
        <v>11</v>
      </c>
      <c r="G18649" s="2" t="s">
        <v>7507</v>
      </c>
      <c r="H18649" s="2" t="s">
        <v>7508</v>
      </c>
    </row>
    <row r="18650" spans="1:8" ht="25.05" customHeight="1" x14ac:dyDescent="0.25">
      <c r="A18650" s="2" t="s">
        <v>8</v>
      </c>
      <c r="B18650" s="2" t="str">
        <f>HYPERLINK("http://ts.21cn.com/tousu/show/id/1350542","我的电话号码被人留在你我贷联系人，现在贷款逾期无法联系到人，就开始骚扰我，我根本不认识贷款人！")</f>
        <v>我的电话号码被人留在你我贷联系人，现在贷款逾期无法联系到人，就开始骚扰我，我根本不认识贷款人！</v>
      </c>
      <c r="C18650" s="2" t="s">
        <v>9</v>
      </c>
      <c r="D18650" s="2" t="s">
        <v>10</v>
      </c>
      <c r="E18650" s="2" t="str">
        <f>HYPERLINK("http://ts.21cn.com/tousu/show/id/1350542","http://ts.21cn.com/tousu/show/id/1350542")</f>
        <v>http://ts.21cn.com/tousu/show/id/1350542</v>
      </c>
      <c r="F18650" s="2" t="s">
        <v>11</v>
      </c>
      <c r="G18650" s="2" t="s">
        <v>7505</v>
      </c>
      <c r="H18650" s="2" t="s">
        <v>7506</v>
      </c>
    </row>
    <row r="18651" spans="1:8" ht="25.05" customHeight="1" x14ac:dyDescent="0.25">
      <c r="A18651" s="2" t="s">
        <v>8</v>
      </c>
      <c r="B18651" s="2" t="str">
        <f>HYPERLINK("http://ts.21cn.com/tousu/show/id/1350544","小伍钱包催收人员第一天就爆我通讯录不给我说话的机会")</f>
        <v>小伍钱包催收人员第一天就爆我通讯录不给我说话的机会</v>
      </c>
      <c r="C18651" s="2" t="s">
        <v>34</v>
      </c>
      <c r="D18651" s="2" t="s">
        <v>10</v>
      </c>
      <c r="E18651" s="2" t="str">
        <f>HYPERLINK("http://ts.21cn.com/tousu/show/id/1350544","http://ts.21cn.com/tousu/show/id/1350544")</f>
        <v>http://ts.21cn.com/tousu/show/id/1350544</v>
      </c>
      <c r="F18651" s="2" t="s">
        <v>11</v>
      </c>
      <c r="G18651" s="2" t="s">
        <v>7503</v>
      </c>
      <c r="H18651" s="2" t="s">
        <v>7504</v>
      </c>
    </row>
    <row r="18652" spans="1:8" ht="25.05" customHeight="1" x14ac:dyDescent="0.25">
      <c r="A18652" s="2" t="s">
        <v>8</v>
      </c>
      <c r="B18652" s="2" t="str">
        <f>HYPERLINK("http://ts.21cn.com/tousu/show/id/1350543","现金巴士利息高，不同意协商还款")</f>
        <v>现金巴士利息高，不同意协商还款</v>
      </c>
      <c r="C18652" s="2" t="s">
        <v>34</v>
      </c>
      <c r="D18652" s="2" t="s">
        <v>10</v>
      </c>
      <c r="E18652" s="2" t="str">
        <f>HYPERLINK("http://ts.21cn.com/tousu/show/id/1350543","http://ts.21cn.com/tousu/show/id/1350543")</f>
        <v>http://ts.21cn.com/tousu/show/id/1350543</v>
      </c>
      <c r="F18652" s="2" t="s">
        <v>11</v>
      </c>
      <c r="G18652" s="2" t="s">
        <v>7501</v>
      </c>
      <c r="H18652" s="2" t="s">
        <v>7502</v>
      </c>
    </row>
    <row r="18653" spans="1:8" ht="25.05" customHeight="1" x14ac:dyDescent="0.25">
      <c r="A18653" s="2" t="s">
        <v>8</v>
      </c>
      <c r="B18653" s="2" t="str">
        <f>HYPERLINK("http://ts.21cn.com/tousu/show/id/1350545","借钱包高额砍头息")</f>
        <v>借钱包高额砍头息</v>
      </c>
      <c r="C18653" s="2" t="s">
        <v>9</v>
      </c>
      <c r="D18653" s="2" t="s">
        <v>10</v>
      </c>
      <c r="E18653" s="2" t="str">
        <f>HYPERLINK("http://ts.21cn.com/tousu/show/id/1350545","http://ts.21cn.com/tousu/show/id/1350545")</f>
        <v>http://ts.21cn.com/tousu/show/id/1350545</v>
      </c>
      <c r="F18653" s="2" t="s">
        <v>11</v>
      </c>
      <c r="G18653" s="2" t="s">
        <v>7499</v>
      </c>
      <c r="H18653" s="2" t="s">
        <v>7500</v>
      </c>
    </row>
    <row r="18654" spans="1:8" ht="25.05" customHeight="1" x14ac:dyDescent="0.25">
      <c r="A18654" s="2" t="s">
        <v>8</v>
      </c>
      <c r="B18654" s="2" t="str">
        <f>HYPERLINK("http://ts.21cn.com/tousu/show/id/1350546","中腾信结清金额不合理")</f>
        <v>中腾信结清金额不合理</v>
      </c>
      <c r="C18654" s="2" t="s">
        <v>34</v>
      </c>
      <c r="D18654" s="2" t="s">
        <v>10</v>
      </c>
      <c r="E18654" s="2" t="str">
        <f>HYPERLINK("http://ts.21cn.com/tousu/show/id/1350546","http://ts.21cn.com/tousu/show/id/1350546")</f>
        <v>http://ts.21cn.com/tousu/show/id/1350546</v>
      </c>
      <c r="F18654" s="2" t="s">
        <v>11</v>
      </c>
      <c r="G18654" s="2" t="s">
        <v>7497</v>
      </c>
      <c r="H18654" s="2" t="s">
        <v>7498</v>
      </c>
    </row>
    <row r="18655" spans="1:8" ht="25.05" customHeight="1" x14ac:dyDescent="0.25">
      <c r="A18655" s="2" t="s">
        <v>8</v>
      </c>
      <c r="B18655" s="2" t="str">
        <f>HYPERLINK("http://ts.21cn.com/tousu/show/id/1350547","资金冻结不给")</f>
        <v>资金冻结不给</v>
      </c>
      <c r="C18655" s="2" t="s">
        <v>34</v>
      </c>
      <c r="D18655" s="2" t="s">
        <v>10</v>
      </c>
      <c r="E18655" s="2" t="str">
        <f>HYPERLINK("http://ts.21cn.com/tousu/show/id/1350547","http://ts.21cn.com/tousu/show/id/1350547")</f>
        <v>http://ts.21cn.com/tousu/show/id/1350547</v>
      </c>
      <c r="F18655" s="2" t="s">
        <v>11</v>
      </c>
      <c r="G18655" s="2" t="s">
        <v>7494</v>
      </c>
      <c r="H18655" s="2" t="s">
        <v>7495</v>
      </c>
    </row>
    <row r="18656" spans="1:8" ht="25.05" customHeight="1" x14ac:dyDescent="0.25">
      <c r="A18656" s="2" t="s">
        <v>8</v>
      </c>
      <c r="B18656" s="2" t="str">
        <f>HYPERLINK("http://ts.21cn.com/tousu/show/id/1350548","投诉融360平台")</f>
        <v>投诉融360平台</v>
      </c>
      <c r="C18656" s="2" t="s">
        <v>9</v>
      </c>
      <c r="D18656" s="2" t="s">
        <v>10</v>
      </c>
      <c r="E18656" s="2" t="str">
        <f>HYPERLINK("http://ts.21cn.com/tousu/show/id/1350548","http://ts.21cn.com/tousu/show/id/1350548")</f>
        <v>http://ts.21cn.com/tousu/show/id/1350548</v>
      </c>
      <c r="F18656" s="2" t="s">
        <v>11</v>
      </c>
      <c r="G18656" s="2" t="s">
        <v>7494</v>
      </c>
      <c r="H18656" s="2" t="s">
        <v>7496</v>
      </c>
    </row>
    <row r="18657" spans="1:8" ht="25.05" customHeight="1" x14ac:dyDescent="0.25">
      <c r="A18657" s="2" t="s">
        <v>8</v>
      </c>
      <c r="B18657" s="2" t="str">
        <f>HYPERLINK("http://ts.21cn.com/tousu/show/id/1350549","中国人民财产保险股份有限公司")</f>
        <v>中国人民财产保险股份有限公司</v>
      </c>
      <c r="C18657" s="2" t="s">
        <v>9</v>
      </c>
      <c r="D18657" s="2" t="s">
        <v>10</v>
      </c>
      <c r="E18657" s="2" t="str">
        <f>HYPERLINK("http://ts.21cn.com/tousu/show/id/1350549","http://ts.21cn.com/tousu/show/id/1350549")</f>
        <v>http://ts.21cn.com/tousu/show/id/1350549</v>
      </c>
      <c r="F18657" s="2" t="s">
        <v>11</v>
      </c>
      <c r="G18657" s="2" t="s">
        <v>7492</v>
      </c>
      <c r="H18657" s="2" t="s">
        <v>7493</v>
      </c>
    </row>
    <row r="18658" spans="1:8" ht="25.05" customHeight="1" x14ac:dyDescent="0.25">
      <c r="A18658" s="2" t="s">
        <v>8</v>
      </c>
      <c r="B18658" s="2" t="str">
        <f>HYPERLINK("http://ts.21cn.com/tousu/show/id/1350550","闪银瞬瞬暴力催收")</f>
        <v>闪银瞬瞬暴力催收</v>
      </c>
      <c r="C18658" s="2" t="s">
        <v>9</v>
      </c>
      <c r="D18658" s="2" t="s">
        <v>10</v>
      </c>
      <c r="E18658" s="2" t="str">
        <f>HYPERLINK("http://ts.21cn.com/tousu/show/id/1350550","http://ts.21cn.com/tousu/show/id/1350550")</f>
        <v>http://ts.21cn.com/tousu/show/id/1350550</v>
      </c>
      <c r="F18658" s="2" t="s">
        <v>11</v>
      </c>
      <c r="G18658" s="2" t="s">
        <v>7490</v>
      </c>
      <c r="H18658" s="2" t="s">
        <v>7491</v>
      </c>
    </row>
    <row r="18659" spans="1:8" ht="25.05" customHeight="1" x14ac:dyDescent="0.25">
      <c r="A18659" s="2" t="s">
        <v>8</v>
      </c>
      <c r="B18659" s="2" t="str">
        <f>HYPERLINK("http://ts.21cn.com/tousu/show/id/1350551","交易猫买家恶意仲裁")</f>
        <v>交易猫买家恶意仲裁</v>
      </c>
      <c r="C18659" s="2" t="s">
        <v>9</v>
      </c>
      <c r="D18659" s="2" t="s">
        <v>10</v>
      </c>
      <c r="E18659" s="2" t="str">
        <f>HYPERLINK("http://ts.21cn.com/tousu/show/id/1350551","http://ts.21cn.com/tousu/show/id/1350551")</f>
        <v>http://ts.21cn.com/tousu/show/id/1350551</v>
      </c>
      <c r="F18659" s="2" t="s">
        <v>11</v>
      </c>
      <c r="G18659" s="2" t="s">
        <v>7488</v>
      </c>
      <c r="H18659" s="2" t="s">
        <v>7489</v>
      </c>
    </row>
    <row r="18660" spans="1:8" ht="25.05" customHeight="1" x14ac:dyDescent="0.25">
      <c r="A18660" s="2" t="s">
        <v>8</v>
      </c>
      <c r="B18660" s="2" t="str">
        <f>HYPERLINK("http://ts.21cn.com/tousu/show/id/1350552","每天都有几十个骚扰电话，还打电话发信息，加微信威胁，骚扰")</f>
        <v>每天都有几十个骚扰电话，还打电话发信息，加微信威胁，骚扰</v>
      </c>
      <c r="C18660" s="2" t="s">
        <v>9</v>
      </c>
      <c r="D18660" s="2" t="s">
        <v>10</v>
      </c>
      <c r="E18660" s="2" t="str">
        <f>HYPERLINK("http://ts.21cn.com/tousu/show/id/1350552","http://ts.21cn.com/tousu/show/id/1350552")</f>
        <v>http://ts.21cn.com/tousu/show/id/1350552</v>
      </c>
      <c r="F18660" s="2" t="s">
        <v>11</v>
      </c>
      <c r="G18660" s="2" t="s">
        <v>7486</v>
      </c>
      <c r="H18660" s="2" t="s">
        <v>7487</v>
      </c>
    </row>
    <row r="18661" spans="1:8" ht="25.05" customHeight="1" x14ac:dyDescent="0.25">
      <c r="A18661" s="2" t="s">
        <v>8</v>
      </c>
      <c r="B18661" s="2" t="str">
        <f>HYPERLINK("http://ts.21cn.com/tousu/show/id/1350519","在交易猫买了账号两天了，不发号不退款验号客服不理人，咨询客服态度敷衍翻来覆去就是叫我等")</f>
        <v>在交易猫买了账号两天了，不发号不退款验号客服不理人，咨询客服态度敷衍翻来覆去就是叫我等</v>
      </c>
      <c r="C18661" s="2" t="s">
        <v>9</v>
      </c>
      <c r="D18661" s="2" t="s">
        <v>10</v>
      </c>
      <c r="E18661" s="2" t="str">
        <f>HYPERLINK("http://ts.21cn.com/tousu/show/id/1350519","http://ts.21cn.com/tousu/show/id/1350519")</f>
        <v>http://ts.21cn.com/tousu/show/id/1350519</v>
      </c>
      <c r="F18661" s="2" t="s">
        <v>11</v>
      </c>
      <c r="G18661" s="2" t="s">
        <v>7484</v>
      </c>
      <c r="H18661" s="2" t="s">
        <v>7485</v>
      </c>
    </row>
    <row r="18662" spans="1:8" ht="25.05" customHeight="1" x14ac:dyDescent="0.25">
      <c r="A18662" s="2" t="s">
        <v>8</v>
      </c>
      <c r="B18662" s="2" t="str">
        <f>HYPERLINK("http://ts.21cn.com/tousu/show/id/1350553","腾讯公司冻结了我的小微商户还有里面的资金")</f>
        <v>腾讯公司冻结了我的小微商户还有里面的资金</v>
      </c>
      <c r="C18662" s="2" t="s">
        <v>9</v>
      </c>
      <c r="D18662" s="2" t="s">
        <v>10</v>
      </c>
      <c r="E18662" s="2" t="str">
        <f>HYPERLINK("http://ts.21cn.com/tousu/show/id/1350553","http://ts.21cn.com/tousu/show/id/1350553")</f>
        <v>http://ts.21cn.com/tousu/show/id/1350553</v>
      </c>
      <c r="F18662" s="2" t="s">
        <v>11</v>
      </c>
      <c r="G18662" s="2" t="s">
        <v>7482</v>
      </c>
      <c r="H18662" s="2" t="s">
        <v>7483</v>
      </c>
    </row>
    <row r="18663" spans="1:8" ht="25.05" customHeight="1" x14ac:dyDescent="0.25">
      <c r="A18663" s="2" t="s">
        <v>8</v>
      </c>
      <c r="B18663" s="2" t="str">
        <f>HYPERLINK("http://ts.21cn.com/tousu/show/id/1350555","砍头息暴力催收高利贷")</f>
        <v>砍头息暴力催收高利贷</v>
      </c>
      <c r="C18663" s="2" t="s">
        <v>9</v>
      </c>
      <c r="D18663" s="2" t="s">
        <v>10</v>
      </c>
      <c r="E18663" s="2" t="str">
        <f>HYPERLINK("http://ts.21cn.com/tousu/show/id/1350555","http://ts.21cn.com/tousu/show/id/1350555")</f>
        <v>http://ts.21cn.com/tousu/show/id/1350555</v>
      </c>
      <c r="F18663" s="2" t="s">
        <v>11</v>
      </c>
      <c r="G18663" s="2" t="s">
        <v>7480</v>
      </c>
      <c r="H18663" s="2" t="s">
        <v>7481</v>
      </c>
    </row>
    <row r="18664" spans="1:8" ht="25.05" customHeight="1" x14ac:dyDescent="0.25">
      <c r="A18664" s="2" t="s">
        <v>8</v>
      </c>
      <c r="B18664" s="2" t="str">
        <f>HYPERLINK("http://ts.21cn.com/tousu/show/id/1350554","西安小寨百弗英语六级班一节课没上不给退钱")</f>
        <v>西安小寨百弗英语六级班一节课没上不给退钱</v>
      </c>
      <c r="C18664" s="2" t="s">
        <v>9</v>
      </c>
      <c r="D18664" s="2" t="s">
        <v>10</v>
      </c>
      <c r="E18664" s="2" t="str">
        <f>HYPERLINK("http://ts.21cn.com/tousu/show/id/1350554","http://ts.21cn.com/tousu/show/id/1350554")</f>
        <v>http://ts.21cn.com/tousu/show/id/1350554</v>
      </c>
      <c r="F18664" s="2" t="s">
        <v>11</v>
      </c>
      <c r="G18664" s="2" t="s">
        <v>7478</v>
      </c>
      <c r="H18664" s="2" t="s">
        <v>7479</v>
      </c>
    </row>
    <row r="18665" spans="1:8" ht="25.05" customHeight="1" x14ac:dyDescent="0.25">
      <c r="A18665" s="2" t="s">
        <v>8</v>
      </c>
      <c r="B18665" s="2" t="str">
        <f>HYPERLINK("http://ts.21cn.com/tousu/show/id/1350558","拼多多未经买家同意强制退款，虚假优惠卷")</f>
        <v>拼多多未经买家同意强制退款，虚假优惠卷</v>
      </c>
      <c r="C18665" s="2" t="s">
        <v>9</v>
      </c>
      <c r="D18665" s="2" t="s">
        <v>10</v>
      </c>
      <c r="E18665" s="2" t="str">
        <f>HYPERLINK("http://ts.21cn.com/tousu/show/id/1350558","http://ts.21cn.com/tousu/show/id/1350558")</f>
        <v>http://ts.21cn.com/tousu/show/id/1350558</v>
      </c>
      <c r="F18665" s="2" t="s">
        <v>11</v>
      </c>
      <c r="G18665" s="2" t="s">
        <v>7476</v>
      </c>
      <c r="H18665" s="2" t="s">
        <v>7477</v>
      </c>
    </row>
    <row r="18666" spans="1:8" ht="25.05" customHeight="1" x14ac:dyDescent="0.25">
      <c r="A18666" s="2" t="s">
        <v>8</v>
      </c>
      <c r="B18666" s="2" t="str">
        <f>HYPERLINK("http://ts.21cn.com/tousu/show/id/1350556","通联支付扣我钱")</f>
        <v>通联支付扣我钱</v>
      </c>
      <c r="C18666" s="2" t="s">
        <v>9</v>
      </c>
      <c r="D18666" s="2" t="s">
        <v>10</v>
      </c>
      <c r="E18666" s="2" t="str">
        <f>HYPERLINK("http://ts.21cn.com/tousu/show/id/1350556","http://ts.21cn.com/tousu/show/id/1350556")</f>
        <v>http://ts.21cn.com/tousu/show/id/1350556</v>
      </c>
      <c r="F18666" s="2" t="s">
        <v>11</v>
      </c>
      <c r="G18666" s="2" t="s">
        <v>7474</v>
      </c>
      <c r="H18666" s="2" t="s">
        <v>7475</v>
      </c>
    </row>
    <row r="18667" spans="1:8" ht="25.05" customHeight="1" x14ac:dyDescent="0.25">
      <c r="A18667" s="2" t="s">
        <v>8</v>
      </c>
      <c r="B18667" s="2" t="str">
        <f>HYPERLINK("http://ts.21cn.com/tousu/show/id/1350557","拍拍贷恶意截留款项")</f>
        <v>拍拍贷恶意截留款项</v>
      </c>
      <c r="C18667" s="2" t="s">
        <v>9</v>
      </c>
      <c r="D18667" s="2" t="s">
        <v>10</v>
      </c>
      <c r="E18667" s="2" t="str">
        <f>HYPERLINK("http://ts.21cn.com/tousu/show/id/1350557","http://ts.21cn.com/tousu/show/id/1350557")</f>
        <v>http://ts.21cn.com/tousu/show/id/1350557</v>
      </c>
      <c r="F18667" s="2" t="s">
        <v>11</v>
      </c>
      <c r="G18667" s="2" t="s">
        <v>7472</v>
      </c>
      <c r="H18667" s="2" t="s">
        <v>7473</v>
      </c>
    </row>
    <row r="18668" spans="1:8" ht="25.05" customHeight="1" x14ac:dyDescent="0.25">
      <c r="A18668" s="2" t="s">
        <v>8</v>
      </c>
      <c r="B18668" s="2" t="str">
        <f>HYPERLINK("http://ts.21cn.com/tousu/show/id/1350560","山高房金忽悠")</f>
        <v>山高房金忽悠</v>
      </c>
      <c r="C18668" s="2" t="s">
        <v>9</v>
      </c>
      <c r="D18668" s="2" t="s">
        <v>10</v>
      </c>
      <c r="E18668" s="2" t="str">
        <f>HYPERLINK("http://ts.21cn.com/tousu/show/id/1350560","http://ts.21cn.com/tousu/show/id/1350560")</f>
        <v>http://ts.21cn.com/tousu/show/id/1350560</v>
      </c>
      <c r="F18668" s="2" t="s">
        <v>11</v>
      </c>
      <c r="G18668" s="2" t="s">
        <v>7470</v>
      </c>
      <c r="H18668" s="2" t="s">
        <v>7471</v>
      </c>
    </row>
    <row r="18669" spans="1:8" ht="25.05" customHeight="1" x14ac:dyDescent="0.25">
      <c r="A18669" s="2" t="s">
        <v>8</v>
      </c>
      <c r="B18669" s="2" t="str">
        <f>HYPERLINK("http://ts.21cn.com/tousu/show/id/1350559","微信小微收款提现权限关闭")</f>
        <v>微信小微收款提现权限关闭</v>
      </c>
      <c r="C18669" s="2" t="s">
        <v>9</v>
      </c>
      <c r="D18669" s="2" t="s">
        <v>10</v>
      </c>
      <c r="E18669" s="2" t="str">
        <f>HYPERLINK("http://ts.21cn.com/tousu/show/id/1350559","http://ts.21cn.com/tousu/show/id/1350559")</f>
        <v>http://ts.21cn.com/tousu/show/id/1350559</v>
      </c>
      <c r="F18669" s="2" t="s">
        <v>11</v>
      </c>
      <c r="G18669" s="2" t="s">
        <v>7468</v>
      </c>
      <c r="H18669" s="2" t="s">
        <v>7469</v>
      </c>
    </row>
    <row r="18670" spans="1:8" ht="25.05" customHeight="1" x14ac:dyDescent="0.25">
      <c r="A18670" s="2" t="s">
        <v>8</v>
      </c>
      <c r="B18670" s="2" t="str">
        <f>HYPERLINK("http://ts.21cn.com/tousu/show/id/1350562","打车不给开发票")</f>
        <v>打车不给开发票</v>
      </c>
      <c r="C18670" s="2" t="s">
        <v>9</v>
      </c>
      <c r="D18670" s="2" t="s">
        <v>10</v>
      </c>
      <c r="E18670" s="2" t="str">
        <f>HYPERLINK("http://ts.21cn.com/tousu/show/id/1350562","http://ts.21cn.com/tousu/show/id/1350562")</f>
        <v>http://ts.21cn.com/tousu/show/id/1350562</v>
      </c>
      <c r="F18670" s="2" t="s">
        <v>11</v>
      </c>
      <c r="G18670" s="2" t="s">
        <v>7466</v>
      </c>
      <c r="H18670" s="2" t="s">
        <v>7467</v>
      </c>
    </row>
    <row r="18671" spans="1:8" ht="25.05" customHeight="1" x14ac:dyDescent="0.25">
      <c r="A18671" s="2" t="s">
        <v>8</v>
      </c>
      <c r="B18671" s="2" t="str">
        <f>HYPERLINK("http://ts.21cn.com/tousu/show/id/1350561","信用管家神马借套路贷，恶意强迫逾期，暴力催收。")</f>
        <v>信用管家神马借套路贷，恶意强迫逾期，暴力催收。</v>
      </c>
      <c r="C18671" s="2" t="s">
        <v>9</v>
      </c>
      <c r="D18671" s="2" t="s">
        <v>10</v>
      </c>
      <c r="E18671" s="2" t="str">
        <f>HYPERLINK("http://ts.21cn.com/tousu/show/id/1350561","http://ts.21cn.com/tousu/show/id/1350561")</f>
        <v>http://ts.21cn.com/tousu/show/id/1350561</v>
      </c>
      <c r="F18671" s="2" t="s">
        <v>11</v>
      </c>
      <c r="G18671" s="2" t="s">
        <v>7464</v>
      </c>
      <c r="H18671" s="2" t="s">
        <v>7465</v>
      </c>
    </row>
    <row r="18672" spans="1:8" ht="25.05" customHeight="1" x14ac:dyDescent="0.25">
      <c r="A18672" s="2" t="s">
        <v>8</v>
      </c>
      <c r="B18672" s="2" t="str">
        <f>HYPERLINK("http://ts.21cn.com/tousu/show/id/1350563","51人品网贷恶意催收")</f>
        <v>51人品网贷恶意催收</v>
      </c>
      <c r="C18672" s="2" t="s">
        <v>9</v>
      </c>
      <c r="D18672" s="2" t="s">
        <v>10</v>
      </c>
      <c r="E18672" s="2" t="str">
        <f>HYPERLINK("http://ts.21cn.com/tousu/show/id/1350563","http://ts.21cn.com/tousu/show/id/1350563")</f>
        <v>http://ts.21cn.com/tousu/show/id/1350563</v>
      </c>
      <c r="F18672" s="2" t="s">
        <v>11</v>
      </c>
      <c r="G18672" s="2" t="s">
        <v>7462</v>
      </c>
      <c r="H18672" s="2" t="s">
        <v>7463</v>
      </c>
    </row>
    <row r="18673" spans="1:8" ht="25.05" customHeight="1" x14ac:dyDescent="0.25">
      <c r="A18673" s="2" t="s">
        <v>8</v>
      </c>
      <c r="B18673" s="2" t="str">
        <f>HYPERLINK("http://ts.21cn.com/tousu/show/id/1350564","骚扰")</f>
        <v>骚扰</v>
      </c>
      <c r="C18673" s="2" t="s">
        <v>9</v>
      </c>
      <c r="D18673" s="2" t="s">
        <v>10</v>
      </c>
      <c r="E18673" s="2" t="str">
        <f>HYPERLINK("http://ts.21cn.com/tousu/show/id/1350564","http://ts.21cn.com/tousu/show/id/1350564")</f>
        <v>http://ts.21cn.com/tousu/show/id/1350564</v>
      </c>
      <c r="F18673" s="2" t="s">
        <v>11</v>
      </c>
      <c r="G18673" s="2" t="s">
        <v>7460</v>
      </c>
      <c r="H18673" s="2" t="s">
        <v>7461</v>
      </c>
    </row>
    <row r="18674" spans="1:8" ht="25.05" customHeight="1" x14ac:dyDescent="0.25">
      <c r="A18674" s="2" t="s">
        <v>8</v>
      </c>
      <c r="B18674" s="2" t="str">
        <f>HYPERLINK("http://ts.21cn.com/tousu/show/id/1350565","（特约）小富商城无缘无故扣我农业银行的500元")</f>
        <v>（特约）小富商城无缘无故扣我农业银行的500元</v>
      </c>
      <c r="C18674" s="2" t="s">
        <v>9</v>
      </c>
      <c r="D18674" s="2" t="s">
        <v>10</v>
      </c>
      <c r="E18674" s="2" t="str">
        <f>HYPERLINK("http://ts.21cn.com/tousu/show/id/1350565","http://ts.21cn.com/tousu/show/id/1350565")</f>
        <v>http://ts.21cn.com/tousu/show/id/1350565</v>
      </c>
      <c r="F18674" s="2" t="s">
        <v>11</v>
      </c>
      <c r="G18674" s="2" t="s">
        <v>7458</v>
      </c>
      <c r="H18674" s="2" t="s">
        <v>7459</v>
      </c>
    </row>
    <row r="18675" spans="1:8" ht="25.05" customHeight="1" x14ac:dyDescent="0.25">
      <c r="A18675" s="2" t="s">
        <v>8</v>
      </c>
      <c r="B18675" s="2" t="str">
        <f>HYPERLINK("http://ts.21cn.com/tousu/show/id/1350566","小赢轰炸式骚扰通讯录亲戚朋友")</f>
        <v>小赢轰炸式骚扰通讯录亲戚朋友</v>
      </c>
      <c r="C18675" s="2" t="s">
        <v>9</v>
      </c>
      <c r="D18675" s="2" t="s">
        <v>10</v>
      </c>
      <c r="E18675" s="2" t="str">
        <f>HYPERLINK("http://ts.21cn.com/tousu/show/id/1350566","http://ts.21cn.com/tousu/show/id/1350566")</f>
        <v>http://ts.21cn.com/tousu/show/id/1350566</v>
      </c>
      <c r="F18675" s="2" t="s">
        <v>11</v>
      </c>
      <c r="G18675" s="2" t="s">
        <v>7456</v>
      </c>
      <c r="H18675" s="2" t="s">
        <v>7457</v>
      </c>
    </row>
    <row r="18676" spans="1:8" ht="25.05" customHeight="1" x14ac:dyDescent="0.25">
      <c r="A18676" s="2" t="s">
        <v>8</v>
      </c>
      <c r="B18676" s="2" t="str">
        <f>HYPERLINK("http://ts.21cn.com/tousu/show/id/1350568","无故划扣款项")</f>
        <v>无故划扣款项</v>
      </c>
      <c r="C18676" s="2" t="s">
        <v>34</v>
      </c>
      <c r="D18676" s="2" t="s">
        <v>10</v>
      </c>
      <c r="E18676" s="2" t="str">
        <f>HYPERLINK("http://ts.21cn.com/tousu/show/id/1350568","http://ts.21cn.com/tousu/show/id/1350568")</f>
        <v>http://ts.21cn.com/tousu/show/id/1350568</v>
      </c>
      <c r="F18676" s="2" t="s">
        <v>11</v>
      </c>
      <c r="G18676" s="2" t="s">
        <v>7454</v>
      </c>
      <c r="H18676" s="2" t="s">
        <v>7455</v>
      </c>
    </row>
    <row r="18677" spans="1:8" ht="25.05" customHeight="1" x14ac:dyDescent="0.25">
      <c r="A18677" s="2" t="s">
        <v>8</v>
      </c>
      <c r="B18677" s="2" t="str">
        <f>HYPERLINK("http://ts.21cn.com/tousu/show/id/1350569","360借条逾期不经本人允许暴力催收")</f>
        <v>360借条逾期不经本人允许暴力催收</v>
      </c>
      <c r="C18677" s="2" t="s">
        <v>9</v>
      </c>
      <c r="D18677" s="2" t="s">
        <v>10</v>
      </c>
      <c r="E18677" s="2" t="str">
        <f>HYPERLINK("http://ts.21cn.com/tousu/show/id/1350569","http://ts.21cn.com/tousu/show/id/1350569")</f>
        <v>http://ts.21cn.com/tousu/show/id/1350569</v>
      </c>
      <c r="F18677" s="2" t="s">
        <v>11</v>
      </c>
      <c r="G18677" s="2" t="s">
        <v>7452</v>
      </c>
      <c r="H18677" s="2" t="s">
        <v>7453</v>
      </c>
    </row>
    <row r="18678" spans="1:8" ht="25.05" customHeight="1" x14ac:dyDescent="0.25">
      <c r="A18678" s="2" t="s">
        <v>8</v>
      </c>
      <c r="B18678" s="2" t="str">
        <f>HYPERLINK("http://ts.21cn.com/tousu/show/id/1350570","万达普惠暴力催收")</f>
        <v>万达普惠暴力催收</v>
      </c>
      <c r="C18678" s="2" t="s">
        <v>9</v>
      </c>
      <c r="D18678" s="2" t="s">
        <v>10</v>
      </c>
      <c r="E18678" s="2" t="str">
        <f>HYPERLINK("http://ts.21cn.com/tousu/show/id/1350570","http://ts.21cn.com/tousu/show/id/1350570")</f>
        <v>http://ts.21cn.com/tousu/show/id/1350570</v>
      </c>
      <c r="F18678" s="2" t="s">
        <v>11</v>
      </c>
      <c r="G18678" s="2" t="s">
        <v>7450</v>
      </c>
      <c r="H18678" s="2" t="s">
        <v>7451</v>
      </c>
    </row>
    <row r="18679" spans="1:8" ht="25.05" customHeight="1" x14ac:dyDescent="0.25">
      <c r="A18679" s="2" t="s">
        <v>8</v>
      </c>
      <c r="B18679" s="2" t="str">
        <f>HYPERLINK("http://ts.21cn.com/tousu/show/id/1350571","恒易贷不能提前还款，且沟通无效")</f>
        <v>恒易贷不能提前还款，且沟通无效</v>
      </c>
      <c r="C18679" s="2" t="s">
        <v>9</v>
      </c>
      <c r="D18679" s="2" t="s">
        <v>10</v>
      </c>
      <c r="E18679" s="2" t="str">
        <f>HYPERLINK("http://ts.21cn.com/tousu/show/id/1350571","http://ts.21cn.com/tousu/show/id/1350571")</f>
        <v>http://ts.21cn.com/tousu/show/id/1350571</v>
      </c>
      <c r="F18679" s="2" t="s">
        <v>11</v>
      </c>
      <c r="G18679" s="2" t="s">
        <v>7448</v>
      </c>
      <c r="H18679" s="2" t="s">
        <v>7449</v>
      </c>
    </row>
    <row r="18680" spans="1:8" ht="25.05" customHeight="1" x14ac:dyDescent="0.25">
      <c r="A18680" s="2" t="s">
        <v>8</v>
      </c>
      <c r="B18680" s="2" t="str">
        <f>HYPERLINK("http://ts.21cn.com/tousu/show/id/1350572","支付宝为高利贷公司米米罐提供支付通道")</f>
        <v>支付宝为高利贷公司米米罐提供支付通道</v>
      </c>
      <c r="C18680" s="2" t="s">
        <v>9</v>
      </c>
      <c r="D18680" s="2" t="s">
        <v>10</v>
      </c>
      <c r="E18680" s="2" t="str">
        <f>HYPERLINK("http://ts.21cn.com/tousu/show/id/1350572","http://ts.21cn.com/tousu/show/id/1350572")</f>
        <v>http://ts.21cn.com/tousu/show/id/1350572</v>
      </c>
      <c r="F18680" s="2" t="s">
        <v>11</v>
      </c>
      <c r="G18680" s="2" t="s">
        <v>7446</v>
      </c>
      <c r="H18680" s="2" t="s">
        <v>7447</v>
      </c>
    </row>
    <row r="18681" spans="1:8" ht="25.05" customHeight="1" x14ac:dyDescent="0.25">
      <c r="A18681" s="2" t="s">
        <v>8</v>
      </c>
      <c r="B18681" s="2" t="str">
        <f>HYPERLINK("http://ts.21cn.com/tousu/show/id/1350573","找靓机取消订单，涉嫌虚假交易")</f>
        <v>找靓机取消订单，涉嫌虚假交易</v>
      </c>
      <c r="C18681" s="2" t="s">
        <v>9</v>
      </c>
      <c r="D18681" s="2" t="s">
        <v>10</v>
      </c>
      <c r="E18681" s="2" t="str">
        <f>HYPERLINK("http://ts.21cn.com/tousu/show/id/1350573","http://ts.21cn.com/tousu/show/id/1350573")</f>
        <v>http://ts.21cn.com/tousu/show/id/1350573</v>
      </c>
      <c r="F18681" s="2" t="s">
        <v>11</v>
      </c>
      <c r="G18681" s="2" t="s">
        <v>7444</v>
      </c>
      <c r="H18681" s="2" t="s">
        <v>7445</v>
      </c>
    </row>
    <row r="18682" spans="1:8" ht="25.05" customHeight="1" x14ac:dyDescent="0.25">
      <c r="A18682" s="2" t="s">
        <v>8</v>
      </c>
      <c r="B18682" s="2" t="str">
        <f>HYPERLINK("http://ts.21cn.com/tousu/show/id/1350574","光大银行卡扣款")</f>
        <v>光大银行卡扣款</v>
      </c>
      <c r="C18682" s="2" t="s">
        <v>9</v>
      </c>
      <c r="D18682" s="2" t="s">
        <v>10</v>
      </c>
      <c r="E18682" s="2" t="str">
        <f>HYPERLINK("http://ts.21cn.com/tousu/show/id/1350574","http://ts.21cn.com/tousu/show/id/1350574")</f>
        <v>http://ts.21cn.com/tousu/show/id/1350574</v>
      </c>
      <c r="F18682" s="2" t="s">
        <v>11</v>
      </c>
      <c r="G18682" s="2" t="s">
        <v>7442</v>
      </c>
      <c r="H18682" s="2" t="s">
        <v>7443</v>
      </c>
    </row>
    <row r="18683" spans="1:8" ht="25.05" customHeight="1" x14ac:dyDescent="0.25">
      <c r="A18683" s="2" t="s">
        <v>8</v>
      </c>
      <c r="B18683" s="2" t="str">
        <f>HYPERLINK("http://ts.21cn.com/tousu/show/id/1350578","闪电借款暴力催收")</f>
        <v>闪电借款暴力催收</v>
      </c>
      <c r="C18683" s="2" t="s">
        <v>9</v>
      </c>
      <c r="D18683" s="2" t="s">
        <v>10</v>
      </c>
      <c r="E18683" s="2" t="str">
        <f>HYPERLINK("http://ts.21cn.com/tousu/show/id/1350578","http://ts.21cn.com/tousu/show/id/1350578")</f>
        <v>http://ts.21cn.com/tousu/show/id/1350578</v>
      </c>
      <c r="F18683" s="2" t="s">
        <v>11</v>
      </c>
      <c r="G18683" s="2" t="s">
        <v>7440</v>
      </c>
      <c r="H18683" s="2" t="s">
        <v>7441</v>
      </c>
    </row>
    <row r="18684" spans="1:8" ht="25.05" customHeight="1" x14ac:dyDescent="0.25">
      <c r="A18684" s="2" t="s">
        <v>8</v>
      </c>
      <c r="B18684" s="2" t="str">
        <f>HYPERLINK("http://ts.21cn.com/tousu/show/id/1350579","平安银行催收")</f>
        <v>平安银行催收</v>
      </c>
      <c r="C18684" s="2" t="s">
        <v>9</v>
      </c>
      <c r="D18684" s="2" t="s">
        <v>10</v>
      </c>
      <c r="E18684" s="2" t="str">
        <f>HYPERLINK("http://ts.21cn.com/tousu/show/id/1350579","http://ts.21cn.com/tousu/show/id/1350579")</f>
        <v>http://ts.21cn.com/tousu/show/id/1350579</v>
      </c>
      <c r="F18684" s="2" t="s">
        <v>11</v>
      </c>
      <c r="G18684" s="2" t="s">
        <v>7438</v>
      </c>
      <c r="H18684" s="2" t="s">
        <v>7439</v>
      </c>
    </row>
    <row r="18685" spans="1:8" ht="25.05" customHeight="1" x14ac:dyDescent="0.25">
      <c r="A18685" s="2" t="s">
        <v>8</v>
      </c>
      <c r="B18685" s="2" t="str">
        <f>HYPERLINK("http://ts.21cn.com/tousu/show/id/1350581","浪白条短信骚扰，高利贷垃圾短信广告")</f>
        <v>浪白条短信骚扰，高利贷垃圾短信广告</v>
      </c>
      <c r="C18685" s="2" t="s">
        <v>9</v>
      </c>
      <c r="D18685" s="2" t="s">
        <v>10</v>
      </c>
      <c r="E18685" s="2" t="str">
        <f>HYPERLINK("http://ts.21cn.com/tousu/show/id/1350581","http://ts.21cn.com/tousu/show/id/1350581")</f>
        <v>http://ts.21cn.com/tousu/show/id/1350581</v>
      </c>
      <c r="F18685" s="2" t="s">
        <v>11</v>
      </c>
      <c r="G18685" s="2" t="s">
        <v>7436</v>
      </c>
      <c r="H18685" s="2" t="s">
        <v>7437</v>
      </c>
    </row>
    <row r="18686" spans="1:8" ht="25.05" customHeight="1" x14ac:dyDescent="0.25">
      <c r="A18686" s="2" t="s">
        <v>8</v>
      </c>
      <c r="B18686" s="2" t="str">
        <f>HYPERLINK("http://ts.21cn.com/tousu/show/id/1350580","投诉水莲金条")</f>
        <v>投诉水莲金条</v>
      </c>
      <c r="C18686" s="2" t="s">
        <v>9</v>
      </c>
      <c r="D18686" s="2" t="s">
        <v>10</v>
      </c>
      <c r="E18686" s="2" t="str">
        <f>HYPERLINK("http://ts.21cn.com/tousu/show/id/1350580","http://ts.21cn.com/tousu/show/id/1350580")</f>
        <v>http://ts.21cn.com/tousu/show/id/1350580</v>
      </c>
      <c r="F18686" s="2" t="s">
        <v>11</v>
      </c>
      <c r="G18686" s="2" t="s">
        <v>7434</v>
      </c>
      <c r="H18686" s="2" t="s">
        <v>7435</v>
      </c>
    </row>
    <row r="18687" spans="1:8" ht="25.05" customHeight="1" x14ac:dyDescent="0.25">
      <c r="A18687" s="2" t="s">
        <v>8</v>
      </c>
      <c r="B18687" s="2" t="str">
        <f>HYPERLINK("http://ts.21cn.com/tousu/show/id/1350583","51人品贷虚假营销")</f>
        <v>51人品贷虚假营销</v>
      </c>
      <c r="C18687" s="2" t="s">
        <v>9</v>
      </c>
      <c r="D18687" s="2" t="s">
        <v>10</v>
      </c>
      <c r="E18687" s="2" t="str">
        <f>HYPERLINK("http://ts.21cn.com/tousu/show/id/1350583","http://ts.21cn.com/tousu/show/id/1350583")</f>
        <v>http://ts.21cn.com/tousu/show/id/1350583</v>
      </c>
      <c r="F18687" s="2" t="s">
        <v>11</v>
      </c>
      <c r="G18687" s="2" t="s">
        <v>7432</v>
      </c>
      <c r="H18687" s="2" t="s">
        <v>7433</v>
      </c>
    </row>
    <row r="18688" spans="1:8" ht="25.05" customHeight="1" x14ac:dyDescent="0.25">
      <c r="A18688" s="2" t="s">
        <v>8</v>
      </c>
      <c r="B18688" s="2" t="str">
        <f>HYPERLINK("http://ts.21cn.com/tousu/show/id/1350584","360借条委托第三方暴力催收")</f>
        <v>360借条委托第三方暴力催收</v>
      </c>
      <c r="C18688" s="2" t="s">
        <v>9</v>
      </c>
      <c r="D18688" s="2" t="s">
        <v>10</v>
      </c>
      <c r="E18688" s="2" t="str">
        <f>HYPERLINK("http://ts.21cn.com/tousu/show/id/1350584","http://ts.21cn.com/tousu/show/id/1350584")</f>
        <v>http://ts.21cn.com/tousu/show/id/1350584</v>
      </c>
      <c r="F18688" s="2" t="s">
        <v>11</v>
      </c>
      <c r="G18688" s="2" t="s">
        <v>7430</v>
      </c>
      <c r="H18688" s="2" t="s">
        <v>7431</v>
      </c>
    </row>
    <row r="18689" spans="1:8" ht="25.05" customHeight="1" x14ac:dyDescent="0.25">
      <c r="A18689" s="2" t="s">
        <v>8</v>
      </c>
      <c r="B18689" s="2" t="str">
        <f>HYPERLINK("http://ts.21cn.com/tousu/show/id/1350586","借了呗催收满嘴脏话")</f>
        <v>借了呗催收满嘴脏话</v>
      </c>
      <c r="C18689" s="2" t="s">
        <v>9</v>
      </c>
      <c r="D18689" s="2" t="s">
        <v>10</v>
      </c>
      <c r="E18689" s="2" t="str">
        <f>HYPERLINK("http://ts.21cn.com/tousu/show/id/1350586","http://ts.21cn.com/tousu/show/id/1350586")</f>
        <v>http://ts.21cn.com/tousu/show/id/1350586</v>
      </c>
      <c r="F18689" s="2" t="s">
        <v>11</v>
      </c>
      <c r="G18689" s="2" t="s">
        <v>7428</v>
      </c>
      <c r="H18689" s="2" t="s">
        <v>7429</v>
      </c>
    </row>
    <row r="18690" spans="1:8" ht="25.05" customHeight="1" x14ac:dyDescent="0.25">
      <c r="A18690" s="2" t="s">
        <v>8</v>
      </c>
      <c r="B18690" s="2" t="str">
        <f>HYPERLINK("http://ts.21cn.com/tousu/show/id/1350585","上海翰银为赌博输平台收单，请求瀚银为我退款挽回经济损失")</f>
        <v>上海翰银为赌博输平台收单，请求瀚银为我退款挽回经济损失</v>
      </c>
      <c r="C18690" s="2" t="s">
        <v>9</v>
      </c>
      <c r="D18690" s="2" t="s">
        <v>10</v>
      </c>
      <c r="E18690" s="2" t="str">
        <f>HYPERLINK("http://ts.21cn.com/tousu/show/id/1350585","http://ts.21cn.com/tousu/show/id/1350585")</f>
        <v>http://ts.21cn.com/tousu/show/id/1350585</v>
      </c>
      <c r="F18690" s="2" t="s">
        <v>11</v>
      </c>
      <c r="G18690" s="2" t="s">
        <v>7426</v>
      </c>
      <c r="H18690" s="2" t="s">
        <v>7427</v>
      </c>
    </row>
    <row r="18691" spans="1:8" ht="25.05" customHeight="1" x14ac:dyDescent="0.25">
      <c r="A18691" s="2" t="s">
        <v>8</v>
      </c>
      <c r="B18691" s="2" t="str">
        <f>HYPERLINK("http://ts.21cn.com/tousu/show/id/1350587","催收电话")</f>
        <v>催收电话</v>
      </c>
      <c r="C18691" s="2" t="s">
        <v>9</v>
      </c>
      <c r="D18691" s="2" t="s">
        <v>10</v>
      </c>
      <c r="E18691" s="2" t="str">
        <f>HYPERLINK("http://ts.21cn.com/tousu/show/id/1350587","http://ts.21cn.com/tousu/show/id/1350587")</f>
        <v>http://ts.21cn.com/tousu/show/id/1350587</v>
      </c>
      <c r="F18691" s="2" t="s">
        <v>11</v>
      </c>
      <c r="G18691" s="2" t="s">
        <v>7424</v>
      </c>
      <c r="H18691" s="2" t="s">
        <v>7425</v>
      </c>
    </row>
    <row r="18692" spans="1:8" ht="25.05" customHeight="1" x14ac:dyDescent="0.25">
      <c r="A18692" s="2" t="s">
        <v>8</v>
      </c>
      <c r="B18692" s="2" t="str">
        <f>HYPERLINK("http://ts.21cn.com/tousu/show/id/1350588","联动优势盗刷乱扣费")</f>
        <v>联动优势盗刷乱扣费</v>
      </c>
      <c r="C18692" s="2" t="s">
        <v>9</v>
      </c>
      <c r="D18692" s="2" t="s">
        <v>10</v>
      </c>
      <c r="E18692" s="2" t="str">
        <f>HYPERLINK("http://ts.21cn.com/tousu/show/id/1350588","http://ts.21cn.com/tousu/show/id/1350588")</f>
        <v>http://ts.21cn.com/tousu/show/id/1350588</v>
      </c>
      <c r="F18692" s="2" t="s">
        <v>11</v>
      </c>
      <c r="G18692" s="2" t="s">
        <v>7422</v>
      </c>
      <c r="H18692" s="2" t="s">
        <v>7423</v>
      </c>
    </row>
    <row r="18693" spans="1:8" ht="25.05" customHeight="1" x14ac:dyDescent="0.25">
      <c r="A18693" s="2" t="s">
        <v>8</v>
      </c>
      <c r="B18693" s="2" t="str">
        <f>HYPERLINK("http://ts.21cn.com/tousu/show/id/1350590","唯品会买的衣服，不到一个月竟然降价了")</f>
        <v>唯品会买的衣服，不到一个月竟然降价了</v>
      </c>
      <c r="C18693" s="2" t="s">
        <v>34</v>
      </c>
      <c r="D18693" s="2" t="s">
        <v>10</v>
      </c>
      <c r="E18693" s="2" t="str">
        <f>HYPERLINK("http://ts.21cn.com/tousu/show/id/1350590","http://ts.21cn.com/tousu/show/id/1350590")</f>
        <v>http://ts.21cn.com/tousu/show/id/1350590</v>
      </c>
      <c r="F18693" s="2" t="s">
        <v>11</v>
      </c>
      <c r="G18693" s="2" t="s">
        <v>7420</v>
      </c>
      <c r="H18693" s="2" t="s">
        <v>7421</v>
      </c>
    </row>
    <row r="18694" spans="1:8" ht="25.05" customHeight="1" x14ac:dyDescent="0.25">
      <c r="A18694" s="2" t="s">
        <v>8</v>
      </c>
      <c r="B18694" s="2" t="str">
        <f>HYPERLINK("http://ts.21cn.com/tousu/show/id/1350592","付临门POS业务员忽悠误导客户办理POS机")</f>
        <v>付临门POS业务员忽悠误导客户办理POS机</v>
      </c>
      <c r="C18694" s="2" t="s">
        <v>9</v>
      </c>
      <c r="D18694" s="2" t="s">
        <v>10</v>
      </c>
      <c r="E18694" s="2" t="str">
        <f>HYPERLINK("http://ts.21cn.com/tousu/show/id/1350592","http://ts.21cn.com/tousu/show/id/1350592")</f>
        <v>http://ts.21cn.com/tousu/show/id/1350592</v>
      </c>
      <c r="F18694" s="2" t="s">
        <v>11</v>
      </c>
      <c r="G18694" s="2" t="s">
        <v>7418</v>
      </c>
      <c r="H18694" s="2" t="s">
        <v>7419</v>
      </c>
    </row>
    <row r="18695" spans="1:8" ht="25.05" customHeight="1" x14ac:dyDescent="0.25">
      <c r="A18695" s="2" t="s">
        <v>8</v>
      </c>
      <c r="B18695" s="2" t="str">
        <f>HYPERLINK("http://ts.21cn.com/tousu/show/id/1350591","小浦优客未经同意扣款")</f>
        <v>小浦优客未经同意扣款</v>
      </c>
      <c r="C18695" s="2" t="s">
        <v>9</v>
      </c>
      <c r="D18695" s="2" t="s">
        <v>10</v>
      </c>
      <c r="E18695" s="2" t="str">
        <f>HYPERLINK("http://ts.21cn.com/tousu/show/id/1350591","http://ts.21cn.com/tousu/show/id/1350591")</f>
        <v>http://ts.21cn.com/tousu/show/id/1350591</v>
      </c>
      <c r="F18695" s="2" t="s">
        <v>11</v>
      </c>
      <c r="G18695" s="2" t="s">
        <v>7416</v>
      </c>
      <c r="H18695" s="2" t="s">
        <v>7417</v>
      </c>
    </row>
    <row r="18696" spans="1:8" ht="25.05" customHeight="1" x14ac:dyDescent="0.25">
      <c r="A18696" s="2" t="s">
        <v>8</v>
      </c>
      <c r="B18696" s="2" t="str">
        <f>HYPERLINK("http://ts.21cn.com/tousu/show/id/1350594","京东白条伪造法院诉讼短信")</f>
        <v>京东白条伪造法院诉讼短信</v>
      </c>
      <c r="C18696" s="2" t="s">
        <v>9</v>
      </c>
      <c r="D18696" s="2" t="s">
        <v>10</v>
      </c>
      <c r="E18696" s="2" t="str">
        <f>HYPERLINK("http://ts.21cn.com/tousu/show/id/1350594","http://ts.21cn.com/tousu/show/id/1350594")</f>
        <v>http://ts.21cn.com/tousu/show/id/1350594</v>
      </c>
      <c r="F18696" s="2" t="s">
        <v>11</v>
      </c>
      <c r="G18696" s="2" t="s">
        <v>7414</v>
      </c>
      <c r="H18696" s="2" t="s">
        <v>7415</v>
      </c>
    </row>
    <row r="18697" spans="1:8" ht="25.05" customHeight="1" x14ac:dyDescent="0.25">
      <c r="A18697" s="2" t="s">
        <v>8</v>
      </c>
      <c r="B18697" s="2" t="str">
        <f>HYPERLINK("http://ts.21cn.com/tousu/show/id/1350600","支付宝和拼多多为网上赌博app提供充值服务")</f>
        <v>支付宝和拼多多为网上赌博app提供充值服务</v>
      </c>
      <c r="C18697" s="2" t="s">
        <v>9</v>
      </c>
      <c r="D18697" s="2" t="s">
        <v>10</v>
      </c>
      <c r="E18697" s="2" t="str">
        <f>HYPERLINK("http://ts.21cn.com/tousu/show/id/1350600","http://ts.21cn.com/tousu/show/id/1350600")</f>
        <v>http://ts.21cn.com/tousu/show/id/1350600</v>
      </c>
      <c r="F18697" s="2" t="s">
        <v>11</v>
      </c>
      <c r="G18697" s="2" t="s">
        <v>7412</v>
      </c>
      <c r="H18697" s="2" t="s">
        <v>7413</v>
      </c>
    </row>
    <row r="18698" spans="1:8" ht="25.05" customHeight="1" x14ac:dyDescent="0.25">
      <c r="A18698" s="2" t="s">
        <v>8</v>
      </c>
      <c r="B18698" s="2" t="str">
        <f>HYPERLINK("http://ts.21cn.com/tousu/show/id/1350595","兴业银行电话误导本人办理随兴分备用金业务")</f>
        <v>兴业银行电话误导本人办理随兴分备用金业务</v>
      </c>
      <c r="C18698" s="2" t="s">
        <v>9</v>
      </c>
      <c r="D18698" s="2" t="s">
        <v>10</v>
      </c>
      <c r="E18698" s="2" t="str">
        <f>HYPERLINK("http://ts.21cn.com/tousu/show/id/1350595","http://ts.21cn.com/tousu/show/id/1350595")</f>
        <v>http://ts.21cn.com/tousu/show/id/1350595</v>
      </c>
      <c r="F18698" s="2" t="s">
        <v>11</v>
      </c>
      <c r="G18698" s="2" t="s">
        <v>7410</v>
      </c>
      <c r="H18698" s="2" t="s">
        <v>7411</v>
      </c>
    </row>
    <row r="18699" spans="1:8" ht="25.05" customHeight="1" x14ac:dyDescent="0.25">
      <c r="A18699" s="2" t="s">
        <v>8</v>
      </c>
      <c r="B18699" s="2" t="str">
        <f>HYPERLINK("http://ts.21cn.com/tousu/show/id/1350596","借贷宝平台泄露个人信息")</f>
        <v>借贷宝平台泄露个人信息</v>
      </c>
      <c r="C18699" s="2" t="s">
        <v>9</v>
      </c>
      <c r="D18699" s="2" t="s">
        <v>10</v>
      </c>
      <c r="E18699" s="2" t="str">
        <f>HYPERLINK("http://ts.21cn.com/tousu/show/id/1350596","http://ts.21cn.com/tousu/show/id/1350596")</f>
        <v>http://ts.21cn.com/tousu/show/id/1350596</v>
      </c>
      <c r="F18699" s="2" t="s">
        <v>11</v>
      </c>
      <c r="G18699" s="2" t="s">
        <v>7408</v>
      </c>
      <c r="H18699" s="2" t="s">
        <v>7409</v>
      </c>
    </row>
    <row r="18700" spans="1:8" ht="25.05" customHeight="1" x14ac:dyDescent="0.25">
      <c r="A18700" s="2" t="s">
        <v>8</v>
      </c>
      <c r="B18700" s="2" t="str">
        <f>HYPERLINK("http://ts.21cn.com/tousu/show/id/1350597","淘手游恶意冻结账号，资金滞留该平台")</f>
        <v>淘手游恶意冻结账号，资金滞留该平台</v>
      </c>
      <c r="C18700" s="2" t="s">
        <v>9</v>
      </c>
      <c r="D18700" s="2" t="s">
        <v>10</v>
      </c>
      <c r="E18700" s="2" t="str">
        <f>HYPERLINK("http://ts.21cn.com/tousu/show/id/1350597","http://ts.21cn.com/tousu/show/id/1350597")</f>
        <v>http://ts.21cn.com/tousu/show/id/1350597</v>
      </c>
      <c r="F18700" s="2" t="s">
        <v>11</v>
      </c>
      <c r="G18700" s="2" t="s">
        <v>7406</v>
      </c>
      <c r="H18700" s="2" t="s">
        <v>7407</v>
      </c>
    </row>
    <row r="18701" spans="1:8" ht="25.05" customHeight="1" x14ac:dyDescent="0.25">
      <c r="A18701" s="2" t="s">
        <v>8</v>
      </c>
      <c r="B18701" s="2" t="str">
        <f>HYPERLINK("http://ts.21cn.com/tousu/show/id/1350598","爱钱进高利贷砍头息")</f>
        <v>爱钱进高利贷砍头息</v>
      </c>
      <c r="C18701" s="2" t="s">
        <v>9</v>
      </c>
      <c r="D18701" s="2" t="s">
        <v>10</v>
      </c>
      <c r="E18701" s="2" t="str">
        <f>HYPERLINK("http://ts.21cn.com/tousu/show/id/1350598","http://ts.21cn.com/tousu/show/id/1350598")</f>
        <v>http://ts.21cn.com/tousu/show/id/1350598</v>
      </c>
      <c r="F18701" s="2" t="s">
        <v>11</v>
      </c>
      <c r="G18701" s="2" t="s">
        <v>7404</v>
      </c>
      <c r="H18701" s="2" t="s">
        <v>7405</v>
      </c>
    </row>
    <row r="18702" spans="1:8" ht="25.05" customHeight="1" x14ac:dyDescent="0.25">
      <c r="A18702" s="2" t="s">
        <v>8</v>
      </c>
      <c r="B18702" s="2" t="str">
        <f>HYPERLINK("http://ts.21cn.com/tousu/show/id/1350601","高利贷,砍头息,提前还款减免费用")</f>
        <v>高利贷,砍头息,提前还款减免费用</v>
      </c>
      <c r="C18702" s="2" t="s">
        <v>9</v>
      </c>
      <c r="D18702" s="2" t="s">
        <v>10</v>
      </c>
      <c r="E18702" s="2" t="str">
        <f>HYPERLINK("http://ts.21cn.com/tousu/show/id/1350601","http://ts.21cn.com/tousu/show/id/1350601")</f>
        <v>http://ts.21cn.com/tousu/show/id/1350601</v>
      </c>
      <c r="F18702" s="2" t="s">
        <v>11</v>
      </c>
      <c r="G18702" s="2" t="s">
        <v>7402</v>
      </c>
      <c r="H18702" s="2" t="s">
        <v>7403</v>
      </c>
    </row>
    <row r="18703" spans="1:8" ht="25.05" customHeight="1" x14ac:dyDescent="0.25">
      <c r="A18703" s="2" t="s">
        <v>8</v>
      </c>
      <c r="B18703" s="2" t="str">
        <f>HYPERLINK("http://ts.21cn.com/tousu/show/id/1350602","钱站高利贷阴阳合同")</f>
        <v>钱站高利贷阴阳合同</v>
      </c>
      <c r="C18703" s="2" t="s">
        <v>9</v>
      </c>
      <c r="D18703" s="2" t="s">
        <v>10</v>
      </c>
      <c r="E18703" s="2" t="str">
        <f>HYPERLINK("http://ts.21cn.com/tousu/show/id/1350602","http://ts.21cn.com/tousu/show/id/1350602")</f>
        <v>http://ts.21cn.com/tousu/show/id/1350602</v>
      </c>
      <c r="F18703" s="2" t="s">
        <v>11</v>
      </c>
      <c r="G18703" s="2" t="s">
        <v>7400</v>
      </c>
      <c r="H18703" s="2" t="s">
        <v>7401</v>
      </c>
    </row>
    <row r="18704" spans="1:8" ht="25.05" customHeight="1" x14ac:dyDescent="0.25">
      <c r="A18704" s="2" t="s">
        <v>8</v>
      </c>
      <c r="B18704" s="2" t="str">
        <f>HYPERLINK("http://ts.21cn.com/tousu/show/id/1350604","分期乐骚扰我")</f>
        <v>分期乐骚扰我</v>
      </c>
      <c r="C18704" s="2" t="s">
        <v>9</v>
      </c>
      <c r="D18704" s="2" t="s">
        <v>10</v>
      </c>
      <c r="E18704" s="2" t="str">
        <f>HYPERLINK("http://ts.21cn.com/tousu/show/id/1350604","http://ts.21cn.com/tousu/show/id/1350604")</f>
        <v>http://ts.21cn.com/tousu/show/id/1350604</v>
      </c>
      <c r="F18704" s="2" t="s">
        <v>11</v>
      </c>
      <c r="G18704" s="2" t="s">
        <v>7398</v>
      </c>
      <c r="H18704" s="2" t="s">
        <v>7399</v>
      </c>
    </row>
    <row r="18705" spans="1:8" ht="25.05" customHeight="1" x14ac:dyDescent="0.25">
      <c r="A18705" s="2" t="s">
        <v>8</v>
      </c>
      <c r="B18705" s="2" t="str">
        <f>HYPERLINK("http://ts.21cn.com/tousu/show/id/1350605","多米贷收砍头息威胁恐吓骚扰")</f>
        <v>多米贷收砍头息威胁恐吓骚扰</v>
      </c>
      <c r="C18705" s="2" t="s">
        <v>9</v>
      </c>
      <c r="D18705" s="2" t="s">
        <v>10</v>
      </c>
      <c r="E18705" s="2" t="str">
        <f>HYPERLINK("http://ts.21cn.com/tousu/show/id/1350605","http://ts.21cn.com/tousu/show/id/1350605")</f>
        <v>http://ts.21cn.com/tousu/show/id/1350605</v>
      </c>
      <c r="F18705" s="2" t="s">
        <v>11</v>
      </c>
      <c r="G18705" s="2" t="s">
        <v>7396</v>
      </c>
      <c r="H18705" s="2" t="s">
        <v>7397</v>
      </c>
    </row>
    <row r="18706" spans="1:8" ht="25.05" customHeight="1" x14ac:dyDescent="0.25">
      <c r="A18706" s="2" t="s">
        <v>8</v>
      </c>
      <c r="B18706" s="2" t="str">
        <f>HYPERLINK("http://ts.21cn.com/tousu/show/id/1350606","麦子金服暴力催收")</f>
        <v>麦子金服暴力催收</v>
      </c>
      <c r="C18706" s="2" t="s">
        <v>9</v>
      </c>
      <c r="D18706" s="2" t="s">
        <v>10</v>
      </c>
      <c r="E18706" s="2" t="str">
        <f>HYPERLINK("http://ts.21cn.com/tousu/show/id/1350606","http://ts.21cn.com/tousu/show/id/1350606")</f>
        <v>http://ts.21cn.com/tousu/show/id/1350606</v>
      </c>
      <c r="F18706" s="2" t="s">
        <v>11</v>
      </c>
      <c r="G18706" s="2" t="s">
        <v>7394</v>
      </c>
      <c r="H18706" s="2" t="s">
        <v>7395</v>
      </c>
    </row>
    <row r="18707" spans="1:8" ht="25.05" customHeight="1" x14ac:dyDescent="0.25">
      <c r="A18707" s="2" t="s">
        <v>8</v>
      </c>
      <c r="B18707" s="2" t="str">
        <f>HYPERLINK("http://ts.21cn.com/tousu/show/id/1350607","招商银行信用卡中心恐吓威胁")</f>
        <v>招商银行信用卡中心恐吓威胁</v>
      </c>
      <c r="C18707" s="2" t="s">
        <v>9</v>
      </c>
      <c r="D18707" s="2" t="s">
        <v>10</v>
      </c>
      <c r="E18707" s="2" t="str">
        <f>HYPERLINK("http://ts.21cn.com/tousu/show/id/1350607","http://ts.21cn.com/tousu/show/id/1350607")</f>
        <v>http://ts.21cn.com/tousu/show/id/1350607</v>
      </c>
      <c r="F18707" s="2" t="s">
        <v>11</v>
      </c>
      <c r="G18707" s="2" t="s">
        <v>7392</v>
      </c>
      <c r="H18707" s="2" t="s">
        <v>7393</v>
      </c>
    </row>
    <row r="18708" spans="1:8" ht="25.05" customHeight="1" x14ac:dyDescent="0.25">
      <c r="A18708" s="2" t="s">
        <v>8</v>
      </c>
      <c r="B18708" s="2" t="str">
        <f>HYPERLINK("http://ts.21cn.com/tousu/show/id/1350610","骚扰第三方")</f>
        <v>骚扰第三方</v>
      </c>
      <c r="C18708" s="2" t="s">
        <v>9</v>
      </c>
      <c r="D18708" s="2" t="s">
        <v>10</v>
      </c>
      <c r="E18708" s="2" t="str">
        <f>HYPERLINK("http://ts.21cn.com/tousu/show/id/1350610","http://ts.21cn.com/tousu/show/id/1350610")</f>
        <v>http://ts.21cn.com/tousu/show/id/1350610</v>
      </c>
      <c r="F18708" s="2" t="s">
        <v>11</v>
      </c>
      <c r="G18708" s="2" t="s">
        <v>7390</v>
      </c>
      <c r="H18708" s="2" t="s">
        <v>7391</v>
      </c>
    </row>
    <row r="18709" spans="1:8" ht="25.05" customHeight="1" x14ac:dyDescent="0.25">
      <c r="A18709" s="2" t="s">
        <v>8</v>
      </c>
      <c r="B18709" s="2" t="str">
        <f>HYPERLINK("http://ts.21cn.com/tousu/show/id/1350611","骚扰威胁借款人家人")</f>
        <v>骚扰威胁借款人家人</v>
      </c>
      <c r="C18709" s="2" t="s">
        <v>9</v>
      </c>
      <c r="D18709" s="2" t="s">
        <v>10</v>
      </c>
      <c r="E18709" s="2" t="str">
        <f>HYPERLINK("http://ts.21cn.com/tousu/show/id/1350611","http://ts.21cn.com/tousu/show/id/1350611")</f>
        <v>http://ts.21cn.com/tousu/show/id/1350611</v>
      </c>
      <c r="F18709" s="2" t="s">
        <v>11</v>
      </c>
      <c r="G18709" s="2" t="s">
        <v>7388</v>
      </c>
      <c r="H18709" s="2" t="s">
        <v>7389</v>
      </c>
    </row>
    <row r="18710" spans="1:8" ht="25.05" customHeight="1" x14ac:dyDescent="0.25">
      <c r="A18710" s="2" t="s">
        <v>8</v>
      </c>
      <c r="B18710" s="2" t="str">
        <f>HYPERLINK("http://ts.21cn.com/tousu/show/id/1350609","轻周转芒果筹变相砍头息高利贷")</f>
        <v>轻周转芒果筹变相砍头息高利贷</v>
      </c>
      <c r="C18710" s="2" t="s">
        <v>9</v>
      </c>
      <c r="D18710" s="2" t="s">
        <v>10</v>
      </c>
      <c r="E18710" s="2" t="str">
        <f>HYPERLINK("http://ts.21cn.com/tousu/show/id/1350609","http://ts.21cn.com/tousu/show/id/1350609")</f>
        <v>http://ts.21cn.com/tousu/show/id/1350609</v>
      </c>
      <c r="F18710" s="2" t="s">
        <v>11</v>
      </c>
      <c r="G18710" s="2" t="s">
        <v>7386</v>
      </c>
      <c r="H18710" s="2" t="s">
        <v>7387</v>
      </c>
    </row>
    <row r="18711" spans="1:8" ht="25.05" customHeight="1" x14ac:dyDescent="0.25">
      <c r="A18711" s="2" t="s">
        <v>8</v>
      </c>
      <c r="B18711" s="2" t="str">
        <f>HYPERLINK("http://ts.21cn.com/tousu/show/id/1350608","My钱包退担保费")</f>
        <v>My钱包退担保费</v>
      </c>
      <c r="C18711" s="2" t="s">
        <v>34</v>
      </c>
      <c r="D18711" s="2" t="s">
        <v>10</v>
      </c>
      <c r="E18711" s="2" t="str">
        <f>HYPERLINK("http://ts.21cn.com/tousu/show/id/1350608","http://ts.21cn.com/tousu/show/id/1350608")</f>
        <v>http://ts.21cn.com/tousu/show/id/1350608</v>
      </c>
      <c r="F18711" s="2" t="s">
        <v>11</v>
      </c>
      <c r="G18711" s="2" t="s">
        <v>7384</v>
      </c>
      <c r="H18711" s="2" t="s">
        <v>7385</v>
      </c>
    </row>
    <row r="18712" spans="1:8" ht="25.05" customHeight="1" x14ac:dyDescent="0.25">
      <c r="A18712" s="2" t="s">
        <v>8</v>
      </c>
      <c r="B18712" s="2" t="str">
        <f>HYPERLINK("http://ts.21cn.com/tousu/show/id/1350612","及贷公司高利贷乱收费用")</f>
        <v>及贷公司高利贷乱收费用</v>
      </c>
      <c r="C18712" s="2" t="s">
        <v>9</v>
      </c>
      <c r="D18712" s="2" t="s">
        <v>10</v>
      </c>
      <c r="E18712" s="2" t="str">
        <f>HYPERLINK("http://ts.21cn.com/tousu/show/id/1350612","http://ts.21cn.com/tousu/show/id/1350612")</f>
        <v>http://ts.21cn.com/tousu/show/id/1350612</v>
      </c>
      <c r="F18712" s="2" t="s">
        <v>11</v>
      </c>
      <c r="G18712" s="2" t="s">
        <v>7382</v>
      </c>
      <c r="H18712" s="2" t="s">
        <v>7383</v>
      </c>
    </row>
    <row r="18713" spans="1:8" ht="25.05" customHeight="1" x14ac:dyDescent="0.25">
      <c r="A18713" s="2" t="s">
        <v>8</v>
      </c>
      <c r="B18713" s="2" t="str">
        <f>HYPERLINK("http://ts.21cn.com/tousu/show/id/1350613","米钞多APP高利贷乱骚扰")</f>
        <v>米钞多APP高利贷乱骚扰</v>
      </c>
      <c r="C18713" s="2" t="s">
        <v>9</v>
      </c>
      <c r="D18713" s="2" t="s">
        <v>10</v>
      </c>
      <c r="E18713" s="2" t="str">
        <f>HYPERLINK("http://ts.21cn.com/tousu/show/id/1350613","http://ts.21cn.com/tousu/show/id/1350613")</f>
        <v>http://ts.21cn.com/tousu/show/id/1350613</v>
      </c>
      <c r="F18713" s="2" t="s">
        <v>11</v>
      </c>
      <c r="G18713" s="2" t="s">
        <v>7380</v>
      </c>
      <c r="H18713" s="2" t="s">
        <v>7381</v>
      </c>
    </row>
    <row r="18714" spans="1:8" ht="25.05" customHeight="1" x14ac:dyDescent="0.25">
      <c r="A18714" s="2" t="s">
        <v>8</v>
      </c>
      <c r="B18714" s="2" t="str">
        <f>HYPERLINK("http://ts.21cn.com/tousu/show/id/1350615","催收态度不好")</f>
        <v>催收态度不好</v>
      </c>
      <c r="C18714" s="2" t="s">
        <v>9</v>
      </c>
      <c r="D18714" s="2" t="s">
        <v>10</v>
      </c>
      <c r="E18714" s="2" t="str">
        <f>HYPERLINK("http://ts.21cn.com/tousu/show/id/1350615","http://ts.21cn.com/tousu/show/id/1350615")</f>
        <v>http://ts.21cn.com/tousu/show/id/1350615</v>
      </c>
      <c r="F18714" s="2" t="s">
        <v>11</v>
      </c>
      <c r="G18714" s="2" t="s">
        <v>7378</v>
      </c>
      <c r="H18714" s="2" t="s">
        <v>7379</v>
      </c>
    </row>
    <row r="18715" spans="1:8" ht="25.05" customHeight="1" x14ac:dyDescent="0.25">
      <c r="A18715" s="2" t="s">
        <v>8</v>
      </c>
      <c r="B18715" s="2" t="str">
        <f>HYPERLINK("http://ts.21cn.com/tousu/show/id/1350616","钱站高额利息超过高利贷，暴力催收严重影响我正常生活")</f>
        <v>钱站高额利息超过高利贷，暴力催收严重影响我正常生活</v>
      </c>
      <c r="C18715" s="2" t="s">
        <v>9</v>
      </c>
      <c r="D18715" s="2" t="s">
        <v>10</v>
      </c>
      <c r="E18715" s="2" t="str">
        <f>HYPERLINK("http://ts.21cn.com/tousu/show/id/1350616","http://ts.21cn.com/tousu/show/id/1350616")</f>
        <v>http://ts.21cn.com/tousu/show/id/1350616</v>
      </c>
      <c r="F18715" s="2" t="s">
        <v>11</v>
      </c>
      <c r="G18715" s="2" t="s">
        <v>7376</v>
      </c>
      <c r="H18715" s="2" t="s">
        <v>7377</v>
      </c>
    </row>
    <row r="18716" spans="1:8" ht="25.05" customHeight="1" x14ac:dyDescent="0.25">
      <c r="A18716" s="2" t="s">
        <v>8</v>
      </c>
      <c r="B18716" s="2" t="str">
        <f>HYPERLINK("http://ts.21cn.com/tousu/show/id/1350617","网贷年利率不合法，暴击催收，搭售保险")</f>
        <v>网贷年利率不合法，暴击催收，搭售保险</v>
      </c>
      <c r="C18716" s="2" t="s">
        <v>9</v>
      </c>
      <c r="D18716" s="2" t="s">
        <v>10</v>
      </c>
      <c r="E18716" s="2" t="str">
        <f>HYPERLINK("http://ts.21cn.com/tousu/show/id/1350617","http://ts.21cn.com/tousu/show/id/1350617")</f>
        <v>http://ts.21cn.com/tousu/show/id/1350617</v>
      </c>
      <c r="F18716" s="2" t="s">
        <v>11</v>
      </c>
      <c r="G18716" s="2" t="s">
        <v>7374</v>
      </c>
      <c r="H18716" s="2" t="s">
        <v>7375</v>
      </c>
    </row>
    <row r="18717" spans="1:8" ht="25.05" customHeight="1" x14ac:dyDescent="0.25">
      <c r="A18717" s="2" t="s">
        <v>8</v>
      </c>
      <c r="B18717" s="2" t="str">
        <f>HYPERLINK("http://ts.21cn.com/tousu/show/id/1350618","龙行天下翔宇管家虚假宣传，误导办卡")</f>
        <v>龙行天下翔宇管家虚假宣传，误导办卡</v>
      </c>
      <c r="C18717" s="2" t="s">
        <v>9</v>
      </c>
      <c r="D18717" s="2" t="s">
        <v>10</v>
      </c>
      <c r="E18717" s="2" t="str">
        <f>HYPERLINK("http://ts.21cn.com/tousu/show/id/1350618","http://ts.21cn.com/tousu/show/id/1350618")</f>
        <v>http://ts.21cn.com/tousu/show/id/1350618</v>
      </c>
      <c r="F18717" s="2" t="s">
        <v>11</v>
      </c>
      <c r="G18717" s="2" t="s">
        <v>7372</v>
      </c>
      <c r="H18717" s="2" t="s">
        <v>7373</v>
      </c>
    </row>
    <row r="18718" spans="1:8" ht="25.05" customHeight="1" x14ac:dyDescent="0.25">
      <c r="A18718" s="2" t="s">
        <v>8</v>
      </c>
      <c r="B18718" s="2" t="str">
        <f>HYPERLINK("http://ts.21cn.com/tousu/show/id/1350620","美团生活费暴力催收，天天电话短信不断轰炸，还扬言要爆通讯录联系不相干的人协助处理还款")</f>
        <v>美团生活费暴力催收，天天电话短信不断轰炸，还扬言要爆通讯录联系不相干的人协助处理还款</v>
      </c>
      <c r="C18718" s="2" t="s">
        <v>9</v>
      </c>
      <c r="D18718" s="2" t="s">
        <v>10</v>
      </c>
      <c r="E18718" s="2" t="str">
        <f>HYPERLINK("http://ts.21cn.com/tousu/show/id/1350620","http://ts.21cn.com/tousu/show/id/1350620")</f>
        <v>http://ts.21cn.com/tousu/show/id/1350620</v>
      </c>
      <c r="F18718" s="2" t="s">
        <v>11</v>
      </c>
      <c r="G18718" s="2" t="s">
        <v>7370</v>
      </c>
      <c r="H18718" s="2" t="s">
        <v>7371</v>
      </c>
    </row>
    <row r="18719" spans="1:8" ht="25.05" customHeight="1" x14ac:dyDescent="0.25">
      <c r="A18719" s="2" t="s">
        <v>8</v>
      </c>
      <c r="B18719" s="2" t="str">
        <f>HYPERLINK("http://ts.21cn.com/tousu/show/id/1350621","滴滴诱导乘客取消订单")</f>
        <v>滴滴诱导乘客取消订单</v>
      </c>
      <c r="C18719" s="2" t="s">
        <v>9</v>
      </c>
      <c r="D18719" s="2" t="s">
        <v>10</v>
      </c>
      <c r="E18719" s="2" t="str">
        <f>HYPERLINK("http://ts.21cn.com/tousu/show/id/1350621","http://ts.21cn.com/tousu/show/id/1350621")</f>
        <v>http://ts.21cn.com/tousu/show/id/1350621</v>
      </c>
      <c r="F18719" s="2" t="s">
        <v>11</v>
      </c>
      <c r="G18719" s="2" t="s">
        <v>7368</v>
      </c>
      <c r="H18719" s="2" t="s">
        <v>7369</v>
      </c>
    </row>
    <row r="18720" spans="1:8" ht="25.05" customHeight="1" x14ac:dyDescent="0.25">
      <c r="A18720" s="2" t="s">
        <v>8</v>
      </c>
      <c r="B18720" s="2" t="str">
        <f>HYPERLINK("http://ts.21cn.com/tousu/show/id/1350622","小米金融暴力催收恶意骚扰")</f>
        <v>小米金融暴力催收恶意骚扰</v>
      </c>
      <c r="C18720" s="2" t="s">
        <v>9</v>
      </c>
      <c r="D18720" s="2" t="s">
        <v>10</v>
      </c>
      <c r="E18720" s="2" t="str">
        <f>HYPERLINK("http://ts.21cn.com/tousu/show/id/1350622","http://ts.21cn.com/tousu/show/id/1350622")</f>
        <v>http://ts.21cn.com/tousu/show/id/1350622</v>
      </c>
      <c r="F18720" s="2" t="s">
        <v>11</v>
      </c>
      <c r="G18720" s="2" t="s">
        <v>7366</v>
      </c>
      <c r="H18720" s="2" t="s">
        <v>7367</v>
      </c>
    </row>
    <row r="18721" spans="1:8" ht="25.05" customHeight="1" x14ac:dyDescent="0.25">
      <c r="A18721" s="2" t="s">
        <v>8</v>
      </c>
      <c r="B18721" s="2" t="str">
        <f>HYPERLINK("http://ts.21cn.com/tousu/show/id/1350623","中原消费发送虚假立案短信给联系人")</f>
        <v>中原消费发送虚假立案短信给联系人</v>
      </c>
      <c r="C18721" s="2" t="s">
        <v>9</v>
      </c>
      <c r="D18721" s="2" t="s">
        <v>10</v>
      </c>
      <c r="E18721" s="2" t="str">
        <f>HYPERLINK("http://ts.21cn.com/tousu/show/id/1350623","http://ts.21cn.com/tousu/show/id/1350623")</f>
        <v>http://ts.21cn.com/tousu/show/id/1350623</v>
      </c>
      <c r="F18721" s="2" t="s">
        <v>11</v>
      </c>
      <c r="G18721" s="2" t="s">
        <v>7364</v>
      </c>
      <c r="H18721" s="2" t="s">
        <v>7365</v>
      </c>
    </row>
    <row r="18722" spans="1:8" ht="25.05" customHeight="1" x14ac:dyDescent="0.25">
      <c r="A18722" s="2" t="s">
        <v>8</v>
      </c>
      <c r="B18722" s="2" t="str">
        <f>HYPERLINK("http://ts.21cn.com/tousu/show/id/1350624","拉卡拉为高利贷平台违规提供支付通道")</f>
        <v>拉卡拉为高利贷平台违规提供支付通道</v>
      </c>
      <c r="C18722" s="2" t="s">
        <v>9</v>
      </c>
      <c r="D18722" s="2" t="s">
        <v>10</v>
      </c>
      <c r="E18722" s="2" t="str">
        <f>HYPERLINK("http://ts.21cn.com/tousu/show/id/1350624","http://ts.21cn.com/tousu/show/id/1350624")</f>
        <v>http://ts.21cn.com/tousu/show/id/1350624</v>
      </c>
      <c r="F18722" s="2" t="s">
        <v>11</v>
      </c>
      <c r="G18722" s="2" t="s">
        <v>7362</v>
      </c>
      <c r="H18722" s="2" t="s">
        <v>7363</v>
      </c>
    </row>
    <row r="18723" spans="1:8" ht="25.05" customHeight="1" x14ac:dyDescent="0.25">
      <c r="A18723" s="2" t="s">
        <v>8</v>
      </c>
      <c r="B18723" s="2" t="str">
        <f>HYPERLINK("http://ts.21cn.com/tousu/show/id/1350627","及贷暴力催收")</f>
        <v>及贷暴力催收</v>
      </c>
      <c r="C18723" s="2" t="s">
        <v>9</v>
      </c>
      <c r="D18723" s="2" t="s">
        <v>10</v>
      </c>
      <c r="E18723" s="2" t="str">
        <f>HYPERLINK("http://ts.21cn.com/tousu/show/id/1350627","http://ts.21cn.com/tousu/show/id/1350627")</f>
        <v>http://ts.21cn.com/tousu/show/id/1350627</v>
      </c>
      <c r="F18723" s="2" t="s">
        <v>11</v>
      </c>
      <c r="G18723" s="2" t="s">
        <v>7359</v>
      </c>
      <c r="H18723" s="2" t="s">
        <v>7360</v>
      </c>
    </row>
    <row r="18724" spans="1:8" ht="25.05" customHeight="1" x14ac:dyDescent="0.25">
      <c r="A18724" s="2" t="s">
        <v>8</v>
      </c>
      <c r="B18724" s="2" t="str">
        <f>HYPERLINK("http://ts.21cn.com/tousu/show/id/1350626","滴滴司机言语过激，态度恶劣，辱骂乘客")</f>
        <v>滴滴司机言语过激，态度恶劣，辱骂乘客</v>
      </c>
      <c r="C18724" s="2" t="s">
        <v>9</v>
      </c>
      <c r="D18724" s="2" t="s">
        <v>10</v>
      </c>
      <c r="E18724" s="2" t="str">
        <f>HYPERLINK("http://ts.21cn.com/tousu/show/id/1350626","http://ts.21cn.com/tousu/show/id/1350626")</f>
        <v>http://ts.21cn.com/tousu/show/id/1350626</v>
      </c>
      <c r="F18724" s="2" t="s">
        <v>11</v>
      </c>
      <c r="G18724" s="2" t="s">
        <v>7359</v>
      </c>
      <c r="H18724" s="2" t="s">
        <v>7361</v>
      </c>
    </row>
    <row r="18725" spans="1:8" ht="25.05" customHeight="1" x14ac:dyDescent="0.25">
      <c r="A18725" s="2" t="s">
        <v>8</v>
      </c>
      <c r="B18725" s="2" t="str">
        <f>HYPERLINK("http://ts.21cn.com/tousu/show/id/1350625","投诉wecash闪银催收骚扰联系人")</f>
        <v>投诉wecash闪银催收骚扰联系人</v>
      </c>
      <c r="C18725" s="2" t="s">
        <v>9</v>
      </c>
      <c r="D18725" s="2" t="s">
        <v>10</v>
      </c>
      <c r="E18725" s="2" t="str">
        <f>HYPERLINK("http://ts.21cn.com/tousu/show/id/1350625","http://ts.21cn.com/tousu/show/id/1350625")</f>
        <v>http://ts.21cn.com/tousu/show/id/1350625</v>
      </c>
      <c r="F18725" s="2" t="s">
        <v>11</v>
      </c>
      <c r="G18725" s="2" t="s">
        <v>7357</v>
      </c>
      <c r="H18725" s="2" t="s">
        <v>7358</v>
      </c>
    </row>
    <row r="18726" spans="1:8" ht="25.05" customHeight="1" x14ac:dyDescent="0.25">
      <c r="A18726" s="2" t="s">
        <v>8</v>
      </c>
      <c r="B18726" s="2" t="str">
        <f>HYPERLINK("http://ts.21cn.com/tousu/show/id/1350631","及贷贷款违反法律法规搭售保险")</f>
        <v>及贷贷款违反法律法规搭售保险</v>
      </c>
      <c r="C18726" s="2" t="s">
        <v>9</v>
      </c>
      <c r="D18726" s="2" t="s">
        <v>10</v>
      </c>
      <c r="E18726" s="2" t="str">
        <f>HYPERLINK("http://ts.21cn.com/tousu/show/id/1350631","http://ts.21cn.com/tousu/show/id/1350631")</f>
        <v>http://ts.21cn.com/tousu/show/id/1350631</v>
      </c>
      <c r="F18726" s="2" t="s">
        <v>11</v>
      </c>
      <c r="G18726" s="2" t="s">
        <v>7355</v>
      </c>
      <c r="H18726" s="2" t="s">
        <v>7356</v>
      </c>
    </row>
    <row r="18727" spans="1:8" ht="25.05" customHeight="1" x14ac:dyDescent="0.25">
      <c r="A18727" s="2" t="s">
        <v>8</v>
      </c>
      <c r="B18727" s="2" t="str">
        <f>HYPERLINK("http://ts.21cn.com/tousu/show/id/1350630","拼多多平台不推款")</f>
        <v>拼多多平台不推款</v>
      </c>
      <c r="C18727" s="2" t="s">
        <v>9</v>
      </c>
      <c r="D18727" s="2" t="s">
        <v>10</v>
      </c>
      <c r="E18727" s="2" t="str">
        <f>HYPERLINK("http://ts.21cn.com/tousu/show/id/1350630","http://ts.21cn.com/tousu/show/id/1350630")</f>
        <v>http://ts.21cn.com/tousu/show/id/1350630</v>
      </c>
      <c r="F18727" s="2" t="s">
        <v>11</v>
      </c>
      <c r="G18727" s="2" t="s">
        <v>7353</v>
      </c>
      <c r="H18727" s="2" t="s">
        <v>7354</v>
      </c>
    </row>
    <row r="18728" spans="1:8" ht="25.05" customHeight="1" x14ac:dyDescent="0.25">
      <c r="A18728" s="2" t="s">
        <v>8</v>
      </c>
      <c r="B18728" s="2" t="str">
        <f>HYPERLINK("http://ts.21cn.com/tousu/show/id/1350632","瑞银信业务员承诺一万55费率POS机，办理后涨到65！")</f>
        <v>瑞银信业务员承诺一万55费率POS机，办理后涨到65！</v>
      </c>
      <c r="C18728" s="2" t="s">
        <v>9</v>
      </c>
      <c r="D18728" s="2" t="s">
        <v>10</v>
      </c>
      <c r="E18728" s="2" t="str">
        <f>HYPERLINK("http://ts.21cn.com/tousu/show/id/1350632","http://ts.21cn.com/tousu/show/id/1350632")</f>
        <v>http://ts.21cn.com/tousu/show/id/1350632</v>
      </c>
      <c r="F18728" s="2" t="s">
        <v>11</v>
      </c>
      <c r="G18728" s="2" t="s">
        <v>7351</v>
      </c>
      <c r="H18728" s="2" t="s">
        <v>7352</v>
      </c>
    </row>
    <row r="18729" spans="1:8" ht="25.05" customHeight="1" x14ac:dyDescent="0.25">
      <c r="A18729" s="2" t="s">
        <v>8</v>
      </c>
      <c r="B18729" s="2" t="str">
        <f>HYPERLINK("http://ts.21cn.com/tousu/show/id/1350636","快闪卡贷砍头息，高额罚息，爆通讯录，辱骂通讯录亲人朋友")</f>
        <v>快闪卡贷砍头息，高额罚息，爆通讯录，辱骂通讯录亲人朋友</v>
      </c>
      <c r="C18729" s="2" t="s">
        <v>9</v>
      </c>
      <c r="D18729" s="2" t="s">
        <v>10</v>
      </c>
      <c r="E18729" s="2" t="str">
        <f>HYPERLINK("http://ts.21cn.com/tousu/show/id/1350636","http://ts.21cn.com/tousu/show/id/1350636")</f>
        <v>http://ts.21cn.com/tousu/show/id/1350636</v>
      </c>
      <c r="F18729" s="2" t="s">
        <v>11</v>
      </c>
      <c r="G18729" s="2" t="s">
        <v>7349</v>
      </c>
      <c r="H18729" s="2" t="s">
        <v>7350</v>
      </c>
    </row>
    <row r="18730" spans="1:8" ht="25.05" customHeight="1" x14ac:dyDescent="0.25">
      <c r="A18730" s="2" t="s">
        <v>8</v>
      </c>
      <c r="B18730" s="2" t="str">
        <f>HYPERLINK("http://ts.21cn.com/tousu/show/id/1350633","急用钱恶意发信息，明明没借过，说完到我家来办事情")</f>
        <v>急用钱恶意发信息，明明没借过，说完到我家来办事情</v>
      </c>
      <c r="C18730" s="2" t="s">
        <v>9</v>
      </c>
      <c r="D18730" s="2" t="s">
        <v>10</v>
      </c>
      <c r="E18730" s="2" t="str">
        <f>HYPERLINK("http://ts.21cn.com/tousu/show/id/1350633","http://ts.21cn.com/tousu/show/id/1350633")</f>
        <v>http://ts.21cn.com/tousu/show/id/1350633</v>
      </c>
      <c r="F18730" s="2" t="s">
        <v>11</v>
      </c>
      <c r="G18730" s="2" t="s">
        <v>7347</v>
      </c>
      <c r="H18730" s="2" t="s">
        <v>7348</v>
      </c>
    </row>
    <row r="18731" spans="1:8" ht="25.05" customHeight="1" x14ac:dyDescent="0.25">
      <c r="A18731" s="2" t="s">
        <v>8</v>
      </c>
      <c r="B18731" s="2" t="str">
        <f>HYPERLINK("http://ts.21cn.com/tousu/show/id/1350635","现金巴士催收问题")</f>
        <v>现金巴士催收问题</v>
      </c>
      <c r="C18731" s="2" t="s">
        <v>9</v>
      </c>
      <c r="D18731" s="2" t="s">
        <v>10</v>
      </c>
      <c r="E18731" s="2" t="str">
        <f>HYPERLINK("http://ts.21cn.com/tousu/show/id/1350635","http://ts.21cn.com/tousu/show/id/1350635")</f>
        <v>http://ts.21cn.com/tousu/show/id/1350635</v>
      </c>
      <c r="F18731" s="2" t="s">
        <v>11</v>
      </c>
      <c r="G18731" s="2" t="s">
        <v>7344</v>
      </c>
      <c r="H18731" s="2" t="s">
        <v>7345</v>
      </c>
    </row>
    <row r="18732" spans="1:8" ht="25.05" customHeight="1" x14ac:dyDescent="0.25">
      <c r="A18732" s="2" t="s">
        <v>8</v>
      </c>
      <c r="B18732" s="2" t="str">
        <f>HYPERLINK("http://ts.21cn.com/tousu/show/id/1350634","暴力催收，高额利息及滞纳金")</f>
        <v>暴力催收，高额利息及滞纳金</v>
      </c>
      <c r="C18732" s="2" t="s">
        <v>9</v>
      </c>
      <c r="D18732" s="2" t="s">
        <v>10</v>
      </c>
      <c r="E18732" s="2" t="str">
        <f>HYPERLINK("http://ts.21cn.com/tousu/show/id/1350634","http://ts.21cn.com/tousu/show/id/1350634")</f>
        <v>http://ts.21cn.com/tousu/show/id/1350634</v>
      </c>
      <c r="F18732" s="2" t="s">
        <v>11</v>
      </c>
      <c r="G18732" s="2" t="s">
        <v>7344</v>
      </c>
      <c r="H18732" s="2" t="s">
        <v>7346</v>
      </c>
    </row>
    <row r="18733" spans="1:8" ht="25.05" customHeight="1" x14ac:dyDescent="0.25">
      <c r="A18733" s="2" t="s">
        <v>8</v>
      </c>
      <c r="B18733" s="2" t="str">
        <f>HYPERLINK("http://ts.21cn.com/tousu/show/id/1350639","钱橙无忧随意扣费")</f>
        <v>钱橙无忧随意扣费</v>
      </c>
      <c r="C18733" s="2" t="s">
        <v>9</v>
      </c>
      <c r="D18733" s="2" t="s">
        <v>10</v>
      </c>
      <c r="E18733" s="2" t="str">
        <f>HYPERLINK("http://ts.21cn.com/tousu/show/id/1350639","http://ts.21cn.com/tousu/show/id/1350639")</f>
        <v>http://ts.21cn.com/tousu/show/id/1350639</v>
      </c>
      <c r="F18733" s="2" t="s">
        <v>11</v>
      </c>
      <c r="G18733" s="2" t="s">
        <v>7342</v>
      </c>
      <c r="H18733" s="2" t="s">
        <v>7343</v>
      </c>
    </row>
    <row r="18734" spans="1:8" ht="25.05" customHeight="1" x14ac:dyDescent="0.25">
      <c r="A18734" s="2" t="s">
        <v>8</v>
      </c>
      <c r="B18734" s="2" t="str">
        <f>HYPERLINK("http://ts.21cn.com/tousu/show/id/1350640","及贷提前还款让我一期一期按账单还")</f>
        <v>及贷提前还款让我一期一期按账单还</v>
      </c>
      <c r="C18734" s="2" t="s">
        <v>9</v>
      </c>
      <c r="D18734" s="2" t="s">
        <v>10</v>
      </c>
      <c r="E18734" s="2" t="str">
        <f>HYPERLINK("http://ts.21cn.com/tousu/show/id/1350640","http://ts.21cn.com/tousu/show/id/1350640")</f>
        <v>http://ts.21cn.com/tousu/show/id/1350640</v>
      </c>
      <c r="F18734" s="2" t="s">
        <v>11</v>
      </c>
      <c r="G18734" s="2" t="s">
        <v>7340</v>
      </c>
      <c r="H18734" s="2" t="s">
        <v>7341</v>
      </c>
    </row>
    <row r="18735" spans="1:8" ht="25.05" customHeight="1" x14ac:dyDescent="0.25">
      <c r="A18735" s="2" t="s">
        <v>8</v>
      </c>
      <c r="B18735" s="2" t="str">
        <f>HYPERLINK("http://ts.21cn.com/tousu/show/id/1350643","无缘无故封了我手机号码的短信功能")</f>
        <v>无缘无故封了我手机号码的短信功能</v>
      </c>
      <c r="C18735" s="2" t="s">
        <v>34</v>
      </c>
      <c r="D18735" s="2" t="s">
        <v>10</v>
      </c>
      <c r="E18735" s="2" t="str">
        <f>HYPERLINK("http://ts.21cn.com/tousu/show/id/1350643","http://ts.21cn.com/tousu/show/id/1350643")</f>
        <v>http://ts.21cn.com/tousu/show/id/1350643</v>
      </c>
      <c r="F18735" s="2" t="s">
        <v>11</v>
      </c>
      <c r="G18735" s="2" t="s">
        <v>7338</v>
      </c>
      <c r="H18735" s="2" t="s">
        <v>7339</v>
      </c>
    </row>
    <row r="18736" spans="1:8" ht="25.05" customHeight="1" x14ac:dyDescent="0.25">
      <c r="A18736" s="2" t="s">
        <v>8</v>
      </c>
      <c r="B18736" s="2" t="str">
        <f>HYPERLINK("http://ts.21cn.com/tousu/show/id/1350642","活力花逾期三天要爆通讯录")</f>
        <v>活力花逾期三天要爆通讯录</v>
      </c>
      <c r="C18736" s="2" t="s">
        <v>9</v>
      </c>
      <c r="D18736" s="2" t="s">
        <v>10</v>
      </c>
      <c r="E18736" s="2" t="str">
        <f>HYPERLINK("http://ts.21cn.com/tousu/show/id/1350642","http://ts.21cn.com/tousu/show/id/1350642")</f>
        <v>http://ts.21cn.com/tousu/show/id/1350642</v>
      </c>
      <c r="F18736" s="2" t="s">
        <v>11</v>
      </c>
      <c r="G18736" s="2" t="s">
        <v>7336</v>
      </c>
      <c r="H18736" s="2" t="s">
        <v>7337</v>
      </c>
    </row>
    <row r="18737" spans="1:8" ht="25.05" customHeight="1" x14ac:dyDescent="0.25">
      <c r="A18737" s="2" t="s">
        <v>8</v>
      </c>
      <c r="B18737" s="2" t="str">
        <f>HYPERLINK("http://ts.21cn.com/tousu/show/id/1350644","我是拼多多商家，退店平台保证金一直没退，联系客服一直在敷衍")</f>
        <v>我是拼多多商家，退店平台保证金一直没退，联系客服一直在敷衍</v>
      </c>
      <c r="C18737" s="2" t="s">
        <v>9</v>
      </c>
      <c r="D18737" s="2" t="s">
        <v>10</v>
      </c>
      <c r="E18737" s="2" t="str">
        <f>HYPERLINK("http://ts.21cn.com/tousu/show/id/1350644","http://ts.21cn.com/tousu/show/id/1350644")</f>
        <v>http://ts.21cn.com/tousu/show/id/1350644</v>
      </c>
      <c r="F18737" s="2" t="s">
        <v>11</v>
      </c>
      <c r="G18737" s="2" t="s">
        <v>7334</v>
      </c>
      <c r="H18737" s="2" t="s">
        <v>7335</v>
      </c>
    </row>
    <row r="18738" spans="1:8" ht="25.05" customHeight="1" x14ac:dyDescent="0.25">
      <c r="A18738" s="2" t="s">
        <v>8</v>
      </c>
      <c r="B18738" s="2" t="str">
        <f>HYPERLINK("http://ts.21cn.com/tousu/show/id/1350645","新橙优品砍头息年化率94.7%的高利贷")</f>
        <v>新橙优品砍头息年化率94.7%的高利贷</v>
      </c>
      <c r="C18738" s="2" t="s">
        <v>9</v>
      </c>
      <c r="D18738" s="2" t="s">
        <v>10</v>
      </c>
      <c r="E18738" s="2" t="str">
        <f>HYPERLINK("http://ts.21cn.com/tousu/show/id/1350645","http://ts.21cn.com/tousu/show/id/1350645")</f>
        <v>http://ts.21cn.com/tousu/show/id/1350645</v>
      </c>
      <c r="F18738" s="2" t="s">
        <v>11</v>
      </c>
      <c r="G18738" s="2" t="s">
        <v>7332</v>
      </c>
      <c r="H18738" s="2" t="s">
        <v>7333</v>
      </c>
    </row>
    <row r="18739" spans="1:8" ht="25.05" customHeight="1" x14ac:dyDescent="0.25">
      <c r="A18739" s="2" t="s">
        <v>8</v>
      </c>
      <c r="B18739" s="2" t="str">
        <f>HYPERLINK("http://ts.21cn.com/tousu/show/id/1350647","虚假/误导宣传,踢皮球不予退款")</f>
        <v>虚假/误导宣传,踢皮球不予退款</v>
      </c>
      <c r="C18739" s="2" t="s">
        <v>9</v>
      </c>
      <c r="D18739" s="2" t="s">
        <v>10</v>
      </c>
      <c r="E18739" s="2" t="str">
        <f>HYPERLINK("http://ts.21cn.com/tousu/show/id/1350647","http://ts.21cn.com/tousu/show/id/1350647")</f>
        <v>http://ts.21cn.com/tousu/show/id/1350647</v>
      </c>
      <c r="F18739" s="2" t="s">
        <v>11</v>
      </c>
      <c r="G18739" s="2" t="s">
        <v>7330</v>
      </c>
      <c r="H18739" s="2" t="s">
        <v>7331</v>
      </c>
    </row>
    <row r="18740" spans="1:8" ht="25.05" customHeight="1" x14ac:dyDescent="0.25">
      <c r="A18740" s="2" t="s">
        <v>8</v>
      </c>
      <c r="B18740" s="2" t="str">
        <f>HYPERLINK("http://ts.21cn.com/tousu/show/id/1350648","天价手续费且恶意催收，恐吓，协商还本金不予回复")</f>
        <v>天价手续费且恶意催收，恐吓，协商还本金不予回复</v>
      </c>
      <c r="C18740" s="2" t="s">
        <v>9</v>
      </c>
      <c r="D18740" s="2" t="s">
        <v>10</v>
      </c>
      <c r="E18740" s="2" t="str">
        <f>HYPERLINK("http://ts.21cn.com/tousu/show/id/1350648","http://ts.21cn.com/tousu/show/id/1350648")</f>
        <v>http://ts.21cn.com/tousu/show/id/1350648</v>
      </c>
      <c r="F18740" s="2" t="s">
        <v>11</v>
      </c>
      <c r="G18740" s="2" t="s">
        <v>7328</v>
      </c>
      <c r="H18740" s="2" t="s">
        <v>7329</v>
      </c>
    </row>
    <row r="18741" spans="1:8" ht="25.05" customHeight="1" x14ac:dyDescent="0.25">
      <c r="A18741" s="2" t="s">
        <v>8</v>
      </c>
      <c r="B18741" s="2" t="str">
        <f>HYPERLINK("http://ts.21cn.com/tousu/show/id/1350649","嘀嗒出行黑心平台")</f>
        <v>嘀嗒出行黑心平台</v>
      </c>
      <c r="C18741" s="2" t="s">
        <v>9</v>
      </c>
      <c r="D18741" s="2" t="s">
        <v>10</v>
      </c>
      <c r="E18741" s="2" t="str">
        <f>HYPERLINK("http://ts.21cn.com/tousu/show/id/1350649","http://ts.21cn.com/tousu/show/id/1350649")</f>
        <v>http://ts.21cn.com/tousu/show/id/1350649</v>
      </c>
      <c r="F18741" s="2" t="s">
        <v>11</v>
      </c>
      <c r="G18741" s="2" t="s">
        <v>7326</v>
      </c>
      <c r="H18741" s="2" t="s">
        <v>7327</v>
      </c>
    </row>
    <row r="18742" spans="1:8" ht="25.05" customHeight="1" x14ac:dyDescent="0.25">
      <c r="A18742" s="2" t="s">
        <v>8</v>
      </c>
      <c r="B18742" s="2" t="str">
        <f>HYPERLINK("http://ts.21cn.com/tousu/show/id/1350650","京东白条暴力催收恐吓")</f>
        <v>京东白条暴力催收恐吓</v>
      </c>
      <c r="C18742" s="2" t="s">
        <v>9</v>
      </c>
      <c r="D18742" s="2" t="s">
        <v>10</v>
      </c>
      <c r="E18742" s="2" t="str">
        <f>HYPERLINK("http://ts.21cn.com/tousu/show/id/1350650","http://ts.21cn.com/tousu/show/id/1350650")</f>
        <v>http://ts.21cn.com/tousu/show/id/1350650</v>
      </c>
      <c r="F18742" s="2" t="s">
        <v>11</v>
      </c>
      <c r="G18742" s="2" t="s">
        <v>7324</v>
      </c>
      <c r="H18742" s="2" t="s">
        <v>7325</v>
      </c>
    </row>
    <row r="18743" spans="1:8" ht="25.05" customHeight="1" x14ac:dyDescent="0.25">
      <c r="A18743" s="2" t="s">
        <v>8</v>
      </c>
      <c r="B18743" s="2" t="str">
        <f>HYPERLINK("http://ts.21cn.com/tousu/show/id/1350651","软暴力催收")</f>
        <v>软暴力催收</v>
      </c>
      <c r="C18743" s="2" t="s">
        <v>9</v>
      </c>
      <c r="D18743" s="2" t="s">
        <v>10</v>
      </c>
      <c r="E18743" s="2" t="str">
        <f>HYPERLINK("http://ts.21cn.com/tousu/show/id/1350651","http://ts.21cn.com/tousu/show/id/1350651")</f>
        <v>http://ts.21cn.com/tousu/show/id/1350651</v>
      </c>
      <c r="F18743" s="2" t="s">
        <v>11</v>
      </c>
      <c r="G18743" s="2" t="s">
        <v>7322</v>
      </c>
      <c r="H18743" s="2" t="s">
        <v>7323</v>
      </c>
    </row>
    <row r="18744" spans="1:8" ht="25.05" customHeight="1" x14ac:dyDescent="0.25">
      <c r="A18744" s="2" t="s">
        <v>8</v>
      </c>
      <c r="B18744" s="2" t="str">
        <f>HYPERLINK("http://ts.21cn.com/tousu/show/id/1350652","速金服放款时间慢，客服联系不了")</f>
        <v>速金服放款时间慢，客服联系不了</v>
      </c>
      <c r="C18744" s="2" t="s">
        <v>34</v>
      </c>
      <c r="D18744" s="2" t="s">
        <v>10</v>
      </c>
      <c r="E18744" s="2" t="str">
        <f>HYPERLINK("http://ts.21cn.com/tousu/show/id/1350652","http://ts.21cn.com/tousu/show/id/1350652")</f>
        <v>http://ts.21cn.com/tousu/show/id/1350652</v>
      </c>
      <c r="F18744" s="2" t="s">
        <v>11</v>
      </c>
      <c r="G18744" s="2" t="s">
        <v>7320</v>
      </c>
      <c r="H18744" s="2" t="s">
        <v>7321</v>
      </c>
    </row>
    <row r="18745" spans="1:8" ht="25.05" customHeight="1" x14ac:dyDescent="0.25">
      <c r="A18745" s="2" t="s">
        <v>8</v>
      </c>
      <c r="B18745" s="2" t="str">
        <f>HYPERLINK("http://ts.21cn.com/tousu/show/id/1350653","投诉高炮暴力催收乱曝光通讯录")</f>
        <v>投诉高炮暴力催收乱曝光通讯录</v>
      </c>
      <c r="C18745" s="2" t="s">
        <v>9</v>
      </c>
      <c r="D18745" s="2" t="s">
        <v>10</v>
      </c>
      <c r="E18745" s="2" t="str">
        <f>HYPERLINK("http://ts.21cn.com/tousu/show/id/1350653","http://ts.21cn.com/tousu/show/id/1350653")</f>
        <v>http://ts.21cn.com/tousu/show/id/1350653</v>
      </c>
      <c r="F18745" s="2" t="s">
        <v>11</v>
      </c>
      <c r="G18745" s="2" t="s">
        <v>7318</v>
      </c>
      <c r="H18745" s="2" t="s">
        <v>7319</v>
      </c>
    </row>
    <row r="18746" spans="1:8" ht="25.05" customHeight="1" x14ac:dyDescent="0.25">
      <c r="A18746" s="2" t="s">
        <v>8</v>
      </c>
      <c r="B18746" s="2" t="str">
        <f>HYPERLINK("http://ts.21cn.com/tousu/show/id/1350655","及贷放款时直接扣除所谓的保费，存在欺诈消费行为")</f>
        <v>及贷放款时直接扣除所谓的保费，存在欺诈消费行为</v>
      </c>
      <c r="C18746" s="2" t="s">
        <v>9</v>
      </c>
      <c r="D18746" s="2" t="s">
        <v>10</v>
      </c>
      <c r="E18746" s="2" t="str">
        <f>HYPERLINK("http://ts.21cn.com/tousu/show/id/1350655","http://ts.21cn.com/tousu/show/id/1350655")</f>
        <v>http://ts.21cn.com/tousu/show/id/1350655</v>
      </c>
      <c r="F18746" s="2" t="s">
        <v>11</v>
      </c>
      <c r="G18746" s="2" t="s">
        <v>7316</v>
      </c>
      <c r="H18746" s="2" t="s">
        <v>7317</v>
      </c>
    </row>
    <row r="18747" spans="1:8" ht="25.05" customHeight="1" x14ac:dyDescent="0.25">
      <c r="A18747" s="2" t="s">
        <v>8</v>
      </c>
      <c r="B18747" s="2" t="str">
        <f>HYPERLINK("http://ts.21cn.com/tousu/show/id/1350425","山东济宁朝花夕拾教育咨询欺诈消费者，虚假宣传，诱导消费")</f>
        <v>山东济宁朝花夕拾教育咨询欺诈消费者，虚假宣传，诱导消费</v>
      </c>
      <c r="C18747" s="2" t="s">
        <v>9</v>
      </c>
      <c r="D18747" s="2" t="s">
        <v>10</v>
      </c>
      <c r="E18747" s="2" t="str">
        <f>HYPERLINK("http://ts.21cn.com/tousu/show/id/1350425","http://ts.21cn.com/tousu/show/id/1350425")</f>
        <v>http://ts.21cn.com/tousu/show/id/1350425</v>
      </c>
      <c r="F18747" s="2" t="s">
        <v>11</v>
      </c>
      <c r="G18747" s="2" t="s">
        <v>7314</v>
      </c>
      <c r="H18747" s="2" t="s">
        <v>7315</v>
      </c>
    </row>
    <row r="18748" spans="1:8" ht="25.05" customHeight="1" x14ac:dyDescent="0.25">
      <c r="A18748" s="2" t="s">
        <v>8</v>
      </c>
      <c r="B18748" s="2" t="str">
        <f>HYPERLINK("http://ts.21cn.com/tousu/show/id/1350657","贷上钱恶意催收")</f>
        <v>贷上钱恶意催收</v>
      </c>
      <c r="C18748" s="2" t="s">
        <v>9</v>
      </c>
      <c r="D18748" s="2" t="s">
        <v>10</v>
      </c>
      <c r="E18748" s="2" t="str">
        <f>HYPERLINK("http://ts.21cn.com/tousu/show/id/1350657","http://ts.21cn.com/tousu/show/id/1350657")</f>
        <v>http://ts.21cn.com/tousu/show/id/1350657</v>
      </c>
      <c r="F18748" s="2" t="s">
        <v>11</v>
      </c>
      <c r="G18748" s="2" t="s">
        <v>7312</v>
      </c>
      <c r="H18748" s="2" t="s">
        <v>7313</v>
      </c>
    </row>
    <row r="18749" spans="1:8" ht="25.05" customHeight="1" x14ac:dyDescent="0.25">
      <c r="A18749" s="2" t="s">
        <v>8</v>
      </c>
      <c r="B18749" s="2" t="str">
        <f>HYPERLINK("http://ts.21cn.com/tousu/show/id/1350658","恒易货恶意造成客户逾期")</f>
        <v>恒易货恶意造成客户逾期</v>
      </c>
      <c r="C18749" s="2" t="s">
        <v>9</v>
      </c>
      <c r="D18749" s="2" t="s">
        <v>10</v>
      </c>
      <c r="E18749" s="2" t="str">
        <f>HYPERLINK("http://ts.21cn.com/tousu/show/id/1350658","http://ts.21cn.com/tousu/show/id/1350658")</f>
        <v>http://ts.21cn.com/tousu/show/id/1350658</v>
      </c>
      <c r="F18749" s="2" t="s">
        <v>11</v>
      </c>
      <c r="G18749" s="2" t="s">
        <v>7310</v>
      </c>
      <c r="H18749" s="2" t="s">
        <v>7311</v>
      </c>
    </row>
    <row r="18750" spans="1:8" ht="25.05" customHeight="1" x14ac:dyDescent="0.25">
      <c r="A18750" s="2" t="s">
        <v>8</v>
      </c>
      <c r="B18750" s="2" t="str">
        <f>HYPERLINK("http://ts.21cn.com/tousu/show/id/1350659","钱站砍头息")</f>
        <v>钱站砍头息</v>
      </c>
      <c r="C18750" s="2" t="s">
        <v>9</v>
      </c>
      <c r="D18750" s="2" t="s">
        <v>10</v>
      </c>
      <c r="E18750" s="2" t="str">
        <f>HYPERLINK("http://ts.21cn.com/tousu/show/id/1350659","http://ts.21cn.com/tousu/show/id/1350659")</f>
        <v>http://ts.21cn.com/tousu/show/id/1350659</v>
      </c>
      <c r="F18750" s="2" t="s">
        <v>11</v>
      </c>
      <c r="G18750" s="2" t="s">
        <v>7308</v>
      </c>
      <c r="H18750" s="2" t="s">
        <v>7309</v>
      </c>
    </row>
    <row r="18751" spans="1:8" ht="25.05" customHeight="1" x14ac:dyDescent="0.25">
      <c r="A18751" s="2" t="s">
        <v>8</v>
      </c>
      <c r="B18751" s="2" t="str">
        <f>HYPERLINK("http://ts.21cn.com/tousu/show/id/1350660","天猫超市购买的食品没有生产日期")</f>
        <v>天猫超市购买的食品没有生产日期</v>
      </c>
      <c r="C18751" s="2" t="s">
        <v>34</v>
      </c>
      <c r="D18751" s="2" t="s">
        <v>10</v>
      </c>
      <c r="E18751" s="2" t="str">
        <f>HYPERLINK("http://ts.21cn.com/tousu/show/id/1350660","http://ts.21cn.com/tousu/show/id/1350660")</f>
        <v>http://ts.21cn.com/tousu/show/id/1350660</v>
      </c>
      <c r="F18751" s="2" t="s">
        <v>11</v>
      </c>
      <c r="G18751" s="2" t="s">
        <v>7306</v>
      </c>
      <c r="H18751" s="2" t="s">
        <v>7307</v>
      </c>
    </row>
    <row r="18752" spans="1:8" ht="25.05" customHeight="1" x14ac:dyDescent="0.25">
      <c r="A18752" s="2" t="s">
        <v>8</v>
      </c>
      <c r="B18752" s="2" t="str">
        <f>HYPERLINK("http://ts.21cn.com/tousu/show/id/1350662","请联系我")</f>
        <v>请联系我</v>
      </c>
      <c r="C18752" s="2" t="s">
        <v>34</v>
      </c>
      <c r="D18752" s="2" t="s">
        <v>10</v>
      </c>
      <c r="E18752" s="2" t="str">
        <f>HYPERLINK("http://ts.21cn.com/tousu/show/id/1350662","http://ts.21cn.com/tousu/show/id/1350662")</f>
        <v>http://ts.21cn.com/tousu/show/id/1350662</v>
      </c>
      <c r="F18752" s="2" t="s">
        <v>11</v>
      </c>
      <c r="G18752" s="2" t="s">
        <v>7303</v>
      </c>
      <c r="H18752" s="2" t="s">
        <v>7304</v>
      </c>
    </row>
    <row r="18753" spans="1:8" ht="25.05" customHeight="1" x14ac:dyDescent="0.25">
      <c r="A18753" s="2" t="s">
        <v>8</v>
      </c>
      <c r="B18753" s="2" t="str">
        <f>HYPERLINK("http://ts.21cn.com/tousu/show/id/1350663","闪银瞬瞬申请延期停止催收")</f>
        <v>闪银瞬瞬申请延期停止催收</v>
      </c>
      <c r="C18753" s="2" t="s">
        <v>9</v>
      </c>
      <c r="D18753" s="2" t="s">
        <v>10</v>
      </c>
      <c r="E18753" s="2" t="str">
        <f>HYPERLINK("http://ts.21cn.com/tousu/show/id/1350663","http://ts.21cn.com/tousu/show/id/1350663")</f>
        <v>http://ts.21cn.com/tousu/show/id/1350663</v>
      </c>
      <c r="F18753" s="2" t="s">
        <v>11</v>
      </c>
      <c r="G18753" s="2" t="s">
        <v>7303</v>
      </c>
      <c r="H18753" s="2" t="s">
        <v>7305</v>
      </c>
    </row>
    <row r="18754" spans="1:8" ht="25.05" customHeight="1" x14ac:dyDescent="0.25">
      <c r="A18754" s="2" t="s">
        <v>8</v>
      </c>
      <c r="B18754" s="2" t="str">
        <f>HYPERLINK("http://ts.21cn.com/tousu/show/id/1350664","宜人贷频繁骚扰电话，诱惑借款")</f>
        <v>宜人贷频繁骚扰电话，诱惑借款</v>
      </c>
      <c r="C18754" s="2" t="s">
        <v>9</v>
      </c>
      <c r="D18754" s="2" t="s">
        <v>10</v>
      </c>
      <c r="E18754" s="2" t="str">
        <f>HYPERLINK("http://ts.21cn.com/tousu/show/id/1350664","http://ts.21cn.com/tousu/show/id/1350664")</f>
        <v>http://ts.21cn.com/tousu/show/id/1350664</v>
      </c>
      <c r="F18754" s="2" t="s">
        <v>11</v>
      </c>
      <c r="G18754" s="2" t="s">
        <v>7301</v>
      </c>
      <c r="H18754" s="2" t="s">
        <v>7302</v>
      </c>
    </row>
    <row r="18755" spans="1:8" ht="25.05" customHeight="1" x14ac:dyDescent="0.25">
      <c r="A18755" s="2" t="s">
        <v>8</v>
      </c>
      <c r="B18755" s="2" t="str">
        <f>HYPERLINK("http://ts.21cn.com/tousu/show/id/1350666","智行火车票销户问题")</f>
        <v>智行火车票销户问题</v>
      </c>
      <c r="C18755" s="2" t="s">
        <v>9</v>
      </c>
      <c r="D18755" s="2" t="s">
        <v>10</v>
      </c>
      <c r="E18755" s="2" t="str">
        <f>HYPERLINK("http://ts.21cn.com/tousu/show/id/1350666","http://ts.21cn.com/tousu/show/id/1350666")</f>
        <v>http://ts.21cn.com/tousu/show/id/1350666</v>
      </c>
      <c r="F18755" s="2" t="s">
        <v>11</v>
      </c>
      <c r="G18755" s="2" t="s">
        <v>7299</v>
      </c>
      <c r="H18755" s="2" t="s">
        <v>7300</v>
      </c>
    </row>
    <row r="18756" spans="1:8" ht="25.05" customHeight="1" x14ac:dyDescent="0.25">
      <c r="A18756" s="2" t="s">
        <v>8</v>
      </c>
      <c r="B18756" s="2" t="str">
        <f>HYPERLINK("http://ts.21cn.com/tousu/show/id/1347515","12306不改签不退票")</f>
        <v>12306不改签不退票</v>
      </c>
      <c r="C18756" s="2" t="s">
        <v>9</v>
      </c>
      <c r="D18756" s="2" t="s">
        <v>10</v>
      </c>
      <c r="E18756" s="2" t="str">
        <f>HYPERLINK("http://ts.21cn.com/tousu/show/id/1347515","http://ts.21cn.com/tousu/show/id/1347515")</f>
        <v>http://ts.21cn.com/tousu/show/id/1347515</v>
      </c>
      <c r="F18756" s="2" t="s">
        <v>11</v>
      </c>
      <c r="G18756" s="2" t="s">
        <v>7297</v>
      </c>
      <c r="H18756" s="2" t="s">
        <v>7298</v>
      </c>
    </row>
    <row r="18757" spans="1:8" ht="25.05" customHeight="1" x14ac:dyDescent="0.25">
      <c r="A18757" s="2" t="s">
        <v>8</v>
      </c>
      <c r="B18757" s="2" t="str">
        <f>HYPERLINK("http://ts.21cn.com/tousu/show/id/1350667","马上消费金融安逸花变相收取利息费用")</f>
        <v>马上消费金融安逸花变相收取利息费用</v>
      </c>
      <c r="C18757" s="2" t="s">
        <v>9</v>
      </c>
      <c r="D18757" s="2" t="s">
        <v>10</v>
      </c>
      <c r="E18757" s="2" t="str">
        <f>HYPERLINK("http://ts.21cn.com/tousu/show/id/1350667","http://ts.21cn.com/tousu/show/id/1350667")</f>
        <v>http://ts.21cn.com/tousu/show/id/1350667</v>
      </c>
      <c r="F18757" s="2" t="s">
        <v>11</v>
      </c>
      <c r="G18757" s="2" t="s">
        <v>7295</v>
      </c>
      <c r="H18757" s="2" t="s">
        <v>7296</v>
      </c>
    </row>
    <row r="18758" spans="1:8" ht="25.05" customHeight="1" x14ac:dyDescent="0.25">
      <c r="A18758" s="2" t="s">
        <v>8</v>
      </c>
      <c r="B18758" s="2" t="str">
        <f>HYPERLINK("http://ts.21cn.com/tousu/show/id/1350668","协商还款时间")</f>
        <v>协商还款时间</v>
      </c>
      <c r="C18758" s="2" t="s">
        <v>34</v>
      </c>
      <c r="D18758" s="2" t="s">
        <v>10</v>
      </c>
      <c r="E18758" s="2" t="str">
        <f>HYPERLINK("http://ts.21cn.com/tousu/show/id/1350668","http://ts.21cn.com/tousu/show/id/1350668")</f>
        <v>http://ts.21cn.com/tousu/show/id/1350668</v>
      </c>
      <c r="F18758" s="2" t="s">
        <v>11</v>
      </c>
      <c r="G18758" s="2" t="s">
        <v>7293</v>
      </c>
      <c r="H18758" s="2" t="s">
        <v>7294</v>
      </c>
    </row>
    <row r="18759" spans="1:8" ht="25.05" customHeight="1" x14ac:dyDescent="0.25">
      <c r="A18759" s="2" t="s">
        <v>8</v>
      </c>
      <c r="B18759" s="2" t="str">
        <f>HYPERLINK("http://ts.21cn.com/tousu/show/id/1350669","要求etc助手取消我的会员权益，退还99元保证金")</f>
        <v>要求etc助手取消我的会员权益，退还99元保证金</v>
      </c>
      <c r="C18759" s="2" t="s">
        <v>34</v>
      </c>
      <c r="D18759" s="2" t="s">
        <v>10</v>
      </c>
      <c r="E18759" s="2" t="str">
        <f>HYPERLINK("http://ts.21cn.com/tousu/show/id/1350669","http://ts.21cn.com/tousu/show/id/1350669")</f>
        <v>http://ts.21cn.com/tousu/show/id/1350669</v>
      </c>
      <c r="F18759" s="2" t="s">
        <v>11</v>
      </c>
      <c r="G18759" s="2" t="s">
        <v>7291</v>
      </c>
      <c r="H18759" s="2" t="s">
        <v>7292</v>
      </c>
    </row>
    <row r="18760" spans="1:8" ht="25.05" customHeight="1" x14ac:dyDescent="0.25">
      <c r="A18760" s="2" t="s">
        <v>8</v>
      </c>
      <c r="B18760" s="2" t="str">
        <f>HYPERLINK("http://ts.21cn.com/tousu/show/id/1350670","宜人贷频繁骚扰，高利贷")</f>
        <v>宜人贷频繁骚扰，高利贷</v>
      </c>
      <c r="C18760" s="2" t="s">
        <v>9</v>
      </c>
      <c r="D18760" s="2" t="s">
        <v>10</v>
      </c>
      <c r="E18760" s="2" t="str">
        <f>HYPERLINK("http://ts.21cn.com/tousu/show/id/1350670","http://ts.21cn.com/tousu/show/id/1350670")</f>
        <v>http://ts.21cn.com/tousu/show/id/1350670</v>
      </c>
      <c r="F18760" s="2" t="s">
        <v>11</v>
      </c>
      <c r="G18760" s="2" t="s">
        <v>7289</v>
      </c>
      <c r="H18760" s="2" t="s">
        <v>7290</v>
      </c>
    </row>
    <row r="18761" spans="1:8" ht="25.05" customHeight="1" x14ac:dyDescent="0.25">
      <c r="A18761" s="2" t="s">
        <v>8</v>
      </c>
      <c r="B18761" s="2" t="str">
        <f>HYPERLINK("http://ts.21cn.com/tousu/show/id/1350671","小花钱包暴力催收，群发短信威胁发照片，违反法律")</f>
        <v>小花钱包暴力催收，群发短信威胁发照片，违反法律</v>
      </c>
      <c r="C18761" s="2" t="s">
        <v>9</v>
      </c>
      <c r="D18761" s="2" t="s">
        <v>10</v>
      </c>
      <c r="E18761" s="2" t="str">
        <f>HYPERLINK("http://ts.21cn.com/tousu/show/id/1350671","http://ts.21cn.com/tousu/show/id/1350671")</f>
        <v>http://ts.21cn.com/tousu/show/id/1350671</v>
      </c>
      <c r="F18761" s="2" t="s">
        <v>11</v>
      </c>
      <c r="G18761" s="2" t="s">
        <v>7287</v>
      </c>
      <c r="H18761" s="2" t="s">
        <v>7288</v>
      </c>
    </row>
    <row r="18762" spans="1:8" ht="25.05" customHeight="1" x14ac:dyDescent="0.25">
      <c r="A18762" s="2" t="s">
        <v>8</v>
      </c>
      <c r="B18762" s="2" t="str">
        <f>HYPERLINK("http://ts.21cn.com/tousu/show/id/1350672","中金公司恶意强行扣款")</f>
        <v>中金公司恶意强行扣款</v>
      </c>
      <c r="C18762" s="2" t="s">
        <v>9</v>
      </c>
      <c r="D18762" s="2" t="s">
        <v>10</v>
      </c>
      <c r="E18762" s="2" t="str">
        <f>HYPERLINK("http://ts.21cn.com/tousu/show/id/1350672","http://ts.21cn.com/tousu/show/id/1350672")</f>
        <v>http://ts.21cn.com/tousu/show/id/1350672</v>
      </c>
      <c r="F18762" s="2" t="s">
        <v>11</v>
      </c>
      <c r="G18762" s="2" t="s">
        <v>7285</v>
      </c>
      <c r="H18762" s="2" t="s">
        <v>7286</v>
      </c>
    </row>
    <row r="18763" spans="1:8" ht="25.05" customHeight="1" x14ac:dyDescent="0.25">
      <c r="A18763" s="2" t="s">
        <v>8</v>
      </c>
      <c r="B18763" s="2" t="str">
        <f>HYPERLINK("http://ts.21cn.com/tousu/show/id/1350673","万惠及贷变相收取高额息费以及暴力催收")</f>
        <v>万惠及贷变相收取高额息费以及暴力催收</v>
      </c>
      <c r="C18763" s="2" t="s">
        <v>9</v>
      </c>
      <c r="D18763" s="2" t="s">
        <v>10</v>
      </c>
      <c r="E18763" s="2" t="str">
        <f>HYPERLINK("http://ts.21cn.com/tousu/show/id/1350673","http://ts.21cn.com/tousu/show/id/1350673")</f>
        <v>http://ts.21cn.com/tousu/show/id/1350673</v>
      </c>
      <c r="F18763" s="2" t="s">
        <v>11</v>
      </c>
      <c r="G18763" s="2" t="s">
        <v>7283</v>
      </c>
      <c r="H18763" s="2" t="s">
        <v>7284</v>
      </c>
    </row>
    <row r="18764" spans="1:8" ht="25.05" customHeight="1" x14ac:dyDescent="0.25">
      <c r="A18764" s="2" t="s">
        <v>8</v>
      </c>
      <c r="B18764" s="2" t="str">
        <f>HYPERLINK("http://ts.21cn.com/tousu/show/id/1350675","中信催收冒充警察，恐吓本人及亲戚朋友")</f>
        <v>中信催收冒充警察，恐吓本人及亲戚朋友</v>
      </c>
      <c r="C18764" s="2" t="s">
        <v>9</v>
      </c>
      <c r="D18764" s="2" t="s">
        <v>10</v>
      </c>
      <c r="E18764" s="2" t="str">
        <f>HYPERLINK("http://ts.21cn.com/tousu/show/id/1350675","http://ts.21cn.com/tousu/show/id/1350675")</f>
        <v>http://ts.21cn.com/tousu/show/id/1350675</v>
      </c>
      <c r="F18764" s="2" t="s">
        <v>11</v>
      </c>
      <c r="G18764" s="2" t="s">
        <v>7280</v>
      </c>
      <c r="H18764" s="2" t="s">
        <v>7281</v>
      </c>
    </row>
    <row r="18765" spans="1:8" ht="25.05" customHeight="1" x14ac:dyDescent="0.25">
      <c r="A18765" s="2" t="s">
        <v>8</v>
      </c>
      <c r="B18765" s="2" t="str">
        <f>HYPERLINK("http://ts.21cn.com/tousu/show/id/1350674","马上消费金融阴阳利息")</f>
        <v>马上消费金融阴阳利息</v>
      </c>
      <c r="C18765" s="2" t="s">
        <v>9</v>
      </c>
      <c r="D18765" s="2" t="s">
        <v>10</v>
      </c>
      <c r="E18765" s="2" t="str">
        <f>HYPERLINK("http://ts.21cn.com/tousu/show/id/1350674","http://ts.21cn.com/tousu/show/id/1350674")</f>
        <v>http://ts.21cn.com/tousu/show/id/1350674</v>
      </c>
      <c r="F18765" s="2" t="s">
        <v>11</v>
      </c>
      <c r="G18765" s="2" t="s">
        <v>7280</v>
      </c>
      <c r="H18765" s="2" t="s">
        <v>7282</v>
      </c>
    </row>
    <row r="18766" spans="1:8" ht="25.05" customHeight="1" x14ac:dyDescent="0.25">
      <c r="A18766" s="2" t="s">
        <v>8</v>
      </c>
      <c r="B18766" s="2" t="str">
        <f>HYPERLINK("http://ts.21cn.com/tousu/show/id/1350676","百川推客忽悠")</f>
        <v>百川推客忽悠</v>
      </c>
      <c r="C18766" s="2" t="s">
        <v>9</v>
      </c>
      <c r="D18766" s="2" t="s">
        <v>10</v>
      </c>
      <c r="E18766" s="2" t="str">
        <f>HYPERLINK("http://ts.21cn.com/tousu/show/id/1350676","http://ts.21cn.com/tousu/show/id/1350676")</f>
        <v>http://ts.21cn.com/tousu/show/id/1350676</v>
      </c>
      <c r="F18766" s="2" t="s">
        <v>11</v>
      </c>
      <c r="G18766" s="2" t="s">
        <v>7278</v>
      </c>
      <c r="H18766" s="2" t="s">
        <v>7279</v>
      </c>
    </row>
    <row r="18767" spans="1:8" ht="25.05" customHeight="1" x14ac:dyDescent="0.25">
      <c r="A18767" s="2" t="s">
        <v>8</v>
      </c>
      <c r="B18767" s="2" t="str">
        <f>HYPERLINK("http://ts.21cn.com/tousu/show/id/1350677","骚扰")</f>
        <v>骚扰</v>
      </c>
      <c r="C18767" s="2" t="s">
        <v>9</v>
      </c>
      <c r="D18767" s="2" t="s">
        <v>10</v>
      </c>
      <c r="E18767" s="2" t="str">
        <f>HYPERLINK("http://ts.21cn.com/tousu/show/id/1350677","http://ts.21cn.com/tousu/show/id/1350677")</f>
        <v>http://ts.21cn.com/tousu/show/id/1350677</v>
      </c>
      <c r="F18767" s="2" t="s">
        <v>11</v>
      </c>
      <c r="G18767" s="2" t="s">
        <v>7276</v>
      </c>
      <c r="H18767" s="2" t="s">
        <v>7277</v>
      </c>
    </row>
    <row r="18768" spans="1:8" ht="25.05" customHeight="1" x14ac:dyDescent="0.25">
      <c r="A18768" s="2" t="s">
        <v>8</v>
      </c>
      <c r="B18768" s="2" t="str">
        <f>HYPERLINK("http://ts.21cn.com/tousu/show/id/1350678","马上消费金融，暴力催收，群发短信，恐吓催收")</f>
        <v>马上消费金融，暴力催收，群发短信，恐吓催收</v>
      </c>
      <c r="C18768" s="2" t="s">
        <v>9</v>
      </c>
      <c r="D18768" s="2" t="s">
        <v>10</v>
      </c>
      <c r="E18768" s="2" t="str">
        <f>HYPERLINK("http://ts.21cn.com/tousu/show/id/1350678","http://ts.21cn.com/tousu/show/id/1350678")</f>
        <v>http://ts.21cn.com/tousu/show/id/1350678</v>
      </c>
      <c r="F18768" s="2" t="s">
        <v>11</v>
      </c>
      <c r="G18768" s="2" t="s">
        <v>7274</v>
      </c>
      <c r="H18768" s="2" t="s">
        <v>7275</v>
      </c>
    </row>
    <row r="18769" spans="1:8" ht="25.05" customHeight="1" x14ac:dyDescent="0.25">
      <c r="A18769" s="2" t="s">
        <v>8</v>
      </c>
      <c r="B18769" s="2" t="str">
        <f>HYPERLINK("http://ts.21cn.com/tousu/show/id/1350679","滴滴账户被别人恶意注销")</f>
        <v>滴滴账户被别人恶意注销</v>
      </c>
      <c r="C18769" s="2" t="s">
        <v>9</v>
      </c>
      <c r="D18769" s="2" t="s">
        <v>10</v>
      </c>
      <c r="E18769" s="2" t="str">
        <f>HYPERLINK("http://ts.21cn.com/tousu/show/id/1350679","http://ts.21cn.com/tousu/show/id/1350679")</f>
        <v>http://ts.21cn.com/tousu/show/id/1350679</v>
      </c>
      <c r="F18769" s="2" t="s">
        <v>11</v>
      </c>
      <c r="G18769" s="2" t="s">
        <v>7272</v>
      </c>
      <c r="H18769" s="2" t="s">
        <v>7273</v>
      </c>
    </row>
    <row r="18770" spans="1:8" ht="25.05" customHeight="1" x14ac:dyDescent="0.25">
      <c r="A18770" s="2" t="s">
        <v>8</v>
      </c>
      <c r="B18770" s="2" t="str">
        <f>HYPERLINK("http://ts.21cn.com/tousu/show/id/1350681","平安普惠贷款隐瞒隐藏并强制收取高额保险费管理费投诉事宜")</f>
        <v>平安普惠贷款隐瞒隐藏并强制收取高额保险费管理费投诉事宜</v>
      </c>
      <c r="C18770" s="2" t="s">
        <v>9</v>
      </c>
      <c r="D18770" s="2" t="s">
        <v>10</v>
      </c>
      <c r="E18770" s="2" t="str">
        <f>HYPERLINK("http://ts.21cn.com/tousu/show/id/1350681","http://ts.21cn.com/tousu/show/id/1350681")</f>
        <v>http://ts.21cn.com/tousu/show/id/1350681</v>
      </c>
      <c r="F18770" s="2" t="s">
        <v>11</v>
      </c>
      <c r="G18770" s="2" t="s">
        <v>7269</v>
      </c>
      <c r="H18770" s="2" t="s">
        <v>7270</v>
      </c>
    </row>
    <row r="18771" spans="1:8" ht="25.05" customHeight="1" x14ac:dyDescent="0.25">
      <c r="A18771" s="2" t="s">
        <v>8</v>
      </c>
      <c r="B18771" s="2" t="str">
        <f>HYPERLINK("http://ts.21cn.com/tousu/show/id/1350680","小象用品高利贷")</f>
        <v>小象用品高利贷</v>
      </c>
      <c r="C18771" s="2" t="s">
        <v>9</v>
      </c>
      <c r="D18771" s="2" t="s">
        <v>10</v>
      </c>
      <c r="E18771" s="2" t="str">
        <f>HYPERLINK("http://ts.21cn.com/tousu/show/id/1350680","http://ts.21cn.com/tousu/show/id/1350680")</f>
        <v>http://ts.21cn.com/tousu/show/id/1350680</v>
      </c>
      <c r="F18771" s="2" t="s">
        <v>11</v>
      </c>
      <c r="G18771" s="2" t="s">
        <v>7269</v>
      </c>
      <c r="H18771" s="2" t="s">
        <v>7271</v>
      </c>
    </row>
    <row r="18772" spans="1:8" ht="25.05" customHeight="1" x14ac:dyDescent="0.25">
      <c r="A18772" s="2" t="s">
        <v>8</v>
      </c>
      <c r="B18772" s="2" t="str">
        <f>HYPERLINK("http://ts.21cn.com/tousu/show/id/1350683","国美网贷乱打催收骚扰电话")</f>
        <v>国美网贷乱打催收骚扰电话</v>
      </c>
      <c r="C18772" s="2" t="s">
        <v>9</v>
      </c>
      <c r="D18772" s="2" t="s">
        <v>10</v>
      </c>
      <c r="E18772" s="2" t="str">
        <f>HYPERLINK("http://ts.21cn.com/tousu/show/id/1350683","http://ts.21cn.com/tousu/show/id/1350683")</f>
        <v>http://ts.21cn.com/tousu/show/id/1350683</v>
      </c>
      <c r="F18772" s="2" t="s">
        <v>11</v>
      </c>
      <c r="G18772" s="2" t="s">
        <v>7267</v>
      </c>
      <c r="H18772" s="2" t="s">
        <v>7268</v>
      </c>
    </row>
    <row r="18773" spans="1:8" ht="25.05" customHeight="1" x14ac:dyDescent="0.25">
      <c r="A18773" s="2" t="s">
        <v>8</v>
      </c>
      <c r="B18773" s="2" t="str">
        <f>HYPERLINK("http://ts.21cn.com/tousu/show/id/1350682","滴滴霸王条款跟报价严重不符")</f>
        <v>滴滴霸王条款跟报价严重不符</v>
      </c>
      <c r="C18773" s="2" t="s">
        <v>9</v>
      </c>
      <c r="D18773" s="2" t="s">
        <v>10</v>
      </c>
      <c r="E18773" s="2" t="str">
        <f>HYPERLINK("http://ts.21cn.com/tousu/show/id/1350682","http://ts.21cn.com/tousu/show/id/1350682")</f>
        <v>http://ts.21cn.com/tousu/show/id/1350682</v>
      </c>
      <c r="F18773" s="2" t="s">
        <v>11</v>
      </c>
      <c r="G18773" s="2" t="s">
        <v>7265</v>
      </c>
      <c r="H18773" s="2" t="s">
        <v>7266</v>
      </c>
    </row>
    <row r="18774" spans="1:8" ht="25.05" customHeight="1" x14ac:dyDescent="0.25">
      <c r="A18774" s="2" t="s">
        <v>8</v>
      </c>
      <c r="B18774" s="2" t="str">
        <f>HYPERLINK("http://ts.21cn.com/tousu/show/id/1350685","暴力催收骚扰家人")</f>
        <v>暴力催收骚扰家人</v>
      </c>
      <c r="C18774" s="2" t="s">
        <v>9</v>
      </c>
      <c r="D18774" s="2" t="s">
        <v>10</v>
      </c>
      <c r="E18774" s="2" t="str">
        <f>HYPERLINK("http://ts.21cn.com/tousu/show/id/1350685","http://ts.21cn.com/tousu/show/id/1350685")</f>
        <v>http://ts.21cn.com/tousu/show/id/1350685</v>
      </c>
      <c r="F18774" s="2" t="s">
        <v>11</v>
      </c>
      <c r="G18774" s="2" t="s">
        <v>7263</v>
      </c>
      <c r="H18774" s="2" t="s">
        <v>7264</v>
      </c>
    </row>
    <row r="18775" spans="1:8" ht="25.05" customHeight="1" x14ac:dyDescent="0.25">
      <c r="A18775" s="2" t="s">
        <v>8</v>
      </c>
      <c r="B18775" s="2" t="str">
        <f>HYPERLINK("http://ts.21cn.com/tousu/show/id/1350684","优钱花恶意诱导开通会员")</f>
        <v>优钱花恶意诱导开通会员</v>
      </c>
      <c r="C18775" s="2" t="s">
        <v>9</v>
      </c>
      <c r="D18775" s="2" t="s">
        <v>10</v>
      </c>
      <c r="E18775" s="2" t="str">
        <f>HYPERLINK("http://ts.21cn.com/tousu/show/id/1350684","http://ts.21cn.com/tousu/show/id/1350684")</f>
        <v>http://ts.21cn.com/tousu/show/id/1350684</v>
      </c>
      <c r="F18775" s="2" t="s">
        <v>11</v>
      </c>
      <c r="G18775" s="2" t="s">
        <v>7261</v>
      </c>
      <c r="H18775" s="2" t="s">
        <v>7262</v>
      </c>
    </row>
    <row r="18776" spans="1:8" ht="25.05" customHeight="1" x14ac:dyDescent="0.25">
      <c r="A18776" s="2" t="s">
        <v>8</v>
      </c>
      <c r="B18776" s="2" t="str">
        <f>HYPERLINK("http://ts.21cn.com/tousu/show/id/1350686","维信卡卡贷恶意骚扰威胁")</f>
        <v>维信卡卡贷恶意骚扰威胁</v>
      </c>
      <c r="C18776" s="2" t="s">
        <v>9</v>
      </c>
      <c r="D18776" s="2" t="s">
        <v>10</v>
      </c>
      <c r="E18776" s="2" t="str">
        <f>HYPERLINK("http://ts.21cn.com/tousu/show/id/1350686","http://ts.21cn.com/tousu/show/id/1350686")</f>
        <v>http://ts.21cn.com/tousu/show/id/1350686</v>
      </c>
      <c r="F18776" s="2" t="s">
        <v>11</v>
      </c>
      <c r="G18776" s="2" t="s">
        <v>7259</v>
      </c>
      <c r="H18776" s="2" t="s">
        <v>7260</v>
      </c>
    </row>
    <row r="18777" spans="1:8" ht="25.05" customHeight="1" x14ac:dyDescent="0.25">
      <c r="A18777" s="2" t="s">
        <v>8</v>
      </c>
      <c r="B18777" s="2" t="str">
        <f>HYPERLINK("http://ts.21cn.com/tousu/show/id/1350688","现金巴士违法高利贷套路贷砍头息暴力催收")</f>
        <v>现金巴士违法高利贷套路贷砍头息暴力催收</v>
      </c>
      <c r="C18777" s="2" t="s">
        <v>9</v>
      </c>
      <c r="D18777" s="2" t="s">
        <v>10</v>
      </c>
      <c r="E18777" s="2" t="str">
        <f>HYPERLINK("http://ts.21cn.com/tousu/show/id/1350688","http://ts.21cn.com/tousu/show/id/1350688")</f>
        <v>http://ts.21cn.com/tousu/show/id/1350688</v>
      </c>
      <c r="F18777" s="2" t="s">
        <v>11</v>
      </c>
      <c r="G18777" s="2" t="s">
        <v>7257</v>
      </c>
      <c r="H18777" s="2" t="s">
        <v>7258</v>
      </c>
    </row>
    <row r="18778" spans="1:8" ht="25.05" customHeight="1" x14ac:dyDescent="0.25">
      <c r="A18778" s="2" t="s">
        <v>8</v>
      </c>
      <c r="B18778" s="2" t="str">
        <f>HYPERLINK("http://ts.21cn.com/tousu/show/id/1350689","拍拍贷高利贷")</f>
        <v>拍拍贷高利贷</v>
      </c>
      <c r="C18778" s="2" t="s">
        <v>9</v>
      </c>
      <c r="D18778" s="2" t="s">
        <v>10</v>
      </c>
      <c r="E18778" s="2" t="str">
        <f>HYPERLINK("http://ts.21cn.com/tousu/show/id/1350689","http://ts.21cn.com/tousu/show/id/1350689")</f>
        <v>http://ts.21cn.com/tousu/show/id/1350689</v>
      </c>
      <c r="F18778" s="2" t="s">
        <v>11</v>
      </c>
      <c r="G18778" s="2" t="s">
        <v>7255</v>
      </c>
      <c r="H18778" s="2" t="s">
        <v>7256</v>
      </c>
    </row>
    <row r="18779" spans="1:8" ht="25.05" customHeight="1" x14ac:dyDescent="0.25">
      <c r="A18779" s="2" t="s">
        <v>8</v>
      </c>
      <c r="B18779" s="2" t="str">
        <f>HYPERLINK("http://ts.21cn.com/tousu/show/id/1350691","滴滴出行虚假宣传！")</f>
        <v>滴滴出行虚假宣传！</v>
      </c>
      <c r="C18779" s="2" t="s">
        <v>9</v>
      </c>
      <c r="D18779" s="2" t="s">
        <v>10</v>
      </c>
      <c r="E18779" s="2" t="str">
        <f>HYPERLINK("http://ts.21cn.com/tousu/show/id/1350691","http://ts.21cn.com/tousu/show/id/1350691")</f>
        <v>http://ts.21cn.com/tousu/show/id/1350691</v>
      </c>
      <c r="F18779" s="2" t="s">
        <v>11</v>
      </c>
      <c r="G18779" s="2" t="s">
        <v>7253</v>
      </c>
      <c r="H18779" s="2" t="s">
        <v>7254</v>
      </c>
    </row>
    <row r="18780" spans="1:8" ht="25.05" customHeight="1" x14ac:dyDescent="0.25">
      <c r="A18780" s="2" t="s">
        <v>8</v>
      </c>
      <c r="B18780" s="2" t="str">
        <f>HYPERLINK("http://ts.21cn.com/tousu/show/id/1350693","拍拍贷骚扰联系人")</f>
        <v>拍拍贷骚扰联系人</v>
      </c>
      <c r="C18780" s="2" t="s">
        <v>9</v>
      </c>
      <c r="D18780" s="2" t="s">
        <v>10</v>
      </c>
      <c r="E18780" s="2" t="str">
        <f>HYPERLINK("http://ts.21cn.com/tousu/show/id/1350693","http://ts.21cn.com/tousu/show/id/1350693")</f>
        <v>http://ts.21cn.com/tousu/show/id/1350693</v>
      </c>
      <c r="F18780" s="2" t="s">
        <v>11</v>
      </c>
      <c r="G18780" s="2" t="s">
        <v>7251</v>
      </c>
      <c r="H18780" s="2" t="s">
        <v>7252</v>
      </c>
    </row>
    <row r="18781" spans="1:8" ht="25.05" customHeight="1" x14ac:dyDescent="0.25">
      <c r="A18781" s="2" t="s">
        <v>8</v>
      </c>
      <c r="B18781" s="2" t="str">
        <f>HYPERLINK("http://ts.21cn.com/tousu/show/id/1350692","看不到贷款合同，放款金额与借款金额不符")</f>
        <v>看不到贷款合同，放款金额与借款金额不符</v>
      </c>
      <c r="C18781" s="2" t="s">
        <v>34</v>
      </c>
      <c r="D18781" s="2" t="s">
        <v>10</v>
      </c>
      <c r="E18781" s="2" t="str">
        <f>HYPERLINK("http://ts.21cn.com/tousu/show/id/1350692","http://ts.21cn.com/tousu/show/id/1350692")</f>
        <v>http://ts.21cn.com/tousu/show/id/1350692</v>
      </c>
      <c r="F18781" s="2" t="s">
        <v>11</v>
      </c>
      <c r="G18781" s="2" t="s">
        <v>7249</v>
      </c>
      <c r="H18781" s="2" t="s">
        <v>7250</v>
      </c>
    </row>
    <row r="18782" spans="1:8" ht="25.05" customHeight="1" x14ac:dyDescent="0.25">
      <c r="A18782" s="2" t="s">
        <v>8</v>
      </c>
      <c r="B18782" s="2" t="str">
        <f>HYPERLINK("http://ts.21cn.com/tousu/show/id/1350694","用钱宝骚扰催收")</f>
        <v>用钱宝骚扰催收</v>
      </c>
      <c r="C18782" s="2" t="s">
        <v>9</v>
      </c>
      <c r="D18782" s="2" t="s">
        <v>10</v>
      </c>
      <c r="E18782" s="2" t="str">
        <f>HYPERLINK("http://ts.21cn.com/tousu/show/id/1350694","http://ts.21cn.com/tousu/show/id/1350694")</f>
        <v>http://ts.21cn.com/tousu/show/id/1350694</v>
      </c>
      <c r="F18782" s="2" t="s">
        <v>11</v>
      </c>
      <c r="G18782" s="2" t="s">
        <v>7247</v>
      </c>
      <c r="H18782" s="2" t="s">
        <v>7248</v>
      </c>
    </row>
    <row r="18783" spans="1:8" ht="25.05" customHeight="1" x14ac:dyDescent="0.25">
      <c r="A18783" s="2" t="s">
        <v>8</v>
      </c>
      <c r="B18783" s="2" t="str">
        <f>HYPERLINK("http://ts.21cn.com/tousu/show/id/1350695","滴滴公司强制多收费用")</f>
        <v>滴滴公司强制多收费用</v>
      </c>
      <c r="C18783" s="2" t="s">
        <v>9</v>
      </c>
      <c r="D18783" s="2" t="s">
        <v>10</v>
      </c>
      <c r="E18783" s="2" t="str">
        <f>HYPERLINK("http://ts.21cn.com/tousu/show/id/1350695","http://ts.21cn.com/tousu/show/id/1350695")</f>
        <v>http://ts.21cn.com/tousu/show/id/1350695</v>
      </c>
      <c r="F18783" s="2" t="s">
        <v>11</v>
      </c>
      <c r="G18783" s="2" t="s">
        <v>7245</v>
      </c>
      <c r="H18783" s="2" t="s">
        <v>7246</v>
      </c>
    </row>
    <row r="18784" spans="1:8" ht="25.05" customHeight="1" x14ac:dyDescent="0.25">
      <c r="A18784" s="2" t="s">
        <v>8</v>
      </c>
      <c r="B18784" s="2" t="str">
        <f>HYPERLINK("http://ts.21cn.com/tousu/show/id/1350696","还呗骚扰，我都没用过给我打几毛电话！")</f>
        <v>还呗骚扰，我都没用过给我打几毛电话！</v>
      </c>
      <c r="C18784" s="2" t="s">
        <v>34</v>
      </c>
      <c r="D18784" s="2" t="s">
        <v>10</v>
      </c>
      <c r="E18784" s="2" t="str">
        <f>HYPERLINK("http://ts.21cn.com/tousu/show/id/1350696","http://ts.21cn.com/tousu/show/id/1350696")</f>
        <v>http://ts.21cn.com/tousu/show/id/1350696</v>
      </c>
      <c r="F18784" s="2" t="s">
        <v>11</v>
      </c>
      <c r="G18784" s="2" t="s">
        <v>7243</v>
      </c>
      <c r="H18784" s="2" t="s">
        <v>7244</v>
      </c>
    </row>
    <row r="18785" spans="1:8" ht="25.05" customHeight="1" x14ac:dyDescent="0.25">
      <c r="A18785" s="2" t="s">
        <v>8</v>
      </c>
      <c r="B18785" s="2" t="str">
        <f>HYPERLINK("http://ts.21cn.com/tousu/show/id/1350699","维信卡卡贷不提供注销账号")</f>
        <v>维信卡卡贷不提供注销账号</v>
      </c>
      <c r="C18785" s="2" t="s">
        <v>9</v>
      </c>
      <c r="D18785" s="2" t="s">
        <v>10</v>
      </c>
      <c r="E18785" s="2" t="str">
        <f>HYPERLINK("http://ts.21cn.com/tousu/show/id/1350699","http://ts.21cn.com/tousu/show/id/1350699")</f>
        <v>http://ts.21cn.com/tousu/show/id/1350699</v>
      </c>
      <c r="F18785" s="2" t="s">
        <v>11</v>
      </c>
      <c r="G18785" s="2" t="s">
        <v>7241</v>
      </c>
      <c r="H18785" s="2" t="s">
        <v>7242</v>
      </c>
    </row>
    <row r="18786" spans="1:8" ht="25.05" customHeight="1" x14ac:dyDescent="0.25">
      <c r="A18786" s="2" t="s">
        <v>8</v>
      </c>
      <c r="B18786" s="2" t="str">
        <f>HYPERLINK("http://ts.21cn.com/tousu/show/id/1350702","懂车帝非法透露个人信息")</f>
        <v>懂车帝非法透露个人信息</v>
      </c>
      <c r="C18786" s="2" t="s">
        <v>9</v>
      </c>
      <c r="D18786" s="2" t="s">
        <v>10</v>
      </c>
      <c r="E18786" s="2" t="str">
        <f>HYPERLINK("http://ts.21cn.com/tousu/show/id/1350702","http://ts.21cn.com/tousu/show/id/1350702")</f>
        <v>http://ts.21cn.com/tousu/show/id/1350702</v>
      </c>
      <c r="F18786" s="2" t="s">
        <v>11</v>
      </c>
      <c r="G18786" s="2" t="s">
        <v>7239</v>
      </c>
      <c r="H18786" s="2" t="s">
        <v>7240</v>
      </c>
    </row>
    <row r="18787" spans="1:8" ht="25.05" customHeight="1" x14ac:dyDescent="0.25">
      <c r="A18787" s="2" t="s">
        <v>8</v>
      </c>
      <c r="B18787" s="2" t="str">
        <f>HYPERLINK("http://ts.21cn.com/tousu/show/id/1350698","白条分期私自扣我银行卡里249元钱，说是会员费")</f>
        <v>白条分期私自扣我银行卡里249元钱，说是会员费</v>
      </c>
      <c r="C18787" s="2" t="s">
        <v>9</v>
      </c>
      <c r="D18787" s="2" t="s">
        <v>10</v>
      </c>
      <c r="E18787" s="2" t="str">
        <f>HYPERLINK("http://ts.21cn.com/tousu/show/id/1350698","http://ts.21cn.com/tousu/show/id/1350698")</f>
        <v>http://ts.21cn.com/tousu/show/id/1350698</v>
      </c>
      <c r="F18787" s="2" t="s">
        <v>11</v>
      </c>
      <c r="G18787" s="2" t="s">
        <v>7237</v>
      </c>
      <c r="H18787" s="2" t="s">
        <v>7238</v>
      </c>
    </row>
    <row r="18788" spans="1:8" ht="25.05" customHeight="1" x14ac:dyDescent="0.25">
      <c r="A18788" s="2" t="s">
        <v>8</v>
      </c>
      <c r="B18788" s="2" t="str">
        <f>HYPERLINK("http://ts.21cn.com/tousu/show/id/1350700","宜人贷高利贷，不给协商")</f>
        <v>宜人贷高利贷，不给协商</v>
      </c>
      <c r="C18788" s="2" t="s">
        <v>9</v>
      </c>
      <c r="D18788" s="2" t="s">
        <v>10</v>
      </c>
      <c r="E18788" s="2" t="str">
        <f>HYPERLINK("http://ts.21cn.com/tousu/show/id/1350700","http://ts.21cn.com/tousu/show/id/1350700")</f>
        <v>http://ts.21cn.com/tousu/show/id/1350700</v>
      </c>
      <c r="F18788" s="2" t="s">
        <v>11</v>
      </c>
      <c r="G18788" s="2" t="s">
        <v>7235</v>
      </c>
      <c r="H18788" s="2" t="s">
        <v>7236</v>
      </c>
    </row>
    <row r="18789" spans="1:8" ht="25.05" customHeight="1" x14ac:dyDescent="0.25">
      <c r="A18789" s="2" t="s">
        <v>8</v>
      </c>
      <c r="B18789" s="2" t="str">
        <f>HYPERLINK("http://ts.21cn.com/tousu/show/id/1350701","及贷公司暴力催收各种骚扰短信电话高利贷")</f>
        <v>及贷公司暴力催收各种骚扰短信电话高利贷</v>
      </c>
      <c r="C18789" s="2" t="s">
        <v>9</v>
      </c>
      <c r="D18789" s="2" t="s">
        <v>10</v>
      </c>
      <c r="E18789" s="2" t="str">
        <f>HYPERLINK("http://ts.21cn.com/tousu/show/id/1350701","http://ts.21cn.com/tousu/show/id/1350701")</f>
        <v>http://ts.21cn.com/tousu/show/id/1350701</v>
      </c>
      <c r="F18789" s="2" t="s">
        <v>11</v>
      </c>
      <c r="G18789" s="2" t="s">
        <v>7233</v>
      </c>
      <c r="H18789" s="2" t="s">
        <v>7234</v>
      </c>
    </row>
    <row r="18790" spans="1:8" ht="25.05" customHeight="1" x14ac:dyDescent="0.25">
      <c r="A18790" s="2" t="s">
        <v>8</v>
      </c>
      <c r="B18790" s="2" t="str">
        <f>HYPERLINK("http://ts.21cn.com/tousu/show/id/1350703","关于美约app乱扣费问题，免费试用后，自动续费会员一年298元")</f>
        <v>关于美约app乱扣费问题，免费试用后，自动续费会员一年298元</v>
      </c>
      <c r="C18790" s="2" t="s">
        <v>34</v>
      </c>
      <c r="D18790" s="2" t="s">
        <v>10</v>
      </c>
      <c r="E18790" s="2" t="str">
        <f>HYPERLINK("http://ts.21cn.com/tousu/show/id/1350703","http://ts.21cn.com/tousu/show/id/1350703")</f>
        <v>http://ts.21cn.com/tousu/show/id/1350703</v>
      </c>
      <c r="F18790" s="2" t="s">
        <v>11</v>
      </c>
      <c r="G18790" s="2" t="s">
        <v>7231</v>
      </c>
      <c r="H18790" s="2" t="s">
        <v>7232</v>
      </c>
    </row>
    <row r="18791" spans="1:8" ht="25.05" customHeight="1" x14ac:dyDescent="0.25">
      <c r="A18791" s="2" t="s">
        <v>8</v>
      </c>
      <c r="B18791" s="2" t="str">
        <f>HYPERLINK("http://ts.21cn.com/tousu/show/id/1350706","微信商户版处罚与实际不符")</f>
        <v>微信商户版处罚与实际不符</v>
      </c>
      <c r="C18791" s="2" t="s">
        <v>9</v>
      </c>
      <c r="D18791" s="2" t="s">
        <v>10</v>
      </c>
      <c r="E18791" s="2" t="str">
        <f>HYPERLINK("http://ts.21cn.com/tousu/show/id/1350706","http://ts.21cn.com/tousu/show/id/1350706")</f>
        <v>http://ts.21cn.com/tousu/show/id/1350706</v>
      </c>
      <c r="F18791" s="2" t="s">
        <v>11</v>
      </c>
      <c r="G18791" s="2" t="s">
        <v>7229</v>
      </c>
      <c r="H18791" s="2" t="s">
        <v>7230</v>
      </c>
    </row>
    <row r="18792" spans="1:8" ht="25.05" customHeight="1" x14ac:dyDescent="0.25">
      <c r="A18792" s="2" t="s">
        <v>8</v>
      </c>
      <c r="B18792" s="2" t="str">
        <f>HYPERLINK("http://ts.21cn.com/tousu/show/id/1350704","钱包易贷暴力催收")</f>
        <v>钱包易贷暴力催收</v>
      </c>
      <c r="C18792" s="2" t="s">
        <v>9</v>
      </c>
      <c r="D18792" s="2" t="s">
        <v>10</v>
      </c>
      <c r="E18792" s="2" t="str">
        <f>HYPERLINK("http://ts.21cn.com/tousu/show/id/1350704","http://ts.21cn.com/tousu/show/id/1350704")</f>
        <v>http://ts.21cn.com/tousu/show/id/1350704</v>
      </c>
      <c r="F18792" s="2" t="s">
        <v>11</v>
      </c>
      <c r="G18792" s="2" t="s">
        <v>7227</v>
      </c>
      <c r="H18792" s="2" t="s">
        <v>7228</v>
      </c>
    </row>
    <row r="18793" spans="1:8" ht="25.05" customHeight="1" x14ac:dyDescent="0.25">
      <c r="A18793" s="2" t="s">
        <v>8</v>
      </c>
      <c r="B18793" s="2" t="str">
        <f>HYPERLINK("http://ts.21cn.com/tousu/show/id/1350708","新橙优品高利贷，暴力催收，强烈要求国家相关执法不能严查")</f>
        <v>新橙优品高利贷，暴力催收，强烈要求国家相关执法不能严查</v>
      </c>
      <c r="C18793" s="2" t="s">
        <v>9</v>
      </c>
      <c r="D18793" s="2" t="s">
        <v>10</v>
      </c>
      <c r="E18793" s="2" t="str">
        <f>HYPERLINK("http://ts.21cn.com/tousu/show/id/1350708","http://ts.21cn.com/tousu/show/id/1350708")</f>
        <v>http://ts.21cn.com/tousu/show/id/1350708</v>
      </c>
      <c r="F18793" s="2" t="s">
        <v>11</v>
      </c>
      <c r="G18793" s="2" t="s">
        <v>7225</v>
      </c>
      <c r="H18793" s="2" t="s">
        <v>7226</v>
      </c>
    </row>
    <row r="18794" spans="1:8" ht="25.05" customHeight="1" x14ac:dyDescent="0.25">
      <c r="A18794" s="2" t="s">
        <v>8</v>
      </c>
      <c r="B18794" s="2" t="str">
        <f>HYPERLINK("http://ts.21cn.com/tousu/show/id/1350710","马上消费金融，暴力催收，群发短信，恐吓催收")</f>
        <v>马上消费金融，暴力催收，群发短信，恐吓催收</v>
      </c>
      <c r="C18794" s="2" t="s">
        <v>9</v>
      </c>
      <c r="D18794" s="2" t="s">
        <v>10</v>
      </c>
      <c r="E18794" s="2" t="str">
        <f>HYPERLINK("http://ts.21cn.com/tousu/show/id/1350710","http://ts.21cn.com/tousu/show/id/1350710")</f>
        <v>http://ts.21cn.com/tousu/show/id/1350710</v>
      </c>
      <c r="F18794" s="2" t="s">
        <v>11</v>
      </c>
      <c r="G18794" s="2" t="s">
        <v>7223</v>
      </c>
      <c r="H18794" s="2" t="s">
        <v>7224</v>
      </c>
    </row>
    <row r="18795" spans="1:8" ht="25.05" customHeight="1" x14ac:dyDescent="0.25">
      <c r="A18795" s="2" t="s">
        <v>8</v>
      </c>
      <c r="B18795" s="2" t="str">
        <f>HYPERLINK("http://ts.21cn.com/tousu/show/id/1350709","易借")</f>
        <v>易借</v>
      </c>
      <c r="C18795" s="2" t="s">
        <v>9</v>
      </c>
      <c r="D18795" s="2" t="s">
        <v>10</v>
      </c>
      <c r="E18795" s="2" t="str">
        <f>HYPERLINK("http://ts.21cn.com/tousu/show/id/1350709","http://ts.21cn.com/tousu/show/id/1350709")</f>
        <v>http://ts.21cn.com/tousu/show/id/1350709</v>
      </c>
      <c r="F18795" s="2" t="s">
        <v>11</v>
      </c>
      <c r="G18795" s="2" t="s">
        <v>7221</v>
      </c>
      <c r="H18795" s="2" t="s">
        <v>7222</v>
      </c>
    </row>
    <row r="18796" spans="1:8" ht="25.05" customHeight="1" x14ac:dyDescent="0.25">
      <c r="A18796" s="2" t="s">
        <v>8</v>
      </c>
      <c r="B18796" s="2" t="str">
        <f>HYPERLINK("http://ts.21cn.com/tousu/show/id/1350711","提前还清任要还高额利息")</f>
        <v>提前还清任要还高额利息</v>
      </c>
      <c r="C18796" s="2" t="s">
        <v>9</v>
      </c>
      <c r="D18796" s="2" t="s">
        <v>10</v>
      </c>
      <c r="E18796" s="2" t="str">
        <f>HYPERLINK("http://ts.21cn.com/tousu/show/id/1350711","http://ts.21cn.com/tousu/show/id/1350711")</f>
        <v>http://ts.21cn.com/tousu/show/id/1350711</v>
      </c>
      <c r="F18796" s="2" t="s">
        <v>11</v>
      </c>
      <c r="G18796" s="2" t="s">
        <v>7219</v>
      </c>
      <c r="H18796" s="2" t="s">
        <v>7220</v>
      </c>
    </row>
    <row r="18797" spans="1:8" ht="25.05" customHeight="1" x14ac:dyDescent="0.25">
      <c r="A18797" s="2" t="s">
        <v>8</v>
      </c>
      <c r="B18797" s="2" t="str">
        <f>HYPERLINK("http://ts.21cn.com/tousu/show/id/1350712","京东暴力催收")</f>
        <v>京东暴力催收</v>
      </c>
      <c r="C18797" s="2" t="s">
        <v>9</v>
      </c>
      <c r="D18797" s="2" t="s">
        <v>10</v>
      </c>
      <c r="E18797" s="2" t="str">
        <f>HYPERLINK("http://ts.21cn.com/tousu/show/id/1350712","http://ts.21cn.com/tousu/show/id/1350712")</f>
        <v>http://ts.21cn.com/tousu/show/id/1350712</v>
      </c>
      <c r="F18797" s="2" t="s">
        <v>11</v>
      </c>
      <c r="G18797" s="2" t="s">
        <v>7216</v>
      </c>
      <c r="H18797" s="2" t="s">
        <v>7217</v>
      </c>
    </row>
    <row r="18798" spans="1:8" ht="25.05" customHeight="1" x14ac:dyDescent="0.25">
      <c r="A18798" s="2" t="s">
        <v>8</v>
      </c>
      <c r="B18798" s="2" t="str">
        <f>HYPERLINK("http://ts.21cn.com/tousu/show/id/1350713","其未经同意电话威胁说骚扰通讯录里亲朋好友")</f>
        <v>其未经同意电话威胁说骚扰通讯录里亲朋好友</v>
      </c>
      <c r="C18798" s="2" t="s">
        <v>9</v>
      </c>
      <c r="D18798" s="2" t="s">
        <v>10</v>
      </c>
      <c r="E18798" s="2" t="str">
        <f>HYPERLINK("http://ts.21cn.com/tousu/show/id/1350713","http://ts.21cn.com/tousu/show/id/1350713")</f>
        <v>http://ts.21cn.com/tousu/show/id/1350713</v>
      </c>
      <c r="F18798" s="2" t="s">
        <v>11</v>
      </c>
      <c r="G18798" s="2" t="s">
        <v>7216</v>
      </c>
      <c r="H18798" s="2" t="s">
        <v>7218</v>
      </c>
    </row>
    <row r="18799" spans="1:8" ht="25.05" customHeight="1" x14ac:dyDescent="0.25">
      <c r="A18799" s="2" t="s">
        <v>8</v>
      </c>
      <c r="B18799" s="2" t="str">
        <f>HYPERLINK("http://ts.21cn.com/tousu/show/id/1350714","小羽分期账单未到期就提前锁手机，客服也联系不上，恶意造成逾期，并且利息超过国家标准")</f>
        <v>小羽分期账单未到期就提前锁手机，客服也联系不上，恶意造成逾期，并且利息超过国家标准</v>
      </c>
      <c r="C18799" s="2" t="s">
        <v>9</v>
      </c>
      <c r="D18799" s="2" t="s">
        <v>10</v>
      </c>
      <c r="E18799" s="2" t="str">
        <f>HYPERLINK("http://ts.21cn.com/tousu/show/id/1350714","http://ts.21cn.com/tousu/show/id/1350714")</f>
        <v>http://ts.21cn.com/tousu/show/id/1350714</v>
      </c>
      <c r="F18799" s="2" t="s">
        <v>11</v>
      </c>
      <c r="G18799" s="2" t="s">
        <v>7214</v>
      </c>
      <c r="H18799" s="2" t="s">
        <v>7215</v>
      </c>
    </row>
    <row r="18800" spans="1:8" ht="25.05" customHeight="1" x14ac:dyDescent="0.25">
      <c r="A18800" s="2" t="s">
        <v>8</v>
      </c>
      <c r="B18800" s="2" t="str">
        <f>HYPERLINK("http://ts.21cn.com/tousu/show/id/1350716","分期乐平台骚扰我家人")</f>
        <v>分期乐平台骚扰我家人</v>
      </c>
      <c r="C18800" s="2" t="s">
        <v>9</v>
      </c>
      <c r="D18800" s="2" t="s">
        <v>10</v>
      </c>
      <c r="E18800" s="2" t="str">
        <f>HYPERLINK("http://ts.21cn.com/tousu/show/id/1350716","http://ts.21cn.com/tousu/show/id/1350716")</f>
        <v>http://ts.21cn.com/tousu/show/id/1350716</v>
      </c>
      <c r="F18800" s="2" t="s">
        <v>11</v>
      </c>
      <c r="G18800" s="2" t="s">
        <v>7212</v>
      </c>
      <c r="H18800" s="2" t="s">
        <v>7213</v>
      </c>
    </row>
    <row r="18801" spans="1:8" ht="25.05" customHeight="1" x14ac:dyDescent="0.25">
      <c r="A18801" s="2" t="s">
        <v>8</v>
      </c>
      <c r="B18801" s="2" t="str">
        <f>HYPERLINK("http://ts.21cn.com/tousu/show/id/1350715","小花钱包爆通迅录")</f>
        <v>小花钱包爆通迅录</v>
      </c>
      <c r="C18801" s="2" t="s">
        <v>9</v>
      </c>
      <c r="D18801" s="2" t="s">
        <v>10</v>
      </c>
      <c r="E18801" s="2" t="str">
        <f>HYPERLINK("http://ts.21cn.com/tousu/show/id/1350715","http://ts.21cn.com/tousu/show/id/1350715")</f>
        <v>http://ts.21cn.com/tousu/show/id/1350715</v>
      </c>
      <c r="F18801" s="2" t="s">
        <v>11</v>
      </c>
      <c r="G18801" s="2" t="s">
        <v>7210</v>
      </c>
      <c r="H18801" s="2" t="s">
        <v>7211</v>
      </c>
    </row>
    <row r="18802" spans="1:8" ht="25.05" customHeight="1" x14ac:dyDescent="0.25">
      <c r="A18802" s="2" t="s">
        <v>8</v>
      </c>
      <c r="B18802" s="2" t="str">
        <f>HYPERLINK("http://ts.21cn.com/tousu/show/id/1350718","要求现金巴士退还违法砍头息高利贷套路贷")</f>
        <v>要求现金巴士退还违法砍头息高利贷套路贷</v>
      </c>
      <c r="C18802" s="2" t="s">
        <v>9</v>
      </c>
      <c r="D18802" s="2" t="s">
        <v>10</v>
      </c>
      <c r="E18802" s="2" t="str">
        <f>HYPERLINK("http://ts.21cn.com/tousu/show/id/1350718","http://ts.21cn.com/tousu/show/id/1350718")</f>
        <v>http://ts.21cn.com/tousu/show/id/1350718</v>
      </c>
      <c r="F18802" s="2" t="s">
        <v>11</v>
      </c>
      <c r="G18802" s="2" t="s">
        <v>7208</v>
      </c>
      <c r="H18802" s="2" t="s">
        <v>7209</v>
      </c>
    </row>
    <row r="18803" spans="1:8" ht="25.05" customHeight="1" x14ac:dyDescent="0.25">
      <c r="A18803" s="2" t="s">
        <v>8</v>
      </c>
      <c r="B18803" s="2" t="str">
        <f>HYPERLINK("http://ts.21cn.com/tousu/show/id/1350719","马上金融现金贷不给减免客服无信誉")</f>
        <v>马上金融现金贷不给减免客服无信誉</v>
      </c>
      <c r="C18803" s="2" t="s">
        <v>9</v>
      </c>
      <c r="D18803" s="2" t="s">
        <v>10</v>
      </c>
      <c r="E18803" s="2" t="str">
        <f>HYPERLINK("http://ts.21cn.com/tousu/show/id/1350719","http://ts.21cn.com/tousu/show/id/1350719")</f>
        <v>http://ts.21cn.com/tousu/show/id/1350719</v>
      </c>
      <c r="F18803" s="2" t="s">
        <v>11</v>
      </c>
      <c r="G18803" s="2" t="s">
        <v>7206</v>
      </c>
      <c r="H18803" s="2" t="s">
        <v>7207</v>
      </c>
    </row>
    <row r="18804" spans="1:8" ht="25.05" customHeight="1" x14ac:dyDescent="0.25">
      <c r="A18804" s="2" t="s">
        <v>8</v>
      </c>
      <c r="B18804" s="2" t="str">
        <f>HYPERLINK("http://ts.21cn.com/tousu/show/id/1350720","对还贷人的欺诈")</f>
        <v>对还贷人的欺诈</v>
      </c>
      <c r="C18804" s="2" t="s">
        <v>9</v>
      </c>
      <c r="D18804" s="2" t="s">
        <v>10</v>
      </c>
      <c r="E18804" s="2" t="str">
        <f>HYPERLINK("http://ts.21cn.com/tousu/show/id/1350720","http://ts.21cn.com/tousu/show/id/1350720")</f>
        <v>http://ts.21cn.com/tousu/show/id/1350720</v>
      </c>
      <c r="F18804" s="2" t="s">
        <v>11</v>
      </c>
      <c r="G18804" s="2" t="s">
        <v>7204</v>
      </c>
      <c r="H18804" s="2" t="s">
        <v>7205</v>
      </c>
    </row>
    <row r="18805" spans="1:8" ht="25.05" customHeight="1" x14ac:dyDescent="0.25">
      <c r="A18805" s="2" t="s">
        <v>8</v>
      </c>
      <c r="B18805" s="2" t="str">
        <f>HYPERLINK("http://ts.21cn.com/tousu/show/id/1350721","海尔滚筒洗衣机售后")</f>
        <v>海尔滚筒洗衣机售后</v>
      </c>
      <c r="C18805" s="2" t="s">
        <v>9</v>
      </c>
      <c r="D18805" s="2" t="s">
        <v>10</v>
      </c>
      <c r="E18805" s="2" t="str">
        <f>HYPERLINK("http://ts.21cn.com/tousu/show/id/1350721","http://ts.21cn.com/tousu/show/id/1350721")</f>
        <v>http://ts.21cn.com/tousu/show/id/1350721</v>
      </c>
      <c r="F18805" s="2" t="s">
        <v>11</v>
      </c>
      <c r="G18805" s="2" t="s">
        <v>7202</v>
      </c>
      <c r="H18805" s="2" t="s">
        <v>7203</v>
      </c>
    </row>
    <row r="18806" spans="1:8" ht="25.05" customHeight="1" x14ac:dyDescent="0.25">
      <c r="A18806" s="2" t="s">
        <v>8</v>
      </c>
      <c r="B18806" s="2" t="str">
        <f>HYPERLINK("http://ts.21cn.com/tousu/show/id/1350724","微品分期高利贷、催收")</f>
        <v>微品分期高利贷、催收</v>
      </c>
      <c r="C18806" s="2" t="s">
        <v>9</v>
      </c>
      <c r="D18806" s="2" t="s">
        <v>10</v>
      </c>
      <c r="E18806" s="2" t="str">
        <f>HYPERLINK("http://ts.21cn.com/tousu/show/id/1350724","http://ts.21cn.com/tousu/show/id/1350724")</f>
        <v>http://ts.21cn.com/tousu/show/id/1350724</v>
      </c>
      <c r="F18806" s="2" t="s">
        <v>11</v>
      </c>
      <c r="G18806" s="2" t="s">
        <v>7200</v>
      </c>
      <c r="H18806" s="2" t="s">
        <v>7201</v>
      </c>
    </row>
    <row r="18807" spans="1:8" ht="25.05" customHeight="1" x14ac:dyDescent="0.25">
      <c r="A18807" s="2" t="s">
        <v>8</v>
      </c>
      <c r="B18807" s="2" t="str">
        <f>HYPERLINK("http://ts.21cn.com/tousu/show/id/1350723","联动优势辽宁科技有限公司")</f>
        <v>联动优势辽宁科技有限公司</v>
      </c>
      <c r="C18807" s="2" t="s">
        <v>9</v>
      </c>
      <c r="D18807" s="2" t="s">
        <v>10</v>
      </c>
      <c r="E18807" s="2" t="str">
        <f>HYPERLINK("http://ts.21cn.com/tousu/show/id/1350723","http://ts.21cn.com/tousu/show/id/1350723")</f>
        <v>http://ts.21cn.com/tousu/show/id/1350723</v>
      </c>
      <c r="F18807" s="2" t="s">
        <v>11</v>
      </c>
      <c r="G18807" s="2" t="s">
        <v>7198</v>
      </c>
      <c r="H18807" s="2" t="s">
        <v>7199</v>
      </c>
    </row>
    <row r="18808" spans="1:8" ht="25.05" customHeight="1" x14ac:dyDescent="0.25">
      <c r="A18808" s="2" t="s">
        <v>8</v>
      </c>
      <c r="B18808" s="2" t="str">
        <f>HYPERLINK("http://ts.21cn.com/tousu/show/id/1350725","我要投诉网贷还呗")</f>
        <v>我要投诉网贷还呗</v>
      </c>
      <c r="C18808" s="2" t="s">
        <v>9</v>
      </c>
      <c r="D18808" s="2" t="s">
        <v>10</v>
      </c>
      <c r="E18808" s="2" t="str">
        <f>HYPERLINK("http://ts.21cn.com/tousu/show/id/1350725","http://ts.21cn.com/tousu/show/id/1350725")</f>
        <v>http://ts.21cn.com/tousu/show/id/1350725</v>
      </c>
      <c r="F18808" s="2" t="s">
        <v>11</v>
      </c>
      <c r="G18808" s="2" t="s">
        <v>7196</v>
      </c>
      <c r="H18808" s="2" t="s">
        <v>7197</v>
      </c>
    </row>
    <row r="18809" spans="1:8" ht="25.05" customHeight="1" x14ac:dyDescent="0.25">
      <c r="A18809" s="2" t="s">
        <v>8</v>
      </c>
      <c r="B18809" s="2" t="str">
        <f>HYPERLINK("http://ts.21cn.com/tousu/show/id/1350726","滴滴司机恶意收费")</f>
        <v>滴滴司机恶意收费</v>
      </c>
      <c r="C18809" s="2" t="s">
        <v>9</v>
      </c>
      <c r="D18809" s="2" t="s">
        <v>10</v>
      </c>
      <c r="E18809" s="2" t="str">
        <f>HYPERLINK("http://ts.21cn.com/tousu/show/id/1350726","http://ts.21cn.com/tousu/show/id/1350726")</f>
        <v>http://ts.21cn.com/tousu/show/id/1350726</v>
      </c>
      <c r="F18809" s="2" t="s">
        <v>11</v>
      </c>
      <c r="G18809" s="2" t="s">
        <v>7194</v>
      </c>
      <c r="H18809" s="2" t="s">
        <v>7195</v>
      </c>
    </row>
    <row r="18810" spans="1:8" ht="25.05" customHeight="1" x14ac:dyDescent="0.25">
      <c r="A18810" s="2" t="s">
        <v>8</v>
      </c>
      <c r="B18810" s="2" t="str">
        <f>HYPERLINK("http://ts.21cn.com/tousu/show/id/1350727","软暴力催收")</f>
        <v>软暴力催收</v>
      </c>
      <c r="C18810" s="2" t="s">
        <v>9</v>
      </c>
      <c r="D18810" s="2" t="s">
        <v>10</v>
      </c>
      <c r="E18810" s="2" t="str">
        <f>HYPERLINK("http://ts.21cn.com/tousu/show/id/1350727","http://ts.21cn.com/tousu/show/id/1350727")</f>
        <v>http://ts.21cn.com/tousu/show/id/1350727</v>
      </c>
      <c r="F18810" s="2" t="s">
        <v>11</v>
      </c>
      <c r="G18810" s="2" t="s">
        <v>7192</v>
      </c>
      <c r="H18810" s="2" t="s">
        <v>7193</v>
      </c>
    </row>
    <row r="18811" spans="1:8" ht="25.05" customHeight="1" x14ac:dyDescent="0.25">
      <c r="A18811" s="2" t="s">
        <v>8</v>
      </c>
      <c r="B18811" s="2" t="str">
        <f>HYPERLINK("http://ts.21cn.com/tousu/show/id/1350729","安逸花隐形保险，灵活还款包强制购买")</f>
        <v>安逸花隐形保险，灵活还款包强制购买</v>
      </c>
      <c r="C18811" s="2" t="s">
        <v>9</v>
      </c>
      <c r="D18811" s="2" t="s">
        <v>10</v>
      </c>
      <c r="E18811" s="2" t="str">
        <f>HYPERLINK("http://ts.21cn.com/tousu/show/id/1350729","http://ts.21cn.com/tousu/show/id/1350729")</f>
        <v>http://ts.21cn.com/tousu/show/id/1350729</v>
      </c>
      <c r="F18811" s="2" t="s">
        <v>11</v>
      </c>
      <c r="G18811" s="2" t="s">
        <v>7190</v>
      </c>
      <c r="H18811" s="2" t="s">
        <v>7191</v>
      </c>
    </row>
    <row r="18812" spans="1:8" ht="25.05" customHeight="1" x14ac:dyDescent="0.25">
      <c r="A18812" s="2" t="s">
        <v>8</v>
      </c>
      <c r="B18812" s="2" t="str">
        <f>HYPERLINK("http://ts.21cn.com/tousu/show/id/1350730","白条分期私自扣银行卡249收取249元会员费")</f>
        <v>白条分期私自扣银行卡249收取249元会员费</v>
      </c>
      <c r="C18812" s="2" t="s">
        <v>9</v>
      </c>
      <c r="D18812" s="2" t="s">
        <v>10</v>
      </c>
      <c r="E18812" s="2" t="str">
        <f>HYPERLINK("http://ts.21cn.com/tousu/show/id/1350730","http://ts.21cn.com/tousu/show/id/1350730")</f>
        <v>http://ts.21cn.com/tousu/show/id/1350730</v>
      </c>
      <c r="F18812" s="2" t="s">
        <v>11</v>
      </c>
      <c r="G18812" s="2" t="s">
        <v>7188</v>
      </c>
      <c r="H18812" s="2" t="s">
        <v>7189</v>
      </c>
    </row>
    <row r="18813" spans="1:8" ht="25.05" customHeight="1" x14ac:dyDescent="0.25">
      <c r="A18813" s="2" t="s">
        <v>8</v>
      </c>
      <c r="B18813" s="2" t="str">
        <f>HYPERLINK("http://ts.21cn.com/tousu/show/id/1350731","深圳市随手记科技有限公司在用户借款时强制用户购买还款保障金以及会员权益费")</f>
        <v>深圳市随手记科技有限公司在用户借款时强制用户购买还款保障金以及会员权益费</v>
      </c>
      <c r="C18813" s="2" t="s">
        <v>9</v>
      </c>
      <c r="D18813" s="2" t="s">
        <v>10</v>
      </c>
      <c r="E18813" s="2" t="str">
        <f>HYPERLINK("http://ts.21cn.com/tousu/show/id/1350731","http://ts.21cn.com/tousu/show/id/1350731")</f>
        <v>http://ts.21cn.com/tousu/show/id/1350731</v>
      </c>
      <c r="F18813" s="2" t="s">
        <v>11</v>
      </c>
      <c r="G18813" s="2" t="s">
        <v>7186</v>
      </c>
      <c r="H18813" s="2" t="s">
        <v>7187</v>
      </c>
    </row>
    <row r="18814" spans="1:8" ht="25.05" customHeight="1" x14ac:dyDescent="0.25">
      <c r="A18814" s="2" t="s">
        <v>8</v>
      </c>
      <c r="B18814" s="2" t="str">
        <f>HYPERLINK("http://ts.21cn.com/tousu/show/id/1350732","万达普惠泄露个人隐私")</f>
        <v>万达普惠泄露个人隐私</v>
      </c>
      <c r="C18814" s="2" t="s">
        <v>34</v>
      </c>
      <c r="D18814" s="2" t="s">
        <v>10</v>
      </c>
      <c r="E18814" s="2" t="str">
        <f>HYPERLINK("http://ts.21cn.com/tousu/show/id/1350732","http://ts.21cn.com/tousu/show/id/1350732")</f>
        <v>http://ts.21cn.com/tousu/show/id/1350732</v>
      </c>
      <c r="F18814" s="2" t="s">
        <v>11</v>
      </c>
      <c r="G18814" s="2" t="s">
        <v>7184</v>
      </c>
      <c r="H18814" s="2" t="s">
        <v>7185</v>
      </c>
    </row>
    <row r="18815" spans="1:8" ht="25.05" customHeight="1" x14ac:dyDescent="0.25">
      <c r="A18815" s="2" t="s">
        <v>8</v>
      </c>
      <c r="B18815" s="2" t="str">
        <f>HYPERLINK("http://ts.21cn.com/tousu/show/id/1350733","滴滴出行给公众一个解释，客服不管，只有在这里来")</f>
        <v>滴滴出行给公众一个解释，客服不管，只有在这里来</v>
      </c>
      <c r="C18815" s="2" t="s">
        <v>9</v>
      </c>
      <c r="D18815" s="2" t="s">
        <v>10</v>
      </c>
      <c r="E18815" s="2" t="str">
        <f>HYPERLINK("http://ts.21cn.com/tousu/show/id/1350733","http://ts.21cn.com/tousu/show/id/1350733")</f>
        <v>http://ts.21cn.com/tousu/show/id/1350733</v>
      </c>
      <c r="F18815" s="2" t="s">
        <v>11</v>
      </c>
      <c r="G18815" s="2" t="s">
        <v>7182</v>
      </c>
      <c r="H18815" s="2" t="s">
        <v>7183</v>
      </c>
    </row>
    <row r="18816" spans="1:8" ht="25.05" customHeight="1" x14ac:dyDescent="0.25">
      <c r="A18816" s="2" t="s">
        <v>8</v>
      </c>
      <c r="B18816" s="2" t="str">
        <f>HYPERLINK("http://ts.21cn.com/tousu/show/id/1350687","蚂蚁金服花呗借呗暴力催收")</f>
        <v>蚂蚁金服花呗借呗暴力催收</v>
      </c>
      <c r="C18816" s="2" t="s">
        <v>9</v>
      </c>
      <c r="D18816" s="2" t="s">
        <v>10</v>
      </c>
      <c r="E18816" s="2" t="str">
        <f>HYPERLINK("http://ts.21cn.com/tousu/show/id/1350687","http://ts.21cn.com/tousu/show/id/1350687")</f>
        <v>http://ts.21cn.com/tousu/show/id/1350687</v>
      </c>
      <c r="F18816" s="2" t="s">
        <v>11</v>
      </c>
      <c r="G18816" s="2" t="s">
        <v>7180</v>
      </c>
      <c r="H18816" s="2" t="s">
        <v>7181</v>
      </c>
    </row>
    <row r="18817" spans="1:8" ht="25.05" customHeight="1" x14ac:dyDescent="0.25">
      <c r="A18817" s="2" t="s">
        <v>8</v>
      </c>
      <c r="B18817" s="2" t="str">
        <f>HYPERLINK("http://ts.21cn.com/tousu/show/id/1350736","恐吓我催收")</f>
        <v>恐吓我催收</v>
      </c>
      <c r="C18817" s="2" t="s">
        <v>9</v>
      </c>
      <c r="D18817" s="2" t="s">
        <v>10</v>
      </c>
      <c r="E18817" s="2" t="str">
        <f>HYPERLINK("http://ts.21cn.com/tousu/show/id/1350736","http://ts.21cn.com/tousu/show/id/1350736")</f>
        <v>http://ts.21cn.com/tousu/show/id/1350736</v>
      </c>
      <c r="F18817" s="2" t="s">
        <v>11</v>
      </c>
      <c r="G18817" s="2" t="s">
        <v>7178</v>
      </c>
      <c r="H18817" s="2" t="s">
        <v>7179</v>
      </c>
    </row>
    <row r="18818" spans="1:8" ht="25.05" customHeight="1" x14ac:dyDescent="0.25">
      <c r="A18818" s="2" t="s">
        <v>8</v>
      </c>
      <c r="B18818" s="2" t="str">
        <f>HYPERLINK("http://ts.21cn.com/tousu/show/id/1350734","钱站app平台贷款服务费太高")</f>
        <v>钱站app平台贷款服务费太高</v>
      </c>
      <c r="C18818" s="2" t="s">
        <v>34</v>
      </c>
      <c r="D18818" s="2" t="s">
        <v>10</v>
      </c>
      <c r="E18818" s="2" t="str">
        <f>HYPERLINK("http://ts.21cn.com/tousu/show/id/1350734","http://ts.21cn.com/tousu/show/id/1350734")</f>
        <v>http://ts.21cn.com/tousu/show/id/1350734</v>
      </c>
      <c r="F18818" s="2" t="s">
        <v>11</v>
      </c>
      <c r="G18818" s="2" t="s">
        <v>7176</v>
      </c>
      <c r="H18818" s="2" t="s">
        <v>7177</v>
      </c>
    </row>
    <row r="18819" spans="1:8" ht="25.05" customHeight="1" x14ac:dyDescent="0.25">
      <c r="A18819" s="2" t="s">
        <v>8</v>
      </c>
      <c r="B18819" s="2" t="str">
        <f>HYPERLINK("http://ts.21cn.com/tousu/show/id/1350735","马上消费金融恶意电话骚扰")</f>
        <v>马上消费金融恶意电话骚扰</v>
      </c>
      <c r="C18819" s="2" t="s">
        <v>9</v>
      </c>
      <c r="D18819" s="2" t="s">
        <v>10</v>
      </c>
      <c r="E18819" s="2" t="str">
        <f>HYPERLINK("http://ts.21cn.com/tousu/show/id/1350735","http://ts.21cn.com/tousu/show/id/1350735")</f>
        <v>http://ts.21cn.com/tousu/show/id/1350735</v>
      </c>
      <c r="F18819" s="2" t="s">
        <v>11</v>
      </c>
      <c r="G18819" s="2" t="s">
        <v>7174</v>
      </c>
      <c r="H18819" s="2" t="s">
        <v>7175</v>
      </c>
    </row>
    <row r="18820" spans="1:8" ht="25.05" customHeight="1" x14ac:dyDescent="0.25">
      <c r="A18820" s="2" t="s">
        <v>8</v>
      </c>
      <c r="B18820" s="2" t="str">
        <f>HYPERLINK("http://ts.21cn.com/tousu/show/id/1350739","凡普金科")</f>
        <v>凡普金科</v>
      </c>
      <c r="C18820" s="2" t="s">
        <v>9</v>
      </c>
      <c r="D18820" s="2" t="s">
        <v>10</v>
      </c>
      <c r="E18820" s="2" t="str">
        <f>HYPERLINK("http://ts.21cn.com/tousu/show/id/1350739","http://ts.21cn.com/tousu/show/id/1350739")</f>
        <v>http://ts.21cn.com/tousu/show/id/1350739</v>
      </c>
      <c r="F18820" s="2" t="s">
        <v>11</v>
      </c>
      <c r="G18820" s="2" t="s">
        <v>7172</v>
      </c>
      <c r="H18820" s="2" t="s">
        <v>7173</v>
      </c>
    </row>
    <row r="18821" spans="1:8" ht="25.05" customHeight="1" x14ac:dyDescent="0.25">
      <c r="A18821" s="2" t="s">
        <v>8</v>
      </c>
      <c r="B18821" s="2" t="str">
        <f>HYPERLINK("http://ts.21cn.com/tousu/show/id/1350741","恶意扣除砍头息")</f>
        <v>恶意扣除砍头息</v>
      </c>
      <c r="C18821" s="2" t="s">
        <v>9</v>
      </c>
      <c r="D18821" s="2" t="s">
        <v>10</v>
      </c>
      <c r="E18821" s="2" t="str">
        <f>HYPERLINK("http://ts.21cn.com/tousu/show/id/1350741","http://ts.21cn.com/tousu/show/id/1350741")</f>
        <v>http://ts.21cn.com/tousu/show/id/1350741</v>
      </c>
      <c r="F18821" s="2" t="s">
        <v>11</v>
      </c>
      <c r="G18821" s="2" t="s">
        <v>7170</v>
      </c>
      <c r="H18821" s="2" t="s">
        <v>7171</v>
      </c>
    </row>
    <row r="18822" spans="1:8" ht="25.05" customHeight="1" x14ac:dyDescent="0.25">
      <c r="A18822" s="2" t="s">
        <v>8</v>
      </c>
      <c r="B18822" s="2" t="str">
        <f>HYPERLINK("http://ts.21cn.com/tousu/show/id/1350740","爆我通讯录，我电话都是畅通的说联系不到我")</f>
        <v>爆我通讯录，我电话都是畅通的说联系不到我</v>
      </c>
      <c r="C18822" s="2" t="s">
        <v>34</v>
      </c>
      <c r="D18822" s="2" t="s">
        <v>10</v>
      </c>
      <c r="E18822" s="2" t="str">
        <f>HYPERLINK("http://ts.21cn.com/tousu/show/id/1350740","http://ts.21cn.com/tousu/show/id/1350740")</f>
        <v>http://ts.21cn.com/tousu/show/id/1350740</v>
      </c>
      <c r="F18822" s="2" t="s">
        <v>11</v>
      </c>
      <c r="G18822" s="2" t="s">
        <v>7168</v>
      </c>
      <c r="H18822" s="2" t="s">
        <v>7169</v>
      </c>
    </row>
    <row r="18823" spans="1:8" ht="25.05" customHeight="1" x14ac:dyDescent="0.25">
      <c r="A18823" s="2" t="s">
        <v>8</v>
      </c>
      <c r="B18823" s="2" t="str">
        <f>HYPERLINK("http://ts.21cn.com/tousu/show/id/1350743","无故收到富友支付转账给我1636.5多元。不知道哪里来的。")</f>
        <v>无故收到富友支付转账给我1636.5多元。不知道哪里来的。</v>
      </c>
      <c r="C18823" s="2" t="s">
        <v>9</v>
      </c>
      <c r="D18823" s="2" t="s">
        <v>10</v>
      </c>
      <c r="E18823" s="2" t="str">
        <f>HYPERLINK("http://ts.21cn.com/tousu/show/id/1350743","http://ts.21cn.com/tousu/show/id/1350743")</f>
        <v>http://ts.21cn.com/tousu/show/id/1350743</v>
      </c>
      <c r="F18823" s="2" t="s">
        <v>11</v>
      </c>
      <c r="G18823" s="2" t="s">
        <v>7166</v>
      </c>
      <c r="H18823" s="2" t="s">
        <v>7167</v>
      </c>
    </row>
    <row r="18824" spans="1:8" ht="25.05" customHeight="1" x14ac:dyDescent="0.25">
      <c r="A18824" s="2" t="s">
        <v>8</v>
      </c>
      <c r="B18824" s="2" t="str">
        <f>HYPERLINK("http://ts.21cn.com/tousu/show/id/1350744","拍拍贷到处打电话爆我通讯录")</f>
        <v>拍拍贷到处打电话爆我通讯录</v>
      </c>
      <c r="C18824" s="2" t="s">
        <v>9</v>
      </c>
      <c r="D18824" s="2" t="s">
        <v>10</v>
      </c>
      <c r="E18824" s="2" t="str">
        <f>HYPERLINK("http://ts.21cn.com/tousu/show/id/1350744","http://ts.21cn.com/tousu/show/id/1350744")</f>
        <v>http://ts.21cn.com/tousu/show/id/1350744</v>
      </c>
      <c r="F18824" s="2" t="s">
        <v>11</v>
      </c>
      <c r="G18824" s="2" t="s">
        <v>7164</v>
      </c>
      <c r="H18824" s="2" t="s">
        <v>7165</v>
      </c>
    </row>
    <row r="18825" spans="1:8" ht="25.05" customHeight="1" x14ac:dyDescent="0.25">
      <c r="A18825" s="2" t="s">
        <v>8</v>
      </c>
      <c r="B18825" s="2" t="str">
        <f>HYPERLINK("http://ts.21cn.com/tousu/show/id/1350745","虚假宣传阴阳合同")</f>
        <v>虚假宣传阴阳合同</v>
      </c>
      <c r="C18825" s="2" t="s">
        <v>9</v>
      </c>
      <c r="D18825" s="2" t="s">
        <v>10</v>
      </c>
      <c r="E18825" s="2" t="str">
        <f>HYPERLINK("http://ts.21cn.com/tousu/show/id/1350745","http://ts.21cn.com/tousu/show/id/1350745")</f>
        <v>http://ts.21cn.com/tousu/show/id/1350745</v>
      </c>
      <c r="F18825" s="2" t="s">
        <v>11</v>
      </c>
      <c r="G18825" s="2" t="s">
        <v>7162</v>
      </c>
      <c r="H18825" s="2" t="s">
        <v>7163</v>
      </c>
    </row>
    <row r="18826" spans="1:8" ht="25.05" customHeight="1" x14ac:dyDescent="0.25">
      <c r="A18826" s="2" t="s">
        <v>8</v>
      </c>
      <c r="B18826" s="2" t="str">
        <f>HYPERLINK("http://ts.21cn.com/tousu/show/id/1350746","不知道怎么回事就自动扣款296元")</f>
        <v>不知道怎么回事就自动扣款296元</v>
      </c>
      <c r="C18826" s="2" t="s">
        <v>9</v>
      </c>
      <c r="D18826" s="2" t="s">
        <v>10</v>
      </c>
      <c r="E18826" s="2" t="str">
        <f>HYPERLINK("http://ts.21cn.com/tousu/show/id/1350746","http://ts.21cn.com/tousu/show/id/1350746")</f>
        <v>http://ts.21cn.com/tousu/show/id/1350746</v>
      </c>
      <c r="F18826" s="2" t="s">
        <v>11</v>
      </c>
      <c r="G18826" s="2" t="s">
        <v>7159</v>
      </c>
      <c r="H18826" s="2" t="s">
        <v>7160</v>
      </c>
    </row>
    <row r="18827" spans="1:8" ht="25.05" customHeight="1" x14ac:dyDescent="0.25">
      <c r="A18827" s="2" t="s">
        <v>8</v>
      </c>
      <c r="B18827" s="2" t="str">
        <f>HYPERLINK("http://ts.21cn.com/tousu/show/id/1350742","微贷多米贷暴力催收骚扰电话利息太高微信恐吓")</f>
        <v>微贷多米贷暴力催收骚扰电话利息太高微信恐吓</v>
      </c>
      <c r="C18827" s="2" t="s">
        <v>9</v>
      </c>
      <c r="D18827" s="2" t="s">
        <v>10</v>
      </c>
      <c r="E18827" s="2" t="str">
        <f>HYPERLINK("http://ts.21cn.com/tousu/show/id/1350742","http://ts.21cn.com/tousu/show/id/1350742")</f>
        <v>http://ts.21cn.com/tousu/show/id/1350742</v>
      </c>
      <c r="F18827" s="2" t="s">
        <v>11</v>
      </c>
      <c r="G18827" s="2" t="s">
        <v>7159</v>
      </c>
      <c r="H18827" s="2" t="s">
        <v>7161</v>
      </c>
    </row>
    <row r="18828" spans="1:8" ht="25.05" customHeight="1" x14ac:dyDescent="0.25">
      <c r="A18828" s="2" t="s">
        <v>8</v>
      </c>
      <c r="B18828" s="2" t="str">
        <f>HYPERLINK("http://ts.21cn.com/tousu/show/id/1350748","看不到贷款合同，放款金额与贷款金不符！，存在欺诈行为")</f>
        <v>看不到贷款合同，放款金额与贷款金不符！，存在欺诈行为</v>
      </c>
      <c r="C18828" s="2" t="s">
        <v>9</v>
      </c>
      <c r="D18828" s="2" t="s">
        <v>10</v>
      </c>
      <c r="E18828" s="2" t="str">
        <f>HYPERLINK("http://ts.21cn.com/tousu/show/id/1350748","http://ts.21cn.com/tousu/show/id/1350748")</f>
        <v>http://ts.21cn.com/tousu/show/id/1350748</v>
      </c>
      <c r="F18828" s="2" t="s">
        <v>11</v>
      </c>
      <c r="G18828" s="2" t="s">
        <v>7157</v>
      </c>
      <c r="H18828" s="2" t="s">
        <v>7158</v>
      </c>
    </row>
    <row r="18829" spans="1:8" ht="25.05" customHeight="1" x14ac:dyDescent="0.25">
      <c r="A18829" s="2" t="s">
        <v>8</v>
      </c>
      <c r="B18829" s="2" t="str">
        <f>HYPERLINK("http://ts.21cn.com/tousu/show/id/1350747","小浦优客app申请借款，按步骤填写资料，然后最后要求绑定银行卡，绑定完成就开始审批，过了一个小时说是扣除296元个人信用")</f>
        <v>小浦优客app申请借款，按步骤填写资料，然后最后要求绑定银行卡，绑定完成就开始审批，过了一个小时说是扣除296元个人信用</v>
      </c>
      <c r="C18829" s="2" t="s">
        <v>9</v>
      </c>
      <c r="D18829" s="2" t="s">
        <v>10</v>
      </c>
      <c r="E18829" s="2" t="str">
        <f>HYPERLINK("http://ts.21cn.com/tousu/show/id/1350747","http://ts.21cn.com/tousu/show/id/1350747")</f>
        <v>http://ts.21cn.com/tousu/show/id/1350747</v>
      </c>
      <c r="F18829" s="2" t="s">
        <v>11</v>
      </c>
      <c r="G18829" s="2" t="s">
        <v>7155</v>
      </c>
      <c r="H18829" s="2" t="s">
        <v>7156</v>
      </c>
    </row>
    <row r="18830" spans="1:8" ht="25.05" customHeight="1" x14ac:dyDescent="0.25">
      <c r="A18830" s="2" t="s">
        <v>8</v>
      </c>
      <c r="B18830" s="2" t="str">
        <f>HYPERLINK("http://ts.21cn.com/tousu/show/id/1350750","中邮，你要利息还是本金，")</f>
        <v>中邮，你要利息还是本金，</v>
      </c>
      <c r="C18830" s="2" t="s">
        <v>34</v>
      </c>
      <c r="D18830" s="2" t="s">
        <v>10</v>
      </c>
      <c r="E18830" s="2" t="str">
        <f>HYPERLINK("http://ts.21cn.com/tousu/show/id/1350750","http://ts.21cn.com/tousu/show/id/1350750")</f>
        <v>http://ts.21cn.com/tousu/show/id/1350750</v>
      </c>
      <c r="F18830" s="2" t="s">
        <v>11</v>
      </c>
      <c r="G18830" s="2" t="s">
        <v>7153</v>
      </c>
      <c r="H18830" s="2" t="s">
        <v>7154</v>
      </c>
    </row>
    <row r="18831" spans="1:8" ht="25.05" customHeight="1" x14ac:dyDescent="0.25">
      <c r="A18831" s="2" t="s">
        <v>8</v>
      </c>
      <c r="B18831" s="2" t="str">
        <f>HYPERLINK("http://ts.21cn.com/tousu/show/id/1350751","柯基贷泡泡联系人诽谤胡说八道")</f>
        <v>柯基贷泡泡联系人诽谤胡说八道</v>
      </c>
      <c r="C18831" s="2" t="s">
        <v>9</v>
      </c>
      <c r="D18831" s="2" t="s">
        <v>10</v>
      </c>
      <c r="E18831" s="2" t="str">
        <f>HYPERLINK("http://ts.21cn.com/tousu/show/id/1350751","http://ts.21cn.com/tousu/show/id/1350751")</f>
        <v>http://ts.21cn.com/tousu/show/id/1350751</v>
      </c>
      <c r="F18831" s="2" t="s">
        <v>11</v>
      </c>
      <c r="G18831" s="2" t="s">
        <v>7151</v>
      </c>
      <c r="H18831" s="2" t="s">
        <v>7152</v>
      </c>
    </row>
    <row r="18832" spans="1:8" ht="25.05" customHeight="1" x14ac:dyDescent="0.25">
      <c r="A18832" s="2" t="s">
        <v>8</v>
      </c>
      <c r="B18832" s="2" t="str">
        <f>HYPERLINK("http://ts.21cn.com/tousu/show/id/1350754","深圳普惠快信")</f>
        <v>深圳普惠快信</v>
      </c>
      <c r="C18832" s="2" t="s">
        <v>9</v>
      </c>
      <c r="D18832" s="2" t="s">
        <v>10</v>
      </c>
      <c r="E18832" s="2" t="str">
        <f>HYPERLINK("http://ts.21cn.com/tousu/show/id/1350754","http://ts.21cn.com/tousu/show/id/1350754")</f>
        <v>http://ts.21cn.com/tousu/show/id/1350754</v>
      </c>
      <c r="F18832" s="2" t="s">
        <v>11</v>
      </c>
      <c r="G18832" s="2" t="s">
        <v>7149</v>
      </c>
      <c r="H18832" s="2" t="s">
        <v>7150</v>
      </c>
    </row>
    <row r="18833" spans="1:8" ht="25.05" customHeight="1" x14ac:dyDescent="0.25">
      <c r="A18833" s="2" t="s">
        <v>8</v>
      </c>
      <c r="B18833" s="2" t="str">
        <f>HYPERLINK("http://ts.21cn.com/tousu/show/id/1350752","马上消费金融安逸花严重骚扰！恶意催收！一天几十个电话")</f>
        <v>马上消费金融安逸花严重骚扰！恶意催收！一天几十个电话</v>
      </c>
      <c r="C18833" s="2" t="s">
        <v>9</v>
      </c>
      <c r="D18833" s="2" t="s">
        <v>10</v>
      </c>
      <c r="E18833" s="2" t="str">
        <f>HYPERLINK("http://ts.21cn.com/tousu/show/id/1350752","http://ts.21cn.com/tousu/show/id/1350752")</f>
        <v>http://ts.21cn.com/tousu/show/id/1350752</v>
      </c>
      <c r="F18833" s="2" t="s">
        <v>11</v>
      </c>
      <c r="G18833" s="2" t="s">
        <v>7147</v>
      </c>
      <c r="H18833" s="2" t="s">
        <v>7148</v>
      </c>
    </row>
    <row r="18834" spans="1:8" ht="25.05" customHeight="1" x14ac:dyDescent="0.25">
      <c r="A18834" s="2" t="s">
        <v>8</v>
      </c>
      <c r="B18834" s="2" t="str">
        <f>HYPERLINK("http://ts.21cn.com/tousu/show/id/1350753","钱橙无忧随意扣费")</f>
        <v>钱橙无忧随意扣费</v>
      </c>
      <c r="C18834" s="2" t="s">
        <v>9</v>
      </c>
      <c r="D18834" s="2" t="s">
        <v>10</v>
      </c>
      <c r="E18834" s="2" t="str">
        <f>HYPERLINK("http://ts.21cn.com/tousu/show/id/1350753","http://ts.21cn.com/tousu/show/id/1350753")</f>
        <v>http://ts.21cn.com/tousu/show/id/1350753</v>
      </c>
      <c r="F18834" s="2" t="s">
        <v>11</v>
      </c>
      <c r="G18834" s="2" t="s">
        <v>7145</v>
      </c>
      <c r="H18834" s="2" t="s">
        <v>7146</v>
      </c>
    </row>
    <row r="18835" spans="1:8" ht="25.05" customHeight="1" x14ac:dyDescent="0.25">
      <c r="A18835" s="2" t="s">
        <v>8</v>
      </c>
      <c r="B18835" s="2" t="str">
        <f>HYPERLINK("http://ts.21cn.com/tousu/show/id/1350756","东方银谷高利贷，要求销账")</f>
        <v>东方银谷高利贷，要求销账</v>
      </c>
      <c r="C18835" s="2" t="s">
        <v>9</v>
      </c>
      <c r="D18835" s="2" t="s">
        <v>10</v>
      </c>
      <c r="E18835" s="2" t="str">
        <f>HYPERLINK("http://ts.21cn.com/tousu/show/id/1350756","http://ts.21cn.com/tousu/show/id/1350756")</f>
        <v>http://ts.21cn.com/tousu/show/id/1350756</v>
      </c>
      <c r="F18835" s="2" t="s">
        <v>11</v>
      </c>
      <c r="G18835" s="2" t="s">
        <v>7143</v>
      </c>
      <c r="H18835" s="2" t="s">
        <v>7144</v>
      </c>
    </row>
    <row r="18836" spans="1:8" ht="25.05" customHeight="1" x14ac:dyDescent="0.25">
      <c r="A18836" s="2" t="s">
        <v>8</v>
      </c>
      <c r="B18836" s="2" t="str">
        <f>HYPERLINK("http://ts.21cn.com/tousu/show/id/1350755","支付宝登陆不了淘宝客服让我上传身份证照片以及进行人脸识别")</f>
        <v>支付宝登陆不了淘宝客服让我上传身份证照片以及进行人脸识别</v>
      </c>
      <c r="C18836" s="2" t="s">
        <v>34</v>
      </c>
      <c r="D18836" s="2" t="s">
        <v>10</v>
      </c>
      <c r="E18836" s="2" t="str">
        <f>HYPERLINK("http://ts.21cn.com/tousu/show/id/1350755","http://ts.21cn.com/tousu/show/id/1350755")</f>
        <v>http://ts.21cn.com/tousu/show/id/1350755</v>
      </c>
      <c r="F18836" s="2" t="s">
        <v>11</v>
      </c>
      <c r="G18836" s="2" t="s">
        <v>7141</v>
      </c>
      <c r="H18836" s="2" t="s">
        <v>7142</v>
      </c>
    </row>
    <row r="18837" spans="1:8" ht="25.05" customHeight="1" x14ac:dyDescent="0.25">
      <c r="A18837" s="2" t="s">
        <v>8</v>
      </c>
      <c r="B18837" s="2" t="str">
        <f>HYPERLINK("http://ts.21cn.com/tousu/show/id/1350758","卡牛瑞贷有砍头息")</f>
        <v>卡牛瑞贷有砍头息</v>
      </c>
      <c r="C18837" s="2" t="s">
        <v>9</v>
      </c>
      <c r="D18837" s="2" t="s">
        <v>10</v>
      </c>
      <c r="E18837" s="2" t="str">
        <f>HYPERLINK("http://ts.21cn.com/tousu/show/id/1350758","http://ts.21cn.com/tousu/show/id/1350758")</f>
        <v>http://ts.21cn.com/tousu/show/id/1350758</v>
      </c>
      <c r="F18837" s="2" t="s">
        <v>11</v>
      </c>
      <c r="G18837" s="2" t="s">
        <v>7139</v>
      </c>
      <c r="H18837" s="2" t="s">
        <v>7140</v>
      </c>
    </row>
    <row r="18838" spans="1:8" ht="25.05" customHeight="1" x14ac:dyDescent="0.25">
      <c r="A18838" s="2" t="s">
        <v>8</v>
      </c>
      <c r="B18838" s="2" t="str">
        <f>HYPERLINK("http://ts.21cn.com/tousu/show/id/1350760","暴力催收")</f>
        <v>暴力催收</v>
      </c>
      <c r="C18838" s="2" t="s">
        <v>9</v>
      </c>
      <c r="D18838" s="2" t="s">
        <v>10</v>
      </c>
      <c r="E18838" s="2" t="str">
        <f>HYPERLINK("http://ts.21cn.com/tousu/show/id/1350760","http://ts.21cn.com/tousu/show/id/1350760")</f>
        <v>http://ts.21cn.com/tousu/show/id/1350760</v>
      </c>
      <c r="F18838" s="2" t="s">
        <v>11</v>
      </c>
      <c r="G18838" s="2" t="s">
        <v>7137</v>
      </c>
      <c r="H18838" s="2" t="s">
        <v>7138</v>
      </c>
    </row>
    <row r="18839" spans="1:8" ht="25.05" customHeight="1" x14ac:dyDescent="0.25">
      <c r="A18839" s="2" t="s">
        <v>8</v>
      </c>
      <c r="B18839" s="2" t="str">
        <f>HYPERLINK("http://ts.21cn.com/tousu/show/id/1350761","骚扰通讯录群发短信")</f>
        <v>骚扰通讯录群发短信</v>
      </c>
      <c r="C18839" s="2" t="s">
        <v>9</v>
      </c>
      <c r="D18839" s="2" t="s">
        <v>10</v>
      </c>
      <c r="E18839" s="2" t="str">
        <f>HYPERLINK("http://ts.21cn.com/tousu/show/id/1350761","http://ts.21cn.com/tousu/show/id/1350761")</f>
        <v>http://ts.21cn.com/tousu/show/id/1350761</v>
      </c>
      <c r="F18839" s="2" t="s">
        <v>11</v>
      </c>
      <c r="G18839" s="2" t="s">
        <v>7135</v>
      </c>
      <c r="H18839" s="2" t="s">
        <v>7136</v>
      </c>
    </row>
    <row r="18840" spans="1:8" ht="25.05" customHeight="1" x14ac:dyDescent="0.25">
      <c r="A18840" s="2" t="s">
        <v>8</v>
      </c>
      <c r="B18840" s="2" t="str">
        <f>HYPERLINK("http://ts.21cn.com/tousu/show/id/1350762","分期乐到处打电话骚扰我通讯录")</f>
        <v>分期乐到处打电话骚扰我通讯录</v>
      </c>
      <c r="C18840" s="2" t="s">
        <v>9</v>
      </c>
      <c r="D18840" s="2" t="s">
        <v>10</v>
      </c>
      <c r="E18840" s="2" t="str">
        <f>HYPERLINK("http://ts.21cn.com/tousu/show/id/1350762","http://ts.21cn.com/tousu/show/id/1350762")</f>
        <v>http://ts.21cn.com/tousu/show/id/1350762</v>
      </c>
      <c r="F18840" s="2" t="s">
        <v>11</v>
      </c>
      <c r="G18840" s="2" t="s">
        <v>7133</v>
      </c>
      <c r="H18840" s="2" t="s">
        <v>7134</v>
      </c>
    </row>
    <row r="18841" spans="1:8" ht="25.05" customHeight="1" x14ac:dyDescent="0.25">
      <c r="A18841" s="2" t="s">
        <v>8</v>
      </c>
      <c r="B18841" s="2" t="str">
        <f>HYPERLINK("http://ts.21cn.com/tousu/show/id/1350763","投诉首汽约车的士联盟")</f>
        <v>投诉首汽约车的士联盟</v>
      </c>
      <c r="C18841" s="2" t="s">
        <v>9</v>
      </c>
      <c r="D18841" s="2" t="s">
        <v>10</v>
      </c>
      <c r="E18841" s="2" t="str">
        <f>HYPERLINK("http://ts.21cn.com/tousu/show/id/1350763","http://ts.21cn.com/tousu/show/id/1350763")</f>
        <v>http://ts.21cn.com/tousu/show/id/1350763</v>
      </c>
      <c r="F18841" s="2" t="s">
        <v>11</v>
      </c>
      <c r="G18841" s="2" t="s">
        <v>7131</v>
      </c>
      <c r="H18841" s="2" t="s">
        <v>7132</v>
      </c>
    </row>
    <row r="18842" spans="1:8" ht="25.05" customHeight="1" x14ac:dyDescent="0.25">
      <c r="A18842" s="2" t="s">
        <v>8</v>
      </c>
      <c r="B18842" s="2" t="str">
        <f>HYPERLINK("http://ts.21cn.com/tousu/show/id/1350764","宏萨上海信息科技有限公司无故扣款")</f>
        <v>宏萨上海信息科技有限公司无故扣款</v>
      </c>
      <c r="C18842" s="2" t="s">
        <v>9</v>
      </c>
      <c r="D18842" s="2" t="s">
        <v>10</v>
      </c>
      <c r="E18842" s="2" t="str">
        <f>HYPERLINK("http://ts.21cn.com/tousu/show/id/1350764","http://ts.21cn.com/tousu/show/id/1350764")</f>
        <v>http://ts.21cn.com/tousu/show/id/1350764</v>
      </c>
      <c r="F18842" s="2" t="s">
        <v>11</v>
      </c>
      <c r="G18842" s="2" t="s">
        <v>7129</v>
      </c>
      <c r="H18842" s="2" t="s">
        <v>7130</v>
      </c>
    </row>
    <row r="18843" spans="1:8" ht="25.05" customHeight="1" x14ac:dyDescent="0.25">
      <c r="A18843" s="2" t="s">
        <v>8</v>
      </c>
      <c r="B18843" s="2" t="str">
        <f>HYPERLINK("http://ts.21cn.com/tousu/show/id/1350765","骚扰亲朋好友")</f>
        <v>骚扰亲朋好友</v>
      </c>
      <c r="C18843" s="2" t="s">
        <v>9</v>
      </c>
      <c r="D18843" s="2" t="s">
        <v>10</v>
      </c>
      <c r="E18843" s="2" t="str">
        <f>HYPERLINK("http://ts.21cn.com/tousu/show/id/1350765","http://ts.21cn.com/tousu/show/id/1350765")</f>
        <v>http://ts.21cn.com/tousu/show/id/1350765</v>
      </c>
      <c r="F18843" s="2" t="s">
        <v>11</v>
      </c>
      <c r="G18843" s="2" t="s">
        <v>7127</v>
      </c>
      <c r="H18843" s="2" t="s">
        <v>7128</v>
      </c>
    </row>
    <row r="18844" spans="1:8" ht="25.05" customHeight="1" x14ac:dyDescent="0.25">
      <c r="A18844" s="2" t="s">
        <v>8</v>
      </c>
      <c r="B18844" s="2" t="str">
        <f>HYPERLINK("http://ts.21cn.com/tousu/show/id/1350766","蛋壳租房不告诉是贷款分期不退定金")</f>
        <v>蛋壳租房不告诉是贷款分期不退定金</v>
      </c>
      <c r="C18844" s="2" t="s">
        <v>9</v>
      </c>
      <c r="D18844" s="2" t="s">
        <v>10</v>
      </c>
      <c r="E18844" s="2" t="str">
        <f>HYPERLINK("http://ts.21cn.com/tousu/show/id/1350766","http://ts.21cn.com/tousu/show/id/1350766")</f>
        <v>http://ts.21cn.com/tousu/show/id/1350766</v>
      </c>
      <c r="F18844" s="2" t="s">
        <v>11</v>
      </c>
      <c r="G18844" s="2" t="s">
        <v>7125</v>
      </c>
      <c r="H18844" s="2" t="s">
        <v>7126</v>
      </c>
    </row>
    <row r="18845" spans="1:8" ht="25.05" customHeight="1" x14ac:dyDescent="0.25">
      <c r="A18845" s="2" t="s">
        <v>8</v>
      </c>
      <c r="B18845" s="2" t="str">
        <f>HYPERLINK("http://ts.21cn.com/tousu/show/id/1350767","马上消费金融诱使学生贷款")</f>
        <v>马上消费金融诱使学生贷款</v>
      </c>
      <c r="C18845" s="2" t="s">
        <v>34</v>
      </c>
      <c r="D18845" s="2" t="s">
        <v>10</v>
      </c>
      <c r="E18845" s="2" t="str">
        <f>HYPERLINK("http://ts.21cn.com/tousu/show/id/1350767","http://ts.21cn.com/tousu/show/id/1350767")</f>
        <v>http://ts.21cn.com/tousu/show/id/1350767</v>
      </c>
      <c r="F18845" s="2" t="s">
        <v>11</v>
      </c>
      <c r="G18845" s="2" t="s">
        <v>7123</v>
      </c>
      <c r="H18845" s="2" t="s">
        <v>7124</v>
      </c>
    </row>
    <row r="18846" spans="1:8" ht="25.05" customHeight="1" x14ac:dyDescent="0.25">
      <c r="A18846" s="2" t="s">
        <v>8</v>
      </c>
      <c r="B18846" s="2" t="str">
        <f>HYPERLINK("http://ts.21cn.com/tousu/show/id/1350769","周周花花砍头息")</f>
        <v>周周花花砍头息</v>
      </c>
      <c r="C18846" s="2" t="s">
        <v>34</v>
      </c>
      <c r="D18846" s="2" t="s">
        <v>10</v>
      </c>
      <c r="E18846" s="2" t="str">
        <f>HYPERLINK("http://ts.21cn.com/tousu/show/id/1350769","http://ts.21cn.com/tousu/show/id/1350769")</f>
        <v>http://ts.21cn.com/tousu/show/id/1350769</v>
      </c>
      <c r="F18846" s="2" t="s">
        <v>11</v>
      </c>
      <c r="G18846" s="2" t="s">
        <v>7121</v>
      </c>
      <c r="H18846" s="2" t="s">
        <v>7122</v>
      </c>
    </row>
    <row r="18847" spans="1:8" ht="25.05" customHeight="1" x14ac:dyDescent="0.25">
      <c r="A18847" s="2" t="s">
        <v>8</v>
      </c>
      <c r="B18847" s="2" t="str">
        <f>HYPERLINK("http://ts.21cn.com/tousu/show/id/1350770","中腾信恐吓威胁上门")</f>
        <v>中腾信恐吓威胁上门</v>
      </c>
      <c r="C18847" s="2" t="s">
        <v>9</v>
      </c>
      <c r="D18847" s="2" t="s">
        <v>10</v>
      </c>
      <c r="E18847" s="2" t="str">
        <f>HYPERLINK("http://ts.21cn.com/tousu/show/id/1350770","http://ts.21cn.com/tousu/show/id/1350770")</f>
        <v>http://ts.21cn.com/tousu/show/id/1350770</v>
      </c>
      <c r="F18847" s="2" t="s">
        <v>11</v>
      </c>
      <c r="G18847" s="2" t="s">
        <v>7119</v>
      </c>
      <c r="H18847" s="2" t="s">
        <v>7120</v>
      </c>
    </row>
    <row r="18848" spans="1:8" ht="25.05" customHeight="1" x14ac:dyDescent="0.25">
      <c r="A18848" s="2" t="s">
        <v>8</v>
      </c>
      <c r="B18848" s="2" t="str">
        <f>HYPERLINK("http://ts.21cn.com/tousu/show/id/1350771","钱站工作人员暴力催收，爆通讯录辱骂家人朋友")</f>
        <v>钱站工作人员暴力催收，爆通讯录辱骂家人朋友</v>
      </c>
      <c r="C18848" s="2" t="s">
        <v>9</v>
      </c>
      <c r="D18848" s="2" t="s">
        <v>10</v>
      </c>
      <c r="E18848" s="2" t="str">
        <f>HYPERLINK("http://ts.21cn.com/tousu/show/id/1350771","http://ts.21cn.com/tousu/show/id/1350771")</f>
        <v>http://ts.21cn.com/tousu/show/id/1350771</v>
      </c>
      <c r="F18848" s="2" t="s">
        <v>11</v>
      </c>
      <c r="G18848" s="2" t="s">
        <v>7117</v>
      </c>
      <c r="H18848" s="2" t="s">
        <v>7118</v>
      </c>
    </row>
    <row r="18849" spans="1:8" ht="25.05" customHeight="1" x14ac:dyDescent="0.25">
      <c r="A18849" s="2" t="s">
        <v>8</v>
      </c>
      <c r="B18849" s="2" t="str">
        <f>HYPERLINK("http://ts.21cn.com/tousu/show/id/1350772","及贷电话骚扰")</f>
        <v>及贷电话骚扰</v>
      </c>
      <c r="C18849" s="2" t="s">
        <v>9</v>
      </c>
      <c r="D18849" s="2" t="s">
        <v>10</v>
      </c>
      <c r="E18849" s="2" t="str">
        <f>HYPERLINK("http://ts.21cn.com/tousu/show/id/1350772","http://ts.21cn.com/tousu/show/id/1350772")</f>
        <v>http://ts.21cn.com/tousu/show/id/1350772</v>
      </c>
      <c r="F18849" s="2" t="s">
        <v>11</v>
      </c>
      <c r="G18849" s="2" t="s">
        <v>7115</v>
      </c>
      <c r="H18849" s="2" t="s">
        <v>7116</v>
      </c>
    </row>
    <row r="18850" spans="1:8" ht="25.05" customHeight="1" x14ac:dyDescent="0.25">
      <c r="A18850" s="2" t="s">
        <v>8</v>
      </c>
      <c r="B18850" s="2" t="str">
        <f>HYPERLINK("http://ts.21cn.com/tousu/show/id/1350773","无缘无故被扣款")</f>
        <v>无缘无故被扣款</v>
      </c>
      <c r="C18850" s="2" t="s">
        <v>9</v>
      </c>
      <c r="D18850" s="2" t="s">
        <v>10</v>
      </c>
      <c r="E18850" s="2" t="str">
        <f>HYPERLINK("http://ts.21cn.com/tousu/show/id/1350773","http://ts.21cn.com/tousu/show/id/1350773")</f>
        <v>http://ts.21cn.com/tousu/show/id/1350773</v>
      </c>
      <c r="F18850" s="2" t="s">
        <v>11</v>
      </c>
      <c r="G18850" s="2" t="s">
        <v>7113</v>
      </c>
      <c r="H18850" s="2" t="s">
        <v>7114</v>
      </c>
    </row>
    <row r="18851" spans="1:8" ht="25.05" customHeight="1" x14ac:dyDescent="0.25">
      <c r="A18851" s="2" t="s">
        <v>8</v>
      </c>
      <c r="B18851" s="2" t="str">
        <f>HYPERLINK("http://ts.21cn.com/tousu/show/id/1350774","恒昌贷违规利息与高利贷媲美")</f>
        <v>恒昌贷违规利息与高利贷媲美</v>
      </c>
      <c r="C18851" s="2" t="s">
        <v>9</v>
      </c>
      <c r="D18851" s="2" t="s">
        <v>10</v>
      </c>
      <c r="E18851" s="2" t="str">
        <f>HYPERLINK("http://ts.21cn.com/tousu/show/id/1350774","http://ts.21cn.com/tousu/show/id/1350774")</f>
        <v>http://ts.21cn.com/tousu/show/id/1350774</v>
      </c>
      <c r="F18851" s="2" t="s">
        <v>11</v>
      </c>
      <c r="G18851" s="2" t="s">
        <v>7111</v>
      </c>
      <c r="H18851" s="2" t="s">
        <v>7112</v>
      </c>
    </row>
    <row r="18852" spans="1:8" ht="25.05" customHeight="1" x14ac:dyDescent="0.25">
      <c r="A18852" s="2" t="s">
        <v>8</v>
      </c>
      <c r="B18852" s="2" t="str">
        <f>HYPERLINK("http://ts.21cn.com/tousu/show/id/1350690","汇付天下支付乱封商户，不给提现")</f>
        <v>汇付天下支付乱封商户，不给提现</v>
      </c>
      <c r="C18852" s="2" t="s">
        <v>9</v>
      </c>
      <c r="D18852" s="2" t="s">
        <v>10</v>
      </c>
      <c r="E18852" s="2" t="str">
        <f>HYPERLINK("http://ts.21cn.com/tousu/show/id/1350690","http://ts.21cn.com/tousu/show/id/1350690")</f>
        <v>http://ts.21cn.com/tousu/show/id/1350690</v>
      </c>
      <c r="F18852" s="2" t="s">
        <v>11</v>
      </c>
      <c r="G18852" s="2" t="s">
        <v>7109</v>
      </c>
      <c r="H18852" s="2" t="s">
        <v>7110</v>
      </c>
    </row>
    <row r="18853" spans="1:8" ht="25.05" customHeight="1" x14ac:dyDescent="0.25">
      <c r="A18853" s="2" t="s">
        <v>8</v>
      </c>
      <c r="B18853" s="2" t="str">
        <f>HYPERLINK("http://ts.21cn.com/tousu/show/id/1350722","现金巴士套路贷高利贷砍头息")</f>
        <v>现金巴士套路贷高利贷砍头息</v>
      </c>
      <c r="C18853" s="2" t="s">
        <v>9</v>
      </c>
      <c r="D18853" s="2" t="s">
        <v>10</v>
      </c>
      <c r="E18853" s="2" t="str">
        <f>HYPERLINK("http://ts.21cn.com/tousu/show/id/1350722","http://ts.21cn.com/tousu/show/id/1350722")</f>
        <v>http://ts.21cn.com/tousu/show/id/1350722</v>
      </c>
      <c r="F18853" s="2" t="s">
        <v>11</v>
      </c>
      <c r="G18853" s="2" t="s">
        <v>7107</v>
      </c>
      <c r="H18853" s="2" t="s">
        <v>7108</v>
      </c>
    </row>
    <row r="18854" spans="1:8" ht="25.05" customHeight="1" x14ac:dyDescent="0.25">
      <c r="A18854" s="2" t="s">
        <v>8</v>
      </c>
      <c r="B18854" s="2" t="str">
        <f>HYPERLINK("http://ts.21cn.com/tousu/show/id/1350775","你我贷砍头息")</f>
        <v>你我贷砍头息</v>
      </c>
      <c r="C18854" s="2" t="s">
        <v>9</v>
      </c>
      <c r="D18854" s="2" t="s">
        <v>10</v>
      </c>
      <c r="E18854" s="2" t="str">
        <f>HYPERLINK("http://ts.21cn.com/tousu/show/id/1350775","http://ts.21cn.com/tousu/show/id/1350775")</f>
        <v>http://ts.21cn.com/tousu/show/id/1350775</v>
      </c>
      <c r="F18854" s="2" t="s">
        <v>11</v>
      </c>
      <c r="G18854" s="2" t="s">
        <v>7105</v>
      </c>
      <c r="H18854" s="2" t="s">
        <v>7106</v>
      </c>
    </row>
    <row r="18855" spans="1:8" ht="25.05" customHeight="1" x14ac:dyDescent="0.25">
      <c r="A18855" s="2" t="s">
        <v>8</v>
      </c>
      <c r="B18855" s="2" t="str">
        <f>HYPERLINK("http://ts.21cn.com/tousu/show/id/1350778","要求提前还款")</f>
        <v>要求提前还款</v>
      </c>
      <c r="C18855" s="2" t="s">
        <v>9</v>
      </c>
      <c r="D18855" s="2" t="s">
        <v>10</v>
      </c>
      <c r="E18855" s="2" t="str">
        <f>HYPERLINK("http://ts.21cn.com/tousu/show/id/1350778","http://ts.21cn.com/tousu/show/id/1350778")</f>
        <v>http://ts.21cn.com/tousu/show/id/1350778</v>
      </c>
      <c r="F18855" s="2" t="s">
        <v>11</v>
      </c>
      <c r="G18855" s="2" t="s">
        <v>7103</v>
      </c>
      <c r="H18855" s="2" t="s">
        <v>7104</v>
      </c>
    </row>
    <row r="18856" spans="1:8" ht="25.05" customHeight="1" x14ac:dyDescent="0.25">
      <c r="A18856" s="2" t="s">
        <v>8</v>
      </c>
      <c r="B18856" s="2" t="str">
        <f>HYPERLINK("http://ts.21cn.com/tousu/show/id/1350777","滴滴出行蛮横不讲道理，行为极度恶劣")</f>
        <v>滴滴出行蛮横不讲道理，行为极度恶劣</v>
      </c>
      <c r="C18856" s="2" t="s">
        <v>9</v>
      </c>
      <c r="D18856" s="2" t="s">
        <v>10</v>
      </c>
      <c r="E18856" s="2" t="str">
        <f>HYPERLINK("http://ts.21cn.com/tousu/show/id/1350777","http://ts.21cn.com/tousu/show/id/1350777")</f>
        <v>http://ts.21cn.com/tousu/show/id/1350777</v>
      </c>
      <c r="F18856" s="2" t="s">
        <v>11</v>
      </c>
      <c r="G18856" s="2" t="s">
        <v>7101</v>
      </c>
      <c r="H18856" s="2" t="s">
        <v>7102</v>
      </c>
    </row>
    <row r="18857" spans="1:8" ht="25.05" customHeight="1" x14ac:dyDescent="0.25">
      <c r="A18857" s="2" t="s">
        <v>8</v>
      </c>
      <c r="B18857" s="2" t="str">
        <f>HYPERLINK("http://ts.21cn.com/tousu/show/id/1350781","引诱扣费，不予退款")</f>
        <v>引诱扣费，不予退款</v>
      </c>
      <c r="C18857" s="2" t="s">
        <v>9</v>
      </c>
      <c r="D18857" s="2" t="s">
        <v>10</v>
      </c>
      <c r="E18857" s="2" t="str">
        <f>HYPERLINK("http://ts.21cn.com/tousu/show/id/1350781","http://ts.21cn.com/tousu/show/id/1350781")</f>
        <v>http://ts.21cn.com/tousu/show/id/1350781</v>
      </c>
      <c r="F18857" s="2" t="s">
        <v>11</v>
      </c>
      <c r="G18857" s="2" t="s">
        <v>7099</v>
      </c>
      <c r="H18857" s="2" t="s">
        <v>7100</v>
      </c>
    </row>
    <row r="18858" spans="1:8" ht="25.05" customHeight="1" x14ac:dyDescent="0.25">
      <c r="A18858" s="2" t="s">
        <v>8</v>
      </c>
      <c r="B18858" s="2" t="str">
        <f>HYPERLINK("http://ts.21cn.com/tousu/show/id/1350779","银行卡莫名其妙被苏宁易付宝扣款481.19元")</f>
        <v>银行卡莫名其妙被苏宁易付宝扣款481.19元</v>
      </c>
      <c r="C18858" s="2" t="s">
        <v>9</v>
      </c>
      <c r="D18858" s="2" t="s">
        <v>10</v>
      </c>
      <c r="E18858" s="2" t="str">
        <f>HYPERLINK("http://ts.21cn.com/tousu/show/id/1350779","http://ts.21cn.com/tousu/show/id/1350779")</f>
        <v>http://ts.21cn.com/tousu/show/id/1350779</v>
      </c>
      <c r="F18858" s="2" t="s">
        <v>11</v>
      </c>
      <c r="G18858" s="2" t="s">
        <v>7096</v>
      </c>
      <c r="H18858" s="2" t="s">
        <v>7097</v>
      </c>
    </row>
    <row r="18859" spans="1:8" ht="25.05" customHeight="1" x14ac:dyDescent="0.25">
      <c r="A18859" s="2" t="s">
        <v>8</v>
      </c>
      <c r="B18859" s="2" t="str">
        <f>HYPERLINK("http://ts.21cn.com/tousu/show/id/1350717","民航联盟涉嫌欺诈")</f>
        <v>民航联盟涉嫌欺诈</v>
      </c>
      <c r="C18859" s="2" t="s">
        <v>9</v>
      </c>
      <c r="D18859" s="2" t="s">
        <v>10</v>
      </c>
      <c r="E18859" s="2" t="str">
        <f>HYPERLINK("http://ts.21cn.com/tousu/show/id/1350717","http://ts.21cn.com/tousu/show/id/1350717")</f>
        <v>http://ts.21cn.com/tousu/show/id/1350717</v>
      </c>
      <c r="F18859" s="2" t="s">
        <v>11</v>
      </c>
      <c r="G18859" s="2" t="s">
        <v>7096</v>
      </c>
      <c r="H18859" s="2" t="s">
        <v>7098</v>
      </c>
    </row>
    <row r="18860" spans="1:8" ht="25.05" customHeight="1" x14ac:dyDescent="0.25">
      <c r="A18860" s="2" t="s">
        <v>8</v>
      </c>
      <c r="B18860" s="2" t="str">
        <f>HYPERLINK("http://ts.21cn.com/tousu/show/id/1350782","马上消费金融暴力催收，威胁")</f>
        <v>马上消费金融暴力催收，威胁</v>
      </c>
      <c r="C18860" s="2" t="s">
        <v>9</v>
      </c>
      <c r="D18860" s="2" t="s">
        <v>10</v>
      </c>
      <c r="E18860" s="2" t="str">
        <f>HYPERLINK("http://ts.21cn.com/tousu/show/id/1350782","http://ts.21cn.com/tousu/show/id/1350782")</f>
        <v>http://ts.21cn.com/tousu/show/id/1350782</v>
      </c>
      <c r="F18860" s="2" t="s">
        <v>11</v>
      </c>
      <c r="G18860" s="2" t="s">
        <v>7094</v>
      </c>
      <c r="H18860" s="2" t="s">
        <v>7095</v>
      </c>
    </row>
    <row r="18861" spans="1:8" ht="25.05" customHeight="1" x14ac:dyDescent="0.25">
      <c r="A18861" s="2" t="s">
        <v>8</v>
      </c>
      <c r="B18861" s="2" t="str">
        <f>HYPERLINK("http://ts.21cn.com/tousu/show/id/1350780","宜人贷借款")</f>
        <v>宜人贷借款</v>
      </c>
      <c r="C18861" s="2" t="s">
        <v>9</v>
      </c>
      <c r="D18861" s="2" t="s">
        <v>10</v>
      </c>
      <c r="E18861" s="2" t="str">
        <f>HYPERLINK("http://ts.21cn.com/tousu/show/id/1350780","http://ts.21cn.com/tousu/show/id/1350780")</f>
        <v>http://ts.21cn.com/tousu/show/id/1350780</v>
      </c>
      <c r="F18861" s="2" t="s">
        <v>11</v>
      </c>
      <c r="G18861" s="2" t="s">
        <v>7092</v>
      </c>
      <c r="H18861" s="2" t="s">
        <v>7093</v>
      </c>
    </row>
    <row r="18862" spans="1:8" ht="25.05" customHeight="1" x14ac:dyDescent="0.25">
      <c r="A18862" s="2" t="s">
        <v>8</v>
      </c>
      <c r="B18862" s="2" t="str">
        <f>HYPERLINK("http://ts.21cn.com/tousu/show/id/1350783","淘集集拖欠货款")</f>
        <v>淘集集拖欠货款</v>
      </c>
      <c r="C18862" s="2" t="s">
        <v>9</v>
      </c>
      <c r="D18862" s="2" t="s">
        <v>10</v>
      </c>
      <c r="E18862" s="2" t="str">
        <f>HYPERLINK("http://ts.21cn.com/tousu/show/id/1350783","http://ts.21cn.com/tousu/show/id/1350783")</f>
        <v>http://ts.21cn.com/tousu/show/id/1350783</v>
      </c>
      <c r="F18862" s="2" t="s">
        <v>11</v>
      </c>
      <c r="G18862" s="2" t="s">
        <v>7090</v>
      </c>
      <c r="H18862" s="2" t="s">
        <v>7091</v>
      </c>
    </row>
    <row r="18863" spans="1:8" ht="25.05" customHeight="1" x14ac:dyDescent="0.25">
      <c r="A18863" s="2" t="s">
        <v>8</v>
      </c>
      <c r="B18863" s="2" t="str">
        <f>HYPERLINK("http://ts.21cn.com/tousu/show/id/1350785","光大银行雇佣第三方利用非法手段获取个人信息")</f>
        <v>光大银行雇佣第三方利用非法手段获取个人信息</v>
      </c>
      <c r="C18863" s="2" t="s">
        <v>9</v>
      </c>
      <c r="D18863" s="2" t="s">
        <v>10</v>
      </c>
      <c r="E18863" s="2" t="str">
        <f>HYPERLINK("http://ts.21cn.com/tousu/show/id/1350785","http://ts.21cn.com/tousu/show/id/1350785")</f>
        <v>http://ts.21cn.com/tousu/show/id/1350785</v>
      </c>
      <c r="F18863" s="2" t="s">
        <v>11</v>
      </c>
      <c r="G18863" s="2" t="s">
        <v>7088</v>
      </c>
      <c r="H18863" s="2" t="s">
        <v>7089</v>
      </c>
    </row>
    <row r="18864" spans="1:8" ht="25.05" customHeight="1" x14ac:dyDescent="0.25">
      <c r="A18864" s="2" t="s">
        <v>8</v>
      </c>
      <c r="B18864" s="2" t="str">
        <f>HYPERLINK("http://ts.21cn.com/tousu/show/id/1350786","顺丰快递不负责任")</f>
        <v>顺丰快递不负责任</v>
      </c>
      <c r="C18864" s="2" t="s">
        <v>9</v>
      </c>
      <c r="D18864" s="2" t="s">
        <v>10</v>
      </c>
      <c r="E18864" s="2" t="str">
        <f>HYPERLINK("http://ts.21cn.com/tousu/show/id/1350786","http://ts.21cn.com/tousu/show/id/1350786")</f>
        <v>http://ts.21cn.com/tousu/show/id/1350786</v>
      </c>
      <c r="F18864" s="2" t="s">
        <v>11</v>
      </c>
      <c r="G18864" s="2" t="s">
        <v>7086</v>
      </c>
      <c r="H18864" s="2" t="s">
        <v>7087</v>
      </c>
    </row>
    <row r="18865" spans="1:8" ht="25.05" customHeight="1" x14ac:dyDescent="0.25">
      <c r="A18865" s="2" t="s">
        <v>8</v>
      </c>
      <c r="B18865" s="2" t="str">
        <f>HYPERLINK("http://ts.21cn.com/tousu/show/id/1350629","魔借借一万，到账8000。客服不理会")</f>
        <v>魔借借一万，到账8000。客服不理会</v>
      </c>
      <c r="C18865" s="2" t="s">
        <v>9</v>
      </c>
      <c r="D18865" s="2" t="s">
        <v>10</v>
      </c>
      <c r="E18865" s="2" t="str">
        <f>HYPERLINK("http://ts.21cn.com/tousu/show/id/1350629","http://ts.21cn.com/tousu/show/id/1350629")</f>
        <v>http://ts.21cn.com/tousu/show/id/1350629</v>
      </c>
      <c r="F18865" s="2" t="s">
        <v>11</v>
      </c>
      <c r="G18865" s="2" t="s">
        <v>7084</v>
      </c>
      <c r="H18865" s="2" t="s">
        <v>7085</v>
      </c>
    </row>
    <row r="18866" spans="1:8" ht="25.05" customHeight="1" x14ac:dyDescent="0.25">
      <c r="A18866" s="2" t="s">
        <v>8</v>
      </c>
      <c r="B18866" s="2" t="str">
        <f>HYPERLINK("http://ts.21cn.com/tousu/show/id/1350619","恶意扣款")</f>
        <v>恶意扣款</v>
      </c>
      <c r="C18866" s="2" t="s">
        <v>9</v>
      </c>
      <c r="D18866" s="2" t="s">
        <v>10</v>
      </c>
      <c r="E18866" s="2" t="str">
        <f>HYPERLINK("http://ts.21cn.com/tousu/show/id/1350619","http://ts.21cn.com/tousu/show/id/1350619")</f>
        <v>http://ts.21cn.com/tousu/show/id/1350619</v>
      </c>
      <c r="F18866" s="2" t="s">
        <v>11</v>
      </c>
      <c r="G18866" s="2" t="s">
        <v>7082</v>
      </c>
      <c r="H18866" s="2" t="s">
        <v>7083</v>
      </c>
    </row>
    <row r="18867" spans="1:8" ht="25.05" customHeight="1" x14ac:dyDescent="0.25">
      <c r="A18867" s="2" t="s">
        <v>8</v>
      </c>
      <c r="B18867" s="2" t="str">
        <f>HYPERLINK("http://ts.21cn.com/tousu/show/id/1350788","钱站高利贷阴阳合同")</f>
        <v>钱站高利贷阴阳合同</v>
      </c>
      <c r="C18867" s="2" t="s">
        <v>9</v>
      </c>
      <c r="D18867" s="2" t="s">
        <v>10</v>
      </c>
      <c r="E18867" s="2" t="str">
        <f>HYPERLINK("http://ts.21cn.com/tousu/show/id/1350788","http://ts.21cn.com/tousu/show/id/1350788")</f>
        <v>http://ts.21cn.com/tousu/show/id/1350788</v>
      </c>
      <c r="F18867" s="2" t="s">
        <v>11</v>
      </c>
      <c r="G18867" s="2" t="s">
        <v>7080</v>
      </c>
      <c r="H18867" s="2" t="s">
        <v>7081</v>
      </c>
    </row>
    <row r="18868" spans="1:8" ht="25.05" customHeight="1" x14ac:dyDescent="0.25">
      <c r="A18868" s="2" t="s">
        <v>8</v>
      </c>
      <c r="B18868" s="2" t="str">
        <f>HYPERLINK("http://ts.21cn.com/tousu/show/id/1350790","及贷软暴力催收")</f>
        <v>及贷软暴力催收</v>
      </c>
      <c r="C18868" s="2" t="s">
        <v>9</v>
      </c>
      <c r="D18868" s="2" t="s">
        <v>10</v>
      </c>
      <c r="E18868" s="2" t="str">
        <f>HYPERLINK("http://ts.21cn.com/tousu/show/id/1350790","http://ts.21cn.com/tousu/show/id/1350790")</f>
        <v>http://ts.21cn.com/tousu/show/id/1350790</v>
      </c>
      <c r="F18868" s="2" t="s">
        <v>11</v>
      </c>
      <c r="G18868" s="2" t="s">
        <v>7078</v>
      </c>
      <c r="H18868" s="2" t="s">
        <v>7079</v>
      </c>
    </row>
    <row r="18869" spans="1:8" ht="25.05" customHeight="1" x14ac:dyDescent="0.25">
      <c r="A18869" s="2" t="s">
        <v>8</v>
      </c>
      <c r="B18869" s="2" t="str">
        <f>HYPERLINK("http://ts.21cn.com/tousu/show/id/1350628","无缘无故资金被冻结")</f>
        <v>无缘无故资金被冻结</v>
      </c>
      <c r="C18869" s="2" t="s">
        <v>9</v>
      </c>
      <c r="D18869" s="2" t="s">
        <v>10</v>
      </c>
      <c r="E18869" s="2" t="str">
        <f>HYPERLINK("http://ts.21cn.com/tousu/show/id/1350628","http://ts.21cn.com/tousu/show/id/1350628")</f>
        <v>http://ts.21cn.com/tousu/show/id/1350628</v>
      </c>
      <c r="F18869" s="2" t="s">
        <v>11</v>
      </c>
      <c r="G18869" s="2" t="s">
        <v>7076</v>
      </c>
      <c r="H18869" s="2" t="s">
        <v>7077</v>
      </c>
    </row>
    <row r="18870" spans="1:8" ht="25.05" customHeight="1" x14ac:dyDescent="0.25">
      <c r="A18870" s="2" t="s">
        <v>8</v>
      </c>
      <c r="B18870" s="2" t="str">
        <f>HYPERLINK("http://ts.21cn.com/tousu/show/id/1350791","银盛支付坑客户押金")</f>
        <v>银盛支付坑客户押金</v>
      </c>
      <c r="C18870" s="2" t="s">
        <v>9</v>
      </c>
      <c r="D18870" s="2" t="s">
        <v>10</v>
      </c>
      <c r="E18870" s="2" t="str">
        <f>HYPERLINK("http://ts.21cn.com/tousu/show/id/1350791","http://ts.21cn.com/tousu/show/id/1350791")</f>
        <v>http://ts.21cn.com/tousu/show/id/1350791</v>
      </c>
      <c r="F18870" s="2" t="s">
        <v>11</v>
      </c>
      <c r="G18870" s="2" t="s">
        <v>7074</v>
      </c>
      <c r="H18870" s="2" t="s">
        <v>7075</v>
      </c>
    </row>
    <row r="18871" spans="1:8" ht="25.05" customHeight="1" x14ac:dyDescent="0.25">
      <c r="A18871" s="2" t="s">
        <v>8</v>
      </c>
      <c r="B18871" s="2" t="str">
        <f>HYPERLINK("http://ts.21cn.com/tousu/show/id/1350795","闪银瞬瞬哼哼新人通道暴力催收")</f>
        <v>闪银瞬瞬哼哼新人通道暴力催收</v>
      </c>
      <c r="C18871" s="2" t="s">
        <v>9</v>
      </c>
      <c r="D18871" s="2" t="s">
        <v>10</v>
      </c>
      <c r="E18871" s="2" t="str">
        <f>HYPERLINK("http://ts.21cn.com/tousu/show/id/1350795","http://ts.21cn.com/tousu/show/id/1350795")</f>
        <v>http://ts.21cn.com/tousu/show/id/1350795</v>
      </c>
      <c r="F18871" s="2" t="s">
        <v>11</v>
      </c>
      <c r="G18871" s="2" t="s">
        <v>7071</v>
      </c>
      <c r="H18871" s="2" t="s">
        <v>7072</v>
      </c>
    </row>
    <row r="18872" spans="1:8" ht="25.05" customHeight="1" x14ac:dyDescent="0.25">
      <c r="A18872" s="2" t="s">
        <v>8</v>
      </c>
      <c r="B18872" s="2" t="str">
        <f>HYPERLINK("http://ts.21cn.com/tousu/show/id/1350793","及贷平台恶劣群发信息影响生活盗取通讯录暴力威胁亲友")</f>
        <v>及贷平台恶劣群发信息影响生活盗取通讯录暴力威胁亲友</v>
      </c>
      <c r="C18872" s="2" t="s">
        <v>9</v>
      </c>
      <c r="D18872" s="2" t="s">
        <v>10</v>
      </c>
      <c r="E18872" s="2" t="str">
        <f>HYPERLINK("http://ts.21cn.com/tousu/show/id/1350793","http://ts.21cn.com/tousu/show/id/1350793")</f>
        <v>http://ts.21cn.com/tousu/show/id/1350793</v>
      </c>
      <c r="F18872" s="2" t="s">
        <v>11</v>
      </c>
      <c r="G18872" s="2" t="s">
        <v>7071</v>
      </c>
      <c r="H18872" s="2" t="s">
        <v>7073</v>
      </c>
    </row>
    <row r="18873" spans="1:8" ht="25.05" customHeight="1" x14ac:dyDescent="0.25">
      <c r="A18873" s="2" t="s">
        <v>8</v>
      </c>
      <c r="B18873" s="2" t="str">
        <f>HYPERLINK("http://ts.21cn.com/tousu/show/id/1350796","用拉卡拉Q码收款6320元不给结算")</f>
        <v>用拉卡拉Q码收款6320元不给结算</v>
      </c>
      <c r="C18873" s="2" t="s">
        <v>9</v>
      </c>
      <c r="D18873" s="2" t="s">
        <v>10</v>
      </c>
      <c r="E18873" s="2" t="str">
        <f>HYPERLINK("http://ts.21cn.com/tousu/show/id/1350796","http://ts.21cn.com/tousu/show/id/1350796")</f>
        <v>http://ts.21cn.com/tousu/show/id/1350796</v>
      </c>
      <c r="F18873" s="2" t="s">
        <v>11</v>
      </c>
      <c r="G18873" s="2" t="s">
        <v>7069</v>
      </c>
      <c r="H18873" s="2" t="s">
        <v>7070</v>
      </c>
    </row>
    <row r="18874" spans="1:8" ht="25.05" customHeight="1" x14ac:dyDescent="0.25">
      <c r="A18874" s="2" t="s">
        <v>8</v>
      </c>
      <c r="B18874" s="2" t="str">
        <f>HYPERLINK("http://ts.21cn.com/tousu/show/id/1350797","钱伴催收人员辱骂")</f>
        <v>钱伴催收人员辱骂</v>
      </c>
      <c r="C18874" s="2" t="s">
        <v>9</v>
      </c>
      <c r="D18874" s="2" t="s">
        <v>10</v>
      </c>
      <c r="E18874" s="2" t="str">
        <f>HYPERLINK("http://ts.21cn.com/tousu/show/id/1350797","http://ts.21cn.com/tousu/show/id/1350797")</f>
        <v>http://ts.21cn.com/tousu/show/id/1350797</v>
      </c>
      <c r="F18874" s="2" t="s">
        <v>11</v>
      </c>
      <c r="G18874" s="2" t="s">
        <v>7067</v>
      </c>
      <c r="H18874" s="2" t="s">
        <v>7068</v>
      </c>
    </row>
    <row r="18875" spans="1:8" ht="25.05" customHeight="1" x14ac:dyDescent="0.25">
      <c r="A18875" s="2" t="s">
        <v>8</v>
      </c>
      <c r="B18875" s="2" t="str">
        <f>HYPERLINK("http://ts.21cn.com/tousu/show/id/1350798","高利贷收取高额债务管理费")</f>
        <v>高利贷收取高额债务管理费</v>
      </c>
      <c r="C18875" s="2" t="s">
        <v>9</v>
      </c>
      <c r="D18875" s="2" t="s">
        <v>10</v>
      </c>
      <c r="E18875" s="2" t="str">
        <f>HYPERLINK("http://ts.21cn.com/tousu/show/id/1350798","http://ts.21cn.com/tousu/show/id/1350798")</f>
        <v>http://ts.21cn.com/tousu/show/id/1350798</v>
      </c>
      <c r="F18875" s="2" t="s">
        <v>11</v>
      </c>
      <c r="G18875" s="2" t="s">
        <v>7065</v>
      </c>
      <c r="H18875" s="2" t="s">
        <v>7066</v>
      </c>
    </row>
    <row r="18876" spans="1:8" ht="25.05" customHeight="1" x14ac:dyDescent="0.25">
      <c r="A18876" s="2" t="s">
        <v>8</v>
      </c>
      <c r="B18876" s="2" t="str">
        <f>HYPERLINK("http://ts.21cn.com/tousu/show/id/1350799","滴滴出行派单不公平")</f>
        <v>滴滴出行派单不公平</v>
      </c>
      <c r="C18876" s="2" t="s">
        <v>9</v>
      </c>
      <c r="D18876" s="2" t="s">
        <v>10</v>
      </c>
      <c r="E18876" s="2" t="str">
        <f>HYPERLINK("http://ts.21cn.com/tousu/show/id/1350799","http://ts.21cn.com/tousu/show/id/1350799")</f>
        <v>http://ts.21cn.com/tousu/show/id/1350799</v>
      </c>
      <c r="F18876" s="2" t="s">
        <v>11</v>
      </c>
      <c r="G18876" s="2" t="s">
        <v>7063</v>
      </c>
      <c r="H18876" s="2" t="s">
        <v>7064</v>
      </c>
    </row>
    <row r="18877" spans="1:8" ht="25.05" customHeight="1" x14ac:dyDescent="0.25">
      <c r="A18877" s="2" t="s">
        <v>8</v>
      </c>
      <c r="B18877" s="2" t="str">
        <f>HYPERLINK("http://ts.21cn.com/tousu/show/id/1350802","马上金融虚假广告欺诈客户")</f>
        <v>马上金融虚假广告欺诈客户</v>
      </c>
      <c r="C18877" s="2" t="s">
        <v>9</v>
      </c>
      <c r="D18877" s="2" t="s">
        <v>10</v>
      </c>
      <c r="E18877" s="2" t="str">
        <f>HYPERLINK("http://ts.21cn.com/tousu/show/id/1350802","http://ts.21cn.com/tousu/show/id/1350802")</f>
        <v>http://ts.21cn.com/tousu/show/id/1350802</v>
      </c>
      <c r="F18877" s="2" t="s">
        <v>11</v>
      </c>
      <c r="G18877" s="2" t="s">
        <v>7060</v>
      </c>
      <c r="H18877" s="2" t="s">
        <v>7061</v>
      </c>
    </row>
    <row r="18878" spans="1:8" ht="25.05" customHeight="1" x14ac:dyDescent="0.25">
      <c r="A18878" s="2" t="s">
        <v>8</v>
      </c>
      <c r="B18878" s="2" t="str">
        <f>HYPERLINK("http://ts.21cn.com/tousu/show/id/1350800","京东金融套路借款人")</f>
        <v>京东金融套路借款人</v>
      </c>
      <c r="C18878" s="2" t="s">
        <v>9</v>
      </c>
      <c r="D18878" s="2" t="s">
        <v>10</v>
      </c>
      <c r="E18878" s="2" t="str">
        <f>HYPERLINK("http://ts.21cn.com/tousu/show/id/1350800","http://ts.21cn.com/tousu/show/id/1350800")</f>
        <v>http://ts.21cn.com/tousu/show/id/1350800</v>
      </c>
      <c r="F18878" s="2" t="s">
        <v>11</v>
      </c>
      <c r="G18878" s="2" t="s">
        <v>7060</v>
      </c>
      <c r="H18878" s="2" t="s">
        <v>7062</v>
      </c>
    </row>
    <row r="18879" spans="1:8" ht="25.05" customHeight="1" x14ac:dyDescent="0.25">
      <c r="A18879" s="2" t="s">
        <v>8</v>
      </c>
      <c r="B18879" s="2" t="str">
        <f>HYPERLINK("http://ts.21cn.com/tousu/show/id/1349248","买的12号车票，平台出的是8号的，客服态度恶劣。200多不是钱啊")</f>
        <v>买的12号车票，平台出的是8号的，客服态度恶劣。200多不是钱啊</v>
      </c>
      <c r="C18879" s="2" t="s">
        <v>9</v>
      </c>
      <c r="D18879" s="2" t="s">
        <v>10</v>
      </c>
      <c r="E18879" s="2" t="str">
        <f>HYPERLINK("http://ts.21cn.com/tousu/show/id/1349248","http://ts.21cn.com/tousu/show/id/1349248")</f>
        <v>http://ts.21cn.com/tousu/show/id/1349248</v>
      </c>
      <c r="F18879" s="2" t="s">
        <v>11</v>
      </c>
      <c r="G18879" s="2" t="s">
        <v>7058</v>
      </c>
      <c r="H18879" s="2" t="s">
        <v>7059</v>
      </c>
    </row>
    <row r="18880" spans="1:8" ht="25.05" customHeight="1" x14ac:dyDescent="0.25">
      <c r="A18880" s="2" t="s">
        <v>8</v>
      </c>
      <c r="B18880" s="2" t="str">
        <f>HYPERLINK("http://ts.21cn.com/tousu/show/id/1350805","畅捷支付为高利贷有鱼粮提供支付渠道")</f>
        <v>畅捷支付为高利贷有鱼粮提供支付渠道</v>
      </c>
      <c r="C18880" s="2" t="s">
        <v>9</v>
      </c>
      <c r="D18880" s="2" t="s">
        <v>10</v>
      </c>
      <c r="E18880" s="2" t="str">
        <f>HYPERLINK("http://ts.21cn.com/tousu/show/id/1350805","http://ts.21cn.com/tousu/show/id/1350805")</f>
        <v>http://ts.21cn.com/tousu/show/id/1350805</v>
      </c>
      <c r="F18880" s="2" t="s">
        <v>11</v>
      </c>
      <c r="G18880" s="2" t="s">
        <v>7056</v>
      </c>
      <c r="H18880" s="2" t="s">
        <v>7057</v>
      </c>
    </row>
    <row r="18881" spans="1:8" ht="25.05" customHeight="1" x14ac:dyDescent="0.25">
      <c r="A18881" s="2" t="s">
        <v>8</v>
      </c>
      <c r="B18881" s="2" t="str">
        <f>HYPERLINK("http://ts.21cn.com/tousu/show/id/1350801","小浦优客未经同意扣款")</f>
        <v>小浦优客未经同意扣款</v>
      </c>
      <c r="C18881" s="2" t="s">
        <v>9</v>
      </c>
      <c r="D18881" s="2" t="s">
        <v>10</v>
      </c>
      <c r="E18881" s="2" t="str">
        <f>HYPERLINK("http://ts.21cn.com/tousu/show/id/1350801","http://ts.21cn.com/tousu/show/id/1350801")</f>
        <v>http://ts.21cn.com/tousu/show/id/1350801</v>
      </c>
      <c r="F18881" s="2" t="s">
        <v>11</v>
      </c>
      <c r="G18881" s="2" t="s">
        <v>7054</v>
      </c>
      <c r="H18881" s="2" t="s">
        <v>7055</v>
      </c>
    </row>
    <row r="18882" spans="1:8" ht="25.05" customHeight="1" x14ac:dyDescent="0.25">
      <c r="A18882" s="2" t="s">
        <v>8</v>
      </c>
      <c r="B18882" s="2" t="str">
        <f>HYPERLINK("http://ts.21cn.com/tousu/show/id/1350759","点点借款平台与众安保险强行搭售保险合同")</f>
        <v>点点借款平台与众安保险强行搭售保险合同</v>
      </c>
      <c r="C18882" s="2" t="s">
        <v>9</v>
      </c>
      <c r="D18882" s="2" t="s">
        <v>10</v>
      </c>
      <c r="E18882" s="2" t="str">
        <f>HYPERLINK("http://ts.21cn.com/tousu/show/id/1350759","http://ts.21cn.com/tousu/show/id/1350759")</f>
        <v>http://ts.21cn.com/tousu/show/id/1350759</v>
      </c>
      <c r="F18882" s="2" t="s">
        <v>11</v>
      </c>
      <c r="G18882" s="2" t="s">
        <v>7052</v>
      </c>
      <c r="H18882" s="2" t="s">
        <v>7053</v>
      </c>
    </row>
    <row r="18883" spans="1:8" ht="25.05" customHeight="1" x14ac:dyDescent="0.25">
      <c r="A18883" s="2" t="s">
        <v>8</v>
      </c>
      <c r="B18883" s="2" t="str">
        <f>HYPERLINK("http://ts.21cn.com/tousu/show/id/1350803","信用管家蓝莓金服高利贷不肯协商还款")</f>
        <v>信用管家蓝莓金服高利贷不肯协商还款</v>
      </c>
      <c r="C18883" s="2" t="s">
        <v>9</v>
      </c>
      <c r="D18883" s="2" t="s">
        <v>10</v>
      </c>
      <c r="E18883" s="2" t="str">
        <f>HYPERLINK("http://ts.21cn.com/tousu/show/id/1350803","http://ts.21cn.com/tousu/show/id/1350803")</f>
        <v>http://ts.21cn.com/tousu/show/id/1350803</v>
      </c>
      <c r="F18883" s="2" t="s">
        <v>11</v>
      </c>
      <c r="G18883" s="2" t="s">
        <v>7050</v>
      </c>
      <c r="H18883" s="2" t="s">
        <v>7051</v>
      </c>
    </row>
    <row r="18884" spans="1:8" ht="25.05" customHeight="1" x14ac:dyDescent="0.25">
      <c r="A18884" s="2" t="s">
        <v>8</v>
      </c>
      <c r="B18884" s="2" t="str">
        <f>HYPERLINK("http://ts.21cn.com/tousu/show/id/1350804","王者钱包砍头息，汇潮支付提供支付通道")</f>
        <v>王者钱包砍头息，汇潮支付提供支付通道</v>
      </c>
      <c r="C18884" s="2" t="s">
        <v>9</v>
      </c>
      <c r="D18884" s="2" t="s">
        <v>10</v>
      </c>
      <c r="E18884" s="2" t="str">
        <f>HYPERLINK("http://ts.21cn.com/tousu/show/id/1350804","http://ts.21cn.com/tousu/show/id/1350804")</f>
        <v>http://ts.21cn.com/tousu/show/id/1350804</v>
      </c>
      <c r="F18884" s="2" t="s">
        <v>11</v>
      </c>
      <c r="G18884" s="2" t="s">
        <v>7048</v>
      </c>
      <c r="H18884" s="2" t="s">
        <v>7049</v>
      </c>
    </row>
    <row r="18885" spans="1:8" ht="25.05" customHeight="1" x14ac:dyDescent="0.25">
      <c r="A18885" s="2" t="s">
        <v>8</v>
      </c>
      <c r="B18885" s="2" t="str">
        <f>HYPERLINK("http://ts.21cn.com/tousu/show/id/1350808","京东海淘不给取消订单")</f>
        <v>京东海淘不给取消订单</v>
      </c>
      <c r="C18885" s="2" t="s">
        <v>9</v>
      </c>
      <c r="D18885" s="2" t="s">
        <v>10</v>
      </c>
      <c r="E18885" s="2" t="str">
        <f>HYPERLINK("http://ts.21cn.com/tousu/show/id/1350808","http://ts.21cn.com/tousu/show/id/1350808")</f>
        <v>http://ts.21cn.com/tousu/show/id/1350808</v>
      </c>
      <c r="F18885" s="2" t="s">
        <v>11</v>
      </c>
      <c r="G18885" s="2" t="s">
        <v>7046</v>
      </c>
      <c r="H18885" s="2" t="s">
        <v>7047</v>
      </c>
    </row>
    <row r="18886" spans="1:8" ht="25.05" customHeight="1" x14ac:dyDescent="0.25">
      <c r="A18886" s="2" t="s">
        <v>8</v>
      </c>
      <c r="B18886" s="2" t="str">
        <f>HYPERLINK("http://ts.21cn.com/tousu/show/id/1350806","严重骚扰我，及家人")</f>
        <v>严重骚扰我，及家人</v>
      </c>
      <c r="C18886" s="2" t="s">
        <v>9</v>
      </c>
      <c r="D18886" s="2" t="s">
        <v>10</v>
      </c>
      <c r="E18886" s="2" t="str">
        <f>HYPERLINK("http://ts.21cn.com/tousu/show/id/1350806","http://ts.21cn.com/tousu/show/id/1350806")</f>
        <v>http://ts.21cn.com/tousu/show/id/1350806</v>
      </c>
      <c r="F18886" s="2" t="s">
        <v>11</v>
      </c>
      <c r="G18886" s="2" t="s">
        <v>7044</v>
      </c>
      <c r="H18886" s="2" t="s">
        <v>7045</v>
      </c>
    </row>
    <row r="18887" spans="1:8" ht="25.05" customHeight="1" x14ac:dyDescent="0.25">
      <c r="A18887" s="2" t="s">
        <v>8</v>
      </c>
      <c r="B18887" s="2" t="str">
        <f>HYPERLINK("http://ts.21cn.com/tousu/show/id/1350807","聚福钱包违法扣款盗刷拒不退还")</f>
        <v>聚福钱包违法扣款盗刷拒不退还</v>
      </c>
      <c r="C18887" s="2" t="s">
        <v>9</v>
      </c>
      <c r="D18887" s="2" t="s">
        <v>10</v>
      </c>
      <c r="E18887" s="2" t="str">
        <f>HYPERLINK("http://ts.21cn.com/tousu/show/id/1350807","http://ts.21cn.com/tousu/show/id/1350807")</f>
        <v>http://ts.21cn.com/tousu/show/id/1350807</v>
      </c>
      <c r="F18887" s="2" t="s">
        <v>11</v>
      </c>
      <c r="G18887" s="2" t="s">
        <v>7042</v>
      </c>
      <c r="H18887" s="2" t="s">
        <v>7043</v>
      </c>
    </row>
    <row r="18888" spans="1:8" ht="25.05" customHeight="1" x14ac:dyDescent="0.25">
      <c r="A18888" s="2" t="s">
        <v>8</v>
      </c>
      <c r="B18888" s="2" t="str">
        <f>HYPERLINK("http://ts.21cn.com/tousu/show/id/1350809","你我贷报通讯录出言不逊")</f>
        <v>你我贷报通讯录出言不逊</v>
      </c>
      <c r="C18888" s="2" t="s">
        <v>9</v>
      </c>
      <c r="D18888" s="2" t="s">
        <v>10</v>
      </c>
      <c r="E18888" s="2" t="str">
        <f>HYPERLINK("http://ts.21cn.com/tousu/show/id/1350809","http://ts.21cn.com/tousu/show/id/1350809")</f>
        <v>http://ts.21cn.com/tousu/show/id/1350809</v>
      </c>
      <c r="F18888" s="2" t="s">
        <v>11</v>
      </c>
      <c r="G18888" s="2" t="s">
        <v>7040</v>
      </c>
      <c r="H18888" s="2" t="s">
        <v>7041</v>
      </c>
    </row>
    <row r="18889" spans="1:8" ht="25.05" customHeight="1" x14ac:dyDescent="0.25">
      <c r="A18889" s="2" t="s">
        <v>8</v>
      </c>
      <c r="B18889" s="2" t="str">
        <f>HYPERLINK("http://ts.21cn.com/tousu/show/id/1350665","你我贷暴力催收恐吓")</f>
        <v>你我贷暴力催收恐吓</v>
      </c>
      <c r="C18889" s="2" t="s">
        <v>9</v>
      </c>
      <c r="D18889" s="2" t="s">
        <v>10</v>
      </c>
      <c r="E18889" s="2" t="str">
        <f>HYPERLINK("http://ts.21cn.com/tousu/show/id/1350665","http://ts.21cn.com/tousu/show/id/1350665")</f>
        <v>http://ts.21cn.com/tousu/show/id/1350665</v>
      </c>
      <c r="F18889" s="2" t="s">
        <v>11</v>
      </c>
      <c r="G18889" s="2" t="s">
        <v>7038</v>
      </c>
      <c r="H18889" s="2" t="s">
        <v>7039</v>
      </c>
    </row>
    <row r="18890" spans="1:8" ht="25.05" customHeight="1" x14ac:dyDescent="0.25">
      <c r="A18890" s="2" t="s">
        <v>8</v>
      </c>
      <c r="B18890" s="2" t="str">
        <f>HYPERLINK("http://ts.21cn.com/tousu/show/id/1350811","马上消费金融，暴力催收，群发短信，恐吓催收")</f>
        <v>马上消费金融，暴力催收，群发短信，恐吓催收</v>
      </c>
      <c r="C18890" s="2" t="s">
        <v>9</v>
      </c>
      <c r="D18890" s="2" t="s">
        <v>10</v>
      </c>
      <c r="E18890" s="2" t="str">
        <f>HYPERLINK("http://ts.21cn.com/tousu/show/id/1350811","http://ts.21cn.com/tousu/show/id/1350811")</f>
        <v>http://ts.21cn.com/tousu/show/id/1350811</v>
      </c>
      <c r="F18890" s="2" t="s">
        <v>11</v>
      </c>
      <c r="G18890" s="2" t="s">
        <v>7036</v>
      </c>
      <c r="H18890" s="2" t="s">
        <v>7037</v>
      </c>
    </row>
    <row r="18891" spans="1:8" ht="25.05" customHeight="1" x14ac:dyDescent="0.25">
      <c r="A18891" s="2" t="s">
        <v>8</v>
      </c>
      <c r="B18891" s="2" t="str">
        <f>HYPERLINK("http://ts.21cn.com/tousu/show/id/1350813","小象优品在借款人逾期三天的情况下爆光借款人通讯录，导致借款人名誉受损！！")</f>
        <v>小象优品在借款人逾期三天的情况下爆光借款人通讯录，导致借款人名誉受损！！</v>
      </c>
      <c r="C18891" s="2" t="s">
        <v>9</v>
      </c>
      <c r="D18891" s="2" t="s">
        <v>10</v>
      </c>
      <c r="E18891" s="2" t="str">
        <f>HYPERLINK("http://ts.21cn.com/tousu/show/id/1350813","http://ts.21cn.com/tousu/show/id/1350813")</f>
        <v>http://ts.21cn.com/tousu/show/id/1350813</v>
      </c>
      <c r="F18891" s="2" t="s">
        <v>11</v>
      </c>
      <c r="G18891" s="2" t="s">
        <v>7034</v>
      </c>
      <c r="H18891" s="2" t="s">
        <v>7035</v>
      </c>
    </row>
    <row r="18892" spans="1:8" ht="25.05" customHeight="1" x14ac:dyDescent="0.25">
      <c r="A18892" s="2" t="s">
        <v>8</v>
      </c>
      <c r="B18892" s="2" t="str">
        <f>HYPERLINK("http://ts.21cn.com/tousu/show/id/1350814","投诉网贷利息高")</f>
        <v>投诉网贷利息高</v>
      </c>
      <c r="C18892" s="2" t="s">
        <v>9</v>
      </c>
      <c r="D18892" s="2" t="s">
        <v>10</v>
      </c>
      <c r="E18892" s="2" t="str">
        <f>HYPERLINK("http://ts.21cn.com/tousu/show/id/1350814","http://ts.21cn.com/tousu/show/id/1350814")</f>
        <v>http://ts.21cn.com/tousu/show/id/1350814</v>
      </c>
      <c r="F18892" s="2" t="s">
        <v>11</v>
      </c>
      <c r="G18892" s="2" t="s">
        <v>7032</v>
      </c>
      <c r="H18892" s="2" t="s">
        <v>7033</v>
      </c>
    </row>
    <row r="18893" spans="1:8" ht="25.05" customHeight="1" x14ac:dyDescent="0.25">
      <c r="A18893" s="2" t="s">
        <v>8</v>
      </c>
      <c r="B18893" s="2" t="str">
        <f>HYPERLINK("http://ts.21cn.com/tousu/show/id/1350812","钱站高利贷阴阳合同")</f>
        <v>钱站高利贷阴阳合同</v>
      </c>
      <c r="C18893" s="2" t="s">
        <v>9</v>
      </c>
      <c r="D18893" s="2" t="s">
        <v>10</v>
      </c>
      <c r="E18893" s="2" t="str">
        <f>HYPERLINK("http://ts.21cn.com/tousu/show/id/1350812","http://ts.21cn.com/tousu/show/id/1350812")</f>
        <v>http://ts.21cn.com/tousu/show/id/1350812</v>
      </c>
      <c r="F18893" s="2" t="s">
        <v>11</v>
      </c>
      <c r="G18893" s="2" t="s">
        <v>7030</v>
      </c>
      <c r="H18893" s="2" t="s">
        <v>7031</v>
      </c>
    </row>
    <row r="18894" spans="1:8" ht="25.05" customHeight="1" x14ac:dyDescent="0.25">
      <c r="A18894" s="2" t="s">
        <v>8</v>
      </c>
      <c r="B18894" s="2" t="str">
        <f>HYPERLINK("http://ts.21cn.com/tousu/show/id/1350816","无缘无故扣费")</f>
        <v>无缘无故扣费</v>
      </c>
      <c r="C18894" s="2" t="s">
        <v>9</v>
      </c>
      <c r="D18894" s="2" t="s">
        <v>10</v>
      </c>
      <c r="E18894" s="2" t="str">
        <f>HYPERLINK("http://ts.21cn.com/tousu/show/id/1350816","http://ts.21cn.com/tousu/show/id/1350816")</f>
        <v>http://ts.21cn.com/tousu/show/id/1350816</v>
      </c>
      <c r="F18894" s="2" t="s">
        <v>11</v>
      </c>
      <c r="G18894" s="2" t="s">
        <v>7028</v>
      </c>
      <c r="H18894" s="2" t="s">
        <v>7029</v>
      </c>
    </row>
    <row r="18895" spans="1:8" ht="25.05" customHeight="1" x14ac:dyDescent="0.25">
      <c r="A18895" s="2" t="s">
        <v>8</v>
      </c>
      <c r="B18895" s="2" t="str">
        <f>HYPERLINK("http://ts.21cn.com/tousu/show/id/1350817","投诉西藏微众金融")</f>
        <v>投诉西藏微众金融</v>
      </c>
      <c r="C18895" s="2" t="s">
        <v>9</v>
      </c>
      <c r="D18895" s="2" t="s">
        <v>10</v>
      </c>
      <c r="E18895" s="2" t="str">
        <f>HYPERLINK("http://ts.21cn.com/tousu/show/id/1350817","http://ts.21cn.com/tousu/show/id/1350817")</f>
        <v>http://ts.21cn.com/tousu/show/id/1350817</v>
      </c>
      <c r="F18895" s="2" t="s">
        <v>11</v>
      </c>
      <c r="G18895" s="2" t="s">
        <v>7026</v>
      </c>
      <c r="H18895" s="2" t="s">
        <v>7027</v>
      </c>
    </row>
    <row r="18896" spans="1:8" ht="25.05" customHeight="1" x14ac:dyDescent="0.25">
      <c r="A18896" s="2" t="s">
        <v>8</v>
      </c>
      <c r="B18896" s="2" t="str">
        <f>HYPERLINK("http://ts.21cn.com/tousu/show/id/1350818","游戏账号交易成功后平台不给打款")</f>
        <v>游戏账号交易成功后平台不给打款</v>
      </c>
      <c r="C18896" s="2" t="s">
        <v>34</v>
      </c>
      <c r="D18896" s="2" t="s">
        <v>10</v>
      </c>
      <c r="E18896" s="2" t="str">
        <f>HYPERLINK("http://ts.21cn.com/tousu/show/id/1350818","http://ts.21cn.com/tousu/show/id/1350818")</f>
        <v>http://ts.21cn.com/tousu/show/id/1350818</v>
      </c>
      <c r="F18896" s="2" t="s">
        <v>11</v>
      </c>
      <c r="G18896" s="2" t="s">
        <v>7024</v>
      </c>
      <c r="H18896" s="2" t="s">
        <v>7025</v>
      </c>
    </row>
    <row r="18897" spans="1:8" ht="25.05" customHeight="1" x14ac:dyDescent="0.25">
      <c r="A18897" s="2" t="s">
        <v>8</v>
      </c>
      <c r="B18897" s="2" t="str">
        <f>HYPERLINK("http://ts.21cn.com/tousu/show/id/1350819","被骚扰，威胁恐吓")</f>
        <v>被骚扰，威胁恐吓</v>
      </c>
      <c r="C18897" s="2" t="s">
        <v>9</v>
      </c>
      <c r="D18897" s="2" t="s">
        <v>10</v>
      </c>
      <c r="E18897" s="2" t="str">
        <f>HYPERLINK("http://ts.21cn.com/tousu/show/id/1350819","http://ts.21cn.com/tousu/show/id/1350819")</f>
        <v>http://ts.21cn.com/tousu/show/id/1350819</v>
      </c>
      <c r="F18897" s="2" t="s">
        <v>11</v>
      </c>
      <c r="G18897" s="2" t="s">
        <v>7022</v>
      </c>
      <c r="H18897" s="2" t="s">
        <v>7023</v>
      </c>
    </row>
    <row r="18898" spans="1:8" ht="25.05" customHeight="1" x14ac:dyDescent="0.25">
      <c r="A18898" s="2" t="s">
        <v>8</v>
      </c>
      <c r="B18898" s="2" t="str">
        <f>HYPERLINK("http://ts.21cn.com/tousu/show/id/1350820","智享贷变相收取砍头息")</f>
        <v>智享贷变相收取砍头息</v>
      </c>
      <c r="C18898" s="2" t="s">
        <v>34</v>
      </c>
      <c r="D18898" s="2" t="s">
        <v>10</v>
      </c>
      <c r="E18898" s="2" t="str">
        <f>HYPERLINK("http://ts.21cn.com/tousu/show/id/1350820","http://ts.21cn.com/tousu/show/id/1350820")</f>
        <v>http://ts.21cn.com/tousu/show/id/1350820</v>
      </c>
      <c r="F18898" s="2" t="s">
        <v>11</v>
      </c>
      <c r="G18898" s="2" t="s">
        <v>7020</v>
      </c>
      <c r="H18898" s="2" t="s">
        <v>7021</v>
      </c>
    </row>
    <row r="18899" spans="1:8" ht="25.05" customHeight="1" x14ac:dyDescent="0.25">
      <c r="A18899" s="2" t="s">
        <v>8</v>
      </c>
      <c r="B18899" s="2" t="str">
        <f>HYPERLINK("http://ts.21cn.com/tousu/show/id/1350821","豆豆钱变相保险费")</f>
        <v>豆豆钱变相保险费</v>
      </c>
      <c r="C18899" s="2" t="s">
        <v>9</v>
      </c>
      <c r="D18899" s="2" t="s">
        <v>10</v>
      </c>
      <c r="E18899" s="2" t="str">
        <f>HYPERLINK("http://ts.21cn.com/tousu/show/id/1350821","http://ts.21cn.com/tousu/show/id/1350821")</f>
        <v>http://ts.21cn.com/tousu/show/id/1350821</v>
      </c>
      <c r="F18899" s="2" t="s">
        <v>11</v>
      </c>
      <c r="G18899" s="2" t="s">
        <v>7018</v>
      </c>
      <c r="H18899" s="2" t="s">
        <v>7019</v>
      </c>
    </row>
    <row r="18900" spans="1:8" ht="25.05" customHeight="1" x14ac:dyDescent="0.25">
      <c r="A18900" s="2" t="s">
        <v>8</v>
      </c>
      <c r="B18900" s="2" t="str">
        <f>HYPERLINK("http://ts.21cn.com/tousu/show/id/1350822","今日我在中国银行的卡显示被（特约）广发银行股份有限公司广州分公司pos机扣款436.31元，但是我本人没有这笔支出")</f>
        <v>今日我在中国银行的卡显示被（特约）广发银行股份有限公司广州分公司pos机扣款436.31元，但是我本人没有这笔支出</v>
      </c>
      <c r="C18900" s="2" t="s">
        <v>9</v>
      </c>
      <c r="D18900" s="2" t="s">
        <v>10</v>
      </c>
      <c r="E18900" s="2" t="str">
        <f>HYPERLINK("http://ts.21cn.com/tousu/show/id/1350822","http://ts.21cn.com/tousu/show/id/1350822")</f>
        <v>http://ts.21cn.com/tousu/show/id/1350822</v>
      </c>
      <c r="F18900" s="2" t="s">
        <v>11</v>
      </c>
      <c r="G18900" s="2" t="s">
        <v>7016</v>
      </c>
      <c r="H18900" s="2" t="s">
        <v>7017</v>
      </c>
    </row>
    <row r="18901" spans="1:8" ht="25.05" customHeight="1" x14ac:dyDescent="0.25">
      <c r="A18901" s="2" t="s">
        <v>8</v>
      </c>
      <c r="B18901" s="2" t="str">
        <f>HYPERLINK("http://ts.21cn.com/tousu/show/id/1350823","套路贷")</f>
        <v>套路贷</v>
      </c>
      <c r="C18901" s="2" t="s">
        <v>9</v>
      </c>
      <c r="D18901" s="2" t="s">
        <v>10</v>
      </c>
      <c r="E18901" s="2" t="str">
        <f>HYPERLINK("http://ts.21cn.com/tousu/show/id/1350823","http://ts.21cn.com/tousu/show/id/1350823")</f>
        <v>http://ts.21cn.com/tousu/show/id/1350823</v>
      </c>
      <c r="F18901" s="2" t="s">
        <v>11</v>
      </c>
      <c r="G18901" s="2" t="s">
        <v>7014</v>
      </c>
      <c r="H18901" s="2" t="s">
        <v>7015</v>
      </c>
    </row>
    <row r="18902" spans="1:8" ht="25.05" customHeight="1" x14ac:dyDescent="0.25">
      <c r="A18902" s="2" t="s">
        <v>8</v>
      </c>
      <c r="B18902" s="2" t="str">
        <f>HYPERLINK("http://ts.21cn.com/tousu/show/id/1350824","群发短信，暴力催收，高利贷")</f>
        <v>群发短信，暴力催收，高利贷</v>
      </c>
      <c r="C18902" s="2" t="s">
        <v>9</v>
      </c>
      <c r="D18902" s="2" t="s">
        <v>10</v>
      </c>
      <c r="E18902" s="2" t="str">
        <f>HYPERLINK("http://ts.21cn.com/tousu/show/id/1350824","http://ts.21cn.com/tousu/show/id/1350824")</f>
        <v>http://ts.21cn.com/tousu/show/id/1350824</v>
      </c>
      <c r="F18902" s="2" t="s">
        <v>11</v>
      </c>
      <c r="G18902" s="2" t="s">
        <v>7012</v>
      </c>
      <c r="H18902" s="2" t="s">
        <v>7013</v>
      </c>
    </row>
    <row r="18903" spans="1:8" ht="25.05" customHeight="1" x14ac:dyDescent="0.25">
      <c r="A18903" s="2" t="s">
        <v>8</v>
      </c>
      <c r="B18903" s="2" t="str">
        <f>HYPERLINK("http://ts.21cn.com/tousu/show/id/1350825","微众银行催代")</f>
        <v>微众银行催代</v>
      </c>
      <c r="C18903" s="2" t="s">
        <v>9</v>
      </c>
      <c r="D18903" s="2" t="s">
        <v>10</v>
      </c>
      <c r="E18903" s="2" t="str">
        <f>HYPERLINK("http://ts.21cn.com/tousu/show/id/1350825","http://ts.21cn.com/tousu/show/id/1350825")</f>
        <v>http://ts.21cn.com/tousu/show/id/1350825</v>
      </c>
      <c r="F18903" s="2" t="s">
        <v>11</v>
      </c>
      <c r="G18903" s="2" t="s">
        <v>7010</v>
      </c>
      <c r="H18903" s="2" t="s">
        <v>7011</v>
      </c>
    </row>
    <row r="18904" spans="1:8" ht="25.05" customHeight="1" x14ac:dyDescent="0.25">
      <c r="A18904" s="2" t="s">
        <v>8</v>
      </c>
      <c r="B18904" s="2" t="str">
        <f>HYPERLINK("http://ts.21cn.com/tousu/show/id/1350828","成都安睿旺蜀网络科技有限公司。")</f>
        <v>成都安睿旺蜀网络科技有限公司。</v>
      </c>
      <c r="C18904" s="2" t="s">
        <v>9</v>
      </c>
      <c r="D18904" s="2" t="s">
        <v>10</v>
      </c>
      <c r="E18904" s="2" t="str">
        <f>HYPERLINK("http://ts.21cn.com/tousu/show/id/1350828","http://ts.21cn.com/tousu/show/id/1350828")</f>
        <v>http://ts.21cn.com/tousu/show/id/1350828</v>
      </c>
      <c r="F18904" s="2" t="s">
        <v>11</v>
      </c>
      <c r="G18904" s="2" t="s">
        <v>7008</v>
      </c>
      <c r="H18904" s="2" t="s">
        <v>7009</v>
      </c>
    </row>
    <row r="18905" spans="1:8" ht="25.05" customHeight="1" x14ac:dyDescent="0.25">
      <c r="A18905" s="2" t="s">
        <v>8</v>
      </c>
      <c r="B18905" s="2" t="str">
        <f>HYPERLINK("http://ts.21cn.com/tousu/show/id/1350829","暴力催收辱骂侵犯个人隐私，还一直威胁")</f>
        <v>暴力催收辱骂侵犯个人隐私，还一直威胁</v>
      </c>
      <c r="C18905" s="2" t="s">
        <v>9</v>
      </c>
      <c r="D18905" s="2" t="s">
        <v>10</v>
      </c>
      <c r="E18905" s="2" t="str">
        <f>HYPERLINK("http://ts.21cn.com/tousu/show/id/1350829","http://ts.21cn.com/tousu/show/id/1350829")</f>
        <v>http://ts.21cn.com/tousu/show/id/1350829</v>
      </c>
      <c r="F18905" s="2" t="s">
        <v>11</v>
      </c>
      <c r="G18905" s="2" t="s">
        <v>7006</v>
      </c>
      <c r="H18905" s="2" t="s">
        <v>7007</v>
      </c>
    </row>
    <row r="18906" spans="1:8" ht="25.05" customHeight="1" x14ac:dyDescent="0.25">
      <c r="A18906" s="2" t="s">
        <v>8</v>
      </c>
      <c r="B18906" s="2" t="str">
        <f>HYPERLINK("http://ts.21cn.com/tousu/show/id/1350830","及贷高利贷，放款时收取服务费")</f>
        <v>及贷高利贷，放款时收取服务费</v>
      </c>
      <c r="C18906" s="2" t="s">
        <v>9</v>
      </c>
      <c r="D18906" s="2" t="s">
        <v>10</v>
      </c>
      <c r="E18906" s="2" t="str">
        <f>HYPERLINK("http://ts.21cn.com/tousu/show/id/1350830","http://ts.21cn.com/tousu/show/id/1350830")</f>
        <v>http://ts.21cn.com/tousu/show/id/1350830</v>
      </c>
      <c r="F18906" s="2" t="s">
        <v>11</v>
      </c>
      <c r="G18906" s="2" t="s">
        <v>7004</v>
      </c>
      <c r="H18906" s="2" t="s">
        <v>7005</v>
      </c>
    </row>
    <row r="18907" spans="1:8" ht="25.05" customHeight="1" x14ac:dyDescent="0.25">
      <c r="A18907" s="2" t="s">
        <v>8</v>
      </c>
      <c r="B18907" s="2" t="str">
        <f>HYPERLINK("http://ts.21cn.com/tousu/show/id/1350832","套路贷，高利贷，暴力催收")</f>
        <v>套路贷，高利贷，暴力催收</v>
      </c>
      <c r="C18907" s="2" t="s">
        <v>9</v>
      </c>
      <c r="D18907" s="2" t="s">
        <v>10</v>
      </c>
      <c r="E18907" s="2" t="str">
        <f>HYPERLINK("http://ts.21cn.com/tousu/show/id/1350832","http://ts.21cn.com/tousu/show/id/1350832")</f>
        <v>http://ts.21cn.com/tousu/show/id/1350832</v>
      </c>
      <c r="F18907" s="2" t="s">
        <v>11</v>
      </c>
      <c r="G18907" s="2" t="s">
        <v>7002</v>
      </c>
      <c r="H18907" s="2" t="s">
        <v>7003</v>
      </c>
    </row>
    <row r="18908" spans="1:8" ht="25.05" customHeight="1" x14ac:dyDescent="0.25">
      <c r="A18908" s="2" t="s">
        <v>8</v>
      </c>
      <c r="B18908" s="2" t="str">
        <f>HYPERLINK("http://ts.21cn.com/tousu/show/id/1350834","宏撒上海信息科技有限公司盗刷银行卡")</f>
        <v>宏撒上海信息科技有限公司盗刷银行卡</v>
      </c>
      <c r="C18908" s="2" t="s">
        <v>9</v>
      </c>
      <c r="D18908" s="2" t="s">
        <v>10</v>
      </c>
      <c r="E18908" s="2" t="str">
        <f>HYPERLINK("http://ts.21cn.com/tousu/show/id/1350834","http://ts.21cn.com/tousu/show/id/1350834")</f>
        <v>http://ts.21cn.com/tousu/show/id/1350834</v>
      </c>
      <c r="F18908" s="2" t="s">
        <v>11</v>
      </c>
      <c r="G18908" s="2" t="s">
        <v>7000</v>
      </c>
      <c r="H18908" s="2" t="s">
        <v>7001</v>
      </c>
    </row>
    <row r="18909" spans="1:8" ht="25.05" customHeight="1" x14ac:dyDescent="0.25">
      <c r="A18909" s="2" t="s">
        <v>8</v>
      </c>
      <c r="B18909" s="2" t="str">
        <f>HYPERLINK("http://ts.21cn.com/tousu/show/id/1350835","马上消费金融")</f>
        <v>马上消费金融</v>
      </c>
      <c r="C18909" s="2" t="s">
        <v>9</v>
      </c>
      <c r="D18909" s="2" t="s">
        <v>10</v>
      </c>
      <c r="E18909" s="2" t="str">
        <f>HYPERLINK("http://ts.21cn.com/tousu/show/id/1350835","http://ts.21cn.com/tousu/show/id/1350835")</f>
        <v>http://ts.21cn.com/tousu/show/id/1350835</v>
      </c>
      <c r="F18909" s="2" t="s">
        <v>11</v>
      </c>
      <c r="G18909" s="2" t="s">
        <v>6998</v>
      </c>
      <c r="H18909" s="2" t="s">
        <v>6999</v>
      </c>
    </row>
    <row r="18910" spans="1:8" ht="25.05" customHeight="1" x14ac:dyDescent="0.25">
      <c r="A18910" s="2" t="s">
        <v>8</v>
      </c>
      <c r="B18910" s="2" t="str">
        <f>HYPERLINK("http://ts.21cn.com/tousu/show/id/1350836","你我贷恶意骚扰，暴力催收")</f>
        <v>你我贷恶意骚扰，暴力催收</v>
      </c>
      <c r="C18910" s="2" t="s">
        <v>9</v>
      </c>
      <c r="D18910" s="2" t="s">
        <v>10</v>
      </c>
      <c r="E18910" s="2" t="str">
        <f>HYPERLINK("http://ts.21cn.com/tousu/show/id/1350836","http://ts.21cn.com/tousu/show/id/1350836")</f>
        <v>http://ts.21cn.com/tousu/show/id/1350836</v>
      </c>
      <c r="F18910" s="2" t="s">
        <v>11</v>
      </c>
      <c r="G18910" s="2" t="s">
        <v>6996</v>
      </c>
      <c r="H18910" s="2" t="s">
        <v>6997</v>
      </c>
    </row>
    <row r="18911" spans="1:8" ht="25.05" customHeight="1" x14ac:dyDescent="0.25">
      <c r="A18911" s="2" t="s">
        <v>8</v>
      </c>
      <c r="B18911" s="2" t="str">
        <f>HYPERLINK("http://ts.21cn.com/tousu/show/id/1350837","利息有点低，再高点")</f>
        <v>利息有点低，再高点</v>
      </c>
      <c r="C18911" s="2" t="s">
        <v>34</v>
      </c>
      <c r="D18911" s="2" t="s">
        <v>10</v>
      </c>
      <c r="E18911" s="2" t="str">
        <f>HYPERLINK("http://ts.21cn.com/tousu/show/id/1350837","http://ts.21cn.com/tousu/show/id/1350837")</f>
        <v>http://ts.21cn.com/tousu/show/id/1350837</v>
      </c>
      <c r="F18911" s="2" t="s">
        <v>11</v>
      </c>
      <c r="G18911" s="2" t="s">
        <v>6994</v>
      </c>
      <c r="H18911" s="2" t="s">
        <v>6995</v>
      </c>
    </row>
    <row r="18912" spans="1:8" ht="25.05" customHeight="1" x14ac:dyDescent="0.25">
      <c r="A18912" s="2" t="s">
        <v>8</v>
      </c>
      <c r="B18912" s="2" t="str">
        <f>HYPERLINK("http://ts.21cn.com/tousu/show/id/1350838","你我贷虚假宣传、欺诈消费申请结清证明")</f>
        <v>你我贷虚假宣传、欺诈消费申请结清证明</v>
      </c>
      <c r="C18912" s="2" t="s">
        <v>9</v>
      </c>
      <c r="D18912" s="2" t="s">
        <v>10</v>
      </c>
      <c r="E18912" s="2" t="str">
        <f>HYPERLINK("http://ts.21cn.com/tousu/show/id/1350838","http://ts.21cn.com/tousu/show/id/1350838")</f>
        <v>http://ts.21cn.com/tousu/show/id/1350838</v>
      </c>
      <c r="F18912" s="2" t="s">
        <v>11</v>
      </c>
      <c r="G18912" s="2" t="s">
        <v>6992</v>
      </c>
      <c r="H18912" s="2" t="s">
        <v>6993</v>
      </c>
    </row>
    <row r="18913" spans="1:8" ht="25.05" customHeight="1" x14ac:dyDescent="0.25">
      <c r="A18913" s="2" t="s">
        <v>8</v>
      </c>
      <c r="B18913" s="2" t="str">
        <f>HYPERLINK("http://ts.21cn.com/tousu/show/id/1350839","360借条打电话骚扰通讯录以及公司同事")</f>
        <v>360借条打电话骚扰通讯录以及公司同事</v>
      </c>
      <c r="C18913" s="2" t="s">
        <v>9</v>
      </c>
      <c r="D18913" s="2" t="s">
        <v>10</v>
      </c>
      <c r="E18913" s="2" t="str">
        <f>HYPERLINK("http://ts.21cn.com/tousu/show/id/1350839","http://ts.21cn.com/tousu/show/id/1350839")</f>
        <v>http://ts.21cn.com/tousu/show/id/1350839</v>
      </c>
      <c r="F18913" s="2" t="s">
        <v>11</v>
      </c>
      <c r="G18913" s="2" t="s">
        <v>6990</v>
      </c>
      <c r="H18913" s="2" t="s">
        <v>6991</v>
      </c>
    </row>
    <row r="18914" spans="1:8" ht="25.05" customHeight="1" x14ac:dyDescent="0.25">
      <c r="A18914" s="2" t="s">
        <v>8</v>
      </c>
      <c r="B18914" s="2" t="str">
        <f>HYPERLINK("http://ts.21cn.com/tousu/show/id/1350840","鲁班到家不让师傅提现")</f>
        <v>鲁班到家不让师傅提现</v>
      </c>
      <c r="C18914" s="2" t="s">
        <v>9</v>
      </c>
      <c r="D18914" s="2" t="s">
        <v>10</v>
      </c>
      <c r="E18914" s="2" t="str">
        <f>HYPERLINK("http://ts.21cn.com/tousu/show/id/1350840","http://ts.21cn.com/tousu/show/id/1350840")</f>
        <v>http://ts.21cn.com/tousu/show/id/1350840</v>
      </c>
      <c r="F18914" s="2" t="s">
        <v>11</v>
      </c>
      <c r="G18914" s="2" t="s">
        <v>6988</v>
      </c>
      <c r="H18914" s="2" t="s">
        <v>6989</v>
      </c>
    </row>
    <row r="18915" spans="1:8" ht="25.05" customHeight="1" x14ac:dyDescent="0.25">
      <c r="A18915" s="2" t="s">
        <v>8</v>
      </c>
      <c r="B18915" s="2" t="str">
        <f>HYPERLINK("http://ts.21cn.com/tousu/show/id/1350842","马上金融强制收取保险费")</f>
        <v>马上金融强制收取保险费</v>
      </c>
      <c r="C18915" s="2" t="s">
        <v>9</v>
      </c>
      <c r="D18915" s="2" t="s">
        <v>10</v>
      </c>
      <c r="E18915" s="2" t="str">
        <f>HYPERLINK("http://ts.21cn.com/tousu/show/id/1350842","http://ts.21cn.com/tousu/show/id/1350842")</f>
        <v>http://ts.21cn.com/tousu/show/id/1350842</v>
      </c>
      <c r="F18915" s="2" t="s">
        <v>11</v>
      </c>
      <c r="G18915" s="2" t="s">
        <v>6986</v>
      </c>
      <c r="H18915" s="2" t="s">
        <v>6987</v>
      </c>
    </row>
    <row r="18916" spans="1:8" ht="25.05" customHeight="1" x14ac:dyDescent="0.25">
      <c r="A18916" s="2" t="s">
        <v>8</v>
      </c>
      <c r="B18916" s="2" t="str">
        <f>HYPERLINK("http://ts.21cn.com/tousu/show/id/1350841","商家承诺未兑现")</f>
        <v>商家承诺未兑现</v>
      </c>
      <c r="C18916" s="2" t="s">
        <v>34</v>
      </c>
      <c r="D18916" s="2" t="s">
        <v>10</v>
      </c>
      <c r="E18916" s="2" t="str">
        <f>HYPERLINK("http://ts.21cn.com/tousu/show/id/1350841","http://ts.21cn.com/tousu/show/id/1350841")</f>
        <v>http://ts.21cn.com/tousu/show/id/1350841</v>
      </c>
      <c r="F18916" s="2" t="s">
        <v>11</v>
      </c>
      <c r="G18916" s="2" t="s">
        <v>6984</v>
      </c>
      <c r="H18916" s="2" t="s">
        <v>6985</v>
      </c>
    </row>
    <row r="18917" spans="1:8" ht="25.05" customHeight="1" x14ac:dyDescent="0.25">
      <c r="A18917" s="2" t="s">
        <v>8</v>
      </c>
      <c r="B18917" s="2" t="str">
        <f>HYPERLINK("http://ts.21cn.com/tousu/show/id/1350843","汇潮支付为高炮王者钱包提供第三方支付！！要求协商还款！！")</f>
        <v>汇潮支付为高炮王者钱包提供第三方支付！！要求协商还款！！</v>
      </c>
      <c r="C18917" s="2" t="s">
        <v>34</v>
      </c>
      <c r="D18917" s="2" t="s">
        <v>10</v>
      </c>
      <c r="E18917" s="2" t="str">
        <f>HYPERLINK("http://ts.21cn.com/tousu/show/id/1350843","http://ts.21cn.com/tousu/show/id/1350843")</f>
        <v>http://ts.21cn.com/tousu/show/id/1350843</v>
      </c>
      <c r="F18917" s="2" t="s">
        <v>11</v>
      </c>
      <c r="G18917" s="2" t="s">
        <v>6982</v>
      </c>
      <c r="H18917" s="2" t="s">
        <v>6983</v>
      </c>
    </row>
    <row r="18918" spans="1:8" ht="25.05" customHeight="1" x14ac:dyDescent="0.25">
      <c r="A18918" s="2" t="s">
        <v>8</v>
      </c>
      <c r="B18918" s="2" t="str">
        <f>HYPERLINK("http://ts.21cn.com/tousu/show/id/1350844","还款账单扣费重复")</f>
        <v>还款账单扣费重复</v>
      </c>
      <c r="C18918" s="2" t="s">
        <v>9</v>
      </c>
      <c r="D18918" s="2" t="s">
        <v>10</v>
      </c>
      <c r="E18918" s="2" t="str">
        <f>HYPERLINK("http://ts.21cn.com/tousu/show/id/1350844","http://ts.21cn.com/tousu/show/id/1350844")</f>
        <v>http://ts.21cn.com/tousu/show/id/1350844</v>
      </c>
      <c r="F18918" s="2" t="s">
        <v>11</v>
      </c>
      <c r="G18918" s="2" t="s">
        <v>6980</v>
      </c>
      <c r="H18918" s="2" t="s">
        <v>6981</v>
      </c>
    </row>
    <row r="18919" spans="1:8" ht="25.05" customHeight="1" x14ac:dyDescent="0.25">
      <c r="A18919" s="2" t="s">
        <v>8</v>
      </c>
      <c r="B18919" s="2" t="str">
        <f>HYPERLINK("http://ts.21cn.com/tousu/show/id/1350846","滴滴平台，乱收费，没坐车也把费用扣下")</f>
        <v>滴滴平台，乱收费，没坐车也把费用扣下</v>
      </c>
      <c r="C18919" s="2" t="s">
        <v>9</v>
      </c>
      <c r="D18919" s="2" t="s">
        <v>10</v>
      </c>
      <c r="E18919" s="2" t="str">
        <f>HYPERLINK("http://ts.21cn.com/tousu/show/id/1350846","http://ts.21cn.com/tousu/show/id/1350846")</f>
        <v>http://ts.21cn.com/tousu/show/id/1350846</v>
      </c>
      <c r="F18919" s="2" t="s">
        <v>11</v>
      </c>
      <c r="G18919" s="2" t="s">
        <v>6978</v>
      </c>
      <c r="H18919" s="2" t="s">
        <v>6979</v>
      </c>
    </row>
    <row r="18920" spans="1:8" ht="25.05" customHeight="1" x14ac:dyDescent="0.25">
      <c r="A18920" s="2" t="s">
        <v>8</v>
      </c>
      <c r="B18920" s="2" t="str">
        <f>HYPERLINK("http://ts.21cn.com/tousu/show/id/1350845","美团收银系统拒绝退款")</f>
        <v>美团收银系统拒绝退款</v>
      </c>
      <c r="C18920" s="2" t="s">
        <v>9</v>
      </c>
      <c r="D18920" s="2" t="s">
        <v>10</v>
      </c>
      <c r="E18920" s="2" t="str">
        <f>HYPERLINK("http://ts.21cn.com/tousu/show/id/1350845","http://ts.21cn.com/tousu/show/id/1350845")</f>
        <v>http://ts.21cn.com/tousu/show/id/1350845</v>
      </c>
      <c r="F18920" s="2" t="s">
        <v>11</v>
      </c>
      <c r="G18920" s="2" t="s">
        <v>6976</v>
      </c>
      <c r="H18920" s="2" t="s">
        <v>6977</v>
      </c>
    </row>
    <row r="18921" spans="1:8" ht="25.05" customHeight="1" x14ac:dyDescent="0.25">
      <c r="A18921" s="2" t="s">
        <v>8</v>
      </c>
      <c r="B18921" s="2" t="str">
        <f>HYPERLINK("http://ts.21cn.com/tousu/show/id/1350847","信用卡还款失败，钱不知道哪去了")</f>
        <v>信用卡还款失败，钱不知道哪去了</v>
      </c>
      <c r="C18921" s="2" t="s">
        <v>9</v>
      </c>
      <c r="D18921" s="2" t="s">
        <v>10</v>
      </c>
      <c r="E18921" s="2" t="str">
        <f>HYPERLINK("http://ts.21cn.com/tousu/show/id/1350847","http://ts.21cn.com/tousu/show/id/1350847")</f>
        <v>http://ts.21cn.com/tousu/show/id/1350847</v>
      </c>
      <c r="F18921" s="2" t="s">
        <v>11</v>
      </c>
      <c r="G18921" s="2" t="s">
        <v>6974</v>
      </c>
      <c r="H18921" s="2" t="s">
        <v>6975</v>
      </c>
    </row>
    <row r="18922" spans="1:8" ht="25.05" customHeight="1" x14ac:dyDescent="0.25">
      <c r="A18922" s="2" t="s">
        <v>8</v>
      </c>
      <c r="B18922" s="2" t="str">
        <f>HYPERLINK("http://ts.21cn.com/tousu/show/id/1350850","pos押金不退")</f>
        <v>pos押金不退</v>
      </c>
      <c r="C18922" s="2" t="s">
        <v>9</v>
      </c>
      <c r="D18922" s="2" t="s">
        <v>10</v>
      </c>
      <c r="E18922" s="2" t="str">
        <f>HYPERLINK("http://ts.21cn.com/tousu/show/id/1350850","http://ts.21cn.com/tousu/show/id/1350850")</f>
        <v>http://ts.21cn.com/tousu/show/id/1350850</v>
      </c>
      <c r="F18922" s="2" t="s">
        <v>11</v>
      </c>
      <c r="G18922" s="2" t="s">
        <v>6972</v>
      </c>
      <c r="H18922" s="2" t="s">
        <v>6973</v>
      </c>
    </row>
    <row r="18923" spans="1:8" ht="25.05" customHeight="1" x14ac:dyDescent="0.25">
      <c r="A18923" s="2" t="s">
        <v>8</v>
      </c>
      <c r="B18923" s="2" t="str">
        <f>HYPERLINK("http://ts.21cn.com/tousu/show/id/1350849","分期乐恶意催收，高利贷")</f>
        <v>分期乐恶意催收，高利贷</v>
      </c>
      <c r="C18923" s="2" t="s">
        <v>9</v>
      </c>
      <c r="D18923" s="2" t="s">
        <v>10</v>
      </c>
      <c r="E18923" s="2" t="str">
        <f>HYPERLINK("http://ts.21cn.com/tousu/show/id/1350849","http://ts.21cn.com/tousu/show/id/1350849")</f>
        <v>http://ts.21cn.com/tousu/show/id/1350849</v>
      </c>
      <c r="F18923" s="2" t="s">
        <v>11</v>
      </c>
      <c r="G18923" s="2" t="s">
        <v>6970</v>
      </c>
      <c r="H18923" s="2" t="s">
        <v>6971</v>
      </c>
    </row>
    <row r="18924" spans="1:8" ht="25.05" customHeight="1" x14ac:dyDescent="0.25">
      <c r="A18924" s="2" t="s">
        <v>8</v>
      </c>
      <c r="B18924" s="2" t="str">
        <f>HYPERLINK("http://ts.21cn.com/tousu/show/id/1350851","滴滴平台不尊重滴滴司机人权")</f>
        <v>滴滴平台不尊重滴滴司机人权</v>
      </c>
      <c r="C18924" s="2" t="s">
        <v>9</v>
      </c>
      <c r="D18924" s="2" t="s">
        <v>10</v>
      </c>
      <c r="E18924" s="2" t="str">
        <f>HYPERLINK("http://ts.21cn.com/tousu/show/id/1350851","http://ts.21cn.com/tousu/show/id/1350851")</f>
        <v>http://ts.21cn.com/tousu/show/id/1350851</v>
      </c>
      <c r="F18924" s="2" t="s">
        <v>11</v>
      </c>
      <c r="G18924" s="2" t="s">
        <v>6968</v>
      </c>
      <c r="H18924" s="2" t="s">
        <v>6969</v>
      </c>
    </row>
    <row r="18925" spans="1:8" ht="25.05" customHeight="1" x14ac:dyDescent="0.25">
      <c r="A18925" s="2" t="s">
        <v>8</v>
      </c>
      <c r="B18925" s="2" t="str">
        <f>HYPERLINK("http://ts.21cn.com/tousu/show/id/1350853","爱又米暴力催收")</f>
        <v>爱又米暴力催收</v>
      </c>
      <c r="C18925" s="2" t="s">
        <v>9</v>
      </c>
      <c r="D18925" s="2" t="s">
        <v>10</v>
      </c>
      <c r="E18925" s="2" t="str">
        <f>HYPERLINK("http://ts.21cn.com/tousu/show/id/1350853","http://ts.21cn.com/tousu/show/id/1350853")</f>
        <v>http://ts.21cn.com/tousu/show/id/1350853</v>
      </c>
      <c r="F18925" s="2" t="s">
        <v>11</v>
      </c>
      <c r="G18925" s="2" t="s">
        <v>6966</v>
      </c>
      <c r="H18925" s="2" t="s">
        <v>6967</v>
      </c>
    </row>
    <row r="18926" spans="1:8" ht="25.05" customHeight="1" x14ac:dyDescent="0.25">
      <c r="A18926" s="2" t="s">
        <v>8</v>
      </c>
      <c r="B18926" s="2" t="str">
        <f>HYPERLINK("http://ts.21cn.com/tousu/show/id/1350852","暴力催收，骚扰亲朋好友已经严重影响了朋友的亲朋友友的生活")</f>
        <v>暴力催收，骚扰亲朋好友已经严重影响了朋友的亲朋友友的生活</v>
      </c>
      <c r="C18926" s="2" t="s">
        <v>9</v>
      </c>
      <c r="D18926" s="2" t="s">
        <v>10</v>
      </c>
      <c r="E18926" s="2" t="str">
        <f>HYPERLINK("http://ts.21cn.com/tousu/show/id/1350852","http://ts.21cn.com/tousu/show/id/1350852")</f>
        <v>http://ts.21cn.com/tousu/show/id/1350852</v>
      </c>
      <c r="F18926" s="2" t="s">
        <v>11</v>
      </c>
      <c r="G18926" s="2" t="s">
        <v>6964</v>
      </c>
      <c r="H18926" s="2" t="s">
        <v>6965</v>
      </c>
    </row>
    <row r="18927" spans="1:8" ht="25.05" customHeight="1" x14ac:dyDescent="0.25">
      <c r="A18927" s="2" t="s">
        <v>8</v>
      </c>
      <c r="B18927" s="2" t="str">
        <f>HYPERLINK("http://ts.21cn.com/tousu/show/id/1350854","小浦优客未经同意扣款")</f>
        <v>小浦优客未经同意扣款</v>
      </c>
      <c r="C18927" s="2" t="s">
        <v>34</v>
      </c>
      <c r="D18927" s="2" t="s">
        <v>10</v>
      </c>
      <c r="E18927" s="2" t="str">
        <f>HYPERLINK("http://ts.21cn.com/tousu/show/id/1350854","http://ts.21cn.com/tousu/show/id/1350854")</f>
        <v>http://ts.21cn.com/tousu/show/id/1350854</v>
      </c>
      <c r="F18927" s="2" t="s">
        <v>11</v>
      </c>
      <c r="G18927" s="2" t="s">
        <v>6962</v>
      </c>
      <c r="H18927" s="2" t="s">
        <v>6963</v>
      </c>
    </row>
    <row r="18928" spans="1:8" ht="25.05" customHeight="1" x14ac:dyDescent="0.25">
      <c r="A18928" s="2" t="s">
        <v>8</v>
      </c>
      <c r="B18928" s="2" t="str">
        <f>HYPERLINK("http://ts.21cn.com/tousu/show/id/1350855","黑网贷暴力催收")</f>
        <v>黑网贷暴力催收</v>
      </c>
      <c r="C18928" s="2" t="s">
        <v>9</v>
      </c>
      <c r="D18928" s="2" t="s">
        <v>10</v>
      </c>
      <c r="E18928" s="2" t="str">
        <f>HYPERLINK("http://ts.21cn.com/tousu/show/id/1350855","http://ts.21cn.com/tousu/show/id/1350855")</f>
        <v>http://ts.21cn.com/tousu/show/id/1350855</v>
      </c>
      <c r="F18928" s="2" t="s">
        <v>11</v>
      </c>
      <c r="G18928" s="2" t="s">
        <v>6960</v>
      </c>
      <c r="H18928" s="2" t="s">
        <v>6961</v>
      </c>
    </row>
    <row r="18929" spans="1:8" ht="25.05" customHeight="1" x14ac:dyDescent="0.25">
      <c r="A18929" s="2" t="s">
        <v>8</v>
      </c>
      <c r="B18929" s="2" t="str">
        <f>HYPERLINK("http://ts.21cn.com/tousu/show/id/1350856","读秒钱包阴阳合同高利贷")</f>
        <v>读秒钱包阴阳合同高利贷</v>
      </c>
      <c r="C18929" s="2" t="s">
        <v>9</v>
      </c>
      <c r="D18929" s="2" t="s">
        <v>10</v>
      </c>
      <c r="E18929" s="2" t="str">
        <f>HYPERLINK("http://ts.21cn.com/tousu/show/id/1350856","http://ts.21cn.com/tousu/show/id/1350856")</f>
        <v>http://ts.21cn.com/tousu/show/id/1350856</v>
      </c>
      <c r="F18929" s="2" t="s">
        <v>11</v>
      </c>
      <c r="G18929" s="2" t="s">
        <v>6958</v>
      </c>
      <c r="H18929" s="2" t="s">
        <v>6959</v>
      </c>
    </row>
    <row r="18930" spans="1:8" ht="25.05" customHeight="1" x14ac:dyDescent="0.25">
      <c r="A18930" s="2" t="s">
        <v>8</v>
      </c>
      <c r="B18930" s="2" t="str">
        <f>HYPERLINK("http://ts.21cn.com/tousu/show/id/1350860","小黑鲨还款日催收，逾期一天半小时一个电话催收")</f>
        <v>小黑鲨还款日催收，逾期一天半小时一个电话催收</v>
      </c>
      <c r="C18930" s="2" t="s">
        <v>9</v>
      </c>
      <c r="D18930" s="2" t="s">
        <v>10</v>
      </c>
      <c r="E18930" s="2" t="str">
        <f>HYPERLINK("http://ts.21cn.com/tousu/show/id/1350860","http://ts.21cn.com/tousu/show/id/1350860")</f>
        <v>http://ts.21cn.com/tousu/show/id/1350860</v>
      </c>
      <c r="F18930" s="2" t="s">
        <v>11</v>
      </c>
      <c r="G18930" s="2" t="s">
        <v>6956</v>
      </c>
      <c r="H18930" s="2" t="s">
        <v>6957</v>
      </c>
    </row>
    <row r="18931" spans="1:8" ht="25.05" customHeight="1" x14ac:dyDescent="0.25">
      <c r="A18931" s="2" t="s">
        <v>8</v>
      </c>
      <c r="B18931" s="2" t="str">
        <f>HYPERLINK("http://ts.21cn.com/tousu/show/id/1350858","宜人贷砍头息")</f>
        <v>宜人贷砍头息</v>
      </c>
      <c r="C18931" s="2" t="s">
        <v>34</v>
      </c>
      <c r="D18931" s="2" t="s">
        <v>10</v>
      </c>
      <c r="E18931" s="2" t="str">
        <f>HYPERLINK("http://ts.21cn.com/tousu/show/id/1350858","http://ts.21cn.com/tousu/show/id/1350858")</f>
        <v>http://ts.21cn.com/tousu/show/id/1350858</v>
      </c>
      <c r="F18931" s="2" t="s">
        <v>11</v>
      </c>
      <c r="G18931" s="2" t="s">
        <v>6953</v>
      </c>
      <c r="H18931" s="2" t="s">
        <v>6954</v>
      </c>
    </row>
    <row r="18932" spans="1:8" ht="25.05" customHeight="1" x14ac:dyDescent="0.25">
      <c r="A18932" s="2" t="s">
        <v>8</v>
      </c>
      <c r="B18932" s="2" t="str">
        <f>HYPERLINK("http://ts.21cn.com/tousu/show/id/1350857","协商还款结清，但现在公司不承认")</f>
        <v>协商还款结清，但现在公司不承认</v>
      </c>
      <c r="C18932" s="2" t="s">
        <v>9</v>
      </c>
      <c r="D18932" s="2" t="s">
        <v>10</v>
      </c>
      <c r="E18932" s="2" t="str">
        <f>HYPERLINK("http://ts.21cn.com/tousu/show/id/1350857","http://ts.21cn.com/tousu/show/id/1350857")</f>
        <v>http://ts.21cn.com/tousu/show/id/1350857</v>
      </c>
      <c r="F18932" s="2" t="s">
        <v>11</v>
      </c>
      <c r="G18932" s="2" t="s">
        <v>6953</v>
      </c>
      <c r="H18932" s="2" t="s">
        <v>6955</v>
      </c>
    </row>
    <row r="18933" spans="1:8" ht="25.05" customHeight="1" x14ac:dyDescent="0.25">
      <c r="A18933" s="2" t="s">
        <v>8</v>
      </c>
      <c r="B18933" s="2" t="str">
        <f>HYPERLINK("http://ts.21cn.com/tousu/show/id/1350859","威胁，泄露个人隐私")</f>
        <v>威胁，泄露个人隐私</v>
      </c>
      <c r="C18933" s="2" t="s">
        <v>9</v>
      </c>
      <c r="D18933" s="2" t="s">
        <v>10</v>
      </c>
      <c r="E18933" s="2" t="str">
        <f>HYPERLINK("http://ts.21cn.com/tousu/show/id/1350859","http://ts.21cn.com/tousu/show/id/1350859")</f>
        <v>http://ts.21cn.com/tousu/show/id/1350859</v>
      </c>
      <c r="F18933" s="2" t="s">
        <v>11</v>
      </c>
      <c r="G18933" s="2" t="s">
        <v>6951</v>
      </c>
      <c r="H18933" s="2" t="s">
        <v>6952</v>
      </c>
    </row>
    <row r="18934" spans="1:8" ht="25.05" customHeight="1" x14ac:dyDescent="0.25">
      <c r="A18934" s="2" t="s">
        <v>8</v>
      </c>
      <c r="B18934" s="2" t="str">
        <f>HYPERLINK("http://ts.21cn.com/tousu/show/id/1350861","严重骚扰亲朋好友")</f>
        <v>严重骚扰亲朋好友</v>
      </c>
      <c r="C18934" s="2" t="s">
        <v>34</v>
      </c>
      <c r="D18934" s="2" t="s">
        <v>10</v>
      </c>
      <c r="E18934" s="2" t="str">
        <f>HYPERLINK("http://ts.21cn.com/tousu/show/id/1350861","http://ts.21cn.com/tousu/show/id/1350861")</f>
        <v>http://ts.21cn.com/tousu/show/id/1350861</v>
      </c>
      <c r="F18934" s="2" t="s">
        <v>11</v>
      </c>
      <c r="G18934" s="2" t="s">
        <v>6949</v>
      </c>
      <c r="H18934" s="2" t="s">
        <v>6950</v>
      </c>
    </row>
    <row r="18935" spans="1:8" ht="25.05" customHeight="1" x14ac:dyDescent="0.25">
      <c r="A18935" s="2" t="s">
        <v>8</v>
      </c>
      <c r="B18935" s="2" t="str">
        <f>HYPERLINK("http://ts.21cn.com/tousu/show/id/1350863","豹子贷无故扣钱不需要还要扣")</f>
        <v>豹子贷无故扣钱不需要还要扣</v>
      </c>
      <c r="C18935" s="2" t="s">
        <v>34</v>
      </c>
      <c r="D18935" s="2" t="s">
        <v>10</v>
      </c>
      <c r="E18935" s="2" t="str">
        <f>HYPERLINK("http://ts.21cn.com/tousu/show/id/1350863","http://ts.21cn.com/tousu/show/id/1350863")</f>
        <v>http://ts.21cn.com/tousu/show/id/1350863</v>
      </c>
      <c r="F18935" s="2" t="s">
        <v>11</v>
      </c>
      <c r="G18935" s="2" t="s">
        <v>6947</v>
      </c>
      <c r="H18935" s="2" t="s">
        <v>6948</v>
      </c>
    </row>
    <row r="18936" spans="1:8" ht="25.05" customHeight="1" x14ac:dyDescent="0.25">
      <c r="A18936" s="2" t="s">
        <v>8</v>
      </c>
      <c r="B18936" s="2" t="str">
        <f>HYPERLINK("http://ts.21cn.com/tousu/show/id/1350865","及贷雇佣社会人进行非法上门威逼催收")</f>
        <v>及贷雇佣社会人进行非法上门威逼催收</v>
      </c>
      <c r="C18936" s="2" t="s">
        <v>9</v>
      </c>
      <c r="D18936" s="2" t="s">
        <v>10</v>
      </c>
      <c r="E18936" s="2" t="str">
        <f>HYPERLINK("http://ts.21cn.com/tousu/show/id/1350865","http://ts.21cn.com/tousu/show/id/1350865")</f>
        <v>http://ts.21cn.com/tousu/show/id/1350865</v>
      </c>
      <c r="F18936" s="2" t="s">
        <v>11</v>
      </c>
      <c r="G18936" s="2" t="s">
        <v>6945</v>
      </c>
      <c r="H18936" s="2" t="s">
        <v>6946</v>
      </c>
    </row>
    <row r="18937" spans="1:8" ht="25.05" customHeight="1" x14ac:dyDescent="0.25">
      <c r="A18937" s="2" t="s">
        <v>8</v>
      </c>
      <c r="B18937" s="2" t="str">
        <f>HYPERLINK("http://ts.21cn.com/tousu/show/id/1350866","要求微信etc小程序注销我的etc")</f>
        <v>要求微信etc小程序注销我的etc</v>
      </c>
      <c r="C18937" s="2" t="s">
        <v>9</v>
      </c>
      <c r="D18937" s="2" t="s">
        <v>10</v>
      </c>
      <c r="E18937" s="2" t="str">
        <f>HYPERLINK("http://ts.21cn.com/tousu/show/id/1350866","http://ts.21cn.com/tousu/show/id/1350866")</f>
        <v>http://ts.21cn.com/tousu/show/id/1350866</v>
      </c>
      <c r="F18937" s="2" t="s">
        <v>11</v>
      </c>
      <c r="G18937" s="2" t="s">
        <v>6943</v>
      </c>
      <c r="H18937" s="2" t="s">
        <v>6944</v>
      </c>
    </row>
    <row r="18938" spans="1:8" ht="25.05" customHeight="1" x14ac:dyDescent="0.25">
      <c r="A18938" s="2" t="s">
        <v>8</v>
      </c>
      <c r="B18938" s="2" t="str">
        <f>HYPERLINK("http://ts.21cn.com/tousu/show/id/1350867","建设银行暴力催收")</f>
        <v>建设银行暴力催收</v>
      </c>
      <c r="C18938" s="2" t="s">
        <v>9</v>
      </c>
      <c r="D18938" s="2" t="s">
        <v>10</v>
      </c>
      <c r="E18938" s="2" t="str">
        <f>HYPERLINK("http://ts.21cn.com/tousu/show/id/1350867","http://ts.21cn.com/tousu/show/id/1350867")</f>
        <v>http://ts.21cn.com/tousu/show/id/1350867</v>
      </c>
      <c r="F18938" s="2" t="s">
        <v>11</v>
      </c>
      <c r="G18938" s="2" t="s">
        <v>6941</v>
      </c>
      <c r="H18938" s="2" t="s">
        <v>6942</v>
      </c>
    </row>
    <row r="18939" spans="1:8" ht="25.05" customHeight="1" x14ac:dyDescent="0.25">
      <c r="A18939" s="2" t="s">
        <v>8</v>
      </c>
      <c r="B18939" s="2" t="str">
        <f>HYPERLINK("http://ts.21cn.com/tousu/show/id/1350868","要求信用星球退还非法砍头息")</f>
        <v>要求信用星球退还非法砍头息</v>
      </c>
      <c r="C18939" s="2" t="s">
        <v>9</v>
      </c>
      <c r="D18939" s="2" t="s">
        <v>10</v>
      </c>
      <c r="E18939" s="2" t="str">
        <f>HYPERLINK("http://ts.21cn.com/tousu/show/id/1350868","http://ts.21cn.com/tousu/show/id/1350868")</f>
        <v>http://ts.21cn.com/tousu/show/id/1350868</v>
      </c>
      <c r="F18939" s="2" t="s">
        <v>11</v>
      </c>
      <c r="G18939" s="2" t="s">
        <v>6939</v>
      </c>
      <c r="H18939" s="2" t="s">
        <v>6940</v>
      </c>
    </row>
    <row r="18940" spans="1:8" ht="25.05" customHeight="1" x14ac:dyDescent="0.25">
      <c r="A18940" s="2" t="s">
        <v>8</v>
      </c>
      <c r="B18940" s="2" t="str">
        <f>HYPERLINK("http://ts.21cn.com/tousu/show/id/1350869","拍拍贷敲诈勒索行为")</f>
        <v>拍拍贷敲诈勒索行为</v>
      </c>
      <c r="C18940" s="2" t="s">
        <v>9</v>
      </c>
      <c r="D18940" s="2" t="s">
        <v>10</v>
      </c>
      <c r="E18940" s="2" t="str">
        <f>HYPERLINK("http://ts.21cn.com/tousu/show/id/1350869","http://ts.21cn.com/tousu/show/id/1350869")</f>
        <v>http://ts.21cn.com/tousu/show/id/1350869</v>
      </c>
      <c r="F18940" s="2" t="s">
        <v>11</v>
      </c>
      <c r="G18940" s="2" t="s">
        <v>6937</v>
      </c>
      <c r="H18940" s="2" t="s">
        <v>6938</v>
      </c>
    </row>
    <row r="18941" spans="1:8" ht="25.05" customHeight="1" x14ac:dyDescent="0.25">
      <c r="A18941" s="2" t="s">
        <v>8</v>
      </c>
      <c r="B18941" s="2" t="str">
        <f>HYPERLINK("http://ts.21cn.com/tousu/show/id/1350870","已完成并支付成功订单，滴滴再次发送给支付宝，在支付宝平台显示有未付订单")</f>
        <v>已完成并支付成功订单，滴滴再次发送给支付宝，在支付宝平台显示有未付订单</v>
      </c>
      <c r="C18941" s="2" t="s">
        <v>34</v>
      </c>
      <c r="D18941" s="2" t="s">
        <v>10</v>
      </c>
      <c r="E18941" s="2" t="str">
        <f>HYPERLINK("http://ts.21cn.com/tousu/show/id/1350870","http://ts.21cn.com/tousu/show/id/1350870")</f>
        <v>http://ts.21cn.com/tousu/show/id/1350870</v>
      </c>
      <c r="F18941" s="2" t="s">
        <v>11</v>
      </c>
      <c r="G18941" s="2" t="s">
        <v>6935</v>
      </c>
      <c r="H18941" s="2" t="s">
        <v>6936</v>
      </c>
    </row>
    <row r="18942" spans="1:8" ht="25.05" customHeight="1" x14ac:dyDescent="0.25">
      <c r="A18942" s="2" t="s">
        <v>8</v>
      </c>
      <c r="B18942" s="2" t="str">
        <f>HYPERLINK("http://ts.21cn.com/tousu/show/id/1350871","杭州美团外卖公司让虚假套证商家上线")</f>
        <v>杭州美团外卖公司让虚假套证商家上线</v>
      </c>
      <c r="C18942" s="2" t="s">
        <v>9</v>
      </c>
      <c r="D18942" s="2" t="s">
        <v>10</v>
      </c>
      <c r="E18942" s="2" t="str">
        <f>HYPERLINK("http://ts.21cn.com/tousu/show/id/1350871","http://ts.21cn.com/tousu/show/id/1350871")</f>
        <v>http://ts.21cn.com/tousu/show/id/1350871</v>
      </c>
      <c r="F18942" s="2" t="s">
        <v>11</v>
      </c>
      <c r="G18942" s="2" t="s">
        <v>6933</v>
      </c>
      <c r="H18942" s="2" t="s">
        <v>6934</v>
      </c>
    </row>
    <row r="18943" spans="1:8" ht="25.05" customHeight="1" x14ac:dyDescent="0.25">
      <c r="A18943" s="2" t="s">
        <v>8</v>
      </c>
      <c r="B18943" s="2" t="str">
        <f>HYPERLINK("http://ts.21cn.com/tousu/show/id/1350872","立借高利贷")</f>
        <v>立借高利贷</v>
      </c>
      <c r="C18943" s="2" t="s">
        <v>9</v>
      </c>
      <c r="D18943" s="2" t="s">
        <v>10</v>
      </c>
      <c r="E18943" s="2" t="str">
        <f>HYPERLINK("http://ts.21cn.com/tousu/show/id/1350872","http://ts.21cn.com/tousu/show/id/1350872")</f>
        <v>http://ts.21cn.com/tousu/show/id/1350872</v>
      </c>
      <c r="F18943" s="2" t="s">
        <v>11</v>
      </c>
      <c r="G18943" s="2" t="s">
        <v>6931</v>
      </c>
      <c r="H18943" s="2" t="s">
        <v>6932</v>
      </c>
    </row>
    <row r="18944" spans="1:8" ht="25.05" customHeight="1" x14ac:dyDescent="0.25">
      <c r="A18944" s="2" t="s">
        <v>8</v>
      </c>
      <c r="B18944" s="2" t="str">
        <f>HYPERLINK("http://ts.21cn.com/tousu/show/id/1350874","你们这根本就没有实际解决我的问题啊")</f>
        <v>你们这根本就没有实际解决我的问题啊</v>
      </c>
      <c r="C18944" s="2" t="s">
        <v>9</v>
      </c>
      <c r="D18944" s="2" t="s">
        <v>10</v>
      </c>
      <c r="E18944" s="2" t="str">
        <f>HYPERLINK("http://ts.21cn.com/tousu/show/id/1350874","http://ts.21cn.com/tousu/show/id/1350874")</f>
        <v>http://ts.21cn.com/tousu/show/id/1350874</v>
      </c>
      <c r="F18944" s="2" t="s">
        <v>11</v>
      </c>
      <c r="G18944" s="2" t="s">
        <v>6929</v>
      </c>
      <c r="H18944" s="2" t="s">
        <v>6930</v>
      </c>
    </row>
    <row r="18945" spans="1:8" ht="25.05" customHeight="1" x14ac:dyDescent="0.25">
      <c r="A18945" s="2" t="s">
        <v>8</v>
      </c>
      <c r="B18945" s="2" t="str">
        <f>HYPERLINK("http://ts.21cn.com/tousu/show/id/1350875","新建微信支付冻结")</f>
        <v>新建微信支付冻结</v>
      </c>
      <c r="C18945" s="2" t="s">
        <v>9</v>
      </c>
      <c r="D18945" s="2" t="s">
        <v>10</v>
      </c>
      <c r="E18945" s="2" t="str">
        <f>HYPERLINK("http://ts.21cn.com/tousu/show/id/1350875","http://ts.21cn.com/tousu/show/id/1350875")</f>
        <v>http://ts.21cn.com/tousu/show/id/1350875</v>
      </c>
      <c r="F18945" s="2" t="s">
        <v>11</v>
      </c>
      <c r="G18945" s="2" t="s">
        <v>6927</v>
      </c>
      <c r="H18945" s="2" t="s">
        <v>6928</v>
      </c>
    </row>
    <row r="18946" spans="1:8" ht="25.05" customHeight="1" x14ac:dyDescent="0.25">
      <c r="A18946" s="2" t="s">
        <v>8</v>
      </c>
      <c r="B18946" s="2" t="str">
        <f>HYPERLINK("http://ts.21cn.com/tousu/show/id/1350876","不经我同意暴力骚扰通讯录联系人")</f>
        <v>不经我同意暴力骚扰通讯录联系人</v>
      </c>
      <c r="C18946" s="2" t="s">
        <v>9</v>
      </c>
      <c r="D18946" s="2" t="s">
        <v>10</v>
      </c>
      <c r="E18946" s="2" t="str">
        <f>HYPERLINK("http://ts.21cn.com/tousu/show/id/1350876","http://ts.21cn.com/tousu/show/id/1350876")</f>
        <v>http://ts.21cn.com/tousu/show/id/1350876</v>
      </c>
      <c r="F18946" s="2" t="s">
        <v>11</v>
      </c>
      <c r="G18946" s="2" t="s">
        <v>6925</v>
      </c>
      <c r="H18946" s="2" t="s">
        <v>6926</v>
      </c>
    </row>
    <row r="18947" spans="1:8" ht="25.05" customHeight="1" x14ac:dyDescent="0.25">
      <c r="A18947" s="2" t="s">
        <v>8</v>
      </c>
      <c r="B18947" s="2" t="str">
        <f>HYPERLINK("http://ts.21cn.com/tousu/show/id/1350879","马上金融胡乱收费，各种费用，算起来高的很")</f>
        <v>马上金融胡乱收费，各种费用，算起来高的很</v>
      </c>
      <c r="C18947" s="2" t="s">
        <v>9</v>
      </c>
      <c r="D18947" s="2" t="s">
        <v>10</v>
      </c>
      <c r="E18947" s="2" t="str">
        <f>HYPERLINK("http://ts.21cn.com/tousu/show/id/1350879","http://ts.21cn.com/tousu/show/id/1350879")</f>
        <v>http://ts.21cn.com/tousu/show/id/1350879</v>
      </c>
      <c r="F18947" s="2" t="s">
        <v>11</v>
      </c>
      <c r="G18947" s="2" t="s">
        <v>6923</v>
      </c>
      <c r="H18947" s="2" t="s">
        <v>6924</v>
      </c>
    </row>
    <row r="18948" spans="1:8" ht="25.05" customHeight="1" x14ac:dyDescent="0.25">
      <c r="A18948" s="2" t="s">
        <v>8</v>
      </c>
      <c r="B18948" s="2" t="str">
        <f>HYPERLINK("http://ts.21cn.com/tousu/show/id/1350877","拍拍贷违法高利贷砍头息希望有关部门严厉打击")</f>
        <v>拍拍贷违法高利贷砍头息希望有关部门严厉打击</v>
      </c>
      <c r="C18948" s="2" t="s">
        <v>9</v>
      </c>
      <c r="D18948" s="2" t="s">
        <v>10</v>
      </c>
      <c r="E18948" s="2" t="str">
        <f>HYPERLINK("http://ts.21cn.com/tousu/show/id/1350877","http://ts.21cn.com/tousu/show/id/1350877")</f>
        <v>http://ts.21cn.com/tousu/show/id/1350877</v>
      </c>
      <c r="F18948" s="2" t="s">
        <v>11</v>
      </c>
      <c r="G18948" s="2" t="s">
        <v>6921</v>
      </c>
      <c r="H18948" s="2" t="s">
        <v>6922</v>
      </c>
    </row>
    <row r="18949" spans="1:8" ht="25.05" customHeight="1" x14ac:dyDescent="0.25">
      <c r="A18949" s="2" t="s">
        <v>8</v>
      </c>
      <c r="B18949" s="2" t="str">
        <f>HYPERLINK("http://ts.21cn.com/tousu/show/id/1350878","重复扣款，找不到客服。")</f>
        <v>重复扣款，找不到客服。</v>
      </c>
      <c r="C18949" s="2" t="s">
        <v>9</v>
      </c>
      <c r="D18949" s="2" t="s">
        <v>10</v>
      </c>
      <c r="E18949" s="2" t="str">
        <f>HYPERLINK("http://ts.21cn.com/tousu/show/id/1350878","http://ts.21cn.com/tousu/show/id/1350878")</f>
        <v>http://ts.21cn.com/tousu/show/id/1350878</v>
      </c>
      <c r="F18949" s="2" t="s">
        <v>11</v>
      </c>
      <c r="G18949" s="2" t="s">
        <v>6919</v>
      </c>
      <c r="H18949" s="2" t="s">
        <v>6920</v>
      </c>
    </row>
    <row r="18950" spans="1:8" ht="25.05" customHeight="1" x14ac:dyDescent="0.25">
      <c r="A18950" s="2" t="s">
        <v>8</v>
      </c>
      <c r="B18950" s="2" t="str">
        <f>HYPERLINK("http://ts.21cn.com/tousu/show/id/1350881","酒店返现活动拒绝返现")</f>
        <v>酒店返现活动拒绝返现</v>
      </c>
      <c r="C18950" s="2" t="s">
        <v>9</v>
      </c>
      <c r="D18950" s="2" t="s">
        <v>10</v>
      </c>
      <c r="E18950" s="2" t="str">
        <f>HYPERLINK("http://ts.21cn.com/tousu/show/id/1350881","http://ts.21cn.com/tousu/show/id/1350881")</f>
        <v>http://ts.21cn.com/tousu/show/id/1350881</v>
      </c>
      <c r="F18950" s="2" t="s">
        <v>11</v>
      </c>
      <c r="G18950" s="2" t="s">
        <v>6917</v>
      </c>
      <c r="H18950" s="2" t="s">
        <v>6918</v>
      </c>
    </row>
    <row r="18951" spans="1:8" ht="25.05" customHeight="1" x14ac:dyDescent="0.25">
      <c r="A18951" s="2" t="s">
        <v>8</v>
      </c>
      <c r="B18951" s="2" t="str">
        <f>HYPERLINK("http://ts.21cn.com/tousu/show/id/1350880","黑心网贷")</f>
        <v>黑心网贷</v>
      </c>
      <c r="C18951" s="2" t="s">
        <v>9</v>
      </c>
      <c r="D18951" s="2" t="s">
        <v>10</v>
      </c>
      <c r="E18951" s="2" t="str">
        <f>HYPERLINK("http://ts.21cn.com/tousu/show/id/1350880","http://ts.21cn.com/tousu/show/id/1350880")</f>
        <v>http://ts.21cn.com/tousu/show/id/1350880</v>
      </c>
      <c r="F18951" s="2" t="s">
        <v>11</v>
      </c>
      <c r="G18951" s="2" t="s">
        <v>6915</v>
      </c>
      <c r="H18951" s="2" t="s">
        <v>6916</v>
      </c>
    </row>
    <row r="18952" spans="1:8" ht="25.05" customHeight="1" x14ac:dyDescent="0.25">
      <c r="A18952" s="2" t="s">
        <v>8</v>
      </c>
      <c r="B18952" s="2" t="str">
        <f>HYPERLINK("http://ts.21cn.com/tousu/show/id/1350882","退保费18000不退我真没钱还贷款")</f>
        <v>退保费18000不退我真没钱还贷款</v>
      </c>
      <c r="C18952" s="2" t="s">
        <v>9</v>
      </c>
      <c r="D18952" s="2" t="s">
        <v>10</v>
      </c>
      <c r="E18952" s="2" t="str">
        <f>HYPERLINK("http://ts.21cn.com/tousu/show/id/1350882","http://ts.21cn.com/tousu/show/id/1350882")</f>
        <v>http://ts.21cn.com/tousu/show/id/1350882</v>
      </c>
      <c r="F18952" s="2" t="s">
        <v>11</v>
      </c>
      <c r="G18952" s="2" t="s">
        <v>6913</v>
      </c>
      <c r="H18952" s="2" t="s">
        <v>6914</v>
      </c>
    </row>
    <row r="18953" spans="1:8" ht="25.05" customHeight="1" x14ac:dyDescent="0.25">
      <c r="A18953" s="2" t="s">
        <v>8</v>
      </c>
      <c r="B18953" s="2" t="str">
        <f>HYPERLINK("http://ts.21cn.com/tousu/show/id/1350883","买买乐暴力催收我还款了还骚扰我")</f>
        <v>买买乐暴力催收我还款了还骚扰我</v>
      </c>
      <c r="C18953" s="2" t="s">
        <v>9</v>
      </c>
      <c r="D18953" s="2" t="s">
        <v>10</v>
      </c>
      <c r="E18953" s="2" t="str">
        <f>HYPERLINK("http://ts.21cn.com/tousu/show/id/1350883","http://ts.21cn.com/tousu/show/id/1350883")</f>
        <v>http://ts.21cn.com/tousu/show/id/1350883</v>
      </c>
      <c r="F18953" s="2" t="s">
        <v>11</v>
      </c>
      <c r="G18953" s="2" t="s">
        <v>6911</v>
      </c>
      <c r="H18953" s="2" t="s">
        <v>6912</v>
      </c>
    </row>
    <row r="18954" spans="1:8" ht="25.05" customHeight="1" x14ac:dyDescent="0.25">
      <c r="A18954" s="2" t="s">
        <v>8</v>
      </c>
      <c r="B18954" s="2" t="str">
        <f>HYPERLINK("http://ts.21cn.com/tousu/show/id/1350884","赌博网址")</f>
        <v>赌博网址</v>
      </c>
      <c r="C18954" s="2" t="s">
        <v>9</v>
      </c>
      <c r="D18954" s="2" t="s">
        <v>10</v>
      </c>
      <c r="E18954" s="2" t="str">
        <f>HYPERLINK("http://ts.21cn.com/tousu/show/id/1350884","http://ts.21cn.com/tousu/show/id/1350884")</f>
        <v>http://ts.21cn.com/tousu/show/id/1350884</v>
      </c>
      <c r="F18954" s="2" t="s">
        <v>11</v>
      </c>
      <c r="G18954" s="2" t="s">
        <v>6909</v>
      </c>
      <c r="H18954" s="2" t="s">
        <v>6910</v>
      </c>
    </row>
    <row r="18955" spans="1:8" ht="25.05" customHeight="1" x14ac:dyDescent="0.25">
      <c r="A18955" s="2" t="s">
        <v>8</v>
      </c>
      <c r="B18955" s="2" t="str">
        <f>HYPERLINK("http://ts.21cn.com/tousu/show/id/1350885","钱站app平台贷款服务费太高")</f>
        <v>钱站app平台贷款服务费太高</v>
      </c>
      <c r="C18955" s="2" t="s">
        <v>9</v>
      </c>
      <c r="D18955" s="2" t="s">
        <v>10</v>
      </c>
      <c r="E18955" s="2" t="str">
        <f>HYPERLINK("http://ts.21cn.com/tousu/show/id/1350885","http://ts.21cn.com/tousu/show/id/1350885")</f>
        <v>http://ts.21cn.com/tousu/show/id/1350885</v>
      </c>
      <c r="F18955" s="2" t="s">
        <v>11</v>
      </c>
      <c r="G18955" s="2" t="s">
        <v>6907</v>
      </c>
      <c r="H18955" s="2" t="s">
        <v>6908</v>
      </c>
    </row>
    <row r="18956" spans="1:8" ht="25.05" customHeight="1" x14ac:dyDescent="0.25">
      <c r="A18956" s="2" t="s">
        <v>8</v>
      </c>
      <c r="B18956" s="2" t="str">
        <f>HYPERLINK("http://ts.21cn.com/tousu/show/id/1350886","51人品贷暴力催收")</f>
        <v>51人品贷暴力催收</v>
      </c>
      <c r="C18956" s="2" t="s">
        <v>9</v>
      </c>
      <c r="D18956" s="2" t="s">
        <v>10</v>
      </c>
      <c r="E18956" s="2" t="str">
        <f>HYPERLINK("http://ts.21cn.com/tousu/show/id/1350886","http://ts.21cn.com/tousu/show/id/1350886")</f>
        <v>http://ts.21cn.com/tousu/show/id/1350886</v>
      </c>
      <c r="F18956" s="2" t="s">
        <v>11</v>
      </c>
      <c r="G18956" s="2" t="s">
        <v>6905</v>
      </c>
      <c r="H18956" s="2" t="s">
        <v>6906</v>
      </c>
    </row>
    <row r="18957" spans="1:8" ht="25.05" customHeight="1" x14ac:dyDescent="0.25">
      <c r="A18957" s="2" t="s">
        <v>8</v>
      </c>
      <c r="B18957" s="2" t="str">
        <f>HYPERLINK("http://ts.21cn.com/tousu/show/id/1350888","美团爆我通讯录")</f>
        <v>美团爆我通讯录</v>
      </c>
      <c r="C18957" s="2" t="s">
        <v>9</v>
      </c>
      <c r="D18957" s="2" t="s">
        <v>10</v>
      </c>
      <c r="E18957" s="2" t="str">
        <f>HYPERLINK("http://ts.21cn.com/tousu/show/id/1350888","http://ts.21cn.com/tousu/show/id/1350888")</f>
        <v>http://ts.21cn.com/tousu/show/id/1350888</v>
      </c>
      <c r="F18957" s="2" t="s">
        <v>11</v>
      </c>
      <c r="G18957" s="2" t="s">
        <v>6903</v>
      </c>
      <c r="H18957" s="2" t="s">
        <v>6904</v>
      </c>
    </row>
    <row r="18958" spans="1:8" ht="25.05" customHeight="1" x14ac:dyDescent="0.25">
      <c r="A18958" s="2" t="s">
        <v>8</v>
      </c>
      <c r="B18958" s="2" t="str">
        <f>HYPERLINK("http://ts.21cn.com/tousu/show/id/1350890","我来贷威胁借款人")</f>
        <v>我来贷威胁借款人</v>
      </c>
      <c r="C18958" s="2" t="s">
        <v>9</v>
      </c>
      <c r="D18958" s="2" t="s">
        <v>10</v>
      </c>
      <c r="E18958" s="2" t="str">
        <f>HYPERLINK("http://ts.21cn.com/tousu/show/id/1350890","http://ts.21cn.com/tousu/show/id/1350890")</f>
        <v>http://ts.21cn.com/tousu/show/id/1350890</v>
      </c>
      <c r="F18958" s="2" t="s">
        <v>11</v>
      </c>
      <c r="G18958" s="2" t="s">
        <v>6901</v>
      </c>
      <c r="H18958" s="2" t="s">
        <v>6902</v>
      </c>
    </row>
    <row r="18959" spans="1:8" ht="25.05" customHeight="1" x14ac:dyDescent="0.25">
      <c r="A18959" s="2" t="s">
        <v>8</v>
      </c>
      <c r="B18959" s="2" t="str">
        <f>HYPERLINK("http://ts.21cn.com/tousu/show/id/1350887","来分期恶意骚扰")</f>
        <v>来分期恶意骚扰</v>
      </c>
      <c r="C18959" s="2" t="s">
        <v>9</v>
      </c>
      <c r="D18959" s="2" t="s">
        <v>10</v>
      </c>
      <c r="E18959" s="2" t="str">
        <f>HYPERLINK("http://ts.21cn.com/tousu/show/id/1350887","http://ts.21cn.com/tousu/show/id/1350887")</f>
        <v>http://ts.21cn.com/tousu/show/id/1350887</v>
      </c>
      <c r="F18959" s="2" t="s">
        <v>11</v>
      </c>
      <c r="G18959" s="2" t="s">
        <v>6899</v>
      </c>
      <c r="H18959" s="2" t="s">
        <v>6900</v>
      </c>
    </row>
    <row r="18960" spans="1:8" ht="25.05" customHeight="1" x14ac:dyDescent="0.25">
      <c r="A18960" s="2" t="s">
        <v>8</v>
      </c>
      <c r="B18960" s="2" t="str">
        <f>HYPERLINK("http://ts.21cn.com/tousu/show/id/1350889","期待科技违约金收取太高，达到高利贷的利息")</f>
        <v>期待科技违约金收取太高，达到高利贷的利息</v>
      </c>
      <c r="C18960" s="2" t="s">
        <v>9</v>
      </c>
      <c r="D18960" s="2" t="s">
        <v>10</v>
      </c>
      <c r="E18960" s="2" t="str">
        <f>HYPERLINK("http://ts.21cn.com/tousu/show/id/1350889","http://ts.21cn.com/tousu/show/id/1350889")</f>
        <v>http://ts.21cn.com/tousu/show/id/1350889</v>
      </c>
      <c r="F18960" s="2" t="s">
        <v>11</v>
      </c>
      <c r="G18960" s="2" t="s">
        <v>6897</v>
      </c>
      <c r="H18960" s="2" t="s">
        <v>6898</v>
      </c>
    </row>
    <row r="18961" spans="1:8" ht="25.05" customHeight="1" x14ac:dyDescent="0.25">
      <c r="A18961" s="2" t="s">
        <v>8</v>
      </c>
      <c r="B18961" s="2" t="str">
        <f>HYPERLINK("http://ts.21cn.com/tousu/show/id/1350891","钱站高利贷阴阳合同")</f>
        <v>钱站高利贷阴阳合同</v>
      </c>
      <c r="C18961" s="2" t="s">
        <v>9</v>
      </c>
      <c r="D18961" s="2" t="s">
        <v>10</v>
      </c>
      <c r="E18961" s="2" t="str">
        <f>HYPERLINK("http://ts.21cn.com/tousu/show/id/1350891","http://ts.21cn.com/tousu/show/id/1350891")</f>
        <v>http://ts.21cn.com/tousu/show/id/1350891</v>
      </c>
      <c r="F18961" s="2" t="s">
        <v>11</v>
      </c>
      <c r="G18961" s="2" t="s">
        <v>6895</v>
      </c>
      <c r="H18961" s="2" t="s">
        <v>6896</v>
      </c>
    </row>
    <row r="18962" spans="1:8" ht="25.05" customHeight="1" x14ac:dyDescent="0.25">
      <c r="A18962" s="2" t="s">
        <v>8</v>
      </c>
      <c r="B18962" s="2" t="str">
        <f>HYPERLINK("http://ts.21cn.com/tousu/show/id/1350892","你我贷提前还款高额利息")</f>
        <v>你我贷提前还款高额利息</v>
      </c>
      <c r="C18962" s="2" t="s">
        <v>9</v>
      </c>
      <c r="D18962" s="2" t="s">
        <v>10</v>
      </c>
      <c r="E18962" s="2" t="str">
        <f>HYPERLINK("http://ts.21cn.com/tousu/show/id/1350892","http://ts.21cn.com/tousu/show/id/1350892")</f>
        <v>http://ts.21cn.com/tousu/show/id/1350892</v>
      </c>
      <c r="F18962" s="2" t="s">
        <v>11</v>
      </c>
      <c r="G18962" s="2" t="s">
        <v>6893</v>
      </c>
      <c r="H18962" s="2" t="s">
        <v>6894</v>
      </c>
    </row>
    <row r="18963" spans="1:8" ht="25.05" customHeight="1" x14ac:dyDescent="0.25">
      <c r="A18963" s="2" t="s">
        <v>8</v>
      </c>
      <c r="B18963" s="2" t="str">
        <f>HYPERLINK("http://ts.21cn.com/tousu/show/id/1350893","立借高利贷，套路贷，暴力催收，联合支付公司造成故意逾期，随意扣费")</f>
        <v>立借高利贷，套路贷，暴力催收，联合支付公司造成故意逾期，随意扣费</v>
      </c>
      <c r="C18963" s="2" t="s">
        <v>9</v>
      </c>
      <c r="D18963" s="2" t="s">
        <v>10</v>
      </c>
      <c r="E18963" s="2" t="str">
        <f>HYPERLINK("http://ts.21cn.com/tousu/show/id/1350893","http://ts.21cn.com/tousu/show/id/1350893")</f>
        <v>http://ts.21cn.com/tousu/show/id/1350893</v>
      </c>
      <c r="F18963" s="2" t="s">
        <v>11</v>
      </c>
      <c r="G18963" s="2" t="s">
        <v>6891</v>
      </c>
      <c r="H18963" s="2" t="s">
        <v>6892</v>
      </c>
    </row>
    <row r="18964" spans="1:8" ht="25.05" customHeight="1" x14ac:dyDescent="0.25">
      <c r="A18964" s="2" t="s">
        <v>8</v>
      </c>
      <c r="B18964" s="2" t="str">
        <f>HYPERLINK("http://ts.21cn.com/tousu/show/id/1350894","钱橙无忧随意扣费")</f>
        <v>钱橙无忧随意扣费</v>
      </c>
      <c r="C18964" s="2" t="s">
        <v>34</v>
      </c>
      <c r="D18964" s="2" t="s">
        <v>10</v>
      </c>
      <c r="E18964" s="2" t="str">
        <f>HYPERLINK("http://ts.21cn.com/tousu/show/id/1350894","http://ts.21cn.com/tousu/show/id/1350894")</f>
        <v>http://ts.21cn.com/tousu/show/id/1350894</v>
      </c>
      <c r="F18964" s="2" t="s">
        <v>11</v>
      </c>
      <c r="G18964" s="2" t="s">
        <v>6889</v>
      </c>
      <c r="H18964" s="2" t="s">
        <v>6890</v>
      </c>
    </row>
    <row r="18965" spans="1:8" ht="25.05" customHeight="1" x14ac:dyDescent="0.25">
      <c r="A18965" s="2" t="s">
        <v>8</v>
      </c>
      <c r="B18965" s="2" t="str">
        <f>HYPERLINK("http://ts.21cn.com/tousu/show/id/1350895","平安银行信用卡催收电话恶意辱骂我已故父亲及在世母亲")</f>
        <v>平安银行信用卡催收电话恶意辱骂我已故父亲及在世母亲</v>
      </c>
      <c r="C18965" s="2" t="s">
        <v>9</v>
      </c>
      <c r="D18965" s="2" t="s">
        <v>10</v>
      </c>
      <c r="E18965" s="2" t="str">
        <f>HYPERLINK("http://ts.21cn.com/tousu/show/id/1350895","http://ts.21cn.com/tousu/show/id/1350895")</f>
        <v>http://ts.21cn.com/tousu/show/id/1350895</v>
      </c>
      <c r="F18965" s="2" t="s">
        <v>11</v>
      </c>
      <c r="G18965" s="2" t="s">
        <v>6887</v>
      </c>
      <c r="H18965" s="2" t="s">
        <v>6888</v>
      </c>
    </row>
    <row r="18966" spans="1:8" ht="25.05" customHeight="1" x14ac:dyDescent="0.25">
      <c r="A18966" s="2" t="s">
        <v>8</v>
      </c>
      <c r="B18966" s="2" t="str">
        <f>HYPERLINK("http://ts.21cn.com/tousu/show/id/1350897","优信优卡失联，请北京银联商务退套餐")</f>
        <v>优信优卡失联，请北京银联商务退套餐</v>
      </c>
      <c r="C18966" s="2" t="s">
        <v>9</v>
      </c>
      <c r="D18966" s="2" t="s">
        <v>10</v>
      </c>
      <c r="E18966" s="2" t="str">
        <f>HYPERLINK("http://ts.21cn.com/tousu/show/id/1350897","http://ts.21cn.com/tousu/show/id/1350897")</f>
        <v>http://ts.21cn.com/tousu/show/id/1350897</v>
      </c>
      <c r="F18966" s="2" t="s">
        <v>11</v>
      </c>
      <c r="G18966" s="2" t="s">
        <v>6885</v>
      </c>
      <c r="H18966" s="2" t="s">
        <v>6886</v>
      </c>
    </row>
    <row r="18967" spans="1:8" ht="25.05" customHeight="1" x14ac:dyDescent="0.25">
      <c r="A18967" s="2" t="s">
        <v>8</v>
      </c>
      <c r="B18967" s="2" t="str">
        <f>HYPERLINK("http://ts.21cn.com/tousu/show/id/1350896","快闪卡贷利息高的要死，客服说话还难听")</f>
        <v>快闪卡贷利息高的要死，客服说话还难听</v>
      </c>
      <c r="C18967" s="2" t="s">
        <v>9</v>
      </c>
      <c r="D18967" s="2" t="s">
        <v>10</v>
      </c>
      <c r="E18967" s="2" t="str">
        <f>HYPERLINK("http://ts.21cn.com/tousu/show/id/1350896","http://ts.21cn.com/tousu/show/id/1350896")</f>
        <v>http://ts.21cn.com/tousu/show/id/1350896</v>
      </c>
      <c r="F18967" s="2" t="s">
        <v>11</v>
      </c>
      <c r="G18967" s="2" t="s">
        <v>6883</v>
      </c>
      <c r="H18967" s="2" t="s">
        <v>6884</v>
      </c>
    </row>
    <row r="18968" spans="1:8" ht="25.05" customHeight="1" x14ac:dyDescent="0.25">
      <c r="A18968" s="2" t="s">
        <v>8</v>
      </c>
      <c r="B18968" s="2" t="str">
        <f>HYPERLINK("http://ts.21cn.com/tousu/show/id/1350898","虚假/误导宣传、不予退款，一拖再拖。")</f>
        <v>虚假/误导宣传、不予退款，一拖再拖。</v>
      </c>
      <c r="C18968" s="2" t="s">
        <v>9</v>
      </c>
      <c r="D18968" s="2" t="s">
        <v>10</v>
      </c>
      <c r="E18968" s="2" t="str">
        <f>HYPERLINK("http://ts.21cn.com/tousu/show/id/1350898","http://ts.21cn.com/tousu/show/id/1350898")</f>
        <v>http://ts.21cn.com/tousu/show/id/1350898</v>
      </c>
      <c r="F18968" s="2" t="s">
        <v>11</v>
      </c>
      <c r="G18968" s="2" t="s">
        <v>6881</v>
      </c>
      <c r="H18968" s="2" t="s">
        <v>6882</v>
      </c>
    </row>
    <row r="18969" spans="1:8" ht="25.05" customHeight="1" x14ac:dyDescent="0.25">
      <c r="A18969" s="2" t="s">
        <v>8</v>
      </c>
      <c r="B18969" s="2" t="str">
        <f>HYPERLINK("http://ts.21cn.com/tousu/show/id/1350899","未经同意恶意扣款")</f>
        <v>未经同意恶意扣款</v>
      </c>
      <c r="C18969" s="2" t="s">
        <v>9</v>
      </c>
      <c r="D18969" s="2" t="s">
        <v>10</v>
      </c>
      <c r="E18969" s="2" t="str">
        <f>HYPERLINK("http://ts.21cn.com/tousu/show/id/1350899","http://ts.21cn.com/tousu/show/id/1350899")</f>
        <v>http://ts.21cn.com/tousu/show/id/1350899</v>
      </c>
      <c r="F18969" s="2" t="s">
        <v>11</v>
      </c>
      <c r="G18969" s="2" t="s">
        <v>6879</v>
      </c>
      <c r="H18969" s="2" t="s">
        <v>6880</v>
      </c>
    </row>
    <row r="18970" spans="1:8" ht="25.05" customHeight="1" x14ac:dyDescent="0.25">
      <c r="A18970" s="2" t="s">
        <v>8</v>
      </c>
      <c r="B18970" s="2" t="str">
        <f>HYPERLINK("http://ts.21cn.com/tousu/show/id/1350826","微博借钱提前结清收取全部利息不符合国家网贷的相关规定")</f>
        <v>微博借钱提前结清收取全部利息不符合国家网贷的相关规定</v>
      </c>
      <c r="C18970" s="2" t="s">
        <v>9</v>
      </c>
      <c r="D18970" s="2" t="s">
        <v>10</v>
      </c>
      <c r="E18970" s="2" t="str">
        <f>HYPERLINK("http://ts.21cn.com/tousu/show/id/1350826","http://ts.21cn.com/tousu/show/id/1350826")</f>
        <v>http://ts.21cn.com/tousu/show/id/1350826</v>
      </c>
      <c r="F18970" s="2" t="s">
        <v>11</v>
      </c>
      <c r="G18970" s="2" t="s">
        <v>6877</v>
      </c>
      <c r="H18970" s="2" t="s">
        <v>6878</v>
      </c>
    </row>
    <row r="18971" spans="1:8" ht="25.05" customHeight="1" x14ac:dyDescent="0.25">
      <c r="A18971" s="2" t="s">
        <v>8</v>
      </c>
      <c r="B18971" s="2" t="str">
        <f>HYPERLINK("http://ts.21cn.com/tousu/show/id/1350901","暴力催收，恶意骚扰通讯录亲友")</f>
        <v>暴力催收，恶意骚扰通讯录亲友</v>
      </c>
      <c r="C18971" s="2" t="s">
        <v>9</v>
      </c>
      <c r="D18971" s="2" t="s">
        <v>10</v>
      </c>
      <c r="E18971" s="2" t="str">
        <f>HYPERLINK("http://ts.21cn.com/tousu/show/id/1350901","http://ts.21cn.com/tousu/show/id/1350901")</f>
        <v>http://ts.21cn.com/tousu/show/id/1350901</v>
      </c>
      <c r="F18971" s="2" t="s">
        <v>11</v>
      </c>
      <c r="G18971" s="2" t="s">
        <v>6875</v>
      </c>
      <c r="H18971" s="2" t="s">
        <v>6876</v>
      </c>
    </row>
    <row r="18972" spans="1:8" ht="25.05" customHeight="1" x14ac:dyDescent="0.25">
      <c r="A18972" s="2" t="s">
        <v>8</v>
      </c>
      <c r="B18972" s="2" t="str">
        <f>HYPERLINK("http://ts.21cn.com/tousu/show/id/1350900","尚德教育，用我手机号恶意注册网站一直给我发验证码")</f>
        <v>尚德教育，用我手机号恶意注册网站一直给我发验证码</v>
      </c>
      <c r="C18972" s="2" t="s">
        <v>9</v>
      </c>
      <c r="D18972" s="2" t="s">
        <v>10</v>
      </c>
      <c r="E18972" s="2" t="str">
        <f>HYPERLINK("http://ts.21cn.com/tousu/show/id/1350900","http://ts.21cn.com/tousu/show/id/1350900")</f>
        <v>http://ts.21cn.com/tousu/show/id/1350900</v>
      </c>
      <c r="F18972" s="2" t="s">
        <v>11</v>
      </c>
      <c r="G18972" s="2" t="s">
        <v>6873</v>
      </c>
      <c r="H18972" s="2" t="s">
        <v>6874</v>
      </c>
    </row>
    <row r="18973" spans="1:8" ht="25.05" customHeight="1" x14ac:dyDescent="0.25">
      <c r="A18973" s="2" t="s">
        <v>8</v>
      </c>
      <c r="B18973" s="2" t="str">
        <f>HYPERLINK("http://ts.21cn.com/tousu/show/id/1350902","瓜子二手车金融部客服不作为")</f>
        <v>瓜子二手车金融部客服不作为</v>
      </c>
      <c r="C18973" s="2" t="s">
        <v>9</v>
      </c>
      <c r="D18973" s="2" t="s">
        <v>10</v>
      </c>
      <c r="E18973" s="2" t="str">
        <f>HYPERLINK("http://ts.21cn.com/tousu/show/id/1350902","http://ts.21cn.com/tousu/show/id/1350902")</f>
        <v>http://ts.21cn.com/tousu/show/id/1350902</v>
      </c>
      <c r="F18973" s="2" t="s">
        <v>11</v>
      </c>
      <c r="G18973" s="2" t="s">
        <v>6871</v>
      </c>
      <c r="H18973" s="2" t="s">
        <v>6872</v>
      </c>
    </row>
    <row r="18974" spans="1:8" ht="25.05" customHeight="1" x14ac:dyDescent="0.25">
      <c r="A18974" s="2" t="s">
        <v>8</v>
      </c>
      <c r="B18974" s="2" t="str">
        <f>HYPERLINK("http://ts.21cn.com/tousu/show/id/1350903","多宝分期高利贷")</f>
        <v>多宝分期高利贷</v>
      </c>
      <c r="C18974" s="2" t="s">
        <v>9</v>
      </c>
      <c r="D18974" s="2" t="s">
        <v>10</v>
      </c>
      <c r="E18974" s="2" t="str">
        <f>HYPERLINK("http://ts.21cn.com/tousu/show/id/1350903","http://ts.21cn.com/tousu/show/id/1350903")</f>
        <v>http://ts.21cn.com/tousu/show/id/1350903</v>
      </c>
      <c r="F18974" s="2" t="s">
        <v>11</v>
      </c>
      <c r="G18974" s="2" t="s">
        <v>6869</v>
      </c>
      <c r="H18974" s="2" t="s">
        <v>6870</v>
      </c>
    </row>
    <row r="18975" spans="1:8" ht="25.05" customHeight="1" x14ac:dyDescent="0.25">
      <c r="A18975" s="2" t="s">
        <v>8</v>
      </c>
      <c r="B18975" s="2" t="str">
        <f>HYPERLINK("http://ts.21cn.com/tousu/show/id/1350904","招联金融催收打扰我家人，影响个人生活")</f>
        <v>招联金融催收打扰我家人，影响个人生活</v>
      </c>
      <c r="C18975" s="2" t="s">
        <v>9</v>
      </c>
      <c r="D18975" s="2" t="s">
        <v>10</v>
      </c>
      <c r="E18975" s="2" t="str">
        <f>HYPERLINK("http://ts.21cn.com/tousu/show/id/1350904","http://ts.21cn.com/tousu/show/id/1350904")</f>
        <v>http://ts.21cn.com/tousu/show/id/1350904</v>
      </c>
      <c r="F18975" s="2" t="s">
        <v>11</v>
      </c>
      <c r="G18975" s="2" t="s">
        <v>6867</v>
      </c>
      <c r="H18975" s="2" t="s">
        <v>6868</v>
      </c>
    </row>
    <row r="18976" spans="1:8" ht="25.05" customHeight="1" x14ac:dyDescent="0.25">
      <c r="A18976" s="2" t="s">
        <v>8</v>
      </c>
      <c r="B18976" s="2" t="str">
        <f>HYPERLINK("http://ts.21cn.com/tousu/show/id/1350907","民航联盟忽悠机场旅客办理1980元的会员卡")</f>
        <v>民航联盟忽悠机场旅客办理1980元的会员卡</v>
      </c>
      <c r="C18976" s="2" t="s">
        <v>9</v>
      </c>
      <c r="D18976" s="2" t="s">
        <v>10</v>
      </c>
      <c r="E18976" s="2" t="str">
        <f>HYPERLINK("http://ts.21cn.com/tousu/show/id/1350907","http://ts.21cn.com/tousu/show/id/1350907")</f>
        <v>http://ts.21cn.com/tousu/show/id/1350907</v>
      </c>
      <c r="F18976" s="2" t="s">
        <v>11</v>
      </c>
      <c r="G18976" s="2" t="s">
        <v>6865</v>
      </c>
      <c r="H18976" s="2" t="s">
        <v>6866</v>
      </c>
    </row>
    <row r="18977" spans="1:8" ht="25.05" customHeight="1" x14ac:dyDescent="0.25">
      <c r="A18977" s="2" t="s">
        <v>8</v>
      </c>
      <c r="B18977" s="2" t="str">
        <f>HYPERLINK("http://ts.21cn.com/tousu/show/id/1350906","天猫超市订单一个月20天不发货也不退款")</f>
        <v>天猫超市订单一个月20天不发货也不退款</v>
      </c>
      <c r="C18977" s="2" t="s">
        <v>9</v>
      </c>
      <c r="D18977" s="2" t="s">
        <v>10</v>
      </c>
      <c r="E18977" s="2" t="str">
        <f>HYPERLINK("http://ts.21cn.com/tousu/show/id/1350906","http://ts.21cn.com/tousu/show/id/1350906")</f>
        <v>http://ts.21cn.com/tousu/show/id/1350906</v>
      </c>
      <c r="F18977" s="2" t="s">
        <v>11</v>
      </c>
      <c r="G18977" s="2" t="s">
        <v>6863</v>
      </c>
      <c r="H18977" s="2" t="s">
        <v>6864</v>
      </c>
    </row>
    <row r="18978" spans="1:8" ht="25.05" customHeight="1" x14ac:dyDescent="0.25">
      <c r="A18978" s="2" t="s">
        <v>8</v>
      </c>
      <c r="B18978" s="2" t="str">
        <f>HYPERLINK("http://ts.21cn.com/tousu/show/id/1350909","闪电借款暴力催收严重骚扰")</f>
        <v>闪电借款暴力催收严重骚扰</v>
      </c>
      <c r="C18978" s="2" t="s">
        <v>9</v>
      </c>
      <c r="D18978" s="2" t="s">
        <v>10</v>
      </c>
      <c r="E18978" s="2" t="str">
        <f>HYPERLINK("http://ts.21cn.com/tousu/show/id/1350909","http://ts.21cn.com/tousu/show/id/1350909")</f>
        <v>http://ts.21cn.com/tousu/show/id/1350909</v>
      </c>
      <c r="F18978" s="2" t="s">
        <v>11</v>
      </c>
      <c r="G18978" s="2" t="s">
        <v>6861</v>
      </c>
      <c r="H18978" s="2" t="s">
        <v>6862</v>
      </c>
    </row>
    <row r="18979" spans="1:8" ht="25.05" customHeight="1" x14ac:dyDescent="0.25">
      <c r="A18979" s="2" t="s">
        <v>8</v>
      </c>
      <c r="B18979" s="2" t="str">
        <f>HYPERLINK("http://ts.21cn.com/tousu/show/id/1350910","你我贷暴力催收")</f>
        <v>你我贷暴力催收</v>
      </c>
      <c r="C18979" s="2" t="s">
        <v>9</v>
      </c>
      <c r="D18979" s="2" t="s">
        <v>10</v>
      </c>
      <c r="E18979" s="2" t="str">
        <f>HYPERLINK("http://ts.21cn.com/tousu/show/id/1350910","http://ts.21cn.com/tousu/show/id/1350910")</f>
        <v>http://ts.21cn.com/tousu/show/id/1350910</v>
      </c>
      <c r="F18979" s="2" t="s">
        <v>11</v>
      </c>
      <c r="G18979" s="2" t="s">
        <v>6859</v>
      </c>
      <c r="H18979" s="2" t="s">
        <v>6860</v>
      </c>
    </row>
    <row r="18980" spans="1:8" ht="25.05" customHeight="1" x14ac:dyDescent="0.25">
      <c r="A18980" s="2" t="s">
        <v>8</v>
      </c>
      <c r="B18980" s="2" t="str">
        <f>HYPERLINK("http://ts.21cn.com/tousu/show/id/1350911","众安保险在投保人不知情的情况捆绑销售保险")</f>
        <v>众安保险在投保人不知情的情况捆绑销售保险</v>
      </c>
      <c r="C18980" s="2" t="s">
        <v>9</v>
      </c>
      <c r="D18980" s="2" t="s">
        <v>10</v>
      </c>
      <c r="E18980" s="2" t="str">
        <f>HYPERLINK("http://ts.21cn.com/tousu/show/id/1350911","http://ts.21cn.com/tousu/show/id/1350911")</f>
        <v>http://ts.21cn.com/tousu/show/id/1350911</v>
      </c>
      <c r="F18980" s="2" t="s">
        <v>11</v>
      </c>
      <c r="G18980" s="2" t="s">
        <v>6857</v>
      </c>
      <c r="H18980" s="2" t="s">
        <v>6858</v>
      </c>
    </row>
    <row r="18981" spans="1:8" ht="25.05" customHeight="1" x14ac:dyDescent="0.25">
      <c r="A18981" s="2" t="s">
        <v>8</v>
      </c>
      <c r="B18981" s="2" t="str">
        <f>HYPERLINK("http://ts.21cn.com/tousu/show/id/1350833","造假文件让我还5万块钱")</f>
        <v>造假文件让我还5万块钱</v>
      </c>
      <c r="C18981" s="2" t="s">
        <v>9</v>
      </c>
      <c r="D18981" s="2" t="s">
        <v>10</v>
      </c>
      <c r="E18981" s="2" t="str">
        <f>HYPERLINK("http://ts.21cn.com/tousu/show/id/1350833","http://ts.21cn.com/tousu/show/id/1350833")</f>
        <v>http://ts.21cn.com/tousu/show/id/1350833</v>
      </c>
      <c r="F18981" s="2" t="s">
        <v>11</v>
      </c>
      <c r="G18981" s="2" t="s">
        <v>6855</v>
      </c>
      <c r="H18981" s="2" t="s">
        <v>6856</v>
      </c>
    </row>
    <row r="18982" spans="1:8" ht="25.05" customHeight="1" x14ac:dyDescent="0.25">
      <c r="A18982" s="2" t="s">
        <v>8</v>
      </c>
      <c r="B18982" s="2" t="str">
        <f>HYPERLINK("http://ts.21cn.com/tousu/show/id/1350488","涉嫌欺诈296元")</f>
        <v>涉嫌欺诈296元</v>
      </c>
      <c r="C18982" s="2" t="s">
        <v>9</v>
      </c>
      <c r="D18982" s="2" t="s">
        <v>10</v>
      </c>
      <c r="E18982" s="2" t="str">
        <f>HYPERLINK("http://ts.21cn.com/tousu/show/id/1350488","http://ts.21cn.com/tousu/show/id/1350488")</f>
        <v>http://ts.21cn.com/tousu/show/id/1350488</v>
      </c>
      <c r="F18982" s="2" t="s">
        <v>11</v>
      </c>
      <c r="G18982" s="2" t="s">
        <v>6853</v>
      </c>
      <c r="H18982" s="2" t="s">
        <v>6854</v>
      </c>
    </row>
    <row r="18983" spans="1:8" ht="25.05" customHeight="1" x14ac:dyDescent="0.25">
      <c r="A18983" s="2" t="s">
        <v>8</v>
      </c>
      <c r="B18983" s="2" t="str">
        <f>HYPERLINK("http://ts.21cn.com/tousu/show/id/1350912","淘集集拖欠货款，要求清偿货款")</f>
        <v>淘集集拖欠货款，要求清偿货款</v>
      </c>
      <c r="C18983" s="2" t="s">
        <v>9</v>
      </c>
      <c r="D18983" s="2" t="s">
        <v>10</v>
      </c>
      <c r="E18983" s="2" t="str">
        <f>HYPERLINK("http://ts.21cn.com/tousu/show/id/1350912","http://ts.21cn.com/tousu/show/id/1350912")</f>
        <v>http://ts.21cn.com/tousu/show/id/1350912</v>
      </c>
      <c r="F18983" s="2" t="s">
        <v>11</v>
      </c>
      <c r="G18983" s="2" t="s">
        <v>6851</v>
      </c>
      <c r="H18983" s="2" t="s">
        <v>6852</v>
      </c>
    </row>
    <row r="18984" spans="1:8" ht="25.05" customHeight="1" x14ac:dyDescent="0.25">
      <c r="A18984" s="2" t="s">
        <v>8</v>
      </c>
      <c r="B18984" s="2" t="str">
        <f>HYPERLINK("http://ts.21cn.com/tousu/show/id/1350913","你我贷暴力催收恐吓，高利贷，变相砍头息，收取服务费")</f>
        <v>你我贷暴力催收恐吓，高利贷，变相砍头息，收取服务费</v>
      </c>
      <c r="C18984" s="2" t="s">
        <v>9</v>
      </c>
      <c r="D18984" s="2" t="s">
        <v>10</v>
      </c>
      <c r="E18984" s="2" t="str">
        <f>HYPERLINK("http://ts.21cn.com/tousu/show/id/1350913","http://ts.21cn.com/tousu/show/id/1350913")</f>
        <v>http://ts.21cn.com/tousu/show/id/1350913</v>
      </c>
      <c r="F18984" s="2" t="s">
        <v>11</v>
      </c>
      <c r="G18984" s="2" t="s">
        <v>6849</v>
      </c>
      <c r="H18984" s="2" t="s">
        <v>6850</v>
      </c>
    </row>
    <row r="18985" spans="1:8" ht="25.05" customHeight="1" x14ac:dyDescent="0.25">
      <c r="A18985" s="2" t="s">
        <v>8</v>
      </c>
      <c r="B18985" s="2" t="str">
        <f>HYPERLINK("http://ts.21cn.com/tousu/show/id/1350914","嗨钱网、西藏微众金服恶意扣款")</f>
        <v>嗨钱网、西藏微众金服恶意扣款</v>
      </c>
      <c r="C18985" s="2" t="s">
        <v>9</v>
      </c>
      <c r="D18985" s="2" t="s">
        <v>10</v>
      </c>
      <c r="E18985" s="2" t="str">
        <f>HYPERLINK("http://ts.21cn.com/tousu/show/id/1350914","http://ts.21cn.com/tousu/show/id/1350914")</f>
        <v>http://ts.21cn.com/tousu/show/id/1350914</v>
      </c>
      <c r="F18985" s="2" t="s">
        <v>11</v>
      </c>
      <c r="G18985" s="2" t="s">
        <v>6847</v>
      </c>
      <c r="H18985" s="2" t="s">
        <v>6848</v>
      </c>
    </row>
    <row r="18986" spans="1:8" ht="25.05" customHeight="1" x14ac:dyDescent="0.25">
      <c r="A18986" s="2" t="s">
        <v>8</v>
      </c>
      <c r="B18986" s="2" t="str">
        <f>HYPERLINK("http://ts.21cn.com/tousu/show/id/1350915","多多进宝佣金无法提现")</f>
        <v>多多进宝佣金无法提现</v>
      </c>
      <c r="C18986" s="2" t="s">
        <v>9</v>
      </c>
      <c r="D18986" s="2" t="s">
        <v>10</v>
      </c>
      <c r="E18986" s="2" t="str">
        <f>HYPERLINK("http://ts.21cn.com/tousu/show/id/1350915","http://ts.21cn.com/tousu/show/id/1350915")</f>
        <v>http://ts.21cn.com/tousu/show/id/1350915</v>
      </c>
      <c r="F18986" s="2" t="s">
        <v>11</v>
      </c>
      <c r="G18986" s="2" t="s">
        <v>6845</v>
      </c>
      <c r="H18986" s="2" t="s">
        <v>6846</v>
      </c>
    </row>
    <row r="18987" spans="1:8" ht="25.05" customHeight="1" x14ac:dyDescent="0.25">
      <c r="A18987" s="2" t="s">
        <v>8</v>
      </c>
      <c r="B18987" s="2" t="str">
        <f>HYPERLINK("http://ts.21cn.com/tousu/show/id/1350916","时光分期提前还款要支付高额利息")</f>
        <v>时光分期提前还款要支付高额利息</v>
      </c>
      <c r="C18987" s="2" t="s">
        <v>9</v>
      </c>
      <c r="D18987" s="2" t="s">
        <v>10</v>
      </c>
      <c r="E18987" s="2" t="str">
        <f>HYPERLINK("http://ts.21cn.com/tousu/show/id/1350916","http://ts.21cn.com/tousu/show/id/1350916")</f>
        <v>http://ts.21cn.com/tousu/show/id/1350916</v>
      </c>
      <c r="F18987" s="2" t="s">
        <v>11</v>
      </c>
      <c r="G18987" s="2" t="s">
        <v>6843</v>
      </c>
      <c r="H18987" s="2" t="s">
        <v>6844</v>
      </c>
    </row>
    <row r="18988" spans="1:8" ht="25.05" customHeight="1" x14ac:dyDescent="0.25">
      <c r="A18988" s="2" t="s">
        <v>8</v>
      </c>
      <c r="B18988" s="2" t="str">
        <f>HYPERLINK("http://ts.21cn.com/tousu/show/id/1350917","宏萨信息科技有限公司强行扣费")</f>
        <v>宏萨信息科技有限公司强行扣费</v>
      </c>
      <c r="C18988" s="2" t="s">
        <v>9</v>
      </c>
      <c r="D18988" s="2" t="s">
        <v>10</v>
      </c>
      <c r="E18988" s="2" t="str">
        <f>HYPERLINK("http://ts.21cn.com/tousu/show/id/1350917","http://ts.21cn.com/tousu/show/id/1350917")</f>
        <v>http://ts.21cn.com/tousu/show/id/1350917</v>
      </c>
      <c r="F18988" s="2" t="s">
        <v>11</v>
      </c>
      <c r="G18988" s="2" t="s">
        <v>6841</v>
      </c>
      <c r="H18988" s="2" t="s">
        <v>6842</v>
      </c>
    </row>
    <row r="18989" spans="1:8" ht="25.05" customHeight="1" x14ac:dyDescent="0.25">
      <c r="A18989" s="2" t="s">
        <v>8</v>
      </c>
      <c r="B18989" s="2" t="str">
        <f>HYPERLINK("http://ts.21cn.com/tousu/show/id/1350918","闪银客服态度恶劣")</f>
        <v>闪银客服态度恶劣</v>
      </c>
      <c r="C18989" s="2" t="s">
        <v>9</v>
      </c>
      <c r="D18989" s="2" t="s">
        <v>10</v>
      </c>
      <c r="E18989" s="2" t="str">
        <f>HYPERLINK("http://ts.21cn.com/tousu/show/id/1350918","http://ts.21cn.com/tousu/show/id/1350918")</f>
        <v>http://ts.21cn.com/tousu/show/id/1350918</v>
      </c>
      <c r="F18989" s="2" t="s">
        <v>11</v>
      </c>
      <c r="G18989" s="2" t="s">
        <v>6839</v>
      </c>
      <c r="H18989" s="2" t="s">
        <v>6840</v>
      </c>
    </row>
    <row r="18990" spans="1:8" ht="25.05" customHeight="1" x14ac:dyDescent="0.25">
      <c r="A18990" s="2" t="s">
        <v>8</v>
      </c>
      <c r="B18990" s="2" t="str">
        <f>HYPERLINK("http://ts.21cn.com/tousu/show/id/1350919","退保费18000")</f>
        <v>退保费18000</v>
      </c>
      <c r="C18990" s="2" t="s">
        <v>9</v>
      </c>
      <c r="D18990" s="2" t="s">
        <v>10</v>
      </c>
      <c r="E18990" s="2" t="str">
        <f>HYPERLINK("http://ts.21cn.com/tousu/show/id/1350919","http://ts.21cn.com/tousu/show/id/1350919")</f>
        <v>http://ts.21cn.com/tousu/show/id/1350919</v>
      </c>
      <c r="F18990" s="2" t="s">
        <v>11</v>
      </c>
      <c r="G18990" s="2" t="s">
        <v>6837</v>
      </c>
      <c r="H18990" s="2" t="s">
        <v>6838</v>
      </c>
    </row>
    <row r="18991" spans="1:8" ht="25.05" customHeight="1" x14ac:dyDescent="0.25">
      <c r="A18991" s="2" t="s">
        <v>8</v>
      </c>
      <c r="B18991" s="2" t="str">
        <f>HYPERLINK("http://ts.21cn.com/tousu/show/id/1350921","尚德机构投诉专题")</f>
        <v>尚德机构投诉专题</v>
      </c>
      <c r="C18991" s="2" t="s">
        <v>9</v>
      </c>
      <c r="D18991" s="2" t="s">
        <v>10</v>
      </c>
      <c r="E18991" s="2" t="str">
        <f>HYPERLINK("http://ts.21cn.com/tousu/show/id/1350921","http://ts.21cn.com/tousu/show/id/1350921")</f>
        <v>http://ts.21cn.com/tousu/show/id/1350921</v>
      </c>
      <c r="F18991" s="2" t="s">
        <v>11</v>
      </c>
      <c r="G18991" s="2" t="s">
        <v>6835</v>
      </c>
      <c r="H18991" s="2" t="s">
        <v>6836</v>
      </c>
    </row>
    <row r="18992" spans="1:8" ht="25.05" customHeight="1" x14ac:dyDescent="0.25">
      <c r="A18992" s="2" t="s">
        <v>8</v>
      </c>
      <c r="B18992" s="2" t="str">
        <f>HYPERLINK("http://ts.21cn.com/tousu/show/id/1350922","暴力催收 态度恶劣 言语辱骂")</f>
        <v>暴力催收 态度恶劣 言语辱骂</v>
      </c>
      <c r="C18992" s="2" t="s">
        <v>9</v>
      </c>
      <c r="D18992" s="2" t="s">
        <v>10</v>
      </c>
      <c r="E18992" s="2" t="str">
        <f>HYPERLINK("http://ts.21cn.com/tousu/show/id/1350922","http://ts.21cn.com/tousu/show/id/1350922")</f>
        <v>http://ts.21cn.com/tousu/show/id/1350922</v>
      </c>
      <c r="F18992" s="2" t="s">
        <v>11</v>
      </c>
      <c r="G18992" s="2" t="s">
        <v>6833</v>
      </c>
      <c r="H18992" s="2" t="s">
        <v>6834</v>
      </c>
    </row>
    <row r="18993" spans="1:8" ht="25.05" customHeight="1" x14ac:dyDescent="0.25">
      <c r="A18993" s="2" t="s">
        <v>8</v>
      </c>
      <c r="B18993" s="2" t="str">
        <f>HYPERLINK("http://ts.21cn.com/tousu/show/id/1350656","每天打电话给我单位，说在苏宁上买的东西，办的分期，要找我")</f>
        <v>每天打电话给我单位，说在苏宁上买的东西，办的分期，要找我</v>
      </c>
      <c r="C18993" s="2" t="s">
        <v>9</v>
      </c>
      <c r="D18993" s="2" t="s">
        <v>10</v>
      </c>
      <c r="E18993" s="2" t="str">
        <f>HYPERLINK("http://ts.21cn.com/tousu/show/id/1350656","http://ts.21cn.com/tousu/show/id/1350656")</f>
        <v>http://ts.21cn.com/tousu/show/id/1350656</v>
      </c>
      <c r="F18993" s="2" t="s">
        <v>11</v>
      </c>
      <c r="G18993" s="2" t="s">
        <v>6831</v>
      </c>
      <c r="H18993" s="2" t="s">
        <v>6832</v>
      </c>
    </row>
    <row r="18994" spans="1:8" ht="25.05" customHeight="1" x14ac:dyDescent="0.25">
      <c r="A18994" s="2" t="s">
        <v>8</v>
      </c>
      <c r="B18994" s="2" t="str">
        <f>HYPERLINK("http://ts.21cn.com/tousu/show/id/1350924","暴力催收，骚扰家人朋友！")</f>
        <v>暴力催收，骚扰家人朋友！</v>
      </c>
      <c r="C18994" s="2" t="s">
        <v>9</v>
      </c>
      <c r="D18994" s="2" t="s">
        <v>10</v>
      </c>
      <c r="E18994" s="2" t="str">
        <f>HYPERLINK("http://ts.21cn.com/tousu/show/id/1350924","http://ts.21cn.com/tousu/show/id/1350924")</f>
        <v>http://ts.21cn.com/tousu/show/id/1350924</v>
      </c>
      <c r="F18994" s="2" t="s">
        <v>11</v>
      </c>
      <c r="G18994" s="2" t="s">
        <v>6829</v>
      </c>
      <c r="H18994" s="2" t="s">
        <v>6830</v>
      </c>
    </row>
    <row r="18995" spans="1:8" ht="25.05" customHeight="1" x14ac:dyDescent="0.25">
      <c r="A18995" s="2" t="s">
        <v>8</v>
      </c>
      <c r="B18995" s="2" t="str">
        <f>HYPERLINK("http://ts.21cn.com/tousu/show/id/1350873","借款平台")</f>
        <v>借款平台</v>
      </c>
      <c r="C18995" s="2" t="s">
        <v>34</v>
      </c>
      <c r="D18995" s="2" t="s">
        <v>10</v>
      </c>
      <c r="E18995" s="2" t="str">
        <f>HYPERLINK("http://ts.21cn.com/tousu/show/id/1350873","http://ts.21cn.com/tousu/show/id/1350873")</f>
        <v>http://ts.21cn.com/tousu/show/id/1350873</v>
      </c>
      <c r="F18995" s="2" t="s">
        <v>11</v>
      </c>
      <c r="G18995" s="2" t="s">
        <v>6827</v>
      </c>
      <c r="H18995" s="2" t="s">
        <v>6828</v>
      </c>
    </row>
    <row r="18996" spans="1:8" ht="25.05" customHeight="1" x14ac:dyDescent="0.25">
      <c r="A18996" s="2" t="s">
        <v>8</v>
      </c>
      <c r="B18996" s="2" t="str">
        <f>HYPERLINK("http://ts.21cn.com/tousu/show/id/1350925","饿了么公司乱扣钱，骑手有告知原因还是申诉不通过")</f>
        <v>饿了么公司乱扣钱，骑手有告知原因还是申诉不通过</v>
      </c>
      <c r="C18996" s="2" t="s">
        <v>9</v>
      </c>
      <c r="D18996" s="2" t="s">
        <v>10</v>
      </c>
      <c r="E18996" s="2" t="str">
        <f>HYPERLINK("http://ts.21cn.com/tousu/show/id/1350925","http://ts.21cn.com/tousu/show/id/1350925")</f>
        <v>http://ts.21cn.com/tousu/show/id/1350925</v>
      </c>
      <c r="F18996" s="2" t="s">
        <v>11</v>
      </c>
      <c r="G18996" s="2" t="s">
        <v>6825</v>
      </c>
      <c r="H18996" s="2" t="s">
        <v>6826</v>
      </c>
    </row>
    <row r="18997" spans="1:8" ht="25.05" customHeight="1" x14ac:dyDescent="0.25">
      <c r="A18997" s="2" t="s">
        <v>8</v>
      </c>
      <c r="B18997" s="2" t="str">
        <f>HYPERLINK("http://ts.21cn.com/tousu/show/id/1350926","在没有任何违规的情况下，无端限制本人信用卡消费额度")</f>
        <v>在没有任何违规的情况下，无端限制本人信用卡消费额度</v>
      </c>
      <c r="C18997" s="2" t="s">
        <v>9</v>
      </c>
      <c r="D18997" s="2" t="s">
        <v>10</v>
      </c>
      <c r="E18997" s="2" t="str">
        <f>HYPERLINK("http://ts.21cn.com/tousu/show/id/1350926","http://ts.21cn.com/tousu/show/id/1350926")</f>
        <v>http://ts.21cn.com/tousu/show/id/1350926</v>
      </c>
      <c r="F18997" s="2" t="s">
        <v>11</v>
      </c>
      <c r="G18997" s="2" t="s">
        <v>6823</v>
      </c>
      <c r="H18997" s="2" t="s">
        <v>6824</v>
      </c>
    </row>
    <row r="18998" spans="1:8" ht="25.05" customHeight="1" x14ac:dyDescent="0.25">
      <c r="A18998" s="2" t="s">
        <v>8</v>
      </c>
      <c r="B18998" s="2" t="str">
        <f>HYPERLINK("http://ts.21cn.com/tousu/show/id/1350928","京东商城为网赌提供通道")</f>
        <v>京东商城为网赌提供通道</v>
      </c>
      <c r="C18998" s="2" t="s">
        <v>9</v>
      </c>
      <c r="D18998" s="2" t="s">
        <v>10</v>
      </c>
      <c r="E18998" s="2" t="str">
        <f>HYPERLINK("http://ts.21cn.com/tousu/show/id/1350928","http://ts.21cn.com/tousu/show/id/1350928")</f>
        <v>http://ts.21cn.com/tousu/show/id/1350928</v>
      </c>
      <c r="F18998" s="2" t="s">
        <v>11</v>
      </c>
      <c r="G18998" s="2" t="s">
        <v>6821</v>
      </c>
      <c r="H18998" s="2" t="s">
        <v>6822</v>
      </c>
    </row>
    <row r="18999" spans="1:8" ht="25.05" customHeight="1" x14ac:dyDescent="0.25">
      <c r="A18999" s="2" t="s">
        <v>8</v>
      </c>
      <c r="B18999" s="2" t="str">
        <f>HYPERLINK("http://ts.21cn.com/tousu/show/id/1350927","网络套路贷")</f>
        <v>网络套路贷</v>
      </c>
      <c r="C18999" s="2" t="s">
        <v>9</v>
      </c>
      <c r="D18999" s="2" t="s">
        <v>10</v>
      </c>
      <c r="E18999" s="2" t="str">
        <f>HYPERLINK("http://ts.21cn.com/tousu/show/id/1350927","http://ts.21cn.com/tousu/show/id/1350927")</f>
        <v>http://ts.21cn.com/tousu/show/id/1350927</v>
      </c>
      <c r="F18999" s="2" t="s">
        <v>11</v>
      </c>
      <c r="G18999" s="2" t="s">
        <v>6819</v>
      </c>
      <c r="H18999" s="2" t="s">
        <v>6820</v>
      </c>
    </row>
    <row r="19000" spans="1:8" ht="25.05" customHeight="1" x14ac:dyDescent="0.25">
      <c r="A19000" s="2" t="s">
        <v>8</v>
      </c>
      <c r="B19000" s="2" t="str">
        <f>HYPERLINK("http://ts.21cn.com/tousu/show/id/1350930","协调钱站还本金及相应利息")</f>
        <v>协调钱站还本金及相应利息</v>
      </c>
      <c r="C19000" s="2" t="s">
        <v>34</v>
      </c>
      <c r="D19000" s="2" t="s">
        <v>10</v>
      </c>
      <c r="E19000" s="2" t="str">
        <f>HYPERLINK("http://ts.21cn.com/tousu/show/id/1350930","http://ts.21cn.com/tousu/show/id/1350930")</f>
        <v>http://ts.21cn.com/tousu/show/id/1350930</v>
      </c>
      <c r="F19000" s="2" t="s">
        <v>11</v>
      </c>
      <c r="G19000" s="2" t="s">
        <v>6817</v>
      </c>
      <c r="H19000" s="2" t="s">
        <v>6818</v>
      </c>
    </row>
    <row r="19001" spans="1:8" ht="25.05" customHeight="1" x14ac:dyDescent="0.25">
      <c r="A19001" s="2" t="s">
        <v>8</v>
      </c>
      <c r="B19001" s="2" t="str">
        <f>HYPERLINK("http://ts.21cn.com/tousu/show/id/1350934","钱橙无忧随意扣费")</f>
        <v>钱橙无忧随意扣费</v>
      </c>
      <c r="C19001" s="2" t="s">
        <v>9</v>
      </c>
      <c r="D19001" s="2" t="s">
        <v>10</v>
      </c>
      <c r="E19001" s="2" t="str">
        <f>HYPERLINK("http://ts.21cn.com/tousu/show/id/1350934","http://ts.21cn.com/tousu/show/id/1350934")</f>
        <v>http://ts.21cn.com/tousu/show/id/1350934</v>
      </c>
      <c r="F19001" s="2" t="s">
        <v>11</v>
      </c>
      <c r="G19001" s="2" t="s">
        <v>6815</v>
      </c>
      <c r="H19001" s="2" t="s">
        <v>6816</v>
      </c>
    </row>
    <row r="19002" spans="1:8" ht="25.05" customHeight="1" x14ac:dyDescent="0.25">
      <c r="A19002" s="2" t="s">
        <v>8</v>
      </c>
      <c r="B19002" s="2" t="str">
        <f>HYPERLINK("http://ts.21cn.com/tousu/show/id/1350935","网信平台还我钱")</f>
        <v>网信平台还我钱</v>
      </c>
      <c r="C19002" s="2" t="s">
        <v>9</v>
      </c>
      <c r="D19002" s="2" t="s">
        <v>10</v>
      </c>
      <c r="E19002" s="2" t="str">
        <f>HYPERLINK("http://ts.21cn.com/tousu/show/id/1350935","http://ts.21cn.com/tousu/show/id/1350935")</f>
        <v>http://ts.21cn.com/tousu/show/id/1350935</v>
      </c>
      <c r="F19002" s="2" t="s">
        <v>11</v>
      </c>
      <c r="G19002" s="2" t="s">
        <v>6813</v>
      </c>
      <c r="H19002" s="2" t="s">
        <v>6814</v>
      </c>
    </row>
    <row r="19003" spans="1:8" ht="25.05" customHeight="1" x14ac:dyDescent="0.25">
      <c r="A19003" s="2" t="s">
        <v>8</v>
      </c>
      <c r="B19003" s="2" t="str">
        <f>HYPERLINK("http://ts.21cn.com/tousu/show/id/1350937","美团生活费外包暴力催收")</f>
        <v>美团生活费外包暴力催收</v>
      </c>
      <c r="C19003" s="2" t="s">
        <v>9</v>
      </c>
      <c r="D19003" s="2" t="s">
        <v>10</v>
      </c>
      <c r="E19003" s="2" t="str">
        <f>HYPERLINK("http://ts.21cn.com/tousu/show/id/1350937","http://ts.21cn.com/tousu/show/id/1350937")</f>
        <v>http://ts.21cn.com/tousu/show/id/1350937</v>
      </c>
      <c r="F19003" s="2" t="s">
        <v>11</v>
      </c>
      <c r="G19003" s="2" t="s">
        <v>6811</v>
      </c>
      <c r="H19003" s="2" t="s">
        <v>6812</v>
      </c>
    </row>
    <row r="19004" spans="1:8" ht="25.05" customHeight="1" x14ac:dyDescent="0.25">
      <c r="A19004" s="2" t="s">
        <v>8</v>
      </c>
      <c r="B19004" s="2" t="str">
        <f>HYPERLINK("http://ts.21cn.com/tousu/show/id/1350784","宏萨（上海）信息科技有限公司私自扣钱")</f>
        <v>宏萨（上海）信息科技有限公司私自扣钱</v>
      </c>
      <c r="C19004" s="2" t="s">
        <v>9</v>
      </c>
      <c r="D19004" s="2" t="s">
        <v>10</v>
      </c>
      <c r="E19004" s="2" t="str">
        <f>HYPERLINK("http://ts.21cn.com/tousu/show/id/1350784","http://ts.21cn.com/tousu/show/id/1350784")</f>
        <v>http://ts.21cn.com/tousu/show/id/1350784</v>
      </c>
      <c r="F19004" s="2" t="s">
        <v>11</v>
      </c>
      <c r="G19004" s="2" t="s">
        <v>6809</v>
      </c>
      <c r="H19004" s="2" t="s">
        <v>6810</v>
      </c>
    </row>
    <row r="19005" spans="1:8" ht="25.05" customHeight="1" x14ac:dyDescent="0.25">
      <c r="A19005" s="2" t="s">
        <v>8</v>
      </c>
      <c r="B19005" s="2" t="str">
        <f>HYPERLINK("http://ts.21cn.com/tousu/show/id/1350938","在快手买东西收到是坏的，商家拒绝赔偿")</f>
        <v>在快手买东西收到是坏的，商家拒绝赔偿</v>
      </c>
      <c r="C19005" s="2" t="s">
        <v>9</v>
      </c>
      <c r="D19005" s="2" t="s">
        <v>10</v>
      </c>
      <c r="E19005" s="2" t="str">
        <f>HYPERLINK("http://ts.21cn.com/tousu/show/id/1350938","http://ts.21cn.com/tousu/show/id/1350938")</f>
        <v>http://ts.21cn.com/tousu/show/id/1350938</v>
      </c>
      <c r="F19005" s="2" t="s">
        <v>11</v>
      </c>
      <c r="G19005" s="2" t="s">
        <v>6807</v>
      </c>
      <c r="H19005" s="2" t="s">
        <v>6808</v>
      </c>
    </row>
    <row r="19006" spans="1:8" ht="25.05" customHeight="1" x14ac:dyDescent="0.25">
      <c r="A19006" s="2" t="s">
        <v>8</v>
      </c>
      <c r="B19006" s="2" t="str">
        <f>HYPERLINK("http://ts.21cn.com/tousu/show/id/1350939","牛人有品催收方暴力催收，严重影响我生活，造成我不能按时还上款")</f>
        <v>牛人有品催收方暴力催收，严重影响我生活，造成我不能按时还上款</v>
      </c>
      <c r="C19006" s="2" t="s">
        <v>9</v>
      </c>
      <c r="D19006" s="2" t="s">
        <v>10</v>
      </c>
      <c r="E19006" s="2" t="str">
        <f>HYPERLINK("http://ts.21cn.com/tousu/show/id/1350939","http://ts.21cn.com/tousu/show/id/1350939")</f>
        <v>http://ts.21cn.com/tousu/show/id/1350939</v>
      </c>
      <c r="F19006" s="2" t="s">
        <v>11</v>
      </c>
      <c r="G19006" s="2" t="s">
        <v>6805</v>
      </c>
      <c r="H19006" s="2" t="s">
        <v>6806</v>
      </c>
    </row>
    <row r="19007" spans="1:8" ht="25.05" customHeight="1" x14ac:dyDescent="0.25">
      <c r="A19007" s="2" t="s">
        <v>8</v>
      </c>
      <c r="B19007" s="2" t="str">
        <f>HYPERLINK("http://ts.21cn.com/tousu/show/id/1350940","招联金融，催收恶劣，已经严重影响我的生活作息。")</f>
        <v>招联金融，催收恶劣，已经严重影响我的生活作息。</v>
      </c>
      <c r="C19007" s="2" t="s">
        <v>9</v>
      </c>
      <c r="D19007" s="2" t="s">
        <v>10</v>
      </c>
      <c r="E19007" s="2" t="str">
        <f>HYPERLINK("http://ts.21cn.com/tousu/show/id/1350940","http://ts.21cn.com/tousu/show/id/1350940")</f>
        <v>http://ts.21cn.com/tousu/show/id/1350940</v>
      </c>
      <c r="F19007" s="2" t="s">
        <v>11</v>
      </c>
      <c r="G19007" s="2" t="s">
        <v>6803</v>
      </c>
      <c r="H19007" s="2" t="s">
        <v>6804</v>
      </c>
    </row>
    <row r="19008" spans="1:8" ht="25.05" customHeight="1" x14ac:dyDescent="0.25">
      <c r="A19008" s="2" t="s">
        <v>8</v>
      </c>
      <c r="B19008" s="2" t="str">
        <f>HYPERLINK("http://ts.21cn.com/tousu/show/id/1350945","钱站恶意催收，爆通讯录")</f>
        <v>钱站恶意催收，爆通讯录</v>
      </c>
      <c r="C19008" s="2" t="s">
        <v>9</v>
      </c>
      <c r="D19008" s="2" t="s">
        <v>10</v>
      </c>
      <c r="E19008" s="2" t="str">
        <f>HYPERLINK("http://ts.21cn.com/tousu/show/id/1350945","http://ts.21cn.com/tousu/show/id/1350945")</f>
        <v>http://ts.21cn.com/tousu/show/id/1350945</v>
      </c>
      <c r="F19008" s="2" t="s">
        <v>11</v>
      </c>
      <c r="G19008" s="2" t="s">
        <v>6801</v>
      </c>
      <c r="H19008" s="2" t="s">
        <v>6802</v>
      </c>
    </row>
    <row r="19009" spans="1:8" ht="25.05" customHeight="1" x14ac:dyDescent="0.25">
      <c r="A19009" s="2" t="s">
        <v>8</v>
      </c>
      <c r="B19009" s="2" t="str">
        <f>HYPERLINK("http://ts.21cn.com/tousu/show/id/1350946","利息太高了")</f>
        <v>利息太高了</v>
      </c>
      <c r="C19009" s="2" t="s">
        <v>9</v>
      </c>
      <c r="D19009" s="2" t="s">
        <v>10</v>
      </c>
      <c r="E19009" s="2" t="str">
        <f>HYPERLINK("http://ts.21cn.com/tousu/show/id/1350946","http://ts.21cn.com/tousu/show/id/1350946")</f>
        <v>http://ts.21cn.com/tousu/show/id/1350946</v>
      </c>
      <c r="F19009" s="2" t="s">
        <v>11</v>
      </c>
      <c r="G19009" s="2" t="s">
        <v>6799</v>
      </c>
      <c r="H19009" s="2" t="s">
        <v>6800</v>
      </c>
    </row>
    <row r="19010" spans="1:8" ht="25.05" customHeight="1" x14ac:dyDescent="0.25">
      <c r="A19010" s="2" t="s">
        <v>8</v>
      </c>
      <c r="B19010" s="2" t="str">
        <f>HYPERLINK("http://ts.21cn.com/tousu/show/id/1350862","钱站平台虚假合同高利贷")</f>
        <v>钱站平台虚假合同高利贷</v>
      </c>
      <c r="C19010" s="2" t="s">
        <v>9</v>
      </c>
      <c r="D19010" s="2" t="s">
        <v>10</v>
      </c>
      <c r="E19010" s="2" t="str">
        <f>HYPERLINK("http://ts.21cn.com/tousu/show/id/1350862","http://ts.21cn.com/tousu/show/id/1350862")</f>
        <v>http://ts.21cn.com/tousu/show/id/1350862</v>
      </c>
      <c r="F19010" s="2" t="s">
        <v>11</v>
      </c>
      <c r="G19010" s="2" t="s">
        <v>6797</v>
      </c>
      <c r="H19010" s="2" t="s">
        <v>6798</v>
      </c>
    </row>
    <row r="19011" spans="1:8" ht="25.05" customHeight="1" x14ac:dyDescent="0.25">
      <c r="A19011" s="2" t="s">
        <v>8</v>
      </c>
      <c r="B19011" s="2" t="str">
        <f>HYPERLINK("http://ts.21cn.com/tousu/show/id/1350947","闪银变相收取砍头息")</f>
        <v>闪银变相收取砍头息</v>
      </c>
      <c r="C19011" s="2" t="s">
        <v>34</v>
      </c>
      <c r="D19011" s="2" t="s">
        <v>10</v>
      </c>
      <c r="E19011" s="2" t="str">
        <f>HYPERLINK("http://ts.21cn.com/tousu/show/id/1350947","http://ts.21cn.com/tousu/show/id/1350947")</f>
        <v>http://ts.21cn.com/tousu/show/id/1350947</v>
      </c>
      <c r="F19011" s="2" t="s">
        <v>11</v>
      </c>
      <c r="G19011" s="2" t="s">
        <v>6795</v>
      </c>
      <c r="H19011" s="2" t="s">
        <v>6796</v>
      </c>
    </row>
    <row r="19012" spans="1:8" ht="25.05" customHeight="1" x14ac:dyDescent="0.25">
      <c r="A19012" s="2" t="s">
        <v>8</v>
      </c>
      <c r="B19012" s="2" t="str">
        <f>HYPERLINK("http://ts.21cn.com/tousu/show/id/1350948","上海联通阿里宝卡正常业务无法使用")</f>
        <v>上海联通阿里宝卡正常业务无法使用</v>
      </c>
      <c r="C19012" s="2" t="s">
        <v>9</v>
      </c>
      <c r="D19012" s="2" t="s">
        <v>10</v>
      </c>
      <c r="E19012" s="2" t="str">
        <f>HYPERLINK("http://ts.21cn.com/tousu/show/id/1350948","http://ts.21cn.com/tousu/show/id/1350948")</f>
        <v>http://ts.21cn.com/tousu/show/id/1350948</v>
      </c>
      <c r="F19012" s="2" t="s">
        <v>11</v>
      </c>
      <c r="G19012" s="2" t="s">
        <v>6793</v>
      </c>
      <c r="H19012" s="2" t="s">
        <v>6794</v>
      </c>
    </row>
    <row r="19013" spans="1:8" ht="25.05" customHeight="1" x14ac:dyDescent="0.25">
      <c r="A19013" s="2" t="s">
        <v>8</v>
      </c>
      <c r="B19013" s="2" t="str">
        <f>HYPERLINK("http://ts.21cn.com/tousu/show/id/1350952","投诉my钱包还没到还款日一天发三条信息过来催款")</f>
        <v>投诉my钱包还没到还款日一天发三条信息过来催款</v>
      </c>
      <c r="C19013" s="2" t="s">
        <v>34</v>
      </c>
      <c r="D19013" s="2" t="s">
        <v>10</v>
      </c>
      <c r="E19013" s="2" t="str">
        <f>HYPERLINK("http://ts.21cn.com/tousu/show/id/1350952","http://ts.21cn.com/tousu/show/id/1350952")</f>
        <v>http://ts.21cn.com/tousu/show/id/1350952</v>
      </c>
      <c r="F19013" s="2" t="s">
        <v>11</v>
      </c>
      <c r="G19013" s="2" t="s">
        <v>6791</v>
      </c>
      <c r="H19013" s="2" t="s">
        <v>6792</v>
      </c>
    </row>
    <row r="19014" spans="1:8" ht="25.05" customHeight="1" x14ac:dyDescent="0.25">
      <c r="A19014" s="2" t="s">
        <v>8</v>
      </c>
      <c r="B19014" s="2" t="str">
        <f>HYPERLINK("http://ts.21cn.com/tousu/show/id/1350953","还不动了，协商处理本金")</f>
        <v>还不动了，协商处理本金</v>
      </c>
      <c r="C19014" s="2" t="s">
        <v>9</v>
      </c>
      <c r="D19014" s="2" t="s">
        <v>10</v>
      </c>
      <c r="E19014" s="2" t="str">
        <f>HYPERLINK("http://ts.21cn.com/tousu/show/id/1350953","http://ts.21cn.com/tousu/show/id/1350953")</f>
        <v>http://ts.21cn.com/tousu/show/id/1350953</v>
      </c>
      <c r="F19014" s="2" t="s">
        <v>11</v>
      </c>
      <c r="G19014" s="2" t="s">
        <v>6789</v>
      </c>
      <c r="H19014" s="2" t="s">
        <v>6790</v>
      </c>
    </row>
    <row r="19015" spans="1:8" ht="25.05" customHeight="1" x14ac:dyDescent="0.25">
      <c r="A19015" s="2" t="s">
        <v>8</v>
      </c>
      <c r="B19015" s="2" t="str">
        <f>HYPERLINK("http://ts.21cn.com/tousu/show/id/1350954","亿电通共享充电恶意多收我费用")</f>
        <v>亿电通共享充电恶意多收我费用</v>
      </c>
      <c r="C19015" s="2" t="s">
        <v>9</v>
      </c>
      <c r="D19015" s="2" t="s">
        <v>10</v>
      </c>
      <c r="E19015" s="2" t="str">
        <f>HYPERLINK("http://ts.21cn.com/tousu/show/id/1350954","http://ts.21cn.com/tousu/show/id/1350954")</f>
        <v>http://ts.21cn.com/tousu/show/id/1350954</v>
      </c>
      <c r="F19015" s="2" t="s">
        <v>11</v>
      </c>
      <c r="G19015" s="2" t="s">
        <v>6787</v>
      </c>
      <c r="H19015" s="2" t="s">
        <v>6788</v>
      </c>
    </row>
    <row r="19016" spans="1:8" ht="25.05" customHeight="1" x14ac:dyDescent="0.25">
      <c r="A19016" s="2" t="s">
        <v>8</v>
      </c>
      <c r="B19016" s="2" t="str">
        <f>HYPERLINK("http://ts.21cn.com/tousu/show/id/1350955","安逸花高利贷")</f>
        <v>安逸花高利贷</v>
      </c>
      <c r="C19016" s="2" t="s">
        <v>9</v>
      </c>
      <c r="D19016" s="2" t="s">
        <v>10</v>
      </c>
      <c r="E19016" s="2" t="str">
        <f>HYPERLINK("http://ts.21cn.com/tousu/show/id/1350955","http://ts.21cn.com/tousu/show/id/1350955")</f>
        <v>http://ts.21cn.com/tousu/show/id/1350955</v>
      </c>
      <c r="F19016" s="2" t="s">
        <v>11</v>
      </c>
      <c r="G19016" s="2" t="s">
        <v>6785</v>
      </c>
      <c r="H19016" s="2" t="s">
        <v>6786</v>
      </c>
    </row>
    <row r="19017" spans="1:8" ht="25.05" customHeight="1" x14ac:dyDescent="0.25">
      <c r="A19017" s="2" t="s">
        <v>8</v>
      </c>
      <c r="B19017" s="2" t="str">
        <f>HYPERLINK("http://ts.21cn.com/tousu/show/id/1350956","高额利息威胁骚扰")</f>
        <v>高额利息威胁骚扰</v>
      </c>
      <c r="C19017" s="2" t="s">
        <v>9</v>
      </c>
      <c r="D19017" s="2" t="s">
        <v>10</v>
      </c>
      <c r="E19017" s="2" t="str">
        <f>HYPERLINK("http://ts.21cn.com/tousu/show/id/1350956","http://ts.21cn.com/tousu/show/id/1350956")</f>
        <v>http://ts.21cn.com/tousu/show/id/1350956</v>
      </c>
      <c r="F19017" s="2" t="s">
        <v>11</v>
      </c>
      <c r="G19017" s="2" t="s">
        <v>6783</v>
      </c>
      <c r="H19017" s="2" t="s">
        <v>6784</v>
      </c>
    </row>
    <row r="19018" spans="1:8" ht="25.05" customHeight="1" x14ac:dyDescent="0.25">
      <c r="A19018" s="2" t="s">
        <v>8</v>
      </c>
      <c r="B19018" s="2" t="str">
        <f>HYPERLINK("http://ts.21cn.com/tousu/show/id/1350958","玖富叮当高利贷，阴阳合同")</f>
        <v>玖富叮当高利贷，阴阳合同</v>
      </c>
      <c r="C19018" s="2" t="s">
        <v>9</v>
      </c>
      <c r="D19018" s="2" t="s">
        <v>10</v>
      </c>
      <c r="E19018" s="2" t="str">
        <f>HYPERLINK("http://ts.21cn.com/tousu/show/id/1350958","http://ts.21cn.com/tousu/show/id/1350958")</f>
        <v>http://ts.21cn.com/tousu/show/id/1350958</v>
      </c>
      <c r="F19018" s="2" t="s">
        <v>11</v>
      </c>
      <c r="G19018" s="2" t="s">
        <v>6781</v>
      </c>
      <c r="H19018" s="2" t="s">
        <v>6782</v>
      </c>
    </row>
    <row r="19019" spans="1:8" ht="25.05" customHeight="1" x14ac:dyDescent="0.25">
      <c r="A19019" s="2" t="s">
        <v>8</v>
      </c>
      <c r="B19019" s="2" t="str">
        <f>HYPERLINK("http://ts.21cn.com/tousu/show/id/1350960","网贷714高炮害人不浅！")</f>
        <v>网贷714高炮害人不浅！</v>
      </c>
      <c r="C19019" s="2" t="s">
        <v>9</v>
      </c>
      <c r="D19019" s="2" t="s">
        <v>10</v>
      </c>
      <c r="E19019" s="2" t="str">
        <f>HYPERLINK("http://ts.21cn.com/tousu/show/id/1350960","http://ts.21cn.com/tousu/show/id/1350960")</f>
        <v>http://ts.21cn.com/tousu/show/id/1350960</v>
      </c>
      <c r="F19019" s="2" t="s">
        <v>11</v>
      </c>
      <c r="G19019" s="2" t="s">
        <v>6779</v>
      </c>
      <c r="H19019" s="2" t="s">
        <v>6780</v>
      </c>
    </row>
    <row r="19020" spans="1:8" ht="25.05" customHeight="1" x14ac:dyDescent="0.25">
      <c r="A19020" s="2" t="s">
        <v>8</v>
      </c>
      <c r="B19020" s="2" t="str">
        <f>HYPERLINK("http://ts.21cn.com/tousu/show/id/1350961","蓝店公司提现不到账，大面积商户提现不到账")</f>
        <v>蓝店公司提现不到账，大面积商户提现不到账</v>
      </c>
      <c r="C19020" s="2" t="s">
        <v>9</v>
      </c>
      <c r="D19020" s="2" t="s">
        <v>10</v>
      </c>
      <c r="E19020" s="2" t="str">
        <f>HYPERLINK("http://ts.21cn.com/tousu/show/id/1350961","http://ts.21cn.com/tousu/show/id/1350961")</f>
        <v>http://ts.21cn.com/tousu/show/id/1350961</v>
      </c>
      <c r="F19020" s="2" t="s">
        <v>11</v>
      </c>
      <c r="G19020" s="2" t="s">
        <v>6777</v>
      </c>
      <c r="H19020" s="2" t="s">
        <v>6778</v>
      </c>
    </row>
    <row r="19021" spans="1:8" ht="25.05" customHeight="1" x14ac:dyDescent="0.25">
      <c r="A19021" s="2" t="s">
        <v>8</v>
      </c>
      <c r="B19021" s="2" t="str">
        <f>HYPERLINK("http://ts.21cn.com/tousu/show/id/1350963","爆通讯录骚扰亲朋好友")</f>
        <v>爆通讯录骚扰亲朋好友</v>
      </c>
      <c r="C19021" s="2" t="s">
        <v>9</v>
      </c>
      <c r="D19021" s="2" t="s">
        <v>10</v>
      </c>
      <c r="E19021" s="2" t="str">
        <f>HYPERLINK("http://ts.21cn.com/tousu/show/id/1350963","http://ts.21cn.com/tousu/show/id/1350963")</f>
        <v>http://ts.21cn.com/tousu/show/id/1350963</v>
      </c>
      <c r="F19021" s="2" t="s">
        <v>11</v>
      </c>
      <c r="G19021" s="2" t="s">
        <v>6775</v>
      </c>
      <c r="H19021" s="2" t="s">
        <v>6776</v>
      </c>
    </row>
    <row r="19022" spans="1:8" ht="25.05" customHeight="1" x14ac:dyDescent="0.25">
      <c r="A19022" s="2" t="s">
        <v>8</v>
      </c>
      <c r="B19022" s="2" t="str">
        <f>HYPERLINK("http://ts.21cn.com/tousu/show/id/1350962","立借高利贷")</f>
        <v>立借高利贷</v>
      </c>
      <c r="C19022" s="2" t="s">
        <v>9</v>
      </c>
      <c r="D19022" s="2" t="s">
        <v>10</v>
      </c>
      <c r="E19022" s="2" t="str">
        <f>HYPERLINK("http://ts.21cn.com/tousu/show/id/1350962","http://ts.21cn.com/tousu/show/id/1350962")</f>
        <v>http://ts.21cn.com/tousu/show/id/1350962</v>
      </c>
      <c r="F19022" s="2" t="s">
        <v>11</v>
      </c>
      <c r="G19022" s="2" t="s">
        <v>6773</v>
      </c>
      <c r="H19022" s="2" t="s">
        <v>6774</v>
      </c>
    </row>
    <row r="19023" spans="1:8" ht="25.05" customHeight="1" x14ac:dyDescent="0.25">
      <c r="A19023" s="2" t="s">
        <v>8</v>
      </c>
      <c r="B19023" s="2" t="str">
        <f>HYPERLINK("http://ts.21cn.com/tousu/show/id/1350964","宏萨（上海）信息科技有限公司盗刷乱扣费")</f>
        <v>宏萨（上海）信息科技有限公司盗刷乱扣费</v>
      </c>
      <c r="C19023" s="2" t="s">
        <v>9</v>
      </c>
      <c r="D19023" s="2" t="s">
        <v>10</v>
      </c>
      <c r="E19023" s="2" t="str">
        <f>HYPERLINK("http://ts.21cn.com/tousu/show/id/1350964","http://ts.21cn.com/tousu/show/id/1350964")</f>
        <v>http://ts.21cn.com/tousu/show/id/1350964</v>
      </c>
      <c r="F19023" s="2" t="s">
        <v>11</v>
      </c>
      <c r="G19023" s="2" t="s">
        <v>6771</v>
      </c>
      <c r="H19023" s="2" t="s">
        <v>6772</v>
      </c>
    </row>
    <row r="19024" spans="1:8" ht="25.05" customHeight="1" x14ac:dyDescent="0.25">
      <c r="A19024" s="2" t="s">
        <v>8</v>
      </c>
      <c r="B19024" s="2" t="str">
        <f>HYPERLINK("http://ts.21cn.com/tousu/show/id/1350965","马上消费金融利息太高")</f>
        <v>马上消费金融利息太高</v>
      </c>
      <c r="C19024" s="2" t="s">
        <v>9</v>
      </c>
      <c r="D19024" s="2" t="s">
        <v>10</v>
      </c>
      <c r="E19024" s="2" t="str">
        <f>HYPERLINK("http://ts.21cn.com/tousu/show/id/1350965","http://ts.21cn.com/tousu/show/id/1350965")</f>
        <v>http://ts.21cn.com/tousu/show/id/1350965</v>
      </c>
      <c r="F19024" s="2" t="s">
        <v>11</v>
      </c>
      <c r="G19024" s="2" t="s">
        <v>6769</v>
      </c>
      <c r="H19024" s="2" t="s">
        <v>6770</v>
      </c>
    </row>
    <row r="19025" spans="1:8" ht="25.05" customHeight="1" x14ac:dyDescent="0.25">
      <c r="A19025" s="2" t="s">
        <v>8</v>
      </c>
      <c r="B19025" s="2" t="str">
        <f>HYPERLINK("http://ts.21cn.com/tousu/show/id/1350697","美锦金融平台以收取印花税为名收取费用")</f>
        <v>美锦金融平台以收取印花税为名收取费用</v>
      </c>
      <c r="C19025" s="2" t="s">
        <v>34</v>
      </c>
      <c r="D19025" s="2" t="s">
        <v>10</v>
      </c>
      <c r="E19025" s="2" t="str">
        <f>HYPERLINK("http://ts.21cn.com/tousu/show/id/1350697","http://ts.21cn.com/tousu/show/id/1350697")</f>
        <v>http://ts.21cn.com/tousu/show/id/1350697</v>
      </c>
      <c r="F19025" s="2" t="s">
        <v>11</v>
      </c>
      <c r="G19025" s="2" t="s">
        <v>6767</v>
      </c>
      <c r="H19025" s="2" t="s">
        <v>6768</v>
      </c>
    </row>
    <row r="19026" spans="1:8" ht="25.05" customHeight="1" x14ac:dyDescent="0.25">
      <c r="A19026" s="2" t="s">
        <v>8</v>
      </c>
      <c r="B19026" s="2" t="str">
        <f>HYPERLINK("http://ts.21cn.com/tousu/show/id/1344723","招联好期贷冻结额度")</f>
        <v>招联好期贷冻结额度</v>
      </c>
      <c r="C19026" s="2" t="s">
        <v>34</v>
      </c>
      <c r="D19026" s="2" t="s">
        <v>10</v>
      </c>
      <c r="E19026" s="2" t="str">
        <f>HYPERLINK("http://ts.21cn.com/tousu/show/id/1344723","http://ts.21cn.com/tousu/show/id/1344723")</f>
        <v>http://ts.21cn.com/tousu/show/id/1344723</v>
      </c>
      <c r="F19026" s="2" t="s">
        <v>11</v>
      </c>
      <c r="G19026" s="2" t="s">
        <v>6765</v>
      </c>
      <c r="H19026" s="2" t="s">
        <v>6766</v>
      </c>
    </row>
    <row r="19027" spans="1:8" ht="25.05" customHeight="1" x14ac:dyDescent="0.25">
      <c r="A19027" s="2" t="s">
        <v>8</v>
      </c>
      <c r="B19027" s="2" t="str">
        <f>HYPERLINK("http://ts.21cn.com/tousu/show/id/1350967","徽商银行威胁上门爆通讯录")</f>
        <v>徽商银行威胁上门爆通讯录</v>
      </c>
      <c r="C19027" s="2" t="s">
        <v>9</v>
      </c>
      <c r="D19027" s="2" t="s">
        <v>10</v>
      </c>
      <c r="E19027" s="2" t="str">
        <f>HYPERLINK("http://ts.21cn.com/tousu/show/id/1350967","http://ts.21cn.com/tousu/show/id/1350967")</f>
        <v>http://ts.21cn.com/tousu/show/id/1350967</v>
      </c>
      <c r="F19027" s="2" t="s">
        <v>11</v>
      </c>
      <c r="G19027" s="2" t="s">
        <v>6763</v>
      </c>
      <c r="H19027" s="2" t="s">
        <v>6764</v>
      </c>
    </row>
    <row r="19028" spans="1:8" ht="25.05" customHeight="1" x14ac:dyDescent="0.25">
      <c r="A19028" s="2" t="s">
        <v>8</v>
      </c>
      <c r="B19028" s="2" t="str">
        <f>HYPERLINK("http://ts.21cn.com/tousu/show/id/1350737","京东商城售后服务差对消费者不管不顾")</f>
        <v>京东商城售后服务差对消费者不管不顾</v>
      </c>
      <c r="C19028" s="2" t="s">
        <v>9</v>
      </c>
      <c r="D19028" s="2" t="s">
        <v>10</v>
      </c>
      <c r="E19028" s="2" t="str">
        <f>HYPERLINK("http://ts.21cn.com/tousu/show/id/1350737","http://ts.21cn.com/tousu/show/id/1350737")</f>
        <v>http://ts.21cn.com/tousu/show/id/1350737</v>
      </c>
      <c r="F19028" s="2" t="s">
        <v>11</v>
      </c>
      <c r="G19028" s="2" t="s">
        <v>6761</v>
      </c>
      <c r="H19028" s="2" t="s">
        <v>6762</v>
      </c>
    </row>
    <row r="19029" spans="1:8" ht="25.05" customHeight="1" x14ac:dyDescent="0.25">
      <c r="A19029" s="2" t="s">
        <v>8</v>
      </c>
      <c r="B19029" s="2" t="str">
        <f>HYPERLINK("http://ts.21cn.com/tousu/show/id/1350969","投诉还款处理完成，但依然显示有逾期账单")</f>
        <v>投诉还款处理完成，但依然显示有逾期账单</v>
      </c>
      <c r="C19029" s="2" t="s">
        <v>9</v>
      </c>
      <c r="D19029" s="2" t="s">
        <v>10</v>
      </c>
      <c r="E19029" s="2" t="str">
        <f>HYPERLINK("http://ts.21cn.com/tousu/show/id/1350969","http://ts.21cn.com/tousu/show/id/1350969")</f>
        <v>http://ts.21cn.com/tousu/show/id/1350969</v>
      </c>
      <c r="F19029" s="2" t="s">
        <v>11</v>
      </c>
      <c r="G19029" s="2" t="s">
        <v>6759</v>
      </c>
      <c r="H19029" s="2" t="s">
        <v>6760</v>
      </c>
    </row>
    <row r="19030" spans="1:8" ht="25.05" customHeight="1" x14ac:dyDescent="0.25">
      <c r="A19030" s="2" t="s">
        <v>8</v>
      </c>
      <c r="B19030" s="2" t="str">
        <f>HYPERLINK("http://ts.21cn.com/tousu/show/id/1350789","无缘无故扣我296元")</f>
        <v>无缘无故扣我296元</v>
      </c>
      <c r="C19030" s="2" t="s">
        <v>9</v>
      </c>
      <c r="D19030" s="2" t="s">
        <v>10</v>
      </c>
      <c r="E19030" s="2" t="str">
        <f>HYPERLINK("http://ts.21cn.com/tousu/show/id/1350789","http://ts.21cn.com/tousu/show/id/1350789")</f>
        <v>http://ts.21cn.com/tousu/show/id/1350789</v>
      </c>
      <c r="F19030" s="2" t="s">
        <v>11</v>
      </c>
      <c r="G19030" s="2" t="s">
        <v>6757</v>
      </c>
      <c r="H19030" s="2" t="s">
        <v>6758</v>
      </c>
    </row>
    <row r="19031" spans="1:8" ht="25.05" customHeight="1" x14ac:dyDescent="0.25">
      <c r="A19031" s="2" t="s">
        <v>8</v>
      </c>
      <c r="B19031" s="2" t="str">
        <f>HYPERLINK("http://ts.21cn.com/tousu/show/id/1350970","尚德机构真是黑心，一味推卸责任")</f>
        <v>尚德机构真是黑心，一味推卸责任</v>
      </c>
      <c r="C19031" s="2" t="s">
        <v>9</v>
      </c>
      <c r="D19031" s="2" t="s">
        <v>10</v>
      </c>
      <c r="E19031" s="2" t="str">
        <f>HYPERLINK("http://ts.21cn.com/tousu/show/id/1350970","http://ts.21cn.com/tousu/show/id/1350970")</f>
        <v>http://ts.21cn.com/tousu/show/id/1350970</v>
      </c>
      <c r="F19031" s="2" t="s">
        <v>11</v>
      </c>
      <c r="G19031" s="2" t="s">
        <v>6755</v>
      </c>
      <c r="H19031" s="2" t="s">
        <v>6756</v>
      </c>
    </row>
    <row r="19032" spans="1:8" ht="25.05" customHeight="1" x14ac:dyDescent="0.25">
      <c r="A19032" s="2" t="s">
        <v>8</v>
      </c>
      <c r="B19032" s="2" t="str">
        <f>HYPERLINK("http://ts.21cn.com/tousu/show/id/1350971","宜人贷恐吓父母")</f>
        <v>宜人贷恐吓父母</v>
      </c>
      <c r="C19032" s="2" t="s">
        <v>9</v>
      </c>
      <c r="D19032" s="2" t="s">
        <v>10</v>
      </c>
      <c r="E19032" s="2" t="str">
        <f>HYPERLINK("http://ts.21cn.com/tousu/show/id/1350971","http://ts.21cn.com/tousu/show/id/1350971")</f>
        <v>http://ts.21cn.com/tousu/show/id/1350971</v>
      </c>
      <c r="F19032" s="2" t="s">
        <v>11</v>
      </c>
      <c r="G19032" s="2" t="s">
        <v>6753</v>
      </c>
      <c r="H19032" s="2" t="s">
        <v>6754</v>
      </c>
    </row>
    <row r="19033" spans="1:8" ht="25.05" customHeight="1" x14ac:dyDescent="0.25">
      <c r="A19033" s="2" t="s">
        <v>8</v>
      </c>
      <c r="B19033" s="2" t="str">
        <f>HYPERLINK("http://ts.21cn.com/tousu/show/id/1350972","蚂蚁花呗借呗雇黑社会威胁我")</f>
        <v>蚂蚁花呗借呗雇黑社会威胁我</v>
      </c>
      <c r="C19033" s="2" t="s">
        <v>9</v>
      </c>
      <c r="D19033" s="2" t="s">
        <v>10</v>
      </c>
      <c r="E19033" s="2" t="str">
        <f>HYPERLINK("http://ts.21cn.com/tousu/show/id/1350972","http://ts.21cn.com/tousu/show/id/1350972")</f>
        <v>http://ts.21cn.com/tousu/show/id/1350972</v>
      </c>
      <c r="F19033" s="2" t="s">
        <v>11</v>
      </c>
      <c r="G19033" s="2" t="s">
        <v>6751</v>
      </c>
      <c r="H19033" s="2" t="s">
        <v>6752</v>
      </c>
    </row>
    <row r="19034" spans="1:8" ht="25.05" customHeight="1" x14ac:dyDescent="0.25">
      <c r="A19034" s="2" t="s">
        <v>8</v>
      </c>
      <c r="B19034" s="2" t="str">
        <f>HYPERLINK("http://ts.21cn.com/tousu/show/id/1350973","不知道为什么骚扰我")</f>
        <v>不知道为什么骚扰我</v>
      </c>
      <c r="C19034" s="2" t="s">
        <v>9</v>
      </c>
      <c r="D19034" s="2" t="s">
        <v>10</v>
      </c>
      <c r="E19034" s="2" t="str">
        <f>HYPERLINK("http://ts.21cn.com/tousu/show/id/1350973","http://ts.21cn.com/tousu/show/id/1350973")</f>
        <v>http://ts.21cn.com/tousu/show/id/1350973</v>
      </c>
      <c r="F19034" s="2" t="s">
        <v>11</v>
      </c>
      <c r="G19034" s="2" t="s">
        <v>6749</v>
      </c>
      <c r="H19034" s="2" t="s">
        <v>6750</v>
      </c>
    </row>
    <row r="19035" spans="1:8" ht="25.05" customHeight="1" x14ac:dyDescent="0.25">
      <c r="A19035" s="2" t="s">
        <v>8</v>
      </c>
      <c r="B19035" s="2" t="str">
        <f>HYPERLINK("http://ts.21cn.com/tousu/show/id/1350978","招联催收到新工作单位导致有被辞退的可能")</f>
        <v>招联催收到新工作单位导致有被辞退的可能</v>
      </c>
      <c r="C19035" s="2" t="s">
        <v>9</v>
      </c>
      <c r="D19035" s="2" t="s">
        <v>10</v>
      </c>
      <c r="E19035" s="2" t="str">
        <f>HYPERLINK("http://ts.21cn.com/tousu/show/id/1350978","http://ts.21cn.com/tousu/show/id/1350978")</f>
        <v>http://ts.21cn.com/tousu/show/id/1350978</v>
      </c>
      <c r="F19035" s="2" t="s">
        <v>11</v>
      </c>
      <c r="G19035" s="2" t="s">
        <v>6747</v>
      </c>
      <c r="H19035" s="2" t="s">
        <v>6748</v>
      </c>
    </row>
    <row r="19036" spans="1:8" ht="25.05" customHeight="1" x14ac:dyDescent="0.25">
      <c r="A19036" s="2" t="s">
        <v>8</v>
      </c>
      <c r="B19036" s="2" t="str">
        <f>HYPERLINK("http://ts.21cn.com/tousu/show/id/1350975","捷信暴利催收恐吓")</f>
        <v>捷信暴利催收恐吓</v>
      </c>
      <c r="C19036" s="2" t="s">
        <v>9</v>
      </c>
      <c r="D19036" s="2" t="s">
        <v>10</v>
      </c>
      <c r="E19036" s="2" t="str">
        <f>HYPERLINK("http://ts.21cn.com/tousu/show/id/1350975","http://ts.21cn.com/tousu/show/id/1350975")</f>
        <v>http://ts.21cn.com/tousu/show/id/1350975</v>
      </c>
      <c r="F19036" s="2" t="s">
        <v>11</v>
      </c>
      <c r="G19036" s="2" t="s">
        <v>6745</v>
      </c>
      <c r="H19036" s="2" t="s">
        <v>6746</v>
      </c>
    </row>
    <row r="19037" spans="1:8" ht="25.05" customHeight="1" x14ac:dyDescent="0.25">
      <c r="A19037" s="2" t="s">
        <v>8</v>
      </c>
      <c r="B19037" s="2" t="str">
        <f>HYPERLINK("http://ts.21cn.com/tousu/show/id/1350977","京东商城购买的京通卡被冻结，也不予退款")</f>
        <v>京东商城购买的京通卡被冻结，也不予退款</v>
      </c>
      <c r="C19037" s="2" t="s">
        <v>9</v>
      </c>
      <c r="D19037" s="2" t="s">
        <v>10</v>
      </c>
      <c r="E19037" s="2" t="str">
        <f>HYPERLINK("http://ts.21cn.com/tousu/show/id/1350977","http://ts.21cn.com/tousu/show/id/1350977")</f>
        <v>http://ts.21cn.com/tousu/show/id/1350977</v>
      </c>
      <c r="F19037" s="2" t="s">
        <v>11</v>
      </c>
      <c r="G19037" s="2" t="s">
        <v>6743</v>
      </c>
      <c r="H19037" s="2" t="s">
        <v>6744</v>
      </c>
    </row>
    <row r="19038" spans="1:8" ht="25.05" customHeight="1" x14ac:dyDescent="0.25">
      <c r="A19038" s="2" t="s">
        <v>8</v>
      </c>
      <c r="B19038" s="2" t="str">
        <f>HYPERLINK("http://ts.21cn.com/tousu/show/id/1350976","被外包催收影响正常生活")</f>
        <v>被外包催收影响正常生活</v>
      </c>
      <c r="C19038" s="2" t="s">
        <v>9</v>
      </c>
      <c r="D19038" s="2" t="s">
        <v>10</v>
      </c>
      <c r="E19038" s="2" t="str">
        <f>HYPERLINK("http://ts.21cn.com/tousu/show/id/1350976","http://ts.21cn.com/tousu/show/id/1350976")</f>
        <v>http://ts.21cn.com/tousu/show/id/1350976</v>
      </c>
      <c r="F19038" s="2" t="s">
        <v>11</v>
      </c>
      <c r="G19038" s="2" t="s">
        <v>6741</v>
      </c>
      <c r="H19038" s="2" t="s">
        <v>6742</v>
      </c>
    </row>
    <row r="19039" spans="1:8" ht="25.05" customHeight="1" x14ac:dyDescent="0.25">
      <c r="A19039" s="2" t="s">
        <v>8</v>
      </c>
      <c r="B19039" s="2" t="str">
        <f>HYPERLINK("http://ts.21cn.com/tousu/show/id/1350768","投诉中国建设银行股份有限公司广州育蕾支行为博彩网站开通有效的账号，开通账号之前未认真审核用户资料，投诉广州叶商商贸部为博")</f>
        <v>投诉中国建设银行股份有限公司广州育蕾支行为博彩网站开通有效的账号，开通账号之前未认真审核用户资料，投诉广州叶商商贸部为博</v>
      </c>
      <c r="C19039" s="2" t="s">
        <v>9</v>
      </c>
      <c r="D19039" s="2" t="s">
        <v>10</v>
      </c>
      <c r="E19039" s="2" t="str">
        <f>HYPERLINK("http://ts.21cn.com/tousu/show/id/1350768","http://ts.21cn.com/tousu/show/id/1350768")</f>
        <v>http://ts.21cn.com/tousu/show/id/1350768</v>
      </c>
      <c r="F19039" s="2" t="s">
        <v>11</v>
      </c>
      <c r="G19039" s="2" t="s">
        <v>6739</v>
      </c>
      <c r="H19039" s="2" t="s">
        <v>6740</v>
      </c>
    </row>
    <row r="19040" spans="1:8" ht="25.05" customHeight="1" x14ac:dyDescent="0.25">
      <c r="A19040" s="2" t="s">
        <v>8</v>
      </c>
      <c r="B19040" s="2" t="str">
        <f>HYPERLINK("http://ts.21cn.com/tousu/show/id/1350951","贷上钱协商结果不一致")</f>
        <v>贷上钱协商结果不一致</v>
      </c>
      <c r="C19040" s="2" t="s">
        <v>9</v>
      </c>
      <c r="D19040" s="2" t="s">
        <v>10</v>
      </c>
      <c r="E19040" s="2" t="str">
        <f>HYPERLINK("http://ts.21cn.com/tousu/show/id/1350951","http://ts.21cn.com/tousu/show/id/1350951")</f>
        <v>http://ts.21cn.com/tousu/show/id/1350951</v>
      </c>
      <c r="F19040" s="2" t="s">
        <v>11</v>
      </c>
      <c r="G19040" s="2" t="s">
        <v>6737</v>
      </c>
      <c r="H19040" s="2" t="s">
        <v>6738</v>
      </c>
    </row>
    <row r="19041" spans="1:8" ht="25.05" customHeight="1" x14ac:dyDescent="0.25">
      <c r="A19041" s="2" t="s">
        <v>8</v>
      </c>
      <c r="B19041" s="2" t="str">
        <f>HYPERLINK("http://ts.21cn.com/tousu/show/id/1350982","信用管家里的石头管家已经还了3期了，当时到账的本金已经处理完了，剩下的1000元是在资金紧张没办法处理了希望可以协商处理")</f>
        <v>信用管家里的石头管家已经还了3期了，当时到账的本金已经处理完了，剩下的1000元是在资金紧张没办法处理了希望可以协商处理</v>
      </c>
      <c r="C19041" s="2" t="s">
        <v>9</v>
      </c>
      <c r="D19041" s="2" t="s">
        <v>10</v>
      </c>
      <c r="E19041" s="2" t="str">
        <f>HYPERLINK("http://ts.21cn.com/tousu/show/id/1350982","http://ts.21cn.com/tousu/show/id/1350982")</f>
        <v>http://ts.21cn.com/tousu/show/id/1350982</v>
      </c>
      <c r="F19041" s="2" t="s">
        <v>11</v>
      </c>
      <c r="G19041" s="2" t="s">
        <v>6734</v>
      </c>
      <c r="H19041" s="2" t="s">
        <v>6735</v>
      </c>
    </row>
    <row r="19042" spans="1:8" ht="25.05" customHeight="1" x14ac:dyDescent="0.25">
      <c r="A19042" s="2" t="s">
        <v>8</v>
      </c>
      <c r="B19042" s="2" t="str">
        <f>HYPERLINK("http://ts.21cn.com/tousu/show/id/1350981","捷信骚扰电话")</f>
        <v>捷信骚扰电话</v>
      </c>
      <c r="C19042" s="2" t="s">
        <v>9</v>
      </c>
      <c r="D19042" s="2" t="s">
        <v>10</v>
      </c>
      <c r="E19042" s="2" t="str">
        <f>HYPERLINK("http://ts.21cn.com/tousu/show/id/1350981","http://ts.21cn.com/tousu/show/id/1350981")</f>
        <v>http://ts.21cn.com/tousu/show/id/1350981</v>
      </c>
      <c r="F19042" s="2" t="s">
        <v>11</v>
      </c>
      <c r="G19042" s="2" t="s">
        <v>6734</v>
      </c>
      <c r="H19042" s="2" t="s">
        <v>6736</v>
      </c>
    </row>
    <row r="19043" spans="1:8" ht="25.05" customHeight="1" x14ac:dyDescent="0.25">
      <c r="A19043" s="2" t="s">
        <v>8</v>
      </c>
      <c r="B19043" s="2" t="str">
        <f>HYPERLINK("http://ts.21cn.com/tousu/show/id/1350984","钱站高利贷阴阳合同")</f>
        <v>钱站高利贷阴阳合同</v>
      </c>
      <c r="C19043" s="2" t="s">
        <v>9</v>
      </c>
      <c r="D19043" s="2" t="s">
        <v>10</v>
      </c>
      <c r="E19043" s="2" t="str">
        <f>HYPERLINK("http://ts.21cn.com/tousu/show/id/1350984","http://ts.21cn.com/tousu/show/id/1350984")</f>
        <v>http://ts.21cn.com/tousu/show/id/1350984</v>
      </c>
      <c r="F19043" s="2" t="s">
        <v>11</v>
      </c>
      <c r="G19043" s="2" t="s">
        <v>6732</v>
      </c>
      <c r="H19043" s="2" t="s">
        <v>6733</v>
      </c>
    </row>
    <row r="19044" spans="1:8" ht="25.05" customHeight="1" x14ac:dyDescent="0.25">
      <c r="A19044" s="2" t="s">
        <v>8</v>
      </c>
      <c r="B19044" s="2" t="str">
        <f>HYPERLINK("http://ts.21cn.com/tousu/show/id/1350983","乐刷POS机无法注销我要注销我要注销")</f>
        <v>乐刷POS机无法注销我要注销我要注销</v>
      </c>
      <c r="C19044" s="2" t="s">
        <v>9</v>
      </c>
      <c r="D19044" s="2" t="s">
        <v>10</v>
      </c>
      <c r="E19044" s="2" t="str">
        <f>HYPERLINK("http://ts.21cn.com/tousu/show/id/1350983","http://ts.21cn.com/tousu/show/id/1350983")</f>
        <v>http://ts.21cn.com/tousu/show/id/1350983</v>
      </c>
      <c r="F19044" s="2" t="s">
        <v>11</v>
      </c>
      <c r="G19044" s="2" t="s">
        <v>6730</v>
      </c>
      <c r="H19044" s="2" t="s">
        <v>6731</v>
      </c>
    </row>
    <row r="19045" spans="1:8" ht="25.05" customHeight="1" x14ac:dyDescent="0.25">
      <c r="A19045" s="2" t="s">
        <v>8</v>
      </c>
      <c r="B19045" s="2" t="str">
        <f>HYPERLINK("http://ts.21cn.com/tousu/show/id/1350985","暴力催收威胁家人骚扰通讯录好友利息过高")</f>
        <v>暴力催收威胁家人骚扰通讯录好友利息过高</v>
      </c>
      <c r="C19045" s="2" t="s">
        <v>9</v>
      </c>
      <c r="D19045" s="2" t="s">
        <v>10</v>
      </c>
      <c r="E19045" s="2" t="str">
        <f>HYPERLINK("http://ts.21cn.com/tousu/show/id/1350985","http://ts.21cn.com/tousu/show/id/1350985")</f>
        <v>http://ts.21cn.com/tousu/show/id/1350985</v>
      </c>
      <c r="F19045" s="2" t="s">
        <v>11</v>
      </c>
      <c r="G19045" s="2" t="s">
        <v>6728</v>
      </c>
      <c r="H19045" s="2" t="s">
        <v>6729</v>
      </c>
    </row>
    <row r="19046" spans="1:8" ht="25.05" customHeight="1" x14ac:dyDescent="0.25">
      <c r="A19046" s="2" t="s">
        <v>8</v>
      </c>
      <c r="B19046" s="2" t="str">
        <f>HYPERLINK("http://ts.21cn.com/tousu/show/id/1350986","上海二三四五网络科技有限公司")</f>
        <v>上海二三四五网络科技有限公司</v>
      </c>
      <c r="C19046" s="2" t="s">
        <v>9</v>
      </c>
      <c r="D19046" s="2" t="s">
        <v>10</v>
      </c>
      <c r="E19046" s="2" t="str">
        <f>HYPERLINK("http://ts.21cn.com/tousu/show/id/1350986","http://ts.21cn.com/tousu/show/id/1350986")</f>
        <v>http://ts.21cn.com/tousu/show/id/1350986</v>
      </c>
      <c r="F19046" s="2" t="s">
        <v>11</v>
      </c>
      <c r="G19046" s="2" t="s">
        <v>6726</v>
      </c>
      <c r="H19046" s="2" t="s">
        <v>6727</v>
      </c>
    </row>
    <row r="19047" spans="1:8" ht="25.05" customHeight="1" x14ac:dyDescent="0.25">
      <c r="A19047" s="2" t="s">
        <v>8</v>
      </c>
      <c r="B19047" s="2" t="str">
        <f>HYPERLINK("http://ts.21cn.com/tousu/show/id/1350950","钱站高利贷阴阳合同")</f>
        <v>钱站高利贷阴阳合同</v>
      </c>
      <c r="C19047" s="2" t="s">
        <v>9</v>
      </c>
      <c r="D19047" s="2" t="s">
        <v>10</v>
      </c>
      <c r="E19047" s="2" t="str">
        <f>HYPERLINK("http://ts.21cn.com/tousu/show/id/1350950","http://ts.21cn.com/tousu/show/id/1350950")</f>
        <v>http://ts.21cn.com/tousu/show/id/1350950</v>
      </c>
      <c r="F19047" s="2" t="s">
        <v>11</v>
      </c>
      <c r="G19047" s="2" t="s">
        <v>6724</v>
      </c>
      <c r="H19047" s="2" t="s">
        <v>6725</v>
      </c>
    </row>
    <row r="19048" spans="1:8" ht="25.05" customHeight="1" x14ac:dyDescent="0.25">
      <c r="A19048" s="2" t="s">
        <v>8</v>
      </c>
      <c r="B19048" s="2" t="str">
        <f>HYPERLINK("http://ts.21cn.com/tousu/show/id/1350987","豆豆钱变相砍头息")</f>
        <v>豆豆钱变相砍头息</v>
      </c>
      <c r="C19048" s="2" t="s">
        <v>9</v>
      </c>
      <c r="D19048" s="2" t="s">
        <v>10</v>
      </c>
      <c r="E19048" s="2" t="str">
        <f>HYPERLINK("http://ts.21cn.com/tousu/show/id/1350987","http://ts.21cn.com/tousu/show/id/1350987")</f>
        <v>http://ts.21cn.com/tousu/show/id/1350987</v>
      </c>
      <c r="F19048" s="2" t="s">
        <v>11</v>
      </c>
      <c r="G19048" s="2" t="s">
        <v>6722</v>
      </c>
      <c r="H19048" s="2" t="s">
        <v>6723</v>
      </c>
    </row>
    <row r="19049" spans="1:8" ht="25.05" customHeight="1" x14ac:dyDescent="0.25">
      <c r="A19049" s="2" t="s">
        <v>8</v>
      </c>
      <c r="B19049" s="2" t="str">
        <f>HYPERLINK("http://ts.21cn.com/tousu/show/id/1350988","网贷投诉")</f>
        <v>网贷投诉</v>
      </c>
      <c r="C19049" s="2" t="s">
        <v>9</v>
      </c>
      <c r="D19049" s="2" t="s">
        <v>10</v>
      </c>
      <c r="E19049" s="2" t="str">
        <f>HYPERLINK("http://ts.21cn.com/tousu/show/id/1350988","http://ts.21cn.com/tousu/show/id/1350988")</f>
        <v>http://ts.21cn.com/tousu/show/id/1350988</v>
      </c>
      <c r="F19049" s="2" t="s">
        <v>11</v>
      </c>
      <c r="G19049" s="2" t="s">
        <v>6720</v>
      </c>
      <c r="H19049" s="2" t="s">
        <v>6721</v>
      </c>
    </row>
    <row r="19050" spans="1:8" ht="25.05" customHeight="1" x14ac:dyDescent="0.25">
      <c r="A19050" s="2" t="s">
        <v>8</v>
      </c>
      <c r="B19050" s="2" t="str">
        <f>HYPERLINK("http://ts.21cn.com/tousu/show/id/1350990","分期鸭贷款到期APP打不开")</f>
        <v>分期鸭贷款到期APP打不开</v>
      </c>
      <c r="C19050" s="2" t="s">
        <v>9</v>
      </c>
      <c r="D19050" s="2" t="s">
        <v>10</v>
      </c>
      <c r="E19050" s="2" t="str">
        <f>HYPERLINK("http://ts.21cn.com/tousu/show/id/1350990","http://ts.21cn.com/tousu/show/id/1350990")</f>
        <v>http://ts.21cn.com/tousu/show/id/1350990</v>
      </c>
      <c r="F19050" s="2" t="s">
        <v>11</v>
      </c>
      <c r="G19050" s="2" t="s">
        <v>6718</v>
      </c>
      <c r="H19050" s="2" t="s">
        <v>6719</v>
      </c>
    </row>
    <row r="19051" spans="1:8" ht="25.05" customHeight="1" x14ac:dyDescent="0.25">
      <c r="A19051" s="2" t="s">
        <v>8</v>
      </c>
      <c r="B19051" s="2" t="str">
        <f>HYPERLINK("http://ts.21cn.com/tousu/show/id/1350991","深圳市及响科技有限公司及贷非法催收泄露隐私")</f>
        <v>深圳市及响科技有限公司及贷非法催收泄露隐私</v>
      </c>
      <c r="C19051" s="2" t="s">
        <v>9</v>
      </c>
      <c r="D19051" s="2" t="s">
        <v>10</v>
      </c>
      <c r="E19051" s="2" t="str">
        <f>HYPERLINK("http://ts.21cn.com/tousu/show/id/1350991","http://ts.21cn.com/tousu/show/id/1350991")</f>
        <v>http://ts.21cn.com/tousu/show/id/1350991</v>
      </c>
      <c r="F19051" s="2" t="s">
        <v>11</v>
      </c>
      <c r="G19051" s="2" t="s">
        <v>6716</v>
      </c>
      <c r="H19051" s="2" t="s">
        <v>6717</v>
      </c>
    </row>
    <row r="19052" spans="1:8" ht="25.05" customHeight="1" x14ac:dyDescent="0.25">
      <c r="A19052" s="2" t="s">
        <v>8</v>
      </c>
      <c r="B19052" s="2" t="str">
        <f>HYPERLINK("http://ts.21cn.com/tousu/show/id/1350992","宜人贷恶意催收，致本人被迫离职")</f>
        <v>宜人贷恶意催收，致本人被迫离职</v>
      </c>
      <c r="C19052" s="2" t="s">
        <v>9</v>
      </c>
      <c r="D19052" s="2" t="s">
        <v>10</v>
      </c>
      <c r="E19052" s="2" t="str">
        <f>HYPERLINK("http://ts.21cn.com/tousu/show/id/1350992","http://ts.21cn.com/tousu/show/id/1350992")</f>
        <v>http://ts.21cn.com/tousu/show/id/1350992</v>
      </c>
      <c r="F19052" s="2" t="s">
        <v>11</v>
      </c>
      <c r="G19052" s="2" t="s">
        <v>6714</v>
      </c>
      <c r="H19052" s="2" t="s">
        <v>6715</v>
      </c>
    </row>
    <row r="19053" spans="1:8" ht="25.05" customHeight="1" x14ac:dyDescent="0.25">
      <c r="A19053" s="2" t="s">
        <v>8</v>
      </c>
      <c r="B19053" s="2" t="str">
        <f>HYPERLINK("http://ts.21cn.com/tousu/show/id/1350929","有私人号码在冒充支付宝欠款催收员工")</f>
        <v>有私人号码在冒充支付宝欠款催收员工</v>
      </c>
      <c r="C19053" s="2" t="s">
        <v>9</v>
      </c>
      <c r="D19053" s="2" t="s">
        <v>10</v>
      </c>
      <c r="E19053" s="2" t="str">
        <f>HYPERLINK("http://ts.21cn.com/tousu/show/id/1350929","http://ts.21cn.com/tousu/show/id/1350929")</f>
        <v>http://ts.21cn.com/tousu/show/id/1350929</v>
      </c>
      <c r="F19053" s="2" t="s">
        <v>11</v>
      </c>
      <c r="G19053" s="2" t="s">
        <v>6712</v>
      </c>
      <c r="H19053" s="2" t="s">
        <v>6713</v>
      </c>
    </row>
    <row r="19054" spans="1:8" ht="25.05" customHeight="1" x14ac:dyDescent="0.25">
      <c r="A19054" s="2" t="s">
        <v>8</v>
      </c>
      <c r="B19054" s="2" t="str">
        <f>HYPERLINK("http://ts.21cn.com/tousu/show/id/1350993","淘宝网不给退货退款")</f>
        <v>淘宝网不给退货退款</v>
      </c>
      <c r="C19054" s="2" t="s">
        <v>9</v>
      </c>
      <c r="D19054" s="2" t="s">
        <v>10</v>
      </c>
      <c r="E19054" s="2" t="str">
        <f>HYPERLINK("http://ts.21cn.com/tousu/show/id/1350993","http://ts.21cn.com/tousu/show/id/1350993")</f>
        <v>http://ts.21cn.com/tousu/show/id/1350993</v>
      </c>
      <c r="F19054" s="2" t="s">
        <v>11</v>
      </c>
      <c r="G19054" s="2" t="s">
        <v>6710</v>
      </c>
      <c r="H19054" s="2" t="s">
        <v>6711</v>
      </c>
    </row>
    <row r="19055" spans="1:8" ht="25.05" customHeight="1" x14ac:dyDescent="0.25">
      <c r="A19055" s="2" t="s">
        <v>8</v>
      </c>
      <c r="B19055" s="2" t="str">
        <f>HYPERLINK("http://ts.21cn.com/tousu/show/id/1350994","闪银违法收取砍头息")</f>
        <v>闪银违法收取砍头息</v>
      </c>
      <c r="C19055" s="2" t="s">
        <v>9</v>
      </c>
      <c r="D19055" s="2" t="s">
        <v>10</v>
      </c>
      <c r="E19055" s="2" t="str">
        <f>HYPERLINK("http://ts.21cn.com/tousu/show/id/1350994","http://ts.21cn.com/tousu/show/id/1350994")</f>
        <v>http://ts.21cn.com/tousu/show/id/1350994</v>
      </c>
      <c r="F19055" s="2" t="s">
        <v>11</v>
      </c>
      <c r="G19055" s="2" t="s">
        <v>6708</v>
      </c>
      <c r="H19055" s="2" t="s">
        <v>6709</v>
      </c>
    </row>
    <row r="19056" spans="1:8" ht="25.05" customHeight="1" x14ac:dyDescent="0.25">
      <c r="A19056" s="2" t="s">
        <v>8</v>
      </c>
      <c r="B19056" s="2" t="str">
        <f>HYPERLINK("http://ts.21cn.com/tousu/show/id/1350995","暴力催收，威胁亲友")</f>
        <v>暴力催收，威胁亲友</v>
      </c>
      <c r="C19056" s="2" t="s">
        <v>9</v>
      </c>
      <c r="D19056" s="2" t="s">
        <v>10</v>
      </c>
      <c r="E19056" s="2" t="str">
        <f>HYPERLINK("http://ts.21cn.com/tousu/show/id/1350995","http://ts.21cn.com/tousu/show/id/1350995")</f>
        <v>http://ts.21cn.com/tousu/show/id/1350995</v>
      </c>
      <c r="F19056" s="2" t="s">
        <v>11</v>
      </c>
      <c r="G19056" s="2" t="s">
        <v>6706</v>
      </c>
      <c r="H19056" s="2" t="s">
        <v>6707</v>
      </c>
    </row>
    <row r="19057" spans="1:8" ht="25.05" customHeight="1" x14ac:dyDescent="0.25">
      <c r="A19057" s="2" t="s">
        <v>8</v>
      </c>
      <c r="B19057" s="2" t="str">
        <f>HYPERLINK("http://ts.21cn.com/tousu/show/id/1350996","浦发银行泄露信息给第三方骚扰联系人")</f>
        <v>浦发银行泄露信息给第三方骚扰联系人</v>
      </c>
      <c r="C19057" s="2" t="s">
        <v>9</v>
      </c>
      <c r="D19057" s="2" t="s">
        <v>10</v>
      </c>
      <c r="E19057" s="2" t="str">
        <f>HYPERLINK("http://ts.21cn.com/tousu/show/id/1350996","http://ts.21cn.com/tousu/show/id/1350996")</f>
        <v>http://ts.21cn.com/tousu/show/id/1350996</v>
      </c>
      <c r="F19057" s="2" t="s">
        <v>11</v>
      </c>
      <c r="G19057" s="2" t="s">
        <v>6704</v>
      </c>
      <c r="H19057" s="2" t="s">
        <v>6705</v>
      </c>
    </row>
    <row r="19058" spans="1:8" ht="25.05" customHeight="1" x14ac:dyDescent="0.25">
      <c r="A19058" s="2" t="s">
        <v>8</v>
      </c>
      <c r="B19058" s="2" t="str">
        <f>HYPERLINK("http://ts.21cn.com/tousu/show/id/1350997","态度恶劣，利息高")</f>
        <v>态度恶劣，利息高</v>
      </c>
      <c r="C19058" s="2" t="s">
        <v>9</v>
      </c>
      <c r="D19058" s="2" t="s">
        <v>10</v>
      </c>
      <c r="E19058" s="2" t="str">
        <f>HYPERLINK("http://ts.21cn.com/tousu/show/id/1350997","http://ts.21cn.com/tousu/show/id/1350997")</f>
        <v>http://ts.21cn.com/tousu/show/id/1350997</v>
      </c>
      <c r="F19058" s="2" t="s">
        <v>11</v>
      </c>
      <c r="G19058" s="2" t="s">
        <v>6702</v>
      </c>
      <c r="H19058" s="2" t="s">
        <v>6703</v>
      </c>
    </row>
    <row r="19059" spans="1:8" ht="25.05" customHeight="1" x14ac:dyDescent="0.25">
      <c r="A19059" s="2" t="s">
        <v>8</v>
      </c>
      <c r="B19059" s="2" t="str">
        <f>HYPERLINK("http://ts.21cn.com/tousu/show/id/1350998","马上消费金融，暴力催收，群发短信，恐吓催收")</f>
        <v>马上消费金融，暴力催收，群发短信，恐吓催收</v>
      </c>
      <c r="C19059" s="2" t="s">
        <v>9</v>
      </c>
      <c r="D19059" s="2" t="s">
        <v>10</v>
      </c>
      <c r="E19059" s="2" t="str">
        <f>HYPERLINK("http://ts.21cn.com/tousu/show/id/1350998","http://ts.21cn.com/tousu/show/id/1350998")</f>
        <v>http://ts.21cn.com/tousu/show/id/1350998</v>
      </c>
      <c r="F19059" s="2" t="s">
        <v>11</v>
      </c>
      <c r="G19059" s="2" t="s">
        <v>6700</v>
      </c>
      <c r="H19059" s="2" t="s">
        <v>6701</v>
      </c>
    </row>
    <row r="19060" spans="1:8" ht="25.05" customHeight="1" x14ac:dyDescent="0.25">
      <c r="A19060" s="2" t="s">
        <v>8</v>
      </c>
      <c r="B19060" s="2" t="str">
        <f>HYPERLINK("http://ts.21cn.com/tousu/show/id/1350999","电话骚扰十来分钟，打一个电话")</f>
        <v>电话骚扰十来分钟，打一个电话</v>
      </c>
      <c r="C19060" s="2" t="s">
        <v>9</v>
      </c>
      <c r="D19060" s="2" t="s">
        <v>10</v>
      </c>
      <c r="E19060" s="2" t="str">
        <f>HYPERLINK("http://ts.21cn.com/tousu/show/id/1350999","http://ts.21cn.com/tousu/show/id/1350999")</f>
        <v>http://ts.21cn.com/tousu/show/id/1350999</v>
      </c>
      <c r="F19060" s="2" t="s">
        <v>11</v>
      </c>
      <c r="G19060" s="2" t="s">
        <v>6698</v>
      </c>
      <c r="H19060" s="2" t="s">
        <v>6699</v>
      </c>
    </row>
    <row r="19061" spans="1:8" ht="25.05" customHeight="1" x14ac:dyDescent="0.25">
      <c r="A19061" s="2" t="s">
        <v>8</v>
      </c>
      <c r="B19061" s="2" t="str">
        <f>HYPERLINK("http://ts.21cn.com/tousu/show/id/1351000","友信信贷高利贷、套路贷、到款金额与合同金额不符、砍头息")</f>
        <v>友信信贷高利贷、套路贷、到款金额与合同金额不符、砍头息</v>
      </c>
      <c r="C19061" s="2" t="s">
        <v>9</v>
      </c>
      <c r="D19061" s="2" t="s">
        <v>10</v>
      </c>
      <c r="E19061" s="2" t="str">
        <f>HYPERLINK("http://ts.21cn.com/tousu/show/id/1351000","http://ts.21cn.com/tousu/show/id/1351000")</f>
        <v>http://ts.21cn.com/tousu/show/id/1351000</v>
      </c>
      <c r="F19061" s="2" t="s">
        <v>11</v>
      </c>
      <c r="G19061" s="2" t="s">
        <v>6696</v>
      </c>
      <c r="H19061" s="2" t="s">
        <v>6697</v>
      </c>
    </row>
    <row r="19062" spans="1:8" ht="25.05" customHeight="1" x14ac:dyDescent="0.25">
      <c r="A19062" s="2" t="s">
        <v>8</v>
      </c>
      <c r="B19062" s="2" t="str">
        <f>HYPERLINK("http://ts.21cn.com/tousu/show/id/1351001","提供违法支付通道")</f>
        <v>提供违法支付通道</v>
      </c>
      <c r="C19062" s="2" t="s">
        <v>9</v>
      </c>
      <c r="D19062" s="2" t="s">
        <v>10</v>
      </c>
      <c r="E19062" s="2" t="str">
        <f>HYPERLINK("http://ts.21cn.com/tousu/show/id/1351001","http://ts.21cn.com/tousu/show/id/1351001")</f>
        <v>http://ts.21cn.com/tousu/show/id/1351001</v>
      </c>
      <c r="F19062" s="2" t="s">
        <v>11</v>
      </c>
      <c r="G19062" s="2" t="s">
        <v>6694</v>
      </c>
      <c r="H19062" s="2" t="s">
        <v>6695</v>
      </c>
    </row>
    <row r="19063" spans="1:8" ht="25.05" customHeight="1" x14ac:dyDescent="0.25">
      <c r="A19063" s="2" t="s">
        <v>8</v>
      </c>
      <c r="B19063" s="2" t="str">
        <f>HYPERLINK("http://ts.21cn.com/tousu/show/id/1351002","申请过延期，逾期两天一直爆打电话，威胁恐吓曝光信息")</f>
        <v>申请过延期，逾期两天一直爆打电话，威胁恐吓曝光信息</v>
      </c>
      <c r="C19063" s="2" t="s">
        <v>9</v>
      </c>
      <c r="D19063" s="2" t="s">
        <v>10</v>
      </c>
      <c r="E19063" s="2" t="str">
        <f>HYPERLINK("http://ts.21cn.com/tousu/show/id/1351002","http://ts.21cn.com/tousu/show/id/1351002")</f>
        <v>http://ts.21cn.com/tousu/show/id/1351002</v>
      </c>
      <c r="F19063" s="2" t="s">
        <v>11</v>
      </c>
      <c r="G19063" s="2" t="s">
        <v>6692</v>
      </c>
      <c r="H19063" s="2" t="s">
        <v>6693</v>
      </c>
    </row>
    <row r="19064" spans="1:8" ht="25.05" customHeight="1" x14ac:dyDescent="0.25">
      <c r="A19064" s="2" t="s">
        <v>8</v>
      </c>
      <c r="B19064" s="2" t="str">
        <f>HYPERLINK("http://ts.21cn.com/tousu/show/id/1351003","我来贷逾期暴力征收")</f>
        <v>我来贷逾期暴力征收</v>
      </c>
      <c r="C19064" s="2" t="s">
        <v>9</v>
      </c>
      <c r="D19064" s="2" t="s">
        <v>10</v>
      </c>
      <c r="E19064" s="2" t="str">
        <f>HYPERLINK("http://ts.21cn.com/tousu/show/id/1351003","http://ts.21cn.com/tousu/show/id/1351003")</f>
        <v>http://ts.21cn.com/tousu/show/id/1351003</v>
      </c>
      <c r="F19064" s="2" t="s">
        <v>11</v>
      </c>
      <c r="G19064" s="2" t="s">
        <v>6690</v>
      </c>
      <c r="H19064" s="2" t="s">
        <v>6691</v>
      </c>
    </row>
    <row r="19065" spans="1:8" ht="25.05" customHeight="1" x14ac:dyDescent="0.25">
      <c r="A19065" s="2" t="s">
        <v>8</v>
      </c>
      <c r="B19065" s="2" t="str">
        <f>HYPERLINK("http://ts.21cn.com/tousu/show/id/1351005","北京恒昌催收恶意骚扰家人朋友")</f>
        <v>北京恒昌催收恶意骚扰家人朋友</v>
      </c>
      <c r="C19065" s="2" t="s">
        <v>9</v>
      </c>
      <c r="D19065" s="2" t="s">
        <v>10</v>
      </c>
      <c r="E19065" s="2" t="str">
        <f>HYPERLINK("http://ts.21cn.com/tousu/show/id/1351005","http://ts.21cn.com/tousu/show/id/1351005")</f>
        <v>http://ts.21cn.com/tousu/show/id/1351005</v>
      </c>
      <c r="F19065" s="2" t="s">
        <v>11</v>
      </c>
      <c r="G19065" s="2" t="s">
        <v>6688</v>
      </c>
      <c r="H19065" s="2" t="s">
        <v>6689</v>
      </c>
    </row>
    <row r="19066" spans="1:8" ht="25.05" customHeight="1" x14ac:dyDescent="0.25">
      <c r="A19066" s="2" t="s">
        <v>8</v>
      </c>
      <c r="B19066" s="2" t="str">
        <f>HYPERLINK("http://ts.21cn.com/tousu/show/id/1351004","退会")</f>
        <v>退会</v>
      </c>
      <c r="C19066" s="2" t="s">
        <v>34</v>
      </c>
      <c r="D19066" s="2" t="s">
        <v>10</v>
      </c>
      <c r="E19066" s="2" t="str">
        <f>HYPERLINK("http://ts.21cn.com/tousu/show/id/1351004","http://ts.21cn.com/tousu/show/id/1351004")</f>
        <v>http://ts.21cn.com/tousu/show/id/1351004</v>
      </c>
      <c r="F19066" s="2" t="s">
        <v>11</v>
      </c>
      <c r="G19066" s="2" t="s">
        <v>6686</v>
      </c>
      <c r="H19066" s="2" t="s">
        <v>6687</v>
      </c>
    </row>
    <row r="19067" spans="1:8" ht="25.05" customHeight="1" x14ac:dyDescent="0.25">
      <c r="A19067" s="2" t="s">
        <v>8</v>
      </c>
      <c r="B19067" s="2" t="str">
        <f>HYPERLINK("http://ts.21cn.com/tousu/show/id/1351006","白条分期不给退款")</f>
        <v>白条分期不给退款</v>
      </c>
      <c r="C19067" s="2" t="s">
        <v>9</v>
      </c>
      <c r="D19067" s="2" t="s">
        <v>10</v>
      </c>
      <c r="E19067" s="2" t="str">
        <f>HYPERLINK("http://ts.21cn.com/tousu/show/id/1351006","http://ts.21cn.com/tousu/show/id/1351006")</f>
        <v>http://ts.21cn.com/tousu/show/id/1351006</v>
      </c>
      <c r="F19067" s="2" t="s">
        <v>11</v>
      </c>
      <c r="G19067" s="2" t="s">
        <v>6684</v>
      </c>
      <c r="H19067" s="2" t="s">
        <v>6685</v>
      </c>
    </row>
    <row r="19068" spans="1:8" ht="25.05" customHeight="1" x14ac:dyDescent="0.25">
      <c r="A19068" s="2" t="s">
        <v>8</v>
      </c>
      <c r="B19068" s="2" t="str">
        <f>HYPERLINK("http://ts.21cn.com/tousu/show/id/1351008","厚钱包APP故障")</f>
        <v>厚钱包APP故障</v>
      </c>
      <c r="C19068" s="2" t="s">
        <v>9</v>
      </c>
      <c r="D19068" s="2" t="s">
        <v>10</v>
      </c>
      <c r="E19068" s="2" t="str">
        <f>HYPERLINK("http://ts.21cn.com/tousu/show/id/1351008","http://ts.21cn.com/tousu/show/id/1351008")</f>
        <v>http://ts.21cn.com/tousu/show/id/1351008</v>
      </c>
      <c r="F19068" s="2" t="s">
        <v>11</v>
      </c>
      <c r="G19068" s="2" t="s">
        <v>6682</v>
      </c>
      <c r="H19068" s="2" t="s">
        <v>6683</v>
      </c>
    </row>
    <row r="19069" spans="1:8" ht="25.05" customHeight="1" x14ac:dyDescent="0.25">
      <c r="A19069" s="2" t="s">
        <v>8</v>
      </c>
      <c r="B19069" s="2" t="str">
        <f>HYPERLINK("http://ts.21cn.com/tousu/show/id/1351009","电影订票")</f>
        <v>电影订票</v>
      </c>
      <c r="C19069" s="2" t="s">
        <v>34</v>
      </c>
      <c r="D19069" s="2" t="s">
        <v>10</v>
      </c>
      <c r="E19069" s="2" t="str">
        <f>HYPERLINK("http://ts.21cn.com/tousu/show/id/1351009","http://ts.21cn.com/tousu/show/id/1351009")</f>
        <v>http://ts.21cn.com/tousu/show/id/1351009</v>
      </c>
      <c r="F19069" s="2" t="s">
        <v>11</v>
      </c>
      <c r="G19069" s="2" t="s">
        <v>6680</v>
      </c>
      <c r="H19069" s="2" t="s">
        <v>6681</v>
      </c>
    </row>
    <row r="19070" spans="1:8" ht="25.05" customHeight="1" x14ac:dyDescent="0.25">
      <c r="A19070" s="2" t="s">
        <v>8</v>
      </c>
      <c r="B19070" s="2" t="str">
        <f>HYPERLINK("http://ts.21cn.com/tousu/show/id/1350599","微信etc设备问题激活不了，货物寄回不给注销，也不给退款")</f>
        <v>微信etc设备问题激活不了，货物寄回不给注销，也不给退款</v>
      </c>
      <c r="C19070" s="2" t="s">
        <v>9</v>
      </c>
      <c r="D19070" s="2" t="s">
        <v>10</v>
      </c>
      <c r="E19070" s="2" t="str">
        <f>HYPERLINK("http://ts.21cn.com/tousu/show/id/1350599","http://ts.21cn.com/tousu/show/id/1350599")</f>
        <v>http://ts.21cn.com/tousu/show/id/1350599</v>
      </c>
      <c r="F19070" s="2" t="s">
        <v>11</v>
      </c>
      <c r="G19070" s="2" t="s">
        <v>6678</v>
      </c>
      <c r="H19070" s="2" t="s">
        <v>6679</v>
      </c>
    </row>
    <row r="19071" spans="1:8" ht="25.05" customHeight="1" x14ac:dyDescent="0.25">
      <c r="A19071" s="2" t="s">
        <v>8</v>
      </c>
      <c r="B19071" s="2" t="str">
        <f>HYPERLINK("http://ts.21cn.com/tousu/show/id/1351012","有用分期暴力催收")</f>
        <v>有用分期暴力催收</v>
      </c>
      <c r="C19071" s="2" t="s">
        <v>9</v>
      </c>
      <c r="D19071" s="2" t="s">
        <v>10</v>
      </c>
      <c r="E19071" s="2" t="str">
        <f>HYPERLINK("http://ts.21cn.com/tousu/show/id/1351012","http://ts.21cn.com/tousu/show/id/1351012")</f>
        <v>http://ts.21cn.com/tousu/show/id/1351012</v>
      </c>
      <c r="F19071" s="2" t="s">
        <v>11</v>
      </c>
      <c r="G19071" s="2" t="s">
        <v>6676</v>
      </c>
      <c r="H19071" s="2" t="s">
        <v>6677</v>
      </c>
    </row>
    <row r="19072" spans="1:8" ht="25.05" customHeight="1" x14ac:dyDescent="0.25">
      <c r="A19072" s="2" t="s">
        <v>8</v>
      </c>
      <c r="B19072" s="2" t="str">
        <f>HYPERLINK("http://ts.21cn.com/tousu/show/id/1351010","欺诈乱扣费")</f>
        <v>欺诈乱扣费</v>
      </c>
      <c r="C19072" s="2" t="s">
        <v>9</v>
      </c>
      <c r="D19072" s="2" t="s">
        <v>10</v>
      </c>
      <c r="E19072" s="2" t="str">
        <f>HYPERLINK("http://ts.21cn.com/tousu/show/id/1351010","http://ts.21cn.com/tousu/show/id/1351010")</f>
        <v>http://ts.21cn.com/tousu/show/id/1351010</v>
      </c>
      <c r="F19072" s="2" t="s">
        <v>11</v>
      </c>
      <c r="G19072" s="2" t="s">
        <v>6674</v>
      </c>
      <c r="H19072" s="2" t="s">
        <v>6675</v>
      </c>
    </row>
    <row r="19073" spans="1:8" ht="25.05" customHeight="1" x14ac:dyDescent="0.25">
      <c r="A19073" s="2" t="s">
        <v>8</v>
      </c>
      <c r="B19073" s="2" t="str">
        <f>HYPERLINK("http://ts.21cn.com/tousu/show/id/1351011","苏宁暴力催收辱骂家人")</f>
        <v>苏宁暴力催收辱骂家人</v>
      </c>
      <c r="C19073" s="2" t="s">
        <v>9</v>
      </c>
      <c r="D19073" s="2" t="s">
        <v>10</v>
      </c>
      <c r="E19073" s="2" t="str">
        <f>HYPERLINK("http://ts.21cn.com/tousu/show/id/1351011","http://ts.21cn.com/tousu/show/id/1351011")</f>
        <v>http://ts.21cn.com/tousu/show/id/1351011</v>
      </c>
      <c r="F19073" s="2" t="s">
        <v>11</v>
      </c>
      <c r="G19073" s="2" t="s">
        <v>6672</v>
      </c>
      <c r="H19073" s="2" t="s">
        <v>6673</v>
      </c>
    </row>
    <row r="19074" spans="1:8" ht="25.05" customHeight="1" x14ac:dyDescent="0.25">
      <c r="A19074" s="2" t="s">
        <v>8</v>
      </c>
      <c r="B19074" s="2" t="str">
        <f>HYPERLINK("http://ts.21cn.com/tousu/show/id/1351013","马上金融暴力催收威胁恐吓")</f>
        <v>马上金融暴力催收威胁恐吓</v>
      </c>
      <c r="C19074" s="2" t="s">
        <v>9</v>
      </c>
      <c r="D19074" s="2" t="s">
        <v>10</v>
      </c>
      <c r="E19074" s="2" t="str">
        <f>HYPERLINK("http://ts.21cn.com/tousu/show/id/1351013","http://ts.21cn.com/tousu/show/id/1351013")</f>
        <v>http://ts.21cn.com/tousu/show/id/1351013</v>
      </c>
      <c r="F19074" s="2" t="s">
        <v>11</v>
      </c>
      <c r="G19074" s="2" t="s">
        <v>6670</v>
      </c>
      <c r="H19074" s="2" t="s">
        <v>6671</v>
      </c>
    </row>
    <row r="19075" spans="1:8" ht="25.05" customHeight="1" x14ac:dyDescent="0.25">
      <c r="A19075" s="2" t="s">
        <v>8</v>
      </c>
      <c r="B19075" s="2" t="str">
        <f>HYPERLINK("http://ts.21cn.com/tousu/show/id/1351014","该公司为境外网络博彩提供聊天工具")</f>
        <v>该公司为境外网络博彩提供聊天工具</v>
      </c>
      <c r="C19075" s="2" t="s">
        <v>9</v>
      </c>
      <c r="D19075" s="2" t="s">
        <v>10</v>
      </c>
      <c r="E19075" s="2" t="str">
        <f>HYPERLINK("http://ts.21cn.com/tousu/show/id/1351014","http://ts.21cn.com/tousu/show/id/1351014")</f>
        <v>http://ts.21cn.com/tousu/show/id/1351014</v>
      </c>
      <c r="F19075" s="2" t="s">
        <v>11</v>
      </c>
      <c r="G19075" s="2" t="s">
        <v>6668</v>
      </c>
      <c r="H19075" s="2" t="s">
        <v>6669</v>
      </c>
    </row>
    <row r="19076" spans="1:8" ht="25.05" customHeight="1" x14ac:dyDescent="0.25">
      <c r="A19076" s="2" t="s">
        <v>8</v>
      </c>
      <c r="B19076" s="2" t="str">
        <f>HYPERLINK("http://ts.21cn.com/tousu/show/id/1351015","哒哒英语")</f>
        <v>哒哒英语</v>
      </c>
      <c r="C19076" s="2" t="s">
        <v>9</v>
      </c>
      <c r="D19076" s="2" t="s">
        <v>10</v>
      </c>
      <c r="E19076" s="2" t="str">
        <f>HYPERLINK("http://ts.21cn.com/tousu/show/id/1351015","http://ts.21cn.com/tousu/show/id/1351015")</f>
        <v>http://ts.21cn.com/tousu/show/id/1351015</v>
      </c>
      <c r="F19076" s="2" t="s">
        <v>11</v>
      </c>
      <c r="G19076" s="2" t="s">
        <v>6666</v>
      </c>
      <c r="H19076" s="2" t="s">
        <v>6667</v>
      </c>
    </row>
    <row r="19077" spans="1:8" ht="25.05" customHeight="1" x14ac:dyDescent="0.25">
      <c r="A19077" s="2" t="s">
        <v>8</v>
      </c>
      <c r="B19077" s="2" t="str">
        <f>HYPERLINK("http://ts.21cn.com/tousu/show/id/1350589","招联群发假消息暴力催收")</f>
        <v>招联群发假消息暴力催收</v>
      </c>
      <c r="C19077" s="2" t="s">
        <v>9</v>
      </c>
      <c r="D19077" s="2" t="s">
        <v>10</v>
      </c>
      <c r="E19077" s="2" t="str">
        <f>HYPERLINK("http://ts.21cn.com/tousu/show/id/1350589","http://ts.21cn.com/tousu/show/id/1350589")</f>
        <v>http://ts.21cn.com/tousu/show/id/1350589</v>
      </c>
      <c r="F19077" s="2" t="s">
        <v>11</v>
      </c>
      <c r="G19077" s="2" t="s">
        <v>6664</v>
      </c>
      <c r="H19077" s="2" t="s">
        <v>6665</v>
      </c>
    </row>
    <row r="19078" spans="1:8" ht="25.05" customHeight="1" x14ac:dyDescent="0.25">
      <c r="A19078" s="2" t="s">
        <v>8</v>
      </c>
      <c r="B19078" s="2" t="str">
        <f>HYPERLINK("http://ts.21cn.com/tousu/show/id/1351017","平安普惠贷款隐瞒隐藏并强制收取高额保险费管理费投诉事宜")</f>
        <v>平安普惠贷款隐瞒隐藏并强制收取高额保险费管理费投诉事宜</v>
      </c>
      <c r="C19078" s="2" t="s">
        <v>9</v>
      </c>
      <c r="D19078" s="2" t="s">
        <v>10</v>
      </c>
      <c r="E19078" s="2" t="str">
        <f>HYPERLINK("http://ts.21cn.com/tousu/show/id/1351017","http://ts.21cn.com/tousu/show/id/1351017")</f>
        <v>http://ts.21cn.com/tousu/show/id/1351017</v>
      </c>
      <c r="F19078" s="2" t="s">
        <v>11</v>
      </c>
      <c r="G19078" s="2" t="s">
        <v>6662</v>
      </c>
      <c r="H19078" s="2" t="s">
        <v>6663</v>
      </c>
    </row>
    <row r="19079" spans="1:8" ht="25.05" customHeight="1" x14ac:dyDescent="0.25">
      <c r="A19079" s="2" t="s">
        <v>8</v>
      </c>
      <c r="B19079" s="2" t="str">
        <f>HYPERLINK("http://ts.21cn.com/tousu/show/id/1351019","退钱！！！黑心商家易融云商")</f>
        <v>退钱！！！黑心商家易融云商</v>
      </c>
      <c r="C19079" s="2" t="s">
        <v>9</v>
      </c>
      <c r="D19079" s="2" t="s">
        <v>10</v>
      </c>
      <c r="E19079" s="2" t="str">
        <f>HYPERLINK("http://ts.21cn.com/tousu/show/id/1351019","http://ts.21cn.com/tousu/show/id/1351019")</f>
        <v>http://ts.21cn.com/tousu/show/id/1351019</v>
      </c>
      <c r="F19079" s="2" t="s">
        <v>11</v>
      </c>
      <c r="G19079" s="2" t="s">
        <v>6660</v>
      </c>
      <c r="H19079" s="2" t="s">
        <v>6661</v>
      </c>
    </row>
    <row r="19080" spans="1:8" ht="25.05" customHeight="1" x14ac:dyDescent="0.25">
      <c r="A19080" s="2" t="s">
        <v>8</v>
      </c>
      <c r="B19080" s="2" t="str">
        <f>HYPERLINK("http://ts.21cn.com/tousu/show/id/1351020","唯品金融")</f>
        <v>唯品金融</v>
      </c>
      <c r="C19080" s="2" t="s">
        <v>9</v>
      </c>
      <c r="D19080" s="2" t="s">
        <v>10</v>
      </c>
      <c r="E19080" s="2" t="str">
        <f>HYPERLINK("http://ts.21cn.com/tousu/show/id/1351020","http://ts.21cn.com/tousu/show/id/1351020")</f>
        <v>http://ts.21cn.com/tousu/show/id/1351020</v>
      </c>
      <c r="F19080" s="2" t="s">
        <v>11</v>
      </c>
      <c r="G19080" s="2" t="s">
        <v>6658</v>
      </c>
      <c r="H19080" s="2" t="s">
        <v>6659</v>
      </c>
    </row>
    <row r="19081" spans="1:8" ht="25.05" customHeight="1" x14ac:dyDescent="0.25">
      <c r="A19081" s="2" t="s">
        <v>8</v>
      </c>
      <c r="B19081" s="2" t="str">
        <f>HYPERLINK("http://ts.21cn.com/tousu/show/id/1351022","微信商家收款码无法提现")</f>
        <v>微信商家收款码无法提现</v>
      </c>
      <c r="C19081" s="2" t="s">
        <v>9</v>
      </c>
      <c r="D19081" s="2" t="s">
        <v>10</v>
      </c>
      <c r="E19081" s="2" t="str">
        <f>HYPERLINK("http://ts.21cn.com/tousu/show/id/1351022","http://ts.21cn.com/tousu/show/id/1351022")</f>
        <v>http://ts.21cn.com/tousu/show/id/1351022</v>
      </c>
      <c r="F19081" s="2" t="s">
        <v>11</v>
      </c>
      <c r="G19081" s="2" t="s">
        <v>6656</v>
      </c>
      <c r="H19081" s="2" t="s">
        <v>6657</v>
      </c>
    </row>
    <row r="19082" spans="1:8" ht="25.05" customHeight="1" x14ac:dyDescent="0.25">
      <c r="A19082" s="2" t="s">
        <v>8</v>
      </c>
      <c r="B19082" s="2" t="str">
        <f>HYPERLINK("http://ts.21cn.com/tousu/show/id/1343977","退还强制扣出的评估费，按照合同上的金额还款")</f>
        <v>退还强制扣出的评估费，按照合同上的金额还款</v>
      </c>
      <c r="C19082" s="2" t="s">
        <v>9</v>
      </c>
      <c r="D19082" s="2" t="s">
        <v>10</v>
      </c>
      <c r="E19082" s="2" t="str">
        <f>HYPERLINK("http://ts.21cn.com/tousu/show/id/1343977","http://ts.21cn.com/tousu/show/id/1343977")</f>
        <v>http://ts.21cn.com/tousu/show/id/1343977</v>
      </c>
      <c r="F19082" s="2" t="s">
        <v>11</v>
      </c>
      <c r="G19082" s="2" t="s">
        <v>6654</v>
      </c>
      <c r="H19082" s="2" t="s">
        <v>6655</v>
      </c>
    </row>
    <row r="19083" spans="1:8" ht="25.05" customHeight="1" x14ac:dyDescent="0.25">
      <c r="A19083" s="2" t="s">
        <v>8</v>
      </c>
      <c r="B19083" s="2" t="str">
        <f>HYPERLINK("http://ts.21cn.com/tousu/show/id/1351029","京东白条暴力催收，辱骂")</f>
        <v>京东白条暴力催收，辱骂</v>
      </c>
      <c r="C19083" s="2" t="s">
        <v>9</v>
      </c>
      <c r="D19083" s="2" t="s">
        <v>10</v>
      </c>
      <c r="E19083" s="2" t="str">
        <f>HYPERLINK("http://ts.21cn.com/tousu/show/id/1351029","http://ts.21cn.com/tousu/show/id/1351029")</f>
        <v>http://ts.21cn.com/tousu/show/id/1351029</v>
      </c>
      <c r="F19083" s="2" t="s">
        <v>11</v>
      </c>
      <c r="G19083" s="2" t="s">
        <v>6652</v>
      </c>
      <c r="H19083" s="2" t="s">
        <v>6653</v>
      </c>
    </row>
    <row r="19084" spans="1:8" ht="25.05" customHeight="1" x14ac:dyDescent="0.25">
      <c r="A19084" s="2" t="s">
        <v>8</v>
      </c>
      <c r="B19084" s="2" t="str">
        <f>HYPERLINK("http://ts.21cn.com/tousu/show/id/1351026","协商还款，还再次骚扰我家里人")</f>
        <v>协商还款，还再次骚扰我家里人</v>
      </c>
      <c r="C19084" s="2" t="s">
        <v>9</v>
      </c>
      <c r="D19084" s="2" t="s">
        <v>10</v>
      </c>
      <c r="E19084" s="2" t="str">
        <f>HYPERLINK("http://ts.21cn.com/tousu/show/id/1351026","http://ts.21cn.com/tousu/show/id/1351026")</f>
        <v>http://ts.21cn.com/tousu/show/id/1351026</v>
      </c>
      <c r="F19084" s="2" t="s">
        <v>11</v>
      </c>
      <c r="G19084" s="2" t="s">
        <v>6650</v>
      </c>
      <c r="H19084" s="2" t="s">
        <v>6651</v>
      </c>
    </row>
    <row r="19085" spans="1:8" ht="25.05" customHeight="1" x14ac:dyDescent="0.25">
      <c r="A19085" s="2" t="s">
        <v>8</v>
      </c>
      <c r="B19085" s="2" t="str">
        <f>HYPERLINK("http://ts.21cn.com/tousu/show/id/1351027","淘宝商家售后不处理")</f>
        <v>淘宝商家售后不处理</v>
      </c>
      <c r="C19085" s="2" t="s">
        <v>9</v>
      </c>
      <c r="D19085" s="2" t="s">
        <v>10</v>
      </c>
      <c r="E19085" s="2" t="str">
        <f>HYPERLINK("http://ts.21cn.com/tousu/show/id/1351027","http://ts.21cn.com/tousu/show/id/1351027")</f>
        <v>http://ts.21cn.com/tousu/show/id/1351027</v>
      </c>
      <c r="F19085" s="2" t="s">
        <v>11</v>
      </c>
      <c r="G19085" s="2" t="s">
        <v>6648</v>
      </c>
      <c r="H19085" s="2" t="s">
        <v>6649</v>
      </c>
    </row>
    <row r="19086" spans="1:8" ht="25.05" customHeight="1" x14ac:dyDescent="0.25">
      <c r="A19086" s="2" t="s">
        <v>8</v>
      </c>
      <c r="B19086" s="2" t="str">
        <f>HYPERLINK("http://ts.21cn.com/tousu/show/id/1351028","有用分期持续骚扰")</f>
        <v>有用分期持续骚扰</v>
      </c>
      <c r="C19086" s="2" t="s">
        <v>9</v>
      </c>
      <c r="D19086" s="2" t="s">
        <v>10</v>
      </c>
      <c r="E19086" s="2" t="str">
        <f>HYPERLINK("http://ts.21cn.com/tousu/show/id/1351028","http://ts.21cn.com/tousu/show/id/1351028")</f>
        <v>http://ts.21cn.com/tousu/show/id/1351028</v>
      </c>
      <c r="F19086" s="2" t="s">
        <v>11</v>
      </c>
      <c r="G19086" s="2" t="s">
        <v>6646</v>
      </c>
      <c r="H19086" s="2" t="s">
        <v>6647</v>
      </c>
    </row>
    <row r="19087" spans="1:8" ht="25.05" customHeight="1" x14ac:dyDescent="0.25">
      <c r="A19087" s="2" t="s">
        <v>8</v>
      </c>
      <c r="B19087" s="2" t="str">
        <f>HYPERLINK("http://ts.21cn.com/tousu/show/id/1351030","客服态度非常不好")</f>
        <v>客服态度非常不好</v>
      </c>
      <c r="C19087" s="2" t="s">
        <v>9</v>
      </c>
      <c r="D19087" s="2" t="s">
        <v>10</v>
      </c>
      <c r="E19087" s="2" t="str">
        <f>HYPERLINK("http://ts.21cn.com/tousu/show/id/1351030","http://ts.21cn.com/tousu/show/id/1351030")</f>
        <v>http://ts.21cn.com/tousu/show/id/1351030</v>
      </c>
      <c r="F19087" s="2" t="s">
        <v>11</v>
      </c>
      <c r="G19087" s="2" t="s">
        <v>6644</v>
      </c>
      <c r="H19087" s="2" t="s">
        <v>6645</v>
      </c>
    </row>
    <row r="19088" spans="1:8" ht="25.05" customHeight="1" x14ac:dyDescent="0.25">
      <c r="A19088" s="2" t="s">
        <v>8</v>
      </c>
      <c r="B19088" s="2" t="str">
        <f>HYPERLINK("http://ts.21cn.com/tousu/show/id/1351031","美团客服推卸责任，擅自修改活动内容")</f>
        <v>美团客服推卸责任，擅自修改活动内容</v>
      </c>
      <c r="C19088" s="2" t="s">
        <v>9</v>
      </c>
      <c r="D19088" s="2" t="s">
        <v>10</v>
      </c>
      <c r="E19088" s="2" t="str">
        <f>HYPERLINK("http://ts.21cn.com/tousu/show/id/1351031","http://ts.21cn.com/tousu/show/id/1351031")</f>
        <v>http://ts.21cn.com/tousu/show/id/1351031</v>
      </c>
      <c r="F19088" s="2" t="s">
        <v>11</v>
      </c>
      <c r="G19088" s="2" t="s">
        <v>6642</v>
      </c>
      <c r="H19088" s="2" t="s">
        <v>6643</v>
      </c>
    </row>
    <row r="19089" spans="1:8" ht="25.05" customHeight="1" x14ac:dyDescent="0.25">
      <c r="A19089" s="2" t="s">
        <v>8</v>
      </c>
      <c r="B19089" s="2" t="str">
        <f>HYPERLINK("http://ts.21cn.com/tousu/show/id/1351033","中信银行催收骚扰家人同事")</f>
        <v>中信银行催收骚扰家人同事</v>
      </c>
      <c r="C19089" s="2" t="s">
        <v>9</v>
      </c>
      <c r="D19089" s="2" t="s">
        <v>10</v>
      </c>
      <c r="E19089" s="2" t="str">
        <f>HYPERLINK("http://ts.21cn.com/tousu/show/id/1351033","http://ts.21cn.com/tousu/show/id/1351033")</f>
        <v>http://ts.21cn.com/tousu/show/id/1351033</v>
      </c>
      <c r="F19089" s="2" t="s">
        <v>11</v>
      </c>
      <c r="G19089" s="2" t="s">
        <v>6640</v>
      </c>
      <c r="H19089" s="2" t="s">
        <v>6641</v>
      </c>
    </row>
    <row r="19090" spans="1:8" ht="25.05" customHeight="1" x14ac:dyDescent="0.25">
      <c r="A19090" s="2" t="s">
        <v>8</v>
      </c>
      <c r="B19090" s="2" t="str">
        <f>HYPERLINK("http://ts.21cn.com/tousu/show/id/1351034","OPPOR9SPLUS大规模无限重启变砖")</f>
        <v>OPPOR9SPLUS大规模无限重启变砖</v>
      </c>
      <c r="C19090" s="2" t="s">
        <v>34</v>
      </c>
      <c r="D19090" s="2" t="s">
        <v>10</v>
      </c>
      <c r="E19090" s="2" t="str">
        <f>HYPERLINK("http://ts.21cn.com/tousu/show/id/1351034","http://ts.21cn.com/tousu/show/id/1351034")</f>
        <v>http://ts.21cn.com/tousu/show/id/1351034</v>
      </c>
      <c r="F19090" s="2" t="s">
        <v>11</v>
      </c>
      <c r="G19090" s="2" t="s">
        <v>6638</v>
      </c>
      <c r="H19090" s="2" t="s">
        <v>6639</v>
      </c>
    </row>
    <row r="19091" spans="1:8" ht="25.05" customHeight="1" x14ac:dyDescent="0.25">
      <c r="A19091" s="2" t="s">
        <v>8</v>
      </c>
      <c r="B19091" s="2" t="str">
        <f>HYPERLINK("http://ts.21cn.com/tousu/show/id/1351035","超级高利贷")</f>
        <v>超级高利贷</v>
      </c>
      <c r="C19091" s="2" t="s">
        <v>9</v>
      </c>
      <c r="D19091" s="2" t="s">
        <v>10</v>
      </c>
      <c r="E19091" s="2" t="str">
        <f>HYPERLINK("http://ts.21cn.com/tousu/show/id/1351035","http://ts.21cn.com/tousu/show/id/1351035")</f>
        <v>http://ts.21cn.com/tousu/show/id/1351035</v>
      </c>
      <c r="F19091" s="2" t="s">
        <v>11</v>
      </c>
      <c r="G19091" s="2" t="s">
        <v>6636</v>
      </c>
      <c r="H19091" s="2" t="s">
        <v>6637</v>
      </c>
    </row>
    <row r="19092" spans="1:8" ht="25.05" customHeight="1" x14ac:dyDescent="0.25">
      <c r="A19092" s="2" t="s">
        <v>8</v>
      </c>
      <c r="B19092" s="2" t="str">
        <f>HYPERLINK("http://ts.21cn.com/tousu/show/id/1351037","小花钱包暴力催收恐吓")</f>
        <v>小花钱包暴力催收恐吓</v>
      </c>
      <c r="C19092" s="2" t="s">
        <v>9</v>
      </c>
      <c r="D19092" s="2" t="s">
        <v>10</v>
      </c>
      <c r="E19092" s="2" t="str">
        <f>HYPERLINK("http://ts.21cn.com/tousu/show/id/1351037","http://ts.21cn.com/tousu/show/id/1351037")</f>
        <v>http://ts.21cn.com/tousu/show/id/1351037</v>
      </c>
      <c r="F19092" s="2" t="s">
        <v>11</v>
      </c>
      <c r="G19092" s="2" t="s">
        <v>6634</v>
      </c>
      <c r="H19092" s="2" t="s">
        <v>6635</v>
      </c>
    </row>
    <row r="19093" spans="1:8" ht="25.05" customHeight="1" x14ac:dyDescent="0.25">
      <c r="A19093" s="2" t="s">
        <v>8</v>
      </c>
      <c r="B19093" s="2" t="str">
        <f>HYPERLINK("http://ts.21cn.com/tousu/show/id/1351039","360借条暴力催收！没联系本人直接乱联系通信录亲友")</f>
        <v>360借条暴力催收！没联系本人直接乱联系通信录亲友</v>
      </c>
      <c r="C19093" s="2" t="s">
        <v>9</v>
      </c>
      <c r="D19093" s="2" t="s">
        <v>10</v>
      </c>
      <c r="E19093" s="2" t="str">
        <f>HYPERLINK("http://ts.21cn.com/tousu/show/id/1351039","http://ts.21cn.com/tousu/show/id/1351039")</f>
        <v>http://ts.21cn.com/tousu/show/id/1351039</v>
      </c>
      <c r="F19093" s="2" t="s">
        <v>11</v>
      </c>
      <c r="G19093" s="2" t="s">
        <v>6632</v>
      </c>
      <c r="H19093" s="2" t="s">
        <v>6633</v>
      </c>
    </row>
    <row r="19094" spans="1:8" ht="25.05" customHeight="1" x14ac:dyDescent="0.25">
      <c r="A19094" s="2" t="s">
        <v>8</v>
      </c>
      <c r="B19094" s="2" t="str">
        <f>HYPERLINK("http://ts.21cn.com/tousu/show/id/1351038","美利车")</f>
        <v>美利车</v>
      </c>
      <c r="C19094" s="2" t="s">
        <v>9</v>
      </c>
      <c r="D19094" s="2" t="s">
        <v>10</v>
      </c>
      <c r="E19094" s="2" t="str">
        <f>HYPERLINK("http://ts.21cn.com/tousu/show/id/1351038","http://ts.21cn.com/tousu/show/id/1351038")</f>
        <v>http://ts.21cn.com/tousu/show/id/1351038</v>
      </c>
      <c r="F19094" s="2" t="s">
        <v>11</v>
      </c>
      <c r="G19094" s="2" t="s">
        <v>6630</v>
      </c>
      <c r="H19094" s="2" t="s">
        <v>6631</v>
      </c>
    </row>
    <row r="19095" spans="1:8" ht="25.05" customHeight="1" x14ac:dyDescent="0.25">
      <c r="A19095" s="2" t="s">
        <v>8</v>
      </c>
      <c r="B19095" s="2" t="str">
        <f>HYPERLINK("http://ts.21cn.com/tousu/show/id/1351040","业务员给我刷了298退不了")</f>
        <v>业务员给我刷了298退不了</v>
      </c>
      <c r="C19095" s="2" t="s">
        <v>9</v>
      </c>
      <c r="D19095" s="2" t="s">
        <v>10</v>
      </c>
      <c r="E19095" s="2" t="str">
        <f>HYPERLINK("http://ts.21cn.com/tousu/show/id/1351040","http://ts.21cn.com/tousu/show/id/1351040")</f>
        <v>http://ts.21cn.com/tousu/show/id/1351040</v>
      </c>
      <c r="F19095" s="2" t="s">
        <v>11</v>
      </c>
      <c r="G19095" s="2" t="s">
        <v>6628</v>
      </c>
      <c r="H19095" s="2" t="s">
        <v>6629</v>
      </c>
    </row>
    <row r="19096" spans="1:8" ht="25.05" customHeight="1" x14ac:dyDescent="0.25">
      <c r="A19096" s="2" t="s">
        <v>8</v>
      </c>
      <c r="B19096" s="2" t="str">
        <f>HYPERLINK("http://ts.21cn.com/tousu/show/id/1351041","闪电借款高利贷，退还砍头息")</f>
        <v>闪电借款高利贷，退还砍头息</v>
      </c>
      <c r="C19096" s="2" t="s">
        <v>9</v>
      </c>
      <c r="D19096" s="2" t="s">
        <v>10</v>
      </c>
      <c r="E19096" s="2" t="str">
        <f>HYPERLINK("http://ts.21cn.com/tousu/show/id/1351041","http://ts.21cn.com/tousu/show/id/1351041")</f>
        <v>http://ts.21cn.com/tousu/show/id/1351041</v>
      </c>
      <c r="F19096" s="2" t="s">
        <v>11</v>
      </c>
      <c r="G19096" s="2" t="s">
        <v>6626</v>
      </c>
      <c r="H19096" s="2" t="s">
        <v>6627</v>
      </c>
    </row>
    <row r="19097" spans="1:8" ht="25.05" customHeight="1" x14ac:dyDescent="0.25">
      <c r="A19097" s="2" t="s">
        <v>8</v>
      </c>
      <c r="B19097" s="2" t="str">
        <f>HYPERLINK("http://ts.21cn.com/tousu/show/id/1351042","退钱！！！黑网贷平台乱收费")</f>
        <v>退钱！！！黑网贷平台乱收费</v>
      </c>
      <c r="C19097" s="2" t="s">
        <v>9</v>
      </c>
      <c r="D19097" s="2" t="s">
        <v>10</v>
      </c>
      <c r="E19097" s="2" t="str">
        <f>HYPERLINK("http://ts.21cn.com/tousu/show/id/1351042","http://ts.21cn.com/tousu/show/id/1351042")</f>
        <v>http://ts.21cn.com/tousu/show/id/1351042</v>
      </c>
      <c r="F19097" s="2" t="s">
        <v>11</v>
      </c>
      <c r="G19097" s="2" t="s">
        <v>6624</v>
      </c>
      <c r="H19097" s="2" t="s">
        <v>6625</v>
      </c>
    </row>
    <row r="19098" spans="1:8" ht="25.05" customHeight="1" x14ac:dyDescent="0.25">
      <c r="A19098" s="2" t="s">
        <v>8</v>
      </c>
      <c r="B19098" s="2" t="str">
        <f>HYPERLINK("http://ts.21cn.com/tousu/show/id/1351044","暴力催收，协商还款不同意")</f>
        <v>暴力催收，协商还款不同意</v>
      </c>
      <c r="C19098" s="2" t="s">
        <v>9</v>
      </c>
      <c r="D19098" s="2" t="s">
        <v>10</v>
      </c>
      <c r="E19098" s="2" t="str">
        <f>HYPERLINK("http://ts.21cn.com/tousu/show/id/1351044","http://ts.21cn.com/tousu/show/id/1351044")</f>
        <v>http://ts.21cn.com/tousu/show/id/1351044</v>
      </c>
      <c r="F19098" s="2" t="s">
        <v>11</v>
      </c>
      <c r="G19098" s="2" t="s">
        <v>6622</v>
      </c>
      <c r="H19098" s="2" t="s">
        <v>6623</v>
      </c>
    </row>
    <row r="19099" spans="1:8" ht="25.05" customHeight="1" x14ac:dyDescent="0.25">
      <c r="A19099" s="2" t="s">
        <v>8</v>
      </c>
      <c r="B19099" s="2" t="str">
        <f>HYPERLINK("http://ts.21cn.com/tousu/show/id/1350920","使用超盟金服收款码被冻结，乐刷不给结算。")</f>
        <v>使用超盟金服收款码被冻结，乐刷不给结算。</v>
      </c>
      <c r="C19099" s="2" t="s">
        <v>9</v>
      </c>
      <c r="D19099" s="2" t="s">
        <v>10</v>
      </c>
      <c r="E19099" s="2" t="str">
        <f>HYPERLINK("http://ts.21cn.com/tousu/show/id/1350920","http://ts.21cn.com/tousu/show/id/1350920")</f>
        <v>http://ts.21cn.com/tousu/show/id/1350920</v>
      </c>
      <c r="F19099" s="2" t="s">
        <v>11</v>
      </c>
      <c r="G19099" s="2" t="s">
        <v>6620</v>
      </c>
      <c r="H19099" s="2" t="s">
        <v>6621</v>
      </c>
    </row>
    <row r="19100" spans="1:8" ht="25.05" customHeight="1" x14ac:dyDescent="0.25">
      <c r="A19100" s="2" t="s">
        <v>8</v>
      </c>
      <c r="B19100" s="2" t="str">
        <f>HYPERLINK("http://ts.21cn.com/tousu/show/id/1351045","百事普惠恶意扣款")</f>
        <v>百事普惠恶意扣款</v>
      </c>
      <c r="C19100" s="2" t="s">
        <v>9</v>
      </c>
      <c r="D19100" s="2" t="s">
        <v>10</v>
      </c>
      <c r="E19100" s="2" t="str">
        <f>HYPERLINK("http://ts.21cn.com/tousu/show/id/1351045","http://ts.21cn.com/tousu/show/id/1351045")</f>
        <v>http://ts.21cn.com/tousu/show/id/1351045</v>
      </c>
      <c r="F19100" s="2" t="s">
        <v>11</v>
      </c>
      <c r="G19100" s="2" t="s">
        <v>6618</v>
      </c>
      <c r="H19100" s="2" t="s">
        <v>6619</v>
      </c>
    </row>
    <row r="19101" spans="1:8" ht="25.05" customHeight="1" x14ac:dyDescent="0.25">
      <c r="A19101" s="2" t="s">
        <v>8</v>
      </c>
      <c r="B19101" s="2" t="str">
        <f>HYPERLINK("http://ts.21cn.com/tousu/show/id/1351046","要求碧桂园退还我5万元优惠和楼层保留的款，当时说为保留优惠交的，如不买可以退")</f>
        <v>要求碧桂园退还我5万元优惠和楼层保留的款，当时说为保留优惠交的，如不买可以退</v>
      </c>
      <c r="C19101" s="2" t="s">
        <v>9</v>
      </c>
      <c r="D19101" s="2" t="s">
        <v>10</v>
      </c>
      <c r="E19101" s="2" t="str">
        <f>HYPERLINK("http://ts.21cn.com/tousu/show/id/1351046","http://ts.21cn.com/tousu/show/id/1351046")</f>
        <v>http://ts.21cn.com/tousu/show/id/1351046</v>
      </c>
      <c r="F19101" s="2" t="s">
        <v>11</v>
      </c>
      <c r="G19101" s="2" t="s">
        <v>6616</v>
      </c>
      <c r="H19101" s="2" t="s">
        <v>6617</v>
      </c>
    </row>
    <row r="19102" spans="1:8" ht="25.05" customHeight="1" x14ac:dyDescent="0.25">
      <c r="A19102" s="2" t="s">
        <v>8</v>
      </c>
      <c r="B19102" s="2" t="str">
        <f>HYPERLINK("http://ts.21cn.com/tousu/show/id/1351047","苏宁金融借款捆绑保险")</f>
        <v>苏宁金融借款捆绑保险</v>
      </c>
      <c r="C19102" s="2" t="s">
        <v>9</v>
      </c>
      <c r="D19102" s="2" t="s">
        <v>10</v>
      </c>
      <c r="E19102" s="2" t="str">
        <f>HYPERLINK("http://ts.21cn.com/tousu/show/id/1351047","http://ts.21cn.com/tousu/show/id/1351047")</f>
        <v>http://ts.21cn.com/tousu/show/id/1351047</v>
      </c>
      <c r="F19102" s="2" t="s">
        <v>11</v>
      </c>
      <c r="G19102" s="2" t="s">
        <v>6614</v>
      </c>
      <c r="H19102" s="2" t="s">
        <v>6615</v>
      </c>
    </row>
    <row r="19103" spans="1:8" ht="25.05" customHeight="1" x14ac:dyDescent="0.25">
      <c r="A19103" s="2" t="s">
        <v>8</v>
      </c>
      <c r="B19103" s="2" t="str">
        <f>HYPERLINK("http://ts.21cn.com/tousu/show/id/1351048","聚福钱包未经许可乱扣费")</f>
        <v>聚福钱包未经许可乱扣费</v>
      </c>
      <c r="C19103" s="2" t="s">
        <v>9</v>
      </c>
      <c r="D19103" s="2" t="s">
        <v>10</v>
      </c>
      <c r="E19103" s="2" t="str">
        <f>HYPERLINK("http://ts.21cn.com/tousu/show/id/1351048","http://ts.21cn.com/tousu/show/id/1351048")</f>
        <v>http://ts.21cn.com/tousu/show/id/1351048</v>
      </c>
      <c r="F19103" s="2" t="s">
        <v>11</v>
      </c>
      <c r="G19103" s="2" t="s">
        <v>6612</v>
      </c>
      <c r="H19103" s="2" t="s">
        <v>6613</v>
      </c>
    </row>
    <row r="19104" spans="1:8" ht="25.05" customHeight="1" x14ac:dyDescent="0.25">
      <c r="A19104" s="2" t="s">
        <v>8</v>
      </c>
      <c r="B19104" s="2" t="str">
        <f>HYPERLINK("http://ts.21cn.com/tousu/show/id/1351049","我的账号明明是安全的，被创客标记为降权号，太坑人了")</f>
        <v>我的账号明明是安全的，被创客标记为降权号，太坑人了</v>
      </c>
      <c r="C19104" s="2" t="s">
        <v>9</v>
      </c>
      <c r="D19104" s="2" t="s">
        <v>10</v>
      </c>
      <c r="E19104" s="2" t="str">
        <f>HYPERLINK("http://ts.21cn.com/tousu/show/id/1351049","http://ts.21cn.com/tousu/show/id/1351049")</f>
        <v>http://ts.21cn.com/tousu/show/id/1351049</v>
      </c>
      <c r="F19104" s="2" t="s">
        <v>11</v>
      </c>
      <c r="G19104" s="2" t="s">
        <v>6610</v>
      </c>
      <c r="H19104" s="2" t="s">
        <v>6611</v>
      </c>
    </row>
    <row r="19105" spans="1:8" ht="25.05" customHeight="1" x14ac:dyDescent="0.25">
      <c r="A19105" s="2" t="s">
        <v>8</v>
      </c>
      <c r="B19105" s="2" t="str">
        <f>HYPERLINK("http://ts.21cn.com/tousu/show/id/1351051","小浦优客未经同意扣款")</f>
        <v>小浦优客未经同意扣款</v>
      </c>
      <c r="C19105" s="2" t="s">
        <v>9</v>
      </c>
      <c r="D19105" s="2" t="s">
        <v>10</v>
      </c>
      <c r="E19105" s="2" t="str">
        <f>HYPERLINK("http://ts.21cn.com/tousu/show/id/1351051","http://ts.21cn.com/tousu/show/id/1351051")</f>
        <v>http://ts.21cn.com/tousu/show/id/1351051</v>
      </c>
      <c r="F19105" s="2" t="s">
        <v>11</v>
      </c>
      <c r="G19105" s="2" t="s">
        <v>6608</v>
      </c>
      <c r="H19105" s="2" t="s">
        <v>6609</v>
      </c>
    </row>
    <row r="19106" spans="1:8" ht="25.05" customHeight="1" x14ac:dyDescent="0.25">
      <c r="A19106" s="2" t="s">
        <v>8</v>
      </c>
      <c r="B19106" s="2" t="str">
        <f>HYPERLINK("http://ts.21cn.com/tousu/show/id/1351053","恶意扣款")</f>
        <v>恶意扣款</v>
      </c>
      <c r="C19106" s="2" t="s">
        <v>9</v>
      </c>
      <c r="D19106" s="2" t="s">
        <v>10</v>
      </c>
      <c r="E19106" s="2" t="str">
        <f>HYPERLINK("http://ts.21cn.com/tousu/show/id/1351053","http://ts.21cn.com/tousu/show/id/1351053")</f>
        <v>http://ts.21cn.com/tousu/show/id/1351053</v>
      </c>
      <c r="F19106" s="2" t="s">
        <v>11</v>
      </c>
      <c r="G19106" s="2" t="s">
        <v>6606</v>
      </c>
      <c r="H19106" s="2" t="s">
        <v>6607</v>
      </c>
    </row>
    <row r="19107" spans="1:8" ht="25.05" customHeight="1" x14ac:dyDescent="0.25">
      <c r="A19107" s="2" t="s">
        <v>8</v>
      </c>
      <c r="B19107" s="2" t="str">
        <f>HYPERLINK("http://ts.21cn.com/tousu/show/id/1350936","既有分期高额逾期费")</f>
        <v>既有分期高额逾期费</v>
      </c>
      <c r="C19107" s="2" t="s">
        <v>9</v>
      </c>
      <c r="D19107" s="2" t="s">
        <v>10</v>
      </c>
      <c r="E19107" s="2" t="str">
        <f>HYPERLINK("http://ts.21cn.com/tousu/show/id/1350936","http://ts.21cn.com/tousu/show/id/1350936")</f>
        <v>http://ts.21cn.com/tousu/show/id/1350936</v>
      </c>
      <c r="F19107" s="2" t="s">
        <v>11</v>
      </c>
      <c r="G19107" s="2" t="s">
        <v>6604</v>
      </c>
      <c r="H19107" s="2" t="s">
        <v>6605</v>
      </c>
    </row>
    <row r="19108" spans="1:8" ht="25.05" customHeight="1" x14ac:dyDescent="0.25">
      <c r="A19108" s="2" t="s">
        <v>8</v>
      </c>
      <c r="B19108" s="2" t="str">
        <f>HYPERLINK("http://ts.21cn.com/tousu/show/id/1351052","及贷砍头息和爆通讯录")</f>
        <v>及贷砍头息和爆通讯录</v>
      </c>
      <c r="C19108" s="2" t="s">
        <v>9</v>
      </c>
      <c r="D19108" s="2" t="s">
        <v>10</v>
      </c>
      <c r="E19108" s="2" t="str">
        <f>HYPERLINK("http://ts.21cn.com/tousu/show/id/1351052","http://ts.21cn.com/tousu/show/id/1351052")</f>
        <v>http://ts.21cn.com/tousu/show/id/1351052</v>
      </c>
      <c r="F19108" s="2" t="s">
        <v>11</v>
      </c>
      <c r="G19108" s="2" t="s">
        <v>6602</v>
      </c>
      <c r="H19108" s="2" t="s">
        <v>6603</v>
      </c>
    </row>
    <row r="19109" spans="1:8" ht="25.05" customHeight="1" x14ac:dyDescent="0.25">
      <c r="A19109" s="2" t="s">
        <v>8</v>
      </c>
      <c r="B19109" s="2" t="str">
        <f>HYPERLINK("http://ts.21cn.com/tousu/show/id/1351054","高利贷，暴力催收")</f>
        <v>高利贷，暴力催收</v>
      </c>
      <c r="C19109" s="2" t="s">
        <v>9</v>
      </c>
      <c r="D19109" s="2" t="s">
        <v>10</v>
      </c>
      <c r="E19109" s="2" t="str">
        <f>HYPERLINK("http://ts.21cn.com/tousu/show/id/1351054","http://ts.21cn.com/tousu/show/id/1351054")</f>
        <v>http://ts.21cn.com/tousu/show/id/1351054</v>
      </c>
      <c r="F19109" s="2" t="s">
        <v>11</v>
      </c>
      <c r="G19109" s="2" t="s">
        <v>6600</v>
      </c>
      <c r="H19109" s="2" t="s">
        <v>6601</v>
      </c>
    </row>
    <row r="19110" spans="1:8" ht="25.05" customHeight="1" x14ac:dyDescent="0.25">
      <c r="A19110" s="2" t="s">
        <v>8</v>
      </c>
      <c r="B19110" s="2" t="str">
        <f>HYPERLINK("http://ts.21cn.com/tousu/show/id/1351055","暴力催收，高利贷")</f>
        <v>暴力催收，高利贷</v>
      </c>
      <c r="C19110" s="2" t="s">
        <v>9</v>
      </c>
      <c r="D19110" s="2" t="s">
        <v>10</v>
      </c>
      <c r="E19110" s="2" t="str">
        <f>HYPERLINK("http://ts.21cn.com/tousu/show/id/1351055","http://ts.21cn.com/tousu/show/id/1351055")</f>
        <v>http://ts.21cn.com/tousu/show/id/1351055</v>
      </c>
      <c r="F19110" s="2" t="s">
        <v>11</v>
      </c>
      <c r="G19110" s="2" t="s">
        <v>6598</v>
      </c>
      <c r="H19110" s="2" t="s">
        <v>6599</v>
      </c>
    </row>
    <row r="19111" spans="1:8" ht="25.05" customHeight="1" x14ac:dyDescent="0.25">
      <c r="A19111" s="2" t="s">
        <v>8</v>
      </c>
      <c r="B19111" s="2" t="str">
        <f>HYPERLINK("http://ts.21cn.com/tousu/show/id/1351024","涉嫌违规欺诈申请退款")</f>
        <v>涉嫌违规欺诈申请退款</v>
      </c>
      <c r="C19111" s="2" t="s">
        <v>9</v>
      </c>
      <c r="D19111" s="2" t="s">
        <v>10</v>
      </c>
      <c r="E19111" s="2" t="str">
        <f>HYPERLINK("http://ts.21cn.com/tousu/show/id/1351024","http://ts.21cn.com/tousu/show/id/1351024")</f>
        <v>http://ts.21cn.com/tousu/show/id/1351024</v>
      </c>
      <c r="F19111" s="2" t="s">
        <v>11</v>
      </c>
      <c r="G19111" s="2" t="s">
        <v>6596</v>
      </c>
      <c r="H19111" s="2" t="s">
        <v>6597</v>
      </c>
    </row>
    <row r="19112" spans="1:8" ht="25.05" customHeight="1" x14ac:dyDescent="0.25">
      <c r="A19112" s="2" t="s">
        <v>8</v>
      </c>
      <c r="B19112" s="2" t="str">
        <f>HYPERLINK("http://ts.21cn.com/tousu/show/id/1351057","马上金融暴力催收，不联系本人直接联系通信录亲友造谣")</f>
        <v>马上金融暴力催收，不联系本人直接联系通信录亲友造谣</v>
      </c>
      <c r="C19112" s="2" t="s">
        <v>9</v>
      </c>
      <c r="D19112" s="2" t="s">
        <v>10</v>
      </c>
      <c r="E19112" s="2" t="str">
        <f>HYPERLINK("http://ts.21cn.com/tousu/show/id/1351057","http://ts.21cn.com/tousu/show/id/1351057")</f>
        <v>http://ts.21cn.com/tousu/show/id/1351057</v>
      </c>
      <c r="F19112" s="2" t="s">
        <v>11</v>
      </c>
      <c r="G19112" s="2" t="s">
        <v>6594</v>
      </c>
      <c r="H19112" s="2" t="s">
        <v>6595</v>
      </c>
    </row>
    <row r="19113" spans="1:8" ht="25.05" customHeight="1" x14ac:dyDescent="0.25">
      <c r="A19113" s="2" t="s">
        <v>8</v>
      </c>
      <c r="B19113" s="2" t="str">
        <f>HYPERLINK("http://ts.21cn.com/tousu/show/id/1351056","投诉拍拍贷暴力威胁催款")</f>
        <v>投诉拍拍贷暴力威胁催款</v>
      </c>
      <c r="C19113" s="2" t="s">
        <v>9</v>
      </c>
      <c r="D19113" s="2" t="s">
        <v>10</v>
      </c>
      <c r="E19113" s="2" t="str">
        <f>HYPERLINK("http://ts.21cn.com/tousu/show/id/1351056","http://ts.21cn.com/tousu/show/id/1351056")</f>
        <v>http://ts.21cn.com/tousu/show/id/1351056</v>
      </c>
      <c r="F19113" s="2" t="s">
        <v>11</v>
      </c>
      <c r="G19113" s="2" t="s">
        <v>6592</v>
      </c>
      <c r="H19113" s="2" t="s">
        <v>6593</v>
      </c>
    </row>
    <row r="19114" spans="1:8" ht="25.05" customHeight="1" x14ac:dyDescent="0.25">
      <c r="A19114" s="2" t="s">
        <v>8</v>
      </c>
      <c r="B19114" s="2" t="str">
        <f>HYPERLINK("http://ts.21cn.com/tousu/show/id/1351059","滴滴司机拒载且不通知")</f>
        <v>滴滴司机拒载且不通知</v>
      </c>
      <c r="C19114" s="2" t="s">
        <v>9</v>
      </c>
      <c r="D19114" s="2" t="s">
        <v>10</v>
      </c>
      <c r="E19114" s="2" t="str">
        <f>HYPERLINK("http://ts.21cn.com/tousu/show/id/1351059","http://ts.21cn.com/tousu/show/id/1351059")</f>
        <v>http://ts.21cn.com/tousu/show/id/1351059</v>
      </c>
      <c r="F19114" s="2" t="s">
        <v>11</v>
      </c>
      <c r="G19114" s="2" t="s">
        <v>6590</v>
      </c>
      <c r="H19114" s="2" t="s">
        <v>6591</v>
      </c>
    </row>
    <row r="19115" spans="1:8" ht="25.05" customHeight="1" x14ac:dyDescent="0.25">
      <c r="A19115" s="2" t="s">
        <v>8</v>
      </c>
      <c r="B19115" s="2" t="str">
        <f>HYPERLINK("http://ts.21cn.com/tousu/show/id/1351058","交通银行信用卡骚扰我")</f>
        <v>交通银行信用卡骚扰我</v>
      </c>
      <c r="C19115" s="2" t="s">
        <v>9</v>
      </c>
      <c r="D19115" s="2" t="s">
        <v>10</v>
      </c>
      <c r="E19115" s="2" t="str">
        <f>HYPERLINK("http://ts.21cn.com/tousu/show/id/1351058","http://ts.21cn.com/tousu/show/id/1351058")</f>
        <v>http://ts.21cn.com/tousu/show/id/1351058</v>
      </c>
      <c r="F19115" s="2" t="s">
        <v>11</v>
      </c>
      <c r="G19115" s="2" t="s">
        <v>6588</v>
      </c>
      <c r="H19115" s="2" t="s">
        <v>6589</v>
      </c>
    </row>
    <row r="19116" spans="1:8" ht="25.05" customHeight="1" x14ac:dyDescent="0.25">
      <c r="A19116" s="2" t="s">
        <v>8</v>
      </c>
      <c r="B19116" s="2" t="str">
        <f>HYPERLINK("http://ts.21cn.com/tousu/show/id/1351060","小浦优客未经同意扣款")</f>
        <v>小浦优客未经同意扣款</v>
      </c>
      <c r="C19116" s="2" t="s">
        <v>9</v>
      </c>
      <c r="D19116" s="2" t="s">
        <v>10</v>
      </c>
      <c r="E19116" s="2" t="str">
        <f>HYPERLINK("http://ts.21cn.com/tousu/show/id/1351060","http://ts.21cn.com/tousu/show/id/1351060")</f>
        <v>http://ts.21cn.com/tousu/show/id/1351060</v>
      </c>
      <c r="F19116" s="2" t="s">
        <v>11</v>
      </c>
      <c r="G19116" s="2" t="s">
        <v>6586</v>
      </c>
      <c r="H19116" s="2" t="s">
        <v>6587</v>
      </c>
    </row>
    <row r="19117" spans="1:8" ht="25.05" customHeight="1" x14ac:dyDescent="0.25">
      <c r="A19117" s="2" t="s">
        <v>8</v>
      </c>
      <c r="B19117" s="2" t="str">
        <f>HYPERLINK("http://ts.21cn.com/tousu/show/id/1351061","豆豆钱利息不合法，强迫买保险")</f>
        <v>豆豆钱利息不合法，强迫买保险</v>
      </c>
      <c r="C19117" s="2" t="s">
        <v>9</v>
      </c>
      <c r="D19117" s="2" t="s">
        <v>10</v>
      </c>
      <c r="E19117" s="2" t="str">
        <f>HYPERLINK("http://ts.21cn.com/tousu/show/id/1351061","http://ts.21cn.com/tousu/show/id/1351061")</f>
        <v>http://ts.21cn.com/tousu/show/id/1351061</v>
      </c>
      <c r="F19117" s="2" t="s">
        <v>11</v>
      </c>
      <c r="G19117" s="2" t="s">
        <v>6584</v>
      </c>
      <c r="H19117" s="2" t="s">
        <v>6585</v>
      </c>
    </row>
    <row r="19118" spans="1:8" ht="25.05" customHeight="1" x14ac:dyDescent="0.25">
      <c r="A19118" s="2" t="s">
        <v>8</v>
      </c>
      <c r="B19118" s="2" t="str">
        <f>HYPERLINK("http://ts.21cn.com/tousu/show/id/1351062","和信暴力催收")</f>
        <v>和信暴力催收</v>
      </c>
      <c r="C19118" s="2" t="s">
        <v>9</v>
      </c>
      <c r="D19118" s="2" t="s">
        <v>10</v>
      </c>
      <c r="E19118" s="2" t="str">
        <f>HYPERLINK("http://ts.21cn.com/tousu/show/id/1351062","http://ts.21cn.com/tousu/show/id/1351062")</f>
        <v>http://ts.21cn.com/tousu/show/id/1351062</v>
      </c>
      <c r="F19118" s="2" t="s">
        <v>11</v>
      </c>
      <c r="G19118" s="2" t="s">
        <v>6582</v>
      </c>
      <c r="H19118" s="2" t="s">
        <v>6583</v>
      </c>
    </row>
    <row r="19119" spans="1:8" ht="25.05" customHeight="1" x14ac:dyDescent="0.25">
      <c r="A19119" s="2" t="s">
        <v>8</v>
      </c>
      <c r="B19119" s="2" t="str">
        <f>HYPERLINK("http://ts.21cn.com/tousu/show/id/1351064","马上消费金融公司高利贷")</f>
        <v>马上消费金融公司高利贷</v>
      </c>
      <c r="C19119" s="2" t="s">
        <v>9</v>
      </c>
      <c r="D19119" s="2" t="s">
        <v>10</v>
      </c>
      <c r="E19119" s="2" t="str">
        <f>HYPERLINK("http://ts.21cn.com/tousu/show/id/1351064","http://ts.21cn.com/tousu/show/id/1351064")</f>
        <v>http://ts.21cn.com/tousu/show/id/1351064</v>
      </c>
      <c r="F19119" s="2" t="s">
        <v>11</v>
      </c>
      <c r="G19119" s="2" t="s">
        <v>6580</v>
      </c>
      <c r="H19119" s="2" t="s">
        <v>6581</v>
      </c>
    </row>
    <row r="19120" spans="1:8" ht="25.05" customHeight="1" x14ac:dyDescent="0.25">
      <c r="A19120" s="2" t="s">
        <v>8</v>
      </c>
      <c r="B19120" s="2" t="str">
        <f>HYPERLINK("http://ts.21cn.com/tousu/show/id/1351063","中银消费金融新浪有借威胁恐吓，恶意诽谤，骚扰非借款人")</f>
        <v>中银消费金融新浪有借威胁恐吓，恶意诽谤，骚扰非借款人</v>
      </c>
      <c r="C19120" s="2" t="s">
        <v>9</v>
      </c>
      <c r="D19120" s="2" t="s">
        <v>10</v>
      </c>
      <c r="E19120" s="2" t="str">
        <f>HYPERLINK("http://ts.21cn.com/tousu/show/id/1351063","http://ts.21cn.com/tousu/show/id/1351063")</f>
        <v>http://ts.21cn.com/tousu/show/id/1351063</v>
      </c>
      <c r="F19120" s="2" t="s">
        <v>11</v>
      </c>
      <c r="G19120" s="2" t="s">
        <v>6578</v>
      </c>
      <c r="H19120" s="2" t="s">
        <v>6579</v>
      </c>
    </row>
    <row r="19121" spans="1:8" ht="25.05" customHeight="1" x14ac:dyDescent="0.25">
      <c r="A19121" s="2" t="s">
        <v>8</v>
      </c>
      <c r="B19121" s="2" t="str">
        <f>HYPERLINK("http://ts.21cn.com/tousu/show/id/1351065","国美金融还款")</f>
        <v>国美金融还款</v>
      </c>
      <c r="C19121" s="2" t="s">
        <v>9</v>
      </c>
      <c r="D19121" s="2" t="s">
        <v>10</v>
      </c>
      <c r="E19121" s="2" t="str">
        <f>HYPERLINK("http://ts.21cn.com/tousu/show/id/1351065","http://ts.21cn.com/tousu/show/id/1351065")</f>
        <v>http://ts.21cn.com/tousu/show/id/1351065</v>
      </c>
      <c r="F19121" s="2" t="s">
        <v>11</v>
      </c>
      <c r="G19121" s="2" t="s">
        <v>6576</v>
      </c>
      <c r="H19121" s="2" t="s">
        <v>6577</v>
      </c>
    </row>
    <row r="19122" spans="1:8" ht="25.05" customHeight="1" x14ac:dyDescent="0.25">
      <c r="A19122" s="2" t="s">
        <v>8</v>
      </c>
      <c r="B19122" s="2" t="str">
        <f>HYPERLINK("http://ts.21cn.com/tousu/show/id/1351067","滴水贷暴力催收，侮辱人格侵犯个人名誉")</f>
        <v>滴水贷暴力催收，侮辱人格侵犯个人名誉</v>
      </c>
      <c r="C19122" s="2" t="s">
        <v>9</v>
      </c>
      <c r="D19122" s="2" t="s">
        <v>10</v>
      </c>
      <c r="E19122" s="2" t="str">
        <f>HYPERLINK("http://ts.21cn.com/tousu/show/id/1351067","http://ts.21cn.com/tousu/show/id/1351067")</f>
        <v>http://ts.21cn.com/tousu/show/id/1351067</v>
      </c>
      <c r="F19122" s="2" t="s">
        <v>11</v>
      </c>
      <c r="G19122" s="2" t="s">
        <v>6574</v>
      </c>
      <c r="H19122" s="2" t="s">
        <v>6575</v>
      </c>
    </row>
    <row r="19123" spans="1:8" ht="25.05" customHeight="1" x14ac:dyDescent="0.25">
      <c r="A19123" s="2" t="s">
        <v>8</v>
      </c>
      <c r="B19123" s="2" t="str">
        <f>HYPERLINK("http://ts.21cn.com/tousu/show/id/1351066","玖富万卡提前结清后app上还显示保费")</f>
        <v>玖富万卡提前结清后app上还显示保费</v>
      </c>
      <c r="C19123" s="2" t="s">
        <v>34</v>
      </c>
      <c r="D19123" s="2" t="s">
        <v>10</v>
      </c>
      <c r="E19123" s="2" t="str">
        <f>HYPERLINK("http://ts.21cn.com/tousu/show/id/1351066","http://ts.21cn.com/tousu/show/id/1351066")</f>
        <v>http://ts.21cn.com/tousu/show/id/1351066</v>
      </c>
      <c r="F19123" s="2" t="s">
        <v>11</v>
      </c>
      <c r="G19123" s="2" t="s">
        <v>6572</v>
      </c>
      <c r="H19123" s="2" t="s">
        <v>6573</v>
      </c>
    </row>
    <row r="19124" spans="1:8" ht="25.05" customHeight="1" x14ac:dyDescent="0.25">
      <c r="A19124" s="2" t="s">
        <v>8</v>
      </c>
      <c r="B19124" s="2" t="str">
        <f>HYPERLINK("http://ts.21cn.com/tousu/show/id/1351068","民生银行信用卡中心（珠海分中心）催收行为跟黑社会没有区别")</f>
        <v>民生银行信用卡中心（珠海分中心）催收行为跟黑社会没有区别</v>
      </c>
      <c r="C19124" s="2" t="s">
        <v>9</v>
      </c>
      <c r="D19124" s="2" t="s">
        <v>10</v>
      </c>
      <c r="E19124" s="2" t="str">
        <f>HYPERLINK("http://ts.21cn.com/tousu/show/id/1351068","http://ts.21cn.com/tousu/show/id/1351068")</f>
        <v>http://ts.21cn.com/tousu/show/id/1351068</v>
      </c>
      <c r="F19124" s="2" t="s">
        <v>11</v>
      </c>
      <c r="G19124" s="2" t="s">
        <v>6570</v>
      </c>
      <c r="H19124" s="2" t="s">
        <v>6571</v>
      </c>
    </row>
    <row r="19125" spans="1:8" ht="25.05" customHeight="1" x14ac:dyDescent="0.25">
      <c r="A19125" s="2" t="s">
        <v>8</v>
      </c>
      <c r="B19125" s="2" t="str">
        <f>HYPERLINK("http://ts.21cn.com/tousu/show/id/1351069","恶意催收骚扰联系人")</f>
        <v>恶意催收骚扰联系人</v>
      </c>
      <c r="C19125" s="2" t="s">
        <v>9</v>
      </c>
      <c r="D19125" s="2" t="s">
        <v>10</v>
      </c>
      <c r="E19125" s="2" t="str">
        <f>HYPERLINK("http://ts.21cn.com/tousu/show/id/1351069","http://ts.21cn.com/tousu/show/id/1351069")</f>
        <v>http://ts.21cn.com/tousu/show/id/1351069</v>
      </c>
      <c r="F19125" s="2" t="s">
        <v>11</v>
      </c>
      <c r="G19125" s="2" t="s">
        <v>6568</v>
      </c>
      <c r="H19125" s="2" t="s">
        <v>6569</v>
      </c>
    </row>
    <row r="19126" spans="1:8" ht="25.05" customHeight="1" x14ac:dyDescent="0.25">
      <c r="A19126" s="2" t="s">
        <v>8</v>
      </c>
      <c r="B19126" s="2" t="str">
        <f>HYPERLINK("http://ts.21cn.com/tousu/show/id/1351070","捷信金融套路贷，高利贷，暴力催")</f>
        <v>捷信金融套路贷，高利贷，暴力催</v>
      </c>
      <c r="C19126" s="2" t="s">
        <v>9</v>
      </c>
      <c r="D19126" s="2" t="s">
        <v>10</v>
      </c>
      <c r="E19126" s="2" t="str">
        <f>HYPERLINK("http://ts.21cn.com/tousu/show/id/1351070","http://ts.21cn.com/tousu/show/id/1351070")</f>
        <v>http://ts.21cn.com/tousu/show/id/1351070</v>
      </c>
      <c r="F19126" s="2" t="s">
        <v>11</v>
      </c>
      <c r="G19126" s="2" t="s">
        <v>6566</v>
      </c>
      <c r="H19126" s="2" t="s">
        <v>6567</v>
      </c>
    </row>
    <row r="19127" spans="1:8" ht="25.05" customHeight="1" x14ac:dyDescent="0.25">
      <c r="A19127" s="2" t="s">
        <v>8</v>
      </c>
      <c r="B19127" s="2" t="str">
        <f>HYPERLINK("http://ts.21cn.com/tousu/show/id/1351071","家人朋友被暴力催收骚扰")</f>
        <v>家人朋友被暴力催收骚扰</v>
      </c>
      <c r="C19127" s="2" t="s">
        <v>9</v>
      </c>
      <c r="D19127" s="2" t="s">
        <v>10</v>
      </c>
      <c r="E19127" s="2" t="str">
        <f>HYPERLINK("http://ts.21cn.com/tousu/show/id/1351071","http://ts.21cn.com/tousu/show/id/1351071")</f>
        <v>http://ts.21cn.com/tousu/show/id/1351071</v>
      </c>
      <c r="F19127" s="2" t="s">
        <v>11</v>
      </c>
      <c r="G19127" s="2" t="s">
        <v>6564</v>
      </c>
      <c r="H19127" s="2" t="s">
        <v>6565</v>
      </c>
    </row>
    <row r="19128" spans="1:8" ht="25.05" customHeight="1" x14ac:dyDescent="0.25">
      <c r="A19128" s="2" t="s">
        <v>8</v>
      </c>
      <c r="B19128" s="2" t="str">
        <f>HYPERLINK("http://ts.21cn.com/tousu/show/id/1351072","贷上钱恶意爆通讯录")</f>
        <v>贷上钱恶意爆通讯录</v>
      </c>
      <c r="C19128" s="2" t="s">
        <v>9</v>
      </c>
      <c r="D19128" s="2" t="s">
        <v>10</v>
      </c>
      <c r="E19128" s="2" t="str">
        <f>HYPERLINK("http://ts.21cn.com/tousu/show/id/1351072","http://ts.21cn.com/tousu/show/id/1351072")</f>
        <v>http://ts.21cn.com/tousu/show/id/1351072</v>
      </c>
      <c r="F19128" s="2" t="s">
        <v>11</v>
      </c>
      <c r="G19128" s="2" t="s">
        <v>6562</v>
      </c>
      <c r="H19128" s="2" t="s">
        <v>6563</v>
      </c>
    </row>
    <row r="19129" spans="1:8" ht="25.05" customHeight="1" x14ac:dyDescent="0.25">
      <c r="A19129" s="2" t="s">
        <v>8</v>
      </c>
      <c r="B19129" s="2" t="str">
        <f>HYPERLINK("http://ts.21cn.com/tousu/show/id/1351073","建行信用卡逾期无法协商分期还款")</f>
        <v>建行信用卡逾期无法协商分期还款</v>
      </c>
      <c r="C19129" s="2" t="s">
        <v>9</v>
      </c>
      <c r="D19129" s="2" t="s">
        <v>10</v>
      </c>
      <c r="E19129" s="2" t="str">
        <f>HYPERLINK("http://ts.21cn.com/tousu/show/id/1351073","http://ts.21cn.com/tousu/show/id/1351073")</f>
        <v>http://ts.21cn.com/tousu/show/id/1351073</v>
      </c>
      <c r="F19129" s="2" t="s">
        <v>11</v>
      </c>
      <c r="G19129" s="2" t="s">
        <v>6560</v>
      </c>
      <c r="H19129" s="2" t="s">
        <v>6561</v>
      </c>
    </row>
    <row r="19130" spans="1:8" ht="25.05" customHeight="1" x14ac:dyDescent="0.25">
      <c r="A19130" s="2" t="s">
        <v>8</v>
      </c>
      <c r="B19130" s="2" t="str">
        <f>HYPERLINK("http://ts.21cn.com/tousu/show/id/1351075","月光下高额砍头息，暴力催收骚扰通讯录")</f>
        <v>月光下高额砍头息，暴力催收骚扰通讯录</v>
      </c>
      <c r="C19130" s="2" t="s">
        <v>9</v>
      </c>
      <c r="D19130" s="2" t="s">
        <v>10</v>
      </c>
      <c r="E19130" s="2" t="str">
        <f>HYPERLINK("http://ts.21cn.com/tousu/show/id/1351075","http://ts.21cn.com/tousu/show/id/1351075")</f>
        <v>http://ts.21cn.com/tousu/show/id/1351075</v>
      </c>
      <c r="F19130" s="2" t="s">
        <v>11</v>
      </c>
      <c r="G19130" s="2" t="s">
        <v>6558</v>
      </c>
      <c r="H19130" s="2" t="s">
        <v>6559</v>
      </c>
    </row>
    <row r="19131" spans="1:8" ht="25.05" customHeight="1" x14ac:dyDescent="0.25">
      <c r="A19131" s="2" t="s">
        <v>8</v>
      </c>
      <c r="B19131" s="2" t="str">
        <f>HYPERLINK("http://ts.21cn.com/tousu/show/id/1351074","聚福钱包未经许可私自扣款")</f>
        <v>聚福钱包未经许可私自扣款</v>
      </c>
      <c r="C19131" s="2" t="s">
        <v>9</v>
      </c>
      <c r="D19131" s="2" t="s">
        <v>10</v>
      </c>
      <c r="E19131" s="2" t="str">
        <f>HYPERLINK("http://ts.21cn.com/tousu/show/id/1351074","http://ts.21cn.com/tousu/show/id/1351074")</f>
        <v>http://ts.21cn.com/tousu/show/id/1351074</v>
      </c>
      <c r="F19131" s="2" t="s">
        <v>11</v>
      </c>
      <c r="G19131" s="2" t="s">
        <v>6556</v>
      </c>
      <c r="H19131" s="2" t="s">
        <v>6557</v>
      </c>
    </row>
    <row r="19132" spans="1:8" ht="25.05" customHeight="1" x14ac:dyDescent="0.25">
      <c r="A19132" s="2" t="s">
        <v>8</v>
      </c>
      <c r="B19132" s="2" t="str">
        <f>HYPERLINK("http://ts.21cn.com/tousu/show/id/1351076","马上消费金融，违法行为，群发短信，恐吓催收，发律师函")</f>
        <v>马上消费金融，违法行为，群发短信，恐吓催收，发律师函</v>
      </c>
      <c r="C19132" s="2" t="s">
        <v>9</v>
      </c>
      <c r="D19132" s="2" t="s">
        <v>10</v>
      </c>
      <c r="E19132" s="2" t="str">
        <f>HYPERLINK("http://ts.21cn.com/tousu/show/id/1351076","http://ts.21cn.com/tousu/show/id/1351076")</f>
        <v>http://ts.21cn.com/tousu/show/id/1351076</v>
      </c>
      <c r="F19132" s="2" t="s">
        <v>11</v>
      </c>
      <c r="G19132" s="2" t="s">
        <v>6554</v>
      </c>
      <c r="H19132" s="2" t="s">
        <v>6555</v>
      </c>
    </row>
    <row r="19133" spans="1:8" ht="25.05" customHeight="1" x14ac:dyDescent="0.25">
      <c r="A19133" s="2" t="s">
        <v>8</v>
      </c>
      <c r="B19133" s="2" t="str">
        <f>HYPERLINK("http://ts.21cn.com/tousu/show/id/1351077","和信普惠青岛分公司暴力催收")</f>
        <v>和信普惠青岛分公司暴力催收</v>
      </c>
      <c r="C19133" s="2" t="s">
        <v>9</v>
      </c>
      <c r="D19133" s="2" t="s">
        <v>10</v>
      </c>
      <c r="E19133" s="2" t="str">
        <f>HYPERLINK("http://ts.21cn.com/tousu/show/id/1351077","http://ts.21cn.com/tousu/show/id/1351077")</f>
        <v>http://ts.21cn.com/tousu/show/id/1351077</v>
      </c>
      <c r="F19133" s="2" t="s">
        <v>11</v>
      </c>
      <c r="G19133" s="2" t="s">
        <v>6552</v>
      </c>
      <c r="H19133" s="2" t="s">
        <v>6553</v>
      </c>
    </row>
    <row r="19134" spans="1:8" ht="25.05" customHeight="1" x14ac:dyDescent="0.25">
      <c r="A19134" s="2" t="s">
        <v>8</v>
      </c>
      <c r="B19134" s="2" t="str">
        <f>HYPERLINK("http://ts.21cn.com/tousu/show/id/1351078","贷上钱暴力催收并威胁人身安全")</f>
        <v>贷上钱暴力催收并威胁人身安全</v>
      </c>
      <c r="C19134" s="2" t="s">
        <v>9</v>
      </c>
      <c r="D19134" s="2" t="s">
        <v>10</v>
      </c>
      <c r="E19134" s="2" t="str">
        <f>HYPERLINK("http://ts.21cn.com/tousu/show/id/1351078","http://ts.21cn.com/tousu/show/id/1351078")</f>
        <v>http://ts.21cn.com/tousu/show/id/1351078</v>
      </c>
      <c r="F19134" s="2" t="s">
        <v>11</v>
      </c>
      <c r="G19134" s="2" t="s">
        <v>6550</v>
      </c>
      <c r="H19134" s="2" t="s">
        <v>6551</v>
      </c>
    </row>
    <row r="19135" spans="1:8" ht="25.05" customHeight="1" x14ac:dyDescent="0.25">
      <c r="A19135" s="2" t="s">
        <v>8</v>
      </c>
      <c r="B19135" s="2" t="str">
        <f>HYPERLINK("http://ts.21cn.com/tousu/show/id/1351079","钱橙无忧随意扣费")</f>
        <v>钱橙无忧随意扣费</v>
      </c>
      <c r="C19135" s="2" t="s">
        <v>9</v>
      </c>
      <c r="D19135" s="2" t="s">
        <v>10</v>
      </c>
      <c r="E19135" s="2" t="str">
        <f>HYPERLINK("http://ts.21cn.com/tousu/show/id/1351079","http://ts.21cn.com/tousu/show/id/1351079")</f>
        <v>http://ts.21cn.com/tousu/show/id/1351079</v>
      </c>
      <c r="F19135" s="2" t="s">
        <v>11</v>
      </c>
      <c r="G19135" s="2" t="s">
        <v>6548</v>
      </c>
      <c r="H19135" s="2" t="s">
        <v>6549</v>
      </c>
    </row>
    <row r="19136" spans="1:8" ht="25.05" customHeight="1" x14ac:dyDescent="0.25">
      <c r="A19136" s="2" t="s">
        <v>8</v>
      </c>
      <c r="B19136" s="2" t="str">
        <f>HYPERLINK("http://ts.21cn.com/tousu/show/id/1351080","马上金融乱收费")</f>
        <v>马上金融乱收费</v>
      </c>
      <c r="C19136" s="2" t="s">
        <v>9</v>
      </c>
      <c r="D19136" s="2" t="s">
        <v>10</v>
      </c>
      <c r="E19136" s="2" t="str">
        <f>HYPERLINK("http://ts.21cn.com/tousu/show/id/1351080","http://ts.21cn.com/tousu/show/id/1351080")</f>
        <v>http://ts.21cn.com/tousu/show/id/1351080</v>
      </c>
      <c r="F19136" s="2" t="s">
        <v>11</v>
      </c>
      <c r="G19136" s="2" t="s">
        <v>6546</v>
      </c>
      <c r="H19136" s="2" t="s">
        <v>6547</v>
      </c>
    </row>
    <row r="19137" spans="1:8" ht="25.05" customHeight="1" x14ac:dyDescent="0.25">
      <c r="A19137" s="2" t="s">
        <v>8</v>
      </c>
      <c r="B19137" s="2" t="str">
        <f>HYPERLINK("http://ts.21cn.com/tousu/show/id/1351081","黑网贷")</f>
        <v>黑网贷</v>
      </c>
      <c r="C19137" s="2" t="s">
        <v>9</v>
      </c>
      <c r="D19137" s="2" t="s">
        <v>10</v>
      </c>
      <c r="E19137" s="2" t="str">
        <f>HYPERLINK("http://ts.21cn.com/tousu/show/id/1351081","http://ts.21cn.com/tousu/show/id/1351081")</f>
        <v>http://ts.21cn.com/tousu/show/id/1351081</v>
      </c>
      <c r="F19137" s="2" t="s">
        <v>11</v>
      </c>
      <c r="G19137" s="2" t="s">
        <v>6544</v>
      </c>
      <c r="H19137" s="2" t="s">
        <v>6545</v>
      </c>
    </row>
    <row r="19138" spans="1:8" ht="25.05" customHeight="1" x14ac:dyDescent="0.25">
      <c r="A19138" s="2" t="s">
        <v>8</v>
      </c>
      <c r="B19138" s="2" t="str">
        <f>HYPERLINK("http://ts.21cn.com/tousu/show/id/1351082","联通支付-宏萨（上海）信息科技有限公司")</f>
        <v>联通支付-宏萨（上海）信息科技有限公司</v>
      </c>
      <c r="C19138" s="2" t="s">
        <v>34</v>
      </c>
      <c r="D19138" s="2" t="s">
        <v>10</v>
      </c>
      <c r="E19138" s="2" t="str">
        <f>HYPERLINK("http://ts.21cn.com/tousu/show/id/1351082","http://ts.21cn.com/tousu/show/id/1351082")</f>
        <v>http://ts.21cn.com/tousu/show/id/1351082</v>
      </c>
      <c r="F19138" s="2" t="s">
        <v>11</v>
      </c>
      <c r="G19138" s="2" t="s">
        <v>6542</v>
      </c>
      <c r="H19138" s="2" t="s">
        <v>6543</v>
      </c>
    </row>
    <row r="19139" spans="1:8" ht="25.05" customHeight="1" x14ac:dyDescent="0.25">
      <c r="A19139" s="2" t="s">
        <v>8</v>
      </c>
      <c r="B19139" s="2" t="str">
        <f>HYPERLINK("http://ts.21cn.com/tousu/show/id/1351083","几年前的客户欠钱给我打电话催债")</f>
        <v>几年前的客户欠钱给我打电话催债</v>
      </c>
      <c r="C19139" s="2" t="s">
        <v>34</v>
      </c>
      <c r="D19139" s="2" t="s">
        <v>10</v>
      </c>
      <c r="E19139" s="2" t="str">
        <f>HYPERLINK("http://ts.21cn.com/tousu/show/id/1351083","http://ts.21cn.com/tousu/show/id/1351083")</f>
        <v>http://ts.21cn.com/tousu/show/id/1351083</v>
      </c>
      <c r="F19139" s="2" t="s">
        <v>11</v>
      </c>
      <c r="G19139" s="2" t="s">
        <v>6540</v>
      </c>
      <c r="H19139" s="2" t="s">
        <v>6541</v>
      </c>
    </row>
    <row r="19140" spans="1:8" ht="25.05" customHeight="1" x14ac:dyDescent="0.25">
      <c r="A19140" s="2" t="s">
        <v>8</v>
      </c>
      <c r="B19140" s="2" t="str">
        <f>HYPERLINK("http://ts.21cn.com/tousu/show/id/1351085","引诱购置学堂，收取学员费用")</f>
        <v>引诱购置学堂，收取学员费用</v>
      </c>
      <c r="C19140" s="2" t="s">
        <v>9</v>
      </c>
      <c r="D19140" s="2" t="s">
        <v>10</v>
      </c>
      <c r="E19140" s="2" t="str">
        <f>HYPERLINK("http://ts.21cn.com/tousu/show/id/1351085","http://ts.21cn.com/tousu/show/id/1351085")</f>
        <v>http://ts.21cn.com/tousu/show/id/1351085</v>
      </c>
      <c r="F19140" s="2" t="s">
        <v>11</v>
      </c>
      <c r="G19140" s="2" t="s">
        <v>6538</v>
      </c>
      <c r="H19140" s="2" t="s">
        <v>6539</v>
      </c>
    </row>
    <row r="19141" spans="1:8" ht="25.05" customHeight="1" x14ac:dyDescent="0.25">
      <c r="A19141" s="2" t="s">
        <v>8</v>
      </c>
      <c r="B19141" s="2" t="str">
        <f>HYPERLINK("http://ts.21cn.com/tousu/show/id/1351084","济南嘉培信息科技有限公司违规给博彩平台提供支付通道")</f>
        <v>济南嘉培信息科技有限公司违规给博彩平台提供支付通道</v>
      </c>
      <c r="C19141" s="2" t="s">
        <v>9</v>
      </c>
      <c r="D19141" s="2" t="s">
        <v>10</v>
      </c>
      <c r="E19141" s="2" t="str">
        <f>HYPERLINK("http://ts.21cn.com/tousu/show/id/1351084","http://ts.21cn.com/tousu/show/id/1351084")</f>
        <v>http://ts.21cn.com/tousu/show/id/1351084</v>
      </c>
      <c r="F19141" s="2" t="s">
        <v>11</v>
      </c>
      <c r="G19141" s="2" t="s">
        <v>6536</v>
      </c>
      <c r="H19141" s="2" t="s">
        <v>6537</v>
      </c>
    </row>
    <row r="19142" spans="1:8" ht="25.05" customHeight="1" x14ac:dyDescent="0.25">
      <c r="A19142" s="2" t="s">
        <v>8</v>
      </c>
      <c r="B19142" s="2" t="str">
        <f>HYPERLINK("http://ts.21cn.com/tousu/show/id/1351086","套路带高利贷")</f>
        <v>套路带高利贷</v>
      </c>
      <c r="C19142" s="2" t="s">
        <v>9</v>
      </c>
      <c r="D19142" s="2" t="s">
        <v>10</v>
      </c>
      <c r="E19142" s="2" t="str">
        <f>HYPERLINK("http://ts.21cn.com/tousu/show/id/1351086","http://ts.21cn.com/tousu/show/id/1351086")</f>
        <v>http://ts.21cn.com/tousu/show/id/1351086</v>
      </c>
      <c r="F19142" s="2" t="s">
        <v>11</v>
      </c>
      <c r="G19142" s="2" t="s">
        <v>6534</v>
      </c>
      <c r="H19142" s="2" t="s">
        <v>6535</v>
      </c>
    </row>
    <row r="19143" spans="1:8" ht="25.05" customHeight="1" x14ac:dyDescent="0.25">
      <c r="A19143" s="2" t="s">
        <v>8</v>
      </c>
      <c r="B19143" s="2" t="str">
        <f>HYPERLINK("http://ts.21cn.com/tousu/show/id/1351089","还款问题")</f>
        <v>还款问题</v>
      </c>
      <c r="C19143" s="2" t="s">
        <v>9</v>
      </c>
      <c r="D19143" s="2" t="s">
        <v>10</v>
      </c>
      <c r="E19143" s="2" t="str">
        <f>HYPERLINK("http://ts.21cn.com/tousu/show/id/1351089","http://ts.21cn.com/tousu/show/id/1351089")</f>
        <v>http://ts.21cn.com/tousu/show/id/1351089</v>
      </c>
      <c r="F19143" s="2" t="s">
        <v>11</v>
      </c>
      <c r="G19143" s="2" t="s">
        <v>6532</v>
      </c>
      <c r="H19143" s="2" t="s">
        <v>6533</v>
      </c>
    </row>
    <row r="19144" spans="1:8" ht="25.05" customHeight="1" x14ac:dyDescent="0.25">
      <c r="A19144" s="2" t="s">
        <v>8</v>
      </c>
      <c r="B19144" s="2" t="str">
        <f>HYPERLINK("http://ts.21cn.com/tousu/show/id/1351090","斗鱼公会退会")</f>
        <v>斗鱼公会退会</v>
      </c>
      <c r="C19144" s="2" t="s">
        <v>34</v>
      </c>
      <c r="D19144" s="2" t="s">
        <v>10</v>
      </c>
      <c r="E19144" s="2" t="str">
        <f>HYPERLINK("http://ts.21cn.com/tousu/show/id/1351090","http://ts.21cn.com/tousu/show/id/1351090")</f>
        <v>http://ts.21cn.com/tousu/show/id/1351090</v>
      </c>
      <c r="F19144" s="2" t="s">
        <v>11</v>
      </c>
      <c r="G19144" s="2" t="s">
        <v>6530</v>
      </c>
      <c r="H19144" s="2" t="s">
        <v>6531</v>
      </c>
    </row>
    <row r="19145" spans="1:8" ht="25.05" customHeight="1" x14ac:dyDescent="0.25">
      <c r="A19145" s="2" t="s">
        <v>8</v>
      </c>
      <c r="B19145" s="2" t="str">
        <f>HYPERLINK("http://ts.21cn.com/tousu/show/id/1351091","马上消费金融发送恐吓短信，暴力催收，严重骚扰联系人")</f>
        <v>马上消费金融发送恐吓短信，暴力催收，严重骚扰联系人</v>
      </c>
      <c r="C19145" s="2" t="s">
        <v>9</v>
      </c>
      <c r="D19145" s="2" t="s">
        <v>10</v>
      </c>
      <c r="E19145" s="2" t="str">
        <f>HYPERLINK("http://ts.21cn.com/tousu/show/id/1351091","http://ts.21cn.com/tousu/show/id/1351091")</f>
        <v>http://ts.21cn.com/tousu/show/id/1351091</v>
      </c>
      <c r="F19145" s="2" t="s">
        <v>11</v>
      </c>
      <c r="G19145" s="2" t="s">
        <v>6528</v>
      </c>
      <c r="H19145" s="2" t="s">
        <v>6529</v>
      </c>
    </row>
    <row r="19146" spans="1:8" ht="25.05" customHeight="1" x14ac:dyDescent="0.25">
      <c r="A19146" s="2" t="s">
        <v>8</v>
      </c>
      <c r="B19146" s="2" t="str">
        <f>HYPERLINK("http://ts.21cn.com/tousu/show/id/1351092","我的工行卡被广东银联无故扣款800多，请退还")</f>
        <v>我的工行卡被广东银联无故扣款800多，请退还</v>
      </c>
      <c r="C19146" s="2" t="s">
        <v>9</v>
      </c>
      <c r="D19146" s="2" t="s">
        <v>10</v>
      </c>
      <c r="E19146" s="2" t="str">
        <f>HYPERLINK("http://ts.21cn.com/tousu/show/id/1351092","http://ts.21cn.com/tousu/show/id/1351092")</f>
        <v>http://ts.21cn.com/tousu/show/id/1351092</v>
      </c>
      <c r="F19146" s="2" t="s">
        <v>11</v>
      </c>
      <c r="G19146" s="2" t="s">
        <v>6526</v>
      </c>
      <c r="H19146" s="2" t="s">
        <v>6527</v>
      </c>
    </row>
    <row r="19147" spans="1:8" ht="25.05" customHeight="1" x14ac:dyDescent="0.25">
      <c r="A19147" s="2" t="s">
        <v>8</v>
      </c>
      <c r="B19147" s="2" t="str">
        <f>HYPERLINK("http://ts.21cn.com/tousu/show/id/1351094","暴力催收")</f>
        <v>暴力催收</v>
      </c>
      <c r="C19147" s="2" t="s">
        <v>9</v>
      </c>
      <c r="D19147" s="2" t="s">
        <v>10</v>
      </c>
      <c r="E19147" s="2" t="str">
        <f>HYPERLINK("http://ts.21cn.com/tousu/show/id/1351094","http://ts.21cn.com/tousu/show/id/1351094")</f>
        <v>http://ts.21cn.com/tousu/show/id/1351094</v>
      </c>
      <c r="F19147" s="2" t="s">
        <v>11</v>
      </c>
      <c r="G19147" s="2" t="s">
        <v>6524</v>
      </c>
      <c r="H19147" s="2" t="s">
        <v>6525</v>
      </c>
    </row>
    <row r="19148" spans="1:8" ht="25.05" customHeight="1" x14ac:dyDescent="0.25">
      <c r="A19148" s="2" t="s">
        <v>8</v>
      </c>
      <c r="B19148" s="2" t="str">
        <f>HYPERLINK("http://ts.21cn.com/tousu/show/id/1351095","招联金融暴力催收骚扰")</f>
        <v>招联金融暴力催收骚扰</v>
      </c>
      <c r="C19148" s="2" t="s">
        <v>9</v>
      </c>
      <c r="D19148" s="2" t="s">
        <v>10</v>
      </c>
      <c r="E19148" s="2" t="str">
        <f>HYPERLINK("http://ts.21cn.com/tousu/show/id/1351095","http://ts.21cn.com/tousu/show/id/1351095")</f>
        <v>http://ts.21cn.com/tousu/show/id/1351095</v>
      </c>
      <c r="F19148" s="2" t="s">
        <v>11</v>
      </c>
      <c r="G19148" s="2" t="s">
        <v>6522</v>
      </c>
      <c r="H19148" s="2" t="s">
        <v>6523</v>
      </c>
    </row>
    <row r="19149" spans="1:8" ht="25.05" customHeight="1" x14ac:dyDescent="0.25">
      <c r="A19149" s="2" t="s">
        <v>8</v>
      </c>
      <c r="B19149" s="2" t="str">
        <f>HYPERLINK("http://ts.21cn.com/tousu/show/id/1351096","美团暴力催收威胁恐吓")</f>
        <v>美团暴力催收威胁恐吓</v>
      </c>
      <c r="C19149" s="2" t="s">
        <v>9</v>
      </c>
      <c r="D19149" s="2" t="s">
        <v>10</v>
      </c>
      <c r="E19149" s="2" t="str">
        <f>HYPERLINK("http://ts.21cn.com/tousu/show/id/1351096","http://ts.21cn.com/tousu/show/id/1351096")</f>
        <v>http://ts.21cn.com/tousu/show/id/1351096</v>
      </c>
      <c r="F19149" s="2" t="s">
        <v>11</v>
      </c>
      <c r="G19149" s="2" t="s">
        <v>6520</v>
      </c>
      <c r="H19149" s="2" t="s">
        <v>6521</v>
      </c>
    </row>
    <row r="19150" spans="1:8" ht="25.05" customHeight="1" x14ac:dyDescent="0.25">
      <c r="A19150" s="2" t="s">
        <v>8</v>
      </c>
      <c r="B19150" s="2" t="str">
        <f>HYPERLINK("http://ts.21cn.com/tousu/show/id/1351098","光大银行信用卡催收态度恶劣")</f>
        <v>光大银行信用卡催收态度恶劣</v>
      </c>
      <c r="C19150" s="2" t="s">
        <v>9</v>
      </c>
      <c r="D19150" s="2" t="s">
        <v>10</v>
      </c>
      <c r="E19150" s="2" t="str">
        <f>HYPERLINK("http://ts.21cn.com/tousu/show/id/1351098","http://ts.21cn.com/tousu/show/id/1351098")</f>
        <v>http://ts.21cn.com/tousu/show/id/1351098</v>
      </c>
      <c r="F19150" s="2" t="s">
        <v>11</v>
      </c>
      <c r="G19150" s="2" t="s">
        <v>6518</v>
      </c>
      <c r="H19150" s="2" t="s">
        <v>6519</v>
      </c>
    </row>
    <row r="19151" spans="1:8" ht="25.05" customHeight="1" x14ac:dyDescent="0.25">
      <c r="A19151" s="2" t="s">
        <v>8</v>
      </c>
      <c r="B19151" s="2" t="str">
        <f>HYPERLINK("http://ts.21cn.com/tousu/show/id/1351097","钱站高利贷阴阳合同")</f>
        <v>钱站高利贷阴阳合同</v>
      </c>
      <c r="C19151" s="2" t="s">
        <v>9</v>
      </c>
      <c r="D19151" s="2" t="s">
        <v>10</v>
      </c>
      <c r="E19151" s="2" t="str">
        <f>HYPERLINK("http://ts.21cn.com/tousu/show/id/1351097","http://ts.21cn.com/tousu/show/id/1351097")</f>
        <v>http://ts.21cn.com/tousu/show/id/1351097</v>
      </c>
      <c r="F19151" s="2" t="s">
        <v>11</v>
      </c>
      <c r="G19151" s="2" t="s">
        <v>6516</v>
      </c>
      <c r="H19151" s="2" t="s">
        <v>6517</v>
      </c>
    </row>
    <row r="19152" spans="1:8" ht="25.05" customHeight="1" x14ac:dyDescent="0.25">
      <c r="A19152" s="2" t="s">
        <v>8</v>
      </c>
      <c r="B19152" s="2" t="str">
        <f>HYPERLINK("http://ts.21cn.com/tousu/show/id/1351100","淮南市旭峰网络科技有限公司违规给博彩平台提供支付通道")</f>
        <v>淮南市旭峰网络科技有限公司违规给博彩平台提供支付通道</v>
      </c>
      <c r="C19152" s="2" t="s">
        <v>9</v>
      </c>
      <c r="D19152" s="2" t="s">
        <v>10</v>
      </c>
      <c r="E19152" s="2" t="str">
        <f>HYPERLINK("http://ts.21cn.com/tousu/show/id/1351100","http://ts.21cn.com/tousu/show/id/1351100")</f>
        <v>http://ts.21cn.com/tousu/show/id/1351100</v>
      </c>
      <c r="F19152" s="2" t="s">
        <v>11</v>
      </c>
      <c r="G19152" s="2" t="s">
        <v>6514</v>
      </c>
      <c r="H19152" s="2" t="s">
        <v>6515</v>
      </c>
    </row>
    <row r="19153" spans="1:8" ht="25.05" customHeight="1" x14ac:dyDescent="0.25">
      <c r="A19153" s="2" t="s">
        <v>8</v>
      </c>
      <c r="B19153" s="2" t="str">
        <f>HYPERLINK("http://ts.21cn.com/tousu/show/id/1351099","滴滴司机故意开慢车导致我面试失败")</f>
        <v>滴滴司机故意开慢车导致我面试失败</v>
      </c>
      <c r="C19153" s="2" t="s">
        <v>9</v>
      </c>
      <c r="D19153" s="2" t="s">
        <v>10</v>
      </c>
      <c r="E19153" s="2" t="str">
        <f>HYPERLINK("http://ts.21cn.com/tousu/show/id/1351099","http://ts.21cn.com/tousu/show/id/1351099")</f>
        <v>http://ts.21cn.com/tousu/show/id/1351099</v>
      </c>
      <c r="F19153" s="2" t="s">
        <v>11</v>
      </c>
      <c r="G19153" s="2" t="s">
        <v>6512</v>
      </c>
      <c r="H19153" s="2" t="s">
        <v>6513</v>
      </c>
    </row>
    <row r="19154" spans="1:8" ht="25.05" customHeight="1" x14ac:dyDescent="0.25">
      <c r="A19154" s="2" t="s">
        <v>8</v>
      </c>
      <c r="B19154" s="2" t="str">
        <f>HYPERLINK("http://ts.21cn.com/tousu/show/id/1351101","中邮钱包逾期2天就上征信")</f>
        <v>中邮钱包逾期2天就上征信</v>
      </c>
      <c r="C19154" s="2" t="s">
        <v>9</v>
      </c>
      <c r="D19154" s="2" t="s">
        <v>10</v>
      </c>
      <c r="E19154" s="2" t="str">
        <f>HYPERLINK("http://ts.21cn.com/tousu/show/id/1351101","http://ts.21cn.com/tousu/show/id/1351101")</f>
        <v>http://ts.21cn.com/tousu/show/id/1351101</v>
      </c>
      <c r="F19154" s="2" t="s">
        <v>11</v>
      </c>
      <c r="G19154" s="2" t="s">
        <v>6510</v>
      </c>
      <c r="H19154" s="2" t="s">
        <v>6511</v>
      </c>
    </row>
    <row r="19155" spans="1:8" ht="25.05" customHeight="1" x14ac:dyDescent="0.25">
      <c r="A19155" s="2" t="s">
        <v>8</v>
      </c>
      <c r="B19155" s="2" t="str">
        <f>HYPERLINK("http://ts.21cn.com/tousu/show/id/1351102","小赢卡贷电话骚扰")</f>
        <v>小赢卡贷电话骚扰</v>
      </c>
      <c r="C19155" s="2" t="s">
        <v>9</v>
      </c>
      <c r="D19155" s="2" t="s">
        <v>10</v>
      </c>
      <c r="E19155" s="2" t="str">
        <f>HYPERLINK("http://ts.21cn.com/tousu/show/id/1351102","http://ts.21cn.com/tousu/show/id/1351102")</f>
        <v>http://ts.21cn.com/tousu/show/id/1351102</v>
      </c>
      <c r="F19155" s="2" t="s">
        <v>11</v>
      </c>
      <c r="G19155" s="2" t="s">
        <v>6508</v>
      </c>
      <c r="H19155" s="2" t="s">
        <v>6509</v>
      </c>
    </row>
    <row r="19156" spans="1:8" ht="25.05" customHeight="1" x14ac:dyDescent="0.25">
      <c r="A19156" s="2" t="s">
        <v>8</v>
      </c>
      <c r="B19156" s="2" t="str">
        <f>HYPERLINK("http://ts.21cn.com/tousu/show/id/1351105","不给渠道费")</f>
        <v>不给渠道费</v>
      </c>
      <c r="C19156" s="2" t="s">
        <v>9</v>
      </c>
      <c r="D19156" s="2" t="s">
        <v>10</v>
      </c>
      <c r="E19156" s="2" t="str">
        <f>HYPERLINK("http://ts.21cn.com/tousu/show/id/1351105","http://ts.21cn.com/tousu/show/id/1351105")</f>
        <v>http://ts.21cn.com/tousu/show/id/1351105</v>
      </c>
      <c r="F19156" s="2" t="s">
        <v>11</v>
      </c>
      <c r="G19156" s="2" t="s">
        <v>6506</v>
      </c>
      <c r="H19156" s="2" t="s">
        <v>6507</v>
      </c>
    </row>
    <row r="19157" spans="1:8" ht="25.05" customHeight="1" x14ac:dyDescent="0.25">
      <c r="A19157" s="2" t="s">
        <v>8</v>
      </c>
      <c r="B19157" s="2" t="str">
        <f>HYPERLINK("http://ts.21cn.com/tousu/show/id/1351104","套路贷家破人亡")</f>
        <v>套路贷家破人亡</v>
      </c>
      <c r="C19157" s="2" t="s">
        <v>9</v>
      </c>
      <c r="D19157" s="2" t="s">
        <v>10</v>
      </c>
      <c r="E19157" s="2" t="str">
        <f>HYPERLINK("http://ts.21cn.com/tousu/show/id/1351104","http://ts.21cn.com/tousu/show/id/1351104")</f>
        <v>http://ts.21cn.com/tousu/show/id/1351104</v>
      </c>
      <c r="F19157" s="2" t="s">
        <v>11</v>
      </c>
      <c r="G19157" s="2" t="s">
        <v>6504</v>
      </c>
      <c r="H19157" s="2" t="s">
        <v>6505</v>
      </c>
    </row>
    <row r="19158" spans="1:8" ht="25.05" customHeight="1" x14ac:dyDescent="0.25">
      <c r="A19158" s="2" t="s">
        <v>8</v>
      </c>
      <c r="B19158" s="2" t="str">
        <f>HYPERLINK("http://ts.21cn.com/tousu/show/id/1351106","花转转樱桃小借恶意逾期")</f>
        <v>花转转樱桃小借恶意逾期</v>
      </c>
      <c r="C19158" s="2" t="s">
        <v>9</v>
      </c>
      <c r="D19158" s="2" t="s">
        <v>10</v>
      </c>
      <c r="E19158" s="2" t="str">
        <f>HYPERLINK("http://ts.21cn.com/tousu/show/id/1351106","http://ts.21cn.com/tousu/show/id/1351106")</f>
        <v>http://ts.21cn.com/tousu/show/id/1351106</v>
      </c>
      <c r="F19158" s="2" t="s">
        <v>11</v>
      </c>
      <c r="G19158" s="2" t="s">
        <v>6502</v>
      </c>
      <c r="H19158" s="2" t="s">
        <v>6503</v>
      </c>
    </row>
    <row r="19159" spans="1:8" ht="25.05" customHeight="1" x14ac:dyDescent="0.25">
      <c r="A19159" s="2" t="s">
        <v>8</v>
      </c>
      <c r="B19159" s="2" t="str">
        <f>HYPERLINK("http://ts.21cn.com/tousu/show/id/1351107","高利贷网贷还有高额附加费")</f>
        <v>高利贷网贷还有高额附加费</v>
      </c>
      <c r="C19159" s="2" t="s">
        <v>9</v>
      </c>
      <c r="D19159" s="2" t="s">
        <v>10</v>
      </c>
      <c r="E19159" s="2" t="str">
        <f>HYPERLINK("http://ts.21cn.com/tousu/show/id/1351107","http://ts.21cn.com/tousu/show/id/1351107")</f>
        <v>http://ts.21cn.com/tousu/show/id/1351107</v>
      </c>
      <c r="F19159" s="2" t="s">
        <v>11</v>
      </c>
      <c r="G19159" s="2" t="s">
        <v>6500</v>
      </c>
      <c r="H19159" s="2" t="s">
        <v>6501</v>
      </c>
    </row>
    <row r="19160" spans="1:8" ht="25.05" customHeight="1" x14ac:dyDescent="0.25">
      <c r="A19160" s="2" t="s">
        <v>8</v>
      </c>
      <c r="B19160" s="2" t="str">
        <f>HYPERLINK("http://ts.21cn.com/tousu/show/id/1351108","贷上钱利息问题")</f>
        <v>贷上钱利息问题</v>
      </c>
      <c r="C19160" s="2" t="s">
        <v>9</v>
      </c>
      <c r="D19160" s="2" t="s">
        <v>10</v>
      </c>
      <c r="E19160" s="2" t="str">
        <f>HYPERLINK("http://ts.21cn.com/tousu/show/id/1351108","http://ts.21cn.com/tousu/show/id/1351108")</f>
        <v>http://ts.21cn.com/tousu/show/id/1351108</v>
      </c>
      <c r="F19160" s="2" t="s">
        <v>11</v>
      </c>
      <c r="G19160" s="2" t="s">
        <v>6498</v>
      </c>
      <c r="H19160" s="2" t="s">
        <v>6499</v>
      </c>
    </row>
    <row r="19161" spans="1:8" ht="25.05" customHeight="1" x14ac:dyDescent="0.25">
      <c r="A19161" s="2" t="s">
        <v>8</v>
      </c>
      <c r="B19161" s="2" t="str">
        <f>HYPERLINK("http://ts.21cn.com/tousu/show/id/1351109","提前还款却要全息")</f>
        <v>提前还款却要全息</v>
      </c>
      <c r="C19161" s="2" t="s">
        <v>9</v>
      </c>
      <c r="D19161" s="2" t="s">
        <v>10</v>
      </c>
      <c r="E19161" s="2" t="str">
        <f>HYPERLINK("http://ts.21cn.com/tousu/show/id/1351109","http://ts.21cn.com/tousu/show/id/1351109")</f>
        <v>http://ts.21cn.com/tousu/show/id/1351109</v>
      </c>
      <c r="F19161" s="2" t="s">
        <v>11</v>
      </c>
      <c r="G19161" s="2" t="s">
        <v>6496</v>
      </c>
      <c r="H19161" s="2" t="s">
        <v>6497</v>
      </c>
    </row>
    <row r="19162" spans="1:8" ht="25.05" customHeight="1" x14ac:dyDescent="0.25">
      <c r="A19162" s="2" t="s">
        <v>8</v>
      </c>
      <c r="B19162" s="2" t="str">
        <f>HYPERLINK("http://ts.21cn.com/tousu/show/id/1351110","骚扰")</f>
        <v>骚扰</v>
      </c>
      <c r="C19162" s="2" t="s">
        <v>9</v>
      </c>
      <c r="D19162" s="2" t="s">
        <v>10</v>
      </c>
      <c r="E19162" s="2" t="str">
        <f>HYPERLINK("http://ts.21cn.com/tousu/show/id/1351110","http://ts.21cn.com/tousu/show/id/1351110")</f>
        <v>http://ts.21cn.com/tousu/show/id/1351110</v>
      </c>
      <c r="F19162" s="2" t="s">
        <v>11</v>
      </c>
      <c r="G19162" s="2" t="s">
        <v>6494</v>
      </c>
      <c r="H19162" s="2" t="s">
        <v>6495</v>
      </c>
    </row>
    <row r="19163" spans="1:8" ht="25.05" customHeight="1" x14ac:dyDescent="0.25">
      <c r="A19163" s="2" t="s">
        <v>8</v>
      </c>
      <c r="B19163" s="2" t="str">
        <f>HYPERLINK("http://ts.21cn.com/tousu/show/id/1351111","不良贷款，解除贷款")</f>
        <v>不良贷款，解除贷款</v>
      </c>
      <c r="C19163" s="2" t="s">
        <v>9</v>
      </c>
      <c r="D19163" s="2" t="s">
        <v>10</v>
      </c>
      <c r="E19163" s="2" t="str">
        <f>HYPERLINK("http://ts.21cn.com/tousu/show/id/1351111","http://ts.21cn.com/tousu/show/id/1351111")</f>
        <v>http://ts.21cn.com/tousu/show/id/1351111</v>
      </c>
      <c r="F19163" s="2" t="s">
        <v>11</v>
      </c>
      <c r="G19163" s="2" t="s">
        <v>6492</v>
      </c>
      <c r="H19163" s="2" t="s">
        <v>6493</v>
      </c>
    </row>
    <row r="19164" spans="1:8" ht="25.05" customHeight="1" x14ac:dyDescent="0.25">
      <c r="A19164" s="2" t="s">
        <v>8</v>
      </c>
      <c r="B19164" s="2" t="str">
        <f>HYPERLINK("http://ts.21cn.com/tousu/show/id/1351113","高利贷网站")</f>
        <v>高利贷网站</v>
      </c>
      <c r="C19164" s="2" t="s">
        <v>9</v>
      </c>
      <c r="D19164" s="2" t="s">
        <v>10</v>
      </c>
      <c r="E19164" s="2" t="str">
        <f>HYPERLINK("http://ts.21cn.com/tousu/show/id/1351113","http://ts.21cn.com/tousu/show/id/1351113")</f>
        <v>http://ts.21cn.com/tousu/show/id/1351113</v>
      </c>
      <c r="F19164" s="2" t="s">
        <v>11</v>
      </c>
      <c r="G19164" s="2" t="s">
        <v>6490</v>
      </c>
      <c r="H19164" s="2" t="s">
        <v>6491</v>
      </c>
    </row>
    <row r="19165" spans="1:8" ht="25.05" customHeight="1" x14ac:dyDescent="0.25">
      <c r="A19165" s="2" t="s">
        <v>8</v>
      </c>
      <c r="B19165" s="2" t="str">
        <f>HYPERLINK("http://ts.21cn.com/tousu/show/id/1351114","小赢卡贷暴力催收")</f>
        <v>小赢卡贷暴力催收</v>
      </c>
      <c r="C19165" s="2" t="s">
        <v>9</v>
      </c>
      <c r="D19165" s="2" t="s">
        <v>10</v>
      </c>
      <c r="E19165" s="2" t="str">
        <f>HYPERLINK("http://ts.21cn.com/tousu/show/id/1351114","http://ts.21cn.com/tousu/show/id/1351114")</f>
        <v>http://ts.21cn.com/tousu/show/id/1351114</v>
      </c>
      <c r="F19165" s="2" t="s">
        <v>11</v>
      </c>
      <c r="G19165" s="2" t="s">
        <v>6488</v>
      </c>
      <c r="H19165" s="2" t="s">
        <v>6489</v>
      </c>
    </row>
    <row r="19166" spans="1:8" ht="25.05" customHeight="1" x14ac:dyDescent="0.25">
      <c r="A19166" s="2" t="s">
        <v>8</v>
      </c>
      <c r="B19166" s="2" t="str">
        <f>HYPERLINK("http://ts.21cn.com/tousu/show/id/1351115","找靓机手机不合格客服不合格")</f>
        <v>找靓机手机不合格客服不合格</v>
      </c>
      <c r="C19166" s="2" t="s">
        <v>9</v>
      </c>
      <c r="D19166" s="2" t="s">
        <v>10</v>
      </c>
      <c r="E19166" s="2" t="str">
        <f>HYPERLINK("http://ts.21cn.com/tousu/show/id/1351115","http://ts.21cn.com/tousu/show/id/1351115")</f>
        <v>http://ts.21cn.com/tousu/show/id/1351115</v>
      </c>
      <c r="F19166" s="2" t="s">
        <v>11</v>
      </c>
      <c r="G19166" s="2" t="s">
        <v>6486</v>
      </c>
      <c r="H19166" s="2" t="s">
        <v>6487</v>
      </c>
    </row>
    <row r="19167" spans="1:8" ht="25.05" customHeight="1" x14ac:dyDescent="0.25">
      <c r="A19167" s="2" t="s">
        <v>8</v>
      </c>
      <c r="B19167" s="2" t="str">
        <f>HYPERLINK("http://ts.21cn.com/tousu/show/id/1351117","退还我的血汗钱，迅速退还平台协商后的差价")</f>
        <v>退还我的血汗钱，迅速退还平台协商后的差价</v>
      </c>
      <c r="C19167" s="2" t="s">
        <v>9</v>
      </c>
      <c r="D19167" s="2" t="s">
        <v>10</v>
      </c>
      <c r="E19167" s="2" t="str">
        <f>HYPERLINK("http://ts.21cn.com/tousu/show/id/1351117","http://ts.21cn.com/tousu/show/id/1351117")</f>
        <v>http://ts.21cn.com/tousu/show/id/1351117</v>
      </c>
      <c r="F19167" s="2" t="s">
        <v>11</v>
      </c>
      <c r="G19167" s="2" t="s">
        <v>6484</v>
      </c>
      <c r="H19167" s="2" t="s">
        <v>6485</v>
      </c>
    </row>
    <row r="19168" spans="1:8" ht="25.05" customHeight="1" x14ac:dyDescent="0.25">
      <c r="A19168" s="2" t="s">
        <v>8</v>
      </c>
      <c r="B19168" s="2" t="str">
        <f>HYPERLINK("http://ts.21cn.com/tousu/show/id/1351116","现金巴士砍头息，收取会员费")</f>
        <v>现金巴士砍头息，收取会员费</v>
      </c>
      <c r="C19168" s="2" t="s">
        <v>9</v>
      </c>
      <c r="D19168" s="2" t="s">
        <v>10</v>
      </c>
      <c r="E19168" s="2" t="str">
        <f>HYPERLINK("http://ts.21cn.com/tousu/show/id/1351116","http://ts.21cn.com/tousu/show/id/1351116")</f>
        <v>http://ts.21cn.com/tousu/show/id/1351116</v>
      </c>
      <c r="F19168" s="2" t="s">
        <v>11</v>
      </c>
      <c r="G19168" s="2" t="s">
        <v>6482</v>
      </c>
      <c r="H19168" s="2" t="s">
        <v>6483</v>
      </c>
    </row>
    <row r="19169" spans="1:8" ht="25.05" customHeight="1" x14ac:dyDescent="0.25">
      <c r="A19169" s="2" t="s">
        <v>8</v>
      </c>
      <c r="B19169" s="2" t="str">
        <f>HYPERLINK("http://ts.21cn.com/tousu/show/id/1351118","小花钱包暴力催收")</f>
        <v>小花钱包暴力催收</v>
      </c>
      <c r="C19169" s="2" t="s">
        <v>9</v>
      </c>
      <c r="D19169" s="2" t="s">
        <v>10</v>
      </c>
      <c r="E19169" s="2" t="str">
        <f>HYPERLINK("http://ts.21cn.com/tousu/show/id/1351118","http://ts.21cn.com/tousu/show/id/1351118")</f>
        <v>http://ts.21cn.com/tousu/show/id/1351118</v>
      </c>
      <c r="F19169" s="2" t="s">
        <v>11</v>
      </c>
      <c r="G19169" s="2" t="s">
        <v>6480</v>
      </c>
      <c r="H19169" s="2" t="s">
        <v>6481</v>
      </c>
    </row>
    <row r="19170" spans="1:8" ht="25.05" customHeight="1" x14ac:dyDescent="0.25">
      <c r="A19170" s="2" t="s">
        <v>8</v>
      </c>
      <c r="B19170" s="2" t="str">
        <f>HYPERLINK("http://ts.21cn.com/tousu/show/id/1351119","交通银行暴力催收")</f>
        <v>交通银行暴力催收</v>
      </c>
      <c r="C19170" s="2" t="s">
        <v>9</v>
      </c>
      <c r="D19170" s="2" t="s">
        <v>10</v>
      </c>
      <c r="E19170" s="2" t="str">
        <f>HYPERLINK("http://ts.21cn.com/tousu/show/id/1351119","http://ts.21cn.com/tousu/show/id/1351119")</f>
        <v>http://ts.21cn.com/tousu/show/id/1351119</v>
      </c>
      <c r="F19170" s="2" t="s">
        <v>11</v>
      </c>
      <c r="G19170" s="2" t="s">
        <v>6478</v>
      </c>
      <c r="H19170" s="2" t="s">
        <v>6479</v>
      </c>
    </row>
    <row r="19171" spans="1:8" ht="25.05" customHeight="1" x14ac:dyDescent="0.25">
      <c r="A19171" s="2" t="s">
        <v>8</v>
      </c>
      <c r="B19171" s="2" t="str">
        <f>HYPERLINK("http://ts.21cn.com/tousu/show/id/1351120","关于51金钱贷高利贷暴力催收")</f>
        <v>关于51金钱贷高利贷暴力催收</v>
      </c>
      <c r="C19171" s="2" t="s">
        <v>9</v>
      </c>
      <c r="D19171" s="2" t="s">
        <v>10</v>
      </c>
      <c r="E19171" s="2" t="str">
        <f>HYPERLINK("http://ts.21cn.com/tousu/show/id/1351120","http://ts.21cn.com/tousu/show/id/1351120")</f>
        <v>http://ts.21cn.com/tousu/show/id/1351120</v>
      </c>
      <c r="F19171" s="2" t="s">
        <v>11</v>
      </c>
      <c r="G19171" s="2" t="s">
        <v>6476</v>
      </c>
      <c r="H19171" s="2" t="s">
        <v>6477</v>
      </c>
    </row>
    <row r="19172" spans="1:8" ht="25.05" customHeight="1" x14ac:dyDescent="0.25">
      <c r="A19172" s="2" t="s">
        <v>8</v>
      </c>
      <c r="B19172" s="2" t="str">
        <f>HYPERLINK("http://ts.21cn.com/tousu/show/id/1351121","群发信息通讯录")</f>
        <v>群发信息通讯录</v>
      </c>
      <c r="C19172" s="2" t="s">
        <v>9</v>
      </c>
      <c r="D19172" s="2" t="s">
        <v>10</v>
      </c>
      <c r="E19172" s="2" t="str">
        <f>HYPERLINK("http://ts.21cn.com/tousu/show/id/1351121","http://ts.21cn.com/tousu/show/id/1351121")</f>
        <v>http://ts.21cn.com/tousu/show/id/1351121</v>
      </c>
      <c r="F19172" s="2" t="s">
        <v>11</v>
      </c>
      <c r="G19172" s="2" t="s">
        <v>6474</v>
      </c>
      <c r="H19172" s="2" t="s">
        <v>6475</v>
      </c>
    </row>
    <row r="19173" spans="1:8" ht="25.05" customHeight="1" x14ac:dyDescent="0.25">
      <c r="A19173" s="2" t="s">
        <v>8</v>
      </c>
      <c r="B19173" s="2" t="str">
        <f>HYPERLINK("http://ts.21cn.com/tousu/show/id/1351125","爱又米收取高额砍头息")</f>
        <v>爱又米收取高额砍头息</v>
      </c>
      <c r="C19173" s="2" t="s">
        <v>9</v>
      </c>
      <c r="D19173" s="2" t="s">
        <v>10</v>
      </c>
      <c r="E19173" s="2" t="str">
        <f>HYPERLINK("http://ts.21cn.com/tousu/show/id/1351125","http://ts.21cn.com/tousu/show/id/1351125")</f>
        <v>http://ts.21cn.com/tousu/show/id/1351125</v>
      </c>
      <c r="F19173" s="2" t="s">
        <v>11</v>
      </c>
      <c r="G19173" s="2" t="s">
        <v>6472</v>
      </c>
      <c r="H19173" s="2" t="s">
        <v>6473</v>
      </c>
    </row>
    <row r="19174" spans="1:8" ht="25.05" customHeight="1" x14ac:dyDescent="0.25">
      <c r="A19174" s="2" t="s">
        <v>8</v>
      </c>
      <c r="B19174" s="2" t="str">
        <f>HYPERLINK("http://ts.21cn.com/tousu/show/id/1351122","中邮消费暴利催收，高利贷")</f>
        <v>中邮消费暴利催收，高利贷</v>
      </c>
      <c r="C19174" s="2" t="s">
        <v>9</v>
      </c>
      <c r="D19174" s="2" t="s">
        <v>10</v>
      </c>
      <c r="E19174" s="2" t="str">
        <f>HYPERLINK("http://ts.21cn.com/tousu/show/id/1351122","http://ts.21cn.com/tousu/show/id/1351122")</f>
        <v>http://ts.21cn.com/tousu/show/id/1351122</v>
      </c>
      <c r="F19174" s="2" t="s">
        <v>11</v>
      </c>
      <c r="G19174" s="2" t="s">
        <v>6470</v>
      </c>
      <c r="H19174" s="2" t="s">
        <v>6471</v>
      </c>
    </row>
    <row r="19175" spans="1:8" ht="25.05" customHeight="1" x14ac:dyDescent="0.25">
      <c r="A19175" s="2" t="s">
        <v>8</v>
      </c>
      <c r="B19175" s="2" t="str">
        <f>HYPERLINK("http://ts.21cn.com/tousu/show/id/1351126","错误收费")</f>
        <v>错误收费</v>
      </c>
      <c r="C19175" s="2" t="s">
        <v>9</v>
      </c>
      <c r="D19175" s="2" t="s">
        <v>10</v>
      </c>
      <c r="E19175" s="2" t="str">
        <f>HYPERLINK("http://ts.21cn.com/tousu/show/id/1351126","http://ts.21cn.com/tousu/show/id/1351126")</f>
        <v>http://ts.21cn.com/tousu/show/id/1351126</v>
      </c>
      <c r="F19175" s="2" t="s">
        <v>11</v>
      </c>
      <c r="G19175" s="2" t="s">
        <v>6468</v>
      </c>
      <c r="H19175" s="2" t="s">
        <v>6469</v>
      </c>
    </row>
    <row r="19176" spans="1:8" ht="25.05" customHeight="1" x14ac:dyDescent="0.25">
      <c r="A19176" s="2" t="s">
        <v>8</v>
      </c>
      <c r="B19176" s="2" t="str">
        <f>HYPERLINK("http://ts.21cn.com/tousu/show/id/1351129","商户拒不发货虚假发货")</f>
        <v>商户拒不发货虚假发货</v>
      </c>
      <c r="C19176" s="2" t="s">
        <v>9</v>
      </c>
      <c r="D19176" s="2" t="s">
        <v>10</v>
      </c>
      <c r="E19176" s="2" t="str">
        <f>HYPERLINK("http://ts.21cn.com/tousu/show/id/1351129","http://ts.21cn.com/tousu/show/id/1351129")</f>
        <v>http://ts.21cn.com/tousu/show/id/1351129</v>
      </c>
      <c r="F19176" s="2" t="s">
        <v>11</v>
      </c>
      <c r="G19176" s="2" t="s">
        <v>6466</v>
      </c>
      <c r="H19176" s="2" t="s">
        <v>6467</v>
      </c>
    </row>
    <row r="19177" spans="1:8" ht="25.05" customHeight="1" x14ac:dyDescent="0.25">
      <c r="A19177" s="2" t="s">
        <v>8</v>
      </c>
      <c r="B19177" s="2" t="str">
        <f>HYPERLINK("http://ts.21cn.com/tousu/show/id/1351130","利息超出国家标准、属于高利贷")</f>
        <v>利息超出国家标准、属于高利贷</v>
      </c>
      <c r="C19177" s="2" t="s">
        <v>9</v>
      </c>
      <c r="D19177" s="2" t="s">
        <v>10</v>
      </c>
      <c r="E19177" s="2" t="str">
        <f>HYPERLINK("http://ts.21cn.com/tousu/show/id/1351130","http://ts.21cn.com/tousu/show/id/1351130")</f>
        <v>http://ts.21cn.com/tousu/show/id/1351130</v>
      </c>
      <c r="F19177" s="2" t="s">
        <v>11</v>
      </c>
      <c r="G19177" s="2" t="s">
        <v>6464</v>
      </c>
      <c r="H19177" s="2" t="s">
        <v>6465</v>
      </c>
    </row>
    <row r="19178" spans="1:8" ht="25.05" customHeight="1" x14ac:dyDescent="0.25">
      <c r="A19178" s="2" t="s">
        <v>8</v>
      </c>
      <c r="B19178" s="2" t="str">
        <f>HYPERLINK("http://ts.21cn.com/tousu/show/id/1351131","威胁爆通信录，无视法律")</f>
        <v>威胁爆通信录，无视法律</v>
      </c>
      <c r="C19178" s="2" t="s">
        <v>9</v>
      </c>
      <c r="D19178" s="2" t="s">
        <v>10</v>
      </c>
      <c r="E19178" s="2" t="str">
        <f>HYPERLINK("http://ts.21cn.com/tousu/show/id/1351131","http://ts.21cn.com/tousu/show/id/1351131")</f>
        <v>http://ts.21cn.com/tousu/show/id/1351131</v>
      </c>
      <c r="F19178" s="2" t="s">
        <v>11</v>
      </c>
      <c r="G19178" s="2" t="s">
        <v>6462</v>
      </c>
      <c r="H19178" s="2" t="s">
        <v>6463</v>
      </c>
    </row>
    <row r="19179" spans="1:8" ht="25.05" customHeight="1" x14ac:dyDescent="0.25">
      <c r="A19179" s="2" t="s">
        <v>8</v>
      </c>
      <c r="B19179" s="2" t="str">
        <f>HYPERLINK("http://ts.21cn.com/tousu/show/id/1351133","哆咪黑卡APP自动扣款299")</f>
        <v>哆咪黑卡APP自动扣款299</v>
      </c>
      <c r="C19179" s="2" t="s">
        <v>9</v>
      </c>
      <c r="D19179" s="2" t="s">
        <v>10</v>
      </c>
      <c r="E19179" s="2" t="str">
        <f>HYPERLINK("http://ts.21cn.com/tousu/show/id/1351133","http://ts.21cn.com/tousu/show/id/1351133")</f>
        <v>http://ts.21cn.com/tousu/show/id/1351133</v>
      </c>
      <c r="F19179" s="2" t="s">
        <v>11</v>
      </c>
      <c r="G19179" s="2" t="s">
        <v>6460</v>
      </c>
      <c r="H19179" s="2" t="s">
        <v>6461</v>
      </c>
    </row>
    <row r="19180" spans="1:8" ht="25.05" customHeight="1" x14ac:dyDescent="0.25">
      <c r="A19180" s="2" t="s">
        <v>8</v>
      </c>
      <c r="B19180" s="2" t="str">
        <f>HYPERLINK("http://ts.21cn.com/tousu/show/id/1351134","淘宝闲鱼购买的打印机无法使用，退货遭拒")</f>
        <v>淘宝闲鱼购买的打印机无法使用，退货遭拒</v>
      </c>
      <c r="C19180" s="2" t="s">
        <v>9</v>
      </c>
      <c r="D19180" s="2" t="s">
        <v>10</v>
      </c>
      <c r="E19180" s="2" t="str">
        <f>HYPERLINK("http://ts.21cn.com/tousu/show/id/1351134","http://ts.21cn.com/tousu/show/id/1351134")</f>
        <v>http://ts.21cn.com/tousu/show/id/1351134</v>
      </c>
      <c r="F19180" s="2" t="s">
        <v>11</v>
      </c>
      <c r="G19180" s="2" t="s">
        <v>6458</v>
      </c>
      <c r="H19180" s="2" t="s">
        <v>6459</v>
      </c>
    </row>
    <row r="19181" spans="1:8" ht="25.05" customHeight="1" x14ac:dyDescent="0.25">
      <c r="A19181" s="2" t="s">
        <v>8</v>
      </c>
      <c r="B19181" s="2" t="str">
        <f>HYPERLINK("http://ts.21cn.com/tousu/show/id/1351136","非法获取通讯录，催收暴通讯录")</f>
        <v>非法获取通讯录，催收暴通讯录</v>
      </c>
      <c r="C19181" s="2" t="s">
        <v>9</v>
      </c>
      <c r="D19181" s="2" t="s">
        <v>10</v>
      </c>
      <c r="E19181" s="2" t="str">
        <f>HYPERLINK("http://ts.21cn.com/tousu/show/id/1351136","http://ts.21cn.com/tousu/show/id/1351136")</f>
        <v>http://ts.21cn.com/tousu/show/id/1351136</v>
      </c>
      <c r="F19181" s="2" t="s">
        <v>11</v>
      </c>
      <c r="G19181" s="2" t="s">
        <v>6456</v>
      </c>
      <c r="H19181" s="2" t="s">
        <v>6457</v>
      </c>
    </row>
    <row r="19182" spans="1:8" ht="25.05" customHeight="1" x14ac:dyDescent="0.25">
      <c r="A19182" s="2" t="s">
        <v>8</v>
      </c>
      <c r="B19182" s="2" t="str">
        <f>HYPERLINK("http://ts.21cn.com/tousu/show/id/1351137","滴滴平台诈欺司机")</f>
        <v>滴滴平台诈欺司机</v>
      </c>
      <c r="C19182" s="2" t="s">
        <v>9</v>
      </c>
      <c r="D19182" s="2" t="s">
        <v>10</v>
      </c>
      <c r="E19182" s="2" t="str">
        <f>HYPERLINK("http://ts.21cn.com/tousu/show/id/1351137","http://ts.21cn.com/tousu/show/id/1351137")</f>
        <v>http://ts.21cn.com/tousu/show/id/1351137</v>
      </c>
      <c r="F19182" s="2" t="s">
        <v>11</v>
      </c>
      <c r="G19182" s="2" t="s">
        <v>6454</v>
      </c>
      <c r="H19182" s="2" t="s">
        <v>6455</v>
      </c>
    </row>
    <row r="19183" spans="1:8" ht="25.05" customHeight="1" x14ac:dyDescent="0.25">
      <c r="A19183" s="2" t="s">
        <v>8</v>
      </c>
      <c r="B19183" s="2" t="str">
        <f>HYPERLINK("http://ts.21cn.com/tousu/show/id/1351141","趣花分期高利贷，扬海资产高利贷")</f>
        <v>趣花分期高利贷，扬海资产高利贷</v>
      </c>
      <c r="C19183" s="2" t="s">
        <v>9</v>
      </c>
      <c r="D19183" s="2" t="s">
        <v>10</v>
      </c>
      <c r="E19183" s="2" t="str">
        <f>HYPERLINK("http://ts.21cn.com/tousu/show/id/1351141","http://ts.21cn.com/tousu/show/id/1351141")</f>
        <v>http://ts.21cn.com/tousu/show/id/1351141</v>
      </c>
      <c r="F19183" s="2" t="s">
        <v>11</v>
      </c>
      <c r="G19183" s="2" t="s">
        <v>6452</v>
      </c>
      <c r="H19183" s="2" t="s">
        <v>6453</v>
      </c>
    </row>
    <row r="19184" spans="1:8" ht="25.05" customHeight="1" x14ac:dyDescent="0.25">
      <c r="A19184" s="2" t="s">
        <v>8</v>
      </c>
      <c r="B19184" s="2" t="str">
        <f>HYPERLINK("http://ts.21cn.com/tousu/show/id/1351142","催收公司乱发信息称要起诉也已影响生活")</f>
        <v>催收公司乱发信息称要起诉也已影响生活</v>
      </c>
      <c r="C19184" s="2" t="s">
        <v>9</v>
      </c>
      <c r="D19184" s="2" t="s">
        <v>10</v>
      </c>
      <c r="E19184" s="2" t="str">
        <f>HYPERLINK("http://ts.21cn.com/tousu/show/id/1351142","http://ts.21cn.com/tousu/show/id/1351142")</f>
        <v>http://ts.21cn.com/tousu/show/id/1351142</v>
      </c>
      <c r="F19184" s="2" t="s">
        <v>11</v>
      </c>
      <c r="G19184" s="2" t="s">
        <v>6450</v>
      </c>
      <c r="H19184" s="2" t="s">
        <v>6451</v>
      </c>
    </row>
    <row r="19185" spans="1:8" ht="25.05" customHeight="1" x14ac:dyDescent="0.25">
      <c r="A19185" s="2" t="s">
        <v>8</v>
      </c>
      <c r="B19185" s="2" t="str">
        <f>HYPERLINK("http://ts.21cn.com/tousu/show/id/1351143","平安普惠还没到还款日就开始打电话骚扰")</f>
        <v>平安普惠还没到还款日就开始打电话骚扰</v>
      </c>
      <c r="C19185" s="2" t="s">
        <v>9</v>
      </c>
      <c r="D19185" s="2" t="s">
        <v>10</v>
      </c>
      <c r="E19185" s="2" t="str">
        <f>HYPERLINK("http://ts.21cn.com/tousu/show/id/1351143","http://ts.21cn.com/tousu/show/id/1351143")</f>
        <v>http://ts.21cn.com/tousu/show/id/1351143</v>
      </c>
      <c r="F19185" s="2" t="s">
        <v>11</v>
      </c>
      <c r="G19185" s="2" t="s">
        <v>6448</v>
      </c>
      <c r="H19185" s="2" t="s">
        <v>6449</v>
      </c>
    </row>
    <row r="19186" spans="1:8" ht="25.05" customHeight="1" x14ac:dyDescent="0.25">
      <c r="A19186" s="2" t="s">
        <v>8</v>
      </c>
      <c r="B19186" s="2" t="str">
        <f>HYPERLINK("http://ts.21cn.com/tousu/show/id/1351145","蜂鸟众包平台系统随意判定违规送达")</f>
        <v>蜂鸟众包平台系统随意判定违规送达</v>
      </c>
      <c r="C19186" s="2" t="s">
        <v>9</v>
      </c>
      <c r="D19186" s="2" t="s">
        <v>10</v>
      </c>
      <c r="E19186" s="2" t="str">
        <f>HYPERLINK("http://ts.21cn.com/tousu/show/id/1351145","http://ts.21cn.com/tousu/show/id/1351145")</f>
        <v>http://ts.21cn.com/tousu/show/id/1351145</v>
      </c>
      <c r="F19186" s="2" t="s">
        <v>11</v>
      </c>
      <c r="G19186" s="2" t="s">
        <v>6446</v>
      </c>
      <c r="H19186" s="2" t="s">
        <v>6447</v>
      </c>
    </row>
    <row r="19187" spans="1:8" ht="25.05" customHeight="1" x14ac:dyDescent="0.25">
      <c r="A19187" s="2" t="s">
        <v>8</v>
      </c>
      <c r="B19187" s="2" t="str">
        <f>HYPERLINK("http://ts.21cn.com/tousu/show/id/1351146","催收员冒充公检法，恐吓，威胁")</f>
        <v>催收员冒充公检法，恐吓，威胁</v>
      </c>
      <c r="C19187" s="2" t="s">
        <v>9</v>
      </c>
      <c r="D19187" s="2" t="s">
        <v>10</v>
      </c>
      <c r="E19187" s="2" t="str">
        <f>HYPERLINK("http://ts.21cn.com/tousu/show/id/1351146","http://ts.21cn.com/tousu/show/id/1351146")</f>
        <v>http://ts.21cn.com/tousu/show/id/1351146</v>
      </c>
      <c r="F19187" s="2" t="s">
        <v>11</v>
      </c>
      <c r="G19187" s="2" t="s">
        <v>6444</v>
      </c>
      <c r="H19187" s="2" t="s">
        <v>6445</v>
      </c>
    </row>
    <row r="19188" spans="1:8" ht="25.05" customHeight="1" x14ac:dyDescent="0.25">
      <c r="A19188" s="2" t="s">
        <v>8</v>
      </c>
      <c r="B19188" s="2" t="str">
        <f>HYPERLINK("http://ts.21cn.com/tousu/show/id/1351147","半夜三更银行卡遭盗刷")</f>
        <v>半夜三更银行卡遭盗刷</v>
      </c>
      <c r="C19188" s="2" t="s">
        <v>9</v>
      </c>
      <c r="D19188" s="2" t="s">
        <v>10</v>
      </c>
      <c r="E19188" s="2" t="str">
        <f>HYPERLINK("http://ts.21cn.com/tousu/show/id/1351147","http://ts.21cn.com/tousu/show/id/1351147")</f>
        <v>http://ts.21cn.com/tousu/show/id/1351147</v>
      </c>
      <c r="F19188" s="2" t="s">
        <v>11</v>
      </c>
      <c r="G19188" s="2" t="s">
        <v>6442</v>
      </c>
      <c r="H19188" s="2" t="s">
        <v>6443</v>
      </c>
    </row>
    <row r="19189" spans="1:8" ht="25.05" customHeight="1" x14ac:dyDescent="0.25">
      <c r="A19189" s="2" t="s">
        <v>8</v>
      </c>
      <c r="B19189" s="2" t="str">
        <f>HYPERLINK("http://ts.21cn.com/tousu/show/id/1351148","安逸花协商还款")</f>
        <v>安逸花协商还款</v>
      </c>
      <c r="C19189" s="2" t="s">
        <v>9</v>
      </c>
      <c r="D19189" s="2" t="s">
        <v>10</v>
      </c>
      <c r="E19189" s="2" t="str">
        <f>HYPERLINK("http://ts.21cn.com/tousu/show/id/1351148","http://ts.21cn.com/tousu/show/id/1351148")</f>
        <v>http://ts.21cn.com/tousu/show/id/1351148</v>
      </c>
      <c r="F19189" s="2" t="s">
        <v>11</v>
      </c>
      <c r="G19189" s="2" t="s">
        <v>6440</v>
      </c>
      <c r="H19189" s="2" t="s">
        <v>6441</v>
      </c>
    </row>
    <row r="19190" spans="1:8" ht="25.05" customHeight="1" x14ac:dyDescent="0.25">
      <c r="A19190" s="2" t="s">
        <v>8</v>
      </c>
      <c r="B19190" s="2" t="str">
        <f>HYPERLINK("http://ts.21cn.com/tousu/show/id/1351151","天有不测风云，绝望家庭能否度过难关")</f>
        <v>天有不测风云，绝望家庭能否度过难关</v>
      </c>
      <c r="C19190" s="2" t="s">
        <v>9</v>
      </c>
      <c r="D19190" s="2" t="s">
        <v>10</v>
      </c>
      <c r="E19190" s="2" t="str">
        <f>HYPERLINK("http://ts.21cn.com/tousu/show/id/1351151","http://ts.21cn.com/tousu/show/id/1351151")</f>
        <v>http://ts.21cn.com/tousu/show/id/1351151</v>
      </c>
      <c r="F19190" s="2" t="s">
        <v>11</v>
      </c>
      <c r="G19190" s="2" t="s">
        <v>6438</v>
      </c>
      <c r="H19190" s="2" t="s">
        <v>6439</v>
      </c>
    </row>
    <row r="19191" spans="1:8" ht="25.05" customHeight="1" x14ac:dyDescent="0.25">
      <c r="A19191" s="2" t="s">
        <v>8</v>
      </c>
      <c r="B19191" s="2" t="str">
        <f>HYPERLINK("http://ts.21cn.com/tousu/show/id/1351152","捷信上门骚扰")</f>
        <v>捷信上门骚扰</v>
      </c>
      <c r="C19191" s="2" t="s">
        <v>9</v>
      </c>
      <c r="D19191" s="2" t="s">
        <v>10</v>
      </c>
      <c r="E19191" s="2" t="str">
        <f>HYPERLINK("http://ts.21cn.com/tousu/show/id/1351152","http://ts.21cn.com/tousu/show/id/1351152")</f>
        <v>http://ts.21cn.com/tousu/show/id/1351152</v>
      </c>
      <c r="F19191" s="2" t="s">
        <v>11</v>
      </c>
      <c r="G19191" s="2" t="s">
        <v>6436</v>
      </c>
      <c r="H19191" s="2" t="s">
        <v>6437</v>
      </c>
    </row>
    <row r="19192" spans="1:8" ht="25.05" customHeight="1" x14ac:dyDescent="0.25">
      <c r="A19192" s="2" t="s">
        <v>8</v>
      </c>
      <c r="B19192" s="2" t="str">
        <f>HYPERLINK("http://ts.21cn.com/tousu/show/id/1351154","中信银行骚扰前同事")</f>
        <v>中信银行骚扰前同事</v>
      </c>
      <c r="C19192" s="2" t="s">
        <v>9</v>
      </c>
      <c r="D19192" s="2" t="s">
        <v>10</v>
      </c>
      <c r="E19192" s="2" t="str">
        <f>HYPERLINK("http://ts.21cn.com/tousu/show/id/1351154","http://ts.21cn.com/tousu/show/id/1351154")</f>
        <v>http://ts.21cn.com/tousu/show/id/1351154</v>
      </c>
      <c r="F19192" s="2" t="s">
        <v>11</v>
      </c>
      <c r="G19192" s="2" t="s">
        <v>6434</v>
      </c>
      <c r="H19192" s="2" t="s">
        <v>6435</v>
      </c>
    </row>
    <row r="19193" spans="1:8" ht="25.05" customHeight="1" x14ac:dyDescent="0.25">
      <c r="A19193" s="2" t="s">
        <v>8</v>
      </c>
      <c r="B19193" s="2" t="str">
        <f>HYPERLINK("http://ts.21cn.com/tousu/show/id/1351153","优信二手车套路贷及强制客户购买优信保险否则拒绝过户车辆所有人")</f>
        <v>优信二手车套路贷及强制客户购买优信保险否则拒绝过户车辆所有人</v>
      </c>
      <c r="C19193" s="2" t="s">
        <v>9</v>
      </c>
      <c r="D19193" s="2" t="s">
        <v>10</v>
      </c>
      <c r="E19193" s="2" t="str">
        <f>HYPERLINK("http://ts.21cn.com/tousu/show/id/1351153","http://ts.21cn.com/tousu/show/id/1351153")</f>
        <v>http://ts.21cn.com/tousu/show/id/1351153</v>
      </c>
      <c r="F19193" s="2" t="s">
        <v>11</v>
      </c>
      <c r="G19193" s="2" t="s">
        <v>6432</v>
      </c>
      <c r="H19193" s="2" t="s">
        <v>6433</v>
      </c>
    </row>
    <row r="19194" spans="1:8" ht="25.05" customHeight="1" x14ac:dyDescent="0.25">
      <c r="A19194" s="2" t="s">
        <v>8</v>
      </c>
      <c r="B19194" s="2" t="str">
        <f>HYPERLINK("http://ts.21cn.com/tousu/show/id/1351155","国通石油还我血汗钱")</f>
        <v>国通石油还我血汗钱</v>
      </c>
      <c r="C19194" s="2" t="s">
        <v>9</v>
      </c>
      <c r="D19194" s="2" t="s">
        <v>10</v>
      </c>
      <c r="E19194" s="2" t="str">
        <f>HYPERLINK("http://ts.21cn.com/tousu/show/id/1351155","http://ts.21cn.com/tousu/show/id/1351155")</f>
        <v>http://ts.21cn.com/tousu/show/id/1351155</v>
      </c>
      <c r="F19194" s="2" t="s">
        <v>11</v>
      </c>
      <c r="G19194" s="2" t="s">
        <v>6430</v>
      </c>
      <c r="H19194" s="2" t="s">
        <v>6431</v>
      </c>
    </row>
    <row r="19195" spans="1:8" ht="25.05" customHeight="1" x14ac:dyDescent="0.25">
      <c r="A19195" s="2" t="s">
        <v>8</v>
      </c>
      <c r="B19195" s="2" t="str">
        <f>HYPERLINK("http://ts.21cn.com/tousu/show/id/1351156","速金服高利贷")</f>
        <v>速金服高利贷</v>
      </c>
      <c r="C19195" s="2" t="s">
        <v>9</v>
      </c>
      <c r="D19195" s="2" t="s">
        <v>10</v>
      </c>
      <c r="E19195" s="2" t="str">
        <f>HYPERLINK("http://ts.21cn.com/tousu/show/id/1351156","http://ts.21cn.com/tousu/show/id/1351156")</f>
        <v>http://ts.21cn.com/tousu/show/id/1351156</v>
      </c>
      <c r="F19195" s="2" t="s">
        <v>11</v>
      </c>
      <c r="G19195" s="2" t="s">
        <v>6428</v>
      </c>
      <c r="H19195" s="2" t="s">
        <v>6429</v>
      </c>
    </row>
    <row r="19196" spans="1:8" ht="25.05" customHeight="1" x14ac:dyDescent="0.25">
      <c r="A19196" s="2" t="s">
        <v>8</v>
      </c>
      <c r="B19196" s="2" t="str">
        <f>HYPERLINK("http://ts.21cn.com/tousu/show/id/1351160","大量用户无法退还立刻出行499元押金")</f>
        <v>大量用户无法退还立刻出行499元押金</v>
      </c>
      <c r="C19196" s="2" t="s">
        <v>9</v>
      </c>
      <c r="D19196" s="2" t="s">
        <v>10</v>
      </c>
      <c r="E19196" s="2" t="str">
        <f>HYPERLINK("http://ts.21cn.com/tousu/show/id/1351160","http://ts.21cn.com/tousu/show/id/1351160")</f>
        <v>http://ts.21cn.com/tousu/show/id/1351160</v>
      </c>
      <c r="F19196" s="2" t="s">
        <v>11</v>
      </c>
      <c r="G19196" s="2" t="s">
        <v>6426</v>
      </c>
      <c r="H19196" s="2" t="s">
        <v>6427</v>
      </c>
    </row>
    <row r="19197" spans="1:8" ht="25.05" customHeight="1" x14ac:dyDescent="0.25">
      <c r="A19197" s="2" t="s">
        <v>8</v>
      </c>
      <c r="B19197" s="2" t="str">
        <f>HYPERLINK("http://ts.21cn.com/tousu/show/id/1351159","无故扣款")</f>
        <v>无故扣款</v>
      </c>
      <c r="C19197" s="2" t="s">
        <v>9</v>
      </c>
      <c r="D19197" s="2" t="s">
        <v>10</v>
      </c>
      <c r="E19197" s="2" t="str">
        <f>HYPERLINK("http://ts.21cn.com/tousu/show/id/1351159","http://ts.21cn.com/tousu/show/id/1351159")</f>
        <v>http://ts.21cn.com/tousu/show/id/1351159</v>
      </c>
      <c r="F19197" s="2" t="s">
        <v>11</v>
      </c>
      <c r="G19197" s="2" t="s">
        <v>6424</v>
      </c>
      <c r="H19197" s="2" t="s">
        <v>6425</v>
      </c>
    </row>
    <row r="19198" spans="1:8" ht="25.05" customHeight="1" x14ac:dyDescent="0.25">
      <c r="A19198" s="2" t="s">
        <v>8</v>
      </c>
      <c r="B19198" s="2" t="str">
        <f>HYPERLINK("http://ts.21cn.com/tousu/show/id/1351158","蚂蚁金呗恶意放款，收取高额利息费用")</f>
        <v>蚂蚁金呗恶意放款，收取高额利息费用</v>
      </c>
      <c r="C19198" s="2" t="s">
        <v>9</v>
      </c>
      <c r="D19198" s="2" t="s">
        <v>10</v>
      </c>
      <c r="E19198" s="2" t="str">
        <f>HYPERLINK("http://ts.21cn.com/tousu/show/id/1351158","http://ts.21cn.com/tousu/show/id/1351158")</f>
        <v>http://ts.21cn.com/tousu/show/id/1351158</v>
      </c>
      <c r="F19198" s="2" t="s">
        <v>11</v>
      </c>
      <c r="G19198" s="2" t="s">
        <v>6422</v>
      </c>
      <c r="H19198" s="2" t="s">
        <v>6423</v>
      </c>
    </row>
    <row r="19199" spans="1:8" ht="25.05" customHeight="1" x14ac:dyDescent="0.25">
      <c r="A19199" s="2" t="s">
        <v>8</v>
      </c>
      <c r="B19199" s="2" t="str">
        <f>HYPERLINK("http://ts.21cn.com/tousu/show/id/1351161","暴力催收骚扰威胁恐吓")</f>
        <v>暴力催收骚扰威胁恐吓</v>
      </c>
      <c r="C19199" s="2" t="s">
        <v>9</v>
      </c>
      <c r="D19199" s="2" t="s">
        <v>10</v>
      </c>
      <c r="E19199" s="2" t="str">
        <f>HYPERLINK("http://ts.21cn.com/tousu/show/id/1351161","http://ts.21cn.com/tousu/show/id/1351161")</f>
        <v>http://ts.21cn.com/tousu/show/id/1351161</v>
      </c>
      <c r="F19199" s="2" t="s">
        <v>11</v>
      </c>
      <c r="G19199" s="2" t="s">
        <v>6420</v>
      </c>
      <c r="H19199" s="2" t="s">
        <v>6421</v>
      </c>
    </row>
    <row r="19200" spans="1:8" ht="25.05" customHeight="1" x14ac:dyDescent="0.25">
      <c r="A19200" s="2" t="s">
        <v>8</v>
      </c>
      <c r="B19200" s="2" t="str">
        <f>HYPERLINK("http://ts.21cn.com/tousu/show/id/1351124","小象优品协商逾期账单")</f>
        <v>小象优品协商逾期账单</v>
      </c>
      <c r="C19200" s="2" t="s">
        <v>34</v>
      </c>
      <c r="D19200" s="2" t="s">
        <v>10</v>
      </c>
      <c r="E19200" s="2" t="str">
        <f>HYPERLINK("http://ts.21cn.com/tousu/show/id/1351124","http://ts.21cn.com/tousu/show/id/1351124")</f>
        <v>http://ts.21cn.com/tousu/show/id/1351124</v>
      </c>
      <c r="F19200" s="2" t="s">
        <v>11</v>
      </c>
      <c r="G19200" s="2" t="s">
        <v>6418</v>
      </c>
      <c r="H19200" s="2" t="s">
        <v>6419</v>
      </c>
    </row>
    <row r="19201" spans="1:8" ht="25.05" customHeight="1" x14ac:dyDescent="0.25">
      <c r="A19201" s="2" t="s">
        <v>8</v>
      </c>
      <c r="B19201" s="2" t="str">
        <f>HYPERLINK("http://ts.21cn.com/tousu/show/id/1351162","腾讯无缘无故扣费200元查无消费记录")</f>
        <v>腾讯无缘无故扣费200元查无消费记录</v>
      </c>
      <c r="C19201" s="2" t="s">
        <v>9</v>
      </c>
      <c r="D19201" s="2" t="s">
        <v>10</v>
      </c>
      <c r="E19201" s="2" t="str">
        <f>HYPERLINK("http://ts.21cn.com/tousu/show/id/1351162","http://ts.21cn.com/tousu/show/id/1351162")</f>
        <v>http://ts.21cn.com/tousu/show/id/1351162</v>
      </c>
      <c r="F19201" s="2" t="s">
        <v>11</v>
      </c>
      <c r="G19201" s="2" t="s">
        <v>6416</v>
      </c>
      <c r="H19201" s="2" t="s">
        <v>6417</v>
      </c>
    </row>
    <row r="19202" spans="1:8" ht="25.05" customHeight="1" x14ac:dyDescent="0.25">
      <c r="A19202" s="2" t="s">
        <v>8</v>
      </c>
      <c r="B19202" s="2" t="str">
        <f>HYPERLINK("http://ts.21cn.com/tousu/show/id/1351163","恒易贷到还款日app无法打开，故意产生逾期费用")</f>
        <v>恒易贷到还款日app无法打开，故意产生逾期费用</v>
      </c>
      <c r="C19202" s="2" t="s">
        <v>9</v>
      </c>
      <c r="D19202" s="2" t="s">
        <v>10</v>
      </c>
      <c r="E19202" s="2" t="str">
        <f>HYPERLINK("http://ts.21cn.com/tousu/show/id/1351163","http://ts.21cn.com/tousu/show/id/1351163")</f>
        <v>http://ts.21cn.com/tousu/show/id/1351163</v>
      </c>
      <c r="F19202" s="2" t="s">
        <v>11</v>
      </c>
      <c r="G19202" s="2" t="s">
        <v>6414</v>
      </c>
      <c r="H19202" s="2" t="s">
        <v>6415</v>
      </c>
    </row>
    <row r="19203" spans="1:8" ht="25.05" customHeight="1" x14ac:dyDescent="0.25">
      <c r="A19203" s="2" t="s">
        <v>8</v>
      </c>
      <c r="B19203" s="2" t="str">
        <f>HYPERLINK("http://ts.21cn.com/tousu/show/id/1351123","拒不退还订金")</f>
        <v>拒不退还订金</v>
      </c>
      <c r="C19203" s="2" t="s">
        <v>9</v>
      </c>
      <c r="D19203" s="2" t="s">
        <v>10</v>
      </c>
      <c r="E19203" s="2" t="str">
        <f>HYPERLINK("http://ts.21cn.com/tousu/show/id/1351123","http://ts.21cn.com/tousu/show/id/1351123")</f>
        <v>http://ts.21cn.com/tousu/show/id/1351123</v>
      </c>
      <c r="F19203" s="2" t="s">
        <v>11</v>
      </c>
      <c r="G19203" s="2" t="s">
        <v>6412</v>
      </c>
      <c r="H19203" s="2" t="s">
        <v>6413</v>
      </c>
    </row>
    <row r="19204" spans="1:8" ht="25.05" customHeight="1" x14ac:dyDescent="0.25">
      <c r="A19204" s="2" t="s">
        <v>8</v>
      </c>
      <c r="B19204" s="2" t="str">
        <f>HYPERLINK("http://ts.21cn.com/tousu/show/id/1351165","退保险费，保险费用太多800多元")</f>
        <v>退保险费，保险费用太多800多元</v>
      </c>
      <c r="C19204" s="2" t="s">
        <v>9</v>
      </c>
      <c r="D19204" s="2" t="s">
        <v>10</v>
      </c>
      <c r="E19204" s="2" t="str">
        <f>HYPERLINK("http://ts.21cn.com/tousu/show/id/1351165","http://ts.21cn.com/tousu/show/id/1351165")</f>
        <v>http://ts.21cn.com/tousu/show/id/1351165</v>
      </c>
      <c r="F19204" s="2" t="s">
        <v>11</v>
      </c>
      <c r="G19204" s="2" t="s">
        <v>6410</v>
      </c>
      <c r="H19204" s="2" t="s">
        <v>6411</v>
      </c>
    </row>
    <row r="19205" spans="1:8" ht="25.05" customHeight="1" x14ac:dyDescent="0.25">
      <c r="A19205" s="2" t="s">
        <v>8</v>
      </c>
      <c r="B19205" s="2" t="str">
        <f>HYPERLINK("http://ts.21cn.com/tousu/show/id/1351166","凡普金科")</f>
        <v>凡普金科</v>
      </c>
      <c r="C19205" s="2" t="s">
        <v>9</v>
      </c>
      <c r="D19205" s="2" t="s">
        <v>10</v>
      </c>
      <c r="E19205" s="2" t="str">
        <f>HYPERLINK("http://ts.21cn.com/tousu/show/id/1351166","http://ts.21cn.com/tousu/show/id/1351166")</f>
        <v>http://ts.21cn.com/tousu/show/id/1351166</v>
      </c>
      <c r="F19205" s="2" t="s">
        <v>11</v>
      </c>
      <c r="G19205" s="2" t="s">
        <v>6408</v>
      </c>
      <c r="H19205" s="2" t="s">
        <v>6409</v>
      </c>
    </row>
    <row r="19206" spans="1:8" ht="25.05" customHeight="1" x14ac:dyDescent="0.25">
      <c r="A19206" s="2" t="s">
        <v>8</v>
      </c>
      <c r="B19206" s="2" t="str">
        <f>HYPERLINK("http://ts.21cn.com/tousu/show/id/1351167","属于高利贷")</f>
        <v>属于高利贷</v>
      </c>
      <c r="C19206" s="2" t="s">
        <v>9</v>
      </c>
      <c r="D19206" s="2" t="s">
        <v>10</v>
      </c>
      <c r="E19206" s="2" t="str">
        <f>HYPERLINK("http://ts.21cn.com/tousu/show/id/1351167","http://ts.21cn.com/tousu/show/id/1351167")</f>
        <v>http://ts.21cn.com/tousu/show/id/1351167</v>
      </c>
      <c r="F19206" s="2" t="s">
        <v>11</v>
      </c>
      <c r="G19206" s="2" t="s">
        <v>6406</v>
      </c>
      <c r="H19206" s="2" t="s">
        <v>6407</v>
      </c>
    </row>
    <row r="19207" spans="1:8" ht="25.05" customHeight="1" x14ac:dyDescent="0.25">
      <c r="A19207" s="2" t="s">
        <v>8</v>
      </c>
      <c r="B19207" s="2" t="str">
        <f>HYPERLINK("http://ts.21cn.com/tousu/show/id/1351168","建行还我被盗刷的钱")</f>
        <v>建行还我被盗刷的钱</v>
      </c>
      <c r="C19207" s="2" t="s">
        <v>9</v>
      </c>
      <c r="D19207" s="2" t="s">
        <v>10</v>
      </c>
      <c r="E19207" s="2" t="str">
        <f>HYPERLINK("http://ts.21cn.com/tousu/show/id/1351168","http://ts.21cn.com/tousu/show/id/1351168")</f>
        <v>http://ts.21cn.com/tousu/show/id/1351168</v>
      </c>
      <c r="F19207" s="2" t="s">
        <v>11</v>
      </c>
      <c r="G19207" s="2" t="s">
        <v>6404</v>
      </c>
      <c r="H19207" s="2" t="s">
        <v>6405</v>
      </c>
    </row>
    <row r="19208" spans="1:8" ht="25.05" customHeight="1" x14ac:dyDescent="0.25">
      <c r="A19208" s="2" t="s">
        <v>8</v>
      </c>
      <c r="B19208" s="2" t="str">
        <f>HYPERLINK("http://ts.21cn.com/tousu/show/id/1351169","高利贷吓人")</f>
        <v>高利贷吓人</v>
      </c>
      <c r="C19208" s="2" t="s">
        <v>9</v>
      </c>
      <c r="D19208" s="2" t="s">
        <v>10</v>
      </c>
      <c r="E19208" s="2" t="str">
        <f>HYPERLINK("http://ts.21cn.com/tousu/show/id/1351169","http://ts.21cn.com/tousu/show/id/1351169")</f>
        <v>http://ts.21cn.com/tousu/show/id/1351169</v>
      </c>
      <c r="F19208" s="2" t="s">
        <v>11</v>
      </c>
      <c r="G19208" s="2" t="s">
        <v>6402</v>
      </c>
      <c r="H19208" s="2" t="s">
        <v>6403</v>
      </c>
    </row>
    <row r="19209" spans="1:8" ht="25.05" customHeight="1" x14ac:dyDescent="0.25">
      <c r="A19209" s="2" t="s">
        <v>8</v>
      </c>
      <c r="B19209" s="2" t="str">
        <f>HYPERLINK("http://ts.21cn.com/tousu/show/id/1351170","招商银行信用卡暴力催收")</f>
        <v>招商银行信用卡暴力催收</v>
      </c>
      <c r="C19209" s="2" t="s">
        <v>9</v>
      </c>
      <c r="D19209" s="2" t="s">
        <v>10</v>
      </c>
      <c r="E19209" s="2" t="str">
        <f>HYPERLINK("http://ts.21cn.com/tousu/show/id/1351170","http://ts.21cn.com/tousu/show/id/1351170")</f>
        <v>http://ts.21cn.com/tousu/show/id/1351170</v>
      </c>
      <c r="F19209" s="2" t="s">
        <v>11</v>
      </c>
      <c r="G19209" s="2" t="s">
        <v>6400</v>
      </c>
      <c r="H19209" s="2" t="s">
        <v>6401</v>
      </c>
    </row>
    <row r="19210" spans="1:8" ht="25.05" customHeight="1" x14ac:dyDescent="0.25">
      <c r="A19210" s="2" t="s">
        <v>8</v>
      </c>
      <c r="B19210" s="2" t="str">
        <f>HYPERLINK("http://ts.21cn.com/tousu/show/id/1351171","友信收取高额服务费。砍头息")</f>
        <v>友信收取高额服务费。砍头息</v>
      </c>
      <c r="C19210" s="2" t="s">
        <v>9</v>
      </c>
      <c r="D19210" s="2" t="s">
        <v>10</v>
      </c>
      <c r="E19210" s="2" t="str">
        <f>HYPERLINK("http://ts.21cn.com/tousu/show/id/1351171","http://ts.21cn.com/tousu/show/id/1351171")</f>
        <v>http://ts.21cn.com/tousu/show/id/1351171</v>
      </c>
      <c r="F19210" s="2" t="s">
        <v>11</v>
      </c>
      <c r="G19210" s="2" t="s">
        <v>6398</v>
      </c>
      <c r="H19210" s="2" t="s">
        <v>6399</v>
      </c>
    </row>
    <row r="19211" spans="1:8" ht="25.05" customHeight="1" x14ac:dyDescent="0.25">
      <c r="A19211" s="2" t="s">
        <v>8</v>
      </c>
      <c r="B19211" s="2" t="str">
        <f>HYPERLINK("http://ts.21cn.com/tousu/show/id/1347631","御剑飞行高利贷")</f>
        <v>御剑飞行高利贷</v>
      </c>
      <c r="C19211" s="2" t="s">
        <v>9</v>
      </c>
      <c r="D19211" s="2" t="s">
        <v>10</v>
      </c>
      <c r="E19211" s="2" t="str">
        <f>HYPERLINK("http://ts.21cn.com/tousu/show/id/1347631","http://ts.21cn.com/tousu/show/id/1347631")</f>
        <v>http://ts.21cn.com/tousu/show/id/1347631</v>
      </c>
      <c r="F19211" s="2" t="s">
        <v>11</v>
      </c>
      <c r="G19211" s="2" t="s">
        <v>6396</v>
      </c>
      <c r="H19211" s="2" t="s">
        <v>6397</v>
      </c>
    </row>
    <row r="19212" spans="1:8" ht="25.05" customHeight="1" x14ac:dyDescent="0.25">
      <c r="A19212" s="2" t="s">
        <v>8</v>
      </c>
      <c r="B19212" s="2" t="str">
        <f>HYPERLINK("http://ts.21cn.com/tousu/show/id/1350944","深圳英迈思文化科技有限公司（犀牛云网站），巧立名目扣押一部分预付款不退还")</f>
        <v>深圳英迈思文化科技有限公司（犀牛云网站），巧立名目扣押一部分预付款不退还</v>
      </c>
      <c r="C19212" s="2" t="s">
        <v>9</v>
      </c>
      <c r="D19212" s="2" t="s">
        <v>10</v>
      </c>
      <c r="E19212" s="2" t="str">
        <f>HYPERLINK("http://ts.21cn.com/tousu/show/id/1350944","http://ts.21cn.com/tousu/show/id/1350944")</f>
        <v>http://ts.21cn.com/tousu/show/id/1350944</v>
      </c>
      <c r="F19212" s="2" t="s">
        <v>11</v>
      </c>
      <c r="G19212" s="2" t="s">
        <v>6394</v>
      </c>
      <c r="H19212" s="2" t="s">
        <v>6395</v>
      </c>
    </row>
    <row r="19213" spans="1:8" ht="25.05" customHeight="1" x14ac:dyDescent="0.25">
      <c r="A19213" s="2" t="s">
        <v>8</v>
      </c>
      <c r="B19213" s="2" t="str">
        <f>HYPERLINK("http://ts.21cn.com/tousu/show/id/1351173","新意花小木钱包套路贷高利贷，暴力催收")</f>
        <v>新意花小木钱包套路贷高利贷，暴力催收</v>
      </c>
      <c r="C19213" s="2" t="s">
        <v>9</v>
      </c>
      <c r="D19213" s="2" t="s">
        <v>10</v>
      </c>
      <c r="E19213" s="2" t="str">
        <f>HYPERLINK("http://ts.21cn.com/tousu/show/id/1351173","http://ts.21cn.com/tousu/show/id/1351173")</f>
        <v>http://ts.21cn.com/tousu/show/id/1351173</v>
      </c>
      <c r="F19213" s="2" t="s">
        <v>11</v>
      </c>
      <c r="G19213" s="2" t="s">
        <v>6392</v>
      </c>
      <c r="H19213" s="2" t="s">
        <v>6393</v>
      </c>
    </row>
    <row r="19214" spans="1:8" ht="25.05" customHeight="1" x14ac:dyDescent="0.25">
      <c r="A19214" s="2" t="s">
        <v>8</v>
      </c>
      <c r="B19214" s="2" t="str">
        <f>HYPERLINK("http://ts.21cn.com/tousu/show/id/1351174","提钱游被套路，就因为之前投诉一次")</f>
        <v>提钱游被套路，就因为之前投诉一次</v>
      </c>
      <c r="C19214" s="2" t="s">
        <v>9</v>
      </c>
      <c r="D19214" s="2" t="s">
        <v>10</v>
      </c>
      <c r="E19214" s="2" t="str">
        <f>HYPERLINK("http://ts.21cn.com/tousu/show/id/1351174","http://ts.21cn.com/tousu/show/id/1351174")</f>
        <v>http://ts.21cn.com/tousu/show/id/1351174</v>
      </c>
      <c r="F19214" s="2" t="s">
        <v>11</v>
      </c>
      <c r="G19214" s="2" t="s">
        <v>6390</v>
      </c>
      <c r="H19214" s="2" t="s">
        <v>6391</v>
      </c>
    </row>
    <row r="19215" spans="1:8" ht="25.05" customHeight="1" x14ac:dyDescent="0.25">
      <c r="A19215" s="2" t="s">
        <v>8</v>
      </c>
      <c r="B19215" s="2" t="str">
        <f>HYPERLINK("http://ts.21cn.com/tousu/show/id/1351175","新橙优品变相收取砍头息")</f>
        <v>新橙优品变相收取砍头息</v>
      </c>
      <c r="C19215" s="2" t="s">
        <v>9</v>
      </c>
      <c r="D19215" s="2" t="s">
        <v>10</v>
      </c>
      <c r="E19215" s="2" t="str">
        <f>HYPERLINK("http://ts.21cn.com/tousu/show/id/1351175","http://ts.21cn.com/tousu/show/id/1351175")</f>
        <v>http://ts.21cn.com/tousu/show/id/1351175</v>
      </c>
      <c r="F19215" s="2" t="s">
        <v>11</v>
      </c>
      <c r="G19215" s="2" t="s">
        <v>6388</v>
      </c>
      <c r="H19215" s="2" t="s">
        <v>6389</v>
      </c>
    </row>
    <row r="19216" spans="1:8" ht="25.05" customHeight="1" x14ac:dyDescent="0.25">
      <c r="A19216" s="2" t="s">
        <v>8</v>
      </c>
      <c r="B19216" s="2" t="str">
        <f>HYPERLINK("http://ts.21cn.com/tousu/show/id/1351176","恒信永利小额贷款公司威胁恐吓骚扰我")</f>
        <v>恒信永利小额贷款公司威胁恐吓骚扰我</v>
      </c>
      <c r="C19216" s="2" t="s">
        <v>9</v>
      </c>
      <c r="D19216" s="2" t="s">
        <v>10</v>
      </c>
      <c r="E19216" s="2" t="str">
        <f>HYPERLINK("http://ts.21cn.com/tousu/show/id/1351176","http://ts.21cn.com/tousu/show/id/1351176")</f>
        <v>http://ts.21cn.com/tousu/show/id/1351176</v>
      </c>
      <c r="F19216" s="2" t="s">
        <v>11</v>
      </c>
      <c r="G19216" s="2" t="s">
        <v>6386</v>
      </c>
      <c r="H19216" s="2" t="s">
        <v>6387</v>
      </c>
    </row>
    <row r="19217" spans="1:8" ht="25.05" customHeight="1" x14ac:dyDescent="0.25">
      <c r="A19217" s="2" t="s">
        <v>8</v>
      </c>
      <c r="B19217" s="2" t="str">
        <f>HYPERLINK("http://ts.21cn.com/tousu/show/id/1351177","京东白条，在可以联系到本人得情况下威胁上门")</f>
        <v>京东白条，在可以联系到本人得情况下威胁上门</v>
      </c>
      <c r="C19217" s="2" t="s">
        <v>9</v>
      </c>
      <c r="D19217" s="2" t="s">
        <v>10</v>
      </c>
      <c r="E19217" s="2" t="str">
        <f>HYPERLINK("http://ts.21cn.com/tousu/show/id/1351177","http://ts.21cn.com/tousu/show/id/1351177")</f>
        <v>http://ts.21cn.com/tousu/show/id/1351177</v>
      </c>
      <c r="F19217" s="2" t="s">
        <v>11</v>
      </c>
      <c r="G19217" s="2" t="s">
        <v>6384</v>
      </c>
      <c r="H19217" s="2" t="s">
        <v>6385</v>
      </c>
    </row>
    <row r="19218" spans="1:8" ht="25.05" customHeight="1" x14ac:dyDescent="0.25">
      <c r="A19218" s="2" t="s">
        <v>8</v>
      </c>
      <c r="B19218" s="2" t="str">
        <f>HYPERLINK("http://ts.21cn.com/tousu/show/id/1351178","本人于9月25在网教通公共版上通过抽奖抽得铅笔盒一个网教通到现在都没有发奖")</f>
        <v>本人于9月25在网教通公共版上通过抽奖抽得铅笔盒一个网教通到现在都没有发奖</v>
      </c>
      <c r="C19218" s="2" t="s">
        <v>34</v>
      </c>
      <c r="D19218" s="2" t="s">
        <v>10</v>
      </c>
      <c r="E19218" s="2" t="str">
        <f>HYPERLINK("http://ts.21cn.com/tousu/show/id/1351178","http://ts.21cn.com/tousu/show/id/1351178")</f>
        <v>http://ts.21cn.com/tousu/show/id/1351178</v>
      </c>
      <c r="F19218" s="2" t="s">
        <v>11</v>
      </c>
      <c r="G19218" s="2" t="s">
        <v>6382</v>
      </c>
      <c r="H19218" s="2" t="s">
        <v>6383</v>
      </c>
    </row>
    <row r="19219" spans="1:8" ht="25.05" customHeight="1" x14ac:dyDescent="0.25">
      <c r="A19219" s="2" t="s">
        <v>8</v>
      </c>
      <c r="B19219" s="2" t="str">
        <f>HYPERLINK("http://ts.21cn.com/tousu/show/id/1351179","51金钱贷暴力催收，违规收取逾期费用")</f>
        <v>51金钱贷暴力催收，违规收取逾期费用</v>
      </c>
      <c r="C19219" s="2" t="s">
        <v>9</v>
      </c>
      <c r="D19219" s="2" t="s">
        <v>10</v>
      </c>
      <c r="E19219" s="2" t="str">
        <f>HYPERLINK("http://ts.21cn.com/tousu/show/id/1351179","http://ts.21cn.com/tousu/show/id/1351179")</f>
        <v>http://ts.21cn.com/tousu/show/id/1351179</v>
      </c>
      <c r="F19219" s="2" t="s">
        <v>11</v>
      </c>
      <c r="G19219" s="2" t="s">
        <v>6380</v>
      </c>
      <c r="H19219" s="2" t="s">
        <v>6381</v>
      </c>
    </row>
    <row r="19220" spans="1:8" ht="25.05" customHeight="1" x14ac:dyDescent="0.25">
      <c r="A19220" s="2" t="s">
        <v>8</v>
      </c>
      <c r="B19220" s="2" t="str">
        <f>HYPERLINK("http://ts.21cn.com/tousu/show/id/1351180","车主邦和中国建设银行虚假广告，诱导用户办理建行etc")</f>
        <v>车主邦和中国建设银行虚假广告，诱导用户办理建行etc</v>
      </c>
      <c r="C19220" s="2" t="s">
        <v>9</v>
      </c>
      <c r="D19220" s="2" t="s">
        <v>10</v>
      </c>
      <c r="E19220" s="2" t="str">
        <f>HYPERLINK("http://ts.21cn.com/tousu/show/id/1351180","http://ts.21cn.com/tousu/show/id/1351180")</f>
        <v>http://ts.21cn.com/tousu/show/id/1351180</v>
      </c>
      <c r="F19220" s="2" t="s">
        <v>11</v>
      </c>
      <c r="G19220" s="2" t="s">
        <v>6378</v>
      </c>
      <c r="H19220" s="2" t="s">
        <v>6379</v>
      </c>
    </row>
    <row r="19221" spans="1:8" ht="25.05" customHeight="1" x14ac:dyDescent="0.25">
      <c r="A19221" s="2" t="s">
        <v>8</v>
      </c>
      <c r="B19221" s="2" t="str">
        <f>HYPERLINK("http://ts.21cn.com/tousu/show/id/1351181","中信银行催收恐吓骚扰家人")</f>
        <v>中信银行催收恐吓骚扰家人</v>
      </c>
      <c r="C19221" s="2" t="s">
        <v>9</v>
      </c>
      <c r="D19221" s="2" t="s">
        <v>10</v>
      </c>
      <c r="E19221" s="2" t="str">
        <f>HYPERLINK("http://ts.21cn.com/tousu/show/id/1351181","http://ts.21cn.com/tousu/show/id/1351181")</f>
        <v>http://ts.21cn.com/tousu/show/id/1351181</v>
      </c>
      <c r="F19221" s="2" t="s">
        <v>11</v>
      </c>
      <c r="G19221" s="2" t="s">
        <v>6376</v>
      </c>
      <c r="H19221" s="2" t="s">
        <v>6377</v>
      </c>
    </row>
    <row r="19222" spans="1:8" ht="25.05" customHeight="1" x14ac:dyDescent="0.25">
      <c r="A19222" s="2" t="s">
        <v>8</v>
      </c>
      <c r="B19222" s="2" t="str">
        <f>HYPERLINK("http://ts.21cn.com/tousu/show/id/1351182","通联支付上海宏萨恶意扣钱")</f>
        <v>通联支付上海宏萨恶意扣钱</v>
      </c>
      <c r="C19222" s="2" t="s">
        <v>9</v>
      </c>
      <c r="D19222" s="2" t="s">
        <v>10</v>
      </c>
      <c r="E19222" s="2" t="str">
        <f>HYPERLINK("http://ts.21cn.com/tousu/show/id/1351182","http://ts.21cn.com/tousu/show/id/1351182")</f>
        <v>http://ts.21cn.com/tousu/show/id/1351182</v>
      </c>
      <c r="F19222" s="2" t="s">
        <v>11</v>
      </c>
      <c r="G19222" s="2" t="s">
        <v>6374</v>
      </c>
      <c r="H19222" s="2" t="s">
        <v>6375</v>
      </c>
    </row>
    <row r="19223" spans="1:8" ht="25.05" customHeight="1" x14ac:dyDescent="0.25">
      <c r="A19223" s="2" t="s">
        <v>8</v>
      </c>
      <c r="B19223" s="2" t="str">
        <f>HYPERLINK("http://ts.21cn.com/tousu/show/id/1351183","拍拍贷盗用通讯录，暴力催收")</f>
        <v>拍拍贷盗用通讯录，暴力催收</v>
      </c>
      <c r="C19223" s="2" t="s">
        <v>9</v>
      </c>
      <c r="D19223" s="2" t="s">
        <v>10</v>
      </c>
      <c r="E19223" s="2" t="str">
        <f>HYPERLINK("http://ts.21cn.com/tousu/show/id/1351183","http://ts.21cn.com/tousu/show/id/1351183")</f>
        <v>http://ts.21cn.com/tousu/show/id/1351183</v>
      </c>
      <c r="F19223" s="2" t="s">
        <v>11</v>
      </c>
      <c r="G19223" s="2" t="s">
        <v>6372</v>
      </c>
      <c r="H19223" s="2" t="s">
        <v>6373</v>
      </c>
    </row>
    <row r="19224" spans="1:8" ht="25.05" customHeight="1" x14ac:dyDescent="0.25">
      <c r="A19224" s="2" t="s">
        <v>8</v>
      </c>
      <c r="B19224" s="2" t="str">
        <f>HYPERLINK("http://ts.21cn.com/tousu/show/id/1351185","拉卡拉恶意冻结商户资金")</f>
        <v>拉卡拉恶意冻结商户资金</v>
      </c>
      <c r="C19224" s="2" t="s">
        <v>9</v>
      </c>
      <c r="D19224" s="2" t="s">
        <v>10</v>
      </c>
      <c r="E19224" s="2" t="str">
        <f>HYPERLINK("http://ts.21cn.com/tousu/show/id/1351185","http://ts.21cn.com/tousu/show/id/1351185")</f>
        <v>http://ts.21cn.com/tousu/show/id/1351185</v>
      </c>
      <c r="F19224" s="2" t="s">
        <v>11</v>
      </c>
      <c r="G19224" s="2" t="s">
        <v>6370</v>
      </c>
      <c r="H19224" s="2" t="s">
        <v>6371</v>
      </c>
    </row>
    <row r="19225" spans="1:8" ht="25.05" customHeight="1" x14ac:dyDescent="0.25">
      <c r="A19225" s="2" t="s">
        <v>8</v>
      </c>
      <c r="B19225" s="2" t="str">
        <f>HYPERLINK("http://ts.21cn.com/tousu/show/id/1351184","唯品会购买商品短期内降价不给返差价")</f>
        <v>唯品会购买商品短期内降价不给返差价</v>
      </c>
      <c r="C19225" s="2" t="s">
        <v>9</v>
      </c>
      <c r="D19225" s="2" t="s">
        <v>10</v>
      </c>
      <c r="E19225" s="2" t="str">
        <f>HYPERLINK("http://ts.21cn.com/tousu/show/id/1351184","http://ts.21cn.com/tousu/show/id/1351184")</f>
        <v>http://ts.21cn.com/tousu/show/id/1351184</v>
      </c>
      <c r="F19225" s="2" t="s">
        <v>11</v>
      </c>
      <c r="G19225" s="2" t="s">
        <v>6368</v>
      </c>
      <c r="H19225" s="2" t="s">
        <v>6369</v>
      </c>
    </row>
    <row r="19226" spans="1:8" ht="25.05" customHeight="1" x14ac:dyDescent="0.25">
      <c r="A19226" s="2" t="s">
        <v>8</v>
      </c>
      <c r="B19226" s="2" t="str">
        <f>HYPERLINK("http://ts.21cn.com/tousu/show/id/1351188","各种骚扰，宜信普惠")</f>
        <v>各种骚扰，宜信普惠</v>
      </c>
      <c r="C19226" s="2" t="s">
        <v>9</v>
      </c>
      <c r="D19226" s="2" t="s">
        <v>10</v>
      </c>
      <c r="E19226" s="2" t="str">
        <f>HYPERLINK("http://ts.21cn.com/tousu/show/id/1351188","http://ts.21cn.com/tousu/show/id/1351188")</f>
        <v>http://ts.21cn.com/tousu/show/id/1351188</v>
      </c>
      <c r="F19226" s="2" t="s">
        <v>11</v>
      </c>
      <c r="G19226" s="2" t="s">
        <v>6366</v>
      </c>
      <c r="H19226" s="2" t="s">
        <v>6367</v>
      </c>
    </row>
    <row r="19227" spans="1:8" ht="25.05" customHeight="1" x14ac:dyDescent="0.25">
      <c r="A19227" s="2" t="s">
        <v>8</v>
      </c>
      <c r="B19227" s="2" t="str">
        <f>HYPERLINK("http://ts.21cn.com/tousu/show/id/1351088","虚假网贷")</f>
        <v>虚假网贷</v>
      </c>
      <c r="C19227" s="2" t="s">
        <v>9</v>
      </c>
      <c r="D19227" s="2" t="s">
        <v>10</v>
      </c>
      <c r="E19227" s="2" t="str">
        <f>HYPERLINK("http://ts.21cn.com/tousu/show/id/1351088","http://ts.21cn.com/tousu/show/id/1351088")</f>
        <v>http://ts.21cn.com/tousu/show/id/1351088</v>
      </c>
      <c r="F19227" s="2" t="s">
        <v>11</v>
      </c>
      <c r="G19227" s="2" t="s">
        <v>6364</v>
      </c>
      <c r="H19227" s="2" t="s">
        <v>6365</v>
      </c>
    </row>
    <row r="19228" spans="1:8" ht="25.05" customHeight="1" x14ac:dyDescent="0.25">
      <c r="A19228" s="2" t="s">
        <v>8</v>
      </c>
      <c r="B19228" s="2" t="str">
        <f>HYPERLINK("http://ts.21cn.com/tousu/show/id/1351190","京东金条催收是想把人逼死")</f>
        <v>京东金条催收是想把人逼死</v>
      </c>
      <c r="C19228" s="2" t="s">
        <v>9</v>
      </c>
      <c r="D19228" s="2" t="s">
        <v>10</v>
      </c>
      <c r="E19228" s="2" t="str">
        <f>HYPERLINK("http://ts.21cn.com/tousu/show/id/1351190","http://ts.21cn.com/tousu/show/id/1351190")</f>
        <v>http://ts.21cn.com/tousu/show/id/1351190</v>
      </c>
      <c r="F19228" s="2" t="s">
        <v>11</v>
      </c>
      <c r="G19228" s="2" t="s">
        <v>6362</v>
      </c>
      <c r="H19228" s="2" t="s">
        <v>6363</v>
      </c>
    </row>
    <row r="19229" spans="1:8" ht="25.05" customHeight="1" x14ac:dyDescent="0.25">
      <c r="A19229" s="2" t="s">
        <v>8</v>
      </c>
      <c r="B19229" s="2" t="str">
        <f>HYPERLINK("http://ts.21cn.com/tousu/show/id/1351189","易信钱包")</f>
        <v>易信钱包</v>
      </c>
      <c r="C19229" s="2" t="s">
        <v>34</v>
      </c>
      <c r="D19229" s="2" t="s">
        <v>10</v>
      </c>
      <c r="E19229" s="2" t="str">
        <f>HYPERLINK("http://ts.21cn.com/tousu/show/id/1351189","http://ts.21cn.com/tousu/show/id/1351189")</f>
        <v>http://ts.21cn.com/tousu/show/id/1351189</v>
      </c>
      <c r="F19229" s="2" t="s">
        <v>11</v>
      </c>
      <c r="G19229" s="2" t="s">
        <v>6360</v>
      </c>
      <c r="H19229" s="2" t="s">
        <v>6361</v>
      </c>
    </row>
    <row r="19230" spans="1:8" ht="25.05" customHeight="1" x14ac:dyDescent="0.25">
      <c r="A19230" s="2" t="s">
        <v>8</v>
      </c>
      <c r="B19230" s="2" t="str">
        <f>HYPERLINK("http://ts.21cn.com/tousu/show/id/1351191","oppor9splus手机无限重启")</f>
        <v>oppor9splus手机无限重启</v>
      </c>
      <c r="C19230" s="2" t="s">
        <v>9</v>
      </c>
      <c r="D19230" s="2" t="s">
        <v>10</v>
      </c>
      <c r="E19230" s="2" t="str">
        <f>HYPERLINK("http://ts.21cn.com/tousu/show/id/1351191","http://ts.21cn.com/tousu/show/id/1351191")</f>
        <v>http://ts.21cn.com/tousu/show/id/1351191</v>
      </c>
      <c r="F19230" s="2" t="s">
        <v>11</v>
      </c>
      <c r="G19230" s="2" t="s">
        <v>6358</v>
      </c>
      <c r="H19230" s="2" t="s">
        <v>6359</v>
      </c>
    </row>
    <row r="19231" spans="1:8" ht="25.05" customHeight="1" x14ac:dyDescent="0.25">
      <c r="A19231" s="2" t="s">
        <v>8</v>
      </c>
      <c r="B19231" s="2" t="str">
        <f>HYPERLINK("http://ts.21cn.com/tousu/show/id/1351192","退还费用")</f>
        <v>退还费用</v>
      </c>
      <c r="C19231" s="2" t="s">
        <v>34</v>
      </c>
      <c r="D19231" s="2" t="s">
        <v>10</v>
      </c>
      <c r="E19231" s="2" t="str">
        <f>HYPERLINK("http://ts.21cn.com/tousu/show/id/1351192","http://ts.21cn.com/tousu/show/id/1351192")</f>
        <v>http://ts.21cn.com/tousu/show/id/1351192</v>
      </c>
      <c r="F19231" s="2" t="s">
        <v>11</v>
      </c>
      <c r="G19231" s="2" t="s">
        <v>6356</v>
      </c>
      <c r="H19231" s="2" t="s">
        <v>6357</v>
      </c>
    </row>
    <row r="19232" spans="1:8" ht="25.05" customHeight="1" x14ac:dyDescent="0.25">
      <c r="A19232" s="2" t="s">
        <v>8</v>
      </c>
      <c r="B19232" s="2" t="str">
        <f>HYPERLINK("http://ts.21cn.com/tousu/show/id/1351195","现金巴士暴力催收侮辱恐吓")</f>
        <v>现金巴士暴力催收侮辱恐吓</v>
      </c>
      <c r="C19232" s="2" t="s">
        <v>9</v>
      </c>
      <c r="D19232" s="2" t="s">
        <v>10</v>
      </c>
      <c r="E19232" s="2" t="str">
        <f>HYPERLINK("http://ts.21cn.com/tousu/show/id/1351195","http://ts.21cn.com/tousu/show/id/1351195")</f>
        <v>http://ts.21cn.com/tousu/show/id/1351195</v>
      </c>
      <c r="F19232" s="2" t="s">
        <v>11</v>
      </c>
      <c r="G19232" s="2" t="s">
        <v>6354</v>
      </c>
      <c r="H19232" s="2" t="s">
        <v>6355</v>
      </c>
    </row>
    <row r="19233" spans="1:8" ht="25.05" customHeight="1" x14ac:dyDescent="0.25">
      <c r="A19233" s="2" t="s">
        <v>8</v>
      </c>
      <c r="B19233" s="2" t="str">
        <f>HYPERLINK("http://ts.21cn.com/tousu/show/id/1351193","新橙优品高额利息协商还款")</f>
        <v>新橙优品高额利息协商还款</v>
      </c>
      <c r="C19233" s="2" t="s">
        <v>9</v>
      </c>
      <c r="D19233" s="2" t="s">
        <v>10</v>
      </c>
      <c r="E19233" s="2" t="str">
        <f>HYPERLINK("http://ts.21cn.com/tousu/show/id/1351193","http://ts.21cn.com/tousu/show/id/1351193")</f>
        <v>http://ts.21cn.com/tousu/show/id/1351193</v>
      </c>
      <c r="F19233" s="2" t="s">
        <v>11</v>
      </c>
      <c r="G19233" s="2" t="s">
        <v>6352</v>
      </c>
      <c r="H19233" s="2" t="s">
        <v>6353</v>
      </c>
    </row>
    <row r="19234" spans="1:8" ht="25.05" customHeight="1" x14ac:dyDescent="0.25">
      <c r="A19234" s="2" t="s">
        <v>8</v>
      </c>
      <c r="B19234" s="2" t="str">
        <f>HYPERLINK("http://ts.21cn.com/tousu/show/id/1351196","你我贷高利贷")</f>
        <v>你我贷高利贷</v>
      </c>
      <c r="C19234" s="2" t="s">
        <v>9</v>
      </c>
      <c r="D19234" s="2" t="s">
        <v>10</v>
      </c>
      <c r="E19234" s="2" t="str">
        <f>HYPERLINK("http://ts.21cn.com/tousu/show/id/1351196","http://ts.21cn.com/tousu/show/id/1351196")</f>
        <v>http://ts.21cn.com/tousu/show/id/1351196</v>
      </c>
      <c r="F19234" s="2" t="s">
        <v>11</v>
      </c>
      <c r="G19234" s="2" t="s">
        <v>6350</v>
      </c>
      <c r="H19234" s="2" t="s">
        <v>6351</v>
      </c>
    </row>
    <row r="19235" spans="1:8" ht="25.05" customHeight="1" x14ac:dyDescent="0.25">
      <c r="A19235" s="2" t="s">
        <v>8</v>
      </c>
      <c r="B19235" s="2" t="str">
        <f>HYPERLINK("http://ts.21cn.com/tousu/show/id/1351197","暴力催收")</f>
        <v>暴力催收</v>
      </c>
      <c r="C19235" s="2" t="s">
        <v>9</v>
      </c>
      <c r="D19235" s="2" t="s">
        <v>10</v>
      </c>
      <c r="E19235" s="2" t="str">
        <f>HYPERLINK("http://ts.21cn.com/tousu/show/id/1351197","http://ts.21cn.com/tousu/show/id/1351197")</f>
        <v>http://ts.21cn.com/tousu/show/id/1351197</v>
      </c>
      <c r="F19235" s="2" t="s">
        <v>11</v>
      </c>
      <c r="G19235" s="2" t="s">
        <v>6348</v>
      </c>
      <c r="H19235" s="2" t="s">
        <v>6349</v>
      </c>
    </row>
    <row r="19236" spans="1:8" ht="25.05" customHeight="1" x14ac:dyDescent="0.25">
      <c r="A19236" s="2" t="s">
        <v>8</v>
      </c>
      <c r="B19236" s="2" t="str">
        <f>HYPERLINK("http://ts.21cn.com/tousu/show/id/1351140","恒易贷恐吓威胁")</f>
        <v>恒易贷恐吓威胁</v>
      </c>
      <c r="C19236" s="2" t="s">
        <v>9</v>
      </c>
      <c r="D19236" s="2" t="s">
        <v>10</v>
      </c>
      <c r="E19236" s="2" t="str">
        <f>HYPERLINK("http://ts.21cn.com/tousu/show/id/1351140","http://ts.21cn.com/tousu/show/id/1351140")</f>
        <v>http://ts.21cn.com/tousu/show/id/1351140</v>
      </c>
      <c r="F19236" s="2" t="s">
        <v>11</v>
      </c>
      <c r="G19236" s="2" t="s">
        <v>6346</v>
      </c>
      <c r="H19236" s="2" t="s">
        <v>6347</v>
      </c>
    </row>
    <row r="19237" spans="1:8" ht="25.05" customHeight="1" x14ac:dyDescent="0.25">
      <c r="A19237" s="2" t="s">
        <v>8</v>
      </c>
      <c r="B19237" s="2" t="str">
        <f>HYPERLINK("http://ts.21cn.com/tousu/show/id/1351198","招联金融，催收恶劣骂人恐吓，群发短信已经严重骚扰家人和同事")</f>
        <v>招联金融，催收恶劣骂人恐吓，群发短信已经严重骚扰家人和同事</v>
      </c>
      <c r="C19237" s="2" t="s">
        <v>9</v>
      </c>
      <c r="D19237" s="2" t="s">
        <v>10</v>
      </c>
      <c r="E19237" s="2" t="str">
        <f>HYPERLINK("http://ts.21cn.com/tousu/show/id/1351198","http://ts.21cn.com/tousu/show/id/1351198")</f>
        <v>http://ts.21cn.com/tousu/show/id/1351198</v>
      </c>
      <c r="F19237" s="2" t="s">
        <v>11</v>
      </c>
      <c r="G19237" s="2" t="s">
        <v>6344</v>
      </c>
      <c r="H19237" s="2" t="s">
        <v>6345</v>
      </c>
    </row>
    <row r="19238" spans="1:8" ht="25.05" customHeight="1" x14ac:dyDescent="0.25">
      <c r="A19238" s="2" t="s">
        <v>8</v>
      </c>
      <c r="B19238" s="2" t="str">
        <f>HYPERLINK("http://ts.21cn.com/tousu/show/id/1351199","祈福南湾半岛楼吧胡乱升价")</f>
        <v>祈福南湾半岛楼吧胡乱升价</v>
      </c>
      <c r="C19238" s="2" t="s">
        <v>34</v>
      </c>
      <c r="D19238" s="2" t="s">
        <v>10</v>
      </c>
      <c r="E19238" s="2" t="str">
        <f>HYPERLINK("http://ts.21cn.com/tousu/show/id/1351199","http://ts.21cn.com/tousu/show/id/1351199")</f>
        <v>http://ts.21cn.com/tousu/show/id/1351199</v>
      </c>
      <c r="F19238" s="2" t="s">
        <v>11</v>
      </c>
      <c r="G19238" s="2" t="s">
        <v>6342</v>
      </c>
      <c r="H19238" s="2" t="s">
        <v>6343</v>
      </c>
    </row>
    <row r="19239" spans="1:8" ht="25.05" customHeight="1" x14ac:dyDescent="0.25">
      <c r="A19239" s="2" t="s">
        <v>8</v>
      </c>
      <c r="B19239" s="2" t="str">
        <f>HYPERLINK("http://ts.21cn.com/tousu/show/id/1351200","招联金融乱放款")</f>
        <v>招联金融乱放款</v>
      </c>
      <c r="C19239" s="2" t="s">
        <v>9</v>
      </c>
      <c r="D19239" s="2" t="s">
        <v>10</v>
      </c>
      <c r="E19239" s="2" t="str">
        <f>HYPERLINK("http://ts.21cn.com/tousu/show/id/1351200","http://ts.21cn.com/tousu/show/id/1351200")</f>
        <v>http://ts.21cn.com/tousu/show/id/1351200</v>
      </c>
      <c r="F19239" s="2" t="s">
        <v>11</v>
      </c>
      <c r="G19239" s="2" t="s">
        <v>6340</v>
      </c>
      <c r="H19239" s="2" t="s">
        <v>6341</v>
      </c>
    </row>
    <row r="19240" spans="1:8" ht="25.05" customHeight="1" x14ac:dyDescent="0.25">
      <c r="A19240" s="2" t="s">
        <v>8</v>
      </c>
      <c r="B19240" s="2" t="str">
        <f>HYPERLINK("http://ts.21cn.com/tousu/show/id/1351201","大鹅购暴力催收")</f>
        <v>大鹅购暴力催收</v>
      </c>
      <c r="C19240" s="2" t="s">
        <v>9</v>
      </c>
      <c r="D19240" s="2" t="s">
        <v>10</v>
      </c>
      <c r="E19240" s="2" t="str">
        <f>HYPERLINK("http://ts.21cn.com/tousu/show/id/1351201","http://ts.21cn.com/tousu/show/id/1351201")</f>
        <v>http://ts.21cn.com/tousu/show/id/1351201</v>
      </c>
      <c r="F19240" s="2" t="s">
        <v>11</v>
      </c>
      <c r="G19240" s="2" t="s">
        <v>6338</v>
      </c>
      <c r="H19240" s="2" t="s">
        <v>6339</v>
      </c>
    </row>
    <row r="19241" spans="1:8" ht="25.05" customHeight="1" x14ac:dyDescent="0.25">
      <c r="A19241" s="2" t="s">
        <v>8</v>
      </c>
      <c r="B19241" s="2" t="str">
        <f>HYPERLINK("http://ts.21cn.com/tousu/show/id/1351204","高利贷")</f>
        <v>高利贷</v>
      </c>
      <c r="C19241" s="2" t="s">
        <v>9</v>
      </c>
      <c r="D19241" s="2" t="s">
        <v>10</v>
      </c>
      <c r="E19241" s="2" t="str">
        <f>HYPERLINK("http://ts.21cn.com/tousu/show/id/1351204","http://ts.21cn.com/tousu/show/id/1351204")</f>
        <v>http://ts.21cn.com/tousu/show/id/1351204</v>
      </c>
      <c r="F19241" s="2" t="s">
        <v>11</v>
      </c>
      <c r="G19241" s="2" t="s">
        <v>6336</v>
      </c>
      <c r="H19241" s="2" t="s">
        <v>6337</v>
      </c>
    </row>
    <row r="19242" spans="1:8" ht="25.05" customHeight="1" x14ac:dyDescent="0.25">
      <c r="A19242" s="2" t="s">
        <v>8</v>
      </c>
      <c r="B19242" s="2" t="str">
        <f>HYPERLINK("http://ts.21cn.com/tousu/show/id/1351203","提前还款，减免利息")</f>
        <v>提前还款，减免利息</v>
      </c>
      <c r="C19242" s="2" t="s">
        <v>9</v>
      </c>
      <c r="D19242" s="2" t="s">
        <v>10</v>
      </c>
      <c r="E19242" s="2" t="str">
        <f>HYPERLINK("http://ts.21cn.com/tousu/show/id/1351203","http://ts.21cn.com/tousu/show/id/1351203")</f>
        <v>http://ts.21cn.com/tousu/show/id/1351203</v>
      </c>
      <c r="F19242" s="2" t="s">
        <v>11</v>
      </c>
      <c r="G19242" s="2" t="s">
        <v>6334</v>
      </c>
      <c r="H19242" s="2" t="s">
        <v>6335</v>
      </c>
    </row>
    <row r="19243" spans="1:8" ht="25.05" customHeight="1" x14ac:dyDescent="0.25">
      <c r="A19243" s="2" t="s">
        <v>8</v>
      </c>
      <c r="B19243" s="2" t="str">
        <f>HYPERLINK("http://ts.21cn.com/tousu/show/id/1351205","拍拍贷高利贷")</f>
        <v>拍拍贷高利贷</v>
      </c>
      <c r="C19243" s="2" t="s">
        <v>9</v>
      </c>
      <c r="D19243" s="2" t="s">
        <v>10</v>
      </c>
      <c r="E19243" s="2" t="str">
        <f>HYPERLINK("http://ts.21cn.com/tousu/show/id/1351205","http://ts.21cn.com/tousu/show/id/1351205")</f>
        <v>http://ts.21cn.com/tousu/show/id/1351205</v>
      </c>
      <c r="F19243" s="2" t="s">
        <v>11</v>
      </c>
      <c r="G19243" s="2" t="s">
        <v>6332</v>
      </c>
      <c r="H19243" s="2" t="s">
        <v>6333</v>
      </c>
    </row>
    <row r="19244" spans="1:8" ht="25.05" customHeight="1" x14ac:dyDescent="0.25">
      <c r="A19244" s="2" t="s">
        <v>8</v>
      </c>
      <c r="B19244" s="2" t="str">
        <f>HYPERLINK("http://ts.21cn.com/tousu/show/id/1351206","利息太高，而且爆通讯录")</f>
        <v>利息太高，而且爆通讯录</v>
      </c>
      <c r="C19244" s="2" t="s">
        <v>9</v>
      </c>
      <c r="D19244" s="2" t="s">
        <v>10</v>
      </c>
      <c r="E19244" s="2" t="str">
        <f>HYPERLINK("http://ts.21cn.com/tousu/show/id/1351206","http://ts.21cn.com/tousu/show/id/1351206")</f>
        <v>http://ts.21cn.com/tousu/show/id/1351206</v>
      </c>
      <c r="F19244" s="2" t="s">
        <v>11</v>
      </c>
      <c r="G19244" s="2" t="s">
        <v>6329</v>
      </c>
      <c r="H19244" s="2" t="s">
        <v>6330</v>
      </c>
    </row>
    <row r="19245" spans="1:8" ht="25.05" customHeight="1" x14ac:dyDescent="0.25">
      <c r="A19245" s="2" t="s">
        <v>8</v>
      </c>
      <c r="B19245" s="2" t="str">
        <f>HYPERLINK("http://ts.21cn.com/tousu/show/id/1351207","冒充银行，爆通讯录威胁人")</f>
        <v>冒充银行，爆通讯录威胁人</v>
      </c>
      <c r="C19245" s="2" t="s">
        <v>9</v>
      </c>
      <c r="D19245" s="2" t="s">
        <v>10</v>
      </c>
      <c r="E19245" s="2" t="str">
        <f>HYPERLINK("http://ts.21cn.com/tousu/show/id/1351207","http://ts.21cn.com/tousu/show/id/1351207")</f>
        <v>http://ts.21cn.com/tousu/show/id/1351207</v>
      </c>
      <c r="F19245" s="2" t="s">
        <v>11</v>
      </c>
      <c r="G19245" s="2" t="s">
        <v>6329</v>
      </c>
      <c r="H19245" s="2" t="s">
        <v>6331</v>
      </c>
    </row>
    <row r="19246" spans="1:8" ht="25.05" customHeight="1" x14ac:dyDescent="0.25">
      <c r="A19246" s="2" t="s">
        <v>8</v>
      </c>
      <c r="B19246" s="2" t="str">
        <f>HYPERLINK("http://ts.21cn.com/tousu/show/id/1351208","砍头息，高利贷")</f>
        <v>砍头息，高利贷</v>
      </c>
      <c r="C19246" s="2" t="s">
        <v>9</v>
      </c>
      <c r="D19246" s="2" t="s">
        <v>10</v>
      </c>
      <c r="E19246" s="2" t="str">
        <f>HYPERLINK("http://ts.21cn.com/tousu/show/id/1351208","http://ts.21cn.com/tousu/show/id/1351208")</f>
        <v>http://ts.21cn.com/tousu/show/id/1351208</v>
      </c>
      <c r="F19246" s="2" t="s">
        <v>11</v>
      </c>
      <c r="G19246" s="2" t="s">
        <v>6327</v>
      </c>
      <c r="H19246" s="2" t="s">
        <v>6328</v>
      </c>
    </row>
    <row r="19247" spans="1:8" ht="25.05" customHeight="1" x14ac:dyDescent="0.25">
      <c r="A19247" s="2" t="s">
        <v>8</v>
      </c>
      <c r="B19247" s="2" t="str">
        <f>HYPERLINK("http://ts.21cn.com/tousu/show/id/1351209","东方尚学培训机构拖欠农民工工资")</f>
        <v>东方尚学培训机构拖欠农民工工资</v>
      </c>
      <c r="C19247" s="2" t="s">
        <v>9</v>
      </c>
      <c r="D19247" s="2" t="s">
        <v>10</v>
      </c>
      <c r="E19247" s="2" t="str">
        <f>HYPERLINK("http://ts.21cn.com/tousu/show/id/1351209","http://ts.21cn.com/tousu/show/id/1351209")</f>
        <v>http://ts.21cn.com/tousu/show/id/1351209</v>
      </c>
      <c r="F19247" s="2" t="s">
        <v>11</v>
      </c>
      <c r="G19247" s="2" t="s">
        <v>6325</v>
      </c>
      <c r="H19247" s="2" t="s">
        <v>6326</v>
      </c>
    </row>
    <row r="19248" spans="1:8" ht="25.05" customHeight="1" x14ac:dyDescent="0.25">
      <c r="A19248" s="2" t="s">
        <v>8</v>
      </c>
      <c r="B19248" s="2" t="str">
        <f>HYPERLINK("http://ts.21cn.com/tousu/show/id/1351210","高利贷黑贷")</f>
        <v>高利贷黑贷</v>
      </c>
      <c r="C19248" s="2" t="s">
        <v>9</v>
      </c>
      <c r="D19248" s="2" t="s">
        <v>10</v>
      </c>
      <c r="E19248" s="2" t="str">
        <f>HYPERLINK("http://ts.21cn.com/tousu/show/id/1351210","http://ts.21cn.com/tousu/show/id/1351210")</f>
        <v>http://ts.21cn.com/tousu/show/id/1351210</v>
      </c>
      <c r="F19248" s="2" t="s">
        <v>11</v>
      </c>
      <c r="G19248" s="2" t="s">
        <v>6323</v>
      </c>
      <c r="H19248" s="2" t="s">
        <v>6324</v>
      </c>
    </row>
    <row r="19249" spans="1:8" ht="25.05" customHeight="1" x14ac:dyDescent="0.25">
      <c r="A19249" s="2" t="s">
        <v>8</v>
      </c>
      <c r="B19249" s="2" t="str">
        <f>HYPERLINK("http://ts.21cn.com/tousu/show/id/1351211","暴力催收，态度极其恶劣")</f>
        <v>暴力催收，态度极其恶劣</v>
      </c>
      <c r="C19249" s="2" t="s">
        <v>9</v>
      </c>
      <c r="D19249" s="2" t="s">
        <v>10</v>
      </c>
      <c r="E19249" s="2" t="str">
        <f>HYPERLINK("http://ts.21cn.com/tousu/show/id/1351211","http://ts.21cn.com/tousu/show/id/1351211")</f>
        <v>http://ts.21cn.com/tousu/show/id/1351211</v>
      </c>
      <c r="F19249" s="2" t="s">
        <v>11</v>
      </c>
      <c r="G19249" s="2" t="s">
        <v>6321</v>
      </c>
      <c r="H19249" s="2" t="s">
        <v>6322</v>
      </c>
    </row>
    <row r="19250" spans="1:8" ht="25.05" customHeight="1" x14ac:dyDescent="0.25">
      <c r="A19250" s="2" t="s">
        <v>8</v>
      </c>
      <c r="B19250" s="2" t="str">
        <f>HYPERLINK("http://ts.21cn.com/tousu/show/id/1351212","投诉你我贷高利息乱收费")</f>
        <v>投诉你我贷高利息乱收费</v>
      </c>
      <c r="C19250" s="2" t="s">
        <v>9</v>
      </c>
      <c r="D19250" s="2" t="s">
        <v>10</v>
      </c>
      <c r="E19250" s="2" t="str">
        <f>HYPERLINK("http://ts.21cn.com/tousu/show/id/1351212","http://ts.21cn.com/tousu/show/id/1351212")</f>
        <v>http://ts.21cn.com/tousu/show/id/1351212</v>
      </c>
      <c r="F19250" s="2" t="s">
        <v>11</v>
      </c>
      <c r="G19250" s="2" t="s">
        <v>6319</v>
      </c>
      <c r="H19250" s="2" t="s">
        <v>6320</v>
      </c>
    </row>
    <row r="19251" spans="1:8" ht="25.05" customHeight="1" x14ac:dyDescent="0.25">
      <c r="A19251" s="2" t="s">
        <v>8</v>
      </c>
      <c r="B19251" s="2" t="str">
        <f>HYPERLINK("http://ts.21cn.com/tousu/show/id/1351213","支付宝限制提现")</f>
        <v>支付宝限制提现</v>
      </c>
      <c r="C19251" s="2" t="s">
        <v>34</v>
      </c>
      <c r="D19251" s="2" t="s">
        <v>10</v>
      </c>
      <c r="E19251" s="2" t="str">
        <f>HYPERLINK("http://ts.21cn.com/tousu/show/id/1351213","http://ts.21cn.com/tousu/show/id/1351213")</f>
        <v>http://ts.21cn.com/tousu/show/id/1351213</v>
      </c>
      <c r="F19251" s="2" t="s">
        <v>11</v>
      </c>
      <c r="G19251" s="2" t="s">
        <v>6317</v>
      </c>
      <c r="H19251" s="2" t="s">
        <v>6318</v>
      </c>
    </row>
    <row r="19252" spans="1:8" ht="25.05" customHeight="1" x14ac:dyDescent="0.25">
      <c r="A19252" s="2" t="s">
        <v>8</v>
      </c>
      <c r="B19252" s="2" t="str">
        <f>HYPERLINK("http://ts.21cn.com/tousu/show/id/1351214","北京爱农驿站,汇潮支付，浙江航天电子，百联优力非法赌博网站吉祥坊提供第三方充值通道，请求处理赔偿")</f>
        <v>北京爱农驿站,汇潮支付，浙江航天电子，百联优力非法赌博网站吉祥坊提供第三方充值通道，请求处理赔偿</v>
      </c>
      <c r="C19252" s="2" t="s">
        <v>9</v>
      </c>
      <c r="D19252" s="2" t="s">
        <v>10</v>
      </c>
      <c r="E19252" s="2" t="str">
        <f>HYPERLINK("http://ts.21cn.com/tousu/show/id/1351214","http://ts.21cn.com/tousu/show/id/1351214")</f>
        <v>http://ts.21cn.com/tousu/show/id/1351214</v>
      </c>
      <c r="F19252" s="2" t="s">
        <v>11</v>
      </c>
      <c r="G19252" s="2" t="s">
        <v>6315</v>
      </c>
      <c r="H19252" s="2" t="s">
        <v>6316</v>
      </c>
    </row>
    <row r="19253" spans="1:8" ht="25.05" customHeight="1" x14ac:dyDescent="0.25">
      <c r="A19253" s="2" t="s">
        <v>8</v>
      </c>
      <c r="B19253" s="2" t="str">
        <f>HYPERLINK("http://ts.21cn.com/tousu/show/id/1351215","招联金融暴力催收，影响我联系人正常生活")</f>
        <v>招联金融暴力催收，影响我联系人正常生活</v>
      </c>
      <c r="C19253" s="2" t="s">
        <v>9</v>
      </c>
      <c r="D19253" s="2" t="s">
        <v>10</v>
      </c>
      <c r="E19253" s="2" t="str">
        <f>HYPERLINK("http://ts.21cn.com/tousu/show/id/1351215","http://ts.21cn.com/tousu/show/id/1351215")</f>
        <v>http://ts.21cn.com/tousu/show/id/1351215</v>
      </c>
      <c r="F19253" s="2" t="s">
        <v>11</v>
      </c>
      <c r="G19253" s="2" t="s">
        <v>6313</v>
      </c>
      <c r="H19253" s="2" t="s">
        <v>6314</v>
      </c>
    </row>
    <row r="19254" spans="1:8" ht="25.05" customHeight="1" x14ac:dyDescent="0.25">
      <c r="A19254" s="2" t="s">
        <v>8</v>
      </c>
      <c r="B19254" s="2" t="str">
        <f>HYPERLINK("http://ts.21cn.com/tousu/show/id/1351216","钱站阴阳合同，虚假推广。")</f>
        <v>钱站阴阳合同，虚假推广。</v>
      </c>
      <c r="C19254" s="2" t="s">
        <v>9</v>
      </c>
      <c r="D19254" s="2" t="s">
        <v>10</v>
      </c>
      <c r="E19254" s="2" t="str">
        <f>HYPERLINK("http://ts.21cn.com/tousu/show/id/1351216","http://ts.21cn.com/tousu/show/id/1351216")</f>
        <v>http://ts.21cn.com/tousu/show/id/1351216</v>
      </c>
      <c r="F19254" s="2" t="s">
        <v>11</v>
      </c>
      <c r="G19254" s="2" t="s">
        <v>6311</v>
      </c>
      <c r="H19254" s="2" t="s">
        <v>6312</v>
      </c>
    </row>
    <row r="19255" spans="1:8" ht="25.05" customHeight="1" x14ac:dyDescent="0.25">
      <c r="A19255" s="2" t="s">
        <v>8</v>
      </c>
      <c r="B19255" s="2" t="str">
        <f>HYPERLINK("http://ts.21cn.com/tousu/show/id/1351217","暴利催收")</f>
        <v>暴利催收</v>
      </c>
      <c r="C19255" s="2" t="s">
        <v>9</v>
      </c>
      <c r="D19255" s="2" t="s">
        <v>10</v>
      </c>
      <c r="E19255" s="2" t="str">
        <f>HYPERLINK("http://ts.21cn.com/tousu/show/id/1351217","http://ts.21cn.com/tousu/show/id/1351217")</f>
        <v>http://ts.21cn.com/tousu/show/id/1351217</v>
      </c>
      <c r="F19255" s="2" t="s">
        <v>11</v>
      </c>
      <c r="G19255" s="2" t="s">
        <v>6309</v>
      </c>
      <c r="H19255" s="2" t="s">
        <v>6310</v>
      </c>
    </row>
    <row r="19256" spans="1:8" ht="25.05" customHeight="1" x14ac:dyDescent="0.25">
      <c r="A19256" s="2" t="s">
        <v>8</v>
      </c>
      <c r="B19256" s="2" t="str">
        <f>HYPERLINK("http://ts.21cn.com/tousu/show/id/1351219","恶意扣款")</f>
        <v>恶意扣款</v>
      </c>
      <c r="C19256" s="2" t="s">
        <v>9</v>
      </c>
      <c r="D19256" s="2" t="s">
        <v>10</v>
      </c>
      <c r="E19256" s="2" t="str">
        <f>HYPERLINK("http://ts.21cn.com/tousu/show/id/1351219","http://ts.21cn.com/tousu/show/id/1351219")</f>
        <v>http://ts.21cn.com/tousu/show/id/1351219</v>
      </c>
      <c r="F19256" s="2" t="s">
        <v>11</v>
      </c>
      <c r="G19256" s="2" t="s">
        <v>6307</v>
      </c>
      <c r="H19256" s="2" t="s">
        <v>6308</v>
      </c>
    </row>
    <row r="19257" spans="1:8" ht="25.05" customHeight="1" x14ac:dyDescent="0.25">
      <c r="A19257" s="2" t="s">
        <v>8</v>
      </c>
      <c r="B19257" s="2" t="str">
        <f>HYPERLINK("http://ts.21cn.com/tousu/show/id/1351220","中智消费扣款")</f>
        <v>中智消费扣款</v>
      </c>
      <c r="C19257" s="2" t="s">
        <v>34</v>
      </c>
      <c r="D19257" s="2" t="s">
        <v>10</v>
      </c>
      <c r="E19257" s="2" t="str">
        <f>HYPERLINK("http://ts.21cn.com/tousu/show/id/1351220","http://ts.21cn.com/tousu/show/id/1351220")</f>
        <v>http://ts.21cn.com/tousu/show/id/1351220</v>
      </c>
      <c r="F19257" s="2" t="s">
        <v>11</v>
      </c>
      <c r="G19257" s="2" t="s">
        <v>6305</v>
      </c>
      <c r="H19257" s="2" t="s">
        <v>6306</v>
      </c>
    </row>
    <row r="19258" spans="1:8" ht="25.05" customHeight="1" x14ac:dyDescent="0.25">
      <c r="A19258" s="2" t="s">
        <v>8</v>
      </c>
      <c r="B19258" s="2" t="str">
        <f>HYPERLINK("http://ts.21cn.com/tousu/show/id/1351221","宏萨（上海）信息科技有限公司盗刷296元")</f>
        <v>宏萨（上海）信息科技有限公司盗刷296元</v>
      </c>
      <c r="C19258" s="2" t="s">
        <v>9</v>
      </c>
      <c r="D19258" s="2" t="s">
        <v>10</v>
      </c>
      <c r="E19258" s="2" t="str">
        <f>HYPERLINK("http://ts.21cn.com/tousu/show/id/1351221","http://ts.21cn.com/tousu/show/id/1351221")</f>
        <v>http://ts.21cn.com/tousu/show/id/1351221</v>
      </c>
      <c r="F19258" s="2" t="s">
        <v>11</v>
      </c>
      <c r="G19258" s="2" t="s">
        <v>6303</v>
      </c>
      <c r="H19258" s="2" t="s">
        <v>6304</v>
      </c>
    </row>
    <row r="19259" spans="1:8" ht="25.05" customHeight="1" x14ac:dyDescent="0.25">
      <c r="A19259" s="2" t="s">
        <v>8</v>
      </c>
      <c r="B19259" s="2" t="str">
        <f>HYPERLINK("http://ts.21cn.com/tousu/show/id/1351222","达内教育以招聘为由诱使学员签署高额教育贷款")</f>
        <v>达内教育以招聘为由诱使学员签署高额教育贷款</v>
      </c>
      <c r="C19259" s="2" t="s">
        <v>9</v>
      </c>
      <c r="D19259" s="2" t="s">
        <v>10</v>
      </c>
      <c r="E19259" s="2" t="str">
        <f>HYPERLINK("http://ts.21cn.com/tousu/show/id/1351222","http://ts.21cn.com/tousu/show/id/1351222")</f>
        <v>http://ts.21cn.com/tousu/show/id/1351222</v>
      </c>
      <c r="F19259" s="2" t="s">
        <v>11</v>
      </c>
      <c r="G19259" s="2" t="s">
        <v>6301</v>
      </c>
      <c r="H19259" s="2" t="s">
        <v>6302</v>
      </c>
    </row>
    <row r="19260" spans="1:8" ht="25.05" customHeight="1" x14ac:dyDescent="0.25">
      <c r="A19260" s="2" t="s">
        <v>8</v>
      </c>
      <c r="B19260" s="2" t="str">
        <f>HYPERLINK("http://ts.21cn.com/tousu/show/id/1351223","交通银行信用卡催收态度恶劣，在能与我联系上的情况下骚扰家人")</f>
        <v>交通银行信用卡催收态度恶劣，在能与我联系上的情况下骚扰家人</v>
      </c>
      <c r="C19260" s="2" t="s">
        <v>9</v>
      </c>
      <c r="D19260" s="2" t="s">
        <v>10</v>
      </c>
      <c r="E19260" s="2" t="str">
        <f>HYPERLINK("http://ts.21cn.com/tousu/show/id/1351223","http://ts.21cn.com/tousu/show/id/1351223")</f>
        <v>http://ts.21cn.com/tousu/show/id/1351223</v>
      </c>
      <c r="F19260" s="2" t="s">
        <v>11</v>
      </c>
      <c r="G19260" s="2" t="s">
        <v>6299</v>
      </c>
      <c r="H19260" s="2" t="s">
        <v>6300</v>
      </c>
    </row>
    <row r="19261" spans="1:8" ht="25.05" customHeight="1" x14ac:dyDescent="0.25">
      <c r="A19261" s="2" t="s">
        <v>8</v>
      </c>
      <c r="B19261" s="2" t="str">
        <f>HYPERLINK("http://ts.21cn.com/tousu/show/id/1351132","拍拍贷套路大曝光，建议媒体曝光，上报国家机构")</f>
        <v>拍拍贷套路大曝光，建议媒体曝光，上报国家机构</v>
      </c>
      <c r="C19261" s="2" t="s">
        <v>9</v>
      </c>
      <c r="D19261" s="2" t="s">
        <v>10</v>
      </c>
      <c r="E19261" s="2" t="str">
        <f>HYPERLINK("http://ts.21cn.com/tousu/show/id/1351132","http://ts.21cn.com/tousu/show/id/1351132")</f>
        <v>http://ts.21cn.com/tousu/show/id/1351132</v>
      </c>
      <c r="F19261" s="2" t="s">
        <v>11</v>
      </c>
      <c r="G19261" s="2" t="s">
        <v>6297</v>
      </c>
      <c r="H19261" s="2" t="s">
        <v>6298</v>
      </c>
    </row>
    <row r="19262" spans="1:8" ht="25.05" customHeight="1" x14ac:dyDescent="0.25">
      <c r="A19262" s="2" t="s">
        <v>8</v>
      </c>
      <c r="B19262" s="2" t="str">
        <f>HYPERLINK("http://ts.21cn.com/tousu/show/id/1351225","宏萨（上海）信息科技有限公司盗取卡内296元")</f>
        <v>宏萨（上海）信息科技有限公司盗取卡内296元</v>
      </c>
      <c r="C19262" s="2" t="s">
        <v>9</v>
      </c>
      <c r="D19262" s="2" t="s">
        <v>10</v>
      </c>
      <c r="E19262" s="2" t="str">
        <f>HYPERLINK("http://ts.21cn.com/tousu/show/id/1351225","http://ts.21cn.com/tousu/show/id/1351225")</f>
        <v>http://ts.21cn.com/tousu/show/id/1351225</v>
      </c>
      <c r="F19262" s="2" t="s">
        <v>11</v>
      </c>
      <c r="G19262" s="2" t="s">
        <v>6295</v>
      </c>
      <c r="H19262" s="2" t="s">
        <v>6296</v>
      </c>
    </row>
    <row r="19263" spans="1:8" ht="25.05" customHeight="1" x14ac:dyDescent="0.25">
      <c r="A19263" s="2" t="s">
        <v>8</v>
      </c>
      <c r="B19263" s="2" t="str">
        <f>HYPERLINK("http://ts.21cn.com/tousu/show/id/1351226","付临门超高费率")</f>
        <v>付临门超高费率</v>
      </c>
      <c r="C19263" s="2" t="s">
        <v>9</v>
      </c>
      <c r="D19263" s="2" t="s">
        <v>10</v>
      </c>
      <c r="E19263" s="2" t="str">
        <f>HYPERLINK("http://ts.21cn.com/tousu/show/id/1351226","http://ts.21cn.com/tousu/show/id/1351226")</f>
        <v>http://ts.21cn.com/tousu/show/id/1351226</v>
      </c>
      <c r="F19263" s="2" t="s">
        <v>11</v>
      </c>
      <c r="G19263" s="2" t="s">
        <v>6293</v>
      </c>
      <c r="H19263" s="2" t="s">
        <v>6294</v>
      </c>
    </row>
    <row r="19264" spans="1:8" ht="25.05" customHeight="1" x14ac:dyDescent="0.25">
      <c r="A19264" s="2" t="s">
        <v>8</v>
      </c>
      <c r="B19264" s="2" t="str">
        <f>HYPERLINK("http://ts.21cn.com/tousu/show/id/1351227","协商还款")</f>
        <v>协商还款</v>
      </c>
      <c r="C19264" s="2" t="s">
        <v>9</v>
      </c>
      <c r="D19264" s="2" t="s">
        <v>10</v>
      </c>
      <c r="E19264" s="2" t="str">
        <f>HYPERLINK("http://ts.21cn.com/tousu/show/id/1351227","http://ts.21cn.com/tousu/show/id/1351227")</f>
        <v>http://ts.21cn.com/tousu/show/id/1351227</v>
      </c>
      <c r="F19264" s="2" t="s">
        <v>11</v>
      </c>
      <c r="G19264" s="2" t="s">
        <v>6291</v>
      </c>
      <c r="H19264" s="2" t="s">
        <v>6292</v>
      </c>
    </row>
    <row r="19265" spans="1:8" ht="25.05" customHeight="1" x14ac:dyDescent="0.25">
      <c r="A19265" s="2" t="s">
        <v>8</v>
      </c>
      <c r="B19265" s="2" t="str">
        <f>HYPERLINK("http://ts.21cn.com/tousu/show/id/1351228","泰康人寿未提醒保险缴费造成保险合同过期不准续保")</f>
        <v>泰康人寿未提醒保险缴费造成保险合同过期不准续保</v>
      </c>
      <c r="C19265" s="2" t="s">
        <v>9</v>
      </c>
      <c r="D19265" s="2" t="s">
        <v>10</v>
      </c>
      <c r="E19265" s="2" t="str">
        <f>HYPERLINK("http://ts.21cn.com/tousu/show/id/1351228","http://ts.21cn.com/tousu/show/id/1351228")</f>
        <v>http://ts.21cn.com/tousu/show/id/1351228</v>
      </c>
      <c r="F19265" s="2" t="s">
        <v>11</v>
      </c>
      <c r="G19265" s="2" t="s">
        <v>6289</v>
      </c>
      <c r="H19265" s="2" t="s">
        <v>6290</v>
      </c>
    </row>
    <row r="19266" spans="1:8" ht="25.05" customHeight="1" x14ac:dyDescent="0.25">
      <c r="A19266" s="2" t="s">
        <v>8</v>
      </c>
      <c r="B19266" s="2" t="str">
        <f>HYPERLINK("http://ts.21cn.com/tousu/show/id/1351229","友信普惠砍头息搭售保险")</f>
        <v>友信普惠砍头息搭售保险</v>
      </c>
      <c r="C19266" s="2" t="s">
        <v>34</v>
      </c>
      <c r="D19266" s="2" t="s">
        <v>10</v>
      </c>
      <c r="E19266" s="2" t="str">
        <f>HYPERLINK("http://ts.21cn.com/tousu/show/id/1351229","http://ts.21cn.com/tousu/show/id/1351229")</f>
        <v>http://ts.21cn.com/tousu/show/id/1351229</v>
      </c>
      <c r="F19266" s="2" t="s">
        <v>11</v>
      </c>
      <c r="G19266" s="2" t="s">
        <v>6286</v>
      </c>
      <c r="H19266" s="2" t="s">
        <v>6287</v>
      </c>
    </row>
    <row r="19267" spans="1:8" ht="25.05" customHeight="1" x14ac:dyDescent="0.25">
      <c r="A19267" s="2" t="s">
        <v>8</v>
      </c>
      <c r="B19267" s="2" t="str">
        <f>HYPERLINK("http://ts.21cn.com/tousu/show/id/1351230","恶性催收威胁恐吓")</f>
        <v>恶性催收威胁恐吓</v>
      </c>
      <c r="C19267" s="2" t="s">
        <v>9</v>
      </c>
      <c r="D19267" s="2" t="s">
        <v>10</v>
      </c>
      <c r="E19267" s="2" t="str">
        <f>HYPERLINK("http://ts.21cn.com/tousu/show/id/1351230","http://ts.21cn.com/tousu/show/id/1351230")</f>
        <v>http://ts.21cn.com/tousu/show/id/1351230</v>
      </c>
      <c r="F19267" s="2" t="s">
        <v>11</v>
      </c>
      <c r="G19267" s="2" t="s">
        <v>6286</v>
      </c>
      <c r="H19267" s="2" t="s">
        <v>6288</v>
      </c>
    </row>
    <row r="19268" spans="1:8" ht="25.05" customHeight="1" x14ac:dyDescent="0.25">
      <c r="A19268" s="2" t="s">
        <v>8</v>
      </c>
      <c r="B19268" s="2" t="str">
        <f>HYPERLINK("http://ts.21cn.com/tousu/show/id/1351231","贷上钱高额手续费")</f>
        <v>贷上钱高额手续费</v>
      </c>
      <c r="C19268" s="2" t="s">
        <v>9</v>
      </c>
      <c r="D19268" s="2" t="s">
        <v>10</v>
      </c>
      <c r="E19268" s="2" t="str">
        <f>HYPERLINK("http://ts.21cn.com/tousu/show/id/1351231","http://ts.21cn.com/tousu/show/id/1351231")</f>
        <v>http://ts.21cn.com/tousu/show/id/1351231</v>
      </c>
      <c r="F19268" s="2" t="s">
        <v>11</v>
      </c>
      <c r="G19268" s="2" t="s">
        <v>6284</v>
      </c>
      <c r="H19268" s="2" t="s">
        <v>6285</v>
      </c>
    </row>
    <row r="19269" spans="1:8" ht="25.05" customHeight="1" x14ac:dyDescent="0.25">
      <c r="A19269" s="2" t="s">
        <v>8</v>
      </c>
      <c r="B19269" s="2" t="str">
        <f>HYPERLINK("http://ts.21cn.com/tousu/show/id/1351127","南京烟筒花网络科技有限公司以恒易贷名义欺诈消费者还款")</f>
        <v>南京烟筒花网络科技有限公司以恒易贷名义欺诈消费者还款</v>
      </c>
      <c r="C19269" s="2" t="s">
        <v>9</v>
      </c>
      <c r="D19269" s="2" t="s">
        <v>10</v>
      </c>
      <c r="E19269" s="2" t="str">
        <f>HYPERLINK("http://ts.21cn.com/tousu/show/id/1351127","http://ts.21cn.com/tousu/show/id/1351127")</f>
        <v>http://ts.21cn.com/tousu/show/id/1351127</v>
      </c>
      <c r="F19269" s="2" t="s">
        <v>11</v>
      </c>
      <c r="G19269" s="2" t="s">
        <v>6282</v>
      </c>
      <c r="H19269" s="2" t="s">
        <v>6283</v>
      </c>
    </row>
    <row r="19270" spans="1:8" ht="25.05" customHeight="1" x14ac:dyDescent="0.25">
      <c r="A19270" s="2" t="s">
        <v>8</v>
      </c>
      <c r="B19270" s="2" t="str">
        <f>HYPERLINK("http://ts.21cn.com/tousu/show/id/1351233","万惠及贷变相收取高额息费以及违法催收，")</f>
        <v>万惠及贷变相收取高额息费以及违法催收，</v>
      </c>
      <c r="C19270" s="2" t="s">
        <v>9</v>
      </c>
      <c r="D19270" s="2" t="s">
        <v>10</v>
      </c>
      <c r="E19270" s="2" t="str">
        <f>HYPERLINK("http://ts.21cn.com/tousu/show/id/1351233","http://ts.21cn.com/tousu/show/id/1351233")</f>
        <v>http://ts.21cn.com/tousu/show/id/1351233</v>
      </c>
      <c r="F19270" s="2" t="s">
        <v>11</v>
      </c>
      <c r="G19270" s="2" t="s">
        <v>6280</v>
      </c>
      <c r="H19270" s="2" t="s">
        <v>6281</v>
      </c>
    </row>
    <row r="19271" spans="1:8" ht="25.05" customHeight="1" x14ac:dyDescent="0.25">
      <c r="A19271" s="2" t="s">
        <v>8</v>
      </c>
      <c r="B19271" s="2" t="str">
        <f>HYPERLINK("http://ts.21cn.com/tousu/show/id/1351236","高利贷")</f>
        <v>高利贷</v>
      </c>
      <c r="C19271" s="2" t="s">
        <v>9</v>
      </c>
      <c r="D19271" s="2" t="s">
        <v>10</v>
      </c>
      <c r="E19271" s="2" t="str">
        <f>HYPERLINK("http://ts.21cn.com/tousu/show/id/1351236","http://ts.21cn.com/tousu/show/id/1351236")</f>
        <v>http://ts.21cn.com/tousu/show/id/1351236</v>
      </c>
      <c r="F19271" s="2" t="s">
        <v>11</v>
      </c>
      <c r="G19271" s="2" t="s">
        <v>6278</v>
      </c>
      <c r="H19271" s="2" t="s">
        <v>6279</v>
      </c>
    </row>
    <row r="19272" spans="1:8" ht="25.05" customHeight="1" x14ac:dyDescent="0.25">
      <c r="A19272" s="2" t="s">
        <v>8</v>
      </c>
      <c r="B19272" s="2" t="str">
        <f>HYPERLINK("http://ts.21cn.com/tousu/show/id/1351235","爆通讯录恐吓")</f>
        <v>爆通讯录恐吓</v>
      </c>
      <c r="C19272" s="2" t="s">
        <v>9</v>
      </c>
      <c r="D19272" s="2" t="s">
        <v>10</v>
      </c>
      <c r="E19272" s="2" t="str">
        <f>HYPERLINK("http://ts.21cn.com/tousu/show/id/1351235","http://ts.21cn.com/tousu/show/id/1351235")</f>
        <v>http://ts.21cn.com/tousu/show/id/1351235</v>
      </c>
      <c r="F19272" s="2" t="s">
        <v>11</v>
      </c>
      <c r="G19272" s="2" t="s">
        <v>6276</v>
      </c>
      <c r="H19272" s="2" t="s">
        <v>6277</v>
      </c>
    </row>
    <row r="19273" spans="1:8" ht="25.05" customHeight="1" x14ac:dyDescent="0.25">
      <c r="A19273" s="2" t="s">
        <v>8</v>
      </c>
      <c r="B19273" s="2" t="str">
        <f>HYPERLINK("http://ts.21cn.com/tousu/show/id/1351237","好易借，高额砍头息")</f>
        <v>好易借，高额砍头息</v>
      </c>
      <c r="C19273" s="2" t="s">
        <v>9</v>
      </c>
      <c r="D19273" s="2" t="s">
        <v>10</v>
      </c>
      <c r="E19273" s="2" t="str">
        <f>HYPERLINK("http://ts.21cn.com/tousu/show/id/1351237","http://ts.21cn.com/tousu/show/id/1351237")</f>
        <v>http://ts.21cn.com/tousu/show/id/1351237</v>
      </c>
      <c r="F19273" s="2" t="s">
        <v>11</v>
      </c>
      <c r="G19273" s="2" t="s">
        <v>6274</v>
      </c>
      <c r="H19273" s="2" t="s">
        <v>6275</v>
      </c>
    </row>
    <row r="19274" spans="1:8" ht="25.05" customHeight="1" x14ac:dyDescent="0.25">
      <c r="A19274" s="2" t="s">
        <v>8</v>
      </c>
      <c r="B19274" s="2" t="str">
        <f>HYPERLINK("http://ts.21cn.com/tousu/show/id/1351238","恶意催收爆通讯录")</f>
        <v>恶意催收爆通讯录</v>
      </c>
      <c r="C19274" s="2" t="s">
        <v>9</v>
      </c>
      <c r="D19274" s="2" t="s">
        <v>10</v>
      </c>
      <c r="E19274" s="2" t="str">
        <f>HYPERLINK("http://ts.21cn.com/tousu/show/id/1351238","http://ts.21cn.com/tousu/show/id/1351238")</f>
        <v>http://ts.21cn.com/tousu/show/id/1351238</v>
      </c>
      <c r="F19274" s="2" t="s">
        <v>11</v>
      </c>
      <c r="G19274" s="2" t="s">
        <v>6272</v>
      </c>
      <c r="H19274" s="2" t="s">
        <v>6273</v>
      </c>
    </row>
    <row r="19275" spans="1:8" ht="25.05" customHeight="1" x14ac:dyDescent="0.25">
      <c r="A19275" s="2" t="s">
        <v>8</v>
      </c>
      <c r="B19275" s="2" t="str">
        <f>HYPERLINK("http://ts.21cn.com/tousu/show/id/1351239","王者钱包还款日当天暴力催收")</f>
        <v>王者钱包还款日当天暴力催收</v>
      </c>
      <c r="C19275" s="2" t="s">
        <v>9</v>
      </c>
      <c r="D19275" s="2" t="s">
        <v>10</v>
      </c>
      <c r="E19275" s="2" t="str">
        <f>HYPERLINK("http://ts.21cn.com/tousu/show/id/1351239","http://ts.21cn.com/tousu/show/id/1351239")</f>
        <v>http://ts.21cn.com/tousu/show/id/1351239</v>
      </c>
      <c r="F19275" s="2" t="s">
        <v>11</v>
      </c>
      <c r="G19275" s="2" t="s">
        <v>6270</v>
      </c>
      <c r="H19275" s="2" t="s">
        <v>6271</v>
      </c>
    </row>
    <row r="19276" spans="1:8" ht="25.05" customHeight="1" x14ac:dyDescent="0.25">
      <c r="A19276" s="2" t="s">
        <v>8</v>
      </c>
      <c r="B19276" s="2" t="str">
        <f>HYPERLINK("http://ts.21cn.com/tousu/show/id/1351240","马上消费金融非法砍头息")</f>
        <v>马上消费金融非法砍头息</v>
      </c>
      <c r="C19276" s="2" t="s">
        <v>9</v>
      </c>
      <c r="D19276" s="2" t="s">
        <v>10</v>
      </c>
      <c r="E19276" s="2" t="str">
        <f>HYPERLINK("http://ts.21cn.com/tousu/show/id/1351240","http://ts.21cn.com/tousu/show/id/1351240")</f>
        <v>http://ts.21cn.com/tousu/show/id/1351240</v>
      </c>
      <c r="F19276" s="2" t="s">
        <v>11</v>
      </c>
      <c r="G19276" s="2" t="s">
        <v>6268</v>
      </c>
      <c r="H19276" s="2" t="s">
        <v>6269</v>
      </c>
    </row>
    <row r="19277" spans="1:8" ht="25.05" customHeight="1" x14ac:dyDescent="0.25">
      <c r="A19277" s="2" t="s">
        <v>8</v>
      </c>
      <c r="B19277" s="2" t="str">
        <f>HYPERLINK("http://ts.21cn.com/tousu/show/id/1351242","小花钱包频繁骚扰我")</f>
        <v>小花钱包频繁骚扰我</v>
      </c>
      <c r="C19277" s="2" t="s">
        <v>9</v>
      </c>
      <c r="D19277" s="2" t="s">
        <v>10</v>
      </c>
      <c r="E19277" s="2" t="str">
        <f>HYPERLINK("http://ts.21cn.com/tousu/show/id/1351242","http://ts.21cn.com/tousu/show/id/1351242")</f>
        <v>http://ts.21cn.com/tousu/show/id/1351242</v>
      </c>
      <c r="F19277" s="2" t="s">
        <v>11</v>
      </c>
      <c r="G19277" s="2" t="s">
        <v>6266</v>
      </c>
      <c r="H19277" s="2" t="s">
        <v>6267</v>
      </c>
    </row>
    <row r="19278" spans="1:8" ht="25.05" customHeight="1" x14ac:dyDescent="0.25">
      <c r="A19278" s="2" t="s">
        <v>8</v>
      </c>
      <c r="B19278" s="2" t="str">
        <f>HYPERLINK("http://ts.21cn.com/tousu/show/id/1351244","黑网贷砍头息，每期额外手续费")</f>
        <v>黑网贷砍头息，每期额外手续费</v>
      </c>
      <c r="C19278" s="2" t="s">
        <v>9</v>
      </c>
      <c r="D19278" s="2" t="s">
        <v>10</v>
      </c>
      <c r="E19278" s="2" t="str">
        <f>HYPERLINK("http://ts.21cn.com/tousu/show/id/1351244","http://ts.21cn.com/tousu/show/id/1351244")</f>
        <v>http://ts.21cn.com/tousu/show/id/1351244</v>
      </c>
      <c r="F19278" s="2" t="s">
        <v>11</v>
      </c>
      <c r="G19278" s="2" t="s">
        <v>6264</v>
      </c>
      <c r="H19278" s="2" t="s">
        <v>6265</v>
      </c>
    </row>
    <row r="19279" spans="1:8" ht="25.05" customHeight="1" x14ac:dyDescent="0.25">
      <c r="A19279" s="2" t="s">
        <v>8</v>
      </c>
      <c r="B19279" s="2" t="str">
        <f>HYPERLINK("http://ts.21cn.com/tousu/show/id/1351246","融360你我贷高利贷")</f>
        <v>融360你我贷高利贷</v>
      </c>
      <c r="C19279" s="2" t="s">
        <v>9</v>
      </c>
      <c r="D19279" s="2" t="s">
        <v>10</v>
      </c>
      <c r="E19279" s="2" t="str">
        <f>HYPERLINK("http://ts.21cn.com/tousu/show/id/1351246","http://ts.21cn.com/tousu/show/id/1351246")</f>
        <v>http://ts.21cn.com/tousu/show/id/1351246</v>
      </c>
      <c r="F19279" s="2" t="s">
        <v>11</v>
      </c>
      <c r="G19279" s="2" t="s">
        <v>6262</v>
      </c>
      <c r="H19279" s="2" t="s">
        <v>6263</v>
      </c>
    </row>
    <row r="19280" spans="1:8" ht="25.05" customHeight="1" x14ac:dyDescent="0.25">
      <c r="A19280" s="2" t="s">
        <v>8</v>
      </c>
      <c r="B19280" s="2" t="str">
        <f>HYPERLINK("http://ts.21cn.com/tousu/show/id/1351245","高利贷砍头息")</f>
        <v>高利贷砍头息</v>
      </c>
      <c r="C19280" s="2" t="s">
        <v>9</v>
      </c>
      <c r="D19280" s="2" t="s">
        <v>10</v>
      </c>
      <c r="E19280" s="2" t="str">
        <f>HYPERLINK("http://ts.21cn.com/tousu/show/id/1351245","http://ts.21cn.com/tousu/show/id/1351245")</f>
        <v>http://ts.21cn.com/tousu/show/id/1351245</v>
      </c>
      <c r="F19280" s="2" t="s">
        <v>11</v>
      </c>
      <c r="G19280" s="2" t="s">
        <v>6260</v>
      </c>
      <c r="H19280" s="2" t="s">
        <v>6261</v>
      </c>
    </row>
    <row r="19281" spans="1:8" ht="25.05" customHeight="1" x14ac:dyDescent="0.25">
      <c r="A19281" s="2" t="s">
        <v>8</v>
      </c>
      <c r="B19281" s="2" t="str">
        <f>HYPERLINK("http://ts.21cn.com/tousu/show/id/1351247","随意涨价态度恶劣")</f>
        <v>随意涨价态度恶劣</v>
      </c>
      <c r="C19281" s="2" t="s">
        <v>9</v>
      </c>
      <c r="D19281" s="2" t="s">
        <v>10</v>
      </c>
      <c r="E19281" s="2" t="str">
        <f>HYPERLINK("http://ts.21cn.com/tousu/show/id/1351247","http://ts.21cn.com/tousu/show/id/1351247")</f>
        <v>http://ts.21cn.com/tousu/show/id/1351247</v>
      </c>
      <c r="F19281" s="2" t="s">
        <v>11</v>
      </c>
      <c r="G19281" s="2" t="s">
        <v>6258</v>
      </c>
      <c r="H19281" s="2" t="s">
        <v>6259</v>
      </c>
    </row>
    <row r="19282" spans="1:8" ht="25.05" customHeight="1" x14ac:dyDescent="0.25">
      <c r="A19282" s="2" t="s">
        <v>8</v>
      </c>
      <c r="B19282" s="2" t="str">
        <f>HYPERLINK("http://ts.21cn.com/tousu/show/id/1351248","跪求浦发信用卡申请延期还款")</f>
        <v>跪求浦发信用卡申请延期还款</v>
      </c>
      <c r="C19282" s="2" t="s">
        <v>9</v>
      </c>
      <c r="D19282" s="2" t="s">
        <v>10</v>
      </c>
      <c r="E19282" s="2" t="str">
        <f>HYPERLINK("http://ts.21cn.com/tousu/show/id/1351248","http://ts.21cn.com/tousu/show/id/1351248")</f>
        <v>http://ts.21cn.com/tousu/show/id/1351248</v>
      </c>
      <c r="F19282" s="2" t="s">
        <v>11</v>
      </c>
      <c r="G19282" s="2" t="s">
        <v>6256</v>
      </c>
      <c r="H19282" s="2" t="s">
        <v>6257</v>
      </c>
    </row>
    <row r="19283" spans="1:8" ht="25.05" customHeight="1" x14ac:dyDescent="0.25">
      <c r="A19283" s="2" t="s">
        <v>8</v>
      </c>
      <c r="B19283" s="2" t="str">
        <f>HYPERLINK("http://ts.21cn.com/tousu/show/id/1351250","滴滴平台毫无人权，乱扣服务分毫不负责")</f>
        <v>滴滴平台毫无人权，乱扣服务分毫不负责</v>
      </c>
      <c r="C19283" s="2" t="s">
        <v>9</v>
      </c>
      <c r="D19283" s="2" t="s">
        <v>10</v>
      </c>
      <c r="E19283" s="2" t="str">
        <f>HYPERLINK("http://ts.21cn.com/tousu/show/id/1351250","http://ts.21cn.com/tousu/show/id/1351250")</f>
        <v>http://ts.21cn.com/tousu/show/id/1351250</v>
      </c>
      <c r="F19283" s="2" t="s">
        <v>11</v>
      </c>
      <c r="G19283" s="2" t="s">
        <v>6254</v>
      </c>
      <c r="H19283" s="2" t="s">
        <v>6255</v>
      </c>
    </row>
    <row r="19284" spans="1:8" ht="25.05" customHeight="1" x14ac:dyDescent="0.25">
      <c r="A19284" s="2" t="s">
        <v>8</v>
      </c>
      <c r="B19284" s="2" t="str">
        <f>HYPERLINK("http://ts.21cn.com/tousu/show/id/1351251","松紧贷阴阳合同，暴力催收，语言恐吓")</f>
        <v>松紧贷阴阳合同，暴力催收，语言恐吓</v>
      </c>
      <c r="C19284" s="2" t="s">
        <v>9</v>
      </c>
      <c r="D19284" s="2" t="s">
        <v>10</v>
      </c>
      <c r="E19284" s="2" t="str">
        <f>HYPERLINK("http://ts.21cn.com/tousu/show/id/1351251","http://ts.21cn.com/tousu/show/id/1351251")</f>
        <v>http://ts.21cn.com/tousu/show/id/1351251</v>
      </c>
      <c r="F19284" s="2" t="s">
        <v>11</v>
      </c>
      <c r="G19284" s="2" t="s">
        <v>6252</v>
      </c>
      <c r="H19284" s="2" t="s">
        <v>6253</v>
      </c>
    </row>
    <row r="19285" spans="1:8" ht="25.05" customHeight="1" x14ac:dyDescent="0.25">
      <c r="A19285" s="2" t="s">
        <v>8</v>
      </c>
      <c r="B19285" s="2" t="str">
        <f>HYPERLINK("http://ts.21cn.com/tousu/show/id/1351252","用钱宝p图群发短信诽谤本人")</f>
        <v>用钱宝p图群发短信诽谤本人</v>
      </c>
      <c r="C19285" s="2" t="s">
        <v>9</v>
      </c>
      <c r="D19285" s="2" t="s">
        <v>10</v>
      </c>
      <c r="E19285" s="2" t="str">
        <f>HYPERLINK("http://ts.21cn.com/tousu/show/id/1351252","http://ts.21cn.com/tousu/show/id/1351252")</f>
        <v>http://ts.21cn.com/tousu/show/id/1351252</v>
      </c>
      <c r="F19285" s="2" t="s">
        <v>11</v>
      </c>
      <c r="G19285" s="2" t="s">
        <v>6250</v>
      </c>
      <c r="H19285" s="2" t="s">
        <v>6251</v>
      </c>
    </row>
    <row r="19286" spans="1:8" ht="25.05" customHeight="1" x14ac:dyDescent="0.25">
      <c r="A19286" s="2" t="s">
        <v>8</v>
      </c>
      <c r="B19286" s="2" t="str">
        <f>HYPERLINK("http://ts.21cn.com/tousu/show/id/1351253","贷上钱以买游戏豆为由收取高额贷款通过费")</f>
        <v>贷上钱以买游戏豆为由收取高额贷款通过费</v>
      </c>
      <c r="C19286" s="2" t="s">
        <v>9</v>
      </c>
      <c r="D19286" s="2" t="s">
        <v>10</v>
      </c>
      <c r="E19286" s="2" t="str">
        <f>HYPERLINK("http://ts.21cn.com/tousu/show/id/1351253","http://ts.21cn.com/tousu/show/id/1351253")</f>
        <v>http://ts.21cn.com/tousu/show/id/1351253</v>
      </c>
      <c r="F19286" s="2" t="s">
        <v>11</v>
      </c>
      <c r="G19286" s="2" t="s">
        <v>6248</v>
      </c>
      <c r="H19286" s="2" t="s">
        <v>6249</v>
      </c>
    </row>
    <row r="19287" spans="1:8" ht="25.05" customHeight="1" x14ac:dyDescent="0.25">
      <c r="A19287" s="2" t="s">
        <v>8</v>
      </c>
      <c r="B19287" s="2" t="str">
        <f>HYPERLINK("http://ts.21cn.com/tousu/show/id/1351254","与闪电借款协商还本金")</f>
        <v>与闪电借款协商还本金</v>
      </c>
      <c r="C19287" s="2" t="s">
        <v>34</v>
      </c>
      <c r="D19287" s="2" t="s">
        <v>10</v>
      </c>
      <c r="E19287" s="2" t="str">
        <f>HYPERLINK("http://ts.21cn.com/tousu/show/id/1351254","http://ts.21cn.com/tousu/show/id/1351254")</f>
        <v>http://ts.21cn.com/tousu/show/id/1351254</v>
      </c>
      <c r="F19287" s="2" t="s">
        <v>11</v>
      </c>
      <c r="G19287" s="2" t="s">
        <v>6246</v>
      </c>
      <c r="H19287" s="2" t="s">
        <v>6247</v>
      </c>
    </row>
    <row r="19288" spans="1:8" ht="25.05" customHeight="1" x14ac:dyDescent="0.25">
      <c r="A19288" s="2" t="s">
        <v>8</v>
      </c>
      <c r="B19288" s="2" t="str">
        <f>HYPERLINK("http://ts.21cn.com/tousu/show/id/1351255","暴力催收，严重影响他人名誉")</f>
        <v>暴力催收，严重影响他人名誉</v>
      </c>
      <c r="C19288" s="2" t="s">
        <v>9</v>
      </c>
      <c r="D19288" s="2" t="s">
        <v>10</v>
      </c>
      <c r="E19288" s="2" t="str">
        <f>HYPERLINK("http://ts.21cn.com/tousu/show/id/1351255","http://ts.21cn.com/tousu/show/id/1351255")</f>
        <v>http://ts.21cn.com/tousu/show/id/1351255</v>
      </c>
      <c r="F19288" s="2" t="s">
        <v>11</v>
      </c>
      <c r="G19288" s="2" t="s">
        <v>6244</v>
      </c>
      <c r="H19288" s="2" t="s">
        <v>6245</v>
      </c>
    </row>
    <row r="19289" spans="1:8" ht="25.05" customHeight="1" x14ac:dyDescent="0.25">
      <c r="A19289" s="2" t="s">
        <v>8</v>
      </c>
      <c r="B19289" s="2" t="str">
        <f>HYPERLINK("http://ts.21cn.com/tousu/show/id/1351256","交易猫退款失败")</f>
        <v>交易猫退款失败</v>
      </c>
      <c r="C19289" s="2" t="s">
        <v>34</v>
      </c>
      <c r="D19289" s="2" t="s">
        <v>10</v>
      </c>
      <c r="E19289" s="2" t="str">
        <f>HYPERLINK("http://ts.21cn.com/tousu/show/id/1351256","http://ts.21cn.com/tousu/show/id/1351256")</f>
        <v>http://ts.21cn.com/tousu/show/id/1351256</v>
      </c>
      <c r="F19289" s="2" t="s">
        <v>11</v>
      </c>
      <c r="G19289" s="2" t="s">
        <v>6242</v>
      </c>
      <c r="H19289" s="2" t="s">
        <v>6243</v>
      </c>
    </row>
    <row r="19290" spans="1:8" ht="25.05" customHeight="1" x14ac:dyDescent="0.25">
      <c r="A19290" s="2" t="s">
        <v>8</v>
      </c>
      <c r="B19290" s="2" t="str">
        <f>HYPERLINK("http://ts.21cn.com/tousu/show/id/1351258","龙行管家虚假宣传误导办卡")</f>
        <v>龙行管家虚假宣传误导办卡</v>
      </c>
      <c r="C19290" s="2" t="s">
        <v>9</v>
      </c>
      <c r="D19290" s="2" t="s">
        <v>10</v>
      </c>
      <c r="E19290" s="2" t="str">
        <f>HYPERLINK("http://ts.21cn.com/tousu/show/id/1351258","http://ts.21cn.com/tousu/show/id/1351258")</f>
        <v>http://ts.21cn.com/tousu/show/id/1351258</v>
      </c>
      <c r="F19290" s="2" t="s">
        <v>11</v>
      </c>
      <c r="G19290" s="2" t="s">
        <v>6240</v>
      </c>
      <c r="H19290" s="2" t="s">
        <v>6241</v>
      </c>
    </row>
    <row r="19291" spans="1:8" ht="25.05" customHeight="1" x14ac:dyDescent="0.25">
      <c r="A19291" s="2" t="s">
        <v>8</v>
      </c>
      <c r="B19291" s="2" t="str">
        <f>HYPERLINK("http://ts.21cn.com/tousu/show/id/1351257","淘宝和支付宝对个人支付宝止付，冻结合法钱财")</f>
        <v>淘宝和支付宝对个人支付宝止付，冻结合法钱财</v>
      </c>
      <c r="C19291" s="2" t="s">
        <v>34</v>
      </c>
      <c r="D19291" s="2" t="s">
        <v>10</v>
      </c>
      <c r="E19291" s="2" t="str">
        <f>HYPERLINK("http://ts.21cn.com/tousu/show/id/1351257","http://ts.21cn.com/tousu/show/id/1351257")</f>
        <v>http://ts.21cn.com/tousu/show/id/1351257</v>
      </c>
      <c r="F19291" s="2" t="s">
        <v>11</v>
      </c>
      <c r="G19291" s="2" t="s">
        <v>6238</v>
      </c>
      <c r="H19291" s="2" t="s">
        <v>6239</v>
      </c>
    </row>
    <row r="19292" spans="1:8" ht="25.05" customHeight="1" x14ac:dyDescent="0.25">
      <c r="A19292" s="2" t="s">
        <v>8</v>
      </c>
      <c r="B19292" s="2" t="str">
        <f>HYPERLINK("http://ts.21cn.com/tousu/show/id/1351259","盼达用车不退押金。态度恶劣。永远在加急")</f>
        <v>盼达用车不退押金。态度恶劣。永远在加急</v>
      </c>
      <c r="C19292" s="2" t="s">
        <v>9</v>
      </c>
      <c r="D19292" s="2" t="s">
        <v>10</v>
      </c>
      <c r="E19292" s="2" t="str">
        <f>HYPERLINK("http://ts.21cn.com/tousu/show/id/1351259","http://ts.21cn.com/tousu/show/id/1351259")</f>
        <v>http://ts.21cn.com/tousu/show/id/1351259</v>
      </c>
      <c r="F19292" s="2" t="s">
        <v>11</v>
      </c>
      <c r="G19292" s="2" t="s">
        <v>6236</v>
      </c>
      <c r="H19292" s="2" t="s">
        <v>6237</v>
      </c>
    </row>
    <row r="19293" spans="1:8" ht="25.05" customHeight="1" x14ac:dyDescent="0.25">
      <c r="A19293" s="2" t="s">
        <v>8</v>
      </c>
      <c r="B19293" s="2" t="str">
        <f>HYPERLINK("http://ts.21cn.com/tousu/show/id/1351260","松紧贷砍头息，暴力催收，威胁恐吓")</f>
        <v>松紧贷砍头息，暴力催收，威胁恐吓</v>
      </c>
      <c r="C19293" s="2" t="s">
        <v>9</v>
      </c>
      <c r="D19293" s="2" t="s">
        <v>10</v>
      </c>
      <c r="E19293" s="2" t="str">
        <f>HYPERLINK("http://ts.21cn.com/tousu/show/id/1351260","http://ts.21cn.com/tousu/show/id/1351260")</f>
        <v>http://ts.21cn.com/tousu/show/id/1351260</v>
      </c>
      <c r="F19293" s="2" t="s">
        <v>11</v>
      </c>
      <c r="G19293" s="2" t="s">
        <v>6234</v>
      </c>
      <c r="H19293" s="2" t="s">
        <v>6235</v>
      </c>
    </row>
    <row r="19294" spans="1:8" ht="25.05" customHeight="1" x14ac:dyDescent="0.25">
      <c r="A19294" s="2" t="s">
        <v>8</v>
      </c>
      <c r="B19294" s="2" t="str">
        <f>HYPERLINK("http://ts.21cn.com/tousu/show/id/1351261","莫名其妙被扣款")</f>
        <v>莫名其妙被扣款</v>
      </c>
      <c r="C19294" s="2" t="s">
        <v>9</v>
      </c>
      <c r="D19294" s="2" t="s">
        <v>10</v>
      </c>
      <c r="E19294" s="2" t="str">
        <f>HYPERLINK("http://ts.21cn.com/tousu/show/id/1351261","http://ts.21cn.com/tousu/show/id/1351261")</f>
        <v>http://ts.21cn.com/tousu/show/id/1351261</v>
      </c>
      <c r="F19294" s="2" t="s">
        <v>11</v>
      </c>
      <c r="G19294" s="2" t="s">
        <v>6232</v>
      </c>
      <c r="H19294" s="2" t="s">
        <v>6233</v>
      </c>
    </row>
    <row r="19295" spans="1:8" ht="25.05" customHeight="1" x14ac:dyDescent="0.25">
      <c r="A19295" s="2" t="s">
        <v>8</v>
      </c>
      <c r="B19295" s="2" t="str">
        <f>HYPERLINK("http://ts.21cn.com/tousu/show/id/1351025","恶意催收")</f>
        <v>恶意催收</v>
      </c>
      <c r="C19295" s="2" t="s">
        <v>9</v>
      </c>
      <c r="D19295" s="2" t="s">
        <v>10</v>
      </c>
      <c r="E19295" s="2" t="str">
        <f>HYPERLINK("http://ts.21cn.com/tousu/show/id/1351025","http://ts.21cn.com/tousu/show/id/1351025")</f>
        <v>http://ts.21cn.com/tousu/show/id/1351025</v>
      </c>
      <c r="F19295" s="2" t="s">
        <v>11</v>
      </c>
      <c r="G19295" s="2" t="s">
        <v>6230</v>
      </c>
      <c r="H19295" s="2" t="s">
        <v>6231</v>
      </c>
    </row>
    <row r="19296" spans="1:8" ht="25.05" customHeight="1" x14ac:dyDescent="0.25">
      <c r="A19296" s="2" t="s">
        <v>8</v>
      </c>
      <c r="B19296" s="2" t="str">
        <f>HYPERLINK("http://ts.21cn.com/tousu/show/id/1351262","宜人贷高利贷黑利息")</f>
        <v>宜人贷高利贷黑利息</v>
      </c>
      <c r="C19296" s="2" t="s">
        <v>9</v>
      </c>
      <c r="D19296" s="2" t="s">
        <v>10</v>
      </c>
      <c r="E19296" s="2" t="str">
        <f>HYPERLINK("http://ts.21cn.com/tousu/show/id/1351262","http://ts.21cn.com/tousu/show/id/1351262")</f>
        <v>http://ts.21cn.com/tousu/show/id/1351262</v>
      </c>
      <c r="F19296" s="2" t="s">
        <v>11</v>
      </c>
      <c r="G19296" s="2" t="s">
        <v>6228</v>
      </c>
      <c r="H19296" s="2" t="s">
        <v>6229</v>
      </c>
    </row>
    <row r="19297" spans="1:8" ht="25.05" customHeight="1" x14ac:dyDescent="0.25">
      <c r="A19297" s="2" t="s">
        <v>8</v>
      </c>
      <c r="B19297" s="2" t="str">
        <f>HYPERLINK("http://ts.21cn.com/tousu/show/id/1351224","投诉今日头条鲁班保证金2万元迟迟不退")</f>
        <v>投诉今日头条鲁班保证金2万元迟迟不退</v>
      </c>
      <c r="C19297" s="2" t="s">
        <v>9</v>
      </c>
      <c r="D19297" s="2" t="s">
        <v>10</v>
      </c>
      <c r="E19297" s="2" t="str">
        <f>HYPERLINK("http://ts.21cn.com/tousu/show/id/1351224","http://ts.21cn.com/tousu/show/id/1351224")</f>
        <v>http://ts.21cn.com/tousu/show/id/1351224</v>
      </c>
      <c r="F19297" s="2" t="s">
        <v>11</v>
      </c>
      <c r="G19297" s="2" t="s">
        <v>6226</v>
      </c>
      <c r="H19297" s="2" t="s">
        <v>6227</v>
      </c>
    </row>
    <row r="19298" spans="1:8" ht="25.05" customHeight="1" x14ac:dyDescent="0.25">
      <c r="A19298" s="2" t="s">
        <v>8</v>
      </c>
      <c r="B19298" s="2" t="str">
        <f>HYPERLINK("http://ts.21cn.com/tousu/show/id/1351263","滴滴司机恶意收费")</f>
        <v>滴滴司机恶意收费</v>
      </c>
      <c r="C19298" s="2" t="s">
        <v>9</v>
      </c>
      <c r="D19298" s="2" t="s">
        <v>10</v>
      </c>
      <c r="E19298" s="2" t="str">
        <f>HYPERLINK("http://ts.21cn.com/tousu/show/id/1351263","http://ts.21cn.com/tousu/show/id/1351263")</f>
        <v>http://ts.21cn.com/tousu/show/id/1351263</v>
      </c>
      <c r="F19298" s="2" t="s">
        <v>11</v>
      </c>
      <c r="G19298" s="2" t="s">
        <v>6224</v>
      </c>
      <c r="H19298" s="2" t="s">
        <v>6225</v>
      </c>
    </row>
    <row r="19299" spans="1:8" ht="25.05" customHeight="1" x14ac:dyDescent="0.25">
      <c r="A19299" s="2" t="s">
        <v>8</v>
      </c>
      <c r="B19299" s="2" t="str">
        <f>HYPERLINK("http://ts.21cn.com/tousu/show/id/1351264","钱站利息太高")</f>
        <v>钱站利息太高</v>
      </c>
      <c r="C19299" s="2" t="s">
        <v>9</v>
      </c>
      <c r="D19299" s="2" t="s">
        <v>10</v>
      </c>
      <c r="E19299" s="2" t="str">
        <f>HYPERLINK("http://ts.21cn.com/tousu/show/id/1351264","http://ts.21cn.com/tousu/show/id/1351264")</f>
        <v>http://ts.21cn.com/tousu/show/id/1351264</v>
      </c>
      <c r="F19299" s="2" t="s">
        <v>11</v>
      </c>
      <c r="G19299" s="2" t="s">
        <v>6222</v>
      </c>
      <c r="H19299" s="2" t="s">
        <v>6223</v>
      </c>
    </row>
    <row r="19300" spans="1:8" ht="25.05" customHeight="1" x14ac:dyDescent="0.25">
      <c r="A19300" s="2" t="s">
        <v>8</v>
      </c>
      <c r="B19300" s="2" t="str">
        <f>HYPERLINK("http://ts.21cn.com/tousu/show/id/1351265","协商延期还款")</f>
        <v>协商延期还款</v>
      </c>
      <c r="C19300" s="2" t="s">
        <v>34</v>
      </c>
      <c r="D19300" s="2" t="s">
        <v>10</v>
      </c>
      <c r="E19300" s="2" t="str">
        <f>HYPERLINK("http://ts.21cn.com/tousu/show/id/1351265","http://ts.21cn.com/tousu/show/id/1351265")</f>
        <v>http://ts.21cn.com/tousu/show/id/1351265</v>
      </c>
      <c r="F19300" s="2" t="s">
        <v>11</v>
      </c>
      <c r="G19300" s="2" t="s">
        <v>6220</v>
      </c>
      <c r="H19300" s="2" t="s">
        <v>6221</v>
      </c>
    </row>
    <row r="19301" spans="1:8" ht="25.05" customHeight="1" x14ac:dyDescent="0.25">
      <c r="A19301" s="2" t="s">
        <v>8</v>
      </c>
      <c r="B19301" s="2" t="str">
        <f>HYPERLINK("http://ts.21cn.com/tousu/show/id/1351267","和平精英被限制")</f>
        <v>和平精英被限制</v>
      </c>
      <c r="C19301" s="2" t="s">
        <v>9</v>
      </c>
      <c r="D19301" s="2" t="s">
        <v>10</v>
      </c>
      <c r="E19301" s="2" t="str">
        <f>HYPERLINK("http://ts.21cn.com/tousu/show/id/1351267","http://ts.21cn.com/tousu/show/id/1351267")</f>
        <v>http://ts.21cn.com/tousu/show/id/1351267</v>
      </c>
      <c r="F19301" s="2" t="s">
        <v>11</v>
      </c>
      <c r="G19301" s="2" t="s">
        <v>6218</v>
      </c>
      <c r="H19301" s="2" t="s">
        <v>6219</v>
      </c>
    </row>
    <row r="19302" spans="1:8" ht="25.05" customHeight="1" x14ac:dyDescent="0.25">
      <c r="A19302" s="2" t="s">
        <v>8</v>
      </c>
      <c r="B19302" s="2" t="str">
        <f>HYPERLINK("http://ts.21cn.com/tousu/show/id/1351268","蛋壳公寓违约，让两天后搬走")</f>
        <v>蛋壳公寓违约，让两天后搬走</v>
      </c>
      <c r="C19302" s="2" t="s">
        <v>9</v>
      </c>
      <c r="D19302" s="2" t="s">
        <v>10</v>
      </c>
      <c r="E19302" s="2" t="str">
        <f>HYPERLINK("http://ts.21cn.com/tousu/show/id/1351268","http://ts.21cn.com/tousu/show/id/1351268")</f>
        <v>http://ts.21cn.com/tousu/show/id/1351268</v>
      </c>
      <c r="F19302" s="2" t="s">
        <v>11</v>
      </c>
      <c r="G19302" s="2" t="s">
        <v>6216</v>
      </c>
      <c r="H19302" s="2" t="s">
        <v>6217</v>
      </c>
    </row>
    <row r="19303" spans="1:8" ht="25.05" customHeight="1" x14ac:dyDescent="0.25">
      <c r="A19303" s="2" t="s">
        <v>8</v>
      </c>
      <c r="B19303" s="2" t="str">
        <f>HYPERLINK("http://ts.21cn.com/tousu/show/id/1351269","714高炮")</f>
        <v>714高炮</v>
      </c>
      <c r="C19303" s="2" t="s">
        <v>9</v>
      </c>
      <c r="D19303" s="2" t="s">
        <v>10</v>
      </c>
      <c r="E19303" s="2" t="str">
        <f>HYPERLINK("http://ts.21cn.com/tousu/show/id/1351269","http://ts.21cn.com/tousu/show/id/1351269")</f>
        <v>http://ts.21cn.com/tousu/show/id/1351269</v>
      </c>
      <c r="F19303" s="2" t="s">
        <v>11</v>
      </c>
      <c r="G19303" s="2" t="s">
        <v>6214</v>
      </c>
      <c r="H19303" s="2" t="s">
        <v>6215</v>
      </c>
    </row>
    <row r="19304" spans="1:8" ht="25.05" customHeight="1" x14ac:dyDescent="0.25">
      <c r="A19304" s="2" t="s">
        <v>8</v>
      </c>
      <c r="B19304" s="2" t="str">
        <f>HYPERLINK("http://ts.21cn.com/tousu/show/id/1351271","喜鹊快贷暴力催收")</f>
        <v>喜鹊快贷暴力催收</v>
      </c>
      <c r="C19304" s="2" t="s">
        <v>9</v>
      </c>
      <c r="D19304" s="2" t="s">
        <v>10</v>
      </c>
      <c r="E19304" s="2" t="str">
        <f>HYPERLINK("http://ts.21cn.com/tousu/show/id/1351271","http://ts.21cn.com/tousu/show/id/1351271")</f>
        <v>http://ts.21cn.com/tousu/show/id/1351271</v>
      </c>
      <c r="F19304" s="2" t="s">
        <v>11</v>
      </c>
      <c r="G19304" s="2" t="s">
        <v>6212</v>
      </c>
      <c r="H19304" s="2" t="s">
        <v>6213</v>
      </c>
    </row>
    <row r="19305" spans="1:8" ht="25.05" customHeight="1" x14ac:dyDescent="0.25">
      <c r="A19305" s="2" t="s">
        <v>8</v>
      </c>
      <c r="B19305" s="2" t="str">
        <f>HYPERLINK("http://ts.21cn.com/tousu/show/id/1351272","微信卡卡贷逾期一天一百的利息，还有砍头息，下款的时候以保险的方式收取399元的保险费用")</f>
        <v>微信卡卡贷逾期一天一百的利息，还有砍头息，下款的时候以保险的方式收取399元的保险费用</v>
      </c>
      <c r="C19305" s="2" t="s">
        <v>9</v>
      </c>
      <c r="D19305" s="2" t="s">
        <v>10</v>
      </c>
      <c r="E19305" s="2" t="str">
        <f>HYPERLINK("http://ts.21cn.com/tousu/show/id/1351272","http://ts.21cn.com/tousu/show/id/1351272")</f>
        <v>http://ts.21cn.com/tousu/show/id/1351272</v>
      </c>
      <c r="F19305" s="2" t="s">
        <v>11</v>
      </c>
      <c r="G19305" s="2" t="s">
        <v>6210</v>
      </c>
      <c r="H19305" s="2" t="s">
        <v>6211</v>
      </c>
    </row>
    <row r="19306" spans="1:8" ht="25.05" customHeight="1" x14ac:dyDescent="0.25">
      <c r="A19306" s="2" t="s">
        <v>8</v>
      </c>
      <c r="B19306" s="2" t="str">
        <f>HYPERLINK("http://ts.21cn.com/tousu/show/id/1351273","街兔共享电单车修改减少还车点不告知用户，导致用户无法正常停车")</f>
        <v>街兔共享电单车修改减少还车点不告知用户，导致用户无法正常停车</v>
      </c>
      <c r="C19306" s="2" t="s">
        <v>9</v>
      </c>
      <c r="D19306" s="2" t="s">
        <v>10</v>
      </c>
      <c r="E19306" s="2" t="str">
        <f>HYPERLINK("http://ts.21cn.com/tousu/show/id/1351273","http://ts.21cn.com/tousu/show/id/1351273")</f>
        <v>http://ts.21cn.com/tousu/show/id/1351273</v>
      </c>
      <c r="F19306" s="2" t="s">
        <v>11</v>
      </c>
      <c r="G19306" s="2" t="s">
        <v>6208</v>
      </c>
      <c r="H19306" s="2" t="s">
        <v>6209</v>
      </c>
    </row>
    <row r="19307" spans="1:8" ht="25.05" customHeight="1" x14ac:dyDescent="0.25">
      <c r="A19307" s="2" t="s">
        <v>8</v>
      </c>
      <c r="B19307" s="2" t="str">
        <f>HYPERLINK("http://ts.21cn.com/tousu/show/id/1351275","暴力催收")</f>
        <v>暴力催收</v>
      </c>
      <c r="C19307" s="2" t="s">
        <v>9</v>
      </c>
      <c r="D19307" s="2" t="s">
        <v>10</v>
      </c>
      <c r="E19307" s="2" t="str">
        <f>HYPERLINK("http://ts.21cn.com/tousu/show/id/1351275","http://ts.21cn.com/tousu/show/id/1351275")</f>
        <v>http://ts.21cn.com/tousu/show/id/1351275</v>
      </c>
      <c r="F19307" s="2" t="s">
        <v>11</v>
      </c>
      <c r="G19307" s="2" t="s">
        <v>6206</v>
      </c>
      <c r="H19307" s="2" t="s">
        <v>6207</v>
      </c>
    </row>
    <row r="19308" spans="1:8" ht="25.05" customHeight="1" x14ac:dyDescent="0.25">
      <c r="A19308" s="2" t="s">
        <v>8</v>
      </c>
      <c r="B19308" s="2" t="str">
        <f>HYPERLINK("http://ts.21cn.com/tousu/show/id/1351277","不知情的情况下被扣款")</f>
        <v>不知情的情况下被扣款</v>
      </c>
      <c r="C19308" s="2" t="s">
        <v>9</v>
      </c>
      <c r="D19308" s="2" t="s">
        <v>10</v>
      </c>
      <c r="E19308" s="2" t="str">
        <f>HYPERLINK("http://ts.21cn.com/tousu/show/id/1351277","http://ts.21cn.com/tousu/show/id/1351277")</f>
        <v>http://ts.21cn.com/tousu/show/id/1351277</v>
      </c>
      <c r="F19308" s="2" t="s">
        <v>11</v>
      </c>
      <c r="G19308" s="2" t="s">
        <v>6204</v>
      </c>
      <c r="H19308" s="2" t="s">
        <v>6205</v>
      </c>
    </row>
    <row r="19309" spans="1:8" ht="25.05" customHeight="1" x14ac:dyDescent="0.25">
      <c r="A19309" s="2" t="s">
        <v>8</v>
      </c>
      <c r="B19309" s="2" t="str">
        <f>HYPERLINK("http://ts.21cn.com/tousu/show/id/1351279","滴滴出行平台霸王条款")</f>
        <v>滴滴出行平台霸王条款</v>
      </c>
      <c r="C19309" s="2" t="s">
        <v>9</v>
      </c>
      <c r="D19309" s="2" t="s">
        <v>10</v>
      </c>
      <c r="E19309" s="2" t="str">
        <f>HYPERLINK("http://ts.21cn.com/tousu/show/id/1351279","http://ts.21cn.com/tousu/show/id/1351279")</f>
        <v>http://ts.21cn.com/tousu/show/id/1351279</v>
      </c>
      <c r="F19309" s="2" t="s">
        <v>11</v>
      </c>
      <c r="G19309" s="2" t="s">
        <v>6202</v>
      </c>
      <c r="H19309" s="2" t="s">
        <v>6203</v>
      </c>
    </row>
    <row r="19310" spans="1:8" ht="25.05" customHeight="1" x14ac:dyDescent="0.25">
      <c r="A19310" s="2" t="s">
        <v>8</v>
      </c>
      <c r="B19310" s="2" t="str">
        <f>HYPERLINK("http://ts.21cn.com/tousu/show/id/1351281","变相砍头息")</f>
        <v>变相砍头息</v>
      </c>
      <c r="C19310" s="2" t="s">
        <v>9</v>
      </c>
      <c r="D19310" s="2" t="s">
        <v>10</v>
      </c>
      <c r="E19310" s="2" t="str">
        <f>HYPERLINK("http://ts.21cn.com/tousu/show/id/1351281","http://ts.21cn.com/tousu/show/id/1351281")</f>
        <v>http://ts.21cn.com/tousu/show/id/1351281</v>
      </c>
      <c r="F19310" s="2" t="s">
        <v>11</v>
      </c>
      <c r="G19310" s="2" t="s">
        <v>6200</v>
      </c>
      <c r="H19310" s="2" t="s">
        <v>6201</v>
      </c>
    </row>
    <row r="19311" spans="1:8" ht="25.05" customHeight="1" x14ac:dyDescent="0.25">
      <c r="A19311" s="2" t="s">
        <v>8</v>
      </c>
      <c r="B19311" s="2" t="str">
        <f>HYPERLINK("http://ts.21cn.com/tousu/show/id/1351282","钱站高利贷阴阳合同")</f>
        <v>钱站高利贷阴阳合同</v>
      </c>
      <c r="C19311" s="2" t="s">
        <v>9</v>
      </c>
      <c r="D19311" s="2" t="s">
        <v>10</v>
      </c>
      <c r="E19311" s="2" t="str">
        <f>HYPERLINK("http://ts.21cn.com/tousu/show/id/1351282","http://ts.21cn.com/tousu/show/id/1351282")</f>
        <v>http://ts.21cn.com/tousu/show/id/1351282</v>
      </c>
      <c r="F19311" s="2" t="s">
        <v>11</v>
      </c>
      <c r="G19311" s="2" t="s">
        <v>6198</v>
      </c>
      <c r="H19311" s="2" t="s">
        <v>6199</v>
      </c>
    </row>
    <row r="19312" spans="1:8" ht="25.05" customHeight="1" x14ac:dyDescent="0.25">
      <c r="A19312" s="2" t="s">
        <v>8</v>
      </c>
      <c r="B19312" s="2" t="str">
        <f>HYPERLINK("http://ts.21cn.com/tousu/show/id/1351243","恶意泄露个人信息，暴力催收，爆通讯录")</f>
        <v>恶意泄露个人信息，暴力催收，爆通讯录</v>
      </c>
      <c r="C19312" s="2" t="s">
        <v>9</v>
      </c>
      <c r="D19312" s="2" t="s">
        <v>10</v>
      </c>
      <c r="E19312" s="2" t="str">
        <f>HYPERLINK("http://ts.21cn.com/tousu/show/id/1351243","http://ts.21cn.com/tousu/show/id/1351243")</f>
        <v>http://ts.21cn.com/tousu/show/id/1351243</v>
      </c>
      <c r="F19312" s="2" t="s">
        <v>11</v>
      </c>
      <c r="G19312" s="2" t="s">
        <v>6196</v>
      </c>
      <c r="H19312" s="2" t="s">
        <v>6197</v>
      </c>
    </row>
    <row r="19313" spans="1:8" ht="25.05" customHeight="1" x14ac:dyDescent="0.25">
      <c r="A19313" s="2" t="s">
        <v>8</v>
      </c>
      <c r="B19313" s="2" t="str">
        <f>HYPERLINK("http://ts.21cn.com/tousu/show/id/1351284","诱导孩子进行大额消费，")</f>
        <v>诱导孩子进行大额消费，</v>
      </c>
      <c r="C19313" s="2" t="s">
        <v>9</v>
      </c>
      <c r="D19313" s="2" t="s">
        <v>10</v>
      </c>
      <c r="E19313" s="2" t="str">
        <f>HYPERLINK("http://ts.21cn.com/tousu/show/id/1351284","http://ts.21cn.com/tousu/show/id/1351284")</f>
        <v>http://ts.21cn.com/tousu/show/id/1351284</v>
      </c>
      <c r="F19313" s="2" t="s">
        <v>11</v>
      </c>
      <c r="G19313" s="2" t="s">
        <v>6194</v>
      </c>
      <c r="H19313" s="2" t="s">
        <v>6195</v>
      </c>
    </row>
    <row r="19314" spans="1:8" ht="25.05" customHeight="1" x14ac:dyDescent="0.25">
      <c r="A19314" s="2" t="s">
        <v>8</v>
      </c>
      <c r="B19314" s="2" t="str">
        <f>HYPERLINK("http://ts.21cn.com/tousu/show/id/1351287","爱又米会员权益与实际不符")</f>
        <v>爱又米会员权益与实际不符</v>
      </c>
      <c r="C19314" s="2" t="s">
        <v>9</v>
      </c>
      <c r="D19314" s="2" t="s">
        <v>10</v>
      </c>
      <c r="E19314" s="2" t="str">
        <f>HYPERLINK("http://ts.21cn.com/tousu/show/id/1351287","http://ts.21cn.com/tousu/show/id/1351287")</f>
        <v>http://ts.21cn.com/tousu/show/id/1351287</v>
      </c>
      <c r="F19314" s="2" t="s">
        <v>11</v>
      </c>
      <c r="G19314" s="2" t="s">
        <v>6192</v>
      </c>
      <c r="H19314" s="2" t="s">
        <v>6193</v>
      </c>
    </row>
    <row r="19315" spans="1:8" ht="25.05" customHeight="1" x14ac:dyDescent="0.25">
      <c r="A19315" s="2" t="s">
        <v>8</v>
      </c>
      <c r="B19315" s="2" t="str">
        <f>HYPERLINK("http://ts.21cn.com/tousu/show/id/1351285","及贷变相高利贷，暴力催收，辱骂联系人")</f>
        <v>及贷变相高利贷，暴力催收，辱骂联系人</v>
      </c>
      <c r="C19315" s="2" t="s">
        <v>9</v>
      </c>
      <c r="D19315" s="2" t="s">
        <v>10</v>
      </c>
      <c r="E19315" s="2" t="str">
        <f>HYPERLINK("http://ts.21cn.com/tousu/show/id/1351285","http://ts.21cn.com/tousu/show/id/1351285")</f>
        <v>http://ts.21cn.com/tousu/show/id/1351285</v>
      </c>
      <c r="F19315" s="2" t="s">
        <v>11</v>
      </c>
      <c r="G19315" s="2" t="s">
        <v>6190</v>
      </c>
      <c r="H19315" s="2" t="s">
        <v>6191</v>
      </c>
    </row>
    <row r="19316" spans="1:8" ht="25.05" customHeight="1" x14ac:dyDescent="0.25">
      <c r="A19316" s="2" t="s">
        <v>8</v>
      </c>
      <c r="B19316" s="2" t="str">
        <f>HYPERLINK("http://ts.21cn.com/tousu/show/id/1351289","威胁恐吓诽谤")</f>
        <v>威胁恐吓诽谤</v>
      </c>
      <c r="C19316" s="2" t="s">
        <v>9</v>
      </c>
      <c r="D19316" s="2" t="s">
        <v>10</v>
      </c>
      <c r="E19316" s="2" t="str">
        <f>HYPERLINK("http://ts.21cn.com/tousu/show/id/1351289","http://ts.21cn.com/tousu/show/id/1351289")</f>
        <v>http://ts.21cn.com/tousu/show/id/1351289</v>
      </c>
      <c r="F19316" s="2" t="s">
        <v>11</v>
      </c>
      <c r="G19316" s="2" t="s">
        <v>6188</v>
      </c>
      <c r="H19316" s="2" t="s">
        <v>6189</v>
      </c>
    </row>
    <row r="19317" spans="1:8" ht="25.05" customHeight="1" x14ac:dyDescent="0.25">
      <c r="A19317" s="2" t="s">
        <v>8</v>
      </c>
      <c r="B19317" s="2" t="str">
        <f>HYPERLINK("http://ts.21cn.com/tousu/show/id/1351290","平安普惠催收骚扰通讯录好友，辱骂欠款人")</f>
        <v>平安普惠催收骚扰通讯录好友，辱骂欠款人</v>
      </c>
      <c r="C19317" s="2" t="s">
        <v>9</v>
      </c>
      <c r="D19317" s="2" t="s">
        <v>10</v>
      </c>
      <c r="E19317" s="2" t="str">
        <f>HYPERLINK("http://ts.21cn.com/tousu/show/id/1351290","http://ts.21cn.com/tousu/show/id/1351290")</f>
        <v>http://ts.21cn.com/tousu/show/id/1351290</v>
      </c>
      <c r="F19317" s="2" t="s">
        <v>11</v>
      </c>
      <c r="G19317" s="2" t="s">
        <v>6186</v>
      </c>
      <c r="H19317" s="2" t="s">
        <v>6187</v>
      </c>
    </row>
    <row r="19318" spans="1:8" ht="25.05" customHeight="1" x14ac:dyDescent="0.25">
      <c r="A19318" s="2" t="s">
        <v>8</v>
      </c>
      <c r="B19318" s="2" t="str">
        <f>HYPERLINK("http://ts.21cn.com/tousu/show/id/1351266","拼多多客服敷衍了事")</f>
        <v>拼多多客服敷衍了事</v>
      </c>
      <c r="C19318" s="2" t="s">
        <v>9</v>
      </c>
      <c r="D19318" s="2" t="s">
        <v>10</v>
      </c>
      <c r="E19318" s="2" t="str">
        <f>HYPERLINK("http://ts.21cn.com/tousu/show/id/1351266","http://ts.21cn.com/tousu/show/id/1351266")</f>
        <v>http://ts.21cn.com/tousu/show/id/1351266</v>
      </c>
      <c r="F19318" s="2" t="s">
        <v>11</v>
      </c>
      <c r="G19318" s="2" t="s">
        <v>6184</v>
      </c>
      <c r="H19318" s="2" t="s">
        <v>6185</v>
      </c>
    </row>
    <row r="19319" spans="1:8" ht="25.05" customHeight="1" x14ac:dyDescent="0.25">
      <c r="A19319" s="2" t="s">
        <v>8</v>
      </c>
      <c r="B19319" s="2" t="str">
        <f>HYPERLINK("http://ts.21cn.com/tousu/show/id/1351292","影楼二次隐形消费的黑洞")</f>
        <v>影楼二次隐形消费的黑洞</v>
      </c>
      <c r="C19319" s="2" t="s">
        <v>9</v>
      </c>
      <c r="D19319" s="2" t="s">
        <v>10</v>
      </c>
      <c r="E19319" s="2" t="str">
        <f>HYPERLINK("http://ts.21cn.com/tousu/show/id/1351292","http://ts.21cn.com/tousu/show/id/1351292")</f>
        <v>http://ts.21cn.com/tousu/show/id/1351292</v>
      </c>
      <c r="F19319" s="2" t="s">
        <v>11</v>
      </c>
      <c r="G19319" s="2" t="s">
        <v>6182</v>
      </c>
      <c r="H19319" s="2" t="s">
        <v>6183</v>
      </c>
    </row>
    <row r="19320" spans="1:8" ht="25.05" customHeight="1" x14ac:dyDescent="0.25">
      <c r="A19320" s="2" t="s">
        <v>8</v>
      </c>
      <c r="B19320" s="2" t="str">
        <f>HYPERLINK("http://ts.21cn.com/tousu/show/id/1351293","亚马逊日本卖家服务费4900日元扣费退款")</f>
        <v>亚马逊日本卖家服务费4900日元扣费退款</v>
      </c>
      <c r="C19320" s="2" t="s">
        <v>9</v>
      </c>
      <c r="D19320" s="2" t="s">
        <v>10</v>
      </c>
      <c r="E19320" s="2" t="str">
        <f>HYPERLINK("http://ts.21cn.com/tousu/show/id/1351293","http://ts.21cn.com/tousu/show/id/1351293")</f>
        <v>http://ts.21cn.com/tousu/show/id/1351293</v>
      </c>
      <c r="F19320" s="2" t="s">
        <v>11</v>
      </c>
      <c r="G19320" s="2" t="s">
        <v>6180</v>
      </c>
      <c r="H19320" s="2" t="s">
        <v>6181</v>
      </c>
    </row>
    <row r="19321" spans="1:8" ht="25.05" customHeight="1" x14ac:dyDescent="0.25">
      <c r="A19321" s="2" t="s">
        <v>8</v>
      </c>
      <c r="B19321" s="2" t="str">
        <f>HYPERLINK("http://ts.21cn.com/tousu/show/id/1351294","及贷平台放款时捆绑销售服务费")</f>
        <v>及贷平台放款时捆绑销售服务费</v>
      </c>
      <c r="C19321" s="2" t="s">
        <v>9</v>
      </c>
      <c r="D19321" s="2" t="s">
        <v>10</v>
      </c>
      <c r="E19321" s="2" t="str">
        <f>HYPERLINK("http://ts.21cn.com/tousu/show/id/1351294","http://ts.21cn.com/tousu/show/id/1351294")</f>
        <v>http://ts.21cn.com/tousu/show/id/1351294</v>
      </c>
      <c r="F19321" s="2" t="s">
        <v>11</v>
      </c>
      <c r="G19321" s="2" t="s">
        <v>6178</v>
      </c>
      <c r="H19321" s="2" t="s">
        <v>6179</v>
      </c>
    </row>
    <row r="19322" spans="1:8" ht="25.05" customHeight="1" x14ac:dyDescent="0.25">
      <c r="A19322" s="2" t="s">
        <v>8</v>
      </c>
      <c r="B19322" s="2" t="str">
        <f>HYPERLINK("http://ts.21cn.com/tousu/show/id/1351296","拍拍贷暴力催收")</f>
        <v>拍拍贷暴力催收</v>
      </c>
      <c r="C19322" s="2" t="s">
        <v>9</v>
      </c>
      <c r="D19322" s="2" t="s">
        <v>10</v>
      </c>
      <c r="E19322" s="2" t="str">
        <f>HYPERLINK("http://ts.21cn.com/tousu/show/id/1351296","http://ts.21cn.com/tousu/show/id/1351296")</f>
        <v>http://ts.21cn.com/tousu/show/id/1351296</v>
      </c>
      <c r="F19322" s="2" t="s">
        <v>11</v>
      </c>
      <c r="G19322" s="2" t="s">
        <v>6176</v>
      </c>
      <c r="H19322" s="2" t="s">
        <v>6177</v>
      </c>
    </row>
    <row r="19323" spans="1:8" ht="25.05" customHeight="1" x14ac:dyDescent="0.25">
      <c r="A19323" s="2" t="s">
        <v>8</v>
      </c>
      <c r="B19323" s="2" t="str">
        <f>HYPERLINK("http://ts.21cn.com/tousu/show/id/1351295","新橙优品砍头息套保费马甲，多次反馈要求合法合理地还款，均遭到拒绝，客服态度恶劣并遭到暴力催收")</f>
        <v>新橙优品砍头息套保费马甲，多次反馈要求合法合理地还款，均遭到拒绝，客服态度恶劣并遭到暴力催收</v>
      </c>
      <c r="C19323" s="2" t="s">
        <v>9</v>
      </c>
      <c r="D19323" s="2" t="s">
        <v>10</v>
      </c>
      <c r="E19323" s="2" t="str">
        <f>HYPERLINK("http://ts.21cn.com/tousu/show/id/1351295","http://ts.21cn.com/tousu/show/id/1351295")</f>
        <v>http://ts.21cn.com/tousu/show/id/1351295</v>
      </c>
      <c r="F19323" s="2" t="s">
        <v>11</v>
      </c>
      <c r="G19323" s="2" t="s">
        <v>6174</v>
      </c>
      <c r="H19323" s="2" t="s">
        <v>6175</v>
      </c>
    </row>
    <row r="19324" spans="1:8" ht="25.05" customHeight="1" x14ac:dyDescent="0.25">
      <c r="A19324" s="2" t="s">
        <v>8</v>
      </c>
      <c r="B19324" s="2" t="str">
        <f>HYPERLINK("http://ts.21cn.com/tousu/show/id/1351297","利息太高没到账取消订单")</f>
        <v>利息太高没到账取消订单</v>
      </c>
      <c r="C19324" s="2" t="s">
        <v>9</v>
      </c>
      <c r="D19324" s="2" t="s">
        <v>10</v>
      </c>
      <c r="E19324" s="2" t="str">
        <f>HYPERLINK("http://ts.21cn.com/tousu/show/id/1351297","http://ts.21cn.com/tousu/show/id/1351297")</f>
        <v>http://ts.21cn.com/tousu/show/id/1351297</v>
      </c>
      <c r="F19324" s="2" t="s">
        <v>11</v>
      </c>
      <c r="G19324" s="2" t="s">
        <v>6172</v>
      </c>
      <c r="H19324" s="2" t="s">
        <v>6173</v>
      </c>
    </row>
    <row r="19325" spans="1:8" ht="25.05" customHeight="1" x14ac:dyDescent="0.25">
      <c r="A19325" s="2" t="s">
        <v>8</v>
      </c>
      <c r="B19325" s="2" t="str">
        <f>HYPERLINK("http://ts.21cn.com/tousu/show/id/1351298","招商银行95555是否随意群发消息")</f>
        <v>招商银行95555是否随意群发消息</v>
      </c>
      <c r="C19325" s="2" t="s">
        <v>34</v>
      </c>
      <c r="D19325" s="2" t="s">
        <v>10</v>
      </c>
      <c r="E19325" s="2" t="str">
        <f>HYPERLINK("http://ts.21cn.com/tousu/show/id/1351298","http://ts.21cn.com/tousu/show/id/1351298")</f>
        <v>http://ts.21cn.com/tousu/show/id/1351298</v>
      </c>
      <c r="F19325" s="2" t="s">
        <v>11</v>
      </c>
      <c r="G19325" s="2" t="s">
        <v>6170</v>
      </c>
      <c r="H19325" s="2" t="s">
        <v>6171</v>
      </c>
    </row>
    <row r="19326" spans="1:8" ht="25.05" customHeight="1" x14ac:dyDescent="0.25">
      <c r="A19326" s="2" t="s">
        <v>8</v>
      </c>
      <c r="B19326" s="2" t="str">
        <f>HYPERLINK("http://ts.21cn.com/tousu/show/id/1351299","逾期费超高")</f>
        <v>逾期费超高</v>
      </c>
      <c r="C19326" s="2" t="s">
        <v>9</v>
      </c>
      <c r="D19326" s="2" t="s">
        <v>10</v>
      </c>
      <c r="E19326" s="2" t="str">
        <f>HYPERLINK("http://ts.21cn.com/tousu/show/id/1351299","http://ts.21cn.com/tousu/show/id/1351299")</f>
        <v>http://ts.21cn.com/tousu/show/id/1351299</v>
      </c>
      <c r="F19326" s="2" t="s">
        <v>11</v>
      </c>
      <c r="G19326" s="2" t="s">
        <v>6168</v>
      </c>
      <c r="H19326" s="2" t="s">
        <v>6169</v>
      </c>
    </row>
    <row r="19327" spans="1:8" ht="25.05" customHeight="1" x14ac:dyDescent="0.25">
      <c r="A19327" s="2" t="s">
        <v>8</v>
      </c>
      <c r="B19327" s="2" t="str">
        <f>HYPERLINK("http://ts.21cn.com/tousu/show/id/1351301","马上金融高利息")</f>
        <v>马上金融高利息</v>
      </c>
      <c r="C19327" s="2" t="s">
        <v>9</v>
      </c>
      <c r="D19327" s="2" t="s">
        <v>10</v>
      </c>
      <c r="E19327" s="2" t="str">
        <f>HYPERLINK("http://ts.21cn.com/tousu/show/id/1351301","http://ts.21cn.com/tousu/show/id/1351301")</f>
        <v>http://ts.21cn.com/tousu/show/id/1351301</v>
      </c>
      <c r="F19327" s="2" t="s">
        <v>11</v>
      </c>
      <c r="G19327" s="2" t="s">
        <v>6166</v>
      </c>
      <c r="H19327" s="2" t="s">
        <v>6167</v>
      </c>
    </row>
    <row r="19328" spans="1:8" ht="25.05" customHeight="1" x14ac:dyDescent="0.25">
      <c r="A19328" s="2" t="s">
        <v>8</v>
      </c>
      <c r="B19328" s="2" t="str">
        <f>HYPERLINK("http://ts.21cn.com/tousu/show/id/1351302","好分期高利息砍头息")</f>
        <v>好分期高利息砍头息</v>
      </c>
      <c r="C19328" s="2" t="s">
        <v>9</v>
      </c>
      <c r="D19328" s="2" t="s">
        <v>10</v>
      </c>
      <c r="E19328" s="2" t="str">
        <f>HYPERLINK("http://ts.21cn.com/tousu/show/id/1351302","http://ts.21cn.com/tousu/show/id/1351302")</f>
        <v>http://ts.21cn.com/tousu/show/id/1351302</v>
      </c>
      <c r="F19328" s="2" t="s">
        <v>11</v>
      </c>
      <c r="G19328" s="2" t="s">
        <v>6164</v>
      </c>
      <c r="H19328" s="2" t="s">
        <v>6165</v>
      </c>
    </row>
    <row r="19329" spans="1:8" ht="25.05" customHeight="1" x14ac:dyDescent="0.25">
      <c r="A19329" s="2" t="s">
        <v>8</v>
      </c>
      <c r="B19329" s="2" t="str">
        <f>HYPERLINK("http://ts.21cn.com/tousu/show/id/1351303","拍怕贷高额利息，暴力催收")</f>
        <v>拍怕贷高额利息，暴力催收</v>
      </c>
      <c r="C19329" s="2" t="s">
        <v>9</v>
      </c>
      <c r="D19329" s="2" t="s">
        <v>10</v>
      </c>
      <c r="E19329" s="2" t="str">
        <f>HYPERLINK("http://ts.21cn.com/tousu/show/id/1351303","http://ts.21cn.com/tousu/show/id/1351303")</f>
        <v>http://ts.21cn.com/tousu/show/id/1351303</v>
      </c>
      <c r="F19329" s="2" t="s">
        <v>11</v>
      </c>
      <c r="G19329" s="2" t="s">
        <v>6162</v>
      </c>
      <c r="H19329" s="2" t="s">
        <v>6163</v>
      </c>
    </row>
    <row r="19330" spans="1:8" ht="25.05" customHeight="1" x14ac:dyDescent="0.25">
      <c r="A19330" s="2" t="s">
        <v>8</v>
      </c>
      <c r="B19330" s="2" t="str">
        <f>HYPERLINK("http://ts.21cn.com/tousu/show/id/1351306","马上金融平台诱导学生借款，非法校园贷")</f>
        <v>马上金融平台诱导学生借款，非法校园贷</v>
      </c>
      <c r="C19330" s="2" t="s">
        <v>9</v>
      </c>
      <c r="D19330" s="2" t="s">
        <v>10</v>
      </c>
      <c r="E19330" s="2" t="str">
        <f>HYPERLINK("http://ts.21cn.com/tousu/show/id/1351306","http://ts.21cn.com/tousu/show/id/1351306")</f>
        <v>http://ts.21cn.com/tousu/show/id/1351306</v>
      </c>
      <c r="F19330" s="2" t="s">
        <v>11</v>
      </c>
      <c r="G19330" s="2" t="s">
        <v>6160</v>
      </c>
      <c r="H19330" s="2" t="s">
        <v>6161</v>
      </c>
    </row>
    <row r="19331" spans="1:8" ht="25.05" customHeight="1" x14ac:dyDescent="0.25">
      <c r="A19331" s="2" t="s">
        <v>8</v>
      </c>
      <c r="B19331" s="2" t="str">
        <f>HYPERLINK("http://ts.21cn.com/tousu/show/id/1351304","联动云拖欠保险退款迟迟不退还")</f>
        <v>联动云拖欠保险退款迟迟不退还</v>
      </c>
      <c r="C19331" s="2" t="s">
        <v>9</v>
      </c>
      <c r="D19331" s="2" t="s">
        <v>10</v>
      </c>
      <c r="E19331" s="2" t="str">
        <f>HYPERLINK("http://ts.21cn.com/tousu/show/id/1351304","http://ts.21cn.com/tousu/show/id/1351304")</f>
        <v>http://ts.21cn.com/tousu/show/id/1351304</v>
      </c>
      <c r="F19331" s="2" t="s">
        <v>11</v>
      </c>
      <c r="G19331" s="2" t="s">
        <v>6158</v>
      </c>
      <c r="H19331" s="2" t="s">
        <v>6159</v>
      </c>
    </row>
    <row r="19332" spans="1:8" ht="25.05" customHeight="1" x14ac:dyDescent="0.25">
      <c r="A19332" s="2" t="s">
        <v>8</v>
      </c>
      <c r="B19332" s="2" t="str">
        <f>HYPERLINK("http://ts.21cn.com/tousu/show/id/1351307","平安普惠高利贷软暴力催收")</f>
        <v>平安普惠高利贷软暴力催收</v>
      </c>
      <c r="C19332" s="2" t="s">
        <v>9</v>
      </c>
      <c r="D19332" s="2" t="s">
        <v>10</v>
      </c>
      <c r="E19332" s="2" t="str">
        <f>HYPERLINK("http://ts.21cn.com/tousu/show/id/1351307","http://ts.21cn.com/tousu/show/id/1351307")</f>
        <v>http://ts.21cn.com/tousu/show/id/1351307</v>
      </c>
      <c r="F19332" s="2" t="s">
        <v>11</v>
      </c>
      <c r="G19332" s="2" t="s">
        <v>6156</v>
      </c>
      <c r="H19332" s="2" t="s">
        <v>6157</v>
      </c>
    </row>
    <row r="19333" spans="1:8" ht="25.05" customHeight="1" x14ac:dyDescent="0.25">
      <c r="A19333" s="2" t="s">
        <v>8</v>
      </c>
      <c r="B19333" s="2" t="str">
        <f>HYPERLINK("http://ts.21cn.com/tousu/show/id/1351308","霉心商家")</f>
        <v>霉心商家</v>
      </c>
      <c r="C19333" s="2" t="s">
        <v>34</v>
      </c>
      <c r="D19333" s="2" t="s">
        <v>10</v>
      </c>
      <c r="E19333" s="2" t="str">
        <f>HYPERLINK("http://ts.21cn.com/tousu/show/id/1351308","http://ts.21cn.com/tousu/show/id/1351308")</f>
        <v>http://ts.21cn.com/tousu/show/id/1351308</v>
      </c>
      <c r="F19333" s="2" t="s">
        <v>11</v>
      </c>
      <c r="G19333" s="2" t="s">
        <v>6154</v>
      </c>
      <c r="H19333" s="2" t="s">
        <v>6155</v>
      </c>
    </row>
    <row r="19334" spans="1:8" ht="25.05" customHeight="1" x14ac:dyDescent="0.25">
      <c r="A19334" s="2" t="s">
        <v>8</v>
      </c>
      <c r="B19334" s="2" t="str">
        <f>HYPERLINK("http://ts.21cn.com/tousu/show/id/1351309","嗨钱，微众金融套路贷")</f>
        <v>嗨钱，微众金融套路贷</v>
      </c>
      <c r="C19334" s="2" t="s">
        <v>9</v>
      </c>
      <c r="D19334" s="2" t="s">
        <v>10</v>
      </c>
      <c r="E19334" s="2" t="str">
        <f>HYPERLINK("http://ts.21cn.com/tousu/show/id/1351309","http://ts.21cn.com/tousu/show/id/1351309")</f>
        <v>http://ts.21cn.com/tousu/show/id/1351309</v>
      </c>
      <c r="F19334" s="2" t="s">
        <v>11</v>
      </c>
      <c r="G19334" s="2" t="s">
        <v>6152</v>
      </c>
      <c r="H19334" s="2" t="s">
        <v>6153</v>
      </c>
    </row>
    <row r="19335" spans="1:8" ht="25.05" customHeight="1" x14ac:dyDescent="0.25">
      <c r="A19335" s="2" t="s">
        <v>8</v>
      </c>
      <c r="B19335" s="2" t="str">
        <f>HYPERLINK("http://ts.21cn.com/tousu/show/id/1351310","北京无忧催收黑社会")</f>
        <v>北京无忧催收黑社会</v>
      </c>
      <c r="C19335" s="2" t="s">
        <v>9</v>
      </c>
      <c r="D19335" s="2" t="s">
        <v>10</v>
      </c>
      <c r="E19335" s="2" t="str">
        <f>HYPERLINK("http://ts.21cn.com/tousu/show/id/1351310","http://ts.21cn.com/tousu/show/id/1351310")</f>
        <v>http://ts.21cn.com/tousu/show/id/1351310</v>
      </c>
      <c r="F19335" s="2" t="s">
        <v>11</v>
      </c>
      <c r="G19335" s="2" t="s">
        <v>6150</v>
      </c>
      <c r="H19335" s="2" t="s">
        <v>6151</v>
      </c>
    </row>
    <row r="19336" spans="1:8" ht="25.05" customHeight="1" x14ac:dyDescent="0.25">
      <c r="A19336" s="2" t="s">
        <v>8</v>
      </c>
      <c r="B19336" s="2" t="str">
        <f>HYPERLINK("http://ts.21cn.com/tousu/show/id/1351311","新橙优品代扣失败导致逾期，并且官方失联")</f>
        <v>新橙优品代扣失败导致逾期，并且官方失联</v>
      </c>
      <c r="C19336" s="2" t="s">
        <v>9</v>
      </c>
      <c r="D19336" s="2" t="s">
        <v>10</v>
      </c>
      <c r="E19336" s="2" t="str">
        <f>HYPERLINK("http://ts.21cn.com/tousu/show/id/1351311","http://ts.21cn.com/tousu/show/id/1351311")</f>
        <v>http://ts.21cn.com/tousu/show/id/1351311</v>
      </c>
      <c r="F19336" s="2" t="s">
        <v>11</v>
      </c>
      <c r="G19336" s="2" t="s">
        <v>6148</v>
      </c>
      <c r="H19336" s="2" t="s">
        <v>6149</v>
      </c>
    </row>
    <row r="19337" spans="1:8" ht="25.05" customHeight="1" x14ac:dyDescent="0.25">
      <c r="A19337" s="2" t="s">
        <v>8</v>
      </c>
      <c r="B19337" s="2" t="str">
        <f>HYPERLINK("http://ts.21cn.com/tousu/show/id/1351312","微贷网高额利息")</f>
        <v>微贷网高额利息</v>
      </c>
      <c r="C19337" s="2" t="s">
        <v>9</v>
      </c>
      <c r="D19337" s="2" t="s">
        <v>10</v>
      </c>
      <c r="E19337" s="2" t="str">
        <f>HYPERLINK("http://ts.21cn.com/tousu/show/id/1351312","http://ts.21cn.com/tousu/show/id/1351312")</f>
        <v>http://ts.21cn.com/tousu/show/id/1351312</v>
      </c>
      <c r="F19337" s="2" t="s">
        <v>11</v>
      </c>
      <c r="G19337" s="2" t="s">
        <v>6146</v>
      </c>
      <c r="H19337" s="2" t="s">
        <v>6147</v>
      </c>
    </row>
    <row r="19338" spans="1:8" ht="25.05" customHeight="1" x14ac:dyDescent="0.25">
      <c r="A19338" s="2" t="s">
        <v>8</v>
      </c>
      <c r="B19338" s="2" t="str">
        <f>HYPERLINK("http://ts.21cn.com/tousu/show/id/1351274","本人已还款还在扣款")</f>
        <v>本人已还款还在扣款</v>
      </c>
      <c r="C19338" s="2" t="s">
        <v>34</v>
      </c>
      <c r="D19338" s="2" t="s">
        <v>10</v>
      </c>
      <c r="E19338" s="2" t="str">
        <f>HYPERLINK("http://ts.21cn.com/tousu/show/id/1351274","http://ts.21cn.com/tousu/show/id/1351274")</f>
        <v>http://ts.21cn.com/tousu/show/id/1351274</v>
      </c>
      <c r="F19338" s="2" t="s">
        <v>11</v>
      </c>
      <c r="G19338" s="2" t="s">
        <v>6144</v>
      </c>
      <c r="H19338" s="2" t="s">
        <v>6145</v>
      </c>
    </row>
    <row r="19339" spans="1:8" ht="25.05" customHeight="1" x14ac:dyDescent="0.25">
      <c r="A19339" s="2" t="s">
        <v>8</v>
      </c>
      <c r="B19339" s="2" t="str">
        <f>HYPERLINK("http://ts.21cn.com/tousu/show/id/1351313","活力花、京东金融")</f>
        <v>活力花、京东金融</v>
      </c>
      <c r="C19339" s="2" t="s">
        <v>9</v>
      </c>
      <c r="D19339" s="2" t="s">
        <v>10</v>
      </c>
      <c r="E19339" s="2" t="str">
        <f>HYPERLINK("http://ts.21cn.com/tousu/show/id/1351313","http://ts.21cn.com/tousu/show/id/1351313")</f>
        <v>http://ts.21cn.com/tousu/show/id/1351313</v>
      </c>
      <c r="F19339" s="2" t="s">
        <v>11</v>
      </c>
      <c r="G19339" s="2" t="s">
        <v>6142</v>
      </c>
      <c r="H19339" s="2" t="s">
        <v>6143</v>
      </c>
    </row>
    <row r="19340" spans="1:8" ht="25.05" customHeight="1" x14ac:dyDescent="0.25">
      <c r="A19340" s="2" t="s">
        <v>8</v>
      </c>
      <c r="B19340" s="2" t="str">
        <f>HYPERLINK("http://ts.21cn.com/tousu/show/id/1351314","小象优品，高利贷，不接受协商还款")</f>
        <v>小象优品，高利贷，不接受协商还款</v>
      </c>
      <c r="C19340" s="2" t="s">
        <v>9</v>
      </c>
      <c r="D19340" s="2" t="s">
        <v>10</v>
      </c>
      <c r="E19340" s="2" t="str">
        <f>HYPERLINK("http://ts.21cn.com/tousu/show/id/1351314","http://ts.21cn.com/tousu/show/id/1351314")</f>
        <v>http://ts.21cn.com/tousu/show/id/1351314</v>
      </c>
      <c r="F19340" s="2" t="s">
        <v>11</v>
      </c>
      <c r="G19340" s="2" t="s">
        <v>6140</v>
      </c>
      <c r="H19340" s="2" t="s">
        <v>6141</v>
      </c>
    </row>
    <row r="19341" spans="1:8" ht="25.05" customHeight="1" x14ac:dyDescent="0.25">
      <c r="A19341" s="2" t="s">
        <v>8</v>
      </c>
      <c r="B19341" s="2" t="str">
        <f>HYPERLINK("http://ts.21cn.com/tousu/show/id/1351315","还款日不让还款，恶意致使用户逾期，加收高额逾期费！")</f>
        <v>还款日不让还款，恶意致使用户逾期，加收高额逾期费！</v>
      </c>
      <c r="C19341" s="2" t="s">
        <v>9</v>
      </c>
      <c r="D19341" s="2" t="s">
        <v>10</v>
      </c>
      <c r="E19341" s="2" t="str">
        <f>HYPERLINK("http://ts.21cn.com/tousu/show/id/1351315","http://ts.21cn.com/tousu/show/id/1351315")</f>
        <v>http://ts.21cn.com/tousu/show/id/1351315</v>
      </c>
      <c r="F19341" s="2" t="s">
        <v>11</v>
      </c>
      <c r="G19341" s="2" t="s">
        <v>6138</v>
      </c>
      <c r="H19341" s="2" t="s">
        <v>6139</v>
      </c>
    </row>
    <row r="19342" spans="1:8" ht="25.05" customHeight="1" x14ac:dyDescent="0.25">
      <c r="A19342" s="2" t="s">
        <v>8</v>
      </c>
      <c r="B19342" s="2" t="str">
        <f>HYPERLINK("http://ts.21cn.com/tousu/show/id/1351316","乘客乘坐网约车不付钱")</f>
        <v>乘客乘坐网约车不付钱</v>
      </c>
      <c r="C19342" s="2" t="s">
        <v>9</v>
      </c>
      <c r="D19342" s="2" t="s">
        <v>10</v>
      </c>
      <c r="E19342" s="2" t="str">
        <f>HYPERLINK("http://ts.21cn.com/tousu/show/id/1351316","http://ts.21cn.com/tousu/show/id/1351316")</f>
        <v>http://ts.21cn.com/tousu/show/id/1351316</v>
      </c>
      <c r="F19342" s="2" t="s">
        <v>11</v>
      </c>
      <c r="G19342" s="2" t="s">
        <v>6136</v>
      </c>
      <c r="H19342" s="2" t="s">
        <v>6137</v>
      </c>
    </row>
    <row r="19343" spans="1:8" ht="25.05" customHeight="1" x14ac:dyDescent="0.25">
      <c r="A19343" s="2" t="s">
        <v>8</v>
      </c>
      <c r="B19343" s="2" t="str">
        <f>HYPERLINK("http://ts.21cn.com/tousu/show/id/1351317","美团钱袋宝乱扣钱要求返还")</f>
        <v>美团钱袋宝乱扣钱要求返还</v>
      </c>
      <c r="C19343" s="2" t="s">
        <v>9</v>
      </c>
      <c r="D19343" s="2" t="s">
        <v>10</v>
      </c>
      <c r="E19343" s="2" t="str">
        <f>HYPERLINK("http://ts.21cn.com/tousu/show/id/1351317","http://ts.21cn.com/tousu/show/id/1351317")</f>
        <v>http://ts.21cn.com/tousu/show/id/1351317</v>
      </c>
      <c r="F19343" s="2" t="s">
        <v>11</v>
      </c>
      <c r="G19343" s="2" t="s">
        <v>6134</v>
      </c>
      <c r="H19343" s="2" t="s">
        <v>6135</v>
      </c>
    </row>
    <row r="19344" spans="1:8" ht="25.05" customHeight="1" x14ac:dyDescent="0.25">
      <c r="A19344" s="2" t="s">
        <v>8</v>
      </c>
      <c r="B19344" s="2" t="str">
        <f>HYPERLINK("http://ts.21cn.com/tousu/show/id/1351318","滴滴出行司机乱收取费用，还浪费时间")</f>
        <v>滴滴出行司机乱收取费用，还浪费时间</v>
      </c>
      <c r="C19344" s="2" t="s">
        <v>9</v>
      </c>
      <c r="D19344" s="2" t="s">
        <v>10</v>
      </c>
      <c r="E19344" s="2" t="str">
        <f>HYPERLINK("http://ts.21cn.com/tousu/show/id/1351318","http://ts.21cn.com/tousu/show/id/1351318")</f>
        <v>http://ts.21cn.com/tousu/show/id/1351318</v>
      </c>
      <c r="F19344" s="2" t="s">
        <v>11</v>
      </c>
      <c r="G19344" s="2" t="s">
        <v>6132</v>
      </c>
      <c r="H19344" s="2" t="s">
        <v>6133</v>
      </c>
    </row>
    <row r="19345" spans="1:8" ht="25.05" customHeight="1" x14ac:dyDescent="0.25">
      <c r="A19345" s="2" t="s">
        <v>8</v>
      </c>
      <c r="B19345" s="2" t="str">
        <f>HYPERLINK("http://ts.21cn.com/tousu/show/id/1351322","瓜子二手车违法销售未缴纳购置税的二手车辆")</f>
        <v>瓜子二手车违法销售未缴纳购置税的二手车辆</v>
      </c>
      <c r="C19345" s="2" t="s">
        <v>9</v>
      </c>
      <c r="D19345" s="2" t="s">
        <v>10</v>
      </c>
      <c r="E19345" s="2" t="str">
        <f>HYPERLINK("http://ts.21cn.com/tousu/show/id/1351322","http://ts.21cn.com/tousu/show/id/1351322")</f>
        <v>http://ts.21cn.com/tousu/show/id/1351322</v>
      </c>
      <c r="F19345" s="2" t="s">
        <v>11</v>
      </c>
      <c r="G19345" s="2" t="s">
        <v>6130</v>
      </c>
      <c r="H19345" s="2" t="s">
        <v>6131</v>
      </c>
    </row>
    <row r="19346" spans="1:8" ht="25.05" customHeight="1" x14ac:dyDescent="0.25">
      <c r="A19346" s="2" t="s">
        <v>8</v>
      </c>
      <c r="B19346" s="2" t="str">
        <f>HYPERLINK("http://ts.21cn.com/tousu/show/id/1351319","中腾信未逾期暴力催收，威胁要爆通讯录")</f>
        <v>中腾信未逾期暴力催收，威胁要爆通讯录</v>
      </c>
      <c r="C19346" s="2" t="s">
        <v>9</v>
      </c>
      <c r="D19346" s="2" t="s">
        <v>10</v>
      </c>
      <c r="E19346" s="2" t="str">
        <f>HYPERLINK("http://ts.21cn.com/tousu/show/id/1351319","http://ts.21cn.com/tousu/show/id/1351319")</f>
        <v>http://ts.21cn.com/tousu/show/id/1351319</v>
      </c>
      <c r="F19346" s="2" t="s">
        <v>11</v>
      </c>
      <c r="G19346" s="2" t="s">
        <v>6127</v>
      </c>
      <c r="H19346" s="2" t="s">
        <v>6128</v>
      </c>
    </row>
    <row r="19347" spans="1:8" ht="25.05" customHeight="1" x14ac:dyDescent="0.25">
      <c r="A19347" s="2" t="s">
        <v>8</v>
      </c>
      <c r="B19347" s="2" t="str">
        <f>HYPERLINK("http://ts.21cn.com/tousu/show/id/1351320","现金巴士催收骚扰")</f>
        <v>现金巴士催收骚扰</v>
      </c>
      <c r="C19347" s="2" t="s">
        <v>9</v>
      </c>
      <c r="D19347" s="2" t="s">
        <v>10</v>
      </c>
      <c r="E19347" s="2" t="str">
        <f>HYPERLINK("http://ts.21cn.com/tousu/show/id/1351320","http://ts.21cn.com/tousu/show/id/1351320")</f>
        <v>http://ts.21cn.com/tousu/show/id/1351320</v>
      </c>
      <c r="F19347" s="2" t="s">
        <v>11</v>
      </c>
      <c r="G19347" s="2" t="s">
        <v>6127</v>
      </c>
      <c r="H19347" s="2" t="s">
        <v>6129</v>
      </c>
    </row>
    <row r="19348" spans="1:8" ht="25.05" customHeight="1" x14ac:dyDescent="0.25">
      <c r="A19348" s="2" t="s">
        <v>8</v>
      </c>
      <c r="B19348" s="2" t="str">
        <f>HYPERLINK("http://ts.21cn.com/tousu/show/id/1351321","买单侠分期高额逾期利息")</f>
        <v>买单侠分期高额逾期利息</v>
      </c>
      <c r="C19348" s="2" t="s">
        <v>34</v>
      </c>
      <c r="D19348" s="2" t="s">
        <v>10</v>
      </c>
      <c r="E19348" s="2" t="str">
        <f>HYPERLINK("http://ts.21cn.com/tousu/show/id/1351321","http://ts.21cn.com/tousu/show/id/1351321")</f>
        <v>http://ts.21cn.com/tousu/show/id/1351321</v>
      </c>
      <c r="F19348" s="2" t="s">
        <v>11</v>
      </c>
      <c r="G19348" s="2" t="s">
        <v>6125</v>
      </c>
      <c r="H19348" s="2" t="s">
        <v>6126</v>
      </c>
    </row>
    <row r="19349" spans="1:8" ht="25.05" customHeight="1" x14ac:dyDescent="0.25">
      <c r="A19349" s="2" t="s">
        <v>8</v>
      </c>
      <c r="B19349" s="2" t="str">
        <f>HYPERLINK("http://ts.21cn.com/tousu/show/id/1351323","反馈问题未处理，并且未经允许挂断客户电话")</f>
        <v>反馈问题未处理，并且未经允许挂断客户电话</v>
      </c>
      <c r="C19349" s="2" t="s">
        <v>9</v>
      </c>
      <c r="D19349" s="2" t="s">
        <v>10</v>
      </c>
      <c r="E19349" s="2" t="str">
        <f>HYPERLINK("http://ts.21cn.com/tousu/show/id/1351323","http://ts.21cn.com/tousu/show/id/1351323")</f>
        <v>http://ts.21cn.com/tousu/show/id/1351323</v>
      </c>
      <c r="F19349" s="2" t="s">
        <v>11</v>
      </c>
      <c r="G19349" s="2" t="s">
        <v>6123</v>
      </c>
      <c r="H19349" s="2" t="s">
        <v>6124</v>
      </c>
    </row>
    <row r="19350" spans="1:8" ht="25.05" customHeight="1" x14ac:dyDescent="0.25">
      <c r="A19350" s="2" t="s">
        <v>8</v>
      </c>
      <c r="B19350" s="2" t="str">
        <f>HYPERLINK("http://ts.21cn.com/tousu/show/id/1351324","上海造艺网络技术有限公司名下的百事普惠App乱扣费")</f>
        <v>上海造艺网络技术有限公司名下的百事普惠App乱扣费</v>
      </c>
      <c r="C19350" s="2" t="s">
        <v>9</v>
      </c>
      <c r="D19350" s="2" t="s">
        <v>10</v>
      </c>
      <c r="E19350" s="2" t="str">
        <f>HYPERLINK("http://ts.21cn.com/tousu/show/id/1351324","http://ts.21cn.com/tousu/show/id/1351324")</f>
        <v>http://ts.21cn.com/tousu/show/id/1351324</v>
      </c>
      <c r="F19350" s="2" t="s">
        <v>11</v>
      </c>
      <c r="G19350" s="2" t="s">
        <v>6121</v>
      </c>
      <c r="H19350" s="2" t="s">
        <v>6122</v>
      </c>
    </row>
    <row r="19351" spans="1:8" ht="25.05" customHeight="1" x14ac:dyDescent="0.25">
      <c r="A19351" s="2" t="s">
        <v>8</v>
      </c>
      <c r="B19351" s="2" t="str">
        <f>HYPERLINK("http://ts.21cn.com/tousu/show/id/1351325","投诉你我贷平台催收态度恶劣")</f>
        <v>投诉你我贷平台催收态度恶劣</v>
      </c>
      <c r="C19351" s="2" t="s">
        <v>9</v>
      </c>
      <c r="D19351" s="2" t="s">
        <v>10</v>
      </c>
      <c r="E19351" s="2" t="str">
        <f>HYPERLINK("http://ts.21cn.com/tousu/show/id/1351325","http://ts.21cn.com/tousu/show/id/1351325")</f>
        <v>http://ts.21cn.com/tousu/show/id/1351325</v>
      </c>
      <c r="F19351" s="2" t="s">
        <v>11</v>
      </c>
      <c r="G19351" s="2" t="s">
        <v>6118</v>
      </c>
      <c r="H19351" s="2" t="s">
        <v>6119</v>
      </c>
    </row>
    <row r="19352" spans="1:8" ht="25.05" customHeight="1" x14ac:dyDescent="0.25">
      <c r="A19352" s="2" t="s">
        <v>8</v>
      </c>
      <c r="B19352" s="2" t="str">
        <f>HYPERLINK("http://ts.21cn.com/tousu/show/id/1351326","政府给办理个人道路运输证，九江滴滴压着不给办理")</f>
        <v>政府给办理个人道路运输证，九江滴滴压着不给办理</v>
      </c>
      <c r="C19352" s="2" t="s">
        <v>9</v>
      </c>
      <c r="D19352" s="2" t="s">
        <v>10</v>
      </c>
      <c r="E19352" s="2" t="str">
        <f>HYPERLINK("http://ts.21cn.com/tousu/show/id/1351326","http://ts.21cn.com/tousu/show/id/1351326")</f>
        <v>http://ts.21cn.com/tousu/show/id/1351326</v>
      </c>
      <c r="F19352" s="2" t="s">
        <v>11</v>
      </c>
      <c r="G19352" s="2" t="s">
        <v>6118</v>
      </c>
      <c r="H19352" s="2" t="s">
        <v>6120</v>
      </c>
    </row>
    <row r="19353" spans="1:8" ht="25.05" customHeight="1" x14ac:dyDescent="0.25">
      <c r="A19353" s="2" t="s">
        <v>8</v>
      </c>
      <c r="B19353" s="2" t="str">
        <f>HYPERLINK("http://ts.21cn.com/tousu/show/id/1351327","苏宁任性付")</f>
        <v>苏宁任性付</v>
      </c>
      <c r="C19353" s="2" t="s">
        <v>9</v>
      </c>
      <c r="D19353" s="2" t="s">
        <v>10</v>
      </c>
      <c r="E19353" s="2" t="str">
        <f>HYPERLINK("http://ts.21cn.com/tousu/show/id/1351327","http://ts.21cn.com/tousu/show/id/1351327")</f>
        <v>http://ts.21cn.com/tousu/show/id/1351327</v>
      </c>
      <c r="F19353" s="2" t="s">
        <v>11</v>
      </c>
      <c r="G19353" s="2" t="s">
        <v>6116</v>
      </c>
      <c r="H19353" s="2" t="s">
        <v>6117</v>
      </c>
    </row>
    <row r="19354" spans="1:8" ht="25.05" customHeight="1" x14ac:dyDescent="0.25">
      <c r="A19354" s="2" t="s">
        <v>8</v>
      </c>
      <c r="B19354" s="2" t="str">
        <f>HYPERLINK("http://ts.21cn.com/tousu/show/id/1351328","广发信用卡")</f>
        <v>广发信用卡</v>
      </c>
      <c r="C19354" s="2" t="s">
        <v>9</v>
      </c>
      <c r="D19354" s="2" t="s">
        <v>10</v>
      </c>
      <c r="E19354" s="2" t="str">
        <f>HYPERLINK("http://ts.21cn.com/tousu/show/id/1351328","http://ts.21cn.com/tousu/show/id/1351328")</f>
        <v>http://ts.21cn.com/tousu/show/id/1351328</v>
      </c>
      <c r="F19354" s="2" t="s">
        <v>11</v>
      </c>
      <c r="G19354" s="2" t="s">
        <v>6114</v>
      </c>
      <c r="H19354" s="2" t="s">
        <v>6115</v>
      </c>
    </row>
    <row r="19355" spans="1:8" ht="25.05" customHeight="1" x14ac:dyDescent="0.25">
      <c r="A19355" s="2" t="s">
        <v>8</v>
      </c>
      <c r="B19355" s="2" t="str">
        <f>HYPERLINK("http://ts.21cn.com/tousu/show/id/1351234","诱导未成年人进行大额消费")</f>
        <v>诱导未成年人进行大额消费</v>
      </c>
      <c r="C19355" s="2" t="s">
        <v>9</v>
      </c>
      <c r="D19355" s="2" t="s">
        <v>10</v>
      </c>
      <c r="E19355" s="2" t="str">
        <f>HYPERLINK("http://ts.21cn.com/tousu/show/id/1351234","http://ts.21cn.com/tousu/show/id/1351234")</f>
        <v>http://ts.21cn.com/tousu/show/id/1351234</v>
      </c>
      <c r="F19355" s="2" t="s">
        <v>11</v>
      </c>
      <c r="G19355" s="2" t="s">
        <v>6112</v>
      </c>
      <c r="H19355" s="2" t="s">
        <v>6113</v>
      </c>
    </row>
    <row r="19356" spans="1:8" ht="25.05" customHeight="1" x14ac:dyDescent="0.25">
      <c r="A19356" s="2" t="s">
        <v>8</v>
      </c>
      <c r="B19356" s="2" t="str">
        <f>HYPERLINK("http://ts.21cn.com/tousu/show/id/1351329","升学教育")</f>
        <v>升学教育</v>
      </c>
      <c r="C19356" s="2" t="s">
        <v>9</v>
      </c>
      <c r="D19356" s="2" t="s">
        <v>10</v>
      </c>
      <c r="E19356" s="2" t="str">
        <f>HYPERLINK("http://ts.21cn.com/tousu/show/id/1351329","http://ts.21cn.com/tousu/show/id/1351329")</f>
        <v>http://ts.21cn.com/tousu/show/id/1351329</v>
      </c>
      <c r="F19356" s="2" t="s">
        <v>11</v>
      </c>
      <c r="G19356" s="2" t="s">
        <v>6110</v>
      </c>
      <c r="H19356" s="2" t="s">
        <v>6111</v>
      </c>
    </row>
    <row r="19357" spans="1:8" ht="25.05" customHeight="1" x14ac:dyDescent="0.25">
      <c r="A19357" s="2" t="s">
        <v>8</v>
      </c>
      <c r="B19357" s="2" t="str">
        <f>HYPERLINK("http://ts.21cn.com/tousu/show/id/1351331","新浪分期是黑网贷，陷阱")</f>
        <v>新浪分期是黑网贷，陷阱</v>
      </c>
      <c r="C19357" s="2" t="s">
        <v>9</v>
      </c>
      <c r="D19357" s="2" t="s">
        <v>10</v>
      </c>
      <c r="E19357" s="2" t="str">
        <f>HYPERLINK("http://ts.21cn.com/tousu/show/id/1351331","http://ts.21cn.com/tousu/show/id/1351331")</f>
        <v>http://ts.21cn.com/tousu/show/id/1351331</v>
      </c>
      <c r="F19357" s="2" t="s">
        <v>11</v>
      </c>
      <c r="G19357" s="2" t="s">
        <v>6107</v>
      </c>
      <c r="H19357" s="2" t="s">
        <v>6108</v>
      </c>
    </row>
    <row r="19358" spans="1:8" ht="25.05" customHeight="1" x14ac:dyDescent="0.25">
      <c r="A19358" s="2" t="s">
        <v>8</v>
      </c>
      <c r="B19358" s="2" t="str">
        <f>HYPERLINK("http://ts.21cn.com/tousu/show/id/1351332","及贷恐吓泄露个人信息")</f>
        <v>及贷恐吓泄露个人信息</v>
      </c>
      <c r="C19358" s="2" t="s">
        <v>9</v>
      </c>
      <c r="D19358" s="2" t="s">
        <v>10</v>
      </c>
      <c r="E19358" s="2" t="str">
        <f>HYPERLINK("http://ts.21cn.com/tousu/show/id/1351332","http://ts.21cn.com/tousu/show/id/1351332")</f>
        <v>http://ts.21cn.com/tousu/show/id/1351332</v>
      </c>
      <c r="F19358" s="2" t="s">
        <v>11</v>
      </c>
      <c r="G19358" s="2" t="s">
        <v>6107</v>
      </c>
      <c r="H19358" s="2" t="s">
        <v>6109</v>
      </c>
    </row>
    <row r="19359" spans="1:8" ht="25.05" customHeight="1" x14ac:dyDescent="0.25">
      <c r="A19359" s="2" t="s">
        <v>8</v>
      </c>
      <c r="B19359" s="2" t="str">
        <f>HYPERLINK("http://ts.21cn.com/tousu/show/id/1351333","房租及押金不退")</f>
        <v>房租及押金不退</v>
      </c>
      <c r="C19359" s="2" t="s">
        <v>9</v>
      </c>
      <c r="D19359" s="2" t="s">
        <v>10</v>
      </c>
      <c r="E19359" s="2" t="str">
        <f>HYPERLINK("http://ts.21cn.com/tousu/show/id/1351333","http://ts.21cn.com/tousu/show/id/1351333")</f>
        <v>http://ts.21cn.com/tousu/show/id/1351333</v>
      </c>
      <c r="F19359" s="2" t="s">
        <v>11</v>
      </c>
      <c r="G19359" s="2" t="s">
        <v>6105</v>
      </c>
      <c r="H19359" s="2" t="s">
        <v>6106</v>
      </c>
    </row>
    <row r="19360" spans="1:8" ht="25.05" customHeight="1" x14ac:dyDescent="0.25">
      <c r="A19360" s="2" t="s">
        <v>8</v>
      </c>
      <c r="B19360" s="2" t="str">
        <f>HYPERLINK("http://ts.21cn.com/tousu/show/id/1351334","马上消费金融爆通讯录骚扰")</f>
        <v>马上消费金融爆通讯录骚扰</v>
      </c>
      <c r="C19360" s="2" t="s">
        <v>9</v>
      </c>
      <c r="D19360" s="2" t="s">
        <v>10</v>
      </c>
      <c r="E19360" s="2" t="str">
        <f>HYPERLINK("http://ts.21cn.com/tousu/show/id/1351334","http://ts.21cn.com/tousu/show/id/1351334")</f>
        <v>http://ts.21cn.com/tousu/show/id/1351334</v>
      </c>
      <c r="F19360" s="2" t="s">
        <v>11</v>
      </c>
      <c r="G19360" s="2" t="s">
        <v>6103</v>
      </c>
      <c r="H19360" s="2" t="s">
        <v>6104</v>
      </c>
    </row>
    <row r="19361" spans="1:8" ht="25.05" customHeight="1" x14ac:dyDescent="0.25">
      <c r="A19361" s="2" t="s">
        <v>8</v>
      </c>
      <c r="B19361" s="2" t="str">
        <f>HYPERLINK("http://ts.21cn.com/tousu/show/id/1351335","重庆涪陵联通公司在客服不知情的情况下办理副卡")</f>
        <v>重庆涪陵联通公司在客服不知情的情况下办理副卡</v>
      </c>
      <c r="C19361" s="2" t="s">
        <v>9</v>
      </c>
      <c r="D19361" s="2" t="s">
        <v>10</v>
      </c>
      <c r="E19361" s="2" t="str">
        <f>HYPERLINK("http://ts.21cn.com/tousu/show/id/1351335","http://ts.21cn.com/tousu/show/id/1351335")</f>
        <v>http://ts.21cn.com/tousu/show/id/1351335</v>
      </c>
      <c r="F19361" s="2" t="s">
        <v>11</v>
      </c>
      <c r="G19361" s="2" t="s">
        <v>6101</v>
      </c>
      <c r="H19361" s="2" t="s">
        <v>6102</v>
      </c>
    </row>
    <row r="19362" spans="1:8" ht="25.05" customHeight="1" x14ac:dyDescent="0.25">
      <c r="A19362" s="2" t="s">
        <v>8</v>
      </c>
      <c r="B19362" s="2" t="str">
        <f>HYPERLINK("http://ts.21cn.com/tousu/show/id/1351337","苏宁任性付催收不要脸")</f>
        <v>苏宁任性付催收不要脸</v>
      </c>
      <c r="C19362" s="2" t="s">
        <v>9</v>
      </c>
      <c r="D19362" s="2" t="s">
        <v>10</v>
      </c>
      <c r="E19362" s="2" t="str">
        <f>HYPERLINK("http://ts.21cn.com/tousu/show/id/1351337","http://ts.21cn.com/tousu/show/id/1351337")</f>
        <v>http://ts.21cn.com/tousu/show/id/1351337</v>
      </c>
      <c r="F19362" s="2" t="s">
        <v>11</v>
      </c>
      <c r="G19362" s="2" t="s">
        <v>6099</v>
      </c>
      <c r="H19362" s="2" t="s">
        <v>6100</v>
      </c>
    </row>
    <row r="19363" spans="1:8" ht="25.05" customHeight="1" x14ac:dyDescent="0.25">
      <c r="A19363" s="2" t="s">
        <v>8</v>
      </c>
      <c r="B19363" s="2" t="str">
        <f>HYPERLINK("http://ts.21cn.com/tousu/show/id/1351336","高利贷1000元逾期3天收取300元费用")</f>
        <v>高利贷1000元逾期3天收取300元费用</v>
      </c>
      <c r="C19363" s="2" t="s">
        <v>9</v>
      </c>
      <c r="D19363" s="2" t="s">
        <v>10</v>
      </c>
      <c r="E19363" s="2" t="str">
        <f>HYPERLINK("http://ts.21cn.com/tousu/show/id/1351336","http://ts.21cn.com/tousu/show/id/1351336")</f>
        <v>http://ts.21cn.com/tousu/show/id/1351336</v>
      </c>
      <c r="F19363" s="2" t="s">
        <v>11</v>
      </c>
      <c r="G19363" s="2" t="s">
        <v>6097</v>
      </c>
      <c r="H19363" s="2" t="s">
        <v>6098</v>
      </c>
    </row>
    <row r="19364" spans="1:8" ht="25.05" customHeight="1" x14ac:dyDescent="0.25">
      <c r="A19364" s="2" t="s">
        <v>8</v>
      </c>
      <c r="B19364" s="2" t="str">
        <f>HYPERLINK("http://ts.21cn.com/tousu/show/id/1351338","网商贷后台私自获取通讯录")</f>
        <v>网商贷后台私自获取通讯录</v>
      </c>
      <c r="C19364" s="2" t="s">
        <v>9</v>
      </c>
      <c r="D19364" s="2" t="s">
        <v>10</v>
      </c>
      <c r="E19364" s="2" t="str">
        <f>HYPERLINK("http://ts.21cn.com/tousu/show/id/1351338","http://ts.21cn.com/tousu/show/id/1351338")</f>
        <v>http://ts.21cn.com/tousu/show/id/1351338</v>
      </c>
      <c r="F19364" s="2" t="s">
        <v>11</v>
      </c>
      <c r="G19364" s="2" t="s">
        <v>6095</v>
      </c>
      <c r="H19364" s="2" t="s">
        <v>6096</v>
      </c>
    </row>
    <row r="19365" spans="1:8" ht="25.05" customHeight="1" x14ac:dyDescent="0.25">
      <c r="A19365" s="2" t="s">
        <v>8</v>
      </c>
      <c r="B19365" s="2" t="str">
        <f>HYPERLINK("http://ts.21cn.com/tousu/show/id/1351340","首付学费不肯退并诱导贷款")</f>
        <v>首付学费不肯退并诱导贷款</v>
      </c>
      <c r="C19365" s="2" t="s">
        <v>9</v>
      </c>
      <c r="D19365" s="2" t="s">
        <v>10</v>
      </c>
      <c r="E19365" s="2" t="str">
        <f>HYPERLINK("http://ts.21cn.com/tousu/show/id/1351340","http://ts.21cn.com/tousu/show/id/1351340")</f>
        <v>http://ts.21cn.com/tousu/show/id/1351340</v>
      </c>
      <c r="F19365" s="2" t="s">
        <v>11</v>
      </c>
      <c r="G19365" s="2" t="s">
        <v>6093</v>
      </c>
      <c r="H19365" s="2" t="s">
        <v>6094</v>
      </c>
    </row>
    <row r="19366" spans="1:8" ht="25.05" customHeight="1" x14ac:dyDescent="0.25">
      <c r="A19366" s="2" t="s">
        <v>8</v>
      </c>
      <c r="B19366" s="2" t="str">
        <f>HYPERLINK("http://ts.21cn.com/tousu/show/id/1351339","钱伴高利息违规收取借款服务费")</f>
        <v>钱伴高利息违规收取借款服务费</v>
      </c>
      <c r="C19366" s="2" t="s">
        <v>9</v>
      </c>
      <c r="D19366" s="2" t="s">
        <v>10</v>
      </c>
      <c r="E19366" s="2" t="str">
        <f>HYPERLINK("http://ts.21cn.com/tousu/show/id/1351339","http://ts.21cn.com/tousu/show/id/1351339")</f>
        <v>http://ts.21cn.com/tousu/show/id/1351339</v>
      </c>
      <c r="F19366" s="2" t="s">
        <v>11</v>
      </c>
      <c r="G19366" s="2" t="s">
        <v>6091</v>
      </c>
      <c r="H19366" s="2" t="s">
        <v>6092</v>
      </c>
    </row>
    <row r="19367" spans="1:8" ht="25.05" customHeight="1" x14ac:dyDescent="0.25">
      <c r="A19367" s="2" t="s">
        <v>8</v>
      </c>
      <c r="B19367" s="2" t="str">
        <f>HYPERLINK("http://ts.21cn.com/tousu/show/id/1351341","马上金融平台骚扰联系人，侮辱名声")</f>
        <v>马上金融平台骚扰联系人，侮辱名声</v>
      </c>
      <c r="C19367" s="2" t="s">
        <v>9</v>
      </c>
      <c r="D19367" s="2" t="s">
        <v>10</v>
      </c>
      <c r="E19367" s="2" t="str">
        <f>HYPERLINK("http://ts.21cn.com/tousu/show/id/1351341","http://ts.21cn.com/tousu/show/id/1351341")</f>
        <v>http://ts.21cn.com/tousu/show/id/1351341</v>
      </c>
      <c r="F19367" s="2" t="s">
        <v>11</v>
      </c>
      <c r="G19367" s="2" t="s">
        <v>6089</v>
      </c>
      <c r="H19367" s="2" t="s">
        <v>6090</v>
      </c>
    </row>
    <row r="19368" spans="1:8" ht="25.05" customHeight="1" x14ac:dyDescent="0.25">
      <c r="A19368" s="2" t="s">
        <v>8</v>
      </c>
      <c r="B19368" s="2" t="str">
        <f>HYPERLINK("http://ts.21cn.com/tousu/show/id/1350980","投诉云闪付为网彩平台提供充值通道让我资金受损")</f>
        <v>投诉云闪付为网彩平台提供充值通道让我资金受损</v>
      </c>
      <c r="C19368" s="2" t="s">
        <v>9</v>
      </c>
      <c r="D19368" s="2" t="s">
        <v>10</v>
      </c>
      <c r="E19368" s="2" t="str">
        <f>HYPERLINK("http://ts.21cn.com/tousu/show/id/1350980","http://ts.21cn.com/tousu/show/id/1350980")</f>
        <v>http://ts.21cn.com/tousu/show/id/1350980</v>
      </c>
      <c r="F19368" s="2" t="s">
        <v>11</v>
      </c>
      <c r="G19368" s="2" t="s">
        <v>6087</v>
      </c>
      <c r="H19368" s="2" t="s">
        <v>6088</v>
      </c>
    </row>
    <row r="19369" spans="1:8" ht="25.05" customHeight="1" x14ac:dyDescent="0.25">
      <c r="A19369" s="2" t="s">
        <v>8</v>
      </c>
      <c r="B19369" s="2" t="str">
        <f>HYPERLINK("http://ts.21cn.com/tousu/show/id/1351342","建设银行侵犯信用卡用户合法权益，建设银行手机app办理现金分期提升固定额度引诱，误导用户")</f>
        <v>建设银行侵犯信用卡用户合法权益，建设银行手机app办理现金分期提升固定额度引诱，误导用户</v>
      </c>
      <c r="C19369" s="2" t="s">
        <v>9</v>
      </c>
      <c r="D19369" s="2" t="s">
        <v>10</v>
      </c>
      <c r="E19369" s="2" t="str">
        <f>HYPERLINK("http://ts.21cn.com/tousu/show/id/1351342","http://ts.21cn.com/tousu/show/id/1351342")</f>
        <v>http://ts.21cn.com/tousu/show/id/1351342</v>
      </c>
      <c r="F19369" s="2" t="s">
        <v>11</v>
      </c>
      <c r="G19369" s="2" t="s">
        <v>6085</v>
      </c>
      <c r="H19369" s="2" t="s">
        <v>6086</v>
      </c>
    </row>
    <row r="19370" spans="1:8" ht="25.05" customHeight="1" x14ac:dyDescent="0.25">
      <c r="A19370" s="2" t="s">
        <v>8</v>
      </c>
      <c r="B19370" s="2" t="str">
        <f>HYPERLINK("http://ts.21cn.com/tousu/show/id/1351343","葱伴侣豆瓣酱内有蛆虫")</f>
        <v>葱伴侣豆瓣酱内有蛆虫</v>
      </c>
      <c r="C19370" s="2" t="s">
        <v>9</v>
      </c>
      <c r="D19370" s="2" t="s">
        <v>10</v>
      </c>
      <c r="E19370" s="2" t="str">
        <f>HYPERLINK("http://ts.21cn.com/tousu/show/id/1351343","http://ts.21cn.com/tousu/show/id/1351343")</f>
        <v>http://ts.21cn.com/tousu/show/id/1351343</v>
      </c>
      <c r="F19370" s="2" t="s">
        <v>11</v>
      </c>
      <c r="G19370" s="2" t="s">
        <v>6083</v>
      </c>
      <c r="H19370" s="2" t="s">
        <v>6084</v>
      </c>
    </row>
    <row r="19371" spans="1:8" ht="25.05" customHeight="1" x14ac:dyDescent="0.25">
      <c r="A19371" s="2" t="s">
        <v>8</v>
      </c>
      <c r="B19371" s="2" t="str">
        <f>HYPERLINK("http://ts.21cn.com/tousu/show/id/1351283","淘宝账号被永久查封")</f>
        <v>淘宝账号被永久查封</v>
      </c>
      <c r="C19371" s="2" t="s">
        <v>9</v>
      </c>
      <c r="D19371" s="2" t="s">
        <v>10</v>
      </c>
      <c r="E19371" s="2" t="str">
        <f>HYPERLINK("http://ts.21cn.com/tousu/show/id/1351283","http://ts.21cn.com/tousu/show/id/1351283")</f>
        <v>http://ts.21cn.com/tousu/show/id/1351283</v>
      </c>
      <c r="F19371" s="2" t="s">
        <v>11</v>
      </c>
      <c r="G19371" s="2" t="s">
        <v>6081</v>
      </c>
      <c r="H19371" s="2" t="s">
        <v>6082</v>
      </c>
    </row>
    <row r="19372" spans="1:8" ht="25.05" customHeight="1" x14ac:dyDescent="0.25">
      <c r="A19372" s="2" t="s">
        <v>8</v>
      </c>
      <c r="B19372" s="2" t="str">
        <f>HYPERLINK("http://ts.21cn.com/tousu/show/id/1351344","交通银行还款日到期不提醒用户，造成逾期不作为")</f>
        <v>交通银行还款日到期不提醒用户，造成逾期不作为</v>
      </c>
      <c r="C19372" s="2" t="s">
        <v>9</v>
      </c>
      <c r="D19372" s="2" t="s">
        <v>10</v>
      </c>
      <c r="E19372" s="2" t="str">
        <f>HYPERLINK("http://ts.21cn.com/tousu/show/id/1351344","http://ts.21cn.com/tousu/show/id/1351344")</f>
        <v>http://ts.21cn.com/tousu/show/id/1351344</v>
      </c>
      <c r="F19372" s="2" t="s">
        <v>11</v>
      </c>
      <c r="G19372" s="2" t="s">
        <v>6079</v>
      </c>
      <c r="H19372" s="2" t="s">
        <v>6080</v>
      </c>
    </row>
    <row r="19373" spans="1:8" ht="25.05" customHeight="1" x14ac:dyDescent="0.25">
      <c r="A19373" s="2" t="s">
        <v>8</v>
      </c>
      <c r="B19373" s="2" t="str">
        <f>HYPERLINK("http://ts.21cn.com/tousu/show/id/1351345","骚扰，威胁")</f>
        <v>骚扰，威胁</v>
      </c>
      <c r="C19373" s="2" t="s">
        <v>9</v>
      </c>
      <c r="D19373" s="2" t="s">
        <v>10</v>
      </c>
      <c r="E19373" s="2" t="str">
        <f>HYPERLINK("http://ts.21cn.com/tousu/show/id/1351345","http://ts.21cn.com/tousu/show/id/1351345")</f>
        <v>http://ts.21cn.com/tousu/show/id/1351345</v>
      </c>
      <c r="F19373" s="2" t="s">
        <v>11</v>
      </c>
      <c r="G19373" s="2" t="s">
        <v>6077</v>
      </c>
      <c r="H19373" s="2" t="s">
        <v>6078</v>
      </c>
    </row>
    <row r="19374" spans="1:8" ht="25.05" customHeight="1" x14ac:dyDescent="0.25">
      <c r="A19374" s="2" t="s">
        <v>8</v>
      </c>
      <c r="B19374" s="2" t="str">
        <f>HYPERLINK("http://ts.21cn.com/tousu/show/id/1351347","维信金科超高利贷")</f>
        <v>维信金科超高利贷</v>
      </c>
      <c r="C19374" s="2" t="s">
        <v>9</v>
      </c>
      <c r="D19374" s="2" t="s">
        <v>10</v>
      </c>
      <c r="E19374" s="2" t="str">
        <f>HYPERLINK("http://ts.21cn.com/tousu/show/id/1351347","http://ts.21cn.com/tousu/show/id/1351347")</f>
        <v>http://ts.21cn.com/tousu/show/id/1351347</v>
      </c>
      <c r="F19374" s="2" t="s">
        <v>11</v>
      </c>
      <c r="G19374" s="2" t="s">
        <v>6075</v>
      </c>
      <c r="H19374" s="2" t="s">
        <v>6076</v>
      </c>
    </row>
    <row r="19375" spans="1:8" ht="25.05" customHeight="1" x14ac:dyDescent="0.25">
      <c r="A19375" s="2" t="s">
        <v>8</v>
      </c>
      <c r="B19375" s="2" t="str">
        <f>HYPERLINK("http://ts.21cn.com/tousu/show/id/1351348","故意让客户逾期，想多收逾期费")</f>
        <v>故意让客户逾期，想多收逾期费</v>
      </c>
      <c r="C19375" s="2" t="s">
        <v>9</v>
      </c>
      <c r="D19375" s="2" t="s">
        <v>10</v>
      </c>
      <c r="E19375" s="2" t="str">
        <f>HYPERLINK("http://ts.21cn.com/tousu/show/id/1351348","http://ts.21cn.com/tousu/show/id/1351348")</f>
        <v>http://ts.21cn.com/tousu/show/id/1351348</v>
      </c>
      <c r="F19375" s="2" t="s">
        <v>11</v>
      </c>
      <c r="G19375" s="2" t="s">
        <v>6073</v>
      </c>
      <c r="H19375" s="2" t="s">
        <v>6074</v>
      </c>
    </row>
    <row r="19376" spans="1:8" ht="25.05" customHeight="1" x14ac:dyDescent="0.25">
      <c r="A19376" s="2" t="s">
        <v>8</v>
      </c>
      <c r="B19376" s="2" t="str">
        <f>HYPERLINK("http://ts.21cn.com/tousu/show/id/1351202","拼多多不处理故意拖延时间")</f>
        <v>拼多多不处理故意拖延时间</v>
      </c>
      <c r="C19376" s="2" t="s">
        <v>9</v>
      </c>
      <c r="D19376" s="2" t="s">
        <v>10</v>
      </c>
      <c r="E19376" s="2" t="str">
        <f>HYPERLINK("http://ts.21cn.com/tousu/show/id/1351202","http://ts.21cn.com/tousu/show/id/1351202")</f>
        <v>http://ts.21cn.com/tousu/show/id/1351202</v>
      </c>
      <c r="F19376" s="2" t="s">
        <v>11</v>
      </c>
      <c r="G19376" s="2" t="s">
        <v>6071</v>
      </c>
      <c r="H19376" s="2" t="s">
        <v>6072</v>
      </c>
    </row>
    <row r="19377" spans="1:8" ht="25.05" customHeight="1" x14ac:dyDescent="0.25">
      <c r="A19377" s="2" t="s">
        <v>8</v>
      </c>
      <c r="B19377" s="2" t="str">
        <f>HYPERLINK("http://ts.21cn.com/tousu/show/id/1351350","融360旗下短贷王谋取高额费用")</f>
        <v>融360旗下短贷王谋取高额费用</v>
      </c>
      <c r="C19377" s="2" t="s">
        <v>9</v>
      </c>
      <c r="D19377" s="2" t="s">
        <v>10</v>
      </c>
      <c r="E19377" s="2" t="str">
        <f>HYPERLINK("http://ts.21cn.com/tousu/show/id/1351350","http://ts.21cn.com/tousu/show/id/1351350")</f>
        <v>http://ts.21cn.com/tousu/show/id/1351350</v>
      </c>
      <c r="F19377" s="2" t="s">
        <v>11</v>
      </c>
      <c r="G19377" s="2" t="s">
        <v>6069</v>
      </c>
      <c r="H19377" s="2" t="s">
        <v>6070</v>
      </c>
    </row>
    <row r="19378" spans="1:8" ht="25.05" customHeight="1" x14ac:dyDescent="0.25">
      <c r="A19378" s="2" t="s">
        <v>8</v>
      </c>
      <c r="B19378" s="2" t="str">
        <f>HYPERLINK("http://ts.21cn.com/tousu/show/id/1351351","贷款平台随性扣钱")</f>
        <v>贷款平台随性扣钱</v>
      </c>
      <c r="C19378" s="2" t="s">
        <v>9</v>
      </c>
      <c r="D19378" s="2" t="s">
        <v>10</v>
      </c>
      <c r="E19378" s="2" t="str">
        <f>HYPERLINK("http://ts.21cn.com/tousu/show/id/1351351","http://ts.21cn.com/tousu/show/id/1351351")</f>
        <v>http://ts.21cn.com/tousu/show/id/1351351</v>
      </c>
      <c r="F19378" s="2" t="s">
        <v>11</v>
      </c>
      <c r="G19378" s="2" t="s">
        <v>6067</v>
      </c>
      <c r="H19378" s="2" t="s">
        <v>6068</v>
      </c>
    </row>
    <row r="19379" spans="1:8" ht="25.05" customHeight="1" x14ac:dyDescent="0.25">
      <c r="A19379" s="2" t="s">
        <v>8</v>
      </c>
      <c r="B19379" s="2" t="str">
        <f>HYPERLINK("http://ts.21cn.com/tousu/show/id/1351352","郑州悦如公寓退租金未到账")</f>
        <v>郑州悦如公寓退租金未到账</v>
      </c>
      <c r="C19379" s="2" t="s">
        <v>34</v>
      </c>
      <c r="D19379" s="2" t="s">
        <v>10</v>
      </c>
      <c r="E19379" s="2" t="str">
        <f>HYPERLINK("http://ts.21cn.com/tousu/show/id/1351352","http://ts.21cn.com/tousu/show/id/1351352")</f>
        <v>http://ts.21cn.com/tousu/show/id/1351352</v>
      </c>
      <c r="F19379" s="2" t="s">
        <v>11</v>
      </c>
      <c r="G19379" s="2" t="s">
        <v>6065</v>
      </c>
      <c r="H19379" s="2" t="s">
        <v>6066</v>
      </c>
    </row>
    <row r="19380" spans="1:8" ht="25.05" customHeight="1" x14ac:dyDescent="0.25">
      <c r="A19380" s="2" t="s">
        <v>8</v>
      </c>
      <c r="B19380" s="2" t="str">
        <f>HYPERLINK("http://ts.21cn.com/tousu/show/id/1351353","网贷欺诈")</f>
        <v>网贷欺诈</v>
      </c>
      <c r="C19380" s="2" t="s">
        <v>9</v>
      </c>
      <c r="D19380" s="2" t="s">
        <v>10</v>
      </c>
      <c r="E19380" s="2" t="str">
        <f>HYPERLINK("http://ts.21cn.com/tousu/show/id/1351353","http://ts.21cn.com/tousu/show/id/1351353")</f>
        <v>http://ts.21cn.com/tousu/show/id/1351353</v>
      </c>
      <c r="F19380" s="2" t="s">
        <v>11</v>
      </c>
      <c r="G19380" s="2" t="s">
        <v>6063</v>
      </c>
      <c r="H19380" s="2" t="s">
        <v>6064</v>
      </c>
    </row>
    <row r="19381" spans="1:8" ht="25.05" customHeight="1" x14ac:dyDescent="0.25">
      <c r="A19381" s="2" t="s">
        <v>8</v>
      </c>
      <c r="B19381" s="2" t="str">
        <f>HYPERLINK("http://ts.21cn.com/tousu/show/id/1351135","浙江航天电子信息产业有限公司还我血汗钱")</f>
        <v>浙江航天电子信息产业有限公司还我血汗钱</v>
      </c>
      <c r="C19381" s="2" t="s">
        <v>9</v>
      </c>
      <c r="D19381" s="2" t="s">
        <v>10</v>
      </c>
      <c r="E19381" s="2" t="str">
        <f>HYPERLINK("http://ts.21cn.com/tousu/show/id/1351135","http://ts.21cn.com/tousu/show/id/1351135")</f>
        <v>http://ts.21cn.com/tousu/show/id/1351135</v>
      </c>
      <c r="F19381" s="2" t="s">
        <v>11</v>
      </c>
      <c r="G19381" s="2" t="s">
        <v>6061</v>
      </c>
      <c r="H19381" s="2" t="s">
        <v>6062</v>
      </c>
    </row>
    <row r="19382" spans="1:8" ht="25.05" customHeight="1" x14ac:dyDescent="0.25">
      <c r="A19382" s="2" t="s">
        <v>8</v>
      </c>
      <c r="B19382" s="2" t="str">
        <f>HYPERLINK("http://ts.21cn.com/tousu/show/id/1351356","滴滴诱导乘客取消订单")</f>
        <v>滴滴诱导乘客取消订单</v>
      </c>
      <c r="C19382" s="2" t="s">
        <v>9</v>
      </c>
      <c r="D19382" s="2" t="s">
        <v>10</v>
      </c>
      <c r="E19382" s="2" t="str">
        <f>HYPERLINK("http://ts.21cn.com/tousu/show/id/1351356","http://ts.21cn.com/tousu/show/id/1351356")</f>
        <v>http://ts.21cn.com/tousu/show/id/1351356</v>
      </c>
      <c r="F19382" s="2" t="s">
        <v>11</v>
      </c>
      <c r="G19382" s="2" t="s">
        <v>6059</v>
      </c>
      <c r="H19382" s="2" t="s">
        <v>6060</v>
      </c>
    </row>
    <row r="19383" spans="1:8" ht="25.05" customHeight="1" x14ac:dyDescent="0.25">
      <c r="A19383" s="2" t="s">
        <v>8</v>
      </c>
      <c r="B19383" s="2" t="str">
        <f>HYPERLINK("http://ts.21cn.com/tousu/show/id/1351357","钱站贷后威胁恐吓")</f>
        <v>钱站贷后威胁恐吓</v>
      </c>
      <c r="C19383" s="2" t="s">
        <v>9</v>
      </c>
      <c r="D19383" s="2" t="s">
        <v>10</v>
      </c>
      <c r="E19383" s="2" t="str">
        <f>HYPERLINK("http://ts.21cn.com/tousu/show/id/1351357","http://ts.21cn.com/tousu/show/id/1351357")</f>
        <v>http://ts.21cn.com/tousu/show/id/1351357</v>
      </c>
      <c r="F19383" s="2" t="s">
        <v>11</v>
      </c>
      <c r="G19383" s="2" t="s">
        <v>6057</v>
      </c>
      <c r="H19383" s="2" t="s">
        <v>6058</v>
      </c>
    </row>
    <row r="19384" spans="1:8" ht="25.05" customHeight="1" x14ac:dyDescent="0.25">
      <c r="A19384" s="2" t="s">
        <v>8</v>
      </c>
      <c r="B19384" s="2" t="str">
        <f>HYPERLINK("http://ts.21cn.com/tousu/show/id/1351359","714高炮砍头息")</f>
        <v>714高炮砍头息</v>
      </c>
      <c r="C19384" s="2" t="s">
        <v>9</v>
      </c>
      <c r="D19384" s="2" t="s">
        <v>10</v>
      </c>
      <c r="E19384" s="2" t="str">
        <f>HYPERLINK("http://ts.21cn.com/tousu/show/id/1351359","http://ts.21cn.com/tousu/show/id/1351359")</f>
        <v>http://ts.21cn.com/tousu/show/id/1351359</v>
      </c>
      <c r="F19384" s="2" t="s">
        <v>11</v>
      </c>
      <c r="G19384" s="2" t="s">
        <v>6055</v>
      </c>
      <c r="H19384" s="2" t="s">
        <v>6056</v>
      </c>
    </row>
    <row r="19385" spans="1:8" ht="25.05" customHeight="1" x14ac:dyDescent="0.25">
      <c r="A19385" s="2" t="s">
        <v>8</v>
      </c>
      <c r="B19385" s="2" t="str">
        <f>HYPERLINK("http://ts.21cn.com/tousu/show/id/1351361","滴滴客服不解决问题")</f>
        <v>滴滴客服不解决问题</v>
      </c>
      <c r="C19385" s="2" t="s">
        <v>9</v>
      </c>
      <c r="D19385" s="2" t="s">
        <v>10</v>
      </c>
      <c r="E19385" s="2" t="str">
        <f>HYPERLINK("http://ts.21cn.com/tousu/show/id/1351361","http://ts.21cn.com/tousu/show/id/1351361")</f>
        <v>http://ts.21cn.com/tousu/show/id/1351361</v>
      </c>
      <c r="F19385" s="2" t="s">
        <v>11</v>
      </c>
      <c r="G19385" s="2" t="s">
        <v>6053</v>
      </c>
      <c r="H19385" s="2" t="s">
        <v>6054</v>
      </c>
    </row>
    <row r="19386" spans="1:8" ht="25.05" customHeight="1" x14ac:dyDescent="0.25">
      <c r="A19386" s="2" t="s">
        <v>8</v>
      </c>
      <c r="B19386" s="2" t="str">
        <f>HYPERLINK("http://ts.21cn.com/tousu/show/id/1351363","暴力催收")</f>
        <v>暴力催收</v>
      </c>
      <c r="C19386" s="2" t="s">
        <v>9</v>
      </c>
      <c r="D19386" s="2" t="s">
        <v>10</v>
      </c>
      <c r="E19386" s="2" t="str">
        <f>HYPERLINK("http://ts.21cn.com/tousu/show/id/1351363","http://ts.21cn.com/tousu/show/id/1351363")</f>
        <v>http://ts.21cn.com/tousu/show/id/1351363</v>
      </c>
      <c r="F19386" s="2" t="s">
        <v>11</v>
      </c>
      <c r="G19386" s="2" t="s">
        <v>6050</v>
      </c>
      <c r="H19386" s="2" t="s">
        <v>6051</v>
      </c>
    </row>
    <row r="19387" spans="1:8" ht="25.05" customHeight="1" x14ac:dyDescent="0.25">
      <c r="A19387" s="2" t="s">
        <v>8</v>
      </c>
      <c r="B19387" s="2" t="str">
        <f>HYPERLINK("http://ts.21cn.com/tousu/show/id/1351362","微粒贷违法暴力催收")</f>
        <v>微粒贷违法暴力催收</v>
      </c>
      <c r="C19387" s="2" t="s">
        <v>9</v>
      </c>
      <c r="D19387" s="2" t="s">
        <v>10</v>
      </c>
      <c r="E19387" s="2" t="str">
        <f>HYPERLINK("http://ts.21cn.com/tousu/show/id/1351362","http://ts.21cn.com/tousu/show/id/1351362")</f>
        <v>http://ts.21cn.com/tousu/show/id/1351362</v>
      </c>
      <c r="F19387" s="2" t="s">
        <v>11</v>
      </c>
      <c r="G19387" s="2" t="s">
        <v>6050</v>
      </c>
      <c r="H19387" s="2" t="s">
        <v>6052</v>
      </c>
    </row>
    <row r="19388" spans="1:8" ht="25.05" customHeight="1" x14ac:dyDescent="0.25">
      <c r="A19388" s="2" t="s">
        <v>8</v>
      </c>
      <c r="B19388" s="2" t="str">
        <f>HYPERLINK("http://ts.21cn.com/tousu/show/id/1351364","钱站高利贷阴阳合同")</f>
        <v>钱站高利贷阴阳合同</v>
      </c>
      <c r="C19388" s="2" t="s">
        <v>9</v>
      </c>
      <c r="D19388" s="2" t="s">
        <v>10</v>
      </c>
      <c r="E19388" s="2" t="str">
        <f>HYPERLINK("http://ts.21cn.com/tousu/show/id/1351364","http://ts.21cn.com/tousu/show/id/1351364")</f>
        <v>http://ts.21cn.com/tousu/show/id/1351364</v>
      </c>
      <c r="F19388" s="2" t="s">
        <v>11</v>
      </c>
      <c r="G19388" s="2" t="s">
        <v>6048</v>
      </c>
      <c r="H19388" s="2" t="s">
        <v>6049</v>
      </c>
    </row>
    <row r="19389" spans="1:8" ht="25.05" customHeight="1" x14ac:dyDescent="0.25">
      <c r="A19389" s="2" t="s">
        <v>8</v>
      </c>
      <c r="B19389" s="2" t="str">
        <f>HYPERLINK("http://ts.21cn.com/tousu/show/id/1351365","捷信金融")</f>
        <v>捷信金融</v>
      </c>
      <c r="C19389" s="2" t="s">
        <v>9</v>
      </c>
      <c r="D19389" s="2" t="s">
        <v>10</v>
      </c>
      <c r="E19389" s="2" t="str">
        <f>HYPERLINK("http://ts.21cn.com/tousu/show/id/1351365","http://ts.21cn.com/tousu/show/id/1351365")</f>
        <v>http://ts.21cn.com/tousu/show/id/1351365</v>
      </c>
      <c r="F19389" s="2" t="s">
        <v>11</v>
      </c>
      <c r="G19389" s="2" t="s">
        <v>6046</v>
      </c>
      <c r="H19389" s="2" t="s">
        <v>6047</v>
      </c>
    </row>
    <row r="19390" spans="1:8" ht="25.05" customHeight="1" x14ac:dyDescent="0.25">
      <c r="A19390" s="2" t="s">
        <v>8</v>
      </c>
      <c r="B19390" s="2" t="str">
        <f>HYPERLINK("http://ts.21cn.com/tousu/show/id/1351366","停止骚扰不要往单位打电话")</f>
        <v>停止骚扰不要往单位打电话</v>
      </c>
      <c r="C19390" s="2" t="s">
        <v>9</v>
      </c>
      <c r="D19390" s="2" t="s">
        <v>10</v>
      </c>
      <c r="E19390" s="2" t="str">
        <f>HYPERLINK("http://ts.21cn.com/tousu/show/id/1351366","http://ts.21cn.com/tousu/show/id/1351366")</f>
        <v>http://ts.21cn.com/tousu/show/id/1351366</v>
      </c>
      <c r="F19390" s="2" t="s">
        <v>11</v>
      </c>
      <c r="G19390" s="2" t="s">
        <v>6044</v>
      </c>
      <c r="H19390" s="2" t="s">
        <v>6045</v>
      </c>
    </row>
    <row r="19391" spans="1:8" ht="25.05" customHeight="1" x14ac:dyDescent="0.25">
      <c r="A19391" s="2" t="s">
        <v>8</v>
      </c>
      <c r="B19391" s="2" t="str">
        <f>HYPERLINK("http://ts.21cn.com/tousu/show/id/1351367","玖富万卡高利贷")</f>
        <v>玖富万卡高利贷</v>
      </c>
      <c r="C19391" s="2" t="s">
        <v>9</v>
      </c>
      <c r="D19391" s="2" t="s">
        <v>10</v>
      </c>
      <c r="E19391" s="2" t="str">
        <f>HYPERLINK("http://ts.21cn.com/tousu/show/id/1351367","http://ts.21cn.com/tousu/show/id/1351367")</f>
        <v>http://ts.21cn.com/tousu/show/id/1351367</v>
      </c>
      <c r="F19391" s="2" t="s">
        <v>11</v>
      </c>
      <c r="G19391" s="2" t="s">
        <v>6042</v>
      </c>
      <c r="H19391" s="2" t="s">
        <v>6043</v>
      </c>
    </row>
    <row r="19392" spans="1:8" ht="25.05" customHeight="1" x14ac:dyDescent="0.25">
      <c r="A19392" s="2" t="s">
        <v>8</v>
      </c>
      <c r="B19392" s="2" t="str">
        <f>HYPERLINK("http://ts.21cn.com/tousu/show/id/1351369","嗨包砍头息、高利息、骚扰威胁")</f>
        <v>嗨包砍头息、高利息、骚扰威胁</v>
      </c>
      <c r="C19392" s="2" t="s">
        <v>9</v>
      </c>
      <c r="D19392" s="2" t="s">
        <v>10</v>
      </c>
      <c r="E19392" s="2" t="str">
        <f>HYPERLINK("http://ts.21cn.com/tousu/show/id/1351369","http://ts.21cn.com/tousu/show/id/1351369")</f>
        <v>http://ts.21cn.com/tousu/show/id/1351369</v>
      </c>
      <c r="F19392" s="2" t="s">
        <v>11</v>
      </c>
      <c r="G19392" s="2" t="s">
        <v>6040</v>
      </c>
      <c r="H19392" s="2" t="s">
        <v>6041</v>
      </c>
    </row>
    <row r="19393" spans="1:8" ht="25.05" customHeight="1" x14ac:dyDescent="0.25">
      <c r="A19393" s="2" t="s">
        <v>8</v>
      </c>
      <c r="B19393" s="2" t="str">
        <f>HYPERLINK("http://ts.21cn.com/tousu/show/id/1351371","及贷不了解借款人的信息，经常打电话你是不是某某某的朋友，语言态度极差")</f>
        <v>及贷不了解借款人的信息，经常打电话你是不是某某某的朋友，语言态度极差</v>
      </c>
      <c r="C19393" s="2" t="s">
        <v>9</v>
      </c>
      <c r="D19393" s="2" t="s">
        <v>10</v>
      </c>
      <c r="E19393" s="2" t="str">
        <f>HYPERLINK("http://ts.21cn.com/tousu/show/id/1351371","http://ts.21cn.com/tousu/show/id/1351371")</f>
        <v>http://ts.21cn.com/tousu/show/id/1351371</v>
      </c>
      <c r="F19393" s="2" t="s">
        <v>11</v>
      </c>
      <c r="G19393" s="2" t="s">
        <v>6039</v>
      </c>
      <c r="H19393" s="2" t="s">
        <v>160</v>
      </c>
    </row>
    <row r="19394" spans="1:8" ht="25.05" customHeight="1" x14ac:dyDescent="0.25">
      <c r="A19394" s="2" t="s">
        <v>8</v>
      </c>
      <c r="B19394" s="2" t="str">
        <f>HYPERLINK("http://ts.21cn.com/tousu/show/id/1351370","你我贷暴利催收")</f>
        <v>你我贷暴利催收</v>
      </c>
      <c r="C19394" s="2" t="s">
        <v>9</v>
      </c>
      <c r="D19394" s="2" t="s">
        <v>10</v>
      </c>
      <c r="E19394" s="2" t="str">
        <f>HYPERLINK("http://ts.21cn.com/tousu/show/id/1351370","http://ts.21cn.com/tousu/show/id/1351370")</f>
        <v>http://ts.21cn.com/tousu/show/id/1351370</v>
      </c>
      <c r="F19394" s="2" t="s">
        <v>11</v>
      </c>
      <c r="G19394" s="2" t="s">
        <v>6037</v>
      </c>
      <c r="H19394" s="2" t="s">
        <v>6038</v>
      </c>
    </row>
    <row r="19395" spans="1:8" ht="25.05" customHeight="1" x14ac:dyDescent="0.25">
      <c r="A19395" s="2" t="s">
        <v>8</v>
      </c>
      <c r="B19395" s="2" t="str">
        <f>HYPERLINK("http://ts.21cn.com/tousu/show/id/1351372","催收员承诺减免平帐未兑现")</f>
        <v>催收员承诺减免平帐未兑现</v>
      </c>
      <c r="C19395" s="2" t="s">
        <v>34</v>
      </c>
      <c r="D19395" s="2" t="s">
        <v>10</v>
      </c>
      <c r="E19395" s="2" t="str">
        <f>HYPERLINK("http://ts.21cn.com/tousu/show/id/1351372","http://ts.21cn.com/tousu/show/id/1351372")</f>
        <v>http://ts.21cn.com/tousu/show/id/1351372</v>
      </c>
      <c r="F19395" s="2" t="s">
        <v>11</v>
      </c>
      <c r="G19395" s="2" t="s">
        <v>6035</v>
      </c>
      <c r="H19395" s="2" t="s">
        <v>6036</v>
      </c>
    </row>
    <row r="19396" spans="1:8" ht="25.05" customHeight="1" x14ac:dyDescent="0.25">
      <c r="A19396" s="2" t="s">
        <v>8</v>
      </c>
      <c r="B19396" s="2" t="str">
        <f>HYPERLINK("http://ts.21cn.com/tousu/show/id/1351373","约单APP充值后不能提现")</f>
        <v>约单APP充值后不能提现</v>
      </c>
      <c r="C19396" s="2" t="s">
        <v>34</v>
      </c>
      <c r="D19396" s="2" t="s">
        <v>10</v>
      </c>
      <c r="E19396" s="2" t="str">
        <f>HYPERLINK("http://ts.21cn.com/tousu/show/id/1351373","http://ts.21cn.com/tousu/show/id/1351373")</f>
        <v>http://ts.21cn.com/tousu/show/id/1351373</v>
      </c>
      <c r="F19396" s="2" t="s">
        <v>11</v>
      </c>
      <c r="G19396" s="2" t="s">
        <v>6033</v>
      </c>
      <c r="H19396" s="2" t="s">
        <v>6034</v>
      </c>
    </row>
    <row r="19397" spans="1:8" ht="25.05" customHeight="1" x14ac:dyDescent="0.25">
      <c r="A19397" s="2" t="s">
        <v>8</v>
      </c>
      <c r="B19397" s="2" t="str">
        <f>HYPERLINK("http://ts.21cn.com/tousu/show/id/1351374","闪电借款")</f>
        <v>闪电借款</v>
      </c>
      <c r="C19397" s="2" t="s">
        <v>9</v>
      </c>
      <c r="D19397" s="2" t="s">
        <v>10</v>
      </c>
      <c r="E19397" s="2" t="str">
        <f>HYPERLINK("http://ts.21cn.com/tousu/show/id/1351374","http://ts.21cn.com/tousu/show/id/1351374")</f>
        <v>http://ts.21cn.com/tousu/show/id/1351374</v>
      </c>
      <c r="F19397" s="2" t="s">
        <v>11</v>
      </c>
      <c r="G19397" s="2" t="s">
        <v>6031</v>
      </c>
      <c r="H19397" s="2" t="s">
        <v>6032</v>
      </c>
    </row>
    <row r="19398" spans="1:8" ht="25.05" customHeight="1" x14ac:dyDescent="0.25">
      <c r="A19398" s="2" t="s">
        <v>8</v>
      </c>
      <c r="B19398" s="2" t="str">
        <f>HYPERLINK("http://ts.21cn.com/tousu/show/id/1351375","疑似哈罗助力车与不法分子合谋")</f>
        <v>疑似哈罗助力车与不法分子合谋</v>
      </c>
      <c r="C19398" s="2" t="s">
        <v>9</v>
      </c>
      <c r="D19398" s="2" t="s">
        <v>10</v>
      </c>
      <c r="E19398" s="2" t="str">
        <f>HYPERLINK("http://ts.21cn.com/tousu/show/id/1351375","http://ts.21cn.com/tousu/show/id/1351375")</f>
        <v>http://ts.21cn.com/tousu/show/id/1351375</v>
      </c>
      <c r="F19398" s="2" t="s">
        <v>11</v>
      </c>
      <c r="G19398" s="2" t="s">
        <v>6029</v>
      </c>
      <c r="H19398" s="2" t="s">
        <v>6030</v>
      </c>
    </row>
    <row r="19399" spans="1:8" ht="25.05" customHeight="1" x14ac:dyDescent="0.25">
      <c r="A19399" s="2" t="s">
        <v>8</v>
      </c>
      <c r="B19399" s="2" t="str">
        <f>HYPERLINK("http://ts.21cn.com/tousu/show/id/1351377","同程提钱游变相砍头息")</f>
        <v>同程提钱游变相砍头息</v>
      </c>
      <c r="C19399" s="2" t="s">
        <v>9</v>
      </c>
      <c r="D19399" s="2" t="s">
        <v>10</v>
      </c>
      <c r="E19399" s="2" t="str">
        <f>HYPERLINK("http://ts.21cn.com/tousu/show/id/1351377","http://ts.21cn.com/tousu/show/id/1351377")</f>
        <v>http://ts.21cn.com/tousu/show/id/1351377</v>
      </c>
      <c r="F19399" s="2" t="s">
        <v>11</v>
      </c>
      <c r="G19399" s="2" t="s">
        <v>6027</v>
      </c>
      <c r="H19399" s="2" t="s">
        <v>6028</v>
      </c>
    </row>
    <row r="19400" spans="1:8" ht="25.05" customHeight="1" x14ac:dyDescent="0.25">
      <c r="A19400" s="2" t="s">
        <v>8</v>
      </c>
      <c r="B19400" s="2" t="str">
        <f>HYPERLINK("http://ts.21cn.com/tousu/show/id/1351376","钱橙无忧随意扣费")</f>
        <v>钱橙无忧随意扣费</v>
      </c>
      <c r="C19400" s="2" t="s">
        <v>9</v>
      </c>
      <c r="D19400" s="2" t="s">
        <v>10</v>
      </c>
      <c r="E19400" s="2" t="str">
        <f>HYPERLINK("http://ts.21cn.com/tousu/show/id/1351376","http://ts.21cn.com/tousu/show/id/1351376")</f>
        <v>http://ts.21cn.com/tousu/show/id/1351376</v>
      </c>
      <c r="F19400" s="2" t="s">
        <v>11</v>
      </c>
      <c r="G19400" s="2" t="s">
        <v>6025</v>
      </c>
      <c r="H19400" s="2" t="s">
        <v>6026</v>
      </c>
    </row>
    <row r="19401" spans="1:8" ht="25.05" customHeight="1" x14ac:dyDescent="0.25">
      <c r="A19401" s="2" t="s">
        <v>8</v>
      </c>
      <c r="B19401" s="2" t="str">
        <f>HYPERLINK("http://ts.21cn.com/tousu/show/id/1351378","悸动烧仙草小程序里面骂人")</f>
        <v>悸动烧仙草小程序里面骂人</v>
      </c>
      <c r="C19401" s="2" t="s">
        <v>34</v>
      </c>
      <c r="D19401" s="2" t="s">
        <v>10</v>
      </c>
      <c r="E19401" s="2" t="str">
        <f>HYPERLINK("http://ts.21cn.com/tousu/show/id/1351378","http://ts.21cn.com/tousu/show/id/1351378")</f>
        <v>http://ts.21cn.com/tousu/show/id/1351378</v>
      </c>
      <c r="F19401" s="2" t="s">
        <v>11</v>
      </c>
      <c r="G19401" s="2" t="s">
        <v>6023</v>
      </c>
      <c r="H19401" s="2" t="s">
        <v>6024</v>
      </c>
    </row>
    <row r="19402" spans="1:8" ht="25.05" customHeight="1" x14ac:dyDescent="0.25">
      <c r="A19402" s="2" t="s">
        <v>8</v>
      </c>
      <c r="B19402" s="2" t="str">
        <f>HYPERLINK("http://ts.21cn.com/tousu/show/id/1351379","昆明鼎祥金融公司在借款中以各种理由收取客户资金，借款不成功还不予退还")</f>
        <v>昆明鼎祥金融公司在借款中以各种理由收取客户资金，借款不成功还不予退还</v>
      </c>
      <c r="C19402" s="2" t="s">
        <v>9</v>
      </c>
      <c r="D19402" s="2" t="s">
        <v>10</v>
      </c>
      <c r="E19402" s="2" t="str">
        <f>HYPERLINK("http://ts.21cn.com/tousu/show/id/1351379","http://ts.21cn.com/tousu/show/id/1351379")</f>
        <v>http://ts.21cn.com/tousu/show/id/1351379</v>
      </c>
      <c r="F19402" s="2" t="s">
        <v>11</v>
      </c>
      <c r="G19402" s="2" t="s">
        <v>6021</v>
      </c>
      <c r="H19402" s="2" t="s">
        <v>6022</v>
      </c>
    </row>
    <row r="19403" spans="1:8" ht="25.05" customHeight="1" x14ac:dyDescent="0.25">
      <c r="A19403" s="2" t="s">
        <v>8</v>
      </c>
      <c r="B19403" s="2" t="str">
        <f>HYPERLINK("http://ts.21cn.com/tousu/show/id/1351381","及货私自泄露信息")</f>
        <v>及货私自泄露信息</v>
      </c>
      <c r="C19403" s="2" t="s">
        <v>9</v>
      </c>
      <c r="D19403" s="2" t="s">
        <v>10</v>
      </c>
      <c r="E19403" s="2" t="str">
        <f>HYPERLINK("http://ts.21cn.com/tousu/show/id/1351381","http://ts.21cn.com/tousu/show/id/1351381")</f>
        <v>http://ts.21cn.com/tousu/show/id/1351381</v>
      </c>
      <c r="F19403" s="2" t="s">
        <v>11</v>
      </c>
      <c r="G19403" s="2" t="s">
        <v>6019</v>
      </c>
      <c r="H19403" s="2" t="s">
        <v>6020</v>
      </c>
    </row>
    <row r="19404" spans="1:8" ht="25.05" customHeight="1" x14ac:dyDescent="0.25">
      <c r="A19404" s="2" t="s">
        <v>8</v>
      </c>
      <c r="B19404" s="2" t="str">
        <f>HYPERLINK("http://ts.21cn.com/tousu/show/id/1351380","恶心小象暴力催收，骚扰电话通讯录")</f>
        <v>恶心小象暴力催收，骚扰电话通讯录</v>
      </c>
      <c r="C19404" s="2" t="s">
        <v>9</v>
      </c>
      <c r="D19404" s="2" t="s">
        <v>10</v>
      </c>
      <c r="E19404" s="2" t="str">
        <f>HYPERLINK("http://ts.21cn.com/tousu/show/id/1351380","http://ts.21cn.com/tousu/show/id/1351380")</f>
        <v>http://ts.21cn.com/tousu/show/id/1351380</v>
      </c>
      <c r="F19404" s="2" t="s">
        <v>11</v>
      </c>
      <c r="G19404" s="2" t="s">
        <v>6017</v>
      </c>
      <c r="H19404" s="2" t="s">
        <v>6018</v>
      </c>
    </row>
    <row r="19405" spans="1:8" ht="25.05" customHeight="1" x14ac:dyDescent="0.25">
      <c r="A19405" s="2" t="s">
        <v>8</v>
      </c>
      <c r="B19405" s="2" t="str">
        <f>HYPERLINK("http://ts.21cn.com/tousu/show/id/1351382","点融魔借雇黑社会恐吓")</f>
        <v>点融魔借雇黑社会恐吓</v>
      </c>
      <c r="C19405" s="2" t="s">
        <v>9</v>
      </c>
      <c r="D19405" s="2" t="s">
        <v>10</v>
      </c>
      <c r="E19405" s="2" t="str">
        <f>HYPERLINK("http://ts.21cn.com/tousu/show/id/1351382","http://ts.21cn.com/tousu/show/id/1351382")</f>
        <v>http://ts.21cn.com/tousu/show/id/1351382</v>
      </c>
      <c r="F19405" s="2" t="s">
        <v>11</v>
      </c>
      <c r="G19405" s="2" t="s">
        <v>6015</v>
      </c>
      <c r="H19405" s="2" t="s">
        <v>6016</v>
      </c>
    </row>
    <row r="19406" spans="1:8" ht="25.05" customHeight="1" x14ac:dyDescent="0.25">
      <c r="A19406" s="2" t="s">
        <v>8</v>
      </c>
      <c r="B19406" s="2" t="str">
        <f>HYPERLINK("http://ts.21cn.com/tousu/show/id/1351383","马上金融冒充法院，公检法人员")</f>
        <v>马上金融冒充法院，公检法人员</v>
      </c>
      <c r="C19406" s="2" t="s">
        <v>9</v>
      </c>
      <c r="D19406" s="2" t="s">
        <v>10</v>
      </c>
      <c r="E19406" s="2" t="str">
        <f>HYPERLINK("http://ts.21cn.com/tousu/show/id/1351383","http://ts.21cn.com/tousu/show/id/1351383")</f>
        <v>http://ts.21cn.com/tousu/show/id/1351383</v>
      </c>
      <c r="F19406" s="2" t="s">
        <v>11</v>
      </c>
      <c r="G19406" s="2" t="s">
        <v>6013</v>
      </c>
      <c r="H19406" s="2" t="s">
        <v>6014</v>
      </c>
    </row>
    <row r="19407" spans="1:8" ht="25.05" customHeight="1" x14ac:dyDescent="0.25">
      <c r="A19407" s="2" t="s">
        <v>8</v>
      </c>
      <c r="B19407" s="2" t="str">
        <f>HYPERLINK("http://ts.21cn.com/tousu/show/id/1351384","中金支付鸿飞担保无授权扣除我银行卡999元")</f>
        <v>中金支付鸿飞担保无授权扣除我银行卡999元</v>
      </c>
      <c r="C19407" s="2" t="s">
        <v>9</v>
      </c>
      <c r="D19407" s="2" t="s">
        <v>10</v>
      </c>
      <c r="E19407" s="2" t="str">
        <f>HYPERLINK("http://ts.21cn.com/tousu/show/id/1351384","http://ts.21cn.com/tousu/show/id/1351384")</f>
        <v>http://ts.21cn.com/tousu/show/id/1351384</v>
      </c>
      <c r="F19407" s="2" t="s">
        <v>11</v>
      </c>
      <c r="G19407" s="2" t="s">
        <v>6011</v>
      </c>
      <c r="H19407" s="2" t="s">
        <v>6012</v>
      </c>
    </row>
    <row r="19408" spans="1:8" ht="25.05" customHeight="1" x14ac:dyDescent="0.25">
      <c r="A19408" s="2" t="s">
        <v>8</v>
      </c>
      <c r="B19408" s="2" t="str">
        <f>HYPERLINK("http://ts.21cn.com/tousu/show/id/1351385","滴滴金融催收威胁到学校找我儿子")</f>
        <v>滴滴金融催收威胁到学校找我儿子</v>
      </c>
      <c r="C19408" s="2" t="s">
        <v>9</v>
      </c>
      <c r="D19408" s="2" t="s">
        <v>10</v>
      </c>
      <c r="E19408" s="2" t="str">
        <f>HYPERLINK("http://ts.21cn.com/tousu/show/id/1351385","http://ts.21cn.com/tousu/show/id/1351385")</f>
        <v>http://ts.21cn.com/tousu/show/id/1351385</v>
      </c>
      <c r="F19408" s="2" t="s">
        <v>11</v>
      </c>
      <c r="G19408" s="2" t="s">
        <v>6009</v>
      </c>
      <c r="H19408" s="2" t="s">
        <v>6010</v>
      </c>
    </row>
    <row r="19409" spans="1:8" ht="25.05" customHeight="1" x14ac:dyDescent="0.25">
      <c r="A19409" s="2" t="s">
        <v>8</v>
      </c>
      <c r="B19409" s="2" t="str">
        <f>HYPERLINK("http://ts.21cn.com/tousu/show/id/1351387","平安信用卡冻结我账户")</f>
        <v>平安信用卡冻结我账户</v>
      </c>
      <c r="C19409" s="2" t="s">
        <v>9</v>
      </c>
      <c r="D19409" s="2" t="s">
        <v>10</v>
      </c>
      <c r="E19409" s="2" t="str">
        <f>HYPERLINK("http://ts.21cn.com/tousu/show/id/1351387","http://ts.21cn.com/tousu/show/id/1351387")</f>
        <v>http://ts.21cn.com/tousu/show/id/1351387</v>
      </c>
      <c r="F19409" s="2" t="s">
        <v>11</v>
      </c>
      <c r="G19409" s="2" t="s">
        <v>6007</v>
      </c>
      <c r="H19409" s="2" t="s">
        <v>6008</v>
      </c>
    </row>
    <row r="19410" spans="1:8" ht="25.05" customHeight="1" x14ac:dyDescent="0.25">
      <c r="A19410" s="2" t="s">
        <v>8</v>
      </c>
      <c r="B19410" s="2" t="str">
        <f>HYPERLINK("http://ts.21cn.com/tousu/show/id/1351386","钱站高利贷阴阳合同")</f>
        <v>钱站高利贷阴阳合同</v>
      </c>
      <c r="C19410" s="2" t="s">
        <v>9</v>
      </c>
      <c r="D19410" s="2" t="s">
        <v>10</v>
      </c>
      <c r="E19410" s="2" t="str">
        <f>HYPERLINK("http://ts.21cn.com/tousu/show/id/1351386","http://ts.21cn.com/tousu/show/id/1351386")</f>
        <v>http://ts.21cn.com/tousu/show/id/1351386</v>
      </c>
      <c r="F19410" s="2" t="s">
        <v>11</v>
      </c>
      <c r="G19410" s="2" t="s">
        <v>6005</v>
      </c>
      <c r="H19410" s="2" t="s">
        <v>6006</v>
      </c>
    </row>
    <row r="19411" spans="1:8" ht="25.05" customHeight="1" x14ac:dyDescent="0.25">
      <c r="A19411" s="2" t="s">
        <v>8</v>
      </c>
      <c r="B19411" s="2" t="str">
        <f>HYPERLINK("http://ts.21cn.com/tousu/show/id/1351389","暴力恐吓催收")</f>
        <v>暴力恐吓催收</v>
      </c>
      <c r="C19411" s="2" t="s">
        <v>9</v>
      </c>
      <c r="D19411" s="2" t="s">
        <v>10</v>
      </c>
      <c r="E19411" s="2" t="str">
        <f>HYPERLINK("http://ts.21cn.com/tousu/show/id/1351389","http://ts.21cn.com/tousu/show/id/1351389")</f>
        <v>http://ts.21cn.com/tousu/show/id/1351389</v>
      </c>
      <c r="F19411" s="2" t="s">
        <v>11</v>
      </c>
      <c r="G19411" s="2" t="s">
        <v>6002</v>
      </c>
      <c r="H19411" s="2" t="s">
        <v>6003</v>
      </c>
    </row>
    <row r="19412" spans="1:8" ht="25.05" customHeight="1" x14ac:dyDescent="0.25">
      <c r="A19412" s="2" t="s">
        <v>8</v>
      </c>
      <c r="B19412" s="2" t="str">
        <f>HYPERLINK("http://ts.21cn.com/tousu/show/id/1351388","民航通虚假宣传，存在欺诈行为")</f>
        <v>民航通虚假宣传，存在欺诈行为</v>
      </c>
      <c r="C19412" s="2" t="s">
        <v>9</v>
      </c>
      <c r="D19412" s="2" t="s">
        <v>10</v>
      </c>
      <c r="E19412" s="2" t="str">
        <f>HYPERLINK("http://ts.21cn.com/tousu/show/id/1351388","http://ts.21cn.com/tousu/show/id/1351388")</f>
        <v>http://ts.21cn.com/tousu/show/id/1351388</v>
      </c>
      <c r="F19412" s="2" t="s">
        <v>11</v>
      </c>
      <c r="G19412" s="2" t="s">
        <v>6002</v>
      </c>
      <c r="H19412" s="2" t="s">
        <v>6004</v>
      </c>
    </row>
    <row r="19413" spans="1:8" ht="25.05" customHeight="1" x14ac:dyDescent="0.25">
      <c r="A19413" s="2" t="s">
        <v>8</v>
      </c>
      <c r="B19413" s="2" t="str">
        <f>HYPERLINK("http://ts.21cn.com/tousu/show/id/1351390","联通改套餐必须回归属地去改")</f>
        <v>联通改套餐必须回归属地去改</v>
      </c>
      <c r="C19413" s="2" t="s">
        <v>9</v>
      </c>
      <c r="D19413" s="2" t="s">
        <v>10</v>
      </c>
      <c r="E19413" s="2" t="str">
        <f>HYPERLINK("http://ts.21cn.com/tousu/show/id/1351390","http://ts.21cn.com/tousu/show/id/1351390")</f>
        <v>http://ts.21cn.com/tousu/show/id/1351390</v>
      </c>
      <c r="F19413" s="2" t="s">
        <v>11</v>
      </c>
      <c r="G19413" s="2" t="s">
        <v>6000</v>
      </c>
      <c r="H19413" s="2" t="s">
        <v>6001</v>
      </c>
    </row>
    <row r="19414" spans="1:8" ht="25.05" customHeight="1" x14ac:dyDescent="0.25">
      <c r="A19414" s="2" t="s">
        <v>8</v>
      </c>
      <c r="B19414" s="2" t="str">
        <f>HYPERLINK("http://ts.21cn.com/tousu/show/id/1351391","洋钱罐高利息违规收取服务费")</f>
        <v>洋钱罐高利息违规收取服务费</v>
      </c>
      <c r="C19414" s="2" t="s">
        <v>9</v>
      </c>
      <c r="D19414" s="2" t="s">
        <v>10</v>
      </c>
      <c r="E19414" s="2" t="str">
        <f>HYPERLINK("http://ts.21cn.com/tousu/show/id/1351391","http://ts.21cn.com/tousu/show/id/1351391")</f>
        <v>http://ts.21cn.com/tousu/show/id/1351391</v>
      </c>
      <c r="F19414" s="2" t="s">
        <v>11</v>
      </c>
      <c r="G19414" s="2" t="s">
        <v>5998</v>
      </c>
      <c r="H19414" s="2" t="s">
        <v>5999</v>
      </c>
    </row>
    <row r="19415" spans="1:8" ht="25.05" customHeight="1" x14ac:dyDescent="0.25">
      <c r="A19415" s="2" t="s">
        <v>8</v>
      </c>
      <c r="B19415" s="2" t="str">
        <f>HYPERLINK("http://ts.21cn.com/tousu/show/id/1351392","青岛交运行退票不退款")</f>
        <v>青岛交运行退票不退款</v>
      </c>
      <c r="C19415" s="2" t="s">
        <v>9</v>
      </c>
      <c r="D19415" s="2" t="s">
        <v>10</v>
      </c>
      <c r="E19415" s="2" t="str">
        <f>HYPERLINK("http://ts.21cn.com/tousu/show/id/1351392","http://ts.21cn.com/tousu/show/id/1351392")</f>
        <v>http://ts.21cn.com/tousu/show/id/1351392</v>
      </c>
      <c r="F19415" s="2" t="s">
        <v>11</v>
      </c>
      <c r="G19415" s="2" t="s">
        <v>5996</v>
      </c>
      <c r="H19415" s="2" t="s">
        <v>5997</v>
      </c>
    </row>
    <row r="19416" spans="1:8" ht="25.05" customHeight="1" x14ac:dyDescent="0.25">
      <c r="A19416" s="2" t="s">
        <v>8</v>
      </c>
      <c r="B19416" s="2" t="str">
        <f>HYPERLINK("http://ts.21cn.com/tousu/show/id/1351393","投诉闪送客服网名闪小小的客服")</f>
        <v>投诉闪送客服网名闪小小的客服</v>
      </c>
      <c r="C19416" s="2" t="s">
        <v>9</v>
      </c>
      <c r="D19416" s="2" t="s">
        <v>10</v>
      </c>
      <c r="E19416" s="2" t="str">
        <f>HYPERLINK("http://ts.21cn.com/tousu/show/id/1351393","http://ts.21cn.com/tousu/show/id/1351393")</f>
        <v>http://ts.21cn.com/tousu/show/id/1351393</v>
      </c>
      <c r="F19416" s="2" t="s">
        <v>11</v>
      </c>
      <c r="G19416" s="2" t="s">
        <v>5994</v>
      </c>
      <c r="H19416" s="2" t="s">
        <v>5995</v>
      </c>
    </row>
    <row r="19417" spans="1:8" ht="25.05" customHeight="1" x14ac:dyDescent="0.25">
      <c r="A19417" s="2" t="s">
        <v>8</v>
      </c>
      <c r="B19417" s="2" t="str">
        <f>HYPERLINK("http://ts.21cn.com/tousu/show/id/1351394","震泰武术培训班满一年不履行合同退款")</f>
        <v>震泰武术培训班满一年不履行合同退款</v>
      </c>
      <c r="C19417" s="2" t="s">
        <v>9</v>
      </c>
      <c r="D19417" s="2" t="s">
        <v>10</v>
      </c>
      <c r="E19417" s="2" t="str">
        <f>HYPERLINK("http://ts.21cn.com/tousu/show/id/1351394","http://ts.21cn.com/tousu/show/id/1351394")</f>
        <v>http://ts.21cn.com/tousu/show/id/1351394</v>
      </c>
      <c r="F19417" s="2" t="s">
        <v>11</v>
      </c>
      <c r="G19417" s="2" t="s">
        <v>5992</v>
      </c>
      <c r="H19417" s="2" t="s">
        <v>5993</v>
      </c>
    </row>
    <row r="19418" spans="1:8" ht="25.05" customHeight="1" x14ac:dyDescent="0.25">
      <c r="A19418" s="2" t="s">
        <v>8</v>
      </c>
      <c r="B19418" s="2" t="str">
        <f>HYPERLINK("http://ts.21cn.com/tousu/show/id/1351395","卡卡贷迟迟不放款")</f>
        <v>卡卡贷迟迟不放款</v>
      </c>
      <c r="C19418" s="2" t="s">
        <v>9</v>
      </c>
      <c r="D19418" s="2" t="s">
        <v>10</v>
      </c>
      <c r="E19418" s="2" t="str">
        <f>HYPERLINK("http://ts.21cn.com/tousu/show/id/1351395","http://ts.21cn.com/tousu/show/id/1351395")</f>
        <v>http://ts.21cn.com/tousu/show/id/1351395</v>
      </c>
      <c r="F19418" s="2" t="s">
        <v>11</v>
      </c>
      <c r="G19418" s="2" t="s">
        <v>5990</v>
      </c>
      <c r="H19418" s="2" t="s">
        <v>5991</v>
      </c>
    </row>
    <row r="19419" spans="1:8" ht="25.05" customHeight="1" x14ac:dyDescent="0.25">
      <c r="A19419" s="2" t="s">
        <v>8</v>
      </c>
      <c r="B19419" s="2" t="str">
        <f>HYPERLINK("http://ts.21cn.com/tousu/show/id/1351396","豹子贷恶意扣款")</f>
        <v>豹子贷恶意扣款</v>
      </c>
      <c r="C19419" s="2" t="s">
        <v>9</v>
      </c>
      <c r="D19419" s="2" t="s">
        <v>10</v>
      </c>
      <c r="E19419" s="2" t="str">
        <f>HYPERLINK("http://ts.21cn.com/tousu/show/id/1351396","http://ts.21cn.com/tousu/show/id/1351396")</f>
        <v>http://ts.21cn.com/tousu/show/id/1351396</v>
      </c>
      <c r="F19419" s="2" t="s">
        <v>11</v>
      </c>
      <c r="G19419" s="2" t="s">
        <v>5988</v>
      </c>
      <c r="H19419" s="2" t="s">
        <v>5989</v>
      </c>
    </row>
    <row r="19420" spans="1:8" ht="25.05" customHeight="1" x14ac:dyDescent="0.25">
      <c r="A19420" s="2" t="s">
        <v>8</v>
      </c>
      <c r="B19420" s="2" t="str">
        <f>HYPERLINK("http://ts.21cn.com/tousu/show/id/1351397","时光分期砍头息")</f>
        <v>时光分期砍头息</v>
      </c>
      <c r="C19420" s="2" t="s">
        <v>9</v>
      </c>
      <c r="D19420" s="2" t="s">
        <v>10</v>
      </c>
      <c r="E19420" s="2" t="str">
        <f>HYPERLINK("http://ts.21cn.com/tousu/show/id/1351397","http://ts.21cn.com/tousu/show/id/1351397")</f>
        <v>http://ts.21cn.com/tousu/show/id/1351397</v>
      </c>
      <c r="F19420" s="2" t="s">
        <v>11</v>
      </c>
      <c r="G19420" s="2" t="s">
        <v>5986</v>
      </c>
      <c r="H19420" s="2" t="s">
        <v>5987</v>
      </c>
    </row>
    <row r="19421" spans="1:8" ht="25.05" customHeight="1" x14ac:dyDescent="0.25">
      <c r="A19421" s="2" t="s">
        <v>8</v>
      </c>
      <c r="B19421" s="2" t="str">
        <f>HYPERLINK("http://ts.21cn.com/tousu/show/id/1351398","新浪微博借款利息高达36％还不能提前还款")</f>
        <v>新浪微博借款利息高达36％还不能提前还款</v>
      </c>
      <c r="C19421" s="2" t="s">
        <v>34</v>
      </c>
      <c r="D19421" s="2" t="s">
        <v>10</v>
      </c>
      <c r="E19421" s="2" t="str">
        <f>HYPERLINK("http://ts.21cn.com/tousu/show/id/1351398","http://ts.21cn.com/tousu/show/id/1351398")</f>
        <v>http://ts.21cn.com/tousu/show/id/1351398</v>
      </c>
      <c r="F19421" s="2" t="s">
        <v>11</v>
      </c>
      <c r="G19421" s="2" t="s">
        <v>5984</v>
      </c>
      <c r="H19421" s="2" t="s">
        <v>5985</v>
      </c>
    </row>
    <row r="19422" spans="1:8" ht="25.05" customHeight="1" x14ac:dyDescent="0.25">
      <c r="A19422" s="2" t="s">
        <v>8</v>
      </c>
      <c r="B19422" s="2" t="str">
        <f>HYPERLINK("http://ts.21cn.com/tousu/show/id/1351399","滴滴公司拒不提供行程单")</f>
        <v>滴滴公司拒不提供行程单</v>
      </c>
      <c r="C19422" s="2" t="s">
        <v>9</v>
      </c>
      <c r="D19422" s="2" t="s">
        <v>10</v>
      </c>
      <c r="E19422" s="2" t="str">
        <f>HYPERLINK("http://ts.21cn.com/tousu/show/id/1351399","http://ts.21cn.com/tousu/show/id/1351399")</f>
        <v>http://ts.21cn.com/tousu/show/id/1351399</v>
      </c>
      <c r="F19422" s="2" t="s">
        <v>11</v>
      </c>
      <c r="G19422" s="2" t="s">
        <v>5982</v>
      </c>
      <c r="H19422" s="2" t="s">
        <v>5983</v>
      </c>
    </row>
    <row r="19423" spans="1:8" ht="25.05" customHeight="1" x14ac:dyDescent="0.25">
      <c r="A19423" s="2" t="s">
        <v>8</v>
      </c>
      <c r="B19423" s="2" t="str">
        <f>HYPERLINK("http://ts.21cn.com/tousu/show/id/1351402","广东明途律师事务所违法催收！多次电话污蔑！恐吓！多次打恐吓电话骚扰通信录上的联系人！多次排出社会人士上门张贴威胁信！")</f>
        <v>广东明途律师事务所违法催收！多次电话污蔑！恐吓！多次打恐吓电话骚扰通信录上的联系人！多次排出社会人士上门张贴威胁信！</v>
      </c>
      <c r="C19423" s="2" t="s">
        <v>9</v>
      </c>
      <c r="D19423" s="2" t="s">
        <v>10</v>
      </c>
      <c r="E19423" s="2" t="str">
        <f>HYPERLINK("http://ts.21cn.com/tousu/show/id/1351402","http://ts.21cn.com/tousu/show/id/1351402")</f>
        <v>http://ts.21cn.com/tousu/show/id/1351402</v>
      </c>
      <c r="F19423" s="2" t="s">
        <v>11</v>
      </c>
      <c r="G19423" s="2" t="s">
        <v>5980</v>
      </c>
      <c r="H19423" s="2" t="s">
        <v>5981</v>
      </c>
    </row>
    <row r="19424" spans="1:8" ht="25.05" customHeight="1" x14ac:dyDescent="0.25">
      <c r="A19424" s="2" t="s">
        <v>8</v>
      </c>
      <c r="B19424" s="2" t="str">
        <f>HYPERLINK("http://ts.21cn.com/tousu/show/id/1351401","钱站高利贷阴阳合同")</f>
        <v>钱站高利贷阴阳合同</v>
      </c>
      <c r="C19424" s="2" t="s">
        <v>9</v>
      </c>
      <c r="D19424" s="2" t="s">
        <v>10</v>
      </c>
      <c r="E19424" s="2" t="str">
        <f>HYPERLINK("http://ts.21cn.com/tousu/show/id/1351401","http://ts.21cn.com/tousu/show/id/1351401")</f>
        <v>http://ts.21cn.com/tousu/show/id/1351401</v>
      </c>
      <c r="F19424" s="2" t="s">
        <v>11</v>
      </c>
      <c r="G19424" s="2" t="s">
        <v>5978</v>
      </c>
      <c r="H19424" s="2" t="s">
        <v>5979</v>
      </c>
    </row>
    <row r="19425" spans="1:8" ht="25.05" customHeight="1" x14ac:dyDescent="0.25">
      <c r="A19425" s="2" t="s">
        <v>8</v>
      </c>
      <c r="B19425" s="2" t="str">
        <f>HYPERLINK("http://ts.21cn.com/tousu/show/id/1351403","东莞市轻奢维体健身房第二次无缘无故关门，老板跑路")</f>
        <v>东莞市轻奢维体健身房第二次无缘无故关门，老板跑路</v>
      </c>
      <c r="C19425" s="2" t="s">
        <v>9</v>
      </c>
      <c r="D19425" s="2" t="s">
        <v>10</v>
      </c>
      <c r="E19425" s="2" t="str">
        <f>HYPERLINK("http://ts.21cn.com/tousu/show/id/1351403","http://ts.21cn.com/tousu/show/id/1351403")</f>
        <v>http://ts.21cn.com/tousu/show/id/1351403</v>
      </c>
      <c r="F19425" s="2" t="s">
        <v>11</v>
      </c>
      <c r="G19425" s="2" t="s">
        <v>5976</v>
      </c>
      <c r="H19425" s="2" t="s">
        <v>5977</v>
      </c>
    </row>
    <row r="19426" spans="1:8" ht="25.05" customHeight="1" x14ac:dyDescent="0.25">
      <c r="A19426" s="2" t="s">
        <v>8</v>
      </c>
      <c r="B19426" s="2" t="str">
        <f>HYPERLINK("http://ts.21cn.com/tousu/show/id/1351404","马上金融恶意收费")</f>
        <v>马上金融恶意收费</v>
      </c>
      <c r="C19426" s="2" t="s">
        <v>9</v>
      </c>
      <c r="D19426" s="2" t="s">
        <v>10</v>
      </c>
      <c r="E19426" s="2" t="str">
        <f>HYPERLINK("http://ts.21cn.com/tousu/show/id/1351404","http://ts.21cn.com/tousu/show/id/1351404")</f>
        <v>http://ts.21cn.com/tousu/show/id/1351404</v>
      </c>
      <c r="F19426" s="2" t="s">
        <v>11</v>
      </c>
      <c r="G19426" s="2" t="s">
        <v>5973</v>
      </c>
      <c r="H19426" s="2" t="s">
        <v>5974</v>
      </c>
    </row>
    <row r="19427" spans="1:8" ht="25.05" customHeight="1" x14ac:dyDescent="0.25">
      <c r="A19427" s="2" t="s">
        <v>8</v>
      </c>
      <c r="B19427" s="2" t="str">
        <f>HYPERLINK("http://ts.21cn.com/tousu/show/id/1351405","微博暴力催收协商后爆通讯录")</f>
        <v>微博暴力催收协商后爆通讯录</v>
      </c>
      <c r="C19427" s="2" t="s">
        <v>9</v>
      </c>
      <c r="D19427" s="2" t="s">
        <v>10</v>
      </c>
      <c r="E19427" s="2" t="str">
        <f>HYPERLINK("http://ts.21cn.com/tousu/show/id/1351405","http://ts.21cn.com/tousu/show/id/1351405")</f>
        <v>http://ts.21cn.com/tousu/show/id/1351405</v>
      </c>
      <c r="F19427" s="2" t="s">
        <v>11</v>
      </c>
      <c r="G19427" s="2" t="s">
        <v>5971</v>
      </c>
      <c r="H19427" s="2" t="s">
        <v>5972</v>
      </c>
    </row>
    <row r="19428" spans="1:8" ht="25.05" customHeight="1" x14ac:dyDescent="0.25">
      <c r="A19428" s="2" t="s">
        <v>8</v>
      </c>
      <c r="B19428" s="2" t="str">
        <f>HYPERLINK("http://ts.21cn.com/tousu/show/id/1351406","51人品贷是陷阱网贷，提前还款收取高额费用")</f>
        <v>51人品贷是陷阱网贷，提前还款收取高额费用</v>
      </c>
      <c r="C19428" s="2" t="s">
        <v>9</v>
      </c>
      <c r="D19428" s="2" t="s">
        <v>10</v>
      </c>
      <c r="E19428" s="2" t="str">
        <f>HYPERLINK("http://ts.21cn.com/tousu/show/id/1351406","http://ts.21cn.com/tousu/show/id/1351406")</f>
        <v>http://ts.21cn.com/tousu/show/id/1351406</v>
      </c>
      <c r="F19428" s="2" t="s">
        <v>11</v>
      </c>
      <c r="G19428" s="2" t="s">
        <v>5969</v>
      </c>
      <c r="H19428" s="2" t="s">
        <v>5970</v>
      </c>
    </row>
    <row r="19429" spans="1:8" ht="25.05" customHeight="1" x14ac:dyDescent="0.25">
      <c r="A19429" s="2" t="s">
        <v>8</v>
      </c>
      <c r="B19429" s="2" t="str">
        <f>HYPERLINK("http://ts.21cn.com/tousu/show/id/1351407","滴滴又开始坑人")</f>
        <v>滴滴又开始坑人</v>
      </c>
      <c r="C19429" s="2" t="s">
        <v>9</v>
      </c>
      <c r="D19429" s="2" t="s">
        <v>10</v>
      </c>
      <c r="E19429" s="2" t="str">
        <f>HYPERLINK("http://ts.21cn.com/tousu/show/id/1351407","http://ts.21cn.com/tousu/show/id/1351407")</f>
        <v>http://ts.21cn.com/tousu/show/id/1351407</v>
      </c>
      <c r="F19429" s="2" t="s">
        <v>11</v>
      </c>
      <c r="G19429" s="2" t="s">
        <v>5967</v>
      </c>
      <c r="H19429" s="2" t="s">
        <v>5968</v>
      </c>
    </row>
    <row r="19430" spans="1:8" ht="25.05" customHeight="1" x14ac:dyDescent="0.25">
      <c r="A19430" s="2" t="s">
        <v>8</v>
      </c>
      <c r="B19430" s="2" t="str">
        <f>HYPERLINK("http://ts.21cn.com/tousu/show/id/1351409","爱又米请退a+会员费199")</f>
        <v>爱又米请退a+会员费199</v>
      </c>
      <c r="C19430" s="2" t="s">
        <v>9</v>
      </c>
      <c r="D19430" s="2" t="s">
        <v>10</v>
      </c>
      <c r="E19430" s="2" t="str">
        <f>HYPERLINK("http://ts.21cn.com/tousu/show/id/1351409","http://ts.21cn.com/tousu/show/id/1351409")</f>
        <v>http://ts.21cn.com/tousu/show/id/1351409</v>
      </c>
      <c r="F19430" s="2" t="s">
        <v>11</v>
      </c>
      <c r="G19430" s="2" t="s">
        <v>5965</v>
      </c>
      <c r="H19430" s="2" t="s">
        <v>5966</v>
      </c>
    </row>
    <row r="19431" spans="1:8" ht="25.05" customHeight="1" x14ac:dyDescent="0.25">
      <c r="A19431" s="2" t="s">
        <v>8</v>
      </c>
      <c r="B19431" s="2" t="str">
        <f>HYPERLINK("http://ts.21cn.com/tousu/show/id/1351411","中腾信暴力催收")</f>
        <v>中腾信暴力催收</v>
      </c>
      <c r="C19431" s="2" t="s">
        <v>9</v>
      </c>
      <c r="D19431" s="2" t="s">
        <v>10</v>
      </c>
      <c r="E19431" s="2" t="str">
        <f>HYPERLINK("http://ts.21cn.com/tousu/show/id/1351411","http://ts.21cn.com/tousu/show/id/1351411")</f>
        <v>http://ts.21cn.com/tousu/show/id/1351411</v>
      </c>
      <c r="F19431" s="2" t="s">
        <v>11</v>
      </c>
      <c r="G19431" s="2" t="s">
        <v>5963</v>
      </c>
      <c r="H19431" s="2" t="s">
        <v>5964</v>
      </c>
    </row>
    <row r="19432" spans="1:8" ht="25.05" customHeight="1" x14ac:dyDescent="0.25">
      <c r="A19432" s="2" t="s">
        <v>8</v>
      </c>
      <c r="B19432" s="2" t="str">
        <f>HYPERLINK("http://ts.21cn.com/tousu/show/id/1351410","360借条高额利息提前结清不免息")</f>
        <v>360借条高额利息提前结清不免息</v>
      </c>
      <c r="C19432" s="2" t="s">
        <v>34</v>
      </c>
      <c r="D19432" s="2" t="s">
        <v>10</v>
      </c>
      <c r="E19432" s="2" t="str">
        <f>HYPERLINK("http://ts.21cn.com/tousu/show/id/1351410","http://ts.21cn.com/tousu/show/id/1351410")</f>
        <v>http://ts.21cn.com/tousu/show/id/1351410</v>
      </c>
      <c r="F19432" s="2" t="s">
        <v>11</v>
      </c>
      <c r="G19432" s="2" t="s">
        <v>5961</v>
      </c>
      <c r="H19432" s="2" t="s">
        <v>5962</v>
      </c>
    </row>
    <row r="19433" spans="1:8" ht="25.05" customHeight="1" x14ac:dyDescent="0.25">
      <c r="A19433" s="2" t="s">
        <v>8</v>
      </c>
      <c r="B19433" s="2" t="str">
        <f>HYPERLINK("http://ts.21cn.com/tousu/show/id/1351412","乱扣费")</f>
        <v>乱扣费</v>
      </c>
      <c r="C19433" s="2" t="s">
        <v>9</v>
      </c>
      <c r="D19433" s="2" t="s">
        <v>10</v>
      </c>
      <c r="E19433" s="2" t="str">
        <f>HYPERLINK("http://ts.21cn.com/tousu/show/id/1351412","http://ts.21cn.com/tousu/show/id/1351412")</f>
        <v>http://ts.21cn.com/tousu/show/id/1351412</v>
      </c>
      <c r="F19433" s="2" t="s">
        <v>11</v>
      </c>
      <c r="G19433" s="2" t="s">
        <v>5959</v>
      </c>
      <c r="H19433" s="2" t="s">
        <v>5960</v>
      </c>
    </row>
    <row r="19434" spans="1:8" ht="25.05" customHeight="1" x14ac:dyDescent="0.25">
      <c r="A19434" s="2" t="s">
        <v>8</v>
      </c>
      <c r="B19434" s="2" t="str">
        <f>HYPERLINK("http://ts.21cn.com/tousu/show/id/1351415","砍头息担保费、服务咨询费、催收威胁")</f>
        <v>砍头息担保费、服务咨询费、催收威胁</v>
      </c>
      <c r="C19434" s="2" t="s">
        <v>9</v>
      </c>
      <c r="D19434" s="2" t="s">
        <v>10</v>
      </c>
      <c r="E19434" s="2" t="str">
        <f>HYPERLINK("http://ts.21cn.com/tousu/show/id/1351415","http://ts.21cn.com/tousu/show/id/1351415")</f>
        <v>http://ts.21cn.com/tousu/show/id/1351415</v>
      </c>
      <c r="F19434" s="2" t="s">
        <v>11</v>
      </c>
      <c r="G19434" s="2" t="s">
        <v>5957</v>
      </c>
      <c r="H19434" s="2" t="s">
        <v>5958</v>
      </c>
    </row>
    <row r="19435" spans="1:8" ht="25.05" customHeight="1" x14ac:dyDescent="0.25">
      <c r="A19435" s="2" t="s">
        <v>8</v>
      </c>
      <c r="B19435" s="2" t="str">
        <f>HYPERLINK("http://ts.21cn.com/tousu/show/id/1351413","马上消费金融利息高，不协商还款，催收冒充律师")</f>
        <v>马上消费金融利息高，不协商还款，催收冒充律师</v>
      </c>
      <c r="C19435" s="2" t="s">
        <v>9</v>
      </c>
      <c r="D19435" s="2" t="s">
        <v>10</v>
      </c>
      <c r="E19435" s="2" t="str">
        <f>HYPERLINK("http://ts.21cn.com/tousu/show/id/1351413","http://ts.21cn.com/tousu/show/id/1351413")</f>
        <v>http://ts.21cn.com/tousu/show/id/1351413</v>
      </c>
      <c r="F19435" s="2" t="s">
        <v>11</v>
      </c>
      <c r="G19435" s="2" t="s">
        <v>5955</v>
      </c>
      <c r="H19435" s="2" t="s">
        <v>5956</v>
      </c>
    </row>
    <row r="19436" spans="1:8" ht="25.05" customHeight="1" x14ac:dyDescent="0.25">
      <c r="A19436" s="2" t="s">
        <v>8</v>
      </c>
      <c r="B19436" s="2" t="str">
        <f>HYPERLINK("http://ts.21cn.com/tousu/show/id/1351414","捷信拒绝给用户销户")</f>
        <v>捷信拒绝给用户销户</v>
      </c>
      <c r="C19436" s="2" t="s">
        <v>34</v>
      </c>
      <c r="D19436" s="2" t="s">
        <v>10</v>
      </c>
      <c r="E19436" s="2" t="str">
        <f>HYPERLINK("http://ts.21cn.com/tousu/show/id/1351414","http://ts.21cn.com/tousu/show/id/1351414")</f>
        <v>http://ts.21cn.com/tousu/show/id/1351414</v>
      </c>
      <c r="F19436" s="2" t="s">
        <v>11</v>
      </c>
      <c r="G19436" s="2" t="s">
        <v>5953</v>
      </c>
      <c r="H19436" s="2" t="s">
        <v>5954</v>
      </c>
    </row>
    <row r="19437" spans="1:8" ht="25.05" customHeight="1" x14ac:dyDescent="0.25">
      <c r="A19437" s="2" t="s">
        <v>8</v>
      </c>
      <c r="B19437" s="2" t="str">
        <f>HYPERLINK("http://ts.21cn.com/tousu/show/id/1351420","有货app系统给我取消订单把我钱赔给商家")</f>
        <v>有货app系统给我取消订单把我钱赔给商家</v>
      </c>
      <c r="C19437" s="2" t="s">
        <v>34</v>
      </c>
      <c r="D19437" s="2" t="s">
        <v>10</v>
      </c>
      <c r="E19437" s="2" t="str">
        <f>HYPERLINK("http://ts.21cn.com/tousu/show/id/1351420","http://ts.21cn.com/tousu/show/id/1351420")</f>
        <v>http://ts.21cn.com/tousu/show/id/1351420</v>
      </c>
      <c r="F19437" s="2" t="s">
        <v>11</v>
      </c>
      <c r="G19437" s="2" t="s">
        <v>5951</v>
      </c>
      <c r="H19437" s="2" t="s">
        <v>5952</v>
      </c>
    </row>
    <row r="19438" spans="1:8" ht="25.05" customHeight="1" x14ac:dyDescent="0.25">
      <c r="A19438" s="2" t="s">
        <v>8</v>
      </c>
      <c r="B19438" s="2" t="str">
        <f>HYPERLINK("http://ts.21cn.com/tousu/show/id/1351416","我这微信啥也没干就给我封了8天")</f>
        <v>我这微信啥也没干就给我封了8天</v>
      </c>
      <c r="C19438" s="2" t="s">
        <v>9</v>
      </c>
      <c r="D19438" s="2" t="s">
        <v>10</v>
      </c>
      <c r="E19438" s="2" t="str">
        <f>HYPERLINK("http://ts.21cn.com/tousu/show/id/1351416","http://ts.21cn.com/tousu/show/id/1351416")</f>
        <v>http://ts.21cn.com/tousu/show/id/1351416</v>
      </c>
      <c r="F19438" s="2" t="s">
        <v>11</v>
      </c>
      <c r="G19438" s="2" t="s">
        <v>5949</v>
      </c>
      <c r="H19438" s="2" t="s">
        <v>5950</v>
      </c>
    </row>
    <row r="19439" spans="1:8" ht="25.05" customHeight="1" x14ac:dyDescent="0.25">
      <c r="A19439" s="2" t="s">
        <v>8</v>
      </c>
      <c r="B19439" s="2" t="str">
        <f>HYPERLINK("http://ts.21cn.com/tousu/show/id/1351358","银盛支付业务员未返还pos机押金")</f>
        <v>银盛支付业务员未返还pos机押金</v>
      </c>
      <c r="C19439" s="2" t="s">
        <v>34</v>
      </c>
      <c r="D19439" s="2" t="s">
        <v>10</v>
      </c>
      <c r="E19439" s="2" t="str">
        <f>HYPERLINK("http://ts.21cn.com/tousu/show/id/1351358","http://ts.21cn.com/tousu/show/id/1351358")</f>
        <v>http://ts.21cn.com/tousu/show/id/1351358</v>
      </c>
      <c r="F19439" s="2" t="s">
        <v>11</v>
      </c>
      <c r="G19439" s="2" t="s">
        <v>5947</v>
      </c>
      <c r="H19439" s="2" t="s">
        <v>5948</v>
      </c>
    </row>
    <row r="19440" spans="1:8" ht="25.05" customHeight="1" x14ac:dyDescent="0.25">
      <c r="A19440" s="2" t="s">
        <v>8</v>
      </c>
      <c r="B19440" s="2" t="str">
        <f>HYPERLINK("http://ts.21cn.com/tousu/show/id/1351417","莫名被扣100元")</f>
        <v>莫名被扣100元</v>
      </c>
      <c r="C19440" s="2" t="s">
        <v>34</v>
      </c>
      <c r="D19440" s="2" t="s">
        <v>10</v>
      </c>
      <c r="E19440" s="2" t="str">
        <f>HYPERLINK("http://ts.21cn.com/tousu/show/id/1351417","http://ts.21cn.com/tousu/show/id/1351417")</f>
        <v>http://ts.21cn.com/tousu/show/id/1351417</v>
      </c>
      <c r="F19440" s="2" t="s">
        <v>11</v>
      </c>
      <c r="G19440" s="2" t="s">
        <v>5945</v>
      </c>
      <c r="H19440" s="2" t="s">
        <v>5946</v>
      </c>
    </row>
    <row r="19441" spans="1:8" ht="25.05" customHeight="1" x14ac:dyDescent="0.25">
      <c r="A19441" s="2" t="s">
        <v>8</v>
      </c>
      <c r="B19441" s="2" t="str">
        <f>HYPERLINK("http://ts.21cn.com/tousu/show/id/1351419","7天高利贷收取高额砍头息")</f>
        <v>7天高利贷收取高额砍头息</v>
      </c>
      <c r="C19441" s="2" t="s">
        <v>9</v>
      </c>
      <c r="D19441" s="2" t="s">
        <v>10</v>
      </c>
      <c r="E19441" s="2" t="str">
        <f>HYPERLINK("http://ts.21cn.com/tousu/show/id/1351419","http://ts.21cn.com/tousu/show/id/1351419")</f>
        <v>http://ts.21cn.com/tousu/show/id/1351419</v>
      </c>
      <c r="F19441" s="2" t="s">
        <v>11</v>
      </c>
      <c r="G19441" s="2" t="s">
        <v>5943</v>
      </c>
      <c r="H19441" s="2" t="s">
        <v>5944</v>
      </c>
    </row>
    <row r="19442" spans="1:8" ht="25.05" customHeight="1" x14ac:dyDescent="0.25">
      <c r="A19442" s="2" t="s">
        <v>8</v>
      </c>
      <c r="B19442" s="2" t="str">
        <f>HYPERLINK("http://ts.21cn.com/tousu/show/id/1351418","及贷息超过百分36红线，还恶劣催收")</f>
        <v>及贷息超过百分36红线，还恶劣催收</v>
      </c>
      <c r="C19442" s="2" t="s">
        <v>9</v>
      </c>
      <c r="D19442" s="2" t="s">
        <v>10</v>
      </c>
      <c r="E19442" s="2" t="str">
        <f>HYPERLINK("http://ts.21cn.com/tousu/show/id/1351418","http://ts.21cn.com/tousu/show/id/1351418")</f>
        <v>http://ts.21cn.com/tousu/show/id/1351418</v>
      </c>
      <c r="F19442" s="2" t="s">
        <v>11</v>
      </c>
      <c r="G19442" s="2" t="s">
        <v>5941</v>
      </c>
      <c r="H19442" s="2" t="s">
        <v>5942</v>
      </c>
    </row>
    <row r="19443" spans="1:8" ht="25.05" customHeight="1" x14ac:dyDescent="0.25">
      <c r="A19443" s="2" t="s">
        <v>8</v>
      </c>
      <c r="B19443" s="2" t="str">
        <f>HYPERLINK("http://ts.21cn.com/tousu/show/id/1351422","淘集集不给退保证金")</f>
        <v>淘集集不给退保证金</v>
      </c>
      <c r="C19443" s="2" t="s">
        <v>9</v>
      </c>
      <c r="D19443" s="2" t="s">
        <v>10</v>
      </c>
      <c r="E19443" s="2" t="str">
        <f>HYPERLINK("http://ts.21cn.com/tousu/show/id/1351422","http://ts.21cn.com/tousu/show/id/1351422")</f>
        <v>http://ts.21cn.com/tousu/show/id/1351422</v>
      </c>
      <c r="F19443" s="2" t="s">
        <v>11</v>
      </c>
      <c r="G19443" s="2" t="s">
        <v>5939</v>
      </c>
      <c r="H19443" s="2" t="s">
        <v>5940</v>
      </c>
    </row>
    <row r="19444" spans="1:8" ht="25.05" customHeight="1" x14ac:dyDescent="0.25">
      <c r="A19444" s="2" t="s">
        <v>8</v>
      </c>
      <c r="B19444" s="2" t="str">
        <f>HYPERLINK("http://ts.21cn.com/tousu/show/id/1351421","京东乱扣钱")</f>
        <v>京东乱扣钱</v>
      </c>
      <c r="C19444" s="2" t="s">
        <v>9</v>
      </c>
      <c r="D19444" s="2" t="s">
        <v>10</v>
      </c>
      <c r="E19444" s="2" t="str">
        <f>HYPERLINK("http://ts.21cn.com/tousu/show/id/1351421","http://ts.21cn.com/tousu/show/id/1351421")</f>
        <v>http://ts.21cn.com/tousu/show/id/1351421</v>
      </c>
      <c r="F19444" s="2" t="s">
        <v>11</v>
      </c>
      <c r="G19444" s="2" t="s">
        <v>5937</v>
      </c>
      <c r="H19444" s="2" t="s">
        <v>5938</v>
      </c>
    </row>
    <row r="19445" spans="1:8" ht="25.05" customHeight="1" x14ac:dyDescent="0.25">
      <c r="A19445" s="2" t="s">
        <v>8</v>
      </c>
      <c r="B19445" s="2" t="str">
        <f>HYPERLINK("http://ts.21cn.com/tousu/show/id/1351423","中腾信暴力催收")</f>
        <v>中腾信暴力催收</v>
      </c>
      <c r="C19445" s="2" t="s">
        <v>9</v>
      </c>
      <c r="D19445" s="2" t="s">
        <v>10</v>
      </c>
      <c r="E19445" s="2" t="str">
        <f>HYPERLINK("http://ts.21cn.com/tousu/show/id/1351423","http://ts.21cn.com/tousu/show/id/1351423")</f>
        <v>http://ts.21cn.com/tousu/show/id/1351423</v>
      </c>
      <c r="F19445" s="2" t="s">
        <v>11</v>
      </c>
      <c r="G19445" s="2" t="s">
        <v>5935</v>
      </c>
      <c r="H19445" s="2" t="s">
        <v>5936</v>
      </c>
    </row>
    <row r="19446" spans="1:8" ht="25.05" customHeight="1" x14ac:dyDescent="0.25">
      <c r="A19446" s="2" t="s">
        <v>8</v>
      </c>
      <c r="B19446" s="2" t="str">
        <f>HYPERLINK("http://ts.21cn.com/tousu/show/id/1351424","玖富万卡高利贷无力偿还协商还款")</f>
        <v>玖富万卡高利贷无力偿还协商还款</v>
      </c>
      <c r="C19446" s="2" t="s">
        <v>9</v>
      </c>
      <c r="D19446" s="2" t="s">
        <v>10</v>
      </c>
      <c r="E19446" s="2" t="str">
        <f>HYPERLINK("http://ts.21cn.com/tousu/show/id/1351424","http://ts.21cn.com/tousu/show/id/1351424")</f>
        <v>http://ts.21cn.com/tousu/show/id/1351424</v>
      </c>
      <c r="F19446" s="2" t="s">
        <v>11</v>
      </c>
      <c r="G19446" s="2" t="s">
        <v>5933</v>
      </c>
      <c r="H19446" s="2" t="s">
        <v>5934</v>
      </c>
    </row>
    <row r="19447" spans="1:8" ht="25.05" customHeight="1" x14ac:dyDescent="0.25">
      <c r="A19447" s="2" t="s">
        <v>8</v>
      </c>
      <c r="B19447" s="2" t="str">
        <f>HYPERLINK("http://ts.21cn.com/tousu/show/id/1351425","建行快贷有额度无法贷出")</f>
        <v>建行快贷有额度无法贷出</v>
      </c>
      <c r="C19447" s="2" t="s">
        <v>9</v>
      </c>
      <c r="D19447" s="2" t="s">
        <v>10</v>
      </c>
      <c r="E19447" s="2" t="str">
        <f>HYPERLINK("http://ts.21cn.com/tousu/show/id/1351425","http://ts.21cn.com/tousu/show/id/1351425")</f>
        <v>http://ts.21cn.com/tousu/show/id/1351425</v>
      </c>
      <c r="F19447" s="2" t="s">
        <v>11</v>
      </c>
      <c r="G19447" s="2" t="s">
        <v>5931</v>
      </c>
      <c r="H19447" s="2" t="s">
        <v>5932</v>
      </c>
    </row>
    <row r="19448" spans="1:8" ht="25.05" customHeight="1" x14ac:dyDescent="0.25">
      <c r="A19448" s="2" t="s">
        <v>8</v>
      </c>
      <c r="B19448" s="2" t="str">
        <f>HYPERLINK("http://ts.21cn.com/tousu/show/id/1351426","平安普惠贷款隐瞒隐藏并强制收取高额保险费管理费投诉事宜")</f>
        <v>平安普惠贷款隐瞒隐藏并强制收取高额保险费管理费投诉事宜</v>
      </c>
      <c r="C19448" s="2" t="s">
        <v>9</v>
      </c>
      <c r="D19448" s="2" t="s">
        <v>10</v>
      </c>
      <c r="E19448" s="2" t="str">
        <f>HYPERLINK("http://ts.21cn.com/tousu/show/id/1351426","http://ts.21cn.com/tousu/show/id/1351426")</f>
        <v>http://ts.21cn.com/tousu/show/id/1351426</v>
      </c>
      <c r="F19448" s="2" t="s">
        <v>11</v>
      </c>
      <c r="G19448" s="2" t="s">
        <v>5929</v>
      </c>
      <c r="H19448" s="2" t="s">
        <v>5930</v>
      </c>
    </row>
    <row r="19449" spans="1:8" ht="25.05" customHeight="1" x14ac:dyDescent="0.25">
      <c r="A19449" s="2" t="s">
        <v>8</v>
      </c>
      <c r="B19449" s="2" t="str">
        <f>HYPERLINK("http://ts.21cn.com/tousu/show/id/1351427","滴滴司机服务态度恶劣")</f>
        <v>滴滴司机服务态度恶劣</v>
      </c>
      <c r="C19449" s="2" t="s">
        <v>9</v>
      </c>
      <c r="D19449" s="2" t="s">
        <v>10</v>
      </c>
      <c r="E19449" s="2" t="str">
        <f>HYPERLINK("http://ts.21cn.com/tousu/show/id/1351427","http://ts.21cn.com/tousu/show/id/1351427")</f>
        <v>http://ts.21cn.com/tousu/show/id/1351427</v>
      </c>
      <c r="F19449" s="2" t="s">
        <v>11</v>
      </c>
      <c r="G19449" s="2" t="s">
        <v>5927</v>
      </c>
      <c r="H19449" s="2" t="s">
        <v>5928</v>
      </c>
    </row>
    <row r="19450" spans="1:8" ht="25.05" customHeight="1" x14ac:dyDescent="0.25">
      <c r="A19450" s="2" t="s">
        <v>8</v>
      </c>
      <c r="B19450" s="2" t="str">
        <f>HYPERLINK("http://ts.21cn.com/tousu/show/id/1351428","马上金融恶意频繁骚扰，毁坏名誉")</f>
        <v>马上金融恶意频繁骚扰，毁坏名誉</v>
      </c>
      <c r="C19450" s="2" t="s">
        <v>9</v>
      </c>
      <c r="D19450" s="2" t="s">
        <v>10</v>
      </c>
      <c r="E19450" s="2" t="str">
        <f>HYPERLINK("http://ts.21cn.com/tousu/show/id/1351428","http://ts.21cn.com/tousu/show/id/1351428")</f>
        <v>http://ts.21cn.com/tousu/show/id/1351428</v>
      </c>
      <c r="F19450" s="2" t="s">
        <v>11</v>
      </c>
      <c r="G19450" s="2" t="s">
        <v>5925</v>
      </c>
      <c r="H19450" s="2" t="s">
        <v>5926</v>
      </c>
    </row>
    <row r="19451" spans="1:8" ht="25.05" customHeight="1" x14ac:dyDescent="0.25">
      <c r="A19451" s="2" t="s">
        <v>8</v>
      </c>
      <c r="B19451" s="2" t="str">
        <f>HYPERLINK("http://ts.21cn.com/tousu/show/id/1351429","投诉世纪佳缘红娘误导拒不退款")</f>
        <v>投诉世纪佳缘红娘误导拒不退款</v>
      </c>
      <c r="C19451" s="2" t="s">
        <v>9</v>
      </c>
      <c r="D19451" s="2" t="s">
        <v>10</v>
      </c>
      <c r="E19451" s="2" t="str">
        <f>HYPERLINK("http://ts.21cn.com/tousu/show/id/1351429","http://ts.21cn.com/tousu/show/id/1351429")</f>
        <v>http://ts.21cn.com/tousu/show/id/1351429</v>
      </c>
      <c r="F19451" s="2" t="s">
        <v>11</v>
      </c>
      <c r="G19451" s="2" t="s">
        <v>5923</v>
      </c>
      <c r="H19451" s="2" t="s">
        <v>5924</v>
      </c>
    </row>
    <row r="19452" spans="1:8" ht="25.05" customHeight="1" x14ac:dyDescent="0.25">
      <c r="A19452" s="2" t="s">
        <v>8</v>
      </c>
      <c r="B19452" s="2" t="str">
        <f>HYPERLINK("http://ts.21cn.com/tousu/show/id/1351431","安逸花协商还款")</f>
        <v>安逸花协商还款</v>
      </c>
      <c r="C19452" s="2" t="s">
        <v>9</v>
      </c>
      <c r="D19452" s="2" t="s">
        <v>10</v>
      </c>
      <c r="E19452" s="2" t="str">
        <f>HYPERLINK("http://ts.21cn.com/tousu/show/id/1351431","http://ts.21cn.com/tousu/show/id/1351431")</f>
        <v>http://ts.21cn.com/tousu/show/id/1351431</v>
      </c>
      <c r="F19452" s="2" t="s">
        <v>11</v>
      </c>
      <c r="G19452" s="2" t="s">
        <v>5921</v>
      </c>
      <c r="H19452" s="2" t="s">
        <v>5922</v>
      </c>
    </row>
    <row r="19453" spans="1:8" ht="25.05" customHeight="1" x14ac:dyDescent="0.25">
      <c r="A19453" s="2" t="s">
        <v>8</v>
      </c>
      <c r="B19453" s="2" t="str">
        <f>HYPERLINK("http://ts.21cn.com/tousu/show/id/1351432","宏萨信息科技有限公司（小浦优品）恶意扣费296元")</f>
        <v>宏萨信息科技有限公司（小浦优品）恶意扣费296元</v>
      </c>
      <c r="C19453" s="2" t="s">
        <v>9</v>
      </c>
      <c r="D19453" s="2" t="s">
        <v>10</v>
      </c>
      <c r="E19453" s="2" t="str">
        <f>HYPERLINK("http://ts.21cn.com/tousu/show/id/1351432","http://ts.21cn.com/tousu/show/id/1351432")</f>
        <v>http://ts.21cn.com/tousu/show/id/1351432</v>
      </c>
      <c r="F19453" s="2" t="s">
        <v>11</v>
      </c>
      <c r="G19453" s="2" t="s">
        <v>5919</v>
      </c>
      <c r="H19453" s="2" t="s">
        <v>5920</v>
      </c>
    </row>
    <row r="19454" spans="1:8" ht="25.05" customHeight="1" x14ac:dyDescent="0.25">
      <c r="A19454" s="2" t="s">
        <v>8</v>
      </c>
      <c r="B19454" s="2" t="str">
        <f>HYPERLINK("http://ts.21cn.com/tousu/show/id/1351433","铜花花，借老弟，金牛牛暴力催收辱骂家人")</f>
        <v>铜花花，借老弟，金牛牛暴力催收辱骂家人</v>
      </c>
      <c r="C19454" s="2" t="s">
        <v>9</v>
      </c>
      <c r="D19454" s="2" t="s">
        <v>10</v>
      </c>
      <c r="E19454" s="2" t="str">
        <f>HYPERLINK("http://ts.21cn.com/tousu/show/id/1351433","http://ts.21cn.com/tousu/show/id/1351433")</f>
        <v>http://ts.21cn.com/tousu/show/id/1351433</v>
      </c>
      <c r="F19454" s="2" t="s">
        <v>11</v>
      </c>
      <c r="G19454" s="2" t="s">
        <v>5917</v>
      </c>
      <c r="H19454" s="2" t="s">
        <v>5918</v>
      </c>
    </row>
    <row r="19455" spans="1:8" ht="25.05" customHeight="1" x14ac:dyDescent="0.25">
      <c r="A19455" s="2" t="s">
        <v>8</v>
      </c>
      <c r="B19455" s="2" t="str">
        <f>HYPERLINK("http://ts.21cn.com/tousu/show/id/1351434","拍拍贷暴力催收")</f>
        <v>拍拍贷暴力催收</v>
      </c>
      <c r="C19455" s="2" t="s">
        <v>9</v>
      </c>
      <c r="D19455" s="2" t="s">
        <v>10</v>
      </c>
      <c r="E19455" s="2" t="str">
        <f>HYPERLINK("http://ts.21cn.com/tousu/show/id/1351434","http://ts.21cn.com/tousu/show/id/1351434")</f>
        <v>http://ts.21cn.com/tousu/show/id/1351434</v>
      </c>
      <c r="F19455" s="2" t="s">
        <v>11</v>
      </c>
      <c r="G19455" s="2" t="s">
        <v>5915</v>
      </c>
      <c r="H19455" s="2" t="s">
        <v>5916</v>
      </c>
    </row>
    <row r="19456" spans="1:8" ht="25.05" customHeight="1" x14ac:dyDescent="0.25">
      <c r="A19456" s="2" t="s">
        <v>8</v>
      </c>
      <c r="B19456" s="2" t="str">
        <f>HYPERLINK("http://ts.21cn.com/tousu/show/id/1351435","360借条无法解绑银行卡")</f>
        <v>360借条无法解绑银行卡</v>
      </c>
      <c r="C19456" s="2" t="s">
        <v>9</v>
      </c>
      <c r="D19456" s="2" t="s">
        <v>10</v>
      </c>
      <c r="E19456" s="2" t="str">
        <f>HYPERLINK("http://ts.21cn.com/tousu/show/id/1351435","http://ts.21cn.com/tousu/show/id/1351435")</f>
        <v>http://ts.21cn.com/tousu/show/id/1351435</v>
      </c>
      <c r="F19456" s="2" t="s">
        <v>11</v>
      </c>
      <c r="G19456" s="2" t="s">
        <v>5913</v>
      </c>
      <c r="H19456" s="2" t="s">
        <v>5914</v>
      </c>
    </row>
    <row r="19457" spans="1:8" ht="25.05" customHeight="1" x14ac:dyDescent="0.25">
      <c r="A19457" s="2" t="s">
        <v>8</v>
      </c>
      <c r="B19457" s="2" t="str">
        <f>HYPERLINK("http://ts.21cn.com/tousu/show/id/1351436","投诉斐讯数据通信技术有限公司")</f>
        <v>投诉斐讯数据通信技术有限公司</v>
      </c>
      <c r="C19457" s="2" t="s">
        <v>34</v>
      </c>
      <c r="D19457" s="2" t="s">
        <v>10</v>
      </c>
      <c r="E19457" s="2" t="str">
        <f>HYPERLINK("http://ts.21cn.com/tousu/show/id/1351436","http://ts.21cn.com/tousu/show/id/1351436")</f>
        <v>http://ts.21cn.com/tousu/show/id/1351436</v>
      </c>
      <c r="F19457" s="2" t="s">
        <v>11</v>
      </c>
      <c r="G19457" s="2" t="s">
        <v>5911</v>
      </c>
      <c r="H19457" s="2" t="s">
        <v>5912</v>
      </c>
    </row>
    <row r="19458" spans="1:8" ht="25.05" customHeight="1" x14ac:dyDescent="0.25">
      <c r="A19458" s="2" t="s">
        <v>8</v>
      </c>
      <c r="B19458" s="2" t="str">
        <f>HYPERLINK("http://ts.21cn.com/tousu/show/id/1351438","百度服务胡乱扣钱")</f>
        <v>百度服务胡乱扣钱</v>
      </c>
      <c r="C19458" s="2" t="s">
        <v>9</v>
      </c>
      <c r="D19458" s="2" t="s">
        <v>10</v>
      </c>
      <c r="E19458" s="2" t="str">
        <f>HYPERLINK("http://ts.21cn.com/tousu/show/id/1351438","http://ts.21cn.com/tousu/show/id/1351438")</f>
        <v>http://ts.21cn.com/tousu/show/id/1351438</v>
      </c>
      <c r="F19458" s="2" t="s">
        <v>11</v>
      </c>
      <c r="G19458" s="2" t="s">
        <v>5908</v>
      </c>
      <c r="H19458" s="2" t="s">
        <v>5909</v>
      </c>
    </row>
    <row r="19459" spans="1:8" ht="25.05" customHeight="1" x14ac:dyDescent="0.25">
      <c r="A19459" s="2" t="s">
        <v>8</v>
      </c>
      <c r="B19459" s="2" t="str">
        <f>HYPERLINK("http://ts.21cn.com/tousu/show/id/1351439","自动扣款")</f>
        <v>自动扣款</v>
      </c>
      <c r="C19459" s="2" t="s">
        <v>34</v>
      </c>
      <c r="D19459" s="2" t="s">
        <v>10</v>
      </c>
      <c r="E19459" s="2" t="str">
        <f>HYPERLINK("http://ts.21cn.com/tousu/show/id/1351439","http://ts.21cn.com/tousu/show/id/1351439")</f>
        <v>http://ts.21cn.com/tousu/show/id/1351439</v>
      </c>
      <c r="F19459" s="2" t="s">
        <v>11</v>
      </c>
      <c r="G19459" s="2" t="s">
        <v>5908</v>
      </c>
      <c r="H19459" s="2" t="s">
        <v>5910</v>
      </c>
    </row>
    <row r="19460" spans="1:8" ht="25.05" customHeight="1" x14ac:dyDescent="0.25">
      <c r="A19460" s="2" t="s">
        <v>8</v>
      </c>
      <c r="B19460" s="2" t="str">
        <f>HYPERLINK("http://ts.21cn.com/tousu/show/id/1351441","滴滴公司网约车胡乱扣钱")</f>
        <v>滴滴公司网约车胡乱扣钱</v>
      </c>
      <c r="C19460" s="2" t="s">
        <v>9</v>
      </c>
      <c r="D19460" s="2" t="s">
        <v>10</v>
      </c>
      <c r="E19460" s="2" t="str">
        <f>HYPERLINK("http://ts.21cn.com/tousu/show/id/1351441","http://ts.21cn.com/tousu/show/id/1351441")</f>
        <v>http://ts.21cn.com/tousu/show/id/1351441</v>
      </c>
      <c r="F19460" s="2" t="s">
        <v>11</v>
      </c>
      <c r="G19460" s="2" t="s">
        <v>5906</v>
      </c>
      <c r="H19460" s="2" t="s">
        <v>5907</v>
      </c>
    </row>
    <row r="19461" spans="1:8" ht="25.05" customHeight="1" x14ac:dyDescent="0.25">
      <c r="A19461" s="2" t="s">
        <v>8</v>
      </c>
      <c r="B19461" s="2" t="str">
        <f>HYPERLINK("http://ts.21cn.com/tousu/show/id/1351443","714高利贷")</f>
        <v>714高利贷</v>
      </c>
      <c r="C19461" s="2" t="s">
        <v>9</v>
      </c>
      <c r="D19461" s="2" t="s">
        <v>10</v>
      </c>
      <c r="E19461" s="2" t="str">
        <f>HYPERLINK("http://ts.21cn.com/tousu/show/id/1351443","http://ts.21cn.com/tousu/show/id/1351443")</f>
        <v>http://ts.21cn.com/tousu/show/id/1351443</v>
      </c>
      <c r="F19461" s="2" t="s">
        <v>11</v>
      </c>
      <c r="G19461" s="2" t="s">
        <v>5904</v>
      </c>
      <c r="H19461" s="2" t="s">
        <v>5905</v>
      </c>
    </row>
    <row r="19462" spans="1:8" ht="25.05" customHeight="1" x14ac:dyDescent="0.25">
      <c r="A19462" s="2" t="s">
        <v>8</v>
      </c>
      <c r="B19462" s="2" t="str">
        <f>HYPERLINK("http://ts.21cn.com/tousu/show/id/1351442","拼多多物价宣传")</f>
        <v>拼多多物价宣传</v>
      </c>
      <c r="C19462" s="2" t="s">
        <v>9</v>
      </c>
      <c r="D19462" s="2" t="s">
        <v>10</v>
      </c>
      <c r="E19462" s="2" t="str">
        <f>HYPERLINK("http://ts.21cn.com/tousu/show/id/1351442","http://ts.21cn.com/tousu/show/id/1351442")</f>
        <v>http://ts.21cn.com/tousu/show/id/1351442</v>
      </c>
      <c r="F19462" s="2" t="s">
        <v>11</v>
      </c>
      <c r="G19462" s="2" t="s">
        <v>5902</v>
      </c>
      <c r="H19462" s="2" t="s">
        <v>5903</v>
      </c>
    </row>
    <row r="19463" spans="1:8" ht="25.05" customHeight="1" x14ac:dyDescent="0.25">
      <c r="A19463" s="2" t="s">
        <v>8</v>
      </c>
      <c r="B19463" s="2" t="str">
        <f>HYPERLINK("http://ts.21cn.com/tousu/show/id/1351445","花椒直播收取未成年费用")</f>
        <v>花椒直播收取未成年费用</v>
      </c>
      <c r="C19463" s="2" t="s">
        <v>34</v>
      </c>
      <c r="D19463" s="2" t="s">
        <v>10</v>
      </c>
      <c r="E19463" s="2" t="str">
        <f>HYPERLINK("http://ts.21cn.com/tousu/show/id/1351445","http://ts.21cn.com/tousu/show/id/1351445")</f>
        <v>http://ts.21cn.com/tousu/show/id/1351445</v>
      </c>
      <c r="F19463" s="2" t="s">
        <v>11</v>
      </c>
      <c r="G19463" s="2" t="s">
        <v>5900</v>
      </c>
      <c r="H19463" s="2" t="s">
        <v>5901</v>
      </c>
    </row>
    <row r="19464" spans="1:8" ht="25.05" customHeight="1" x14ac:dyDescent="0.25">
      <c r="A19464" s="2" t="s">
        <v>8</v>
      </c>
      <c r="B19464" s="2" t="str">
        <f>HYPERLINK("http://ts.21cn.com/tousu/show/id/1351444","绿森数码故意拖延迟迟不发货")</f>
        <v>绿森数码故意拖延迟迟不发货</v>
      </c>
      <c r="C19464" s="2" t="s">
        <v>9</v>
      </c>
      <c r="D19464" s="2" t="s">
        <v>10</v>
      </c>
      <c r="E19464" s="2" t="str">
        <f>HYPERLINK("http://ts.21cn.com/tousu/show/id/1351444","http://ts.21cn.com/tousu/show/id/1351444")</f>
        <v>http://ts.21cn.com/tousu/show/id/1351444</v>
      </c>
      <c r="F19464" s="2" t="s">
        <v>11</v>
      </c>
      <c r="G19464" s="2" t="s">
        <v>5898</v>
      </c>
      <c r="H19464" s="2" t="s">
        <v>5899</v>
      </c>
    </row>
    <row r="19465" spans="1:8" ht="25.05" customHeight="1" x14ac:dyDescent="0.25">
      <c r="A19465" s="2" t="s">
        <v>8</v>
      </c>
      <c r="B19465" s="2" t="str">
        <f>HYPERLINK("http://ts.21cn.com/tousu/show/id/1351446","手机号码欠费停机成空号")</f>
        <v>手机号码欠费停机成空号</v>
      </c>
      <c r="C19465" s="2" t="s">
        <v>9</v>
      </c>
      <c r="D19465" s="2" t="s">
        <v>10</v>
      </c>
      <c r="E19465" s="2" t="str">
        <f>HYPERLINK("http://ts.21cn.com/tousu/show/id/1351446","http://ts.21cn.com/tousu/show/id/1351446")</f>
        <v>http://ts.21cn.com/tousu/show/id/1351446</v>
      </c>
      <c r="F19465" s="2" t="s">
        <v>11</v>
      </c>
      <c r="G19465" s="2" t="s">
        <v>5896</v>
      </c>
      <c r="H19465" s="2" t="s">
        <v>5897</v>
      </c>
    </row>
    <row r="19466" spans="1:8" ht="25.05" customHeight="1" x14ac:dyDescent="0.25">
      <c r="A19466" s="2" t="s">
        <v>8</v>
      </c>
      <c r="B19466" s="2" t="str">
        <f>HYPERLINK("http://ts.21cn.com/tousu/show/id/1351447","及货平台客服不解决问题")</f>
        <v>及货平台客服不解决问题</v>
      </c>
      <c r="C19466" s="2" t="s">
        <v>9</v>
      </c>
      <c r="D19466" s="2" t="s">
        <v>10</v>
      </c>
      <c r="E19466" s="2" t="str">
        <f>HYPERLINK("http://ts.21cn.com/tousu/show/id/1351447","http://ts.21cn.com/tousu/show/id/1351447")</f>
        <v>http://ts.21cn.com/tousu/show/id/1351447</v>
      </c>
      <c r="F19466" s="2" t="s">
        <v>11</v>
      </c>
      <c r="G19466" s="2" t="s">
        <v>5894</v>
      </c>
      <c r="H19466" s="2" t="s">
        <v>5895</v>
      </c>
    </row>
    <row r="19467" spans="1:8" ht="25.05" customHeight="1" x14ac:dyDescent="0.25">
      <c r="A19467" s="2" t="s">
        <v>8</v>
      </c>
      <c r="B19467" s="2" t="str">
        <f>HYPERLINK("http://ts.21cn.com/tousu/show/id/1351448","4000元借款两小时利息647.88高利贷")</f>
        <v>4000元借款两小时利息647.88高利贷</v>
      </c>
      <c r="C19467" s="2" t="s">
        <v>9</v>
      </c>
      <c r="D19467" s="2" t="s">
        <v>10</v>
      </c>
      <c r="E19467" s="2" t="str">
        <f>HYPERLINK("http://ts.21cn.com/tousu/show/id/1351448","http://ts.21cn.com/tousu/show/id/1351448")</f>
        <v>http://ts.21cn.com/tousu/show/id/1351448</v>
      </c>
      <c r="F19467" s="2" t="s">
        <v>11</v>
      </c>
      <c r="G19467" s="2" t="s">
        <v>5892</v>
      </c>
      <c r="H19467" s="2" t="s">
        <v>5893</v>
      </c>
    </row>
    <row r="19468" spans="1:8" ht="25.05" customHeight="1" x14ac:dyDescent="0.25">
      <c r="A19468" s="2" t="s">
        <v>8</v>
      </c>
      <c r="B19468" s="2" t="str">
        <f>HYPERLINK("http://ts.21cn.com/tousu/show/id/1351449","兴业银行外包第三方催债骚扰家人")</f>
        <v>兴业银行外包第三方催债骚扰家人</v>
      </c>
      <c r="C19468" s="2" t="s">
        <v>9</v>
      </c>
      <c r="D19468" s="2" t="s">
        <v>10</v>
      </c>
      <c r="E19468" s="2" t="str">
        <f>HYPERLINK("http://ts.21cn.com/tousu/show/id/1351449","http://ts.21cn.com/tousu/show/id/1351449")</f>
        <v>http://ts.21cn.com/tousu/show/id/1351449</v>
      </c>
      <c r="F19468" s="2" t="s">
        <v>11</v>
      </c>
      <c r="G19468" s="2" t="s">
        <v>5890</v>
      </c>
      <c r="H19468" s="2" t="s">
        <v>5891</v>
      </c>
    </row>
    <row r="19469" spans="1:8" ht="25.05" customHeight="1" x14ac:dyDescent="0.25">
      <c r="A19469" s="2" t="s">
        <v>8</v>
      </c>
      <c r="B19469" s="2" t="str">
        <f>HYPERLINK("http://ts.21cn.com/tousu/show/id/1351450","遭遇捷信公司流氓客服")</f>
        <v>遭遇捷信公司流氓客服</v>
      </c>
      <c r="C19469" s="2" t="s">
        <v>9</v>
      </c>
      <c r="D19469" s="2" t="s">
        <v>10</v>
      </c>
      <c r="E19469" s="2" t="str">
        <f>HYPERLINK("http://ts.21cn.com/tousu/show/id/1351450","http://ts.21cn.com/tousu/show/id/1351450")</f>
        <v>http://ts.21cn.com/tousu/show/id/1351450</v>
      </c>
      <c r="F19469" s="2" t="s">
        <v>11</v>
      </c>
      <c r="G19469" s="2" t="s">
        <v>5888</v>
      </c>
      <c r="H19469" s="2" t="s">
        <v>5889</v>
      </c>
    </row>
    <row r="19470" spans="1:8" ht="25.05" customHeight="1" x14ac:dyDescent="0.25">
      <c r="A19470" s="2" t="s">
        <v>8</v>
      </c>
      <c r="B19470" s="2" t="str">
        <f>HYPERLINK("http://ts.21cn.com/tousu/show/id/1351451","中腾信在未逾期前提下爆通讯录")</f>
        <v>中腾信在未逾期前提下爆通讯录</v>
      </c>
      <c r="C19470" s="2" t="s">
        <v>9</v>
      </c>
      <c r="D19470" s="2" t="s">
        <v>10</v>
      </c>
      <c r="E19470" s="2" t="str">
        <f>HYPERLINK("http://ts.21cn.com/tousu/show/id/1351451","http://ts.21cn.com/tousu/show/id/1351451")</f>
        <v>http://ts.21cn.com/tousu/show/id/1351451</v>
      </c>
      <c r="F19470" s="2" t="s">
        <v>11</v>
      </c>
      <c r="G19470" s="2" t="s">
        <v>5886</v>
      </c>
      <c r="H19470" s="2" t="s">
        <v>5887</v>
      </c>
    </row>
    <row r="19471" spans="1:8" ht="25.05" customHeight="1" x14ac:dyDescent="0.25">
      <c r="A19471" s="2" t="s">
        <v>8</v>
      </c>
      <c r="B19471" s="2" t="str">
        <f>HYPERLINK("http://ts.21cn.com/tousu/show/id/1351452","及贷拒不提供高额担保费用发票")</f>
        <v>及贷拒不提供高额担保费用发票</v>
      </c>
      <c r="C19471" s="2" t="s">
        <v>9</v>
      </c>
      <c r="D19471" s="2" t="s">
        <v>10</v>
      </c>
      <c r="E19471" s="2" t="str">
        <f>HYPERLINK("http://ts.21cn.com/tousu/show/id/1351452","http://ts.21cn.com/tousu/show/id/1351452")</f>
        <v>http://ts.21cn.com/tousu/show/id/1351452</v>
      </c>
      <c r="F19471" s="2" t="s">
        <v>11</v>
      </c>
      <c r="G19471" s="2" t="s">
        <v>5884</v>
      </c>
      <c r="H19471" s="2" t="s">
        <v>5885</v>
      </c>
    </row>
    <row r="19472" spans="1:8" ht="25.05" customHeight="1" x14ac:dyDescent="0.25">
      <c r="A19472" s="2" t="s">
        <v>8</v>
      </c>
      <c r="B19472" s="2" t="str">
        <f>HYPERLINK("http://ts.21cn.com/tousu/show/id/1351453","马上金融放货学生")</f>
        <v>马上金融放货学生</v>
      </c>
      <c r="C19472" s="2" t="s">
        <v>34</v>
      </c>
      <c r="D19472" s="2" t="s">
        <v>10</v>
      </c>
      <c r="E19472" s="2" t="str">
        <f>HYPERLINK("http://ts.21cn.com/tousu/show/id/1351453","http://ts.21cn.com/tousu/show/id/1351453")</f>
        <v>http://ts.21cn.com/tousu/show/id/1351453</v>
      </c>
      <c r="F19472" s="2" t="s">
        <v>11</v>
      </c>
      <c r="G19472" s="2" t="s">
        <v>5882</v>
      </c>
      <c r="H19472" s="2" t="s">
        <v>5883</v>
      </c>
    </row>
    <row r="19473" spans="1:8" ht="25.05" customHeight="1" x14ac:dyDescent="0.25">
      <c r="A19473" s="2" t="s">
        <v>8</v>
      </c>
      <c r="B19473" s="2" t="str">
        <f>HYPERLINK("http://ts.21cn.com/tousu/show/id/1351455","支付宝限制我的支付宝收款服务，打电话过去，都是语音播报忽悠我们消费者")</f>
        <v>支付宝限制我的支付宝收款服务，打电话过去，都是语音播报忽悠我们消费者</v>
      </c>
      <c r="C19473" s="2" t="s">
        <v>9</v>
      </c>
      <c r="D19473" s="2" t="s">
        <v>10</v>
      </c>
      <c r="E19473" s="2" t="str">
        <f>HYPERLINK("http://ts.21cn.com/tousu/show/id/1351455","http://ts.21cn.com/tousu/show/id/1351455")</f>
        <v>http://ts.21cn.com/tousu/show/id/1351455</v>
      </c>
      <c r="F19473" s="2" t="s">
        <v>11</v>
      </c>
      <c r="G19473" s="2" t="s">
        <v>5880</v>
      </c>
      <c r="H19473" s="2" t="s">
        <v>5881</v>
      </c>
    </row>
    <row r="19474" spans="1:8" ht="25.05" customHeight="1" x14ac:dyDescent="0.25">
      <c r="A19474" s="2" t="s">
        <v>8</v>
      </c>
      <c r="B19474" s="2" t="str">
        <f>HYPERLINK("http://ts.21cn.com/tousu/show/id/1351454","襄盈电商12误导消费")</f>
        <v>襄盈电商12误导消费</v>
      </c>
      <c r="C19474" s="2" t="s">
        <v>9</v>
      </c>
      <c r="D19474" s="2" t="s">
        <v>10</v>
      </c>
      <c r="E19474" s="2" t="str">
        <f>HYPERLINK("http://ts.21cn.com/tousu/show/id/1351454","http://ts.21cn.com/tousu/show/id/1351454")</f>
        <v>http://ts.21cn.com/tousu/show/id/1351454</v>
      </c>
      <c r="F19474" s="2" t="s">
        <v>11</v>
      </c>
      <c r="G19474" s="2" t="s">
        <v>5878</v>
      </c>
      <c r="H19474" s="2" t="s">
        <v>5879</v>
      </c>
    </row>
    <row r="19475" spans="1:8" ht="25.05" customHeight="1" x14ac:dyDescent="0.25">
      <c r="A19475" s="2" t="s">
        <v>8</v>
      </c>
      <c r="B19475" s="2" t="str">
        <f>HYPERLINK("http://ts.21cn.com/tousu/show/id/1351440","张家界导游胡乱收费")</f>
        <v>张家界导游胡乱收费</v>
      </c>
      <c r="C19475" s="2" t="s">
        <v>9</v>
      </c>
      <c r="D19475" s="2" t="s">
        <v>10</v>
      </c>
      <c r="E19475" s="2" t="str">
        <f>HYPERLINK("http://ts.21cn.com/tousu/show/id/1351440","http://ts.21cn.com/tousu/show/id/1351440")</f>
        <v>http://ts.21cn.com/tousu/show/id/1351440</v>
      </c>
      <c r="F19475" s="2" t="s">
        <v>11</v>
      </c>
      <c r="G19475" s="2" t="s">
        <v>5876</v>
      </c>
      <c r="H19475" s="2" t="s">
        <v>5877</v>
      </c>
    </row>
    <row r="19476" spans="1:8" ht="25.05" customHeight="1" x14ac:dyDescent="0.25">
      <c r="A19476" s="2" t="s">
        <v>8</v>
      </c>
      <c r="B19476" s="2" t="str">
        <f>HYPERLINK("http://ts.21cn.com/tousu/show/id/1351456","水莲金条不能还款")</f>
        <v>水莲金条不能还款</v>
      </c>
      <c r="C19476" s="2" t="s">
        <v>34</v>
      </c>
      <c r="D19476" s="2" t="s">
        <v>10</v>
      </c>
      <c r="E19476" s="2" t="str">
        <f>HYPERLINK("http://ts.21cn.com/tousu/show/id/1351456","http://ts.21cn.com/tousu/show/id/1351456")</f>
        <v>http://ts.21cn.com/tousu/show/id/1351456</v>
      </c>
      <c r="F19476" s="2" t="s">
        <v>11</v>
      </c>
      <c r="G19476" s="2" t="s">
        <v>5874</v>
      </c>
      <c r="H19476" s="2" t="s">
        <v>5875</v>
      </c>
    </row>
    <row r="19477" spans="1:8" ht="25.05" customHeight="1" x14ac:dyDescent="0.25">
      <c r="A19477" s="2" t="s">
        <v>8</v>
      </c>
      <c r="B19477" s="2" t="str">
        <f>HYPERLINK("http://ts.21cn.com/tousu/show/id/1351461","马上金融利息超过国家规定的范围")</f>
        <v>马上金融利息超过国家规定的范围</v>
      </c>
      <c r="C19477" s="2" t="s">
        <v>9</v>
      </c>
      <c r="D19477" s="2" t="s">
        <v>10</v>
      </c>
      <c r="E19477" s="2" t="str">
        <f>HYPERLINK("http://ts.21cn.com/tousu/show/id/1351461","http://ts.21cn.com/tousu/show/id/1351461")</f>
        <v>http://ts.21cn.com/tousu/show/id/1351461</v>
      </c>
      <c r="F19477" s="2" t="s">
        <v>11</v>
      </c>
      <c r="G19477" s="2" t="s">
        <v>5872</v>
      </c>
      <c r="H19477" s="2" t="s">
        <v>5873</v>
      </c>
    </row>
    <row r="19478" spans="1:8" ht="25.05" customHeight="1" x14ac:dyDescent="0.25">
      <c r="A19478" s="2" t="s">
        <v>8</v>
      </c>
      <c r="B19478" s="2" t="str">
        <f>HYPERLINK("http://ts.21cn.com/tousu/show/id/1351457","维信卡卡贷涉嫌高利率和砍头息")</f>
        <v>维信卡卡贷涉嫌高利率和砍头息</v>
      </c>
      <c r="C19478" s="2" t="s">
        <v>9</v>
      </c>
      <c r="D19478" s="2" t="s">
        <v>10</v>
      </c>
      <c r="E19478" s="2" t="str">
        <f>HYPERLINK("http://ts.21cn.com/tousu/show/id/1351457","http://ts.21cn.com/tousu/show/id/1351457")</f>
        <v>http://ts.21cn.com/tousu/show/id/1351457</v>
      </c>
      <c r="F19478" s="2" t="s">
        <v>11</v>
      </c>
      <c r="G19478" s="2" t="s">
        <v>5870</v>
      </c>
      <c r="H19478" s="2" t="s">
        <v>5871</v>
      </c>
    </row>
    <row r="19479" spans="1:8" ht="25.05" customHeight="1" x14ac:dyDescent="0.25">
      <c r="A19479" s="2" t="s">
        <v>8</v>
      </c>
      <c r="B19479" s="2" t="str">
        <f>HYPERLINK("http://ts.21cn.com/tousu/show/id/1351458","宙斯钱包高利贷砍头息")</f>
        <v>宙斯钱包高利贷砍头息</v>
      </c>
      <c r="C19479" s="2" t="s">
        <v>9</v>
      </c>
      <c r="D19479" s="2" t="s">
        <v>10</v>
      </c>
      <c r="E19479" s="2" t="str">
        <f>HYPERLINK("http://ts.21cn.com/tousu/show/id/1351458","http://ts.21cn.com/tousu/show/id/1351458")</f>
        <v>http://ts.21cn.com/tousu/show/id/1351458</v>
      </c>
      <c r="F19479" s="2" t="s">
        <v>11</v>
      </c>
      <c r="G19479" s="2" t="s">
        <v>5868</v>
      </c>
      <c r="H19479" s="2" t="s">
        <v>5869</v>
      </c>
    </row>
    <row r="19480" spans="1:8" ht="25.05" customHeight="1" x14ac:dyDescent="0.25">
      <c r="A19480" s="2" t="s">
        <v>8</v>
      </c>
      <c r="B19480" s="2" t="str">
        <f>HYPERLINK("http://ts.21cn.com/tousu/show/id/1351459","购物发货问题")</f>
        <v>购物发货问题</v>
      </c>
      <c r="C19480" s="2" t="s">
        <v>9</v>
      </c>
      <c r="D19480" s="2" t="s">
        <v>10</v>
      </c>
      <c r="E19480" s="2" t="str">
        <f>HYPERLINK("http://ts.21cn.com/tousu/show/id/1351459","http://ts.21cn.com/tousu/show/id/1351459")</f>
        <v>http://ts.21cn.com/tousu/show/id/1351459</v>
      </c>
      <c r="F19480" s="2" t="s">
        <v>11</v>
      </c>
      <c r="G19480" s="2" t="s">
        <v>5866</v>
      </c>
      <c r="H19480" s="2" t="s">
        <v>5867</v>
      </c>
    </row>
    <row r="19481" spans="1:8" ht="25.05" customHeight="1" x14ac:dyDescent="0.25">
      <c r="A19481" s="2" t="s">
        <v>8</v>
      </c>
      <c r="B19481" s="2" t="str">
        <f>HYPERLINK("http://ts.21cn.com/tousu/show/id/1351460","电话骚扰我")</f>
        <v>电话骚扰我</v>
      </c>
      <c r="C19481" s="2" t="s">
        <v>9</v>
      </c>
      <c r="D19481" s="2" t="s">
        <v>10</v>
      </c>
      <c r="E19481" s="2" t="str">
        <f>HYPERLINK("http://ts.21cn.com/tousu/show/id/1351460","http://ts.21cn.com/tousu/show/id/1351460")</f>
        <v>http://ts.21cn.com/tousu/show/id/1351460</v>
      </c>
      <c r="F19481" s="2" t="s">
        <v>11</v>
      </c>
      <c r="G19481" s="2" t="s">
        <v>5864</v>
      </c>
      <c r="H19481" s="2" t="s">
        <v>5865</v>
      </c>
    </row>
    <row r="19482" spans="1:8" ht="25.05" customHeight="1" x14ac:dyDescent="0.25">
      <c r="A19482" s="2" t="s">
        <v>8</v>
      </c>
      <c r="B19482" s="2" t="str">
        <f>HYPERLINK("http://ts.21cn.com/tousu/show/id/1351462","我的手机号被百世快递登成派送的号码，老是被骚扰")</f>
        <v>我的手机号被百世快递登成派送的号码，老是被骚扰</v>
      </c>
      <c r="C19482" s="2" t="s">
        <v>9</v>
      </c>
      <c r="D19482" s="2" t="s">
        <v>10</v>
      </c>
      <c r="E19482" s="2" t="str">
        <f>HYPERLINK("http://ts.21cn.com/tousu/show/id/1351462","http://ts.21cn.com/tousu/show/id/1351462")</f>
        <v>http://ts.21cn.com/tousu/show/id/1351462</v>
      </c>
      <c r="F19482" s="2" t="s">
        <v>11</v>
      </c>
      <c r="G19482" s="2" t="s">
        <v>5862</v>
      </c>
      <c r="H19482" s="2" t="s">
        <v>5863</v>
      </c>
    </row>
    <row r="19483" spans="1:8" ht="25.05" customHeight="1" x14ac:dyDescent="0.25">
      <c r="A19483" s="2" t="s">
        <v>8</v>
      </c>
      <c r="B19483" s="2" t="str">
        <f>HYPERLINK("http://ts.21cn.com/tousu/show/id/1351463","澳门皇冠是赌博网站")</f>
        <v>澳门皇冠是赌博网站</v>
      </c>
      <c r="C19483" s="2" t="s">
        <v>9</v>
      </c>
      <c r="D19483" s="2" t="s">
        <v>10</v>
      </c>
      <c r="E19483" s="2" t="str">
        <f>HYPERLINK("http://ts.21cn.com/tousu/show/id/1351463","http://ts.21cn.com/tousu/show/id/1351463")</f>
        <v>http://ts.21cn.com/tousu/show/id/1351463</v>
      </c>
      <c r="F19483" s="2" t="s">
        <v>11</v>
      </c>
      <c r="G19483" s="2" t="s">
        <v>5860</v>
      </c>
      <c r="H19483" s="2" t="s">
        <v>5861</v>
      </c>
    </row>
    <row r="19484" spans="1:8" ht="25.05" customHeight="1" x14ac:dyDescent="0.25">
      <c r="A19484" s="2" t="s">
        <v>8</v>
      </c>
      <c r="B19484" s="2" t="str">
        <f>HYPERLINK("http://ts.21cn.com/tousu/show/id/1351464","怪兽充电宝乱扣费")</f>
        <v>怪兽充电宝乱扣费</v>
      </c>
      <c r="C19484" s="2" t="s">
        <v>9</v>
      </c>
      <c r="D19484" s="2" t="s">
        <v>10</v>
      </c>
      <c r="E19484" s="2" t="str">
        <f>HYPERLINK("http://ts.21cn.com/tousu/show/id/1351464","http://ts.21cn.com/tousu/show/id/1351464")</f>
        <v>http://ts.21cn.com/tousu/show/id/1351464</v>
      </c>
      <c r="F19484" s="2" t="s">
        <v>11</v>
      </c>
      <c r="G19484" s="2" t="s">
        <v>5858</v>
      </c>
      <c r="H19484" s="2" t="s">
        <v>5859</v>
      </c>
    </row>
    <row r="19485" spans="1:8" ht="25.05" customHeight="1" x14ac:dyDescent="0.25">
      <c r="A19485" s="2" t="s">
        <v>8</v>
      </c>
      <c r="B19485" s="2" t="str">
        <f>HYPERLINK("http://ts.21cn.com/tousu/show/id/1351466","贷上钱利息不合法套路贷")</f>
        <v>贷上钱利息不合法套路贷</v>
      </c>
      <c r="C19485" s="2" t="s">
        <v>9</v>
      </c>
      <c r="D19485" s="2" t="s">
        <v>10</v>
      </c>
      <c r="E19485" s="2" t="str">
        <f>HYPERLINK("http://ts.21cn.com/tousu/show/id/1351466","http://ts.21cn.com/tousu/show/id/1351466")</f>
        <v>http://ts.21cn.com/tousu/show/id/1351466</v>
      </c>
      <c r="F19485" s="2" t="s">
        <v>11</v>
      </c>
      <c r="G19485" s="2" t="s">
        <v>5856</v>
      </c>
      <c r="H19485" s="2" t="s">
        <v>5857</v>
      </c>
    </row>
    <row r="19486" spans="1:8" ht="25.05" customHeight="1" x14ac:dyDescent="0.25">
      <c r="A19486" s="2" t="s">
        <v>8</v>
      </c>
      <c r="B19486" s="2" t="str">
        <f>HYPERLINK("http://ts.21cn.com/tousu/show/id/1351465","钱站不合理收取高额费用")</f>
        <v>钱站不合理收取高额费用</v>
      </c>
      <c r="C19486" s="2" t="s">
        <v>9</v>
      </c>
      <c r="D19486" s="2" t="s">
        <v>10</v>
      </c>
      <c r="E19486" s="2" t="str">
        <f>HYPERLINK("http://ts.21cn.com/tousu/show/id/1351465","http://ts.21cn.com/tousu/show/id/1351465")</f>
        <v>http://ts.21cn.com/tousu/show/id/1351465</v>
      </c>
      <c r="F19486" s="2" t="s">
        <v>11</v>
      </c>
      <c r="G19486" s="2" t="s">
        <v>5854</v>
      </c>
      <c r="H19486" s="2" t="s">
        <v>5855</v>
      </c>
    </row>
    <row r="19487" spans="1:8" ht="25.05" customHeight="1" x14ac:dyDescent="0.25">
      <c r="A19487" s="2" t="s">
        <v>8</v>
      </c>
      <c r="B19487" s="2" t="str">
        <f>HYPERLINK("http://ts.21cn.com/tousu/show/id/1351467","莫名其妙被扣了296元")</f>
        <v>莫名其妙被扣了296元</v>
      </c>
      <c r="C19487" s="2" t="s">
        <v>9</v>
      </c>
      <c r="D19487" s="2" t="s">
        <v>10</v>
      </c>
      <c r="E19487" s="2" t="str">
        <f>HYPERLINK("http://ts.21cn.com/tousu/show/id/1351467","http://ts.21cn.com/tousu/show/id/1351467")</f>
        <v>http://ts.21cn.com/tousu/show/id/1351467</v>
      </c>
      <c r="F19487" s="2" t="s">
        <v>11</v>
      </c>
      <c r="G19487" s="2" t="s">
        <v>5852</v>
      </c>
      <c r="H19487" s="2" t="s">
        <v>5853</v>
      </c>
    </row>
    <row r="19488" spans="1:8" ht="25.05" customHeight="1" x14ac:dyDescent="0.25">
      <c r="A19488" s="2" t="s">
        <v>8</v>
      </c>
      <c r="B19488" s="2" t="str">
        <f>HYPERLINK("http://ts.21cn.com/tousu/show/id/1351468","民航通黑卡虚假宣传、存在欺诈行为")</f>
        <v>民航通黑卡虚假宣传、存在欺诈行为</v>
      </c>
      <c r="C19488" s="2" t="s">
        <v>9</v>
      </c>
      <c r="D19488" s="2" t="s">
        <v>10</v>
      </c>
      <c r="E19488" s="2" t="str">
        <f>HYPERLINK("http://ts.21cn.com/tousu/show/id/1351468","http://ts.21cn.com/tousu/show/id/1351468")</f>
        <v>http://ts.21cn.com/tousu/show/id/1351468</v>
      </c>
      <c r="F19488" s="2" t="s">
        <v>11</v>
      </c>
      <c r="G19488" s="2" t="s">
        <v>5850</v>
      </c>
      <c r="H19488" s="2" t="s">
        <v>5851</v>
      </c>
    </row>
    <row r="19489" spans="1:8" ht="25.05" customHeight="1" x14ac:dyDescent="0.25">
      <c r="A19489" s="2" t="s">
        <v>8</v>
      </c>
      <c r="B19489" s="2" t="str">
        <f>HYPERLINK("http://ts.21cn.com/tousu/show/id/1351471","乱扣费")</f>
        <v>乱扣费</v>
      </c>
      <c r="C19489" s="2" t="s">
        <v>9</v>
      </c>
      <c r="D19489" s="2" t="s">
        <v>10</v>
      </c>
      <c r="E19489" s="2" t="str">
        <f>HYPERLINK("http://ts.21cn.com/tousu/show/id/1351471","http://ts.21cn.com/tousu/show/id/1351471")</f>
        <v>http://ts.21cn.com/tousu/show/id/1351471</v>
      </c>
      <c r="F19489" s="2" t="s">
        <v>11</v>
      </c>
      <c r="G19489" s="2" t="s">
        <v>5848</v>
      </c>
      <c r="H19489" s="2" t="s">
        <v>5849</v>
      </c>
    </row>
    <row r="19490" spans="1:8" ht="25.05" customHeight="1" x14ac:dyDescent="0.25">
      <c r="A19490" s="2" t="s">
        <v>8</v>
      </c>
      <c r="B19490" s="2" t="str">
        <f>HYPERLINK("http://ts.21cn.com/tousu/show/id/1351469","服务费和保险费")</f>
        <v>服务费和保险费</v>
      </c>
      <c r="C19490" s="2" t="s">
        <v>9</v>
      </c>
      <c r="D19490" s="2" t="s">
        <v>10</v>
      </c>
      <c r="E19490" s="2" t="str">
        <f>HYPERLINK("http://ts.21cn.com/tousu/show/id/1351469","http://ts.21cn.com/tousu/show/id/1351469")</f>
        <v>http://ts.21cn.com/tousu/show/id/1351469</v>
      </c>
      <c r="F19490" s="2" t="s">
        <v>11</v>
      </c>
      <c r="G19490" s="2" t="s">
        <v>5846</v>
      </c>
      <c r="H19490" s="2" t="s">
        <v>5847</v>
      </c>
    </row>
    <row r="19491" spans="1:8" ht="25.05" customHeight="1" x14ac:dyDescent="0.25">
      <c r="A19491" s="2" t="s">
        <v>8</v>
      </c>
      <c r="B19491" s="2" t="str">
        <f>HYPERLINK("http://ts.21cn.com/tousu/show/id/1351470","恒易贷涉嫌砍头息")</f>
        <v>恒易贷涉嫌砍头息</v>
      </c>
      <c r="C19491" s="2" t="s">
        <v>9</v>
      </c>
      <c r="D19491" s="2" t="s">
        <v>10</v>
      </c>
      <c r="E19491" s="2" t="str">
        <f>HYPERLINK("http://ts.21cn.com/tousu/show/id/1351470","http://ts.21cn.com/tousu/show/id/1351470")</f>
        <v>http://ts.21cn.com/tousu/show/id/1351470</v>
      </c>
      <c r="F19491" s="2" t="s">
        <v>11</v>
      </c>
      <c r="G19491" s="2" t="s">
        <v>5844</v>
      </c>
      <c r="H19491" s="2" t="s">
        <v>5845</v>
      </c>
    </row>
    <row r="19492" spans="1:8" ht="25.05" customHeight="1" x14ac:dyDescent="0.25">
      <c r="A19492" s="2" t="s">
        <v>8</v>
      </c>
      <c r="B19492" s="2" t="str">
        <f>HYPERLINK("http://ts.21cn.com/tousu/show/id/1351472","暴力催收，违法爆通讯录")</f>
        <v>暴力催收，违法爆通讯录</v>
      </c>
      <c r="C19492" s="2" t="s">
        <v>9</v>
      </c>
      <c r="D19492" s="2" t="s">
        <v>10</v>
      </c>
      <c r="E19492" s="2" t="str">
        <f>HYPERLINK("http://ts.21cn.com/tousu/show/id/1351472","http://ts.21cn.com/tousu/show/id/1351472")</f>
        <v>http://ts.21cn.com/tousu/show/id/1351472</v>
      </c>
      <c r="F19492" s="2" t="s">
        <v>11</v>
      </c>
      <c r="G19492" s="2" t="s">
        <v>5842</v>
      </c>
      <c r="H19492" s="2" t="s">
        <v>5843</v>
      </c>
    </row>
    <row r="19493" spans="1:8" ht="25.05" customHeight="1" x14ac:dyDescent="0.25">
      <c r="A19493" s="2" t="s">
        <v>8</v>
      </c>
      <c r="B19493" s="2" t="str">
        <f>HYPERLINK("http://ts.21cn.com/tousu/show/id/1351473","贷上钱以买游戏豆为由收取高额贷款通过费")</f>
        <v>贷上钱以买游戏豆为由收取高额贷款通过费</v>
      </c>
      <c r="C19493" s="2" t="s">
        <v>34</v>
      </c>
      <c r="D19493" s="2" t="s">
        <v>10</v>
      </c>
      <c r="E19493" s="2" t="str">
        <f>HYPERLINK("http://ts.21cn.com/tousu/show/id/1351473","http://ts.21cn.com/tousu/show/id/1351473")</f>
        <v>http://ts.21cn.com/tousu/show/id/1351473</v>
      </c>
      <c r="F19493" s="2" t="s">
        <v>11</v>
      </c>
      <c r="G19493" s="2" t="s">
        <v>5840</v>
      </c>
      <c r="H19493" s="2" t="s">
        <v>5841</v>
      </c>
    </row>
    <row r="19494" spans="1:8" ht="25.05" customHeight="1" x14ac:dyDescent="0.25">
      <c r="A19494" s="2" t="s">
        <v>8</v>
      </c>
      <c r="B19494" s="2" t="str">
        <f>HYPERLINK("http://ts.21cn.com/tousu/show/id/1351474","被特约商户违规操作，酷宝支付和雅酷时空盗刷，要求追回")</f>
        <v>被特约商户违规操作，酷宝支付和雅酷时空盗刷，要求追回</v>
      </c>
      <c r="C19494" s="2" t="s">
        <v>9</v>
      </c>
      <c r="D19494" s="2" t="s">
        <v>10</v>
      </c>
      <c r="E19494" s="2" t="str">
        <f>HYPERLINK("http://ts.21cn.com/tousu/show/id/1351474","http://ts.21cn.com/tousu/show/id/1351474")</f>
        <v>http://ts.21cn.com/tousu/show/id/1351474</v>
      </c>
      <c r="F19494" s="2" t="s">
        <v>11</v>
      </c>
      <c r="G19494" s="2" t="s">
        <v>5838</v>
      </c>
      <c r="H19494" s="2" t="s">
        <v>5839</v>
      </c>
    </row>
    <row r="19495" spans="1:8" ht="25.05" customHeight="1" x14ac:dyDescent="0.25">
      <c r="A19495" s="2" t="s">
        <v>8</v>
      </c>
      <c r="B19495" s="2" t="str">
        <f>HYPERLINK("http://ts.21cn.com/tousu/show/id/1351476","滴滴司机辱骂乘客，态度恶劣，扣费还有问题")</f>
        <v>滴滴司机辱骂乘客，态度恶劣，扣费还有问题</v>
      </c>
      <c r="C19495" s="2" t="s">
        <v>9</v>
      </c>
      <c r="D19495" s="2" t="s">
        <v>10</v>
      </c>
      <c r="E19495" s="2" t="str">
        <f>HYPERLINK("http://ts.21cn.com/tousu/show/id/1351476","http://ts.21cn.com/tousu/show/id/1351476")</f>
        <v>http://ts.21cn.com/tousu/show/id/1351476</v>
      </c>
      <c r="F19495" s="2" t="s">
        <v>11</v>
      </c>
      <c r="G19495" s="2" t="s">
        <v>5836</v>
      </c>
      <c r="H19495" s="2" t="s">
        <v>5837</v>
      </c>
    </row>
    <row r="19496" spans="1:8" ht="25.05" customHeight="1" x14ac:dyDescent="0.25">
      <c r="A19496" s="2" t="s">
        <v>8</v>
      </c>
      <c r="B19496" s="2" t="str">
        <f>HYPERLINK("http://ts.21cn.com/tousu/show/id/1351479","达内科技集体投诉专题")</f>
        <v>达内科技集体投诉专题</v>
      </c>
      <c r="C19496" s="2" t="s">
        <v>9</v>
      </c>
      <c r="D19496" s="2" t="s">
        <v>10</v>
      </c>
      <c r="E19496" s="2" t="str">
        <f>HYPERLINK("http://ts.21cn.com/tousu/show/id/1351479","http://ts.21cn.com/tousu/show/id/1351479")</f>
        <v>http://ts.21cn.com/tousu/show/id/1351479</v>
      </c>
      <c r="F19496" s="2" t="s">
        <v>11</v>
      </c>
      <c r="G19496" s="2" t="s">
        <v>5834</v>
      </c>
      <c r="H19496" s="2" t="s">
        <v>5835</v>
      </c>
    </row>
    <row r="19497" spans="1:8" ht="25.05" customHeight="1" x14ac:dyDescent="0.25">
      <c r="A19497" s="2" t="s">
        <v>8</v>
      </c>
      <c r="B19497" s="2" t="str">
        <f>HYPERLINK("http://ts.21cn.com/tousu/show/id/1351480","豆豆钱强制购买保险")</f>
        <v>豆豆钱强制购买保险</v>
      </c>
      <c r="C19497" s="2" t="s">
        <v>9</v>
      </c>
      <c r="D19497" s="2" t="s">
        <v>10</v>
      </c>
      <c r="E19497" s="2" t="str">
        <f>HYPERLINK("http://ts.21cn.com/tousu/show/id/1351480","http://ts.21cn.com/tousu/show/id/1351480")</f>
        <v>http://ts.21cn.com/tousu/show/id/1351480</v>
      </c>
      <c r="F19497" s="2" t="s">
        <v>11</v>
      </c>
      <c r="G19497" s="2" t="s">
        <v>5832</v>
      </c>
      <c r="H19497" s="2" t="s">
        <v>5833</v>
      </c>
    </row>
    <row r="19498" spans="1:8" ht="25.05" customHeight="1" x14ac:dyDescent="0.25">
      <c r="A19498" s="2" t="s">
        <v>8</v>
      </c>
      <c r="B19498" s="2" t="str">
        <f>HYPERLINK("http://ts.21cn.com/tousu/show/id/1351481","强烈要求幸福叮咚出行app将押金3天内归还到账")</f>
        <v>强烈要求幸福叮咚出行app将押金3天内归还到账</v>
      </c>
      <c r="C19498" s="2" t="s">
        <v>34</v>
      </c>
      <c r="D19498" s="2" t="s">
        <v>10</v>
      </c>
      <c r="E19498" s="2" t="str">
        <f>HYPERLINK("http://ts.21cn.com/tousu/show/id/1351481","http://ts.21cn.com/tousu/show/id/1351481")</f>
        <v>http://ts.21cn.com/tousu/show/id/1351481</v>
      </c>
      <c r="F19498" s="2" t="s">
        <v>11</v>
      </c>
      <c r="G19498" s="2" t="s">
        <v>5830</v>
      </c>
      <c r="H19498" s="2" t="s">
        <v>5831</v>
      </c>
    </row>
    <row r="19499" spans="1:8" ht="25.05" customHeight="1" x14ac:dyDescent="0.25">
      <c r="A19499" s="2" t="s">
        <v>8</v>
      </c>
      <c r="B19499" s="2" t="str">
        <f>HYPERLINK("http://ts.21cn.com/tousu/show/id/1351482","滴滴平台恶意不派单")</f>
        <v>滴滴平台恶意不派单</v>
      </c>
      <c r="C19499" s="2" t="s">
        <v>9</v>
      </c>
      <c r="D19499" s="2" t="s">
        <v>10</v>
      </c>
      <c r="E19499" s="2" t="str">
        <f>HYPERLINK("http://ts.21cn.com/tousu/show/id/1351482","http://ts.21cn.com/tousu/show/id/1351482")</f>
        <v>http://ts.21cn.com/tousu/show/id/1351482</v>
      </c>
      <c r="F19499" s="2" t="s">
        <v>11</v>
      </c>
      <c r="G19499" s="2" t="s">
        <v>5828</v>
      </c>
      <c r="H19499" s="2" t="s">
        <v>5829</v>
      </c>
    </row>
    <row r="19500" spans="1:8" ht="25.05" customHeight="1" x14ac:dyDescent="0.25">
      <c r="A19500" s="2" t="s">
        <v>8</v>
      </c>
      <c r="B19500" s="2" t="str">
        <f>HYPERLINK("http://ts.21cn.com/tousu/show/id/1351483","小黑鱼点心贷砍头")</f>
        <v>小黑鱼点心贷砍头</v>
      </c>
      <c r="C19500" s="2" t="s">
        <v>9</v>
      </c>
      <c r="D19500" s="2" t="s">
        <v>10</v>
      </c>
      <c r="E19500" s="2" t="str">
        <f>HYPERLINK("http://ts.21cn.com/tousu/show/id/1351483","http://ts.21cn.com/tousu/show/id/1351483")</f>
        <v>http://ts.21cn.com/tousu/show/id/1351483</v>
      </c>
      <c r="F19500" s="2" t="s">
        <v>11</v>
      </c>
      <c r="G19500" s="2" t="s">
        <v>5826</v>
      </c>
      <c r="H19500" s="2" t="s">
        <v>5827</v>
      </c>
    </row>
    <row r="19501" spans="1:8" ht="25.05" customHeight="1" x14ac:dyDescent="0.25">
      <c r="A19501" s="2" t="s">
        <v>8</v>
      </c>
      <c r="B19501" s="2" t="str">
        <f>HYPERLINK("http://ts.21cn.com/tousu/show/id/1351484","百万钱包超高担保费")</f>
        <v>百万钱包超高担保费</v>
      </c>
      <c r="C19501" s="2" t="s">
        <v>34</v>
      </c>
      <c r="D19501" s="2" t="s">
        <v>10</v>
      </c>
      <c r="E19501" s="2" t="str">
        <f>HYPERLINK("http://ts.21cn.com/tousu/show/id/1351484","http://ts.21cn.com/tousu/show/id/1351484")</f>
        <v>http://ts.21cn.com/tousu/show/id/1351484</v>
      </c>
      <c r="F19501" s="2" t="s">
        <v>11</v>
      </c>
      <c r="G19501" s="2" t="s">
        <v>5824</v>
      </c>
      <c r="H19501" s="2" t="s">
        <v>5825</v>
      </c>
    </row>
    <row r="19502" spans="1:8" ht="25.05" customHeight="1" x14ac:dyDescent="0.25">
      <c r="A19502" s="2" t="s">
        <v>8</v>
      </c>
      <c r="B19502" s="2" t="str">
        <f>HYPERLINK("http://ts.21cn.com/tousu/show/id/1351485","出行维选偷换概念存钱办会员")</f>
        <v>出行维选偷换概念存钱办会员</v>
      </c>
      <c r="C19502" s="2" t="s">
        <v>9</v>
      </c>
      <c r="D19502" s="2" t="s">
        <v>10</v>
      </c>
      <c r="E19502" s="2" t="str">
        <f>HYPERLINK("http://ts.21cn.com/tousu/show/id/1351485","http://ts.21cn.com/tousu/show/id/1351485")</f>
        <v>http://ts.21cn.com/tousu/show/id/1351485</v>
      </c>
      <c r="F19502" s="2" t="s">
        <v>11</v>
      </c>
      <c r="G19502" s="2" t="s">
        <v>5822</v>
      </c>
      <c r="H19502" s="2" t="s">
        <v>5823</v>
      </c>
    </row>
    <row r="19503" spans="1:8" ht="25.05" customHeight="1" x14ac:dyDescent="0.25">
      <c r="A19503" s="2" t="s">
        <v>8</v>
      </c>
      <c r="B19503" s="2" t="str">
        <f>HYPERLINK("http://ts.21cn.com/tousu/show/id/1351486","及贷强制不予提前结清贷款")</f>
        <v>及贷强制不予提前结清贷款</v>
      </c>
      <c r="C19503" s="2" t="s">
        <v>9</v>
      </c>
      <c r="D19503" s="2" t="s">
        <v>10</v>
      </c>
      <c r="E19503" s="2" t="str">
        <f>HYPERLINK("http://ts.21cn.com/tousu/show/id/1351486","http://ts.21cn.com/tousu/show/id/1351486")</f>
        <v>http://ts.21cn.com/tousu/show/id/1351486</v>
      </c>
      <c r="F19503" s="2" t="s">
        <v>11</v>
      </c>
      <c r="G19503" s="2" t="s">
        <v>5820</v>
      </c>
      <c r="H19503" s="2" t="s">
        <v>5821</v>
      </c>
    </row>
    <row r="19504" spans="1:8" ht="25.05" customHeight="1" x14ac:dyDescent="0.25">
      <c r="A19504" s="2" t="s">
        <v>8</v>
      </c>
      <c r="B19504" s="2" t="str">
        <f>HYPERLINK("http://ts.21cn.com/tousu/show/id/1351487","砍头息高额利息未处理")</f>
        <v>砍头息高额利息未处理</v>
      </c>
      <c r="C19504" s="2" t="s">
        <v>9</v>
      </c>
      <c r="D19504" s="2" t="s">
        <v>10</v>
      </c>
      <c r="E19504" s="2" t="str">
        <f>HYPERLINK("http://ts.21cn.com/tousu/show/id/1351487","http://ts.21cn.com/tousu/show/id/1351487")</f>
        <v>http://ts.21cn.com/tousu/show/id/1351487</v>
      </c>
      <c r="F19504" s="2" t="s">
        <v>11</v>
      </c>
      <c r="G19504" s="2" t="s">
        <v>5818</v>
      </c>
      <c r="H19504" s="2" t="s">
        <v>5819</v>
      </c>
    </row>
    <row r="19505" spans="1:8" ht="25.05" customHeight="1" x14ac:dyDescent="0.25">
      <c r="A19505" s="2" t="s">
        <v>8</v>
      </c>
      <c r="B19505" s="2" t="str">
        <f>HYPERLINK("http://ts.21cn.com/tousu/show/id/1351488","钱站老友计划借款未打到所提供的银行卡，未通知本人直接在APP上全部扣掉，而且不知道扣到哪里了，只有一个账单")</f>
        <v>钱站老友计划借款未打到所提供的银行卡，未通知本人直接在APP上全部扣掉，而且不知道扣到哪里了，只有一个账单</v>
      </c>
      <c r="C19505" s="2" t="s">
        <v>34</v>
      </c>
      <c r="D19505" s="2" t="s">
        <v>10</v>
      </c>
      <c r="E19505" s="2" t="str">
        <f>HYPERLINK("http://ts.21cn.com/tousu/show/id/1351488","http://ts.21cn.com/tousu/show/id/1351488")</f>
        <v>http://ts.21cn.com/tousu/show/id/1351488</v>
      </c>
      <c r="F19505" s="2" t="s">
        <v>11</v>
      </c>
      <c r="G19505" s="2" t="s">
        <v>5816</v>
      </c>
      <c r="H19505" s="2" t="s">
        <v>5817</v>
      </c>
    </row>
    <row r="19506" spans="1:8" ht="25.05" customHeight="1" x14ac:dyDescent="0.25">
      <c r="A19506" s="2" t="s">
        <v>8</v>
      </c>
      <c r="B19506" s="2" t="str">
        <f>HYPERLINK("http://ts.21cn.com/tousu/show/id/1351489","拼多多现金助力活动")</f>
        <v>拼多多现金助力活动</v>
      </c>
      <c r="C19506" s="2" t="s">
        <v>9</v>
      </c>
      <c r="D19506" s="2" t="s">
        <v>10</v>
      </c>
      <c r="E19506" s="2" t="str">
        <f>HYPERLINK("http://ts.21cn.com/tousu/show/id/1351489","http://ts.21cn.com/tousu/show/id/1351489")</f>
        <v>http://ts.21cn.com/tousu/show/id/1351489</v>
      </c>
      <c r="F19506" s="2" t="s">
        <v>11</v>
      </c>
      <c r="G19506" s="2" t="s">
        <v>5814</v>
      </c>
      <c r="H19506" s="2" t="s">
        <v>5815</v>
      </c>
    </row>
    <row r="19507" spans="1:8" ht="25.05" customHeight="1" x14ac:dyDescent="0.25">
      <c r="A19507" s="2" t="s">
        <v>8</v>
      </c>
      <c r="B19507" s="2" t="str">
        <f>HYPERLINK("http://ts.21cn.com/tousu/show/id/1351491","未经允许，群发短信骚扰众多联系人，且在九点以后")</f>
        <v>未经允许，群发短信骚扰众多联系人，且在九点以后</v>
      </c>
      <c r="C19507" s="2" t="s">
        <v>9</v>
      </c>
      <c r="D19507" s="2" t="s">
        <v>10</v>
      </c>
      <c r="E19507" s="2" t="str">
        <f>HYPERLINK("http://ts.21cn.com/tousu/show/id/1351491","http://ts.21cn.com/tousu/show/id/1351491")</f>
        <v>http://ts.21cn.com/tousu/show/id/1351491</v>
      </c>
      <c r="F19507" s="2" t="s">
        <v>11</v>
      </c>
      <c r="G19507" s="2" t="s">
        <v>5812</v>
      </c>
      <c r="H19507" s="2" t="s">
        <v>5813</v>
      </c>
    </row>
    <row r="19508" spans="1:8" ht="25.05" customHeight="1" x14ac:dyDescent="0.25">
      <c r="A19508" s="2" t="s">
        <v>8</v>
      </c>
      <c r="B19508" s="2" t="str">
        <f>HYPERLINK("http://ts.21cn.com/tousu/show/id/1351492","好分期无良，自动下款，并且高额利息，")</f>
        <v>好分期无良，自动下款，并且高额利息，</v>
      </c>
      <c r="C19508" s="2" t="s">
        <v>9</v>
      </c>
      <c r="D19508" s="2" t="s">
        <v>10</v>
      </c>
      <c r="E19508" s="2" t="str">
        <f>HYPERLINK("http://ts.21cn.com/tousu/show/id/1351492","http://ts.21cn.com/tousu/show/id/1351492")</f>
        <v>http://ts.21cn.com/tousu/show/id/1351492</v>
      </c>
      <c r="F19508" s="2" t="s">
        <v>11</v>
      </c>
      <c r="G19508" s="2" t="s">
        <v>5810</v>
      </c>
      <c r="H19508" s="2" t="s">
        <v>5811</v>
      </c>
    </row>
    <row r="19509" spans="1:8" ht="25.05" customHeight="1" x14ac:dyDescent="0.25">
      <c r="A19509" s="2" t="s">
        <v>8</v>
      </c>
      <c r="B19509" s="2" t="str">
        <f>HYPERLINK("http://ts.21cn.com/tousu/show/id/1351493","投诉360借条恶意骚扰通讯录联系人")</f>
        <v>投诉360借条恶意骚扰通讯录联系人</v>
      </c>
      <c r="C19509" s="2" t="s">
        <v>9</v>
      </c>
      <c r="D19509" s="2" t="s">
        <v>10</v>
      </c>
      <c r="E19509" s="2" t="str">
        <f>HYPERLINK("http://ts.21cn.com/tousu/show/id/1351493","http://ts.21cn.com/tousu/show/id/1351493")</f>
        <v>http://ts.21cn.com/tousu/show/id/1351493</v>
      </c>
      <c r="F19509" s="2" t="s">
        <v>11</v>
      </c>
      <c r="G19509" s="2" t="s">
        <v>5808</v>
      </c>
      <c r="H19509" s="2" t="s">
        <v>5809</v>
      </c>
    </row>
    <row r="19510" spans="1:8" ht="25.05" customHeight="1" x14ac:dyDescent="0.25">
      <c r="A19510" s="2" t="s">
        <v>8</v>
      </c>
      <c r="B19510" s="2" t="str">
        <f>HYPERLINK("http://ts.21cn.com/tousu/show/id/1351495","柠檬金服联合和平车行、国银盛达非法上征信")</f>
        <v>柠檬金服联合和平车行、国银盛达非法上征信</v>
      </c>
      <c r="C19510" s="2" t="s">
        <v>9</v>
      </c>
      <c r="D19510" s="2" t="s">
        <v>10</v>
      </c>
      <c r="E19510" s="2" t="str">
        <f>HYPERLINK("http://ts.21cn.com/tousu/show/id/1351495","http://ts.21cn.com/tousu/show/id/1351495")</f>
        <v>http://ts.21cn.com/tousu/show/id/1351495</v>
      </c>
      <c r="F19510" s="2" t="s">
        <v>11</v>
      </c>
      <c r="G19510" s="2" t="s">
        <v>5805</v>
      </c>
      <c r="H19510" s="2" t="s">
        <v>5806</v>
      </c>
    </row>
    <row r="19511" spans="1:8" ht="25.05" customHeight="1" x14ac:dyDescent="0.25">
      <c r="A19511" s="2" t="s">
        <v>8</v>
      </c>
      <c r="B19511" s="2" t="str">
        <f>HYPERLINK("http://ts.21cn.com/tousu/show/id/1351494","马上金融阴阳合同欺诈消费者")</f>
        <v>马上金融阴阳合同欺诈消费者</v>
      </c>
      <c r="C19511" s="2" t="s">
        <v>9</v>
      </c>
      <c r="D19511" s="2" t="s">
        <v>10</v>
      </c>
      <c r="E19511" s="2" t="str">
        <f>HYPERLINK("http://ts.21cn.com/tousu/show/id/1351494","http://ts.21cn.com/tousu/show/id/1351494")</f>
        <v>http://ts.21cn.com/tousu/show/id/1351494</v>
      </c>
      <c r="F19511" s="2" t="s">
        <v>11</v>
      </c>
      <c r="G19511" s="2" t="s">
        <v>5805</v>
      </c>
      <c r="H19511" s="2" t="s">
        <v>5807</v>
      </c>
    </row>
    <row r="19512" spans="1:8" ht="25.05" customHeight="1" x14ac:dyDescent="0.25">
      <c r="A19512" s="2" t="s">
        <v>8</v>
      </c>
      <c r="B19512" s="2" t="str">
        <f>HYPERLINK("http://ts.21cn.com/tousu/show/id/1351496","小浦优客无故扣款296")</f>
        <v>小浦优客无故扣款296</v>
      </c>
      <c r="C19512" s="2" t="s">
        <v>34</v>
      </c>
      <c r="D19512" s="2" t="s">
        <v>10</v>
      </c>
      <c r="E19512" s="2" t="str">
        <f>HYPERLINK("http://ts.21cn.com/tousu/show/id/1351496","http://ts.21cn.com/tousu/show/id/1351496")</f>
        <v>http://ts.21cn.com/tousu/show/id/1351496</v>
      </c>
      <c r="F19512" s="2" t="s">
        <v>11</v>
      </c>
      <c r="G19512" s="2" t="s">
        <v>5803</v>
      </c>
      <c r="H19512" s="2" t="s">
        <v>5804</v>
      </c>
    </row>
    <row r="19513" spans="1:8" ht="25.05" customHeight="1" x14ac:dyDescent="0.25">
      <c r="A19513" s="2" t="s">
        <v>8</v>
      </c>
      <c r="B19513" s="2" t="str">
        <f>HYPERLINK("http://ts.21cn.com/tousu/show/id/1351497","王者荣耀影响用户，充钱了不让玩")</f>
        <v>王者荣耀影响用户，充钱了不让玩</v>
      </c>
      <c r="C19513" s="2" t="s">
        <v>9</v>
      </c>
      <c r="D19513" s="2" t="s">
        <v>10</v>
      </c>
      <c r="E19513" s="2" t="str">
        <f>HYPERLINK("http://ts.21cn.com/tousu/show/id/1351497","http://ts.21cn.com/tousu/show/id/1351497")</f>
        <v>http://ts.21cn.com/tousu/show/id/1351497</v>
      </c>
      <c r="F19513" s="2" t="s">
        <v>11</v>
      </c>
      <c r="G19513" s="2" t="s">
        <v>5801</v>
      </c>
      <c r="H19513" s="2" t="s">
        <v>5802</v>
      </c>
    </row>
    <row r="19514" spans="1:8" ht="25.05" customHeight="1" x14ac:dyDescent="0.25">
      <c r="A19514" s="2" t="s">
        <v>8</v>
      </c>
      <c r="B19514" s="2" t="str">
        <f>HYPERLINK("http://ts.21cn.com/tousu/show/id/1351498","黑心商家无故扣款")</f>
        <v>黑心商家无故扣款</v>
      </c>
      <c r="C19514" s="2" t="s">
        <v>9</v>
      </c>
      <c r="D19514" s="2" t="s">
        <v>10</v>
      </c>
      <c r="E19514" s="2" t="str">
        <f>HYPERLINK("http://ts.21cn.com/tousu/show/id/1351498","http://ts.21cn.com/tousu/show/id/1351498")</f>
        <v>http://ts.21cn.com/tousu/show/id/1351498</v>
      </c>
      <c r="F19514" s="2" t="s">
        <v>11</v>
      </c>
      <c r="G19514" s="2" t="s">
        <v>5799</v>
      </c>
      <c r="H19514" s="2" t="s">
        <v>5800</v>
      </c>
    </row>
    <row r="19515" spans="1:8" ht="25.05" customHeight="1" x14ac:dyDescent="0.25">
      <c r="A19515" s="2" t="s">
        <v>8</v>
      </c>
      <c r="B19515" s="2" t="str">
        <f>HYPERLINK("http://ts.21cn.com/tousu/show/id/1351499","乐刷收款码到帐后不给提现")</f>
        <v>乐刷收款码到帐后不给提现</v>
      </c>
      <c r="C19515" s="2" t="s">
        <v>9</v>
      </c>
      <c r="D19515" s="2" t="s">
        <v>10</v>
      </c>
      <c r="E19515" s="2" t="str">
        <f>HYPERLINK("http://ts.21cn.com/tousu/show/id/1351499","http://ts.21cn.com/tousu/show/id/1351499")</f>
        <v>http://ts.21cn.com/tousu/show/id/1351499</v>
      </c>
      <c r="F19515" s="2" t="s">
        <v>11</v>
      </c>
      <c r="G19515" s="2" t="s">
        <v>5797</v>
      </c>
      <c r="H19515" s="2" t="s">
        <v>5798</v>
      </c>
    </row>
    <row r="19516" spans="1:8" ht="25.05" customHeight="1" x14ac:dyDescent="0.25">
      <c r="A19516" s="2" t="s">
        <v>8</v>
      </c>
      <c r="B19516" s="2" t="str">
        <f>HYPERLINK("http://ts.21cn.com/tousu/show/id/1351500","（宜信）严重砍头息暴力催收")</f>
        <v>（宜信）严重砍头息暴力催收</v>
      </c>
      <c r="C19516" s="2" t="s">
        <v>9</v>
      </c>
      <c r="D19516" s="2" t="s">
        <v>10</v>
      </c>
      <c r="E19516" s="2" t="str">
        <f>HYPERLINK("http://ts.21cn.com/tousu/show/id/1351500","http://ts.21cn.com/tousu/show/id/1351500")</f>
        <v>http://ts.21cn.com/tousu/show/id/1351500</v>
      </c>
      <c r="F19516" s="2" t="s">
        <v>11</v>
      </c>
      <c r="G19516" s="2" t="s">
        <v>5795</v>
      </c>
      <c r="H19516" s="2" t="s">
        <v>5796</v>
      </c>
    </row>
    <row r="19517" spans="1:8" ht="25.05" customHeight="1" x14ac:dyDescent="0.25">
      <c r="A19517" s="2" t="s">
        <v>8</v>
      </c>
      <c r="B19517" s="2" t="str">
        <f>HYPERLINK("http://ts.21cn.com/tousu/show/id/1351501","马上消费金融，暴力催收，群发短信，恐吓催收")</f>
        <v>马上消费金融，暴力催收，群发短信，恐吓催收</v>
      </c>
      <c r="C19517" s="2" t="s">
        <v>9</v>
      </c>
      <c r="D19517" s="2" t="s">
        <v>10</v>
      </c>
      <c r="E19517" s="2" t="str">
        <f>HYPERLINK("http://ts.21cn.com/tousu/show/id/1351501","http://ts.21cn.com/tousu/show/id/1351501")</f>
        <v>http://ts.21cn.com/tousu/show/id/1351501</v>
      </c>
      <c r="F19517" s="2" t="s">
        <v>11</v>
      </c>
      <c r="G19517" s="2" t="s">
        <v>5793</v>
      </c>
      <c r="H19517" s="2" t="s">
        <v>5794</v>
      </c>
    </row>
    <row r="19518" spans="1:8" ht="25.05" customHeight="1" x14ac:dyDescent="0.25">
      <c r="A19518" s="2" t="s">
        <v>8</v>
      </c>
      <c r="B19518" s="2" t="str">
        <f>HYPERLINK("http://ts.21cn.com/tousu/show/id/1351490","汇潮支付为714高炮平台违规提供支付渠道，要求退还非法利息！")</f>
        <v>汇潮支付为714高炮平台违规提供支付渠道，要求退还非法利息！</v>
      </c>
      <c r="C19518" s="2" t="s">
        <v>9</v>
      </c>
      <c r="D19518" s="2" t="s">
        <v>10</v>
      </c>
      <c r="E19518" s="2" t="str">
        <f>HYPERLINK("http://ts.21cn.com/tousu/show/id/1351490","http://ts.21cn.com/tousu/show/id/1351490")</f>
        <v>http://ts.21cn.com/tousu/show/id/1351490</v>
      </c>
      <c r="F19518" s="2" t="s">
        <v>11</v>
      </c>
      <c r="G19518" s="2" t="s">
        <v>5791</v>
      </c>
      <c r="H19518" s="2" t="s">
        <v>5792</v>
      </c>
    </row>
    <row r="19519" spans="1:8" ht="25.05" customHeight="1" x14ac:dyDescent="0.25">
      <c r="A19519" s="2" t="s">
        <v>8</v>
      </c>
      <c r="B19519" s="2" t="str">
        <f>HYPERLINK("http://ts.21cn.com/tousu/show/id/1351503","拿砍头息")</f>
        <v>拿砍头息</v>
      </c>
      <c r="C19519" s="2" t="s">
        <v>34</v>
      </c>
      <c r="D19519" s="2" t="s">
        <v>10</v>
      </c>
      <c r="E19519" s="2" t="str">
        <f>HYPERLINK("http://ts.21cn.com/tousu/show/id/1351503","http://ts.21cn.com/tousu/show/id/1351503")</f>
        <v>http://ts.21cn.com/tousu/show/id/1351503</v>
      </c>
      <c r="F19519" s="2" t="s">
        <v>11</v>
      </c>
      <c r="G19519" s="2" t="s">
        <v>5789</v>
      </c>
      <c r="H19519" s="2" t="s">
        <v>5790</v>
      </c>
    </row>
    <row r="19520" spans="1:8" ht="25.05" customHeight="1" x14ac:dyDescent="0.25">
      <c r="A19520" s="2" t="s">
        <v>8</v>
      </c>
      <c r="B19520" s="2" t="str">
        <f>HYPERLINK("http://ts.21cn.com/tousu/show/id/1351502","优信二手车套路贷")</f>
        <v>优信二手车套路贷</v>
      </c>
      <c r="C19520" s="2" t="s">
        <v>9</v>
      </c>
      <c r="D19520" s="2" t="s">
        <v>10</v>
      </c>
      <c r="E19520" s="2" t="str">
        <f>HYPERLINK("http://ts.21cn.com/tousu/show/id/1351502","http://ts.21cn.com/tousu/show/id/1351502")</f>
        <v>http://ts.21cn.com/tousu/show/id/1351502</v>
      </c>
      <c r="F19520" s="2" t="s">
        <v>11</v>
      </c>
      <c r="G19520" s="2" t="s">
        <v>5787</v>
      </c>
      <c r="H19520" s="2" t="s">
        <v>5788</v>
      </c>
    </row>
    <row r="19521" spans="1:8" ht="25.05" customHeight="1" x14ac:dyDescent="0.25">
      <c r="A19521" s="2" t="s">
        <v>8</v>
      </c>
      <c r="B19521" s="2" t="str">
        <f>HYPERLINK("http://ts.21cn.com/tousu/show/id/1351475","我来贷利息太高并且不能提前还款")</f>
        <v>我来贷利息太高并且不能提前还款</v>
      </c>
      <c r="C19521" s="2" t="s">
        <v>9</v>
      </c>
      <c r="D19521" s="2" t="s">
        <v>10</v>
      </c>
      <c r="E19521" s="2" t="str">
        <f>HYPERLINK("http://ts.21cn.com/tousu/show/id/1351475","http://ts.21cn.com/tousu/show/id/1351475")</f>
        <v>http://ts.21cn.com/tousu/show/id/1351475</v>
      </c>
      <c r="F19521" s="2" t="s">
        <v>11</v>
      </c>
      <c r="G19521" s="2" t="s">
        <v>5785</v>
      </c>
      <c r="H19521" s="2" t="s">
        <v>5786</v>
      </c>
    </row>
    <row r="19522" spans="1:8" ht="25.05" customHeight="1" x14ac:dyDescent="0.25">
      <c r="A19522" s="2" t="s">
        <v>8</v>
      </c>
      <c r="B19522" s="2" t="str">
        <f>HYPERLINK("http://ts.21cn.com/tousu/show/id/1351507","及货冒充国家机构人员")</f>
        <v>及货冒充国家机构人员</v>
      </c>
      <c r="C19522" s="2" t="s">
        <v>9</v>
      </c>
      <c r="D19522" s="2" t="s">
        <v>10</v>
      </c>
      <c r="E19522" s="2" t="str">
        <f>HYPERLINK("http://ts.21cn.com/tousu/show/id/1351507","http://ts.21cn.com/tousu/show/id/1351507")</f>
        <v>http://ts.21cn.com/tousu/show/id/1351507</v>
      </c>
      <c r="F19522" s="2" t="s">
        <v>11</v>
      </c>
      <c r="G19522" s="2" t="s">
        <v>5783</v>
      </c>
      <c r="H19522" s="2" t="s">
        <v>5784</v>
      </c>
    </row>
    <row r="19523" spans="1:8" ht="25.05" customHeight="1" x14ac:dyDescent="0.25">
      <c r="A19523" s="2" t="s">
        <v>8</v>
      </c>
      <c r="B19523" s="2" t="str">
        <f>HYPERLINK("http://ts.21cn.com/tousu/show/id/1351506","还款未逾期恒昌公司催收打联系人辱骂")</f>
        <v>还款未逾期恒昌公司催收打联系人辱骂</v>
      </c>
      <c r="C19523" s="2" t="s">
        <v>9</v>
      </c>
      <c r="D19523" s="2" t="s">
        <v>10</v>
      </c>
      <c r="E19523" s="2" t="str">
        <f>HYPERLINK("http://ts.21cn.com/tousu/show/id/1351506","http://ts.21cn.com/tousu/show/id/1351506")</f>
        <v>http://ts.21cn.com/tousu/show/id/1351506</v>
      </c>
      <c r="F19523" s="2" t="s">
        <v>11</v>
      </c>
      <c r="G19523" s="2" t="s">
        <v>5781</v>
      </c>
      <c r="H19523" s="2" t="s">
        <v>5782</v>
      </c>
    </row>
    <row r="19524" spans="1:8" ht="25.05" customHeight="1" x14ac:dyDescent="0.25">
      <c r="A19524" s="2" t="s">
        <v>8</v>
      </c>
      <c r="B19524" s="2" t="str">
        <f>HYPERLINK("http://ts.21cn.com/tousu/show/id/1351504","闪银奇异高利贷，借各种方式收取砍头息")</f>
        <v>闪银奇异高利贷，借各种方式收取砍头息</v>
      </c>
      <c r="C19524" s="2" t="s">
        <v>9</v>
      </c>
      <c r="D19524" s="2" t="s">
        <v>10</v>
      </c>
      <c r="E19524" s="2" t="str">
        <f>HYPERLINK("http://ts.21cn.com/tousu/show/id/1351504","http://ts.21cn.com/tousu/show/id/1351504")</f>
        <v>http://ts.21cn.com/tousu/show/id/1351504</v>
      </c>
      <c r="F19524" s="2" t="s">
        <v>11</v>
      </c>
      <c r="G19524" s="2" t="s">
        <v>5779</v>
      </c>
      <c r="H19524" s="2" t="s">
        <v>5780</v>
      </c>
    </row>
    <row r="19525" spans="1:8" ht="25.05" customHeight="1" x14ac:dyDescent="0.25">
      <c r="A19525" s="2" t="s">
        <v>8</v>
      </c>
      <c r="B19525" s="2" t="str">
        <f>HYPERLINK("http://ts.21cn.com/tousu/show/id/1351508","标题就是：爱白条暴力催收，威胁恐吓家人爆通讯录")</f>
        <v>标题就是：爱白条暴力催收，威胁恐吓家人爆通讯录</v>
      </c>
      <c r="C19525" s="2" t="s">
        <v>9</v>
      </c>
      <c r="D19525" s="2" t="s">
        <v>10</v>
      </c>
      <c r="E19525" s="2" t="str">
        <f>HYPERLINK("http://ts.21cn.com/tousu/show/id/1351508","http://ts.21cn.com/tousu/show/id/1351508")</f>
        <v>http://ts.21cn.com/tousu/show/id/1351508</v>
      </c>
      <c r="F19525" s="2" t="s">
        <v>11</v>
      </c>
      <c r="G19525" s="2" t="s">
        <v>5777</v>
      </c>
      <c r="H19525" s="2" t="s">
        <v>5778</v>
      </c>
    </row>
    <row r="19526" spans="1:8" ht="25.05" customHeight="1" x14ac:dyDescent="0.25">
      <c r="A19526" s="2" t="s">
        <v>8</v>
      </c>
      <c r="B19526" s="2" t="str">
        <f>HYPERLINK("http://ts.21cn.com/tousu/show/id/1351509","玖富万卡高利贷客服态度恶心")</f>
        <v>玖富万卡高利贷客服态度恶心</v>
      </c>
      <c r="C19526" s="2" t="s">
        <v>9</v>
      </c>
      <c r="D19526" s="2" t="s">
        <v>10</v>
      </c>
      <c r="E19526" s="2" t="str">
        <f>HYPERLINK("http://ts.21cn.com/tousu/show/id/1351509","http://ts.21cn.com/tousu/show/id/1351509")</f>
        <v>http://ts.21cn.com/tousu/show/id/1351509</v>
      </c>
      <c r="F19526" s="2" t="s">
        <v>11</v>
      </c>
      <c r="G19526" s="2" t="s">
        <v>5775</v>
      </c>
      <c r="H19526" s="2" t="s">
        <v>5776</v>
      </c>
    </row>
    <row r="19527" spans="1:8" ht="25.05" customHeight="1" x14ac:dyDescent="0.25">
      <c r="A19527" s="2" t="s">
        <v>8</v>
      </c>
      <c r="B19527" s="2" t="str">
        <f>HYPERLINK("http://ts.21cn.com/tousu/show/id/1351510","造艺科技诱导扣款，不予退费")</f>
        <v>造艺科技诱导扣款，不予退费</v>
      </c>
      <c r="C19527" s="2" t="s">
        <v>9</v>
      </c>
      <c r="D19527" s="2" t="s">
        <v>10</v>
      </c>
      <c r="E19527" s="2" t="str">
        <f>HYPERLINK("http://ts.21cn.com/tousu/show/id/1351510","http://ts.21cn.com/tousu/show/id/1351510")</f>
        <v>http://ts.21cn.com/tousu/show/id/1351510</v>
      </c>
      <c r="F19527" s="2" t="s">
        <v>11</v>
      </c>
      <c r="G19527" s="2" t="s">
        <v>5773</v>
      </c>
      <c r="H19527" s="2" t="s">
        <v>5774</v>
      </c>
    </row>
    <row r="19528" spans="1:8" ht="25.05" customHeight="1" x14ac:dyDescent="0.25">
      <c r="A19528" s="2" t="s">
        <v>8</v>
      </c>
      <c r="B19528" s="2" t="str">
        <f>HYPERLINK("http://ts.21cn.com/tousu/show/id/1351511","账户被未知商户扣款五万多元，超盟支付平台拒不受理")</f>
        <v>账户被未知商户扣款五万多元，超盟支付平台拒不受理</v>
      </c>
      <c r="C19528" s="2" t="s">
        <v>9</v>
      </c>
      <c r="D19528" s="2" t="s">
        <v>10</v>
      </c>
      <c r="E19528" s="2" t="str">
        <f>HYPERLINK("http://ts.21cn.com/tousu/show/id/1351511","http://ts.21cn.com/tousu/show/id/1351511")</f>
        <v>http://ts.21cn.com/tousu/show/id/1351511</v>
      </c>
      <c r="F19528" s="2" t="s">
        <v>11</v>
      </c>
      <c r="G19528" s="2" t="s">
        <v>5771</v>
      </c>
      <c r="H19528" s="2" t="s">
        <v>5772</v>
      </c>
    </row>
    <row r="19529" spans="1:8" ht="25.05" customHeight="1" x14ac:dyDescent="0.25">
      <c r="A19529" s="2" t="s">
        <v>8</v>
      </c>
      <c r="B19529" s="2" t="str">
        <f>HYPERLINK("http://ts.21cn.com/tousu/show/id/1351512","贷上钱以买游戏豆为由收取高额贷款通过费")</f>
        <v>贷上钱以买游戏豆为由收取高额贷款通过费</v>
      </c>
      <c r="C19529" s="2" t="s">
        <v>9</v>
      </c>
      <c r="D19529" s="2" t="s">
        <v>10</v>
      </c>
      <c r="E19529" s="2" t="str">
        <f>HYPERLINK("http://ts.21cn.com/tousu/show/id/1351512","http://ts.21cn.com/tousu/show/id/1351512")</f>
        <v>http://ts.21cn.com/tousu/show/id/1351512</v>
      </c>
      <c r="F19529" s="2" t="s">
        <v>11</v>
      </c>
      <c r="G19529" s="2" t="s">
        <v>5769</v>
      </c>
      <c r="H19529" s="2" t="s">
        <v>5770</v>
      </c>
    </row>
    <row r="19530" spans="1:8" ht="25.05" customHeight="1" x14ac:dyDescent="0.25">
      <c r="A19530" s="2" t="s">
        <v>8</v>
      </c>
      <c r="B19530" s="2" t="str">
        <f>HYPERLINK("http://ts.21cn.com/tousu/show/id/1351513","请求贪玩游戏退我血汗钱")</f>
        <v>请求贪玩游戏退我血汗钱</v>
      </c>
      <c r="C19530" s="2" t="s">
        <v>9</v>
      </c>
      <c r="D19530" s="2" t="s">
        <v>10</v>
      </c>
      <c r="E19530" s="2" t="str">
        <f>HYPERLINK("http://ts.21cn.com/tousu/show/id/1351513","http://ts.21cn.com/tousu/show/id/1351513")</f>
        <v>http://ts.21cn.com/tousu/show/id/1351513</v>
      </c>
      <c r="F19530" s="2" t="s">
        <v>11</v>
      </c>
      <c r="G19530" s="2" t="s">
        <v>5767</v>
      </c>
      <c r="H19530" s="2" t="s">
        <v>5768</v>
      </c>
    </row>
    <row r="19531" spans="1:8" ht="25.05" customHeight="1" x14ac:dyDescent="0.25">
      <c r="A19531" s="2" t="s">
        <v>8</v>
      </c>
      <c r="B19531" s="2" t="str">
        <f>HYPERLINK("http://ts.21cn.com/tousu/show/id/1351514","大专首付不退费")</f>
        <v>大专首付不退费</v>
      </c>
      <c r="C19531" s="2" t="s">
        <v>9</v>
      </c>
      <c r="D19531" s="2" t="s">
        <v>10</v>
      </c>
      <c r="E19531" s="2" t="str">
        <f>HYPERLINK("http://ts.21cn.com/tousu/show/id/1351514","http://ts.21cn.com/tousu/show/id/1351514")</f>
        <v>http://ts.21cn.com/tousu/show/id/1351514</v>
      </c>
      <c r="F19531" s="2" t="s">
        <v>11</v>
      </c>
      <c r="G19531" s="2" t="s">
        <v>5765</v>
      </c>
      <c r="H19531" s="2" t="s">
        <v>5766</v>
      </c>
    </row>
    <row r="19532" spans="1:8" ht="25.05" customHeight="1" x14ac:dyDescent="0.25">
      <c r="A19532" s="2" t="s">
        <v>8</v>
      </c>
      <c r="B19532" s="2" t="str">
        <f>HYPERLINK("http://ts.21cn.com/tousu/show/id/1351515","闪银平台没有借款，显示任有借款要还")</f>
        <v>闪银平台没有借款，显示任有借款要还</v>
      </c>
      <c r="C19532" s="2" t="s">
        <v>9</v>
      </c>
      <c r="D19532" s="2" t="s">
        <v>10</v>
      </c>
      <c r="E19532" s="2" t="str">
        <f>HYPERLINK("http://ts.21cn.com/tousu/show/id/1351515","http://ts.21cn.com/tousu/show/id/1351515")</f>
        <v>http://ts.21cn.com/tousu/show/id/1351515</v>
      </c>
      <c r="F19532" s="2" t="s">
        <v>11</v>
      </c>
      <c r="G19532" s="2" t="s">
        <v>5763</v>
      </c>
      <c r="H19532" s="2" t="s">
        <v>5764</v>
      </c>
    </row>
    <row r="19533" spans="1:8" ht="25.05" customHeight="1" x14ac:dyDescent="0.25">
      <c r="A19533" s="2" t="s">
        <v>8</v>
      </c>
      <c r="B19533" s="2" t="str">
        <f>HYPERLINK("http://ts.21cn.com/tousu/show/id/1351516","套路贷，砍头息")</f>
        <v>套路贷，砍头息</v>
      </c>
      <c r="C19533" s="2" t="s">
        <v>9</v>
      </c>
      <c r="D19533" s="2" t="s">
        <v>10</v>
      </c>
      <c r="E19533" s="2" t="str">
        <f>HYPERLINK("http://ts.21cn.com/tousu/show/id/1351516","http://ts.21cn.com/tousu/show/id/1351516")</f>
        <v>http://ts.21cn.com/tousu/show/id/1351516</v>
      </c>
      <c r="F19533" s="2" t="s">
        <v>11</v>
      </c>
      <c r="G19533" s="2" t="s">
        <v>5761</v>
      </c>
      <c r="H19533" s="2" t="s">
        <v>5762</v>
      </c>
    </row>
    <row r="19534" spans="1:8" ht="25.05" customHeight="1" x14ac:dyDescent="0.25">
      <c r="A19534" s="2" t="s">
        <v>8</v>
      </c>
      <c r="B19534" s="2" t="str">
        <f>HYPERLINK("http://ts.21cn.com/tousu/show/id/1351517","天房天辰世纪楼盘强制捆绑车位售卖且车位不按期交付使用")</f>
        <v>天房天辰世纪楼盘强制捆绑车位售卖且车位不按期交付使用</v>
      </c>
      <c r="C19534" s="2" t="s">
        <v>9</v>
      </c>
      <c r="D19534" s="2" t="s">
        <v>10</v>
      </c>
      <c r="E19534" s="2" t="str">
        <f>HYPERLINK("http://ts.21cn.com/tousu/show/id/1351517","http://ts.21cn.com/tousu/show/id/1351517")</f>
        <v>http://ts.21cn.com/tousu/show/id/1351517</v>
      </c>
      <c r="F19534" s="2" t="s">
        <v>11</v>
      </c>
      <c r="G19534" s="2" t="s">
        <v>5759</v>
      </c>
      <c r="H19534" s="2" t="s">
        <v>5760</v>
      </c>
    </row>
    <row r="19535" spans="1:8" ht="25.05" customHeight="1" x14ac:dyDescent="0.25">
      <c r="A19535" s="2" t="s">
        <v>8</v>
      </c>
      <c r="B19535" s="2" t="str">
        <f>HYPERLINK("http://ts.21cn.com/tousu/show/id/1351518","京东物流随意更改用户派送时间")</f>
        <v>京东物流随意更改用户派送时间</v>
      </c>
      <c r="C19535" s="2" t="s">
        <v>9</v>
      </c>
      <c r="D19535" s="2" t="s">
        <v>10</v>
      </c>
      <c r="E19535" s="2" t="str">
        <f>HYPERLINK("http://ts.21cn.com/tousu/show/id/1351518","http://ts.21cn.com/tousu/show/id/1351518")</f>
        <v>http://ts.21cn.com/tousu/show/id/1351518</v>
      </c>
      <c r="F19535" s="2" t="s">
        <v>11</v>
      </c>
      <c r="G19535" s="2" t="s">
        <v>5757</v>
      </c>
      <c r="H19535" s="2" t="s">
        <v>5758</v>
      </c>
    </row>
    <row r="19536" spans="1:8" ht="25.05" customHeight="1" x14ac:dyDescent="0.25">
      <c r="A19536" s="2" t="s">
        <v>8</v>
      </c>
      <c r="B19536" s="2" t="str">
        <f>HYPERLINK("http://ts.21cn.com/tousu/show/id/1351519","捷信金融高利贷")</f>
        <v>捷信金融高利贷</v>
      </c>
      <c r="C19536" s="2" t="s">
        <v>9</v>
      </c>
      <c r="D19536" s="2" t="s">
        <v>10</v>
      </c>
      <c r="E19536" s="2" t="str">
        <f>HYPERLINK("http://ts.21cn.com/tousu/show/id/1351519","http://ts.21cn.com/tousu/show/id/1351519")</f>
        <v>http://ts.21cn.com/tousu/show/id/1351519</v>
      </c>
      <c r="F19536" s="2" t="s">
        <v>11</v>
      </c>
      <c r="G19536" s="2" t="s">
        <v>5755</v>
      </c>
      <c r="H19536" s="2" t="s">
        <v>5756</v>
      </c>
    </row>
    <row r="19537" spans="1:8" ht="25.05" customHeight="1" x14ac:dyDescent="0.25">
      <c r="A19537" s="2" t="s">
        <v>8</v>
      </c>
      <c r="B19537" s="2" t="str">
        <f>HYPERLINK("http://ts.21cn.com/tousu/show/id/1351522","造艺科技阴阳合同")</f>
        <v>造艺科技阴阳合同</v>
      </c>
      <c r="C19537" s="2" t="s">
        <v>9</v>
      </c>
      <c r="D19537" s="2" t="s">
        <v>10</v>
      </c>
      <c r="E19537" s="2" t="str">
        <f>HYPERLINK("http://ts.21cn.com/tousu/show/id/1351522","http://ts.21cn.com/tousu/show/id/1351522")</f>
        <v>http://ts.21cn.com/tousu/show/id/1351522</v>
      </c>
      <c r="F19537" s="2" t="s">
        <v>11</v>
      </c>
      <c r="G19537" s="2" t="s">
        <v>5753</v>
      </c>
      <c r="H19537" s="2" t="s">
        <v>5754</v>
      </c>
    </row>
    <row r="19538" spans="1:8" ht="25.05" customHeight="1" x14ac:dyDescent="0.25">
      <c r="A19538" s="2" t="s">
        <v>8</v>
      </c>
      <c r="B19538" s="2" t="str">
        <f>HYPERLINK("http://ts.21cn.com/tousu/show/id/1351520","黑心网贷高利息")</f>
        <v>黑心网贷高利息</v>
      </c>
      <c r="C19538" s="2" t="s">
        <v>9</v>
      </c>
      <c r="D19538" s="2" t="s">
        <v>10</v>
      </c>
      <c r="E19538" s="2" t="str">
        <f>HYPERLINK("http://ts.21cn.com/tousu/show/id/1351520","http://ts.21cn.com/tousu/show/id/1351520")</f>
        <v>http://ts.21cn.com/tousu/show/id/1351520</v>
      </c>
      <c r="F19538" s="2" t="s">
        <v>11</v>
      </c>
      <c r="G19538" s="2" t="s">
        <v>5751</v>
      </c>
      <c r="H19538" s="2" t="s">
        <v>5752</v>
      </c>
    </row>
    <row r="19539" spans="1:8" ht="25.05" customHeight="1" x14ac:dyDescent="0.25">
      <c r="A19539" s="2" t="s">
        <v>8</v>
      </c>
      <c r="B19539" s="2" t="str">
        <f>HYPERLINK("http://ts.21cn.com/tousu/show/id/1351521","上海翰银为赌博输平台收单，请求瀚银为我退款挽回经济损失")</f>
        <v>上海翰银为赌博输平台收单，请求瀚银为我退款挽回经济损失</v>
      </c>
      <c r="C19539" s="2" t="s">
        <v>9</v>
      </c>
      <c r="D19539" s="2" t="s">
        <v>10</v>
      </c>
      <c r="E19539" s="2" t="str">
        <f>HYPERLINK("http://ts.21cn.com/tousu/show/id/1351521","http://ts.21cn.com/tousu/show/id/1351521")</f>
        <v>http://ts.21cn.com/tousu/show/id/1351521</v>
      </c>
      <c r="F19539" s="2" t="s">
        <v>11</v>
      </c>
      <c r="G19539" s="2" t="s">
        <v>5749</v>
      </c>
      <c r="H19539" s="2" t="s">
        <v>5750</v>
      </c>
    </row>
    <row r="19540" spans="1:8" ht="25.05" customHeight="1" x14ac:dyDescent="0.25">
      <c r="A19540" s="2" t="s">
        <v>8</v>
      </c>
      <c r="B19540" s="2" t="str">
        <f>HYPERLINK("http://ts.21cn.com/tousu/show/id/1351523","御剑飞行一填写好资料就直接下款，都不知道贷款时间利息那些")</f>
        <v>御剑飞行一填写好资料就直接下款，都不知道贷款时间利息那些</v>
      </c>
      <c r="C19540" s="2" t="s">
        <v>34</v>
      </c>
      <c r="D19540" s="2" t="s">
        <v>10</v>
      </c>
      <c r="E19540" s="2" t="str">
        <f>HYPERLINK("http://ts.21cn.com/tousu/show/id/1351523","http://ts.21cn.com/tousu/show/id/1351523")</f>
        <v>http://ts.21cn.com/tousu/show/id/1351523</v>
      </c>
      <c r="F19540" s="2" t="s">
        <v>11</v>
      </c>
      <c r="G19540" s="2" t="s">
        <v>5747</v>
      </c>
      <c r="H19540" s="2" t="s">
        <v>5748</v>
      </c>
    </row>
    <row r="19541" spans="1:8" ht="25.05" customHeight="1" x14ac:dyDescent="0.25">
      <c r="A19541" s="2" t="s">
        <v>8</v>
      </c>
      <c r="B19541" s="2" t="str">
        <f>HYPERLINK("http://ts.21cn.com/tousu/show/id/1351032","兴业银行外包恶意催收")</f>
        <v>兴业银行外包恶意催收</v>
      </c>
      <c r="C19541" s="2" t="s">
        <v>9</v>
      </c>
      <c r="D19541" s="2" t="s">
        <v>10</v>
      </c>
      <c r="E19541" s="2" t="str">
        <f>HYPERLINK("http://ts.21cn.com/tousu/show/id/1351032","http://ts.21cn.com/tousu/show/id/1351032")</f>
        <v>http://ts.21cn.com/tousu/show/id/1351032</v>
      </c>
      <c r="F19541" s="2" t="s">
        <v>11</v>
      </c>
      <c r="G19541" s="2" t="s">
        <v>5745</v>
      </c>
      <c r="H19541" s="2" t="s">
        <v>5746</v>
      </c>
    </row>
    <row r="19542" spans="1:8" ht="25.05" customHeight="1" x14ac:dyDescent="0.25">
      <c r="A19542" s="2" t="s">
        <v>8</v>
      </c>
      <c r="B19542" s="2" t="str">
        <f>HYPERLINK("http://ts.21cn.com/tousu/show/id/1351525","钱伴利息太高以本人名义签了86个合同")</f>
        <v>钱伴利息太高以本人名义签了86个合同</v>
      </c>
      <c r="C19542" s="2" t="s">
        <v>9</v>
      </c>
      <c r="D19542" s="2" t="s">
        <v>10</v>
      </c>
      <c r="E19542" s="2" t="str">
        <f>HYPERLINK("http://ts.21cn.com/tousu/show/id/1351525","http://ts.21cn.com/tousu/show/id/1351525")</f>
        <v>http://ts.21cn.com/tousu/show/id/1351525</v>
      </c>
      <c r="F19542" s="2" t="s">
        <v>11</v>
      </c>
      <c r="G19542" s="2" t="s">
        <v>5743</v>
      </c>
      <c r="H19542" s="2" t="s">
        <v>5744</v>
      </c>
    </row>
    <row r="19543" spans="1:8" ht="25.05" customHeight="1" x14ac:dyDescent="0.25">
      <c r="A19543" s="2" t="s">
        <v>8</v>
      </c>
      <c r="B19543" s="2" t="str">
        <f>HYPERLINK("http://ts.21cn.com/tousu/show/id/1351346","升学教育，不给退费！")</f>
        <v>升学教育，不给退费！</v>
      </c>
      <c r="C19543" s="2" t="s">
        <v>9</v>
      </c>
      <c r="D19543" s="2" t="s">
        <v>10</v>
      </c>
      <c r="E19543" s="2" t="str">
        <f>HYPERLINK("http://ts.21cn.com/tousu/show/id/1351346","http://ts.21cn.com/tousu/show/id/1351346")</f>
        <v>http://ts.21cn.com/tousu/show/id/1351346</v>
      </c>
      <c r="F19543" s="2" t="s">
        <v>11</v>
      </c>
      <c r="G19543" s="2" t="s">
        <v>5741</v>
      </c>
      <c r="H19543" s="2" t="s">
        <v>5742</v>
      </c>
    </row>
    <row r="19544" spans="1:8" ht="25.05" customHeight="1" x14ac:dyDescent="0.25">
      <c r="A19544" s="2" t="s">
        <v>8</v>
      </c>
      <c r="B19544" s="2" t="str">
        <f>HYPERLINK("http://ts.21cn.com/tousu/show/id/1351528","天房天辰世纪楼盘强制捆绑车位售卖且车位不按期交付使用")</f>
        <v>天房天辰世纪楼盘强制捆绑车位售卖且车位不按期交付使用</v>
      </c>
      <c r="C19544" s="2" t="s">
        <v>9</v>
      </c>
      <c r="D19544" s="2" t="s">
        <v>10</v>
      </c>
      <c r="E19544" s="2" t="str">
        <f>HYPERLINK("http://ts.21cn.com/tousu/show/id/1351528","http://ts.21cn.com/tousu/show/id/1351528")</f>
        <v>http://ts.21cn.com/tousu/show/id/1351528</v>
      </c>
      <c r="F19544" s="2" t="s">
        <v>11</v>
      </c>
      <c r="G19544" s="2" t="s">
        <v>5739</v>
      </c>
      <c r="H19544" s="2" t="s">
        <v>5740</v>
      </c>
    </row>
    <row r="19545" spans="1:8" ht="25.05" customHeight="1" x14ac:dyDescent="0.25">
      <c r="A19545" s="2" t="s">
        <v>8</v>
      </c>
      <c r="B19545" s="2" t="str">
        <f>HYPERLINK("http://ts.21cn.com/tousu/show/id/1351527","收到一条期待金融的短信说我贷款逾期让我加微信处理说是好运贷的可我从来没听过也没借过在微信语音严重侮辱我家人威胁")</f>
        <v>收到一条期待金融的短信说我贷款逾期让我加微信处理说是好运贷的可我从来没听过也没借过在微信语音严重侮辱我家人威胁</v>
      </c>
      <c r="C19545" s="2" t="s">
        <v>9</v>
      </c>
      <c r="D19545" s="2" t="s">
        <v>10</v>
      </c>
      <c r="E19545" s="2" t="str">
        <f>HYPERLINK("http://ts.21cn.com/tousu/show/id/1351527","http://ts.21cn.com/tousu/show/id/1351527")</f>
        <v>http://ts.21cn.com/tousu/show/id/1351527</v>
      </c>
      <c r="F19545" s="2" t="s">
        <v>11</v>
      </c>
      <c r="G19545" s="2" t="s">
        <v>5737</v>
      </c>
      <c r="H19545" s="2" t="s">
        <v>5738</v>
      </c>
    </row>
    <row r="19546" spans="1:8" ht="25.05" customHeight="1" x14ac:dyDescent="0.25">
      <c r="A19546" s="2" t="s">
        <v>8</v>
      </c>
      <c r="B19546" s="2" t="str">
        <f>HYPERLINK("http://ts.21cn.com/tousu/show/id/1351529","拍拍贷恶意骚扰高利贷")</f>
        <v>拍拍贷恶意骚扰高利贷</v>
      </c>
      <c r="C19546" s="2" t="s">
        <v>9</v>
      </c>
      <c r="D19546" s="2" t="s">
        <v>10</v>
      </c>
      <c r="E19546" s="2" t="str">
        <f>HYPERLINK("http://ts.21cn.com/tousu/show/id/1351529","http://ts.21cn.com/tousu/show/id/1351529")</f>
        <v>http://ts.21cn.com/tousu/show/id/1351529</v>
      </c>
      <c r="F19546" s="2" t="s">
        <v>11</v>
      </c>
      <c r="G19546" s="2" t="s">
        <v>5735</v>
      </c>
      <c r="H19546" s="2" t="s">
        <v>5736</v>
      </c>
    </row>
    <row r="19547" spans="1:8" ht="25.05" customHeight="1" x14ac:dyDescent="0.25">
      <c r="A19547" s="2" t="s">
        <v>8</v>
      </c>
      <c r="B19547" s="2" t="str">
        <f>HYPERLINK("http://ts.21cn.com/tousu/show/id/1351530","闪银骚扰通讯录")</f>
        <v>闪银骚扰通讯录</v>
      </c>
      <c r="C19547" s="2" t="s">
        <v>34</v>
      </c>
      <c r="D19547" s="2" t="s">
        <v>10</v>
      </c>
      <c r="E19547" s="2" t="str">
        <f>HYPERLINK("http://ts.21cn.com/tousu/show/id/1351530","http://ts.21cn.com/tousu/show/id/1351530")</f>
        <v>http://ts.21cn.com/tousu/show/id/1351530</v>
      </c>
      <c r="F19547" s="2" t="s">
        <v>11</v>
      </c>
      <c r="G19547" s="2" t="s">
        <v>5733</v>
      </c>
      <c r="H19547" s="2" t="s">
        <v>5734</v>
      </c>
    </row>
    <row r="19548" spans="1:8" ht="25.05" customHeight="1" x14ac:dyDescent="0.25">
      <c r="A19548" s="2" t="s">
        <v>8</v>
      </c>
      <c r="B19548" s="2" t="str">
        <f>HYPERLINK("http://ts.21cn.com/tousu/show/id/1351531","想与玖富小蓝卡协商提前还款")</f>
        <v>想与玖富小蓝卡协商提前还款</v>
      </c>
      <c r="C19548" s="2" t="s">
        <v>9</v>
      </c>
      <c r="D19548" s="2" t="s">
        <v>10</v>
      </c>
      <c r="E19548" s="2" t="str">
        <f>HYPERLINK("http://ts.21cn.com/tousu/show/id/1351531","http://ts.21cn.com/tousu/show/id/1351531")</f>
        <v>http://ts.21cn.com/tousu/show/id/1351531</v>
      </c>
      <c r="F19548" s="2" t="s">
        <v>11</v>
      </c>
      <c r="G19548" s="2" t="s">
        <v>5731</v>
      </c>
      <c r="H19548" s="2" t="s">
        <v>5732</v>
      </c>
    </row>
    <row r="19549" spans="1:8" ht="25.05" customHeight="1" x14ac:dyDescent="0.25">
      <c r="A19549" s="2" t="s">
        <v>8</v>
      </c>
      <c r="B19549" s="2" t="str">
        <f>HYPERLINK("http://ts.21cn.com/tousu/show/id/1351477","滴滴平台无证无据扣罚司机血汗")</f>
        <v>滴滴平台无证无据扣罚司机血汗</v>
      </c>
      <c r="C19549" s="2" t="s">
        <v>9</v>
      </c>
      <c r="D19549" s="2" t="s">
        <v>10</v>
      </c>
      <c r="E19549" s="2" t="str">
        <f>HYPERLINK("http://ts.21cn.com/tousu/show/id/1351477","http://ts.21cn.com/tousu/show/id/1351477")</f>
        <v>http://ts.21cn.com/tousu/show/id/1351477</v>
      </c>
      <c r="F19549" s="2" t="s">
        <v>11</v>
      </c>
      <c r="G19549" s="2" t="s">
        <v>5729</v>
      </c>
      <c r="H19549" s="2" t="s">
        <v>5730</v>
      </c>
    </row>
    <row r="19550" spans="1:8" ht="25.05" customHeight="1" x14ac:dyDescent="0.25">
      <c r="A19550" s="2" t="s">
        <v>8</v>
      </c>
      <c r="B19550" s="2" t="str">
        <f>HYPERLINK("http://ts.21cn.com/tousu/show/id/1351533","及贷平台第三方智享贷放款未经许可乱扣所谓的学堂会员费欺诈消费者")</f>
        <v>及贷平台第三方智享贷放款未经许可乱扣所谓的学堂会员费欺诈消费者</v>
      </c>
      <c r="C19550" s="2" t="s">
        <v>9</v>
      </c>
      <c r="D19550" s="2" t="s">
        <v>10</v>
      </c>
      <c r="E19550" s="2" t="str">
        <f>HYPERLINK("http://ts.21cn.com/tousu/show/id/1351533","http://ts.21cn.com/tousu/show/id/1351533")</f>
        <v>http://ts.21cn.com/tousu/show/id/1351533</v>
      </c>
      <c r="F19550" s="2" t="s">
        <v>11</v>
      </c>
      <c r="G19550" s="2" t="s">
        <v>5727</v>
      </c>
      <c r="H19550" s="2" t="s">
        <v>5728</v>
      </c>
    </row>
    <row r="19551" spans="1:8" ht="25.05" customHeight="1" x14ac:dyDescent="0.25">
      <c r="A19551" s="2" t="s">
        <v>8</v>
      </c>
      <c r="B19551" s="2" t="str">
        <f>HYPERLINK("http://ts.21cn.com/tousu/show/id/1351534","捷信金融放高利贷")</f>
        <v>捷信金融放高利贷</v>
      </c>
      <c r="C19551" s="2" t="s">
        <v>9</v>
      </c>
      <c r="D19551" s="2" t="s">
        <v>10</v>
      </c>
      <c r="E19551" s="2" t="str">
        <f>HYPERLINK("http://ts.21cn.com/tousu/show/id/1351534","http://ts.21cn.com/tousu/show/id/1351534")</f>
        <v>http://ts.21cn.com/tousu/show/id/1351534</v>
      </c>
      <c r="F19551" s="2" t="s">
        <v>11</v>
      </c>
      <c r="G19551" s="2" t="s">
        <v>5725</v>
      </c>
      <c r="H19551" s="2" t="s">
        <v>5726</v>
      </c>
    </row>
    <row r="19552" spans="1:8" ht="25.05" customHeight="1" x14ac:dyDescent="0.25">
      <c r="A19552" s="2" t="s">
        <v>8</v>
      </c>
      <c r="B19552" s="2" t="str">
        <f>HYPERLINK("http://ts.21cn.com/tousu/show/id/1351536","暴力催收")</f>
        <v>暴力催收</v>
      </c>
      <c r="C19552" s="2" t="s">
        <v>9</v>
      </c>
      <c r="D19552" s="2" t="s">
        <v>10</v>
      </c>
      <c r="E19552" s="2" t="str">
        <f>HYPERLINK("http://ts.21cn.com/tousu/show/id/1351536","http://ts.21cn.com/tousu/show/id/1351536")</f>
        <v>http://ts.21cn.com/tousu/show/id/1351536</v>
      </c>
      <c r="F19552" s="2" t="s">
        <v>11</v>
      </c>
      <c r="G19552" s="2" t="s">
        <v>5723</v>
      </c>
      <c r="H19552" s="2" t="s">
        <v>5724</v>
      </c>
    </row>
    <row r="19553" spans="1:8" ht="25.05" customHeight="1" x14ac:dyDescent="0.25">
      <c r="A19553" s="2" t="s">
        <v>8</v>
      </c>
      <c r="B19553" s="2" t="str">
        <f>HYPERLINK("http://ts.21cn.com/tousu/show/id/1351537","造艺科技扣款")</f>
        <v>造艺科技扣款</v>
      </c>
      <c r="C19553" s="2" t="s">
        <v>9</v>
      </c>
      <c r="D19553" s="2" t="s">
        <v>10</v>
      </c>
      <c r="E19553" s="2" t="str">
        <f>HYPERLINK("http://ts.21cn.com/tousu/show/id/1351537","http://ts.21cn.com/tousu/show/id/1351537")</f>
        <v>http://ts.21cn.com/tousu/show/id/1351537</v>
      </c>
      <c r="F19553" s="2" t="s">
        <v>11</v>
      </c>
      <c r="G19553" s="2" t="s">
        <v>5721</v>
      </c>
      <c r="H19553" s="2" t="s">
        <v>5722</v>
      </c>
    </row>
    <row r="19554" spans="1:8" ht="25.05" customHeight="1" x14ac:dyDescent="0.25">
      <c r="A19554" s="2" t="s">
        <v>8</v>
      </c>
      <c r="B19554" s="2" t="str">
        <f>HYPERLINK("http://ts.21cn.com/tousu/show/id/1351538","360借条炸通讯录")</f>
        <v>360借条炸通讯录</v>
      </c>
      <c r="C19554" s="2" t="s">
        <v>9</v>
      </c>
      <c r="D19554" s="2" t="s">
        <v>10</v>
      </c>
      <c r="E19554" s="2" t="str">
        <f>HYPERLINK("http://ts.21cn.com/tousu/show/id/1351538","http://ts.21cn.com/tousu/show/id/1351538")</f>
        <v>http://ts.21cn.com/tousu/show/id/1351538</v>
      </c>
      <c r="F19554" s="2" t="s">
        <v>11</v>
      </c>
      <c r="G19554" s="2" t="s">
        <v>5719</v>
      </c>
      <c r="H19554" s="2" t="s">
        <v>5720</v>
      </c>
    </row>
    <row r="19555" spans="1:8" ht="25.05" customHeight="1" x14ac:dyDescent="0.25">
      <c r="A19555" s="2" t="s">
        <v>8</v>
      </c>
      <c r="B19555" s="2" t="str">
        <f>HYPERLINK("http://ts.21cn.com/tousu/show/id/1351539","网贷借一千分期三月1500")</f>
        <v>网贷借一千分期三月1500</v>
      </c>
      <c r="C19555" s="2" t="s">
        <v>34</v>
      </c>
      <c r="D19555" s="2" t="s">
        <v>10</v>
      </c>
      <c r="E19555" s="2" t="str">
        <f>HYPERLINK("http://ts.21cn.com/tousu/show/id/1351539","http://ts.21cn.com/tousu/show/id/1351539")</f>
        <v>http://ts.21cn.com/tousu/show/id/1351539</v>
      </c>
      <c r="F19555" s="2" t="s">
        <v>11</v>
      </c>
      <c r="G19555" s="2" t="s">
        <v>5717</v>
      </c>
      <c r="H19555" s="2" t="s">
        <v>5718</v>
      </c>
    </row>
    <row r="19556" spans="1:8" ht="25.05" customHeight="1" x14ac:dyDescent="0.25">
      <c r="A19556" s="2" t="s">
        <v>8</v>
      </c>
      <c r="B19556" s="2" t="str">
        <f>HYPERLINK("http://ts.21cn.com/tousu/show/id/1351540","马上金融旗下安逸花锁定个人账户")</f>
        <v>马上金融旗下安逸花锁定个人账户</v>
      </c>
      <c r="C19556" s="2" t="s">
        <v>34</v>
      </c>
      <c r="D19556" s="2" t="s">
        <v>10</v>
      </c>
      <c r="E19556" s="2" t="str">
        <f>HYPERLINK("http://ts.21cn.com/tousu/show/id/1351540","http://ts.21cn.com/tousu/show/id/1351540")</f>
        <v>http://ts.21cn.com/tousu/show/id/1351540</v>
      </c>
      <c r="F19556" s="2" t="s">
        <v>11</v>
      </c>
      <c r="G19556" s="2" t="s">
        <v>5715</v>
      </c>
      <c r="H19556" s="2" t="s">
        <v>5716</v>
      </c>
    </row>
    <row r="19557" spans="1:8" ht="25.05" customHeight="1" x14ac:dyDescent="0.25">
      <c r="A19557" s="2" t="s">
        <v>8</v>
      </c>
      <c r="B19557" s="2" t="str">
        <f>HYPERLINK("http://ts.21cn.com/tousu/show/id/1351541","众安强制消费者在借款过程中购买保险，否则不予借款")</f>
        <v>众安强制消费者在借款过程中购买保险，否则不予借款</v>
      </c>
      <c r="C19557" s="2" t="s">
        <v>9</v>
      </c>
      <c r="D19557" s="2" t="s">
        <v>10</v>
      </c>
      <c r="E19557" s="2" t="str">
        <f>HYPERLINK("http://ts.21cn.com/tousu/show/id/1351541","http://ts.21cn.com/tousu/show/id/1351541")</f>
        <v>http://ts.21cn.com/tousu/show/id/1351541</v>
      </c>
      <c r="F19557" s="2" t="s">
        <v>11</v>
      </c>
      <c r="G19557" s="2" t="s">
        <v>5713</v>
      </c>
      <c r="H19557" s="2" t="s">
        <v>5714</v>
      </c>
    </row>
    <row r="19558" spans="1:8" ht="25.05" customHeight="1" x14ac:dyDescent="0.25">
      <c r="A19558" s="2" t="s">
        <v>8</v>
      </c>
      <c r="B19558" s="2" t="str">
        <f>HYPERLINK("http://ts.21cn.com/tousu/show/id/1351543","小象优品高利贷砍头息巨额手续费")</f>
        <v>小象优品高利贷砍头息巨额手续费</v>
      </c>
      <c r="C19558" s="2" t="s">
        <v>9</v>
      </c>
      <c r="D19558" s="2" t="s">
        <v>10</v>
      </c>
      <c r="E19558" s="2" t="str">
        <f>HYPERLINK("http://ts.21cn.com/tousu/show/id/1351543","http://ts.21cn.com/tousu/show/id/1351543")</f>
        <v>http://ts.21cn.com/tousu/show/id/1351543</v>
      </c>
      <c r="F19558" s="2" t="s">
        <v>11</v>
      </c>
      <c r="G19558" s="2" t="s">
        <v>5711</v>
      </c>
      <c r="H19558" s="2" t="s">
        <v>5712</v>
      </c>
    </row>
    <row r="19559" spans="1:8" ht="25.05" customHeight="1" x14ac:dyDescent="0.25">
      <c r="A19559" s="2" t="s">
        <v>8</v>
      </c>
      <c r="B19559" s="2" t="str">
        <f>HYPERLINK("http://ts.21cn.com/tousu/show/id/1351544","达内科技集体投诉专题")</f>
        <v>达内科技集体投诉专题</v>
      </c>
      <c r="C19559" s="2" t="s">
        <v>9</v>
      </c>
      <c r="D19559" s="2" t="s">
        <v>10</v>
      </c>
      <c r="E19559" s="2" t="str">
        <f>HYPERLINK("http://ts.21cn.com/tousu/show/id/1351544","http://ts.21cn.com/tousu/show/id/1351544")</f>
        <v>http://ts.21cn.com/tousu/show/id/1351544</v>
      </c>
      <c r="F19559" s="2" t="s">
        <v>11</v>
      </c>
      <c r="G19559" s="2" t="s">
        <v>5709</v>
      </c>
      <c r="H19559" s="2" t="s">
        <v>5710</v>
      </c>
    </row>
    <row r="19560" spans="1:8" ht="25.05" customHeight="1" x14ac:dyDescent="0.25">
      <c r="A19560" s="2" t="s">
        <v>8</v>
      </c>
      <c r="B19560" s="2" t="str">
        <f>HYPERLINK("http://ts.21cn.com/tousu/show/id/1351288","中国工商银行第三方易商金融车贷空白合同")</f>
        <v>中国工商银行第三方易商金融车贷空白合同</v>
      </c>
      <c r="C19560" s="2" t="s">
        <v>9</v>
      </c>
      <c r="D19560" s="2" t="s">
        <v>10</v>
      </c>
      <c r="E19560" s="2" t="str">
        <f>HYPERLINK("http://ts.21cn.com/tousu/show/id/1351288","http://ts.21cn.com/tousu/show/id/1351288")</f>
        <v>http://ts.21cn.com/tousu/show/id/1351288</v>
      </c>
      <c r="F19560" s="2" t="s">
        <v>11</v>
      </c>
      <c r="G19560" s="2" t="s">
        <v>5707</v>
      </c>
      <c r="H19560" s="2" t="s">
        <v>5708</v>
      </c>
    </row>
    <row r="19561" spans="1:8" ht="25.05" customHeight="1" x14ac:dyDescent="0.25">
      <c r="A19561" s="2" t="s">
        <v>8</v>
      </c>
      <c r="B19561" s="2" t="str">
        <f>HYPERLINK("http://ts.21cn.com/tousu/show/id/1351545","天房天辰世纪楼盘强制捆绑车位售卖且车位不按期交付使用")</f>
        <v>天房天辰世纪楼盘强制捆绑车位售卖且车位不按期交付使用</v>
      </c>
      <c r="C19561" s="2" t="s">
        <v>9</v>
      </c>
      <c r="D19561" s="2" t="s">
        <v>10</v>
      </c>
      <c r="E19561" s="2" t="str">
        <f>HYPERLINK("http://ts.21cn.com/tousu/show/id/1351545","http://ts.21cn.com/tousu/show/id/1351545")</f>
        <v>http://ts.21cn.com/tousu/show/id/1351545</v>
      </c>
      <c r="F19561" s="2" t="s">
        <v>11</v>
      </c>
      <c r="G19561" s="2" t="s">
        <v>5705</v>
      </c>
      <c r="H19561" s="2" t="s">
        <v>5706</v>
      </c>
    </row>
    <row r="19562" spans="1:8" ht="25.05" customHeight="1" x14ac:dyDescent="0.25">
      <c r="A19562" s="2" t="s">
        <v>8</v>
      </c>
      <c r="B19562" s="2" t="str">
        <f>HYPERLINK("http://ts.21cn.com/tousu/show/id/1351546","唯品会投诉专题")</f>
        <v>唯品会投诉专题</v>
      </c>
      <c r="C19562" s="2" t="s">
        <v>34</v>
      </c>
      <c r="D19562" s="2" t="s">
        <v>10</v>
      </c>
      <c r="E19562" s="2" t="str">
        <f>HYPERLINK("http://ts.21cn.com/tousu/show/id/1351546","http://ts.21cn.com/tousu/show/id/1351546")</f>
        <v>http://ts.21cn.com/tousu/show/id/1351546</v>
      </c>
      <c r="F19562" s="2" t="s">
        <v>11</v>
      </c>
      <c r="G19562" s="2" t="s">
        <v>5703</v>
      </c>
      <c r="H19562" s="2" t="s">
        <v>5704</v>
      </c>
    </row>
    <row r="19563" spans="1:8" ht="25.05" customHeight="1" x14ac:dyDescent="0.25">
      <c r="A19563" s="2" t="s">
        <v>8</v>
      </c>
      <c r="B19563" s="2" t="str">
        <f>HYPERLINK("http://ts.21cn.com/tousu/show/id/1351547","钱站高利贷，综合利率费用与实际不符")</f>
        <v>钱站高利贷，综合利率费用与实际不符</v>
      </c>
      <c r="C19563" s="2" t="s">
        <v>9</v>
      </c>
      <c r="D19563" s="2" t="s">
        <v>10</v>
      </c>
      <c r="E19563" s="2" t="str">
        <f>HYPERLINK("http://ts.21cn.com/tousu/show/id/1351547","http://ts.21cn.com/tousu/show/id/1351547")</f>
        <v>http://ts.21cn.com/tousu/show/id/1351547</v>
      </c>
      <c r="F19563" s="2" t="s">
        <v>11</v>
      </c>
      <c r="G19563" s="2" t="s">
        <v>5701</v>
      </c>
      <c r="H19563" s="2" t="s">
        <v>5702</v>
      </c>
    </row>
    <row r="19564" spans="1:8" ht="25.05" customHeight="1" x14ac:dyDescent="0.25">
      <c r="A19564" s="2" t="s">
        <v>8</v>
      </c>
      <c r="B19564" s="2" t="str">
        <f>HYPERLINK("http://ts.21cn.com/tousu/show/id/1351548","造艺科技,携趣信息科技（上海）有限公司,拇指下款，欺诈行为")</f>
        <v>造艺科技,携趣信息科技（上海）有限公司,拇指下款，欺诈行为</v>
      </c>
      <c r="C19564" s="2" t="s">
        <v>9</v>
      </c>
      <c r="D19564" s="2" t="s">
        <v>10</v>
      </c>
      <c r="E19564" s="2" t="str">
        <f>HYPERLINK("http://ts.21cn.com/tousu/show/id/1351548","http://ts.21cn.com/tousu/show/id/1351548")</f>
        <v>http://ts.21cn.com/tousu/show/id/1351548</v>
      </c>
      <c r="F19564" s="2" t="s">
        <v>11</v>
      </c>
      <c r="G19564" s="2" t="s">
        <v>5699</v>
      </c>
      <c r="H19564" s="2" t="s">
        <v>5700</v>
      </c>
    </row>
    <row r="19565" spans="1:8" ht="25.05" customHeight="1" x14ac:dyDescent="0.25">
      <c r="A19565" s="2" t="s">
        <v>8</v>
      </c>
      <c r="B19565" s="2" t="str">
        <f>HYPERLINK("http://ts.21cn.com/tousu/show/id/1351550","玖富暴力催收")</f>
        <v>玖富暴力催收</v>
      </c>
      <c r="C19565" s="2" t="s">
        <v>9</v>
      </c>
      <c r="D19565" s="2" t="s">
        <v>10</v>
      </c>
      <c r="E19565" s="2" t="str">
        <f>HYPERLINK("http://ts.21cn.com/tousu/show/id/1351550","http://ts.21cn.com/tousu/show/id/1351550")</f>
        <v>http://ts.21cn.com/tousu/show/id/1351550</v>
      </c>
      <c r="F19565" s="2" t="s">
        <v>11</v>
      </c>
      <c r="G19565" s="2" t="s">
        <v>5697</v>
      </c>
      <c r="H19565" s="2" t="s">
        <v>5698</v>
      </c>
    </row>
    <row r="19566" spans="1:8" ht="25.05" customHeight="1" x14ac:dyDescent="0.25">
      <c r="A19566" s="2" t="s">
        <v>8</v>
      </c>
      <c r="B19566" s="2" t="str">
        <f>HYPERLINK("http://ts.21cn.com/tousu/show/id/1351535","众安保险不知情捆绑销售")</f>
        <v>众安保险不知情捆绑销售</v>
      </c>
      <c r="C19566" s="2" t="s">
        <v>9</v>
      </c>
      <c r="D19566" s="2" t="s">
        <v>10</v>
      </c>
      <c r="E19566" s="2" t="str">
        <f>HYPERLINK("http://ts.21cn.com/tousu/show/id/1351535","http://ts.21cn.com/tousu/show/id/1351535")</f>
        <v>http://ts.21cn.com/tousu/show/id/1351535</v>
      </c>
      <c r="F19566" s="2" t="s">
        <v>11</v>
      </c>
      <c r="G19566" s="2" t="s">
        <v>5695</v>
      </c>
      <c r="H19566" s="2" t="s">
        <v>5696</v>
      </c>
    </row>
    <row r="19567" spans="1:8" ht="25.05" customHeight="1" x14ac:dyDescent="0.25">
      <c r="A19567" s="2" t="s">
        <v>8</v>
      </c>
      <c r="B19567" s="2" t="str">
        <f>HYPERLINK("http://ts.21cn.com/tousu/show/id/1351549","退还会员费和高于国家标准利息")</f>
        <v>退还会员费和高于国家标准利息</v>
      </c>
      <c r="C19567" s="2" t="s">
        <v>34</v>
      </c>
      <c r="D19567" s="2" t="s">
        <v>10</v>
      </c>
      <c r="E19567" s="2" t="str">
        <f>HYPERLINK("http://ts.21cn.com/tousu/show/id/1351549","http://ts.21cn.com/tousu/show/id/1351549")</f>
        <v>http://ts.21cn.com/tousu/show/id/1351549</v>
      </c>
      <c r="F19567" s="2" t="s">
        <v>11</v>
      </c>
      <c r="G19567" s="2" t="s">
        <v>5693</v>
      </c>
      <c r="H19567" s="2" t="s">
        <v>5694</v>
      </c>
    </row>
    <row r="19568" spans="1:8" ht="25.05" customHeight="1" x14ac:dyDescent="0.25">
      <c r="A19568" s="2" t="s">
        <v>8</v>
      </c>
      <c r="B19568" s="2" t="str">
        <f>HYPERLINK("http://ts.21cn.com/tousu/show/id/1351552","恒易贷")</f>
        <v>恒易贷</v>
      </c>
      <c r="C19568" s="2" t="s">
        <v>9</v>
      </c>
      <c r="D19568" s="2" t="s">
        <v>10</v>
      </c>
      <c r="E19568" s="2" t="str">
        <f>HYPERLINK("http://ts.21cn.com/tousu/show/id/1351552","http://ts.21cn.com/tousu/show/id/1351552")</f>
        <v>http://ts.21cn.com/tousu/show/id/1351552</v>
      </c>
      <c r="F19568" s="2" t="s">
        <v>11</v>
      </c>
      <c r="G19568" s="2" t="s">
        <v>5691</v>
      </c>
      <c r="H19568" s="2" t="s">
        <v>5692</v>
      </c>
    </row>
    <row r="19569" spans="1:8" ht="25.05" customHeight="1" x14ac:dyDescent="0.25">
      <c r="A19569" s="2" t="s">
        <v>8</v>
      </c>
      <c r="B19569" s="2" t="str">
        <f>HYPERLINK("http://ts.21cn.com/tousu/show/id/1351553","因质量问题产生的二次拆装费用")</f>
        <v>因质量问题产生的二次拆装费用</v>
      </c>
      <c r="C19569" s="2" t="s">
        <v>9</v>
      </c>
      <c r="D19569" s="2" t="s">
        <v>10</v>
      </c>
      <c r="E19569" s="2" t="str">
        <f>HYPERLINK("http://ts.21cn.com/tousu/show/id/1351553","http://ts.21cn.com/tousu/show/id/1351553")</f>
        <v>http://ts.21cn.com/tousu/show/id/1351553</v>
      </c>
      <c r="F19569" s="2" t="s">
        <v>11</v>
      </c>
      <c r="G19569" s="2" t="s">
        <v>5689</v>
      </c>
      <c r="H19569" s="2" t="s">
        <v>5690</v>
      </c>
    </row>
    <row r="19570" spans="1:8" ht="25.05" customHeight="1" x14ac:dyDescent="0.25">
      <c r="A19570" s="2" t="s">
        <v>8</v>
      </c>
      <c r="B19570" s="2" t="str">
        <f>HYPERLINK("http://ts.21cn.com/tousu/show/id/1351554","闪银平台胡乱收取新人费")</f>
        <v>闪银平台胡乱收取新人费</v>
      </c>
      <c r="C19570" s="2" t="s">
        <v>9</v>
      </c>
      <c r="D19570" s="2" t="s">
        <v>10</v>
      </c>
      <c r="E19570" s="2" t="str">
        <f>HYPERLINK("http://ts.21cn.com/tousu/show/id/1351554","http://ts.21cn.com/tousu/show/id/1351554")</f>
        <v>http://ts.21cn.com/tousu/show/id/1351554</v>
      </c>
      <c r="F19570" s="2" t="s">
        <v>11</v>
      </c>
      <c r="G19570" s="2" t="s">
        <v>5687</v>
      </c>
      <c r="H19570" s="2" t="s">
        <v>5688</v>
      </c>
    </row>
    <row r="19571" spans="1:8" ht="25.05" customHeight="1" x14ac:dyDescent="0.25">
      <c r="A19571" s="2" t="s">
        <v>8</v>
      </c>
      <c r="B19571" s="2" t="str">
        <f>HYPERLINK("http://ts.21cn.com/tousu/show/id/1351555","海象理财暴雷拖欠还款欺诈投资")</f>
        <v>海象理财暴雷拖欠还款欺诈投资</v>
      </c>
      <c r="C19571" s="2" t="s">
        <v>9</v>
      </c>
      <c r="D19571" s="2" t="s">
        <v>10</v>
      </c>
      <c r="E19571" s="2" t="str">
        <f>HYPERLINK("http://ts.21cn.com/tousu/show/id/1351555","http://ts.21cn.com/tousu/show/id/1351555")</f>
        <v>http://ts.21cn.com/tousu/show/id/1351555</v>
      </c>
      <c r="F19571" s="2" t="s">
        <v>11</v>
      </c>
      <c r="G19571" s="2" t="s">
        <v>5685</v>
      </c>
      <c r="H19571" s="2" t="s">
        <v>5686</v>
      </c>
    </row>
    <row r="19572" spans="1:8" ht="25.05" customHeight="1" x14ac:dyDescent="0.25">
      <c r="A19572" s="2" t="s">
        <v>8</v>
      </c>
      <c r="B19572" s="2" t="str">
        <f>HYPERLINK("http://ts.21cn.com/tousu/show/id/1351542","宏萨上海信息科技有限公司无故扣费")</f>
        <v>宏萨上海信息科技有限公司无故扣费</v>
      </c>
      <c r="C19572" s="2" t="s">
        <v>9</v>
      </c>
      <c r="D19572" s="2" t="s">
        <v>10</v>
      </c>
      <c r="E19572" s="2" t="str">
        <f>HYPERLINK("http://ts.21cn.com/tousu/show/id/1351542","http://ts.21cn.com/tousu/show/id/1351542")</f>
        <v>http://ts.21cn.com/tousu/show/id/1351542</v>
      </c>
      <c r="F19572" s="2" t="s">
        <v>11</v>
      </c>
      <c r="G19572" s="2" t="s">
        <v>5683</v>
      </c>
      <c r="H19572" s="2" t="s">
        <v>5684</v>
      </c>
    </row>
    <row r="19573" spans="1:8" ht="25.05" customHeight="1" x14ac:dyDescent="0.25">
      <c r="A19573" s="2" t="s">
        <v>8</v>
      </c>
      <c r="B19573" s="2" t="str">
        <f>HYPERLINK("http://ts.21cn.com/tousu/show/id/1351557","浦发银行信用卡")</f>
        <v>浦发银行信用卡</v>
      </c>
      <c r="C19573" s="2" t="s">
        <v>9</v>
      </c>
      <c r="D19573" s="2" t="s">
        <v>10</v>
      </c>
      <c r="E19573" s="2" t="str">
        <f>HYPERLINK("http://ts.21cn.com/tousu/show/id/1351557","http://ts.21cn.com/tousu/show/id/1351557")</f>
        <v>http://ts.21cn.com/tousu/show/id/1351557</v>
      </c>
      <c r="F19573" s="2" t="s">
        <v>11</v>
      </c>
      <c r="G19573" s="2" t="s">
        <v>5681</v>
      </c>
      <c r="H19573" s="2" t="s">
        <v>5682</v>
      </c>
    </row>
    <row r="19574" spans="1:8" ht="25.05" customHeight="1" x14ac:dyDescent="0.25">
      <c r="A19574" s="2" t="s">
        <v>8</v>
      </c>
      <c r="B19574" s="2" t="str">
        <f>HYPERLINK("http://ts.21cn.com/tousu/show/id/1351556","投诉安亿花app，退回欺诈的198元钱。")</f>
        <v>投诉安亿花app，退回欺诈的198元钱。</v>
      </c>
      <c r="C19574" s="2" t="s">
        <v>9</v>
      </c>
      <c r="D19574" s="2" t="s">
        <v>10</v>
      </c>
      <c r="E19574" s="2" t="str">
        <f>HYPERLINK("http://ts.21cn.com/tousu/show/id/1351556","http://ts.21cn.com/tousu/show/id/1351556")</f>
        <v>http://ts.21cn.com/tousu/show/id/1351556</v>
      </c>
      <c r="F19574" s="2" t="s">
        <v>11</v>
      </c>
      <c r="G19574" s="2" t="s">
        <v>5679</v>
      </c>
      <c r="H19574" s="2" t="s">
        <v>5680</v>
      </c>
    </row>
    <row r="19575" spans="1:8" ht="25.05" customHeight="1" x14ac:dyDescent="0.25">
      <c r="A19575" s="2" t="s">
        <v>8</v>
      </c>
      <c r="B19575" s="2" t="str">
        <f>HYPERLINK("http://ts.21cn.com/tousu/show/id/1351558","钱水艇未经过同意从银行卡扣钱")</f>
        <v>钱水艇未经过同意从银行卡扣钱</v>
      </c>
      <c r="C19575" s="2" t="s">
        <v>9</v>
      </c>
      <c r="D19575" s="2" t="s">
        <v>10</v>
      </c>
      <c r="E19575" s="2" t="str">
        <f>HYPERLINK("http://ts.21cn.com/tousu/show/id/1351558","http://ts.21cn.com/tousu/show/id/1351558")</f>
        <v>http://ts.21cn.com/tousu/show/id/1351558</v>
      </c>
      <c r="F19575" s="2" t="s">
        <v>11</v>
      </c>
      <c r="G19575" s="2" t="s">
        <v>5677</v>
      </c>
      <c r="H19575" s="2" t="s">
        <v>5678</v>
      </c>
    </row>
    <row r="19576" spans="1:8" ht="25.05" customHeight="1" x14ac:dyDescent="0.25">
      <c r="A19576" s="2" t="s">
        <v>8</v>
      </c>
      <c r="B19576" s="2" t="str">
        <f>HYPERLINK("http://ts.21cn.com/tousu/show/id/1351560","快贷利息太高不知为什么签了20个借款合同")</f>
        <v>快贷利息太高不知为什么签了20个借款合同</v>
      </c>
      <c r="C19576" s="2" t="s">
        <v>9</v>
      </c>
      <c r="D19576" s="2" t="s">
        <v>10</v>
      </c>
      <c r="E19576" s="2" t="str">
        <f>HYPERLINK("http://ts.21cn.com/tousu/show/id/1351560","http://ts.21cn.com/tousu/show/id/1351560")</f>
        <v>http://ts.21cn.com/tousu/show/id/1351560</v>
      </c>
      <c r="F19576" s="2" t="s">
        <v>11</v>
      </c>
      <c r="G19576" s="2" t="s">
        <v>5675</v>
      </c>
      <c r="H19576" s="2" t="s">
        <v>5676</v>
      </c>
    </row>
    <row r="19577" spans="1:8" ht="25.05" customHeight="1" x14ac:dyDescent="0.25">
      <c r="A19577" s="2" t="s">
        <v>8</v>
      </c>
      <c r="B19577" s="2" t="str">
        <f>HYPERLINK("http://ts.21cn.com/tousu/show/id/1351559","主动还款一直还不了是不是故意让逾期")</f>
        <v>主动还款一直还不了是不是故意让逾期</v>
      </c>
      <c r="C19577" s="2" t="s">
        <v>9</v>
      </c>
      <c r="D19577" s="2" t="s">
        <v>10</v>
      </c>
      <c r="E19577" s="2" t="str">
        <f>HYPERLINK("http://ts.21cn.com/tousu/show/id/1351559","http://ts.21cn.com/tousu/show/id/1351559")</f>
        <v>http://ts.21cn.com/tousu/show/id/1351559</v>
      </c>
      <c r="F19577" s="2" t="s">
        <v>11</v>
      </c>
      <c r="G19577" s="2" t="s">
        <v>5673</v>
      </c>
      <c r="H19577" s="2" t="s">
        <v>5674</v>
      </c>
    </row>
    <row r="19578" spans="1:8" ht="25.05" customHeight="1" x14ac:dyDescent="0.25">
      <c r="A19578" s="2" t="s">
        <v>8</v>
      </c>
      <c r="B19578" s="2" t="str">
        <f>HYPERLINK("http://ts.21cn.com/tousu/show/id/1351526","卡卡贷到期不放款")</f>
        <v>卡卡贷到期不放款</v>
      </c>
      <c r="C19578" s="2" t="s">
        <v>9</v>
      </c>
      <c r="D19578" s="2" t="s">
        <v>10</v>
      </c>
      <c r="E19578" s="2" t="str">
        <f>HYPERLINK("http://ts.21cn.com/tousu/show/id/1351526","http://ts.21cn.com/tousu/show/id/1351526")</f>
        <v>http://ts.21cn.com/tousu/show/id/1351526</v>
      </c>
      <c r="F19578" s="2" t="s">
        <v>11</v>
      </c>
      <c r="G19578" s="2" t="s">
        <v>5671</v>
      </c>
      <c r="H19578" s="2" t="s">
        <v>5672</v>
      </c>
    </row>
    <row r="19579" spans="1:8" ht="25.05" customHeight="1" x14ac:dyDescent="0.25">
      <c r="A19579" s="2" t="s">
        <v>8</v>
      </c>
      <c r="B19579" s="2" t="str">
        <f>HYPERLINK("http://ts.21cn.com/tousu/show/id/1351561","培训机构不退费那就找谁投诉")</f>
        <v>培训机构不退费那就找谁投诉</v>
      </c>
      <c r="C19579" s="2" t="s">
        <v>9</v>
      </c>
      <c r="D19579" s="2" t="s">
        <v>10</v>
      </c>
      <c r="E19579" s="2" t="str">
        <f>HYPERLINK("http://ts.21cn.com/tousu/show/id/1351561","http://ts.21cn.com/tousu/show/id/1351561")</f>
        <v>http://ts.21cn.com/tousu/show/id/1351561</v>
      </c>
      <c r="F19579" s="2" t="s">
        <v>11</v>
      </c>
      <c r="G19579" s="2" t="s">
        <v>5669</v>
      </c>
      <c r="H19579" s="2" t="s">
        <v>5670</v>
      </c>
    </row>
    <row r="19580" spans="1:8" ht="25.05" customHeight="1" x14ac:dyDescent="0.25">
      <c r="A19580" s="2" t="s">
        <v>8</v>
      </c>
      <c r="B19580" s="2" t="str">
        <f>HYPERLINK("http://ts.21cn.com/tousu/show/id/1351562","中腾信暴力催收国家管管")</f>
        <v>中腾信暴力催收国家管管</v>
      </c>
      <c r="C19580" s="2" t="s">
        <v>9</v>
      </c>
      <c r="D19580" s="2" t="s">
        <v>10</v>
      </c>
      <c r="E19580" s="2" t="str">
        <f>HYPERLINK("http://ts.21cn.com/tousu/show/id/1351562","http://ts.21cn.com/tousu/show/id/1351562")</f>
        <v>http://ts.21cn.com/tousu/show/id/1351562</v>
      </c>
      <c r="F19580" s="2" t="s">
        <v>11</v>
      </c>
      <c r="G19580" s="2" t="s">
        <v>5667</v>
      </c>
      <c r="H19580" s="2" t="s">
        <v>5668</v>
      </c>
    </row>
    <row r="19581" spans="1:8" ht="25.05" customHeight="1" x14ac:dyDescent="0.25">
      <c r="A19581" s="2" t="s">
        <v>8</v>
      </c>
      <c r="B19581" s="2" t="str">
        <f>HYPERLINK("http://ts.21cn.com/tousu/show/id/1351563","未经本人同意恶意从银行卡中扣款")</f>
        <v>未经本人同意恶意从银行卡中扣款</v>
      </c>
      <c r="C19581" s="2" t="s">
        <v>9</v>
      </c>
      <c r="D19581" s="2" t="s">
        <v>10</v>
      </c>
      <c r="E19581" s="2" t="str">
        <f>HYPERLINK("http://ts.21cn.com/tousu/show/id/1351563","http://ts.21cn.com/tousu/show/id/1351563")</f>
        <v>http://ts.21cn.com/tousu/show/id/1351563</v>
      </c>
      <c r="F19581" s="2" t="s">
        <v>11</v>
      </c>
      <c r="G19581" s="2" t="s">
        <v>5665</v>
      </c>
      <c r="H19581" s="2" t="s">
        <v>5666</v>
      </c>
    </row>
    <row r="19582" spans="1:8" ht="25.05" customHeight="1" x14ac:dyDescent="0.25">
      <c r="A19582" s="2" t="s">
        <v>8</v>
      </c>
      <c r="B19582" s="2" t="str">
        <f>HYPERLINK("http://ts.21cn.com/tousu/show/id/1351564","培训机构拖延退费")</f>
        <v>培训机构拖延退费</v>
      </c>
      <c r="C19582" s="2" t="s">
        <v>9</v>
      </c>
      <c r="D19582" s="2" t="s">
        <v>10</v>
      </c>
      <c r="E19582" s="2" t="str">
        <f>HYPERLINK("http://ts.21cn.com/tousu/show/id/1351564","http://ts.21cn.com/tousu/show/id/1351564")</f>
        <v>http://ts.21cn.com/tousu/show/id/1351564</v>
      </c>
      <c r="F19582" s="2" t="s">
        <v>11</v>
      </c>
      <c r="G19582" s="2" t="s">
        <v>5663</v>
      </c>
      <c r="H19582" s="2" t="s">
        <v>5664</v>
      </c>
    </row>
    <row r="19583" spans="1:8" ht="25.05" customHeight="1" x14ac:dyDescent="0.25">
      <c r="A19583" s="2" t="s">
        <v>8</v>
      </c>
      <c r="B19583" s="2" t="str">
        <f>HYPERLINK("http://ts.21cn.com/tousu/show/id/1351566","要求降低不合理的利息")</f>
        <v>要求降低不合理的利息</v>
      </c>
      <c r="C19583" s="2" t="s">
        <v>9</v>
      </c>
      <c r="D19583" s="2" t="s">
        <v>10</v>
      </c>
      <c r="E19583" s="2" t="str">
        <f>HYPERLINK("http://ts.21cn.com/tousu/show/id/1351566","http://ts.21cn.com/tousu/show/id/1351566")</f>
        <v>http://ts.21cn.com/tousu/show/id/1351566</v>
      </c>
      <c r="F19583" s="2" t="s">
        <v>11</v>
      </c>
      <c r="G19583" s="2" t="s">
        <v>5661</v>
      </c>
      <c r="H19583" s="2" t="s">
        <v>5662</v>
      </c>
    </row>
    <row r="19584" spans="1:8" ht="25.05" customHeight="1" x14ac:dyDescent="0.25">
      <c r="A19584" s="2" t="s">
        <v>8</v>
      </c>
      <c r="B19584" s="2" t="str">
        <f>HYPERLINK("http://ts.21cn.com/tousu/show/id/1351567","宜人贷借款恶意骚扰")</f>
        <v>宜人贷借款恶意骚扰</v>
      </c>
      <c r="C19584" s="2" t="s">
        <v>9</v>
      </c>
      <c r="D19584" s="2" t="s">
        <v>10</v>
      </c>
      <c r="E19584" s="2" t="str">
        <f>HYPERLINK("http://ts.21cn.com/tousu/show/id/1351567","http://ts.21cn.com/tousu/show/id/1351567")</f>
        <v>http://ts.21cn.com/tousu/show/id/1351567</v>
      </c>
      <c r="F19584" s="2" t="s">
        <v>11</v>
      </c>
      <c r="G19584" s="2" t="s">
        <v>5659</v>
      </c>
      <c r="H19584" s="2" t="s">
        <v>5660</v>
      </c>
    </row>
    <row r="19585" spans="1:8" ht="25.05" customHeight="1" x14ac:dyDescent="0.25">
      <c r="A19585" s="2" t="s">
        <v>8</v>
      </c>
      <c r="B19585" s="2" t="str">
        <f>HYPERLINK("http://ts.21cn.com/tousu/show/id/1351568","饿了么有意包庇商家不发货")</f>
        <v>饿了么有意包庇商家不发货</v>
      </c>
      <c r="C19585" s="2" t="s">
        <v>9</v>
      </c>
      <c r="D19585" s="2" t="s">
        <v>10</v>
      </c>
      <c r="E19585" s="2" t="str">
        <f>HYPERLINK("http://ts.21cn.com/tousu/show/id/1351568","http://ts.21cn.com/tousu/show/id/1351568")</f>
        <v>http://ts.21cn.com/tousu/show/id/1351568</v>
      </c>
      <c r="F19585" s="2" t="s">
        <v>11</v>
      </c>
      <c r="G19585" s="2" t="s">
        <v>5657</v>
      </c>
      <c r="H19585" s="2" t="s">
        <v>5658</v>
      </c>
    </row>
    <row r="19586" spans="1:8" ht="25.05" customHeight="1" x14ac:dyDescent="0.25">
      <c r="A19586" s="2" t="s">
        <v>8</v>
      </c>
      <c r="B19586" s="2" t="str">
        <f>HYPERLINK("http://ts.21cn.com/tousu/show/id/1351565","买家退货退个空包裹，拼多多平台竟然扣商家货款给买家极速退款，而且对商家申诉一直不处理。")</f>
        <v>买家退货退个空包裹，拼多多平台竟然扣商家货款给买家极速退款，而且对商家申诉一直不处理。</v>
      </c>
      <c r="C19586" s="2" t="s">
        <v>9</v>
      </c>
      <c r="D19586" s="2" t="s">
        <v>10</v>
      </c>
      <c r="E19586" s="2" t="str">
        <f>HYPERLINK("http://ts.21cn.com/tousu/show/id/1351565","http://ts.21cn.com/tousu/show/id/1351565")</f>
        <v>http://ts.21cn.com/tousu/show/id/1351565</v>
      </c>
      <c r="F19586" s="2" t="s">
        <v>11</v>
      </c>
      <c r="G19586" s="2" t="s">
        <v>5655</v>
      </c>
      <c r="H19586" s="2" t="s">
        <v>5656</v>
      </c>
    </row>
    <row r="19587" spans="1:8" ht="25.05" customHeight="1" x14ac:dyDescent="0.25">
      <c r="A19587" s="2" t="s">
        <v>8</v>
      </c>
      <c r="B19587" s="2" t="str">
        <f>HYPERLINK("http://ts.21cn.com/tousu/show/id/1351569","及贷平台骚扰扰民严重")</f>
        <v>及贷平台骚扰扰民严重</v>
      </c>
      <c r="C19587" s="2" t="s">
        <v>9</v>
      </c>
      <c r="D19587" s="2" t="s">
        <v>10</v>
      </c>
      <c r="E19587" s="2" t="str">
        <f>HYPERLINK("http://ts.21cn.com/tousu/show/id/1351569","http://ts.21cn.com/tousu/show/id/1351569")</f>
        <v>http://ts.21cn.com/tousu/show/id/1351569</v>
      </c>
      <c r="F19587" s="2" t="s">
        <v>11</v>
      </c>
      <c r="G19587" s="2" t="s">
        <v>5653</v>
      </c>
      <c r="H19587" s="2" t="s">
        <v>5654</v>
      </c>
    </row>
    <row r="19588" spans="1:8" ht="25.05" customHeight="1" x14ac:dyDescent="0.25">
      <c r="A19588" s="2" t="s">
        <v>8</v>
      </c>
      <c r="B19588" s="2" t="str">
        <f>HYPERLINK("http://ts.21cn.com/tousu/show/id/1351570","闪银恶意骚扰")</f>
        <v>闪银恶意骚扰</v>
      </c>
      <c r="C19588" s="2" t="s">
        <v>9</v>
      </c>
      <c r="D19588" s="2" t="s">
        <v>10</v>
      </c>
      <c r="E19588" s="2" t="str">
        <f>HYPERLINK("http://ts.21cn.com/tousu/show/id/1351570","http://ts.21cn.com/tousu/show/id/1351570")</f>
        <v>http://ts.21cn.com/tousu/show/id/1351570</v>
      </c>
      <c r="F19588" s="2" t="s">
        <v>11</v>
      </c>
      <c r="G19588" s="2" t="s">
        <v>5651</v>
      </c>
      <c r="H19588" s="2" t="s">
        <v>5652</v>
      </c>
    </row>
    <row r="19589" spans="1:8" ht="25.05" customHeight="1" x14ac:dyDescent="0.25">
      <c r="A19589" s="2" t="s">
        <v>8</v>
      </c>
      <c r="B19589" s="2" t="str">
        <f>HYPERLINK("http://ts.21cn.com/tousu/show/id/1351571","天房天辰世纪楼盘强制捆绑车位售卖且车位不按期交付使用")</f>
        <v>天房天辰世纪楼盘强制捆绑车位售卖且车位不按期交付使用</v>
      </c>
      <c r="C19589" s="2" t="s">
        <v>9</v>
      </c>
      <c r="D19589" s="2" t="s">
        <v>10</v>
      </c>
      <c r="E19589" s="2" t="str">
        <f>HYPERLINK("http://ts.21cn.com/tousu/show/id/1351571","http://ts.21cn.com/tousu/show/id/1351571")</f>
        <v>http://ts.21cn.com/tousu/show/id/1351571</v>
      </c>
      <c r="F19589" s="2" t="s">
        <v>11</v>
      </c>
      <c r="G19589" s="2" t="s">
        <v>5649</v>
      </c>
      <c r="H19589" s="2" t="s">
        <v>5650</v>
      </c>
    </row>
    <row r="19590" spans="1:8" ht="25.05" customHeight="1" x14ac:dyDescent="0.25">
      <c r="A19590" s="2" t="s">
        <v>8</v>
      </c>
      <c r="B19590" s="2" t="str">
        <f>HYPERLINK("http://ts.21cn.com/tousu/show/id/1351572","被套路")</f>
        <v>被套路</v>
      </c>
      <c r="C19590" s="2" t="s">
        <v>9</v>
      </c>
      <c r="D19590" s="2" t="s">
        <v>10</v>
      </c>
      <c r="E19590" s="2" t="str">
        <f>HYPERLINK("http://ts.21cn.com/tousu/show/id/1351572","http://ts.21cn.com/tousu/show/id/1351572")</f>
        <v>http://ts.21cn.com/tousu/show/id/1351572</v>
      </c>
      <c r="F19590" s="2" t="s">
        <v>11</v>
      </c>
      <c r="G19590" s="2" t="s">
        <v>5647</v>
      </c>
      <c r="H19590" s="2" t="s">
        <v>5648</v>
      </c>
    </row>
    <row r="19591" spans="1:8" ht="25.05" customHeight="1" x14ac:dyDescent="0.25">
      <c r="A19591" s="2" t="s">
        <v>8</v>
      </c>
      <c r="B19591" s="2" t="str">
        <f>HYPERLINK("http://ts.21cn.com/tousu/show/id/1351573","日日顺物流效率太慢了")</f>
        <v>日日顺物流效率太慢了</v>
      </c>
      <c r="C19591" s="2" t="s">
        <v>9</v>
      </c>
      <c r="D19591" s="2" t="s">
        <v>10</v>
      </c>
      <c r="E19591" s="2" t="str">
        <f>HYPERLINK("http://ts.21cn.com/tousu/show/id/1351573","http://ts.21cn.com/tousu/show/id/1351573")</f>
        <v>http://ts.21cn.com/tousu/show/id/1351573</v>
      </c>
      <c r="F19591" s="2" t="s">
        <v>11</v>
      </c>
      <c r="G19591" s="2" t="s">
        <v>5645</v>
      </c>
      <c r="H19591" s="2" t="s">
        <v>5646</v>
      </c>
    </row>
    <row r="19592" spans="1:8" ht="25.05" customHeight="1" x14ac:dyDescent="0.25">
      <c r="A19592" s="2" t="s">
        <v>8</v>
      </c>
      <c r="B19592" s="2" t="str">
        <f>HYPERLINK("http://ts.21cn.com/tousu/show/id/1351574","马上金融平台提前还款还需要额外支付手续费")</f>
        <v>马上金融平台提前还款还需要额外支付手续费</v>
      </c>
      <c r="C19592" s="2" t="s">
        <v>9</v>
      </c>
      <c r="D19592" s="2" t="s">
        <v>10</v>
      </c>
      <c r="E19592" s="2" t="str">
        <f>HYPERLINK("http://ts.21cn.com/tousu/show/id/1351574","http://ts.21cn.com/tousu/show/id/1351574")</f>
        <v>http://ts.21cn.com/tousu/show/id/1351574</v>
      </c>
      <c r="F19592" s="2" t="s">
        <v>11</v>
      </c>
      <c r="G19592" s="2" t="s">
        <v>5643</v>
      </c>
      <c r="H19592" s="2" t="s">
        <v>5644</v>
      </c>
    </row>
    <row r="19593" spans="1:8" ht="25.05" customHeight="1" x14ac:dyDescent="0.25">
      <c r="A19593" s="2" t="s">
        <v>8</v>
      </c>
      <c r="B19593" s="2" t="str">
        <f>HYPERLINK("http://ts.21cn.com/tousu/show/id/1351575","360网贷平台骚扰我的家人和朋友")</f>
        <v>360网贷平台骚扰我的家人和朋友</v>
      </c>
      <c r="C19593" s="2" t="s">
        <v>9</v>
      </c>
      <c r="D19593" s="2" t="s">
        <v>10</v>
      </c>
      <c r="E19593" s="2" t="str">
        <f>HYPERLINK("http://ts.21cn.com/tousu/show/id/1351575","http://ts.21cn.com/tousu/show/id/1351575")</f>
        <v>http://ts.21cn.com/tousu/show/id/1351575</v>
      </c>
      <c r="F19593" s="2" t="s">
        <v>11</v>
      </c>
      <c r="G19593" s="2" t="s">
        <v>5641</v>
      </c>
      <c r="H19593" s="2" t="s">
        <v>5642</v>
      </c>
    </row>
    <row r="19594" spans="1:8" ht="25.05" customHeight="1" x14ac:dyDescent="0.25">
      <c r="A19594" s="2" t="s">
        <v>8</v>
      </c>
      <c r="B19594" s="2" t="str">
        <f>HYPERLINK("http://ts.21cn.com/tousu/show/id/1351576","火车票退款未返回")</f>
        <v>火车票退款未返回</v>
      </c>
      <c r="C19594" s="2" t="s">
        <v>34</v>
      </c>
      <c r="D19594" s="2" t="s">
        <v>10</v>
      </c>
      <c r="E19594" s="2" t="str">
        <f>HYPERLINK("http://ts.21cn.com/tousu/show/id/1351576","http://ts.21cn.com/tousu/show/id/1351576")</f>
        <v>http://ts.21cn.com/tousu/show/id/1351576</v>
      </c>
      <c r="F19594" s="2" t="s">
        <v>11</v>
      </c>
      <c r="G19594" s="2" t="s">
        <v>5639</v>
      </c>
      <c r="H19594" s="2" t="s">
        <v>5640</v>
      </c>
    </row>
    <row r="19595" spans="1:8" ht="25.05" customHeight="1" x14ac:dyDescent="0.25">
      <c r="A19595" s="2" t="s">
        <v>8</v>
      </c>
      <c r="B19595" s="2" t="str">
        <f>HYPERLINK("http://ts.21cn.com/tousu/show/id/1351577","闪电借款套路砍头息，高额逾期费")</f>
        <v>闪电借款套路砍头息，高额逾期费</v>
      </c>
      <c r="C19595" s="2" t="s">
        <v>9</v>
      </c>
      <c r="D19595" s="2" t="s">
        <v>10</v>
      </c>
      <c r="E19595" s="2" t="str">
        <f>HYPERLINK("http://ts.21cn.com/tousu/show/id/1351577","http://ts.21cn.com/tousu/show/id/1351577")</f>
        <v>http://ts.21cn.com/tousu/show/id/1351577</v>
      </c>
      <c r="F19595" s="2" t="s">
        <v>11</v>
      </c>
      <c r="G19595" s="2" t="s">
        <v>5637</v>
      </c>
      <c r="H19595" s="2" t="s">
        <v>5638</v>
      </c>
    </row>
    <row r="19596" spans="1:8" ht="25.05" customHeight="1" x14ac:dyDescent="0.25">
      <c r="A19596" s="2" t="s">
        <v>8</v>
      </c>
      <c r="B19596" s="2" t="str">
        <f>HYPERLINK("http://ts.21cn.com/tousu/show/id/1351578","钱站高利贷阴阳合同")</f>
        <v>钱站高利贷阴阳合同</v>
      </c>
      <c r="C19596" s="2" t="s">
        <v>9</v>
      </c>
      <c r="D19596" s="2" t="s">
        <v>10</v>
      </c>
      <c r="E19596" s="2" t="str">
        <f>HYPERLINK("http://ts.21cn.com/tousu/show/id/1351578","http://ts.21cn.com/tousu/show/id/1351578")</f>
        <v>http://ts.21cn.com/tousu/show/id/1351578</v>
      </c>
      <c r="F19596" s="2" t="s">
        <v>11</v>
      </c>
      <c r="G19596" s="2" t="s">
        <v>5635</v>
      </c>
      <c r="H19596" s="2" t="s">
        <v>5636</v>
      </c>
    </row>
    <row r="19597" spans="1:8" ht="25.05" customHeight="1" x14ac:dyDescent="0.25">
      <c r="A19597" s="2" t="s">
        <v>8</v>
      </c>
      <c r="B19597" s="2" t="str">
        <f>HYPERLINK("http://ts.21cn.com/tousu/show/id/1351579","天房天辰世纪楼盘强制捆绑车位售卖且车位不按期交付使用")</f>
        <v>天房天辰世纪楼盘强制捆绑车位售卖且车位不按期交付使用</v>
      </c>
      <c r="C19597" s="2" t="s">
        <v>9</v>
      </c>
      <c r="D19597" s="2" t="s">
        <v>10</v>
      </c>
      <c r="E19597" s="2" t="str">
        <f>HYPERLINK("http://ts.21cn.com/tousu/show/id/1351579","http://ts.21cn.com/tousu/show/id/1351579")</f>
        <v>http://ts.21cn.com/tousu/show/id/1351579</v>
      </c>
      <c r="F19597" s="2" t="s">
        <v>11</v>
      </c>
      <c r="G19597" s="2" t="s">
        <v>5633</v>
      </c>
      <c r="H19597" s="2" t="s">
        <v>5634</v>
      </c>
    </row>
    <row r="19598" spans="1:8" ht="25.05" customHeight="1" x14ac:dyDescent="0.25">
      <c r="A19598" s="2" t="s">
        <v>8</v>
      </c>
      <c r="B19598" s="2" t="str">
        <f>HYPERLINK("http://ts.21cn.com/tousu/show/id/1351580","微信支付钱无法提现也无法交易")</f>
        <v>微信支付钱无法提现也无法交易</v>
      </c>
      <c r="C19598" s="2" t="s">
        <v>9</v>
      </c>
      <c r="D19598" s="2" t="s">
        <v>10</v>
      </c>
      <c r="E19598" s="2" t="str">
        <f>HYPERLINK("http://ts.21cn.com/tousu/show/id/1351580","http://ts.21cn.com/tousu/show/id/1351580")</f>
        <v>http://ts.21cn.com/tousu/show/id/1351580</v>
      </c>
      <c r="F19598" s="2" t="s">
        <v>11</v>
      </c>
      <c r="G19598" s="2" t="s">
        <v>5631</v>
      </c>
      <c r="H19598" s="2" t="s">
        <v>5632</v>
      </c>
    </row>
    <row r="19599" spans="1:8" ht="25.05" customHeight="1" x14ac:dyDescent="0.25">
      <c r="A19599" s="2" t="s">
        <v>8</v>
      </c>
      <c r="B19599" s="2" t="str">
        <f>HYPERLINK("http://ts.21cn.com/tousu/show/id/1351581","高利贷违法")</f>
        <v>高利贷违法</v>
      </c>
      <c r="C19599" s="2" t="s">
        <v>9</v>
      </c>
      <c r="D19599" s="2" t="s">
        <v>10</v>
      </c>
      <c r="E19599" s="2" t="str">
        <f>HYPERLINK("http://ts.21cn.com/tousu/show/id/1351581","http://ts.21cn.com/tousu/show/id/1351581")</f>
        <v>http://ts.21cn.com/tousu/show/id/1351581</v>
      </c>
      <c r="F19599" s="2" t="s">
        <v>11</v>
      </c>
      <c r="G19599" s="2" t="s">
        <v>5629</v>
      </c>
      <c r="H19599" s="2" t="s">
        <v>5630</v>
      </c>
    </row>
    <row r="19600" spans="1:8" ht="25.05" customHeight="1" x14ac:dyDescent="0.25">
      <c r="A19600" s="2" t="s">
        <v>8</v>
      </c>
      <c r="B19600" s="2" t="str">
        <f>HYPERLINK("http://ts.21cn.com/tousu/show/id/1351532","钱站高利贷阴阳合同")</f>
        <v>钱站高利贷阴阳合同</v>
      </c>
      <c r="C19600" s="2" t="s">
        <v>9</v>
      </c>
      <c r="D19600" s="2" t="s">
        <v>10</v>
      </c>
      <c r="E19600" s="2" t="str">
        <f>HYPERLINK("http://ts.21cn.com/tousu/show/id/1351532","http://ts.21cn.com/tousu/show/id/1351532")</f>
        <v>http://ts.21cn.com/tousu/show/id/1351532</v>
      </c>
      <c r="F19600" s="2" t="s">
        <v>11</v>
      </c>
      <c r="G19600" s="2" t="s">
        <v>5627</v>
      </c>
      <c r="H19600" s="2" t="s">
        <v>5628</v>
      </c>
    </row>
    <row r="19601" spans="1:8" ht="25.05" customHeight="1" x14ac:dyDescent="0.25">
      <c r="A19601" s="2" t="s">
        <v>8</v>
      </c>
      <c r="B19601" s="2" t="str">
        <f>HYPERLINK("http://ts.21cn.com/tousu/show/id/1351437","通联支付宏萨上海信息公司无故扣款")</f>
        <v>通联支付宏萨上海信息公司无故扣款</v>
      </c>
      <c r="C19601" s="2" t="s">
        <v>9</v>
      </c>
      <c r="D19601" s="2" t="s">
        <v>10</v>
      </c>
      <c r="E19601" s="2" t="str">
        <f>HYPERLINK("http://ts.21cn.com/tousu/show/id/1351437","http://ts.21cn.com/tousu/show/id/1351437")</f>
        <v>http://ts.21cn.com/tousu/show/id/1351437</v>
      </c>
      <c r="F19601" s="2" t="s">
        <v>11</v>
      </c>
      <c r="G19601" s="2" t="s">
        <v>5625</v>
      </c>
      <c r="H19601" s="2" t="s">
        <v>5626</v>
      </c>
    </row>
    <row r="19602" spans="1:8" ht="25.05" customHeight="1" x14ac:dyDescent="0.25">
      <c r="A19602" s="2" t="s">
        <v>8</v>
      </c>
      <c r="B19602" s="2" t="str">
        <f>HYPERLINK("http://ts.21cn.com/tousu/show/id/1351583","无良拼多多商家售假并虚假宣传，找拼多多平台投诉平台不管！")</f>
        <v>无良拼多多商家售假并虚假宣传，找拼多多平台投诉平台不管！</v>
      </c>
      <c r="C19602" s="2" t="s">
        <v>9</v>
      </c>
      <c r="D19602" s="2" t="s">
        <v>10</v>
      </c>
      <c r="E19602" s="2" t="str">
        <f>HYPERLINK("http://ts.21cn.com/tousu/show/id/1351583","http://ts.21cn.com/tousu/show/id/1351583")</f>
        <v>http://ts.21cn.com/tousu/show/id/1351583</v>
      </c>
      <c r="F19602" s="2" t="s">
        <v>11</v>
      </c>
      <c r="G19602" s="2" t="s">
        <v>5623</v>
      </c>
      <c r="H19602" s="2" t="s">
        <v>5624</v>
      </c>
    </row>
    <row r="19603" spans="1:8" ht="25.05" customHeight="1" x14ac:dyDescent="0.25">
      <c r="A19603" s="2" t="s">
        <v>8</v>
      </c>
      <c r="B19603" s="2" t="str">
        <f>HYPERLINK("http://ts.21cn.com/tousu/show/id/1351584","马上金融阴阳合同")</f>
        <v>马上金融阴阳合同</v>
      </c>
      <c r="C19603" s="2" t="s">
        <v>9</v>
      </c>
      <c r="D19603" s="2" t="s">
        <v>10</v>
      </c>
      <c r="E19603" s="2" t="str">
        <f>HYPERLINK("http://ts.21cn.com/tousu/show/id/1351584","http://ts.21cn.com/tousu/show/id/1351584")</f>
        <v>http://ts.21cn.com/tousu/show/id/1351584</v>
      </c>
      <c r="F19603" s="2" t="s">
        <v>11</v>
      </c>
      <c r="G19603" s="2" t="s">
        <v>5621</v>
      </c>
      <c r="H19603" s="2" t="s">
        <v>5622</v>
      </c>
    </row>
    <row r="19604" spans="1:8" ht="25.05" customHeight="1" x14ac:dyDescent="0.25">
      <c r="A19604" s="2" t="s">
        <v>8</v>
      </c>
      <c r="B19604" s="2" t="str">
        <f>HYPERLINK("http://ts.21cn.com/tousu/show/id/1351585","造艺科技下面聚福分期自动扣款")</f>
        <v>造艺科技下面聚福分期自动扣款</v>
      </c>
      <c r="C19604" s="2" t="s">
        <v>9</v>
      </c>
      <c r="D19604" s="2" t="s">
        <v>10</v>
      </c>
      <c r="E19604" s="2" t="str">
        <f>HYPERLINK("http://ts.21cn.com/tousu/show/id/1351585","http://ts.21cn.com/tousu/show/id/1351585")</f>
        <v>http://ts.21cn.com/tousu/show/id/1351585</v>
      </c>
      <c r="F19604" s="2" t="s">
        <v>11</v>
      </c>
      <c r="G19604" s="2" t="s">
        <v>5619</v>
      </c>
      <c r="H19604" s="2" t="s">
        <v>5620</v>
      </c>
    </row>
    <row r="19605" spans="1:8" ht="25.05" customHeight="1" x14ac:dyDescent="0.25">
      <c r="A19605" s="2" t="s">
        <v>8</v>
      </c>
      <c r="B19605" s="2" t="str">
        <f>HYPERLINK("http://ts.21cn.com/tousu/show/id/1351586","闪银平台必须要前期费用才能放款")</f>
        <v>闪银平台必须要前期费用才能放款</v>
      </c>
      <c r="C19605" s="2" t="s">
        <v>9</v>
      </c>
      <c r="D19605" s="2" t="s">
        <v>10</v>
      </c>
      <c r="E19605" s="2" t="str">
        <f>HYPERLINK("http://ts.21cn.com/tousu/show/id/1351586","http://ts.21cn.com/tousu/show/id/1351586")</f>
        <v>http://ts.21cn.com/tousu/show/id/1351586</v>
      </c>
      <c r="F19605" s="2" t="s">
        <v>11</v>
      </c>
      <c r="G19605" s="2" t="s">
        <v>5617</v>
      </c>
      <c r="H19605" s="2" t="s">
        <v>5618</v>
      </c>
    </row>
    <row r="19606" spans="1:8" ht="25.05" customHeight="1" x14ac:dyDescent="0.25">
      <c r="A19606" s="2" t="s">
        <v>8</v>
      </c>
      <c r="B19606" s="2" t="str">
        <f>HYPERLINK("http://ts.21cn.com/tousu/show/id/1351587","联动优势辽宁恶意扣费")</f>
        <v>联动优势辽宁恶意扣费</v>
      </c>
      <c r="C19606" s="2" t="s">
        <v>9</v>
      </c>
      <c r="D19606" s="2" t="s">
        <v>10</v>
      </c>
      <c r="E19606" s="2" t="str">
        <f>HYPERLINK("http://ts.21cn.com/tousu/show/id/1351587","http://ts.21cn.com/tousu/show/id/1351587")</f>
        <v>http://ts.21cn.com/tousu/show/id/1351587</v>
      </c>
      <c r="F19606" s="2" t="s">
        <v>11</v>
      </c>
      <c r="G19606" s="2" t="s">
        <v>5615</v>
      </c>
      <c r="H19606" s="2" t="s">
        <v>5616</v>
      </c>
    </row>
    <row r="19607" spans="1:8" ht="25.05" customHeight="1" x14ac:dyDescent="0.25">
      <c r="A19607" s="2" t="s">
        <v>8</v>
      </c>
      <c r="B19607" s="2" t="str">
        <f>HYPERLINK("http://ts.21cn.com/tousu/show/id/1351588","你我贷暴力催收到单位导致被迫离职")</f>
        <v>你我贷暴力催收到单位导致被迫离职</v>
      </c>
      <c r="C19607" s="2" t="s">
        <v>9</v>
      </c>
      <c r="D19607" s="2" t="s">
        <v>10</v>
      </c>
      <c r="E19607" s="2" t="str">
        <f>HYPERLINK("http://ts.21cn.com/tousu/show/id/1351588","http://ts.21cn.com/tousu/show/id/1351588")</f>
        <v>http://ts.21cn.com/tousu/show/id/1351588</v>
      </c>
      <c r="F19607" s="2" t="s">
        <v>11</v>
      </c>
      <c r="G19607" s="2" t="s">
        <v>5613</v>
      </c>
      <c r="H19607" s="2" t="s">
        <v>5614</v>
      </c>
    </row>
    <row r="19608" spans="1:8" ht="25.05" customHeight="1" x14ac:dyDescent="0.25">
      <c r="A19608" s="2" t="s">
        <v>8</v>
      </c>
      <c r="B19608" s="2" t="str">
        <f>HYPERLINK("http://ts.21cn.com/tousu/show/id/1351589","违规替赌博网站提供充值入口")</f>
        <v>违规替赌博网站提供充值入口</v>
      </c>
      <c r="C19608" s="2" t="s">
        <v>9</v>
      </c>
      <c r="D19608" s="2" t="s">
        <v>10</v>
      </c>
      <c r="E19608" s="2" t="str">
        <f>HYPERLINK("http://ts.21cn.com/tousu/show/id/1351589","http://ts.21cn.com/tousu/show/id/1351589")</f>
        <v>http://ts.21cn.com/tousu/show/id/1351589</v>
      </c>
      <c r="F19608" s="2" t="s">
        <v>11</v>
      </c>
      <c r="G19608" s="2" t="s">
        <v>5611</v>
      </c>
      <c r="H19608" s="2" t="s">
        <v>5612</v>
      </c>
    </row>
    <row r="19609" spans="1:8" ht="25.05" customHeight="1" x14ac:dyDescent="0.25">
      <c r="A19609" s="2" t="s">
        <v>8</v>
      </c>
      <c r="B19609" s="2" t="str">
        <f>HYPERLINK("http://ts.21cn.com/tousu/show/id/1351590","汇潮支付违规提供充值渠道")</f>
        <v>汇潮支付违规提供充值渠道</v>
      </c>
      <c r="C19609" s="2" t="s">
        <v>9</v>
      </c>
      <c r="D19609" s="2" t="s">
        <v>10</v>
      </c>
      <c r="E19609" s="2" t="str">
        <f>HYPERLINK("http://ts.21cn.com/tousu/show/id/1351590","http://ts.21cn.com/tousu/show/id/1351590")</f>
        <v>http://ts.21cn.com/tousu/show/id/1351590</v>
      </c>
      <c r="F19609" s="2" t="s">
        <v>11</v>
      </c>
      <c r="G19609" s="2" t="s">
        <v>5609</v>
      </c>
      <c r="H19609" s="2" t="s">
        <v>5610</v>
      </c>
    </row>
    <row r="19610" spans="1:8" ht="25.05" customHeight="1" x14ac:dyDescent="0.25">
      <c r="A19610" s="2" t="s">
        <v>8</v>
      </c>
      <c r="B19610" s="2" t="str">
        <f>HYPERLINK("http://ts.21cn.com/tousu/show/id/1351582","淘宝国泰产险运费险拒赔")</f>
        <v>淘宝国泰产险运费险拒赔</v>
      </c>
      <c r="C19610" s="2" t="s">
        <v>34</v>
      </c>
      <c r="D19610" s="2" t="s">
        <v>10</v>
      </c>
      <c r="E19610" s="2" t="str">
        <f>HYPERLINK("http://ts.21cn.com/tousu/show/id/1351582","http://ts.21cn.com/tousu/show/id/1351582")</f>
        <v>http://ts.21cn.com/tousu/show/id/1351582</v>
      </c>
      <c r="F19610" s="2" t="s">
        <v>11</v>
      </c>
      <c r="G19610" s="2" t="s">
        <v>5607</v>
      </c>
      <c r="H19610" s="2" t="s">
        <v>5608</v>
      </c>
    </row>
    <row r="19611" spans="1:8" ht="25.05" customHeight="1" x14ac:dyDescent="0.25">
      <c r="A19611" s="2" t="s">
        <v>8</v>
      </c>
      <c r="B19611" s="2" t="str">
        <f>HYPERLINK("http://ts.21cn.com/tousu/show/id/1351591","清除火车票往期订单且联系不上客服")</f>
        <v>清除火车票往期订单且联系不上客服</v>
      </c>
      <c r="C19611" s="2" t="s">
        <v>9</v>
      </c>
      <c r="D19611" s="2" t="s">
        <v>10</v>
      </c>
      <c r="E19611" s="2" t="str">
        <f>HYPERLINK("http://ts.21cn.com/tousu/show/id/1351591","http://ts.21cn.com/tousu/show/id/1351591")</f>
        <v>http://ts.21cn.com/tousu/show/id/1351591</v>
      </c>
      <c r="F19611" s="2" t="s">
        <v>11</v>
      </c>
      <c r="G19611" s="2" t="s">
        <v>5605</v>
      </c>
      <c r="H19611" s="2" t="s">
        <v>5606</v>
      </c>
    </row>
    <row r="19612" spans="1:8" ht="25.05" customHeight="1" x14ac:dyDescent="0.25">
      <c r="A19612" s="2" t="s">
        <v>8</v>
      </c>
      <c r="B19612" s="2" t="str">
        <f>HYPERLINK("http://ts.21cn.com/tousu/show/id/1351593","及货泄露个人隐私信息")</f>
        <v>及货泄露个人隐私信息</v>
      </c>
      <c r="C19612" s="2" t="s">
        <v>9</v>
      </c>
      <c r="D19612" s="2" t="s">
        <v>10</v>
      </c>
      <c r="E19612" s="2" t="str">
        <f>HYPERLINK("http://ts.21cn.com/tousu/show/id/1351593","http://ts.21cn.com/tousu/show/id/1351593")</f>
        <v>http://ts.21cn.com/tousu/show/id/1351593</v>
      </c>
      <c r="F19612" s="2" t="s">
        <v>11</v>
      </c>
      <c r="G19612" s="2" t="s">
        <v>5603</v>
      </c>
      <c r="H19612" s="2" t="s">
        <v>5604</v>
      </c>
    </row>
    <row r="19613" spans="1:8" ht="25.05" customHeight="1" x14ac:dyDescent="0.25">
      <c r="A19613" s="2" t="s">
        <v>8</v>
      </c>
      <c r="B19613" s="2" t="str">
        <f>HYPERLINK("http://ts.21cn.com/tousu/show/id/1351595","暴力催收，侮辱短信")</f>
        <v>暴力催收，侮辱短信</v>
      </c>
      <c r="C19613" s="2" t="s">
        <v>9</v>
      </c>
      <c r="D19613" s="2" t="s">
        <v>10</v>
      </c>
      <c r="E19613" s="2" t="str">
        <f>HYPERLINK("http://ts.21cn.com/tousu/show/id/1351595","http://ts.21cn.com/tousu/show/id/1351595")</f>
        <v>http://ts.21cn.com/tousu/show/id/1351595</v>
      </c>
      <c r="F19613" s="2" t="s">
        <v>11</v>
      </c>
      <c r="G19613" s="2" t="s">
        <v>5601</v>
      </c>
      <c r="H19613" s="2" t="s">
        <v>5602</v>
      </c>
    </row>
    <row r="19614" spans="1:8" ht="25.05" customHeight="1" x14ac:dyDescent="0.25">
      <c r="A19614" s="2" t="s">
        <v>8</v>
      </c>
      <c r="B19614" s="2" t="str">
        <f>HYPERLINK("http://ts.21cn.com/tousu/show/id/1351596","拍拍贷恐吓，威胁，骚扰")</f>
        <v>拍拍贷恐吓，威胁，骚扰</v>
      </c>
      <c r="C19614" s="2" t="s">
        <v>9</v>
      </c>
      <c r="D19614" s="2" t="s">
        <v>10</v>
      </c>
      <c r="E19614" s="2" t="str">
        <f>HYPERLINK("http://ts.21cn.com/tousu/show/id/1351596","http://ts.21cn.com/tousu/show/id/1351596")</f>
        <v>http://ts.21cn.com/tousu/show/id/1351596</v>
      </c>
      <c r="F19614" s="2" t="s">
        <v>11</v>
      </c>
      <c r="G19614" s="2" t="s">
        <v>5599</v>
      </c>
      <c r="H19614" s="2" t="s">
        <v>5600</v>
      </c>
    </row>
    <row r="19615" spans="1:8" ht="25.05" customHeight="1" x14ac:dyDescent="0.25">
      <c r="A19615" s="2" t="s">
        <v>8</v>
      </c>
      <c r="B19615" s="2" t="str">
        <f>HYPERLINK("http://ts.21cn.com/tousu/show/id/1351597","小浦优客恶意扣我296元")</f>
        <v>小浦优客恶意扣我296元</v>
      </c>
      <c r="C19615" s="2" t="s">
        <v>9</v>
      </c>
      <c r="D19615" s="2" t="s">
        <v>10</v>
      </c>
      <c r="E19615" s="2" t="str">
        <f>HYPERLINK("http://ts.21cn.com/tousu/show/id/1351597","http://ts.21cn.com/tousu/show/id/1351597")</f>
        <v>http://ts.21cn.com/tousu/show/id/1351597</v>
      </c>
      <c r="F19615" s="2" t="s">
        <v>11</v>
      </c>
      <c r="G19615" s="2" t="s">
        <v>5597</v>
      </c>
      <c r="H19615" s="2" t="s">
        <v>5598</v>
      </c>
    </row>
    <row r="19616" spans="1:8" ht="25.05" customHeight="1" x14ac:dyDescent="0.25">
      <c r="A19616" s="2" t="s">
        <v>8</v>
      </c>
      <c r="B19616" s="2" t="str">
        <f>HYPERLINK("http://ts.21cn.com/tousu/show/id/1351598","及贷高额利息费用，短信和电话骚扰我通讯录朋友")</f>
        <v>及贷高额利息费用，短信和电话骚扰我通讯录朋友</v>
      </c>
      <c r="C19616" s="2" t="s">
        <v>9</v>
      </c>
      <c r="D19616" s="2" t="s">
        <v>10</v>
      </c>
      <c r="E19616" s="2" t="str">
        <f>HYPERLINK("http://ts.21cn.com/tousu/show/id/1351598","http://ts.21cn.com/tousu/show/id/1351598")</f>
        <v>http://ts.21cn.com/tousu/show/id/1351598</v>
      </c>
      <c r="F19616" s="2" t="s">
        <v>11</v>
      </c>
      <c r="G19616" s="2" t="s">
        <v>5595</v>
      </c>
      <c r="H19616" s="2" t="s">
        <v>5596</v>
      </c>
    </row>
    <row r="19617" spans="1:8" ht="25.05" customHeight="1" x14ac:dyDescent="0.25">
      <c r="A19617" s="2" t="s">
        <v>8</v>
      </c>
      <c r="B19617" s="2" t="str">
        <f>HYPERLINK("http://ts.21cn.com/tousu/show/id/1351599","民生银行外包催收公司暴力催收")</f>
        <v>民生银行外包催收公司暴力催收</v>
      </c>
      <c r="C19617" s="2" t="s">
        <v>9</v>
      </c>
      <c r="D19617" s="2" t="s">
        <v>10</v>
      </c>
      <c r="E19617" s="2" t="str">
        <f>HYPERLINK("http://ts.21cn.com/tousu/show/id/1351599","http://ts.21cn.com/tousu/show/id/1351599")</f>
        <v>http://ts.21cn.com/tousu/show/id/1351599</v>
      </c>
      <c r="F19617" s="2" t="s">
        <v>11</v>
      </c>
      <c r="G19617" s="2" t="s">
        <v>5593</v>
      </c>
      <c r="H19617" s="2" t="s">
        <v>5594</v>
      </c>
    </row>
    <row r="19618" spans="1:8" ht="25.05" customHeight="1" x14ac:dyDescent="0.25">
      <c r="A19618" s="2" t="s">
        <v>8</v>
      </c>
      <c r="B19618" s="2" t="str">
        <f>HYPERLINK("http://ts.21cn.com/tousu/show/id/1351600","海风教育退款难")</f>
        <v>海风教育退款难</v>
      </c>
      <c r="C19618" s="2" t="s">
        <v>9</v>
      </c>
      <c r="D19618" s="2" t="s">
        <v>10</v>
      </c>
      <c r="E19618" s="2" t="str">
        <f>HYPERLINK("http://ts.21cn.com/tousu/show/id/1351600","http://ts.21cn.com/tousu/show/id/1351600")</f>
        <v>http://ts.21cn.com/tousu/show/id/1351600</v>
      </c>
      <c r="F19618" s="2" t="s">
        <v>11</v>
      </c>
      <c r="G19618" s="2" t="s">
        <v>5591</v>
      </c>
      <c r="H19618" s="2" t="s">
        <v>5592</v>
      </c>
    </row>
    <row r="19619" spans="1:8" ht="25.05" customHeight="1" x14ac:dyDescent="0.25">
      <c r="A19619" s="2" t="s">
        <v>8</v>
      </c>
      <c r="B19619" s="2" t="str">
        <f>HYPERLINK("http://ts.21cn.com/tousu/show/id/1351601","培训机构不给退费就投诉")</f>
        <v>培训机构不给退费就投诉</v>
      </c>
      <c r="C19619" s="2" t="s">
        <v>9</v>
      </c>
      <c r="D19619" s="2" t="s">
        <v>10</v>
      </c>
      <c r="E19619" s="2" t="str">
        <f>HYPERLINK("http://ts.21cn.com/tousu/show/id/1351601","http://ts.21cn.com/tousu/show/id/1351601")</f>
        <v>http://ts.21cn.com/tousu/show/id/1351601</v>
      </c>
      <c r="F19619" s="2" t="s">
        <v>11</v>
      </c>
      <c r="G19619" s="2" t="s">
        <v>5589</v>
      </c>
      <c r="H19619" s="2" t="s">
        <v>5590</v>
      </c>
    </row>
    <row r="19620" spans="1:8" ht="25.05" customHeight="1" x14ac:dyDescent="0.25">
      <c r="A19620" s="2" t="s">
        <v>8</v>
      </c>
      <c r="B19620" s="2" t="str">
        <f>HYPERLINK("http://ts.21cn.com/tousu/show/id/1351594","此人涉嫌非法盗取个人信息，威胁恐吓")</f>
        <v>此人涉嫌非法盗取个人信息，威胁恐吓</v>
      </c>
      <c r="C19620" s="2" t="s">
        <v>9</v>
      </c>
      <c r="D19620" s="2" t="s">
        <v>10</v>
      </c>
      <c r="E19620" s="2" t="str">
        <f>HYPERLINK("http://ts.21cn.com/tousu/show/id/1351594","http://ts.21cn.com/tousu/show/id/1351594")</f>
        <v>http://ts.21cn.com/tousu/show/id/1351594</v>
      </c>
      <c r="F19620" s="2" t="s">
        <v>11</v>
      </c>
      <c r="G19620" s="2" t="s">
        <v>5587</v>
      </c>
      <c r="H19620" s="2" t="s">
        <v>5588</v>
      </c>
    </row>
    <row r="19621" spans="1:8" ht="25.05" customHeight="1" x14ac:dyDescent="0.25">
      <c r="A19621" s="2" t="s">
        <v>8</v>
      </c>
      <c r="B19621" s="2" t="str">
        <f>HYPERLINK("http://ts.21cn.com/tousu/show/id/1351602","微信支付冻结投诉")</f>
        <v>微信支付冻结投诉</v>
      </c>
      <c r="C19621" s="2" t="s">
        <v>9</v>
      </c>
      <c r="D19621" s="2" t="s">
        <v>10</v>
      </c>
      <c r="E19621" s="2" t="str">
        <f>HYPERLINK("http://ts.21cn.com/tousu/show/id/1351602","http://ts.21cn.com/tousu/show/id/1351602")</f>
        <v>http://ts.21cn.com/tousu/show/id/1351602</v>
      </c>
      <c r="F19621" s="2" t="s">
        <v>11</v>
      </c>
      <c r="G19621" s="2" t="s">
        <v>5585</v>
      </c>
      <c r="H19621" s="2" t="s">
        <v>5586</v>
      </c>
    </row>
    <row r="19622" spans="1:8" ht="25.05" customHeight="1" x14ac:dyDescent="0.25">
      <c r="A19622" s="2" t="s">
        <v>8</v>
      </c>
      <c r="B19622" s="2" t="str">
        <f>HYPERLINK("http://ts.21cn.com/tousu/show/id/1351603","造艺科技强行收取高额咨询费")</f>
        <v>造艺科技强行收取高额咨询费</v>
      </c>
      <c r="C19622" s="2" t="s">
        <v>9</v>
      </c>
      <c r="D19622" s="2" t="s">
        <v>10</v>
      </c>
      <c r="E19622" s="2" t="str">
        <f>HYPERLINK("http://ts.21cn.com/tousu/show/id/1351603","http://ts.21cn.com/tousu/show/id/1351603")</f>
        <v>http://ts.21cn.com/tousu/show/id/1351603</v>
      </c>
      <c r="F19622" s="2" t="s">
        <v>11</v>
      </c>
      <c r="G19622" s="2" t="s">
        <v>5583</v>
      </c>
      <c r="H19622" s="2" t="s">
        <v>5584</v>
      </c>
    </row>
    <row r="19623" spans="1:8" ht="25.05" customHeight="1" x14ac:dyDescent="0.25">
      <c r="A19623" s="2" t="s">
        <v>8</v>
      </c>
      <c r="B19623" s="2" t="str">
        <f>HYPERLINK("http://ts.21cn.com/tousu/show/id/1351604","vipkid线上教育平台泄露个人信息")</f>
        <v>vipkid线上教育平台泄露个人信息</v>
      </c>
      <c r="C19623" s="2" t="s">
        <v>9</v>
      </c>
      <c r="D19623" s="2" t="s">
        <v>10</v>
      </c>
      <c r="E19623" s="2" t="str">
        <f>HYPERLINK("http://ts.21cn.com/tousu/show/id/1351604","http://ts.21cn.com/tousu/show/id/1351604")</f>
        <v>http://ts.21cn.com/tousu/show/id/1351604</v>
      </c>
      <c r="F19623" s="2" t="s">
        <v>11</v>
      </c>
      <c r="G19623" s="2" t="s">
        <v>5581</v>
      </c>
      <c r="H19623" s="2" t="s">
        <v>5582</v>
      </c>
    </row>
    <row r="19624" spans="1:8" ht="25.05" customHeight="1" x14ac:dyDescent="0.25">
      <c r="A19624" s="2" t="s">
        <v>8</v>
      </c>
      <c r="B19624" s="2" t="str">
        <f>HYPERLINK("http://ts.21cn.com/tousu/show/id/1351606","投诉网贷平台")</f>
        <v>投诉网贷平台</v>
      </c>
      <c r="C19624" s="2" t="s">
        <v>9</v>
      </c>
      <c r="D19624" s="2" t="s">
        <v>10</v>
      </c>
      <c r="E19624" s="2" t="str">
        <f>HYPERLINK("http://ts.21cn.com/tousu/show/id/1351606","http://ts.21cn.com/tousu/show/id/1351606")</f>
        <v>http://ts.21cn.com/tousu/show/id/1351606</v>
      </c>
      <c r="F19624" s="2" t="s">
        <v>11</v>
      </c>
      <c r="G19624" s="2" t="s">
        <v>5579</v>
      </c>
      <c r="H19624" s="2" t="s">
        <v>5580</v>
      </c>
    </row>
    <row r="19625" spans="1:8" ht="25.05" customHeight="1" x14ac:dyDescent="0.25">
      <c r="A19625" s="2" t="s">
        <v>8</v>
      </c>
      <c r="B19625" s="2" t="str">
        <f>HYPERLINK("http://ts.21cn.com/tousu/show/id/1351607","闪银延期")</f>
        <v>闪银延期</v>
      </c>
      <c r="C19625" s="2" t="s">
        <v>34</v>
      </c>
      <c r="D19625" s="2" t="s">
        <v>10</v>
      </c>
      <c r="E19625" s="2" t="str">
        <f>HYPERLINK("http://ts.21cn.com/tousu/show/id/1351607","http://ts.21cn.com/tousu/show/id/1351607")</f>
        <v>http://ts.21cn.com/tousu/show/id/1351607</v>
      </c>
      <c r="F19625" s="2" t="s">
        <v>11</v>
      </c>
      <c r="G19625" s="2" t="s">
        <v>5577</v>
      </c>
      <c r="H19625" s="2" t="s">
        <v>5578</v>
      </c>
    </row>
    <row r="19626" spans="1:8" ht="25.05" customHeight="1" x14ac:dyDescent="0.25">
      <c r="A19626" s="2" t="s">
        <v>8</v>
      </c>
      <c r="B19626" s="2" t="str">
        <f>HYPERLINK("http://ts.21cn.com/tousu/show/id/1351608","马上金融阴阳收费")</f>
        <v>马上金融阴阳收费</v>
      </c>
      <c r="C19626" s="2" t="s">
        <v>9</v>
      </c>
      <c r="D19626" s="2" t="s">
        <v>10</v>
      </c>
      <c r="E19626" s="2" t="str">
        <f>HYPERLINK("http://ts.21cn.com/tousu/show/id/1351608","http://ts.21cn.com/tousu/show/id/1351608")</f>
        <v>http://ts.21cn.com/tousu/show/id/1351608</v>
      </c>
      <c r="F19626" s="2" t="s">
        <v>11</v>
      </c>
      <c r="G19626" s="2" t="s">
        <v>5575</v>
      </c>
      <c r="H19626" s="2" t="s">
        <v>5576</v>
      </c>
    </row>
    <row r="19627" spans="1:8" ht="25.05" customHeight="1" x14ac:dyDescent="0.25">
      <c r="A19627" s="2" t="s">
        <v>8</v>
      </c>
      <c r="B19627" s="2" t="str">
        <f>HYPERLINK("http://ts.21cn.com/tousu/show/id/1351609","借贷宝暴力催收")</f>
        <v>借贷宝暴力催收</v>
      </c>
      <c r="C19627" s="2" t="s">
        <v>9</v>
      </c>
      <c r="D19627" s="2" t="s">
        <v>10</v>
      </c>
      <c r="E19627" s="2" t="str">
        <f>HYPERLINK("http://ts.21cn.com/tousu/show/id/1351609","http://ts.21cn.com/tousu/show/id/1351609")</f>
        <v>http://ts.21cn.com/tousu/show/id/1351609</v>
      </c>
      <c r="F19627" s="2" t="s">
        <v>11</v>
      </c>
      <c r="G19627" s="2" t="s">
        <v>5573</v>
      </c>
      <c r="H19627" s="2" t="s">
        <v>5574</v>
      </c>
    </row>
    <row r="19628" spans="1:8" ht="25.05" customHeight="1" x14ac:dyDescent="0.25">
      <c r="A19628" s="2" t="s">
        <v>8</v>
      </c>
      <c r="B19628" s="2" t="str">
        <f>HYPERLINK("http://ts.21cn.com/tousu/show/id/1351610","ｕ钱包收取砍头费，不提供借款合同，利息违法。")</f>
        <v>ｕ钱包收取砍头费，不提供借款合同，利息违法。</v>
      </c>
      <c r="C19628" s="2" t="s">
        <v>9</v>
      </c>
      <c r="D19628" s="2" t="s">
        <v>10</v>
      </c>
      <c r="E19628" s="2" t="str">
        <f>HYPERLINK("http://ts.21cn.com/tousu/show/id/1351610","http://ts.21cn.com/tousu/show/id/1351610")</f>
        <v>http://ts.21cn.com/tousu/show/id/1351610</v>
      </c>
      <c r="F19628" s="2" t="s">
        <v>11</v>
      </c>
      <c r="G19628" s="2" t="s">
        <v>5571</v>
      </c>
      <c r="H19628" s="2" t="s">
        <v>5572</v>
      </c>
    </row>
    <row r="19629" spans="1:8" ht="25.05" customHeight="1" x14ac:dyDescent="0.25">
      <c r="A19629" s="2" t="s">
        <v>8</v>
      </c>
      <c r="B19629" s="2" t="str">
        <f>HYPERLINK("http://ts.21cn.com/tousu/show/id/1351611","百事普惠恶意扣款")</f>
        <v>百事普惠恶意扣款</v>
      </c>
      <c r="C19629" s="2" t="s">
        <v>9</v>
      </c>
      <c r="D19629" s="2" t="s">
        <v>10</v>
      </c>
      <c r="E19629" s="2" t="str">
        <f>HYPERLINK("http://ts.21cn.com/tousu/show/id/1351611","http://ts.21cn.com/tousu/show/id/1351611")</f>
        <v>http://ts.21cn.com/tousu/show/id/1351611</v>
      </c>
      <c r="F19629" s="2" t="s">
        <v>11</v>
      </c>
      <c r="G19629" s="2" t="s">
        <v>5569</v>
      </c>
      <c r="H19629" s="2" t="s">
        <v>5570</v>
      </c>
    </row>
    <row r="19630" spans="1:8" ht="25.05" customHeight="1" x14ac:dyDescent="0.25">
      <c r="A19630" s="2" t="s">
        <v>8</v>
      </c>
      <c r="B19630" s="2" t="str">
        <f>HYPERLINK("http://ts.21cn.com/tousu/show/id/1351614","钱站利息过高")</f>
        <v>钱站利息过高</v>
      </c>
      <c r="C19630" s="2" t="s">
        <v>9</v>
      </c>
      <c r="D19630" s="2" t="s">
        <v>10</v>
      </c>
      <c r="E19630" s="2" t="str">
        <f>HYPERLINK("http://ts.21cn.com/tousu/show/id/1351614","http://ts.21cn.com/tousu/show/id/1351614")</f>
        <v>http://ts.21cn.com/tousu/show/id/1351614</v>
      </c>
      <c r="F19630" s="2" t="s">
        <v>11</v>
      </c>
      <c r="G19630" s="2" t="s">
        <v>5567</v>
      </c>
      <c r="H19630" s="2" t="s">
        <v>5568</v>
      </c>
    </row>
    <row r="19631" spans="1:8" ht="25.05" customHeight="1" x14ac:dyDescent="0.25">
      <c r="A19631" s="2" t="s">
        <v>8</v>
      </c>
      <c r="B19631" s="2" t="str">
        <f>HYPERLINK("http://ts.21cn.com/tousu/show/id/1351615","广州欧福科有限公司技")</f>
        <v>广州欧福科有限公司技</v>
      </c>
      <c r="C19631" s="2" t="s">
        <v>34</v>
      </c>
      <c r="D19631" s="2" t="s">
        <v>10</v>
      </c>
      <c r="E19631" s="2" t="str">
        <f>HYPERLINK("http://ts.21cn.com/tousu/show/id/1351615","http://ts.21cn.com/tousu/show/id/1351615")</f>
        <v>http://ts.21cn.com/tousu/show/id/1351615</v>
      </c>
      <c r="F19631" s="2" t="s">
        <v>11</v>
      </c>
      <c r="G19631" s="2" t="s">
        <v>5565</v>
      </c>
      <c r="H19631" s="2" t="s">
        <v>5566</v>
      </c>
    </row>
    <row r="19632" spans="1:8" ht="25.05" customHeight="1" x14ac:dyDescent="0.25">
      <c r="A19632" s="2" t="s">
        <v>8</v>
      </c>
      <c r="B19632" s="2" t="str">
        <f>HYPERLINK("http://ts.21cn.com/tousu/show/id/1351616","钱站高利贷阴阳合同")</f>
        <v>钱站高利贷阴阳合同</v>
      </c>
      <c r="C19632" s="2" t="s">
        <v>9</v>
      </c>
      <c r="D19632" s="2" t="s">
        <v>10</v>
      </c>
      <c r="E19632" s="2" t="str">
        <f>HYPERLINK("http://ts.21cn.com/tousu/show/id/1351616","http://ts.21cn.com/tousu/show/id/1351616")</f>
        <v>http://ts.21cn.com/tousu/show/id/1351616</v>
      </c>
      <c r="F19632" s="2" t="s">
        <v>11</v>
      </c>
      <c r="G19632" s="2" t="s">
        <v>5563</v>
      </c>
      <c r="H19632" s="2" t="s">
        <v>5564</v>
      </c>
    </row>
    <row r="19633" spans="1:8" ht="25.05" customHeight="1" x14ac:dyDescent="0.25">
      <c r="A19633" s="2" t="s">
        <v>8</v>
      </c>
      <c r="B19633" s="2" t="str">
        <f>HYPERLINK("http://ts.21cn.com/tousu/show/id/1351617","网贷套路贷")</f>
        <v>网贷套路贷</v>
      </c>
      <c r="C19633" s="2" t="s">
        <v>9</v>
      </c>
      <c r="D19633" s="2" t="s">
        <v>10</v>
      </c>
      <c r="E19633" s="2" t="str">
        <f>HYPERLINK("http://ts.21cn.com/tousu/show/id/1351617","http://ts.21cn.com/tousu/show/id/1351617")</f>
        <v>http://ts.21cn.com/tousu/show/id/1351617</v>
      </c>
      <c r="F19633" s="2" t="s">
        <v>11</v>
      </c>
      <c r="G19633" s="2" t="s">
        <v>5561</v>
      </c>
      <c r="H19633" s="2" t="s">
        <v>5562</v>
      </c>
    </row>
    <row r="19634" spans="1:8" ht="25.05" customHeight="1" x14ac:dyDescent="0.25">
      <c r="A19634" s="2" t="s">
        <v>8</v>
      </c>
      <c r="B19634" s="2" t="str">
        <f>HYPERLINK("http://ts.21cn.com/tousu/show/id/1351618","小浦优客未经同意扣款")</f>
        <v>小浦优客未经同意扣款</v>
      </c>
      <c r="C19634" s="2" t="s">
        <v>9</v>
      </c>
      <c r="D19634" s="2" t="s">
        <v>10</v>
      </c>
      <c r="E19634" s="2" t="str">
        <f>HYPERLINK("http://ts.21cn.com/tousu/show/id/1351618","http://ts.21cn.com/tousu/show/id/1351618")</f>
        <v>http://ts.21cn.com/tousu/show/id/1351618</v>
      </c>
      <c r="F19634" s="2" t="s">
        <v>11</v>
      </c>
      <c r="G19634" s="2" t="s">
        <v>5559</v>
      </c>
      <c r="H19634" s="2" t="s">
        <v>5560</v>
      </c>
    </row>
    <row r="19635" spans="1:8" ht="25.05" customHeight="1" x14ac:dyDescent="0.25">
      <c r="A19635" s="2" t="s">
        <v>8</v>
      </c>
      <c r="B19635" s="2" t="str">
        <f>HYPERLINK("http://ts.21cn.com/tousu/show/id/1351619","闪银旗下平台额外账单扣费")</f>
        <v>闪银旗下平台额外账单扣费</v>
      </c>
      <c r="C19635" s="2" t="s">
        <v>9</v>
      </c>
      <c r="D19635" s="2" t="s">
        <v>10</v>
      </c>
      <c r="E19635" s="2" t="str">
        <f>HYPERLINK("http://ts.21cn.com/tousu/show/id/1351619","http://ts.21cn.com/tousu/show/id/1351619")</f>
        <v>http://ts.21cn.com/tousu/show/id/1351619</v>
      </c>
      <c r="F19635" s="2" t="s">
        <v>11</v>
      </c>
      <c r="G19635" s="2" t="s">
        <v>5557</v>
      </c>
      <c r="H19635" s="2" t="s">
        <v>5558</v>
      </c>
    </row>
    <row r="19636" spans="1:8" ht="25.05" customHeight="1" x14ac:dyDescent="0.25">
      <c r="A19636" s="2" t="s">
        <v>8</v>
      </c>
      <c r="B19636" s="2" t="str">
        <f>HYPERLINK("http://ts.21cn.com/tousu/show/id/1351621","要求降低不合理的利息")</f>
        <v>要求降低不合理的利息</v>
      </c>
      <c r="C19636" s="2" t="s">
        <v>9</v>
      </c>
      <c r="D19636" s="2" t="s">
        <v>10</v>
      </c>
      <c r="E19636" s="2" t="str">
        <f>HYPERLINK("http://ts.21cn.com/tousu/show/id/1351621","http://ts.21cn.com/tousu/show/id/1351621")</f>
        <v>http://ts.21cn.com/tousu/show/id/1351621</v>
      </c>
      <c r="F19636" s="2" t="s">
        <v>11</v>
      </c>
      <c r="G19636" s="2" t="s">
        <v>5555</v>
      </c>
      <c r="H19636" s="2" t="s">
        <v>5556</v>
      </c>
    </row>
    <row r="19637" spans="1:8" ht="25.05" customHeight="1" x14ac:dyDescent="0.25">
      <c r="A19637" s="2" t="s">
        <v>8</v>
      </c>
      <c r="B19637" s="2" t="str">
        <f>HYPERLINK("http://ts.21cn.com/tousu/show/id/1351620","恶意催收砍头息天价滞纳金")</f>
        <v>恶意催收砍头息天价滞纳金</v>
      </c>
      <c r="C19637" s="2" t="s">
        <v>9</v>
      </c>
      <c r="D19637" s="2" t="s">
        <v>10</v>
      </c>
      <c r="E19637" s="2" t="str">
        <f>HYPERLINK("http://ts.21cn.com/tousu/show/id/1351620","http://ts.21cn.com/tousu/show/id/1351620")</f>
        <v>http://ts.21cn.com/tousu/show/id/1351620</v>
      </c>
      <c r="F19637" s="2" t="s">
        <v>11</v>
      </c>
      <c r="G19637" s="2" t="s">
        <v>5553</v>
      </c>
      <c r="H19637" s="2" t="s">
        <v>5554</v>
      </c>
    </row>
    <row r="19638" spans="1:8" ht="25.05" customHeight="1" x14ac:dyDescent="0.25">
      <c r="A19638" s="2" t="s">
        <v>8</v>
      </c>
      <c r="B19638" s="2" t="str">
        <f>HYPERLINK("http://ts.21cn.com/tousu/show/id/1351622","及货放款给学生")</f>
        <v>及货放款给学生</v>
      </c>
      <c r="C19638" s="2" t="s">
        <v>9</v>
      </c>
      <c r="D19638" s="2" t="s">
        <v>10</v>
      </c>
      <c r="E19638" s="2" t="str">
        <f>HYPERLINK("http://ts.21cn.com/tousu/show/id/1351622","http://ts.21cn.com/tousu/show/id/1351622")</f>
        <v>http://ts.21cn.com/tousu/show/id/1351622</v>
      </c>
      <c r="F19638" s="2" t="s">
        <v>11</v>
      </c>
      <c r="G19638" s="2" t="s">
        <v>5551</v>
      </c>
      <c r="H19638" s="2" t="s">
        <v>5552</v>
      </c>
    </row>
    <row r="19639" spans="1:8" ht="25.05" customHeight="1" x14ac:dyDescent="0.25">
      <c r="A19639" s="2" t="s">
        <v>8</v>
      </c>
      <c r="B19639" s="2" t="str">
        <f>HYPERLINK("http://ts.21cn.com/tousu/show/id/1351625","714高炮套路贷")</f>
        <v>714高炮套路贷</v>
      </c>
      <c r="C19639" s="2" t="s">
        <v>9</v>
      </c>
      <c r="D19639" s="2" t="s">
        <v>10</v>
      </c>
      <c r="E19639" s="2" t="str">
        <f>HYPERLINK("http://ts.21cn.com/tousu/show/id/1351625","http://ts.21cn.com/tousu/show/id/1351625")</f>
        <v>http://ts.21cn.com/tousu/show/id/1351625</v>
      </c>
      <c r="F19639" s="2" t="s">
        <v>11</v>
      </c>
      <c r="G19639" s="2" t="s">
        <v>5549</v>
      </c>
      <c r="H19639" s="2" t="s">
        <v>5550</v>
      </c>
    </row>
    <row r="19640" spans="1:8" ht="25.05" customHeight="1" x14ac:dyDescent="0.25">
      <c r="A19640" s="2" t="s">
        <v>8</v>
      </c>
      <c r="B19640" s="2" t="str">
        <f>HYPERLINK("http://ts.21cn.com/tousu/show/id/1351241","贷款不成，反而被套")</f>
        <v>贷款不成，反而被套</v>
      </c>
      <c r="C19640" s="2" t="s">
        <v>9</v>
      </c>
      <c r="D19640" s="2" t="s">
        <v>10</v>
      </c>
      <c r="E19640" s="2" t="str">
        <f>HYPERLINK("http://ts.21cn.com/tousu/show/id/1351241","http://ts.21cn.com/tousu/show/id/1351241")</f>
        <v>http://ts.21cn.com/tousu/show/id/1351241</v>
      </c>
      <c r="F19640" s="2" t="s">
        <v>11</v>
      </c>
      <c r="G19640" s="2" t="s">
        <v>5547</v>
      </c>
      <c r="H19640" s="2" t="s">
        <v>5548</v>
      </c>
    </row>
    <row r="19641" spans="1:8" ht="25.05" customHeight="1" x14ac:dyDescent="0.25">
      <c r="A19641" s="2" t="s">
        <v>8</v>
      </c>
      <c r="B19641" s="2" t="str">
        <f>HYPERLINK("http://ts.21cn.com/tousu/show/id/1351128","投诉任性分期APP套路借贷")</f>
        <v>投诉任性分期APP套路借贷</v>
      </c>
      <c r="C19641" s="2" t="s">
        <v>9</v>
      </c>
      <c r="D19641" s="2" t="s">
        <v>10</v>
      </c>
      <c r="E19641" s="2" t="str">
        <f>HYPERLINK("http://ts.21cn.com/tousu/show/id/1351128","http://ts.21cn.com/tousu/show/id/1351128")</f>
        <v>http://ts.21cn.com/tousu/show/id/1351128</v>
      </c>
      <c r="F19641" s="2" t="s">
        <v>11</v>
      </c>
      <c r="G19641" s="2" t="s">
        <v>5545</v>
      </c>
      <c r="H19641" s="2" t="s">
        <v>5546</v>
      </c>
    </row>
    <row r="19642" spans="1:8" ht="25.05" customHeight="1" x14ac:dyDescent="0.25">
      <c r="A19642" s="2" t="s">
        <v>8</v>
      </c>
      <c r="B19642" s="2" t="str">
        <f>HYPERLINK("http://ts.21cn.com/tousu/show/id/1351626","微信收款商业版不给结算")</f>
        <v>微信收款商业版不给结算</v>
      </c>
      <c r="C19642" s="2" t="s">
        <v>9</v>
      </c>
      <c r="D19642" s="2" t="s">
        <v>10</v>
      </c>
      <c r="E19642" s="2" t="str">
        <f>HYPERLINK("http://ts.21cn.com/tousu/show/id/1351626","http://ts.21cn.com/tousu/show/id/1351626")</f>
        <v>http://ts.21cn.com/tousu/show/id/1351626</v>
      </c>
      <c r="F19642" s="2" t="s">
        <v>11</v>
      </c>
      <c r="G19642" s="2" t="s">
        <v>5542</v>
      </c>
      <c r="H19642" s="2" t="s">
        <v>5543</v>
      </c>
    </row>
    <row r="19643" spans="1:8" ht="25.05" customHeight="1" x14ac:dyDescent="0.25">
      <c r="A19643" s="2" t="s">
        <v>8</v>
      </c>
      <c r="B19643" s="2" t="str">
        <f>HYPERLINK("http://ts.21cn.com/tousu/show/id/1351627","VIPJR霸王条款，诱导消费，分期变贷款，要求终止合同")</f>
        <v>VIPJR霸王条款，诱导消费，分期变贷款，要求终止合同</v>
      </c>
      <c r="C19643" s="2" t="s">
        <v>9</v>
      </c>
      <c r="D19643" s="2" t="s">
        <v>10</v>
      </c>
      <c r="E19643" s="2" t="str">
        <f>HYPERLINK("http://ts.21cn.com/tousu/show/id/1351627","http://ts.21cn.com/tousu/show/id/1351627")</f>
        <v>http://ts.21cn.com/tousu/show/id/1351627</v>
      </c>
      <c r="F19643" s="2" t="s">
        <v>11</v>
      </c>
      <c r="G19643" s="2" t="s">
        <v>5542</v>
      </c>
      <c r="H19643" s="2" t="s">
        <v>5544</v>
      </c>
    </row>
    <row r="19644" spans="1:8" ht="25.05" customHeight="1" x14ac:dyDescent="0.25">
      <c r="A19644" s="2" t="s">
        <v>8</v>
      </c>
      <c r="B19644" s="2" t="str">
        <f>HYPERLINK("http://ts.21cn.com/tousu/show/id/1351628","闪银平台故意制造逾期")</f>
        <v>闪银平台故意制造逾期</v>
      </c>
      <c r="C19644" s="2" t="s">
        <v>9</v>
      </c>
      <c r="D19644" s="2" t="s">
        <v>10</v>
      </c>
      <c r="E19644" s="2" t="str">
        <f>HYPERLINK("http://ts.21cn.com/tousu/show/id/1351628","http://ts.21cn.com/tousu/show/id/1351628")</f>
        <v>http://ts.21cn.com/tousu/show/id/1351628</v>
      </c>
      <c r="F19644" s="2" t="s">
        <v>11</v>
      </c>
      <c r="G19644" s="2" t="s">
        <v>5540</v>
      </c>
      <c r="H19644" s="2" t="s">
        <v>5541</v>
      </c>
    </row>
    <row r="19645" spans="1:8" ht="25.05" customHeight="1" x14ac:dyDescent="0.25">
      <c r="A19645" s="2" t="s">
        <v>8</v>
      </c>
      <c r="B19645" s="2" t="str">
        <f>HYPERLINK("http://ts.21cn.com/tousu/show/id/1351629","马上消费暴力催收")</f>
        <v>马上消费暴力催收</v>
      </c>
      <c r="C19645" s="2" t="s">
        <v>9</v>
      </c>
      <c r="D19645" s="2" t="s">
        <v>10</v>
      </c>
      <c r="E19645" s="2" t="str">
        <f>HYPERLINK("http://ts.21cn.com/tousu/show/id/1351629","http://ts.21cn.com/tousu/show/id/1351629")</f>
        <v>http://ts.21cn.com/tousu/show/id/1351629</v>
      </c>
      <c r="F19645" s="2" t="s">
        <v>11</v>
      </c>
      <c r="G19645" s="2" t="s">
        <v>5538</v>
      </c>
      <c r="H19645" s="2" t="s">
        <v>5539</v>
      </c>
    </row>
    <row r="19646" spans="1:8" ht="25.05" customHeight="1" x14ac:dyDescent="0.25">
      <c r="A19646" s="2" t="s">
        <v>8</v>
      </c>
      <c r="B19646" s="2" t="str">
        <f>HYPERLINK("http://ts.21cn.com/tousu/show/id/1351632","合同欺诈，私自扣款")</f>
        <v>合同欺诈，私自扣款</v>
      </c>
      <c r="C19646" s="2" t="s">
        <v>9</v>
      </c>
      <c r="D19646" s="2" t="s">
        <v>10</v>
      </c>
      <c r="E19646" s="2" t="str">
        <f>HYPERLINK("http://ts.21cn.com/tousu/show/id/1351632","http://ts.21cn.com/tousu/show/id/1351632")</f>
        <v>http://ts.21cn.com/tousu/show/id/1351632</v>
      </c>
      <c r="F19646" s="2" t="s">
        <v>11</v>
      </c>
      <c r="G19646" s="2" t="s">
        <v>5535</v>
      </c>
      <c r="H19646" s="2" t="s">
        <v>5536</v>
      </c>
    </row>
    <row r="19647" spans="1:8" ht="25.05" customHeight="1" x14ac:dyDescent="0.25">
      <c r="A19647" s="2" t="s">
        <v>8</v>
      </c>
      <c r="B19647" s="2" t="str">
        <f>HYPERLINK("http://ts.21cn.com/tousu/show/id/1351633","你我贷高利贷协商提前不减免")</f>
        <v>你我贷高利贷协商提前不减免</v>
      </c>
      <c r="C19647" s="2" t="s">
        <v>9</v>
      </c>
      <c r="D19647" s="2" t="s">
        <v>10</v>
      </c>
      <c r="E19647" s="2" t="str">
        <f>HYPERLINK("http://ts.21cn.com/tousu/show/id/1351633","http://ts.21cn.com/tousu/show/id/1351633")</f>
        <v>http://ts.21cn.com/tousu/show/id/1351633</v>
      </c>
      <c r="F19647" s="2" t="s">
        <v>11</v>
      </c>
      <c r="G19647" s="2" t="s">
        <v>5535</v>
      </c>
      <c r="H19647" s="2" t="s">
        <v>5537</v>
      </c>
    </row>
    <row r="19648" spans="1:8" ht="25.05" customHeight="1" x14ac:dyDescent="0.25">
      <c r="A19648" s="2" t="s">
        <v>8</v>
      </c>
      <c r="B19648" s="2" t="str">
        <f>HYPERLINK("http://ts.21cn.com/tousu/show/id/1351637","曝光联系人电话，并辱骂威胁")</f>
        <v>曝光联系人电话，并辱骂威胁</v>
      </c>
      <c r="C19648" s="2" t="s">
        <v>9</v>
      </c>
      <c r="D19648" s="2" t="s">
        <v>10</v>
      </c>
      <c r="E19648" s="2" t="str">
        <f>HYPERLINK("http://ts.21cn.com/tousu/show/id/1351637","http://ts.21cn.com/tousu/show/id/1351637")</f>
        <v>http://ts.21cn.com/tousu/show/id/1351637</v>
      </c>
      <c r="F19648" s="2" t="s">
        <v>11</v>
      </c>
      <c r="G19648" s="2" t="s">
        <v>5532</v>
      </c>
      <c r="H19648" s="2" t="s">
        <v>5533</v>
      </c>
    </row>
    <row r="19649" spans="1:8" ht="25.05" customHeight="1" x14ac:dyDescent="0.25">
      <c r="A19649" s="2" t="s">
        <v>8</v>
      </c>
      <c r="B19649" s="2" t="str">
        <f>HYPERLINK("http://ts.21cn.com/tousu/show/id/1351634","分期乐网贷平台年利率36%")</f>
        <v>分期乐网贷平台年利率36%</v>
      </c>
      <c r="C19649" s="2" t="s">
        <v>9</v>
      </c>
      <c r="D19649" s="2" t="s">
        <v>10</v>
      </c>
      <c r="E19649" s="2" t="str">
        <f>HYPERLINK("http://ts.21cn.com/tousu/show/id/1351634","http://ts.21cn.com/tousu/show/id/1351634")</f>
        <v>http://ts.21cn.com/tousu/show/id/1351634</v>
      </c>
      <c r="F19649" s="2" t="s">
        <v>11</v>
      </c>
      <c r="G19649" s="2" t="s">
        <v>5532</v>
      </c>
      <c r="H19649" s="2" t="s">
        <v>5534</v>
      </c>
    </row>
    <row r="19650" spans="1:8" ht="25.05" customHeight="1" x14ac:dyDescent="0.25">
      <c r="A19650" s="2" t="s">
        <v>8</v>
      </c>
      <c r="B19650" s="2" t="str">
        <f>HYPERLINK("http://ts.21cn.com/tousu/show/id/1351635","购分期私自扣款")</f>
        <v>购分期私自扣款</v>
      </c>
      <c r="C19650" s="2" t="s">
        <v>9</v>
      </c>
      <c r="D19650" s="2" t="s">
        <v>10</v>
      </c>
      <c r="E19650" s="2" t="str">
        <f>HYPERLINK("http://ts.21cn.com/tousu/show/id/1351635","http://ts.21cn.com/tousu/show/id/1351635")</f>
        <v>http://ts.21cn.com/tousu/show/id/1351635</v>
      </c>
      <c r="F19650" s="2" t="s">
        <v>11</v>
      </c>
      <c r="G19650" s="2" t="s">
        <v>5530</v>
      </c>
      <c r="H19650" s="2" t="s">
        <v>5531</v>
      </c>
    </row>
    <row r="19651" spans="1:8" ht="25.05" customHeight="1" x14ac:dyDescent="0.25">
      <c r="A19651" s="2" t="s">
        <v>8</v>
      </c>
      <c r="B19651" s="2" t="str">
        <f>HYPERLINK("http://ts.21cn.com/tousu/show/id/1351636","新意花涉嫌高利贷中金支付提供通道")</f>
        <v>新意花涉嫌高利贷中金支付提供通道</v>
      </c>
      <c r="C19651" s="2" t="s">
        <v>9</v>
      </c>
      <c r="D19651" s="2" t="s">
        <v>10</v>
      </c>
      <c r="E19651" s="2" t="str">
        <f>HYPERLINK("http://ts.21cn.com/tousu/show/id/1351636","http://ts.21cn.com/tousu/show/id/1351636")</f>
        <v>http://ts.21cn.com/tousu/show/id/1351636</v>
      </c>
      <c r="F19651" s="2" t="s">
        <v>11</v>
      </c>
      <c r="G19651" s="2" t="s">
        <v>5528</v>
      </c>
      <c r="H19651" s="2" t="s">
        <v>5529</v>
      </c>
    </row>
    <row r="19652" spans="1:8" ht="25.05" customHeight="1" x14ac:dyDescent="0.25">
      <c r="A19652" s="2" t="s">
        <v>8</v>
      </c>
      <c r="B19652" s="2" t="str">
        <f>HYPERLINK("http://ts.21cn.com/tousu/show/id/1351638","骚扰")</f>
        <v>骚扰</v>
      </c>
      <c r="C19652" s="2" t="s">
        <v>9</v>
      </c>
      <c r="D19652" s="2" t="s">
        <v>10</v>
      </c>
      <c r="E19652" s="2" t="str">
        <f>HYPERLINK("http://ts.21cn.com/tousu/show/id/1351638","http://ts.21cn.com/tousu/show/id/1351638")</f>
        <v>http://ts.21cn.com/tousu/show/id/1351638</v>
      </c>
      <c r="F19652" s="2" t="s">
        <v>11</v>
      </c>
      <c r="G19652" s="2" t="s">
        <v>5526</v>
      </c>
      <c r="H19652" s="2" t="s">
        <v>5527</v>
      </c>
    </row>
    <row r="19653" spans="1:8" ht="25.05" customHeight="1" x14ac:dyDescent="0.25">
      <c r="A19653" s="2" t="s">
        <v>8</v>
      </c>
      <c r="B19653" s="2" t="str">
        <f>HYPERLINK("http://ts.21cn.com/tousu/show/id/1351640","玖富万卡高利贷，阴阳合同")</f>
        <v>玖富万卡高利贷，阴阳合同</v>
      </c>
      <c r="C19653" s="2" t="s">
        <v>9</v>
      </c>
      <c r="D19653" s="2" t="s">
        <v>10</v>
      </c>
      <c r="E19653" s="2" t="str">
        <f>HYPERLINK("http://ts.21cn.com/tousu/show/id/1351640","http://ts.21cn.com/tousu/show/id/1351640")</f>
        <v>http://ts.21cn.com/tousu/show/id/1351640</v>
      </c>
      <c r="F19653" s="2" t="s">
        <v>11</v>
      </c>
      <c r="G19653" s="2" t="s">
        <v>5524</v>
      </c>
      <c r="H19653" s="2" t="s">
        <v>5525</v>
      </c>
    </row>
    <row r="19654" spans="1:8" ht="25.05" customHeight="1" x14ac:dyDescent="0.25">
      <c r="A19654" s="2" t="s">
        <v>8</v>
      </c>
      <c r="B19654" s="2" t="str">
        <f>HYPERLINK("http://ts.21cn.com/tousu/show/id/1351639","联动优势辽宁科技有限公司")</f>
        <v>联动优势辽宁科技有限公司</v>
      </c>
      <c r="C19654" s="2" t="s">
        <v>9</v>
      </c>
      <c r="D19654" s="2" t="s">
        <v>10</v>
      </c>
      <c r="E19654" s="2" t="str">
        <f>HYPERLINK("http://ts.21cn.com/tousu/show/id/1351639","http://ts.21cn.com/tousu/show/id/1351639")</f>
        <v>http://ts.21cn.com/tousu/show/id/1351639</v>
      </c>
      <c r="F19654" s="2" t="s">
        <v>11</v>
      </c>
      <c r="G19654" s="2" t="s">
        <v>5522</v>
      </c>
      <c r="H19654" s="2" t="s">
        <v>5523</v>
      </c>
    </row>
    <row r="19655" spans="1:8" ht="25.05" customHeight="1" x14ac:dyDescent="0.25">
      <c r="A19655" s="2" t="s">
        <v>8</v>
      </c>
      <c r="B19655" s="2" t="str">
        <f>HYPERLINK("http://ts.21cn.com/tousu/show/id/1351642","扣了一笔跟还款无关的借款，恶劣行为")</f>
        <v>扣了一笔跟还款无关的借款，恶劣行为</v>
      </c>
      <c r="C19655" s="2" t="s">
        <v>9</v>
      </c>
      <c r="D19655" s="2" t="s">
        <v>10</v>
      </c>
      <c r="E19655" s="2" t="str">
        <f>HYPERLINK("http://ts.21cn.com/tousu/show/id/1351642","http://ts.21cn.com/tousu/show/id/1351642")</f>
        <v>http://ts.21cn.com/tousu/show/id/1351642</v>
      </c>
      <c r="F19655" s="2" t="s">
        <v>11</v>
      </c>
      <c r="G19655" s="2" t="s">
        <v>5520</v>
      </c>
      <c r="H19655" s="2" t="s">
        <v>5521</v>
      </c>
    </row>
    <row r="19656" spans="1:8" ht="25.05" customHeight="1" x14ac:dyDescent="0.25">
      <c r="A19656" s="2" t="s">
        <v>8</v>
      </c>
      <c r="B19656" s="2" t="str">
        <f>HYPERLINK("http://ts.21cn.com/tousu/show/id/1351643","及货变相收取保险费")</f>
        <v>及货变相收取保险费</v>
      </c>
      <c r="C19656" s="2" t="s">
        <v>9</v>
      </c>
      <c r="D19656" s="2" t="s">
        <v>10</v>
      </c>
      <c r="E19656" s="2" t="str">
        <f>HYPERLINK("http://ts.21cn.com/tousu/show/id/1351643","http://ts.21cn.com/tousu/show/id/1351643")</f>
        <v>http://ts.21cn.com/tousu/show/id/1351643</v>
      </c>
      <c r="F19656" s="2" t="s">
        <v>11</v>
      </c>
      <c r="G19656" s="2" t="s">
        <v>5518</v>
      </c>
      <c r="H19656" s="2" t="s">
        <v>5519</v>
      </c>
    </row>
    <row r="19657" spans="1:8" ht="25.05" customHeight="1" x14ac:dyDescent="0.25">
      <c r="A19657" s="2" t="s">
        <v>8</v>
      </c>
      <c r="B19657" s="2" t="str">
        <f>HYPERLINK("http://ts.21cn.com/tousu/show/id/1351630","云电脑退款问题")</f>
        <v>云电脑退款问题</v>
      </c>
      <c r="C19657" s="2" t="s">
        <v>9</v>
      </c>
      <c r="D19657" s="2" t="s">
        <v>10</v>
      </c>
      <c r="E19657" s="2" t="str">
        <f>HYPERLINK("http://ts.21cn.com/tousu/show/id/1351630","http://ts.21cn.com/tousu/show/id/1351630")</f>
        <v>http://ts.21cn.com/tousu/show/id/1351630</v>
      </c>
      <c r="F19657" s="2" t="s">
        <v>11</v>
      </c>
      <c r="G19657" s="2" t="s">
        <v>5516</v>
      </c>
      <c r="H19657" s="2" t="s">
        <v>5517</v>
      </c>
    </row>
    <row r="19658" spans="1:8" ht="25.05" customHeight="1" x14ac:dyDescent="0.25">
      <c r="A19658" s="2" t="s">
        <v>8</v>
      </c>
      <c r="B19658" s="2" t="str">
        <f>HYPERLINK("http://ts.21cn.com/tousu/show/id/1351623","玖富万卡收取巨额保费，阴阳合同，违规操作")</f>
        <v>玖富万卡收取巨额保费，阴阳合同，违规操作</v>
      </c>
      <c r="C19658" s="2" t="s">
        <v>9</v>
      </c>
      <c r="D19658" s="2" t="s">
        <v>10</v>
      </c>
      <c r="E19658" s="2" t="str">
        <f>HYPERLINK("http://ts.21cn.com/tousu/show/id/1351623","http://ts.21cn.com/tousu/show/id/1351623")</f>
        <v>http://ts.21cn.com/tousu/show/id/1351623</v>
      </c>
      <c r="F19658" s="2" t="s">
        <v>11</v>
      </c>
      <c r="G19658" s="2" t="s">
        <v>5514</v>
      </c>
      <c r="H19658" s="2" t="s">
        <v>5515</v>
      </c>
    </row>
    <row r="19659" spans="1:8" ht="25.05" customHeight="1" x14ac:dyDescent="0.25">
      <c r="A19659" s="2" t="s">
        <v>8</v>
      </c>
      <c r="B19659" s="2" t="str">
        <f>HYPERLINK("http://ts.21cn.com/tousu/show/id/1351644","向你我贷提前结清，协商还款，遭催收员暴力催收威胁恐吓")</f>
        <v>向你我贷提前结清，协商还款，遭催收员暴力催收威胁恐吓</v>
      </c>
      <c r="C19659" s="2" t="s">
        <v>9</v>
      </c>
      <c r="D19659" s="2" t="s">
        <v>10</v>
      </c>
      <c r="E19659" s="2" t="str">
        <f>HYPERLINK("http://ts.21cn.com/tousu/show/id/1351644","http://ts.21cn.com/tousu/show/id/1351644")</f>
        <v>http://ts.21cn.com/tousu/show/id/1351644</v>
      </c>
      <c r="F19659" s="2" t="s">
        <v>11</v>
      </c>
      <c r="G19659" s="2" t="s">
        <v>5512</v>
      </c>
      <c r="H19659" s="2" t="s">
        <v>5513</v>
      </c>
    </row>
    <row r="19660" spans="1:8" ht="25.05" customHeight="1" x14ac:dyDescent="0.25">
      <c r="A19660" s="2" t="s">
        <v>8</v>
      </c>
      <c r="B19660" s="2" t="str">
        <f>HYPERLINK("http://ts.21cn.com/tousu/show/id/1351631","贷上钱为高利贷引流")</f>
        <v>贷上钱为高利贷引流</v>
      </c>
      <c r="C19660" s="2" t="s">
        <v>9</v>
      </c>
      <c r="D19660" s="2" t="s">
        <v>10</v>
      </c>
      <c r="E19660" s="2" t="str">
        <f>HYPERLINK("http://ts.21cn.com/tousu/show/id/1351631","http://ts.21cn.com/tousu/show/id/1351631")</f>
        <v>http://ts.21cn.com/tousu/show/id/1351631</v>
      </c>
      <c r="F19660" s="2" t="s">
        <v>11</v>
      </c>
      <c r="G19660" s="2" t="s">
        <v>5510</v>
      </c>
      <c r="H19660" s="2" t="s">
        <v>5511</v>
      </c>
    </row>
    <row r="19661" spans="1:8" ht="25.05" customHeight="1" x14ac:dyDescent="0.25">
      <c r="A19661" s="2" t="s">
        <v>8</v>
      </c>
      <c r="B19661" s="2" t="str">
        <f>HYPERLINK("http://ts.21cn.com/tousu/show/id/1351646","超高利息停止骚扰赔偿")</f>
        <v>超高利息停止骚扰赔偿</v>
      </c>
      <c r="C19661" s="2" t="s">
        <v>9</v>
      </c>
      <c r="D19661" s="2" t="s">
        <v>10</v>
      </c>
      <c r="E19661" s="2" t="str">
        <f>HYPERLINK("http://ts.21cn.com/tousu/show/id/1351646","http://ts.21cn.com/tousu/show/id/1351646")</f>
        <v>http://ts.21cn.com/tousu/show/id/1351646</v>
      </c>
      <c r="F19661" s="2" t="s">
        <v>11</v>
      </c>
      <c r="G19661" s="2" t="s">
        <v>5508</v>
      </c>
      <c r="H19661" s="2" t="s">
        <v>5509</v>
      </c>
    </row>
    <row r="19662" spans="1:8" ht="25.05" customHeight="1" x14ac:dyDescent="0.25">
      <c r="A19662" s="2" t="s">
        <v>8</v>
      </c>
      <c r="B19662" s="2" t="str">
        <f>HYPERLINK("http://ts.21cn.com/tousu/show/id/1351647","淘宝商家和天猫小二不处理退货订单，冷处理不管了")</f>
        <v>淘宝商家和天猫小二不处理退货订单，冷处理不管了</v>
      </c>
      <c r="C19662" s="2" t="s">
        <v>9</v>
      </c>
      <c r="D19662" s="2" t="s">
        <v>10</v>
      </c>
      <c r="E19662" s="2" t="str">
        <f>HYPERLINK("http://ts.21cn.com/tousu/show/id/1351647","http://ts.21cn.com/tousu/show/id/1351647")</f>
        <v>http://ts.21cn.com/tousu/show/id/1351647</v>
      </c>
      <c r="F19662" s="2" t="s">
        <v>11</v>
      </c>
      <c r="G19662" s="2" t="s">
        <v>5506</v>
      </c>
      <c r="H19662" s="2" t="s">
        <v>5507</v>
      </c>
    </row>
    <row r="19663" spans="1:8" ht="25.05" customHeight="1" x14ac:dyDescent="0.25">
      <c r="A19663" s="2" t="s">
        <v>8</v>
      </c>
      <c r="B19663" s="2" t="str">
        <f>HYPERLINK("http://ts.21cn.com/tousu/show/id/1351650","未经允许群发借贷信息，短信威胁")</f>
        <v>未经允许群发借贷信息，短信威胁</v>
      </c>
      <c r="C19663" s="2" t="s">
        <v>9</v>
      </c>
      <c r="D19663" s="2" t="s">
        <v>10</v>
      </c>
      <c r="E19663" s="2" t="str">
        <f>HYPERLINK("http://ts.21cn.com/tousu/show/id/1351650","http://ts.21cn.com/tousu/show/id/1351650")</f>
        <v>http://ts.21cn.com/tousu/show/id/1351650</v>
      </c>
      <c r="F19663" s="2" t="s">
        <v>11</v>
      </c>
      <c r="G19663" s="2" t="s">
        <v>5504</v>
      </c>
      <c r="H19663" s="2" t="s">
        <v>5505</v>
      </c>
    </row>
    <row r="19664" spans="1:8" ht="25.05" customHeight="1" x14ac:dyDescent="0.25">
      <c r="A19664" s="2" t="s">
        <v>8</v>
      </c>
      <c r="B19664" s="2" t="str">
        <f>HYPERLINK("http://ts.21cn.com/tousu/show/id/1351648","不处理问题")</f>
        <v>不处理问题</v>
      </c>
      <c r="C19664" s="2" t="s">
        <v>9</v>
      </c>
      <c r="D19664" s="2" t="s">
        <v>10</v>
      </c>
      <c r="E19664" s="2" t="str">
        <f>HYPERLINK("http://ts.21cn.com/tousu/show/id/1351648","http://ts.21cn.com/tousu/show/id/1351648")</f>
        <v>http://ts.21cn.com/tousu/show/id/1351648</v>
      </c>
      <c r="F19664" s="2" t="s">
        <v>11</v>
      </c>
      <c r="G19664" s="2" t="s">
        <v>5502</v>
      </c>
      <c r="H19664" s="2" t="s">
        <v>5503</v>
      </c>
    </row>
    <row r="19665" spans="1:8" ht="25.05" customHeight="1" x14ac:dyDescent="0.25">
      <c r="A19665" s="2" t="s">
        <v>8</v>
      </c>
      <c r="B19665" s="2" t="str">
        <f>HYPERLINK("http://ts.21cn.com/tousu/show/id/1351651","又是乱扣费")</f>
        <v>又是乱扣费</v>
      </c>
      <c r="C19665" s="2" t="s">
        <v>9</v>
      </c>
      <c r="D19665" s="2" t="s">
        <v>10</v>
      </c>
      <c r="E19665" s="2" t="str">
        <f>HYPERLINK("http://ts.21cn.com/tousu/show/id/1351651","http://ts.21cn.com/tousu/show/id/1351651")</f>
        <v>http://ts.21cn.com/tousu/show/id/1351651</v>
      </c>
      <c r="F19665" s="2" t="s">
        <v>11</v>
      </c>
      <c r="G19665" s="2" t="s">
        <v>5500</v>
      </c>
      <c r="H19665" s="2" t="s">
        <v>5501</v>
      </c>
    </row>
    <row r="19666" spans="1:8" ht="25.05" customHeight="1" x14ac:dyDescent="0.25">
      <c r="A19666" s="2" t="s">
        <v>8</v>
      </c>
      <c r="B19666" s="2" t="str">
        <f>HYPERLINK("http://ts.21cn.com/tousu/show/id/1351652","闪银及贷转对公还款后未得到处理仍被催收，客服处理不恰当")</f>
        <v>闪银及贷转对公还款后未得到处理仍被催收，客服处理不恰当</v>
      </c>
      <c r="C19666" s="2" t="s">
        <v>9</v>
      </c>
      <c r="D19666" s="2" t="s">
        <v>10</v>
      </c>
      <c r="E19666" s="2" t="str">
        <f>HYPERLINK("http://ts.21cn.com/tousu/show/id/1351652","http://ts.21cn.com/tousu/show/id/1351652")</f>
        <v>http://ts.21cn.com/tousu/show/id/1351652</v>
      </c>
      <c r="F19666" s="2" t="s">
        <v>11</v>
      </c>
      <c r="G19666" s="2" t="s">
        <v>5498</v>
      </c>
      <c r="H19666" s="2" t="s">
        <v>5499</v>
      </c>
    </row>
    <row r="19667" spans="1:8" ht="25.05" customHeight="1" x14ac:dyDescent="0.25">
      <c r="A19667" s="2" t="s">
        <v>8</v>
      </c>
      <c r="B19667" s="2" t="str">
        <f>HYPERLINK("http://ts.21cn.com/tousu/show/id/1351653","马上消费金融故意让借款人逾期多收取费用")</f>
        <v>马上消费金融故意让借款人逾期多收取费用</v>
      </c>
      <c r="C19667" s="2" t="s">
        <v>34</v>
      </c>
      <c r="D19667" s="2" t="s">
        <v>10</v>
      </c>
      <c r="E19667" s="2" t="str">
        <f>HYPERLINK("http://ts.21cn.com/tousu/show/id/1351653","http://ts.21cn.com/tousu/show/id/1351653")</f>
        <v>http://ts.21cn.com/tousu/show/id/1351653</v>
      </c>
      <c r="F19667" s="2" t="s">
        <v>11</v>
      </c>
      <c r="G19667" s="2" t="s">
        <v>5496</v>
      </c>
      <c r="H19667" s="2" t="s">
        <v>5497</v>
      </c>
    </row>
    <row r="19668" spans="1:8" ht="25.05" customHeight="1" x14ac:dyDescent="0.25">
      <c r="A19668" s="2" t="s">
        <v>8</v>
      </c>
      <c r="B19668" s="2" t="str">
        <f>HYPERLINK("http://ts.21cn.com/tousu/show/id/1351654","及贷打我通讯录好友")</f>
        <v>及贷打我通讯录好友</v>
      </c>
      <c r="C19668" s="2" t="s">
        <v>9</v>
      </c>
      <c r="D19668" s="2" t="s">
        <v>10</v>
      </c>
      <c r="E19668" s="2" t="str">
        <f>HYPERLINK("http://ts.21cn.com/tousu/show/id/1351654","http://ts.21cn.com/tousu/show/id/1351654")</f>
        <v>http://ts.21cn.com/tousu/show/id/1351654</v>
      </c>
      <c r="F19668" s="2" t="s">
        <v>11</v>
      </c>
      <c r="G19668" s="2" t="s">
        <v>5494</v>
      </c>
      <c r="H19668" s="2" t="s">
        <v>5495</v>
      </c>
    </row>
    <row r="19669" spans="1:8" ht="25.05" customHeight="1" x14ac:dyDescent="0.25">
      <c r="A19669" s="2" t="s">
        <v>8</v>
      </c>
      <c r="B19669" s="2" t="str">
        <f>HYPERLINK("http://ts.21cn.com/tousu/show/id/1351655","钱站注销账号")</f>
        <v>钱站注销账号</v>
      </c>
      <c r="C19669" s="2" t="s">
        <v>9</v>
      </c>
      <c r="D19669" s="2" t="s">
        <v>10</v>
      </c>
      <c r="E19669" s="2" t="str">
        <f>HYPERLINK("http://ts.21cn.com/tousu/show/id/1351655","http://ts.21cn.com/tousu/show/id/1351655")</f>
        <v>http://ts.21cn.com/tousu/show/id/1351655</v>
      </c>
      <c r="F19669" s="2" t="s">
        <v>11</v>
      </c>
      <c r="G19669" s="2" t="s">
        <v>5492</v>
      </c>
      <c r="H19669" s="2" t="s">
        <v>5493</v>
      </c>
    </row>
    <row r="19670" spans="1:8" ht="25.05" customHeight="1" x14ac:dyDescent="0.25">
      <c r="A19670" s="2" t="s">
        <v>8</v>
      </c>
      <c r="B19670" s="2" t="str">
        <f>HYPERLINK("http://ts.21cn.com/tousu/show/id/1351656","玖富万卡高利贷，阴阳合同")</f>
        <v>玖富万卡高利贷，阴阳合同</v>
      </c>
      <c r="C19670" s="2" t="s">
        <v>9</v>
      </c>
      <c r="D19670" s="2" t="s">
        <v>10</v>
      </c>
      <c r="E19670" s="2" t="str">
        <f>HYPERLINK("http://ts.21cn.com/tousu/show/id/1351656","http://ts.21cn.com/tousu/show/id/1351656")</f>
        <v>http://ts.21cn.com/tousu/show/id/1351656</v>
      </c>
      <c r="F19670" s="2" t="s">
        <v>11</v>
      </c>
      <c r="G19670" s="2" t="s">
        <v>5490</v>
      </c>
      <c r="H19670" s="2" t="s">
        <v>5491</v>
      </c>
    </row>
    <row r="19671" spans="1:8" ht="25.05" customHeight="1" x14ac:dyDescent="0.25">
      <c r="A19671" s="2" t="s">
        <v>8</v>
      </c>
      <c r="B19671" s="2" t="str">
        <f>HYPERLINK("http://ts.21cn.com/tousu/show/id/1351657","假冒伪劣产品")</f>
        <v>假冒伪劣产品</v>
      </c>
      <c r="C19671" s="2" t="s">
        <v>9</v>
      </c>
      <c r="D19671" s="2" t="s">
        <v>10</v>
      </c>
      <c r="E19671" s="2" t="str">
        <f>HYPERLINK("http://ts.21cn.com/tousu/show/id/1351657","http://ts.21cn.com/tousu/show/id/1351657")</f>
        <v>http://ts.21cn.com/tousu/show/id/1351657</v>
      </c>
      <c r="F19671" s="2" t="s">
        <v>11</v>
      </c>
      <c r="G19671" s="2" t="s">
        <v>5488</v>
      </c>
      <c r="H19671" s="2" t="s">
        <v>5489</v>
      </c>
    </row>
    <row r="19672" spans="1:8" ht="25.05" customHeight="1" x14ac:dyDescent="0.25">
      <c r="A19672" s="2" t="s">
        <v>8</v>
      </c>
      <c r="B19672" s="2" t="str">
        <f>HYPERLINK("http://ts.21cn.com/tousu/show/id/1351658","及货不经同意就群发借款合同")</f>
        <v>及货不经同意就群发借款合同</v>
      </c>
      <c r="C19672" s="2" t="s">
        <v>9</v>
      </c>
      <c r="D19672" s="2" t="s">
        <v>10</v>
      </c>
      <c r="E19672" s="2" t="str">
        <f>HYPERLINK("http://ts.21cn.com/tousu/show/id/1351658","http://ts.21cn.com/tousu/show/id/1351658")</f>
        <v>http://ts.21cn.com/tousu/show/id/1351658</v>
      </c>
      <c r="F19672" s="2" t="s">
        <v>11</v>
      </c>
      <c r="G19672" s="2" t="s">
        <v>5486</v>
      </c>
      <c r="H19672" s="2" t="s">
        <v>5487</v>
      </c>
    </row>
    <row r="19673" spans="1:8" ht="25.05" customHeight="1" x14ac:dyDescent="0.25">
      <c r="A19673" s="2" t="s">
        <v>8</v>
      </c>
      <c r="B19673" s="2" t="str">
        <f>HYPERLINK("http://ts.21cn.com/tousu/show/id/1351659","云闪付为不法分子提供支付通道，请求退款")</f>
        <v>云闪付为不法分子提供支付通道，请求退款</v>
      </c>
      <c r="C19673" s="2" t="s">
        <v>9</v>
      </c>
      <c r="D19673" s="2" t="s">
        <v>10</v>
      </c>
      <c r="E19673" s="2" t="str">
        <f>HYPERLINK("http://ts.21cn.com/tousu/show/id/1351659","http://ts.21cn.com/tousu/show/id/1351659")</f>
        <v>http://ts.21cn.com/tousu/show/id/1351659</v>
      </c>
      <c r="F19673" s="2" t="s">
        <v>11</v>
      </c>
      <c r="G19673" s="2" t="s">
        <v>5484</v>
      </c>
      <c r="H19673" s="2" t="s">
        <v>5485</v>
      </c>
    </row>
    <row r="19674" spans="1:8" ht="25.05" customHeight="1" x14ac:dyDescent="0.25">
      <c r="A19674" s="2" t="s">
        <v>8</v>
      </c>
      <c r="B19674" s="2" t="str">
        <f>HYPERLINK("http://ts.21cn.com/tousu/show/id/1351660","金鸡下蛋")</f>
        <v>金鸡下蛋</v>
      </c>
      <c r="C19674" s="2" t="s">
        <v>34</v>
      </c>
      <c r="D19674" s="2" t="s">
        <v>10</v>
      </c>
      <c r="E19674" s="2" t="str">
        <f>HYPERLINK("http://ts.21cn.com/tousu/show/id/1351660","http://ts.21cn.com/tousu/show/id/1351660")</f>
        <v>http://ts.21cn.com/tousu/show/id/1351660</v>
      </c>
      <c r="F19674" s="2" t="s">
        <v>11</v>
      </c>
      <c r="G19674" s="2" t="s">
        <v>5482</v>
      </c>
      <c r="H19674" s="2" t="s">
        <v>5483</v>
      </c>
    </row>
    <row r="19675" spans="1:8" ht="25.05" customHeight="1" x14ac:dyDescent="0.25">
      <c r="A19675" s="2" t="s">
        <v>8</v>
      </c>
      <c r="B19675" s="2" t="str">
        <f>HYPERLINK("http://ts.21cn.com/tousu/show/id/1351662","交易猫代练不打不回复不退订单")</f>
        <v>交易猫代练不打不回复不退订单</v>
      </c>
      <c r="C19675" s="2" t="s">
        <v>34</v>
      </c>
      <c r="D19675" s="2" t="s">
        <v>10</v>
      </c>
      <c r="E19675" s="2" t="str">
        <f>HYPERLINK("http://ts.21cn.com/tousu/show/id/1351662","http://ts.21cn.com/tousu/show/id/1351662")</f>
        <v>http://ts.21cn.com/tousu/show/id/1351662</v>
      </c>
      <c r="F19675" s="2" t="s">
        <v>11</v>
      </c>
      <c r="G19675" s="2" t="s">
        <v>5480</v>
      </c>
      <c r="H19675" s="2" t="s">
        <v>5481</v>
      </c>
    </row>
    <row r="19676" spans="1:8" ht="25.05" customHeight="1" x14ac:dyDescent="0.25">
      <c r="A19676" s="2" t="s">
        <v>8</v>
      </c>
      <c r="B19676" s="2" t="str">
        <f>HYPERLINK("http://ts.21cn.com/tousu/show/id/1351663","你我贷暴力催收并威胁恐吓")</f>
        <v>你我贷暴力催收并威胁恐吓</v>
      </c>
      <c r="C19676" s="2" t="s">
        <v>9</v>
      </c>
      <c r="D19676" s="2" t="s">
        <v>10</v>
      </c>
      <c r="E19676" s="2" t="str">
        <f>HYPERLINK("http://ts.21cn.com/tousu/show/id/1351663","http://ts.21cn.com/tousu/show/id/1351663")</f>
        <v>http://ts.21cn.com/tousu/show/id/1351663</v>
      </c>
      <c r="F19676" s="2" t="s">
        <v>11</v>
      </c>
      <c r="G19676" s="2" t="s">
        <v>5478</v>
      </c>
      <c r="H19676" s="2" t="s">
        <v>5479</v>
      </c>
    </row>
    <row r="19677" spans="1:8" ht="25.05" customHeight="1" x14ac:dyDescent="0.25">
      <c r="A19677" s="2" t="s">
        <v>8</v>
      </c>
      <c r="B19677" s="2" t="str">
        <f>HYPERLINK("http://ts.21cn.com/tousu/show/id/1351664","马上消费金融借款时捆绑担保费")</f>
        <v>马上消费金融借款时捆绑担保费</v>
      </c>
      <c r="C19677" s="2" t="s">
        <v>9</v>
      </c>
      <c r="D19677" s="2" t="s">
        <v>10</v>
      </c>
      <c r="E19677" s="2" t="str">
        <f>HYPERLINK("http://ts.21cn.com/tousu/show/id/1351664","http://ts.21cn.com/tousu/show/id/1351664")</f>
        <v>http://ts.21cn.com/tousu/show/id/1351664</v>
      </c>
      <c r="F19677" s="2" t="s">
        <v>11</v>
      </c>
      <c r="G19677" s="2" t="s">
        <v>5476</v>
      </c>
      <c r="H19677" s="2" t="s">
        <v>5477</v>
      </c>
    </row>
    <row r="19678" spans="1:8" ht="25.05" customHeight="1" x14ac:dyDescent="0.25">
      <c r="A19678" s="2" t="s">
        <v>8</v>
      </c>
      <c r="B19678" s="2" t="str">
        <f>HYPERLINK("http://ts.21cn.com/tousu/show/id/1351665","宜人贷")</f>
        <v>宜人贷</v>
      </c>
      <c r="C19678" s="2" t="s">
        <v>9</v>
      </c>
      <c r="D19678" s="2" t="s">
        <v>10</v>
      </c>
      <c r="E19678" s="2" t="str">
        <f>HYPERLINK("http://ts.21cn.com/tousu/show/id/1351665","http://ts.21cn.com/tousu/show/id/1351665")</f>
        <v>http://ts.21cn.com/tousu/show/id/1351665</v>
      </c>
      <c r="F19678" s="2" t="s">
        <v>11</v>
      </c>
      <c r="G19678" s="2" t="s">
        <v>5474</v>
      </c>
      <c r="H19678" s="2" t="s">
        <v>5475</v>
      </c>
    </row>
    <row r="19679" spans="1:8" ht="25.05" customHeight="1" x14ac:dyDescent="0.25">
      <c r="A19679" s="2" t="s">
        <v>8</v>
      </c>
      <c r="B19679" s="2" t="str">
        <f>HYPERLINK("http://ts.21cn.com/tousu/show/id/1351666","豆豆钱和永安保险强制销售保险")</f>
        <v>豆豆钱和永安保险强制销售保险</v>
      </c>
      <c r="C19679" s="2" t="s">
        <v>9</v>
      </c>
      <c r="D19679" s="2" t="s">
        <v>10</v>
      </c>
      <c r="E19679" s="2" t="str">
        <f>HYPERLINK("http://ts.21cn.com/tousu/show/id/1351666","http://ts.21cn.com/tousu/show/id/1351666")</f>
        <v>http://ts.21cn.com/tousu/show/id/1351666</v>
      </c>
      <c r="F19679" s="2" t="s">
        <v>11</v>
      </c>
      <c r="G19679" s="2" t="s">
        <v>5472</v>
      </c>
      <c r="H19679" s="2" t="s">
        <v>5473</v>
      </c>
    </row>
    <row r="19680" spans="1:8" ht="25.05" customHeight="1" x14ac:dyDescent="0.25">
      <c r="A19680" s="2" t="s">
        <v>8</v>
      </c>
      <c r="B19680" s="2" t="str">
        <f>HYPERLINK("http://ts.21cn.com/tousu/show/id/1351667","玖富万卡擅自改写合同变相收取费用，高利贷")</f>
        <v>玖富万卡擅自改写合同变相收取费用，高利贷</v>
      </c>
      <c r="C19680" s="2" t="s">
        <v>9</v>
      </c>
      <c r="D19680" s="2" t="s">
        <v>10</v>
      </c>
      <c r="E19680" s="2" t="str">
        <f>HYPERLINK("http://ts.21cn.com/tousu/show/id/1351667","http://ts.21cn.com/tousu/show/id/1351667")</f>
        <v>http://ts.21cn.com/tousu/show/id/1351667</v>
      </c>
      <c r="F19680" s="2" t="s">
        <v>11</v>
      </c>
      <c r="G19680" s="2" t="s">
        <v>5470</v>
      </c>
      <c r="H19680" s="2" t="s">
        <v>5471</v>
      </c>
    </row>
    <row r="19681" spans="1:8" ht="25.05" customHeight="1" x14ac:dyDescent="0.25">
      <c r="A19681" s="2" t="s">
        <v>8</v>
      </c>
      <c r="B19681" s="2" t="str">
        <f>HYPERLINK("http://ts.21cn.com/tousu/show/id/1351668","协商解决欠款问题")</f>
        <v>协商解决欠款问题</v>
      </c>
      <c r="C19681" s="2" t="s">
        <v>34</v>
      </c>
      <c r="D19681" s="2" t="s">
        <v>10</v>
      </c>
      <c r="E19681" s="2" t="str">
        <f>HYPERLINK("http://ts.21cn.com/tousu/show/id/1351668","http://ts.21cn.com/tousu/show/id/1351668")</f>
        <v>http://ts.21cn.com/tousu/show/id/1351668</v>
      </c>
      <c r="F19681" s="2" t="s">
        <v>11</v>
      </c>
      <c r="G19681" s="2" t="s">
        <v>5468</v>
      </c>
      <c r="H19681" s="2" t="s">
        <v>5469</v>
      </c>
    </row>
    <row r="19682" spans="1:8" ht="25.05" customHeight="1" x14ac:dyDescent="0.25">
      <c r="A19682" s="2" t="s">
        <v>8</v>
      </c>
      <c r="B19682" s="2" t="str">
        <f>HYPERLINK("http://ts.21cn.com/tousu/show/id/1351613","平安普惠强制收取高额保险费管理费投诉")</f>
        <v>平安普惠强制收取高额保险费管理费投诉</v>
      </c>
      <c r="C19682" s="2" t="s">
        <v>9</v>
      </c>
      <c r="D19682" s="2" t="s">
        <v>10</v>
      </c>
      <c r="E19682" s="2" t="str">
        <f>HYPERLINK("http://ts.21cn.com/tousu/show/id/1351613","http://ts.21cn.com/tousu/show/id/1351613")</f>
        <v>http://ts.21cn.com/tousu/show/id/1351613</v>
      </c>
      <c r="F19682" s="2" t="s">
        <v>11</v>
      </c>
      <c r="G19682" s="2" t="s">
        <v>5466</v>
      </c>
      <c r="H19682" s="2" t="s">
        <v>5467</v>
      </c>
    </row>
    <row r="19683" spans="1:8" ht="25.05" customHeight="1" x14ac:dyDescent="0.25">
      <c r="A19683" s="2" t="s">
        <v>8</v>
      </c>
      <c r="B19683" s="2" t="str">
        <f>HYPERLINK("http://ts.21cn.com/tousu/show/id/1351669","投诉网贷平台")</f>
        <v>投诉网贷平台</v>
      </c>
      <c r="C19683" s="2" t="s">
        <v>9</v>
      </c>
      <c r="D19683" s="2" t="s">
        <v>10</v>
      </c>
      <c r="E19683" s="2" t="str">
        <f>HYPERLINK("http://ts.21cn.com/tousu/show/id/1351669","http://ts.21cn.com/tousu/show/id/1351669")</f>
        <v>http://ts.21cn.com/tousu/show/id/1351669</v>
      </c>
      <c r="F19683" s="2" t="s">
        <v>11</v>
      </c>
      <c r="G19683" s="2" t="s">
        <v>5464</v>
      </c>
      <c r="H19683" s="2" t="s">
        <v>5465</v>
      </c>
    </row>
    <row r="19684" spans="1:8" ht="25.05" customHeight="1" x14ac:dyDescent="0.25">
      <c r="A19684" s="2" t="s">
        <v>8</v>
      </c>
      <c r="B19684" s="2" t="str">
        <f>HYPERLINK("http://ts.21cn.com/tousu/show/id/1351670","及货违反法规收费")</f>
        <v>及货违反法规收费</v>
      </c>
      <c r="C19684" s="2" t="s">
        <v>9</v>
      </c>
      <c r="D19684" s="2" t="s">
        <v>10</v>
      </c>
      <c r="E19684" s="2" t="str">
        <f>HYPERLINK("http://ts.21cn.com/tousu/show/id/1351670","http://ts.21cn.com/tousu/show/id/1351670")</f>
        <v>http://ts.21cn.com/tousu/show/id/1351670</v>
      </c>
      <c r="F19684" s="2" t="s">
        <v>11</v>
      </c>
      <c r="G19684" s="2" t="s">
        <v>5462</v>
      </c>
      <c r="H19684" s="2" t="s">
        <v>5463</v>
      </c>
    </row>
    <row r="19685" spans="1:8" ht="25.05" customHeight="1" x14ac:dyDescent="0.25">
      <c r="A19685" s="2" t="s">
        <v>8</v>
      </c>
      <c r="B19685" s="2" t="str">
        <f>HYPERLINK("http://ts.21cn.com/tousu/show/id/1351671","钱站暴力催收骚扰并阴阳合同")</f>
        <v>钱站暴力催收骚扰并阴阳合同</v>
      </c>
      <c r="C19685" s="2" t="s">
        <v>9</v>
      </c>
      <c r="D19685" s="2" t="s">
        <v>10</v>
      </c>
      <c r="E19685" s="2" t="str">
        <f>HYPERLINK("http://ts.21cn.com/tousu/show/id/1351671","http://ts.21cn.com/tousu/show/id/1351671")</f>
        <v>http://ts.21cn.com/tousu/show/id/1351671</v>
      </c>
      <c r="F19685" s="2" t="s">
        <v>11</v>
      </c>
      <c r="G19685" s="2" t="s">
        <v>5460</v>
      </c>
      <c r="H19685" s="2" t="s">
        <v>5461</v>
      </c>
    </row>
    <row r="19686" spans="1:8" ht="25.05" customHeight="1" x14ac:dyDescent="0.25">
      <c r="A19686" s="2" t="s">
        <v>8</v>
      </c>
      <c r="B19686" s="2" t="str">
        <f>HYPERLINK("http://ts.21cn.com/tousu/show/id/1351672","如期科技高额砍头息")</f>
        <v>如期科技高额砍头息</v>
      </c>
      <c r="C19686" s="2" t="s">
        <v>9</v>
      </c>
      <c r="D19686" s="2" t="s">
        <v>10</v>
      </c>
      <c r="E19686" s="2" t="str">
        <f>HYPERLINK("http://ts.21cn.com/tousu/show/id/1351672","http://ts.21cn.com/tousu/show/id/1351672")</f>
        <v>http://ts.21cn.com/tousu/show/id/1351672</v>
      </c>
      <c r="F19686" s="2" t="s">
        <v>11</v>
      </c>
      <c r="G19686" s="2" t="s">
        <v>5458</v>
      </c>
      <c r="H19686" s="2" t="s">
        <v>5459</v>
      </c>
    </row>
    <row r="19687" spans="1:8" ht="25.05" customHeight="1" x14ac:dyDescent="0.25">
      <c r="A19687" s="2" t="s">
        <v>8</v>
      </c>
      <c r="B19687" s="2" t="str">
        <f>HYPERLINK("http://ts.21cn.com/tousu/show/id/1351673","闪电借款超国家规定收费暴力催收")</f>
        <v>闪电借款超国家规定收费暴力催收</v>
      </c>
      <c r="C19687" s="2" t="s">
        <v>9</v>
      </c>
      <c r="D19687" s="2" t="s">
        <v>10</v>
      </c>
      <c r="E19687" s="2" t="str">
        <f>HYPERLINK("http://ts.21cn.com/tousu/show/id/1351673","http://ts.21cn.com/tousu/show/id/1351673")</f>
        <v>http://ts.21cn.com/tousu/show/id/1351673</v>
      </c>
      <c r="F19687" s="2" t="s">
        <v>11</v>
      </c>
      <c r="G19687" s="2" t="s">
        <v>5456</v>
      </c>
      <c r="H19687" s="2" t="s">
        <v>5457</v>
      </c>
    </row>
    <row r="19688" spans="1:8" ht="25.05" customHeight="1" x14ac:dyDescent="0.25">
      <c r="A19688" s="2" t="s">
        <v>8</v>
      </c>
      <c r="B19688" s="2" t="str">
        <f>HYPERLINK("http://ts.21cn.com/tousu/show/id/1351674","被尚德机构销售人员虚假诱导隐瞒条件办理入学")</f>
        <v>被尚德机构销售人员虚假诱导隐瞒条件办理入学</v>
      </c>
      <c r="C19688" s="2" t="s">
        <v>9</v>
      </c>
      <c r="D19688" s="2" t="s">
        <v>10</v>
      </c>
      <c r="E19688" s="2" t="str">
        <f>HYPERLINK("http://ts.21cn.com/tousu/show/id/1351674","http://ts.21cn.com/tousu/show/id/1351674")</f>
        <v>http://ts.21cn.com/tousu/show/id/1351674</v>
      </c>
      <c r="F19688" s="2" t="s">
        <v>11</v>
      </c>
      <c r="G19688" s="2" t="s">
        <v>5454</v>
      </c>
      <c r="H19688" s="2" t="s">
        <v>5455</v>
      </c>
    </row>
    <row r="19689" spans="1:8" ht="25.05" customHeight="1" x14ac:dyDescent="0.25">
      <c r="A19689" s="2" t="s">
        <v>8</v>
      </c>
      <c r="B19689" s="2" t="str">
        <f>HYPERLINK("http://ts.21cn.com/tousu/show/id/1351677","砍头息，高利贷，恶意催收，骚扰通讯录好友，")</f>
        <v>砍头息，高利贷，恶意催收，骚扰通讯录好友，</v>
      </c>
      <c r="C19689" s="2" t="s">
        <v>9</v>
      </c>
      <c r="D19689" s="2" t="s">
        <v>10</v>
      </c>
      <c r="E19689" s="2" t="str">
        <f>HYPERLINK("http://ts.21cn.com/tousu/show/id/1351677","http://ts.21cn.com/tousu/show/id/1351677")</f>
        <v>http://ts.21cn.com/tousu/show/id/1351677</v>
      </c>
      <c r="F19689" s="2" t="s">
        <v>11</v>
      </c>
      <c r="G19689" s="2" t="s">
        <v>5452</v>
      </c>
      <c r="H19689" s="2" t="s">
        <v>5453</v>
      </c>
    </row>
    <row r="19690" spans="1:8" ht="25.05" customHeight="1" x14ac:dyDescent="0.25">
      <c r="A19690" s="2" t="s">
        <v>8</v>
      </c>
      <c r="B19690" s="2" t="str">
        <f>HYPERLINK("http://ts.21cn.com/tousu/show/id/1351676","英雄花群发短信威胁")</f>
        <v>英雄花群发短信威胁</v>
      </c>
      <c r="C19690" s="2" t="s">
        <v>9</v>
      </c>
      <c r="D19690" s="2" t="s">
        <v>10</v>
      </c>
      <c r="E19690" s="2" t="str">
        <f>HYPERLINK("http://ts.21cn.com/tousu/show/id/1351676","http://ts.21cn.com/tousu/show/id/1351676")</f>
        <v>http://ts.21cn.com/tousu/show/id/1351676</v>
      </c>
      <c r="F19690" s="2" t="s">
        <v>11</v>
      </c>
      <c r="G19690" s="2" t="s">
        <v>5450</v>
      </c>
      <c r="H19690" s="2" t="s">
        <v>5451</v>
      </c>
    </row>
    <row r="19691" spans="1:8" ht="25.05" customHeight="1" x14ac:dyDescent="0.25">
      <c r="A19691" s="2" t="s">
        <v>8</v>
      </c>
      <c r="B19691" s="2" t="str">
        <f>HYPERLINK("http://ts.21cn.com/tousu/show/id/1351678","和信普惠暴利催收，还没放款便收取利息")</f>
        <v>和信普惠暴利催收，还没放款便收取利息</v>
      </c>
      <c r="C19691" s="2" t="s">
        <v>9</v>
      </c>
      <c r="D19691" s="2" t="s">
        <v>10</v>
      </c>
      <c r="E19691" s="2" t="str">
        <f>HYPERLINK("http://ts.21cn.com/tousu/show/id/1351678","http://ts.21cn.com/tousu/show/id/1351678")</f>
        <v>http://ts.21cn.com/tousu/show/id/1351678</v>
      </c>
      <c r="F19691" s="2" t="s">
        <v>11</v>
      </c>
      <c r="G19691" s="2" t="s">
        <v>5448</v>
      </c>
      <c r="H19691" s="2" t="s">
        <v>5449</v>
      </c>
    </row>
    <row r="19692" spans="1:8" ht="25.05" customHeight="1" x14ac:dyDescent="0.25">
      <c r="A19692" s="2" t="s">
        <v>8</v>
      </c>
      <c r="B19692" s="2" t="str">
        <f>HYPERLINK("http://ts.21cn.com/tousu/show/id/1351680","上海翰银为赌博输平台收单，请求瀚银为我退款挽回经济损失")</f>
        <v>上海翰银为赌博输平台收单，请求瀚银为我退款挽回经济损失</v>
      </c>
      <c r="C19692" s="2" t="s">
        <v>9</v>
      </c>
      <c r="D19692" s="2" t="s">
        <v>10</v>
      </c>
      <c r="E19692" s="2" t="str">
        <f>HYPERLINK("http://ts.21cn.com/tousu/show/id/1351680","http://ts.21cn.com/tousu/show/id/1351680")</f>
        <v>http://ts.21cn.com/tousu/show/id/1351680</v>
      </c>
      <c r="F19692" s="2" t="s">
        <v>11</v>
      </c>
      <c r="G19692" s="2" t="s">
        <v>5446</v>
      </c>
      <c r="H19692" s="2" t="s">
        <v>5447</v>
      </c>
    </row>
    <row r="19693" spans="1:8" ht="25.05" customHeight="1" x14ac:dyDescent="0.25">
      <c r="A19693" s="2" t="s">
        <v>8</v>
      </c>
      <c r="B19693" s="2" t="str">
        <f>HYPERLINK("http://ts.21cn.com/tousu/show/id/1351679","贷上钱高利贷到手3000一个月要还4081")</f>
        <v>贷上钱高利贷到手3000一个月要还4081</v>
      </c>
      <c r="C19693" s="2" t="s">
        <v>34</v>
      </c>
      <c r="D19693" s="2" t="s">
        <v>10</v>
      </c>
      <c r="E19693" s="2" t="str">
        <f>HYPERLINK("http://ts.21cn.com/tousu/show/id/1351679","http://ts.21cn.com/tousu/show/id/1351679")</f>
        <v>http://ts.21cn.com/tousu/show/id/1351679</v>
      </c>
      <c r="F19693" s="2" t="s">
        <v>11</v>
      </c>
      <c r="G19693" s="2" t="s">
        <v>5444</v>
      </c>
      <c r="H19693" s="2" t="s">
        <v>5445</v>
      </c>
    </row>
    <row r="19694" spans="1:8" ht="25.05" customHeight="1" x14ac:dyDescent="0.25">
      <c r="A19694" s="2" t="s">
        <v>8</v>
      </c>
      <c r="B19694" s="2" t="str">
        <f>HYPERLINK("http://ts.21cn.com/tousu/show/id/1351681","钱站速金服高额利息，高额逾期费")</f>
        <v>钱站速金服高额利息，高额逾期费</v>
      </c>
      <c r="C19694" s="2" t="s">
        <v>9</v>
      </c>
      <c r="D19694" s="2" t="s">
        <v>10</v>
      </c>
      <c r="E19694" s="2" t="str">
        <f>HYPERLINK("http://ts.21cn.com/tousu/show/id/1351681","http://ts.21cn.com/tousu/show/id/1351681")</f>
        <v>http://ts.21cn.com/tousu/show/id/1351681</v>
      </c>
      <c r="F19694" s="2" t="s">
        <v>11</v>
      </c>
      <c r="G19694" s="2" t="s">
        <v>5442</v>
      </c>
      <c r="H19694" s="2" t="s">
        <v>5443</v>
      </c>
    </row>
    <row r="19695" spans="1:8" ht="25.05" customHeight="1" x14ac:dyDescent="0.25">
      <c r="A19695" s="2" t="s">
        <v>8</v>
      </c>
      <c r="B19695" s="2" t="str">
        <f>HYPERLINK("http://ts.21cn.com/tousu/show/id/1351682","滴滴平台所谓的公平与规则呢？")</f>
        <v>滴滴平台所谓的公平与规则呢？</v>
      </c>
      <c r="C19695" s="2" t="s">
        <v>9</v>
      </c>
      <c r="D19695" s="2" t="s">
        <v>10</v>
      </c>
      <c r="E19695" s="2" t="str">
        <f>HYPERLINK("http://ts.21cn.com/tousu/show/id/1351682","http://ts.21cn.com/tousu/show/id/1351682")</f>
        <v>http://ts.21cn.com/tousu/show/id/1351682</v>
      </c>
      <c r="F19695" s="2" t="s">
        <v>11</v>
      </c>
      <c r="G19695" s="2" t="s">
        <v>5440</v>
      </c>
      <c r="H19695" s="2" t="s">
        <v>5441</v>
      </c>
    </row>
    <row r="19696" spans="1:8" ht="25.05" customHeight="1" x14ac:dyDescent="0.25">
      <c r="A19696" s="2" t="s">
        <v>8</v>
      </c>
      <c r="B19696" s="2" t="str">
        <f>HYPERLINK("http://ts.21cn.com/tousu/show/id/1351683","分润及其他款项迟迟未发放！")</f>
        <v>分润及其他款项迟迟未发放！</v>
      </c>
      <c r="C19696" s="2" t="s">
        <v>9</v>
      </c>
      <c r="D19696" s="2" t="s">
        <v>10</v>
      </c>
      <c r="E19696" s="2" t="str">
        <f>HYPERLINK("http://ts.21cn.com/tousu/show/id/1351683","http://ts.21cn.com/tousu/show/id/1351683")</f>
        <v>http://ts.21cn.com/tousu/show/id/1351683</v>
      </c>
      <c r="F19696" s="2" t="s">
        <v>11</v>
      </c>
      <c r="G19696" s="2" t="s">
        <v>5438</v>
      </c>
      <c r="H19696" s="2" t="s">
        <v>5439</v>
      </c>
    </row>
    <row r="19697" spans="1:8" ht="25.05" customHeight="1" x14ac:dyDescent="0.25">
      <c r="A19697" s="2" t="s">
        <v>8</v>
      </c>
      <c r="B19697" s="2" t="str">
        <f>HYPERLINK("http://ts.21cn.com/tousu/show/id/1351684","钱伴高利贷")</f>
        <v>钱伴高利贷</v>
      </c>
      <c r="C19697" s="2" t="s">
        <v>9</v>
      </c>
      <c r="D19697" s="2" t="s">
        <v>10</v>
      </c>
      <c r="E19697" s="2" t="str">
        <f>HYPERLINK("http://ts.21cn.com/tousu/show/id/1351684","http://ts.21cn.com/tousu/show/id/1351684")</f>
        <v>http://ts.21cn.com/tousu/show/id/1351684</v>
      </c>
      <c r="F19697" s="2" t="s">
        <v>11</v>
      </c>
      <c r="G19697" s="2" t="s">
        <v>5436</v>
      </c>
      <c r="H19697" s="2" t="s">
        <v>5437</v>
      </c>
    </row>
    <row r="19698" spans="1:8" ht="25.05" customHeight="1" x14ac:dyDescent="0.25">
      <c r="A19698" s="2" t="s">
        <v>8</v>
      </c>
      <c r="B19698" s="2" t="str">
        <f>HYPERLINK("http://ts.21cn.com/tousu/show/id/1351685","造艺科技恶意盗刷钱财")</f>
        <v>造艺科技恶意盗刷钱财</v>
      </c>
      <c r="C19698" s="2" t="s">
        <v>9</v>
      </c>
      <c r="D19698" s="2" t="s">
        <v>10</v>
      </c>
      <c r="E19698" s="2" t="str">
        <f>HYPERLINK("http://ts.21cn.com/tousu/show/id/1351685","http://ts.21cn.com/tousu/show/id/1351685")</f>
        <v>http://ts.21cn.com/tousu/show/id/1351685</v>
      </c>
      <c r="F19698" s="2" t="s">
        <v>11</v>
      </c>
      <c r="G19698" s="2" t="s">
        <v>5434</v>
      </c>
      <c r="H19698" s="2" t="s">
        <v>5435</v>
      </c>
    </row>
    <row r="19699" spans="1:8" ht="25.05" customHeight="1" x14ac:dyDescent="0.25">
      <c r="A19699" s="2" t="s">
        <v>8</v>
      </c>
      <c r="B19699" s="2" t="str">
        <f>HYPERLINK("http://ts.21cn.com/tousu/show/id/1351686","为美团服务了四年，到头来说拉黑就拉黑。真不知道我做错了什么，顾客要取消单子，我能怎么办？不问原因，什么都是我的错。")</f>
        <v>为美团服务了四年，到头来说拉黑就拉黑。真不知道我做错了什么，顾客要取消单子，我能怎么办？不问原因，什么都是我的错。</v>
      </c>
      <c r="C19699" s="2" t="s">
        <v>9</v>
      </c>
      <c r="D19699" s="2" t="s">
        <v>10</v>
      </c>
      <c r="E19699" s="2" t="str">
        <f>HYPERLINK("http://ts.21cn.com/tousu/show/id/1351686","http://ts.21cn.com/tousu/show/id/1351686")</f>
        <v>http://ts.21cn.com/tousu/show/id/1351686</v>
      </c>
      <c r="F19699" s="2" t="s">
        <v>11</v>
      </c>
      <c r="G19699" s="2" t="s">
        <v>5432</v>
      </c>
      <c r="H19699" s="2" t="s">
        <v>5433</v>
      </c>
    </row>
    <row r="19700" spans="1:8" ht="25.05" customHeight="1" x14ac:dyDescent="0.25">
      <c r="A19700" s="2" t="s">
        <v>8</v>
      </c>
      <c r="B19700" s="2" t="str">
        <f>HYPERLINK("http://ts.21cn.com/tousu/show/id/1351687","建行还我被盗刷的钱")</f>
        <v>建行还我被盗刷的钱</v>
      </c>
      <c r="C19700" s="2" t="s">
        <v>9</v>
      </c>
      <c r="D19700" s="2" t="s">
        <v>10</v>
      </c>
      <c r="E19700" s="2" t="str">
        <f>HYPERLINK("http://ts.21cn.com/tousu/show/id/1351687","http://ts.21cn.com/tousu/show/id/1351687")</f>
        <v>http://ts.21cn.com/tousu/show/id/1351687</v>
      </c>
      <c r="F19700" s="2" t="s">
        <v>11</v>
      </c>
      <c r="G19700" s="2" t="s">
        <v>5430</v>
      </c>
      <c r="H19700" s="2" t="s">
        <v>5431</v>
      </c>
    </row>
    <row r="19701" spans="1:8" ht="25.05" customHeight="1" x14ac:dyDescent="0.25">
      <c r="A19701" s="2" t="s">
        <v>8</v>
      </c>
      <c r="B19701" s="2" t="str">
        <f>HYPERLINK("http://ts.21cn.com/tousu/show/id/1351688","多年不联系的客户欠款，打到我这来，我让其把电话发给我，拒绝给，并持续性的向我催收")</f>
        <v>多年不联系的客户欠款，打到我这来，我让其把电话发给我，拒绝给，并持续性的向我催收</v>
      </c>
      <c r="C19701" s="2" t="s">
        <v>9</v>
      </c>
      <c r="D19701" s="2" t="s">
        <v>10</v>
      </c>
      <c r="E19701" s="2" t="str">
        <f>HYPERLINK("http://ts.21cn.com/tousu/show/id/1351688","http://ts.21cn.com/tousu/show/id/1351688")</f>
        <v>http://ts.21cn.com/tousu/show/id/1351688</v>
      </c>
      <c r="F19701" s="2" t="s">
        <v>11</v>
      </c>
      <c r="G19701" s="2" t="s">
        <v>5428</v>
      </c>
      <c r="H19701" s="2" t="s">
        <v>5429</v>
      </c>
    </row>
    <row r="19702" spans="1:8" ht="25.05" customHeight="1" x14ac:dyDescent="0.25">
      <c r="A19702" s="2" t="s">
        <v>8</v>
      </c>
      <c r="B19702" s="2" t="str">
        <f>HYPERLINK("http://ts.21cn.com/tousu/show/id/1351689","马上金融以游戏币为由收取高额费用")</f>
        <v>马上金融以游戏币为由收取高额费用</v>
      </c>
      <c r="C19702" s="2" t="s">
        <v>9</v>
      </c>
      <c r="D19702" s="2" t="s">
        <v>10</v>
      </c>
      <c r="E19702" s="2" t="str">
        <f>HYPERLINK("http://ts.21cn.com/tousu/show/id/1351689","http://ts.21cn.com/tousu/show/id/1351689")</f>
        <v>http://ts.21cn.com/tousu/show/id/1351689</v>
      </c>
      <c r="F19702" s="2" t="s">
        <v>11</v>
      </c>
      <c r="G19702" s="2" t="s">
        <v>5426</v>
      </c>
      <c r="H19702" s="2" t="s">
        <v>5427</v>
      </c>
    </row>
    <row r="19703" spans="1:8" ht="25.05" customHeight="1" x14ac:dyDescent="0.25">
      <c r="A19703" s="2" t="s">
        <v>8</v>
      </c>
      <c r="B19703" s="2" t="str">
        <f>HYPERLINK("http://ts.21cn.com/tousu/show/id/1351661","钱站高利贷阴阳合同")</f>
        <v>钱站高利贷阴阳合同</v>
      </c>
      <c r="C19703" s="2" t="s">
        <v>9</v>
      </c>
      <c r="D19703" s="2" t="s">
        <v>10</v>
      </c>
      <c r="E19703" s="2" t="str">
        <f>HYPERLINK("http://ts.21cn.com/tousu/show/id/1351661","http://ts.21cn.com/tousu/show/id/1351661")</f>
        <v>http://ts.21cn.com/tousu/show/id/1351661</v>
      </c>
      <c r="F19703" s="2" t="s">
        <v>11</v>
      </c>
      <c r="G19703" s="2" t="s">
        <v>5424</v>
      </c>
      <c r="H19703" s="2" t="s">
        <v>5425</v>
      </c>
    </row>
    <row r="19704" spans="1:8" ht="25.05" customHeight="1" x14ac:dyDescent="0.25">
      <c r="A19704" s="2" t="s">
        <v>8</v>
      </c>
      <c r="B19704" s="2" t="str">
        <f>HYPERLINK("http://ts.21cn.com/tousu/show/id/1351691","闪电借款超国家规定收费，暴力催收")</f>
        <v>闪电借款超国家规定收费，暴力催收</v>
      </c>
      <c r="C19704" s="2" t="s">
        <v>9</v>
      </c>
      <c r="D19704" s="2" t="s">
        <v>10</v>
      </c>
      <c r="E19704" s="2" t="str">
        <f>HYPERLINK("http://ts.21cn.com/tousu/show/id/1351691","http://ts.21cn.com/tousu/show/id/1351691")</f>
        <v>http://ts.21cn.com/tousu/show/id/1351691</v>
      </c>
      <c r="F19704" s="2" t="s">
        <v>11</v>
      </c>
      <c r="G19704" s="2" t="s">
        <v>5422</v>
      </c>
      <c r="H19704" s="2" t="s">
        <v>5423</v>
      </c>
    </row>
    <row r="19705" spans="1:8" ht="25.05" customHeight="1" x14ac:dyDescent="0.25">
      <c r="A19705" s="2" t="s">
        <v>8</v>
      </c>
      <c r="B19705" s="2" t="str">
        <f>HYPERLINK("http://ts.21cn.com/tousu/show/id/1351690","马上消费金融持骚扰，毁坏名誉")</f>
        <v>马上消费金融持骚扰，毁坏名誉</v>
      </c>
      <c r="C19705" s="2" t="s">
        <v>9</v>
      </c>
      <c r="D19705" s="2" t="s">
        <v>10</v>
      </c>
      <c r="E19705" s="2" t="str">
        <f>HYPERLINK("http://ts.21cn.com/tousu/show/id/1351690","http://ts.21cn.com/tousu/show/id/1351690")</f>
        <v>http://ts.21cn.com/tousu/show/id/1351690</v>
      </c>
      <c r="F19705" s="2" t="s">
        <v>11</v>
      </c>
      <c r="G19705" s="2" t="s">
        <v>5420</v>
      </c>
      <c r="H19705" s="2" t="s">
        <v>5421</v>
      </c>
    </row>
    <row r="19706" spans="1:8" ht="25.05" customHeight="1" x14ac:dyDescent="0.25">
      <c r="A19706" s="2" t="s">
        <v>8</v>
      </c>
      <c r="B19706" s="2" t="str">
        <f>HYPERLINK("http://ts.21cn.com/tousu/show/id/1351692","去花花砍头息高利贷")</f>
        <v>去花花砍头息高利贷</v>
      </c>
      <c r="C19706" s="2" t="s">
        <v>9</v>
      </c>
      <c r="D19706" s="2" t="s">
        <v>10</v>
      </c>
      <c r="E19706" s="2" t="str">
        <f>HYPERLINK("http://ts.21cn.com/tousu/show/id/1351692","http://ts.21cn.com/tousu/show/id/1351692")</f>
        <v>http://ts.21cn.com/tousu/show/id/1351692</v>
      </c>
      <c r="F19706" s="2" t="s">
        <v>11</v>
      </c>
      <c r="G19706" s="2" t="s">
        <v>5418</v>
      </c>
      <c r="H19706" s="2" t="s">
        <v>5419</v>
      </c>
    </row>
    <row r="19707" spans="1:8" ht="25.05" customHeight="1" x14ac:dyDescent="0.25">
      <c r="A19707" s="2" t="s">
        <v>8</v>
      </c>
      <c r="B19707" s="2" t="str">
        <f>HYPERLINK("http://ts.21cn.com/tousu/show/id/1351693","青客公寓一直找各种理由延迟退押金")</f>
        <v>青客公寓一直找各种理由延迟退押金</v>
      </c>
      <c r="C19707" s="2" t="s">
        <v>9</v>
      </c>
      <c r="D19707" s="2" t="s">
        <v>10</v>
      </c>
      <c r="E19707" s="2" t="str">
        <f>HYPERLINK("http://ts.21cn.com/tousu/show/id/1351693","http://ts.21cn.com/tousu/show/id/1351693")</f>
        <v>http://ts.21cn.com/tousu/show/id/1351693</v>
      </c>
      <c r="F19707" s="2" t="s">
        <v>11</v>
      </c>
      <c r="G19707" s="2" t="s">
        <v>5416</v>
      </c>
      <c r="H19707" s="2" t="s">
        <v>5417</v>
      </c>
    </row>
    <row r="19708" spans="1:8" ht="25.05" customHeight="1" x14ac:dyDescent="0.25">
      <c r="A19708" s="2" t="s">
        <v>8</v>
      </c>
      <c r="B19708" s="2" t="str">
        <f>HYPERLINK("http://ts.21cn.com/tousu/show/id/1351694","及货提前还款还被催收人员骚扰")</f>
        <v>及货提前还款还被催收人员骚扰</v>
      </c>
      <c r="C19708" s="2" t="s">
        <v>9</v>
      </c>
      <c r="D19708" s="2" t="s">
        <v>10</v>
      </c>
      <c r="E19708" s="2" t="str">
        <f>HYPERLINK("http://ts.21cn.com/tousu/show/id/1351694","http://ts.21cn.com/tousu/show/id/1351694")</f>
        <v>http://ts.21cn.com/tousu/show/id/1351694</v>
      </c>
      <c r="F19708" s="2" t="s">
        <v>11</v>
      </c>
      <c r="G19708" s="2" t="s">
        <v>5414</v>
      </c>
      <c r="H19708" s="2" t="s">
        <v>5415</v>
      </c>
    </row>
    <row r="19709" spans="1:8" ht="25.05" customHeight="1" x14ac:dyDescent="0.25">
      <c r="A19709" s="2" t="s">
        <v>8</v>
      </c>
      <c r="B19709" s="2" t="str">
        <f>HYPERLINK("http://ts.21cn.com/tousu/show/id/1351696","填了退款表半年了也不退钱")</f>
        <v>填了退款表半年了也不退钱</v>
      </c>
      <c r="C19709" s="2" t="s">
        <v>34</v>
      </c>
      <c r="D19709" s="2" t="s">
        <v>10</v>
      </c>
      <c r="E19709" s="2" t="str">
        <f>HYPERLINK("http://ts.21cn.com/tousu/show/id/1351696","http://ts.21cn.com/tousu/show/id/1351696")</f>
        <v>http://ts.21cn.com/tousu/show/id/1351696</v>
      </c>
      <c r="F19709" s="2" t="s">
        <v>11</v>
      </c>
      <c r="G19709" s="2" t="s">
        <v>5412</v>
      </c>
      <c r="H19709" s="2" t="s">
        <v>5413</v>
      </c>
    </row>
    <row r="19710" spans="1:8" ht="25.05" customHeight="1" x14ac:dyDescent="0.25">
      <c r="A19710" s="2" t="s">
        <v>8</v>
      </c>
      <c r="B19710" s="2" t="str">
        <f>HYPERLINK("http://ts.21cn.com/tousu/show/id/1351697","拼多多私自扣费")</f>
        <v>拼多多私自扣费</v>
      </c>
      <c r="C19710" s="2" t="s">
        <v>9</v>
      </c>
      <c r="D19710" s="2" t="s">
        <v>10</v>
      </c>
      <c r="E19710" s="2" t="str">
        <f>HYPERLINK("http://ts.21cn.com/tousu/show/id/1351697","http://ts.21cn.com/tousu/show/id/1351697")</f>
        <v>http://ts.21cn.com/tousu/show/id/1351697</v>
      </c>
      <c r="F19710" s="2" t="s">
        <v>11</v>
      </c>
      <c r="G19710" s="2" t="s">
        <v>5410</v>
      </c>
      <c r="H19710" s="2" t="s">
        <v>5411</v>
      </c>
    </row>
    <row r="19711" spans="1:8" ht="25.05" customHeight="1" x14ac:dyDescent="0.25">
      <c r="A19711" s="2" t="s">
        <v>8</v>
      </c>
      <c r="B19711" s="2" t="str">
        <f>HYPERLINK("http://ts.21cn.com/tousu/show/id/1351695","平安普惠i贷恶意骚扰朋友家人")</f>
        <v>平安普惠i贷恶意骚扰朋友家人</v>
      </c>
      <c r="C19711" s="2" t="s">
        <v>9</v>
      </c>
      <c r="D19711" s="2" t="s">
        <v>10</v>
      </c>
      <c r="E19711" s="2" t="str">
        <f>HYPERLINK("http://ts.21cn.com/tousu/show/id/1351695","http://ts.21cn.com/tousu/show/id/1351695")</f>
        <v>http://ts.21cn.com/tousu/show/id/1351695</v>
      </c>
      <c r="F19711" s="2" t="s">
        <v>11</v>
      </c>
      <c r="G19711" s="2" t="s">
        <v>5408</v>
      </c>
      <c r="H19711" s="2" t="s">
        <v>5409</v>
      </c>
    </row>
    <row r="19712" spans="1:8" ht="25.05" customHeight="1" x14ac:dyDescent="0.25">
      <c r="A19712" s="2" t="s">
        <v>8</v>
      </c>
      <c r="B19712" s="2" t="str">
        <f>HYPERLINK("http://ts.21cn.com/tousu/show/id/1351698","MAKA软件诱导消费者试用三天会员后无明确条款下强制续费大额高级会员")</f>
        <v>MAKA软件诱导消费者试用三天会员后无明确条款下强制续费大额高级会员</v>
      </c>
      <c r="C19712" s="2" t="s">
        <v>9</v>
      </c>
      <c r="D19712" s="2" t="s">
        <v>10</v>
      </c>
      <c r="E19712" s="2" t="str">
        <f>HYPERLINK("http://ts.21cn.com/tousu/show/id/1351698","http://ts.21cn.com/tousu/show/id/1351698")</f>
        <v>http://ts.21cn.com/tousu/show/id/1351698</v>
      </c>
      <c r="F19712" s="2" t="s">
        <v>11</v>
      </c>
      <c r="G19712" s="2" t="s">
        <v>5406</v>
      </c>
      <c r="H19712" s="2" t="s">
        <v>5407</v>
      </c>
    </row>
    <row r="19713" spans="1:8" ht="25.05" customHeight="1" x14ac:dyDescent="0.25">
      <c r="A19713" s="2" t="s">
        <v>8</v>
      </c>
      <c r="B19713" s="2" t="str">
        <f>HYPERLINK("http://ts.21cn.com/tousu/show/id/1351699","投诉网贷平台")</f>
        <v>投诉网贷平台</v>
      </c>
      <c r="C19713" s="2" t="s">
        <v>9</v>
      </c>
      <c r="D19713" s="2" t="s">
        <v>10</v>
      </c>
      <c r="E19713" s="2" t="str">
        <f>HYPERLINK("http://ts.21cn.com/tousu/show/id/1351699","http://ts.21cn.com/tousu/show/id/1351699")</f>
        <v>http://ts.21cn.com/tousu/show/id/1351699</v>
      </c>
      <c r="F19713" s="2" t="s">
        <v>11</v>
      </c>
      <c r="G19713" s="2" t="s">
        <v>5404</v>
      </c>
      <c r="H19713" s="2" t="s">
        <v>5405</v>
      </c>
    </row>
    <row r="19714" spans="1:8" ht="25.05" customHeight="1" x14ac:dyDescent="0.25">
      <c r="A19714" s="2" t="s">
        <v>8</v>
      </c>
      <c r="B19714" s="2" t="str">
        <f>HYPERLINK("http://ts.21cn.com/tousu/show/id/1351700","拍拍贷不扣款，想让我逾期")</f>
        <v>拍拍贷不扣款，想让我逾期</v>
      </c>
      <c r="C19714" s="2" t="s">
        <v>34</v>
      </c>
      <c r="D19714" s="2" t="s">
        <v>10</v>
      </c>
      <c r="E19714" s="2" t="str">
        <f>HYPERLINK("http://ts.21cn.com/tousu/show/id/1351700","http://ts.21cn.com/tousu/show/id/1351700")</f>
        <v>http://ts.21cn.com/tousu/show/id/1351700</v>
      </c>
      <c r="F19714" s="2" t="s">
        <v>11</v>
      </c>
      <c r="G19714" s="2" t="s">
        <v>5402</v>
      </c>
      <c r="H19714" s="2" t="s">
        <v>5403</v>
      </c>
    </row>
    <row r="19715" spans="1:8" ht="25.05" customHeight="1" x14ac:dyDescent="0.25">
      <c r="A19715" s="2" t="s">
        <v>8</v>
      </c>
      <c r="B19715" s="2" t="str">
        <f>HYPERLINK("http://ts.21cn.com/tousu/show/id/1351701","长达五个月时间才协商按年化24多还款，人人贷要求借款人与友信支付签订不合法不平等不客观不合理的保密协议，拖延借款人还款。")</f>
        <v>长达五个月时间才协商按年化24多还款，人人贷要求借款人与友信支付签订不合法不平等不客观不合理的保密协议，拖延借款人还款。</v>
      </c>
      <c r="C19715" s="2" t="s">
        <v>9</v>
      </c>
      <c r="D19715" s="2" t="s">
        <v>10</v>
      </c>
      <c r="E19715" s="2" t="str">
        <f>HYPERLINK("http://ts.21cn.com/tousu/show/id/1351701","http://ts.21cn.com/tousu/show/id/1351701")</f>
        <v>http://ts.21cn.com/tousu/show/id/1351701</v>
      </c>
      <c r="F19715" s="2" t="s">
        <v>11</v>
      </c>
      <c r="G19715" s="2" t="s">
        <v>5400</v>
      </c>
      <c r="H19715" s="2" t="s">
        <v>5401</v>
      </c>
    </row>
    <row r="19716" spans="1:8" ht="25.05" customHeight="1" x14ac:dyDescent="0.25">
      <c r="A19716" s="2" t="s">
        <v>8</v>
      </c>
      <c r="B19716" s="2" t="str">
        <f>HYPERLINK("http://ts.21cn.com/tousu/show/id/1351702","你我贷高利贷暴力催收")</f>
        <v>你我贷高利贷暴力催收</v>
      </c>
      <c r="C19716" s="2" t="s">
        <v>9</v>
      </c>
      <c r="D19716" s="2" t="s">
        <v>10</v>
      </c>
      <c r="E19716" s="2" t="str">
        <f>HYPERLINK("http://ts.21cn.com/tousu/show/id/1351702","http://ts.21cn.com/tousu/show/id/1351702")</f>
        <v>http://ts.21cn.com/tousu/show/id/1351702</v>
      </c>
      <c r="F19716" s="2" t="s">
        <v>11</v>
      </c>
      <c r="G19716" s="2" t="s">
        <v>5398</v>
      </c>
      <c r="H19716" s="2" t="s">
        <v>5399</v>
      </c>
    </row>
    <row r="19717" spans="1:8" ht="25.05" customHeight="1" x14ac:dyDescent="0.25">
      <c r="A19717" s="2" t="s">
        <v>8</v>
      </c>
      <c r="B19717" s="2" t="str">
        <f>HYPERLINK("http://ts.21cn.com/tousu/show/id/1351103","滴滴客服有问题不解决，要着当摆设？")</f>
        <v>滴滴客服有问题不解决，要着当摆设？</v>
      </c>
      <c r="C19717" s="2" t="s">
        <v>9</v>
      </c>
      <c r="D19717" s="2" t="s">
        <v>10</v>
      </c>
      <c r="E19717" s="2" t="str">
        <f>HYPERLINK("http://ts.21cn.com/tousu/show/id/1351103","http://ts.21cn.com/tousu/show/id/1351103")</f>
        <v>http://ts.21cn.com/tousu/show/id/1351103</v>
      </c>
      <c r="F19717" s="2" t="s">
        <v>11</v>
      </c>
      <c r="G19717" s="2" t="s">
        <v>5396</v>
      </c>
      <c r="H19717" s="2" t="s">
        <v>5397</v>
      </c>
    </row>
    <row r="19718" spans="1:8" ht="25.05" customHeight="1" x14ac:dyDescent="0.25">
      <c r="A19718" s="2" t="s">
        <v>8</v>
      </c>
      <c r="B19718" s="2" t="str">
        <f>HYPERLINK("http://ts.21cn.com/tousu/show/id/1351703","钱站高利贷阴阳合同")</f>
        <v>钱站高利贷阴阳合同</v>
      </c>
      <c r="C19718" s="2" t="s">
        <v>9</v>
      </c>
      <c r="D19718" s="2" t="s">
        <v>10</v>
      </c>
      <c r="E19718" s="2" t="str">
        <f>HYPERLINK("http://ts.21cn.com/tousu/show/id/1351703","http://ts.21cn.com/tousu/show/id/1351703")</f>
        <v>http://ts.21cn.com/tousu/show/id/1351703</v>
      </c>
      <c r="F19718" s="2" t="s">
        <v>11</v>
      </c>
      <c r="G19718" s="2" t="s">
        <v>5394</v>
      </c>
      <c r="H19718" s="2" t="s">
        <v>5395</v>
      </c>
    </row>
    <row r="19719" spans="1:8" ht="25.05" customHeight="1" x14ac:dyDescent="0.25">
      <c r="A19719" s="2" t="s">
        <v>8</v>
      </c>
      <c r="B19719" s="2" t="str">
        <f>HYPERLINK("http://ts.21cn.com/tousu/show/id/1351704","平安普惠i贷恶意催收")</f>
        <v>平安普惠i贷恶意催收</v>
      </c>
      <c r="C19719" s="2" t="s">
        <v>9</v>
      </c>
      <c r="D19719" s="2" t="s">
        <v>10</v>
      </c>
      <c r="E19719" s="2" t="str">
        <f>HYPERLINK("http://ts.21cn.com/tousu/show/id/1351704","http://ts.21cn.com/tousu/show/id/1351704")</f>
        <v>http://ts.21cn.com/tousu/show/id/1351704</v>
      </c>
      <c r="F19719" s="2" t="s">
        <v>11</v>
      </c>
      <c r="G19719" s="2" t="s">
        <v>5392</v>
      </c>
      <c r="H19719" s="2" t="s">
        <v>5393</v>
      </c>
    </row>
    <row r="19720" spans="1:8" ht="25.05" customHeight="1" x14ac:dyDescent="0.25">
      <c r="A19720" s="2" t="s">
        <v>8</v>
      </c>
      <c r="B19720" s="2" t="str">
        <f>HYPERLINK("http://ts.21cn.com/tousu/show/id/1351705","租车押金不退")</f>
        <v>租车押金不退</v>
      </c>
      <c r="C19720" s="2" t="s">
        <v>9</v>
      </c>
      <c r="D19720" s="2" t="s">
        <v>10</v>
      </c>
      <c r="E19720" s="2" t="str">
        <f>HYPERLINK("http://ts.21cn.com/tousu/show/id/1351705","http://ts.21cn.com/tousu/show/id/1351705")</f>
        <v>http://ts.21cn.com/tousu/show/id/1351705</v>
      </c>
      <c r="F19720" s="2" t="s">
        <v>11</v>
      </c>
      <c r="G19720" s="2" t="s">
        <v>5390</v>
      </c>
      <c r="H19720" s="2" t="s">
        <v>5391</v>
      </c>
    </row>
    <row r="19721" spans="1:8" ht="25.05" customHeight="1" x14ac:dyDescent="0.25">
      <c r="A19721" s="2" t="s">
        <v>8</v>
      </c>
      <c r="B19721" s="2" t="str">
        <f>HYPERLINK("http://ts.21cn.com/tousu/show/id/1351706","鑫时贷砍头息，")</f>
        <v>鑫时贷砍头息，</v>
      </c>
      <c r="C19721" s="2" t="s">
        <v>9</v>
      </c>
      <c r="D19721" s="2" t="s">
        <v>10</v>
      </c>
      <c r="E19721" s="2" t="str">
        <f>HYPERLINK("http://ts.21cn.com/tousu/show/id/1351706","http://ts.21cn.com/tousu/show/id/1351706")</f>
        <v>http://ts.21cn.com/tousu/show/id/1351706</v>
      </c>
      <c r="F19721" s="2" t="s">
        <v>11</v>
      </c>
      <c r="G19721" s="2" t="s">
        <v>5388</v>
      </c>
      <c r="H19721" s="2" t="s">
        <v>5389</v>
      </c>
    </row>
    <row r="19722" spans="1:8" ht="25.05" customHeight="1" x14ac:dyDescent="0.25">
      <c r="A19722" s="2" t="s">
        <v>8</v>
      </c>
      <c r="B19722" s="2" t="str">
        <f>HYPERLINK("http://ts.21cn.com/tousu/show/id/1351707","众享云店下线人员借加油优惠捆绑销售360元店主门槛费且拒不退费。")</f>
        <v>众享云店下线人员借加油优惠捆绑销售360元店主门槛费且拒不退费。</v>
      </c>
      <c r="C19722" s="2" t="s">
        <v>9</v>
      </c>
      <c r="D19722" s="2" t="s">
        <v>10</v>
      </c>
      <c r="E19722" s="2" t="str">
        <f>HYPERLINK("http://ts.21cn.com/tousu/show/id/1351707","http://ts.21cn.com/tousu/show/id/1351707")</f>
        <v>http://ts.21cn.com/tousu/show/id/1351707</v>
      </c>
      <c r="F19722" s="2" t="s">
        <v>11</v>
      </c>
      <c r="G19722" s="2" t="s">
        <v>5386</v>
      </c>
      <c r="H19722" s="2" t="s">
        <v>5387</v>
      </c>
    </row>
    <row r="19723" spans="1:8" ht="25.05" customHeight="1" x14ac:dyDescent="0.25">
      <c r="A19723" s="2" t="s">
        <v>8</v>
      </c>
      <c r="B19723" s="2" t="str">
        <f>HYPERLINK("http://ts.21cn.com/tousu/show/id/1351710","平安银行信用卡暴力催收")</f>
        <v>平安银行信用卡暴力催收</v>
      </c>
      <c r="C19723" s="2" t="s">
        <v>9</v>
      </c>
      <c r="D19723" s="2" t="s">
        <v>10</v>
      </c>
      <c r="E19723" s="2" t="str">
        <f>HYPERLINK("http://ts.21cn.com/tousu/show/id/1351710","http://ts.21cn.com/tousu/show/id/1351710")</f>
        <v>http://ts.21cn.com/tousu/show/id/1351710</v>
      </c>
      <c r="F19723" s="2" t="s">
        <v>11</v>
      </c>
      <c r="G19723" s="2" t="s">
        <v>5384</v>
      </c>
      <c r="H19723" s="2" t="s">
        <v>5385</v>
      </c>
    </row>
    <row r="19724" spans="1:8" ht="25.05" customHeight="1" x14ac:dyDescent="0.25">
      <c r="A19724" s="2" t="s">
        <v>8</v>
      </c>
      <c r="B19724" s="2" t="str">
        <f>HYPERLINK("http://ts.21cn.com/tousu/show/id/1351708","钱没了")</f>
        <v>钱没了</v>
      </c>
      <c r="C19724" s="2" t="s">
        <v>34</v>
      </c>
      <c r="D19724" s="2" t="s">
        <v>10</v>
      </c>
      <c r="E19724" s="2" t="str">
        <f>HYPERLINK("http://ts.21cn.com/tousu/show/id/1351708","http://ts.21cn.com/tousu/show/id/1351708")</f>
        <v>http://ts.21cn.com/tousu/show/id/1351708</v>
      </c>
      <c r="F19724" s="2" t="s">
        <v>11</v>
      </c>
      <c r="G19724" s="2" t="s">
        <v>5382</v>
      </c>
      <c r="H19724" s="2" t="s">
        <v>5383</v>
      </c>
    </row>
    <row r="19725" spans="1:8" ht="25.05" customHeight="1" x14ac:dyDescent="0.25">
      <c r="A19725" s="2" t="s">
        <v>8</v>
      </c>
      <c r="B19725" s="2" t="str">
        <f>HYPERLINK("http://ts.21cn.com/tousu/show/id/1351711","投诉网贷平台")</f>
        <v>投诉网贷平台</v>
      </c>
      <c r="C19725" s="2" t="s">
        <v>9</v>
      </c>
      <c r="D19725" s="2" t="s">
        <v>10</v>
      </c>
      <c r="E19725" s="2" t="str">
        <f>HYPERLINK("http://ts.21cn.com/tousu/show/id/1351711","http://ts.21cn.com/tousu/show/id/1351711")</f>
        <v>http://ts.21cn.com/tousu/show/id/1351711</v>
      </c>
      <c r="F19725" s="2" t="s">
        <v>11</v>
      </c>
      <c r="G19725" s="2" t="s">
        <v>5380</v>
      </c>
      <c r="H19725" s="2" t="s">
        <v>5381</v>
      </c>
    </row>
    <row r="19726" spans="1:8" ht="25.05" customHeight="1" x14ac:dyDescent="0.25">
      <c r="A19726" s="2" t="s">
        <v>8</v>
      </c>
      <c r="B19726" s="2" t="str">
        <f>HYPERLINK("http://ts.21cn.com/tousu/show/id/1351712","砍头息，无法还款。")</f>
        <v>砍头息，无法还款。</v>
      </c>
      <c r="C19726" s="2" t="s">
        <v>9</v>
      </c>
      <c r="D19726" s="2" t="s">
        <v>10</v>
      </c>
      <c r="E19726" s="2" t="str">
        <f>HYPERLINK("http://ts.21cn.com/tousu/show/id/1351712","http://ts.21cn.com/tousu/show/id/1351712")</f>
        <v>http://ts.21cn.com/tousu/show/id/1351712</v>
      </c>
      <c r="F19726" s="2" t="s">
        <v>11</v>
      </c>
      <c r="G19726" s="2" t="s">
        <v>5378</v>
      </c>
      <c r="H19726" s="2" t="s">
        <v>5379</v>
      </c>
    </row>
    <row r="19727" spans="1:8" ht="25.05" customHeight="1" x14ac:dyDescent="0.25">
      <c r="A19727" s="2" t="s">
        <v>8</v>
      </c>
      <c r="B19727" s="2" t="str">
        <f>HYPERLINK("http://ts.21cn.com/tousu/show/id/1351713","苏宁金融收砍头利息并写阴阳合同年化利率超标")</f>
        <v>苏宁金融收砍头利息并写阴阳合同年化利率超标</v>
      </c>
      <c r="C19727" s="2" t="s">
        <v>9</v>
      </c>
      <c r="D19727" s="2" t="s">
        <v>10</v>
      </c>
      <c r="E19727" s="2" t="str">
        <f>HYPERLINK("http://ts.21cn.com/tousu/show/id/1351713","http://ts.21cn.com/tousu/show/id/1351713")</f>
        <v>http://ts.21cn.com/tousu/show/id/1351713</v>
      </c>
      <c r="F19727" s="2" t="s">
        <v>11</v>
      </c>
      <c r="G19727" s="2" t="s">
        <v>5376</v>
      </c>
      <c r="H19727" s="2" t="s">
        <v>5377</v>
      </c>
    </row>
    <row r="19728" spans="1:8" ht="25.05" customHeight="1" x14ac:dyDescent="0.25">
      <c r="A19728" s="2" t="s">
        <v>8</v>
      </c>
      <c r="B19728" s="2" t="str">
        <f>HYPERLINK("http://ts.21cn.com/tousu/show/id/1351714","安逸花恶意扣取用户资金")</f>
        <v>安逸花恶意扣取用户资金</v>
      </c>
      <c r="C19728" s="2" t="s">
        <v>9</v>
      </c>
      <c r="D19728" s="2" t="s">
        <v>10</v>
      </c>
      <c r="E19728" s="2" t="str">
        <f>HYPERLINK("http://ts.21cn.com/tousu/show/id/1351714","http://ts.21cn.com/tousu/show/id/1351714")</f>
        <v>http://ts.21cn.com/tousu/show/id/1351714</v>
      </c>
      <c r="F19728" s="2" t="s">
        <v>11</v>
      </c>
      <c r="G19728" s="2" t="s">
        <v>5374</v>
      </c>
      <c r="H19728" s="2" t="s">
        <v>5375</v>
      </c>
    </row>
    <row r="19729" spans="1:8" ht="25.05" customHeight="1" x14ac:dyDescent="0.25">
      <c r="A19729" s="2" t="s">
        <v>8</v>
      </c>
      <c r="B19729" s="2" t="str">
        <f>HYPERLINK("http://ts.21cn.com/tousu/show/id/1351719","充值了转换视频失败")</f>
        <v>充值了转换视频失败</v>
      </c>
      <c r="C19729" s="2" t="s">
        <v>9</v>
      </c>
      <c r="D19729" s="2" t="s">
        <v>10</v>
      </c>
      <c r="E19729" s="2" t="str">
        <f>HYPERLINK("http://ts.21cn.com/tousu/show/id/1351719","http://ts.21cn.com/tousu/show/id/1351719")</f>
        <v>http://ts.21cn.com/tousu/show/id/1351719</v>
      </c>
      <c r="F19729" s="2" t="s">
        <v>11</v>
      </c>
      <c r="G19729" s="2" t="s">
        <v>5372</v>
      </c>
      <c r="H19729" s="2" t="s">
        <v>5373</v>
      </c>
    </row>
    <row r="19730" spans="1:8" ht="25.05" customHeight="1" x14ac:dyDescent="0.25">
      <c r="A19730" s="2" t="s">
        <v>8</v>
      </c>
      <c r="B19730" s="2" t="str">
        <f>HYPERLINK("http://ts.21cn.com/tousu/show/id/1351720","强制分期，利息高")</f>
        <v>强制分期，利息高</v>
      </c>
      <c r="C19730" s="2" t="s">
        <v>9</v>
      </c>
      <c r="D19730" s="2" t="s">
        <v>10</v>
      </c>
      <c r="E19730" s="2" t="str">
        <f>HYPERLINK("http://ts.21cn.com/tousu/show/id/1351720","http://ts.21cn.com/tousu/show/id/1351720")</f>
        <v>http://ts.21cn.com/tousu/show/id/1351720</v>
      </c>
      <c r="F19730" s="2" t="s">
        <v>11</v>
      </c>
      <c r="G19730" s="2" t="s">
        <v>5370</v>
      </c>
      <c r="H19730" s="2" t="s">
        <v>5371</v>
      </c>
    </row>
    <row r="19731" spans="1:8" ht="25.05" customHeight="1" x14ac:dyDescent="0.25">
      <c r="A19731" s="2" t="s">
        <v>8</v>
      </c>
      <c r="B19731" s="2" t="str">
        <f>HYPERLINK("http://ts.21cn.com/tousu/show/id/1351722","期贷砍头息贷款")</f>
        <v>期贷砍头息贷款</v>
      </c>
      <c r="C19731" s="2" t="s">
        <v>9</v>
      </c>
      <c r="D19731" s="2" t="s">
        <v>10</v>
      </c>
      <c r="E19731" s="2" t="str">
        <f>HYPERLINK("http://ts.21cn.com/tousu/show/id/1351722","http://ts.21cn.com/tousu/show/id/1351722")</f>
        <v>http://ts.21cn.com/tousu/show/id/1351722</v>
      </c>
      <c r="F19731" s="2" t="s">
        <v>11</v>
      </c>
      <c r="G19731" s="2" t="s">
        <v>5368</v>
      </c>
      <c r="H19731" s="2" t="s">
        <v>5369</v>
      </c>
    </row>
    <row r="19732" spans="1:8" ht="25.05" customHeight="1" x14ac:dyDescent="0.25">
      <c r="A19732" s="2" t="s">
        <v>8</v>
      </c>
      <c r="B19732" s="2" t="str">
        <f>HYPERLINK("http://ts.21cn.com/tousu/show/id/1351675","钱站客服失信")</f>
        <v>钱站客服失信</v>
      </c>
      <c r="C19732" s="2" t="s">
        <v>9</v>
      </c>
      <c r="D19732" s="2" t="s">
        <v>10</v>
      </c>
      <c r="E19732" s="2" t="str">
        <f>HYPERLINK("http://ts.21cn.com/tousu/show/id/1351675","http://ts.21cn.com/tousu/show/id/1351675")</f>
        <v>http://ts.21cn.com/tousu/show/id/1351675</v>
      </c>
      <c r="F19732" s="2" t="s">
        <v>11</v>
      </c>
      <c r="G19732" s="2" t="s">
        <v>5366</v>
      </c>
      <c r="H19732" s="2" t="s">
        <v>5367</v>
      </c>
    </row>
    <row r="19733" spans="1:8" ht="25.05" customHeight="1" x14ac:dyDescent="0.25">
      <c r="A19733" s="2" t="s">
        <v>8</v>
      </c>
      <c r="B19733" s="2" t="str">
        <f>HYPERLINK("http://ts.21cn.com/tousu/show/id/1351724","你我贷暴力催收")</f>
        <v>你我贷暴力催收</v>
      </c>
      <c r="C19733" s="2" t="s">
        <v>9</v>
      </c>
      <c r="D19733" s="2" t="s">
        <v>10</v>
      </c>
      <c r="E19733" s="2" t="str">
        <f>HYPERLINK("http://ts.21cn.com/tousu/show/id/1351724","http://ts.21cn.com/tousu/show/id/1351724")</f>
        <v>http://ts.21cn.com/tousu/show/id/1351724</v>
      </c>
      <c r="F19733" s="2" t="s">
        <v>11</v>
      </c>
      <c r="G19733" s="2" t="s">
        <v>5364</v>
      </c>
      <c r="H19733" s="2" t="s">
        <v>5365</v>
      </c>
    </row>
    <row r="19734" spans="1:8" ht="25.05" customHeight="1" x14ac:dyDescent="0.25">
      <c r="A19734" s="2" t="s">
        <v>8</v>
      </c>
      <c r="B19734" s="2" t="str">
        <f>HYPERLINK("http://ts.21cn.com/tousu/show/id/1351725","智行购票多收50改签收取40")</f>
        <v>智行购票多收50改签收取40</v>
      </c>
      <c r="C19734" s="2" t="s">
        <v>9</v>
      </c>
      <c r="D19734" s="2" t="s">
        <v>10</v>
      </c>
      <c r="E19734" s="2" t="str">
        <f>HYPERLINK("http://ts.21cn.com/tousu/show/id/1351725","http://ts.21cn.com/tousu/show/id/1351725")</f>
        <v>http://ts.21cn.com/tousu/show/id/1351725</v>
      </c>
      <c r="F19734" s="2" t="s">
        <v>11</v>
      </c>
      <c r="G19734" s="2" t="s">
        <v>5362</v>
      </c>
      <c r="H19734" s="2" t="s">
        <v>5363</v>
      </c>
    </row>
    <row r="19735" spans="1:8" ht="25.05" customHeight="1" x14ac:dyDescent="0.25">
      <c r="A19735" s="2" t="s">
        <v>8</v>
      </c>
      <c r="B19735" s="2" t="str">
        <f>HYPERLINK("http://ts.21cn.com/tousu/show/id/1351728","成都安睿旺蜀信科技有限公司无故扣了198元")</f>
        <v>成都安睿旺蜀信科技有限公司无故扣了198元</v>
      </c>
      <c r="C19735" s="2" t="s">
        <v>9</v>
      </c>
      <c r="D19735" s="2" t="s">
        <v>10</v>
      </c>
      <c r="E19735" s="2" t="str">
        <f>HYPERLINK("http://ts.21cn.com/tousu/show/id/1351728","http://ts.21cn.com/tousu/show/id/1351728")</f>
        <v>http://ts.21cn.com/tousu/show/id/1351728</v>
      </c>
      <c r="F19735" s="2" t="s">
        <v>11</v>
      </c>
      <c r="G19735" s="2" t="s">
        <v>5360</v>
      </c>
      <c r="H19735" s="2" t="s">
        <v>5361</v>
      </c>
    </row>
    <row r="19736" spans="1:8" ht="25.05" customHeight="1" x14ac:dyDescent="0.25">
      <c r="A19736" s="2" t="s">
        <v>8</v>
      </c>
      <c r="B19736" s="2" t="str">
        <f>HYPERLINK("http://ts.21cn.com/tousu/show/id/1351730","投诉高息网贷")</f>
        <v>投诉高息网贷</v>
      </c>
      <c r="C19736" s="2" t="s">
        <v>9</v>
      </c>
      <c r="D19736" s="2" t="s">
        <v>10</v>
      </c>
      <c r="E19736" s="2" t="str">
        <f>HYPERLINK("http://ts.21cn.com/tousu/show/id/1351730","http://ts.21cn.com/tousu/show/id/1351730")</f>
        <v>http://ts.21cn.com/tousu/show/id/1351730</v>
      </c>
      <c r="F19736" s="2" t="s">
        <v>11</v>
      </c>
      <c r="G19736" s="2" t="s">
        <v>5358</v>
      </c>
      <c r="H19736" s="2" t="s">
        <v>5359</v>
      </c>
    </row>
    <row r="19737" spans="1:8" ht="25.05" customHeight="1" x14ac:dyDescent="0.25">
      <c r="A19737" s="2" t="s">
        <v>8</v>
      </c>
      <c r="B19737" s="2" t="str">
        <f>HYPERLINK("http://ts.21cn.com/tousu/show/id/1351731","轻周转高利贷")</f>
        <v>轻周转高利贷</v>
      </c>
      <c r="C19737" s="2" t="s">
        <v>9</v>
      </c>
      <c r="D19737" s="2" t="s">
        <v>10</v>
      </c>
      <c r="E19737" s="2" t="str">
        <f>HYPERLINK("http://ts.21cn.com/tousu/show/id/1351731","http://ts.21cn.com/tousu/show/id/1351731")</f>
        <v>http://ts.21cn.com/tousu/show/id/1351731</v>
      </c>
      <c r="F19737" s="2" t="s">
        <v>11</v>
      </c>
      <c r="G19737" s="2" t="s">
        <v>5356</v>
      </c>
      <c r="H19737" s="2" t="s">
        <v>5357</v>
      </c>
    </row>
    <row r="19738" spans="1:8" ht="25.05" customHeight="1" x14ac:dyDescent="0.25">
      <c r="A19738" s="2" t="s">
        <v>8</v>
      </c>
      <c r="B19738" s="2" t="str">
        <f>HYPERLINK("http://ts.21cn.com/tousu/show/id/1351732","小花钱包暴力催收编造恐吓家人")</f>
        <v>小花钱包暴力催收编造恐吓家人</v>
      </c>
      <c r="C19738" s="2" t="s">
        <v>9</v>
      </c>
      <c r="D19738" s="2" t="s">
        <v>10</v>
      </c>
      <c r="E19738" s="2" t="str">
        <f>HYPERLINK("http://ts.21cn.com/tousu/show/id/1351732","http://ts.21cn.com/tousu/show/id/1351732")</f>
        <v>http://ts.21cn.com/tousu/show/id/1351732</v>
      </c>
      <c r="F19738" s="2" t="s">
        <v>11</v>
      </c>
      <c r="G19738" s="2" t="s">
        <v>5354</v>
      </c>
      <c r="H19738" s="2" t="s">
        <v>5355</v>
      </c>
    </row>
    <row r="19739" spans="1:8" ht="25.05" customHeight="1" x14ac:dyDescent="0.25">
      <c r="A19739" s="2" t="s">
        <v>8</v>
      </c>
      <c r="B19739" s="2" t="str">
        <f>HYPERLINK("http://ts.21cn.com/tousu/show/id/1351733","信用检测")</f>
        <v>信用检测</v>
      </c>
      <c r="C19739" s="2" t="s">
        <v>9</v>
      </c>
      <c r="D19739" s="2" t="s">
        <v>10</v>
      </c>
      <c r="E19739" s="2" t="str">
        <f>HYPERLINK("http://ts.21cn.com/tousu/show/id/1351733","http://ts.21cn.com/tousu/show/id/1351733")</f>
        <v>http://ts.21cn.com/tousu/show/id/1351733</v>
      </c>
      <c r="F19739" s="2" t="s">
        <v>11</v>
      </c>
      <c r="G19739" s="2" t="s">
        <v>5352</v>
      </c>
      <c r="H19739" s="2" t="s">
        <v>5353</v>
      </c>
    </row>
    <row r="19740" spans="1:8" ht="25.05" customHeight="1" x14ac:dyDescent="0.25">
      <c r="A19740" s="2" t="s">
        <v>8</v>
      </c>
      <c r="B19740" s="2" t="str">
        <f>HYPERLINK("http://ts.21cn.com/tousu/show/id/1351734","读秒")</f>
        <v>读秒</v>
      </c>
      <c r="C19740" s="2" t="s">
        <v>9</v>
      </c>
      <c r="D19740" s="2" t="s">
        <v>10</v>
      </c>
      <c r="E19740" s="2" t="str">
        <f>HYPERLINK("http://ts.21cn.com/tousu/show/id/1351734","http://ts.21cn.com/tousu/show/id/1351734")</f>
        <v>http://ts.21cn.com/tousu/show/id/1351734</v>
      </c>
      <c r="F19740" s="2" t="s">
        <v>11</v>
      </c>
      <c r="G19740" s="2" t="s">
        <v>5350</v>
      </c>
      <c r="H19740" s="2" t="s">
        <v>5351</v>
      </c>
    </row>
    <row r="19741" spans="1:8" ht="25.05" customHeight="1" x14ac:dyDescent="0.25">
      <c r="A19741" s="2" t="s">
        <v>8</v>
      </c>
      <c r="B19741" s="2" t="str">
        <f>HYPERLINK("http://ts.21cn.com/tousu/show/id/1351737","淘集集")</f>
        <v>淘集集</v>
      </c>
      <c r="C19741" s="2" t="s">
        <v>34</v>
      </c>
      <c r="D19741" s="2" t="s">
        <v>10</v>
      </c>
      <c r="E19741" s="2" t="str">
        <f>HYPERLINK("http://ts.21cn.com/tousu/show/id/1351737","http://ts.21cn.com/tousu/show/id/1351737")</f>
        <v>http://ts.21cn.com/tousu/show/id/1351737</v>
      </c>
      <c r="F19741" s="2" t="s">
        <v>11</v>
      </c>
      <c r="G19741" s="2" t="s">
        <v>5348</v>
      </c>
      <c r="H19741" s="2" t="s">
        <v>5349</v>
      </c>
    </row>
    <row r="19742" spans="1:8" ht="25.05" customHeight="1" x14ac:dyDescent="0.25">
      <c r="A19742" s="2" t="s">
        <v>8</v>
      </c>
      <c r="B19742" s="2" t="str">
        <f>HYPERLINK("http://ts.21cn.com/tousu/show/id/1351717","尚德虚假宣传，入学一天半拒绝我退学")</f>
        <v>尚德虚假宣传，入学一天半拒绝我退学</v>
      </c>
      <c r="C19742" s="2" t="s">
        <v>9</v>
      </c>
      <c r="D19742" s="2" t="s">
        <v>10</v>
      </c>
      <c r="E19742" s="2" t="str">
        <f>HYPERLINK("http://ts.21cn.com/tousu/show/id/1351717","http://ts.21cn.com/tousu/show/id/1351717")</f>
        <v>http://ts.21cn.com/tousu/show/id/1351717</v>
      </c>
      <c r="F19742" s="2" t="s">
        <v>11</v>
      </c>
      <c r="G19742" s="2" t="s">
        <v>5346</v>
      </c>
      <c r="H19742" s="2" t="s">
        <v>5347</v>
      </c>
    </row>
    <row r="19743" spans="1:8" ht="25.05" customHeight="1" x14ac:dyDescent="0.25">
      <c r="A19743" s="2" t="s">
        <v>8</v>
      </c>
      <c r="B19743" s="2" t="str">
        <f>HYPERLINK("http://ts.21cn.com/tousu/show/id/1351641","银行卡被盗刷")</f>
        <v>银行卡被盗刷</v>
      </c>
      <c r="C19743" s="2" t="s">
        <v>9</v>
      </c>
      <c r="D19743" s="2" t="s">
        <v>10</v>
      </c>
      <c r="E19743" s="2" t="str">
        <f>HYPERLINK("http://ts.21cn.com/tousu/show/id/1351641","http://ts.21cn.com/tousu/show/id/1351641")</f>
        <v>http://ts.21cn.com/tousu/show/id/1351641</v>
      </c>
      <c r="F19743" s="2" t="s">
        <v>11</v>
      </c>
      <c r="G19743" s="2" t="s">
        <v>5344</v>
      </c>
      <c r="H19743" s="2" t="s">
        <v>5345</v>
      </c>
    </row>
    <row r="19744" spans="1:8" ht="25.05" customHeight="1" x14ac:dyDescent="0.25">
      <c r="A19744" s="2" t="s">
        <v>8</v>
      </c>
      <c r="B19744" s="2" t="str">
        <f>HYPERLINK("http://ts.21cn.com/tousu/show/id/1351735","借贷宝出借人宋宝霞恶意违规操作")</f>
        <v>借贷宝出借人宋宝霞恶意违规操作</v>
      </c>
      <c r="C19744" s="2" t="s">
        <v>9</v>
      </c>
      <c r="D19744" s="2" t="s">
        <v>10</v>
      </c>
      <c r="E19744" s="2" t="str">
        <f>HYPERLINK("http://ts.21cn.com/tousu/show/id/1351735","http://ts.21cn.com/tousu/show/id/1351735")</f>
        <v>http://ts.21cn.com/tousu/show/id/1351735</v>
      </c>
      <c r="F19744" s="2" t="s">
        <v>11</v>
      </c>
      <c r="G19744" s="2" t="s">
        <v>5342</v>
      </c>
      <c r="H19744" s="2" t="s">
        <v>5343</v>
      </c>
    </row>
    <row r="19745" spans="1:8" ht="25.05" customHeight="1" x14ac:dyDescent="0.25">
      <c r="A19745" s="2" t="s">
        <v>8</v>
      </c>
      <c r="B19745" s="2" t="str">
        <f>HYPERLINK("http://ts.21cn.com/tousu/show/id/1351738","处处app强迫消费")</f>
        <v>处处app强迫消费</v>
      </c>
      <c r="C19745" s="2" t="s">
        <v>9</v>
      </c>
      <c r="D19745" s="2" t="s">
        <v>10</v>
      </c>
      <c r="E19745" s="2" t="str">
        <f>HYPERLINK("http://ts.21cn.com/tousu/show/id/1351738","http://ts.21cn.com/tousu/show/id/1351738")</f>
        <v>http://ts.21cn.com/tousu/show/id/1351738</v>
      </c>
      <c r="F19745" s="2" t="s">
        <v>11</v>
      </c>
      <c r="G19745" s="2" t="s">
        <v>5340</v>
      </c>
      <c r="H19745" s="2" t="s">
        <v>5341</v>
      </c>
    </row>
    <row r="19746" spans="1:8" ht="25.05" customHeight="1" x14ac:dyDescent="0.25">
      <c r="A19746" s="2" t="s">
        <v>8</v>
      </c>
      <c r="B19746" s="2" t="str">
        <f>HYPERLINK("http://ts.21cn.com/tousu/show/id/1351739","代练通一直审核不通过")</f>
        <v>代练通一直审核不通过</v>
      </c>
      <c r="C19746" s="2" t="s">
        <v>34</v>
      </c>
      <c r="D19746" s="2" t="s">
        <v>10</v>
      </c>
      <c r="E19746" s="2" t="str">
        <f>HYPERLINK("http://ts.21cn.com/tousu/show/id/1351739","http://ts.21cn.com/tousu/show/id/1351739")</f>
        <v>http://ts.21cn.com/tousu/show/id/1351739</v>
      </c>
      <c r="F19746" s="2" t="s">
        <v>11</v>
      </c>
      <c r="G19746" s="2" t="s">
        <v>5338</v>
      </c>
      <c r="H19746" s="2" t="s">
        <v>5339</v>
      </c>
    </row>
    <row r="19747" spans="1:8" ht="25.05" customHeight="1" x14ac:dyDescent="0.25">
      <c r="A19747" s="2" t="s">
        <v>8</v>
      </c>
      <c r="B19747" s="2" t="str">
        <f>HYPERLINK("http://ts.21cn.com/tousu/show/id/1351726","智远兄弟传媒")</f>
        <v>智远兄弟传媒</v>
      </c>
      <c r="C19747" s="2" t="s">
        <v>9</v>
      </c>
      <c r="D19747" s="2" t="s">
        <v>10</v>
      </c>
      <c r="E19747" s="2" t="str">
        <f>HYPERLINK("http://ts.21cn.com/tousu/show/id/1351726","http://ts.21cn.com/tousu/show/id/1351726")</f>
        <v>http://ts.21cn.com/tousu/show/id/1351726</v>
      </c>
      <c r="F19747" s="2" t="s">
        <v>11</v>
      </c>
      <c r="G19747" s="2" t="s">
        <v>5337</v>
      </c>
      <c r="H19747" s="2" t="s">
        <v>5307</v>
      </c>
    </row>
    <row r="19748" spans="1:8" ht="25.05" customHeight="1" x14ac:dyDescent="0.25">
      <c r="A19748" s="2" t="s">
        <v>8</v>
      </c>
      <c r="B19748" s="2" t="str">
        <f>HYPERLINK("http://ts.21cn.com/tousu/show/id/1351741","钱水艇未经过同意从银行卡扣钱")</f>
        <v>钱水艇未经过同意从银行卡扣钱</v>
      </c>
      <c r="C19748" s="2" t="s">
        <v>9</v>
      </c>
      <c r="D19748" s="2" t="s">
        <v>10</v>
      </c>
      <c r="E19748" s="2" t="str">
        <f>HYPERLINK("http://ts.21cn.com/tousu/show/id/1351741","http://ts.21cn.com/tousu/show/id/1351741")</f>
        <v>http://ts.21cn.com/tousu/show/id/1351741</v>
      </c>
      <c r="F19748" s="2" t="s">
        <v>11</v>
      </c>
      <c r="G19748" s="2" t="s">
        <v>5335</v>
      </c>
      <c r="H19748" s="2" t="s">
        <v>5336</v>
      </c>
    </row>
    <row r="19749" spans="1:8" ht="25.05" customHeight="1" x14ac:dyDescent="0.25">
      <c r="A19749" s="2" t="s">
        <v>8</v>
      </c>
      <c r="B19749" s="2" t="str">
        <f>HYPERLINK("http://ts.21cn.com/tousu/show/id/1351742","骚扰亲朋好友")</f>
        <v>骚扰亲朋好友</v>
      </c>
      <c r="C19749" s="2" t="s">
        <v>9</v>
      </c>
      <c r="D19749" s="2" t="s">
        <v>10</v>
      </c>
      <c r="E19749" s="2" t="str">
        <f>HYPERLINK("http://ts.21cn.com/tousu/show/id/1351742","http://ts.21cn.com/tousu/show/id/1351742")</f>
        <v>http://ts.21cn.com/tousu/show/id/1351742</v>
      </c>
      <c r="F19749" s="2" t="s">
        <v>11</v>
      </c>
      <c r="G19749" s="2" t="s">
        <v>5333</v>
      </c>
      <c r="H19749" s="2" t="s">
        <v>5334</v>
      </c>
    </row>
    <row r="19750" spans="1:8" ht="25.05" customHeight="1" x14ac:dyDescent="0.25">
      <c r="A19750" s="2" t="s">
        <v>8</v>
      </c>
      <c r="B19750" s="2" t="str">
        <f>HYPERLINK("http://ts.21cn.com/tousu/show/id/1351740","开通支付宝免密支付后未告知付款金额自动扣费")</f>
        <v>开通支付宝免密支付后未告知付款金额自动扣费</v>
      </c>
      <c r="C19750" s="2" t="s">
        <v>9</v>
      </c>
      <c r="D19750" s="2" t="s">
        <v>10</v>
      </c>
      <c r="E19750" s="2" t="str">
        <f>HYPERLINK("http://ts.21cn.com/tousu/show/id/1351740","http://ts.21cn.com/tousu/show/id/1351740")</f>
        <v>http://ts.21cn.com/tousu/show/id/1351740</v>
      </c>
      <c r="F19750" s="2" t="s">
        <v>11</v>
      </c>
      <c r="G19750" s="2" t="s">
        <v>5331</v>
      </c>
      <c r="H19750" s="2" t="s">
        <v>5332</v>
      </c>
    </row>
    <row r="19751" spans="1:8" ht="25.05" customHeight="1" x14ac:dyDescent="0.25">
      <c r="A19751" s="2" t="s">
        <v>8</v>
      </c>
      <c r="B19751" s="2" t="str">
        <f>HYPERLINK("http://ts.21cn.com/tousu/show/id/1351743","信用钱包")</f>
        <v>信用钱包</v>
      </c>
      <c r="C19751" s="2" t="s">
        <v>9</v>
      </c>
      <c r="D19751" s="2" t="s">
        <v>10</v>
      </c>
      <c r="E19751" s="2" t="str">
        <f>HYPERLINK("http://ts.21cn.com/tousu/show/id/1351743","http://ts.21cn.com/tousu/show/id/1351743")</f>
        <v>http://ts.21cn.com/tousu/show/id/1351743</v>
      </c>
      <c r="F19751" s="2" t="s">
        <v>11</v>
      </c>
      <c r="G19751" s="2" t="s">
        <v>5329</v>
      </c>
      <c r="H19751" s="2" t="s">
        <v>5330</v>
      </c>
    </row>
    <row r="19752" spans="1:8" ht="25.05" customHeight="1" x14ac:dyDescent="0.25">
      <c r="A19752" s="2" t="s">
        <v>8</v>
      </c>
      <c r="B19752" s="2" t="str">
        <f>HYPERLINK("http://ts.21cn.com/tousu/show/id/1351744","交通银行信用卡2990元，现在利息加到2万多了！")</f>
        <v>交通银行信用卡2990元，现在利息加到2万多了！</v>
      </c>
      <c r="C19752" s="2" t="s">
        <v>9</v>
      </c>
      <c r="D19752" s="2" t="s">
        <v>10</v>
      </c>
      <c r="E19752" s="2" t="str">
        <f>HYPERLINK("http://ts.21cn.com/tousu/show/id/1351744","http://ts.21cn.com/tousu/show/id/1351744")</f>
        <v>http://ts.21cn.com/tousu/show/id/1351744</v>
      </c>
      <c r="F19752" s="2" t="s">
        <v>11</v>
      </c>
      <c r="G19752" s="2" t="s">
        <v>5327</v>
      </c>
      <c r="H19752" s="2" t="s">
        <v>5328</v>
      </c>
    </row>
    <row r="19753" spans="1:8" ht="25.05" customHeight="1" x14ac:dyDescent="0.25">
      <c r="A19753" s="2" t="s">
        <v>8</v>
      </c>
      <c r="B19753" s="2" t="str">
        <f>HYPERLINK("http://ts.21cn.com/tousu/show/id/1351746","玖富万卡是高利贷")</f>
        <v>玖富万卡是高利贷</v>
      </c>
      <c r="C19753" s="2" t="s">
        <v>9</v>
      </c>
      <c r="D19753" s="2" t="s">
        <v>10</v>
      </c>
      <c r="E19753" s="2" t="str">
        <f>HYPERLINK("http://ts.21cn.com/tousu/show/id/1351746","http://ts.21cn.com/tousu/show/id/1351746")</f>
        <v>http://ts.21cn.com/tousu/show/id/1351746</v>
      </c>
      <c r="F19753" s="2" t="s">
        <v>11</v>
      </c>
      <c r="G19753" s="2" t="s">
        <v>5325</v>
      </c>
      <c r="H19753" s="2" t="s">
        <v>5326</v>
      </c>
    </row>
    <row r="19754" spans="1:8" ht="25.05" customHeight="1" x14ac:dyDescent="0.25">
      <c r="A19754" s="2" t="s">
        <v>8</v>
      </c>
      <c r="B19754" s="2" t="str">
        <f>HYPERLINK("http://ts.21cn.com/tousu/show/id/1351747","王者荣耀乱扣信誉分")</f>
        <v>王者荣耀乱扣信誉分</v>
      </c>
      <c r="C19754" s="2" t="s">
        <v>9</v>
      </c>
      <c r="D19754" s="2" t="s">
        <v>10</v>
      </c>
      <c r="E19754" s="2" t="str">
        <f>HYPERLINK("http://ts.21cn.com/tousu/show/id/1351747","http://ts.21cn.com/tousu/show/id/1351747")</f>
        <v>http://ts.21cn.com/tousu/show/id/1351747</v>
      </c>
      <c r="F19754" s="2" t="s">
        <v>11</v>
      </c>
      <c r="G19754" s="2" t="s">
        <v>5323</v>
      </c>
      <c r="H19754" s="2" t="s">
        <v>5324</v>
      </c>
    </row>
    <row r="19755" spans="1:8" ht="25.05" customHeight="1" x14ac:dyDescent="0.25">
      <c r="A19755" s="2" t="s">
        <v>8</v>
      </c>
      <c r="B19755" s="2" t="str">
        <f>HYPERLINK("http://ts.21cn.com/tousu/show/id/1351748","钱站高利贷非法催收阴阳合同")</f>
        <v>钱站高利贷非法催收阴阳合同</v>
      </c>
      <c r="C19755" s="2" t="s">
        <v>9</v>
      </c>
      <c r="D19755" s="2" t="s">
        <v>10</v>
      </c>
      <c r="E19755" s="2" t="str">
        <f>HYPERLINK("http://ts.21cn.com/tousu/show/id/1351748","http://ts.21cn.com/tousu/show/id/1351748")</f>
        <v>http://ts.21cn.com/tousu/show/id/1351748</v>
      </c>
      <c r="F19755" s="2" t="s">
        <v>11</v>
      </c>
      <c r="G19755" s="2" t="s">
        <v>5321</v>
      </c>
      <c r="H19755" s="2" t="s">
        <v>5322</v>
      </c>
    </row>
    <row r="19756" spans="1:8" ht="25.05" customHeight="1" x14ac:dyDescent="0.25">
      <c r="A19756" s="2" t="s">
        <v>8</v>
      </c>
      <c r="B19756" s="2" t="str">
        <f>HYPERLINK("http://ts.21cn.com/tousu/show/id/1351749","聚富钱包恶意扣费")</f>
        <v>聚富钱包恶意扣费</v>
      </c>
      <c r="C19756" s="2" t="s">
        <v>9</v>
      </c>
      <c r="D19756" s="2" t="s">
        <v>10</v>
      </c>
      <c r="E19756" s="2" t="str">
        <f>HYPERLINK("http://ts.21cn.com/tousu/show/id/1351749","http://ts.21cn.com/tousu/show/id/1351749")</f>
        <v>http://ts.21cn.com/tousu/show/id/1351749</v>
      </c>
      <c r="F19756" s="2" t="s">
        <v>11</v>
      </c>
      <c r="G19756" s="2" t="s">
        <v>5319</v>
      </c>
      <c r="H19756" s="2" t="s">
        <v>5320</v>
      </c>
    </row>
    <row r="19757" spans="1:8" ht="25.05" customHeight="1" x14ac:dyDescent="0.25">
      <c r="A19757" s="2" t="s">
        <v>8</v>
      </c>
      <c r="B19757" s="2" t="str">
        <f>HYPERLINK("http://ts.21cn.com/tousu/show/id/1351750","投诉网贷")</f>
        <v>投诉网贷</v>
      </c>
      <c r="C19757" s="2" t="s">
        <v>9</v>
      </c>
      <c r="D19757" s="2" t="s">
        <v>10</v>
      </c>
      <c r="E19757" s="2" t="str">
        <f>HYPERLINK("http://ts.21cn.com/tousu/show/id/1351750","http://ts.21cn.com/tousu/show/id/1351750")</f>
        <v>http://ts.21cn.com/tousu/show/id/1351750</v>
      </c>
      <c r="F19757" s="2" t="s">
        <v>11</v>
      </c>
      <c r="G19757" s="2" t="s">
        <v>5317</v>
      </c>
      <c r="H19757" s="2" t="s">
        <v>5318</v>
      </c>
    </row>
    <row r="19758" spans="1:8" ht="25.05" customHeight="1" x14ac:dyDescent="0.25">
      <c r="A19758" s="2" t="s">
        <v>8</v>
      </c>
      <c r="B19758" s="2" t="str">
        <f>HYPERLINK("http://ts.21cn.com/tousu/show/id/1351751","众势，恐吓威胁")</f>
        <v>众势，恐吓威胁</v>
      </c>
      <c r="C19758" s="2" t="s">
        <v>9</v>
      </c>
      <c r="D19758" s="2" t="s">
        <v>10</v>
      </c>
      <c r="E19758" s="2" t="str">
        <f>HYPERLINK("http://ts.21cn.com/tousu/show/id/1351751","http://ts.21cn.com/tousu/show/id/1351751")</f>
        <v>http://ts.21cn.com/tousu/show/id/1351751</v>
      </c>
      <c r="F19758" s="2" t="s">
        <v>11</v>
      </c>
      <c r="G19758" s="2" t="s">
        <v>5315</v>
      </c>
      <c r="H19758" s="2" t="s">
        <v>5316</v>
      </c>
    </row>
    <row r="19759" spans="1:8" ht="25.05" customHeight="1" x14ac:dyDescent="0.25">
      <c r="A19759" s="2" t="s">
        <v>8</v>
      </c>
      <c r="B19759" s="2" t="str">
        <f>HYPERLINK("http://ts.21cn.com/tousu/show/id/1351752","捷信现金贷高利贷")</f>
        <v>捷信现金贷高利贷</v>
      </c>
      <c r="C19759" s="2" t="s">
        <v>9</v>
      </c>
      <c r="D19759" s="2" t="s">
        <v>10</v>
      </c>
      <c r="E19759" s="2" t="str">
        <f>HYPERLINK("http://ts.21cn.com/tousu/show/id/1351752","http://ts.21cn.com/tousu/show/id/1351752")</f>
        <v>http://ts.21cn.com/tousu/show/id/1351752</v>
      </c>
      <c r="F19759" s="2" t="s">
        <v>11</v>
      </c>
      <c r="G19759" s="2" t="s">
        <v>5313</v>
      </c>
      <c r="H19759" s="2" t="s">
        <v>5314</v>
      </c>
    </row>
    <row r="19760" spans="1:8" ht="25.05" customHeight="1" x14ac:dyDescent="0.25">
      <c r="A19760" s="2" t="s">
        <v>8</v>
      </c>
      <c r="B19760" s="2" t="str">
        <f>HYPERLINK("http://ts.21cn.com/tousu/show/id/1351753","怪兽充电充电五小时收费二十元")</f>
        <v>怪兽充电充电五小时收费二十元</v>
      </c>
      <c r="C19760" s="2" t="s">
        <v>34</v>
      </c>
      <c r="D19760" s="2" t="s">
        <v>10</v>
      </c>
      <c r="E19760" s="2" t="str">
        <f>HYPERLINK("http://ts.21cn.com/tousu/show/id/1351753","http://ts.21cn.com/tousu/show/id/1351753")</f>
        <v>http://ts.21cn.com/tousu/show/id/1351753</v>
      </c>
      <c r="F19760" s="2" t="s">
        <v>11</v>
      </c>
      <c r="G19760" s="2" t="s">
        <v>5311</v>
      </c>
      <c r="H19760" s="2" t="s">
        <v>5312</v>
      </c>
    </row>
    <row r="19761" spans="1:8" ht="25.05" customHeight="1" x14ac:dyDescent="0.25">
      <c r="A19761" s="2" t="s">
        <v>8</v>
      </c>
      <c r="B19761" s="2" t="str">
        <f>HYPERLINK("http://ts.21cn.com/tousu/show/id/1351754","因房贷需要来分期大额贷款不能提前结清")</f>
        <v>因房贷需要来分期大额贷款不能提前结清</v>
      </c>
      <c r="C19761" s="2" t="s">
        <v>34</v>
      </c>
      <c r="D19761" s="2" t="s">
        <v>10</v>
      </c>
      <c r="E19761" s="2" t="str">
        <f>HYPERLINK("http://ts.21cn.com/tousu/show/id/1351754","http://ts.21cn.com/tousu/show/id/1351754")</f>
        <v>http://ts.21cn.com/tousu/show/id/1351754</v>
      </c>
      <c r="F19761" s="2" t="s">
        <v>11</v>
      </c>
      <c r="G19761" s="2" t="s">
        <v>5308</v>
      </c>
      <c r="H19761" s="2" t="s">
        <v>5309</v>
      </c>
    </row>
    <row r="19762" spans="1:8" ht="25.05" customHeight="1" x14ac:dyDescent="0.25">
      <c r="A19762" s="2" t="s">
        <v>8</v>
      </c>
      <c r="B19762" s="2" t="str">
        <f>HYPERLINK("http://ts.21cn.com/tousu/show/id/1351745","车辆解籍遭遇乱收费")</f>
        <v>车辆解籍遭遇乱收费</v>
      </c>
      <c r="C19762" s="2" t="s">
        <v>9</v>
      </c>
      <c r="D19762" s="2" t="s">
        <v>10</v>
      </c>
      <c r="E19762" s="2" t="str">
        <f>HYPERLINK("http://ts.21cn.com/tousu/show/id/1351745","http://ts.21cn.com/tousu/show/id/1351745")</f>
        <v>http://ts.21cn.com/tousu/show/id/1351745</v>
      </c>
      <c r="F19762" s="2" t="s">
        <v>11</v>
      </c>
      <c r="G19762" s="2" t="s">
        <v>5308</v>
      </c>
      <c r="H19762" s="2" t="s">
        <v>5310</v>
      </c>
    </row>
    <row r="19763" spans="1:8" ht="25.05" customHeight="1" x14ac:dyDescent="0.25">
      <c r="A19763" s="2" t="s">
        <v>8</v>
      </c>
      <c r="B19763" s="2" t="str">
        <f>HYPERLINK("http://ts.21cn.com/tousu/show/id/1351755","北京智远兄弟文化传媒有限公司")</f>
        <v>北京智远兄弟文化传媒有限公司</v>
      </c>
      <c r="C19763" s="2" t="s">
        <v>9</v>
      </c>
      <c r="D19763" s="2" t="s">
        <v>10</v>
      </c>
      <c r="E19763" s="2" t="str">
        <f>HYPERLINK("http://ts.21cn.com/tousu/show/id/1351755","http://ts.21cn.com/tousu/show/id/1351755")</f>
        <v>http://ts.21cn.com/tousu/show/id/1351755</v>
      </c>
      <c r="F19763" s="2" t="s">
        <v>11</v>
      </c>
      <c r="G19763" s="2" t="s">
        <v>5306</v>
      </c>
      <c r="H19763" s="2" t="s">
        <v>5307</v>
      </c>
    </row>
    <row r="19764" spans="1:8" ht="25.05" customHeight="1" x14ac:dyDescent="0.25">
      <c r="A19764" s="2" t="s">
        <v>8</v>
      </c>
      <c r="B19764" s="2" t="str">
        <f>HYPERLINK("http://ts.21cn.com/tousu/show/id/1351756","京东白条第三方催收恐吓要求还全款霸王条款")</f>
        <v>京东白条第三方催收恐吓要求还全款霸王条款</v>
      </c>
      <c r="C19764" s="2" t="s">
        <v>9</v>
      </c>
      <c r="D19764" s="2" t="s">
        <v>10</v>
      </c>
      <c r="E19764" s="2" t="str">
        <f>HYPERLINK("http://ts.21cn.com/tousu/show/id/1351756","http://ts.21cn.com/tousu/show/id/1351756")</f>
        <v>http://ts.21cn.com/tousu/show/id/1351756</v>
      </c>
      <c r="F19764" s="2" t="s">
        <v>11</v>
      </c>
      <c r="G19764" s="2" t="s">
        <v>5304</v>
      </c>
      <c r="H19764" s="2" t="s">
        <v>5305</v>
      </c>
    </row>
    <row r="19765" spans="1:8" ht="25.05" customHeight="1" x14ac:dyDescent="0.25">
      <c r="A19765" s="2" t="s">
        <v>8</v>
      </c>
      <c r="B19765" s="2" t="str">
        <f>HYPERLINK("http://ts.21cn.com/tousu/show/id/1351757","豆豆钱")</f>
        <v>豆豆钱</v>
      </c>
      <c r="C19765" s="2" t="s">
        <v>9</v>
      </c>
      <c r="D19765" s="2" t="s">
        <v>10</v>
      </c>
      <c r="E19765" s="2" t="str">
        <f>HYPERLINK("http://ts.21cn.com/tousu/show/id/1351757","http://ts.21cn.com/tousu/show/id/1351757")</f>
        <v>http://ts.21cn.com/tousu/show/id/1351757</v>
      </c>
      <c r="F19765" s="2" t="s">
        <v>11</v>
      </c>
      <c r="G19765" s="2" t="s">
        <v>5302</v>
      </c>
      <c r="H19765" s="2" t="s">
        <v>5303</v>
      </c>
    </row>
    <row r="19766" spans="1:8" ht="25.05" customHeight="1" x14ac:dyDescent="0.25">
      <c r="A19766" s="2" t="s">
        <v>8</v>
      </c>
      <c r="B19766" s="2" t="str">
        <f>HYPERLINK("http://ts.21cn.com/tousu/show/id/1351758","你我贷向大学生放款")</f>
        <v>你我贷向大学生放款</v>
      </c>
      <c r="C19766" s="2" t="s">
        <v>9</v>
      </c>
      <c r="D19766" s="2" t="s">
        <v>10</v>
      </c>
      <c r="E19766" s="2" t="str">
        <f>HYPERLINK("http://ts.21cn.com/tousu/show/id/1351758","http://ts.21cn.com/tousu/show/id/1351758")</f>
        <v>http://ts.21cn.com/tousu/show/id/1351758</v>
      </c>
      <c r="F19766" s="2" t="s">
        <v>11</v>
      </c>
      <c r="G19766" s="2" t="s">
        <v>5300</v>
      </c>
      <c r="H19766" s="2" t="s">
        <v>5301</v>
      </c>
    </row>
    <row r="19767" spans="1:8" ht="25.05" customHeight="1" x14ac:dyDescent="0.25">
      <c r="A19767" s="2" t="s">
        <v>8</v>
      </c>
      <c r="B19767" s="2" t="str">
        <f>HYPERLINK("http://ts.21cn.com/tousu/show/id/1351759","骚扰")</f>
        <v>骚扰</v>
      </c>
      <c r="C19767" s="2" t="s">
        <v>9</v>
      </c>
      <c r="D19767" s="2" t="s">
        <v>10</v>
      </c>
      <c r="E19767" s="2" t="str">
        <f>HYPERLINK("http://ts.21cn.com/tousu/show/id/1351759","http://ts.21cn.com/tousu/show/id/1351759")</f>
        <v>http://ts.21cn.com/tousu/show/id/1351759</v>
      </c>
      <c r="F19767" s="2" t="s">
        <v>11</v>
      </c>
      <c r="G19767" s="2" t="s">
        <v>5298</v>
      </c>
      <c r="H19767" s="2" t="s">
        <v>5299</v>
      </c>
    </row>
    <row r="19768" spans="1:8" ht="25.05" customHeight="1" x14ac:dyDescent="0.25">
      <c r="A19768" s="2" t="s">
        <v>8</v>
      </c>
      <c r="B19768" s="2" t="str">
        <f>HYPERLINK("http://ts.21cn.com/tousu/show/id/1351716","小浦优客未经同意扣款")</f>
        <v>小浦优客未经同意扣款</v>
      </c>
      <c r="C19768" s="2" t="s">
        <v>34</v>
      </c>
      <c r="D19768" s="2" t="s">
        <v>10</v>
      </c>
      <c r="E19768" s="2" t="str">
        <f>HYPERLINK("http://ts.21cn.com/tousu/show/id/1351716","http://ts.21cn.com/tousu/show/id/1351716")</f>
        <v>http://ts.21cn.com/tousu/show/id/1351716</v>
      </c>
      <c r="F19768" s="2" t="s">
        <v>11</v>
      </c>
      <c r="G19768" s="2" t="s">
        <v>5296</v>
      </c>
      <c r="H19768" s="2" t="s">
        <v>5297</v>
      </c>
    </row>
    <row r="19769" spans="1:8" ht="25.05" customHeight="1" x14ac:dyDescent="0.25">
      <c r="A19769" s="2" t="s">
        <v>8</v>
      </c>
      <c r="B19769" s="2" t="str">
        <f>HYPERLINK("http://ts.21cn.com/tousu/show/id/1351760","维信卡卡贷无缘无故乱扣卡上的钱")</f>
        <v>维信卡卡贷无缘无故乱扣卡上的钱</v>
      </c>
      <c r="C19769" s="2" t="s">
        <v>9</v>
      </c>
      <c r="D19769" s="2" t="s">
        <v>10</v>
      </c>
      <c r="E19769" s="2" t="str">
        <f>HYPERLINK("http://ts.21cn.com/tousu/show/id/1351760","http://ts.21cn.com/tousu/show/id/1351760")</f>
        <v>http://ts.21cn.com/tousu/show/id/1351760</v>
      </c>
      <c r="F19769" s="2" t="s">
        <v>11</v>
      </c>
      <c r="G19769" s="2" t="s">
        <v>5294</v>
      </c>
      <c r="H19769" s="2" t="s">
        <v>5295</v>
      </c>
    </row>
    <row r="19770" spans="1:8" ht="25.05" customHeight="1" x14ac:dyDescent="0.25">
      <c r="A19770" s="2" t="s">
        <v>8</v>
      </c>
      <c r="B19770" s="2" t="str">
        <f>HYPERLINK("http://ts.21cn.com/tousu/show/id/1351761","安逸花存在溢缴款，提取不出来")</f>
        <v>安逸花存在溢缴款，提取不出来</v>
      </c>
      <c r="C19770" s="2" t="s">
        <v>9</v>
      </c>
      <c r="D19770" s="2" t="s">
        <v>10</v>
      </c>
      <c r="E19770" s="2" t="str">
        <f>HYPERLINK("http://ts.21cn.com/tousu/show/id/1351761","http://ts.21cn.com/tousu/show/id/1351761")</f>
        <v>http://ts.21cn.com/tousu/show/id/1351761</v>
      </c>
      <c r="F19770" s="2" t="s">
        <v>11</v>
      </c>
      <c r="G19770" s="2" t="s">
        <v>5292</v>
      </c>
      <c r="H19770" s="2" t="s">
        <v>5293</v>
      </c>
    </row>
    <row r="19771" spans="1:8" ht="25.05" customHeight="1" x14ac:dyDescent="0.25">
      <c r="A19771" s="2" t="s">
        <v>8</v>
      </c>
      <c r="B19771" s="2" t="str">
        <f>HYPERLINK("http://ts.21cn.com/tousu/show/id/1351764","淘集集无理由拖欠商家货款，要求马上打款")</f>
        <v>淘集集无理由拖欠商家货款，要求马上打款</v>
      </c>
      <c r="C19771" s="2" t="s">
        <v>9</v>
      </c>
      <c r="D19771" s="2" t="s">
        <v>10</v>
      </c>
      <c r="E19771" s="2" t="str">
        <f>HYPERLINK("http://ts.21cn.com/tousu/show/id/1351764","http://ts.21cn.com/tousu/show/id/1351764")</f>
        <v>http://ts.21cn.com/tousu/show/id/1351764</v>
      </c>
      <c r="F19771" s="2" t="s">
        <v>11</v>
      </c>
      <c r="G19771" s="2" t="s">
        <v>5290</v>
      </c>
      <c r="H19771" s="2" t="s">
        <v>5291</v>
      </c>
    </row>
    <row r="19772" spans="1:8" ht="25.05" customHeight="1" x14ac:dyDescent="0.25">
      <c r="A19772" s="2" t="s">
        <v>8</v>
      </c>
      <c r="B19772" s="2" t="str">
        <f>HYPERLINK("http://ts.21cn.com/tousu/show/id/1351765","网贷平台还不了款故意让借款人逾然后回收高额利息")</f>
        <v>网贷平台还不了款故意让借款人逾然后回收高额利息</v>
      </c>
      <c r="C19772" s="2" t="s">
        <v>9</v>
      </c>
      <c r="D19772" s="2" t="s">
        <v>10</v>
      </c>
      <c r="E19772" s="2" t="str">
        <f>HYPERLINK("http://ts.21cn.com/tousu/show/id/1351765","http://ts.21cn.com/tousu/show/id/1351765")</f>
        <v>http://ts.21cn.com/tousu/show/id/1351765</v>
      </c>
      <c r="F19772" s="2" t="s">
        <v>11</v>
      </c>
      <c r="G19772" s="2" t="s">
        <v>5288</v>
      </c>
      <c r="H19772" s="2" t="s">
        <v>5289</v>
      </c>
    </row>
    <row r="19773" spans="1:8" ht="25.05" customHeight="1" x14ac:dyDescent="0.25">
      <c r="A19773" s="2" t="s">
        <v>8</v>
      </c>
      <c r="B19773" s="2" t="str">
        <f>HYPERLINK("http://ts.21cn.com/tousu/show/id/1351766","投诉网贷")</f>
        <v>投诉网贷</v>
      </c>
      <c r="C19773" s="2" t="s">
        <v>9</v>
      </c>
      <c r="D19773" s="2" t="s">
        <v>10</v>
      </c>
      <c r="E19773" s="2" t="str">
        <f>HYPERLINK("http://ts.21cn.com/tousu/show/id/1351766","http://ts.21cn.com/tousu/show/id/1351766")</f>
        <v>http://ts.21cn.com/tousu/show/id/1351766</v>
      </c>
      <c r="F19773" s="2" t="s">
        <v>11</v>
      </c>
      <c r="G19773" s="2" t="s">
        <v>5286</v>
      </c>
      <c r="H19773" s="2" t="s">
        <v>5287</v>
      </c>
    </row>
    <row r="19774" spans="1:8" ht="25.05" customHeight="1" x14ac:dyDescent="0.25">
      <c r="A19774" s="2" t="s">
        <v>8</v>
      </c>
      <c r="B19774" s="2" t="str">
        <f>HYPERLINK("http://ts.21cn.com/tousu/show/id/1351767","投诉苏宁易购成都温江区大南街苹果经销商服务态度差")</f>
        <v>投诉苏宁易购成都温江区大南街苹果经销商服务态度差</v>
      </c>
      <c r="C19774" s="2" t="s">
        <v>9</v>
      </c>
      <c r="D19774" s="2" t="s">
        <v>10</v>
      </c>
      <c r="E19774" s="2" t="str">
        <f>HYPERLINK("http://ts.21cn.com/tousu/show/id/1351767","http://ts.21cn.com/tousu/show/id/1351767")</f>
        <v>http://ts.21cn.com/tousu/show/id/1351767</v>
      </c>
      <c r="F19774" s="2" t="s">
        <v>11</v>
      </c>
      <c r="G19774" s="2" t="s">
        <v>5284</v>
      </c>
      <c r="H19774" s="2" t="s">
        <v>5285</v>
      </c>
    </row>
    <row r="19775" spans="1:8" ht="25.05" customHeight="1" x14ac:dyDescent="0.25">
      <c r="A19775" s="2" t="s">
        <v>8</v>
      </c>
      <c r="B19775" s="2" t="str">
        <f>HYPERLINK("http://ts.21cn.com/tousu/show/id/1351768","小赢卡贷、众安保险强制搭售保险")</f>
        <v>小赢卡贷、众安保险强制搭售保险</v>
      </c>
      <c r="C19775" s="2" t="s">
        <v>9</v>
      </c>
      <c r="D19775" s="2" t="s">
        <v>10</v>
      </c>
      <c r="E19775" s="2" t="str">
        <f>HYPERLINK("http://ts.21cn.com/tousu/show/id/1351768","http://ts.21cn.com/tousu/show/id/1351768")</f>
        <v>http://ts.21cn.com/tousu/show/id/1351768</v>
      </c>
      <c r="F19775" s="2" t="s">
        <v>11</v>
      </c>
      <c r="G19775" s="2" t="s">
        <v>5282</v>
      </c>
      <c r="H19775" s="2" t="s">
        <v>5283</v>
      </c>
    </row>
    <row r="19776" spans="1:8" ht="25.05" customHeight="1" x14ac:dyDescent="0.25">
      <c r="A19776" s="2" t="s">
        <v>8</v>
      </c>
      <c r="B19776" s="2" t="str">
        <f>HYPERLINK("http://ts.21cn.com/tousu/show/id/1351770","喵下贷平台阴阳合同")</f>
        <v>喵下贷平台阴阳合同</v>
      </c>
      <c r="C19776" s="2" t="s">
        <v>9</v>
      </c>
      <c r="D19776" s="2" t="s">
        <v>10</v>
      </c>
      <c r="E19776" s="2" t="str">
        <f>HYPERLINK("http://ts.21cn.com/tousu/show/id/1351770","http://ts.21cn.com/tousu/show/id/1351770")</f>
        <v>http://ts.21cn.com/tousu/show/id/1351770</v>
      </c>
      <c r="F19776" s="2" t="s">
        <v>11</v>
      </c>
      <c r="G19776" s="2" t="s">
        <v>5280</v>
      </c>
      <c r="H19776" s="2" t="s">
        <v>5281</v>
      </c>
    </row>
    <row r="19777" spans="1:8" ht="25.05" customHeight="1" x14ac:dyDescent="0.25">
      <c r="A19777" s="2" t="s">
        <v>8</v>
      </c>
      <c r="B19777" s="2" t="str">
        <f>HYPERLINK("http://ts.21cn.com/tousu/show/id/1351771","北京百度网讯科技有限公司连续不明扣费")</f>
        <v>北京百度网讯科技有限公司连续不明扣费</v>
      </c>
      <c r="C19777" s="2" t="s">
        <v>9</v>
      </c>
      <c r="D19777" s="2" t="s">
        <v>10</v>
      </c>
      <c r="E19777" s="2" t="str">
        <f>HYPERLINK("http://ts.21cn.com/tousu/show/id/1351771","http://ts.21cn.com/tousu/show/id/1351771")</f>
        <v>http://ts.21cn.com/tousu/show/id/1351771</v>
      </c>
      <c r="F19777" s="2" t="s">
        <v>11</v>
      </c>
      <c r="G19777" s="2" t="s">
        <v>5278</v>
      </c>
      <c r="H19777" s="2" t="s">
        <v>5279</v>
      </c>
    </row>
    <row r="19778" spans="1:8" ht="25.05" customHeight="1" x14ac:dyDescent="0.25">
      <c r="A19778" s="2" t="s">
        <v>8</v>
      </c>
      <c r="B19778" s="2" t="str">
        <f>HYPERLINK("http://ts.21cn.com/tousu/show/id/1351772","九阳净水器虚假会销")</f>
        <v>九阳净水器虚假会销</v>
      </c>
      <c r="C19778" s="2" t="s">
        <v>9</v>
      </c>
      <c r="D19778" s="2" t="s">
        <v>10</v>
      </c>
      <c r="E19778" s="2" t="str">
        <f>HYPERLINK("http://ts.21cn.com/tousu/show/id/1351772","http://ts.21cn.com/tousu/show/id/1351772")</f>
        <v>http://ts.21cn.com/tousu/show/id/1351772</v>
      </c>
      <c r="F19778" s="2" t="s">
        <v>11</v>
      </c>
      <c r="G19778" s="2" t="s">
        <v>5276</v>
      </c>
      <c r="H19778" s="2" t="s">
        <v>5277</v>
      </c>
    </row>
    <row r="19779" spans="1:8" ht="25.05" customHeight="1" x14ac:dyDescent="0.25">
      <c r="A19779" s="2" t="s">
        <v>8</v>
      </c>
      <c r="B19779" s="2" t="str">
        <f>HYPERLINK("http://ts.21cn.com/tousu/show/id/1351773","小浦优客无故扣款296")</f>
        <v>小浦优客无故扣款296</v>
      </c>
      <c r="C19779" s="2" t="s">
        <v>34</v>
      </c>
      <c r="D19779" s="2" t="s">
        <v>10</v>
      </c>
      <c r="E19779" s="2" t="str">
        <f>HYPERLINK("http://ts.21cn.com/tousu/show/id/1351773","http://ts.21cn.com/tousu/show/id/1351773")</f>
        <v>http://ts.21cn.com/tousu/show/id/1351773</v>
      </c>
      <c r="F19779" s="2" t="s">
        <v>11</v>
      </c>
      <c r="G19779" s="2" t="s">
        <v>5274</v>
      </c>
      <c r="H19779" s="2" t="s">
        <v>5275</v>
      </c>
    </row>
    <row r="19780" spans="1:8" ht="25.05" customHeight="1" x14ac:dyDescent="0.25">
      <c r="A19780" s="2" t="s">
        <v>8</v>
      </c>
      <c r="B19780" s="2" t="str">
        <f>HYPERLINK("http://ts.21cn.com/tousu/show/id/1351774","唯品会不退差价")</f>
        <v>唯品会不退差价</v>
      </c>
      <c r="C19780" s="2" t="s">
        <v>34</v>
      </c>
      <c r="D19780" s="2" t="s">
        <v>10</v>
      </c>
      <c r="E19780" s="2" t="str">
        <f>HYPERLINK("http://ts.21cn.com/tousu/show/id/1351774","http://ts.21cn.com/tousu/show/id/1351774")</f>
        <v>http://ts.21cn.com/tousu/show/id/1351774</v>
      </c>
      <c r="F19780" s="2" t="s">
        <v>11</v>
      </c>
      <c r="G19780" s="2" t="s">
        <v>5272</v>
      </c>
      <c r="H19780" s="2" t="s">
        <v>5273</v>
      </c>
    </row>
    <row r="19781" spans="1:8" ht="25.05" customHeight="1" x14ac:dyDescent="0.25">
      <c r="A19781" s="2" t="s">
        <v>8</v>
      </c>
      <c r="B19781" s="2" t="str">
        <f>HYPERLINK("http://ts.21cn.com/tousu/show/id/1351776","拍拍贷第三方催收机构冒充公检法")</f>
        <v>拍拍贷第三方催收机构冒充公检法</v>
      </c>
      <c r="C19781" s="2" t="s">
        <v>9</v>
      </c>
      <c r="D19781" s="2" t="s">
        <v>10</v>
      </c>
      <c r="E19781" s="2" t="str">
        <f>HYPERLINK("http://ts.21cn.com/tousu/show/id/1351776","http://ts.21cn.com/tousu/show/id/1351776")</f>
        <v>http://ts.21cn.com/tousu/show/id/1351776</v>
      </c>
      <c r="F19781" s="2" t="s">
        <v>11</v>
      </c>
      <c r="G19781" s="2" t="s">
        <v>5270</v>
      </c>
      <c r="H19781" s="2" t="s">
        <v>5271</v>
      </c>
    </row>
    <row r="19782" spans="1:8" ht="25.05" customHeight="1" x14ac:dyDescent="0.25">
      <c r="A19782" s="2" t="s">
        <v>8</v>
      </c>
      <c r="B19782" s="2" t="str">
        <f>HYPERLINK("http://ts.21cn.com/tousu/show/id/1351777","21cn邮箱无法找回密码")</f>
        <v>21cn邮箱无法找回密码</v>
      </c>
      <c r="C19782" s="2" t="s">
        <v>34</v>
      </c>
      <c r="D19782" s="2" t="s">
        <v>10</v>
      </c>
      <c r="E19782" s="2" t="str">
        <f>HYPERLINK("http://ts.21cn.com/tousu/show/id/1351777","http://ts.21cn.com/tousu/show/id/1351777")</f>
        <v>http://ts.21cn.com/tousu/show/id/1351777</v>
      </c>
      <c r="F19782" s="2" t="s">
        <v>11</v>
      </c>
      <c r="G19782" s="2" t="s">
        <v>5268</v>
      </c>
      <c r="H19782" s="2" t="s">
        <v>5269</v>
      </c>
    </row>
    <row r="19783" spans="1:8" ht="25.05" customHeight="1" x14ac:dyDescent="0.25">
      <c r="A19783" s="2" t="s">
        <v>8</v>
      </c>
      <c r="B19783" s="2" t="str">
        <f>HYPERLINK("http://ts.21cn.com/tousu/show/id/1351778","好易借套路贷，无法提供合同，高利贷，还款利率不合理")</f>
        <v>好易借套路贷，无法提供合同，高利贷，还款利率不合理</v>
      </c>
      <c r="C19783" s="2" t="s">
        <v>9</v>
      </c>
      <c r="D19783" s="2" t="s">
        <v>10</v>
      </c>
      <c r="E19783" s="2" t="str">
        <f>HYPERLINK("http://ts.21cn.com/tousu/show/id/1351778","http://ts.21cn.com/tousu/show/id/1351778")</f>
        <v>http://ts.21cn.com/tousu/show/id/1351778</v>
      </c>
      <c r="F19783" s="2" t="s">
        <v>11</v>
      </c>
      <c r="G19783" s="2" t="s">
        <v>5266</v>
      </c>
      <c r="H19783" s="2" t="s">
        <v>5267</v>
      </c>
    </row>
    <row r="19784" spans="1:8" ht="25.05" customHeight="1" x14ac:dyDescent="0.25">
      <c r="A19784" s="2" t="s">
        <v>8</v>
      </c>
      <c r="B19784" s="2" t="str">
        <f>HYPERLINK("http://ts.21cn.com/tousu/show/id/1351779","投诉网贷平台")</f>
        <v>投诉网贷平台</v>
      </c>
      <c r="C19784" s="2" t="s">
        <v>9</v>
      </c>
      <c r="D19784" s="2" t="s">
        <v>10</v>
      </c>
      <c r="E19784" s="2" t="str">
        <f>HYPERLINK("http://ts.21cn.com/tousu/show/id/1351779","http://ts.21cn.com/tousu/show/id/1351779")</f>
        <v>http://ts.21cn.com/tousu/show/id/1351779</v>
      </c>
      <c r="F19784" s="2" t="s">
        <v>11</v>
      </c>
      <c r="G19784" s="2" t="s">
        <v>5264</v>
      </c>
      <c r="H19784" s="2" t="s">
        <v>5265</v>
      </c>
    </row>
    <row r="19785" spans="1:8" ht="25.05" customHeight="1" x14ac:dyDescent="0.25">
      <c r="A19785" s="2" t="s">
        <v>8</v>
      </c>
      <c r="B19785" s="2" t="str">
        <f>HYPERLINK("http://ts.21cn.com/tousu/show/id/1351723","平安普惠爆通讯录，电话轰炸严重干扰正常生活")</f>
        <v>平安普惠爆通讯录，电话轰炸严重干扰正常生活</v>
      </c>
      <c r="C19785" s="2" t="s">
        <v>9</v>
      </c>
      <c r="D19785" s="2" t="s">
        <v>10</v>
      </c>
      <c r="E19785" s="2" t="str">
        <f>HYPERLINK("http://ts.21cn.com/tousu/show/id/1351723","http://ts.21cn.com/tousu/show/id/1351723")</f>
        <v>http://ts.21cn.com/tousu/show/id/1351723</v>
      </c>
      <c r="F19785" s="2" t="s">
        <v>11</v>
      </c>
      <c r="G19785" s="2" t="s">
        <v>5262</v>
      </c>
      <c r="H19785" s="2" t="s">
        <v>5263</v>
      </c>
    </row>
    <row r="19786" spans="1:8" ht="25.05" customHeight="1" x14ac:dyDescent="0.25">
      <c r="A19786" s="2" t="s">
        <v>8</v>
      </c>
      <c r="B19786" s="2" t="str">
        <f>HYPERLINK("http://ts.21cn.com/tousu/show/id/1351781","好易贷七天高炮")</f>
        <v>好易贷七天高炮</v>
      </c>
      <c r="C19786" s="2" t="s">
        <v>9</v>
      </c>
      <c r="D19786" s="2" t="s">
        <v>10</v>
      </c>
      <c r="E19786" s="2" t="str">
        <f>HYPERLINK("http://ts.21cn.com/tousu/show/id/1351781","http://ts.21cn.com/tousu/show/id/1351781")</f>
        <v>http://ts.21cn.com/tousu/show/id/1351781</v>
      </c>
      <c r="F19786" s="2" t="s">
        <v>11</v>
      </c>
      <c r="G19786" s="2" t="s">
        <v>5260</v>
      </c>
      <c r="H19786" s="2" t="s">
        <v>5261</v>
      </c>
    </row>
    <row r="19787" spans="1:8" ht="25.05" customHeight="1" x14ac:dyDescent="0.25">
      <c r="A19787" s="2" t="s">
        <v>8</v>
      </c>
      <c r="B19787" s="2" t="str">
        <f>HYPERLINK("http://ts.21cn.com/tousu/show/id/1351780","快闪卡贷捆绑销售中国人保高额保险以进行敛财")</f>
        <v>快闪卡贷捆绑销售中国人保高额保险以进行敛财</v>
      </c>
      <c r="C19787" s="2" t="s">
        <v>9</v>
      </c>
      <c r="D19787" s="2" t="s">
        <v>10</v>
      </c>
      <c r="E19787" s="2" t="str">
        <f>HYPERLINK("http://ts.21cn.com/tousu/show/id/1351780","http://ts.21cn.com/tousu/show/id/1351780")</f>
        <v>http://ts.21cn.com/tousu/show/id/1351780</v>
      </c>
      <c r="F19787" s="2" t="s">
        <v>11</v>
      </c>
      <c r="G19787" s="2" t="s">
        <v>5258</v>
      </c>
      <c r="H19787" s="2" t="s">
        <v>5259</v>
      </c>
    </row>
    <row r="19788" spans="1:8" ht="25.05" customHeight="1" x14ac:dyDescent="0.25">
      <c r="A19788" s="2" t="s">
        <v>8</v>
      </c>
      <c r="B19788" s="2" t="str">
        <f>HYPERLINK("http://ts.21cn.com/tousu/show/id/1351763","众网小贷实属套路贷，砍头息，不提供还款通道恶意上传征信")</f>
        <v>众网小贷实属套路贷，砍头息，不提供还款通道恶意上传征信</v>
      </c>
      <c r="C19788" s="2" t="s">
        <v>9</v>
      </c>
      <c r="D19788" s="2" t="s">
        <v>10</v>
      </c>
      <c r="E19788" s="2" t="str">
        <f>HYPERLINK("http://ts.21cn.com/tousu/show/id/1351763","http://ts.21cn.com/tousu/show/id/1351763")</f>
        <v>http://ts.21cn.com/tousu/show/id/1351763</v>
      </c>
      <c r="F19788" s="2" t="s">
        <v>11</v>
      </c>
      <c r="G19788" s="2" t="s">
        <v>5256</v>
      </c>
      <c r="H19788" s="2" t="s">
        <v>5257</v>
      </c>
    </row>
    <row r="19789" spans="1:8" ht="25.05" customHeight="1" x14ac:dyDescent="0.25">
      <c r="A19789" s="2" t="s">
        <v>8</v>
      </c>
      <c r="B19789" s="2" t="str">
        <f>HYPERLINK("http://ts.21cn.com/tousu/show/id/1351783","中信信用卡黑势力上门催款逼死人")</f>
        <v>中信信用卡黑势力上门催款逼死人</v>
      </c>
      <c r="C19789" s="2" t="s">
        <v>9</v>
      </c>
      <c r="D19789" s="2" t="s">
        <v>10</v>
      </c>
      <c r="E19789" s="2" t="str">
        <f>HYPERLINK("http://ts.21cn.com/tousu/show/id/1351783","http://ts.21cn.com/tousu/show/id/1351783")</f>
        <v>http://ts.21cn.com/tousu/show/id/1351783</v>
      </c>
      <c r="F19789" s="2" t="s">
        <v>11</v>
      </c>
      <c r="G19789" s="2" t="s">
        <v>5254</v>
      </c>
      <c r="H19789" s="2" t="s">
        <v>5255</v>
      </c>
    </row>
    <row r="19790" spans="1:8" ht="25.05" customHeight="1" x14ac:dyDescent="0.25">
      <c r="A19790" s="2" t="s">
        <v>8</v>
      </c>
      <c r="B19790" s="2" t="str">
        <f>HYPERLINK("http://ts.21cn.com/tousu/show/id/1351784","恶意降低消费者额度")</f>
        <v>恶意降低消费者额度</v>
      </c>
      <c r="C19790" s="2" t="s">
        <v>9</v>
      </c>
      <c r="D19790" s="2" t="s">
        <v>10</v>
      </c>
      <c r="E19790" s="2" t="str">
        <f>HYPERLINK("http://ts.21cn.com/tousu/show/id/1351784","http://ts.21cn.com/tousu/show/id/1351784")</f>
        <v>http://ts.21cn.com/tousu/show/id/1351784</v>
      </c>
      <c r="F19790" s="2" t="s">
        <v>11</v>
      </c>
      <c r="G19790" s="2" t="s">
        <v>5252</v>
      </c>
      <c r="H19790" s="2" t="s">
        <v>5253</v>
      </c>
    </row>
    <row r="19791" spans="1:8" ht="25.05" customHeight="1" x14ac:dyDescent="0.25">
      <c r="A19791" s="2" t="s">
        <v>8</v>
      </c>
      <c r="B19791" s="2" t="str">
        <f>HYPERLINK("http://ts.21cn.com/tousu/show/id/1351786","小米贷款利息与所写不符")</f>
        <v>小米贷款利息与所写不符</v>
      </c>
      <c r="C19791" s="2" t="s">
        <v>34</v>
      </c>
      <c r="D19791" s="2" t="s">
        <v>10</v>
      </c>
      <c r="E19791" s="2" t="str">
        <f>HYPERLINK("http://ts.21cn.com/tousu/show/id/1351786","http://ts.21cn.com/tousu/show/id/1351786")</f>
        <v>http://ts.21cn.com/tousu/show/id/1351786</v>
      </c>
      <c r="F19791" s="2" t="s">
        <v>11</v>
      </c>
      <c r="G19791" s="2" t="s">
        <v>5250</v>
      </c>
      <c r="H19791" s="2" t="s">
        <v>5251</v>
      </c>
    </row>
    <row r="19792" spans="1:8" ht="25.05" customHeight="1" x14ac:dyDescent="0.25">
      <c r="A19792" s="2" t="s">
        <v>8</v>
      </c>
      <c r="B19792" s="2" t="str">
        <f>HYPERLINK("http://ts.21cn.com/tousu/show/id/1351787","恒昌公司旗下恒易贷合同金额远高于实际借款金额")</f>
        <v>恒昌公司旗下恒易贷合同金额远高于实际借款金额</v>
      </c>
      <c r="C19792" s="2" t="s">
        <v>9</v>
      </c>
      <c r="D19792" s="2" t="s">
        <v>10</v>
      </c>
      <c r="E19792" s="2" t="str">
        <f>HYPERLINK("http://ts.21cn.com/tousu/show/id/1351787","http://ts.21cn.com/tousu/show/id/1351787")</f>
        <v>http://ts.21cn.com/tousu/show/id/1351787</v>
      </c>
      <c r="F19792" s="2" t="s">
        <v>11</v>
      </c>
      <c r="G19792" s="2" t="s">
        <v>5248</v>
      </c>
      <c r="H19792" s="2" t="s">
        <v>5249</v>
      </c>
    </row>
    <row r="19793" spans="1:8" ht="25.05" customHeight="1" x14ac:dyDescent="0.25">
      <c r="A19793" s="2" t="s">
        <v>8</v>
      </c>
      <c r="B19793" s="2" t="str">
        <f>HYPERLINK("http://ts.21cn.com/tousu/show/id/1351788","借贷宝高额逾期管理费")</f>
        <v>借贷宝高额逾期管理费</v>
      </c>
      <c r="C19793" s="2" t="s">
        <v>9</v>
      </c>
      <c r="D19793" s="2" t="s">
        <v>10</v>
      </c>
      <c r="E19793" s="2" t="str">
        <f>HYPERLINK("http://ts.21cn.com/tousu/show/id/1351788","http://ts.21cn.com/tousu/show/id/1351788")</f>
        <v>http://ts.21cn.com/tousu/show/id/1351788</v>
      </c>
      <c r="F19793" s="2" t="s">
        <v>11</v>
      </c>
      <c r="G19793" s="2" t="s">
        <v>5246</v>
      </c>
      <c r="H19793" s="2" t="s">
        <v>5247</v>
      </c>
    </row>
    <row r="19794" spans="1:8" ht="25.05" customHeight="1" x14ac:dyDescent="0.25">
      <c r="A19794" s="2" t="s">
        <v>8</v>
      </c>
      <c r="B19794" s="2" t="str">
        <f>HYPERLINK("http://ts.21cn.com/tousu/show/id/1351789","玖富万卡变相收取费用高利贷")</f>
        <v>玖富万卡变相收取费用高利贷</v>
      </c>
      <c r="C19794" s="2" t="s">
        <v>9</v>
      </c>
      <c r="D19794" s="2" t="s">
        <v>10</v>
      </c>
      <c r="E19794" s="2" t="str">
        <f>HYPERLINK("http://ts.21cn.com/tousu/show/id/1351789","http://ts.21cn.com/tousu/show/id/1351789")</f>
        <v>http://ts.21cn.com/tousu/show/id/1351789</v>
      </c>
      <c r="F19794" s="2" t="s">
        <v>11</v>
      </c>
      <c r="G19794" s="2" t="s">
        <v>5244</v>
      </c>
      <c r="H19794" s="2" t="s">
        <v>5245</v>
      </c>
    </row>
    <row r="19795" spans="1:8" ht="25.05" customHeight="1" x14ac:dyDescent="0.25">
      <c r="A19795" s="2" t="s">
        <v>8</v>
      </c>
      <c r="B19795" s="2" t="str">
        <f>HYPERLINK("http://ts.21cn.com/tousu/show/id/1351790","钱站高利贷阴阳合同")</f>
        <v>钱站高利贷阴阳合同</v>
      </c>
      <c r="C19795" s="2" t="s">
        <v>9</v>
      </c>
      <c r="D19795" s="2" t="s">
        <v>10</v>
      </c>
      <c r="E19795" s="2" t="str">
        <f>HYPERLINK("http://ts.21cn.com/tousu/show/id/1351790","http://ts.21cn.com/tousu/show/id/1351790")</f>
        <v>http://ts.21cn.com/tousu/show/id/1351790</v>
      </c>
      <c r="F19795" s="2" t="s">
        <v>11</v>
      </c>
      <c r="G19795" s="2" t="s">
        <v>5242</v>
      </c>
      <c r="H19795" s="2" t="s">
        <v>5243</v>
      </c>
    </row>
    <row r="19796" spans="1:8" ht="25.05" customHeight="1" x14ac:dyDescent="0.25">
      <c r="A19796" s="2" t="s">
        <v>8</v>
      </c>
      <c r="B19796" s="2" t="str">
        <f>HYPERLINK("http://ts.21cn.com/tousu/show/id/1351791","培训机构设置不公平退款障碍，严重违反《消法》规定属于违法合同")</f>
        <v>培训机构设置不公平退款障碍，严重违反《消法》规定属于违法合同</v>
      </c>
      <c r="C19796" s="2" t="s">
        <v>9</v>
      </c>
      <c r="D19796" s="2" t="s">
        <v>10</v>
      </c>
      <c r="E19796" s="2" t="str">
        <f>HYPERLINK("http://ts.21cn.com/tousu/show/id/1351791","http://ts.21cn.com/tousu/show/id/1351791")</f>
        <v>http://ts.21cn.com/tousu/show/id/1351791</v>
      </c>
      <c r="F19796" s="2" t="s">
        <v>11</v>
      </c>
      <c r="G19796" s="2" t="s">
        <v>5240</v>
      </c>
      <c r="H19796" s="2" t="s">
        <v>5241</v>
      </c>
    </row>
    <row r="19797" spans="1:8" ht="25.05" customHeight="1" x14ac:dyDescent="0.25">
      <c r="A19797" s="2" t="s">
        <v>8</v>
      </c>
      <c r="B19797" s="2" t="str">
        <f>HYPERLINK("http://ts.21cn.com/tousu/show/id/1351792","拼多多和支付宝与网络赌博平台合作")</f>
        <v>拼多多和支付宝与网络赌博平台合作</v>
      </c>
      <c r="C19797" s="2" t="s">
        <v>9</v>
      </c>
      <c r="D19797" s="2" t="s">
        <v>10</v>
      </c>
      <c r="E19797" s="2" t="str">
        <f>HYPERLINK("http://ts.21cn.com/tousu/show/id/1351792","http://ts.21cn.com/tousu/show/id/1351792")</f>
        <v>http://ts.21cn.com/tousu/show/id/1351792</v>
      </c>
      <c r="F19797" s="2" t="s">
        <v>11</v>
      </c>
      <c r="G19797" s="2" t="s">
        <v>5238</v>
      </c>
      <c r="H19797" s="2" t="s">
        <v>5239</v>
      </c>
    </row>
    <row r="19798" spans="1:8" ht="25.05" customHeight="1" x14ac:dyDescent="0.25">
      <c r="A19798" s="2" t="s">
        <v>8</v>
      </c>
      <c r="B19798" s="2" t="str">
        <f>HYPERLINK("http://ts.21cn.com/tousu/show/id/1351793","淘集集拖压商家货款三个多月")</f>
        <v>淘集集拖压商家货款三个多月</v>
      </c>
      <c r="C19798" s="2" t="s">
        <v>9</v>
      </c>
      <c r="D19798" s="2" t="s">
        <v>10</v>
      </c>
      <c r="E19798" s="2" t="str">
        <f>HYPERLINK("http://ts.21cn.com/tousu/show/id/1351793","http://ts.21cn.com/tousu/show/id/1351793")</f>
        <v>http://ts.21cn.com/tousu/show/id/1351793</v>
      </c>
      <c r="F19798" s="2" t="s">
        <v>11</v>
      </c>
      <c r="G19798" s="2" t="s">
        <v>5236</v>
      </c>
      <c r="H19798" s="2" t="s">
        <v>5237</v>
      </c>
    </row>
    <row r="19799" spans="1:8" ht="25.05" customHeight="1" x14ac:dyDescent="0.25">
      <c r="A19799" s="2" t="s">
        <v>8</v>
      </c>
      <c r="B19799" s="2" t="str">
        <f>HYPERLINK("http://ts.21cn.com/tousu/show/id/1351794","交易猫分润失败")</f>
        <v>交易猫分润失败</v>
      </c>
      <c r="C19799" s="2" t="s">
        <v>9</v>
      </c>
      <c r="D19799" s="2" t="s">
        <v>10</v>
      </c>
      <c r="E19799" s="2" t="str">
        <f>HYPERLINK("http://ts.21cn.com/tousu/show/id/1351794","http://ts.21cn.com/tousu/show/id/1351794")</f>
        <v>http://ts.21cn.com/tousu/show/id/1351794</v>
      </c>
      <c r="F19799" s="2" t="s">
        <v>11</v>
      </c>
      <c r="G19799" s="2" t="s">
        <v>5234</v>
      </c>
      <c r="H19799" s="2" t="s">
        <v>5235</v>
      </c>
    </row>
    <row r="19800" spans="1:8" ht="25.05" customHeight="1" x14ac:dyDescent="0.25">
      <c r="A19800" s="2" t="s">
        <v>8</v>
      </c>
      <c r="B19800" s="2" t="str">
        <f>HYPERLINK("http://ts.21cn.com/tousu/show/id/1351795","滴滴出行限制服务分限制派单")</f>
        <v>滴滴出行限制服务分限制派单</v>
      </c>
      <c r="C19800" s="2" t="s">
        <v>9</v>
      </c>
      <c r="D19800" s="2" t="s">
        <v>10</v>
      </c>
      <c r="E19800" s="2" t="str">
        <f>HYPERLINK("http://ts.21cn.com/tousu/show/id/1351795","http://ts.21cn.com/tousu/show/id/1351795")</f>
        <v>http://ts.21cn.com/tousu/show/id/1351795</v>
      </c>
      <c r="F19800" s="2" t="s">
        <v>11</v>
      </c>
      <c r="G19800" s="2" t="s">
        <v>5232</v>
      </c>
      <c r="H19800" s="2" t="s">
        <v>5233</v>
      </c>
    </row>
    <row r="19801" spans="1:8" ht="25.05" customHeight="1" x14ac:dyDescent="0.25">
      <c r="A19801" s="2" t="s">
        <v>8</v>
      </c>
      <c r="B19801" s="2" t="str">
        <f>HYPERLINK("http://ts.21cn.com/tousu/show/id/1351796","贷上钱恶意爆通讯录")</f>
        <v>贷上钱恶意爆通讯录</v>
      </c>
      <c r="C19801" s="2" t="s">
        <v>9</v>
      </c>
      <c r="D19801" s="2" t="s">
        <v>10</v>
      </c>
      <c r="E19801" s="2" t="str">
        <f>HYPERLINK("http://ts.21cn.com/tousu/show/id/1351796","http://ts.21cn.com/tousu/show/id/1351796")</f>
        <v>http://ts.21cn.com/tousu/show/id/1351796</v>
      </c>
      <c r="F19801" s="2" t="s">
        <v>11</v>
      </c>
      <c r="G19801" s="2" t="s">
        <v>5230</v>
      </c>
      <c r="H19801" s="2" t="s">
        <v>5231</v>
      </c>
    </row>
    <row r="19802" spans="1:8" ht="25.05" customHeight="1" x14ac:dyDescent="0.25">
      <c r="A19802" s="2" t="s">
        <v>8</v>
      </c>
      <c r="B19802" s="2" t="str">
        <f>HYPERLINK("http://ts.21cn.com/tousu/show/id/1351798","拍拍贷伪装成长春洪兴律师事务所暴力催收")</f>
        <v>拍拍贷伪装成长春洪兴律师事务所暴力催收</v>
      </c>
      <c r="C19802" s="2" t="s">
        <v>9</v>
      </c>
      <c r="D19802" s="2" t="s">
        <v>10</v>
      </c>
      <c r="E19802" s="2" t="str">
        <f>HYPERLINK("http://ts.21cn.com/tousu/show/id/1351798","http://ts.21cn.com/tousu/show/id/1351798")</f>
        <v>http://ts.21cn.com/tousu/show/id/1351798</v>
      </c>
      <c r="F19802" s="2" t="s">
        <v>11</v>
      </c>
      <c r="G19802" s="2" t="s">
        <v>5228</v>
      </c>
      <c r="H19802" s="2" t="s">
        <v>5229</v>
      </c>
    </row>
    <row r="19803" spans="1:8" ht="25.05" customHeight="1" x14ac:dyDescent="0.25">
      <c r="A19803" s="2" t="s">
        <v>8</v>
      </c>
      <c r="B19803" s="2" t="str">
        <f>HYPERLINK("http://ts.21cn.com/tousu/show/id/1351799","钱站高额服务费利息")</f>
        <v>钱站高额服务费利息</v>
      </c>
      <c r="C19803" s="2" t="s">
        <v>9</v>
      </c>
      <c r="D19803" s="2" t="s">
        <v>10</v>
      </c>
      <c r="E19803" s="2" t="str">
        <f>HYPERLINK("http://ts.21cn.com/tousu/show/id/1351799","http://ts.21cn.com/tousu/show/id/1351799")</f>
        <v>http://ts.21cn.com/tousu/show/id/1351799</v>
      </c>
      <c r="F19803" s="2" t="s">
        <v>11</v>
      </c>
      <c r="G19803" s="2" t="s">
        <v>5226</v>
      </c>
      <c r="H19803" s="2" t="s">
        <v>5227</v>
      </c>
    </row>
    <row r="19804" spans="1:8" ht="25.05" customHeight="1" x14ac:dyDescent="0.25">
      <c r="A19804" s="2" t="s">
        <v>8</v>
      </c>
      <c r="B19804" s="2" t="str">
        <f>HYPERLINK("http://ts.21cn.com/tousu/show/id/1351802","你我贷暴力催收")</f>
        <v>你我贷暴力催收</v>
      </c>
      <c r="C19804" s="2" t="s">
        <v>9</v>
      </c>
      <c r="D19804" s="2" t="s">
        <v>10</v>
      </c>
      <c r="E19804" s="2" t="str">
        <f>HYPERLINK("http://ts.21cn.com/tousu/show/id/1351802","http://ts.21cn.com/tousu/show/id/1351802")</f>
        <v>http://ts.21cn.com/tousu/show/id/1351802</v>
      </c>
      <c r="F19804" s="2" t="s">
        <v>11</v>
      </c>
      <c r="G19804" s="2" t="s">
        <v>5224</v>
      </c>
      <c r="H19804" s="2" t="s">
        <v>5225</v>
      </c>
    </row>
    <row r="19805" spans="1:8" ht="25.05" customHeight="1" x14ac:dyDescent="0.25">
      <c r="A19805" s="2" t="s">
        <v>8</v>
      </c>
      <c r="B19805" s="2" t="str">
        <f>HYPERLINK("http://ts.21cn.com/tousu/show/id/1351803","投诉关于成都市温江区大南街销售人员态度差")</f>
        <v>投诉关于成都市温江区大南街销售人员态度差</v>
      </c>
      <c r="C19805" s="2" t="s">
        <v>9</v>
      </c>
      <c r="D19805" s="2" t="s">
        <v>10</v>
      </c>
      <c r="E19805" s="2" t="str">
        <f>HYPERLINK("http://ts.21cn.com/tousu/show/id/1351803","http://ts.21cn.com/tousu/show/id/1351803")</f>
        <v>http://ts.21cn.com/tousu/show/id/1351803</v>
      </c>
      <c r="F19805" s="2" t="s">
        <v>11</v>
      </c>
      <c r="G19805" s="2" t="s">
        <v>5222</v>
      </c>
      <c r="H19805" s="2" t="s">
        <v>5223</v>
      </c>
    </row>
    <row r="19806" spans="1:8" ht="25.05" customHeight="1" x14ac:dyDescent="0.25">
      <c r="A19806" s="2" t="s">
        <v>8</v>
      </c>
      <c r="B19806" s="2" t="str">
        <f>HYPERLINK("http://ts.21cn.com/tousu/show/id/1351804","银行卡钱被盗刷")</f>
        <v>银行卡钱被盗刷</v>
      </c>
      <c r="C19806" s="2" t="s">
        <v>9</v>
      </c>
      <c r="D19806" s="2" t="s">
        <v>10</v>
      </c>
      <c r="E19806" s="2" t="str">
        <f>HYPERLINK("http://ts.21cn.com/tousu/show/id/1351804","http://ts.21cn.com/tousu/show/id/1351804")</f>
        <v>http://ts.21cn.com/tousu/show/id/1351804</v>
      </c>
      <c r="F19806" s="2" t="s">
        <v>11</v>
      </c>
      <c r="G19806" s="2" t="s">
        <v>5220</v>
      </c>
      <c r="H19806" s="2" t="s">
        <v>5221</v>
      </c>
    </row>
    <row r="19807" spans="1:8" ht="25.05" customHeight="1" x14ac:dyDescent="0.25">
      <c r="A19807" s="2" t="s">
        <v>8</v>
      </c>
      <c r="B19807" s="2" t="str">
        <f>HYPERLINK("http://ts.21cn.com/tousu/show/id/1351782","拼多多客服不处理")</f>
        <v>拼多多客服不处理</v>
      </c>
      <c r="C19807" s="2" t="s">
        <v>9</v>
      </c>
      <c r="D19807" s="2" t="s">
        <v>10</v>
      </c>
      <c r="E19807" s="2" t="str">
        <f>HYPERLINK("http://ts.21cn.com/tousu/show/id/1351782","http://ts.21cn.com/tousu/show/id/1351782")</f>
        <v>http://ts.21cn.com/tousu/show/id/1351782</v>
      </c>
      <c r="F19807" s="2" t="s">
        <v>11</v>
      </c>
      <c r="G19807" s="2" t="s">
        <v>5218</v>
      </c>
      <c r="H19807" s="2" t="s">
        <v>5219</v>
      </c>
    </row>
    <row r="19808" spans="1:8" ht="25.05" customHeight="1" x14ac:dyDescent="0.25">
      <c r="A19808" s="2" t="s">
        <v>8</v>
      </c>
      <c r="B19808" s="2" t="str">
        <f>HYPERLINK("http://ts.21cn.com/tousu/show/id/1351805","摇钱花")</f>
        <v>摇钱花</v>
      </c>
      <c r="C19808" s="2" t="s">
        <v>9</v>
      </c>
      <c r="D19808" s="2" t="s">
        <v>10</v>
      </c>
      <c r="E19808" s="2" t="str">
        <f>HYPERLINK("http://ts.21cn.com/tousu/show/id/1351805","http://ts.21cn.com/tousu/show/id/1351805")</f>
        <v>http://ts.21cn.com/tousu/show/id/1351805</v>
      </c>
      <c r="F19808" s="2" t="s">
        <v>11</v>
      </c>
      <c r="G19808" s="2" t="s">
        <v>5216</v>
      </c>
      <c r="H19808" s="2" t="s">
        <v>5217</v>
      </c>
    </row>
    <row r="19809" spans="1:8" ht="25.05" customHeight="1" x14ac:dyDescent="0.25">
      <c r="A19809" s="2" t="s">
        <v>8</v>
      </c>
      <c r="B19809" s="2" t="str">
        <f>HYPERLINK("http://ts.21cn.com/tousu/show/id/1351806","高利贷")</f>
        <v>高利贷</v>
      </c>
      <c r="C19809" s="2" t="s">
        <v>9</v>
      </c>
      <c r="D19809" s="2" t="s">
        <v>10</v>
      </c>
      <c r="E19809" s="2" t="str">
        <f>HYPERLINK("http://ts.21cn.com/tousu/show/id/1351806","http://ts.21cn.com/tousu/show/id/1351806")</f>
        <v>http://ts.21cn.com/tousu/show/id/1351806</v>
      </c>
      <c r="F19809" s="2" t="s">
        <v>11</v>
      </c>
      <c r="G19809" s="2" t="s">
        <v>5214</v>
      </c>
      <c r="H19809" s="2" t="s">
        <v>5215</v>
      </c>
    </row>
    <row r="19810" spans="1:8" ht="25.05" customHeight="1" x14ac:dyDescent="0.25">
      <c r="A19810" s="2" t="s">
        <v>8</v>
      </c>
      <c r="B19810" s="2" t="str">
        <f>HYPERLINK("http://ts.21cn.com/tousu/show/id/1351807","在城信APP上我妈妈突然被盗号刷走一千多，还以我妈妈的名义抢了好多别人的红包")</f>
        <v>在城信APP上我妈妈突然被盗号刷走一千多，还以我妈妈的名义抢了好多别人的红包</v>
      </c>
      <c r="C19810" s="2" t="s">
        <v>34</v>
      </c>
      <c r="D19810" s="2" t="s">
        <v>10</v>
      </c>
      <c r="E19810" s="2" t="str">
        <f>HYPERLINK("http://ts.21cn.com/tousu/show/id/1351807","http://ts.21cn.com/tousu/show/id/1351807")</f>
        <v>http://ts.21cn.com/tousu/show/id/1351807</v>
      </c>
      <c r="F19810" s="2" t="s">
        <v>11</v>
      </c>
      <c r="G19810" s="2" t="s">
        <v>5212</v>
      </c>
      <c r="H19810" s="2" t="s">
        <v>5213</v>
      </c>
    </row>
    <row r="19811" spans="1:8" ht="25.05" customHeight="1" x14ac:dyDescent="0.25">
      <c r="A19811" s="2" t="s">
        <v>8</v>
      </c>
      <c r="B19811" s="2" t="str">
        <f>HYPERLINK("http://ts.21cn.com/tousu/show/id/1351808","中国银联云闪付在我未注册账号的情况下，借记卡被他人绑定及余额盗刷")</f>
        <v>中国银联云闪付在我未注册账号的情况下，借记卡被他人绑定及余额盗刷</v>
      </c>
      <c r="C19811" s="2" t="s">
        <v>9</v>
      </c>
      <c r="D19811" s="2" t="s">
        <v>10</v>
      </c>
      <c r="E19811" s="2" t="str">
        <f>HYPERLINK("http://ts.21cn.com/tousu/show/id/1351808","http://ts.21cn.com/tousu/show/id/1351808")</f>
        <v>http://ts.21cn.com/tousu/show/id/1351808</v>
      </c>
      <c r="F19811" s="2" t="s">
        <v>11</v>
      </c>
      <c r="G19811" s="2" t="s">
        <v>5210</v>
      </c>
      <c r="H19811" s="2" t="s">
        <v>5211</v>
      </c>
    </row>
    <row r="19812" spans="1:8" ht="25.05" customHeight="1" x14ac:dyDescent="0.25">
      <c r="A19812" s="2" t="s">
        <v>8</v>
      </c>
      <c r="B19812" s="2" t="str">
        <f>HYPERLINK("http://ts.21cn.com/tousu/show/id/1351809","杉德支付为境外赌博平台提供充值")</f>
        <v>杉德支付为境外赌博平台提供充值</v>
      </c>
      <c r="C19812" s="2" t="s">
        <v>9</v>
      </c>
      <c r="D19812" s="2" t="s">
        <v>10</v>
      </c>
      <c r="E19812" s="2" t="str">
        <f>HYPERLINK("http://ts.21cn.com/tousu/show/id/1351809","http://ts.21cn.com/tousu/show/id/1351809")</f>
        <v>http://ts.21cn.com/tousu/show/id/1351809</v>
      </c>
      <c r="F19812" s="2" t="s">
        <v>11</v>
      </c>
      <c r="G19812" s="2" t="s">
        <v>5208</v>
      </c>
      <c r="H19812" s="2" t="s">
        <v>5209</v>
      </c>
    </row>
    <row r="19813" spans="1:8" ht="25.05" customHeight="1" x14ac:dyDescent="0.25">
      <c r="A19813" s="2" t="s">
        <v>8</v>
      </c>
      <c r="B19813" s="2" t="str">
        <f>HYPERLINK("http://ts.21cn.com/tousu/show/id/1351810","上海造艺网络科技有限公司虚假承诺")</f>
        <v>上海造艺网络科技有限公司虚假承诺</v>
      </c>
      <c r="C19813" s="2" t="s">
        <v>9</v>
      </c>
      <c r="D19813" s="2" t="s">
        <v>10</v>
      </c>
      <c r="E19813" s="2" t="str">
        <f>HYPERLINK("http://ts.21cn.com/tousu/show/id/1351810","http://ts.21cn.com/tousu/show/id/1351810")</f>
        <v>http://ts.21cn.com/tousu/show/id/1351810</v>
      </c>
      <c r="F19813" s="2" t="s">
        <v>11</v>
      </c>
      <c r="G19813" s="2" t="s">
        <v>5206</v>
      </c>
      <c r="H19813" s="2" t="s">
        <v>5207</v>
      </c>
    </row>
    <row r="19814" spans="1:8" ht="25.05" customHeight="1" x14ac:dyDescent="0.25">
      <c r="A19814" s="2" t="s">
        <v>8</v>
      </c>
      <c r="B19814" s="2" t="str">
        <f>HYPERLINK("http://ts.21cn.com/tousu/show/id/1351811","暴力催收")</f>
        <v>暴力催收</v>
      </c>
      <c r="C19814" s="2" t="s">
        <v>9</v>
      </c>
      <c r="D19814" s="2" t="s">
        <v>10</v>
      </c>
      <c r="E19814" s="2" t="str">
        <f>HYPERLINK("http://ts.21cn.com/tousu/show/id/1351811","http://ts.21cn.com/tousu/show/id/1351811")</f>
        <v>http://ts.21cn.com/tousu/show/id/1351811</v>
      </c>
      <c r="F19814" s="2" t="s">
        <v>11</v>
      </c>
      <c r="G19814" s="2" t="s">
        <v>5204</v>
      </c>
      <c r="H19814" s="2" t="s">
        <v>5205</v>
      </c>
    </row>
    <row r="19815" spans="1:8" ht="25.05" customHeight="1" x14ac:dyDescent="0.25">
      <c r="A19815" s="2" t="s">
        <v>8</v>
      </c>
      <c r="B19815" s="2" t="str">
        <f>HYPERLINK("http://ts.21cn.com/tousu/show/id/1351812","六便士收取高额砍头息")</f>
        <v>六便士收取高额砍头息</v>
      </c>
      <c r="C19815" s="2" t="s">
        <v>9</v>
      </c>
      <c r="D19815" s="2" t="s">
        <v>10</v>
      </c>
      <c r="E19815" s="2" t="str">
        <f>HYPERLINK("http://ts.21cn.com/tousu/show/id/1351812","http://ts.21cn.com/tousu/show/id/1351812")</f>
        <v>http://ts.21cn.com/tousu/show/id/1351812</v>
      </c>
      <c r="F19815" s="2" t="s">
        <v>11</v>
      </c>
      <c r="G19815" s="2" t="s">
        <v>5202</v>
      </c>
      <c r="H19815" s="2" t="s">
        <v>5203</v>
      </c>
    </row>
    <row r="19816" spans="1:8" ht="25.05" customHeight="1" x14ac:dyDescent="0.25">
      <c r="A19816" s="2" t="s">
        <v>8</v>
      </c>
      <c r="B19816" s="2" t="str">
        <f>HYPERLINK("http://ts.21cn.com/tousu/show/id/1351814","利息高达370%，是国家规定的十倍！！！")</f>
        <v>利息高达370%，是国家规定的十倍！！！</v>
      </c>
      <c r="C19816" s="2" t="s">
        <v>9</v>
      </c>
      <c r="D19816" s="2" t="s">
        <v>10</v>
      </c>
      <c r="E19816" s="2" t="str">
        <f>HYPERLINK("http://ts.21cn.com/tousu/show/id/1351814","http://ts.21cn.com/tousu/show/id/1351814")</f>
        <v>http://ts.21cn.com/tousu/show/id/1351814</v>
      </c>
      <c r="F19816" s="2" t="s">
        <v>11</v>
      </c>
      <c r="G19816" s="2" t="s">
        <v>5200</v>
      </c>
      <c r="H19816" s="2" t="s">
        <v>5201</v>
      </c>
    </row>
    <row r="19817" spans="1:8" ht="25.05" customHeight="1" x14ac:dyDescent="0.25">
      <c r="A19817" s="2" t="s">
        <v>8</v>
      </c>
      <c r="B19817" s="2" t="str">
        <f>HYPERLINK("http://ts.21cn.com/tousu/show/id/1351816","爆通信录和发信息朋友")</f>
        <v>爆通信录和发信息朋友</v>
      </c>
      <c r="C19817" s="2" t="s">
        <v>34</v>
      </c>
      <c r="D19817" s="2" t="s">
        <v>10</v>
      </c>
      <c r="E19817" s="2" t="str">
        <f>HYPERLINK("http://ts.21cn.com/tousu/show/id/1351816","http://ts.21cn.com/tousu/show/id/1351816")</f>
        <v>http://ts.21cn.com/tousu/show/id/1351816</v>
      </c>
      <c r="F19817" s="2" t="s">
        <v>11</v>
      </c>
      <c r="G19817" s="2" t="s">
        <v>5198</v>
      </c>
      <c r="H19817" s="2" t="s">
        <v>5199</v>
      </c>
    </row>
    <row r="19818" spans="1:8" ht="25.05" customHeight="1" x14ac:dyDescent="0.25">
      <c r="A19818" s="2" t="s">
        <v>8</v>
      </c>
      <c r="B19818" s="2" t="str">
        <f>HYPERLINK("http://ts.21cn.com/tousu/show/id/1351817","钱站高利贷阴阳合同")</f>
        <v>钱站高利贷阴阳合同</v>
      </c>
      <c r="C19818" s="2" t="s">
        <v>9</v>
      </c>
      <c r="D19818" s="2" t="s">
        <v>10</v>
      </c>
      <c r="E19818" s="2" t="str">
        <f>HYPERLINK("http://ts.21cn.com/tousu/show/id/1351817","http://ts.21cn.com/tousu/show/id/1351817")</f>
        <v>http://ts.21cn.com/tousu/show/id/1351817</v>
      </c>
      <c r="F19818" s="2" t="s">
        <v>11</v>
      </c>
      <c r="G19818" s="2" t="s">
        <v>5196</v>
      </c>
      <c r="H19818" s="2" t="s">
        <v>5197</v>
      </c>
    </row>
    <row r="19819" spans="1:8" ht="25.05" customHeight="1" x14ac:dyDescent="0.25">
      <c r="A19819" s="2" t="s">
        <v>8</v>
      </c>
      <c r="B19819" s="2" t="str">
        <f>HYPERLINK("http://ts.21cn.com/tousu/show/id/1351818","现控达人微豆荚放款2800元还款4201.6")</f>
        <v>现控达人微豆荚放款2800元还款4201.6</v>
      </c>
      <c r="C19819" s="2" t="s">
        <v>34</v>
      </c>
      <c r="D19819" s="2" t="s">
        <v>10</v>
      </c>
      <c r="E19819" s="2" t="str">
        <f>HYPERLINK("http://ts.21cn.com/tousu/show/id/1351818","http://ts.21cn.com/tousu/show/id/1351818")</f>
        <v>http://ts.21cn.com/tousu/show/id/1351818</v>
      </c>
      <c r="F19819" s="2" t="s">
        <v>11</v>
      </c>
      <c r="G19819" s="2" t="s">
        <v>5194</v>
      </c>
      <c r="H19819" s="2" t="s">
        <v>5195</v>
      </c>
    </row>
    <row r="19820" spans="1:8" ht="25.05" customHeight="1" x14ac:dyDescent="0.25">
      <c r="A19820" s="2" t="s">
        <v>8</v>
      </c>
      <c r="B19820" s="2" t="str">
        <f>HYPERLINK("http://ts.21cn.com/tousu/show/id/1351819","闪银瞬瞬，哼哼，申请延期，停止催收，骚扰家人")</f>
        <v>闪银瞬瞬，哼哼，申请延期，停止催收，骚扰家人</v>
      </c>
      <c r="C19820" s="2" t="s">
        <v>9</v>
      </c>
      <c r="D19820" s="2" t="s">
        <v>10</v>
      </c>
      <c r="E19820" s="2" t="str">
        <f>HYPERLINK("http://ts.21cn.com/tousu/show/id/1351819","http://ts.21cn.com/tousu/show/id/1351819")</f>
        <v>http://ts.21cn.com/tousu/show/id/1351819</v>
      </c>
      <c r="F19820" s="2" t="s">
        <v>11</v>
      </c>
      <c r="G19820" s="2" t="s">
        <v>5192</v>
      </c>
      <c r="H19820" s="2" t="s">
        <v>5193</v>
      </c>
    </row>
    <row r="19821" spans="1:8" ht="25.05" customHeight="1" x14ac:dyDescent="0.25">
      <c r="A19821" s="2" t="s">
        <v>8</v>
      </c>
      <c r="B19821" s="2" t="str">
        <f>HYPERLINK("http://ts.21cn.com/tousu/show/id/1351820","恶意扣款")</f>
        <v>恶意扣款</v>
      </c>
      <c r="C19821" s="2" t="s">
        <v>9</v>
      </c>
      <c r="D19821" s="2" t="s">
        <v>10</v>
      </c>
      <c r="E19821" s="2" t="str">
        <f>HYPERLINK("http://ts.21cn.com/tousu/show/id/1351820","http://ts.21cn.com/tousu/show/id/1351820")</f>
        <v>http://ts.21cn.com/tousu/show/id/1351820</v>
      </c>
      <c r="F19821" s="2" t="s">
        <v>11</v>
      </c>
      <c r="G19821" s="2" t="s">
        <v>5190</v>
      </c>
      <c r="H19821" s="2" t="s">
        <v>5191</v>
      </c>
    </row>
    <row r="19822" spans="1:8" ht="25.05" customHeight="1" x14ac:dyDescent="0.25">
      <c r="A19822" s="2" t="s">
        <v>8</v>
      </c>
      <c r="B19822" s="2" t="str">
        <f>HYPERLINK("http://ts.21cn.com/tousu/show/id/1351821","钱站APP放款慢还泄露我的个人信息")</f>
        <v>钱站APP放款慢还泄露我的个人信息</v>
      </c>
      <c r="C19822" s="2" t="s">
        <v>9</v>
      </c>
      <c r="D19822" s="2" t="s">
        <v>10</v>
      </c>
      <c r="E19822" s="2" t="str">
        <f>HYPERLINK("http://ts.21cn.com/tousu/show/id/1351821","http://ts.21cn.com/tousu/show/id/1351821")</f>
        <v>http://ts.21cn.com/tousu/show/id/1351821</v>
      </c>
      <c r="F19822" s="2" t="s">
        <v>11</v>
      </c>
      <c r="G19822" s="2" t="s">
        <v>5188</v>
      </c>
      <c r="H19822" s="2" t="s">
        <v>5189</v>
      </c>
    </row>
    <row r="19823" spans="1:8" ht="25.05" customHeight="1" x14ac:dyDescent="0.25">
      <c r="A19823" s="2" t="s">
        <v>8</v>
      </c>
      <c r="B19823" s="2" t="str">
        <f>HYPERLINK("http://ts.21cn.com/tousu/show/id/1351824","恶意盗取银行卡内钱")</f>
        <v>恶意盗取银行卡内钱</v>
      </c>
      <c r="C19823" s="2" t="s">
        <v>9</v>
      </c>
      <c r="D19823" s="2" t="s">
        <v>10</v>
      </c>
      <c r="E19823" s="2" t="str">
        <f>HYPERLINK("http://ts.21cn.com/tousu/show/id/1351824","http://ts.21cn.com/tousu/show/id/1351824")</f>
        <v>http://ts.21cn.com/tousu/show/id/1351824</v>
      </c>
      <c r="F19823" s="2" t="s">
        <v>11</v>
      </c>
      <c r="G19823" s="2" t="s">
        <v>5186</v>
      </c>
      <c r="H19823" s="2" t="s">
        <v>5187</v>
      </c>
    </row>
    <row r="19824" spans="1:8" ht="25.05" customHeight="1" x14ac:dyDescent="0.25">
      <c r="A19824" s="2" t="s">
        <v>8</v>
      </c>
      <c r="B19824" s="2" t="str">
        <f>HYPERLINK("http://ts.21cn.com/tousu/show/id/1351828","取消协议")</f>
        <v>取消协议</v>
      </c>
      <c r="C19824" s="2" t="s">
        <v>34</v>
      </c>
      <c r="D19824" s="2" t="s">
        <v>10</v>
      </c>
      <c r="E19824" s="2" t="str">
        <f>HYPERLINK("http://ts.21cn.com/tousu/show/id/1351828","http://ts.21cn.com/tousu/show/id/1351828")</f>
        <v>http://ts.21cn.com/tousu/show/id/1351828</v>
      </c>
      <c r="F19824" s="2" t="s">
        <v>11</v>
      </c>
      <c r="G19824" s="2" t="s">
        <v>5184</v>
      </c>
      <c r="H19824" s="2" t="s">
        <v>5185</v>
      </c>
    </row>
    <row r="19825" spans="1:8" ht="25.05" customHeight="1" x14ac:dyDescent="0.25">
      <c r="A19825" s="2" t="s">
        <v>8</v>
      </c>
      <c r="B19825" s="2" t="str">
        <f>HYPERLINK("http://ts.21cn.com/tousu/show/id/1351830","大量用户无法退还立刻出行499元押金")</f>
        <v>大量用户无法退还立刻出行499元押金</v>
      </c>
      <c r="C19825" s="2" t="s">
        <v>9</v>
      </c>
      <c r="D19825" s="2" t="s">
        <v>10</v>
      </c>
      <c r="E19825" s="2" t="str">
        <f>HYPERLINK("http://ts.21cn.com/tousu/show/id/1351830","http://ts.21cn.com/tousu/show/id/1351830")</f>
        <v>http://ts.21cn.com/tousu/show/id/1351830</v>
      </c>
      <c r="F19825" s="2" t="s">
        <v>11</v>
      </c>
      <c r="G19825" s="2" t="s">
        <v>5182</v>
      </c>
      <c r="H19825" s="2" t="s">
        <v>5183</v>
      </c>
    </row>
    <row r="19826" spans="1:8" ht="25.05" customHeight="1" x14ac:dyDescent="0.25">
      <c r="A19826" s="2" t="s">
        <v>8</v>
      </c>
      <c r="B19826" s="2" t="str">
        <f>HYPERLINK("http://ts.21cn.com/tousu/show/id/1351831","捷信利息高")</f>
        <v>捷信利息高</v>
      </c>
      <c r="C19826" s="2" t="s">
        <v>9</v>
      </c>
      <c r="D19826" s="2" t="s">
        <v>10</v>
      </c>
      <c r="E19826" s="2" t="str">
        <f>HYPERLINK("http://ts.21cn.com/tousu/show/id/1351831","http://ts.21cn.com/tousu/show/id/1351831")</f>
        <v>http://ts.21cn.com/tousu/show/id/1351831</v>
      </c>
      <c r="F19826" s="2" t="s">
        <v>11</v>
      </c>
      <c r="G19826" s="2" t="s">
        <v>5180</v>
      </c>
      <c r="H19826" s="2" t="s">
        <v>5181</v>
      </c>
    </row>
    <row r="19827" spans="1:8" ht="25.05" customHeight="1" x14ac:dyDescent="0.25">
      <c r="A19827" s="2" t="s">
        <v>8</v>
      </c>
      <c r="B19827" s="2" t="str">
        <f>HYPERLINK("http://ts.21cn.com/tousu/show/id/1351832","申请宽限时间减免利息")</f>
        <v>申请宽限时间减免利息</v>
      </c>
      <c r="C19827" s="2" t="s">
        <v>9</v>
      </c>
      <c r="D19827" s="2" t="s">
        <v>10</v>
      </c>
      <c r="E19827" s="2" t="str">
        <f>HYPERLINK("http://ts.21cn.com/tousu/show/id/1351832","http://ts.21cn.com/tousu/show/id/1351832")</f>
        <v>http://ts.21cn.com/tousu/show/id/1351832</v>
      </c>
      <c r="F19827" s="2" t="s">
        <v>11</v>
      </c>
      <c r="G19827" s="2" t="s">
        <v>5178</v>
      </c>
      <c r="H19827" s="2" t="s">
        <v>5179</v>
      </c>
    </row>
    <row r="19828" spans="1:8" ht="25.05" customHeight="1" x14ac:dyDescent="0.25">
      <c r="A19828" s="2" t="s">
        <v>8</v>
      </c>
      <c r="B19828" s="2" t="str">
        <f>HYPERLINK("http://ts.21cn.com/tousu/show/id/1351833","宜人贷高额利息")</f>
        <v>宜人贷高额利息</v>
      </c>
      <c r="C19828" s="2" t="s">
        <v>9</v>
      </c>
      <c r="D19828" s="2" t="s">
        <v>10</v>
      </c>
      <c r="E19828" s="2" t="str">
        <f>HYPERLINK("http://ts.21cn.com/tousu/show/id/1351833","http://ts.21cn.com/tousu/show/id/1351833")</f>
        <v>http://ts.21cn.com/tousu/show/id/1351833</v>
      </c>
      <c r="F19828" s="2" t="s">
        <v>11</v>
      </c>
      <c r="G19828" s="2" t="s">
        <v>5176</v>
      </c>
      <c r="H19828" s="2" t="s">
        <v>5177</v>
      </c>
    </row>
    <row r="19829" spans="1:8" ht="25.05" customHeight="1" x14ac:dyDescent="0.25">
      <c r="A19829" s="2" t="s">
        <v>8</v>
      </c>
      <c r="B19829" s="2" t="str">
        <f>HYPERLINK("http://ts.21cn.com/tousu/show/id/1351834","360借")</f>
        <v>360借</v>
      </c>
      <c r="C19829" s="2" t="s">
        <v>9</v>
      </c>
      <c r="D19829" s="2" t="s">
        <v>10</v>
      </c>
      <c r="E19829" s="2" t="str">
        <f>HYPERLINK("http://ts.21cn.com/tousu/show/id/1351834","http://ts.21cn.com/tousu/show/id/1351834")</f>
        <v>http://ts.21cn.com/tousu/show/id/1351834</v>
      </c>
      <c r="F19829" s="2" t="s">
        <v>11</v>
      </c>
      <c r="G19829" s="2" t="s">
        <v>5174</v>
      </c>
      <c r="H19829" s="2" t="s">
        <v>5175</v>
      </c>
    </row>
    <row r="19830" spans="1:8" ht="25.05" customHeight="1" x14ac:dyDescent="0.25">
      <c r="A19830" s="2" t="s">
        <v>8</v>
      </c>
      <c r="B19830" s="2" t="str">
        <f>HYPERLINK("http://ts.21cn.com/tousu/show/id/1351835","无法正常还款")</f>
        <v>无法正常还款</v>
      </c>
      <c r="C19830" s="2" t="s">
        <v>34</v>
      </c>
      <c r="D19830" s="2" t="s">
        <v>10</v>
      </c>
      <c r="E19830" s="2" t="str">
        <f>HYPERLINK("http://ts.21cn.com/tousu/show/id/1351835","http://ts.21cn.com/tousu/show/id/1351835")</f>
        <v>http://ts.21cn.com/tousu/show/id/1351835</v>
      </c>
      <c r="F19830" s="2" t="s">
        <v>11</v>
      </c>
      <c r="G19830" s="2" t="s">
        <v>5172</v>
      </c>
      <c r="H19830" s="2" t="s">
        <v>5173</v>
      </c>
    </row>
    <row r="19831" spans="1:8" ht="25.05" customHeight="1" x14ac:dyDescent="0.25">
      <c r="A19831" s="2" t="s">
        <v>8</v>
      </c>
      <c r="B19831" s="2" t="str">
        <f>HYPERLINK("http://ts.21cn.com/tousu/show/id/1351836","玖富万卡阴阳合同")</f>
        <v>玖富万卡阴阳合同</v>
      </c>
      <c r="C19831" s="2" t="s">
        <v>9</v>
      </c>
      <c r="D19831" s="2" t="s">
        <v>10</v>
      </c>
      <c r="E19831" s="2" t="str">
        <f>HYPERLINK("http://ts.21cn.com/tousu/show/id/1351836","http://ts.21cn.com/tousu/show/id/1351836")</f>
        <v>http://ts.21cn.com/tousu/show/id/1351836</v>
      </c>
      <c r="F19831" s="2" t="s">
        <v>11</v>
      </c>
      <c r="G19831" s="2" t="s">
        <v>5170</v>
      </c>
      <c r="H19831" s="2" t="s">
        <v>5171</v>
      </c>
    </row>
    <row r="19832" spans="1:8" ht="25.05" customHeight="1" x14ac:dyDescent="0.25">
      <c r="A19832" s="2" t="s">
        <v>8</v>
      </c>
      <c r="B19832" s="2" t="str">
        <f>HYPERLINK("http://ts.21cn.com/tousu/show/id/1351837","暴力催收爆通讯录威胁")</f>
        <v>暴力催收爆通讯录威胁</v>
      </c>
      <c r="C19832" s="2" t="s">
        <v>9</v>
      </c>
      <c r="D19832" s="2" t="s">
        <v>10</v>
      </c>
      <c r="E19832" s="2" t="str">
        <f>HYPERLINK("http://ts.21cn.com/tousu/show/id/1351837","http://ts.21cn.com/tousu/show/id/1351837")</f>
        <v>http://ts.21cn.com/tousu/show/id/1351837</v>
      </c>
      <c r="F19832" s="2" t="s">
        <v>11</v>
      </c>
      <c r="G19832" s="2" t="s">
        <v>5168</v>
      </c>
      <c r="H19832" s="2" t="s">
        <v>5169</v>
      </c>
    </row>
    <row r="19833" spans="1:8" ht="25.05" customHeight="1" x14ac:dyDescent="0.25">
      <c r="A19833" s="2" t="s">
        <v>8</v>
      </c>
      <c r="B19833" s="2" t="str">
        <f>HYPERLINK("http://ts.21cn.com/tousu/show/id/1351839","网络赌博")</f>
        <v>网络赌博</v>
      </c>
      <c r="C19833" s="2" t="s">
        <v>9</v>
      </c>
      <c r="D19833" s="2" t="s">
        <v>10</v>
      </c>
      <c r="E19833" s="2" t="str">
        <f>HYPERLINK("http://ts.21cn.com/tousu/show/id/1351839","http://ts.21cn.com/tousu/show/id/1351839")</f>
        <v>http://ts.21cn.com/tousu/show/id/1351839</v>
      </c>
      <c r="F19833" s="2" t="s">
        <v>11</v>
      </c>
      <c r="G19833" s="2" t="s">
        <v>5166</v>
      </c>
      <c r="H19833" s="2" t="s">
        <v>5167</v>
      </c>
    </row>
    <row r="19834" spans="1:8" ht="25.05" customHeight="1" x14ac:dyDescent="0.25">
      <c r="A19834" s="2" t="s">
        <v>8</v>
      </c>
      <c r="B19834" s="2" t="str">
        <f>HYPERLINK("http://ts.21cn.com/tousu/show/id/1351841","360借条暴利")</f>
        <v>360借条暴利</v>
      </c>
      <c r="C19834" s="2" t="s">
        <v>9</v>
      </c>
      <c r="D19834" s="2" t="s">
        <v>10</v>
      </c>
      <c r="E19834" s="2" t="str">
        <f>HYPERLINK("http://ts.21cn.com/tousu/show/id/1351841","http://ts.21cn.com/tousu/show/id/1351841")</f>
        <v>http://ts.21cn.com/tousu/show/id/1351841</v>
      </c>
      <c r="F19834" s="2" t="s">
        <v>11</v>
      </c>
      <c r="G19834" s="2" t="s">
        <v>5164</v>
      </c>
      <c r="H19834" s="2" t="s">
        <v>5165</v>
      </c>
    </row>
    <row r="19835" spans="1:8" ht="25.05" customHeight="1" x14ac:dyDescent="0.25">
      <c r="A19835" s="2" t="s">
        <v>8</v>
      </c>
      <c r="B19835" s="2" t="str">
        <f>HYPERLINK("http://ts.21cn.com/tousu/show/id/1351842","开店宝支付旗下员工盗刷我298元，而且在我不知道的情况下盗刷的，我也联系过他他说办刷卡机的钱，我没想过办刷卡机我也用不着")</f>
        <v>开店宝支付旗下员工盗刷我298元，而且在我不知道的情况下盗刷的，我也联系过他他说办刷卡机的钱，我没想过办刷卡机我也用不着</v>
      </c>
      <c r="C19835" s="2" t="s">
        <v>9</v>
      </c>
      <c r="D19835" s="2" t="s">
        <v>10</v>
      </c>
      <c r="E19835" s="2" t="str">
        <f>HYPERLINK("http://ts.21cn.com/tousu/show/id/1351842","http://ts.21cn.com/tousu/show/id/1351842")</f>
        <v>http://ts.21cn.com/tousu/show/id/1351842</v>
      </c>
      <c r="F19835" s="2" t="s">
        <v>11</v>
      </c>
      <c r="G19835" s="2" t="s">
        <v>5162</v>
      </c>
      <c r="H19835" s="2" t="s">
        <v>5163</v>
      </c>
    </row>
    <row r="19836" spans="1:8" ht="25.05" customHeight="1" x14ac:dyDescent="0.25">
      <c r="A19836" s="2" t="s">
        <v>8</v>
      </c>
      <c r="B19836" s="2" t="str">
        <f>HYPERLINK("http://ts.21cn.com/tousu/show/id/1351840","即有分期高额贷款")</f>
        <v>即有分期高额贷款</v>
      </c>
      <c r="C19836" s="2" t="s">
        <v>9</v>
      </c>
      <c r="D19836" s="2" t="s">
        <v>10</v>
      </c>
      <c r="E19836" s="2" t="str">
        <f>HYPERLINK("http://ts.21cn.com/tousu/show/id/1351840","http://ts.21cn.com/tousu/show/id/1351840")</f>
        <v>http://ts.21cn.com/tousu/show/id/1351840</v>
      </c>
      <c r="F19836" s="2" t="s">
        <v>11</v>
      </c>
      <c r="G19836" s="2" t="s">
        <v>5160</v>
      </c>
      <c r="H19836" s="2" t="s">
        <v>5161</v>
      </c>
    </row>
    <row r="19837" spans="1:8" ht="25.05" customHeight="1" x14ac:dyDescent="0.25">
      <c r="A19837" s="2" t="s">
        <v>8</v>
      </c>
      <c r="B19837" s="2" t="str">
        <f>HYPERLINK("http://ts.21cn.com/tousu/show/id/1351843","买的东西都没给发货")</f>
        <v>买的东西都没给发货</v>
      </c>
      <c r="C19837" s="2" t="s">
        <v>9</v>
      </c>
      <c r="D19837" s="2" t="s">
        <v>10</v>
      </c>
      <c r="E19837" s="2" t="str">
        <f>HYPERLINK("http://ts.21cn.com/tousu/show/id/1351843","http://ts.21cn.com/tousu/show/id/1351843")</f>
        <v>http://ts.21cn.com/tousu/show/id/1351843</v>
      </c>
      <c r="F19837" s="2" t="s">
        <v>11</v>
      </c>
      <c r="G19837" s="2" t="s">
        <v>5158</v>
      </c>
      <c r="H19837" s="2" t="s">
        <v>5159</v>
      </c>
    </row>
    <row r="19838" spans="1:8" ht="25.05" customHeight="1" x14ac:dyDescent="0.25">
      <c r="A19838" s="2" t="s">
        <v>8</v>
      </c>
      <c r="B19838" s="2" t="str">
        <f>HYPERLINK("http://ts.21cn.com/tousu/show/id/1351844","聚富分期私自扣费")</f>
        <v>聚富分期私自扣费</v>
      </c>
      <c r="C19838" s="2" t="s">
        <v>9</v>
      </c>
      <c r="D19838" s="2" t="s">
        <v>10</v>
      </c>
      <c r="E19838" s="2" t="str">
        <f>HYPERLINK("http://ts.21cn.com/tousu/show/id/1351844","http://ts.21cn.com/tousu/show/id/1351844")</f>
        <v>http://ts.21cn.com/tousu/show/id/1351844</v>
      </c>
      <c r="F19838" s="2" t="s">
        <v>11</v>
      </c>
      <c r="G19838" s="2" t="s">
        <v>5156</v>
      </c>
      <c r="H19838" s="2" t="s">
        <v>5157</v>
      </c>
    </row>
    <row r="19839" spans="1:8" ht="25.05" customHeight="1" x14ac:dyDescent="0.25">
      <c r="A19839" s="2" t="s">
        <v>8</v>
      </c>
      <c r="B19839" s="2" t="str">
        <f>HYPERLINK("http://ts.21cn.com/tousu/show/id/1351845","拼多多退款")</f>
        <v>拼多多退款</v>
      </c>
      <c r="C19839" s="2" t="s">
        <v>9</v>
      </c>
      <c r="D19839" s="2" t="s">
        <v>10</v>
      </c>
      <c r="E19839" s="2" t="str">
        <f>HYPERLINK("http://ts.21cn.com/tousu/show/id/1351845","http://ts.21cn.com/tousu/show/id/1351845")</f>
        <v>http://ts.21cn.com/tousu/show/id/1351845</v>
      </c>
      <c r="F19839" s="2" t="s">
        <v>11</v>
      </c>
      <c r="G19839" s="2" t="s">
        <v>5154</v>
      </c>
      <c r="H19839" s="2" t="s">
        <v>5155</v>
      </c>
    </row>
    <row r="19840" spans="1:8" ht="25.05" customHeight="1" x14ac:dyDescent="0.25">
      <c r="A19840" s="2" t="s">
        <v>8</v>
      </c>
      <c r="B19840" s="2" t="str">
        <f>HYPERLINK("http://ts.21cn.com/tousu/show/id/1351846","拍拍贷还款失败强行逾期")</f>
        <v>拍拍贷还款失败强行逾期</v>
      </c>
      <c r="C19840" s="2" t="s">
        <v>9</v>
      </c>
      <c r="D19840" s="2" t="s">
        <v>10</v>
      </c>
      <c r="E19840" s="2" t="str">
        <f>HYPERLINK("http://ts.21cn.com/tousu/show/id/1351846","http://ts.21cn.com/tousu/show/id/1351846")</f>
        <v>http://ts.21cn.com/tousu/show/id/1351846</v>
      </c>
      <c r="F19840" s="2" t="s">
        <v>11</v>
      </c>
      <c r="G19840" s="2" t="s">
        <v>5152</v>
      </c>
      <c r="H19840" s="2" t="s">
        <v>5153</v>
      </c>
    </row>
    <row r="19841" spans="1:8" ht="25.05" customHeight="1" x14ac:dyDescent="0.25">
      <c r="A19841" s="2" t="s">
        <v>8</v>
      </c>
      <c r="B19841" s="2" t="str">
        <f>HYPERLINK("http://ts.21cn.com/tousu/show/id/1351847","提现付款恢复正常使用")</f>
        <v>提现付款恢复正常使用</v>
      </c>
      <c r="C19841" s="2" t="s">
        <v>34</v>
      </c>
      <c r="D19841" s="2" t="s">
        <v>10</v>
      </c>
      <c r="E19841" s="2" t="str">
        <f>HYPERLINK("http://ts.21cn.com/tousu/show/id/1351847","http://ts.21cn.com/tousu/show/id/1351847")</f>
        <v>http://ts.21cn.com/tousu/show/id/1351847</v>
      </c>
      <c r="F19841" s="2" t="s">
        <v>11</v>
      </c>
      <c r="G19841" s="2" t="s">
        <v>5150</v>
      </c>
      <c r="H19841" s="2" t="s">
        <v>5151</v>
      </c>
    </row>
    <row r="19842" spans="1:8" ht="25.05" customHeight="1" x14ac:dyDescent="0.25">
      <c r="A19842" s="2" t="s">
        <v>8</v>
      </c>
      <c r="B19842" s="2" t="str">
        <f>HYPERLINK("http://ts.21cn.com/tousu/show/id/1351848","欺诈")</f>
        <v>欺诈</v>
      </c>
      <c r="C19842" s="2" t="s">
        <v>9</v>
      </c>
      <c r="D19842" s="2" t="s">
        <v>10</v>
      </c>
      <c r="E19842" s="2" t="str">
        <f>HYPERLINK("http://ts.21cn.com/tousu/show/id/1351848","http://ts.21cn.com/tousu/show/id/1351848")</f>
        <v>http://ts.21cn.com/tousu/show/id/1351848</v>
      </c>
      <c r="F19842" s="2" t="s">
        <v>11</v>
      </c>
      <c r="G19842" s="2" t="s">
        <v>5148</v>
      </c>
      <c r="H19842" s="2" t="s">
        <v>5149</v>
      </c>
    </row>
    <row r="19843" spans="1:8" ht="25.05" customHeight="1" x14ac:dyDescent="0.25">
      <c r="A19843" s="2" t="s">
        <v>8</v>
      </c>
      <c r="B19843" s="2" t="str">
        <f>HYPERLINK("http://ts.21cn.com/tousu/show/id/1351825","深圳亿博盛无良车贷")</f>
        <v>深圳亿博盛无良车贷</v>
      </c>
      <c r="C19843" s="2" t="s">
        <v>9</v>
      </c>
      <c r="D19843" s="2" t="s">
        <v>10</v>
      </c>
      <c r="E19843" s="2" t="str">
        <f>HYPERLINK("http://ts.21cn.com/tousu/show/id/1351825","http://ts.21cn.com/tousu/show/id/1351825")</f>
        <v>http://ts.21cn.com/tousu/show/id/1351825</v>
      </c>
      <c r="F19843" s="2" t="s">
        <v>11</v>
      </c>
      <c r="G19843" s="2" t="s">
        <v>5146</v>
      </c>
      <c r="H19843" s="2" t="s">
        <v>5147</v>
      </c>
    </row>
    <row r="19844" spans="1:8" ht="25.05" customHeight="1" x14ac:dyDescent="0.25">
      <c r="A19844" s="2" t="s">
        <v>8</v>
      </c>
      <c r="B19844" s="2" t="str">
        <f>HYPERLINK("http://ts.21cn.com/tousu/show/id/1351849","不知情的情况下被扣款")</f>
        <v>不知情的情况下被扣款</v>
      </c>
      <c r="C19844" s="2" t="s">
        <v>9</v>
      </c>
      <c r="D19844" s="2" t="s">
        <v>10</v>
      </c>
      <c r="E19844" s="2" t="str">
        <f>HYPERLINK("http://ts.21cn.com/tousu/show/id/1351849","http://ts.21cn.com/tousu/show/id/1351849")</f>
        <v>http://ts.21cn.com/tousu/show/id/1351849</v>
      </c>
      <c r="F19844" s="2" t="s">
        <v>11</v>
      </c>
      <c r="G19844" s="2" t="s">
        <v>5144</v>
      </c>
      <c r="H19844" s="2" t="s">
        <v>5145</v>
      </c>
    </row>
    <row r="19845" spans="1:8" ht="25.05" customHeight="1" x14ac:dyDescent="0.25">
      <c r="A19845" s="2" t="s">
        <v>8</v>
      </c>
      <c r="B19845" s="2" t="str">
        <f>HYPERLINK("http://ts.21cn.com/tousu/show/id/1351850","钱站高利贷阴阳合同")</f>
        <v>钱站高利贷阴阳合同</v>
      </c>
      <c r="C19845" s="2" t="s">
        <v>9</v>
      </c>
      <c r="D19845" s="2" t="s">
        <v>10</v>
      </c>
      <c r="E19845" s="2" t="str">
        <f>HYPERLINK("http://ts.21cn.com/tousu/show/id/1351850","http://ts.21cn.com/tousu/show/id/1351850")</f>
        <v>http://ts.21cn.com/tousu/show/id/1351850</v>
      </c>
      <c r="F19845" s="2" t="s">
        <v>11</v>
      </c>
      <c r="G19845" s="2" t="s">
        <v>5142</v>
      </c>
      <c r="H19845" s="2" t="s">
        <v>5143</v>
      </c>
    </row>
    <row r="19846" spans="1:8" ht="25.05" customHeight="1" x14ac:dyDescent="0.25">
      <c r="A19846" s="2" t="s">
        <v>8</v>
      </c>
      <c r="B19846" s="2" t="str">
        <f>HYPERLINK("http://ts.21cn.com/tousu/show/id/1351851","格力虚假宣传净水机WTE-pc8-4021")</f>
        <v>格力虚假宣传净水机WTE-pc8-4021</v>
      </c>
      <c r="C19846" s="2" t="s">
        <v>9</v>
      </c>
      <c r="D19846" s="2" t="s">
        <v>10</v>
      </c>
      <c r="E19846" s="2" t="str">
        <f>HYPERLINK("http://ts.21cn.com/tousu/show/id/1351851","http://ts.21cn.com/tousu/show/id/1351851")</f>
        <v>http://ts.21cn.com/tousu/show/id/1351851</v>
      </c>
      <c r="F19846" s="2" t="s">
        <v>11</v>
      </c>
      <c r="G19846" s="2" t="s">
        <v>5140</v>
      </c>
      <c r="H19846" s="2" t="s">
        <v>5141</v>
      </c>
    </row>
    <row r="19847" spans="1:8" ht="25.05" customHeight="1" x14ac:dyDescent="0.25">
      <c r="A19847" s="2" t="s">
        <v>8</v>
      </c>
      <c r="B19847" s="2" t="str">
        <f>HYPERLINK("http://ts.21cn.com/tousu/show/id/1351852","银行卡被盗刷")</f>
        <v>银行卡被盗刷</v>
      </c>
      <c r="C19847" s="2" t="s">
        <v>9</v>
      </c>
      <c r="D19847" s="2" t="s">
        <v>10</v>
      </c>
      <c r="E19847" s="2" t="str">
        <f>HYPERLINK("http://ts.21cn.com/tousu/show/id/1351852","http://ts.21cn.com/tousu/show/id/1351852")</f>
        <v>http://ts.21cn.com/tousu/show/id/1351852</v>
      </c>
      <c r="F19847" s="2" t="s">
        <v>11</v>
      </c>
      <c r="G19847" s="2" t="s">
        <v>5138</v>
      </c>
      <c r="H19847" s="2" t="s">
        <v>5139</v>
      </c>
    </row>
    <row r="19848" spans="1:8" ht="25.05" customHeight="1" x14ac:dyDescent="0.25">
      <c r="A19848" s="2" t="s">
        <v>8</v>
      </c>
      <c r="B19848" s="2" t="str">
        <f>HYPERLINK("http://ts.21cn.com/tousu/show/id/1351826","银行卡无端被扣296元，")</f>
        <v>银行卡无端被扣296元，</v>
      </c>
      <c r="C19848" s="2" t="s">
        <v>9</v>
      </c>
      <c r="D19848" s="2" t="s">
        <v>10</v>
      </c>
      <c r="E19848" s="2" t="str">
        <f>HYPERLINK("http://ts.21cn.com/tousu/show/id/1351826","http://ts.21cn.com/tousu/show/id/1351826")</f>
        <v>http://ts.21cn.com/tousu/show/id/1351826</v>
      </c>
      <c r="F19848" s="2" t="s">
        <v>11</v>
      </c>
      <c r="G19848" s="2" t="s">
        <v>5136</v>
      </c>
      <c r="H19848" s="2" t="s">
        <v>5137</v>
      </c>
    </row>
    <row r="19849" spans="1:8" ht="25.05" customHeight="1" x14ac:dyDescent="0.25">
      <c r="A19849" s="2" t="s">
        <v>8</v>
      </c>
      <c r="B19849" s="2" t="str">
        <f>HYPERLINK("http://ts.21cn.com/tousu/show/id/1351853","乱扣费")</f>
        <v>乱扣费</v>
      </c>
      <c r="C19849" s="2" t="s">
        <v>9</v>
      </c>
      <c r="D19849" s="2" t="s">
        <v>10</v>
      </c>
      <c r="E19849" s="2" t="str">
        <f>HYPERLINK("http://ts.21cn.com/tousu/show/id/1351853","http://ts.21cn.com/tousu/show/id/1351853")</f>
        <v>http://ts.21cn.com/tousu/show/id/1351853</v>
      </c>
      <c r="F19849" s="2" t="s">
        <v>11</v>
      </c>
      <c r="G19849" s="2" t="s">
        <v>5134</v>
      </c>
      <c r="H19849" s="2" t="s">
        <v>5135</v>
      </c>
    </row>
    <row r="19850" spans="1:8" ht="25.05" customHeight="1" x14ac:dyDescent="0.25">
      <c r="A19850" s="2" t="s">
        <v>8</v>
      </c>
      <c r="B19850" s="2" t="str">
        <f>HYPERLINK("http://ts.21cn.com/tousu/show/id/1351854","钱站阴阳合同，变相高利贷")</f>
        <v>钱站阴阳合同，变相高利贷</v>
      </c>
      <c r="C19850" s="2" t="s">
        <v>9</v>
      </c>
      <c r="D19850" s="2" t="s">
        <v>10</v>
      </c>
      <c r="E19850" s="2" t="str">
        <f>HYPERLINK("http://ts.21cn.com/tousu/show/id/1351854","http://ts.21cn.com/tousu/show/id/1351854")</f>
        <v>http://ts.21cn.com/tousu/show/id/1351854</v>
      </c>
      <c r="F19850" s="2" t="s">
        <v>11</v>
      </c>
      <c r="G19850" s="2" t="s">
        <v>5132</v>
      </c>
      <c r="H19850" s="2" t="s">
        <v>5133</v>
      </c>
    </row>
    <row r="19851" spans="1:8" ht="25.05" customHeight="1" x14ac:dyDescent="0.25">
      <c r="A19851" s="2" t="s">
        <v>8</v>
      </c>
      <c r="B19851" s="2" t="str">
        <f>HYPERLINK("http://ts.21cn.com/tousu/show/id/1351855","钱站高利贷阴阳合同")</f>
        <v>钱站高利贷阴阳合同</v>
      </c>
      <c r="C19851" s="2" t="s">
        <v>9</v>
      </c>
      <c r="D19851" s="2" t="s">
        <v>10</v>
      </c>
      <c r="E19851" s="2" t="str">
        <f>HYPERLINK("http://ts.21cn.com/tousu/show/id/1351855","http://ts.21cn.com/tousu/show/id/1351855")</f>
        <v>http://ts.21cn.com/tousu/show/id/1351855</v>
      </c>
      <c r="F19851" s="2" t="s">
        <v>11</v>
      </c>
      <c r="G19851" s="2" t="s">
        <v>5130</v>
      </c>
      <c r="H19851" s="2" t="s">
        <v>5131</v>
      </c>
    </row>
    <row r="19852" spans="1:8" ht="25.05" customHeight="1" x14ac:dyDescent="0.25">
      <c r="A19852" s="2" t="s">
        <v>8</v>
      </c>
      <c r="B19852" s="2" t="str">
        <f>HYPERLINK("http://ts.21cn.com/tousu/show/id/1351856","整存宝的钱提出太慢200天拿不到钱")</f>
        <v>整存宝的钱提出太慢200天拿不到钱</v>
      </c>
      <c r="C19852" s="2" t="s">
        <v>9</v>
      </c>
      <c r="D19852" s="2" t="s">
        <v>10</v>
      </c>
      <c r="E19852" s="2" t="str">
        <f>HYPERLINK("http://ts.21cn.com/tousu/show/id/1351856","http://ts.21cn.com/tousu/show/id/1351856")</f>
        <v>http://ts.21cn.com/tousu/show/id/1351856</v>
      </c>
      <c r="F19852" s="2" t="s">
        <v>11</v>
      </c>
      <c r="G19852" s="2" t="s">
        <v>5128</v>
      </c>
      <c r="H19852" s="2" t="s">
        <v>5129</v>
      </c>
    </row>
    <row r="19853" spans="1:8" ht="25.05" customHeight="1" x14ac:dyDescent="0.25">
      <c r="A19853" s="2" t="s">
        <v>8</v>
      </c>
      <c r="B19853" s="2" t="str">
        <f>HYPERLINK("http://ts.21cn.com/tousu/show/id/1351857","投诉闪银app收取高额砍头息，高额利息，暴力催收，恶意短信骚扰我和家人，并辱骂本人与家人")</f>
        <v>投诉闪银app收取高额砍头息，高额利息，暴力催收，恶意短信骚扰我和家人，并辱骂本人与家人</v>
      </c>
      <c r="C19853" s="2" t="s">
        <v>9</v>
      </c>
      <c r="D19853" s="2" t="s">
        <v>10</v>
      </c>
      <c r="E19853" s="2" t="str">
        <f>HYPERLINK("http://ts.21cn.com/tousu/show/id/1351857","http://ts.21cn.com/tousu/show/id/1351857")</f>
        <v>http://ts.21cn.com/tousu/show/id/1351857</v>
      </c>
      <c r="F19853" s="2" t="s">
        <v>11</v>
      </c>
      <c r="G19853" s="2" t="s">
        <v>5126</v>
      </c>
      <c r="H19853" s="2" t="s">
        <v>5127</v>
      </c>
    </row>
    <row r="19854" spans="1:8" ht="25.05" customHeight="1" x14ac:dyDescent="0.25">
      <c r="A19854" s="2" t="s">
        <v>8</v>
      </c>
      <c r="B19854" s="2" t="str">
        <f>HYPERLINK("http://ts.21cn.com/tousu/show/id/1351858","想退款找不到商家")</f>
        <v>想退款找不到商家</v>
      </c>
      <c r="C19854" s="2" t="s">
        <v>9</v>
      </c>
      <c r="D19854" s="2" t="s">
        <v>10</v>
      </c>
      <c r="E19854" s="2" t="str">
        <f>HYPERLINK("http://ts.21cn.com/tousu/show/id/1351858","http://ts.21cn.com/tousu/show/id/1351858")</f>
        <v>http://ts.21cn.com/tousu/show/id/1351858</v>
      </c>
      <c r="F19854" s="2" t="s">
        <v>11</v>
      </c>
      <c r="G19854" s="2" t="s">
        <v>5124</v>
      </c>
      <c r="H19854" s="2" t="s">
        <v>5125</v>
      </c>
    </row>
    <row r="19855" spans="1:8" ht="25.05" customHeight="1" x14ac:dyDescent="0.25">
      <c r="A19855" s="2" t="s">
        <v>8</v>
      </c>
      <c r="B19855" s="2" t="str">
        <f>HYPERLINK("http://ts.21cn.com/tousu/show/id/1351859","去年在京东买的今巴蟹券不能提货")</f>
        <v>去年在京东买的今巴蟹券不能提货</v>
      </c>
      <c r="C19855" s="2" t="s">
        <v>34</v>
      </c>
      <c r="D19855" s="2" t="s">
        <v>10</v>
      </c>
      <c r="E19855" s="2" t="str">
        <f>HYPERLINK("http://ts.21cn.com/tousu/show/id/1351859","http://ts.21cn.com/tousu/show/id/1351859")</f>
        <v>http://ts.21cn.com/tousu/show/id/1351859</v>
      </c>
      <c r="F19855" s="2" t="s">
        <v>11</v>
      </c>
      <c r="G19855" s="2" t="s">
        <v>5122</v>
      </c>
      <c r="H19855" s="2" t="s">
        <v>5123</v>
      </c>
    </row>
    <row r="19856" spans="1:8" ht="25.05" customHeight="1" x14ac:dyDescent="0.25">
      <c r="A19856" s="2" t="s">
        <v>8</v>
      </c>
      <c r="B19856" s="2" t="str">
        <f>HYPERLINK("http://ts.21cn.com/tousu/show/id/1351860","信用管家借钱里的聚宝来砍头息高利贷")</f>
        <v>信用管家借钱里的聚宝来砍头息高利贷</v>
      </c>
      <c r="C19856" s="2" t="s">
        <v>9</v>
      </c>
      <c r="D19856" s="2" t="s">
        <v>10</v>
      </c>
      <c r="E19856" s="2" t="str">
        <f>HYPERLINK("http://ts.21cn.com/tousu/show/id/1351860","http://ts.21cn.com/tousu/show/id/1351860")</f>
        <v>http://ts.21cn.com/tousu/show/id/1351860</v>
      </c>
      <c r="F19856" s="2" t="s">
        <v>11</v>
      </c>
      <c r="G19856" s="2" t="s">
        <v>5120</v>
      </c>
      <c r="H19856" s="2" t="s">
        <v>5121</v>
      </c>
    </row>
    <row r="19857" spans="1:8" ht="25.05" customHeight="1" x14ac:dyDescent="0.25">
      <c r="A19857" s="2" t="s">
        <v>8</v>
      </c>
      <c r="B19857" s="2" t="str">
        <f>HYPERLINK("http://ts.21cn.com/tousu/show/id/1351862","承诺退款无处理")</f>
        <v>承诺退款无处理</v>
      </c>
      <c r="C19857" s="2" t="s">
        <v>9</v>
      </c>
      <c r="D19857" s="2" t="s">
        <v>10</v>
      </c>
      <c r="E19857" s="2" t="str">
        <f>HYPERLINK("http://ts.21cn.com/tousu/show/id/1351862","http://ts.21cn.com/tousu/show/id/1351862")</f>
        <v>http://ts.21cn.com/tousu/show/id/1351862</v>
      </c>
      <c r="F19857" s="2" t="s">
        <v>11</v>
      </c>
      <c r="G19857" s="2" t="s">
        <v>5118</v>
      </c>
      <c r="H19857" s="2" t="s">
        <v>5119</v>
      </c>
    </row>
    <row r="19858" spans="1:8" ht="25.05" customHeight="1" x14ac:dyDescent="0.25">
      <c r="A19858" s="2" t="s">
        <v>8</v>
      </c>
      <c r="B19858" s="2" t="str">
        <f>HYPERLINK("http://ts.21cn.com/tousu/show/id/1351863","高利息")</f>
        <v>高利息</v>
      </c>
      <c r="C19858" s="2" t="s">
        <v>34</v>
      </c>
      <c r="D19858" s="2" t="s">
        <v>10</v>
      </c>
      <c r="E19858" s="2" t="str">
        <f>HYPERLINK("http://ts.21cn.com/tousu/show/id/1351863","http://ts.21cn.com/tousu/show/id/1351863")</f>
        <v>http://ts.21cn.com/tousu/show/id/1351863</v>
      </c>
      <c r="F19858" s="2" t="s">
        <v>11</v>
      </c>
      <c r="G19858" s="2" t="s">
        <v>5116</v>
      </c>
      <c r="H19858" s="2" t="s">
        <v>5117</v>
      </c>
    </row>
    <row r="19859" spans="1:8" ht="25.05" customHeight="1" x14ac:dyDescent="0.25">
      <c r="A19859" s="2" t="s">
        <v>8</v>
      </c>
      <c r="B19859" s="2" t="str">
        <f>HYPERLINK("http://ts.21cn.com/tousu/show/id/1351864","小鹿情感忽悠消费者，退款问题要求退全款")</f>
        <v>小鹿情感忽悠消费者，退款问题要求退全款</v>
      </c>
      <c r="C19859" s="2" t="s">
        <v>9</v>
      </c>
      <c r="D19859" s="2" t="s">
        <v>10</v>
      </c>
      <c r="E19859" s="2" t="str">
        <f>HYPERLINK("http://ts.21cn.com/tousu/show/id/1351864","http://ts.21cn.com/tousu/show/id/1351864")</f>
        <v>http://ts.21cn.com/tousu/show/id/1351864</v>
      </c>
      <c r="F19859" s="2" t="s">
        <v>11</v>
      </c>
      <c r="G19859" s="2" t="s">
        <v>5114</v>
      </c>
      <c r="H19859" s="2" t="s">
        <v>5115</v>
      </c>
    </row>
    <row r="19860" spans="1:8" ht="25.05" customHeight="1" x14ac:dyDescent="0.25">
      <c r="A19860" s="2" t="s">
        <v>8</v>
      </c>
      <c r="B19860" s="2" t="str">
        <f>HYPERLINK("http://ts.21cn.com/tousu/show/id/1351865","叉叉ipa精灵不退款,退款难")</f>
        <v>叉叉ipa精灵不退款,退款难</v>
      </c>
      <c r="C19860" s="2" t="s">
        <v>9</v>
      </c>
      <c r="D19860" s="2" t="s">
        <v>10</v>
      </c>
      <c r="E19860" s="2" t="str">
        <f>HYPERLINK("http://ts.21cn.com/tousu/show/id/1351865","http://ts.21cn.com/tousu/show/id/1351865")</f>
        <v>http://ts.21cn.com/tousu/show/id/1351865</v>
      </c>
      <c r="F19860" s="2" t="s">
        <v>11</v>
      </c>
      <c r="G19860" s="2" t="s">
        <v>5112</v>
      </c>
      <c r="H19860" s="2" t="s">
        <v>5113</v>
      </c>
    </row>
    <row r="19861" spans="1:8" ht="25.05" customHeight="1" x14ac:dyDescent="0.25">
      <c r="A19861" s="2" t="s">
        <v>8</v>
      </c>
      <c r="B19861" s="2" t="str">
        <f>HYPERLINK("http://ts.21cn.com/tousu/show/id/1351866","友缘在线欺诈")</f>
        <v>友缘在线欺诈</v>
      </c>
      <c r="C19861" s="2" t="s">
        <v>9</v>
      </c>
      <c r="D19861" s="2" t="s">
        <v>10</v>
      </c>
      <c r="E19861" s="2" t="str">
        <f>HYPERLINK("http://ts.21cn.com/tousu/show/id/1351866","http://ts.21cn.com/tousu/show/id/1351866")</f>
        <v>http://ts.21cn.com/tousu/show/id/1351866</v>
      </c>
      <c r="F19861" s="2" t="s">
        <v>11</v>
      </c>
      <c r="G19861" s="2" t="s">
        <v>5110</v>
      </c>
      <c r="H19861" s="2" t="s">
        <v>5111</v>
      </c>
    </row>
    <row r="19862" spans="1:8" ht="25.05" customHeight="1" x14ac:dyDescent="0.25">
      <c r="A19862" s="2" t="s">
        <v>8</v>
      </c>
      <c r="B19862" s="2" t="str">
        <f>HYPERLINK("http://ts.21cn.com/tousu/show/id/1351867","招商信用卡中心堪比黑社会")</f>
        <v>招商信用卡中心堪比黑社会</v>
      </c>
      <c r="C19862" s="2" t="s">
        <v>9</v>
      </c>
      <c r="D19862" s="2" t="s">
        <v>10</v>
      </c>
      <c r="E19862" s="2" t="str">
        <f>HYPERLINK("http://ts.21cn.com/tousu/show/id/1351867","http://ts.21cn.com/tousu/show/id/1351867")</f>
        <v>http://ts.21cn.com/tousu/show/id/1351867</v>
      </c>
      <c r="F19862" s="2" t="s">
        <v>11</v>
      </c>
      <c r="G19862" s="2" t="s">
        <v>5108</v>
      </c>
      <c r="H19862" s="2" t="s">
        <v>5109</v>
      </c>
    </row>
    <row r="19863" spans="1:8" ht="25.05" customHeight="1" x14ac:dyDescent="0.25">
      <c r="A19863" s="2" t="s">
        <v>8</v>
      </c>
      <c r="B19863" s="2" t="str">
        <f>HYPERLINK("http://ts.21cn.com/tousu/show/id/1351869","闪电借款财神黑卡退款")</f>
        <v>闪电借款财神黑卡退款</v>
      </c>
      <c r="C19863" s="2" t="s">
        <v>34</v>
      </c>
      <c r="D19863" s="2" t="s">
        <v>10</v>
      </c>
      <c r="E19863" s="2" t="str">
        <f>HYPERLINK("http://ts.21cn.com/tousu/show/id/1351869","http://ts.21cn.com/tousu/show/id/1351869")</f>
        <v>http://ts.21cn.com/tousu/show/id/1351869</v>
      </c>
      <c r="F19863" s="2" t="s">
        <v>11</v>
      </c>
      <c r="G19863" s="2" t="s">
        <v>5106</v>
      </c>
      <c r="H19863" s="2" t="s">
        <v>5107</v>
      </c>
    </row>
    <row r="19864" spans="1:8" ht="25.05" customHeight="1" x14ac:dyDescent="0.25">
      <c r="A19864" s="2" t="s">
        <v>8</v>
      </c>
      <c r="B19864" s="2" t="str">
        <f>HYPERLINK("http://ts.21cn.com/tousu/show/id/1351870","贷上钱以买游戏豆为由收取高额贷款通过费")</f>
        <v>贷上钱以买游戏豆为由收取高额贷款通过费</v>
      </c>
      <c r="C19864" s="2" t="s">
        <v>9</v>
      </c>
      <c r="D19864" s="2" t="s">
        <v>10</v>
      </c>
      <c r="E19864" s="2" t="str">
        <f>HYPERLINK("http://ts.21cn.com/tousu/show/id/1351870","http://ts.21cn.com/tousu/show/id/1351870")</f>
        <v>http://ts.21cn.com/tousu/show/id/1351870</v>
      </c>
      <c r="F19864" s="2" t="s">
        <v>11</v>
      </c>
      <c r="G19864" s="2" t="s">
        <v>5104</v>
      </c>
      <c r="H19864" s="2" t="s">
        <v>5105</v>
      </c>
    </row>
    <row r="19865" spans="1:8" ht="25.05" customHeight="1" x14ac:dyDescent="0.25">
      <c r="A19865" s="2" t="s">
        <v>8</v>
      </c>
      <c r="B19865" s="2" t="str">
        <f>HYPERLINK("http://ts.21cn.com/tousu/show/id/1351871","拼多多无良商家，发货拦截却不退款语言威胁，拼多多却视若无睹")</f>
        <v>拼多多无良商家，发货拦截却不退款语言威胁，拼多多却视若无睹</v>
      </c>
      <c r="C19865" s="2" t="s">
        <v>9</v>
      </c>
      <c r="D19865" s="2" t="s">
        <v>10</v>
      </c>
      <c r="E19865" s="2" t="str">
        <f>HYPERLINK("http://ts.21cn.com/tousu/show/id/1351871","http://ts.21cn.com/tousu/show/id/1351871")</f>
        <v>http://ts.21cn.com/tousu/show/id/1351871</v>
      </c>
      <c r="F19865" s="2" t="s">
        <v>11</v>
      </c>
      <c r="G19865" s="2" t="s">
        <v>5102</v>
      </c>
      <c r="H19865" s="2" t="s">
        <v>5103</v>
      </c>
    </row>
    <row r="19866" spans="1:8" ht="25.05" customHeight="1" x14ac:dyDescent="0.25">
      <c r="A19866" s="2" t="s">
        <v>8</v>
      </c>
      <c r="B19866" s="2" t="str">
        <f>HYPERLINK("http://ts.21cn.com/tousu/show/id/1351872","在我不之情的情况下扣款296元。")</f>
        <v>在我不之情的情况下扣款296元。</v>
      </c>
      <c r="C19866" s="2" t="s">
        <v>34</v>
      </c>
      <c r="D19866" s="2" t="s">
        <v>10</v>
      </c>
      <c r="E19866" s="2" t="str">
        <f>HYPERLINK("http://ts.21cn.com/tousu/show/id/1351872","http://ts.21cn.com/tousu/show/id/1351872")</f>
        <v>http://ts.21cn.com/tousu/show/id/1351872</v>
      </c>
      <c r="F19866" s="2" t="s">
        <v>11</v>
      </c>
      <c r="G19866" s="2" t="s">
        <v>5100</v>
      </c>
      <c r="H19866" s="2" t="s">
        <v>5101</v>
      </c>
    </row>
    <row r="19867" spans="1:8" ht="25.05" customHeight="1" x14ac:dyDescent="0.25">
      <c r="A19867" s="2" t="s">
        <v>8</v>
      </c>
      <c r="B19867" s="2" t="str">
        <f>HYPERLINK("http://ts.21cn.com/tousu/show/id/1351873","淘宝账号无法注销")</f>
        <v>淘宝账号无法注销</v>
      </c>
      <c r="C19867" s="2" t="s">
        <v>9</v>
      </c>
      <c r="D19867" s="2" t="s">
        <v>10</v>
      </c>
      <c r="E19867" s="2" t="str">
        <f>HYPERLINK("http://ts.21cn.com/tousu/show/id/1351873","http://ts.21cn.com/tousu/show/id/1351873")</f>
        <v>http://ts.21cn.com/tousu/show/id/1351873</v>
      </c>
      <c r="F19867" s="2" t="s">
        <v>11</v>
      </c>
      <c r="G19867" s="2" t="s">
        <v>5098</v>
      </c>
      <c r="H19867" s="2" t="s">
        <v>5099</v>
      </c>
    </row>
    <row r="19868" spans="1:8" ht="25.05" customHeight="1" x14ac:dyDescent="0.25">
      <c r="A19868" s="2" t="s">
        <v>8</v>
      </c>
      <c r="B19868" s="2" t="str">
        <f>HYPERLINK("http://ts.21cn.com/tousu/show/id/1351874","活力花暴力催收逾期利息太高")</f>
        <v>活力花暴力催收逾期利息太高</v>
      </c>
      <c r="C19868" s="2" t="s">
        <v>9</v>
      </c>
      <c r="D19868" s="2" t="s">
        <v>10</v>
      </c>
      <c r="E19868" s="2" t="str">
        <f>HYPERLINK("http://ts.21cn.com/tousu/show/id/1351874","http://ts.21cn.com/tousu/show/id/1351874")</f>
        <v>http://ts.21cn.com/tousu/show/id/1351874</v>
      </c>
      <c r="F19868" s="2" t="s">
        <v>11</v>
      </c>
      <c r="G19868" s="2" t="s">
        <v>5096</v>
      </c>
      <c r="H19868" s="2" t="s">
        <v>5097</v>
      </c>
    </row>
    <row r="19869" spans="1:8" ht="25.05" customHeight="1" x14ac:dyDescent="0.25">
      <c r="A19869" s="2" t="s">
        <v>8</v>
      </c>
      <c r="B19869" s="2" t="str">
        <f>HYPERLINK("http://ts.21cn.com/tousu/show/id/1351875","中经油马加油卡无法使用要求退款")</f>
        <v>中经油马加油卡无法使用要求退款</v>
      </c>
      <c r="C19869" s="2" t="s">
        <v>9</v>
      </c>
      <c r="D19869" s="2" t="s">
        <v>10</v>
      </c>
      <c r="E19869" s="2" t="str">
        <f>HYPERLINK("http://ts.21cn.com/tousu/show/id/1351875","http://ts.21cn.com/tousu/show/id/1351875")</f>
        <v>http://ts.21cn.com/tousu/show/id/1351875</v>
      </c>
      <c r="F19869" s="2" t="s">
        <v>11</v>
      </c>
      <c r="G19869" s="2" t="s">
        <v>5094</v>
      </c>
      <c r="H19869" s="2" t="s">
        <v>5095</v>
      </c>
    </row>
    <row r="19870" spans="1:8" ht="25.05" customHeight="1" x14ac:dyDescent="0.25">
      <c r="A19870" s="2" t="s">
        <v>8</v>
      </c>
      <c r="B19870" s="2" t="str">
        <f>HYPERLINK("http://ts.21cn.com/tousu/show/id/1351878","8天高炮，毫无人性")</f>
        <v>8天高炮，毫无人性</v>
      </c>
      <c r="C19870" s="2" t="s">
        <v>9</v>
      </c>
      <c r="D19870" s="2" t="s">
        <v>10</v>
      </c>
      <c r="E19870" s="2" t="str">
        <f>HYPERLINK("http://ts.21cn.com/tousu/show/id/1351878","http://ts.21cn.com/tousu/show/id/1351878")</f>
        <v>http://ts.21cn.com/tousu/show/id/1351878</v>
      </c>
      <c r="F19870" s="2" t="s">
        <v>11</v>
      </c>
      <c r="G19870" s="2" t="s">
        <v>5092</v>
      </c>
      <c r="H19870" s="2" t="s">
        <v>5093</v>
      </c>
    </row>
    <row r="19871" spans="1:8" ht="25.05" customHeight="1" x14ac:dyDescent="0.25">
      <c r="A19871" s="2" t="s">
        <v>8</v>
      </c>
      <c r="B19871" s="2" t="str">
        <f>HYPERLINK("http://ts.21cn.com/tousu/show/id/1351879","好易贷高利贷")</f>
        <v>好易贷高利贷</v>
      </c>
      <c r="C19871" s="2" t="s">
        <v>9</v>
      </c>
      <c r="D19871" s="2" t="s">
        <v>10</v>
      </c>
      <c r="E19871" s="2" t="str">
        <f>HYPERLINK("http://ts.21cn.com/tousu/show/id/1351879","http://ts.21cn.com/tousu/show/id/1351879")</f>
        <v>http://ts.21cn.com/tousu/show/id/1351879</v>
      </c>
      <c r="F19871" s="2" t="s">
        <v>11</v>
      </c>
      <c r="G19871" s="2" t="s">
        <v>5090</v>
      </c>
      <c r="H19871" s="2" t="s">
        <v>5091</v>
      </c>
    </row>
    <row r="19872" spans="1:8" ht="25.05" customHeight="1" x14ac:dyDescent="0.25">
      <c r="A19872" s="2" t="s">
        <v>8</v>
      </c>
      <c r="B19872" s="2" t="str">
        <f>HYPERLINK("http://ts.21cn.com/tousu/show/id/1351880","协商还款，不要骚扰通讯录")</f>
        <v>协商还款，不要骚扰通讯录</v>
      </c>
      <c r="C19872" s="2" t="s">
        <v>9</v>
      </c>
      <c r="D19872" s="2" t="s">
        <v>10</v>
      </c>
      <c r="E19872" s="2" t="str">
        <f>HYPERLINK("http://ts.21cn.com/tousu/show/id/1351880","http://ts.21cn.com/tousu/show/id/1351880")</f>
        <v>http://ts.21cn.com/tousu/show/id/1351880</v>
      </c>
      <c r="F19872" s="2" t="s">
        <v>11</v>
      </c>
      <c r="G19872" s="2" t="s">
        <v>5088</v>
      </c>
      <c r="H19872" s="2" t="s">
        <v>5089</v>
      </c>
    </row>
    <row r="19873" spans="1:8" ht="25.05" customHeight="1" x14ac:dyDescent="0.25">
      <c r="A19873" s="2" t="s">
        <v>8</v>
      </c>
      <c r="B19873" s="2" t="str">
        <f>HYPERLINK("http://ts.21cn.com/tousu/show/id/1351881","网贷平台钱站欺诈贷款，强收高额手续费")</f>
        <v>网贷平台钱站欺诈贷款，强收高额手续费</v>
      </c>
      <c r="C19873" s="2" t="s">
        <v>9</v>
      </c>
      <c r="D19873" s="2" t="s">
        <v>10</v>
      </c>
      <c r="E19873" s="2" t="str">
        <f>HYPERLINK("http://ts.21cn.com/tousu/show/id/1351881","http://ts.21cn.com/tousu/show/id/1351881")</f>
        <v>http://ts.21cn.com/tousu/show/id/1351881</v>
      </c>
      <c r="F19873" s="2" t="s">
        <v>11</v>
      </c>
      <c r="G19873" s="2" t="s">
        <v>5086</v>
      </c>
      <c r="H19873" s="2" t="s">
        <v>5087</v>
      </c>
    </row>
    <row r="19874" spans="1:8" ht="25.05" customHeight="1" x14ac:dyDescent="0.25">
      <c r="A19874" s="2" t="s">
        <v>8</v>
      </c>
      <c r="B19874" s="2" t="str">
        <f>HYPERLINK("http://ts.21cn.com/tousu/show/id/1351882","暴力催收")</f>
        <v>暴力催收</v>
      </c>
      <c r="C19874" s="2" t="s">
        <v>9</v>
      </c>
      <c r="D19874" s="2" t="s">
        <v>10</v>
      </c>
      <c r="E19874" s="2" t="str">
        <f>HYPERLINK("http://ts.21cn.com/tousu/show/id/1351882","http://ts.21cn.com/tousu/show/id/1351882")</f>
        <v>http://ts.21cn.com/tousu/show/id/1351882</v>
      </c>
      <c r="F19874" s="2" t="s">
        <v>11</v>
      </c>
      <c r="G19874" s="2" t="s">
        <v>5084</v>
      </c>
      <c r="H19874" s="2" t="s">
        <v>5085</v>
      </c>
    </row>
    <row r="19875" spans="1:8" ht="25.05" customHeight="1" x14ac:dyDescent="0.25">
      <c r="A19875" s="2" t="s">
        <v>8</v>
      </c>
      <c r="B19875" s="2" t="str">
        <f>HYPERLINK("http://ts.21cn.com/tousu/show/id/1351884","阳光保险雇佣外包催收员骚扰顾客，未经本人同意骚扰通讯录联系人")</f>
        <v>阳光保险雇佣外包催收员骚扰顾客，未经本人同意骚扰通讯录联系人</v>
      </c>
      <c r="C19875" s="2" t="s">
        <v>9</v>
      </c>
      <c r="D19875" s="2" t="s">
        <v>10</v>
      </c>
      <c r="E19875" s="2" t="str">
        <f>HYPERLINK("http://ts.21cn.com/tousu/show/id/1351884","http://ts.21cn.com/tousu/show/id/1351884")</f>
        <v>http://ts.21cn.com/tousu/show/id/1351884</v>
      </c>
      <c r="F19875" s="2" t="s">
        <v>11</v>
      </c>
      <c r="G19875" s="2" t="s">
        <v>5082</v>
      </c>
      <c r="H19875" s="2" t="s">
        <v>5083</v>
      </c>
    </row>
    <row r="19876" spans="1:8" ht="25.05" customHeight="1" x14ac:dyDescent="0.25">
      <c r="A19876" s="2" t="s">
        <v>8</v>
      </c>
      <c r="B19876" s="2" t="str">
        <f>HYPERLINK("http://ts.21cn.com/tousu/show/id/1351885","钱站高利贷阴阳合同")</f>
        <v>钱站高利贷阴阳合同</v>
      </c>
      <c r="C19876" s="2" t="s">
        <v>9</v>
      </c>
      <c r="D19876" s="2" t="s">
        <v>10</v>
      </c>
      <c r="E19876" s="2" t="str">
        <f>HYPERLINK("http://ts.21cn.com/tousu/show/id/1351885","http://ts.21cn.com/tousu/show/id/1351885")</f>
        <v>http://ts.21cn.com/tousu/show/id/1351885</v>
      </c>
      <c r="F19876" s="2" t="s">
        <v>11</v>
      </c>
      <c r="G19876" s="2" t="s">
        <v>5080</v>
      </c>
      <c r="H19876" s="2" t="s">
        <v>5081</v>
      </c>
    </row>
    <row r="19877" spans="1:8" ht="25.05" customHeight="1" x14ac:dyDescent="0.25">
      <c r="A19877" s="2" t="s">
        <v>8</v>
      </c>
      <c r="B19877" s="2" t="str">
        <f>HYPERLINK("http://ts.21cn.com/tousu/show/id/1351887","连连支付为高利贷微品分期违规提供支付")</f>
        <v>连连支付为高利贷微品分期违规提供支付</v>
      </c>
      <c r="C19877" s="2" t="s">
        <v>9</v>
      </c>
      <c r="D19877" s="2" t="s">
        <v>10</v>
      </c>
      <c r="E19877" s="2" t="str">
        <f>HYPERLINK("http://ts.21cn.com/tousu/show/id/1351887","http://ts.21cn.com/tousu/show/id/1351887")</f>
        <v>http://ts.21cn.com/tousu/show/id/1351887</v>
      </c>
      <c r="F19877" s="2" t="s">
        <v>11</v>
      </c>
      <c r="G19877" s="2" t="s">
        <v>5078</v>
      </c>
      <c r="H19877" s="2" t="s">
        <v>5079</v>
      </c>
    </row>
    <row r="19878" spans="1:8" ht="25.05" customHeight="1" x14ac:dyDescent="0.25">
      <c r="A19878" s="2" t="s">
        <v>8</v>
      </c>
      <c r="B19878" s="2" t="str">
        <f>HYPERLINK("http://ts.21cn.com/tousu/show/id/1351888","长治银行联合钱包易贷砍头息")</f>
        <v>长治银行联合钱包易贷砍头息</v>
      </c>
      <c r="C19878" s="2" t="s">
        <v>34</v>
      </c>
      <c r="D19878" s="2" t="s">
        <v>10</v>
      </c>
      <c r="E19878" s="2" t="str">
        <f>HYPERLINK("http://ts.21cn.com/tousu/show/id/1351888","http://ts.21cn.com/tousu/show/id/1351888")</f>
        <v>http://ts.21cn.com/tousu/show/id/1351888</v>
      </c>
      <c r="F19878" s="2" t="s">
        <v>11</v>
      </c>
      <c r="G19878" s="2" t="s">
        <v>5076</v>
      </c>
      <c r="H19878" s="2" t="s">
        <v>5077</v>
      </c>
    </row>
    <row r="19879" spans="1:8" ht="25.05" customHeight="1" x14ac:dyDescent="0.25">
      <c r="A19879" s="2" t="s">
        <v>8</v>
      </c>
      <c r="B19879" s="2" t="str">
        <f>HYPERLINK("http://ts.21cn.com/tousu/show/id/1351890","百度有钱花无法有效沟通，肆意骚扰我通讯录亲友")</f>
        <v>百度有钱花无法有效沟通，肆意骚扰我通讯录亲友</v>
      </c>
      <c r="C19879" s="2" t="s">
        <v>9</v>
      </c>
      <c r="D19879" s="2" t="s">
        <v>10</v>
      </c>
      <c r="E19879" s="2" t="str">
        <f>HYPERLINK("http://ts.21cn.com/tousu/show/id/1351890","http://ts.21cn.com/tousu/show/id/1351890")</f>
        <v>http://ts.21cn.com/tousu/show/id/1351890</v>
      </c>
      <c r="F19879" s="2" t="s">
        <v>11</v>
      </c>
      <c r="G19879" s="2" t="s">
        <v>5074</v>
      </c>
      <c r="H19879" s="2" t="s">
        <v>5075</v>
      </c>
    </row>
    <row r="19880" spans="1:8" ht="25.05" customHeight="1" x14ac:dyDescent="0.25">
      <c r="A19880" s="2" t="s">
        <v>8</v>
      </c>
      <c r="B19880" s="2" t="str">
        <f>HYPERLINK("http://ts.21cn.com/tousu/show/id/1351886","京东金融拒不处理推卸责任，再不处理后续会到人行举报")</f>
        <v>京东金融拒不处理推卸责任，再不处理后续会到人行举报</v>
      </c>
      <c r="C19880" s="2" t="s">
        <v>9</v>
      </c>
      <c r="D19880" s="2" t="s">
        <v>10</v>
      </c>
      <c r="E19880" s="2" t="str">
        <f>HYPERLINK("http://ts.21cn.com/tousu/show/id/1351886","http://ts.21cn.com/tousu/show/id/1351886")</f>
        <v>http://ts.21cn.com/tousu/show/id/1351886</v>
      </c>
      <c r="F19880" s="2" t="s">
        <v>11</v>
      </c>
      <c r="G19880" s="2" t="s">
        <v>5072</v>
      </c>
      <c r="H19880" s="2" t="s">
        <v>5073</v>
      </c>
    </row>
    <row r="19881" spans="1:8" ht="25.05" customHeight="1" x14ac:dyDescent="0.25">
      <c r="A19881" s="2" t="s">
        <v>8</v>
      </c>
      <c r="B19881" s="2" t="str">
        <f>HYPERLINK("http://ts.21cn.com/tousu/show/id/1351893","借款2万月息服务费1600是否合法")</f>
        <v>借款2万月息服务费1600是否合法</v>
      </c>
      <c r="C19881" s="2" t="s">
        <v>9</v>
      </c>
      <c r="D19881" s="2" t="s">
        <v>10</v>
      </c>
      <c r="E19881" s="2" t="str">
        <f>HYPERLINK("http://ts.21cn.com/tousu/show/id/1351893","http://ts.21cn.com/tousu/show/id/1351893")</f>
        <v>http://ts.21cn.com/tousu/show/id/1351893</v>
      </c>
      <c r="F19881" s="2" t="s">
        <v>11</v>
      </c>
      <c r="G19881" s="2" t="s">
        <v>5070</v>
      </c>
      <c r="H19881" s="2" t="s">
        <v>5071</v>
      </c>
    </row>
    <row r="19882" spans="1:8" ht="25.05" customHeight="1" x14ac:dyDescent="0.25">
      <c r="A19882" s="2" t="s">
        <v>8</v>
      </c>
      <c r="B19882" s="2" t="str">
        <f>HYPERLINK("http://ts.21cn.com/tousu/show/id/1351892","首信易支付给境外博彩网站作收单机构")</f>
        <v>首信易支付给境外博彩网站作收单机构</v>
      </c>
      <c r="C19882" s="2" t="s">
        <v>9</v>
      </c>
      <c r="D19882" s="2" t="s">
        <v>10</v>
      </c>
      <c r="E19882" s="2" t="str">
        <f>HYPERLINK("http://ts.21cn.com/tousu/show/id/1351892","http://ts.21cn.com/tousu/show/id/1351892")</f>
        <v>http://ts.21cn.com/tousu/show/id/1351892</v>
      </c>
      <c r="F19882" s="2" t="s">
        <v>11</v>
      </c>
      <c r="G19882" s="2" t="s">
        <v>5068</v>
      </c>
      <c r="H19882" s="2" t="s">
        <v>5069</v>
      </c>
    </row>
    <row r="19883" spans="1:8" ht="25.05" customHeight="1" x14ac:dyDescent="0.25">
      <c r="A19883" s="2" t="s">
        <v>8</v>
      </c>
      <c r="B19883" s="2" t="str">
        <f>HYPERLINK("http://ts.21cn.com/tousu/show/id/1351895","微额速达现金巴士")</f>
        <v>微额速达现金巴士</v>
      </c>
      <c r="C19883" s="2" t="s">
        <v>9</v>
      </c>
      <c r="D19883" s="2" t="s">
        <v>10</v>
      </c>
      <c r="E19883" s="2" t="str">
        <f>HYPERLINK("http://ts.21cn.com/tousu/show/id/1351895","http://ts.21cn.com/tousu/show/id/1351895")</f>
        <v>http://ts.21cn.com/tousu/show/id/1351895</v>
      </c>
      <c r="F19883" s="2" t="s">
        <v>11</v>
      </c>
      <c r="G19883" s="2" t="s">
        <v>5066</v>
      </c>
      <c r="H19883" s="2" t="s">
        <v>5067</v>
      </c>
    </row>
    <row r="19884" spans="1:8" ht="25.05" customHeight="1" x14ac:dyDescent="0.25">
      <c r="A19884" s="2" t="s">
        <v>8</v>
      </c>
      <c r="B19884" s="2" t="str">
        <f>HYPERLINK("http://ts.21cn.com/tousu/show/id/1351896","重庆两江新区通融小额贷款高利贷")</f>
        <v>重庆两江新区通融小额贷款高利贷</v>
      </c>
      <c r="C19884" s="2" t="s">
        <v>9</v>
      </c>
      <c r="D19884" s="2" t="s">
        <v>10</v>
      </c>
      <c r="E19884" s="2" t="str">
        <f>HYPERLINK("http://ts.21cn.com/tousu/show/id/1351896","http://ts.21cn.com/tousu/show/id/1351896")</f>
        <v>http://ts.21cn.com/tousu/show/id/1351896</v>
      </c>
      <c r="F19884" s="2" t="s">
        <v>11</v>
      </c>
      <c r="G19884" s="2" t="s">
        <v>5064</v>
      </c>
      <c r="H19884" s="2" t="s">
        <v>5065</v>
      </c>
    </row>
    <row r="19885" spans="1:8" ht="25.05" customHeight="1" x14ac:dyDescent="0.25">
      <c r="A19885" s="2" t="s">
        <v>8</v>
      </c>
      <c r="B19885" s="2" t="str">
        <f>HYPERLINK("http://ts.21cn.com/tousu/show/id/1351897","10月6日用开店宝pos机收款的7万多元没有到账")</f>
        <v>10月6日用开店宝pos机收款的7万多元没有到账</v>
      </c>
      <c r="C19885" s="2" t="s">
        <v>34</v>
      </c>
      <c r="D19885" s="2" t="s">
        <v>10</v>
      </c>
      <c r="E19885" s="2" t="str">
        <f>HYPERLINK("http://ts.21cn.com/tousu/show/id/1351897","http://ts.21cn.com/tousu/show/id/1351897")</f>
        <v>http://ts.21cn.com/tousu/show/id/1351897</v>
      </c>
      <c r="F19885" s="2" t="s">
        <v>11</v>
      </c>
      <c r="G19885" s="2" t="s">
        <v>5062</v>
      </c>
      <c r="H19885" s="2" t="s">
        <v>5063</v>
      </c>
    </row>
    <row r="19886" spans="1:8" ht="25.05" customHeight="1" x14ac:dyDescent="0.25">
      <c r="A19886" s="2" t="s">
        <v>8</v>
      </c>
      <c r="B19886" s="2" t="str">
        <f>HYPERLINK("http://ts.21cn.com/tousu/show/id/1351898","新橙优品这么高利息为什么可以上征信")</f>
        <v>新橙优品这么高利息为什么可以上征信</v>
      </c>
      <c r="C19886" s="2" t="s">
        <v>34</v>
      </c>
      <c r="D19886" s="2" t="s">
        <v>10</v>
      </c>
      <c r="E19886" s="2" t="str">
        <f>HYPERLINK("http://ts.21cn.com/tousu/show/id/1351898","http://ts.21cn.com/tousu/show/id/1351898")</f>
        <v>http://ts.21cn.com/tousu/show/id/1351898</v>
      </c>
      <c r="F19886" s="2" t="s">
        <v>11</v>
      </c>
      <c r="G19886" s="2" t="s">
        <v>5060</v>
      </c>
      <c r="H19886" s="2" t="s">
        <v>5061</v>
      </c>
    </row>
    <row r="19887" spans="1:8" ht="25.05" customHeight="1" x14ac:dyDescent="0.25">
      <c r="A19887" s="2" t="s">
        <v>8</v>
      </c>
      <c r="B19887" s="2" t="str">
        <f>HYPERLINK("http://ts.21cn.com/tousu/show/id/1351901","天房天辰世纪楼盘强制捆绑车位售卖且车位不按期交付使用")</f>
        <v>天房天辰世纪楼盘强制捆绑车位售卖且车位不按期交付使用</v>
      </c>
      <c r="C19887" s="2" t="s">
        <v>9</v>
      </c>
      <c r="D19887" s="2" t="s">
        <v>10</v>
      </c>
      <c r="E19887" s="2" t="str">
        <f>HYPERLINK("http://ts.21cn.com/tousu/show/id/1351901","http://ts.21cn.com/tousu/show/id/1351901")</f>
        <v>http://ts.21cn.com/tousu/show/id/1351901</v>
      </c>
      <c r="F19887" s="2" t="s">
        <v>11</v>
      </c>
      <c r="G19887" s="2" t="s">
        <v>5058</v>
      </c>
      <c r="H19887" s="2" t="s">
        <v>5059</v>
      </c>
    </row>
    <row r="19888" spans="1:8" ht="25.05" customHeight="1" x14ac:dyDescent="0.25">
      <c r="A19888" s="2" t="s">
        <v>8</v>
      </c>
      <c r="B19888" s="2" t="str">
        <f>HYPERLINK("http://ts.21cn.com/tousu/show/id/1351903","欺诈")</f>
        <v>欺诈</v>
      </c>
      <c r="C19888" s="2" t="s">
        <v>9</v>
      </c>
      <c r="D19888" s="2" t="s">
        <v>10</v>
      </c>
      <c r="E19888" s="2" t="str">
        <f>HYPERLINK("http://ts.21cn.com/tousu/show/id/1351903","http://ts.21cn.com/tousu/show/id/1351903")</f>
        <v>http://ts.21cn.com/tousu/show/id/1351903</v>
      </c>
      <c r="F19888" s="2" t="s">
        <v>11</v>
      </c>
      <c r="G19888" s="2" t="s">
        <v>5056</v>
      </c>
      <c r="H19888" s="2" t="s">
        <v>5057</v>
      </c>
    </row>
    <row r="19889" spans="1:8" ht="25.05" customHeight="1" x14ac:dyDescent="0.25">
      <c r="A19889" s="2" t="s">
        <v>8</v>
      </c>
      <c r="B19889" s="2" t="str">
        <f>HYPERLINK("http://ts.21cn.com/tousu/show/id/1351904","维信卡卡贷拖延放款")</f>
        <v>维信卡卡贷拖延放款</v>
      </c>
      <c r="C19889" s="2" t="s">
        <v>9</v>
      </c>
      <c r="D19889" s="2" t="s">
        <v>10</v>
      </c>
      <c r="E19889" s="2" t="str">
        <f>HYPERLINK("http://ts.21cn.com/tousu/show/id/1351904","http://ts.21cn.com/tousu/show/id/1351904")</f>
        <v>http://ts.21cn.com/tousu/show/id/1351904</v>
      </c>
      <c r="F19889" s="2" t="s">
        <v>11</v>
      </c>
      <c r="G19889" s="2" t="s">
        <v>5054</v>
      </c>
      <c r="H19889" s="2" t="s">
        <v>5055</v>
      </c>
    </row>
    <row r="19890" spans="1:8" ht="25.05" customHeight="1" x14ac:dyDescent="0.25">
      <c r="A19890" s="2" t="s">
        <v>8</v>
      </c>
      <c r="B19890" s="2" t="str">
        <f>HYPERLINK("http://ts.21cn.com/tousu/show/id/1351907","助财通恶意扣款")</f>
        <v>助财通恶意扣款</v>
      </c>
      <c r="C19890" s="2" t="s">
        <v>9</v>
      </c>
      <c r="D19890" s="2" t="s">
        <v>10</v>
      </c>
      <c r="E19890" s="2" t="str">
        <f>HYPERLINK("http://ts.21cn.com/tousu/show/id/1351907","http://ts.21cn.com/tousu/show/id/1351907")</f>
        <v>http://ts.21cn.com/tousu/show/id/1351907</v>
      </c>
      <c r="F19890" s="2" t="s">
        <v>11</v>
      </c>
      <c r="G19890" s="2" t="s">
        <v>5052</v>
      </c>
      <c r="H19890" s="2" t="s">
        <v>5053</v>
      </c>
    </row>
    <row r="19891" spans="1:8" ht="25.05" customHeight="1" x14ac:dyDescent="0.25">
      <c r="A19891" s="2" t="s">
        <v>8</v>
      </c>
      <c r="B19891" s="2" t="str">
        <f>HYPERLINK("http://ts.21cn.com/tousu/show/id/1351909","砍头息，骚扰，威胁")</f>
        <v>砍头息，骚扰，威胁</v>
      </c>
      <c r="C19891" s="2" t="s">
        <v>9</v>
      </c>
      <c r="D19891" s="2" t="s">
        <v>10</v>
      </c>
      <c r="E19891" s="2" t="str">
        <f>HYPERLINK("http://ts.21cn.com/tousu/show/id/1351909","http://ts.21cn.com/tousu/show/id/1351909")</f>
        <v>http://ts.21cn.com/tousu/show/id/1351909</v>
      </c>
      <c r="F19891" s="2" t="s">
        <v>11</v>
      </c>
      <c r="G19891" s="2" t="s">
        <v>5050</v>
      </c>
      <c r="H19891" s="2" t="s">
        <v>5051</v>
      </c>
    </row>
    <row r="19892" spans="1:8" ht="25.05" customHeight="1" x14ac:dyDescent="0.25">
      <c r="A19892" s="2" t="s">
        <v>8</v>
      </c>
      <c r="B19892" s="2" t="str">
        <f>HYPERLINK("http://ts.21cn.com/tousu/show/id/1351910","涉嫌违规欺诈申请退款")</f>
        <v>涉嫌违规欺诈申请退款</v>
      </c>
      <c r="C19892" s="2" t="s">
        <v>9</v>
      </c>
      <c r="D19892" s="2" t="s">
        <v>10</v>
      </c>
      <c r="E19892" s="2" t="str">
        <f>HYPERLINK("http://ts.21cn.com/tousu/show/id/1351910","http://ts.21cn.com/tousu/show/id/1351910")</f>
        <v>http://ts.21cn.com/tousu/show/id/1351910</v>
      </c>
      <c r="F19892" s="2" t="s">
        <v>11</v>
      </c>
      <c r="G19892" s="2" t="s">
        <v>5048</v>
      </c>
      <c r="H19892" s="2" t="s">
        <v>5049</v>
      </c>
    </row>
    <row r="19893" spans="1:8" ht="25.05" customHeight="1" x14ac:dyDescent="0.25">
      <c r="A19893" s="2" t="s">
        <v>8</v>
      </c>
      <c r="B19893" s="2" t="str">
        <f>HYPERLINK("http://ts.21cn.com/tousu/show/id/1351911","畅快车贷")</f>
        <v>畅快车贷</v>
      </c>
      <c r="C19893" s="2" t="s">
        <v>9</v>
      </c>
      <c r="D19893" s="2" t="s">
        <v>10</v>
      </c>
      <c r="E19893" s="2" t="str">
        <f>HYPERLINK("http://ts.21cn.com/tousu/show/id/1351911","http://ts.21cn.com/tousu/show/id/1351911")</f>
        <v>http://ts.21cn.com/tousu/show/id/1351911</v>
      </c>
      <c r="F19893" s="2" t="s">
        <v>11</v>
      </c>
      <c r="G19893" s="2" t="s">
        <v>5046</v>
      </c>
      <c r="H19893" s="2" t="s">
        <v>5047</v>
      </c>
    </row>
    <row r="19894" spans="1:8" ht="25.05" customHeight="1" x14ac:dyDescent="0.25">
      <c r="A19894" s="2" t="s">
        <v>8</v>
      </c>
      <c r="B19894" s="2" t="str">
        <f>HYPERLINK("http://ts.21cn.com/tousu/show/id/1351912","拉卡拉恶意冻结资金15939.20元")</f>
        <v>拉卡拉恶意冻结资金15939.20元</v>
      </c>
      <c r="C19894" s="2" t="s">
        <v>9</v>
      </c>
      <c r="D19894" s="2" t="s">
        <v>10</v>
      </c>
      <c r="E19894" s="2" t="str">
        <f>HYPERLINK("http://ts.21cn.com/tousu/show/id/1351912","http://ts.21cn.com/tousu/show/id/1351912")</f>
        <v>http://ts.21cn.com/tousu/show/id/1351912</v>
      </c>
      <c r="F19894" s="2" t="s">
        <v>11</v>
      </c>
      <c r="G19894" s="2" t="s">
        <v>5044</v>
      </c>
      <c r="H19894" s="2" t="s">
        <v>5045</v>
      </c>
    </row>
    <row r="19895" spans="1:8" ht="25.05" customHeight="1" x14ac:dyDescent="0.25">
      <c r="A19895" s="2" t="s">
        <v>8</v>
      </c>
      <c r="B19895" s="2" t="str">
        <f>HYPERLINK("http://ts.21cn.com/tousu/show/id/1351899","平安普惠金融骚扰，解释模糊")</f>
        <v>平安普惠金融骚扰，解释模糊</v>
      </c>
      <c r="C19895" s="2" t="s">
        <v>9</v>
      </c>
      <c r="D19895" s="2" t="s">
        <v>10</v>
      </c>
      <c r="E19895" s="2" t="str">
        <f>HYPERLINK("http://ts.21cn.com/tousu/show/id/1351899","http://ts.21cn.com/tousu/show/id/1351899")</f>
        <v>http://ts.21cn.com/tousu/show/id/1351899</v>
      </c>
      <c r="F19895" s="2" t="s">
        <v>11</v>
      </c>
      <c r="G19895" s="2" t="s">
        <v>5042</v>
      </c>
      <c r="H19895" s="2" t="s">
        <v>5043</v>
      </c>
    </row>
    <row r="19896" spans="1:8" ht="25.05" customHeight="1" x14ac:dyDescent="0.25">
      <c r="A19896" s="2" t="s">
        <v>8</v>
      </c>
      <c r="B19896" s="2" t="str">
        <f>HYPERLINK("http://ts.21cn.com/tousu/show/id/1351913","关于美约app乱扣费问题，免费试用后，自动续费会员一年298元")</f>
        <v>关于美约app乱扣费问题，免费试用后，自动续费会员一年298元</v>
      </c>
      <c r="C19896" s="2" t="s">
        <v>34</v>
      </c>
      <c r="D19896" s="2" t="s">
        <v>10</v>
      </c>
      <c r="E19896" s="2" t="str">
        <f>HYPERLINK("http://ts.21cn.com/tousu/show/id/1351913","http://ts.21cn.com/tousu/show/id/1351913")</f>
        <v>http://ts.21cn.com/tousu/show/id/1351913</v>
      </c>
      <c r="F19896" s="2" t="s">
        <v>11</v>
      </c>
      <c r="G19896" s="2" t="s">
        <v>5040</v>
      </c>
      <c r="H19896" s="2" t="s">
        <v>5041</v>
      </c>
    </row>
    <row r="19897" spans="1:8" ht="25.05" customHeight="1" x14ac:dyDescent="0.25">
      <c r="A19897" s="2" t="s">
        <v>8</v>
      </c>
      <c r="B19897" s="2" t="str">
        <f>HYPERLINK("http://ts.21cn.com/tousu/show/id/1351914","10.1日无缘无故降低我的信用卡额度，")</f>
        <v>10.1日无缘无故降低我的信用卡额度，</v>
      </c>
      <c r="C19897" s="2" t="s">
        <v>34</v>
      </c>
      <c r="D19897" s="2" t="s">
        <v>10</v>
      </c>
      <c r="E19897" s="2" t="str">
        <f>HYPERLINK("http://ts.21cn.com/tousu/show/id/1351914","http://ts.21cn.com/tousu/show/id/1351914")</f>
        <v>http://ts.21cn.com/tousu/show/id/1351914</v>
      </c>
      <c r="F19897" s="2" t="s">
        <v>11</v>
      </c>
      <c r="G19897" s="2" t="s">
        <v>5038</v>
      </c>
      <c r="H19897" s="2" t="s">
        <v>5039</v>
      </c>
    </row>
    <row r="19898" spans="1:8" ht="25.05" customHeight="1" x14ac:dyDescent="0.25">
      <c r="A19898" s="2" t="s">
        <v>8</v>
      </c>
      <c r="B19898" s="2" t="str">
        <f>HYPERLINK("http://ts.21cn.com/tousu/show/id/1351915","高利贷利息太高借1000还2000")</f>
        <v>高利贷利息太高借1000还2000</v>
      </c>
      <c r="C19898" s="2" t="s">
        <v>9</v>
      </c>
      <c r="D19898" s="2" t="s">
        <v>10</v>
      </c>
      <c r="E19898" s="2" t="str">
        <f>HYPERLINK("http://ts.21cn.com/tousu/show/id/1351915","http://ts.21cn.com/tousu/show/id/1351915")</f>
        <v>http://ts.21cn.com/tousu/show/id/1351915</v>
      </c>
      <c r="F19898" s="2" t="s">
        <v>11</v>
      </c>
      <c r="G19898" s="2" t="s">
        <v>5036</v>
      </c>
      <c r="H19898" s="2" t="s">
        <v>5037</v>
      </c>
    </row>
    <row r="19899" spans="1:8" ht="25.05" customHeight="1" x14ac:dyDescent="0.25">
      <c r="A19899" s="2" t="s">
        <v>8</v>
      </c>
      <c r="B19899" s="2" t="str">
        <f>HYPERLINK("http://ts.21cn.com/tousu/show/id/1351917","卡牛信用管家乱收逾期费用，砍头息12%")</f>
        <v>卡牛信用管家乱收逾期费用，砍头息12%</v>
      </c>
      <c r="C19899" s="2" t="s">
        <v>9</v>
      </c>
      <c r="D19899" s="2" t="s">
        <v>10</v>
      </c>
      <c r="E19899" s="2" t="str">
        <f>HYPERLINK("http://ts.21cn.com/tousu/show/id/1351917","http://ts.21cn.com/tousu/show/id/1351917")</f>
        <v>http://ts.21cn.com/tousu/show/id/1351917</v>
      </c>
      <c r="F19899" s="2" t="s">
        <v>11</v>
      </c>
      <c r="G19899" s="2" t="s">
        <v>5034</v>
      </c>
      <c r="H19899" s="2" t="s">
        <v>5035</v>
      </c>
    </row>
    <row r="19900" spans="1:8" ht="25.05" customHeight="1" x14ac:dyDescent="0.25">
      <c r="A19900" s="2" t="s">
        <v>8</v>
      </c>
      <c r="B19900" s="2" t="str">
        <f>HYPERLINK("http://ts.21cn.com/tousu/show/id/1351908","淘宝买东西不发货")</f>
        <v>淘宝买东西不发货</v>
      </c>
      <c r="C19900" s="2" t="s">
        <v>9</v>
      </c>
      <c r="D19900" s="2" t="s">
        <v>10</v>
      </c>
      <c r="E19900" s="2" t="str">
        <f>HYPERLINK("http://ts.21cn.com/tousu/show/id/1351908","http://ts.21cn.com/tousu/show/id/1351908")</f>
        <v>http://ts.21cn.com/tousu/show/id/1351908</v>
      </c>
      <c r="F19900" s="2" t="s">
        <v>11</v>
      </c>
      <c r="G19900" s="2" t="s">
        <v>5032</v>
      </c>
      <c r="H19900" s="2" t="s">
        <v>5033</v>
      </c>
    </row>
    <row r="19901" spans="1:8" ht="25.05" customHeight="1" x14ac:dyDescent="0.25">
      <c r="A19901" s="2" t="s">
        <v>8</v>
      </c>
      <c r="B19901" s="2" t="str">
        <f>HYPERLINK("http://ts.21cn.com/tousu/show/id/1351918","月光侠分期借款违规收砍头息")</f>
        <v>月光侠分期借款违规收砍头息</v>
      </c>
      <c r="C19901" s="2" t="s">
        <v>9</v>
      </c>
      <c r="D19901" s="2" t="s">
        <v>10</v>
      </c>
      <c r="E19901" s="2" t="str">
        <f>HYPERLINK("http://ts.21cn.com/tousu/show/id/1351918","http://ts.21cn.com/tousu/show/id/1351918")</f>
        <v>http://ts.21cn.com/tousu/show/id/1351918</v>
      </c>
      <c r="F19901" s="2" t="s">
        <v>11</v>
      </c>
      <c r="G19901" s="2" t="s">
        <v>5030</v>
      </c>
      <c r="H19901" s="2" t="s">
        <v>5031</v>
      </c>
    </row>
    <row r="19902" spans="1:8" ht="25.05" customHeight="1" x14ac:dyDescent="0.25">
      <c r="A19902" s="2" t="s">
        <v>8</v>
      </c>
      <c r="B19902" s="2" t="str">
        <f>HYPERLINK("http://ts.21cn.com/tousu/show/id/1351919","滴滴无故提高我的投诉率")</f>
        <v>滴滴无故提高我的投诉率</v>
      </c>
      <c r="C19902" s="2" t="s">
        <v>9</v>
      </c>
      <c r="D19902" s="2" t="s">
        <v>10</v>
      </c>
      <c r="E19902" s="2" t="str">
        <f>HYPERLINK("http://ts.21cn.com/tousu/show/id/1351919","http://ts.21cn.com/tousu/show/id/1351919")</f>
        <v>http://ts.21cn.com/tousu/show/id/1351919</v>
      </c>
      <c r="F19902" s="2" t="s">
        <v>11</v>
      </c>
      <c r="G19902" s="2" t="s">
        <v>5028</v>
      </c>
      <c r="H19902" s="2" t="s">
        <v>5029</v>
      </c>
    </row>
    <row r="19903" spans="1:8" ht="25.05" customHeight="1" x14ac:dyDescent="0.25">
      <c r="A19903" s="2" t="s">
        <v>8</v>
      </c>
      <c r="B19903" s="2" t="str">
        <f>HYPERLINK("http://ts.21cn.com/tousu/show/id/1351920","拍拍贷涉嫌安检执法，涉嫌暴力催收，涉嫌恐吓！")</f>
        <v>拍拍贷涉嫌安检执法，涉嫌暴力催收，涉嫌恐吓！</v>
      </c>
      <c r="C19903" s="2" t="s">
        <v>9</v>
      </c>
      <c r="D19903" s="2" t="s">
        <v>10</v>
      </c>
      <c r="E19903" s="2" t="str">
        <f>HYPERLINK("http://ts.21cn.com/tousu/show/id/1351920","http://ts.21cn.com/tousu/show/id/1351920")</f>
        <v>http://ts.21cn.com/tousu/show/id/1351920</v>
      </c>
      <c r="F19903" s="2" t="s">
        <v>11</v>
      </c>
      <c r="G19903" s="2" t="s">
        <v>5026</v>
      </c>
      <c r="H19903" s="2" t="s">
        <v>5027</v>
      </c>
    </row>
    <row r="19904" spans="1:8" ht="25.05" customHeight="1" x14ac:dyDescent="0.25">
      <c r="A19904" s="2" t="s">
        <v>8</v>
      </c>
      <c r="B19904" s="2" t="str">
        <f>HYPERLINK("http://ts.21cn.com/tousu/show/id/1351921","玖富高利贷.我已以套路贷形式报警")</f>
        <v>玖富高利贷.我已以套路贷形式报警</v>
      </c>
      <c r="C19904" s="2" t="s">
        <v>9</v>
      </c>
      <c r="D19904" s="2" t="s">
        <v>10</v>
      </c>
      <c r="E19904" s="2" t="str">
        <f>HYPERLINK("http://ts.21cn.com/tousu/show/id/1351921","http://ts.21cn.com/tousu/show/id/1351921")</f>
        <v>http://ts.21cn.com/tousu/show/id/1351921</v>
      </c>
      <c r="F19904" s="2" t="s">
        <v>11</v>
      </c>
      <c r="G19904" s="2" t="s">
        <v>5024</v>
      </c>
      <c r="H19904" s="2" t="s">
        <v>5025</v>
      </c>
    </row>
    <row r="19905" spans="1:8" ht="25.05" customHeight="1" x14ac:dyDescent="0.25">
      <c r="A19905" s="2" t="s">
        <v>8</v>
      </c>
      <c r="B19905" s="2" t="str">
        <f>HYPERLINK("http://ts.21cn.com/tousu/show/id/1351922","喜鹊快贷逾期一天爆通讯，威胁")</f>
        <v>喜鹊快贷逾期一天爆通讯，威胁</v>
      </c>
      <c r="C19905" s="2" t="s">
        <v>9</v>
      </c>
      <c r="D19905" s="2" t="s">
        <v>10</v>
      </c>
      <c r="E19905" s="2" t="str">
        <f>HYPERLINK("http://ts.21cn.com/tousu/show/id/1351922","http://ts.21cn.com/tousu/show/id/1351922")</f>
        <v>http://ts.21cn.com/tousu/show/id/1351922</v>
      </c>
      <c r="F19905" s="2" t="s">
        <v>11</v>
      </c>
      <c r="G19905" s="2" t="s">
        <v>5022</v>
      </c>
      <c r="H19905" s="2" t="s">
        <v>5023</v>
      </c>
    </row>
    <row r="19906" spans="1:8" ht="25.05" customHeight="1" x14ac:dyDescent="0.25">
      <c r="A19906" s="2" t="s">
        <v>8</v>
      </c>
      <c r="B19906" s="2" t="str">
        <f>HYPERLINK("http://ts.21cn.com/tousu/show/id/1351923","拇指下款恶意扣款")</f>
        <v>拇指下款恶意扣款</v>
      </c>
      <c r="C19906" s="2" t="s">
        <v>9</v>
      </c>
      <c r="D19906" s="2" t="s">
        <v>10</v>
      </c>
      <c r="E19906" s="2" t="str">
        <f>HYPERLINK("http://ts.21cn.com/tousu/show/id/1351923","http://ts.21cn.com/tousu/show/id/1351923")</f>
        <v>http://ts.21cn.com/tousu/show/id/1351923</v>
      </c>
      <c r="F19906" s="2" t="s">
        <v>11</v>
      </c>
      <c r="G19906" s="2" t="s">
        <v>5020</v>
      </c>
      <c r="H19906" s="2" t="s">
        <v>5021</v>
      </c>
    </row>
    <row r="19907" spans="1:8" ht="25.05" customHeight="1" x14ac:dyDescent="0.25">
      <c r="A19907" s="2" t="s">
        <v>8</v>
      </c>
      <c r="B19907" s="2" t="str">
        <f>HYPERLINK("http://ts.21cn.com/tousu/show/id/1351924","银行卡被马上消费金融无故扣款")</f>
        <v>银行卡被马上消费金融无故扣款</v>
      </c>
      <c r="C19907" s="2" t="s">
        <v>9</v>
      </c>
      <c r="D19907" s="2" t="s">
        <v>10</v>
      </c>
      <c r="E19907" s="2" t="str">
        <f>HYPERLINK("http://ts.21cn.com/tousu/show/id/1351924","http://ts.21cn.com/tousu/show/id/1351924")</f>
        <v>http://ts.21cn.com/tousu/show/id/1351924</v>
      </c>
      <c r="F19907" s="2" t="s">
        <v>11</v>
      </c>
      <c r="G19907" s="2" t="s">
        <v>5018</v>
      </c>
      <c r="H19907" s="2" t="s">
        <v>5019</v>
      </c>
    </row>
    <row r="19908" spans="1:8" ht="25.05" customHeight="1" x14ac:dyDescent="0.25">
      <c r="A19908" s="2" t="s">
        <v>8</v>
      </c>
      <c r="B19908" s="2" t="str">
        <f>HYPERLINK("http://ts.21cn.com/tousu/show/id/1351925","高利贷，协商还款未销账")</f>
        <v>高利贷，协商还款未销账</v>
      </c>
      <c r="C19908" s="2" t="s">
        <v>9</v>
      </c>
      <c r="D19908" s="2" t="s">
        <v>10</v>
      </c>
      <c r="E19908" s="2" t="str">
        <f>HYPERLINK("http://ts.21cn.com/tousu/show/id/1351925","http://ts.21cn.com/tousu/show/id/1351925")</f>
        <v>http://ts.21cn.com/tousu/show/id/1351925</v>
      </c>
      <c r="F19908" s="2" t="s">
        <v>11</v>
      </c>
      <c r="G19908" s="2" t="s">
        <v>5016</v>
      </c>
      <c r="H19908" s="2" t="s">
        <v>5017</v>
      </c>
    </row>
    <row r="19909" spans="1:8" ht="25.05" customHeight="1" x14ac:dyDescent="0.25">
      <c r="A19909" s="2" t="s">
        <v>8</v>
      </c>
      <c r="B19909" s="2" t="str">
        <f>HYPERLINK("http://ts.21cn.com/tousu/show/id/1351926","爱又米高利贷")</f>
        <v>爱又米高利贷</v>
      </c>
      <c r="C19909" s="2" t="s">
        <v>9</v>
      </c>
      <c r="D19909" s="2" t="s">
        <v>10</v>
      </c>
      <c r="E19909" s="2" t="str">
        <f>HYPERLINK("http://ts.21cn.com/tousu/show/id/1351926","http://ts.21cn.com/tousu/show/id/1351926")</f>
        <v>http://ts.21cn.com/tousu/show/id/1351926</v>
      </c>
      <c r="F19909" s="2" t="s">
        <v>11</v>
      </c>
      <c r="G19909" s="2" t="s">
        <v>5014</v>
      </c>
      <c r="H19909" s="2" t="s">
        <v>5015</v>
      </c>
    </row>
    <row r="19910" spans="1:8" ht="25.05" customHeight="1" x14ac:dyDescent="0.25">
      <c r="A19910" s="2" t="s">
        <v>8</v>
      </c>
      <c r="B19910" s="2" t="str">
        <f>HYPERLINK("http://ts.21cn.com/tousu/show/id/1351928","爆我通信录还给我发上百条验证码")</f>
        <v>爆我通信录还给我发上百条验证码</v>
      </c>
      <c r="C19910" s="2" t="s">
        <v>9</v>
      </c>
      <c r="D19910" s="2" t="s">
        <v>10</v>
      </c>
      <c r="E19910" s="2" t="str">
        <f>HYPERLINK("http://ts.21cn.com/tousu/show/id/1351928","http://ts.21cn.com/tousu/show/id/1351928")</f>
        <v>http://ts.21cn.com/tousu/show/id/1351928</v>
      </c>
      <c r="F19910" s="2" t="s">
        <v>11</v>
      </c>
      <c r="G19910" s="2" t="s">
        <v>5012</v>
      </c>
      <c r="H19910" s="2" t="s">
        <v>5013</v>
      </c>
    </row>
    <row r="19911" spans="1:8" ht="25.05" customHeight="1" x14ac:dyDescent="0.25">
      <c r="A19911" s="2" t="s">
        <v>8</v>
      </c>
      <c r="B19911" s="2" t="str">
        <f>HYPERLINK("http://ts.21cn.com/tousu/show/id/1351929","拍拍贷套路大曝光，建议媒体曝光，上报国家机构")</f>
        <v>拍拍贷套路大曝光，建议媒体曝光，上报国家机构</v>
      </c>
      <c r="C19911" s="2" t="s">
        <v>9</v>
      </c>
      <c r="D19911" s="2" t="s">
        <v>10</v>
      </c>
      <c r="E19911" s="2" t="str">
        <f>HYPERLINK("http://ts.21cn.com/tousu/show/id/1351929","http://ts.21cn.com/tousu/show/id/1351929")</f>
        <v>http://ts.21cn.com/tousu/show/id/1351929</v>
      </c>
      <c r="F19911" s="2" t="s">
        <v>11</v>
      </c>
      <c r="G19911" s="2" t="s">
        <v>5010</v>
      </c>
      <c r="H19911" s="2" t="s">
        <v>5011</v>
      </c>
    </row>
    <row r="19912" spans="1:8" ht="25.05" customHeight="1" x14ac:dyDescent="0.25">
      <c r="A19912" s="2" t="s">
        <v>8</v>
      </c>
      <c r="B19912" s="2" t="str">
        <f>HYPERLINK("http://ts.21cn.com/tousu/show/id/1351930","高利贷")</f>
        <v>高利贷</v>
      </c>
      <c r="C19912" s="2" t="s">
        <v>9</v>
      </c>
      <c r="D19912" s="2" t="s">
        <v>10</v>
      </c>
      <c r="E19912" s="2" t="str">
        <f>HYPERLINK("http://ts.21cn.com/tousu/show/id/1351930","http://ts.21cn.com/tousu/show/id/1351930")</f>
        <v>http://ts.21cn.com/tousu/show/id/1351930</v>
      </c>
      <c r="F19912" s="2" t="s">
        <v>11</v>
      </c>
      <c r="G19912" s="2" t="s">
        <v>5008</v>
      </c>
      <c r="H19912" s="2" t="s">
        <v>5009</v>
      </c>
    </row>
    <row r="19913" spans="1:8" ht="25.05" customHeight="1" x14ac:dyDescent="0.25">
      <c r="A19913" s="2" t="s">
        <v>8</v>
      </c>
      <c r="B19913" s="2" t="str">
        <f>HYPERLINK("http://ts.21cn.com/tousu/show/id/1351931","找不到人协商还款")</f>
        <v>找不到人协商还款</v>
      </c>
      <c r="C19913" s="2" t="s">
        <v>34</v>
      </c>
      <c r="D19913" s="2" t="s">
        <v>10</v>
      </c>
      <c r="E19913" s="2" t="str">
        <f>HYPERLINK("http://ts.21cn.com/tousu/show/id/1351931","http://ts.21cn.com/tousu/show/id/1351931")</f>
        <v>http://ts.21cn.com/tousu/show/id/1351931</v>
      </c>
      <c r="F19913" s="2" t="s">
        <v>11</v>
      </c>
      <c r="G19913" s="2" t="s">
        <v>5006</v>
      </c>
      <c r="H19913" s="2" t="s">
        <v>5007</v>
      </c>
    </row>
    <row r="19914" spans="1:8" ht="25.05" customHeight="1" x14ac:dyDescent="0.25">
      <c r="A19914" s="2" t="s">
        <v>8</v>
      </c>
      <c r="B19914" s="2" t="str">
        <f>HYPERLINK("http://ts.21cn.com/tousu/show/id/1351932","不退款")</f>
        <v>不退款</v>
      </c>
      <c r="C19914" s="2" t="s">
        <v>9</v>
      </c>
      <c r="D19914" s="2" t="s">
        <v>10</v>
      </c>
      <c r="E19914" s="2" t="str">
        <f>HYPERLINK("http://ts.21cn.com/tousu/show/id/1351932","http://ts.21cn.com/tousu/show/id/1351932")</f>
        <v>http://ts.21cn.com/tousu/show/id/1351932</v>
      </c>
      <c r="F19914" s="2" t="s">
        <v>11</v>
      </c>
      <c r="G19914" s="2" t="s">
        <v>5004</v>
      </c>
      <c r="H19914" s="2" t="s">
        <v>5005</v>
      </c>
    </row>
    <row r="19915" spans="1:8" ht="25.05" customHeight="1" x14ac:dyDescent="0.25">
      <c r="A19915" s="2" t="s">
        <v>8</v>
      </c>
      <c r="B19915" s="2" t="str">
        <f>HYPERLINK("http://ts.21cn.com/tousu/show/id/1351933","盗刷私自扣款要求退款")</f>
        <v>盗刷私自扣款要求退款</v>
      </c>
      <c r="C19915" s="2" t="s">
        <v>9</v>
      </c>
      <c r="D19915" s="2" t="s">
        <v>10</v>
      </c>
      <c r="E19915" s="2" t="str">
        <f>HYPERLINK("http://ts.21cn.com/tousu/show/id/1351933","http://ts.21cn.com/tousu/show/id/1351933")</f>
        <v>http://ts.21cn.com/tousu/show/id/1351933</v>
      </c>
      <c r="F19915" s="2" t="s">
        <v>11</v>
      </c>
      <c r="G19915" s="2" t="s">
        <v>5002</v>
      </c>
      <c r="H19915" s="2" t="s">
        <v>5003</v>
      </c>
    </row>
    <row r="19916" spans="1:8" ht="25.05" customHeight="1" x14ac:dyDescent="0.25">
      <c r="A19916" s="2" t="s">
        <v>8</v>
      </c>
      <c r="B19916" s="2" t="str">
        <f>HYPERLINK("http://ts.21cn.com/tousu/show/id/1351934","今日花呗恶意扣款")</f>
        <v>今日花呗恶意扣款</v>
      </c>
      <c r="C19916" s="2" t="s">
        <v>9</v>
      </c>
      <c r="D19916" s="2" t="s">
        <v>10</v>
      </c>
      <c r="E19916" s="2" t="str">
        <f>HYPERLINK("http://ts.21cn.com/tousu/show/id/1351934","http://ts.21cn.com/tousu/show/id/1351934")</f>
        <v>http://ts.21cn.com/tousu/show/id/1351934</v>
      </c>
      <c r="F19916" s="2" t="s">
        <v>11</v>
      </c>
      <c r="G19916" s="2" t="s">
        <v>5000</v>
      </c>
      <c r="H19916" s="2" t="s">
        <v>5001</v>
      </c>
    </row>
    <row r="19917" spans="1:8" ht="25.05" customHeight="1" x14ac:dyDescent="0.25">
      <c r="A19917" s="2" t="s">
        <v>8</v>
      </c>
      <c r="B19917" s="2" t="str">
        <f>HYPERLINK("http://ts.21cn.com/tousu/show/id/1351935","如期分期乱扣费")</f>
        <v>如期分期乱扣费</v>
      </c>
      <c r="C19917" s="2" t="s">
        <v>9</v>
      </c>
      <c r="D19917" s="2" t="s">
        <v>10</v>
      </c>
      <c r="E19917" s="2" t="str">
        <f>HYPERLINK("http://ts.21cn.com/tousu/show/id/1351935","http://ts.21cn.com/tousu/show/id/1351935")</f>
        <v>http://ts.21cn.com/tousu/show/id/1351935</v>
      </c>
      <c r="F19917" s="2" t="s">
        <v>11</v>
      </c>
      <c r="G19917" s="2" t="s">
        <v>4998</v>
      </c>
      <c r="H19917" s="2" t="s">
        <v>4999</v>
      </c>
    </row>
    <row r="19918" spans="1:8" ht="25.05" customHeight="1" x14ac:dyDescent="0.25">
      <c r="A19918" s="2" t="s">
        <v>8</v>
      </c>
      <c r="B19918" s="2" t="str">
        <f>HYPERLINK("http://ts.21cn.com/tousu/show/id/1351936","砍头息，捆绑保险")</f>
        <v>砍头息，捆绑保险</v>
      </c>
      <c r="C19918" s="2" t="s">
        <v>34</v>
      </c>
      <c r="D19918" s="2" t="s">
        <v>10</v>
      </c>
      <c r="E19918" s="2" t="str">
        <f>HYPERLINK("http://ts.21cn.com/tousu/show/id/1351936","http://ts.21cn.com/tousu/show/id/1351936")</f>
        <v>http://ts.21cn.com/tousu/show/id/1351936</v>
      </c>
      <c r="F19918" s="2" t="s">
        <v>11</v>
      </c>
      <c r="G19918" s="2" t="s">
        <v>4996</v>
      </c>
      <c r="H19918" s="2" t="s">
        <v>4997</v>
      </c>
    </row>
    <row r="19919" spans="1:8" ht="25.05" customHeight="1" x14ac:dyDescent="0.25">
      <c r="A19919" s="2" t="s">
        <v>8</v>
      </c>
      <c r="B19919" s="2" t="str">
        <f>HYPERLINK("http://ts.21cn.com/tousu/show/id/1351937","唯品会使用暴力催收")</f>
        <v>唯品会使用暴力催收</v>
      </c>
      <c r="C19919" s="2" t="s">
        <v>9</v>
      </c>
      <c r="D19919" s="2" t="s">
        <v>10</v>
      </c>
      <c r="E19919" s="2" t="str">
        <f>HYPERLINK("http://ts.21cn.com/tousu/show/id/1351937","http://ts.21cn.com/tousu/show/id/1351937")</f>
        <v>http://ts.21cn.com/tousu/show/id/1351937</v>
      </c>
      <c r="F19919" s="2" t="s">
        <v>11</v>
      </c>
      <c r="G19919" s="2" t="s">
        <v>4994</v>
      </c>
      <c r="H19919" s="2" t="s">
        <v>4995</v>
      </c>
    </row>
    <row r="19920" spans="1:8" ht="25.05" customHeight="1" x14ac:dyDescent="0.25">
      <c r="A19920" s="2" t="s">
        <v>8</v>
      </c>
      <c r="B19920" s="2" t="str">
        <f>HYPERLINK("http://ts.21cn.com/tousu/show/id/1351938","自由魔卡六便士高利贷砍头息")</f>
        <v>自由魔卡六便士高利贷砍头息</v>
      </c>
      <c r="C19920" s="2" t="s">
        <v>9</v>
      </c>
      <c r="D19920" s="2" t="s">
        <v>10</v>
      </c>
      <c r="E19920" s="2" t="str">
        <f>HYPERLINK("http://ts.21cn.com/tousu/show/id/1351938","http://ts.21cn.com/tousu/show/id/1351938")</f>
        <v>http://ts.21cn.com/tousu/show/id/1351938</v>
      </c>
      <c r="F19920" s="2" t="s">
        <v>11</v>
      </c>
      <c r="G19920" s="2" t="s">
        <v>4992</v>
      </c>
      <c r="H19920" s="2" t="s">
        <v>4993</v>
      </c>
    </row>
    <row r="19921" spans="1:8" ht="25.05" customHeight="1" x14ac:dyDescent="0.25">
      <c r="A19921" s="2" t="s">
        <v>8</v>
      </c>
      <c r="B19921" s="2" t="str">
        <f>HYPERLINK("http://ts.21cn.com/tousu/show/id/1351939","新意花小木钱包高利贷失联")</f>
        <v>新意花小木钱包高利贷失联</v>
      </c>
      <c r="C19921" s="2" t="s">
        <v>9</v>
      </c>
      <c r="D19921" s="2" t="s">
        <v>10</v>
      </c>
      <c r="E19921" s="2" t="str">
        <f>HYPERLINK("http://ts.21cn.com/tousu/show/id/1351939","http://ts.21cn.com/tousu/show/id/1351939")</f>
        <v>http://ts.21cn.com/tousu/show/id/1351939</v>
      </c>
      <c r="F19921" s="2" t="s">
        <v>11</v>
      </c>
      <c r="G19921" s="2" t="s">
        <v>4990</v>
      </c>
      <c r="H19921" s="2" t="s">
        <v>4991</v>
      </c>
    </row>
    <row r="19922" spans="1:8" ht="25.05" customHeight="1" x14ac:dyDescent="0.25">
      <c r="A19922" s="2" t="s">
        <v>8</v>
      </c>
      <c r="B19922" s="2" t="str">
        <f>HYPERLINK("http://ts.21cn.com/tousu/show/id/1351940","石头管家高利贷，砍头息")</f>
        <v>石头管家高利贷，砍头息</v>
      </c>
      <c r="C19922" s="2" t="s">
        <v>9</v>
      </c>
      <c r="D19922" s="2" t="s">
        <v>10</v>
      </c>
      <c r="E19922" s="2" t="str">
        <f>HYPERLINK("http://ts.21cn.com/tousu/show/id/1351940","http://ts.21cn.com/tousu/show/id/1351940")</f>
        <v>http://ts.21cn.com/tousu/show/id/1351940</v>
      </c>
      <c r="F19922" s="2" t="s">
        <v>11</v>
      </c>
      <c r="G19922" s="2" t="s">
        <v>4988</v>
      </c>
      <c r="H19922" s="2" t="s">
        <v>4989</v>
      </c>
    </row>
    <row r="19923" spans="1:8" ht="25.05" customHeight="1" x14ac:dyDescent="0.25">
      <c r="A19923" s="2" t="s">
        <v>8</v>
      </c>
      <c r="B19923" s="2" t="str">
        <f>HYPERLINK("http://ts.21cn.com/tousu/show/id/1351941","不知情情况收责任金")</f>
        <v>不知情情况收责任金</v>
      </c>
      <c r="C19923" s="2" t="s">
        <v>9</v>
      </c>
      <c r="D19923" s="2" t="s">
        <v>10</v>
      </c>
      <c r="E19923" s="2" t="str">
        <f>HYPERLINK("http://ts.21cn.com/tousu/show/id/1351941","http://ts.21cn.com/tousu/show/id/1351941")</f>
        <v>http://ts.21cn.com/tousu/show/id/1351941</v>
      </c>
      <c r="F19923" s="2" t="s">
        <v>11</v>
      </c>
      <c r="G19923" s="2" t="s">
        <v>4986</v>
      </c>
      <c r="H19923" s="2" t="s">
        <v>4987</v>
      </c>
    </row>
    <row r="19924" spans="1:8" ht="25.05" customHeight="1" x14ac:dyDescent="0.25">
      <c r="A19924" s="2" t="s">
        <v>8</v>
      </c>
      <c r="B19924" s="2" t="str">
        <f>HYPERLINK("http://ts.21cn.com/tousu/show/id/1351942","会过商城0元购体肢称和运动手环无法提现")</f>
        <v>会过商城0元购体肢称和运动手环无法提现</v>
      </c>
      <c r="C19924" s="2" t="s">
        <v>9</v>
      </c>
      <c r="D19924" s="2" t="s">
        <v>10</v>
      </c>
      <c r="E19924" s="2" t="str">
        <f>HYPERLINK("http://ts.21cn.com/tousu/show/id/1351942","http://ts.21cn.com/tousu/show/id/1351942")</f>
        <v>http://ts.21cn.com/tousu/show/id/1351942</v>
      </c>
      <c r="F19924" s="2" t="s">
        <v>11</v>
      </c>
      <c r="G19924" s="2" t="s">
        <v>4984</v>
      </c>
      <c r="H19924" s="2" t="s">
        <v>4985</v>
      </c>
    </row>
    <row r="19925" spans="1:8" ht="25.05" customHeight="1" x14ac:dyDescent="0.25">
      <c r="A19925" s="2" t="s">
        <v>8</v>
      </c>
      <c r="B19925" s="2" t="str">
        <f>HYPERLINK("http://ts.21cn.com/tousu/show/id/1351943","变更日期")</f>
        <v>变更日期</v>
      </c>
      <c r="C19925" s="2" t="s">
        <v>34</v>
      </c>
      <c r="D19925" s="2" t="s">
        <v>10</v>
      </c>
      <c r="E19925" s="2" t="str">
        <f>HYPERLINK("http://ts.21cn.com/tousu/show/id/1351943","http://ts.21cn.com/tousu/show/id/1351943")</f>
        <v>http://ts.21cn.com/tousu/show/id/1351943</v>
      </c>
      <c r="F19925" s="2" t="s">
        <v>11</v>
      </c>
      <c r="G19925" s="2" t="s">
        <v>4982</v>
      </c>
      <c r="H19925" s="2" t="s">
        <v>4983</v>
      </c>
    </row>
    <row r="19926" spans="1:8" ht="25.05" customHeight="1" x14ac:dyDescent="0.25">
      <c r="A19926" s="2" t="s">
        <v>8</v>
      </c>
      <c r="B19926" s="2" t="str">
        <f>HYPERLINK("http://ts.21cn.com/tousu/show/id/1351945","不知道什么原因就被不知名的扣款")</f>
        <v>不知道什么原因就被不知名的扣款</v>
      </c>
      <c r="C19926" s="2" t="s">
        <v>9</v>
      </c>
      <c r="D19926" s="2" t="s">
        <v>10</v>
      </c>
      <c r="E19926" s="2" t="str">
        <f>HYPERLINK("http://ts.21cn.com/tousu/show/id/1351945","http://ts.21cn.com/tousu/show/id/1351945")</f>
        <v>http://ts.21cn.com/tousu/show/id/1351945</v>
      </c>
      <c r="F19926" s="2" t="s">
        <v>11</v>
      </c>
      <c r="G19926" s="2" t="s">
        <v>4980</v>
      </c>
      <c r="H19926" s="2" t="s">
        <v>4981</v>
      </c>
    </row>
    <row r="19927" spans="1:8" ht="25.05" customHeight="1" x14ac:dyDescent="0.25">
      <c r="A19927" s="2" t="s">
        <v>8</v>
      </c>
      <c r="B19927" s="2" t="str">
        <f>HYPERLINK("http://ts.21cn.com/tousu/show/id/1351946","my钱包高利贷")</f>
        <v>my钱包高利贷</v>
      </c>
      <c r="C19927" s="2" t="s">
        <v>9</v>
      </c>
      <c r="D19927" s="2" t="s">
        <v>10</v>
      </c>
      <c r="E19927" s="2" t="str">
        <f>HYPERLINK("http://ts.21cn.com/tousu/show/id/1351946","http://ts.21cn.com/tousu/show/id/1351946")</f>
        <v>http://ts.21cn.com/tousu/show/id/1351946</v>
      </c>
      <c r="F19927" s="2" t="s">
        <v>11</v>
      </c>
      <c r="G19927" s="2" t="s">
        <v>4978</v>
      </c>
      <c r="H19927" s="2" t="s">
        <v>4979</v>
      </c>
    </row>
    <row r="19928" spans="1:8" ht="25.05" customHeight="1" x14ac:dyDescent="0.25">
      <c r="A19928" s="2" t="s">
        <v>8</v>
      </c>
      <c r="B19928" s="2" t="str">
        <f>HYPERLINK("http://ts.21cn.com/tousu/show/id/1351947","请求协商还款延期两天")</f>
        <v>请求协商还款延期两天</v>
      </c>
      <c r="C19928" s="2" t="s">
        <v>9</v>
      </c>
      <c r="D19928" s="2" t="s">
        <v>10</v>
      </c>
      <c r="E19928" s="2" t="str">
        <f>HYPERLINK("http://ts.21cn.com/tousu/show/id/1351947","http://ts.21cn.com/tousu/show/id/1351947")</f>
        <v>http://ts.21cn.com/tousu/show/id/1351947</v>
      </c>
      <c r="F19928" s="2" t="s">
        <v>11</v>
      </c>
      <c r="G19928" s="2" t="s">
        <v>4976</v>
      </c>
      <c r="H19928" s="2" t="s">
        <v>4977</v>
      </c>
    </row>
    <row r="19929" spans="1:8" ht="25.05" customHeight="1" x14ac:dyDescent="0.25">
      <c r="A19929" s="2" t="s">
        <v>8</v>
      </c>
      <c r="B19929" s="2" t="str">
        <f>HYPERLINK("http://ts.21cn.com/tousu/show/id/1351948","金鸡下蛋，暴力催收")</f>
        <v>金鸡下蛋，暴力催收</v>
      </c>
      <c r="C19929" s="2" t="s">
        <v>9</v>
      </c>
      <c r="D19929" s="2" t="s">
        <v>10</v>
      </c>
      <c r="E19929" s="2" t="str">
        <f>HYPERLINK("http://ts.21cn.com/tousu/show/id/1351948","http://ts.21cn.com/tousu/show/id/1351948")</f>
        <v>http://ts.21cn.com/tousu/show/id/1351948</v>
      </c>
      <c r="F19929" s="2" t="s">
        <v>11</v>
      </c>
      <c r="G19929" s="2" t="s">
        <v>4974</v>
      </c>
      <c r="H19929" s="2" t="s">
        <v>4975</v>
      </c>
    </row>
    <row r="19930" spans="1:8" ht="25.05" customHeight="1" x14ac:dyDescent="0.25">
      <c r="A19930" s="2" t="s">
        <v>8</v>
      </c>
      <c r="B19930" s="2" t="str">
        <f>HYPERLINK("http://ts.21cn.com/tousu/show/id/1351949","新橙优品收取砍头息")</f>
        <v>新橙优品收取砍头息</v>
      </c>
      <c r="C19930" s="2" t="s">
        <v>34</v>
      </c>
      <c r="D19930" s="2" t="s">
        <v>10</v>
      </c>
      <c r="E19930" s="2" t="str">
        <f>HYPERLINK("http://ts.21cn.com/tousu/show/id/1351949","http://ts.21cn.com/tousu/show/id/1351949")</f>
        <v>http://ts.21cn.com/tousu/show/id/1351949</v>
      </c>
      <c r="F19930" s="2" t="s">
        <v>11</v>
      </c>
      <c r="G19930" s="2" t="s">
        <v>4972</v>
      </c>
      <c r="H19930" s="2" t="s">
        <v>4973</v>
      </c>
    </row>
    <row r="19931" spans="1:8" ht="25.05" customHeight="1" x14ac:dyDescent="0.25">
      <c r="A19931" s="2" t="s">
        <v>8</v>
      </c>
      <c r="B19931" s="2" t="str">
        <f>HYPERLINK("http://ts.21cn.com/tousu/show/id/1351950","工商银行帮助查询宝付快捷支付是怎么开通的？具体开通日期？")</f>
        <v>工商银行帮助查询宝付快捷支付是怎么开通的？具体开通日期？</v>
      </c>
      <c r="C19931" s="2" t="s">
        <v>34</v>
      </c>
      <c r="D19931" s="2" t="s">
        <v>10</v>
      </c>
      <c r="E19931" s="2" t="str">
        <f>HYPERLINK("http://ts.21cn.com/tousu/show/id/1351950","http://ts.21cn.com/tousu/show/id/1351950")</f>
        <v>http://ts.21cn.com/tousu/show/id/1351950</v>
      </c>
      <c r="F19931" s="2" t="s">
        <v>11</v>
      </c>
      <c r="G19931" s="2" t="s">
        <v>4970</v>
      </c>
      <c r="H19931" s="2" t="s">
        <v>4971</v>
      </c>
    </row>
    <row r="19932" spans="1:8" ht="25.05" customHeight="1" x14ac:dyDescent="0.25">
      <c r="A19932" s="2" t="s">
        <v>8</v>
      </c>
      <c r="B19932" s="2" t="str">
        <f>HYPERLINK("http://ts.21cn.com/tousu/show/id/1351951","肥猫贷暴力催收")</f>
        <v>肥猫贷暴力催收</v>
      </c>
      <c r="C19932" s="2" t="s">
        <v>9</v>
      </c>
      <c r="D19932" s="2" t="s">
        <v>10</v>
      </c>
      <c r="E19932" s="2" t="str">
        <f>HYPERLINK("http://ts.21cn.com/tousu/show/id/1351951","http://ts.21cn.com/tousu/show/id/1351951")</f>
        <v>http://ts.21cn.com/tousu/show/id/1351951</v>
      </c>
      <c r="F19932" s="2" t="s">
        <v>11</v>
      </c>
      <c r="G19932" s="2" t="s">
        <v>4968</v>
      </c>
      <c r="H19932" s="2" t="s">
        <v>4969</v>
      </c>
    </row>
    <row r="19933" spans="1:8" ht="25.05" customHeight="1" x14ac:dyDescent="0.25">
      <c r="A19933" s="2" t="s">
        <v>8</v>
      </c>
      <c r="B19933" s="2" t="str">
        <f>HYPERLINK("http://ts.21cn.com/tousu/show/id/1351952","请微粒贷给一条活路")</f>
        <v>请微粒贷给一条活路</v>
      </c>
      <c r="C19933" s="2" t="s">
        <v>9</v>
      </c>
      <c r="D19933" s="2" t="s">
        <v>10</v>
      </c>
      <c r="E19933" s="2" t="str">
        <f>HYPERLINK("http://ts.21cn.com/tousu/show/id/1351952","http://ts.21cn.com/tousu/show/id/1351952")</f>
        <v>http://ts.21cn.com/tousu/show/id/1351952</v>
      </c>
      <c r="F19933" s="2" t="s">
        <v>11</v>
      </c>
      <c r="G19933" s="2" t="s">
        <v>4966</v>
      </c>
      <c r="H19933" s="2" t="s">
        <v>4967</v>
      </c>
    </row>
    <row r="19934" spans="1:8" ht="25.05" customHeight="1" x14ac:dyDescent="0.25">
      <c r="A19934" s="2" t="s">
        <v>8</v>
      </c>
      <c r="B19934" s="2" t="str">
        <f>HYPERLINK("http://ts.21cn.com/tousu/show/id/1351953","京东金融")</f>
        <v>京东金融</v>
      </c>
      <c r="C19934" s="2" t="s">
        <v>9</v>
      </c>
      <c r="D19934" s="2" t="s">
        <v>10</v>
      </c>
      <c r="E19934" s="2" t="str">
        <f>HYPERLINK("http://ts.21cn.com/tousu/show/id/1351953","http://ts.21cn.com/tousu/show/id/1351953")</f>
        <v>http://ts.21cn.com/tousu/show/id/1351953</v>
      </c>
      <c r="F19934" s="2" t="s">
        <v>11</v>
      </c>
      <c r="G19934" s="2" t="s">
        <v>4964</v>
      </c>
      <c r="H19934" s="2" t="s">
        <v>4965</v>
      </c>
    </row>
    <row r="19935" spans="1:8" ht="25.05" customHeight="1" x14ac:dyDescent="0.25">
      <c r="A19935" s="2" t="s">
        <v>8</v>
      </c>
      <c r="B19935" s="2" t="str">
        <f>HYPERLINK("http://ts.21cn.com/tousu/show/id/1351954","银行卡被盗刷")</f>
        <v>银行卡被盗刷</v>
      </c>
      <c r="C19935" s="2" t="s">
        <v>9</v>
      </c>
      <c r="D19935" s="2" t="s">
        <v>10</v>
      </c>
      <c r="E19935" s="2" t="str">
        <f>HYPERLINK("http://ts.21cn.com/tousu/show/id/1351954","http://ts.21cn.com/tousu/show/id/1351954")</f>
        <v>http://ts.21cn.com/tousu/show/id/1351954</v>
      </c>
      <c r="F19935" s="2" t="s">
        <v>11</v>
      </c>
      <c r="G19935" s="2" t="s">
        <v>4962</v>
      </c>
      <c r="H19935" s="2" t="s">
        <v>4963</v>
      </c>
    </row>
    <row r="19936" spans="1:8" ht="25.05" customHeight="1" x14ac:dyDescent="0.25">
      <c r="A19936" s="2" t="s">
        <v>8</v>
      </c>
      <c r="B19936" s="2" t="str">
        <f>HYPERLINK("http://ts.21cn.com/tousu/show/id/1351955","钱伴提前协商还款要太高的利息")</f>
        <v>钱伴提前协商还款要太高的利息</v>
      </c>
      <c r="C19936" s="2" t="s">
        <v>9</v>
      </c>
      <c r="D19936" s="2" t="s">
        <v>10</v>
      </c>
      <c r="E19936" s="2" t="str">
        <f>HYPERLINK("http://ts.21cn.com/tousu/show/id/1351955","http://ts.21cn.com/tousu/show/id/1351955")</f>
        <v>http://ts.21cn.com/tousu/show/id/1351955</v>
      </c>
      <c r="F19936" s="2" t="s">
        <v>11</v>
      </c>
      <c r="G19936" s="2" t="s">
        <v>4960</v>
      </c>
      <c r="H19936" s="2" t="s">
        <v>4961</v>
      </c>
    </row>
    <row r="19937" spans="1:8" ht="25.05" customHeight="1" x14ac:dyDescent="0.25">
      <c r="A19937" s="2" t="s">
        <v>8</v>
      </c>
      <c r="B19937" s="2" t="str">
        <f>HYPERLINK("http://ts.21cn.com/tousu/show/id/1351956","网贷，申请完被拒了，隔了一两天后突然从银行卡扣款")</f>
        <v>网贷，申请完被拒了，隔了一两天后突然从银行卡扣款</v>
      </c>
      <c r="C19937" s="2" t="s">
        <v>9</v>
      </c>
      <c r="D19937" s="2" t="s">
        <v>10</v>
      </c>
      <c r="E19937" s="2" t="str">
        <f>HYPERLINK("http://ts.21cn.com/tousu/show/id/1351956","http://ts.21cn.com/tousu/show/id/1351956")</f>
        <v>http://ts.21cn.com/tousu/show/id/1351956</v>
      </c>
      <c r="F19937" s="2" t="s">
        <v>11</v>
      </c>
      <c r="G19937" s="2" t="s">
        <v>4958</v>
      </c>
      <c r="H19937" s="2" t="s">
        <v>4959</v>
      </c>
    </row>
    <row r="19938" spans="1:8" ht="25.05" customHeight="1" x14ac:dyDescent="0.25">
      <c r="A19938" s="2" t="s">
        <v>8</v>
      </c>
      <c r="B19938" s="2" t="str">
        <f>HYPERLINK("http://ts.21cn.com/tousu/show/id/1351957","人人花乱扣费")</f>
        <v>人人花乱扣费</v>
      </c>
      <c r="C19938" s="2" t="s">
        <v>9</v>
      </c>
      <c r="D19938" s="2" t="s">
        <v>10</v>
      </c>
      <c r="E19938" s="2" t="str">
        <f>HYPERLINK("http://ts.21cn.com/tousu/show/id/1351957","http://ts.21cn.com/tousu/show/id/1351957")</f>
        <v>http://ts.21cn.com/tousu/show/id/1351957</v>
      </c>
      <c r="F19938" s="2" t="s">
        <v>11</v>
      </c>
      <c r="G19938" s="2" t="s">
        <v>4956</v>
      </c>
      <c r="H19938" s="2" t="s">
        <v>4957</v>
      </c>
    </row>
    <row r="19939" spans="1:8" ht="25.05" customHeight="1" x14ac:dyDescent="0.25">
      <c r="A19939" s="2" t="s">
        <v>8</v>
      </c>
      <c r="B19939" s="2" t="str">
        <f>HYPERLINK("http://ts.21cn.com/tousu/show/id/1351958","中信银行上门催收")</f>
        <v>中信银行上门催收</v>
      </c>
      <c r="C19939" s="2" t="s">
        <v>9</v>
      </c>
      <c r="D19939" s="2" t="s">
        <v>10</v>
      </c>
      <c r="E19939" s="2" t="str">
        <f>HYPERLINK("http://ts.21cn.com/tousu/show/id/1351958","http://ts.21cn.com/tousu/show/id/1351958")</f>
        <v>http://ts.21cn.com/tousu/show/id/1351958</v>
      </c>
      <c r="F19939" s="2" t="s">
        <v>11</v>
      </c>
      <c r="G19939" s="2" t="s">
        <v>4954</v>
      </c>
      <c r="H19939" s="2" t="s">
        <v>4955</v>
      </c>
    </row>
    <row r="19940" spans="1:8" ht="25.05" customHeight="1" x14ac:dyDescent="0.25">
      <c r="A19940" s="2" t="s">
        <v>8</v>
      </c>
      <c r="B19940" s="2" t="str">
        <f>HYPERLINK("http://ts.21cn.com/tousu/show/id/1351960","玖富万卡高利贷，强制逾期")</f>
        <v>玖富万卡高利贷，强制逾期</v>
      </c>
      <c r="C19940" s="2" t="s">
        <v>9</v>
      </c>
      <c r="D19940" s="2" t="s">
        <v>10</v>
      </c>
      <c r="E19940" s="2" t="str">
        <f>HYPERLINK("http://ts.21cn.com/tousu/show/id/1351960","http://ts.21cn.com/tousu/show/id/1351960")</f>
        <v>http://ts.21cn.com/tousu/show/id/1351960</v>
      </c>
      <c r="F19940" s="2" t="s">
        <v>11</v>
      </c>
      <c r="G19940" s="2" t="s">
        <v>4952</v>
      </c>
      <c r="H19940" s="2" t="s">
        <v>4953</v>
      </c>
    </row>
    <row r="19941" spans="1:8" ht="25.05" customHeight="1" x14ac:dyDescent="0.25">
      <c r="A19941" s="2" t="s">
        <v>8</v>
      </c>
      <c r="B19941" s="2" t="str">
        <f>HYPERLINK("http://ts.21cn.com/tousu/show/id/1351961","关于美约app乱扣费问题，免费试用后，自动续费会员一年298元")</f>
        <v>关于美约app乱扣费问题，免费试用后，自动续费会员一年298元</v>
      </c>
      <c r="C19941" s="2" t="s">
        <v>34</v>
      </c>
      <c r="D19941" s="2" t="s">
        <v>10</v>
      </c>
      <c r="E19941" s="2" t="str">
        <f>HYPERLINK("http://ts.21cn.com/tousu/show/id/1351961","http://ts.21cn.com/tousu/show/id/1351961")</f>
        <v>http://ts.21cn.com/tousu/show/id/1351961</v>
      </c>
      <c r="F19941" s="2" t="s">
        <v>11</v>
      </c>
      <c r="G19941" s="2" t="s">
        <v>4950</v>
      </c>
      <c r="H19941" s="2" t="s">
        <v>4951</v>
      </c>
    </row>
    <row r="19942" spans="1:8" ht="25.05" customHeight="1" x14ac:dyDescent="0.25">
      <c r="A19942" s="2" t="s">
        <v>8</v>
      </c>
      <c r="B19942" s="2" t="str">
        <f>HYPERLINK("http://ts.21cn.com/tousu/show/id/1351962","钱站高利贷阴阳合同")</f>
        <v>钱站高利贷阴阳合同</v>
      </c>
      <c r="C19942" s="2" t="s">
        <v>9</v>
      </c>
      <c r="D19942" s="2" t="s">
        <v>10</v>
      </c>
      <c r="E19942" s="2" t="str">
        <f>HYPERLINK("http://ts.21cn.com/tousu/show/id/1351962","http://ts.21cn.com/tousu/show/id/1351962")</f>
        <v>http://ts.21cn.com/tousu/show/id/1351962</v>
      </c>
      <c r="F19942" s="2" t="s">
        <v>11</v>
      </c>
      <c r="G19942" s="2" t="s">
        <v>4948</v>
      </c>
      <c r="H19942" s="2" t="s">
        <v>4949</v>
      </c>
    </row>
    <row r="19943" spans="1:8" ht="25.05" customHeight="1" x14ac:dyDescent="0.25">
      <c r="A19943" s="2" t="s">
        <v>8</v>
      </c>
      <c r="B19943" s="2" t="str">
        <f>HYPERLINK("http://ts.21cn.com/tousu/show/id/1351964","盼达用车押金不退")</f>
        <v>盼达用车押金不退</v>
      </c>
      <c r="C19943" s="2" t="s">
        <v>9</v>
      </c>
      <c r="D19943" s="2" t="s">
        <v>10</v>
      </c>
      <c r="E19943" s="2" t="str">
        <f>HYPERLINK("http://ts.21cn.com/tousu/show/id/1351964","http://ts.21cn.com/tousu/show/id/1351964")</f>
        <v>http://ts.21cn.com/tousu/show/id/1351964</v>
      </c>
      <c r="F19943" s="2" t="s">
        <v>11</v>
      </c>
      <c r="G19943" s="2" t="s">
        <v>4946</v>
      </c>
      <c r="H19943" s="2" t="s">
        <v>4947</v>
      </c>
    </row>
    <row r="19944" spans="1:8" ht="25.05" customHeight="1" x14ac:dyDescent="0.25">
      <c r="A19944" s="2" t="s">
        <v>8</v>
      </c>
      <c r="B19944" s="2" t="str">
        <f>HYPERLINK("http://ts.21cn.com/tousu/show/id/1351963","立借阴阳合同高立贷")</f>
        <v>立借阴阳合同高立贷</v>
      </c>
      <c r="C19944" s="2" t="s">
        <v>9</v>
      </c>
      <c r="D19944" s="2" t="s">
        <v>10</v>
      </c>
      <c r="E19944" s="2" t="str">
        <f>HYPERLINK("http://ts.21cn.com/tousu/show/id/1351963","http://ts.21cn.com/tousu/show/id/1351963")</f>
        <v>http://ts.21cn.com/tousu/show/id/1351963</v>
      </c>
      <c r="F19944" s="2" t="s">
        <v>11</v>
      </c>
      <c r="G19944" s="2" t="s">
        <v>4944</v>
      </c>
      <c r="H19944" s="2" t="s">
        <v>4945</v>
      </c>
    </row>
    <row r="19945" spans="1:8" ht="25.05" customHeight="1" x14ac:dyDescent="0.25">
      <c r="A19945" s="2" t="s">
        <v>8</v>
      </c>
      <c r="B19945" s="2" t="str">
        <f>HYPERLINK("http://ts.21cn.com/tousu/show/id/1351965","上海造艺科技网络公司非法扣款")</f>
        <v>上海造艺科技网络公司非法扣款</v>
      </c>
      <c r="C19945" s="2" t="s">
        <v>9</v>
      </c>
      <c r="D19945" s="2" t="s">
        <v>10</v>
      </c>
      <c r="E19945" s="2" t="str">
        <f>HYPERLINK("http://ts.21cn.com/tousu/show/id/1351965","http://ts.21cn.com/tousu/show/id/1351965")</f>
        <v>http://ts.21cn.com/tousu/show/id/1351965</v>
      </c>
      <c r="F19945" s="2" t="s">
        <v>11</v>
      </c>
      <c r="G19945" s="2" t="s">
        <v>4942</v>
      </c>
      <c r="H19945" s="2" t="s">
        <v>4943</v>
      </c>
    </row>
    <row r="19946" spans="1:8" ht="25.05" customHeight="1" x14ac:dyDescent="0.25">
      <c r="A19946" s="2" t="s">
        <v>8</v>
      </c>
      <c r="B19946" s="2" t="str">
        <f>HYPERLINK("http://ts.21cn.com/tousu/show/id/1351966","我来贷银行卡余额充足不扣款导致逾期")</f>
        <v>我来贷银行卡余额充足不扣款导致逾期</v>
      </c>
      <c r="C19946" s="2" t="s">
        <v>34</v>
      </c>
      <c r="D19946" s="2" t="s">
        <v>10</v>
      </c>
      <c r="E19946" s="2" t="str">
        <f>HYPERLINK("http://ts.21cn.com/tousu/show/id/1351966","http://ts.21cn.com/tousu/show/id/1351966")</f>
        <v>http://ts.21cn.com/tousu/show/id/1351966</v>
      </c>
      <c r="F19946" s="2" t="s">
        <v>11</v>
      </c>
      <c r="G19946" s="2" t="s">
        <v>4940</v>
      </c>
      <c r="H19946" s="2" t="s">
        <v>4941</v>
      </c>
    </row>
    <row r="19947" spans="1:8" ht="25.05" customHeight="1" x14ac:dyDescent="0.25">
      <c r="A19947" s="2" t="s">
        <v>8</v>
      </c>
      <c r="B19947" s="2" t="str">
        <f>HYPERLINK("http://ts.21cn.com/tousu/show/id/1351968","暴力催收")</f>
        <v>暴力催收</v>
      </c>
      <c r="C19947" s="2" t="s">
        <v>9</v>
      </c>
      <c r="D19947" s="2" t="s">
        <v>10</v>
      </c>
      <c r="E19947" s="2" t="str">
        <f>HYPERLINK("http://ts.21cn.com/tousu/show/id/1351968","http://ts.21cn.com/tousu/show/id/1351968")</f>
        <v>http://ts.21cn.com/tousu/show/id/1351968</v>
      </c>
      <c r="F19947" s="2" t="s">
        <v>11</v>
      </c>
      <c r="G19947" s="2" t="s">
        <v>4938</v>
      </c>
      <c r="H19947" s="2" t="s">
        <v>4939</v>
      </c>
    </row>
    <row r="19948" spans="1:8" ht="25.05" customHeight="1" x14ac:dyDescent="0.25">
      <c r="A19948" s="2" t="s">
        <v>8</v>
      </c>
      <c r="B19948" s="2" t="str">
        <f>HYPERLINK("http://ts.21cn.com/tousu/show/id/1351969","中大互联不给予退款未成年贷款")</f>
        <v>中大互联不给予退款未成年贷款</v>
      </c>
      <c r="C19948" s="2" t="s">
        <v>9</v>
      </c>
      <c r="D19948" s="2" t="s">
        <v>10</v>
      </c>
      <c r="E19948" s="2" t="str">
        <f>HYPERLINK("http://ts.21cn.com/tousu/show/id/1351969","http://ts.21cn.com/tousu/show/id/1351969")</f>
        <v>http://ts.21cn.com/tousu/show/id/1351969</v>
      </c>
      <c r="F19948" s="2" t="s">
        <v>11</v>
      </c>
      <c r="G19948" s="2" t="s">
        <v>4936</v>
      </c>
      <c r="H19948" s="2" t="s">
        <v>4937</v>
      </c>
    </row>
    <row r="19949" spans="1:8" ht="25.05" customHeight="1" x14ac:dyDescent="0.25">
      <c r="A19949" s="2" t="s">
        <v>8</v>
      </c>
      <c r="B19949" s="2" t="str">
        <f>HYPERLINK("http://ts.21cn.com/tousu/show/id/1351970","利息太高")</f>
        <v>利息太高</v>
      </c>
      <c r="C19949" s="2" t="s">
        <v>9</v>
      </c>
      <c r="D19949" s="2" t="s">
        <v>10</v>
      </c>
      <c r="E19949" s="2" t="str">
        <f>HYPERLINK("http://ts.21cn.com/tousu/show/id/1351970","http://ts.21cn.com/tousu/show/id/1351970")</f>
        <v>http://ts.21cn.com/tousu/show/id/1351970</v>
      </c>
      <c r="F19949" s="2" t="s">
        <v>11</v>
      </c>
      <c r="G19949" s="2" t="s">
        <v>4934</v>
      </c>
      <c r="H19949" s="2" t="s">
        <v>4935</v>
      </c>
    </row>
    <row r="19950" spans="1:8" ht="25.05" customHeight="1" x14ac:dyDescent="0.25">
      <c r="A19950" s="2" t="s">
        <v>8</v>
      </c>
      <c r="B19950" s="2" t="str">
        <f>HYPERLINK("http://ts.21cn.com/tousu/show/id/1351971","钱水艇无缘无故扣钱")</f>
        <v>钱水艇无缘无故扣钱</v>
      </c>
      <c r="C19950" s="2" t="s">
        <v>9</v>
      </c>
      <c r="D19950" s="2" t="s">
        <v>10</v>
      </c>
      <c r="E19950" s="2" t="str">
        <f>HYPERLINK("http://ts.21cn.com/tousu/show/id/1351971","http://ts.21cn.com/tousu/show/id/1351971")</f>
        <v>http://ts.21cn.com/tousu/show/id/1351971</v>
      </c>
      <c r="F19950" s="2" t="s">
        <v>11</v>
      </c>
      <c r="G19950" s="2" t="s">
        <v>4932</v>
      </c>
      <c r="H19950" s="2" t="s">
        <v>4933</v>
      </c>
    </row>
    <row r="19951" spans="1:8" ht="25.05" customHeight="1" x14ac:dyDescent="0.25">
      <c r="A19951" s="2" t="s">
        <v>8</v>
      </c>
      <c r="B19951" s="2" t="str">
        <f>HYPERLINK("http://ts.21cn.com/tousu/show/id/1351972","严重影响生活，拒绝在打扰，已经报警")</f>
        <v>严重影响生活，拒绝在打扰，已经报警</v>
      </c>
      <c r="C19951" s="2" t="s">
        <v>9</v>
      </c>
      <c r="D19951" s="2" t="s">
        <v>10</v>
      </c>
      <c r="E19951" s="2" t="str">
        <f>HYPERLINK("http://ts.21cn.com/tousu/show/id/1351972","http://ts.21cn.com/tousu/show/id/1351972")</f>
        <v>http://ts.21cn.com/tousu/show/id/1351972</v>
      </c>
      <c r="F19951" s="2" t="s">
        <v>11</v>
      </c>
      <c r="G19951" s="2" t="s">
        <v>4930</v>
      </c>
      <c r="H19951" s="2" t="s">
        <v>4931</v>
      </c>
    </row>
    <row r="19952" spans="1:8" ht="25.05" customHeight="1" x14ac:dyDescent="0.25">
      <c r="A19952" s="2" t="s">
        <v>8</v>
      </c>
      <c r="B19952" s="2" t="str">
        <f>HYPERLINK("http://ts.21cn.com/tousu/show/id/1351944","斗牛士恶意催收严重影响家庭")</f>
        <v>斗牛士恶意催收严重影响家庭</v>
      </c>
      <c r="C19952" s="2" t="s">
        <v>9</v>
      </c>
      <c r="D19952" s="2" t="s">
        <v>10</v>
      </c>
      <c r="E19952" s="2" t="str">
        <f>HYPERLINK("http://ts.21cn.com/tousu/show/id/1351944","http://ts.21cn.com/tousu/show/id/1351944")</f>
        <v>http://ts.21cn.com/tousu/show/id/1351944</v>
      </c>
      <c r="F19952" s="2" t="s">
        <v>11</v>
      </c>
      <c r="G19952" s="2" t="s">
        <v>4928</v>
      </c>
      <c r="H19952" s="2" t="s">
        <v>4929</v>
      </c>
    </row>
    <row r="19953" spans="1:8" ht="25.05" customHeight="1" x14ac:dyDescent="0.25">
      <c r="A19953" s="2" t="s">
        <v>8</v>
      </c>
      <c r="B19953" s="2" t="str">
        <f>HYPERLINK("http://ts.21cn.com/tousu/show/id/1351975","现金巴士套路贷，砍头息，逾期费")</f>
        <v>现金巴士套路贷，砍头息，逾期费</v>
      </c>
      <c r="C19953" s="2" t="s">
        <v>9</v>
      </c>
      <c r="D19953" s="2" t="s">
        <v>10</v>
      </c>
      <c r="E19953" s="2" t="str">
        <f>HYPERLINK("http://ts.21cn.com/tousu/show/id/1351975","http://ts.21cn.com/tousu/show/id/1351975")</f>
        <v>http://ts.21cn.com/tousu/show/id/1351975</v>
      </c>
      <c r="F19953" s="2" t="s">
        <v>11</v>
      </c>
      <c r="G19953" s="2" t="s">
        <v>4926</v>
      </c>
      <c r="H19953" s="2" t="s">
        <v>4927</v>
      </c>
    </row>
    <row r="19954" spans="1:8" ht="25.05" customHeight="1" x14ac:dyDescent="0.25">
      <c r="A19954" s="2" t="s">
        <v>8</v>
      </c>
      <c r="B19954" s="2" t="str">
        <f>HYPERLINK("http://ts.21cn.com/tousu/show/id/1351976","会过商城0元购体肢称和运动手环无法提现")</f>
        <v>会过商城0元购体肢称和运动手环无法提现</v>
      </c>
      <c r="C19954" s="2" t="s">
        <v>9</v>
      </c>
      <c r="D19954" s="2" t="s">
        <v>10</v>
      </c>
      <c r="E19954" s="2" t="str">
        <f>HYPERLINK("http://ts.21cn.com/tousu/show/id/1351976","http://ts.21cn.com/tousu/show/id/1351976")</f>
        <v>http://ts.21cn.com/tousu/show/id/1351976</v>
      </c>
      <c r="F19954" s="2" t="s">
        <v>11</v>
      </c>
      <c r="G19954" s="2" t="s">
        <v>4924</v>
      </c>
      <c r="H19954" s="2" t="s">
        <v>4925</v>
      </c>
    </row>
    <row r="19955" spans="1:8" ht="25.05" customHeight="1" x14ac:dyDescent="0.25">
      <c r="A19955" s="2" t="s">
        <v>8</v>
      </c>
      <c r="B19955" s="2" t="str">
        <f>HYPERLINK("http://ts.21cn.com/tousu/show/id/1351977","来分期暴力催收")</f>
        <v>来分期暴力催收</v>
      </c>
      <c r="C19955" s="2" t="s">
        <v>9</v>
      </c>
      <c r="D19955" s="2" t="s">
        <v>10</v>
      </c>
      <c r="E19955" s="2" t="str">
        <f>HYPERLINK("http://ts.21cn.com/tousu/show/id/1351977","http://ts.21cn.com/tousu/show/id/1351977")</f>
        <v>http://ts.21cn.com/tousu/show/id/1351977</v>
      </c>
      <c r="F19955" s="2" t="s">
        <v>11</v>
      </c>
      <c r="G19955" s="2" t="s">
        <v>4922</v>
      </c>
      <c r="H19955" s="2" t="s">
        <v>4923</v>
      </c>
    </row>
    <row r="19956" spans="1:8" ht="25.05" customHeight="1" x14ac:dyDescent="0.25">
      <c r="A19956" s="2" t="s">
        <v>8</v>
      </c>
      <c r="B19956" s="2" t="str">
        <f>HYPERLINK("http://ts.21cn.com/tousu/show/id/1351978","砍头息套路贷")</f>
        <v>砍头息套路贷</v>
      </c>
      <c r="C19956" s="2" t="s">
        <v>9</v>
      </c>
      <c r="D19956" s="2" t="s">
        <v>10</v>
      </c>
      <c r="E19956" s="2" t="str">
        <f>HYPERLINK("http://ts.21cn.com/tousu/show/id/1351978","http://ts.21cn.com/tousu/show/id/1351978")</f>
        <v>http://ts.21cn.com/tousu/show/id/1351978</v>
      </c>
      <c r="F19956" s="2" t="s">
        <v>11</v>
      </c>
      <c r="G19956" s="2" t="s">
        <v>4920</v>
      </c>
      <c r="H19956" s="2" t="s">
        <v>4921</v>
      </c>
    </row>
    <row r="19957" spans="1:8" ht="25.05" customHeight="1" x14ac:dyDescent="0.25">
      <c r="A19957" s="2" t="s">
        <v>8</v>
      </c>
      <c r="B19957" s="2" t="str">
        <f>HYPERLINK("http://ts.21cn.com/tousu/show/id/1351979","钱站阴阳合同，利息严重超过国家标准")</f>
        <v>钱站阴阳合同，利息严重超过国家标准</v>
      </c>
      <c r="C19957" s="2" t="s">
        <v>9</v>
      </c>
      <c r="D19957" s="2" t="s">
        <v>10</v>
      </c>
      <c r="E19957" s="2" t="str">
        <f>HYPERLINK("http://ts.21cn.com/tousu/show/id/1351979","http://ts.21cn.com/tousu/show/id/1351979")</f>
        <v>http://ts.21cn.com/tousu/show/id/1351979</v>
      </c>
      <c r="F19957" s="2" t="s">
        <v>11</v>
      </c>
      <c r="G19957" s="2" t="s">
        <v>4918</v>
      </c>
      <c r="H19957" s="2" t="s">
        <v>4919</v>
      </c>
    </row>
    <row r="19958" spans="1:8" ht="25.05" customHeight="1" x14ac:dyDescent="0.25">
      <c r="A19958" s="2" t="s">
        <v>8</v>
      </c>
      <c r="B19958" s="2" t="str">
        <f>HYPERLINK("http://ts.21cn.com/tousu/show/id/1351982","贷上钱以购物为由收取高额费用")</f>
        <v>贷上钱以购物为由收取高额费用</v>
      </c>
      <c r="C19958" s="2" t="s">
        <v>9</v>
      </c>
      <c r="D19958" s="2" t="s">
        <v>10</v>
      </c>
      <c r="E19958" s="2" t="str">
        <f>HYPERLINK("http://ts.21cn.com/tousu/show/id/1351982","http://ts.21cn.com/tousu/show/id/1351982")</f>
        <v>http://ts.21cn.com/tousu/show/id/1351982</v>
      </c>
      <c r="F19958" s="2" t="s">
        <v>11</v>
      </c>
      <c r="G19958" s="2" t="s">
        <v>4915</v>
      </c>
      <c r="H19958" s="2" t="s">
        <v>4916</v>
      </c>
    </row>
    <row r="19959" spans="1:8" ht="25.05" customHeight="1" x14ac:dyDescent="0.25">
      <c r="A19959" s="2" t="s">
        <v>8</v>
      </c>
      <c r="B19959" s="2" t="str">
        <f>HYPERLINK("http://ts.21cn.com/tousu/show/id/1351981","滴滴公司派单倾斜")</f>
        <v>滴滴公司派单倾斜</v>
      </c>
      <c r="C19959" s="2" t="s">
        <v>9</v>
      </c>
      <c r="D19959" s="2" t="s">
        <v>10</v>
      </c>
      <c r="E19959" s="2" t="str">
        <f>HYPERLINK("http://ts.21cn.com/tousu/show/id/1351981","http://ts.21cn.com/tousu/show/id/1351981")</f>
        <v>http://ts.21cn.com/tousu/show/id/1351981</v>
      </c>
      <c r="F19959" s="2" t="s">
        <v>11</v>
      </c>
      <c r="G19959" s="2" t="s">
        <v>4915</v>
      </c>
      <c r="H19959" s="2" t="s">
        <v>4917</v>
      </c>
    </row>
    <row r="19960" spans="1:8" ht="25.05" customHeight="1" x14ac:dyDescent="0.25">
      <c r="A19960" s="2" t="s">
        <v>8</v>
      </c>
      <c r="B19960" s="2" t="str">
        <f>HYPERLINK("http://ts.21cn.com/tousu/show/id/1351973","被平台暴力催收，一天几十个电话，爆我通讯录电话，给我家人朋友打电话，这是侵犯我的隐私")</f>
        <v>被平台暴力催收，一天几十个电话，爆我通讯录电话，给我家人朋友打电话，这是侵犯我的隐私</v>
      </c>
      <c r="C19960" s="2" t="s">
        <v>9</v>
      </c>
      <c r="D19960" s="2" t="s">
        <v>10</v>
      </c>
      <c r="E19960" s="2" t="str">
        <f>HYPERLINK("http://ts.21cn.com/tousu/show/id/1351973","http://ts.21cn.com/tousu/show/id/1351973")</f>
        <v>http://ts.21cn.com/tousu/show/id/1351973</v>
      </c>
      <c r="F19960" s="2" t="s">
        <v>11</v>
      </c>
      <c r="G19960" s="2" t="s">
        <v>4913</v>
      </c>
      <c r="H19960" s="2" t="s">
        <v>4914</v>
      </c>
    </row>
    <row r="19961" spans="1:8" ht="25.05" customHeight="1" x14ac:dyDescent="0.25">
      <c r="A19961" s="2" t="s">
        <v>8</v>
      </c>
      <c r="B19961" s="2" t="str">
        <f>HYPERLINK("http://ts.21cn.com/tousu/show/id/1351984","钱站高利贷暴力催收阴阳合同超出国家规定利息")</f>
        <v>钱站高利贷暴力催收阴阳合同超出国家规定利息</v>
      </c>
      <c r="C19961" s="2" t="s">
        <v>9</v>
      </c>
      <c r="D19961" s="2" t="s">
        <v>10</v>
      </c>
      <c r="E19961" s="2" t="str">
        <f>HYPERLINK("http://ts.21cn.com/tousu/show/id/1351984","http://ts.21cn.com/tousu/show/id/1351984")</f>
        <v>http://ts.21cn.com/tousu/show/id/1351984</v>
      </c>
      <c r="F19961" s="2" t="s">
        <v>11</v>
      </c>
      <c r="G19961" s="2" t="s">
        <v>4911</v>
      </c>
      <c r="H19961" s="2" t="s">
        <v>4912</v>
      </c>
    </row>
    <row r="19962" spans="1:8" ht="25.05" customHeight="1" x14ac:dyDescent="0.25">
      <c r="A19962" s="2" t="s">
        <v>8</v>
      </c>
      <c r="B19962" s="2" t="str">
        <f>HYPERLINK("http://ts.21cn.com/tousu/show/id/1351985","钱站")</f>
        <v>钱站</v>
      </c>
      <c r="C19962" s="2" t="s">
        <v>9</v>
      </c>
      <c r="D19962" s="2" t="s">
        <v>10</v>
      </c>
      <c r="E19962" s="2" t="str">
        <f>HYPERLINK("http://ts.21cn.com/tousu/show/id/1351985","http://ts.21cn.com/tousu/show/id/1351985")</f>
        <v>http://ts.21cn.com/tousu/show/id/1351985</v>
      </c>
      <c r="F19962" s="2" t="s">
        <v>11</v>
      </c>
      <c r="G19962" s="2" t="s">
        <v>4909</v>
      </c>
      <c r="H19962" s="2" t="s">
        <v>4910</v>
      </c>
    </row>
    <row r="19963" spans="1:8" ht="25.05" customHeight="1" x14ac:dyDescent="0.25">
      <c r="A19963" s="2" t="s">
        <v>8</v>
      </c>
      <c r="B19963" s="2" t="str">
        <f>HYPERLINK("http://ts.21cn.com/tousu/show/id/1351986","高利贷骚扰恐吓")</f>
        <v>高利贷骚扰恐吓</v>
      </c>
      <c r="C19963" s="2" t="s">
        <v>9</v>
      </c>
      <c r="D19963" s="2" t="s">
        <v>10</v>
      </c>
      <c r="E19963" s="2" t="str">
        <f>HYPERLINK("http://ts.21cn.com/tousu/show/id/1351986","http://ts.21cn.com/tousu/show/id/1351986")</f>
        <v>http://ts.21cn.com/tousu/show/id/1351986</v>
      </c>
      <c r="F19963" s="2" t="s">
        <v>11</v>
      </c>
      <c r="G19963" s="2" t="s">
        <v>4907</v>
      </c>
      <c r="H19963" s="2" t="s">
        <v>4908</v>
      </c>
    </row>
    <row r="19964" spans="1:8" ht="25.05" customHeight="1" x14ac:dyDescent="0.25">
      <c r="A19964" s="2" t="s">
        <v>8</v>
      </c>
      <c r="B19964" s="2" t="str">
        <f>HYPERLINK("http://ts.21cn.com/tousu/show/id/1351987","u钱包阴阳合同")</f>
        <v>u钱包阴阳合同</v>
      </c>
      <c r="C19964" s="2" t="s">
        <v>9</v>
      </c>
      <c r="D19964" s="2" t="s">
        <v>10</v>
      </c>
      <c r="E19964" s="2" t="str">
        <f>HYPERLINK("http://ts.21cn.com/tousu/show/id/1351987","http://ts.21cn.com/tousu/show/id/1351987")</f>
        <v>http://ts.21cn.com/tousu/show/id/1351987</v>
      </c>
      <c r="F19964" s="2" t="s">
        <v>11</v>
      </c>
      <c r="G19964" s="2" t="s">
        <v>4905</v>
      </c>
      <c r="H19964" s="2" t="s">
        <v>4906</v>
      </c>
    </row>
    <row r="19965" spans="1:8" ht="25.05" customHeight="1" x14ac:dyDescent="0.25">
      <c r="A19965" s="2" t="s">
        <v>8</v>
      </c>
      <c r="B19965" s="2" t="str">
        <f>HYPERLINK("http://ts.21cn.com/tousu/show/id/1351988","米多点暴力催收")</f>
        <v>米多点暴力催收</v>
      </c>
      <c r="C19965" s="2" t="s">
        <v>9</v>
      </c>
      <c r="D19965" s="2" t="s">
        <v>10</v>
      </c>
      <c r="E19965" s="2" t="str">
        <f>HYPERLINK("http://ts.21cn.com/tousu/show/id/1351988","http://ts.21cn.com/tousu/show/id/1351988")</f>
        <v>http://ts.21cn.com/tousu/show/id/1351988</v>
      </c>
      <c r="F19965" s="2" t="s">
        <v>11</v>
      </c>
      <c r="G19965" s="2" t="s">
        <v>4903</v>
      </c>
      <c r="H19965" s="2" t="s">
        <v>4904</v>
      </c>
    </row>
    <row r="19966" spans="1:8" ht="25.05" customHeight="1" x14ac:dyDescent="0.25">
      <c r="A19966" s="2" t="s">
        <v>8</v>
      </c>
      <c r="B19966" s="2" t="str">
        <f>HYPERLINK("http://ts.21cn.com/tousu/show/id/1351989","豆豆钱显示限额无法主动还款")</f>
        <v>豆豆钱显示限额无法主动还款</v>
      </c>
      <c r="C19966" s="2" t="s">
        <v>34</v>
      </c>
      <c r="D19966" s="2" t="s">
        <v>10</v>
      </c>
      <c r="E19966" s="2" t="str">
        <f>HYPERLINK("http://ts.21cn.com/tousu/show/id/1351989","http://ts.21cn.com/tousu/show/id/1351989")</f>
        <v>http://ts.21cn.com/tousu/show/id/1351989</v>
      </c>
      <c r="F19966" s="2" t="s">
        <v>11</v>
      </c>
      <c r="G19966" s="2" t="s">
        <v>4901</v>
      </c>
      <c r="H19966" s="2" t="s">
        <v>4902</v>
      </c>
    </row>
    <row r="19967" spans="1:8" ht="25.05" customHeight="1" x14ac:dyDescent="0.25">
      <c r="A19967" s="2" t="s">
        <v>8</v>
      </c>
      <c r="B19967" s="2" t="str">
        <f>HYPERLINK("http://ts.21cn.com/tousu/show/id/1351990","威力贷贷催收高炮砍头息")</f>
        <v>威力贷贷催收高炮砍头息</v>
      </c>
      <c r="C19967" s="2" t="s">
        <v>9</v>
      </c>
      <c r="D19967" s="2" t="s">
        <v>10</v>
      </c>
      <c r="E19967" s="2" t="str">
        <f>HYPERLINK("http://ts.21cn.com/tousu/show/id/1351990","http://ts.21cn.com/tousu/show/id/1351990")</f>
        <v>http://ts.21cn.com/tousu/show/id/1351990</v>
      </c>
      <c r="F19967" s="2" t="s">
        <v>11</v>
      </c>
      <c r="G19967" s="2" t="s">
        <v>4899</v>
      </c>
      <c r="H19967" s="2" t="s">
        <v>4900</v>
      </c>
    </row>
    <row r="19968" spans="1:8" ht="25.05" customHeight="1" x14ac:dyDescent="0.25">
      <c r="A19968" s="2" t="s">
        <v>8</v>
      </c>
      <c r="B19968" s="2" t="str">
        <f>HYPERLINK("http://ts.21cn.com/tousu/show/id/1351992","花转转恶意逾期")</f>
        <v>花转转恶意逾期</v>
      </c>
      <c r="C19968" s="2" t="s">
        <v>9</v>
      </c>
      <c r="D19968" s="2" t="s">
        <v>10</v>
      </c>
      <c r="E19968" s="2" t="str">
        <f>HYPERLINK("http://ts.21cn.com/tousu/show/id/1351992","http://ts.21cn.com/tousu/show/id/1351992")</f>
        <v>http://ts.21cn.com/tousu/show/id/1351992</v>
      </c>
      <c r="F19968" s="2" t="s">
        <v>11</v>
      </c>
      <c r="G19968" s="2" t="s">
        <v>4897</v>
      </c>
      <c r="H19968" s="2" t="s">
        <v>4898</v>
      </c>
    </row>
    <row r="19969" spans="1:8" ht="25.05" customHeight="1" x14ac:dyDescent="0.25">
      <c r="A19969" s="2" t="s">
        <v>8</v>
      </c>
      <c r="B19969" s="2" t="str">
        <f>HYPERLINK("http://ts.21cn.com/tousu/show/id/1351993","暴力催收，不同的人给我打电话说不同的话。言语恐吓")</f>
        <v>暴力催收，不同的人给我打电话说不同的话。言语恐吓</v>
      </c>
      <c r="C19969" s="2" t="s">
        <v>9</v>
      </c>
      <c r="D19969" s="2" t="s">
        <v>10</v>
      </c>
      <c r="E19969" s="2" t="str">
        <f>HYPERLINK("http://ts.21cn.com/tousu/show/id/1351993","http://ts.21cn.com/tousu/show/id/1351993")</f>
        <v>http://ts.21cn.com/tousu/show/id/1351993</v>
      </c>
      <c r="F19969" s="2" t="s">
        <v>11</v>
      </c>
      <c r="G19969" s="2" t="s">
        <v>4895</v>
      </c>
      <c r="H19969" s="2" t="s">
        <v>4896</v>
      </c>
    </row>
    <row r="19970" spans="1:8" ht="25.05" customHeight="1" x14ac:dyDescent="0.25">
      <c r="A19970" s="2" t="s">
        <v>8</v>
      </c>
      <c r="B19970" s="2" t="str">
        <f>HYPERLINK("http://ts.21cn.com/tousu/show/id/1351994","广东汇卡商务服务有限公司涉嫌违纪违反银联及银监会规定，为非法行为提供通道，请求广东汇卡商务服务有限公司为我讨回血汗钱")</f>
        <v>广东汇卡商务服务有限公司涉嫌违纪违反银联及银监会规定，为非法行为提供通道，请求广东汇卡商务服务有限公司为我讨回血汗钱</v>
      </c>
      <c r="C19970" s="2" t="s">
        <v>9</v>
      </c>
      <c r="D19970" s="2" t="s">
        <v>10</v>
      </c>
      <c r="E19970" s="2" t="str">
        <f>HYPERLINK("http://ts.21cn.com/tousu/show/id/1351994","http://ts.21cn.com/tousu/show/id/1351994")</f>
        <v>http://ts.21cn.com/tousu/show/id/1351994</v>
      </c>
      <c r="F19970" s="2" t="s">
        <v>11</v>
      </c>
      <c r="G19970" s="2" t="s">
        <v>4893</v>
      </c>
      <c r="H19970" s="2" t="s">
        <v>4894</v>
      </c>
    </row>
    <row r="19971" spans="1:8" ht="25.05" customHeight="1" x14ac:dyDescent="0.25">
      <c r="A19971" s="2" t="s">
        <v>8</v>
      </c>
      <c r="B19971" s="2" t="str">
        <f>HYPERLINK("http://ts.21cn.com/tousu/show/id/1351995","闪电借款砍头息暴力催收")</f>
        <v>闪电借款砍头息暴力催收</v>
      </c>
      <c r="C19971" s="2" t="s">
        <v>9</v>
      </c>
      <c r="D19971" s="2" t="s">
        <v>10</v>
      </c>
      <c r="E19971" s="2" t="str">
        <f>HYPERLINK("http://ts.21cn.com/tousu/show/id/1351995","http://ts.21cn.com/tousu/show/id/1351995")</f>
        <v>http://ts.21cn.com/tousu/show/id/1351995</v>
      </c>
      <c r="F19971" s="2" t="s">
        <v>11</v>
      </c>
      <c r="G19971" s="2" t="s">
        <v>4891</v>
      </c>
      <c r="H19971" s="2" t="s">
        <v>4892</v>
      </c>
    </row>
    <row r="19972" spans="1:8" ht="25.05" customHeight="1" x14ac:dyDescent="0.25">
      <c r="A19972" s="2" t="s">
        <v>8</v>
      </c>
      <c r="B19972" s="2" t="str">
        <f>HYPERLINK("http://ts.21cn.com/tousu/show/id/1351996","工商银行解释支付机构通过银联划扣我银行卡资金，支付机构，银行是否分别需要我的授权？")</f>
        <v>工商银行解释支付机构通过银联划扣我银行卡资金，支付机构，银行是否分别需要我的授权？</v>
      </c>
      <c r="C19972" s="2" t="s">
        <v>9</v>
      </c>
      <c r="D19972" s="2" t="s">
        <v>10</v>
      </c>
      <c r="E19972" s="2" t="str">
        <f>HYPERLINK("http://ts.21cn.com/tousu/show/id/1351996","http://ts.21cn.com/tousu/show/id/1351996")</f>
        <v>http://ts.21cn.com/tousu/show/id/1351996</v>
      </c>
      <c r="F19972" s="2" t="s">
        <v>11</v>
      </c>
      <c r="G19972" s="2" t="s">
        <v>4889</v>
      </c>
      <c r="H19972" s="2" t="s">
        <v>4890</v>
      </c>
    </row>
    <row r="19973" spans="1:8" ht="25.05" customHeight="1" x14ac:dyDescent="0.25">
      <c r="A19973" s="2" t="s">
        <v>8</v>
      </c>
      <c r="B19973" s="2" t="str">
        <f>HYPERLINK("http://ts.21cn.com/tousu/show/id/1351997","通联支付-宏萨（上海）信息科技有限公司无故扣费")</f>
        <v>通联支付-宏萨（上海）信息科技有限公司无故扣费</v>
      </c>
      <c r="C19973" s="2" t="s">
        <v>9</v>
      </c>
      <c r="D19973" s="2" t="s">
        <v>10</v>
      </c>
      <c r="E19973" s="2" t="str">
        <f>HYPERLINK("http://ts.21cn.com/tousu/show/id/1351997","http://ts.21cn.com/tousu/show/id/1351997")</f>
        <v>http://ts.21cn.com/tousu/show/id/1351997</v>
      </c>
      <c r="F19973" s="2" t="s">
        <v>11</v>
      </c>
      <c r="G19973" s="2" t="s">
        <v>4887</v>
      </c>
      <c r="H19973" s="2" t="s">
        <v>4888</v>
      </c>
    </row>
    <row r="19974" spans="1:8" ht="25.05" customHeight="1" x14ac:dyDescent="0.25">
      <c r="A19974" s="2" t="s">
        <v>8</v>
      </c>
      <c r="B19974" s="2" t="str">
        <f>HYPERLINK("http://ts.21cn.com/tousu/show/id/1351980","手机APP多宝分期高利贷、还款失败")</f>
        <v>手机APP多宝分期高利贷、还款失败</v>
      </c>
      <c r="C19974" s="2" t="s">
        <v>9</v>
      </c>
      <c r="D19974" s="2" t="s">
        <v>10</v>
      </c>
      <c r="E19974" s="2" t="str">
        <f>HYPERLINK("http://ts.21cn.com/tousu/show/id/1351980","http://ts.21cn.com/tousu/show/id/1351980")</f>
        <v>http://ts.21cn.com/tousu/show/id/1351980</v>
      </c>
      <c r="F19974" s="2" t="s">
        <v>11</v>
      </c>
      <c r="G19974" s="2" t="s">
        <v>4885</v>
      </c>
      <c r="H19974" s="2" t="s">
        <v>4886</v>
      </c>
    </row>
    <row r="19975" spans="1:8" ht="25.05" customHeight="1" x14ac:dyDescent="0.25">
      <c r="A19975" s="2" t="s">
        <v>8</v>
      </c>
      <c r="B19975" s="2" t="str">
        <f>HYPERLINK("http://ts.21cn.com/tousu/show/id/1351999","贷上钱暴力催收暴打通讯录威胁")</f>
        <v>贷上钱暴力催收暴打通讯录威胁</v>
      </c>
      <c r="C19975" s="2" t="s">
        <v>9</v>
      </c>
      <c r="D19975" s="2" t="s">
        <v>10</v>
      </c>
      <c r="E19975" s="2" t="str">
        <f>HYPERLINK("http://ts.21cn.com/tousu/show/id/1351999","http://ts.21cn.com/tousu/show/id/1351999")</f>
        <v>http://ts.21cn.com/tousu/show/id/1351999</v>
      </c>
      <c r="F19975" s="2" t="s">
        <v>11</v>
      </c>
      <c r="G19975" s="2" t="s">
        <v>4883</v>
      </c>
      <c r="H19975" s="2" t="s">
        <v>4884</v>
      </c>
    </row>
    <row r="19976" spans="1:8" ht="25.05" customHeight="1" x14ac:dyDescent="0.25">
      <c r="A19976" s="2" t="s">
        <v>8</v>
      </c>
      <c r="B19976" s="2" t="str">
        <f>HYPERLINK("http://ts.21cn.com/tousu/show/id/1352000","要求来分期的大额账单改为提前还款")</f>
        <v>要求来分期的大额账单改为提前还款</v>
      </c>
      <c r="C19976" s="2" t="s">
        <v>34</v>
      </c>
      <c r="D19976" s="2" t="s">
        <v>10</v>
      </c>
      <c r="E19976" s="2" t="str">
        <f>HYPERLINK("http://ts.21cn.com/tousu/show/id/1352000","http://ts.21cn.com/tousu/show/id/1352000")</f>
        <v>http://ts.21cn.com/tousu/show/id/1352000</v>
      </c>
      <c r="F19976" s="2" t="s">
        <v>11</v>
      </c>
      <c r="G19976" s="2" t="s">
        <v>4881</v>
      </c>
      <c r="H19976" s="2" t="s">
        <v>4882</v>
      </c>
    </row>
    <row r="19977" spans="1:8" ht="25.05" customHeight="1" x14ac:dyDescent="0.25">
      <c r="A19977" s="2" t="s">
        <v>8</v>
      </c>
      <c r="B19977" s="2" t="str">
        <f>HYPERLINK("http://ts.21cn.com/tousu/show/id/1352001","玖富万卡高利贷")</f>
        <v>玖富万卡高利贷</v>
      </c>
      <c r="C19977" s="2" t="s">
        <v>9</v>
      </c>
      <c r="D19977" s="2" t="s">
        <v>10</v>
      </c>
      <c r="E19977" s="2" t="str">
        <f>HYPERLINK("http://ts.21cn.com/tousu/show/id/1352001","http://ts.21cn.com/tousu/show/id/1352001")</f>
        <v>http://ts.21cn.com/tousu/show/id/1352001</v>
      </c>
      <c r="F19977" s="2" t="s">
        <v>11</v>
      </c>
      <c r="G19977" s="2" t="s">
        <v>4879</v>
      </c>
      <c r="H19977" s="2" t="s">
        <v>4880</v>
      </c>
    </row>
    <row r="19978" spans="1:8" ht="25.05" customHeight="1" x14ac:dyDescent="0.25">
      <c r="A19978" s="2" t="s">
        <v>8</v>
      </c>
      <c r="B19978" s="2" t="str">
        <f>HYPERLINK("http://ts.21cn.com/tousu/show/id/1352002","苏宁任性付")</f>
        <v>苏宁任性付</v>
      </c>
      <c r="C19978" s="2" t="s">
        <v>9</v>
      </c>
      <c r="D19978" s="2" t="s">
        <v>10</v>
      </c>
      <c r="E19978" s="2" t="str">
        <f>HYPERLINK("http://ts.21cn.com/tousu/show/id/1352002","http://ts.21cn.com/tousu/show/id/1352002")</f>
        <v>http://ts.21cn.com/tousu/show/id/1352002</v>
      </c>
      <c r="F19978" s="2" t="s">
        <v>11</v>
      </c>
      <c r="G19978" s="2" t="s">
        <v>4877</v>
      </c>
      <c r="H19978" s="2" t="s">
        <v>4878</v>
      </c>
    </row>
    <row r="19979" spans="1:8" ht="25.05" customHeight="1" x14ac:dyDescent="0.25">
      <c r="A19979" s="2" t="s">
        <v>8</v>
      </c>
      <c r="B19979" s="2" t="str">
        <f>HYPERLINK("http://ts.21cn.com/tousu/show/id/1352003","美图e钱包套路贷")</f>
        <v>美图e钱包套路贷</v>
      </c>
      <c r="C19979" s="2" t="s">
        <v>9</v>
      </c>
      <c r="D19979" s="2" t="s">
        <v>10</v>
      </c>
      <c r="E19979" s="2" t="str">
        <f>HYPERLINK("http://ts.21cn.com/tousu/show/id/1352003","http://ts.21cn.com/tousu/show/id/1352003")</f>
        <v>http://ts.21cn.com/tousu/show/id/1352003</v>
      </c>
      <c r="F19979" s="2" t="s">
        <v>11</v>
      </c>
      <c r="G19979" s="2" t="s">
        <v>4875</v>
      </c>
      <c r="H19979" s="2" t="s">
        <v>4876</v>
      </c>
    </row>
    <row r="19980" spans="1:8" ht="25.05" customHeight="1" x14ac:dyDescent="0.25">
      <c r="A19980" s="2" t="s">
        <v>8</v>
      </c>
      <c r="B19980" s="2" t="str">
        <f>HYPERLINK("http://ts.21cn.com/tousu/show/id/1352005","洋钱罐借款协请求商晚一天还款")</f>
        <v>洋钱罐借款协请求商晚一天还款</v>
      </c>
      <c r="C19980" s="2" t="s">
        <v>34</v>
      </c>
      <c r="D19980" s="2" t="s">
        <v>10</v>
      </c>
      <c r="E19980" s="2" t="str">
        <f>HYPERLINK("http://ts.21cn.com/tousu/show/id/1352005","http://ts.21cn.com/tousu/show/id/1352005")</f>
        <v>http://ts.21cn.com/tousu/show/id/1352005</v>
      </c>
      <c r="F19980" s="2" t="s">
        <v>11</v>
      </c>
      <c r="G19980" s="2" t="s">
        <v>4873</v>
      </c>
      <c r="H19980" s="2" t="s">
        <v>4874</v>
      </c>
    </row>
    <row r="19981" spans="1:8" ht="25.05" customHeight="1" x14ac:dyDescent="0.25">
      <c r="A19981" s="2" t="s">
        <v>8</v>
      </c>
      <c r="B19981" s="2" t="str">
        <f>HYPERLINK("http://ts.21cn.com/tousu/show/id/1352004","投诉北京诚迅信息咨询有限公司无故扣款")</f>
        <v>投诉北京诚迅信息咨询有限公司无故扣款</v>
      </c>
      <c r="C19981" s="2" t="s">
        <v>9</v>
      </c>
      <c r="D19981" s="2" t="s">
        <v>10</v>
      </c>
      <c r="E19981" s="2" t="str">
        <f>HYPERLINK("http://ts.21cn.com/tousu/show/id/1352004","http://ts.21cn.com/tousu/show/id/1352004")</f>
        <v>http://ts.21cn.com/tousu/show/id/1352004</v>
      </c>
      <c r="F19981" s="2" t="s">
        <v>11</v>
      </c>
      <c r="G19981" s="2" t="s">
        <v>4871</v>
      </c>
      <c r="H19981" s="2" t="s">
        <v>4872</v>
      </c>
    </row>
    <row r="19982" spans="1:8" ht="25.05" customHeight="1" x14ac:dyDescent="0.25">
      <c r="A19982" s="2" t="s">
        <v>8</v>
      </c>
      <c r="B19982" s="2" t="str">
        <f>HYPERLINK("http://ts.21cn.com/tousu/show/id/1352006","滴滴出行出行分天天扣")</f>
        <v>滴滴出行出行分天天扣</v>
      </c>
      <c r="C19982" s="2" t="s">
        <v>34</v>
      </c>
      <c r="D19982" s="2" t="s">
        <v>10</v>
      </c>
      <c r="E19982" s="2" t="str">
        <f>HYPERLINK("http://ts.21cn.com/tousu/show/id/1352006","http://ts.21cn.com/tousu/show/id/1352006")</f>
        <v>http://ts.21cn.com/tousu/show/id/1352006</v>
      </c>
      <c r="F19982" s="2" t="s">
        <v>11</v>
      </c>
      <c r="G19982" s="2" t="s">
        <v>4869</v>
      </c>
      <c r="H19982" s="2" t="s">
        <v>4870</v>
      </c>
    </row>
    <row r="19983" spans="1:8" ht="25.05" customHeight="1" x14ac:dyDescent="0.25">
      <c r="A19983" s="2" t="s">
        <v>8</v>
      </c>
      <c r="B19983" s="2" t="str">
        <f>HYPERLINK("http://ts.21cn.com/tousu/show/id/1352007","要求提前结清，减免手续费利息")</f>
        <v>要求提前结清，减免手续费利息</v>
      </c>
      <c r="C19983" s="2" t="s">
        <v>34</v>
      </c>
      <c r="D19983" s="2" t="s">
        <v>10</v>
      </c>
      <c r="E19983" s="2" t="str">
        <f>HYPERLINK("http://ts.21cn.com/tousu/show/id/1352007","http://ts.21cn.com/tousu/show/id/1352007")</f>
        <v>http://ts.21cn.com/tousu/show/id/1352007</v>
      </c>
      <c r="F19983" s="2" t="s">
        <v>11</v>
      </c>
      <c r="G19983" s="2" t="s">
        <v>4867</v>
      </c>
      <c r="H19983" s="2" t="s">
        <v>4868</v>
      </c>
    </row>
    <row r="19984" spans="1:8" ht="25.05" customHeight="1" x14ac:dyDescent="0.25">
      <c r="A19984" s="2" t="s">
        <v>8</v>
      </c>
      <c r="B19984" s="2" t="str">
        <f>HYPERLINK("http://ts.21cn.com/tousu/show/id/1352008","共享电动车收取调度停车费")</f>
        <v>共享电动车收取调度停车费</v>
      </c>
      <c r="C19984" s="2" t="s">
        <v>34</v>
      </c>
      <c r="D19984" s="2" t="s">
        <v>10</v>
      </c>
      <c r="E19984" s="2" t="str">
        <f>HYPERLINK("http://ts.21cn.com/tousu/show/id/1352008","http://ts.21cn.com/tousu/show/id/1352008")</f>
        <v>http://ts.21cn.com/tousu/show/id/1352008</v>
      </c>
      <c r="F19984" s="2" t="s">
        <v>11</v>
      </c>
      <c r="G19984" s="2" t="s">
        <v>4865</v>
      </c>
      <c r="H19984" s="2" t="s">
        <v>4866</v>
      </c>
    </row>
    <row r="19985" spans="1:8" ht="25.05" customHeight="1" x14ac:dyDescent="0.25">
      <c r="A19985" s="2" t="s">
        <v>8</v>
      </c>
      <c r="B19985" s="2" t="str">
        <f>HYPERLINK("http://ts.21cn.com/tousu/show/id/1352010","联动优势恶意扣费")</f>
        <v>联动优势恶意扣费</v>
      </c>
      <c r="C19985" s="2" t="s">
        <v>9</v>
      </c>
      <c r="D19985" s="2" t="s">
        <v>10</v>
      </c>
      <c r="E19985" s="2" t="str">
        <f>HYPERLINK("http://ts.21cn.com/tousu/show/id/1352010","http://ts.21cn.com/tousu/show/id/1352010")</f>
        <v>http://ts.21cn.com/tousu/show/id/1352010</v>
      </c>
      <c r="F19985" s="2" t="s">
        <v>11</v>
      </c>
      <c r="G19985" s="2" t="s">
        <v>4863</v>
      </c>
      <c r="H19985" s="2" t="s">
        <v>4864</v>
      </c>
    </row>
    <row r="19986" spans="1:8" ht="25.05" customHeight="1" x14ac:dyDescent="0.25">
      <c r="A19986" s="2" t="s">
        <v>8</v>
      </c>
      <c r="B19986" s="2" t="str">
        <f>HYPERLINK("http://ts.21cn.com/tousu/show/id/1352011","还呗中银消费金融结清不给申请取消关注")</f>
        <v>还呗中银消费金融结清不给申请取消关注</v>
      </c>
      <c r="C19986" s="2" t="s">
        <v>9</v>
      </c>
      <c r="D19986" s="2" t="s">
        <v>10</v>
      </c>
      <c r="E19986" s="2" t="str">
        <f>HYPERLINK("http://ts.21cn.com/tousu/show/id/1352011","http://ts.21cn.com/tousu/show/id/1352011")</f>
        <v>http://ts.21cn.com/tousu/show/id/1352011</v>
      </c>
      <c r="F19986" s="2" t="s">
        <v>11</v>
      </c>
      <c r="G19986" s="2" t="s">
        <v>4861</v>
      </c>
      <c r="H19986" s="2" t="s">
        <v>4862</v>
      </c>
    </row>
    <row r="19987" spans="1:8" ht="25.05" customHeight="1" x14ac:dyDescent="0.25">
      <c r="A19987" s="2" t="s">
        <v>8</v>
      </c>
      <c r="B19987" s="2" t="str">
        <f>HYPERLINK("http://ts.21cn.com/tousu/show/id/1352012","神马借，套路贷，强迫逾期！联系不上")</f>
        <v>神马借，套路贷，强迫逾期！联系不上</v>
      </c>
      <c r="C19987" s="2" t="s">
        <v>9</v>
      </c>
      <c r="D19987" s="2" t="s">
        <v>10</v>
      </c>
      <c r="E19987" s="2" t="str">
        <f>HYPERLINK("http://ts.21cn.com/tousu/show/id/1352012","http://ts.21cn.com/tousu/show/id/1352012")</f>
        <v>http://ts.21cn.com/tousu/show/id/1352012</v>
      </c>
      <c r="F19987" s="2" t="s">
        <v>11</v>
      </c>
      <c r="G19987" s="2" t="s">
        <v>4859</v>
      </c>
      <c r="H19987" s="2" t="s">
        <v>4860</v>
      </c>
    </row>
    <row r="19988" spans="1:8" ht="25.05" customHeight="1" x14ac:dyDescent="0.25">
      <c r="A19988" s="2" t="s">
        <v>8</v>
      </c>
      <c r="B19988" s="2" t="str">
        <f>HYPERLINK("http://ts.21cn.com/tousu/show/id/1352013","小浦优客私自扣款296元")</f>
        <v>小浦优客私自扣款296元</v>
      </c>
      <c r="C19988" s="2" t="s">
        <v>9</v>
      </c>
      <c r="D19988" s="2" t="s">
        <v>10</v>
      </c>
      <c r="E19988" s="2" t="str">
        <f>HYPERLINK("http://ts.21cn.com/tousu/show/id/1352013","http://ts.21cn.com/tousu/show/id/1352013")</f>
        <v>http://ts.21cn.com/tousu/show/id/1352013</v>
      </c>
      <c r="F19988" s="2" t="s">
        <v>11</v>
      </c>
      <c r="G19988" s="2" t="s">
        <v>4857</v>
      </c>
      <c r="H19988" s="2" t="s">
        <v>4858</v>
      </c>
    </row>
    <row r="19989" spans="1:8" ht="25.05" customHeight="1" x14ac:dyDescent="0.25">
      <c r="A19989" s="2" t="s">
        <v>8</v>
      </c>
      <c r="B19989" s="2" t="str">
        <f>HYPERLINK("http://ts.21cn.com/tousu/show/id/1352014","立借高利贷")</f>
        <v>立借高利贷</v>
      </c>
      <c r="C19989" s="2" t="s">
        <v>9</v>
      </c>
      <c r="D19989" s="2" t="s">
        <v>10</v>
      </c>
      <c r="E19989" s="2" t="str">
        <f>HYPERLINK("http://ts.21cn.com/tousu/show/id/1352014","http://ts.21cn.com/tousu/show/id/1352014")</f>
        <v>http://ts.21cn.com/tousu/show/id/1352014</v>
      </c>
      <c r="F19989" s="2" t="s">
        <v>11</v>
      </c>
      <c r="G19989" s="2" t="s">
        <v>4855</v>
      </c>
      <c r="H19989" s="2" t="s">
        <v>4856</v>
      </c>
    </row>
    <row r="19990" spans="1:8" ht="25.05" customHeight="1" x14ac:dyDescent="0.25">
      <c r="A19990" s="2" t="s">
        <v>8</v>
      </c>
      <c r="B19990" s="2" t="str">
        <f>HYPERLINK("http://ts.21cn.com/tousu/show/id/1352015","玖富万卡捆绑人保恶意购买财产保险，现要求退款")</f>
        <v>玖富万卡捆绑人保恶意购买财产保险，现要求退款</v>
      </c>
      <c r="C19990" s="2" t="s">
        <v>9</v>
      </c>
      <c r="D19990" s="2" t="s">
        <v>10</v>
      </c>
      <c r="E19990" s="2" t="str">
        <f>HYPERLINK("http://ts.21cn.com/tousu/show/id/1352015","http://ts.21cn.com/tousu/show/id/1352015")</f>
        <v>http://ts.21cn.com/tousu/show/id/1352015</v>
      </c>
      <c r="F19990" s="2" t="s">
        <v>11</v>
      </c>
      <c r="G19990" s="2" t="s">
        <v>4853</v>
      </c>
      <c r="H19990" s="2" t="s">
        <v>4854</v>
      </c>
    </row>
    <row r="19991" spans="1:8" ht="25.05" customHeight="1" x14ac:dyDescent="0.25">
      <c r="A19991" s="2" t="s">
        <v>8</v>
      </c>
      <c r="B19991" s="2" t="str">
        <f>HYPERLINK("http://ts.21cn.com/tousu/show/id/1350905","蜂窝钱包（套路贷、砍头息）")</f>
        <v>蜂窝钱包（套路贷、砍头息）</v>
      </c>
      <c r="C19991" s="2" t="s">
        <v>9</v>
      </c>
      <c r="D19991" s="2" t="s">
        <v>10</v>
      </c>
      <c r="E19991" s="2" t="str">
        <f>HYPERLINK("http://ts.21cn.com/tousu/show/id/1350905","http://ts.21cn.com/tousu/show/id/1350905")</f>
        <v>http://ts.21cn.com/tousu/show/id/1350905</v>
      </c>
      <c r="F19991" s="2" t="s">
        <v>11</v>
      </c>
      <c r="G19991" s="2" t="s">
        <v>4851</v>
      </c>
      <c r="H19991" s="2" t="s">
        <v>4852</v>
      </c>
    </row>
    <row r="19992" spans="1:8" ht="25.05" customHeight="1" x14ac:dyDescent="0.25">
      <c r="A19992" s="2" t="s">
        <v>8</v>
      </c>
      <c r="B19992" s="2" t="str">
        <f>HYPERLINK("http://ts.21cn.com/tousu/show/id/1351991","点点通平台无法打开，无法进行还款")</f>
        <v>点点通平台无法打开，无法进行还款</v>
      </c>
      <c r="C19992" s="2" t="s">
        <v>9</v>
      </c>
      <c r="D19992" s="2" t="s">
        <v>10</v>
      </c>
      <c r="E19992" s="2" t="str">
        <f>HYPERLINK("http://ts.21cn.com/tousu/show/id/1351991","http://ts.21cn.com/tousu/show/id/1351991")</f>
        <v>http://ts.21cn.com/tousu/show/id/1351991</v>
      </c>
      <c r="F19992" s="2" t="s">
        <v>11</v>
      </c>
      <c r="G19992" s="2" t="s">
        <v>4849</v>
      </c>
      <c r="H19992" s="2" t="s">
        <v>4850</v>
      </c>
    </row>
    <row r="19993" spans="1:8" ht="25.05" customHeight="1" x14ac:dyDescent="0.25">
      <c r="A19993" s="2" t="s">
        <v>8</v>
      </c>
      <c r="B19993" s="2" t="str">
        <f>HYPERLINK("http://ts.21cn.com/tousu/show/id/1352016","阴阳合同")</f>
        <v>阴阳合同</v>
      </c>
      <c r="C19993" s="2" t="s">
        <v>9</v>
      </c>
      <c r="D19993" s="2" t="s">
        <v>10</v>
      </c>
      <c r="E19993" s="2" t="str">
        <f>HYPERLINK("http://ts.21cn.com/tousu/show/id/1352016","http://ts.21cn.com/tousu/show/id/1352016")</f>
        <v>http://ts.21cn.com/tousu/show/id/1352016</v>
      </c>
      <c r="F19993" s="2" t="s">
        <v>11</v>
      </c>
      <c r="G19993" s="2" t="s">
        <v>4847</v>
      </c>
      <c r="H19993" s="2" t="s">
        <v>4848</v>
      </c>
    </row>
    <row r="19994" spans="1:8" ht="25.05" customHeight="1" x14ac:dyDescent="0.25">
      <c r="A19994" s="2" t="s">
        <v>8</v>
      </c>
      <c r="B19994" s="2" t="str">
        <f>HYPERLINK("http://ts.21cn.com/tousu/show/id/1352017","招联金融")</f>
        <v>招联金融</v>
      </c>
      <c r="C19994" s="2" t="s">
        <v>9</v>
      </c>
      <c r="D19994" s="2" t="s">
        <v>10</v>
      </c>
      <c r="E19994" s="2" t="str">
        <f>HYPERLINK("http://ts.21cn.com/tousu/show/id/1352017","http://ts.21cn.com/tousu/show/id/1352017")</f>
        <v>http://ts.21cn.com/tousu/show/id/1352017</v>
      </c>
      <c r="F19994" s="2" t="s">
        <v>11</v>
      </c>
      <c r="G19994" s="2" t="s">
        <v>4845</v>
      </c>
      <c r="H19994" s="2" t="s">
        <v>4846</v>
      </c>
    </row>
    <row r="19995" spans="1:8" ht="25.05" customHeight="1" x14ac:dyDescent="0.25">
      <c r="A19995" s="2" t="s">
        <v>8</v>
      </c>
      <c r="B19995" s="2" t="str">
        <f>HYPERLINK("http://ts.21cn.com/tousu/show/id/1352018","投诉玖富万卡收费高，纯高利贷")</f>
        <v>投诉玖富万卡收费高，纯高利贷</v>
      </c>
      <c r="C19995" s="2" t="s">
        <v>9</v>
      </c>
      <c r="D19995" s="2" t="s">
        <v>10</v>
      </c>
      <c r="E19995" s="2" t="str">
        <f>HYPERLINK("http://ts.21cn.com/tousu/show/id/1352018","http://ts.21cn.com/tousu/show/id/1352018")</f>
        <v>http://ts.21cn.com/tousu/show/id/1352018</v>
      </c>
      <c r="F19995" s="2" t="s">
        <v>11</v>
      </c>
      <c r="G19995" s="2" t="s">
        <v>4843</v>
      </c>
      <c r="H19995" s="2" t="s">
        <v>4844</v>
      </c>
    </row>
    <row r="19996" spans="1:8" ht="25.05" customHeight="1" x14ac:dyDescent="0.25">
      <c r="A19996" s="2" t="s">
        <v>8</v>
      </c>
      <c r="B19996" s="2" t="str">
        <f>HYPERLINK("http://ts.21cn.com/tousu/show/id/1352019","中金支付为非法网络套路贷新意花小木钱包提供支付渠道")</f>
        <v>中金支付为非法网络套路贷新意花小木钱包提供支付渠道</v>
      </c>
      <c r="C19996" s="2" t="s">
        <v>9</v>
      </c>
      <c r="D19996" s="2" t="s">
        <v>10</v>
      </c>
      <c r="E19996" s="2" t="str">
        <f>HYPERLINK("http://ts.21cn.com/tousu/show/id/1352019","http://ts.21cn.com/tousu/show/id/1352019")</f>
        <v>http://ts.21cn.com/tousu/show/id/1352019</v>
      </c>
      <c r="F19996" s="2" t="s">
        <v>11</v>
      </c>
      <c r="G19996" s="2" t="s">
        <v>4841</v>
      </c>
      <c r="H19996" s="2" t="s">
        <v>4842</v>
      </c>
    </row>
    <row r="19997" spans="1:8" ht="25.05" customHeight="1" x14ac:dyDescent="0.25">
      <c r="A19997" s="2" t="s">
        <v>8</v>
      </c>
      <c r="B19997" s="2" t="str">
        <f>HYPERLINK("http://ts.21cn.com/tousu/show/id/1352021","714高炮金鸡下蛋汇潮支付")</f>
        <v>714高炮金鸡下蛋汇潮支付</v>
      </c>
      <c r="C19997" s="2" t="s">
        <v>9</v>
      </c>
      <c r="D19997" s="2" t="s">
        <v>10</v>
      </c>
      <c r="E19997" s="2" t="str">
        <f>HYPERLINK("http://ts.21cn.com/tousu/show/id/1352021","http://ts.21cn.com/tousu/show/id/1352021")</f>
        <v>http://ts.21cn.com/tousu/show/id/1352021</v>
      </c>
      <c r="F19997" s="2" t="s">
        <v>11</v>
      </c>
      <c r="G19997" s="2" t="s">
        <v>4839</v>
      </c>
      <c r="H19997" s="2" t="s">
        <v>4840</v>
      </c>
    </row>
    <row r="19998" spans="1:8" ht="25.05" customHeight="1" x14ac:dyDescent="0.25">
      <c r="A19998" s="2" t="s">
        <v>8</v>
      </c>
      <c r="B19998" s="2" t="str">
        <f>HYPERLINK("http://ts.21cn.com/tousu/show/id/1352022","要求上海店宝宝退款")</f>
        <v>要求上海店宝宝退款</v>
      </c>
      <c r="C19998" s="2" t="s">
        <v>34</v>
      </c>
      <c r="D19998" s="2" t="s">
        <v>10</v>
      </c>
      <c r="E19998" s="2" t="str">
        <f>HYPERLINK("http://ts.21cn.com/tousu/show/id/1352022","http://ts.21cn.com/tousu/show/id/1352022")</f>
        <v>http://ts.21cn.com/tousu/show/id/1352022</v>
      </c>
      <c r="F19998" s="2" t="s">
        <v>11</v>
      </c>
      <c r="G19998" s="2" t="s">
        <v>4837</v>
      </c>
      <c r="H19998" s="2" t="s">
        <v>4838</v>
      </c>
    </row>
    <row r="19999" spans="1:8" ht="25.05" customHeight="1" x14ac:dyDescent="0.25">
      <c r="A19999" s="2" t="s">
        <v>8</v>
      </c>
      <c r="B19999" s="2" t="str">
        <f>HYPERLINK("http://ts.21cn.com/tousu/show/id/1352023","用钱宝平台威胁用户")</f>
        <v>用钱宝平台威胁用户</v>
      </c>
      <c r="C19999" s="2" t="s">
        <v>9</v>
      </c>
      <c r="D19999" s="2" t="s">
        <v>10</v>
      </c>
      <c r="E19999" s="2" t="str">
        <f>HYPERLINK("http://ts.21cn.com/tousu/show/id/1352023","http://ts.21cn.com/tousu/show/id/1352023")</f>
        <v>http://ts.21cn.com/tousu/show/id/1352023</v>
      </c>
      <c r="F19999" s="2" t="s">
        <v>11</v>
      </c>
      <c r="G19999" s="2" t="s">
        <v>4835</v>
      </c>
      <c r="H19999" s="2" t="s">
        <v>4836</v>
      </c>
    </row>
    <row r="20000" spans="1:8" ht="25.05" customHeight="1" x14ac:dyDescent="0.25">
      <c r="A20000" s="2" t="s">
        <v>8</v>
      </c>
      <c r="B20000" s="2" t="str">
        <f>HYPERLINK("http://ts.21cn.com/tousu/show/id/1352024","随意扣除银行卡里面的钱")</f>
        <v>随意扣除银行卡里面的钱</v>
      </c>
      <c r="C20000" s="2" t="s">
        <v>9</v>
      </c>
      <c r="D20000" s="2" t="s">
        <v>10</v>
      </c>
      <c r="E20000" s="2" t="str">
        <f>HYPERLINK("http://ts.21cn.com/tousu/show/id/1352024","http://ts.21cn.com/tousu/show/id/1352024")</f>
        <v>http://ts.21cn.com/tousu/show/id/1352024</v>
      </c>
      <c r="F20000" s="2" t="s">
        <v>11</v>
      </c>
      <c r="G20000" s="2" t="s">
        <v>4833</v>
      </c>
      <c r="H20000" s="2" t="s">
        <v>4834</v>
      </c>
    </row>
    <row r="20001" spans="1:8" ht="25.05" customHeight="1" x14ac:dyDescent="0.25">
      <c r="A20001" s="2" t="s">
        <v>8</v>
      </c>
      <c r="B20001" s="2" t="str">
        <f>HYPERLINK("http://ts.21cn.com/tousu/show/id/1352025","小米金融希望协商")</f>
        <v>小米金融希望协商</v>
      </c>
      <c r="C20001" s="2" t="s">
        <v>34</v>
      </c>
      <c r="D20001" s="2" t="s">
        <v>10</v>
      </c>
      <c r="E20001" s="2" t="str">
        <f>HYPERLINK("http://ts.21cn.com/tousu/show/id/1352025","http://ts.21cn.com/tousu/show/id/1352025")</f>
        <v>http://ts.21cn.com/tousu/show/id/1352025</v>
      </c>
      <c r="F20001" s="2" t="s">
        <v>11</v>
      </c>
      <c r="G20001" s="2" t="s">
        <v>4831</v>
      </c>
      <c r="H20001" s="2" t="s">
        <v>4832</v>
      </c>
    </row>
    <row r="20002" spans="1:8" ht="25.05" customHeight="1" x14ac:dyDescent="0.25">
      <c r="A20002" s="2" t="s">
        <v>8</v>
      </c>
      <c r="B20002" s="2" t="str">
        <f>HYPERLINK("http://ts.21cn.com/tousu/show/id/1352026","时光分期高利贷")</f>
        <v>时光分期高利贷</v>
      </c>
      <c r="C20002" s="2" t="s">
        <v>9</v>
      </c>
      <c r="D20002" s="2" t="s">
        <v>10</v>
      </c>
      <c r="E20002" s="2" t="str">
        <f>HYPERLINK("http://ts.21cn.com/tousu/show/id/1352026","http://ts.21cn.com/tousu/show/id/1352026")</f>
        <v>http://ts.21cn.com/tousu/show/id/1352026</v>
      </c>
      <c r="F20002" s="2" t="s">
        <v>11</v>
      </c>
      <c r="G20002" s="2" t="s">
        <v>4829</v>
      </c>
      <c r="H20002" s="2" t="s">
        <v>4830</v>
      </c>
    </row>
    <row r="20003" spans="1:8" ht="25.05" customHeight="1" x14ac:dyDescent="0.25">
      <c r="A20003" s="2" t="s">
        <v>8</v>
      </c>
      <c r="B20003" s="2" t="str">
        <f>HYPERLINK("http://ts.21cn.com/tousu/show/id/1351478","虚假宣传，诱导提前消费")</f>
        <v>虚假宣传，诱导提前消费</v>
      </c>
      <c r="C20003" s="2" t="s">
        <v>9</v>
      </c>
      <c r="D20003" s="2" t="s">
        <v>10</v>
      </c>
      <c r="E20003" s="2" t="str">
        <f>HYPERLINK("http://ts.21cn.com/tousu/show/id/1351478","http://ts.21cn.com/tousu/show/id/1351478")</f>
        <v>http://ts.21cn.com/tousu/show/id/1351478</v>
      </c>
      <c r="F20003" s="2" t="s">
        <v>11</v>
      </c>
      <c r="G20003" s="2" t="s">
        <v>4827</v>
      </c>
      <c r="H20003" s="2" t="s">
        <v>4828</v>
      </c>
    </row>
    <row r="20004" spans="1:8" ht="25.05" customHeight="1" x14ac:dyDescent="0.25">
      <c r="A20004" s="2" t="s">
        <v>8</v>
      </c>
      <c r="B20004" s="2" t="str">
        <f>HYPERLINK("http://ts.21cn.com/tousu/show/id/1352028","百度有钱花催收人员骚扰家中老人")</f>
        <v>百度有钱花催收人员骚扰家中老人</v>
      </c>
      <c r="C20004" s="2" t="s">
        <v>9</v>
      </c>
      <c r="D20004" s="2" t="s">
        <v>10</v>
      </c>
      <c r="E20004" s="2" t="str">
        <f>HYPERLINK("http://ts.21cn.com/tousu/show/id/1352028","http://ts.21cn.com/tousu/show/id/1352028")</f>
        <v>http://ts.21cn.com/tousu/show/id/1352028</v>
      </c>
      <c r="F20004" s="2" t="s">
        <v>11</v>
      </c>
      <c r="G20004" s="2" t="s">
        <v>4825</v>
      </c>
      <c r="H20004" s="2" t="s">
        <v>4826</v>
      </c>
    </row>
    <row r="20005" spans="1:8" ht="25.05" customHeight="1" x14ac:dyDescent="0.25">
      <c r="A20005" s="2" t="s">
        <v>8</v>
      </c>
      <c r="B20005" s="2" t="str">
        <f>HYPERLINK("http://ts.21cn.com/tousu/show/id/1352030","中国工商银行田林县支行某个领导天天委托信贷部员工违规上门骚扰催收")</f>
        <v>中国工商银行田林县支行某个领导天天委托信贷部员工违规上门骚扰催收</v>
      </c>
      <c r="C20005" s="2" t="s">
        <v>9</v>
      </c>
      <c r="D20005" s="2" t="s">
        <v>10</v>
      </c>
      <c r="E20005" s="2" t="str">
        <f>HYPERLINK("http://ts.21cn.com/tousu/show/id/1352030","http://ts.21cn.com/tousu/show/id/1352030")</f>
        <v>http://ts.21cn.com/tousu/show/id/1352030</v>
      </c>
      <c r="F20005" s="2" t="s">
        <v>11</v>
      </c>
      <c r="G20005" s="2" t="s">
        <v>4823</v>
      </c>
      <c r="H20005" s="2" t="s">
        <v>4824</v>
      </c>
    </row>
    <row r="20006" spans="1:8" ht="25.05" customHeight="1" x14ac:dyDescent="0.25">
      <c r="A20006" s="2" t="s">
        <v>8</v>
      </c>
      <c r="B20006" s="2" t="str">
        <f>HYPERLINK("http://ts.21cn.com/tousu/show/id/1352031","钱站高利贷阴阳合同")</f>
        <v>钱站高利贷阴阳合同</v>
      </c>
      <c r="C20006" s="2" t="s">
        <v>9</v>
      </c>
      <c r="D20006" s="2" t="s">
        <v>10</v>
      </c>
      <c r="E20006" s="2" t="str">
        <f>HYPERLINK("http://ts.21cn.com/tousu/show/id/1352031","http://ts.21cn.com/tousu/show/id/1352031")</f>
        <v>http://ts.21cn.com/tousu/show/id/1352031</v>
      </c>
      <c r="F20006" s="2" t="s">
        <v>11</v>
      </c>
      <c r="G20006" s="2" t="s">
        <v>4821</v>
      </c>
      <c r="H20006" s="2" t="s">
        <v>4822</v>
      </c>
    </row>
    <row r="20007" spans="1:8" ht="25.05" customHeight="1" x14ac:dyDescent="0.25">
      <c r="A20007" s="2" t="s">
        <v>8</v>
      </c>
      <c r="B20007" s="2" t="str">
        <f>HYPERLINK("http://ts.21cn.com/tousu/show/id/1352032","已经协商好了全额还款就给我减免未履行合同")</f>
        <v>已经协商好了全额还款就给我减免未履行合同</v>
      </c>
      <c r="C20007" s="2" t="s">
        <v>9</v>
      </c>
      <c r="D20007" s="2" t="s">
        <v>10</v>
      </c>
      <c r="E20007" s="2" t="str">
        <f>HYPERLINK("http://ts.21cn.com/tousu/show/id/1352032","http://ts.21cn.com/tousu/show/id/1352032")</f>
        <v>http://ts.21cn.com/tousu/show/id/1352032</v>
      </c>
      <c r="F20007" s="2" t="s">
        <v>11</v>
      </c>
      <c r="G20007" s="2" t="s">
        <v>4819</v>
      </c>
      <c r="H20007" s="2" t="s">
        <v>4820</v>
      </c>
    </row>
    <row r="20008" spans="1:8" ht="25.05" customHeight="1" x14ac:dyDescent="0.25">
      <c r="A20008" s="2" t="s">
        <v>8</v>
      </c>
      <c r="B20008" s="2" t="str">
        <f>HYPERLINK("http://ts.21cn.com/tousu/show/id/1352009","微信加好友让我转账给他的")</f>
        <v>微信加好友让我转账给他的</v>
      </c>
      <c r="C20008" s="2" t="s">
        <v>9</v>
      </c>
      <c r="D20008" s="2" t="s">
        <v>10</v>
      </c>
      <c r="E20008" s="2" t="str">
        <f>HYPERLINK("http://ts.21cn.com/tousu/show/id/1352009","http://ts.21cn.com/tousu/show/id/1352009")</f>
        <v>http://ts.21cn.com/tousu/show/id/1352009</v>
      </c>
      <c r="F20008" s="2" t="s">
        <v>11</v>
      </c>
      <c r="G20008" s="2" t="s">
        <v>4817</v>
      </c>
      <c r="H20008" s="2" t="s">
        <v>4818</v>
      </c>
    </row>
    <row r="20009" spans="1:8" ht="25.05" customHeight="1" x14ac:dyDescent="0.25">
      <c r="A20009" s="2" t="s">
        <v>8</v>
      </c>
      <c r="B20009" s="2" t="str">
        <f>HYPERLINK("http://ts.21cn.com/tousu/show/id/1352033","借贷宝纵容放高利贷")</f>
        <v>借贷宝纵容放高利贷</v>
      </c>
      <c r="C20009" s="2" t="s">
        <v>9</v>
      </c>
      <c r="D20009" s="2" t="s">
        <v>10</v>
      </c>
      <c r="E20009" s="2" t="str">
        <f>HYPERLINK("http://ts.21cn.com/tousu/show/id/1352033","http://ts.21cn.com/tousu/show/id/1352033")</f>
        <v>http://ts.21cn.com/tousu/show/id/1352033</v>
      </c>
      <c r="F20009" s="2" t="s">
        <v>11</v>
      </c>
      <c r="G20009" s="2" t="s">
        <v>4815</v>
      </c>
      <c r="H20009" s="2" t="s">
        <v>4816</v>
      </c>
    </row>
    <row r="20010" spans="1:8" ht="25.05" customHeight="1" x14ac:dyDescent="0.25">
      <c r="A20010" s="2" t="s">
        <v>8</v>
      </c>
      <c r="B20010" s="2" t="str">
        <f>HYPERLINK("http://ts.21cn.com/tousu/show/id/1333193","诱导充值会员遭受损失")</f>
        <v>诱导充值会员遭受损失</v>
      </c>
      <c r="C20010" s="2" t="s">
        <v>9</v>
      </c>
      <c r="D20010" s="2" t="s">
        <v>10</v>
      </c>
      <c r="E20010" s="2" t="str">
        <f>HYPERLINK("http://ts.21cn.com/tousu/show/id/1333193","http://ts.21cn.com/tousu/show/id/1333193")</f>
        <v>http://ts.21cn.com/tousu/show/id/1333193</v>
      </c>
      <c r="F20010" s="2" t="s">
        <v>11</v>
      </c>
      <c r="G20010" s="2" t="s">
        <v>4813</v>
      </c>
      <c r="H20010" s="2" t="s">
        <v>4814</v>
      </c>
    </row>
    <row r="20011" spans="1:8" ht="25.05" customHeight="1" x14ac:dyDescent="0.25">
      <c r="A20011" s="2" t="s">
        <v>8</v>
      </c>
      <c r="B20011" s="2" t="str">
        <f>HYPERLINK("http://ts.21cn.com/tousu/show/id/1352034","好分期逾期一天罚息高的离谱")</f>
        <v>好分期逾期一天罚息高的离谱</v>
      </c>
      <c r="C20011" s="2" t="s">
        <v>9</v>
      </c>
      <c r="D20011" s="2" t="s">
        <v>10</v>
      </c>
      <c r="E20011" s="2" t="str">
        <f>HYPERLINK("http://ts.21cn.com/tousu/show/id/1352034","http://ts.21cn.com/tousu/show/id/1352034")</f>
        <v>http://ts.21cn.com/tousu/show/id/1352034</v>
      </c>
      <c r="F20011" s="2" t="s">
        <v>11</v>
      </c>
      <c r="G20011" s="2" t="s">
        <v>4811</v>
      </c>
      <c r="H20011" s="2" t="s">
        <v>4812</v>
      </c>
    </row>
    <row r="20012" spans="1:8" ht="25.05" customHeight="1" x14ac:dyDescent="0.25">
      <c r="A20012" s="2" t="s">
        <v>8</v>
      </c>
      <c r="B20012" s="2" t="str">
        <f>HYPERLINK("http://ts.21cn.com/tousu/show/id/1352037","闪银暴力催收")</f>
        <v>闪银暴力催收</v>
      </c>
      <c r="C20012" s="2" t="s">
        <v>9</v>
      </c>
      <c r="D20012" s="2" t="s">
        <v>10</v>
      </c>
      <c r="E20012" s="2" t="str">
        <f>HYPERLINK("http://ts.21cn.com/tousu/show/id/1352037","http://ts.21cn.com/tousu/show/id/1352037")</f>
        <v>http://ts.21cn.com/tousu/show/id/1352037</v>
      </c>
      <c r="F20012" s="2" t="s">
        <v>11</v>
      </c>
      <c r="G20012" s="2" t="s">
        <v>4809</v>
      </c>
      <c r="H20012" s="2" t="s">
        <v>4810</v>
      </c>
    </row>
    <row r="20013" spans="1:8" ht="25.05" customHeight="1" x14ac:dyDescent="0.25">
      <c r="A20013" s="2" t="s">
        <v>8</v>
      </c>
      <c r="B20013" s="2" t="str">
        <f>HYPERLINK("http://ts.21cn.com/tousu/show/id/1352041","豆豆钱侮辱人格，威胁")</f>
        <v>豆豆钱侮辱人格，威胁</v>
      </c>
      <c r="C20013" s="2" t="s">
        <v>9</v>
      </c>
      <c r="D20013" s="2" t="s">
        <v>10</v>
      </c>
      <c r="E20013" s="2" t="str">
        <f>HYPERLINK("http://ts.21cn.com/tousu/show/id/1352041","http://ts.21cn.com/tousu/show/id/1352041")</f>
        <v>http://ts.21cn.com/tousu/show/id/1352041</v>
      </c>
      <c r="F20013" s="2" t="s">
        <v>11</v>
      </c>
      <c r="G20013" s="2" t="s">
        <v>4807</v>
      </c>
      <c r="H20013" s="2" t="s">
        <v>4808</v>
      </c>
    </row>
    <row r="20014" spans="1:8" ht="25.05" customHeight="1" x14ac:dyDescent="0.25">
      <c r="A20014" s="2" t="s">
        <v>8</v>
      </c>
      <c r="B20014" s="2" t="str">
        <f>HYPERLINK("http://ts.21cn.com/tousu/show/id/1352043","拖欠房租押金")</f>
        <v>拖欠房租押金</v>
      </c>
      <c r="C20014" s="2" t="s">
        <v>9</v>
      </c>
      <c r="D20014" s="2" t="s">
        <v>10</v>
      </c>
      <c r="E20014" s="2" t="str">
        <f>HYPERLINK("http://ts.21cn.com/tousu/show/id/1352043","http://ts.21cn.com/tousu/show/id/1352043")</f>
        <v>http://ts.21cn.com/tousu/show/id/1352043</v>
      </c>
      <c r="F20014" s="2" t="s">
        <v>11</v>
      </c>
      <c r="G20014" s="2" t="s">
        <v>4805</v>
      </c>
      <c r="H20014" s="2" t="s">
        <v>4806</v>
      </c>
    </row>
    <row r="20015" spans="1:8" ht="25.05" customHeight="1" x14ac:dyDescent="0.25">
      <c r="A20015" s="2" t="s">
        <v>8</v>
      </c>
      <c r="B20015" s="2" t="str">
        <f>HYPERLINK("http://ts.21cn.com/tousu/show/id/1352045","立借变相高利贷，阴阳合同")</f>
        <v>立借变相高利贷，阴阳合同</v>
      </c>
      <c r="C20015" s="2" t="s">
        <v>9</v>
      </c>
      <c r="D20015" s="2" t="s">
        <v>10</v>
      </c>
      <c r="E20015" s="2" t="str">
        <f>HYPERLINK("http://ts.21cn.com/tousu/show/id/1352045","http://ts.21cn.com/tousu/show/id/1352045")</f>
        <v>http://ts.21cn.com/tousu/show/id/1352045</v>
      </c>
      <c r="F20015" s="2" t="s">
        <v>11</v>
      </c>
      <c r="G20015" s="2" t="s">
        <v>4803</v>
      </c>
      <c r="H20015" s="2" t="s">
        <v>4804</v>
      </c>
    </row>
    <row r="20016" spans="1:8" ht="25.05" customHeight="1" x14ac:dyDescent="0.25">
      <c r="A20016" s="2" t="s">
        <v>8</v>
      </c>
      <c r="B20016" s="2" t="str">
        <f>HYPERLINK("http://ts.21cn.com/tousu/show/id/1352046","百度有钱花威胁要爆通讯录")</f>
        <v>百度有钱花威胁要爆通讯录</v>
      </c>
      <c r="C20016" s="2" t="s">
        <v>9</v>
      </c>
      <c r="D20016" s="2" t="s">
        <v>10</v>
      </c>
      <c r="E20016" s="2" t="str">
        <f>HYPERLINK("http://ts.21cn.com/tousu/show/id/1352046","http://ts.21cn.com/tousu/show/id/1352046")</f>
        <v>http://ts.21cn.com/tousu/show/id/1352046</v>
      </c>
      <c r="F20016" s="2" t="s">
        <v>11</v>
      </c>
      <c r="G20016" s="2" t="s">
        <v>4801</v>
      </c>
      <c r="H20016" s="2" t="s">
        <v>4802</v>
      </c>
    </row>
    <row r="20017" spans="1:8" ht="25.05" customHeight="1" x14ac:dyDescent="0.25">
      <c r="A20017" s="2" t="s">
        <v>8</v>
      </c>
      <c r="B20017" s="2" t="str">
        <f>HYPERLINK("http://ts.21cn.com/tousu/show/id/1352047","闪银今日是还款日，无法主动还款，联系不到客服，请与我主动联系还款")</f>
        <v>闪银今日是还款日，无法主动还款，联系不到客服，请与我主动联系还款</v>
      </c>
      <c r="C20017" s="2" t="s">
        <v>9</v>
      </c>
      <c r="D20017" s="2" t="s">
        <v>10</v>
      </c>
      <c r="E20017" s="2" t="str">
        <f>HYPERLINK("http://ts.21cn.com/tousu/show/id/1352047","http://ts.21cn.com/tousu/show/id/1352047")</f>
        <v>http://ts.21cn.com/tousu/show/id/1352047</v>
      </c>
      <c r="F20017" s="2" t="s">
        <v>11</v>
      </c>
      <c r="G20017" s="2" t="s">
        <v>4799</v>
      </c>
      <c r="H20017" s="2" t="s">
        <v>4800</v>
      </c>
    </row>
    <row r="20018" spans="1:8" ht="25.05" customHeight="1" x14ac:dyDescent="0.25">
      <c r="A20018" s="2" t="s">
        <v>8</v>
      </c>
      <c r="B20018" s="2" t="str">
        <f>HYPERLINK("http://ts.21cn.com/tousu/show/id/1352048","购买黑卡后一直没放款")</f>
        <v>购买黑卡后一直没放款</v>
      </c>
      <c r="C20018" s="2" t="s">
        <v>34</v>
      </c>
      <c r="D20018" s="2" t="s">
        <v>10</v>
      </c>
      <c r="E20018" s="2" t="str">
        <f>HYPERLINK("http://ts.21cn.com/tousu/show/id/1352048","http://ts.21cn.com/tousu/show/id/1352048")</f>
        <v>http://ts.21cn.com/tousu/show/id/1352048</v>
      </c>
      <c r="F20018" s="2" t="s">
        <v>11</v>
      </c>
      <c r="G20018" s="2" t="s">
        <v>4797</v>
      </c>
      <c r="H20018" s="2" t="s">
        <v>4798</v>
      </c>
    </row>
    <row r="20019" spans="1:8" ht="25.05" customHeight="1" x14ac:dyDescent="0.25">
      <c r="A20019" s="2" t="s">
        <v>8</v>
      </c>
      <c r="B20019" s="2" t="str">
        <f>HYPERLINK("http://ts.21cn.com/tousu/show/id/1352049","上海宏萨乱扣费")</f>
        <v>上海宏萨乱扣费</v>
      </c>
      <c r="C20019" s="2" t="s">
        <v>9</v>
      </c>
      <c r="D20019" s="2" t="s">
        <v>10</v>
      </c>
      <c r="E20019" s="2" t="str">
        <f>HYPERLINK("http://ts.21cn.com/tousu/show/id/1352049","http://ts.21cn.com/tousu/show/id/1352049")</f>
        <v>http://ts.21cn.com/tousu/show/id/1352049</v>
      </c>
      <c r="F20019" s="2" t="s">
        <v>11</v>
      </c>
      <c r="G20019" s="2" t="s">
        <v>4795</v>
      </c>
      <c r="H20019" s="2" t="s">
        <v>4796</v>
      </c>
    </row>
    <row r="20020" spans="1:8" ht="25.05" customHeight="1" x14ac:dyDescent="0.25">
      <c r="A20020" s="2" t="s">
        <v>8</v>
      </c>
      <c r="B20020" s="2" t="str">
        <f>HYPERLINK("http://ts.21cn.com/tousu/show/id/1352050","教育培训费用")</f>
        <v>教育培训费用</v>
      </c>
      <c r="C20020" s="2" t="s">
        <v>9</v>
      </c>
      <c r="D20020" s="2" t="s">
        <v>10</v>
      </c>
      <c r="E20020" s="2" t="str">
        <f>HYPERLINK("http://ts.21cn.com/tousu/show/id/1352050","http://ts.21cn.com/tousu/show/id/1352050")</f>
        <v>http://ts.21cn.com/tousu/show/id/1352050</v>
      </c>
      <c r="F20020" s="2" t="s">
        <v>11</v>
      </c>
      <c r="G20020" s="2" t="s">
        <v>4793</v>
      </c>
      <c r="H20020" s="2" t="s">
        <v>4794</v>
      </c>
    </row>
    <row r="20021" spans="1:8" ht="25.05" customHeight="1" x14ac:dyDescent="0.25">
      <c r="A20021" s="2" t="s">
        <v>8</v>
      </c>
      <c r="B20021" s="2" t="str">
        <f>HYPERLINK("http://ts.21cn.com/tousu/show/id/1352053","左右钱包6天高利贷")</f>
        <v>左右钱包6天高利贷</v>
      </c>
      <c r="C20021" s="2" t="s">
        <v>9</v>
      </c>
      <c r="D20021" s="2" t="s">
        <v>10</v>
      </c>
      <c r="E20021" s="2" t="str">
        <f>HYPERLINK("http://ts.21cn.com/tousu/show/id/1352053","http://ts.21cn.com/tousu/show/id/1352053")</f>
        <v>http://ts.21cn.com/tousu/show/id/1352053</v>
      </c>
      <c r="F20021" s="2" t="s">
        <v>11</v>
      </c>
      <c r="G20021" s="2" t="s">
        <v>4791</v>
      </c>
      <c r="H20021" s="2" t="s">
        <v>4792</v>
      </c>
    </row>
    <row r="20022" spans="1:8" ht="25.05" customHeight="1" x14ac:dyDescent="0.25">
      <c r="A20022" s="2" t="s">
        <v>8</v>
      </c>
      <c r="B20022" s="2" t="str">
        <f>HYPERLINK("http://ts.21cn.com/tousu/show/id/1352044","玖富叮当高利贷，暴力催收，合同欺诈")</f>
        <v>玖富叮当高利贷，暴力催收，合同欺诈</v>
      </c>
      <c r="C20022" s="2" t="s">
        <v>9</v>
      </c>
      <c r="D20022" s="2" t="s">
        <v>10</v>
      </c>
      <c r="E20022" s="2" t="str">
        <f>HYPERLINK("http://ts.21cn.com/tousu/show/id/1352044","http://ts.21cn.com/tousu/show/id/1352044")</f>
        <v>http://ts.21cn.com/tousu/show/id/1352044</v>
      </c>
      <c r="F20022" s="2" t="s">
        <v>11</v>
      </c>
      <c r="G20022" s="2" t="s">
        <v>4789</v>
      </c>
      <c r="H20022" s="2" t="s">
        <v>4790</v>
      </c>
    </row>
    <row r="20023" spans="1:8" ht="25.05" customHeight="1" x14ac:dyDescent="0.25">
      <c r="A20023" s="2" t="s">
        <v>8</v>
      </c>
      <c r="B20023" s="2" t="str">
        <f>HYPERLINK("http://ts.21cn.com/tousu/show/id/1352055","支付宝被限制收款.付款等.")</f>
        <v>支付宝被限制收款.付款等.</v>
      </c>
      <c r="C20023" s="2" t="s">
        <v>9</v>
      </c>
      <c r="D20023" s="2" t="s">
        <v>10</v>
      </c>
      <c r="E20023" s="2" t="str">
        <f>HYPERLINK("http://ts.21cn.com/tousu/show/id/1352055","http://ts.21cn.com/tousu/show/id/1352055")</f>
        <v>http://ts.21cn.com/tousu/show/id/1352055</v>
      </c>
      <c r="F20023" s="2" t="s">
        <v>11</v>
      </c>
      <c r="G20023" s="2" t="s">
        <v>4787</v>
      </c>
      <c r="H20023" s="2" t="s">
        <v>4788</v>
      </c>
    </row>
    <row r="20024" spans="1:8" ht="25.05" customHeight="1" x14ac:dyDescent="0.25">
      <c r="A20024" s="2" t="s">
        <v>8</v>
      </c>
      <c r="B20024" s="2" t="str">
        <f>HYPERLINK("http://ts.21cn.com/tousu/show/id/1352054","闪银至尊暴力催收，目前已经对本人生活造成极大的影响")</f>
        <v>闪银至尊暴力催收，目前已经对本人生活造成极大的影响</v>
      </c>
      <c r="C20024" s="2" t="s">
        <v>9</v>
      </c>
      <c r="D20024" s="2" t="s">
        <v>10</v>
      </c>
      <c r="E20024" s="2" t="str">
        <f>HYPERLINK("http://ts.21cn.com/tousu/show/id/1352054","http://ts.21cn.com/tousu/show/id/1352054")</f>
        <v>http://ts.21cn.com/tousu/show/id/1352054</v>
      </c>
      <c r="F20024" s="2" t="s">
        <v>11</v>
      </c>
      <c r="G20024" s="2" t="s">
        <v>4785</v>
      </c>
      <c r="H20024" s="2" t="s">
        <v>4786</v>
      </c>
    </row>
    <row r="20025" spans="1:8" ht="25.05" customHeight="1" x14ac:dyDescent="0.25">
      <c r="A20025" s="2" t="s">
        <v>8</v>
      </c>
      <c r="B20025" s="2" t="str">
        <f>HYPERLINK("http://ts.21cn.com/tousu/show/id/1352056","你我贷威胁通讯录联系人")</f>
        <v>你我贷威胁通讯录联系人</v>
      </c>
      <c r="C20025" s="2" t="s">
        <v>9</v>
      </c>
      <c r="D20025" s="2" t="s">
        <v>10</v>
      </c>
      <c r="E20025" s="2" t="str">
        <f>HYPERLINK("http://ts.21cn.com/tousu/show/id/1352056","http://ts.21cn.com/tousu/show/id/1352056")</f>
        <v>http://ts.21cn.com/tousu/show/id/1352056</v>
      </c>
      <c r="F20025" s="2" t="s">
        <v>11</v>
      </c>
      <c r="G20025" s="2" t="s">
        <v>4783</v>
      </c>
      <c r="H20025" s="2" t="s">
        <v>4784</v>
      </c>
    </row>
    <row r="20026" spans="1:8" ht="25.05" customHeight="1" x14ac:dyDescent="0.25">
      <c r="A20026" s="2" t="s">
        <v>8</v>
      </c>
      <c r="B20026" s="2" t="str">
        <f>HYPERLINK("http://ts.21cn.com/tousu/show/id/1352057","百世快递")</f>
        <v>百世快递</v>
      </c>
      <c r="C20026" s="2" t="s">
        <v>9</v>
      </c>
      <c r="D20026" s="2" t="s">
        <v>10</v>
      </c>
      <c r="E20026" s="2" t="str">
        <f>HYPERLINK("http://ts.21cn.com/tousu/show/id/1352057","http://ts.21cn.com/tousu/show/id/1352057")</f>
        <v>http://ts.21cn.com/tousu/show/id/1352057</v>
      </c>
      <c r="F20026" s="2" t="s">
        <v>11</v>
      </c>
      <c r="G20026" s="2" t="s">
        <v>4781</v>
      </c>
      <c r="H20026" s="2" t="s">
        <v>4782</v>
      </c>
    </row>
    <row r="20027" spans="1:8" ht="25.05" customHeight="1" x14ac:dyDescent="0.25">
      <c r="A20027" s="2" t="s">
        <v>8</v>
      </c>
      <c r="B20027" s="2" t="str">
        <f>HYPERLINK("http://ts.21cn.com/tousu/show/id/1352058","卡牛瑞贷高利贷，自动扣费超过年利率36%")</f>
        <v>卡牛瑞贷高利贷，自动扣费超过年利率36%</v>
      </c>
      <c r="C20027" s="2" t="s">
        <v>9</v>
      </c>
      <c r="D20027" s="2" t="s">
        <v>10</v>
      </c>
      <c r="E20027" s="2" t="str">
        <f>HYPERLINK("http://ts.21cn.com/tousu/show/id/1352058","http://ts.21cn.com/tousu/show/id/1352058")</f>
        <v>http://ts.21cn.com/tousu/show/id/1352058</v>
      </c>
      <c r="F20027" s="2" t="s">
        <v>11</v>
      </c>
      <c r="G20027" s="2" t="s">
        <v>4779</v>
      </c>
      <c r="H20027" s="2" t="s">
        <v>4780</v>
      </c>
    </row>
    <row r="20028" spans="1:8" ht="25.05" customHeight="1" x14ac:dyDescent="0.25">
      <c r="A20028" s="2" t="s">
        <v>8</v>
      </c>
      <c r="B20028" s="2" t="str">
        <f>HYPERLINK("http://ts.21cn.com/tousu/show/id/1352059","约单APP充值后不能提现")</f>
        <v>约单APP充值后不能提现</v>
      </c>
      <c r="C20028" s="2" t="s">
        <v>9</v>
      </c>
      <c r="D20028" s="2" t="s">
        <v>10</v>
      </c>
      <c r="E20028" s="2" t="str">
        <f>HYPERLINK("http://ts.21cn.com/tousu/show/id/1352059","http://ts.21cn.com/tousu/show/id/1352059")</f>
        <v>http://ts.21cn.com/tousu/show/id/1352059</v>
      </c>
      <c r="F20028" s="2" t="s">
        <v>11</v>
      </c>
      <c r="G20028" s="2" t="s">
        <v>4777</v>
      </c>
      <c r="H20028" s="2" t="s">
        <v>4778</v>
      </c>
    </row>
    <row r="20029" spans="1:8" ht="25.05" customHeight="1" x14ac:dyDescent="0.25">
      <c r="A20029" s="2" t="s">
        <v>8</v>
      </c>
      <c r="B20029" s="2" t="str">
        <f>HYPERLINK("http://ts.21cn.com/tousu/show/id/1352060","高利贷壹心分期暴力催收")</f>
        <v>高利贷壹心分期暴力催收</v>
      </c>
      <c r="C20029" s="2" t="s">
        <v>9</v>
      </c>
      <c r="D20029" s="2" t="s">
        <v>10</v>
      </c>
      <c r="E20029" s="2" t="str">
        <f>HYPERLINK("http://ts.21cn.com/tousu/show/id/1352060","http://ts.21cn.com/tousu/show/id/1352060")</f>
        <v>http://ts.21cn.com/tousu/show/id/1352060</v>
      </c>
      <c r="F20029" s="2" t="s">
        <v>11</v>
      </c>
      <c r="G20029" s="2" t="s">
        <v>4775</v>
      </c>
      <c r="H20029" s="2" t="s">
        <v>4776</v>
      </c>
    </row>
    <row r="20030" spans="1:8" ht="25.05" customHeight="1" x14ac:dyDescent="0.25">
      <c r="A20030" s="2" t="s">
        <v>8</v>
      </c>
      <c r="B20030" s="2" t="str">
        <f>HYPERLINK("http://ts.21cn.com/tousu/show/id/1352061","贷上钱以买游戏豆为由收取高额贷款通过费")</f>
        <v>贷上钱以买游戏豆为由收取高额贷款通过费</v>
      </c>
      <c r="C20030" s="2" t="s">
        <v>9</v>
      </c>
      <c r="D20030" s="2" t="s">
        <v>10</v>
      </c>
      <c r="E20030" s="2" t="str">
        <f>HYPERLINK("http://ts.21cn.com/tousu/show/id/1352061","http://ts.21cn.com/tousu/show/id/1352061")</f>
        <v>http://ts.21cn.com/tousu/show/id/1352061</v>
      </c>
      <c r="F20030" s="2" t="s">
        <v>11</v>
      </c>
      <c r="G20030" s="2" t="s">
        <v>4773</v>
      </c>
      <c r="H20030" s="2" t="s">
        <v>4774</v>
      </c>
    </row>
    <row r="20031" spans="1:8" ht="25.05" customHeight="1" x14ac:dyDescent="0.25">
      <c r="A20031" s="2" t="s">
        <v>8</v>
      </c>
      <c r="B20031" s="2" t="str">
        <f>HYPERLINK("http://ts.21cn.com/tousu/show/id/1352063","钱站高利贷阴阳合同")</f>
        <v>钱站高利贷阴阳合同</v>
      </c>
      <c r="C20031" s="2" t="s">
        <v>9</v>
      </c>
      <c r="D20031" s="2" t="s">
        <v>10</v>
      </c>
      <c r="E20031" s="2" t="str">
        <f>HYPERLINK("http://ts.21cn.com/tousu/show/id/1352063","http://ts.21cn.com/tousu/show/id/1352063")</f>
        <v>http://ts.21cn.com/tousu/show/id/1352063</v>
      </c>
      <c r="F20031" s="2" t="s">
        <v>11</v>
      </c>
      <c r="G20031" s="2" t="s">
        <v>4771</v>
      </c>
      <c r="H20031" s="2" t="s">
        <v>4772</v>
      </c>
    </row>
    <row r="20032" spans="1:8" ht="25.05" customHeight="1" x14ac:dyDescent="0.25">
      <c r="A20032" s="2" t="s">
        <v>8</v>
      </c>
      <c r="B20032" s="2" t="str">
        <f>HYPERLINK("http://ts.21cn.com/tousu/show/id/1352064","还款")</f>
        <v>还款</v>
      </c>
      <c r="C20032" s="2" t="s">
        <v>34</v>
      </c>
      <c r="D20032" s="2" t="s">
        <v>10</v>
      </c>
      <c r="E20032" s="2" t="str">
        <f>HYPERLINK("http://ts.21cn.com/tousu/show/id/1352064","http://ts.21cn.com/tousu/show/id/1352064")</f>
        <v>http://ts.21cn.com/tousu/show/id/1352064</v>
      </c>
      <c r="F20032" s="2" t="s">
        <v>11</v>
      </c>
      <c r="G20032" s="2" t="s">
        <v>4769</v>
      </c>
      <c r="H20032" s="2" t="s">
        <v>4770</v>
      </c>
    </row>
    <row r="20033" spans="1:8" ht="25.05" customHeight="1" x14ac:dyDescent="0.25">
      <c r="A20033" s="2" t="s">
        <v>8</v>
      </c>
      <c r="B20033" s="2" t="str">
        <f>HYPERLINK("http://ts.21cn.com/tousu/show/id/1352065","本人被套路贷")</f>
        <v>本人被套路贷</v>
      </c>
      <c r="C20033" s="2" t="s">
        <v>9</v>
      </c>
      <c r="D20033" s="2" t="s">
        <v>10</v>
      </c>
      <c r="E20033" s="2" t="str">
        <f>HYPERLINK("http://ts.21cn.com/tousu/show/id/1352065","http://ts.21cn.com/tousu/show/id/1352065")</f>
        <v>http://ts.21cn.com/tousu/show/id/1352065</v>
      </c>
      <c r="F20033" s="2" t="s">
        <v>11</v>
      </c>
      <c r="G20033" s="2" t="s">
        <v>4767</v>
      </c>
      <c r="H20033" s="2" t="s">
        <v>4768</v>
      </c>
    </row>
    <row r="20034" spans="1:8" ht="25.05" customHeight="1" x14ac:dyDescent="0.25">
      <c r="A20034" s="2" t="s">
        <v>8</v>
      </c>
      <c r="B20034" s="2" t="str">
        <f>HYPERLINK("http://ts.21cn.com/tousu/show/id/1352067","绿森数码退款慢")</f>
        <v>绿森数码退款慢</v>
      </c>
      <c r="C20034" s="2" t="s">
        <v>9</v>
      </c>
      <c r="D20034" s="2" t="s">
        <v>10</v>
      </c>
      <c r="E20034" s="2" t="str">
        <f>HYPERLINK("http://ts.21cn.com/tousu/show/id/1352067","http://ts.21cn.com/tousu/show/id/1352067")</f>
        <v>http://ts.21cn.com/tousu/show/id/1352067</v>
      </c>
      <c r="F20034" s="2" t="s">
        <v>11</v>
      </c>
      <c r="G20034" s="2" t="s">
        <v>4765</v>
      </c>
      <c r="H20034" s="2" t="s">
        <v>4766</v>
      </c>
    </row>
    <row r="20035" spans="1:8" ht="25.05" customHeight="1" x14ac:dyDescent="0.25">
      <c r="A20035" s="2" t="s">
        <v>8</v>
      </c>
      <c r="B20035" s="2" t="str">
        <f>HYPERLINK("http://ts.21cn.com/tousu/show/id/1352066","百度服务胡乱扣钱")</f>
        <v>百度服务胡乱扣钱</v>
      </c>
      <c r="C20035" s="2" t="s">
        <v>9</v>
      </c>
      <c r="D20035" s="2" t="s">
        <v>10</v>
      </c>
      <c r="E20035" s="2" t="str">
        <f>HYPERLINK("http://ts.21cn.com/tousu/show/id/1352066","http://ts.21cn.com/tousu/show/id/1352066")</f>
        <v>http://ts.21cn.com/tousu/show/id/1352066</v>
      </c>
      <c r="F20035" s="2" t="s">
        <v>11</v>
      </c>
      <c r="G20035" s="2" t="s">
        <v>4763</v>
      </c>
      <c r="H20035" s="2" t="s">
        <v>4764</v>
      </c>
    </row>
    <row r="20036" spans="1:8" ht="25.05" customHeight="1" x14ac:dyDescent="0.25">
      <c r="A20036" s="2" t="s">
        <v>8</v>
      </c>
      <c r="B20036" s="2" t="str">
        <f>HYPERLINK("http://ts.21cn.com/tousu/show/id/1352068","汇潮支付为高利贷蜜瓜钱包提供渠道")</f>
        <v>汇潮支付为高利贷蜜瓜钱包提供渠道</v>
      </c>
      <c r="C20036" s="2" t="s">
        <v>9</v>
      </c>
      <c r="D20036" s="2" t="s">
        <v>10</v>
      </c>
      <c r="E20036" s="2" t="str">
        <f>HYPERLINK("http://ts.21cn.com/tousu/show/id/1352068","http://ts.21cn.com/tousu/show/id/1352068")</f>
        <v>http://ts.21cn.com/tousu/show/id/1352068</v>
      </c>
      <c r="F20036" s="2" t="s">
        <v>11</v>
      </c>
      <c r="G20036" s="2" t="s">
        <v>4761</v>
      </c>
      <c r="H20036" s="2" t="s">
        <v>4762</v>
      </c>
    </row>
    <row r="20037" spans="1:8" ht="25.05" customHeight="1" x14ac:dyDescent="0.25">
      <c r="A20037" s="2" t="s">
        <v>8</v>
      </c>
      <c r="B20037" s="2" t="str">
        <f>HYPERLINK("http://ts.21cn.com/tousu/show/id/1352069","百万钱包")</f>
        <v>百万钱包</v>
      </c>
      <c r="C20037" s="2" t="s">
        <v>34</v>
      </c>
      <c r="D20037" s="2" t="s">
        <v>10</v>
      </c>
      <c r="E20037" s="2" t="str">
        <f>HYPERLINK("http://ts.21cn.com/tousu/show/id/1352069","http://ts.21cn.com/tousu/show/id/1352069")</f>
        <v>http://ts.21cn.com/tousu/show/id/1352069</v>
      </c>
      <c r="F20037" s="2" t="s">
        <v>11</v>
      </c>
      <c r="G20037" s="2" t="s">
        <v>4759</v>
      </c>
      <c r="H20037" s="2" t="s">
        <v>4760</v>
      </c>
    </row>
    <row r="20038" spans="1:8" ht="25.05" customHeight="1" x14ac:dyDescent="0.25">
      <c r="A20038" s="2" t="s">
        <v>8</v>
      </c>
      <c r="B20038" s="2" t="str">
        <f>HYPERLINK("http://ts.21cn.com/tousu/show/id/1352029","宝付支付连续扣款")</f>
        <v>宝付支付连续扣款</v>
      </c>
      <c r="C20038" s="2" t="s">
        <v>34</v>
      </c>
      <c r="D20038" s="2" t="s">
        <v>10</v>
      </c>
      <c r="E20038" s="2" t="str">
        <f>HYPERLINK("http://ts.21cn.com/tousu/show/id/1352029","http://ts.21cn.com/tousu/show/id/1352029")</f>
        <v>http://ts.21cn.com/tousu/show/id/1352029</v>
      </c>
      <c r="F20038" s="2" t="s">
        <v>11</v>
      </c>
      <c r="G20038" s="2" t="s">
        <v>4757</v>
      </c>
      <c r="H20038" s="2" t="s">
        <v>4758</v>
      </c>
    </row>
    <row r="20039" spans="1:8" ht="25.05" customHeight="1" x14ac:dyDescent="0.25">
      <c r="A20039" s="2" t="s">
        <v>8</v>
      </c>
      <c r="B20039" s="2" t="str">
        <f>HYPERLINK("http://ts.21cn.com/tousu/show/id/1352051","贷款平台空手套白狼")</f>
        <v>贷款平台空手套白狼</v>
      </c>
      <c r="C20039" s="2" t="s">
        <v>9</v>
      </c>
      <c r="D20039" s="2" t="s">
        <v>10</v>
      </c>
      <c r="E20039" s="2" t="str">
        <f>HYPERLINK("http://ts.21cn.com/tousu/show/id/1352051","http://ts.21cn.com/tousu/show/id/1352051")</f>
        <v>http://ts.21cn.com/tousu/show/id/1352051</v>
      </c>
      <c r="F20039" s="2" t="s">
        <v>11</v>
      </c>
      <c r="G20039" s="2" t="s">
        <v>4755</v>
      </c>
      <c r="H20039" s="2" t="s">
        <v>4756</v>
      </c>
    </row>
    <row r="20040" spans="1:8" ht="25.05" customHeight="1" x14ac:dyDescent="0.25">
      <c r="A20040" s="2" t="s">
        <v>8</v>
      </c>
      <c r="B20040" s="2" t="str">
        <f>HYPERLINK("http://ts.21cn.com/tousu/show/id/1352070","贷款结清证明开具慢")</f>
        <v>贷款结清证明开具慢</v>
      </c>
      <c r="C20040" s="2" t="s">
        <v>34</v>
      </c>
      <c r="D20040" s="2" t="s">
        <v>10</v>
      </c>
      <c r="E20040" s="2" t="str">
        <f>HYPERLINK("http://ts.21cn.com/tousu/show/id/1352070","http://ts.21cn.com/tousu/show/id/1352070")</f>
        <v>http://ts.21cn.com/tousu/show/id/1352070</v>
      </c>
      <c r="F20040" s="2" t="s">
        <v>11</v>
      </c>
      <c r="G20040" s="2" t="s">
        <v>4753</v>
      </c>
      <c r="H20040" s="2" t="s">
        <v>4754</v>
      </c>
    </row>
    <row r="20041" spans="1:8" ht="25.05" customHeight="1" x14ac:dyDescent="0.25">
      <c r="A20041" s="2" t="s">
        <v>8</v>
      </c>
      <c r="B20041" s="2" t="str">
        <f>HYPERLINK("http://ts.21cn.com/tousu/show/id/1352072","玖富万卡是高利贷")</f>
        <v>玖富万卡是高利贷</v>
      </c>
      <c r="C20041" s="2" t="s">
        <v>9</v>
      </c>
      <c r="D20041" s="2" t="s">
        <v>10</v>
      </c>
      <c r="E20041" s="2" t="str">
        <f>HYPERLINK("http://ts.21cn.com/tousu/show/id/1352072","http://ts.21cn.com/tousu/show/id/1352072")</f>
        <v>http://ts.21cn.com/tousu/show/id/1352072</v>
      </c>
      <c r="F20041" s="2" t="s">
        <v>11</v>
      </c>
      <c r="G20041" s="2" t="s">
        <v>4751</v>
      </c>
      <c r="H20041" s="2" t="s">
        <v>4752</v>
      </c>
    </row>
    <row r="20042" spans="1:8" ht="25.05" customHeight="1" x14ac:dyDescent="0.25">
      <c r="A20042" s="2" t="s">
        <v>8</v>
      </c>
      <c r="B20042" s="2" t="str">
        <f>HYPERLINK("http://ts.21cn.com/tousu/show/id/1352071","贷上钱以游戏豆为由收取高额通过费")</f>
        <v>贷上钱以游戏豆为由收取高额通过费</v>
      </c>
      <c r="C20042" s="2" t="s">
        <v>9</v>
      </c>
      <c r="D20042" s="2" t="s">
        <v>10</v>
      </c>
      <c r="E20042" s="2" t="str">
        <f>HYPERLINK("http://ts.21cn.com/tousu/show/id/1352071","http://ts.21cn.com/tousu/show/id/1352071")</f>
        <v>http://ts.21cn.com/tousu/show/id/1352071</v>
      </c>
      <c r="F20042" s="2" t="s">
        <v>11</v>
      </c>
      <c r="G20042" s="2" t="s">
        <v>4749</v>
      </c>
      <c r="H20042" s="2" t="s">
        <v>4750</v>
      </c>
    </row>
    <row r="20043" spans="1:8" ht="25.05" customHeight="1" x14ac:dyDescent="0.25">
      <c r="A20043" s="2" t="s">
        <v>8</v>
      </c>
      <c r="B20043" s="2" t="str">
        <f>HYPERLINK("http://ts.21cn.com/tousu/show/id/1352074","招联金融暴击催收")</f>
        <v>招联金融暴击催收</v>
      </c>
      <c r="C20043" s="2" t="s">
        <v>34</v>
      </c>
      <c r="D20043" s="2" t="s">
        <v>10</v>
      </c>
      <c r="E20043" s="2" t="str">
        <f>HYPERLINK("http://ts.21cn.com/tousu/show/id/1352074","http://ts.21cn.com/tousu/show/id/1352074")</f>
        <v>http://ts.21cn.com/tousu/show/id/1352074</v>
      </c>
      <c r="F20043" s="2" t="s">
        <v>11</v>
      </c>
      <c r="G20043" s="2" t="s">
        <v>4747</v>
      </c>
      <c r="H20043" s="2" t="s">
        <v>4748</v>
      </c>
    </row>
    <row r="20044" spans="1:8" ht="25.05" customHeight="1" x14ac:dyDescent="0.25">
      <c r="A20044" s="2" t="s">
        <v>8</v>
      </c>
      <c r="B20044" s="2" t="str">
        <f>HYPERLINK("http://ts.21cn.com/tousu/show/id/1352073","恶意扣款")</f>
        <v>恶意扣款</v>
      </c>
      <c r="C20044" s="2" t="s">
        <v>9</v>
      </c>
      <c r="D20044" s="2" t="s">
        <v>10</v>
      </c>
      <c r="E20044" s="2" t="str">
        <f>HYPERLINK("http://ts.21cn.com/tousu/show/id/1352073","http://ts.21cn.com/tousu/show/id/1352073")</f>
        <v>http://ts.21cn.com/tousu/show/id/1352073</v>
      </c>
      <c r="F20044" s="2" t="s">
        <v>11</v>
      </c>
      <c r="G20044" s="2" t="s">
        <v>4745</v>
      </c>
      <c r="H20044" s="2" t="s">
        <v>4746</v>
      </c>
    </row>
    <row r="20045" spans="1:8" ht="25.05" customHeight="1" x14ac:dyDescent="0.25">
      <c r="A20045" s="2" t="s">
        <v>8</v>
      </c>
      <c r="B20045" s="2" t="str">
        <f>HYPERLINK("http://ts.21cn.com/tousu/show/id/1352076","联通乱办卡")</f>
        <v>联通乱办卡</v>
      </c>
      <c r="C20045" s="2" t="s">
        <v>9</v>
      </c>
      <c r="D20045" s="2" t="s">
        <v>10</v>
      </c>
      <c r="E20045" s="2" t="str">
        <f>HYPERLINK("http://ts.21cn.com/tousu/show/id/1352076","http://ts.21cn.com/tousu/show/id/1352076")</f>
        <v>http://ts.21cn.com/tousu/show/id/1352076</v>
      </c>
      <c r="F20045" s="2" t="s">
        <v>11</v>
      </c>
      <c r="G20045" s="2" t="s">
        <v>4743</v>
      </c>
      <c r="H20045" s="2" t="s">
        <v>4744</v>
      </c>
    </row>
    <row r="20046" spans="1:8" ht="25.05" customHeight="1" x14ac:dyDescent="0.25">
      <c r="A20046" s="2" t="s">
        <v>8</v>
      </c>
      <c r="B20046" s="2" t="str">
        <f>HYPERLINK("http://ts.21cn.com/tousu/show/id/1352075","咸鱼上买了玩具，买前问过是正品，收到是假货，卖家态度嚣张，咸鱼不给处理")</f>
        <v>咸鱼上买了玩具，买前问过是正品，收到是假货，卖家态度嚣张，咸鱼不给处理</v>
      </c>
      <c r="C20046" s="2" t="s">
        <v>9</v>
      </c>
      <c r="D20046" s="2" t="s">
        <v>10</v>
      </c>
      <c r="E20046" s="2" t="str">
        <f>HYPERLINK("http://ts.21cn.com/tousu/show/id/1352075","http://ts.21cn.com/tousu/show/id/1352075")</f>
        <v>http://ts.21cn.com/tousu/show/id/1352075</v>
      </c>
      <c r="F20046" s="2" t="s">
        <v>11</v>
      </c>
      <c r="G20046" s="2" t="s">
        <v>4741</v>
      </c>
      <c r="H20046" s="2" t="s">
        <v>4742</v>
      </c>
    </row>
    <row r="20047" spans="1:8" ht="25.05" customHeight="1" x14ac:dyDescent="0.25">
      <c r="A20047" s="2" t="s">
        <v>8</v>
      </c>
      <c r="B20047" s="2" t="str">
        <f>HYPERLINK("http://ts.21cn.com/tousu/show/id/1352077","打电话暴力催收扬言威胁")</f>
        <v>打电话暴力催收扬言威胁</v>
      </c>
      <c r="C20047" s="2" t="s">
        <v>9</v>
      </c>
      <c r="D20047" s="2" t="s">
        <v>10</v>
      </c>
      <c r="E20047" s="2" t="str">
        <f>HYPERLINK("http://ts.21cn.com/tousu/show/id/1352077","http://ts.21cn.com/tousu/show/id/1352077")</f>
        <v>http://ts.21cn.com/tousu/show/id/1352077</v>
      </c>
      <c r="F20047" s="2" t="s">
        <v>11</v>
      </c>
      <c r="G20047" s="2" t="s">
        <v>4739</v>
      </c>
      <c r="H20047" s="2" t="s">
        <v>4740</v>
      </c>
    </row>
    <row r="20048" spans="1:8" ht="25.05" customHeight="1" x14ac:dyDescent="0.25">
      <c r="A20048" s="2" t="s">
        <v>8</v>
      </c>
      <c r="B20048" s="2" t="str">
        <f>HYPERLINK("http://ts.21cn.com/tousu/show/id/1352078","套路贷高额利息")</f>
        <v>套路贷高额利息</v>
      </c>
      <c r="C20048" s="2" t="s">
        <v>9</v>
      </c>
      <c r="D20048" s="2" t="s">
        <v>10</v>
      </c>
      <c r="E20048" s="2" t="str">
        <f>HYPERLINK("http://ts.21cn.com/tousu/show/id/1352078","http://ts.21cn.com/tousu/show/id/1352078")</f>
        <v>http://ts.21cn.com/tousu/show/id/1352078</v>
      </c>
      <c r="F20048" s="2" t="s">
        <v>11</v>
      </c>
      <c r="G20048" s="2" t="s">
        <v>4737</v>
      </c>
      <c r="H20048" s="2" t="s">
        <v>4738</v>
      </c>
    </row>
    <row r="20049" spans="1:8" ht="25.05" customHeight="1" x14ac:dyDescent="0.25">
      <c r="A20049" s="2" t="s">
        <v>8</v>
      </c>
      <c r="B20049" s="2" t="str">
        <f>HYPERLINK("http://ts.21cn.com/tousu/show/id/1352079","闪银砍头息")</f>
        <v>闪银砍头息</v>
      </c>
      <c r="C20049" s="2" t="s">
        <v>34</v>
      </c>
      <c r="D20049" s="2" t="s">
        <v>10</v>
      </c>
      <c r="E20049" s="2" t="str">
        <f>HYPERLINK("http://ts.21cn.com/tousu/show/id/1352079","http://ts.21cn.com/tousu/show/id/1352079")</f>
        <v>http://ts.21cn.com/tousu/show/id/1352079</v>
      </c>
      <c r="F20049" s="2" t="s">
        <v>11</v>
      </c>
      <c r="G20049" s="2" t="s">
        <v>4735</v>
      </c>
      <c r="H20049" s="2" t="s">
        <v>4736</v>
      </c>
    </row>
    <row r="20050" spans="1:8" ht="25.05" customHeight="1" x14ac:dyDescent="0.25">
      <c r="A20050" s="2" t="s">
        <v>8</v>
      </c>
      <c r="B20050" s="2" t="str">
        <f>HYPERLINK("http://ts.21cn.com/tousu/show/id/1352080","万惠及贷变相收取高额息费以及暴力催收")</f>
        <v>万惠及贷变相收取高额息费以及暴力催收</v>
      </c>
      <c r="C20050" s="2" t="s">
        <v>9</v>
      </c>
      <c r="D20050" s="2" t="s">
        <v>10</v>
      </c>
      <c r="E20050" s="2" t="str">
        <f>HYPERLINK("http://ts.21cn.com/tousu/show/id/1352080","http://ts.21cn.com/tousu/show/id/1352080")</f>
        <v>http://ts.21cn.com/tousu/show/id/1352080</v>
      </c>
      <c r="F20050" s="2" t="s">
        <v>11</v>
      </c>
      <c r="G20050" s="2" t="s">
        <v>4733</v>
      </c>
      <c r="H20050" s="2" t="s">
        <v>4734</v>
      </c>
    </row>
    <row r="20051" spans="1:8" ht="25.05" customHeight="1" x14ac:dyDescent="0.25">
      <c r="A20051" s="2" t="s">
        <v>8</v>
      </c>
      <c r="B20051" s="2" t="str">
        <f>HYPERLINK("http://ts.21cn.com/tousu/show/id/1352042","闪电借款买了黑卡不下款")</f>
        <v>闪电借款买了黑卡不下款</v>
      </c>
      <c r="C20051" s="2" t="s">
        <v>34</v>
      </c>
      <c r="D20051" s="2" t="s">
        <v>10</v>
      </c>
      <c r="E20051" s="2" t="str">
        <f>HYPERLINK("http://ts.21cn.com/tousu/show/id/1352042","http://ts.21cn.com/tousu/show/id/1352042")</f>
        <v>http://ts.21cn.com/tousu/show/id/1352042</v>
      </c>
      <c r="F20051" s="2" t="s">
        <v>11</v>
      </c>
      <c r="G20051" s="2" t="s">
        <v>4731</v>
      </c>
      <c r="H20051" s="2" t="s">
        <v>4732</v>
      </c>
    </row>
    <row r="20052" spans="1:8" ht="25.05" customHeight="1" x14ac:dyDescent="0.25">
      <c r="A20052" s="2" t="s">
        <v>8</v>
      </c>
      <c r="B20052" s="2" t="str">
        <f>HYPERLINK("http://ts.21cn.com/tousu/show/id/1352082","及贷强行搭售易安保险")</f>
        <v>及贷强行搭售易安保险</v>
      </c>
      <c r="C20052" s="2" t="s">
        <v>9</v>
      </c>
      <c r="D20052" s="2" t="s">
        <v>10</v>
      </c>
      <c r="E20052" s="2" t="str">
        <f>HYPERLINK("http://ts.21cn.com/tousu/show/id/1352082","http://ts.21cn.com/tousu/show/id/1352082")</f>
        <v>http://ts.21cn.com/tousu/show/id/1352082</v>
      </c>
      <c r="F20052" s="2" t="s">
        <v>11</v>
      </c>
      <c r="G20052" s="2" t="s">
        <v>4729</v>
      </c>
      <c r="H20052" s="2" t="s">
        <v>4730</v>
      </c>
    </row>
    <row r="20053" spans="1:8" ht="25.05" customHeight="1" x14ac:dyDescent="0.25">
      <c r="A20053" s="2" t="s">
        <v>8</v>
      </c>
      <c r="B20053" s="2" t="str">
        <f>HYPERLINK("http://ts.21cn.com/tousu/show/id/1352084","请华夏信用卡中信停止催收骚扰")</f>
        <v>请华夏信用卡中信停止催收骚扰</v>
      </c>
      <c r="C20053" s="2" t="s">
        <v>9</v>
      </c>
      <c r="D20053" s="2" t="s">
        <v>10</v>
      </c>
      <c r="E20053" s="2" t="str">
        <f>HYPERLINK("http://ts.21cn.com/tousu/show/id/1352084","http://ts.21cn.com/tousu/show/id/1352084")</f>
        <v>http://ts.21cn.com/tousu/show/id/1352084</v>
      </c>
      <c r="F20053" s="2" t="s">
        <v>11</v>
      </c>
      <c r="G20053" s="2" t="s">
        <v>4727</v>
      </c>
      <c r="H20053" s="2" t="s">
        <v>4728</v>
      </c>
    </row>
    <row r="20054" spans="1:8" ht="25.05" customHeight="1" x14ac:dyDescent="0.25">
      <c r="A20054" s="2" t="s">
        <v>8</v>
      </c>
      <c r="B20054" s="2" t="str">
        <f>HYPERLINK("http://ts.21cn.com/tousu/show/id/1352081","砍头息")</f>
        <v>砍头息</v>
      </c>
      <c r="C20054" s="2" t="s">
        <v>9</v>
      </c>
      <c r="D20054" s="2" t="s">
        <v>10</v>
      </c>
      <c r="E20054" s="2" t="str">
        <f>HYPERLINK("http://ts.21cn.com/tousu/show/id/1352081","http://ts.21cn.com/tousu/show/id/1352081")</f>
        <v>http://ts.21cn.com/tousu/show/id/1352081</v>
      </c>
      <c r="F20054" s="2" t="s">
        <v>11</v>
      </c>
      <c r="G20054" s="2" t="s">
        <v>4725</v>
      </c>
      <c r="H20054" s="2" t="s">
        <v>4726</v>
      </c>
    </row>
    <row r="20055" spans="1:8" ht="25.05" customHeight="1" x14ac:dyDescent="0.25">
      <c r="A20055" s="2" t="s">
        <v>8</v>
      </c>
      <c r="B20055" s="2" t="str">
        <f>HYPERLINK("http://ts.21cn.com/tousu/show/id/1352086","填写贷款信息被扣款")</f>
        <v>填写贷款信息被扣款</v>
      </c>
      <c r="C20055" s="2" t="s">
        <v>9</v>
      </c>
      <c r="D20055" s="2" t="s">
        <v>10</v>
      </c>
      <c r="E20055" s="2" t="str">
        <f>HYPERLINK("http://ts.21cn.com/tousu/show/id/1352086","http://ts.21cn.com/tousu/show/id/1352086")</f>
        <v>http://ts.21cn.com/tousu/show/id/1352086</v>
      </c>
      <c r="F20055" s="2" t="s">
        <v>11</v>
      </c>
      <c r="G20055" s="2" t="s">
        <v>4723</v>
      </c>
      <c r="H20055" s="2" t="s">
        <v>4724</v>
      </c>
    </row>
    <row r="20056" spans="1:8" ht="25.05" customHeight="1" x14ac:dyDescent="0.25">
      <c r="A20056" s="2" t="s">
        <v>8</v>
      </c>
      <c r="B20056" s="2" t="str">
        <f>HYPERLINK("http://ts.21cn.com/tousu/show/id/1352085","新浪有借，玖富万卡无法还款造成逾期")</f>
        <v>新浪有借，玖富万卡无法还款造成逾期</v>
      </c>
      <c r="C20056" s="2" t="s">
        <v>9</v>
      </c>
      <c r="D20056" s="2" t="s">
        <v>10</v>
      </c>
      <c r="E20056" s="2" t="str">
        <f>HYPERLINK("http://ts.21cn.com/tousu/show/id/1352085","http://ts.21cn.com/tousu/show/id/1352085")</f>
        <v>http://ts.21cn.com/tousu/show/id/1352085</v>
      </c>
      <c r="F20056" s="2" t="s">
        <v>11</v>
      </c>
      <c r="G20056" s="2" t="s">
        <v>4721</v>
      </c>
      <c r="H20056" s="2" t="s">
        <v>4722</v>
      </c>
    </row>
    <row r="20057" spans="1:8" ht="25.05" customHeight="1" x14ac:dyDescent="0.25">
      <c r="A20057" s="2" t="s">
        <v>8</v>
      </c>
      <c r="B20057" s="2" t="str">
        <f>HYPERLINK("http://ts.21cn.com/tousu/show/id/1352088","乱扣钱")</f>
        <v>乱扣钱</v>
      </c>
      <c r="C20057" s="2" t="s">
        <v>9</v>
      </c>
      <c r="D20057" s="2" t="s">
        <v>10</v>
      </c>
      <c r="E20057" s="2" t="str">
        <f>HYPERLINK("http://ts.21cn.com/tousu/show/id/1352088","http://ts.21cn.com/tousu/show/id/1352088")</f>
        <v>http://ts.21cn.com/tousu/show/id/1352088</v>
      </c>
      <c r="F20057" s="2" t="s">
        <v>11</v>
      </c>
      <c r="G20057" s="2" t="s">
        <v>4719</v>
      </c>
      <c r="H20057" s="2" t="s">
        <v>4720</v>
      </c>
    </row>
    <row r="20058" spans="1:8" ht="25.05" customHeight="1" x14ac:dyDescent="0.25">
      <c r="A20058" s="2" t="s">
        <v>8</v>
      </c>
      <c r="B20058" s="2" t="str">
        <f>HYPERLINK("http://ts.21cn.com/tousu/show/id/1352090","拍拍贷套路")</f>
        <v>拍拍贷套路</v>
      </c>
      <c r="C20058" s="2" t="s">
        <v>9</v>
      </c>
      <c r="D20058" s="2" t="s">
        <v>10</v>
      </c>
      <c r="E20058" s="2" t="str">
        <f>HYPERLINK("http://ts.21cn.com/tousu/show/id/1352090","http://ts.21cn.com/tousu/show/id/1352090")</f>
        <v>http://ts.21cn.com/tousu/show/id/1352090</v>
      </c>
      <c r="F20058" s="2" t="s">
        <v>11</v>
      </c>
      <c r="G20058" s="2" t="s">
        <v>4717</v>
      </c>
      <c r="H20058" s="2" t="s">
        <v>4718</v>
      </c>
    </row>
    <row r="20059" spans="1:8" ht="25.05" customHeight="1" x14ac:dyDescent="0.25">
      <c r="A20059" s="2" t="s">
        <v>8</v>
      </c>
      <c r="B20059" s="2" t="str">
        <f>HYPERLINK("http://ts.21cn.com/tousu/show/id/1352092","拍拍贷威胁看")</f>
        <v>拍拍贷威胁看</v>
      </c>
      <c r="C20059" s="2" t="s">
        <v>9</v>
      </c>
      <c r="D20059" s="2" t="s">
        <v>10</v>
      </c>
      <c r="E20059" s="2" t="str">
        <f>HYPERLINK("http://ts.21cn.com/tousu/show/id/1352092","http://ts.21cn.com/tousu/show/id/1352092")</f>
        <v>http://ts.21cn.com/tousu/show/id/1352092</v>
      </c>
      <c r="F20059" s="2" t="s">
        <v>11</v>
      </c>
      <c r="G20059" s="2" t="s">
        <v>4715</v>
      </c>
      <c r="H20059" s="2" t="s">
        <v>4716</v>
      </c>
    </row>
    <row r="20060" spans="1:8" ht="25.05" customHeight="1" x14ac:dyDescent="0.25">
      <c r="A20060" s="2" t="s">
        <v>8</v>
      </c>
      <c r="B20060" s="2" t="str">
        <f>HYPERLINK("http://ts.21cn.com/tousu/show/id/1352089","威胁骚扰恐吓骚扰")</f>
        <v>威胁骚扰恐吓骚扰</v>
      </c>
      <c r="C20060" s="2" t="s">
        <v>9</v>
      </c>
      <c r="D20060" s="2" t="s">
        <v>10</v>
      </c>
      <c r="E20060" s="2" t="str">
        <f>HYPERLINK("http://ts.21cn.com/tousu/show/id/1352089","http://ts.21cn.com/tousu/show/id/1352089")</f>
        <v>http://ts.21cn.com/tousu/show/id/1352089</v>
      </c>
      <c r="F20060" s="2" t="s">
        <v>11</v>
      </c>
      <c r="G20060" s="2" t="s">
        <v>4713</v>
      </c>
      <c r="H20060" s="2" t="s">
        <v>4714</v>
      </c>
    </row>
    <row r="20061" spans="1:8" ht="25.05" customHeight="1" x14ac:dyDescent="0.25">
      <c r="A20061" s="2" t="s">
        <v>8</v>
      </c>
      <c r="B20061" s="2" t="str">
        <f>HYPERLINK("http://ts.21cn.com/tousu/show/id/1352093","钱站催收暴打我电话骚扰")</f>
        <v>钱站催收暴打我电话骚扰</v>
      </c>
      <c r="C20061" s="2" t="s">
        <v>9</v>
      </c>
      <c r="D20061" s="2" t="s">
        <v>10</v>
      </c>
      <c r="E20061" s="2" t="str">
        <f>HYPERLINK("http://ts.21cn.com/tousu/show/id/1352093","http://ts.21cn.com/tousu/show/id/1352093")</f>
        <v>http://ts.21cn.com/tousu/show/id/1352093</v>
      </c>
      <c r="F20061" s="2" t="s">
        <v>11</v>
      </c>
      <c r="G20061" s="2" t="s">
        <v>4711</v>
      </c>
      <c r="H20061" s="2" t="s">
        <v>4712</v>
      </c>
    </row>
    <row r="20062" spans="1:8" ht="25.05" customHeight="1" x14ac:dyDescent="0.25">
      <c r="A20062" s="2" t="s">
        <v>8</v>
      </c>
      <c r="B20062" s="2" t="str">
        <f>HYPERLINK("http://ts.21cn.com/tousu/show/id/1352091","牛人有品砍头")</f>
        <v>牛人有品砍头</v>
      </c>
      <c r="C20062" s="2" t="s">
        <v>9</v>
      </c>
      <c r="D20062" s="2" t="s">
        <v>10</v>
      </c>
      <c r="E20062" s="2" t="str">
        <f>HYPERLINK("http://ts.21cn.com/tousu/show/id/1352091","http://ts.21cn.com/tousu/show/id/1352091")</f>
        <v>http://ts.21cn.com/tousu/show/id/1352091</v>
      </c>
      <c r="F20062" s="2" t="s">
        <v>11</v>
      </c>
      <c r="G20062" s="2" t="s">
        <v>4709</v>
      </c>
      <c r="H20062" s="2" t="s">
        <v>4710</v>
      </c>
    </row>
    <row r="20063" spans="1:8" ht="25.05" customHeight="1" x14ac:dyDescent="0.25">
      <c r="A20063" s="2" t="s">
        <v>8</v>
      </c>
      <c r="B20063" s="2" t="str">
        <f>HYPERLINK("http://ts.21cn.com/tousu/show/id/1352094","信用管家石头管家原哈密分期")</f>
        <v>信用管家石头管家原哈密分期</v>
      </c>
      <c r="C20063" s="2" t="s">
        <v>9</v>
      </c>
      <c r="D20063" s="2" t="s">
        <v>10</v>
      </c>
      <c r="E20063" s="2" t="str">
        <f>HYPERLINK("http://ts.21cn.com/tousu/show/id/1352094","http://ts.21cn.com/tousu/show/id/1352094")</f>
        <v>http://ts.21cn.com/tousu/show/id/1352094</v>
      </c>
      <c r="F20063" s="2" t="s">
        <v>11</v>
      </c>
      <c r="G20063" s="2" t="s">
        <v>4707</v>
      </c>
      <c r="H20063" s="2" t="s">
        <v>4708</v>
      </c>
    </row>
    <row r="20064" spans="1:8" ht="25.05" customHeight="1" x14ac:dyDescent="0.25">
      <c r="A20064" s="2" t="s">
        <v>8</v>
      </c>
      <c r="B20064" s="2" t="str">
        <f>HYPERLINK("http://ts.21cn.com/tousu/show/id/1352095","闪掌柜通过闪白条变相高利贷")</f>
        <v>闪掌柜通过闪白条变相高利贷</v>
      </c>
      <c r="C20064" s="2" t="s">
        <v>9</v>
      </c>
      <c r="D20064" s="2" t="s">
        <v>10</v>
      </c>
      <c r="E20064" s="2" t="str">
        <f>HYPERLINK("http://ts.21cn.com/tousu/show/id/1352095","http://ts.21cn.com/tousu/show/id/1352095")</f>
        <v>http://ts.21cn.com/tousu/show/id/1352095</v>
      </c>
      <c r="F20064" s="2" t="s">
        <v>11</v>
      </c>
      <c r="G20064" s="2" t="s">
        <v>4705</v>
      </c>
      <c r="H20064" s="2" t="s">
        <v>4706</v>
      </c>
    </row>
    <row r="20065" spans="1:8" ht="25.05" customHeight="1" x14ac:dyDescent="0.25">
      <c r="A20065" s="2" t="s">
        <v>8</v>
      </c>
      <c r="B20065" s="2" t="str">
        <f>HYPERLINK("http://ts.21cn.com/tousu/show/id/1352096","肯特瑞基金快赎业务清算私自扣款诈取钱财")</f>
        <v>肯特瑞基金快赎业务清算私自扣款诈取钱财</v>
      </c>
      <c r="C20065" s="2" t="s">
        <v>9</v>
      </c>
      <c r="D20065" s="2" t="s">
        <v>10</v>
      </c>
      <c r="E20065" s="2" t="str">
        <f>HYPERLINK("http://ts.21cn.com/tousu/show/id/1352096","http://ts.21cn.com/tousu/show/id/1352096")</f>
        <v>http://ts.21cn.com/tousu/show/id/1352096</v>
      </c>
      <c r="F20065" s="2" t="s">
        <v>11</v>
      </c>
      <c r="G20065" s="2" t="s">
        <v>4703</v>
      </c>
      <c r="H20065" s="2" t="s">
        <v>4704</v>
      </c>
    </row>
    <row r="20066" spans="1:8" ht="25.05" customHeight="1" x14ac:dyDescent="0.25">
      <c r="A20066" s="2" t="s">
        <v>8</v>
      </c>
      <c r="B20066" s="2" t="str">
        <f>HYPERLINK("http://ts.21cn.com/tousu/show/id/1352097","蚂蚁花呗第三方催收")</f>
        <v>蚂蚁花呗第三方催收</v>
      </c>
      <c r="C20066" s="2" t="s">
        <v>9</v>
      </c>
      <c r="D20066" s="2" t="s">
        <v>10</v>
      </c>
      <c r="E20066" s="2" t="str">
        <f>HYPERLINK("http://ts.21cn.com/tousu/show/id/1352097","http://ts.21cn.com/tousu/show/id/1352097")</f>
        <v>http://ts.21cn.com/tousu/show/id/1352097</v>
      </c>
      <c r="F20066" s="2" t="s">
        <v>11</v>
      </c>
      <c r="G20066" s="2" t="s">
        <v>4701</v>
      </c>
      <c r="H20066" s="2" t="s">
        <v>4702</v>
      </c>
    </row>
    <row r="20067" spans="1:8" ht="25.05" customHeight="1" x14ac:dyDescent="0.25">
      <c r="A20067" s="2" t="s">
        <v>8</v>
      </c>
      <c r="B20067" s="2" t="str">
        <f>HYPERLINK("http://ts.21cn.com/tousu/show/id/1352098","套路贷被扣保险费")</f>
        <v>套路贷被扣保险费</v>
      </c>
      <c r="C20067" s="2" t="s">
        <v>9</v>
      </c>
      <c r="D20067" s="2" t="s">
        <v>10</v>
      </c>
      <c r="E20067" s="2" t="str">
        <f>HYPERLINK("http://ts.21cn.com/tousu/show/id/1352098","http://ts.21cn.com/tousu/show/id/1352098")</f>
        <v>http://ts.21cn.com/tousu/show/id/1352098</v>
      </c>
      <c r="F20067" s="2" t="s">
        <v>11</v>
      </c>
      <c r="G20067" s="2" t="s">
        <v>4699</v>
      </c>
      <c r="H20067" s="2" t="s">
        <v>4700</v>
      </c>
    </row>
    <row r="20068" spans="1:8" ht="25.05" customHeight="1" x14ac:dyDescent="0.25">
      <c r="A20068" s="2" t="s">
        <v>8</v>
      </c>
      <c r="B20068" s="2" t="str">
        <f>HYPERLINK("http://ts.21cn.com/tousu/show/id/1352099","手机借钱多宝分期高利贷违法")</f>
        <v>手机借钱多宝分期高利贷违法</v>
      </c>
      <c r="C20068" s="2" t="s">
        <v>9</v>
      </c>
      <c r="D20068" s="2" t="s">
        <v>10</v>
      </c>
      <c r="E20068" s="2" t="str">
        <f>HYPERLINK("http://ts.21cn.com/tousu/show/id/1352099","http://ts.21cn.com/tousu/show/id/1352099")</f>
        <v>http://ts.21cn.com/tousu/show/id/1352099</v>
      </c>
      <c r="F20068" s="2" t="s">
        <v>11</v>
      </c>
      <c r="G20068" s="2" t="s">
        <v>4697</v>
      </c>
      <c r="H20068" s="2" t="s">
        <v>4698</v>
      </c>
    </row>
    <row r="20069" spans="1:8" ht="25.05" customHeight="1" x14ac:dyDescent="0.25">
      <c r="A20069" s="2" t="s">
        <v>8</v>
      </c>
      <c r="B20069" s="2" t="str">
        <f>HYPERLINK("http://ts.21cn.com/tousu/show/id/1352100","错误扣费")</f>
        <v>错误扣费</v>
      </c>
      <c r="C20069" s="2" t="s">
        <v>9</v>
      </c>
      <c r="D20069" s="2" t="s">
        <v>10</v>
      </c>
      <c r="E20069" s="2" t="str">
        <f>HYPERLINK("http://ts.21cn.com/tousu/show/id/1352100","http://ts.21cn.com/tousu/show/id/1352100")</f>
        <v>http://ts.21cn.com/tousu/show/id/1352100</v>
      </c>
      <c r="F20069" s="2" t="s">
        <v>11</v>
      </c>
      <c r="G20069" s="2" t="s">
        <v>4695</v>
      </c>
      <c r="H20069" s="2" t="s">
        <v>4696</v>
      </c>
    </row>
    <row r="20070" spans="1:8" ht="25.05" customHeight="1" x14ac:dyDescent="0.25">
      <c r="A20070" s="2" t="s">
        <v>8</v>
      </c>
      <c r="B20070" s="2" t="str">
        <f>HYPERLINK("http://ts.21cn.com/tousu/show/id/1352101","世联金融砍头息暴力催收")</f>
        <v>世联金融砍头息暴力催收</v>
      </c>
      <c r="C20070" s="2" t="s">
        <v>9</v>
      </c>
      <c r="D20070" s="2" t="s">
        <v>10</v>
      </c>
      <c r="E20070" s="2" t="str">
        <f>HYPERLINK("http://ts.21cn.com/tousu/show/id/1352101","http://ts.21cn.com/tousu/show/id/1352101")</f>
        <v>http://ts.21cn.com/tousu/show/id/1352101</v>
      </c>
      <c r="F20070" s="2" t="s">
        <v>11</v>
      </c>
      <c r="G20070" s="2" t="s">
        <v>4693</v>
      </c>
      <c r="H20070" s="2" t="s">
        <v>4694</v>
      </c>
    </row>
    <row r="20071" spans="1:8" ht="25.05" customHeight="1" x14ac:dyDescent="0.25">
      <c r="A20071" s="2" t="s">
        <v>8</v>
      </c>
      <c r="B20071" s="2" t="str">
        <f>HYPERLINK("http://ts.21cn.com/tousu/show/id/1352102","网上买了幸福西饼的蛋糕，没收到货，不给退钱")</f>
        <v>网上买了幸福西饼的蛋糕，没收到货，不给退钱</v>
      </c>
      <c r="C20071" s="2" t="s">
        <v>9</v>
      </c>
      <c r="D20071" s="2" t="s">
        <v>10</v>
      </c>
      <c r="E20071" s="2" t="str">
        <f>HYPERLINK("http://ts.21cn.com/tousu/show/id/1352102","http://ts.21cn.com/tousu/show/id/1352102")</f>
        <v>http://ts.21cn.com/tousu/show/id/1352102</v>
      </c>
      <c r="F20071" s="2" t="s">
        <v>11</v>
      </c>
      <c r="G20071" s="2" t="s">
        <v>4691</v>
      </c>
      <c r="H20071" s="2" t="s">
        <v>4692</v>
      </c>
    </row>
    <row r="20072" spans="1:8" ht="25.05" customHeight="1" x14ac:dyDescent="0.25">
      <c r="A20072" s="2" t="s">
        <v>8</v>
      </c>
      <c r="B20072" s="2" t="str">
        <f>HYPERLINK("http://ts.21cn.com/tousu/show/id/1352104","民生银行逼死人")</f>
        <v>民生银行逼死人</v>
      </c>
      <c r="C20072" s="2" t="s">
        <v>9</v>
      </c>
      <c r="D20072" s="2" t="s">
        <v>10</v>
      </c>
      <c r="E20072" s="2" t="str">
        <f>HYPERLINK("http://ts.21cn.com/tousu/show/id/1352104","http://ts.21cn.com/tousu/show/id/1352104")</f>
        <v>http://ts.21cn.com/tousu/show/id/1352104</v>
      </c>
      <c r="F20072" s="2" t="s">
        <v>11</v>
      </c>
      <c r="G20072" s="2" t="s">
        <v>4689</v>
      </c>
      <c r="H20072" s="2" t="s">
        <v>4690</v>
      </c>
    </row>
    <row r="20073" spans="1:8" ht="25.05" customHeight="1" x14ac:dyDescent="0.25">
      <c r="A20073" s="2" t="s">
        <v>8</v>
      </c>
      <c r="B20073" s="2" t="str">
        <f>HYPERLINK("http://ts.21cn.com/tousu/show/id/1352105","严厉打击高利贷砍头息")</f>
        <v>严厉打击高利贷砍头息</v>
      </c>
      <c r="C20073" s="2" t="s">
        <v>9</v>
      </c>
      <c r="D20073" s="2" t="s">
        <v>10</v>
      </c>
      <c r="E20073" s="2" t="str">
        <f>HYPERLINK("http://ts.21cn.com/tousu/show/id/1352105","http://ts.21cn.com/tousu/show/id/1352105")</f>
        <v>http://ts.21cn.com/tousu/show/id/1352105</v>
      </c>
      <c r="F20073" s="2" t="s">
        <v>11</v>
      </c>
      <c r="G20073" s="2" t="s">
        <v>4687</v>
      </c>
      <c r="H20073" s="2" t="s">
        <v>4688</v>
      </c>
    </row>
    <row r="20074" spans="1:8" ht="25.05" customHeight="1" x14ac:dyDescent="0.25">
      <c r="A20074" s="2" t="s">
        <v>8</v>
      </c>
      <c r="B20074" s="2" t="str">
        <f>HYPERLINK("http://ts.21cn.com/tousu/show/id/1352106","贷上钱不给协商")</f>
        <v>贷上钱不给协商</v>
      </c>
      <c r="C20074" s="2" t="s">
        <v>34</v>
      </c>
      <c r="D20074" s="2" t="s">
        <v>10</v>
      </c>
      <c r="E20074" s="2" t="str">
        <f>HYPERLINK("http://ts.21cn.com/tousu/show/id/1352106","http://ts.21cn.com/tousu/show/id/1352106")</f>
        <v>http://ts.21cn.com/tousu/show/id/1352106</v>
      </c>
      <c r="F20074" s="2" t="s">
        <v>11</v>
      </c>
      <c r="G20074" s="2" t="s">
        <v>4685</v>
      </c>
      <c r="H20074" s="2" t="s">
        <v>4686</v>
      </c>
    </row>
    <row r="20075" spans="1:8" ht="25.05" customHeight="1" x14ac:dyDescent="0.25">
      <c r="A20075" s="2" t="s">
        <v>8</v>
      </c>
      <c r="B20075" s="2" t="str">
        <f>HYPERLINK("http://ts.21cn.com/tousu/show/id/1352107","高利贷，超出国家规定利率")</f>
        <v>高利贷，超出国家规定利率</v>
      </c>
      <c r="C20075" s="2" t="s">
        <v>9</v>
      </c>
      <c r="D20075" s="2" t="s">
        <v>10</v>
      </c>
      <c r="E20075" s="2" t="str">
        <f>HYPERLINK("http://ts.21cn.com/tousu/show/id/1352107","http://ts.21cn.com/tousu/show/id/1352107")</f>
        <v>http://ts.21cn.com/tousu/show/id/1352107</v>
      </c>
      <c r="F20075" s="2" t="s">
        <v>11</v>
      </c>
      <c r="G20075" s="2" t="s">
        <v>4683</v>
      </c>
      <c r="H20075" s="2" t="s">
        <v>4684</v>
      </c>
    </row>
    <row r="20076" spans="1:8" ht="25.05" customHeight="1" x14ac:dyDescent="0.25">
      <c r="A20076" s="2" t="s">
        <v>8</v>
      </c>
      <c r="B20076" s="2" t="str">
        <f>HYPERLINK("http://ts.21cn.com/tousu/show/id/1352109","米多点高利贷")</f>
        <v>米多点高利贷</v>
      </c>
      <c r="C20076" s="2" t="s">
        <v>9</v>
      </c>
      <c r="D20076" s="2" t="s">
        <v>10</v>
      </c>
      <c r="E20076" s="2" t="str">
        <f>HYPERLINK("http://ts.21cn.com/tousu/show/id/1352109","http://ts.21cn.com/tousu/show/id/1352109")</f>
        <v>http://ts.21cn.com/tousu/show/id/1352109</v>
      </c>
      <c r="F20076" s="2" t="s">
        <v>11</v>
      </c>
      <c r="G20076" s="2" t="s">
        <v>4681</v>
      </c>
      <c r="H20076" s="2" t="s">
        <v>4682</v>
      </c>
    </row>
    <row r="20077" spans="1:8" ht="25.05" customHeight="1" x14ac:dyDescent="0.25">
      <c r="A20077" s="2" t="s">
        <v>8</v>
      </c>
      <c r="B20077" s="2" t="str">
        <f>HYPERLINK("http://ts.21cn.com/tousu/show/id/1352108","点融金融高利贷非法催收导致我失去工作")</f>
        <v>点融金融高利贷非法催收导致我失去工作</v>
      </c>
      <c r="C20077" s="2" t="s">
        <v>9</v>
      </c>
      <c r="D20077" s="2" t="s">
        <v>10</v>
      </c>
      <c r="E20077" s="2" t="str">
        <f>HYPERLINK("http://ts.21cn.com/tousu/show/id/1352108","http://ts.21cn.com/tousu/show/id/1352108")</f>
        <v>http://ts.21cn.com/tousu/show/id/1352108</v>
      </c>
      <c r="F20077" s="2" t="s">
        <v>11</v>
      </c>
      <c r="G20077" s="2" t="s">
        <v>4679</v>
      </c>
      <c r="H20077" s="2" t="s">
        <v>4680</v>
      </c>
    </row>
    <row r="20078" spans="1:8" ht="25.05" customHeight="1" x14ac:dyDescent="0.25">
      <c r="A20078" s="2" t="s">
        <v>8</v>
      </c>
      <c r="B20078" s="2" t="str">
        <f>HYPERLINK("http://ts.21cn.com/tousu/show/id/1352110","优信优卡失联，请北京银联商务退套餐")</f>
        <v>优信优卡失联，请北京银联商务退套餐</v>
      </c>
      <c r="C20078" s="2" t="s">
        <v>9</v>
      </c>
      <c r="D20078" s="2" t="s">
        <v>10</v>
      </c>
      <c r="E20078" s="2" t="str">
        <f>HYPERLINK("http://ts.21cn.com/tousu/show/id/1352110","http://ts.21cn.com/tousu/show/id/1352110")</f>
        <v>http://ts.21cn.com/tousu/show/id/1352110</v>
      </c>
      <c r="F20078" s="2" t="s">
        <v>11</v>
      </c>
      <c r="G20078" s="2" t="s">
        <v>4677</v>
      </c>
      <c r="H20078" s="2" t="s">
        <v>4678</v>
      </c>
    </row>
    <row r="20079" spans="1:8" ht="25.05" customHeight="1" x14ac:dyDescent="0.25">
      <c r="A20079" s="2" t="s">
        <v>8</v>
      </c>
      <c r="B20079" s="2" t="str">
        <f>HYPERLINK("http://ts.21cn.com/tousu/show/id/1352111","三天高炮，套路贷")</f>
        <v>三天高炮，套路贷</v>
      </c>
      <c r="C20079" s="2" t="s">
        <v>9</v>
      </c>
      <c r="D20079" s="2" t="s">
        <v>10</v>
      </c>
      <c r="E20079" s="2" t="str">
        <f>HYPERLINK("http://ts.21cn.com/tousu/show/id/1352111","http://ts.21cn.com/tousu/show/id/1352111")</f>
        <v>http://ts.21cn.com/tousu/show/id/1352111</v>
      </c>
      <c r="F20079" s="2" t="s">
        <v>11</v>
      </c>
      <c r="G20079" s="2" t="s">
        <v>4675</v>
      </c>
      <c r="H20079" s="2" t="s">
        <v>4676</v>
      </c>
    </row>
    <row r="20080" spans="1:8" ht="25.05" customHeight="1" x14ac:dyDescent="0.25">
      <c r="A20080" s="2" t="s">
        <v>8</v>
      </c>
      <c r="B20080" s="2" t="str">
        <f>HYPERLINK("http://ts.21cn.com/tousu/show/id/1352112","钱站私自修改合同")</f>
        <v>钱站私自修改合同</v>
      </c>
      <c r="C20080" s="2" t="s">
        <v>9</v>
      </c>
      <c r="D20080" s="2" t="s">
        <v>10</v>
      </c>
      <c r="E20080" s="2" t="str">
        <f>HYPERLINK("http://ts.21cn.com/tousu/show/id/1352112","http://ts.21cn.com/tousu/show/id/1352112")</f>
        <v>http://ts.21cn.com/tousu/show/id/1352112</v>
      </c>
      <c r="F20080" s="2" t="s">
        <v>11</v>
      </c>
      <c r="G20080" s="2" t="s">
        <v>4673</v>
      </c>
      <c r="H20080" s="2" t="s">
        <v>4674</v>
      </c>
    </row>
    <row r="20081" spans="1:8" ht="25.05" customHeight="1" x14ac:dyDescent="0.25">
      <c r="A20081" s="2" t="s">
        <v>8</v>
      </c>
      <c r="B20081" s="2" t="str">
        <f>HYPERLINK("http://ts.21cn.com/tousu/show/id/1352113","汇潮支付为高利贷提供支付渠道")</f>
        <v>汇潮支付为高利贷提供支付渠道</v>
      </c>
      <c r="C20081" s="2" t="s">
        <v>9</v>
      </c>
      <c r="D20081" s="2" t="s">
        <v>10</v>
      </c>
      <c r="E20081" s="2" t="str">
        <f>HYPERLINK("http://ts.21cn.com/tousu/show/id/1352113","http://ts.21cn.com/tousu/show/id/1352113")</f>
        <v>http://ts.21cn.com/tousu/show/id/1352113</v>
      </c>
      <c r="F20081" s="2" t="s">
        <v>11</v>
      </c>
      <c r="G20081" s="2" t="s">
        <v>4671</v>
      </c>
      <c r="H20081" s="2" t="s">
        <v>4672</v>
      </c>
    </row>
    <row r="20082" spans="1:8" ht="25.05" customHeight="1" x14ac:dyDescent="0.25">
      <c r="A20082" s="2" t="s">
        <v>8</v>
      </c>
      <c r="B20082" s="2" t="str">
        <f>HYPERLINK("http://ts.21cn.com/tousu/show/id/1352115","电话轰炸")</f>
        <v>电话轰炸</v>
      </c>
      <c r="C20082" s="2" t="s">
        <v>9</v>
      </c>
      <c r="D20082" s="2" t="s">
        <v>10</v>
      </c>
      <c r="E20082" s="2" t="str">
        <f>HYPERLINK("http://ts.21cn.com/tousu/show/id/1352115","http://ts.21cn.com/tousu/show/id/1352115")</f>
        <v>http://ts.21cn.com/tousu/show/id/1352115</v>
      </c>
      <c r="F20082" s="2" t="s">
        <v>11</v>
      </c>
      <c r="G20082" s="2" t="s">
        <v>4669</v>
      </c>
      <c r="H20082" s="2" t="s">
        <v>4670</v>
      </c>
    </row>
    <row r="20083" spans="1:8" ht="25.05" customHeight="1" x14ac:dyDescent="0.25">
      <c r="A20083" s="2" t="s">
        <v>8</v>
      </c>
      <c r="B20083" s="2" t="str">
        <f>HYPERLINK("http://ts.21cn.com/tousu/show/id/1352116","暴力催收平台一天打十几的电话")</f>
        <v>暴力催收平台一天打十几的电话</v>
      </c>
      <c r="C20083" s="2" t="s">
        <v>9</v>
      </c>
      <c r="D20083" s="2" t="s">
        <v>10</v>
      </c>
      <c r="E20083" s="2" t="str">
        <f>HYPERLINK("http://ts.21cn.com/tousu/show/id/1352116","http://ts.21cn.com/tousu/show/id/1352116")</f>
        <v>http://ts.21cn.com/tousu/show/id/1352116</v>
      </c>
      <c r="F20083" s="2" t="s">
        <v>11</v>
      </c>
      <c r="G20083" s="2" t="s">
        <v>4667</v>
      </c>
      <c r="H20083" s="2" t="s">
        <v>4668</v>
      </c>
    </row>
    <row r="20084" spans="1:8" ht="25.05" customHeight="1" x14ac:dyDescent="0.25">
      <c r="A20084" s="2" t="s">
        <v>8</v>
      </c>
      <c r="B20084" s="2" t="str">
        <f>HYPERLINK("http://ts.21cn.com/tousu/show/id/1352117","叫我私自转账到别的账号")</f>
        <v>叫我私自转账到别的账号</v>
      </c>
      <c r="C20084" s="2" t="s">
        <v>9</v>
      </c>
      <c r="D20084" s="2" t="s">
        <v>10</v>
      </c>
      <c r="E20084" s="2" t="str">
        <f>HYPERLINK("http://ts.21cn.com/tousu/show/id/1352117","http://ts.21cn.com/tousu/show/id/1352117")</f>
        <v>http://ts.21cn.com/tousu/show/id/1352117</v>
      </c>
      <c r="F20084" s="2" t="s">
        <v>11</v>
      </c>
      <c r="G20084" s="2" t="s">
        <v>4665</v>
      </c>
      <c r="H20084" s="2" t="s">
        <v>4666</v>
      </c>
    </row>
    <row r="20085" spans="1:8" ht="25.05" customHeight="1" x14ac:dyDescent="0.25">
      <c r="A20085" s="2" t="s">
        <v>8</v>
      </c>
      <c r="B20085" s="2" t="str">
        <f>HYPERLINK("http://ts.21cn.com/tousu/show/id/1352119","违法高利贷，威胁恐吓他人")</f>
        <v>违法高利贷，威胁恐吓他人</v>
      </c>
      <c r="C20085" s="2" t="s">
        <v>9</v>
      </c>
      <c r="D20085" s="2" t="s">
        <v>10</v>
      </c>
      <c r="E20085" s="2" t="str">
        <f>HYPERLINK("http://ts.21cn.com/tousu/show/id/1352119","http://ts.21cn.com/tousu/show/id/1352119")</f>
        <v>http://ts.21cn.com/tousu/show/id/1352119</v>
      </c>
      <c r="F20085" s="2" t="s">
        <v>11</v>
      </c>
      <c r="G20085" s="2" t="s">
        <v>4663</v>
      </c>
      <c r="H20085" s="2" t="s">
        <v>4664</v>
      </c>
    </row>
    <row r="20086" spans="1:8" ht="25.05" customHeight="1" x14ac:dyDescent="0.25">
      <c r="A20086" s="2" t="s">
        <v>8</v>
      </c>
      <c r="B20086" s="2" t="str">
        <f>HYPERLINK("http://ts.21cn.com/tousu/show/id/1352118","提前购买财神黑卡")</f>
        <v>提前购买财神黑卡</v>
      </c>
      <c r="C20086" s="2" t="s">
        <v>34</v>
      </c>
      <c r="D20086" s="2" t="s">
        <v>10</v>
      </c>
      <c r="E20086" s="2" t="str">
        <f>HYPERLINK("http://ts.21cn.com/tousu/show/id/1352118","http://ts.21cn.com/tousu/show/id/1352118")</f>
        <v>http://ts.21cn.com/tousu/show/id/1352118</v>
      </c>
      <c r="F20086" s="2" t="s">
        <v>11</v>
      </c>
      <c r="G20086" s="2" t="s">
        <v>4661</v>
      </c>
      <c r="H20086" s="2" t="s">
        <v>4662</v>
      </c>
    </row>
    <row r="20087" spans="1:8" ht="25.05" customHeight="1" x14ac:dyDescent="0.25">
      <c r="A20087" s="2" t="s">
        <v>8</v>
      </c>
      <c r="B20087" s="2" t="str">
        <f>HYPERLINK("http://ts.21cn.com/tousu/show/id/1352120","未经允许非法泄露个人借贷信息给通讯联系人")</f>
        <v>未经允许非法泄露个人借贷信息给通讯联系人</v>
      </c>
      <c r="C20087" s="2" t="s">
        <v>9</v>
      </c>
      <c r="D20087" s="2" t="s">
        <v>10</v>
      </c>
      <c r="E20087" s="2" t="str">
        <f>HYPERLINK("http://ts.21cn.com/tousu/show/id/1352120","http://ts.21cn.com/tousu/show/id/1352120")</f>
        <v>http://ts.21cn.com/tousu/show/id/1352120</v>
      </c>
      <c r="F20087" s="2" t="s">
        <v>11</v>
      </c>
      <c r="G20087" s="2" t="s">
        <v>4659</v>
      </c>
      <c r="H20087" s="2" t="s">
        <v>4660</v>
      </c>
    </row>
    <row r="20088" spans="1:8" ht="25.05" customHeight="1" x14ac:dyDescent="0.25">
      <c r="A20088" s="2" t="s">
        <v>8</v>
      </c>
      <c r="B20088" s="2" t="str">
        <f>HYPERLINK("http://ts.21cn.com/tousu/show/id/1352121","暴力催收")</f>
        <v>暴力催收</v>
      </c>
      <c r="C20088" s="2" t="s">
        <v>9</v>
      </c>
      <c r="D20088" s="2" t="s">
        <v>10</v>
      </c>
      <c r="E20088" s="2" t="str">
        <f>HYPERLINK("http://ts.21cn.com/tousu/show/id/1352121","http://ts.21cn.com/tousu/show/id/1352121")</f>
        <v>http://ts.21cn.com/tousu/show/id/1352121</v>
      </c>
      <c r="F20088" s="2" t="s">
        <v>11</v>
      </c>
      <c r="G20088" s="2" t="s">
        <v>4657</v>
      </c>
      <c r="H20088" s="2" t="s">
        <v>4658</v>
      </c>
    </row>
    <row r="20089" spans="1:8" ht="25.05" customHeight="1" x14ac:dyDescent="0.25">
      <c r="A20089" s="2" t="s">
        <v>8</v>
      </c>
      <c r="B20089" s="2" t="str">
        <f>HYPERLINK("http://ts.21cn.com/tousu/show/id/1352087","玩八天不保价游戏，客服服务态度恶劣")</f>
        <v>玩八天不保价游戏，客服服务态度恶劣</v>
      </c>
      <c r="C20089" s="2" t="s">
        <v>9</v>
      </c>
      <c r="D20089" s="2" t="s">
        <v>10</v>
      </c>
      <c r="E20089" s="2" t="str">
        <f>HYPERLINK("http://ts.21cn.com/tousu/show/id/1352087","http://ts.21cn.com/tousu/show/id/1352087")</f>
        <v>http://ts.21cn.com/tousu/show/id/1352087</v>
      </c>
      <c r="F20089" s="2" t="s">
        <v>11</v>
      </c>
      <c r="G20089" s="2" t="s">
        <v>4655</v>
      </c>
      <c r="H20089" s="2" t="s">
        <v>4656</v>
      </c>
    </row>
    <row r="20090" spans="1:8" ht="25.05" customHeight="1" x14ac:dyDescent="0.25">
      <c r="A20090" s="2" t="s">
        <v>8</v>
      </c>
      <c r="B20090" s="2" t="str">
        <f>HYPERLINK("http://ts.21cn.com/tousu/show/id/1352122","我来贷逾期暴力征收")</f>
        <v>我来贷逾期暴力征收</v>
      </c>
      <c r="C20090" s="2" t="s">
        <v>9</v>
      </c>
      <c r="D20090" s="2" t="s">
        <v>10</v>
      </c>
      <c r="E20090" s="2" t="str">
        <f>HYPERLINK("http://ts.21cn.com/tousu/show/id/1352122","http://ts.21cn.com/tousu/show/id/1352122")</f>
        <v>http://ts.21cn.com/tousu/show/id/1352122</v>
      </c>
      <c r="F20090" s="2" t="s">
        <v>11</v>
      </c>
      <c r="G20090" s="2" t="s">
        <v>4653</v>
      </c>
      <c r="H20090" s="2" t="s">
        <v>4654</v>
      </c>
    </row>
    <row r="20091" spans="1:8" ht="25.05" customHeight="1" x14ac:dyDescent="0.25">
      <c r="A20091" s="2" t="s">
        <v>8</v>
      </c>
      <c r="B20091" s="2" t="str">
        <f>HYPERLINK("http://ts.21cn.com/tousu/show/id/1352123","请微弘商业保理（深圳）有限公司偿还本金和利息15万")</f>
        <v>请微弘商业保理（深圳）有限公司偿还本金和利息15万</v>
      </c>
      <c r="C20091" s="2" t="s">
        <v>9</v>
      </c>
      <c r="D20091" s="2" t="s">
        <v>10</v>
      </c>
      <c r="E20091" s="2" t="str">
        <f>HYPERLINK("http://ts.21cn.com/tousu/show/id/1352123","http://ts.21cn.com/tousu/show/id/1352123")</f>
        <v>http://ts.21cn.com/tousu/show/id/1352123</v>
      </c>
      <c r="F20091" s="2" t="s">
        <v>11</v>
      </c>
      <c r="G20091" s="2" t="s">
        <v>4651</v>
      </c>
      <c r="H20091" s="2" t="s">
        <v>4652</v>
      </c>
    </row>
    <row r="20092" spans="1:8" ht="25.05" customHeight="1" x14ac:dyDescent="0.25">
      <c r="A20092" s="2" t="s">
        <v>8</v>
      </c>
      <c r="B20092" s="2" t="str">
        <f>HYPERLINK("http://ts.21cn.com/tousu/show/id/1352125","绿森商城在承诺时间内不发货")</f>
        <v>绿森商城在承诺时间内不发货</v>
      </c>
      <c r="C20092" s="2" t="s">
        <v>9</v>
      </c>
      <c r="D20092" s="2" t="s">
        <v>10</v>
      </c>
      <c r="E20092" s="2" t="str">
        <f>HYPERLINK("http://ts.21cn.com/tousu/show/id/1352125","http://ts.21cn.com/tousu/show/id/1352125")</f>
        <v>http://ts.21cn.com/tousu/show/id/1352125</v>
      </c>
      <c r="F20092" s="2" t="s">
        <v>11</v>
      </c>
      <c r="G20092" s="2" t="s">
        <v>4649</v>
      </c>
      <c r="H20092" s="2" t="s">
        <v>4650</v>
      </c>
    </row>
    <row r="20093" spans="1:8" ht="25.05" customHeight="1" x14ac:dyDescent="0.25">
      <c r="A20093" s="2" t="s">
        <v>8</v>
      </c>
      <c r="B20093" s="2" t="str">
        <f>HYPERLINK("http://ts.21cn.com/tousu/show/id/1352126","贷上钱威胁我说一小时之内不还款就联系我家里人")</f>
        <v>贷上钱威胁我说一小时之内不还款就联系我家里人</v>
      </c>
      <c r="C20093" s="2" t="s">
        <v>9</v>
      </c>
      <c r="D20093" s="2" t="s">
        <v>10</v>
      </c>
      <c r="E20093" s="2" t="str">
        <f>HYPERLINK("http://ts.21cn.com/tousu/show/id/1352126","http://ts.21cn.com/tousu/show/id/1352126")</f>
        <v>http://ts.21cn.com/tousu/show/id/1352126</v>
      </c>
      <c r="F20093" s="2" t="s">
        <v>11</v>
      </c>
      <c r="G20093" s="2" t="s">
        <v>4647</v>
      </c>
      <c r="H20093" s="2" t="s">
        <v>4648</v>
      </c>
    </row>
    <row r="20094" spans="1:8" ht="25.05" customHeight="1" x14ac:dyDescent="0.25">
      <c r="A20094" s="2" t="s">
        <v>8</v>
      </c>
      <c r="B20094" s="2" t="str">
        <f>HYPERLINK("http://ts.21cn.com/tousu/show/id/1351018","泄露个人信息")</f>
        <v>泄露个人信息</v>
      </c>
      <c r="C20094" s="2" t="s">
        <v>9</v>
      </c>
      <c r="D20094" s="2" t="s">
        <v>10</v>
      </c>
      <c r="E20094" s="2" t="str">
        <f>HYPERLINK("http://ts.21cn.com/tousu/show/id/1351018","http://ts.21cn.com/tousu/show/id/1351018")</f>
        <v>http://ts.21cn.com/tousu/show/id/1351018</v>
      </c>
      <c r="F20094" s="2" t="s">
        <v>11</v>
      </c>
      <c r="G20094" s="2" t="s">
        <v>4645</v>
      </c>
      <c r="H20094" s="2" t="s">
        <v>4646</v>
      </c>
    </row>
    <row r="20095" spans="1:8" ht="25.05" customHeight="1" x14ac:dyDescent="0.25">
      <c r="A20095" s="2" t="s">
        <v>8</v>
      </c>
      <c r="B20095" s="2" t="str">
        <f>HYPERLINK("http://ts.21cn.com/tousu/show/id/1352127","拍拍贷高利息拍拍贷逾期一晚上增加利息50块钱")</f>
        <v>拍拍贷高利息拍拍贷逾期一晚上增加利息50块钱</v>
      </c>
      <c r="C20095" s="2" t="s">
        <v>34</v>
      </c>
      <c r="D20095" s="2" t="s">
        <v>10</v>
      </c>
      <c r="E20095" s="2" t="str">
        <f>HYPERLINK("http://ts.21cn.com/tousu/show/id/1352127","http://ts.21cn.com/tousu/show/id/1352127")</f>
        <v>http://ts.21cn.com/tousu/show/id/1352127</v>
      </c>
      <c r="F20095" s="2" t="s">
        <v>11</v>
      </c>
      <c r="G20095" s="2" t="s">
        <v>4643</v>
      </c>
      <c r="H20095" s="2" t="s">
        <v>4644</v>
      </c>
    </row>
    <row r="20096" spans="1:8" ht="25.05" customHeight="1" x14ac:dyDescent="0.25">
      <c r="A20096" s="2" t="s">
        <v>8</v>
      </c>
      <c r="B20096" s="2" t="str">
        <f>HYPERLINK("http://ts.21cn.com/tousu/show/id/1352128","微粒贷打电话骚扰本人，暴力催收")</f>
        <v>微粒贷打电话骚扰本人，暴力催收</v>
      </c>
      <c r="C20096" s="2" t="s">
        <v>9</v>
      </c>
      <c r="D20096" s="2" t="s">
        <v>10</v>
      </c>
      <c r="E20096" s="2" t="str">
        <f>HYPERLINK("http://ts.21cn.com/tousu/show/id/1352128","http://ts.21cn.com/tousu/show/id/1352128")</f>
        <v>http://ts.21cn.com/tousu/show/id/1352128</v>
      </c>
      <c r="F20096" s="2" t="s">
        <v>11</v>
      </c>
      <c r="G20096" s="2" t="s">
        <v>4641</v>
      </c>
      <c r="H20096" s="2" t="s">
        <v>4642</v>
      </c>
    </row>
    <row r="20097" spans="1:8" ht="25.05" customHeight="1" x14ac:dyDescent="0.25">
      <c r="A20097" s="2" t="s">
        <v>8</v>
      </c>
      <c r="B20097" s="2" t="str">
        <f>HYPERLINK("http://ts.21cn.com/tousu/show/id/1352129","天价高利贷，虫虫快借")</f>
        <v>天价高利贷，虫虫快借</v>
      </c>
      <c r="C20097" s="2" t="s">
        <v>9</v>
      </c>
      <c r="D20097" s="2" t="s">
        <v>10</v>
      </c>
      <c r="E20097" s="2" t="str">
        <f>HYPERLINK("http://ts.21cn.com/tousu/show/id/1352129","http://ts.21cn.com/tousu/show/id/1352129")</f>
        <v>http://ts.21cn.com/tousu/show/id/1352129</v>
      </c>
      <c r="F20097" s="2" t="s">
        <v>11</v>
      </c>
      <c r="G20097" s="2" t="s">
        <v>4639</v>
      </c>
      <c r="H20097" s="2" t="s">
        <v>4640</v>
      </c>
    </row>
    <row r="20098" spans="1:8" ht="25.05" customHeight="1" x14ac:dyDescent="0.25">
      <c r="A20098" s="2" t="s">
        <v>8</v>
      </c>
      <c r="B20098" s="2" t="str">
        <f>HYPERLINK("http://ts.21cn.com/tousu/show/id/1352130","翼支付、随意借系统出错问题导致我逾期并影响了我的个人信用和违约金")</f>
        <v>翼支付、随意借系统出错问题导致我逾期并影响了我的个人信用和违约金</v>
      </c>
      <c r="C20098" s="2" t="s">
        <v>9</v>
      </c>
      <c r="D20098" s="2" t="s">
        <v>10</v>
      </c>
      <c r="E20098" s="2" t="str">
        <f>HYPERLINK("http://ts.21cn.com/tousu/show/id/1352130","http://ts.21cn.com/tousu/show/id/1352130")</f>
        <v>http://ts.21cn.com/tousu/show/id/1352130</v>
      </c>
      <c r="F20098" s="2" t="s">
        <v>11</v>
      </c>
      <c r="G20098" s="2" t="s">
        <v>4637</v>
      </c>
      <c r="H20098" s="2" t="s">
        <v>4638</v>
      </c>
    </row>
    <row r="20099" spans="1:8" ht="25.05" customHeight="1" x14ac:dyDescent="0.25">
      <c r="A20099" s="2" t="s">
        <v>8</v>
      </c>
      <c r="B20099" s="2" t="str">
        <f>HYPERLINK("http://ts.21cn.com/tousu/show/id/1352131","快贷暴力催收")</f>
        <v>快贷暴力催收</v>
      </c>
      <c r="C20099" s="2" t="s">
        <v>9</v>
      </c>
      <c r="D20099" s="2" t="s">
        <v>10</v>
      </c>
      <c r="E20099" s="2" t="str">
        <f>HYPERLINK("http://ts.21cn.com/tousu/show/id/1352131","http://ts.21cn.com/tousu/show/id/1352131")</f>
        <v>http://ts.21cn.com/tousu/show/id/1352131</v>
      </c>
      <c r="F20099" s="2" t="s">
        <v>11</v>
      </c>
      <c r="G20099" s="2" t="s">
        <v>4635</v>
      </c>
      <c r="H20099" s="2" t="s">
        <v>4636</v>
      </c>
    </row>
    <row r="20100" spans="1:8" ht="25.05" customHeight="1" x14ac:dyDescent="0.25">
      <c r="A20100" s="2" t="s">
        <v>8</v>
      </c>
      <c r="B20100" s="2" t="str">
        <f>HYPERLINK("http://ts.21cn.com/tousu/show/id/1352132","黑贷")</f>
        <v>黑贷</v>
      </c>
      <c r="C20100" s="2" t="s">
        <v>34</v>
      </c>
      <c r="D20100" s="2" t="s">
        <v>10</v>
      </c>
      <c r="E20100" s="2" t="str">
        <f>HYPERLINK("http://ts.21cn.com/tousu/show/id/1352132","http://ts.21cn.com/tousu/show/id/1352132")</f>
        <v>http://ts.21cn.com/tousu/show/id/1352132</v>
      </c>
      <c r="F20100" s="2" t="s">
        <v>11</v>
      </c>
      <c r="G20100" s="2" t="s">
        <v>4633</v>
      </c>
      <c r="H20100" s="2" t="s">
        <v>4634</v>
      </c>
    </row>
    <row r="20101" spans="1:8" ht="25.05" customHeight="1" x14ac:dyDescent="0.25">
      <c r="A20101" s="2" t="s">
        <v>8</v>
      </c>
      <c r="B20101" s="2" t="str">
        <f>HYPERLINK("http://ts.21cn.com/tousu/show/id/1352133","在线虾米存在砍头息，并且散布我个人信息")</f>
        <v>在线虾米存在砍头息，并且散布我个人信息</v>
      </c>
      <c r="C20101" s="2" t="s">
        <v>9</v>
      </c>
      <c r="D20101" s="2" t="s">
        <v>10</v>
      </c>
      <c r="E20101" s="2" t="str">
        <f>HYPERLINK("http://ts.21cn.com/tousu/show/id/1352133","http://ts.21cn.com/tousu/show/id/1352133")</f>
        <v>http://ts.21cn.com/tousu/show/id/1352133</v>
      </c>
      <c r="F20101" s="2" t="s">
        <v>11</v>
      </c>
      <c r="G20101" s="2" t="s">
        <v>4631</v>
      </c>
      <c r="H20101" s="2" t="s">
        <v>4632</v>
      </c>
    </row>
    <row r="20102" spans="1:8" ht="25.05" customHeight="1" x14ac:dyDescent="0.25">
      <c r="A20102" s="2" t="s">
        <v>8</v>
      </c>
      <c r="B20102" s="2" t="str">
        <f>HYPERLINK("http://ts.21cn.com/tousu/show/id/1352134","神州租车严重失责，胡乱扣费")</f>
        <v>神州租车严重失责，胡乱扣费</v>
      </c>
      <c r="C20102" s="2" t="s">
        <v>9</v>
      </c>
      <c r="D20102" s="2" t="s">
        <v>10</v>
      </c>
      <c r="E20102" s="2" t="str">
        <f>HYPERLINK("http://ts.21cn.com/tousu/show/id/1352134","http://ts.21cn.com/tousu/show/id/1352134")</f>
        <v>http://ts.21cn.com/tousu/show/id/1352134</v>
      </c>
      <c r="F20102" s="2" t="s">
        <v>11</v>
      </c>
      <c r="G20102" s="2" t="s">
        <v>4629</v>
      </c>
      <c r="H20102" s="2" t="s">
        <v>4630</v>
      </c>
    </row>
    <row r="20103" spans="1:8" ht="25.05" customHeight="1" x14ac:dyDescent="0.25">
      <c r="A20103" s="2" t="s">
        <v>8</v>
      </c>
      <c r="B20103" s="2" t="str">
        <f>HYPERLINK("http://ts.21cn.com/tousu/show/id/1352135","财仓库乱扣费")</f>
        <v>财仓库乱扣费</v>
      </c>
      <c r="C20103" s="2" t="s">
        <v>9</v>
      </c>
      <c r="D20103" s="2" t="s">
        <v>10</v>
      </c>
      <c r="E20103" s="2" t="str">
        <f>HYPERLINK("http://ts.21cn.com/tousu/show/id/1352135","http://ts.21cn.com/tousu/show/id/1352135")</f>
        <v>http://ts.21cn.com/tousu/show/id/1352135</v>
      </c>
      <c r="F20103" s="2" t="s">
        <v>11</v>
      </c>
      <c r="G20103" s="2" t="s">
        <v>4627</v>
      </c>
      <c r="H20103" s="2" t="s">
        <v>4628</v>
      </c>
    </row>
    <row r="20104" spans="1:8" ht="25.05" customHeight="1" x14ac:dyDescent="0.25">
      <c r="A20104" s="2" t="s">
        <v>8</v>
      </c>
      <c r="B20104" s="2" t="str">
        <f>HYPERLINK("http://ts.21cn.com/tousu/show/id/1352136","闪电借款砍头息收取不合理费用")</f>
        <v>闪电借款砍头息收取不合理费用</v>
      </c>
      <c r="C20104" s="2" t="s">
        <v>9</v>
      </c>
      <c r="D20104" s="2" t="s">
        <v>10</v>
      </c>
      <c r="E20104" s="2" t="str">
        <f>HYPERLINK("http://ts.21cn.com/tousu/show/id/1352136","http://ts.21cn.com/tousu/show/id/1352136")</f>
        <v>http://ts.21cn.com/tousu/show/id/1352136</v>
      </c>
      <c r="F20104" s="2" t="s">
        <v>11</v>
      </c>
      <c r="G20104" s="2" t="s">
        <v>4625</v>
      </c>
      <c r="H20104" s="2" t="s">
        <v>4626</v>
      </c>
    </row>
    <row r="20105" spans="1:8" ht="25.05" customHeight="1" x14ac:dyDescent="0.25">
      <c r="A20105" s="2" t="s">
        <v>8</v>
      </c>
      <c r="B20105" s="2" t="str">
        <f>HYPERLINK("http://ts.21cn.com/tousu/show/id/1352137","信而富连和中金支付，云南国际信托搞砍头息虚假购物")</f>
        <v>信而富连和中金支付，云南国际信托搞砍头息虚假购物</v>
      </c>
      <c r="C20105" s="2" t="s">
        <v>9</v>
      </c>
      <c r="D20105" s="2" t="s">
        <v>10</v>
      </c>
      <c r="E20105" s="2" t="str">
        <f>HYPERLINK("http://ts.21cn.com/tousu/show/id/1352137","http://ts.21cn.com/tousu/show/id/1352137")</f>
        <v>http://ts.21cn.com/tousu/show/id/1352137</v>
      </c>
      <c r="F20105" s="2" t="s">
        <v>11</v>
      </c>
      <c r="G20105" s="2" t="s">
        <v>4623</v>
      </c>
      <c r="H20105" s="2" t="s">
        <v>4624</v>
      </c>
    </row>
    <row r="20106" spans="1:8" ht="25.05" customHeight="1" x14ac:dyDescent="0.25">
      <c r="A20106" s="2" t="s">
        <v>8</v>
      </c>
      <c r="B20106" s="2" t="str">
        <f>HYPERLINK("http://ts.21cn.com/tousu/show/id/1352138","长城宽带官网付款安装宽带，付款前有咨询客服不说另外要安装费用，现在安装师傅上门要399的安装费用，不安装长城宽带不给退款")</f>
        <v>长城宽带官网付款安装宽带，付款前有咨询客服不说另外要安装费用，现在安装师傅上门要399的安装费用，不安装长城宽带不给退款</v>
      </c>
      <c r="C20106" s="2" t="s">
        <v>9</v>
      </c>
      <c r="D20106" s="2" t="s">
        <v>10</v>
      </c>
      <c r="E20106" s="2" t="str">
        <f>HYPERLINK("http://ts.21cn.com/tousu/show/id/1352138","http://ts.21cn.com/tousu/show/id/1352138")</f>
        <v>http://ts.21cn.com/tousu/show/id/1352138</v>
      </c>
      <c r="F20106" s="2" t="s">
        <v>11</v>
      </c>
      <c r="G20106" s="2" t="s">
        <v>4621</v>
      </c>
      <c r="H20106" s="2" t="s">
        <v>4622</v>
      </c>
    </row>
    <row r="20107" spans="1:8" ht="25.05" customHeight="1" x14ac:dyDescent="0.25">
      <c r="A20107" s="2" t="s">
        <v>8</v>
      </c>
      <c r="B20107" s="2" t="str">
        <f>HYPERLINK("http://ts.21cn.com/tousu/show/id/1352139","闪电借款砍头息变相高利贷")</f>
        <v>闪电借款砍头息变相高利贷</v>
      </c>
      <c r="C20107" s="2" t="s">
        <v>9</v>
      </c>
      <c r="D20107" s="2" t="s">
        <v>10</v>
      </c>
      <c r="E20107" s="2" t="str">
        <f>HYPERLINK("http://ts.21cn.com/tousu/show/id/1352139","http://ts.21cn.com/tousu/show/id/1352139")</f>
        <v>http://ts.21cn.com/tousu/show/id/1352139</v>
      </c>
      <c r="F20107" s="2" t="s">
        <v>11</v>
      </c>
      <c r="G20107" s="2" t="s">
        <v>4619</v>
      </c>
      <c r="H20107" s="2" t="s">
        <v>4620</v>
      </c>
    </row>
    <row r="20108" spans="1:8" ht="25.05" customHeight="1" x14ac:dyDescent="0.25">
      <c r="A20108" s="2" t="s">
        <v>8</v>
      </c>
      <c r="B20108" s="2" t="str">
        <f>HYPERLINK("http://ts.21cn.com/tousu/show/id/1352141","唯品会投诉专题")</f>
        <v>唯品会投诉专题</v>
      </c>
      <c r="C20108" s="2" t="s">
        <v>9</v>
      </c>
      <c r="D20108" s="2" t="s">
        <v>10</v>
      </c>
      <c r="E20108" s="2" t="str">
        <f>HYPERLINK("http://ts.21cn.com/tousu/show/id/1352141","http://ts.21cn.com/tousu/show/id/1352141")</f>
        <v>http://ts.21cn.com/tousu/show/id/1352141</v>
      </c>
      <c r="F20108" s="2" t="s">
        <v>11</v>
      </c>
      <c r="G20108" s="2" t="s">
        <v>4617</v>
      </c>
      <c r="H20108" s="2" t="s">
        <v>4618</v>
      </c>
    </row>
    <row r="20109" spans="1:8" ht="25.05" customHeight="1" x14ac:dyDescent="0.25">
      <c r="A20109" s="2" t="s">
        <v>8</v>
      </c>
      <c r="B20109" s="2" t="str">
        <f>HYPERLINK("http://ts.21cn.com/tousu/show/id/1352140","拍拍贷催收爆我通讯录，态度恶劣")</f>
        <v>拍拍贷催收爆我通讯录，态度恶劣</v>
      </c>
      <c r="C20109" s="2" t="s">
        <v>9</v>
      </c>
      <c r="D20109" s="2" t="s">
        <v>10</v>
      </c>
      <c r="E20109" s="2" t="str">
        <f>HYPERLINK("http://ts.21cn.com/tousu/show/id/1352140","http://ts.21cn.com/tousu/show/id/1352140")</f>
        <v>http://ts.21cn.com/tousu/show/id/1352140</v>
      </c>
      <c r="F20109" s="2" t="s">
        <v>11</v>
      </c>
      <c r="G20109" s="2" t="s">
        <v>4615</v>
      </c>
      <c r="H20109" s="2" t="s">
        <v>4616</v>
      </c>
    </row>
    <row r="20110" spans="1:8" ht="25.05" customHeight="1" x14ac:dyDescent="0.25">
      <c r="A20110" s="2" t="s">
        <v>8</v>
      </c>
      <c r="B20110" s="2" t="str">
        <f>HYPERLINK("http://ts.21cn.com/tousu/show/id/1352144","快递破损不赔偿并无人联系")</f>
        <v>快递破损不赔偿并无人联系</v>
      </c>
      <c r="C20110" s="2" t="s">
        <v>9</v>
      </c>
      <c r="D20110" s="2" t="s">
        <v>10</v>
      </c>
      <c r="E20110" s="2" t="str">
        <f>HYPERLINK("http://ts.21cn.com/tousu/show/id/1352144","http://ts.21cn.com/tousu/show/id/1352144")</f>
        <v>http://ts.21cn.com/tousu/show/id/1352144</v>
      </c>
      <c r="F20110" s="2" t="s">
        <v>11</v>
      </c>
      <c r="G20110" s="2" t="s">
        <v>4613</v>
      </c>
      <c r="H20110" s="2" t="s">
        <v>4614</v>
      </c>
    </row>
    <row r="20111" spans="1:8" ht="25.05" customHeight="1" x14ac:dyDescent="0.25">
      <c r="A20111" s="2" t="s">
        <v>8</v>
      </c>
      <c r="B20111" s="2" t="str">
        <f>HYPERLINK("http://ts.21cn.com/tousu/show/id/1352142","钱站高利贷阴阳合同")</f>
        <v>钱站高利贷阴阳合同</v>
      </c>
      <c r="C20111" s="2" t="s">
        <v>9</v>
      </c>
      <c r="D20111" s="2" t="s">
        <v>10</v>
      </c>
      <c r="E20111" s="2" t="str">
        <f>HYPERLINK("http://ts.21cn.com/tousu/show/id/1352142","http://ts.21cn.com/tousu/show/id/1352142")</f>
        <v>http://ts.21cn.com/tousu/show/id/1352142</v>
      </c>
      <c r="F20111" s="2" t="s">
        <v>11</v>
      </c>
      <c r="G20111" s="2" t="s">
        <v>4611</v>
      </c>
      <c r="H20111" s="2" t="s">
        <v>4612</v>
      </c>
    </row>
    <row r="20112" spans="1:8" ht="25.05" customHeight="1" x14ac:dyDescent="0.25">
      <c r="A20112" s="2" t="s">
        <v>8</v>
      </c>
      <c r="B20112" s="2" t="str">
        <f>HYPERLINK("http://ts.21cn.com/tousu/show/id/1352146","暴力催收")</f>
        <v>暴力催收</v>
      </c>
      <c r="C20112" s="2" t="s">
        <v>9</v>
      </c>
      <c r="D20112" s="2" t="s">
        <v>10</v>
      </c>
      <c r="E20112" s="2" t="str">
        <f>HYPERLINK("http://ts.21cn.com/tousu/show/id/1352146","http://ts.21cn.com/tousu/show/id/1352146")</f>
        <v>http://ts.21cn.com/tousu/show/id/1352146</v>
      </c>
      <c r="F20112" s="2" t="s">
        <v>11</v>
      </c>
      <c r="G20112" s="2" t="s">
        <v>4609</v>
      </c>
      <c r="H20112" s="2" t="s">
        <v>4610</v>
      </c>
    </row>
    <row r="20113" spans="1:8" ht="25.05" customHeight="1" x14ac:dyDescent="0.25">
      <c r="A20113" s="2" t="s">
        <v>8</v>
      </c>
      <c r="B20113" s="2" t="str">
        <f>HYPERLINK("http://ts.21cn.com/tousu/show/id/1352145","虫虫快借高利息天价砍头息")</f>
        <v>虫虫快借高利息天价砍头息</v>
      </c>
      <c r="C20113" s="2" t="s">
        <v>9</v>
      </c>
      <c r="D20113" s="2" t="s">
        <v>10</v>
      </c>
      <c r="E20113" s="2" t="str">
        <f>HYPERLINK("http://ts.21cn.com/tousu/show/id/1352145","http://ts.21cn.com/tousu/show/id/1352145")</f>
        <v>http://ts.21cn.com/tousu/show/id/1352145</v>
      </c>
      <c r="F20113" s="2" t="s">
        <v>11</v>
      </c>
      <c r="G20113" s="2" t="s">
        <v>4607</v>
      </c>
      <c r="H20113" s="2" t="s">
        <v>4608</v>
      </c>
    </row>
    <row r="20114" spans="1:8" ht="25.05" customHeight="1" x14ac:dyDescent="0.25">
      <c r="A20114" s="2" t="s">
        <v>8</v>
      </c>
      <c r="B20114" s="2" t="str">
        <f>HYPERLINK("http://ts.21cn.com/tousu/show/id/1352147","平安普惠贷款隐瞒隐藏并强制收取高额保险费管理费投诉事宜")</f>
        <v>平安普惠贷款隐瞒隐藏并强制收取高额保险费管理费投诉事宜</v>
      </c>
      <c r="C20114" s="2" t="s">
        <v>9</v>
      </c>
      <c r="D20114" s="2" t="s">
        <v>10</v>
      </c>
      <c r="E20114" s="2" t="str">
        <f>HYPERLINK("http://ts.21cn.com/tousu/show/id/1352147","http://ts.21cn.com/tousu/show/id/1352147")</f>
        <v>http://ts.21cn.com/tousu/show/id/1352147</v>
      </c>
      <c r="F20114" s="2" t="s">
        <v>11</v>
      </c>
      <c r="G20114" s="2" t="s">
        <v>4605</v>
      </c>
      <c r="H20114" s="2" t="s">
        <v>4606</v>
      </c>
    </row>
    <row r="20115" spans="1:8" ht="25.05" customHeight="1" x14ac:dyDescent="0.25">
      <c r="A20115" s="2" t="s">
        <v>8</v>
      </c>
      <c r="B20115" s="2" t="str">
        <f>HYPERLINK("http://ts.21cn.com/tousu/show/id/1352148","上海拍拍贷黑心高利贷")</f>
        <v>上海拍拍贷黑心高利贷</v>
      </c>
      <c r="C20115" s="2" t="s">
        <v>9</v>
      </c>
      <c r="D20115" s="2" t="s">
        <v>10</v>
      </c>
      <c r="E20115" s="2" t="str">
        <f>HYPERLINK("http://ts.21cn.com/tousu/show/id/1352148","http://ts.21cn.com/tousu/show/id/1352148")</f>
        <v>http://ts.21cn.com/tousu/show/id/1352148</v>
      </c>
      <c r="F20115" s="2" t="s">
        <v>11</v>
      </c>
      <c r="G20115" s="2" t="s">
        <v>4603</v>
      </c>
      <c r="H20115" s="2" t="s">
        <v>4604</v>
      </c>
    </row>
    <row r="20116" spans="1:8" ht="25.05" customHeight="1" x14ac:dyDescent="0.25">
      <c r="A20116" s="2" t="s">
        <v>8</v>
      </c>
      <c r="B20116" s="2" t="str">
        <f>HYPERLINK("http://ts.21cn.com/tousu/show/id/1352149","高利息骚扰亲朋好友私自拖车")</f>
        <v>高利息骚扰亲朋好友私自拖车</v>
      </c>
      <c r="C20116" s="2" t="s">
        <v>9</v>
      </c>
      <c r="D20116" s="2" t="s">
        <v>10</v>
      </c>
      <c r="E20116" s="2" t="str">
        <f>HYPERLINK("http://ts.21cn.com/tousu/show/id/1352149","http://ts.21cn.com/tousu/show/id/1352149")</f>
        <v>http://ts.21cn.com/tousu/show/id/1352149</v>
      </c>
      <c r="F20116" s="2" t="s">
        <v>11</v>
      </c>
      <c r="G20116" s="2" t="s">
        <v>4601</v>
      </c>
      <c r="H20116" s="2" t="s">
        <v>4602</v>
      </c>
    </row>
    <row r="20117" spans="1:8" ht="25.05" customHeight="1" x14ac:dyDescent="0.25">
      <c r="A20117" s="2" t="s">
        <v>8</v>
      </c>
      <c r="B20117" s="2" t="str">
        <f>HYPERLINK("http://ts.21cn.com/tousu/show/id/1352150","赣州宜信普惠公司高利贷，暴力催收")</f>
        <v>赣州宜信普惠公司高利贷，暴力催收</v>
      </c>
      <c r="C20117" s="2" t="s">
        <v>9</v>
      </c>
      <c r="D20117" s="2" t="s">
        <v>10</v>
      </c>
      <c r="E20117" s="2" t="str">
        <f>HYPERLINK("http://ts.21cn.com/tousu/show/id/1352150","http://ts.21cn.com/tousu/show/id/1352150")</f>
        <v>http://ts.21cn.com/tousu/show/id/1352150</v>
      </c>
      <c r="F20117" s="2" t="s">
        <v>11</v>
      </c>
      <c r="G20117" s="2" t="s">
        <v>4599</v>
      </c>
      <c r="H20117" s="2" t="s">
        <v>4600</v>
      </c>
    </row>
    <row r="20118" spans="1:8" ht="25.05" customHeight="1" x14ac:dyDescent="0.25">
      <c r="A20118" s="2" t="s">
        <v>8</v>
      </c>
      <c r="B20118" s="2" t="str">
        <f>HYPERLINK("http://ts.21cn.com/tousu/show/id/1352151","千鲜汇售后问题，找不到管理层解决")</f>
        <v>千鲜汇售后问题，找不到管理层解决</v>
      </c>
      <c r="C20118" s="2" t="s">
        <v>9</v>
      </c>
      <c r="D20118" s="2" t="s">
        <v>10</v>
      </c>
      <c r="E20118" s="2" t="str">
        <f>HYPERLINK("http://ts.21cn.com/tousu/show/id/1352151","http://ts.21cn.com/tousu/show/id/1352151")</f>
        <v>http://ts.21cn.com/tousu/show/id/1352151</v>
      </c>
      <c r="F20118" s="2" t="s">
        <v>11</v>
      </c>
      <c r="G20118" s="2" t="s">
        <v>4597</v>
      </c>
      <c r="H20118" s="2" t="s">
        <v>4598</v>
      </c>
    </row>
    <row r="20119" spans="1:8" ht="25.05" customHeight="1" x14ac:dyDescent="0.25">
      <c r="A20119" s="2" t="s">
        <v>8</v>
      </c>
      <c r="B20119" s="2" t="str">
        <f>HYPERLINK("http://ts.21cn.com/tousu/show/id/1352152","威胁恐吓")</f>
        <v>威胁恐吓</v>
      </c>
      <c r="C20119" s="2" t="s">
        <v>9</v>
      </c>
      <c r="D20119" s="2" t="s">
        <v>10</v>
      </c>
      <c r="E20119" s="2" t="str">
        <f>HYPERLINK("http://ts.21cn.com/tousu/show/id/1352152","http://ts.21cn.com/tousu/show/id/1352152")</f>
        <v>http://ts.21cn.com/tousu/show/id/1352152</v>
      </c>
      <c r="F20119" s="2" t="s">
        <v>11</v>
      </c>
      <c r="G20119" s="2" t="s">
        <v>4595</v>
      </c>
      <c r="H20119" s="2" t="s">
        <v>4596</v>
      </c>
    </row>
    <row r="20120" spans="1:8" ht="25.05" customHeight="1" x14ac:dyDescent="0.25">
      <c r="A20120" s="2" t="s">
        <v>8</v>
      </c>
      <c r="B20120" s="2" t="str">
        <f>HYPERLINK("http://ts.21cn.com/tousu/show/id/1352153","交通银行信用卡中心打骚扰电话")</f>
        <v>交通银行信用卡中心打骚扰电话</v>
      </c>
      <c r="C20120" s="2" t="s">
        <v>9</v>
      </c>
      <c r="D20120" s="2" t="s">
        <v>10</v>
      </c>
      <c r="E20120" s="2" t="str">
        <f>HYPERLINK("http://ts.21cn.com/tousu/show/id/1352153","http://ts.21cn.com/tousu/show/id/1352153")</f>
        <v>http://ts.21cn.com/tousu/show/id/1352153</v>
      </c>
      <c r="F20120" s="2" t="s">
        <v>11</v>
      </c>
      <c r="G20120" s="2" t="s">
        <v>4593</v>
      </c>
      <c r="H20120" s="2" t="s">
        <v>4594</v>
      </c>
    </row>
    <row r="20121" spans="1:8" ht="25.05" customHeight="1" x14ac:dyDescent="0.25">
      <c r="A20121" s="2" t="s">
        <v>8</v>
      </c>
      <c r="B20121" s="2" t="str">
        <f>HYPERLINK("http://ts.21cn.com/tousu/show/id/1352154","投诉人人贷注销账户需要提供手持身份证违法违规行为")</f>
        <v>投诉人人贷注销账户需要提供手持身份证违法违规行为</v>
      </c>
      <c r="C20121" s="2" t="s">
        <v>9</v>
      </c>
      <c r="D20121" s="2" t="s">
        <v>10</v>
      </c>
      <c r="E20121" s="2" t="str">
        <f>HYPERLINK("http://ts.21cn.com/tousu/show/id/1352154","http://ts.21cn.com/tousu/show/id/1352154")</f>
        <v>http://ts.21cn.com/tousu/show/id/1352154</v>
      </c>
      <c r="F20121" s="2" t="s">
        <v>11</v>
      </c>
      <c r="G20121" s="2" t="s">
        <v>4591</v>
      </c>
      <c r="H20121" s="2" t="s">
        <v>4592</v>
      </c>
    </row>
    <row r="20122" spans="1:8" ht="25.05" customHeight="1" x14ac:dyDescent="0.25">
      <c r="A20122" s="2" t="s">
        <v>8</v>
      </c>
      <c r="B20122" s="2" t="str">
        <f>HYPERLINK("http://ts.21cn.com/tousu/show/id/1352155","不经允许私自扣出我银行卡的钱")</f>
        <v>不经允许私自扣出我银行卡的钱</v>
      </c>
      <c r="C20122" s="2" t="s">
        <v>9</v>
      </c>
      <c r="D20122" s="2" t="s">
        <v>10</v>
      </c>
      <c r="E20122" s="2" t="str">
        <f>HYPERLINK("http://ts.21cn.com/tousu/show/id/1352155","http://ts.21cn.com/tousu/show/id/1352155")</f>
        <v>http://ts.21cn.com/tousu/show/id/1352155</v>
      </c>
      <c r="F20122" s="2" t="s">
        <v>11</v>
      </c>
      <c r="G20122" s="2" t="s">
        <v>4589</v>
      </c>
      <c r="H20122" s="2" t="s">
        <v>4590</v>
      </c>
    </row>
    <row r="20123" spans="1:8" ht="25.05" customHeight="1" x14ac:dyDescent="0.25">
      <c r="A20123" s="2" t="s">
        <v>8</v>
      </c>
      <c r="B20123" s="2" t="str">
        <f>HYPERLINK("http://ts.21cn.com/tousu/show/id/1352156","爆通讯录")</f>
        <v>爆通讯录</v>
      </c>
      <c r="C20123" s="2" t="s">
        <v>9</v>
      </c>
      <c r="D20123" s="2" t="s">
        <v>10</v>
      </c>
      <c r="E20123" s="2" t="str">
        <f>HYPERLINK("http://ts.21cn.com/tousu/show/id/1352156","http://ts.21cn.com/tousu/show/id/1352156")</f>
        <v>http://ts.21cn.com/tousu/show/id/1352156</v>
      </c>
      <c r="F20123" s="2" t="s">
        <v>11</v>
      </c>
      <c r="G20123" s="2" t="s">
        <v>4587</v>
      </c>
      <c r="H20123" s="2" t="s">
        <v>4588</v>
      </c>
    </row>
    <row r="20124" spans="1:8" ht="25.05" customHeight="1" x14ac:dyDescent="0.25">
      <c r="A20124" s="2" t="s">
        <v>8</v>
      </c>
      <c r="B20124" s="2" t="str">
        <f>HYPERLINK("http://ts.21cn.com/tousu/show/id/1352157","套路贷，阴阳合同")</f>
        <v>套路贷，阴阳合同</v>
      </c>
      <c r="C20124" s="2" t="s">
        <v>9</v>
      </c>
      <c r="D20124" s="2" t="s">
        <v>10</v>
      </c>
      <c r="E20124" s="2" t="str">
        <f>HYPERLINK("http://ts.21cn.com/tousu/show/id/1352157","http://ts.21cn.com/tousu/show/id/1352157")</f>
        <v>http://ts.21cn.com/tousu/show/id/1352157</v>
      </c>
      <c r="F20124" s="2" t="s">
        <v>11</v>
      </c>
      <c r="G20124" s="2" t="s">
        <v>4585</v>
      </c>
      <c r="H20124" s="2" t="s">
        <v>4586</v>
      </c>
    </row>
    <row r="20125" spans="1:8" ht="25.05" customHeight="1" x14ac:dyDescent="0.25">
      <c r="A20125" s="2" t="s">
        <v>8</v>
      </c>
      <c r="B20125" s="2" t="str">
        <f>HYPERLINK("http://ts.21cn.com/tousu/show/id/1352158","接不到单")</f>
        <v>接不到单</v>
      </c>
      <c r="C20125" s="2" t="s">
        <v>34</v>
      </c>
      <c r="D20125" s="2" t="s">
        <v>10</v>
      </c>
      <c r="E20125" s="2" t="str">
        <f>HYPERLINK("http://ts.21cn.com/tousu/show/id/1352158","http://ts.21cn.com/tousu/show/id/1352158")</f>
        <v>http://ts.21cn.com/tousu/show/id/1352158</v>
      </c>
      <c r="F20125" s="2" t="s">
        <v>11</v>
      </c>
      <c r="G20125" s="2" t="s">
        <v>4583</v>
      </c>
      <c r="H20125" s="2" t="s">
        <v>4584</v>
      </c>
    </row>
    <row r="20126" spans="1:8" ht="25.05" customHeight="1" x14ac:dyDescent="0.25">
      <c r="A20126" s="2" t="s">
        <v>8</v>
      </c>
      <c r="B20126" s="2" t="str">
        <f>HYPERLINK("http://ts.21cn.com/tousu/show/id/1352159","立借高利贷平台，借款4000，到账2600，爆通讯录，威胁家人，暴力催收！")</f>
        <v>立借高利贷平台，借款4000，到账2600，爆通讯录，威胁家人，暴力催收！</v>
      </c>
      <c r="C20126" s="2" t="s">
        <v>9</v>
      </c>
      <c r="D20126" s="2" t="s">
        <v>10</v>
      </c>
      <c r="E20126" s="2" t="str">
        <f>HYPERLINK("http://ts.21cn.com/tousu/show/id/1352159","http://ts.21cn.com/tousu/show/id/1352159")</f>
        <v>http://ts.21cn.com/tousu/show/id/1352159</v>
      </c>
      <c r="F20126" s="2" t="s">
        <v>11</v>
      </c>
      <c r="G20126" s="2" t="s">
        <v>4581</v>
      </c>
      <c r="H20126" s="2" t="s">
        <v>4582</v>
      </c>
    </row>
    <row r="20127" spans="1:8" ht="25.05" customHeight="1" x14ac:dyDescent="0.25">
      <c r="A20127" s="2" t="s">
        <v>8</v>
      </c>
      <c r="B20127" s="2" t="str">
        <f>HYPERLINK("http://ts.21cn.com/tousu/show/id/1352160","退款！阴阳合同")</f>
        <v>退款！阴阳合同</v>
      </c>
      <c r="C20127" s="2" t="s">
        <v>9</v>
      </c>
      <c r="D20127" s="2" t="s">
        <v>10</v>
      </c>
      <c r="E20127" s="2" t="str">
        <f>HYPERLINK("http://ts.21cn.com/tousu/show/id/1352160","http://ts.21cn.com/tousu/show/id/1352160")</f>
        <v>http://ts.21cn.com/tousu/show/id/1352160</v>
      </c>
      <c r="F20127" s="2" t="s">
        <v>11</v>
      </c>
      <c r="G20127" s="2" t="s">
        <v>4579</v>
      </c>
      <c r="H20127" s="2" t="s">
        <v>4580</v>
      </c>
    </row>
    <row r="20128" spans="1:8" ht="25.05" customHeight="1" x14ac:dyDescent="0.25">
      <c r="A20128" s="2" t="s">
        <v>8</v>
      </c>
      <c r="B20128" s="2" t="str">
        <f>HYPERLINK("http://ts.21cn.com/tousu/show/id/1352162","恒易贷让人恶意逾期收取高额利息")</f>
        <v>恒易贷让人恶意逾期收取高额利息</v>
      </c>
      <c r="C20128" s="2" t="s">
        <v>9</v>
      </c>
      <c r="D20128" s="2" t="s">
        <v>10</v>
      </c>
      <c r="E20128" s="2" t="str">
        <f>HYPERLINK("http://ts.21cn.com/tousu/show/id/1352162","http://ts.21cn.com/tousu/show/id/1352162")</f>
        <v>http://ts.21cn.com/tousu/show/id/1352162</v>
      </c>
      <c r="F20128" s="2" t="s">
        <v>11</v>
      </c>
      <c r="G20128" s="2" t="s">
        <v>4577</v>
      </c>
      <c r="H20128" s="2" t="s">
        <v>4578</v>
      </c>
    </row>
    <row r="20129" spans="1:8" ht="25.05" customHeight="1" x14ac:dyDescent="0.25">
      <c r="A20129" s="2" t="s">
        <v>8</v>
      </c>
      <c r="B20129" s="2" t="str">
        <f>HYPERLINK("http://ts.21cn.com/tousu/show/id/1352163","骚扰电话，影响生活")</f>
        <v>骚扰电话，影响生活</v>
      </c>
      <c r="C20129" s="2" t="s">
        <v>9</v>
      </c>
      <c r="D20129" s="2" t="s">
        <v>10</v>
      </c>
      <c r="E20129" s="2" t="str">
        <f>HYPERLINK("http://ts.21cn.com/tousu/show/id/1352163","http://ts.21cn.com/tousu/show/id/1352163")</f>
        <v>http://ts.21cn.com/tousu/show/id/1352163</v>
      </c>
      <c r="F20129" s="2" t="s">
        <v>11</v>
      </c>
      <c r="G20129" s="2" t="s">
        <v>4575</v>
      </c>
      <c r="H20129" s="2" t="s">
        <v>4576</v>
      </c>
    </row>
    <row r="20130" spans="1:8" ht="25.05" customHeight="1" x14ac:dyDescent="0.25">
      <c r="A20130" s="2" t="s">
        <v>8</v>
      </c>
      <c r="B20130" s="2" t="str">
        <f>HYPERLINK("http://ts.21cn.com/tousu/show/id/1352166","多扣钱")</f>
        <v>多扣钱</v>
      </c>
      <c r="C20130" s="2" t="s">
        <v>9</v>
      </c>
      <c r="D20130" s="2" t="s">
        <v>10</v>
      </c>
      <c r="E20130" s="2" t="str">
        <f>HYPERLINK("http://ts.21cn.com/tousu/show/id/1352166","http://ts.21cn.com/tousu/show/id/1352166")</f>
        <v>http://ts.21cn.com/tousu/show/id/1352166</v>
      </c>
      <c r="F20130" s="2" t="s">
        <v>11</v>
      </c>
      <c r="G20130" s="2" t="s">
        <v>4573</v>
      </c>
      <c r="H20130" s="2" t="s">
        <v>4574</v>
      </c>
    </row>
    <row r="20131" spans="1:8" ht="25.05" customHeight="1" x14ac:dyDescent="0.25">
      <c r="A20131" s="2" t="s">
        <v>8</v>
      </c>
      <c r="B20131" s="2" t="str">
        <f>HYPERLINK("http://ts.21cn.com/tousu/show/id/1352165","这个平台给我亲朋好友乱发信息")</f>
        <v>这个平台给我亲朋好友乱发信息</v>
      </c>
      <c r="C20131" s="2" t="s">
        <v>9</v>
      </c>
      <c r="D20131" s="2" t="s">
        <v>10</v>
      </c>
      <c r="E20131" s="2" t="str">
        <f>HYPERLINK("http://ts.21cn.com/tousu/show/id/1352165","http://ts.21cn.com/tousu/show/id/1352165")</f>
        <v>http://ts.21cn.com/tousu/show/id/1352165</v>
      </c>
      <c r="F20131" s="2" t="s">
        <v>11</v>
      </c>
      <c r="G20131" s="2" t="s">
        <v>4571</v>
      </c>
      <c r="H20131" s="2" t="s">
        <v>4572</v>
      </c>
    </row>
    <row r="20132" spans="1:8" ht="25.05" customHeight="1" x14ac:dyDescent="0.25">
      <c r="A20132" s="2" t="s">
        <v>8</v>
      </c>
      <c r="B20132" s="2" t="str">
        <f>HYPERLINK("http://ts.21cn.com/tousu/show/id/1352167","Videoleap恶意扣费")</f>
        <v>Videoleap恶意扣费</v>
      </c>
      <c r="C20132" s="2" t="s">
        <v>9</v>
      </c>
      <c r="D20132" s="2" t="s">
        <v>10</v>
      </c>
      <c r="E20132" s="2" t="str">
        <f>HYPERLINK("http://ts.21cn.com/tousu/show/id/1352167","http://ts.21cn.com/tousu/show/id/1352167")</f>
        <v>http://ts.21cn.com/tousu/show/id/1352167</v>
      </c>
      <c r="F20132" s="2" t="s">
        <v>11</v>
      </c>
      <c r="G20132" s="2" t="s">
        <v>4569</v>
      </c>
      <c r="H20132" s="2" t="s">
        <v>4570</v>
      </c>
    </row>
    <row r="20133" spans="1:8" ht="25.05" customHeight="1" x14ac:dyDescent="0.25">
      <c r="A20133" s="2" t="s">
        <v>8</v>
      </c>
      <c r="B20133" s="2" t="str">
        <f>HYPERLINK("http://ts.21cn.com/tousu/show/id/1352168","京东十一活动比平常贵")</f>
        <v>京东十一活动比平常贵</v>
      </c>
      <c r="C20133" s="2" t="s">
        <v>9</v>
      </c>
      <c r="D20133" s="2" t="s">
        <v>10</v>
      </c>
      <c r="E20133" s="2" t="str">
        <f>HYPERLINK("http://ts.21cn.com/tousu/show/id/1352168","http://ts.21cn.com/tousu/show/id/1352168")</f>
        <v>http://ts.21cn.com/tousu/show/id/1352168</v>
      </c>
      <c r="F20133" s="2" t="s">
        <v>11</v>
      </c>
      <c r="G20133" s="2" t="s">
        <v>4567</v>
      </c>
      <c r="H20133" s="2" t="s">
        <v>4568</v>
      </c>
    </row>
    <row r="20134" spans="1:8" ht="25.05" customHeight="1" x14ac:dyDescent="0.25">
      <c r="A20134" s="2" t="s">
        <v>8</v>
      </c>
      <c r="B20134" s="2" t="str">
        <f>HYPERLINK("http://ts.21cn.com/tousu/show/id/1352170","江苏银行出具结清证明速度太慢")</f>
        <v>江苏银行出具结清证明速度太慢</v>
      </c>
      <c r="C20134" s="2" t="s">
        <v>9</v>
      </c>
      <c r="D20134" s="2" t="s">
        <v>10</v>
      </c>
      <c r="E20134" s="2" t="str">
        <f>HYPERLINK("http://ts.21cn.com/tousu/show/id/1352170","http://ts.21cn.com/tousu/show/id/1352170")</f>
        <v>http://ts.21cn.com/tousu/show/id/1352170</v>
      </c>
      <c r="F20134" s="2" t="s">
        <v>11</v>
      </c>
      <c r="G20134" s="2" t="s">
        <v>4565</v>
      </c>
      <c r="H20134" s="2" t="s">
        <v>4566</v>
      </c>
    </row>
    <row r="20135" spans="1:8" ht="25.05" customHeight="1" x14ac:dyDescent="0.25">
      <c r="A20135" s="2" t="s">
        <v>8</v>
      </c>
      <c r="B20135" s="2" t="str">
        <f>HYPERLINK("http://ts.21cn.com/tousu/show/id/1352174","卡友支付刷卡不到账")</f>
        <v>卡友支付刷卡不到账</v>
      </c>
      <c r="C20135" s="2" t="s">
        <v>9</v>
      </c>
      <c r="D20135" s="2" t="s">
        <v>10</v>
      </c>
      <c r="E20135" s="2" t="str">
        <f>HYPERLINK("http://ts.21cn.com/tousu/show/id/1352174","http://ts.21cn.com/tousu/show/id/1352174")</f>
        <v>http://ts.21cn.com/tousu/show/id/1352174</v>
      </c>
      <c r="F20135" s="2" t="s">
        <v>11</v>
      </c>
      <c r="G20135" s="2" t="s">
        <v>4563</v>
      </c>
      <c r="H20135" s="2" t="s">
        <v>4564</v>
      </c>
    </row>
    <row r="20136" spans="1:8" ht="25.05" customHeight="1" x14ac:dyDescent="0.25">
      <c r="A20136" s="2" t="s">
        <v>8</v>
      </c>
      <c r="B20136" s="2" t="str">
        <f>HYPERLINK("http://ts.21cn.com/tousu/show/id/1352173","乱扣流量")</f>
        <v>乱扣流量</v>
      </c>
      <c r="C20136" s="2" t="s">
        <v>9</v>
      </c>
      <c r="D20136" s="2" t="s">
        <v>10</v>
      </c>
      <c r="E20136" s="2" t="str">
        <f>HYPERLINK("http://ts.21cn.com/tousu/show/id/1352173","http://ts.21cn.com/tousu/show/id/1352173")</f>
        <v>http://ts.21cn.com/tousu/show/id/1352173</v>
      </c>
      <c r="F20136" s="2" t="s">
        <v>11</v>
      </c>
      <c r="G20136" s="2" t="s">
        <v>4561</v>
      </c>
      <c r="H20136" s="2" t="s">
        <v>4562</v>
      </c>
    </row>
    <row r="20137" spans="1:8" ht="25.05" customHeight="1" x14ac:dyDescent="0.25">
      <c r="A20137" s="2" t="s">
        <v>8</v>
      </c>
      <c r="B20137" s="2" t="str">
        <f>HYPERLINK("http://ts.21cn.com/tousu/show/id/1352176","洋钱罐子属于高炮")</f>
        <v>洋钱罐子属于高炮</v>
      </c>
      <c r="C20137" s="2" t="s">
        <v>9</v>
      </c>
      <c r="D20137" s="2" t="s">
        <v>10</v>
      </c>
      <c r="E20137" s="2" t="str">
        <f>HYPERLINK("http://ts.21cn.com/tousu/show/id/1352176","http://ts.21cn.com/tousu/show/id/1352176")</f>
        <v>http://ts.21cn.com/tousu/show/id/1352176</v>
      </c>
      <c r="F20137" s="2" t="s">
        <v>11</v>
      </c>
      <c r="G20137" s="2" t="s">
        <v>4559</v>
      </c>
      <c r="H20137" s="2" t="s">
        <v>4560</v>
      </c>
    </row>
    <row r="20138" spans="1:8" ht="25.05" customHeight="1" x14ac:dyDescent="0.25">
      <c r="A20138" s="2" t="s">
        <v>8</v>
      </c>
      <c r="B20138" s="2" t="str">
        <f>HYPERLINK("http://ts.21cn.com/tousu/show/id/1352177","希望支付宝，微信联合整治7多这个违法高炮，不要再让其害人了")</f>
        <v>希望支付宝，微信联合整治7多这个违法高炮，不要再让其害人了</v>
      </c>
      <c r="C20138" s="2" t="s">
        <v>34</v>
      </c>
      <c r="D20138" s="2" t="s">
        <v>10</v>
      </c>
      <c r="E20138" s="2" t="str">
        <f>HYPERLINK("http://ts.21cn.com/tousu/show/id/1352177","http://ts.21cn.com/tousu/show/id/1352177")</f>
        <v>http://ts.21cn.com/tousu/show/id/1352177</v>
      </c>
      <c r="F20138" s="2" t="s">
        <v>11</v>
      </c>
      <c r="G20138" s="2" t="s">
        <v>4557</v>
      </c>
      <c r="H20138" s="2" t="s">
        <v>4558</v>
      </c>
    </row>
    <row r="20139" spans="1:8" ht="25.05" customHeight="1" x14ac:dyDescent="0.25">
      <c r="A20139" s="2" t="s">
        <v>8</v>
      </c>
      <c r="B20139" s="2" t="str">
        <f>HYPERLINK("http://ts.21cn.com/tousu/show/id/1352178","小当家无法还款")</f>
        <v>小当家无法还款</v>
      </c>
      <c r="C20139" s="2" t="s">
        <v>9</v>
      </c>
      <c r="D20139" s="2" t="s">
        <v>10</v>
      </c>
      <c r="E20139" s="2" t="str">
        <f>HYPERLINK("http://ts.21cn.com/tousu/show/id/1352178","http://ts.21cn.com/tousu/show/id/1352178")</f>
        <v>http://ts.21cn.com/tousu/show/id/1352178</v>
      </c>
      <c r="F20139" s="2" t="s">
        <v>11</v>
      </c>
      <c r="G20139" s="2" t="s">
        <v>4555</v>
      </c>
      <c r="H20139" s="2" t="s">
        <v>4556</v>
      </c>
    </row>
    <row r="20140" spans="1:8" ht="25.05" customHeight="1" x14ac:dyDescent="0.25">
      <c r="A20140" s="2" t="s">
        <v>8</v>
      </c>
      <c r="B20140" s="2" t="str">
        <f>HYPERLINK("http://ts.21cn.com/tousu/show/id/1352180","爱又米退199会员费")</f>
        <v>爱又米退199会员费</v>
      </c>
      <c r="C20140" s="2" t="s">
        <v>9</v>
      </c>
      <c r="D20140" s="2" t="s">
        <v>10</v>
      </c>
      <c r="E20140" s="2" t="str">
        <f>HYPERLINK("http://ts.21cn.com/tousu/show/id/1352180","http://ts.21cn.com/tousu/show/id/1352180")</f>
        <v>http://ts.21cn.com/tousu/show/id/1352180</v>
      </c>
      <c r="F20140" s="2" t="s">
        <v>11</v>
      </c>
      <c r="G20140" s="2" t="s">
        <v>4553</v>
      </c>
      <c r="H20140" s="2" t="s">
        <v>4554</v>
      </c>
    </row>
    <row r="20141" spans="1:8" ht="25.05" customHeight="1" x14ac:dyDescent="0.25">
      <c r="A20141" s="2" t="s">
        <v>8</v>
      </c>
      <c r="B20141" s="2" t="str">
        <f>HYPERLINK("http://ts.21cn.com/tousu/show/id/1352183","活力花是高利贷恶意侮辱")</f>
        <v>活力花是高利贷恶意侮辱</v>
      </c>
      <c r="C20141" s="2" t="s">
        <v>9</v>
      </c>
      <c r="D20141" s="2" t="s">
        <v>10</v>
      </c>
      <c r="E20141" s="2" t="str">
        <f>HYPERLINK("http://ts.21cn.com/tousu/show/id/1352183","http://ts.21cn.com/tousu/show/id/1352183")</f>
        <v>http://ts.21cn.com/tousu/show/id/1352183</v>
      </c>
      <c r="F20141" s="2" t="s">
        <v>11</v>
      </c>
      <c r="G20141" s="2" t="s">
        <v>4551</v>
      </c>
      <c r="H20141" s="2" t="s">
        <v>4552</v>
      </c>
    </row>
    <row r="20142" spans="1:8" ht="25.05" customHeight="1" x14ac:dyDescent="0.25">
      <c r="A20142" s="2" t="s">
        <v>8</v>
      </c>
      <c r="B20142" s="2" t="str">
        <f>HYPERLINK("http://ts.21cn.com/tousu/show/id/1352181","微博还款逾期利息太高")</f>
        <v>微博还款逾期利息太高</v>
      </c>
      <c r="C20142" s="2" t="s">
        <v>9</v>
      </c>
      <c r="D20142" s="2" t="s">
        <v>10</v>
      </c>
      <c r="E20142" s="2" t="str">
        <f>HYPERLINK("http://ts.21cn.com/tousu/show/id/1352181","http://ts.21cn.com/tousu/show/id/1352181")</f>
        <v>http://ts.21cn.com/tousu/show/id/1352181</v>
      </c>
      <c r="F20142" s="2" t="s">
        <v>11</v>
      </c>
      <c r="G20142" s="2" t="s">
        <v>4549</v>
      </c>
      <c r="H20142" s="2" t="s">
        <v>4550</v>
      </c>
    </row>
    <row r="20143" spans="1:8" ht="25.05" customHeight="1" x14ac:dyDescent="0.25">
      <c r="A20143" s="2" t="s">
        <v>8</v>
      </c>
      <c r="B20143" s="2" t="str">
        <f>HYPERLINK("http://ts.21cn.com/tousu/show/id/1352182","闪电借款恶意性骚扰")</f>
        <v>闪电借款恶意性骚扰</v>
      </c>
      <c r="C20143" s="2" t="s">
        <v>9</v>
      </c>
      <c r="D20143" s="2" t="s">
        <v>10</v>
      </c>
      <c r="E20143" s="2" t="str">
        <f>HYPERLINK("http://ts.21cn.com/tousu/show/id/1352182","http://ts.21cn.com/tousu/show/id/1352182")</f>
        <v>http://ts.21cn.com/tousu/show/id/1352182</v>
      </c>
      <c r="F20143" s="2" t="s">
        <v>11</v>
      </c>
      <c r="G20143" s="2" t="s">
        <v>4547</v>
      </c>
      <c r="H20143" s="2" t="s">
        <v>4548</v>
      </c>
    </row>
    <row r="20144" spans="1:8" ht="25.05" customHeight="1" x14ac:dyDescent="0.25">
      <c r="A20144" s="2" t="s">
        <v>8</v>
      </c>
      <c r="B20144" s="2" t="str">
        <f>HYPERLINK("http://ts.21cn.com/tousu/show/id/1352171","要求退款")</f>
        <v>要求退款</v>
      </c>
      <c r="C20144" s="2" t="s">
        <v>34</v>
      </c>
      <c r="D20144" s="2" t="s">
        <v>10</v>
      </c>
      <c r="E20144" s="2" t="str">
        <f>HYPERLINK("http://ts.21cn.com/tousu/show/id/1352171","http://ts.21cn.com/tousu/show/id/1352171")</f>
        <v>http://ts.21cn.com/tousu/show/id/1352171</v>
      </c>
      <c r="F20144" s="2" t="s">
        <v>11</v>
      </c>
      <c r="G20144" s="2" t="s">
        <v>4545</v>
      </c>
      <c r="H20144" s="2" t="s">
        <v>4546</v>
      </c>
    </row>
    <row r="20145" spans="1:8" ht="25.05" customHeight="1" x14ac:dyDescent="0.25">
      <c r="A20145" s="2" t="s">
        <v>8</v>
      </c>
      <c r="B20145" s="2" t="str">
        <f>HYPERLINK("http://ts.21cn.com/tousu/show/id/1352184","交通银行信用卡逾期，暴力催收，请求协商还款")</f>
        <v>交通银行信用卡逾期，暴力催收，请求协商还款</v>
      </c>
      <c r="C20145" s="2" t="s">
        <v>9</v>
      </c>
      <c r="D20145" s="2" t="s">
        <v>10</v>
      </c>
      <c r="E20145" s="2" t="str">
        <f>HYPERLINK("http://ts.21cn.com/tousu/show/id/1352184","http://ts.21cn.com/tousu/show/id/1352184")</f>
        <v>http://ts.21cn.com/tousu/show/id/1352184</v>
      </c>
      <c r="F20145" s="2" t="s">
        <v>11</v>
      </c>
      <c r="G20145" s="2" t="s">
        <v>4543</v>
      </c>
      <c r="H20145" s="2" t="s">
        <v>4544</v>
      </c>
    </row>
    <row r="20146" spans="1:8" ht="25.05" customHeight="1" x14ac:dyDescent="0.25">
      <c r="A20146" s="2" t="s">
        <v>8</v>
      </c>
      <c r="B20146" s="2" t="str">
        <f>HYPERLINK("http://ts.21cn.com/tousu/show/id/1352185","黑心高利贷网贷")</f>
        <v>黑心高利贷网贷</v>
      </c>
      <c r="C20146" s="2" t="s">
        <v>9</v>
      </c>
      <c r="D20146" s="2" t="s">
        <v>10</v>
      </c>
      <c r="E20146" s="2" t="str">
        <f>HYPERLINK("http://ts.21cn.com/tousu/show/id/1352185","http://ts.21cn.com/tousu/show/id/1352185")</f>
        <v>http://ts.21cn.com/tousu/show/id/1352185</v>
      </c>
      <c r="F20146" s="2" t="s">
        <v>11</v>
      </c>
      <c r="G20146" s="2" t="s">
        <v>4541</v>
      </c>
      <c r="H20146" s="2" t="s">
        <v>4542</v>
      </c>
    </row>
    <row r="20147" spans="1:8" ht="25.05" customHeight="1" x14ac:dyDescent="0.25">
      <c r="A20147" s="2" t="s">
        <v>8</v>
      </c>
      <c r="B20147" s="2" t="str">
        <f>HYPERLINK("http://ts.21cn.com/tousu/show/id/1352186","暴力催收")</f>
        <v>暴力催收</v>
      </c>
      <c r="C20147" s="2" t="s">
        <v>9</v>
      </c>
      <c r="D20147" s="2" t="s">
        <v>10</v>
      </c>
      <c r="E20147" s="2" t="str">
        <f>HYPERLINK("http://ts.21cn.com/tousu/show/id/1352186","http://ts.21cn.com/tousu/show/id/1352186")</f>
        <v>http://ts.21cn.com/tousu/show/id/1352186</v>
      </c>
      <c r="F20147" s="2" t="s">
        <v>11</v>
      </c>
      <c r="G20147" s="2" t="s">
        <v>4539</v>
      </c>
      <c r="H20147" s="2" t="s">
        <v>4540</v>
      </c>
    </row>
    <row r="20148" spans="1:8" ht="25.05" customHeight="1" x14ac:dyDescent="0.25">
      <c r="A20148" s="2" t="s">
        <v>8</v>
      </c>
      <c r="B20148" s="2" t="str">
        <f>HYPERLINK("http://ts.21cn.com/tousu/show/id/1352187","小浦优客未经同意扣款")</f>
        <v>小浦优客未经同意扣款</v>
      </c>
      <c r="C20148" s="2" t="s">
        <v>9</v>
      </c>
      <c r="D20148" s="2" t="s">
        <v>10</v>
      </c>
      <c r="E20148" s="2" t="str">
        <f>HYPERLINK("http://ts.21cn.com/tousu/show/id/1352187","http://ts.21cn.com/tousu/show/id/1352187")</f>
        <v>http://ts.21cn.com/tousu/show/id/1352187</v>
      </c>
      <c r="F20148" s="2" t="s">
        <v>11</v>
      </c>
      <c r="G20148" s="2" t="s">
        <v>4537</v>
      </c>
      <c r="H20148" s="2" t="s">
        <v>4538</v>
      </c>
    </row>
    <row r="20149" spans="1:8" ht="25.05" customHeight="1" x14ac:dyDescent="0.25">
      <c r="A20149" s="2" t="s">
        <v>8</v>
      </c>
      <c r="B20149" s="2" t="str">
        <f>HYPERLINK("http://ts.21cn.com/tousu/show/id/1352188","龙行管家误导消费者办卡")</f>
        <v>龙行管家误导消费者办卡</v>
      </c>
      <c r="C20149" s="2" t="s">
        <v>9</v>
      </c>
      <c r="D20149" s="2" t="s">
        <v>10</v>
      </c>
      <c r="E20149" s="2" t="str">
        <f>HYPERLINK("http://ts.21cn.com/tousu/show/id/1352188","http://ts.21cn.com/tousu/show/id/1352188")</f>
        <v>http://ts.21cn.com/tousu/show/id/1352188</v>
      </c>
      <c r="F20149" s="2" t="s">
        <v>11</v>
      </c>
      <c r="G20149" s="2" t="s">
        <v>4535</v>
      </c>
      <c r="H20149" s="2" t="s">
        <v>4536</v>
      </c>
    </row>
    <row r="20150" spans="1:8" ht="25.05" customHeight="1" x14ac:dyDescent="0.25">
      <c r="A20150" s="2" t="s">
        <v>8</v>
      </c>
      <c r="B20150" s="2" t="str">
        <f>HYPERLINK("http://ts.21cn.com/tousu/show/id/1352189","到账2600还款要3900")</f>
        <v>到账2600还款要3900</v>
      </c>
      <c r="C20150" s="2" t="s">
        <v>9</v>
      </c>
      <c r="D20150" s="2" t="s">
        <v>10</v>
      </c>
      <c r="E20150" s="2" t="str">
        <f>HYPERLINK("http://ts.21cn.com/tousu/show/id/1352189","http://ts.21cn.com/tousu/show/id/1352189")</f>
        <v>http://ts.21cn.com/tousu/show/id/1352189</v>
      </c>
      <c r="F20150" s="2" t="s">
        <v>11</v>
      </c>
      <c r="G20150" s="2" t="s">
        <v>4533</v>
      </c>
      <c r="H20150" s="2" t="s">
        <v>4534</v>
      </c>
    </row>
    <row r="20151" spans="1:8" ht="25.05" customHeight="1" x14ac:dyDescent="0.25">
      <c r="A20151" s="2" t="s">
        <v>8</v>
      </c>
      <c r="B20151" s="2" t="str">
        <f>HYPERLINK("http://ts.21cn.com/tousu/show/id/1352191","立马进钱呆呆苞App崩溃导致高额逾期费用及暴力催收")</f>
        <v>立马进钱呆呆苞App崩溃导致高额逾期费用及暴力催收</v>
      </c>
      <c r="C20151" s="2" t="s">
        <v>9</v>
      </c>
      <c r="D20151" s="2" t="s">
        <v>10</v>
      </c>
      <c r="E20151" s="2" t="str">
        <f>HYPERLINK("http://ts.21cn.com/tousu/show/id/1352191","http://ts.21cn.com/tousu/show/id/1352191")</f>
        <v>http://ts.21cn.com/tousu/show/id/1352191</v>
      </c>
      <c r="F20151" s="2" t="s">
        <v>11</v>
      </c>
      <c r="G20151" s="2" t="s">
        <v>4531</v>
      </c>
      <c r="H20151" s="2" t="s">
        <v>4532</v>
      </c>
    </row>
    <row r="20152" spans="1:8" ht="25.05" customHeight="1" x14ac:dyDescent="0.25">
      <c r="A20152" s="2" t="s">
        <v>8</v>
      </c>
      <c r="B20152" s="2" t="str">
        <f>HYPERLINK("http://ts.21cn.com/tousu/show/id/1352190","投诉银生宝联系商家让我撤诉不给退款")</f>
        <v>投诉银生宝联系商家让我撤诉不给退款</v>
      </c>
      <c r="C20152" s="2" t="s">
        <v>9</v>
      </c>
      <c r="D20152" s="2" t="s">
        <v>10</v>
      </c>
      <c r="E20152" s="2" t="str">
        <f>HYPERLINK("http://ts.21cn.com/tousu/show/id/1352190","http://ts.21cn.com/tousu/show/id/1352190")</f>
        <v>http://ts.21cn.com/tousu/show/id/1352190</v>
      </c>
      <c r="F20152" s="2" t="s">
        <v>11</v>
      </c>
      <c r="G20152" s="2" t="s">
        <v>4529</v>
      </c>
      <c r="H20152" s="2" t="s">
        <v>4530</v>
      </c>
    </row>
    <row r="20153" spans="1:8" ht="25.05" customHeight="1" x14ac:dyDescent="0.25">
      <c r="A20153" s="2" t="s">
        <v>8</v>
      </c>
      <c r="B20153" s="2" t="str">
        <f>HYPERLINK("http://ts.21cn.com/tousu/show/id/1352192","汇潮支付为高利贷小黑鲨提供放款通道")</f>
        <v>汇潮支付为高利贷小黑鲨提供放款通道</v>
      </c>
      <c r="C20153" s="2" t="s">
        <v>9</v>
      </c>
      <c r="D20153" s="2" t="s">
        <v>10</v>
      </c>
      <c r="E20153" s="2" t="str">
        <f>HYPERLINK("http://ts.21cn.com/tousu/show/id/1352192","http://ts.21cn.com/tousu/show/id/1352192")</f>
        <v>http://ts.21cn.com/tousu/show/id/1352192</v>
      </c>
      <c r="F20153" s="2" t="s">
        <v>11</v>
      </c>
      <c r="G20153" s="2" t="s">
        <v>4527</v>
      </c>
      <c r="H20153" s="2" t="s">
        <v>4528</v>
      </c>
    </row>
    <row r="20154" spans="1:8" ht="25.05" customHeight="1" x14ac:dyDescent="0.25">
      <c r="A20154" s="2" t="s">
        <v>8</v>
      </c>
      <c r="B20154" s="2" t="str">
        <f>HYPERLINK("http://ts.21cn.com/tousu/show/id/1352196","米米罐骚扰")</f>
        <v>米米罐骚扰</v>
      </c>
      <c r="C20154" s="2" t="s">
        <v>9</v>
      </c>
      <c r="D20154" s="2" t="s">
        <v>10</v>
      </c>
      <c r="E20154" s="2" t="str">
        <f>HYPERLINK("http://ts.21cn.com/tousu/show/id/1352196","http://ts.21cn.com/tousu/show/id/1352196")</f>
        <v>http://ts.21cn.com/tousu/show/id/1352196</v>
      </c>
      <c r="F20154" s="2" t="s">
        <v>11</v>
      </c>
      <c r="G20154" s="2" t="s">
        <v>4525</v>
      </c>
      <c r="H20154" s="2" t="s">
        <v>4526</v>
      </c>
    </row>
    <row r="20155" spans="1:8" ht="25.05" customHeight="1" x14ac:dyDescent="0.25">
      <c r="A20155" s="2" t="s">
        <v>8</v>
      </c>
      <c r="B20155" s="2" t="str">
        <f>HYPERLINK("http://ts.21cn.com/tousu/show/id/1352193","掌众金服闪电借款，借款时提示购买财神黑卡1440元，购买后借款限制，退款要托好几天，已发布")</f>
        <v>掌众金服闪电借款，借款时提示购买财神黑卡1440元，购买后借款限制，退款要托好几天，已发布</v>
      </c>
      <c r="C20155" s="2" t="s">
        <v>34</v>
      </c>
      <c r="D20155" s="2" t="s">
        <v>10</v>
      </c>
      <c r="E20155" s="2" t="str">
        <f>HYPERLINK("http://ts.21cn.com/tousu/show/id/1352193","http://ts.21cn.com/tousu/show/id/1352193")</f>
        <v>http://ts.21cn.com/tousu/show/id/1352193</v>
      </c>
      <c r="F20155" s="2" t="s">
        <v>11</v>
      </c>
      <c r="G20155" s="2" t="s">
        <v>4523</v>
      </c>
      <c r="H20155" s="2" t="s">
        <v>4524</v>
      </c>
    </row>
    <row r="20156" spans="1:8" ht="25.05" customHeight="1" x14ac:dyDescent="0.25">
      <c r="A20156" s="2" t="s">
        <v>8</v>
      </c>
      <c r="B20156" s="2" t="str">
        <f>HYPERLINK("http://ts.21cn.com/tousu/show/id/1352194","中信信用卡暴力催收")</f>
        <v>中信信用卡暴力催收</v>
      </c>
      <c r="C20156" s="2" t="s">
        <v>9</v>
      </c>
      <c r="D20156" s="2" t="s">
        <v>10</v>
      </c>
      <c r="E20156" s="2" t="str">
        <f>HYPERLINK("http://ts.21cn.com/tousu/show/id/1352194","http://ts.21cn.com/tousu/show/id/1352194")</f>
        <v>http://ts.21cn.com/tousu/show/id/1352194</v>
      </c>
      <c r="F20156" s="2" t="s">
        <v>11</v>
      </c>
      <c r="G20156" s="2" t="s">
        <v>4521</v>
      </c>
      <c r="H20156" s="2" t="s">
        <v>4522</v>
      </c>
    </row>
    <row r="20157" spans="1:8" ht="25.05" customHeight="1" x14ac:dyDescent="0.25">
      <c r="A20157" s="2" t="s">
        <v>8</v>
      </c>
      <c r="B20157" s="2" t="str">
        <f>HYPERLINK("http://ts.21cn.com/tousu/show/id/1352195","移动套餐套路钱")</f>
        <v>移动套餐套路钱</v>
      </c>
      <c r="C20157" s="2" t="s">
        <v>9</v>
      </c>
      <c r="D20157" s="2" t="s">
        <v>10</v>
      </c>
      <c r="E20157" s="2" t="str">
        <f>HYPERLINK("http://ts.21cn.com/tousu/show/id/1352195","http://ts.21cn.com/tousu/show/id/1352195")</f>
        <v>http://ts.21cn.com/tousu/show/id/1352195</v>
      </c>
      <c r="F20157" s="2" t="s">
        <v>11</v>
      </c>
      <c r="G20157" s="2" t="s">
        <v>4519</v>
      </c>
      <c r="H20157" s="2" t="s">
        <v>4520</v>
      </c>
    </row>
    <row r="20158" spans="1:8" ht="25.05" customHeight="1" x14ac:dyDescent="0.25">
      <c r="A20158" s="2" t="s">
        <v>8</v>
      </c>
      <c r="B20158" s="2" t="str">
        <f>HYPERLINK("http://ts.21cn.com/tousu/show/id/1352197","被盗刷恶意扣款")</f>
        <v>被盗刷恶意扣款</v>
      </c>
      <c r="C20158" s="2" t="s">
        <v>9</v>
      </c>
      <c r="D20158" s="2" t="s">
        <v>10</v>
      </c>
      <c r="E20158" s="2" t="str">
        <f>HYPERLINK("http://ts.21cn.com/tousu/show/id/1352197","http://ts.21cn.com/tousu/show/id/1352197")</f>
        <v>http://ts.21cn.com/tousu/show/id/1352197</v>
      </c>
      <c r="F20158" s="2" t="s">
        <v>11</v>
      </c>
      <c r="G20158" s="2" t="s">
        <v>4517</v>
      </c>
      <c r="H20158" s="2" t="s">
        <v>4518</v>
      </c>
    </row>
    <row r="20159" spans="1:8" ht="25.05" customHeight="1" x14ac:dyDescent="0.25">
      <c r="A20159" s="2" t="s">
        <v>8</v>
      </c>
      <c r="B20159" s="2" t="str">
        <f>HYPERLINK("http://ts.21cn.com/tousu/show/id/1352198","催收暴力")</f>
        <v>催收暴力</v>
      </c>
      <c r="C20159" s="2" t="s">
        <v>9</v>
      </c>
      <c r="D20159" s="2" t="s">
        <v>10</v>
      </c>
      <c r="E20159" s="2" t="str">
        <f>HYPERLINK("http://ts.21cn.com/tousu/show/id/1352198","http://ts.21cn.com/tousu/show/id/1352198")</f>
        <v>http://ts.21cn.com/tousu/show/id/1352198</v>
      </c>
      <c r="F20159" s="2" t="s">
        <v>11</v>
      </c>
      <c r="G20159" s="2" t="s">
        <v>4515</v>
      </c>
      <c r="H20159" s="2" t="s">
        <v>4516</v>
      </c>
    </row>
    <row r="20160" spans="1:8" ht="25.05" customHeight="1" x14ac:dyDescent="0.25">
      <c r="A20160" s="2" t="s">
        <v>8</v>
      </c>
      <c r="B20160" s="2" t="str">
        <f>HYPERLINK("http://ts.21cn.com/tousu/show/id/1352201","MY钱包强制读取通讯录家人朋友号码，威胁爆通讯录。")</f>
        <v>MY钱包强制读取通讯录家人朋友号码，威胁爆通讯录。</v>
      </c>
      <c r="C20160" s="2" t="s">
        <v>9</v>
      </c>
      <c r="D20160" s="2" t="s">
        <v>10</v>
      </c>
      <c r="E20160" s="2" t="str">
        <f>HYPERLINK("http://ts.21cn.com/tousu/show/id/1352201","http://ts.21cn.com/tousu/show/id/1352201")</f>
        <v>http://ts.21cn.com/tousu/show/id/1352201</v>
      </c>
      <c r="F20160" s="2" t="s">
        <v>11</v>
      </c>
      <c r="G20160" s="2" t="s">
        <v>4513</v>
      </c>
      <c r="H20160" s="2" t="s">
        <v>4514</v>
      </c>
    </row>
    <row r="20161" spans="1:8" ht="25.05" customHeight="1" x14ac:dyDescent="0.25">
      <c r="A20161" s="2" t="s">
        <v>8</v>
      </c>
      <c r="B20161" s="2" t="str">
        <f>HYPERLINK("http://ts.21cn.com/tousu/show/id/1352199","714高炮")</f>
        <v>714高炮</v>
      </c>
      <c r="C20161" s="2" t="s">
        <v>34</v>
      </c>
      <c r="D20161" s="2" t="s">
        <v>10</v>
      </c>
      <c r="E20161" s="2" t="str">
        <f>HYPERLINK("http://ts.21cn.com/tousu/show/id/1352199","http://ts.21cn.com/tousu/show/id/1352199")</f>
        <v>http://ts.21cn.com/tousu/show/id/1352199</v>
      </c>
      <c r="F20161" s="2" t="s">
        <v>11</v>
      </c>
      <c r="G20161" s="2" t="s">
        <v>4511</v>
      </c>
      <c r="H20161" s="2" t="s">
        <v>4512</v>
      </c>
    </row>
    <row r="20162" spans="1:8" ht="25.05" customHeight="1" x14ac:dyDescent="0.25">
      <c r="A20162" s="2" t="s">
        <v>8</v>
      </c>
      <c r="B20162" s="2" t="str">
        <f>HYPERLINK("http://ts.21cn.com/tousu/show/id/1352200","恳求平安银行信用卡办理分期")</f>
        <v>恳求平安银行信用卡办理分期</v>
      </c>
      <c r="C20162" s="2" t="s">
        <v>9</v>
      </c>
      <c r="D20162" s="2" t="s">
        <v>10</v>
      </c>
      <c r="E20162" s="2" t="str">
        <f>HYPERLINK("http://ts.21cn.com/tousu/show/id/1352200","http://ts.21cn.com/tousu/show/id/1352200")</f>
        <v>http://ts.21cn.com/tousu/show/id/1352200</v>
      </c>
      <c r="F20162" s="2" t="s">
        <v>11</v>
      </c>
      <c r="G20162" s="2" t="s">
        <v>4509</v>
      </c>
      <c r="H20162" s="2" t="s">
        <v>4510</v>
      </c>
    </row>
    <row r="20163" spans="1:8" ht="25.05" customHeight="1" x14ac:dyDescent="0.25">
      <c r="A20163" s="2" t="s">
        <v>8</v>
      </c>
      <c r="B20163" s="2" t="str">
        <f>HYPERLINK("http://ts.21cn.com/tousu/show/id/1352202","现金借款暴力催收")</f>
        <v>现金借款暴力催收</v>
      </c>
      <c r="C20163" s="2" t="s">
        <v>9</v>
      </c>
      <c r="D20163" s="2" t="s">
        <v>10</v>
      </c>
      <c r="E20163" s="2" t="str">
        <f>HYPERLINK("http://ts.21cn.com/tousu/show/id/1352202","http://ts.21cn.com/tousu/show/id/1352202")</f>
        <v>http://ts.21cn.com/tousu/show/id/1352202</v>
      </c>
      <c r="F20163" s="2" t="s">
        <v>11</v>
      </c>
      <c r="G20163" s="2" t="s">
        <v>4507</v>
      </c>
      <c r="H20163" s="2" t="s">
        <v>4508</v>
      </c>
    </row>
    <row r="20164" spans="1:8" ht="25.05" customHeight="1" x14ac:dyDescent="0.25">
      <c r="A20164" s="2" t="s">
        <v>8</v>
      </c>
      <c r="B20164" s="2" t="str">
        <f>HYPERLINK("http://ts.21cn.com/tousu/show/id/1352205","被360借款坑了")</f>
        <v>被360借款坑了</v>
      </c>
      <c r="C20164" s="2" t="s">
        <v>9</v>
      </c>
      <c r="D20164" s="2" t="s">
        <v>10</v>
      </c>
      <c r="E20164" s="2" t="str">
        <f>HYPERLINK("http://ts.21cn.com/tousu/show/id/1352205","http://ts.21cn.com/tousu/show/id/1352205")</f>
        <v>http://ts.21cn.com/tousu/show/id/1352205</v>
      </c>
      <c r="F20164" s="2" t="s">
        <v>11</v>
      </c>
      <c r="G20164" s="2" t="s">
        <v>4506</v>
      </c>
      <c r="H20164" s="2" t="s">
        <v>4411</v>
      </c>
    </row>
    <row r="20165" spans="1:8" ht="25.05" customHeight="1" x14ac:dyDescent="0.25">
      <c r="A20165" s="2" t="s">
        <v>8</v>
      </c>
      <c r="B20165" s="2" t="str">
        <f>HYPERLINK("http://ts.21cn.com/tousu/show/id/1352204","熊猫公寓北工大店不退押金")</f>
        <v>熊猫公寓北工大店不退押金</v>
      </c>
      <c r="C20165" s="2" t="s">
        <v>9</v>
      </c>
      <c r="D20165" s="2" t="s">
        <v>10</v>
      </c>
      <c r="E20165" s="2" t="str">
        <f>HYPERLINK("http://ts.21cn.com/tousu/show/id/1352204","http://ts.21cn.com/tousu/show/id/1352204")</f>
        <v>http://ts.21cn.com/tousu/show/id/1352204</v>
      </c>
      <c r="F20165" s="2" t="s">
        <v>11</v>
      </c>
      <c r="G20165" s="2" t="s">
        <v>4504</v>
      </c>
      <c r="H20165" s="2" t="s">
        <v>4505</v>
      </c>
    </row>
    <row r="20166" spans="1:8" ht="25.05" customHeight="1" x14ac:dyDescent="0.25">
      <c r="A20166" s="2" t="s">
        <v>8</v>
      </c>
      <c r="B20166" s="2" t="str">
        <f>HYPERLINK("http://ts.21cn.com/tousu/show/id/1352206","唯品会购买服装短期内价格浮动巨大，商家不予处理")</f>
        <v>唯品会购买服装短期内价格浮动巨大，商家不予处理</v>
      </c>
      <c r="C20166" s="2" t="s">
        <v>9</v>
      </c>
      <c r="D20166" s="2" t="s">
        <v>10</v>
      </c>
      <c r="E20166" s="2" t="str">
        <f>HYPERLINK("http://ts.21cn.com/tousu/show/id/1352206","http://ts.21cn.com/tousu/show/id/1352206")</f>
        <v>http://ts.21cn.com/tousu/show/id/1352206</v>
      </c>
      <c r="F20166" s="2" t="s">
        <v>11</v>
      </c>
      <c r="G20166" s="2" t="s">
        <v>4502</v>
      </c>
      <c r="H20166" s="2" t="s">
        <v>4503</v>
      </c>
    </row>
    <row r="20167" spans="1:8" ht="25.05" customHeight="1" x14ac:dyDescent="0.25">
      <c r="A20167" s="2" t="s">
        <v>8</v>
      </c>
      <c r="B20167" s="2" t="str">
        <f>HYPERLINK("http://ts.21cn.com/tousu/show/id/1352208","哈喽顺风车兜客导致飞机延误，平台不管不顾")</f>
        <v>哈喽顺风车兜客导致飞机延误，平台不管不顾</v>
      </c>
      <c r="C20167" s="2" t="s">
        <v>9</v>
      </c>
      <c r="D20167" s="2" t="s">
        <v>10</v>
      </c>
      <c r="E20167" s="2" t="str">
        <f>HYPERLINK("http://ts.21cn.com/tousu/show/id/1352208","http://ts.21cn.com/tousu/show/id/1352208")</f>
        <v>http://ts.21cn.com/tousu/show/id/1352208</v>
      </c>
      <c r="F20167" s="2" t="s">
        <v>11</v>
      </c>
      <c r="G20167" s="2" t="s">
        <v>4500</v>
      </c>
      <c r="H20167" s="2" t="s">
        <v>4501</v>
      </c>
    </row>
    <row r="20168" spans="1:8" ht="25.05" customHeight="1" x14ac:dyDescent="0.25">
      <c r="A20168" s="2" t="s">
        <v>8</v>
      </c>
      <c r="B20168" s="2" t="str">
        <f>HYPERLINK("http://ts.21cn.com/tousu/show/id/1352207","月光侠-吃人的高利贷")</f>
        <v>月光侠-吃人的高利贷</v>
      </c>
      <c r="C20168" s="2" t="s">
        <v>9</v>
      </c>
      <c r="D20168" s="2" t="s">
        <v>10</v>
      </c>
      <c r="E20168" s="2" t="str">
        <f>HYPERLINK("http://ts.21cn.com/tousu/show/id/1352207","http://ts.21cn.com/tousu/show/id/1352207")</f>
        <v>http://ts.21cn.com/tousu/show/id/1352207</v>
      </c>
      <c r="F20168" s="2" t="s">
        <v>11</v>
      </c>
      <c r="G20168" s="2" t="s">
        <v>4498</v>
      </c>
      <c r="H20168" s="2" t="s">
        <v>4499</v>
      </c>
    </row>
    <row r="20169" spans="1:8" ht="25.05" customHeight="1" x14ac:dyDescent="0.25">
      <c r="A20169" s="2" t="s">
        <v>8</v>
      </c>
      <c r="B20169" s="2" t="str">
        <f>HYPERLINK("http://ts.21cn.com/tousu/show/id/1352209","宜信公司催贷骚扰亲戚朋友")</f>
        <v>宜信公司催贷骚扰亲戚朋友</v>
      </c>
      <c r="C20169" s="2" t="s">
        <v>9</v>
      </c>
      <c r="D20169" s="2" t="s">
        <v>10</v>
      </c>
      <c r="E20169" s="2" t="str">
        <f>HYPERLINK("http://ts.21cn.com/tousu/show/id/1352209","http://ts.21cn.com/tousu/show/id/1352209")</f>
        <v>http://ts.21cn.com/tousu/show/id/1352209</v>
      </c>
      <c r="F20169" s="2" t="s">
        <v>11</v>
      </c>
      <c r="G20169" s="2" t="s">
        <v>4496</v>
      </c>
      <c r="H20169" s="2" t="s">
        <v>4497</v>
      </c>
    </row>
    <row r="20170" spans="1:8" ht="25.05" customHeight="1" x14ac:dyDescent="0.25">
      <c r="A20170" s="2" t="s">
        <v>8</v>
      </c>
      <c r="B20170" s="2" t="str">
        <f>HYPERLINK("http://ts.21cn.com/tousu/show/id/1352210","捷信公司员工冒充公检法向第三方暴力催收")</f>
        <v>捷信公司员工冒充公检法向第三方暴力催收</v>
      </c>
      <c r="C20170" s="2" t="s">
        <v>9</v>
      </c>
      <c r="D20170" s="2" t="s">
        <v>10</v>
      </c>
      <c r="E20170" s="2" t="str">
        <f>HYPERLINK("http://ts.21cn.com/tousu/show/id/1352210","http://ts.21cn.com/tousu/show/id/1352210")</f>
        <v>http://ts.21cn.com/tousu/show/id/1352210</v>
      </c>
      <c r="F20170" s="2" t="s">
        <v>11</v>
      </c>
      <c r="G20170" s="2" t="s">
        <v>4494</v>
      </c>
      <c r="H20170" s="2" t="s">
        <v>4495</v>
      </c>
    </row>
    <row r="20171" spans="1:8" ht="25.05" customHeight="1" x14ac:dyDescent="0.25">
      <c r="A20171" s="2" t="s">
        <v>8</v>
      </c>
      <c r="B20171" s="2" t="str">
        <f>HYPERLINK("http://ts.21cn.com/tousu/show/id/1352212","招商银行法务部讽刺")</f>
        <v>招商银行法务部讽刺</v>
      </c>
      <c r="C20171" s="2" t="s">
        <v>34</v>
      </c>
      <c r="D20171" s="2" t="s">
        <v>10</v>
      </c>
      <c r="E20171" s="2" t="str">
        <f>HYPERLINK("http://ts.21cn.com/tousu/show/id/1352212","http://ts.21cn.com/tousu/show/id/1352212")</f>
        <v>http://ts.21cn.com/tousu/show/id/1352212</v>
      </c>
      <c r="F20171" s="2" t="s">
        <v>11</v>
      </c>
      <c r="G20171" s="2" t="s">
        <v>4492</v>
      </c>
      <c r="H20171" s="2" t="s">
        <v>4493</v>
      </c>
    </row>
    <row r="20172" spans="1:8" ht="25.05" customHeight="1" x14ac:dyDescent="0.25">
      <c r="A20172" s="2" t="s">
        <v>8</v>
      </c>
      <c r="B20172" s="2" t="str">
        <f>HYPERLINK("http://ts.21cn.com/tousu/show/id/1352211","今巴生鲜店倒闭蟹券不能提货")</f>
        <v>今巴生鲜店倒闭蟹券不能提货</v>
      </c>
      <c r="C20172" s="2" t="s">
        <v>9</v>
      </c>
      <c r="D20172" s="2" t="s">
        <v>10</v>
      </c>
      <c r="E20172" s="2" t="str">
        <f>HYPERLINK("http://ts.21cn.com/tousu/show/id/1352211","http://ts.21cn.com/tousu/show/id/1352211")</f>
        <v>http://ts.21cn.com/tousu/show/id/1352211</v>
      </c>
      <c r="F20172" s="2" t="s">
        <v>11</v>
      </c>
      <c r="G20172" s="2" t="s">
        <v>4490</v>
      </c>
      <c r="H20172" s="2" t="s">
        <v>4491</v>
      </c>
    </row>
    <row r="20173" spans="1:8" ht="25.05" customHeight="1" x14ac:dyDescent="0.25">
      <c r="A20173" s="2" t="s">
        <v>8</v>
      </c>
      <c r="B20173" s="2" t="str">
        <f>HYPERLINK("http://ts.21cn.com/tousu/show/id/1352213","百事普惠未经本人允许私自恶意扣款")</f>
        <v>百事普惠未经本人允许私自恶意扣款</v>
      </c>
      <c r="C20173" s="2" t="s">
        <v>9</v>
      </c>
      <c r="D20173" s="2" t="s">
        <v>10</v>
      </c>
      <c r="E20173" s="2" t="str">
        <f>HYPERLINK("http://ts.21cn.com/tousu/show/id/1352213","http://ts.21cn.com/tousu/show/id/1352213")</f>
        <v>http://ts.21cn.com/tousu/show/id/1352213</v>
      </c>
      <c r="F20173" s="2" t="s">
        <v>11</v>
      </c>
      <c r="G20173" s="2" t="s">
        <v>4488</v>
      </c>
      <c r="H20173" s="2" t="s">
        <v>4489</v>
      </c>
    </row>
    <row r="20174" spans="1:8" ht="25.05" customHeight="1" x14ac:dyDescent="0.25">
      <c r="A20174" s="2" t="s">
        <v>8</v>
      </c>
      <c r="B20174" s="2" t="str">
        <f>HYPERLINK("http://ts.21cn.com/tousu/show/id/1352214","来分期高利贷，暴力催收，爆通讯录")</f>
        <v>来分期高利贷，暴力催收，爆通讯录</v>
      </c>
      <c r="C20174" s="2" t="s">
        <v>9</v>
      </c>
      <c r="D20174" s="2" t="s">
        <v>10</v>
      </c>
      <c r="E20174" s="2" t="str">
        <f>HYPERLINK("http://ts.21cn.com/tousu/show/id/1352214","http://ts.21cn.com/tousu/show/id/1352214")</f>
        <v>http://ts.21cn.com/tousu/show/id/1352214</v>
      </c>
      <c r="F20174" s="2" t="s">
        <v>11</v>
      </c>
      <c r="G20174" s="2" t="s">
        <v>4486</v>
      </c>
      <c r="H20174" s="2" t="s">
        <v>4487</v>
      </c>
    </row>
    <row r="20175" spans="1:8" ht="25.05" customHeight="1" x14ac:dyDescent="0.25">
      <c r="A20175" s="2" t="s">
        <v>8</v>
      </c>
      <c r="B20175" s="2" t="str">
        <f>HYPERLINK("http://ts.21cn.com/tousu/show/id/1352216","贷上钱以买游戏豆为由收取高额贷款通过费")</f>
        <v>贷上钱以买游戏豆为由收取高额贷款通过费</v>
      </c>
      <c r="C20175" s="2" t="s">
        <v>9</v>
      </c>
      <c r="D20175" s="2" t="s">
        <v>10</v>
      </c>
      <c r="E20175" s="2" t="str">
        <f>HYPERLINK("http://ts.21cn.com/tousu/show/id/1352216","http://ts.21cn.com/tousu/show/id/1352216")</f>
        <v>http://ts.21cn.com/tousu/show/id/1352216</v>
      </c>
      <c r="F20175" s="2" t="s">
        <v>11</v>
      </c>
      <c r="G20175" s="2" t="s">
        <v>4483</v>
      </c>
      <c r="H20175" s="2" t="s">
        <v>4484</v>
      </c>
    </row>
    <row r="20176" spans="1:8" ht="25.05" customHeight="1" x14ac:dyDescent="0.25">
      <c r="A20176" s="2" t="s">
        <v>8</v>
      </c>
      <c r="B20176" s="2" t="str">
        <f>HYPERLINK("http://ts.21cn.com/tousu/show/id/1352215","拍拍贷暴力催收，恐吓家人")</f>
        <v>拍拍贷暴力催收，恐吓家人</v>
      </c>
      <c r="C20176" s="2" t="s">
        <v>9</v>
      </c>
      <c r="D20176" s="2" t="s">
        <v>10</v>
      </c>
      <c r="E20176" s="2" t="str">
        <f>HYPERLINK("http://ts.21cn.com/tousu/show/id/1352215","http://ts.21cn.com/tousu/show/id/1352215")</f>
        <v>http://ts.21cn.com/tousu/show/id/1352215</v>
      </c>
      <c r="F20176" s="2" t="s">
        <v>11</v>
      </c>
      <c r="G20176" s="2" t="s">
        <v>4483</v>
      </c>
      <c r="H20176" s="2" t="s">
        <v>4485</v>
      </c>
    </row>
    <row r="20177" spans="1:8" ht="25.05" customHeight="1" x14ac:dyDescent="0.25">
      <c r="A20177" s="2" t="s">
        <v>8</v>
      </c>
      <c r="B20177" s="2" t="str">
        <f>HYPERLINK("http://ts.21cn.com/tousu/show/id/1352217","未成年人游戏充值")</f>
        <v>未成年人游戏充值</v>
      </c>
      <c r="C20177" s="2" t="s">
        <v>9</v>
      </c>
      <c r="D20177" s="2" t="s">
        <v>10</v>
      </c>
      <c r="E20177" s="2" t="str">
        <f>HYPERLINK("http://ts.21cn.com/tousu/show/id/1352217","http://ts.21cn.com/tousu/show/id/1352217")</f>
        <v>http://ts.21cn.com/tousu/show/id/1352217</v>
      </c>
      <c r="F20177" s="2" t="s">
        <v>11</v>
      </c>
      <c r="G20177" s="2" t="s">
        <v>4481</v>
      </c>
      <c r="H20177" s="2" t="s">
        <v>4482</v>
      </c>
    </row>
    <row r="20178" spans="1:8" ht="25.05" customHeight="1" x14ac:dyDescent="0.25">
      <c r="A20178" s="2" t="s">
        <v>8</v>
      </c>
      <c r="B20178" s="2" t="str">
        <f>HYPERLINK("http://ts.21cn.com/tousu/show/id/1352175","微信把我在商户里的资金无故冻结，投诉无门，无人搭理，小店经营周转不灵，生活困难")</f>
        <v>微信把我在商户里的资金无故冻结，投诉无门，无人搭理，小店经营周转不灵，生活困难</v>
      </c>
      <c r="C20178" s="2" t="s">
        <v>9</v>
      </c>
      <c r="D20178" s="2" t="s">
        <v>10</v>
      </c>
      <c r="E20178" s="2" t="str">
        <f>HYPERLINK("http://ts.21cn.com/tousu/show/id/1352175","http://ts.21cn.com/tousu/show/id/1352175")</f>
        <v>http://ts.21cn.com/tousu/show/id/1352175</v>
      </c>
      <c r="F20178" s="2" t="s">
        <v>11</v>
      </c>
      <c r="G20178" s="2" t="s">
        <v>4479</v>
      </c>
      <c r="H20178" s="2" t="s">
        <v>4480</v>
      </c>
    </row>
    <row r="20179" spans="1:8" ht="25.05" customHeight="1" x14ac:dyDescent="0.25">
      <c r="A20179" s="2" t="s">
        <v>8</v>
      </c>
      <c r="B20179" s="2" t="str">
        <f>HYPERLINK("http://ts.21cn.com/tousu/show/id/1352219","以返现名义引导消费者")</f>
        <v>以返现名义引导消费者</v>
      </c>
      <c r="C20179" s="2" t="s">
        <v>9</v>
      </c>
      <c r="D20179" s="2" t="s">
        <v>10</v>
      </c>
      <c r="E20179" s="2" t="str">
        <f>HYPERLINK("http://ts.21cn.com/tousu/show/id/1352219","http://ts.21cn.com/tousu/show/id/1352219")</f>
        <v>http://ts.21cn.com/tousu/show/id/1352219</v>
      </c>
      <c r="F20179" s="2" t="s">
        <v>11</v>
      </c>
      <c r="G20179" s="2" t="s">
        <v>4477</v>
      </c>
      <c r="H20179" s="2" t="s">
        <v>4478</v>
      </c>
    </row>
    <row r="20180" spans="1:8" ht="25.05" customHeight="1" x14ac:dyDescent="0.25">
      <c r="A20180" s="2" t="s">
        <v>8</v>
      </c>
      <c r="B20180" s="2" t="str">
        <f>HYPERLINK("http://ts.21cn.com/tousu/show/id/1352220","百度有钱花不骚扰公司")</f>
        <v>百度有钱花不骚扰公司</v>
      </c>
      <c r="C20180" s="2" t="s">
        <v>9</v>
      </c>
      <c r="D20180" s="2" t="s">
        <v>10</v>
      </c>
      <c r="E20180" s="2" t="str">
        <f>HYPERLINK("http://ts.21cn.com/tousu/show/id/1352220","http://ts.21cn.com/tousu/show/id/1352220")</f>
        <v>http://ts.21cn.com/tousu/show/id/1352220</v>
      </c>
      <c r="F20180" s="2" t="s">
        <v>11</v>
      </c>
      <c r="G20180" s="2" t="s">
        <v>4475</v>
      </c>
      <c r="H20180" s="2" t="s">
        <v>4476</v>
      </c>
    </row>
    <row r="20181" spans="1:8" ht="25.05" customHeight="1" x14ac:dyDescent="0.25">
      <c r="A20181" s="2" t="s">
        <v>8</v>
      </c>
      <c r="B20181" s="2" t="str">
        <f>HYPERLINK("http://ts.21cn.com/tousu/show/id/1352203","还款销账")</f>
        <v>还款销账</v>
      </c>
      <c r="C20181" s="2" t="s">
        <v>9</v>
      </c>
      <c r="D20181" s="2" t="s">
        <v>10</v>
      </c>
      <c r="E20181" s="2" t="str">
        <f>HYPERLINK("http://ts.21cn.com/tousu/show/id/1352203","http://ts.21cn.com/tousu/show/id/1352203")</f>
        <v>http://ts.21cn.com/tousu/show/id/1352203</v>
      </c>
      <c r="F20181" s="2" t="s">
        <v>11</v>
      </c>
      <c r="G20181" s="2" t="s">
        <v>4473</v>
      </c>
      <c r="H20181" s="2" t="s">
        <v>4474</v>
      </c>
    </row>
    <row r="20182" spans="1:8" ht="25.05" customHeight="1" x14ac:dyDescent="0.25">
      <c r="A20182" s="2" t="s">
        <v>8</v>
      </c>
      <c r="B20182" s="2" t="str">
        <f>HYPERLINK("http://ts.21cn.com/tousu/show/id/1352222","建设银行换卡不能换原号码")</f>
        <v>建设银行换卡不能换原号码</v>
      </c>
      <c r="C20182" s="2" t="s">
        <v>9</v>
      </c>
      <c r="D20182" s="2" t="s">
        <v>10</v>
      </c>
      <c r="E20182" s="2" t="str">
        <f>HYPERLINK("http://ts.21cn.com/tousu/show/id/1352222","http://ts.21cn.com/tousu/show/id/1352222")</f>
        <v>http://ts.21cn.com/tousu/show/id/1352222</v>
      </c>
      <c r="F20182" s="2" t="s">
        <v>11</v>
      </c>
      <c r="G20182" s="2" t="s">
        <v>4471</v>
      </c>
      <c r="H20182" s="2" t="s">
        <v>4472</v>
      </c>
    </row>
    <row r="20183" spans="1:8" ht="25.05" customHeight="1" x14ac:dyDescent="0.25">
      <c r="A20183" s="2" t="s">
        <v>8</v>
      </c>
      <c r="B20183" s="2" t="str">
        <f>HYPERLINK("http://ts.21cn.com/tousu/show/id/1352223","乱爆通讯录")</f>
        <v>乱爆通讯录</v>
      </c>
      <c r="C20183" s="2" t="s">
        <v>9</v>
      </c>
      <c r="D20183" s="2" t="s">
        <v>10</v>
      </c>
      <c r="E20183" s="2" t="str">
        <f>HYPERLINK("http://ts.21cn.com/tousu/show/id/1352223","http://ts.21cn.com/tousu/show/id/1352223")</f>
        <v>http://ts.21cn.com/tousu/show/id/1352223</v>
      </c>
      <c r="F20183" s="2" t="s">
        <v>11</v>
      </c>
      <c r="G20183" s="2" t="s">
        <v>4469</v>
      </c>
      <c r="H20183" s="2" t="s">
        <v>4470</v>
      </c>
    </row>
    <row r="20184" spans="1:8" ht="25.05" customHeight="1" x14ac:dyDescent="0.25">
      <c r="A20184" s="2" t="s">
        <v>8</v>
      </c>
      <c r="B20184" s="2" t="str">
        <f>HYPERLINK("http://ts.21cn.com/tousu/show/id/1352224","信用卡还款，")</f>
        <v>信用卡还款，</v>
      </c>
      <c r="C20184" s="2" t="s">
        <v>9</v>
      </c>
      <c r="D20184" s="2" t="s">
        <v>10</v>
      </c>
      <c r="E20184" s="2" t="str">
        <f>HYPERLINK("http://ts.21cn.com/tousu/show/id/1352224","http://ts.21cn.com/tousu/show/id/1352224")</f>
        <v>http://ts.21cn.com/tousu/show/id/1352224</v>
      </c>
      <c r="F20184" s="2" t="s">
        <v>11</v>
      </c>
      <c r="G20184" s="2" t="s">
        <v>4467</v>
      </c>
      <c r="H20184" s="2" t="s">
        <v>4468</v>
      </c>
    </row>
    <row r="20185" spans="1:8" ht="25.05" customHeight="1" x14ac:dyDescent="0.25">
      <c r="A20185" s="2" t="s">
        <v>8</v>
      </c>
      <c r="B20185" s="2" t="str">
        <f>HYPERLINK("http://ts.21cn.com/tousu/show/id/1349633","广东信汇不处理投诉")</f>
        <v>广东信汇不处理投诉</v>
      </c>
      <c r="C20185" s="2" t="s">
        <v>9</v>
      </c>
      <c r="D20185" s="2" t="s">
        <v>10</v>
      </c>
      <c r="E20185" s="2" t="str">
        <f>HYPERLINK("http://ts.21cn.com/tousu/show/id/1349633","http://ts.21cn.com/tousu/show/id/1349633")</f>
        <v>http://ts.21cn.com/tousu/show/id/1349633</v>
      </c>
      <c r="F20185" s="2" t="s">
        <v>11</v>
      </c>
      <c r="G20185" s="2" t="s">
        <v>4465</v>
      </c>
      <c r="H20185" s="2" t="s">
        <v>4466</v>
      </c>
    </row>
    <row r="20186" spans="1:8" ht="25.05" customHeight="1" x14ac:dyDescent="0.25">
      <c r="A20186" s="2" t="s">
        <v>8</v>
      </c>
      <c r="B20186" s="2" t="str">
        <f>HYPERLINK("http://ts.21cn.com/tousu/show/id/1352114","尚德机构退费难，霸王条款，诱导消费，培训贷")</f>
        <v>尚德机构退费难，霸王条款，诱导消费，培训贷</v>
      </c>
      <c r="C20186" s="2" t="s">
        <v>9</v>
      </c>
      <c r="D20186" s="2" t="s">
        <v>10</v>
      </c>
      <c r="E20186" s="2" t="str">
        <f>HYPERLINK("http://ts.21cn.com/tousu/show/id/1352114","http://ts.21cn.com/tousu/show/id/1352114")</f>
        <v>http://ts.21cn.com/tousu/show/id/1352114</v>
      </c>
      <c r="F20186" s="2" t="s">
        <v>11</v>
      </c>
      <c r="G20186" s="2" t="s">
        <v>4463</v>
      </c>
      <c r="H20186" s="2" t="s">
        <v>4464</v>
      </c>
    </row>
    <row r="20187" spans="1:8" ht="25.05" customHeight="1" x14ac:dyDescent="0.25">
      <c r="A20187" s="2" t="s">
        <v>8</v>
      </c>
      <c r="B20187" s="2" t="str">
        <f>HYPERLINK("http://ts.21cn.com/tousu/show/id/1352225","严重暴力催收，恐吓上门，爆通讯录，影响本人名誉")</f>
        <v>严重暴力催收，恐吓上门，爆通讯录，影响本人名誉</v>
      </c>
      <c r="C20187" s="2" t="s">
        <v>9</v>
      </c>
      <c r="D20187" s="2" t="s">
        <v>10</v>
      </c>
      <c r="E20187" s="2" t="str">
        <f>HYPERLINK("http://ts.21cn.com/tousu/show/id/1352225","http://ts.21cn.com/tousu/show/id/1352225")</f>
        <v>http://ts.21cn.com/tousu/show/id/1352225</v>
      </c>
      <c r="F20187" s="2" t="s">
        <v>11</v>
      </c>
      <c r="G20187" s="2" t="s">
        <v>4461</v>
      </c>
      <c r="H20187" s="2" t="s">
        <v>4462</v>
      </c>
    </row>
    <row r="20188" spans="1:8" ht="25.05" customHeight="1" x14ac:dyDescent="0.25">
      <c r="A20188" s="2" t="s">
        <v>8</v>
      </c>
      <c r="B20188" s="2" t="str">
        <f>HYPERLINK("http://ts.21cn.com/tousu/show/id/1352226","造艺科技恶意扣款299元")</f>
        <v>造艺科技恶意扣款299元</v>
      </c>
      <c r="C20188" s="2" t="s">
        <v>9</v>
      </c>
      <c r="D20188" s="2" t="s">
        <v>10</v>
      </c>
      <c r="E20188" s="2" t="str">
        <f>HYPERLINK("http://ts.21cn.com/tousu/show/id/1352226","http://ts.21cn.com/tousu/show/id/1352226")</f>
        <v>http://ts.21cn.com/tousu/show/id/1352226</v>
      </c>
      <c r="F20188" s="2" t="s">
        <v>11</v>
      </c>
      <c r="G20188" s="2" t="s">
        <v>4459</v>
      </c>
      <c r="H20188" s="2" t="s">
        <v>4460</v>
      </c>
    </row>
    <row r="20189" spans="1:8" ht="25.05" customHeight="1" x14ac:dyDescent="0.25">
      <c r="A20189" s="2" t="s">
        <v>8</v>
      </c>
      <c r="B20189" s="2" t="str">
        <f>HYPERLINK("http://ts.21cn.com/tousu/show/id/1352227","中腾信未逾期暴力催收")</f>
        <v>中腾信未逾期暴力催收</v>
      </c>
      <c r="C20189" s="2" t="s">
        <v>9</v>
      </c>
      <c r="D20189" s="2" t="s">
        <v>10</v>
      </c>
      <c r="E20189" s="2" t="str">
        <f>HYPERLINK("http://ts.21cn.com/tousu/show/id/1352227","http://ts.21cn.com/tousu/show/id/1352227")</f>
        <v>http://ts.21cn.com/tousu/show/id/1352227</v>
      </c>
      <c r="F20189" s="2" t="s">
        <v>11</v>
      </c>
      <c r="G20189" s="2" t="s">
        <v>4457</v>
      </c>
      <c r="H20189" s="2" t="s">
        <v>4458</v>
      </c>
    </row>
    <row r="20190" spans="1:8" ht="25.05" customHeight="1" x14ac:dyDescent="0.25">
      <c r="A20190" s="2" t="s">
        <v>8</v>
      </c>
      <c r="B20190" s="2" t="str">
        <f>HYPERLINK("http://ts.21cn.com/tousu/show/id/1352228","威胁爆通讯录")</f>
        <v>威胁爆通讯录</v>
      </c>
      <c r="C20190" s="2" t="s">
        <v>9</v>
      </c>
      <c r="D20190" s="2" t="s">
        <v>10</v>
      </c>
      <c r="E20190" s="2" t="str">
        <f>HYPERLINK("http://ts.21cn.com/tousu/show/id/1352228","http://ts.21cn.com/tousu/show/id/1352228")</f>
        <v>http://ts.21cn.com/tousu/show/id/1352228</v>
      </c>
      <c r="F20190" s="2" t="s">
        <v>11</v>
      </c>
      <c r="G20190" s="2" t="s">
        <v>4455</v>
      </c>
      <c r="H20190" s="2" t="s">
        <v>4456</v>
      </c>
    </row>
    <row r="20191" spans="1:8" ht="25.05" customHeight="1" x14ac:dyDescent="0.25">
      <c r="A20191" s="2" t="s">
        <v>8</v>
      </c>
      <c r="B20191" s="2" t="str">
        <f>HYPERLINK("http://ts.21cn.com/tousu/show/id/1352229","钱站高利贷阴阳合同")</f>
        <v>钱站高利贷阴阳合同</v>
      </c>
      <c r="C20191" s="2" t="s">
        <v>9</v>
      </c>
      <c r="D20191" s="2" t="s">
        <v>10</v>
      </c>
      <c r="E20191" s="2" t="str">
        <f>HYPERLINK("http://ts.21cn.com/tousu/show/id/1352229","http://ts.21cn.com/tousu/show/id/1352229")</f>
        <v>http://ts.21cn.com/tousu/show/id/1352229</v>
      </c>
      <c r="F20191" s="2" t="s">
        <v>11</v>
      </c>
      <c r="G20191" s="2" t="s">
        <v>4453</v>
      </c>
      <c r="H20191" s="2" t="s">
        <v>4454</v>
      </c>
    </row>
    <row r="20192" spans="1:8" ht="25.05" customHeight="1" x14ac:dyDescent="0.25">
      <c r="A20192" s="2" t="s">
        <v>8</v>
      </c>
      <c r="B20192" s="2" t="str">
        <f>HYPERLINK("http://ts.21cn.com/tousu/show/id/1352230","马上消费金融视合同如无物")</f>
        <v>马上消费金融视合同如无物</v>
      </c>
      <c r="C20192" s="2" t="s">
        <v>9</v>
      </c>
      <c r="D20192" s="2" t="s">
        <v>10</v>
      </c>
      <c r="E20192" s="2" t="str">
        <f>HYPERLINK("http://ts.21cn.com/tousu/show/id/1352230","http://ts.21cn.com/tousu/show/id/1352230")</f>
        <v>http://ts.21cn.com/tousu/show/id/1352230</v>
      </c>
      <c r="F20192" s="2" t="s">
        <v>11</v>
      </c>
      <c r="G20192" s="2" t="s">
        <v>4451</v>
      </c>
      <c r="H20192" s="2" t="s">
        <v>4452</v>
      </c>
    </row>
    <row r="20193" spans="1:8" ht="25.05" customHeight="1" x14ac:dyDescent="0.25">
      <c r="A20193" s="2" t="s">
        <v>8</v>
      </c>
      <c r="B20193" s="2" t="str">
        <f>HYPERLINK("http://ts.21cn.com/tousu/show/id/1352231","民航通黑卡虚假宣传、存在欺诈行为")</f>
        <v>民航通黑卡虚假宣传、存在欺诈行为</v>
      </c>
      <c r="C20193" s="2" t="s">
        <v>9</v>
      </c>
      <c r="D20193" s="2" t="s">
        <v>10</v>
      </c>
      <c r="E20193" s="2" t="str">
        <f>HYPERLINK("http://ts.21cn.com/tousu/show/id/1352231","http://ts.21cn.com/tousu/show/id/1352231")</f>
        <v>http://ts.21cn.com/tousu/show/id/1352231</v>
      </c>
      <c r="F20193" s="2" t="s">
        <v>11</v>
      </c>
      <c r="G20193" s="2" t="s">
        <v>4449</v>
      </c>
      <c r="H20193" s="2" t="s">
        <v>4450</v>
      </c>
    </row>
    <row r="20194" spans="1:8" ht="25.05" customHeight="1" x14ac:dyDescent="0.25">
      <c r="A20194" s="2" t="s">
        <v>8</v>
      </c>
      <c r="B20194" s="2" t="str">
        <f>HYPERLINK("http://ts.21cn.com/tousu/show/id/1352232","投诉苏宁乱出名单")</f>
        <v>投诉苏宁乱出名单</v>
      </c>
      <c r="C20194" s="2" t="s">
        <v>34</v>
      </c>
      <c r="D20194" s="2" t="s">
        <v>10</v>
      </c>
      <c r="E20194" s="2" t="str">
        <f>HYPERLINK("http://ts.21cn.com/tousu/show/id/1352232","http://ts.21cn.com/tousu/show/id/1352232")</f>
        <v>http://ts.21cn.com/tousu/show/id/1352232</v>
      </c>
      <c r="F20194" s="2" t="s">
        <v>11</v>
      </c>
      <c r="G20194" s="2" t="s">
        <v>4447</v>
      </c>
      <c r="H20194" s="2" t="s">
        <v>4448</v>
      </c>
    </row>
    <row r="20195" spans="1:8" ht="25.05" customHeight="1" x14ac:dyDescent="0.25">
      <c r="A20195" s="2" t="s">
        <v>8</v>
      </c>
      <c r="B20195" s="2" t="str">
        <f>HYPERLINK("http://ts.21cn.com/tousu/show/id/1352234","易到用车开发票一直处于处理中")</f>
        <v>易到用车开发票一直处于处理中</v>
      </c>
      <c r="C20195" s="2" t="s">
        <v>9</v>
      </c>
      <c r="D20195" s="2" t="s">
        <v>10</v>
      </c>
      <c r="E20195" s="2" t="str">
        <f>HYPERLINK("http://ts.21cn.com/tousu/show/id/1352234","http://ts.21cn.com/tousu/show/id/1352234")</f>
        <v>http://ts.21cn.com/tousu/show/id/1352234</v>
      </c>
      <c r="F20195" s="2" t="s">
        <v>11</v>
      </c>
      <c r="G20195" s="2" t="s">
        <v>4445</v>
      </c>
      <c r="H20195" s="2" t="s">
        <v>4446</v>
      </c>
    </row>
    <row r="20196" spans="1:8" ht="25.05" customHeight="1" x14ac:dyDescent="0.25">
      <c r="A20196" s="2" t="s">
        <v>8</v>
      </c>
      <c r="B20196" s="2" t="str">
        <f>HYPERLINK("http://ts.21cn.com/tousu/show/id/1352235","拍拍贷催收人员骚扰")</f>
        <v>拍拍贷催收人员骚扰</v>
      </c>
      <c r="C20196" s="2" t="s">
        <v>9</v>
      </c>
      <c r="D20196" s="2" t="s">
        <v>10</v>
      </c>
      <c r="E20196" s="2" t="str">
        <f>HYPERLINK("http://ts.21cn.com/tousu/show/id/1352235","http://ts.21cn.com/tousu/show/id/1352235")</f>
        <v>http://ts.21cn.com/tousu/show/id/1352235</v>
      </c>
      <c r="F20196" s="2" t="s">
        <v>11</v>
      </c>
      <c r="G20196" s="2" t="s">
        <v>4443</v>
      </c>
      <c r="H20196" s="2" t="s">
        <v>4444</v>
      </c>
    </row>
    <row r="20197" spans="1:8" ht="25.05" customHeight="1" x14ac:dyDescent="0.25">
      <c r="A20197" s="2" t="s">
        <v>8</v>
      </c>
      <c r="B20197" s="2" t="str">
        <f>HYPERLINK("http://ts.21cn.com/tousu/show/id/1352236","投诉拉卡拉公司违规扣款，私自购买保险，砍头息高利贷等行为")</f>
        <v>投诉拉卡拉公司违规扣款，私自购买保险，砍头息高利贷等行为</v>
      </c>
      <c r="C20197" s="2" t="s">
        <v>9</v>
      </c>
      <c r="D20197" s="2" t="s">
        <v>10</v>
      </c>
      <c r="E20197" s="2" t="str">
        <f>HYPERLINK("http://ts.21cn.com/tousu/show/id/1352236","http://ts.21cn.com/tousu/show/id/1352236")</f>
        <v>http://ts.21cn.com/tousu/show/id/1352236</v>
      </c>
      <c r="F20197" s="2" t="s">
        <v>11</v>
      </c>
      <c r="G20197" s="2" t="s">
        <v>4440</v>
      </c>
      <c r="H20197" s="2" t="s">
        <v>4441</v>
      </c>
    </row>
    <row r="20198" spans="1:8" ht="25.05" customHeight="1" x14ac:dyDescent="0.25">
      <c r="A20198" s="2" t="s">
        <v>8</v>
      </c>
      <c r="B20198" s="2" t="str">
        <f>HYPERLINK("http://ts.21cn.com/tousu/show/id/1352238","小花钱包催收暴力威胁")</f>
        <v>小花钱包催收暴力威胁</v>
      </c>
      <c r="C20198" s="2" t="s">
        <v>9</v>
      </c>
      <c r="D20198" s="2" t="s">
        <v>10</v>
      </c>
      <c r="E20198" s="2" t="str">
        <f>HYPERLINK("http://ts.21cn.com/tousu/show/id/1352238","http://ts.21cn.com/tousu/show/id/1352238")</f>
        <v>http://ts.21cn.com/tousu/show/id/1352238</v>
      </c>
      <c r="F20198" s="2" t="s">
        <v>11</v>
      </c>
      <c r="G20198" s="2" t="s">
        <v>4440</v>
      </c>
      <c r="H20198" s="2" t="s">
        <v>4442</v>
      </c>
    </row>
    <row r="20199" spans="1:8" ht="25.05" customHeight="1" x14ac:dyDescent="0.25">
      <c r="A20199" s="2" t="s">
        <v>8</v>
      </c>
      <c r="B20199" s="2" t="str">
        <f>HYPERLINK("http://ts.21cn.com/tousu/show/id/1352239","有信高利贷，砍头息")</f>
        <v>有信高利贷，砍头息</v>
      </c>
      <c r="C20199" s="2" t="s">
        <v>9</v>
      </c>
      <c r="D20199" s="2" t="s">
        <v>10</v>
      </c>
      <c r="E20199" s="2" t="str">
        <f>HYPERLINK("http://ts.21cn.com/tousu/show/id/1352239","http://ts.21cn.com/tousu/show/id/1352239")</f>
        <v>http://ts.21cn.com/tousu/show/id/1352239</v>
      </c>
      <c r="F20199" s="2" t="s">
        <v>11</v>
      </c>
      <c r="G20199" s="2" t="s">
        <v>4438</v>
      </c>
      <c r="H20199" s="2" t="s">
        <v>4439</v>
      </c>
    </row>
    <row r="20200" spans="1:8" ht="25.05" customHeight="1" x14ac:dyDescent="0.25">
      <c r="A20200" s="2" t="s">
        <v>8</v>
      </c>
      <c r="B20200" s="2" t="str">
        <f>HYPERLINK("http://ts.21cn.com/tousu/show/id/1352240","未经允许私自扣款")</f>
        <v>未经允许私自扣款</v>
      </c>
      <c r="C20200" s="2" t="s">
        <v>9</v>
      </c>
      <c r="D20200" s="2" t="s">
        <v>10</v>
      </c>
      <c r="E20200" s="2" t="str">
        <f>HYPERLINK("http://ts.21cn.com/tousu/show/id/1352240","http://ts.21cn.com/tousu/show/id/1352240")</f>
        <v>http://ts.21cn.com/tousu/show/id/1352240</v>
      </c>
      <c r="F20200" s="2" t="s">
        <v>11</v>
      </c>
      <c r="G20200" s="2" t="s">
        <v>4437</v>
      </c>
      <c r="H20200" s="2" t="s">
        <v>3366</v>
      </c>
    </row>
    <row r="20201" spans="1:8" ht="25.05" customHeight="1" x14ac:dyDescent="0.25">
      <c r="A20201" s="2" t="s">
        <v>8</v>
      </c>
      <c r="B20201" s="2" t="str">
        <f>HYPERLINK("http://ts.21cn.com/tousu/show/id/1352241","海尔金融催收骚扰催收")</f>
        <v>海尔金融催收骚扰催收</v>
      </c>
      <c r="C20201" s="2" t="s">
        <v>9</v>
      </c>
      <c r="D20201" s="2" t="s">
        <v>10</v>
      </c>
      <c r="E20201" s="2" t="str">
        <f>HYPERLINK("http://ts.21cn.com/tousu/show/id/1352241","http://ts.21cn.com/tousu/show/id/1352241")</f>
        <v>http://ts.21cn.com/tousu/show/id/1352241</v>
      </c>
      <c r="F20201" s="2" t="s">
        <v>11</v>
      </c>
      <c r="G20201" s="2" t="s">
        <v>4435</v>
      </c>
      <c r="H20201" s="2" t="s">
        <v>4436</v>
      </c>
    </row>
    <row r="20202" spans="1:8" ht="25.05" customHeight="1" x14ac:dyDescent="0.25">
      <c r="A20202" s="2" t="s">
        <v>8</v>
      </c>
      <c r="B20202" s="2" t="str">
        <f>HYPERLINK("http://ts.21cn.com/tousu/show/id/1352242","万惠及贷变相收取高额息费以及暴力催收")</f>
        <v>万惠及贷变相收取高额息费以及暴力催收</v>
      </c>
      <c r="C20202" s="2" t="s">
        <v>9</v>
      </c>
      <c r="D20202" s="2" t="s">
        <v>10</v>
      </c>
      <c r="E20202" s="2" t="str">
        <f>HYPERLINK("http://ts.21cn.com/tousu/show/id/1352242","http://ts.21cn.com/tousu/show/id/1352242")</f>
        <v>http://ts.21cn.com/tousu/show/id/1352242</v>
      </c>
      <c r="F20202" s="2" t="s">
        <v>11</v>
      </c>
      <c r="G20202" s="2" t="s">
        <v>4433</v>
      </c>
      <c r="H20202" s="2" t="s">
        <v>4434</v>
      </c>
    </row>
    <row r="20203" spans="1:8" ht="25.05" customHeight="1" x14ac:dyDescent="0.25">
      <c r="A20203" s="2" t="s">
        <v>8</v>
      </c>
      <c r="B20203" s="2" t="str">
        <f>HYPERLINK("http://ts.21cn.com/tousu/show/id/1352244","高利贷，快被逼死了")</f>
        <v>高利贷，快被逼死了</v>
      </c>
      <c r="C20203" s="2" t="s">
        <v>9</v>
      </c>
      <c r="D20203" s="2" t="s">
        <v>10</v>
      </c>
      <c r="E20203" s="2" t="str">
        <f>HYPERLINK("http://ts.21cn.com/tousu/show/id/1352244","http://ts.21cn.com/tousu/show/id/1352244")</f>
        <v>http://ts.21cn.com/tousu/show/id/1352244</v>
      </c>
      <c r="F20203" s="2" t="s">
        <v>11</v>
      </c>
      <c r="G20203" s="2" t="s">
        <v>4431</v>
      </c>
      <c r="H20203" s="2" t="s">
        <v>4432</v>
      </c>
    </row>
    <row r="20204" spans="1:8" ht="25.05" customHeight="1" x14ac:dyDescent="0.25">
      <c r="A20204" s="2" t="s">
        <v>8</v>
      </c>
      <c r="B20204" s="2" t="str">
        <f>HYPERLINK("http://ts.21cn.com/tousu/show/id/1352243","前海锐步商业保理（深圳）有限公司假借玖富集团之名进行虚假贷款，并以开通会员权限、账户异常为由套取高额费用")</f>
        <v>前海锐步商业保理（深圳）有限公司假借玖富集团之名进行虚假贷款，并以开通会员权限、账户异常为由套取高额费用</v>
      </c>
      <c r="C20204" s="2" t="s">
        <v>9</v>
      </c>
      <c r="D20204" s="2" t="s">
        <v>10</v>
      </c>
      <c r="E20204" s="2" t="str">
        <f>HYPERLINK("http://ts.21cn.com/tousu/show/id/1352243","http://ts.21cn.com/tousu/show/id/1352243")</f>
        <v>http://ts.21cn.com/tousu/show/id/1352243</v>
      </c>
      <c r="F20204" s="2" t="s">
        <v>11</v>
      </c>
      <c r="G20204" s="2" t="s">
        <v>4429</v>
      </c>
      <c r="H20204" s="2" t="s">
        <v>4430</v>
      </c>
    </row>
    <row r="20205" spans="1:8" ht="25.05" customHeight="1" x14ac:dyDescent="0.25">
      <c r="A20205" s="2" t="s">
        <v>8</v>
      </c>
      <c r="B20205" s="2" t="str">
        <f>HYPERLINK("http://ts.21cn.com/tousu/show/id/1352245","暴力催收，威胁打通讯录")</f>
        <v>暴力催收，威胁打通讯录</v>
      </c>
      <c r="C20205" s="2" t="s">
        <v>9</v>
      </c>
      <c r="D20205" s="2" t="s">
        <v>10</v>
      </c>
      <c r="E20205" s="2" t="str">
        <f>HYPERLINK("http://ts.21cn.com/tousu/show/id/1352245","http://ts.21cn.com/tousu/show/id/1352245")</f>
        <v>http://ts.21cn.com/tousu/show/id/1352245</v>
      </c>
      <c r="F20205" s="2" t="s">
        <v>11</v>
      </c>
      <c r="G20205" s="2" t="s">
        <v>4427</v>
      </c>
      <c r="H20205" s="2" t="s">
        <v>4428</v>
      </c>
    </row>
    <row r="20206" spans="1:8" ht="25.05" customHeight="1" x14ac:dyDescent="0.25">
      <c r="A20206" s="2" t="s">
        <v>8</v>
      </c>
      <c r="B20206" s="2" t="str">
        <f>HYPERLINK("http://ts.21cn.com/tousu/show/id/1352233","会员费未按要求退回")</f>
        <v>会员费未按要求退回</v>
      </c>
      <c r="C20206" s="2" t="s">
        <v>9</v>
      </c>
      <c r="D20206" s="2" t="s">
        <v>10</v>
      </c>
      <c r="E20206" s="2" t="str">
        <f>HYPERLINK("http://ts.21cn.com/tousu/show/id/1352233","http://ts.21cn.com/tousu/show/id/1352233")</f>
        <v>http://ts.21cn.com/tousu/show/id/1352233</v>
      </c>
      <c r="F20206" s="2" t="s">
        <v>11</v>
      </c>
      <c r="G20206" s="2" t="s">
        <v>4425</v>
      </c>
      <c r="H20206" s="2" t="s">
        <v>4426</v>
      </c>
    </row>
    <row r="20207" spans="1:8" ht="25.05" customHeight="1" x14ac:dyDescent="0.25">
      <c r="A20207" s="2" t="s">
        <v>8</v>
      </c>
      <c r="B20207" s="2" t="str">
        <f>HYPERLINK("http://ts.21cn.com/tousu/show/id/1352246","活力花侵犯隐私")</f>
        <v>活力花侵犯隐私</v>
      </c>
      <c r="C20207" s="2" t="s">
        <v>9</v>
      </c>
      <c r="D20207" s="2" t="s">
        <v>10</v>
      </c>
      <c r="E20207" s="2" t="str">
        <f>HYPERLINK("http://ts.21cn.com/tousu/show/id/1352246","http://ts.21cn.com/tousu/show/id/1352246")</f>
        <v>http://ts.21cn.com/tousu/show/id/1352246</v>
      </c>
      <c r="F20207" s="2" t="s">
        <v>11</v>
      </c>
      <c r="G20207" s="2" t="s">
        <v>4423</v>
      </c>
      <c r="H20207" s="2" t="s">
        <v>4424</v>
      </c>
    </row>
    <row r="20208" spans="1:8" ht="25.05" customHeight="1" x14ac:dyDescent="0.25">
      <c r="A20208" s="2" t="s">
        <v>8</v>
      </c>
      <c r="B20208" s="2" t="str">
        <f>HYPERLINK("http://ts.21cn.com/tousu/show/id/1352248","恒昌公司旗下恒易贷合同金额远高于实际借款金额，合同有砍头息")</f>
        <v>恒昌公司旗下恒易贷合同金额远高于实际借款金额，合同有砍头息</v>
      </c>
      <c r="C20208" s="2" t="s">
        <v>9</v>
      </c>
      <c r="D20208" s="2" t="s">
        <v>10</v>
      </c>
      <c r="E20208" s="2" t="str">
        <f>HYPERLINK("http://ts.21cn.com/tousu/show/id/1352248","http://ts.21cn.com/tousu/show/id/1352248")</f>
        <v>http://ts.21cn.com/tousu/show/id/1352248</v>
      </c>
      <c r="F20208" s="2" t="s">
        <v>11</v>
      </c>
      <c r="G20208" s="2" t="s">
        <v>4422</v>
      </c>
      <c r="H20208" s="2" t="s">
        <v>4348</v>
      </c>
    </row>
    <row r="20209" spans="1:8" ht="25.05" customHeight="1" x14ac:dyDescent="0.25">
      <c r="A20209" s="2" t="s">
        <v>8</v>
      </c>
      <c r="B20209" s="2" t="str">
        <f>HYPERLINK("http://ts.21cn.com/tousu/show/id/1352247","投诉天天贷，恶意恐吓，催收")</f>
        <v>投诉天天贷，恶意恐吓，催收</v>
      </c>
      <c r="C20209" s="2" t="s">
        <v>9</v>
      </c>
      <c r="D20209" s="2" t="s">
        <v>10</v>
      </c>
      <c r="E20209" s="2" t="str">
        <f>HYPERLINK("http://ts.21cn.com/tousu/show/id/1352247","http://ts.21cn.com/tousu/show/id/1352247")</f>
        <v>http://ts.21cn.com/tousu/show/id/1352247</v>
      </c>
      <c r="F20209" s="2" t="s">
        <v>11</v>
      </c>
      <c r="G20209" s="2" t="s">
        <v>4420</v>
      </c>
      <c r="H20209" s="2" t="s">
        <v>4421</v>
      </c>
    </row>
    <row r="20210" spans="1:8" ht="25.05" customHeight="1" x14ac:dyDescent="0.25">
      <c r="A20210" s="2" t="s">
        <v>8</v>
      </c>
      <c r="B20210" s="2" t="str">
        <f>HYPERLINK("http://ts.21cn.com/tousu/show/id/1352218","上海昆奥网络科技有限公司非法集资")</f>
        <v>上海昆奥网络科技有限公司非法集资</v>
      </c>
      <c r="C20210" s="2" t="s">
        <v>9</v>
      </c>
      <c r="D20210" s="2" t="s">
        <v>10</v>
      </c>
      <c r="E20210" s="2" t="str">
        <f>HYPERLINK("http://ts.21cn.com/tousu/show/id/1352218","http://ts.21cn.com/tousu/show/id/1352218")</f>
        <v>http://ts.21cn.com/tousu/show/id/1352218</v>
      </c>
      <c r="F20210" s="2" t="s">
        <v>11</v>
      </c>
      <c r="G20210" s="2" t="s">
        <v>4418</v>
      </c>
      <c r="H20210" s="2" t="s">
        <v>4419</v>
      </c>
    </row>
    <row r="20211" spans="1:8" ht="25.05" customHeight="1" x14ac:dyDescent="0.25">
      <c r="A20211" s="2" t="s">
        <v>8</v>
      </c>
      <c r="B20211" s="2" t="str">
        <f>HYPERLINK("http://ts.21cn.com/tousu/show/id/1352249","信用卡恶劣态度，威胁本人身边人")</f>
        <v>信用卡恶劣态度，威胁本人身边人</v>
      </c>
      <c r="C20211" s="2" t="s">
        <v>9</v>
      </c>
      <c r="D20211" s="2" t="s">
        <v>10</v>
      </c>
      <c r="E20211" s="2" t="str">
        <f>HYPERLINK("http://ts.21cn.com/tousu/show/id/1352249","http://ts.21cn.com/tousu/show/id/1352249")</f>
        <v>http://ts.21cn.com/tousu/show/id/1352249</v>
      </c>
      <c r="F20211" s="2" t="s">
        <v>11</v>
      </c>
      <c r="G20211" s="2" t="s">
        <v>4416</v>
      </c>
      <c r="H20211" s="2" t="s">
        <v>4417</v>
      </c>
    </row>
    <row r="20212" spans="1:8" ht="25.05" customHeight="1" x14ac:dyDescent="0.25">
      <c r="A20212" s="2" t="s">
        <v>8</v>
      </c>
      <c r="B20212" s="2" t="str">
        <f>HYPERLINK("http://ts.21cn.com/tousu/show/id/1352251","我在易贷分期借款，易贷分期让在借贷宝打欠条，打2000的欠条，实际到帐1200，1200还了，他们不销帐")</f>
        <v>我在易贷分期借款，易贷分期让在借贷宝打欠条，打2000的欠条，实际到帐1200，1200还了，他们不销帐</v>
      </c>
      <c r="C20212" s="2" t="s">
        <v>9</v>
      </c>
      <c r="D20212" s="2" t="s">
        <v>10</v>
      </c>
      <c r="E20212" s="2" t="str">
        <f>HYPERLINK("http://ts.21cn.com/tousu/show/id/1352251","http://ts.21cn.com/tousu/show/id/1352251")</f>
        <v>http://ts.21cn.com/tousu/show/id/1352251</v>
      </c>
      <c r="F20212" s="2" t="s">
        <v>11</v>
      </c>
      <c r="G20212" s="2" t="s">
        <v>4414</v>
      </c>
      <c r="H20212" s="2" t="s">
        <v>4415</v>
      </c>
    </row>
    <row r="20213" spans="1:8" ht="25.05" customHeight="1" x14ac:dyDescent="0.25">
      <c r="A20213" s="2" t="s">
        <v>8</v>
      </c>
      <c r="B20213" s="2" t="str">
        <f>HYPERLINK("http://ts.21cn.com/tousu/show/id/1352250","淘宝判定信息层面售假申诉失败")</f>
        <v>淘宝判定信息层面售假申诉失败</v>
      </c>
      <c r="C20213" s="2" t="s">
        <v>9</v>
      </c>
      <c r="D20213" s="2" t="s">
        <v>10</v>
      </c>
      <c r="E20213" s="2" t="str">
        <f>HYPERLINK("http://ts.21cn.com/tousu/show/id/1352250","http://ts.21cn.com/tousu/show/id/1352250")</f>
        <v>http://ts.21cn.com/tousu/show/id/1352250</v>
      </c>
      <c r="F20213" s="2" t="s">
        <v>11</v>
      </c>
      <c r="G20213" s="2" t="s">
        <v>4412</v>
      </c>
      <c r="H20213" s="2" t="s">
        <v>4413</v>
      </c>
    </row>
    <row r="20214" spans="1:8" ht="25.05" customHeight="1" x14ac:dyDescent="0.25">
      <c r="A20214" s="2" t="s">
        <v>8</v>
      </c>
      <c r="B20214" s="2" t="str">
        <f>HYPERLINK("http://ts.21cn.com/tousu/show/id/1352254","被360借条坑了")</f>
        <v>被360借条坑了</v>
      </c>
      <c r="C20214" s="2" t="s">
        <v>9</v>
      </c>
      <c r="D20214" s="2" t="s">
        <v>10</v>
      </c>
      <c r="E20214" s="2" t="str">
        <f>HYPERLINK("http://ts.21cn.com/tousu/show/id/1352254","http://ts.21cn.com/tousu/show/id/1352254")</f>
        <v>http://ts.21cn.com/tousu/show/id/1352254</v>
      </c>
      <c r="F20214" s="2" t="s">
        <v>11</v>
      </c>
      <c r="G20214" s="2" t="s">
        <v>4410</v>
      </c>
      <c r="H20214" s="2" t="s">
        <v>4411</v>
      </c>
    </row>
    <row r="20215" spans="1:8" ht="25.05" customHeight="1" x14ac:dyDescent="0.25">
      <c r="A20215" s="2" t="s">
        <v>8</v>
      </c>
      <c r="B20215" s="2" t="str">
        <f>HYPERLINK("http://ts.21cn.com/tousu/show/id/1352252","汇潮支付为高炮王者钱包提供第三方支付！！要求协商还款！！")</f>
        <v>汇潮支付为高炮王者钱包提供第三方支付！！要求协商还款！！</v>
      </c>
      <c r="C20215" s="2" t="s">
        <v>34</v>
      </c>
      <c r="D20215" s="2" t="s">
        <v>10</v>
      </c>
      <c r="E20215" s="2" t="str">
        <f>HYPERLINK("http://ts.21cn.com/tousu/show/id/1352252","http://ts.21cn.com/tousu/show/id/1352252")</f>
        <v>http://ts.21cn.com/tousu/show/id/1352252</v>
      </c>
      <c r="F20215" s="2" t="s">
        <v>11</v>
      </c>
      <c r="G20215" s="2" t="s">
        <v>4408</v>
      </c>
      <c r="H20215" s="2" t="s">
        <v>4409</v>
      </c>
    </row>
    <row r="20216" spans="1:8" ht="25.05" customHeight="1" x14ac:dyDescent="0.25">
      <c r="A20216" s="2" t="s">
        <v>8</v>
      </c>
      <c r="B20216" s="2" t="str">
        <f>HYPERLINK("http://ts.21cn.com/tousu/show/id/1352253","闪银外包催收公司互连众信暴力催收")</f>
        <v>闪银外包催收公司互连众信暴力催收</v>
      </c>
      <c r="C20216" s="2" t="s">
        <v>9</v>
      </c>
      <c r="D20216" s="2" t="s">
        <v>10</v>
      </c>
      <c r="E20216" s="2" t="str">
        <f>HYPERLINK("http://ts.21cn.com/tousu/show/id/1352253","http://ts.21cn.com/tousu/show/id/1352253")</f>
        <v>http://ts.21cn.com/tousu/show/id/1352253</v>
      </c>
      <c r="F20216" s="2" t="s">
        <v>11</v>
      </c>
      <c r="G20216" s="2" t="s">
        <v>4406</v>
      </c>
      <c r="H20216" s="2" t="s">
        <v>4407</v>
      </c>
    </row>
    <row r="20217" spans="1:8" ht="25.05" customHeight="1" x14ac:dyDescent="0.25">
      <c r="A20217" s="2" t="s">
        <v>8</v>
      </c>
      <c r="B20217" s="2" t="str">
        <f>HYPERLINK("http://ts.21cn.com/tousu/show/id/1352256","捷信公司是高利贷")</f>
        <v>捷信公司是高利贷</v>
      </c>
      <c r="C20217" s="2" t="s">
        <v>9</v>
      </c>
      <c r="D20217" s="2" t="s">
        <v>10</v>
      </c>
      <c r="E20217" s="2" t="str">
        <f>HYPERLINK("http://ts.21cn.com/tousu/show/id/1352256","http://ts.21cn.com/tousu/show/id/1352256")</f>
        <v>http://ts.21cn.com/tousu/show/id/1352256</v>
      </c>
      <c r="F20217" s="2" t="s">
        <v>11</v>
      </c>
      <c r="G20217" s="2" t="s">
        <v>4403</v>
      </c>
      <c r="H20217" s="2" t="s">
        <v>4404</v>
      </c>
    </row>
    <row r="20218" spans="1:8" ht="25.05" customHeight="1" x14ac:dyDescent="0.25">
      <c r="A20218" s="2" t="s">
        <v>8</v>
      </c>
      <c r="B20218" s="2" t="str">
        <f>HYPERLINK("http://ts.21cn.com/tousu/show/id/1352255","小浦优客未经同意扣款")</f>
        <v>小浦优客未经同意扣款</v>
      </c>
      <c r="C20218" s="2" t="s">
        <v>9</v>
      </c>
      <c r="D20218" s="2" t="s">
        <v>10</v>
      </c>
      <c r="E20218" s="2" t="str">
        <f>HYPERLINK("http://ts.21cn.com/tousu/show/id/1352255","http://ts.21cn.com/tousu/show/id/1352255")</f>
        <v>http://ts.21cn.com/tousu/show/id/1352255</v>
      </c>
      <c r="F20218" s="2" t="s">
        <v>11</v>
      </c>
      <c r="G20218" s="2" t="s">
        <v>4403</v>
      </c>
      <c r="H20218" s="2" t="s">
        <v>4405</v>
      </c>
    </row>
    <row r="20219" spans="1:8" ht="25.05" customHeight="1" x14ac:dyDescent="0.25">
      <c r="A20219" s="2" t="s">
        <v>8</v>
      </c>
      <c r="B20219" s="2" t="str">
        <f>HYPERLINK("http://ts.21cn.com/tousu/show/id/1351736","英孚退款，英孚机构霸王条约")</f>
        <v>英孚退款，英孚机构霸王条约</v>
      </c>
      <c r="C20219" s="2" t="s">
        <v>9</v>
      </c>
      <c r="D20219" s="2" t="s">
        <v>10</v>
      </c>
      <c r="E20219" s="2" t="str">
        <f>HYPERLINK("http://ts.21cn.com/tousu/show/id/1351736","http://ts.21cn.com/tousu/show/id/1351736")</f>
        <v>http://ts.21cn.com/tousu/show/id/1351736</v>
      </c>
      <c r="F20219" s="2" t="s">
        <v>11</v>
      </c>
      <c r="G20219" s="2" t="s">
        <v>4401</v>
      </c>
      <c r="H20219" s="2" t="s">
        <v>4402</v>
      </c>
    </row>
    <row r="20220" spans="1:8" ht="25.05" customHeight="1" x14ac:dyDescent="0.25">
      <c r="A20220" s="2" t="s">
        <v>8</v>
      </c>
      <c r="B20220" s="2" t="str">
        <f>HYPERLINK("http://ts.21cn.com/tousu/show/id/1352257","快闪卡贷砍头息高利贷捆绑保险")</f>
        <v>快闪卡贷砍头息高利贷捆绑保险</v>
      </c>
      <c r="C20220" s="2" t="s">
        <v>9</v>
      </c>
      <c r="D20220" s="2" t="s">
        <v>10</v>
      </c>
      <c r="E20220" s="2" t="str">
        <f>HYPERLINK("http://ts.21cn.com/tousu/show/id/1352257","http://ts.21cn.com/tousu/show/id/1352257")</f>
        <v>http://ts.21cn.com/tousu/show/id/1352257</v>
      </c>
      <c r="F20220" s="2" t="s">
        <v>11</v>
      </c>
      <c r="G20220" s="2" t="s">
        <v>4399</v>
      </c>
      <c r="H20220" s="2" t="s">
        <v>4400</v>
      </c>
    </row>
    <row r="20221" spans="1:8" ht="25.05" customHeight="1" x14ac:dyDescent="0.25">
      <c r="A20221" s="2" t="s">
        <v>8</v>
      </c>
      <c r="B20221" s="2" t="str">
        <f>HYPERLINK("http://ts.21cn.com/tousu/show/id/1352258","及贷暴力威胁恐吓催收")</f>
        <v>及贷暴力威胁恐吓催收</v>
      </c>
      <c r="C20221" s="2" t="s">
        <v>9</v>
      </c>
      <c r="D20221" s="2" t="s">
        <v>10</v>
      </c>
      <c r="E20221" s="2" t="str">
        <f>HYPERLINK("http://ts.21cn.com/tousu/show/id/1352258","http://ts.21cn.com/tousu/show/id/1352258")</f>
        <v>http://ts.21cn.com/tousu/show/id/1352258</v>
      </c>
      <c r="F20221" s="2" t="s">
        <v>11</v>
      </c>
      <c r="G20221" s="2" t="s">
        <v>4397</v>
      </c>
      <c r="H20221" s="2" t="s">
        <v>4398</v>
      </c>
    </row>
    <row r="20222" spans="1:8" ht="25.05" customHeight="1" x14ac:dyDescent="0.25">
      <c r="A20222" s="2" t="s">
        <v>8</v>
      </c>
      <c r="B20222" s="2" t="str">
        <f>HYPERLINK("http://ts.21cn.com/tousu/show/id/1352259","平安i贷雇佣外包催收集团暴力催收")</f>
        <v>平安i贷雇佣外包催收集团暴力催收</v>
      </c>
      <c r="C20222" s="2" t="s">
        <v>9</v>
      </c>
      <c r="D20222" s="2" t="s">
        <v>10</v>
      </c>
      <c r="E20222" s="2" t="str">
        <f>HYPERLINK("http://ts.21cn.com/tousu/show/id/1352259","http://ts.21cn.com/tousu/show/id/1352259")</f>
        <v>http://ts.21cn.com/tousu/show/id/1352259</v>
      </c>
      <c r="F20222" s="2" t="s">
        <v>11</v>
      </c>
      <c r="G20222" s="2" t="s">
        <v>4395</v>
      </c>
      <c r="H20222" s="2" t="s">
        <v>4396</v>
      </c>
    </row>
    <row r="20223" spans="1:8" ht="25.05" customHeight="1" x14ac:dyDescent="0.25">
      <c r="A20223" s="2" t="s">
        <v>8</v>
      </c>
      <c r="B20223" s="2" t="str">
        <f>HYPERLINK("http://ts.21cn.com/tousu/show/id/1352260","光大银行催收已经协商好还款日依旧联系家里人")</f>
        <v>光大银行催收已经协商好还款日依旧联系家里人</v>
      </c>
      <c r="C20223" s="2" t="s">
        <v>34</v>
      </c>
      <c r="D20223" s="2" t="s">
        <v>10</v>
      </c>
      <c r="E20223" s="2" t="str">
        <f>HYPERLINK("http://ts.21cn.com/tousu/show/id/1352260","http://ts.21cn.com/tousu/show/id/1352260")</f>
        <v>http://ts.21cn.com/tousu/show/id/1352260</v>
      </c>
      <c r="F20223" s="2" t="s">
        <v>11</v>
      </c>
      <c r="G20223" s="2" t="s">
        <v>4393</v>
      </c>
      <c r="H20223" s="2" t="s">
        <v>4394</v>
      </c>
    </row>
    <row r="20224" spans="1:8" ht="25.05" customHeight="1" x14ac:dyDescent="0.25">
      <c r="A20224" s="2" t="s">
        <v>8</v>
      </c>
      <c r="B20224" s="2" t="str">
        <f>HYPERLINK("http://ts.21cn.com/tousu/show/id/1352262","暴力催收威胁恐吓")</f>
        <v>暴力催收威胁恐吓</v>
      </c>
      <c r="C20224" s="2" t="s">
        <v>9</v>
      </c>
      <c r="D20224" s="2" t="s">
        <v>10</v>
      </c>
      <c r="E20224" s="2" t="str">
        <f>HYPERLINK("http://ts.21cn.com/tousu/show/id/1352262","http://ts.21cn.com/tousu/show/id/1352262")</f>
        <v>http://ts.21cn.com/tousu/show/id/1352262</v>
      </c>
      <c r="F20224" s="2" t="s">
        <v>11</v>
      </c>
      <c r="G20224" s="2" t="s">
        <v>4391</v>
      </c>
      <c r="H20224" s="2" t="s">
        <v>4392</v>
      </c>
    </row>
    <row r="20225" spans="1:8" ht="25.05" customHeight="1" x14ac:dyDescent="0.25">
      <c r="A20225" s="2" t="s">
        <v>8</v>
      </c>
      <c r="B20225" s="2" t="str">
        <f>HYPERLINK("http://ts.21cn.com/tousu/show/id/1352263","米多点高利贷")</f>
        <v>米多点高利贷</v>
      </c>
      <c r="C20225" s="2" t="s">
        <v>9</v>
      </c>
      <c r="D20225" s="2" t="s">
        <v>10</v>
      </c>
      <c r="E20225" s="2" t="str">
        <f>HYPERLINK("http://ts.21cn.com/tousu/show/id/1352263","http://ts.21cn.com/tousu/show/id/1352263")</f>
        <v>http://ts.21cn.com/tousu/show/id/1352263</v>
      </c>
      <c r="F20225" s="2" t="s">
        <v>11</v>
      </c>
      <c r="G20225" s="2" t="s">
        <v>4389</v>
      </c>
      <c r="H20225" s="2" t="s">
        <v>4390</v>
      </c>
    </row>
    <row r="20226" spans="1:8" ht="25.05" customHeight="1" x14ac:dyDescent="0.25">
      <c r="A20226" s="2" t="s">
        <v>8</v>
      </c>
      <c r="B20226" s="2" t="str">
        <f>HYPERLINK("http://ts.21cn.com/tousu/show/id/1352264","海纳百川暴力催收")</f>
        <v>海纳百川暴力催收</v>
      </c>
      <c r="C20226" s="2" t="s">
        <v>9</v>
      </c>
      <c r="D20226" s="2" t="s">
        <v>10</v>
      </c>
      <c r="E20226" s="2" t="str">
        <f>HYPERLINK("http://ts.21cn.com/tousu/show/id/1352264","http://ts.21cn.com/tousu/show/id/1352264")</f>
        <v>http://ts.21cn.com/tousu/show/id/1352264</v>
      </c>
      <c r="F20226" s="2" t="s">
        <v>11</v>
      </c>
      <c r="G20226" s="2" t="s">
        <v>4387</v>
      </c>
      <c r="H20226" s="2" t="s">
        <v>4388</v>
      </c>
    </row>
    <row r="20227" spans="1:8" ht="25.05" customHeight="1" x14ac:dyDescent="0.25">
      <c r="A20227" s="2" t="s">
        <v>8</v>
      </c>
      <c r="B20227" s="2" t="str">
        <f>HYPERLINK("http://ts.21cn.com/tousu/show/id/1352265","京东金融软暴力催收严重骚扰通讯录联系人")</f>
        <v>京东金融软暴力催收严重骚扰通讯录联系人</v>
      </c>
      <c r="C20227" s="2" t="s">
        <v>9</v>
      </c>
      <c r="D20227" s="2" t="s">
        <v>10</v>
      </c>
      <c r="E20227" s="2" t="str">
        <f>HYPERLINK("http://ts.21cn.com/tousu/show/id/1352265","http://ts.21cn.com/tousu/show/id/1352265")</f>
        <v>http://ts.21cn.com/tousu/show/id/1352265</v>
      </c>
      <c r="F20227" s="2" t="s">
        <v>11</v>
      </c>
      <c r="G20227" s="2" t="s">
        <v>4385</v>
      </c>
      <c r="H20227" s="2" t="s">
        <v>4386</v>
      </c>
    </row>
    <row r="20228" spans="1:8" ht="25.05" customHeight="1" x14ac:dyDescent="0.25">
      <c r="A20228" s="2" t="s">
        <v>8</v>
      </c>
      <c r="B20228" s="2" t="str">
        <f>HYPERLINK("http://ts.21cn.com/tousu/show/id/1352266","虚假发货")</f>
        <v>虚假发货</v>
      </c>
      <c r="C20228" s="2" t="s">
        <v>9</v>
      </c>
      <c r="D20228" s="2" t="s">
        <v>10</v>
      </c>
      <c r="E20228" s="2" t="str">
        <f>HYPERLINK("http://ts.21cn.com/tousu/show/id/1352266","http://ts.21cn.com/tousu/show/id/1352266")</f>
        <v>http://ts.21cn.com/tousu/show/id/1352266</v>
      </c>
      <c r="F20228" s="2" t="s">
        <v>11</v>
      </c>
      <c r="G20228" s="2" t="s">
        <v>4383</v>
      </c>
      <c r="H20228" s="2" t="s">
        <v>4384</v>
      </c>
    </row>
    <row r="20229" spans="1:8" ht="25.05" customHeight="1" x14ac:dyDescent="0.25">
      <c r="A20229" s="2" t="s">
        <v>8</v>
      </c>
      <c r="B20229" s="2" t="str">
        <f>HYPERLINK("http://ts.21cn.com/tousu/show/id/1352267","闪电借款暴力催收，侵犯个人隐私")</f>
        <v>闪电借款暴力催收，侵犯个人隐私</v>
      </c>
      <c r="C20229" s="2" t="s">
        <v>9</v>
      </c>
      <c r="D20229" s="2" t="s">
        <v>10</v>
      </c>
      <c r="E20229" s="2" t="str">
        <f>HYPERLINK("http://ts.21cn.com/tousu/show/id/1352267","http://ts.21cn.com/tousu/show/id/1352267")</f>
        <v>http://ts.21cn.com/tousu/show/id/1352267</v>
      </c>
      <c r="F20229" s="2" t="s">
        <v>11</v>
      </c>
      <c r="G20229" s="2" t="s">
        <v>4381</v>
      </c>
      <c r="H20229" s="2" t="s">
        <v>4382</v>
      </c>
    </row>
    <row r="20230" spans="1:8" ht="25.05" customHeight="1" x14ac:dyDescent="0.25">
      <c r="A20230" s="2" t="s">
        <v>8</v>
      </c>
      <c r="B20230" s="2" t="str">
        <f>HYPERLINK("http://ts.21cn.com/tousu/show/id/1352268","平安易贷电话骚扰")</f>
        <v>平安易贷电话骚扰</v>
      </c>
      <c r="C20230" s="2" t="s">
        <v>9</v>
      </c>
      <c r="D20230" s="2" t="s">
        <v>10</v>
      </c>
      <c r="E20230" s="2" t="str">
        <f>HYPERLINK("http://ts.21cn.com/tousu/show/id/1352268","http://ts.21cn.com/tousu/show/id/1352268")</f>
        <v>http://ts.21cn.com/tousu/show/id/1352268</v>
      </c>
      <c r="F20230" s="2" t="s">
        <v>11</v>
      </c>
      <c r="G20230" s="2" t="s">
        <v>4379</v>
      </c>
      <c r="H20230" s="2" t="s">
        <v>4380</v>
      </c>
    </row>
    <row r="20231" spans="1:8" ht="25.05" customHeight="1" x14ac:dyDescent="0.25">
      <c r="A20231" s="2" t="s">
        <v>8</v>
      </c>
      <c r="B20231" s="2" t="str">
        <f>HYPERLINK("http://ts.21cn.com/tousu/show/id/1352269","高利贷，套路贷，人都被逼疯了")</f>
        <v>高利贷，套路贷，人都被逼疯了</v>
      </c>
      <c r="C20231" s="2" t="s">
        <v>9</v>
      </c>
      <c r="D20231" s="2" t="s">
        <v>10</v>
      </c>
      <c r="E20231" s="2" t="str">
        <f>HYPERLINK("http://ts.21cn.com/tousu/show/id/1352269","http://ts.21cn.com/tousu/show/id/1352269")</f>
        <v>http://ts.21cn.com/tousu/show/id/1352269</v>
      </c>
      <c r="F20231" s="2" t="s">
        <v>11</v>
      </c>
      <c r="G20231" s="2" t="s">
        <v>4377</v>
      </c>
      <c r="H20231" s="2" t="s">
        <v>4378</v>
      </c>
    </row>
    <row r="20232" spans="1:8" ht="25.05" customHeight="1" x14ac:dyDescent="0.25">
      <c r="A20232" s="2" t="s">
        <v>8</v>
      </c>
      <c r="B20232" s="2" t="str">
        <f>HYPERLINK("http://ts.21cn.com/tousu/show/id/1352270","大手钱包高利贷砍头息")</f>
        <v>大手钱包高利贷砍头息</v>
      </c>
      <c r="C20232" s="2" t="s">
        <v>9</v>
      </c>
      <c r="D20232" s="2" t="s">
        <v>10</v>
      </c>
      <c r="E20232" s="2" t="str">
        <f>HYPERLINK("http://ts.21cn.com/tousu/show/id/1352270","http://ts.21cn.com/tousu/show/id/1352270")</f>
        <v>http://ts.21cn.com/tousu/show/id/1352270</v>
      </c>
      <c r="F20232" s="2" t="s">
        <v>11</v>
      </c>
      <c r="G20232" s="2" t="s">
        <v>4375</v>
      </c>
      <c r="H20232" s="2" t="s">
        <v>4376</v>
      </c>
    </row>
    <row r="20233" spans="1:8" ht="25.05" customHeight="1" x14ac:dyDescent="0.25">
      <c r="A20233" s="2" t="s">
        <v>8</v>
      </c>
      <c r="B20233" s="2" t="str">
        <f>HYPERLINK("http://ts.21cn.com/tousu/show/id/1352271","立借高利贷套路贷暴力催收伙同支付公司故意造成逾期，大晚上自动扣款")</f>
        <v>立借高利贷套路贷暴力催收伙同支付公司故意造成逾期，大晚上自动扣款</v>
      </c>
      <c r="C20233" s="2" t="s">
        <v>9</v>
      </c>
      <c r="D20233" s="2" t="s">
        <v>10</v>
      </c>
      <c r="E20233" s="2" t="str">
        <f>HYPERLINK("http://ts.21cn.com/tousu/show/id/1352271","http://ts.21cn.com/tousu/show/id/1352271")</f>
        <v>http://ts.21cn.com/tousu/show/id/1352271</v>
      </c>
      <c r="F20233" s="2" t="s">
        <v>11</v>
      </c>
      <c r="G20233" s="2" t="s">
        <v>4373</v>
      </c>
      <c r="H20233" s="2" t="s">
        <v>4374</v>
      </c>
    </row>
    <row r="20234" spans="1:8" ht="25.05" customHeight="1" x14ac:dyDescent="0.25">
      <c r="A20234" s="2" t="s">
        <v>8</v>
      </c>
      <c r="B20234" s="2" t="str">
        <f>HYPERLINK("http://ts.21cn.com/tousu/show/id/1352272","安逸花锁定账户不能消费和提现")</f>
        <v>安逸花锁定账户不能消费和提现</v>
      </c>
      <c r="C20234" s="2" t="s">
        <v>34</v>
      </c>
      <c r="D20234" s="2" t="s">
        <v>10</v>
      </c>
      <c r="E20234" s="2" t="str">
        <f>HYPERLINK("http://ts.21cn.com/tousu/show/id/1352272","http://ts.21cn.com/tousu/show/id/1352272")</f>
        <v>http://ts.21cn.com/tousu/show/id/1352272</v>
      </c>
      <c r="F20234" s="2" t="s">
        <v>11</v>
      </c>
      <c r="G20234" s="2" t="s">
        <v>4371</v>
      </c>
      <c r="H20234" s="2" t="s">
        <v>4372</v>
      </c>
    </row>
    <row r="20235" spans="1:8" ht="25.05" customHeight="1" x14ac:dyDescent="0.25">
      <c r="A20235" s="2" t="s">
        <v>8</v>
      </c>
      <c r="B20235" s="2" t="str">
        <f>HYPERLINK("http://ts.21cn.com/tousu/show/id/1352273","你我贷借3600要还4800多")</f>
        <v>你我贷借3600要还4800多</v>
      </c>
      <c r="C20235" s="2" t="s">
        <v>34</v>
      </c>
      <c r="D20235" s="2" t="s">
        <v>10</v>
      </c>
      <c r="E20235" s="2" t="str">
        <f>HYPERLINK("http://ts.21cn.com/tousu/show/id/1352273","http://ts.21cn.com/tousu/show/id/1352273")</f>
        <v>http://ts.21cn.com/tousu/show/id/1352273</v>
      </c>
      <c r="F20235" s="2" t="s">
        <v>11</v>
      </c>
      <c r="G20235" s="2" t="s">
        <v>4369</v>
      </c>
      <c r="H20235" s="2" t="s">
        <v>4370</v>
      </c>
    </row>
    <row r="20236" spans="1:8" ht="25.05" customHeight="1" x14ac:dyDescent="0.25">
      <c r="A20236" s="2" t="s">
        <v>8</v>
      </c>
      <c r="B20236" s="2" t="str">
        <f>HYPERLINK("http://ts.21cn.com/tousu/show/id/1352274","卡牛瑞贷胡乱扣款")</f>
        <v>卡牛瑞贷胡乱扣款</v>
      </c>
      <c r="C20236" s="2" t="s">
        <v>9</v>
      </c>
      <c r="D20236" s="2" t="s">
        <v>10</v>
      </c>
      <c r="E20236" s="2" t="str">
        <f>HYPERLINK("http://ts.21cn.com/tousu/show/id/1352274","http://ts.21cn.com/tousu/show/id/1352274")</f>
        <v>http://ts.21cn.com/tousu/show/id/1352274</v>
      </c>
      <c r="F20236" s="2" t="s">
        <v>11</v>
      </c>
      <c r="G20236" s="2" t="s">
        <v>4367</v>
      </c>
      <c r="H20236" s="2" t="s">
        <v>4368</v>
      </c>
    </row>
    <row r="20237" spans="1:8" ht="25.05" customHeight="1" x14ac:dyDescent="0.25">
      <c r="A20237" s="2" t="s">
        <v>8</v>
      </c>
      <c r="B20237" s="2" t="str">
        <f>HYPERLINK("http://ts.21cn.com/tousu/show/id/1352276","宜人贷暴力催收")</f>
        <v>宜人贷暴力催收</v>
      </c>
      <c r="C20237" s="2" t="s">
        <v>9</v>
      </c>
      <c r="D20237" s="2" t="s">
        <v>10</v>
      </c>
      <c r="E20237" s="2" t="str">
        <f>HYPERLINK("http://ts.21cn.com/tousu/show/id/1352276","http://ts.21cn.com/tousu/show/id/1352276")</f>
        <v>http://ts.21cn.com/tousu/show/id/1352276</v>
      </c>
      <c r="F20237" s="2" t="s">
        <v>11</v>
      </c>
      <c r="G20237" s="2" t="s">
        <v>4365</v>
      </c>
      <c r="H20237" s="2" t="s">
        <v>4366</v>
      </c>
    </row>
    <row r="20238" spans="1:8" ht="25.05" customHeight="1" x14ac:dyDescent="0.25">
      <c r="A20238" s="2" t="s">
        <v>8</v>
      </c>
      <c r="B20238" s="2" t="str">
        <f>HYPERLINK("http://ts.21cn.com/tousu/show/id/1352277","因生意失败无力偿还特申请全部账单分期")</f>
        <v>因生意失败无力偿还特申请全部账单分期</v>
      </c>
      <c r="C20238" s="2" t="s">
        <v>9</v>
      </c>
      <c r="D20238" s="2" t="s">
        <v>10</v>
      </c>
      <c r="E20238" s="2" t="str">
        <f>HYPERLINK("http://ts.21cn.com/tousu/show/id/1352277","http://ts.21cn.com/tousu/show/id/1352277")</f>
        <v>http://ts.21cn.com/tousu/show/id/1352277</v>
      </c>
      <c r="F20238" s="2" t="s">
        <v>11</v>
      </c>
      <c r="G20238" s="2" t="s">
        <v>4363</v>
      </c>
      <c r="H20238" s="2" t="s">
        <v>4364</v>
      </c>
    </row>
    <row r="20239" spans="1:8" ht="25.05" customHeight="1" x14ac:dyDescent="0.25">
      <c r="A20239" s="2" t="s">
        <v>8</v>
      </c>
      <c r="B20239" s="2" t="str">
        <f>HYPERLINK("http://ts.21cn.com/tousu/show/id/1352278","uu跑腿提现问题")</f>
        <v>uu跑腿提现问题</v>
      </c>
      <c r="C20239" s="2" t="s">
        <v>9</v>
      </c>
      <c r="D20239" s="2" t="s">
        <v>10</v>
      </c>
      <c r="E20239" s="2" t="str">
        <f>HYPERLINK("http://ts.21cn.com/tousu/show/id/1352278","http://ts.21cn.com/tousu/show/id/1352278")</f>
        <v>http://ts.21cn.com/tousu/show/id/1352278</v>
      </c>
      <c r="F20239" s="2" t="s">
        <v>11</v>
      </c>
      <c r="G20239" s="2" t="s">
        <v>4361</v>
      </c>
      <c r="H20239" s="2" t="s">
        <v>4362</v>
      </c>
    </row>
    <row r="20240" spans="1:8" ht="25.05" customHeight="1" x14ac:dyDescent="0.25">
      <c r="A20240" s="2" t="s">
        <v>8</v>
      </c>
      <c r="B20240" s="2" t="str">
        <f>HYPERLINK("http://ts.21cn.com/tousu/show/id/1352281","小浦优客未经同意扣款")</f>
        <v>小浦优客未经同意扣款</v>
      </c>
      <c r="C20240" s="2" t="s">
        <v>9</v>
      </c>
      <c r="D20240" s="2" t="s">
        <v>10</v>
      </c>
      <c r="E20240" s="2" t="str">
        <f>HYPERLINK("http://ts.21cn.com/tousu/show/id/1352281","http://ts.21cn.com/tousu/show/id/1352281")</f>
        <v>http://ts.21cn.com/tousu/show/id/1352281</v>
      </c>
      <c r="F20240" s="2" t="s">
        <v>11</v>
      </c>
      <c r="G20240" s="2" t="s">
        <v>4359</v>
      </c>
      <c r="H20240" s="2" t="s">
        <v>4360</v>
      </c>
    </row>
    <row r="20241" spans="1:8" ht="25.05" customHeight="1" x14ac:dyDescent="0.25">
      <c r="A20241" s="2" t="s">
        <v>8</v>
      </c>
      <c r="B20241" s="2" t="str">
        <f>HYPERLINK("http://ts.21cn.com/tousu/show/id/1352280","闲鱼对卖家无任何管理及约束")</f>
        <v>闲鱼对卖家无任何管理及约束</v>
      </c>
      <c r="C20241" s="2" t="s">
        <v>9</v>
      </c>
      <c r="D20241" s="2" t="s">
        <v>10</v>
      </c>
      <c r="E20241" s="2" t="str">
        <f>HYPERLINK("http://ts.21cn.com/tousu/show/id/1352280","http://ts.21cn.com/tousu/show/id/1352280")</f>
        <v>http://ts.21cn.com/tousu/show/id/1352280</v>
      </c>
      <c r="F20241" s="2" t="s">
        <v>11</v>
      </c>
      <c r="G20241" s="2" t="s">
        <v>4357</v>
      </c>
      <c r="H20241" s="2" t="s">
        <v>4358</v>
      </c>
    </row>
    <row r="20242" spans="1:8" ht="25.05" customHeight="1" x14ac:dyDescent="0.25">
      <c r="A20242" s="2" t="s">
        <v>8</v>
      </c>
      <c r="B20242" s="2" t="str">
        <f>HYPERLINK("http://ts.21cn.com/tousu/show/id/1352285","真是不要脸的联动优势")</f>
        <v>真是不要脸的联动优势</v>
      </c>
      <c r="C20242" s="2" t="s">
        <v>9</v>
      </c>
      <c r="D20242" s="2" t="s">
        <v>10</v>
      </c>
      <c r="E20242" s="2" t="str">
        <f>HYPERLINK("http://ts.21cn.com/tousu/show/id/1352285","http://ts.21cn.com/tousu/show/id/1352285")</f>
        <v>http://ts.21cn.com/tousu/show/id/1352285</v>
      </c>
      <c r="F20242" s="2" t="s">
        <v>11</v>
      </c>
      <c r="G20242" s="2" t="s">
        <v>4355</v>
      </c>
      <c r="H20242" s="2" t="s">
        <v>4356</v>
      </c>
    </row>
    <row r="20243" spans="1:8" ht="25.05" customHeight="1" x14ac:dyDescent="0.25">
      <c r="A20243" s="2" t="s">
        <v>8</v>
      </c>
      <c r="B20243" s="2" t="str">
        <f>HYPERLINK("http://ts.21cn.com/tousu/show/id/1352286","惠易借高利贷砍头息恶意催收")</f>
        <v>惠易借高利贷砍头息恶意催收</v>
      </c>
      <c r="C20243" s="2" t="s">
        <v>9</v>
      </c>
      <c r="D20243" s="2" t="s">
        <v>10</v>
      </c>
      <c r="E20243" s="2" t="str">
        <f>HYPERLINK("http://ts.21cn.com/tousu/show/id/1352286","http://ts.21cn.com/tousu/show/id/1352286")</f>
        <v>http://ts.21cn.com/tousu/show/id/1352286</v>
      </c>
      <c r="F20243" s="2" t="s">
        <v>11</v>
      </c>
      <c r="G20243" s="2" t="s">
        <v>4353</v>
      </c>
      <c r="H20243" s="2" t="s">
        <v>4354</v>
      </c>
    </row>
    <row r="20244" spans="1:8" ht="25.05" customHeight="1" x14ac:dyDescent="0.25">
      <c r="A20244" s="2" t="s">
        <v>8</v>
      </c>
      <c r="B20244" s="2" t="str">
        <f>HYPERLINK("http://ts.21cn.com/tousu/show/id/1352287","服装质量问题")</f>
        <v>服装质量问题</v>
      </c>
      <c r="C20244" s="2" t="s">
        <v>9</v>
      </c>
      <c r="D20244" s="2" t="s">
        <v>10</v>
      </c>
      <c r="E20244" s="2" t="str">
        <f>HYPERLINK("http://ts.21cn.com/tousu/show/id/1352287","http://ts.21cn.com/tousu/show/id/1352287")</f>
        <v>http://ts.21cn.com/tousu/show/id/1352287</v>
      </c>
      <c r="F20244" s="2" t="s">
        <v>11</v>
      </c>
      <c r="G20244" s="2" t="s">
        <v>4351</v>
      </c>
      <c r="H20244" s="2" t="s">
        <v>4352</v>
      </c>
    </row>
    <row r="20245" spans="1:8" ht="25.05" customHeight="1" x14ac:dyDescent="0.25">
      <c r="A20245" s="2" t="s">
        <v>8</v>
      </c>
      <c r="B20245" s="2" t="str">
        <f>HYPERLINK("http://ts.21cn.com/tousu/show/id/1352288","在马蜂窝上订近两千元机票，寄过来的发票只有100多元")</f>
        <v>在马蜂窝上订近两千元机票，寄过来的发票只有100多元</v>
      </c>
      <c r="C20245" s="2" t="s">
        <v>9</v>
      </c>
      <c r="D20245" s="2" t="s">
        <v>10</v>
      </c>
      <c r="E20245" s="2" t="str">
        <f>HYPERLINK("http://ts.21cn.com/tousu/show/id/1352288","http://ts.21cn.com/tousu/show/id/1352288")</f>
        <v>http://ts.21cn.com/tousu/show/id/1352288</v>
      </c>
      <c r="F20245" s="2" t="s">
        <v>11</v>
      </c>
      <c r="G20245" s="2" t="s">
        <v>4349</v>
      </c>
      <c r="H20245" s="2" t="s">
        <v>4350</v>
      </c>
    </row>
    <row r="20246" spans="1:8" ht="25.05" customHeight="1" x14ac:dyDescent="0.25">
      <c r="A20246" s="2" t="s">
        <v>8</v>
      </c>
      <c r="B20246" s="2" t="str">
        <f>HYPERLINK("http://ts.21cn.com/tousu/show/id/1352289","恒昌公司旗下恒易贷合同金额远高于实际借款金额")</f>
        <v>恒昌公司旗下恒易贷合同金额远高于实际借款金额</v>
      </c>
      <c r="C20246" s="2" t="s">
        <v>9</v>
      </c>
      <c r="D20246" s="2" t="s">
        <v>10</v>
      </c>
      <c r="E20246" s="2" t="str">
        <f>HYPERLINK("http://ts.21cn.com/tousu/show/id/1352289","http://ts.21cn.com/tousu/show/id/1352289")</f>
        <v>http://ts.21cn.com/tousu/show/id/1352289</v>
      </c>
      <c r="F20246" s="2" t="s">
        <v>11</v>
      </c>
      <c r="G20246" s="2" t="s">
        <v>4347</v>
      </c>
      <c r="H20246" s="2" t="s">
        <v>4348</v>
      </c>
    </row>
    <row r="20247" spans="1:8" ht="25.05" customHeight="1" x14ac:dyDescent="0.25">
      <c r="A20247" s="2" t="s">
        <v>8</v>
      </c>
      <c r="B20247" s="2" t="str">
        <f>HYPERLINK("http://ts.21cn.com/tousu/show/id/1352290","中信银行信用卡")</f>
        <v>中信银行信用卡</v>
      </c>
      <c r="C20247" s="2" t="s">
        <v>9</v>
      </c>
      <c r="D20247" s="2" t="s">
        <v>10</v>
      </c>
      <c r="E20247" s="2" t="str">
        <f>HYPERLINK("http://ts.21cn.com/tousu/show/id/1352290","http://ts.21cn.com/tousu/show/id/1352290")</f>
        <v>http://ts.21cn.com/tousu/show/id/1352290</v>
      </c>
      <c r="F20247" s="2" t="s">
        <v>11</v>
      </c>
      <c r="G20247" s="2" t="s">
        <v>4345</v>
      </c>
      <c r="H20247" s="2" t="s">
        <v>4346</v>
      </c>
    </row>
    <row r="20248" spans="1:8" ht="25.05" customHeight="1" x14ac:dyDescent="0.25">
      <c r="A20248" s="2" t="s">
        <v>8</v>
      </c>
      <c r="B20248" s="2" t="str">
        <f>HYPERLINK("http://ts.21cn.com/tousu/show/id/1352291","银生宝不退保证金")</f>
        <v>银生宝不退保证金</v>
      </c>
      <c r="C20248" s="2" t="s">
        <v>9</v>
      </c>
      <c r="D20248" s="2" t="s">
        <v>10</v>
      </c>
      <c r="E20248" s="2" t="str">
        <f>HYPERLINK("http://ts.21cn.com/tousu/show/id/1352291","http://ts.21cn.com/tousu/show/id/1352291")</f>
        <v>http://ts.21cn.com/tousu/show/id/1352291</v>
      </c>
      <c r="F20248" s="2" t="s">
        <v>11</v>
      </c>
      <c r="G20248" s="2" t="s">
        <v>4343</v>
      </c>
      <c r="H20248" s="2" t="s">
        <v>4344</v>
      </c>
    </row>
    <row r="20249" spans="1:8" ht="25.05" customHeight="1" x14ac:dyDescent="0.25">
      <c r="A20249" s="2" t="s">
        <v>8</v>
      </c>
      <c r="B20249" s="2" t="str">
        <f>HYPERLINK("http://ts.21cn.com/tousu/show/id/1352293","我来贷提前还款，仍需要支付所有利息")</f>
        <v>我来贷提前还款，仍需要支付所有利息</v>
      </c>
      <c r="C20249" s="2" t="s">
        <v>34</v>
      </c>
      <c r="D20249" s="2" t="s">
        <v>10</v>
      </c>
      <c r="E20249" s="2" t="str">
        <f>HYPERLINK("http://ts.21cn.com/tousu/show/id/1352293","http://ts.21cn.com/tousu/show/id/1352293")</f>
        <v>http://ts.21cn.com/tousu/show/id/1352293</v>
      </c>
      <c r="F20249" s="2" t="s">
        <v>11</v>
      </c>
      <c r="G20249" s="2" t="s">
        <v>4341</v>
      </c>
      <c r="H20249" s="2" t="s">
        <v>4342</v>
      </c>
    </row>
    <row r="20250" spans="1:8" ht="25.05" customHeight="1" x14ac:dyDescent="0.25">
      <c r="A20250" s="2" t="s">
        <v>8</v>
      </c>
      <c r="B20250" s="2" t="str">
        <f>HYPERLINK("http://ts.21cn.com/tousu/show/id/1352294","宏萨（上海）信息科技有限公司私自扣款")</f>
        <v>宏萨（上海）信息科技有限公司私自扣款</v>
      </c>
      <c r="C20250" s="2" t="s">
        <v>9</v>
      </c>
      <c r="D20250" s="2" t="s">
        <v>10</v>
      </c>
      <c r="E20250" s="2" t="str">
        <f>HYPERLINK("http://ts.21cn.com/tousu/show/id/1352294","http://ts.21cn.com/tousu/show/id/1352294")</f>
        <v>http://ts.21cn.com/tousu/show/id/1352294</v>
      </c>
      <c r="F20250" s="2" t="s">
        <v>11</v>
      </c>
      <c r="G20250" s="2" t="s">
        <v>4339</v>
      </c>
      <c r="H20250" s="2" t="s">
        <v>4340</v>
      </c>
    </row>
    <row r="20251" spans="1:8" ht="25.05" customHeight="1" x14ac:dyDescent="0.25">
      <c r="A20251" s="2" t="s">
        <v>8</v>
      </c>
      <c r="B20251" s="2" t="str">
        <f>HYPERLINK("http://ts.21cn.com/tousu/show/id/1352292","威胁上门催收")</f>
        <v>威胁上门催收</v>
      </c>
      <c r="C20251" s="2" t="s">
        <v>9</v>
      </c>
      <c r="D20251" s="2" t="s">
        <v>10</v>
      </c>
      <c r="E20251" s="2" t="str">
        <f>HYPERLINK("http://ts.21cn.com/tousu/show/id/1352292","http://ts.21cn.com/tousu/show/id/1352292")</f>
        <v>http://ts.21cn.com/tousu/show/id/1352292</v>
      </c>
      <c r="F20251" s="2" t="s">
        <v>11</v>
      </c>
      <c r="G20251" s="2" t="s">
        <v>4337</v>
      </c>
      <c r="H20251" s="2" t="s">
        <v>4338</v>
      </c>
    </row>
    <row r="20252" spans="1:8" ht="25.05" customHeight="1" x14ac:dyDescent="0.25">
      <c r="A20252" s="2" t="s">
        <v>8</v>
      </c>
      <c r="B20252" s="2" t="str">
        <f>HYPERLINK("http://ts.21cn.com/tousu/show/id/1352295","玖富万卡小蓝卡高利贷阴阳合同")</f>
        <v>玖富万卡小蓝卡高利贷阴阳合同</v>
      </c>
      <c r="C20252" s="2" t="s">
        <v>9</v>
      </c>
      <c r="D20252" s="2" t="s">
        <v>10</v>
      </c>
      <c r="E20252" s="2" t="str">
        <f>HYPERLINK("http://ts.21cn.com/tousu/show/id/1352295","http://ts.21cn.com/tousu/show/id/1352295")</f>
        <v>http://ts.21cn.com/tousu/show/id/1352295</v>
      </c>
      <c r="F20252" s="2" t="s">
        <v>11</v>
      </c>
      <c r="G20252" s="2" t="s">
        <v>4335</v>
      </c>
      <c r="H20252" s="2" t="s">
        <v>4336</v>
      </c>
    </row>
    <row r="20253" spans="1:8" ht="25.05" customHeight="1" x14ac:dyDescent="0.25">
      <c r="A20253" s="2" t="s">
        <v>8</v>
      </c>
      <c r="B20253" s="2" t="str">
        <f>HYPERLINK("http://ts.21cn.com/tousu/show/id/1352296","乱扣费")</f>
        <v>乱扣费</v>
      </c>
      <c r="C20253" s="2" t="s">
        <v>9</v>
      </c>
      <c r="D20253" s="2" t="s">
        <v>10</v>
      </c>
      <c r="E20253" s="2" t="str">
        <f>HYPERLINK("http://ts.21cn.com/tousu/show/id/1352296","http://ts.21cn.com/tousu/show/id/1352296")</f>
        <v>http://ts.21cn.com/tousu/show/id/1352296</v>
      </c>
      <c r="F20253" s="2" t="s">
        <v>11</v>
      </c>
      <c r="G20253" s="2" t="s">
        <v>4333</v>
      </c>
      <c r="H20253" s="2" t="s">
        <v>4334</v>
      </c>
    </row>
    <row r="20254" spans="1:8" ht="25.05" customHeight="1" x14ac:dyDescent="0.25">
      <c r="A20254" s="2" t="s">
        <v>8</v>
      </c>
      <c r="B20254" s="2" t="str">
        <f>HYPERLINK("http://ts.21cn.com/tousu/show/id/1352298","微粒贷，暴力催收，爆通讯录")</f>
        <v>微粒贷，暴力催收，爆通讯录</v>
      </c>
      <c r="C20254" s="2" t="s">
        <v>9</v>
      </c>
      <c r="D20254" s="2" t="s">
        <v>10</v>
      </c>
      <c r="E20254" s="2" t="str">
        <f>HYPERLINK("http://ts.21cn.com/tousu/show/id/1352298","http://ts.21cn.com/tousu/show/id/1352298")</f>
        <v>http://ts.21cn.com/tousu/show/id/1352298</v>
      </c>
      <c r="F20254" s="2" t="s">
        <v>11</v>
      </c>
      <c r="G20254" s="2" t="s">
        <v>4331</v>
      </c>
      <c r="H20254" s="2" t="s">
        <v>4332</v>
      </c>
    </row>
    <row r="20255" spans="1:8" ht="25.05" customHeight="1" x14ac:dyDescent="0.25">
      <c r="A20255" s="2" t="s">
        <v>8</v>
      </c>
      <c r="B20255" s="2" t="str">
        <f>HYPERLINK("http://ts.21cn.com/tousu/show/id/1352299","嘀嗒出行客服不作为，不维护顺风车车主利益，垃圾公司")</f>
        <v>嘀嗒出行客服不作为，不维护顺风车车主利益，垃圾公司</v>
      </c>
      <c r="C20255" s="2" t="s">
        <v>9</v>
      </c>
      <c r="D20255" s="2" t="s">
        <v>10</v>
      </c>
      <c r="E20255" s="2" t="str">
        <f>HYPERLINK("http://ts.21cn.com/tousu/show/id/1352299","http://ts.21cn.com/tousu/show/id/1352299")</f>
        <v>http://ts.21cn.com/tousu/show/id/1352299</v>
      </c>
      <c r="F20255" s="2" t="s">
        <v>11</v>
      </c>
      <c r="G20255" s="2" t="s">
        <v>4329</v>
      </c>
      <c r="H20255" s="2" t="s">
        <v>4330</v>
      </c>
    </row>
    <row r="20256" spans="1:8" ht="25.05" customHeight="1" x14ac:dyDescent="0.25">
      <c r="A20256" s="2" t="s">
        <v>8</v>
      </c>
      <c r="B20256" s="2" t="str">
        <f>HYPERLINK("http://ts.21cn.com/tousu/show/id/1352301","连连支付不作为，投诉没人联系我")</f>
        <v>连连支付不作为，投诉没人联系我</v>
      </c>
      <c r="C20256" s="2" t="s">
        <v>9</v>
      </c>
      <c r="D20256" s="2" t="s">
        <v>10</v>
      </c>
      <c r="E20256" s="2" t="str">
        <f>HYPERLINK("http://ts.21cn.com/tousu/show/id/1352301","http://ts.21cn.com/tousu/show/id/1352301")</f>
        <v>http://ts.21cn.com/tousu/show/id/1352301</v>
      </c>
      <c r="F20256" s="2" t="s">
        <v>11</v>
      </c>
      <c r="G20256" s="2" t="s">
        <v>4327</v>
      </c>
      <c r="H20256" s="2" t="s">
        <v>4328</v>
      </c>
    </row>
    <row r="20257" spans="1:8" ht="25.05" customHeight="1" x14ac:dyDescent="0.25">
      <c r="A20257" s="2" t="s">
        <v>8</v>
      </c>
      <c r="B20257" s="2" t="str">
        <f>HYPERLINK("http://ts.21cn.com/tousu/show/id/1352284","马上花")</f>
        <v>马上花</v>
      </c>
      <c r="C20257" s="2" t="s">
        <v>34</v>
      </c>
      <c r="D20257" s="2" t="s">
        <v>10</v>
      </c>
      <c r="E20257" s="2" t="str">
        <f>HYPERLINK("http://ts.21cn.com/tousu/show/id/1352284","http://ts.21cn.com/tousu/show/id/1352284")</f>
        <v>http://ts.21cn.com/tousu/show/id/1352284</v>
      </c>
      <c r="F20257" s="2" t="s">
        <v>11</v>
      </c>
      <c r="G20257" s="2" t="s">
        <v>4325</v>
      </c>
      <c r="H20257" s="2" t="s">
        <v>4326</v>
      </c>
    </row>
    <row r="20258" spans="1:8" ht="25.05" customHeight="1" x14ac:dyDescent="0.25">
      <c r="A20258" s="2" t="s">
        <v>8</v>
      </c>
      <c r="B20258" s="2" t="str">
        <f>HYPERLINK("http://ts.21cn.com/tousu/show/id/1352300","马上消费金融一直给我打骚扰电话")</f>
        <v>马上消费金融一直给我打骚扰电话</v>
      </c>
      <c r="C20258" s="2" t="s">
        <v>9</v>
      </c>
      <c r="D20258" s="2" t="s">
        <v>10</v>
      </c>
      <c r="E20258" s="2" t="str">
        <f>HYPERLINK("http://ts.21cn.com/tousu/show/id/1352300","http://ts.21cn.com/tousu/show/id/1352300")</f>
        <v>http://ts.21cn.com/tousu/show/id/1352300</v>
      </c>
      <c r="F20258" s="2" t="s">
        <v>11</v>
      </c>
      <c r="G20258" s="2" t="s">
        <v>4323</v>
      </c>
      <c r="H20258" s="2" t="s">
        <v>4324</v>
      </c>
    </row>
    <row r="20259" spans="1:8" ht="25.05" customHeight="1" x14ac:dyDescent="0.25">
      <c r="A20259" s="2" t="s">
        <v>8</v>
      </c>
      <c r="B20259" s="2" t="str">
        <f>HYPERLINK("http://ts.21cn.com/tousu/show/id/1352302","网贷催收")</f>
        <v>网贷催收</v>
      </c>
      <c r="C20259" s="2" t="s">
        <v>9</v>
      </c>
      <c r="D20259" s="2" t="s">
        <v>10</v>
      </c>
      <c r="E20259" s="2" t="str">
        <f>HYPERLINK("http://ts.21cn.com/tousu/show/id/1352302","http://ts.21cn.com/tousu/show/id/1352302")</f>
        <v>http://ts.21cn.com/tousu/show/id/1352302</v>
      </c>
      <c r="F20259" s="2" t="s">
        <v>11</v>
      </c>
      <c r="G20259" s="2" t="s">
        <v>4321</v>
      </c>
      <c r="H20259" s="2" t="s">
        <v>4322</v>
      </c>
    </row>
    <row r="20260" spans="1:8" ht="25.05" customHeight="1" x14ac:dyDescent="0.25">
      <c r="A20260" s="2" t="s">
        <v>8</v>
      </c>
      <c r="B20260" s="2" t="str">
        <f>HYPERLINK("http://ts.21cn.com/tousu/show/id/1352303","唯品会丢失包裹，和快递之间踢皮球，拒绝赔偿！")</f>
        <v>唯品会丢失包裹，和快递之间踢皮球，拒绝赔偿！</v>
      </c>
      <c r="C20260" s="2" t="s">
        <v>9</v>
      </c>
      <c r="D20260" s="2" t="s">
        <v>10</v>
      </c>
      <c r="E20260" s="2" t="str">
        <f>HYPERLINK("http://ts.21cn.com/tousu/show/id/1352303","http://ts.21cn.com/tousu/show/id/1352303")</f>
        <v>http://ts.21cn.com/tousu/show/id/1352303</v>
      </c>
      <c r="F20260" s="2" t="s">
        <v>11</v>
      </c>
      <c r="G20260" s="2" t="s">
        <v>4319</v>
      </c>
      <c r="H20260" s="2" t="s">
        <v>4320</v>
      </c>
    </row>
    <row r="20261" spans="1:8" ht="25.05" customHeight="1" x14ac:dyDescent="0.25">
      <c r="A20261" s="2" t="s">
        <v>8</v>
      </c>
      <c r="B20261" s="2" t="str">
        <f>HYPERLINK("http://ts.21cn.com/tousu/show/id/1352304","第三方公司催收，不予协商。本人还款意向强烈")</f>
        <v>第三方公司催收，不予协商。本人还款意向强烈</v>
      </c>
      <c r="C20261" s="2" t="s">
        <v>9</v>
      </c>
      <c r="D20261" s="2" t="s">
        <v>10</v>
      </c>
      <c r="E20261" s="2" t="str">
        <f>HYPERLINK("http://ts.21cn.com/tousu/show/id/1352304","http://ts.21cn.com/tousu/show/id/1352304")</f>
        <v>http://ts.21cn.com/tousu/show/id/1352304</v>
      </c>
      <c r="F20261" s="2" t="s">
        <v>11</v>
      </c>
      <c r="G20261" s="2" t="s">
        <v>4317</v>
      </c>
      <c r="H20261" s="2" t="s">
        <v>4318</v>
      </c>
    </row>
    <row r="20262" spans="1:8" ht="25.05" customHeight="1" x14ac:dyDescent="0.25">
      <c r="A20262" s="2" t="s">
        <v>8</v>
      </c>
      <c r="B20262" s="2" t="str">
        <f>HYPERLINK("http://ts.21cn.com/tousu/show/id/1352305","退还砍头息，提前结清")</f>
        <v>退还砍头息，提前结清</v>
      </c>
      <c r="C20262" s="2" t="s">
        <v>9</v>
      </c>
      <c r="D20262" s="2" t="s">
        <v>10</v>
      </c>
      <c r="E20262" s="2" t="str">
        <f>HYPERLINK("http://ts.21cn.com/tousu/show/id/1352305","http://ts.21cn.com/tousu/show/id/1352305")</f>
        <v>http://ts.21cn.com/tousu/show/id/1352305</v>
      </c>
      <c r="F20262" s="2" t="s">
        <v>11</v>
      </c>
      <c r="G20262" s="2" t="s">
        <v>4315</v>
      </c>
      <c r="H20262" s="2" t="s">
        <v>4316</v>
      </c>
    </row>
    <row r="20263" spans="1:8" ht="25.05" customHeight="1" x14ac:dyDescent="0.25">
      <c r="A20263" s="2" t="s">
        <v>8</v>
      </c>
      <c r="B20263" s="2" t="str">
        <f>HYPERLINK("http://ts.21cn.com/tousu/show/id/1352306","闪电借款收取砍头息不下款，强制要求购买黑神卡还不下款")</f>
        <v>闪电借款收取砍头息不下款，强制要求购买黑神卡还不下款</v>
      </c>
      <c r="C20263" s="2" t="s">
        <v>9</v>
      </c>
      <c r="D20263" s="2" t="s">
        <v>10</v>
      </c>
      <c r="E20263" s="2" t="str">
        <f>HYPERLINK("http://ts.21cn.com/tousu/show/id/1352306","http://ts.21cn.com/tousu/show/id/1352306")</f>
        <v>http://ts.21cn.com/tousu/show/id/1352306</v>
      </c>
      <c r="F20263" s="2" t="s">
        <v>11</v>
      </c>
      <c r="G20263" s="2" t="s">
        <v>4313</v>
      </c>
      <c r="H20263" s="2" t="s">
        <v>4314</v>
      </c>
    </row>
    <row r="20264" spans="1:8" ht="25.05" customHeight="1" x14ac:dyDescent="0.25">
      <c r="A20264" s="2" t="s">
        <v>8</v>
      </c>
      <c r="B20264" s="2" t="str">
        <f>HYPERLINK("http://ts.21cn.com/tousu/show/id/1352307","北京派尔德教育科技有限公司欺瞒学员，再没有签协议合同及学习的情况下不予退费，存在欺诈迹象，要求全额退费，")</f>
        <v>北京派尔德教育科技有限公司欺瞒学员，再没有签协议合同及学习的情况下不予退费，存在欺诈迹象，要求全额退费，</v>
      </c>
      <c r="C20264" s="2" t="s">
        <v>9</v>
      </c>
      <c r="D20264" s="2" t="s">
        <v>10</v>
      </c>
      <c r="E20264" s="2" t="str">
        <f>HYPERLINK("http://ts.21cn.com/tousu/show/id/1352307","http://ts.21cn.com/tousu/show/id/1352307")</f>
        <v>http://ts.21cn.com/tousu/show/id/1352307</v>
      </c>
      <c r="F20264" s="2" t="s">
        <v>11</v>
      </c>
      <c r="G20264" s="2" t="s">
        <v>4311</v>
      </c>
      <c r="H20264" s="2" t="s">
        <v>4312</v>
      </c>
    </row>
    <row r="20265" spans="1:8" ht="25.05" customHeight="1" x14ac:dyDescent="0.25">
      <c r="A20265" s="2" t="s">
        <v>8</v>
      </c>
      <c r="B20265" s="2" t="str">
        <f>HYPERLINK("http://ts.21cn.com/tousu/show/id/1352308","小赢卡贷威胁催收")</f>
        <v>小赢卡贷威胁催收</v>
      </c>
      <c r="C20265" s="2" t="s">
        <v>9</v>
      </c>
      <c r="D20265" s="2" t="s">
        <v>10</v>
      </c>
      <c r="E20265" s="2" t="str">
        <f>HYPERLINK("http://ts.21cn.com/tousu/show/id/1352308","http://ts.21cn.com/tousu/show/id/1352308")</f>
        <v>http://ts.21cn.com/tousu/show/id/1352308</v>
      </c>
      <c r="F20265" s="2" t="s">
        <v>11</v>
      </c>
      <c r="G20265" s="2" t="s">
        <v>4309</v>
      </c>
      <c r="H20265" s="2" t="s">
        <v>4310</v>
      </c>
    </row>
    <row r="20266" spans="1:8" ht="25.05" customHeight="1" x14ac:dyDescent="0.25">
      <c r="A20266" s="2" t="s">
        <v>8</v>
      </c>
      <c r="B20266" s="2" t="str">
        <f>HYPERLINK("http://ts.21cn.com/tousu/show/id/1344290","智付电子支付有限公司、易宝支付有限公司、国付宝信息科技有限公司违规为通天外汇黑平台提供资金通道，要求履行先行赔付责任")</f>
        <v>智付电子支付有限公司、易宝支付有限公司、国付宝信息科技有限公司违规为通天外汇黑平台提供资金通道，要求履行先行赔付责任</v>
      </c>
      <c r="C20266" s="2" t="s">
        <v>9</v>
      </c>
      <c r="D20266" s="2" t="s">
        <v>10</v>
      </c>
      <c r="E20266" s="2" t="str">
        <f>HYPERLINK("http://ts.21cn.com/tousu/show/id/1344290","http://ts.21cn.com/tousu/show/id/1344290")</f>
        <v>http://ts.21cn.com/tousu/show/id/1344290</v>
      </c>
      <c r="F20266" s="2" t="s">
        <v>11</v>
      </c>
      <c r="G20266" s="2" t="s">
        <v>4307</v>
      </c>
      <c r="H20266" s="2" t="s">
        <v>4308</v>
      </c>
    </row>
    <row r="20267" spans="1:8" ht="25.05" customHeight="1" x14ac:dyDescent="0.25">
      <c r="A20267" s="2" t="s">
        <v>8</v>
      </c>
      <c r="B20267" s="2" t="str">
        <f>HYPERLINK("http://ts.21cn.com/tousu/show/id/1352297","闲鱼买到假手机商家不退货退款")</f>
        <v>闲鱼买到假手机商家不退货退款</v>
      </c>
      <c r="C20267" s="2" t="s">
        <v>9</v>
      </c>
      <c r="D20267" s="2" t="s">
        <v>10</v>
      </c>
      <c r="E20267" s="2" t="str">
        <f>HYPERLINK("http://ts.21cn.com/tousu/show/id/1352297","http://ts.21cn.com/tousu/show/id/1352297")</f>
        <v>http://ts.21cn.com/tousu/show/id/1352297</v>
      </c>
      <c r="F20267" s="2" t="s">
        <v>11</v>
      </c>
      <c r="G20267" s="2" t="s">
        <v>4305</v>
      </c>
      <c r="H20267" s="2" t="s">
        <v>4306</v>
      </c>
    </row>
    <row r="20268" spans="1:8" ht="25.05" customHeight="1" x14ac:dyDescent="0.25">
      <c r="A20268" s="2" t="s">
        <v>8</v>
      </c>
      <c r="B20268" s="2" t="str">
        <f>HYPERLINK("http://ts.21cn.com/tousu/show/id/1262544","砍头息超利贷年利率百分之4000骚扰通讯录暴力催收敲诈勒索恐吓")</f>
        <v>砍头息超利贷年利率百分之4000骚扰通讯录暴力催收敲诈勒索恐吓</v>
      </c>
      <c r="C20268" s="2" t="s">
        <v>9</v>
      </c>
      <c r="D20268" s="2" t="s">
        <v>10</v>
      </c>
      <c r="E20268" s="2" t="str">
        <f>HYPERLINK("http://ts.21cn.com/tousu/show/id/1262544","http://ts.21cn.com/tousu/show/id/1262544")</f>
        <v>http://ts.21cn.com/tousu/show/id/1262544</v>
      </c>
      <c r="F20268" s="2" t="s">
        <v>11</v>
      </c>
      <c r="G20268" s="2" t="s">
        <v>4303</v>
      </c>
      <c r="H20268" s="2" t="s">
        <v>4304</v>
      </c>
    </row>
    <row r="20269" spans="1:8" ht="25.05" customHeight="1" x14ac:dyDescent="0.25">
      <c r="A20269" s="2" t="s">
        <v>8</v>
      </c>
      <c r="B20269" s="2" t="str">
        <f>HYPERLINK("http://ts.21cn.com/tousu/show/id/1352309","贷上钱以买游戏豆为由收取高额贷款通过费")</f>
        <v>贷上钱以买游戏豆为由收取高额贷款通过费</v>
      </c>
      <c r="C20269" s="2" t="s">
        <v>9</v>
      </c>
      <c r="D20269" s="2" t="s">
        <v>10</v>
      </c>
      <c r="E20269" s="2" t="str">
        <f>HYPERLINK("http://ts.21cn.com/tousu/show/id/1352309","http://ts.21cn.com/tousu/show/id/1352309")</f>
        <v>http://ts.21cn.com/tousu/show/id/1352309</v>
      </c>
      <c r="F20269" s="2" t="s">
        <v>11</v>
      </c>
      <c r="G20269" s="2" t="s">
        <v>4301</v>
      </c>
      <c r="H20269" s="2" t="s">
        <v>4302</v>
      </c>
    </row>
    <row r="20270" spans="1:8" ht="25.05" customHeight="1" x14ac:dyDescent="0.25">
      <c r="A20270" s="2" t="s">
        <v>8</v>
      </c>
      <c r="B20270" s="2" t="str">
        <f>HYPERLINK("http://ts.21cn.com/tousu/show/id/1352311","OPPOR9SPLUS大规模无限重启变砖")</f>
        <v>OPPOR9SPLUS大规模无限重启变砖</v>
      </c>
      <c r="C20270" s="2" t="s">
        <v>34</v>
      </c>
      <c r="D20270" s="2" t="s">
        <v>10</v>
      </c>
      <c r="E20270" s="2" t="str">
        <f>HYPERLINK("http://ts.21cn.com/tousu/show/id/1352311","http://ts.21cn.com/tousu/show/id/1352311")</f>
        <v>http://ts.21cn.com/tousu/show/id/1352311</v>
      </c>
      <c r="F20270" s="2" t="s">
        <v>11</v>
      </c>
      <c r="G20270" s="2" t="s">
        <v>4299</v>
      </c>
      <c r="H20270" s="2" t="s">
        <v>4300</v>
      </c>
    </row>
    <row r="20271" spans="1:8" ht="25.05" customHeight="1" x14ac:dyDescent="0.25">
      <c r="A20271" s="2" t="s">
        <v>8</v>
      </c>
      <c r="B20271" s="2" t="str">
        <f>HYPERLINK("http://ts.21cn.com/tousu/show/id/1352313","中金支付通云南信托连同信而富收取高额砍头息")</f>
        <v>中金支付通云南信托连同信而富收取高额砍头息</v>
      </c>
      <c r="C20271" s="2" t="s">
        <v>9</v>
      </c>
      <c r="D20271" s="2" t="s">
        <v>10</v>
      </c>
      <c r="E20271" s="2" t="str">
        <f>HYPERLINK("http://ts.21cn.com/tousu/show/id/1352313","http://ts.21cn.com/tousu/show/id/1352313")</f>
        <v>http://ts.21cn.com/tousu/show/id/1352313</v>
      </c>
      <c r="F20271" s="2" t="s">
        <v>11</v>
      </c>
      <c r="G20271" s="2" t="s">
        <v>4297</v>
      </c>
      <c r="H20271" s="2" t="s">
        <v>4298</v>
      </c>
    </row>
    <row r="20272" spans="1:8" ht="25.05" customHeight="1" x14ac:dyDescent="0.25">
      <c r="A20272" s="2" t="s">
        <v>8</v>
      </c>
      <c r="B20272" s="2" t="str">
        <f>HYPERLINK("http://ts.21cn.com/tousu/show/id/1352312","要求销账")</f>
        <v>要求销账</v>
      </c>
      <c r="C20272" s="2" t="s">
        <v>9</v>
      </c>
      <c r="D20272" s="2" t="s">
        <v>10</v>
      </c>
      <c r="E20272" s="2" t="str">
        <f>HYPERLINK("http://ts.21cn.com/tousu/show/id/1352312","http://ts.21cn.com/tousu/show/id/1352312")</f>
        <v>http://ts.21cn.com/tousu/show/id/1352312</v>
      </c>
      <c r="F20272" s="2" t="s">
        <v>11</v>
      </c>
      <c r="G20272" s="2" t="s">
        <v>4295</v>
      </c>
      <c r="H20272" s="2" t="s">
        <v>4296</v>
      </c>
    </row>
    <row r="20273" spans="1:8" ht="25.05" customHeight="1" x14ac:dyDescent="0.25">
      <c r="A20273" s="2" t="s">
        <v>8</v>
      </c>
      <c r="B20273" s="2" t="str">
        <f>HYPERLINK("http://ts.21cn.com/tousu/show/id/1352314","平台无法还款")</f>
        <v>平台无法还款</v>
      </c>
      <c r="C20273" s="2" t="s">
        <v>9</v>
      </c>
      <c r="D20273" s="2" t="s">
        <v>10</v>
      </c>
      <c r="E20273" s="2" t="str">
        <f>HYPERLINK("http://ts.21cn.com/tousu/show/id/1352314","http://ts.21cn.com/tousu/show/id/1352314")</f>
        <v>http://ts.21cn.com/tousu/show/id/1352314</v>
      </c>
      <c r="F20273" s="2" t="s">
        <v>11</v>
      </c>
      <c r="G20273" s="2" t="s">
        <v>4293</v>
      </c>
      <c r="H20273" s="2" t="s">
        <v>4294</v>
      </c>
    </row>
    <row r="20274" spans="1:8" ht="25.05" customHeight="1" x14ac:dyDescent="0.25">
      <c r="A20274" s="2" t="s">
        <v>8</v>
      </c>
      <c r="B20274" s="2" t="str">
        <f>HYPERLINK("http://ts.21cn.com/tousu/show/id/1352315","现金巴士非法催收")</f>
        <v>现金巴士非法催收</v>
      </c>
      <c r="C20274" s="2" t="s">
        <v>9</v>
      </c>
      <c r="D20274" s="2" t="s">
        <v>10</v>
      </c>
      <c r="E20274" s="2" t="str">
        <f>HYPERLINK("http://ts.21cn.com/tousu/show/id/1352315","http://ts.21cn.com/tousu/show/id/1352315")</f>
        <v>http://ts.21cn.com/tousu/show/id/1352315</v>
      </c>
      <c r="F20274" s="2" t="s">
        <v>11</v>
      </c>
      <c r="G20274" s="2" t="s">
        <v>4291</v>
      </c>
      <c r="H20274" s="2" t="s">
        <v>4292</v>
      </c>
    </row>
    <row r="20275" spans="1:8" ht="25.05" customHeight="1" x14ac:dyDescent="0.25">
      <c r="A20275" s="2" t="s">
        <v>8</v>
      </c>
      <c r="B20275" s="2" t="str">
        <f>HYPERLINK("http://ts.21cn.com/tousu/show/id/1352318","砍头息，高额利息，套路贷")</f>
        <v>砍头息，高额利息，套路贷</v>
      </c>
      <c r="C20275" s="2" t="s">
        <v>9</v>
      </c>
      <c r="D20275" s="2" t="s">
        <v>10</v>
      </c>
      <c r="E20275" s="2" t="str">
        <f>HYPERLINK("http://ts.21cn.com/tousu/show/id/1352318","http://ts.21cn.com/tousu/show/id/1352318")</f>
        <v>http://ts.21cn.com/tousu/show/id/1352318</v>
      </c>
      <c r="F20275" s="2" t="s">
        <v>11</v>
      </c>
      <c r="G20275" s="2" t="s">
        <v>4289</v>
      </c>
      <c r="H20275" s="2" t="s">
        <v>4290</v>
      </c>
    </row>
    <row r="20276" spans="1:8" ht="25.05" customHeight="1" x14ac:dyDescent="0.25">
      <c r="A20276" s="2" t="s">
        <v>8</v>
      </c>
      <c r="B20276" s="2" t="str">
        <f>HYPERLINK("http://ts.21cn.com/tousu/show/id/1352319","小浦优客未经同意扣款")</f>
        <v>小浦优客未经同意扣款</v>
      </c>
      <c r="C20276" s="2" t="s">
        <v>34</v>
      </c>
      <c r="D20276" s="2" t="s">
        <v>10</v>
      </c>
      <c r="E20276" s="2" t="str">
        <f>HYPERLINK("http://ts.21cn.com/tousu/show/id/1352319","http://ts.21cn.com/tousu/show/id/1352319")</f>
        <v>http://ts.21cn.com/tousu/show/id/1352319</v>
      </c>
      <c r="F20276" s="2" t="s">
        <v>11</v>
      </c>
      <c r="G20276" s="2" t="s">
        <v>4287</v>
      </c>
      <c r="H20276" s="2" t="s">
        <v>4288</v>
      </c>
    </row>
    <row r="20277" spans="1:8" ht="25.05" customHeight="1" x14ac:dyDescent="0.25">
      <c r="A20277" s="2" t="s">
        <v>8</v>
      </c>
      <c r="B20277" s="2" t="str">
        <f>HYPERLINK("http://ts.21cn.com/tousu/show/id/1352316","利息逾期费太高")</f>
        <v>利息逾期费太高</v>
      </c>
      <c r="C20277" s="2" t="s">
        <v>34</v>
      </c>
      <c r="D20277" s="2" t="s">
        <v>10</v>
      </c>
      <c r="E20277" s="2" t="str">
        <f>HYPERLINK("http://ts.21cn.com/tousu/show/id/1352316","http://ts.21cn.com/tousu/show/id/1352316")</f>
        <v>http://ts.21cn.com/tousu/show/id/1352316</v>
      </c>
      <c r="F20277" s="2" t="s">
        <v>11</v>
      </c>
      <c r="G20277" s="2" t="s">
        <v>4285</v>
      </c>
      <c r="H20277" s="2" t="s">
        <v>4286</v>
      </c>
    </row>
    <row r="20278" spans="1:8" ht="25.05" customHeight="1" x14ac:dyDescent="0.25">
      <c r="A20278" s="2" t="s">
        <v>8</v>
      </c>
      <c r="B20278" s="2" t="str">
        <f>HYPERLINK("http://ts.21cn.com/tousu/show/id/1352320","携程网系统故障不给取消订单")</f>
        <v>携程网系统故障不给取消订单</v>
      </c>
      <c r="C20278" s="2" t="s">
        <v>9</v>
      </c>
      <c r="D20278" s="2" t="s">
        <v>10</v>
      </c>
      <c r="E20278" s="2" t="str">
        <f>HYPERLINK("http://ts.21cn.com/tousu/show/id/1352320","http://ts.21cn.com/tousu/show/id/1352320")</f>
        <v>http://ts.21cn.com/tousu/show/id/1352320</v>
      </c>
      <c r="F20278" s="2" t="s">
        <v>11</v>
      </c>
      <c r="G20278" s="2" t="s">
        <v>4283</v>
      </c>
      <c r="H20278" s="2" t="s">
        <v>4284</v>
      </c>
    </row>
    <row r="20279" spans="1:8" ht="25.05" customHeight="1" x14ac:dyDescent="0.25">
      <c r="A20279" s="2" t="s">
        <v>8</v>
      </c>
      <c r="B20279" s="2" t="str">
        <f>HYPERLINK("http://ts.21cn.com/tousu/show/id/1352321","国家现在严打 他们还是一味的骚扰 骚扰身边人 家人")</f>
        <v>国家现在严打 他们还是一味的骚扰 骚扰身边人 家人</v>
      </c>
      <c r="C20279" s="2" t="s">
        <v>9</v>
      </c>
      <c r="D20279" s="2" t="s">
        <v>10</v>
      </c>
      <c r="E20279" s="2" t="str">
        <f>HYPERLINK("http://ts.21cn.com/tousu/show/id/1352321","http://ts.21cn.com/tousu/show/id/1352321")</f>
        <v>http://ts.21cn.com/tousu/show/id/1352321</v>
      </c>
      <c r="F20279" s="2" t="s">
        <v>11</v>
      </c>
      <c r="G20279" s="2" t="s">
        <v>4281</v>
      </c>
      <c r="H20279" s="2" t="s">
        <v>4282</v>
      </c>
    </row>
    <row r="20280" spans="1:8" ht="25.05" customHeight="1" x14ac:dyDescent="0.25">
      <c r="A20280" s="2" t="s">
        <v>8</v>
      </c>
      <c r="B20280" s="2" t="str">
        <f>HYPERLINK("http://ts.21cn.com/tousu/show/id/1352322","闪电借款暴力催收")</f>
        <v>闪电借款暴力催收</v>
      </c>
      <c r="C20280" s="2" t="s">
        <v>9</v>
      </c>
      <c r="D20280" s="2" t="s">
        <v>10</v>
      </c>
      <c r="E20280" s="2" t="str">
        <f>HYPERLINK("http://ts.21cn.com/tousu/show/id/1352322","http://ts.21cn.com/tousu/show/id/1352322")</f>
        <v>http://ts.21cn.com/tousu/show/id/1352322</v>
      </c>
      <c r="F20280" s="2" t="s">
        <v>11</v>
      </c>
      <c r="G20280" s="2" t="s">
        <v>4279</v>
      </c>
      <c r="H20280" s="2" t="s">
        <v>4280</v>
      </c>
    </row>
    <row r="20281" spans="1:8" ht="25.05" customHeight="1" x14ac:dyDescent="0.25">
      <c r="A20281" s="2" t="s">
        <v>8</v>
      </c>
      <c r="B20281" s="2" t="str">
        <f>HYPERLINK("http://ts.21cn.com/tousu/show/id/1352324","小花钱包利率太高提前还款不减免利息")</f>
        <v>小花钱包利率太高提前还款不减免利息</v>
      </c>
      <c r="C20281" s="2" t="s">
        <v>34</v>
      </c>
      <c r="D20281" s="2" t="s">
        <v>10</v>
      </c>
      <c r="E20281" s="2" t="str">
        <f>HYPERLINK("http://ts.21cn.com/tousu/show/id/1352324","http://ts.21cn.com/tousu/show/id/1352324")</f>
        <v>http://ts.21cn.com/tousu/show/id/1352324</v>
      </c>
      <c r="F20281" s="2" t="s">
        <v>11</v>
      </c>
      <c r="G20281" s="2" t="s">
        <v>4277</v>
      </c>
      <c r="H20281" s="2" t="s">
        <v>4278</v>
      </c>
    </row>
    <row r="20282" spans="1:8" ht="25.05" customHeight="1" x14ac:dyDescent="0.25">
      <c r="A20282" s="2" t="s">
        <v>8</v>
      </c>
      <c r="B20282" s="2" t="str">
        <f>HYPERLINK("http://ts.21cn.com/tousu/show/id/1352323","一秒陛下存在砍头息")</f>
        <v>一秒陛下存在砍头息</v>
      </c>
      <c r="C20282" s="2" t="s">
        <v>9</v>
      </c>
      <c r="D20282" s="2" t="s">
        <v>10</v>
      </c>
      <c r="E20282" s="2" t="str">
        <f>HYPERLINK("http://ts.21cn.com/tousu/show/id/1352323","http://ts.21cn.com/tousu/show/id/1352323")</f>
        <v>http://ts.21cn.com/tousu/show/id/1352323</v>
      </c>
      <c r="F20282" s="2" t="s">
        <v>11</v>
      </c>
      <c r="G20282" s="2" t="s">
        <v>4275</v>
      </c>
      <c r="H20282" s="2" t="s">
        <v>4276</v>
      </c>
    </row>
    <row r="20283" spans="1:8" ht="25.05" customHeight="1" x14ac:dyDescent="0.25">
      <c r="A20283" s="2" t="s">
        <v>8</v>
      </c>
      <c r="B20283" s="2" t="str">
        <f>HYPERLINK("http://ts.21cn.com/tousu/show/id/1352325","闪银闪豆闪闪花联系不到客服")</f>
        <v>闪银闪豆闪闪花联系不到客服</v>
      </c>
      <c r="C20283" s="2" t="s">
        <v>9</v>
      </c>
      <c r="D20283" s="2" t="s">
        <v>10</v>
      </c>
      <c r="E20283" s="2" t="str">
        <f>HYPERLINK("http://ts.21cn.com/tousu/show/id/1352325","http://ts.21cn.com/tousu/show/id/1352325")</f>
        <v>http://ts.21cn.com/tousu/show/id/1352325</v>
      </c>
      <c r="F20283" s="2" t="s">
        <v>11</v>
      </c>
      <c r="G20283" s="2" t="s">
        <v>4273</v>
      </c>
      <c r="H20283" s="2" t="s">
        <v>4274</v>
      </c>
    </row>
    <row r="20284" spans="1:8" ht="25.05" customHeight="1" x14ac:dyDescent="0.25">
      <c r="A20284" s="2" t="s">
        <v>8</v>
      </c>
      <c r="B20284" s="2" t="str">
        <f>HYPERLINK("http://ts.21cn.com/tousu/show/id/1352326","你我贷高利贷催收暴力")</f>
        <v>你我贷高利贷催收暴力</v>
      </c>
      <c r="C20284" s="2" t="s">
        <v>9</v>
      </c>
      <c r="D20284" s="2" t="s">
        <v>10</v>
      </c>
      <c r="E20284" s="2" t="str">
        <f>HYPERLINK("http://ts.21cn.com/tousu/show/id/1352326","http://ts.21cn.com/tousu/show/id/1352326")</f>
        <v>http://ts.21cn.com/tousu/show/id/1352326</v>
      </c>
      <c r="F20284" s="2" t="s">
        <v>11</v>
      </c>
      <c r="G20284" s="2" t="s">
        <v>4271</v>
      </c>
      <c r="H20284" s="2" t="s">
        <v>4272</v>
      </c>
    </row>
    <row r="20285" spans="1:8" ht="25.05" customHeight="1" x14ac:dyDescent="0.25">
      <c r="A20285" s="2" t="s">
        <v>8</v>
      </c>
      <c r="B20285" s="2" t="str">
        <f>HYPERLINK("http://ts.21cn.com/tousu/show/id/1352329","我来贷高额逾期利息")</f>
        <v>我来贷高额逾期利息</v>
      </c>
      <c r="C20285" s="2" t="s">
        <v>9</v>
      </c>
      <c r="D20285" s="2" t="s">
        <v>10</v>
      </c>
      <c r="E20285" s="2" t="str">
        <f>HYPERLINK("http://ts.21cn.com/tousu/show/id/1352329","http://ts.21cn.com/tousu/show/id/1352329")</f>
        <v>http://ts.21cn.com/tousu/show/id/1352329</v>
      </c>
      <c r="F20285" s="2" t="s">
        <v>11</v>
      </c>
      <c r="G20285" s="2" t="s">
        <v>4269</v>
      </c>
      <c r="H20285" s="2" t="s">
        <v>4270</v>
      </c>
    </row>
    <row r="20286" spans="1:8" ht="25.05" customHeight="1" x14ac:dyDescent="0.25">
      <c r="A20286" s="2" t="s">
        <v>8</v>
      </c>
      <c r="B20286" s="2" t="str">
        <f>HYPERLINK("http://ts.21cn.com/tousu/show/id/1352327","群发信息，骚扰家人")</f>
        <v>群发信息，骚扰家人</v>
      </c>
      <c r="C20286" s="2" t="s">
        <v>9</v>
      </c>
      <c r="D20286" s="2" t="s">
        <v>10</v>
      </c>
      <c r="E20286" s="2" t="str">
        <f>HYPERLINK("http://ts.21cn.com/tousu/show/id/1352327","http://ts.21cn.com/tousu/show/id/1352327")</f>
        <v>http://ts.21cn.com/tousu/show/id/1352327</v>
      </c>
      <c r="F20286" s="2" t="s">
        <v>11</v>
      </c>
      <c r="G20286" s="2" t="s">
        <v>4267</v>
      </c>
      <c r="H20286" s="2" t="s">
        <v>4268</v>
      </c>
    </row>
    <row r="20287" spans="1:8" ht="25.05" customHeight="1" x14ac:dyDescent="0.25">
      <c r="A20287" s="2" t="s">
        <v>8</v>
      </c>
      <c r="B20287" s="2" t="str">
        <f>HYPERLINK("http://ts.21cn.com/tousu/show/id/1352328","我来贷不能一次还清明天最多只能还三笔欠款，无论有没有还进去只要点过就算")</f>
        <v>我来贷不能一次还清明天最多只能还三笔欠款，无论有没有还进去只要点过就算</v>
      </c>
      <c r="C20287" s="2" t="s">
        <v>9</v>
      </c>
      <c r="D20287" s="2" t="s">
        <v>10</v>
      </c>
      <c r="E20287" s="2" t="str">
        <f>HYPERLINK("http://ts.21cn.com/tousu/show/id/1352328","http://ts.21cn.com/tousu/show/id/1352328")</f>
        <v>http://ts.21cn.com/tousu/show/id/1352328</v>
      </c>
      <c r="F20287" s="2" t="s">
        <v>11</v>
      </c>
      <c r="G20287" s="2" t="s">
        <v>4265</v>
      </c>
      <c r="H20287" s="2" t="s">
        <v>4266</v>
      </c>
    </row>
    <row r="20288" spans="1:8" ht="25.05" customHeight="1" x14ac:dyDescent="0.25">
      <c r="A20288" s="2" t="s">
        <v>8</v>
      </c>
      <c r="B20288" s="2" t="str">
        <f>HYPERLINK("http://ts.21cn.com/tousu/show/id/1352331","钱站高利贷阴阳合同")</f>
        <v>钱站高利贷阴阳合同</v>
      </c>
      <c r="C20288" s="2" t="s">
        <v>9</v>
      </c>
      <c r="D20288" s="2" t="s">
        <v>10</v>
      </c>
      <c r="E20288" s="2" t="str">
        <f>HYPERLINK("http://ts.21cn.com/tousu/show/id/1352331","http://ts.21cn.com/tousu/show/id/1352331")</f>
        <v>http://ts.21cn.com/tousu/show/id/1352331</v>
      </c>
      <c r="F20288" s="2" t="s">
        <v>11</v>
      </c>
      <c r="G20288" s="2" t="s">
        <v>4263</v>
      </c>
      <c r="H20288" s="2" t="s">
        <v>4264</v>
      </c>
    </row>
    <row r="20289" spans="1:8" ht="25.05" customHeight="1" x14ac:dyDescent="0.25">
      <c r="A20289" s="2" t="s">
        <v>8</v>
      </c>
      <c r="B20289" s="2" t="str">
        <f>HYPERLINK("http://ts.21cn.com/tousu/show/id/1352334","利息高,砍头息")</f>
        <v>利息高,砍头息</v>
      </c>
      <c r="C20289" s="2" t="s">
        <v>9</v>
      </c>
      <c r="D20289" s="2" t="s">
        <v>10</v>
      </c>
      <c r="E20289" s="2" t="str">
        <f>HYPERLINK("http://ts.21cn.com/tousu/show/id/1352334","http://ts.21cn.com/tousu/show/id/1352334")</f>
        <v>http://ts.21cn.com/tousu/show/id/1352334</v>
      </c>
      <c r="F20289" s="2" t="s">
        <v>11</v>
      </c>
      <c r="G20289" s="2" t="s">
        <v>4261</v>
      </c>
      <c r="H20289" s="2" t="s">
        <v>4262</v>
      </c>
    </row>
    <row r="20290" spans="1:8" ht="25.05" customHeight="1" x14ac:dyDescent="0.25">
      <c r="A20290" s="2" t="s">
        <v>8</v>
      </c>
      <c r="B20290" s="2" t="str">
        <f>HYPERLINK("http://ts.21cn.com/tousu/show/id/1352335","暴力催收，威胁恐吓")</f>
        <v>暴力催收，威胁恐吓</v>
      </c>
      <c r="C20290" s="2" t="s">
        <v>9</v>
      </c>
      <c r="D20290" s="2" t="s">
        <v>10</v>
      </c>
      <c r="E20290" s="2" t="str">
        <f>HYPERLINK("http://ts.21cn.com/tousu/show/id/1352335","http://ts.21cn.com/tousu/show/id/1352335")</f>
        <v>http://ts.21cn.com/tousu/show/id/1352335</v>
      </c>
      <c r="F20290" s="2" t="s">
        <v>11</v>
      </c>
      <c r="G20290" s="2" t="s">
        <v>4259</v>
      </c>
      <c r="H20290" s="2" t="s">
        <v>4260</v>
      </c>
    </row>
    <row r="20291" spans="1:8" ht="25.05" customHeight="1" x14ac:dyDescent="0.25">
      <c r="A20291" s="2" t="s">
        <v>8</v>
      </c>
      <c r="B20291" s="2" t="str">
        <f>HYPERLINK("http://ts.21cn.com/tousu/show/id/1352336","京东白条需要协商处理问题")</f>
        <v>京东白条需要协商处理问题</v>
      </c>
      <c r="C20291" s="2" t="s">
        <v>9</v>
      </c>
      <c r="D20291" s="2" t="s">
        <v>10</v>
      </c>
      <c r="E20291" s="2" t="str">
        <f>HYPERLINK("http://ts.21cn.com/tousu/show/id/1352336","http://ts.21cn.com/tousu/show/id/1352336")</f>
        <v>http://ts.21cn.com/tousu/show/id/1352336</v>
      </c>
      <c r="F20291" s="2" t="s">
        <v>11</v>
      </c>
      <c r="G20291" s="2" t="s">
        <v>4257</v>
      </c>
      <c r="H20291" s="2" t="s">
        <v>4258</v>
      </c>
    </row>
    <row r="20292" spans="1:8" ht="25.05" customHeight="1" x14ac:dyDescent="0.25">
      <c r="A20292" s="2" t="s">
        <v>8</v>
      </c>
      <c r="B20292" s="2" t="str">
        <f>HYPERLINK("http://ts.21cn.com/tousu/show/id/1352337","微贷网高利贷，砍头息。恐吓家人")</f>
        <v>微贷网高利贷，砍头息。恐吓家人</v>
      </c>
      <c r="C20292" s="2" t="s">
        <v>9</v>
      </c>
      <c r="D20292" s="2" t="s">
        <v>10</v>
      </c>
      <c r="E20292" s="2" t="str">
        <f>HYPERLINK("http://ts.21cn.com/tousu/show/id/1352337","http://ts.21cn.com/tousu/show/id/1352337")</f>
        <v>http://ts.21cn.com/tousu/show/id/1352337</v>
      </c>
      <c r="F20292" s="2" t="s">
        <v>11</v>
      </c>
      <c r="G20292" s="2" t="s">
        <v>4255</v>
      </c>
      <c r="H20292" s="2" t="s">
        <v>4256</v>
      </c>
    </row>
    <row r="20293" spans="1:8" ht="25.05" customHeight="1" x14ac:dyDescent="0.25">
      <c r="A20293" s="2" t="s">
        <v>8</v>
      </c>
      <c r="B20293" s="2" t="str">
        <f>HYPERLINK("http://ts.21cn.com/tousu/show/id/1352338","兴盛优选的川合豆奶质量有问题，厂家电话不接，平台客服处理不当")</f>
        <v>兴盛优选的川合豆奶质量有问题，厂家电话不接，平台客服处理不当</v>
      </c>
      <c r="C20293" s="2" t="s">
        <v>9</v>
      </c>
      <c r="D20293" s="2" t="s">
        <v>10</v>
      </c>
      <c r="E20293" s="2" t="str">
        <f>HYPERLINK("http://ts.21cn.com/tousu/show/id/1352338","http://ts.21cn.com/tousu/show/id/1352338")</f>
        <v>http://ts.21cn.com/tousu/show/id/1352338</v>
      </c>
      <c r="F20293" s="2" t="s">
        <v>11</v>
      </c>
      <c r="G20293" s="2" t="s">
        <v>4253</v>
      </c>
      <c r="H20293" s="2" t="s">
        <v>4254</v>
      </c>
    </row>
    <row r="20294" spans="1:8" ht="25.05" customHeight="1" x14ac:dyDescent="0.25">
      <c r="A20294" s="2" t="s">
        <v>8</v>
      </c>
      <c r="B20294" s="2" t="str">
        <f>HYPERLINK("http://ts.21cn.com/tousu/show/id/1351605","根本没有提到扣钱一说也没有任何支付页面直接从银行卡里面扣")</f>
        <v>根本没有提到扣钱一说也没有任何支付页面直接从银行卡里面扣</v>
      </c>
      <c r="C20294" s="2" t="s">
        <v>34</v>
      </c>
      <c r="D20294" s="2" t="s">
        <v>10</v>
      </c>
      <c r="E20294" s="2" t="str">
        <f>HYPERLINK("http://ts.21cn.com/tousu/show/id/1351605","http://ts.21cn.com/tousu/show/id/1351605")</f>
        <v>http://ts.21cn.com/tousu/show/id/1351605</v>
      </c>
      <c r="F20294" s="2" t="s">
        <v>11</v>
      </c>
      <c r="G20294" s="2" t="s">
        <v>4251</v>
      </c>
      <c r="H20294" s="2" t="s">
        <v>4252</v>
      </c>
    </row>
    <row r="20295" spans="1:8" ht="25.05" customHeight="1" x14ac:dyDescent="0.25">
      <c r="A20295" s="2" t="s">
        <v>8</v>
      </c>
      <c r="B20295" s="2" t="str">
        <f>HYPERLINK("http://ts.21cn.com/tousu/show/id/1352339","骚扰性质短信及电话轰炸")</f>
        <v>骚扰性质短信及电话轰炸</v>
      </c>
      <c r="C20295" s="2" t="s">
        <v>9</v>
      </c>
      <c r="D20295" s="2" t="s">
        <v>10</v>
      </c>
      <c r="E20295" s="2" t="str">
        <f>HYPERLINK("http://ts.21cn.com/tousu/show/id/1352339","http://ts.21cn.com/tousu/show/id/1352339")</f>
        <v>http://ts.21cn.com/tousu/show/id/1352339</v>
      </c>
      <c r="F20295" s="2" t="s">
        <v>11</v>
      </c>
      <c r="G20295" s="2" t="s">
        <v>4249</v>
      </c>
      <c r="H20295" s="2" t="s">
        <v>4250</v>
      </c>
    </row>
    <row r="20296" spans="1:8" ht="25.05" customHeight="1" x14ac:dyDescent="0.25">
      <c r="A20296" s="2" t="s">
        <v>8</v>
      </c>
      <c r="B20296" s="2" t="str">
        <f>HYPERLINK("http://ts.21cn.com/tousu/show/id/1352340","投诉宜人贷轰炸我")</f>
        <v>投诉宜人贷轰炸我</v>
      </c>
      <c r="C20296" s="2" t="s">
        <v>34</v>
      </c>
      <c r="D20296" s="2" t="s">
        <v>10</v>
      </c>
      <c r="E20296" s="2" t="str">
        <f>HYPERLINK("http://ts.21cn.com/tousu/show/id/1352340","http://ts.21cn.com/tousu/show/id/1352340")</f>
        <v>http://ts.21cn.com/tousu/show/id/1352340</v>
      </c>
      <c r="F20296" s="2" t="s">
        <v>11</v>
      </c>
      <c r="G20296" s="2" t="s">
        <v>4247</v>
      </c>
      <c r="H20296" s="2" t="s">
        <v>4248</v>
      </c>
    </row>
    <row r="20297" spans="1:8" ht="25.05" customHeight="1" x14ac:dyDescent="0.25">
      <c r="A20297" s="2" t="s">
        <v>8</v>
      </c>
      <c r="B20297" s="2" t="str">
        <f>HYPERLINK("http://ts.21cn.com/tousu/show/id/1352341","凡普金科高利贷阴阳合同")</f>
        <v>凡普金科高利贷阴阳合同</v>
      </c>
      <c r="C20297" s="2" t="s">
        <v>9</v>
      </c>
      <c r="D20297" s="2" t="s">
        <v>10</v>
      </c>
      <c r="E20297" s="2" t="str">
        <f>HYPERLINK("http://ts.21cn.com/tousu/show/id/1352341","http://ts.21cn.com/tousu/show/id/1352341")</f>
        <v>http://ts.21cn.com/tousu/show/id/1352341</v>
      </c>
      <c r="F20297" s="2" t="s">
        <v>11</v>
      </c>
      <c r="G20297" s="2" t="s">
        <v>4245</v>
      </c>
      <c r="H20297" s="2" t="s">
        <v>4246</v>
      </c>
    </row>
    <row r="20298" spans="1:8" ht="25.05" customHeight="1" x14ac:dyDescent="0.25">
      <c r="A20298" s="2" t="s">
        <v>8</v>
      </c>
      <c r="B20298" s="2" t="str">
        <f>HYPERLINK("http://ts.21cn.com/tousu/show/id/1352342","恶意暴露信息，进行侮辱")</f>
        <v>恶意暴露信息，进行侮辱</v>
      </c>
      <c r="C20298" s="2" t="s">
        <v>9</v>
      </c>
      <c r="D20298" s="2" t="s">
        <v>10</v>
      </c>
      <c r="E20298" s="2" t="str">
        <f>HYPERLINK("http://ts.21cn.com/tousu/show/id/1352342","http://ts.21cn.com/tousu/show/id/1352342")</f>
        <v>http://ts.21cn.com/tousu/show/id/1352342</v>
      </c>
      <c r="F20298" s="2" t="s">
        <v>11</v>
      </c>
      <c r="G20298" s="2" t="s">
        <v>4243</v>
      </c>
      <c r="H20298" s="2" t="s">
        <v>4244</v>
      </c>
    </row>
    <row r="20299" spans="1:8" ht="25.05" customHeight="1" x14ac:dyDescent="0.25">
      <c r="A20299" s="2" t="s">
        <v>8</v>
      </c>
      <c r="B20299" s="2" t="str">
        <f>HYPERLINK("http://ts.21cn.com/tousu/show/id/1352343","收费不合理，乱收费，25.5公里收费74元")</f>
        <v>收费不合理，乱收费，25.5公里收费74元</v>
      </c>
      <c r="C20299" s="2" t="s">
        <v>9</v>
      </c>
      <c r="D20299" s="2" t="s">
        <v>10</v>
      </c>
      <c r="E20299" s="2" t="str">
        <f>HYPERLINK("http://ts.21cn.com/tousu/show/id/1352343","http://ts.21cn.com/tousu/show/id/1352343")</f>
        <v>http://ts.21cn.com/tousu/show/id/1352343</v>
      </c>
      <c r="F20299" s="2" t="s">
        <v>11</v>
      </c>
      <c r="G20299" s="2" t="s">
        <v>4241</v>
      </c>
      <c r="H20299" s="2" t="s">
        <v>4242</v>
      </c>
    </row>
    <row r="20300" spans="1:8" ht="25.05" customHeight="1" x14ac:dyDescent="0.25">
      <c r="A20300" s="2" t="s">
        <v>8</v>
      </c>
      <c r="B20300" s="2" t="str">
        <f>HYPERLINK("http://ts.21cn.com/tousu/show/id/1352345","人人贷阴阳合同，还款日恐吓。")</f>
        <v>人人贷阴阳合同，还款日恐吓。</v>
      </c>
      <c r="C20300" s="2" t="s">
        <v>9</v>
      </c>
      <c r="D20300" s="2" t="s">
        <v>10</v>
      </c>
      <c r="E20300" s="2" t="str">
        <f>HYPERLINK("http://ts.21cn.com/tousu/show/id/1352345","http://ts.21cn.com/tousu/show/id/1352345")</f>
        <v>http://ts.21cn.com/tousu/show/id/1352345</v>
      </c>
      <c r="F20300" s="2" t="s">
        <v>11</v>
      </c>
      <c r="G20300" s="2" t="s">
        <v>4239</v>
      </c>
      <c r="H20300" s="2" t="s">
        <v>4240</v>
      </c>
    </row>
    <row r="20301" spans="1:8" ht="25.05" customHeight="1" x14ac:dyDescent="0.25">
      <c r="A20301" s="2" t="s">
        <v>8</v>
      </c>
      <c r="B20301" s="2" t="str">
        <f>HYPERLINK("http://ts.21cn.com/tousu/show/id/1352344","嗨钱网还款了不入账一直显示逾期")</f>
        <v>嗨钱网还款了不入账一直显示逾期</v>
      </c>
      <c r="C20301" s="2" t="s">
        <v>9</v>
      </c>
      <c r="D20301" s="2" t="s">
        <v>10</v>
      </c>
      <c r="E20301" s="2" t="str">
        <f>HYPERLINK("http://ts.21cn.com/tousu/show/id/1352344","http://ts.21cn.com/tousu/show/id/1352344")</f>
        <v>http://ts.21cn.com/tousu/show/id/1352344</v>
      </c>
      <c r="F20301" s="2" t="s">
        <v>11</v>
      </c>
      <c r="G20301" s="2" t="s">
        <v>4237</v>
      </c>
      <c r="H20301" s="2" t="s">
        <v>4238</v>
      </c>
    </row>
    <row r="20302" spans="1:8" ht="25.05" customHeight="1" x14ac:dyDescent="0.25">
      <c r="A20302" s="2" t="s">
        <v>8</v>
      </c>
      <c r="B20302" s="2" t="str">
        <f>HYPERLINK("http://ts.21cn.com/tousu/show/id/1352346","小浦优客未经同意扣款")</f>
        <v>小浦优客未经同意扣款</v>
      </c>
      <c r="C20302" s="2" t="s">
        <v>9</v>
      </c>
      <c r="D20302" s="2" t="s">
        <v>10</v>
      </c>
      <c r="E20302" s="2" t="str">
        <f>HYPERLINK("http://ts.21cn.com/tousu/show/id/1352346","http://ts.21cn.com/tousu/show/id/1352346")</f>
        <v>http://ts.21cn.com/tousu/show/id/1352346</v>
      </c>
      <c r="F20302" s="2" t="s">
        <v>11</v>
      </c>
      <c r="G20302" s="2" t="s">
        <v>4235</v>
      </c>
      <c r="H20302" s="2" t="s">
        <v>4236</v>
      </c>
    </row>
    <row r="20303" spans="1:8" ht="25.05" customHeight="1" x14ac:dyDescent="0.25">
      <c r="A20303" s="2" t="s">
        <v>8</v>
      </c>
      <c r="B20303" s="2" t="str">
        <f>HYPERLINK("http://ts.21cn.com/tousu/show/id/1352348","360爆通讯录，一天打十几次催收电话")</f>
        <v>360爆通讯录，一天打十几次催收电话</v>
      </c>
      <c r="C20303" s="2" t="s">
        <v>9</v>
      </c>
      <c r="D20303" s="2" t="s">
        <v>10</v>
      </c>
      <c r="E20303" s="2" t="str">
        <f>HYPERLINK("http://ts.21cn.com/tousu/show/id/1352348","http://ts.21cn.com/tousu/show/id/1352348")</f>
        <v>http://ts.21cn.com/tousu/show/id/1352348</v>
      </c>
      <c r="F20303" s="2" t="s">
        <v>11</v>
      </c>
      <c r="G20303" s="2" t="s">
        <v>4233</v>
      </c>
      <c r="H20303" s="2" t="s">
        <v>4234</v>
      </c>
    </row>
    <row r="20304" spans="1:8" ht="25.05" customHeight="1" x14ac:dyDescent="0.25">
      <c r="A20304" s="2" t="s">
        <v>8</v>
      </c>
      <c r="B20304" s="2" t="str">
        <f>HYPERLINK("http://ts.21cn.com/tousu/show/id/1352349","左右钱包存在砍头息，欺诈行为")</f>
        <v>左右钱包存在砍头息，欺诈行为</v>
      </c>
      <c r="C20304" s="2" t="s">
        <v>9</v>
      </c>
      <c r="D20304" s="2" t="s">
        <v>10</v>
      </c>
      <c r="E20304" s="2" t="str">
        <f>HYPERLINK("http://ts.21cn.com/tousu/show/id/1352349","http://ts.21cn.com/tousu/show/id/1352349")</f>
        <v>http://ts.21cn.com/tousu/show/id/1352349</v>
      </c>
      <c r="F20304" s="2" t="s">
        <v>11</v>
      </c>
      <c r="G20304" s="2" t="s">
        <v>4231</v>
      </c>
      <c r="H20304" s="2" t="s">
        <v>4232</v>
      </c>
    </row>
    <row r="20305" spans="1:8" ht="25.05" customHeight="1" x14ac:dyDescent="0.25">
      <c r="A20305" s="2" t="s">
        <v>8</v>
      </c>
      <c r="B20305" s="2" t="str">
        <f>HYPERLINK("http://ts.21cn.com/tousu/show/id/1352350","白条分期扣除249元费用")</f>
        <v>白条分期扣除249元费用</v>
      </c>
      <c r="C20305" s="2" t="s">
        <v>34</v>
      </c>
      <c r="D20305" s="2" t="s">
        <v>10</v>
      </c>
      <c r="E20305" s="2" t="str">
        <f>HYPERLINK("http://ts.21cn.com/tousu/show/id/1352350","http://ts.21cn.com/tousu/show/id/1352350")</f>
        <v>http://ts.21cn.com/tousu/show/id/1352350</v>
      </c>
      <c r="F20305" s="2" t="s">
        <v>11</v>
      </c>
      <c r="G20305" s="2" t="s">
        <v>4229</v>
      </c>
      <c r="H20305" s="2" t="s">
        <v>4230</v>
      </c>
    </row>
    <row r="20306" spans="1:8" ht="25.05" customHeight="1" x14ac:dyDescent="0.25">
      <c r="A20306" s="2" t="s">
        <v>8</v>
      </c>
      <c r="B20306" s="2" t="str">
        <f>HYPERLINK("http://ts.21cn.com/tousu/show/id/1352330","南京荣冉企业管理有限公司贷款忽悠客户")</f>
        <v>南京荣冉企业管理有限公司贷款忽悠客户</v>
      </c>
      <c r="C20306" s="2" t="s">
        <v>9</v>
      </c>
      <c r="D20306" s="2" t="s">
        <v>10</v>
      </c>
      <c r="E20306" s="2" t="str">
        <f>HYPERLINK("http://ts.21cn.com/tousu/show/id/1352330","http://ts.21cn.com/tousu/show/id/1352330")</f>
        <v>http://ts.21cn.com/tousu/show/id/1352330</v>
      </c>
      <c r="F20306" s="2" t="s">
        <v>11</v>
      </c>
      <c r="G20306" s="2" t="s">
        <v>4227</v>
      </c>
      <c r="H20306" s="2" t="s">
        <v>4228</v>
      </c>
    </row>
    <row r="20307" spans="1:8" ht="25.05" customHeight="1" x14ac:dyDescent="0.25">
      <c r="A20307" s="2" t="s">
        <v>8</v>
      </c>
      <c r="B20307" s="2" t="str">
        <f>HYPERLINK("http://ts.21cn.com/tousu/show/id/1352351","平安惠普对债务人以外人的人骚扰")</f>
        <v>平安惠普对债务人以外人的人骚扰</v>
      </c>
      <c r="C20307" s="2" t="s">
        <v>9</v>
      </c>
      <c r="D20307" s="2" t="s">
        <v>10</v>
      </c>
      <c r="E20307" s="2" t="str">
        <f>HYPERLINK("http://ts.21cn.com/tousu/show/id/1352351","http://ts.21cn.com/tousu/show/id/1352351")</f>
        <v>http://ts.21cn.com/tousu/show/id/1352351</v>
      </c>
      <c r="F20307" s="2" t="s">
        <v>11</v>
      </c>
      <c r="G20307" s="2" t="s">
        <v>4225</v>
      </c>
      <c r="H20307" s="2" t="s">
        <v>4226</v>
      </c>
    </row>
    <row r="20308" spans="1:8" ht="25.05" customHeight="1" x14ac:dyDescent="0.25">
      <c r="A20308" s="2" t="s">
        <v>8</v>
      </c>
      <c r="B20308" s="2" t="str">
        <f>HYPERLINK("http://ts.21cn.com/tousu/show/id/1352352","白条违规催收")</f>
        <v>白条违规催收</v>
      </c>
      <c r="C20308" s="2" t="s">
        <v>9</v>
      </c>
      <c r="D20308" s="2" t="s">
        <v>10</v>
      </c>
      <c r="E20308" s="2" t="str">
        <f>HYPERLINK("http://ts.21cn.com/tousu/show/id/1352352","http://ts.21cn.com/tousu/show/id/1352352")</f>
        <v>http://ts.21cn.com/tousu/show/id/1352352</v>
      </c>
      <c r="F20308" s="2" t="s">
        <v>11</v>
      </c>
      <c r="G20308" s="2" t="s">
        <v>4223</v>
      </c>
      <c r="H20308" s="2" t="s">
        <v>4224</v>
      </c>
    </row>
    <row r="20309" spans="1:8" ht="25.05" customHeight="1" x14ac:dyDescent="0.25">
      <c r="A20309" s="2" t="s">
        <v>8</v>
      </c>
      <c r="B20309" s="2" t="str">
        <f>HYPERLINK("http://ts.21cn.com/tousu/show/id/1352354","投诉天猫tcl冰箱旗舰店虚假活动")</f>
        <v>投诉天猫tcl冰箱旗舰店虚假活动</v>
      </c>
      <c r="C20309" s="2" t="s">
        <v>9</v>
      </c>
      <c r="D20309" s="2" t="s">
        <v>10</v>
      </c>
      <c r="E20309" s="2" t="str">
        <f>HYPERLINK("http://ts.21cn.com/tousu/show/id/1352354","http://ts.21cn.com/tousu/show/id/1352354")</f>
        <v>http://ts.21cn.com/tousu/show/id/1352354</v>
      </c>
      <c r="F20309" s="2" t="s">
        <v>11</v>
      </c>
      <c r="G20309" s="2" t="s">
        <v>4220</v>
      </c>
      <c r="H20309" s="2" t="s">
        <v>4221</v>
      </c>
    </row>
    <row r="20310" spans="1:8" ht="25.05" customHeight="1" x14ac:dyDescent="0.25">
      <c r="A20310" s="2" t="s">
        <v>8</v>
      </c>
      <c r="B20310" s="2" t="str">
        <f>HYPERLINK("http://ts.21cn.com/tousu/show/id/1352353","中安融金（深圳）商业保理有限公司向我借款350000余元至今未还")</f>
        <v>中安融金（深圳）商业保理有限公司向我借款350000余元至今未还</v>
      </c>
      <c r="C20310" s="2" t="s">
        <v>9</v>
      </c>
      <c r="D20310" s="2" t="s">
        <v>10</v>
      </c>
      <c r="E20310" s="2" t="str">
        <f>HYPERLINK("http://ts.21cn.com/tousu/show/id/1352353","http://ts.21cn.com/tousu/show/id/1352353")</f>
        <v>http://ts.21cn.com/tousu/show/id/1352353</v>
      </c>
      <c r="F20310" s="2" t="s">
        <v>11</v>
      </c>
      <c r="G20310" s="2" t="s">
        <v>4220</v>
      </c>
      <c r="H20310" s="2" t="s">
        <v>4222</v>
      </c>
    </row>
    <row r="20311" spans="1:8" ht="25.05" customHeight="1" x14ac:dyDescent="0.25">
      <c r="A20311" s="2" t="s">
        <v>8</v>
      </c>
      <c r="B20311" s="2" t="str">
        <f>HYPERLINK("http://ts.21cn.com/tousu/show/id/1352283","购买的头套过敏已经退货！卖家拒绝退款")</f>
        <v>购买的头套过敏已经退货！卖家拒绝退款</v>
      </c>
      <c r="C20311" s="2" t="s">
        <v>9</v>
      </c>
      <c r="D20311" s="2" t="s">
        <v>10</v>
      </c>
      <c r="E20311" s="2" t="str">
        <f>HYPERLINK("http://ts.21cn.com/tousu/show/id/1352283","http://ts.21cn.com/tousu/show/id/1352283")</f>
        <v>http://ts.21cn.com/tousu/show/id/1352283</v>
      </c>
      <c r="F20311" s="2" t="s">
        <v>11</v>
      </c>
      <c r="G20311" s="2" t="s">
        <v>4218</v>
      </c>
      <c r="H20311" s="2" t="s">
        <v>4219</v>
      </c>
    </row>
    <row r="20312" spans="1:8" ht="25.05" customHeight="1" x14ac:dyDescent="0.25">
      <c r="A20312" s="2" t="s">
        <v>8</v>
      </c>
      <c r="B20312" s="2" t="str">
        <f>HYPERLINK("http://ts.21cn.com/tousu/show/id/1352355","浙江绿森信息科技有限公司（绿森商城）拒不退款，涉嫌违反消费者条例，要求立即退款")</f>
        <v>浙江绿森信息科技有限公司（绿森商城）拒不退款，涉嫌违反消费者条例，要求立即退款</v>
      </c>
      <c r="C20312" s="2" t="s">
        <v>9</v>
      </c>
      <c r="D20312" s="2" t="s">
        <v>10</v>
      </c>
      <c r="E20312" s="2" t="str">
        <f>HYPERLINK("http://ts.21cn.com/tousu/show/id/1352355","http://ts.21cn.com/tousu/show/id/1352355")</f>
        <v>http://ts.21cn.com/tousu/show/id/1352355</v>
      </c>
      <c r="F20312" s="2" t="s">
        <v>11</v>
      </c>
      <c r="G20312" s="2" t="s">
        <v>4216</v>
      </c>
      <c r="H20312" s="2" t="s">
        <v>4217</v>
      </c>
    </row>
    <row r="20313" spans="1:8" ht="25.05" customHeight="1" x14ac:dyDescent="0.25">
      <c r="A20313" s="2" t="s">
        <v>8</v>
      </c>
      <c r="B20313" s="2" t="str">
        <f>HYPERLINK("http://ts.21cn.com/tousu/show/id/1352356","提供垃圾项目收取会员费要求退款")</f>
        <v>提供垃圾项目收取会员费要求退款</v>
      </c>
      <c r="C20313" s="2" t="s">
        <v>34</v>
      </c>
      <c r="D20313" s="2" t="s">
        <v>10</v>
      </c>
      <c r="E20313" s="2" t="str">
        <f>HYPERLINK("http://ts.21cn.com/tousu/show/id/1352356","http://ts.21cn.com/tousu/show/id/1352356")</f>
        <v>http://ts.21cn.com/tousu/show/id/1352356</v>
      </c>
      <c r="F20313" s="2" t="s">
        <v>11</v>
      </c>
      <c r="G20313" s="2" t="s">
        <v>4214</v>
      </c>
      <c r="H20313" s="2" t="s">
        <v>4215</v>
      </c>
    </row>
    <row r="20314" spans="1:8" ht="25.05" customHeight="1" x14ac:dyDescent="0.25">
      <c r="A20314" s="2" t="s">
        <v>8</v>
      </c>
      <c r="B20314" s="2" t="str">
        <f>HYPERLINK("http://ts.21cn.com/tousu/show/id/1352357","恐吓")</f>
        <v>恐吓</v>
      </c>
      <c r="C20314" s="2" t="s">
        <v>9</v>
      </c>
      <c r="D20314" s="2" t="s">
        <v>10</v>
      </c>
      <c r="E20314" s="2" t="str">
        <f>HYPERLINK("http://ts.21cn.com/tousu/show/id/1352357","http://ts.21cn.com/tousu/show/id/1352357")</f>
        <v>http://ts.21cn.com/tousu/show/id/1352357</v>
      </c>
      <c r="F20314" s="2" t="s">
        <v>11</v>
      </c>
      <c r="G20314" s="2" t="s">
        <v>4212</v>
      </c>
      <c r="H20314" s="2" t="s">
        <v>4213</v>
      </c>
    </row>
    <row r="20315" spans="1:8" ht="25.05" customHeight="1" x14ac:dyDescent="0.25">
      <c r="A20315" s="2" t="s">
        <v>8</v>
      </c>
      <c r="B20315" s="2" t="str">
        <f>HYPERLINK("http://ts.21cn.com/tousu/show/id/1352359","高额分期手续费，比高利贷还高")</f>
        <v>高额分期手续费，比高利贷还高</v>
      </c>
      <c r="C20315" s="2" t="s">
        <v>9</v>
      </c>
      <c r="D20315" s="2" t="s">
        <v>10</v>
      </c>
      <c r="E20315" s="2" t="str">
        <f>HYPERLINK("http://ts.21cn.com/tousu/show/id/1352359","http://ts.21cn.com/tousu/show/id/1352359")</f>
        <v>http://ts.21cn.com/tousu/show/id/1352359</v>
      </c>
      <c r="F20315" s="2" t="s">
        <v>11</v>
      </c>
      <c r="G20315" s="2" t="s">
        <v>4210</v>
      </c>
      <c r="H20315" s="2" t="s">
        <v>4211</v>
      </c>
    </row>
    <row r="20316" spans="1:8" ht="25.05" customHeight="1" x14ac:dyDescent="0.25">
      <c r="A20316" s="2" t="s">
        <v>8</v>
      </c>
      <c r="B20316" s="2" t="str">
        <f>HYPERLINK("http://ts.21cn.com/tousu/show/id/1352360","给你花月光侠砍头息阴阳合同")</f>
        <v>给你花月光侠砍头息阴阳合同</v>
      </c>
      <c r="C20316" s="2" t="s">
        <v>9</v>
      </c>
      <c r="D20316" s="2" t="s">
        <v>10</v>
      </c>
      <c r="E20316" s="2" t="str">
        <f>HYPERLINK("http://ts.21cn.com/tousu/show/id/1352360","http://ts.21cn.com/tousu/show/id/1352360")</f>
        <v>http://ts.21cn.com/tousu/show/id/1352360</v>
      </c>
      <c r="F20316" s="2" t="s">
        <v>11</v>
      </c>
      <c r="G20316" s="2" t="s">
        <v>4208</v>
      </c>
      <c r="H20316" s="2" t="s">
        <v>4209</v>
      </c>
    </row>
    <row r="20317" spans="1:8" ht="25.05" customHeight="1" x14ac:dyDescent="0.25">
      <c r="A20317" s="2" t="s">
        <v>8</v>
      </c>
      <c r="B20317" s="2" t="str">
        <f>HYPERLINK("http://ts.21cn.com/tousu/show/id/962881","出尔反尔态度恶劣恐吓")</f>
        <v>出尔反尔态度恶劣恐吓</v>
      </c>
      <c r="C20317" s="2" t="s">
        <v>9</v>
      </c>
      <c r="D20317" s="2" t="s">
        <v>10</v>
      </c>
      <c r="E20317" s="2" t="str">
        <f>HYPERLINK("http://ts.21cn.com/tousu/show/id/962881","http://ts.21cn.com/tousu/show/id/962881")</f>
        <v>http://ts.21cn.com/tousu/show/id/962881</v>
      </c>
      <c r="F20317" s="2" t="s">
        <v>11</v>
      </c>
      <c r="G20317" s="2" t="s">
        <v>4206</v>
      </c>
      <c r="H20317" s="2" t="s">
        <v>4207</v>
      </c>
    </row>
    <row r="20318" spans="1:8" ht="25.05" customHeight="1" x14ac:dyDescent="0.25">
      <c r="A20318" s="2" t="s">
        <v>8</v>
      </c>
      <c r="B20318" s="2" t="str">
        <f>HYPERLINK("http://ts.21cn.com/tousu/show/id/1352361","投诉商户违规")</f>
        <v>投诉商户违规</v>
      </c>
      <c r="C20318" s="2" t="s">
        <v>9</v>
      </c>
      <c r="D20318" s="2" t="s">
        <v>10</v>
      </c>
      <c r="E20318" s="2" t="str">
        <f>HYPERLINK("http://ts.21cn.com/tousu/show/id/1352361","http://ts.21cn.com/tousu/show/id/1352361")</f>
        <v>http://ts.21cn.com/tousu/show/id/1352361</v>
      </c>
      <c r="F20318" s="2" t="s">
        <v>11</v>
      </c>
      <c r="G20318" s="2" t="s">
        <v>4204</v>
      </c>
      <c r="H20318" s="2" t="s">
        <v>4205</v>
      </c>
    </row>
    <row r="20319" spans="1:8" ht="25.05" customHeight="1" x14ac:dyDescent="0.25">
      <c r="A20319" s="2" t="s">
        <v>8</v>
      </c>
      <c r="B20319" s="2" t="str">
        <f>HYPERLINK("http://ts.21cn.com/tousu/show/id/1352362","暴力催收")</f>
        <v>暴力催收</v>
      </c>
      <c r="C20319" s="2" t="s">
        <v>9</v>
      </c>
      <c r="D20319" s="2" t="s">
        <v>10</v>
      </c>
      <c r="E20319" s="2" t="str">
        <f>HYPERLINK("http://ts.21cn.com/tousu/show/id/1352362","http://ts.21cn.com/tousu/show/id/1352362")</f>
        <v>http://ts.21cn.com/tousu/show/id/1352362</v>
      </c>
      <c r="F20319" s="2" t="s">
        <v>11</v>
      </c>
      <c r="G20319" s="2" t="s">
        <v>4202</v>
      </c>
      <c r="H20319" s="2" t="s">
        <v>4203</v>
      </c>
    </row>
    <row r="20320" spans="1:8" ht="25.05" customHeight="1" x14ac:dyDescent="0.25">
      <c r="A20320" s="2" t="s">
        <v>8</v>
      </c>
      <c r="B20320" s="2" t="str">
        <f>HYPERLINK("http://ts.21cn.com/tousu/show/id/1352363","分期通恶意收取会员费")</f>
        <v>分期通恶意收取会员费</v>
      </c>
      <c r="C20320" s="2" t="s">
        <v>9</v>
      </c>
      <c r="D20320" s="2" t="s">
        <v>10</v>
      </c>
      <c r="E20320" s="2" t="str">
        <f>HYPERLINK("http://ts.21cn.com/tousu/show/id/1352363","http://ts.21cn.com/tousu/show/id/1352363")</f>
        <v>http://ts.21cn.com/tousu/show/id/1352363</v>
      </c>
      <c r="F20320" s="2" t="s">
        <v>11</v>
      </c>
      <c r="G20320" s="2" t="s">
        <v>4200</v>
      </c>
      <c r="H20320" s="2" t="s">
        <v>4201</v>
      </c>
    </row>
    <row r="20321" spans="1:8" ht="25.05" customHeight="1" x14ac:dyDescent="0.25">
      <c r="A20321" s="2" t="s">
        <v>8</v>
      </c>
      <c r="B20321" s="2" t="str">
        <f>HYPERLINK("http://ts.21cn.com/tousu/show/id/1352364","你我贷借款不到一个月14000还18000")</f>
        <v>你我贷借款不到一个月14000还18000</v>
      </c>
      <c r="C20321" s="2" t="s">
        <v>9</v>
      </c>
      <c r="D20321" s="2" t="s">
        <v>10</v>
      </c>
      <c r="E20321" s="2" t="str">
        <f>HYPERLINK("http://ts.21cn.com/tousu/show/id/1352364","http://ts.21cn.com/tousu/show/id/1352364")</f>
        <v>http://ts.21cn.com/tousu/show/id/1352364</v>
      </c>
      <c r="F20321" s="2" t="s">
        <v>11</v>
      </c>
      <c r="G20321" s="2" t="s">
        <v>4198</v>
      </c>
      <c r="H20321" s="2" t="s">
        <v>4199</v>
      </c>
    </row>
    <row r="20322" spans="1:8" ht="25.05" customHeight="1" x14ac:dyDescent="0.25">
      <c r="A20322" s="2" t="s">
        <v>8</v>
      </c>
      <c r="B20322" s="2" t="str">
        <f>HYPERLINK("http://ts.21cn.com/tousu/show/id/1352368","在十月十日中午十二点买到十号23:30分生产的产品")</f>
        <v>在十月十日中午十二点买到十号23:30分生产的产品</v>
      </c>
      <c r="C20322" s="2" t="s">
        <v>34</v>
      </c>
      <c r="D20322" s="2" t="s">
        <v>10</v>
      </c>
      <c r="E20322" s="2" t="str">
        <f>HYPERLINK("http://ts.21cn.com/tousu/show/id/1352368","http://ts.21cn.com/tousu/show/id/1352368")</f>
        <v>http://ts.21cn.com/tousu/show/id/1352368</v>
      </c>
      <c r="F20322" s="2" t="s">
        <v>11</v>
      </c>
      <c r="G20322" s="2" t="s">
        <v>4196</v>
      </c>
      <c r="H20322" s="2" t="s">
        <v>4197</v>
      </c>
    </row>
    <row r="20323" spans="1:8" ht="25.05" customHeight="1" x14ac:dyDescent="0.25">
      <c r="A20323" s="2" t="s">
        <v>8</v>
      </c>
      <c r="B20323" s="2" t="str">
        <f>HYPERLINK("http://ts.21cn.com/tousu/show/id/1352365","趣花分期砍头息")</f>
        <v>趣花分期砍头息</v>
      </c>
      <c r="C20323" s="2" t="s">
        <v>9</v>
      </c>
      <c r="D20323" s="2" t="s">
        <v>10</v>
      </c>
      <c r="E20323" s="2" t="str">
        <f>HYPERLINK("http://ts.21cn.com/tousu/show/id/1352365","http://ts.21cn.com/tousu/show/id/1352365")</f>
        <v>http://ts.21cn.com/tousu/show/id/1352365</v>
      </c>
      <c r="F20323" s="2" t="s">
        <v>11</v>
      </c>
      <c r="G20323" s="2" t="s">
        <v>4194</v>
      </c>
      <c r="H20323" s="2" t="s">
        <v>4195</v>
      </c>
    </row>
    <row r="20324" spans="1:8" ht="25.05" customHeight="1" x14ac:dyDescent="0.25">
      <c r="A20324" s="2" t="s">
        <v>8</v>
      </c>
      <c r="B20324" s="2" t="str">
        <f>HYPERLINK("http://ts.21cn.com/tousu/show/id/1352367","人人贷平台旗下好分期高利贷")</f>
        <v>人人贷平台旗下好分期高利贷</v>
      </c>
      <c r="C20324" s="2" t="s">
        <v>9</v>
      </c>
      <c r="D20324" s="2" t="s">
        <v>10</v>
      </c>
      <c r="E20324" s="2" t="str">
        <f>HYPERLINK("http://ts.21cn.com/tousu/show/id/1352367","http://ts.21cn.com/tousu/show/id/1352367")</f>
        <v>http://ts.21cn.com/tousu/show/id/1352367</v>
      </c>
      <c r="F20324" s="2" t="s">
        <v>11</v>
      </c>
      <c r="G20324" s="2" t="s">
        <v>4191</v>
      </c>
      <c r="H20324" s="2" t="s">
        <v>4192</v>
      </c>
    </row>
    <row r="20325" spans="1:8" ht="25.05" customHeight="1" x14ac:dyDescent="0.25">
      <c r="A20325" s="2" t="s">
        <v>8</v>
      </c>
      <c r="B20325" s="2" t="str">
        <f>HYPERLINK("http://ts.21cn.com/tousu/show/id/1352366","电话骚扰的、分期乐一直对我通讯录好友进行骚扰")</f>
        <v>电话骚扰的、分期乐一直对我通讯录好友进行骚扰</v>
      </c>
      <c r="C20325" s="2" t="s">
        <v>34</v>
      </c>
      <c r="D20325" s="2" t="s">
        <v>10</v>
      </c>
      <c r="E20325" s="2" t="str">
        <f>HYPERLINK("http://ts.21cn.com/tousu/show/id/1352366","http://ts.21cn.com/tousu/show/id/1352366")</f>
        <v>http://ts.21cn.com/tousu/show/id/1352366</v>
      </c>
      <c r="F20325" s="2" t="s">
        <v>11</v>
      </c>
      <c r="G20325" s="2" t="s">
        <v>4191</v>
      </c>
      <c r="H20325" s="2" t="s">
        <v>4193</v>
      </c>
    </row>
    <row r="20326" spans="1:8" ht="25.05" customHeight="1" x14ac:dyDescent="0.25">
      <c r="A20326" s="2" t="s">
        <v>8</v>
      </c>
      <c r="B20326" s="2" t="str">
        <f>HYPERLINK("http://ts.21cn.com/tousu/show/id/1352369","凡普金科旗下钱站app暴力催收")</f>
        <v>凡普金科旗下钱站app暴力催收</v>
      </c>
      <c r="C20326" s="2" t="s">
        <v>9</v>
      </c>
      <c r="D20326" s="2" t="s">
        <v>10</v>
      </c>
      <c r="E20326" s="2" t="str">
        <f>HYPERLINK("http://ts.21cn.com/tousu/show/id/1352369","http://ts.21cn.com/tousu/show/id/1352369")</f>
        <v>http://ts.21cn.com/tousu/show/id/1352369</v>
      </c>
      <c r="F20326" s="2" t="s">
        <v>11</v>
      </c>
      <c r="G20326" s="2" t="s">
        <v>4189</v>
      </c>
      <c r="H20326" s="2" t="s">
        <v>4190</v>
      </c>
    </row>
    <row r="20327" spans="1:8" ht="25.05" customHeight="1" x14ac:dyDescent="0.25">
      <c r="A20327" s="2" t="s">
        <v>8</v>
      </c>
      <c r="B20327" s="2" t="str">
        <f>HYPERLINK("http://ts.21cn.com/tousu/show/id/1352370","百度有钱花宜信公式高利贷")</f>
        <v>百度有钱花宜信公式高利贷</v>
      </c>
      <c r="C20327" s="2" t="s">
        <v>9</v>
      </c>
      <c r="D20327" s="2" t="s">
        <v>10</v>
      </c>
      <c r="E20327" s="2" t="str">
        <f>HYPERLINK("http://ts.21cn.com/tousu/show/id/1352370","http://ts.21cn.com/tousu/show/id/1352370")</f>
        <v>http://ts.21cn.com/tousu/show/id/1352370</v>
      </c>
      <c r="F20327" s="2" t="s">
        <v>11</v>
      </c>
      <c r="G20327" s="2" t="s">
        <v>4187</v>
      </c>
      <c r="H20327" s="2" t="s">
        <v>4188</v>
      </c>
    </row>
    <row r="20328" spans="1:8" ht="25.05" customHeight="1" x14ac:dyDescent="0.25">
      <c r="A20328" s="2" t="s">
        <v>8</v>
      </c>
      <c r="B20328" s="2" t="str">
        <f>HYPERLINK("http://ts.21cn.com/tousu/show/id/1352373","钱站在不通知本人的情况下曝我通讯录")</f>
        <v>钱站在不通知本人的情况下曝我通讯录</v>
      </c>
      <c r="C20328" s="2" t="s">
        <v>9</v>
      </c>
      <c r="D20328" s="2" t="s">
        <v>10</v>
      </c>
      <c r="E20328" s="2" t="str">
        <f>HYPERLINK("http://ts.21cn.com/tousu/show/id/1352373","http://ts.21cn.com/tousu/show/id/1352373")</f>
        <v>http://ts.21cn.com/tousu/show/id/1352373</v>
      </c>
      <c r="F20328" s="2" t="s">
        <v>11</v>
      </c>
      <c r="G20328" s="2" t="s">
        <v>4185</v>
      </c>
      <c r="H20328" s="2" t="s">
        <v>4186</v>
      </c>
    </row>
    <row r="20329" spans="1:8" ht="25.05" customHeight="1" x14ac:dyDescent="0.25">
      <c r="A20329" s="2" t="s">
        <v>8</v>
      </c>
      <c r="B20329" s="2" t="str">
        <f>HYPERLINK("http://ts.21cn.com/tousu/show/id/1352371","豆豆钱高额逾期费用，退还所谓担保费1499元")</f>
        <v>豆豆钱高额逾期费用，退还所谓担保费1499元</v>
      </c>
      <c r="C20329" s="2" t="s">
        <v>9</v>
      </c>
      <c r="D20329" s="2" t="s">
        <v>10</v>
      </c>
      <c r="E20329" s="2" t="str">
        <f>HYPERLINK("http://ts.21cn.com/tousu/show/id/1352371","http://ts.21cn.com/tousu/show/id/1352371")</f>
        <v>http://ts.21cn.com/tousu/show/id/1352371</v>
      </c>
      <c r="F20329" s="2" t="s">
        <v>11</v>
      </c>
      <c r="G20329" s="2" t="s">
        <v>4183</v>
      </c>
      <c r="H20329" s="2" t="s">
        <v>4184</v>
      </c>
    </row>
    <row r="20330" spans="1:8" ht="25.05" customHeight="1" x14ac:dyDescent="0.25">
      <c r="A20330" s="2" t="s">
        <v>8</v>
      </c>
      <c r="B20330" s="2" t="str">
        <f>HYPERLINK("http://ts.21cn.com/tousu/show/id/1352374","购买了570元的黑卡却不下款")</f>
        <v>购买了570元的黑卡却不下款</v>
      </c>
      <c r="C20330" s="2" t="s">
        <v>9</v>
      </c>
      <c r="D20330" s="2" t="s">
        <v>10</v>
      </c>
      <c r="E20330" s="2" t="str">
        <f>HYPERLINK("http://ts.21cn.com/tousu/show/id/1352374","http://ts.21cn.com/tousu/show/id/1352374")</f>
        <v>http://ts.21cn.com/tousu/show/id/1352374</v>
      </c>
      <c r="F20330" s="2" t="s">
        <v>11</v>
      </c>
      <c r="G20330" s="2" t="s">
        <v>4181</v>
      </c>
      <c r="H20330" s="2" t="s">
        <v>4182</v>
      </c>
    </row>
    <row r="20331" spans="1:8" ht="25.05" customHeight="1" x14ac:dyDescent="0.25">
      <c r="A20331" s="2" t="s">
        <v>8</v>
      </c>
      <c r="B20331" s="2" t="str">
        <f>HYPERLINK("http://ts.21cn.com/tousu/show/id/1352372","期待合伙人砍头息高额利息，短信威胁")</f>
        <v>期待合伙人砍头息高额利息，短信威胁</v>
      </c>
      <c r="C20331" s="2" t="s">
        <v>9</v>
      </c>
      <c r="D20331" s="2" t="s">
        <v>10</v>
      </c>
      <c r="E20331" s="2" t="str">
        <f>HYPERLINK("http://ts.21cn.com/tousu/show/id/1352372","http://ts.21cn.com/tousu/show/id/1352372")</f>
        <v>http://ts.21cn.com/tousu/show/id/1352372</v>
      </c>
      <c r="F20331" s="2" t="s">
        <v>11</v>
      </c>
      <c r="G20331" s="2" t="s">
        <v>4179</v>
      </c>
      <c r="H20331" s="2" t="s">
        <v>4180</v>
      </c>
    </row>
    <row r="20332" spans="1:8" ht="25.05" customHeight="1" x14ac:dyDescent="0.25">
      <c r="A20332" s="2" t="s">
        <v>8</v>
      </c>
      <c r="B20332" s="2" t="str">
        <f>HYPERLINK("http://ts.21cn.com/tousu/show/id/1352375","现金巴士高利贷")</f>
        <v>现金巴士高利贷</v>
      </c>
      <c r="C20332" s="2" t="s">
        <v>9</v>
      </c>
      <c r="D20332" s="2" t="s">
        <v>10</v>
      </c>
      <c r="E20332" s="2" t="str">
        <f>HYPERLINK("http://ts.21cn.com/tousu/show/id/1352375","http://ts.21cn.com/tousu/show/id/1352375")</f>
        <v>http://ts.21cn.com/tousu/show/id/1352375</v>
      </c>
      <c r="F20332" s="2" t="s">
        <v>11</v>
      </c>
      <c r="G20332" s="2" t="s">
        <v>4177</v>
      </c>
      <c r="H20332" s="2" t="s">
        <v>4178</v>
      </c>
    </row>
    <row r="20333" spans="1:8" ht="25.05" customHeight="1" x14ac:dyDescent="0.25">
      <c r="A20333" s="2" t="s">
        <v>8</v>
      </c>
      <c r="B20333" s="2" t="str">
        <f>HYPERLINK("http://ts.21cn.com/tousu/show/id/1352376","骚扰")</f>
        <v>骚扰</v>
      </c>
      <c r="C20333" s="2" t="s">
        <v>9</v>
      </c>
      <c r="D20333" s="2" t="s">
        <v>10</v>
      </c>
      <c r="E20333" s="2" t="str">
        <f>HYPERLINK("http://ts.21cn.com/tousu/show/id/1352376","http://ts.21cn.com/tousu/show/id/1352376")</f>
        <v>http://ts.21cn.com/tousu/show/id/1352376</v>
      </c>
      <c r="F20333" s="2" t="s">
        <v>11</v>
      </c>
      <c r="G20333" s="2" t="s">
        <v>4175</v>
      </c>
      <c r="H20333" s="2" t="s">
        <v>4176</v>
      </c>
    </row>
    <row r="20334" spans="1:8" ht="25.05" customHeight="1" x14ac:dyDescent="0.25">
      <c r="A20334" s="2" t="s">
        <v>8</v>
      </c>
      <c r="B20334" s="2" t="str">
        <f>HYPERLINK("http://ts.21cn.com/tousu/show/id/1352378","微信账户正常，无法收款")</f>
        <v>微信账户正常，无法收款</v>
      </c>
      <c r="C20334" s="2" t="s">
        <v>9</v>
      </c>
      <c r="D20334" s="2" t="s">
        <v>10</v>
      </c>
      <c r="E20334" s="2" t="str">
        <f>HYPERLINK("http://ts.21cn.com/tousu/show/id/1352378","http://ts.21cn.com/tousu/show/id/1352378")</f>
        <v>http://ts.21cn.com/tousu/show/id/1352378</v>
      </c>
      <c r="F20334" s="2" t="s">
        <v>11</v>
      </c>
      <c r="G20334" s="2" t="s">
        <v>4173</v>
      </c>
      <c r="H20334" s="2" t="s">
        <v>4174</v>
      </c>
    </row>
    <row r="20335" spans="1:8" ht="25.05" customHeight="1" x14ac:dyDescent="0.25">
      <c r="A20335" s="2" t="s">
        <v>8</v>
      </c>
      <c r="B20335" s="2" t="str">
        <f>HYPERLINK("http://ts.21cn.com/tousu/show/id/1352380","你我贷高利贷，危险家人朋友")</f>
        <v>你我贷高利贷，危险家人朋友</v>
      </c>
      <c r="C20335" s="2" t="s">
        <v>9</v>
      </c>
      <c r="D20335" s="2" t="s">
        <v>10</v>
      </c>
      <c r="E20335" s="2" t="str">
        <f>HYPERLINK("http://ts.21cn.com/tousu/show/id/1352380","http://ts.21cn.com/tousu/show/id/1352380")</f>
        <v>http://ts.21cn.com/tousu/show/id/1352380</v>
      </c>
      <c r="F20335" s="2" t="s">
        <v>11</v>
      </c>
      <c r="G20335" s="2" t="s">
        <v>4171</v>
      </c>
      <c r="H20335" s="2" t="s">
        <v>4172</v>
      </c>
    </row>
    <row r="20336" spans="1:8" ht="25.05" customHeight="1" x14ac:dyDescent="0.25">
      <c r="A20336" s="2" t="s">
        <v>8</v>
      </c>
      <c r="B20336" s="2" t="str">
        <f>HYPERLINK("http://ts.21cn.com/tousu/show/id/1352379","向学生收取4800高额咨询费不还，已经拖了近两年时间")</f>
        <v>向学生收取4800高额咨询费不还，已经拖了近两年时间</v>
      </c>
      <c r="C20336" s="2" t="s">
        <v>9</v>
      </c>
      <c r="D20336" s="2" t="s">
        <v>10</v>
      </c>
      <c r="E20336" s="2" t="str">
        <f>HYPERLINK("http://ts.21cn.com/tousu/show/id/1352379","http://ts.21cn.com/tousu/show/id/1352379")</f>
        <v>http://ts.21cn.com/tousu/show/id/1352379</v>
      </c>
      <c r="F20336" s="2" t="s">
        <v>11</v>
      </c>
      <c r="G20336" s="2" t="s">
        <v>4169</v>
      </c>
      <c r="H20336" s="2" t="s">
        <v>4170</v>
      </c>
    </row>
    <row r="20337" spans="1:8" ht="25.05" customHeight="1" x14ac:dyDescent="0.25">
      <c r="A20337" s="2" t="s">
        <v>8</v>
      </c>
      <c r="B20337" s="2" t="str">
        <f>HYPERLINK("http://ts.21cn.com/tousu/show/id/1352381","贷款购买会员不放款")</f>
        <v>贷款购买会员不放款</v>
      </c>
      <c r="C20337" s="2" t="s">
        <v>34</v>
      </c>
      <c r="D20337" s="2" t="s">
        <v>10</v>
      </c>
      <c r="E20337" s="2" t="str">
        <f>HYPERLINK("http://ts.21cn.com/tousu/show/id/1352381","http://ts.21cn.com/tousu/show/id/1352381")</f>
        <v>http://ts.21cn.com/tousu/show/id/1352381</v>
      </c>
      <c r="F20337" s="2" t="s">
        <v>11</v>
      </c>
      <c r="G20337" s="2" t="s">
        <v>4167</v>
      </c>
      <c r="H20337" s="2" t="s">
        <v>4168</v>
      </c>
    </row>
    <row r="20338" spans="1:8" ht="25.05" customHeight="1" x14ac:dyDescent="0.25">
      <c r="A20338" s="2" t="s">
        <v>8</v>
      </c>
      <c r="B20338" s="2" t="str">
        <f>HYPERLINK("http://ts.21cn.com/tousu/show/id/1352382","包银消费金融催收打单位电话骚扰借款人")</f>
        <v>包银消费金融催收打单位电话骚扰借款人</v>
      </c>
      <c r="C20338" s="2" t="s">
        <v>9</v>
      </c>
      <c r="D20338" s="2" t="s">
        <v>10</v>
      </c>
      <c r="E20338" s="2" t="str">
        <f>HYPERLINK("http://ts.21cn.com/tousu/show/id/1352382","http://ts.21cn.com/tousu/show/id/1352382")</f>
        <v>http://ts.21cn.com/tousu/show/id/1352382</v>
      </c>
      <c r="F20338" s="2" t="s">
        <v>11</v>
      </c>
      <c r="G20338" s="2" t="s">
        <v>4165</v>
      </c>
      <c r="H20338" s="2" t="s">
        <v>4166</v>
      </c>
    </row>
    <row r="20339" spans="1:8" ht="25.05" customHeight="1" x14ac:dyDescent="0.25">
      <c r="A20339" s="2" t="s">
        <v>8</v>
      </c>
      <c r="B20339" s="2" t="str">
        <f>HYPERLINK("http://ts.21cn.com/tousu/show/id/1352358","违反合同约定修车")</f>
        <v>违反合同约定修车</v>
      </c>
      <c r="C20339" s="2" t="s">
        <v>9</v>
      </c>
      <c r="D20339" s="2" t="s">
        <v>10</v>
      </c>
      <c r="E20339" s="2" t="str">
        <f>HYPERLINK("http://ts.21cn.com/tousu/show/id/1352358","http://ts.21cn.com/tousu/show/id/1352358")</f>
        <v>http://ts.21cn.com/tousu/show/id/1352358</v>
      </c>
      <c r="F20339" s="2" t="s">
        <v>11</v>
      </c>
      <c r="G20339" s="2" t="s">
        <v>4163</v>
      </c>
      <c r="H20339" s="2" t="s">
        <v>4164</v>
      </c>
    </row>
    <row r="20340" spans="1:8" ht="25.05" customHeight="1" x14ac:dyDescent="0.25">
      <c r="A20340" s="2" t="s">
        <v>8</v>
      </c>
      <c r="B20340" s="2" t="str">
        <f>HYPERLINK("http://ts.21cn.com/tousu/show/id/1352383","我来贷非法高利贷，变相手续高额利息，无力承担负债要求一次性减免结清")</f>
        <v>我来贷非法高利贷，变相手续高额利息，无力承担负债要求一次性减免结清</v>
      </c>
      <c r="C20340" s="2" t="s">
        <v>9</v>
      </c>
      <c r="D20340" s="2" t="s">
        <v>10</v>
      </c>
      <c r="E20340" s="2" t="str">
        <f>HYPERLINK("http://ts.21cn.com/tousu/show/id/1352383","http://ts.21cn.com/tousu/show/id/1352383")</f>
        <v>http://ts.21cn.com/tousu/show/id/1352383</v>
      </c>
      <c r="F20340" s="2" t="s">
        <v>11</v>
      </c>
      <c r="G20340" s="2" t="s">
        <v>4161</v>
      </c>
      <c r="H20340" s="2" t="s">
        <v>4162</v>
      </c>
    </row>
    <row r="20341" spans="1:8" ht="25.05" customHeight="1" x14ac:dyDescent="0.25">
      <c r="A20341" s="2" t="s">
        <v>8</v>
      </c>
      <c r="B20341" s="2" t="str">
        <f>HYPERLINK("http://ts.21cn.com/tousu/show/id/1352384","望交通银行可以看到")</f>
        <v>望交通银行可以看到</v>
      </c>
      <c r="C20341" s="2" t="s">
        <v>34</v>
      </c>
      <c r="D20341" s="2" t="s">
        <v>10</v>
      </c>
      <c r="E20341" s="2" t="str">
        <f>HYPERLINK("http://ts.21cn.com/tousu/show/id/1352384","http://ts.21cn.com/tousu/show/id/1352384")</f>
        <v>http://ts.21cn.com/tousu/show/id/1352384</v>
      </c>
      <c r="F20341" s="2" t="s">
        <v>11</v>
      </c>
      <c r="G20341" s="2" t="s">
        <v>4159</v>
      </c>
      <c r="H20341" s="2" t="s">
        <v>4160</v>
      </c>
    </row>
    <row r="20342" spans="1:8" ht="25.05" customHeight="1" x14ac:dyDescent="0.25">
      <c r="A20342" s="2" t="s">
        <v>8</v>
      </c>
      <c r="B20342" s="2" t="str">
        <f>HYPERLINK("http://ts.21cn.com/tousu/show/id/1352385","招商银行恶意催收")</f>
        <v>招商银行恶意催收</v>
      </c>
      <c r="C20342" s="2" t="s">
        <v>9</v>
      </c>
      <c r="D20342" s="2" t="s">
        <v>10</v>
      </c>
      <c r="E20342" s="2" t="str">
        <f>HYPERLINK("http://ts.21cn.com/tousu/show/id/1352385","http://ts.21cn.com/tousu/show/id/1352385")</f>
        <v>http://ts.21cn.com/tousu/show/id/1352385</v>
      </c>
      <c r="F20342" s="2" t="s">
        <v>11</v>
      </c>
      <c r="G20342" s="2" t="s">
        <v>4157</v>
      </c>
      <c r="H20342" s="2" t="s">
        <v>4158</v>
      </c>
    </row>
    <row r="20343" spans="1:8" ht="25.05" customHeight="1" x14ac:dyDescent="0.25">
      <c r="A20343" s="2" t="s">
        <v>8</v>
      </c>
      <c r="B20343" s="2" t="str">
        <f>HYPERLINK("http://ts.21cn.com/tousu/show/id/1352386","协商还款停止催收")</f>
        <v>协商还款停止催收</v>
      </c>
      <c r="C20343" s="2" t="s">
        <v>9</v>
      </c>
      <c r="D20343" s="2" t="s">
        <v>10</v>
      </c>
      <c r="E20343" s="2" t="str">
        <f>HYPERLINK("http://ts.21cn.com/tousu/show/id/1352386","http://ts.21cn.com/tousu/show/id/1352386")</f>
        <v>http://ts.21cn.com/tousu/show/id/1352386</v>
      </c>
      <c r="F20343" s="2" t="s">
        <v>11</v>
      </c>
      <c r="G20343" s="2" t="s">
        <v>4155</v>
      </c>
      <c r="H20343" s="2" t="s">
        <v>4156</v>
      </c>
    </row>
    <row r="20344" spans="1:8" ht="25.05" customHeight="1" x14ac:dyDescent="0.25">
      <c r="A20344" s="2" t="s">
        <v>8</v>
      </c>
      <c r="B20344" s="2" t="str">
        <f>HYPERLINK("http://ts.21cn.com/tousu/show/id/1352387","小黑鲨app高利贷")</f>
        <v>小黑鲨app高利贷</v>
      </c>
      <c r="C20344" s="2" t="s">
        <v>9</v>
      </c>
      <c r="D20344" s="2" t="s">
        <v>10</v>
      </c>
      <c r="E20344" s="2" t="str">
        <f>HYPERLINK("http://ts.21cn.com/tousu/show/id/1352387","http://ts.21cn.com/tousu/show/id/1352387")</f>
        <v>http://ts.21cn.com/tousu/show/id/1352387</v>
      </c>
      <c r="F20344" s="2" t="s">
        <v>11</v>
      </c>
      <c r="G20344" s="2" t="s">
        <v>4153</v>
      </c>
      <c r="H20344" s="2" t="s">
        <v>4154</v>
      </c>
    </row>
    <row r="20345" spans="1:8" ht="25.05" customHeight="1" x14ac:dyDescent="0.25">
      <c r="A20345" s="2" t="s">
        <v>8</v>
      </c>
      <c r="B20345" s="2" t="str">
        <f>HYPERLINK("http://ts.21cn.com/tousu/show/id/1352390","恶意电话催收")</f>
        <v>恶意电话催收</v>
      </c>
      <c r="C20345" s="2" t="s">
        <v>9</v>
      </c>
      <c r="D20345" s="2" t="s">
        <v>10</v>
      </c>
      <c r="E20345" s="2" t="str">
        <f>HYPERLINK("http://ts.21cn.com/tousu/show/id/1352390","http://ts.21cn.com/tousu/show/id/1352390")</f>
        <v>http://ts.21cn.com/tousu/show/id/1352390</v>
      </c>
      <c r="F20345" s="2" t="s">
        <v>11</v>
      </c>
      <c r="G20345" s="2" t="s">
        <v>4151</v>
      </c>
      <c r="H20345" s="2" t="s">
        <v>4152</v>
      </c>
    </row>
    <row r="20346" spans="1:8" ht="25.05" customHeight="1" x14ac:dyDescent="0.25">
      <c r="A20346" s="2" t="s">
        <v>8</v>
      </c>
      <c r="B20346" s="2" t="str">
        <f>HYPERLINK("http://ts.21cn.com/tousu/show/id/1352388","闪银套路贷")</f>
        <v>闪银套路贷</v>
      </c>
      <c r="C20346" s="2" t="s">
        <v>9</v>
      </c>
      <c r="D20346" s="2" t="s">
        <v>10</v>
      </c>
      <c r="E20346" s="2" t="str">
        <f>HYPERLINK("http://ts.21cn.com/tousu/show/id/1352388","http://ts.21cn.com/tousu/show/id/1352388")</f>
        <v>http://ts.21cn.com/tousu/show/id/1352388</v>
      </c>
      <c r="F20346" s="2" t="s">
        <v>11</v>
      </c>
      <c r="G20346" s="2" t="s">
        <v>4149</v>
      </c>
      <c r="H20346" s="2" t="s">
        <v>4150</v>
      </c>
    </row>
    <row r="20347" spans="1:8" ht="25.05" customHeight="1" x14ac:dyDescent="0.25">
      <c r="A20347" s="2" t="s">
        <v>8</v>
      </c>
      <c r="B20347" s="2" t="str">
        <f>HYPERLINK("http://ts.21cn.com/tousu/show/id/1352389","时光分期砍头息高利贷套路贷")</f>
        <v>时光分期砍头息高利贷套路贷</v>
      </c>
      <c r="C20347" s="2" t="s">
        <v>9</v>
      </c>
      <c r="D20347" s="2" t="s">
        <v>10</v>
      </c>
      <c r="E20347" s="2" t="str">
        <f>HYPERLINK("http://ts.21cn.com/tousu/show/id/1352389","http://ts.21cn.com/tousu/show/id/1352389")</f>
        <v>http://ts.21cn.com/tousu/show/id/1352389</v>
      </c>
      <c r="F20347" s="2" t="s">
        <v>11</v>
      </c>
      <c r="G20347" s="2" t="s">
        <v>4147</v>
      </c>
      <c r="H20347" s="2" t="s">
        <v>4148</v>
      </c>
    </row>
    <row r="20348" spans="1:8" ht="25.05" customHeight="1" x14ac:dyDescent="0.25">
      <c r="A20348" s="2" t="s">
        <v>8</v>
      </c>
      <c r="B20348" s="2" t="str">
        <f>HYPERLINK("http://ts.21cn.com/tousu/show/id/1352391","闪银骚扰通讯录")</f>
        <v>闪银骚扰通讯录</v>
      </c>
      <c r="C20348" s="2" t="s">
        <v>34</v>
      </c>
      <c r="D20348" s="2" t="s">
        <v>10</v>
      </c>
      <c r="E20348" s="2" t="str">
        <f>HYPERLINK("http://ts.21cn.com/tousu/show/id/1352391","http://ts.21cn.com/tousu/show/id/1352391")</f>
        <v>http://ts.21cn.com/tousu/show/id/1352391</v>
      </c>
      <c r="F20348" s="2" t="s">
        <v>11</v>
      </c>
      <c r="G20348" s="2" t="s">
        <v>4145</v>
      </c>
      <c r="H20348" s="2" t="s">
        <v>4146</v>
      </c>
    </row>
    <row r="20349" spans="1:8" ht="25.05" customHeight="1" x14ac:dyDescent="0.25">
      <c r="A20349" s="2" t="s">
        <v>8</v>
      </c>
      <c r="B20349" s="2" t="str">
        <f>HYPERLINK("http://ts.21cn.com/tousu/show/id/1352392","暴力催收，软暴力催收，威胁去单位核实")</f>
        <v>暴力催收，软暴力催收，威胁去单位核实</v>
      </c>
      <c r="C20349" s="2" t="s">
        <v>9</v>
      </c>
      <c r="D20349" s="2" t="s">
        <v>10</v>
      </c>
      <c r="E20349" s="2" t="str">
        <f>HYPERLINK("http://ts.21cn.com/tousu/show/id/1352392","http://ts.21cn.com/tousu/show/id/1352392")</f>
        <v>http://ts.21cn.com/tousu/show/id/1352392</v>
      </c>
      <c r="F20349" s="2" t="s">
        <v>11</v>
      </c>
      <c r="G20349" s="2" t="s">
        <v>4143</v>
      </c>
      <c r="H20349" s="2" t="s">
        <v>4144</v>
      </c>
    </row>
    <row r="20350" spans="1:8" ht="25.05" customHeight="1" x14ac:dyDescent="0.25">
      <c r="A20350" s="2" t="s">
        <v>8</v>
      </c>
      <c r="B20350" s="2" t="str">
        <f>HYPERLINK("http://ts.21cn.com/tousu/show/id/1352393","宏萨小蒲优客，恶意扣费")</f>
        <v>宏萨小蒲优客，恶意扣费</v>
      </c>
      <c r="C20350" s="2" t="s">
        <v>9</v>
      </c>
      <c r="D20350" s="2" t="s">
        <v>10</v>
      </c>
      <c r="E20350" s="2" t="str">
        <f>HYPERLINK("http://ts.21cn.com/tousu/show/id/1352393","http://ts.21cn.com/tousu/show/id/1352393")</f>
        <v>http://ts.21cn.com/tousu/show/id/1352393</v>
      </c>
      <c r="F20350" s="2" t="s">
        <v>11</v>
      </c>
      <c r="G20350" s="2" t="s">
        <v>4141</v>
      </c>
      <c r="H20350" s="2" t="s">
        <v>4142</v>
      </c>
    </row>
    <row r="20351" spans="1:8" ht="25.05" customHeight="1" x14ac:dyDescent="0.25">
      <c r="A20351" s="2" t="s">
        <v>8</v>
      </c>
      <c r="B20351" s="2" t="str">
        <f>HYPERLINK("http://ts.21cn.com/tousu/show/id/1352395","豆豆钱不给开结清证明，来回推脱。")</f>
        <v>豆豆钱不给开结清证明，来回推脱。</v>
      </c>
      <c r="C20351" s="2" t="s">
        <v>9</v>
      </c>
      <c r="D20351" s="2" t="s">
        <v>10</v>
      </c>
      <c r="E20351" s="2" t="str">
        <f>HYPERLINK("http://ts.21cn.com/tousu/show/id/1352395","http://ts.21cn.com/tousu/show/id/1352395")</f>
        <v>http://ts.21cn.com/tousu/show/id/1352395</v>
      </c>
      <c r="F20351" s="2" t="s">
        <v>11</v>
      </c>
      <c r="G20351" s="2" t="s">
        <v>4139</v>
      </c>
      <c r="H20351" s="2" t="s">
        <v>4140</v>
      </c>
    </row>
    <row r="20352" spans="1:8" ht="25.05" customHeight="1" x14ac:dyDescent="0.25">
      <c r="A20352" s="2" t="s">
        <v>8</v>
      </c>
      <c r="B20352" s="2" t="str">
        <f>HYPERLINK("http://ts.21cn.com/tousu/show/id/1352394","立借高利贷")</f>
        <v>立借高利贷</v>
      </c>
      <c r="C20352" s="2" t="s">
        <v>9</v>
      </c>
      <c r="D20352" s="2" t="s">
        <v>10</v>
      </c>
      <c r="E20352" s="2" t="str">
        <f>HYPERLINK("http://ts.21cn.com/tousu/show/id/1352394","http://ts.21cn.com/tousu/show/id/1352394")</f>
        <v>http://ts.21cn.com/tousu/show/id/1352394</v>
      </c>
      <c r="F20352" s="2" t="s">
        <v>11</v>
      </c>
      <c r="G20352" s="2" t="s">
        <v>4137</v>
      </c>
      <c r="H20352" s="2" t="s">
        <v>4138</v>
      </c>
    </row>
    <row r="20353" spans="1:8" ht="25.05" customHeight="1" x14ac:dyDescent="0.25">
      <c r="A20353" s="2" t="s">
        <v>8</v>
      </c>
      <c r="B20353" s="2" t="str">
        <f>HYPERLINK("http://ts.21cn.com/tousu/show/id/1352396","51人品贷黑心高利贷，暴利催收骚扰联系人")</f>
        <v>51人品贷黑心高利贷，暴利催收骚扰联系人</v>
      </c>
      <c r="C20353" s="2" t="s">
        <v>9</v>
      </c>
      <c r="D20353" s="2" t="s">
        <v>10</v>
      </c>
      <c r="E20353" s="2" t="str">
        <f>HYPERLINK("http://ts.21cn.com/tousu/show/id/1352396","http://ts.21cn.com/tousu/show/id/1352396")</f>
        <v>http://ts.21cn.com/tousu/show/id/1352396</v>
      </c>
      <c r="F20353" s="2" t="s">
        <v>11</v>
      </c>
      <c r="G20353" s="2" t="s">
        <v>4135</v>
      </c>
      <c r="H20353" s="2" t="s">
        <v>4136</v>
      </c>
    </row>
    <row r="20354" spans="1:8" ht="25.05" customHeight="1" x14ac:dyDescent="0.25">
      <c r="A20354" s="2" t="s">
        <v>8</v>
      </c>
      <c r="B20354" s="2" t="str">
        <f>HYPERLINK("http://ts.21cn.com/tousu/show/id/1352397","霸王条款、虚假误导宣传、不予退款")</f>
        <v>霸王条款、虚假误导宣传、不予退款</v>
      </c>
      <c r="C20354" s="2" t="s">
        <v>9</v>
      </c>
      <c r="D20354" s="2" t="s">
        <v>10</v>
      </c>
      <c r="E20354" s="2" t="str">
        <f>HYPERLINK("http://ts.21cn.com/tousu/show/id/1352397","http://ts.21cn.com/tousu/show/id/1352397")</f>
        <v>http://ts.21cn.com/tousu/show/id/1352397</v>
      </c>
      <c r="F20354" s="2" t="s">
        <v>11</v>
      </c>
      <c r="G20354" s="2" t="s">
        <v>4133</v>
      </c>
      <c r="H20354" s="2" t="s">
        <v>4134</v>
      </c>
    </row>
    <row r="20355" spans="1:8" ht="25.05" customHeight="1" x14ac:dyDescent="0.25">
      <c r="A20355" s="2" t="s">
        <v>8</v>
      </c>
      <c r="B20355" s="2" t="str">
        <f>HYPERLINK("http://ts.21cn.com/tousu/show/id/1352399","现金巴士暴力催收")</f>
        <v>现金巴士暴力催收</v>
      </c>
      <c r="C20355" s="2" t="s">
        <v>9</v>
      </c>
      <c r="D20355" s="2" t="s">
        <v>10</v>
      </c>
      <c r="E20355" s="2" t="str">
        <f>HYPERLINK("http://ts.21cn.com/tousu/show/id/1352399","http://ts.21cn.com/tousu/show/id/1352399")</f>
        <v>http://ts.21cn.com/tousu/show/id/1352399</v>
      </c>
      <c r="F20355" s="2" t="s">
        <v>11</v>
      </c>
      <c r="G20355" s="2" t="s">
        <v>4131</v>
      </c>
      <c r="H20355" s="2" t="s">
        <v>4132</v>
      </c>
    </row>
    <row r="20356" spans="1:8" ht="25.05" customHeight="1" x14ac:dyDescent="0.25">
      <c r="A20356" s="2" t="s">
        <v>8</v>
      </c>
      <c r="B20356" s="2" t="str">
        <f>HYPERLINK("http://ts.21cn.com/tousu/show/id/1352400","我来贷高额逾期费")</f>
        <v>我来贷高额逾期费</v>
      </c>
      <c r="C20356" s="2" t="s">
        <v>9</v>
      </c>
      <c r="D20356" s="2" t="s">
        <v>10</v>
      </c>
      <c r="E20356" s="2" t="str">
        <f>HYPERLINK("http://ts.21cn.com/tousu/show/id/1352400","http://ts.21cn.com/tousu/show/id/1352400")</f>
        <v>http://ts.21cn.com/tousu/show/id/1352400</v>
      </c>
      <c r="F20356" s="2" t="s">
        <v>11</v>
      </c>
      <c r="G20356" s="2" t="s">
        <v>4129</v>
      </c>
      <c r="H20356" s="2" t="s">
        <v>4130</v>
      </c>
    </row>
    <row r="20357" spans="1:8" ht="25.05" customHeight="1" x14ac:dyDescent="0.25">
      <c r="A20357" s="2" t="s">
        <v>8</v>
      </c>
      <c r="B20357" s="2" t="str">
        <f>HYPERLINK("http://ts.21cn.com/tousu/show/id/1352401","交通银行恶意骚扰")</f>
        <v>交通银行恶意骚扰</v>
      </c>
      <c r="C20357" s="2" t="s">
        <v>9</v>
      </c>
      <c r="D20357" s="2" t="s">
        <v>10</v>
      </c>
      <c r="E20357" s="2" t="str">
        <f>HYPERLINK("http://ts.21cn.com/tousu/show/id/1352401","http://ts.21cn.com/tousu/show/id/1352401")</f>
        <v>http://ts.21cn.com/tousu/show/id/1352401</v>
      </c>
      <c r="F20357" s="2" t="s">
        <v>11</v>
      </c>
      <c r="G20357" s="2" t="s">
        <v>4127</v>
      </c>
      <c r="H20357" s="2" t="s">
        <v>4128</v>
      </c>
    </row>
    <row r="20358" spans="1:8" ht="25.05" customHeight="1" x14ac:dyDescent="0.25">
      <c r="A20358" s="2" t="s">
        <v>8</v>
      </c>
      <c r="B20358" s="2" t="str">
        <f>HYPERLINK("http://ts.21cn.com/tousu/show/id/1352402","投诉违规商户")</f>
        <v>投诉违规商户</v>
      </c>
      <c r="C20358" s="2" t="s">
        <v>9</v>
      </c>
      <c r="D20358" s="2" t="s">
        <v>10</v>
      </c>
      <c r="E20358" s="2" t="str">
        <f>HYPERLINK("http://ts.21cn.com/tousu/show/id/1352402","http://ts.21cn.com/tousu/show/id/1352402")</f>
        <v>http://ts.21cn.com/tousu/show/id/1352402</v>
      </c>
      <c r="F20358" s="2" t="s">
        <v>11</v>
      </c>
      <c r="G20358" s="2" t="s">
        <v>4125</v>
      </c>
      <c r="H20358" s="2" t="s">
        <v>4126</v>
      </c>
    </row>
    <row r="20359" spans="1:8" ht="25.05" customHeight="1" x14ac:dyDescent="0.25">
      <c r="A20359" s="2" t="s">
        <v>8</v>
      </c>
      <c r="B20359" s="2" t="str">
        <f>HYPERLINK("http://ts.21cn.com/tousu/show/id/1352403","要求嗨学给予退费")</f>
        <v>要求嗨学给予退费</v>
      </c>
      <c r="C20359" s="2" t="s">
        <v>9</v>
      </c>
      <c r="D20359" s="2" t="s">
        <v>10</v>
      </c>
      <c r="E20359" s="2" t="str">
        <f>HYPERLINK("http://ts.21cn.com/tousu/show/id/1352403","http://ts.21cn.com/tousu/show/id/1352403")</f>
        <v>http://ts.21cn.com/tousu/show/id/1352403</v>
      </c>
      <c r="F20359" s="2" t="s">
        <v>11</v>
      </c>
      <c r="G20359" s="2" t="s">
        <v>4123</v>
      </c>
      <c r="H20359" s="2" t="s">
        <v>4124</v>
      </c>
    </row>
    <row r="20360" spans="1:8" ht="25.05" customHeight="1" x14ac:dyDescent="0.25">
      <c r="A20360" s="2" t="s">
        <v>8</v>
      </c>
      <c r="B20360" s="2" t="str">
        <f>HYPERLINK("http://ts.21cn.com/tousu/show/id/1352404","叉叉ipa精灵不退款,退款难")</f>
        <v>叉叉ipa精灵不退款,退款难</v>
      </c>
      <c r="C20360" s="2" t="s">
        <v>9</v>
      </c>
      <c r="D20360" s="2" t="s">
        <v>10</v>
      </c>
      <c r="E20360" s="2" t="str">
        <f>HYPERLINK("http://ts.21cn.com/tousu/show/id/1352404","http://ts.21cn.com/tousu/show/id/1352404")</f>
        <v>http://ts.21cn.com/tousu/show/id/1352404</v>
      </c>
      <c r="F20360" s="2" t="s">
        <v>11</v>
      </c>
      <c r="G20360" s="2" t="s">
        <v>4121</v>
      </c>
      <c r="H20360" s="2" t="s">
        <v>4122</v>
      </c>
    </row>
    <row r="20361" spans="1:8" ht="25.05" customHeight="1" x14ac:dyDescent="0.25">
      <c r="A20361" s="2" t="s">
        <v>8</v>
      </c>
      <c r="B20361" s="2" t="str">
        <f>HYPERLINK("http://ts.21cn.com/tousu/show/id/1352405","客服联系不上，还款APP打不开，导致逾期，被威胁")</f>
        <v>客服联系不上，还款APP打不开，导致逾期，被威胁</v>
      </c>
      <c r="C20361" s="2" t="s">
        <v>9</v>
      </c>
      <c r="D20361" s="2" t="s">
        <v>10</v>
      </c>
      <c r="E20361" s="2" t="str">
        <f>HYPERLINK("http://ts.21cn.com/tousu/show/id/1352405","http://ts.21cn.com/tousu/show/id/1352405")</f>
        <v>http://ts.21cn.com/tousu/show/id/1352405</v>
      </c>
      <c r="F20361" s="2" t="s">
        <v>11</v>
      </c>
      <c r="G20361" s="2" t="s">
        <v>4119</v>
      </c>
      <c r="H20361" s="2" t="s">
        <v>4120</v>
      </c>
    </row>
    <row r="20362" spans="1:8" ht="25.05" customHeight="1" x14ac:dyDescent="0.25">
      <c r="A20362" s="2" t="s">
        <v>8</v>
      </c>
      <c r="B20362" s="2" t="str">
        <f>HYPERLINK("http://ts.21cn.com/tousu/show/id/1352406","搜狗借钱非法盗取手机通讯录")</f>
        <v>搜狗借钱非法盗取手机通讯录</v>
      </c>
      <c r="C20362" s="2" t="s">
        <v>9</v>
      </c>
      <c r="D20362" s="2" t="s">
        <v>10</v>
      </c>
      <c r="E20362" s="2" t="str">
        <f>HYPERLINK("http://ts.21cn.com/tousu/show/id/1352406","http://ts.21cn.com/tousu/show/id/1352406")</f>
        <v>http://ts.21cn.com/tousu/show/id/1352406</v>
      </c>
      <c r="F20362" s="2" t="s">
        <v>11</v>
      </c>
      <c r="G20362" s="2" t="s">
        <v>4117</v>
      </c>
      <c r="H20362" s="2" t="s">
        <v>4118</v>
      </c>
    </row>
    <row r="20363" spans="1:8" ht="25.05" customHeight="1" x14ac:dyDescent="0.25">
      <c r="A20363" s="2" t="s">
        <v>8</v>
      </c>
      <c r="B20363" s="2" t="str">
        <f>HYPERLINK("http://ts.21cn.com/tousu/show/id/1352407","骚扰")</f>
        <v>骚扰</v>
      </c>
      <c r="C20363" s="2" t="s">
        <v>9</v>
      </c>
      <c r="D20363" s="2" t="s">
        <v>10</v>
      </c>
      <c r="E20363" s="2" t="str">
        <f>HYPERLINK("http://ts.21cn.com/tousu/show/id/1352407","http://ts.21cn.com/tousu/show/id/1352407")</f>
        <v>http://ts.21cn.com/tousu/show/id/1352407</v>
      </c>
      <c r="F20363" s="2" t="s">
        <v>11</v>
      </c>
      <c r="G20363" s="2" t="s">
        <v>4115</v>
      </c>
      <c r="H20363" s="2" t="s">
        <v>4116</v>
      </c>
    </row>
    <row r="20364" spans="1:8" ht="25.05" customHeight="1" x14ac:dyDescent="0.25">
      <c r="A20364" s="2" t="s">
        <v>8</v>
      </c>
      <c r="B20364" s="2" t="str">
        <f>HYPERLINK("http://ts.21cn.com/tousu/show/id/1352408","拍拍贷威胁恐吓")</f>
        <v>拍拍贷威胁恐吓</v>
      </c>
      <c r="C20364" s="2" t="s">
        <v>9</v>
      </c>
      <c r="D20364" s="2" t="s">
        <v>10</v>
      </c>
      <c r="E20364" s="2" t="str">
        <f>HYPERLINK("http://ts.21cn.com/tousu/show/id/1352408","http://ts.21cn.com/tousu/show/id/1352408")</f>
        <v>http://ts.21cn.com/tousu/show/id/1352408</v>
      </c>
      <c r="F20364" s="2" t="s">
        <v>11</v>
      </c>
      <c r="G20364" s="2" t="s">
        <v>4113</v>
      </c>
      <c r="H20364" s="2" t="s">
        <v>4114</v>
      </c>
    </row>
    <row r="20365" spans="1:8" ht="25.05" customHeight="1" x14ac:dyDescent="0.25">
      <c r="A20365" s="2" t="s">
        <v>8</v>
      </c>
      <c r="B20365" s="2" t="str">
        <f>HYPERLINK("http://ts.21cn.com/tousu/show/id/1352411","活力花暴力催债")</f>
        <v>活力花暴力催债</v>
      </c>
      <c r="C20365" s="2" t="s">
        <v>9</v>
      </c>
      <c r="D20365" s="2" t="s">
        <v>10</v>
      </c>
      <c r="E20365" s="2" t="str">
        <f>HYPERLINK("http://ts.21cn.com/tousu/show/id/1352411","http://ts.21cn.com/tousu/show/id/1352411")</f>
        <v>http://ts.21cn.com/tousu/show/id/1352411</v>
      </c>
      <c r="F20365" s="2" t="s">
        <v>11</v>
      </c>
      <c r="G20365" s="2" t="s">
        <v>4111</v>
      </c>
      <c r="H20365" s="2" t="s">
        <v>4112</v>
      </c>
    </row>
    <row r="20366" spans="1:8" ht="25.05" customHeight="1" x14ac:dyDescent="0.25">
      <c r="A20366" s="2" t="s">
        <v>8</v>
      </c>
      <c r="B20366" s="2" t="str">
        <f>HYPERLINK("http://ts.21cn.com/tousu/show/id/1352409","贷上钱以买游戏豆为由收取高额贷款通过费")</f>
        <v>贷上钱以买游戏豆为由收取高额贷款通过费</v>
      </c>
      <c r="C20366" s="2" t="s">
        <v>9</v>
      </c>
      <c r="D20366" s="2" t="s">
        <v>10</v>
      </c>
      <c r="E20366" s="2" t="str">
        <f>HYPERLINK("http://ts.21cn.com/tousu/show/id/1352409","http://ts.21cn.com/tousu/show/id/1352409")</f>
        <v>http://ts.21cn.com/tousu/show/id/1352409</v>
      </c>
      <c r="F20366" s="2" t="s">
        <v>11</v>
      </c>
      <c r="G20366" s="2" t="s">
        <v>4109</v>
      </c>
      <c r="H20366" s="2" t="s">
        <v>4110</v>
      </c>
    </row>
    <row r="20367" spans="1:8" ht="25.05" customHeight="1" x14ac:dyDescent="0.25">
      <c r="A20367" s="2" t="s">
        <v>8</v>
      </c>
      <c r="B20367" s="2" t="str">
        <f>HYPERLINK("http://ts.21cn.com/tousu/show/id/1352410","贷款")</f>
        <v>贷款</v>
      </c>
      <c r="C20367" s="2" t="s">
        <v>9</v>
      </c>
      <c r="D20367" s="2" t="s">
        <v>10</v>
      </c>
      <c r="E20367" s="2" t="str">
        <f>HYPERLINK("http://ts.21cn.com/tousu/show/id/1352410","http://ts.21cn.com/tousu/show/id/1352410")</f>
        <v>http://ts.21cn.com/tousu/show/id/1352410</v>
      </c>
      <c r="F20367" s="2" t="s">
        <v>11</v>
      </c>
      <c r="G20367" s="2" t="s">
        <v>4107</v>
      </c>
      <c r="H20367" s="2" t="s">
        <v>4108</v>
      </c>
    </row>
    <row r="20368" spans="1:8" ht="25.05" customHeight="1" x14ac:dyDescent="0.25">
      <c r="A20368" s="2" t="s">
        <v>8</v>
      </c>
      <c r="B20368" s="2" t="str">
        <f>HYPERLINK("http://ts.21cn.com/tousu/show/id/1352412","及贷暴力催收")</f>
        <v>及贷暴力催收</v>
      </c>
      <c r="C20368" s="2" t="s">
        <v>9</v>
      </c>
      <c r="D20368" s="2" t="s">
        <v>10</v>
      </c>
      <c r="E20368" s="2" t="str">
        <f>HYPERLINK("http://ts.21cn.com/tousu/show/id/1352412","http://ts.21cn.com/tousu/show/id/1352412")</f>
        <v>http://ts.21cn.com/tousu/show/id/1352412</v>
      </c>
      <c r="F20368" s="2" t="s">
        <v>11</v>
      </c>
      <c r="G20368" s="2" t="s">
        <v>4105</v>
      </c>
      <c r="H20368" s="2" t="s">
        <v>4106</v>
      </c>
    </row>
    <row r="20369" spans="1:8" ht="25.05" customHeight="1" x14ac:dyDescent="0.25">
      <c r="A20369" s="2" t="s">
        <v>8</v>
      </c>
      <c r="B20369" s="2" t="str">
        <f>HYPERLINK("http://ts.21cn.com/tousu/show/id/1352414","钱站高利贷")</f>
        <v>钱站高利贷</v>
      </c>
      <c r="C20369" s="2" t="s">
        <v>9</v>
      </c>
      <c r="D20369" s="2" t="s">
        <v>10</v>
      </c>
      <c r="E20369" s="2" t="str">
        <f>HYPERLINK("http://ts.21cn.com/tousu/show/id/1352414","http://ts.21cn.com/tousu/show/id/1352414")</f>
        <v>http://ts.21cn.com/tousu/show/id/1352414</v>
      </c>
      <c r="F20369" s="2" t="s">
        <v>11</v>
      </c>
      <c r="G20369" s="2" t="s">
        <v>4103</v>
      </c>
      <c r="H20369" s="2" t="s">
        <v>4104</v>
      </c>
    </row>
    <row r="20370" spans="1:8" ht="25.05" customHeight="1" x14ac:dyDescent="0.25">
      <c r="A20370" s="2" t="s">
        <v>8</v>
      </c>
      <c r="B20370" s="2" t="str">
        <f>HYPERLINK("http://ts.21cn.com/tousu/show/id/1352419","小花钱包恶意扣款，利息比高利贷还高！")</f>
        <v>小花钱包恶意扣款，利息比高利贷还高！</v>
      </c>
      <c r="C20370" s="2" t="s">
        <v>9</v>
      </c>
      <c r="D20370" s="2" t="s">
        <v>10</v>
      </c>
      <c r="E20370" s="2" t="str">
        <f>HYPERLINK("http://ts.21cn.com/tousu/show/id/1352419","http://ts.21cn.com/tousu/show/id/1352419")</f>
        <v>http://ts.21cn.com/tousu/show/id/1352419</v>
      </c>
      <c r="F20370" s="2" t="s">
        <v>11</v>
      </c>
      <c r="G20370" s="2" t="s">
        <v>4100</v>
      </c>
      <c r="H20370" s="2" t="s">
        <v>4101</v>
      </c>
    </row>
    <row r="20371" spans="1:8" ht="25.05" customHeight="1" x14ac:dyDescent="0.25">
      <c r="A20371" s="2" t="s">
        <v>8</v>
      </c>
      <c r="B20371" s="2" t="str">
        <f>HYPERLINK("http://ts.21cn.com/tousu/show/id/1352415","诚e融以网络错误的原因使我多次重复付款。客服态度恶劣不予退还")</f>
        <v>诚e融以网络错误的原因使我多次重复付款。客服态度恶劣不予退还</v>
      </c>
      <c r="C20371" s="2" t="s">
        <v>9</v>
      </c>
      <c r="D20371" s="2" t="s">
        <v>10</v>
      </c>
      <c r="E20371" s="2" t="str">
        <f>HYPERLINK("http://ts.21cn.com/tousu/show/id/1352415","http://ts.21cn.com/tousu/show/id/1352415")</f>
        <v>http://ts.21cn.com/tousu/show/id/1352415</v>
      </c>
      <c r="F20371" s="2" t="s">
        <v>11</v>
      </c>
      <c r="G20371" s="2" t="s">
        <v>4100</v>
      </c>
      <c r="H20371" s="2" t="s">
        <v>4102</v>
      </c>
    </row>
    <row r="20372" spans="1:8" ht="25.05" customHeight="1" x14ac:dyDescent="0.25">
      <c r="A20372" s="2" t="s">
        <v>8</v>
      </c>
      <c r="B20372" s="2" t="str">
        <f>HYPERLINK("http://ts.21cn.com/tousu/show/id/1352417","迅付沪快恶意扣款")</f>
        <v>迅付沪快恶意扣款</v>
      </c>
      <c r="C20372" s="2" t="s">
        <v>9</v>
      </c>
      <c r="D20372" s="2" t="s">
        <v>10</v>
      </c>
      <c r="E20372" s="2" t="str">
        <f>HYPERLINK("http://ts.21cn.com/tousu/show/id/1352417","http://ts.21cn.com/tousu/show/id/1352417")</f>
        <v>http://ts.21cn.com/tousu/show/id/1352417</v>
      </c>
      <c r="F20372" s="2" t="s">
        <v>11</v>
      </c>
      <c r="G20372" s="2" t="s">
        <v>4098</v>
      </c>
      <c r="H20372" s="2" t="s">
        <v>4099</v>
      </c>
    </row>
    <row r="20373" spans="1:8" ht="25.05" customHeight="1" x14ac:dyDescent="0.25">
      <c r="A20373" s="2" t="s">
        <v>8</v>
      </c>
      <c r="B20373" s="2" t="str">
        <f>HYPERLINK("http://ts.21cn.com/tousu/show/id/1352421","快贷走流程恐吓已经报警立案解释很清楚了有威胁录音")</f>
        <v>快贷走流程恐吓已经报警立案解释很清楚了有威胁录音</v>
      </c>
      <c r="C20373" s="2" t="s">
        <v>9</v>
      </c>
      <c r="D20373" s="2" t="s">
        <v>10</v>
      </c>
      <c r="E20373" s="2" t="str">
        <f>HYPERLINK("http://ts.21cn.com/tousu/show/id/1352421","http://ts.21cn.com/tousu/show/id/1352421")</f>
        <v>http://ts.21cn.com/tousu/show/id/1352421</v>
      </c>
      <c r="F20373" s="2" t="s">
        <v>11</v>
      </c>
      <c r="G20373" s="2" t="s">
        <v>4096</v>
      </c>
      <c r="H20373" s="2" t="s">
        <v>4097</v>
      </c>
    </row>
    <row r="20374" spans="1:8" ht="25.05" customHeight="1" x14ac:dyDescent="0.25">
      <c r="A20374" s="2" t="s">
        <v>8</v>
      </c>
      <c r="B20374" s="2" t="str">
        <f>HYPERLINK("http://ts.21cn.com/tousu/show/id/1352418","在苏宁易购的店铺退店押金一直压着不给退")</f>
        <v>在苏宁易购的店铺退店押金一直压着不给退</v>
      </c>
      <c r="C20374" s="2" t="s">
        <v>9</v>
      </c>
      <c r="D20374" s="2" t="s">
        <v>10</v>
      </c>
      <c r="E20374" s="2" t="str">
        <f>HYPERLINK("http://ts.21cn.com/tousu/show/id/1352418","http://ts.21cn.com/tousu/show/id/1352418")</f>
        <v>http://ts.21cn.com/tousu/show/id/1352418</v>
      </c>
      <c r="F20374" s="2" t="s">
        <v>11</v>
      </c>
      <c r="G20374" s="2" t="s">
        <v>4094</v>
      </c>
      <c r="H20374" s="2" t="s">
        <v>4095</v>
      </c>
    </row>
    <row r="20375" spans="1:8" ht="25.05" customHeight="1" x14ac:dyDescent="0.25">
      <c r="A20375" s="2" t="s">
        <v>8</v>
      </c>
      <c r="B20375" s="2" t="str">
        <f>HYPERLINK("http://ts.21cn.com/tousu/show/id/1352420","拉卡拉盗刷储蓄卡")</f>
        <v>拉卡拉盗刷储蓄卡</v>
      </c>
      <c r="C20375" s="2" t="s">
        <v>9</v>
      </c>
      <c r="D20375" s="2" t="s">
        <v>10</v>
      </c>
      <c r="E20375" s="2" t="str">
        <f>HYPERLINK("http://ts.21cn.com/tousu/show/id/1352420","http://ts.21cn.com/tousu/show/id/1352420")</f>
        <v>http://ts.21cn.com/tousu/show/id/1352420</v>
      </c>
      <c r="F20375" s="2" t="s">
        <v>11</v>
      </c>
      <c r="G20375" s="2" t="s">
        <v>4092</v>
      </c>
      <c r="H20375" s="2" t="s">
        <v>4093</v>
      </c>
    </row>
    <row r="20376" spans="1:8" ht="25.05" customHeight="1" x14ac:dyDescent="0.25">
      <c r="A20376" s="2" t="s">
        <v>8</v>
      </c>
      <c r="B20376" s="2" t="str">
        <f>HYPERLINK("http://ts.21cn.com/tousu/show/id/1352422","交易猫退款失败")</f>
        <v>交易猫退款失败</v>
      </c>
      <c r="C20376" s="2" t="s">
        <v>34</v>
      </c>
      <c r="D20376" s="2" t="s">
        <v>10</v>
      </c>
      <c r="E20376" s="2" t="str">
        <f>HYPERLINK("http://ts.21cn.com/tousu/show/id/1352422","http://ts.21cn.com/tousu/show/id/1352422")</f>
        <v>http://ts.21cn.com/tousu/show/id/1352422</v>
      </c>
      <c r="F20376" s="2" t="s">
        <v>11</v>
      </c>
      <c r="G20376" s="2" t="s">
        <v>4090</v>
      </c>
      <c r="H20376" s="2" t="s">
        <v>4091</v>
      </c>
    </row>
    <row r="20377" spans="1:8" ht="25.05" customHeight="1" x14ac:dyDescent="0.25">
      <c r="A20377" s="2" t="s">
        <v>8</v>
      </c>
      <c r="B20377" s="2" t="str">
        <f>HYPERLINK("http://ts.21cn.com/tousu/show/id/1352426","请求延期还款")</f>
        <v>请求延期还款</v>
      </c>
      <c r="C20377" s="2" t="s">
        <v>34</v>
      </c>
      <c r="D20377" s="2" t="s">
        <v>10</v>
      </c>
      <c r="E20377" s="2" t="str">
        <f>HYPERLINK("http://ts.21cn.com/tousu/show/id/1352426","http://ts.21cn.com/tousu/show/id/1352426")</f>
        <v>http://ts.21cn.com/tousu/show/id/1352426</v>
      </c>
      <c r="F20377" s="2" t="s">
        <v>11</v>
      </c>
      <c r="G20377" s="2" t="s">
        <v>4088</v>
      </c>
      <c r="H20377" s="2" t="s">
        <v>4089</v>
      </c>
    </row>
    <row r="20378" spans="1:8" ht="25.05" customHeight="1" x14ac:dyDescent="0.25">
      <c r="A20378" s="2" t="s">
        <v>8</v>
      </c>
      <c r="B20378" s="2" t="str">
        <f>HYPERLINK("http://ts.21cn.com/tousu/show/id/1352423","分享通信无故停短信功能，导致我的绑定的生意账号损失一万多")</f>
        <v>分享通信无故停短信功能，导致我的绑定的生意账号损失一万多</v>
      </c>
      <c r="C20378" s="2" t="s">
        <v>9</v>
      </c>
      <c r="D20378" s="2" t="s">
        <v>10</v>
      </c>
      <c r="E20378" s="2" t="str">
        <f>HYPERLINK("http://ts.21cn.com/tousu/show/id/1352423","http://ts.21cn.com/tousu/show/id/1352423")</f>
        <v>http://ts.21cn.com/tousu/show/id/1352423</v>
      </c>
      <c r="F20378" s="2" t="s">
        <v>11</v>
      </c>
      <c r="G20378" s="2" t="s">
        <v>4086</v>
      </c>
      <c r="H20378" s="2" t="s">
        <v>4087</v>
      </c>
    </row>
    <row r="20379" spans="1:8" ht="25.05" customHeight="1" x14ac:dyDescent="0.25">
      <c r="A20379" s="2" t="s">
        <v>8</v>
      </c>
      <c r="B20379" s="2" t="str">
        <f>HYPERLINK("http://ts.21cn.com/tousu/show/id/1352425","投诉网贷平台")</f>
        <v>投诉网贷平台</v>
      </c>
      <c r="C20379" s="2" t="s">
        <v>9</v>
      </c>
      <c r="D20379" s="2" t="s">
        <v>10</v>
      </c>
      <c r="E20379" s="2" t="str">
        <f>HYPERLINK("http://ts.21cn.com/tousu/show/id/1352425","http://ts.21cn.com/tousu/show/id/1352425")</f>
        <v>http://ts.21cn.com/tousu/show/id/1352425</v>
      </c>
      <c r="F20379" s="2" t="s">
        <v>11</v>
      </c>
      <c r="G20379" s="2" t="s">
        <v>4084</v>
      </c>
      <c r="H20379" s="2" t="s">
        <v>4085</v>
      </c>
    </row>
    <row r="20380" spans="1:8" ht="25.05" customHeight="1" x14ac:dyDescent="0.25">
      <c r="A20380" s="2" t="s">
        <v>8</v>
      </c>
      <c r="B20380" s="2" t="str">
        <f>HYPERLINK("http://ts.21cn.com/tousu/show/id/1352427","催收，威胁")</f>
        <v>催收，威胁</v>
      </c>
      <c r="C20380" s="2" t="s">
        <v>9</v>
      </c>
      <c r="D20380" s="2" t="s">
        <v>10</v>
      </c>
      <c r="E20380" s="2" t="str">
        <f>HYPERLINK("http://ts.21cn.com/tousu/show/id/1352427","http://ts.21cn.com/tousu/show/id/1352427")</f>
        <v>http://ts.21cn.com/tousu/show/id/1352427</v>
      </c>
      <c r="F20380" s="2" t="s">
        <v>11</v>
      </c>
      <c r="G20380" s="2" t="s">
        <v>4082</v>
      </c>
      <c r="H20380" s="2" t="s">
        <v>4083</v>
      </c>
    </row>
    <row r="20381" spans="1:8" ht="25.05" customHeight="1" x14ac:dyDescent="0.25">
      <c r="A20381" s="2" t="s">
        <v>8</v>
      </c>
      <c r="B20381" s="2" t="str">
        <f>HYPERLINK("http://ts.21cn.com/tousu/show/id/1352428","骚扰，侮辱，并编造谎言催收")</f>
        <v>骚扰，侮辱，并编造谎言催收</v>
      </c>
      <c r="C20381" s="2" t="s">
        <v>9</v>
      </c>
      <c r="D20381" s="2" t="s">
        <v>10</v>
      </c>
      <c r="E20381" s="2" t="str">
        <f>HYPERLINK("http://ts.21cn.com/tousu/show/id/1352428","http://ts.21cn.com/tousu/show/id/1352428")</f>
        <v>http://ts.21cn.com/tousu/show/id/1352428</v>
      </c>
      <c r="F20381" s="2" t="s">
        <v>11</v>
      </c>
      <c r="G20381" s="2" t="s">
        <v>4080</v>
      </c>
      <c r="H20381" s="2" t="s">
        <v>4081</v>
      </c>
    </row>
    <row r="20382" spans="1:8" ht="25.05" customHeight="1" x14ac:dyDescent="0.25">
      <c r="A20382" s="2" t="s">
        <v>8</v>
      </c>
      <c r="B20382" s="2" t="str">
        <f>HYPERLINK("http://ts.21cn.com/tousu/show/id/1352430","招联暴力催收")</f>
        <v>招联暴力催收</v>
      </c>
      <c r="C20382" s="2" t="s">
        <v>9</v>
      </c>
      <c r="D20382" s="2" t="s">
        <v>10</v>
      </c>
      <c r="E20382" s="2" t="str">
        <f>HYPERLINK("http://ts.21cn.com/tousu/show/id/1352430","http://ts.21cn.com/tousu/show/id/1352430")</f>
        <v>http://ts.21cn.com/tousu/show/id/1352430</v>
      </c>
      <c r="F20382" s="2" t="s">
        <v>11</v>
      </c>
      <c r="G20382" s="2" t="s">
        <v>4078</v>
      </c>
      <c r="H20382" s="2" t="s">
        <v>4079</v>
      </c>
    </row>
    <row r="20383" spans="1:8" ht="25.05" customHeight="1" x14ac:dyDescent="0.25">
      <c r="A20383" s="2" t="s">
        <v>8</v>
      </c>
      <c r="B20383" s="2" t="str">
        <f>HYPERLINK("http://ts.21cn.com/tousu/show/id/1352431","闪银哼哼瞬瞬催收")</f>
        <v>闪银哼哼瞬瞬催收</v>
      </c>
      <c r="C20383" s="2" t="s">
        <v>9</v>
      </c>
      <c r="D20383" s="2" t="s">
        <v>10</v>
      </c>
      <c r="E20383" s="2" t="str">
        <f>HYPERLINK("http://ts.21cn.com/tousu/show/id/1352431","http://ts.21cn.com/tousu/show/id/1352431")</f>
        <v>http://ts.21cn.com/tousu/show/id/1352431</v>
      </c>
      <c r="F20383" s="2" t="s">
        <v>11</v>
      </c>
      <c r="G20383" s="2" t="s">
        <v>4076</v>
      </c>
      <c r="H20383" s="2" t="s">
        <v>4077</v>
      </c>
    </row>
    <row r="20384" spans="1:8" ht="25.05" customHeight="1" x14ac:dyDescent="0.25">
      <c r="A20384" s="2" t="s">
        <v>8</v>
      </c>
      <c r="B20384" s="2" t="str">
        <f>HYPERLINK("http://ts.21cn.com/tousu/show/id/1352432","东亚银行爆客户通讯录")</f>
        <v>东亚银行爆客户通讯录</v>
      </c>
      <c r="C20384" s="2" t="s">
        <v>34</v>
      </c>
      <c r="D20384" s="2" t="s">
        <v>10</v>
      </c>
      <c r="E20384" s="2" t="str">
        <f>HYPERLINK("http://ts.21cn.com/tousu/show/id/1352432","http://ts.21cn.com/tousu/show/id/1352432")</f>
        <v>http://ts.21cn.com/tousu/show/id/1352432</v>
      </c>
      <c r="F20384" s="2" t="s">
        <v>11</v>
      </c>
      <c r="G20384" s="2" t="s">
        <v>4074</v>
      </c>
      <c r="H20384" s="2" t="s">
        <v>4075</v>
      </c>
    </row>
    <row r="20385" spans="1:8" ht="25.05" customHeight="1" x14ac:dyDescent="0.25">
      <c r="A20385" s="2" t="s">
        <v>8</v>
      </c>
      <c r="B20385" s="2" t="str">
        <f>HYPERLINK("http://ts.21cn.com/tousu/show/id/1352433","魅族手机售后推卸售后保修责任，以人为损坏为荒唐借口，拒绝保修")</f>
        <v>魅族手机售后推卸售后保修责任，以人为损坏为荒唐借口，拒绝保修</v>
      </c>
      <c r="C20385" s="2" t="s">
        <v>9</v>
      </c>
      <c r="D20385" s="2" t="s">
        <v>10</v>
      </c>
      <c r="E20385" s="2" t="str">
        <f>HYPERLINK("http://ts.21cn.com/tousu/show/id/1352433","http://ts.21cn.com/tousu/show/id/1352433")</f>
        <v>http://ts.21cn.com/tousu/show/id/1352433</v>
      </c>
      <c r="F20385" s="2" t="s">
        <v>11</v>
      </c>
      <c r="G20385" s="2" t="s">
        <v>4072</v>
      </c>
      <c r="H20385" s="2" t="s">
        <v>4073</v>
      </c>
    </row>
    <row r="20386" spans="1:8" ht="25.05" customHeight="1" x14ac:dyDescent="0.25">
      <c r="A20386" s="2" t="s">
        <v>8</v>
      </c>
      <c r="B20386" s="2" t="str">
        <f>HYPERLINK("http://ts.21cn.com/tousu/show/id/1352434","要求分期乐停止骚扰家人和本人")</f>
        <v>要求分期乐停止骚扰家人和本人</v>
      </c>
      <c r="C20386" s="2" t="s">
        <v>9</v>
      </c>
      <c r="D20386" s="2" t="s">
        <v>10</v>
      </c>
      <c r="E20386" s="2" t="str">
        <f>HYPERLINK("http://ts.21cn.com/tousu/show/id/1352434","http://ts.21cn.com/tousu/show/id/1352434")</f>
        <v>http://ts.21cn.com/tousu/show/id/1352434</v>
      </c>
      <c r="F20386" s="2" t="s">
        <v>11</v>
      </c>
      <c r="G20386" s="2" t="s">
        <v>4070</v>
      </c>
      <c r="H20386" s="2" t="s">
        <v>4071</v>
      </c>
    </row>
    <row r="20387" spans="1:8" ht="25.05" customHeight="1" x14ac:dyDescent="0.25">
      <c r="A20387" s="2" t="s">
        <v>8</v>
      </c>
      <c r="B20387" s="2" t="str">
        <f>HYPERLINK("http://ts.21cn.com/tousu/show/id/1352435","2018年12月份宝付支付为714高炮提供支付通道")</f>
        <v>2018年12月份宝付支付为714高炮提供支付通道</v>
      </c>
      <c r="C20387" s="2" t="s">
        <v>9</v>
      </c>
      <c r="D20387" s="2" t="s">
        <v>10</v>
      </c>
      <c r="E20387" s="2" t="str">
        <f>HYPERLINK("http://ts.21cn.com/tousu/show/id/1352435","http://ts.21cn.com/tousu/show/id/1352435")</f>
        <v>http://ts.21cn.com/tousu/show/id/1352435</v>
      </c>
      <c r="F20387" s="2" t="s">
        <v>11</v>
      </c>
      <c r="G20387" s="2" t="s">
        <v>4068</v>
      </c>
      <c r="H20387" s="2" t="s">
        <v>4069</v>
      </c>
    </row>
    <row r="20388" spans="1:8" ht="25.05" customHeight="1" x14ac:dyDescent="0.25">
      <c r="A20388" s="2" t="s">
        <v>8</v>
      </c>
      <c r="B20388" s="2" t="str">
        <f>HYPERLINK("http://ts.21cn.com/tousu/show/id/1352436","工商银行爆我通讯录，")</f>
        <v>工商银行爆我通讯录，</v>
      </c>
      <c r="C20388" s="2" t="s">
        <v>34</v>
      </c>
      <c r="D20388" s="2" t="s">
        <v>10</v>
      </c>
      <c r="E20388" s="2" t="str">
        <f>HYPERLINK("http://ts.21cn.com/tousu/show/id/1352436","http://ts.21cn.com/tousu/show/id/1352436")</f>
        <v>http://ts.21cn.com/tousu/show/id/1352436</v>
      </c>
      <c r="F20388" s="2" t="s">
        <v>11</v>
      </c>
      <c r="G20388" s="2" t="s">
        <v>4066</v>
      </c>
      <c r="H20388" s="2" t="s">
        <v>4067</v>
      </c>
    </row>
    <row r="20389" spans="1:8" ht="25.05" customHeight="1" x14ac:dyDescent="0.25">
      <c r="A20389" s="2" t="s">
        <v>8</v>
      </c>
      <c r="B20389" s="2" t="str">
        <f>HYPERLINK("http://ts.21cn.com/tousu/show/id/1352437","招联金融暴力催收，不协商还款")</f>
        <v>招联金融暴力催收，不协商还款</v>
      </c>
      <c r="C20389" s="2" t="s">
        <v>9</v>
      </c>
      <c r="D20389" s="2" t="s">
        <v>10</v>
      </c>
      <c r="E20389" s="2" t="str">
        <f>HYPERLINK("http://ts.21cn.com/tousu/show/id/1352437","http://ts.21cn.com/tousu/show/id/1352437")</f>
        <v>http://ts.21cn.com/tousu/show/id/1352437</v>
      </c>
      <c r="F20389" s="2" t="s">
        <v>11</v>
      </c>
      <c r="G20389" s="2" t="s">
        <v>4064</v>
      </c>
      <c r="H20389" s="2" t="s">
        <v>4065</v>
      </c>
    </row>
    <row r="20390" spans="1:8" ht="25.05" customHeight="1" x14ac:dyDescent="0.25">
      <c r="A20390" s="2" t="s">
        <v>8</v>
      </c>
      <c r="B20390" s="2" t="str">
        <f>HYPERLINK("http://ts.21cn.com/tousu/show/id/1352439","解除乐刷收款二维码合作协议，并适当赔偿成本损失")</f>
        <v>解除乐刷收款二维码合作协议，并适当赔偿成本损失</v>
      </c>
      <c r="C20390" s="2" t="s">
        <v>9</v>
      </c>
      <c r="D20390" s="2" t="s">
        <v>10</v>
      </c>
      <c r="E20390" s="2" t="str">
        <f>HYPERLINK("http://ts.21cn.com/tousu/show/id/1352439","http://ts.21cn.com/tousu/show/id/1352439")</f>
        <v>http://ts.21cn.com/tousu/show/id/1352439</v>
      </c>
      <c r="F20390" s="2" t="s">
        <v>11</v>
      </c>
      <c r="G20390" s="2" t="s">
        <v>4061</v>
      </c>
      <c r="H20390" s="2" t="s">
        <v>4062</v>
      </c>
    </row>
    <row r="20391" spans="1:8" ht="25.05" customHeight="1" x14ac:dyDescent="0.25">
      <c r="A20391" s="2" t="s">
        <v>8</v>
      </c>
      <c r="B20391" s="2" t="str">
        <f>HYPERLINK("http://ts.21cn.com/tousu/show/id/1352438","暴力催收高利息恐吓威胁")</f>
        <v>暴力催收高利息恐吓威胁</v>
      </c>
      <c r="C20391" s="2" t="s">
        <v>9</v>
      </c>
      <c r="D20391" s="2" t="s">
        <v>10</v>
      </c>
      <c r="E20391" s="2" t="str">
        <f>HYPERLINK("http://ts.21cn.com/tousu/show/id/1352438","http://ts.21cn.com/tousu/show/id/1352438")</f>
        <v>http://ts.21cn.com/tousu/show/id/1352438</v>
      </c>
      <c r="F20391" s="2" t="s">
        <v>11</v>
      </c>
      <c r="G20391" s="2" t="s">
        <v>4061</v>
      </c>
      <c r="H20391" s="2" t="s">
        <v>4063</v>
      </c>
    </row>
    <row r="20392" spans="1:8" ht="25.05" customHeight="1" x14ac:dyDescent="0.25">
      <c r="A20392" s="2" t="s">
        <v>8</v>
      </c>
      <c r="B20392" s="2" t="str">
        <f>HYPERLINK("http://ts.21cn.com/tousu/show/id/1352440","尚德机构投诉专题")</f>
        <v>尚德机构投诉专题</v>
      </c>
      <c r="C20392" s="2" t="s">
        <v>9</v>
      </c>
      <c r="D20392" s="2" t="s">
        <v>10</v>
      </c>
      <c r="E20392" s="2" t="str">
        <f>HYPERLINK("http://ts.21cn.com/tousu/show/id/1352440","http://ts.21cn.com/tousu/show/id/1352440")</f>
        <v>http://ts.21cn.com/tousu/show/id/1352440</v>
      </c>
      <c r="F20392" s="2" t="s">
        <v>11</v>
      </c>
      <c r="G20392" s="2" t="s">
        <v>4059</v>
      </c>
      <c r="H20392" s="2" t="s">
        <v>4060</v>
      </c>
    </row>
    <row r="20393" spans="1:8" ht="25.05" customHeight="1" x14ac:dyDescent="0.25">
      <c r="A20393" s="2" t="s">
        <v>8</v>
      </c>
      <c r="B20393" s="2" t="str">
        <f>HYPERLINK("http://ts.21cn.com/tousu/show/id/1352441","省呗暴力吹收")</f>
        <v>省呗暴力吹收</v>
      </c>
      <c r="C20393" s="2" t="s">
        <v>9</v>
      </c>
      <c r="D20393" s="2" t="s">
        <v>10</v>
      </c>
      <c r="E20393" s="2" t="str">
        <f>HYPERLINK("http://ts.21cn.com/tousu/show/id/1352441","http://ts.21cn.com/tousu/show/id/1352441")</f>
        <v>http://ts.21cn.com/tousu/show/id/1352441</v>
      </c>
      <c r="F20393" s="2" t="s">
        <v>11</v>
      </c>
      <c r="G20393" s="2" t="s">
        <v>4057</v>
      </c>
      <c r="H20393" s="2" t="s">
        <v>4058</v>
      </c>
    </row>
    <row r="20394" spans="1:8" ht="25.05" customHeight="1" x14ac:dyDescent="0.25">
      <c r="A20394" s="2" t="s">
        <v>8</v>
      </c>
      <c r="B20394" s="2" t="str">
        <f>HYPERLINK("http://ts.21cn.com/tousu/show/id/1352442","中信信用卡app无法查看历史借款还款记录")</f>
        <v>中信信用卡app无法查看历史借款还款记录</v>
      </c>
      <c r="C20394" s="2" t="s">
        <v>9</v>
      </c>
      <c r="D20394" s="2" t="s">
        <v>10</v>
      </c>
      <c r="E20394" s="2" t="str">
        <f>HYPERLINK("http://ts.21cn.com/tousu/show/id/1352442","http://ts.21cn.com/tousu/show/id/1352442")</f>
        <v>http://ts.21cn.com/tousu/show/id/1352442</v>
      </c>
      <c r="F20394" s="2" t="s">
        <v>11</v>
      </c>
      <c r="G20394" s="2" t="s">
        <v>4055</v>
      </c>
      <c r="H20394" s="2" t="s">
        <v>4056</v>
      </c>
    </row>
    <row r="20395" spans="1:8" ht="25.05" customHeight="1" x14ac:dyDescent="0.25">
      <c r="A20395" s="2" t="s">
        <v>8</v>
      </c>
      <c r="B20395" s="2" t="str">
        <f>HYPERLINK("http://ts.21cn.com/tousu/show/id/1352443","麦芒期待科技网贷乱收费")</f>
        <v>麦芒期待科技网贷乱收费</v>
      </c>
      <c r="C20395" s="2" t="s">
        <v>9</v>
      </c>
      <c r="D20395" s="2" t="s">
        <v>10</v>
      </c>
      <c r="E20395" s="2" t="str">
        <f>HYPERLINK("http://ts.21cn.com/tousu/show/id/1352443","http://ts.21cn.com/tousu/show/id/1352443")</f>
        <v>http://ts.21cn.com/tousu/show/id/1352443</v>
      </c>
      <c r="F20395" s="2" t="s">
        <v>11</v>
      </c>
      <c r="G20395" s="2" t="s">
        <v>4053</v>
      </c>
      <c r="H20395" s="2" t="s">
        <v>4054</v>
      </c>
    </row>
    <row r="20396" spans="1:8" ht="25.05" customHeight="1" x14ac:dyDescent="0.25">
      <c r="A20396" s="2" t="s">
        <v>8</v>
      </c>
      <c r="B20396" s="2" t="str">
        <f>HYPERLINK("http://ts.21cn.com/tousu/show/id/1352445","贷上钱放高利贷，暴力催收，态度恶劣")</f>
        <v>贷上钱放高利贷，暴力催收，态度恶劣</v>
      </c>
      <c r="C20396" s="2" t="s">
        <v>9</v>
      </c>
      <c r="D20396" s="2" t="s">
        <v>10</v>
      </c>
      <c r="E20396" s="2" t="str">
        <f>HYPERLINK("http://ts.21cn.com/tousu/show/id/1352445","http://ts.21cn.com/tousu/show/id/1352445")</f>
        <v>http://ts.21cn.com/tousu/show/id/1352445</v>
      </c>
      <c r="F20396" s="2" t="s">
        <v>11</v>
      </c>
      <c r="G20396" s="2" t="s">
        <v>4051</v>
      </c>
      <c r="H20396" s="2" t="s">
        <v>4052</v>
      </c>
    </row>
    <row r="20397" spans="1:8" ht="25.05" customHeight="1" x14ac:dyDescent="0.25">
      <c r="A20397" s="2" t="s">
        <v>8</v>
      </c>
      <c r="B20397" s="2" t="str">
        <f>HYPERLINK("http://ts.21cn.com/tousu/show/id/1352446","599信用卡代还平台套路我的手续费")</f>
        <v>599信用卡代还平台套路我的手续费</v>
      </c>
      <c r="C20397" s="2" t="s">
        <v>9</v>
      </c>
      <c r="D20397" s="2" t="s">
        <v>10</v>
      </c>
      <c r="E20397" s="2" t="str">
        <f>HYPERLINK("http://ts.21cn.com/tousu/show/id/1352446","http://ts.21cn.com/tousu/show/id/1352446")</f>
        <v>http://ts.21cn.com/tousu/show/id/1352446</v>
      </c>
      <c r="F20397" s="2" t="s">
        <v>11</v>
      </c>
      <c r="G20397" s="2" t="s">
        <v>4049</v>
      </c>
      <c r="H20397" s="2" t="s">
        <v>4050</v>
      </c>
    </row>
    <row r="20398" spans="1:8" ht="25.05" customHeight="1" x14ac:dyDescent="0.25">
      <c r="A20398" s="2" t="s">
        <v>8</v>
      </c>
      <c r="B20398" s="2" t="str">
        <f>HYPERLINK("http://ts.21cn.com/tousu/show/id/1352449","闪银暴力催收打爆通讯录")</f>
        <v>闪银暴力催收打爆通讯录</v>
      </c>
      <c r="C20398" s="2" t="s">
        <v>9</v>
      </c>
      <c r="D20398" s="2" t="s">
        <v>10</v>
      </c>
      <c r="E20398" s="2" t="str">
        <f>HYPERLINK("http://ts.21cn.com/tousu/show/id/1352449","http://ts.21cn.com/tousu/show/id/1352449")</f>
        <v>http://ts.21cn.com/tousu/show/id/1352449</v>
      </c>
      <c r="F20398" s="2" t="s">
        <v>11</v>
      </c>
      <c r="G20398" s="2" t="s">
        <v>4047</v>
      </c>
      <c r="H20398" s="2" t="s">
        <v>4048</v>
      </c>
    </row>
    <row r="20399" spans="1:8" ht="25.05" customHeight="1" x14ac:dyDescent="0.25">
      <c r="A20399" s="2" t="s">
        <v>8</v>
      </c>
      <c r="B20399" s="2" t="str">
        <f>HYPERLINK("http://ts.21cn.com/tousu/show/id/1352448","58同城请你别骚扰我")</f>
        <v>58同城请你别骚扰我</v>
      </c>
      <c r="C20399" s="2" t="s">
        <v>9</v>
      </c>
      <c r="D20399" s="2" t="s">
        <v>10</v>
      </c>
      <c r="E20399" s="2" t="str">
        <f>HYPERLINK("http://ts.21cn.com/tousu/show/id/1352448","http://ts.21cn.com/tousu/show/id/1352448")</f>
        <v>http://ts.21cn.com/tousu/show/id/1352448</v>
      </c>
      <c r="F20399" s="2" t="s">
        <v>11</v>
      </c>
      <c r="G20399" s="2" t="s">
        <v>4045</v>
      </c>
      <c r="H20399" s="2" t="s">
        <v>4046</v>
      </c>
    </row>
    <row r="20400" spans="1:8" ht="25.05" customHeight="1" x14ac:dyDescent="0.25">
      <c r="A20400" s="2" t="s">
        <v>8</v>
      </c>
      <c r="B20400" s="2" t="str">
        <f>HYPERLINK("http://ts.21cn.com/tousu/show/id/1352450","退回砍头息，高利贷，4/14高炮")</f>
        <v>退回砍头息，高利贷，4/14高炮</v>
      </c>
      <c r="C20400" s="2" t="s">
        <v>9</v>
      </c>
      <c r="D20400" s="2" t="s">
        <v>10</v>
      </c>
      <c r="E20400" s="2" t="str">
        <f>HYPERLINK("http://ts.21cn.com/tousu/show/id/1352450","http://ts.21cn.com/tousu/show/id/1352450")</f>
        <v>http://ts.21cn.com/tousu/show/id/1352450</v>
      </c>
      <c r="F20400" s="2" t="s">
        <v>11</v>
      </c>
      <c r="G20400" s="2" t="s">
        <v>4043</v>
      </c>
      <c r="H20400" s="2" t="s">
        <v>4044</v>
      </c>
    </row>
    <row r="20401" spans="1:8" ht="25.05" customHeight="1" x14ac:dyDescent="0.25">
      <c r="A20401" s="2" t="s">
        <v>8</v>
      </c>
      <c r="B20401" s="2" t="str">
        <f>HYPERLINK("http://ts.21cn.com/tousu/show/id/1352451","笑脸金融、西藏微众暴力催收，辱骂，恐吓")</f>
        <v>笑脸金融、西藏微众暴力催收，辱骂，恐吓</v>
      </c>
      <c r="C20401" s="2" t="s">
        <v>9</v>
      </c>
      <c r="D20401" s="2" t="s">
        <v>10</v>
      </c>
      <c r="E20401" s="2" t="str">
        <f>HYPERLINK("http://ts.21cn.com/tousu/show/id/1352451","http://ts.21cn.com/tousu/show/id/1352451")</f>
        <v>http://ts.21cn.com/tousu/show/id/1352451</v>
      </c>
      <c r="F20401" s="2" t="s">
        <v>11</v>
      </c>
      <c r="G20401" s="2" t="s">
        <v>4041</v>
      </c>
      <c r="H20401" s="2" t="s">
        <v>4042</v>
      </c>
    </row>
    <row r="20402" spans="1:8" ht="25.05" customHeight="1" x14ac:dyDescent="0.25">
      <c r="A20402" s="2" t="s">
        <v>8</v>
      </c>
      <c r="B20402" s="2" t="str">
        <f>HYPERLINK("http://ts.21cn.com/tousu/show/id/1352452","玖富万卡提前还款太高利息")</f>
        <v>玖富万卡提前还款太高利息</v>
      </c>
      <c r="C20402" s="2" t="s">
        <v>9</v>
      </c>
      <c r="D20402" s="2" t="s">
        <v>10</v>
      </c>
      <c r="E20402" s="2" t="str">
        <f>HYPERLINK("http://ts.21cn.com/tousu/show/id/1352452","http://ts.21cn.com/tousu/show/id/1352452")</f>
        <v>http://ts.21cn.com/tousu/show/id/1352452</v>
      </c>
      <c r="F20402" s="2" t="s">
        <v>11</v>
      </c>
      <c r="G20402" s="2" t="s">
        <v>4039</v>
      </c>
      <c r="H20402" s="2" t="s">
        <v>4040</v>
      </c>
    </row>
    <row r="20403" spans="1:8" ht="25.05" customHeight="1" x14ac:dyDescent="0.25">
      <c r="A20403" s="2" t="s">
        <v>8</v>
      </c>
      <c r="B20403" s="2" t="str">
        <f>HYPERLINK("http://ts.21cn.com/tousu/show/id/1352169","闪银至尊客服敷衍客户")</f>
        <v>闪银至尊客服敷衍客户</v>
      </c>
      <c r="C20403" s="2" t="s">
        <v>9</v>
      </c>
      <c r="D20403" s="2" t="s">
        <v>10</v>
      </c>
      <c r="E20403" s="2" t="str">
        <f>HYPERLINK("http://ts.21cn.com/tousu/show/id/1352169","http://ts.21cn.com/tousu/show/id/1352169")</f>
        <v>http://ts.21cn.com/tousu/show/id/1352169</v>
      </c>
      <c r="F20403" s="2" t="s">
        <v>11</v>
      </c>
      <c r="G20403" s="2" t="s">
        <v>4037</v>
      </c>
      <c r="H20403" s="2" t="s">
        <v>4038</v>
      </c>
    </row>
    <row r="20404" spans="1:8" ht="25.05" customHeight="1" x14ac:dyDescent="0.25">
      <c r="A20404" s="2" t="s">
        <v>8</v>
      </c>
      <c r="B20404" s="2" t="str">
        <f>HYPERLINK("http://ts.21cn.com/tousu/show/id/1352456","小米金融委托第三方暴力催收、爆通讯录、威胁恐吓")</f>
        <v>小米金融委托第三方暴力催收、爆通讯录、威胁恐吓</v>
      </c>
      <c r="C20404" s="2" t="s">
        <v>9</v>
      </c>
      <c r="D20404" s="2" t="s">
        <v>10</v>
      </c>
      <c r="E20404" s="2" t="str">
        <f>HYPERLINK("http://ts.21cn.com/tousu/show/id/1352456","http://ts.21cn.com/tousu/show/id/1352456")</f>
        <v>http://ts.21cn.com/tousu/show/id/1352456</v>
      </c>
      <c r="F20404" s="2" t="s">
        <v>11</v>
      </c>
      <c r="G20404" s="2" t="s">
        <v>4035</v>
      </c>
      <c r="H20404" s="2" t="s">
        <v>4036</v>
      </c>
    </row>
    <row r="20405" spans="1:8" ht="25.05" customHeight="1" x14ac:dyDescent="0.25">
      <c r="A20405" s="2" t="s">
        <v>8</v>
      </c>
      <c r="B20405" s="2" t="str">
        <f>HYPERLINK("http://ts.21cn.com/tousu/show/id/1352455","暴力催收")</f>
        <v>暴力催收</v>
      </c>
      <c r="C20405" s="2" t="s">
        <v>9</v>
      </c>
      <c r="D20405" s="2" t="s">
        <v>10</v>
      </c>
      <c r="E20405" s="2" t="str">
        <f>HYPERLINK("http://ts.21cn.com/tousu/show/id/1352455","http://ts.21cn.com/tousu/show/id/1352455")</f>
        <v>http://ts.21cn.com/tousu/show/id/1352455</v>
      </c>
      <c r="F20405" s="2" t="s">
        <v>11</v>
      </c>
      <c r="G20405" s="2" t="s">
        <v>4033</v>
      </c>
      <c r="H20405" s="2" t="s">
        <v>4034</v>
      </c>
    </row>
    <row r="20406" spans="1:8" ht="25.05" customHeight="1" x14ac:dyDescent="0.25">
      <c r="A20406" s="2" t="s">
        <v>8</v>
      </c>
      <c r="B20406" s="2" t="str">
        <f>HYPERLINK("http://ts.21cn.com/tousu/show/id/1352457","退学还得继续交贷款")</f>
        <v>退学还得继续交贷款</v>
      </c>
      <c r="C20406" s="2" t="s">
        <v>9</v>
      </c>
      <c r="D20406" s="2" t="s">
        <v>10</v>
      </c>
      <c r="E20406" s="2" t="str">
        <f>HYPERLINK("http://ts.21cn.com/tousu/show/id/1352457","http://ts.21cn.com/tousu/show/id/1352457")</f>
        <v>http://ts.21cn.com/tousu/show/id/1352457</v>
      </c>
      <c r="F20406" s="2" t="s">
        <v>11</v>
      </c>
      <c r="G20406" s="2" t="s">
        <v>4031</v>
      </c>
      <c r="H20406" s="2" t="s">
        <v>4032</v>
      </c>
    </row>
    <row r="20407" spans="1:8" ht="25.05" customHeight="1" x14ac:dyDescent="0.25">
      <c r="A20407" s="2" t="s">
        <v>8</v>
      </c>
      <c r="B20407" s="2" t="str">
        <f>HYPERLINK("http://ts.21cn.com/tousu/show/id/1352454","微贷网砍头息高利贷")</f>
        <v>微贷网砍头息高利贷</v>
      </c>
      <c r="C20407" s="2" t="s">
        <v>9</v>
      </c>
      <c r="D20407" s="2" t="s">
        <v>10</v>
      </c>
      <c r="E20407" s="2" t="str">
        <f>HYPERLINK("http://ts.21cn.com/tousu/show/id/1352454","http://ts.21cn.com/tousu/show/id/1352454")</f>
        <v>http://ts.21cn.com/tousu/show/id/1352454</v>
      </c>
      <c r="F20407" s="2" t="s">
        <v>11</v>
      </c>
      <c r="G20407" s="2" t="s">
        <v>4029</v>
      </c>
      <c r="H20407" s="2" t="s">
        <v>4030</v>
      </c>
    </row>
    <row r="20408" spans="1:8" ht="25.05" customHeight="1" x14ac:dyDescent="0.25">
      <c r="A20408" s="2" t="s">
        <v>8</v>
      </c>
      <c r="B20408" s="2" t="str">
        <f>HYPERLINK("http://ts.21cn.com/tousu/show/id/1352398","骚扰　恐吓")</f>
        <v>骚扰　恐吓</v>
      </c>
      <c r="C20408" s="2" t="s">
        <v>9</v>
      </c>
      <c r="D20408" s="2" t="s">
        <v>10</v>
      </c>
      <c r="E20408" s="2" t="str">
        <f>HYPERLINK("http://ts.21cn.com/tousu/show/id/1352398","http://ts.21cn.com/tousu/show/id/1352398")</f>
        <v>http://ts.21cn.com/tousu/show/id/1352398</v>
      </c>
      <c r="F20408" s="2" t="s">
        <v>11</v>
      </c>
      <c r="G20408" s="2" t="s">
        <v>4027</v>
      </c>
      <c r="H20408" s="2" t="s">
        <v>4028</v>
      </c>
    </row>
    <row r="20409" spans="1:8" ht="25.05" customHeight="1" x14ac:dyDescent="0.25">
      <c r="A20409" s="2" t="s">
        <v>8</v>
      </c>
      <c r="B20409" s="2" t="str">
        <f>HYPERLINK("http://ts.21cn.com/tousu/show/id/1352459","现金巴士砍头息，超高利贷，威胁，暴力催收")</f>
        <v>现金巴士砍头息，超高利贷，威胁，暴力催收</v>
      </c>
      <c r="C20409" s="2" t="s">
        <v>9</v>
      </c>
      <c r="D20409" s="2" t="s">
        <v>10</v>
      </c>
      <c r="E20409" s="2" t="str">
        <f>HYPERLINK("http://ts.21cn.com/tousu/show/id/1352459","http://ts.21cn.com/tousu/show/id/1352459")</f>
        <v>http://ts.21cn.com/tousu/show/id/1352459</v>
      </c>
      <c r="F20409" s="2" t="s">
        <v>11</v>
      </c>
      <c r="G20409" s="2" t="s">
        <v>4025</v>
      </c>
      <c r="H20409" s="2" t="s">
        <v>4026</v>
      </c>
    </row>
    <row r="20410" spans="1:8" ht="25.05" customHeight="1" x14ac:dyDescent="0.25">
      <c r="A20410" s="2" t="s">
        <v>8</v>
      </c>
      <c r="B20410" s="2" t="str">
        <f>HYPERLINK("http://ts.21cn.com/tousu/show/id/1352460","拍拍贷无视法律太厉害，")</f>
        <v>拍拍贷无视法律太厉害，</v>
      </c>
      <c r="C20410" s="2" t="s">
        <v>9</v>
      </c>
      <c r="D20410" s="2" t="s">
        <v>10</v>
      </c>
      <c r="E20410" s="2" t="str">
        <f>HYPERLINK("http://ts.21cn.com/tousu/show/id/1352460","http://ts.21cn.com/tousu/show/id/1352460")</f>
        <v>http://ts.21cn.com/tousu/show/id/1352460</v>
      </c>
      <c r="F20410" s="2" t="s">
        <v>11</v>
      </c>
      <c r="G20410" s="2" t="s">
        <v>4023</v>
      </c>
      <c r="H20410" s="2" t="s">
        <v>4024</v>
      </c>
    </row>
    <row r="20411" spans="1:8" ht="25.05" customHeight="1" x14ac:dyDescent="0.25">
      <c r="A20411" s="2" t="s">
        <v>8</v>
      </c>
      <c r="B20411" s="2" t="str">
        <f>HYPERLINK("http://ts.21cn.com/tousu/show/id/1352463","美团网以无理要求私自克扣商家结算金额")</f>
        <v>美团网以无理要求私自克扣商家结算金额</v>
      </c>
      <c r="C20411" s="2" t="s">
        <v>9</v>
      </c>
      <c r="D20411" s="2" t="s">
        <v>10</v>
      </c>
      <c r="E20411" s="2" t="str">
        <f>HYPERLINK("http://ts.21cn.com/tousu/show/id/1352463","http://ts.21cn.com/tousu/show/id/1352463")</f>
        <v>http://ts.21cn.com/tousu/show/id/1352463</v>
      </c>
      <c r="F20411" s="2" t="s">
        <v>11</v>
      </c>
      <c r="G20411" s="2" t="s">
        <v>4021</v>
      </c>
      <c r="H20411" s="2" t="s">
        <v>4022</v>
      </c>
    </row>
    <row r="20412" spans="1:8" ht="25.05" customHeight="1" x14ac:dyDescent="0.25">
      <c r="A20412" s="2" t="s">
        <v>8</v>
      </c>
      <c r="B20412" s="2" t="str">
        <f>HYPERLINK("http://ts.21cn.com/tousu/show/id/1352461","闪贷高利贷")</f>
        <v>闪贷高利贷</v>
      </c>
      <c r="C20412" s="2" t="s">
        <v>9</v>
      </c>
      <c r="D20412" s="2" t="s">
        <v>10</v>
      </c>
      <c r="E20412" s="2" t="str">
        <f>HYPERLINK("http://ts.21cn.com/tousu/show/id/1352461","http://ts.21cn.com/tousu/show/id/1352461")</f>
        <v>http://ts.21cn.com/tousu/show/id/1352461</v>
      </c>
      <c r="F20412" s="2" t="s">
        <v>11</v>
      </c>
      <c r="G20412" s="2" t="s">
        <v>4019</v>
      </c>
      <c r="H20412" s="2" t="s">
        <v>4020</v>
      </c>
    </row>
    <row r="20413" spans="1:8" ht="25.05" customHeight="1" x14ac:dyDescent="0.25">
      <c r="A20413" s="2" t="s">
        <v>8</v>
      </c>
      <c r="B20413" s="2" t="str">
        <f>HYPERLINK("http://ts.21cn.com/tousu/show/id/1352462","u钱包催收")</f>
        <v>u钱包催收</v>
      </c>
      <c r="C20413" s="2" t="s">
        <v>9</v>
      </c>
      <c r="D20413" s="2" t="s">
        <v>10</v>
      </c>
      <c r="E20413" s="2" t="str">
        <f>HYPERLINK("http://ts.21cn.com/tousu/show/id/1352462","http://ts.21cn.com/tousu/show/id/1352462")</f>
        <v>http://ts.21cn.com/tousu/show/id/1352462</v>
      </c>
      <c r="F20413" s="2" t="s">
        <v>11</v>
      </c>
      <c r="G20413" s="2" t="s">
        <v>4017</v>
      </c>
      <c r="H20413" s="2" t="s">
        <v>4018</v>
      </c>
    </row>
    <row r="20414" spans="1:8" ht="25.05" customHeight="1" x14ac:dyDescent="0.25">
      <c r="A20414" s="2" t="s">
        <v>8</v>
      </c>
      <c r="B20414" s="2" t="str">
        <f>HYPERLINK("http://ts.21cn.com/tousu/show/id/1352464","现金巴士砍头息，高利贷")</f>
        <v>现金巴士砍头息，高利贷</v>
      </c>
      <c r="C20414" s="2" t="s">
        <v>9</v>
      </c>
      <c r="D20414" s="2" t="s">
        <v>10</v>
      </c>
      <c r="E20414" s="2" t="str">
        <f>HYPERLINK("http://ts.21cn.com/tousu/show/id/1352464","http://ts.21cn.com/tousu/show/id/1352464")</f>
        <v>http://ts.21cn.com/tousu/show/id/1352464</v>
      </c>
      <c r="F20414" s="2" t="s">
        <v>11</v>
      </c>
      <c r="G20414" s="2" t="s">
        <v>4015</v>
      </c>
      <c r="H20414" s="2" t="s">
        <v>4016</v>
      </c>
    </row>
    <row r="20415" spans="1:8" ht="25.05" customHeight="1" x14ac:dyDescent="0.25">
      <c r="A20415" s="2" t="s">
        <v>8</v>
      </c>
      <c r="B20415" s="2" t="str">
        <f>HYPERLINK("http://ts.21cn.com/tousu/show/id/1352465","暴力催收，暴通讯录，恐吓辱骂")</f>
        <v>暴力催收，暴通讯录，恐吓辱骂</v>
      </c>
      <c r="C20415" s="2" t="s">
        <v>9</v>
      </c>
      <c r="D20415" s="2" t="s">
        <v>10</v>
      </c>
      <c r="E20415" s="2" t="str">
        <f>HYPERLINK("http://ts.21cn.com/tousu/show/id/1352465","http://ts.21cn.com/tousu/show/id/1352465")</f>
        <v>http://ts.21cn.com/tousu/show/id/1352465</v>
      </c>
      <c r="F20415" s="2" t="s">
        <v>11</v>
      </c>
      <c r="G20415" s="2" t="s">
        <v>4013</v>
      </c>
      <c r="H20415" s="2" t="s">
        <v>4014</v>
      </c>
    </row>
    <row r="20416" spans="1:8" ht="25.05" customHeight="1" x14ac:dyDescent="0.25">
      <c r="A20416" s="2" t="s">
        <v>8</v>
      </c>
      <c r="B20416" s="2" t="str">
        <f>HYPERLINK("http://ts.21cn.com/tousu/show/id/1352466","放贷款方乱收费")</f>
        <v>放贷款方乱收费</v>
      </c>
      <c r="C20416" s="2" t="s">
        <v>9</v>
      </c>
      <c r="D20416" s="2" t="s">
        <v>10</v>
      </c>
      <c r="E20416" s="2" t="str">
        <f>HYPERLINK("http://ts.21cn.com/tousu/show/id/1352466","http://ts.21cn.com/tousu/show/id/1352466")</f>
        <v>http://ts.21cn.com/tousu/show/id/1352466</v>
      </c>
      <c r="F20416" s="2" t="s">
        <v>11</v>
      </c>
      <c r="G20416" s="2" t="s">
        <v>4011</v>
      </c>
      <c r="H20416" s="2" t="s">
        <v>4012</v>
      </c>
    </row>
    <row r="20417" spans="1:8" ht="25.05" customHeight="1" x14ac:dyDescent="0.25">
      <c r="A20417" s="2" t="s">
        <v>8</v>
      </c>
      <c r="B20417" s="2" t="str">
        <f>HYPERLINK("http://ts.21cn.com/tousu/show/id/1352467","乱收费")</f>
        <v>乱收费</v>
      </c>
      <c r="C20417" s="2" t="s">
        <v>9</v>
      </c>
      <c r="D20417" s="2" t="s">
        <v>10</v>
      </c>
      <c r="E20417" s="2" t="str">
        <f>HYPERLINK("http://ts.21cn.com/tousu/show/id/1352467","http://ts.21cn.com/tousu/show/id/1352467")</f>
        <v>http://ts.21cn.com/tousu/show/id/1352467</v>
      </c>
      <c r="F20417" s="2" t="s">
        <v>11</v>
      </c>
      <c r="G20417" s="2" t="s">
        <v>4009</v>
      </c>
      <c r="H20417" s="2" t="s">
        <v>4010</v>
      </c>
    </row>
    <row r="20418" spans="1:8" ht="25.05" customHeight="1" x14ac:dyDescent="0.25">
      <c r="A20418" s="2" t="s">
        <v>8</v>
      </c>
      <c r="B20418" s="2" t="str">
        <f>HYPERLINK("http://ts.21cn.com/tousu/show/id/838363","贷款逾期被爆通讯录")</f>
        <v>贷款逾期被爆通讯录</v>
      </c>
      <c r="C20418" s="2" t="s">
        <v>9</v>
      </c>
      <c r="D20418" s="2" t="s">
        <v>10</v>
      </c>
      <c r="E20418" s="2" t="str">
        <f>HYPERLINK("http://ts.21cn.com/tousu/show/id/838363","http://ts.21cn.com/tousu/show/id/838363")</f>
        <v>http://ts.21cn.com/tousu/show/id/838363</v>
      </c>
      <c r="F20418" s="2" t="s">
        <v>11</v>
      </c>
      <c r="G20418" s="2" t="s">
        <v>4007</v>
      </c>
      <c r="H20418" s="2" t="s">
        <v>4008</v>
      </c>
    </row>
    <row r="20419" spans="1:8" ht="25.05" customHeight="1" x14ac:dyDescent="0.25">
      <c r="A20419" s="2" t="s">
        <v>8</v>
      </c>
      <c r="B20419" s="2" t="str">
        <f>HYPERLINK("http://ts.21cn.com/tousu/show/id/1352469","首汽约车司机多收钱，客服不管")</f>
        <v>首汽约车司机多收钱，客服不管</v>
      </c>
      <c r="C20419" s="2" t="s">
        <v>9</v>
      </c>
      <c r="D20419" s="2" t="s">
        <v>10</v>
      </c>
      <c r="E20419" s="2" t="str">
        <f>HYPERLINK("http://ts.21cn.com/tousu/show/id/1352469","http://ts.21cn.com/tousu/show/id/1352469")</f>
        <v>http://ts.21cn.com/tousu/show/id/1352469</v>
      </c>
      <c r="F20419" s="2" t="s">
        <v>11</v>
      </c>
      <c r="G20419" s="2" t="s">
        <v>4005</v>
      </c>
      <c r="H20419" s="2" t="s">
        <v>4006</v>
      </c>
    </row>
    <row r="20420" spans="1:8" ht="25.05" customHeight="1" x14ac:dyDescent="0.25">
      <c r="A20420" s="2" t="s">
        <v>8</v>
      </c>
      <c r="B20420" s="2" t="str">
        <f>HYPERLINK("http://ts.21cn.com/tousu/show/id/1352471","小优蒲客乱扣费")</f>
        <v>小优蒲客乱扣费</v>
      </c>
      <c r="C20420" s="2" t="s">
        <v>9</v>
      </c>
      <c r="D20420" s="2" t="s">
        <v>10</v>
      </c>
      <c r="E20420" s="2" t="str">
        <f>HYPERLINK("http://ts.21cn.com/tousu/show/id/1352471","http://ts.21cn.com/tousu/show/id/1352471")</f>
        <v>http://ts.21cn.com/tousu/show/id/1352471</v>
      </c>
      <c r="F20420" s="2" t="s">
        <v>11</v>
      </c>
      <c r="G20420" s="2" t="s">
        <v>4003</v>
      </c>
      <c r="H20420" s="2" t="s">
        <v>4004</v>
      </c>
    </row>
    <row r="20421" spans="1:8" ht="25.05" customHeight="1" x14ac:dyDescent="0.25">
      <c r="A20421" s="2" t="s">
        <v>8</v>
      </c>
      <c r="B20421" s="2" t="str">
        <f>HYPERLINK("http://ts.21cn.com/tousu/show/id/1352472","中心银行信用卡催收")</f>
        <v>中心银行信用卡催收</v>
      </c>
      <c r="C20421" s="2" t="s">
        <v>9</v>
      </c>
      <c r="D20421" s="2" t="s">
        <v>10</v>
      </c>
      <c r="E20421" s="2" t="str">
        <f>HYPERLINK("http://ts.21cn.com/tousu/show/id/1352472","http://ts.21cn.com/tousu/show/id/1352472")</f>
        <v>http://ts.21cn.com/tousu/show/id/1352472</v>
      </c>
      <c r="F20421" s="2" t="s">
        <v>11</v>
      </c>
      <c r="G20421" s="2" t="s">
        <v>4001</v>
      </c>
      <c r="H20421" s="2" t="s">
        <v>4002</v>
      </c>
    </row>
    <row r="20422" spans="1:8" ht="25.05" customHeight="1" x14ac:dyDescent="0.25">
      <c r="A20422" s="2" t="s">
        <v>8</v>
      </c>
      <c r="B20422" s="2" t="str">
        <f>HYPERLINK("http://ts.21cn.com/tousu/show/id/1352473","莫名其妙被特约中归扣款")</f>
        <v>莫名其妙被特约中归扣款</v>
      </c>
      <c r="C20422" s="2" t="s">
        <v>34</v>
      </c>
      <c r="D20422" s="2" t="s">
        <v>10</v>
      </c>
      <c r="E20422" s="2" t="str">
        <f>HYPERLINK("http://ts.21cn.com/tousu/show/id/1352473","http://ts.21cn.com/tousu/show/id/1352473")</f>
        <v>http://ts.21cn.com/tousu/show/id/1352473</v>
      </c>
      <c r="F20422" s="2" t="s">
        <v>11</v>
      </c>
      <c r="G20422" s="2" t="s">
        <v>3999</v>
      </c>
      <c r="H20422" s="2" t="s">
        <v>4000</v>
      </c>
    </row>
    <row r="20423" spans="1:8" ht="25.05" customHeight="1" x14ac:dyDescent="0.25">
      <c r="A20423" s="2" t="s">
        <v>8</v>
      </c>
      <c r="B20423" s="2" t="str">
        <f>HYPERLINK("http://ts.21cn.com/tousu/show/id/1352474","滴滴在线3小时一单不派")</f>
        <v>滴滴在线3小时一单不派</v>
      </c>
      <c r="C20423" s="2" t="s">
        <v>9</v>
      </c>
      <c r="D20423" s="2" t="s">
        <v>10</v>
      </c>
      <c r="E20423" s="2" t="str">
        <f>HYPERLINK("http://ts.21cn.com/tousu/show/id/1352474","http://ts.21cn.com/tousu/show/id/1352474")</f>
        <v>http://ts.21cn.com/tousu/show/id/1352474</v>
      </c>
      <c r="F20423" s="2" t="s">
        <v>11</v>
      </c>
      <c r="G20423" s="2" t="s">
        <v>3997</v>
      </c>
      <c r="H20423" s="2" t="s">
        <v>3998</v>
      </c>
    </row>
    <row r="20424" spans="1:8" ht="25.05" customHeight="1" x14ac:dyDescent="0.25">
      <c r="A20424" s="2" t="s">
        <v>8</v>
      </c>
      <c r="B20424" s="2" t="str">
        <f>HYPERLINK("http://ts.21cn.com/tousu/show/id/1352475","投诉网贷高炮")</f>
        <v>投诉网贷高炮</v>
      </c>
      <c r="C20424" s="2" t="s">
        <v>9</v>
      </c>
      <c r="D20424" s="2" t="s">
        <v>10</v>
      </c>
      <c r="E20424" s="2" t="str">
        <f>HYPERLINK("http://ts.21cn.com/tousu/show/id/1352475","http://ts.21cn.com/tousu/show/id/1352475")</f>
        <v>http://ts.21cn.com/tousu/show/id/1352475</v>
      </c>
      <c r="F20424" s="2" t="s">
        <v>11</v>
      </c>
      <c r="G20424" s="2" t="s">
        <v>3995</v>
      </c>
      <c r="H20424" s="2" t="s">
        <v>3996</v>
      </c>
    </row>
    <row r="20425" spans="1:8" ht="25.05" customHeight="1" x14ac:dyDescent="0.25">
      <c r="A20425" s="2" t="s">
        <v>8</v>
      </c>
      <c r="B20425" s="2" t="str">
        <f>HYPERLINK("http://ts.21cn.com/tousu/show/id/1352476","你我贷同意协商延期后又继续催收")</f>
        <v>你我贷同意协商延期后又继续催收</v>
      </c>
      <c r="C20425" s="2" t="s">
        <v>9</v>
      </c>
      <c r="D20425" s="2" t="s">
        <v>10</v>
      </c>
      <c r="E20425" s="2" t="str">
        <f>HYPERLINK("http://ts.21cn.com/tousu/show/id/1352476","http://ts.21cn.com/tousu/show/id/1352476")</f>
        <v>http://ts.21cn.com/tousu/show/id/1352476</v>
      </c>
      <c r="F20425" s="2" t="s">
        <v>11</v>
      </c>
      <c r="G20425" s="2" t="s">
        <v>3993</v>
      </c>
      <c r="H20425" s="2" t="s">
        <v>3994</v>
      </c>
    </row>
    <row r="20426" spans="1:8" ht="25.05" customHeight="1" x14ac:dyDescent="0.25">
      <c r="A20426" s="2" t="s">
        <v>8</v>
      </c>
      <c r="B20426" s="2" t="str">
        <f>HYPERLINK("http://ts.21cn.com/tousu/show/id/1352477","好易借高利息")</f>
        <v>好易借高利息</v>
      </c>
      <c r="C20426" s="2" t="s">
        <v>9</v>
      </c>
      <c r="D20426" s="2" t="s">
        <v>10</v>
      </c>
      <c r="E20426" s="2" t="str">
        <f>HYPERLINK("http://ts.21cn.com/tousu/show/id/1352477","http://ts.21cn.com/tousu/show/id/1352477")</f>
        <v>http://ts.21cn.com/tousu/show/id/1352477</v>
      </c>
      <c r="F20426" s="2" t="s">
        <v>11</v>
      </c>
      <c r="G20426" s="2" t="s">
        <v>3991</v>
      </c>
      <c r="H20426" s="2" t="s">
        <v>3992</v>
      </c>
    </row>
    <row r="20427" spans="1:8" ht="25.05" customHeight="1" x14ac:dyDescent="0.25">
      <c r="A20427" s="2" t="s">
        <v>8</v>
      </c>
      <c r="B20427" s="2" t="str">
        <f>HYPERLINK("http://ts.21cn.com/tousu/show/id/1352478","为砍头息正名为保险费，明显高利贷催收")</f>
        <v>为砍头息正名为保险费，明显高利贷催收</v>
      </c>
      <c r="C20427" s="2" t="s">
        <v>9</v>
      </c>
      <c r="D20427" s="2" t="s">
        <v>10</v>
      </c>
      <c r="E20427" s="2" t="str">
        <f>HYPERLINK("http://ts.21cn.com/tousu/show/id/1352478","http://ts.21cn.com/tousu/show/id/1352478")</f>
        <v>http://ts.21cn.com/tousu/show/id/1352478</v>
      </c>
      <c r="F20427" s="2" t="s">
        <v>11</v>
      </c>
      <c r="G20427" s="2" t="s">
        <v>3989</v>
      </c>
      <c r="H20427" s="2" t="s">
        <v>3990</v>
      </c>
    </row>
    <row r="20428" spans="1:8" ht="25.05" customHeight="1" x14ac:dyDescent="0.25">
      <c r="A20428" s="2" t="s">
        <v>8</v>
      </c>
      <c r="B20428" s="2" t="str">
        <f>HYPERLINK("http://ts.21cn.com/tousu/show/id/1352479","易到用车提现未到账")</f>
        <v>易到用车提现未到账</v>
      </c>
      <c r="C20428" s="2" t="s">
        <v>9</v>
      </c>
      <c r="D20428" s="2" t="s">
        <v>10</v>
      </c>
      <c r="E20428" s="2" t="str">
        <f>HYPERLINK("http://ts.21cn.com/tousu/show/id/1352479","http://ts.21cn.com/tousu/show/id/1352479")</f>
        <v>http://ts.21cn.com/tousu/show/id/1352479</v>
      </c>
      <c r="F20428" s="2" t="s">
        <v>11</v>
      </c>
      <c r="G20428" s="2" t="s">
        <v>3987</v>
      </c>
      <c r="H20428" s="2" t="s">
        <v>3988</v>
      </c>
    </row>
    <row r="20429" spans="1:8" ht="25.05" customHeight="1" x14ac:dyDescent="0.25">
      <c r="A20429" s="2" t="s">
        <v>8</v>
      </c>
      <c r="B20429" s="2" t="str">
        <f>HYPERLINK("http://ts.21cn.com/tousu/show/id/1352480","解释并退还高于国家利息金额")</f>
        <v>解释并退还高于国家利息金额</v>
      </c>
      <c r="C20429" s="2" t="s">
        <v>34</v>
      </c>
      <c r="D20429" s="2" t="s">
        <v>10</v>
      </c>
      <c r="E20429" s="2" t="str">
        <f>HYPERLINK("http://ts.21cn.com/tousu/show/id/1352480","http://ts.21cn.com/tousu/show/id/1352480")</f>
        <v>http://ts.21cn.com/tousu/show/id/1352480</v>
      </c>
      <c r="F20429" s="2" t="s">
        <v>11</v>
      </c>
      <c r="G20429" s="2" t="s">
        <v>3985</v>
      </c>
      <c r="H20429" s="2" t="s">
        <v>3986</v>
      </c>
    </row>
    <row r="20430" spans="1:8" ht="25.05" customHeight="1" x14ac:dyDescent="0.25">
      <c r="A20430" s="2" t="s">
        <v>8</v>
      </c>
      <c r="B20430" s="2" t="str">
        <f>HYPERLINK("http://ts.21cn.com/tousu/show/id/1352481","招联金融催收私自查询我贷款全部金额账单")</f>
        <v>招联金融催收私自查询我贷款全部金额账单</v>
      </c>
      <c r="C20430" s="2" t="s">
        <v>9</v>
      </c>
      <c r="D20430" s="2" t="s">
        <v>10</v>
      </c>
      <c r="E20430" s="2" t="str">
        <f>HYPERLINK("http://ts.21cn.com/tousu/show/id/1352481","http://ts.21cn.com/tousu/show/id/1352481")</f>
        <v>http://ts.21cn.com/tousu/show/id/1352481</v>
      </c>
      <c r="F20430" s="2" t="s">
        <v>11</v>
      </c>
      <c r="G20430" s="2" t="s">
        <v>3983</v>
      </c>
      <c r="H20430" s="2" t="s">
        <v>3984</v>
      </c>
    </row>
    <row r="20431" spans="1:8" ht="25.05" customHeight="1" x14ac:dyDescent="0.25">
      <c r="A20431" s="2" t="s">
        <v>8</v>
      </c>
      <c r="B20431" s="2" t="str">
        <f>HYPERLINK("http://ts.21cn.com/tousu/show/id/1352483","销账提供结清证明")</f>
        <v>销账提供结清证明</v>
      </c>
      <c r="C20431" s="2" t="s">
        <v>9</v>
      </c>
      <c r="D20431" s="2" t="s">
        <v>10</v>
      </c>
      <c r="E20431" s="2" t="str">
        <f>HYPERLINK("http://ts.21cn.com/tousu/show/id/1352483","http://ts.21cn.com/tousu/show/id/1352483")</f>
        <v>http://ts.21cn.com/tousu/show/id/1352483</v>
      </c>
      <c r="F20431" s="2" t="s">
        <v>11</v>
      </c>
      <c r="G20431" s="2" t="s">
        <v>3981</v>
      </c>
      <c r="H20431" s="2" t="s">
        <v>3982</v>
      </c>
    </row>
    <row r="20432" spans="1:8" ht="25.05" customHeight="1" x14ac:dyDescent="0.25">
      <c r="A20432" s="2" t="s">
        <v>8</v>
      </c>
      <c r="B20432" s="2" t="str">
        <f>HYPERLINK("http://ts.21cn.com/tousu/show/id/1352482","买单侠电话威胁我")</f>
        <v>买单侠电话威胁我</v>
      </c>
      <c r="C20432" s="2" t="s">
        <v>9</v>
      </c>
      <c r="D20432" s="2" t="s">
        <v>10</v>
      </c>
      <c r="E20432" s="2" t="str">
        <f>HYPERLINK("http://ts.21cn.com/tousu/show/id/1352482","http://ts.21cn.com/tousu/show/id/1352482")</f>
        <v>http://ts.21cn.com/tousu/show/id/1352482</v>
      </c>
      <c r="F20432" s="2" t="s">
        <v>11</v>
      </c>
      <c r="G20432" s="2" t="s">
        <v>3979</v>
      </c>
      <c r="H20432" s="2" t="s">
        <v>3980</v>
      </c>
    </row>
    <row r="20433" spans="1:8" ht="25.05" customHeight="1" x14ac:dyDescent="0.25">
      <c r="A20433" s="2" t="s">
        <v>8</v>
      </c>
      <c r="B20433" s="2" t="str">
        <f>HYPERLINK("http://ts.21cn.com/tousu/show/id/1352484","速金服平台恶意让借款人逾期")</f>
        <v>速金服平台恶意让借款人逾期</v>
      </c>
      <c r="C20433" s="2" t="s">
        <v>9</v>
      </c>
      <c r="D20433" s="2" t="s">
        <v>10</v>
      </c>
      <c r="E20433" s="2" t="str">
        <f>HYPERLINK("http://ts.21cn.com/tousu/show/id/1352484","http://ts.21cn.com/tousu/show/id/1352484")</f>
        <v>http://ts.21cn.com/tousu/show/id/1352484</v>
      </c>
      <c r="F20433" s="2" t="s">
        <v>11</v>
      </c>
      <c r="G20433" s="2" t="s">
        <v>3977</v>
      </c>
      <c r="H20433" s="2" t="s">
        <v>3978</v>
      </c>
    </row>
    <row r="20434" spans="1:8" ht="25.05" customHeight="1" x14ac:dyDescent="0.25">
      <c r="A20434" s="2" t="s">
        <v>8</v>
      </c>
      <c r="B20434" s="2" t="str">
        <f>HYPERLINK("http://ts.21cn.com/tousu/show/id/1352485","账户注销")</f>
        <v>账户注销</v>
      </c>
      <c r="C20434" s="2" t="s">
        <v>34</v>
      </c>
      <c r="D20434" s="2" t="s">
        <v>10</v>
      </c>
      <c r="E20434" s="2" t="str">
        <f>HYPERLINK("http://ts.21cn.com/tousu/show/id/1352485","http://ts.21cn.com/tousu/show/id/1352485")</f>
        <v>http://ts.21cn.com/tousu/show/id/1352485</v>
      </c>
      <c r="F20434" s="2" t="s">
        <v>11</v>
      </c>
      <c r="G20434" s="2" t="s">
        <v>3975</v>
      </c>
      <c r="H20434" s="2" t="s">
        <v>3976</v>
      </c>
    </row>
    <row r="20435" spans="1:8" ht="25.05" customHeight="1" x14ac:dyDescent="0.25">
      <c r="A20435" s="2" t="s">
        <v>8</v>
      </c>
      <c r="B20435" s="2" t="str">
        <f>HYPERLINK("http://ts.21cn.com/tousu/show/id/1352486","投诉创客工具箱乱打标我微信")</f>
        <v>投诉创客工具箱乱打标我微信</v>
      </c>
      <c r="C20435" s="2" t="s">
        <v>9</v>
      </c>
      <c r="D20435" s="2" t="s">
        <v>10</v>
      </c>
      <c r="E20435" s="2" t="str">
        <f>HYPERLINK("http://ts.21cn.com/tousu/show/id/1352486","http://ts.21cn.com/tousu/show/id/1352486")</f>
        <v>http://ts.21cn.com/tousu/show/id/1352486</v>
      </c>
      <c r="F20435" s="2" t="s">
        <v>11</v>
      </c>
      <c r="G20435" s="2" t="s">
        <v>3973</v>
      </c>
      <c r="H20435" s="2" t="s">
        <v>3974</v>
      </c>
    </row>
    <row r="20436" spans="1:8" ht="25.05" customHeight="1" x14ac:dyDescent="0.25">
      <c r="A20436" s="2" t="s">
        <v>8</v>
      </c>
      <c r="B20436" s="2" t="str">
        <f>HYPERLINK("http://ts.21cn.com/tousu/show/id/1352487","招商银行催收群发短信态度恶略变相侮辱")</f>
        <v>招商银行催收群发短信态度恶略变相侮辱</v>
      </c>
      <c r="C20436" s="2" t="s">
        <v>9</v>
      </c>
      <c r="D20436" s="2" t="s">
        <v>10</v>
      </c>
      <c r="E20436" s="2" t="str">
        <f>HYPERLINK("http://ts.21cn.com/tousu/show/id/1352487","http://ts.21cn.com/tousu/show/id/1352487")</f>
        <v>http://ts.21cn.com/tousu/show/id/1352487</v>
      </c>
      <c r="F20436" s="2" t="s">
        <v>11</v>
      </c>
      <c r="G20436" s="2" t="s">
        <v>3971</v>
      </c>
      <c r="H20436" s="2" t="s">
        <v>3972</v>
      </c>
    </row>
    <row r="20437" spans="1:8" ht="25.05" customHeight="1" x14ac:dyDescent="0.25">
      <c r="A20437" s="2" t="s">
        <v>8</v>
      </c>
      <c r="B20437" s="2" t="str">
        <f>HYPERLINK("http://ts.21cn.com/tousu/show/id/1352489","滴滴金融新网银行滴水贷无法手动还款一直显示带扣中导致逾期损害个人征信")</f>
        <v>滴滴金融新网银行滴水贷无法手动还款一直显示带扣中导致逾期损害个人征信</v>
      </c>
      <c r="C20437" s="2" t="s">
        <v>9</v>
      </c>
      <c r="D20437" s="2" t="s">
        <v>10</v>
      </c>
      <c r="E20437" s="2" t="str">
        <f>HYPERLINK("http://ts.21cn.com/tousu/show/id/1352489","http://ts.21cn.com/tousu/show/id/1352489")</f>
        <v>http://ts.21cn.com/tousu/show/id/1352489</v>
      </c>
      <c r="F20437" s="2" t="s">
        <v>11</v>
      </c>
      <c r="G20437" s="2" t="s">
        <v>3969</v>
      </c>
      <c r="H20437" s="2" t="s">
        <v>3970</v>
      </c>
    </row>
    <row r="20438" spans="1:8" ht="25.05" customHeight="1" x14ac:dyDescent="0.25">
      <c r="A20438" s="2" t="s">
        <v>8</v>
      </c>
      <c r="B20438" s="2" t="str">
        <f>HYPERLINK("http://ts.21cn.com/tousu/show/id/1352488","新橙优品砍头息高利贷")</f>
        <v>新橙优品砍头息高利贷</v>
      </c>
      <c r="C20438" s="2" t="s">
        <v>9</v>
      </c>
      <c r="D20438" s="2" t="s">
        <v>10</v>
      </c>
      <c r="E20438" s="2" t="str">
        <f>HYPERLINK("http://ts.21cn.com/tousu/show/id/1352488","http://ts.21cn.com/tousu/show/id/1352488")</f>
        <v>http://ts.21cn.com/tousu/show/id/1352488</v>
      </c>
      <c r="F20438" s="2" t="s">
        <v>11</v>
      </c>
      <c r="G20438" s="2" t="s">
        <v>3967</v>
      </c>
      <c r="H20438" s="2" t="s">
        <v>3968</v>
      </c>
    </row>
    <row r="20439" spans="1:8" ht="25.05" customHeight="1" x14ac:dyDescent="0.25">
      <c r="A20439" s="2" t="s">
        <v>8</v>
      </c>
      <c r="B20439" s="2" t="str">
        <f>HYPERLINK("http://ts.21cn.com/tousu/show/id/1352491","招联金融恶意骚扰，威胁性催收")</f>
        <v>招联金融恶意骚扰，威胁性催收</v>
      </c>
      <c r="C20439" s="2" t="s">
        <v>9</v>
      </c>
      <c r="D20439" s="2" t="s">
        <v>10</v>
      </c>
      <c r="E20439" s="2" t="str">
        <f>HYPERLINK("http://ts.21cn.com/tousu/show/id/1352491","http://ts.21cn.com/tousu/show/id/1352491")</f>
        <v>http://ts.21cn.com/tousu/show/id/1352491</v>
      </c>
      <c r="F20439" s="2" t="s">
        <v>11</v>
      </c>
      <c r="G20439" s="2" t="s">
        <v>3965</v>
      </c>
      <c r="H20439" s="2" t="s">
        <v>3966</v>
      </c>
    </row>
    <row r="20440" spans="1:8" ht="25.05" customHeight="1" x14ac:dyDescent="0.25">
      <c r="A20440" s="2" t="s">
        <v>8</v>
      </c>
      <c r="B20440" s="2" t="str">
        <f>HYPERLINK("http://ts.21cn.com/tousu/show/id/1352492","高利息平台上征信，49000收1230买黑卡")</f>
        <v>高利息平台上征信，49000收1230买黑卡</v>
      </c>
      <c r="C20440" s="2" t="s">
        <v>9</v>
      </c>
      <c r="D20440" s="2" t="s">
        <v>10</v>
      </c>
      <c r="E20440" s="2" t="str">
        <f>HYPERLINK("http://ts.21cn.com/tousu/show/id/1352492","http://ts.21cn.com/tousu/show/id/1352492")</f>
        <v>http://ts.21cn.com/tousu/show/id/1352492</v>
      </c>
      <c r="F20440" s="2" t="s">
        <v>11</v>
      </c>
      <c r="G20440" s="2" t="s">
        <v>3963</v>
      </c>
      <c r="H20440" s="2" t="s">
        <v>3964</v>
      </c>
    </row>
    <row r="20441" spans="1:8" ht="25.05" customHeight="1" x14ac:dyDescent="0.25">
      <c r="A20441" s="2" t="s">
        <v>8</v>
      </c>
      <c r="B20441" s="2" t="str">
        <f>HYPERLINK("http://ts.21cn.com/tousu/show/id/1352493","西藏微众金融恶意骚扰")</f>
        <v>西藏微众金融恶意骚扰</v>
      </c>
      <c r="C20441" s="2" t="s">
        <v>9</v>
      </c>
      <c r="D20441" s="2" t="s">
        <v>10</v>
      </c>
      <c r="E20441" s="2" t="str">
        <f>HYPERLINK("http://ts.21cn.com/tousu/show/id/1352493","http://ts.21cn.com/tousu/show/id/1352493")</f>
        <v>http://ts.21cn.com/tousu/show/id/1352493</v>
      </c>
      <c r="F20441" s="2" t="s">
        <v>11</v>
      </c>
      <c r="G20441" s="2" t="s">
        <v>3961</v>
      </c>
      <c r="H20441" s="2" t="s">
        <v>3962</v>
      </c>
    </row>
    <row r="20442" spans="1:8" ht="25.05" customHeight="1" x14ac:dyDescent="0.25">
      <c r="A20442" s="2" t="s">
        <v>8</v>
      </c>
      <c r="B20442" s="2" t="str">
        <f>HYPERLINK("http://ts.21cn.com/tousu/show/id/1352494","捷信高利贷")</f>
        <v>捷信高利贷</v>
      </c>
      <c r="C20442" s="2" t="s">
        <v>9</v>
      </c>
      <c r="D20442" s="2" t="s">
        <v>10</v>
      </c>
      <c r="E20442" s="2" t="str">
        <f>HYPERLINK("http://ts.21cn.com/tousu/show/id/1352494","http://ts.21cn.com/tousu/show/id/1352494")</f>
        <v>http://ts.21cn.com/tousu/show/id/1352494</v>
      </c>
      <c r="F20442" s="2" t="s">
        <v>11</v>
      </c>
      <c r="G20442" s="2" t="s">
        <v>3959</v>
      </c>
      <c r="H20442" s="2" t="s">
        <v>3960</v>
      </c>
    </row>
    <row r="20443" spans="1:8" ht="25.05" customHeight="1" x14ac:dyDescent="0.25">
      <c r="A20443" s="2" t="s">
        <v>8</v>
      </c>
      <c r="B20443" s="2" t="str">
        <f>HYPERLINK("http://ts.21cn.com/tousu/show/id/1352495","闪银暴力催收，威胁，高利贷")</f>
        <v>闪银暴力催收，威胁，高利贷</v>
      </c>
      <c r="C20443" s="2" t="s">
        <v>9</v>
      </c>
      <c r="D20443" s="2" t="s">
        <v>10</v>
      </c>
      <c r="E20443" s="2" t="str">
        <f>HYPERLINK("http://ts.21cn.com/tousu/show/id/1352495","http://ts.21cn.com/tousu/show/id/1352495")</f>
        <v>http://ts.21cn.com/tousu/show/id/1352495</v>
      </c>
      <c r="F20443" s="2" t="s">
        <v>11</v>
      </c>
      <c r="G20443" s="2" t="s">
        <v>3957</v>
      </c>
      <c r="H20443" s="2" t="s">
        <v>3958</v>
      </c>
    </row>
    <row r="20444" spans="1:8" ht="25.05" customHeight="1" x14ac:dyDescent="0.25">
      <c r="A20444" s="2" t="s">
        <v>8</v>
      </c>
      <c r="B20444" s="2" t="str">
        <f>HYPERLINK("http://ts.21cn.com/tousu/show/id/1352496","交通银行催收不停的用违规短信平台给家里和本人发送违规短信")</f>
        <v>交通银行催收不停的用违规短信平台给家里和本人发送违规短信</v>
      </c>
      <c r="C20444" s="2" t="s">
        <v>9</v>
      </c>
      <c r="D20444" s="2" t="s">
        <v>10</v>
      </c>
      <c r="E20444" s="2" t="str">
        <f>HYPERLINK("http://ts.21cn.com/tousu/show/id/1352496","http://ts.21cn.com/tousu/show/id/1352496")</f>
        <v>http://ts.21cn.com/tousu/show/id/1352496</v>
      </c>
      <c r="F20444" s="2" t="s">
        <v>11</v>
      </c>
      <c r="G20444" s="2" t="s">
        <v>3955</v>
      </c>
      <c r="H20444" s="2" t="s">
        <v>3956</v>
      </c>
    </row>
    <row r="20445" spans="1:8" ht="25.05" customHeight="1" x14ac:dyDescent="0.25">
      <c r="A20445" s="2" t="s">
        <v>8</v>
      </c>
      <c r="B20445" s="2" t="str">
        <f>HYPERLINK("http://ts.21cn.com/tousu/show/id/1352497","宜信贷款的高利")</f>
        <v>宜信贷款的高利</v>
      </c>
      <c r="C20445" s="2" t="s">
        <v>34</v>
      </c>
      <c r="D20445" s="2" t="s">
        <v>10</v>
      </c>
      <c r="E20445" s="2" t="str">
        <f>HYPERLINK("http://ts.21cn.com/tousu/show/id/1352497","http://ts.21cn.com/tousu/show/id/1352497")</f>
        <v>http://ts.21cn.com/tousu/show/id/1352497</v>
      </c>
      <c r="F20445" s="2" t="s">
        <v>11</v>
      </c>
      <c r="G20445" s="2" t="s">
        <v>3953</v>
      </c>
      <c r="H20445" s="2" t="s">
        <v>3954</v>
      </c>
    </row>
    <row r="20446" spans="1:8" ht="25.05" customHeight="1" x14ac:dyDescent="0.25">
      <c r="A20446" s="2" t="s">
        <v>8</v>
      </c>
      <c r="B20446" s="2" t="str">
        <f>HYPERLINK("http://ts.21cn.com/tousu/show/id/1352498","贷上钱高利贷")</f>
        <v>贷上钱高利贷</v>
      </c>
      <c r="C20446" s="2" t="s">
        <v>9</v>
      </c>
      <c r="D20446" s="2" t="s">
        <v>10</v>
      </c>
      <c r="E20446" s="2" t="str">
        <f>HYPERLINK("http://ts.21cn.com/tousu/show/id/1352498","http://ts.21cn.com/tousu/show/id/1352498")</f>
        <v>http://ts.21cn.com/tousu/show/id/1352498</v>
      </c>
      <c r="F20446" s="2" t="s">
        <v>11</v>
      </c>
      <c r="G20446" s="2" t="s">
        <v>3951</v>
      </c>
      <c r="H20446" s="2" t="s">
        <v>3952</v>
      </c>
    </row>
    <row r="20447" spans="1:8" ht="25.05" customHeight="1" x14ac:dyDescent="0.25">
      <c r="A20447" s="2" t="s">
        <v>8</v>
      </c>
      <c r="B20447" s="2" t="str">
        <f>HYPERLINK("http://ts.21cn.com/tousu/show/id/1352499","恒宜贷软件当天不能还款，导致逾期")</f>
        <v>恒宜贷软件当天不能还款，导致逾期</v>
      </c>
      <c r="C20447" s="2" t="s">
        <v>9</v>
      </c>
      <c r="D20447" s="2" t="s">
        <v>10</v>
      </c>
      <c r="E20447" s="2" t="str">
        <f>HYPERLINK("http://ts.21cn.com/tousu/show/id/1352499","http://ts.21cn.com/tousu/show/id/1352499")</f>
        <v>http://ts.21cn.com/tousu/show/id/1352499</v>
      </c>
      <c r="F20447" s="2" t="s">
        <v>11</v>
      </c>
      <c r="G20447" s="2" t="s">
        <v>3949</v>
      </c>
      <c r="H20447" s="2" t="s">
        <v>3950</v>
      </c>
    </row>
    <row r="20448" spans="1:8" ht="25.05" customHeight="1" x14ac:dyDescent="0.25">
      <c r="A20448" s="2" t="s">
        <v>8</v>
      </c>
      <c r="B20448" s="2" t="str">
        <f>HYPERLINK("http://ts.21cn.com/tousu/show/id/1352502","要求360借条降息提前还款")</f>
        <v>要求360借条降息提前还款</v>
      </c>
      <c r="C20448" s="2" t="s">
        <v>9</v>
      </c>
      <c r="D20448" s="2" t="s">
        <v>10</v>
      </c>
      <c r="E20448" s="2" t="str">
        <f>HYPERLINK("http://ts.21cn.com/tousu/show/id/1352502","http://ts.21cn.com/tousu/show/id/1352502")</f>
        <v>http://ts.21cn.com/tousu/show/id/1352502</v>
      </c>
      <c r="F20448" s="2" t="s">
        <v>11</v>
      </c>
      <c r="G20448" s="2" t="s">
        <v>3947</v>
      </c>
      <c r="H20448" s="2" t="s">
        <v>3948</v>
      </c>
    </row>
    <row r="20449" spans="1:8" ht="25.05" customHeight="1" x14ac:dyDescent="0.25">
      <c r="A20449" s="2" t="s">
        <v>8</v>
      </c>
      <c r="B20449" s="2" t="str">
        <f>HYPERLINK("http://ts.21cn.com/tousu/show/id/1352500","砍头息，高利贷")</f>
        <v>砍头息，高利贷</v>
      </c>
      <c r="C20449" s="2" t="s">
        <v>9</v>
      </c>
      <c r="D20449" s="2" t="s">
        <v>10</v>
      </c>
      <c r="E20449" s="2" t="str">
        <f>HYPERLINK("http://ts.21cn.com/tousu/show/id/1352500","http://ts.21cn.com/tousu/show/id/1352500")</f>
        <v>http://ts.21cn.com/tousu/show/id/1352500</v>
      </c>
      <c r="F20449" s="2" t="s">
        <v>11</v>
      </c>
      <c r="G20449" s="2" t="s">
        <v>3945</v>
      </c>
      <c r="H20449" s="2" t="s">
        <v>3946</v>
      </c>
    </row>
    <row r="20450" spans="1:8" ht="25.05" customHeight="1" x14ac:dyDescent="0.25">
      <c r="A20450" s="2" t="s">
        <v>8</v>
      </c>
      <c r="B20450" s="2" t="str">
        <f>HYPERLINK("http://ts.21cn.com/tousu/show/id/1352505","银行骚扰推收")</f>
        <v>银行骚扰推收</v>
      </c>
      <c r="C20450" s="2" t="s">
        <v>9</v>
      </c>
      <c r="D20450" s="2" t="s">
        <v>10</v>
      </c>
      <c r="E20450" s="2" t="str">
        <f>HYPERLINK("http://ts.21cn.com/tousu/show/id/1352505","http://ts.21cn.com/tousu/show/id/1352505")</f>
        <v>http://ts.21cn.com/tousu/show/id/1352505</v>
      </c>
      <c r="F20450" s="2" t="s">
        <v>11</v>
      </c>
      <c r="G20450" s="2" t="s">
        <v>3943</v>
      </c>
      <c r="H20450" s="2" t="s">
        <v>3944</v>
      </c>
    </row>
    <row r="20451" spans="1:8" ht="25.05" customHeight="1" x14ac:dyDescent="0.25">
      <c r="A20451" s="2" t="s">
        <v>8</v>
      </c>
      <c r="B20451" s="2" t="str">
        <f>HYPERLINK("http://ts.21cn.com/tousu/show/id/1352503","高利贷，暴力催收")</f>
        <v>高利贷，暴力催收</v>
      </c>
      <c r="C20451" s="2" t="s">
        <v>9</v>
      </c>
      <c r="D20451" s="2" t="s">
        <v>10</v>
      </c>
      <c r="E20451" s="2" t="str">
        <f>HYPERLINK("http://ts.21cn.com/tousu/show/id/1352503","http://ts.21cn.com/tousu/show/id/1352503")</f>
        <v>http://ts.21cn.com/tousu/show/id/1352503</v>
      </c>
      <c r="F20451" s="2" t="s">
        <v>11</v>
      </c>
      <c r="G20451" s="2" t="s">
        <v>3941</v>
      </c>
      <c r="H20451" s="2" t="s">
        <v>3942</v>
      </c>
    </row>
    <row r="20452" spans="1:8" ht="25.05" customHeight="1" x14ac:dyDescent="0.25">
      <c r="A20452" s="2" t="s">
        <v>8</v>
      </c>
      <c r="B20452" s="2" t="str">
        <f>HYPERLINK("http://ts.21cn.com/tousu/show/id/1352504","洋钱罐借款砍头息，高利贷")</f>
        <v>洋钱罐借款砍头息，高利贷</v>
      </c>
      <c r="C20452" s="2" t="s">
        <v>9</v>
      </c>
      <c r="D20452" s="2" t="s">
        <v>10</v>
      </c>
      <c r="E20452" s="2" t="str">
        <f>HYPERLINK("http://ts.21cn.com/tousu/show/id/1352504","http://ts.21cn.com/tousu/show/id/1352504")</f>
        <v>http://ts.21cn.com/tousu/show/id/1352504</v>
      </c>
      <c r="F20452" s="2" t="s">
        <v>11</v>
      </c>
      <c r="G20452" s="2" t="s">
        <v>3939</v>
      </c>
      <c r="H20452" s="2" t="s">
        <v>3940</v>
      </c>
    </row>
    <row r="20453" spans="1:8" ht="25.05" customHeight="1" x14ac:dyDescent="0.25">
      <c r="A20453" s="2" t="s">
        <v>8</v>
      </c>
      <c r="B20453" s="2" t="str">
        <f>HYPERLINK("http://ts.21cn.com/tousu/show/id/1352506","及贷-深圳万惠恶意催收，发骚扰信息给家人朋友")</f>
        <v>及贷-深圳万惠恶意催收，发骚扰信息给家人朋友</v>
      </c>
      <c r="C20453" s="2" t="s">
        <v>9</v>
      </c>
      <c r="D20453" s="2" t="s">
        <v>10</v>
      </c>
      <c r="E20453" s="2" t="str">
        <f>HYPERLINK("http://ts.21cn.com/tousu/show/id/1352506","http://ts.21cn.com/tousu/show/id/1352506")</f>
        <v>http://ts.21cn.com/tousu/show/id/1352506</v>
      </c>
      <c r="F20453" s="2" t="s">
        <v>11</v>
      </c>
      <c r="G20453" s="2" t="s">
        <v>3937</v>
      </c>
      <c r="H20453" s="2" t="s">
        <v>3938</v>
      </c>
    </row>
    <row r="20454" spans="1:8" ht="25.05" customHeight="1" x14ac:dyDescent="0.25">
      <c r="A20454" s="2" t="s">
        <v>8</v>
      </c>
      <c r="B20454" s="2" t="str">
        <f>HYPERLINK("http://ts.21cn.com/tousu/show/id/1352507","贷上钱以买游戏豆为由收取高额贷款通过费")</f>
        <v>贷上钱以买游戏豆为由收取高额贷款通过费</v>
      </c>
      <c r="C20454" s="2" t="s">
        <v>9</v>
      </c>
      <c r="D20454" s="2" t="s">
        <v>10</v>
      </c>
      <c r="E20454" s="2" t="str">
        <f>HYPERLINK("http://ts.21cn.com/tousu/show/id/1352507","http://ts.21cn.com/tousu/show/id/1352507")</f>
        <v>http://ts.21cn.com/tousu/show/id/1352507</v>
      </c>
      <c r="F20454" s="2" t="s">
        <v>11</v>
      </c>
      <c r="G20454" s="2" t="s">
        <v>3935</v>
      </c>
      <c r="H20454" s="2" t="s">
        <v>3936</v>
      </c>
    </row>
    <row r="20455" spans="1:8" ht="25.05" customHeight="1" x14ac:dyDescent="0.25">
      <c r="A20455" s="2" t="s">
        <v>8</v>
      </c>
      <c r="B20455" s="2" t="str">
        <f>HYPERLINK("http://ts.21cn.com/tousu/show/id/1352508","在铁行火车票APP购买火车票时，无事先说明，强制收取费用")</f>
        <v>在铁行火车票APP购买火车票时，无事先说明，强制收取费用</v>
      </c>
      <c r="C20455" s="2" t="s">
        <v>9</v>
      </c>
      <c r="D20455" s="2" t="s">
        <v>10</v>
      </c>
      <c r="E20455" s="2" t="str">
        <f>HYPERLINK("http://ts.21cn.com/tousu/show/id/1352508","http://ts.21cn.com/tousu/show/id/1352508")</f>
        <v>http://ts.21cn.com/tousu/show/id/1352508</v>
      </c>
      <c r="F20455" s="2" t="s">
        <v>11</v>
      </c>
      <c r="G20455" s="2" t="s">
        <v>3933</v>
      </c>
      <c r="H20455" s="2" t="s">
        <v>3934</v>
      </c>
    </row>
    <row r="20456" spans="1:8" ht="25.05" customHeight="1" x14ac:dyDescent="0.25">
      <c r="A20456" s="2" t="s">
        <v>8</v>
      </c>
      <c r="B20456" s="2" t="str">
        <f>HYPERLINK("http://ts.21cn.com/tousu/show/id/1352509","现金巴士砍头息套路贷还清欠款还不消账")</f>
        <v>现金巴士砍头息套路贷还清欠款还不消账</v>
      </c>
      <c r="C20456" s="2" t="s">
        <v>9</v>
      </c>
      <c r="D20456" s="2" t="s">
        <v>10</v>
      </c>
      <c r="E20456" s="2" t="str">
        <f>HYPERLINK("http://ts.21cn.com/tousu/show/id/1352509","http://ts.21cn.com/tousu/show/id/1352509")</f>
        <v>http://ts.21cn.com/tousu/show/id/1352509</v>
      </c>
      <c r="F20456" s="2" t="s">
        <v>11</v>
      </c>
      <c r="G20456" s="2" t="s">
        <v>3931</v>
      </c>
      <c r="H20456" s="2" t="s">
        <v>3932</v>
      </c>
    </row>
    <row r="20457" spans="1:8" ht="25.05" customHeight="1" x14ac:dyDescent="0.25">
      <c r="A20457" s="2" t="s">
        <v>8</v>
      </c>
      <c r="B20457" s="2" t="str">
        <f>HYPERLINK("http://ts.21cn.com/tousu/show/id/1352510","小赢卡贷疯狂骚扰和胁迫")</f>
        <v>小赢卡贷疯狂骚扰和胁迫</v>
      </c>
      <c r="C20457" s="2" t="s">
        <v>9</v>
      </c>
      <c r="D20457" s="2" t="s">
        <v>10</v>
      </c>
      <c r="E20457" s="2" t="str">
        <f>HYPERLINK("http://ts.21cn.com/tousu/show/id/1352510","http://ts.21cn.com/tousu/show/id/1352510")</f>
        <v>http://ts.21cn.com/tousu/show/id/1352510</v>
      </c>
      <c r="F20457" s="2" t="s">
        <v>11</v>
      </c>
      <c r="G20457" s="2" t="s">
        <v>3929</v>
      </c>
      <c r="H20457" s="2" t="s">
        <v>3930</v>
      </c>
    </row>
    <row r="20458" spans="1:8" ht="25.05" customHeight="1" x14ac:dyDescent="0.25">
      <c r="A20458" s="2" t="s">
        <v>8</v>
      </c>
      <c r="B20458" s="2" t="str">
        <f>HYPERLINK("http://ts.21cn.com/tousu/show/id/1352511","海纳百川暴力催收")</f>
        <v>海纳百川暴力催收</v>
      </c>
      <c r="C20458" s="2" t="s">
        <v>9</v>
      </c>
      <c r="D20458" s="2" t="s">
        <v>10</v>
      </c>
      <c r="E20458" s="2" t="str">
        <f>HYPERLINK("http://ts.21cn.com/tousu/show/id/1352511","http://ts.21cn.com/tousu/show/id/1352511")</f>
        <v>http://ts.21cn.com/tousu/show/id/1352511</v>
      </c>
      <c r="F20458" s="2" t="s">
        <v>11</v>
      </c>
      <c r="G20458" s="2" t="s">
        <v>3927</v>
      </c>
      <c r="H20458" s="2" t="s">
        <v>3928</v>
      </c>
    </row>
    <row r="20459" spans="1:8" ht="25.05" customHeight="1" x14ac:dyDescent="0.25">
      <c r="A20459" s="2" t="s">
        <v>8</v>
      </c>
      <c r="B20459" s="2" t="str">
        <f>HYPERLINK("http://ts.21cn.com/tousu/show/id/1352512","借贷宝纵容放高利贷")</f>
        <v>借贷宝纵容放高利贷</v>
      </c>
      <c r="C20459" s="2" t="s">
        <v>9</v>
      </c>
      <c r="D20459" s="2" t="s">
        <v>10</v>
      </c>
      <c r="E20459" s="2" t="str">
        <f>HYPERLINK("http://ts.21cn.com/tousu/show/id/1352512","http://ts.21cn.com/tousu/show/id/1352512")</f>
        <v>http://ts.21cn.com/tousu/show/id/1352512</v>
      </c>
      <c r="F20459" s="2" t="s">
        <v>11</v>
      </c>
      <c r="G20459" s="2" t="s">
        <v>3925</v>
      </c>
      <c r="H20459" s="2" t="s">
        <v>3926</v>
      </c>
    </row>
    <row r="20460" spans="1:8" ht="25.05" customHeight="1" x14ac:dyDescent="0.25">
      <c r="A20460" s="2" t="s">
        <v>8</v>
      </c>
      <c r="B20460" s="2" t="str">
        <f>HYPERLINK("http://ts.21cn.com/tousu/show/id/1352513","至尊威胁")</f>
        <v>至尊威胁</v>
      </c>
      <c r="C20460" s="2" t="s">
        <v>9</v>
      </c>
      <c r="D20460" s="2" t="s">
        <v>10</v>
      </c>
      <c r="E20460" s="2" t="str">
        <f>HYPERLINK("http://ts.21cn.com/tousu/show/id/1352513","http://ts.21cn.com/tousu/show/id/1352513")</f>
        <v>http://ts.21cn.com/tousu/show/id/1352513</v>
      </c>
      <c r="F20460" s="2" t="s">
        <v>11</v>
      </c>
      <c r="G20460" s="2" t="s">
        <v>3923</v>
      </c>
      <c r="H20460" s="2" t="s">
        <v>3924</v>
      </c>
    </row>
    <row r="20461" spans="1:8" ht="25.05" customHeight="1" x14ac:dyDescent="0.25">
      <c r="A20461" s="2" t="s">
        <v>8</v>
      </c>
      <c r="B20461" s="2" t="str">
        <f>HYPERLINK("http://ts.21cn.com/tousu/show/id/1352515","高利贷，非法骚扰")</f>
        <v>高利贷，非法骚扰</v>
      </c>
      <c r="C20461" s="2" t="s">
        <v>9</v>
      </c>
      <c r="D20461" s="2" t="s">
        <v>10</v>
      </c>
      <c r="E20461" s="2" t="str">
        <f>HYPERLINK("http://ts.21cn.com/tousu/show/id/1352515","http://ts.21cn.com/tousu/show/id/1352515")</f>
        <v>http://ts.21cn.com/tousu/show/id/1352515</v>
      </c>
      <c r="F20461" s="2" t="s">
        <v>11</v>
      </c>
      <c r="G20461" s="2" t="s">
        <v>3920</v>
      </c>
      <c r="H20461" s="2" t="s">
        <v>3921</v>
      </c>
    </row>
    <row r="20462" spans="1:8" ht="25.05" customHeight="1" x14ac:dyDescent="0.25">
      <c r="A20462" s="2" t="s">
        <v>8</v>
      </c>
      <c r="B20462" s="2" t="str">
        <f>HYPERLINK("http://ts.21cn.com/tousu/show/id/1352514","胖胖有米高利贷套路贷")</f>
        <v>胖胖有米高利贷套路贷</v>
      </c>
      <c r="C20462" s="2" t="s">
        <v>9</v>
      </c>
      <c r="D20462" s="2" t="s">
        <v>10</v>
      </c>
      <c r="E20462" s="2" t="str">
        <f>HYPERLINK("http://ts.21cn.com/tousu/show/id/1352514","http://ts.21cn.com/tousu/show/id/1352514")</f>
        <v>http://ts.21cn.com/tousu/show/id/1352514</v>
      </c>
      <c r="F20462" s="2" t="s">
        <v>11</v>
      </c>
      <c r="G20462" s="2" t="s">
        <v>3920</v>
      </c>
      <c r="H20462" s="2" t="s">
        <v>3922</v>
      </c>
    </row>
    <row r="20463" spans="1:8" ht="25.05" customHeight="1" x14ac:dyDescent="0.25">
      <c r="A20463" s="2" t="s">
        <v>8</v>
      </c>
      <c r="B20463" s="2" t="str">
        <f>HYPERLINK("http://ts.21cn.com/tousu/show/id/1352516","上海造艺旗下百事普惠乱扣费")</f>
        <v>上海造艺旗下百事普惠乱扣费</v>
      </c>
      <c r="C20463" s="2" t="s">
        <v>9</v>
      </c>
      <c r="D20463" s="2" t="s">
        <v>10</v>
      </c>
      <c r="E20463" s="2" t="str">
        <f>HYPERLINK("http://ts.21cn.com/tousu/show/id/1352516","http://ts.21cn.com/tousu/show/id/1352516")</f>
        <v>http://ts.21cn.com/tousu/show/id/1352516</v>
      </c>
      <c r="F20463" s="2" t="s">
        <v>11</v>
      </c>
      <c r="G20463" s="2" t="s">
        <v>3918</v>
      </c>
      <c r="H20463" s="2" t="s">
        <v>3919</v>
      </c>
    </row>
    <row r="20464" spans="1:8" ht="25.05" customHeight="1" x14ac:dyDescent="0.25">
      <c r="A20464" s="2" t="s">
        <v>8</v>
      </c>
      <c r="B20464" s="2" t="str">
        <f>HYPERLINK("http://ts.21cn.com/tousu/show/id/1352517","商家未按约定时间发货，投诉后淘宝小二误判，不予支持")</f>
        <v>商家未按约定时间发货，投诉后淘宝小二误判，不予支持</v>
      </c>
      <c r="C20464" s="2" t="s">
        <v>9</v>
      </c>
      <c r="D20464" s="2" t="s">
        <v>10</v>
      </c>
      <c r="E20464" s="2" t="str">
        <f>HYPERLINK("http://ts.21cn.com/tousu/show/id/1352517","http://ts.21cn.com/tousu/show/id/1352517")</f>
        <v>http://ts.21cn.com/tousu/show/id/1352517</v>
      </c>
      <c r="F20464" s="2" t="s">
        <v>11</v>
      </c>
      <c r="G20464" s="2" t="s">
        <v>3916</v>
      </c>
      <c r="H20464" s="2" t="s">
        <v>3917</v>
      </c>
    </row>
    <row r="20465" spans="1:8" ht="25.05" customHeight="1" x14ac:dyDescent="0.25">
      <c r="A20465" s="2" t="s">
        <v>8</v>
      </c>
      <c r="B20465" s="2" t="str">
        <f>HYPERLINK("http://ts.21cn.com/tousu/show/id/1352518","退钱不给退.app充值金额钱没有退钱窗口.")</f>
        <v>退钱不给退.app充值金额钱没有退钱窗口.</v>
      </c>
      <c r="C20465" s="2" t="s">
        <v>9</v>
      </c>
      <c r="D20465" s="2" t="s">
        <v>10</v>
      </c>
      <c r="E20465" s="2" t="str">
        <f>HYPERLINK("http://ts.21cn.com/tousu/show/id/1352518","http://ts.21cn.com/tousu/show/id/1352518")</f>
        <v>http://ts.21cn.com/tousu/show/id/1352518</v>
      </c>
      <c r="F20465" s="2" t="s">
        <v>11</v>
      </c>
      <c r="G20465" s="2" t="s">
        <v>3914</v>
      </c>
      <c r="H20465" s="2" t="s">
        <v>3915</v>
      </c>
    </row>
    <row r="20466" spans="1:8" ht="25.05" customHeight="1" x14ac:dyDescent="0.25">
      <c r="A20466" s="2" t="s">
        <v>8</v>
      </c>
      <c r="B20466" s="2" t="str">
        <f>HYPERLINK("http://ts.21cn.com/tousu/show/id/1352521","云闪付为赌博提供充值通道")</f>
        <v>云闪付为赌博提供充值通道</v>
      </c>
      <c r="C20466" s="2" t="s">
        <v>9</v>
      </c>
      <c r="D20466" s="2" t="s">
        <v>10</v>
      </c>
      <c r="E20466" s="2" t="str">
        <f>HYPERLINK("http://ts.21cn.com/tousu/show/id/1352521","http://ts.21cn.com/tousu/show/id/1352521")</f>
        <v>http://ts.21cn.com/tousu/show/id/1352521</v>
      </c>
      <c r="F20466" s="2" t="s">
        <v>11</v>
      </c>
      <c r="G20466" s="2" t="s">
        <v>3912</v>
      </c>
      <c r="H20466" s="2" t="s">
        <v>3913</v>
      </c>
    </row>
    <row r="20467" spans="1:8" ht="25.05" customHeight="1" x14ac:dyDescent="0.25">
      <c r="A20467" s="2" t="s">
        <v>8</v>
      </c>
      <c r="B20467" s="2" t="str">
        <f>HYPERLINK("http://ts.21cn.com/tousu/show/id/1352523","快闪卡贷套路贷")</f>
        <v>快闪卡贷套路贷</v>
      </c>
      <c r="C20467" s="2" t="s">
        <v>9</v>
      </c>
      <c r="D20467" s="2" t="s">
        <v>10</v>
      </c>
      <c r="E20467" s="2" t="str">
        <f>HYPERLINK("http://ts.21cn.com/tousu/show/id/1352523","http://ts.21cn.com/tousu/show/id/1352523")</f>
        <v>http://ts.21cn.com/tousu/show/id/1352523</v>
      </c>
      <c r="F20467" s="2" t="s">
        <v>11</v>
      </c>
      <c r="G20467" s="2" t="s">
        <v>3910</v>
      </c>
      <c r="H20467" s="2" t="s">
        <v>3911</v>
      </c>
    </row>
    <row r="20468" spans="1:8" ht="25.05" customHeight="1" x14ac:dyDescent="0.25">
      <c r="A20468" s="2" t="s">
        <v>8</v>
      </c>
      <c r="B20468" s="2" t="str">
        <f>HYPERLINK("http://ts.21cn.com/tousu/show/id/1352520","钱站高利贷阴阳合同")</f>
        <v>钱站高利贷阴阳合同</v>
      </c>
      <c r="C20468" s="2" t="s">
        <v>9</v>
      </c>
      <c r="D20468" s="2" t="s">
        <v>10</v>
      </c>
      <c r="E20468" s="2" t="str">
        <f>HYPERLINK("http://ts.21cn.com/tousu/show/id/1352520","http://ts.21cn.com/tousu/show/id/1352520")</f>
        <v>http://ts.21cn.com/tousu/show/id/1352520</v>
      </c>
      <c r="F20468" s="2" t="s">
        <v>11</v>
      </c>
      <c r="G20468" s="2" t="s">
        <v>3908</v>
      </c>
      <c r="H20468" s="2" t="s">
        <v>3909</v>
      </c>
    </row>
    <row r="20469" spans="1:8" ht="25.05" customHeight="1" x14ac:dyDescent="0.25">
      <c r="A20469" s="2" t="s">
        <v>8</v>
      </c>
      <c r="B20469" s="2" t="str">
        <f>HYPERLINK("http://ts.21cn.com/tousu/show/id/1352522","萍乡市云智网络技术有限公司开发的贷上钱，高利贷、非法盗取通讯录资料")</f>
        <v>萍乡市云智网络技术有限公司开发的贷上钱，高利贷、非法盗取通讯录资料</v>
      </c>
      <c r="C20469" s="2" t="s">
        <v>9</v>
      </c>
      <c r="D20469" s="2" t="s">
        <v>10</v>
      </c>
      <c r="E20469" s="2" t="str">
        <f>HYPERLINK("http://ts.21cn.com/tousu/show/id/1352522","http://ts.21cn.com/tousu/show/id/1352522")</f>
        <v>http://ts.21cn.com/tousu/show/id/1352522</v>
      </c>
      <c r="F20469" s="2" t="s">
        <v>11</v>
      </c>
      <c r="G20469" s="2" t="s">
        <v>3906</v>
      </c>
      <c r="H20469" s="2" t="s">
        <v>3907</v>
      </c>
    </row>
    <row r="20470" spans="1:8" ht="25.05" customHeight="1" x14ac:dyDescent="0.25">
      <c r="A20470" s="2" t="s">
        <v>8</v>
      </c>
      <c r="B20470" s="2" t="str">
        <f>HYPERLINK("http://ts.21cn.com/tousu/show/id/1352526","王者钱包APP5天1100多利息")</f>
        <v>王者钱包APP5天1100多利息</v>
      </c>
      <c r="C20470" s="2" t="s">
        <v>9</v>
      </c>
      <c r="D20470" s="2" t="s">
        <v>10</v>
      </c>
      <c r="E20470" s="2" t="str">
        <f>HYPERLINK("http://ts.21cn.com/tousu/show/id/1352526","http://ts.21cn.com/tousu/show/id/1352526")</f>
        <v>http://ts.21cn.com/tousu/show/id/1352526</v>
      </c>
      <c r="F20470" s="2" t="s">
        <v>11</v>
      </c>
      <c r="G20470" s="2" t="s">
        <v>3904</v>
      </c>
      <c r="H20470" s="2" t="s">
        <v>3905</v>
      </c>
    </row>
    <row r="20471" spans="1:8" ht="25.05" customHeight="1" x14ac:dyDescent="0.25">
      <c r="A20471" s="2" t="s">
        <v>8</v>
      </c>
      <c r="B20471" s="2" t="str">
        <f>HYPERLINK("http://ts.21cn.com/tousu/show/id/1352525","金宣公寓不给解除贷款平台")</f>
        <v>金宣公寓不给解除贷款平台</v>
      </c>
      <c r="C20471" s="2" t="s">
        <v>9</v>
      </c>
      <c r="D20471" s="2" t="s">
        <v>10</v>
      </c>
      <c r="E20471" s="2" t="str">
        <f>HYPERLINK("http://ts.21cn.com/tousu/show/id/1352525","http://ts.21cn.com/tousu/show/id/1352525")</f>
        <v>http://ts.21cn.com/tousu/show/id/1352525</v>
      </c>
      <c r="F20471" s="2" t="s">
        <v>11</v>
      </c>
      <c r="G20471" s="2" t="s">
        <v>3902</v>
      </c>
      <c r="H20471" s="2" t="s">
        <v>3903</v>
      </c>
    </row>
    <row r="20472" spans="1:8" ht="25.05" customHeight="1" x14ac:dyDescent="0.25">
      <c r="A20472" s="2" t="s">
        <v>8</v>
      </c>
      <c r="B20472" s="2" t="str">
        <f>HYPERLINK("http://ts.21cn.com/tousu/show/id/1352527","去哪儿网酒店不可取消平台称不能取消")</f>
        <v>去哪儿网酒店不可取消平台称不能取消</v>
      </c>
      <c r="C20472" s="2" t="s">
        <v>9</v>
      </c>
      <c r="D20472" s="2" t="s">
        <v>10</v>
      </c>
      <c r="E20472" s="2" t="str">
        <f>HYPERLINK("http://ts.21cn.com/tousu/show/id/1352527","http://ts.21cn.com/tousu/show/id/1352527")</f>
        <v>http://ts.21cn.com/tousu/show/id/1352527</v>
      </c>
      <c r="F20472" s="2" t="s">
        <v>11</v>
      </c>
      <c r="G20472" s="2" t="s">
        <v>3900</v>
      </c>
      <c r="H20472" s="2" t="s">
        <v>3901</v>
      </c>
    </row>
    <row r="20473" spans="1:8" ht="25.05" customHeight="1" x14ac:dyDescent="0.25">
      <c r="A20473" s="2" t="s">
        <v>8</v>
      </c>
      <c r="B20473" s="2" t="str">
        <f>HYPERLINK("http://ts.21cn.com/tousu/show/id/1352528","微粒贷私自冻结欠款人微信号")</f>
        <v>微粒贷私自冻结欠款人微信号</v>
      </c>
      <c r="C20473" s="2" t="s">
        <v>9</v>
      </c>
      <c r="D20473" s="2" t="s">
        <v>10</v>
      </c>
      <c r="E20473" s="2" t="str">
        <f>HYPERLINK("http://ts.21cn.com/tousu/show/id/1352528","http://ts.21cn.com/tousu/show/id/1352528")</f>
        <v>http://ts.21cn.com/tousu/show/id/1352528</v>
      </c>
      <c r="F20473" s="2" t="s">
        <v>11</v>
      </c>
      <c r="G20473" s="2" t="s">
        <v>3898</v>
      </c>
      <c r="H20473" s="2" t="s">
        <v>3899</v>
      </c>
    </row>
    <row r="20474" spans="1:8" ht="25.05" customHeight="1" x14ac:dyDescent="0.25">
      <c r="A20474" s="2" t="s">
        <v>8</v>
      </c>
      <c r="B20474" s="2" t="str">
        <f>HYPERLINK("http://ts.21cn.com/tousu/show/id/1352529","拍拍贷黑社会上门")</f>
        <v>拍拍贷黑社会上门</v>
      </c>
      <c r="C20474" s="2" t="s">
        <v>9</v>
      </c>
      <c r="D20474" s="2" t="s">
        <v>10</v>
      </c>
      <c r="E20474" s="2" t="str">
        <f>HYPERLINK("http://ts.21cn.com/tousu/show/id/1352529","http://ts.21cn.com/tousu/show/id/1352529")</f>
        <v>http://ts.21cn.com/tousu/show/id/1352529</v>
      </c>
      <c r="F20474" s="2" t="s">
        <v>11</v>
      </c>
      <c r="G20474" s="2" t="s">
        <v>3896</v>
      </c>
      <c r="H20474" s="2" t="s">
        <v>3897</v>
      </c>
    </row>
    <row r="20475" spans="1:8" ht="25.05" customHeight="1" x14ac:dyDescent="0.25">
      <c r="A20475" s="2" t="s">
        <v>8</v>
      </c>
      <c r="B20475" s="2" t="str">
        <f>HYPERLINK("http://ts.21cn.com/tousu/show/id/1352530","你我贷")</f>
        <v>你我贷</v>
      </c>
      <c r="C20475" s="2" t="s">
        <v>9</v>
      </c>
      <c r="D20475" s="2" t="s">
        <v>10</v>
      </c>
      <c r="E20475" s="2" t="str">
        <f>HYPERLINK("http://ts.21cn.com/tousu/show/id/1352530","http://ts.21cn.com/tousu/show/id/1352530")</f>
        <v>http://ts.21cn.com/tousu/show/id/1352530</v>
      </c>
      <c r="F20475" s="2" t="s">
        <v>11</v>
      </c>
      <c r="G20475" s="2" t="s">
        <v>3894</v>
      </c>
      <c r="H20475" s="2" t="s">
        <v>3895</v>
      </c>
    </row>
    <row r="20476" spans="1:8" ht="25.05" customHeight="1" x14ac:dyDescent="0.25">
      <c r="A20476" s="2" t="s">
        <v>8</v>
      </c>
      <c r="B20476" s="2" t="str">
        <f>HYPERLINK("http://ts.21cn.com/tousu/show/id/1352531","拍拍贷欠160利息费高达每日10元以上，完全不符合国家规定")</f>
        <v>拍拍贷欠160利息费高达每日10元以上，完全不符合国家规定</v>
      </c>
      <c r="C20476" s="2" t="s">
        <v>34</v>
      </c>
      <c r="D20476" s="2" t="s">
        <v>10</v>
      </c>
      <c r="E20476" s="2" t="str">
        <f>HYPERLINK("http://ts.21cn.com/tousu/show/id/1352531","http://ts.21cn.com/tousu/show/id/1352531")</f>
        <v>http://ts.21cn.com/tousu/show/id/1352531</v>
      </c>
      <c r="F20476" s="2" t="s">
        <v>11</v>
      </c>
      <c r="G20476" s="2" t="s">
        <v>3892</v>
      </c>
      <c r="H20476" s="2" t="s">
        <v>3893</v>
      </c>
    </row>
    <row r="20477" spans="1:8" ht="25.05" customHeight="1" x14ac:dyDescent="0.25">
      <c r="A20477" s="2" t="s">
        <v>8</v>
      </c>
      <c r="B20477" s="2" t="str">
        <f>HYPERLINK("http://ts.21cn.com/tousu/show/id/1352533","微信零钱被冻结无法提现")</f>
        <v>微信零钱被冻结无法提现</v>
      </c>
      <c r="C20477" s="2" t="s">
        <v>9</v>
      </c>
      <c r="D20477" s="2" t="s">
        <v>10</v>
      </c>
      <c r="E20477" s="2" t="str">
        <f>HYPERLINK("http://ts.21cn.com/tousu/show/id/1352533","http://ts.21cn.com/tousu/show/id/1352533")</f>
        <v>http://ts.21cn.com/tousu/show/id/1352533</v>
      </c>
      <c r="F20477" s="2" t="s">
        <v>11</v>
      </c>
      <c r="G20477" s="2" t="s">
        <v>3890</v>
      </c>
      <c r="H20477" s="2" t="s">
        <v>3891</v>
      </c>
    </row>
    <row r="20478" spans="1:8" ht="25.05" customHeight="1" x14ac:dyDescent="0.25">
      <c r="A20478" s="2" t="s">
        <v>8</v>
      </c>
      <c r="B20478" s="2" t="str">
        <f>HYPERLINK("http://ts.21cn.com/tousu/show/id/1352532","协商还款别威胁")</f>
        <v>协商还款别威胁</v>
      </c>
      <c r="C20478" s="2" t="s">
        <v>9</v>
      </c>
      <c r="D20478" s="2" t="s">
        <v>10</v>
      </c>
      <c r="E20478" s="2" t="str">
        <f>HYPERLINK("http://ts.21cn.com/tousu/show/id/1352532","http://ts.21cn.com/tousu/show/id/1352532")</f>
        <v>http://ts.21cn.com/tousu/show/id/1352532</v>
      </c>
      <c r="F20478" s="2" t="s">
        <v>11</v>
      </c>
      <c r="G20478" s="2" t="s">
        <v>3888</v>
      </c>
      <c r="H20478" s="2" t="s">
        <v>3889</v>
      </c>
    </row>
    <row r="20479" spans="1:8" ht="25.05" customHeight="1" x14ac:dyDescent="0.25">
      <c r="A20479" s="2" t="s">
        <v>8</v>
      </c>
      <c r="B20479" s="2" t="str">
        <f>HYPERLINK("http://ts.21cn.com/tousu/show/id/1352535","不知道怎么还款，APP找不到还款的地方")</f>
        <v>不知道怎么还款，APP找不到还款的地方</v>
      </c>
      <c r="C20479" s="2" t="s">
        <v>9</v>
      </c>
      <c r="D20479" s="2" t="s">
        <v>10</v>
      </c>
      <c r="E20479" s="2" t="str">
        <f>HYPERLINK("http://ts.21cn.com/tousu/show/id/1352535","http://ts.21cn.com/tousu/show/id/1352535")</f>
        <v>http://ts.21cn.com/tousu/show/id/1352535</v>
      </c>
      <c r="F20479" s="2" t="s">
        <v>11</v>
      </c>
      <c r="G20479" s="2" t="s">
        <v>3886</v>
      </c>
      <c r="H20479" s="2" t="s">
        <v>3887</v>
      </c>
    </row>
    <row r="20480" spans="1:8" ht="25.05" customHeight="1" x14ac:dyDescent="0.25">
      <c r="A20480" s="2" t="s">
        <v>8</v>
      </c>
      <c r="B20480" s="2" t="str">
        <f>HYPERLINK("http://ts.21cn.com/tousu/show/id/1352538","骚扰")</f>
        <v>骚扰</v>
      </c>
      <c r="C20480" s="2" t="s">
        <v>9</v>
      </c>
      <c r="D20480" s="2" t="s">
        <v>10</v>
      </c>
      <c r="E20480" s="2" t="str">
        <f>HYPERLINK("http://ts.21cn.com/tousu/show/id/1352538","http://ts.21cn.com/tousu/show/id/1352538")</f>
        <v>http://ts.21cn.com/tousu/show/id/1352538</v>
      </c>
      <c r="F20480" s="2" t="s">
        <v>11</v>
      </c>
      <c r="G20480" s="2" t="s">
        <v>3884</v>
      </c>
      <c r="H20480" s="2" t="s">
        <v>3885</v>
      </c>
    </row>
    <row r="20481" spans="1:8" ht="25.05" customHeight="1" x14ac:dyDescent="0.25">
      <c r="A20481" s="2" t="s">
        <v>8</v>
      </c>
      <c r="B20481" s="2" t="str">
        <f>HYPERLINK("http://ts.21cn.com/tousu/show/id/1352539","达飞云贷高利贷，套路贷，阴阳合同")</f>
        <v>达飞云贷高利贷，套路贷，阴阳合同</v>
      </c>
      <c r="C20481" s="2" t="s">
        <v>9</v>
      </c>
      <c r="D20481" s="2" t="s">
        <v>10</v>
      </c>
      <c r="E20481" s="2" t="str">
        <f>HYPERLINK("http://ts.21cn.com/tousu/show/id/1352539","http://ts.21cn.com/tousu/show/id/1352539")</f>
        <v>http://ts.21cn.com/tousu/show/id/1352539</v>
      </c>
      <c r="F20481" s="2" t="s">
        <v>11</v>
      </c>
      <c r="G20481" s="2" t="s">
        <v>3882</v>
      </c>
      <c r="H20481" s="2" t="s">
        <v>3883</v>
      </c>
    </row>
    <row r="20482" spans="1:8" ht="25.05" customHeight="1" x14ac:dyDescent="0.25">
      <c r="A20482" s="2" t="s">
        <v>8</v>
      </c>
      <c r="B20482" s="2" t="str">
        <f>HYPERLINK("http://ts.21cn.com/tousu/show/id/1352537","利息高，并且威胁要上门催收")</f>
        <v>利息高，并且威胁要上门催收</v>
      </c>
      <c r="C20482" s="2" t="s">
        <v>9</v>
      </c>
      <c r="D20482" s="2" t="s">
        <v>10</v>
      </c>
      <c r="E20482" s="2" t="str">
        <f>HYPERLINK("http://ts.21cn.com/tousu/show/id/1352537","http://ts.21cn.com/tousu/show/id/1352537")</f>
        <v>http://ts.21cn.com/tousu/show/id/1352537</v>
      </c>
      <c r="F20482" s="2" t="s">
        <v>11</v>
      </c>
      <c r="G20482" s="2" t="s">
        <v>3880</v>
      </c>
      <c r="H20482" s="2" t="s">
        <v>3881</v>
      </c>
    </row>
    <row r="20483" spans="1:8" ht="25.05" customHeight="1" x14ac:dyDescent="0.25">
      <c r="A20483" s="2" t="s">
        <v>8</v>
      </c>
      <c r="B20483" s="2" t="str">
        <f>HYPERLINK("http://ts.21cn.com/tousu/show/id/1352540","中信信用卡暴力催收")</f>
        <v>中信信用卡暴力催收</v>
      </c>
      <c r="C20483" s="2" t="s">
        <v>9</v>
      </c>
      <c r="D20483" s="2" t="s">
        <v>10</v>
      </c>
      <c r="E20483" s="2" t="str">
        <f>HYPERLINK("http://ts.21cn.com/tousu/show/id/1352540","http://ts.21cn.com/tousu/show/id/1352540")</f>
        <v>http://ts.21cn.com/tousu/show/id/1352540</v>
      </c>
      <c r="F20483" s="2" t="s">
        <v>11</v>
      </c>
      <c r="G20483" s="2" t="s">
        <v>3878</v>
      </c>
      <c r="H20483" s="2" t="s">
        <v>3879</v>
      </c>
    </row>
    <row r="20484" spans="1:8" ht="25.05" customHeight="1" x14ac:dyDescent="0.25">
      <c r="A20484" s="2" t="s">
        <v>8</v>
      </c>
      <c r="B20484" s="2" t="str">
        <f>HYPERLINK("http://ts.21cn.com/tousu/show/id/1352541","网贷平台小花钱包暴力催收，高额利息，阴阳合同")</f>
        <v>网贷平台小花钱包暴力催收，高额利息，阴阳合同</v>
      </c>
      <c r="C20484" s="2" t="s">
        <v>9</v>
      </c>
      <c r="D20484" s="2" t="s">
        <v>10</v>
      </c>
      <c r="E20484" s="2" t="str">
        <f>HYPERLINK("http://ts.21cn.com/tousu/show/id/1352541","http://ts.21cn.com/tousu/show/id/1352541")</f>
        <v>http://ts.21cn.com/tousu/show/id/1352541</v>
      </c>
      <c r="F20484" s="2" t="s">
        <v>11</v>
      </c>
      <c r="G20484" s="2" t="s">
        <v>3876</v>
      </c>
      <c r="H20484" s="2" t="s">
        <v>3877</v>
      </c>
    </row>
    <row r="20485" spans="1:8" ht="25.05" customHeight="1" x14ac:dyDescent="0.25">
      <c r="A20485" s="2" t="s">
        <v>8</v>
      </c>
      <c r="B20485" s="2" t="str">
        <f>HYPERLINK("http://ts.21cn.com/tousu/show/id/1352542","好借易卡管家泄露个人隐私")</f>
        <v>好借易卡管家泄露个人隐私</v>
      </c>
      <c r="C20485" s="2" t="s">
        <v>9</v>
      </c>
      <c r="D20485" s="2" t="s">
        <v>10</v>
      </c>
      <c r="E20485" s="2" t="str">
        <f>HYPERLINK("http://ts.21cn.com/tousu/show/id/1352542","http://ts.21cn.com/tousu/show/id/1352542")</f>
        <v>http://ts.21cn.com/tousu/show/id/1352542</v>
      </c>
      <c r="F20485" s="2" t="s">
        <v>11</v>
      </c>
      <c r="G20485" s="2" t="s">
        <v>3874</v>
      </c>
      <c r="H20485" s="2" t="s">
        <v>3875</v>
      </c>
    </row>
    <row r="20486" spans="1:8" ht="25.05" customHeight="1" x14ac:dyDescent="0.25">
      <c r="A20486" s="2" t="s">
        <v>8</v>
      </c>
      <c r="B20486" s="2" t="str">
        <f>HYPERLINK("http://ts.21cn.com/tousu/show/id/1352543","凡普金科集团有限公司旗下凡普信合同金额远高于实际借款金额，合同有砍头息，手续费")</f>
        <v>凡普金科集团有限公司旗下凡普信合同金额远高于实际借款金额，合同有砍头息，手续费</v>
      </c>
      <c r="C20486" s="2" t="s">
        <v>9</v>
      </c>
      <c r="D20486" s="2" t="s">
        <v>10</v>
      </c>
      <c r="E20486" s="2" t="str">
        <f>HYPERLINK("http://ts.21cn.com/tousu/show/id/1352543","http://ts.21cn.com/tousu/show/id/1352543")</f>
        <v>http://ts.21cn.com/tousu/show/id/1352543</v>
      </c>
      <c r="F20486" s="2" t="s">
        <v>11</v>
      </c>
      <c r="G20486" s="2" t="s">
        <v>3872</v>
      </c>
      <c r="H20486" s="2" t="s">
        <v>3873</v>
      </c>
    </row>
    <row r="20487" spans="1:8" ht="25.05" customHeight="1" x14ac:dyDescent="0.25">
      <c r="A20487" s="2" t="s">
        <v>8</v>
      </c>
      <c r="B20487" s="2" t="str">
        <f>HYPERLINK("http://ts.21cn.com/tousu/show/id/1352544","爆通讯录，恐吓")</f>
        <v>爆通讯录，恐吓</v>
      </c>
      <c r="C20487" s="2" t="s">
        <v>9</v>
      </c>
      <c r="D20487" s="2" t="s">
        <v>10</v>
      </c>
      <c r="E20487" s="2" t="str">
        <f>HYPERLINK("http://ts.21cn.com/tousu/show/id/1352544","http://ts.21cn.com/tousu/show/id/1352544")</f>
        <v>http://ts.21cn.com/tousu/show/id/1352544</v>
      </c>
      <c r="F20487" s="2" t="s">
        <v>11</v>
      </c>
      <c r="G20487" s="2" t="s">
        <v>3870</v>
      </c>
      <c r="H20487" s="2" t="s">
        <v>3871</v>
      </c>
    </row>
    <row r="20488" spans="1:8" ht="25.05" customHeight="1" x14ac:dyDescent="0.25">
      <c r="A20488" s="2" t="s">
        <v>8</v>
      </c>
      <c r="B20488" s="2" t="str">
        <f>HYPERLINK("http://ts.21cn.com/tousu/show/id/1352545","微豆荚高利贷")</f>
        <v>微豆荚高利贷</v>
      </c>
      <c r="C20488" s="2" t="s">
        <v>9</v>
      </c>
      <c r="D20488" s="2" t="s">
        <v>10</v>
      </c>
      <c r="E20488" s="2" t="str">
        <f>HYPERLINK("http://ts.21cn.com/tousu/show/id/1352545","http://ts.21cn.com/tousu/show/id/1352545")</f>
        <v>http://ts.21cn.com/tousu/show/id/1352545</v>
      </c>
      <c r="F20488" s="2" t="s">
        <v>11</v>
      </c>
      <c r="G20488" s="2" t="s">
        <v>3868</v>
      </c>
      <c r="H20488" s="2" t="s">
        <v>3869</v>
      </c>
    </row>
    <row r="20489" spans="1:8" ht="25.05" customHeight="1" x14ac:dyDescent="0.25">
      <c r="A20489" s="2" t="s">
        <v>8</v>
      </c>
      <c r="B20489" s="2" t="str">
        <f>HYPERLINK("http://ts.21cn.com/tousu/show/id/1352546","和信贷长春分公司")</f>
        <v>和信贷长春分公司</v>
      </c>
      <c r="C20489" s="2" t="s">
        <v>9</v>
      </c>
      <c r="D20489" s="2" t="s">
        <v>10</v>
      </c>
      <c r="E20489" s="2" t="str">
        <f>HYPERLINK("http://ts.21cn.com/tousu/show/id/1352546","http://ts.21cn.com/tousu/show/id/1352546")</f>
        <v>http://ts.21cn.com/tousu/show/id/1352546</v>
      </c>
      <c r="F20489" s="2" t="s">
        <v>11</v>
      </c>
      <c r="G20489" s="2" t="s">
        <v>3866</v>
      </c>
      <c r="H20489" s="2" t="s">
        <v>3867</v>
      </c>
    </row>
    <row r="20490" spans="1:8" ht="25.05" customHeight="1" x14ac:dyDescent="0.25">
      <c r="A20490" s="2" t="s">
        <v>8</v>
      </c>
      <c r="B20490" s="2" t="str">
        <f>HYPERLINK("http://ts.21cn.com/tousu/show/id/1352547","百度度小满金融，威胁恐吓，侵犯个人隐私")</f>
        <v>百度度小满金融，威胁恐吓，侵犯个人隐私</v>
      </c>
      <c r="C20490" s="2" t="s">
        <v>9</v>
      </c>
      <c r="D20490" s="2" t="s">
        <v>10</v>
      </c>
      <c r="E20490" s="2" t="str">
        <f>HYPERLINK("http://ts.21cn.com/tousu/show/id/1352547","http://ts.21cn.com/tousu/show/id/1352547")</f>
        <v>http://ts.21cn.com/tousu/show/id/1352547</v>
      </c>
      <c r="F20490" s="2" t="s">
        <v>11</v>
      </c>
      <c r="G20490" s="2" t="s">
        <v>3864</v>
      </c>
      <c r="H20490" s="2" t="s">
        <v>3865</v>
      </c>
    </row>
    <row r="20491" spans="1:8" ht="25.05" customHeight="1" x14ac:dyDescent="0.25">
      <c r="A20491" s="2" t="s">
        <v>8</v>
      </c>
      <c r="B20491" s="2" t="str">
        <f>HYPERLINK("http://ts.21cn.com/tousu/show/id/1352524","咖回收南京启仕陆网络科技有限公司虚假诱导欺诈客户强制性压价回收，故不支付尾款")</f>
        <v>咖回收南京启仕陆网络科技有限公司虚假诱导欺诈客户强制性压价回收，故不支付尾款</v>
      </c>
      <c r="C20491" s="2" t="s">
        <v>9</v>
      </c>
      <c r="D20491" s="2" t="s">
        <v>10</v>
      </c>
      <c r="E20491" s="2" t="str">
        <f>HYPERLINK("http://ts.21cn.com/tousu/show/id/1352524","http://ts.21cn.com/tousu/show/id/1352524")</f>
        <v>http://ts.21cn.com/tousu/show/id/1352524</v>
      </c>
      <c r="F20491" s="2" t="s">
        <v>11</v>
      </c>
      <c r="G20491" s="2" t="s">
        <v>3862</v>
      </c>
      <c r="H20491" s="2" t="s">
        <v>3863</v>
      </c>
    </row>
    <row r="20492" spans="1:8" ht="25.05" customHeight="1" x14ac:dyDescent="0.25">
      <c r="A20492" s="2" t="s">
        <v>8</v>
      </c>
      <c r="B20492" s="2" t="str">
        <f>HYPERLINK("http://ts.21cn.com/tousu/show/id/1352548","U钱包恐吓催收")</f>
        <v>U钱包恐吓催收</v>
      </c>
      <c r="C20492" s="2" t="s">
        <v>9</v>
      </c>
      <c r="D20492" s="2" t="s">
        <v>10</v>
      </c>
      <c r="E20492" s="2" t="str">
        <f>HYPERLINK("http://ts.21cn.com/tousu/show/id/1352548","http://ts.21cn.com/tousu/show/id/1352548")</f>
        <v>http://ts.21cn.com/tousu/show/id/1352548</v>
      </c>
      <c r="F20492" s="2" t="s">
        <v>11</v>
      </c>
      <c r="G20492" s="2" t="s">
        <v>3860</v>
      </c>
      <c r="H20492" s="2" t="s">
        <v>3861</v>
      </c>
    </row>
    <row r="20493" spans="1:8" ht="25.05" customHeight="1" x14ac:dyDescent="0.25">
      <c r="A20493" s="2" t="s">
        <v>8</v>
      </c>
      <c r="B20493" s="2" t="str">
        <f>HYPERLINK("http://ts.21cn.com/tousu/show/id/1352458","暴力催收，威胁，恐吓")</f>
        <v>暴力催收，威胁，恐吓</v>
      </c>
      <c r="C20493" s="2" t="s">
        <v>9</v>
      </c>
      <c r="D20493" s="2" t="s">
        <v>10</v>
      </c>
      <c r="E20493" s="2" t="str">
        <f>HYPERLINK("http://ts.21cn.com/tousu/show/id/1352458","http://ts.21cn.com/tousu/show/id/1352458")</f>
        <v>http://ts.21cn.com/tousu/show/id/1352458</v>
      </c>
      <c r="F20493" s="2" t="s">
        <v>11</v>
      </c>
      <c r="G20493" s="2" t="s">
        <v>3858</v>
      </c>
      <c r="H20493" s="2" t="s">
        <v>3859</v>
      </c>
    </row>
    <row r="20494" spans="1:8" ht="25.05" customHeight="1" x14ac:dyDescent="0.25">
      <c r="A20494" s="2" t="s">
        <v>8</v>
      </c>
      <c r="B20494" s="2" t="str">
        <f>HYPERLINK("http://ts.21cn.com/tousu/show/id/1352549","豹子贷无故扣钱不需要还要扣")</f>
        <v>豹子贷无故扣钱不需要还要扣</v>
      </c>
      <c r="C20494" s="2" t="s">
        <v>9</v>
      </c>
      <c r="D20494" s="2" t="s">
        <v>10</v>
      </c>
      <c r="E20494" s="2" t="str">
        <f>HYPERLINK("http://ts.21cn.com/tousu/show/id/1352549","http://ts.21cn.com/tousu/show/id/1352549")</f>
        <v>http://ts.21cn.com/tousu/show/id/1352549</v>
      </c>
      <c r="F20494" s="2" t="s">
        <v>11</v>
      </c>
      <c r="G20494" s="2" t="s">
        <v>3856</v>
      </c>
      <c r="H20494" s="2" t="s">
        <v>3857</v>
      </c>
    </row>
    <row r="20495" spans="1:8" ht="25.05" customHeight="1" x14ac:dyDescent="0.25">
      <c r="A20495" s="2" t="s">
        <v>8</v>
      </c>
      <c r="B20495" s="2" t="str">
        <f>HYPERLINK("http://ts.21cn.com/tousu/show/id/1352551","马上金融协商还款")</f>
        <v>马上金融协商还款</v>
      </c>
      <c r="C20495" s="2" t="s">
        <v>9</v>
      </c>
      <c r="D20495" s="2" t="s">
        <v>10</v>
      </c>
      <c r="E20495" s="2" t="str">
        <f>HYPERLINK("http://ts.21cn.com/tousu/show/id/1352551","http://ts.21cn.com/tousu/show/id/1352551")</f>
        <v>http://ts.21cn.com/tousu/show/id/1352551</v>
      </c>
      <c r="F20495" s="2" t="s">
        <v>11</v>
      </c>
      <c r="G20495" s="2" t="s">
        <v>3854</v>
      </c>
      <c r="H20495" s="2" t="s">
        <v>3855</v>
      </c>
    </row>
    <row r="20496" spans="1:8" ht="25.05" customHeight="1" x14ac:dyDescent="0.25">
      <c r="A20496" s="2" t="s">
        <v>8</v>
      </c>
      <c r="B20496" s="2" t="str">
        <f>HYPERLINK("http://ts.21cn.com/tousu/show/id/1352550","速想购放贷搭售保险")</f>
        <v>速想购放贷搭售保险</v>
      </c>
      <c r="C20496" s="2" t="s">
        <v>9</v>
      </c>
      <c r="D20496" s="2" t="s">
        <v>10</v>
      </c>
      <c r="E20496" s="2" t="str">
        <f>HYPERLINK("http://ts.21cn.com/tousu/show/id/1352550","http://ts.21cn.com/tousu/show/id/1352550")</f>
        <v>http://ts.21cn.com/tousu/show/id/1352550</v>
      </c>
      <c r="F20496" s="2" t="s">
        <v>11</v>
      </c>
      <c r="G20496" s="2" t="s">
        <v>3852</v>
      </c>
      <c r="H20496" s="2" t="s">
        <v>3853</v>
      </c>
    </row>
    <row r="20497" spans="1:8" ht="25.05" customHeight="1" x14ac:dyDescent="0.25">
      <c r="A20497" s="2" t="s">
        <v>8</v>
      </c>
      <c r="B20497" s="2" t="str">
        <f>HYPERLINK("http://ts.21cn.com/tousu/show/id/1352553","瑞银信刷卡38930，只到账15258.87")</f>
        <v>瑞银信刷卡38930，只到账15258.87</v>
      </c>
      <c r="C20497" s="2" t="s">
        <v>9</v>
      </c>
      <c r="D20497" s="2" t="s">
        <v>10</v>
      </c>
      <c r="E20497" s="2" t="str">
        <f>HYPERLINK("http://ts.21cn.com/tousu/show/id/1352553","http://ts.21cn.com/tousu/show/id/1352553")</f>
        <v>http://ts.21cn.com/tousu/show/id/1352553</v>
      </c>
      <c r="F20497" s="2" t="s">
        <v>11</v>
      </c>
      <c r="G20497" s="2" t="s">
        <v>3850</v>
      </c>
      <c r="H20497" s="2" t="s">
        <v>3851</v>
      </c>
    </row>
    <row r="20498" spans="1:8" ht="25.05" customHeight="1" x14ac:dyDescent="0.25">
      <c r="A20498" s="2" t="s">
        <v>8</v>
      </c>
      <c r="B20498" s="2" t="str">
        <f>HYPERLINK("http://ts.21cn.com/tousu/show/id/1352552","到期未回款")</f>
        <v>到期未回款</v>
      </c>
      <c r="C20498" s="2" t="s">
        <v>9</v>
      </c>
      <c r="D20498" s="2" t="s">
        <v>10</v>
      </c>
      <c r="E20498" s="2" t="str">
        <f>HYPERLINK("http://ts.21cn.com/tousu/show/id/1352552","http://ts.21cn.com/tousu/show/id/1352552")</f>
        <v>http://ts.21cn.com/tousu/show/id/1352552</v>
      </c>
      <c r="F20498" s="2" t="s">
        <v>11</v>
      </c>
      <c r="G20498" s="2" t="s">
        <v>3848</v>
      </c>
      <c r="H20498" s="2" t="s">
        <v>3849</v>
      </c>
    </row>
    <row r="20499" spans="1:8" ht="25.05" customHeight="1" x14ac:dyDescent="0.25">
      <c r="A20499" s="2" t="s">
        <v>8</v>
      </c>
      <c r="B20499" s="2" t="str">
        <f>HYPERLINK("http://ts.21cn.com/tousu/show/id/1352554","投诉钱站爱钱进借款砍头息")</f>
        <v>投诉钱站爱钱进借款砍头息</v>
      </c>
      <c r="C20499" s="2" t="s">
        <v>34</v>
      </c>
      <c r="D20499" s="2" t="s">
        <v>10</v>
      </c>
      <c r="E20499" s="2" t="str">
        <f>HYPERLINK("http://ts.21cn.com/tousu/show/id/1352554","http://ts.21cn.com/tousu/show/id/1352554")</f>
        <v>http://ts.21cn.com/tousu/show/id/1352554</v>
      </c>
      <c r="F20499" s="2" t="s">
        <v>11</v>
      </c>
      <c r="G20499" s="2" t="s">
        <v>3846</v>
      </c>
      <c r="H20499" s="2" t="s">
        <v>3847</v>
      </c>
    </row>
    <row r="20500" spans="1:8" ht="25.05" customHeight="1" x14ac:dyDescent="0.25">
      <c r="A20500" s="2" t="s">
        <v>8</v>
      </c>
      <c r="B20500" s="2" t="str">
        <f>HYPERLINK("http://ts.21cn.com/tousu/show/id/1352556","360借条提前还款收取12期的利息，属于高利贷")</f>
        <v>360借条提前还款收取12期的利息，属于高利贷</v>
      </c>
      <c r="C20500" s="2" t="s">
        <v>9</v>
      </c>
      <c r="D20500" s="2" t="s">
        <v>10</v>
      </c>
      <c r="E20500" s="2" t="str">
        <f>HYPERLINK("http://ts.21cn.com/tousu/show/id/1352556","http://ts.21cn.com/tousu/show/id/1352556")</f>
        <v>http://ts.21cn.com/tousu/show/id/1352556</v>
      </c>
      <c r="F20500" s="2" t="s">
        <v>11</v>
      </c>
      <c r="G20500" s="2" t="s">
        <v>3843</v>
      </c>
      <c r="H20500" s="2" t="s">
        <v>3844</v>
      </c>
    </row>
    <row r="20501" spans="1:8" ht="25.05" customHeight="1" x14ac:dyDescent="0.25">
      <c r="A20501" s="2" t="s">
        <v>8</v>
      </c>
      <c r="B20501" s="2" t="str">
        <f>HYPERLINK("http://ts.21cn.com/tousu/show/id/1352555","砍头息，高利率，暴力骚扰")</f>
        <v>砍头息，高利率，暴力骚扰</v>
      </c>
      <c r="C20501" s="2" t="s">
        <v>9</v>
      </c>
      <c r="D20501" s="2" t="s">
        <v>10</v>
      </c>
      <c r="E20501" s="2" t="str">
        <f>HYPERLINK("http://ts.21cn.com/tousu/show/id/1352555","http://ts.21cn.com/tousu/show/id/1352555")</f>
        <v>http://ts.21cn.com/tousu/show/id/1352555</v>
      </c>
      <c r="F20501" s="2" t="s">
        <v>11</v>
      </c>
      <c r="G20501" s="2" t="s">
        <v>3843</v>
      </c>
      <c r="H20501" s="2" t="s">
        <v>3845</v>
      </c>
    </row>
    <row r="20502" spans="1:8" ht="25.05" customHeight="1" x14ac:dyDescent="0.25">
      <c r="A20502" s="2" t="s">
        <v>8</v>
      </c>
      <c r="B20502" s="2" t="str">
        <f>HYPERLINK("http://ts.21cn.com/tousu/show/id/1352557","钱站变相砍头息，巨额所谓的逾期费，要求赔偿不合理费用")</f>
        <v>钱站变相砍头息，巨额所谓的逾期费，要求赔偿不合理费用</v>
      </c>
      <c r="C20502" s="2" t="s">
        <v>9</v>
      </c>
      <c r="D20502" s="2" t="s">
        <v>10</v>
      </c>
      <c r="E20502" s="2" t="str">
        <f>HYPERLINK("http://ts.21cn.com/tousu/show/id/1352557","http://ts.21cn.com/tousu/show/id/1352557")</f>
        <v>http://ts.21cn.com/tousu/show/id/1352557</v>
      </c>
      <c r="F20502" s="2" t="s">
        <v>11</v>
      </c>
      <c r="G20502" s="2" t="s">
        <v>3841</v>
      </c>
      <c r="H20502" s="2" t="s">
        <v>3842</v>
      </c>
    </row>
    <row r="20503" spans="1:8" ht="25.05" customHeight="1" x14ac:dyDescent="0.25">
      <c r="A20503" s="2" t="s">
        <v>8</v>
      </c>
      <c r="B20503" s="2" t="str">
        <f>HYPERLINK("http://ts.21cn.com/tousu/show/id/1352558","你我贷协商还款不给结清账单")</f>
        <v>你我贷协商还款不给结清账单</v>
      </c>
      <c r="C20503" s="2" t="s">
        <v>9</v>
      </c>
      <c r="D20503" s="2" t="s">
        <v>10</v>
      </c>
      <c r="E20503" s="2" t="str">
        <f>HYPERLINK("http://ts.21cn.com/tousu/show/id/1352558","http://ts.21cn.com/tousu/show/id/1352558")</f>
        <v>http://ts.21cn.com/tousu/show/id/1352558</v>
      </c>
      <c r="F20503" s="2" t="s">
        <v>11</v>
      </c>
      <c r="G20503" s="2" t="s">
        <v>3839</v>
      </c>
      <c r="H20503" s="2" t="s">
        <v>3840</v>
      </c>
    </row>
    <row r="20504" spans="1:8" ht="25.05" customHeight="1" x14ac:dyDescent="0.25">
      <c r="A20504" s="2" t="s">
        <v>8</v>
      </c>
      <c r="B20504" s="2" t="str">
        <f>HYPERLINK("http://ts.21cn.com/tousu/show/id/1352559","汇潮支付像高利贷提供支付平台")</f>
        <v>汇潮支付像高利贷提供支付平台</v>
      </c>
      <c r="C20504" s="2" t="s">
        <v>9</v>
      </c>
      <c r="D20504" s="2" t="s">
        <v>10</v>
      </c>
      <c r="E20504" s="2" t="str">
        <f>HYPERLINK("http://ts.21cn.com/tousu/show/id/1352559","http://ts.21cn.com/tousu/show/id/1352559")</f>
        <v>http://ts.21cn.com/tousu/show/id/1352559</v>
      </c>
      <c r="F20504" s="2" t="s">
        <v>11</v>
      </c>
      <c r="G20504" s="2" t="s">
        <v>3837</v>
      </c>
      <c r="H20504" s="2" t="s">
        <v>3838</v>
      </c>
    </row>
    <row r="20505" spans="1:8" ht="25.05" customHeight="1" x14ac:dyDescent="0.25">
      <c r="A20505" s="2" t="s">
        <v>8</v>
      </c>
      <c r="B20505" s="2" t="str">
        <f>HYPERLINK("http://ts.21cn.com/tousu/show/id/1352560","押金退款申请已经超过3个多月，仍然未退款")</f>
        <v>押金退款申请已经超过3个多月，仍然未退款</v>
      </c>
      <c r="C20505" s="2" t="s">
        <v>9</v>
      </c>
      <c r="D20505" s="2" t="s">
        <v>10</v>
      </c>
      <c r="E20505" s="2" t="str">
        <f>HYPERLINK("http://ts.21cn.com/tousu/show/id/1352560","http://ts.21cn.com/tousu/show/id/1352560")</f>
        <v>http://ts.21cn.com/tousu/show/id/1352560</v>
      </c>
      <c r="F20505" s="2" t="s">
        <v>11</v>
      </c>
      <c r="G20505" s="2" t="s">
        <v>3835</v>
      </c>
      <c r="H20505" s="2" t="s">
        <v>3836</v>
      </c>
    </row>
    <row r="20506" spans="1:8" ht="25.05" customHeight="1" x14ac:dyDescent="0.25">
      <c r="A20506" s="2" t="s">
        <v>8</v>
      </c>
      <c r="B20506" s="2" t="str">
        <f>HYPERLINK("http://ts.21cn.com/tousu/show/id/1352564","招联金融滥用司法机关名义进行催收")</f>
        <v>招联金融滥用司法机关名义进行催收</v>
      </c>
      <c r="C20506" s="2" t="s">
        <v>9</v>
      </c>
      <c r="D20506" s="2" t="s">
        <v>10</v>
      </c>
      <c r="E20506" s="2" t="str">
        <f>HYPERLINK("http://ts.21cn.com/tousu/show/id/1352564","http://ts.21cn.com/tousu/show/id/1352564")</f>
        <v>http://ts.21cn.com/tousu/show/id/1352564</v>
      </c>
      <c r="F20506" s="2" t="s">
        <v>11</v>
      </c>
      <c r="G20506" s="2" t="s">
        <v>3833</v>
      </c>
      <c r="H20506" s="2" t="s">
        <v>3834</v>
      </c>
    </row>
    <row r="20507" spans="1:8" ht="25.05" customHeight="1" x14ac:dyDescent="0.25">
      <c r="A20507" s="2" t="s">
        <v>8</v>
      </c>
      <c r="B20507" s="2" t="str">
        <f>HYPERLINK("http://ts.21cn.com/tousu/show/id/1352565","催收恐吓，威胁上门")</f>
        <v>催收恐吓，威胁上门</v>
      </c>
      <c r="C20507" s="2" t="s">
        <v>9</v>
      </c>
      <c r="D20507" s="2" t="s">
        <v>10</v>
      </c>
      <c r="E20507" s="2" t="str">
        <f>HYPERLINK("http://ts.21cn.com/tousu/show/id/1352565","http://ts.21cn.com/tousu/show/id/1352565")</f>
        <v>http://ts.21cn.com/tousu/show/id/1352565</v>
      </c>
      <c r="F20507" s="2" t="s">
        <v>11</v>
      </c>
      <c r="G20507" s="2" t="s">
        <v>3831</v>
      </c>
      <c r="H20507" s="2" t="s">
        <v>3832</v>
      </c>
    </row>
    <row r="20508" spans="1:8" ht="25.05" customHeight="1" x14ac:dyDescent="0.25">
      <c r="A20508" s="2" t="s">
        <v>8</v>
      </c>
      <c r="B20508" s="2" t="str">
        <f>HYPERLINK("http://ts.21cn.com/tousu/show/id/1352562","中吉担保高利贷平台的保护伞")</f>
        <v>中吉担保高利贷平台的保护伞</v>
      </c>
      <c r="C20508" s="2" t="s">
        <v>9</v>
      </c>
      <c r="D20508" s="2" t="s">
        <v>10</v>
      </c>
      <c r="E20508" s="2" t="str">
        <f>HYPERLINK("http://ts.21cn.com/tousu/show/id/1352562","http://ts.21cn.com/tousu/show/id/1352562")</f>
        <v>http://ts.21cn.com/tousu/show/id/1352562</v>
      </c>
      <c r="F20508" s="2" t="s">
        <v>11</v>
      </c>
      <c r="G20508" s="2" t="s">
        <v>3829</v>
      </c>
      <c r="H20508" s="2" t="s">
        <v>3830</v>
      </c>
    </row>
    <row r="20509" spans="1:8" ht="25.05" customHeight="1" x14ac:dyDescent="0.25">
      <c r="A20509" s="2" t="s">
        <v>8</v>
      </c>
      <c r="B20509" s="2" t="str">
        <f>HYPERLINK("http://ts.21cn.com/tousu/show/id/1352566","百事惠普恶意扣款")</f>
        <v>百事惠普恶意扣款</v>
      </c>
      <c r="C20509" s="2" t="s">
        <v>9</v>
      </c>
      <c r="D20509" s="2" t="s">
        <v>10</v>
      </c>
      <c r="E20509" s="2" t="str">
        <f>HYPERLINK("http://ts.21cn.com/tousu/show/id/1352566","http://ts.21cn.com/tousu/show/id/1352566")</f>
        <v>http://ts.21cn.com/tousu/show/id/1352566</v>
      </c>
      <c r="F20509" s="2" t="s">
        <v>11</v>
      </c>
      <c r="G20509" s="2" t="s">
        <v>3827</v>
      </c>
      <c r="H20509" s="2" t="s">
        <v>3828</v>
      </c>
    </row>
    <row r="20510" spans="1:8" ht="25.05" customHeight="1" x14ac:dyDescent="0.25">
      <c r="A20510" s="2" t="s">
        <v>8</v>
      </c>
      <c r="B20510" s="2" t="str">
        <f>HYPERLINK("http://ts.21cn.com/tousu/show/id/1352567","收取高额测评费后无法负起责任")</f>
        <v>收取高额测评费后无法负起责任</v>
      </c>
      <c r="C20510" s="2" t="s">
        <v>9</v>
      </c>
      <c r="D20510" s="2" t="s">
        <v>10</v>
      </c>
      <c r="E20510" s="2" t="str">
        <f>HYPERLINK("http://ts.21cn.com/tousu/show/id/1352567","http://ts.21cn.com/tousu/show/id/1352567")</f>
        <v>http://ts.21cn.com/tousu/show/id/1352567</v>
      </c>
      <c r="F20510" s="2" t="s">
        <v>11</v>
      </c>
      <c r="G20510" s="2" t="s">
        <v>3825</v>
      </c>
      <c r="H20510" s="2" t="s">
        <v>3826</v>
      </c>
    </row>
    <row r="20511" spans="1:8" ht="25.05" customHeight="1" x14ac:dyDescent="0.25">
      <c r="A20511" s="2" t="s">
        <v>8</v>
      </c>
      <c r="B20511" s="2" t="str">
        <f>HYPERLINK("http://ts.21cn.com/tousu/show/id/1352568","捷信高利贷")</f>
        <v>捷信高利贷</v>
      </c>
      <c r="C20511" s="2" t="s">
        <v>9</v>
      </c>
      <c r="D20511" s="2" t="s">
        <v>10</v>
      </c>
      <c r="E20511" s="2" t="str">
        <f>HYPERLINK("http://ts.21cn.com/tousu/show/id/1352568","http://ts.21cn.com/tousu/show/id/1352568")</f>
        <v>http://ts.21cn.com/tousu/show/id/1352568</v>
      </c>
      <c r="F20511" s="2" t="s">
        <v>11</v>
      </c>
      <c r="G20511" s="2" t="s">
        <v>3823</v>
      </c>
      <c r="H20511" s="2" t="s">
        <v>3824</v>
      </c>
    </row>
    <row r="20512" spans="1:8" ht="25.05" customHeight="1" x14ac:dyDescent="0.25">
      <c r="A20512" s="2" t="s">
        <v>8</v>
      </c>
      <c r="B20512" s="2" t="str">
        <f>HYPERLINK("http://ts.21cn.com/tousu/show/id/1352570","在没有取得本人的同意就购买保险来保取他们平台的利益")</f>
        <v>在没有取得本人的同意就购买保险来保取他们平台的利益</v>
      </c>
      <c r="C20512" s="2" t="s">
        <v>34</v>
      </c>
      <c r="D20512" s="2" t="s">
        <v>10</v>
      </c>
      <c r="E20512" s="2" t="str">
        <f>HYPERLINK("http://ts.21cn.com/tousu/show/id/1352570","http://ts.21cn.com/tousu/show/id/1352570")</f>
        <v>http://ts.21cn.com/tousu/show/id/1352570</v>
      </c>
      <c r="F20512" s="2" t="s">
        <v>11</v>
      </c>
      <c r="G20512" s="2" t="s">
        <v>3821</v>
      </c>
      <c r="H20512" s="2" t="s">
        <v>3822</v>
      </c>
    </row>
    <row r="20513" spans="1:8" ht="25.05" customHeight="1" x14ac:dyDescent="0.25">
      <c r="A20513" s="2" t="s">
        <v>8</v>
      </c>
      <c r="B20513" s="2" t="str">
        <f>HYPERLINK("http://ts.21cn.com/tousu/show/id/1352571","小乔优选app已结清款项不给结清证明，还显示逾期")</f>
        <v>小乔优选app已结清款项不给结清证明，还显示逾期</v>
      </c>
      <c r="C20513" s="2" t="s">
        <v>9</v>
      </c>
      <c r="D20513" s="2" t="s">
        <v>10</v>
      </c>
      <c r="E20513" s="2" t="str">
        <f>HYPERLINK("http://ts.21cn.com/tousu/show/id/1352571","http://ts.21cn.com/tousu/show/id/1352571")</f>
        <v>http://ts.21cn.com/tousu/show/id/1352571</v>
      </c>
      <c r="F20513" s="2" t="s">
        <v>11</v>
      </c>
      <c r="G20513" s="2" t="s">
        <v>3819</v>
      </c>
      <c r="H20513" s="2" t="s">
        <v>3820</v>
      </c>
    </row>
    <row r="20514" spans="1:8" ht="25.05" customHeight="1" x14ac:dyDescent="0.25">
      <c r="A20514" s="2" t="s">
        <v>8</v>
      </c>
      <c r="B20514" s="2" t="str">
        <f>HYPERLINK("http://ts.21cn.com/tousu/show/id/1352569","未经允许扣钱")</f>
        <v>未经允许扣钱</v>
      </c>
      <c r="C20514" s="2" t="s">
        <v>9</v>
      </c>
      <c r="D20514" s="2" t="s">
        <v>10</v>
      </c>
      <c r="E20514" s="2" t="str">
        <f>HYPERLINK("http://ts.21cn.com/tousu/show/id/1352569","http://ts.21cn.com/tousu/show/id/1352569")</f>
        <v>http://ts.21cn.com/tousu/show/id/1352569</v>
      </c>
      <c r="F20514" s="2" t="s">
        <v>11</v>
      </c>
      <c r="G20514" s="2" t="s">
        <v>3817</v>
      </c>
      <c r="H20514" s="2" t="s">
        <v>3818</v>
      </c>
    </row>
    <row r="20515" spans="1:8" ht="25.05" customHeight="1" x14ac:dyDescent="0.25">
      <c r="A20515" s="2" t="s">
        <v>8</v>
      </c>
      <c r="B20515" s="2" t="str">
        <f>HYPERLINK("http://ts.21cn.com/tousu/show/id/1352573","借口合同有问题")</f>
        <v>借口合同有问题</v>
      </c>
      <c r="C20515" s="2" t="s">
        <v>9</v>
      </c>
      <c r="D20515" s="2" t="s">
        <v>10</v>
      </c>
      <c r="E20515" s="2" t="str">
        <f>HYPERLINK("http://ts.21cn.com/tousu/show/id/1352573","http://ts.21cn.com/tousu/show/id/1352573")</f>
        <v>http://ts.21cn.com/tousu/show/id/1352573</v>
      </c>
      <c r="F20515" s="2" t="s">
        <v>11</v>
      </c>
      <c r="G20515" s="2" t="s">
        <v>3815</v>
      </c>
      <c r="H20515" s="2" t="s">
        <v>3816</v>
      </c>
    </row>
    <row r="20516" spans="1:8" ht="25.05" customHeight="1" x14ac:dyDescent="0.25">
      <c r="A20516" s="2" t="s">
        <v>8</v>
      </c>
      <c r="B20516" s="2" t="str">
        <f>HYPERLINK("http://ts.21cn.com/tousu/show/id/1352572","投诉拍拍贷")</f>
        <v>投诉拍拍贷</v>
      </c>
      <c r="C20516" s="2" t="s">
        <v>9</v>
      </c>
      <c r="D20516" s="2" t="s">
        <v>10</v>
      </c>
      <c r="E20516" s="2" t="str">
        <f>HYPERLINK("http://ts.21cn.com/tousu/show/id/1352572","http://ts.21cn.com/tousu/show/id/1352572")</f>
        <v>http://ts.21cn.com/tousu/show/id/1352572</v>
      </c>
      <c r="F20516" s="2" t="s">
        <v>11</v>
      </c>
      <c r="G20516" s="2" t="s">
        <v>3813</v>
      </c>
      <c r="H20516" s="2" t="s">
        <v>3814</v>
      </c>
    </row>
    <row r="20517" spans="1:8" ht="25.05" customHeight="1" x14ac:dyDescent="0.25">
      <c r="A20517" s="2" t="s">
        <v>8</v>
      </c>
      <c r="B20517" s="2" t="str">
        <f>HYPERLINK("http://ts.21cn.com/tousu/show/id/1352574","辱骂，暴力")</f>
        <v>辱骂，暴力</v>
      </c>
      <c r="C20517" s="2" t="s">
        <v>9</v>
      </c>
      <c r="D20517" s="2" t="s">
        <v>10</v>
      </c>
      <c r="E20517" s="2" t="str">
        <f>HYPERLINK("http://ts.21cn.com/tousu/show/id/1352574","http://ts.21cn.com/tousu/show/id/1352574")</f>
        <v>http://ts.21cn.com/tousu/show/id/1352574</v>
      </c>
      <c r="F20517" s="2" t="s">
        <v>11</v>
      </c>
      <c r="G20517" s="2" t="s">
        <v>3811</v>
      </c>
      <c r="H20517" s="2" t="s">
        <v>3812</v>
      </c>
    </row>
    <row r="20518" spans="1:8" ht="25.05" customHeight="1" x14ac:dyDescent="0.25">
      <c r="A20518" s="2" t="s">
        <v>8</v>
      </c>
      <c r="B20518" s="2" t="str">
        <f>HYPERLINK("http://ts.21cn.com/tousu/show/id/1352576","钱站高利贷阴阳合同")</f>
        <v>钱站高利贷阴阳合同</v>
      </c>
      <c r="C20518" s="2" t="s">
        <v>9</v>
      </c>
      <c r="D20518" s="2" t="s">
        <v>10</v>
      </c>
      <c r="E20518" s="2" t="str">
        <f>HYPERLINK("http://ts.21cn.com/tousu/show/id/1352576","http://ts.21cn.com/tousu/show/id/1352576")</f>
        <v>http://ts.21cn.com/tousu/show/id/1352576</v>
      </c>
      <c r="F20518" s="2" t="s">
        <v>11</v>
      </c>
      <c r="G20518" s="2" t="s">
        <v>3809</v>
      </c>
      <c r="H20518" s="2" t="s">
        <v>3810</v>
      </c>
    </row>
    <row r="20519" spans="1:8" ht="25.05" customHeight="1" x14ac:dyDescent="0.25">
      <c r="A20519" s="2" t="s">
        <v>8</v>
      </c>
      <c r="B20519" s="2" t="str">
        <f>HYPERLINK("http://ts.21cn.com/tousu/show/id/1352579","上海拍拍贷出尔反尔，承诺以每期560可以还清，现在又多出600多")</f>
        <v>上海拍拍贷出尔反尔，承诺以每期560可以还清，现在又多出600多</v>
      </c>
      <c r="C20519" s="2" t="s">
        <v>9</v>
      </c>
      <c r="D20519" s="2" t="s">
        <v>10</v>
      </c>
      <c r="E20519" s="2" t="str">
        <f>HYPERLINK("http://ts.21cn.com/tousu/show/id/1352579","http://ts.21cn.com/tousu/show/id/1352579")</f>
        <v>http://ts.21cn.com/tousu/show/id/1352579</v>
      </c>
      <c r="F20519" s="2" t="s">
        <v>11</v>
      </c>
      <c r="G20519" s="2" t="s">
        <v>3807</v>
      </c>
      <c r="H20519" s="2" t="s">
        <v>3808</v>
      </c>
    </row>
    <row r="20520" spans="1:8" ht="25.05" customHeight="1" x14ac:dyDescent="0.25">
      <c r="A20520" s="2" t="s">
        <v>8</v>
      </c>
      <c r="B20520" s="2" t="str">
        <f>HYPERLINK("http://ts.21cn.com/tousu/show/id/1352577","绿瘦天天打电话骚扰！")</f>
        <v>绿瘦天天打电话骚扰！</v>
      </c>
      <c r="C20520" s="2" t="s">
        <v>9</v>
      </c>
      <c r="D20520" s="2" t="s">
        <v>10</v>
      </c>
      <c r="E20520" s="2" t="str">
        <f>HYPERLINK("http://ts.21cn.com/tousu/show/id/1352577","http://ts.21cn.com/tousu/show/id/1352577")</f>
        <v>http://ts.21cn.com/tousu/show/id/1352577</v>
      </c>
      <c r="F20520" s="2" t="s">
        <v>11</v>
      </c>
      <c r="G20520" s="2" t="s">
        <v>3805</v>
      </c>
      <c r="H20520" s="2" t="s">
        <v>3806</v>
      </c>
    </row>
    <row r="20521" spans="1:8" ht="25.05" customHeight="1" x14ac:dyDescent="0.25">
      <c r="A20521" s="2" t="s">
        <v>8</v>
      </c>
      <c r="B20521" s="2" t="str">
        <f>HYPERLINK("http://ts.21cn.com/tousu/show/id/1352578","聚富分期恶意扣款套路贷")</f>
        <v>聚富分期恶意扣款套路贷</v>
      </c>
      <c r="C20521" s="2" t="s">
        <v>9</v>
      </c>
      <c r="D20521" s="2" t="s">
        <v>10</v>
      </c>
      <c r="E20521" s="2" t="str">
        <f>HYPERLINK("http://ts.21cn.com/tousu/show/id/1352578","http://ts.21cn.com/tousu/show/id/1352578")</f>
        <v>http://ts.21cn.com/tousu/show/id/1352578</v>
      </c>
      <c r="F20521" s="2" t="s">
        <v>11</v>
      </c>
      <c r="G20521" s="2" t="s">
        <v>3803</v>
      </c>
      <c r="H20521" s="2" t="s">
        <v>3804</v>
      </c>
    </row>
    <row r="20522" spans="1:8" ht="25.05" customHeight="1" x14ac:dyDescent="0.25">
      <c r="A20522" s="2" t="s">
        <v>8</v>
      </c>
      <c r="B20522" s="2" t="str">
        <f>HYPERLINK("http://ts.21cn.com/tousu/show/id/1352580","客服一直不处理，恶意拖延")</f>
        <v>客服一直不处理，恶意拖延</v>
      </c>
      <c r="C20522" s="2" t="s">
        <v>9</v>
      </c>
      <c r="D20522" s="2" t="s">
        <v>10</v>
      </c>
      <c r="E20522" s="2" t="str">
        <f>HYPERLINK("http://ts.21cn.com/tousu/show/id/1352580","http://ts.21cn.com/tousu/show/id/1352580")</f>
        <v>http://ts.21cn.com/tousu/show/id/1352580</v>
      </c>
      <c r="F20522" s="2" t="s">
        <v>11</v>
      </c>
      <c r="G20522" s="2" t="s">
        <v>3801</v>
      </c>
      <c r="H20522" s="2" t="s">
        <v>3802</v>
      </c>
    </row>
    <row r="20523" spans="1:8" ht="25.05" customHeight="1" x14ac:dyDescent="0.25">
      <c r="A20523" s="2" t="s">
        <v>8</v>
      </c>
      <c r="B20523" s="2" t="str">
        <f>HYPERLINK("http://ts.21cn.com/tousu/show/id/1352581","银行第三方恶意骚扰")</f>
        <v>银行第三方恶意骚扰</v>
      </c>
      <c r="C20523" s="2" t="s">
        <v>9</v>
      </c>
      <c r="D20523" s="2" t="s">
        <v>10</v>
      </c>
      <c r="E20523" s="2" t="str">
        <f>HYPERLINK("http://ts.21cn.com/tousu/show/id/1352581","http://ts.21cn.com/tousu/show/id/1352581")</f>
        <v>http://ts.21cn.com/tousu/show/id/1352581</v>
      </c>
      <c r="F20523" s="2" t="s">
        <v>11</v>
      </c>
      <c r="G20523" s="2" t="s">
        <v>3799</v>
      </c>
      <c r="H20523" s="2" t="s">
        <v>3800</v>
      </c>
    </row>
    <row r="20524" spans="1:8" ht="25.05" customHeight="1" x14ac:dyDescent="0.25">
      <c r="A20524" s="2" t="s">
        <v>8</v>
      </c>
      <c r="B20524" s="2" t="str">
        <f>HYPERLINK("http://ts.21cn.com/tousu/show/id/1352582","小闪分期恶意修改还款日期")</f>
        <v>小闪分期恶意修改还款日期</v>
      </c>
      <c r="C20524" s="2" t="s">
        <v>9</v>
      </c>
      <c r="D20524" s="2" t="s">
        <v>10</v>
      </c>
      <c r="E20524" s="2" t="str">
        <f>HYPERLINK("http://ts.21cn.com/tousu/show/id/1352582","http://ts.21cn.com/tousu/show/id/1352582")</f>
        <v>http://ts.21cn.com/tousu/show/id/1352582</v>
      </c>
      <c r="F20524" s="2" t="s">
        <v>11</v>
      </c>
      <c r="G20524" s="2" t="s">
        <v>3797</v>
      </c>
      <c r="H20524" s="2" t="s">
        <v>3798</v>
      </c>
    </row>
    <row r="20525" spans="1:8" ht="25.05" customHeight="1" x14ac:dyDescent="0.25">
      <c r="A20525" s="2" t="s">
        <v>8</v>
      </c>
      <c r="B20525" s="2" t="str">
        <f>HYPERLINK("http://ts.21cn.com/tousu/show/id/1352584","拍拍贷暴力催收")</f>
        <v>拍拍贷暴力催收</v>
      </c>
      <c r="C20525" s="2" t="s">
        <v>9</v>
      </c>
      <c r="D20525" s="2" t="s">
        <v>10</v>
      </c>
      <c r="E20525" s="2" t="str">
        <f>HYPERLINK("http://ts.21cn.com/tousu/show/id/1352584","http://ts.21cn.com/tousu/show/id/1352584")</f>
        <v>http://ts.21cn.com/tousu/show/id/1352584</v>
      </c>
      <c r="F20525" s="2" t="s">
        <v>11</v>
      </c>
      <c r="G20525" s="2" t="s">
        <v>3795</v>
      </c>
      <c r="H20525" s="2" t="s">
        <v>3796</v>
      </c>
    </row>
    <row r="20526" spans="1:8" ht="25.05" customHeight="1" x14ac:dyDescent="0.25">
      <c r="A20526" s="2" t="s">
        <v>8</v>
      </c>
      <c r="B20526" s="2" t="str">
        <f>HYPERLINK("http://ts.21cn.com/tousu/show/id/1352585","无故扣款")</f>
        <v>无故扣款</v>
      </c>
      <c r="C20526" s="2" t="s">
        <v>9</v>
      </c>
      <c r="D20526" s="2" t="s">
        <v>10</v>
      </c>
      <c r="E20526" s="2" t="str">
        <f>HYPERLINK("http://ts.21cn.com/tousu/show/id/1352585","http://ts.21cn.com/tousu/show/id/1352585")</f>
        <v>http://ts.21cn.com/tousu/show/id/1352585</v>
      </c>
      <c r="F20526" s="2" t="s">
        <v>11</v>
      </c>
      <c r="G20526" s="2" t="s">
        <v>3793</v>
      </c>
      <c r="H20526" s="2" t="s">
        <v>3794</v>
      </c>
    </row>
    <row r="20527" spans="1:8" ht="25.05" customHeight="1" x14ac:dyDescent="0.25">
      <c r="A20527" s="2" t="s">
        <v>8</v>
      </c>
      <c r="B20527" s="2" t="str">
        <f>HYPERLINK("http://ts.21cn.com/tousu/show/id/1352583","升学教育机构不退款")</f>
        <v>升学教育机构不退款</v>
      </c>
      <c r="C20527" s="2" t="s">
        <v>9</v>
      </c>
      <c r="D20527" s="2" t="s">
        <v>10</v>
      </c>
      <c r="E20527" s="2" t="str">
        <f>HYPERLINK("http://ts.21cn.com/tousu/show/id/1352583","http://ts.21cn.com/tousu/show/id/1352583")</f>
        <v>http://ts.21cn.com/tousu/show/id/1352583</v>
      </c>
      <c r="F20527" s="2" t="s">
        <v>11</v>
      </c>
      <c r="G20527" s="2" t="s">
        <v>3791</v>
      </c>
      <c r="H20527" s="2" t="s">
        <v>3792</v>
      </c>
    </row>
    <row r="20528" spans="1:8" ht="25.05" customHeight="1" x14ac:dyDescent="0.25">
      <c r="A20528" s="2" t="s">
        <v>8</v>
      </c>
      <c r="B20528" s="2" t="str">
        <f>HYPERLINK("http://ts.21cn.com/tousu/show/id/1352536","收取高额管理费")</f>
        <v>收取高额管理费</v>
      </c>
      <c r="C20528" s="2" t="s">
        <v>9</v>
      </c>
      <c r="D20528" s="2" t="s">
        <v>10</v>
      </c>
      <c r="E20528" s="2" t="str">
        <f>HYPERLINK("http://ts.21cn.com/tousu/show/id/1352536","http://ts.21cn.com/tousu/show/id/1352536")</f>
        <v>http://ts.21cn.com/tousu/show/id/1352536</v>
      </c>
      <c r="F20528" s="2" t="s">
        <v>11</v>
      </c>
      <c r="G20528" s="2" t="s">
        <v>3789</v>
      </c>
      <c r="H20528" s="2" t="s">
        <v>3790</v>
      </c>
    </row>
    <row r="20529" spans="1:8" ht="25.05" customHeight="1" x14ac:dyDescent="0.25">
      <c r="A20529" s="2" t="s">
        <v>8</v>
      </c>
      <c r="B20529" s="2" t="str">
        <f>HYPERLINK("http://ts.21cn.com/tousu/show/id/1352587","钱端理财逾期不支付")</f>
        <v>钱端理财逾期不支付</v>
      </c>
      <c r="C20529" s="2" t="s">
        <v>34</v>
      </c>
      <c r="D20529" s="2" t="s">
        <v>10</v>
      </c>
      <c r="E20529" s="2" t="str">
        <f>HYPERLINK("http://ts.21cn.com/tousu/show/id/1352587","http://ts.21cn.com/tousu/show/id/1352587")</f>
        <v>http://ts.21cn.com/tousu/show/id/1352587</v>
      </c>
      <c r="F20529" s="2" t="s">
        <v>11</v>
      </c>
      <c r="G20529" s="2" t="s">
        <v>3787</v>
      </c>
      <c r="H20529" s="2" t="s">
        <v>3788</v>
      </c>
    </row>
    <row r="20530" spans="1:8" ht="25.05" customHeight="1" x14ac:dyDescent="0.25">
      <c r="A20530" s="2" t="s">
        <v>8</v>
      </c>
      <c r="B20530" s="2" t="str">
        <f>HYPERLINK("http://ts.21cn.com/tousu/show/id/1352588","和宣传不符使用效果太差没法玩")</f>
        <v>和宣传不符使用效果太差没法玩</v>
      </c>
      <c r="C20530" s="2" t="s">
        <v>34</v>
      </c>
      <c r="D20530" s="2" t="s">
        <v>10</v>
      </c>
      <c r="E20530" s="2" t="str">
        <f>HYPERLINK("http://ts.21cn.com/tousu/show/id/1352588","http://ts.21cn.com/tousu/show/id/1352588")</f>
        <v>http://ts.21cn.com/tousu/show/id/1352588</v>
      </c>
      <c r="F20530" s="2" t="s">
        <v>11</v>
      </c>
      <c r="G20530" s="2" t="s">
        <v>3785</v>
      </c>
      <c r="H20530" s="2" t="s">
        <v>3786</v>
      </c>
    </row>
    <row r="20531" spans="1:8" ht="25.05" customHeight="1" x14ac:dyDescent="0.25">
      <c r="A20531" s="2" t="s">
        <v>8</v>
      </c>
      <c r="B20531" s="2" t="str">
        <f>HYPERLINK("http://ts.21cn.com/tousu/show/id/1352589","第三方公司")</f>
        <v>第三方公司</v>
      </c>
      <c r="C20531" s="2" t="s">
        <v>9</v>
      </c>
      <c r="D20531" s="2" t="s">
        <v>10</v>
      </c>
      <c r="E20531" s="2" t="str">
        <f>HYPERLINK("http://ts.21cn.com/tousu/show/id/1352589","http://ts.21cn.com/tousu/show/id/1352589")</f>
        <v>http://ts.21cn.com/tousu/show/id/1352589</v>
      </c>
      <c r="F20531" s="2" t="s">
        <v>11</v>
      </c>
      <c r="G20531" s="2" t="s">
        <v>3783</v>
      </c>
      <c r="H20531" s="2" t="s">
        <v>3784</v>
      </c>
    </row>
    <row r="20532" spans="1:8" ht="25.05" customHeight="1" x14ac:dyDescent="0.25">
      <c r="A20532" s="2" t="s">
        <v>8</v>
      </c>
      <c r="B20532" s="2" t="str">
        <f>HYPERLINK("http://ts.21cn.com/tousu/show/id/1352592","乱收费扣钱")</f>
        <v>乱收费扣钱</v>
      </c>
      <c r="C20532" s="2" t="s">
        <v>9</v>
      </c>
      <c r="D20532" s="2" t="s">
        <v>10</v>
      </c>
      <c r="E20532" s="2" t="str">
        <f>HYPERLINK("http://ts.21cn.com/tousu/show/id/1352592","http://ts.21cn.com/tousu/show/id/1352592")</f>
        <v>http://ts.21cn.com/tousu/show/id/1352592</v>
      </c>
      <c r="F20532" s="2" t="s">
        <v>11</v>
      </c>
      <c r="G20532" s="2" t="s">
        <v>3781</v>
      </c>
      <c r="H20532" s="2" t="s">
        <v>3782</v>
      </c>
    </row>
    <row r="20533" spans="1:8" ht="25.05" customHeight="1" x14ac:dyDescent="0.25">
      <c r="A20533" s="2" t="s">
        <v>8</v>
      </c>
      <c r="B20533" s="2" t="str">
        <f>HYPERLINK("http://ts.21cn.com/tousu/show/id/1352590","平安普惠贷款隐瞒隐藏并强制收取高额保险费管理费投诉事宜")</f>
        <v>平安普惠贷款隐瞒隐藏并强制收取高额保险费管理费投诉事宜</v>
      </c>
      <c r="C20533" s="2" t="s">
        <v>9</v>
      </c>
      <c r="D20533" s="2" t="s">
        <v>10</v>
      </c>
      <c r="E20533" s="2" t="str">
        <f>HYPERLINK("http://ts.21cn.com/tousu/show/id/1352590","http://ts.21cn.com/tousu/show/id/1352590")</f>
        <v>http://ts.21cn.com/tousu/show/id/1352590</v>
      </c>
      <c r="F20533" s="2" t="s">
        <v>11</v>
      </c>
      <c r="G20533" s="2" t="s">
        <v>3779</v>
      </c>
      <c r="H20533" s="2" t="s">
        <v>3780</v>
      </c>
    </row>
    <row r="20534" spans="1:8" ht="25.05" customHeight="1" x14ac:dyDescent="0.25">
      <c r="A20534" s="2" t="s">
        <v>8</v>
      </c>
      <c r="B20534" s="2" t="str">
        <f>HYPERLINK("http://ts.21cn.com/tousu/show/id/1352591","豆豆钱变相高利贷，")</f>
        <v>豆豆钱变相高利贷，</v>
      </c>
      <c r="C20534" s="2" t="s">
        <v>9</v>
      </c>
      <c r="D20534" s="2" t="s">
        <v>10</v>
      </c>
      <c r="E20534" s="2" t="str">
        <f>HYPERLINK("http://ts.21cn.com/tousu/show/id/1352591","http://ts.21cn.com/tousu/show/id/1352591")</f>
        <v>http://ts.21cn.com/tousu/show/id/1352591</v>
      </c>
      <c r="F20534" s="2" t="s">
        <v>11</v>
      </c>
      <c r="G20534" s="2" t="s">
        <v>3777</v>
      </c>
      <c r="H20534" s="2" t="s">
        <v>3778</v>
      </c>
    </row>
    <row r="20535" spans="1:8" ht="25.05" customHeight="1" x14ac:dyDescent="0.25">
      <c r="A20535" s="2" t="s">
        <v>8</v>
      </c>
      <c r="B20535" s="2" t="str">
        <f>HYPERLINK("http://ts.21cn.com/tousu/show/id/1352593","兴业银行突然变卦答应减免利息和违约金，")</f>
        <v>兴业银行突然变卦答应减免利息和违约金，</v>
      </c>
      <c r="C20535" s="2" t="s">
        <v>9</v>
      </c>
      <c r="D20535" s="2" t="s">
        <v>10</v>
      </c>
      <c r="E20535" s="2" t="str">
        <f>HYPERLINK("http://ts.21cn.com/tousu/show/id/1352593","http://ts.21cn.com/tousu/show/id/1352593")</f>
        <v>http://ts.21cn.com/tousu/show/id/1352593</v>
      </c>
      <c r="F20535" s="2" t="s">
        <v>11</v>
      </c>
      <c r="G20535" s="2" t="s">
        <v>3775</v>
      </c>
      <c r="H20535" s="2" t="s">
        <v>3776</v>
      </c>
    </row>
    <row r="20536" spans="1:8" ht="25.05" customHeight="1" x14ac:dyDescent="0.25">
      <c r="A20536" s="2" t="s">
        <v>8</v>
      </c>
      <c r="B20536" s="2" t="str">
        <f>HYPERLINK("http://ts.21cn.com/tousu/show/id/1352594","银小借恶意扣款")</f>
        <v>银小借恶意扣款</v>
      </c>
      <c r="C20536" s="2" t="s">
        <v>9</v>
      </c>
      <c r="D20536" s="2" t="s">
        <v>10</v>
      </c>
      <c r="E20536" s="2" t="str">
        <f>HYPERLINK("http://ts.21cn.com/tousu/show/id/1352594","http://ts.21cn.com/tousu/show/id/1352594")</f>
        <v>http://ts.21cn.com/tousu/show/id/1352594</v>
      </c>
      <c r="F20536" s="2" t="s">
        <v>11</v>
      </c>
      <c r="G20536" s="2" t="s">
        <v>3773</v>
      </c>
      <c r="H20536" s="2" t="s">
        <v>3774</v>
      </c>
    </row>
    <row r="20537" spans="1:8" ht="25.05" customHeight="1" x14ac:dyDescent="0.25">
      <c r="A20537" s="2" t="s">
        <v>8</v>
      </c>
      <c r="B20537" s="2" t="str">
        <f>HYPERLINK("http://ts.21cn.com/tousu/show/id/1352595","米米罐存在阴阳合同")</f>
        <v>米米罐存在阴阳合同</v>
      </c>
      <c r="C20537" s="2" t="s">
        <v>9</v>
      </c>
      <c r="D20537" s="2" t="s">
        <v>10</v>
      </c>
      <c r="E20537" s="2" t="str">
        <f>HYPERLINK("http://ts.21cn.com/tousu/show/id/1352595","http://ts.21cn.com/tousu/show/id/1352595")</f>
        <v>http://ts.21cn.com/tousu/show/id/1352595</v>
      </c>
      <c r="F20537" s="2" t="s">
        <v>11</v>
      </c>
      <c r="G20537" s="2" t="s">
        <v>3771</v>
      </c>
      <c r="H20537" s="2" t="s">
        <v>3772</v>
      </c>
    </row>
    <row r="20538" spans="1:8" ht="25.05" customHeight="1" x14ac:dyDescent="0.25">
      <c r="A20538" s="2" t="s">
        <v>8</v>
      </c>
      <c r="B20538" s="2" t="str">
        <f>HYPERLINK("http://ts.21cn.com/tousu/show/id/1352597","申请百合网退款")</f>
        <v>申请百合网退款</v>
      </c>
      <c r="C20538" s="2" t="s">
        <v>9</v>
      </c>
      <c r="D20538" s="2" t="s">
        <v>10</v>
      </c>
      <c r="E20538" s="2" t="str">
        <f>HYPERLINK("http://ts.21cn.com/tousu/show/id/1352597","http://ts.21cn.com/tousu/show/id/1352597")</f>
        <v>http://ts.21cn.com/tousu/show/id/1352597</v>
      </c>
      <c r="F20538" s="2" t="s">
        <v>11</v>
      </c>
      <c r="G20538" s="2" t="s">
        <v>3769</v>
      </c>
      <c r="H20538" s="2" t="s">
        <v>3770</v>
      </c>
    </row>
    <row r="20539" spans="1:8" ht="25.05" customHeight="1" x14ac:dyDescent="0.25">
      <c r="A20539" s="2" t="s">
        <v>8</v>
      </c>
      <c r="B20539" s="2" t="str">
        <f>HYPERLINK("http://ts.21cn.com/tousu/show/id/1352596","电话暴力骚扰")</f>
        <v>电话暴力骚扰</v>
      </c>
      <c r="C20539" s="2" t="s">
        <v>9</v>
      </c>
      <c r="D20539" s="2" t="s">
        <v>10</v>
      </c>
      <c r="E20539" s="2" t="str">
        <f>HYPERLINK("http://ts.21cn.com/tousu/show/id/1352596","http://ts.21cn.com/tousu/show/id/1352596")</f>
        <v>http://ts.21cn.com/tousu/show/id/1352596</v>
      </c>
      <c r="F20539" s="2" t="s">
        <v>11</v>
      </c>
      <c r="G20539" s="2" t="s">
        <v>3767</v>
      </c>
      <c r="H20539" s="2" t="s">
        <v>3768</v>
      </c>
    </row>
    <row r="20540" spans="1:8" ht="25.05" customHeight="1" x14ac:dyDescent="0.25">
      <c r="A20540" s="2" t="s">
        <v>8</v>
      </c>
      <c r="B20540" s="2" t="str">
        <f>HYPERLINK("http://ts.21cn.com/tousu/show/id/1352599","协商结清销帐")</f>
        <v>协商结清销帐</v>
      </c>
      <c r="C20540" s="2" t="s">
        <v>34</v>
      </c>
      <c r="D20540" s="2" t="s">
        <v>10</v>
      </c>
      <c r="E20540" s="2" t="str">
        <f>HYPERLINK("http://ts.21cn.com/tousu/show/id/1352599","http://ts.21cn.com/tousu/show/id/1352599")</f>
        <v>http://ts.21cn.com/tousu/show/id/1352599</v>
      </c>
      <c r="F20540" s="2" t="s">
        <v>11</v>
      </c>
      <c r="G20540" s="2" t="s">
        <v>3765</v>
      </c>
      <c r="H20540" s="2" t="s">
        <v>3766</v>
      </c>
    </row>
    <row r="20541" spans="1:8" ht="25.05" customHeight="1" x14ac:dyDescent="0.25">
      <c r="A20541" s="2" t="s">
        <v>8</v>
      </c>
      <c r="B20541" s="2" t="str">
        <f>HYPERLINK("http://ts.21cn.com/tousu/show/id/1352602","网易邮箱更换手机号后无法更改安全手机号，屡次申诉均不成功")</f>
        <v>网易邮箱更换手机号后无法更改安全手机号，屡次申诉均不成功</v>
      </c>
      <c r="C20541" s="2" t="s">
        <v>9</v>
      </c>
      <c r="D20541" s="2" t="s">
        <v>10</v>
      </c>
      <c r="E20541" s="2" t="str">
        <f>HYPERLINK("http://ts.21cn.com/tousu/show/id/1352602","http://ts.21cn.com/tousu/show/id/1352602")</f>
        <v>http://ts.21cn.com/tousu/show/id/1352602</v>
      </c>
      <c r="F20541" s="2" t="s">
        <v>11</v>
      </c>
      <c r="G20541" s="2" t="s">
        <v>3763</v>
      </c>
      <c r="H20541" s="2" t="s">
        <v>3764</v>
      </c>
    </row>
    <row r="20542" spans="1:8" ht="25.05" customHeight="1" x14ac:dyDescent="0.25">
      <c r="A20542" s="2" t="s">
        <v>8</v>
      </c>
      <c r="B20542" s="2" t="str">
        <f>HYPERLINK("http://ts.21cn.com/tousu/show/id/1352603","现金巴士高利贷")</f>
        <v>现金巴士高利贷</v>
      </c>
      <c r="C20542" s="2" t="s">
        <v>9</v>
      </c>
      <c r="D20542" s="2" t="s">
        <v>10</v>
      </c>
      <c r="E20542" s="2" t="str">
        <f>HYPERLINK("http://ts.21cn.com/tousu/show/id/1352603","http://ts.21cn.com/tousu/show/id/1352603")</f>
        <v>http://ts.21cn.com/tousu/show/id/1352603</v>
      </c>
      <c r="F20542" s="2" t="s">
        <v>11</v>
      </c>
      <c r="G20542" s="2" t="s">
        <v>3761</v>
      </c>
      <c r="H20542" s="2" t="s">
        <v>3762</v>
      </c>
    </row>
    <row r="20543" spans="1:8" ht="25.05" customHeight="1" x14ac:dyDescent="0.25">
      <c r="A20543" s="2" t="s">
        <v>8</v>
      </c>
      <c r="B20543" s="2" t="str">
        <f>HYPERLINK("http://ts.21cn.com/tousu/show/id/1352605","京东金条征信不如实上传,伪造合同,伪造文件")</f>
        <v>京东金条征信不如实上传,伪造合同,伪造文件</v>
      </c>
      <c r="C20543" s="2" t="s">
        <v>9</v>
      </c>
      <c r="D20543" s="2" t="s">
        <v>10</v>
      </c>
      <c r="E20543" s="2" t="str">
        <f>HYPERLINK("http://ts.21cn.com/tousu/show/id/1352605","http://ts.21cn.com/tousu/show/id/1352605")</f>
        <v>http://ts.21cn.com/tousu/show/id/1352605</v>
      </c>
      <c r="F20543" s="2" t="s">
        <v>11</v>
      </c>
      <c r="G20543" s="2" t="s">
        <v>3759</v>
      </c>
      <c r="H20543" s="2" t="s">
        <v>3760</v>
      </c>
    </row>
    <row r="20544" spans="1:8" ht="25.05" customHeight="1" x14ac:dyDescent="0.25">
      <c r="A20544" s="2" t="s">
        <v>8</v>
      </c>
      <c r="B20544" s="2" t="str">
        <f>HYPERLINK("http://ts.21cn.com/tousu/show/id/1352606","网贷714高炮，还了2600不销账")</f>
        <v>网贷714高炮，还了2600不销账</v>
      </c>
      <c r="C20544" s="2" t="s">
        <v>34</v>
      </c>
      <c r="D20544" s="2" t="s">
        <v>10</v>
      </c>
      <c r="E20544" s="2" t="str">
        <f>HYPERLINK("http://ts.21cn.com/tousu/show/id/1352606","http://ts.21cn.com/tousu/show/id/1352606")</f>
        <v>http://ts.21cn.com/tousu/show/id/1352606</v>
      </c>
      <c r="F20544" s="2" t="s">
        <v>11</v>
      </c>
      <c r="G20544" s="2" t="s">
        <v>3757</v>
      </c>
      <c r="H20544" s="2" t="s">
        <v>3758</v>
      </c>
    </row>
    <row r="20545" spans="1:8" ht="25.05" customHeight="1" x14ac:dyDescent="0.25">
      <c r="A20545" s="2" t="s">
        <v>8</v>
      </c>
      <c r="B20545" s="2" t="str">
        <f>HYPERLINK("http://ts.21cn.com/tousu/show/id/1352607","小赢轰炸式骚扰通讯录亲戚朋友")</f>
        <v>小赢轰炸式骚扰通讯录亲戚朋友</v>
      </c>
      <c r="C20545" s="2" t="s">
        <v>9</v>
      </c>
      <c r="D20545" s="2" t="s">
        <v>10</v>
      </c>
      <c r="E20545" s="2" t="str">
        <f>HYPERLINK("http://ts.21cn.com/tousu/show/id/1352607","http://ts.21cn.com/tousu/show/id/1352607")</f>
        <v>http://ts.21cn.com/tousu/show/id/1352607</v>
      </c>
      <c r="F20545" s="2" t="s">
        <v>11</v>
      </c>
      <c r="G20545" s="2" t="s">
        <v>3755</v>
      </c>
      <c r="H20545" s="2" t="s">
        <v>3756</v>
      </c>
    </row>
    <row r="20546" spans="1:8" ht="25.05" customHeight="1" x14ac:dyDescent="0.25">
      <c r="A20546" s="2" t="s">
        <v>8</v>
      </c>
      <c r="B20546" s="2" t="str">
        <f>HYPERLINK("http://ts.21cn.com/tousu/show/id/1349174","四川影华欺瞒消费者")</f>
        <v>四川影华欺瞒消费者</v>
      </c>
      <c r="C20546" s="2" t="s">
        <v>9</v>
      </c>
      <c r="D20546" s="2" t="s">
        <v>10</v>
      </c>
      <c r="E20546" s="2" t="str">
        <f>HYPERLINK("http://ts.21cn.com/tousu/show/id/1349174","http://ts.21cn.com/tousu/show/id/1349174")</f>
        <v>http://ts.21cn.com/tousu/show/id/1349174</v>
      </c>
      <c r="F20546" s="2" t="s">
        <v>11</v>
      </c>
      <c r="G20546" s="2" t="s">
        <v>3753</v>
      </c>
      <c r="H20546" s="2" t="s">
        <v>3754</v>
      </c>
    </row>
    <row r="20547" spans="1:8" ht="25.05" customHeight="1" x14ac:dyDescent="0.25">
      <c r="A20547" s="2" t="s">
        <v>8</v>
      </c>
      <c r="B20547" s="2" t="str">
        <f>HYPERLINK("http://ts.21cn.com/tousu/show/id/1352608","银码头私自扣钱")</f>
        <v>银码头私自扣钱</v>
      </c>
      <c r="C20547" s="2" t="s">
        <v>34</v>
      </c>
      <c r="D20547" s="2" t="s">
        <v>10</v>
      </c>
      <c r="E20547" s="2" t="str">
        <f>HYPERLINK("http://ts.21cn.com/tousu/show/id/1352608","http://ts.21cn.com/tousu/show/id/1352608")</f>
        <v>http://ts.21cn.com/tousu/show/id/1352608</v>
      </c>
      <c r="F20547" s="2" t="s">
        <v>11</v>
      </c>
      <c r="G20547" s="2" t="s">
        <v>3751</v>
      </c>
      <c r="H20547" s="2" t="s">
        <v>3752</v>
      </c>
    </row>
    <row r="20548" spans="1:8" ht="25.05" customHeight="1" x14ac:dyDescent="0.25">
      <c r="A20548" s="2" t="s">
        <v>8</v>
      </c>
      <c r="B20548" s="2" t="str">
        <f>HYPERLINK("http://ts.21cn.com/tousu/show/id/1352610","京东白条协商还款")</f>
        <v>京东白条协商还款</v>
      </c>
      <c r="C20548" s="2" t="s">
        <v>9</v>
      </c>
      <c r="D20548" s="2" t="s">
        <v>10</v>
      </c>
      <c r="E20548" s="2" t="str">
        <f>HYPERLINK("http://ts.21cn.com/tousu/show/id/1352610","http://ts.21cn.com/tousu/show/id/1352610")</f>
        <v>http://ts.21cn.com/tousu/show/id/1352610</v>
      </c>
      <c r="F20548" s="2" t="s">
        <v>11</v>
      </c>
      <c r="G20548" s="2" t="s">
        <v>3749</v>
      </c>
      <c r="H20548" s="2" t="s">
        <v>3750</v>
      </c>
    </row>
    <row r="20549" spans="1:8" ht="25.05" customHeight="1" x14ac:dyDescent="0.25">
      <c r="A20549" s="2" t="s">
        <v>8</v>
      </c>
      <c r="B20549" s="2" t="str">
        <f>HYPERLINK("http://ts.21cn.com/tousu/show/id/1352609","玖富万卡擅自改写合同，变相收取费用，高利贷")</f>
        <v>玖富万卡擅自改写合同，变相收取费用，高利贷</v>
      </c>
      <c r="C20549" s="2" t="s">
        <v>9</v>
      </c>
      <c r="D20549" s="2" t="s">
        <v>10</v>
      </c>
      <c r="E20549" s="2" t="str">
        <f>HYPERLINK("http://ts.21cn.com/tousu/show/id/1352609","http://ts.21cn.com/tousu/show/id/1352609")</f>
        <v>http://ts.21cn.com/tousu/show/id/1352609</v>
      </c>
      <c r="F20549" s="2" t="s">
        <v>11</v>
      </c>
      <c r="G20549" s="2" t="s">
        <v>3747</v>
      </c>
      <c r="H20549" s="2" t="s">
        <v>3748</v>
      </c>
    </row>
    <row r="20550" spans="1:8" ht="25.05" customHeight="1" x14ac:dyDescent="0.25">
      <c r="A20550" s="2" t="s">
        <v>8</v>
      </c>
      <c r="B20550" s="2" t="str">
        <f>HYPERLINK("http://ts.21cn.com/tousu/show/id/1352611","中邮钱包逾期四天违约金要50")</f>
        <v>中邮钱包逾期四天违约金要50</v>
      </c>
      <c r="C20550" s="2" t="s">
        <v>9</v>
      </c>
      <c r="D20550" s="2" t="s">
        <v>10</v>
      </c>
      <c r="E20550" s="2" t="str">
        <f>HYPERLINK("http://ts.21cn.com/tousu/show/id/1352611","http://ts.21cn.com/tousu/show/id/1352611")</f>
        <v>http://ts.21cn.com/tousu/show/id/1352611</v>
      </c>
      <c r="F20550" s="2" t="s">
        <v>11</v>
      </c>
      <c r="G20550" s="2" t="s">
        <v>3745</v>
      </c>
      <c r="H20550" s="2" t="s">
        <v>3746</v>
      </c>
    </row>
    <row r="20551" spans="1:8" ht="25.05" customHeight="1" x14ac:dyDescent="0.25">
      <c r="A20551" s="2" t="s">
        <v>8</v>
      </c>
      <c r="B20551" s="2" t="str">
        <f>HYPERLINK("http://ts.21cn.com/tousu/show/id/1352612","交通银行电话骚扰")</f>
        <v>交通银行电话骚扰</v>
      </c>
      <c r="C20551" s="2" t="s">
        <v>9</v>
      </c>
      <c r="D20551" s="2" t="s">
        <v>10</v>
      </c>
      <c r="E20551" s="2" t="str">
        <f>HYPERLINK("http://ts.21cn.com/tousu/show/id/1352612","http://ts.21cn.com/tousu/show/id/1352612")</f>
        <v>http://ts.21cn.com/tousu/show/id/1352612</v>
      </c>
      <c r="F20551" s="2" t="s">
        <v>11</v>
      </c>
      <c r="G20551" s="2" t="s">
        <v>3743</v>
      </c>
      <c r="H20551" s="2" t="s">
        <v>3744</v>
      </c>
    </row>
    <row r="20552" spans="1:8" ht="25.05" customHeight="1" x14ac:dyDescent="0.25">
      <c r="A20552" s="2" t="s">
        <v>8</v>
      </c>
      <c r="B20552" s="2" t="str">
        <f>HYPERLINK("http://ts.21cn.com/tousu/show/id/1352613","钱站骚扰亲朋好友")</f>
        <v>钱站骚扰亲朋好友</v>
      </c>
      <c r="C20552" s="2" t="s">
        <v>9</v>
      </c>
      <c r="D20552" s="2" t="s">
        <v>10</v>
      </c>
      <c r="E20552" s="2" t="str">
        <f>HYPERLINK("http://ts.21cn.com/tousu/show/id/1352613","http://ts.21cn.com/tousu/show/id/1352613")</f>
        <v>http://ts.21cn.com/tousu/show/id/1352613</v>
      </c>
      <c r="F20552" s="2" t="s">
        <v>11</v>
      </c>
      <c r="G20552" s="2" t="s">
        <v>3741</v>
      </c>
      <c r="H20552" s="2" t="s">
        <v>3742</v>
      </c>
    </row>
    <row r="20553" spans="1:8" ht="25.05" customHeight="1" x14ac:dyDescent="0.25">
      <c r="A20553" s="2" t="s">
        <v>8</v>
      </c>
      <c r="B20553" s="2" t="str">
        <f>HYPERLINK("http://ts.21cn.com/tousu/show/id/1352614","招联金融催收威胁爆通讯录")</f>
        <v>招联金融催收威胁爆通讯录</v>
      </c>
      <c r="C20553" s="2" t="s">
        <v>9</v>
      </c>
      <c r="D20553" s="2" t="s">
        <v>10</v>
      </c>
      <c r="E20553" s="2" t="str">
        <f>HYPERLINK("http://ts.21cn.com/tousu/show/id/1352614","http://ts.21cn.com/tousu/show/id/1352614")</f>
        <v>http://ts.21cn.com/tousu/show/id/1352614</v>
      </c>
      <c r="F20553" s="2" t="s">
        <v>11</v>
      </c>
      <c r="G20553" s="2" t="s">
        <v>3739</v>
      </c>
      <c r="H20553" s="2" t="s">
        <v>3740</v>
      </c>
    </row>
    <row r="20554" spans="1:8" ht="25.05" customHeight="1" x14ac:dyDescent="0.25">
      <c r="A20554" s="2" t="s">
        <v>8</v>
      </c>
      <c r="B20554" s="2" t="str">
        <f>HYPERLINK("http://ts.21cn.com/tousu/show/id/1352615","暴力催收")</f>
        <v>暴力催收</v>
      </c>
      <c r="C20554" s="2" t="s">
        <v>9</v>
      </c>
      <c r="D20554" s="2" t="s">
        <v>10</v>
      </c>
      <c r="E20554" s="2" t="str">
        <f>HYPERLINK("http://ts.21cn.com/tousu/show/id/1352615","http://ts.21cn.com/tousu/show/id/1352615")</f>
        <v>http://ts.21cn.com/tousu/show/id/1352615</v>
      </c>
      <c r="F20554" s="2" t="s">
        <v>11</v>
      </c>
      <c r="G20554" s="2" t="s">
        <v>3737</v>
      </c>
      <c r="H20554" s="2" t="s">
        <v>3738</v>
      </c>
    </row>
    <row r="20555" spans="1:8" ht="25.05" customHeight="1" x14ac:dyDescent="0.25">
      <c r="A20555" s="2" t="s">
        <v>8</v>
      </c>
      <c r="B20555" s="2" t="str">
        <f>HYPERLINK("http://ts.21cn.com/tousu/show/id/1352616","收取前期费用")</f>
        <v>收取前期费用</v>
      </c>
      <c r="C20555" s="2" t="s">
        <v>34</v>
      </c>
      <c r="D20555" s="2" t="s">
        <v>10</v>
      </c>
      <c r="E20555" s="2" t="str">
        <f>HYPERLINK("http://ts.21cn.com/tousu/show/id/1352616","http://ts.21cn.com/tousu/show/id/1352616")</f>
        <v>http://ts.21cn.com/tousu/show/id/1352616</v>
      </c>
      <c r="F20555" s="2" t="s">
        <v>11</v>
      </c>
      <c r="G20555" s="2" t="s">
        <v>3735</v>
      </c>
      <c r="H20555" s="2" t="s">
        <v>3736</v>
      </c>
    </row>
    <row r="20556" spans="1:8" ht="25.05" customHeight="1" x14ac:dyDescent="0.25">
      <c r="A20556" s="2" t="s">
        <v>8</v>
      </c>
      <c r="B20556" s="2" t="str">
        <f>HYPERLINK("http://ts.21cn.com/tousu/show/id/1352620","投诉深圳卫盈智信科技有限公司催收+客服拒接电话+高额逾期费")</f>
        <v>投诉深圳卫盈智信科技有限公司催收+客服拒接电话+高额逾期费</v>
      </c>
      <c r="C20556" s="2" t="s">
        <v>9</v>
      </c>
      <c r="D20556" s="2" t="s">
        <v>10</v>
      </c>
      <c r="E20556" s="2" t="str">
        <f>HYPERLINK("http://ts.21cn.com/tousu/show/id/1352620","http://ts.21cn.com/tousu/show/id/1352620")</f>
        <v>http://ts.21cn.com/tousu/show/id/1352620</v>
      </c>
      <c r="F20556" s="2" t="s">
        <v>11</v>
      </c>
      <c r="G20556" s="2" t="s">
        <v>3733</v>
      </c>
      <c r="H20556" s="2" t="s">
        <v>3734</v>
      </c>
    </row>
    <row r="20557" spans="1:8" ht="25.05" customHeight="1" x14ac:dyDescent="0.25">
      <c r="A20557" s="2" t="s">
        <v>8</v>
      </c>
      <c r="B20557" s="2" t="str">
        <f>HYPERLINK("http://ts.21cn.com/tousu/show/id/1352617","乱收费扣钱")</f>
        <v>乱收费扣钱</v>
      </c>
      <c r="C20557" s="2" t="s">
        <v>9</v>
      </c>
      <c r="D20557" s="2" t="s">
        <v>10</v>
      </c>
      <c r="E20557" s="2" t="str">
        <f>HYPERLINK("http://ts.21cn.com/tousu/show/id/1352617","http://ts.21cn.com/tousu/show/id/1352617")</f>
        <v>http://ts.21cn.com/tousu/show/id/1352617</v>
      </c>
      <c r="F20557" s="2" t="s">
        <v>11</v>
      </c>
      <c r="G20557" s="2" t="s">
        <v>3731</v>
      </c>
      <c r="H20557" s="2" t="s">
        <v>3732</v>
      </c>
    </row>
    <row r="20558" spans="1:8" ht="25.05" customHeight="1" x14ac:dyDescent="0.25">
      <c r="A20558" s="2" t="s">
        <v>8</v>
      </c>
      <c r="B20558" s="2" t="str">
        <f>HYPERLINK("http://ts.21cn.com/tousu/show/id/1352618","宏萨上海信息科技有限公司未经我允许私自从我工商银行账上划走199元，要求退款，不接受无缘故的扣款")</f>
        <v>宏萨上海信息科技有限公司未经我允许私自从我工商银行账上划走199元，要求退款，不接受无缘故的扣款</v>
      </c>
      <c r="C20558" s="2" t="s">
        <v>9</v>
      </c>
      <c r="D20558" s="2" t="s">
        <v>10</v>
      </c>
      <c r="E20558" s="2" t="str">
        <f>HYPERLINK("http://ts.21cn.com/tousu/show/id/1352618","http://ts.21cn.com/tousu/show/id/1352618")</f>
        <v>http://ts.21cn.com/tousu/show/id/1352618</v>
      </c>
      <c r="F20558" s="2" t="s">
        <v>11</v>
      </c>
      <c r="G20558" s="2" t="s">
        <v>3729</v>
      </c>
      <c r="H20558" s="2" t="s">
        <v>3730</v>
      </c>
    </row>
    <row r="20559" spans="1:8" ht="25.05" customHeight="1" x14ac:dyDescent="0.25">
      <c r="A20559" s="2" t="s">
        <v>8</v>
      </c>
      <c r="B20559" s="2" t="str">
        <f>HYPERLINK("http://ts.21cn.com/tousu/show/id/1352621","信用钱包暴力催收。恐吓威胁。")</f>
        <v>信用钱包暴力催收。恐吓威胁。</v>
      </c>
      <c r="C20559" s="2" t="s">
        <v>9</v>
      </c>
      <c r="D20559" s="2" t="s">
        <v>10</v>
      </c>
      <c r="E20559" s="2" t="str">
        <f>HYPERLINK("http://ts.21cn.com/tousu/show/id/1352621","http://ts.21cn.com/tousu/show/id/1352621")</f>
        <v>http://ts.21cn.com/tousu/show/id/1352621</v>
      </c>
      <c r="F20559" s="2" t="s">
        <v>11</v>
      </c>
      <c r="G20559" s="2" t="s">
        <v>3727</v>
      </c>
      <c r="H20559" s="2" t="s">
        <v>3728</v>
      </c>
    </row>
    <row r="20560" spans="1:8" ht="25.05" customHeight="1" x14ac:dyDescent="0.25">
      <c r="A20560" s="2" t="s">
        <v>8</v>
      </c>
      <c r="B20560" s="2" t="str">
        <f>HYPERLINK("http://ts.21cn.com/tousu/show/id/1352619","资金被盗取 支付宝和保险不给赔付")</f>
        <v>资金被盗取 支付宝和保险不给赔付</v>
      </c>
      <c r="C20560" s="2" t="s">
        <v>9</v>
      </c>
      <c r="D20560" s="2" t="s">
        <v>10</v>
      </c>
      <c r="E20560" s="2" t="str">
        <f>HYPERLINK("http://ts.21cn.com/tousu/show/id/1352619","http://ts.21cn.com/tousu/show/id/1352619")</f>
        <v>http://ts.21cn.com/tousu/show/id/1352619</v>
      </c>
      <c r="F20560" s="2" t="s">
        <v>11</v>
      </c>
      <c r="G20560" s="2" t="s">
        <v>3725</v>
      </c>
      <c r="H20560" s="2" t="s">
        <v>3726</v>
      </c>
    </row>
    <row r="20561" spans="1:8" ht="25.05" customHeight="1" x14ac:dyDescent="0.25">
      <c r="A20561" s="2" t="s">
        <v>8</v>
      </c>
      <c r="B20561" s="2" t="str">
        <f>HYPERLINK("http://ts.21cn.com/tousu/show/id/1352622","360借条爆通讯录暴力催收")</f>
        <v>360借条爆通讯录暴力催收</v>
      </c>
      <c r="C20561" s="2" t="s">
        <v>9</v>
      </c>
      <c r="D20561" s="2" t="s">
        <v>10</v>
      </c>
      <c r="E20561" s="2" t="str">
        <f>HYPERLINK("http://ts.21cn.com/tousu/show/id/1352622","http://ts.21cn.com/tousu/show/id/1352622")</f>
        <v>http://ts.21cn.com/tousu/show/id/1352622</v>
      </c>
      <c r="F20561" s="2" t="s">
        <v>11</v>
      </c>
      <c r="G20561" s="2" t="s">
        <v>3723</v>
      </c>
      <c r="H20561" s="2" t="s">
        <v>3724</v>
      </c>
    </row>
    <row r="20562" spans="1:8" ht="25.05" customHeight="1" x14ac:dyDescent="0.25">
      <c r="A20562" s="2" t="s">
        <v>8</v>
      </c>
      <c r="B20562" s="2" t="str">
        <f>HYPERLINK("http://ts.21cn.com/tousu/show/id/1352623","万达贷款要投诉我")</f>
        <v>万达贷款要投诉我</v>
      </c>
      <c r="C20562" s="2" t="s">
        <v>9</v>
      </c>
      <c r="D20562" s="2" t="s">
        <v>10</v>
      </c>
      <c r="E20562" s="2" t="str">
        <f>HYPERLINK("http://ts.21cn.com/tousu/show/id/1352623","http://ts.21cn.com/tousu/show/id/1352623")</f>
        <v>http://ts.21cn.com/tousu/show/id/1352623</v>
      </c>
      <c r="F20562" s="2" t="s">
        <v>11</v>
      </c>
      <c r="G20562" s="2" t="s">
        <v>3721</v>
      </c>
      <c r="H20562" s="2" t="s">
        <v>3722</v>
      </c>
    </row>
    <row r="20563" spans="1:8" ht="25.05" customHeight="1" x14ac:dyDescent="0.25">
      <c r="A20563" s="2" t="s">
        <v>8</v>
      </c>
      <c r="B20563" s="2" t="str">
        <f>HYPERLINK("http://ts.21cn.com/tousu/show/id/1352625","微贷网多米贷")</f>
        <v>微贷网多米贷</v>
      </c>
      <c r="C20563" s="2" t="s">
        <v>9</v>
      </c>
      <c r="D20563" s="2" t="s">
        <v>10</v>
      </c>
      <c r="E20563" s="2" t="str">
        <f>HYPERLINK("http://ts.21cn.com/tousu/show/id/1352625","http://ts.21cn.com/tousu/show/id/1352625")</f>
        <v>http://ts.21cn.com/tousu/show/id/1352625</v>
      </c>
      <c r="F20563" s="2" t="s">
        <v>11</v>
      </c>
      <c r="G20563" s="2" t="s">
        <v>3719</v>
      </c>
      <c r="H20563" s="2" t="s">
        <v>3720</v>
      </c>
    </row>
    <row r="20564" spans="1:8" ht="25.05" customHeight="1" x14ac:dyDescent="0.25">
      <c r="A20564" s="2" t="s">
        <v>8</v>
      </c>
      <c r="B20564" s="2" t="str">
        <f>HYPERLINK("http://ts.21cn.com/tousu/show/id/1352626","充多多购买的网易一卡通要求退货退款")</f>
        <v>充多多购买的网易一卡通要求退货退款</v>
      </c>
      <c r="C20564" s="2" t="s">
        <v>9</v>
      </c>
      <c r="D20564" s="2" t="s">
        <v>10</v>
      </c>
      <c r="E20564" s="2" t="str">
        <f>HYPERLINK("http://ts.21cn.com/tousu/show/id/1352626","http://ts.21cn.com/tousu/show/id/1352626")</f>
        <v>http://ts.21cn.com/tousu/show/id/1352626</v>
      </c>
      <c r="F20564" s="2" t="s">
        <v>11</v>
      </c>
      <c r="G20564" s="2" t="s">
        <v>3717</v>
      </c>
      <c r="H20564" s="2" t="s">
        <v>3718</v>
      </c>
    </row>
    <row r="20565" spans="1:8" ht="25.05" customHeight="1" x14ac:dyDescent="0.25">
      <c r="A20565" s="2" t="s">
        <v>8</v>
      </c>
      <c r="B20565" s="2" t="str">
        <f>HYPERLINK("http://ts.21cn.com/tousu/show/id/1352627","钱站高利贷阴阳合同")</f>
        <v>钱站高利贷阴阳合同</v>
      </c>
      <c r="C20565" s="2" t="s">
        <v>9</v>
      </c>
      <c r="D20565" s="2" t="s">
        <v>10</v>
      </c>
      <c r="E20565" s="2" t="str">
        <f>HYPERLINK("http://ts.21cn.com/tousu/show/id/1352627","http://ts.21cn.com/tousu/show/id/1352627")</f>
        <v>http://ts.21cn.com/tousu/show/id/1352627</v>
      </c>
      <c r="F20565" s="2" t="s">
        <v>11</v>
      </c>
      <c r="G20565" s="2" t="s">
        <v>3715</v>
      </c>
      <c r="H20565" s="2" t="s">
        <v>3716</v>
      </c>
    </row>
    <row r="20566" spans="1:8" ht="25.05" customHeight="1" x14ac:dyDescent="0.25">
      <c r="A20566" s="2" t="s">
        <v>8</v>
      </c>
      <c r="B20566" s="2" t="str">
        <f>HYPERLINK("http://ts.21cn.com/tousu/show/id/1352628","新浪分期提前结清要求减免")</f>
        <v>新浪分期提前结清要求减免</v>
      </c>
      <c r="C20566" s="2" t="s">
        <v>9</v>
      </c>
      <c r="D20566" s="2" t="s">
        <v>10</v>
      </c>
      <c r="E20566" s="2" t="str">
        <f>HYPERLINK("http://ts.21cn.com/tousu/show/id/1352628","http://ts.21cn.com/tousu/show/id/1352628")</f>
        <v>http://ts.21cn.com/tousu/show/id/1352628</v>
      </c>
      <c r="F20566" s="2" t="s">
        <v>11</v>
      </c>
      <c r="G20566" s="2" t="s">
        <v>3713</v>
      </c>
      <c r="H20566" s="2" t="s">
        <v>3714</v>
      </c>
    </row>
    <row r="20567" spans="1:8" ht="25.05" customHeight="1" x14ac:dyDescent="0.25">
      <c r="A20567" s="2" t="s">
        <v>8</v>
      </c>
      <c r="B20567" s="2" t="str">
        <f>HYPERLINK("http://ts.21cn.com/tousu/show/id/1352629","玖富万卡变相收取高利息服务费现请求减免利息服务费")</f>
        <v>玖富万卡变相收取高利息服务费现请求减免利息服务费</v>
      </c>
      <c r="C20567" s="2" t="s">
        <v>9</v>
      </c>
      <c r="D20567" s="2" t="s">
        <v>10</v>
      </c>
      <c r="E20567" s="2" t="str">
        <f>HYPERLINK("http://ts.21cn.com/tousu/show/id/1352629","http://ts.21cn.com/tousu/show/id/1352629")</f>
        <v>http://ts.21cn.com/tousu/show/id/1352629</v>
      </c>
      <c r="F20567" s="2" t="s">
        <v>11</v>
      </c>
      <c r="G20567" s="2" t="s">
        <v>3711</v>
      </c>
      <c r="H20567" s="2" t="s">
        <v>3712</v>
      </c>
    </row>
    <row r="20568" spans="1:8" ht="25.05" customHeight="1" x14ac:dyDescent="0.25">
      <c r="A20568" s="2" t="s">
        <v>8</v>
      </c>
      <c r="B20568" s="2" t="str">
        <f>HYPERLINK("http://ts.21cn.com/tousu/show/id/1352630","侬要贷平台收取199元评估报告费")</f>
        <v>侬要贷平台收取199元评估报告费</v>
      </c>
      <c r="C20568" s="2" t="s">
        <v>34</v>
      </c>
      <c r="D20568" s="2" t="s">
        <v>10</v>
      </c>
      <c r="E20568" s="2" t="str">
        <f>HYPERLINK("http://ts.21cn.com/tousu/show/id/1352630","http://ts.21cn.com/tousu/show/id/1352630")</f>
        <v>http://ts.21cn.com/tousu/show/id/1352630</v>
      </c>
      <c r="F20568" s="2" t="s">
        <v>11</v>
      </c>
      <c r="G20568" s="2" t="s">
        <v>3709</v>
      </c>
      <c r="H20568" s="2" t="s">
        <v>3710</v>
      </c>
    </row>
    <row r="20569" spans="1:8" ht="25.05" customHeight="1" x14ac:dyDescent="0.25">
      <c r="A20569" s="2" t="s">
        <v>8</v>
      </c>
      <c r="B20569" s="2" t="str">
        <f>HYPERLINK("http://ts.21cn.com/tousu/show/id/1352631","拼多多平台为赌博网站提供支付服务")</f>
        <v>拼多多平台为赌博网站提供支付服务</v>
      </c>
      <c r="C20569" s="2" t="s">
        <v>9</v>
      </c>
      <c r="D20569" s="2" t="s">
        <v>10</v>
      </c>
      <c r="E20569" s="2" t="str">
        <f>HYPERLINK("http://ts.21cn.com/tousu/show/id/1352631","http://ts.21cn.com/tousu/show/id/1352631")</f>
        <v>http://ts.21cn.com/tousu/show/id/1352631</v>
      </c>
      <c r="F20569" s="2" t="s">
        <v>11</v>
      </c>
      <c r="G20569" s="2" t="s">
        <v>3707</v>
      </c>
      <c r="H20569" s="2" t="s">
        <v>3708</v>
      </c>
    </row>
    <row r="20570" spans="1:8" ht="25.05" customHeight="1" x14ac:dyDescent="0.25">
      <c r="A20570" s="2" t="s">
        <v>8</v>
      </c>
      <c r="B20570" s="2" t="str">
        <f>HYPERLINK("http://ts.21cn.com/tousu/show/id/1352632","行车费用")</f>
        <v>行车费用</v>
      </c>
      <c r="C20570" s="2" t="s">
        <v>9</v>
      </c>
      <c r="D20570" s="2" t="s">
        <v>10</v>
      </c>
      <c r="E20570" s="2" t="str">
        <f>HYPERLINK("http://ts.21cn.com/tousu/show/id/1352632","http://ts.21cn.com/tousu/show/id/1352632")</f>
        <v>http://ts.21cn.com/tousu/show/id/1352632</v>
      </c>
      <c r="F20570" s="2" t="s">
        <v>11</v>
      </c>
      <c r="G20570" s="2" t="s">
        <v>3705</v>
      </c>
      <c r="H20570" s="2" t="s">
        <v>3706</v>
      </c>
    </row>
    <row r="20571" spans="1:8" ht="25.05" customHeight="1" x14ac:dyDescent="0.25">
      <c r="A20571" s="2" t="s">
        <v>8</v>
      </c>
      <c r="B20571" s="2" t="str">
        <f>HYPERLINK("http://ts.21cn.com/tousu/show/id/1352633","你我贷嘉卡贷利息可怕")</f>
        <v>你我贷嘉卡贷利息可怕</v>
      </c>
      <c r="C20571" s="2" t="s">
        <v>34</v>
      </c>
      <c r="D20571" s="2" t="s">
        <v>10</v>
      </c>
      <c r="E20571" s="2" t="str">
        <f>HYPERLINK("http://ts.21cn.com/tousu/show/id/1352633","http://ts.21cn.com/tousu/show/id/1352633")</f>
        <v>http://ts.21cn.com/tousu/show/id/1352633</v>
      </c>
      <c r="F20571" s="2" t="s">
        <v>11</v>
      </c>
      <c r="G20571" s="2" t="s">
        <v>3703</v>
      </c>
      <c r="H20571" s="2" t="s">
        <v>3704</v>
      </c>
    </row>
    <row r="20572" spans="1:8" ht="25.05" customHeight="1" x14ac:dyDescent="0.25">
      <c r="A20572" s="2" t="s">
        <v>8</v>
      </c>
      <c r="B20572" s="2" t="str">
        <f>HYPERLINK("http://ts.21cn.com/tousu/show/id/1352636","点融U钱包暴力催收，态度恶劣。恐吓，威胁，乱发短信骚扰亲戚朋友")</f>
        <v>点融U钱包暴力催收，态度恶劣。恐吓，威胁，乱发短信骚扰亲戚朋友</v>
      </c>
      <c r="C20572" s="2" t="s">
        <v>9</v>
      </c>
      <c r="D20572" s="2" t="s">
        <v>10</v>
      </c>
      <c r="E20572" s="2" t="str">
        <f>HYPERLINK("http://ts.21cn.com/tousu/show/id/1352636","http://ts.21cn.com/tousu/show/id/1352636")</f>
        <v>http://ts.21cn.com/tousu/show/id/1352636</v>
      </c>
      <c r="F20572" s="2" t="s">
        <v>11</v>
      </c>
      <c r="G20572" s="2" t="s">
        <v>3701</v>
      </c>
      <c r="H20572" s="2" t="s">
        <v>3702</v>
      </c>
    </row>
    <row r="20573" spans="1:8" ht="25.05" customHeight="1" x14ac:dyDescent="0.25">
      <c r="A20573" s="2" t="s">
        <v>8</v>
      </c>
      <c r="B20573" s="2" t="str">
        <f>HYPERLINK("http://ts.21cn.com/tousu/show/id/1352624","全网持续曝光山东海联装饰材料有限公司坑蒙套路我108000血汗钱")</f>
        <v>全网持续曝光山东海联装饰材料有限公司坑蒙套路我108000血汗钱</v>
      </c>
      <c r="C20573" s="2" t="s">
        <v>9</v>
      </c>
      <c r="D20573" s="2" t="s">
        <v>10</v>
      </c>
      <c r="E20573" s="2" t="str">
        <f>HYPERLINK("http://ts.21cn.com/tousu/show/id/1352624","http://ts.21cn.com/tousu/show/id/1352624")</f>
        <v>http://ts.21cn.com/tousu/show/id/1352624</v>
      </c>
      <c r="F20573" s="2" t="s">
        <v>11</v>
      </c>
      <c r="G20573" s="2" t="s">
        <v>3699</v>
      </c>
      <c r="H20573" s="2" t="s">
        <v>3700</v>
      </c>
    </row>
    <row r="20574" spans="1:8" ht="25.05" customHeight="1" x14ac:dyDescent="0.25">
      <c r="A20574" s="2" t="s">
        <v>8</v>
      </c>
      <c r="B20574" s="2" t="str">
        <f>HYPERLINK("http://ts.21cn.com/tousu/show/id/1352637","盼达用车退还押金")</f>
        <v>盼达用车退还押金</v>
      </c>
      <c r="C20574" s="2" t="s">
        <v>9</v>
      </c>
      <c r="D20574" s="2" t="s">
        <v>10</v>
      </c>
      <c r="E20574" s="2" t="str">
        <f>HYPERLINK("http://ts.21cn.com/tousu/show/id/1352637","http://ts.21cn.com/tousu/show/id/1352637")</f>
        <v>http://ts.21cn.com/tousu/show/id/1352637</v>
      </c>
      <c r="F20574" s="2" t="s">
        <v>11</v>
      </c>
      <c r="G20574" s="2" t="s">
        <v>3697</v>
      </c>
      <c r="H20574" s="2" t="s">
        <v>3698</v>
      </c>
    </row>
    <row r="20575" spans="1:8" ht="25.05" customHeight="1" x14ac:dyDescent="0.25">
      <c r="A20575" s="2" t="s">
        <v>8</v>
      </c>
      <c r="B20575" s="2" t="str">
        <f>HYPERLINK("http://ts.21cn.com/tousu/show/id/1352634","投诉安亿花app，退回欺诈的198元钱。")</f>
        <v>投诉安亿花app，退回欺诈的198元钱。</v>
      </c>
      <c r="C20575" s="2" t="s">
        <v>34</v>
      </c>
      <c r="D20575" s="2" t="s">
        <v>10</v>
      </c>
      <c r="E20575" s="2" t="str">
        <f>HYPERLINK("http://ts.21cn.com/tousu/show/id/1352634","http://ts.21cn.com/tousu/show/id/1352634")</f>
        <v>http://ts.21cn.com/tousu/show/id/1352634</v>
      </c>
      <c r="F20575" s="2" t="s">
        <v>11</v>
      </c>
      <c r="G20575" s="2" t="s">
        <v>3695</v>
      </c>
      <c r="H20575" s="2" t="s">
        <v>3696</v>
      </c>
    </row>
    <row r="20576" spans="1:8" ht="25.05" customHeight="1" x14ac:dyDescent="0.25">
      <c r="A20576" s="2" t="s">
        <v>8</v>
      </c>
      <c r="B20576" s="2" t="str">
        <f>HYPERLINK("http://ts.21cn.com/tousu/show/id/1352635","没有申请安亿花网贷，却收到借款申请通过的信息")</f>
        <v>没有申请安亿花网贷，却收到借款申请通过的信息</v>
      </c>
      <c r="C20576" s="2" t="s">
        <v>9</v>
      </c>
      <c r="D20576" s="2" t="s">
        <v>10</v>
      </c>
      <c r="E20576" s="2" t="str">
        <f>HYPERLINK("http://ts.21cn.com/tousu/show/id/1352635","http://ts.21cn.com/tousu/show/id/1352635")</f>
        <v>http://ts.21cn.com/tousu/show/id/1352635</v>
      </c>
      <c r="F20576" s="2" t="s">
        <v>11</v>
      </c>
      <c r="G20576" s="2" t="s">
        <v>3693</v>
      </c>
      <c r="H20576" s="2" t="s">
        <v>3694</v>
      </c>
    </row>
    <row r="20577" spans="1:8" ht="25.05" customHeight="1" x14ac:dyDescent="0.25">
      <c r="A20577" s="2" t="s">
        <v>8</v>
      </c>
      <c r="B20577" s="2" t="str">
        <f>HYPERLINK("http://ts.21cn.com/tousu/show/id/1352638","你我贷高利息")</f>
        <v>你我贷高利息</v>
      </c>
      <c r="C20577" s="2" t="s">
        <v>9</v>
      </c>
      <c r="D20577" s="2" t="s">
        <v>10</v>
      </c>
      <c r="E20577" s="2" t="str">
        <f>HYPERLINK("http://ts.21cn.com/tousu/show/id/1352638","http://ts.21cn.com/tousu/show/id/1352638")</f>
        <v>http://ts.21cn.com/tousu/show/id/1352638</v>
      </c>
      <c r="F20577" s="2" t="s">
        <v>11</v>
      </c>
      <c r="G20577" s="2" t="s">
        <v>3691</v>
      </c>
      <c r="H20577" s="2" t="s">
        <v>3692</v>
      </c>
    </row>
    <row r="20578" spans="1:8" ht="25.05" customHeight="1" x14ac:dyDescent="0.25">
      <c r="A20578" s="2" t="s">
        <v>8</v>
      </c>
      <c r="B20578" s="2" t="str">
        <f>HYPERLINK("http://ts.21cn.com/tousu/show/id/1352639","饿了么投诉商家被驳回")</f>
        <v>饿了么投诉商家被驳回</v>
      </c>
      <c r="C20578" s="2" t="s">
        <v>34</v>
      </c>
      <c r="D20578" s="2" t="s">
        <v>10</v>
      </c>
      <c r="E20578" s="2" t="str">
        <f>HYPERLINK("http://ts.21cn.com/tousu/show/id/1352639","http://ts.21cn.com/tousu/show/id/1352639")</f>
        <v>http://ts.21cn.com/tousu/show/id/1352639</v>
      </c>
      <c r="F20578" s="2" t="s">
        <v>11</v>
      </c>
      <c r="G20578" s="2" t="s">
        <v>3689</v>
      </c>
      <c r="H20578" s="2" t="s">
        <v>3690</v>
      </c>
    </row>
    <row r="20579" spans="1:8" ht="25.05" customHeight="1" x14ac:dyDescent="0.25">
      <c r="A20579" s="2" t="s">
        <v>8</v>
      </c>
      <c r="B20579" s="2" t="str">
        <f>HYPERLINK("http://ts.21cn.com/tousu/show/id/1352640","顺鑫ID贷协商还本金解锁反悔")</f>
        <v>顺鑫ID贷协商还本金解锁反悔</v>
      </c>
      <c r="C20579" s="2" t="s">
        <v>34</v>
      </c>
      <c r="D20579" s="2" t="s">
        <v>10</v>
      </c>
      <c r="E20579" s="2" t="str">
        <f>HYPERLINK("http://ts.21cn.com/tousu/show/id/1352640","http://ts.21cn.com/tousu/show/id/1352640")</f>
        <v>http://ts.21cn.com/tousu/show/id/1352640</v>
      </c>
      <c r="F20579" s="2" t="s">
        <v>11</v>
      </c>
      <c r="G20579" s="2" t="s">
        <v>3687</v>
      </c>
      <c r="H20579" s="2" t="s">
        <v>3688</v>
      </c>
    </row>
    <row r="20580" spans="1:8" ht="25.05" customHeight="1" x14ac:dyDescent="0.25">
      <c r="A20580" s="2" t="s">
        <v>8</v>
      </c>
      <c r="B20580" s="2" t="str">
        <f>HYPERLINK("http://ts.21cn.com/tousu/show/id/1352598","砍头息")</f>
        <v>砍头息</v>
      </c>
      <c r="C20580" s="2" t="s">
        <v>34</v>
      </c>
      <c r="D20580" s="2" t="s">
        <v>10</v>
      </c>
      <c r="E20580" s="2" t="str">
        <f>HYPERLINK("http://ts.21cn.com/tousu/show/id/1352598","http://ts.21cn.com/tousu/show/id/1352598")</f>
        <v>http://ts.21cn.com/tousu/show/id/1352598</v>
      </c>
      <c r="F20580" s="2" t="s">
        <v>11</v>
      </c>
      <c r="G20580" s="2" t="s">
        <v>3685</v>
      </c>
      <c r="H20580" s="2" t="s">
        <v>3686</v>
      </c>
    </row>
    <row r="20581" spans="1:8" ht="25.05" customHeight="1" x14ac:dyDescent="0.25">
      <c r="A20581" s="2" t="s">
        <v>8</v>
      </c>
      <c r="B20581" s="2" t="str">
        <f>HYPERLINK("http://ts.21cn.com/tousu/show/id/1352641","你我贷暴力催收")</f>
        <v>你我贷暴力催收</v>
      </c>
      <c r="C20581" s="2" t="s">
        <v>9</v>
      </c>
      <c r="D20581" s="2" t="s">
        <v>10</v>
      </c>
      <c r="E20581" s="2" t="str">
        <f>HYPERLINK("http://ts.21cn.com/tousu/show/id/1352641","http://ts.21cn.com/tousu/show/id/1352641")</f>
        <v>http://ts.21cn.com/tousu/show/id/1352641</v>
      </c>
      <c r="F20581" s="2" t="s">
        <v>11</v>
      </c>
      <c r="G20581" s="2" t="s">
        <v>3683</v>
      </c>
      <c r="H20581" s="2" t="s">
        <v>3684</v>
      </c>
    </row>
    <row r="20582" spans="1:8" ht="25.05" customHeight="1" x14ac:dyDescent="0.25">
      <c r="A20582" s="2" t="s">
        <v>8</v>
      </c>
      <c r="B20582" s="2" t="str">
        <f>HYPERLINK("http://ts.21cn.com/tousu/show/id/1352642","故意点交易失败")</f>
        <v>故意点交易失败</v>
      </c>
      <c r="C20582" s="2" t="s">
        <v>34</v>
      </c>
      <c r="D20582" s="2" t="s">
        <v>10</v>
      </c>
      <c r="E20582" s="2" t="str">
        <f>HYPERLINK("http://ts.21cn.com/tousu/show/id/1352642","http://ts.21cn.com/tousu/show/id/1352642")</f>
        <v>http://ts.21cn.com/tousu/show/id/1352642</v>
      </c>
      <c r="F20582" s="2" t="s">
        <v>11</v>
      </c>
      <c r="G20582" s="2" t="s">
        <v>3681</v>
      </c>
      <c r="H20582" s="2" t="s">
        <v>3682</v>
      </c>
    </row>
    <row r="20583" spans="1:8" ht="25.05" customHeight="1" x14ac:dyDescent="0.25">
      <c r="A20583" s="2" t="s">
        <v>8</v>
      </c>
      <c r="B20583" s="2" t="str">
        <f>HYPERLINK("http://ts.21cn.com/tousu/show/id/1352644","暴力催收恐吓")</f>
        <v>暴力催收恐吓</v>
      </c>
      <c r="C20583" s="2" t="s">
        <v>9</v>
      </c>
      <c r="D20583" s="2" t="s">
        <v>10</v>
      </c>
      <c r="E20583" s="2" t="str">
        <f>HYPERLINK("http://ts.21cn.com/tousu/show/id/1352644","http://ts.21cn.com/tousu/show/id/1352644")</f>
        <v>http://ts.21cn.com/tousu/show/id/1352644</v>
      </c>
      <c r="F20583" s="2" t="s">
        <v>11</v>
      </c>
      <c r="G20583" s="2" t="s">
        <v>3679</v>
      </c>
      <c r="H20583" s="2" t="s">
        <v>3680</v>
      </c>
    </row>
    <row r="20584" spans="1:8" ht="25.05" customHeight="1" x14ac:dyDescent="0.25">
      <c r="A20584" s="2" t="s">
        <v>8</v>
      </c>
      <c r="B20584" s="2" t="str">
        <f>HYPERLINK("http://ts.21cn.com/tousu/show/id/1352649","银谷普惠高利贷，砍头息")</f>
        <v>银谷普惠高利贷，砍头息</v>
      </c>
      <c r="C20584" s="2" t="s">
        <v>9</v>
      </c>
      <c r="D20584" s="2" t="s">
        <v>10</v>
      </c>
      <c r="E20584" s="2" t="str">
        <f>HYPERLINK("http://ts.21cn.com/tousu/show/id/1352649","http://ts.21cn.com/tousu/show/id/1352649")</f>
        <v>http://ts.21cn.com/tousu/show/id/1352649</v>
      </c>
      <c r="F20584" s="2" t="s">
        <v>11</v>
      </c>
      <c r="G20584" s="2" t="s">
        <v>3677</v>
      </c>
      <c r="H20584" s="2" t="s">
        <v>3678</v>
      </c>
    </row>
    <row r="20585" spans="1:8" ht="25.05" customHeight="1" x14ac:dyDescent="0.25">
      <c r="A20585" s="2" t="s">
        <v>8</v>
      </c>
      <c r="B20585" s="2" t="str">
        <f>HYPERLINK("http://ts.21cn.com/tousu/show/id/1352645","北京闪银奇异科技有限公司暴力催收")</f>
        <v>北京闪银奇异科技有限公司暴力催收</v>
      </c>
      <c r="C20585" s="2" t="s">
        <v>9</v>
      </c>
      <c r="D20585" s="2" t="s">
        <v>10</v>
      </c>
      <c r="E20585" s="2" t="str">
        <f>HYPERLINK("http://ts.21cn.com/tousu/show/id/1352645","http://ts.21cn.com/tousu/show/id/1352645")</f>
        <v>http://ts.21cn.com/tousu/show/id/1352645</v>
      </c>
      <c r="F20585" s="2" t="s">
        <v>11</v>
      </c>
      <c r="G20585" s="2" t="s">
        <v>3675</v>
      </c>
      <c r="H20585" s="2" t="s">
        <v>3676</v>
      </c>
    </row>
    <row r="20586" spans="1:8" ht="25.05" customHeight="1" x14ac:dyDescent="0.25">
      <c r="A20586" s="2" t="s">
        <v>8</v>
      </c>
      <c r="B20586" s="2" t="str">
        <f>HYPERLINK("http://ts.21cn.com/tousu/show/id/1352646","平安易贷收取包装费用的十个点")</f>
        <v>平安易贷收取包装费用的十个点</v>
      </c>
      <c r="C20586" s="2" t="s">
        <v>34</v>
      </c>
      <c r="D20586" s="2" t="s">
        <v>10</v>
      </c>
      <c r="E20586" s="2" t="str">
        <f>HYPERLINK("http://ts.21cn.com/tousu/show/id/1352646","http://ts.21cn.com/tousu/show/id/1352646")</f>
        <v>http://ts.21cn.com/tousu/show/id/1352646</v>
      </c>
      <c r="F20586" s="2" t="s">
        <v>11</v>
      </c>
      <c r="G20586" s="2" t="s">
        <v>3673</v>
      </c>
      <c r="H20586" s="2" t="s">
        <v>3674</v>
      </c>
    </row>
    <row r="20587" spans="1:8" ht="25.05" customHeight="1" x14ac:dyDescent="0.25">
      <c r="A20587" s="2" t="s">
        <v>8</v>
      </c>
      <c r="B20587" s="2" t="str">
        <f>HYPERLINK("http://ts.21cn.com/tousu/show/id/1352648","暴力催收，态度恶劣，骚扰家人及身边朋友，泄露隐私，砍头息")</f>
        <v>暴力催收，态度恶劣，骚扰家人及身边朋友，泄露隐私，砍头息</v>
      </c>
      <c r="C20587" s="2" t="s">
        <v>9</v>
      </c>
      <c r="D20587" s="2" t="s">
        <v>10</v>
      </c>
      <c r="E20587" s="2" t="str">
        <f>HYPERLINK("http://ts.21cn.com/tousu/show/id/1352648","http://ts.21cn.com/tousu/show/id/1352648")</f>
        <v>http://ts.21cn.com/tousu/show/id/1352648</v>
      </c>
      <c r="F20587" s="2" t="s">
        <v>11</v>
      </c>
      <c r="G20587" s="2" t="s">
        <v>3671</v>
      </c>
      <c r="H20587" s="2" t="s">
        <v>3672</v>
      </c>
    </row>
    <row r="20588" spans="1:8" ht="25.05" customHeight="1" x14ac:dyDescent="0.25">
      <c r="A20588" s="2" t="s">
        <v>8</v>
      </c>
      <c r="B20588" s="2" t="str">
        <f>HYPERLINK("http://ts.21cn.com/tousu/show/id/1352650","宜人贷高额利息，砍头息")</f>
        <v>宜人贷高额利息，砍头息</v>
      </c>
      <c r="C20588" s="2" t="s">
        <v>9</v>
      </c>
      <c r="D20588" s="2" t="s">
        <v>10</v>
      </c>
      <c r="E20588" s="2" t="str">
        <f>HYPERLINK("http://ts.21cn.com/tousu/show/id/1352650","http://ts.21cn.com/tousu/show/id/1352650")</f>
        <v>http://ts.21cn.com/tousu/show/id/1352650</v>
      </c>
      <c r="F20588" s="2" t="s">
        <v>11</v>
      </c>
      <c r="G20588" s="2" t="s">
        <v>3669</v>
      </c>
      <c r="H20588" s="2" t="s">
        <v>3670</v>
      </c>
    </row>
    <row r="20589" spans="1:8" ht="25.05" customHeight="1" x14ac:dyDescent="0.25">
      <c r="A20589" s="2" t="s">
        <v>8</v>
      </c>
      <c r="B20589" s="2" t="str">
        <f>HYPERLINK("http://ts.21cn.com/tousu/show/id/1352651","陌生人借贷，我不认识，无辜被骚扰辱骂")</f>
        <v>陌生人借贷，我不认识，无辜被骚扰辱骂</v>
      </c>
      <c r="C20589" s="2" t="s">
        <v>9</v>
      </c>
      <c r="D20589" s="2" t="s">
        <v>10</v>
      </c>
      <c r="E20589" s="2" t="str">
        <f>HYPERLINK("http://ts.21cn.com/tousu/show/id/1352651","http://ts.21cn.com/tousu/show/id/1352651")</f>
        <v>http://ts.21cn.com/tousu/show/id/1352651</v>
      </c>
      <c r="F20589" s="2" t="s">
        <v>11</v>
      </c>
      <c r="G20589" s="2" t="s">
        <v>3667</v>
      </c>
      <c r="H20589" s="2" t="s">
        <v>3668</v>
      </c>
    </row>
    <row r="20590" spans="1:8" ht="25.05" customHeight="1" x14ac:dyDescent="0.25">
      <c r="A20590" s="2" t="s">
        <v>8</v>
      </c>
      <c r="B20590" s="2" t="str">
        <f>HYPERLINK("http://ts.21cn.com/tousu/show/id/1352652","久富万卡乱收费")</f>
        <v>久富万卡乱收费</v>
      </c>
      <c r="C20590" s="2" t="s">
        <v>9</v>
      </c>
      <c r="D20590" s="2" t="s">
        <v>10</v>
      </c>
      <c r="E20590" s="2" t="str">
        <f>HYPERLINK("http://ts.21cn.com/tousu/show/id/1352652","http://ts.21cn.com/tousu/show/id/1352652")</f>
        <v>http://ts.21cn.com/tousu/show/id/1352652</v>
      </c>
      <c r="F20590" s="2" t="s">
        <v>11</v>
      </c>
      <c r="G20590" s="2" t="s">
        <v>3665</v>
      </c>
      <c r="H20590" s="2" t="s">
        <v>3666</v>
      </c>
    </row>
    <row r="20591" spans="1:8" ht="25.05" customHeight="1" x14ac:dyDescent="0.25">
      <c r="A20591" s="2" t="s">
        <v>8</v>
      </c>
      <c r="B20591" s="2" t="str">
        <f>HYPERLINK("http://ts.21cn.com/tousu/show/id/1352653","豆豆钱爆通讯录，群发短信")</f>
        <v>豆豆钱爆通讯录，群发短信</v>
      </c>
      <c r="C20591" s="2" t="s">
        <v>9</v>
      </c>
      <c r="D20591" s="2" t="s">
        <v>10</v>
      </c>
      <c r="E20591" s="2" t="str">
        <f>HYPERLINK("http://ts.21cn.com/tousu/show/id/1352653","http://ts.21cn.com/tousu/show/id/1352653")</f>
        <v>http://ts.21cn.com/tousu/show/id/1352653</v>
      </c>
      <c r="F20591" s="2" t="s">
        <v>11</v>
      </c>
      <c r="G20591" s="2" t="s">
        <v>3663</v>
      </c>
      <c r="H20591" s="2" t="s">
        <v>3664</v>
      </c>
    </row>
    <row r="20592" spans="1:8" ht="25.05" customHeight="1" x14ac:dyDescent="0.25">
      <c r="A20592" s="2" t="s">
        <v>8</v>
      </c>
      <c r="B20592" s="2" t="str">
        <f>HYPERLINK("http://ts.21cn.com/tousu/show/id/1352654","南京玉恒商业管理有限公司疑似跑路")</f>
        <v>南京玉恒商业管理有限公司疑似跑路</v>
      </c>
      <c r="C20592" s="2" t="s">
        <v>9</v>
      </c>
      <c r="D20592" s="2" t="s">
        <v>10</v>
      </c>
      <c r="E20592" s="2" t="str">
        <f>HYPERLINK("http://ts.21cn.com/tousu/show/id/1352654","http://ts.21cn.com/tousu/show/id/1352654")</f>
        <v>http://ts.21cn.com/tousu/show/id/1352654</v>
      </c>
      <c r="F20592" s="2" t="s">
        <v>11</v>
      </c>
      <c r="G20592" s="2" t="s">
        <v>3661</v>
      </c>
      <c r="H20592" s="2" t="s">
        <v>3662</v>
      </c>
    </row>
    <row r="20593" spans="1:8" ht="25.05" customHeight="1" x14ac:dyDescent="0.25">
      <c r="A20593" s="2" t="s">
        <v>8</v>
      </c>
      <c r="B20593" s="2" t="str">
        <f>HYPERLINK("http://ts.21cn.com/tousu/show/id/1352660","手机返厂一个月还处于待处理状态。")</f>
        <v>手机返厂一个月还处于待处理状态。</v>
      </c>
      <c r="C20593" s="2" t="s">
        <v>9</v>
      </c>
      <c r="D20593" s="2" t="s">
        <v>10</v>
      </c>
      <c r="E20593" s="2" t="str">
        <f>HYPERLINK("http://ts.21cn.com/tousu/show/id/1352660","http://ts.21cn.com/tousu/show/id/1352660")</f>
        <v>http://ts.21cn.com/tousu/show/id/1352660</v>
      </c>
      <c r="F20593" s="2" t="s">
        <v>11</v>
      </c>
      <c r="G20593" s="2" t="s">
        <v>3659</v>
      </c>
      <c r="H20593" s="2" t="s">
        <v>3660</v>
      </c>
    </row>
    <row r="20594" spans="1:8" ht="25.05" customHeight="1" x14ac:dyDescent="0.25">
      <c r="A20594" s="2" t="s">
        <v>8</v>
      </c>
      <c r="B20594" s="2" t="str">
        <f>HYPERLINK("http://ts.21cn.com/tousu/show/id/1352656","玖富万卡自动扣款失败导致逾期，电话催收。高利贷")</f>
        <v>玖富万卡自动扣款失败导致逾期，电话催收。高利贷</v>
      </c>
      <c r="C20594" s="2" t="s">
        <v>9</v>
      </c>
      <c r="D20594" s="2" t="s">
        <v>10</v>
      </c>
      <c r="E20594" s="2" t="str">
        <f>HYPERLINK("http://ts.21cn.com/tousu/show/id/1352656","http://ts.21cn.com/tousu/show/id/1352656")</f>
        <v>http://ts.21cn.com/tousu/show/id/1352656</v>
      </c>
      <c r="F20594" s="2" t="s">
        <v>11</v>
      </c>
      <c r="G20594" s="2" t="s">
        <v>3656</v>
      </c>
      <c r="H20594" s="2" t="s">
        <v>3657</v>
      </c>
    </row>
    <row r="20595" spans="1:8" ht="25.05" customHeight="1" x14ac:dyDescent="0.25">
      <c r="A20595" s="2" t="s">
        <v>8</v>
      </c>
      <c r="B20595" s="2" t="str">
        <f>HYPERLINK("http://ts.21cn.com/tousu/show/id/1352657","平安普惠敲诈")</f>
        <v>平安普惠敲诈</v>
      </c>
      <c r="C20595" s="2" t="s">
        <v>9</v>
      </c>
      <c r="D20595" s="2" t="s">
        <v>10</v>
      </c>
      <c r="E20595" s="2" t="str">
        <f>HYPERLINK("http://ts.21cn.com/tousu/show/id/1352657","http://ts.21cn.com/tousu/show/id/1352657")</f>
        <v>http://ts.21cn.com/tousu/show/id/1352657</v>
      </c>
      <c r="F20595" s="2" t="s">
        <v>11</v>
      </c>
      <c r="G20595" s="2" t="s">
        <v>3656</v>
      </c>
      <c r="H20595" s="2" t="s">
        <v>3658</v>
      </c>
    </row>
    <row r="20596" spans="1:8" ht="25.05" customHeight="1" x14ac:dyDescent="0.25">
      <c r="A20596" s="2" t="s">
        <v>8</v>
      </c>
      <c r="B20596" s="2" t="str">
        <f>HYPERLINK("http://ts.21cn.com/tousu/show/id/1352659","拼多多商户涉嫌为博彩黑平台收款")</f>
        <v>拼多多商户涉嫌为博彩黑平台收款</v>
      </c>
      <c r="C20596" s="2" t="s">
        <v>9</v>
      </c>
      <c r="D20596" s="2" t="s">
        <v>10</v>
      </c>
      <c r="E20596" s="2" t="str">
        <f>HYPERLINK("http://ts.21cn.com/tousu/show/id/1352659","http://ts.21cn.com/tousu/show/id/1352659")</f>
        <v>http://ts.21cn.com/tousu/show/id/1352659</v>
      </c>
      <c r="F20596" s="2" t="s">
        <v>11</v>
      </c>
      <c r="G20596" s="2" t="s">
        <v>3654</v>
      </c>
      <c r="H20596" s="2" t="s">
        <v>3655</v>
      </c>
    </row>
    <row r="20597" spans="1:8" ht="25.05" customHeight="1" x14ac:dyDescent="0.25">
      <c r="A20597" s="2" t="s">
        <v>8</v>
      </c>
      <c r="B20597" s="2" t="str">
        <f>HYPERLINK("http://ts.21cn.com/tousu/show/id/1352661","无缘无故乱扣费")</f>
        <v>无缘无故乱扣费</v>
      </c>
      <c r="C20597" s="2" t="s">
        <v>9</v>
      </c>
      <c r="D20597" s="2" t="s">
        <v>10</v>
      </c>
      <c r="E20597" s="2" t="str">
        <f>HYPERLINK("http://ts.21cn.com/tousu/show/id/1352661","http://ts.21cn.com/tousu/show/id/1352661")</f>
        <v>http://ts.21cn.com/tousu/show/id/1352661</v>
      </c>
      <c r="F20597" s="2" t="s">
        <v>11</v>
      </c>
      <c r="G20597" s="2" t="s">
        <v>3652</v>
      </c>
      <c r="H20597" s="2" t="s">
        <v>3653</v>
      </c>
    </row>
    <row r="20598" spans="1:8" ht="25.05" customHeight="1" x14ac:dyDescent="0.25">
      <c r="A20598" s="2" t="s">
        <v>8</v>
      </c>
      <c r="B20598" s="2" t="str">
        <f>HYPERLINK("http://ts.21cn.com/tousu/show/id/1352658","滴滴打车服务态度不好言语辱骂嘲笑讽刺、影响上班")</f>
        <v>滴滴打车服务态度不好言语辱骂嘲笑讽刺、影响上班</v>
      </c>
      <c r="C20598" s="2" t="s">
        <v>9</v>
      </c>
      <c r="D20598" s="2" t="s">
        <v>10</v>
      </c>
      <c r="E20598" s="2" t="str">
        <f>HYPERLINK("http://ts.21cn.com/tousu/show/id/1352658","http://ts.21cn.com/tousu/show/id/1352658")</f>
        <v>http://ts.21cn.com/tousu/show/id/1352658</v>
      </c>
      <c r="F20598" s="2" t="s">
        <v>11</v>
      </c>
      <c r="G20598" s="2" t="s">
        <v>3650</v>
      </c>
      <c r="H20598" s="2" t="s">
        <v>3651</v>
      </c>
    </row>
    <row r="20599" spans="1:8" ht="25.05" customHeight="1" x14ac:dyDescent="0.25">
      <c r="A20599" s="2" t="s">
        <v>8</v>
      </c>
      <c r="B20599" s="2" t="str">
        <f>HYPERLINK("http://ts.21cn.com/tousu/show/id/1352662","财付通为高利贷平台违规提供支付通道")</f>
        <v>财付通为高利贷平台违规提供支付通道</v>
      </c>
      <c r="C20599" s="2" t="s">
        <v>9</v>
      </c>
      <c r="D20599" s="2" t="s">
        <v>10</v>
      </c>
      <c r="E20599" s="2" t="str">
        <f>HYPERLINK("http://ts.21cn.com/tousu/show/id/1352662","http://ts.21cn.com/tousu/show/id/1352662")</f>
        <v>http://ts.21cn.com/tousu/show/id/1352662</v>
      </c>
      <c r="F20599" s="2" t="s">
        <v>11</v>
      </c>
      <c r="G20599" s="2" t="s">
        <v>3648</v>
      </c>
      <c r="H20599" s="2" t="s">
        <v>3649</v>
      </c>
    </row>
    <row r="20600" spans="1:8" ht="25.05" customHeight="1" x14ac:dyDescent="0.25">
      <c r="A20600" s="2" t="s">
        <v>8</v>
      </c>
      <c r="B20600" s="2" t="str">
        <f>HYPERLINK("http://ts.21cn.com/tousu/show/id/1352663","小黑鲨协商还款")</f>
        <v>小黑鲨协商还款</v>
      </c>
      <c r="C20600" s="2" t="s">
        <v>9</v>
      </c>
      <c r="D20600" s="2" t="s">
        <v>10</v>
      </c>
      <c r="E20600" s="2" t="str">
        <f>HYPERLINK("http://ts.21cn.com/tousu/show/id/1352663","http://ts.21cn.com/tousu/show/id/1352663")</f>
        <v>http://ts.21cn.com/tousu/show/id/1352663</v>
      </c>
      <c r="F20600" s="2" t="s">
        <v>11</v>
      </c>
      <c r="G20600" s="2" t="s">
        <v>3646</v>
      </c>
      <c r="H20600" s="2" t="s">
        <v>3647</v>
      </c>
    </row>
    <row r="20601" spans="1:8" ht="25.05" customHeight="1" x14ac:dyDescent="0.25">
      <c r="A20601" s="2" t="s">
        <v>8</v>
      </c>
      <c r="B20601" s="2" t="str">
        <f>HYPERLINK("http://ts.21cn.com/tousu/show/id/1352664","维信金科豆豆钱想债权转让要额外支付高出本金几倍的利息")</f>
        <v>维信金科豆豆钱想债权转让要额外支付高出本金几倍的利息</v>
      </c>
      <c r="C20601" s="2" t="s">
        <v>9</v>
      </c>
      <c r="D20601" s="2" t="s">
        <v>10</v>
      </c>
      <c r="E20601" s="2" t="str">
        <f>HYPERLINK("http://ts.21cn.com/tousu/show/id/1352664","http://ts.21cn.com/tousu/show/id/1352664")</f>
        <v>http://ts.21cn.com/tousu/show/id/1352664</v>
      </c>
      <c r="F20601" s="2" t="s">
        <v>11</v>
      </c>
      <c r="G20601" s="2" t="s">
        <v>3644</v>
      </c>
      <c r="H20601" s="2" t="s">
        <v>3645</v>
      </c>
    </row>
    <row r="20602" spans="1:8" ht="25.05" customHeight="1" x14ac:dyDescent="0.25">
      <c r="A20602" s="2" t="s">
        <v>8</v>
      </c>
      <c r="B20602" s="2" t="str">
        <f>HYPERLINK("http://ts.21cn.com/tousu/show/id/1352665","来分期暴力催收威胁")</f>
        <v>来分期暴力催收威胁</v>
      </c>
      <c r="C20602" s="2" t="s">
        <v>9</v>
      </c>
      <c r="D20602" s="2" t="s">
        <v>10</v>
      </c>
      <c r="E20602" s="2" t="str">
        <f>HYPERLINK("http://ts.21cn.com/tousu/show/id/1352665","http://ts.21cn.com/tousu/show/id/1352665")</f>
        <v>http://ts.21cn.com/tousu/show/id/1352665</v>
      </c>
      <c r="F20602" s="2" t="s">
        <v>11</v>
      </c>
      <c r="G20602" s="2" t="s">
        <v>3642</v>
      </c>
      <c r="H20602" s="2" t="s">
        <v>3643</v>
      </c>
    </row>
    <row r="20603" spans="1:8" ht="25.05" customHeight="1" x14ac:dyDescent="0.25">
      <c r="A20603" s="2" t="s">
        <v>8</v>
      </c>
      <c r="B20603" s="2" t="str">
        <f>HYPERLINK("http://ts.21cn.com/tousu/show/id/1352666","高利贷套路带")</f>
        <v>高利贷套路带</v>
      </c>
      <c r="C20603" s="2" t="s">
        <v>9</v>
      </c>
      <c r="D20603" s="2" t="s">
        <v>10</v>
      </c>
      <c r="E20603" s="2" t="str">
        <f>HYPERLINK("http://ts.21cn.com/tousu/show/id/1352666","http://ts.21cn.com/tousu/show/id/1352666")</f>
        <v>http://ts.21cn.com/tousu/show/id/1352666</v>
      </c>
      <c r="F20603" s="2" t="s">
        <v>11</v>
      </c>
      <c r="G20603" s="2" t="s">
        <v>3640</v>
      </c>
      <c r="H20603" s="2" t="s">
        <v>3641</v>
      </c>
    </row>
    <row r="20604" spans="1:8" ht="25.05" customHeight="1" x14ac:dyDescent="0.25">
      <c r="A20604" s="2" t="s">
        <v>8</v>
      </c>
      <c r="B20604" s="2" t="str">
        <f>HYPERLINK("http://ts.21cn.com/tousu/show/id/1352667","违规为非法商户提供结算")</f>
        <v>违规为非法商户提供结算</v>
      </c>
      <c r="C20604" s="2" t="s">
        <v>9</v>
      </c>
      <c r="D20604" s="2" t="s">
        <v>10</v>
      </c>
      <c r="E20604" s="2" t="str">
        <f>HYPERLINK("http://ts.21cn.com/tousu/show/id/1352667","http://ts.21cn.com/tousu/show/id/1352667")</f>
        <v>http://ts.21cn.com/tousu/show/id/1352667</v>
      </c>
      <c r="F20604" s="2" t="s">
        <v>11</v>
      </c>
      <c r="G20604" s="2" t="s">
        <v>3638</v>
      </c>
      <c r="H20604" s="2" t="s">
        <v>3639</v>
      </c>
    </row>
    <row r="20605" spans="1:8" ht="25.05" customHeight="1" x14ac:dyDescent="0.25">
      <c r="A20605" s="2" t="s">
        <v>8</v>
      </c>
      <c r="B20605" s="2" t="str">
        <f>HYPERLINK("http://ts.21cn.com/tousu/show/id/1352668","我来贷变相收取高额利息全额还款收高额利息")</f>
        <v>我来贷变相收取高额利息全额还款收高额利息</v>
      </c>
      <c r="C20605" s="2" t="s">
        <v>9</v>
      </c>
      <c r="D20605" s="2" t="s">
        <v>10</v>
      </c>
      <c r="E20605" s="2" t="str">
        <f>HYPERLINK("http://ts.21cn.com/tousu/show/id/1352668","http://ts.21cn.com/tousu/show/id/1352668")</f>
        <v>http://ts.21cn.com/tousu/show/id/1352668</v>
      </c>
      <c r="F20605" s="2" t="s">
        <v>11</v>
      </c>
      <c r="G20605" s="2" t="s">
        <v>3636</v>
      </c>
      <c r="H20605" s="2" t="s">
        <v>3637</v>
      </c>
    </row>
    <row r="20606" spans="1:8" ht="25.05" customHeight="1" x14ac:dyDescent="0.25">
      <c r="A20606" s="2" t="s">
        <v>8</v>
      </c>
      <c r="B20606" s="2" t="str">
        <f>HYPERLINK("http://ts.21cn.com/tousu/show/id/1352669","《今日借呗》网贷平台乱扣钱，自动从我银行卡里扣钱。")</f>
        <v>《今日借呗》网贷平台乱扣钱，自动从我银行卡里扣钱。</v>
      </c>
      <c r="C20606" s="2" t="s">
        <v>9</v>
      </c>
      <c r="D20606" s="2" t="s">
        <v>10</v>
      </c>
      <c r="E20606" s="2" t="str">
        <f>HYPERLINK("http://ts.21cn.com/tousu/show/id/1352669","http://ts.21cn.com/tousu/show/id/1352669")</f>
        <v>http://ts.21cn.com/tousu/show/id/1352669</v>
      </c>
      <c r="F20606" s="2" t="s">
        <v>11</v>
      </c>
      <c r="G20606" s="2" t="s">
        <v>3634</v>
      </c>
      <c r="H20606" s="2" t="s">
        <v>3635</v>
      </c>
    </row>
    <row r="20607" spans="1:8" ht="25.05" customHeight="1" x14ac:dyDescent="0.25">
      <c r="A20607" s="2" t="s">
        <v>8</v>
      </c>
      <c r="B20607" s="2" t="str">
        <f>HYPERLINK("http://ts.21cn.com/tousu/show/id/1350738","佑佑分期和宙斯钱包是一家")</f>
        <v>佑佑分期和宙斯钱包是一家</v>
      </c>
      <c r="C20607" s="2" t="s">
        <v>9</v>
      </c>
      <c r="D20607" s="2" t="s">
        <v>10</v>
      </c>
      <c r="E20607" s="2" t="str">
        <f>HYPERLINK("http://ts.21cn.com/tousu/show/id/1350738","http://ts.21cn.com/tousu/show/id/1350738")</f>
        <v>http://ts.21cn.com/tousu/show/id/1350738</v>
      </c>
      <c r="F20607" s="2" t="s">
        <v>11</v>
      </c>
      <c r="G20607" s="2" t="s">
        <v>3632</v>
      </c>
      <c r="H20607" s="2" t="s">
        <v>3633</v>
      </c>
    </row>
    <row r="20608" spans="1:8" ht="25.05" customHeight="1" x14ac:dyDescent="0.25">
      <c r="A20608" s="2" t="s">
        <v>8</v>
      </c>
      <c r="B20608" s="2" t="str">
        <f>HYPERLINK("http://ts.21cn.com/tousu/show/id/1352671","小哇卡贷非法爆我通讯录")</f>
        <v>小哇卡贷非法爆我通讯录</v>
      </c>
      <c r="C20608" s="2" t="s">
        <v>9</v>
      </c>
      <c r="D20608" s="2" t="s">
        <v>10</v>
      </c>
      <c r="E20608" s="2" t="str">
        <f>HYPERLINK("http://ts.21cn.com/tousu/show/id/1352671","http://ts.21cn.com/tousu/show/id/1352671")</f>
        <v>http://ts.21cn.com/tousu/show/id/1352671</v>
      </c>
      <c r="F20608" s="2" t="s">
        <v>11</v>
      </c>
      <c r="G20608" s="2" t="s">
        <v>3630</v>
      </c>
      <c r="H20608" s="2" t="s">
        <v>3631</v>
      </c>
    </row>
    <row r="20609" spans="1:8" ht="25.05" customHeight="1" x14ac:dyDescent="0.25">
      <c r="A20609" s="2" t="s">
        <v>8</v>
      </c>
      <c r="B20609" s="2" t="str">
        <f>HYPERLINK("http://ts.21cn.com/tousu/show/id/1352672","投诉购分期app乱扣款")</f>
        <v>投诉购分期app乱扣款</v>
      </c>
      <c r="C20609" s="2" t="s">
        <v>9</v>
      </c>
      <c r="D20609" s="2" t="s">
        <v>10</v>
      </c>
      <c r="E20609" s="2" t="str">
        <f>HYPERLINK("http://ts.21cn.com/tousu/show/id/1352672","http://ts.21cn.com/tousu/show/id/1352672")</f>
        <v>http://ts.21cn.com/tousu/show/id/1352672</v>
      </c>
      <c r="F20609" s="2" t="s">
        <v>11</v>
      </c>
      <c r="G20609" s="2" t="s">
        <v>3628</v>
      </c>
      <c r="H20609" s="2" t="s">
        <v>3629</v>
      </c>
    </row>
    <row r="20610" spans="1:8" ht="25.05" customHeight="1" x14ac:dyDescent="0.25">
      <c r="A20610" s="2" t="s">
        <v>8</v>
      </c>
      <c r="B20610" s="2" t="str">
        <f>HYPERLINK("http://ts.21cn.com/tousu/show/id/1352670","网络高利贷暴力催收骚扰家人")</f>
        <v>网络高利贷暴力催收骚扰家人</v>
      </c>
      <c r="C20610" s="2" t="s">
        <v>9</v>
      </c>
      <c r="D20610" s="2" t="s">
        <v>10</v>
      </c>
      <c r="E20610" s="2" t="str">
        <f>HYPERLINK("http://ts.21cn.com/tousu/show/id/1352670","http://ts.21cn.com/tousu/show/id/1352670")</f>
        <v>http://ts.21cn.com/tousu/show/id/1352670</v>
      </c>
      <c r="F20610" s="2" t="s">
        <v>11</v>
      </c>
      <c r="G20610" s="2" t="s">
        <v>3626</v>
      </c>
      <c r="H20610" s="2" t="s">
        <v>3627</v>
      </c>
    </row>
    <row r="20611" spans="1:8" ht="25.05" customHeight="1" x14ac:dyDescent="0.25">
      <c r="A20611" s="2" t="s">
        <v>8</v>
      </c>
      <c r="B20611" s="2" t="str">
        <f>HYPERLINK("http://ts.21cn.com/tousu/show/id/1352673","高利贷")</f>
        <v>高利贷</v>
      </c>
      <c r="C20611" s="2" t="s">
        <v>9</v>
      </c>
      <c r="D20611" s="2" t="s">
        <v>10</v>
      </c>
      <c r="E20611" s="2" t="str">
        <f>HYPERLINK("http://ts.21cn.com/tousu/show/id/1352673","http://ts.21cn.com/tousu/show/id/1352673")</f>
        <v>http://ts.21cn.com/tousu/show/id/1352673</v>
      </c>
      <c r="F20611" s="2" t="s">
        <v>11</v>
      </c>
      <c r="G20611" s="2" t="s">
        <v>3624</v>
      </c>
      <c r="H20611" s="2" t="s">
        <v>3625</v>
      </c>
    </row>
    <row r="20612" spans="1:8" ht="25.05" customHeight="1" x14ac:dyDescent="0.25">
      <c r="A20612" s="2" t="s">
        <v>8</v>
      </c>
      <c r="B20612" s="2" t="str">
        <f>HYPERLINK("http://ts.21cn.com/tousu/show/id/1352674","小当家到了还款日期，app登陆不了也，联系客服也联系不上")</f>
        <v>小当家到了还款日期，app登陆不了也，联系客服也联系不上</v>
      </c>
      <c r="C20612" s="2" t="s">
        <v>9</v>
      </c>
      <c r="D20612" s="2" t="s">
        <v>10</v>
      </c>
      <c r="E20612" s="2" t="str">
        <f>HYPERLINK("http://ts.21cn.com/tousu/show/id/1352674","http://ts.21cn.com/tousu/show/id/1352674")</f>
        <v>http://ts.21cn.com/tousu/show/id/1352674</v>
      </c>
      <c r="F20612" s="2" t="s">
        <v>11</v>
      </c>
      <c r="G20612" s="2" t="s">
        <v>3622</v>
      </c>
      <c r="H20612" s="2" t="s">
        <v>3623</v>
      </c>
    </row>
    <row r="20613" spans="1:8" ht="25.05" customHeight="1" x14ac:dyDescent="0.25">
      <c r="A20613" s="2" t="s">
        <v>8</v>
      </c>
      <c r="B20613" s="2" t="str">
        <f>HYPERLINK("http://ts.21cn.com/tousu/show/id/1352675","淘宝人员不解决问题，每次都要打电话再问一遍")</f>
        <v>淘宝人员不解决问题，每次都要打电话再问一遍</v>
      </c>
      <c r="C20613" s="2" t="s">
        <v>9</v>
      </c>
      <c r="D20613" s="2" t="s">
        <v>10</v>
      </c>
      <c r="E20613" s="2" t="str">
        <f>HYPERLINK("http://ts.21cn.com/tousu/show/id/1352675","http://ts.21cn.com/tousu/show/id/1352675")</f>
        <v>http://ts.21cn.com/tousu/show/id/1352675</v>
      </c>
      <c r="F20613" s="2" t="s">
        <v>11</v>
      </c>
      <c r="G20613" s="2" t="s">
        <v>3620</v>
      </c>
      <c r="H20613" s="2" t="s">
        <v>3621</v>
      </c>
    </row>
    <row r="20614" spans="1:8" ht="25.05" customHeight="1" x14ac:dyDescent="0.25">
      <c r="A20614" s="2" t="s">
        <v>8</v>
      </c>
      <c r="B20614" s="2" t="str">
        <f>HYPERLINK("http://ts.21cn.com/tousu/show/id/1352677","京东商城够得联想一体机，开箱第一天就花屏。京东在不出具任何第三方检测报告的前提下单方面拒绝退换")</f>
        <v>京东商城够得联想一体机，开箱第一天就花屏。京东在不出具任何第三方检测报告的前提下单方面拒绝退换</v>
      </c>
      <c r="C20614" s="2" t="s">
        <v>34</v>
      </c>
      <c r="D20614" s="2" t="s">
        <v>10</v>
      </c>
      <c r="E20614" s="2" t="str">
        <f>HYPERLINK("http://ts.21cn.com/tousu/show/id/1352677","http://ts.21cn.com/tousu/show/id/1352677")</f>
        <v>http://ts.21cn.com/tousu/show/id/1352677</v>
      </c>
      <c r="F20614" s="2" t="s">
        <v>11</v>
      </c>
      <c r="G20614" s="2" t="s">
        <v>3618</v>
      </c>
      <c r="H20614" s="2" t="s">
        <v>3619</v>
      </c>
    </row>
    <row r="20615" spans="1:8" ht="25.05" customHeight="1" x14ac:dyDescent="0.25">
      <c r="A20615" s="2" t="s">
        <v>8</v>
      </c>
      <c r="B20615" s="2" t="str">
        <f>HYPERLINK("http://ts.21cn.com/tousu/show/id/1352676","退还强制购物砍头息")</f>
        <v>退还强制购物砍头息</v>
      </c>
      <c r="C20615" s="2" t="s">
        <v>9</v>
      </c>
      <c r="D20615" s="2" t="s">
        <v>10</v>
      </c>
      <c r="E20615" s="2" t="str">
        <f>HYPERLINK("http://ts.21cn.com/tousu/show/id/1352676","http://ts.21cn.com/tousu/show/id/1352676")</f>
        <v>http://ts.21cn.com/tousu/show/id/1352676</v>
      </c>
      <c r="F20615" s="2" t="s">
        <v>11</v>
      </c>
      <c r="G20615" s="2" t="s">
        <v>3616</v>
      </c>
      <c r="H20615" s="2" t="s">
        <v>3617</v>
      </c>
    </row>
    <row r="20616" spans="1:8" ht="25.05" customHeight="1" x14ac:dyDescent="0.25">
      <c r="A20616" s="2" t="s">
        <v>8</v>
      </c>
      <c r="B20616" s="2" t="str">
        <f>HYPERLINK("http://ts.21cn.com/tousu/show/id/1352679","中腾信暴力催收")</f>
        <v>中腾信暴力催收</v>
      </c>
      <c r="C20616" s="2" t="s">
        <v>9</v>
      </c>
      <c r="D20616" s="2" t="s">
        <v>10</v>
      </c>
      <c r="E20616" s="2" t="str">
        <f>HYPERLINK("http://ts.21cn.com/tousu/show/id/1352679","http://ts.21cn.com/tousu/show/id/1352679")</f>
        <v>http://ts.21cn.com/tousu/show/id/1352679</v>
      </c>
      <c r="F20616" s="2" t="s">
        <v>11</v>
      </c>
      <c r="G20616" s="2" t="s">
        <v>3614</v>
      </c>
      <c r="H20616" s="2" t="s">
        <v>3615</v>
      </c>
    </row>
    <row r="20617" spans="1:8" ht="25.05" customHeight="1" x14ac:dyDescent="0.25">
      <c r="A20617" s="2" t="s">
        <v>8</v>
      </c>
      <c r="B20617" s="2" t="str">
        <f>HYPERLINK("http://ts.21cn.com/tousu/show/id/1352680","多宝分期借款4300还款6800")</f>
        <v>多宝分期借款4300还款6800</v>
      </c>
      <c r="C20617" s="2" t="s">
        <v>34</v>
      </c>
      <c r="D20617" s="2" t="s">
        <v>10</v>
      </c>
      <c r="E20617" s="2" t="str">
        <f>HYPERLINK("http://ts.21cn.com/tousu/show/id/1352680","http://ts.21cn.com/tousu/show/id/1352680")</f>
        <v>http://ts.21cn.com/tousu/show/id/1352680</v>
      </c>
      <c r="F20617" s="2" t="s">
        <v>11</v>
      </c>
      <c r="G20617" s="2" t="s">
        <v>3612</v>
      </c>
      <c r="H20617" s="2" t="s">
        <v>3613</v>
      </c>
    </row>
    <row r="20618" spans="1:8" ht="25.05" customHeight="1" x14ac:dyDescent="0.25">
      <c r="A20618" s="2" t="s">
        <v>8</v>
      </c>
      <c r="B20618" s="2" t="str">
        <f>HYPERLINK("http://ts.21cn.com/tousu/show/id/1352681","工商银行信用卡协商还款")</f>
        <v>工商银行信用卡协商还款</v>
      </c>
      <c r="C20618" s="2" t="s">
        <v>9</v>
      </c>
      <c r="D20618" s="2" t="s">
        <v>10</v>
      </c>
      <c r="E20618" s="2" t="str">
        <f>HYPERLINK("http://ts.21cn.com/tousu/show/id/1352681","http://ts.21cn.com/tousu/show/id/1352681")</f>
        <v>http://ts.21cn.com/tousu/show/id/1352681</v>
      </c>
      <c r="F20618" s="2" t="s">
        <v>11</v>
      </c>
      <c r="G20618" s="2" t="s">
        <v>3610</v>
      </c>
      <c r="H20618" s="2" t="s">
        <v>3611</v>
      </c>
    </row>
    <row r="20619" spans="1:8" ht="25.05" customHeight="1" x14ac:dyDescent="0.25">
      <c r="A20619" s="2" t="s">
        <v>8</v>
      </c>
      <c r="B20619" s="2" t="str">
        <f>HYPERLINK("http://ts.21cn.com/tousu/show/id/1352682","高利贷阴阳合同")</f>
        <v>高利贷阴阳合同</v>
      </c>
      <c r="C20619" s="2" t="s">
        <v>9</v>
      </c>
      <c r="D20619" s="2" t="s">
        <v>10</v>
      </c>
      <c r="E20619" s="2" t="str">
        <f>HYPERLINK("http://ts.21cn.com/tousu/show/id/1352682","http://ts.21cn.com/tousu/show/id/1352682")</f>
        <v>http://ts.21cn.com/tousu/show/id/1352682</v>
      </c>
      <c r="F20619" s="2" t="s">
        <v>11</v>
      </c>
      <c r="G20619" s="2" t="s">
        <v>3608</v>
      </c>
      <c r="H20619" s="2" t="s">
        <v>3609</v>
      </c>
    </row>
    <row r="20620" spans="1:8" ht="25.05" customHeight="1" x14ac:dyDescent="0.25">
      <c r="A20620" s="2" t="s">
        <v>8</v>
      </c>
      <c r="B20620" s="2" t="str">
        <f>HYPERLINK("http://ts.21cn.com/tousu/show/id/1352684","闪电借款超国家规定收费，暴力催收")</f>
        <v>闪电借款超国家规定收费，暴力催收</v>
      </c>
      <c r="C20620" s="2" t="s">
        <v>9</v>
      </c>
      <c r="D20620" s="2" t="s">
        <v>10</v>
      </c>
      <c r="E20620" s="2" t="str">
        <f>HYPERLINK("http://ts.21cn.com/tousu/show/id/1352684","http://ts.21cn.com/tousu/show/id/1352684")</f>
        <v>http://ts.21cn.com/tousu/show/id/1352684</v>
      </c>
      <c r="F20620" s="2" t="s">
        <v>11</v>
      </c>
      <c r="G20620" s="2" t="s">
        <v>3605</v>
      </c>
      <c r="H20620" s="2" t="s">
        <v>3606</v>
      </c>
    </row>
    <row r="20621" spans="1:8" ht="25.05" customHeight="1" x14ac:dyDescent="0.25">
      <c r="A20621" s="2" t="s">
        <v>8</v>
      </c>
      <c r="B20621" s="2" t="str">
        <f>HYPERLINK("http://ts.21cn.com/tousu/show/id/1352683","无缘无故被扣款")</f>
        <v>无缘无故被扣款</v>
      </c>
      <c r="C20621" s="2" t="s">
        <v>9</v>
      </c>
      <c r="D20621" s="2" t="s">
        <v>10</v>
      </c>
      <c r="E20621" s="2" t="str">
        <f>HYPERLINK("http://ts.21cn.com/tousu/show/id/1352683","http://ts.21cn.com/tousu/show/id/1352683")</f>
        <v>http://ts.21cn.com/tousu/show/id/1352683</v>
      </c>
      <c r="F20621" s="2" t="s">
        <v>11</v>
      </c>
      <c r="G20621" s="2" t="s">
        <v>3605</v>
      </c>
      <c r="H20621" s="2" t="s">
        <v>3607</v>
      </c>
    </row>
    <row r="20622" spans="1:8" ht="25.05" customHeight="1" x14ac:dyDescent="0.25">
      <c r="A20622" s="2" t="s">
        <v>8</v>
      </c>
      <c r="B20622" s="2" t="str">
        <f>HYPERLINK("http://ts.21cn.com/tousu/show/id/1352685","维信卡卡贷延迟放款")</f>
        <v>维信卡卡贷延迟放款</v>
      </c>
      <c r="C20622" s="2" t="s">
        <v>9</v>
      </c>
      <c r="D20622" s="2" t="s">
        <v>10</v>
      </c>
      <c r="E20622" s="2" t="str">
        <f>HYPERLINK("http://ts.21cn.com/tousu/show/id/1352685","http://ts.21cn.com/tousu/show/id/1352685")</f>
        <v>http://ts.21cn.com/tousu/show/id/1352685</v>
      </c>
      <c r="F20622" s="2" t="s">
        <v>11</v>
      </c>
      <c r="G20622" s="2" t="s">
        <v>3603</v>
      </c>
      <c r="H20622" s="2" t="s">
        <v>3604</v>
      </c>
    </row>
    <row r="20623" spans="1:8" ht="25.05" customHeight="1" x14ac:dyDescent="0.25">
      <c r="A20623" s="2" t="s">
        <v>8</v>
      </c>
      <c r="B20623" s="2" t="str">
        <f>HYPERLINK("http://ts.21cn.com/tousu/show/id/1352687","公众号:米条联盟，速与本人联系")</f>
        <v>公众号:米条联盟，速与本人联系</v>
      </c>
      <c r="C20623" s="2" t="s">
        <v>9</v>
      </c>
      <c r="D20623" s="2" t="s">
        <v>10</v>
      </c>
      <c r="E20623" s="2" t="str">
        <f>HYPERLINK("http://ts.21cn.com/tousu/show/id/1352687","http://ts.21cn.com/tousu/show/id/1352687")</f>
        <v>http://ts.21cn.com/tousu/show/id/1352687</v>
      </c>
      <c r="F20623" s="2" t="s">
        <v>11</v>
      </c>
      <c r="G20623" s="2" t="s">
        <v>3601</v>
      </c>
      <c r="H20623" s="2" t="s">
        <v>3602</v>
      </c>
    </row>
    <row r="20624" spans="1:8" ht="25.05" customHeight="1" x14ac:dyDescent="0.25">
      <c r="A20624" s="2" t="s">
        <v>8</v>
      </c>
      <c r="B20624" s="2" t="str">
        <f>HYPERLINK("http://ts.21cn.com/tousu/show/id/1352689","白条分期诱导扣费")</f>
        <v>白条分期诱导扣费</v>
      </c>
      <c r="C20624" s="2" t="s">
        <v>9</v>
      </c>
      <c r="D20624" s="2" t="s">
        <v>10</v>
      </c>
      <c r="E20624" s="2" t="str">
        <f>HYPERLINK("http://ts.21cn.com/tousu/show/id/1352689","http://ts.21cn.com/tousu/show/id/1352689")</f>
        <v>http://ts.21cn.com/tousu/show/id/1352689</v>
      </c>
      <c r="F20624" s="2" t="s">
        <v>11</v>
      </c>
      <c r="G20624" s="2" t="s">
        <v>3599</v>
      </c>
      <c r="H20624" s="2" t="s">
        <v>3600</v>
      </c>
    </row>
    <row r="20625" spans="1:8" ht="25.05" customHeight="1" x14ac:dyDescent="0.25">
      <c r="A20625" s="2" t="s">
        <v>8</v>
      </c>
      <c r="B20625" s="2" t="str">
        <f>HYPERLINK("http://ts.21cn.com/tousu/show/id/1352691","协商还款")</f>
        <v>协商还款</v>
      </c>
      <c r="C20625" s="2" t="s">
        <v>9</v>
      </c>
      <c r="D20625" s="2" t="s">
        <v>10</v>
      </c>
      <c r="E20625" s="2" t="str">
        <f>HYPERLINK("http://ts.21cn.com/tousu/show/id/1352691","http://ts.21cn.com/tousu/show/id/1352691")</f>
        <v>http://ts.21cn.com/tousu/show/id/1352691</v>
      </c>
      <c r="F20625" s="2" t="s">
        <v>11</v>
      </c>
      <c r="G20625" s="2" t="s">
        <v>3597</v>
      </c>
      <c r="H20625" s="2" t="s">
        <v>3598</v>
      </c>
    </row>
    <row r="20626" spans="1:8" ht="25.05" customHeight="1" x14ac:dyDescent="0.25">
      <c r="A20626" s="2" t="s">
        <v>8</v>
      </c>
      <c r="B20626" s="2" t="str">
        <f>HYPERLINK("http://ts.21cn.com/tousu/show/id/1352690","闪银暴力催收，砍头息")</f>
        <v>闪银暴力催收，砍头息</v>
      </c>
      <c r="C20626" s="2" t="s">
        <v>9</v>
      </c>
      <c r="D20626" s="2" t="s">
        <v>10</v>
      </c>
      <c r="E20626" s="2" t="str">
        <f>HYPERLINK("http://ts.21cn.com/tousu/show/id/1352690","http://ts.21cn.com/tousu/show/id/1352690")</f>
        <v>http://ts.21cn.com/tousu/show/id/1352690</v>
      </c>
      <c r="F20626" s="2" t="s">
        <v>11</v>
      </c>
      <c r="G20626" s="2" t="s">
        <v>3595</v>
      </c>
      <c r="H20626" s="2" t="s">
        <v>3596</v>
      </c>
    </row>
    <row r="20627" spans="1:8" ht="25.05" customHeight="1" x14ac:dyDescent="0.25">
      <c r="A20627" s="2" t="s">
        <v>8</v>
      </c>
      <c r="B20627" s="2" t="str">
        <f>HYPERLINK("http://ts.21cn.com/tousu/show/id/1352692","来分期乱扣支付宝的钱")</f>
        <v>来分期乱扣支付宝的钱</v>
      </c>
      <c r="C20627" s="2" t="s">
        <v>9</v>
      </c>
      <c r="D20627" s="2" t="s">
        <v>10</v>
      </c>
      <c r="E20627" s="2" t="str">
        <f>HYPERLINK("http://ts.21cn.com/tousu/show/id/1352692","http://ts.21cn.com/tousu/show/id/1352692")</f>
        <v>http://ts.21cn.com/tousu/show/id/1352692</v>
      </c>
      <c r="F20627" s="2" t="s">
        <v>11</v>
      </c>
      <c r="G20627" s="2" t="s">
        <v>3593</v>
      </c>
      <c r="H20627" s="2" t="s">
        <v>3594</v>
      </c>
    </row>
    <row r="20628" spans="1:8" ht="25.05" customHeight="1" x14ac:dyDescent="0.25">
      <c r="A20628" s="2" t="s">
        <v>8</v>
      </c>
      <c r="B20628" s="2" t="str">
        <f>HYPERLINK("http://ts.21cn.com/tousu/show/id/1352693","苏宁易购平台商家退店流程进度不更新")</f>
        <v>苏宁易购平台商家退店流程进度不更新</v>
      </c>
      <c r="C20628" s="2" t="s">
        <v>34</v>
      </c>
      <c r="D20628" s="2" t="s">
        <v>10</v>
      </c>
      <c r="E20628" s="2" t="str">
        <f>HYPERLINK("http://ts.21cn.com/tousu/show/id/1352693","http://ts.21cn.com/tousu/show/id/1352693")</f>
        <v>http://ts.21cn.com/tousu/show/id/1352693</v>
      </c>
      <c r="F20628" s="2" t="s">
        <v>11</v>
      </c>
      <c r="G20628" s="2" t="s">
        <v>3591</v>
      </c>
      <c r="H20628" s="2" t="s">
        <v>3592</v>
      </c>
    </row>
    <row r="20629" spans="1:8" ht="25.05" customHeight="1" x14ac:dyDescent="0.25">
      <c r="A20629" s="2" t="s">
        <v>8</v>
      </c>
      <c r="B20629" s="2" t="str">
        <f>HYPERLINK("http://ts.21cn.com/tousu/show/id/1352694","小当家APP上不去，不能进行还款")</f>
        <v>小当家APP上不去，不能进行还款</v>
      </c>
      <c r="C20629" s="2" t="s">
        <v>9</v>
      </c>
      <c r="D20629" s="2" t="s">
        <v>10</v>
      </c>
      <c r="E20629" s="2" t="str">
        <f>HYPERLINK("http://ts.21cn.com/tousu/show/id/1352694","http://ts.21cn.com/tousu/show/id/1352694")</f>
        <v>http://ts.21cn.com/tousu/show/id/1352694</v>
      </c>
      <c r="F20629" s="2" t="s">
        <v>11</v>
      </c>
      <c r="G20629" s="2" t="s">
        <v>3589</v>
      </c>
      <c r="H20629" s="2" t="s">
        <v>3590</v>
      </c>
    </row>
    <row r="20630" spans="1:8" ht="25.05" customHeight="1" x14ac:dyDescent="0.25">
      <c r="A20630" s="2" t="s">
        <v>8</v>
      </c>
      <c r="B20630" s="2" t="str">
        <f>HYPERLINK("http://ts.21cn.com/tousu/show/id/1352695","微品分期")</f>
        <v>微品分期</v>
      </c>
      <c r="C20630" s="2" t="s">
        <v>9</v>
      </c>
      <c r="D20630" s="2" t="s">
        <v>10</v>
      </c>
      <c r="E20630" s="2" t="str">
        <f>HYPERLINK("http://ts.21cn.com/tousu/show/id/1352695","http://ts.21cn.com/tousu/show/id/1352695")</f>
        <v>http://ts.21cn.com/tousu/show/id/1352695</v>
      </c>
      <c r="F20630" s="2" t="s">
        <v>11</v>
      </c>
      <c r="G20630" s="2" t="s">
        <v>3587</v>
      </c>
      <c r="H20630" s="2" t="s">
        <v>3588</v>
      </c>
    </row>
    <row r="20631" spans="1:8" ht="25.05" customHeight="1" x14ac:dyDescent="0.25">
      <c r="A20631" s="2" t="s">
        <v>8</v>
      </c>
      <c r="B20631" s="2" t="str">
        <f>HYPERLINK("http://ts.21cn.com/tousu/show/id/1352696","中国民生银行信用卡违规催收")</f>
        <v>中国民生银行信用卡违规催收</v>
      </c>
      <c r="C20631" s="2" t="s">
        <v>9</v>
      </c>
      <c r="D20631" s="2" t="s">
        <v>10</v>
      </c>
      <c r="E20631" s="2" t="str">
        <f>HYPERLINK("http://ts.21cn.com/tousu/show/id/1352696","http://ts.21cn.com/tousu/show/id/1352696")</f>
        <v>http://ts.21cn.com/tousu/show/id/1352696</v>
      </c>
      <c r="F20631" s="2" t="s">
        <v>11</v>
      </c>
      <c r="G20631" s="2" t="s">
        <v>3585</v>
      </c>
      <c r="H20631" s="2" t="s">
        <v>3586</v>
      </c>
    </row>
    <row r="20632" spans="1:8" ht="25.05" customHeight="1" x14ac:dyDescent="0.25">
      <c r="A20632" s="2" t="s">
        <v>8</v>
      </c>
      <c r="B20632" s="2" t="str">
        <f>HYPERLINK("http://ts.21cn.com/tousu/show/id/1352678","套路员费")</f>
        <v>套路员费</v>
      </c>
      <c r="C20632" s="2" t="s">
        <v>9</v>
      </c>
      <c r="D20632" s="2" t="s">
        <v>10</v>
      </c>
      <c r="E20632" s="2" t="str">
        <f>HYPERLINK("http://ts.21cn.com/tousu/show/id/1352678","http://ts.21cn.com/tousu/show/id/1352678")</f>
        <v>http://ts.21cn.com/tousu/show/id/1352678</v>
      </c>
      <c r="F20632" s="2" t="s">
        <v>11</v>
      </c>
      <c r="G20632" s="2" t="s">
        <v>3583</v>
      </c>
      <c r="H20632" s="2" t="s">
        <v>3584</v>
      </c>
    </row>
    <row r="20633" spans="1:8" ht="25.05" customHeight="1" x14ac:dyDescent="0.25">
      <c r="A20633" s="2" t="s">
        <v>8</v>
      </c>
      <c r="B20633" s="2" t="str">
        <f>HYPERLINK("http://ts.21cn.com/tousu/show/id/1352697","喜鹊快贷高利贷砍头息，暴力催收")</f>
        <v>喜鹊快贷高利贷砍头息，暴力催收</v>
      </c>
      <c r="C20633" s="2" t="s">
        <v>9</v>
      </c>
      <c r="D20633" s="2" t="s">
        <v>10</v>
      </c>
      <c r="E20633" s="2" t="str">
        <f>HYPERLINK("http://ts.21cn.com/tousu/show/id/1352697","http://ts.21cn.com/tousu/show/id/1352697")</f>
        <v>http://ts.21cn.com/tousu/show/id/1352697</v>
      </c>
      <c r="F20633" s="2" t="s">
        <v>11</v>
      </c>
      <c r="G20633" s="2" t="s">
        <v>3581</v>
      </c>
      <c r="H20633" s="2" t="s">
        <v>3582</v>
      </c>
    </row>
    <row r="20634" spans="1:8" ht="25.05" customHeight="1" x14ac:dyDescent="0.25">
      <c r="A20634" s="2" t="s">
        <v>8</v>
      </c>
      <c r="B20634" s="2" t="str">
        <f>HYPERLINK("http://ts.21cn.com/tousu/show/id/1352688","期待金融")</f>
        <v>期待金融</v>
      </c>
      <c r="C20634" s="2" t="s">
        <v>9</v>
      </c>
      <c r="D20634" s="2" t="s">
        <v>10</v>
      </c>
      <c r="E20634" s="2" t="str">
        <f>HYPERLINK("http://ts.21cn.com/tousu/show/id/1352688","http://ts.21cn.com/tousu/show/id/1352688")</f>
        <v>http://ts.21cn.com/tousu/show/id/1352688</v>
      </c>
      <c r="F20634" s="2" t="s">
        <v>11</v>
      </c>
      <c r="G20634" s="2" t="s">
        <v>3579</v>
      </c>
      <c r="H20634" s="2" t="s">
        <v>3580</v>
      </c>
    </row>
    <row r="20635" spans="1:8" ht="25.05" customHeight="1" x14ac:dyDescent="0.25">
      <c r="A20635" s="2" t="s">
        <v>8</v>
      </c>
      <c r="B20635" s="2" t="str">
        <f>HYPERLINK("http://ts.21cn.com/tousu/show/id/1352698","时光分期黑社会性质催收")</f>
        <v>时光分期黑社会性质催收</v>
      </c>
      <c r="C20635" s="2" t="s">
        <v>9</v>
      </c>
      <c r="D20635" s="2" t="s">
        <v>10</v>
      </c>
      <c r="E20635" s="2" t="str">
        <f>HYPERLINK("http://ts.21cn.com/tousu/show/id/1352698","http://ts.21cn.com/tousu/show/id/1352698")</f>
        <v>http://ts.21cn.com/tousu/show/id/1352698</v>
      </c>
      <c r="F20635" s="2" t="s">
        <v>11</v>
      </c>
      <c r="G20635" s="2" t="s">
        <v>3577</v>
      </c>
      <c r="H20635" s="2" t="s">
        <v>3578</v>
      </c>
    </row>
    <row r="20636" spans="1:8" ht="25.05" customHeight="1" x14ac:dyDescent="0.25">
      <c r="A20636" s="2" t="s">
        <v>8</v>
      </c>
      <c r="B20636" s="2" t="str">
        <f>HYPERLINK("http://ts.21cn.com/tousu/show/id/1352699","小来信砍头息高利贷")</f>
        <v>小来信砍头息高利贷</v>
      </c>
      <c r="C20636" s="2" t="s">
        <v>9</v>
      </c>
      <c r="D20636" s="2" t="s">
        <v>10</v>
      </c>
      <c r="E20636" s="2" t="str">
        <f>HYPERLINK("http://ts.21cn.com/tousu/show/id/1352699","http://ts.21cn.com/tousu/show/id/1352699")</f>
        <v>http://ts.21cn.com/tousu/show/id/1352699</v>
      </c>
      <c r="F20636" s="2" t="s">
        <v>11</v>
      </c>
      <c r="G20636" s="2" t="s">
        <v>3575</v>
      </c>
      <c r="H20636" s="2" t="s">
        <v>3576</v>
      </c>
    </row>
    <row r="20637" spans="1:8" ht="25.05" customHeight="1" x14ac:dyDescent="0.25">
      <c r="A20637" s="2" t="s">
        <v>8</v>
      </c>
      <c r="B20637" s="2" t="str">
        <f>HYPERLINK("http://ts.21cn.com/tousu/show/id/1352700","砍头息")</f>
        <v>砍头息</v>
      </c>
      <c r="C20637" s="2" t="s">
        <v>9</v>
      </c>
      <c r="D20637" s="2" t="s">
        <v>10</v>
      </c>
      <c r="E20637" s="2" t="str">
        <f>HYPERLINK("http://ts.21cn.com/tousu/show/id/1352700","http://ts.21cn.com/tousu/show/id/1352700")</f>
        <v>http://ts.21cn.com/tousu/show/id/1352700</v>
      </c>
      <c r="F20637" s="2" t="s">
        <v>11</v>
      </c>
      <c r="G20637" s="2" t="s">
        <v>3573</v>
      </c>
      <c r="H20637" s="2" t="s">
        <v>3574</v>
      </c>
    </row>
    <row r="20638" spans="1:8" ht="25.05" customHeight="1" x14ac:dyDescent="0.25">
      <c r="A20638" s="2" t="s">
        <v>8</v>
      </c>
      <c r="B20638" s="2" t="str">
        <f>HYPERLINK("http://ts.21cn.com/tousu/show/id/1352701","非法高利贷平台-钱站，阴阳合同，暴力催收")</f>
        <v>非法高利贷平台-钱站，阴阳合同，暴力催收</v>
      </c>
      <c r="C20638" s="2" t="s">
        <v>9</v>
      </c>
      <c r="D20638" s="2" t="s">
        <v>10</v>
      </c>
      <c r="E20638" s="2" t="str">
        <f>HYPERLINK("http://ts.21cn.com/tousu/show/id/1352701","http://ts.21cn.com/tousu/show/id/1352701")</f>
        <v>http://ts.21cn.com/tousu/show/id/1352701</v>
      </c>
      <c r="F20638" s="2" t="s">
        <v>11</v>
      </c>
      <c r="G20638" s="2" t="s">
        <v>3571</v>
      </c>
      <c r="H20638" s="2" t="s">
        <v>3572</v>
      </c>
    </row>
    <row r="20639" spans="1:8" ht="25.05" customHeight="1" x14ac:dyDescent="0.25">
      <c r="A20639" s="2" t="s">
        <v>8</v>
      </c>
      <c r="B20639" s="2" t="str">
        <f>HYPERLINK("http://ts.21cn.com/tousu/show/id/1352702","还款逾期未协商的情况下，自称小花钱包工作人员威胁呼叫通讯录")</f>
        <v>还款逾期未协商的情况下，自称小花钱包工作人员威胁呼叫通讯录</v>
      </c>
      <c r="C20639" s="2" t="s">
        <v>9</v>
      </c>
      <c r="D20639" s="2" t="s">
        <v>10</v>
      </c>
      <c r="E20639" s="2" t="str">
        <f>HYPERLINK("http://ts.21cn.com/tousu/show/id/1352702","http://ts.21cn.com/tousu/show/id/1352702")</f>
        <v>http://ts.21cn.com/tousu/show/id/1352702</v>
      </c>
      <c r="F20639" s="2" t="s">
        <v>11</v>
      </c>
      <c r="G20639" s="2" t="s">
        <v>3569</v>
      </c>
      <c r="H20639" s="2" t="s">
        <v>3570</v>
      </c>
    </row>
    <row r="20640" spans="1:8" ht="25.05" customHeight="1" x14ac:dyDescent="0.25">
      <c r="A20640" s="2" t="s">
        <v>8</v>
      </c>
      <c r="B20640" s="2" t="str">
        <f>HYPERLINK("http://ts.21cn.com/tousu/show/id/1352704","恶意扣款")</f>
        <v>恶意扣款</v>
      </c>
      <c r="C20640" s="2" t="s">
        <v>9</v>
      </c>
      <c r="D20640" s="2" t="s">
        <v>10</v>
      </c>
      <c r="E20640" s="2" t="str">
        <f>HYPERLINK("http://ts.21cn.com/tousu/show/id/1352704","http://ts.21cn.com/tousu/show/id/1352704")</f>
        <v>http://ts.21cn.com/tousu/show/id/1352704</v>
      </c>
      <c r="F20640" s="2" t="s">
        <v>11</v>
      </c>
      <c r="G20640" s="2" t="s">
        <v>3567</v>
      </c>
      <c r="H20640" s="2" t="s">
        <v>3568</v>
      </c>
    </row>
    <row r="20641" spans="1:8" ht="25.05" customHeight="1" x14ac:dyDescent="0.25">
      <c r="A20641" s="2" t="s">
        <v>8</v>
      </c>
      <c r="B20641" s="2" t="str">
        <f>HYPERLINK("http://ts.21cn.com/tousu/show/id/1352706","拍拍贷")</f>
        <v>拍拍贷</v>
      </c>
      <c r="C20641" s="2" t="s">
        <v>9</v>
      </c>
      <c r="D20641" s="2" t="s">
        <v>10</v>
      </c>
      <c r="E20641" s="2" t="str">
        <f>HYPERLINK("http://ts.21cn.com/tousu/show/id/1352706","http://ts.21cn.com/tousu/show/id/1352706")</f>
        <v>http://ts.21cn.com/tousu/show/id/1352706</v>
      </c>
      <c r="F20641" s="2" t="s">
        <v>11</v>
      </c>
      <c r="G20641" s="2" t="s">
        <v>3565</v>
      </c>
      <c r="H20641" s="2" t="s">
        <v>3566</v>
      </c>
    </row>
    <row r="20642" spans="1:8" ht="25.05" customHeight="1" x14ac:dyDescent="0.25">
      <c r="A20642" s="2" t="s">
        <v>8</v>
      </c>
      <c r="B20642" s="2" t="str">
        <f>HYPERLINK("http://ts.21cn.com/tousu/show/id/1352707","支付宝霸王条款")</f>
        <v>支付宝霸王条款</v>
      </c>
      <c r="C20642" s="2" t="s">
        <v>9</v>
      </c>
      <c r="D20642" s="2" t="s">
        <v>10</v>
      </c>
      <c r="E20642" s="2" t="str">
        <f>HYPERLINK("http://ts.21cn.com/tousu/show/id/1352707","http://ts.21cn.com/tousu/show/id/1352707")</f>
        <v>http://ts.21cn.com/tousu/show/id/1352707</v>
      </c>
      <c r="F20642" s="2" t="s">
        <v>11</v>
      </c>
      <c r="G20642" s="2" t="s">
        <v>3563</v>
      </c>
      <c r="H20642" s="2" t="s">
        <v>3564</v>
      </c>
    </row>
    <row r="20643" spans="1:8" ht="25.05" customHeight="1" x14ac:dyDescent="0.25">
      <c r="A20643" s="2" t="s">
        <v>8</v>
      </c>
      <c r="B20643" s="2" t="str">
        <f>HYPERLINK("http://ts.21cn.com/tousu/show/id/1352709","速金服APP套路贷")</f>
        <v>速金服APP套路贷</v>
      </c>
      <c r="C20643" s="2" t="s">
        <v>9</v>
      </c>
      <c r="D20643" s="2" t="s">
        <v>10</v>
      </c>
      <c r="E20643" s="2" t="str">
        <f>HYPERLINK("http://ts.21cn.com/tousu/show/id/1352709","http://ts.21cn.com/tousu/show/id/1352709")</f>
        <v>http://ts.21cn.com/tousu/show/id/1352709</v>
      </c>
      <c r="F20643" s="2" t="s">
        <v>11</v>
      </c>
      <c r="G20643" s="2" t="s">
        <v>3560</v>
      </c>
      <c r="H20643" s="2" t="s">
        <v>3561</v>
      </c>
    </row>
    <row r="20644" spans="1:8" ht="25.05" customHeight="1" x14ac:dyDescent="0.25">
      <c r="A20644" s="2" t="s">
        <v>8</v>
      </c>
      <c r="B20644" s="2" t="str">
        <f>HYPERLINK("http://ts.21cn.com/tousu/show/id/1352708","来分期催收")</f>
        <v>来分期催收</v>
      </c>
      <c r="C20644" s="2" t="s">
        <v>9</v>
      </c>
      <c r="D20644" s="2" t="s">
        <v>10</v>
      </c>
      <c r="E20644" s="2" t="str">
        <f>HYPERLINK("http://ts.21cn.com/tousu/show/id/1352708","http://ts.21cn.com/tousu/show/id/1352708")</f>
        <v>http://ts.21cn.com/tousu/show/id/1352708</v>
      </c>
      <c r="F20644" s="2" t="s">
        <v>11</v>
      </c>
      <c r="G20644" s="2" t="s">
        <v>3560</v>
      </c>
      <c r="H20644" s="2" t="s">
        <v>3562</v>
      </c>
    </row>
    <row r="20645" spans="1:8" ht="25.05" customHeight="1" x14ac:dyDescent="0.25">
      <c r="A20645" s="2" t="s">
        <v>8</v>
      </c>
      <c r="B20645" s="2" t="str">
        <f>HYPERLINK("http://ts.21cn.com/tousu/show/id/1352710","平安银行信用卡中心暴力威胁催收")</f>
        <v>平安银行信用卡中心暴力威胁催收</v>
      </c>
      <c r="C20645" s="2" t="s">
        <v>9</v>
      </c>
      <c r="D20645" s="2" t="s">
        <v>10</v>
      </c>
      <c r="E20645" s="2" t="str">
        <f>HYPERLINK("http://ts.21cn.com/tousu/show/id/1352710","http://ts.21cn.com/tousu/show/id/1352710")</f>
        <v>http://ts.21cn.com/tousu/show/id/1352710</v>
      </c>
      <c r="F20645" s="2" t="s">
        <v>11</v>
      </c>
      <c r="G20645" s="2" t="s">
        <v>3558</v>
      </c>
      <c r="H20645" s="2" t="s">
        <v>3559</v>
      </c>
    </row>
    <row r="20646" spans="1:8" ht="25.05" customHeight="1" x14ac:dyDescent="0.25">
      <c r="A20646" s="2" t="s">
        <v>8</v>
      </c>
      <c r="B20646" s="2" t="str">
        <f>HYPERLINK("http://ts.21cn.com/tousu/show/id/1352711","催收别人，给我打电话让找别人。我决绝拒绝他们对我人身攻击威胁恐吓辱骂精神摧残")</f>
        <v>催收别人，给我打电话让找别人。我决绝拒绝他们对我人身攻击威胁恐吓辱骂精神摧残</v>
      </c>
      <c r="C20646" s="2" t="s">
        <v>9</v>
      </c>
      <c r="D20646" s="2" t="s">
        <v>10</v>
      </c>
      <c r="E20646" s="2" t="str">
        <f>HYPERLINK("http://ts.21cn.com/tousu/show/id/1352711","http://ts.21cn.com/tousu/show/id/1352711")</f>
        <v>http://ts.21cn.com/tousu/show/id/1352711</v>
      </c>
      <c r="F20646" s="2" t="s">
        <v>11</v>
      </c>
      <c r="G20646" s="2" t="s">
        <v>3556</v>
      </c>
      <c r="H20646" s="2" t="s">
        <v>3557</v>
      </c>
    </row>
    <row r="20647" spans="1:8" ht="25.05" customHeight="1" x14ac:dyDescent="0.25">
      <c r="A20647" s="2" t="s">
        <v>8</v>
      </c>
      <c r="B20647" s="2" t="str">
        <f>HYPERLINK("http://ts.21cn.com/tousu/show/id/1352712","砍头息，逾期一天未失联情况下骚扰联系人")</f>
        <v>砍头息，逾期一天未失联情况下骚扰联系人</v>
      </c>
      <c r="C20647" s="2" t="s">
        <v>9</v>
      </c>
      <c r="D20647" s="2" t="s">
        <v>10</v>
      </c>
      <c r="E20647" s="2" t="str">
        <f>HYPERLINK("http://ts.21cn.com/tousu/show/id/1352712","http://ts.21cn.com/tousu/show/id/1352712")</f>
        <v>http://ts.21cn.com/tousu/show/id/1352712</v>
      </c>
      <c r="F20647" s="2" t="s">
        <v>11</v>
      </c>
      <c r="G20647" s="2" t="s">
        <v>3554</v>
      </c>
      <c r="H20647" s="2" t="s">
        <v>3555</v>
      </c>
    </row>
    <row r="20648" spans="1:8" ht="25.05" customHeight="1" x14ac:dyDescent="0.25">
      <c r="A20648" s="2" t="s">
        <v>8</v>
      </c>
      <c r="B20648" s="2" t="str">
        <f>HYPERLINK("http://ts.21cn.com/tousu/show/id/1352713","宝付支付为714高利贷翼钱包提供支付通道要求退还砍头息以及不合理延期费用")</f>
        <v>宝付支付为714高利贷翼钱包提供支付通道要求退还砍头息以及不合理延期费用</v>
      </c>
      <c r="C20648" s="2" t="s">
        <v>9</v>
      </c>
      <c r="D20648" s="2" t="s">
        <v>10</v>
      </c>
      <c r="E20648" s="2" t="str">
        <f>HYPERLINK("http://ts.21cn.com/tousu/show/id/1352713","http://ts.21cn.com/tousu/show/id/1352713")</f>
        <v>http://ts.21cn.com/tousu/show/id/1352713</v>
      </c>
      <c r="F20648" s="2" t="s">
        <v>11</v>
      </c>
      <c r="G20648" s="2" t="s">
        <v>3552</v>
      </c>
      <c r="H20648" s="2" t="s">
        <v>3553</v>
      </c>
    </row>
    <row r="20649" spans="1:8" ht="25.05" customHeight="1" x14ac:dyDescent="0.25">
      <c r="A20649" s="2" t="s">
        <v>8</v>
      </c>
      <c r="B20649" s="2" t="str">
        <f>HYPERLINK("http://ts.21cn.com/tousu/show/id/1352715","超利贷电话骚扰态度差")</f>
        <v>超利贷电话骚扰态度差</v>
      </c>
      <c r="C20649" s="2" t="s">
        <v>9</v>
      </c>
      <c r="D20649" s="2" t="s">
        <v>10</v>
      </c>
      <c r="E20649" s="2" t="str">
        <f>HYPERLINK("http://ts.21cn.com/tousu/show/id/1352715","http://ts.21cn.com/tousu/show/id/1352715")</f>
        <v>http://ts.21cn.com/tousu/show/id/1352715</v>
      </c>
      <c r="F20649" s="2" t="s">
        <v>11</v>
      </c>
      <c r="G20649" s="2" t="s">
        <v>3550</v>
      </c>
      <c r="H20649" s="2" t="s">
        <v>3551</v>
      </c>
    </row>
    <row r="20650" spans="1:8" ht="25.05" customHeight="1" x14ac:dyDescent="0.25">
      <c r="A20650" s="2" t="s">
        <v>8</v>
      </c>
      <c r="B20650" s="2" t="str">
        <f>HYPERLINK("http://ts.21cn.com/tousu/show/id/1352714","交易猫不发货联系不到卖家，交易猫客服说在催促一直没进展。我想退款")</f>
        <v>交易猫不发货联系不到卖家，交易猫客服说在催促一直没进展。我想退款</v>
      </c>
      <c r="C20650" s="2" t="s">
        <v>9</v>
      </c>
      <c r="D20650" s="2" t="s">
        <v>10</v>
      </c>
      <c r="E20650" s="2" t="str">
        <f>HYPERLINK("http://ts.21cn.com/tousu/show/id/1352714","http://ts.21cn.com/tousu/show/id/1352714")</f>
        <v>http://ts.21cn.com/tousu/show/id/1352714</v>
      </c>
      <c r="F20650" s="2" t="s">
        <v>11</v>
      </c>
      <c r="G20650" s="2" t="s">
        <v>3548</v>
      </c>
      <c r="H20650" s="2" t="s">
        <v>3549</v>
      </c>
    </row>
    <row r="20651" spans="1:8" ht="25.05" customHeight="1" x14ac:dyDescent="0.25">
      <c r="A20651" s="2" t="s">
        <v>8</v>
      </c>
      <c r="B20651" s="2" t="str">
        <f>HYPERLINK("http://ts.21cn.com/tousu/show/id/1352716","宜信宜人贷高额收取代款利息及砍头息5万多元")</f>
        <v>宜信宜人贷高额收取代款利息及砍头息5万多元</v>
      </c>
      <c r="C20651" s="2" t="s">
        <v>9</v>
      </c>
      <c r="D20651" s="2" t="s">
        <v>10</v>
      </c>
      <c r="E20651" s="2" t="str">
        <f>HYPERLINK("http://ts.21cn.com/tousu/show/id/1352716","http://ts.21cn.com/tousu/show/id/1352716")</f>
        <v>http://ts.21cn.com/tousu/show/id/1352716</v>
      </c>
      <c r="F20651" s="2" t="s">
        <v>11</v>
      </c>
      <c r="G20651" s="2" t="s">
        <v>3546</v>
      </c>
      <c r="H20651" s="2" t="s">
        <v>3547</v>
      </c>
    </row>
    <row r="20652" spans="1:8" ht="25.05" customHeight="1" x14ac:dyDescent="0.25">
      <c r="A20652" s="2" t="s">
        <v>8</v>
      </c>
      <c r="B20652" s="2" t="str">
        <f>HYPERLINK("http://ts.21cn.com/tousu/show/id/1352718","恶心骚扰")</f>
        <v>恶心骚扰</v>
      </c>
      <c r="C20652" s="2" t="s">
        <v>9</v>
      </c>
      <c r="D20652" s="2" t="s">
        <v>10</v>
      </c>
      <c r="E20652" s="2" t="str">
        <f>HYPERLINK("http://ts.21cn.com/tousu/show/id/1352718","http://ts.21cn.com/tousu/show/id/1352718")</f>
        <v>http://ts.21cn.com/tousu/show/id/1352718</v>
      </c>
      <c r="F20652" s="2" t="s">
        <v>11</v>
      </c>
      <c r="G20652" s="2" t="s">
        <v>3544</v>
      </c>
      <c r="H20652" s="2" t="s">
        <v>3545</v>
      </c>
    </row>
    <row r="20653" spans="1:8" ht="25.05" customHeight="1" x14ac:dyDescent="0.25">
      <c r="A20653" s="2" t="s">
        <v>8</v>
      </c>
      <c r="B20653" s="2" t="str">
        <f>HYPERLINK("http://ts.21cn.com/tousu/show/id/1352719","广发信用卡高利贷好高额违约金和利息")</f>
        <v>广发信用卡高利贷好高额违约金和利息</v>
      </c>
      <c r="C20653" s="2" t="s">
        <v>9</v>
      </c>
      <c r="D20653" s="2" t="s">
        <v>10</v>
      </c>
      <c r="E20653" s="2" t="str">
        <f>HYPERLINK("http://ts.21cn.com/tousu/show/id/1352719","http://ts.21cn.com/tousu/show/id/1352719")</f>
        <v>http://ts.21cn.com/tousu/show/id/1352719</v>
      </c>
      <c r="F20653" s="2" t="s">
        <v>11</v>
      </c>
      <c r="G20653" s="2" t="s">
        <v>3542</v>
      </c>
      <c r="H20653" s="2" t="s">
        <v>3543</v>
      </c>
    </row>
    <row r="20654" spans="1:8" ht="25.05" customHeight="1" x14ac:dyDescent="0.25">
      <c r="A20654" s="2" t="s">
        <v>8</v>
      </c>
      <c r="B20654" s="2" t="str">
        <f>HYPERLINK("http://ts.21cn.com/tousu/show/id/1352717","现金巴士协商减免逾期费")</f>
        <v>现金巴士协商减免逾期费</v>
      </c>
      <c r="C20654" s="2" t="s">
        <v>34</v>
      </c>
      <c r="D20654" s="2" t="s">
        <v>10</v>
      </c>
      <c r="E20654" s="2" t="str">
        <f>HYPERLINK("http://ts.21cn.com/tousu/show/id/1352717","http://ts.21cn.com/tousu/show/id/1352717")</f>
        <v>http://ts.21cn.com/tousu/show/id/1352717</v>
      </c>
      <c r="F20654" s="2" t="s">
        <v>11</v>
      </c>
      <c r="G20654" s="2" t="s">
        <v>3540</v>
      </c>
      <c r="H20654" s="2" t="s">
        <v>3541</v>
      </c>
    </row>
    <row r="20655" spans="1:8" ht="25.05" customHeight="1" x14ac:dyDescent="0.25">
      <c r="A20655" s="2" t="s">
        <v>8</v>
      </c>
      <c r="B20655" s="2" t="str">
        <f>HYPERLINK("http://ts.21cn.com/tousu/show/id/1352686","月光侠分期借款砍头息，变相高利贷")</f>
        <v>月光侠分期借款砍头息，变相高利贷</v>
      </c>
      <c r="C20655" s="2" t="s">
        <v>9</v>
      </c>
      <c r="D20655" s="2" t="s">
        <v>10</v>
      </c>
      <c r="E20655" s="2" t="str">
        <f>HYPERLINK("http://ts.21cn.com/tousu/show/id/1352686","http://ts.21cn.com/tousu/show/id/1352686")</f>
        <v>http://ts.21cn.com/tousu/show/id/1352686</v>
      </c>
      <c r="F20655" s="2" t="s">
        <v>11</v>
      </c>
      <c r="G20655" s="2" t="s">
        <v>3538</v>
      </c>
      <c r="H20655" s="2" t="s">
        <v>3539</v>
      </c>
    </row>
    <row r="20656" spans="1:8" ht="25.05" customHeight="1" x14ac:dyDescent="0.25">
      <c r="A20656" s="2" t="s">
        <v>8</v>
      </c>
      <c r="B20656" s="2" t="str">
        <f>HYPERLINK("http://ts.21cn.com/tousu/show/id/1352721","暴力催收寄律师函")</f>
        <v>暴力催收寄律师函</v>
      </c>
      <c r="C20656" s="2" t="s">
        <v>9</v>
      </c>
      <c r="D20656" s="2" t="s">
        <v>10</v>
      </c>
      <c r="E20656" s="2" t="str">
        <f>HYPERLINK("http://ts.21cn.com/tousu/show/id/1352721","http://ts.21cn.com/tousu/show/id/1352721")</f>
        <v>http://ts.21cn.com/tousu/show/id/1352721</v>
      </c>
      <c r="F20656" s="2" t="s">
        <v>11</v>
      </c>
      <c r="G20656" s="2" t="s">
        <v>3536</v>
      </c>
      <c r="H20656" s="2" t="s">
        <v>3537</v>
      </c>
    </row>
    <row r="20657" spans="1:8" ht="25.05" customHeight="1" x14ac:dyDescent="0.25">
      <c r="A20657" s="2" t="s">
        <v>8</v>
      </c>
      <c r="B20657" s="2" t="str">
        <f>HYPERLINK("http://ts.21cn.com/tousu/show/id/1352720","闪银年利息960％")</f>
        <v>闪银年利息960％</v>
      </c>
      <c r="C20657" s="2" t="s">
        <v>9</v>
      </c>
      <c r="D20657" s="2" t="s">
        <v>10</v>
      </c>
      <c r="E20657" s="2" t="str">
        <f>HYPERLINK("http://ts.21cn.com/tousu/show/id/1352720","http://ts.21cn.com/tousu/show/id/1352720")</f>
        <v>http://ts.21cn.com/tousu/show/id/1352720</v>
      </c>
      <c r="F20657" s="2" t="s">
        <v>11</v>
      </c>
      <c r="G20657" s="2" t="s">
        <v>3534</v>
      </c>
      <c r="H20657" s="2" t="s">
        <v>3535</v>
      </c>
    </row>
    <row r="20658" spans="1:8" ht="25.05" customHeight="1" x14ac:dyDescent="0.25">
      <c r="A20658" s="2" t="s">
        <v>8</v>
      </c>
      <c r="B20658" s="2" t="str">
        <f>HYPERLINK("http://ts.21cn.com/tousu/show/id/1352722","贷款欠款已给业务员，业务员携款潜逃，导致征信逾期")</f>
        <v>贷款欠款已给业务员，业务员携款潜逃，导致征信逾期</v>
      </c>
      <c r="C20658" s="2" t="s">
        <v>9</v>
      </c>
      <c r="D20658" s="2" t="s">
        <v>10</v>
      </c>
      <c r="E20658" s="2" t="str">
        <f>HYPERLINK("http://ts.21cn.com/tousu/show/id/1352722","http://ts.21cn.com/tousu/show/id/1352722")</f>
        <v>http://ts.21cn.com/tousu/show/id/1352722</v>
      </c>
      <c r="F20658" s="2" t="s">
        <v>11</v>
      </c>
      <c r="G20658" s="2" t="s">
        <v>3532</v>
      </c>
      <c r="H20658" s="2" t="s">
        <v>3533</v>
      </c>
    </row>
    <row r="20659" spans="1:8" ht="25.05" customHeight="1" x14ac:dyDescent="0.25">
      <c r="A20659" s="2" t="s">
        <v>8</v>
      </c>
      <c r="B20659" s="2" t="str">
        <f>HYPERLINK("http://ts.21cn.com/tousu/show/id/1352724","骚扰")</f>
        <v>骚扰</v>
      </c>
      <c r="C20659" s="2" t="s">
        <v>9</v>
      </c>
      <c r="D20659" s="2" t="s">
        <v>10</v>
      </c>
      <c r="E20659" s="2" t="str">
        <f>HYPERLINK("http://ts.21cn.com/tousu/show/id/1352724","http://ts.21cn.com/tousu/show/id/1352724")</f>
        <v>http://ts.21cn.com/tousu/show/id/1352724</v>
      </c>
      <c r="F20659" s="2" t="s">
        <v>11</v>
      </c>
      <c r="G20659" s="2" t="s">
        <v>3530</v>
      </c>
      <c r="H20659" s="2" t="s">
        <v>3531</v>
      </c>
    </row>
    <row r="20660" spans="1:8" ht="25.05" customHeight="1" x14ac:dyDescent="0.25">
      <c r="A20660" s="2" t="s">
        <v>8</v>
      </c>
      <c r="B20660" s="2" t="str">
        <f>HYPERLINK("http://ts.21cn.com/tousu/show/id/1352725","及贷暴力催收，骚扰通讯录，无法进行协商")</f>
        <v>及贷暴力催收，骚扰通讯录，无法进行协商</v>
      </c>
      <c r="C20660" s="2" t="s">
        <v>9</v>
      </c>
      <c r="D20660" s="2" t="s">
        <v>10</v>
      </c>
      <c r="E20660" s="2" t="str">
        <f>HYPERLINK("http://ts.21cn.com/tousu/show/id/1352725","http://ts.21cn.com/tousu/show/id/1352725")</f>
        <v>http://ts.21cn.com/tousu/show/id/1352725</v>
      </c>
      <c r="F20660" s="2" t="s">
        <v>11</v>
      </c>
      <c r="G20660" s="2" t="s">
        <v>3528</v>
      </c>
      <c r="H20660" s="2" t="s">
        <v>3529</v>
      </c>
    </row>
    <row r="20661" spans="1:8" ht="25.05" customHeight="1" x14ac:dyDescent="0.25">
      <c r="A20661" s="2" t="s">
        <v>8</v>
      </c>
      <c r="B20661" s="2" t="str">
        <f>HYPERLINK("http://ts.21cn.com/tousu/show/id/1352726","分期花呗虚假短信广告")</f>
        <v>分期花呗虚假短信广告</v>
      </c>
      <c r="C20661" s="2" t="s">
        <v>9</v>
      </c>
      <c r="D20661" s="2" t="s">
        <v>10</v>
      </c>
      <c r="E20661" s="2" t="str">
        <f>HYPERLINK("http://ts.21cn.com/tousu/show/id/1352726","http://ts.21cn.com/tousu/show/id/1352726")</f>
        <v>http://ts.21cn.com/tousu/show/id/1352726</v>
      </c>
      <c r="F20661" s="2" t="s">
        <v>11</v>
      </c>
      <c r="G20661" s="2" t="s">
        <v>3526</v>
      </c>
      <c r="H20661" s="2" t="s">
        <v>3527</v>
      </c>
    </row>
    <row r="20662" spans="1:8" ht="25.05" customHeight="1" x14ac:dyDescent="0.25">
      <c r="A20662" s="2" t="s">
        <v>8</v>
      </c>
      <c r="B20662" s="2" t="str">
        <f>HYPERLINK("http://ts.21cn.com/tousu/show/id/1352727","多米违规收取服务费砍头息")</f>
        <v>多米违规收取服务费砍头息</v>
      </c>
      <c r="C20662" s="2" t="s">
        <v>9</v>
      </c>
      <c r="D20662" s="2" t="s">
        <v>10</v>
      </c>
      <c r="E20662" s="2" t="str">
        <f>HYPERLINK("http://ts.21cn.com/tousu/show/id/1352727","http://ts.21cn.com/tousu/show/id/1352727")</f>
        <v>http://ts.21cn.com/tousu/show/id/1352727</v>
      </c>
      <c r="F20662" s="2" t="s">
        <v>11</v>
      </c>
      <c r="G20662" s="2" t="s">
        <v>3524</v>
      </c>
      <c r="H20662" s="2" t="s">
        <v>3525</v>
      </c>
    </row>
    <row r="20663" spans="1:8" ht="25.05" customHeight="1" x14ac:dyDescent="0.25">
      <c r="A20663" s="2" t="s">
        <v>8</v>
      </c>
      <c r="B20663" s="2" t="str">
        <f>HYPERLINK("http://ts.21cn.com/tousu/show/id/1345627","世纪佳缘以一对一服务为幌子引导消费者开通金钻牵线这一虚假服务")</f>
        <v>世纪佳缘以一对一服务为幌子引导消费者开通金钻牵线这一虚假服务</v>
      </c>
      <c r="C20663" s="2" t="s">
        <v>9</v>
      </c>
      <c r="D20663" s="2" t="s">
        <v>10</v>
      </c>
      <c r="E20663" s="2" t="str">
        <f>HYPERLINK("http://ts.21cn.com/tousu/show/id/1345627","http://ts.21cn.com/tousu/show/id/1345627")</f>
        <v>http://ts.21cn.com/tousu/show/id/1345627</v>
      </c>
      <c r="F20663" s="2" t="s">
        <v>11</v>
      </c>
      <c r="G20663" s="2" t="s">
        <v>3522</v>
      </c>
      <c r="H20663" s="2" t="s">
        <v>3523</v>
      </c>
    </row>
    <row r="20664" spans="1:8" ht="25.05" customHeight="1" x14ac:dyDescent="0.25">
      <c r="A20664" s="2" t="s">
        <v>8</v>
      </c>
      <c r="B20664" s="2" t="str">
        <f>HYPERLINK("http://ts.21cn.com/tousu/show/id/1352730","恶意骚扰家人")</f>
        <v>恶意骚扰家人</v>
      </c>
      <c r="C20664" s="2" t="s">
        <v>9</v>
      </c>
      <c r="D20664" s="2" t="s">
        <v>10</v>
      </c>
      <c r="E20664" s="2" t="str">
        <f>HYPERLINK("http://ts.21cn.com/tousu/show/id/1352730","http://ts.21cn.com/tousu/show/id/1352730")</f>
        <v>http://ts.21cn.com/tousu/show/id/1352730</v>
      </c>
      <c r="F20664" s="2" t="s">
        <v>11</v>
      </c>
      <c r="G20664" s="2" t="s">
        <v>3520</v>
      </c>
      <c r="H20664" s="2" t="s">
        <v>3521</v>
      </c>
    </row>
    <row r="20665" spans="1:8" ht="25.05" customHeight="1" x14ac:dyDescent="0.25">
      <c r="A20665" s="2" t="s">
        <v>8</v>
      </c>
      <c r="B20665" s="2" t="str">
        <f>HYPERLINK("http://ts.21cn.com/tousu/show/id/1352728","招商银行信用卡乱收费")</f>
        <v>招商银行信用卡乱收费</v>
      </c>
      <c r="C20665" s="2" t="s">
        <v>9</v>
      </c>
      <c r="D20665" s="2" t="s">
        <v>10</v>
      </c>
      <c r="E20665" s="2" t="str">
        <f>HYPERLINK("http://ts.21cn.com/tousu/show/id/1352728","http://ts.21cn.com/tousu/show/id/1352728")</f>
        <v>http://ts.21cn.com/tousu/show/id/1352728</v>
      </c>
      <c r="F20665" s="2" t="s">
        <v>11</v>
      </c>
      <c r="G20665" s="2" t="s">
        <v>3518</v>
      </c>
      <c r="H20665" s="2" t="s">
        <v>3519</v>
      </c>
    </row>
    <row r="20666" spans="1:8" ht="25.05" customHeight="1" x14ac:dyDescent="0.25">
      <c r="A20666" s="2" t="s">
        <v>8</v>
      </c>
      <c r="B20666" s="2" t="str">
        <f>HYPERLINK("http://ts.21cn.com/tousu/show/id/1352729","语气强硬，态度恶劣，完全是被对方剥夺了话语权，一点商量余地都没有")</f>
        <v>语气强硬，态度恶劣，完全是被对方剥夺了话语权，一点商量余地都没有</v>
      </c>
      <c r="C20666" s="2" t="s">
        <v>9</v>
      </c>
      <c r="D20666" s="2" t="s">
        <v>10</v>
      </c>
      <c r="E20666" s="2" t="str">
        <f>HYPERLINK("http://ts.21cn.com/tousu/show/id/1352729","http://ts.21cn.com/tousu/show/id/1352729")</f>
        <v>http://ts.21cn.com/tousu/show/id/1352729</v>
      </c>
      <c r="F20666" s="2" t="s">
        <v>11</v>
      </c>
      <c r="G20666" s="2" t="s">
        <v>3516</v>
      </c>
      <c r="H20666" s="2" t="s">
        <v>3517</v>
      </c>
    </row>
    <row r="20667" spans="1:8" ht="25.05" customHeight="1" x14ac:dyDescent="0.25">
      <c r="A20667" s="2" t="s">
        <v>8</v>
      </c>
      <c r="B20667" s="2" t="str">
        <f>HYPERLINK("http://ts.21cn.com/tousu/show/id/1352731","平安普惠恐吓")</f>
        <v>平安普惠恐吓</v>
      </c>
      <c r="C20667" s="2" t="s">
        <v>9</v>
      </c>
      <c r="D20667" s="2" t="s">
        <v>10</v>
      </c>
      <c r="E20667" s="2" t="str">
        <f>HYPERLINK("http://ts.21cn.com/tousu/show/id/1352731","http://ts.21cn.com/tousu/show/id/1352731")</f>
        <v>http://ts.21cn.com/tousu/show/id/1352731</v>
      </c>
      <c r="F20667" s="2" t="s">
        <v>11</v>
      </c>
      <c r="G20667" s="2" t="s">
        <v>3514</v>
      </c>
      <c r="H20667" s="2" t="s">
        <v>3515</v>
      </c>
    </row>
    <row r="20668" spans="1:8" ht="25.05" customHeight="1" x14ac:dyDescent="0.25">
      <c r="A20668" s="2" t="s">
        <v>8</v>
      </c>
      <c r="B20668" s="2" t="str">
        <f>HYPERLINK("http://ts.21cn.com/tousu/show/id/1352732","过期就不退，违反电商法")</f>
        <v>过期就不退，违反电商法</v>
      </c>
      <c r="C20668" s="2" t="s">
        <v>9</v>
      </c>
      <c r="D20668" s="2" t="s">
        <v>10</v>
      </c>
      <c r="E20668" s="2" t="str">
        <f>HYPERLINK("http://ts.21cn.com/tousu/show/id/1352732","http://ts.21cn.com/tousu/show/id/1352732")</f>
        <v>http://ts.21cn.com/tousu/show/id/1352732</v>
      </c>
      <c r="F20668" s="2" t="s">
        <v>11</v>
      </c>
      <c r="G20668" s="2" t="s">
        <v>3512</v>
      </c>
      <c r="H20668" s="2" t="s">
        <v>3513</v>
      </c>
    </row>
    <row r="20669" spans="1:8" ht="25.05" customHeight="1" x14ac:dyDescent="0.25">
      <c r="A20669" s="2" t="s">
        <v>8</v>
      </c>
      <c r="B20669" s="2" t="str">
        <f>HYPERLINK("http://ts.21cn.com/tousu/show/id/1352733","汇潮支付，来花花（多乾分期）")</f>
        <v>汇潮支付，来花花（多乾分期）</v>
      </c>
      <c r="C20669" s="2" t="s">
        <v>9</v>
      </c>
      <c r="D20669" s="2" t="s">
        <v>10</v>
      </c>
      <c r="E20669" s="2" t="str">
        <f>HYPERLINK("http://ts.21cn.com/tousu/show/id/1352733","http://ts.21cn.com/tousu/show/id/1352733")</f>
        <v>http://ts.21cn.com/tousu/show/id/1352733</v>
      </c>
      <c r="F20669" s="2" t="s">
        <v>11</v>
      </c>
      <c r="G20669" s="2" t="s">
        <v>3510</v>
      </c>
      <c r="H20669" s="2" t="s">
        <v>3511</v>
      </c>
    </row>
    <row r="20670" spans="1:8" ht="25.05" customHeight="1" x14ac:dyDescent="0.25">
      <c r="A20670" s="2" t="s">
        <v>8</v>
      </c>
      <c r="B20670" s="2" t="str">
        <f>HYPERLINK("http://ts.21cn.com/tousu/show/id/1352735","济南京东快递私自退回货物")</f>
        <v>济南京东快递私自退回货物</v>
      </c>
      <c r="C20670" s="2" t="s">
        <v>9</v>
      </c>
      <c r="D20670" s="2" t="s">
        <v>10</v>
      </c>
      <c r="E20670" s="2" t="str">
        <f>HYPERLINK("http://ts.21cn.com/tousu/show/id/1352735","http://ts.21cn.com/tousu/show/id/1352735")</f>
        <v>http://ts.21cn.com/tousu/show/id/1352735</v>
      </c>
      <c r="F20670" s="2" t="s">
        <v>11</v>
      </c>
      <c r="G20670" s="2" t="s">
        <v>3508</v>
      </c>
      <c r="H20670" s="2" t="s">
        <v>3509</v>
      </c>
    </row>
    <row r="20671" spans="1:8" ht="25.05" customHeight="1" x14ac:dyDescent="0.25">
      <c r="A20671" s="2" t="s">
        <v>8</v>
      </c>
      <c r="B20671" s="2" t="str">
        <f>HYPERLINK("http://ts.21cn.com/tousu/show/id/1352734","用钱宝暴力催收")</f>
        <v>用钱宝暴力催收</v>
      </c>
      <c r="C20671" s="2" t="s">
        <v>9</v>
      </c>
      <c r="D20671" s="2" t="s">
        <v>10</v>
      </c>
      <c r="E20671" s="2" t="str">
        <f>HYPERLINK("http://ts.21cn.com/tousu/show/id/1352734","http://ts.21cn.com/tousu/show/id/1352734")</f>
        <v>http://ts.21cn.com/tousu/show/id/1352734</v>
      </c>
      <c r="F20671" s="2" t="s">
        <v>11</v>
      </c>
      <c r="G20671" s="2" t="s">
        <v>3506</v>
      </c>
      <c r="H20671" s="2" t="s">
        <v>3507</v>
      </c>
    </row>
    <row r="20672" spans="1:8" ht="25.05" customHeight="1" x14ac:dyDescent="0.25">
      <c r="A20672" s="2" t="s">
        <v>8</v>
      </c>
      <c r="B20672" s="2" t="str">
        <f>HYPERLINK("http://ts.21cn.com/tousu/show/id/1352737","借款三天提前还款要求还9300")</f>
        <v>借款三天提前还款要求还9300</v>
      </c>
      <c r="C20672" s="2" t="s">
        <v>9</v>
      </c>
      <c r="D20672" s="2" t="s">
        <v>10</v>
      </c>
      <c r="E20672" s="2" t="str">
        <f>HYPERLINK("http://ts.21cn.com/tousu/show/id/1352737","http://ts.21cn.com/tousu/show/id/1352737")</f>
        <v>http://ts.21cn.com/tousu/show/id/1352737</v>
      </c>
      <c r="F20672" s="2" t="s">
        <v>11</v>
      </c>
      <c r="G20672" s="2" t="s">
        <v>3504</v>
      </c>
      <c r="H20672" s="2" t="s">
        <v>3505</v>
      </c>
    </row>
    <row r="20673" spans="1:8" ht="25.05" customHeight="1" x14ac:dyDescent="0.25">
      <c r="A20673" s="2" t="s">
        <v>8</v>
      </c>
      <c r="B20673" s="2" t="str">
        <f>HYPERLINK("http://ts.21cn.com/tousu/show/id/1352738","玖富阴阳合同高利贷")</f>
        <v>玖富阴阳合同高利贷</v>
      </c>
      <c r="C20673" s="2" t="s">
        <v>9</v>
      </c>
      <c r="D20673" s="2" t="s">
        <v>10</v>
      </c>
      <c r="E20673" s="2" t="str">
        <f>HYPERLINK("http://ts.21cn.com/tousu/show/id/1352738","http://ts.21cn.com/tousu/show/id/1352738")</f>
        <v>http://ts.21cn.com/tousu/show/id/1352738</v>
      </c>
      <c r="F20673" s="2" t="s">
        <v>11</v>
      </c>
      <c r="G20673" s="2" t="s">
        <v>3502</v>
      </c>
      <c r="H20673" s="2" t="s">
        <v>3503</v>
      </c>
    </row>
    <row r="20674" spans="1:8" ht="25.05" customHeight="1" x14ac:dyDescent="0.25">
      <c r="A20674" s="2" t="s">
        <v>8</v>
      </c>
      <c r="B20674" s="2" t="str">
        <f>HYPERLINK("http://ts.21cn.com/tousu/show/id/1352739","微粒贷暴力催收")</f>
        <v>微粒贷暴力催收</v>
      </c>
      <c r="C20674" s="2" t="s">
        <v>9</v>
      </c>
      <c r="D20674" s="2" t="s">
        <v>10</v>
      </c>
      <c r="E20674" s="2" t="str">
        <f>HYPERLINK("http://ts.21cn.com/tousu/show/id/1352739","http://ts.21cn.com/tousu/show/id/1352739")</f>
        <v>http://ts.21cn.com/tousu/show/id/1352739</v>
      </c>
      <c r="F20674" s="2" t="s">
        <v>11</v>
      </c>
      <c r="G20674" s="2" t="s">
        <v>3500</v>
      </c>
      <c r="H20674" s="2" t="s">
        <v>3501</v>
      </c>
    </row>
    <row r="20675" spans="1:8" ht="25.05" customHeight="1" x14ac:dyDescent="0.25">
      <c r="A20675" s="2" t="s">
        <v>8</v>
      </c>
      <c r="B20675" s="2" t="str">
        <f>HYPERLINK("http://ts.21cn.com/tousu/show/id/1352741","马上消费金融，暴力催收威胁恐吓用户，获取通讯录通话账单！")</f>
        <v>马上消费金融，暴力催收威胁恐吓用户，获取通讯录通话账单！</v>
      </c>
      <c r="C20675" s="2" t="s">
        <v>9</v>
      </c>
      <c r="D20675" s="2" t="s">
        <v>10</v>
      </c>
      <c r="E20675" s="2" t="str">
        <f>HYPERLINK("http://ts.21cn.com/tousu/show/id/1352741","http://ts.21cn.com/tousu/show/id/1352741")</f>
        <v>http://ts.21cn.com/tousu/show/id/1352741</v>
      </c>
      <c r="F20675" s="2" t="s">
        <v>11</v>
      </c>
      <c r="G20675" s="2" t="s">
        <v>3498</v>
      </c>
      <c r="H20675" s="2" t="s">
        <v>3499</v>
      </c>
    </row>
    <row r="20676" spans="1:8" ht="25.05" customHeight="1" x14ac:dyDescent="0.25">
      <c r="A20676" s="2" t="s">
        <v>8</v>
      </c>
      <c r="B20676" s="2" t="str">
        <f>HYPERLINK("http://ts.21cn.com/tousu/show/id/1352742","月光侠分期平台涉嫌高利贷")</f>
        <v>月光侠分期平台涉嫌高利贷</v>
      </c>
      <c r="C20676" s="2" t="s">
        <v>9</v>
      </c>
      <c r="D20676" s="2" t="s">
        <v>10</v>
      </c>
      <c r="E20676" s="2" t="str">
        <f>HYPERLINK("http://ts.21cn.com/tousu/show/id/1352742","http://ts.21cn.com/tousu/show/id/1352742")</f>
        <v>http://ts.21cn.com/tousu/show/id/1352742</v>
      </c>
      <c r="F20676" s="2" t="s">
        <v>11</v>
      </c>
      <c r="G20676" s="2" t="s">
        <v>3496</v>
      </c>
      <c r="H20676" s="2" t="s">
        <v>3497</v>
      </c>
    </row>
    <row r="20677" spans="1:8" ht="25.05" customHeight="1" x14ac:dyDescent="0.25">
      <c r="A20677" s="2" t="s">
        <v>8</v>
      </c>
      <c r="B20677" s="2" t="str">
        <f>HYPERLINK("http://ts.21cn.com/tousu/show/id/1352743","捷信忽悠消费者，套路贷")</f>
        <v>捷信忽悠消费者，套路贷</v>
      </c>
      <c r="C20677" s="2" t="s">
        <v>9</v>
      </c>
      <c r="D20677" s="2" t="s">
        <v>10</v>
      </c>
      <c r="E20677" s="2" t="str">
        <f>HYPERLINK("http://ts.21cn.com/tousu/show/id/1352743","http://ts.21cn.com/tousu/show/id/1352743")</f>
        <v>http://ts.21cn.com/tousu/show/id/1352743</v>
      </c>
      <c r="F20677" s="2" t="s">
        <v>11</v>
      </c>
      <c r="G20677" s="2" t="s">
        <v>3494</v>
      </c>
      <c r="H20677" s="2" t="s">
        <v>3495</v>
      </c>
    </row>
    <row r="20678" spans="1:8" ht="25.05" customHeight="1" x14ac:dyDescent="0.25">
      <c r="A20678" s="2" t="s">
        <v>8</v>
      </c>
      <c r="B20678" s="2" t="str">
        <f>HYPERLINK("http://ts.21cn.com/tousu/show/id/1352744","违规联系我的联系人，爆我的通讯录")</f>
        <v>违规联系我的联系人，爆我的通讯录</v>
      </c>
      <c r="C20678" s="2" t="s">
        <v>9</v>
      </c>
      <c r="D20678" s="2" t="s">
        <v>10</v>
      </c>
      <c r="E20678" s="2" t="str">
        <f>HYPERLINK("http://ts.21cn.com/tousu/show/id/1352744","http://ts.21cn.com/tousu/show/id/1352744")</f>
        <v>http://ts.21cn.com/tousu/show/id/1352744</v>
      </c>
      <c r="F20678" s="2" t="s">
        <v>11</v>
      </c>
      <c r="G20678" s="2" t="s">
        <v>3491</v>
      </c>
      <c r="H20678" s="2" t="s">
        <v>3492</v>
      </c>
    </row>
    <row r="20679" spans="1:8" ht="25.05" customHeight="1" x14ac:dyDescent="0.25">
      <c r="A20679" s="2" t="s">
        <v>8</v>
      </c>
      <c r="B20679" s="2" t="str">
        <f>HYPERLINK("http://ts.21cn.com/tousu/show/id/1352745","卡牛瑞贷非法爆我通讯录")</f>
        <v>卡牛瑞贷非法爆我通讯录</v>
      </c>
      <c r="C20679" s="2" t="s">
        <v>9</v>
      </c>
      <c r="D20679" s="2" t="s">
        <v>10</v>
      </c>
      <c r="E20679" s="2" t="str">
        <f>HYPERLINK("http://ts.21cn.com/tousu/show/id/1352745","http://ts.21cn.com/tousu/show/id/1352745")</f>
        <v>http://ts.21cn.com/tousu/show/id/1352745</v>
      </c>
      <c r="F20679" s="2" t="s">
        <v>11</v>
      </c>
      <c r="G20679" s="2" t="s">
        <v>3491</v>
      </c>
      <c r="H20679" s="2" t="s">
        <v>3493</v>
      </c>
    </row>
    <row r="20680" spans="1:8" ht="25.05" customHeight="1" x14ac:dyDescent="0.25">
      <c r="A20680" s="2" t="s">
        <v>8</v>
      </c>
      <c r="B20680" s="2" t="str">
        <f>HYPERLINK("http://ts.21cn.com/tousu/show/id/1352723","滴滴出行扣车不管")</f>
        <v>滴滴出行扣车不管</v>
      </c>
      <c r="C20680" s="2" t="s">
        <v>9</v>
      </c>
      <c r="D20680" s="2" t="s">
        <v>10</v>
      </c>
      <c r="E20680" s="2" t="str">
        <f>HYPERLINK("http://ts.21cn.com/tousu/show/id/1352723","http://ts.21cn.com/tousu/show/id/1352723")</f>
        <v>http://ts.21cn.com/tousu/show/id/1352723</v>
      </c>
      <c r="F20680" s="2" t="s">
        <v>11</v>
      </c>
      <c r="G20680" s="2" t="s">
        <v>3489</v>
      </c>
      <c r="H20680" s="2" t="s">
        <v>3490</v>
      </c>
    </row>
    <row r="20681" spans="1:8" ht="25.05" customHeight="1" x14ac:dyDescent="0.25">
      <c r="A20681" s="2" t="s">
        <v>8</v>
      </c>
      <c r="B20681" s="2" t="str">
        <f>HYPERLINK("http://ts.21cn.com/tousu/show/id/1352747","暴力催收，态度恶劣")</f>
        <v>暴力催收，态度恶劣</v>
      </c>
      <c r="C20681" s="2" t="s">
        <v>9</v>
      </c>
      <c r="D20681" s="2" t="s">
        <v>10</v>
      </c>
      <c r="E20681" s="2" t="str">
        <f>HYPERLINK("http://ts.21cn.com/tousu/show/id/1352747","http://ts.21cn.com/tousu/show/id/1352747")</f>
        <v>http://ts.21cn.com/tousu/show/id/1352747</v>
      </c>
      <c r="F20681" s="2" t="s">
        <v>11</v>
      </c>
      <c r="G20681" s="2" t="s">
        <v>3487</v>
      </c>
      <c r="H20681" s="2" t="s">
        <v>3488</v>
      </c>
    </row>
    <row r="20682" spans="1:8" ht="25.05" customHeight="1" x14ac:dyDescent="0.25">
      <c r="A20682" s="2" t="s">
        <v>8</v>
      </c>
      <c r="B20682" s="2" t="str">
        <f>HYPERLINK("http://ts.21cn.com/tousu/show/id/1352746","豹子贷无故扣款")</f>
        <v>豹子贷无故扣款</v>
      </c>
      <c r="C20682" s="2" t="s">
        <v>34</v>
      </c>
      <c r="D20682" s="2" t="s">
        <v>10</v>
      </c>
      <c r="E20682" s="2" t="str">
        <f>HYPERLINK("http://ts.21cn.com/tousu/show/id/1352746","http://ts.21cn.com/tousu/show/id/1352746")</f>
        <v>http://ts.21cn.com/tousu/show/id/1352746</v>
      </c>
      <c r="F20682" s="2" t="s">
        <v>11</v>
      </c>
      <c r="G20682" s="2" t="s">
        <v>3485</v>
      </c>
      <c r="H20682" s="2" t="s">
        <v>3486</v>
      </c>
    </row>
    <row r="20683" spans="1:8" ht="25.05" customHeight="1" x14ac:dyDescent="0.25">
      <c r="A20683" s="2" t="s">
        <v>8</v>
      </c>
      <c r="B20683" s="2" t="str">
        <f>HYPERLINK("http://ts.21cn.com/tousu/show/id/1352749","网贷")</f>
        <v>网贷</v>
      </c>
      <c r="C20683" s="2" t="s">
        <v>34</v>
      </c>
      <c r="D20683" s="2" t="s">
        <v>10</v>
      </c>
      <c r="E20683" s="2" t="str">
        <f>HYPERLINK("http://ts.21cn.com/tousu/show/id/1352749","http://ts.21cn.com/tousu/show/id/1352749")</f>
        <v>http://ts.21cn.com/tousu/show/id/1352749</v>
      </c>
      <c r="F20683" s="2" t="s">
        <v>11</v>
      </c>
      <c r="G20683" s="2" t="s">
        <v>3483</v>
      </c>
      <c r="H20683" s="2" t="s">
        <v>3484</v>
      </c>
    </row>
    <row r="20684" spans="1:8" ht="25.05" customHeight="1" x14ac:dyDescent="0.25">
      <c r="A20684" s="2" t="s">
        <v>8</v>
      </c>
      <c r="B20684" s="2" t="str">
        <f>HYPERLINK("http://ts.21cn.com/tousu/show/id/1352750","无缘无故扣会员费")</f>
        <v>无缘无故扣会员费</v>
      </c>
      <c r="C20684" s="2" t="s">
        <v>9</v>
      </c>
      <c r="D20684" s="2" t="s">
        <v>10</v>
      </c>
      <c r="E20684" s="2" t="str">
        <f>HYPERLINK("http://ts.21cn.com/tousu/show/id/1352750","http://ts.21cn.com/tousu/show/id/1352750")</f>
        <v>http://ts.21cn.com/tousu/show/id/1352750</v>
      </c>
      <c r="F20684" s="2" t="s">
        <v>11</v>
      </c>
      <c r="G20684" s="2" t="s">
        <v>3481</v>
      </c>
      <c r="H20684" s="2" t="s">
        <v>3482</v>
      </c>
    </row>
    <row r="20685" spans="1:8" ht="25.05" customHeight="1" x14ac:dyDescent="0.25">
      <c r="A20685" s="2" t="s">
        <v>8</v>
      </c>
      <c r="B20685" s="2" t="str">
        <f>HYPERLINK("http://ts.21cn.com/tousu/show/id/1352748","中信银行新快线圆梦金利息超过国家利率")</f>
        <v>中信银行新快线圆梦金利息超过国家利率</v>
      </c>
      <c r="C20685" s="2" t="s">
        <v>9</v>
      </c>
      <c r="D20685" s="2" t="s">
        <v>10</v>
      </c>
      <c r="E20685" s="2" t="str">
        <f>HYPERLINK("http://ts.21cn.com/tousu/show/id/1352748","http://ts.21cn.com/tousu/show/id/1352748")</f>
        <v>http://ts.21cn.com/tousu/show/id/1352748</v>
      </c>
      <c r="F20685" s="2" t="s">
        <v>11</v>
      </c>
      <c r="G20685" s="2" t="s">
        <v>3479</v>
      </c>
      <c r="H20685" s="2" t="s">
        <v>3480</v>
      </c>
    </row>
    <row r="20686" spans="1:8" ht="25.05" customHeight="1" x14ac:dyDescent="0.25">
      <c r="A20686" s="2" t="s">
        <v>8</v>
      </c>
      <c r="B20686" s="2" t="str">
        <f>HYPERLINK("http://ts.21cn.com/tousu/show/id/1352751","闪电借款高额前期手续费，高额逾期费")</f>
        <v>闪电借款高额前期手续费，高额逾期费</v>
      </c>
      <c r="C20686" s="2" t="s">
        <v>34</v>
      </c>
      <c r="D20686" s="2" t="s">
        <v>10</v>
      </c>
      <c r="E20686" s="2" t="str">
        <f>HYPERLINK("http://ts.21cn.com/tousu/show/id/1352751","http://ts.21cn.com/tousu/show/id/1352751")</f>
        <v>http://ts.21cn.com/tousu/show/id/1352751</v>
      </c>
      <c r="F20686" s="2" t="s">
        <v>11</v>
      </c>
      <c r="G20686" s="2" t="s">
        <v>3477</v>
      </c>
      <c r="H20686" s="2" t="s">
        <v>3478</v>
      </c>
    </row>
    <row r="20687" spans="1:8" ht="25.05" customHeight="1" x14ac:dyDescent="0.25">
      <c r="A20687" s="2" t="s">
        <v>8</v>
      </c>
      <c r="B20687" s="2" t="str">
        <f>HYPERLINK("http://ts.21cn.com/tousu/show/id/1352752","高利贷，骚扰家人朋友")</f>
        <v>高利贷，骚扰家人朋友</v>
      </c>
      <c r="C20687" s="2" t="s">
        <v>9</v>
      </c>
      <c r="D20687" s="2" t="s">
        <v>10</v>
      </c>
      <c r="E20687" s="2" t="str">
        <f>HYPERLINK("http://ts.21cn.com/tousu/show/id/1352752","http://ts.21cn.com/tousu/show/id/1352752")</f>
        <v>http://ts.21cn.com/tousu/show/id/1352752</v>
      </c>
      <c r="F20687" s="2" t="s">
        <v>11</v>
      </c>
      <c r="G20687" s="2" t="s">
        <v>3475</v>
      </c>
      <c r="H20687" s="2" t="s">
        <v>3476</v>
      </c>
    </row>
    <row r="20688" spans="1:8" ht="25.05" customHeight="1" x14ac:dyDescent="0.25">
      <c r="A20688" s="2" t="s">
        <v>8</v>
      </c>
      <c r="B20688" s="2" t="str">
        <f>HYPERLINK("http://ts.21cn.com/tousu/show/id/1352753","暴力催收，高利贷，合同欺诈")</f>
        <v>暴力催收，高利贷，合同欺诈</v>
      </c>
      <c r="C20688" s="2" t="s">
        <v>9</v>
      </c>
      <c r="D20688" s="2" t="s">
        <v>10</v>
      </c>
      <c r="E20688" s="2" t="str">
        <f>HYPERLINK("http://ts.21cn.com/tousu/show/id/1352753","http://ts.21cn.com/tousu/show/id/1352753")</f>
        <v>http://ts.21cn.com/tousu/show/id/1352753</v>
      </c>
      <c r="F20688" s="2" t="s">
        <v>11</v>
      </c>
      <c r="G20688" s="2" t="s">
        <v>3473</v>
      </c>
      <c r="H20688" s="2" t="s">
        <v>3474</v>
      </c>
    </row>
    <row r="20689" spans="1:8" ht="25.05" customHeight="1" x14ac:dyDescent="0.25">
      <c r="A20689" s="2" t="s">
        <v>8</v>
      </c>
      <c r="B20689" s="2" t="str">
        <f>HYPERLINK("http://ts.21cn.com/tousu/show/id/1352755","程咬金七天高利贷")</f>
        <v>程咬金七天高利贷</v>
      </c>
      <c r="C20689" s="2" t="s">
        <v>9</v>
      </c>
      <c r="D20689" s="2" t="s">
        <v>10</v>
      </c>
      <c r="E20689" s="2" t="str">
        <f>HYPERLINK("http://ts.21cn.com/tousu/show/id/1352755","http://ts.21cn.com/tousu/show/id/1352755")</f>
        <v>http://ts.21cn.com/tousu/show/id/1352755</v>
      </c>
      <c r="F20689" s="2" t="s">
        <v>11</v>
      </c>
      <c r="G20689" s="2" t="s">
        <v>3471</v>
      </c>
      <c r="H20689" s="2" t="s">
        <v>3472</v>
      </c>
    </row>
    <row r="20690" spans="1:8" ht="25.05" customHeight="1" x14ac:dyDescent="0.25">
      <c r="A20690" s="2" t="s">
        <v>8</v>
      </c>
      <c r="B20690" s="2" t="str">
        <f>HYPERLINK("http://ts.21cn.com/tousu/show/id/1352754","时光分期恶意骚扰暴力催收高利贷")</f>
        <v>时光分期恶意骚扰暴力催收高利贷</v>
      </c>
      <c r="C20690" s="2" t="s">
        <v>9</v>
      </c>
      <c r="D20690" s="2" t="s">
        <v>10</v>
      </c>
      <c r="E20690" s="2" t="str">
        <f>HYPERLINK("http://ts.21cn.com/tousu/show/id/1352754","http://ts.21cn.com/tousu/show/id/1352754")</f>
        <v>http://ts.21cn.com/tousu/show/id/1352754</v>
      </c>
      <c r="F20690" s="2" t="s">
        <v>11</v>
      </c>
      <c r="G20690" s="2" t="s">
        <v>3469</v>
      </c>
      <c r="H20690" s="2" t="s">
        <v>3470</v>
      </c>
    </row>
    <row r="20691" spans="1:8" ht="25.05" customHeight="1" x14ac:dyDescent="0.25">
      <c r="A20691" s="2" t="s">
        <v>8</v>
      </c>
      <c r="B20691" s="2" t="str">
        <f>HYPERLINK("http://ts.21cn.com/tousu/show/id/1352756","盱眙海恒信息技术有限公司套路贷714高炮")</f>
        <v>盱眙海恒信息技术有限公司套路贷714高炮</v>
      </c>
      <c r="C20691" s="2" t="s">
        <v>9</v>
      </c>
      <c r="D20691" s="2" t="s">
        <v>10</v>
      </c>
      <c r="E20691" s="2" t="str">
        <f>HYPERLINK("http://ts.21cn.com/tousu/show/id/1352756","http://ts.21cn.com/tousu/show/id/1352756")</f>
        <v>http://ts.21cn.com/tousu/show/id/1352756</v>
      </c>
      <c r="F20691" s="2" t="s">
        <v>11</v>
      </c>
      <c r="G20691" s="2" t="s">
        <v>3467</v>
      </c>
      <c r="H20691" s="2" t="s">
        <v>3468</v>
      </c>
    </row>
    <row r="20692" spans="1:8" ht="25.05" customHeight="1" x14ac:dyDescent="0.25">
      <c r="A20692" s="2" t="s">
        <v>8</v>
      </c>
      <c r="B20692" s="2" t="str">
        <f>HYPERLINK("http://ts.21cn.com/tousu/show/id/1352758","工商银行信用卡")</f>
        <v>工商银行信用卡</v>
      </c>
      <c r="C20692" s="2" t="s">
        <v>9</v>
      </c>
      <c r="D20692" s="2" t="s">
        <v>10</v>
      </c>
      <c r="E20692" s="2" t="str">
        <f>HYPERLINK("http://ts.21cn.com/tousu/show/id/1352758","http://ts.21cn.com/tousu/show/id/1352758")</f>
        <v>http://ts.21cn.com/tousu/show/id/1352758</v>
      </c>
      <c r="F20692" s="2" t="s">
        <v>11</v>
      </c>
      <c r="G20692" s="2" t="s">
        <v>3465</v>
      </c>
      <c r="H20692" s="2" t="s">
        <v>3466</v>
      </c>
    </row>
    <row r="20693" spans="1:8" ht="25.05" customHeight="1" x14ac:dyDescent="0.25">
      <c r="A20693" s="2" t="s">
        <v>8</v>
      </c>
      <c r="B20693" s="2" t="str">
        <f>HYPERLINK("http://ts.21cn.com/tousu/show/id/1352757","微博微贷网多米贷高额砍头息")</f>
        <v>微博微贷网多米贷高额砍头息</v>
      </c>
      <c r="C20693" s="2" t="s">
        <v>9</v>
      </c>
      <c r="D20693" s="2" t="s">
        <v>10</v>
      </c>
      <c r="E20693" s="2" t="str">
        <f>HYPERLINK("http://ts.21cn.com/tousu/show/id/1352757","http://ts.21cn.com/tousu/show/id/1352757")</f>
        <v>http://ts.21cn.com/tousu/show/id/1352757</v>
      </c>
      <c r="F20693" s="2" t="s">
        <v>11</v>
      </c>
      <c r="G20693" s="2" t="s">
        <v>3463</v>
      </c>
      <c r="H20693" s="2" t="s">
        <v>3464</v>
      </c>
    </row>
    <row r="20694" spans="1:8" ht="25.05" customHeight="1" x14ac:dyDescent="0.25">
      <c r="A20694" s="2" t="s">
        <v>8</v>
      </c>
      <c r="B20694" s="2" t="str">
        <f>HYPERLINK("http://ts.21cn.com/tousu/show/id/1352760","达飞云贷")</f>
        <v>达飞云贷</v>
      </c>
      <c r="C20694" s="2" t="s">
        <v>9</v>
      </c>
      <c r="D20694" s="2" t="s">
        <v>10</v>
      </c>
      <c r="E20694" s="2" t="str">
        <f>HYPERLINK("http://ts.21cn.com/tousu/show/id/1352760","http://ts.21cn.com/tousu/show/id/1352760")</f>
        <v>http://ts.21cn.com/tousu/show/id/1352760</v>
      </c>
      <c r="F20694" s="2" t="s">
        <v>11</v>
      </c>
      <c r="G20694" s="2" t="s">
        <v>3461</v>
      </c>
      <c r="H20694" s="2" t="s">
        <v>3462</v>
      </c>
    </row>
    <row r="20695" spans="1:8" ht="25.05" customHeight="1" x14ac:dyDescent="0.25">
      <c r="A20695" s="2" t="s">
        <v>8</v>
      </c>
      <c r="B20695" s="2" t="str">
        <f>HYPERLINK("http://ts.21cn.com/tousu/show/id/1352761","平安普惠利息太高，含有高额的服务费和保险费")</f>
        <v>平安普惠利息太高，含有高额的服务费和保险费</v>
      </c>
      <c r="C20695" s="2" t="s">
        <v>34</v>
      </c>
      <c r="D20695" s="2" t="s">
        <v>10</v>
      </c>
      <c r="E20695" s="2" t="str">
        <f>HYPERLINK("http://ts.21cn.com/tousu/show/id/1352761","http://ts.21cn.com/tousu/show/id/1352761")</f>
        <v>http://ts.21cn.com/tousu/show/id/1352761</v>
      </c>
      <c r="F20695" s="2" t="s">
        <v>11</v>
      </c>
      <c r="G20695" s="2" t="s">
        <v>3459</v>
      </c>
      <c r="H20695" s="2" t="s">
        <v>3460</v>
      </c>
    </row>
    <row r="20696" spans="1:8" ht="25.05" customHeight="1" x14ac:dyDescent="0.25">
      <c r="A20696" s="2" t="s">
        <v>8</v>
      </c>
      <c r="B20696" s="2" t="str">
        <f>HYPERLINK("http://ts.21cn.com/tousu/show/id/1352762","闪电借款不退黑卡")</f>
        <v>闪电借款不退黑卡</v>
      </c>
      <c r="C20696" s="2" t="s">
        <v>9</v>
      </c>
      <c r="D20696" s="2" t="s">
        <v>10</v>
      </c>
      <c r="E20696" s="2" t="str">
        <f>HYPERLINK("http://ts.21cn.com/tousu/show/id/1352762","http://ts.21cn.com/tousu/show/id/1352762")</f>
        <v>http://ts.21cn.com/tousu/show/id/1352762</v>
      </c>
      <c r="F20696" s="2" t="s">
        <v>11</v>
      </c>
      <c r="G20696" s="2" t="s">
        <v>3457</v>
      </c>
      <c r="H20696" s="2" t="s">
        <v>3458</v>
      </c>
    </row>
    <row r="20697" spans="1:8" ht="25.05" customHeight="1" x14ac:dyDescent="0.25">
      <c r="A20697" s="2" t="s">
        <v>8</v>
      </c>
      <c r="B20697" s="2" t="str">
        <f>HYPERLINK("http://ts.21cn.com/tousu/show/id/1352763","上海翰银为赌博输平台收单，请求瀚银为我退款挽回经济损失")</f>
        <v>上海翰银为赌博输平台收单，请求瀚银为我退款挽回经济损失</v>
      </c>
      <c r="C20697" s="2" t="s">
        <v>9</v>
      </c>
      <c r="D20697" s="2" t="s">
        <v>10</v>
      </c>
      <c r="E20697" s="2" t="str">
        <f>HYPERLINK("http://ts.21cn.com/tousu/show/id/1352763","http://ts.21cn.com/tousu/show/id/1352763")</f>
        <v>http://ts.21cn.com/tousu/show/id/1352763</v>
      </c>
      <c r="F20697" s="2" t="s">
        <v>11</v>
      </c>
      <c r="G20697" s="2" t="s">
        <v>3455</v>
      </c>
      <c r="H20697" s="2" t="s">
        <v>3456</v>
      </c>
    </row>
    <row r="20698" spans="1:8" ht="25.05" customHeight="1" x14ac:dyDescent="0.25">
      <c r="A20698" s="2" t="s">
        <v>8</v>
      </c>
      <c r="B20698" s="2" t="str">
        <f>HYPERLINK("http://ts.21cn.com/tousu/show/id/1352764","米多点砍头息")</f>
        <v>米多点砍头息</v>
      </c>
      <c r="C20698" s="2" t="s">
        <v>9</v>
      </c>
      <c r="D20698" s="2" t="s">
        <v>10</v>
      </c>
      <c r="E20698" s="2" t="str">
        <f>HYPERLINK("http://ts.21cn.com/tousu/show/id/1352764","http://ts.21cn.com/tousu/show/id/1352764")</f>
        <v>http://ts.21cn.com/tousu/show/id/1352764</v>
      </c>
      <c r="F20698" s="2" t="s">
        <v>11</v>
      </c>
      <c r="G20698" s="2" t="s">
        <v>3453</v>
      </c>
      <c r="H20698" s="2" t="s">
        <v>3454</v>
      </c>
    </row>
    <row r="20699" spans="1:8" ht="25.05" customHeight="1" x14ac:dyDescent="0.25">
      <c r="A20699" s="2" t="s">
        <v>8</v>
      </c>
      <c r="B20699" s="2" t="str">
        <f>HYPERLINK("http://ts.21cn.com/tousu/show/id/1352766","协商不下，对我造成困扰")</f>
        <v>协商不下，对我造成困扰</v>
      </c>
      <c r="C20699" s="2" t="s">
        <v>9</v>
      </c>
      <c r="D20699" s="2" t="s">
        <v>10</v>
      </c>
      <c r="E20699" s="2" t="str">
        <f>HYPERLINK("http://ts.21cn.com/tousu/show/id/1352766","http://ts.21cn.com/tousu/show/id/1352766")</f>
        <v>http://ts.21cn.com/tousu/show/id/1352766</v>
      </c>
      <c r="F20699" s="2" t="s">
        <v>11</v>
      </c>
      <c r="G20699" s="2" t="s">
        <v>3450</v>
      </c>
      <c r="H20699" s="2" t="s">
        <v>3451</v>
      </c>
    </row>
    <row r="20700" spans="1:8" ht="25.05" customHeight="1" x14ac:dyDescent="0.25">
      <c r="A20700" s="2" t="s">
        <v>8</v>
      </c>
      <c r="B20700" s="2" t="str">
        <f>HYPERLINK("http://ts.21cn.com/tousu/show/id/1352765","银行就这利息")</f>
        <v>银行就这利息</v>
      </c>
      <c r="C20700" s="2" t="s">
        <v>9</v>
      </c>
      <c r="D20700" s="2" t="s">
        <v>10</v>
      </c>
      <c r="E20700" s="2" t="str">
        <f>HYPERLINK("http://ts.21cn.com/tousu/show/id/1352765","http://ts.21cn.com/tousu/show/id/1352765")</f>
        <v>http://ts.21cn.com/tousu/show/id/1352765</v>
      </c>
      <c r="F20700" s="2" t="s">
        <v>11</v>
      </c>
      <c r="G20700" s="2" t="s">
        <v>3450</v>
      </c>
      <c r="H20700" s="2" t="s">
        <v>3452</v>
      </c>
    </row>
    <row r="20701" spans="1:8" ht="25.05" customHeight="1" x14ac:dyDescent="0.25">
      <c r="A20701" s="2" t="s">
        <v>8</v>
      </c>
      <c r="B20701" s="2" t="str">
        <f>HYPERLINK("http://ts.21cn.com/tousu/show/id/1352768","玖富钱包坑人")</f>
        <v>玖富钱包坑人</v>
      </c>
      <c r="C20701" s="2" t="s">
        <v>9</v>
      </c>
      <c r="D20701" s="2" t="s">
        <v>10</v>
      </c>
      <c r="E20701" s="2" t="str">
        <f>HYPERLINK("http://ts.21cn.com/tousu/show/id/1352768","http://ts.21cn.com/tousu/show/id/1352768")</f>
        <v>http://ts.21cn.com/tousu/show/id/1352768</v>
      </c>
      <c r="F20701" s="2" t="s">
        <v>11</v>
      </c>
      <c r="G20701" s="2" t="s">
        <v>3448</v>
      </c>
      <c r="H20701" s="2" t="s">
        <v>3449</v>
      </c>
    </row>
    <row r="20702" spans="1:8" ht="25.05" customHeight="1" x14ac:dyDescent="0.25">
      <c r="A20702" s="2" t="s">
        <v>8</v>
      </c>
      <c r="B20702" s="2" t="str">
        <f>HYPERLINK("http://ts.21cn.com/tousu/show/id/1352769","王者钱包超级高利贷")</f>
        <v>王者钱包超级高利贷</v>
      </c>
      <c r="C20702" s="2" t="s">
        <v>9</v>
      </c>
      <c r="D20702" s="2" t="s">
        <v>10</v>
      </c>
      <c r="E20702" s="2" t="str">
        <f>HYPERLINK("http://ts.21cn.com/tousu/show/id/1352769","http://ts.21cn.com/tousu/show/id/1352769")</f>
        <v>http://ts.21cn.com/tousu/show/id/1352769</v>
      </c>
      <c r="F20702" s="2" t="s">
        <v>11</v>
      </c>
      <c r="G20702" s="2" t="s">
        <v>3446</v>
      </c>
      <c r="H20702" s="2" t="s">
        <v>3447</v>
      </c>
    </row>
    <row r="20703" spans="1:8" ht="25.05" customHeight="1" x14ac:dyDescent="0.25">
      <c r="A20703" s="2" t="s">
        <v>8</v>
      </c>
      <c r="B20703" s="2" t="str">
        <f>HYPERLINK("http://ts.21cn.com/tousu/show/id/1352770","人工客服无系统问题解决")</f>
        <v>人工客服无系统问题解决</v>
      </c>
      <c r="C20703" s="2" t="s">
        <v>34</v>
      </c>
      <c r="D20703" s="2" t="s">
        <v>10</v>
      </c>
      <c r="E20703" s="2" t="str">
        <f>HYPERLINK("http://ts.21cn.com/tousu/show/id/1352770","http://ts.21cn.com/tousu/show/id/1352770")</f>
        <v>http://ts.21cn.com/tousu/show/id/1352770</v>
      </c>
      <c r="F20703" s="2" t="s">
        <v>11</v>
      </c>
      <c r="G20703" s="2" t="s">
        <v>3444</v>
      </c>
      <c r="H20703" s="2" t="s">
        <v>3445</v>
      </c>
    </row>
    <row r="20704" spans="1:8" ht="25.05" customHeight="1" x14ac:dyDescent="0.25">
      <c r="A20704" s="2" t="s">
        <v>8</v>
      </c>
      <c r="B20704" s="2" t="str">
        <f>HYPERLINK("http://ts.21cn.com/tousu/show/id/1352772","聚富分期，不履行承诺服务，强制划扣所谓服务费，要求退款")</f>
        <v>聚富分期，不履行承诺服务，强制划扣所谓服务费，要求退款</v>
      </c>
      <c r="C20704" s="2" t="s">
        <v>9</v>
      </c>
      <c r="D20704" s="2" t="s">
        <v>10</v>
      </c>
      <c r="E20704" s="2" t="str">
        <f>HYPERLINK("http://ts.21cn.com/tousu/show/id/1352772","http://ts.21cn.com/tousu/show/id/1352772")</f>
        <v>http://ts.21cn.com/tousu/show/id/1352772</v>
      </c>
      <c r="F20704" s="2" t="s">
        <v>11</v>
      </c>
      <c r="G20704" s="2" t="s">
        <v>3442</v>
      </c>
      <c r="H20704" s="2" t="s">
        <v>3443</v>
      </c>
    </row>
    <row r="20705" spans="1:8" ht="25.05" customHeight="1" x14ac:dyDescent="0.25">
      <c r="A20705" s="2" t="s">
        <v>8</v>
      </c>
      <c r="B20705" s="2" t="str">
        <f>HYPERLINK("http://ts.21cn.com/tousu/show/id/1352773","微贷多米贷砍头息")</f>
        <v>微贷多米贷砍头息</v>
      </c>
      <c r="C20705" s="2" t="s">
        <v>34</v>
      </c>
      <c r="D20705" s="2" t="s">
        <v>10</v>
      </c>
      <c r="E20705" s="2" t="str">
        <f>HYPERLINK("http://ts.21cn.com/tousu/show/id/1352773","http://ts.21cn.com/tousu/show/id/1352773")</f>
        <v>http://ts.21cn.com/tousu/show/id/1352773</v>
      </c>
      <c r="F20705" s="2" t="s">
        <v>11</v>
      </c>
      <c r="G20705" s="2" t="s">
        <v>3440</v>
      </c>
      <c r="H20705" s="2" t="s">
        <v>3441</v>
      </c>
    </row>
    <row r="20706" spans="1:8" ht="25.05" customHeight="1" x14ac:dyDescent="0.25">
      <c r="A20706" s="2" t="s">
        <v>8</v>
      </c>
      <c r="B20706" s="2" t="str">
        <f>HYPERLINK("http://ts.21cn.com/tousu/show/id/1352775","停止电话骚扰")</f>
        <v>停止电话骚扰</v>
      </c>
      <c r="C20706" s="2" t="s">
        <v>9</v>
      </c>
      <c r="D20706" s="2" t="s">
        <v>10</v>
      </c>
      <c r="E20706" s="2" t="str">
        <f>HYPERLINK("http://ts.21cn.com/tousu/show/id/1352775","http://ts.21cn.com/tousu/show/id/1352775")</f>
        <v>http://ts.21cn.com/tousu/show/id/1352775</v>
      </c>
      <c r="F20706" s="2" t="s">
        <v>11</v>
      </c>
      <c r="G20706" s="2" t="s">
        <v>3438</v>
      </c>
      <c r="H20706" s="2" t="s">
        <v>3439</v>
      </c>
    </row>
    <row r="20707" spans="1:8" ht="25.05" customHeight="1" x14ac:dyDescent="0.25">
      <c r="A20707" s="2" t="s">
        <v>8</v>
      </c>
      <c r="B20707" s="2" t="str">
        <f>HYPERLINK("http://ts.21cn.com/tousu/show/id/1352776","兴业银行涉嫌暴力催收")</f>
        <v>兴业银行涉嫌暴力催收</v>
      </c>
      <c r="C20707" s="2" t="s">
        <v>9</v>
      </c>
      <c r="D20707" s="2" t="s">
        <v>10</v>
      </c>
      <c r="E20707" s="2" t="str">
        <f>HYPERLINK("http://ts.21cn.com/tousu/show/id/1352776","http://ts.21cn.com/tousu/show/id/1352776")</f>
        <v>http://ts.21cn.com/tousu/show/id/1352776</v>
      </c>
      <c r="F20707" s="2" t="s">
        <v>11</v>
      </c>
      <c r="G20707" s="2" t="s">
        <v>3436</v>
      </c>
      <c r="H20707" s="2" t="s">
        <v>3437</v>
      </c>
    </row>
    <row r="20708" spans="1:8" ht="25.05" customHeight="1" x14ac:dyDescent="0.25">
      <c r="A20708" s="2" t="s">
        <v>8</v>
      </c>
      <c r="B20708" s="2" t="str">
        <f>HYPERLINK("http://ts.21cn.com/tousu/show/id/1352779","拼多多客服不解决")</f>
        <v>拼多多客服不解决</v>
      </c>
      <c r="C20708" s="2" t="s">
        <v>9</v>
      </c>
      <c r="D20708" s="2" t="s">
        <v>10</v>
      </c>
      <c r="E20708" s="2" t="str">
        <f>HYPERLINK("http://ts.21cn.com/tousu/show/id/1352779","http://ts.21cn.com/tousu/show/id/1352779")</f>
        <v>http://ts.21cn.com/tousu/show/id/1352779</v>
      </c>
      <c r="F20708" s="2" t="s">
        <v>11</v>
      </c>
      <c r="G20708" s="2" t="s">
        <v>3434</v>
      </c>
      <c r="H20708" s="2" t="s">
        <v>3435</v>
      </c>
    </row>
    <row r="20709" spans="1:8" ht="25.05" customHeight="1" x14ac:dyDescent="0.25">
      <c r="A20709" s="2" t="s">
        <v>8</v>
      </c>
      <c r="B20709" s="2" t="str">
        <f>HYPERLINK("http://ts.21cn.com/tousu/show/id/1352777","通联支付未经同意扣款")</f>
        <v>通联支付未经同意扣款</v>
      </c>
      <c r="C20709" s="2" t="s">
        <v>9</v>
      </c>
      <c r="D20709" s="2" t="s">
        <v>10</v>
      </c>
      <c r="E20709" s="2" t="str">
        <f>HYPERLINK("http://ts.21cn.com/tousu/show/id/1352777","http://ts.21cn.com/tousu/show/id/1352777")</f>
        <v>http://ts.21cn.com/tousu/show/id/1352777</v>
      </c>
      <c r="F20709" s="2" t="s">
        <v>11</v>
      </c>
      <c r="G20709" s="2" t="s">
        <v>3432</v>
      </c>
      <c r="H20709" s="2" t="s">
        <v>3433</v>
      </c>
    </row>
    <row r="20710" spans="1:8" ht="25.05" customHeight="1" x14ac:dyDescent="0.25">
      <c r="A20710" s="2" t="s">
        <v>8</v>
      </c>
      <c r="B20710" s="2" t="str">
        <f>HYPERLINK("http://ts.21cn.com/tousu/show/id/1352778","闪电借款变相收取砍头息")</f>
        <v>闪电借款变相收取砍头息</v>
      </c>
      <c r="C20710" s="2" t="s">
        <v>9</v>
      </c>
      <c r="D20710" s="2" t="s">
        <v>10</v>
      </c>
      <c r="E20710" s="2" t="str">
        <f>HYPERLINK("http://ts.21cn.com/tousu/show/id/1352778","http://ts.21cn.com/tousu/show/id/1352778")</f>
        <v>http://ts.21cn.com/tousu/show/id/1352778</v>
      </c>
      <c r="F20710" s="2" t="s">
        <v>11</v>
      </c>
      <c r="G20710" s="2" t="s">
        <v>3430</v>
      </c>
      <c r="H20710" s="2" t="s">
        <v>3431</v>
      </c>
    </row>
    <row r="20711" spans="1:8" ht="25.05" customHeight="1" x14ac:dyDescent="0.25">
      <c r="A20711" s="2" t="s">
        <v>8</v>
      </c>
      <c r="B20711" s="2" t="str">
        <f>HYPERLINK("http://ts.21cn.com/tousu/show/id/1352780","淘集集平台拖欠货款")</f>
        <v>淘集集平台拖欠货款</v>
      </c>
      <c r="C20711" s="2" t="s">
        <v>9</v>
      </c>
      <c r="D20711" s="2" t="s">
        <v>10</v>
      </c>
      <c r="E20711" s="2" t="str">
        <f>HYPERLINK("http://ts.21cn.com/tousu/show/id/1352780","http://ts.21cn.com/tousu/show/id/1352780")</f>
        <v>http://ts.21cn.com/tousu/show/id/1352780</v>
      </c>
      <c r="F20711" s="2" t="s">
        <v>11</v>
      </c>
      <c r="G20711" s="2" t="s">
        <v>3428</v>
      </c>
      <c r="H20711" s="2" t="s">
        <v>3429</v>
      </c>
    </row>
    <row r="20712" spans="1:8" ht="25.05" customHeight="1" x14ac:dyDescent="0.25">
      <c r="A20712" s="2" t="s">
        <v>8</v>
      </c>
      <c r="B20712" s="2" t="str">
        <f>HYPERLINK("http://ts.21cn.com/tousu/show/id/1352781","光大银行每天无数次打电话威胁，催收")</f>
        <v>光大银行每天无数次打电话威胁，催收</v>
      </c>
      <c r="C20712" s="2" t="s">
        <v>9</v>
      </c>
      <c r="D20712" s="2" t="s">
        <v>10</v>
      </c>
      <c r="E20712" s="2" t="str">
        <f>HYPERLINK("http://ts.21cn.com/tousu/show/id/1352781","http://ts.21cn.com/tousu/show/id/1352781")</f>
        <v>http://ts.21cn.com/tousu/show/id/1352781</v>
      </c>
      <c r="F20712" s="2" t="s">
        <v>11</v>
      </c>
      <c r="G20712" s="2" t="s">
        <v>3426</v>
      </c>
      <c r="H20712" s="2" t="s">
        <v>3427</v>
      </c>
    </row>
    <row r="20713" spans="1:8" ht="25.05" customHeight="1" x14ac:dyDescent="0.25">
      <c r="A20713" s="2" t="s">
        <v>8</v>
      </c>
      <c r="B20713" s="2" t="str">
        <f>HYPERLINK("http://ts.21cn.com/tousu/show/id/1352782","停止惠学习分期，我要退课，听不懂学不会")</f>
        <v>停止惠学习分期，我要退课，听不懂学不会</v>
      </c>
      <c r="C20713" s="2" t="s">
        <v>34</v>
      </c>
      <c r="D20713" s="2" t="s">
        <v>10</v>
      </c>
      <c r="E20713" s="2" t="str">
        <f>HYPERLINK("http://ts.21cn.com/tousu/show/id/1352782","http://ts.21cn.com/tousu/show/id/1352782")</f>
        <v>http://ts.21cn.com/tousu/show/id/1352782</v>
      </c>
      <c r="F20713" s="2" t="s">
        <v>11</v>
      </c>
      <c r="G20713" s="2" t="s">
        <v>3424</v>
      </c>
      <c r="H20713" s="2" t="s">
        <v>3425</v>
      </c>
    </row>
    <row r="20714" spans="1:8" ht="25.05" customHeight="1" x14ac:dyDescent="0.25">
      <c r="A20714" s="2" t="s">
        <v>8</v>
      </c>
      <c r="B20714" s="2" t="str">
        <f>HYPERLINK("http://ts.21cn.com/tousu/show/id/1352784","玖富高利贷")</f>
        <v>玖富高利贷</v>
      </c>
      <c r="C20714" s="2" t="s">
        <v>9</v>
      </c>
      <c r="D20714" s="2" t="s">
        <v>10</v>
      </c>
      <c r="E20714" s="2" t="str">
        <f>HYPERLINK("http://ts.21cn.com/tousu/show/id/1352784","http://ts.21cn.com/tousu/show/id/1352784")</f>
        <v>http://ts.21cn.com/tousu/show/id/1352784</v>
      </c>
      <c r="F20714" s="2" t="s">
        <v>11</v>
      </c>
      <c r="G20714" s="2" t="s">
        <v>3422</v>
      </c>
      <c r="H20714" s="2" t="s">
        <v>3423</v>
      </c>
    </row>
    <row r="20715" spans="1:8" ht="25.05" customHeight="1" x14ac:dyDescent="0.25">
      <c r="A20715" s="2" t="s">
        <v>8</v>
      </c>
      <c r="B20715" s="2" t="str">
        <f>HYPERLINK("http://ts.21cn.com/tousu/show/id/1352783","浦发银行信用卡威胁恐吓曝通讯录催收")</f>
        <v>浦发银行信用卡威胁恐吓曝通讯录催收</v>
      </c>
      <c r="C20715" s="2" t="s">
        <v>9</v>
      </c>
      <c r="D20715" s="2" t="s">
        <v>10</v>
      </c>
      <c r="E20715" s="2" t="str">
        <f>HYPERLINK("http://ts.21cn.com/tousu/show/id/1352783","http://ts.21cn.com/tousu/show/id/1352783")</f>
        <v>http://ts.21cn.com/tousu/show/id/1352783</v>
      </c>
      <c r="F20715" s="2" t="s">
        <v>11</v>
      </c>
      <c r="G20715" s="2" t="s">
        <v>3420</v>
      </c>
      <c r="H20715" s="2" t="s">
        <v>3421</v>
      </c>
    </row>
    <row r="20716" spans="1:8" ht="25.05" customHeight="1" x14ac:dyDescent="0.25">
      <c r="A20716" s="2" t="s">
        <v>8</v>
      </c>
      <c r="B20716" s="2" t="str">
        <f>HYPERLINK("http://ts.21cn.com/tousu/show/id/1352785","汇聚支付向高利贷金钱保（改名存钱柜）提供支付服务，客服态度恶劣威胁爆通讯录")</f>
        <v>汇聚支付向高利贷金钱保（改名存钱柜）提供支付服务，客服态度恶劣威胁爆通讯录</v>
      </c>
      <c r="C20716" s="2" t="s">
        <v>9</v>
      </c>
      <c r="D20716" s="2" t="s">
        <v>10</v>
      </c>
      <c r="E20716" s="2" t="str">
        <f>HYPERLINK("http://ts.21cn.com/tousu/show/id/1352785","http://ts.21cn.com/tousu/show/id/1352785")</f>
        <v>http://ts.21cn.com/tousu/show/id/1352785</v>
      </c>
      <c r="F20716" s="2" t="s">
        <v>11</v>
      </c>
      <c r="G20716" s="2" t="s">
        <v>3418</v>
      </c>
      <c r="H20716" s="2" t="s">
        <v>3419</v>
      </c>
    </row>
    <row r="20717" spans="1:8" ht="25.05" customHeight="1" x14ac:dyDescent="0.25">
      <c r="A20717" s="2" t="s">
        <v>8</v>
      </c>
      <c r="B20717" s="2" t="str">
        <f>HYPERLINK("http://ts.21cn.com/tousu/show/id/1352787","闪掌柜原闪管家高收利息费")</f>
        <v>闪掌柜原闪管家高收利息费</v>
      </c>
      <c r="C20717" s="2" t="s">
        <v>9</v>
      </c>
      <c r="D20717" s="2" t="s">
        <v>10</v>
      </c>
      <c r="E20717" s="2" t="str">
        <f>HYPERLINK("http://ts.21cn.com/tousu/show/id/1352787","http://ts.21cn.com/tousu/show/id/1352787")</f>
        <v>http://ts.21cn.com/tousu/show/id/1352787</v>
      </c>
      <c r="F20717" s="2" t="s">
        <v>11</v>
      </c>
      <c r="G20717" s="2" t="s">
        <v>3416</v>
      </c>
      <c r="H20717" s="2" t="s">
        <v>3417</v>
      </c>
    </row>
    <row r="20718" spans="1:8" ht="25.05" customHeight="1" x14ac:dyDescent="0.25">
      <c r="A20718" s="2" t="s">
        <v>8</v>
      </c>
      <c r="B20718" s="2" t="str">
        <f>HYPERLINK("http://ts.21cn.com/tousu/show/id/1352786","抖音身份证号被别人邦定")</f>
        <v>抖音身份证号被别人邦定</v>
      </c>
      <c r="C20718" s="2" t="s">
        <v>34</v>
      </c>
      <c r="D20718" s="2" t="s">
        <v>10</v>
      </c>
      <c r="E20718" s="2" t="str">
        <f>HYPERLINK("http://ts.21cn.com/tousu/show/id/1352786","http://ts.21cn.com/tousu/show/id/1352786")</f>
        <v>http://ts.21cn.com/tousu/show/id/1352786</v>
      </c>
      <c r="F20718" s="2" t="s">
        <v>11</v>
      </c>
      <c r="G20718" s="2" t="s">
        <v>3414</v>
      </c>
      <c r="H20718" s="2" t="s">
        <v>3415</v>
      </c>
    </row>
    <row r="20719" spans="1:8" ht="25.05" customHeight="1" x14ac:dyDescent="0.25">
      <c r="A20719" s="2" t="s">
        <v>8</v>
      </c>
      <c r="B20719" s="2" t="str">
        <f>HYPERLINK("http://ts.21cn.com/tousu/show/id/1352788","微信ETC助手注销")</f>
        <v>微信ETC助手注销</v>
      </c>
      <c r="C20719" s="2" t="s">
        <v>9</v>
      </c>
      <c r="D20719" s="2" t="s">
        <v>10</v>
      </c>
      <c r="E20719" s="2" t="str">
        <f>HYPERLINK("http://ts.21cn.com/tousu/show/id/1352788","http://ts.21cn.com/tousu/show/id/1352788")</f>
        <v>http://ts.21cn.com/tousu/show/id/1352788</v>
      </c>
      <c r="F20719" s="2" t="s">
        <v>11</v>
      </c>
      <c r="G20719" s="2" t="s">
        <v>3412</v>
      </c>
      <c r="H20719" s="2" t="s">
        <v>3413</v>
      </c>
    </row>
    <row r="20720" spans="1:8" ht="25.05" customHeight="1" x14ac:dyDescent="0.25">
      <c r="A20720" s="2" t="s">
        <v>8</v>
      </c>
      <c r="B20720" s="2" t="str">
        <f>HYPERLINK("http://ts.21cn.com/tousu/show/id/1352789","汇潮支付为高利贷金鸡下蛋提供放款渠道")</f>
        <v>汇潮支付为高利贷金鸡下蛋提供放款渠道</v>
      </c>
      <c r="C20720" s="2" t="s">
        <v>9</v>
      </c>
      <c r="D20720" s="2" t="s">
        <v>10</v>
      </c>
      <c r="E20720" s="2" t="str">
        <f>HYPERLINK("http://ts.21cn.com/tousu/show/id/1352789","http://ts.21cn.com/tousu/show/id/1352789")</f>
        <v>http://ts.21cn.com/tousu/show/id/1352789</v>
      </c>
      <c r="F20720" s="2" t="s">
        <v>11</v>
      </c>
      <c r="G20720" s="2" t="s">
        <v>3410</v>
      </c>
      <c r="H20720" s="2" t="s">
        <v>3411</v>
      </c>
    </row>
    <row r="20721" spans="1:8" ht="25.05" customHeight="1" x14ac:dyDescent="0.25">
      <c r="A20721" s="2" t="s">
        <v>8</v>
      </c>
      <c r="B20721" s="2" t="str">
        <f>HYPERLINK("http://ts.21cn.com/tousu/show/id/1352790","拉卡拉商户通收款不给结算")</f>
        <v>拉卡拉商户通收款不给结算</v>
      </c>
      <c r="C20721" s="2" t="s">
        <v>9</v>
      </c>
      <c r="D20721" s="2" t="s">
        <v>10</v>
      </c>
      <c r="E20721" s="2" t="str">
        <f>HYPERLINK("http://ts.21cn.com/tousu/show/id/1352790","http://ts.21cn.com/tousu/show/id/1352790")</f>
        <v>http://ts.21cn.com/tousu/show/id/1352790</v>
      </c>
      <c r="F20721" s="2" t="s">
        <v>11</v>
      </c>
      <c r="G20721" s="2" t="s">
        <v>3408</v>
      </c>
      <c r="H20721" s="2" t="s">
        <v>3409</v>
      </c>
    </row>
    <row r="20722" spans="1:8" ht="25.05" customHeight="1" x14ac:dyDescent="0.25">
      <c r="A20722" s="2" t="s">
        <v>8</v>
      </c>
      <c r="B20722" s="2" t="str">
        <f>HYPERLINK("http://ts.21cn.com/tousu/show/id/1352791","贷上钱高额利息，自动放款。")</f>
        <v>贷上钱高额利息，自动放款。</v>
      </c>
      <c r="C20722" s="2" t="s">
        <v>9</v>
      </c>
      <c r="D20722" s="2" t="s">
        <v>10</v>
      </c>
      <c r="E20722" s="2" t="str">
        <f>HYPERLINK("http://ts.21cn.com/tousu/show/id/1352791","http://ts.21cn.com/tousu/show/id/1352791")</f>
        <v>http://ts.21cn.com/tousu/show/id/1352791</v>
      </c>
      <c r="F20722" s="2" t="s">
        <v>11</v>
      </c>
      <c r="G20722" s="2" t="s">
        <v>3406</v>
      </c>
      <c r="H20722" s="2" t="s">
        <v>3407</v>
      </c>
    </row>
    <row r="20723" spans="1:8" ht="25.05" customHeight="1" x14ac:dyDescent="0.25">
      <c r="A20723" s="2" t="s">
        <v>8</v>
      </c>
      <c r="B20723" s="2" t="str">
        <f>HYPERLINK("http://ts.21cn.com/tousu/show/id/1352793","投诉淘集集三个月货款不给回")</f>
        <v>投诉淘集集三个月货款不给回</v>
      </c>
      <c r="C20723" s="2" t="s">
        <v>9</v>
      </c>
      <c r="D20723" s="2" t="s">
        <v>10</v>
      </c>
      <c r="E20723" s="2" t="str">
        <f>HYPERLINK("http://ts.21cn.com/tousu/show/id/1352793","http://ts.21cn.com/tousu/show/id/1352793")</f>
        <v>http://ts.21cn.com/tousu/show/id/1352793</v>
      </c>
      <c r="F20723" s="2" t="s">
        <v>11</v>
      </c>
      <c r="G20723" s="2" t="s">
        <v>3404</v>
      </c>
      <c r="H20723" s="2" t="s">
        <v>3405</v>
      </c>
    </row>
    <row r="20724" spans="1:8" ht="25.05" customHeight="1" x14ac:dyDescent="0.25">
      <c r="A20724" s="2" t="s">
        <v>8</v>
      </c>
      <c r="B20724" s="2" t="str">
        <f>HYPERLINK("http://ts.21cn.com/tousu/show/id/1352792","水莲金条协商还款金额及时间")</f>
        <v>水莲金条协商还款金额及时间</v>
      </c>
      <c r="C20724" s="2" t="s">
        <v>9</v>
      </c>
      <c r="D20724" s="2" t="s">
        <v>10</v>
      </c>
      <c r="E20724" s="2" t="str">
        <f>HYPERLINK("http://ts.21cn.com/tousu/show/id/1352792","http://ts.21cn.com/tousu/show/id/1352792")</f>
        <v>http://ts.21cn.com/tousu/show/id/1352792</v>
      </c>
      <c r="F20724" s="2" t="s">
        <v>11</v>
      </c>
      <c r="G20724" s="2" t="s">
        <v>3402</v>
      </c>
      <c r="H20724" s="2" t="s">
        <v>3403</v>
      </c>
    </row>
    <row r="20725" spans="1:8" ht="25.05" customHeight="1" x14ac:dyDescent="0.25">
      <c r="A20725" s="2" t="s">
        <v>8</v>
      </c>
      <c r="B20725" s="2" t="str">
        <f>HYPERLINK("http://ts.21cn.com/tousu/show/id/1348905","上海瀚银信息科技有限公司为赌博网站提供支付通道")</f>
        <v>上海瀚银信息科技有限公司为赌博网站提供支付通道</v>
      </c>
      <c r="C20725" s="2" t="s">
        <v>9</v>
      </c>
      <c r="D20725" s="2" t="s">
        <v>10</v>
      </c>
      <c r="E20725" s="2" t="str">
        <f>HYPERLINK("http://ts.21cn.com/tousu/show/id/1348905","http://ts.21cn.com/tousu/show/id/1348905")</f>
        <v>http://ts.21cn.com/tousu/show/id/1348905</v>
      </c>
      <c r="F20725" s="2" t="s">
        <v>11</v>
      </c>
      <c r="G20725" s="2" t="s">
        <v>3400</v>
      </c>
      <c r="H20725" s="2" t="s">
        <v>3401</v>
      </c>
    </row>
    <row r="20726" spans="1:8" ht="25.05" customHeight="1" x14ac:dyDescent="0.25">
      <c r="A20726" s="2" t="s">
        <v>8</v>
      </c>
      <c r="B20726" s="2" t="str">
        <f>HYPERLINK("http://ts.21cn.com/tousu/show/id/1352794","深圳训联智付")</f>
        <v>深圳训联智付</v>
      </c>
      <c r="C20726" s="2" t="s">
        <v>9</v>
      </c>
      <c r="D20726" s="2" t="s">
        <v>10</v>
      </c>
      <c r="E20726" s="2" t="str">
        <f>HYPERLINK("http://ts.21cn.com/tousu/show/id/1352794","http://ts.21cn.com/tousu/show/id/1352794")</f>
        <v>http://ts.21cn.com/tousu/show/id/1352794</v>
      </c>
      <c r="F20726" s="2" t="s">
        <v>11</v>
      </c>
      <c r="G20726" s="2" t="s">
        <v>3398</v>
      </c>
      <c r="H20726" s="2" t="s">
        <v>3399</v>
      </c>
    </row>
    <row r="20727" spans="1:8" ht="25.05" customHeight="1" x14ac:dyDescent="0.25">
      <c r="A20727" s="2" t="s">
        <v>8</v>
      </c>
      <c r="B20727" s="2" t="str">
        <f>HYPERLINK("http://ts.21cn.com/tousu/show/id/1352796","宏萨上海信息技术有限公司无故扣款")</f>
        <v>宏萨上海信息技术有限公司无故扣款</v>
      </c>
      <c r="C20727" s="2" t="s">
        <v>9</v>
      </c>
      <c r="D20727" s="2" t="s">
        <v>10</v>
      </c>
      <c r="E20727" s="2" t="str">
        <f>HYPERLINK("http://ts.21cn.com/tousu/show/id/1352796","http://ts.21cn.com/tousu/show/id/1352796")</f>
        <v>http://ts.21cn.com/tousu/show/id/1352796</v>
      </c>
      <c r="F20727" s="2" t="s">
        <v>11</v>
      </c>
      <c r="G20727" s="2" t="s">
        <v>3395</v>
      </c>
      <c r="H20727" s="2" t="s">
        <v>3396</v>
      </c>
    </row>
    <row r="20728" spans="1:8" ht="25.05" customHeight="1" x14ac:dyDescent="0.25">
      <c r="A20728" s="2" t="s">
        <v>8</v>
      </c>
      <c r="B20728" s="2" t="str">
        <f>HYPERLINK("http://ts.21cn.com/tousu/show/id/1352795","敷衍了事不处理")</f>
        <v>敷衍了事不处理</v>
      </c>
      <c r="C20728" s="2" t="s">
        <v>9</v>
      </c>
      <c r="D20728" s="2" t="s">
        <v>10</v>
      </c>
      <c r="E20728" s="2" t="str">
        <f>HYPERLINK("http://ts.21cn.com/tousu/show/id/1352795","http://ts.21cn.com/tousu/show/id/1352795")</f>
        <v>http://ts.21cn.com/tousu/show/id/1352795</v>
      </c>
      <c r="F20728" s="2" t="s">
        <v>11</v>
      </c>
      <c r="G20728" s="2" t="s">
        <v>3395</v>
      </c>
      <c r="H20728" s="2" t="s">
        <v>3397</v>
      </c>
    </row>
    <row r="20729" spans="1:8" ht="25.05" customHeight="1" x14ac:dyDescent="0.25">
      <c r="A20729" s="2" t="s">
        <v>8</v>
      </c>
      <c r="B20729" s="2" t="str">
        <f>HYPERLINK("http://ts.21cn.com/tousu/show/id/1352797","光大银行无休只骚扰")</f>
        <v>光大银行无休只骚扰</v>
      </c>
      <c r="C20729" s="2" t="s">
        <v>9</v>
      </c>
      <c r="D20729" s="2" t="s">
        <v>10</v>
      </c>
      <c r="E20729" s="2" t="str">
        <f>HYPERLINK("http://ts.21cn.com/tousu/show/id/1352797","http://ts.21cn.com/tousu/show/id/1352797")</f>
        <v>http://ts.21cn.com/tousu/show/id/1352797</v>
      </c>
      <c r="F20729" s="2" t="s">
        <v>11</v>
      </c>
      <c r="G20729" s="2" t="s">
        <v>3393</v>
      </c>
      <c r="H20729" s="2" t="s">
        <v>3394</v>
      </c>
    </row>
    <row r="20730" spans="1:8" ht="25.05" customHeight="1" x14ac:dyDescent="0.25">
      <c r="A20730" s="2" t="s">
        <v>8</v>
      </c>
      <c r="B20730" s="2" t="str">
        <f>HYPERLINK("http://ts.21cn.com/tousu/show/id/1352799","轻周转芒果筹高利息暴力催熟")</f>
        <v>轻周转芒果筹高利息暴力催熟</v>
      </c>
      <c r="C20730" s="2" t="s">
        <v>9</v>
      </c>
      <c r="D20730" s="2" t="s">
        <v>10</v>
      </c>
      <c r="E20730" s="2" t="str">
        <f>HYPERLINK("http://ts.21cn.com/tousu/show/id/1352799","http://ts.21cn.com/tousu/show/id/1352799")</f>
        <v>http://ts.21cn.com/tousu/show/id/1352799</v>
      </c>
      <c r="F20730" s="2" t="s">
        <v>11</v>
      </c>
      <c r="G20730" s="2" t="s">
        <v>3391</v>
      </c>
      <c r="H20730" s="2" t="s">
        <v>3392</v>
      </c>
    </row>
    <row r="20731" spans="1:8" ht="25.05" customHeight="1" x14ac:dyDescent="0.25">
      <c r="A20731" s="2" t="s">
        <v>8</v>
      </c>
      <c r="B20731" s="2" t="str">
        <f>HYPERLINK("http://ts.21cn.com/tousu/show/id/1352798","中腾信催收不规范")</f>
        <v>中腾信催收不规范</v>
      </c>
      <c r="C20731" s="2" t="s">
        <v>9</v>
      </c>
      <c r="D20731" s="2" t="s">
        <v>10</v>
      </c>
      <c r="E20731" s="2" t="str">
        <f>HYPERLINK("http://ts.21cn.com/tousu/show/id/1352798","http://ts.21cn.com/tousu/show/id/1352798")</f>
        <v>http://ts.21cn.com/tousu/show/id/1352798</v>
      </c>
      <c r="F20731" s="2" t="s">
        <v>11</v>
      </c>
      <c r="G20731" s="2" t="s">
        <v>3389</v>
      </c>
      <c r="H20731" s="2" t="s">
        <v>3390</v>
      </c>
    </row>
    <row r="20732" spans="1:8" ht="25.05" customHeight="1" x14ac:dyDescent="0.25">
      <c r="A20732" s="2" t="s">
        <v>8</v>
      </c>
      <c r="B20732" s="2" t="str">
        <f>HYPERLINK("http://ts.21cn.com/tousu/show/id/1352801","网银无故盗刷我银行卡127.2元")</f>
        <v>网银无故盗刷我银行卡127.2元</v>
      </c>
      <c r="C20732" s="2" t="s">
        <v>9</v>
      </c>
      <c r="D20732" s="2" t="s">
        <v>10</v>
      </c>
      <c r="E20732" s="2" t="str">
        <f>HYPERLINK("http://ts.21cn.com/tousu/show/id/1352801","http://ts.21cn.com/tousu/show/id/1352801")</f>
        <v>http://ts.21cn.com/tousu/show/id/1352801</v>
      </c>
      <c r="F20732" s="2" t="s">
        <v>11</v>
      </c>
      <c r="G20732" s="2" t="s">
        <v>3387</v>
      </c>
      <c r="H20732" s="2" t="s">
        <v>3388</v>
      </c>
    </row>
    <row r="20733" spans="1:8" ht="25.05" customHeight="1" x14ac:dyDescent="0.25">
      <c r="A20733" s="2" t="s">
        <v>8</v>
      </c>
      <c r="B20733" s="2" t="str">
        <f>HYPERLINK("http://ts.21cn.com/tousu/show/id/1352800","玖富万卡高利贷，阴阳合同")</f>
        <v>玖富万卡高利贷，阴阳合同</v>
      </c>
      <c r="C20733" s="2" t="s">
        <v>9</v>
      </c>
      <c r="D20733" s="2" t="s">
        <v>10</v>
      </c>
      <c r="E20733" s="2" t="str">
        <f>HYPERLINK("http://ts.21cn.com/tousu/show/id/1352800","http://ts.21cn.com/tousu/show/id/1352800")</f>
        <v>http://ts.21cn.com/tousu/show/id/1352800</v>
      </c>
      <c r="F20733" s="2" t="s">
        <v>11</v>
      </c>
      <c r="G20733" s="2" t="s">
        <v>3385</v>
      </c>
      <c r="H20733" s="2" t="s">
        <v>3386</v>
      </c>
    </row>
    <row r="20734" spans="1:8" ht="25.05" customHeight="1" x14ac:dyDescent="0.25">
      <c r="A20734" s="2" t="s">
        <v>8</v>
      </c>
      <c r="B20734" s="2" t="str">
        <f>HYPERLINK("http://ts.21cn.com/tousu/show/id/1352803","聚福钱包未经许可私自扣款")</f>
        <v>聚福钱包未经许可私自扣款</v>
      </c>
      <c r="C20734" s="2" t="s">
        <v>9</v>
      </c>
      <c r="D20734" s="2" t="s">
        <v>10</v>
      </c>
      <c r="E20734" s="2" t="str">
        <f>HYPERLINK("http://ts.21cn.com/tousu/show/id/1352803","http://ts.21cn.com/tousu/show/id/1352803")</f>
        <v>http://ts.21cn.com/tousu/show/id/1352803</v>
      </c>
      <c r="F20734" s="2" t="s">
        <v>11</v>
      </c>
      <c r="G20734" s="2" t="s">
        <v>3383</v>
      </c>
      <c r="H20734" s="2" t="s">
        <v>3384</v>
      </c>
    </row>
    <row r="20735" spans="1:8" ht="25.05" customHeight="1" x14ac:dyDescent="0.25">
      <c r="A20735" s="2" t="s">
        <v>8</v>
      </c>
      <c r="B20735" s="2" t="str">
        <f>HYPERLINK("http://ts.21cn.com/tousu/show/id/1352802","立借钱置宝高利贷")</f>
        <v>立借钱置宝高利贷</v>
      </c>
      <c r="C20735" s="2" t="s">
        <v>9</v>
      </c>
      <c r="D20735" s="2" t="s">
        <v>10</v>
      </c>
      <c r="E20735" s="2" t="str">
        <f>HYPERLINK("http://ts.21cn.com/tousu/show/id/1352802","http://ts.21cn.com/tousu/show/id/1352802")</f>
        <v>http://ts.21cn.com/tousu/show/id/1352802</v>
      </c>
      <c r="F20735" s="2" t="s">
        <v>11</v>
      </c>
      <c r="G20735" s="2" t="s">
        <v>3381</v>
      </c>
      <c r="H20735" s="2" t="s">
        <v>3382</v>
      </c>
    </row>
    <row r="20736" spans="1:8" ht="25.05" customHeight="1" x14ac:dyDescent="0.25">
      <c r="A20736" s="2" t="s">
        <v>8</v>
      </c>
      <c r="B20736" s="2" t="str">
        <f>HYPERLINK("http://ts.21cn.com/tousu/show/id/1352804","珍爱网线上会员欺诈消费者---恶意修改我发给其他会员以及其他会员发给我的信息")</f>
        <v>珍爱网线上会员欺诈消费者---恶意修改我发给其他会员以及其他会员发给我的信息</v>
      </c>
      <c r="C20736" s="2" t="s">
        <v>9</v>
      </c>
      <c r="D20736" s="2" t="s">
        <v>10</v>
      </c>
      <c r="E20736" s="2" t="str">
        <f>HYPERLINK("http://ts.21cn.com/tousu/show/id/1352804","http://ts.21cn.com/tousu/show/id/1352804")</f>
        <v>http://ts.21cn.com/tousu/show/id/1352804</v>
      </c>
      <c r="F20736" s="2" t="s">
        <v>11</v>
      </c>
      <c r="G20736" s="2" t="s">
        <v>3379</v>
      </c>
      <c r="H20736" s="2" t="s">
        <v>3380</v>
      </c>
    </row>
    <row r="20737" spans="1:8" ht="25.05" customHeight="1" x14ac:dyDescent="0.25">
      <c r="A20737" s="2" t="s">
        <v>8</v>
      </c>
      <c r="B20737" s="2" t="str">
        <f>HYPERLINK("http://ts.21cn.com/tousu/show/id/1352806","京东你的话还能信吗")</f>
        <v>京东你的话还能信吗</v>
      </c>
      <c r="C20737" s="2" t="s">
        <v>9</v>
      </c>
      <c r="D20737" s="2" t="s">
        <v>10</v>
      </c>
      <c r="E20737" s="2" t="str">
        <f>HYPERLINK("http://ts.21cn.com/tousu/show/id/1352806","http://ts.21cn.com/tousu/show/id/1352806")</f>
        <v>http://ts.21cn.com/tousu/show/id/1352806</v>
      </c>
      <c r="F20737" s="2" t="s">
        <v>11</v>
      </c>
      <c r="G20737" s="2" t="s">
        <v>3377</v>
      </c>
      <c r="H20737" s="2" t="s">
        <v>3378</v>
      </c>
    </row>
    <row r="20738" spans="1:8" ht="25.05" customHeight="1" x14ac:dyDescent="0.25">
      <c r="A20738" s="2" t="s">
        <v>8</v>
      </c>
      <c r="B20738" s="2" t="str">
        <f>HYPERLINK("http://ts.21cn.com/tousu/show/id/1352808","高利贷，没有同意就自己下款")</f>
        <v>高利贷，没有同意就自己下款</v>
      </c>
      <c r="C20738" s="2" t="s">
        <v>9</v>
      </c>
      <c r="D20738" s="2" t="s">
        <v>10</v>
      </c>
      <c r="E20738" s="2" t="str">
        <f>HYPERLINK("http://ts.21cn.com/tousu/show/id/1352808","http://ts.21cn.com/tousu/show/id/1352808")</f>
        <v>http://ts.21cn.com/tousu/show/id/1352808</v>
      </c>
      <c r="F20738" s="2" t="s">
        <v>11</v>
      </c>
      <c r="G20738" s="2" t="s">
        <v>3375</v>
      </c>
      <c r="H20738" s="2" t="s">
        <v>3376</v>
      </c>
    </row>
    <row r="20739" spans="1:8" ht="25.05" customHeight="1" x14ac:dyDescent="0.25">
      <c r="A20739" s="2" t="s">
        <v>8</v>
      </c>
      <c r="B20739" s="2" t="str">
        <f>HYPERLINK("http://ts.21cn.com/tousu/show/id/1352809","在nice购买的鞋子有瑕疵破损平台不予退款")</f>
        <v>在nice购买的鞋子有瑕疵破损平台不予退款</v>
      </c>
      <c r="C20739" s="2" t="s">
        <v>9</v>
      </c>
      <c r="D20739" s="2" t="s">
        <v>10</v>
      </c>
      <c r="E20739" s="2" t="str">
        <f>HYPERLINK("http://ts.21cn.com/tousu/show/id/1352809","http://ts.21cn.com/tousu/show/id/1352809")</f>
        <v>http://ts.21cn.com/tousu/show/id/1352809</v>
      </c>
      <c r="F20739" s="2" t="s">
        <v>11</v>
      </c>
      <c r="G20739" s="2" t="s">
        <v>3373</v>
      </c>
      <c r="H20739" s="2" t="s">
        <v>3374</v>
      </c>
    </row>
    <row r="20740" spans="1:8" ht="25.05" customHeight="1" x14ac:dyDescent="0.25">
      <c r="A20740" s="2" t="s">
        <v>8</v>
      </c>
      <c r="B20740" s="2" t="str">
        <f>HYPERLINK("http://ts.21cn.com/tousu/show/id/1352810","高利息，暴力催收，隐藏条约")</f>
        <v>高利息，暴力催收，隐藏条约</v>
      </c>
      <c r="C20740" s="2" t="s">
        <v>9</v>
      </c>
      <c r="D20740" s="2" t="s">
        <v>10</v>
      </c>
      <c r="E20740" s="2" t="str">
        <f>HYPERLINK("http://ts.21cn.com/tousu/show/id/1352810","http://ts.21cn.com/tousu/show/id/1352810")</f>
        <v>http://ts.21cn.com/tousu/show/id/1352810</v>
      </c>
      <c r="F20740" s="2" t="s">
        <v>11</v>
      </c>
      <c r="G20740" s="2" t="s">
        <v>3371</v>
      </c>
      <c r="H20740" s="2" t="s">
        <v>3372</v>
      </c>
    </row>
    <row r="20741" spans="1:8" ht="25.05" customHeight="1" x14ac:dyDescent="0.25">
      <c r="A20741" s="2" t="s">
        <v>8</v>
      </c>
      <c r="B20741" s="2" t="str">
        <f>HYPERLINK("http://ts.21cn.com/tousu/show/id/1352807","拼多多强行定制月卡，并不许退订。")</f>
        <v>拼多多强行定制月卡，并不许退订。</v>
      </c>
      <c r="C20741" s="2" t="s">
        <v>9</v>
      </c>
      <c r="D20741" s="2" t="s">
        <v>10</v>
      </c>
      <c r="E20741" s="2" t="str">
        <f>HYPERLINK("http://ts.21cn.com/tousu/show/id/1352807","http://ts.21cn.com/tousu/show/id/1352807")</f>
        <v>http://ts.21cn.com/tousu/show/id/1352807</v>
      </c>
      <c r="F20741" s="2" t="s">
        <v>11</v>
      </c>
      <c r="G20741" s="2" t="s">
        <v>3369</v>
      </c>
      <c r="H20741" s="2" t="s">
        <v>3370</v>
      </c>
    </row>
    <row r="20742" spans="1:8" ht="25.05" customHeight="1" x14ac:dyDescent="0.25">
      <c r="A20742" s="2" t="s">
        <v>8</v>
      </c>
      <c r="B20742" s="2" t="str">
        <f>HYPERLINK("http://ts.21cn.com/tousu/show/id/1352812","上海翰银为赌博输平台收单，请求瀚银为我退款挽回经济损失")</f>
        <v>上海翰银为赌博输平台收单，请求瀚银为我退款挽回经济损失</v>
      </c>
      <c r="C20742" s="2" t="s">
        <v>9</v>
      </c>
      <c r="D20742" s="2" t="s">
        <v>10</v>
      </c>
      <c r="E20742" s="2" t="str">
        <f>HYPERLINK("http://ts.21cn.com/tousu/show/id/1352812","http://ts.21cn.com/tousu/show/id/1352812")</f>
        <v>http://ts.21cn.com/tousu/show/id/1352812</v>
      </c>
      <c r="F20742" s="2" t="s">
        <v>11</v>
      </c>
      <c r="G20742" s="2" t="s">
        <v>3367</v>
      </c>
      <c r="H20742" s="2" t="s">
        <v>3368</v>
      </c>
    </row>
    <row r="20743" spans="1:8" ht="25.05" customHeight="1" x14ac:dyDescent="0.25">
      <c r="A20743" s="2" t="s">
        <v>8</v>
      </c>
      <c r="B20743" s="2" t="str">
        <f>HYPERLINK("http://ts.21cn.com/tousu/show/id/1352813","宏萨（上海）科技有限公司未经本人同意私自扣钱，我也未在该APP借过款，只注册过账号，莫名其妙就扣款，也不知道是什么费用，")</f>
        <v>宏萨（上海）科技有限公司未经本人同意私自扣钱，我也未在该APP借过款，只注册过账号，莫名其妙就扣款，也不知道是什么费用，</v>
      </c>
      <c r="C20743" s="2" t="s">
        <v>9</v>
      </c>
      <c r="D20743" s="2" t="s">
        <v>10</v>
      </c>
      <c r="E20743" s="2" t="str">
        <f>HYPERLINK("http://ts.21cn.com/tousu/show/id/1352813","http://ts.21cn.com/tousu/show/id/1352813")</f>
        <v>http://ts.21cn.com/tousu/show/id/1352813</v>
      </c>
      <c r="F20743" s="2" t="s">
        <v>11</v>
      </c>
      <c r="G20743" s="2" t="s">
        <v>3365</v>
      </c>
      <c r="H20743" s="2" t="s">
        <v>3366</v>
      </c>
    </row>
    <row r="20744" spans="1:8" ht="25.05" customHeight="1" x14ac:dyDescent="0.25">
      <c r="A20744" s="2" t="s">
        <v>8</v>
      </c>
      <c r="B20744" s="2" t="str">
        <f>HYPERLINK("http://ts.21cn.com/tousu/show/id/1352814","网贷利息过高")</f>
        <v>网贷利息过高</v>
      </c>
      <c r="C20744" s="2" t="s">
        <v>34</v>
      </c>
      <c r="D20744" s="2" t="s">
        <v>10</v>
      </c>
      <c r="E20744" s="2" t="str">
        <f>HYPERLINK("http://ts.21cn.com/tousu/show/id/1352814","http://ts.21cn.com/tousu/show/id/1352814")</f>
        <v>http://ts.21cn.com/tousu/show/id/1352814</v>
      </c>
      <c r="F20744" s="2" t="s">
        <v>11</v>
      </c>
      <c r="G20744" s="2" t="s">
        <v>3363</v>
      </c>
      <c r="H20744" s="2" t="s">
        <v>3364</v>
      </c>
    </row>
    <row r="20745" spans="1:8" ht="25.05" customHeight="1" x14ac:dyDescent="0.25">
      <c r="A20745" s="2" t="s">
        <v>8</v>
      </c>
      <c r="B20745" s="2" t="str">
        <f>HYPERLINK("http://ts.21cn.com/tousu/show/id/1352817","电信宽带网络")</f>
        <v>电信宽带网络</v>
      </c>
      <c r="C20745" s="2" t="s">
        <v>34</v>
      </c>
      <c r="D20745" s="2" t="s">
        <v>10</v>
      </c>
      <c r="E20745" s="2" t="str">
        <f>HYPERLINK("http://ts.21cn.com/tousu/show/id/1352817","http://ts.21cn.com/tousu/show/id/1352817")</f>
        <v>http://ts.21cn.com/tousu/show/id/1352817</v>
      </c>
      <c r="F20745" s="2" t="s">
        <v>11</v>
      </c>
      <c r="G20745" s="2" t="s">
        <v>3361</v>
      </c>
      <c r="H20745" s="2" t="s">
        <v>3362</v>
      </c>
    </row>
    <row r="20746" spans="1:8" ht="25.05" customHeight="1" x14ac:dyDescent="0.25">
      <c r="A20746" s="2" t="s">
        <v>8</v>
      </c>
      <c r="B20746" s="2" t="str">
        <f>HYPERLINK("http://ts.21cn.com/tousu/show/id/1352816","微贷网有砍头息")</f>
        <v>微贷网有砍头息</v>
      </c>
      <c r="C20746" s="2" t="s">
        <v>34</v>
      </c>
      <c r="D20746" s="2" t="s">
        <v>10</v>
      </c>
      <c r="E20746" s="2" t="str">
        <f>HYPERLINK("http://ts.21cn.com/tousu/show/id/1352816","http://ts.21cn.com/tousu/show/id/1352816")</f>
        <v>http://ts.21cn.com/tousu/show/id/1352816</v>
      </c>
      <c r="F20746" s="2" t="s">
        <v>11</v>
      </c>
      <c r="G20746" s="2" t="s">
        <v>3359</v>
      </c>
      <c r="H20746" s="2" t="s">
        <v>3360</v>
      </c>
    </row>
    <row r="20747" spans="1:8" ht="25.05" customHeight="1" x14ac:dyDescent="0.25">
      <c r="A20747" s="2" t="s">
        <v>8</v>
      </c>
      <c r="B20747" s="2" t="str">
        <f>HYPERLINK("http://ts.21cn.com/tousu/show/id/1352819","宏萨上海信息科技有限公司私自扣款")</f>
        <v>宏萨上海信息科技有限公司私自扣款</v>
      </c>
      <c r="C20747" s="2" t="s">
        <v>9</v>
      </c>
      <c r="D20747" s="2" t="s">
        <v>10</v>
      </c>
      <c r="E20747" s="2" t="str">
        <f>HYPERLINK("http://ts.21cn.com/tousu/show/id/1352819","http://ts.21cn.com/tousu/show/id/1352819")</f>
        <v>http://ts.21cn.com/tousu/show/id/1352819</v>
      </c>
      <c r="F20747" s="2" t="s">
        <v>11</v>
      </c>
      <c r="G20747" s="2" t="s">
        <v>3357</v>
      </c>
      <c r="H20747" s="2" t="s">
        <v>3358</v>
      </c>
    </row>
    <row r="20748" spans="1:8" ht="25.05" customHeight="1" x14ac:dyDescent="0.25">
      <c r="A20748" s="2" t="s">
        <v>8</v>
      </c>
      <c r="B20748" s="2" t="str">
        <f>HYPERLINK("http://ts.21cn.com/tousu/show/id/1352820","拍拍贷高利率")</f>
        <v>拍拍贷高利率</v>
      </c>
      <c r="C20748" s="2" t="s">
        <v>9</v>
      </c>
      <c r="D20748" s="2" t="s">
        <v>10</v>
      </c>
      <c r="E20748" s="2" t="str">
        <f>HYPERLINK("http://ts.21cn.com/tousu/show/id/1352820","http://ts.21cn.com/tousu/show/id/1352820")</f>
        <v>http://ts.21cn.com/tousu/show/id/1352820</v>
      </c>
      <c r="F20748" s="2" t="s">
        <v>11</v>
      </c>
      <c r="G20748" s="2" t="s">
        <v>3355</v>
      </c>
      <c r="H20748" s="2" t="s">
        <v>3356</v>
      </c>
    </row>
    <row r="20749" spans="1:8" ht="25.05" customHeight="1" x14ac:dyDescent="0.25">
      <c r="A20749" s="2" t="s">
        <v>8</v>
      </c>
      <c r="B20749" s="2" t="str">
        <f>HYPERLINK("http://ts.21cn.com/tousu/show/id/1352821","交通银行虚假")</f>
        <v>交通银行虚假</v>
      </c>
      <c r="C20749" s="2" t="s">
        <v>9</v>
      </c>
      <c r="D20749" s="2" t="s">
        <v>10</v>
      </c>
      <c r="E20749" s="2" t="str">
        <f>HYPERLINK("http://ts.21cn.com/tousu/show/id/1352821","http://ts.21cn.com/tousu/show/id/1352821")</f>
        <v>http://ts.21cn.com/tousu/show/id/1352821</v>
      </c>
      <c r="F20749" s="2" t="s">
        <v>11</v>
      </c>
      <c r="G20749" s="2" t="s">
        <v>3353</v>
      </c>
      <c r="H20749" s="2" t="s">
        <v>3354</v>
      </c>
    </row>
    <row r="20750" spans="1:8" ht="25.05" customHeight="1" x14ac:dyDescent="0.25">
      <c r="A20750" s="2" t="s">
        <v>8</v>
      </c>
      <c r="B20750" s="2" t="str">
        <f>HYPERLINK("http://ts.21cn.com/tousu/show/id/1352824","恶意轰炸通讯录")</f>
        <v>恶意轰炸通讯录</v>
      </c>
      <c r="C20750" s="2" t="s">
        <v>9</v>
      </c>
      <c r="D20750" s="2" t="s">
        <v>10</v>
      </c>
      <c r="E20750" s="2" t="str">
        <f>HYPERLINK("http://ts.21cn.com/tousu/show/id/1352824","http://ts.21cn.com/tousu/show/id/1352824")</f>
        <v>http://ts.21cn.com/tousu/show/id/1352824</v>
      </c>
      <c r="F20750" s="2" t="s">
        <v>11</v>
      </c>
      <c r="G20750" s="2" t="s">
        <v>3351</v>
      </c>
      <c r="H20750" s="2" t="s">
        <v>3352</v>
      </c>
    </row>
    <row r="20751" spans="1:8" ht="25.05" customHeight="1" x14ac:dyDescent="0.25">
      <c r="A20751" s="2" t="s">
        <v>8</v>
      </c>
      <c r="B20751" s="2" t="str">
        <f>HYPERLINK("http://ts.21cn.com/tousu/show/id/1350418","航旅管家虚假宣传引导消费者办理上宾之礼金卡")</f>
        <v>航旅管家虚假宣传引导消费者办理上宾之礼金卡</v>
      </c>
      <c r="C20751" s="2" t="s">
        <v>9</v>
      </c>
      <c r="D20751" s="2" t="s">
        <v>10</v>
      </c>
      <c r="E20751" s="2" t="str">
        <f>HYPERLINK("http://ts.21cn.com/tousu/show/id/1350418","http://ts.21cn.com/tousu/show/id/1350418")</f>
        <v>http://ts.21cn.com/tousu/show/id/1350418</v>
      </c>
      <c r="F20751" s="2" t="s">
        <v>11</v>
      </c>
      <c r="G20751" s="2" t="s">
        <v>3349</v>
      </c>
      <c r="H20751" s="2" t="s">
        <v>3350</v>
      </c>
    </row>
    <row r="20752" spans="1:8" ht="25.05" customHeight="1" x14ac:dyDescent="0.25">
      <c r="A20752" s="2" t="s">
        <v>8</v>
      </c>
      <c r="B20752" s="2" t="str">
        <f>HYPERLINK("http://ts.21cn.com/tousu/show/id/1352825","服务差，不给评论")</f>
        <v>服务差，不给评论</v>
      </c>
      <c r="C20752" s="2" t="s">
        <v>9</v>
      </c>
      <c r="D20752" s="2" t="s">
        <v>10</v>
      </c>
      <c r="E20752" s="2" t="str">
        <f>HYPERLINK("http://ts.21cn.com/tousu/show/id/1352825","http://ts.21cn.com/tousu/show/id/1352825")</f>
        <v>http://ts.21cn.com/tousu/show/id/1352825</v>
      </c>
      <c r="F20752" s="2" t="s">
        <v>11</v>
      </c>
      <c r="G20752" s="2" t="s">
        <v>3347</v>
      </c>
      <c r="H20752" s="2" t="s">
        <v>3348</v>
      </c>
    </row>
    <row r="20753" spans="1:8" ht="25.05" customHeight="1" x14ac:dyDescent="0.25">
      <c r="A20753" s="2" t="s">
        <v>8</v>
      </c>
      <c r="B20753" s="2" t="str">
        <f>HYPERLINK("http://ts.21cn.com/tousu/show/id/1352826","及贷暴力催收")</f>
        <v>及贷暴力催收</v>
      </c>
      <c r="C20753" s="2" t="s">
        <v>9</v>
      </c>
      <c r="D20753" s="2" t="s">
        <v>10</v>
      </c>
      <c r="E20753" s="2" t="str">
        <f>HYPERLINK("http://ts.21cn.com/tousu/show/id/1352826","http://ts.21cn.com/tousu/show/id/1352826")</f>
        <v>http://ts.21cn.com/tousu/show/id/1352826</v>
      </c>
      <c r="F20753" s="2" t="s">
        <v>11</v>
      </c>
      <c r="G20753" s="2" t="s">
        <v>3345</v>
      </c>
      <c r="H20753" s="2" t="s">
        <v>3346</v>
      </c>
    </row>
    <row r="20754" spans="1:8" ht="25.05" customHeight="1" x14ac:dyDescent="0.25">
      <c r="A20754" s="2" t="s">
        <v>8</v>
      </c>
      <c r="B20754" s="2" t="str">
        <f>HYPERLINK("http://ts.21cn.com/tousu/show/id/1352811","到账金额不符随意投保")</f>
        <v>到账金额不符随意投保</v>
      </c>
      <c r="C20754" s="2" t="s">
        <v>9</v>
      </c>
      <c r="D20754" s="2" t="s">
        <v>10</v>
      </c>
      <c r="E20754" s="2" t="str">
        <f>HYPERLINK("http://ts.21cn.com/tousu/show/id/1352811","http://ts.21cn.com/tousu/show/id/1352811")</f>
        <v>http://ts.21cn.com/tousu/show/id/1352811</v>
      </c>
      <c r="F20754" s="2" t="s">
        <v>11</v>
      </c>
      <c r="G20754" s="2" t="s">
        <v>3343</v>
      </c>
      <c r="H20754" s="2" t="s">
        <v>3344</v>
      </c>
    </row>
    <row r="20755" spans="1:8" ht="25.05" customHeight="1" x14ac:dyDescent="0.25">
      <c r="A20755" s="2" t="s">
        <v>8</v>
      </c>
      <c r="B20755" s="2" t="str">
        <f>HYPERLINK("http://ts.21cn.com/tousu/show/id/1352827","淘集集拖延提现时间，故意拖延保证金退还时间")</f>
        <v>淘集集拖延提现时间，故意拖延保证金退还时间</v>
      </c>
      <c r="C20755" s="2" t="s">
        <v>9</v>
      </c>
      <c r="D20755" s="2" t="s">
        <v>10</v>
      </c>
      <c r="E20755" s="2" t="str">
        <f>HYPERLINK("http://ts.21cn.com/tousu/show/id/1352827","http://ts.21cn.com/tousu/show/id/1352827")</f>
        <v>http://ts.21cn.com/tousu/show/id/1352827</v>
      </c>
      <c r="F20755" s="2" t="s">
        <v>11</v>
      </c>
      <c r="G20755" s="2" t="s">
        <v>3341</v>
      </c>
      <c r="H20755" s="2" t="s">
        <v>3342</v>
      </c>
    </row>
    <row r="20756" spans="1:8" ht="25.05" customHeight="1" x14ac:dyDescent="0.25">
      <c r="A20756" s="2" t="s">
        <v>8</v>
      </c>
      <c r="B20756" s="2" t="str">
        <f>HYPERLINK("http://ts.21cn.com/tousu/show/id/1352828","月光侠砍头息")</f>
        <v>月光侠砍头息</v>
      </c>
      <c r="C20756" s="2" t="s">
        <v>9</v>
      </c>
      <c r="D20756" s="2" t="s">
        <v>10</v>
      </c>
      <c r="E20756" s="2" t="str">
        <f>HYPERLINK("http://ts.21cn.com/tousu/show/id/1352828","http://ts.21cn.com/tousu/show/id/1352828")</f>
        <v>http://ts.21cn.com/tousu/show/id/1352828</v>
      </c>
      <c r="F20756" s="2" t="s">
        <v>11</v>
      </c>
      <c r="G20756" s="2" t="s">
        <v>3339</v>
      </c>
      <c r="H20756" s="2" t="s">
        <v>3340</v>
      </c>
    </row>
    <row r="20757" spans="1:8" ht="25.05" customHeight="1" x14ac:dyDescent="0.25">
      <c r="A20757" s="2" t="s">
        <v>8</v>
      </c>
      <c r="B20757" s="2" t="str">
        <f>HYPERLINK("http://ts.21cn.com/tousu/show/id/1352829","服务费高利息合同不符")</f>
        <v>服务费高利息合同不符</v>
      </c>
      <c r="C20757" s="2" t="s">
        <v>34</v>
      </c>
      <c r="D20757" s="2" t="s">
        <v>10</v>
      </c>
      <c r="E20757" s="2" t="str">
        <f>HYPERLINK("http://ts.21cn.com/tousu/show/id/1352829","http://ts.21cn.com/tousu/show/id/1352829")</f>
        <v>http://ts.21cn.com/tousu/show/id/1352829</v>
      </c>
      <c r="F20757" s="2" t="s">
        <v>11</v>
      </c>
      <c r="G20757" s="2" t="s">
        <v>3337</v>
      </c>
      <c r="H20757" s="2" t="s">
        <v>3338</v>
      </c>
    </row>
    <row r="20758" spans="1:8" ht="25.05" customHeight="1" x14ac:dyDescent="0.25">
      <c r="A20758" s="2" t="s">
        <v>8</v>
      </c>
      <c r="B20758" s="2" t="str">
        <f>HYPERLINK("http://ts.21cn.com/tousu/show/id/1352830","马上消费金融催收方涉嫌买卖个人信息")</f>
        <v>马上消费金融催收方涉嫌买卖个人信息</v>
      </c>
      <c r="C20758" s="2" t="s">
        <v>9</v>
      </c>
      <c r="D20758" s="2" t="s">
        <v>10</v>
      </c>
      <c r="E20758" s="2" t="str">
        <f>HYPERLINK("http://ts.21cn.com/tousu/show/id/1352830","http://ts.21cn.com/tousu/show/id/1352830")</f>
        <v>http://ts.21cn.com/tousu/show/id/1352830</v>
      </c>
      <c r="F20758" s="2" t="s">
        <v>11</v>
      </c>
      <c r="G20758" s="2" t="s">
        <v>3335</v>
      </c>
      <c r="H20758" s="2" t="s">
        <v>3336</v>
      </c>
    </row>
    <row r="20759" spans="1:8" ht="25.05" customHeight="1" x14ac:dyDescent="0.25">
      <c r="A20759" s="2" t="s">
        <v>8</v>
      </c>
      <c r="B20759" s="2" t="str">
        <f>HYPERLINK("http://ts.21cn.com/tousu/show/id/1352831","四季钱庄套路贷")</f>
        <v>四季钱庄套路贷</v>
      </c>
      <c r="C20759" s="2" t="s">
        <v>9</v>
      </c>
      <c r="D20759" s="2" t="s">
        <v>10</v>
      </c>
      <c r="E20759" s="2" t="str">
        <f>HYPERLINK("http://ts.21cn.com/tousu/show/id/1352831","http://ts.21cn.com/tousu/show/id/1352831")</f>
        <v>http://ts.21cn.com/tousu/show/id/1352831</v>
      </c>
      <c r="F20759" s="2" t="s">
        <v>11</v>
      </c>
      <c r="G20759" s="2" t="s">
        <v>3333</v>
      </c>
      <c r="H20759" s="2" t="s">
        <v>3334</v>
      </c>
    </row>
    <row r="20760" spans="1:8" ht="25.05" customHeight="1" x14ac:dyDescent="0.25">
      <c r="A20760" s="2" t="s">
        <v>8</v>
      </c>
      <c r="B20760" s="2" t="str">
        <f>HYPERLINK("http://ts.21cn.com/tousu/show/id/1352834","升学教育机构不退款")</f>
        <v>升学教育机构不退款</v>
      </c>
      <c r="C20760" s="2" t="s">
        <v>9</v>
      </c>
      <c r="D20760" s="2" t="s">
        <v>10</v>
      </c>
      <c r="E20760" s="2" t="str">
        <f>HYPERLINK("http://ts.21cn.com/tousu/show/id/1352834","http://ts.21cn.com/tousu/show/id/1352834")</f>
        <v>http://ts.21cn.com/tousu/show/id/1352834</v>
      </c>
      <c r="F20760" s="2" t="s">
        <v>11</v>
      </c>
      <c r="G20760" s="2" t="s">
        <v>3331</v>
      </c>
      <c r="H20760" s="2" t="s">
        <v>3332</v>
      </c>
    </row>
    <row r="20761" spans="1:8" ht="25.05" customHeight="1" x14ac:dyDescent="0.25">
      <c r="A20761" s="2" t="s">
        <v>8</v>
      </c>
      <c r="B20761" s="2" t="str">
        <f>HYPERLINK("http://ts.21cn.com/tousu/show/id/1352835","融360里面的信用钱包")</f>
        <v>融360里面的信用钱包</v>
      </c>
      <c r="C20761" s="2" t="s">
        <v>34</v>
      </c>
      <c r="D20761" s="2" t="s">
        <v>10</v>
      </c>
      <c r="E20761" s="2" t="str">
        <f>HYPERLINK("http://ts.21cn.com/tousu/show/id/1352835","http://ts.21cn.com/tousu/show/id/1352835")</f>
        <v>http://ts.21cn.com/tousu/show/id/1352835</v>
      </c>
      <c r="F20761" s="2" t="s">
        <v>11</v>
      </c>
      <c r="G20761" s="2" t="s">
        <v>3329</v>
      </c>
      <c r="H20761" s="2" t="s">
        <v>3330</v>
      </c>
    </row>
    <row r="20762" spans="1:8" ht="25.05" customHeight="1" x14ac:dyDescent="0.25">
      <c r="A20762" s="2" t="s">
        <v>8</v>
      </c>
      <c r="B20762" s="2" t="str">
        <f>HYPERLINK("http://ts.21cn.com/tousu/show/id/1352836","非本人借钱，一直打电话骚扰，影响正常生活")</f>
        <v>非本人借钱，一直打电话骚扰，影响正常生活</v>
      </c>
      <c r="C20762" s="2" t="s">
        <v>9</v>
      </c>
      <c r="D20762" s="2" t="s">
        <v>10</v>
      </c>
      <c r="E20762" s="2" t="str">
        <f>HYPERLINK("http://ts.21cn.com/tousu/show/id/1352836","http://ts.21cn.com/tousu/show/id/1352836")</f>
        <v>http://ts.21cn.com/tousu/show/id/1352836</v>
      </c>
      <c r="F20762" s="2" t="s">
        <v>11</v>
      </c>
      <c r="G20762" s="2" t="s">
        <v>3327</v>
      </c>
      <c r="H20762" s="2" t="s">
        <v>3328</v>
      </c>
    </row>
    <row r="20763" spans="1:8" ht="25.05" customHeight="1" x14ac:dyDescent="0.25">
      <c r="A20763" s="2" t="s">
        <v>8</v>
      </c>
      <c r="B20763" s="2" t="str">
        <f>HYPERLINK("http://ts.21cn.com/tousu/show/id/1352837","聚福钱包未经许可私自扣款")</f>
        <v>聚福钱包未经许可私自扣款</v>
      </c>
      <c r="C20763" s="2" t="s">
        <v>9</v>
      </c>
      <c r="D20763" s="2" t="s">
        <v>10</v>
      </c>
      <c r="E20763" s="2" t="str">
        <f>HYPERLINK("http://ts.21cn.com/tousu/show/id/1352837","http://ts.21cn.com/tousu/show/id/1352837")</f>
        <v>http://ts.21cn.com/tousu/show/id/1352837</v>
      </c>
      <c r="F20763" s="2" t="s">
        <v>11</v>
      </c>
      <c r="G20763" s="2" t="s">
        <v>3325</v>
      </c>
      <c r="H20763" s="2" t="s">
        <v>3326</v>
      </c>
    </row>
    <row r="20764" spans="1:8" ht="25.05" customHeight="1" x14ac:dyDescent="0.25">
      <c r="A20764" s="2" t="s">
        <v>8</v>
      </c>
      <c r="B20764" s="2" t="str">
        <f>HYPERLINK("http://ts.21cn.com/tousu/show/id/1352838","民生银行恶意骚扰")</f>
        <v>民生银行恶意骚扰</v>
      </c>
      <c r="C20764" s="2" t="s">
        <v>9</v>
      </c>
      <c r="D20764" s="2" t="s">
        <v>10</v>
      </c>
      <c r="E20764" s="2" t="str">
        <f>HYPERLINK("http://ts.21cn.com/tousu/show/id/1352838","http://ts.21cn.com/tousu/show/id/1352838")</f>
        <v>http://ts.21cn.com/tousu/show/id/1352838</v>
      </c>
      <c r="F20764" s="2" t="s">
        <v>11</v>
      </c>
      <c r="G20764" s="2" t="s">
        <v>3323</v>
      </c>
      <c r="H20764" s="2" t="s">
        <v>3324</v>
      </c>
    </row>
    <row r="20765" spans="1:8" ht="25.05" customHeight="1" x14ac:dyDescent="0.25">
      <c r="A20765" s="2" t="s">
        <v>8</v>
      </c>
      <c r="B20765" s="2" t="str">
        <f>HYPERLINK("http://ts.21cn.com/tousu/show/id/1352832","借贷宝纵容高利贷，不负责任")</f>
        <v>借贷宝纵容高利贷，不负责任</v>
      </c>
      <c r="C20765" s="2" t="s">
        <v>9</v>
      </c>
      <c r="D20765" s="2" t="s">
        <v>10</v>
      </c>
      <c r="E20765" s="2" t="str">
        <f>HYPERLINK("http://ts.21cn.com/tousu/show/id/1352832","http://ts.21cn.com/tousu/show/id/1352832")</f>
        <v>http://ts.21cn.com/tousu/show/id/1352832</v>
      </c>
      <c r="F20765" s="2" t="s">
        <v>11</v>
      </c>
      <c r="G20765" s="2" t="s">
        <v>3321</v>
      </c>
      <c r="H20765" s="2" t="s">
        <v>3322</v>
      </c>
    </row>
    <row r="20766" spans="1:8" ht="25.05" customHeight="1" x14ac:dyDescent="0.25">
      <c r="A20766" s="2" t="s">
        <v>8</v>
      </c>
      <c r="B20766" s="2" t="str">
        <f>HYPERLINK("http://ts.21cn.com/tousu/show/id/1352840","被同行盗款盗图无人管制")</f>
        <v>被同行盗款盗图无人管制</v>
      </c>
      <c r="C20766" s="2" t="s">
        <v>9</v>
      </c>
      <c r="D20766" s="2" t="s">
        <v>10</v>
      </c>
      <c r="E20766" s="2" t="str">
        <f>HYPERLINK("http://ts.21cn.com/tousu/show/id/1352840","http://ts.21cn.com/tousu/show/id/1352840")</f>
        <v>http://ts.21cn.com/tousu/show/id/1352840</v>
      </c>
      <c r="F20766" s="2" t="s">
        <v>11</v>
      </c>
      <c r="G20766" s="2" t="s">
        <v>3319</v>
      </c>
      <c r="H20766" s="2" t="s">
        <v>3320</v>
      </c>
    </row>
    <row r="20767" spans="1:8" ht="25.05" customHeight="1" x14ac:dyDescent="0.25">
      <c r="A20767" s="2" t="s">
        <v>8</v>
      </c>
      <c r="B20767" s="2" t="str">
        <f>HYPERLINK("http://ts.21cn.com/tousu/show/id/1352839","阴阳合同破头息爆力催收")</f>
        <v>阴阳合同破头息爆力催收</v>
      </c>
      <c r="C20767" s="2" t="s">
        <v>9</v>
      </c>
      <c r="D20767" s="2" t="s">
        <v>10</v>
      </c>
      <c r="E20767" s="2" t="str">
        <f>HYPERLINK("http://ts.21cn.com/tousu/show/id/1352839","http://ts.21cn.com/tousu/show/id/1352839")</f>
        <v>http://ts.21cn.com/tousu/show/id/1352839</v>
      </c>
      <c r="F20767" s="2" t="s">
        <v>11</v>
      </c>
      <c r="G20767" s="2" t="s">
        <v>3317</v>
      </c>
      <c r="H20767" s="2" t="s">
        <v>3318</v>
      </c>
    </row>
    <row r="20768" spans="1:8" ht="25.05" customHeight="1" x14ac:dyDescent="0.25">
      <c r="A20768" s="2" t="s">
        <v>8</v>
      </c>
      <c r="B20768" s="2" t="str">
        <f>HYPERLINK("http://ts.21cn.com/tousu/show/id/1352841","扣款不下款又不愿意退款")</f>
        <v>扣款不下款又不愿意退款</v>
      </c>
      <c r="C20768" s="2" t="s">
        <v>34</v>
      </c>
      <c r="D20768" s="2" t="s">
        <v>10</v>
      </c>
      <c r="E20768" s="2" t="str">
        <f>HYPERLINK("http://ts.21cn.com/tousu/show/id/1352841","http://ts.21cn.com/tousu/show/id/1352841")</f>
        <v>http://ts.21cn.com/tousu/show/id/1352841</v>
      </c>
      <c r="F20768" s="2" t="s">
        <v>11</v>
      </c>
      <c r="G20768" s="2" t="s">
        <v>3315</v>
      </c>
      <c r="H20768" s="2" t="s">
        <v>3316</v>
      </c>
    </row>
    <row r="20769" spans="1:8" ht="25.05" customHeight="1" x14ac:dyDescent="0.25">
      <c r="A20769" s="2" t="s">
        <v>8</v>
      </c>
      <c r="B20769" s="2" t="str">
        <f>HYPERLINK("http://ts.21cn.com/tousu/show/id/1352842","通联支付未经允许乱扣款")</f>
        <v>通联支付未经允许乱扣款</v>
      </c>
      <c r="C20769" s="2" t="s">
        <v>9</v>
      </c>
      <c r="D20769" s="2" t="s">
        <v>10</v>
      </c>
      <c r="E20769" s="2" t="str">
        <f>HYPERLINK("http://ts.21cn.com/tousu/show/id/1352842","http://ts.21cn.com/tousu/show/id/1352842")</f>
        <v>http://ts.21cn.com/tousu/show/id/1352842</v>
      </c>
      <c r="F20769" s="2" t="s">
        <v>11</v>
      </c>
      <c r="G20769" s="2" t="s">
        <v>3313</v>
      </c>
      <c r="H20769" s="2" t="s">
        <v>3314</v>
      </c>
    </row>
    <row r="20770" spans="1:8" ht="25.05" customHeight="1" x14ac:dyDescent="0.25">
      <c r="A20770" s="2" t="s">
        <v>8</v>
      </c>
      <c r="B20770" s="2" t="str">
        <f>HYPERLINK("http://ts.21cn.com/tousu/show/id/1352843","翼支付捆绑销售保险，提前还款还要收取高额保费")</f>
        <v>翼支付捆绑销售保险，提前还款还要收取高额保费</v>
      </c>
      <c r="C20770" s="2" t="s">
        <v>9</v>
      </c>
      <c r="D20770" s="2" t="s">
        <v>10</v>
      </c>
      <c r="E20770" s="2" t="str">
        <f>HYPERLINK("http://ts.21cn.com/tousu/show/id/1352843","http://ts.21cn.com/tousu/show/id/1352843")</f>
        <v>http://ts.21cn.com/tousu/show/id/1352843</v>
      </c>
      <c r="F20770" s="2" t="s">
        <v>11</v>
      </c>
      <c r="G20770" s="2" t="s">
        <v>3311</v>
      </c>
      <c r="H20770" s="2" t="s">
        <v>3312</v>
      </c>
    </row>
    <row r="20771" spans="1:8" ht="25.05" customHeight="1" x14ac:dyDescent="0.25">
      <c r="A20771" s="2" t="s">
        <v>8</v>
      </c>
      <c r="B20771" s="2" t="str">
        <f>HYPERLINK("http://ts.21cn.com/tousu/show/id/1352844","钱橙无忧app乱扣费")</f>
        <v>钱橙无忧app乱扣费</v>
      </c>
      <c r="C20771" s="2" t="s">
        <v>9</v>
      </c>
      <c r="D20771" s="2" t="s">
        <v>10</v>
      </c>
      <c r="E20771" s="2" t="str">
        <f>HYPERLINK("http://ts.21cn.com/tousu/show/id/1352844","http://ts.21cn.com/tousu/show/id/1352844")</f>
        <v>http://ts.21cn.com/tousu/show/id/1352844</v>
      </c>
      <c r="F20771" s="2" t="s">
        <v>11</v>
      </c>
      <c r="G20771" s="2" t="s">
        <v>3309</v>
      </c>
      <c r="H20771" s="2" t="s">
        <v>3310</v>
      </c>
    </row>
    <row r="20772" spans="1:8" ht="25.05" customHeight="1" x14ac:dyDescent="0.25">
      <c r="A20772" s="2" t="s">
        <v>8</v>
      </c>
      <c r="B20772" s="2" t="str">
        <f>HYPERLINK("http://ts.21cn.com/tousu/show/id/1352845","360借条骚扰")</f>
        <v>360借条骚扰</v>
      </c>
      <c r="C20772" s="2" t="s">
        <v>9</v>
      </c>
      <c r="D20772" s="2" t="s">
        <v>10</v>
      </c>
      <c r="E20772" s="2" t="str">
        <f>HYPERLINK("http://ts.21cn.com/tousu/show/id/1352845","http://ts.21cn.com/tousu/show/id/1352845")</f>
        <v>http://ts.21cn.com/tousu/show/id/1352845</v>
      </c>
      <c r="F20772" s="2" t="s">
        <v>11</v>
      </c>
      <c r="G20772" s="2" t="s">
        <v>3307</v>
      </c>
      <c r="H20772" s="2" t="s">
        <v>3308</v>
      </c>
    </row>
    <row r="20773" spans="1:8" ht="25.05" customHeight="1" x14ac:dyDescent="0.25">
      <c r="A20773" s="2" t="s">
        <v>8</v>
      </c>
      <c r="B20773" s="2" t="str">
        <f>HYPERLINK("http://ts.21cn.com/tousu/show/id/1352846","省呗")</f>
        <v>省呗</v>
      </c>
      <c r="C20773" s="2" t="s">
        <v>34</v>
      </c>
      <c r="D20773" s="2" t="s">
        <v>10</v>
      </c>
      <c r="E20773" s="2" t="str">
        <f>HYPERLINK("http://ts.21cn.com/tousu/show/id/1352846","http://ts.21cn.com/tousu/show/id/1352846")</f>
        <v>http://ts.21cn.com/tousu/show/id/1352846</v>
      </c>
      <c r="F20773" s="2" t="s">
        <v>11</v>
      </c>
      <c r="G20773" s="2" t="s">
        <v>3305</v>
      </c>
      <c r="H20773" s="2" t="s">
        <v>3306</v>
      </c>
    </row>
    <row r="20774" spans="1:8" ht="25.05" customHeight="1" x14ac:dyDescent="0.25">
      <c r="A20774" s="2" t="s">
        <v>8</v>
      </c>
      <c r="B20774" s="2" t="str">
        <f>HYPERLINK("http://ts.21cn.com/tousu/show/id/1352847","交通银行信用卡软暴力催收")</f>
        <v>交通银行信用卡软暴力催收</v>
      </c>
      <c r="C20774" s="2" t="s">
        <v>9</v>
      </c>
      <c r="D20774" s="2" t="s">
        <v>10</v>
      </c>
      <c r="E20774" s="2" t="str">
        <f>HYPERLINK("http://ts.21cn.com/tousu/show/id/1352847","http://ts.21cn.com/tousu/show/id/1352847")</f>
        <v>http://ts.21cn.com/tousu/show/id/1352847</v>
      </c>
      <c r="F20774" s="2" t="s">
        <v>11</v>
      </c>
      <c r="G20774" s="2" t="s">
        <v>3303</v>
      </c>
      <c r="H20774" s="2" t="s">
        <v>3304</v>
      </c>
    </row>
    <row r="20775" spans="1:8" ht="25.05" customHeight="1" x14ac:dyDescent="0.25">
      <c r="A20775" s="2" t="s">
        <v>8</v>
      </c>
      <c r="B20775" s="2" t="str">
        <f>HYPERLINK("http://ts.21cn.com/tousu/show/id/1352833","钱站套路贷")</f>
        <v>钱站套路贷</v>
      </c>
      <c r="C20775" s="2" t="s">
        <v>9</v>
      </c>
      <c r="D20775" s="2" t="s">
        <v>10</v>
      </c>
      <c r="E20775" s="2" t="str">
        <f>HYPERLINK("http://ts.21cn.com/tousu/show/id/1352833","http://ts.21cn.com/tousu/show/id/1352833")</f>
        <v>http://ts.21cn.com/tousu/show/id/1352833</v>
      </c>
      <c r="F20775" s="2" t="s">
        <v>11</v>
      </c>
      <c r="G20775" s="2" t="s">
        <v>3301</v>
      </c>
      <c r="H20775" s="2" t="s">
        <v>3302</v>
      </c>
    </row>
    <row r="20776" spans="1:8" ht="25.05" customHeight="1" x14ac:dyDescent="0.25">
      <c r="A20776" s="2" t="s">
        <v>8</v>
      </c>
      <c r="B20776" s="2" t="str">
        <f>HYPERLINK("http://ts.21cn.com/tousu/show/id/1352848","速金服申请通过还未放款，麻烦取消")</f>
        <v>速金服申请通过还未放款，麻烦取消</v>
      </c>
      <c r="C20776" s="2" t="s">
        <v>9</v>
      </c>
      <c r="D20776" s="2" t="s">
        <v>10</v>
      </c>
      <c r="E20776" s="2" t="str">
        <f>HYPERLINK("http://ts.21cn.com/tousu/show/id/1352848","http://ts.21cn.com/tousu/show/id/1352848")</f>
        <v>http://ts.21cn.com/tousu/show/id/1352848</v>
      </c>
      <c r="F20776" s="2" t="s">
        <v>11</v>
      </c>
      <c r="G20776" s="2" t="s">
        <v>3299</v>
      </c>
      <c r="H20776" s="2" t="s">
        <v>3300</v>
      </c>
    </row>
    <row r="20777" spans="1:8" ht="25.05" customHeight="1" x14ac:dyDescent="0.25">
      <c r="A20777" s="2" t="s">
        <v>8</v>
      </c>
      <c r="B20777" s="2" t="str">
        <f>HYPERLINK("http://ts.21cn.com/tousu/show/id/1352849","天长工业学校你们到底正规吗")</f>
        <v>天长工业学校你们到底正规吗</v>
      </c>
      <c r="C20777" s="2" t="s">
        <v>9</v>
      </c>
      <c r="D20777" s="2" t="s">
        <v>10</v>
      </c>
      <c r="E20777" s="2" t="str">
        <f>HYPERLINK("http://ts.21cn.com/tousu/show/id/1352849","http://ts.21cn.com/tousu/show/id/1352849")</f>
        <v>http://ts.21cn.com/tousu/show/id/1352849</v>
      </c>
      <c r="F20777" s="2" t="s">
        <v>11</v>
      </c>
      <c r="G20777" s="2" t="s">
        <v>3297</v>
      </c>
      <c r="H20777" s="2" t="s">
        <v>3298</v>
      </c>
    </row>
    <row r="20778" spans="1:8" ht="25.05" customHeight="1" x14ac:dyDescent="0.25">
      <c r="A20778" s="2" t="s">
        <v>8</v>
      </c>
      <c r="B20778" s="2" t="str">
        <f>HYPERLINK("http://ts.21cn.com/tousu/show/id/1352850","广发信用卡一次性结清还要收取手续费还是不还就要起诉上门")</f>
        <v>广发信用卡一次性结清还要收取手续费还是不还就要起诉上门</v>
      </c>
      <c r="C20778" s="2" t="s">
        <v>9</v>
      </c>
      <c r="D20778" s="2" t="s">
        <v>10</v>
      </c>
      <c r="E20778" s="2" t="str">
        <f>HYPERLINK("http://ts.21cn.com/tousu/show/id/1352850","http://ts.21cn.com/tousu/show/id/1352850")</f>
        <v>http://ts.21cn.com/tousu/show/id/1352850</v>
      </c>
      <c r="F20778" s="2" t="s">
        <v>11</v>
      </c>
      <c r="G20778" s="2" t="s">
        <v>3295</v>
      </c>
      <c r="H20778" s="2" t="s">
        <v>3296</v>
      </c>
    </row>
    <row r="20779" spans="1:8" ht="25.05" customHeight="1" x14ac:dyDescent="0.25">
      <c r="A20779" s="2" t="s">
        <v>8</v>
      </c>
      <c r="B20779" s="2" t="str">
        <f>HYPERLINK("http://ts.21cn.com/tousu/show/id/1352851","兴业银行信用卡，")</f>
        <v>兴业银行信用卡，</v>
      </c>
      <c r="C20779" s="2" t="s">
        <v>9</v>
      </c>
      <c r="D20779" s="2" t="s">
        <v>10</v>
      </c>
      <c r="E20779" s="2" t="str">
        <f>HYPERLINK("http://ts.21cn.com/tousu/show/id/1352851","http://ts.21cn.com/tousu/show/id/1352851")</f>
        <v>http://ts.21cn.com/tousu/show/id/1352851</v>
      </c>
      <c r="F20779" s="2" t="s">
        <v>11</v>
      </c>
      <c r="G20779" s="2" t="s">
        <v>3293</v>
      </c>
      <c r="H20779" s="2" t="s">
        <v>3294</v>
      </c>
    </row>
    <row r="20780" spans="1:8" ht="25.05" customHeight="1" x14ac:dyDescent="0.25">
      <c r="A20780" s="2" t="s">
        <v>8</v>
      </c>
      <c r="B20780" s="2" t="str">
        <f>HYPERLINK("http://ts.21cn.com/tousu/show/id/1352853","易鑫金融联合第三方威胁收取保证金")</f>
        <v>易鑫金融联合第三方威胁收取保证金</v>
      </c>
      <c r="C20780" s="2" t="s">
        <v>9</v>
      </c>
      <c r="D20780" s="2" t="s">
        <v>10</v>
      </c>
      <c r="E20780" s="2" t="str">
        <f>HYPERLINK("http://ts.21cn.com/tousu/show/id/1352853","http://ts.21cn.com/tousu/show/id/1352853")</f>
        <v>http://ts.21cn.com/tousu/show/id/1352853</v>
      </c>
      <c r="F20780" s="2" t="s">
        <v>11</v>
      </c>
      <c r="G20780" s="2" t="s">
        <v>3291</v>
      </c>
      <c r="H20780" s="2" t="s">
        <v>3292</v>
      </c>
    </row>
    <row r="20781" spans="1:8" ht="25.05" customHeight="1" x14ac:dyDescent="0.25">
      <c r="A20781" s="2" t="s">
        <v>8</v>
      </c>
      <c r="B20781" s="2" t="str">
        <f>HYPERLINK("http://ts.21cn.com/tousu/show/id/1352854","掌众金服闪电借款，借款时提示购买财神黑卡1440元，购买后借款限制，退款要托好几天")</f>
        <v>掌众金服闪电借款，借款时提示购买财神黑卡1440元，购买后借款限制，退款要托好几天</v>
      </c>
      <c r="C20781" s="2" t="s">
        <v>34</v>
      </c>
      <c r="D20781" s="2" t="s">
        <v>10</v>
      </c>
      <c r="E20781" s="2" t="str">
        <f>HYPERLINK("http://ts.21cn.com/tousu/show/id/1352854","http://ts.21cn.com/tousu/show/id/1352854")</f>
        <v>http://ts.21cn.com/tousu/show/id/1352854</v>
      </c>
      <c r="F20781" s="2" t="s">
        <v>11</v>
      </c>
      <c r="G20781" s="2" t="s">
        <v>3289</v>
      </c>
      <c r="H20781" s="2" t="s">
        <v>3290</v>
      </c>
    </row>
    <row r="20782" spans="1:8" ht="25.05" customHeight="1" x14ac:dyDescent="0.25">
      <c r="A20782" s="2" t="s">
        <v>8</v>
      </c>
      <c r="B20782" s="2" t="str">
        <f>HYPERLINK("http://ts.21cn.com/tousu/show/id/1352855","51即刻有恶意骚扰通讯录联系人收高额利息")</f>
        <v>51即刻有恶意骚扰通讯录联系人收高额利息</v>
      </c>
      <c r="C20782" s="2" t="s">
        <v>9</v>
      </c>
      <c r="D20782" s="2" t="s">
        <v>10</v>
      </c>
      <c r="E20782" s="2" t="str">
        <f>HYPERLINK("http://ts.21cn.com/tousu/show/id/1352855","http://ts.21cn.com/tousu/show/id/1352855")</f>
        <v>http://ts.21cn.com/tousu/show/id/1352855</v>
      </c>
      <c r="F20782" s="2" t="s">
        <v>11</v>
      </c>
      <c r="G20782" s="2" t="s">
        <v>3287</v>
      </c>
      <c r="H20782" s="2" t="s">
        <v>3288</v>
      </c>
    </row>
    <row r="20783" spans="1:8" ht="25.05" customHeight="1" x14ac:dyDescent="0.25">
      <c r="A20783" s="2" t="s">
        <v>8</v>
      </c>
      <c r="B20783" s="2" t="str">
        <f>HYPERLINK("http://ts.21cn.com/tousu/show/id/1352856","小浦优客未经同意扣款")</f>
        <v>小浦优客未经同意扣款</v>
      </c>
      <c r="C20783" s="2" t="s">
        <v>9</v>
      </c>
      <c r="D20783" s="2" t="s">
        <v>10</v>
      </c>
      <c r="E20783" s="2" t="str">
        <f>HYPERLINK("http://ts.21cn.com/tousu/show/id/1352856","http://ts.21cn.com/tousu/show/id/1352856")</f>
        <v>http://ts.21cn.com/tousu/show/id/1352856</v>
      </c>
      <c r="F20783" s="2" t="s">
        <v>11</v>
      </c>
      <c r="G20783" s="2" t="s">
        <v>3285</v>
      </c>
      <c r="H20783" s="2" t="s">
        <v>3286</v>
      </c>
    </row>
    <row r="20784" spans="1:8" ht="25.05" customHeight="1" x14ac:dyDescent="0.25">
      <c r="A20784" s="2" t="s">
        <v>8</v>
      </c>
      <c r="B20784" s="2" t="str">
        <f>HYPERLINK("http://ts.21cn.com/tousu/show/id/1352857","易宝支付合利宝宝付支付为快易熊违法高炮平台提供支付通道现要求退还砍头息")</f>
        <v>易宝支付合利宝宝付支付为快易熊违法高炮平台提供支付通道现要求退还砍头息</v>
      </c>
      <c r="C20784" s="2" t="s">
        <v>9</v>
      </c>
      <c r="D20784" s="2" t="s">
        <v>10</v>
      </c>
      <c r="E20784" s="2" t="str">
        <f>HYPERLINK("http://ts.21cn.com/tousu/show/id/1352857","http://ts.21cn.com/tousu/show/id/1352857")</f>
        <v>http://ts.21cn.com/tousu/show/id/1352857</v>
      </c>
      <c r="F20784" s="2" t="s">
        <v>11</v>
      </c>
      <c r="G20784" s="2" t="s">
        <v>3283</v>
      </c>
      <c r="H20784" s="2" t="s">
        <v>3284</v>
      </c>
    </row>
    <row r="20785" spans="1:8" ht="25.05" customHeight="1" x14ac:dyDescent="0.25">
      <c r="A20785" s="2" t="s">
        <v>8</v>
      </c>
      <c r="B20785" s="2" t="str">
        <f>HYPERLINK("http://ts.21cn.com/tousu/show/id/1352083","米多点未销账")</f>
        <v>米多点未销账</v>
      </c>
      <c r="C20785" s="2" t="s">
        <v>34</v>
      </c>
      <c r="D20785" s="2" t="s">
        <v>10</v>
      </c>
      <c r="E20785" s="2" t="str">
        <f>HYPERLINK("http://ts.21cn.com/tousu/show/id/1352083","http://ts.21cn.com/tousu/show/id/1352083")</f>
        <v>http://ts.21cn.com/tousu/show/id/1352083</v>
      </c>
      <c r="F20785" s="2" t="s">
        <v>11</v>
      </c>
      <c r="G20785" s="2" t="s">
        <v>3281</v>
      </c>
      <c r="H20785" s="2" t="s">
        <v>3282</v>
      </c>
    </row>
    <row r="20786" spans="1:8" ht="25.05" customHeight="1" x14ac:dyDescent="0.25">
      <c r="A20786" s="2" t="s">
        <v>8</v>
      </c>
      <c r="B20786" s="2" t="str">
        <f>HYPERLINK("http://ts.21cn.com/tousu/show/id/1352858","宏萨上海信息科技有限公司盗刷资金")</f>
        <v>宏萨上海信息科技有限公司盗刷资金</v>
      </c>
      <c r="C20786" s="2" t="s">
        <v>9</v>
      </c>
      <c r="D20786" s="2" t="s">
        <v>10</v>
      </c>
      <c r="E20786" s="2" t="str">
        <f>HYPERLINK("http://ts.21cn.com/tousu/show/id/1352858","http://ts.21cn.com/tousu/show/id/1352858")</f>
        <v>http://ts.21cn.com/tousu/show/id/1352858</v>
      </c>
      <c r="F20786" s="2" t="s">
        <v>11</v>
      </c>
      <c r="G20786" s="2" t="s">
        <v>3279</v>
      </c>
      <c r="H20786" s="2" t="s">
        <v>3280</v>
      </c>
    </row>
    <row r="20787" spans="1:8" ht="25.05" customHeight="1" x14ac:dyDescent="0.25">
      <c r="A20787" s="2" t="s">
        <v>8</v>
      </c>
      <c r="B20787" s="2" t="str">
        <f>HYPERLINK("http://ts.21cn.com/tousu/show/id/1352859","分期乐骚扰电话")</f>
        <v>分期乐骚扰电话</v>
      </c>
      <c r="C20787" s="2" t="s">
        <v>9</v>
      </c>
      <c r="D20787" s="2" t="s">
        <v>10</v>
      </c>
      <c r="E20787" s="2" t="str">
        <f>HYPERLINK("http://ts.21cn.com/tousu/show/id/1352859","http://ts.21cn.com/tousu/show/id/1352859")</f>
        <v>http://ts.21cn.com/tousu/show/id/1352859</v>
      </c>
      <c r="F20787" s="2" t="s">
        <v>11</v>
      </c>
      <c r="G20787" s="2" t="s">
        <v>3277</v>
      </c>
      <c r="H20787" s="2" t="s">
        <v>3278</v>
      </c>
    </row>
    <row r="20788" spans="1:8" ht="25.05" customHeight="1" x14ac:dyDescent="0.25">
      <c r="A20788" s="2" t="s">
        <v>8</v>
      </c>
      <c r="B20788" s="2" t="str">
        <f>HYPERLINK("http://ts.21cn.com/tousu/show/id/1352860","投诉小树花花APP收取所谓的VIP费用只是推荐借款APP")</f>
        <v>投诉小树花花APP收取所谓的VIP费用只是推荐借款APP</v>
      </c>
      <c r="C20788" s="2" t="s">
        <v>9</v>
      </c>
      <c r="D20788" s="2" t="s">
        <v>10</v>
      </c>
      <c r="E20788" s="2" t="str">
        <f>HYPERLINK("http://ts.21cn.com/tousu/show/id/1352860","http://ts.21cn.com/tousu/show/id/1352860")</f>
        <v>http://ts.21cn.com/tousu/show/id/1352860</v>
      </c>
      <c r="F20788" s="2" t="s">
        <v>11</v>
      </c>
      <c r="G20788" s="2" t="s">
        <v>3275</v>
      </c>
      <c r="H20788" s="2" t="s">
        <v>3276</v>
      </c>
    </row>
    <row r="20789" spans="1:8" ht="25.05" customHeight="1" x14ac:dyDescent="0.25">
      <c r="A20789" s="2" t="s">
        <v>8</v>
      </c>
      <c r="B20789" s="2" t="str">
        <f>HYPERLINK("http://ts.21cn.com/tousu/show/id/1352861","先花一亿元有信魔盒不退款")</f>
        <v>先花一亿元有信魔盒不退款</v>
      </c>
      <c r="C20789" s="2" t="s">
        <v>9</v>
      </c>
      <c r="D20789" s="2" t="s">
        <v>10</v>
      </c>
      <c r="E20789" s="2" t="str">
        <f>HYPERLINK("http://ts.21cn.com/tousu/show/id/1352861","http://ts.21cn.com/tousu/show/id/1352861")</f>
        <v>http://ts.21cn.com/tousu/show/id/1352861</v>
      </c>
      <c r="F20789" s="2" t="s">
        <v>11</v>
      </c>
      <c r="G20789" s="2" t="s">
        <v>3273</v>
      </c>
      <c r="H20789" s="2" t="s">
        <v>3274</v>
      </c>
    </row>
    <row r="20790" spans="1:8" ht="25.05" customHeight="1" x14ac:dyDescent="0.25">
      <c r="A20790" s="2" t="s">
        <v>8</v>
      </c>
      <c r="B20790" s="2" t="str">
        <f>HYPERLINK("http://ts.21cn.com/tousu/show/id/1352863","玖富万卡高利贷")</f>
        <v>玖富万卡高利贷</v>
      </c>
      <c r="C20790" s="2" t="s">
        <v>9</v>
      </c>
      <c r="D20790" s="2" t="s">
        <v>10</v>
      </c>
      <c r="E20790" s="2" t="str">
        <f>HYPERLINK("http://ts.21cn.com/tousu/show/id/1352863","http://ts.21cn.com/tousu/show/id/1352863")</f>
        <v>http://ts.21cn.com/tousu/show/id/1352863</v>
      </c>
      <c r="F20790" s="2" t="s">
        <v>11</v>
      </c>
      <c r="G20790" s="2" t="s">
        <v>3270</v>
      </c>
      <c r="H20790" s="2" t="s">
        <v>3271</v>
      </c>
    </row>
    <row r="20791" spans="1:8" ht="25.05" customHeight="1" x14ac:dyDescent="0.25">
      <c r="A20791" s="2" t="s">
        <v>8</v>
      </c>
      <c r="B20791" s="2" t="str">
        <f>HYPERLINK("http://ts.21cn.com/tousu/show/id/1352862","etc助手迟迟不更新数据")</f>
        <v>etc助手迟迟不更新数据</v>
      </c>
      <c r="C20791" s="2" t="s">
        <v>9</v>
      </c>
      <c r="D20791" s="2" t="s">
        <v>10</v>
      </c>
      <c r="E20791" s="2" t="str">
        <f>HYPERLINK("http://ts.21cn.com/tousu/show/id/1352862","http://ts.21cn.com/tousu/show/id/1352862")</f>
        <v>http://ts.21cn.com/tousu/show/id/1352862</v>
      </c>
      <c r="F20791" s="2" t="s">
        <v>11</v>
      </c>
      <c r="G20791" s="2" t="s">
        <v>3270</v>
      </c>
      <c r="H20791" s="2" t="s">
        <v>3272</v>
      </c>
    </row>
    <row r="20792" spans="1:8" ht="25.05" customHeight="1" x14ac:dyDescent="0.25">
      <c r="A20792" s="2" t="s">
        <v>8</v>
      </c>
      <c r="B20792" s="2" t="str">
        <f>HYPERLINK("http://ts.21cn.com/tousu/show/id/1352864","浦发银行信用卡逾期还款问题")</f>
        <v>浦发银行信用卡逾期还款问题</v>
      </c>
      <c r="C20792" s="2" t="s">
        <v>9</v>
      </c>
      <c r="D20792" s="2" t="s">
        <v>10</v>
      </c>
      <c r="E20792" s="2" t="str">
        <f>HYPERLINK("http://ts.21cn.com/tousu/show/id/1352864","http://ts.21cn.com/tousu/show/id/1352864")</f>
        <v>http://ts.21cn.com/tousu/show/id/1352864</v>
      </c>
      <c r="F20792" s="2" t="s">
        <v>11</v>
      </c>
      <c r="G20792" s="2" t="s">
        <v>3268</v>
      </c>
      <c r="H20792" s="2" t="s">
        <v>3269</v>
      </c>
    </row>
    <row r="20793" spans="1:8" ht="25.05" customHeight="1" x14ac:dyDescent="0.25">
      <c r="A20793" s="2" t="s">
        <v>8</v>
      </c>
      <c r="B20793" s="2" t="str">
        <f>HYPERLINK("http://ts.21cn.com/tousu/show/id/1352865","举报拼多多为网赌黑彩提供充值服务")</f>
        <v>举报拼多多为网赌黑彩提供充值服务</v>
      </c>
      <c r="C20793" s="2" t="s">
        <v>9</v>
      </c>
      <c r="D20793" s="2" t="s">
        <v>10</v>
      </c>
      <c r="E20793" s="2" t="str">
        <f>HYPERLINK("http://ts.21cn.com/tousu/show/id/1352865","http://ts.21cn.com/tousu/show/id/1352865")</f>
        <v>http://ts.21cn.com/tousu/show/id/1352865</v>
      </c>
      <c r="F20793" s="2" t="s">
        <v>11</v>
      </c>
      <c r="G20793" s="2" t="s">
        <v>3266</v>
      </c>
      <c r="H20793" s="2" t="s">
        <v>3267</v>
      </c>
    </row>
    <row r="20794" spans="1:8" ht="25.05" customHeight="1" x14ac:dyDescent="0.25">
      <c r="A20794" s="2" t="s">
        <v>8</v>
      </c>
      <c r="B20794" s="2" t="str">
        <f>HYPERLINK("http://ts.21cn.com/tousu/show/id/1352866","凡普金科旗下钱站app暴力催收")</f>
        <v>凡普金科旗下钱站app暴力催收</v>
      </c>
      <c r="C20794" s="2" t="s">
        <v>9</v>
      </c>
      <c r="D20794" s="2" t="s">
        <v>10</v>
      </c>
      <c r="E20794" s="2" t="str">
        <f>HYPERLINK("http://ts.21cn.com/tousu/show/id/1352866","http://ts.21cn.com/tousu/show/id/1352866")</f>
        <v>http://ts.21cn.com/tousu/show/id/1352866</v>
      </c>
      <c r="F20794" s="2" t="s">
        <v>11</v>
      </c>
      <c r="G20794" s="2" t="s">
        <v>3264</v>
      </c>
      <c r="H20794" s="2" t="s">
        <v>3265</v>
      </c>
    </row>
    <row r="20795" spans="1:8" ht="25.05" customHeight="1" x14ac:dyDescent="0.25">
      <c r="A20795" s="2" t="s">
        <v>8</v>
      </c>
      <c r="B20795" s="2" t="str">
        <f>HYPERLINK("http://ts.21cn.com/tousu/show/id/1352868","闪电借款委托石家庄暴力催收")</f>
        <v>闪电借款委托石家庄暴力催收</v>
      </c>
      <c r="C20795" s="2" t="s">
        <v>9</v>
      </c>
      <c r="D20795" s="2" t="s">
        <v>10</v>
      </c>
      <c r="E20795" s="2" t="str">
        <f>HYPERLINK("http://ts.21cn.com/tousu/show/id/1352868","http://ts.21cn.com/tousu/show/id/1352868")</f>
        <v>http://ts.21cn.com/tousu/show/id/1352868</v>
      </c>
      <c r="F20795" s="2" t="s">
        <v>11</v>
      </c>
      <c r="G20795" s="2" t="s">
        <v>3262</v>
      </c>
      <c r="H20795" s="2" t="s">
        <v>3263</v>
      </c>
    </row>
    <row r="20796" spans="1:8" ht="25.05" customHeight="1" x14ac:dyDescent="0.25">
      <c r="A20796" s="2" t="s">
        <v>8</v>
      </c>
      <c r="B20796" s="2" t="str">
        <f>HYPERLINK("http://ts.21cn.com/tousu/show/id/1352815","苹果id贷，钱还了不给回密码继续要钱")</f>
        <v>苹果id贷，钱还了不给回密码继续要钱</v>
      </c>
      <c r="C20796" s="2" t="s">
        <v>9</v>
      </c>
      <c r="D20796" s="2" t="s">
        <v>10</v>
      </c>
      <c r="E20796" s="2" t="str">
        <f>HYPERLINK("http://ts.21cn.com/tousu/show/id/1352815","http://ts.21cn.com/tousu/show/id/1352815")</f>
        <v>http://ts.21cn.com/tousu/show/id/1352815</v>
      </c>
      <c r="F20796" s="2" t="s">
        <v>11</v>
      </c>
      <c r="G20796" s="2" t="s">
        <v>3260</v>
      </c>
      <c r="H20796" s="2" t="s">
        <v>3261</v>
      </c>
    </row>
    <row r="20797" spans="1:8" ht="25.05" customHeight="1" x14ac:dyDescent="0.25">
      <c r="A20797" s="2" t="s">
        <v>8</v>
      </c>
      <c r="B20797" s="2" t="str">
        <f>HYPERLINK("http://ts.21cn.com/tousu/show/id/1352871","抖音扣费错误不支持退款")</f>
        <v>抖音扣费错误不支持退款</v>
      </c>
      <c r="C20797" s="2" t="s">
        <v>34</v>
      </c>
      <c r="D20797" s="2" t="s">
        <v>10</v>
      </c>
      <c r="E20797" s="2" t="str">
        <f>HYPERLINK("http://ts.21cn.com/tousu/show/id/1352871","http://ts.21cn.com/tousu/show/id/1352871")</f>
        <v>http://ts.21cn.com/tousu/show/id/1352871</v>
      </c>
      <c r="F20797" s="2" t="s">
        <v>11</v>
      </c>
      <c r="G20797" s="2" t="s">
        <v>3258</v>
      </c>
      <c r="H20797" s="2" t="s">
        <v>3259</v>
      </c>
    </row>
    <row r="20798" spans="1:8" ht="25.05" customHeight="1" x14ac:dyDescent="0.25">
      <c r="A20798" s="2" t="s">
        <v>8</v>
      </c>
      <c r="B20798" s="2" t="str">
        <f>HYPERLINK("http://ts.21cn.com/tousu/show/id/1352873","砍头息，暴力催收，骚扰通讯录")</f>
        <v>砍头息，暴力催收，骚扰通讯录</v>
      </c>
      <c r="C20798" s="2" t="s">
        <v>9</v>
      </c>
      <c r="D20798" s="2" t="s">
        <v>10</v>
      </c>
      <c r="E20798" s="2" t="str">
        <f>HYPERLINK("http://ts.21cn.com/tousu/show/id/1352873","http://ts.21cn.com/tousu/show/id/1352873")</f>
        <v>http://ts.21cn.com/tousu/show/id/1352873</v>
      </c>
      <c r="F20798" s="2" t="s">
        <v>11</v>
      </c>
      <c r="G20798" s="2" t="s">
        <v>3256</v>
      </c>
      <c r="H20798" s="2" t="s">
        <v>3257</v>
      </c>
    </row>
    <row r="20799" spans="1:8" ht="25.05" customHeight="1" x14ac:dyDescent="0.25">
      <c r="A20799" s="2" t="s">
        <v>8</v>
      </c>
      <c r="B20799" s="2" t="str">
        <f>HYPERLINK("http://ts.21cn.com/tousu/show/id/1352872","拍拍贷")</f>
        <v>拍拍贷</v>
      </c>
      <c r="C20799" s="2" t="s">
        <v>9</v>
      </c>
      <c r="D20799" s="2" t="s">
        <v>10</v>
      </c>
      <c r="E20799" s="2" t="str">
        <f>HYPERLINK("http://ts.21cn.com/tousu/show/id/1352872","http://ts.21cn.com/tousu/show/id/1352872")</f>
        <v>http://ts.21cn.com/tousu/show/id/1352872</v>
      </c>
      <c r="F20799" s="2" t="s">
        <v>11</v>
      </c>
      <c r="G20799" s="2" t="s">
        <v>3254</v>
      </c>
      <c r="H20799" s="2" t="s">
        <v>3255</v>
      </c>
    </row>
    <row r="20800" spans="1:8" ht="25.05" customHeight="1" x14ac:dyDescent="0.25">
      <c r="A20800" s="2" t="s">
        <v>8</v>
      </c>
      <c r="B20800" s="2" t="str">
        <f>HYPERLINK("http://ts.21cn.com/tousu/show/id/1352818","贷上钱以买游戏豆为由收取高额贷款通过费")</f>
        <v>贷上钱以买游戏豆为由收取高额贷款通过费</v>
      </c>
      <c r="C20800" s="2" t="s">
        <v>9</v>
      </c>
      <c r="D20800" s="2" t="s">
        <v>10</v>
      </c>
      <c r="E20800" s="2" t="str">
        <f>HYPERLINK("http://ts.21cn.com/tousu/show/id/1352818","http://ts.21cn.com/tousu/show/id/1352818")</f>
        <v>http://ts.21cn.com/tousu/show/id/1352818</v>
      </c>
      <c r="F20800" s="2" t="s">
        <v>11</v>
      </c>
      <c r="G20800" s="2" t="s">
        <v>3252</v>
      </c>
      <c r="H20800" s="2" t="s">
        <v>3253</v>
      </c>
    </row>
    <row r="20801" spans="1:8" ht="25.05" customHeight="1" x14ac:dyDescent="0.25">
      <c r="A20801" s="2" t="s">
        <v>8</v>
      </c>
      <c r="B20801" s="2" t="str">
        <f>HYPERLINK("http://ts.21cn.com/tousu/show/id/1352874","一个价格高于市场的来分期商城")</f>
        <v>一个价格高于市场的来分期商城</v>
      </c>
      <c r="C20801" s="2" t="s">
        <v>34</v>
      </c>
      <c r="D20801" s="2" t="s">
        <v>10</v>
      </c>
      <c r="E20801" s="2" t="str">
        <f>HYPERLINK("http://ts.21cn.com/tousu/show/id/1352874","http://ts.21cn.com/tousu/show/id/1352874")</f>
        <v>http://ts.21cn.com/tousu/show/id/1352874</v>
      </c>
      <c r="F20801" s="2" t="s">
        <v>11</v>
      </c>
      <c r="G20801" s="2" t="s">
        <v>3250</v>
      </c>
      <c r="H20801" s="2" t="s">
        <v>3251</v>
      </c>
    </row>
    <row r="20802" spans="1:8" ht="25.05" customHeight="1" x14ac:dyDescent="0.25">
      <c r="A20802" s="2" t="s">
        <v>8</v>
      </c>
      <c r="B20802" s="2" t="str">
        <f>HYPERLINK("http://ts.21cn.com/tousu/show/id/1352875","交通银行第三方催收冒充公安局打联系人电话")</f>
        <v>交通银行第三方催收冒充公安局打联系人电话</v>
      </c>
      <c r="C20802" s="2" t="s">
        <v>9</v>
      </c>
      <c r="D20802" s="2" t="s">
        <v>10</v>
      </c>
      <c r="E20802" s="2" t="str">
        <f>HYPERLINK("http://ts.21cn.com/tousu/show/id/1352875","http://ts.21cn.com/tousu/show/id/1352875")</f>
        <v>http://ts.21cn.com/tousu/show/id/1352875</v>
      </c>
      <c r="F20802" s="2" t="s">
        <v>11</v>
      </c>
      <c r="G20802" s="2" t="s">
        <v>3248</v>
      </c>
      <c r="H20802" s="2" t="s">
        <v>3249</v>
      </c>
    </row>
    <row r="20803" spans="1:8" ht="25.05" customHeight="1" x14ac:dyDescent="0.25">
      <c r="A20803" s="2" t="s">
        <v>8</v>
      </c>
      <c r="B20803" s="2" t="str">
        <f>HYPERLINK("http://ts.21cn.com/tousu/show/id/1352877","开店宝点pos299押金")</f>
        <v>开店宝点pos299押金</v>
      </c>
      <c r="C20803" s="2" t="s">
        <v>9</v>
      </c>
      <c r="D20803" s="2" t="s">
        <v>10</v>
      </c>
      <c r="E20803" s="2" t="str">
        <f>HYPERLINK("http://ts.21cn.com/tousu/show/id/1352877","http://ts.21cn.com/tousu/show/id/1352877")</f>
        <v>http://ts.21cn.com/tousu/show/id/1352877</v>
      </c>
      <c r="F20803" s="2" t="s">
        <v>11</v>
      </c>
      <c r="G20803" s="2" t="s">
        <v>3246</v>
      </c>
      <c r="H20803" s="2" t="s">
        <v>3247</v>
      </c>
    </row>
    <row r="20804" spans="1:8" ht="25.05" customHeight="1" x14ac:dyDescent="0.25">
      <c r="A20804" s="2" t="s">
        <v>8</v>
      </c>
      <c r="B20804" s="2" t="str">
        <f>HYPERLINK("http://ts.21cn.com/tousu/show/id/1352878","投诉嗨学网违规操作")</f>
        <v>投诉嗨学网违规操作</v>
      </c>
      <c r="C20804" s="2" t="s">
        <v>9</v>
      </c>
      <c r="D20804" s="2" t="s">
        <v>10</v>
      </c>
      <c r="E20804" s="2" t="str">
        <f>HYPERLINK("http://ts.21cn.com/tousu/show/id/1352878","http://ts.21cn.com/tousu/show/id/1352878")</f>
        <v>http://ts.21cn.com/tousu/show/id/1352878</v>
      </c>
      <c r="F20804" s="2" t="s">
        <v>11</v>
      </c>
      <c r="G20804" s="2" t="s">
        <v>3244</v>
      </c>
      <c r="H20804" s="2" t="s">
        <v>3245</v>
      </c>
    </row>
    <row r="20805" spans="1:8" ht="25.05" customHeight="1" x14ac:dyDescent="0.25">
      <c r="A20805" s="2" t="s">
        <v>8</v>
      </c>
      <c r="B20805" s="2" t="str">
        <f>HYPERLINK("http://ts.21cn.com/tousu/show/id/1352879","希望贵行退回高额违约金")</f>
        <v>希望贵行退回高额违约金</v>
      </c>
      <c r="C20805" s="2" t="s">
        <v>9</v>
      </c>
      <c r="D20805" s="2" t="s">
        <v>10</v>
      </c>
      <c r="E20805" s="2" t="str">
        <f>HYPERLINK("http://ts.21cn.com/tousu/show/id/1352879","http://ts.21cn.com/tousu/show/id/1352879")</f>
        <v>http://ts.21cn.com/tousu/show/id/1352879</v>
      </c>
      <c r="F20805" s="2" t="s">
        <v>11</v>
      </c>
      <c r="G20805" s="2" t="s">
        <v>3242</v>
      </c>
      <c r="H20805" s="2" t="s">
        <v>3243</v>
      </c>
    </row>
    <row r="20806" spans="1:8" ht="25.05" customHeight="1" x14ac:dyDescent="0.25">
      <c r="A20806" s="2" t="s">
        <v>8</v>
      </c>
      <c r="B20806" s="2" t="str">
        <f>HYPERLINK("http://ts.21cn.com/tousu/show/id/1352880","借款20800元实际到账16000元中间差价4800元不翼而飞")</f>
        <v>借款20800元实际到账16000元中间差价4800元不翼而飞</v>
      </c>
      <c r="C20806" s="2" t="s">
        <v>9</v>
      </c>
      <c r="D20806" s="2" t="s">
        <v>10</v>
      </c>
      <c r="E20806" s="2" t="str">
        <f>HYPERLINK("http://ts.21cn.com/tousu/show/id/1352880","http://ts.21cn.com/tousu/show/id/1352880")</f>
        <v>http://ts.21cn.com/tousu/show/id/1352880</v>
      </c>
      <c r="F20806" s="2" t="s">
        <v>11</v>
      </c>
      <c r="G20806" s="2" t="s">
        <v>3240</v>
      </c>
      <c r="H20806" s="2" t="s">
        <v>3241</v>
      </c>
    </row>
    <row r="20807" spans="1:8" ht="25.05" customHeight="1" x14ac:dyDescent="0.25">
      <c r="A20807" s="2" t="s">
        <v>8</v>
      </c>
      <c r="B20807" s="2" t="str">
        <f>HYPERLINK("http://ts.21cn.com/tousu/show/id/1352881","百事普惠恶意扣款")</f>
        <v>百事普惠恶意扣款</v>
      </c>
      <c r="C20807" s="2" t="s">
        <v>9</v>
      </c>
      <c r="D20807" s="2" t="s">
        <v>10</v>
      </c>
      <c r="E20807" s="2" t="str">
        <f>HYPERLINK("http://ts.21cn.com/tousu/show/id/1352881","http://ts.21cn.com/tousu/show/id/1352881")</f>
        <v>http://ts.21cn.com/tousu/show/id/1352881</v>
      </c>
      <c r="F20807" s="2" t="s">
        <v>11</v>
      </c>
      <c r="G20807" s="2" t="s">
        <v>3238</v>
      </c>
      <c r="H20807" s="2" t="s">
        <v>3239</v>
      </c>
    </row>
    <row r="20808" spans="1:8" ht="25.05" customHeight="1" x14ac:dyDescent="0.25">
      <c r="A20808" s="2" t="s">
        <v>8</v>
      </c>
      <c r="B20808" s="2" t="str">
        <f>HYPERLINK("http://ts.21cn.com/tousu/show/id/1352882","银行卡怎么老是无缘无故扣我款？")</f>
        <v>银行卡怎么老是无缘无故扣我款？</v>
      </c>
      <c r="C20808" s="2" t="s">
        <v>9</v>
      </c>
      <c r="D20808" s="2" t="s">
        <v>10</v>
      </c>
      <c r="E20808" s="2" t="str">
        <f>HYPERLINK("http://ts.21cn.com/tousu/show/id/1352882","http://ts.21cn.com/tousu/show/id/1352882")</f>
        <v>http://ts.21cn.com/tousu/show/id/1352882</v>
      </c>
      <c r="F20808" s="2" t="s">
        <v>11</v>
      </c>
      <c r="G20808" s="2" t="s">
        <v>3236</v>
      </c>
      <c r="H20808" s="2" t="s">
        <v>3237</v>
      </c>
    </row>
    <row r="20809" spans="1:8" ht="25.05" customHeight="1" x14ac:dyDescent="0.25">
      <c r="A20809" s="2" t="s">
        <v>8</v>
      </c>
      <c r="B20809" s="2" t="str">
        <f>HYPERLINK("http://ts.21cn.com/tousu/show/id/1352884","拼多多金币无法兑换实物")</f>
        <v>拼多多金币无法兑换实物</v>
      </c>
      <c r="C20809" s="2" t="s">
        <v>9</v>
      </c>
      <c r="D20809" s="2" t="s">
        <v>10</v>
      </c>
      <c r="E20809" s="2" t="str">
        <f>HYPERLINK("http://ts.21cn.com/tousu/show/id/1352884","http://ts.21cn.com/tousu/show/id/1352884")</f>
        <v>http://ts.21cn.com/tousu/show/id/1352884</v>
      </c>
      <c r="F20809" s="2" t="s">
        <v>11</v>
      </c>
      <c r="G20809" s="2" t="s">
        <v>3234</v>
      </c>
      <c r="H20809" s="2" t="s">
        <v>3235</v>
      </c>
    </row>
    <row r="20810" spans="1:8" ht="25.05" customHeight="1" x14ac:dyDescent="0.25">
      <c r="A20810" s="2" t="s">
        <v>8</v>
      </c>
      <c r="B20810" s="2" t="str">
        <f>HYPERLINK("http://ts.21cn.com/tousu/show/id/1352883","中行聪明购商城无法退款")</f>
        <v>中行聪明购商城无法退款</v>
      </c>
      <c r="C20810" s="2" t="s">
        <v>34</v>
      </c>
      <c r="D20810" s="2" t="s">
        <v>10</v>
      </c>
      <c r="E20810" s="2" t="str">
        <f>HYPERLINK("http://ts.21cn.com/tousu/show/id/1352883","http://ts.21cn.com/tousu/show/id/1352883")</f>
        <v>http://ts.21cn.com/tousu/show/id/1352883</v>
      </c>
      <c r="F20810" s="2" t="s">
        <v>11</v>
      </c>
      <c r="G20810" s="2" t="s">
        <v>3232</v>
      </c>
      <c r="H20810" s="2" t="s">
        <v>3233</v>
      </c>
    </row>
    <row r="20811" spans="1:8" ht="25.05" customHeight="1" x14ac:dyDescent="0.25">
      <c r="A20811" s="2" t="s">
        <v>8</v>
      </c>
      <c r="B20811" s="2" t="str">
        <f>HYPERLINK("http://ts.21cn.com/tousu/show/id/1352885","京东不给发货")</f>
        <v>京东不给发货</v>
      </c>
      <c r="C20811" s="2" t="s">
        <v>34</v>
      </c>
      <c r="D20811" s="2" t="s">
        <v>10</v>
      </c>
      <c r="E20811" s="2" t="str">
        <f>HYPERLINK("http://ts.21cn.com/tousu/show/id/1352885","http://ts.21cn.com/tousu/show/id/1352885")</f>
        <v>http://ts.21cn.com/tousu/show/id/1352885</v>
      </c>
      <c r="F20811" s="2" t="s">
        <v>11</v>
      </c>
      <c r="G20811" s="2" t="s">
        <v>3230</v>
      </c>
      <c r="H20811" s="2" t="s">
        <v>3231</v>
      </c>
    </row>
    <row r="20812" spans="1:8" ht="25.05" customHeight="1" x14ac:dyDescent="0.25">
      <c r="A20812" s="2" t="s">
        <v>8</v>
      </c>
      <c r="B20812" s="2" t="str">
        <f>HYPERLINK("http://ts.21cn.com/tousu/show/id/1352889","投诉融360旗下高利贷砍头息")</f>
        <v>投诉融360旗下高利贷砍头息</v>
      </c>
      <c r="C20812" s="2" t="s">
        <v>9</v>
      </c>
      <c r="D20812" s="2" t="s">
        <v>10</v>
      </c>
      <c r="E20812" s="2" t="str">
        <f>HYPERLINK("http://ts.21cn.com/tousu/show/id/1352889","http://ts.21cn.com/tousu/show/id/1352889")</f>
        <v>http://ts.21cn.com/tousu/show/id/1352889</v>
      </c>
      <c r="F20812" s="2" t="s">
        <v>11</v>
      </c>
      <c r="G20812" s="2" t="s">
        <v>3228</v>
      </c>
      <c r="H20812" s="2" t="s">
        <v>3229</v>
      </c>
    </row>
    <row r="20813" spans="1:8" ht="25.05" customHeight="1" x14ac:dyDescent="0.25">
      <c r="A20813" s="2" t="s">
        <v>8</v>
      </c>
      <c r="B20813" s="2" t="str">
        <f>HYPERLINK("http://ts.21cn.com/tousu/show/id/1352823","深圳市升学文化传播有限公司糊弄学员报名消费后拒不退款")</f>
        <v>深圳市升学文化传播有限公司糊弄学员报名消费后拒不退款</v>
      </c>
      <c r="C20813" s="2" t="s">
        <v>9</v>
      </c>
      <c r="D20813" s="2" t="s">
        <v>10</v>
      </c>
      <c r="E20813" s="2" t="str">
        <f>HYPERLINK("http://ts.21cn.com/tousu/show/id/1352823","http://ts.21cn.com/tousu/show/id/1352823")</f>
        <v>http://ts.21cn.com/tousu/show/id/1352823</v>
      </c>
      <c r="F20813" s="2" t="s">
        <v>11</v>
      </c>
      <c r="G20813" s="2" t="s">
        <v>3225</v>
      </c>
      <c r="H20813" s="2" t="s">
        <v>3226</v>
      </c>
    </row>
    <row r="20814" spans="1:8" ht="25.05" customHeight="1" x14ac:dyDescent="0.25">
      <c r="A20814" s="2" t="s">
        <v>8</v>
      </c>
      <c r="B20814" s="2" t="str">
        <f>HYPERLINK("http://ts.21cn.com/tousu/show/id/1352887","顺分期已经还款还要钱")</f>
        <v>顺分期已经还款还要钱</v>
      </c>
      <c r="C20814" s="2" t="s">
        <v>34</v>
      </c>
      <c r="D20814" s="2" t="s">
        <v>10</v>
      </c>
      <c r="E20814" s="2" t="str">
        <f>HYPERLINK("http://ts.21cn.com/tousu/show/id/1352887","http://ts.21cn.com/tousu/show/id/1352887")</f>
        <v>http://ts.21cn.com/tousu/show/id/1352887</v>
      </c>
      <c r="F20814" s="2" t="s">
        <v>11</v>
      </c>
      <c r="G20814" s="2" t="s">
        <v>3225</v>
      </c>
      <c r="H20814" s="2" t="s">
        <v>3227</v>
      </c>
    </row>
    <row r="20815" spans="1:8" ht="25.05" customHeight="1" x14ac:dyDescent="0.25">
      <c r="A20815" s="2" t="s">
        <v>8</v>
      </c>
      <c r="B20815" s="2" t="str">
        <f>HYPERLINK("http://ts.21cn.com/tousu/show/id/1352888","米米罐变相砍头息套路贷")</f>
        <v>米米罐变相砍头息套路贷</v>
      </c>
      <c r="C20815" s="2" t="s">
        <v>9</v>
      </c>
      <c r="D20815" s="2" t="s">
        <v>10</v>
      </c>
      <c r="E20815" s="2" t="str">
        <f>HYPERLINK("http://ts.21cn.com/tousu/show/id/1352888","http://ts.21cn.com/tousu/show/id/1352888")</f>
        <v>http://ts.21cn.com/tousu/show/id/1352888</v>
      </c>
      <c r="F20815" s="2" t="s">
        <v>11</v>
      </c>
      <c r="G20815" s="2" t="s">
        <v>3223</v>
      </c>
      <c r="H20815" s="2" t="s">
        <v>3224</v>
      </c>
    </row>
    <row r="20816" spans="1:8" ht="25.05" customHeight="1" x14ac:dyDescent="0.25">
      <c r="A20816" s="2" t="s">
        <v>8</v>
      </c>
      <c r="B20816" s="2" t="str">
        <f>HYPERLINK("http://ts.21cn.com/tousu/show/id/1352852","趣管账利用网贷借钱引导别人购买会员")</f>
        <v>趣管账利用网贷借钱引导别人购买会员</v>
      </c>
      <c r="C20816" s="2" t="s">
        <v>9</v>
      </c>
      <c r="D20816" s="2" t="s">
        <v>10</v>
      </c>
      <c r="E20816" s="2" t="str">
        <f>HYPERLINK("http://ts.21cn.com/tousu/show/id/1352852","http://ts.21cn.com/tousu/show/id/1352852")</f>
        <v>http://ts.21cn.com/tousu/show/id/1352852</v>
      </c>
      <c r="F20816" s="2" t="s">
        <v>11</v>
      </c>
      <c r="G20816" s="2" t="s">
        <v>3221</v>
      </c>
      <c r="H20816" s="2" t="s">
        <v>3222</v>
      </c>
    </row>
    <row r="20817" spans="1:8" ht="25.05" customHeight="1" x14ac:dyDescent="0.25">
      <c r="A20817" s="2" t="s">
        <v>8</v>
      </c>
      <c r="B20817" s="2" t="str">
        <f>HYPERLINK("http://ts.21cn.com/tousu/show/id/1352890","平安保险买错了险种，要求推掉，年纪还小，买了一个寿险没什么作用，我现在也承担不起保费，我要把我交的钱退回来")</f>
        <v>平安保险买错了险种，要求推掉，年纪还小，买了一个寿险没什么作用，我现在也承担不起保费，我要把我交的钱退回来</v>
      </c>
      <c r="C20817" s="2" t="s">
        <v>9</v>
      </c>
      <c r="D20817" s="2" t="s">
        <v>10</v>
      </c>
      <c r="E20817" s="2" t="str">
        <f>HYPERLINK("http://ts.21cn.com/tousu/show/id/1352890","http://ts.21cn.com/tousu/show/id/1352890")</f>
        <v>http://ts.21cn.com/tousu/show/id/1352890</v>
      </c>
      <c r="F20817" s="2" t="s">
        <v>11</v>
      </c>
      <c r="G20817" s="2" t="s">
        <v>3219</v>
      </c>
      <c r="H20817" s="2" t="s">
        <v>3220</v>
      </c>
    </row>
    <row r="20818" spans="1:8" ht="25.05" customHeight="1" x14ac:dyDescent="0.25">
      <c r="A20818" s="2" t="s">
        <v>8</v>
      </c>
      <c r="B20818" s="2" t="str">
        <f>HYPERLINK("http://ts.21cn.com/tousu/show/id/1352891","贷上钱申请延期还款")</f>
        <v>贷上钱申请延期还款</v>
      </c>
      <c r="C20818" s="2" t="s">
        <v>34</v>
      </c>
      <c r="D20818" s="2" t="s">
        <v>10</v>
      </c>
      <c r="E20818" s="2" t="str">
        <f>HYPERLINK("http://ts.21cn.com/tousu/show/id/1352891","http://ts.21cn.com/tousu/show/id/1352891")</f>
        <v>http://ts.21cn.com/tousu/show/id/1352891</v>
      </c>
      <c r="F20818" s="2" t="s">
        <v>11</v>
      </c>
      <c r="G20818" s="2" t="s">
        <v>3217</v>
      </c>
      <c r="H20818" s="2" t="s">
        <v>3218</v>
      </c>
    </row>
    <row r="20819" spans="1:8" ht="25.05" customHeight="1" x14ac:dyDescent="0.25">
      <c r="A20819" s="2" t="s">
        <v>8</v>
      </c>
      <c r="B20819" s="2" t="str">
        <f>HYPERLINK("http://ts.21cn.com/tousu/show/id/1352892","分期通无故扣款，没人回复。")</f>
        <v>分期通无故扣款，没人回复。</v>
      </c>
      <c r="C20819" s="2" t="s">
        <v>9</v>
      </c>
      <c r="D20819" s="2" t="s">
        <v>10</v>
      </c>
      <c r="E20819" s="2" t="str">
        <f>HYPERLINK("http://ts.21cn.com/tousu/show/id/1352892","http://ts.21cn.com/tousu/show/id/1352892")</f>
        <v>http://ts.21cn.com/tousu/show/id/1352892</v>
      </c>
      <c r="F20819" s="2" t="s">
        <v>11</v>
      </c>
      <c r="G20819" s="2" t="s">
        <v>3215</v>
      </c>
      <c r="H20819" s="2" t="s">
        <v>3216</v>
      </c>
    </row>
    <row r="20820" spans="1:8" ht="25.05" customHeight="1" x14ac:dyDescent="0.25">
      <c r="A20820" s="2" t="s">
        <v>8</v>
      </c>
      <c r="B20820" s="2" t="str">
        <f>HYPERLINK("http://ts.21cn.com/tousu/show/id/1352893","新橙优品利息太高")</f>
        <v>新橙优品利息太高</v>
      </c>
      <c r="C20820" s="2" t="s">
        <v>9</v>
      </c>
      <c r="D20820" s="2" t="s">
        <v>10</v>
      </c>
      <c r="E20820" s="2" t="str">
        <f>HYPERLINK("http://ts.21cn.com/tousu/show/id/1352893","http://ts.21cn.com/tousu/show/id/1352893")</f>
        <v>http://ts.21cn.com/tousu/show/id/1352893</v>
      </c>
      <c r="F20820" s="2" t="s">
        <v>11</v>
      </c>
      <c r="G20820" s="2" t="s">
        <v>3213</v>
      </c>
      <c r="H20820" s="2" t="s">
        <v>3214</v>
      </c>
    </row>
    <row r="20821" spans="1:8" ht="25.05" customHeight="1" x14ac:dyDescent="0.25">
      <c r="A20821" s="2" t="s">
        <v>8</v>
      </c>
      <c r="B20821" s="2" t="str">
        <f>HYPERLINK("http://ts.21cn.com/tousu/show/id/1352895","钱站高利息高利贷，借两千还三千")</f>
        <v>钱站高利息高利贷，借两千还三千</v>
      </c>
      <c r="C20821" s="2" t="s">
        <v>9</v>
      </c>
      <c r="D20821" s="2" t="s">
        <v>10</v>
      </c>
      <c r="E20821" s="2" t="str">
        <f>HYPERLINK("http://ts.21cn.com/tousu/show/id/1352895","http://ts.21cn.com/tousu/show/id/1352895")</f>
        <v>http://ts.21cn.com/tousu/show/id/1352895</v>
      </c>
      <c r="F20821" s="2" t="s">
        <v>11</v>
      </c>
      <c r="G20821" s="2" t="s">
        <v>3211</v>
      </c>
      <c r="H20821" s="2" t="s">
        <v>3212</v>
      </c>
    </row>
    <row r="20822" spans="1:8" ht="25.05" customHeight="1" x14ac:dyDescent="0.25">
      <c r="A20822" s="2" t="s">
        <v>8</v>
      </c>
      <c r="B20822" s="2" t="str">
        <f>HYPERLINK("http://ts.21cn.com/tousu/show/id/1352894","上海拍拍贷暴力催收")</f>
        <v>上海拍拍贷暴力催收</v>
      </c>
      <c r="C20822" s="2" t="s">
        <v>9</v>
      </c>
      <c r="D20822" s="2" t="s">
        <v>10</v>
      </c>
      <c r="E20822" s="2" t="str">
        <f>HYPERLINK("http://ts.21cn.com/tousu/show/id/1352894","http://ts.21cn.com/tousu/show/id/1352894")</f>
        <v>http://ts.21cn.com/tousu/show/id/1352894</v>
      </c>
      <c r="F20822" s="2" t="s">
        <v>11</v>
      </c>
      <c r="G20822" s="2" t="s">
        <v>3209</v>
      </c>
      <c r="H20822" s="2" t="s">
        <v>3210</v>
      </c>
    </row>
    <row r="20823" spans="1:8" ht="25.05" customHeight="1" x14ac:dyDescent="0.25">
      <c r="A20823" s="2" t="s">
        <v>8</v>
      </c>
      <c r="B20823" s="2" t="str">
        <f>HYPERLINK("http://ts.21cn.com/tousu/show/id/1352896","高利贷,砍头息")</f>
        <v>高利贷,砍头息</v>
      </c>
      <c r="C20823" s="2" t="s">
        <v>9</v>
      </c>
      <c r="D20823" s="2" t="s">
        <v>10</v>
      </c>
      <c r="E20823" s="2" t="str">
        <f>HYPERLINK("http://ts.21cn.com/tousu/show/id/1352896","http://ts.21cn.com/tousu/show/id/1352896")</f>
        <v>http://ts.21cn.com/tousu/show/id/1352896</v>
      </c>
      <c r="F20823" s="2" t="s">
        <v>11</v>
      </c>
      <c r="G20823" s="2" t="s">
        <v>3207</v>
      </c>
      <c r="H20823" s="2" t="s">
        <v>3208</v>
      </c>
    </row>
    <row r="20824" spans="1:8" ht="25.05" customHeight="1" x14ac:dyDescent="0.25">
      <c r="A20824" s="2" t="s">
        <v>8</v>
      </c>
      <c r="B20824" s="2" t="str">
        <f>HYPERLINK("http://ts.21cn.com/tousu/show/id/1352897","爱又米会员虚假宣传没有任何服务")</f>
        <v>爱又米会员虚假宣传没有任何服务</v>
      </c>
      <c r="C20824" s="2" t="s">
        <v>9</v>
      </c>
      <c r="D20824" s="2" t="s">
        <v>10</v>
      </c>
      <c r="E20824" s="2" t="str">
        <f>HYPERLINK("http://ts.21cn.com/tousu/show/id/1352897","http://ts.21cn.com/tousu/show/id/1352897")</f>
        <v>http://ts.21cn.com/tousu/show/id/1352897</v>
      </c>
      <c r="F20824" s="2" t="s">
        <v>11</v>
      </c>
      <c r="G20824" s="2" t="s">
        <v>3205</v>
      </c>
      <c r="H20824" s="2" t="s">
        <v>3206</v>
      </c>
    </row>
    <row r="20825" spans="1:8" ht="25.05" customHeight="1" x14ac:dyDescent="0.25">
      <c r="A20825" s="2" t="s">
        <v>8</v>
      </c>
      <c r="B20825" s="2" t="str">
        <f>HYPERLINK("http://ts.21cn.com/tousu/show/id/1352898","急速金服的高额利息太坑人")</f>
        <v>急速金服的高额利息太坑人</v>
      </c>
      <c r="C20825" s="2" t="s">
        <v>9</v>
      </c>
      <c r="D20825" s="2" t="s">
        <v>10</v>
      </c>
      <c r="E20825" s="2" t="str">
        <f>HYPERLINK("http://ts.21cn.com/tousu/show/id/1352898","http://ts.21cn.com/tousu/show/id/1352898")</f>
        <v>http://ts.21cn.com/tousu/show/id/1352898</v>
      </c>
      <c r="F20825" s="2" t="s">
        <v>11</v>
      </c>
      <c r="G20825" s="2" t="s">
        <v>3203</v>
      </c>
      <c r="H20825" s="2" t="s">
        <v>3204</v>
      </c>
    </row>
    <row r="20826" spans="1:8" ht="25.05" customHeight="1" x14ac:dyDescent="0.25">
      <c r="A20826" s="2" t="s">
        <v>8</v>
      </c>
      <c r="B20826" s="2" t="str">
        <f>HYPERLINK("http://ts.21cn.com/tousu/show/id/1352899","来花花，多乾分期典型套路贷高利贷")</f>
        <v>来花花，多乾分期典型套路贷高利贷</v>
      </c>
      <c r="C20826" s="2" t="s">
        <v>9</v>
      </c>
      <c r="D20826" s="2" t="s">
        <v>10</v>
      </c>
      <c r="E20826" s="2" t="str">
        <f>HYPERLINK("http://ts.21cn.com/tousu/show/id/1352899","http://ts.21cn.com/tousu/show/id/1352899")</f>
        <v>http://ts.21cn.com/tousu/show/id/1352899</v>
      </c>
      <c r="F20826" s="2" t="s">
        <v>11</v>
      </c>
      <c r="G20826" s="2" t="s">
        <v>3201</v>
      </c>
      <c r="H20826" s="2" t="s">
        <v>3202</v>
      </c>
    </row>
    <row r="20827" spans="1:8" ht="25.05" customHeight="1" x14ac:dyDescent="0.25">
      <c r="A20827" s="2" t="s">
        <v>8</v>
      </c>
      <c r="B20827" s="2" t="str">
        <f>HYPERLINK("http://ts.21cn.com/tousu/show/id/1352867","恶意催收，恐吓，骚扰，还款不销账")</f>
        <v>恶意催收，恐吓，骚扰，还款不销账</v>
      </c>
      <c r="C20827" s="2" t="s">
        <v>9</v>
      </c>
      <c r="D20827" s="2" t="s">
        <v>10</v>
      </c>
      <c r="E20827" s="2" t="str">
        <f>HYPERLINK("http://ts.21cn.com/tousu/show/id/1352867","http://ts.21cn.com/tousu/show/id/1352867")</f>
        <v>http://ts.21cn.com/tousu/show/id/1352867</v>
      </c>
      <c r="F20827" s="2" t="s">
        <v>11</v>
      </c>
      <c r="G20827" s="2" t="s">
        <v>3199</v>
      </c>
      <c r="H20827" s="2" t="s">
        <v>3200</v>
      </c>
    </row>
    <row r="20828" spans="1:8" ht="25.05" customHeight="1" x14ac:dyDescent="0.25">
      <c r="A20828" s="2" t="s">
        <v>8</v>
      </c>
      <c r="B20828" s="2" t="str">
        <f>HYPERLINK("http://ts.21cn.com/tousu/show/id/1352900","菜鸟养车油卡不充值且不退款")</f>
        <v>菜鸟养车油卡不充值且不退款</v>
      </c>
      <c r="C20828" s="2" t="s">
        <v>9</v>
      </c>
      <c r="D20828" s="2" t="s">
        <v>10</v>
      </c>
      <c r="E20828" s="2" t="str">
        <f>HYPERLINK("http://ts.21cn.com/tousu/show/id/1352900","http://ts.21cn.com/tousu/show/id/1352900")</f>
        <v>http://ts.21cn.com/tousu/show/id/1352900</v>
      </c>
      <c r="F20828" s="2" t="s">
        <v>11</v>
      </c>
      <c r="G20828" s="2" t="s">
        <v>3197</v>
      </c>
      <c r="H20828" s="2" t="s">
        <v>3198</v>
      </c>
    </row>
    <row r="20829" spans="1:8" ht="25.05" customHeight="1" x14ac:dyDescent="0.25">
      <c r="A20829" s="2" t="s">
        <v>8</v>
      </c>
      <c r="B20829" s="2" t="str">
        <f>HYPERLINK("http://ts.21cn.com/tousu/show/id/1352910","淘手游买的账号被找回")</f>
        <v>淘手游买的账号被找回</v>
      </c>
      <c r="C20829" s="2" t="s">
        <v>34</v>
      </c>
      <c r="D20829" s="2" t="s">
        <v>10</v>
      </c>
      <c r="E20829" s="2" t="str">
        <f>HYPERLINK("http://ts.21cn.com/tousu/show/id/1352910","http://ts.21cn.com/tousu/show/id/1352910")</f>
        <v>http://ts.21cn.com/tousu/show/id/1352910</v>
      </c>
      <c r="F20829" s="2" t="s">
        <v>11</v>
      </c>
      <c r="G20829" s="2" t="s">
        <v>3195</v>
      </c>
      <c r="H20829" s="2" t="s">
        <v>3196</v>
      </c>
    </row>
    <row r="20830" spans="1:8" ht="25.05" customHeight="1" x14ac:dyDescent="0.25">
      <c r="A20830" s="2" t="s">
        <v>8</v>
      </c>
      <c r="B20830" s="2" t="str">
        <f>HYPERLINK("http://ts.21cn.com/tousu/show/id/1352903","信用卡分期还款问题")</f>
        <v>信用卡分期还款问题</v>
      </c>
      <c r="C20830" s="2" t="s">
        <v>9</v>
      </c>
      <c r="D20830" s="2" t="s">
        <v>10</v>
      </c>
      <c r="E20830" s="2" t="str">
        <f>HYPERLINK("http://ts.21cn.com/tousu/show/id/1352903","http://ts.21cn.com/tousu/show/id/1352903")</f>
        <v>http://ts.21cn.com/tousu/show/id/1352903</v>
      </c>
      <c r="F20830" s="2" t="s">
        <v>11</v>
      </c>
      <c r="G20830" s="2" t="s">
        <v>3193</v>
      </c>
      <c r="H20830" s="2" t="s">
        <v>3194</v>
      </c>
    </row>
    <row r="20831" spans="1:8" ht="25.05" customHeight="1" x14ac:dyDescent="0.25">
      <c r="A20831" s="2" t="s">
        <v>8</v>
      </c>
      <c r="B20831" s="2" t="str">
        <f>HYPERLINK("http://ts.21cn.com/tousu/show/id/1352902","要求马上金融来钱花恢复额度")</f>
        <v>要求马上金融来钱花恢复额度</v>
      </c>
      <c r="C20831" s="2" t="s">
        <v>9</v>
      </c>
      <c r="D20831" s="2" t="s">
        <v>10</v>
      </c>
      <c r="E20831" s="2" t="str">
        <f>HYPERLINK("http://ts.21cn.com/tousu/show/id/1352902","http://ts.21cn.com/tousu/show/id/1352902")</f>
        <v>http://ts.21cn.com/tousu/show/id/1352902</v>
      </c>
      <c r="F20831" s="2" t="s">
        <v>11</v>
      </c>
      <c r="G20831" s="2" t="s">
        <v>3191</v>
      </c>
      <c r="H20831" s="2" t="s">
        <v>3192</v>
      </c>
    </row>
    <row r="20832" spans="1:8" ht="25.05" customHeight="1" x14ac:dyDescent="0.25">
      <c r="A20832" s="2" t="s">
        <v>8</v>
      </c>
      <c r="B20832" s="2" t="str">
        <f>HYPERLINK("http://ts.21cn.com/tousu/show/id/1352904","立借高利贷，要求按国家规定利率还款。")</f>
        <v>立借高利贷，要求按国家规定利率还款。</v>
      </c>
      <c r="C20832" s="2" t="s">
        <v>9</v>
      </c>
      <c r="D20832" s="2" t="s">
        <v>10</v>
      </c>
      <c r="E20832" s="2" t="str">
        <f>HYPERLINK("http://ts.21cn.com/tousu/show/id/1352904","http://ts.21cn.com/tousu/show/id/1352904")</f>
        <v>http://ts.21cn.com/tousu/show/id/1352904</v>
      </c>
      <c r="F20832" s="2" t="s">
        <v>11</v>
      </c>
      <c r="G20832" s="2" t="s">
        <v>3189</v>
      </c>
      <c r="H20832" s="2" t="s">
        <v>3190</v>
      </c>
    </row>
    <row r="20833" spans="1:8" ht="25.05" customHeight="1" x14ac:dyDescent="0.25">
      <c r="A20833" s="2" t="s">
        <v>8</v>
      </c>
      <c r="B20833" s="2" t="str">
        <f>HYPERLINK("http://ts.21cn.com/tousu/show/id/1352905","天天拍车不退卖车押金")</f>
        <v>天天拍车不退卖车押金</v>
      </c>
      <c r="C20833" s="2" t="s">
        <v>9</v>
      </c>
      <c r="D20833" s="2" t="s">
        <v>10</v>
      </c>
      <c r="E20833" s="2" t="str">
        <f>HYPERLINK("http://ts.21cn.com/tousu/show/id/1352905","http://ts.21cn.com/tousu/show/id/1352905")</f>
        <v>http://ts.21cn.com/tousu/show/id/1352905</v>
      </c>
      <c r="F20833" s="2" t="s">
        <v>11</v>
      </c>
      <c r="G20833" s="2" t="s">
        <v>3187</v>
      </c>
      <c r="H20833" s="2" t="s">
        <v>3188</v>
      </c>
    </row>
    <row r="20834" spans="1:8" ht="25.05" customHeight="1" x14ac:dyDescent="0.25">
      <c r="A20834" s="2" t="s">
        <v>8</v>
      </c>
      <c r="B20834" s="2" t="str">
        <f>HYPERLINK("http://ts.21cn.com/tousu/show/id/1352906","爱奇艺优智借催收")</f>
        <v>爱奇艺优智借催收</v>
      </c>
      <c r="C20834" s="2" t="s">
        <v>9</v>
      </c>
      <c r="D20834" s="2" t="s">
        <v>10</v>
      </c>
      <c r="E20834" s="2" t="str">
        <f>HYPERLINK("http://ts.21cn.com/tousu/show/id/1352906","http://ts.21cn.com/tousu/show/id/1352906")</f>
        <v>http://ts.21cn.com/tousu/show/id/1352906</v>
      </c>
      <c r="F20834" s="2" t="s">
        <v>11</v>
      </c>
      <c r="G20834" s="2" t="s">
        <v>3185</v>
      </c>
      <c r="H20834" s="2" t="s">
        <v>3186</v>
      </c>
    </row>
    <row r="20835" spans="1:8" ht="25.05" customHeight="1" x14ac:dyDescent="0.25">
      <c r="A20835" s="2" t="s">
        <v>8</v>
      </c>
      <c r="B20835" s="2" t="str">
        <f>HYPERLINK("http://ts.21cn.com/tousu/show/id/1352908","京东物流发河蟹死了四件一个多月了至今无人处理")</f>
        <v>京东物流发河蟹死了四件一个多月了至今无人处理</v>
      </c>
      <c r="C20835" s="2" t="s">
        <v>9</v>
      </c>
      <c r="D20835" s="2" t="s">
        <v>10</v>
      </c>
      <c r="E20835" s="2" t="str">
        <f>HYPERLINK("http://ts.21cn.com/tousu/show/id/1352908","http://ts.21cn.com/tousu/show/id/1352908")</f>
        <v>http://ts.21cn.com/tousu/show/id/1352908</v>
      </c>
      <c r="F20835" s="2" t="s">
        <v>11</v>
      </c>
      <c r="G20835" s="2" t="s">
        <v>3183</v>
      </c>
      <c r="H20835" s="2" t="s">
        <v>3184</v>
      </c>
    </row>
    <row r="20836" spans="1:8" ht="25.05" customHeight="1" x14ac:dyDescent="0.25">
      <c r="A20836" s="2" t="s">
        <v>8</v>
      </c>
      <c r="B20836" s="2" t="str">
        <f>HYPERLINK("http://ts.21cn.com/tousu/show/id/1352907","蚂蚁借呗乱收费")</f>
        <v>蚂蚁借呗乱收费</v>
      </c>
      <c r="C20836" s="2" t="s">
        <v>9</v>
      </c>
      <c r="D20836" s="2" t="s">
        <v>10</v>
      </c>
      <c r="E20836" s="2" t="str">
        <f>HYPERLINK("http://ts.21cn.com/tousu/show/id/1352907","http://ts.21cn.com/tousu/show/id/1352907")</f>
        <v>http://ts.21cn.com/tousu/show/id/1352907</v>
      </c>
      <c r="F20836" s="2" t="s">
        <v>11</v>
      </c>
      <c r="G20836" s="2" t="s">
        <v>3181</v>
      </c>
      <c r="H20836" s="2" t="s">
        <v>3182</v>
      </c>
    </row>
    <row r="20837" spans="1:8" ht="25.05" customHeight="1" x14ac:dyDescent="0.25">
      <c r="A20837" s="2" t="s">
        <v>8</v>
      </c>
      <c r="B20837" s="2" t="str">
        <f>HYPERLINK("http://ts.21cn.com/tousu/show/id/1352909","上海富友为天天贷高炮违规平台提供支付通道要求退还砍头息")</f>
        <v>上海富友为天天贷高炮违规平台提供支付通道要求退还砍头息</v>
      </c>
      <c r="C20837" s="2" t="s">
        <v>9</v>
      </c>
      <c r="D20837" s="2" t="s">
        <v>10</v>
      </c>
      <c r="E20837" s="2" t="str">
        <f>HYPERLINK("http://ts.21cn.com/tousu/show/id/1352909","http://ts.21cn.com/tousu/show/id/1352909")</f>
        <v>http://ts.21cn.com/tousu/show/id/1352909</v>
      </c>
      <c r="F20837" s="2" t="s">
        <v>11</v>
      </c>
      <c r="G20837" s="2" t="s">
        <v>3179</v>
      </c>
      <c r="H20837" s="2" t="s">
        <v>3180</v>
      </c>
    </row>
    <row r="20838" spans="1:8" ht="25.05" customHeight="1" x14ac:dyDescent="0.25">
      <c r="A20838" s="2" t="s">
        <v>8</v>
      </c>
      <c r="B20838" s="2" t="str">
        <f>HYPERLINK("http://ts.21cn.com/tousu/show/id/1352911","金银钱包利息太高")</f>
        <v>金银钱包利息太高</v>
      </c>
      <c r="C20838" s="2" t="s">
        <v>9</v>
      </c>
      <c r="D20838" s="2" t="s">
        <v>10</v>
      </c>
      <c r="E20838" s="2" t="str">
        <f>HYPERLINK("http://ts.21cn.com/tousu/show/id/1352911","http://ts.21cn.com/tousu/show/id/1352911")</f>
        <v>http://ts.21cn.com/tousu/show/id/1352911</v>
      </c>
      <c r="F20838" s="2" t="s">
        <v>11</v>
      </c>
      <c r="G20838" s="2" t="s">
        <v>3177</v>
      </c>
      <c r="H20838" s="2" t="s">
        <v>3178</v>
      </c>
    </row>
    <row r="20839" spans="1:8" ht="25.05" customHeight="1" x14ac:dyDescent="0.25">
      <c r="A20839" s="2" t="s">
        <v>8</v>
      </c>
      <c r="B20839" s="2" t="str">
        <f>HYPERLINK("http://ts.21cn.com/tousu/show/id/1352912","立马进钱无法还款产生逾期费")</f>
        <v>立马进钱无法还款产生逾期费</v>
      </c>
      <c r="C20839" s="2" t="s">
        <v>9</v>
      </c>
      <c r="D20839" s="2" t="s">
        <v>10</v>
      </c>
      <c r="E20839" s="2" t="str">
        <f>HYPERLINK("http://ts.21cn.com/tousu/show/id/1352912","http://ts.21cn.com/tousu/show/id/1352912")</f>
        <v>http://ts.21cn.com/tousu/show/id/1352912</v>
      </c>
      <c r="F20839" s="2" t="s">
        <v>11</v>
      </c>
      <c r="G20839" s="2" t="s">
        <v>3175</v>
      </c>
      <c r="H20839" s="2" t="s">
        <v>3176</v>
      </c>
    </row>
    <row r="20840" spans="1:8" ht="25.05" customHeight="1" x14ac:dyDescent="0.25">
      <c r="A20840" s="2" t="s">
        <v>8</v>
      </c>
      <c r="B20840" s="2" t="str">
        <f>HYPERLINK("http://ts.21cn.com/tousu/show/id/1352914","新橙优品变相收取高利威胁短信")</f>
        <v>新橙优品变相收取高利威胁短信</v>
      </c>
      <c r="C20840" s="2" t="s">
        <v>9</v>
      </c>
      <c r="D20840" s="2" t="s">
        <v>10</v>
      </c>
      <c r="E20840" s="2" t="str">
        <f>HYPERLINK("http://ts.21cn.com/tousu/show/id/1352914","http://ts.21cn.com/tousu/show/id/1352914")</f>
        <v>http://ts.21cn.com/tousu/show/id/1352914</v>
      </c>
      <c r="F20840" s="2" t="s">
        <v>11</v>
      </c>
      <c r="G20840" s="2" t="s">
        <v>3173</v>
      </c>
      <c r="H20840" s="2" t="s">
        <v>3174</v>
      </c>
    </row>
    <row r="20841" spans="1:8" ht="25.05" customHeight="1" x14ac:dyDescent="0.25">
      <c r="A20841" s="2" t="s">
        <v>8</v>
      </c>
      <c r="B20841" s="2" t="str">
        <f>HYPERLINK("http://ts.21cn.com/tousu/show/id/1352913","交通银行暴利催收人员拒绝还款协商")</f>
        <v>交通银行暴利催收人员拒绝还款协商</v>
      </c>
      <c r="C20841" s="2" t="s">
        <v>9</v>
      </c>
      <c r="D20841" s="2" t="s">
        <v>10</v>
      </c>
      <c r="E20841" s="2" t="str">
        <f>HYPERLINK("http://ts.21cn.com/tousu/show/id/1352913","http://ts.21cn.com/tousu/show/id/1352913")</f>
        <v>http://ts.21cn.com/tousu/show/id/1352913</v>
      </c>
      <c r="F20841" s="2" t="s">
        <v>11</v>
      </c>
      <c r="G20841" s="2" t="s">
        <v>3171</v>
      </c>
      <c r="H20841" s="2" t="s">
        <v>3172</v>
      </c>
    </row>
    <row r="20842" spans="1:8" ht="25.05" customHeight="1" x14ac:dyDescent="0.25">
      <c r="A20842" s="2" t="s">
        <v>8</v>
      </c>
      <c r="B20842" s="2" t="str">
        <f>HYPERLINK("http://ts.21cn.com/tousu/show/id/1352916","转转平台购买用户寄卖的苹果X手机质保期内出现质量问题，无法提供验机视频证明验机报告真实性且拒保！")</f>
        <v>转转平台购买用户寄卖的苹果X手机质保期内出现质量问题，无法提供验机视频证明验机报告真实性且拒保！</v>
      </c>
      <c r="C20842" s="2" t="s">
        <v>9</v>
      </c>
      <c r="D20842" s="2" t="s">
        <v>10</v>
      </c>
      <c r="E20842" s="2" t="str">
        <f>HYPERLINK("http://ts.21cn.com/tousu/show/id/1352916","http://ts.21cn.com/tousu/show/id/1352916")</f>
        <v>http://ts.21cn.com/tousu/show/id/1352916</v>
      </c>
      <c r="F20842" s="2" t="s">
        <v>11</v>
      </c>
      <c r="G20842" s="2" t="s">
        <v>3169</v>
      </c>
      <c r="H20842" s="2" t="s">
        <v>3170</v>
      </c>
    </row>
    <row r="20843" spans="1:8" ht="25.05" customHeight="1" x14ac:dyDescent="0.25">
      <c r="A20843" s="2" t="s">
        <v>8</v>
      </c>
      <c r="B20843" s="2" t="str">
        <f>HYPERLINK("http://ts.21cn.com/tousu/show/id/1352917","协商还款处理一次性结清")</f>
        <v>协商还款处理一次性结清</v>
      </c>
      <c r="C20843" s="2" t="s">
        <v>9</v>
      </c>
      <c r="D20843" s="2" t="s">
        <v>10</v>
      </c>
      <c r="E20843" s="2" t="str">
        <f>HYPERLINK("http://ts.21cn.com/tousu/show/id/1352917","http://ts.21cn.com/tousu/show/id/1352917")</f>
        <v>http://ts.21cn.com/tousu/show/id/1352917</v>
      </c>
      <c r="F20843" s="2" t="s">
        <v>11</v>
      </c>
      <c r="G20843" s="2" t="s">
        <v>3167</v>
      </c>
      <c r="H20843" s="2" t="s">
        <v>3168</v>
      </c>
    </row>
    <row r="20844" spans="1:8" ht="25.05" customHeight="1" x14ac:dyDescent="0.25">
      <c r="A20844" s="2" t="s">
        <v>8</v>
      </c>
      <c r="B20844" s="2" t="str">
        <f>HYPERLINK("http://ts.21cn.com/tousu/show/id/1352918","钱站高利贷")</f>
        <v>钱站高利贷</v>
      </c>
      <c r="C20844" s="2" t="s">
        <v>9</v>
      </c>
      <c r="D20844" s="2" t="s">
        <v>10</v>
      </c>
      <c r="E20844" s="2" t="str">
        <f>HYPERLINK("http://ts.21cn.com/tousu/show/id/1352918","http://ts.21cn.com/tousu/show/id/1352918")</f>
        <v>http://ts.21cn.com/tousu/show/id/1352918</v>
      </c>
      <c r="F20844" s="2" t="s">
        <v>11</v>
      </c>
      <c r="G20844" s="2" t="s">
        <v>3165</v>
      </c>
      <c r="H20844" s="2" t="s">
        <v>3166</v>
      </c>
    </row>
    <row r="20845" spans="1:8" ht="25.05" customHeight="1" x14ac:dyDescent="0.25">
      <c r="A20845" s="2" t="s">
        <v>8</v>
      </c>
      <c r="B20845" s="2" t="str">
        <f>HYPERLINK("http://ts.21cn.com/tousu/show/id/1352919","私自扣费宏萨信息科技有限公司")</f>
        <v>私自扣费宏萨信息科技有限公司</v>
      </c>
      <c r="C20845" s="2" t="s">
        <v>9</v>
      </c>
      <c r="D20845" s="2" t="s">
        <v>10</v>
      </c>
      <c r="E20845" s="2" t="str">
        <f>HYPERLINK("http://ts.21cn.com/tousu/show/id/1352919","http://ts.21cn.com/tousu/show/id/1352919")</f>
        <v>http://ts.21cn.com/tousu/show/id/1352919</v>
      </c>
      <c r="F20845" s="2" t="s">
        <v>11</v>
      </c>
      <c r="G20845" s="2" t="s">
        <v>3163</v>
      </c>
      <c r="H20845" s="2" t="s">
        <v>3164</v>
      </c>
    </row>
    <row r="20846" spans="1:8" ht="25.05" customHeight="1" x14ac:dyDescent="0.25">
      <c r="A20846" s="2" t="s">
        <v>8</v>
      </c>
      <c r="B20846" s="2" t="str">
        <f>HYPERLINK("http://ts.21cn.com/tousu/show/id/1352920","申请退款后，未退还流水验证金额")</f>
        <v>申请退款后，未退还流水验证金额</v>
      </c>
      <c r="C20846" s="2" t="s">
        <v>34</v>
      </c>
      <c r="D20846" s="2" t="s">
        <v>10</v>
      </c>
      <c r="E20846" s="2" t="str">
        <f>HYPERLINK("http://ts.21cn.com/tousu/show/id/1352920","http://ts.21cn.com/tousu/show/id/1352920")</f>
        <v>http://ts.21cn.com/tousu/show/id/1352920</v>
      </c>
      <c r="F20846" s="2" t="s">
        <v>11</v>
      </c>
      <c r="G20846" s="2" t="s">
        <v>3161</v>
      </c>
      <c r="H20846" s="2" t="s">
        <v>3162</v>
      </c>
    </row>
    <row r="20847" spans="1:8" ht="25.05" customHeight="1" x14ac:dyDescent="0.25">
      <c r="A20847" s="2" t="s">
        <v>8</v>
      </c>
      <c r="B20847" s="2" t="str">
        <f>HYPERLINK("http://ts.21cn.com/tousu/show/id/1352921","苏宁帐号开通SUPER会员后，不能正常下单购买，投诉后客服草草了事，强烈要求退款")</f>
        <v>苏宁帐号开通SUPER会员后，不能正常下单购买，投诉后客服草草了事，强烈要求退款</v>
      </c>
      <c r="C20847" s="2" t="s">
        <v>9</v>
      </c>
      <c r="D20847" s="2" t="s">
        <v>10</v>
      </c>
      <c r="E20847" s="2" t="str">
        <f>HYPERLINK("http://ts.21cn.com/tousu/show/id/1352921","http://ts.21cn.com/tousu/show/id/1352921")</f>
        <v>http://ts.21cn.com/tousu/show/id/1352921</v>
      </c>
      <c r="F20847" s="2" t="s">
        <v>11</v>
      </c>
      <c r="G20847" s="2" t="s">
        <v>3159</v>
      </c>
      <c r="H20847" s="2" t="s">
        <v>3160</v>
      </c>
    </row>
    <row r="20848" spans="1:8" ht="25.05" customHeight="1" x14ac:dyDescent="0.25">
      <c r="A20848" s="2" t="s">
        <v>8</v>
      </c>
      <c r="B20848" s="2" t="str">
        <f>HYPERLINK("http://ts.21cn.com/tousu/show/id/1352886","投诉拍拍贷向家属恶意发送违规短信，虚构法律条款恐吓家属")</f>
        <v>投诉拍拍贷向家属恶意发送违规短信，虚构法律条款恐吓家属</v>
      </c>
      <c r="C20848" s="2" t="s">
        <v>9</v>
      </c>
      <c r="D20848" s="2" t="s">
        <v>10</v>
      </c>
      <c r="E20848" s="2" t="str">
        <f>HYPERLINK("http://ts.21cn.com/tousu/show/id/1352886","http://ts.21cn.com/tousu/show/id/1352886")</f>
        <v>http://ts.21cn.com/tousu/show/id/1352886</v>
      </c>
      <c r="F20848" s="2" t="s">
        <v>11</v>
      </c>
      <c r="G20848" s="2" t="s">
        <v>3157</v>
      </c>
      <c r="H20848" s="2" t="s">
        <v>3158</v>
      </c>
    </row>
    <row r="20849" spans="1:8" ht="25.05" customHeight="1" x14ac:dyDescent="0.25">
      <c r="A20849" s="2" t="s">
        <v>8</v>
      </c>
      <c r="B20849" s="2" t="str">
        <f>HYPERLINK("http://ts.21cn.com/tousu/show/id/1352922","且贷且花暴力催收暴打通讯录")</f>
        <v>且贷且花暴力催收暴打通讯录</v>
      </c>
      <c r="C20849" s="2" t="s">
        <v>9</v>
      </c>
      <c r="D20849" s="2" t="s">
        <v>10</v>
      </c>
      <c r="E20849" s="2" t="str">
        <f>HYPERLINK("http://ts.21cn.com/tousu/show/id/1352922","http://ts.21cn.com/tousu/show/id/1352922")</f>
        <v>http://ts.21cn.com/tousu/show/id/1352922</v>
      </c>
      <c r="F20849" s="2" t="s">
        <v>11</v>
      </c>
      <c r="G20849" s="2" t="s">
        <v>3155</v>
      </c>
      <c r="H20849" s="2" t="s">
        <v>3156</v>
      </c>
    </row>
    <row r="20850" spans="1:8" ht="25.05" customHeight="1" x14ac:dyDescent="0.25">
      <c r="A20850" s="2" t="s">
        <v>8</v>
      </c>
      <c r="B20850" s="2" t="str">
        <f>HYPERLINK("http://ts.21cn.com/tousu/show/id/1352923","投诉哈罗出行任意扣除驾照分")</f>
        <v>投诉哈罗出行任意扣除驾照分</v>
      </c>
      <c r="C20850" s="2" t="s">
        <v>9</v>
      </c>
      <c r="D20850" s="2" t="s">
        <v>10</v>
      </c>
      <c r="E20850" s="2" t="str">
        <f>HYPERLINK("http://ts.21cn.com/tousu/show/id/1352923","http://ts.21cn.com/tousu/show/id/1352923")</f>
        <v>http://ts.21cn.com/tousu/show/id/1352923</v>
      </c>
      <c r="F20850" s="2" t="s">
        <v>11</v>
      </c>
      <c r="G20850" s="2" t="s">
        <v>3153</v>
      </c>
      <c r="H20850" s="2" t="s">
        <v>3154</v>
      </c>
    </row>
    <row r="20851" spans="1:8" ht="25.05" customHeight="1" x14ac:dyDescent="0.25">
      <c r="A20851" s="2" t="s">
        <v>8</v>
      </c>
      <c r="B20851" s="2" t="str">
        <f>HYPERLINK("http://ts.21cn.com/tousu/show/id/1352924","成都联通客服投诉问题超过48小时不予解决")</f>
        <v>成都联通客服投诉问题超过48小时不予解决</v>
      </c>
      <c r="C20851" s="2" t="s">
        <v>9</v>
      </c>
      <c r="D20851" s="2" t="s">
        <v>10</v>
      </c>
      <c r="E20851" s="2" t="str">
        <f>HYPERLINK("http://ts.21cn.com/tousu/show/id/1352924","http://ts.21cn.com/tousu/show/id/1352924")</f>
        <v>http://ts.21cn.com/tousu/show/id/1352924</v>
      </c>
      <c r="F20851" s="2" t="s">
        <v>11</v>
      </c>
      <c r="G20851" s="2" t="s">
        <v>3151</v>
      </c>
      <c r="H20851" s="2" t="s">
        <v>3152</v>
      </c>
    </row>
    <row r="20852" spans="1:8" ht="25.05" customHeight="1" x14ac:dyDescent="0.25">
      <c r="A20852" s="2" t="s">
        <v>8</v>
      </c>
      <c r="B20852" s="2" t="str">
        <f>HYPERLINK("http://ts.21cn.com/tousu/show/id/1352925","钱包易贷私自发群发我个人信息")</f>
        <v>钱包易贷私自发群发我个人信息</v>
      </c>
      <c r="C20852" s="2" t="s">
        <v>9</v>
      </c>
      <c r="D20852" s="2" t="s">
        <v>10</v>
      </c>
      <c r="E20852" s="2" t="str">
        <f>HYPERLINK("http://ts.21cn.com/tousu/show/id/1352925","http://ts.21cn.com/tousu/show/id/1352925")</f>
        <v>http://ts.21cn.com/tousu/show/id/1352925</v>
      </c>
      <c r="F20852" s="2" t="s">
        <v>11</v>
      </c>
      <c r="G20852" s="2" t="s">
        <v>3149</v>
      </c>
      <c r="H20852" s="2" t="s">
        <v>3150</v>
      </c>
    </row>
    <row r="20853" spans="1:8" ht="25.05" customHeight="1" x14ac:dyDescent="0.25">
      <c r="A20853" s="2" t="s">
        <v>8</v>
      </c>
      <c r="B20853" s="2" t="str">
        <f>HYPERLINK("http://ts.21cn.com/tousu/show/id/1352926","退款")</f>
        <v>退款</v>
      </c>
      <c r="C20853" s="2" t="s">
        <v>9</v>
      </c>
      <c r="D20853" s="2" t="s">
        <v>10</v>
      </c>
      <c r="E20853" s="2" t="str">
        <f>HYPERLINK("http://ts.21cn.com/tousu/show/id/1352926","http://ts.21cn.com/tousu/show/id/1352926")</f>
        <v>http://ts.21cn.com/tousu/show/id/1352926</v>
      </c>
      <c r="F20853" s="2" t="s">
        <v>11</v>
      </c>
      <c r="G20853" s="2" t="s">
        <v>3147</v>
      </c>
      <c r="H20853" s="2" t="s">
        <v>3148</v>
      </c>
    </row>
    <row r="20854" spans="1:8" ht="25.05" customHeight="1" x14ac:dyDescent="0.25">
      <c r="A20854" s="2" t="s">
        <v>8</v>
      </c>
      <c r="B20854" s="2" t="str">
        <f>HYPERLINK("http://ts.21cn.com/tousu/show/id/1352927","玖富叮当高利贷，暴力催收，合同欺诈")</f>
        <v>玖富叮当高利贷，暴力催收，合同欺诈</v>
      </c>
      <c r="C20854" s="2" t="s">
        <v>9</v>
      </c>
      <c r="D20854" s="2" t="s">
        <v>10</v>
      </c>
      <c r="E20854" s="2" t="str">
        <f>HYPERLINK("http://ts.21cn.com/tousu/show/id/1352927","http://ts.21cn.com/tousu/show/id/1352927")</f>
        <v>http://ts.21cn.com/tousu/show/id/1352927</v>
      </c>
      <c r="F20854" s="2" t="s">
        <v>11</v>
      </c>
      <c r="G20854" s="2" t="s">
        <v>3145</v>
      </c>
      <c r="H20854" s="2" t="s">
        <v>3146</v>
      </c>
    </row>
    <row r="20855" spans="1:8" ht="25.05" customHeight="1" x14ac:dyDescent="0.25">
      <c r="A20855" s="2" t="s">
        <v>8</v>
      </c>
      <c r="B20855" s="2" t="str">
        <f>HYPERLINK("http://ts.21cn.com/tousu/show/id/1352929","打电话威胁，骚扰恐吓家人及朋友")</f>
        <v>打电话威胁，骚扰恐吓家人及朋友</v>
      </c>
      <c r="C20855" s="2" t="s">
        <v>9</v>
      </c>
      <c r="D20855" s="2" t="s">
        <v>10</v>
      </c>
      <c r="E20855" s="2" t="str">
        <f>HYPERLINK("http://ts.21cn.com/tousu/show/id/1352929","http://ts.21cn.com/tousu/show/id/1352929")</f>
        <v>http://ts.21cn.com/tousu/show/id/1352929</v>
      </c>
      <c r="F20855" s="2" t="s">
        <v>11</v>
      </c>
      <c r="G20855" s="2" t="s">
        <v>3143</v>
      </c>
      <c r="H20855" s="2" t="s">
        <v>3144</v>
      </c>
    </row>
    <row r="20856" spans="1:8" ht="25.05" customHeight="1" x14ac:dyDescent="0.25">
      <c r="A20856" s="2" t="s">
        <v>8</v>
      </c>
      <c r="B20856" s="2" t="str">
        <f>HYPERLINK("http://ts.21cn.com/tousu/show/id/1352931","恶意扣款，要求退款")</f>
        <v>恶意扣款，要求退款</v>
      </c>
      <c r="C20856" s="2" t="s">
        <v>9</v>
      </c>
      <c r="D20856" s="2" t="s">
        <v>10</v>
      </c>
      <c r="E20856" s="2" t="str">
        <f>HYPERLINK("http://ts.21cn.com/tousu/show/id/1352931","http://ts.21cn.com/tousu/show/id/1352931")</f>
        <v>http://ts.21cn.com/tousu/show/id/1352931</v>
      </c>
      <c r="F20856" s="2" t="s">
        <v>11</v>
      </c>
      <c r="G20856" s="2" t="s">
        <v>3141</v>
      </c>
      <c r="H20856" s="2" t="s">
        <v>3142</v>
      </c>
    </row>
    <row r="20857" spans="1:8" ht="25.05" customHeight="1" x14ac:dyDescent="0.25">
      <c r="A20857" s="2" t="s">
        <v>8</v>
      </c>
      <c r="B20857" s="2" t="str">
        <f>HYPERLINK("http://ts.21cn.com/tousu/show/id/1352930","小浦优客未经同意扣款")</f>
        <v>小浦优客未经同意扣款</v>
      </c>
      <c r="C20857" s="2" t="s">
        <v>34</v>
      </c>
      <c r="D20857" s="2" t="s">
        <v>10</v>
      </c>
      <c r="E20857" s="2" t="str">
        <f>HYPERLINK("http://ts.21cn.com/tousu/show/id/1352930","http://ts.21cn.com/tousu/show/id/1352930")</f>
        <v>http://ts.21cn.com/tousu/show/id/1352930</v>
      </c>
      <c r="F20857" s="2" t="s">
        <v>11</v>
      </c>
      <c r="G20857" s="2" t="s">
        <v>3139</v>
      </c>
      <c r="H20857" s="2" t="s">
        <v>3140</v>
      </c>
    </row>
    <row r="20858" spans="1:8" ht="25.05" customHeight="1" x14ac:dyDescent="0.25">
      <c r="A20858" s="2" t="s">
        <v>8</v>
      </c>
      <c r="B20858" s="2" t="str">
        <f>HYPERLINK("http://ts.21cn.com/tousu/show/id/1352932","捷信公司高利贷违法收取高额贷款管理费和服务费")</f>
        <v>捷信公司高利贷违法收取高额贷款管理费和服务费</v>
      </c>
      <c r="C20858" s="2" t="s">
        <v>9</v>
      </c>
      <c r="D20858" s="2" t="s">
        <v>10</v>
      </c>
      <c r="E20858" s="2" t="str">
        <f>HYPERLINK("http://ts.21cn.com/tousu/show/id/1352932","http://ts.21cn.com/tousu/show/id/1352932")</f>
        <v>http://ts.21cn.com/tousu/show/id/1352932</v>
      </c>
      <c r="F20858" s="2" t="s">
        <v>11</v>
      </c>
      <c r="G20858" s="2" t="s">
        <v>3137</v>
      </c>
      <c r="H20858" s="2" t="s">
        <v>3138</v>
      </c>
    </row>
    <row r="20859" spans="1:8" ht="25.05" customHeight="1" x14ac:dyDescent="0.25">
      <c r="A20859" s="2" t="s">
        <v>8</v>
      </c>
      <c r="B20859" s="2" t="str">
        <f>HYPERLINK("http://ts.21cn.com/tousu/show/id/1352933","电话骚扰，暴力收款")</f>
        <v>电话骚扰，暴力收款</v>
      </c>
      <c r="C20859" s="2" t="s">
        <v>9</v>
      </c>
      <c r="D20859" s="2" t="s">
        <v>10</v>
      </c>
      <c r="E20859" s="2" t="str">
        <f>HYPERLINK("http://ts.21cn.com/tousu/show/id/1352933","http://ts.21cn.com/tousu/show/id/1352933")</f>
        <v>http://ts.21cn.com/tousu/show/id/1352933</v>
      </c>
      <c r="F20859" s="2" t="s">
        <v>11</v>
      </c>
      <c r="G20859" s="2" t="s">
        <v>3135</v>
      </c>
      <c r="H20859" s="2" t="s">
        <v>3136</v>
      </c>
    </row>
    <row r="20860" spans="1:8" ht="25.05" customHeight="1" x14ac:dyDescent="0.25">
      <c r="A20860" s="2" t="s">
        <v>8</v>
      </c>
      <c r="B20860" s="2" t="str">
        <f>HYPERLINK("http://ts.21cn.com/tousu/show/id/1352934","银行无故被上海宝付支付有限公司无故扣款")</f>
        <v>银行无故被上海宝付支付有限公司无故扣款</v>
      </c>
      <c r="C20860" s="2" t="s">
        <v>9</v>
      </c>
      <c r="D20860" s="2" t="s">
        <v>10</v>
      </c>
      <c r="E20860" s="2" t="str">
        <f>HYPERLINK("http://ts.21cn.com/tousu/show/id/1352934","http://ts.21cn.com/tousu/show/id/1352934")</f>
        <v>http://ts.21cn.com/tousu/show/id/1352934</v>
      </c>
      <c r="F20860" s="2" t="s">
        <v>11</v>
      </c>
      <c r="G20860" s="2" t="s">
        <v>3133</v>
      </c>
      <c r="H20860" s="2" t="s">
        <v>3134</v>
      </c>
    </row>
    <row r="20861" spans="1:8" ht="25.05" customHeight="1" x14ac:dyDescent="0.25">
      <c r="A20861" s="2" t="s">
        <v>8</v>
      </c>
      <c r="B20861" s="2" t="str">
        <f>HYPERLINK("http://ts.21cn.com/tousu/show/id/1352935","拍拍贷短信威胁疑似套路贷")</f>
        <v>拍拍贷短信威胁疑似套路贷</v>
      </c>
      <c r="C20861" s="2" t="s">
        <v>9</v>
      </c>
      <c r="D20861" s="2" t="s">
        <v>10</v>
      </c>
      <c r="E20861" s="2" t="str">
        <f>HYPERLINK("http://ts.21cn.com/tousu/show/id/1352935","http://ts.21cn.com/tousu/show/id/1352935")</f>
        <v>http://ts.21cn.com/tousu/show/id/1352935</v>
      </c>
      <c r="F20861" s="2" t="s">
        <v>11</v>
      </c>
      <c r="G20861" s="2" t="s">
        <v>3131</v>
      </c>
      <c r="H20861" s="2" t="s">
        <v>3132</v>
      </c>
    </row>
    <row r="20862" spans="1:8" ht="25.05" customHeight="1" x14ac:dyDescent="0.25">
      <c r="A20862" s="2" t="s">
        <v>8</v>
      </c>
      <c r="B20862" s="2" t="str">
        <f>HYPERLINK("http://ts.21cn.com/tousu/show/id/1352936","普惠快信发短信恐吓威胁打电话暴力催收")</f>
        <v>普惠快信发短信恐吓威胁打电话暴力催收</v>
      </c>
      <c r="C20862" s="2" t="s">
        <v>9</v>
      </c>
      <c r="D20862" s="2" t="s">
        <v>10</v>
      </c>
      <c r="E20862" s="2" t="str">
        <f>HYPERLINK("http://ts.21cn.com/tousu/show/id/1352936","http://ts.21cn.com/tousu/show/id/1352936")</f>
        <v>http://ts.21cn.com/tousu/show/id/1352936</v>
      </c>
      <c r="F20862" s="2" t="s">
        <v>11</v>
      </c>
      <c r="G20862" s="2" t="s">
        <v>3129</v>
      </c>
      <c r="H20862" s="2" t="s">
        <v>3130</v>
      </c>
    </row>
    <row r="20863" spans="1:8" ht="25.05" customHeight="1" x14ac:dyDescent="0.25">
      <c r="A20863" s="2" t="s">
        <v>8</v>
      </c>
      <c r="B20863" s="2" t="str">
        <f>HYPERLINK("http://ts.21cn.com/tousu/show/id/1352937","借款额度不对")</f>
        <v>借款额度不对</v>
      </c>
      <c r="C20863" s="2" t="s">
        <v>34</v>
      </c>
      <c r="D20863" s="2" t="s">
        <v>10</v>
      </c>
      <c r="E20863" s="2" t="str">
        <f>HYPERLINK("http://ts.21cn.com/tousu/show/id/1352937","http://ts.21cn.com/tousu/show/id/1352937")</f>
        <v>http://ts.21cn.com/tousu/show/id/1352937</v>
      </c>
      <c r="F20863" s="2" t="s">
        <v>11</v>
      </c>
      <c r="G20863" s="2" t="s">
        <v>3127</v>
      </c>
      <c r="H20863" s="2" t="s">
        <v>3128</v>
      </c>
    </row>
    <row r="20864" spans="1:8" ht="25.05" customHeight="1" x14ac:dyDescent="0.25">
      <c r="A20864" s="2" t="s">
        <v>8</v>
      </c>
      <c r="B20864" s="2" t="str">
        <f>HYPERLINK("http://ts.21cn.com/tousu/show/id/1352939","辱骂威胁还款")</f>
        <v>辱骂威胁还款</v>
      </c>
      <c r="C20864" s="2" t="s">
        <v>9</v>
      </c>
      <c r="D20864" s="2" t="s">
        <v>10</v>
      </c>
      <c r="E20864" s="2" t="str">
        <f>HYPERLINK("http://ts.21cn.com/tousu/show/id/1352939","http://ts.21cn.com/tousu/show/id/1352939")</f>
        <v>http://ts.21cn.com/tousu/show/id/1352939</v>
      </c>
      <c r="F20864" s="2" t="s">
        <v>11</v>
      </c>
      <c r="G20864" s="2" t="s">
        <v>3125</v>
      </c>
      <c r="H20864" s="2" t="s">
        <v>3126</v>
      </c>
    </row>
    <row r="20865" spans="1:8" ht="25.05" customHeight="1" x14ac:dyDescent="0.25">
      <c r="A20865" s="2" t="s">
        <v>8</v>
      </c>
      <c r="B20865" s="2" t="str">
        <f>HYPERLINK("http://ts.21cn.com/tousu/show/id/1352940","小象优品暴力催收，骚扰通讯录")</f>
        <v>小象优品暴力催收，骚扰通讯录</v>
      </c>
      <c r="C20865" s="2" t="s">
        <v>9</v>
      </c>
      <c r="D20865" s="2" t="s">
        <v>10</v>
      </c>
      <c r="E20865" s="2" t="str">
        <f>HYPERLINK("http://ts.21cn.com/tousu/show/id/1352940","http://ts.21cn.com/tousu/show/id/1352940")</f>
        <v>http://ts.21cn.com/tousu/show/id/1352940</v>
      </c>
      <c r="F20865" s="2" t="s">
        <v>11</v>
      </c>
      <c r="G20865" s="2" t="s">
        <v>3123</v>
      </c>
      <c r="H20865" s="2" t="s">
        <v>3124</v>
      </c>
    </row>
    <row r="20866" spans="1:8" ht="25.05" customHeight="1" x14ac:dyDescent="0.25">
      <c r="A20866" s="2" t="s">
        <v>8</v>
      </c>
      <c r="B20866" s="2" t="str">
        <f>HYPERLINK("http://ts.21cn.com/tousu/show/id/1352942","不到一年的本田思域出现质量跟安全隐患问题。")</f>
        <v>不到一年的本田思域出现质量跟安全隐患问题。</v>
      </c>
      <c r="C20866" s="2" t="s">
        <v>9</v>
      </c>
      <c r="D20866" s="2" t="s">
        <v>10</v>
      </c>
      <c r="E20866" s="2" t="str">
        <f>HYPERLINK("http://ts.21cn.com/tousu/show/id/1352942","http://ts.21cn.com/tousu/show/id/1352942")</f>
        <v>http://ts.21cn.com/tousu/show/id/1352942</v>
      </c>
      <c r="F20866" s="2" t="s">
        <v>11</v>
      </c>
      <c r="G20866" s="2" t="s">
        <v>3121</v>
      </c>
      <c r="H20866" s="2" t="s">
        <v>3122</v>
      </c>
    </row>
    <row r="20867" spans="1:8" ht="25.05" customHeight="1" x14ac:dyDescent="0.25">
      <c r="A20867" s="2" t="s">
        <v>8</v>
      </c>
      <c r="B20867" s="2" t="str">
        <f>HYPERLINK("http://ts.21cn.com/tousu/show/id/1352943","微信和淘宝账号被打标为狐狸")</f>
        <v>微信和淘宝账号被打标为狐狸</v>
      </c>
      <c r="C20867" s="2" t="s">
        <v>34</v>
      </c>
      <c r="D20867" s="2" t="s">
        <v>10</v>
      </c>
      <c r="E20867" s="2" t="str">
        <f>HYPERLINK("http://ts.21cn.com/tousu/show/id/1352943","http://ts.21cn.com/tousu/show/id/1352943")</f>
        <v>http://ts.21cn.com/tousu/show/id/1352943</v>
      </c>
      <c r="F20867" s="2" t="s">
        <v>11</v>
      </c>
      <c r="G20867" s="2" t="s">
        <v>3119</v>
      </c>
      <c r="H20867" s="2" t="s">
        <v>3120</v>
      </c>
    </row>
    <row r="20868" spans="1:8" ht="25.05" customHeight="1" x14ac:dyDescent="0.25">
      <c r="A20868" s="2" t="s">
        <v>8</v>
      </c>
      <c r="B20868" s="2" t="str">
        <f>HYPERLINK("http://ts.21cn.com/tousu/show/id/1352944","时光分期涉黑")</f>
        <v>时光分期涉黑</v>
      </c>
      <c r="C20868" s="2" t="s">
        <v>9</v>
      </c>
      <c r="D20868" s="2" t="s">
        <v>10</v>
      </c>
      <c r="E20868" s="2" t="str">
        <f>HYPERLINK("http://ts.21cn.com/tousu/show/id/1352944","http://ts.21cn.com/tousu/show/id/1352944")</f>
        <v>http://ts.21cn.com/tousu/show/id/1352944</v>
      </c>
      <c r="F20868" s="2" t="s">
        <v>11</v>
      </c>
      <c r="G20868" s="2" t="s">
        <v>3117</v>
      </c>
      <c r="H20868" s="2" t="s">
        <v>3118</v>
      </c>
    </row>
    <row r="20869" spans="1:8" ht="25.05" customHeight="1" x14ac:dyDescent="0.25">
      <c r="A20869" s="2" t="s">
        <v>8</v>
      </c>
      <c r="B20869" s="2" t="str">
        <f>HYPERLINK("http://ts.21cn.com/tousu/show/id/1352945","钱包易贷砍头息")</f>
        <v>钱包易贷砍头息</v>
      </c>
      <c r="C20869" s="2" t="s">
        <v>34</v>
      </c>
      <c r="D20869" s="2" t="s">
        <v>10</v>
      </c>
      <c r="E20869" s="2" t="str">
        <f>HYPERLINK("http://ts.21cn.com/tousu/show/id/1352945","http://ts.21cn.com/tousu/show/id/1352945")</f>
        <v>http://ts.21cn.com/tousu/show/id/1352945</v>
      </c>
      <c r="F20869" s="2" t="s">
        <v>11</v>
      </c>
      <c r="G20869" s="2" t="s">
        <v>3115</v>
      </c>
      <c r="H20869" s="2" t="s">
        <v>3116</v>
      </c>
    </row>
    <row r="20870" spans="1:8" ht="25.05" customHeight="1" x14ac:dyDescent="0.25">
      <c r="A20870" s="2" t="s">
        <v>8</v>
      </c>
      <c r="B20870" s="2" t="str">
        <f>HYPERLINK("http://ts.21cn.com/tousu/show/id/1352947","打电话给我说可以借款，等我买了黑卡，说额度抢光了")</f>
        <v>打电话给我说可以借款，等我买了黑卡，说额度抢光了</v>
      </c>
      <c r="C20870" s="2" t="s">
        <v>9</v>
      </c>
      <c r="D20870" s="2" t="s">
        <v>10</v>
      </c>
      <c r="E20870" s="2" t="str">
        <f>HYPERLINK("http://ts.21cn.com/tousu/show/id/1352947","http://ts.21cn.com/tousu/show/id/1352947")</f>
        <v>http://ts.21cn.com/tousu/show/id/1352947</v>
      </c>
      <c r="F20870" s="2" t="s">
        <v>11</v>
      </c>
      <c r="G20870" s="2" t="s">
        <v>3113</v>
      </c>
      <c r="H20870" s="2" t="s">
        <v>3114</v>
      </c>
    </row>
    <row r="20871" spans="1:8" ht="25.05" customHeight="1" x14ac:dyDescent="0.25">
      <c r="A20871" s="2" t="s">
        <v>8</v>
      </c>
      <c r="B20871" s="2" t="str">
        <f>HYPERLINK("http://ts.21cn.com/tousu/show/id/1352948","绿森数码商城不发货")</f>
        <v>绿森数码商城不发货</v>
      </c>
      <c r="C20871" s="2" t="s">
        <v>34</v>
      </c>
      <c r="D20871" s="2" t="s">
        <v>10</v>
      </c>
      <c r="E20871" s="2" t="str">
        <f>HYPERLINK("http://ts.21cn.com/tousu/show/id/1352948","http://ts.21cn.com/tousu/show/id/1352948")</f>
        <v>http://ts.21cn.com/tousu/show/id/1352948</v>
      </c>
      <c r="F20871" s="2" t="s">
        <v>11</v>
      </c>
      <c r="G20871" s="2" t="s">
        <v>3111</v>
      </c>
      <c r="H20871" s="2" t="s">
        <v>3112</v>
      </c>
    </row>
    <row r="20872" spans="1:8" ht="25.05" customHeight="1" x14ac:dyDescent="0.25">
      <c r="A20872" s="2" t="s">
        <v>8</v>
      </c>
      <c r="B20872" s="2" t="str">
        <f>HYPERLINK("http://ts.21cn.com/tousu/show/id/1352949","玖富万卡擅自改写合同，变相收取费用，高利贷")</f>
        <v>玖富万卡擅自改写合同，变相收取费用，高利贷</v>
      </c>
      <c r="C20872" s="2" t="s">
        <v>9</v>
      </c>
      <c r="D20872" s="2" t="s">
        <v>10</v>
      </c>
      <c r="E20872" s="2" t="str">
        <f>HYPERLINK("http://ts.21cn.com/tousu/show/id/1352949","http://ts.21cn.com/tousu/show/id/1352949")</f>
        <v>http://ts.21cn.com/tousu/show/id/1352949</v>
      </c>
      <c r="F20872" s="2" t="s">
        <v>11</v>
      </c>
      <c r="G20872" s="2" t="s">
        <v>3109</v>
      </c>
      <c r="H20872" s="2" t="s">
        <v>3110</v>
      </c>
    </row>
    <row r="20873" spans="1:8" ht="25.05" customHeight="1" x14ac:dyDescent="0.25">
      <c r="A20873" s="2" t="s">
        <v>8</v>
      </c>
      <c r="B20873" s="2" t="str">
        <f>HYPERLINK("http://ts.21cn.com/tousu/show/id/1352950","英雄花黑网贷")</f>
        <v>英雄花黑网贷</v>
      </c>
      <c r="C20873" s="2" t="s">
        <v>9</v>
      </c>
      <c r="D20873" s="2" t="s">
        <v>10</v>
      </c>
      <c r="E20873" s="2" t="str">
        <f>HYPERLINK("http://ts.21cn.com/tousu/show/id/1352950","http://ts.21cn.com/tousu/show/id/1352950")</f>
        <v>http://ts.21cn.com/tousu/show/id/1352950</v>
      </c>
      <c r="F20873" s="2" t="s">
        <v>11</v>
      </c>
      <c r="G20873" s="2" t="s">
        <v>3107</v>
      </c>
      <c r="H20873" s="2" t="s">
        <v>3108</v>
      </c>
    </row>
    <row r="20874" spans="1:8" ht="25.05" customHeight="1" x14ac:dyDescent="0.25">
      <c r="A20874" s="2" t="s">
        <v>8</v>
      </c>
      <c r="B20874" s="2" t="str">
        <f>HYPERLINK("http://ts.21cn.com/tousu/show/id/1352951","360贷款公司暴通讯录")</f>
        <v>360贷款公司暴通讯录</v>
      </c>
      <c r="C20874" s="2" t="s">
        <v>9</v>
      </c>
      <c r="D20874" s="2" t="s">
        <v>10</v>
      </c>
      <c r="E20874" s="2" t="str">
        <f>HYPERLINK("http://ts.21cn.com/tousu/show/id/1352951","http://ts.21cn.com/tousu/show/id/1352951")</f>
        <v>http://ts.21cn.com/tousu/show/id/1352951</v>
      </c>
      <c r="F20874" s="2" t="s">
        <v>11</v>
      </c>
      <c r="G20874" s="2" t="s">
        <v>3106</v>
      </c>
      <c r="H20874" s="2" t="s">
        <v>2926</v>
      </c>
    </row>
    <row r="20875" spans="1:8" ht="25.05" customHeight="1" x14ac:dyDescent="0.25">
      <c r="A20875" s="2" t="s">
        <v>8</v>
      </c>
      <c r="B20875" s="2" t="str">
        <f>HYPERLINK("http://ts.21cn.com/tousu/show/id/1352953","豆豆钱利息太高收取砍头税")</f>
        <v>豆豆钱利息太高收取砍头税</v>
      </c>
      <c r="C20875" s="2" t="s">
        <v>9</v>
      </c>
      <c r="D20875" s="2" t="s">
        <v>10</v>
      </c>
      <c r="E20875" s="2" t="str">
        <f>HYPERLINK("http://ts.21cn.com/tousu/show/id/1352953","http://ts.21cn.com/tousu/show/id/1352953")</f>
        <v>http://ts.21cn.com/tousu/show/id/1352953</v>
      </c>
      <c r="F20875" s="2" t="s">
        <v>11</v>
      </c>
      <c r="G20875" s="2" t="s">
        <v>3104</v>
      </c>
      <c r="H20875" s="2" t="s">
        <v>3105</v>
      </c>
    </row>
    <row r="20876" spans="1:8" ht="25.05" customHeight="1" x14ac:dyDescent="0.25">
      <c r="A20876" s="2" t="s">
        <v>8</v>
      </c>
      <c r="B20876" s="2" t="str">
        <f>HYPERLINK("http://ts.21cn.com/tousu/show/id/1352952","小浦优客未经同意扣款")</f>
        <v>小浦优客未经同意扣款</v>
      </c>
      <c r="C20876" s="2" t="s">
        <v>9</v>
      </c>
      <c r="D20876" s="2" t="s">
        <v>10</v>
      </c>
      <c r="E20876" s="2" t="str">
        <f>HYPERLINK("http://ts.21cn.com/tousu/show/id/1352952","http://ts.21cn.com/tousu/show/id/1352952")</f>
        <v>http://ts.21cn.com/tousu/show/id/1352952</v>
      </c>
      <c r="F20876" s="2" t="s">
        <v>11</v>
      </c>
      <c r="G20876" s="2" t="s">
        <v>3101</v>
      </c>
      <c r="H20876" s="2" t="s">
        <v>3102</v>
      </c>
    </row>
    <row r="20877" spans="1:8" ht="25.05" customHeight="1" x14ac:dyDescent="0.25">
      <c r="A20877" s="2" t="s">
        <v>8</v>
      </c>
      <c r="B20877" s="2" t="str">
        <f>HYPERLINK("http://ts.21cn.com/tousu/show/id/1352955","美团暴力催收盗取用户信息")</f>
        <v>美团暴力催收盗取用户信息</v>
      </c>
      <c r="C20877" s="2" t="s">
        <v>9</v>
      </c>
      <c r="D20877" s="2" t="s">
        <v>10</v>
      </c>
      <c r="E20877" s="2" t="str">
        <f>HYPERLINK("http://ts.21cn.com/tousu/show/id/1352955","http://ts.21cn.com/tousu/show/id/1352955")</f>
        <v>http://ts.21cn.com/tousu/show/id/1352955</v>
      </c>
      <c r="F20877" s="2" t="s">
        <v>11</v>
      </c>
      <c r="G20877" s="2" t="s">
        <v>3101</v>
      </c>
      <c r="H20877" s="2" t="s">
        <v>3103</v>
      </c>
    </row>
    <row r="20878" spans="1:8" ht="25.05" customHeight="1" x14ac:dyDescent="0.25">
      <c r="A20878" s="2" t="s">
        <v>8</v>
      </c>
      <c r="B20878" s="2" t="str">
        <f>HYPERLINK("http://ts.21cn.com/tousu/show/id/1352954","豆豆钱利息太高收取砍头税")</f>
        <v>豆豆钱利息太高收取砍头税</v>
      </c>
      <c r="C20878" s="2" t="s">
        <v>9</v>
      </c>
      <c r="D20878" s="2" t="s">
        <v>10</v>
      </c>
      <c r="E20878" s="2" t="str">
        <f>HYPERLINK("http://ts.21cn.com/tousu/show/id/1352954","http://ts.21cn.com/tousu/show/id/1352954")</f>
        <v>http://ts.21cn.com/tousu/show/id/1352954</v>
      </c>
      <c r="F20878" s="2" t="s">
        <v>11</v>
      </c>
      <c r="G20878" s="2" t="s">
        <v>3099</v>
      </c>
      <c r="H20878" s="2" t="s">
        <v>3100</v>
      </c>
    </row>
    <row r="20879" spans="1:8" ht="25.05" customHeight="1" x14ac:dyDescent="0.25">
      <c r="A20879" s="2" t="s">
        <v>8</v>
      </c>
      <c r="B20879" s="2" t="str">
        <f>HYPERLINK("http://ts.21cn.com/tousu/show/id/1352958","国美易卡不让注销APP")</f>
        <v>国美易卡不让注销APP</v>
      </c>
      <c r="C20879" s="2" t="s">
        <v>34</v>
      </c>
      <c r="D20879" s="2" t="s">
        <v>10</v>
      </c>
      <c r="E20879" s="2" t="str">
        <f>HYPERLINK("http://ts.21cn.com/tousu/show/id/1352958","http://ts.21cn.com/tousu/show/id/1352958")</f>
        <v>http://ts.21cn.com/tousu/show/id/1352958</v>
      </c>
      <c r="F20879" s="2" t="s">
        <v>11</v>
      </c>
      <c r="G20879" s="2" t="s">
        <v>3097</v>
      </c>
      <c r="H20879" s="2" t="s">
        <v>3098</v>
      </c>
    </row>
    <row r="20880" spans="1:8" ht="25.05" customHeight="1" x14ac:dyDescent="0.25">
      <c r="A20880" s="2" t="s">
        <v>8</v>
      </c>
      <c r="B20880" s="2" t="str">
        <f>HYPERLINK("http://ts.21cn.com/tousu/show/id/1352957","玖富万卡不让注销")</f>
        <v>玖富万卡不让注销</v>
      </c>
      <c r="C20880" s="2" t="s">
        <v>9</v>
      </c>
      <c r="D20880" s="2" t="s">
        <v>10</v>
      </c>
      <c r="E20880" s="2" t="str">
        <f>HYPERLINK("http://ts.21cn.com/tousu/show/id/1352957","http://ts.21cn.com/tousu/show/id/1352957")</f>
        <v>http://ts.21cn.com/tousu/show/id/1352957</v>
      </c>
      <c r="F20880" s="2" t="s">
        <v>11</v>
      </c>
      <c r="G20880" s="2" t="s">
        <v>3095</v>
      </c>
      <c r="H20880" s="2" t="s">
        <v>3096</v>
      </c>
    </row>
    <row r="20881" spans="1:8" ht="25.05" customHeight="1" x14ac:dyDescent="0.25">
      <c r="A20881" s="2" t="s">
        <v>8</v>
      </c>
      <c r="B20881" s="2" t="str">
        <f>HYPERLINK("http://ts.21cn.com/tousu/show/id/1352959","借易通砍头息，高利贷，威胁恐吓催收")</f>
        <v>借易通砍头息，高利贷，威胁恐吓催收</v>
      </c>
      <c r="C20881" s="2" t="s">
        <v>9</v>
      </c>
      <c r="D20881" s="2" t="s">
        <v>10</v>
      </c>
      <c r="E20881" s="2" t="str">
        <f>HYPERLINK("http://ts.21cn.com/tousu/show/id/1352959","http://ts.21cn.com/tousu/show/id/1352959")</f>
        <v>http://ts.21cn.com/tousu/show/id/1352959</v>
      </c>
      <c r="F20881" s="2" t="s">
        <v>11</v>
      </c>
      <c r="G20881" s="2" t="s">
        <v>3093</v>
      </c>
      <c r="H20881" s="2" t="s">
        <v>3094</v>
      </c>
    </row>
    <row r="20882" spans="1:8" ht="25.05" customHeight="1" x14ac:dyDescent="0.25">
      <c r="A20882" s="2" t="s">
        <v>8</v>
      </c>
      <c r="B20882" s="2" t="str">
        <f>HYPERLINK("http://ts.21cn.com/tousu/show/id/1352938","上海宏萨信息科技有限公司私自扣款")</f>
        <v>上海宏萨信息科技有限公司私自扣款</v>
      </c>
      <c r="C20882" s="2" t="s">
        <v>9</v>
      </c>
      <c r="D20882" s="2" t="s">
        <v>10</v>
      </c>
      <c r="E20882" s="2" t="str">
        <f>HYPERLINK("http://ts.21cn.com/tousu/show/id/1352938","http://ts.21cn.com/tousu/show/id/1352938")</f>
        <v>http://ts.21cn.com/tousu/show/id/1352938</v>
      </c>
      <c r="F20882" s="2" t="s">
        <v>11</v>
      </c>
      <c r="G20882" s="2" t="s">
        <v>3091</v>
      </c>
      <c r="H20882" s="2" t="s">
        <v>3092</v>
      </c>
    </row>
    <row r="20883" spans="1:8" ht="25.05" customHeight="1" x14ac:dyDescent="0.25">
      <c r="A20883" s="2" t="s">
        <v>8</v>
      </c>
      <c r="B20883" s="2" t="str">
        <f>HYPERLINK("http://ts.21cn.com/tousu/show/id/1352960","聚富分期私自扣款，")</f>
        <v>聚富分期私自扣款，</v>
      </c>
      <c r="C20883" s="2" t="s">
        <v>9</v>
      </c>
      <c r="D20883" s="2" t="s">
        <v>10</v>
      </c>
      <c r="E20883" s="2" t="str">
        <f>HYPERLINK("http://ts.21cn.com/tousu/show/id/1352960","http://ts.21cn.com/tousu/show/id/1352960")</f>
        <v>http://ts.21cn.com/tousu/show/id/1352960</v>
      </c>
      <c r="F20883" s="2" t="s">
        <v>11</v>
      </c>
      <c r="G20883" s="2" t="s">
        <v>3089</v>
      </c>
      <c r="H20883" s="2" t="s">
        <v>3090</v>
      </c>
    </row>
    <row r="20884" spans="1:8" ht="25.05" customHeight="1" x14ac:dyDescent="0.25">
      <c r="A20884" s="2" t="s">
        <v>8</v>
      </c>
      <c r="B20884" s="2" t="str">
        <f>HYPERLINK("http://ts.21cn.com/tousu/show/id/1352962","中百罗森盒饭吃出塑料")</f>
        <v>中百罗森盒饭吃出塑料</v>
      </c>
      <c r="C20884" s="2" t="s">
        <v>9</v>
      </c>
      <c r="D20884" s="2" t="s">
        <v>10</v>
      </c>
      <c r="E20884" s="2" t="str">
        <f>HYPERLINK("http://ts.21cn.com/tousu/show/id/1352962","http://ts.21cn.com/tousu/show/id/1352962")</f>
        <v>http://ts.21cn.com/tousu/show/id/1352962</v>
      </c>
      <c r="F20884" s="2" t="s">
        <v>11</v>
      </c>
      <c r="G20884" s="2" t="s">
        <v>3087</v>
      </c>
      <c r="H20884" s="2" t="s">
        <v>3088</v>
      </c>
    </row>
    <row r="20885" spans="1:8" ht="25.05" customHeight="1" x14ac:dyDescent="0.25">
      <c r="A20885" s="2" t="s">
        <v>8</v>
      </c>
      <c r="B20885" s="2" t="str">
        <f>HYPERLINK("http://ts.21cn.com/tousu/show/id/1352961","12306候补失败未退款")</f>
        <v>12306候补失败未退款</v>
      </c>
      <c r="C20885" s="2" t="s">
        <v>34</v>
      </c>
      <c r="D20885" s="2" t="s">
        <v>10</v>
      </c>
      <c r="E20885" s="2" t="str">
        <f>HYPERLINK("http://ts.21cn.com/tousu/show/id/1352961","http://ts.21cn.com/tousu/show/id/1352961")</f>
        <v>http://ts.21cn.com/tousu/show/id/1352961</v>
      </c>
      <c r="F20885" s="2" t="s">
        <v>11</v>
      </c>
      <c r="G20885" s="2" t="s">
        <v>3085</v>
      </c>
      <c r="H20885" s="2" t="s">
        <v>3086</v>
      </c>
    </row>
    <row r="20886" spans="1:8" ht="25.05" customHeight="1" x14ac:dyDescent="0.25">
      <c r="A20886" s="2" t="s">
        <v>8</v>
      </c>
      <c r="B20886" s="2" t="str">
        <f>HYPERLINK("http://ts.21cn.com/tousu/show/id/1352964","信而富暴力催收")</f>
        <v>信而富暴力催收</v>
      </c>
      <c r="C20886" s="2" t="s">
        <v>9</v>
      </c>
      <c r="D20886" s="2" t="s">
        <v>10</v>
      </c>
      <c r="E20886" s="2" t="str">
        <f>HYPERLINK("http://ts.21cn.com/tousu/show/id/1352964","http://ts.21cn.com/tousu/show/id/1352964")</f>
        <v>http://ts.21cn.com/tousu/show/id/1352964</v>
      </c>
      <c r="F20886" s="2" t="s">
        <v>11</v>
      </c>
      <c r="G20886" s="2" t="s">
        <v>3083</v>
      </c>
      <c r="H20886" s="2" t="s">
        <v>3084</v>
      </c>
    </row>
    <row r="20887" spans="1:8" ht="25.05" customHeight="1" x14ac:dyDescent="0.25">
      <c r="A20887" s="2" t="s">
        <v>8</v>
      </c>
      <c r="B20887" s="2" t="str">
        <f>HYPERLINK("http://ts.21cn.com/tousu/show/id/1352963","盛钱包坑激活费")</f>
        <v>盛钱包坑激活费</v>
      </c>
      <c r="C20887" s="2" t="s">
        <v>9</v>
      </c>
      <c r="D20887" s="2" t="s">
        <v>10</v>
      </c>
      <c r="E20887" s="2" t="str">
        <f>HYPERLINK("http://ts.21cn.com/tousu/show/id/1352963","http://ts.21cn.com/tousu/show/id/1352963")</f>
        <v>http://ts.21cn.com/tousu/show/id/1352963</v>
      </c>
      <c r="F20887" s="2" t="s">
        <v>11</v>
      </c>
      <c r="G20887" s="2" t="s">
        <v>3081</v>
      </c>
      <c r="H20887" s="2" t="s">
        <v>3082</v>
      </c>
    </row>
    <row r="20888" spans="1:8" ht="25.05" customHeight="1" x14ac:dyDescent="0.25">
      <c r="A20888" s="2" t="s">
        <v>8</v>
      </c>
      <c r="B20888" s="2" t="str">
        <f>HYPERLINK("http://ts.21cn.com/tousu/show/id/1352965","凹凸租车霸王条款不退押金")</f>
        <v>凹凸租车霸王条款不退押金</v>
      </c>
      <c r="C20888" s="2" t="s">
        <v>9</v>
      </c>
      <c r="D20888" s="2" t="s">
        <v>10</v>
      </c>
      <c r="E20888" s="2" t="str">
        <f>HYPERLINK("http://ts.21cn.com/tousu/show/id/1352965","http://ts.21cn.com/tousu/show/id/1352965")</f>
        <v>http://ts.21cn.com/tousu/show/id/1352965</v>
      </c>
      <c r="F20888" s="2" t="s">
        <v>11</v>
      </c>
      <c r="G20888" s="2" t="s">
        <v>3079</v>
      </c>
      <c r="H20888" s="2" t="s">
        <v>3080</v>
      </c>
    </row>
    <row r="20889" spans="1:8" ht="25.05" customHeight="1" x14ac:dyDescent="0.25">
      <c r="A20889" s="2" t="s">
        <v>8</v>
      </c>
      <c r="B20889" s="2" t="str">
        <f>HYPERLINK("http://ts.21cn.com/tousu/show/id/1352968","要求调整利率")</f>
        <v>要求调整利率</v>
      </c>
      <c r="C20889" s="2" t="s">
        <v>9</v>
      </c>
      <c r="D20889" s="2" t="s">
        <v>10</v>
      </c>
      <c r="E20889" s="2" t="str">
        <f>HYPERLINK("http://ts.21cn.com/tousu/show/id/1352968","http://ts.21cn.com/tousu/show/id/1352968")</f>
        <v>http://ts.21cn.com/tousu/show/id/1352968</v>
      </c>
      <c r="F20889" s="2" t="s">
        <v>11</v>
      </c>
      <c r="G20889" s="2" t="s">
        <v>3077</v>
      </c>
      <c r="H20889" s="2" t="s">
        <v>3078</v>
      </c>
    </row>
    <row r="20890" spans="1:8" ht="25.05" customHeight="1" x14ac:dyDescent="0.25">
      <c r="A20890" s="2" t="s">
        <v>8</v>
      </c>
      <c r="B20890" s="2" t="str">
        <f>HYPERLINK("http://ts.21cn.com/tousu/show/id/1352966","渝万竞技公会不让退会")</f>
        <v>渝万竞技公会不让退会</v>
      </c>
      <c r="C20890" s="2" t="s">
        <v>9</v>
      </c>
      <c r="D20890" s="2" t="s">
        <v>10</v>
      </c>
      <c r="E20890" s="2" t="str">
        <f>HYPERLINK("http://ts.21cn.com/tousu/show/id/1352966","http://ts.21cn.com/tousu/show/id/1352966")</f>
        <v>http://ts.21cn.com/tousu/show/id/1352966</v>
      </c>
      <c r="F20890" s="2" t="s">
        <v>11</v>
      </c>
      <c r="G20890" s="2" t="s">
        <v>3075</v>
      </c>
      <c r="H20890" s="2" t="s">
        <v>3076</v>
      </c>
    </row>
    <row r="20891" spans="1:8" ht="25.05" customHeight="1" x14ac:dyDescent="0.25">
      <c r="A20891" s="2" t="s">
        <v>8</v>
      </c>
      <c r="B20891" s="2" t="str">
        <f>HYPERLINK("http://ts.21cn.com/tousu/show/id/1352967","小象优品利息超过年利率36%收取高额手续费，利息费")</f>
        <v>小象优品利息超过年利率36%收取高额手续费，利息费</v>
      </c>
      <c r="C20891" s="2" t="s">
        <v>9</v>
      </c>
      <c r="D20891" s="2" t="s">
        <v>10</v>
      </c>
      <c r="E20891" s="2" t="str">
        <f>HYPERLINK("http://ts.21cn.com/tousu/show/id/1352967","http://ts.21cn.com/tousu/show/id/1352967")</f>
        <v>http://ts.21cn.com/tousu/show/id/1352967</v>
      </c>
      <c r="F20891" s="2" t="s">
        <v>11</v>
      </c>
      <c r="G20891" s="2" t="s">
        <v>3073</v>
      </c>
      <c r="H20891" s="2" t="s">
        <v>3074</v>
      </c>
    </row>
    <row r="20892" spans="1:8" ht="25.05" customHeight="1" x14ac:dyDescent="0.25">
      <c r="A20892" s="2" t="s">
        <v>8</v>
      </c>
      <c r="B20892" s="2" t="str">
        <f>HYPERLINK("http://ts.21cn.com/tousu/show/id/1352970","清华大学你们教学质量真的好吗")</f>
        <v>清华大学你们教学质量真的好吗</v>
      </c>
      <c r="C20892" s="2" t="s">
        <v>9</v>
      </c>
      <c r="D20892" s="2" t="s">
        <v>10</v>
      </c>
      <c r="E20892" s="2" t="str">
        <f>HYPERLINK("http://ts.21cn.com/tousu/show/id/1352970","http://ts.21cn.com/tousu/show/id/1352970")</f>
        <v>http://ts.21cn.com/tousu/show/id/1352970</v>
      </c>
      <c r="F20892" s="2" t="s">
        <v>11</v>
      </c>
      <c r="G20892" s="2" t="s">
        <v>3070</v>
      </c>
      <c r="H20892" s="2" t="s">
        <v>3071</v>
      </c>
    </row>
    <row r="20893" spans="1:8" ht="25.05" customHeight="1" x14ac:dyDescent="0.25">
      <c r="A20893" s="2" t="s">
        <v>8</v>
      </c>
      <c r="B20893" s="2" t="str">
        <f>HYPERLINK("http://ts.21cn.com/tousu/show/id/1352969","小花钱包暴力催收")</f>
        <v>小花钱包暴力催收</v>
      </c>
      <c r="C20893" s="2" t="s">
        <v>9</v>
      </c>
      <c r="D20893" s="2" t="s">
        <v>10</v>
      </c>
      <c r="E20893" s="2" t="str">
        <f>HYPERLINK("http://ts.21cn.com/tousu/show/id/1352969","http://ts.21cn.com/tousu/show/id/1352969")</f>
        <v>http://ts.21cn.com/tousu/show/id/1352969</v>
      </c>
      <c r="F20893" s="2" t="s">
        <v>11</v>
      </c>
      <c r="G20893" s="2" t="s">
        <v>3070</v>
      </c>
      <c r="H20893" s="2" t="s">
        <v>3072</v>
      </c>
    </row>
    <row r="20894" spans="1:8" ht="25.05" customHeight="1" x14ac:dyDescent="0.25">
      <c r="A20894" s="2" t="s">
        <v>8</v>
      </c>
      <c r="B20894" s="2" t="str">
        <f>HYPERLINK("http://ts.21cn.com/tousu/show/id/1352972","京东金融暴力催收")</f>
        <v>京东金融暴力催收</v>
      </c>
      <c r="C20894" s="2" t="s">
        <v>9</v>
      </c>
      <c r="D20894" s="2" t="s">
        <v>10</v>
      </c>
      <c r="E20894" s="2" t="str">
        <f>HYPERLINK("http://ts.21cn.com/tousu/show/id/1352972","http://ts.21cn.com/tousu/show/id/1352972")</f>
        <v>http://ts.21cn.com/tousu/show/id/1352972</v>
      </c>
      <c r="F20894" s="2" t="s">
        <v>11</v>
      </c>
      <c r="G20894" s="2" t="s">
        <v>3068</v>
      </c>
      <c r="H20894" s="2" t="s">
        <v>3069</v>
      </c>
    </row>
    <row r="20895" spans="1:8" ht="25.05" customHeight="1" x14ac:dyDescent="0.25">
      <c r="A20895" s="2" t="s">
        <v>8</v>
      </c>
      <c r="B20895" s="2" t="str">
        <f>HYPERLINK("http://ts.21cn.com/tousu/show/id/1352973","利息太多，承受不了，希望能还本金，终止合同")</f>
        <v>利息太多，承受不了，希望能还本金，终止合同</v>
      </c>
      <c r="C20895" s="2" t="s">
        <v>34</v>
      </c>
      <c r="D20895" s="2" t="s">
        <v>10</v>
      </c>
      <c r="E20895" s="2" t="str">
        <f>HYPERLINK("http://ts.21cn.com/tousu/show/id/1352973","http://ts.21cn.com/tousu/show/id/1352973")</f>
        <v>http://ts.21cn.com/tousu/show/id/1352973</v>
      </c>
      <c r="F20895" s="2" t="s">
        <v>11</v>
      </c>
      <c r="G20895" s="2" t="s">
        <v>3066</v>
      </c>
      <c r="H20895" s="2" t="s">
        <v>3067</v>
      </c>
    </row>
    <row r="20896" spans="1:8" ht="25.05" customHeight="1" x14ac:dyDescent="0.25">
      <c r="A20896" s="2" t="s">
        <v>8</v>
      </c>
      <c r="B20896" s="2" t="str">
        <f>HYPERLINK("http://ts.21cn.com/tousu/show/id/1352974","好分期利率高")</f>
        <v>好分期利率高</v>
      </c>
      <c r="C20896" s="2" t="s">
        <v>34</v>
      </c>
      <c r="D20896" s="2" t="s">
        <v>10</v>
      </c>
      <c r="E20896" s="2" t="str">
        <f>HYPERLINK("http://ts.21cn.com/tousu/show/id/1352974","http://ts.21cn.com/tousu/show/id/1352974")</f>
        <v>http://ts.21cn.com/tousu/show/id/1352974</v>
      </c>
      <c r="F20896" s="2" t="s">
        <v>11</v>
      </c>
      <c r="G20896" s="2" t="s">
        <v>3064</v>
      </c>
      <c r="H20896" s="2" t="s">
        <v>3065</v>
      </c>
    </row>
    <row r="20897" spans="1:8" ht="25.05" customHeight="1" x14ac:dyDescent="0.25">
      <c r="A20897" s="2" t="s">
        <v>8</v>
      </c>
      <c r="B20897" s="2" t="str">
        <f>HYPERLINK("http://ts.21cn.com/tousu/show/id/1352975","去花花捆绑保险变相砍头息，请求减免销账")</f>
        <v>去花花捆绑保险变相砍头息，请求减免销账</v>
      </c>
      <c r="C20897" s="2" t="s">
        <v>9</v>
      </c>
      <c r="D20897" s="2" t="s">
        <v>10</v>
      </c>
      <c r="E20897" s="2" t="str">
        <f>HYPERLINK("http://ts.21cn.com/tousu/show/id/1352975","http://ts.21cn.com/tousu/show/id/1352975")</f>
        <v>http://ts.21cn.com/tousu/show/id/1352975</v>
      </c>
      <c r="F20897" s="2" t="s">
        <v>11</v>
      </c>
      <c r="G20897" s="2" t="s">
        <v>3062</v>
      </c>
      <c r="H20897" s="2" t="s">
        <v>3063</v>
      </c>
    </row>
    <row r="20898" spans="1:8" ht="25.05" customHeight="1" x14ac:dyDescent="0.25">
      <c r="A20898" s="2" t="s">
        <v>8</v>
      </c>
      <c r="B20898" s="2" t="str">
        <f>HYPERLINK("http://ts.21cn.com/tousu/show/id/1352976","桔子理财欺诈客户霸王条款占用客户资金三天")</f>
        <v>桔子理财欺诈客户霸王条款占用客户资金三天</v>
      </c>
      <c r="C20898" s="2" t="s">
        <v>9</v>
      </c>
      <c r="D20898" s="2" t="s">
        <v>10</v>
      </c>
      <c r="E20898" s="2" t="str">
        <f>HYPERLINK("http://ts.21cn.com/tousu/show/id/1352976","http://ts.21cn.com/tousu/show/id/1352976")</f>
        <v>http://ts.21cn.com/tousu/show/id/1352976</v>
      </c>
      <c r="F20898" s="2" t="s">
        <v>11</v>
      </c>
      <c r="G20898" s="2" t="s">
        <v>3060</v>
      </c>
      <c r="H20898" s="2" t="s">
        <v>3061</v>
      </c>
    </row>
    <row r="20899" spans="1:8" ht="25.05" customHeight="1" x14ac:dyDescent="0.25">
      <c r="A20899" s="2" t="s">
        <v>8</v>
      </c>
      <c r="B20899" s="2" t="str">
        <f>HYPERLINK("http://ts.21cn.com/tousu/show/id/1352978","恶意扣款")</f>
        <v>恶意扣款</v>
      </c>
      <c r="C20899" s="2" t="s">
        <v>9</v>
      </c>
      <c r="D20899" s="2" t="s">
        <v>10</v>
      </c>
      <c r="E20899" s="2" t="str">
        <f>HYPERLINK("http://ts.21cn.com/tousu/show/id/1352978","http://ts.21cn.com/tousu/show/id/1352978")</f>
        <v>http://ts.21cn.com/tousu/show/id/1352978</v>
      </c>
      <c r="F20899" s="2" t="s">
        <v>11</v>
      </c>
      <c r="G20899" s="2" t="s">
        <v>3058</v>
      </c>
      <c r="H20899" s="2" t="s">
        <v>3059</v>
      </c>
    </row>
    <row r="20900" spans="1:8" ht="25.05" customHeight="1" x14ac:dyDescent="0.25">
      <c r="A20900" s="2" t="s">
        <v>8</v>
      </c>
      <c r="B20900" s="2" t="str">
        <f>HYPERLINK("http://ts.21cn.com/tousu/show/id/1352977","小黑鲨高利贷")</f>
        <v>小黑鲨高利贷</v>
      </c>
      <c r="C20900" s="2" t="s">
        <v>9</v>
      </c>
      <c r="D20900" s="2" t="s">
        <v>10</v>
      </c>
      <c r="E20900" s="2" t="str">
        <f>HYPERLINK("http://ts.21cn.com/tousu/show/id/1352977","http://ts.21cn.com/tousu/show/id/1352977")</f>
        <v>http://ts.21cn.com/tousu/show/id/1352977</v>
      </c>
      <c r="F20900" s="2" t="s">
        <v>11</v>
      </c>
      <c r="G20900" s="2" t="s">
        <v>3056</v>
      </c>
      <c r="H20900" s="2" t="s">
        <v>3057</v>
      </c>
    </row>
    <row r="20901" spans="1:8" ht="25.05" customHeight="1" x14ac:dyDescent="0.25">
      <c r="A20901" s="2" t="s">
        <v>8</v>
      </c>
      <c r="B20901" s="2" t="str">
        <f>HYPERLINK("http://ts.21cn.com/tousu/show/id/1352979","闪电借款违法高利贷暴力催收")</f>
        <v>闪电借款违法高利贷暴力催收</v>
      </c>
      <c r="C20901" s="2" t="s">
        <v>9</v>
      </c>
      <c r="D20901" s="2" t="s">
        <v>10</v>
      </c>
      <c r="E20901" s="2" t="str">
        <f>HYPERLINK("http://ts.21cn.com/tousu/show/id/1352979","http://ts.21cn.com/tousu/show/id/1352979")</f>
        <v>http://ts.21cn.com/tousu/show/id/1352979</v>
      </c>
      <c r="F20901" s="2" t="s">
        <v>11</v>
      </c>
      <c r="G20901" s="2" t="s">
        <v>3054</v>
      </c>
      <c r="H20901" s="2" t="s">
        <v>3055</v>
      </c>
    </row>
    <row r="20902" spans="1:8" ht="25.05" customHeight="1" x14ac:dyDescent="0.25">
      <c r="A20902" s="2" t="s">
        <v>8</v>
      </c>
      <c r="B20902" s="2" t="str">
        <f>HYPERLINK("http://ts.21cn.com/tousu/show/id/1352980","拍拍贷暴力催收")</f>
        <v>拍拍贷暴力催收</v>
      </c>
      <c r="C20902" s="2" t="s">
        <v>9</v>
      </c>
      <c r="D20902" s="2" t="s">
        <v>10</v>
      </c>
      <c r="E20902" s="2" t="str">
        <f>HYPERLINK("http://ts.21cn.com/tousu/show/id/1352980","http://ts.21cn.com/tousu/show/id/1352980")</f>
        <v>http://ts.21cn.com/tousu/show/id/1352980</v>
      </c>
      <c r="F20902" s="2" t="s">
        <v>11</v>
      </c>
      <c r="G20902" s="2" t="s">
        <v>3052</v>
      </c>
      <c r="H20902" s="2" t="s">
        <v>3053</v>
      </c>
    </row>
    <row r="20903" spans="1:8" ht="25.05" customHeight="1" x14ac:dyDescent="0.25">
      <c r="A20903" s="2" t="s">
        <v>8</v>
      </c>
      <c r="B20903" s="2" t="str">
        <f>HYPERLINK("http://ts.21cn.com/tousu/show/id/1352981","严重影响家里人生活")</f>
        <v>严重影响家里人生活</v>
      </c>
      <c r="C20903" s="2" t="s">
        <v>9</v>
      </c>
      <c r="D20903" s="2" t="s">
        <v>10</v>
      </c>
      <c r="E20903" s="2" t="str">
        <f>HYPERLINK("http://ts.21cn.com/tousu/show/id/1352981","http://ts.21cn.com/tousu/show/id/1352981")</f>
        <v>http://ts.21cn.com/tousu/show/id/1352981</v>
      </c>
      <c r="F20903" s="2" t="s">
        <v>11</v>
      </c>
      <c r="G20903" s="2" t="s">
        <v>3050</v>
      </c>
      <c r="H20903" s="2" t="s">
        <v>3051</v>
      </c>
    </row>
    <row r="20904" spans="1:8" ht="25.05" customHeight="1" x14ac:dyDescent="0.25">
      <c r="A20904" s="2" t="s">
        <v>8</v>
      </c>
      <c r="B20904" s="2" t="str">
        <f>HYPERLINK("http://ts.21cn.com/tousu/show/id/1352982","暴力催收威胁恐吓")</f>
        <v>暴力催收威胁恐吓</v>
      </c>
      <c r="C20904" s="2" t="s">
        <v>9</v>
      </c>
      <c r="D20904" s="2" t="s">
        <v>10</v>
      </c>
      <c r="E20904" s="2" t="str">
        <f>HYPERLINK("http://ts.21cn.com/tousu/show/id/1352982","http://ts.21cn.com/tousu/show/id/1352982")</f>
        <v>http://ts.21cn.com/tousu/show/id/1352982</v>
      </c>
      <c r="F20904" s="2" t="s">
        <v>11</v>
      </c>
      <c r="G20904" s="2" t="s">
        <v>3048</v>
      </c>
      <c r="H20904" s="2" t="s">
        <v>3049</v>
      </c>
    </row>
    <row r="20905" spans="1:8" ht="25.05" customHeight="1" x14ac:dyDescent="0.25">
      <c r="A20905" s="2" t="s">
        <v>8</v>
      </c>
      <c r="B20905" s="2" t="str">
        <f>HYPERLINK("http://ts.21cn.com/tousu/show/id/1352983","分期乐利息超过国家红线36%，要求减息并停止骚扰通讯录。")</f>
        <v>分期乐利息超过国家红线36%，要求减息并停止骚扰通讯录。</v>
      </c>
      <c r="C20905" s="2" t="s">
        <v>9</v>
      </c>
      <c r="D20905" s="2" t="s">
        <v>10</v>
      </c>
      <c r="E20905" s="2" t="str">
        <f>HYPERLINK("http://ts.21cn.com/tousu/show/id/1352983","http://ts.21cn.com/tousu/show/id/1352983")</f>
        <v>http://ts.21cn.com/tousu/show/id/1352983</v>
      </c>
      <c r="F20905" s="2" t="s">
        <v>11</v>
      </c>
      <c r="G20905" s="2" t="s">
        <v>3046</v>
      </c>
      <c r="H20905" s="2" t="s">
        <v>3047</v>
      </c>
    </row>
    <row r="20906" spans="1:8" ht="25.05" customHeight="1" x14ac:dyDescent="0.25">
      <c r="A20906" s="2" t="s">
        <v>8</v>
      </c>
      <c r="B20906" s="2" t="str">
        <f>HYPERLINK("http://ts.21cn.com/tousu/show/id/1352984","安逸花骚扰第三方联系人")</f>
        <v>安逸花骚扰第三方联系人</v>
      </c>
      <c r="C20906" s="2" t="s">
        <v>9</v>
      </c>
      <c r="D20906" s="2" t="s">
        <v>10</v>
      </c>
      <c r="E20906" s="2" t="str">
        <f>HYPERLINK("http://ts.21cn.com/tousu/show/id/1352984","http://ts.21cn.com/tousu/show/id/1352984")</f>
        <v>http://ts.21cn.com/tousu/show/id/1352984</v>
      </c>
      <c r="F20906" s="2" t="s">
        <v>11</v>
      </c>
      <c r="G20906" s="2" t="s">
        <v>3044</v>
      </c>
      <c r="H20906" s="2" t="s">
        <v>3045</v>
      </c>
    </row>
    <row r="20907" spans="1:8" ht="25.05" customHeight="1" x14ac:dyDescent="0.25">
      <c r="A20907" s="2" t="s">
        <v>8</v>
      </c>
      <c r="B20907" s="2" t="str">
        <f>HYPERLINK("http://ts.21cn.com/tousu/show/id/1352985","联动优势违法盗刷我的储蓄卡，平台帮帮我。我的救命钱")</f>
        <v>联动优势违法盗刷我的储蓄卡，平台帮帮我。我的救命钱</v>
      </c>
      <c r="C20907" s="2" t="s">
        <v>9</v>
      </c>
      <c r="D20907" s="2" t="s">
        <v>10</v>
      </c>
      <c r="E20907" s="2" t="str">
        <f>HYPERLINK("http://ts.21cn.com/tousu/show/id/1352985","http://ts.21cn.com/tousu/show/id/1352985")</f>
        <v>http://ts.21cn.com/tousu/show/id/1352985</v>
      </c>
      <c r="F20907" s="2" t="s">
        <v>11</v>
      </c>
      <c r="G20907" s="2" t="s">
        <v>3042</v>
      </c>
      <c r="H20907" s="2" t="s">
        <v>3043</v>
      </c>
    </row>
    <row r="20908" spans="1:8" ht="25.05" customHeight="1" x14ac:dyDescent="0.25">
      <c r="A20908" s="2" t="s">
        <v>8</v>
      </c>
      <c r="B20908" s="2" t="str">
        <f>HYPERLINK("http://ts.21cn.com/tousu/show/id/1352986","德邦物流非法私拆包裹")</f>
        <v>德邦物流非法私拆包裹</v>
      </c>
      <c r="C20908" s="2" t="s">
        <v>9</v>
      </c>
      <c r="D20908" s="2" t="s">
        <v>10</v>
      </c>
      <c r="E20908" s="2" t="str">
        <f>HYPERLINK("http://ts.21cn.com/tousu/show/id/1352986","http://ts.21cn.com/tousu/show/id/1352986")</f>
        <v>http://ts.21cn.com/tousu/show/id/1352986</v>
      </c>
      <c r="F20908" s="2" t="s">
        <v>11</v>
      </c>
      <c r="G20908" s="2" t="s">
        <v>3040</v>
      </c>
      <c r="H20908" s="2" t="s">
        <v>3041</v>
      </c>
    </row>
    <row r="20909" spans="1:8" ht="25.05" customHeight="1" x14ac:dyDescent="0.25">
      <c r="A20909" s="2" t="s">
        <v>8</v>
      </c>
      <c r="B20909" s="2" t="str">
        <f>HYPERLINK("http://ts.21cn.com/tousu/show/id/1352987","钱站高利贷阴阳合同")</f>
        <v>钱站高利贷阴阳合同</v>
      </c>
      <c r="C20909" s="2" t="s">
        <v>9</v>
      </c>
      <c r="D20909" s="2" t="s">
        <v>10</v>
      </c>
      <c r="E20909" s="2" t="str">
        <f>HYPERLINK("http://ts.21cn.com/tousu/show/id/1352987","http://ts.21cn.com/tousu/show/id/1352987")</f>
        <v>http://ts.21cn.com/tousu/show/id/1352987</v>
      </c>
      <c r="F20909" s="2" t="s">
        <v>11</v>
      </c>
      <c r="G20909" s="2" t="s">
        <v>3038</v>
      </c>
      <c r="H20909" s="2" t="s">
        <v>3039</v>
      </c>
    </row>
    <row r="20910" spans="1:8" ht="25.05" customHeight="1" x14ac:dyDescent="0.25">
      <c r="A20910" s="2" t="s">
        <v>8</v>
      </c>
      <c r="B20910" s="2" t="str">
        <f>HYPERLINK("http://ts.21cn.com/tousu/show/id/1352988","海淘lasenza支付成功后未有订单信息")</f>
        <v>海淘lasenza支付成功后未有订单信息</v>
      </c>
      <c r="C20910" s="2" t="s">
        <v>34</v>
      </c>
      <c r="D20910" s="2" t="s">
        <v>10</v>
      </c>
      <c r="E20910" s="2" t="str">
        <f>HYPERLINK("http://ts.21cn.com/tousu/show/id/1352988","http://ts.21cn.com/tousu/show/id/1352988")</f>
        <v>http://ts.21cn.com/tousu/show/id/1352988</v>
      </c>
      <c r="F20910" s="2" t="s">
        <v>11</v>
      </c>
      <c r="G20910" s="2" t="s">
        <v>3036</v>
      </c>
      <c r="H20910" s="2" t="s">
        <v>3037</v>
      </c>
    </row>
    <row r="20911" spans="1:8" ht="25.05" customHeight="1" x14ac:dyDescent="0.25">
      <c r="A20911" s="2" t="s">
        <v>8</v>
      </c>
      <c r="B20911" s="2" t="str">
        <f>HYPERLINK("http://ts.21cn.com/tousu/show/id/1352989","上海你我贷高利贷，到手快7000，一年利息就要3000，天天打电话骚扰家人")</f>
        <v>上海你我贷高利贷，到手快7000，一年利息就要3000，天天打电话骚扰家人</v>
      </c>
      <c r="C20911" s="2" t="s">
        <v>9</v>
      </c>
      <c r="D20911" s="2" t="s">
        <v>10</v>
      </c>
      <c r="E20911" s="2" t="str">
        <f>HYPERLINK("http://ts.21cn.com/tousu/show/id/1352989","http://ts.21cn.com/tousu/show/id/1352989")</f>
        <v>http://ts.21cn.com/tousu/show/id/1352989</v>
      </c>
      <c r="F20911" s="2" t="s">
        <v>11</v>
      </c>
      <c r="G20911" s="2" t="s">
        <v>3034</v>
      </c>
      <c r="H20911" s="2" t="s">
        <v>3035</v>
      </c>
    </row>
    <row r="20912" spans="1:8" ht="25.05" customHeight="1" x14ac:dyDescent="0.25">
      <c r="A20912" s="2" t="s">
        <v>8</v>
      </c>
      <c r="B20912" s="2" t="str">
        <f>HYPERLINK("http://ts.21cn.com/tousu/show/id/1352991","贷上钱以买游戏豆为由收取高额贷款")</f>
        <v>贷上钱以买游戏豆为由收取高额贷款</v>
      </c>
      <c r="C20912" s="2" t="s">
        <v>9</v>
      </c>
      <c r="D20912" s="2" t="s">
        <v>10</v>
      </c>
      <c r="E20912" s="2" t="str">
        <f>HYPERLINK("http://ts.21cn.com/tousu/show/id/1352991","http://ts.21cn.com/tousu/show/id/1352991")</f>
        <v>http://ts.21cn.com/tousu/show/id/1352991</v>
      </c>
      <c r="F20912" s="2" t="s">
        <v>11</v>
      </c>
      <c r="G20912" s="2" t="s">
        <v>3032</v>
      </c>
      <c r="H20912" s="2" t="s">
        <v>3033</v>
      </c>
    </row>
    <row r="20913" spans="1:8" ht="25.05" customHeight="1" x14ac:dyDescent="0.25">
      <c r="A20913" s="2" t="s">
        <v>8</v>
      </c>
      <c r="B20913" s="2" t="str">
        <f>HYPERLINK("http://ts.21cn.com/tousu/show/id/1352992","逾期分期还款")</f>
        <v>逾期分期还款</v>
      </c>
      <c r="C20913" s="2" t="s">
        <v>9</v>
      </c>
      <c r="D20913" s="2" t="s">
        <v>10</v>
      </c>
      <c r="E20913" s="2" t="str">
        <f>HYPERLINK("http://ts.21cn.com/tousu/show/id/1352992","http://ts.21cn.com/tousu/show/id/1352992")</f>
        <v>http://ts.21cn.com/tousu/show/id/1352992</v>
      </c>
      <c r="F20913" s="2" t="s">
        <v>11</v>
      </c>
      <c r="G20913" s="2" t="s">
        <v>3030</v>
      </c>
      <c r="H20913" s="2" t="s">
        <v>3031</v>
      </c>
    </row>
    <row r="20914" spans="1:8" ht="25.05" customHeight="1" x14ac:dyDescent="0.25">
      <c r="A20914" s="2" t="s">
        <v>8</v>
      </c>
      <c r="B20914" s="2" t="str">
        <f>HYPERLINK("http://ts.21cn.com/tousu/show/id/1352993","如期分期贷款变相砍头息")</f>
        <v>如期分期贷款变相砍头息</v>
      </c>
      <c r="C20914" s="2" t="s">
        <v>9</v>
      </c>
      <c r="D20914" s="2" t="s">
        <v>10</v>
      </c>
      <c r="E20914" s="2" t="str">
        <f>HYPERLINK("http://ts.21cn.com/tousu/show/id/1352993","http://ts.21cn.com/tousu/show/id/1352993")</f>
        <v>http://ts.21cn.com/tousu/show/id/1352993</v>
      </c>
      <c r="F20914" s="2" t="s">
        <v>11</v>
      </c>
      <c r="G20914" s="2" t="s">
        <v>3028</v>
      </c>
      <c r="H20914" s="2" t="s">
        <v>3029</v>
      </c>
    </row>
    <row r="20915" spans="1:8" ht="25.05" customHeight="1" x14ac:dyDescent="0.25">
      <c r="A20915" s="2" t="s">
        <v>8</v>
      </c>
      <c r="B20915" s="2" t="str">
        <f>HYPERLINK("http://ts.21cn.com/tousu/show/id/1352994","招联金融暴力催收")</f>
        <v>招联金融暴力催收</v>
      </c>
      <c r="C20915" s="2" t="s">
        <v>9</v>
      </c>
      <c r="D20915" s="2" t="s">
        <v>10</v>
      </c>
      <c r="E20915" s="2" t="str">
        <f>HYPERLINK("http://ts.21cn.com/tousu/show/id/1352994","http://ts.21cn.com/tousu/show/id/1352994")</f>
        <v>http://ts.21cn.com/tousu/show/id/1352994</v>
      </c>
      <c r="F20915" s="2" t="s">
        <v>11</v>
      </c>
      <c r="G20915" s="2" t="s">
        <v>3026</v>
      </c>
      <c r="H20915" s="2" t="s">
        <v>3027</v>
      </c>
    </row>
    <row r="20916" spans="1:8" ht="25.05" customHeight="1" x14ac:dyDescent="0.25">
      <c r="A20916" s="2" t="s">
        <v>8</v>
      </c>
      <c r="B20916" s="2" t="str">
        <f>HYPERLINK("http://ts.21cn.com/tousu/show/id/1352996","暴力催收")</f>
        <v>暴力催收</v>
      </c>
      <c r="C20916" s="2" t="s">
        <v>9</v>
      </c>
      <c r="D20916" s="2" t="s">
        <v>10</v>
      </c>
      <c r="E20916" s="2" t="str">
        <f>HYPERLINK("http://ts.21cn.com/tousu/show/id/1352996","http://ts.21cn.com/tousu/show/id/1352996")</f>
        <v>http://ts.21cn.com/tousu/show/id/1352996</v>
      </c>
      <c r="F20916" s="2" t="s">
        <v>11</v>
      </c>
      <c r="G20916" s="2" t="s">
        <v>3024</v>
      </c>
      <c r="H20916" s="2" t="s">
        <v>3025</v>
      </c>
    </row>
    <row r="20917" spans="1:8" ht="25.05" customHeight="1" x14ac:dyDescent="0.25">
      <c r="A20917" s="2" t="s">
        <v>8</v>
      </c>
      <c r="B20917" s="2" t="str">
        <f>HYPERLINK("http://ts.21cn.com/tousu/show/id/1352995","韵达快运损坏委托件拒赔付")</f>
        <v>韵达快运损坏委托件拒赔付</v>
      </c>
      <c r="C20917" s="2" t="s">
        <v>9</v>
      </c>
      <c r="D20917" s="2" t="s">
        <v>10</v>
      </c>
      <c r="E20917" s="2" t="str">
        <f>HYPERLINK("http://ts.21cn.com/tousu/show/id/1352995","http://ts.21cn.com/tousu/show/id/1352995")</f>
        <v>http://ts.21cn.com/tousu/show/id/1352995</v>
      </c>
      <c r="F20917" s="2" t="s">
        <v>11</v>
      </c>
      <c r="G20917" s="2" t="s">
        <v>3022</v>
      </c>
      <c r="H20917" s="2" t="s">
        <v>3023</v>
      </c>
    </row>
    <row r="20918" spans="1:8" ht="25.05" customHeight="1" x14ac:dyDescent="0.25">
      <c r="A20918" s="2" t="s">
        <v>8</v>
      </c>
      <c r="B20918" s="2" t="str">
        <f>HYPERLINK("http://ts.21cn.com/tousu/show/id/1352997","未经允许爆通讯录")</f>
        <v>未经允许爆通讯录</v>
      </c>
      <c r="C20918" s="2" t="s">
        <v>9</v>
      </c>
      <c r="D20918" s="2" t="s">
        <v>10</v>
      </c>
      <c r="E20918" s="2" t="str">
        <f>HYPERLINK("http://ts.21cn.com/tousu/show/id/1352997","http://ts.21cn.com/tousu/show/id/1352997")</f>
        <v>http://ts.21cn.com/tousu/show/id/1352997</v>
      </c>
      <c r="F20918" s="2" t="s">
        <v>11</v>
      </c>
      <c r="G20918" s="2" t="s">
        <v>3020</v>
      </c>
      <c r="H20918" s="2" t="s">
        <v>3021</v>
      </c>
    </row>
    <row r="20919" spans="1:8" ht="25.05" customHeight="1" x14ac:dyDescent="0.25">
      <c r="A20919" s="2" t="s">
        <v>8</v>
      </c>
      <c r="B20919" s="2" t="str">
        <f>HYPERLINK("http://ts.21cn.com/tousu/show/id/1352998","蜜瓜钱包收取高额砍头息，典型套路贷高利贷")</f>
        <v>蜜瓜钱包收取高额砍头息，典型套路贷高利贷</v>
      </c>
      <c r="C20919" s="2" t="s">
        <v>9</v>
      </c>
      <c r="D20919" s="2" t="s">
        <v>10</v>
      </c>
      <c r="E20919" s="2" t="str">
        <f>HYPERLINK("http://ts.21cn.com/tousu/show/id/1352998","http://ts.21cn.com/tousu/show/id/1352998")</f>
        <v>http://ts.21cn.com/tousu/show/id/1352998</v>
      </c>
      <c r="F20919" s="2" t="s">
        <v>11</v>
      </c>
      <c r="G20919" s="2" t="s">
        <v>3018</v>
      </c>
      <c r="H20919" s="2" t="s">
        <v>3019</v>
      </c>
    </row>
    <row r="20920" spans="1:8" ht="25.05" customHeight="1" x14ac:dyDescent="0.25">
      <c r="A20920" s="2" t="s">
        <v>8</v>
      </c>
      <c r="B20920" s="2" t="str">
        <f>HYPERLINK("http://ts.21cn.com/tousu/show/id/1352999","押金不退还")</f>
        <v>押金不退还</v>
      </c>
      <c r="C20920" s="2" t="s">
        <v>9</v>
      </c>
      <c r="D20920" s="2" t="s">
        <v>10</v>
      </c>
      <c r="E20920" s="2" t="str">
        <f>HYPERLINK("http://ts.21cn.com/tousu/show/id/1352999","http://ts.21cn.com/tousu/show/id/1352999")</f>
        <v>http://ts.21cn.com/tousu/show/id/1352999</v>
      </c>
      <c r="F20920" s="2" t="s">
        <v>11</v>
      </c>
      <c r="G20920" s="2" t="s">
        <v>3016</v>
      </c>
      <c r="H20920" s="2" t="s">
        <v>3017</v>
      </c>
    </row>
    <row r="20921" spans="1:8" ht="25.05" customHeight="1" x14ac:dyDescent="0.25">
      <c r="A20921" s="2" t="s">
        <v>8</v>
      </c>
      <c r="B20921" s="2" t="str">
        <f>HYPERLINK("http://ts.21cn.com/tousu/show/id/1353000","信而富")</f>
        <v>信而富</v>
      </c>
      <c r="C20921" s="2" t="s">
        <v>9</v>
      </c>
      <c r="D20921" s="2" t="s">
        <v>10</v>
      </c>
      <c r="E20921" s="2" t="str">
        <f>HYPERLINK("http://ts.21cn.com/tousu/show/id/1353000","http://ts.21cn.com/tousu/show/id/1353000")</f>
        <v>http://ts.21cn.com/tousu/show/id/1353000</v>
      </c>
      <c r="F20921" s="2" t="s">
        <v>11</v>
      </c>
      <c r="G20921" s="2" t="s">
        <v>3014</v>
      </c>
      <c r="H20921" s="2" t="s">
        <v>3015</v>
      </c>
    </row>
    <row r="20922" spans="1:8" ht="25.05" customHeight="1" x14ac:dyDescent="0.25">
      <c r="A20922" s="2" t="s">
        <v>8</v>
      </c>
      <c r="B20922" s="2" t="str">
        <f>HYPERLINK("http://ts.21cn.com/tousu/show/id/1353001","交通银行信用卡电话轰炸和捏造假案件")</f>
        <v>交通银行信用卡电话轰炸和捏造假案件</v>
      </c>
      <c r="C20922" s="2" t="s">
        <v>9</v>
      </c>
      <c r="D20922" s="2" t="s">
        <v>10</v>
      </c>
      <c r="E20922" s="2" t="str">
        <f>HYPERLINK("http://ts.21cn.com/tousu/show/id/1353001","http://ts.21cn.com/tousu/show/id/1353001")</f>
        <v>http://ts.21cn.com/tousu/show/id/1353001</v>
      </c>
      <c r="F20922" s="2" t="s">
        <v>11</v>
      </c>
      <c r="G20922" s="2" t="s">
        <v>3012</v>
      </c>
      <c r="H20922" s="2" t="s">
        <v>3013</v>
      </c>
    </row>
    <row r="20923" spans="1:8" ht="25.05" customHeight="1" x14ac:dyDescent="0.25">
      <c r="A20923" s="2" t="s">
        <v>8</v>
      </c>
      <c r="B20923" s="2" t="str">
        <f>HYPERLINK("http://ts.21cn.com/tousu/show/id/1353002","宏萨乱扣钱")</f>
        <v>宏萨乱扣钱</v>
      </c>
      <c r="C20923" s="2" t="s">
        <v>9</v>
      </c>
      <c r="D20923" s="2" t="s">
        <v>10</v>
      </c>
      <c r="E20923" s="2" t="str">
        <f>HYPERLINK("http://ts.21cn.com/tousu/show/id/1353002","http://ts.21cn.com/tousu/show/id/1353002")</f>
        <v>http://ts.21cn.com/tousu/show/id/1353002</v>
      </c>
      <c r="F20923" s="2" t="s">
        <v>11</v>
      </c>
      <c r="G20923" s="2" t="s">
        <v>3010</v>
      </c>
      <c r="H20923" s="2" t="s">
        <v>3011</v>
      </c>
    </row>
    <row r="20924" spans="1:8" ht="25.05" customHeight="1" x14ac:dyDescent="0.25">
      <c r="A20924" s="2" t="s">
        <v>8</v>
      </c>
      <c r="B20924" s="2" t="str">
        <f>HYPERLINK("http://ts.21cn.com/tousu/show/id/1353003","点点通")</f>
        <v>点点通</v>
      </c>
      <c r="C20924" s="2" t="s">
        <v>9</v>
      </c>
      <c r="D20924" s="2" t="s">
        <v>10</v>
      </c>
      <c r="E20924" s="2" t="str">
        <f>HYPERLINK("http://ts.21cn.com/tousu/show/id/1353003","http://ts.21cn.com/tousu/show/id/1353003")</f>
        <v>http://ts.21cn.com/tousu/show/id/1353003</v>
      </c>
      <c r="F20924" s="2" t="s">
        <v>11</v>
      </c>
      <c r="G20924" s="2" t="s">
        <v>3008</v>
      </c>
      <c r="H20924" s="2" t="s">
        <v>3009</v>
      </c>
    </row>
    <row r="20925" spans="1:8" ht="25.05" customHeight="1" x14ac:dyDescent="0.25">
      <c r="A20925" s="2" t="s">
        <v>8</v>
      </c>
      <c r="B20925" s="2" t="str">
        <f>HYPERLINK("http://ts.21cn.com/tousu/show/id/1353004","铜钱罐贷款平台高额砍头息，威胁爆通讯录！")</f>
        <v>铜钱罐贷款平台高额砍头息，威胁爆通讯录！</v>
      </c>
      <c r="C20925" s="2" t="s">
        <v>9</v>
      </c>
      <c r="D20925" s="2" t="s">
        <v>10</v>
      </c>
      <c r="E20925" s="2" t="str">
        <f>HYPERLINK("http://ts.21cn.com/tousu/show/id/1353004","http://ts.21cn.com/tousu/show/id/1353004")</f>
        <v>http://ts.21cn.com/tousu/show/id/1353004</v>
      </c>
      <c r="F20925" s="2" t="s">
        <v>11</v>
      </c>
      <c r="G20925" s="2" t="s">
        <v>3005</v>
      </c>
      <c r="H20925" s="2" t="s">
        <v>3006</v>
      </c>
    </row>
    <row r="20926" spans="1:8" ht="25.05" customHeight="1" x14ac:dyDescent="0.25">
      <c r="A20926" s="2" t="s">
        <v>8</v>
      </c>
      <c r="B20926" s="2" t="str">
        <f>HYPERLINK("http://ts.21cn.com/tousu/show/id/1353005","滴滴网约车主的苦脑")</f>
        <v>滴滴网约车主的苦脑</v>
      </c>
      <c r="C20926" s="2" t="s">
        <v>34</v>
      </c>
      <c r="D20926" s="2" t="s">
        <v>10</v>
      </c>
      <c r="E20926" s="2" t="str">
        <f>HYPERLINK("http://ts.21cn.com/tousu/show/id/1353005","http://ts.21cn.com/tousu/show/id/1353005")</f>
        <v>http://ts.21cn.com/tousu/show/id/1353005</v>
      </c>
      <c r="F20926" s="2" t="s">
        <v>11</v>
      </c>
      <c r="G20926" s="2" t="s">
        <v>3005</v>
      </c>
      <c r="H20926" s="2" t="s">
        <v>3007</v>
      </c>
    </row>
    <row r="20927" spans="1:8" ht="25.05" customHeight="1" x14ac:dyDescent="0.25">
      <c r="A20927" s="2" t="s">
        <v>8</v>
      </c>
      <c r="B20927" s="2" t="str">
        <f>HYPERLINK("http://ts.21cn.com/tousu/show/id/1353006","要求马上金融按照国家法定利率结清")</f>
        <v>要求马上金融按照国家法定利率结清</v>
      </c>
      <c r="C20927" s="2" t="s">
        <v>9</v>
      </c>
      <c r="D20927" s="2" t="s">
        <v>10</v>
      </c>
      <c r="E20927" s="2" t="str">
        <f>HYPERLINK("http://ts.21cn.com/tousu/show/id/1353006","http://ts.21cn.com/tousu/show/id/1353006")</f>
        <v>http://ts.21cn.com/tousu/show/id/1353006</v>
      </c>
      <c r="F20927" s="2" t="s">
        <v>11</v>
      </c>
      <c r="G20927" s="2" t="s">
        <v>3003</v>
      </c>
      <c r="H20927" s="2" t="s">
        <v>3004</v>
      </c>
    </row>
    <row r="20928" spans="1:8" ht="25.05" customHeight="1" x14ac:dyDescent="0.25">
      <c r="A20928" s="2" t="s">
        <v>8</v>
      </c>
      <c r="B20928" s="2" t="str">
        <f>HYPERLINK("http://ts.21cn.com/tousu/show/id/1353007","马上消费金融，暴力催收，群发短信，恐吓催收")</f>
        <v>马上消费金融，暴力催收，群发短信，恐吓催收</v>
      </c>
      <c r="C20928" s="2" t="s">
        <v>9</v>
      </c>
      <c r="D20928" s="2" t="s">
        <v>10</v>
      </c>
      <c r="E20928" s="2" t="str">
        <f>HYPERLINK("http://ts.21cn.com/tousu/show/id/1353007","http://ts.21cn.com/tousu/show/id/1353007")</f>
        <v>http://ts.21cn.com/tousu/show/id/1353007</v>
      </c>
      <c r="F20928" s="2" t="s">
        <v>11</v>
      </c>
      <c r="G20928" s="2" t="s">
        <v>3002</v>
      </c>
      <c r="H20928" s="2" t="s">
        <v>2926</v>
      </c>
    </row>
    <row r="20929" spans="1:8" ht="25.05" customHeight="1" x14ac:dyDescent="0.25">
      <c r="A20929" s="2" t="s">
        <v>8</v>
      </c>
      <c r="B20929" s="2" t="str">
        <f>HYPERLINK("http://ts.21cn.com/tousu/show/id/1353009","钱站利息太高")</f>
        <v>钱站利息太高</v>
      </c>
      <c r="C20929" s="2" t="s">
        <v>9</v>
      </c>
      <c r="D20929" s="2" t="s">
        <v>10</v>
      </c>
      <c r="E20929" s="2" t="str">
        <f>HYPERLINK("http://ts.21cn.com/tousu/show/id/1353009","http://ts.21cn.com/tousu/show/id/1353009")</f>
        <v>http://ts.21cn.com/tousu/show/id/1353009</v>
      </c>
      <c r="F20929" s="2" t="s">
        <v>11</v>
      </c>
      <c r="G20929" s="2" t="s">
        <v>2999</v>
      </c>
      <c r="H20929" s="2" t="s">
        <v>3000</v>
      </c>
    </row>
    <row r="20930" spans="1:8" ht="25.05" customHeight="1" x14ac:dyDescent="0.25">
      <c r="A20930" s="2" t="s">
        <v>8</v>
      </c>
      <c r="B20930" s="2" t="str">
        <f>HYPERLINK("http://ts.21cn.com/tousu/show/id/1353008","乱收费、乱计息")</f>
        <v>乱收费、乱计息</v>
      </c>
      <c r="C20930" s="2" t="s">
        <v>9</v>
      </c>
      <c r="D20930" s="2" t="s">
        <v>10</v>
      </c>
      <c r="E20930" s="2" t="str">
        <f>HYPERLINK("http://ts.21cn.com/tousu/show/id/1353008","http://ts.21cn.com/tousu/show/id/1353008")</f>
        <v>http://ts.21cn.com/tousu/show/id/1353008</v>
      </c>
      <c r="F20930" s="2" t="s">
        <v>11</v>
      </c>
      <c r="G20930" s="2" t="s">
        <v>2999</v>
      </c>
      <c r="H20930" s="2" t="s">
        <v>3001</v>
      </c>
    </row>
    <row r="20931" spans="1:8" ht="25.05" customHeight="1" x14ac:dyDescent="0.25">
      <c r="A20931" s="2" t="s">
        <v>8</v>
      </c>
      <c r="B20931" s="2" t="str">
        <f>HYPERLINK("http://ts.21cn.com/tousu/show/id/1353010","玖富万卡阴阳合同实际还款于合同不一致")</f>
        <v>玖富万卡阴阳合同实际还款于合同不一致</v>
      </c>
      <c r="C20931" s="2" t="s">
        <v>9</v>
      </c>
      <c r="D20931" s="2" t="s">
        <v>10</v>
      </c>
      <c r="E20931" s="2" t="str">
        <f>HYPERLINK("http://ts.21cn.com/tousu/show/id/1353010","http://ts.21cn.com/tousu/show/id/1353010")</f>
        <v>http://ts.21cn.com/tousu/show/id/1353010</v>
      </c>
      <c r="F20931" s="2" t="s">
        <v>11</v>
      </c>
      <c r="G20931" s="2" t="s">
        <v>2997</v>
      </c>
      <c r="H20931" s="2" t="s">
        <v>2998</v>
      </c>
    </row>
    <row r="20932" spans="1:8" ht="25.05" customHeight="1" x14ac:dyDescent="0.25">
      <c r="A20932" s="2" t="s">
        <v>8</v>
      </c>
      <c r="B20932" s="2" t="str">
        <f>HYPERLINK("http://ts.21cn.com/tousu/show/id/1353011","唯品会售假诉求假一赔十")</f>
        <v>唯品会售假诉求假一赔十</v>
      </c>
      <c r="C20932" s="2" t="s">
        <v>34</v>
      </c>
      <c r="D20932" s="2" t="s">
        <v>10</v>
      </c>
      <c r="E20932" s="2" t="str">
        <f>HYPERLINK("http://ts.21cn.com/tousu/show/id/1353011","http://ts.21cn.com/tousu/show/id/1353011")</f>
        <v>http://ts.21cn.com/tousu/show/id/1353011</v>
      </c>
      <c r="F20932" s="2" t="s">
        <v>11</v>
      </c>
      <c r="G20932" s="2" t="s">
        <v>2995</v>
      </c>
      <c r="H20932" s="2" t="s">
        <v>2996</v>
      </c>
    </row>
    <row r="20933" spans="1:8" ht="25.05" customHeight="1" x14ac:dyDescent="0.25">
      <c r="A20933" s="2" t="s">
        <v>8</v>
      </c>
      <c r="B20933" s="2" t="str">
        <f>HYPERLINK("http://ts.21cn.com/tousu/show/id/1353013","闪付通高利贷")</f>
        <v>闪付通高利贷</v>
      </c>
      <c r="C20933" s="2" t="s">
        <v>9</v>
      </c>
      <c r="D20933" s="2" t="s">
        <v>10</v>
      </c>
      <c r="E20933" s="2" t="str">
        <f>HYPERLINK("http://ts.21cn.com/tousu/show/id/1353013","http://ts.21cn.com/tousu/show/id/1353013")</f>
        <v>http://ts.21cn.com/tousu/show/id/1353013</v>
      </c>
      <c r="F20933" s="2" t="s">
        <v>11</v>
      </c>
      <c r="G20933" s="2" t="s">
        <v>2993</v>
      </c>
      <c r="H20933" s="2" t="s">
        <v>2994</v>
      </c>
    </row>
    <row r="20934" spans="1:8" ht="25.05" customHeight="1" x14ac:dyDescent="0.25">
      <c r="A20934" s="2" t="s">
        <v>8</v>
      </c>
      <c r="B20934" s="2" t="str">
        <f>HYPERLINK("http://ts.21cn.com/tousu/show/id/1353012","钱老哥利息太高！恶意造成逾期！")</f>
        <v>钱老哥利息太高！恶意造成逾期！</v>
      </c>
      <c r="C20934" s="2" t="s">
        <v>9</v>
      </c>
      <c r="D20934" s="2" t="s">
        <v>10</v>
      </c>
      <c r="E20934" s="2" t="str">
        <f>HYPERLINK("http://ts.21cn.com/tousu/show/id/1353012","http://ts.21cn.com/tousu/show/id/1353012")</f>
        <v>http://ts.21cn.com/tousu/show/id/1353012</v>
      </c>
      <c r="F20934" s="2" t="s">
        <v>11</v>
      </c>
      <c r="G20934" s="2" t="s">
        <v>2991</v>
      </c>
      <c r="H20934" s="2" t="s">
        <v>2992</v>
      </c>
    </row>
    <row r="20935" spans="1:8" ht="25.05" customHeight="1" x14ac:dyDescent="0.25">
      <c r="A20935" s="2" t="s">
        <v>8</v>
      </c>
      <c r="B20935" s="2" t="str">
        <f>HYPERLINK("http://ts.21cn.com/tousu/show/id/1353014","上海唯一视觉旅拍公司拖延给底片时间，消费者拿底片竟等两三个月之久")</f>
        <v>上海唯一视觉旅拍公司拖延给底片时间，消费者拿底片竟等两三个月之久</v>
      </c>
      <c r="C20935" s="2" t="s">
        <v>9</v>
      </c>
      <c r="D20935" s="2" t="s">
        <v>10</v>
      </c>
      <c r="E20935" s="2" t="str">
        <f>HYPERLINK("http://ts.21cn.com/tousu/show/id/1353014","http://ts.21cn.com/tousu/show/id/1353014")</f>
        <v>http://ts.21cn.com/tousu/show/id/1353014</v>
      </c>
      <c r="F20935" s="2" t="s">
        <v>11</v>
      </c>
      <c r="G20935" s="2" t="s">
        <v>2989</v>
      </c>
      <c r="H20935" s="2" t="s">
        <v>2990</v>
      </c>
    </row>
    <row r="20936" spans="1:8" ht="25.05" customHeight="1" x14ac:dyDescent="0.25">
      <c r="A20936" s="2" t="s">
        <v>8</v>
      </c>
      <c r="B20936" s="2" t="str">
        <f>HYPERLINK("http://ts.21cn.com/tousu/show/id/1353015","么么钱包协商还款线下处理后不销账")</f>
        <v>么么钱包协商还款线下处理后不销账</v>
      </c>
      <c r="C20936" s="2" t="s">
        <v>9</v>
      </c>
      <c r="D20936" s="2" t="s">
        <v>10</v>
      </c>
      <c r="E20936" s="2" t="str">
        <f>HYPERLINK("http://ts.21cn.com/tousu/show/id/1353015","http://ts.21cn.com/tousu/show/id/1353015")</f>
        <v>http://ts.21cn.com/tousu/show/id/1353015</v>
      </c>
      <c r="F20936" s="2" t="s">
        <v>11</v>
      </c>
      <c r="G20936" s="2" t="s">
        <v>2987</v>
      </c>
      <c r="H20936" s="2" t="s">
        <v>2988</v>
      </c>
    </row>
    <row r="20937" spans="1:8" ht="25.05" customHeight="1" x14ac:dyDescent="0.25">
      <c r="A20937" s="2" t="s">
        <v>8</v>
      </c>
      <c r="B20937" s="2" t="str">
        <f>HYPERLINK("http://ts.21cn.com/tousu/show/id/1353017","捷信金融套路贷")</f>
        <v>捷信金融套路贷</v>
      </c>
      <c r="C20937" s="2" t="s">
        <v>9</v>
      </c>
      <c r="D20937" s="2" t="s">
        <v>10</v>
      </c>
      <c r="E20937" s="2" t="str">
        <f>HYPERLINK("http://ts.21cn.com/tousu/show/id/1353017","http://ts.21cn.com/tousu/show/id/1353017")</f>
        <v>http://ts.21cn.com/tousu/show/id/1353017</v>
      </c>
      <c r="F20937" s="2" t="s">
        <v>11</v>
      </c>
      <c r="G20937" s="2" t="s">
        <v>2985</v>
      </c>
      <c r="H20937" s="2" t="s">
        <v>2986</v>
      </c>
    </row>
    <row r="20938" spans="1:8" ht="25.05" customHeight="1" x14ac:dyDescent="0.25">
      <c r="A20938" s="2" t="s">
        <v>8</v>
      </c>
      <c r="B20938" s="2" t="str">
        <f>HYPERLINK("http://ts.21cn.com/tousu/show/id/1353016","喜鹊快贷催收爆通讯录")</f>
        <v>喜鹊快贷催收爆通讯录</v>
      </c>
      <c r="C20938" s="2" t="s">
        <v>9</v>
      </c>
      <c r="D20938" s="2" t="s">
        <v>10</v>
      </c>
      <c r="E20938" s="2" t="str">
        <f>HYPERLINK("http://ts.21cn.com/tousu/show/id/1353016","http://ts.21cn.com/tousu/show/id/1353016")</f>
        <v>http://ts.21cn.com/tousu/show/id/1353016</v>
      </c>
      <c r="F20938" s="2" t="s">
        <v>11</v>
      </c>
      <c r="G20938" s="2" t="s">
        <v>2983</v>
      </c>
      <c r="H20938" s="2" t="s">
        <v>2984</v>
      </c>
    </row>
    <row r="20939" spans="1:8" ht="25.05" customHeight="1" x14ac:dyDescent="0.25">
      <c r="A20939" s="2" t="s">
        <v>8</v>
      </c>
      <c r="B20939" s="2" t="str">
        <f>HYPERLINK("http://ts.21cn.com/tousu/show/id/1353018","拼多多售假，要求对处罚售假商家")</f>
        <v>拼多多售假，要求对处罚售假商家</v>
      </c>
      <c r="C20939" s="2" t="s">
        <v>9</v>
      </c>
      <c r="D20939" s="2" t="s">
        <v>10</v>
      </c>
      <c r="E20939" s="2" t="str">
        <f>HYPERLINK("http://ts.21cn.com/tousu/show/id/1353018","http://ts.21cn.com/tousu/show/id/1353018")</f>
        <v>http://ts.21cn.com/tousu/show/id/1353018</v>
      </c>
      <c r="F20939" s="2" t="s">
        <v>11</v>
      </c>
      <c r="G20939" s="2" t="s">
        <v>2981</v>
      </c>
      <c r="H20939" s="2" t="s">
        <v>2982</v>
      </c>
    </row>
    <row r="20940" spans="1:8" ht="25.05" customHeight="1" x14ac:dyDescent="0.25">
      <c r="A20940" s="2" t="s">
        <v>8</v>
      </c>
      <c r="B20940" s="2" t="str">
        <f>HYPERLINK("http://ts.21cn.com/tousu/show/id/1353019","小花钱包暴力催收")</f>
        <v>小花钱包暴力催收</v>
      </c>
      <c r="C20940" s="2" t="s">
        <v>9</v>
      </c>
      <c r="D20940" s="2" t="s">
        <v>10</v>
      </c>
      <c r="E20940" s="2" t="str">
        <f>HYPERLINK("http://ts.21cn.com/tousu/show/id/1353019","http://ts.21cn.com/tousu/show/id/1353019")</f>
        <v>http://ts.21cn.com/tousu/show/id/1353019</v>
      </c>
      <c r="F20940" s="2" t="s">
        <v>11</v>
      </c>
      <c r="G20940" s="2" t="s">
        <v>2979</v>
      </c>
      <c r="H20940" s="2" t="s">
        <v>2980</v>
      </c>
    </row>
    <row r="20941" spans="1:8" ht="25.05" customHeight="1" x14ac:dyDescent="0.25">
      <c r="A20941" s="2" t="s">
        <v>8</v>
      </c>
      <c r="B20941" s="2" t="str">
        <f>HYPERLINK("http://ts.21cn.com/tousu/show/id/1353020","天天贷富友支付联合714高炮")</f>
        <v>天天贷富友支付联合714高炮</v>
      </c>
      <c r="C20941" s="2" t="s">
        <v>9</v>
      </c>
      <c r="D20941" s="2" t="s">
        <v>10</v>
      </c>
      <c r="E20941" s="2" t="str">
        <f>HYPERLINK("http://ts.21cn.com/tousu/show/id/1353020","http://ts.21cn.com/tousu/show/id/1353020")</f>
        <v>http://ts.21cn.com/tousu/show/id/1353020</v>
      </c>
      <c r="F20941" s="2" t="s">
        <v>11</v>
      </c>
      <c r="G20941" s="2" t="s">
        <v>2977</v>
      </c>
      <c r="H20941" s="2" t="s">
        <v>2978</v>
      </c>
    </row>
    <row r="20942" spans="1:8" ht="25.05" customHeight="1" x14ac:dyDescent="0.25">
      <c r="A20942" s="2" t="s">
        <v>8</v>
      </c>
      <c r="B20942" s="2" t="str">
        <f>HYPERLINK("http://ts.21cn.com/tousu/show/id/1353021","联通客服态度恶劣")</f>
        <v>联通客服态度恶劣</v>
      </c>
      <c r="C20942" s="2" t="s">
        <v>9</v>
      </c>
      <c r="D20942" s="2" t="s">
        <v>10</v>
      </c>
      <c r="E20942" s="2" t="str">
        <f>HYPERLINK("http://ts.21cn.com/tousu/show/id/1353021","http://ts.21cn.com/tousu/show/id/1353021")</f>
        <v>http://ts.21cn.com/tousu/show/id/1353021</v>
      </c>
      <c r="F20942" s="2" t="s">
        <v>11</v>
      </c>
      <c r="G20942" s="2" t="s">
        <v>2975</v>
      </c>
      <c r="H20942" s="2" t="s">
        <v>2976</v>
      </c>
    </row>
    <row r="20943" spans="1:8" ht="25.05" customHeight="1" x14ac:dyDescent="0.25">
      <c r="A20943" s="2" t="s">
        <v>8</v>
      </c>
      <c r="B20943" s="2" t="str">
        <f>HYPERLINK("http://ts.21cn.com/tousu/show/id/1353022","要求销账")</f>
        <v>要求销账</v>
      </c>
      <c r="C20943" s="2" t="s">
        <v>9</v>
      </c>
      <c r="D20943" s="2" t="s">
        <v>10</v>
      </c>
      <c r="E20943" s="2" t="str">
        <f>HYPERLINK("http://ts.21cn.com/tousu/show/id/1353022","http://ts.21cn.com/tousu/show/id/1353022")</f>
        <v>http://ts.21cn.com/tousu/show/id/1353022</v>
      </c>
      <c r="F20943" s="2" t="s">
        <v>11</v>
      </c>
      <c r="G20943" s="2" t="s">
        <v>2973</v>
      </c>
      <c r="H20943" s="2" t="s">
        <v>2974</v>
      </c>
    </row>
    <row r="20944" spans="1:8" ht="25.05" customHeight="1" x14ac:dyDescent="0.25">
      <c r="A20944" s="2" t="s">
        <v>8</v>
      </c>
      <c r="B20944" s="2" t="str">
        <f>HYPERLINK("http://ts.21cn.com/tousu/show/id/1353023","怀疑光大银行催收人员冒充执法机关发短信")</f>
        <v>怀疑光大银行催收人员冒充执法机关发短信</v>
      </c>
      <c r="C20944" s="2" t="s">
        <v>9</v>
      </c>
      <c r="D20944" s="2" t="s">
        <v>10</v>
      </c>
      <c r="E20944" s="2" t="str">
        <f>HYPERLINK("http://ts.21cn.com/tousu/show/id/1353023","http://ts.21cn.com/tousu/show/id/1353023")</f>
        <v>http://ts.21cn.com/tousu/show/id/1353023</v>
      </c>
      <c r="F20944" s="2" t="s">
        <v>11</v>
      </c>
      <c r="G20944" s="2" t="s">
        <v>2971</v>
      </c>
      <c r="H20944" s="2" t="s">
        <v>2972</v>
      </c>
    </row>
    <row r="20945" spans="1:8" ht="25.05" customHeight="1" x14ac:dyDescent="0.25">
      <c r="A20945" s="2" t="s">
        <v>8</v>
      </c>
      <c r="B20945" s="2" t="str">
        <f>HYPERLINK("http://ts.21cn.com/tousu/show/id/1353024","投诉豆豆钱违规扣取会员费")</f>
        <v>投诉豆豆钱违规扣取会员费</v>
      </c>
      <c r="C20945" s="2" t="s">
        <v>9</v>
      </c>
      <c r="D20945" s="2" t="s">
        <v>10</v>
      </c>
      <c r="E20945" s="2" t="str">
        <f>HYPERLINK("http://ts.21cn.com/tousu/show/id/1353024","http://ts.21cn.com/tousu/show/id/1353024")</f>
        <v>http://ts.21cn.com/tousu/show/id/1353024</v>
      </c>
      <c r="F20945" s="2" t="s">
        <v>11</v>
      </c>
      <c r="G20945" s="2" t="s">
        <v>2969</v>
      </c>
      <c r="H20945" s="2" t="s">
        <v>2970</v>
      </c>
    </row>
    <row r="20946" spans="1:8" ht="25.05" customHeight="1" x14ac:dyDescent="0.25">
      <c r="A20946" s="2" t="s">
        <v>8</v>
      </c>
      <c r="B20946" s="2" t="str">
        <f>HYPERLINK("http://ts.21cn.com/tousu/show/id/1353025","高利贷")</f>
        <v>高利贷</v>
      </c>
      <c r="C20946" s="2" t="s">
        <v>9</v>
      </c>
      <c r="D20946" s="2" t="s">
        <v>10</v>
      </c>
      <c r="E20946" s="2" t="str">
        <f>HYPERLINK("http://ts.21cn.com/tousu/show/id/1353025","http://ts.21cn.com/tousu/show/id/1353025")</f>
        <v>http://ts.21cn.com/tousu/show/id/1353025</v>
      </c>
      <c r="F20946" s="2" t="s">
        <v>11</v>
      </c>
      <c r="G20946" s="2" t="s">
        <v>2967</v>
      </c>
      <c r="H20946" s="2" t="s">
        <v>2968</v>
      </c>
    </row>
    <row r="20947" spans="1:8" ht="25.05" customHeight="1" x14ac:dyDescent="0.25">
      <c r="A20947" s="2" t="s">
        <v>8</v>
      </c>
      <c r="B20947" s="2" t="str">
        <f>HYPERLINK("http://ts.21cn.com/tousu/show/id/1353027","玖富万卡高利贷")</f>
        <v>玖富万卡高利贷</v>
      </c>
      <c r="C20947" s="2" t="s">
        <v>9</v>
      </c>
      <c r="D20947" s="2" t="s">
        <v>10</v>
      </c>
      <c r="E20947" s="2" t="str">
        <f>HYPERLINK("http://ts.21cn.com/tousu/show/id/1353027","http://ts.21cn.com/tousu/show/id/1353027")</f>
        <v>http://ts.21cn.com/tousu/show/id/1353027</v>
      </c>
      <c r="F20947" s="2" t="s">
        <v>11</v>
      </c>
      <c r="G20947" s="2" t="s">
        <v>2965</v>
      </c>
      <c r="H20947" s="2" t="s">
        <v>2966</v>
      </c>
    </row>
    <row r="20948" spans="1:8" ht="25.05" customHeight="1" x14ac:dyDescent="0.25">
      <c r="A20948" s="2" t="s">
        <v>8</v>
      </c>
      <c r="B20948" s="2" t="str">
        <f>HYPERLINK("http://ts.21cn.com/tousu/show/id/1353041","龙行管家虚假宣传误导办卡")</f>
        <v>龙行管家虚假宣传误导办卡</v>
      </c>
      <c r="C20948" s="2" t="s">
        <v>9</v>
      </c>
      <c r="D20948" s="2" t="s">
        <v>10</v>
      </c>
      <c r="E20948" s="2" t="str">
        <f>HYPERLINK("http://ts.21cn.com/tousu/show/id/1353041","http://ts.21cn.com/tousu/show/id/1353041")</f>
        <v>http://ts.21cn.com/tousu/show/id/1353041</v>
      </c>
      <c r="F20948" s="2" t="s">
        <v>11</v>
      </c>
      <c r="G20948" s="2" t="s">
        <v>2963</v>
      </c>
      <c r="H20948" s="2" t="s">
        <v>2964</v>
      </c>
    </row>
    <row r="20949" spans="1:8" ht="25.05" customHeight="1" x14ac:dyDescent="0.25">
      <c r="A20949" s="2" t="s">
        <v>8</v>
      </c>
      <c r="B20949" s="2" t="str">
        <f>HYPERLINK("http://ts.21cn.com/tousu/show/id/1353028","微信账号莫名被打标成“狐狸”")</f>
        <v>微信账号莫名被打标成“狐狸”</v>
      </c>
      <c r="C20949" s="2" t="s">
        <v>34</v>
      </c>
      <c r="D20949" s="2" t="s">
        <v>10</v>
      </c>
      <c r="E20949" s="2" t="str">
        <f>HYPERLINK("http://ts.21cn.com/tousu/show/id/1353028","http://ts.21cn.com/tousu/show/id/1353028")</f>
        <v>http://ts.21cn.com/tousu/show/id/1353028</v>
      </c>
      <c r="F20949" s="2" t="s">
        <v>11</v>
      </c>
      <c r="G20949" s="2" t="s">
        <v>2961</v>
      </c>
      <c r="H20949" s="2" t="s">
        <v>2962</v>
      </c>
    </row>
    <row r="20950" spans="1:8" ht="25.05" customHeight="1" x14ac:dyDescent="0.25">
      <c r="A20950" s="2" t="s">
        <v>8</v>
      </c>
      <c r="B20950" s="2" t="str">
        <f>HYPERLINK("http://ts.21cn.com/tousu/show/id/1353030","网贷松紧带以暴力话威胁还款，他们家是高利")</f>
        <v>网贷松紧带以暴力话威胁还款，他们家是高利</v>
      </c>
      <c r="C20950" s="2" t="s">
        <v>9</v>
      </c>
      <c r="D20950" s="2" t="s">
        <v>10</v>
      </c>
      <c r="E20950" s="2" t="str">
        <f>HYPERLINK("http://ts.21cn.com/tousu/show/id/1353030","http://ts.21cn.com/tousu/show/id/1353030")</f>
        <v>http://ts.21cn.com/tousu/show/id/1353030</v>
      </c>
      <c r="F20950" s="2" t="s">
        <v>11</v>
      </c>
      <c r="G20950" s="2" t="s">
        <v>2959</v>
      </c>
      <c r="H20950" s="2" t="s">
        <v>2960</v>
      </c>
    </row>
    <row r="20951" spans="1:8" ht="25.05" customHeight="1" x14ac:dyDescent="0.25">
      <c r="A20951" s="2" t="s">
        <v>8</v>
      </c>
      <c r="B20951" s="2" t="str">
        <f>HYPERLINK("http://ts.21cn.com/tousu/show/id/1353034","招联金融")</f>
        <v>招联金融</v>
      </c>
      <c r="C20951" s="2" t="s">
        <v>9</v>
      </c>
      <c r="D20951" s="2" t="s">
        <v>10</v>
      </c>
      <c r="E20951" s="2" t="str">
        <f>HYPERLINK("http://ts.21cn.com/tousu/show/id/1353034","http://ts.21cn.com/tousu/show/id/1353034")</f>
        <v>http://ts.21cn.com/tousu/show/id/1353034</v>
      </c>
      <c r="F20951" s="2" t="s">
        <v>11</v>
      </c>
      <c r="G20951" s="2" t="s">
        <v>2957</v>
      </c>
      <c r="H20951" s="2" t="s">
        <v>2958</v>
      </c>
    </row>
    <row r="20952" spans="1:8" ht="25.05" customHeight="1" x14ac:dyDescent="0.25">
      <c r="A20952" s="2" t="s">
        <v>8</v>
      </c>
      <c r="B20952" s="2" t="str">
        <f>HYPERLINK("http://ts.21cn.com/tousu/show/id/1353035","立刻出行不退押金")</f>
        <v>立刻出行不退押金</v>
      </c>
      <c r="C20952" s="2" t="s">
        <v>9</v>
      </c>
      <c r="D20952" s="2" t="s">
        <v>10</v>
      </c>
      <c r="E20952" s="2" t="str">
        <f>HYPERLINK("http://ts.21cn.com/tousu/show/id/1353035","http://ts.21cn.com/tousu/show/id/1353035")</f>
        <v>http://ts.21cn.com/tousu/show/id/1353035</v>
      </c>
      <c r="F20952" s="2" t="s">
        <v>11</v>
      </c>
      <c r="G20952" s="2" t="s">
        <v>2955</v>
      </c>
      <c r="H20952" s="2" t="s">
        <v>2956</v>
      </c>
    </row>
    <row r="20953" spans="1:8" ht="25.05" customHeight="1" x14ac:dyDescent="0.25">
      <c r="A20953" s="2" t="s">
        <v>8</v>
      </c>
      <c r="B20953" s="2" t="str">
        <f>HYPERLINK("http://ts.21cn.com/tousu/show/id/1353036","威胁恐吓暴力催收")</f>
        <v>威胁恐吓暴力催收</v>
      </c>
      <c r="C20953" s="2" t="s">
        <v>9</v>
      </c>
      <c r="D20953" s="2" t="s">
        <v>10</v>
      </c>
      <c r="E20953" s="2" t="str">
        <f>HYPERLINK("http://ts.21cn.com/tousu/show/id/1353036","http://ts.21cn.com/tousu/show/id/1353036")</f>
        <v>http://ts.21cn.com/tousu/show/id/1353036</v>
      </c>
      <c r="F20953" s="2" t="s">
        <v>11</v>
      </c>
      <c r="G20953" s="2" t="s">
        <v>2953</v>
      </c>
      <c r="H20953" s="2" t="s">
        <v>2954</v>
      </c>
    </row>
    <row r="20954" spans="1:8" ht="25.05" customHeight="1" x14ac:dyDescent="0.25">
      <c r="A20954" s="2" t="s">
        <v>8</v>
      </c>
      <c r="B20954" s="2" t="str">
        <f>HYPERLINK("http://ts.21cn.com/tousu/show/id/1353037","存钱柜高利贷")</f>
        <v>存钱柜高利贷</v>
      </c>
      <c r="C20954" s="2" t="s">
        <v>9</v>
      </c>
      <c r="D20954" s="2" t="s">
        <v>10</v>
      </c>
      <c r="E20954" s="2" t="str">
        <f>HYPERLINK("http://ts.21cn.com/tousu/show/id/1353037","http://ts.21cn.com/tousu/show/id/1353037")</f>
        <v>http://ts.21cn.com/tousu/show/id/1353037</v>
      </c>
      <c r="F20954" s="2" t="s">
        <v>11</v>
      </c>
      <c r="G20954" s="2" t="s">
        <v>2951</v>
      </c>
      <c r="H20954" s="2" t="s">
        <v>2952</v>
      </c>
    </row>
    <row r="20955" spans="1:8" ht="25.05" customHeight="1" x14ac:dyDescent="0.25">
      <c r="A20955" s="2" t="s">
        <v>8</v>
      </c>
      <c r="B20955" s="2" t="str">
        <f>HYPERLINK("http://ts.21cn.com/tousu/show/id/1353038","玖富万卡客服私下要我们多还钱")</f>
        <v>玖富万卡客服私下要我们多还钱</v>
      </c>
      <c r="C20955" s="2" t="s">
        <v>9</v>
      </c>
      <c r="D20955" s="2" t="s">
        <v>10</v>
      </c>
      <c r="E20955" s="2" t="str">
        <f>HYPERLINK("http://ts.21cn.com/tousu/show/id/1353038","http://ts.21cn.com/tousu/show/id/1353038")</f>
        <v>http://ts.21cn.com/tousu/show/id/1353038</v>
      </c>
      <c r="F20955" s="2" t="s">
        <v>11</v>
      </c>
      <c r="G20955" s="2" t="s">
        <v>2949</v>
      </c>
      <c r="H20955" s="2" t="s">
        <v>2950</v>
      </c>
    </row>
    <row r="20956" spans="1:8" ht="25.05" customHeight="1" x14ac:dyDescent="0.25">
      <c r="A20956" s="2" t="s">
        <v>8</v>
      </c>
      <c r="B20956" s="2" t="str">
        <f>HYPERLINK("http://ts.21cn.com/tousu/show/id/1353040","威胁并拨打第三者电话")</f>
        <v>威胁并拨打第三者电话</v>
      </c>
      <c r="C20956" s="2" t="s">
        <v>9</v>
      </c>
      <c r="D20956" s="2" t="s">
        <v>10</v>
      </c>
      <c r="E20956" s="2" t="str">
        <f>HYPERLINK("http://ts.21cn.com/tousu/show/id/1353040","http://ts.21cn.com/tousu/show/id/1353040")</f>
        <v>http://ts.21cn.com/tousu/show/id/1353040</v>
      </c>
      <c r="F20956" s="2" t="s">
        <v>11</v>
      </c>
      <c r="G20956" s="2" t="s">
        <v>2947</v>
      </c>
      <c r="H20956" s="2" t="s">
        <v>2948</v>
      </c>
    </row>
    <row r="20957" spans="1:8" ht="25.05" customHeight="1" x14ac:dyDescent="0.25">
      <c r="A20957" s="2" t="s">
        <v>8</v>
      </c>
      <c r="B20957" s="2" t="str">
        <f>HYPERLINK("http://ts.21cn.com/tousu/show/id/1353042","汇潮支付为714高利贷下款")</f>
        <v>汇潮支付为714高利贷下款</v>
      </c>
      <c r="C20957" s="2" t="s">
        <v>9</v>
      </c>
      <c r="D20957" s="2" t="s">
        <v>10</v>
      </c>
      <c r="E20957" s="2" t="str">
        <f>HYPERLINK("http://ts.21cn.com/tousu/show/id/1353042","http://ts.21cn.com/tousu/show/id/1353042")</f>
        <v>http://ts.21cn.com/tousu/show/id/1353042</v>
      </c>
      <c r="F20957" s="2" t="s">
        <v>11</v>
      </c>
      <c r="G20957" s="2" t="s">
        <v>2945</v>
      </c>
      <c r="H20957" s="2" t="s">
        <v>2946</v>
      </c>
    </row>
    <row r="20958" spans="1:8" ht="25.05" customHeight="1" x14ac:dyDescent="0.25">
      <c r="A20958" s="2" t="s">
        <v>8</v>
      </c>
      <c r="B20958" s="2" t="str">
        <f>HYPERLINK("http://ts.21cn.com/tousu/show/id/1349753","高利贷")</f>
        <v>高利贷</v>
      </c>
      <c r="C20958" s="2" t="s">
        <v>9</v>
      </c>
      <c r="D20958" s="2" t="s">
        <v>10</v>
      </c>
      <c r="E20958" s="2" t="str">
        <f>HYPERLINK("http://ts.21cn.com/tousu/show/id/1349753","http://ts.21cn.com/tousu/show/id/1349753")</f>
        <v>http://ts.21cn.com/tousu/show/id/1349753</v>
      </c>
      <c r="F20958" s="2" t="s">
        <v>11</v>
      </c>
      <c r="G20958" s="2" t="s">
        <v>2943</v>
      </c>
      <c r="H20958" s="2" t="s">
        <v>2944</v>
      </c>
    </row>
    <row r="20959" spans="1:8" ht="25.05" customHeight="1" x14ac:dyDescent="0.25">
      <c r="A20959" s="2" t="s">
        <v>8</v>
      </c>
      <c r="B20959" s="2" t="str">
        <f>HYPERLINK("http://ts.21cn.com/tousu/show/id/1353044","你我贷暴力催收乱发律师函爆通讯录")</f>
        <v>你我贷暴力催收乱发律师函爆通讯录</v>
      </c>
      <c r="C20959" s="2" t="s">
        <v>9</v>
      </c>
      <c r="D20959" s="2" t="s">
        <v>10</v>
      </c>
      <c r="E20959" s="2" t="str">
        <f>HYPERLINK("http://ts.21cn.com/tousu/show/id/1353044","http://ts.21cn.com/tousu/show/id/1353044")</f>
        <v>http://ts.21cn.com/tousu/show/id/1353044</v>
      </c>
      <c r="F20959" s="2" t="s">
        <v>11</v>
      </c>
      <c r="G20959" s="2" t="s">
        <v>2941</v>
      </c>
      <c r="H20959" s="2" t="s">
        <v>2942</v>
      </c>
    </row>
    <row r="20960" spans="1:8" ht="25.05" customHeight="1" x14ac:dyDescent="0.25">
      <c r="A20960" s="2" t="s">
        <v>8</v>
      </c>
      <c r="B20960" s="2" t="str">
        <f>HYPERLINK("http://ts.21cn.com/tousu/show/id/1353043","账号被找回，不肯按保险赔偿")</f>
        <v>账号被找回，不肯按保险赔偿</v>
      </c>
      <c r="C20960" s="2" t="s">
        <v>9</v>
      </c>
      <c r="D20960" s="2" t="s">
        <v>10</v>
      </c>
      <c r="E20960" s="2" t="str">
        <f>HYPERLINK("http://ts.21cn.com/tousu/show/id/1353043","http://ts.21cn.com/tousu/show/id/1353043")</f>
        <v>http://ts.21cn.com/tousu/show/id/1353043</v>
      </c>
      <c r="F20960" s="2" t="s">
        <v>11</v>
      </c>
      <c r="G20960" s="2" t="s">
        <v>2939</v>
      </c>
      <c r="H20960" s="2" t="s">
        <v>2940</v>
      </c>
    </row>
    <row r="20961" spans="1:8" ht="25.05" customHeight="1" x14ac:dyDescent="0.25">
      <c r="A20961" s="2" t="s">
        <v>8</v>
      </c>
      <c r="B20961" s="2" t="str">
        <f>HYPERLINK("http://ts.21cn.com/tousu/show/id/1353045","豆豆钱，维信金科，暴力催收，乱收费用。")</f>
        <v>豆豆钱，维信金科，暴力催收，乱收费用。</v>
      </c>
      <c r="C20961" s="2" t="s">
        <v>9</v>
      </c>
      <c r="D20961" s="2" t="s">
        <v>10</v>
      </c>
      <c r="E20961" s="2" t="str">
        <f>HYPERLINK("http://ts.21cn.com/tousu/show/id/1353045","http://ts.21cn.com/tousu/show/id/1353045")</f>
        <v>http://ts.21cn.com/tousu/show/id/1353045</v>
      </c>
      <c r="F20961" s="2" t="s">
        <v>11</v>
      </c>
      <c r="G20961" s="2" t="s">
        <v>2937</v>
      </c>
      <c r="H20961" s="2" t="s">
        <v>2938</v>
      </c>
    </row>
    <row r="20962" spans="1:8" ht="25.05" customHeight="1" x14ac:dyDescent="0.25">
      <c r="A20962" s="2" t="s">
        <v>8</v>
      </c>
      <c r="B20962" s="2" t="str">
        <f>HYPERLINK("http://ts.21cn.com/tousu/show/id/1348906","上海得仕股份有限公司为非法赌博网站提供支付通道")</f>
        <v>上海得仕股份有限公司为非法赌博网站提供支付通道</v>
      </c>
      <c r="C20962" s="2" t="s">
        <v>9</v>
      </c>
      <c r="D20962" s="2" t="s">
        <v>10</v>
      </c>
      <c r="E20962" s="2" t="str">
        <f>HYPERLINK("http://ts.21cn.com/tousu/show/id/1348906","http://ts.21cn.com/tousu/show/id/1348906")</f>
        <v>http://ts.21cn.com/tousu/show/id/1348906</v>
      </c>
      <c r="F20962" s="2" t="s">
        <v>11</v>
      </c>
      <c r="G20962" s="2" t="s">
        <v>2935</v>
      </c>
      <c r="H20962" s="2" t="s">
        <v>2936</v>
      </c>
    </row>
    <row r="20963" spans="1:8" ht="25.05" customHeight="1" x14ac:dyDescent="0.25">
      <c r="A20963" s="2" t="s">
        <v>8</v>
      </c>
      <c r="B20963" s="2" t="str">
        <f>HYPERLINK("http://ts.21cn.com/tousu/show/id/1353046","捷信公司暴力催收")</f>
        <v>捷信公司暴力催收</v>
      </c>
      <c r="C20963" s="2" t="s">
        <v>9</v>
      </c>
      <c r="D20963" s="2" t="s">
        <v>10</v>
      </c>
      <c r="E20963" s="2" t="str">
        <f>HYPERLINK("http://ts.21cn.com/tousu/show/id/1353046","http://ts.21cn.com/tousu/show/id/1353046")</f>
        <v>http://ts.21cn.com/tousu/show/id/1353046</v>
      </c>
      <c r="F20963" s="2" t="s">
        <v>11</v>
      </c>
      <c r="G20963" s="2" t="s">
        <v>2933</v>
      </c>
      <c r="H20963" s="2" t="s">
        <v>2934</v>
      </c>
    </row>
    <row r="20964" spans="1:8" ht="25.05" customHeight="1" x14ac:dyDescent="0.25">
      <c r="A20964" s="2" t="s">
        <v>8</v>
      </c>
      <c r="B20964" s="2" t="str">
        <f>HYPERLINK("http://ts.21cn.com/tousu/show/id/1353048","美团生活费恐吓，威胁爆通信录")</f>
        <v>美团生活费恐吓，威胁爆通信录</v>
      </c>
      <c r="C20964" s="2" t="s">
        <v>9</v>
      </c>
      <c r="D20964" s="2" t="s">
        <v>10</v>
      </c>
      <c r="E20964" s="2" t="str">
        <f>HYPERLINK("http://ts.21cn.com/tousu/show/id/1353048","http://ts.21cn.com/tousu/show/id/1353048")</f>
        <v>http://ts.21cn.com/tousu/show/id/1353048</v>
      </c>
      <c r="F20964" s="2" t="s">
        <v>11</v>
      </c>
      <c r="G20964" s="2" t="s">
        <v>2931</v>
      </c>
      <c r="H20964" s="2" t="s">
        <v>2932</v>
      </c>
    </row>
    <row r="20965" spans="1:8" ht="25.05" customHeight="1" x14ac:dyDescent="0.25">
      <c r="A20965" s="2" t="s">
        <v>8</v>
      </c>
      <c r="B20965" s="2" t="str">
        <f>HYPERLINK("http://ts.21cn.com/tousu/show/id/1353047","光大银行")</f>
        <v>光大银行</v>
      </c>
      <c r="C20965" s="2" t="s">
        <v>9</v>
      </c>
      <c r="D20965" s="2" t="s">
        <v>10</v>
      </c>
      <c r="E20965" s="2" t="str">
        <f>HYPERLINK("http://ts.21cn.com/tousu/show/id/1353047","http://ts.21cn.com/tousu/show/id/1353047")</f>
        <v>http://ts.21cn.com/tousu/show/id/1353047</v>
      </c>
      <c r="F20965" s="2" t="s">
        <v>11</v>
      </c>
      <c r="G20965" s="2" t="s">
        <v>2929</v>
      </c>
      <c r="H20965" s="2" t="s">
        <v>2930</v>
      </c>
    </row>
    <row r="20966" spans="1:8" ht="25.05" customHeight="1" x14ac:dyDescent="0.25">
      <c r="A20966" s="2" t="s">
        <v>8</v>
      </c>
      <c r="B20966" s="2" t="str">
        <f>HYPERLINK("http://ts.21cn.com/tousu/show/id/1353049","点点贷款平台催收骚扰我朋友")</f>
        <v>点点贷款平台催收骚扰我朋友</v>
      </c>
      <c r="C20966" s="2" t="s">
        <v>9</v>
      </c>
      <c r="D20966" s="2" t="s">
        <v>10</v>
      </c>
      <c r="E20966" s="2" t="str">
        <f>HYPERLINK("http://ts.21cn.com/tousu/show/id/1353049","http://ts.21cn.com/tousu/show/id/1353049")</f>
        <v>http://ts.21cn.com/tousu/show/id/1353049</v>
      </c>
      <c r="F20966" s="2" t="s">
        <v>11</v>
      </c>
      <c r="G20966" s="2" t="s">
        <v>2927</v>
      </c>
      <c r="H20966" s="2" t="s">
        <v>2928</v>
      </c>
    </row>
    <row r="20967" spans="1:8" ht="25.05" customHeight="1" x14ac:dyDescent="0.25">
      <c r="A20967" s="2" t="s">
        <v>8</v>
      </c>
      <c r="B20967" s="2" t="str">
        <f>HYPERLINK("http://ts.21cn.com/tousu/show/id/1353051","唯品金融暴力催收")</f>
        <v>唯品金融暴力催收</v>
      </c>
      <c r="C20967" s="2" t="s">
        <v>9</v>
      </c>
      <c r="D20967" s="2" t="s">
        <v>10</v>
      </c>
      <c r="E20967" s="2" t="str">
        <f>HYPERLINK("http://ts.21cn.com/tousu/show/id/1353051","http://ts.21cn.com/tousu/show/id/1353051")</f>
        <v>http://ts.21cn.com/tousu/show/id/1353051</v>
      </c>
      <c r="F20967" s="2" t="s">
        <v>11</v>
      </c>
      <c r="G20967" s="2" t="s">
        <v>2925</v>
      </c>
      <c r="H20967" s="2" t="s">
        <v>2926</v>
      </c>
    </row>
    <row r="20968" spans="1:8" ht="25.05" customHeight="1" x14ac:dyDescent="0.25">
      <c r="A20968" s="2" t="s">
        <v>8</v>
      </c>
      <c r="B20968" s="2" t="str">
        <f>HYPERLINK("http://ts.21cn.com/tousu/show/id/1353052","钱站高利贷阴阳合同暴力催收骚扰")</f>
        <v>钱站高利贷阴阳合同暴力催收骚扰</v>
      </c>
      <c r="C20968" s="2" t="s">
        <v>9</v>
      </c>
      <c r="D20968" s="2" t="s">
        <v>10</v>
      </c>
      <c r="E20968" s="2" t="str">
        <f>HYPERLINK("http://ts.21cn.com/tousu/show/id/1353052","http://ts.21cn.com/tousu/show/id/1353052")</f>
        <v>http://ts.21cn.com/tousu/show/id/1353052</v>
      </c>
      <c r="F20968" s="2" t="s">
        <v>11</v>
      </c>
      <c r="G20968" s="2" t="s">
        <v>2923</v>
      </c>
      <c r="H20968" s="2" t="s">
        <v>2924</v>
      </c>
    </row>
    <row r="20969" spans="1:8" ht="25.05" customHeight="1" x14ac:dyDescent="0.25">
      <c r="A20969" s="2" t="s">
        <v>8</v>
      </c>
      <c r="B20969" s="2" t="str">
        <f>HYPERLINK("http://ts.21cn.com/tousu/show/id/1353053","现金巴士非法暴力催收")</f>
        <v>现金巴士非法暴力催收</v>
      </c>
      <c r="C20969" s="2" t="s">
        <v>9</v>
      </c>
      <c r="D20969" s="2" t="s">
        <v>10</v>
      </c>
      <c r="E20969" s="2" t="str">
        <f>HYPERLINK("http://ts.21cn.com/tousu/show/id/1353053","http://ts.21cn.com/tousu/show/id/1353053")</f>
        <v>http://ts.21cn.com/tousu/show/id/1353053</v>
      </c>
      <c r="F20969" s="2" t="s">
        <v>11</v>
      </c>
      <c r="G20969" s="2" t="s">
        <v>2921</v>
      </c>
      <c r="H20969" s="2" t="s">
        <v>2922</v>
      </c>
    </row>
    <row r="20970" spans="1:8" ht="25.05" customHeight="1" x14ac:dyDescent="0.25">
      <c r="A20970" s="2" t="s">
        <v>8</v>
      </c>
      <c r="B20970" s="2" t="str">
        <f>HYPERLINK("http://ts.21cn.com/tousu/show/id/1353054","钱站")</f>
        <v>钱站</v>
      </c>
      <c r="C20970" s="2" t="s">
        <v>9</v>
      </c>
      <c r="D20970" s="2" t="s">
        <v>10</v>
      </c>
      <c r="E20970" s="2" t="str">
        <f>HYPERLINK("http://ts.21cn.com/tousu/show/id/1353054","http://ts.21cn.com/tousu/show/id/1353054")</f>
        <v>http://ts.21cn.com/tousu/show/id/1353054</v>
      </c>
      <c r="F20970" s="2" t="s">
        <v>11</v>
      </c>
      <c r="G20970" s="2" t="s">
        <v>2919</v>
      </c>
      <c r="H20970" s="2" t="s">
        <v>2920</v>
      </c>
    </row>
    <row r="20971" spans="1:8" ht="25.05" customHeight="1" x14ac:dyDescent="0.25">
      <c r="A20971" s="2" t="s">
        <v>8</v>
      </c>
      <c r="B20971" s="2" t="str">
        <f>HYPERLINK("http://ts.21cn.com/tousu/show/id/1353055","中国移动湖南长沙分公司侵犯消费者选择权及知情权")</f>
        <v>中国移动湖南长沙分公司侵犯消费者选择权及知情权</v>
      </c>
      <c r="C20971" s="2" t="s">
        <v>9</v>
      </c>
      <c r="D20971" s="2" t="s">
        <v>10</v>
      </c>
      <c r="E20971" s="2" t="str">
        <f>HYPERLINK("http://ts.21cn.com/tousu/show/id/1353055","http://ts.21cn.com/tousu/show/id/1353055")</f>
        <v>http://ts.21cn.com/tousu/show/id/1353055</v>
      </c>
      <c r="F20971" s="2" t="s">
        <v>11</v>
      </c>
      <c r="G20971" s="2" t="s">
        <v>2917</v>
      </c>
      <c r="H20971" s="2" t="s">
        <v>2918</v>
      </c>
    </row>
    <row r="20972" spans="1:8" ht="25.05" customHeight="1" x14ac:dyDescent="0.25">
      <c r="A20972" s="2" t="s">
        <v>8</v>
      </c>
      <c r="B20972" s="2" t="str">
        <f>HYPERLINK("http://ts.21cn.com/tousu/show/id/1353056","威胁还款")</f>
        <v>威胁还款</v>
      </c>
      <c r="C20972" s="2" t="s">
        <v>9</v>
      </c>
      <c r="D20972" s="2" t="s">
        <v>10</v>
      </c>
      <c r="E20972" s="2" t="str">
        <f>HYPERLINK("http://ts.21cn.com/tousu/show/id/1353056","http://ts.21cn.com/tousu/show/id/1353056")</f>
        <v>http://ts.21cn.com/tousu/show/id/1353056</v>
      </c>
      <c r="F20972" s="2" t="s">
        <v>11</v>
      </c>
      <c r="G20972" s="2" t="s">
        <v>2915</v>
      </c>
      <c r="H20972" s="2" t="s">
        <v>2916</v>
      </c>
    </row>
    <row r="20973" spans="1:8" ht="25.05" customHeight="1" x14ac:dyDescent="0.25">
      <c r="A20973" s="2" t="s">
        <v>8</v>
      </c>
      <c r="B20973" s="2" t="str">
        <f>HYPERLINK("http://ts.21cn.com/tousu/show/id/1353057","钱已经还了，短信还群发给好友")</f>
        <v>钱已经还了，短信还群发给好友</v>
      </c>
      <c r="C20973" s="2" t="s">
        <v>9</v>
      </c>
      <c r="D20973" s="2" t="s">
        <v>10</v>
      </c>
      <c r="E20973" s="2" t="str">
        <f>HYPERLINK("http://ts.21cn.com/tousu/show/id/1353057","http://ts.21cn.com/tousu/show/id/1353057")</f>
        <v>http://ts.21cn.com/tousu/show/id/1353057</v>
      </c>
      <c r="F20973" s="2" t="s">
        <v>11</v>
      </c>
      <c r="G20973" s="2" t="s">
        <v>2913</v>
      </c>
      <c r="H20973" s="2" t="s">
        <v>2914</v>
      </c>
    </row>
    <row r="20974" spans="1:8" ht="25.05" customHeight="1" x14ac:dyDescent="0.25">
      <c r="A20974" s="2" t="s">
        <v>8</v>
      </c>
      <c r="B20974" s="2" t="str">
        <f>HYPERLINK("http://ts.21cn.com/tousu/show/id/1353058","希望贵行退还高额利息及违约金")</f>
        <v>希望贵行退还高额利息及违约金</v>
      </c>
      <c r="C20974" s="2" t="s">
        <v>9</v>
      </c>
      <c r="D20974" s="2" t="s">
        <v>10</v>
      </c>
      <c r="E20974" s="2" t="str">
        <f>HYPERLINK("http://ts.21cn.com/tousu/show/id/1353058","http://ts.21cn.com/tousu/show/id/1353058")</f>
        <v>http://ts.21cn.com/tousu/show/id/1353058</v>
      </c>
      <c r="F20974" s="2" t="s">
        <v>11</v>
      </c>
      <c r="G20974" s="2" t="s">
        <v>2911</v>
      </c>
      <c r="H20974" s="2" t="s">
        <v>2912</v>
      </c>
    </row>
    <row r="20975" spans="1:8" ht="25.05" customHeight="1" x14ac:dyDescent="0.25">
      <c r="A20975" s="2" t="s">
        <v>8</v>
      </c>
      <c r="B20975" s="2" t="str">
        <f>HYPERLINK("http://ts.21cn.com/tousu/show/id/1353059","贷款大师麻辣贷承诺退款不退款")</f>
        <v>贷款大师麻辣贷承诺退款不退款</v>
      </c>
      <c r="C20975" s="2" t="s">
        <v>9</v>
      </c>
      <c r="D20975" s="2" t="s">
        <v>10</v>
      </c>
      <c r="E20975" s="2" t="str">
        <f>HYPERLINK("http://ts.21cn.com/tousu/show/id/1353059","http://ts.21cn.com/tousu/show/id/1353059")</f>
        <v>http://ts.21cn.com/tousu/show/id/1353059</v>
      </c>
      <c r="F20975" s="2" t="s">
        <v>11</v>
      </c>
      <c r="G20975" s="2" t="s">
        <v>2909</v>
      </c>
      <c r="H20975" s="2" t="s">
        <v>2910</v>
      </c>
    </row>
    <row r="20976" spans="1:8" ht="25.05" customHeight="1" x14ac:dyDescent="0.25">
      <c r="A20976" s="2" t="s">
        <v>8</v>
      </c>
      <c r="B20976" s="2" t="str">
        <f>HYPERLINK("http://ts.21cn.com/tousu/show/id/1353060","图图钱包714高利贷")</f>
        <v>图图钱包714高利贷</v>
      </c>
      <c r="C20976" s="2" t="s">
        <v>9</v>
      </c>
      <c r="D20976" s="2" t="s">
        <v>10</v>
      </c>
      <c r="E20976" s="2" t="str">
        <f>HYPERLINK("http://ts.21cn.com/tousu/show/id/1353060","http://ts.21cn.com/tousu/show/id/1353060")</f>
        <v>http://ts.21cn.com/tousu/show/id/1353060</v>
      </c>
      <c r="F20976" s="2" t="s">
        <v>11</v>
      </c>
      <c r="G20976" s="2" t="s">
        <v>2907</v>
      </c>
      <c r="H20976" s="2" t="s">
        <v>2908</v>
      </c>
    </row>
    <row r="20977" spans="1:8" ht="25.05" customHeight="1" x14ac:dyDescent="0.25">
      <c r="A20977" s="2" t="s">
        <v>8</v>
      </c>
      <c r="B20977" s="2" t="str">
        <f>HYPERLINK("http://ts.21cn.com/tousu/show/id/1353062","闪银瞬瞬借款到期催收疯狂电话骚扰")</f>
        <v>闪银瞬瞬借款到期催收疯狂电话骚扰</v>
      </c>
      <c r="C20977" s="2" t="s">
        <v>9</v>
      </c>
      <c r="D20977" s="2" t="s">
        <v>10</v>
      </c>
      <c r="E20977" s="2" t="str">
        <f>HYPERLINK("http://ts.21cn.com/tousu/show/id/1353062","http://ts.21cn.com/tousu/show/id/1353062")</f>
        <v>http://ts.21cn.com/tousu/show/id/1353062</v>
      </c>
      <c r="F20977" s="2" t="s">
        <v>11</v>
      </c>
      <c r="G20977" s="2" t="s">
        <v>2905</v>
      </c>
      <c r="H20977" s="2" t="s">
        <v>2906</v>
      </c>
    </row>
    <row r="20978" spans="1:8" ht="25.05" customHeight="1" x14ac:dyDescent="0.25">
      <c r="A20978" s="2" t="s">
        <v>8</v>
      </c>
      <c r="B20978" s="2" t="str">
        <f>HYPERLINK("http://ts.21cn.com/tousu/show/id/1353061","特约宏萨无缘无故扣我银行卡296块钱")</f>
        <v>特约宏萨无缘无故扣我银行卡296块钱</v>
      </c>
      <c r="C20978" s="2" t="s">
        <v>9</v>
      </c>
      <c r="D20978" s="2" t="s">
        <v>10</v>
      </c>
      <c r="E20978" s="2" t="str">
        <f>HYPERLINK("http://ts.21cn.com/tousu/show/id/1353061","http://ts.21cn.com/tousu/show/id/1353061")</f>
        <v>http://ts.21cn.com/tousu/show/id/1353061</v>
      </c>
      <c r="F20978" s="2" t="s">
        <v>11</v>
      </c>
      <c r="G20978" s="2" t="s">
        <v>2903</v>
      </c>
      <c r="H20978" s="2" t="s">
        <v>2904</v>
      </c>
    </row>
    <row r="20979" spans="1:8" ht="25.05" customHeight="1" x14ac:dyDescent="0.25">
      <c r="A20979" s="2" t="s">
        <v>8</v>
      </c>
      <c r="B20979" s="2" t="str">
        <f>HYPERLINK("http://ts.21cn.com/tousu/show/id/1353064","平安普惠暴打通讯录，开口就是骂人")</f>
        <v>平安普惠暴打通讯录，开口就是骂人</v>
      </c>
      <c r="C20979" s="2" t="s">
        <v>9</v>
      </c>
      <c r="D20979" s="2" t="s">
        <v>10</v>
      </c>
      <c r="E20979" s="2" t="str">
        <f>HYPERLINK("http://ts.21cn.com/tousu/show/id/1353064","http://ts.21cn.com/tousu/show/id/1353064")</f>
        <v>http://ts.21cn.com/tousu/show/id/1353064</v>
      </c>
      <c r="F20979" s="2" t="s">
        <v>11</v>
      </c>
      <c r="G20979" s="2" t="s">
        <v>2900</v>
      </c>
      <c r="H20979" s="2" t="s">
        <v>2901</v>
      </c>
    </row>
    <row r="20980" spans="1:8" ht="25.05" customHeight="1" x14ac:dyDescent="0.25">
      <c r="A20980" s="2" t="s">
        <v>8</v>
      </c>
      <c r="B20980" s="2" t="str">
        <f>HYPERLINK("http://ts.21cn.com/tousu/show/id/1353063","违规为非法商户提供结算")</f>
        <v>违规为非法商户提供结算</v>
      </c>
      <c r="C20980" s="2" t="s">
        <v>9</v>
      </c>
      <c r="D20980" s="2" t="s">
        <v>10</v>
      </c>
      <c r="E20980" s="2" t="str">
        <f>HYPERLINK("http://ts.21cn.com/tousu/show/id/1353063","http://ts.21cn.com/tousu/show/id/1353063")</f>
        <v>http://ts.21cn.com/tousu/show/id/1353063</v>
      </c>
      <c r="F20980" s="2" t="s">
        <v>11</v>
      </c>
      <c r="G20980" s="2" t="s">
        <v>2900</v>
      </c>
      <c r="H20980" s="2" t="s">
        <v>2902</v>
      </c>
    </row>
    <row r="20981" spans="1:8" ht="25.05" customHeight="1" x14ac:dyDescent="0.25">
      <c r="A20981" s="2" t="s">
        <v>8</v>
      </c>
      <c r="B20981" s="2" t="str">
        <f>HYPERLINK("http://ts.21cn.com/tousu/show/id/1353066","我付款后申请退款没发货平台客服一直拖着不退款")</f>
        <v>我付款后申请退款没发货平台客服一直拖着不退款</v>
      </c>
      <c r="C20981" s="2" t="s">
        <v>9</v>
      </c>
      <c r="D20981" s="2" t="s">
        <v>10</v>
      </c>
      <c r="E20981" s="2" t="str">
        <f>HYPERLINK("http://ts.21cn.com/tousu/show/id/1353066","http://ts.21cn.com/tousu/show/id/1353066")</f>
        <v>http://ts.21cn.com/tousu/show/id/1353066</v>
      </c>
      <c r="F20981" s="2" t="s">
        <v>11</v>
      </c>
      <c r="G20981" s="2" t="s">
        <v>2898</v>
      </c>
      <c r="H20981" s="2" t="s">
        <v>2899</v>
      </c>
    </row>
    <row r="20982" spans="1:8" ht="25.05" customHeight="1" x14ac:dyDescent="0.25">
      <c r="A20982" s="2" t="s">
        <v>8</v>
      </c>
      <c r="B20982" s="2" t="str">
        <f>HYPERLINK("http://ts.21cn.com/tousu/show/id/1353067","协商还款")</f>
        <v>协商还款</v>
      </c>
      <c r="C20982" s="2" t="s">
        <v>9</v>
      </c>
      <c r="D20982" s="2" t="s">
        <v>10</v>
      </c>
      <c r="E20982" s="2" t="str">
        <f>HYPERLINK("http://ts.21cn.com/tousu/show/id/1353067","http://ts.21cn.com/tousu/show/id/1353067")</f>
        <v>http://ts.21cn.com/tousu/show/id/1353067</v>
      </c>
      <c r="F20982" s="2" t="s">
        <v>11</v>
      </c>
      <c r="G20982" s="2" t="s">
        <v>2896</v>
      </c>
      <c r="H20982" s="2" t="s">
        <v>2897</v>
      </c>
    </row>
    <row r="20983" spans="1:8" ht="25.05" customHeight="1" x14ac:dyDescent="0.25">
      <c r="A20983" s="2" t="s">
        <v>8</v>
      </c>
      <c r="B20983" s="2" t="str">
        <f>HYPERLINK("http://ts.21cn.com/tousu/show/id/1353068","微粒贷外包暴力催收，恐吓单位")</f>
        <v>微粒贷外包暴力催收，恐吓单位</v>
      </c>
      <c r="C20983" s="2" t="s">
        <v>9</v>
      </c>
      <c r="D20983" s="2" t="s">
        <v>10</v>
      </c>
      <c r="E20983" s="2" t="str">
        <f>HYPERLINK("http://ts.21cn.com/tousu/show/id/1353068","http://ts.21cn.com/tousu/show/id/1353068")</f>
        <v>http://ts.21cn.com/tousu/show/id/1353068</v>
      </c>
      <c r="F20983" s="2" t="s">
        <v>11</v>
      </c>
      <c r="G20983" s="2" t="s">
        <v>2894</v>
      </c>
      <c r="H20983" s="2" t="s">
        <v>2895</v>
      </c>
    </row>
    <row r="20984" spans="1:8" ht="25.05" customHeight="1" x14ac:dyDescent="0.25">
      <c r="A20984" s="2" t="s">
        <v>8</v>
      </c>
      <c r="B20984" s="2" t="str">
        <f>HYPERLINK("http://ts.21cn.com/tousu/show/id/1353069","合利宝为714高炮提供支付通道")</f>
        <v>合利宝为714高炮提供支付通道</v>
      </c>
      <c r="C20984" s="2" t="s">
        <v>9</v>
      </c>
      <c r="D20984" s="2" t="s">
        <v>10</v>
      </c>
      <c r="E20984" s="2" t="str">
        <f>HYPERLINK("http://ts.21cn.com/tousu/show/id/1353069","http://ts.21cn.com/tousu/show/id/1353069")</f>
        <v>http://ts.21cn.com/tousu/show/id/1353069</v>
      </c>
      <c r="F20984" s="2" t="s">
        <v>11</v>
      </c>
      <c r="G20984" s="2" t="s">
        <v>2892</v>
      </c>
      <c r="H20984" s="2" t="s">
        <v>2893</v>
      </c>
    </row>
    <row r="20985" spans="1:8" ht="25.05" customHeight="1" x14ac:dyDescent="0.25">
      <c r="A20985" s="2" t="s">
        <v>8</v>
      </c>
      <c r="B20985" s="2" t="str">
        <f>HYPERLINK("http://ts.21cn.com/tousu/show/id/1353070","民生银行信用卡")</f>
        <v>民生银行信用卡</v>
      </c>
      <c r="C20985" s="2" t="s">
        <v>9</v>
      </c>
      <c r="D20985" s="2" t="s">
        <v>10</v>
      </c>
      <c r="E20985" s="2" t="str">
        <f>HYPERLINK("http://ts.21cn.com/tousu/show/id/1353070","http://ts.21cn.com/tousu/show/id/1353070")</f>
        <v>http://ts.21cn.com/tousu/show/id/1353070</v>
      </c>
      <c r="F20985" s="2" t="s">
        <v>11</v>
      </c>
      <c r="G20985" s="2" t="s">
        <v>2890</v>
      </c>
      <c r="H20985" s="2" t="s">
        <v>2891</v>
      </c>
    </row>
    <row r="20986" spans="1:8" ht="25.05" customHeight="1" x14ac:dyDescent="0.25">
      <c r="A20986" s="2" t="s">
        <v>8</v>
      </c>
      <c r="B20986" s="2" t="str">
        <f>HYPERLINK("http://ts.21cn.com/tousu/show/id/1353072","弹棉花平台骚扰")</f>
        <v>弹棉花平台骚扰</v>
      </c>
      <c r="C20986" s="2" t="s">
        <v>9</v>
      </c>
      <c r="D20986" s="2" t="s">
        <v>10</v>
      </c>
      <c r="E20986" s="2" t="str">
        <f>HYPERLINK("http://ts.21cn.com/tousu/show/id/1353072","http://ts.21cn.com/tousu/show/id/1353072")</f>
        <v>http://ts.21cn.com/tousu/show/id/1353072</v>
      </c>
      <c r="F20986" s="2" t="s">
        <v>11</v>
      </c>
      <c r="G20986" s="2" t="s">
        <v>2888</v>
      </c>
      <c r="H20986" s="2" t="s">
        <v>2889</v>
      </c>
    </row>
    <row r="20987" spans="1:8" ht="25.05" customHeight="1" x14ac:dyDescent="0.25">
      <c r="A20987" s="2" t="s">
        <v>8</v>
      </c>
      <c r="B20987" s="2" t="str">
        <f>HYPERLINK("http://ts.21cn.com/tousu/show/id/1353071","招商银行雇佣暴力催收公司")</f>
        <v>招商银行雇佣暴力催收公司</v>
      </c>
      <c r="C20987" s="2" t="s">
        <v>9</v>
      </c>
      <c r="D20987" s="2" t="s">
        <v>10</v>
      </c>
      <c r="E20987" s="2" t="str">
        <f>HYPERLINK("http://ts.21cn.com/tousu/show/id/1353071","http://ts.21cn.com/tousu/show/id/1353071")</f>
        <v>http://ts.21cn.com/tousu/show/id/1353071</v>
      </c>
      <c r="F20987" s="2" t="s">
        <v>11</v>
      </c>
      <c r="G20987" s="2" t="s">
        <v>2886</v>
      </c>
      <c r="H20987" s="2" t="s">
        <v>2887</v>
      </c>
    </row>
    <row r="20988" spans="1:8" ht="25.05" customHeight="1" x14ac:dyDescent="0.25">
      <c r="A20988" s="2" t="s">
        <v>8</v>
      </c>
      <c r="B20988" s="2" t="str">
        <f>HYPERLINK("http://ts.21cn.com/tousu/show/id/1353073","审核时间过长")</f>
        <v>审核时间过长</v>
      </c>
      <c r="C20988" s="2" t="s">
        <v>34</v>
      </c>
      <c r="D20988" s="2" t="s">
        <v>10</v>
      </c>
      <c r="E20988" s="2" t="str">
        <f>HYPERLINK("http://ts.21cn.com/tousu/show/id/1353073","http://ts.21cn.com/tousu/show/id/1353073")</f>
        <v>http://ts.21cn.com/tousu/show/id/1353073</v>
      </c>
      <c r="F20988" s="2" t="s">
        <v>11</v>
      </c>
      <c r="G20988" s="2" t="s">
        <v>2884</v>
      </c>
      <c r="H20988" s="2" t="s">
        <v>2885</v>
      </c>
    </row>
    <row r="20989" spans="1:8" ht="25.05" customHeight="1" x14ac:dyDescent="0.25">
      <c r="A20989" s="2" t="s">
        <v>8</v>
      </c>
      <c r="B20989" s="2" t="str">
        <f>HYPERLINK("http://ts.21cn.com/tousu/show/id/1353074","钱站太高利了")</f>
        <v>钱站太高利了</v>
      </c>
      <c r="C20989" s="2" t="s">
        <v>9</v>
      </c>
      <c r="D20989" s="2" t="s">
        <v>10</v>
      </c>
      <c r="E20989" s="2" t="str">
        <f>HYPERLINK("http://ts.21cn.com/tousu/show/id/1353074","http://ts.21cn.com/tousu/show/id/1353074")</f>
        <v>http://ts.21cn.com/tousu/show/id/1353074</v>
      </c>
      <c r="F20989" s="2" t="s">
        <v>11</v>
      </c>
      <c r="G20989" s="2" t="s">
        <v>2882</v>
      </c>
      <c r="H20989" s="2" t="s">
        <v>2883</v>
      </c>
    </row>
    <row r="20990" spans="1:8" ht="25.05" customHeight="1" x14ac:dyDescent="0.25">
      <c r="A20990" s="2" t="s">
        <v>8</v>
      </c>
      <c r="B20990" s="2" t="str">
        <f>HYPERLINK("http://ts.21cn.com/tousu/show/id/1353076","宏萨公司未经许可擅自扣钱")</f>
        <v>宏萨公司未经许可擅自扣钱</v>
      </c>
      <c r="C20990" s="2" t="s">
        <v>9</v>
      </c>
      <c r="D20990" s="2" t="s">
        <v>10</v>
      </c>
      <c r="E20990" s="2" t="str">
        <f>HYPERLINK("http://ts.21cn.com/tousu/show/id/1353076","http://ts.21cn.com/tousu/show/id/1353076")</f>
        <v>http://ts.21cn.com/tousu/show/id/1353076</v>
      </c>
      <c r="F20990" s="2" t="s">
        <v>11</v>
      </c>
      <c r="G20990" s="2" t="s">
        <v>2880</v>
      </c>
      <c r="H20990" s="2" t="s">
        <v>2881</v>
      </c>
    </row>
    <row r="20991" spans="1:8" ht="25.05" customHeight="1" x14ac:dyDescent="0.25">
      <c r="A20991" s="2" t="s">
        <v>8</v>
      </c>
      <c r="B20991" s="2" t="str">
        <f>HYPERLINK("http://ts.21cn.com/tousu/show/id/1353075","现金巴士恶劣收取逾期费")</f>
        <v>现金巴士恶劣收取逾期费</v>
      </c>
      <c r="C20991" s="2" t="s">
        <v>9</v>
      </c>
      <c r="D20991" s="2" t="s">
        <v>10</v>
      </c>
      <c r="E20991" s="2" t="str">
        <f>HYPERLINK("http://ts.21cn.com/tousu/show/id/1353075","http://ts.21cn.com/tousu/show/id/1353075")</f>
        <v>http://ts.21cn.com/tousu/show/id/1353075</v>
      </c>
      <c r="F20991" s="2" t="s">
        <v>11</v>
      </c>
      <c r="G20991" s="2" t="s">
        <v>2878</v>
      </c>
      <c r="H20991" s="2" t="s">
        <v>2879</v>
      </c>
    </row>
    <row r="20992" spans="1:8" ht="25.05" customHeight="1" x14ac:dyDescent="0.25">
      <c r="A20992" s="2" t="s">
        <v>8</v>
      </c>
      <c r="B20992" s="2" t="str">
        <f>HYPERLINK("http://ts.21cn.com/tousu/show/id/1353077","新橙优品恶意催收")</f>
        <v>新橙优品恶意催收</v>
      </c>
      <c r="C20992" s="2" t="s">
        <v>9</v>
      </c>
      <c r="D20992" s="2" t="s">
        <v>10</v>
      </c>
      <c r="E20992" s="2" t="str">
        <f>HYPERLINK("http://ts.21cn.com/tousu/show/id/1353077","http://ts.21cn.com/tousu/show/id/1353077")</f>
        <v>http://ts.21cn.com/tousu/show/id/1353077</v>
      </c>
      <c r="F20992" s="2" t="s">
        <v>11</v>
      </c>
      <c r="G20992" s="2" t="s">
        <v>2876</v>
      </c>
      <c r="H20992" s="2" t="s">
        <v>2877</v>
      </c>
    </row>
    <row r="20993" spans="1:8" ht="25.05" customHeight="1" x14ac:dyDescent="0.25">
      <c r="A20993" s="2" t="s">
        <v>8</v>
      </c>
      <c r="B20993" s="2" t="str">
        <f>HYPERLINK("http://ts.21cn.com/tousu/show/id/1353078","国美易卡骚扰通讯录")</f>
        <v>国美易卡骚扰通讯录</v>
      </c>
      <c r="C20993" s="2" t="s">
        <v>9</v>
      </c>
      <c r="D20993" s="2" t="s">
        <v>10</v>
      </c>
      <c r="E20993" s="2" t="str">
        <f>HYPERLINK("http://ts.21cn.com/tousu/show/id/1353078","http://ts.21cn.com/tousu/show/id/1353078")</f>
        <v>http://ts.21cn.com/tousu/show/id/1353078</v>
      </c>
      <c r="F20993" s="2" t="s">
        <v>11</v>
      </c>
      <c r="G20993" s="2" t="s">
        <v>2874</v>
      </c>
      <c r="H20993" s="2" t="s">
        <v>2875</v>
      </c>
    </row>
    <row r="20994" spans="1:8" ht="25.05" customHeight="1" x14ac:dyDescent="0.25">
      <c r="A20994" s="2" t="s">
        <v>8</v>
      </c>
      <c r="B20994" s="2" t="str">
        <f>HYPERLINK("http://ts.21cn.com/tousu/show/id/1353079","支付宝借呗第三方恶心骚扰威胁")</f>
        <v>支付宝借呗第三方恶心骚扰威胁</v>
      </c>
      <c r="C20994" s="2" t="s">
        <v>9</v>
      </c>
      <c r="D20994" s="2" t="s">
        <v>10</v>
      </c>
      <c r="E20994" s="2" t="str">
        <f>HYPERLINK("http://ts.21cn.com/tousu/show/id/1353079","http://ts.21cn.com/tousu/show/id/1353079")</f>
        <v>http://ts.21cn.com/tousu/show/id/1353079</v>
      </c>
      <c r="F20994" s="2" t="s">
        <v>11</v>
      </c>
      <c r="G20994" s="2" t="s">
        <v>2872</v>
      </c>
      <c r="H20994" s="2" t="s">
        <v>2873</v>
      </c>
    </row>
    <row r="20995" spans="1:8" ht="25.05" customHeight="1" x14ac:dyDescent="0.25">
      <c r="A20995" s="2" t="s">
        <v>8</v>
      </c>
      <c r="B20995" s="2" t="str">
        <f>HYPERLINK("http://ts.21cn.com/tousu/show/id/1353082","贷款大师钱小咖扣除高额砍头息")</f>
        <v>贷款大师钱小咖扣除高额砍头息</v>
      </c>
      <c r="C20995" s="2" t="s">
        <v>9</v>
      </c>
      <c r="D20995" s="2" t="s">
        <v>10</v>
      </c>
      <c r="E20995" s="2" t="str">
        <f>HYPERLINK("http://ts.21cn.com/tousu/show/id/1353082","http://ts.21cn.com/tousu/show/id/1353082")</f>
        <v>http://ts.21cn.com/tousu/show/id/1353082</v>
      </c>
      <c r="F20995" s="2" t="s">
        <v>11</v>
      </c>
      <c r="G20995" s="2" t="s">
        <v>2870</v>
      </c>
      <c r="H20995" s="2" t="s">
        <v>2871</v>
      </c>
    </row>
    <row r="20996" spans="1:8" ht="25.05" customHeight="1" x14ac:dyDescent="0.25">
      <c r="A20996" s="2" t="s">
        <v>8</v>
      </c>
      <c r="B20996" s="2" t="str">
        <f>HYPERLINK("http://ts.21cn.com/tousu/show/id/1353083","希望平台给我两天时间，")</f>
        <v>希望平台给我两天时间，</v>
      </c>
      <c r="C20996" s="2" t="s">
        <v>9</v>
      </c>
      <c r="D20996" s="2" t="s">
        <v>10</v>
      </c>
      <c r="E20996" s="2" t="str">
        <f>HYPERLINK("http://ts.21cn.com/tousu/show/id/1353083","http://ts.21cn.com/tousu/show/id/1353083")</f>
        <v>http://ts.21cn.com/tousu/show/id/1353083</v>
      </c>
      <c r="F20996" s="2" t="s">
        <v>11</v>
      </c>
      <c r="G20996" s="2" t="s">
        <v>2868</v>
      </c>
      <c r="H20996" s="2" t="s">
        <v>2869</v>
      </c>
    </row>
    <row r="20997" spans="1:8" ht="25.05" customHeight="1" x14ac:dyDescent="0.25">
      <c r="A20997" s="2" t="s">
        <v>8</v>
      </c>
      <c r="B20997" s="2" t="str">
        <f>HYPERLINK("http://ts.21cn.com/tousu/show/id/1353084","招商银行恶意催收")</f>
        <v>招商银行恶意催收</v>
      </c>
      <c r="C20997" s="2" t="s">
        <v>9</v>
      </c>
      <c r="D20997" s="2" t="s">
        <v>10</v>
      </c>
      <c r="E20997" s="2" t="str">
        <f>HYPERLINK("http://ts.21cn.com/tousu/show/id/1353084","http://ts.21cn.com/tousu/show/id/1353084")</f>
        <v>http://ts.21cn.com/tousu/show/id/1353084</v>
      </c>
      <c r="F20997" s="2" t="s">
        <v>11</v>
      </c>
      <c r="G20997" s="2" t="s">
        <v>2866</v>
      </c>
      <c r="H20997" s="2" t="s">
        <v>2867</v>
      </c>
    </row>
    <row r="20998" spans="1:8" ht="25.05" customHeight="1" x14ac:dyDescent="0.25">
      <c r="A20998" s="2" t="s">
        <v>8</v>
      </c>
      <c r="B20998" s="2" t="str">
        <f>HYPERLINK("http://ts.21cn.com/tousu/show/id/1353086","小赢卡贷恶意催收，爆通讯录，威胁")</f>
        <v>小赢卡贷恶意催收，爆通讯录，威胁</v>
      </c>
      <c r="C20998" s="2" t="s">
        <v>9</v>
      </c>
      <c r="D20998" s="2" t="s">
        <v>10</v>
      </c>
      <c r="E20998" s="2" t="str">
        <f>HYPERLINK("http://ts.21cn.com/tousu/show/id/1353086","http://ts.21cn.com/tousu/show/id/1353086")</f>
        <v>http://ts.21cn.com/tousu/show/id/1353086</v>
      </c>
      <c r="F20998" s="2" t="s">
        <v>11</v>
      </c>
      <c r="G20998" s="2" t="s">
        <v>2863</v>
      </c>
      <c r="H20998" s="2" t="s">
        <v>2864</v>
      </c>
    </row>
    <row r="20999" spans="1:8" ht="25.05" customHeight="1" x14ac:dyDescent="0.25">
      <c r="A20999" s="2" t="s">
        <v>8</v>
      </c>
      <c r="B20999" s="2" t="str">
        <f>HYPERLINK("http://ts.21cn.com/tousu/show/id/1353085","打击王者钱包超高利贷")</f>
        <v>打击王者钱包超高利贷</v>
      </c>
      <c r="C20999" s="2" t="s">
        <v>9</v>
      </c>
      <c r="D20999" s="2" t="s">
        <v>10</v>
      </c>
      <c r="E20999" s="2" t="str">
        <f>HYPERLINK("http://ts.21cn.com/tousu/show/id/1353085","http://ts.21cn.com/tousu/show/id/1353085")</f>
        <v>http://ts.21cn.com/tousu/show/id/1353085</v>
      </c>
      <c r="F20999" s="2" t="s">
        <v>11</v>
      </c>
      <c r="G20999" s="2" t="s">
        <v>2863</v>
      </c>
      <c r="H20999" s="2" t="s">
        <v>2865</v>
      </c>
    </row>
    <row r="21000" spans="1:8" ht="25.05" customHeight="1" x14ac:dyDescent="0.25">
      <c r="A21000" s="2" t="s">
        <v>8</v>
      </c>
      <c r="B21000" s="2" t="str">
        <f>HYPERLINK("http://ts.21cn.com/tousu/show/id/1353087","交通银行信用卡中心客服逼人辞职")</f>
        <v>交通银行信用卡中心客服逼人辞职</v>
      </c>
      <c r="C21000" s="2" t="s">
        <v>9</v>
      </c>
      <c r="D21000" s="2" t="s">
        <v>10</v>
      </c>
      <c r="E21000" s="2" t="str">
        <f>HYPERLINK("http://ts.21cn.com/tousu/show/id/1353087","http://ts.21cn.com/tousu/show/id/1353087")</f>
        <v>http://ts.21cn.com/tousu/show/id/1353087</v>
      </c>
      <c r="F21000" s="2" t="s">
        <v>11</v>
      </c>
      <c r="G21000" s="2" t="s">
        <v>2861</v>
      </c>
      <c r="H21000" s="2" t="s">
        <v>2862</v>
      </c>
    </row>
    <row r="21001" spans="1:8" ht="25.05" customHeight="1" x14ac:dyDescent="0.25">
      <c r="A21001" s="2" t="s">
        <v>8</v>
      </c>
      <c r="B21001" s="2" t="str">
        <f>HYPERLINK("http://ts.21cn.com/tousu/show/id/1353088","招联金融软暴力催收")</f>
        <v>招联金融软暴力催收</v>
      </c>
      <c r="C21001" s="2" t="s">
        <v>9</v>
      </c>
      <c r="D21001" s="2" t="s">
        <v>10</v>
      </c>
      <c r="E21001" s="2" t="str">
        <f>HYPERLINK("http://ts.21cn.com/tousu/show/id/1353088","http://ts.21cn.com/tousu/show/id/1353088")</f>
        <v>http://ts.21cn.com/tousu/show/id/1353088</v>
      </c>
      <c r="F21001" s="2" t="s">
        <v>11</v>
      </c>
      <c r="G21001" s="2" t="s">
        <v>2859</v>
      </c>
      <c r="H21001" s="2" t="s">
        <v>2860</v>
      </c>
    </row>
    <row r="21002" spans="1:8" ht="25.05" customHeight="1" x14ac:dyDescent="0.25">
      <c r="A21002" s="2" t="s">
        <v>8</v>
      </c>
      <c r="B21002" s="2" t="str">
        <f>HYPERLINK("http://ts.21cn.com/tousu/show/id/1348907","上海汇潮支付有限公司为非法赌博网站提供支付通道")</f>
        <v>上海汇潮支付有限公司为非法赌博网站提供支付通道</v>
      </c>
      <c r="C21002" s="2" t="s">
        <v>9</v>
      </c>
      <c r="D21002" s="2" t="s">
        <v>10</v>
      </c>
      <c r="E21002" s="2" t="str">
        <f>HYPERLINK("http://ts.21cn.com/tousu/show/id/1348907","http://ts.21cn.com/tousu/show/id/1348907")</f>
        <v>http://ts.21cn.com/tousu/show/id/1348907</v>
      </c>
      <c r="F21002" s="2" t="s">
        <v>11</v>
      </c>
      <c r="G21002" s="2" t="s">
        <v>2857</v>
      </c>
      <c r="H21002" s="2" t="s">
        <v>2858</v>
      </c>
    </row>
    <row r="21003" spans="1:8" ht="25.05" customHeight="1" x14ac:dyDescent="0.25">
      <c r="A21003" s="2" t="s">
        <v>8</v>
      </c>
      <c r="B21003" s="2" t="str">
        <f>HYPERLINK("http://ts.21cn.com/tousu/show/id/1353090","招联金融暴力催收，不停电话骚扰")</f>
        <v>招联金融暴力催收，不停电话骚扰</v>
      </c>
      <c r="C21003" s="2" t="s">
        <v>9</v>
      </c>
      <c r="D21003" s="2" t="s">
        <v>10</v>
      </c>
      <c r="E21003" s="2" t="str">
        <f>HYPERLINK("http://ts.21cn.com/tousu/show/id/1353090","http://ts.21cn.com/tousu/show/id/1353090")</f>
        <v>http://ts.21cn.com/tousu/show/id/1353090</v>
      </c>
      <c r="F21003" s="2" t="s">
        <v>11</v>
      </c>
      <c r="G21003" s="2" t="s">
        <v>2855</v>
      </c>
      <c r="H21003" s="2" t="s">
        <v>2856</v>
      </c>
    </row>
    <row r="21004" spans="1:8" ht="25.05" customHeight="1" x14ac:dyDescent="0.25">
      <c r="A21004" s="2" t="s">
        <v>8</v>
      </c>
      <c r="B21004" s="2" t="str">
        <f>HYPERLINK("http://ts.21cn.com/tousu/show/id/1353091","新橙优品退回强制购买的保险费")</f>
        <v>新橙优品退回强制购买的保险费</v>
      </c>
      <c r="C21004" s="2" t="s">
        <v>9</v>
      </c>
      <c r="D21004" s="2" t="s">
        <v>10</v>
      </c>
      <c r="E21004" s="2" t="str">
        <f>HYPERLINK("http://ts.21cn.com/tousu/show/id/1353091","http://ts.21cn.com/tousu/show/id/1353091")</f>
        <v>http://ts.21cn.com/tousu/show/id/1353091</v>
      </c>
      <c r="F21004" s="2" t="s">
        <v>11</v>
      </c>
      <c r="G21004" s="2" t="s">
        <v>2853</v>
      </c>
      <c r="H21004" s="2" t="s">
        <v>2854</v>
      </c>
    </row>
    <row r="21005" spans="1:8" ht="25.05" customHeight="1" x14ac:dyDescent="0.25">
      <c r="A21005" s="2" t="s">
        <v>8</v>
      </c>
      <c r="B21005" s="2" t="str">
        <f>HYPERLINK("http://ts.21cn.com/tousu/show/id/1353092","没经我同意扣了我296块钱")</f>
        <v>没经我同意扣了我296块钱</v>
      </c>
      <c r="C21005" s="2" t="s">
        <v>34</v>
      </c>
      <c r="D21005" s="2" t="s">
        <v>10</v>
      </c>
      <c r="E21005" s="2" t="str">
        <f>HYPERLINK("http://ts.21cn.com/tousu/show/id/1353092","http://ts.21cn.com/tousu/show/id/1353092")</f>
        <v>http://ts.21cn.com/tousu/show/id/1353092</v>
      </c>
      <c r="F21005" s="2" t="s">
        <v>11</v>
      </c>
      <c r="G21005" s="2" t="s">
        <v>2851</v>
      </c>
      <c r="H21005" s="2" t="s">
        <v>2852</v>
      </c>
    </row>
    <row r="21006" spans="1:8" ht="25.05" customHeight="1" x14ac:dyDescent="0.25">
      <c r="A21006" s="2" t="s">
        <v>8</v>
      </c>
      <c r="B21006" s="2" t="str">
        <f>HYPERLINK("http://ts.21cn.com/tousu/show/id/1353093","多乐优品套路贷高利贷")</f>
        <v>多乐优品套路贷高利贷</v>
      </c>
      <c r="C21006" s="2" t="s">
        <v>9</v>
      </c>
      <c r="D21006" s="2" t="s">
        <v>10</v>
      </c>
      <c r="E21006" s="2" t="str">
        <f>HYPERLINK("http://ts.21cn.com/tousu/show/id/1353093","http://ts.21cn.com/tousu/show/id/1353093")</f>
        <v>http://ts.21cn.com/tousu/show/id/1353093</v>
      </c>
      <c r="F21006" s="2" t="s">
        <v>11</v>
      </c>
      <c r="G21006" s="2" t="s">
        <v>2849</v>
      </c>
      <c r="H21006" s="2" t="s">
        <v>2850</v>
      </c>
    </row>
    <row r="21007" spans="1:8" ht="25.05" customHeight="1" x14ac:dyDescent="0.25">
      <c r="A21007" s="2" t="s">
        <v>8</v>
      </c>
      <c r="B21007" s="2" t="str">
        <f>HYPERLINK("http://ts.21cn.com/tousu/show/id/1353094","宜人万花道歉")</f>
        <v>宜人万花道歉</v>
      </c>
      <c r="C21007" s="2" t="s">
        <v>9</v>
      </c>
      <c r="D21007" s="2" t="s">
        <v>10</v>
      </c>
      <c r="E21007" s="2" t="str">
        <f>HYPERLINK("http://ts.21cn.com/tousu/show/id/1353094","http://ts.21cn.com/tousu/show/id/1353094")</f>
        <v>http://ts.21cn.com/tousu/show/id/1353094</v>
      </c>
      <c r="F21007" s="2" t="s">
        <v>11</v>
      </c>
      <c r="G21007" s="2" t="s">
        <v>2847</v>
      </c>
      <c r="H21007" s="2" t="s">
        <v>2848</v>
      </c>
    </row>
    <row r="21008" spans="1:8" ht="25.05" customHeight="1" x14ac:dyDescent="0.25">
      <c r="A21008" s="2" t="s">
        <v>8</v>
      </c>
      <c r="B21008" s="2" t="str">
        <f>HYPERLINK("http://ts.21cn.com/tousu/show/id/1353095","平安普惠贷款阴阳合同，伪造电子签名，隐瞒并强制收取高额保险费平台管理费")</f>
        <v>平安普惠贷款阴阳合同，伪造电子签名，隐瞒并强制收取高额保险费平台管理费</v>
      </c>
      <c r="C21008" s="2" t="s">
        <v>9</v>
      </c>
      <c r="D21008" s="2" t="s">
        <v>10</v>
      </c>
      <c r="E21008" s="2" t="str">
        <f>HYPERLINK("http://ts.21cn.com/tousu/show/id/1353095","http://ts.21cn.com/tousu/show/id/1353095")</f>
        <v>http://ts.21cn.com/tousu/show/id/1353095</v>
      </c>
      <c r="F21008" s="2" t="s">
        <v>11</v>
      </c>
      <c r="G21008" s="2" t="s">
        <v>2845</v>
      </c>
      <c r="H21008" s="2" t="s">
        <v>2846</v>
      </c>
    </row>
    <row r="21009" spans="1:8" ht="25.05" customHeight="1" x14ac:dyDescent="0.25">
      <c r="A21009" s="2" t="s">
        <v>8</v>
      </c>
      <c r="B21009" s="2" t="str">
        <f>HYPERLINK("http://ts.21cn.com/tousu/show/id/1353096","福贷")</f>
        <v>福贷</v>
      </c>
      <c r="C21009" s="2" t="s">
        <v>9</v>
      </c>
      <c r="D21009" s="2" t="s">
        <v>10</v>
      </c>
      <c r="E21009" s="2" t="str">
        <f>HYPERLINK("http://ts.21cn.com/tousu/show/id/1353096","http://ts.21cn.com/tousu/show/id/1353096")</f>
        <v>http://ts.21cn.com/tousu/show/id/1353096</v>
      </c>
      <c r="F21009" s="2" t="s">
        <v>11</v>
      </c>
      <c r="G21009" s="2" t="s">
        <v>2843</v>
      </c>
      <c r="H21009" s="2" t="s">
        <v>2844</v>
      </c>
    </row>
    <row r="21010" spans="1:8" ht="25.05" customHeight="1" x14ac:dyDescent="0.25">
      <c r="A21010" s="2" t="s">
        <v>8</v>
      </c>
      <c r="B21010" s="2" t="str">
        <f>HYPERLINK("http://ts.21cn.com/tousu/show/id/1353097","一来就开始变相威胁，发个人隐私轰炸通讯录，天天骚扰通讯录。")</f>
        <v>一来就开始变相威胁，发个人隐私轰炸通讯录，天天骚扰通讯录。</v>
      </c>
      <c r="C21010" s="2" t="s">
        <v>9</v>
      </c>
      <c r="D21010" s="2" t="s">
        <v>10</v>
      </c>
      <c r="E21010" s="2" t="str">
        <f>HYPERLINK("http://ts.21cn.com/tousu/show/id/1353097","http://ts.21cn.com/tousu/show/id/1353097")</f>
        <v>http://ts.21cn.com/tousu/show/id/1353097</v>
      </c>
      <c r="F21010" s="2" t="s">
        <v>11</v>
      </c>
      <c r="G21010" s="2" t="s">
        <v>2841</v>
      </c>
      <c r="H21010" s="2" t="s">
        <v>2842</v>
      </c>
    </row>
    <row r="21011" spans="1:8" ht="25.05" customHeight="1" x14ac:dyDescent="0.25">
      <c r="A21011" s="2" t="s">
        <v>8</v>
      </c>
      <c r="B21011" s="2" t="str">
        <f>HYPERLINK("http://ts.21cn.com/tousu/show/id/1353098","豆豆钱暴力催收")</f>
        <v>豆豆钱暴力催收</v>
      </c>
      <c r="C21011" s="2" t="s">
        <v>9</v>
      </c>
      <c r="D21011" s="2" t="s">
        <v>10</v>
      </c>
      <c r="E21011" s="2" t="str">
        <f>HYPERLINK("http://ts.21cn.com/tousu/show/id/1353098","http://ts.21cn.com/tousu/show/id/1353098")</f>
        <v>http://ts.21cn.com/tousu/show/id/1353098</v>
      </c>
      <c r="F21011" s="2" t="s">
        <v>11</v>
      </c>
      <c r="G21011" s="2" t="s">
        <v>2840</v>
      </c>
      <c r="H21011" s="2" t="s">
        <v>2761</v>
      </c>
    </row>
    <row r="21012" spans="1:8" ht="25.05" customHeight="1" x14ac:dyDescent="0.25">
      <c r="A21012" s="2" t="s">
        <v>8</v>
      </c>
      <c r="B21012" s="2" t="str">
        <f>HYPERLINK("http://ts.21cn.com/tousu/show/id/1353099","经济诉讼")</f>
        <v>经济诉讼</v>
      </c>
      <c r="C21012" s="2" t="s">
        <v>9</v>
      </c>
      <c r="D21012" s="2" t="s">
        <v>10</v>
      </c>
      <c r="E21012" s="2" t="str">
        <f>HYPERLINK("http://ts.21cn.com/tousu/show/id/1353099","http://ts.21cn.com/tousu/show/id/1353099")</f>
        <v>http://ts.21cn.com/tousu/show/id/1353099</v>
      </c>
      <c r="F21012" s="2" t="s">
        <v>11</v>
      </c>
      <c r="G21012" s="2" t="s">
        <v>2838</v>
      </c>
      <c r="H21012" s="2" t="s">
        <v>2839</v>
      </c>
    </row>
    <row r="21013" spans="1:8" ht="25.05" customHeight="1" x14ac:dyDescent="0.25">
      <c r="A21013" s="2" t="s">
        <v>8</v>
      </c>
      <c r="B21013" s="2" t="str">
        <f>HYPERLINK("http://ts.21cn.com/tousu/show/id/1353101","高利息")</f>
        <v>高利息</v>
      </c>
      <c r="C21013" s="2" t="s">
        <v>34</v>
      </c>
      <c r="D21013" s="2" t="s">
        <v>10</v>
      </c>
      <c r="E21013" s="2" t="str">
        <f>HYPERLINK("http://ts.21cn.com/tousu/show/id/1353101","http://ts.21cn.com/tousu/show/id/1353101")</f>
        <v>http://ts.21cn.com/tousu/show/id/1353101</v>
      </c>
      <c r="F21013" s="2" t="s">
        <v>11</v>
      </c>
      <c r="G21013" s="2" t="s">
        <v>2836</v>
      </c>
      <c r="H21013" s="2" t="s">
        <v>2837</v>
      </c>
    </row>
    <row r="21014" spans="1:8" ht="25.05" customHeight="1" x14ac:dyDescent="0.25">
      <c r="A21014" s="2" t="s">
        <v>8</v>
      </c>
      <c r="B21014" s="2" t="str">
        <f>HYPERLINK("http://ts.21cn.com/tousu/show/id/1353102","购分期在用户不知情的情况下扣会员费，私自自行扣款，涉嫌欺诈")</f>
        <v>购分期在用户不知情的情况下扣会员费，私自自行扣款，涉嫌欺诈</v>
      </c>
      <c r="C21014" s="2" t="s">
        <v>9</v>
      </c>
      <c r="D21014" s="2" t="s">
        <v>10</v>
      </c>
      <c r="E21014" s="2" t="str">
        <f>HYPERLINK("http://ts.21cn.com/tousu/show/id/1353102","http://ts.21cn.com/tousu/show/id/1353102")</f>
        <v>http://ts.21cn.com/tousu/show/id/1353102</v>
      </c>
      <c r="F21014" s="2" t="s">
        <v>11</v>
      </c>
      <c r="G21014" s="2" t="s">
        <v>2834</v>
      </c>
      <c r="H21014" s="2" t="s">
        <v>2835</v>
      </c>
    </row>
    <row r="21015" spans="1:8" ht="25.05" customHeight="1" x14ac:dyDescent="0.25">
      <c r="A21015" s="2" t="s">
        <v>8</v>
      </c>
      <c r="B21015" s="2" t="str">
        <f>HYPERLINK("http://ts.21cn.com/tousu/show/id/1353103","小当家app登陆不上不不了款")</f>
        <v>小当家app登陆不上不不了款</v>
      </c>
      <c r="C21015" s="2" t="s">
        <v>9</v>
      </c>
      <c r="D21015" s="2" t="s">
        <v>10</v>
      </c>
      <c r="E21015" s="2" t="str">
        <f>HYPERLINK("http://ts.21cn.com/tousu/show/id/1353103","http://ts.21cn.com/tousu/show/id/1353103")</f>
        <v>http://ts.21cn.com/tousu/show/id/1353103</v>
      </c>
      <c r="F21015" s="2" t="s">
        <v>11</v>
      </c>
      <c r="G21015" s="2" t="s">
        <v>2832</v>
      </c>
      <c r="H21015" s="2" t="s">
        <v>2833</v>
      </c>
    </row>
    <row r="21016" spans="1:8" ht="25.05" customHeight="1" x14ac:dyDescent="0.25">
      <c r="A21016" s="2" t="s">
        <v>8</v>
      </c>
      <c r="B21016" s="2" t="str">
        <f>HYPERLINK("http://ts.21cn.com/tousu/show/id/1353104","上海造艺网络技术有限公司恶意扣款")</f>
        <v>上海造艺网络技术有限公司恶意扣款</v>
      </c>
      <c r="C21016" s="2" t="s">
        <v>9</v>
      </c>
      <c r="D21016" s="2" t="s">
        <v>10</v>
      </c>
      <c r="E21016" s="2" t="str">
        <f>HYPERLINK("http://ts.21cn.com/tousu/show/id/1353104","http://ts.21cn.com/tousu/show/id/1353104")</f>
        <v>http://ts.21cn.com/tousu/show/id/1353104</v>
      </c>
      <c r="F21016" s="2" t="s">
        <v>11</v>
      </c>
      <c r="G21016" s="2" t="s">
        <v>2830</v>
      </c>
      <c r="H21016" s="2" t="s">
        <v>2831</v>
      </c>
    </row>
    <row r="21017" spans="1:8" ht="25.05" customHeight="1" x14ac:dyDescent="0.25">
      <c r="A21017" s="2" t="s">
        <v>8</v>
      </c>
      <c r="B21017" s="2" t="str">
        <f>HYPERLINK("http://ts.21cn.com/tousu/show/id/1353105","钱站还款800多逾期一天罚息135")</f>
        <v>钱站还款800多逾期一天罚息135</v>
      </c>
      <c r="C21017" s="2" t="s">
        <v>9</v>
      </c>
      <c r="D21017" s="2" t="s">
        <v>10</v>
      </c>
      <c r="E21017" s="2" t="str">
        <f>HYPERLINK("http://ts.21cn.com/tousu/show/id/1353105","http://ts.21cn.com/tousu/show/id/1353105")</f>
        <v>http://ts.21cn.com/tousu/show/id/1353105</v>
      </c>
      <c r="F21017" s="2" t="s">
        <v>11</v>
      </c>
      <c r="G21017" s="2" t="s">
        <v>2828</v>
      </c>
      <c r="H21017" s="2" t="s">
        <v>2829</v>
      </c>
    </row>
    <row r="21018" spans="1:8" ht="25.05" customHeight="1" x14ac:dyDescent="0.25">
      <c r="A21018" s="2" t="s">
        <v>8</v>
      </c>
      <c r="B21018" s="2" t="str">
        <f>HYPERLINK("http://ts.21cn.com/tousu/show/id/1353106","暴力措施，各种骚扰")</f>
        <v>暴力措施，各种骚扰</v>
      </c>
      <c r="C21018" s="2" t="s">
        <v>9</v>
      </c>
      <c r="D21018" s="2" t="s">
        <v>10</v>
      </c>
      <c r="E21018" s="2" t="str">
        <f>HYPERLINK("http://ts.21cn.com/tousu/show/id/1353106","http://ts.21cn.com/tousu/show/id/1353106")</f>
        <v>http://ts.21cn.com/tousu/show/id/1353106</v>
      </c>
      <c r="F21018" s="2" t="s">
        <v>11</v>
      </c>
      <c r="G21018" s="2" t="s">
        <v>2826</v>
      </c>
      <c r="H21018" s="2" t="s">
        <v>2827</v>
      </c>
    </row>
    <row r="21019" spans="1:8" ht="25.05" customHeight="1" x14ac:dyDescent="0.25">
      <c r="A21019" s="2" t="s">
        <v>8</v>
      </c>
      <c r="B21019" s="2" t="str">
        <f>HYPERLINK("http://ts.21cn.com/tousu/show/id/1353107","招联金融催收恶劣，辱骂个人，一天内多次骚扰亲友同事")</f>
        <v>招联金融催收恶劣，辱骂个人，一天内多次骚扰亲友同事</v>
      </c>
      <c r="C21019" s="2" t="s">
        <v>9</v>
      </c>
      <c r="D21019" s="2" t="s">
        <v>10</v>
      </c>
      <c r="E21019" s="2" t="str">
        <f>HYPERLINK("http://ts.21cn.com/tousu/show/id/1353107","http://ts.21cn.com/tousu/show/id/1353107")</f>
        <v>http://ts.21cn.com/tousu/show/id/1353107</v>
      </c>
      <c r="F21019" s="2" t="s">
        <v>11</v>
      </c>
      <c r="G21019" s="2" t="s">
        <v>2824</v>
      </c>
      <c r="H21019" s="2" t="s">
        <v>2825</v>
      </c>
    </row>
    <row r="21020" spans="1:8" ht="25.05" customHeight="1" x14ac:dyDescent="0.25">
      <c r="A21020" s="2" t="s">
        <v>8</v>
      </c>
      <c r="B21020" s="2" t="str">
        <f>HYPERLINK("http://ts.21cn.com/tousu/show/id/1353108","要求退款")</f>
        <v>要求退款</v>
      </c>
      <c r="C21020" s="2" t="s">
        <v>9</v>
      </c>
      <c r="D21020" s="2" t="s">
        <v>10</v>
      </c>
      <c r="E21020" s="2" t="str">
        <f>HYPERLINK("http://ts.21cn.com/tousu/show/id/1353108","http://ts.21cn.com/tousu/show/id/1353108")</f>
        <v>http://ts.21cn.com/tousu/show/id/1353108</v>
      </c>
      <c r="F21020" s="2" t="s">
        <v>11</v>
      </c>
      <c r="G21020" s="2" t="s">
        <v>2822</v>
      </c>
      <c r="H21020" s="2" t="s">
        <v>2823</v>
      </c>
    </row>
    <row r="21021" spans="1:8" ht="25.05" customHeight="1" x14ac:dyDescent="0.25">
      <c r="A21021" s="2" t="s">
        <v>8</v>
      </c>
      <c r="B21021" s="2" t="str">
        <f>HYPERLINK("http://ts.21cn.com/tousu/show/id/1319684","平安普惠贷款隐瞒隐藏并强制收取高额保险费管理费投诉事宜")</f>
        <v>平安普惠贷款隐瞒隐藏并强制收取高额保险费管理费投诉事宜</v>
      </c>
      <c r="C21021" s="2" t="s">
        <v>9</v>
      </c>
      <c r="D21021" s="2" t="s">
        <v>10</v>
      </c>
      <c r="E21021" s="2" t="str">
        <f>HYPERLINK("http://ts.21cn.com/tousu/show/id/1319684","http://ts.21cn.com/tousu/show/id/1319684")</f>
        <v>http://ts.21cn.com/tousu/show/id/1319684</v>
      </c>
      <c r="F21021" s="2" t="s">
        <v>11</v>
      </c>
      <c r="G21021" s="2" t="s">
        <v>2820</v>
      </c>
      <c r="H21021" s="2" t="s">
        <v>2821</v>
      </c>
    </row>
    <row r="21022" spans="1:8" ht="25.05" customHeight="1" x14ac:dyDescent="0.25">
      <c r="A21022" s="2" t="s">
        <v>8</v>
      </c>
      <c r="B21022" s="2" t="str">
        <f>HYPERLINK("http://ts.21cn.com/tousu/show/id/1353109","好运金砍头息高利贷")</f>
        <v>好运金砍头息高利贷</v>
      </c>
      <c r="C21022" s="2" t="s">
        <v>9</v>
      </c>
      <c r="D21022" s="2" t="s">
        <v>10</v>
      </c>
      <c r="E21022" s="2" t="str">
        <f>HYPERLINK("http://ts.21cn.com/tousu/show/id/1353109","http://ts.21cn.com/tousu/show/id/1353109")</f>
        <v>http://ts.21cn.com/tousu/show/id/1353109</v>
      </c>
      <c r="F21022" s="2" t="s">
        <v>11</v>
      </c>
      <c r="G21022" s="2" t="s">
        <v>2818</v>
      </c>
      <c r="H21022" s="2" t="s">
        <v>2819</v>
      </c>
    </row>
    <row r="21023" spans="1:8" ht="25.05" customHeight="1" x14ac:dyDescent="0.25">
      <c r="A21023" s="2" t="s">
        <v>8</v>
      </c>
      <c r="B21023" s="2" t="str">
        <f>HYPERLINK("http://ts.21cn.com/tousu/show/id/1348910","航天信息股份有限公司为非法赌博网站提供支付通道")</f>
        <v>航天信息股份有限公司为非法赌博网站提供支付通道</v>
      </c>
      <c r="C21023" s="2" t="s">
        <v>9</v>
      </c>
      <c r="D21023" s="2" t="s">
        <v>10</v>
      </c>
      <c r="E21023" s="2" t="str">
        <f>HYPERLINK("http://ts.21cn.com/tousu/show/id/1348910","http://ts.21cn.com/tousu/show/id/1348910")</f>
        <v>http://ts.21cn.com/tousu/show/id/1348910</v>
      </c>
      <c r="F21023" s="2" t="s">
        <v>11</v>
      </c>
      <c r="G21023" s="2" t="s">
        <v>2816</v>
      </c>
      <c r="H21023" s="2" t="s">
        <v>2817</v>
      </c>
    </row>
    <row r="21024" spans="1:8" ht="25.05" customHeight="1" x14ac:dyDescent="0.25">
      <c r="A21024" s="2" t="s">
        <v>8</v>
      </c>
      <c r="B21024" s="2" t="str">
        <f>HYPERLINK("http://ts.21cn.com/tousu/show/id/1353110","还款账单商家重复扣费")</f>
        <v>还款账单商家重复扣费</v>
      </c>
      <c r="C21024" s="2" t="s">
        <v>9</v>
      </c>
      <c r="D21024" s="2" t="s">
        <v>10</v>
      </c>
      <c r="E21024" s="2" t="str">
        <f>HYPERLINK("http://ts.21cn.com/tousu/show/id/1353110","http://ts.21cn.com/tousu/show/id/1353110")</f>
        <v>http://ts.21cn.com/tousu/show/id/1353110</v>
      </c>
      <c r="F21024" s="2" t="s">
        <v>11</v>
      </c>
      <c r="G21024" s="2" t="s">
        <v>2814</v>
      </c>
      <c r="H21024" s="2" t="s">
        <v>2815</v>
      </c>
    </row>
    <row r="21025" spans="1:8" ht="25.05" customHeight="1" x14ac:dyDescent="0.25">
      <c r="A21025" s="2" t="s">
        <v>8</v>
      </c>
      <c r="B21025" s="2" t="str">
        <f>HYPERLINK("http://ts.21cn.com/tousu/show/id/1353111","挖财信用卡")</f>
        <v>挖财信用卡</v>
      </c>
      <c r="C21025" s="2" t="s">
        <v>9</v>
      </c>
      <c r="D21025" s="2" t="s">
        <v>10</v>
      </c>
      <c r="E21025" s="2" t="str">
        <f>HYPERLINK("http://ts.21cn.com/tousu/show/id/1353111","http://ts.21cn.com/tousu/show/id/1353111")</f>
        <v>http://ts.21cn.com/tousu/show/id/1353111</v>
      </c>
      <c r="F21025" s="2" t="s">
        <v>11</v>
      </c>
      <c r="G21025" s="2" t="s">
        <v>2812</v>
      </c>
      <c r="H21025" s="2" t="s">
        <v>2813</v>
      </c>
    </row>
    <row r="21026" spans="1:8" ht="25.05" customHeight="1" x14ac:dyDescent="0.25">
      <c r="A21026" s="2" t="s">
        <v>8</v>
      </c>
      <c r="B21026" s="2" t="str">
        <f>HYPERLINK("http://ts.21cn.com/tousu/show/id/1353116","小米金融高利贷")</f>
        <v>小米金融高利贷</v>
      </c>
      <c r="C21026" s="2" t="s">
        <v>9</v>
      </c>
      <c r="D21026" s="2" t="s">
        <v>10</v>
      </c>
      <c r="E21026" s="2" t="str">
        <f>HYPERLINK("http://ts.21cn.com/tousu/show/id/1353116","http://ts.21cn.com/tousu/show/id/1353116")</f>
        <v>http://ts.21cn.com/tousu/show/id/1353116</v>
      </c>
      <c r="F21026" s="2" t="s">
        <v>11</v>
      </c>
      <c r="G21026" s="2" t="s">
        <v>2810</v>
      </c>
      <c r="H21026" s="2" t="s">
        <v>2811</v>
      </c>
    </row>
    <row r="21027" spans="1:8" ht="25.05" customHeight="1" x14ac:dyDescent="0.25">
      <c r="A21027" s="2" t="s">
        <v>8</v>
      </c>
      <c r="B21027" s="2" t="str">
        <f>HYPERLINK("http://ts.21cn.com/tousu/show/id/1353115","网上申请etc迟迟不发货且撤单无效")</f>
        <v>网上申请etc迟迟不发货且撤单无效</v>
      </c>
      <c r="C21027" s="2" t="s">
        <v>9</v>
      </c>
      <c r="D21027" s="2" t="s">
        <v>10</v>
      </c>
      <c r="E21027" s="2" t="str">
        <f>HYPERLINK("http://ts.21cn.com/tousu/show/id/1353115","http://ts.21cn.com/tousu/show/id/1353115")</f>
        <v>http://ts.21cn.com/tousu/show/id/1353115</v>
      </c>
      <c r="F21027" s="2" t="s">
        <v>11</v>
      </c>
      <c r="G21027" s="2" t="s">
        <v>2808</v>
      </c>
      <c r="H21027" s="2" t="s">
        <v>2809</v>
      </c>
    </row>
    <row r="21028" spans="1:8" ht="25.05" customHeight="1" x14ac:dyDescent="0.25">
      <c r="A21028" s="2" t="s">
        <v>8</v>
      </c>
      <c r="B21028" s="2" t="str">
        <f>HYPERLINK("http://ts.21cn.com/tousu/show/id/1353113","我来数科乱收取费用，")</f>
        <v>我来数科乱收取费用，</v>
      </c>
      <c r="C21028" s="2" t="s">
        <v>9</v>
      </c>
      <c r="D21028" s="2" t="s">
        <v>10</v>
      </c>
      <c r="E21028" s="2" t="str">
        <f>HYPERLINK("http://ts.21cn.com/tousu/show/id/1353113","http://ts.21cn.com/tousu/show/id/1353113")</f>
        <v>http://ts.21cn.com/tousu/show/id/1353113</v>
      </c>
      <c r="F21028" s="2" t="s">
        <v>11</v>
      </c>
      <c r="G21028" s="2" t="s">
        <v>2806</v>
      </c>
      <c r="H21028" s="2" t="s">
        <v>2807</v>
      </c>
    </row>
    <row r="21029" spans="1:8" ht="25.05" customHeight="1" x14ac:dyDescent="0.25">
      <c r="A21029" s="2" t="s">
        <v>8</v>
      </c>
      <c r="B21029" s="2" t="str">
        <f>HYPERLINK("http://ts.21cn.com/tousu/show/id/1353114","人人花乱扣费")</f>
        <v>人人花乱扣费</v>
      </c>
      <c r="C21029" s="2" t="s">
        <v>9</v>
      </c>
      <c r="D21029" s="2" t="s">
        <v>10</v>
      </c>
      <c r="E21029" s="2" t="str">
        <f>HYPERLINK("http://ts.21cn.com/tousu/show/id/1353114","http://ts.21cn.com/tousu/show/id/1353114")</f>
        <v>http://ts.21cn.com/tousu/show/id/1353114</v>
      </c>
      <c r="F21029" s="2" t="s">
        <v>11</v>
      </c>
      <c r="G21029" s="2" t="s">
        <v>2804</v>
      </c>
      <c r="H21029" s="2" t="s">
        <v>2805</v>
      </c>
    </row>
    <row r="21030" spans="1:8" ht="25.05" customHeight="1" x14ac:dyDescent="0.25">
      <c r="A21030" s="2" t="s">
        <v>8</v>
      </c>
      <c r="B21030" s="2" t="str">
        <f>HYPERLINK("http://ts.21cn.com/tousu/show/id/1353117","招联金融暴力催款")</f>
        <v>招联金融暴力催款</v>
      </c>
      <c r="C21030" s="2" t="s">
        <v>9</v>
      </c>
      <c r="D21030" s="2" t="s">
        <v>10</v>
      </c>
      <c r="E21030" s="2" t="str">
        <f>HYPERLINK("http://ts.21cn.com/tousu/show/id/1353117","http://ts.21cn.com/tousu/show/id/1353117")</f>
        <v>http://ts.21cn.com/tousu/show/id/1353117</v>
      </c>
      <c r="F21030" s="2" t="s">
        <v>11</v>
      </c>
      <c r="G21030" s="2" t="s">
        <v>2802</v>
      </c>
      <c r="H21030" s="2" t="s">
        <v>2803</v>
      </c>
    </row>
    <row r="21031" spans="1:8" ht="25.05" customHeight="1" x14ac:dyDescent="0.25">
      <c r="A21031" s="2" t="s">
        <v>8</v>
      </c>
      <c r="B21031" s="2" t="str">
        <f>HYPERLINK("http://ts.21cn.com/tousu/show/id/1353121","即有分期高利贷")</f>
        <v>即有分期高利贷</v>
      </c>
      <c r="C21031" s="2" t="s">
        <v>9</v>
      </c>
      <c r="D21031" s="2" t="s">
        <v>10</v>
      </c>
      <c r="E21031" s="2" t="str">
        <f>HYPERLINK("http://ts.21cn.com/tousu/show/id/1353121","http://ts.21cn.com/tousu/show/id/1353121")</f>
        <v>http://ts.21cn.com/tousu/show/id/1353121</v>
      </c>
      <c r="F21031" s="2" t="s">
        <v>11</v>
      </c>
      <c r="G21031" s="2" t="s">
        <v>2800</v>
      </c>
      <c r="H21031" s="2" t="s">
        <v>2801</v>
      </c>
    </row>
    <row r="21032" spans="1:8" ht="25.05" customHeight="1" x14ac:dyDescent="0.25">
      <c r="A21032" s="2" t="s">
        <v>8</v>
      </c>
      <c r="B21032" s="2" t="str">
        <f>HYPERLINK("http://ts.21cn.com/tousu/show/id/1353118","安逸花恶意催收")</f>
        <v>安逸花恶意催收</v>
      </c>
      <c r="C21032" s="2" t="s">
        <v>9</v>
      </c>
      <c r="D21032" s="2" t="s">
        <v>10</v>
      </c>
      <c r="E21032" s="2" t="str">
        <f>HYPERLINK("http://ts.21cn.com/tousu/show/id/1353118","http://ts.21cn.com/tousu/show/id/1353118")</f>
        <v>http://ts.21cn.com/tousu/show/id/1353118</v>
      </c>
      <c r="F21032" s="2" t="s">
        <v>11</v>
      </c>
      <c r="G21032" s="2" t="s">
        <v>2798</v>
      </c>
      <c r="H21032" s="2" t="s">
        <v>2799</v>
      </c>
    </row>
    <row r="21033" spans="1:8" ht="25.05" customHeight="1" x14ac:dyDescent="0.25">
      <c r="A21033" s="2" t="s">
        <v>8</v>
      </c>
      <c r="B21033" s="2" t="str">
        <f>HYPERLINK("http://ts.21cn.com/tousu/show/id/1353120","捷信金融无故骚扰")</f>
        <v>捷信金融无故骚扰</v>
      </c>
      <c r="C21033" s="2" t="s">
        <v>9</v>
      </c>
      <c r="D21033" s="2" t="s">
        <v>10</v>
      </c>
      <c r="E21033" s="2" t="str">
        <f>HYPERLINK("http://ts.21cn.com/tousu/show/id/1353120","http://ts.21cn.com/tousu/show/id/1353120")</f>
        <v>http://ts.21cn.com/tousu/show/id/1353120</v>
      </c>
      <c r="F21033" s="2" t="s">
        <v>11</v>
      </c>
      <c r="G21033" s="2" t="s">
        <v>2796</v>
      </c>
      <c r="H21033" s="2" t="s">
        <v>2797</v>
      </c>
    </row>
    <row r="21034" spans="1:8" ht="25.05" customHeight="1" x14ac:dyDescent="0.25">
      <c r="A21034" s="2" t="s">
        <v>8</v>
      </c>
      <c r="B21034" s="2" t="str">
        <f>HYPERLINK("http://ts.21cn.com/tousu/show/id/1353123","美团小白盒不给打款明细")</f>
        <v>美团小白盒不给打款明细</v>
      </c>
      <c r="C21034" s="2" t="s">
        <v>9</v>
      </c>
      <c r="D21034" s="2" t="s">
        <v>10</v>
      </c>
      <c r="E21034" s="2" t="str">
        <f>HYPERLINK("http://ts.21cn.com/tousu/show/id/1353123","http://ts.21cn.com/tousu/show/id/1353123")</f>
        <v>http://ts.21cn.com/tousu/show/id/1353123</v>
      </c>
      <c r="F21034" s="2" t="s">
        <v>11</v>
      </c>
      <c r="G21034" s="2" t="s">
        <v>2794</v>
      </c>
      <c r="H21034" s="2" t="s">
        <v>2795</v>
      </c>
    </row>
    <row r="21035" spans="1:8" ht="25.05" customHeight="1" x14ac:dyDescent="0.25">
      <c r="A21035" s="2" t="s">
        <v>8</v>
      </c>
      <c r="B21035" s="2" t="str">
        <f>HYPERLINK("http://ts.21cn.com/tousu/show/id/1353122","玖富万卡和中国人民保险收取不知名保费")</f>
        <v>玖富万卡和中国人民保险收取不知名保费</v>
      </c>
      <c r="C21035" s="2" t="s">
        <v>9</v>
      </c>
      <c r="D21035" s="2" t="s">
        <v>10</v>
      </c>
      <c r="E21035" s="2" t="str">
        <f>HYPERLINK("http://ts.21cn.com/tousu/show/id/1353122","http://ts.21cn.com/tousu/show/id/1353122")</f>
        <v>http://ts.21cn.com/tousu/show/id/1353122</v>
      </c>
      <c r="F21035" s="2" t="s">
        <v>11</v>
      </c>
      <c r="G21035" s="2" t="s">
        <v>2792</v>
      </c>
      <c r="H21035" s="2" t="s">
        <v>2793</v>
      </c>
    </row>
    <row r="21036" spans="1:8" ht="25.05" customHeight="1" x14ac:dyDescent="0.25">
      <c r="A21036" s="2" t="s">
        <v>8</v>
      </c>
      <c r="B21036" s="2" t="str">
        <f>HYPERLINK("http://ts.21cn.com/tousu/show/id/1353124","百度金融暴力催收")</f>
        <v>百度金融暴力催收</v>
      </c>
      <c r="C21036" s="2" t="s">
        <v>9</v>
      </c>
      <c r="D21036" s="2" t="s">
        <v>10</v>
      </c>
      <c r="E21036" s="2" t="str">
        <f>HYPERLINK("http://ts.21cn.com/tousu/show/id/1353124","http://ts.21cn.com/tousu/show/id/1353124")</f>
        <v>http://ts.21cn.com/tousu/show/id/1353124</v>
      </c>
      <c r="F21036" s="2" t="s">
        <v>11</v>
      </c>
      <c r="G21036" s="2" t="s">
        <v>2791</v>
      </c>
      <c r="H21036" s="2" t="s">
        <v>2761</v>
      </c>
    </row>
    <row r="21037" spans="1:8" ht="25.05" customHeight="1" x14ac:dyDescent="0.25">
      <c r="A21037" s="2" t="s">
        <v>8</v>
      </c>
      <c r="B21037" s="2" t="str">
        <f>HYPERLINK("http://ts.21cn.com/tousu/show/id/1353125","斗鱼直播平台退出渝万工会被拒")</f>
        <v>斗鱼直播平台退出渝万工会被拒</v>
      </c>
      <c r="C21037" s="2" t="s">
        <v>9</v>
      </c>
      <c r="D21037" s="2" t="s">
        <v>10</v>
      </c>
      <c r="E21037" s="2" t="str">
        <f>HYPERLINK("http://ts.21cn.com/tousu/show/id/1353125","http://ts.21cn.com/tousu/show/id/1353125")</f>
        <v>http://ts.21cn.com/tousu/show/id/1353125</v>
      </c>
      <c r="F21037" s="2" t="s">
        <v>11</v>
      </c>
      <c r="G21037" s="2" t="s">
        <v>2789</v>
      </c>
      <c r="H21037" s="2" t="s">
        <v>2790</v>
      </c>
    </row>
    <row r="21038" spans="1:8" ht="25.05" customHeight="1" x14ac:dyDescent="0.25">
      <c r="A21038" s="2" t="s">
        <v>8</v>
      </c>
      <c r="B21038" s="2" t="str">
        <f>HYPERLINK("http://ts.21cn.com/tousu/show/id/1353126","直接扣款")</f>
        <v>直接扣款</v>
      </c>
      <c r="C21038" s="2" t="s">
        <v>34</v>
      </c>
      <c r="D21038" s="2" t="s">
        <v>10</v>
      </c>
      <c r="E21038" s="2" t="str">
        <f>HYPERLINK("http://ts.21cn.com/tousu/show/id/1353126","http://ts.21cn.com/tousu/show/id/1353126")</f>
        <v>http://ts.21cn.com/tousu/show/id/1353126</v>
      </c>
      <c r="F21038" s="2" t="s">
        <v>11</v>
      </c>
      <c r="G21038" s="2" t="s">
        <v>2787</v>
      </c>
      <c r="H21038" s="2" t="s">
        <v>2788</v>
      </c>
    </row>
    <row r="21039" spans="1:8" ht="25.05" customHeight="1" x14ac:dyDescent="0.25">
      <c r="A21039" s="2" t="s">
        <v>8</v>
      </c>
      <c r="B21039" s="2" t="str">
        <f>HYPERLINK("http://ts.21cn.com/tousu/show/id/1353128","虚假信息")</f>
        <v>虚假信息</v>
      </c>
      <c r="C21039" s="2" t="s">
        <v>9</v>
      </c>
      <c r="D21039" s="2" t="s">
        <v>10</v>
      </c>
      <c r="E21039" s="2" t="str">
        <f>HYPERLINK("http://ts.21cn.com/tousu/show/id/1353128","http://ts.21cn.com/tousu/show/id/1353128")</f>
        <v>http://ts.21cn.com/tousu/show/id/1353128</v>
      </c>
      <c r="F21039" s="2" t="s">
        <v>11</v>
      </c>
      <c r="G21039" s="2" t="s">
        <v>2784</v>
      </c>
      <c r="H21039" s="2" t="s">
        <v>2785</v>
      </c>
    </row>
    <row r="21040" spans="1:8" ht="25.05" customHeight="1" x14ac:dyDescent="0.25">
      <c r="A21040" s="2" t="s">
        <v>8</v>
      </c>
      <c r="B21040" s="2" t="str">
        <f>HYPERLINK("http://ts.21cn.com/tousu/show/id/1353127","微粒贷电话恐吓上门和打通讯录")</f>
        <v>微粒贷电话恐吓上门和打通讯录</v>
      </c>
      <c r="C21040" s="2" t="s">
        <v>9</v>
      </c>
      <c r="D21040" s="2" t="s">
        <v>10</v>
      </c>
      <c r="E21040" s="2" t="str">
        <f>HYPERLINK("http://ts.21cn.com/tousu/show/id/1353127","http://ts.21cn.com/tousu/show/id/1353127")</f>
        <v>http://ts.21cn.com/tousu/show/id/1353127</v>
      </c>
      <c r="F21040" s="2" t="s">
        <v>11</v>
      </c>
      <c r="G21040" s="2" t="s">
        <v>2784</v>
      </c>
      <c r="H21040" s="2" t="s">
        <v>2786</v>
      </c>
    </row>
    <row r="21041" spans="1:8" ht="25.05" customHeight="1" x14ac:dyDescent="0.25">
      <c r="A21041" s="2" t="s">
        <v>8</v>
      </c>
      <c r="B21041" s="2" t="str">
        <f>HYPERLINK("http://ts.21cn.com/tousu/show/id/1353129","希望浦发银行给我复借万用金的资格")</f>
        <v>希望浦发银行给我复借万用金的资格</v>
      </c>
      <c r="C21041" s="2" t="s">
        <v>9</v>
      </c>
      <c r="D21041" s="2" t="s">
        <v>10</v>
      </c>
      <c r="E21041" s="2" t="str">
        <f>HYPERLINK("http://ts.21cn.com/tousu/show/id/1353129","http://ts.21cn.com/tousu/show/id/1353129")</f>
        <v>http://ts.21cn.com/tousu/show/id/1353129</v>
      </c>
      <c r="F21041" s="2" t="s">
        <v>11</v>
      </c>
      <c r="G21041" s="2" t="s">
        <v>2782</v>
      </c>
      <c r="H21041" s="2" t="s">
        <v>2783</v>
      </c>
    </row>
    <row r="21042" spans="1:8" ht="25.05" customHeight="1" x14ac:dyDescent="0.25">
      <c r="A21042" s="2" t="s">
        <v>8</v>
      </c>
      <c r="B21042" s="2" t="str">
        <f>HYPERLINK("http://ts.21cn.com/tousu/show/id/1353131","中信银行委托方骚扰")</f>
        <v>中信银行委托方骚扰</v>
      </c>
      <c r="C21042" s="2" t="s">
        <v>9</v>
      </c>
      <c r="D21042" s="2" t="s">
        <v>10</v>
      </c>
      <c r="E21042" s="2" t="str">
        <f>HYPERLINK("http://ts.21cn.com/tousu/show/id/1353131","http://ts.21cn.com/tousu/show/id/1353131")</f>
        <v>http://ts.21cn.com/tousu/show/id/1353131</v>
      </c>
      <c r="F21042" s="2" t="s">
        <v>11</v>
      </c>
      <c r="G21042" s="2" t="s">
        <v>2780</v>
      </c>
      <c r="H21042" s="2" t="s">
        <v>2781</v>
      </c>
    </row>
    <row r="21043" spans="1:8" ht="25.05" customHeight="1" x14ac:dyDescent="0.25">
      <c r="A21043" s="2" t="s">
        <v>8</v>
      </c>
      <c r="B21043" s="2" t="str">
        <f>HYPERLINK("http://ts.21cn.com/tousu/show/id/1353130","顺丰速运购买保险产品运输出现问题拖延不赔付")</f>
        <v>顺丰速运购买保险产品运输出现问题拖延不赔付</v>
      </c>
      <c r="C21043" s="2" t="s">
        <v>34</v>
      </c>
      <c r="D21043" s="2" t="s">
        <v>10</v>
      </c>
      <c r="E21043" s="2" t="str">
        <f>HYPERLINK("http://ts.21cn.com/tousu/show/id/1353130","http://ts.21cn.com/tousu/show/id/1353130")</f>
        <v>http://ts.21cn.com/tousu/show/id/1353130</v>
      </c>
      <c r="F21043" s="2" t="s">
        <v>11</v>
      </c>
      <c r="G21043" s="2" t="s">
        <v>2778</v>
      </c>
      <c r="H21043" s="2" t="s">
        <v>2779</v>
      </c>
    </row>
    <row r="21044" spans="1:8" ht="25.05" customHeight="1" x14ac:dyDescent="0.25">
      <c r="A21044" s="2" t="s">
        <v>8</v>
      </c>
      <c r="B21044" s="2" t="str">
        <f>HYPERLINK("http://ts.21cn.com/tousu/show/id/1353133","太平洋保险公司")</f>
        <v>太平洋保险公司</v>
      </c>
      <c r="C21044" s="2" t="s">
        <v>9</v>
      </c>
      <c r="D21044" s="2" t="s">
        <v>10</v>
      </c>
      <c r="E21044" s="2" t="str">
        <f>HYPERLINK("http://ts.21cn.com/tousu/show/id/1353133","http://ts.21cn.com/tousu/show/id/1353133")</f>
        <v>http://ts.21cn.com/tousu/show/id/1353133</v>
      </c>
      <c r="F21044" s="2" t="s">
        <v>11</v>
      </c>
      <c r="G21044" s="2" t="s">
        <v>2776</v>
      </c>
      <c r="H21044" s="2" t="s">
        <v>2777</v>
      </c>
    </row>
    <row r="21045" spans="1:8" ht="25.05" customHeight="1" x14ac:dyDescent="0.25">
      <c r="A21045" s="2" t="s">
        <v>8</v>
      </c>
      <c r="B21045" s="2" t="str">
        <f>HYPERLINK("http://ts.21cn.com/tousu/show/id/1353132","浦发信用卡雇佣第三方黑恶骚扰威胁通讯录人员")</f>
        <v>浦发信用卡雇佣第三方黑恶骚扰威胁通讯录人员</v>
      </c>
      <c r="C21045" s="2" t="s">
        <v>9</v>
      </c>
      <c r="D21045" s="2" t="s">
        <v>10</v>
      </c>
      <c r="E21045" s="2" t="str">
        <f>HYPERLINK("http://ts.21cn.com/tousu/show/id/1353132","http://ts.21cn.com/tousu/show/id/1353132")</f>
        <v>http://ts.21cn.com/tousu/show/id/1353132</v>
      </c>
      <c r="F21045" s="2" t="s">
        <v>11</v>
      </c>
      <c r="G21045" s="2" t="s">
        <v>2774</v>
      </c>
      <c r="H21045" s="2" t="s">
        <v>2775</v>
      </c>
    </row>
    <row r="21046" spans="1:8" ht="25.05" customHeight="1" x14ac:dyDescent="0.25">
      <c r="A21046" s="2" t="s">
        <v>8</v>
      </c>
      <c r="B21046" s="2" t="str">
        <f>HYPERLINK("http://ts.21cn.com/tousu/show/id/1353134","普惠快信高利贷求平台解决")</f>
        <v>普惠快信高利贷求平台解决</v>
      </c>
      <c r="C21046" s="2" t="s">
        <v>9</v>
      </c>
      <c r="D21046" s="2" t="s">
        <v>10</v>
      </c>
      <c r="E21046" s="2" t="str">
        <f>HYPERLINK("http://ts.21cn.com/tousu/show/id/1353134","http://ts.21cn.com/tousu/show/id/1353134")</f>
        <v>http://ts.21cn.com/tousu/show/id/1353134</v>
      </c>
      <c r="F21046" s="2" t="s">
        <v>11</v>
      </c>
      <c r="G21046" s="2" t="s">
        <v>2772</v>
      </c>
      <c r="H21046" s="2" t="s">
        <v>2773</v>
      </c>
    </row>
    <row r="21047" spans="1:8" ht="25.05" customHeight="1" x14ac:dyDescent="0.25">
      <c r="A21047" s="2" t="s">
        <v>8</v>
      </c>
      <c r="B21047" s="2" t="str">
        <f>HYPERLINK("http://ts.21cn.com/tousu/show/id/1353135","万达贷平台违规催收")</f>
        <v>万达贷平台违规催收</v>
      </c>
      <c r="C21047" s="2" t="s">
        <v>9</v>
      </c>
      <c r="D21047" s="2" t="s">
        <v>10</v>
      </c>
      <c r="E21047" s="2" t="str">
        <f>HYPERLINK("http://ts.21cn.com/tousu/show/id/1353135","http://ts.21cn.com/tousu/show/id/1353135")</f>
        <v>http://ts.21cn.com/tousu/show/id/1353135</v>
      </c>
      <c r="F21047" s="2" t="s">
        <v>11</v>
      </c>
      <c r="G21047" s="2" t="s">
        <v>2770</v>
      </c>
      <c r="H21047" s="2" t="s">
        <v>2771</v>
      </c>
    </row>
    <row r="21048" spans="1:8" ht="25.05" customHeight="1" x14ac:dyDescent="0.25">
      <c r="A21048" s="2" t="s">
        <v>8</v>
      </c>
      <c r="B21048" s="2" t="str">
        <f>HYPERLINK("http://ts.21cn.com/tousu/show/id/1353136","贷款利息超过国家规定")</f>
        <v>贷款利息超过国家规定</v>
      </c>
      <c r="C21048" s="2" t="s">
        <v>34</v>
      </c>
      <c r="D21048" s="2" t="s">
        <v>10</v>
      </c>
      <c r="E21048" s="2" t="str">
        <f>HYPERLINK("http://ts.21cn.com/tousu/show/id/1353136","http://ts.21cn.com/tousu/show/id/1353136")</f>
        <v>http://ts.21cn.com/tousu/show/id/1353136</v>
      </c>
      <c r="F21048" s="2" t="s">
        <v>11</v>
      </c>
      <c r="G21048" s="2" t="s">
        <v>2768</v>
      </c>
      <c r="H21048" s="2" t="s">
        <v>2769</v>
      </c>
    </row>
    <row r="21049" spans="1:8" ht="25.05" customHeight="1" x14ac:dyDescent="0.25">
      <c r="A21049" s="2" t="s">
        <v>8</v>
      </c>
      <c r="B21049" s="2" t="str">
        <f>HYPERLINK("http://ts.21cn.com/tousu/show/id/1353080","点融魔借")</f>
        <v>点融魔借</v>
      </c>
      <c r="C21049" s="2" t="s">
        <v>9</v>
      </c>
      <c r="D21049" s="2" t="s">
        <v>10</v>
      </c>
      <c r="E21049" s="2" t="str">
        <f>HYPERLINK("http://ts.21cn.com/tousu/show/id/1353080","http://ts.21cn.com/tousu/show/id/1353080")</f>
        <v>http://ts.21cn.com/tousu/show/id/1353080</v>
      </c>
      <c r="F21049" s="2" t="s">
        <v>11</v>
      </c>
      <c r="G21049" s="2" t="s">
        <v>2766</v>
      </c>
      <c r="H21049" s="2" t="s">
        <v>2767</v>
      </c>
    </row>
    <row r="21050" spans="1:8" ht="25.05" customHeight="1" x14ac:dyDescent="0.25">
      <c r="A21050" s="2" t="s">
        <v>8</v>
      </c>
      <c r="B21050" s="2" t="str">
        <f>HYPERLINK("http://ts.21cn.com/tousu/show/id/1353137","暴力催收，电话威胁")</f>
        <v>暴力催收，电话威胁</v>
      </c>
      <c r="C21050" s="2" t="s">
        <v>9</v>
      </c>
      <c r="D21050" s="2" t="s">
        <v>10</v>
      </c>
      <c r="E21050" s="2" t="str">
        <f>HYPERLINK("http://ts.21cn.com/tousu/show/id/1353137","http://ts.21cn.com/tousu/show/id/1353137")</f>
        <v>http://ts.21cn.com/tousu/show/id/1353137</v>
      </c>
      <c r="F21050" s="2" t="s">
        <v>11</v>
      </c>
      <c r="G21050" s="2" t="s">
        <v>2764</v>
      </c>
      <c r="H21050" s="2" t="s">
        <v>2765</v>
      </c>
    </row>
    <row r="21051" spans="1:8" ht="25.05" customHeight="1" x14ac:dyDescent="0.25">
      <c r="A21051" s="2" t="s">
        <v>8</v>
      </c>
      <c r="B21051" s="2" t="str">
        <f>HYPERLINK("http://ts.21cn.com/tousu/show/id/1353138","宜信惠民高额砍头息")</f>
        <v>宜信惠民高额砍头息</v>
      </c>
      <c r="C21051" s="2" t="s">
        <v>9</v>
      </c>
      <c r="D21051" s="2" t="s">
        <v>10</v>
      </c>
      <c r="E21051" s="2" t="str">
        <f>HYPERLINK("http://ts.21cn.com/tousu/show/id/1353138","http://ts.21cn.com/tousu/show/id/1353138")</f>
        <v>http://ts.21cn.com/tousu/show/id/1353138</v>
      </c>
      <c r="F21051" s="2" t="s">
        <v>11</v>
      </c>
      <c r="G21051" s="2" t="s">
        <v>2762</v>
      </c>
      <c r="H21051" s="2" t="s">
        <v>2763</v>
      </c>
    </row>
    <row r="21052" spans="1:8" ht="25.05" customHeight="1" x14ac:dyDescent="0.25">
      <c r="A21052" s="2" t="s">
        <v>8</v>
      </c>
      <c r="B21052" s="2" t="str">
        <f>HYPERLINK("http://ts.21cn.com/tousu/show/id/1353139","新橙优品暴力催收")</f>
        <v>新橙优品暴力催收</v>
      </c>
      <c r="C21052" s="2" t="s">
        <v>9</v>
      </c>
      <c r="D21052" s="2" t="s">
        <v>10</v>
      </c>
      <c r="E21052" s="2" t="str">
        <f>HYPERLINK("http://ts.21cn.com/tousu/show/id/1353139","http://ts.21cn.com/tousu/show/id/1353139")</f>
        <v>http://ts.21cn.com/tousu/show/id/1353139</v>
      </c>
      <c r="F21052" s="2" t="s">
        <v>11</v>
      </c>
      <c r="G21052" s="2" t="s">
        <v>2760</v>
      </c>
      <c r="H21052" s="2" t="s">
        <v>2761</v>
      </c>
    </row>
    <row r="21053" spans="1:8" ht="25.05" customHeight="1" x14ac:dyDescent="0.25">
      <c r="A21053" s="2" t="s">
        <v>8</v>
      </c>
      <c r="B21053" s="2" t="str">
        <f>HYPERLINK("http://ts.21cn.com/tousu/show/id/1353140","浦发银行信用卡电话直接恐吓")</f>
        <v>浦发银行信用卡电话直接恐吓</v>
      </c>
      <c r="C21053" s="2" t="s">
        <v>9</v>
      </c>
      <c r="D21053" s="2" t="s">
        <v>10</v>
      </c>
      <c r="E21053" s="2" t="str">
        <f>HYPERLINK("http://ts.21cn.com/tousu/show/id/1353140","http://ts.21cn.com/tousu/show/id/1353140")</f>
        <v>http://ts.21cn.com/tousu/show/id/1353140</v>
      </c>
      <c r="F21053" s="2" t="s">
        <v>11</v>
      </c>
      <c r="G21053" s="2" t="s">
        <v>2758</v>
      </c>
      <c r="H21053" s="2" t="s">
        <v>2759</v>
      </c>
    </row>
    <row r="21054" spans="1:8" ht="25.05" customHeight="1" x14ac:dyDescent="0.25">
      <c r="A21054" s="2" t="s">
        <v>8</v>
      </c>
      <c r="B21054" s="2" t="str">
        <f>HYPERLINK("http://ts.21cn.com/tousu/show/id/1353141","天津通融通国际保利公司违规扣款，为714高炮提供支付渠道")</f>
        <v>天津通融通国际保利公司违规扣款，为714高炮提供支付渠道</v>
      </c>
      <c r="C21054" s="2" t="s">
        <v>9</v>
      </c>
      <c r="D21054" s="2" t="s">
        <v>10</v>
      </c>
      <c r="E21054" s="2" t="str">
        <f>HYPERLINK("http://ts.21cn.com/tousu/show/id/1353141","http://ts.21cn.com/tousu/show/id/1353141")</f>
        <v>http://ts.21cn.com/tousu/show/id/1353141</v>
      </c>
      <c r="F21054" s="2" t="s">
        <v>11</v>
      </c>
      <c r="G21054" s="2" t="s">
        <v>2756</v>
      </c>
      <c r="H21054" s="2" t="s">
        <v>2757</v>
      </c>
    </row>
    <row r="21055" spans="1:8" ht="25.05" customHeight="1" x14ac:dyDescent="0.25">
      <c r="A21055" s="2" t="s">
        <v>8</v>
      </c>
      <c r="B21055" s="2" t="str">
        <f>HYPERLINK("http://ts.21cn.com/tousu/show/id/1353112","被乐客独角兽平台以帮助创业的名义缴纳9800元")</f>
        <v>被乐客独角兽平台以帮助创业的名义缴纳9800元</v>
      </c>
      <c r="C21055" s="2" t="s">
        <v>9</v>
      </c>
      <c r="D21055" s="2" t="s">
        <v>10</v>
      </c>
      <c r="E21055" s="2" t="str">
        <f>HYPERLINK("http://ts.21cn.com/tousu/show/id/1353112","http://ts.21cn.com/tousu/show/id/1353112")</f>
        <v>http://ts.21cn.com/tousu/show/id/1353112</v>
      </c>
      <c r="F21055" s="2" t="s">
        <v>11</v>
      </c>
      <c r="G21055" s="2" t="s">
        <v>2754</v>
      </c>
      <c r="H21055" s="2" t="s">
        <v>2755</v>
      </c>
    </row>
    <row r="21056" spans="1:8" ht="25.05" customHeight="1" x14ac:dyDescent="0.25">
      <c r="A21056" s="2" t="s">
        <v>8</v>
      </c>
      <c r="B21056" s="2" t="str">
        <f>HYPERLINK("http://ts.21cn.com/tousu/show/id/1353143","恐吓我，骂我")</f>
        <v>恐吓我，骂我</v>
      </c>
      <c r="C21056" s="2" t="s">
        <v>9</v>
      </c>
      <c r="D21056" s="2" t="s">
        <v>10</v>
      </c>
      <c r="E21056" s="2" t="str">
        <f>HYPERLINK("http://ts.21cn.com/tousu/show/id/1353143","http://ts.21cn.com/tousu/show/id/1353143")</f>
        <v>http://ts.21cn.com/tousu/show/id/1353143</v>
      </c>
      <c r="F21056" s="2" t="s">
        <v>11</v>
      </c>
      <c r="G21056" s="2" t="s">
        <v>2752</v>
      </c>
      <c r="H21056" s="2" t="s">
        <v>2753</v>
      </c>
    </row>
    <row r="21057" spans="1:8" ht="25.05" customHeight="1" x14ac:dyDescent="0.25">
      <c r="A21057" s="2" t="s">
        <v>8</v>
      </c>
      <c r="B21057" s="2" t="str">
        <f>HYPERLINK("http://ts.21cn.com/tousu/show/id/1353144","拖欠工资")</f>
        <v>拖欠工资</v>
      </c>
      <c r="C21057" s="2" t="s">
        <v>9</v>
      </c>
      <c r="D21057" s="2" t="s">
        <v>10</v>
      </c>
      <c r="E21057" s="2" t="str">
        <f>HYPERLINK("http://ts.21cn.com/tousu/show/id/1353144","http://ts.21cn.com/tousu/show/id/1353144")</f>
        <v>http://ts.21cn.com/tousu/show/id/1353144</v>
      </c>
      <c r="F21057" s="2" t="s">
        <v>11</v>
      </c>
      <c r="G21057" s="2" t="s">
        <v>2750</v>
      </c>
      <c r="H21057" s="2" t="s">
        <v>2751</v>
      </c>
    </row>
    <row r="21058" spans="1:8" ht="25.05" customHeight="1" x14ac:dyDescent="0.25">
      <c r="A21058" s="2" t="s">
        <v>8</v>
      </c>
      <c r="B21058" s="2" t="str">
        <f>HYPERLINK("http://ts.21cn.com/tousu/show/id/1353147","贷上钱超利贷")</f>
        <v>贷上钱超利贷</v>
      </c>
      <c r="C21058" s="2" t="s">
        <v>9</v>
      </c>
      <c r="D21058" s="2" t="s">
        <v>10</v>
      </c>
      <c r="E21058" s="2" t="str">
        <f>HYPERLINK("http://ts.21cn.com/tousu/show/id/1353147","http://ts.21cn.com/tousu/show/id/1353147")</f>
        <v>http://ts.21cn.com/tousu/show/id/1353147</v>
      </c>
      <c r="F21058" s="2" t="s">
        <v>11</v>
      </c>
      <c r="G21058" s="2" t="s">
        <v>2748</v>
      </c>
      <c r="H21058" s="2" t="s">
        <v>2749</v>
      </c>
    </row>
    <row r="21059" spans="1:8" ht="25.05" customHeight="1" x14ac:dyDescent="0.25">
      <c r="A21059" s="2" t="s">
        <v>8</v>
      </c>
      <c r="B21059" s="2" t="str">
        <f>HYPERLINK("http://ts.21cn.com/tousu/show/id/1353145","有钱花扣款不通知本人")</f>
        <v>有钱花扣款不通知本人</v>
      </c>
      <c r="C21059" s="2" t="s">
        <v>9</v>
      </c>
      <c r="D21059" s="2" t="s">
        <v>10</v>
      </c>
      <c r="E21059" s="2" t="str">
        <f>HYPERLINK("http://ts.21cn.com/tousu/show/id/1353145","http://ts.21cn.com/tousu/show/id/1353145")</f>
        <v>http://ts.21cn.com/tousu/show/id/1353145</v>
      </c>
      <c r="F21059" s="2" t="s">
        <v>11</v>
      </c>
      <c r="G21059" s="2" t="s">
        <v>2746</v>
      </c>
      <c r="H21059" s="2" t="s">
        <v>2747</v>
      </c>
    </row>
    <row r="21060" spans="1:8" ht="25.05" customHeight="1" x14ac:dyDescent="0.25">
      <c r="A21060" s="2" t="s">
        <v>8</v>
      </c>
      <c r="B21060" s="2" t="str">
        <f>HYPERLINK("http://ts.21cn.com/tousu/show/id/1353148","你我贷暴力催收，爆通讯录")</f>
        <v>你我贷暴力催收，爆通讯录</v>
      </c>
      <c r="C21060" s="2" t="s">
        <v>9</v>
      </c>
      <c r="D21060" s="2" t="s">
        <v>10</v>
      </c>
      <c r="E21060" s="2" t="str">
        <f>HYPERLINK("http://ts.21cn.com/tousu/show/id/1353148","http://ts.21cn.com/tousu/show/id/1353148")</f>
        <v>http://ts.21cn.com/tousu/show/id/1353148</v>
      </c>
      <c r="F21060" s="2" t="s">
        <v>11</v>
      </c>
      <c r="G21060" s="2" t="s">
        <v>2744</v>
      </c>
      <c r="H21060" s="2" t="s">
        <v>2745</v>
      </c>
    </row>
    <row r="21061" spans="1:8" ht="25.05" customHeight="1" x14ac:dyDescent="0.25">
      <c r="A21061" s="2" t="s">
        <v>8</v>
      </c>
      <c r="B21061" s="2" t="str">
        <f>HYPERLINK("http://ts.21cn.com/tousu/show/id/1353149","投诉现金速递")</f>
        <v>投诉现金速递</v>
      </c>
      <c r="C21061" s="2" t="s">
        <v>9</v>
      </c>
      <c r="D21061" s="2" t="s">
        <v>10</v>
      </c>
      <c r="E21061" s="2" t="str">
        <f>HYPERLINK("http://ts.21cn.com/tousu/show/id/1353149","http://ts.21cn.com/tousu/show/id/1353149")</f>
        <v>http://ts.21cn.com/tousu/show/id/1353149</v>
      </c>
      <c r="F21061" s="2" t="s">
        <v>11</v>
      </c>
      <c r="G21061" s="2" t="s">
        <v>2742</v>
      </c>
      <c r="H21061" s="2" t="s">
        <v>2743</v>
      </c>
    </row>
    <row r="21062" spans="1:8" ht="25.05" customHeight="1" x14ac:dyDescent="0.25">
      <c r="A21062" s="2" t="s">
        <v>8</v>
      </c>
      <c r="B21062" s="2" t="str">
        <f>HYPERLINK("http://ts.21cn.com/tousu/show/id/1353151","月光侠分期高利贷")</f>
        <v>月光侠分期高利贷</v>
      </c>
      <c r="C21062" s="2" t="s">
        <v>9</v>
      </c>
      <c r="D21062" s="2" t="s">
        <v>10</v>
      </c>
      <c r="E21062" s="2" t="str">
        <f>HYPERLINK("http://ts.21cn.com/tousu/show/id/1353151","http://ts.21cn.com/tousu/show/id/1353151")</f>
        <v>http://ts.21cn.com/tousu/show/id/1353151</v>
      </c>
      <c r="F21062" s="2" t="s">
        <v>11</v>
      </c>
      <c r="G21062" s="2" t="s">
        <v>2740</v>
      </c>
      <c r="H21062" s="2" t="s">
        <v>2741</v>
      </c>
    </row>
    <row r="21063" spans="1:8" ht="25.05" customHeight="1" x14ac:dyDescent="0.25">
      <c r="A21063" s="2" t="s">
        <v>8</v>
      </c>
      <c r="B21063" s="2" t="str">
        <f>HYPERLINK("http://ts.21cn.com/tousu/show/id/1353150","京东逾期外包恶意骚扰")</f>
        <v>京东逾期外包恶意骚扰</v>
      </c>
      <c r="C21063" s="2" t="s">
        <v>9</v>
      </c>
      <c r="D21063" s="2" t="s">
        <v>10</v>
      </c>
      <c r="E21063" s="2" t="str">
        <f>HYPERLINK("http://ts.21cn.com/tousu/show/id/1353150","http://ts.21cn.com/tousu/show/id/1353150")</f>
        <v>http://ts.21cn.com/tousu/show/id/1353150</v>
      </c>
      <c r="F21063" s="2" t="s">
        <v>11</v>
      </c>
      <c r="G21063" s="2" t="s">
        <v>2738</v>
      </c>
      <c r="H21063" s="2" t="s">
        <v>2739</v>
      </c>
    </row>
    <row r="21064" spans="1:8" ht="25.05" customHeight="1" x14ac:dyDescent="0.25">
      <c r="A21064" s="2" t="s">
        <v>8</v>
      </c>
      <c r="B21064" s="2" t="str">
        <f>HYPERLINK("http://ts.21cn.com/tousu/show/id/1353153","造艺科技乱扣费")</f>
        <v>造艺科技乱扣费</v>
      </c>
      <c r="C21064" s="2" t="s">
        <v>9</v>
      </c>
      <c r="D21064" s="2" t="s">
        <v>10</v>
      </c>
      <c r="E21064" s="2" t="str">
        <f>HYPERLINK("http://ts.21cn.com/tousu/show/id/1353153","http://ts.21cn.com/tousu/show/id/1353153")</f>
        <v>http://ts.21cn.com/tousu/show/id/1353153</v>
      </c>
      <c r="F21064" s="2" t="s">
        <v>11</v>
      </c>
      <c r="G21064" s="2" t="s">
        <v>2736</v>
      </c>
      <c r="H21064" s="2" t="s">
        <v>2737</v>
      </c>
    </row>
    <row r="21065" spans="1:8" ht="25.05" customHeight="1" x14ac:dyDescent="0.25">
      <c r="A21065" s="2" t="s">
        <v>8</v>
      </c>
      <c r="B21065" s="2" t="str">
        <f>HYPERLINK("http://ts.21cn.com/tousu/show/id/1353152","退货运费不应该我承担")</f>
        <v>退货运费不应该我承担</v>
      </c>
      <c r="C21065" s="2" t="s">
        <v>9</v>
      </c>
      <c r="D21065" s="2" t="s">
        <v>10</v>
      </c>
      <c r="E21065" s="2" t="str">
        <f>HYPERLINK("http://ts.21cn.com/tousu/show/id/1353152","http://ts.21cn.com/tousu/show/id/1353152")</f>
        <v>http://ts.21cn.com/tousu/show/id/1353152</v>
      </c>
      <c r="F21065" s="2" t="s">
        <v>11</v>
      </c>
      <c r="G21065" s="2" t="s">
        <v>2734</v>
      </c>
      <c r="H21065" s="2" t="s">
        <v>2735</v>
      </c>
    </row>
    <row r="21066" spans="1:8" ht="25.05" customHeight="1" x14ac:dyDescent="0.25">
      <c r="A21066" s="2" t="s">
        <v>8</v>
      </c>
      <c r="B21066" s="2" t="str">
        <f>HYPERLINK("http://ts.21cn.com/tousu/show/id/1353156","钱伴催收恶意诽谤侮辱")</f>
        <v>钱伴催收恶意诽谤侮辱</v>
      </c>
      <c r="C21066" s="2" t="s">
        <v>9</v>
      </c>
      <c r="D21066" s="2" t="s">
        <v>10</v>
      </c>
      <c r="E21066" s="2" t="str">
        <f>HYPERLINK("http://ts.21cn.com/tousu/show/id/1353156","http://ts.21cn.com/tousu/show/id/1353156")</f>
        <v>http://ts.21cn.com/tousu/show/id/1353156</v>
      </c>
      <c r="F21066" s="2" t="s">
        <v>11</v>
      </c>
      <c r="G21066" s="2" t="s">
        <v>2732</v>
      </c>
      <c r="H21066" s="2" t="s">
        <v>2733</v>
      </c>
    </row>
    <row r="21067" spans="1:8" ht="25.05" customHeight="1" x14ac:dyDescent="0.25">
      <c r="A21067" s="2" t="s">
        <v>8</v>
      </c>
      <c r="B21067" s="2" t="str">
        <f>HYPERLINK("http://ts.21cn.com/tousu/show/id/1353154","重复扣款")</f>
        <v>重复扣款</v>
      </c>
      <c r="C21067" s="2" t="s">
        <v>9</v>
      </c>
      <c r="D21067" s="2" t="s">
        <v>10</v>
      </c>
      <c r="E21067" s="2" t="str">
        <f>HYPERLINK("http://ts.21cn.com/tousu/show/id/1353154","http://ts.21cn.com/tousu/show/id/1353154")</f>
        <v>http://ts.21cn.com/tousu/show/id/1353154</v>
      </c>
      <c r="F21067" s="2" t="s">
        <v>11</v>
      </c>
      <c r="G21067" s="2" t="s">
        <v>2730</v>
      </c>
      <c r="H21067" s="2" t="s">
        <v>2731</v>
      </c>
    </row>
    <row r="21068" spans="1:8" ht="25.05" customHeight="1" x14ac:dyDescent="0.25">
      <c r="A21068" s="2" t="s">
        <v>8</v>
      </c>
      <c r="B21068" s="2" t="str">
        <f>HYPERLINK("http://ts.21cn.com/tousu/show/id/1353155","阴阳合同，利息高")</f>
        <v>阴阳合同，利息高</v>
      </c>
      <c r="C21068" s="2" t="s">
        <v>9</v>
      </c>
      <c r="D21068" s="2" t="s">
        <v>10</v>
      </c>
      <c r="E21068" s="2" t="str">
        <f>HYPERLINK("http://ts.21cn.com/tousu/show/id/1353155","http://ts.21cn.com/tousu/show/id/1353155")</f>
        <v>http://ts.21cn.com/tousu/show/id/1353155</v>
      </c>
      <c r="F21068" s="2" t="s">
        <v>11</v>
      </c>
      <c r="G21068" s="2" t="s">
        <v>2728</v>
      </c>
      <c r="H21068" s="2" t="s">
        <v>2729</v>
      </c>
    </row>
    <row r="21069" spans="1:8" ht="25.05" customHeight="1" x14ac:dyDescent="0.25">
      <c r="A21069" s="2" t="s">
        <v>8</v>
      </c>
      <c r="B21069" s="2" t="str">
        <f>HYPERLINK("http://ts.21cn.com/tousu/show/id/1353157","玖富万卡高利贷，阴阳合同")</f>
        <v>玖富万卡高利贷，阴阳合同</v>
      </c>
      <c r="C21069" s="2" t="s">
        <v>9</v>
      </c>
      <c r="D21069" s="2" t="s">
        <v>10</v>
      </c>
      <c r="E21069" s="2" t="str">
        <f>HYPERLINK("http://ts.21cn.com/tousu/show/id/1353157","http://ts.21cn.com/tousu/show/id/1353157")</f>
        <v>http://ts.21cn.com/tousu/show/id/1353157</v>
      </c>
      <c r="F21069" s="2" t="s">
        <v>11</v>
      </c>
      <c r="G21069" s="2" t="s">
        <v>2726</v>
      </c>
      <c r="H21069" s="2" t="s">
        <v>2727</v>
      </c>
    </row>
    <row r="21070" spans="1:8" ht="25.05" customHeight="1" x14ac:dyDescent="0.25">
      <c r="A21070" s="2" t="s">
        <v>8</v>
      </c>
      <c r="B21070" s="2" t="str">
        <f>HYPERLINK("http://ts.21cn.com/tousu/show/id/1353158","不良网贷骚扰无关人等")</f>
        <v>不良网贷骚扰无关人等</v>
      </c>
      <c r="C21070" s="2" t="s">
        <v>9</v>
      </c>
      <c r="D21070" s="2" t="s">
        <v>10</v>
      </c>
      <c r="E21070" s="2" t="str">
        <f>HYPERLINK("http://ts.21cn.com/tousu/show/id/1353158","http://ts.21cn.com/tousu/show/id/1353158")</f>
        <v>http://ts.21cn.com/tousu/show/id/1353158</v>
      </c>
      <c r="F21070" s="2" t="s">
        <v>11</v>
      </c>
      <c r="G21070" s="2" t="s">
        <v>2724</v>
      </c>
      <c r="H21070" s="2" t="s">
        <v>2725</v>
      </c>
    </row>
    <row r="21071" spans="1:8" ht="25.05" customHeight="1" x14ac:dyDescent="0.25">
      <c r="A21071" s="2" t="s">
        <v>8</v>
      </c>
      <c r="B21071" s="2" t="str">
        <f>HYPERLINK("http://ts.21cn.com/tousu/show/id/1353164","招联金融催收电话")</f>
        <v>招联金融催收电话</v>
      </c>
      <c r="C21071" s="2" t="s">
        <v>9</v>
      </c>
      <c r="D21071" s="2" t="s">
        <v>10</v>
      </c>
      <c r="E21071" s="2" t="str">
        <f>HYPERLINK("http://ts.21cn.com/tousu/show/id/1353164","http://ts.21cn.com/tousu/show/id/1353164")</f>
        <v>http://ts.21cn.com/tousu/show/id/1353164</v>
      </c>
      <c r="F21071" s="2" t="s">
        <v>11</v>
      </c>
      <c r="G21071" s="2" t="s">
        <v>2722</v>
      </c>
      <c r="H21071" s="2" t="s">
        <v>2723</v>
      </c>
    </row>
    <row r="21072" spans="1:8" ht="25.05" customHeight="1" x14ac:dyDescent="0.25">
      <c r="A21072" s="2" t="s">
        <v>8</v>
      </c>
      <c r="B21072" s="2" t="str">
        <f>HYPERLINK("http://ts.21cn.com/tousu/show/id/1353159","活力花暴力催收")</f>
        <v>活力花暴力催收</v>
      </c>
      <c r="C21072" s="2" t="s">
        <v>9</v>
      </c>
      <c r="D21072" s="2" t="s">
        <v>10</v>
      </c>
      <c r="E21072" s="2" t="str">
        <f>HYPERLINK("http://ts.21cn.com/tousu/show/id/1353159","http://ts.21cn.com/tousu/show/id/1353159")</f>
        <v>http://ts.21cn.com/tousu/show/id/1353159</v>
      </c>
      <c r="F21072" s="2" t="s">
        <v>11</v>
      </c>
      <c r="G21072" s="2" t="s">
        <v>2720</v>
      </c>
      <c r="H21072" s="2" t="s">
        <v>2721</v>
      </c>
    </row>
    <row r="21073" spans="1:8" ht="25.05" customHeight="1" x14ac:dyDescent="0.25">
      <c r="A21073" s="2" t="s">
        <v>8</v>
      </c>
      <c r="B21073" s="2" t="str">
        <f>HYPERLINK("http://ts.21cn.com/tousu/show/id/1353163","小花钱包恶性催收，恐吓并侵占个人隐私，无视法律")</f>
        <v>小花钱包恶性催收，恐吓并侵占个人隐私，无视法律</v>
      </c>
      <c r="C21073" s="2" t="s">
        <v>9</v>
      </c>
      <c r="D21073" s="2" t="s">
        <v>10</v>
      </c>
      <c r="E21073" s="2" t="str">
        <f>HYPERLINK("http://ts.21cn.com/tousu/show/id/1353163","http://ts.21cn.com/tousu/show/id/1353163")</f>
        <v>http://ts.21cn.com/tousu/show/id/1353163</v>
      </c>
      <c r="F21073" s="2" t="s">
        <v>11</v>
      </c>
      <c r="G21073" s="2" t="s">
        <v>2718</v>
      </c>
      <c r="H21073" s="2" t="s">
        <v>2719</v>
      </c>
    </row>
    <row r="21074" spans="1:8" ht="25.05" customHeight="1" x14ac:dyDescent="0.25">
      <c r="A21074" s="2" t="s">
        <v>8</v>
      </c>
      <c r="B21074" s="2" t="str">
        <f>HYPERLINK("http://ts.21cn.com/tousu/show/id/1353160","钱站罚息高昂且不断骚扰我亲友同事")</f>
        <v>钱站罚息高昂且不断骚扰我亲友同事</v>
      </c>
      <c r="C21074" s="2" t="s">
        <v>9</v>
      </c>
      <c r="D21074" s="2" t="s">
        <v>10</v>
      </c>
      <c r="E21074" s="2" t="str">
        <f>HYPERLINK("http://ts.21cn.com/tousu/show/id/1353160","http://ts.21cn.com/tousu/show/id/1353160")</f>
        <v>http://ts.21cn.com/tousu/show/id/1353160</v>
      </c>
      <c r="F21074" s="2" t="s">
        <v>11</v>
      </c>
      <c r="G21074" s="2" t="s">
        <v>2716</v>
      </c>
      <c r="H21074" s="2" t="s">
        <v>2717</v>
      </c>
    </row>
    <row r="21075" spans="1:8" ht="25.05" customHeight="1" x14ac:dyDescent="0.25">
      <c r="A21075" s="2" t="s">
        <v>8</v>
      </c>
      <c r="B21075" s="2" t="str">
        <f>HYPERLINK("http://ts.21cn.com/tousu/show/id/1353161","安逸花暴力催收，恐吓骚扰家人")</f>
        <v>安逸花暴力催收，恐吓骚扰家人</v>
      </c>
      <c r="C21075" s="2" t="s">
        <v>9</v>
      </c>
      <c r="D21075" s="2" t="s">
        <v>10</v>
      </c>
      <c r="E21075" s="2" t="str">
        <f>HYPERLINK("http://ts.21cn.com/tousu/show/id/1353161","http://ts.21cn.com/tousu/show/id/1353161")</f>
        <v>http://ts.21cn.com/tousu/show/id/1353161</v>
      </c>
      <c r="F21075" s="2" t="s">
        <v>11</v>
      </c>
      <c r="G21075" s="2" t="s">
        <v>2714</v>
      </c>
      <c r="H21075" s="2" t="s">
        <v>2715</v>
      </c>
    </row>
    <row r="21076" spans="1:8" ht="25.05" customHeight="1" x14ac:dyDescent="0.25">
      <c r="A21076" s="2" t="s">
        <v>8</v>
      </c>
      <c r="B21076" s="2" t="str">
        <f>HYPERLINK("http://ts.21cn.com/tousu/show/id/1353162","招联金融暴力催收")</f>
        <v>招联金融暴力催收</v>
      </c>
      <c r="C21076" s="2" t="s">
        <v>9</v>
      </c>
      <c r="D21076" s="2" t="s">
        <v>10</v>
      </c>
      <c r="E21076" s="2" t="str">
        <f>HYPERLINK("http://ts.21cn.com/tousu/show/id/1353162","http://ts.21cn.com/tousu/show/id/1353162")</f>
        <v>http://ts.21cn.com/tousu/show/id/1353162</v>
      </c>
      <c r="F21076" s="2" t="s">
        <v>11</v>
      </c>
      <c r="G21076" s="2" t="s">
        <v>2712</v>
      </c>
      <c r="H21076" s="2" t="s">
        <v>2713</v>
      </c>
    </row>
    <row r="21077" spans="1:8" ht="25.05" customHeight="1" x14ac:dyDescent="0.25">
      <c r="A21077" s="2" t="s">
        <v>8</v>
      </c>
      <c r="B21077" s="2" t="str">
        <f>HYPERLINK("http://ts.21cn.com/tousu/show/id/1353165","百事普惠恶意扣款")</f>
        <v>百事普惠恶意扣款</v>
      </c>
      <c r="C21077" s="2" t="s">
        <v>9</v>
      </c>
      <c r="D21077" s="2" t="s">
        <v>10</v>
      </c>
      <c r="E21077" s="2" t="str">
        <f>HYPERLINK("http://ts.21cn.com/tousu/show/id/1353165","http://ts.21cn.com/tousu/show/id/1353165")</f>
        <v>http://ts.21cn.com/tousu/show/id/1353165</v>
      </c>
      <c r="F21077" s="2" t="s">
        <v>11</v>
      </c>
      <c r="G21077" s="2" t="s">
        <v>2710</v>
      </c>
      <c r="H21077" s="2" t="s">
        <v>2711</v>
      </c>
    </row>
    <row r="21078" spans="1:8" ht="25.05" customHeight="1" x14ac:dyDescent="0.25">
      <c r="A21078" s="2" t="s">
        <v>8</v>
      </c>
      <c r="B21078" s="2" t="str">
        <f>HYPERLINK("http://ts.21cn.com/tousu/show/id/1353166","电话骚扰，威胁打联系人，希望能推迟到16号还款")</f>
        <v>电话骚扰，威胁打联系人，希望能推迟到16号还款</v>
      </c>
      <c r="C21078" s="2" t="s">
        <v>9</v>
      </c>
      <c r="D21078" s="2" t="s">
        <v>10</v>
      </c>
      <c r="E21078" s="2" t="str">
        <f>HYPERLINK("http://ts.21cn.com/tousu/show/id/1353166","http://ts.21cn.com/tousu/show/id/1353166")</f>
        <v>http://ts.21cn.com/tousu/show/id/1353166</v>
      </c>
      <c r="F21078" s="2" t="s">
        <v>11</v>
      </c>
      <c r="G21078" s="2" t="s">
        <v>2708</v>
      </c>
      <c r="H21078" s="2" t="s">
        <v>2709</v>
      </c>
    </row>
    <row r="21079" spans="1:8" ht="25.05" customHeight="1" x14ac:dyDescent="0.25">
      <c r="A21079" s="2" t="s">
        <v>8</v>
      </c>
      <c r="B21079" s="2" t="str">
        <f>HYPERLINK("http://ts.21cn.com/tousu/show/id/1353167","暴力催收，丢失工作")</f>
        <v>暴力催收，丢失工作</v>
      </c>
      <c r="C21079" s="2" t="s">
        <v>9</v>
      </c>
      <c r="D21079" s="2" t="s">
        <v>10</v>
      </c>
      <c r="E21079" s="2" t="str">
        <f>HYPERLINK("http://ts.21cn.com/tousu/show/id/1353167","http://ts.21cn.com/tousu/show/id/1353167")</f>
        <v>http://ts.21cn.com/tousu/show/id/1353167</v>
      </c>
      <c r="F21079" s="2" t="s">
        <v>11</v>
      </c>
      <c r="G21079" s="2" t="s">
        <v>2706</v>
      </c>
      <c r="H21079" s="2" t="s">
        <v>2707</v>
      </c>
    </row>
    <row r="21080" spans="1:8" ht="25.05" customHeight="1" x14ac:dyDescent="0.25">
      <c r="A21080" s="2" t="s">
        <v>8</v>
      </c>
      <c r="B21080" s="2" t="str">
        <f>HYPERLINK("http://ts.21cn.com/tousu/show/id/1353168","微粒贷微众银行乱扣款，雇佣第三方暴力追款，严重影响本人的生活")</f>
        <v>微粒贷微众银行乱扣款，雇佣第三方暴力追款，严重影响本人的生活</v>
      </c>
      <c r="C21080" s="2" t="s">
        <v>9</v>
      </c>
      <c r="D21080" s="2" t="s">
        <v>10</v>
      </c>
      <c r="E21080" s="2" t="str">
        <f>HYPERLINK("http://ts.21cn.com/tousu/show/id/1353168","http://ts.21cn.com/tousu/show/id/1353168")</f>
        <v>http://ts.21cn.com/tousu/show/id/1353168</v>
      </c>
      <c r="F21080" s="2" t="s">
        <v>11</v>
      </c>
      <c r="G21080" s="2" t="s">
        <v>2704</v>
      </c>
      <c r="H21080" s="2" t="s">
        <v>2705</v>
      </c>
    </row>
    <row r="21081" spans="1:8" ht="25.05" customHeight="1" x14ac:dyDescent="0.25">
      <c r="A21081" s="2" t="s">
        <v>8</v>
      </c>
      <c r="B21081" s="2" t="str">
        <f>HYPERLINK("http://ts.21cn.com/tousu/show/id/1353170","360暴力催收，每天数十个电话骚扰")</f>
        <v>360暴力催收，每天数十个电话骚扰</v>
      </c>
      <c r="C21081" s="2" t="s">
        <v>9</v>
      </c>
      <c r="D21081" s="2" t="s">
        <v>10</v>
      </c>
      <c r="E21081" s="2" t="str">
        <f>HYPERLINK("http://ts.21cn.com/tousu/show/id/1353170","http://ts.21cn.com/tousu/show/id/1353170")</f>
        <v>http://ts.21cn.com/tousu/show/id/1353170</v>
      </c>
      <c r="F21081" s="2" t="s">
        <v>11</v>
      </c>
      <c r="G21081" s="2" t="s">
        <v>2702</v>
      </c>
      <c r="H21081" s="2" t="s">
        <v>2703</v>
      </c>
    </row>
    <row r="21082" spans="1:8" ht="25.05" customHeight="1" x14ac:dyDescent="0.25">
      <c r="A21082" s="2" t="s">
        <v>8</v>
      </c>
      <c r="B21082" s="2" t="str">
        <f>HYPERLINK("http://ts.21cn.com/tousu/show/id/1353171","未经允许胡乱扣费")</f>
        <v>未经允许胡乱扣费</v>
      </c>
      <c r="C21082" s="2" t="s">
        <v>9</v>
      </c>
      <c r="D21082" s="2" t="s">
        <v>10</v>
      </c>
      <c r="E21082" s="2" t="str">
        <f>HYPERLINK("http://ts.21cn.com/tousu/show/id/1353171","http://ts.21cn.com/tousu/show/id/1353171")</f>
        <v>http://ts.21cn.com/tousu/show/id/1353171</v>
      </c>
      <c r="F21082" s="2" t="s">
        <v>11</v>
      </c>
      <c r="G21082" s="2" t="s">
        <v>2700</v>
      </c>
      <c r="H21082" s="2" t="s">
        <v>2701</v>
      </c>
    </row>
    <row r="21083" spans="1:8" ht="25.05" customHeight="1" x14ac:dyDescent="0.25">
      <c r="A21083" s="2" t="s">
        <v>8</v>
      </c>
      <c r="B21083" s="2" t="str">
        <f>HYPERLINK("http://ts.21cn.com/tousu/show/id/1353173","钱站高利贷")</f>
        <v>钱站高利贷</v>
      </c>
      <c r="C21083" s="2" t="s">
        <v>9</v>
      </c>
      <c r="D21083" s="2" t="s">
        <v>10</v>
      </c>
      <c r="E21083" s="2" t="str">
        <f>HYPERLINK("http://ts.21cn.com/tousu/show/id/1353173","http://ts.21cn.com/tousu/show/id/1353173")</f>
        <v>http://ts.21cn.com/tousu/show/id/1353173</v>
      </c>
      <c r="F21083" s="2" t="s">
        <v>11</v>
      </c>
      <c r="G21083" s="2" t="s">
        <v>2698</v>
      </c>
      <c r="H21083" s="2" t="s">
        <v>2699</v>
      </c>
    </row>
    <row r="21084" spans="1:8" ht="25.05" customHeight="1" x14ac:dyDescent="0.25">
      <c r="A21084" s="2" t="s">
        <v>8</v>
      </c>
      <c r="B21084" s="2" t="str">
        <f>HYPERLINK("http://ts.21cn.com/tousu/show/id/1353172","拍拍贷轰炸威胁家人朋友电话")</f>
        <v>拍拍贷轰炸威胁家人朋友电话</v>
      </c>
      <c r="C21084" s="2" t="s">
        <v>9</v>
      </c>
      <c r="D21084" s="2" t="s">
        <v>10</v>
      </c>
      <c r="E21084" s="2" t="str">
        <f>HYPERLINK("http://ts.21cn.com/tousu/show/id/1353172","http://ts.21cn.com/tousu/show/id/1353172")</f>
        <v>http://ts.21cn.com/tousu/show/id/1353172</v>
      </c>
      <c r="F21084" s="2" t="s">
        <v>11</v>
      </c>
      <c r="G21084" s="2" t="s">
        <v>2696</v>
      </c>
      <c r="H21084" s="2" t="s">
        <v>2697</v>
      </c>
    </row>
    <row r="21085" spans="1:8" ht="25.05" customHeight="1" x14ac:dyDescent="0.25">
      <c r="A21085" s="2" t="s">
        <v>8</v>
      </c>
      <c r="B21085" s="2" t="str">
        <f>HYPERLINK("http://ts.21cn.com/tousu/show/id/1353174","安徽图乐网络涉嫌无证经营网贷")</f>
        <v>安徽图乐网络涉嫌无证经营网贷</v>
      </c>
      <c r="C21085" s="2" t="s">
        <v>9</v>
      </c>
      <c r="D21085" s="2" t="s">
        <v>10</v>
      </c>
      <c r="E21085" s="2" t="str">
        <f>HYPERLINK("http://ts.21cn.com/tousu/show/id/1353174","http://ts.21cn.com/tousu/show/id/1353174")</f>
        <v>http://ts.21cn.com/tousu/show/id/1353174</v>
      </c>
      <c r="F21085" s="2" t="s">
        <v>11</v>
      </c>
      <c r="G21085" s="2" t="s">
        <v>2694</v>
      </c>
      <c r="H21085" s="2" t="s">
        <v>2695</v>
      </c>
    </row>
    <row r="21086" spans="1:8" ht="25.05" customHeight="1" x14ac:dyDescent="0.25">
      <c r="A21086" s="2" t="s">
        <v>8</v>
      </c>
      <c r="B21086" s="2" t="str">
        <f>HYPERLINK("http://ts.21cn.com/tousu/show/id/1353176","云闪付为非法赌博网站及平台提供第三房充值通道")</f>
        <v>云闪付为非法赌博网站及平台提供第三房充值通道</v>
      </c>
      <c r="C21086" s="2" t="s">
        <v>9</v>
      </c>
      <c r="D21086" s="2" t="s">
        <v>10</v>
      </c>
      <c r="E21086" s="2" t="str">
        <f>HYPERLINK("http://ts.21cn.com/tousu/show/id/1353176","http://ts.21cn.com/tousu/show/id/1353176")</f>
        <v>http://ts.21cn.com/tousu/show/id/1353176</v>
      </c>
      <c r="F21086" s="2" t="s">
        <v>11</v>
      </c>
      <c r="G21086" s="2" t="s">
        <v>2692</v>
      </c>
      <c r="H21086" s="2" t="s">
        <v>2693</v>
      </c>
    </row>
    <row r="21087" spans="1:8" ht="25.05" customHeight="1" x14ac:dyDescent="0.25">
      <c r="A21087" s="2" t="s">
        <v>8</v>
      </c>
      <c r="B21087" s="2" t="str">
        <f>HYPERLINK("http://ts.21cn.com/tousu/show/id/1353178","来这分期高利贷")</f>
        <v>来这分期高利贷</v>
      </c>
      <c r="C21087" s="2" t="s">
        <v>9</v>
      </c>
      <c r="D21087" s="2" t="s">
        <v>10</v>
      </c>
      <c r="E21087" s="2" t="str">
        <f>HYPERLINK("http://ts.21cn.com/tousu/show/id/1353178","http://ts.21cn.com/tousu/show/id/1353178")</f>
        <v>http://ts.21cn.com/tousu/show/id/1353178</v>
      </c>
      <c r="F21087" s="2" t="s">
        <v>11</v>
      </c>
      <c r="G21087" s="2" t="s">
        <v>2690</v>
      </c>
      <c r="H21087" s="2" t="s">
        <v>2691</v>
      </c>
    </row>
    <row r="21088" spans="1:8" ht="25.05" customHeight="1" x14ac:dyDescent="0.25">
      <c r="A21088" s="2" t="s">
        <v>8</v>
      </c>
      <c r="B21088" s="2" t="str">
        <f>HYPERLINK("http://ts.21cn.com/tousu/show/id/1353177","保护私隐协商还款")</f>
        <v>保护私隐协商还款</v>
      </c>
      <c r="C21088" s="2" t="s">
        <v>9</v>
      </c>
      <c r="D21088" s="2" t="s">
        <v>10</v>
      </c>
      <c r="E21088" s="2" t="str">
        <f>HYPERLINK("http://ts.21cn.com/tousu/show/id/1353177","http://ts.21cn.com/tousu/show/id/1353177")</f>
        <v>http://ts.21cn.com/tousu/show/id/1353177</v>
      </c>
      <c r="F21088" s="2" t="s">
        <v>11</v>
      </c>
      <c r="G21088" s="2" t="s">
        <v>2688</v>
      </c>
      <c r="H21088" s="2" t="s">
        <v>2689</v>
      </c>
    </row>
    <row r="21089" spans="1:8" ht="25.05" customHeight="1" x14ac:dyDescent="0.25">
      <c r="A21089" s="2" t="s">
        <v>8</v>
      </c>
      <c r="B21089" s="2" t="str">
        <f>HYPERLINK("http://ts.21cn.com/tousu/show/id/1353179","钱站高利贷阴阳合同")</f>
        <v>钱站高利贷阴阳合同</v>
      </c>
      <c r="C21089" s="2" t="s">
        <v>9</v>
      </c>
      <c r="D21089" s="2" t="s">
        <v>10</v>
      </c>
      <c r="E21089" s="2" t="str">
        <f>HYPERLINK("http://ts.21cn.com/tousu/show/id/1353179","http://ts.21cn.com/tousu/show/id/1353179")</f>
        <v>http://ts.21cn.com/tousu/show/id/1353179</v>
      </c>
      <c r="F21089" s="2" t="s">
        <v>11</v>
      </c>
      <c r="G21089" s="2" t="s">
        <v>2686</v>
      </c>
      <c r="H21089" s="2" t="s">
        <v>2687</v>
      </c>
    </row>
    <row r="21090" spans="1:8" ht="25.05" customHeight="1" x14ac:dyDescent="0.25">
      <c r="A21090" s="2" t="s">
        <v>8</v>
      </c>
      <c r="B21090" s="2" t="str">
        <f>HYPERLINK("http://ts.21cn.com/tousu/show/id/1353180","众安保险在投保人不知情情况下捆绑销售")</f>
        <v>众安保险在投保人不知情情况下捆绑销售</v>
      </c>
      <c r="C21090" s="2" t="s">
        <v>9</v>
      </c>
      <c r="D21090" s="2" t="s">
        <v>10</v>
      </c>
      <c r="E21090" s="2" t="str">
        <f>HYPERLINK("http://ts.21cn.com/tousu/show/id/1353180","http://ts.21cn.com/tousu/show/id/1353180")</f>
        <v>http://ts.21cn.com/tousu/show/id/1353180</v>
      </c>
      <c r="F21090" s="2" t="s">
        <v>11</v>
      </c>
      <c r="G21090" s="2" t="s">
        <v>2684</v>
      </c>
      <c r="H21090" s="2" t="s">
        <v>2685</v>
      </c>
    </row>
    <row r="21091" spans="1:8" ht="25.05" customHeight="1" x14ac:dyDescent="0.25">
      <c r="A21091" s="2" t="s">
        <v>8</v>
      </c>
      <c r="B21091" s="2" t="str">
        <f>HYPERLINK("http://ts.21cn.com/tousu/show/id/1353181","水莲金条逾期还款")</f>
        <v>水莲金条逾期还款</v>
      </c>
      <c r="C21091" s="2" t="s">
        <v>9</v>
      </c>
      <c r="D21091" s="2" t="s">
        <v>10</v>
      </c>
      <c r="E21091" s="2" t="str">
        <f>HYPERLINK("http://ts.21cn.com/tousu/show/id/1353181","http://ts.21cn.com/tousu/show/id/1353181")</f>
        <v>http://ts.21cn.com/tousu/show/id/1353181</v>
      </c>
      <c r="F21091" s="2" t="s">
        <v>11</v>
      </c>
      <c r="G21091" s="2" t="s">
        <v>2682</v>
      </c>
      <c r="H21091" s="2" t="s">
        <v>2683</v>
      </c>
    </row>
    <row r="21092" spans="1:8" ht="25.05" customHeight="1" x14ac:dyDescent="0.25">
      <c r="A21092" s="2" t="s">
        <v>8</v>
      </c>
      <c r="B21092" s="2" t="str">
        <f>HYPERLINK("http://ts.21cn.com/tousu/show/id/1353182","无辜扣款296元")</f>
        <v>无辜扣款296元</v>
      </c>
      <c r="C21092" s="2" t="s">
        <v>9</v>
      </c>
      <c r="D21092" s="2" t="s">
        <v>10</v>
      </c>
      <c r="E21092" s="2" t="str">
        <f>HYPERLINK("http://ts.21cn.com/tousu/show/id/1353182","http://ts.21cn.com/tousu/show/id/1353182")</f>
        <v>http://ts.21cn.com/tousu/show/id/1353182</v>
      </c>
      <c r="F21092" s="2" t="s">
        <v>11</v>
      </c>
      <c r="G21092" s="2" t="s">
        <v>2680</v>
      </c>
      <c r="H21092" s="2" t="s">
        <v>2681</v>
      </c>
    </row>
    <row r="21093" spans="1:8" ht="25.05" customHeight="1" x14ac:dyDescent="0.25">
      <c r="A21093" s="2" t="s">
        <v>8</v>
      </c>
      <c r="B21093" s="2" t="str">
        <f>HYPERLINK("http://ts.21cn.com/tousu/show/id/1353183","快手官方账号申诉")</f>
        <v>快手官方账号申诉</v>
      </c>
      <c r="C21093" s="2" t="s">
        <v>9</v>
      </c>
      <c r="D21093" s="2" t="s">
        <v>10</v>
      </c>
      <c r="E21093" s="2" t="str">
        <f>HYPERLINK("http://ts.21cn.com/tousu/show/id/1353183","http://ts.21cn.com/tousu/show/id/1353183")</f>
        <v>http://ts.21cn.com/tousu/show/id/1353183</v>
      </c>
      <c r="F21093" s="2" t="s">
        <v>11</v>
      </c>
      <c r="G21093" s="2" t="s">
        <v>2678</v>
      </c>
      <c r="H21093" s="2" t="s">
        <v>2679</v>
      </c>
    </row>
    <row r="21094" spans="1:8" ht="25.05" customHeight="1" x14ac:dyDescent="0.25">
      <c r="A21094" s="2" t="s">
        <v>8</v>
      </c>
      <c r="B21094" s="2" t="str">
        <f>HYPERLINK("http://ts.21cn.com/tousu/show/id/1353184","协商解决")</f>
        <v>协商解决</v>
      </c>
      <c r="C21094" s="2" t="s">
        <v>9</v>
      </c>
      <c r="D21094" s="2" t="s">
        <v>10</v>
      </c>
      <c r="E21094" s="2" t="str">
        <f>HYPERLINK("http://ts.21cn.com/tousu/show/id/1353184","http://ts.21cn.com/tousu/show/id/1353184")</f>
        <v>http://ts.21cn.com/tousu/show/id/1353184</v>
      </c>
      <c r="F21094" s="2" t="s">
        <v>11</v>
      </c>
      <c r="G21094" s="2" t="s">
        <v>2676</v>
      </c>
      <c r="H21094" s="2" t="s">
        <v>2677</v>
      </c>
    </row>
    <row r="21095" spans="1:8" ht="25.05" customHeight="1" x14ac:dyDescent="0.25">
      <c r="A21095" s="2" t="s">
        <v>8</v>
      </c>
      <c r="B21095" s="2" t="str">
        <f>HYPERLINK("http://ts.21cn.com/tousu/show/id/1353185","高利贷")</f>
        <v>高利贷</v>
      </c>
      <c r="C21095" s="2" t="s">
        <v>9</v>
      </c>
      <c r="D21095" s="2" t="s">
        <v>10</v>
      </c>
      <c r="E21095" s="2" t="str">
        <f>HYPERLINK("http://ts.21cn.com/tousu/show/id/1353185","http://ts.21cn.com/tousu/show/id/1353185")</f>
        <v>http://ts.21cn.com/tousu/show/id/1353185</v>
      </c>
      <c r="F21095" s="2" t="s">
        <v>11</v>
      </c>
      <c r="G21095" s="2" t="s">
        <v>2674</v>
      </c>
      <c r="H21095" s="2" t="s">
        <v>2675</v>
      </c>
    </row>
    <row r="21096" spans="1:8" ht="25.05" customHeight="1" x14ac:dyDescent="0.25">
      <c r="A21096" s="2" t="s">
        <v>8</v>
      </c>
      <c r="B21096" s="2" t="str">
        <f>HYPERLINK("http://ts.21cn.com/tousu/show/id/1353186","黑狗科技扣钱之后却充值未到账")</f>
        <v>黑狗科技扣钱之后却充值未到账</v>
      </c>
      <c r="C21096" s="2" t="s">
        <v>9</v>
      </c>
      <c r="D21096" s="2" t="s">
        <v>10</v>
      </c>
      <c r="E21096" s="2" t="str">
        <f>HYPERLINK("http://ts.21cn.com/tousu/show/id/1353186","http://ts.21cn.com/tousu/show/id/1353186")</f>
        <v>http://ts.21cn.com/tousu/show/id/1353186</v>
      </c>
      <c r="F21096" s="2" t="s">
        <v>11</v>
      </c>
      <c r="G21096" s="2" t="s">
        <v>2672</v>
      </c>
      <c r="H21096" s="2" t="s">
        <v>2673</v>
      </c>
    </row>
    <row r="21097" spans="1:8" ht="25.05" customHeight="1" x14ac:dyDescent="0.25">
      <c r="A21097" s="2" t="s">
        <v>8</v>
      </c>
      <c r="B21097" s="2" t="str">
        <f>HYPERLINK("http://ts.21cn.com/tousu/show/id/1353188","农业银行强行冻结本人信用卡")</f>
        <v>农业银行强行冻结本人信用卡</v>
      </c>
      <c r="C21097" s="2" t="s">
        <v>9</v>
      </c>
      <c r="D21097" s="2" t="s">
        <v>10</v>
      </c>
      <c r="E21097" s="2" t="str">
        <f>HYPERLINK("http://ts.21cn.com/tousu/show/id/1353188","http://ts.21cn.com/tousu/show/id/1353188")</f>
        <v>http://ts.21cn.com/tousu/show/id/1353188</v>
      </c>
      <c r="F21097" s="2" t="s">
        <v>11</v>
      </c>
      <c r="G21097" s="2" t="s">
        <v>2670</v>
      </c>
      <c r="H21097" s="2" t="s">
        <v>2671</v>
      </c>
    </row>
    <row r="21098" spans="1:8" ht="25.05" customHeight="1" x14ac:dyDescent="0.25">
      <c r="A21098" s="2" t="s">
        <v>8</v>
      </c>
      <c r="B21098" s="2" t="str">
        <f>HYPERLINK("http://ts.21cn.com/tousu/show/id/1353189","京东白条未经允许骚扰通讯录")</f>
        <v>京东白条未经允许骚扰通讯录</v>
      </c>
      <c r="C21098" s="2" t="s">
        <v>9</v>
      </c>
      <c r="D21098" s="2" t="s">
        <v>10</v>
      </c>
      <c r="E21098" s="2" t="str">
        <f>HYPERLINK("http://ts.21cn.com/tousu/show/id/1353189","http://ts.21cn.com/tousu/show/id/1353189")</f>
        <v>http://ts.21cn.com/tousu/show/id/1353189</v>
      </c>
      <c r="F21098" s="2" t="s">
        <v>11</v>
      </c>
      <c r="G21098" s="2" t="s">
        <v>2668</v>
      </c>
      <c r="H21098" s="2" t="s">
        <v>2669</v>
      </c>
    </row>
    <row r="21099" spans="1:8" ht="25.05" customHeight="1" x14ac:dyDescent="0.25">
      <c r="A21099" s="2" t="s">
        <v>8</v>
      </c>
      <c r="B21099" s="2" t="str">
        <f>HYPERLINK("http://ts.21cn.com/tousu/show/id/1353190","闪电借款超国家规定收费，暴力催收")</f>
        <v>闪电借款超国家规定收费，暴力催收</v>
      </c>
      <c r="C21099" s="2" t="s">
        <v>9</v>
      </c>
      <c r="D21099" s="2" t="s">
        <v>10</v>
      </c>
      <c r="E21099" s="2" t="str">
        <f>HYPERLINK("http://ts.21cn.com/tousu/show/id/1353190","http://ts.21cn.com/tousu/show/id/1353190")</f>
        <v>http://ts.21cn.com/tousu/show/id/1353190</v>
      </c>
      <c r="F21099" s="2" t="s">
        <v>11</v>
      </c>
      <c r="G21099" s="2" t="s">
        <v>2666</v>
      </c>
      <c r="H21099" s="2" t="s">
        <v>2667</v>
      </c>
    </row>
    <row r="21100" spans="1:8" ht="25.05" customHeight="1" x14ac:dyDescent="0.25">
      <c r="A21100" s="2" t="s">
        <v>8</v>
      </c>
      <c r="B21100" s="2" t="str">
        <f>HYPERLINK("http://ts.21cn.com/tousu/show/id/1353192","人人贷提前还款收取全部利息")</f>
        <v>人人贷提前还款收取全部利息</v>
      </c>
      <c r="C21100" s="2" t="s">
        <v>34</v>
      </c>
      <c r="D21100" s="2" t="s">
        <v>10</v>
      </c>
      <c r="E21100" s="2" t="str">
        <f>HYPERLINK("http://ts.21cn.com/tousu/show/id/1353192","http://ts.21cn.com/tousu/show/id/1353192")</f>
        <v>http://ts.21cn.com/tousu/show/id/1353192</v>
      </c>
      <c r="F21100" s="2" t="s">
        <v>11</v>
      </c>
      <c r="G21100" s="2" t="s">
        <v>2664</v>
      </c>
      <c r="H21100" s="2" t="s">
        <v>2665</v>
      </c>
    </row>
    <row r="21101" spans="1:8" ht="25.05" customHeight="1" x14ac:dyDescent="0.25">
      <c r="A21101" s="2" t="s">
        <v>8</v>
      </c>
      <c r="B21101" s="2" t="str">
        <f>HYPERLINK("http://ts.21cn.com/tousu/show/id/1353194","高利贷砍头息催收")</f>
        <v>高利贷砍头息催收</v>
      </c>
      <c r="C21101" s="2" t="s">
        <v>9</v>
      </c>
      <c r="D21101" s="2" t="s">
        <v>10</v>
      </c>
      <c r="E21101" s="2" t="str">
        <f>HYPERLINK("http://ts.21cn.com/tousu/show/id/1353194","http://ts.21cn.com/tousu/show/id/1353194")</f>
        <v>http://ts.21cn.com/tousu/show/id/1353194</v>
      </c>
      <c r="F21101" s="2" t="s">
        <v>11</v>
      </c>
      <c r="G21101" s="2" t="s">
        <v>2662</v>
      </c>
      <c r="H21101" s="2" t="s">
        <v>2663</v>
      </c>
    </row>
    <row r="21102" spans="1:8" ht="25.05" customHeight="1" x14ac:dyDescent="0.25">
      <c r="A21102" s="2" t="s">
        <v>8</v>
      </c>
      <c r="B21102" s="2" t="str">
        <f>HYPERLINK("http://ts.21cn.com/tousu/show/id/1353195","北京首汽智行科技有限公司侵占消费者垫付保险费用")</f>
        <v>北京首汽智行科技有限公司侵占消费者垫付保险费用</v>
      </c>
      <c r="C21102" s="2" t="s">
        <v>9</v>
      </c>
      <c r="D21102" s="2" t="s">
        <v>10</v>
      </c>
      <c r="E21102" s="2" t="str">
        <f>HYPERLINK("http://ts.21cn.com/tousu/show/id/1353195","http://ts.21cn.com/tousu/show/id/1353195")</f>
        <v>http://ts.21cn.com/tousu/show/id/1353195</v>
      </c>
      <c r="F21102" s="2" t="s">
        <v>11</v>
      </c>
      <c r="G21102" s="2" t="s">
        <v>2660</v>
      </c>
      <c r="H21102" s="2" t="s">
        <v>2661</v>
      </c>
    </row>
    <row r="21103" spans="1:8" ht="25.05" customHeight="1" x14ac:dyDescent="0.25">
      <c r="A21103" s="2" t="s">
        <v>8</v>
      </c>
      <c r="B21103" s="2" t="str">
        <f>HYPERLINK("http://ts.21cn.com/tousu/show/id/1353196","耐克买了2双鞋1双大了要退了重拍卖家收到说鞋盒坏了鞋子完好不给退也不给解决方法")</f>
        <v>耐克买了2双鞋1双大了要退了重拍卖家收到说鞋盒坏了鞋子完好不给退也不给解决方法</v>
      </c>
      <c r="C21103" s="2" t="s">
        <v>9</v>
      </c>
      <c r="D21103" s="2" t="s">
        <v>10</v>
      </c>
      <c r="E21103" s="2" t="str">
        <f>HYPERLINK("http://ts.21cn.com/tousu/show/id/1353196","http://ts.21cn.com/tousu/show/id/1353196")</f>
        <v>http://ts.21cn.com/tousu/show/id/1353196</v>
      </c>
      <c r="F21103" s="2" t="s">
        <v>11</v>
      </c>
      <c r="G21103" s="2" t="s">
        <v>2658</v>
      </c>
      <c r="H21103" s="2" t="s">
        <v>2659</v>
      </c>
    </row>
    <row r="21104" spans="1:8" ht="25.05" customHeight="1" x14ac:dyDescent="0.25">
      <c r="A21104" s="2" t="s">
        <v>8</v>
      </c>
      <c r="B21104" s="2" t="str">
        <f>HYPERLINK("http://ts.21cn.com/tousu/show/id/1353197","宜人贷高利息，砍头息")</f>
        <v>宜人贷高利息，砍头息</v>
      </c>
      <c r="C21104" s="2" t="s">
        <v>9</v>
      </c>
      <c r="D21104" s="2" t="s">
        <v>10</v>
      </c>
      <c r="E21104" s="2" t="str">
        <f>HYPERLINK("http://ts.21cn.com/tousu/show/id/1353197","http://ts.21cn.com/tousu/show/id/1353197")</f>
        <v>http://ts.21cn.com/tousu/show/id/1353197</v>
      </c>
      <c r="F21104" s="2" t="s">
        <v>11</v>
      </c>
      <c r="G21104" s="2" t="s">
        <v>2656</v>
      </c>
      <c r="H21104" s="2" t="s">
        <v>2657</v>
      </c>
    </row>
    <row r="21105" spans="1:8" ht="25.05" customHeight="1" x14ac:dyDescent="0.25">
      <c r="A21105" s="2" t="s">
        <v>8</v>
      </c>
      <c r="B21105" s="2" t="str">
        <f>HYPERLINK("http://ts.21cn.com/tousu/show/id/1353198","江苏鼎云尚文化传媒有限公司没得到腾讯公司授权小程序业务，无法履行建立服务站点为商户零配送费义务也不退款。")</f>
        <v>江苏鼎云尚文化传媒有限公司没得到腾讯公司授权小程序业务，无法履行建立服务站点为商户零配送费义务也不退款。</v>
      </c>
      <c r="C21105" s="2" t="s">
        <v>9</v>
      </c>
      <c r="D21105" s="2" t="s">
        <v>10</v>
      </c>
      <c r="E21105" s="2" t="str">
        <f>HYPERLINK("http://ts.21cn.com/tousu/show/id/1353198","http://ts.21cn.com/tousu/show/id/1353198")</f>
        <v>http://ts.21cn.com/tousu/show/id/1353198</v>
      </c>
      <c r="F21105" s="2" t="s">
        <v>11</v>
      </c>
      <c r="G21105" s="2" t="s">
        <v>2654</v>
      </c>
      <c r="H21105" s="2" t="s">
        <v>2655</v>
      </c>
    </row>
    <row r="21106" spans="1:8" ht="25.05" customHeight="1" x14ac:dyDescent="0.25">
      <c r="A21106" s="2" t="s">
        <v>8</v>
      </c>
      <c r="B21106" s="2" t="str">
        <f>HYPERLINK("http://ts.21cn.com/tousu/show/id/1353203","钱站砍头息高利贷乱收费")</f>
        <v>钱站砍头息高利贷乱收费</v>
      </c>
      <c r="C21106" s="2" t="s">
        <v>9</v>
      </c>
      <c r="D21106" s="2" t="s">
        <v>10</v>
      </c>
      <c r="E21106" s="2" t="str">
        <f>HYPERLINK("http://ts.21cn.com/tousu/show/id/1353203","http://ts.21cn.com/tousu/show/id/1353203")</f>
        <v>http://ts.21cn.com/tousu/show/id/1353203</v>
      </c>
      <c r="F21106" s="2" t="s">
        <v>11</v>
      </c>
      <c r="G21106" s="2" t="s">
        <v>2653</v>
      </c>
      <c r="H21106" s="2" t="s">
        <v>2626</v>
      </c>
    </row>
    <row r="21107" spans="1:8" ht="25.05" customHeight="1" x14ac:dyDescent="0.25">
      <c r="A21107" s="2" t="s">
        <v>8</v>
      </c>
      <c r="B21107" s="2" t="str">
        <f>HYPERLINK("http://ts.21cn.com/tousu/show/id/1353199","网赌")</f>
        <v>网赌</v>
      </c>
      <c r="C21107" s="2" t="s">
        <v>9</v>
      </c>
      <c r="D21107" s="2" t="s">
        <v>10</v>
      </c>
      <c r="E21107" s="2" t="str">
        <f>HYPERLINK("http://ts.21cn.com/tousu/show/id/1353199","http://ts.21cn.com/tousu/show/id/1353199")</f>
        <v>http://ts.21cn.com/tousu/show/id/1353199</v>
      </c>
      <c r="F21107" s="2" t="s">
        <v>11</v>
      </c>
      <c r="G21107" s="2" t="s">
        <v>2651</v>
      </c>
      <c r="H21107" s="2" t="s">
        <v>2652</v>
      </c>
    </row>
    <row r="21108" spans="1:8" ht="25.05" customHeight="1" x14ac:dyDescent="0.25">
      <c r="A21108" s="2" t="s">
        <v>8</v>
      </c>
      <c r="B21108" s="2" t="str">
        <f>HYPERLINK("http://ts.21cn.com/tousu/show/id/1353201","钱站短信电话骚扰通讯录")</f>
        <v>钱站短信电话骚扰通讯录</v>
      </c>
      <c r="C21108" s="2" t="s">
        <v>34</v>
      </c>
      <c r="D21108" s="2" t="s">
        <v>10</v>
      </c>
      <c r="E21108" s="2" t="str">
        <f>HYPERLINK("http://ts.21cn.com/tousu/show/id/1353201","http://ts.21cn.com/tousu/show/id/1353201")</f>
        <v>http://ts.21cn.com/tousu/show/id/1353201</v>
      </c>
      <c r="F21108" s="2" t="s">
        <v>11</v>
      </c>
      <c r="G21108" s="2" t="s">
        <v>2649</v>
      </c>
      <c r="H21108" s="2" t="s">
        <v>2650</v>
      </c>
    </row>
    <row r="21109" spans="1:8" ht="25.05" customHeight="1" x14ac:dyDescent="0.25">
      <c r="A21109" s="2" t="s">
        <v>8</v>
      </c>
      <c r="B21109" s="2" t="str">
        <f>HYPERLINK("http://ts.21cn.com/tousu/show/id/1353202","平安银行暴利催收")</f>
        <v>平安银行暴利催收</v>
      </c>
      <c r="C21109" s="2" t="s">
        <v>9</v>
      </c>
      <c r="D21109" s="2" t="s">
        <v>10</v>
      </c>
      <c r="E21109" s="2" t="str">
        <f>HYPERLINK("http://ts.21cn.com/tousu/show/id/1353202","http://ts.21cn.com/tousu/show/id/1353202")</f>
        <v>http://ts.21cn.com/tousu/show/id/1353202</v>
      </c>
      <c r="F21109" s="2" t="s">
        <v>11</v>
      </c>
      <c r="G21109" s="2" t="s">
        <v>2647</v>
      </c>
      <c r="H21109" s="2" t="s">
        <v>2648</v>
      </c>
    </row>
    <row r="21110" spans="1:8" ht="25.05" customHeight="1" x14ac:dyDescent="0.25">
      <c r="A21110" s="2" t="s">
        <v>8</v>
      </c>
      <c r="B21110" s="2" t="str">
        <f>HYPERLINK("http://ts.21cn.com/tousu/show/id/1353207","遭到及贷暴力催熟??利滚利")</f>
        <v>遭到及贷暴力催熟??利滚利</v>
      </c>
      <c r="C21110" s="2" t="s">
        <v>9</v>
      </c>
      <c r="D21110" s="2" t="s">
        <v>10</v>
      </c>
      <c r="E21110" s="2" t="str">
        <f>HYPERLINK("http://ts.21cn.com/tousu/show/id/1353207","http://ts.21cn.com/tousu/show/id/1353207")</f>
        <v>http://ts.21cn.com/tousu/show/id/1353207</v>
      </c>
      <c r="F21110" s="2" t="s">
        <v>11</v>
      </c>
      <c r="G21110" s="2" t="s">
        <v>2645</v>
      </c>
      <c r="H21110" s="2" t="s">
        <v>2646</v>
      </c>
    </row>
    <row r="21111" spans="1:8" ht="25.05" customHeight="1" x14ac:dyDescent="0.25">
      <c r="A21111" s="2" t="s">
        <v>8</v>
      </c>
      <c r="B21111" s="2" t="str">
        <f>HYPERLINK("http://ts.21cn.com/tousu/show/id/1353204","现金巴士收取砍头息")</f>
        <v>现金巴士收取砍头息</v>
      </c>
      <c r="C21111" s="2" t="s">
        <v>9</v>
      </c>
      <c r="D21111" s="2" t="s">
        <v>10</v>
      </c>
      <c r="E21111" s="2" t="str">
        <f>HYPERLINK("http://ts.21cn.com/tousu/show/id/1353204","http://ts.21cn.com/tousu/show/id/1353204")</f>
        <v>http://ts.21cn.com/tousu/show/id/1353204</v>
      </c>
      <c r="F21111" s="2" t="s">
        <v>11</v>
      </c>
      <c r="G21111" s="2" t="s">
        <v>2643</v>
      </c>
      <c r="H21111" s="2" t="s">
        <v>2644</v>
      </c>
    </row>
    <row r="21112" spans="1:8" ht="25.05" customHeight="1" x14ac:dyDescent="0.25">
      <c r="A21112" s="2" t="s">
        <v>8</v>
      </c>
      <c r="B21112" s="2" t="str">
        <f>HYPERLINK("http://ts.21cn.com/tousu/show/id/1353206","众安保险在投保人不知情的情况捆绑销售保险")</f>
        <v>众安保险在投保人不知情的情况捆绑销售保险</v>
      </c>
      <c r="C21112" s="2" t="s">
        <v>9</v>
      </c>
      <c r="D21112" s="2" t="s">
        <v>10</v>
      </c>
      <c r="E21112" s="2" t="str">
        <f>HYPERLINK("http://ts.21cn.com/tousu/show/id/1353206","http://ts.21cn.com/tousu/show/id/1353206")</f>
        <v>http://ts.21cn.com/tousu/show/id/1353206</v>
      </c>
      <c r="F21112" s="2" t="s">
        <v>11</v>
      </c>
      <c r="G21112" s="2" t="s">
        <v>2641</v>
      </c>
      <c r="H21112" s="2" t="s">
        <v>2642</v>
      </c>
    </row>
    <row r="21113" spans="1:8" ht="25.05" customHeight="1" x14ac:dyDescent="0.25">
      <c r="A21113" s="2" t="s">
        <v>8</v>
      </c>
      <c r="B21113" s="2" t="str">
        <f>HYPERLINK("http://ts.21cn.com/tousu/show/id/1353208","闪电借款希望协商还款")</f>
        <v>闪电借款希望协商还款</v>
      </c>
      <c r="C21113" s="2" t="s">
        <v>9</v>
      </c>
      <c r="D21113" s="2" t="s">
        <v>10</v>
      </c>
      <c r="E21113" s="2" t="str">
        <f>HYPERLINK("http://ts.21cn.com/tousu/show/id/1353208","http://ts.21cn.com/tousu/show/id/1353208")</f>
        <v>http://ts.21cn.com/tousu/show/id/1353208</v>
      </c>
      <c r="F21113" s="2" t="s">
        <v>11</v>
      </c>
      <c r="G21113" s="2" t="s">
        <v>2639</v>
      </c>
      <c r="H21113" s="2" t="s">
        <v>2640</v>
      </c>
    </row>
    <row r="21114" spans="1:8" ht="25.05" customHeight="1" x14ac:dyDescent="0.25">
      <c r="A21114" s="2" t="s">
        <v>8</v>
      </c>
      <c r="B21114" s="2" t="str">
        <f>HYPERLINK("http://ts.21cn.com/tousu/show/id/1353209","融360-你我贷-秒借")</f>
        <v>融360-你我贷-秒借</v>
      </c>
      <c r="C21114" s="2" t="s">
        <v>9</v>
      </c>
      <c r="D21114" s="2" t="s">
        <v>10</v>
      </c>
      <c r="E21114" s="2" t="str">
        <f>HYPERLINK("http://ts.21cn.com/tousu/show/id/1353209","http://ts.21cn.com/tousu/show/id/1353209")</f>
        <v>http://ts.21cn.com/tousu/show/id/1353209</v>
      </c>
      <c r="F21114" s="2" t="s">
        <v>11</v>
      </c>
      <c r="G21114" s="2" t="s">
        <v>2637</v>
      </c>
      <c r="H21114" s="2" t="s">
        <v>2638</v>
      </c>
    </row>
    <row r="21115" spans="1:8" ht="25.05" customHeight="1" x14ac:dyDescent="0.25">
      <c r="A21115" s="2" t="s">
        <v>8</v>
      </c>
      <c r="B21115" s="2" t="str">
        <f>HYPERLINK("http://ts.21cn.com/tousu/show/id/1353169","无故背上教育贷款，苏博教育机构涉嫌与海米勾结，苏博跑路，海米不理睬")</f>
        <v>无故背上教育贷款，苏博教育机构涉嫌与海米勾结，苏博跑路，海米不理睬</v>
      </c>
      <c r="C21115" s="2" t="s">
        <v>9</v>
      </c>
      <c r="D21115" s="2" t="s">
        <v>10</v>
      </c>
      <c r="E21115" s="2" t="str">
        <f>HYPERLINK("http://ts.21cn.com/tousu/show/id/1353169","http://ts.21cn.com/tousu/show/id/1353169")</f>
        <v>http://ts.21cn.com/tousu/show/id/1353169</v>
      </c>
      <c r="F21115" s="2" t="s">
        <v>11</v>
      </c>
      <c r="G21115" s="2" t="s">
        <v>2635</v>
      </c>
      <c r="H21115" s="2" t="s">
        <v>2636</v>
      </c>
    </row>
    <row r="21116" spans="1:8" ht="25.05" customHeight="1" x14ac:dyDescent="0.25">
      <c r="A21116" s="2" t="s">
        <v>8</v>
      </c>
      <c r="B21116" s="2" t="str">
        <f>HYPERLINK("http://ts.21cn.com/tousu/show/id/1353119","小浦优客未经同意扣款")</f>
        <v>小浦优客未经同意扣款</v>
      </c>
      <c r="C21116" s="2" t="s">
        <v>9</v>
      </c>
      <c r="D21116" s="2" t="s">
        <v>10</v>
      </c>
      <c r="E21116" s="2" t="str">
        <f>HYPERLINK("http://ts.21cn.com/tousu/show/id/1353119","http://ts.21cn.com/tousu/show/id/1353119")</f>
        <v>http://ts.21cn.com/tousu/show/id/1353119</v>
      </c>
      <c r="F21116" s="2" t="s">
        <v>11</v>
      </c>
      <c r="G21116" s="2" t="s">
        <v>2633</v>
      </c>
      <c r="H21116" s="2" t="s">
        <v>2634</v>
      </c>
    </row>
    <row r="21117" spans="1:8" ht="25.05" customHeight="1" x14ac:dyDescent="0.25">
      <c r="A21117" s="2" t="s">
        <v>8</v>
      </c>
      <c r="B21117" s="2" t="str">
        <f>HYPERLINK("http://ts.21cn.com/tousu/show/id/1353211","投诉东方尚学没人办理事情，不管不问！")</f>
        <v>投诉东方尚学没人办理事情，不管不问！</v>
      </c>
      <c r="C21117" s="2" t="s">
        <v>9</v>
      </c>
      <c r="D21117" s="2" t="s">
        <v>10</v>
      </c>
      <c r="E21117" s="2" t="str">
        <f>HYPERLINK("http://ts.21cn.com/tousu/show/id/1353211","http://ts.21cn.com/tousu/show/id/1353211")</f>
        <v>http://ts.21cn.com/tousu/show/id/1353211</v>
      </c>
      <c r="F21117" s="2" t="s">
        <v>11</v>
      </c>
      <c r="G21117" s="2" t="s">
        <v>2631</v>
      </c>
      <c r="H21117" s="2" t="s">
        <v>2632</v>
      </c>
    </row>
    <row r="21118" spans="1:8" ht="25.05" customHeight="1" x14ac:dyDescent="0.25">
      <c r="A21118" s="2" t="s">
        <v>8</v>
      </c>
      <c r="B21118" s="2" t="str">
        <f>HYPERLINK("http://ts.21cn.com/tousu/show/id/1353210","航协联盟虚假宣传诱导消费")</f>
        <v>航协联盟虚假宣传诱导消费</v>
      </c>
      <c r="C21118" s="2" t="s">
        <v>9</v>
      </c>
      <c r="D21118" s="2" t="s">
        <v>10</v>
      </c>
      <c r="E21118" s="2" t="str">
        <f>HYPERLINK("http://ts.21cn.com/tousu/show/id/1353210","http://ts.21cn.com/tousu/show/id/1353210")</f>
        <v>http://ts.21cn.com/tousu/show/id/1353210</v>
      </c>
      <c r="F21118" s="2" t="s">
        <v>11</v>
      </c>
      <c r="G21118" s="2" t="s">
        <v>2629</v>
      </c>
      <c r="H21118" s="2" t="s">
        <v>2630</v>
      </c>
    </row>
    <row r="21119" spans="1:8" ht="25.05" customHeight="1" x14ac:dyDescent="0.25">
      <c r="A21119" s="2" t="s">
        <v>8</v>
      </c>
      <c r="B21119" s="2" t="str">
        <f>HYPERLINK("http://ts.21cn.com/tousu/show/id/1353212","华夏信财贷款利率高于国家标准")</f>
        <v>华夏信财贷款利率高于国家标准</v>
      </c>
      <c r="C21119" s="2" t="s">
        <v>9</v>
      </c>
      <c r="D21119" s="2" t="s">
        <v>10</v>
      </c>
      <c r="E21119" s="2" t="str">
        <f>HYPERLINK("http://ts.21cn.com/tousu/show/id/1353212","http://ts.21cn.com/tousu/show/id/1353212")</f>
        <v>http://ts.21cn.com/tousu/show/id/1353212</v>
      </c>
      <c r="F21119" s="2" t="s">
        <v>11</v>
      </c>
      <c r="G21119" s="2" t="s">
        <v>2627</v>
      </c>
      <c r="H21119" s="2" t="s">
        <v>2628</v>
      </c>
    </row>
    <row r="21120" spans="1:8" ht="25.05" customHeight="1" x14ac:dyDescent="0.25">
      <c r="A21120" s="2" t="s">
        <v>8</v>
      </c>
      <c r="B21120" s="2" t="str">
        <f>HYPERLINK("http://ts.21cn.com/tousu/show/id/1353215","钱站高利贷阴阳合同")</f>
        <v>钱站高利贷阴阳合同</v>
      </c>
      <c r="C21120" s="2" t="s">
        <v>9</v>
      </c>
      <c r="D21120" s="2" t="s">
        <v>10</v>
      </c>
      <c r="E21120" s="2" t="str">
        <f>HYPERLINK("http://ts.21cn.com/tousu/show/id/1353215","http://ts.21cn.com/tousu/show/id/1353215")</f>
        <v>http://ts.21cn.com/tousu/show/id/1353215</v>
      </c>
      <c r="F21120" s="2" t="s">
        <v>11</v>
      </c>
      <c r="G21120" s="2" t="s">
        <v>2625</v>
      </c>
      <c r="H21120" s="2" t="s">
        <v>2626</v>
      </c>
    </row>
    <row r="21121" spans="1:8" ht="25.05" customHeight="1" x14ac:dyDescent="0.25">
      <c r="A21121" s="2" t="s">
        <v>8</v>
      </c>
      <c r="B21121" s="2" t="str">
        <f>HYPERLINK("http://ts.21cn.com/tousu/show/id/1353213","还呗高额利息、提前结清不免利息")</f>
        <v>还呗高额利息、提前结清不免利息</v>
      </c>
      <c r="C21121" s="2" t="s">
        <v>34</v>
      </c>
      <c r="D21121" s="2" t="s">
        <v>10</v>
      </c>
      <c r="E21121" s="2" t="str">
        <f>HYPERLINK("http://ts.21cn.com/tousu/show/id/1353213","http://ts.21cn.com/tousu/show/id/1353213")</f>
        <v>http://ts.21cn.com/tousu/show/id/1353213</v>
      </c>
      <c r="F21121" s="2" t="s">
        <v>11</v>
      </c>
      <c r="G21121" s="2" t="s">
        <v>2623</v>
      </c>
      <c r="H21121" s="2" t="s">
        <v>2624</v>
      </c>
    </row>
    <row r="21122" spans="1:8" ht="25.05" customHeight="1" x14ac:dyDescent="0.25">
      <c r="A21122" s="2" t="s">
        <v>8</v>
      </c>
      <c r="B21122" s="2" t="str">
        <f>HYPERLINK("http://ts.21cn.com/tousu/show/id/1353175","开网店被商家忽悠要求退款")</f>
        <v>开网店被商家忽悠要求退款</v>
      </c>
      <c r="C21122" s="2" t="s">
        <v>9</v>
      </c>
      <c r="D21122" s="2" t="s">
        <v>10</v>
      </c>
      <c r="E21122" s="2" t="str">
        <f>HYPERLINK("http://ts.21cn.com/tousu/show/id/1353175","http://ts.21cn.com/tousu/show/id/1353175")</f>
        <v>http://ts.21cn.com/tousu/show/id/1353175</v>
      </c>
      <c r="F21122" s="2" t="s">
        <v>11</v>
      </c>
      <c r="G21122" s="2" t="s">
        <v>2621</v>
      </c>
      <c r="H21122" s="2" t="s">
        <v>2622</v>
      </c>
    </row>
    <row r="21123" spans="1:8" ht="25.05" customHeight="1" x14ac:dyDescent="0.25">
      <c r="A21123" s="2" t="s">
        <v>8</v>
      </c>
      <c r="B21123" s="2" t="str">
        <f>HYPERLINK("http://ts.21cn.com/tousu/show/id/1353217","现金巴士高利贷恐吓威胁借款人")</f>
        <v>现金巴士高利贷恐吓威胁借款人</v>
      </c>
      <c r="C21123" s="2" t="s">
        <v>9</v>
      </c>
      <c r="D21123" s="2" t="s">
        <v>10</v>
      </c>
      <c r="E21123" s="2" t="str">
        <f>HYPERLINK("http://ts.21cn.com/tousu/show/id/1353217","http://ts.21cn.com/tousu/show/id/1353217")</f>
        <v>http://ts.21cn.com/tousu/show/id/1353217</v>
      </c>
      <c r="F21123" s="2" t="s">
        <v>11</v>
      </c>
      <c r="G21123" s="2" t="s">
        <v>2619</v>
      </c>
      <c r="H21123" s="2" t="s">
        <v>2620</v>
      </c>
    </row>
    <row r="21124" spans="1:8" ht="25.05" customHeight="1" x14ac:dyDescent="0.25">
      <c r="A21124" s="2" t="s">
        <v>8</v>
      </c>
      <c r="B21124" s="2" t="str">
        <f>HYPERLINK("http://ts.21cn.com/tousu/show/id/1353218","my钱包逾期费用高")</f>
        <v>my钱包逾期费用高</v>
      </c>
      <c r="C21124" s="2" t="s">
        <v>9</v>
      </c>
      <c r="D21124" s="2" t="s">
        <v>10</v>
      </c>
      <c r="E21124" s="2" t="str">
        <f>HYPERLINK("http://ts.21cn.com/tousu/show/id/1353218","http://ts.21cn.com/tousu/show/id/1353218")</f>
        <v>http://ts.21cn.com/tousu/show/id/1353218</v>
      </c>
      <c r="F21124" s="2" t="s">
        <v>11</v>
      </c>
      <c r="G21124" s="2" t="s">
        <v>2617</v>
      </c>
      <c r="H21124" s="2" t="s">
        <v>2618</v>
      </c>
    </row>
    <row r="21125" spans="1:8" ht="25.05" customHeight="1" x14ac:dyDescent="0.25">
      <c r="A21125" s="2" t="s">
        <v>8</v>
      </c>
      <c r="B21125" s="2" t="str">
        <f>HYPERLINK("http://ts.21cn.com/tousu/show/id/1353219","维权，上海拍拍贷高利贷，逾期一天26元逾期费，求有关部门帮忙维权")</f>
        <v>维权，上海拍拍贷高利贷，逾期一天26元逾期费，求有关部门帮忙维权</v>
      </c>
      <c r="C21125" s="2" t="s">
        <v>9</v>
      </c>
      <c r="D21125" s="2" t="s">
        <v>10</v>
      </c>
      <c r="E21125" s="2" t="str">
        <f>HYPERLINK("http://ts.21cn.com/tousu/show/id/1353219","http://ts.21cn.com/tousu/show/id/1353219")</f>
        <v>http://ts.21cn.com/tousu/show/id/1353219</v>
      </c>
      <c r="F21125" s="2" t="s">
        <v>11</v>
      </c>
      <c r="G21125" s="2" t="s">
        <v>2615</v>
      </c>
      <c r="H21125" s="2" t="s">
        <v>2616</v>
      </c>
    </row>
    <row r="21126" spans="1:8" ht="25.05" customHeight="1" x14ac:dyDescent="0.25">
      <c r="A21126" s="2" t="s">
        <v>8</v>
      </c>
      <c r="B21126" s="2" t="str">
        <f>HYPERLINK("http://ts.21cn.com/tousu/show/id/1353220","哈喽出行平台存在安全隐患")</f>
        <v>哈喽出行平台存在安全隐患</v>
      </c>
      <c r="C21126" s="2" t="s">
        <v>9</v>
      </c>
      <c r="D21126" s="2" t="s">
        <v>10</v>
      </c>
      <c r="E21126" s="2" t="str">
        <f>HYPERLINK("http://ts.21cn.com/tousu/show/id/1353220","http://ts.21cn.com/tousu/show/id/1353220")</f>
        <v>http://ts.21cn.com/tousu/show/id/1353220</v>
      </c>
      <c r="F21126" s="2" t="s">
        <v>11</v>
      </c>
      <c r="G21126" s="2" t="s">
        <v>2613</v>
      </c>
      <c r="H21126" s="2" t="s">
        <v>2614</v>
      </c>
    </row>
    <row r="21127" spans="1:8" ht="25.05" customHeight="1" x14ac:dyDescent="0.25">
      <c r="A21127" s="2" t="s">
        <v>8</v>
      </c>
      <c r="B21127" s="2" t="str">
        <f>HYPERLINK("http://ts.21cn.com/tousu/show/id/1353221","一卡通充值未到账未退款")</f>
        <v>一卡通充值未到账未退款</v>
      </c>
      <c r="C21127" s="2" t="s">
        <v>34</v>
      </c>
      <c r="D21127" s="2" t="s">
        <v>10</v>
      </c>
      <c r="E21127" s="2" t="str">
        <f>HYPERLINK("http://ts.21cn.com/tousu/show/id/1353221","http://ts.21cn.com/tousu/show/id/1353221")</f>
        <v>http://ts.21cn.com/tousu/show/id/1353221</v>
      </c>
      <c r="F21127" s="2" t="s">
        <v>11</v>
      </c>
      <c r="G21127" s="2" t="s">
        <v>2611</v>
      </c>
      <c r="H21127" s="2" t="s">
        <v>2612</v>
      </c>
    </row>
    <row r="21128" spans="1:8" ht="25.05" customHeight="1" x14ac:dyDescent="0.25">
      <c r="A21128" s="2" t="s">
        <v>8</v>
      </c>
      <c r="B21128" s="2" t="str">
        <f>HYPERLINK("http://ts.21cn.com/tousu/show/id/1353222","培训贷不亦退费霸王条约强迫消费")</f>
        <v>培训贷不亦退费霸王条约强迫消费</v>
      </c>
      <c r="C21128" s="2" t="s">
        <v>9</v>
      </c>
      <c r="D21128" s="2" t="s">
        <v>10</v>
      </c>
      <c r="E21128" s="2" t="str">
        <f>HYPERLINK("http://ts.21cn.com/tousu/show/id/1353222","http://ts.21cn.com/tousu/show/id/1353222")</f>
        <v>http://ts.21cn.com/tousu/show/id/1353222</v>
      </c>
      <c r="F21128" s="2" t="s">
        <v>11</v>
      </c>
      <c r="G21128" s="2" t="s">
        <v>2609</v>
      </c>
      <c r="H21128" s="2" t="s">
        <v>2610</v>
      </c>
    </row>
    <row r="21129" spans="1:8" ht="25.05" customHeight="1" x14ac:dyDescent="0.25">
      <c r="A21129" s="2" t="s">
        <v>8</v>
      </c>
      <c r="B21129" s="2" t="str">
        <f>HYPERLINK("http://ts.21cn.com/tousu/show/id/1353223","承诺办农行信用卡不下卡退刷卡金未退")</f>
        <v>承诺办农行信用卡不下卡退刷卡金未退</v>
      </c>
      <c r="C21129" s="2" t="s">
        <v>9</v>
      </c>
      <c r="D21129" s="2" t="s">
        <v>10</v>
      </c>
      <c r="E21129" s="2" t="str">
        <f>HYPERLINK("http://ts.21cn.com/tousu/show/id/1353223","http://ts.21cn.com/tousu/show/id/1353223")</f>
        <v>http://ts.21cn.com/tousu/show/id/1353223</v>
      </c>
      <c r="F21129" s="2" t="s">
        <v>11</v>
      </c>
      <c r="G21129" s="2" t="s">
        <v>2607</v>
      </c>
      <c r="H21129" s="2" t="s">
        <v>2608</v>
      </c>
    </row>
    <row r="21130" spans="1:8" ht="25.05" customHeight="1" x14ac:dyDescent="0.25">
      <c r="A21130" s="2" t="s">
        <v>8</v>
      </c>
      <c r="B21130" s="2" t="str">
        <f>HYPERLINK("http://ts.21cn.com/tousu/show/id/1353224","达飞云贷各种费用太高")</f>
        <v>达飞云贷各种费用太高</v>
      </c>
      <c r="C21130" s="2" t="s">
        <v>9</v>
      </c>
      <c r="D21130" s="2" t="s">
        <v>10</v>
      </c>
      <c r="E21130" s="2" t="str">
        <f>HYPERLINK("http://ts.21cn.com/tousu/show/id/1353224","http://ts.21cn.com/tousu/show/id/1353224")</f>
        <v>http://ts.21cn.com/tousu/show/id/1353224</v>
      </c>
      <c r="F21130" s="2" t="s">
        <v>11</v>
      </c>
      <c r="G21130" s="2" t="s">
        <v>2605</v>
      </c>
      <c r="H21130" s="2" t="s">
        <v>2606</v>
      </c>
    </row>
    <row r="21131" spans="1:8" ht="25.05" customHeight="1" x14ac:dyDescent="0.25">
      <c r="A21131" s="2" t="s">
        <v>8</v>
      </c>
      <c r="B21131" s="2" t="str">
        <f>HYPERLINK("http://ts.21cn.com/tousu/show/id/1353225","汇潮支付有限公司为714高利贷提供放款业务")</f>
        <v>汇潮支付有限公司为714高利贷提供放款业务</v>
      </c>
      <c r="C21131" s="2" t="s">
        <v>9</v>
      </c>
      <c r="D21131" s="2" t="s">
        <v>10</v>
      </c>
      <c r="E21131" s="2" t="str">
        <f>HYPERLINK("http://ts.21cn.com/tousu/show/id/1353225","http://ts.21cn.com/tousu/show/id/1353225")</f>
        <v>http://ts.21cn.com/tousu/show/id/1353225</v>
      </c>
      <c r="F21131" s="2" t="s">
        <v>11</v>
      </c>
      <c r="G21131" s="2" t="s">
        <v>2603</v>
      </c>
      <c r="H21131" s="2" t="s">
        <v>2604</v>
      </c>
    </row>
    <row r="21132" spans="1:8" ht="25.05" customHeight="1" x14ac:dyDescent="0.25">
      <c r="A21132" s="2" t="s">
        <v>8</v>
      </c>
      <c r="B21132" s="2" t="str">
        <f>HYPERLINK("http://ts.21cn.com/tousu/show/id/1353226","交通银行软暴力催收")</f>
        <v>交通银行软暴力催收</v>
      </c>
      <c r="C21132" s="2" t="s">
        <v>9</v>
      </c>
      <c r="D21132" s="2" t="s">
        <v>10</v>
      </c>
      <c r="E21132" s="2" t="str">
        <f>HYPERLINK("http://ts.21cn.com/tousu/show/id/1353226","http://ts.21cn.com/tousu/show/id/1353226")</f>
        <v>http://ts.21cn.com/tousu/show/id/1353226</v>
      </c>
      <c r="F21132" s="2" t="s">
        <v>11</v>
      </c>
      <c r="G21132" s="2" t="s">
        <v>2601</v>
      </c>
      <c r="H21132" s="2" t="s">
        <v>2602</v>
      </c>
    </row>
    <row r="21133" spans="1:8" ht="25.05" customHeight="1" x14ac:dyDescent="0.25">
      <c r="A21133" s="2" t="s">
        <v>8</v>
      </c>
      <c r="B21133" s="2" t="str">
        <f>HYPERLINK("http://ts.21cn.com/tousu/show/id/1353227","网贷旗下催收部用呼死你骚扰就职公司电话")</f>
        <v>网贷旗下催收部用呼死你骚扰就职公司电话</v>
      </c>
      <c r="C21133" s="2" t="s">
        <v>9</v>
      </c>
      <c r="D21133" s="2" t="s">
        <v>10</v>
      </c>
      <c r="E21133" s="2" t="str">
        <f>HYPERLINK("http://ts.21cn.com/tousu/show/id/1353227","http://ts.21cn.com/tousu/show/id/1353227")</f>
        <v>http://ts.21cn.com/tousu/show/id/1353227</v>
      </c>
      <c r="F21133" s="2" t="s">
        <v>11</v>
      </c>
      <c r="G21133" s="2" t="s">
        <v>2599</v>
      </c>
      <c r="H21133" s="2" t="s">
        <v>2600</v>
      </c>
    </row>
    <row r="21134" spans="1:8" ht="25.05" customHeight="1" x14ac:dyDescent="0.25">
      <c r="A21134" s="2" t="s">
        <v>8</v>
      </c>
      <c r="B21134" s="2" t="str">
        <f>HYPERLINK("http://ts.21cn.com/tousu/show/id/1353228","高利贷敲诈")</f>
        <v>高利贷敲诈</v>
      </c>
      <c r="C21134" s="2" t="s">
        <v>9</v>
      </c>
      <c r="D21134" s="2" t="s">
        <v>10</v>
      </c>
      <c r="E21134" s="2" t="str">
        <f>HYPERLINK("http://ts.21cn.com/tousu/show/id/1353228","http://ts.21cn.com/tousu/show/id/1353228")</f>
        <v>http://ts.21cn.com/tousu/show/id/1353228</v>
      </c>
      <c r="F21134" s="2" t="s">
        <v>11</v>
      </c>
      <c r="G21134" s="2" t="s">
        <v>2597</v>
      </c>
      <c r="H21134" s="2" t="s">
        <v>2598</v>
      </c>
    </row>
    <row r="21135" spans="1:8" ht="25.05" customHeight="1" x14ac:dyDescent="0.25">
      <c r="A21135" s="2" t="s">
        <v>8</v>
      </c>
      <c r="B21135" s="2" t="str">
        <f>HYPERLINK("http://ts.21cn.com/tousu/show/id/1353229","汇收益（宜商城）提现不到账")</f>
        <v>汇收益（宜商城）提现不到账</v>
      </c>
      <c r="C21135" s="2" t="s">
        <v>9</v>
      </c>
      <c r="D21135" s="2" t="s">
        <v>10</v>
      </c>
      <c r="E21135" s="2" t="str">
        <f>HYPERLINK("http://ts.21cn.com/tousu/show/id/1353229","http://ts.21cn.com/tousu/show/id/1353229")</f>
        <v>http://ts.21cn.com/tousu/show/id/1353229</v>
      </c>
      <c r="F21135" s="2" t="s">
        <v>11</v>
      </c>
      <c r="G21135" s="2" t="s">
        <v>2595</v>
      </c>
      <c r="H21135" s="2" t="s">
        <v>2596</v>
      </c>
    </row>
    <row r="21136" spans="1:8" ht="25.05" customHeight="1" x14ac:dyDescent="0.25">
      <c r="A21136" s="2" t="s">
        <v>8</v>
      </c>
      <c r="B21136" s="2" t="str">
        <f>HYPERLINK("http://ts.21cn.com/tousu/show/id/1353230","投诉苏宁易购不处理商家退店保证金以及年费30000元")</f>
        <v>投诉苏宁易购不处理商家退店保证金以及年费30000元</v>
      </c>
      <c r="C21136" s="2" t="s">
        <v>9</v>
      </c>
      <c r="D21136" s="2" t="s">
        <v>10</v>
      </c>
      <c r="E21136" s="2" t="str">
        <f>HYPERLINK("http://ts.21cn.com/tousu/show/id/1353230","http://ts.21cn.com/tousu/show/id/1353230")</f>
        <v>http://ts.21cn.com/tousu/show/id/1353230</v>
      </c>
      <c r="F21136" s="2" t="s">
        <v>11</v>
      </c>
      <c r="G21136" s="2" t="s">
        <v>2593</v>
      </c>
      <c r="H21136" s="2" t="s">
        <v>2594</v>
      </c>
    </row>
    <row r="21137" spans="1:8" ht="25.05" customHeight="1" x14ac:dyDescent="0.25">
      <c r="A21137" s="2" t="s">
        <v>8</v>
      </c>
      <c r="B21137" s="2" t="str">
        <f>HYPERLINK("http://ts.21cn.com/tousu/show/id/1353231","砍头息，高利贷")</f>
        <v>砍头息，高利贷</v>
      </c>
      <c r="C21137" s="2" t="s">
        <v>9</v>
      </c>
      <c r="D21137" s="2" t="s">
        <v>10</v>
      </c>
      <c r="E21137" s="2" t="str">
        <f>HYPERLINK("http://ts.21cn.com/tousu/show/id/1353231","http://ts.21cn.com/tousu/show/id/1353231")</f>
        <v>http://ts.21cn.com/tousu/show/id/1353231</v>
      </c>
      <c r="F21137" s="2" t="s">
        <v>11</v>
      </c>
      <c r="G21137" s="2" t="s">
        <v>2591</v>
      </c>
      <c r="H21137" s="2" t="s">
        <v>2592</v>
      </c>
    </row>
    <row r="21138" spans="1:8" ht="25.05" customHeight="1" x14ac:dyDescent="0.25">
      <c r="A21138" s="2" t="s">
        <v>8</v>
      </c>
      <c r="B21138" s="2" t="str">
        <f>HYPERLINK("http://ts.21cn.com/tousu/show/id/1353232","浙商银行信用卡中心暴利催收，没法协商")</f>
        <v>浙商银行信用卡中心暴利催收，没法协商</v>
      </c>
      <c r="C21138" s="2" t="s">
        <v>9</v>
      </c>
      <c r="D21138" s="2" t="s">
        <v>10</v>
      </c>
      <c r="E21138" s="2" t="str">
        <f>HYPERLINK("http://ts.21cn.com/tousu/show/id/1353232","http://ts.21cn.com/tousu/show/id/1353232")</f>
        <v>http://ts.21cn.com/tousu/show/id/1353232</v>
      </c>
      <c r="F21138" s="2" t="s">
        <v>11</v>
      </c>
      <c r="G21138" s="2" t="s">
        <v>2589</v>
      </c>
      <c r="H21138" s="2" t="s">
        <v>2590</v>
      </c>
    </row>
    <row r="21139" spans="1:8" ht="25.05" customHeight="1" x14ac:dyDescent="0.25">
      <c r="A21139" s="2" t="s">
        <v>8</v>
      </c>
      <c r="B21139" s="2" t="str">
        <f>HYPERLINK("http://ts.21cn.com/tousu/show/id/1353234","哆咪黑卡")</f>
        <v>哆咪黑卡</v>
      </c>
      <c r="C21139" s="2" t="s">
        <v>34</v>
      </c>
      <c r="D21139" s="2" t="s">
        <v>10</v>
      </c>
      <c r="E21139" s="2" t="str">
        <f>HYPERLINK("http://ts.21cn.com/tousu/show/id/1353234","http://ts.21cn.com/tousu/show/id/1353234")</f>
        <v>http://ts.21cn.com/tousu/show/id/1353234</v>
      </c>
      <c r="F21139" s="2" t="s">
        <v>11</v>
      </c>
      <c r="G21139" s="2" t="s">
        <v>2587</v>
      </c>
      <c r="H21139" s="2" t="s">
        <v>2588</v>
      </c>
    </row>
    <row r="21140" spans="1:8" ht="25.05" customHeight="1" x14ac:dyDescent="0.25">
      <c r="A21140" s="2" t="s">
        <v>8</v>
      </c>
      <c r="B21140" s="2" t="str">
        <f>HYPERLINK("http://ts.21cn.com/tousu/show/id/1353233","我来贷逾期还款后一直不给销账结案")</f>
        <v>我来贷逾期还款后一直不给销账结案</v>
      </c>
      <c r="C21140" s="2" t="s">
        <v>34</v>
      </c>
      <c r="D21140" s="2" t="s">
        <v>10</v>
      </c>
      <c r="E21140" s="2" t="str">
        <f>HYPERLINK("http://ts.21cn.com/tousu/show/id/1353233","http://ts.21cn.com/tousu/show/id/1353233")</f>
        <v>http://ts.21cn.com/tousu/show/id/1353233</v>
      </c>
      <c r="F21140" s="2" t="s">
        <v>11</v>
      </c>
      <c r="G21140" s="2" t="s">
        <v>2585</v>
      </c>
      <c r="H21140" s="2" t="s">
        <v>2586</v>
      </c>
    </row>
    <row r="21141" spans="1:8" ht="25.05" customHeight="1" x14ac:dyDescent="0.25">
      <c r="A21141" s="2" t="s">
        <v>8</v>
      </c>
      <c r="B21141" s="2" t="str">
        <f>HYPERLINK("http://ts.21cn.com/tousu/show/id/1353235","私教课剩余费用不退")</f>
        <v>私教课剩余费用不退</v>
      </c>
      <c r="C21141" s="2" t="s">
        <v>9</v>
      </c>
      <c r="D21141" s="2" t="s">
        <v>10</v>
      </c>
      <c r="E21141" s="2" t="str">
        <f>HYPERLINK("http://ts.21cn.com/tousu/show/id/1353235","http://ts.21cn.com/tousu/show/id/1353235")</f>
        <v>http://ts.21cn.com/tousu/show/id/1353235</v>
      </c>
      <c r="F21141" s="2" t="s">
        <v>11</v>
      </c>
      <c r="G21141" s="2" t="s">
        <v>2583</v>
      </c>
      <c r="H21141" s="2" t="s">
        <v>2584</v>
      </c>
    </row>
    <row r="21142" spans="1:8" ht="25.05" customHeight="1" x14ac:dyDescent="0.25">
      <c r="A21142" s="2" t="s">
        <v>8</v>
      </c>
      <c r="B21142" s="2" t="str">
        <f>HYPERLINK("http://ts.21cn.com/tousu/show/id/1353236","小花钱包不文明催收")</f>
        <v>小花钱包不文明催收</v>
      </c>
      <c r="C21142" s="2" t="s">
        <v>9</v>
      </c>
      <c r="D21142" s="2" t="s">
        <v>10</v>
      </c>
      <c r="E21142" s="2" t="str">
        <f>HYPERLINK("http://ts.21cn.com/tousu/show/id/1353236","http://ts.21cn.com/tousu/show/id/1353236")</f>
        <v>http://ts.21cn.com/tousu/show/id/1353236</v>
      </c>
      <c r="F21142" s="2" t="s">
        <v>11</v>
      </c>
      <c r="G21142" s="2" t="s">
        <v>2581</v>
      </c>
      <c r="H21142" s="2" t="s">
        <v>2582</v>
      </c>
    </row>
    <row r="21143" spans="1:8" ht="25.05" customHeight="1" x14ac:dyDescent="0.25">
      <c r="A21143" s="2" t="s">
        <v>8</v>
      </c>
      <c r="B21143" s="2" t="str">
        <f>HYPERLINK("http://ts.21cn.com/tousu/show/id/1353237","高利贷故意不扣款导致叠加利息")</f>
        <v>高利贷故意不扣款导致叠加利息</v>
      </c>
      <c r="C21143" s="2" t="s">
        <v>9</v>
      </c>
      <c r="D21143" s="2" t="s">
        <v>10</v>
      </c>
      <c r="E21143" s="2" t="str">
        <f>HYPERLINK("http://ts.21cn.com/tousu/show/id/1353237","http://ts.21cn.com/tousu/show/id/1353237")</f>
        <v>http://ts.21cn.com/tousu/show/id/1353237</v>
      </c>
      <c r="F21143" s="2" t="s">
        <v>11</v>
      </c>
      <c r="G21143" s="2" t="s">
        <v>2579</v>
      </c>
      <c r="H21143" s="2" t="s">
        <v>2580</v>
      </c>
    </row>
    <row r="21144" spans="1:8" ht="25.05" customHeight="1" x14ac:dyDescent="0.25">
      <c r="A21144" s="2" t="s">
        <v>8</v>
      </c>
      <c r="B21144" s="2" t="str">
        <f>HYPERLINK("http://ts.21cn.com/tousu/show/id/1353239","和信贷踏实赚项目借出的钱迟迟不退。")</f>
        <v>和信贷踏实赚项目借出的钱迟迟不退。</v>
      </c>
      <c r="C21144" s="2" t="s">
        <v>9</v>
      </c>
      <c r="D21144" s="2" t="s">
        <v>10</v>
      </c>
      <c r="E21144" s="2" t="str">
        <f>HYPERLINK("http://ts.21cn.com/tousu/show/id/1353239","http://ts.21cn.com/tousu/show/id/1353239")</f>
        <v>http://ts.21cn.com/tousu/show/id/1353239</v>
      </c>
      <c r="F21144" s="2" t="s">
        <v>11</v>
      </c>
      <c r="G21144" s="2" t="s">
        <v>2577</v>
      </c>
      <c r="H21144" s="2" t="s">
        <v>2578</v>
      </c>
    </row>
    <row r="21145" spans="1:8" ht="25.05" customHeight="1" x14ac:dyDescent="0.25">
      <c r="A21145" s="2" t="s">
        <v>8</v>
      </c>
      <c r="B21145" s="2" t="str">
        <f>HYPERLINK("http://ts.21cn.com/tousu/show/id/1353238","微粒贷恶意催收")</f>
        <v>微粒贷恶意催收</v>
      </c>
      <c r="C21145" s="2" t="s">
        <v>9</v>
      </c>
      <c r="D21145" s="2" t="s">
        <v>10</v>
      </c>
      <c r="E21145" s="2" t="str">
        <f>HYPERLINK("http://ts.21cn.com/tousu/show/id/1353238","http://ts.21cn.com/tousu/show/id/1353238")</f>
        <v>http://ts.21cn.com/tousu/show/id/1353238</v>
      </c>
      <c r="F21145" s="2" t="s">
        <v>11</v>
      </c>
      <c r="G21145" s="2" t="s">
        <v>2575</v>
      </c>
      <c r="H21145" s="2" t="s">
        <v>2576</v>
      </c>
    </row>
    <row r="21146" spans="1:8" ht="25.05" customHeight="1" x14ac:dyDescent="0.25">
      <c r="A21146" s="2" t="s">
        <v>8</v>
      </c>
      <c r="B21146" s="2" t="str">
        <f>HYPERLINK("http://ts.21cn.com/tousu/show/id/1353240","电话骚扰爆我通讯录")</f>
        <v>电话骚扰爆我通讯录</v>
      </c>
      <c r="C21146" s="2" t="s">
        <v>9</v>
      </c>
      <c r="D21146" s="2" t="s">
        <v>10</v>
      </c>
      <c r="E21146" s="2" t="str">
        <f>HYPERLINK("http://ts.21cn.com/tousu/show/id/1353240","http://ts.21cn.com/tousu/show/id/1353240")</f>
        <v>http://ts.21cn.com/tousu/show/id/1353240</v>
      </c>
      <c r="F21146" s="2" t="s">
        <v>11</v>
      </c>
      <c r="G21146" s="2" t="s">
        <v>2573</v>
      </c>
      <c r="H21146" s="2" t="s">
        <v>2574</v>
      </c>
    </row>
    <row r="21147" spans="1:8" ht="25.05" customHeight="1" x14ac:dyDescent="0.25">
      <c r="A21147" s="2" t="s">
        <v>8</v>
      </c>
      <c r="B21147" s="2" t="str">
        <f>HYPERLINK("http://ts.21cn.com/tousu/show/id/1353243","苹果电脑质量太差且售后没有")</f>
        <v>苹果电脑质量太差且售后没有</v>
      </c>
      <c r="C21147" s="2" t="s">
        <v>9</v>
      </c>
      <c r="D21147" s="2" t="s">
        <v>10</v>
      </c>
      <c r="E21147" s="2" t="str">
        <f>HYPERLINK("http://ts.21cn.com/tousu/show/id/1353243","http://ts.21cn.com/tousu/show/id/1353243")</f>
        <v>http://ts.21cn.com/tousu/show/id/1353243</v>
      </c>
      <c r="F21147" s="2" t="s">
        <v>11</v>
      </c>
      <c r="G21147" s="2" t="s">
        <v>2571</v>
      </c>
      <c r="H21147" s="2" t="s">
        <v>2572</v>
      </c>
    </row>
    <row r="21148" spans="1:8" ht="25.05" customHeight="1" x14ac:dyDescent="0.25">
      <c r="A21148" s="2" t="s">
        <v>8</v>
      </c>
      <c r="B21148" s="2" t="str">
        <f>HYPERLINK("http://ts.21cn.com/tousu/show/id/1353242","你我贷的催收人员在本人逾期的情况下，派三方催收公司多次致电我公司及家人，进行人身伤害恐吓！")</f>
        <v>你我贷的催收人员在本人逾期的情况下，派三方催收公司多次致电我公司及家人，进行人身伤害恐吓！</v>
      </c>
      <c r="C21148" s="2" t="s">
        <v>9</v>
      </c>
      <c r="D21148" s="2" t="s">
        <v>10</v>
      </c>
      <c r="E21148" s="2" t="str">
        <f>HYPERLINK("http://ts.21cn.com/tousu/show/id/1353242","http://ts.21cn.com/tousu/show/id/1353242")</f>
        <v>http://ts.21cn.com/tousu/show/id/1353242</v>
      </c>
      <c r="F21148" s="2" t="s">
        <v>11</v>
      </c>
      <c r="G21148" s="2" t="s">
        <v>2569</v>
      </c>
      <c r="H21148" s="2" t="s">
        <v>2570</v>
      </c>
    </row>
    <row r="21149" spans="1:8" ht="25.05" customHeight="1" x14ac:dyDescent="0.25">
      <c r="A21149" s="2" t="s">
        <v>8</v>
      </c>
      <c r="B21149" s="2" t="str">
        <f>HYPERLINK("http://ts.21cn.com/tousu/show/id/1353245","小赢轰炸式骚扰通讯录亲戚朋友")</f>
        <v>小赢轰炸式骚扰通讯录亲戚朋友</v>
      </c>
      <c r="C21149" s="2" t="s">
        <v>34</v>
      </c>
      <c r="D21149" s="2" t="s">
        <v>10</v>
      </c>
      <c r="E21149" s="2" t="str">
        <f>HYPERLINK("http://ts.21cn.com/tousu/show/id/1353245","http://ts.21cn.com/tousu/show/id/1353245")</f>
        <v>http://ts.21cn.com/tousu/show/id/1353245</v>
      </c>
      <c r="F21149" s="2" t="s">
        <v>11</v>
      </c>
      <c r="G21149" s="2" t="s">
        <v>2567</v>
      </c>
      <c r="H21149" s="2" t="s">
        <v>2568</v>
      </c>
    </row>
    <row r="21150" spans="1:8" ht="25.05" customHeight="1" x14ac:dyDescent="0.25">
      <c r="A21150" s="2" t="s">
        <v>8</v>
      </c>
      <c r="B21150" s="2" t="str">
        <f>HYPERLINK("http://ts.21cn.com/tousu/show/id/1353244","为什么我投诉这么多次都没反应")</f>
        <v>为什么我投诉这么多次都没反应</v>
      </c>
      <c r="C21150" s="2" t="s">
        <v>9</v>
      </c>
      <c r="D21150" s="2" t="s">
        <v>10</v>
      </c>
      <c r="E21150" s="2" t="str">
        <f>HYPERLINK("http://ts.21cn.com/tousu/show/id/1353244","http://ts.21cn.com/tousu/show/id/1353244")</f>
        <v>http://ts.21cn.com/tousu/show/id/1353244</v>
      </c>
      <c r="F21150" s="2" t="s">
        <v>11</v>
      </c>
      <c r="G21150" s="2" t="s">
        <v>2565</v>
      </c>
      <c r="H21150" s="2" t="s">
        <v>2566</v>
      </c>
    </row>
    <row r="21151" spans="1:8" ht="25.05" customHeight="1" x14ac:dyDescent="0.25">
      <c r="A21151" s="2" t="s">
        <v>8</v>
      </c>
      <c r="B21151" s="2" t="str">
        <f>HYPERLINK("http://ts.21cn.com/tousu/show/id/1353249","转转验机作假拒绝退货")</f>
        <v>转转验机作假拒绝退货</v>
      </c>
      <c r="C21151" s="2" t="s">
        <v>9</v>
      </c>
      <c r="D21151" s="2" t="s">
        <v>10</v>
      </c>
      <c r="E21151" s="2" t="str">
        <f>HYPERLINK("http://ts.21cn.com/tousu/show/id/1353249","http://ts.21cn.com/tousu/show/id/1353249")</f>
        <v>http://ts.21cn.com/tousu/show/id/1353249</v>
      </c>
      <c r="F21151" s="2" t="s">
        <v>11</v>
      </c>
      <c r="G21151" s="2" t="s">
        <v>2563</v>
      </c>
      <c r="H21151" s="2" t="s">
        <v>2564</v>
      </c>
    </row>
    <row r="21152" spans="1:8" ht="25.05" customHeight="1" x14ac:dyDescent="0.25">
      <c r="A21152" s="2" t="s">
        <v>8</v>
      </c>
      <c r="B21152" s="2" t="str">
        <f>HYPERLINK("http://ts.21cn.com/tousu/show/id/1353246","乱扣费")</f>
        <v>乱扣费</v>
      </c>
      <c r="C21152" s="2" t="s">
        <v>9</v>
      </c>
      <c r="D21152" s="2" t="s">
        <v>10</v>
      </c>
      <c r="E21152" s="2" t="str">
        <f>HYPERLINK("http://ts.21cn.com/tousu/show/id/1353246","http://ts.21cn.com/tousu/show/id/1353246")</f>
        <v>http://ts.21cn.com/tousu/show/id/1353246</v>
      </c>
      <c r="F21152" s="2" t="s">
        <v>11</v>
      </c>
      <c r="G21152" s="2" t="s">
        <v>2561</v>
      </c>
      <c r="H21152" s="2" t="s">
        <v>2562</v>
      </c>
    </row>
    <row r="21153" spans="1:8" ht="25.05" customHeight="1" x14ac:dyDescent="0.25">
      <c r="A21153" s="2" t="s">
        <v>8</v>
      </c>
      <c r="B21153" s="2" t="str">
        <f>HYPERLINK("http://ts.21cn.com/tousu/show/id/1353247","小花钱包骚扰我的正常生活")</f>
        <v>小花钱包骚扰我的正常生活</v>
      </c>
      <c r="C21153" s="2" t="s">
        <v>34</v>
      </c>
      <c r="D21153" s="2" t="s">
        <v>10</v>
      </c>
      <c r="E21153" s="2" t="str">
        <f>HYPERLINK("http://ts.21cn.com/tousu/show/id/1353247","http://ts.21cn.com/tousu/show/id/1353247")</f>
        <v>http://ts.21cn.com/tousu/show/id/1353247</v>
      </c>
      <c r="F21153" s="2" t="s">
        <v>11</v>
      </c>
      <c r="G21153" s="2" t="s">
        <v>2559</v>
      </c>
      <c r="H21153" s="2" t="s">
        <v>2560</v>
      </c>
    </row>
    <row r="21154" spans="1:8" ht="25.05" customHeight="1" x14ac:dyDescent="0.25">
      <c r="A21154" s="2" t="s">
        <v>8</v>
      </c>
      <c r="B21154" s="2" t="str">
        <f>HYPERLINK("http://ts.21cn.com/tousu/show/id/1353248","白条消费漏洞让消费者买单")</f>
        <v>白条消费漏洞让消费者买单</v>
      </c>
      <c r="C21154" s="2" t="s">
        <v>9</v>
      </c>
      <c r="D21154" s="2" t="s">
        <v>10</v>
      </c>
      <c r="E21154" s="2" t="str">
        <f>HYPERLINK("http://ts.21cn.com/tousu/show/id/1353248","http://ts.21cn.com/tousu/show/id/1353248")</f>
        <v>http://ts.21cn.com/tousu/show/id/1353248</v>
      </c>
      <c r="F21154" s="2" t="s">
        <v>11</v>
      </c>
      <c r="G21154" s="2" t="s">
        <v>2557</v>
      </c>
      <c r="H21154" s="2" t="s">
        <v>2558</v>
      </c>
    </row>
    <row r="21155" spans="1:8" ht="25.05" customHeight="1" x14ac:dyDescent="0.25">
      <c r="A21155" s="2" t="s">
        <v>8</v>
      </c>
      <c r="B21155" s="2" t="str">
        <f>HYPERLINK("http://ts.21cn.com/tousu/show/id/1353250","交通银行为御剑飞行超级高利贷提供支付通道")</f>
        <v>交通银行为御剑飞行超级高利贷提供支付通道</v>
      </c>
      <c r="C21155" s="2" t="s">
        <v>9</v>
      </c>
      <c r="D21155" s="2" t="s">
        <v>10</v>
      </c>
      <c r="E21155" s="2" t="str">
        <f>HYPERLINK("http://ts.21cn.com/tousu/show/id/1353250","http://ts.21cn.com/tousu/show/id/1353250")</f>
        <v>http://ts.21cn.com/tousu/show/id/1353250</v>
      </c>
      <c r="F21155" s="2" t="s">
        <v>11</v>
      </c>
      <c r="G21155" s="2" t="s">
        <v>2555</v>
      </c>
      <c r="H21155" s="2" t="s">
        <v>2556</v>
      </c>
    </row>
    <row r="21156" spans="1:8" ht="25.05" customHeight="1" x14ac:dyDescent="0.25">
      <c r="A21156" s="2" t="s">
        <v>8</v>
      </c>
      <c r="B21156" s="2" t="str">
        <f>HYPERLINK("http://ts.21cn.com/tousu/show/id/1353251","威胁，恐吓，骚扰通讯录，私下泄漏个人隐私")</f>
        <v>威胁，恐吓，骚扰通讯录，私下泄漏个人隐私</v>
      </c>
      <c r="C21156" s="2" t="s">
        <v>9</v>
      </c>
      <c r="D21156" s="2" t="s">
        <v>10</v>
      </c>
      <c r="E21156" s="2" t="str">
        <f>HYPERLINK("http://ts.21cn.com/tousu/show/id/1353251","http://ts.21cn.com/tousu/show/id/1353251")</f>
        <v>http://ts.21cn.com/tousu/show/id/1353251</v>
      </c>
      <c r="F21156" s="2" t="s">
        <v>11</v>
      </c>
      <c r="G21156" s="2" t="s">
        <v>2553</v>
      </c>
      <c r="H21156" s="2" t="s">
        <v>2554</v>
      </c>
    </row>
    <row r="21157" spans="1:8" ht="25.05" customHeight="1" x14ac:dyDescent="0.25">
      <c r="A21157" s="2" t="s">
        <v>8</v>
      </c>
      <c r="B21157" s="2" t="str">
        <f>HYPERLINK("http://ts.21cn.com/tousu/show/id/1353252","现在银行都是这样催收嘛")</f>
        <v>现在银行都是这样催收嘛</v>
      </c>
      <c r="C21157" s="2" t="s">
        <v>9</v>
      </c>
      <c r="D21157" s="2" t="s">
        <v>10</v>
      </c>
      <c r="E21157" s="2" t="str">
        <f>HYPERLINK("http://ts.21cn.com/tousu/show/id/1353252","http://ts.21cn.com/tousu/show/id/1353252")</f>
        <v>http://ts.21cn.com/tousu/show/id/1353252</v>
      </c>
      <c r="F21157" s="2" t="s">
        <v>11</v>
      </c>
      <c r="G21157" s="2" t="s">
        <v>2551</v>
      </c>
      <c r="H21157" s="2" t="s">
        <v>2552</v>
      </c>
    </row>
    <row r="21158" spans="1:8" ht="25.05" customHeight="1" x14ac:dyDescent="0.25">
      <c r="A21158" s="2" t="s">
        <v>8</v>
      </c>
      <c r="B21158" s="2" t="str">
        <f>HYPERLINK("http://ts.21cn.com/tousu/show/id/1353253","随行付旗下还到高利贷")</f>
        <v>随行付旗下还到高利贷</v>
      </c>
      <c r="C21158" s="2" t="s">
        <v>9</v>
      </c>
      <c r="D21158" s="2" t="s">
        <v>10</v>
      </c>
      <c r="E21158" s="2" t="str">
        <f>HYPERLINK("http://ts.21cn.com/tousu/show/id/1353253","http://ts.21cn.com/tousu/show/id/1353253")</f>
        <v>http://ts.21cn.com/tousu/show/id/1353253</v>
      </c>
      <c r="F21158" s="2" t="s">
        <v>11</v>
      </c>
      <c r="G21158" s="2" t="s">
        <v>2549</v>
      </c>
      <c r="H21158" s="2" t="s">
        <v>2550</v>
      </c>
    </row>
    <row r="21159" spans="1:8" ht="25.05" customHeight="1" x14ac:dyDescent="0.25">
      <c r="A21159" s="2" t="s">
        <v>8</v>
      </c>
      <c r="B21159" s="2" t="str">
        <f>HYPERLINK("http://ts.21cn.com/tousu/show/id/1353254","马上金融欺诈")</f>
        <v>马上金融欺诈</v>
      </c>
      <c r="C21159" s="2" t="s">
        <v>9</v>
      </c>
      <c r="D21159" s="2" t="s">
        <v>10</v>
      </c>
      <c r="E21159" s="2" t="str">
        <f>HYPERLINK("http://ts.21cn.com/tousu/show/id/1353254","http://ts.21cn.com/tousu/show/id/1353254")</f>
        <v>http://ts.21cn.com/tousu/show/id/1353254</v>
      </c>
      <c r="F21159" s="2" t="s">
        <v>11</v>
      </c>
      <c r="G21159" s="2" t="s">
        <v>2547</v>
      </c>
      <c r="H21159" s="2" t="s">
        <v>2548</v>
      </c>
    </row>
    <row r="21160" spans="1:8" ht="25.05" customHeight="1" x14ac:dyDescent="0.25">
      <c r="A21160" s="2" t="s">
        <v>8</v>
      </c>
      <c r="B21160" s="2" t="str">
        <f>HYPERLINK("http://ts.21cn.com/tousu/show/id/1353255","点点金融爆我通讯录")</f>
        <v>点点金融爆我通讯录</v>
      </c>
      <c r="C21160" s="2" t="s">
        <v>34</v>
      </c>
      <c r="D21160" s="2" t="s">
        <v>10</v>
      </c>
      <c r="E21160" s="2" t="str">
        <f>HYPERLINK("http://ts.21cn.com/tousu/show/id/1353255","http://ts.21cn.com/tousu/show/id/1353255")</f>
        <v>http://ts.21cn.com/tousu/show/id/1353255</v>
      </c>
      <c r="F21160" s="2" t="s">
        <v>11</v>
      </c>
      <c r="G21160" s="2" t="s">
        <v>2545</v>
      </c>
      <c r="H21160" s="2" t="s">
        <v>2546</v>
      </c>
    </row>
    <row r="21161" spans="1:8" ht="25.05" customHeight="1" x14ac:dyDescent="0.25">
      <c r="A21161" s="2" t="s">
        <v>8</v>
      </c>
      <c r="B21161" s="2" t="str">
        <f>HYPERLINK("http://ts.21cn.com/tousu/show/id/1353257","华夏信用卡连续骚扰")</f>
        <v>华夏信用卡连续骚扰</v>
      </c>
      <c r="C21161" s="2" t="s">
        <v>9</v>
      </c>
      <c r="D21161" s="2" t="s">
        <v>10</v>
      </c>
      <c r="E21161" s="2" t="str">
        <f>HYPERLINK("http://ts.21cn.com/tousu/show/id/1353257","http://ts.21cn.com/tousu/show/id/1353257")</f>
        <v>http://ts.21cn.com/tousu/show/id/1353257</v>
      </c>
      <c r="F21161" s="2" t="s">
        <v>11</v>
      </c>
      <c r="G21161" s="2" t="s">
        <v>2543</v>
      </c>
      <c r="H21161" s="2" t="s">
        <v>2544</v>
      </c>
    </row>
    <row r="21162" spans="1:8" ht="25.05" customHeight="1" x14ac:dyDescent="0.25">
      <c r="A21162" s="2" t="s">
        <v>8</v>
      </c>
      <c r="B21162" s="2" t="str">
        <f>HYPERLINK("http://ts.21cn.com/tousu/show/id/1353256","百度有钱花委托催收公司骚扰我的家人和朋友")</f>
        <v>百度有钱花委托催收公司骚扰我的家人和朋友</v>
      </c>
      <c r="C21162" s="2" t="s">
        <v>9</v>
      </c>
      <c r="D21162" s="2" t="s">
        <v>10</v>
      </c>
      <c r="E21162" s="2" t="str">
        <f>HYPERLINK("http://ts.21cn.com/tousu/show/id/1353256","http://ts.21cn.com/tousu/show/id/1353256")</f>
        <v>http://ts.21cn.com/tousu/show/id/1353256</v>
      </c>
      <c r="F21162" s="2" t="s">
        <v>11</v>
      </c>
      <c r="G21162" s="2" t="s">
        <v>2541</v>
      </c>
      <c r="H21162" s="2" t="s">
        <v>2542</v>
      </c>
    </row>
    <row r="21163" spans="1:8" ht="25.05" customHeight="1" x14ac:dyDescent="0.25">
      <c r="A21163" s="2" t="s">
        <v>8</v>
      </c>
      <c r="B21163" s="2" t="str">
        <f>HYPERLINK("http://ts.21cn.com/tousu/show/id/1353258","要求国美易卡注销账号")</f>
        <v>要求国美易卡注销账号</v>
      </c>
      <c r="C21163" s="2" t="s">
        <v>34</v>
      </c>
      <c r="D21163" s="2" t="s">
        <v>10</v>
      </c>
      <c r="E21163" s="2" t="str">
        <f>HYPERLINK("http://ts.21cn.com/tousu/show/id/1353258","http://ts.21cn.com/tousu/show/id/1353258")</f>
        <v>http://ts.21cn.com/tousu/show/id/1353258</v>
      </c>
      <c r="F21163" s="2" t="s">
        <v>11</v>
      </c>
      <c r="G21163" s="2" t="s">
        <v>2539</v>
      </c>
      <c r="H21163" s="2" t="s">
        <v>2540</v>
      </c>
    </row>
    <row r="21164" spans="1:8" ht="25.05" customHeight="1" x14ac:dyDescent="0.25">
      <c r="A21164" s="2" t="s">
        <v>8</v>
      </c>
      <c r="B21164" s="2" t="str">
        <f>HYPERLINK("http://ts.21cn.com/tousu/show/id/1353259","网易云音乐商城耳机保修期内无处售后")</f>
        <v>网易云音乐商城耳机保修期内无处售后</v>
      </c>
      <c r="C21164" s="2" t="s">
        <v>34</v>
      </c>
      <c r="D21164" s="2" t="s">
        <v>10</v>
      </c>
      <c r="E21164" s="2" t="str">
        <f>HYPERLINK("http://ts.21cn.com/tousu/show/id/1353259","http://ts.21cn.com/tousu/show/id/1353259")</f>
        <v>http://ts.21cn.com/tousu/show/id/1353259</v>
      </c>
      <c r="F21164" s="2" t="s">
        <v>11</v>
      </c>
      <c r="G21164" s="2" t="s">
        <v>2537</v>
      </c>
      <c r="H21164" s="2" t="s">
        <v>2538</v>
      </c>
    </row>
    <row r="21165" spans="1:8" ht="25.05" customHeight="1" x14ac:dyDescent="0.25">
      <c r="A21165" s="2" t="s">
        <v>8</v>
      </c>
      <c r="B21165" s="2" t="str">
        <f>HYPERLINK("http://ts.21cn.com/tousu/show/id/1353260","汇付天下公司套路pos机押金及挪用资金")</f>
        <v>汇付天下公司套路pos机押金及挪用资金</v>
      </c>
      <c r="C21165" s="2" t="s">
        <v>9</v>
      </c>
      <c r="D21165" s="2" t="s">
        <v>10</v>
      </c>
      <c r="E21165" s="2" t="str">
        <f>HYPERLINK("http://ts.21cn.com/tousu/show/id/1353260","http://ts.21cn.com/tousu/show/id/1353260")</f>
        <v>http://ts.21cn.com/tousu/show/id/1353260</v>
      </c>
      <c r="F21165" s="2" t="s">
        <v>11</v>
      </c>
      <c r="G21165" s="2" t="s">
        <v>2535</v>
      </c>
      <c r="H21165" s="2" t="s">
        <v>2536</v>
      </c>
    </row>
    <row r="21166" spans="1:8" ht="25.05" customHeight="1" x14ac:dyDescent="0.25">
      <c r="A21166" s="2" t="s">
        <v>8</v>
      </c>
      <c r="B21166" s="2" t="str">
        <f>HYPERLINK("http://ts.21cn.com/tousu/show/id/1353261","新橙优品")</f>
        <v>新橙优品</v>
      </c>
      <c r="C21166" s="2" t="s">
        <v>9</v>
      </c>
      <c r="D21166" s="2" t="s">
        <v>10</v>
      </c>
      <c r="E21166" s="2" t="str">
        <f>HYPERLINK("http://ts.21cn.com/tousu/show/id/1353261","http://ts.21cn.com/tousu/show/id/1353261")</f>
        <v>http://ts.21cn.com/tousu/show/id/1353261</v>
      </c>
      <c r="F21166" s="2" t="s">
        <v>11</v>
      </c>
      <c r="G21166" s="2" t="s">
        <v>2533</v>
      </c>
      <c r="H21166" s="2" t="s">
        <v>2534</v>
      </c>
    </row>
    <row r="21167" spans="1:8" ht="25.05" customHeight="1" x14ac:dyDescent="0.25">
      <c r="A21167" s="2" t="s">
        <v>8</v>
      </c>
      <c r="B21167" s="2" t="str">
        <f>HYPERLINK("http://ts.21cn.com/tousu/show/id/1353262","支付宝威胁，强制")</f>
        <v>支付宝威胁，强制</v>
      </c>
      <c r="C21167" s="2" t="s">
        <v>9</v>
      </c>
      <c r="D21167" s="2" t="s">
        <v>10</v>
      </c>
      <c r="E21167" s="2" t="str">
        <f>HYPERLINK("http://ts.21cn.com/tousu/show/id/1353262","http://ts.21cn.com/tousu/show/id/1353262")</f>
        <v>http://ts.21cn.com/tousu/show/id/1353262</v>
      </c>
      <c r="F21167" s="2" t="s">
        <v>11</v>
      </c>
      <c r="G21167" s="2" t="s">
        <v>2531</v>
      </c>
      <c r="H21167" s="2" t="s">
        <v>2532</v>
      </c>
    </row>
    <row r="21168" spans="1:8" ht="25.05" customHeight="1" x14ac:dyDescent="0.25">
      <c r="A21168" s="2" t="s">
        <v>8</v>
      </c>
      <c r="B21168" s="2" t="str">
        <f>HYPERLINK("http://ts.21cn.com/tousu/show/id/1353263","英孚不平等条约")</f>
        <v>英孚不平等条约</v>
      </c>
      <c r="C21168" s="2" t="s">
        <v>9</v>
      </c>
      <c r="D21168" s="2" t="s">
        <v>10</v>
      </c>
      <c r="E21168" s="2" t="str">
        <f>HYPERLINK("http://ts.21cn.com/tousu/show/id/1353263","http://ts.21cn.com/tousu/show/id/1353263")</f>
        <v>http://ts.21cn.com/tousu/show/id/1353263</v>
      </c>
      <c r="F21168" s="2" t="s">
        <v>11</v>
      </c>
      <c r="G21168" s="2" t="s">
        <v>2529</v>
      </c>
      <c r="H21168" s="2" t="s">
        <v>2530</v>
      </c>
    </row>
    <row r="21169" spans="1:8" ht="25.05" customHeight="1" x14ac:dyDescent="0.25">
      <c r="A21169" s="2" t="s">
        <v>8</v>
      </c>
      <c r="B21169" s="2" t="str">
        <f>HYPERLINK("http://ts.21cn.com/tousu/show/id/1353264","支付宝花呗不给分期强制全额还款")</f>
        <v>支付宝花呗不给分期强制全额还款</v>
      </c>
      <c r="C21169" s="2" t="s">
        <v>9</v>
      </c>
      <c r="D21169" s="2" t="s">
        <v>10</v>
      </c>
      <c r="E21169" s="2" t="str">
        <f>HYPERLINK("http://ts.21cn.com/tousu/show/id/1353264","http://ts.21cn.com/tousu/show/id/1353264")</f>
        <v>http://ts.21cn.com/tousu/show/id/1353264</v>
      </c>
      <c r="F21169" s="2" t="s">
        <v>11</v>
      </c>
      <c r="G21169" s="2" t="s">
        <v>2527</v>
      </c>
      <c r="H21169" s="2" t="s">
        <v>2528</v>
      </c>
    </row>
    <row r="21170" spans="1:8" ht="25.05" customHeight="1" x14ac:dyDescent="0.25">
      <c r="A21170" s="2" t="s">
        <v>8</v>
      </c>
      <c r="B21170" s="2" t="str">
        <f>HYPERLINK("http://ts.21cn.com/tousu/show/id/1353265","毒")</f>
        <v>毒</v>
      </c>
      <c r="C21170" s="2" t="s">
        <v>34</v>
      </c>
      <c r="D21170" s="2" t="s">
        <v>10</v>
      </c>
      <c r="E21170" s="2" t="str">
        <f>HYPERLINK("http://ts.21cn.com/tousu/show/id/1353265","http://ts.21cn.com/tousu/show/id/1353265")</f>
        <v>http://ts.21cn.com/tousu/show/id/1353265</v>
      </c>
      <c r="F21170" s="2" t="s">
        <v>11</v>
      </c>
      <c r="G21170" s="2" t="s">
        <v>2525</v>
      </c>
      <c r="H21170" s="2" t="s">
        <v>2526</v>
      </c>
    </row>
    <row r="21171" spans="1:8" ht="25.05" customHeight="1" x14ac:dyDescent="0.25">
      <c r="A21171" s="2" t="s">
        <v>8</v>
      </c>
      <c r="B21171" s="2" t="str">
        <f>HYPERLINK("http://ts.21cn.com/tousu/show/id/1353269","建设银行信用卡拒绝退信用卡罚息违约金")</f>
        <v>建设银行信用卡拒绝退信用卡罚息违约金</v>
      </c>
      <c r="C21171" s="2" t="s">
        <v>9</v>
      </c>
      <c r="D21171" s="2" t="s">
        <v>10</v>
      </c>
      <c r="E21171" s="2" t="str">
        <f>HYPERLINK("http://ts.21cn.com/tousu/show/id/1353269","http://ts.21cn.com/tousu/show/id/1353269")</f>
        <v>http://ts.21cn.com/tousu/show/id/1353269</v>
      </c>
      <c r="F21171" s="2" t="s">
        <v>11</v>
      </c>
      <c r="G21171" s="2" t="s">
        <v>2523</v>
      </c>
      <c r="H21171" s="2" t="s">
        <v>2524</v>
      </c>
    </row>
    <row r="21172" spans="1:8" ht="25.05" customHeight="1" x14ac:dyDescent="0.25">
      <c r="A21172" s="2" t="s">
        <v>8</v>
      </c>
      <c r="B21172" s="2" t="str">
        <f>HYPERLINK("http://ts.21cn.com/tousu/show/id/1353268","暴力催收，盗取用户信息")</f>
        <v>暴力催收，盗取用户信息</v>
      </c>
      <c r="C21172" s="2" t="s">
        <v>9</v>
      </c>
      <c r="D21172" s="2" t="s">
        <v>10</v>
      </c>
      <c r="E21172" s="2" t="str">
        <f>HYPERLINK("http://ts.21cn.com/tousu/show/id/1353268","http://ts.21cn.com/tousu/show/id/1353268")</f>
        <v>http://ts.21cn.com/tousu/show/id/1353268</v>
      </c>
      <c r="F21172" s="2" t="s">
        <v>11</v>
      </c>
      <c r="G21172" s="2" t="s">
        <v>2521</v>
      </c>
      <c r="H21172" s="2" t="s">
        <v>2522</v>
      </c>
    </row>
    <row r="21173" spans="1:8" ht="25.05" customHeight="1" x14ac:dyDescent="0.25">
      <c r="A21173" s="2" t="s">
        <v>8</v>
      </c>
      <c r="B21173" s="2" t="str">
        <f>HYPERLINK("http://ts.21cn.com/tousu/show/id/1353270","闪电借款协商还款")</f>
        <v>闪电借款协商还款</v>
      </c>
      <c r="C21173" s="2" t="s">
        <v>9</v>
      </c>
      <c r="D21173" s="2" t="s">
        <v>10</v>
      </c>
      <c r="E21173" s="2" t="str">
        <f>HYPERLINK("http://ts.21cn.com/tousu/show/id/1353270","http://ts.21cn.com/tousu/show/id/1353270")</f>
        <v>http://ts.21cn.com/tousu/show/id/1353270</v>
      </c>
      <c r="F21173" s="2" t="s">
        <v>11</v>
      </c>
      <c r="G21173" s="2" t="s">
        <v>2519</v>
      </c>
      <c r="H21173" s="2" t="s">
        <v>2520</v>
      </c>
    </row>
    <row r="21174" spans="1:8" ht="25.05" customHeight="1" x14ac:dyDescent="0.25">
      <c r="A21174" s="2" t="s">
        <v>8</v>
      </c>
      <c r="B21174" s="2" t="str">
        <f>HYPERLINK("http://ts.21cn.com/tousu/show/id/1353271","百度金融度小满暴力催收")</f>
        <v>百度金融度小满暴力催收</v>
      </c>
      <c r="C21174" s="2" t="s">
        <v>9</v>
      </c>
      <c r="D21174" s="2" t="s">
        <v>10</v>
      </c>
      <c r="E21174" s="2" t="str">
        <f>HYPERLINK("http://ts.21cn.com/tousu/show/id/1353271","http://ts.21cn.com/tousu/show/id/1353271")</f>
        <v>http://ts.21cn.com/tousu/show/id/1353271</v>
      </c>
      <c r="F21174" s="2" t="s">
        <v>11</v>
      </c>
      <c r="G21174" s="2" t="s">
        <v>2517</v>
      </c>
      <c r="H21174" s="2" t="s">
        <v>2518</v>
      </c>
    </row>
    <row r="21175" spans="1:8" ht="25.05" customHeight="1" x14ac:dyDescent="0.25">
      <c r="A21175" s="2" t="s">
        <v>8</v>
      </c>
      <c r="B21175" s="2" t="str">
        <f>HYPERLINK("http://ts.21cn.com/tousu/show/id/1353272","私自扣款")</f>
        <v>私自扣款</v>
      </c>
      <c r="C21175" s="2" t="s">
        <v>9</v>
      </c>
      <c r="D21175" s="2" t="s">
        <v>10</v>
      </c>
      <c r="E21175" s="2" t="str">
        <f>HYPERLINK("http://ts.21cn.com/tousu/show/id/1353272","http://ts.21cn.com/tousu/show/id/1353272")</f>
        <v>http://ts.21cn.com/tousu/show/id/1353272</v>
      </c>
      <c r="F21175" s="2" t="s">
        <v>11</v>
      </c>
      <c r="G21175" s="2" t="s">
        <v>2515</v>
      </c>
      <c r="H21175" s="2" t="s">
        <v>2516</v>
      </c>
    </row>
    <row r="21176" spans="1:8" ht="25.05" customHeight="1" x14ac:dyDescent="0.25">
      <c r="A21176" s="2" t="s">
        <v>8</v>
      </c>
      <c r="B21176" s="2" t="str">
        <f>HYPERLINK("http://ts.21cn.com/tousu/show/id/1353273","你我贷高利贷，违规放贷一年利息高达5000，年利率高达55%")</f>
        <v>你我贷高利贷，违规放贷一年利息高达5000，年利率高达55%</v>
      </c>
      <c r="C21176" s="2" t="s">
        <v>9</v>
      </c>
      <c r="D21176" s="2" t="s">
        <v>10</v>
      </c>
      <c r="E21176" s="2" t="str">
        <f>HYPERLINK("http://ts.21cn.com/tousu/show/id/1353273","http://ts.21cn.com/tousu/show/id/1353273")</f>
        <v>http://ts.21cn.com/tousu/show/id/1353273</v>
      </c>
      <c r="F21176" s="2" t="s">
        <v>11</v>
      </c>
      <c r="G21176" s="2" t="s">
        <v>2513</v>
      </c>
      <c r="H21176" s="2" t="s">
        <v>2514</v>
      </c>
    </row>
    <row r="21177" spans="1:8" ht="25.05" customHeight="1" x14ac:dyDescent="0.25">
      <c r="A21177" s="2" t="s">
        <v>8</v>
      </c>
      <c r="B21177" s="2" t="str">
        <f>HYPERLINK("http://ts.21cn.com/tousu/show/id/1353274","肥猫贷恶意催收")</f>
        <v>肥猫贷恶意催收</v>
      </c>
      <c r="C21177" s="2" t="s">
        <v>9</v>
      </c>
      <c r="D21177" s="2" t="s">
        <v>10</v>
      </c>
      <c r="E21177" s="2" t="str">
        <f>HYPERLINK("http://ts.21cn.com/tousu/show/id/1353274","http://ts.21cn.com/tousu/show/id/1353274")</f>
        <v>http://ts.21cn.com/tousu/show/id/1353274</v>
      </c>
      <c r="F21177" s="2" t="s">
        <v>11</v>
      </c>
      <c r="G21177" s="2" t="s">
        <v>2511</v>
      </c>
      <c r="H21177" s="2" t="s">
        <v>2512</v>
      </c>
    </row>
    <row r="21178" spans="1:8" ht="25.05" customHeight="1" x14ac:dyDescent="0.25">
      <c r="A21178" s="2" t="s">
        <v>8</v>
      </c>
      <c r="B21178" s="2" t="str">
        <f>HYPERLINK("http://ts.21cn.com/tousu/show/id/1353275","无缘无故扣我199元，")</f>
        <v>无缘无故扣我199元，</v>
      </c>
      <c r="C21178" s="2" t="s">
        <v>34</v>
      </c>
      <c r="D21178" s="2" t="s">
        <v>10</v>
      </c>
      <c r="E21178" s="2" t="str">
        <f>HYPERLINK("http://ts.21cn.com/tousu/show/id/1353275","http://ts.21cn.com/tousu/show/id/1353275")</f>
        <v>http://ts.21cn.com/tousu/show/id/1353275</v>
      </c>
      <c r="F21178" s="2" t="s">
        <v>11</v>
      </c>
      <c r="G21178" s="2" t="s">
        <v>2509</v>
      </c>
      <c r="H21178" s="2" t="s">
        <v>2510</v>
      </c>
    </row>
    <row r="21179" spans="1:8" ht="25.05" customHeight="1" x14ac:dyDescent="0.25">
      <c r="A21179" s="2" t="s">
        <v>8</v>
      </c>
      <c r="B21179" s="2" t="str">
        <f>HYPERLINK("http://ts.21cn.com/tousu/show/id/1353276","玖富万卡高利贷，阴阳合同")</f>
        <v>玖富万卡高利贷，阴阳合同</v>
      </c>
      <c r="C21179" s="2" t="s">
        <v>9</v>
      </c>
      <c r="D21179" s="2" t="s">
        <v>10</v>
      </c>
      <c r="E21179" s="2" t="str">
        <f>HYPERLINK("http://ts.21cn.com/tousu/show/id/1353276","http://ts.21cn.com/tousu/show/id/1353276")</f>
        <v>http://ts.21cn.com/tousu/show/id/1353276</v>
      </c>
      <c r="F21179" s="2" t="s">
        <v>11</v>
      </c>
      <c r="G21179" s="2" t="s">
        <v>2507</v>
      </c>
      <c r="H21179" s="2" t="s">
        <v>2508</v>
      </c>
    </row>
    <row r="21180" spans="1:8" ht="25.05" customHeight="1" x14ac:dyDescent="0.25">
      <c r="A21180" s="2" t="s">
        <v>8</v>
      </c>
      <c r="B21180" s="2" t="str">
        <f>HYPERLINK("http://ts.21cn.com/tousu/show/id/1353277","51公积金泄露个人隐私给高利贷平台爆了崔收")</f>
        <v>51公积金泄露个人隐私给高利贷平台爆了崔收</v>
      </c>
      <c r="C21180" s="2" t="s">
        <v>9</v>
      </c>
      <c r="D21180" s="2" t="s">
        <v>10</v>
      </c>
      <c r="E21180" s="2" t="str">
        <f>HYPERLINK("http://ts.21cn.com/tousu/show/id/1353277","http://ts.21cn.com/tousu/show/id/1353277")</f>
        <v>http://ts.21cn.com/tousu/show/id/1353277</v>
      </c>
      <c r="F21180" s="2" t="s">
        <v>11</v>
      </c>
      <c r="G21180" s="2" t="s">
        <v>2504</v>
      </c>
      <c r="H21180" s="2" t="s">
        <v>2505</v>
      </c>
    </row>
    <row r="21181" spans="1:8" ht="25.05" customHeight="1" x14ac:dyDescent="0.25">
      <c r="A21181" s="2" t="s">
        <v>8</v>
      </c>
      <c r="B21181" s="2" t="str">
        <f>HYPERLINK("http://ts.21cn.com/tousu/show/id/1353278","立借高额利息")</f>
        <v>立借高额利息</v>
      </c>
      <c r="C21181" s="2" t="s">
        <v>9</v>
      </c>
      <c r="D21181" s="2" t="s">
        <v>10</v>
      </c>
      <c r="E21181" s="2" t="str">
        <f>HYPERLINK("http://ts.21cn.com/tousu/show/id/1353278","http://ts.21cn.com/tousu/show/id/1353278")</f>
        <v>http://ts.21cn.com/tousu/show/id/1353278</v>
      </c>
      <c r="F21181" s="2" t="s">
        <v>11</v>
      </c>
      <c r="G21181" s="2" t="s">
        <v>2504</v>
      </c>
      <c r="H21181" s="2" t="s">
        <v>2506</v>
      </c>
    </row>
    <row r="21182" spans="1:8" ht="25.05" customHeight="1" x14ac:dyDescent="0.25">
      <c r="A21182" s="2" t="s">
        <v>8</v>
      </c>
      <c r="B21182" s="2" t="str">
        <f>HYPERLINK("http://ts.21cn.com/tousu/show/id/1353279","hellbike乱收费问题")</f>
        <v>hellbike乱收费问题</v>
      </c>
      <c r="C21182" s="2" t="s">
        <v>9</v>
      </c>
      <c r="D21182" s="2" t="s">
        <v>10</v>
      </c>
      <c r="E21182" s="2" t="str">
        <f>HYPERLINK("http://ts.21cn.com/tousu/show/id/1353279","http://ts.21cn.com/tousu/show/id/1353279")</f>
        <v>http://ts.21cn.com/tousu/show/id/1353279</v>
      </c>
      <c r="F21182" s="2" t="s">
        <v>11</v>
      </c>
      <c r="G21182" s="2" t="s">
        <v>2502</v>
      </c>
      <c r="H21182" s="2" t="s">
        <v>2503</v>
      </c>
    </row>
    <row r="21183" spans="1:8" ht="25.05" customHeight="1" x14ac:dyDescent="0.25">
      <c r="A21183" s="2" t="s">
        <v>8</v>
      </c>
      <c r="B21183" s="2" t="str">
        <f>HYPERLINK("http://ts.21cn.com/tousu/show/id/1353280","百度有钱花")</f>
        <v>百度有钱花</v>
      </c>
      <c r="C21183" s="2" t="s">
        <v>9</v>
      </c>
      <c r="D21183" s="2" t="s">
        <v>10</v>
      </c>
      <c r="E21183" s="2" t="str">
        <f>HYPERLINK("http://ts.21cn.com/tousu/show/id/1353280","http://ts.21cn.com/tousu/show/id/1353280")</f>
        <v>http://ts.21cn.com/tousu/show/id/1353280</v>
      </c>
      <c r="F21183" s="2" t="s">
        <v>11</v>
      </c>
      <c r="G21183" s="2" t="s">
        <v>2500</v>
      </c>
      <c r="H21183" s="2" t="s">
        <v>2501</v>
      </c>
    </row>
    <row r="21184" spans="1:8" ht="25.05" customHeight="1" x14ac:dyDescent="0.25">
      <c r="A21184" s="2" t="s">
        <v>8</v>
      </c>
      <c r="B21184" s="2" t="str">
        <f>HYPERLINK("http://ts.21cn.com/tousu/show/id/1353241","米条联盟客服联系不到")</f>
        <v>米条联盟客服联系不到</v>
      </c>
      <c r="C21184" s="2" t="s">
        <v>9</v>
      </c>
      <c r="D21184" s="2" t="s">
        <v>10</v>
      </c>
      <c r="E21184" s="2" t="str">
        <f>HYPERLINK("http://ts.21cn.com/tousu/show/id/1353241","http://ts.21cn.com/tousu/show/id/1353241")</f>
        <v>http://ts.21cn.com/tousu/show/id/1353241</v>
      </c>
      <c r="F21184" s="2" t="s">
        <v>11</v>
      </c>
      <c r="G21184" s="2" t="s">
        <v>2498</v>
      </c>
      <c r="H21184" s="2" t="s">
        <v>2499</v>
      </c>
    </row>
    <row r="21185" spans="1:8" ht="25.05" customHeight="1" x14ac:dyDescent="0.25">
      <c r="A21185" s="2" t="s">
        <v>8</v>
      </c>
      <c r="B21185" s="2" t="str">
        <f>HYPERLINK("http://ts.21cn.com/tousu/show/id/1353191","起诉或者结清")</f>
        <v>起诉或者结清</v>
      </c>
      <c r="C21185" s="2" t="s">
        <v>9</v>
      </c>
      <c r="D21185" s="2" t="s">
        <v>10</v>
      </c>
      <c r="E21185" s="2" t="str">
        <f>HYPERLINK("http://ts.21cn.com/tousu/show/id/1353191","http://ts.21cn.com/tousu/show/id/1353191")</f>
        <v>http://ts.21cn.com/tousu/show/id/1353191</v>
      </c>
      <c r="F21185" s="2" t="s">
        <v>11</v>
      </c>
      <c r="G21185" s="2" t="s">
        <v>2496</v>
      </c>
      <c r="H21185" s="2" t="s">
        <v>2497</v>
      </c>
    </row>
    <row r="21186" spans="1:8" ht="25.05" customHeight="1" x14ac:dyDescent="0.25">
      <c r="A21186" s="2" t="s">
        <v>8</v>
      </c>
      <c r="B21186" s="2" t="str">
        <f>HYPERLINK("http://ts.21cn.com/tousu/show/id/1353284","账号被盗，至尊宝手机号被换。")</f>
        <v>账号被盗，至尊宝手机号被换。</v>
      </c>
      <c r="C21186" s="2" t="s">
        <v>9</v>
      </c>
      <c r="D21186" s="2" t="s">
        <v>10</v>
      </c>
      <c r="E21186" s="2" t="str">
        <f>HYPERLINK("http://ts.21cn.com/tousu/show/id/1353284","http://ts.21cn.com/tousu/show/id/1353284")</f>
        <v>http://ts.21cn.com/tousu/show/id/1353284</v>
      </c>
      <c r="F21186" s="2" t="s">
        <v>11</v>
      </c>
      <c r="G21186" s="2" t="s">
        <v>2494</v>
      </c>
      <c r="H21186" s="2" t="s">
        <v>2495</v>
      </c>
    </row>
    <row r="21187" spans="1:8" ht="25.05" customHeight="1" x14ac:dyDescent="0.25">
      <c r="A21187" s="2" t="s">
        <v>8</v>
      </c>
      <c r="B21187" s="2" t="str">
        <f>HYPERLINK("http://ts.21cn.com/tousu/show/id/1353282","暴力催收威胁恐吓")</f>
        <v>暴力催收威胁恐吓</v>
      </c>
      <c r="C21187" s="2" t="s">
        <v>9</v>
      </c>
      <c r="D21187" s="2" t="s">
        <v>10</v>
      </c>
      <c r="E21187" s="2" t="str">
        <f>HYPERLINK("http://ts.21cn.com/tousu/show/id/1353282","http://ts.21cn.com/tousu/show/id/1353282")</f>
        <v>http://ts.21cn.com/tousu/show/id/1353282</v>
      </c>
      <c r="F21187" s="2" t="s">
        <v>11</v>
      </c>
      <c r="G21187" s="2" t="s">
        <v>2492</v>
      </c>
      <c r="H21187" s="2" t="s">
        <v>2493</v>
      </c>
    </row>
    <row r="21188" spans="1:8" ht="25.05" customHeight="1" x14ac:dyDescent="0.25">
      <c r="A21188" s="2" t="s">
        <v>8</v>
      </c>
      <c r="B21188" s="2" t="str">
        <f>HYPERLINK("http://ts.21cn.com/tousu/show/id/1353283","马上消费金融对我进行骚扰")</f>
        <v>马上消费金融对我进行骚扰</v>
      </c>
      <c r="C21188" s="2" t="s">
        <v>9</v>
      </c>
      <c r="D21188" s="2" t="s">
        <v>10</v>
      </c>
      <c r="E21188" s="2" t="str">
        <f>HYPERLINK("http://ts.21cn.com/tousu/show/id/1353283","http://ts.21cn.com/tousu/show/id/1353283")</f>
        <v>http://ts.21cn.com/tousu/show/id/1353283</v>
      </c>
      <c r="F21188" s="2" t="s">
        <v>11</v>
      </c>
      <c r="G21188" s="2" t="s">
        <v>2490</v>
      </c>
      <c r="H21188" s="2" t="s">
        <v>2491</v>
      </c>
    </row>
    <row r="21189" spans="1:8" ht="25.05" customHeight="1" x14ac:dyDescent="0.25">
      <c r="A21189" s="2" t="s">
        <v>8</v>
      </c>
      <c r="B21189" s="2" t="str">
        <f>HYPERLINK("http://ts.21cn.com/tousu/show/id/1353285","兴业银行信用卡逾期催收")</f>
        <v>兴业银行信用卡逾期催收</v>
      </c>
      <c r="C21189" s="2" t="s">
        <v>9</v>
      </c>
      <c r="D21189" s="2" t="s">
        <v>10</v>
      </c>
      <c r="E21189" s="2" t="str">
        <f>HYPERLINK("http://ts.21cn.com/tousu/show/id/1353285","http://ts.21cn.com/tousu/show/id/1353285")</f>
        <v>http://ts.21cn.com/tousu/show/id/1353285</v>
      </c>
      <c r="F21189" s="2" t="s">
        <v>11</v>
      </c>
      <c r="G21189" s="2" t="s">
        <v>2488</v>
      </c>
      <c r="H21189" s="2" t="s">
        <v>2489</v>
      </c>
    </row>
    <row r="21190" spans="1:8" ht="25.05" customHeight="1" x14ac:dyDescent="0.25">
      <c r="A21190" s="2" t="s">
        <v>8</v>
      </c>
      <c r="B21190" s="2" t="str">
        <f>HYPERLINK("http://ts.21cn.com/tousu/show/id/1353287","中邮消费金融暴力催收")</f>
        <v>中邮消费金融暴力催收</v>
      </c>
      <c r="C21190" s="2" t="s">
        <v>9</v>
      </c>
      <c r="D21190" s="2" t="s">
        <v>10</v>
      </c>
      <c r="E21190" s="2" t="str">
        <f>HYPERLINK("http://ts.21cn.com/tousu/show/id/1353287","http://ts.21cn.com/tousu/show/id/1353287")</f>
        <v>http://ts.21cn.com/tousu/show/id/1353287</v>
      </c>
      <c r="F21190" s="2" t="s">
        <v>11</v>
      </c>
      <c r="G21190" s="2" t="s">
        <v>2486</v>
      </c>
      <c r="H21190" s="2" t="s">
        <v>2487</v>
      </c>
    </row>
    <row r="21191" spans="1:8" ht="25.05" customHeight="1" x14ac:dyDescent="0.25">
      <c r="A21191" s="2" t="s">
        <v>8</v>
      </c>
      <c r="B21191" s="2" t="str">
        <f>HYPERLINK("http://ts.21cn.com/tousu/show/id/1353290","京东金融泄露客户信息，委托第三方恶意催收，骚扰家人，公司同事，朋友")</f>
        <v>京东金融泄露客户信息，委托第三方恶意催收，骚扰家人，公司同事，朋友</v>
      </c>
      <c r="C21191" s="2" t="s">
        <v>9</v>
      </c>
      <c r="D21191" s="2" t="s">
        <v>10</v>
      </c>
      <c r="E21191" s="2" t="str">
        <f>HYPERLINK("http://ts.21cn.com/tousu/show/id/1353290","http://ts.21cn.com/tousu/show/id/1353290")</f>
        <v>http://ts.21cn.com/tousu/show/id/1353290</v>
      </c>
      <c r="F21191" s="2" t="s">
        <v>11</v>
      </c>
      <c r="G21191" s="2" t="s">
        <v>2484</v>
      </c>
      <c r="H21191" s="2" t="s">
        <v>2485</v>
      </c>
    </row>
    <row r="21192" spans="1:8" ht="25.05" customHeight="1" x14ac:dyDescent="0.25">
      <c r="A21192" s="2" t="s">
        <v>8</v>
      </c>
      <c r="B21192" s="2" t="str">
        <f>HYPERLINK("http://ts.21cn.com/tousu/show/id/1353291","浦发银行信用卡")</f>
        <v>浦发银行信用卡</v>
      </c>
      <c r="C21192" s="2" t="s">
        <v>9</v>
      </c>
      <c r="D21192" s="2" t="s">
        <v>10</v>
      </c>
      <c r="E21192" s="2" t="str">
        <f>HYPERLINK("http://ts.21cn.com/tousu/show/id/1353291","http://ts.21cn.com/tousu/show/id/1353291")</f>
        <v>http://ts.21cn.com/tousu/show/id/1353291</v>
      </c>
      <c r="F21192" s="2" t="s">
        <v>11</v>
      </c>
      <c r="G21192" s="2" t="s">
        <v>2482</v>
      </c>
      <c r="H21192" s="2" t="s">
        <v>2483</v>
      </c>
    </row>
    <row r="21193" spans="1:8" ht="25.05" customHeight="1" x14ac:dyDescent="0.25">
      <c r="A21193" s="2" t="s">
        <v>8</v>
      </c>
      <c r="B21193" s="2" t="str">
        <f>HYPERLINK("http://ts.21cn.com/tousu/show/id/1353293","前海仓实旗下平台花薪发放高利贷，骚扰家人")</f>
        <v>前海仓实旗下平台花薪发放高利贷，骚扰家人</v>
      </c>
      <c r="C21193" s="2" t="s">
        <v>9</v>
      </c>
      <c r="D21193" s="2" t="s">
        <v>10</v>
      </c>
      <c r="E21193" s="2" t="str">
        <f>HYPERLINK("http://ts.21cn.com/tousu/show/id/1353293","http://ts.21cn.com/tousu/show/id/1353293")</f>
        <v>http://ts.21cn.com/tousu/show/id/1353293</v>
      </c>
      <c r="F21193" s="2" t="s">
        <v>11</v>
      </c>
      <c r="G21193" s="2" t="s">
        <v>2480</v>
      </c>
      <c r="H21193" s="2" t="s">
        <v>2481</v>
      </c>
    </row>
    <row r="21194" spans="1:8" ht="25.05" customHeight="1" x14ac:dyDescent="0.25">
      <c r="A21194" s="2" t="s">
        <v>8</v>
      </c>
      <c r="B21194" s="2" t="str">
        <f>HYPERLINK("http://ts.21cn.com/tousu/show/id/1353294","账号无法认证提示1、您涉嫌使用他人证件提交认证，与身份认证需持【本人证件】的规定不符；")</f>
        <v>账号无法认证提示1、您涉嫌使用他人证件提交认证，与身份认证需持【本人证件】的规定不符；</v>
      </c>
      <c r="C21194" s="2" t="s">
        <v>9</v>
      </c>
      <c r="D21194" s="2" t="s">
        <v>10</v>
      </c>
      <c r="E21194" s="2" t="str">
        <f>HYPERLINK("http://ts.21cn.com/tousu/show/id/1353294","http://ts.21cn.com/tousu/show/id/1353294")</f>
        <v>http://ts.21cn.com/tousu/show/id/1353294</v>
      </c>
      <c r="F21194" s="2" t="s">
        <v>11</v>
      </c>
      <c r="G21194" s="2" t="s">
        <v>2478</v>
      </c>
      <c r="H21194" s="2" t="s">
        <v>2479</v>
      </c>
    </row>
    <row r="21195" spans="1:8" ht="25.05" customHeight="1" x14ac:dyDescent="0.25">
      <c r="A21195" s="2" t="s">
        <v>8</v>
      </c>
      <c r="B21195" s="2" t="str">
        <f>HYPERLINK("http://ts.21cn.com/tousu/show/id/1196015","快钱支付包庇合作的非法商户，提供非法扣款渠道。为投诉设置门槛，故意刁难！")</f>
        <v>快钱支付包庇合作的非法商户，提供非法扣款渠道。为投诉设置门槛，故意刁难！</v>
      </c>
      <c r="C21195" s="2" t="s">
        <v>9</v>
      </c>
      <c r="D21195" s="2" t="s">
        <v>10</v>
      </c>
      <c r="E21195" s="2" t="str">
        <f>HYPERLINK("http://ts.21cn.com/tousu/show/id/1196015","http://ts.21cn.com/tousu/show/id/1196015")</f>
        <v>http://ts.21cn.com/tousu/show/id/1196015</v>
      </c>
      <c r="F21195" s="2" t="s">
        <v>11</v>
      </c>
      <c r="G21195" s="2" t="s">
        <v>2476</v>
      </c>
      <c r="H21195" s="2" t="s">
        <v>2477</v>
      </c>
    </row>
    <row r="21196" spans="1:8" ht="25.05" customHeight="1" x14ac:dyDescent="0.25">
      <c r="A21196" s="2" t="s">
        <v>8</v>
      </c>
      <c r="B21196" s="2" t="str">
        <f>HYPERLINK("http://ts.21cn.com/tousu/show/id/1353296","暴力催收威胁恐吓轰炸通讯录")</f>
        <v>暴力催收威胁恐吓轰炸通讯录</v>
      </c>
      <c r="C21196" s="2" t="s">
        <v>9</v>
      </c>
      <c r="D21196" s="2" t="s">
        <v>10</v>
      </c>
      <c r="E21196" s="2" t="str">
        <f>HYPERLINK("http://ts.21cn.com/tousu/show/id/1353296","http://ts.21cn.com/tousu/show/id/1353296")</f>
        <v>http://ts.21cn.com/tousu/show/id/1353296</v>
      </c>
      <c r="F21196" s="2" t="s">
        <v>11</v>
      </c>
      <c r="G21196" s="2" t="s">
        <v>2474</v>
      </c>
      <c r="H21196" s="2" t="s">
        <v>2475</v>
      </c>
    </row>
    <row r="21197" spans="1:8" ht="25.05" customHeight="1" x14ac:dyDescent="0.25">
      <c r="A21197" s="2" t="s">
        <v>8</v>
      </c>
      <c r="B21197" s="2" t="str">
        <f>HYPERLINK("http://ts.21cn.com/tousu/show/id/1353295","滴滴拒绝补偿小蓝押金")</f>
        <v>滴滴拒绝补偿小蓝押金</v>
      </c>
      <c r="C21197" s="2" t="s">
        <v>9</v>
      </c>
      <c r="D21197" s="2" t="s">
        <v>10</v>
      </c>
      <c r="E21197" s="2" t="str">
        <f>HYPERLINK("http://ts.21cn.com/tousu/show/id/1353295","http://ts.21cn.com/tousu/show/id/1353295")</f>
        <v>http://ts.21cn.com/tousu/show/id/1353295</v>
      </c>
      <c r="F21197" s="2" t="s">
        <v>11</v>
      </c>
      <c r="G21197" s="2" t="s">
        <v>2472</v>
      </c>
      <c r="H21197" s="2" t="s">
        <v>2473</v>
      </c>
    </row>
    <row r="21198" spans="1:8" ht="25.05" customHeight="1" x14ac:dyDescent="0.25">
      <c r="A21198" s="2" t="s">
        <v>8</v>
      </c>
      <c r="B21198" s="2" t="str">
        <f>HYPERLINK("http://ts.21cn.com/tousu/show/id/1353298","中腾信恶意催收，投诉后没人管，变本加厉，爆通讯录")</f>
        <v>中腾信恶意催收，投诉后没人管，变本加厉，爆通讯录</v>
      </c>
      <c r="C21198" s="2" t="s">
        <v>9</v>
      </c>
      <c r="D21198" s="2" t="s">
        <v>10</v>
      </c>
      <c r="E21198" s="2" t="str">
        <f>HYPERLINK("http://ts.21cn.com/tousu/show/id/1353298","http://ts.21cn.com/tousu/show/id/1353298")</f>
        <v>http://ts.21cn.com/tousu/show/id/1353298</v>
      </c>
      <c r="F21198" s="2" t="s">
        <v>11</v>
      </c>
      <c r="G21198" s="2" t="s">
        <v>2470</v>
      </c>
      <c r="H21198" s="2" t="s">
        <v>2471</v>
      </c>
    </row>
    <row r="21199" spans="1:8" ht="25.05" customHeight="1" x14ac:dyDescent="0.25">
      <c r="A21199" s="2" t="s">
        <v>8</v>
      </c>
      <c r="B21199" s="2" t="str">
        <f>HYPERLINK("http://ts.21cn.com/tousu/show/id/1353297","美团食品问题堪忧，什么商家都可以上美团。")</f>
        <v>美团食品问题堪忧，什么商家都可以上美团。</v>
      </c>
      <c r="C21199" s="2" t="s">
        <v>34</v>
      </c>
      <c r="D21199" s="2" t="s">
        <v>10</v>
      </c>
      <c r="E21199" s="2" t="str">
        <f>HYPERLINK("http://ts.21cn.com/tousu/show/id/1353297","http://ts.21cn.com/tousu/show/id/1353297")</f>
        <v>http://ts.21cn.com/tousu/show/id/1353297</v>
      </c>
      <c r="F21199" s="2" t="s">
        <v>11</v>
      </c>
      <c r="G21199" s="2" t="s">
        <v>2468</v>
      </c>
      <c r="H21199" s="2" t="s">
        <v>2469</v>
      </c>
    </row>
    <row r="21200" spans="1:8" ht="25.05" customHeight="1" x14ac:dyDescent="0.25">
      <c r="A21200" s="2" t="s">
        <v>8</v>
      </c>
      <c r="B21200" s="2" t="str">
        <f>HYPERLINK("http://ts.21cn.com/tousu/show/id/1353267","趣惠买联动优势新型8天套路贷")</f>
        <v>趣惠买联动优势新型8天套路贷</v>
      </c>
      <c r="C21200" s="2" t="s">
        <v>9</v>
      </c>
      <c r="D21200" s="2" t="s">
        <v>10</v>
      </c>
      <c r="E21200" s="2" t="str">
        <f>HYPERLINK("http://ts.21cn.com/tousu/show/id/1353267","http://ts.21cn.com/tousu/show/id/1353267")</f>
        <v>http://ts.21cn.com/tousu/show/id/1353267</v>
      </c>
      <c r="F21200" s="2" t="s">
        <v>11</v>
      </c>
      <c r="G21200" s="2" t="s">
        <v>2466</v>
      </c>
      <c r="H21200" s="2" t="s">
        <v>2467</v>
      </c>
    </row>
    <row r="21201" spans="1:8" ht="25.05" customHeight="1" x14ac:dyDescent="0.25">
      <c r="A21201" s="2" t="s">
        <v>8</v>
      </c>
      <c r="B21201" s="2" t="str">
        <f>HYPERLINK("http://ts.21cn.com/tousu/show/id/1353299","小赢卡贷利息过高")</f>
        <v>小赢卡贷利息过高</v>
      </c>
      <c r="C21201" s="2" t="s">
        <v>34</v>
      </c>
      <c r="D21201" s="2" t="s">
        <v>10</v>
      </c>
      <c r="E21201" s="2" t="str">
        <f>HYPERLINK("http://ts.21cn.com/tousu/show/id/1353299","http://ts.21cn.com/tousu/show/id/1353299")</f>
        <v>http://ts.21cn.com/tousu/show/id/1353299</v>
      </c>
      <c r="F21201" s="2" t="s">
        <v>11</v>
      </c>
      <c r="G21201" s="2" t="s">
        <v>2464</v>
      </c>
      <c r="H21201" s="2" t="s">
        <v>2465</v>
      </c>
    </row>
    <row r="21202" spans="1:8" ht="25.05" customHeight="1" x14ac:dyDescent="0.25">
      <c r="A21202" s="2" t="s">
        <v>8</v>
      </c>
      <c r="B21202" s="2" t="str">
        <f>HYPERLINK("http://ts.21cn.com/tousu/show/id/1353300","宝付支付不审核资质为714高炮平台提供支付渠道")</f>
        <v>宝付支付不审核资质为714高炮平台提供支付渠道</v>
      </c>
      <c r="C21202" s="2" t="s">
        <v>9</v>
      </c>
      <c r="D21202" s="2" t="s">
        <v>10</v>
      </c>
      <c r="E21202" s="2" t="str">
        <f>HYPERLINK("http://ts.21cn.com/tousu/show/id/1353300","http://ts.21cn.com/tousu/show/id/1353300")</f>
        <v>http://ts.21cn.com/tousu/show/id/1353300</v>
      </c>
      <c r="F21202" s="2" t="s">
        <v>11</v>
      </c>
      <c r="G21202" s="2" t="s">
        <v>2462</v>
      </c>
      <c r="H21202" s="2" t="s">
        <v>2463</v>
      </c>
    </row>
    <row r="21203" spans="1:8" ht="25.05" customHeight="1" x14ac:dyDescent="0.25">
      <c r="A21203" s="2" t="s">
        <v>8</v>
      </c>
      <c r="B21203" s="2" t="str">
        <f>HYPERLINK("http://ts.21cn.com/tousu/show/id/1353301","闪银砍头息")</f>
        <v>闪银砍头息</v>
      </c>
      <c r="C21203" s="2" t="s">
        <v>34</v>
      </c>
      <c r="D21203" s="2" t="s">
        <v>10</v>
      </c>
      <c r="E21203" s="2" t="str">
        <f>HYPERLINK("http://ts.21cn.com/tousu/show/id/1353301","http://ts.21cn.com/tousu/show/id/1353301")</f>
        <v>http://ts.21cn.com/tousu/show/id/1353301</v>
      </c>
      <c r="F21203" s="2" t="s">
        <v>11</v>
      </c>
      <c r="G21203" s="2" t="s">
        <v>2460</v>
      </c>
      <c r="H21203" s="2" t="s">
        <v>2461</v>
      </c>
    </row>
    <row r="21204" spans="1:8" ht="25.05" customHeight="1" x14ac:dyDescent="0.25">
      <c r="A21204" s="2" t="s">
        <v>8</v>
      </c>
      <c r="B21204" s="2" t="str">
        <f>HYPERLINK("http://ts.21cn.com/tousu/show/id/1353302","小赢卡贷打随便打我通讯录电话")</f>
        <v>小赢卡贷打随便打我通讯录电话</v>
      </c>
      <c r="C21204" s="2" t="s">
        <v>34</v>
      </c>
      <c r="D21204" s="2" t="s">
        <v>10</v>
      </c>
      <c r="E21204" s="2" t="str">
        <f>HYPERLINK("http://ts.21cn.com/tousu/show/id/1353302","http://ts.21cn.com/tousu/show/id/1353302")</f>
        <v>http://ts.21cn.com/tousu/show/id/1353302</v>
      </c>
      <c r="F21204" s="2" t="s">
        <v>11</v>
      </c>
      <c r="G21204" s="2" t="s">
        <v>2458</v>
      </c>
      <c r="H21204" s="2" t="s">
        <v>2459</v>
      </c>
    </row>
    <row r="21205" spans="1:8" ht="25.05" customHeight="1" x14ac:dyDescent="0.25">
      <c r="A21205" s="2" t="s">
        <v>8</v>
      </c>
      <c r="B21205" s="2" t="str">
        <f>HYPERLINK("http://ts.21cn.com/tousu/show/id/1353304","高利贷套路贷")</f>
        <v>高利贷套路贷</v>
      </c>
      <c r="C21205" s="2" t="s">
        <v>9</v>
      </c>
      <c r="D21205" s="2" t="s">
        <v>10</v>
      </c>
      <c r="E21205" s="2" t="str">
        <f>HYPERLINK("http://ts.21cn.com/tousu/show/id/1353304","http://ts.21cn.com/tousu/show/id/1353304")</f>
        <v>http://ts.21cn.com/tousu/show/id/1353304</v>
      </c>
      <c r="F21205" s="2" t="s">
        <v>11</v>
      </c>
      <c r="G21205" s="2" t="s">
        <v>2456</v>
      </c>
      <c r="H21205" s="2" t="s">
        <v>2457</v>
      </c>
    </row>
    <row r="21206" spans="1:8" ht="25.05" customHeight="1" x14ac:dyDescent="0.25">
      <c r="A21206" s="2" t="s">
        <v>8</v>
      </c>
      <c r="B21206" s="2" t="str">
        <f>HYPERLINK("http://ts.21cn.com/tousu/show/id/1353305","拍拍贷利息过高，还爆通讯录，不能让我正常生活")</f>
        <v>拍拍贷利息过高，还爆通讯录，不能让我正常生活</v>
      </c>
      <c r="C21206" s="2" t="s">
        <v>9</v>
      </c>
      <c r="D21206" s="2" t="s">
        <v>10</v>
      </c>
      <c r="E21206" s="2" t="str">
        <f>HYPERLINK("http://ts.21cn.com/tousu/show/id/1353305","http://ts.21cn.com/tousu/show/id/1353305")</f>
        <v>http://ts.21cn.com/tousu/show/id/1353305</v>
      </c>
      <c r="F21206" s="2" t="s">
        <v>11</v>
      </c>
      <c r="G21206" s="2" t="s">
        <v>2454</v>
      </c>
      <c r="H21206" s="2" t="s">
        <v>2455</v>
      </c>
    </row>
    <row r="21207" spans="1:8" ht="25.05" customHeight="1" x14ac:dyDescent="0.25">
      <c r="A21207" s="2" t="s">
        <v>8</v>
      </c>
      <c r="B21207" s="2" t="str">
        <f>HYPERLINK("http://ts.21cn.com/tousu/show/id/1353307","京东白条催收态度恶劣")</f>
        <v>京东白条催收态度恶劣</v>
      </c>
      <c r="C21207" s="2" t="s">
        <v>9</v>
      </c>
      <c r="D21207" s="2" t="s">
        <v>10</v>
      </c>
      <c r="E21207" s="2" t="str">
        <f>HYPERLINK("http://ts.21cn.com/tousu/show/id/1353307","http://ts.21cn.com/tousu/show/id/1353307")</f>
        <v>http://ts.21cn.com/tousu/show/id/1353307</v>
      </c>
      <c r="F21207" s="2" t="s">
        <v>11</v>
      </c>
      <c r="G21207" s="2" t="s">
        <v>2452</v>
      </c>
      <c r="H21207" s="2" t="s">
        <v>2453</v>
      </c>
    </row>
    <row r="21208" spans="1:8" ht="25.05" customHeight="1" x14ac:dyDescent="0.25">
      <c r="A21208" s="2" t="s">
        <v>8</v>
      </c>
      <c r="B21208" s="2" t="str">
        <f>HYPERLINK("http://ts.21cn.com/tousu/show/id/1353306","高额砍头息，暴力催收，辱骂家人")</f>
        <v>高额砍头息，暴力催收，辱骂家人</v>
      </c>
      <c r="C21208" s="2" t="s">
        <v>9</v>
      </c>
      <c r="D21208" s="2" t="s">
        <v>10</v>
      </c>
      <c r="E21208" s="2" t="str">
        <f>HYPERLINK("http://ts.21cn.com/tousu/show/id/1353306","http://ts.21cn.com/tousu/show/id/1353306")</f>
        <v>http://ts.21cn.com/tousu/show/id/1353306</v>
      </c>
      <c r="F21208" s="2" t="s">
        <v>11</v>
      </c>
      <c r="G21208" s="2" t="s">
        <v>2450</v>
      </c>
      <c r="H21208" s="2" t="s">
        <v>2451</v>
      </c>
    </row>
    <row r="21209" spans="1:8" ht="25.05" customHeight="1" x14ac:dyDescent="0.25">
      <c r="A21209" s="2" t="s">
        <v>8</v>
      </c>
      <c r="B21209" s="2" t="str">
        <f>HYPERLINK("http://ts.21cn.com/tousu/show/id/1353309","速金服砍头")</f>
        <v>速金服砍头</v>
      </c>
      <c r="C21209" s="2" t="s">
        <v>9</v>
      </c>
      <c r="D21209" s="2" t="s">
        <v>10</v>
      </c>
      <c r="E21209" s="2" t="str">
        <f>HYPERLINK("http://ts.21cn.com/tousu/show/id/1353309","http://ts.21cn.com/tousu/show/id/1353309")</f>
        <v>http://ts.21cn.com/tousu/show/id/1353309</v>
      </c>
      <c r="F21209" s="2" t="s">
        <v>11</v>
      </c>
      <c r="G21209" s="2" t="s">
        <v>2448</v>
      </c>
      <c r="H21209" s="2" t="s">
        <v>2449</v>
      </c>
    </row>
    <row r="21210" spans="1:8" ht="25.05" customHeight="1" x14ac:dyDescent="0.25">
      <c r="A21210" s="2" t="s">
        <v>8</v>
      </c>
      <c r="B21210" s="2" t="str">
        <f>HYPERLINK("http://ts.21cn.com/tousu/show/id/1353310","被恶意注册易智付并将银行卡的资金转入易治付平台")</f>
        <v>被恶意注册易智付并将银行卡的资金转入易治付平台</v>
      </c>
      <c r="C21210" s="2" t="s">
        <v>9</v>
      </c>
      <c r="D21210" s="2" t="s">
        <v>10</v>
      </c>
      <c r="E21210" s="2" t="str">
        <f>HYPERLINK("http://ts.21cn.com/tousu/show/id/1353310","http://ts.21cn.com/tousu/show/id/1353310")</f>
        <v>http://ts.21cn.com/tousu/show/id/1353310</v>
      </c>
      <c r="F21210" s="2" t="s">
        <v>11</v>
      </c>
      <c r="G21210" s="2" t="s">
        <v>2446</v>
      </c>
      <c r="H21210" s="2" t="s">
        <v>2447</v>
      </c>
    </row>
    <row r="21211" spans="1:8" ht="25.05" customHeight="1" x14ac:dyDescent="0.25">
      <c r="A21211" s="2" t="s">
        <v>8</v>
      </c>
      <c r="B21211" s="2" t="str">
        <f>HYPERLINK("http://ts.21cn.com/tousu/show/id/1353308","郑州悦如公寓押金拖欠一直不给")</f>
        <v>郑州悦如公寓押金拖欠一直不给</v>
      </c>
      <c r="C21211" s="2" t="s">
        <v>9</v>
      </c>
      <c r="D21211" s="2" t="s">
        <v>10</v>
      </c>
      <c r="E21211" s="2" t="str">
        <f>HYPERLINK("http://ts.21cn.com/tousu/show/id/1353308","http://ts.21cn.com/tousu/show/id/1353308")</f>
        <v>http://ts.21cn.com/tousu/show/id/1353308</v>
      </c>
      <c r="F21211" s="2" t="s">
        <v>11</v>
      </c>
      <c r="G21211" s="2" t="s">
        <v>2444</v>
      </c>
      <c r="H21211" s="2" t="s">
        <v>2445</v>
      </c>
    </row>
    <row r="21212" spans="1:8" ht="25.05" customHeight="1" x14ac:dyDescent="0.25">
      <c r="A21212" s="2" t="s">
        <v>8</v>
      </c>
      <c r="B21212" s="2" t="str">
        <f>HYPERLINK("http://ts.21cn.com/tousu/show/id/1353311","申通快递货到了不派送")</f>
        <v>申通快递货到了不派送</v>
      </c>
      <c r="C21212" s="2" t="s">
        <v>34</v>
      </c>
      <c r="D21212" s="2" t="s">
        <v>10</v>
      </c>
      <c r="E21212" s="2" t="str">
        <f>HYPERLINK("http://ts.21cn.com/tousu/show/id/1353311","http://ts.21cn.com/tousu/show/id/1353311")</f>
        <v>http://ts.21cn.com/tousu/show/id/1353311</v>
      </c>
      <c r="F21212" s="2" t="s">
        <v>11</v>
      </c>
      <c r="G21212" s="2" t="s">
        <v>2442</v>
      </c>
      <c r="H21212" s="2" t="s">
        <v>2443</v>
      </c>
    </row>
    <row r="21213" spans="1:8" ht="25.05" customHeight="1" x14ac:dyDescent="0.25">
      <c r="A21213" s="2" t="s">
        <v>8</v>
      </c>
      <c r="B21213" s="2" t="str">
        <f>HYPERLINK("http://ts.21cn.com/tousu/show/id/1353313","平安银行暴力催收")</f>
        <v>平安银行暴力催收</v>
      </c>
      <c r="C21213" s="2" t="s">
        <v>9</v>
      </c>
      <c r="D21213" s="2" t="s">
        <v>10</v>
      </c>
      <c r="E21213" s="2" t="str">
        <f>HYPERLINK("http://ts.21cn.com/tousu/show/id/1353313","http://ts.21cn.com/tousu/show/id/1353313")</f>
        <v>http://ts.21cn.com/tousu/show/id/1353313</v>
      </c>
      <c r="F21213" s="2" t="s">
        <v>11</v>
      </c>
      <c r="G21213" s="2" t="s">
        <v>2440</v>
      </c>
      <c r="H21213" s="2" t="s">
        <v>2441</v>
      </c>
    </row>
    <row r="21214" spans="1:8" ht="25.05" customHeight="1" x14ac:dyDescent="0.25">
      <c r="A21214" s="2" t="s">
        <v>8</v>
      </c>
      <c r="B21214" s="2" t="str">
        <f>HYPERLINK("http://ts.21cn.com/tousu/show/id/1353312","私自爆通讯录，暴力催收")</f>
        <v>私自爆通讯录，暴力催收</v>
      </c>
      <c r="C21214" s="2" t="s">
        <v>9</v>
      </c>
      <c r="D21214" s="2" t="s">
        <v>10</v>
      </c>
      <c r="E21214" s="2" t="str">
        <f>HYPERLINK("http://ts.21cn.com/tousu/show/id/1353312","http://ts.21cn.com/tousu/show/id/1353312")</f>
        <v>http://ts.21cn.com/tousu/show/id/1353312</v>
      </c>
      <c r="F21214" s="2" t="s">
        <v>11</v>
      </c>
      <c r="G21214" s="2" t="s">
        <v>2438</v>
      </c>
      <c r="H21214" s="2" t="s">
        <v>2439</v>
      </c>
    </row>
    <row r="21215" spans="1:8" ht="25.05" customHeight="1" x14ac:dyDescent="0.25">
      <c r="A21215" s="2" t="s">
        <v>8</v>
      </c>
      <c r="B21215" s="2" t="str">
        <f>HYPERLINK("http://ts.21cn.com/tousu/show/id/1353315","投诉京东金融金条催收恶意骚扰我同事，侵犯私隐。要求马上停止骚扰！！！")</f>
        <v>投诉京东金融金条催收恶意骚扰我同事，侵犯私隐。要求马上停止骚扰！！！</v>
      </c>
      <c r="C21215" s="2" t="s">
        <v>9</v>
      </c>
      <c r="D21215" s="2" t="s">
        <v>10</v>
      </c>
      <c r="E21215" s="2" t="str">
        <f>HYPERLINK("http://ts.21cn.com/tousu/show/id/1353315","http://ts.21cn.com/tousu/show/id/1353315")</f>
        <v>http://ts.21cn.com/tousu/show/id/1353315</v>
      </c>
      <c r="F21215" s="2" t="s">
        <v>11</v>
      </c>
      <c r="G21215" s="2" t="s">
        <v>2436</v>
      </c>
      <c r="H21215" s="2" t="s">
        <v>2437</v>
      </c>
    </row>
    <row r="21216" spans="1:8" ht="25.05" customHeight="1" x14ac:dyDescent="0.25">
      <c r="A21216" s="2" t="s">
        <v>8</v>
      </c>
      <c r="B21216" s="2" t="str">
        <f>HYPERLINK("http://ts.21cn.com/tousu/show/id/1353286","通讯录骚扰")</f>
        <v>通讯录骚扰</v>
      </c>
      <c r="C21216" s="2" t="s">
        <v>34</v>
      </c>
      <c r="D21216" s="2" t="s">
        <v>10</v>
      </c>
      <c r="E21216" s="2" t="str">
        <f>HYPERLINK("http://ts.21cn.com/tousu/show/id/1353286","http://ts.21cn.com/tousu/show/id/1353286")</f>
        <v>http://ts.21cn.com/tousu/show/id/1353286</v>
      </c>
      <c r="F21216" s="2" t="s">
        <v>11</v>
      </c>
      <c r="G21216" s="2" t="s">
        <v>2433</v>
      </c>
      <c r="H21216" s="2" t="s">
        <v>2434</v>
      </c>
    </row>
    <row r="21217" spans="1:8" ht="25.05" customHeight="1" x14ac:dyDescent="0.25">
      <c r="A21217" s="2" t="s">
        <v>8</v>
      </c>
      <c r="B21217" s="2" t="str">
        <f>HYPERLINK("http://ts.21cn.com/tousu/show/id/1353314","苹果6S9系统手机强制让激活用户更新最新系统")</f>
        <v>苹果6S9系统手机强制让激活用户更新最新系统</v>
      </c>
      <c r="C21217" s="2" t="s">
        <v>9</v>
      </c>
      <c r="D21217" s="2" t="s">
        <v>10</v>
      </c>
      <c r="E21217" s="2" t="str">
        <f>HYPERLINK("http://ts.21cn.com/tousu/show/id/1353314","http://ts.21cn.com/tousu/show/id/1353314")</f>
        <v>http://ts.21cn.com/tousu/show/id/1353314</v>
      </c>
      <c r="F21217" s="2" t="s">
        <v>11</v>
      </c>
      <c r="G21217" s="2" t="s">
        <v>2433</v>
      </c>
      <c r="H21217" s="2" t="s">
        <v>2435</v>
      </c>
    </row>
    <row r="21218" spans="1:8" ht="25.05" customHeight="1" x14ac:dyDescent="0.25">
      <c r="A21218" s="2" t="s">
        <v>8</v>
      </c>
      <c r="B21218" s="2" t="str">
        <f>HYPERLINK("http://ts.21cn.com/tousu/show/id/1353318","苏宁易购答谢会")</f>
        <v>苏宁易购答谢会</v>
      </c>
      <c r="C21218" s="2" t="s">
        <v>9</v>
      </c>
      <c r="D21218" s="2" t="s">
        <v>10</v>
      </c>
      <c r="E21218" s="2" t="str">
        <f>HYPERLINK("http://ts.21cn.com/tousu/show/id/1353318","http://ts.21cn.com/tousu/show/id/1353318")</f>
        <v>http://ts.21cn.com/tousu/show/id/1353318</v>
      </c>
      <c r="F21218" s="2" t="s">
        <v>11</v>
      </c>
      <c r="G21218" s="2" t="s">
        <v>2431</v>
      </c>
      <c r="H21218" s="2" t="s">
        <v>2432</v>
      </c>
    </row>
    <row r="21219" spans="1:8" ht="25.05" customHeight="1" x14ac:dyDescent="0.25">
      <c r="A21219" s="2" t="s">
        <v>8</v>
      </c>
      <c r="B21219" s="2" t="str">
        <f>HYPERLINK("http://ts.21cn.com/tousu/show/id/1353317","需要解释")</f>
        <v>需要解释</v>
      </c>
      <c r="C21219" s="2" t="s">
        <v>9</v>
      </c>
      <c r="D21219" s="2" t="s">
        <v>10</v>
      </c>
      <c r="E21219" s="2" t="str">
        <f>HYPERLINK("http://ts.21cn.com/tousu/show/id/1353317","http://ts.21cn.com/tousu/show/id/1353317")</f>
        <v>http://ts.21cn.com/tousu/show/id/1353317</v>
      </c>
      <c r="F21219" s="2" t="s">
        <v>11</v>
      </c>
      <c r="G21219" s="2" t="s">
        <v>2429</v>
      </c>
      <c r="H21219" s="2" t="s">
        <v>2430</v>
      </c>
    </row>
    <row r="21220" spans="1:8" ht="25.05" customHeight="1" x14ac:dyDescent="0.25">
      <c r="A21220" s="2" t="s">
        <v>8</v>
      </c>
      <c r="B21220" s="2" t="str">
        <f>HYPERLINK("http://ts.21cn.com/tousu/show/id/1353319","交易猫客服不理人，还不发款")</f>
        <v>交易猫客服不理人，还不发款</v>
      </c>
      <c r="C21220" s="2" t="s">
        <v>9</v>
      </c>
      <c r="D21220" s="2" t="s">
        <v>10</v>
      </c>
      <c r="E21220" s="2" t="str">
        <f>HYPERLINK("http://ts.21cn.com/tousu/show/id/1353319","http://ts.21cn.com/tousu/show/id/1353319")</f>
        <v>http://ts.21cn.com/tousu/show/id/1353319</v>
      </c>
      <c r="F21220" s="2" t="s">
        <v>11</v>
      </c>
      <c r="G21220" s="2" t="s">
        <v>2427</v>
      </c>
      <c r="H21220" s="2" t="s">
        <v>2428</v>
      </c>
    </row>
    <row r="21221" spans="1:8" ht="25.05" customHeight="1" x14ac:dyDescent="0.25">
      <c r="A21221" s="2" t="s">
        <v>8</v>
      </c>
      <c r="B21221" s="2" t="str">
        <f>HYPERLINK("http://ts.21cn.com/tousu/show/id/1195087","中金支付为714高炮提供支付渠道。且客服不予理会我的需求一再刁难！损人利己！")</f>
        <v>中金支付为714高炮提供支付渠道。且客服不予理会我的需求一再刁难！损人利己！</v>
      </c>
      <c r="C21221" s="2" t="s">
        <v>9</v>
      </c>
      <c r="D21221" s="2" t="s">
        <v>10</v>
      </c>
      <c r="E21221" s="2" t="str">
        <f>HYPERLINK("http://ts.21cn.com/tousu/show/id/1195087","http://ts.21cn.com/tousu/show/id/1195087")</f>
        <v>http://ts.21cn.com/tousu/show/id/1195087</v>
      </c>
      <c r="F21221" s="2" t="s">
        <v>11</v>
      </c>
      <c r="G21221" s="2" t="s">
        <v>2425</v>
      </c>
      <c r="H21221" s="2" t="s">
        <v>2426</v>
      </c>
    </row>
    <row r="21222" spans="1:8" ht="25.05" customHeight="1" x14ac:dyDescent="0.25">
      <c r="A21222" s="2" t="s">
        <v>8</v>
      </c>
      <c r="B21222" s="2" t="str">
        <f>HYPERLINK("http://ts.21cn.com/tousu/show/id/1353321","强制扣款")</f>
        <v>强制扣款</v>
      </c>
      <c r="C21222" s="2" t="s">
        <v>9</v>
      </c>
      <c r="D21222" s="2" t="s">
        <v>10</v>
      </c>
      <c r="E21222" s="2" t="str">
        <f>HYPERLINK("http://ts.21cn.com/tousu/show/id/1353321","http://ts.21cn.com/tousu/show/id/1353321")</f>
        <v>http://ts.21cn.com/tousu/show/id/1353321</v>
      </c>
      <c r="F21222" s="2" t="s">
        <v>11</v>
      </c>
      <c r="G21222" s="2" t="s">
        <v>2423</v>
      </c>
      <c r="H21222" s="2" t="s">
        <v>2424</v>
      </c>
    </row>
    <row r="21223" spans="1:8" ht="25.05" customHeight="1" x14ac:dyDescent="0.25">
      <c r="A21223" s="2" t="s">
        <v>8</v>
      </c>
      <c r="B21223" s="2" t="str">
        <f>HYPERLINK("http://ts.21cn.com/tousu/show/id/1353323","骚扰通迅录朋友")</f>
        <v>骚扰通迅录朋友</v>
      </c>
      <c r="C21223" s="2" t="s">
        <v>9</v>
      </c>
      <c r="D21223" s="2" t="s">
        <v>10</v>
      </c>
      <c r="E21223" s="2" t="str">
        <f>HYPERLINK("http://ts.21cn.com/tousu/show/id/1353323","http://ts.21cn.com/tousu/show/id/1353323")</f>
        <v>http://ts.21cn.com/tousu/show/id/1353323</v>
      </c>
      <c r="F21223" s="2" t="s">
        <v>11</v>
      </c>
      <c r="G21223" s="2" t="s">
        <v>2421</v>
      </c>
      <c r="H21223" s="2" t="s">
        <v>2422</v>
      </c>
    </row>
    <row r="21224" spans="1:8" ht="25.05" customHeight="1" x14ac:dyDescent="0.25">
      <c r="A21224" s="2" t="s">
        <v>8</v>
      </c>
      <c r="B21224" s="2" t="str">
        <f>HYPERLINK("http://ts.21cn.com/tousu/show/id/1353324","宜人贷藐视国法暴力催收")</f>
        <v>宜人贷藐视国法暴力催收</v>
      </c>
      <c r="C21224" s="2" t="s">
        <v>9</v>
      </c>
      <c r="D21224" s="2" t="s">
        <v>10</v>
      </c>
      <c r="E21224" s="2" t="str">
        <f>HYPERLINK("http://ts.21cn.com/tousu/show/id/1353324","http://ts.21cn.com/tousu/show/id/1353324")</f>
        <v>http://ts.21cn.com/tousu/show/id/1353324</v>
      </c>
      <c r="F21224" s="2" t="s">
        <v>11</v>
      </c>
      <c r="G21224" s="2" t="s">
        <v>2419</v>
      </c>
      <c r="H21224" s="2" t="s">
        <v>2420</v>
      </c>
    </row>
    <row r="21225" spans="1:8" ht="25.05" customHeight="1" x14ac:dyDescent="0.25">
      <c r="A21225" s="2" t="s">
        <v>8</v>
      </c>
      <c r="B21225" s="2" t="str">
        <f>HYPERLINK("http://ts.21cn.com/tousu/show/id/1353326","招商银行不合理催收")</f>
        <v>招商银行不合理催收</v>
      </c>
      <c r="C21225" s="2" t="s">
        <v>9</v>
      </c>
      <c r="D21225" s="2" t="s">
        <v>10</v>
      </c>
      <c r="E21225" s="2" t="str">
        <f>HYPERLINK("http://ts.21cn.com/tousu/show/id/1353326","http://ts.21cn.com/tousu/show/id/1353326")</f>
        <v>http://ts.21cn.com/tousu/show/id/1353326</v>
      </c>
      <c r="F21225" s="2" t="s">
        <v>11</v>
      </c>
      <c r="G21225" s="2" t="s">
        <v>2417</v>
      </c>
      <c r="H21225" s="2" t="s">
        <v>2418</v>
      </c>
    </row>
    <row r="21226" spans="1:8" ht="25.05" customHeight="1" x14ac:dyDescent="0.25">
      <c r="A21226" s="2" t="s">
        <v>8</v>
      </c>
      <c r="B21226" s="2" t="str">
        <f>HYPERLINK("http://ts.21cn.com/tousu/show/id/1353328","高利贷砍头息")</f>
        <v>高利贷砍头息</v>
      </c>
      <c r="C21226" s="2" t="s">
        <v>9</v>
      </c>
      <c r="D21226" s="2" t="s">
        <v>10</v>
      </c>
      <c r="E21226" s="2" t="str">
        <f>HYPERLINK("http://ts.21cn.com/tousu/show/id/1353328","http://ts.21cn.com/tousu/show/id/1353328")</f>
        <v>http://ts.21cn.com/tousu/show/id/1353328</v>
      </c>
      <c r="F21226" s="2" t="s">
        <v>11</v>
      </c>
      <c r="G21226" s="2" t="s">
        <v>2415</v>
      </c>
      <c r="H21226" s="2" t="s">
        <v>2416</v>
      </c>
    </row>
    <row r="21227" spans="1:8" ht="25.05" customHeight="1" x14ac:dyDescent="0.25">
      <c r="A21227" s="2" t="s">
        <v>8</v>
      </c>
      <c r="B21227" s="2" t="str">
        <f>HYPERLINK("http://ts.21cn.com/tousu/show/id/1353329","趣惠买")</f>
        <v>趣惠买</v>
      </c>
      <c r="C21227" s="2" t="s">
        <v>9</v>
      </c>
      <c r="D21227" s="2" t="s">
        <v>10</v>
      </c>
      <c r="E21227" s="2" t="str">
        <f>HYPERLINK("http://ts.21cn.com/tousu/show/id/1353329","http://ts.21cn.com/tousu/show/id/1353329")</f>
        <v>http://ts.21cn.com/tousu/show/id/1353329</v>
      </c>
      <c r="F21227" s="2" t="s">
        <v>11</v>
      </c>
      <c r="G21227" s="2" t="s">
        <v>2413</v>
      </c>
      <c r="H21227" s="2" t="s">
        <v>2414</v>
      </c>
    </row>
    <row r="21228" spans="1:8" ht="25.05" customHeight="1" x14ac:dyDescent="0.25">
      <c r="A21228" s="2" t="s">
        <v>8</v>
      </c>
      <c r="B21228" s="2" t="str">
        <f>HYPERLINK("http://ts.21cn.com/tousu/show/id/1353330","美团生活费公众号授权微信通讯录盗取我通讯录好友")</f>
        <v>美团生活费公众号授权微信通讯录盗取我通讯录好友</v>
      </c>
      <c r="C21228" s="2" t="s">
        <v>9</v>
      </c>
      <c r="D21228" s="2" t="s">
        <v>10</v>
      </c>
      <c r="E21228" s="2" t="str">
        <f>HYPERLINK("http://ts.21cn.com/tousu/show/id/1353330","http://ts.21cn.com/tousu/show/id/1353330")</f>
        <v>http://ts.21cn.com/tousu/show/id/1353330</v>
      </c>
      <c r="F21228" s="2" t="s">
        <v>11</v>
      </c>
      <c r="G21228" s="2" t="s">
        <v>2411</v>
      </c>
      <c r="H21228" s="2" t="s">
        <v>2412</v>
      </c>
    </row>
    <row r="21229" spans="1:8" ht="25.05" customHeight="1" x14ac:dyDescent="0.25">
      <c r="A21229" s="2" t="s">
        <v>8</v>
      </c>
      <c r="B21229" s="2" t="str">
        <f>HYPERLINK("http://ts.21cn.com/tousu/show/id/1353331","小赢卡贷暴力催收")</f>
        <v>小赢卡贷暴力催收</v>
      </c>
      <c r="C21229" s="2" t="s">
        <v>9</v>
      </c>
      <c r="D21229" s="2" t="s">
        <v>10</v>
      </c>
      <c r="E21229" s="2" t="str">
        <f>HYPERLINK("http://ts.21cn.com/tousu/show/id/1353331","http://ts.21cn.com/tousu/show/id/1353331")</f>
        <v>http://ts.21cn.com/tousu/show/id/1353331</v>
      </c>
      <c r="F21229" s="2" t="s">
        <v>11</v>
      </c>
      <c r="G21229" s="2" t="s">
        <v>2409</v>
      </c>
      <c r="H21229" s="2" t="s">
        <v>2410</v>
      </c>
    </row>
    <row r="21230" spans="1:8" ht="25.05" customHeight="1" x14ac:dyDescent="0.25">
      <c r="A21230" s="2" t="s">
        <v>8</v>
      </c>
      <c r="B21230" s="2" t="str">
        <f>HYPERLINK("http://ts.21cn.com/tousu/show/id/1353332","兴业信用卡搜狐卡强制开会员")</f>
        <v>兴业信用卡搜狐卡强制开会员</v>
      </c>
      <c r="C21230" s="2" t="s">
        <v>9</v>
      </c>
      <c r="D21230" s="2" t="s">
        <v>10</v>
      </c>
      <c r="E21230" s="2" t="str">
        <f>HYPERLINK("http://ts.21cn.com/tousu/show/id/1353332","http://ts.21cn.com/tousu/show/id/1353332")</f>
        <v>http://ts.21cn.com/tousu/show/id/1353332</v>
      </c>
      <c r="F21230" s="2" t="s">
        <v>11</v>
      </c>
      <c r="G21230" s="2" t="s">
        <v>2407</v>
      </c>
      <c r="H21230" s="2" t="s">
        <v>2408</v>
      </c>
    </row>
    <row r="21231" spans="1:8" ht="25.05" customHeight="1" x14ac:dyDescent="0.25">
      <c r="A21231" s="2" t="s">
        <v>8</v>
      </c>
      <c r="B21231" s="2" t="str">
        <f>HYPERLINK("http://ts.21cn.com/tousu/show/id/1353334","新浪分期爆通讯录")</f>
        <v>新浪分期爆通讯录</v>
      </c>
      <c r="C21231" s="2" t="s">
        <v>9</v>
      </c>
      <c r="D21231" s="2" t="s">
        <v>10</v>
      </c>
      <c r="E21231" s="2" t="str">
        <f>HYPERLINK("http://ts.21cn.com/tousu/show/id/1353334","http://ts.21cn.com/tousu/show/id/1353334")</f>
        <v>http://ts.21cn.com/tousu/show/id/1353334</v>
      </c>
      <c r="F21231" s="2" t="s">
        <v>11</v>
      </c>
      <c r="G21231" s="2" t="s">
        <v>2405</v>
      </c>
      <c r="H21231" s="2" t="s">
        <v>2406</v>
      </c>
    </row>
    <row r="21232" spans="1:8" ht="25.05" customHeight="1" x14ac:dyDescent="0.25">
      <c r="A21232" s="2" t="s">
        <v>8</v>
      </c>
      <c r="B21232" s="2" t="str">
        <f>HYPERLINK("http://ts.21cn.com/tousu/show/id/1353336","宿迁移动抢钱了")</f>
        <v>宿迁移动抢钱了</v>
      </c>
      <c r="C21232" s="2" t="s">
        <v>9</v>
      </c>
      <c r="D21232" s="2" t="s">
        <v>10</v>
      </c>
      <c r="E21232" s="2" t="str">
        <f>HYPERLINK("http://ts.21cn.com/tousu/show/id/1353336","http://ts.21cn.com/tousu/show/id/1353336")</f>
        <v>http://ts.21cn.com/tousu/show/id/1353336</v>
      </c>
      <c r="F21232" s="2" t="s">
        <v>11</v>
      </c>
      <c r="G21232" s="2" t="s">
        <v>2403</v>
      </c>
      <c r="H21232" s="2" t="s">
        <v>2404</v>
      </c>
    </row>
    <row r="21233" spans="1:8" ht="25.05" customHeight="1" x14ac:dyDescent="0.25">
      <c r="A21233" s="2" t="s">
        <v>8</v>
      </c>
      <c r="B21233" s="2" t="str">
        <f>HYPERLINK("http://ts.21cn.com/tousu/show/id/1353338","picsart试用三天恶意扣钱")</f>
        <v>picsart试用三天恶意扣钱</v>
      </c>
      <c r="C21233" s="2" t="s">
        <v>34</v>
      </c>
      <c r="D21233" s="2" t="s">
        <v>10</v>
      </c>
      <c r="E21233" s="2" t="str">
        <f>HYPERLINK("http://ts.21cn.com/tousu/show/id/1353338","http://ts.21cn.com/tousu/show/id/1353338")</f>
        <v>http://ts.21cn.com/tousu/show/id/1353338</v>
      </c>
      <c r="F21233" s="2" t="s">
        <v>11</v>
      </c>
      <c r="G21233" s="2" t="s">
        <v>2401</v>
      </c>
      <c r="H21233" s="2" t="s">
        <v>2402</v>
      </c>
    </row>
    <row r="21234" spans="1:8" ht="25.05" customHeight="1" x14ac:dyDescent="0.25">
      <c r="A21234" s="2" t="s">
        <v>8</v>
      </c>
      <c r="B21234" s="2" t="str">
        <f>HYPERLINK("http://ts.21cn.com/tousu/show/id/1353339","浦发信用卡暴力催收")</f>
        <v>浦发信用卡暴力催收</v>
      </c>
      <c r="C21234" s="2" t="s">
        <v>9</v>
      </c>
      <c r="D21234" s="2" t="s">
        <v>10</v>
      </c>
      <c r="E21234" s="2" t="str">
        <f>HYPERLINK("http://ts.21cn.com/tousu/show/id/1353339","http://ts.21cn.com/tousu/show/id/1353339")</f>
        <v>http://ts.21cn.com/tousu/show/id/1353339</v>
      </c>
      <c r="F21234" s="2" t="s">
        <v>11</v>
      </c>
      <c r="G21234" s="2" t="s">
        <v>2399</v>
      </c>
      <c r="H21234" s="2" t="s">
        <v>2400</v>
      </c>
    </row>
    <row r="21235" spans="1:8" ht="25.05" customHeight="1" x14ac:dyDescent="0.25">
      <c r="A21235" s="2" t="s">
        <v>8</v>
      </c>
      <c r="B21235" s="2" t="str">
        <f>HYPERLINK("http://ts.21cn.com/tousu/show/id/1353342","浦发万用金")</f>
        <v>浦发万用金</v>
      </c>
      <c r="C21235" s="2" t="s">
        <v>34</v>
      </c>
      <c r="D21235" s="2" t="s">
        <v>10</v>
      </c>
      <c r="E21235" s="2" t="str">
        <f>HYPERLINK("http://ts.21cn.com/tousu/show/id/1353342","http://ts.21cn.com/tousu/show/id/1353342")</f>
        <v>http://ts.21cn.com/tousu/show/id/1353342</v>
      </c>
      <c r="F21235" s="2" t="s">
        <v>11</v>
      </c>
      <c r="G21235" s="2" t="s">
        <v>2397</v>
      </c>
      <c r="H21235" s="2" t="s">
        <v>2398</v>
      </c>
    </row>
    <row r="21236" spans="1:8" ht="25.05" customHeight="1" x14ac:dyDescent="0.25">
      <c r="A21236" s="2" t="s">
        <v>8</v>
      </c>
      <c r="B21236" s="2" t="str">
        <f>HYPERLINK("http://ts.21cn.com/tousu/show/id/1353344","催收")</f>
        <v>催收</v>
      </c>
      <c r="C21236" s="2" t="s">
        <v>9</v>
      </c>
      <c r="D21236" s="2" t="s">
        <v>10</v>
      </c>
      <c r="E21236" s="2" t="str">
        <f>HYPERLINK("http://ts.21cn.com/tousu/show/id/1353344","http://ts.21cn.com/tousu/show/id/1353344")</f>
        <v>http://ts.21cn.com/tousu/show/id/1353344</v>
      </c>
      <c r="F21236" s="2" t="s">
        <v>11</v>
      </c>
      <c r="G21236" s="2" t="s">
        <v>2395</v>
      </c>
      <c r="H21236" s="2" t="s">
        <v>2396</v>
      </c>
    </row>
    <row r="21237" spans="1:8" ht="25.05" customHeight="1" x14ac:dyDescent="0.25">
      <c r="A21237" s="2" t="s">
        <v>8</v>
      </c>
      <c r="B21237" s="2" t="str">
        <f>HYPERLINK("http://ts.21cn.com/tousu/show/id/1353346","立马进钱呆呆苞砍头息高利贷，要求减免最后一期费用")</f>
        <v>立马进钱呆呆苞砍头息高利贷，要求减免最后一期费用</v>
      </c>
      <c r="C21237" s="2" t="s">
        <v>9</v>
      </c>
      <c r="D21237" s="2" t="s">
        <v>10</v>
      </c>
      <c r="E21237" s="2" t="str">
        <f>HYPERLINK("http://ts.21cn.com/tousu/show/id/1353346","http://ts.21cn.com/tousu/show/id/1353346")</f>
        <v>http://ts.21cn.com/tousu/show/id/1353346</v>
      </c>
      <c r="F21237" s="2" t="s">
        <v>11</v>
      </c>
      <c r="G21237" s="2" t="s">
        <v>2393</v>
      </c>
      <c r="H21237" s="2" t="s">
        <v>2394</v>
      </c>
    </row>
    <row r="21238" spans="1:8" ht="25.05" customHeight="1" x14ac:dyDescent="0.25">
      <c r="A21238" s="2" t="s">
        <v>8</v>
      </c>
      <c r="B21238" s="2" t="str">
        <f>HYPERLINK("http://ts.21cn.com/tousu/show/id/1353341","美利车套路贷")</f>
        <v>美利车套路贷</v>
      </c>
      <c r="C21238" s="2" t="s">
        <v>9</v>
      </c>
      <c r="D21238" s="2" t="s">
        <v>10</v>
      </c>
      <c r="E21238" s="2" t="str">
        <f>HYPERLINK("http://ts.21cn.com/tousu/show/id/1353341","http://ts.21cn.com/tousu/show/id/1353341")</f>
        <v>http://ts.21cn.com/tousu/show/id/1353341</v>
      </c>
      <c r="F21238" s="2" t="s">
        <v>11</v>
      </c>
      <c r="G21238" s="2" t="s">
        <v>2391</v>
      </c>
      <c r="H21238" s="2" t="s">
        <v>2392</v>
      </c>
    </row>
    <row r="21239" spans="1:8" ht="25.05" customHeight="1" x14ac:dyDescent="0.25">
      <c r="A21239" s="2" t="s">
        <v>8</v>
      </c>
      <c r="B21239" s="2" t="str">
        <f>HYPERLINK("http://ts.21cn.com/tousu/show/id/1353345","捷信电话骚扰")</f>
        <v>捷信电话骚扰</v>
      </c>
      <c r="C21239" s="2" t="s">
        <v>9</v>
      </c>
      <c r="D21239" s="2" t="s">
        <v>10</v>
      </c>
      <c r="E21239" s="2" t="str">
        <f>HYPERLINK("http://ts.21cn.com/tousu/show/id/1353345","http://ts.21cn.com/tousu/show/id/1353345")</f>
        <v>http://ts.21cn.com/tousu/show/id/1353345</v>
      </c>
      <c r="F21239" s="2" t="s">
        <v>11</v>
      </c>
      <c r="G21239" s="2" t="s">
        <v>2389</v>
      </c>
      <c r="H21239" s="2" t="s">
        <v>2390</v>
      </c>
    </row>
    <row r="21240" spans="1:8" ht="25.05" customHeight="1" x14ac:dyDescent="0.25">
      <c r="A21240" s="2" t="s">
        <v>8</v>
      </c>
      <c r="B21240" s="2" t="str">
        <f>HYPERLINK("http://ts.21cn.com/tousu/show/id/1353343","拍拍贷老是无故骚扰")</f>
        <v>拍拍贷老是无故骚扰</v>
      </c>
      <c r="C21240" s="2" t="s">
        <v>9</v>
      </c>
      <c r="D21240" s="2" t="s">
        <v>10</v>
      </c>
      <c r="E21240" s="2" t="str">
        <f>HYPERLINK("http://ts.21cn.com/tousu/show/id/1353343","http://ts.21cn.com/tousu/show/id/1353343")</f>
        <v>http://ts.21cn.com/tousu/show/id/1353343</v>
      </c>
      <c r="F21240" s="2" t="s">
        <v>11</v>
      </c>
      <c r="G21240" s="2" t="s">
        <v>2387</v>
      </c>
      <c r="H21240" s="2" t="s">
        <v>2388</v>
      </c>
    </row>
    <row r="21241" spans="1:8" ht="25.05" customHeight="1" x14ac:dyDescent="0.25">
      <c r="A21241" s="2" t="s">
        <v>8</v>
      </c>
      <c r="B21241" s="2" t="str">
        <f>HYPERLINK("http://ts.21cn.com/tousu/show/id/1353347","阳光安心贷减免利息")</f>
        <v>阳光安心贷减免利息</v>
      </c>
      <c r="C21241" s="2" t="s">
        <v>9</v>
      </c>
      <c r="D21241" s="2" t="s">
        <v>10</v>
      </c>
      <c r="E21241" s="2" t="str">
        <f>HYPERLINK("http://ts.21cn.com/tousu/show/id/1353347","http://ts.21cn.com/tousu/show/id/1353347")</f>
        <v>http://ts.21cn.com/tousu/show/id/1353347</v>
      </c>
      <c r="F21241" s="2" t="s">
        <v>11</v>
      </c>
      <c r="G21241" s="2" t="s">
        <v>2385</v>
      </c>
      <c r="H21241" s="2" t="s">
        <v>2386</v>
      </c>
    </row>
    <row r="21242" spans="1:8" ht="25.05" customHeight="1" x14ac:dyDescent="0.25">
      <c r="A21242" s="2" t="s">
        <v>8</v>
      </c>
      <c r="B21242" s="2" t="str">
        <f>HYPERLINK("http://ts.21cn.com/tousu/show/id/1353348","无缘无故工商卡被扣款")</f>
        <v>无缘无故工商卡被扣款</v>
      </c>
      <c r="C21242" s="2" t="s">
        <v>9</v>
      </c>
      <c r="D21242" s="2" t="s">
        <v>10</v>
      </c>
      <c r="E21242" s="2" t="str">
        <f>HYPERLINK("http://ts.21cn.com/tousu/show/id/1353348","http://ts.21cn.com/tousu/show/id/1353348")</f>
        <v>http://ts.21cn.com/tousu/show/id/1353348</v>
      </c>
      <c r="F21242" s="2" t="s">
        <v>11</v>
      </c>
      <c r="G21242" s="2" t="s">
        <v>2383</v>
      </c>
      <c r="H21242" s="2" t="s">
        <v>2384</v>
      </c>
    </row>
    <row r="21243" spans="1:8" ht="25.05" customHeight="1" x14ac:dyDescent="0.25">
      <c r="A21243" s="2" t="s">
        <v>8</v>
      </c>
      <c r="B21243" s="2" t="str">
        <f>HYPERLINK("http://ts.21cn.com/tousu/show/id/1346365","新意花高利贷恶意逾期费")</f>
        <v>新意花高利贷恶意逾期费</v>
      </c>
      <c r="C21243" s="2" t="s">
        <v>9</v>
      </c>
      <c r="D21243" s="2" t="s">
        <v>10</v>
      </c>
      <c r="E21243" s="2" t="str">
        <f>HYPERLINK("http://ts.21cn.com/tousu/show/id/1346365","http://ts.21cn.com/tousu/show/id/1346365")</f>
        <v>http://ts.21cn.com/tousu/show/id/1346365</v>
      </c>
      <c r="F21243" s="2" t="s">
        <v>11</v>
      </c>
      <c r="G21243" s="2" t="s">
        <v>2381</v>
      </c>
      <c r="H21243" s="2" t="s">
        <v>2382</v>
      </c>
    </row>
    <row r="21244" spans="1:8" ht="25.05" customHeight="1" x14ac:dyDescent="0.25">
      <c r="A21244" s="2" t="s">
        <v>8</v>
      </c>
      <c r="B21244" s="2" t="str">
        <f>HYPERLINK("http://ts.21cn.com/tousu/show/id/1353349","不停进行电话骚扰")</f>
        <v>不停进行电话骚扰</v>
      </c>
      <c r="C21244" s="2" t="s">
        <v>9</v>
      </c>
      <c r="D21244" s="2" t="s">
        <v>10</v>
      </c>
      <c r="E21244" s="2" t="str">
        <f>HYPERLINK("http://ts.21cn.com/tousu/show/id/1353349","http://ts.21cn.com/tousu/show/id/1353349")</f>
        <v>http://ts.21cn.com/tousu/show/id/1353349</v>
      </c>
      <c r="F21244" s="2" t="s">
        <v>11</v>
      </c>
      <c r="G21244" s="2" t="s">
        <v>2379</v>
      </c>
      <c r="H21244" s="2" t="s">
        <v>2380</v>
      </c>
    </row>
    <row r="21245" spans="1:8" ht="25.05" customHeight="1" x14ac:dyDescent="0.25">
      <c r="A21245" s="2" t="s">
        <v>8</v>
      </c>
      <c r="B21245" s="2" t="str">
        <f>HYPERLINK("http://ts.21cn.com/tousu/show/id/1353350","钱站恶意骚扰联系人")</f>
        <v>钱站恶意骚扰联系人</v>
      </c>
      <c r="C21245" s="2" t="s">
        <v>9</v>
      </c>
      <c r="D21245" s="2" t="s">
        <v>10</v>
      </c>
      <c r="E21245" s="2" t="str">
        <f>HYPERLINK("http://ts.21cn.com/tousu/show/id/1353350","http://ts.21cn.com/tousu/show/id/1353350")</f>
        <v>http://ts.21cn.com/tousu/show/id/1353350</v>
      </c>
      <c r="F21245" s="2" t="s">
        <v>11</v>
      </c>
      <c r="G21245" s="2" t="s">
        <v>2377</v>
      </c>
      <c r="H21245" s="2" t="s">
        <v>2378</v>
      </c>
    </row>
    <row r="21246" spans="1:8" ht="25.05" customHeight="1" x14ac:dyDescent="0.25">
      <c r="A21246" s="2" t="s">
        <v>8</v>
      </c>
      <c r="B21246" s="2" t="str">
        <f>HYPERLINK("http://ts.21cn.com/tousu/show/id/1353351","退保险")</f>
        <v>退保险</v>
      </c>
      <c r="C21246" s="2" t="s">
        <v>9</v>
      </c>
      <c r="D21246" s="2" t="s">
        <v>10</v>
      </c>
      <c r="E21246" s="2" t="str">
        <f>HYPERLINK("http://ts.21cn.com/tousu/show/id/1353351","http://ts.21cn.com/tousu/show/id/1353351")</f>
        <v>http://ts.21cn.com/tousu/show/id/1353351</v>
      </c>
      <c r="F21246" s="2" t="s">
        <v>11</v>
      </c>
      <c r="G21246" s="2" t="s">
        <v>2375</v>
      </c>
      <c r="H21246" s="2" t="s">
        <v>2376</v>
      </c>
    </row>
    <row r="21247" spans="1:8" ht="25.05" customHeight="1" x14ac:dyDescent="0.25">
      <c r="A21247" s="2" t="s">
        <v>8</v>
      </c>
      <c r="B21247" s="2" t="str">
        <f>HYPERLINK("http://ts.21cn.com/tousu/show/id/1353292","微粒贷店大欺客")</f>
        <v>微粒贷店大欺客</v>
      </c>
      <c r="C21247" s="2" t="s">
        <v>9</v>
      </c>
      <c r="D21247" s="2" t="s">
        <v>10</v>
      </c>
      <c r="E21247" s="2" t="str">
        <f>HYPERLINK("http://ts.21cn.com/tousu/show/id/1353292","http://ts.21cn.com/tousu/show/id/1353292")</f>
        <v>http://ts.21cn.com/tousu/show/id/1353292</v>
      </c>
      <c r="F21247" s="2" t="s">
        <v>11</v>
      </c>
      <c r="G21247" s="2" t="s">
        <v>2373</v>
      </c>
      <c r="H21247" s="2" t="s">
        <v>2374</v>
      </c>
    </row>
    <row r="21248" spans="1:8" ht="25.05" customHeight="1" x14ac:dyDescent="0.25">
      <c r="A21248" s="2" t="s">
        <v>8</v>
      </c>
      <c r="B21248" s="2" t="str">
        <f>HYPERLINK("http://ts.21cn.com/tousu/show/id/1353352","英孚违约，请求退款（不接受违约金，合同没此项）")</f>
        <v>英孚违约，请求退款（不接受违约金，合同没此项）</v>
      </c>
      <c r="C21248" s="2" t="s">
        <v>9</v>
      </c>
      <c r="D21248" s="2" t="s">
        <v>10</v>
      </c>
      <c r="E21248" s="2" t="str">
        <f>HYPERLINK("http://ts.21cn.com/tousu/show/id/1353352","http://ts.21cn.com/tousu/show/id/1353352")</f>
        <v>http://ts.21cn.com/tousu/show/id/1353352</v>
      </c>
      <c r="F21248" s="2" t="s">
        <v>11</v>
      </c>
      <c r="G21248" s="2" t="s">
        <v>2371</v>
      </c>
      <c r="H21248" s="2" t="s">
        <v>2372</v>
      </c>
    </row>
    <row r="21249" spans="1:8" ht="25.05" customHeight="1" x14ac:dyDescent="0.25">
      <c r="A21249" s="2" t="s">
        <v>8</v>
      </c>
      <c r="B21249" s="2" t="str">
        <f>HYPERLINK("http://ts.21cn.com/tousu/show/id/1353353","小象优品暴力催收")</f>
        <v>小象优品暴力催收</v>
      </c>
      <c r="C21249" s="2" t="s">
        <v>9</v>
      </c>
      <c r="D21249" s="2" t="s">
        <v>10</v>
      </c>
      <c r="E21249" s="2" t="str">
        <f>HYPERLINK("http://ts.21cn.com/tousu/show/id/1353353","http://ts.21cn.com/tousu/show/id/1353353")</f>
        <v>http://ts.21cn.com/tousu/show/id/1353353</v>
      </c>
      <c r="F21249" s="2" t="s">
        <v>11</v>
      </c>
      <c r="G21249" s="2" t="s">
        <v>2369</v>
      </c>
      <c r="H21249" s="2" t="s">
        <v>2370</v>
      </c>
    </row>
    <row r="21250" spans="1:8" ht="25.05" customHeight="1" x14ac:dyDescent="0.25">
      <c r="A21250" s="2" t="s">
        <v>8</v>
      </c>
      <c r="B21250" s="2" t="str">
        <f>HYPERLINK("http://ts.21cn.com/tousu/show/id/1353354","京东白条未经允许私自拨打我公司电话")</f>
        <v>京东白条未经允许私自拨打我公司电话</v>
      </c>
      <c r="C21250" s="2" t="s">
        <v>9</v>
      </c>
      <c r="D21250" s="2" t="s">
        <v>10</v>
      </c>
      <c r="E21250" s="2" t="str">
        <f>HYPERLINK("http://ts.21cn.com/tousu/show/id/1353354","http://ts.21cn.com/tousu/show/id/1353354")</f>
        <v>http://ts.21cn.com/tousu/show/id/1353354</v>
      </c>
      <c r="F21250" s="2" t="s">
        <v>11</v>
      </c>
      <c r="G21250" s="2" t="s">
        <v>2367</v>
      </c>
      <c r="H21250" s="2" t="s">
        <v>2368</v>
      </c>
    </row>
    <row r="21251" spans="1:8" ht="25.05" customHeight="1" x14ac:dyDescent="0.25">
      <c r="A21251" s="2" t="s">
        <v>8</v>
      </c>
      <c r="B21251" s="2" t="str">
        <f>HYPERLINK("http://ts.21cn.com/tousu/show/id/1353355","恶意冻结微信号")</f>
        <v>恶意冻结微信号</v>
      </c>
      <c r="C21251" s="2" t="s">
        <v>9</v>
      </c>
      <c r="D21251" s="2" t="s">
        <v>10</v>
      </c>
      <c r="E21251" s="2" t="str">
        <f>HYPERLINK("http://ts.21cn.com/tousu/show/id/1353355","http://ts.21cn.com/tousu/show/id/1353355")</f>
        <v>http://ts.21cn.com/tousu/show/id/1353355</v>
      </c>
      <c r="F21251" s="2" t="s">
        <v>11</v>
      </c>
      <c r="G21251" s="2" t="s">
        <v>2365</v>
      </c>
      <c r="H21251" s="2" t="s">
        <v>2366</v>
      </c>
    </row>
    <row r="21252" spans="1:8" ht="25.05" customHeight="1" x14ac:dyDescent="0.25">
      <c r="A21252" s="2" t="s">
        <v>8</v>
      </c>
      <c r="B21252" s="2" t="str">
        <f>HYPERLINK("http://ts.21cn.com/tousu/show/id/1353356","延期还款")</f>
        <v>延期还款</v>
      </c>
      <c r="C21252" s="2" t="s">
        <v>9</v>
      </c>
      <c r="D21252" s="2" t="s">
        <v>10</v>
      </c>
      <c r="E21252" s="2" t="str">
        <f>HYPERLINK("http://ts.21cn.com/tousu/show/id/1353356","http://ts.21cn.com/tousu/show/id/1353356")</f>
        <v>http://ts.21cn.com/tousu/show/id/1353356</v>
      </c>
      <c r="F21252" s="2" t="s">
        <v>11</v>
      </c>
      <c r="G21252" s="2" t="s">
        <v>2363</v>
      </c>
      <c r="H21252" s="2" t="s">
        <v>2364</v>
      </c>
    </row>
    <row r="21253" spans="1:8" ht="25.05" customHeight="1" x14ac:dyDescent="0.25">
      <c r="A21253" s="2" t="s">
        <v>8</v>
      </c>
      <c r="B21253" s="2" t="str">
        <f>HYPERLINK("http://ts.21cn.com/tousu/show/id/1353335","速金服套路贷")</f>
        <v>速金服套路贷</v>
      </c>
      <c r="C21253" s="2" t="s">
        <v>9</v>
      </c>
      <c r="D21253" s="2" t="s">
        <v>10</v>
      </c>
      <c r="E21253" s="2" t="str">
        <f>HYPERLINK("http://ts.21cn.com/tousu/show/id/1353335","http://ts.21cn.com/tousu/show/id/1353335")</f>
        <v>http://ts.21cn.com/tousu/show/id/1353335</v>
      </c>
      <c r="F21253" s="2" t="s">
        <v>11</v>
      </c>
      <c r="G21253" s="2" t="s">
        <v>2361</v>
      </c>
      <c r="H21253" s="2" t="s">
        <v>2362</v>
      </c>
    </row>
    <row r="21254" spans="1:8" ht="25.05" customHeight="1" x14ac:dyDescent="0.25">
      <c r="A21254" s="2" t="s">
        <v>8</v>
      </c>
      <c r="B21254" s="2" t="str">
        <f>HYPERLINK("http://ts.21cn.com/tousu/show/id/1353358","中信信用卡不断骚扰")</f>
        <v>中信信用卡不断骚扰</v>
      </c>
      <c r="C21254" s="2" t="s">
        <v>9</v>
      </c>
      <c r="D21254" s="2" t="s">
        <v>10</v>
      </c>
      <c r="E21254" s="2" t="str">
        <f>HYPERLINK("http://ts.21cn.com/tousu/show/id/1353358","http://ts.21cn.com/tousu/show/id/1353358")</f>
        <v>http://ts.21cn.com/tousu/show/id/1353358</v>
      </c>
      <c r="F21254" s="2" t="s">
        <v>11</v>
      </c>
      <c r="G21254" s="2" t="s">
        <v>2359</v>
      </c>
      <c r="H21254" s="2" t="s">
        <v>2360</v>
      </c>
    </row>
    <row r="21255" spans="1:8" ht="25.05" customHeight="1" x14ac:dyDescent="0.25">
      <c r="A21255" s="2" t="s">
        <v>8</v>
      </c>
      <c r="B21255" s="2" t="str">
        <f>HYPERLINK("http://ts.21cn.com/tousu/show/id/1353359","钱站借款4000元，提前结清需要还7800")</f>
        <v>钱站借款4000元，提前结清需要还7800</v>
      </c>
      <c r="C21255" s="2" t="s">
        <v>9</v>
      </c>
      <c r="D21255" s="2" t="s">
        <v>10</v>
      </c>
      <c r="E21255" s="2" t="str">
        <f>HYPERLINK("http://ts.21cn.com/tousu/show/id/1353359","http://ts.21cn.com/tousu/show/id/1353359")</f>
        <v>http://ts.21cn.com/tousu/show/id/1353359</v>
      </c>
      <c r="F21255" s="2" t="s">
        <v>11</v>
      </c>
      <c r="G21255" s="2" t="s">
        <v>2357</v>
      </c>
      <c r="H21255" s="2" t="s">
        <v>2358</v>
      </c>
    </row>
    <row r="21256" spans="1:8" ht="25.05" customHeight="1" x14ac:dyDescent="0.25">
      <c r="A21256" s="2" t="s">
        <v>8</v>
      </c>
      <c r="B21256" s="2" t="str">
        <f>HYPERLINK("http://ts.21cn.com/tousu/show/id/1353361","蓝店公司提现不到账，大面积商户提现不到账")</f>
        <v>蓝店公司提现不到账，大面积商户提现不到账</v>
      </c>
      <c r="C21256" s="2" t="s">
        <v>9</v>
      </c>
      <c r="D21256" s="2" t="s">
        <v>10</v>
      </c>
      <c r="E21256" s="2" t="str">
        <f>HYPERLINK("http://ts.21cn.com/tousu/show/id/1353361","http://ts.21cn.com/tousu/show/id/1353361")</f>
        <v>http://ts.21cn.com/tousu/show/id/1353361</v>
      </c>
      <c r="F21256" s="2" t="s">
        <v>11</v>
      </c>
      <c r="G21256" s="2" t="s">
        <v>2355</v>
      </c>
      <c r="H21256" s="2" t="s">
        <v>2356</v>
      </c>
    </row>
    <row r="21257" spans="1:8" ht="25.05" customHeight="1" x14ac:dyDescent="0.25">
      <c r="A21257" s="2" t="s">
        <v>8</v>
      </c>
      <c r="B21257" s="2" t="str">
        <f>HYPERLINK("http://ts.21cn.com/tousu/show/id/1353360","尚城消费金融电话群发信息骚扰通讯录好友")</f>
        <v>尚城消费金融电话群发信息骚扰通讯录好友</v>
      </c>
      <c r="C21257" s="2" t="s">
        <v>9</v>
      </c>
      <c r="D21257" s="2" t="s">
        <v>10</v>
      </c>
      <c r="E21257" s="2" t="str">
        <f>HYPERLINK("http://ts.21cn.com/tousu/show/id/1353360","http://ts.21cn.com/tousu/show/id/1353360")</f>
        <v>http://ts.21cn.com/tousu/show/id/1353360</v>
      </c>
      <c r="F21257" s="2" t="s">
        <v>11</v>
      </c>
      <c r="G21257" s="2" t="s">
        <v>2353</v>
      </c>
      <c r="H21257" s="2" t="s">
        <v>2354</v>
      </c>
    </row>
    <row r="21258" spans="1:8" ht="25.05" customHeight="1" x14ac:dyDescent="0.25">
      <c r="A21258" s="2" t="s">
        <v>8</v>
      </c>
      <c r="B21258" s="2" t="str">
        <f>HYPERLINK("http://ts.21cn.com/tousu/show/id/1353362","拍拍贷恶意催收，请求延缓几天还款")</f>
        <v>拍拍贷恶意催收，请求延缓几天还款</v>
      </c>
      <c r="C21258" s="2" t="s">
        <v>9</v>
      </c>
      <c r="D21258" s="2" t="s">
        <v>10</v>
      </c>
      <c r="E21258" s="2" t="str">
        <f>HYPERLINK("http://ts.21cn.com/tousu/show/id/1353362","http://ts.21cn.com/tousu/show/id/1353362")</f>
        <v>http://ts.21cn.com/tousu/show/id/1353362</v>
      </c>
      <c r="F21258" s="2" t="s">
        <v>11</v>
      </c>
      <c r="G21258" s="2" t="s">
        <v>2351</v>
      </c>
      <c r="H21258" s="2" t="s">
        <v>2352</v>
      </c>
    </row>
    <row r="21259" spans="1:8" ht="25.05" customHeight="1" x14ac:dyDescent="0.25">
      <c r="A21259" s="2" t="s">
        <v>8</v>
      </c>
      <c r="B21259" s="2" t="str">
        <f>HYPERLINK("http://ts.21cn.com/tousu/show/id/1353364","教育机构虚假宣传，无资质，不予退费")</f>
        <v>教育机构虚假宣传，无资质，不予退费</v>
      </c>
      <c r="C21259" s="2" t="s">
        <v>9</v>
      </c>
      <c r="D21259" s="2" t="s">
        <v>10</v>
      </c>
      <c r="E21259" s="2" t="str">
        <f>HYPERLINK("http://ts.21cn.com/tousu/show/id/1353364","http://ts.21cn.com/tousu/show/id/1353364")</f>
        <v>http://ts.21cn.com/tousu/show/id/1353364</v>
      </c>
      <c r="F21259" s="2" t="s">
        <v>11</v>
      </c>
      <c r="G21259" s="2" t="s">
        <v>2349</v>
      </c>
      <c r="H21259" s="2" t="s">
        <v>2350</v>
      </c>
    </row>
    <row r="21260" spans="1:8" ht="25.05" customHeight="1" x14ac:dyDescent="0.25">
      <c r="A21260" s="2" t="s">
        <v>8</v>
      </c>
      <c r="B21260" s="2" t="str">
        <f>HYPERLINK("http://ts.21cn.com/tousu/show/id/1353363","去哪儿网旅游业务，未出行拒不退款")</f>
        <v>去哪儿网旅游业务，未出行拒不退款</v>
      </c>
      <c r="C21260" s="2" t="s">
        <v>9</v>
      </c>
      <c r="D21260" s="2" t="s">
        <v>10</v>
      </c>
      <c r="E21260" s="2" t="str">
        <f>HYPERLINK("http://ts.21cn.com/tousu/show/id/1353363","http://ts.21cn.com/tousu/show/id/1353363")</f>
        <v>http://ts.21cn.com/tousu/show/id/1353363</v>
      </c>
      <c r="F21260" s="2" t="s">
        <v>11</v>
      </c>
      <c r="G21260" s="2" t="s">
        <v>2347</v>
      </c>
      <c r="H21260" s="2" t="s">
        <v>2348</v>
      </c>
    </row>
    <row r="21261" spans="1:8" ht="25.05" customHeight="1" x14ac:dyDescent="0.25">
      <c r="A21261" s="2" t="s">
        <v>8</v>
      </c>
      <c r="B21261" s="2" t="str">
        <f>HYPERLINK("http://ts.21cn.com/tousu/show/id/1353365","暴力催收威胁，且私更改合同，变现收费")</f>
        <v>暴力催收威胁，且私更改合同，变现收费</v>
      </c>
      <c r="C21261" s="2" t="s">
        <v>9</v>
      </c>
      <c r="D21261" s="2" t="s">
        <v>10</v>
      </c>
      <c r="E21261" s="2" t="str">
        <f>HYPERLINK("http://ts.21cn.com/tousu/show/id/1353365","http://ts.21cn.com/tousu/show/id/1353365")</f>
        <v>http://ts.21cn.com/tousu/show/id/1353365</v>
      </c>
      <c r="F21261" s="2" t="s">
        <v>11</v>
      </c>
      <c r="G21261" s="2" t="s">
        <v>2344</v>
      </c>
      <c r="H21261" s="2" t="s">
        <v>2345</v>
      </c>
    </row>
    <row r="21262" spans="1:8" ht="25.05" customHeight="1" x14ac:dyDescent="0.25">
      <c r="A21262" s="2" t="s">
        <v>8</v>
      </c>
      <c r="B21262" s="2" t="str">
        <f>HYPERLINK("http://ts.21cn.com/tousu/show/id/1353366","投诉八里庄派出所举报违法不处理")</f>
        <v>投诉八里庄派出所举报违法不处理</v>
      </c>
      <c r="C21262" s="2" t="s">
        <v>9</v>
      </c>
      <c r="D21262" s="2" t="s">
        <v>10</v>
      </c>
      <c r="E21262" s="2" t="str">
        <f>HYPERLINK("http://ts.21cn.com/tousu/show/id/1353366","http://ts.21cn.com/tousu/show/id/1353366")</f>
        <v>http://ts.21cn.com/tousu/show/id/1353366</v>
      </c>
      <c r="F21262" s="2" t="s">
        <v>11</v>
      </c>
      <c r="G21262" s="2" t="s">
        <v>2344</v>
      </c>
      <c r="H21262" s="2" t="s">
        <v>2346</v>
      </c>
    </row>
    <row r="21263" spans="1:8" ht="25.05" customHeight="1" x14ac:dyDescent="0.25">
      <c r="A21263" s="2" t="s">
        <v>8</v>
      </c>
      <c r="B21263" s="2" t="str">
        <f>HYPERLINK("http://ts.21cn.com/tousu/show/id/1353367","及贷高额利息及暴力催收")</f>
        <v>及贷高额利息及暴力催收</v>
      </c>
      <c r="C21263" s="2" t="s">
        <v>9</v>
      </c>
      <c r="D21263" s="2" t="s">
        <v>10</v>
      </c>
      <c r="E21263" s="2" t="str">
        <f>HYPERLINK("http://ts.21cn.com/tousu/show/id/1353367","http://ts.21cn.com/tousu/show/id/1353367")</f>
        <v>http://ts.21cn.com/tousu/show/id/1353367</v>
      </c>
      <c r="F21263" s="2" t="s">
        <v>11</v>
      </c>
      <c r="G21263" s="2" t="s">
        <v>2342</v>
      </c>
      <c r="H21263" s="2" t="s">
        <v>2343</v>
      </c>
    </row>
    <row r="21264" spans="1:8" ht="25.05" customHeight="1" x14ac:dyDescent="0.25">
      <c r="A21264" s="2" t="s">
        <v>8</v>
      </c>
      <c r="B21264" s="2" t="str">
        <f>HYPERLINK("http://ts.21cn.com/tousu/show/id/1353368","一直接到360借条的骚扰电话")</f>
        <v>一直接到360借条的骚扰电话</v>
      </c>
      <c r="C21264" s="2" t="s">
        <v>9</v>
      </c>
      <c r="D21264" s="2" t="s">
        <v>10</v>
      </c>
      <c r="E21264" s="2" t="str">
        <f>HYPERLINK("http://ts.21cn.com/tousu/show/id/1353368","http://ts.21cn.com/tousu/show/id/1353368")</f>
        <v>http://ts.21cn.com/tousu/show/id/1353368</v>
      </c>
      <c r="F21264" s="2" t="s">
        <v>11</v>
      </c>
      <c r="G21264" s="2" t="s">
        <v>2340</v>
      </c>
      <c r="H21264" s="2" t="s">
        <v>2341</v>
      </c>
    </row>
    <row r="21265" spans="1:8" ht="25.05" customHeight="1" x14ac:dyDescent="0.25">
      <c r="A21265" s="2" t="s">
        <v>8</v>
      </c>
      <c r="B21265" s="2" t="str">
        <f>HYPERLINK("http://ts.21cn.com/tousu/show/id/1353303","暴力催收，对我通讯录实施电话骚扰")</f>
        <v>暴力催收，对我通讯录实施电话骚扰</v>
      </c>
      <c r="C21265" s="2" t="s">
        <v>9</v>
      </c>
      <c r="D21265" s="2" t="s">
        <v>10</v>
      </c>
      <c r="E21265" s="2" t="str">
        <f>HYPERLINK("http://ts.21cn.com/tousu/show/id/1353303","http://ts.21cn.com/tousu/show/id/1353303")</f>
        <v>http://ts.21cn.com/tousu/show/id/1353303</v>
      </c>
      <c r="F21265" s="2" t="s">
        <v>11</v>
      </c>
      <c r="G21265" s="2" t="s">
        <v>2338</v>
      </c>
      <c r="H21265" s="2" t="s">
        <v>2339</v>
      </c>
    </row>
    <row r="21266" spans="1:8" ht="25.05" customHeight="1" x14ac:dyDescent="0.25">
      <c r="A21266" s="2" t="s">
        <v>8</v>
      </c>
      <c r="B21266" s="2" t="str">
        <f>HYPERLINK("http://ts.21cn.com/tousu/show/id/1353370","暴力催收，高利贷，阴阳合同")</f>
        <v>暴力催收，高利贷，阴阳合同</v>
      </c>
      <c r="C21266" s="2" t="s">
        <v>9</v>
      </c>
      <c r="D21266" s="2" t="s">
        <v>10</v>
      </c>
      <c r="E21266" s="2" t="str">
        <f>HYPERLINK("http://ts.21cn.com/tousu/show/id/1353370","http://ts.21cn.com/tousu/show/id/1353370")</f>
        <v>http://ts.21cn.com/tousu/show/id/1353370</v>
      </c>
      <c r="F21266" s="2" t="s">
        <v>11</v>
      </c>
      <c r="G21266" s="2" t="s">
        <v>2336</v>
      </c>
      <c r="H21266" s="2" t="s">
        <v>2337</v>
      </c>
    </row>
    <row r="21267" spans="1:8" ht="25.05" customHeight="1" x14ac:dyDescent="0.25">
      <c r="A21267" s="2" t="s">
        <v>8</v>
      </c>
      <c r="B21267" s="2" t="str">
        <f>HYPERLINK("http://ts.21cn.com/tousu/show/id/1353372","招联金融暴力催收投诉后并没有联系我，而且变本加厉的联系我朋友")</f>
        <v>招联金融暴力催收投诉后并没有联系我，而且变本加厉的联系我朋友</v>
      </c>
      <c r="C21267" s="2" t="s">
        <v>9</v>
      </c>
      <c r="D21267" s="2" t="s">
        <v>10</v>
      </c>
      <c r="E21267" s="2" t="str">
        <f>HYPERLINK("http://ts.21cn.com/tousu/show/id/1353372","http://ts.21cn.com/tousu/show/id/1353372")</f>
        <v>http://ts.21cn.com/tousu/show/id/1353372</v>
      </c>
      <c r="F21267" s="2" t="s">
        <v>11</v>
      </c>
      <c r="G21267" s="2" t="s">
        <v>2334</v>
      </c>
      <c r="H21267" s="2" t="s">
        <v>2335</v>
      </c>
    </row>
    <row r="21268" spans="1:8" ht="25.05" customHeight="1" x14ac:dyDescent="0.25">
      <c r="A21268" s="2" t="s">
        <v>8</v>
      </c>
      <c r="B21268" s="2" t="str">
        <f>HYPERLINK("http://ts.21cn.com/tousu/show/id/1353371","捷信消费金融有限公司天天打我公司电话找人，都说了没有这个人了，还天天打")</f>
        <v>捷信消费金融有限公司天天打我公司电话找人，都说了没有这个人了，还天天打</v>
      </c>
      <c r="C21268" s="2" t="s">
        <v>34</v>
      </c>
      <c r="D21268" s="2" t="s">
        <v>10</v>
      </c>
      <c r="E21268" s="2" t="str">
        <f>HYPERLINK("http://ts.21cn.com/tousu/show/id/1353371","http://ts.21cn.com/tousu/show/id/1353371")</f>
        <v>http://ts.21cn.com/tousu/show/id/1353371</v>
      </c>
      <c r="F21268" s="2" t="s">
        <v>11</v>
      </c>
      <c r="G21268" s="2" t="s">
        <v>2332</v>
      </c>
      <c r="H21268" s="2" t="s">
        <v>2333</v>
      </c>
    </row>
    <row r="21269" spans="1:8" ht="25.05" customHeight="1" x14ac:dyDescent="0.25">
      <c r="A21269" s="2" t="s">
        <v>8</v>
      </c>
      <c r="B21269" s="2" t="str">
        <f>HYPERLINK("http://ts.21cn.com/tousu/show/id/1353373","套路贷，砍头息")</f>
        <v>套路贷，砍头息</v>
      </c>
      <c r="C21269" s="2" t="s">
        <v>9</v>
      </c>
      <c r="D21269" s="2" t="s">
        <v>10</v>
      </c>
      <c r="E21269" s="2" t="str">
        <f>HYPERLINK("http://ts.21cn.com/tousu/show/id/1353373","http://ts.21cn.com/tousu/show/id/1353373")</f>
        <v>http://ts.21cn.com/tousu/show/id/1353373</v>
      </c>
      <c r="F21269" s="2" t="s">
        <v>11</v>
      </c>
      <c r="G21269" s="2" t="s">
        <v>2330</v>
      </c>
      <c r="H21269" s="2" t="s">
        <v>2331</v>
      </c>
    </row>
    <row r="21270" spans="1:8" ht="25.05" customHeight="1" x14ac:dyDescent="0.25">
      <c r="A21270" s="2" t="s">
        <v>8</v>
      </c>
      <c r="B21270" s="2" t="str">
        <f>HYPERLINK("http://ts.21cn.com/tousu/show/id/1353374","钱置宝严重高利贷，恶意导致逾期")</f>
        <v>钱置宝严重高利贷，恶意导致逾期</v>
      </c>
      <c r="C21270" s="2" t="s">
        <v>9</v>
      </c>
      <c r="D21270" s="2" t="s">
        <v>10</v>
      </c>
      <c r="E21270" s="2" t="str">
        <f>HYPERLINK("http://ts.21cn.com/tousu/show/id/1353374","http://ts.21cn.com/tousu/show/id/1353374")</f>
        <v>http://ts.21cn.com/tousu/show/id/1353374</v>
      </c>
      <c r="F21270" s="2" t="s">
        <v>11</v>
      </c>
      <c r="G21270" s="2" t="s">
        <v>2328</v>
      </c>
      <c r="H21270" s="2" t="s">
        <v>2329</v>
      </c>
    </row>
    <row r="21271" spans="1:8" ht="25.05" customHeight="1" x14ac:dyDescent="0.25">
      <c r="A21271" s="2" t="s">
        <v>8</v>
      </c>
      <c r="B21271" s="2" t="str">
        <f>HYPERLINK("http://ts.21cn.com/tousu/show/id/1353375","捷信公司")</f>
        <v>捷信公司</v>
      </c>
      <c r="C21271" s="2" t="s">
        <v>9</v>
      </c>
      <c r="D21271" s="2" t="s">
        <v>10</v>
      </c>
      <c r="E21271" s="2" t="str">
        <f>HYPERLINK("http://ts.21cn.com/tousu/show/id/1353375","http://ts.21cn.com/tousu/show/id/1353375")</f>
        <v>http://ts.21cn.com/tousu/show/id/1353375</v>
      </c>
      <c r="F21271" s="2" t="s">
        <v>11</v>
      </c>
      <c r="G21271" s="2" t="s">
        <v>2326</v>
      </c>
      <c r="H21271" s="2" t="s">
        <v>2327</v>
      </c>
    </row>
    <row r="21272" spans="1:8" ht="25.05" customHeight="1" x14ac:dyDescent="0.25">
      <c r="A21272" s="2" t="s">
        <v>8</v>
      </c>
      <c r="B21272" s="2" t="str">
        <f>HYPERLINK("http://ts.21cn.com/tousu/show/id/1353376","黑社会暴力催收阴阳合同高利贷")</f>
        <v>黑社会暴力催收阴阳合同高利贷</v>
      </c>
      <c r="C21272" s="2" t="s">
        <v>9</v>
      </c>
      <c r="D21272" s="2" t="s">
        <v>10</v>
      </c>
      <c r="E21272" s="2" t="str">
        <f>HYPERLINK("http://ts.21cn.com/tousu/show/id/1353376","http://ts.21cn.com/tousu/show/id/1353376")</f>
        <v>http://ts.21cn.com/tousu/show/id/1353376</v>
      </c>
      <c r="F21272" s="2" t="s">
        <v>11</v>
      </c>
      <c r="G21272" s="2" t="s">
        <v>2324</v>
      </c>
      <c r="H21272" s="2" t="s">
        <v>2325</v>
      </c>
    </row>
    <row r="21273" spans="1:8" ht="25.05" customHeight="1" x14ac:dyDescent="0.25">
      <c r="A21273" s="2" t="s">
        <v>8</v>
      </c>
      <c r="B21273" s="2" t="str">
        <f>HYPERLINK("http://ts.21cn.com/tousu/show/id/1353377","高利贷砍头息")</f>
        <v>高利贷砍头息</v>
      </c>
      <c r="C21273" s="2" t="s">
        <v>9</v>
      </c>
      <c r="D21273" s="2" t="s">
        <v>10</v>
      </c>
      <c r="E21273" s="2" t="str">
        <f>HYPERLINK("http://ts.21cn.com/tousu/show/id/1353377","http://ts.21cn.com/tousu/show/id/1353377")</f>
        <v>http://ts.21cn.com/tousu/show/id/1353377</v>
      </c>
      <c r="F21273" s="2" t="s">
        <v>11</v>
      </c>
      <c r="G21273" s="2" t="s">
        <v>2322</v>
      </c>
      <c r="H21273" s="2" t="s">
        <v>2323</v>
      </c>
    </row>
    <row r="21274" spans="1:8" ht="25.05" customHeight="1" x14ac:dyDescent="0.25">
      <c r="A21274" s="2" t="s">
        <v>8</v>
      </c>
      <c r="B21274" s="2" t="str">
        <f>HYPERLINK("http://ts.21cn.com/tousu/show/id/1353378","深圳光华普惠暴力催收")</f>
        <v>深圳光华普惠暴力催收</v>
      </c>
      <c r="C21274" s="2" t="s">
        <v>9</v>
      </c>
      <c r="D21274" s="2" t="s">
        <v>10</v>
      </c>
      <c r="E21274" s="2" t="str">
        <f>HYPERLINK("http://ts.21cn.com/tousu/show/id/1353378","http://ts.21cn.com/tousu/show/id/1353378")</f>
        <v>http://ts.21cn.com/tousu/show/id/1353378</v>
      </c>
      <c r="F21274" s="2" t="s">
        <v>11</v>
      </c>
      <c r="G21274" s="2" t="s">
        <v>2320</v>
      </c>
      <c r="H21274" s="2" t="s">
        <v>2321</v>
      </c>
    </row>
    <row r="21275" spans="1:8" ht="25.05" customHeight="1" x14ac:dyDescent="0.25">
      <c r="A21275" s="2" t="s">
        <v>8</v>
      </c>
      <c r="B21275" s="2" t="str">
        <f>HYPERLINK("http://ts.21cn.com/tousu/show/id/1353379","贷上钱套路贷暴力催收爆通讯录")</f>
        <v>贷上钱套路贷暴力催收爆通讯录</v>
      </c>
      <c r="C21275" s="2" t="s">
        <v>9</v>
      </c>
      <c r="D21275" s="2" t="s">
        <v>10</v>
      </c>
      <c r="E21275" s="2" t="str">
        <f>HYPERLINK("http://ts.21cn.com/tousu/show/id/1353379","http://ts.21cn.com/tousu/show/id/1353379")</f>
        <v>http://ts.21cn.com/tousu/show/id/1353379</v>
      </c>
      <c r="F21275" s="2" t="s">
        <v>11</v>
      </c>
      <c r="G21275" s="2" t="s">
        <v>2318</v>
      </c>
      <c r="H21275" s="2" t="s">
        <v>2319</v>
      </c>
    </row>
    <row r="21276" spans="1:8" ht="25.05" customHeight="1" x14ac:dyDescent="0.25">
      <c r="A21276" s="2" t="s">
        <v>8</v>
      </c>
      <c r="B21276" s="2" t="str">
        <f>HYPERLINK("http://ts.21cn.com/tousu/show/id/1353380","玖富万卡")</f>
        <v>玖富万卡</v>
      </c>
      <c r="C21276" s="2" t="s">
        <v>34</v>
      </c>
      <c r="D21276" s="2" t="s">
        <v>10</v>
      </c>
      <c r="E21276" s="2" t="str">
        <f>HYPERLINK("http://ts.21cn.com/tousu/show/id/1353380","http://ts.21cn.com/tousu/show/id/1353380")</f>
        <v>http://ts.21cn.com/tousu/show/id/1353380</v>
      </c>
      <c r="F21276" s="2" t="s">
        <v>11</v>
      </c>
      <c r="G21276" s="2" t="s">
        <v>2316</v>
      </c>
      <c r="H21276" s="2" t="s">
        <v>2317</v>
      </c>
    </row>
    <row r="21277" spans="1:8" ht="25.05" customHeight="1" x14ac:dyDescent="0.25">
      <c r="A21277" s="2" t="s">
        <v>8</v>
      </c>
      <c r="B21277" s="2" t="str">
        <f>HYPERLINK("http://ts.21cn.com/tousu/show/id/1353381","高额手续费")</f>
        <v>高额手续费</v>
      </c>
      <c r="C21277" s="2" t="s">
        <v>9</v>
      </c>
      <c r="D21277" s="2" t="s">
        <v>10</v>
      </c>
      <c r="E21277" s="2" t="str">
        <f>HYPERLINK("http://ts.21cn.com/tousu/show/id/1353381","http://ts.21cn.com/tousu/show/id/1353381")</f>
        <v>http://ts.21cn.com/tousu/show/id/1353381</v>
      </c>
      <c r="F21277" s="2" t="s">
        <v>11</v>
      </c>
      <c r="G21277" s="2" t="s">
        <v>2314</v>
      </c>
      <c r="H21277" s="2" t="s">
        <v>2315</v>
      </c>
    </row>
    <row r="21278" spans="1:8" ht="25.05" customHeight="1" x14ac:dyDescent="0.25">
      <c r="A21278" s="2" t="s">
        <v>8</v>
      </c>
      <c r="B21278" s="2" t="str">
        <f>HYPERLINK("http://ts.21cn.com/tousu/show/id/1353385","弹个车误导消费者！高利贷公司")</f>
        <v>弹个车误导消费者！高利贷公司</v>
      </c>
      <c r="C21278" s="2" t="s">
        <v>9</v>
      </c>
      <c r="D21278" s="2" t="s">
        <v>10</v>
      </c>
      <c r="E21278" s="2" t="str">
        <f>HYPERLINK("http://ts.21cn.com/tousu/show/id/1353385","http://ts.21cn.com/tousu/show/id/1353385")</f>
        <v>http://ts.21cn.com/tousu/show/id/1353385</v>
      </c>
      <c r="F21278" s="2" t="s">
        <v>11</v>
      </c>
      <c r="G21278" s="2" t="s">
        <v>2312</v>
      </c>
      <c r="H21278" s="2" t="s">
        <v>2313</v>
      </c>
    </row>
    <row r="21279" spans="1:8" ht="25.05" customHeight="1" x14ac:dyDescent="0.25">
      <c r="A21279" s="2" t="s">
        <v>8</v>
      </c>
      <c r="B21279" s="2" t="str">
        <f>HYPERLINK("http://ts.21cn.com/tousu/show/id/1353384","广发信用卡")</f>
        <v>广发信用卡</v>
      </c>
      <c r="C21279" s="2" t="s">
        <v>9</v>
      </c>
      <c r="D21279" s="2" t="s">
        <v>10</v>
      </c>
      <c r="E21279" s="2" t="str">
        <f>HYPERLINK("http://ts.21cn.com/tousu/show/id/1353384","http://ts.21cn.com/tousu/show/id/1353384")</f>
        <v>http://ts.21cn.com/tousu/show/id/1353384</v>
      </c>
      <c r="F21279" s="2" t="s">
        <v>11</v>
      </c>
      <c r="G21279" s="2" t="s">
        <v>2310</v>
      </c>
      <c r="H21279" s="2" t="s">
        <v>2311</v>
      </c>
    </row>
    <row r="21280" spans="1:8" ht="25.05" customHeight="1" x14ac:dyDescent="0.25">
      <c r="A21280" s="2" t="s">
        <v>8</v>
      </c>
      <c r="B21280" s="2" t="str">
        <f>HYPERLINK("http://ts.21cn.com/tousu/show/id/1353382","交通银行软暴力催收")</f>
        <v>交通银行软暴力催收</v>
      </c>
      <c r="C21280" s="2" t="s">
        <v>9</v>
      </c>
      <c r="D21280" s="2" t="s">
        <v>10</v>
      </c>
      <c r="E21280" s="2" t="str">
        <f>HYPERLINK("http://ts.21cn.com/tousu/show/id/1353382","http://ts.21cn.com/tousu/show/id/1353382")</f>
        <v>http://ts.21cn.com/tousu/show/id/1353382</v>
      </c>
      <c r="F21280" s="2" t="s">
        <v>11</v>
      </c>
      <c r="G21280" s="2" t="s">
        <v>2308</v>
      </c>
      <c r="H21280" s="2" t="s">
        <v>2309</v>
      </c>
    </row>
    <row r="21281" spans="1:8" ht="25.05" customHeight="1" x14ac:dyDescent="0.25">
      <c r="A21281" s="2" t="s">
        <v>8</v>
      </c>
      <c r="B21281" s="2" t="str">
        <f>HYPERLINK("http://ts.21cn.com/tousu/show/id/1353383","my钱包无法还款，故意造成逾期！")</f>
        <v>my钱包无法还款，故意造成逾期！</v>
      </c>
      <c r="C21281" s="2" t="s">
        <v>9</v>
      </c>
      <c r="D21281" s="2" t="s">
        <v>10</v>
      </c>
      <c r="E21281" s="2" t="str">
        <f>HYPERLINK("http://ts.21cn.com/tousu/show/id/1353383","http://ts.21cn.com/tousu/show/id/1353383")</f>
        <v>http://ts.21cn.com/tousu/show/id/1353383</v>
      </c>
      <c r="F21281" s="2" t="s">
        <v>11</v>
      </c>
      <c r="G21281" s="2" t="s">
        <v>2306</v>
      </c>
      <c r="H21281" s="2" t="s">
        <v>2307</v>
      </c>
    </row>
    <row r="21282" spans="1:8" ht="25.05" customHeight="1" x14ac:dyDescent="0.25">
      <c r="A21282" s="2" t="s">
        <v>8</v>
      </c>
      <c r="B21282" s="2" t="str">
        <f>HYPERLINK("http://ts.21cn.com/tousu/show/id/1353386","闪银顺顺套路哼哼请求延期")</f>
        <v>闪银顺顺套路哼哼请求延期</v>
      </c>
      <c r="C21282" s="2" t="s">
        <v>9</v>
      </c>
      <c r="D21282" s="2" t="s">
        <v>10</v>
      </c>
      <c r="E21282" s="2" t="str">
        <f>HYPERLINK("http://ts.21cn.com/tousu/show/id/1353386","http://ts.21cn.com/tousu/show/id/1353386")</f>
        <v>http://ts.21cn.com/tousu/show/id/1353386</v>
      </c>
      <c r="F21282" s="2" t="s">
        <v>11</v>
      </c>
      <c r="G21282" s="2" t="s">
        <v>2304</v>
      </c>
      <c r="H21282" s="2" t="s">
        <v>2305</v>
      </c>
    </row>
    <row r="21283" spans="1:8" ht="25.05" customHeight="1" x14ac:dyDescent="0.25">
      <c r="A21283" s="2" t="s">
        <v>8</v>
      </c>
      <c r="B21283" s="2" t="str">
        <f>HYPERLINK("http://ts.21cn.com/tousu/show/id/1353387","不退定金。")</f>
        <v>不退定金。</v>
      </c>
      <c r="C21283" s="2" t="s">
        <v>9</v>
      </c>
      <c r="D21283" s="2" t="s">
        <v>10</v>
      </c>
      <c r="E21283" s="2" t="str">
        <f>HYPERLINK("http://ts.21cn.com/tousu/show/id/1353387","http://ts.21cn.com/tousu/show/id/1353387")</f>
        <v>http://ts.21cn.com/tousu/show/id/1353387</v>
      </c>
      <c r="F21283" s="2" t="s">
        <v>11</v>
      </c>
      <c r="G21283" s="2" t="s">
        <v>2302</v>
      </c>
      <c r="H21283" s="2" t="s">
        <v>2303</v>
      </c>
    </row>
    <row r="21284" spans="1:8" ht="25.05" customHeight="1" x14ac:dyDescent="0.25">
      <c r="A21284" s="2" t="s">
        <v>8</v>
      </c>
      <c r="B21284" s="2" t="str">
        <f>HYPERLINK("http://ts.21cn.com/tousu/show/id/1353388","投诉招商银行信用卡歧视对待，不肯退还罚息")</f>
        <v>投诉招商银行信用卡歧视对待，不肯退还罚息</v>
      </c>
      <c r="C21284" s="2" t="s">
        <v>9</v>
      </c>
      <c r="D21284" s="2" t="s">
        <v>10</v>
      </c>
      <c r="E21284" s="2" t="str">
        <f>HYPERLINK("http://ts.21cn.com/tousu/show/id/1353388","http://ts.21cn.com/tousu/show/id/1353388")</f>
        <v>http://ts.21cn.com/tousu/show/id/1353388</v>
      </c>
      <c r="F21284" s="2" t="s">
        <v>11</v>
      </c>
      <c r="G21284" s="2" t="s">
        <v>2300</v>
      </c>
      <c r="H21284" s="2" t="s">
        <v>2301</v>
      </c>
    </row>
    <row r="21285" spans="1:8" ht="25.05" customHeight="1" x14ac:dyDescent="0.25">
      <c r="A21285" s="2" t="s">
        <v>8</v>
      </c>
      <c r="B21285" s="2" t="str">
        <f>HYPERLINK("http://ts.21cn.com/tousu/show/id/1353389","钱站高利贷阴阳合同")</f>
        <v>钱站高利贷阴阳合同</v>
      </c>
      <c r="C21285" s="2" t="s">
        <v>9</v>
      </c>
      <c r="D21285" s="2" t="s">
        <v>10</v>
      </c>
      <c r="E21285" s="2" t="str">
        <f>HYPERLINK("http://ts.21cn.com/tousu/show/id/1353389","http://ts.21cn.com/tousu/show/id/1353389")</f>
        <v>http://ts.21cn.com/tousu/show/id/1353389</v>
      </c>
      <c r="F21285" s="2" t="s">
        <v>11</v>
      </c>
      <c r="G21285" s="2" t="s">
        <v>2298</v>
      </c>
      <c r="H21285" s="2" t="s">
        <v>2299</v>
      </c>
    </row>
    <row r="21286" spans="1:8" ht="25.05" customHeight="1" x14ac:dyDescent="0.25">
      <c r="A21286" s="2" t="s">
        <v>8</v>
      </c>
      <c r="B21286" s="2" t="str">
        <f>HYPERLINK("http://ts.21cn.com/tousu/show/id/1353390","360欺负人")</f>
        <v>360欺负人</v>
      </c>
      <c r="C21286" s="2" t="s">
        <v>9</v>
      </c>
      <c r="D21286" s="2" t="s">
        <v>10</v>
      </c>
      <c r="E21286" s="2" t="str">
        <f>HYPERLINK("http://ts.21cn.com/tousu/show/id/1353390","http://ts.21cn.com/tousu/show/id/1353390")</f>
        <v>http://ts.21cn.com/tousu/show/id/1353390</v>
      </c>
      <c r="F21286" s="2" t="s">
        <v>11</v>
      </c>
      <c r="G21286" s="2" t="s">
        <v>2296</v>
      </c>
      <c r="H21286" s="2" t="s">
        <v>2297</v>
      </c>
    </row>
    <row r="21287" spans="1:8" ht="25.05" customHeight="1" x14ac:dyDescent="0.25">
      <c r="A21287" s="2" t="s">
        <v>8</v>
      </c>
      <c r="B21287" s="2" t="str">
        <f>HYPERLINK("http://ts.21cn.com/tousu/show/id/1353391","360借条包里催收、")</f>
        <v>360借条包里催收、</v>
      </c>
      <c r="C21287" s="2" t="s">
        <v>9</v>
      </c>
      <c r="D21287" s="2" t="s">
        <v>10</v>
      </c>
      <c r="E21287" s="2" t="str">
        <f>HYPERLINK("http://ts.21cn.com/tousu/show/id/1353391","http://ts.21cn.com/tousu/show/id/1353391")</f>
        <v>http://ts.21cn.com/tousu/show/id/1353391</v>
      </c>
      <c r="F21287" s="2" t="s">
        <v>11</v>
      </c>
      <c r="G21287" s="2" t="s">
        <v>2294</v>
      </c>
      <c r="H21287" s="2" t="s">
        <v>2295</v>
      </c>
    </row>
    <row r="21288" spans="1:8" ht="25.05" customHeight="1" x14ac:dyDescent="0.25">
      <c r="A21288" s="2" t="s">
        <v>8</v>
      </c>
      <c r="B21288" s="2" t="str">
        <f>HYPERLINK("http://ts.21cn.com/tousu/show/id/1353393","拍拍贷暴力催收威胁给联系人打电话")</f>
        <v>拍拍贷暴力催收威胁给联系人打电话</v>
      </c>
      <c r="C21288" s="2" t="s">
        <v>9</v>
      </c>
      <c r="D21288" s="2" t="s">
        <v>10</v>
      </c>
      <c r="E21288" s="2" t="str">
        <f>HYPERLINK("http://ts.21cn.com/tousu/show/id/1353393","http://ts.21cn.com/tousu/show/id/1353393")</f>
        <v>http://ts.21cn.com/tousu/show/id/1353393</v>
      </c>
      <c r="F21288" s="2" t="s">
        <v>11</v>
      </c>
      <c r="G21288" s="2" t="s">
        <v>2292</v>
      </c>
      <c r="H21288" s="2" t="s">
        <v>2293</v>
      </c>
    </row>
    <row r="21289" spans="1:8" ht="25.05" customHeight="1" x14ac:dyDescent="0.25">
      <c r="A21289" s="2" t="s">
        <v>8</v>
      </c>
      <c r="B21289" s="2" t="str">
        <f>HYPERLINK("http://ts.21cn.com/tousu/show/id/1353394","借贷宝收取高额逾期管理费")</f>
        <v>借贷宝收取高额逾期管理费</v>
      </c>
      <c r="C21289" s="2" t="s">
        <v>9</v>
      </c>
      <c r="D21289" s="2" t="s">
        <v>10</v>
      </c>
      <c r="E21289" s="2" t="str">
        <f>HYPERLINK("http://ts.21cn.com/tousu/show/id/1353394","http://ts.21cn.com/tousu/show/id/1353394")</f>
        <v>http://ts.21cn.com/tousu/show/id/1353394</v>
      </c>
      <c r="F21289" s="2" t="s">
        <v>11</v>
      </c>
      <c r="G21289" s="2" t="s">
        <v>2290</v>
      </c>
      <c r="H21289" s="2" t="s">
        <v>2291</v>
      </c>
    </row>
    <row r="21290" spans="1:8" ht="25.05" customHeight="1" x14ac:dyDescent="0.25">
      <c r="A21290" s="2" t="s">
        <v>8</v>
      </c>
      <c r="B21290" s="2" t="str">
        <f>HYPERLINK("http://ts.21cn.com/tousu/show/id/1353395","云大医院专家号变普通号")</f>
        <v>云大医院专家号变普通号</v>
      </c>
      <c r="C21290" s="2" t="s">
        <v>34</v>
      </c>
      <c r="D21290" s="2" t="s">
        <v>10</v>
      </c>
      <c r="E21290" s="2" t="str">
        <f>HYPERLINK("http://ts.21cn.com/tousu/show/id/1353395","http://ts.21cn.com/tousu/show/id/1353395")</f>
        <v>http://ts.21cn.com/tousu/show/id/1353395</v>
      </c>
      <c r="F21290" s="2" t="s">
        <v>11</v>
      </c>
      <c r="G21290" s="2" t="s">
        <v>2288</v>
      </c>
      <c r="H21290" s="2" t="s">
        <v>2289</v>
      </c>
    </row>
    <row r="21291" spans="1:8" ht="25.05" customHeight="1" x14ac:dyDescent="0.25">
      <c r="A21291" s="2" t="s">
        <v>8</v>
      </c>
      <c r="B21291" s="2" t="str">
        <f>HYPERLINK("http://ts.21cn.com/tousu/show/id/1353401","微粒贷")</f>
        <v>微粒贷</v>
      </c>
      <c r="C21291" s="2" t="s">
        <v>9</v>
      </c>
      <c r="D21291" s="2" t="s">
        <v>10</v>
      </c>
      <c r="E21291" s="2" t="str">
        <f>HYPERLINK("http://ts.21cn.com/tousu/show/id/1353401","http://ts.21cn.com/tousu/show/id/1353401")</f>
        <v>http://ts.21cn.com/tousu/show/id/1353401</v>
      </c>
      <c r="F21291" s="2" t="s">
        <v>11</v>
      </c>
      <c r="G21291" s="2" t="s">
        <v>2285</v>
      </c>
      <c r="H21291" s="2" t="s">
        <v>2286</v>
      </c>
    </row>
    <row r="21292" spans="1:8" ht="25.05" customHeight="1" x14ac:dyDescent="0.25">
      <c r="A21292" s="2" t="s">
        <v>8</v>
      </c>
      <c r="B21292" s="2" t="str">
        <f>HYPERLINK("http://ts.21cn.com/tousu/show/id/1353397","收取高额砍头息，违规收取高额逾期费用")</f>
        <v>收取高额砍头息，违规收取高额逾期费用</v>
      </c>
      <c r="C21292" s="2" t="s">
        <v>9</v>
      </c>
      <c r="D21292" s="2" t="s">
        <v>10</v>
      </c>
      <c r="E21292" s="2" t="str">
        <f>HYPERLINK("http://ts.21cn.com/tousu/show/id/1353397","http://ts.21cn.com/tousu/show/id/1353397")</f>
        <v>http://ts.21cn.com/tousu/show/id/1353397</v>
      </c>
      <c r="F21292" s="2" t="s">
        <v>11</v>
      </c>
      <c r="G21292" s="2" t="s">
        <v>2285</v>
      </c>
      <c r="H21292" s="2" t="s">
        <v>2287</v>
      </c>
    </row>
    <row r="21293" spans="1:8" ht="25.05" customHeight="1" x14ac:dyDescent="0.25">
      <c r="A21293" s="2" t="s">
        <v>8</v>
      </c>
      <c r="B21293" s="2" t="str">
        <f>HYPERLINK("http://ts.21cn.com/tousu/show/id/1353398","闪银砍头息")</f>
        <v>闪银砍头息</v>
      </c>
      <c r="C21293" s="2" t="s">
        <v>9</v>
      </c>
      <c r="D21293" s="2" t="s">
        <v>10</v>
      </c>
      <c r="E21293" s="2" t="str">
        <f>HYPERLINK("http://ts.21cn.com/tousu/show/id/1353398","http://ts.21cn.com/tousu/show/id/1353398")</f>
        <v>http://ts.21cn.com/tousu/show/id/1353398</v>
      </c>
      <c r="F21293" s="2" t="s">
        <v>11</v>
      </c>
      <c r="G21293" s="2" t="s">
        <v>2283</v>
      </c>
      <c r="H21293" s="2" t="s">
        <v>2284</v>
      </c>
    </row>
    <row r="21294" spans="1:8" ht="25.05" customHeight="1" x14ac:dyDescent="0.25">
      <c r="A21294" s="2" t="s">
        <v>8</v>
      </c>
      <c r="B21294" s="2" t="str">
        <f>HYPERLINK("http://ts.21cn.com/tousu/show/id/1353399","支付宝限制余额交易")</f>
        <v>支付宝限制余额交易</v>
      </c>
      <c r="C21294" s="2" t="s">
        <v>9</v>
      </c>
      <c r="D21294" s="2" t="s">
        <v>10</v>
      </c>
      <c r="E21294" s="2" t="str">
        <f>HYPERLINK("http://ts.21cn.com/tousu/show/id/1353399","http://ts.21cn.com/tousu/show/id/1353399")</f>
        <v>http://ts.21cn.com/tousu/show/id/1353399</v>
      </c>
      <c r="F21294" s="2" t="s">
        <v>11</v>
      </c>
      <c r="G21294" s="2" t="s">
        <v>2281</v>
      </c>
      <c r="H21294" s="2" t="s">
        <v>2282</v>
      </c>
    </row>
    <row r="21295" spans="1:8" ht="25.05" customHeight="1" x14ac:dyDescent="0.25">
      <c r="A21295" s="2" t="s">
        <v>8</v>
      </c>
      <c r="B21295" s="2" t="str">
        <f>HYPERLINK("http://ts.21cn.com/tousu/show/id/1353400","钱站高利贷阴阳合同")</f>
        <v>钱站高利贷阴阳合同</v>
      </c>
      <c r="C21295" s="2" t="s">
        <v>9</v>
      </c>
      <c r="D21295" s="2" t="s">
        <v>10</v>
      </c>
      <c r="E21295" s="2" t="str">
        <f>HYPERLINK("http://ts.21cn.com/tousu/show/id/1353400","http://ts.21cn.com/tousu/show/id/1353400")</f>
        <v>http://ts.21cn.com/tousu/show/id/1353400</v>
      </c>
      <c r="F21295" s="2" t="s">
        <v>11</v>
      </c>
      <c r="G21295" s="2" t="s">
        <v>2279</v>
      </c>
      <c r="H21295" s="2" t="s">
        <v>2280</v>
      </c>
    </row>
    <row r="21296" spans="1:8" ht="25.05" customHeight="1" x14ac:dyDescent="0.25">
      <c r="A21296" s="2" t="s">
        <v>8</v>
      </c>
      <c r="B21296" s="2" t="str">
        <f>HYPERLINK("http://ts.21cn.com/tousu/show/id/1353402","闪电借款马上到期，协商延期还款")</f>
        <v>闪电借款马上到期，协商延期还款</v>
      </c>
      <c r="C21296" s="2" t="s">
        <v>34</v>
      </c>
      <c r="D21296" s="2" t="s">
        <v>10</v>
      </c>
      <c r="E21296" s="2" t="str">
        <f>HYPERLINK("http://ts.21cn.com/tousu/show/id/1353402","http://ts.21cn.com/tousu/show/id/1353402")</f>
        <v>http://ts.21cn.com/tousu/show/id/1353402</v>
      </c>
      <c r="F21296" s="2" t="s">
        <v>11</v>
      </c>
      <c r="G21296" s="2" t="s">
        <v>2277</v>
      </c>
      <c r="H21296" s="2" t="s">
        <v>2278</v>
      </c>
    </row>
    <row r="21297" spans="1:8" ht="25.05" customHeight="1" x14ac:dyDescent="0.25">
      <c r="A21297" s="2" t="s">
        <v>8</v>
      </c>
      <c r="B21297" s="2" t="str">
        <f>HYPERLINK("http://ts.21cn.com/tousu/show/id/1353325","暴力催收造成家人精神失常")</f>
        <v>暴力催收造成家人精神失常</v>
      </c>
      <c r="C21297" s="2" t="s">
        <v>9</v>
      </c>
      <c r="D21297" s="2" t="s">
        <v>10</v>
      </c>
      <c r="E21297" s="2" t="str">
        <f>HYPERLINK("http://ts.21cn.com/tousu/show/id/1353325","http://ts.21cn.com/tousu/show/id/1353325")</f>
        <v>http://ts.21cn.com/tousu/show/id/1353325</v>
      </c>
      <c r="F21297" s="2" t="s">
        <v>11</v>
      </c>
      <c r="G21297" s="2" t="s">
        <v>2275</v>
      </c>
      <c r="H21297" s="2" t="s">
        <v>2276</v>
      </c>
    </row>
    <row r="21298" spans="1:8" ht="25.05" customHeight="1" x14ac:dyDescent="0.25">
      <c r="A21298" s="2" t="s">
        <v>8</v>
      </c>
      <c r="B21298" s="2" t="str">
        <f>HYPERLINK("http://ts.21cn.com/tousu/show/id/1353403","拍拍贷套路贷暴力催收违法伪造")</f>
        <v>拍拍贷套路贷暴力催收违法伪造</v>
      </c>
      <c r="C21298" s="2" t="s">
        <v>9</v>
      </c>
      <c r="D21298" s="2" t="s">
        <v>10</v>
      </c>
      <c r="E21298" s="2" t="str">
        <f>HYPERLINK("http://ts.21cn.com/tousu/show/id/1353403","http://ts.21cn.com/tousu/show/id/1353403")</f>
        <v>http://ts.21cn.com/tousu/show/id/1353403</v>
      </c>
      <c r="F21298" s="2" t="s">
        <v>11</v>
      </c>
      <c r="G21298" s="2" t="s">
        <v>2273</v>
      </c>
      <c r="H21298" s="2" t="s">
        <v>2274</v>
      </c>
    </row>
    <row r="21299" spans="1:8" ht="25.05" customHeight="1" x14ac:dyDescent="0.25">
      <c r="A21299" s="2" t="s">
        <v>8</v>
      </c>
      <c r="B21299" s="2" t="str">
        <f>HYPERLINK("http://ts.21cn.com/tousu/show/id/1353404","汇通租赁有限公司上门催收威胁")</f>
        <v>汇通租赁有限公司上门催收威胁</v>
      </c>
      <c r="C21299" s="2" t="s">
        <v>9</v>
      </c>
      <c r="D21299" s="2" t="s">
        <v>10</v>
      </c>
      <c r="E21299" s="2" t="str">
        <f>HYPERLINK("http://ts.21cn.com/tousu/show/id/1353404","http://ts.21cn.com/tousu/show/id/1353404")</f>
        <v>http://ts.21cn.com/tousu/show/id/1353404</v>
      </c>
      <c r="F21299" s="2" t="s">
        <v>11</v>
      </c>
      <c r="G21299" s="2" t="s">
        <v>2271</v>
      </c>
      <c r="H21299" s="2" t="s">
        <v>2272</v>
      </c>
    </row>
    <row r="21300" spans="1:8" ht="25.05" customHeight="1" x14ac:dyDescent="0.25">
      <c r="A21300" s="2" t="s">
        <v>8</v>
      </c>
      <c r="B21300" s="2" t="str">
        <f>HYPERLINK("http://ts.21cn.com/tousu/show/id/1353405","拼多多专员不作为")</f>
        <v>拼多多专员不作为</v>
      </c>
      <c r="C21300" s="2" t="s">
        <v>9</v>
      </c>
      <c r="D21300" s="2" t="s">
        <v>10</v>
      </c>
      <c r="E21300" s="2" t="str">
        <f>HYPERLINK("http://ts.21cn.com/tousu/show/id/1353405","http://ts.21cn.com/tousu/show/id/1353405")</f>
        <v>http://ts.21cn.com/tousu/show/id/1353405</v>
      </c>
      <c r="F21300" s="2" t="s">
        <v>11</v>
      </c>
      <c r="G21300" s="2" t="s">
        <v>2269</v>
      </c>
      <c r="H21300" s="2" t="s">
        <v>2270</v>
      </c>
    </row>
    <row r="21301" spans="1:8" ht="25.05" customHeight="1" x14ac:dyDescent="0.25">
      <c r="A21301" s="2" t="s">
        <v>8</v>
      </c>
      <c r="B21301" s="2" t="str">
        <f>HYPERLINK("http://ts.21cn.com/tousu/show/id/1353406","微粒贷-微众银行非法处理")</f>
        <v>微粒贷-微众银行非法处理</v>
      </c>
      <c r="C21301" s="2" t="s">
        <v>9</v>
      </c>
      <c r="D21301" s="2" t="s">
        <v>10</v>
      </c>
      <c r="E21301" s="2" t="str">
        <f>HYPERLINK("http://ts.21cn.com/tousu/show/id/1353406","http://ts.21cn.com/tousu/show/id/1353406")</f>
        <v>http://ts.21cn.com/tousu/show/id/1353406</v>
      </c>
      <c r="F21301" s="2" t="s">
        <v>11</v>
      </c>
      <c r="G21301" s="2" t="s">
        <v>2267</v>
      </c>
      <c r="H21301" s="2" t="s">
        <v>2268</v>
      </c>
    </row>
    <row r="21302" spans="1:8" ht="25.05" customHeight="1" x14ac:dyDescent="0.25">
      <c r="A21302" s="2" t="s">
        <v>8</v>
      </c>
      <c r="B21302" s="2" t="str">
        <f>HYPERLINK("http://ts.21cn.com/tousu/show/id/1353407","点融魔借恶意催收")</f>
        <v>点融魔借恶意催收</v>
      </c>
      <c r="C21302" s="2" t="s">
        <v>9</v>
      </c>
      <c r="D21302" s="2" t="s">
        <v>10</v>
      </c>
      <c r="E21302" s="2" t="str">
        <f>HYPERLINK("http://ts.21cn.com/tousu/show/id/1353407","http://ts.21cn.com/tousu/show/id/1353407")</f>
        <v>http://ts.21cn.com/tousu/show/id/1353407</v>
      </c>
      <c r="F21302" s="2" t="s">
        <v>11</v>
      </c>
      <c r="G21302" s="2" t="s">
        <v>2265</v>
      </c>
      <c r="H21302" s="2" t="s">
        <v>2266</v>
      </c>
    </row>
    <row r="21303" spans="1:8" ht="25.05" customHeight="1" x14ac:dyDescent="0.25">
      <c r="A21303" s="2" t="s">
        <v>8</v>
      </c>
      <c r="B21303" s="2" t="str">
        <f>HYPERLINK("http://ts.21cn.com/tousu/show/id/1353408","打电话过来说是信用卡中心，说要派同事去我的单位找我，而且每天都会打电话到我的单位电话骚扰我。还说要寄律师函到单位给我")</f>
        <v>打电话过来说是信用卡中心，说要派同事去我的单位找我，而且每天都会打电话到我的单位电话骚扰我。还说要寄律师函到单位给我</v>
      </c>
      <c r="C21303" s="2" t="s">
        <v>9</v>
      </c>
      <c r="D21303" s="2" t="s">
        <v>10</v>
      </c>
      <c r="E21303" s="2" t="str">
        <f>HYPERLINK("http://ts.21cn.com/tousu/show/id/1353408","http://ts.21cn.com/tousu/show/id/1353408")</f>
        <v>http://ts.21cn.com/tousu/show/id/1353408</v>
      </c>
      <c r="F21303" s="2" t="s">
        <v>11</v>
      </c>
      <c r="G21303" s="2" t="s">
        <v>2263</v>
      </c>
      <c r="H21303" s="2" t="s">
        <v>2264</v>
      </c>
    </row>
    <row r="21304" spans="1:8" ht="25.05" customHeight="1" x14ac:dyDescent="0.25">
      <c r="A21304" s="2" t="s">
        <v>8</v>
      </c>
      <c r="B21304" s="2" t="str">
        <f>HYPERLINK("http://ts.21cn.com/tousu/show/id/1353409","恒诚科技发展（北京）有限公司旗下宜人贷合同金额远高于实际借款金额，合同有砍头息，手续费")</f>
        <v>恒诚科技发展（北京）有限公司旗下宜人贷合同金额远高于实际借款金额，合同有砍头息，手续费</v>
      </c>
      <c r="C21304" s="2" t="s">
        <v>9</v>
      </c>
      <c r="D21304" s="2" t="s">
        <v>10</v>
      </c>
      <c r="E21304" s="2" t="str">
        <f>HYPERLINK("http://ts.21cn.com/tousu/show/id/1353409","http://ts.21cn.com/tousu/show/id/1353409")</f>
        <v>http://ts.21cn.com/tousu/show/id/1353409</v>
      </c>
      <c r="F21304" s="2" t="s">
        <v>11</v>
      </c>
      <c r="G21304" s="2" t="s">
        <v>2261</v>
      </c>
      <c r="H21304" s="2" t="s">
        <v>2262</v>
      </c>
    </row>
    <row r="21305" spans="1:8" ht="25.05" customHeight="1" x14ac:dyDescent="0.25">
      <c r="A21305" s="2" t="s">
        <v>8</v>
      </c>
      <c r="B21305" s="2" t="str">
        <f>HYPERLINK("http://ts.21cn.com/tousu/show/id/1353410","易宝支付和擦肩app扣走我卡内余额2800")</f>
        <v>易宝支付和擦肩app扣走我卡内余额2800</v>
      </c>
      <c r="C21305" s="2" t="s">
        <v>9</v>
      </c>
      <c r="D21305" s="2" t="s">
        <v>10</v>
      </c>
      <c r="E21305" s="2" t="str">
        <f>HYPERLINK("http://ts.21cn.com/tousu/show/id/1353410","http://ts.21cn.com/tousu/show/id/1353410")</f>
        <v>http://ts.21cn.com/tousu/show/id/1353410</v>
      </c>
      <c r="F21305" s="2" t="s">
        <v>11</v>
      </c>
      <c r="G21305" s="2" t="s">
        <v>2259</v>
      </c>
      <c r="H21305" s="2" t="s">
        <v>2260</v>
      </c>
    </row>
    <row r="21306" spans="1:8" ht="25.05" customHeight="1" x14ac:dyDescent="0.25">
      <c r="A21306" s="2" t="s">
        <v>8</v>
      </c>
      <c r="B21306" s="2" t="str">
        <f>HYPERLINK("http://ts.21cn.com/tousu/show/id/1353412","拍拍贷，爆通讯录，威胁我的家人朋友")</f>
        <v>拍拍贷，爆通讯录，威胁我的家人朋友</v>
      </c>
      <c r="C21306" s="2" t="s">
        <v>9</v>
      </c>
      <c r="D21306" s="2" t="s">
        <v>10</v>
      </c>
      <c r="E21306" s="2" t="str">
        <f>HYPERLINK("http://ts.21cn.com/tousu/show/id/1353412","http://ts.21cn.com/tousu/show/id/1353412")</f>
        <v>http://ts.21cn.com/tousu/show/id/1353412</v>
      </c>
      <c r="F21306" s="2" t="s">
        <v>11</v>
      </c>
      <c r="G21306" s="2" t="s">
        <v>2257</v>
      </c>
      <c r="H21306" s="2" t="s">
        <v>2258</v>
      </c>
    </row>
    <row r="21307" spans="1:8" ht="25.05" customHeight="1" x14ac:dyDescent="0.25">
      <c r="A21307" s="2" t="s">
        <v>8</v>
      </c>
      <c r="B21307" s="2" t="str">
        <f>HYPERLINK("http://ts.21cn.com/tousu/show/id/1353415","在唯品会买东西后商品降价")</f>
        <v>在唯品会买东西后商品降价</v>
      </c>
      <c r="C21307" s="2" t="s">
        <v>9</v>
      </c>
      <c r="D21307" s="2" t="s">
        <v>10</v>
      </c>
      <c r="E21307" s="2" t="str">
        <f>HYPERLINK("http://ts.21cn.com/tousu/show/id/1353415","http://ts.21cn.com/tousu/show/id/1353415")</f>
        <v>http://ts.21cn.com/tousu/show/id/1353415</v>
      </c>
      <c r="F21307" s="2" t="s">
        <v>11</v>
      </c>
      <c r="G21307" s="2" t="s">
        <v>2255</v>
      </c>
      <c r="H21307" s="2" t="s">
        <v>2256</v>
      </c>
    </row>
    <row r="21308" spans="1:8" ht="25.05" customHeight="1" x14ac:dyDescent="0.25">
      <c r="A21308" s="2" t="s">
        <v>8</v>
      </c>
      <c r="B21308" s="2" t="str">
        <f>HYPERLINK("http://ts.21cn.com/tousu/show/id/1353413","急用钱包扣款")</f>
        <v>急用钱包扣款</v>
      </c>
      <c r="C21308" s="2" t="s">
        <v>34</v>
      </c>
      <c r="D21308" s="2" t="s">
        <v>10</v>
      </c>
      <c r="E21308" s="2" t="str">
        <f>HYPERLINK("http://ts.21cn.com/tousu/show/id/1353413","http://ts.21cn.com/tousu/show/id/1353413")</f>
        <v>http://ts.21cn.com/tousu/show/id/1353413</v>
      </c>
      <c r="F21308" s="2" t="s">
        <v>11</v>
      </c>
      <c r="G21308" s="2" t="s">
        <v>2253</v>
      </c>
      <c r="H21308" s="2" t="s">
        <v>2254</v>
      </c>
    </row>
    <row r="21309" spans="1:8" ht="25.05" customHeight="1" x14ac:dyDescent="0.25">
      <c r="A21309" s="2" t="s">
        <v>8</v>
      </c>
      <c r="B21309" s="2" t="str">
        <f>HYPERLINK("http://ts.21cn.com/tousu/show/id/1353414","商户违规冻结资金")</f>
        <v>商户违规冻结资金</v>
      </c>
      <c r="C21309" s="2" t="s">
        <v>9</v>
      </c>
      <c r="D21309" s="2" t="s">
        <v>10</v>
      </c>
      <c r="E21309" s="2" t="str">
        <f>HYPERLINK("http://ts.21cn.com/tousu/show/id/1353414","http://ts.21cn.com/tousu/show/id/1353414")</f>
        <v>http://ts.21cn.com/tousu/show/id/1353414</v>
      </c>
      <c r="F21309" s="2" t="s">
        <v>11</v>
      </c>
      <c r="G21309" s="2" t="s">
        <v>2251</v>
      </c>
      <c r="H21309" s="2" t="s">
        <v>2252</v>
      </c>
    </row>
    <row r="21310" spans="1:8" ht="25.05" customHeight="1" x14ac:dyDescent="0.25">
      <c r="A21310" s="2" t="s">
        <v>8</v>
      </c>
      <c r="B21310" s="2" t="str">
        <f>HYPERLINK("http://ts.21cn.com/tousu/show/id/1353416","公道")</f>
        <v>公道</v>
      </c>
      <c r="C21310" s="2" t="s">
        <v>9</v>
      </c>
      <c r="D21310" s="2" t="s">
        <v>10</v>
      </c>
      <c r="E21310" s="2" t="str">
        <f>HYPERLINK("http://ts.21cn.com/tousu/show/id/1353416","http://ts.21cn.com/tousu/show/id/1353416")</f>
        <v>http://ts.21cn.com/tousu/show/id/1353416</v>
      </c>
      <c r="F21310" s="2" t="s">
        <v>11</v>
      </c>
      <c r="G21310" s="2" t="s">
        <v>2249</v>
      </c>
      <c r="H21310" s="2" t="s">
        <v>2250</v>
      </c>
    </row>
    <row r="21311" spans="1:8" ht="25.05" customHeight="1" x14ac:dyDescent="0.25">
      <c r="A21311" s="2" t="s">
        <v>8</v>
      </c>
      <c r="B21311" s="2" t="str">
        <f>HYPERLINK("http://ts.21cn.com/tousu/show/id/1353417","恶意乱扣费")</f>
        <v>恶意乱扣费</v>
      </c>
      <c r="C21311" s="2" t="s">
        <v>9</v>
      </c>
      <c r="D21311" s="2" t="s">
        <v>10</v>
      </c>
      <c r="E21311" s="2" t="str">
        <f>HYPERLINK("http://ts.21cn.com/tousu/show/id/1353417","http://ts.21cn.com/tousu/show/id/1353417")</f>
        <v>http://ts.21cn.com/tousu/show/id/1353417</v>
      </c>
      <c r="F21311" s="2" t="s">
        <v>11</v>
      </c>
      <c r="G21311" s="2" t="s">
        <v>2247</v>
      </c>
      <c r="H21311" s="2" t="s">
        <v>2248</v>
      </c>
    </row>
    <row r="21312" spans="1:8" ht="25.05" customHeight="1" x14ac:dyDescent="0.25">
      <c r="A21312" s="2" t="s">
        <v>8</v>
      </c>
      <c r="B21312" s="2" t="str">
        <f>HYPERLINK("http://ts.21cn.com/tousu/show/id/1353418","商家虚假宣传，京东欺负消费者同意")</f>
        <v>商家虚假宣传，京东欺负消费者同意</v>
      </c>
      <c r="C21312" s="2" t="s">
        <v>9</v>
      </c>
      <c r="D21312" s="2" t="s">
        <v>10</v>
      </c>
      <c r="E21312" s="2" t="str">
        <f>HYPERLINK("http://ts.21cn.com/tousu/show/id/1353418","http://ts.21cn.com/tousu/show/id/1353418")</f>
        <v>http://ts.21cn.com/tousu/show/id/1353418</v>
      </c>
      <c r="F21312" s="2" t="s">
        <v>11</v>
      </c>
      <c r="G21312" s="2" t="s">
        <v>2245</v>
      </c>
      <c r="H21312" s="2" t="s">
        <v>2246</v>
      </c>
    </row>
    <row r="21313" spans="1:8" ht="25.05" customHeight="1" x14ac:dyDescent="0.25">
      <c r="A21313" s="2" t="s">
        <v>8</v>
      </c>
      <c r="B21313" s="2" t="str">
        <f>HYPERLINK("http://ts.21cn.com/tousu/show/id/1353419","大众点评预定酒店没有入住不退款")</f>
        <v>大众点评预定酒店没有入住不退款</v>
      </c>
      <c r="C21313" s="2" t="s">
        <v>9</v>
      </c>
      <c r="D21313" s="2" t="s">
        <v>10</v>
      </c>
      <c r="E21313" s="2" t="str">
        <f>HYPERLINK("http://ts.21cn.com/tousu/show/id/1353419","http://ts.21cn.com/tousu/show/id/1353419")</f>
        <v>http://ts.21cn.com/tousu/show/id/1353419</v>
      </c>
      <c r="F21313" s="2" t="s">
        <v>11</v>
      </c>
      <c r="G21313" s="2" t="s">
        <v>2243</v>
      </c>
      <c r="H21313" s="2" t="s">
        <v>2244</v>
      </c>
    </row>
    <row r="21314" spans="1:8" ht="25.05" customHeight="1" x14ac:dyDescent="0.25">
      <c r="A21314" s="2" t="s">
        <v>8</v>
      </c>
      <c r="B21314" s="2" t="str">
        <f>HYPERLINK("http://ts.21cn.com/tousu/show/id/1353421","重庆翊笙网络科技有限公司违规给博彩平台提供支付通道")</f>
        <v>重庆翊笙网络科技有限公司违规给博彩平台提供支付通道</v>
      </c>
      <c r="C21314" s="2" t="s">
        <v>9</v>
      </c>
      <c r="D21314" s="2" t="s">
        <v>10</v>
      </c>
      <c r="E21314" s="2" t="str">
        <f>HYPERLINK("http://ts.21cn.com/tousu/show/id/1353421","http://ts.21cn.com/tousu/show/id/1353421")</f>
        <v>http://ts.21cn.com/tousu/show/id/1353421</v>
      </c>
      <c r="F21314" s="2" t="s">
        <v>11</v>
      </c>
      <c r="G21314" s="2" t="s">
        <v>2241</v>
      </c>
      <c r="H21314" s="2" t="s">
        <v>2242</v>
      </c>
    </row>
    <row r="21315" spans="1:8" ht="25.05" customHeight="1" x14ac:dyDescent="0.25">
      <c r="A21315" s="2" t="s">
        <v>8</v>
      </c>
      <c r="B21315" s="2" t="str">
        <f>HYPERLINK("http://ts.21cn.com/tousu/show/id/1353422","恶意扣款")</f>
        <v>恶意扣款</v>
      </c>
      <c r="C21315" s="2" t="s">
        <v>9</v>
      </c>
      <c r="D21315" s="2" t="s">
        <v>10</v>
      </c>
      <c r="E21315" s="2" t="str">
        <f>HYPERLINK("http://ts.21cn.com/tousu/show/id/1353422","http://ts.21cn.com/tousu/show/id/1353422")</f>
        <v>http://ts.21cn.com/tousu/show/id/1353422</v>
      </c>
      <c r="F21315" s="2" t="s">
        <v>11</v>
      </c>
      <c r="G21315" s="2" t="s">
        <v>2239</v>
      </c>
      <c r="H21315" s="2" t="s">
        <v>2240</v>
      </c>
    </row>
    <row r="21316" spans="1:8" ht="25.05" customHeight="1" x14ac:dyDescent="0.25">
      <c r="A21316" s="2" t="s">
        <v>8</v>
      </c>
      <c r="B21316" s="2" t="str">
        <f>HYPERLINK("http://ts.21cn.com/tousu/show/id/1353423","投诉支付宝")</f>
        <v>投诉支付宝</v>
      </c>
      <c r="C21316" s="2" t="s">
        <v>9</v>
      </c>
      <c r="D21316" s="2" t="s">
        <v>10</v>
      </c>
      <c r="E21316" s="2" t="str">
        <f>HYPERLINK("http://ts.21cn.com/tousu/show/id/1353423","http://ts.21cn.com/tousu/show/id/1353423")</f>
        <v>http://ts.21cn.com/tousu/show/id/1353423</v>
      </c>
      <c r="F21316" s="2" t="s">
        <v>11</v>
      </c>
      <c r="G21316" s="2" t="s">
        <v>2237</v>
      </c>
      <c r="H21316" s="2" t="s">
        <v>2238</v>
      </c>
    </row>
    <row r="21317" spans="1:8" ht="25.05" customHeight="1" x14ac:dyDescent="0.25">
      <c r="A21317" s="2" t="s">
        <v>8</v>
      </c>
      <c r="B21317" s="2" t="str">
        <f>HYPERLINK("http://ts.21cn.com/tousu/show/id/1353424","恶意扣款")</f>
        <v>恶意扣款</v>
      </c>
      <c r="C21317" s="2" t="s">
        <v>9</v>
      </c>
      <c r="D21317" s="2" t="s">
        <v>10</v>
      </c>
      <c r="E21317" s="2" t="str">
        <f>HYPERLINK("http://ts.21cn.com/tousu/show/id/1353424","http://ts.21cn.com/tousu/show/id/1353424")</f>
        <v>http://ts.21cn.com/tousu/show/id/1353424</v>
      </c>
      <c r="F21317" s="2" t="s">
        <v>11</v>
      </c>
      <c r="G21317" s="2" t="s">
        <v>2235</v>
      </c>
      <c r="H21317" s="2" t="s">
        <v>2236</v>
      </c>
    </row>
    <row r="21318" spans="1:8" ht="25.05" customHeight="1" x14ac:dyDescent="0.25">
      <c r="A21318" s="2" t="s">
        <v>8</v>
      </c>
      <c r="B21318" s="2" t="str">
        <f>HYPERLINK("http://ts.21cn.com/tousu/show/id/1353428","恐吓")</f>
        <v>恐吓</v>
      </c>
      <c r="C21318" s="2" t="s">
        <v>9</v>
      </c>
      <c r="D21318" s="2" t="s">
        <v>10</v>
      </c>
      <c r="E21318" s="2" t="str">
        <f>HYPERLINK("http://ts.21cn.com/tousu/show/id/1353428","http://ts.21cn.com/tousu/show/id/1353428")</f>
        <v>http://ts.21cn.com/tousu/show/id/1353428</v>
      </c>
      <c r="F21318" s="2" t="s">
        <v>11</v>
      </c>
      <c r="G21318" s="2" t="s">
        <v>2233</v>
      </c>
      <c r="H21318" s="2" t="s">
        <v>2234</v>
      </c>
    </row>
    <row r="21319" spans="1:8" ht="25.05" customHeight="1" x14ac:dyDescent="0.25">
      <c r="A21319" s="2" t="s">
        <v>8</v>
      </c>
      <c r="B21319" s="2" t="str">
        <f>HYPERLINK("http://ts.21cn.com/tousu/show/id/1353429","合利宝私自扣款")</f>
        <v>合利宝私自扣款</v>
      </c>
      <c r="C21319" s="2" t="s">
        <v>9</v>
      </c>
      <c r="D21319" s="2" t="s">
        <v>10</v>
      </c>
      <c r="E21319" s="2" t="str">
        <f>HYPERLINK("http://ts.21cn.com/tousu/show/id/1353429","http://ts.21cn.com/tousu/show/id/1353429")</f>
        <v>http://ts.21cn.com/tousu/show/id/1353429</v>
      </c>
      <c r="F21319" s="2" t="s">
        <v>11</v>
      </c>
      <c r="G21319" s="2" t="s">
        <v>2231</v>
      </c>
      <c r="H21319" s="2" t="s">
        <v>2232</v>
      </c>
    </row>
    <row r="21320" spans="1:8" ht="25.05" customHeight="1" x14ac:dyDescent="0.25">
      <c r="A21320" s="2" t="s">
        <v>8</v>
      </c>
      <c r="B21320" s="2" t="str">
        <f>HYPERLINK("http://ts.21cn.com/tousu/show/id/1353430","how好好提现不到账")</f>
        <v>how好好提现不到账</v>
      </c>
      <c r="C21320" s="2" t="s">
        <v>9</v>
      </c>
      <c r="D21320" s="2" t="s">
        <v>10</v>
      </c>
      <c r="E21320" s="2" t="str">
        <f>HYPERLINK("http://ts.21cn.com/tousu/show/id/1353430","http://ts.21cn.com/tousu/show/id/1353430")</f>
        <v>http://ts.21cn.com/tousu/show/id/1353430</v>
      </c>
      <c r="F21320" s="2" t="s">
        <v>11</v>
      </c>
      <c r="G21320" s="2" t="s">
        <v>2229</v>
      </c>
      <c r="H21320" s="2" t="s">
        <v>2230</v>
      </c>
    </row>
    <row r="21321" spans="1:8" ht="25.05" customHeight="1" x14ac:dyDescent="0.25">
      <c r="A21321" s="2" t="s">
        <v>8</v>
      </c>
      <c r="B21321" s="2" t="str">
        <f>HYPERLINK("http://ts.21cn.com/tousu/show/id/1353435","趣花手机贷退还不合法高利息、砍头息")</f>
        <v>趣花手机贷退还不合法高利息、砍头息</v>
      </c>
      <c r="C21321" s="2" t="s">
        <v>9</v>
      </c>
      <c r="D21321" s="2" t="s">
        <v>10</v>
      </c>
      <c r="E21321" s="2" t="str">
        <f>HYPERLINK("http://ts.21cn.com/tousu/show/id/1353435","http://ts.21cn.com/tousu/show/id/1353435")</f>
        <v>http://ts.21cn.com/tousu/show/id/1353435</v>
      </c>
      <c r="F21321" s="2" t="s">
        <v>11</v>
      </c>
      <c r="G21321" s="2" t="s">
        <v>2227</v>
      </c>
      <c r="H21321" s="2" t="s">
        <v>2228</v>
      </c>
    </row>
    <row r="21322" spans="1:8" ht="25.05" customHeight="1" x14ac:dyDescent="0.25">
      <c r="A21322" s="2" t="s">
        <v>8</v>
      </c>
      <c r="B21322" s="2" t="str">
        <f>HYPERLINK("http://ts.21cn.com/tousu/show/id/1353431","群发短信给通讯录")</f>
        <v>群发短信给通讯录</v>
      </c>
      <c r="C21322" s="2" t="s">
        <v>9</v>
      </c>
      <c r="D21322" s="2" t="s">
        <v>10</v>
      </c>
      <c r="E21322" s="2" t="str">
        <f>HYPERLINK("http://ts.21cn.com/tousu/show/id/1353431","http://ts.21cn.com/tousu/show/id/1353431")</f>
        <v>http://ts.21cn.com/tousu/show/id/1353431</v>
      </c>
      <c r="F21322" s="2" t="s">
        <v>11</v>
      </c>
      <c r="G21322" s="2" t="s">
        <v>2224</v>
      </c>
      <c r="H21322" s="2" t="s">
        <v>2225</v>
      </c>
    </row>
    <row r="21323" spans="1:8" ht="25.05" customHeight="1" x14ac:dyDescent="0.25">
      <c r="A21323" s="2" t="s">
        <v>8</v>
      </c>
      <c r="B21323" s="2" t="str">
        <f>HYPERLINK("http://ts.21cn.com/tousu/show/id/1353432","多次主动联系不派送快件")</f>
        <v>多次主动联系不派送快件</v>
      </c>
      <c r="C21323" s="2" t="s">
        <v>9</v>
      </c>
      <c r="D21323" s="2" t="s">
        <v>10</v>
      </c>
      <c r="E21323" s="2" t="str">
        <f>HYPERLINK("http://ts.21cn.com/tousu/show/id/1353432","http://ts.21cn.com/tousu/show/id/1353432")</f>
        <v>http://ts.21cn.com/tousu/show/id/1353432</v>
      </c>
      <c r="F21323" s="2" t="s">
        <v>11</v>
      </c>
      <c r="G21323" s="2" t="s">
        <v>2224</v>
      </c>
      <c r="H21323" s="2" t="s">
        <v>2226</v>
      </c>
    </row>
    <row r="21324" spans="1:8" ht="25.05" customHeight="1" x14ac:dyDescent="0.25">
      <c r="A21324" s="2" t="s">
        <v>8</v>
      </c>
      <c r="B21324" s="2" t="str">
        <f>HYPERLINK("http://ts.21cn.com/tousu/show/id/1353433","维信金科旗下豆豆钱长期不放款协商取消订单也不受理")</f>
        <v>维信金科旗下豆豆钱长期不放款协商取消订单也不受理</v>
      </c>
      <c r="C21324" s="2" t="s">
        <v>9</v>
      </c>
      <c r="D21324" s="2" t="s">
        <v>10</v>
      </c>
      <c r="E21324" s="2" t="str">
        <f>HYPERLINK("http://ts.21cn.com/tousu/show/id/1353433","http://ts.21cn.com/tousu/show/id/1353433")</f>
        <v>http://ts.21cn.com/tousu/show/id/1353433</v>
      </c>
      <c r="F21324" s="2" t="s">
        <v>11</v>
      </c>
      <c r="G21324" s="2" t="s">
        <v>2222</v>
      </c>
      <c r="H21324" s="2" t="s">
        <v>2223</v>
      </c>
    </row>
    <row r="21325" spans="1:8" ht="25.05" customHeight="1" x14ac:dyDescent="0.25">
      <c r="A21325" s="2" t="s">
        <v>8</v>
      </c>
      <c r="B21325" s="2" t="str">
        <f>HYPERLINK("http://ts.21cn.com/tousu/show/id/1353434","财付通微信充值账户扣了我500")</f>
        <v>财付通微信充值账户扣了我500</v>
      </c>
      <c r="C21325" s="2" t="s">
        <v>9</v>
      </c>
      <c r="D21325" s="2" t="s">
        <v>10</v>
      </c>
      <c r="E21325" s="2" t="str">
        <f>HYPERLINK("http://ts.21cn.com/tousu/show/id/1353434","http://ts.21cn.com/tousu/show/id/1353434")</f>
        <v>http://ts.21cn.com/tousu/show/id/1353434</v>
      </c>
      <c r="F21325" s="2" t="s">
        <v>11</v>
      </c>
      <c r="G21325" s="2" t="s">
        <v>2220</v>
      </c>
      <c r="H21325" s="2" t="s">
        <v>2221</v>
      </c>
    </row>
    <row r="21326" spans="1:8" ht="25.05" customHeight="1" x14ac:dyDescent="0.25">
      <c r="A21326" s="2" t="s">
        <v>8</v>
      </c>
      <c r="B21326" s="2" t="str">
        <f>HYPERLINK("http://ts.21cn.com/tousu/show/id/1353436","农业银行信用卡中心")</f>
        <v>农业银行信用卡中心</v>
      </c>
      <c r="C21326" s="2" t="s">
        <v>9</v>
      </c>
      <c r="D21326" s="2" t="s">
        <v>10</v>
      </c>
      <c r="E21326" s="2" t="str">
        <f>HYPERLINK("http://ts.21cn.com/tousu/show/id/1353436","http://ts.21cn.com/tousu/show/id/1353436")</f>
        <v>http://ts.21cn.com/tousu/show/id/1353436</v>
      </c>
      <c r="F21326" s="2" t="s">
        <v>11</v>
      </c>
      <c r="G21326" s="2" t="s">
        <v>2218</v>
      </c>
      <c r="H21326" s="2" t="s">
        <v>2219</v>
      </c>
    </row>
    <row r="21327" spans="1:8" ht="25.05" customHeight="1" x14ac:dyDescent="0.25">
      <c r="A21327" s="2" t="s">
        <v>8</v>
      </c>
      <c r="B21327" s="2" t="str">
        <f>HYPERLINK("http://ts.21cn.com/tousu/show/id/1353437","淘宝太让卖家寒心")</f>
        <v>淘宝太让卖家寒心</v>
      </c>
      <c r="C21327" s="2" t="s">
        <v>9</v>
      </c>
      <c r="D21327" s="2" t="s">
        <v>10</v>
      </c>
      <c r="E21327" s="2" t="str">
        <f>HYPERLINK("http://ts.21cn.com/tousu/show/id/1353437","http://ts.21cn.com/tousu/show/id/1353437")</f>
        <v>http://ts.21cn.com/tousu/show/id/1353437</v>
      </c>
      <c r="F21327" s="2" t="s">
        <v>11</v>
      </c>
      <c r="G21327" s="2" t="s">
        <v>2216</v>
      </c>
      <c r="H21327" s="2" t="s">
        <v>2217</v>
      </c>
    </row>
    <row r="21328" spans="1:8" ht="25.05" customHeight="1" x14ac:dyDescent="0.25">
      <c r="A21328" s="2" t="s">
        <v>8</v>
      </c>
      <c r="B21328" s="2" t="str">
        <f>HYPERLINK("http://ts.21cn.com/tousu/show/id/1353438","借款1200元还近1400元，还不停骚扰亲戚朋友")</f>
        <v>借款1200元还近1400元，还不停骚扰亲戚朋友</v>
      </c>
      <c r="C21328" s="2" t="s">
        <v>9</v>
      </c>
      <c r="D21328" s="2" t="s">
        <v>10</v>
      </c>
      <c r="E21328" s="2" t="str">
        <f>HYPERLINK("http://ts.21cn.com/tousu/show/id/1353438","http://ts.21cn.com/tousu/show/id/1353438")</f>
        <v>http://ts.21cn.com/tousu/show/id/1353438</v>
      </c>
      <c r="F21328" s="2" t="s">
        <v>11</v>
      </c>
      <c r="G21328" s="2" t="s">
        <v>2214</v>
      </c>
      <c r="H21328" s="2" t="s">
        <v>2215</v>
      </c>
    </row>
    <row r="21329" spans="1:8" ht="25.05" customHeight="1" x14ac:dyDescent="0.25">
      <c r="A21329" s="2" t="s">
        <v>8</v>
      </c>
      <c r="B21329" s="2" t="str">
        <f>HYPERLINK("http://ts.21cn.com/tousu/show/id/1353439","暴力催收威胁恐吓")</f>
        <v>暴力催收威胁恐吓</v>
      </c>
      <c r="C21329" s="2" t="s">
        <v>9</v>
      </c>
      <c r="D21329" s="2" t="s">
        <v>10</v>
      </c>
      <c r="E21329" s="2" t="str">
        <f>HYPERLINK("http://ts.21cn.com/tousu/show/id/1353439","http://ts.21cn.com/tousu/show/id/1353439")</f>
        <v>http://ts.21cn.com/tousu/show/id/1353439</v>
      </c>
      <c r="F21329" s="2" t="s">
        <v>11</v>
      </c>
      <c r="G21329" s="2" t="s">
        <v>2212</v>
      </c>
      <c r="H21329" s="2" t="s">
        <v>2213</v>
      </c>
    </row>
    <row r="21330" spans="1:8" ht="25.05" customHeight="1" x14ac:dyDescent="0.25">
      <c r="A21330" s="2" t="s">
        <v>8</v>
      </c>
      <c r="B21330" s="2" t="str">
        <f>HYPERLINK("http://ts.21cn.com/tousu/show/id/1353441","玖富万卡高利贷")</f>
        <v>玖富万卡高利贷</v>
      </c>
      <c r="C21330" s="2" t="s">
        <v>9</v>
      </c>
      <c r="D21330" s="2" t="s">
        <v>10</v>
      </c>
      <c r="E21330" s="2" t="str">
        <f>HYPERLINK("http://ts.21cn.com/tousu/show/id/1353441","http://ts.21cn.com/tousu/show/id/1353441")</f>
        <v>http://ts.21cn.com/tousu/show/id/1353441</v>
      </c>
      <c r="F21330" s="2" t="s">
        <v>11</v>
      </c>
      <c r="G21330" s="2" t="s">
        <v>2210</v>
      </c>
      <c r="H21330" s="2" t="s">
        <v>2211</v>
      </c>
    </row>
    <row r="21331" spans="1:8" ht="25.05" customHeight="1" x14ac:dyDescent="0.25">
      <c r="A21331" s="2" t="s">
        <v>8</v>
      </c>
      <c r="B21331" s="2" t="str">
        <f>HYPERLINK("http://ts.21cn.com/tousu/show/id/1353420","信用管家存钱柜（金钱保）高利贷")</f>
        <v>信用管家存钱柜（金钱保）高利贷</v>
      </c>
      <c r="C21331" s="2" t="s">
        <v>9</v>
      </c>
      <c r="D21331" s="2" t="s">
        <v>10</v>
      </c>
      <c r="E21331" s="2" t="str">
        <f>HYPERLINK("http://ts.21cn.com/tousu/show/id/1353420","http://ts.21cn.com/tousu/show/id/1353420")</f>
        <v>http://ts.21cn.com/tousu/show/id/1353420</v>
      </c>
      <c r="F21331" s="2" t="s">
        <v>11</v>
      </c>
      <c r="G21331" s="2" t="s">
        <v>2208</v>
      </c>
      <c r="H21331" s="2" t="s">
        <v>2209</v>
      </c>
    </row>
    <row r="21332" spans="1:8" ht="25.05" customHeight="1" x14ac:dyDescent="0.25">
      <c r="A21332" s="2" t="s">
        <v>8</v>
      </c>
      <c r="B21332" s="2" t="str">
        <f>HYPERLINK("http://ts.21cn.com/tousu/show/id/1353443","暴力威胁及欺诈消费者")</f>
        <v>暴力威胁及欺诈消费者</v>
      </c>
      <c r="C21332" s="2" t="s">
        <v>9</v>
      </c>
      <c r="D21332" s="2" t="s">
        <v>10</v>
      </c>
      <c r="E21332" s="2" t="str">
        <f>HYPERLINK("http://ts.21cn.com/tousu/show/id/1353443","http://ts.21cn.com/tousu/show/id/1353443")</f>
        <v>http://ts.21cn.com/tousu/show/id/1353443</v>
      </c>
      <c r="F21332" s="2" t="s">
        <v>11</v>
      </c>
      <c r="G21332" s="2" t="s">
        <v>2206</v>
      </c>
      <c r="H21332" s="2" t="s">
        <v>2207</v>
      </c>
    </row>
    <row r="21333" spans="1:8" ht="25.05" customHeight="1" x14ac:dyDescent="0.25">
      <c r="A21333" s="2" t="s">
        <v>8</v>
      </c>
      <c r="B21333" s="2" t="str">
        <f>HYPERLINK("http://ts.21cn.com/tousu/show/id/1353445","万惠及贷不停骚扰联系人")</f>
        <v>万惠及贷不停骚扰联系人</v>
      </c>
      <c r="C21333" s="2" t="s">
        <v>9</v>
      </c>
      <c r="D21333" s="2" t="s">
        <v>10</v>
      </c>
      <c r="E21333" s="2" t="str">
        <f>HYPERLINK("http://ts.21cn.com/tousu/show/id/1353445","http://ts.21cn.com/tousu/show/id/1353445")</f>
        <v>http://ts.21cn.com/tousu/show/id/1353445</v>
      </c>
      <c r="F21333" s="2" t="s">
        <v>11</v>
      </c>
      <c r="G21333" s="2" t="s">
        <v>2204</v>
      </c>
      <c r="H21333" s="2" t="s">
        <v>2205</v>
      </c>
    </row>
    <row r="21334" spans="1:8" ht="25.05" customHeight="1" x14ac:dyDescent="0.25">
      <c r="A21334" s="2" t="s">
        <v>8</v>
      </c>
      <c r="B21334" s="2" t="str">
        <f>HYPERLINK("http://ts.21cn.com/tousu/show/id/1353448","钱橙无忧app乱扣费")</f>
        <v>钱橙无忧app乱扣费</v>
      </c>
      <c r="C21334" s="2" t="s">
        <v>9</v>
      </c>
      <c r="D21334" s="2" t="s">
        <v>10</v>
      </c>
      <c r="E21334" s="2" t="str">
        <f>HYPERLINK("http://ts.21cn.com/tousu/show/id/1353448","http://ts.21cn.com/tousu/show/id/1353448")</f>
        <v>http://ts.21cn.com/tousu/show/id/1353448</v>
      </c>
      <c r="F21334" s="2" t="s">
        <v>11</v>
      </c>
      <c r="G21334" s="2" t="s">
        <v>2202</v>
      </c>
      <c r="H21334" s="2" t="s">
        <v>2203</v>
      </c>
    </row>
    <row r="21335" spans="1:8" ht="25.05" customHeight="1" x14ac:dyDescent="0.25">
      <c r="A21335" s="2" t="s">
        <v>8</v>
      </c>
      <c r="B21335" s="2" t="str">
        <f>HYPERLINK("http://ts.21cn.com/tousu/show/id/1353449","投诉中通快递大连分拨中心不迟迟不派件不按预定时间")</f>
        <v>投诉中通快递大连分拨中心不迟迟不派件不按预定时间</v>
      </c>
      <c r="C21335" s="2" t="s">
        <v>9</v>
      </c>
      <c r="D21335" s="2" t="s">
        <v>10</v>
      </c>
      <c r="E21335" s="2" t="str">
        <f>HYPERLINK("http://ts.21cn.com/tousu/show/id/1353449","http://ts.21cn.com/tousu/show/id/1353449")</f>
        <v>http://ts.21cn.com/tousu/show/id/1353449</v>
      </c>
      <c r="F21335" s="2" t="s">
        <v>11</v>
      </c>
      <c r="G21335" s="2" t="s">
        <v>2199</v>
      </c>
      <c r="H21335" s="2" t="s">
        <v>2200</v>
      </c>
    </row>
    <row r="21336" spans="1:8" ht="25.05" customHeight="1" x14ac:dyDescent="0.25">
      <c r="A21336" s="2" t="s">
        <v>8</v>
      </c>
      <c r="B21336" s="2" t="str">
        <f>HYPERLINK("http://ts.21cn.com/tousu/show/id/1353426","暴力催收，高利贷")</f>
        <v>暴力催收，高利贷</v>
      </c>
      <c r="C21336" s="2" t="s">
        <v>9</v>
      </c>
      <c r="D21336" s="2" t="s">
        <v>10</v>
      </c>
      <c r="E21336" s="2" t="str">
        <f>HYPERLINK("http://ts.21cn.com/tousu/show/id/1353426","http://ts.21cn.com/tousu/show/id/1353426")</f>
        <v>http://ts.21cn.com/tousu/show/id/1353426</v>
      </c>
      <c r="F21336" s="2" t="s">
        <v>11</v>
      </c>
      <c r="G21336" s="2" t="s">
        <v>2199</v>
      </c>
      <c r="H21336" s="2" t="s">
        <v>2201</v>
      </c>
    </row>
    <row r="21337" spans="1:8" ht="25.05" customHeight="1" x14ac:dyDescent="0.25">
      <c r="A21337" s="2" t="s">
        <v>8</v>
      </c>
      <c r="B21337" s="2" t="str">
        <f>HYPERLINK("http://ts.21cn.com/tousu/show/id/1353452","电话轰炸催收")</f>
        <v>电话轰炸催收</v>
      </c>
      <c r="C21337" s="2" t="s">
        <v>9</v>
      </c>
      <c r="D21337" s="2" t="s">
        <v>10</v>
      </c>
      <c r="E21337" s="2" t="str">
        <f>HYPERLINK("http://ts.21cn.com/tousu/show/id/1353452","http://ts.21cn.com/tousu/show/id/1353452")</f>
        <v>http://ts.21cn.com/tousu/show/id/1353452</v>
      </c>
      <c r="F21337" s="2" t="s">
        <v>11</v>
      </c>
      <c r="G21337" s="2" t="s">
        <v>2197</v>
      </c>
      <c r="H21337" s="2" t="s">
        <v>2198</v>
      </c>
    </row>
    <row r="21338" spans="1:8" ht="25.05" customHeight="1" x14ac:dyDescent="0.25">
      <c r="A21338" s="2" t="s">
        <v>8</v>
      </c>
      <c r="B21338" s="2" t="str">
        <f>HYPERLINK("http://ts.21cn.com/tousu/show/id/1353451","招联金融")</f>
        <v>招联金融</v>
      </c>
      <c r="C21338" s="2" t="s">
        <v>9</v>
      </c>
      <c r="D21338" s="2" t="s">
        <v>10</v>
      </c>
      <c r="E21338" s="2" t="str">
        <f>HYPERLINK("http://ts.21cn.com/tousu/show/id/1353451","http://ts.21cn.com/tousu/show/id/1353451")</f>
        <v>http://ts.21cn.com/tousu/show/id/1353451</v>
      </c>
      <c r="F21338" s="2" t="s">
        <v>11</v>
      </c>
      <c r="G21338" s="2" t="s">
        <v>2195</v>
      </c>
      <c r="H21338" s="2" t="s">
        <v>2196</v>
      </c>
    </row>
    <row r="21339" spans="1:8" ht="25.05" customHeight="1" x14ac:dyDescent="0.25">
      <c r="A21339" s="2" t="s">
        <v>8</v>
      </c>
      <c r="B21339" s="2" t="str">
        <f>HYPERLINK("http://ts.21cn.com/tousu/show/id/1353411","平安普惠隐形高利贷砍头息")</f>
        <v>平安普惠隐形高利贷砍头息</v>
      </c>
      <c r="C21339" s="2" t="s">
        <v>9</v>
      </c>
      <c r="D21339" s="2" t="s">
        <v>10</v>
      </c>
      <c r="E21339" s="2" t="str">
        <f>HYPERLINK("http://ts.21cn.com/tousu/show/id/1353411","http://ts.21cn.com/tousu/show/id/1353411")</f>
        <v>http://ts.21cn.com/tousu/show/id/1353411</v>
      </c>
      <c r="F21339" s="2" t="s">
        <v>11</v>
      </c>
      <c r="G21339" s="2" t="s">
        <v>2193</v>
      </c>
      <c r="H21339" s="2" t="s">
        <v>2194</v>
      </c>
    </row>
    <row r="21340" spans="1:8" ht="25.05" customHeight="1" x14ac:dyDescent="0.25">
      <c r="A21340" s="2" t="s">
        <v>8</v>
      </c>
      <c r="B21340" s="2" t="str">
        <f>HYPERLINK("http://ts.21cn.com/tousu/show/id/1353454","瓜子二手车催收骚扰")</f>
        <v>瓜子二手车催收骚扰</v>
      </c>
      <c r="C21340" s="2" t="s">
        <v>9</v>
      </c>
      <c r="D21340" s="2" t="s">
        <v>10</v>
      </c>
      <c r="E21340" s="2" t="str">
        <f>HYPERLINK("http://ts.21cn.com/tousu/show/id/1353454","http://ts.21cn.com/tousu/show/id/1353454")</f>
        <v>http://ts.21cn.com/tousu/show/id/1353454</v>
      </c>
      <c r="F21340" s="2" t="s">
        <v>11</v>
      </c>
      <c r="G21340" s="2" t="s">
        <v>2191</v>
      </c>
      <c r="H21340" s="2" t="s">
        <v>2192</v>
      </c>
    </row>
    <row r="21341" spans="1:8" ht="25.05" customHeight="1" x14ac:dyDescent="0.25">
      <c r="A21341" s="2" t="s">
        <v>8</v>
      </c>
      <c r="B21341" s="2" t="str">
        <f>HYPERLINK("http://ts.21cn.com/tousu/show/id/1353453","拼多多伪劣产品")</f>
        <v>拼多多伪劣产品</v>
      </c>
      <c r="C21341" s="2" t="s">
        <v>9</v>
      </c>
      <c r="D21341" s="2" t="s">
        <v>10</v>
      </c>
      <c r="E21341" s="2" t="str">
        <f>HYPERLINK("http://ts.21cn.com/tousu/show/id/1353453","http://ts.21cn.com/tousu/show/id/1353453")</f>
        <v>http://ts.21cn.com/tousu/show/id/1353453</v>
      </c>
      <c r="F21341" s="2" t="s">
        <v>11</v>
      </c>
      <c r="G21341" s="2" t="s">
        <v>2189</v>
      </c>
      <c r="H21341" s="2" t="s">
        <v>2190</v>
      </c>
    </row>
    <row r="21342" spans="1:8" ht="25.05" customHeight="1" x14ac:dyDescent="0.25">
      <c r="A21342" s="2" t="s">
        <v>8</v>
      </c>
      <c r="B21342" s="2" t="str">
        <f>HYPERLINK("http://ts.21cn.com/tousu/show/id/1353455","集体投诉英孚教育退款难")</f>
        <v>集体投诉英孚教育退款难</v>
      </c>
      <c r="C21342" s="2" t="s">
        <v>9</v>
      </c>
      <c r="D21342" s="2" t="s">
        <v>10</v>
      </c>
      <c r="E21342" s="2" t="str">
        <f>HYPERLINK("http://ts.21cn.com/tousu/show/id/1353455","http://ts.21cn.com/tousu/show/id/1353455")</f>
        <v>http://ts.21cn.com/tousu/show/id/1353455</v>
      </c>
      <c r="F21342" s="2" t="s">
        <v>11</v>
      </c>
      <c r="G21342" s="2" t="s">
        <v>2187</v>
      </c>
      <c r="H21342" s="2" t="s">
        <v>2188</v>
      </c>
    </row>
    <row r="21343" spans="1:8" ht="25.05" customHeight="1" x14ac:dyDescent="0.25">
      <c r="A21343" s="2" t="s">
        <v>8</v>
      </c>
      <c r="B21343" s="2" t="str">
        <f>HYPERLINK("http://ts.21cn.com/merchant/show/id/9692","广州志能信息科技有限公司")</f>
        <v>广州志能信息科技有限公司</v>
      </c>
      <c r="C21343" s="2" t="s">
        <v>34</v>
      </c>
      <c r="D21343" s="2" t="s">
        <v>2184</v>
      </c>
      <c r="E21343" s="2" t="str">
        <f>HYPERLINK("http://ts.21cn.com/merchant/show/id/9692","http://ts.21cn.com/merchant/show/id/9692")</f>
        <v>http://ts.21cn.com/merchant/show/id/9692</v>
      </c>
      <c r="F21343" s="2" t="s">
        <v>2185</v>
      </c>
      <c r="G21343" s="2" t="s">
        <v>2186</v>
      </c>
      <c r="H21343" s="2" t="s">
        <v>2183</v>
      </c>
    </row>
    <row r="21344" spans="1:8" ht="25.05" customHeight="1" x14ac:dyDescent="0.25">
      <c r="A21344" s="2" t="s">
        <v>8</v>
      </c>
      <c r="B21344" s="2" t="str">
        <f>HYPERLINK("http://ts.21cn.com/tousu/show/id/1353396","诱导付款")</f>
        <v>诱导付款</v>
      </c>
      <c r="C21344" s="2" t="s">
        <v>9</v>
      </c>
      <c r="D21344" s="2" t="s">
        <v>10</v>
      </c>
      <c r="E21344" s="2" t="str">
        <f>HYPERLINK("http://ts.21cn.com/tousu/show/id/1353396","http://ts.21cn.com/tousu/show/id/1353396")</f>
        <v>http://ts.21cn.com/tousu/show/id/1353396</v>
      </c>
      <c r="F21344" s="2" t="s">
        <v>11</v>
      </c>
      <c r="G21344" s="2" t="s">
        <v>2181</v>
      </c>
      <c r="H21344" s="2" t="s">
        <v>2182</v>
      </c>
    </row>
    <row r="21345" spans="1:8" ht="25.05" customHeight="1" x14ac:dyDescent="0.25">
      <c r="A21345" s="2" t="s">
        <v>8</v>
      </c>
      <c r="B21345" s="2" t="str">
        <f>HYPERLINK("http://ts.21cn.com/tousu/show/id/1353456","拍拍贷委托的第三方催款电话07566288887连续恶意骚扰联系人，态度恶劣，言语辱骂，无视国家相关规定，请严查。")</f>
        <v>拍拍贷委托的第三方催款电话07566288887连续恶意骚扰联系人，态度恶劣，言语辱骂，无视国家相关规定，请严查。</v>
      </c>
      <c r="C21345" s="2" t="s">
        <v>9</v>
      </c>
      <c r="D21345" s="2" t="s">
        <v>10</v>
      </c>
      <c r="E21345" s="2" t="str">
        <f>HYPERLINK("http://ts.21cn.com/tousu/show/id/1353456","http://ts.21cn.com/tousu/show/id/1353456")</f>
        <v>http://ts.21cn.com/tousu/show/id/1353456</v>
      </c>
      <c r="F21345" s="2" t="s">
        <v>11</v>
      </c>
      <c r="G21345" s="2" t="s">
        <v>2179</v>
      </c>
      <c r="H21345" s="2" t="s">
        <v>2180</v>
      </c>
    </row>
    <row r="21346" spans="1:8" ht="25.05" customHeight="1" x14ac:dyDescent="0.25">
      <c r="A21346" s="2" t="s">
        <v>8</v>
      </c>
      <c r="B21346" s="2" t="str">
        <f>HYPERLINK("http://ts.21cn.com/tousu/show/id/1353457","暴力催收")</f>
        <v>暴力催收</v>
      </c>
      <c r="C21346" s="2" t="s">
        <v>9</v>
      </c>
      <c r="D21346" s="2" t="s">
        <v>10</v>
      </c>
      <c r="E21346" s="2" t="str">
        <f>HYPERLINK("http://ts.21cn.com/tousu/show/id/1353457","http://ts.21cn.com/tousu/show/id/1353457")</f>
        <v>http://ts.21cn.com/tousu/show/id/1353457</v>
      </c>
      <c r="F21346" s="2" t="s">
        <v>11</v>
      </c>
      <c r="G21346" s="2" t="s">
        <v>2177</v>
      </c>
      <c r="H21346" s="2" t="s">
        <v>2178</v>
      </c>
    </row>
    <row r="21347" spans="1:8" ht="25.05" customHeight="1" x14ac:dyDescent="0.25">
      <c r="A21347" s="2" t="s">
        <v>8</v>
      </c>
      <c r="B21347" s="2" t="str">
        <f>HYPERLINK("http://ts.21cn.com/tousu/show/id/1353427","360借条爆力催收骚扰我同事亲人")</f>
        <v>360借条爆力催收骚扰我同事亲人</v>
      </c>
      <c r="C21347" s="2" t="s">
        <v>9</v>
      </c>
      <c r="D21347" s="2" t="s">
        <v>10</v>
      </c>
      <c r="E21347" s="2" t="str">
        <f>HYPERLINK("http://ts.21cn.com/tousu/show/id/1353427","http://ts.21cn.com/tousu/show/id/1353427")</f>
        <v>http://ts.21cn.com/tousu/show/id/1353427</v>
      </c>
      <c r="F21347" s="2" t="s">
        <v>11</v>
      </c>
      <c r="G21347" s="2" t="s">
        <v>2174</v>
      </c>
      <c r="H21347" s="2" t="s">
        <v>2175</v>
      </c>
    </row>
    <row r="21348" spans="1:8" ht="25.05" customHeight="1" x14ac:dyDescent="0.25">
      <c r="A21348" s="2" t="s">
        <v>8</v>
      </c>
      <c r="B21348" s="2" t="str">
        <f>HYPERLINK("http://ts.21cn.com/tousu/show/id/1353458","程咬金")</f>
        <v>程咬金</v>
      </c>
      <c r="C21348" s="2" t="s">
        <v>9</v>
      </c>
      <c r="D21348" s="2" t="s">
        <v>10</v>
      </c>
      <c r="E21348" s="2" t="str">
        <f>HYPERLINK("http://ts.21cn.com/tousu/show/id/1353458","http://ts.21cn.com/tousu/show/id/1353458")</f>
        <v>http://ts.21cn.com/tousu/show/id/1353458</v>
      </c>
      <c r="F21348" s="2" t="s">
        <v>11</v>
      </c>
      <c r="G21348" s="2" t="s">
        <v>2174</v>
      </c>
      <c r="H21348" s="2" t="s">
        <v>2176</v>
      </c>
    </row>
    <row r="21349" spans="1:8" ht="25.05" customHeight="1" x14ac:dyDescent="0.25">
      <c r="A21349" s="2" t="s">
        <v>8</v>
      </c>
      <c r="B21349" s="2" t="str">
        <f>HYPERLINK("http://ts.21cn.com/tousu/show/id/1353459","京东商城买的iphone11未拆封不给退换")</f>
        <v>京东商城买的iphone11未拆封不给退换</v>
      </c>
      <c r="C21349" s="2" t="s">
        <v>9</v>
      </c>
      <c r="D21349" s="2" t="s">
        <v>10</v>
      </c>
      <c r="E21349" s="2" t="str">
        <f>HYPERLINK("http://ts.21cn.com/tousu/show/id/1353459","http://ts.21cn.com/tousu/show/id/1353459")</f>
        <v>http://ts.21cn.com/tousu/show/id/1353459</v>
      </c>
      <c r="F21349" s="2" t="s">
        <v>11</v>
      </c>
      <c r="G21349" s="2" t="s">
        <v>2172</v>
      </c>
      <c r="H21349" s="2" t="s">
        <v>2173</v>
      </c>
    </row>
    <row r="21350" spans="1:8" ht="25.05" customHeight="1" x14ac:dyDescent="0.25">
      <c r="A21350" s="2" t="s">
        <v>8</v>
      </c>
      <c r="B21350" s="2" t="str">
        <f>HYPERLINK("http://ts.21cn.com/tousu/show/id/1353460","农行信用卡第三方催收")</f>
        <v>农行信用卡第三方催收</v>
      </c>
      <c r="C21350" s="2" t="s">
        <v>9</v>
      </c>
      <c r="D21350" s="2" t="s">
        <v>10</v>
      </c>
      <c r="E21350" s="2" t="str">
        <f>HYPERLINK("http://ts.21cn.com/tousu/show/id/1353460","http://ts.21cn.com/tousu/show/id/1353460")</f>
        <v>http://ts.21cn.com/tousu/show/id/1353460</v>
      </c>
      <c r="F21350" s="2" t="s">
        <v>11</v>
      </c>
      <c r="G21350" s="2" t="s">
        <v>2170</v>
      </c>
      <c r="H21350" s="2" t="s">
        <v>2171</v>
      </c>
    </row>
    <row r="21351" spans="1:8" ht="25.05" customHeight="1" x14ac:dyDescent="0.25">
      <c r="A21351" s="2" t="s">
        <v>8</v>
      </c>
      <c r="B21351" s="2" t="str">
        <f>HYPERLINK("http://ts.21cn.com/tousu/show/id/1353461","长期骚扰")</f>
        <v>长期骚扰</v>
      </c>
      <c r="C21351" s="2" t="s">
        <v>9</v>
      </c>
      <c r="D21351" s="2" t="s">
        <v>10</v>
      </c>
      <c r="E21351" s="2" t="str">
        <f>HYPERLINK("http://ts.21cn.com/tousu/show/id/1353461","http://ts.21cn.com/tousu/show/id/1353461")</f>
        <v>http://ts.21cn.com/tousu/show/id/1353461</v>
      </c>
      <c r="F21351" s="2" t="s">
        <v>11</v>
      </c>
      <c r="G21351" s="2" t="s">
        <v>2168</v>
      </c>
      <c r="H21351" s="2" t="s">
        <v>2169</v>
      </c>
    </row>
    <row r="21352" spans="1:8" ht="25.05" customHeight="1" x14ac:dyDescent="0.25">
      <c r="A21352" s="2" t="s">
        <v>8</v>
      </c>
      <c r="B21352" s="2" t="str">
        <f>HYPERLINK("http://ts.21cn.com/tousu/show/id/1353462","宜信惠民高额砍头息")</f>
        <v>宜信惠民高额砍头息</v>
      </c>
      <c r="C21352" s="2" t="s">
        <v>34</v>
      </c>
      <c r="D21352" s="2" t="s">
        <v>10</v>
      </c>
      <c r="E21352" s="2" t="str">
        <f>HYPERLINK("http://ts.21cn.com/tousu/show/id/1353462","http://ts.21cn.com/tousu/show/id/1353462")</f>
        <v>http://ts.21cn.com/tousu/show/id/1353462</v>
      </c>
      <c r="F21352" s="2" t="s">
        <v>11</v>
      </c>
      <c r="G21352" s="2" t="s">
        <v>2166</v>
      </c>
      <c r="H21352" s="2" t="s">
        <v>2167</v>
      </c>
    </row>
    <row r="21353" spans="1:8" ht="25.05" customHeight="1" x14ac:dyDescent="0.25">
      <c r="A21353" s="2" t="s">
        <v>8</v>
      </c>
      <c r="B21353" s="2" t="str">
        <f>HYPERLINK("http://ts.21cn.com/tousu/show/id/1353465","拍拍贷暴力催收")</f>
        <v>拍拍贷暴力催收</v>
      </c>
      <c r="C21353" s="2" t="s">
        <v>9</v>
      </c>
      <c r="D21353" s="2" t="s">
        <v>10</v>
      </c>
      <c r="E21353" s="2" t="str">
        <f>HYPERLINK("http://ts.21cn.com/tousu/show/id/1353465","http://ts.21cn.com/tousu/show/id/1353465")</f>
        <v>http://ts.21cn.com/tousu/show/id/1353465</v>
      </c>
      <c r="F21353" s="2" t="s">
        <v>11</v>
      </c>
      <c r="G21353" s="2" t="s">
        <v>2164</v>
      </c>
      <c r="H21353" s="2" t="s">
        <v>2165</v>
      </c>
    </row>
    <row r="21354" spans="1:8" ht="25.05" customHeight="1" x14ac:dyDescent="0.25">
      <c r="A21354" s="2" t="s">
        <v>8</v>
      </c>
      <c r="B21354" s="2" t="str">
        <f>HYPERLINK("http://ts.21cn.com/tousu/show/id/1353281","高利贷、砍头息、违规催收")</f>
        <v>高利贷、砍头息、违规催收</v>
      </c>
      <c r="C21354" s="2" t="s">
        <v>9</v>
      </c>
      <c r="D21354" s="2" t="s">
        <v>10</v>
      </c>
      <c r="E21354" s="2" t="str">
        <f>HYPERLINK("http://ts.21cn.com/tousu/show/id/1353281","http://ts.21cn.com/tousu/show/id/1353281")</f>
        <v>http://ts.21cn.com/tousu/show/id/1353281</v>
      </c>
      <c r="F21354" s="2" t="s">
        <v>11</v>
      </c>
      <c r="G21354" s="2" t="s">
        <v>2162</v>
      </c>
      <c r="H21354" s="2" t="s">
        <v>2163</v>
      </c>
    </row>
    <row r="21355" spans="1:8" ht="25.05" customHeight="1" x14ac:dyDescent="0.25">
      <c r="A21355" s="2" t="s">
        <v>8</v>
      </c>
      <c r="B21355" s="2" t="str">
        <f>HYPERLINK("http://ts.21cn.com/tousu/show/id/1353467","来分期客户人员")</f>
        <v>来分期客户人员</v>
      </c>
      <c r="C21355" s="2" t="s">
        <v>34</v>
      </c>
      <c r="D21355" s="2" t="s">
        <v>10</v>
      </c>
      <c r="E21355" s="2" t="str">
        <f>HYPERLINK("http://ts.21cn.com/tousu/show/id/1353467","http://ts.21cn.com/tousu/show/id/1353467")</f>
        <v>http://ts.21cn.com/tousu/show/id/1353467</v>
      </c>
      <c r="F21355" s="2" t="s">
        <v>11</v>
      </c>
      <c r="G21355" s="2" t="s">
        <v>2160</v>
      </c>
      <c r="H21355" s="2" t="s">
        <v>2161</v>
      </c>
    </row>
    <row r="21356" spans="1:8" ht="25.05" customHeight="1" x14ac:dyDescent="0.25">
      <c r="A21356" s="2" t="s">
        <v>8</v>
      </c>
      <c r="B21356" s="2" t="str">
        <f>HYPERLINK("http://ts.21cn.com/tousu/show/id/1353468","交通银行信用卡利息过高")</f>
        <v>交通银行信用卡利息过高</v>
      </c>
      <c r="C21356" s="2" t="s">
        <v>9</v>
      </c>
      <c r="D21356" s="2" t="s">
        <v>10</v>
      </c>
      <c r="E21356" s="2" t="str">
        <f>HYPERLINK("http://ts.21cn.com/tousu/show/id/1353468","http://ts.21cn.com/tousu/show/id/1353468")</f>
        <v>http://ts.21cn.com/tousu/show/id/1353468</v>
      </c>
      <c r="F21356" s="2" t="s">
        <v>11</v>
      </c>
      <c r="G21356" s="2" t="s">
        <v>2158</v>
      </c>
      <c r="H21356" s="2" t="s">
        <v>2159</v>
      </c>
    </row>
    <row r="21357" spans="1:8" ht="25.05" customHeight="1" x14ac:dyDescent="0.25">
      <c r="A21357" s="2" t="s">
        <v>8</v>
      </c>
      <c r="B21357" s="2" t="str">
        <f>HYPERLINK("http://ts.21cn.com/tousu/show/id/1353469","协商之中，联系通讯录，暴力催收")</f>
        <v>协商之中，联系通讯录，暴力催收</v>
      </c>
      <c r="C21357" s="2" t="s">
        <v>9</v>
      </c>
      <c r="D21357" s="2" t="s">
        <v>10</v>
      </c>
      <c r="E21357" s="2" t="str">
        <f>HYPERLINK("http://ts.21cn.com/tousu/show/id/1353469","http://ts.21cn.com/tousu/show/id/1353469")</f>
        <v>http://ts.21cn.com/tousu/show/id/1353469</v>
      </c>
      <c r="F21357" s="2" t="s">
        <v>11</v>
      </c>
      <c r="G21357" s="2" t="s">
        <v>2156</v>
      </c>
      <c r="H21357" s="2" t="s">
        <v>2157</v>
      </c>
    </row>
    <row r="21358" spans="1:8" ht="25.05" customHeight="1" x14ac:dyDescent="0.25">
      <c r="A21358" s="2" t="s">
        <v>8</v>
      </c>
      <c r="B21358" s="2" t="str">
        <f>HYPERLINK("http://ts.21cn.com/tousu/show/id/1353470","中信银行违规催收")</f>
        <v>中信银行违规催收</v>
      </c>
      <c r="C21358" s="2" t="s">
        <v>9</v>
      </c>
      <c r="D21358" s="2" t="s">
        <v>10</v>
      </c>
      <c r="E21358" s="2" t="str">
        <f>HYPERLINK("http://ts.21cn.com/tousu/show/id/1353470","http://ts.21cn.com/tousu/show/id/1353470")</f>
        <v>http://ts.21cn.com/tousu/show/id/1353470</v>
      </c>
      <c r="F21358" s="2" t="s">
        <v>11</v>
      </c>
      <c r="G21358" s="2" t="s">
        <v>2154</v>
      </c>
      <c r="H21358" s="2" t="s">
        <v>2155</v>
      </c>
    </row>
    <row r="21359" spans="1:8" ht="25.05" customHeight="1" x14ac:dyDescent="0.25">
      <c r="A21359" s="2" t="s">
        <v>8</v>
      </c>
      <c r="B21359" s="2" t="str">
        <f>HYPERLINK("http://ts.21cn.com/tousu/show/id/1353474","非法网贷，高额收取利息信息费")</f>
        <v>非法网贷，高额收取利息信息费</v>
      </c>
      <c r="C21359" s="2" t="s">
        <v>9</v>
      </c>
      <c r="D21359" s="2" t="s">
        <v>10</v>
      </c>
      <c r="E21359" s="2" t="str">
        <f>HYPERLINK("http://ts.21cn.com/tousu/show/id/1353474","http://ts.21cn.com/tousu/show/id/1353474")</f>
        <v>http://ts.21cn.com/tousu/show/id/1353474</v>
      </c>
      <c r="F21359" s="2" t="s">
        <v>11</v>
      </c>
      <c r="G21359" s="2" t="s">
        <v>2152</v>
      </c>
      <c r="H21359" s="2" t="s">
        <v>2153</v>
      </c>
    </row>
    <row r="21360" spans="1:8" ht="25.05" customHeight="1" x14ac:dyDescent="0.25">
      <c r="A21360" s="2" t="s">
        <v>8</v>
      </c>
      <c r="B21360" s="2" t="str">
        <f>HYPERLINK("http://ts.21cn.com/tousu/show/id/1353473","中瑞硕达教育机构丁佳老师不合理安排考点并不予退款")</f>
        <v>中瑞硕达教育机构丁佳老师不合理安排考点并不予退款</v>
      </c>
      <c r="C21360" s="2" t="s">
        <v>9</v>
      </c>
      <c r="D21360" s="2" t="s">
        <v>10</v>
      </c>
      <c r="E21360" s="2" t="str">
        <f>HYPERLINK("http://ts.21cn.com/tousu/show/id/1353473","http://ts.21cn.com/tousu/show/id/1353473")</f>
        <v>http://ts.21cn.com/tousu/show/id/1353473</v>
      </c>
      <c r="F21360" s="2" t="s">
        <v>11</v>
      </c>
      <c r="G21360" s="2" t="s">
        <v>2150</v>
      </c>
      <c r="H21360" s="2" t="s">
        <v>2151</v>
      </c>
    </row>
    <row r="21361" spans="1:8" ht="25.05" customHeight="1" x14ac:dyDescent="0.25">
      <c r="A21361" s="2" t="s">
        <v>8</v>
      </c>
      <c r="B21361" s="2" t="str">
        <f>HYPERLINK("http://ts.21cn.com/tousu/show/id/1353475","平安银行为714高炮“花月钱包”提供放款渠道，助纣为虐，视国家监管不顾。")</f>
        <v>平安银行为714高炮“花月钱包”提供放款渠道，助纣为虐，视国家监管不顾。</v>
      </c>
      <c r="C21361" s="2" t="s">
        <v>9</v>
      </c>
      <c r="D21361" s="2" t="s">
        <v>10</v>
      </c>
      <c r="E21361" s="2" t="str">
        <f>HYPERLINK("http://ts.21cn.com/tousu/show/id/1353475","http://ts.21cn.com/tousu/show/id/1353475")</f>
        <v>http://ts.21cn.com/tousu/show/id/1353475</v>
      </c>
      <c r="F21361" s="2" t="s">
        <v>11</v>
      </c>
      <c r="G21361" s="2" t="s">
        <v>2148</v>
      </c>
      <c r="H21361" s="2" t="s">
        <v>2149</v>
      </c>
    </row>
    <row r="21362" spans="1:8" ht="25.05" customHeight="1" x14ac:dyDescent="0.25">
      <c r="A21362" s="2" t="s">
        <v>8</v>
      </c>
      <c r="B21362" s="2" t="str">
        <f>HYPERLINK("http://ts.21cn.com/tousu/show/id/1353476","中腾信暴力催收高额收费")</f>
        <v>中腾信暴力催收高额收费</v>
      </c>
      <c r="C21362" s="2" t="s">
        <v>9</v>
      </c>
      <c r="D21362" s="2" t="s">
        <v>10</v>
      </c>
      <c r="E21362" s="2" t="str">
        <f>HYPERLINK("http://ts.21cn.com/tousu/show/id/1353476","http://ts.21cn.com/tousu/show/id/1353476")</f>
        <v>http://ts.21cn.com/tousu/show/id/1353476</v>
      </c>
      <c r="F21362" s="2" t="s">
        <v>11</v>
      </c>
      <c r="G21362" s="2" t="s">
        <v>2146</v>
      </c>
      <c r="H21362" s="2" t="s">
        <v>2147</v>
      </c>
    </row>
    <row r="21363" spans="1:8" ht="25.05" customHeight="1" x14ac:dyDescent="0.25">
      <c r="A21363" s="2" t="s">
        <v>8</v>
      </c>
      <c r="B21363" s="2" t="str">
        <f>HYPERLINK("http://ts.21cn.com/tousu/show/id/1353477","米米罐高利贷砍头息")</f>
        <v>米米罐高利贷砍头息</v>
      </c>
      <c r="C21363" s="2" t="s">
        <v>9</v>
      </c>
      <c r="D21363" s="2" t="s">
        <v>10</v>
      </c>
      <c r="E21363" s="2" t="str">
        <f>HYPERLINK("http://ts.21cn.com/tousu/show/id/1353477","http://ts.21cn.com/tousu/show/id/1353477")</f>
        <v>http://ts.21cn.com/tousu/show/id/1353477</v>
      </c>
      <c r="F21363" s="2" t="s">
        <v>11</v>
      </c>
      <c r="G21363" s="2" t="s">
        <v>2144</v>
      </c>
      <c r="H21363" s="2" t="s">
        <v>2145</v>
      </c>
    </row>
    <row r="21364" spans="1:8" ht="25.05" customHeight="1" x14ac:dyDescent="0.25">
      <c r="A21364" s="2" t="s">
        <v>8</v>
      </c>
      <c r="B21364" s="2" t="str">
        <f>HYPERLINK("http://ts.21cn.com/tousu/show/id/1353478","美团生活费威胁恐吓")</f>
        <v>美团生活费威胁恐吓</v>
      </c>
      <c r="C21364" s="2" t="s">
        <v>9</v>
      </c>
      <c r="D21364" s="2" t="s">
        <v>10</v>
      </c>
      <c r="E21364" s="2" t="str">
        <f>HYPERLINK("http://ts.21cn.com/tousu/show/id/1353478","http://ts.21cn.com/tousu/show/id/1353478")</f>
        <v>http://ts.21cn.com/tousu/show/id/1353478</v>
      </c>
      <c r="F21364" s="2" t="s">
        <v>11</v>
      </c>
      <c r="G21364" s="2" t="s">
        <v>2142</v>
      </c>
      <c r="H21364" s="2" t="s">
        <v>2143</v>
      </c>
    </row>
    <row r="21365" spans="1:8" ht="25.05" customHeight="1" x14ac:dyDescent="0.25">
      <c r="A21365" s="2" t="s">
        <v>8</v>
      </c>
      <c r="B21365" s="2" t="str">
        <f>HYPERLINK("http://ts.21cn.com/tousu/show/id/1353479","京东电子书没有明确标识")</f>
        <v>京东电子书没有明确标识</v>
      </c>
      <c r="C21365" s="2" t="s">
        <v>9</v>
      </c>
      <c r="D21365" s="2" t="s">
        <v>10</v>
      </c>
      <c r="E21365" s="2" t="str">
        <f>HYPERLINK("http://ts.21cn.com/tousu/show/id/1353479","http://ts.21cn.com/tousu/show/id/1353479")</f>
        <v>http://ts.21cn.com/tousu/show/id/1353479</v>
      </c>
      <c r="F21365" s="2" t="s">
        <v>11</v>
      </c>
      <c r="G21365" s="2" t="s">
        <v>2140</v>
      </c>
      <c r="H21365" s="2" t="s">
        <v>2141</v>
      </c>
    </row>
    <row r="21366" spans="1:8" ht="25.05" customHeight="1" x14ac:dyDescent="0.25">
      <c r="A21366" s="2" t="s">
        <v>8</v>
      </c>
      <c r="B21366" s="2" t="str">
        <f>HYPERLINK("http://ts.21cn.com/tousu/show/id/1353480","没单与订单质量")</f>
        <v>没单与订单质量</v>
      </c>
      <c r="C21366" s="2" t="s">
        <v>34</v>
      </c>
      <c r="D21366" s="2" t="s">
        <v>10</v>
      </c>
      <c r="E21366" s="2" t="str">
        <f>HYPERLINK("http://ts.21cn.com/tousu/show/id/1353480","http://ts.21cn.com/tousu/show/id/1353480")</f>
        <v>http://ts.21cn.com/tousu/show/id/1353480</v>
      </c>
      <c r="F21366" s="2" t="s">
        <v>11</v>
      </c>
      <c r="G21366" s="2" t="s">
        <v>2138</v>
      </c>
      <c r="H21366" s="2" t="s">
        <v>2139</v>
      </c>
    </row>
    <row r="21367" spans="1:8" ht="25.05" customHeight="1" x14ac:dyDescent="0.25">
      <c r="A21367" s="2" t="s">
        <v>8</v>
      </c>
      <c r="B21367" s="2" t="str">
        <f>HYPERLINK("http://ts.21cn.com/tousu/show/id/1353392","莱神园交易平台私自冻结资金")</f>
        <v>莱神园交易平台私自冻结资金</v>
      </c>
      <c r="C21367" s="2" t="s">
        <v>9</v>
      </c>
      <c r="D21367" s="2" t="s">
        <v>10</v>
      </c>
      <c r="E21367" s="2" t="str">
        <f>HYPERLINK("http://ts.21cn.com/tousu/show/id/1353392","http://ts.21cn.com/tousu/show/id/1353392")</f>
        <v>http://ts.21cn.com/tousu/show/id/1353392</v>
      </c>
      <c r="F21367" s="2" t="s">
        <v>11</v>
      </c>
      <c r="G21367" s="2" t="s">
        <v>2136</v>
      </c>
      <c r="H21367" s="2" t="s">
        <v>2137</v>
      </c>
    </row>
    <row r="21368" spans="1:8" ht="25.05" customHeight="1" x14ac:dyDescent="0.25">
      <c r="A21368" s="2" t="s">
        <v>8</v>
      </c>
      <c r="B21368" s="2" t="str">
        <f>HYPERLINK("http://ts.21cn.com/tousu/show/id/1353482","携程租车出事故，后续理赔费用过高")</f>
        <v>携程租车出事故，后续理赔费用过高</v>
      </c>
      <c r="C21368" s="2" t="s">
        <v>9</v>
      </c>
      <c r="D21368" s="2" t="s">
        <v>10</v>
      </c>
      <c r="E21368" s="2" t="str">
        <f>HYPERLINK("http://ts.21cn.com/tousu/show/id/1353482","http://ts.21cn.com/tousu/show/id/1353482")</f>
        <v>http://ts.21cn.com/tousu/show/id/1353482</v>
      </c>
      <c r="F21368" s="2" t="s">
        <v>11</v>
      </c>
      <c r="G21368" s="2" t="s">
        <v>2134</v>
      </c>
      <c r="H21368" s="2" t="s">
        <v>2135</v>
      </c>
    </row>
    <row r="21369" spans="1:8" ht="25.05" customHeight="1" x14ac:dyDescent="0.25">
      <c r="A21369" s="2" t="s">
        <v>8</v>
      </c>
      <c r="B21369" s="2" t="str">
        <f>HYPERLINK("http://ts.21cn.com/tousu/show/id/1353483","立借高利贷，阴阳合同")</f>
        <v>立借高利贷，阴阳合同</v>
      </c>
      <c r="C21369" s="2" t="s">
        <v>9</v>
      </c>
      <c r="D21369" s="2" t="s">
        <v>10</v>
      </c>
      <c r="E21369" s="2" t="str">
        <f>HYPERLINK("http://ts.21cn.com/tousu/show/id/1353483","http://ts.21cn.com/tousu/show/id/1353483")</f>
        <v>http://ts.21cn.com/tousu/show/id/1353483</v>
      </c>
      <c r="F21369" s="2" t="s">
        <v>11</v>
      </c>
      <c r="G21369" s="2" t="s">
        <v>2132</v>
      </c>
      <c r="H21369" s="2" t="s">
        <v>2133</v>
      </c>
    </row>
    <row r="21370" spans="1:8" ht="25.05" customHeight="1" x14ac:dyDescent="0.25">
      <c r="A21370" s="2" t="s">
        <v>8</v>
      </c>
      <c r="B21370" s="2" t="str">
        <f>HYPERLINK("http://ts.21cn.com/tousu/show/id/986385","现金贷")</f>
        <v>现金贷</v>
      </c>
      <c r="C21370" s="2" t="s">
        <v>9</v>
      </c>
      <c r="D21370" s="2" t="s">
        <v>10</v>
      </c>
      <c r="E21370" s="2" t="str">
        <f>HYPERLINK("http://ts.21cn.com/tousu/show/id/986385","http://ts.21cn.com/tousu/show/id/986385")</f>
        <v>http://ts.21cn.com/tousu/show/id/986385</v>
      </c>
      <c r="F21370" s="2" t="s">
        <v>11</v>
      </c>
      <c r="G21370" s="2" t="s">
        <v>2130</v>
      </c>
      <c r="H21370" s="2" t="s">
        <v>2131</v>
      </c>
    </row>
    <row r="21371" spans="1:8" ht="25.05" customHeight="1" x14ac:dyDescent="0.25">
      <c r="A21371" s="2" t="s">
        <v>8</v>
      </c>
      <c r="B21371" s="2" t="str">
        <f>HYPERLINK("http://ts.21cn.com/tousu/show/id/1353484","蜜瓜钱包高利贷")</f>
        <v>蜜瓜钱包高利贷</v>
      </c>
      <c r="C21371" s="2" t="s">
        <v>9</v>
      </c>
      <c r="D21371" s="2" t="s">
        <v>10</v>
      </c>
      <c r="E21371" s="2" t="str">
        <f>HYPERLINK("http://ts.21cn.com/tousu/show/id/1353484","http://ts.21cn.com/tousu/show/id/1353484")</f>
        <v>http://ts.21cn.com/tousu/show/id/1353484</v>
      </c>
      <c r="F21371" s="2" t="s">
        <v>11</v>
      </c>
      <c r="G21371" s="2" t="s">
        <v>2128</v>
      </c>
      <c r="H21371" s="2" t="s">
        <v>2129</v>
      </c>
    </row>
    <row r="21372" spans="1:8" ht="25.05" customHeight="1" x14ac:dyDescent="0.25">
      <c r="A21372" s="2" t="s">
        <v>8</v>
      </c>
      <c r="B21372" s="2" t="str">
        <f>HYPERLINK("http://ts.21cn.com/tousu/show/id/1353425","云南信托信而富砍头息")</f>
        <v>云南信托信而富砍头息</v>
      </c>
      <c r="C21372" s="2" t="s">
        <v>9</v>
      </c>
      <c r="D21372" s="2" t="s">
        <v>10</v>
      </c>
      <c r="E21372" s="2" t="str">
        <f>HYPERLINK("http://ts.21cn.com/tousu/show/id/1353425","http://ts.21cn.com/tousu/show/id/1353425")</f>
        <v>http://ts.21cn.com/tousu/show/id/1353425</v>
      </c>
      <c r="F21372" s="2" t="s">
        <v>11</v>
      </c>
      <c r="G21372" s="2" t="s">
        <v>2126</v>
      </c>
      <c r="H21372" s="2" t="s">
        <v>2127</v>
      </c>
    </row>
    <row r="21373" spans="1:8" ht="25.05" customHeight="1" x14ac:dyDescent="0.25">
      <c r="A21373" s="2" t="s">
        <v>8</v>
      </c>
      <c r="B21373" s="2" t="str">
        <f>HYPERLINK("http://ts.21cn.com/tousu/show/id/1353289","一点车收取砍头息，暴力催收")</f>
        <v>一点车收取砍头息，暴力催收</v>
      </c>
      <c r="C21373" s="2" t="s">
        <v>9</v>
      </c>
      <c r="D21373" s="2" t="s">
        <v>10</v>
      </c>
      <c r="E21373" s="2" t="str">
        <f>HYPERLINK("http://ts.21cn.com/tousu/show/id/1353289","http://ts.21cn.com/tousu/show/id/1353289")</f>
        <v>http://ts.21cn.com/tousu/show/id/1353289</v>
      </c>
      <c r="F21373" s="2" t="s">
        <v>11</v>
      </c>
      <c r="G21373" s="2" t="s">
        <v>2124</v>
      </c>
      <c r="H21373" s="2" t="s">
        <v>2125</v>
      </c>
    </row>
    <row r="21374" spans="1:8" ht="25.05" customHeight="1" x14ac:dyDescent="0.25">
      <c r="A21374" s="2" t="s">
        <v>8</v>
      </c>
      <c r="B21374" s="2" t="str">
        <f>HYPERLINK("http://ts.21cn.com/tousu/show/id/1353485","松紧贷平台非法收取服务费，要求松紧贷平台退还服务费")</f>
        <v>松紧贷平台非法收取服务费，要求松紧贷平台退还服务费</v>
      </c>
      <c r="C21374" s="2" t="s">
        <v>9</v>
      </c>
      <c r="D21374" s="2" t="s">
        <v>10</v>
      </c>
      <c r="E21374" s="2" t="str">
        <f>HYPERLINK("http://ts.21cn.com/tousu/show/id/1353485","http://ts.21cn.com/tousu/show/id/1353485")</f>
        <v>http://ts.21cn.com/tousu/show/id/1353485</v>
      </c>
      <c r="F21374" s="2" t="s">
        <v>11</v>
      </c>
      <c r="G21374" s="2" t="s">
        <v>2122</v>
      </c>
      <c r="H21374" s="2" t="s">
        <v>2123</v>
      </c>
    </row>
    <row r="21375" spans="1:8" ht="25.05" customHeight="1" x14ac:dyDescent="0.25">
      <c r="A21375" s="2" t="s">
        <v>8</v>
      </c>
      <c r="B21375" s="2" t="str">
        <f>HYPERLINK("http://ts.21cn.com/tousu/show/id/1353463","拼多多提供网络赌博充值链接")</f>
        <v>拼多多提供网络赌博充值链接</v>
      </c>
      <c r="C21375" s="2" t="s">
        <v>9</v>
      </c>
      <c r="D21375" s="2" t="s">
        <v>10</v>
      </c>
      <c r="E21375" s="2" t="str">
        <f>HYPERLINK("http://ts.21cn.com/tousu/show/id/1353463","http://ts.21cn.com/tousu/show/id/1353463")</f>
        <v>http://ts.21cn.com/tousu/show/id/1353463</v>
      </c>
      <c r="F21375" s="2" t="s">
        <v>11</v>
      </c>
      <c r="G21375" s="2" t="s">
        <v>2120</v>
      </c>
      <c r="H21375" s="2" t="s">
        <v>2121</v>
      </c>
    </row>
    <row r="21376" spans="1:8" ht="25.05" customHeight="1" x14ac:dyDescent="0.25">
      <c r="A21376" s="2" t="s">
        <v>8</v>
      </c>
      <c r="B21376" s="2" t="str">
        <f>HYPERLINK("http://ts.21cn.com/tousu/show/id/1353486","群发短信骚扰")</f>
        <v>群发短信骚扰</v>
      </c>
      <c r="C21376" s="2" t="s">
        <v>9</v>
      </c>
      <c r="D21376" s="2" t="s">
        <v>10</v>
      </c>
      <c r="E21376" s="2" t="str">
        <f>HYPERLINK("http://ts.21cn.com/tousu/show/id/1353486","http://ts.21cn.com/tousu/show/id/1353486")</f>
        <v>http://ts.21cn.com/tousu/show/id/1353486</v>
      </c>
      <c r="F21376" s="2" t="s">
        <v>11</v>
      </c>
      <c r="G21376" s="2" t="s">
        <v>2118</v>
      </c>
      <c r="H21376" s="2" t="s">
        <v>2119</v>
      </c>
    </row>
    <row r="21377" spans="1:8" ht="25.05" customHeight="1" x14ac:dyDescent="0.25">
      <c r="A21377" s="2" t="s">
        <v>8</v>
      </c>
      <c r="B21377" s="2" t="str">
        <f>HYPERLINK("http://ts.21cn.com/tousu/show/id/1353487","快贷套路贷")</f>
        <v>快贷套路贷</v>
      </c>
      <c r="C21377" s="2" t="s">
        <v>9</v>
      </c>
      <c r="D21377" s="2" t="s">
        <v>10</v>
      </c>
      <c r="E21377" s="2" t="str">
        <f>HYPERLINK("http://ts.21cn.com/tousu/show/id/1353487","http://ts.21cn.com/tousu/show/id/1353487")</f>
        <v>http://ts.21cn.com/tousu/show/id/1353487</v>
      </c>
      <c r="F21377" s="2" t="s">
        <v>11</v>
      </c>
      <c r="G21377" s="2" t="s">
        <v>2116</v>
      </c>
      <c r="H21377" s="2" t="s">
        <v>2117</v>
      </c>
    </row>
    <row r="21378" spans="1:8" ht="25.05" customHeight="1" x14ac:dyDescent="0.25">
      <c r="A21378" s="2" t="s">
        <v>8</v>
      </c>
      <c r="B21378" s="2" t="str">
        <f>HYPERLINK("http://ts.21cn.com/tousu/show/id/1353489","好易贷平台高额砍头息（服务费）")</f>
        <v>好易贷平台高额砍头息（服务费）</v>
      </c>
      <c r="C21378" s="2" t="s">
        <v>9</v>
      </c>
      <c r="D21378" s="2" t="s">
        <v>10</v>
      </c>
      <c r="E21378" s="2" t="str">
        <f>HYPERLINK("http://ts.21cn.com/tousu/show/id/1353489","http://ts.21cn.com/tousu/show/id/1353489")</f>
        <v>http://ts.21cn.com/tousu/show/id/1353489</v>
      </c>
      <c r="F21378" s="2" t="s">
        <v>11</v>
      </c>
      <c r="G21378" s="2" t="s">
        <v>2114</v>
      </c>
      <c r="H21378" s="2" t="s">
        <v>2115</v>
      </c>
    </row>
    <row r="21379" spans="1:8" ht="25.05" customHeight="1" x14ac:dyDescent="0.25">
      <c r="A21379" s="2" t="s">
        <v>8</v>
      </c>
      <c r="B21379" s="2" t="str">
        <f>HYPERLINK("http://ts.21cn.com/tousu/show/id/1353490","宜商城，汇收宜体现不到账，恶意扣款")</f>
        <v>宜商城，汇收宜体现不到账，恶意扣款</v>
      </c>
      <c r="C21379" s="2" t="s">
        <v>9</v>
      </c>
      <c r="D21379" s="2" t="s">
        <v>10</v>
      </c>
      <c r="E21379" s="2" t="str">
        <f>HYPERLINK("http://ts.21cn.com/tousu/show/id/1353490","http://ts.21cn.com/tousu/show/id/1353490")</f>
        <v>http://ts.21cn.com/tousu/show/id/1353490</v>
      </c>
      <c r="F21379" s="2" t="s">
        <v>11</v>
      </c>
      <c r="G21379" s="2" t="s">
        <v>2112</v>
      </c>
      <c r="H21379" s="2" t="s">
        <v>2113</v>
      </c>
    </row>
    <row r="21380" spans="1:8" ht="25.05" customHeight="1" x14ac:dyDescent="0.25">
      <c r="A21380" s="2" t="s">
        <v>8</v>
      </c>
      <c r="B21380" s="2" t="str">
        <f>HYPERLINK("http://ts.21cn.com/tousu/show/id/1353491","招商银行法务部态度及其恶劣")</f>
        <v>招商银行法务部态度及其恶劣</v>
      </c>
      <c r="C21380" s="2" t="s">
        <v>9</v>
      </c>
      <c r="D21380" s="2" t="s">
        <v>10</v>
      </c>
      <c r="E21380" s="2" t="str">
        <f>HYPERLINK("http://ts.21cn.com/tousu/show/id/1353491","http://ts.21cn.com/tousu/show/id/1353491")</f>
        <v>http://ts.21cn.com/tousu/show/id/1353491</v>
      </c>
      <c r="F21380" s="2" t="s">
        <v>11</v>
      </c>
      <c r="G21380" s="2" t="s">
        <v>2110</v>
      </c>
      <c r="H21380" s="2" t="s">
        <v>2111</v>
      </c>
    </row>
    <row r="21381" spans="1:8" ht="25.05" customHeight="1" x14ac:dyDescent="0.25">
      <c r="A21381" s="2" t="s">
        <v>8</v>
      </c>
      <c r="B21381" s="2" t="str">
        <f>HYPERLINK("http://ts.21cn.com/tousu/show/id/1353464","玖富万卡高利贷，阴阳合同")</f>
        <v>玖富万卡高利贷，阴阳合同</v>
      </c>
      <c r="C21381" s="2" t="s">
        <v>9</v>
      </c>
      <c r="D21381" s="2" t="s">
        <v>10</v>
      </c>
      <c r="E21381" s="2" t="str">
        <f>HYPERLINK("http://ts.21cn.com/tousu/show/id/1353464","http://ts.21cn.com/tousu/show/id/1353464")</f>
        <v>http://ts.21cn.com/tousu/show/id/1353464</v>
      </c>
      <c r="F21381" s="2" t="s">
        <v>11</v>
      </c>
      <c r="G21381" s="2" t="s">
        <v>2108</v>
      </c>
      <c r="H21381" s="2" t="s">
        <v>2109</v>
      </c>
    </row>
    <row r="21382" spans="1:8" ht="25.05" customHeight="1" x14ac:dyDescent="0.25">
      <c r="A21382" s="2" t="s">
        <v>8</v>
      </c>
      <c r="B21382" s="2" t="str">
        <f>HYPERLINK("http://ts.21cn.com/tousu/show/id/1353492","恐吓威胁")</f>
        <v>恐吓威胁</v>
      </c>
      <c r="C21382" s="2" t="s">
        <v>9</v>
      </c>
      <c r="D21382" s="2" t="s">
        <v>10</v>
      </c>
      <c r="E21382" s="2" t="str">
        <f>HYPERLINK("http://ts.21cn.com/tousu/show/id/1353492","http://ts.21cn.com/tousu/show/id/1353492")</f>
        <v>http://ts.21cn.com/tousu/show/id/1353492</v>
      </c>
      <c r="F21382" s="2" t="s">
        <v>11</v>
      </c>
      <c r="G21382" s="2" t="s">
        <v>2106</v>
      </c>
      <c r="H21382" s="2" t="s">
        <v>2107</v>
      </c>
    </row>
    <row r="21383" spans="1:8" ht="25.05" customHeight="1" x14ac:dyDescent="0.25">
      <c r="A21383" s="2" t="s">
        <v>8</v>
      </c>
      <c r="B21383" s="2" t="str">
        <f>HYPERLINK("http://ts.21cn.com/tousu/show/id/1353494","网贷乱收费")</f>
        <v>网贷乱收费</v>
      </c>
      <c r="C21383" s="2" t="s">
        <v>9</v>
      </c>
      <c r="D21383" s="2" t="s">
        <v>10</v>
      </c>
      <c r="E21383" s="2" t="str">
        <f>HYPERLINK("http://ts.21cn.com/tousu/show/id/1353494","http://ts.21cn.com/tousu/show/id/1353494")</f>
        <v>http://ts.21cn.com/tousu/show/id/1353494</v>
      </c>
      <c r="F21383" s="2" t="s">
        <v>11</v>
      </c>
      <c r="G21383" s="2" t="s">
        <v>2104</v>
      </c>
      <c r="H21383" s="2" t="s">
        <v>2105</v>
      </c>
    </row>
    <row r="21384" spans="1:8" ht="25.05" customHeight="1" x14ac:dyDescent="0.25">
      <c r="A21384" s="2" t="s">
        <v>8</v>
      </c>
      <c r="B21384" s="2" t="str">
        <f>HYPERLINK("http://ts.21cn.com/tousu/show/id/1353495","闪银app内闪贷至尊借款乱扣费，变相收砍头息")</f>
        <v>闪银app内闪贷至尊借款乱扣费，变相收砍头息</v>
      </c>
      <c r="C21384" s="2" t="s">
        <v>9</v>
      </c>
      <c r="D21384" s="2" t="s">
        <v>10</v>
      </c>
      <c r="E21384" s="2" t="str">
        <f>HYPERLINK("http://ts.21cn.com/tousu/show/id/1353495","http://ts.21cn.com/tousu/show/id/1353495")</f>
        <v>http://ts.21cn.com/tousu/show/id/1353495</v>
      </c>
      <c r="F21384" s="2" t="s">
        <v>11</v>
      </c>
      <c r="G21384" s="2" t="s">
        <v>2102</v>
      </c>
      <c r="H21384" s="2" t="s">
        <v>2103</v>
      </c>
    </row>
    <row r="21385" spans="1:8" ht="25.05" customHeight="1" x14ac:dyDescent="0.25">
      <c r="A21385" s="2" t="s">
        <v>8</v>
      </c>
      <c r="B21385" s="2" t="str">
        <f>HYPERLINK("http://ts.21cn.com/tousu/show/id/1353496","华尔街英语退费需求")</f>
        <v>华尔街英语退费需求</v>
      </c>
      <c r="C21385" s="2" t="s">
        <v>9</v>
      </c>
      <c r="D21385" s="2" t="s">
        <v>10</v>
      </c>
      <c r="E21385" s="2" t="str">
        <f>HYPERLINK("http://ts.21cn.com/tousu/show/id/1353496","http://ts.21cn.com/tousu/show/id/1353496")</f>
        <v>http://ts.21cn.com/tousu/show/id/1353496</v>
      </c>
      <c r="F21385" s="2" t="s">
        <v>11</v>
      </c>
      <c r="G21385" s="2" t="s">
        <v>2100</v>
      </c>
      <c r="H21385" s="2" t="s">
        <v>2101</v>
      </c>
    </row>
    <row r="21386" spans="1:8" ht="25.05" customHeight="1" x14ac:dyDescent="0.25">
      <c r="A21386" s="2" t="s">
        <v>8</v>
      </c>
      <c r="B21386" s="2" t="str">
        <f>HYPERLINK("http://ts.21cn.com/tousu/show/id/1353288","上海指贝网络科技有限公司")</f>
        <v>上海指贝网络科技有限公司</v>
      </c>
      <c r="C21386" s="2" t="s">
        <v>9</v>
      </c>
      <c r="D21386" s="2" t="s">
        <v>10</v>
      </c>
      <c r="E21386" s="2" t="str">
        <f>HYPERLINK("http://ts.21cn.com/tousu/show/id/1353288","http://ts.21cn.com/tousu/show/id/1353288")</f>
        <v>http://ts.21cn.com/tousu/show/id/1353288</v>
      </c>
      <c r="F21386" s="2" t="s">
        <v>11</v>
      </c>
      <c r="G21386" s="2" t="s">
        <v>2098</v>
      </c>
      <c r="H21386" s="2" t="s">
        <v>2099</v>
      </c>
    </row>
    <row r="21387" spans="1:8" ht="25.05" customHeight="1" x14ac:dyDescent="0.25">
      <c r="A21387" s="2" t="s">
        <v>8</v>
      </c>
      <c r="B21387" s="2" t="str">
        <f>HYPERLINK("http://ts.21cn.com/tousu/show/id/1353498","打电话骚扰我家人")</f>
        <v>打电话骚扰我家人</v>
      </c>
      <c r="C21387" s="2" t="s">
        <v>9</v>
      </c>
      <c r="D21387" s="2" t="s">
        <v>10</v>
      </c>
      <c r="E21387" s="2" t="str">
        <f>HYPERLINK("http://ts.21cn.com/tousu/show/id/1353498","http://ts.21cn.com/tousu/show/id/1353498")</f>
        <v>http://ts.21cn.com/tousu/show/id/1353498</v>
      </c>
      <c r="F21387" s="2" t="s">
        <v>11</v>
      </c>
      <c r="G21387" s="2" t="s">
        <v>2096</v>
      </c>
      <c r="H21387" s="2" t="s">
        <v>2097</v>
      </c>
    </row>
    <row r="21388" spans="1:8" ht="25.05" customHeight="1" x14ac:dyDescent="0.25">
      <c r="A21388" s="2" t="s">
        <v>8</v>
      </c>
      <c r="B21388" s="2" t="str">
        <f>HYPERLINK("http://ts.21cn.com/tousu/show/id/1353497","暴力催收，恐吓")</f>
        <v>暴力催收，恐吓</v>
      </c>
      <c r="C21388" s="2" t="s">
        <v>9</v>
      </c>
      <c r="D21388" s="2" t="s">
        <v>10</v>
      </c>
      <c r="E21388" s="2" t="str">
        <f>HYPERLINK("http://ts.21cn.com/tousu/show/id/1353497","http://ts.21cn.com/tousu/show/id/1353497")</f>
        <v>http://ts.21cn.com/tousu/show/id/1353497</v>
      </c>
      <c r="F21388" s="2" t="s">
        <v>11</v>
      </c>
      <c r="G21388" s="2" t="s">
        <v>2095</v>
      </c>
      <c r="H21388" s="2" t="s">
        <v>1962</v>
      </c>
    </row>
    <row r="21389" spans="1:8" ht="25.05" customHeight="1" x14ac:dyDescent="0.25">
      <c r="A21389" s="2" t="s">
        <v>8</v>
      </c>
      <c r="B21389" s="2" t="str">
        <f>HYPERLINK("http://ts.21cn.com/tousu/show/id/1353472","中国移动不给手机号过户，霸王条款，造成损失，")</f>
        <v>中国移动不给手机号过户，霸王条款，造成损失，</v>
      </c>
      <c r="C21389" s="2" t="s">
        <v>9</v>
      </c>
      <c r="D21389" s="2" t="s">
        <v>10</v>
      </c>
      <c r="E21389" s="2" t="str">
        <f>HYPERLINK("http://ts.21cn.com/tousu/show/id/1353472","http://ts.21cn.com/tousu/show/id/1353472")</f>
        <v>http://ts.21cn.com/tousu/show/id/1353472</v>
      </c>
      <c r="F21389" s="2" t="s">
        <v>11</v>
      </c>
      <c r="G21389" s="2" t="s">
        <v>2093</v>
      </c>
      <c r="H21389" s="2" t="s">
        <v>2094</v>
      </c>
    </row>
    <row r="21390" spans="1:8" ht="25.05" customHeight="1" x14ac:dyDescent="0.25">
      <c r="A21390" s="2" t="s">
        <v>8</v>
      </c>
      <c r="B21390" s="2" t="str">
        <f>HYPERLINK("http://ts.21cn.com/tousu/show/id/1353481","人保财险联合玖富万卡，诱导客户参保。长期扣留退保费用多次反馈无果。")</f>
        <v>人保财险联合玖富万卡，诱导客户参保。长期扣留退保费用多次反馈无果。</v>
      </c>
      <c r="C21390" s="2" t="s">
        <v>9</v>
      </c>
      <c r="D21390" s="2" t="s">
        <v>10</v>
      </c>
      <c r="E21390" s="2" t="str">
        <f>HYPERLINK("http://ts.21cn.com/tousu/show/id/1353481","http://ts.21cn.com/tousu/show/id/1353481")</f>
        <v>http://ts.21cn.com/tousu/show/id/1353481</v>
      </c>
      <c r="F21390" s="2" t="s">
        <v>11</v>
      </c>
      <c r="G21390" s="2" t="s">
        <v>2091</v>
      </c>
      <c r="H21390" s="2" t="s">
        <v>2092</v>
      </c>
    </row>
    <row r="21391" spans="1:8" ht="25.05" customHeight="1" x14ac:dyDescent="0.25">
      <c r="A21391" s="2" t="s">
        <v>8</v>
      </c>
      <c r="B21391" s="2" t="str">
        <f>HYPERLINK("http://ts.21cn.com/tousu/show/id/1353499","拼多多弄虚作假，忽悠老百姓")</f>
        <v>拼多多弄虚作假，忽悠老百姓</v>
      </c>
      <c r="C21391" s="2" t="s">
        <v>9</v>
      </c>
      <c r="D21391" s="2" t="s">
        <v>10</v>
      </c>
      <c r="E21391" s="2" t="str">
        <f>HYPERLINK("http://ts.21cn.com/tousu/show/id/1353499","http://ts.21cn.com/tousu/show/id/1353499")</f>
        <v>http://ts.21cn.com/tousu/show/id/1353499</v>
      </c>
      <c r="F21391" s="2" t="s">
        <v>11</v>
      </c>
      <c r="G21391" s="2" t="s">
        <v>2089</v>
      </c>
      <c r="H21391" s="2" t="s">
        <v>2090</v>
      </c>
    </row>
    <row r="21392" spans="1:8" ht="25.05" customHeight="1" x14ac:dyDescent="0.25">
      <c r="A21392" s="2" t="s">
        <v>8</v>
      </c>
      <c r="B21392" s="2" t="str">
        <f>HYPERLINK("http://ts.21cn.com/tousu/show/id/1353500","马上消费金融恶意骚扰")</f>
        <v>马上消费金融恶意骚扰</v>
      </c>
      <c r="C21392" s="2" t="s">
        <v>9</v>
      </c>
      <c r="D21392" s="2" t="s">
        <v>10</v>
      </c>
      <c r="E21392" s="2" t="str">
        <f>HYPERLINK("http://ts.21cn.com/tousu/show/id/1353500","http://ts.21cn.com/tousu/show/id/1353500")</f>
        <v>http://ts.21cn.com/tousu/show/id/1353500</v>
      </c>
      <c r="F21392" s="2" t="s">
        <v>11</v>
      </c>
      <c r="G21392" s="2" t="s">
        <v>2087</v>
      </c>
      <c r="H21392" s="2" t="s">
        <v>2088</v>
      </c>
    </row>
    <row r="21393" spans="1:8" ht="25.05" customHeight="1" x14ac:dyDescent="0.25">
      <c r="A21393" s="2" t="s">
        <v>8</v>
      </c>
      <c r="B21393" s="2" t="str">
        <f>HYPERLINK("http://ts.21cn.com/tousu/show/id/1353446","卡牛信用管家是否存在高利贷？")</f>
        <v>卡牛信用管家是否存在高利贷？</v>
      </c>
      <c r="C21393" s="2" t="s">
        <v>9</v>
      </c>
      <c r="D21393" s="2" t="s">
        <v>10</v>
      </c>
      <c r="E21393" s="2" t="str">
        <f>HYPERLINK("http://ts.21cn.com/tousu/show/id/1353446","http://ts.21cn.com/tousu/show/id/1353446")</f>
        <v>http://ts.21cn.com/tousu/show/id/1353446</v>
      </c>
      <c r="F21393" s="2" t="s">
        <v>11</v>
      </c>
      <c r="G21393" s="2" t="s">
        <v>2085</v>
      </c>
      <c r="H21393" s="2" t="s">
        <v>2086</v>
      </c>
    </row>
    <row r="21394" spans="1:8" ht="25.05" customHeight="1" x14ac:dyDescent="0.25">
      <c r="A21394" s="2" t="s">
        <v>8</v>
      </c>
      <c r="B21394" s="2" t="str">
        <f>HYPERLINK("http://ts.21cn.com/tousu/show/id/1353501","玖富万卡借款年利率达到35.9％")</f>
        <v>玖富万卡借款年利率达到35.9％</v>
      </c>
      <c r="C21394" s="2" t="s">
        <v>34</v>
      </c>
      <c r="D21394" s="2" t="s">
        <v>10</v>
      </c>
      <c r="E21394" s="2" t="str">
        <f>HYPERLINK("http://ts.21cn.com/tousu/show/id/1353501","http://ts.21cn.com/tousu/show/id/1353501")</f>
        <v>http://ts.21cn.com/tousu/show/id/1353501</v>
      </c>
      <c r="F21394" s="2" t="s">
        <v>11</v>
      </c>
      <c r="G21394" s="2" t="s">
        <v>2083</v>
      </c>
      <c r="H21394" s="2" t="s">
        <v>2084</v>
      </c>
    </row>
    <row r="21395" spans="1:8" ht="25.05" customHeight="1" x14ac:dyDescent="0.25">
      <c r="A21395" s="2" t="s">
        <v>8</v>
      </c>
      <c r="B21395" s="2" t="str">
        <f>HYPERLINK("http://ts.21cn.com/tousu/show/id/1353503","盗刷私自扣款要求退款")</f>
        <v>盗刷私自扣款要求退款</v>
      </c>
      <c r="C21395" s="2" t="s">
        <v>9</v>
      </c>
      <c r="D21395" s="2" t="s">
        <v>10</v>
      </c>
      <c r="E21395" s="2" t="str">
        <f>HYPERLINK("http://ts.21cn.com/tousu/show/id/1353503","http://ts.21cn.com/tousu/show/id/1353503")</f>
        <v>http://ts.21cn.com/tousu/show/id/1353503</v>
      </c>
      <c r="F21395" s="2" t="s">
        <v>11</v>
      </c>
      <c r="G21395" s="2" t="s">
        <v>2081</v>
      </c>
      <c r="H21395" s="2" t="s">
        <v>2082</v>
      </c>
    </row>
    <row r="21396" spans="1:8" ht="25.05" customHeight="1" x14ac:dyDescent="0.25">
      <c r="A21396" s="2" t="s">
        <v>8</v>
      </c>
      <c r="B21396" s="2" t="str">
        <f>HYPERLINK("http://ts.21cn.com/tousu/show/id/1353502","周周花花借3000一个月还5140")</f>
        <v>周周花花借3000一个月还5140</v>
      </c>
      <c r="C21396" s="2" t="s">
        <v>9</v>
      </c>
      <c r="D21396" s="2" t="s">
        <v>10</v>
      </c>
      <c r="E21396" s="2" t="str">
        <f>HYPERLINK("http://ts.21cn.com/tousu/show/id/1353502","http://ts.21cn.com/tousu/show/id/1353502")</f>
        <v>http://ts.21cn.com/tousu/show/id/1353502</v>
      </c>
      <c r="F21396" s="2" t="s">
        <v>11</v>
      </c>
      <c r="G21396" s="2" t="s">
        <v>2079</v>
      </c>
      <c r="H21396" s="2" t="s">
        <v>2080</v>
      </c>
    </row>
    <row r="21397" spans="1:8" ht="25.05" customHeight="1" x14ac:dyDescent="0.25">
      <c r="A21397" s="2" t="s">
        <v>8</v>
      </c>
      <c r="B21397" s="2" t="str">
        <f>HYPERLINK("http://ts.21cn.com/tousu/show/id/1353504","我来贷利息太高了")</f>
        <v>我来贷利息太高了</v>
      </c>
      <c r="C21397" s="2" t="s">
        <v>9</v>
      </c>
      <c r="D21397" s="2" t="s">
        <v>10</v>
      </c>
      <c r="E21397" s="2" t="str">
        <f>HYPERLINK("http://ts.21cn.com/tousu/show/id/1353504","http://ts.21cn.com/tousu/show/id/1353504")</f>
        <v>http://ts.21cn.com/tousu/show/id/1353504</v>
      </c>
      <c r="F21397" s="2" t="s">
        <v>11</v>
      </c>
      <c r="G21397" s="2" t="s">
        <v>2077</v>
      </c>
      <c r="H21397" s="2" t="s">
        <v>2078</v>
      </c>
    </row>
    <row r="21398" spans="1:8" ht="25.05" customHeight="1" x14ac:dyDescent="0.25">
      <c r="A21398" s="2" t="s">
        <v>8</v>
      </c>
      <c r="B21398" s="2" t="str">
        <f>HYPERLINK("http://ts.21cn.com/tousu/show/id/1353507","唯品会出售假冒伪劣产品，售后处理不力")</f>
        <v>唯品会出售假冒伪劣产品，售后处理不力</v>
      </c>
      <c r="C21398" s="2" t="s">
        <v>9</v>
      </c>
      <c r="D21398" s="2" t="s">
        <v>10</v>
      </c>
      <c r="E21398" s="2" t="str">
        <f>HYPERLINK("http://ts.21cn.com/tousu/show/id/1353507","http://ts.21cn.com/tousu/show/id/1353507")</f>
        <v>http://ts.21cn.com/tousu/show/id/1353507</v>
      </c>
      <c r="F21398" s="2" t="s">
        <v>11</v>
      </c>
      <c r="G21398" s="2" t="s">
        <v>2075</v>
      </c>
      <c r="H21398" s="2" t="s">
        <v>2076</v>
      </c>
    </row>
    <row r="21399" spans="1:8" ht="25.05" customHeight="1" x14ac:dyDescent="0.25">
      <c r="A21399" s="2" t="s">
        <v>8</v>
      </c>
      <c r="B21399" s="2" t="str">
        <f>HYPERLINK("http://ts.21cn.com/tousu/show/id/1353508","投诉阿里巴巴平台的潮州市枫溪区灰楼陶瓷厂发给我的餐具质量有问题缺我一个餐具")</f>
        <v>投诉阿里巴巴平台的潮州市枫溪区灰楼陶瓷厂发给我的餐具质量有问题缺我一个餐具</v>
      </c>
      <c r="C21399" s="2" t="s">
        <v>9</v>
      </c>
      <c r="D21399" s="2" t="s">
        <v>10</v>
      </c>
      <c r="E21399" s="2" t="str">
        <f>HYPERLINK("http://ts.21cn.com/tousu/show/id/1353508","http://ts.21cn.com/tousu/show/id/1353508")</f>
        <v>http://ts.21cn.com/tousu/show/id/1353508</v>
      </c>
      <c r="F21399" s="2" t="s">
        <v>11</v>
      </c>
      <c r="G21399" s="2" t="s">
        <v>2073</v>
      </c>
      <c r="H21399" s="2" t="s">
        <v>2074</v>
      </c>
    </row>
    <row r="21400" spans="1:8" ht="25.05" customHeight="1" x14ac:dyDescent="0.25">
      <c r="A21400" s="2" t="s">
        <v>8</v>
      </c>
      <c r="B21400" s="2" t="str">
        <f>HYPERLINK("http://ts.21cn.com/tousu/show/id/1353509","招联金融暴力催收，短信威胁")</f>
        <v>招联金融暴力催收，短信威胁</v>
      </c>
      <c r="C21400" s="2" t="s">
        <v>9</v>
      </c>
      <c r="D21400" s="2" t="s">
        <v>10</v>
      </c>
      <c r="E21400" s="2" t="str">
        <f>HYPERLINK("http://ts.21cn.com/tousu/show/id/1353509","http://ts.21cn.com/tousu/show/id/1353509")</f>
        <v>http://ts.21cn.com/tousu/show/id/1353509</v>
      </c>
      <c r="F21400" s="2" t="s">
        <v>11</v>
      </c>
      <c r="G21400" s="2" t="s">
        <v>2071</v>
      </c>
      <c r="H21400" s="2" t="s">
        <v>2072</v>
      </c>
    </row>
    <row r="21401" spans="1:8" ht="25.05" customHeight="1" x14ac:dyDescent="0.25">
      <c r="A21401" s="2" t="s">
        <v>8</v>
      </c>
      <c r="B21401" s="2" t="str">
        <f>HYPERLINK("http://ts.21cn.com/tousu/show/id/1353510","玖富万卡高利贷，阴阳合同")</f>
        <v>玖富万卡高利贷，阴阳合同</v>
      </c>
      <c r="C21401" s="2" t="s">
        <v>9</v>
      </c>
      <c r="D21401" s="2" t="s">
        <v>10</v>
      </c>
      <c r="E21401" s="2" t="str">
        <f>HYPERLINK("http://ts.21cn.com/tousu/show/id/1353510","http://ts.21cn.com/tousu/show/id/1353510")</f>
        <v>http://ts.21cn.com/tousu/show/id/1353510</v>
      </c>
      <c r="F21401" s="2" t="s">
        <v>11</v>
      </c>
      <c r="G21401" s="2" t="s">
        <v>2069</v>
      </c>
      <c r="H21401" s="2" t="s">
        <v>2070</v>
      </c>
    </row>
    <row r="21402" spans="1:8" ht="25.05" customHeight="1" x14ac:dyDescent="0.25">
      <c r="A21402" s="2" t="s">
        <v>8</v>
      </c>
      <c r="B21402" s="2" t="str">
        <f>HYPERLINK("http://ts.21cn.com/tousu/show/id/1353450","借趣花暴力催收，骚扰辱骂亲朋好友！")</f>
        <v>借趣花暴力催收，骚扰辱骂亲朋好友！</v>
      </c>
      <c r="C21402" s="2" t="s">
        <v>9</v>
      </c>
      <c r="D21402" s="2" t="s">
        <v>10</v>
      </c>
      <c r="E21402" s="2" t="str">
        <f>HYPERLINK("http://ts.21cn.com/tousu/show/id/1353450","http://ts.21cn.com/tousu/show/id/1353450")</f>
        <v>http://ts.21cn.com/tousu/show/id/1353450</v>
      </c>
      <c r="F21402" s="2" t="s">
        <v>11</v>
      </c>
      <c r="G21402" s="2" t="s">
        <v>2067</v>
      </c>
      <c r="H21402" s="2" t="s">
        <v>2068</v>
      </c>
    </row>
    <row r="21403" spans="1:8" ht="25.05" customHeight="1" x14ac:dyDescent="0.25">
      <c r="A21403" s="2" t="s">
        <v>8</v>
      </c>
      <c r="B21403" s="2" t="str">
        <f>HYPERLINK("http://ts.21cn.com/tousu/show/id/1353511","马上消费金融利息高")</f>
        <v>马上消费金融利息高</v>
      </c>
      <c r="C21403" s="2" t="s">
        <v>9</v>
      </c>
      <c r="D21403" s="2" t="s">
        <v>10</v>
      </c>
      <c r="E21403" s="2" t="str">
        <f>HYPERLINK("http://ts.21cn.com/tousu/show/id/1353511","http://ts.21cn.com/tousu/show/id/1353511")</f>
        <v>http://ts.21cn.com/tousu/show/id/1353511</v>
      </c>
      <c r="F21403" s="2" t="s">
        <v>11</v>
      </c>
      <c r="G21403" s="2" t="s">
        <v>2065</v>
      </c>
      <c r="H21403" s="2" t="s">
        <v>2066</v>
      </c>
    </row>
    <row r="21404" spans="1:8" ht="25.05" customHeight="1" x14ac:dyDescent="0.25">
      <c r="A21404" s="2" t="s">
        <v>8</v>
      </c>
      <c r="B21404" s="2" t="str">
        <f>HYPERLINK("http://ts.21cn.com/tousu/show/id/1353512","米米罐协商还款")</f>
        <v>米米罐协商还款</v>
      </c>
      <c r="C21404" s="2" t="s">
        <v>34</v>
      </c>
      <c r="D21404" s="2" t="s">
        <v>10</v>
      </c>
      <c r="E21404" s="2" t="str">
        <f>HYPERLINK("http://ts.21cn.com/tousu/show/id/1353512","http://ts.21cn.com/tousu/show/id/1353512")</f>
        <v>http://ts.21cn.com/tousu/show/id/1353512</v>
      </c>
      <c r="F21404" s="2" t="s">
        <v>11</v>
      </c>
      <c r="G21404" s="2" t="s">
        <v>2063</v>
      </c>
      <c r="H21404" s="2" t="s">
        <v>2064</v>
      </c>
    </row>
    <row r="21405" spans="1:8" ht="25.05" customHeight="1" x14ac:dyDescent="0.25">
      <c r="A21405" s="2" t="s">
        <v>8</v>
      </c>
      <c r="B21405" s="2" t="str">
        <f>HYPERLINK("http://ts.21cn.com/tousu/show/id/1353516","安逸花暴力催收，恐吓孙膑亲朋好友")</f>
        <v>安逸花暴力催收，恐吓孙膑亲朋好友</v>
      </c>
      <c r="C21405" s="2" t="s">
        <v>9</v>
      </c>
      <c r="D21405" s="2" t="s">
        <v>10</v>
      </c>
      <c r="E21405" s="2" t="str">
        <f>HYPERLINK("http://ts.21cn.com/tousu/show/id/1353516","http://ts.21cn.com/tousu/show/id/1353516")</f>
        <v>http://ts.21cn.com/tousu/show/id/1353516</v>
      </c>
      <c r="F21405" s="2" t="s">
        <v>11</v>
      </c>
      <c r="G21405" s="2" t="s">
        <v>2061</v>
      </c>
      <c r="H21405" s="2" t="s">
        <v>2062</v>
      </c>
    </row>
    <row r="21406" spans="1:8" ht="25.05" customHeight="1" x14ac:dyDescent="0.25">
      <c r="A21406" s="2" t="s">
        <v>8</v>
      </c>
      <c r="B21406" s="2" t="str">
        <f>HYPERLINK("http://ts.21cn.com/tousu/show/id/1353513","砍头息")</f>
        <v>砍头息</v>
      </c>
      <c r="C21406" s="2" t="s">
        <v>34</v>
      </c>
      <c r="D21406" s="2" t="s">
        <v>10</v>
      </c>
      <c r="E21406" s="2" t="str">
        <f>HYPERLINK("http://ts.21cn.com/tousu/show/id/1353513","http://ts.21cn.com/tousu/show/id/1353513")</f>
        <v>http://ts.21cn.com/tousu/show/id/1353513</v>
      </c>
      <c r="F21406" s="2" t="s">
        <v>11</v>
      </c>
      <c r="G21406" s="2" t="s">
        <v>2059</v>
      </c>
      <c r="H21406" s="2" t="s">
        <v>2060</v>
      </c>
    </row>
    <row r="21407" spans="1:8" ht="25.05" customHeight="1" x14ac:dyDescent="0.25">
      <c r="A21407" s="2" t="s">
        <v>8</v>
      </c>
      <c r="B21407" s="2" t="str">
        <f>HYPERLINK("http://ts.21cn.com/tousu/show/id/1353514","京东etc迟迟不给注销")</f>
        <v>京东etc迟迟不给注销</v>
      </c>
      <c r="C21407" s="2" t="s">
        <v>9</v>
      </c>
      <c r="D21407" s="2" t="s">
        <v>10</v>
      </c>
      <c r="E21407" s="2" t="str">
        <f>HYPERLINK("http://ts.21cn.com/tousu/show/id/1353514","http://ts.21cn.com/tousu/show/id/1353514")</f>
        <v>http://ts.21cn.com/tousu/show/id/1353514</v>
      </c>
      <c r="F21407" s="2" t="s">
        <v>11</v>
      </c>
      <c r="G21407" s="2" t="s">
        <v>2057</v>
      </c>
      <c r="H21407" s="2" t="s">
        <v>2058</v>
      </c>
    </row>
    <row r="21408" spans="1:8" ht="25.05" customHeight="1" x14ac:dyDescent="0.25">
      <c r="A21408" s="2" t="s">
        <v>8</v>
      </c>
      <c r="B21408" s="2" t="str">
        <f>HYPERLINK("http://ts.21cn.com/tousu/show/id/1353518","平安银行办理催收，骚扰朋友")</f>
        <v>平安银行办理催收，骚扰朋友</v>
      </c>
      <c r="C21408" s="2" t="s">
        <v>9</v>
      </c>
      <c r="D21408" s="2" t="s">
        <v>10</v>
      </c>
      <c r="E21408" s="2" t="str">
        <f>HYPERLINK("http://ts.21cn.com/tousu/show/id/1353518","http://ts.21cn.com/tousu/show/id/1353518")</f>
        <v>http://ts.21cn.com/tousu/show/id/1353518</v>
      </c>
      <c r="F21408" s="2" t="s">
        <v>11</v>
      </c>
      <c r="G21408" s="2" t="s">
        <v>2054</v>
      </c>
      <c r="H21408" s="2" t="s">
        <v>2055</v>
      </c>
    </row>
    <row r="21409" spans="1:8" ht="25.05" customHeight="1" x14ac:dyDescent="0.25">
      <c r="A21409" s="2" t="s">
        <v>8</v>
      </c>
      <c r="B21409" s="2" t="str">
        <f>HYPERLINK("http://ts.21cn.com/tousu/show/id/1125436","微贷网车贷正常还款，还不停到处找我车，拦我车，客服还打电话辱骂")</f>
        <v>微贷网车贷正常还款，还不停到处找我车，拦我车，客服还打电话辱骂</v>
      </c>
      <c r="C21409" s="2" t="s">
        <v>9</v>
      </c>
      <c r="D21409" s="2" t="s">
        <v>10</v>
      </c>
      <c r="E21409" s="2" t="str">
        <f>HYPERLINK("http://ts.21cn.com/tousu/show/id/1125436","http://ts.21cn.com/tousu/show/id/1125436")</f>
        <v>http://ts.21cn.com/tousu/show/id/1125436</v>
      </c>
      <c r="F21409" s="2" t="s">
        <v>11</v>
      </c>
      <c r="G21409" s="2" t="s">
        <v>2054</v>
      </c>
      <c r="H21409" s="2" t="s">
        <v>2056</v>
      </c>
    </row>
    <row r="21410" spans="1:8" ht="25.05" customHeight="1" x14ac:dyDescent="0.25">
      <c r="A21410" s="2" t="s">
        <v>8</v>
      </c>
      <c r="B21410" s="2" t="str">
        <f>HYPERLINK("http://ts.21cn.com/tousu/show/id/1353520","没借马上消费金融的每天打电话发信息来骚扰我，客服问题要求停止")</f>
        <v>没借马上消费金融的每天打电话发信息来骚扰我，客服问题要求停止</v>
      </c>
      <c r="C21410" s="2" t="s">
        <v>9</v>
      </c>
      <c r="D21410" s="2" t="s">
        <v>10</v>
      </c>
      <c r="E21410" s="2" t="str">
        <f>HYPERLINK("http://ts.21cn.com/tousu/show/id/1353520","http://ts.21cn.com/tousu/show/id/1353520")</f>
        <v>http://ts.21cn.com/tousu/show/id/1353520</v>
      </c>
      <c r="F21410" s="2" t="s">
        <v>11</v>
      </c>
      <c r="G21410" s="2" t="s">
        <v>2052</v>
      </c>
      <c r="H21410" s="2" t="s">
        <v>2053</v>
      </c>
    </row>
    <row r="21411" spans="1:8" ht="25.05" customHeight="1" x14ac:dyDescent="0.25">
      <c r="A21411" s="2" t="s">
        <v>8</v>
      </c>
      <c r="B21411" s="2" t="str">
        <f>HYPERLINK("http://ts.21cn.com/tousu/show/id/1353519","美团生活费")</f>
        <v>美团生活费</v>
      </c>
      <c r="C21411" s="2" t="s">
        <v>9</v>
      </c>
      <c r="D21411" s="2" t="s">
        <v>10</v>
      </c>
      <c r="E21411" s="2" t="str">
        <f>HYPERLINK("http://ts.21cn.com/tousu/show/id/1353519","http://ts.21cn.com/tousu/show/id/1353519")</f>
        <v>http://ts.21cn.com/tousu/show/id/1353519</v>
      </c>
      <c r="F21411" s="2" t="s">
        <v>11</v>
      </c>
      <c r="G21411" s="2" t="s">
        <v>2050</v>
      </c>
      <c r="H21411" s="2" t="s">
        <v>2051</v>
      </c>
    </row>
    <row r="21412" spans="1:8" ht="25.05" customHeight="1" x14ac:dyDescent="0.25">
      <c r="A21412" s="2" t="s">
        <v>8</v>
      </c>
      <c r="B21412" s="2" t="str">
        <f>HYPERLINK("http://ts.21cn.com/tousu/show/id/1353521","银行卡钱被扣")</f>
        <v>银行卡钱被扣</v>
      </c>
      <c r="C21412" s="2" t="s">
        <v>9</v>
      </c>
      <c r="D21412" s="2" t="s">
        <v>10</v>
      </c>
      <c r="E21412" s="2" t="str">
        <f>HYPERLINK("http://ts.21cn.com/tousu/show/id/1353521","http://ts.21cn.com/tousu/show/id/1353521")</f>
        <v>http://ts.21cn.com/tousu/show/id/1353521</v>
      </c>
      <c r="F21412" s="2" t="s">
        <v>11</v>
      </c>
      <c r="G21412" s="2" t="s">
        <v>2048</v>
      </c>
      <c r="H21412" s="2" t="s">
        <v>2049</v>
      </c>
    </row>
    <row r="21413" spans="1:8" ht="25.05" customHeight="1" x14ac:dyDescent="0.25">
      <c r="A21413" s="2" t="s">
        <v>8</v>
      </c>
      <c r="B21413" s="2" t="str">
        <f>HYPERLINK("http://ts.21cn.com/tousu/show/id/1353522","京东白条外包")</f>
        <v>京东白条外包</v>
      </c>
      <c r="C21413" s="2" t="s">
        <v>9</v>
      </c>
      <c r="D21413" s="2" t="s">
        <v>10</v>
      </c>
      <c r="E21413" s="2" t="str">
        <f>HYPERLINK("http://ts.21cn.com/tousu/show/id/1353522","http://ts.21cn.com/tousu/show/id/1353522")</f>
        <v>http://ts.21cn.com/tousu/show/id/1353522</v>
      </c>
      <c r="F21413" s="2" t="s">
        <v>11</v>
      </c>
      <c r="G21413" s="2" t="s">
        <v>2046</v>
      </c>
      <c r="H21413" s="2" t="s">
        <v>2047</v>
      </c>
    </row>
    <row r="21414" spans="1:8" ht="25.05" customHeight="1" x14ac:dyDescent="0.25">
      <c r="A21414" s="2" t="s">
        <v>8</v>
      </c>
      <c r="B21414" s="2" t="str">
        <f>HYPERLINK("http://ts.21cn.com/tousu/show/id/1353523","恶意骚扰，恐吓。侮辱")</f>
        <v>恶意骚扰，恐吓。侮辱</v>
      </c>
      <c r="C21414" s="2" t="s">
        <v>9</v>
      </c>
      <c r="D21414" s="2" t="s">
        <v>10</v>
      </c>
      <c r="E21414" s="2" t="str">
        <f>HYPERLINK("http://ts.21cn.com/tousu/show/id/1353523","http://ts.21cn.com/tousu/show/id/1353523")</f>
        <v>http://ts.21cn.com/tousu/show/id/1353523</v>
      </c>
      <c r="F21414" s="2" t="s">
        <v>11</v>
      </c>
      <c r="G21414" s="2" t="s">
        <v>2044</v>
      </c>
      <c r="H21414" s="2" t="s">
        <v>2045</v>
      </c>
    </row>
    <row r="21415" spans="1:8" ht="25.05" customHeight="1" x14ac:dyDescent="0.25">
      <c r="A21415" s="2" t="s">
        <v>8</v>
      </c>
      <c r="B21415" s="2" t="str">
        <f>HYPERLINK("http://ts.21cn.com/tousu/show/id/1353524","捷信金融利息非常不合理")</f>
        <v>捷信金融利息非常不合理</v>
      </c>
      <c r="C21415" s="2" t="s">
        <v>9</v>
      </c>
      <c r="D21415" s="2" t="s">
        <v>10</v>
      </c>
      <c r="E21415" s="2" t="str">
        <f>HYPERLINK("http://ts.21cn.com/tousu/show/id/1353524","http://ts.21cn.com/tousu/show/id/1353524")</f>
        <v>http://ts.21cn.com/tousu/show/id/1353524</v>
      </c>
      <c r="F21415" s="2" t="s">
        <v>11</v>
      </c>
      <c r="G21415" s="2" t="s">
        <v>2042</v>
      </c>
      <c r="H21415" s="2" t="s">
        <v>2043</v>
      </c>
    </row>
    <row r="21416" spans="1:8" ht="25.05" customHeight="1" x14ac:dyDescent="0.25">
      <c r="A21416" s="2" t="s">
        <v>8</v>
      </c>
      <c r="B21416" s="2" t="str">
        <f>HYPERLINK("http://ts.21cn.com/tousu/show/id/1353525","网贷欠款，催收骚扰不断")</f>
        <v>网贷欠款，催收骚扰不断</v>
      </c>
      <c r="C21416" s="2" t="s">
        <v>9</v>
      </c>
      <c r="D21416" s="2" t="s">
        <v>10</v>
      </c>
      <c r="E21416" s="2" t="str">
        <f>HYPERLINK("http://ts.21cn.com/tousu/show/id/1353525","http://ts.21cn.com/tousu/show/id/1353525")</f>
        <v>http://ts.21cn.com/tousu/show/id/1353525</v>
      </c>
      <c r="F21416" s="2" t="s">
        <v>11</v>
      </c>
      <c r="G21416" s="2" t="s">
        <v>2040</v>
      </c>
      <c r="H21416" s="2" t="s">
        <v>2041</v>
      </c>
    </row>
    <row r="21417" spans="1:8" ht="25.05" customHeight="1" x14ac:dyDescent="0.25">
      <c r="A21417" s="2" t="s">
        <v>8</v>
      </c>
      <c r="B21417" s="2" t="str">
        <f>HYPERLINK("http://ts.21cn.com/tousu/show/id/1353526","随手记随意爆通讯录，威胁我通讯录好友")</f>
        <v>随手记随意爆通讯录，威胁我通讯录好友</v>
      </c>
      <c r="C21417" s="2" t="s">
        <v>9</v>
      </c>
      <c r="D21417" s="2" t="s">
        <v>10</v>
      </c>
      <c r="E21417" s="2" t="str">
        <f>HYPERLINK("http://ts.21cn.com/tousu/show/id/1353526","http://ts.21cn.com/tousu/show/id/1353526")</f>
        <v>http://ts.21cn.com/tousu/show/id/1353526</v>
      </c>
      <c r="F21417" s="2" t="s">
        <v>11</v>
      </c>
      <c r="G21417" s="2" t="s">
        <v>2038</v>
      </c>
      <c r="H21417" s="2" t="s">
        <v>2039</v>
      </c>
    </row>
    <row r="21418" spans="1:8" ht="25.05" customHeight="1" x14ac:dyDescent="0.25">
      <c r="A21418" s="2" t="s">
        <v>8</v>
      </c>
      <c r="B21418" s="2" t="str">
        <f>HYPERLINK("http://ts.21cn.com/tousu/show/id/1353527","暴力催收，骚扰通讯录")</f>
        <v>暴力催收，骚扰通讯录</v>
      </c>
      <c r="C21418" s="2" t="s">
        <v>9</v>
      </c>
      <c r="D21418" s="2" t="s">
        <v>10</v>
      </c>
      <c r="E21418" s="2" t="str">
        <f>HYPERLINK("http://ts.21cn.com/tousu/show/id/1353527","http://ts.21cn.com/tousu/show/id/1353527")</f>
        <v>http://ts.21cn.com/tousu/show/id/1353527</v>
      </c>
      <c r="F21418" s="2" t="s">
        <v>11</v>
      </c>
      <c r="G21418" s="2" t="s">
        <v>2036</v>
      </c>
      <c r="H21418" s="2" t="s">
        <v>2037</v>
      </c>
    </row>
    <row r="21419" spans="1:8" ht="25.05" customHeight="1" x14ac:dyDescent="0.25">
      <c r="A21419" s="2" t="s">
        <v>8</v>
      </c>
      <c r="B21419" s="2" t="str">
        <f>HYPERLINK("http://ts.21cn.com/tousu/show/id/1353530","黑心网贷")</f>
        <v>黑心网贷</v>
      </c>
      <c r="C21419" s="2" t="s">
        <v>9</v>
      </c>
      <c r="D21419" s="2" t="s">
        <v>10</v>
      </c>
      <c r="E21419" s="2" t="str">
        <f>HYPERLINK("http://ts.21cn.com/tousu/show/id/1353530","http://ts.21cn.com/tousu/show/id/1353530")</f>
        <v>http://ts.21cn.com/tousu/show/id/1353530</v>
      </c>
      <c r="F21419" s="2" t="s">
        <v>11</v>
      </c>
      <c r="G21419" s="2" t="s">
        <v>2033</v>
      </c>
      <c r="H21419" s="2" t="s">
        <v>2034</v>
      </c>
    </row>
    <row r="21420" spans="1:8" ht="25.05" customHeight="1" x14ac:dyDescent="0.25">
      <c r="A21420" s="2" t="s">
        <v>8</v>
      </c>
      <c r="B21420" s="2" t="str">
        <f>HYPERLINK("http://ts.21cn.com/tousu/show/id/1353529","建设银行信用卡不给退罚息及违约金")</f>
        <v>建设银行信用卡不给退罚息及违约金</v>
      </c>
      <c r="C21420" s="2" t="s">
        <v>9</v>
      </c>
      <c r="D21420" s="2" t="s">
        <v>10</v>
      </c>
      <c r="E21420" s="2" t="str">
        <f>HYPERLINK("http://ts.21cn.com/tousu/show/id/1353529","http://ts.21cn.com/tousu/show/id/1353529")</f>
        <v>http://ts.21cn.com/tousu/show/id/1353529</v>
      </c>
      <c r="F21420" s="2" t="s">
        <v>11</v>
      </c>
      <c r="G21420" s="2" t="s">
        <v>2033</v>
      </c>
      <c r="H21420" s="2" t="s">
        <v>2035</v>
      </c>
    </row>
    <row r="21421" spans="1:8" ht="25.05" customHeight="1" x14ac:dyDescent="0.25">
      <c r="A21421" s="2" t="s">
        <v>8</v>
      </c>
      <c r="B21421" s="2" t="str">
        <f>HYPERLINK("http://ts.21cn.com/tousu/show/id/1353531","造艺科技盗刷钱财，行为存在欺诈")</f>
        <v>造艺科技盗刷钱财，行为存在欺诈</v>
      </c>
      <c r="C21421" s="2" t="s">
        <v>9</v>
      </c>
      <c r="D21421" s="2" t="s">
        <v>10</v>
      </c>
      <c r="E21421" s="2" t="str">
        <f>HYPERLINK("http://ts.21cn.com/tousu/show/id/1353531","http://ts.21cn.com/tousu/show/id/1353531")</f>
        <v>http://ts.21cn.com/tousu/show/id/1353531</v>
      </c>
      <c r="F21421" s="2" t="s">
        <v>11</v>
      </c>
      <c r="G21421" s="2" t="s">
        <v>2031</v>
      </c>
      <c r="H21421" s="2" t="s">
        <v>2032</v>
      </c>
    </row>
    <row r="21422" spans="1:8" ht="25.05" customHeight="1" x14ac:dyDescent="0.25">
      <c r="A21422" s="2" t="s">
        <v>8</v>
      </c>
      <c r="B21422" s="2" t="str">
        <f>HYPERLINK("http://ts.21cn.com/tousu/show/id/1353532","网贷平台短期借款超高利息")</f>
        <v>网贷平台短期借款超高利息</v>
      </c>
      <c r="C21422" s="2" t="s">
        <v>34</v>
      </c>
      <c r="D21422" s="2" t="s">
        <v>10</v>
      </c>
      <c r="E21422" s="2" t="str">
        <f>HYPERLINK("http://ts.21cn.com/tousu/show/id/1353532","http://ts.21cn.com/tousu/show/id/1353532")</f>
        <v>http://ts.21cn.com/tousu/show/id/1353532</v>
      </c>
      <c r="F21422" s="2" t="s">
        <v>11</v>
      </c>
      <c r="G21422" s="2" t="s">
        <v>2029</v>
      </c>
      <c r="H21422" s="2" t="s">
        <v>2030</v>
      </c>
    </row>
    <row r="21423" spans="1:8" ht="25.05" customHeight="1" x14ac:dyDescent="0.25">
      <c r="A21423" s="2" t="s">
        <v>8</v>
      </c>
      <c r="B21423" s="2" t="str">
        <f>HYPERLINK("http://ts.21cn.com/tousu/show/id/1353533","电信工作人员在我不知道的情况下办理橙分期业务")</f>
        <v>电信工作人员在我不知道的情况下办理橙分期业务</v>
      </c>
      <c r="C21423" s="2" t="s">
        <v>9</v>
      </c>
      <c r="D21423" s="2" t="s">
        <v>10</v>
      </c>
      <c r="E21423" s="2" t="str">
        <f>HYPERLINK("http://ts.21cn.com/tousu/show/id/1353533","http://ts.21cn.com/tousu/show/id/1353533")</f>
        <v>http://ts.21cn.com/tousu/show/id/1353533</v>
      </c>
      <c r="F21423" s="2" t="s">
        <v>11</v>
      </c>
      <c r="G21423" s="2" t="s">
        <v>2027</v>
      </c>
      <c r="H21423" s="2" t="s">
        <v>2028</v>
      </c>
    </row>
    <row r="21424" spans="1:8" ht="25.05" customHeight="1" x14ac:dyDescent="0.25">
      <c r="A21424" s="2" t="s">
        <v>8</v>
      </c>
      <c r="B21424" s="2" t="str">
        <f>HYPERLINK("http://ts.21cn.com/tousu/show/id/1353535","群发信息给通讯录里所有人")</f>
        <v>群发信息给通讯录里所有人</v>
      </c>
      <c r="C21424" s="2" t="s">
        <v>9</v>
      </c>
      <c r="D21424" s="2" t="s">
        <v>10</v>
      </c>
      <c r="E21424" s="2" t="str">
        <f>HYPERLINK("http://ts.21cn.com/tousu/show/id/1353535","http://ts.21cn.com/tousu/show/id/1353535")</f>
        <v>http://ts.21cn.com/tousu/show/id/1353535</v>
      </c>
      <c r="F21424" s="2" t="s">
        <v>11</v>
      </c>
      <c r="G21424" s="2" t="s">
        <v>2025</v>
      </c>
      <c r="H21424" s="2" t="s">
        <v>2026</v>
      </c>
    </row>
    <row r="21425" spans="1:8" ht="25.05" customHeight="1" x14ac:dyDescent="0.25">
      <c r="A21425" s="2" t="s">
        <v>8</v>
      </c>
      <c r="B21425" s="2" t="str">
        <f>HYPERLINK("http://ts.21cn.com/tousu/show/id/1353528","存钱柜非法高利贷非法恐吓")</f>
        <v>存钱柜非法高利贷非法恐吓</v>
      </c>
      <c r="C21425" s="2" t="s">
        <v>9</v>
      </c>
      <c r="D21425" s="2" t="s">
        <v>10</v>
      </c>
      <c r="E21425" s="2" t="str">
        <f>HYPERLINK("http://ts.21cn.com/tousu/show/id/1353528","http://ts.21cn.com/tousu/show/id/1353528")</f>
        <v>http://ts.21cn.com/tousu/show/id/1353528</v>
      </c>
      <c r="F21425" s="2" t="s">
        <v>11</v>
      </c>
      <c r="G21425" s="2" t="s">
        <v>2023</v>
      </c>
      <c r="H21425" s="2" t="s">
        <v>2024</v>
      </c>
    </row>
    <row r="21426" spans="1:8" ht="25.05" customHeight="1" x14ac:dyDescent="0.25">
      <c r="A21426" s="2" t="s">
        <v>8</v>
      </c>
      <c r="B21426" s="2" t="str">
        <f>HYPERLINK("http://ts.21cn.com/tousu/show/id/1353534","浦发银行信用卡在我本人住院的情况下产生逾期费用，还清之后销卡并且不退还罚息")</f>
        <v>浦发银行信用卡在我本人住院的情况下产生逾期费用，还清之后销卡并且不退还罚息</v>
      </c>
      <c r="C21426" s="2" t="s">
        <v>9</v>
      </c>
      <c r="D21426" s="2" t="s">
        <v>10</v>
      </c>
      <c r="E21426" s="2" t="str">
        <f>HYPERLINK("http://ts.21cn.com/tousu/show/id/1353534","http://ts.21cn.com/tousu/show/id/1353534")</f>
        <v>http://ts.21cn.com/tousu/show/id/1353534</v>
      </c>
      <c r="F21426" s="2" t="s">
        <v>11</v>
      </c>
      <c r="G21426" s="2" t="s">
        <v>2021</v>
      </c>
      <c r="H21426" s="2" t="s">
        <v>2022</v>
      </c>
    </row>
    <row r="21427" spans="1:8" ht="25.05" customHeight="1" x14ac:dyDescent="0.25">
      <c r="A21427" s="2" t="s">
        <v>8</v>
      </c>
      <c r="B21427" s="2" t="str">
        <f>HYPERLINK("http://ts.21cn.com/tousu/show/id/1353536","淘集集商家退店押金一直不退")</f>
        <v>淘集集商家退店押金一直不退</v>
      </c>
      <c r="C21427" s="2" t="s">
        <v>9</v>
      </c>
      <c r="D21427" s="2" t="s">
        <v>10</v>
      </c>
      <c r="E21427" s="2" t="str">
        <f>HYPERLINK("http://ts.21cn.com/tousu/show/id/1353536","http://ts.21cn.com/tousu/show/id/1353536")</f>
        <v>http://ts.21cn.com/tousu/show/id/1353536</v>
      </c>
      <c r="F21427" s="2" t="s">
        <v>11</v>
      </c>
      <c r="G21427" s="2" t="s">
        <v>2019</v>
      </c>
      <c r="H21427" s="2" t="s">
        <v>2020</v>
      </c>
    </row>
    <row r="21428" spans="1:8" ht="25.05" customHeight="1" x14ac:dyDescent="0.25">
      <c r="A21428" s="2" t="s">
        <v>8</v>
      </c>
      <c r="B21428" s="2" t="str">
        <f>HYPERLINK("http://ts.21cn.com/tousu/show/id/1353537","高利贷砍头息")</f>
        <v>高利贷砍头息</v>
      </c>
      <c r="C21428" s="2" t="s">
        <v>9</v>
      </c>
      <c r="D21428" s="2" t="s">
        <v>10</v>
      </c>
      <c r="E21428" s="2" t="str">
        <f>HYPERLINK("http://ts.21cn.com/tousu/show/id/1353537","http://ts.21cn.com/tousu/show/id/1353537")</f>
        <v>http://ts.21cn.com/tousu/show/id/1353537</v>
      </c>
      <c r="F21428" s="2" t="s">
        <v>11</v>
      </c>
      <c r="G21428" s="2" t="s">
        <v>2017</v>
      </c>
      <c r="H21428" s="2" t="s">
        <v>2018</v>
      </c>
    </row>
    <row r="21429" spans="1:8" ht="25.05" customHeight="1" x14ac:dyDescent="0.25">
      <c r="A21429" s="2" t="s">
        <v>8</v>
      </c>
      <c r="B21429" s="2" t="str">
        <f>HYPERLINK("http://ts.21cn.com/tousu/show/id/1353539","滴滴冒用别人身份证信息不作为")</f>
        <v>滴滴冒用别人身份证信息不作为</v>
      </c>
      <c r="C21429" s="2" t="s">
        <v>9</v>
      </c>
      <c r="D21429" s="2" t="s">
        <v>10</v>
      </c>
      <c r="E21429" s="2" t="str">
        <f>HYPERLINK("http://ts.21cn.com/tousu/show/id/1353539","http://ts.21cn.com/tousu/show/id/1353539")</f>
        <v>http://ts.21cn.com/tousu/show/id/1353539</v>
      </c>
      <c r="F21429" s="2" t="s">
        <v>11</v>
      </c>
      <c r="G21429" s="2" t="s">
        <v>2015</v>
      </c>
      <c r="H21429" s="2" t="s">
        <v>2016</v>
      </c>
    </row>
    <row r="21430" spans="1:8" ht="25.05" customHeight="1" x14ac:dyDescent="0.25">
      <c r="A21430" s="2" t="s">
        <v>8</v>
      </c>
      <c r="B21430" s="2" t="str">
        <f>HYPERLINK("http://ts.21cn.com/tousu/show/id/1353538","投诉微信")</f>
        <v>投诉微信</v>
      </c>
      <c r="C21430" s="2" t="s">
        <v>9</v>
      </c>
      <c r="D21430" s="2" t="s">
        <v>10</v>
      </c>
      <c r="E21430" s="2" t="str">
        <f>HYPERLINK("http://ts.21cn.com/tousu/show/id/1353538","http://ts.21cn.com/tousu/show/id/1353538")</f>
        <v>http://ts.21cn.com/tousu/show/id/1353538</v>
      </c>
      <c r="F21430" s="2" t="s">
        <v>11</v>
      </c>
      <c r="G21430" s="2" t="s">
        <v>2013</v>
      </c>
      <c r="H21430" s="2" t="s">
        <v>2014</v>
      </c>
    </row>
    <row r="21431" spans="1:8" ht="25.05" customHeight="1" x14ac:dyDescent="0.25">
      <c r="A21431" s="2" t="s">
        <v>8</v>
      </c>
      <c r="B21431" s="2" t="str">
        <f>HYPERLINK("http://ts.21cn.com/tousu/show/id/1353541","无缘无故银行卡被扣钱")</f>
        <v>无缘无故银行卡被扣钱</v>
      </c>
      <c r="C21431" s="2" t="s">
        <v>9</v>
      </c>
      <c r="D21431" s="2" t="s">
        <v>10</v>
      </c>
      <c r="E21431" s="2" t="str">
        <f>HYPERLINK("http://ts.21cn.com/tousu/show/id/1353541","http://ts.21cn.com/tousu/show/id/1353541")</f>
        <v>http://ts.21cn.com/tousu/show/id/1353541</v>
      </c>
      <c r="F21431" s="2" t="s">
        <v>11</v>
      </c>
      <c r="G21431" s="2" t="s">
        <v>2011</v>
      </c>
      <c r="H21431" s="2" t="s">
        <v>2012</v>
      </c>
    </row>
    <row r="21432" spans="1:8" ht="25.05" customHeight="1" x14ac:dyDescent="0.25">
      <c r="A21432" s="2" t="s">
        <v>8</v>
      </c>
      <c r="B21432" s="2" t="str">
        <f>HYPERLINK("http://ts.21cn.com/tousu/show/id/1353542","拍拍贷高利贷")</f>
        <v>拍拍贷高利贷</v>
      </c>
      <c r="C21432" s="2" t="s">
        <v>9</v>
      </c>
      <c r="D21432" s="2" t="s">
        <v>10</v>
      </c>
      <c r="E21432" s="2" t="str">
        <f>HYPERLINK("http://ts.21cn.com/tousu/show/id/1353542","http://ts.21cn.com/tousu/show/id/1353542")</f>
        <v>http://ts.21cn.com/tousu/show/id/1353542</v>
      </c>
      <c r="F21432" s="2" t="s">
        <v>11</v>
      </c>
      <c r="G21432" s="2" t="s">
        <v>2009</v>
      </c>
      <c r="H21432" s="2" t="s">
        <v>2010</v>
      </c>
    </row>
    <row r="21433" spans="1:8" ht="25.05" customHeight="1" x14ac:dyDescent="0.25">
      <c r="A21433" s="2" t="s">
        <v>8</v>
      </c>
      <c r="B21433" s="2" t="str">
        <f>HYPERLINK("http://ts.21cn.com/tousu/show/id/1353544","造艺科技未经同意私自扣款")</f>
        <v>造艺科技未经同意私自扣款</v>
      </c>
      <c r="C21433" s="2" t="s">
        <v>9</v>
      </c>
      <c r="D21433" s="2" t="s">
        <v>10</v>
      </c>
      <c r="E21433" s="2" t="str">
        <f>HYPERLINK("http://ts.21cn.com/tousu/show/id/1353544","http://ts.21cn.com/tousu/show/id/1353544")</f>
        <v>http://ts.21cn.com/tousu/show/id/1353544</v>
      </c>
      <c r="F21433" s="2" t="s">
        <v>11</v>
      </c>
      <c r="G21433" s="2" t="s">
        <v>2007</v>
      </c>
      <c r="H21433" s="2" t="s">
        <v>2008</v>
      </c>
    </row>
    <row r="21434" spans="1:8" ht="25.05" customHeight="1" x14ac:dyDescent="0.25">
      <c r="A21434" s="2" t="s">
        <v>8</v>
      </c>
      <c r="B21434" s="2" t="str">
        <f>HYPERLINK("http://ts.21cn.com/tousu/show/id/1353543","暴力催收爆通讯录")</f>
        <v>暴力催收爆通讯录</v>
      </c>
      <c r="C21434" s="2" t="s">
        <v>9</v>
      </c>
      <c r="D21434" s="2" t="s">
        <v>10</v>
      </c>
      <c r="E21434" s="2" t="str">
        <f>HYPERLINK("http://ts.21cn.com/tousu/show/id/1353543","http://ts.21cn.com/tousu/show/id/1353543")</f>
        <v>http://ts.21cn.com/tousu/show/id/1353543</v>
      </c>
      <c r="F21434" s="2" t="s">
        <v>11</v>
      </c>
      <c r="G21434" s="2" t="s">
        <v>2005</v>
      </c>
      <c r="H21434" s="2" t="s">
        <v>2006</v>
      </c>
    </row>
    <row r="21435" spans="1:8" ht="25.05" customHeight="1" x14ac:dyDescent="0.25">
      <c r="A21435" s="2" t="s">
        <v>8</v>
      </c>
      <c r="B21435" s="2" t="str">
        <f>HYPERLINK("http://ts.21cn.com/tousu/show/id/1353545","霸王协议、退费困难")</f>
        <v>霸王协议、退费困难</v>
      </c>
      <c r="C21435" s="2" t="s">
        <v>9</v>
      </c>
      <c r="D21435" s="2" t="s">
        <v>10</v>
      </c>
      <c r="E21435" s="2" t="str">
        <f>HYPERLINK("http://ts.21cn.com/tousu/show/id/1353545","http://ts.21cn.com/tousu/show/id/1353545")</f>
        <v>http://ts.21cn.com/tousu/show/id/1353545</v>
      </c>
      <c r="F21435" s="2" t="s">
        <v>11</v>
      </c>
      <c r="G21435" s="2" t="s">
        <v>2003</v>
      </c>
      <c r="H21435" s="2" t="s">
        <v>2004</v>
      </c>
    </row>
    <row r="21436" spans="1:8" ht="25.05" customHeight="1" x14ac:dyDescent="0.25">
      <c r="A21436" s="2" t="s">
        <v>8</v>
      </c>
      <c r="B21436" s="2" t="str">
        <f>HYPERLINK("http://ts.21cn.com/tousu/show/id/1353547","大量用户无法退还立刻出行499元押金")</f>
        <v>大量用户无法退还立刻出行499元押金</v>
      </c>
      <c r="C21436" s="2" t="s">
        <v>9</v>
      </c>
      <c r="D21436" s="2" t="s">
        <v>10</v>
      </c>
      <c r="E21436" s="2" t="str">
        <f>HYPERLINK("http://ts.21cn.com/tousu/show/id/1353547","http://ts.21cn.com/tousu/show/id/1353547")</f>
        <v>http://ts.21cn.com/tousu/show/id/1353547</v>
      </c>
      <c r="F21436" s="2" t="s">
        <v>11</v>
      </c>
      <c r="G21436" s="2" t="s">
        <v>2001</v>
      </c>
      <c r="H21436" s="2" t="s">
        <v>2002</v>
      </c>
    </row>
    <row r="21437" spans="1:8" ht="25.05" customHeight="1" x14ac:dyDescent="0.25">
      <c r="A21437" s="2" t="s">
        <v>8</v>
      </c>
      <c r="B21437" s="2" t="str">
        <f>HYPERLINK("http://ts.21cn.com/tousu/show/id/1353546","一点分期高利息")</f>
        <v>一点分期高利息</v>
      </c>
      <c r="C21437" s="2" t="s">
        <v>9</v>
      </c>
      <c r="D21437" s="2" t="s">
        <v>10</v>
      </c>
      <c r="E21437" s="2" t="str">
        <f>HYPERLINK("http://ts.21cn.com/tousu/show/id/1353546","http://ts.21cn.com/tousu/show/id/1353546")</f>
        <v>http://ts.21cn.com/tousu/show/id/1353546</v>
      </c>
      <c r="F21437" s="2" t="s">
        <v>11</v>
      </c>
      <c r="G21437" s="2" t="s">
        <v>1999</v>
      </c>
      <c r="H21437" s="2" t="s">
        <v>2000</v>
      </c>
    </row>
    <row r="21438" spans="1:8" ht="25.05" customHeight="1" x14ac:dyDescent="0.25">
      <c r="A21438" s="2" t="s">
        <v>8</v>
      </c>
      <c r="B21438" s="2" t="str">
        <f>HYPERLINK("http://ts.21cn.com/tousu/show/id/1353548","言语威胁")</f>
        <v>言语威胁</v>
      </c>
      <c r="C21438" s="2" t="s">
        <v>9</v>
      </c>
      <c r="D21438" s="2" t="s">
        <v>10</v>
      </c>
      <c r="E21438" s="2" t="str">
        <f>HYPERLINK("http://ts.21cn.com/tousu/show/id/1353548","http://ts.21cn.com/tousu/show/id/1353548")</f>
        <v>http://ts.21cn.com/tousu/show/id/1353548</v>
      </c>
      <c r="F21438" s="2" t="s">
        <v>11</v>
      </c>
      <c r="G21438" s="2" t="s">
        <v>1997</v>
      </c>
      <c r="H21438" s="2" t="s">
        <v>1998</v>
      </c>
    </row>
    <row r="21439" spans="1:8" ht="25.05" customHeight="1" x14ac:dyDescent="0.25">
      <c r="A21439" s="2" t="s">
        <v>8</v>
      </c>
      <c r="B21439" s="2" t="str">
        <f>HYPERLINK("http://ts.21cn.com/tousu/show/id/1353549","滴滴又开始坑人")</f>
        <v>滴滴又开始坑人</v>
      </c>
      <c r="C21439" s="2" t="s">
        <v>9</v>
      </c>
      <c r="D21439" s="2" t="s">
        <v>10</v>
      </c>
      <c r="E21439" s="2" t="str">
        <f>HYPERLINK("http://ts.21cn.com/tousu/show/id/1353549","http://ts.21cn.com/tousu/show/id/1353549")</f>
        <v>http://ts.21cn.com/tousu/show/id/1353549</v>
      </c>
      <c r="F21439" s="2" t="s">
        <v>11</v>
      </c>
      <c r="G21439" s="2" t="s">
        <v>1995</v>
      </c>
      <c r="H21439" s="2" t="s">
        <v>1996</v>
      </c>
    </row>
    <row r="21440" spans="1:8" ht="25.05" customHeight="1" x14ac:dyDescent="0.25">
      <c r="A21440" s="2" t="s">
        <v>8</v>
      </c>
      <c r="B21440" s="2" t="str">
        <f>HYPERLINK("http://ts.21cn.com/tousu/show/id/1353551","360暴力催收")</f>
        <v>360暴力催收</v>
      </c>
      <c r="C21440" s="2" t="s">
        <v>9</v>
      </c>
      <c r="D21440" s="2" t="s">
        <v>10</v>
      </c>
      <c r="E21440" s="2" t="str">
        <f>HYPERLINK("http://ts.21cn.com/tousu/show/id/1353551","http://ts.21cn.com/tousu/show/id/1353551")</f>
        <v>http://ts.21cn.com/tousu/show/id/1353551</v>
      </c>
      <c r="F21440" s="2" t="s">
        <v>11</v>
      </c>
      <c r="G21440" s="2" t="s">
        <v>1993</v>
      </c>
      <c r="H21440" s="2" t="s">
        <v>1994</v>
      </c>
    </row>
    <row r="21441" spans="1:8" ht="25.05" customHeight="1" x14ac:dyDescent="0.25">
      <c r="A21441" s="2" t="s">
        <v>8</v>
      </c>
      <c r="B21441" s="2" t="str">
        <f>HYPERLINK("http://ts.21cn.com/tousu/show/id/1353552","恒易贷还款日当天还款仍算违约收取高额利息")</f>
        <v>恒易贷还款日当天还款仍算违约收取高额利息</v>
      </c>
      <c r="C21441" s="2" t="s">
        <v>9</v>
      </c>
      <c r="D21441" s="2" t="s">
        <v>10</v>
      </c>
      <c r="E21441" s="2" t="str">
        <f>HYPERLINK("http://ts.21cn.com/tousu/show/id/1353552","http://ts.21cn.com/tousu/show/id/1353552")</f>
        <v>http://ts.21cn.com/tousu/show/id/1353552</v>
      </c>
      <c r="F21441" s="2" t="s">
        <v>11</v>
      </c>
      <c r="G21441" s="2" t="s">
        <v>1991</v>
      </c>
      <c r="H21441" s="2" t="s">
        <v>1992</v>
      </c>
    </row>
    <row r="21442" spans="1:8" ht="25.05" customHeight="1" x14ac:dyDescent="0.25">
      <c r="A21442" s="2" t="s">
        <v>8</v>
      </c>
      <c r="B21442" s="2" t="str">
        <f>HYPERLINK("http://ts.21cn.com/tousu/show/id/1353554","360暴力催收")</f>
        <v>360暴力催收</v>
      </c>
      <c r="C21442" s="2" t="s">
        <v>9</v>
      </c>
      <c r="D21442" s="2" t="s">
        <v>10</v>
      </c>
      <c r="E21442" s="2" t="str">
        <f>HYPERLINK("http://ts.21cn.com/tousu/show/id/1353554","http://ts.21cn.com/tousu/show/id/1353554")</f>
        <v>http://ts.21cn.com/tousu/show/id/1353554</v>
      </c>
      <c r="F21442" s="2" t="s">
        <v>11</v>
      </c>
      <c r="G21442" s="2" t="s">
        <v>1989</v>
      </c>
      <c r="H21442" s="2" t="s">
        <v>1990</v>
      </c>
    </row>
    <row r="21443" spans="1:8" ht="25.05" customHeight="1" x14ac:dyDescent="0.25">
      <c r="A21443" s="2" t="s">
        <v>8</v>
      </c>
      <c r="B21443" s="2" t="str">
        <f>HYPERLINK("http://ts.21cn.com/tousu/show/id/1353553","投诉钱站砍头息高利贷暴击催收")</f>
        <v>投诉钱站砍头息高利贷暴击催收</v>
      </c>
      <c r="C21443" s="2" t="s">
        <v>9</v>
      </c>
      <c r="D21443" s="2" t="s">
        <v>10</v>
      </c>
      <c r="E21443" s="2" t="str">
        <f>HYPERLINK("http://ts.21cn.com/tousu/show/id/1353553","http://ts.21cn.com/tousu/show/id/1353553")</f>
        <v>http://ts.21cn.com/tousu/show/id/1353553</v>
      </c>
      <c r="F21443" s="2" t="s">
        <v>11</v>
      </c>
      <c r="G21443" s="2" t="s">
        <v>1987</v>
      </c>
      <c r="H21443" s="2" t="s">
        <v>1988</v>
      </c>
    </row>
    <row r="21444" spans="1:8" ht="25.05" customHeight="1" x14ac:dyDescent="0.25">
      <c r="A21444" s="2" t="s">
        <v>8</v>
      </c>
      <c r="B21444" s="2" t="str">
        <f>HYPERLINK("http://ts.21cn.com/tousu/show/id/1353557","51人品贷黑心高利贷，暴利催收骚扰联系人")</f>
        <v>51人品贷黑心高利贷，暴利催收骚扰联系人</v>
      </c>
      <c r="C21444" s="2" t="s">
        <v>9</v>
      </c>
      <c r="D21444" s="2" t="s">
        <v>10</v>
      </c>
      <c r="E21444" s="2" t="str">
        <f>HYPERLINK("http://ts.21cn.com/tousu/show/id/1353557","http://ts.21cn.com/tousu/show/id/1353557")</f>
        <v>http://ts.21cn.com/tousu/show/id/1353557</v>
      </c>
      <c r="F21444" s="2" t="s">
        <v>11</v>
      </c>
      <c r="G21444" s="2" t="s">
        <v>1985</v>
      </c>
      <c r="H21444" s="2" t="s">
        <v>1986</v>
      </c>
    </row>
    <row r="21445" spans="1:8" ht="25.05" customHeight="1" x14ac:dyDescent="0.25">
      <c r="A21445" s="2" t="s">
        <v>8</v>
      </c>
      <c r="B21445" s="2" t="str">
        <f>HYPERLINK("http://ts.21cn.com/tousu/show/id/1353556","深圳市及响科技有限公司及贷非法催收泄露隐私")</f>
        <v>深圳市及响科技有限公司及贷非法催收泄露隐私</v>
      </c>
      <c r="C21445" s="2" t="s">
        <v>9</v>
      </c>
      <c r="D21445" s="2" t="s">
        <v>10</v>
      </c>
      <c r="E21445" s="2" t="str">
        <f>HYPERLINK("http://ts.21cn.com/tousu/show/id/1353556","http://ts.21cn.com/tousu/show/id/1353556")</f>
        <v>http://ts.21cn.com/tousu/show/id/1353556</v>
      </c>
      <c r="F21445" s="2" t="s">
        <v>11</v>
      </c>
      <c r="G21445" s="2" t="s">
        <v>1983</v>
      </c>
      <c r="H21445" s="2" t="s">
        <v>1984</v>
      </c>
    </row>
    <row r="21446" spans="1:8" ht="25.05" customHeight="1" x14ac:dyDescent="0.25">
      <c r="A21446" s="2" t="s">
        <v>8</v>
      </c>
      <c r="B21446" s="2" t="str">
        <f>HYPERLINK("http://ts.21cn.com/tousu/show/id/1353558","多米贷催收态度恶劣")</f>
        <v>多米贷催收态度恶劣</v>
      </c>
      <c r="C21446" s="2" t="s">
        <v>9</v>
      </c>
      <c r="D21446" s="2" t="s">
        <v>10</v>
      </c>
      <c r="E21446" s="2" t="str">
        <f>HYPERLINK("http://ts.21cn.com/tousu/show/id/1353558","http://ts.21cn.com/tousu/show/id/1353558")</f>
        <v>http://ts.21cn.com/tousu/show/id/1353558</v>
      </c>
      <c r="F21446" s="2" t="s">
        <v>11</v>
      </c>
      <c r="G21446" s="2" t="s">
        <v>1981</v>
      </c>
      <c r="H21446" s="2" t="s">
        <v>1982</v>
      </c>
    </row>
    <row r="21447" spans="1:8" ht="25.05" customHeight="1" x14ac:dyDescent="0.25">
      <c r="A21447" s="2" t="s">
        <v>8</v>
      </c>
      <c r="B21447" s="2" t="str">
        <f>HYPERLINK("http://ts.21cn.com/tousu/show/id/1353559","永恒优享退还高额砍头息")</f>
        <v>永恒优享退还高额砍头息</v>
      </c>
      <c r="C21447" s="2" t="s">
        <v>9</v>
      </c>
      <c r="D21447" s="2" t="s">
        <v>10</v>
      </c>
      <c r="E21447" s="2" t="str">
        <f>HYPERLINK("http://ts.21cn.com/tousu/show/id/1353559","http://ts.21cn.com/tousu/show/id/1353559")</f>
        <v>http://ts.21cn.com/tousu/show/id/1353559</v>
      </c>
      <c r="F21447" s="2" t="s">
        <v>11</v>
      </c>
      <c r="G21447" s="2" t="s">
        <v>1979</v>
      </c>
      <c r="H21447" s="2" t="s">
        <v>1980</v>
      </c>
    </row>
    <row r="21448" spans="1:8" ht="25.05" customHeight="1" x14ac:dyDescent="0.25">
      <c r="A21448" s="2" t="s">
        <v>8</v>
      </c>
      <c r="B21448" s="2" t="str">
        <f>HYPERLINK("http://ts.21cn.com/tousu/show/id/1353561","女神派单方更改条款")</f>
        <v>女神派单方更改条款</v>
      </c>
      <c r="C21448" s="2" t="s">
        <v>9</v>
      </c>
      <c r="D21448" s="2" t="s">
        <v>10</v>
      </c>
      <c r="E21448" s="2" t="str">
        <f>HYPERLINK("http://ts.21cn.com/tousu/show/id/1353561","http://ts.21cn.com/tousu/show/id/1353561")</f>
        <v>http://ts.21cn.com/tousu/show/id/1353561</v>
      </c>
      <c r="F21448" s="2" t="s">
        <v>11</v>
      </c>
      <c r="G21448" s="2" t="s">
        <v>1977</v>
      </c>
      <c r="H21448" s="2" t="s">
        <v>1978</v>
      </c>
    </row>
    <row r="21449" spans="1:8" ht="25.05" customHeight="1" x14ac:dyDescent="0.25">
      <c r="A21449" s="2" t="s">
        <v>8</v>
      </c>
      <c r="B21449" s="2" t="str">
        <f>HYPERLINK("http://ts.21cn.com/tousu/show/id/1353563","马上金融APP套路贷")</f>
        <v>马上金融APP套路贷</v>
      </c>
      <c r="C21449" s="2" t="s">
        <v>9</v>
      </c>
      <c r="D21449" s="2" t="s">
        <v>10</v>
      </c>
      <c r="E21449" s="2" t="str">
        <f>HYPERLINK("http://ts.21cn.com/tousu/show/id/1353563","http://ts.21cn.com/tousu/show/id/1353563")</f>
        <v>http://ts.21cn.com/tousu/show/id/1353563</v>
      </c>
      <c r="F21449" s="2" t="s">
        <v>11</v>
      </c>
      <c r="G21449" s="2" t="s">
        <v>1975</v>
      </c>
      <c r="H21449" s="2" t="s">
        <v>1976</v>
      </c>
    </row>
    <row r="21450" spans="1:8" ht="25.05" customHeight="1" x14ac:dyDescent="0.25">
      <c r="A21450" s="2" t="s">
        <v>8</v>
      </c>
      <c r="B21450" s="2" t="str">
        <f>HYPERLINK("http://ts.21cn.com/tousu/show/id/1353564","白条分期私扣我249，说会员费。")</f>
        <v>白条分期私扣我249，说会员费。</v>
      </c>
      <c r="C21450" s="2" t="s">
        <v>9</v>
      </c>
      <c r="D21450" s="2" t="s">
        <v>10</v>
      </c>
      <c r="E21450" s="2" t="str">
        <f>HYPERLINK("http://ts.21cn.com/tousu/show/id/1353564","http://ts.21cn.com/tousu/show/id/1353564")</f>
        <v>http://ts.21cn.com/tousu/show/id/1353564</v>
      </c>
      <c r="F21450" s="2" t="s">
        <v>11</v>
      </c>
      <c r="G21450" s="2" t="s">
        <v>1973</v>
      </c>
      <c r="H21450" s="2" t="s">
        <v>1974</v>
      </c>
    </row>
    <row r="21451" spans="1:8" ht="25.05" customHeight="1" x14ac:dyDescent="0.25">
      <c r="A21451" s="2" t="s">
        <v>8</v>
      </c>
      <c r="B21451" s="2" t="str">
        <f>HYPERLINK("http://ts.21cn.com/tousu/show/id/1353565","百事普惠私自扣款不退款")</f>
        <v>百事普惠私自扣款不退款</v>
      </c>
      <c r="C21451" s="2" t="s">
        <v>9</v>
      </c>
      <c r="D21451" s="2" t="s">
        <v>10</v>
      </c>
      <c r="E21451" s="2" t="str">
        <f>HYPERLINK("http://ts.21cn.com/tousu/show/id/1353565","http://ts.21cn.com/tousu/show/id/1353565")</f>
        <v>http://ts.21cn.com/tousu/show/id/1353565</v>
      </c>
      <c r="F21451" s="2" t="s">
        <v>11</v>
      </c>
      <c r="G21451" s="2" t="s">
        <v>1971</v>
      </c>
      <c r="H21451" s="2" t="s">
        <v>1972</v>
      </c>
    </row>
    <row r="21452" spans="1:8" ht="25.05" customHeight="1" x14ac:dyDescent="0.25">
      <c r="A21452" s="2" t="s">
        <v>8</v>
      </c>
      <c r="B21452" s="2" t="str">
        <f>HYPERLINK("http://ts.21cn.com/tousu/show/id/1353566","捷信金融恶意诱导贷款，高额利息")</f>
        <v>捷信金融恶意诱导贷款，高额利息</v>
      </c>
      <c r="C21452" s="2" t="s">
        <v>9</v>
      </c>
      <c r="D21452" s="2" t="s">
        <v>10</v>
      </c>
      <c r="E21452" s="2" t="str">
        <f>HYPERLINK("http://ts.21cn.com/tousu/show/id/1353566","http://ts.21cn.com/tousu/show/id/1353566")</f>
        <v>http://ts.21cn.com/tousu/show/id/1353566</v>
      </c>
      <c r="F21452" s="2" t="s">
        <v>11</v>
      </c>
      <c r="G21452" s="2" t="s">
        <v>1969</v>
      </c>
      <c r="H21452" s="2" t="s">
        <v>1970</v>
      </c>
    </row>
    <row r="21453" spans="1:8" ht="25.05" customHeight="1" x14ac:dyDescent="0.25">
      <c r="A21453" s="2" t="s">
        <v>8</v>
      </c>
      <c r="B21453" s="2" t="str">
        <f>HYPERLINK("http://ts.21cn.com/tousu/show/id/1353567","分期乐别在打电话了")</f>
        <v>分期乐别在打电话了</v>
      </c>
      <c r="C21453" s="2" t="s">
        <v>34</v>
      </c>
      <c r="D21453" s="2" t="s">
        <v>10</v>
      </c>
      <c r="E21453" s="2" t="str">
        <f>HYPERLINK("http://ts.21cn.com/tousu/show/id/1353567","http://ts.21cn.com/tousu/show/id/1353567")</f>
        <v>http://ts.21cn.com/tousu/show/id/1353567</v>
      </c>
      <c r="F21453" s="2" t="s">
        <v>11</v>
      </c>
      <c r="G21453" s="2" t="s">
        <v>1967</v>
      </c>
      <c r="H21453" s="2" t="s">
        <v>1968</v>
      </c>
    </row>
    <row r="21454" spans="1:8" ht="25.05" customHeight="1" x14ac:dyDescent="0.25">
      <c r="A21454" s="2" t="s">
        <v>8</v>
      </c>
      <c r="B21454" s="2" t="str">
        <f>HYPERLINK("http://ts.21cn.com/tousu/show/id/1353568","朝阳爱理财")</f>
        <v>朝阳爱理财</v>
      </c>
      <c r="C21454" s="2" t="s">
        <v>9</v>
      </c>
      <c r="D21454" s="2" t="s">
        <v>10</v>
      </c>
      <c r="E21454" s="2" t="str">
        <f>HYPERLINK("http://ts.21cn.com/tousu/show/id/1353568","http://ts.21cn.com/tousu/show/id/1353568")</f>
        <v>http://ts.21cn.com/tousu/show/id/1353568</v>
      </c>
      <c r="F21454" s="2" t="s">
        <v>11</v>
      </c>
      <c r="G21454" s="2" t="s">
        <v>1965</v>
      </c>
      <c r="H21454" s="2" t="s">
        <v>1966</v>
      </c>
    </row>
    <row r="21455" spans="1:8" ht="25.05" customHeight="1" x14ac:dyDescent="0.25">
      <c r="A21455" s="2" t="s">
        <v>8</v>
      </c>
      <c r="B21455" s="2" t="str">
        <f>HYPERLINK("http://ts.21cn.com/tousu/show/id/1353569","平安银行催收严重影响工作生活")</f>
        <v>平安银行催收严重影响工作生活</v>
      </c>
      <c r="C21455" s="2" t="s">
        <v>9</v>
      </c>
      <c r="D21455" s="2" t="s">
        <v>10</v>
      </c>
      <c r="E21455" s="2" t="str">
        <f>HYPERLINK("http://ts.21cn.com/tousu/show/id/1353569","http://ts.21cn.com/tousu/show/id/1353569")</f>
        <v>http://ts.21cn.com/tousu/show/id/1353569</v>
      </c>
      <c r="F21455" s="2" t="s">
        <v>11</v>
      </c>
      <c r="G21455" s="2" t="s">
        <v>1963</v>
      </c>
      <c r="H21455" s="2" t="s">
        <v>1964</v>
      </c>
    </row>
    <row r="21456" spans="1:8" ht="25.05" customHeight="1" x14ac:dyDescent="0.25">
      <c r="A21456" s="2" t="s">
        <v>8</v>
      </c>
      <c r="B21456" s="2" t="str">
        <f>HYPERLINK("http://ts.21cn.com/tousu/show/id/1353570","暴力催收造成家人精神失常")</f>
        <v>暴力催收造成家人精神失常</v>
      </c>
      <c r="C21456" s="2" t="s">
        <v>9</v>
      </c>
      <c r="D21456" s="2" t="s">
        <v>10</v>
      </c>
      <c r="E21456" s="2" t="str">
        <f>HYPERLINK("http://ts.21cn.com/tousu/show/id/1353570","http://ts.21cn.com/tousu/show/id/1353570")</f>
        <v>http://ts.21cn.com/tousu/show/id/1353570</v>
      </c>
      <c r="F21456" s="2" t="s">
        <v>11</v>
      </c>
      <c r="G21456" s="2" t="s">
        <v>1961</v>
      </c>
      <c r="H21456" s="2" t="s">
        <v>1962</v>
      </c>
    </row>
    <row r="21457" spans="1:8" ht="25.05" customHeight="1" x14ac:dyDescent="0.25">
      <c r="A21457" s="2" t="s">
        <v>8</v>
      </c>
      <c r="B21457" s="2" t="str">
        <f>HYPERLINK("http://ts.21cn.com/tousu/show/id/1353572","无良拼多多，霸王条款")</f>
        <v>无良拼多多，霸王条款</v>
      </c>
      <c r="C21457" s="2" t="s">
        <v>9</v>
      </c>
      <c r="D21457" s="2" t="s">
        <v>10</v>
      </c>
      <c r="E21457" s="2" t="str">
        <f>HYPERLINK("http://ts.21cn.com/tousu/show/id/1353572","http://ts.21cn.com/tousu/show/id/1353572")</f>
        <v>http://ts.21cn.com/tousu/show/id/1353572</v>
      </c>
      <c r="F21457" s="2" t="s">
        <v>11</v>
      </c>
      <c r="G21457" s="2" t="s">
        <v>1959</v>
      </c>
      <c r="H21457" s="2" t="s">
        <v>1960</v>
      </c>
    </row>
    <row r="21458" spans="1:8" ht="25.05" customHeight="1" x14ac:dyDescent="0.25">
      <c r="A21458" s="2" t="s">
        <v>8</v>
      </c>
      <c r="B21458" s="2" t="str">
        <f>HYPERLINK("http://ts.21cn.com/tousu/show/id/1353571","滴滴出行")</f>
        <v>滴滴出行</v>
      </c>
      <c r="C21458" s="2" t="s">
        <v>34</v>
      </c>
      <c r="D21458" s="2" t="s">
        <v>10</v>
      </c>
      <c r="E21458" s="2" t="str">
        <f>HYPERLINK("http://ts.21cn.com/tousu/show/id/1353571","http://ts.21cn.com/tousu/show/id/1353571")</f>
        <v>http://ts.21cn.com/tousu/show/id/1353571</v>
      </c>
      <c r="F21458" s="2" t="s">
        <v>11</v>
      </c>
      <c r="G21458" s="2" t="s">
        <v>1957</v>
      </c>
      <c r="H21458" s="2" t="s">
        <v>1958</v>
      </c>
    </row>
    <row r="21459" spans="1:8" ht="25.05" customHeight="1" x14ac:dyDescent="0.25">
      <c r="A21459" s="2" t="s">
        <v>8</v>
      </c>
      <c r="B21459" s="2" t="str">
        <f>HYPERLINK("http://ts.21cn.com/tousu/show/id/1353550","莫名其妙的暴力催收")</f>
        <v>莫名其妙的暴力催收</v>
      </c>
      <c r="C21459" s="2" t="s">
        <v>9</v>
      </c>
      <c r="D21459" s="2" t="s">
        <v>10</v>
      </c>
      <c r="E21459" s="2" t="str">
        <f>HYPERLINK("http://ts.21cn.com/tousu/show/id/1353550","http://ts.21cn.com/tousu/show/id/1353550")</f>
        <v>http://ts.21cn.com/tousu/show/id/1353550</v>
      </c>
      <c r="F21459" s="2" t="s">
        <v>11</v>
      </c>
      <c r="G21459" s="2" t="s">
        <v>1955</v>
      </c>
      <c r="H21459" s="2" t="s">
        <v>1956</v>
      </c>
    </row>
    <row r="21460" spans="1:8" ht="25.05" customHeight="1" x14ac:dyDescent="0.25">
      <c r="A21460" s="2" t="s">
        <v>8</v>
      </c>
      <c r="B21460" s="2" t="str">
        <f>HYPERLINK("http://ts.21cn.com/tousu/show/id/1353574","中国联通手机号码，欠费不停机，流量天价")</f>
        <v>中国联通手机号码，欠费不停机，流量天价</v>
      </c>
      <c r="C21460" s="2" t="s">
        <v>9</v>
      </c>
      <c r="D21460" s="2" t="s">
        <v>10</v>
      </c>
      <c r="E21460" s="2" t="str">
        <f>HYPERLINK("http://ts.21cn.com/tousu/show/id/1353574","http://ts.21cn.com/tousu/show/id/1353574")</f>
        <v>http://ts.21cn.com/tousu/show/id/1353574</v>
      </c>
      <c r="F21460" s="2" t="s">
        <v>11</v>
      </c>
      <c r="G21460" s="2" t="s">
        <v>1953</v>
      </c>
      <c r="H21460" s="2" t="s">
        <v>1954</v>
      </c>
    </row>
    <row r="21461" spans="1:8" ht="25.05" customHeight="1" x14ac:dyDescent="0.25">
      <c r="A21461" s="2" t="s">
        <v>8</v>
      </c>
      <c r="B21461" s="2" t="str">
        <f>HYPERLINK("http://ts.21cn.com/tousu/show/id/1353575","中信信用卡")</f>
        <v>中信信用卡</v>
      </c>
      <c r="C21461" s="2" t="s">
        <v>9</v>
      </c>
      <c r="D21461" s="2" t="s">
        <v>10</v>
      </c>
      <c r="E21461" s="2" t="str">
        <f>HYPERLINK("http://ts.21cn.com/tousu/show/id/1353575","http://ts.21cn.com/tousu/show/id/1353575")</f>
        <v>http://ts.21cn.com/tousu/show/id/1353575</v>
      </c>
      <c r="F21461" s="2" t="s">
        <v>11</v>
      </c>
      <c r="G21461" s="2" t="s">
        <v>1951</v>
      </c>
      <c r="H21461" s="2" t="s">
        <v>1952</v>
      </c>
    </row>
    <row r="21462" spans="1:8" ht="25.05" customHeight="1" x14ac:dyDescent="0.25">
      <c r="A21462" s="2" t="s">
        <v>8</v>
      </c>
      <c r="B21462" s="2" t="str">
        <f>HYPERLINK("http://ts.21cn.com/tousu/show/id/1345089","提取资金")</f>
        <v>提取资金</v>
      </c>
      <c r="C21462" s="2" t="s">
        <v>9</v>
      </c>
      <c r="D21462" s="2" t="s">
        <v>10</v>
      </c>
      <c r="E21462" s="2" t="str">
        <f>HYPERLINK("http://ts.21cn.com/tousu/show/id/1345089","http://ts.21cn.com/tousu/show/id/1345089")</f>
        <v>http://ts.21cn.com/tousu/show/id/1345089</v>
      </c>
      <c r="F21462" s="2" t="s">
        <v>11</v>
      </c>
      <c r="G21462" s="2" t="s">
        <v>1949</v>
      </c>
      <c r="H21462" s="2" t="s">
        <v>1950</v>
      </c>
    </row>
    <row r="21463" spans="1:8" ht="25.05" customHeight="1" x14ac:dyDescent="0.25">
      <c r="A21463" s="2" t="s">
        <v>8</v>
      </c>
      <c r="B21463" s="2" t="str">
        <f>HYPERLINK("http://ts.21cn.com/tousu/show/id/1353576","中国联通开通联通腾讯视频免流后，看腾讯视频流量仍然按正常流量走，解决免流后对前期流量使用不返还")</f>
        <v>中国联通开通联通腾讯视频免流后，看腾讯视频流量仍然按正常流量走，解决免流后对前期流量使用不返还</v>
      </c>
      <c r="C21463" s="2" t="s">
        <v>9</v>
      </c>
      <c r="D21463" s="2" t="s">
        <v>10</v>
      </c>
      <c r="E21463" s="2" t="str">
        <f>HYPERLINK("http://ts.21cn.com/tousu/show/id/1353576","http://ts.21cn.com/tousu/show/id/1353576")</f>
        <v>http://ts.21cn.com/tousu/show/id/1353576</v>
      </c>
      <c r="F21463" s="2" t="s">
        <v>11</v>
      </c>
      <c r="G21463" s="2" t="s">
        <v>1947</v>
      </c>
      <c r="H21463" s="2" t="s">
        <v>1948</v>
      </c>
    </row>
    <row r="21464" spans="1:8" ht="25.05" customHeight="1" x14ac:dyDescent="0.25">
      <c r="A21464" s="2" t="s">
        <v>8</v>
      </c>
      <c r="B21464" s="2" t="str">
        <f>HYPERLINK("http://ts.21cn.com/tousu/show/id/1353577","苏宁金融恶意催收")</f>
        <v>苏宁金融恶意催收</v>
      </c>
      <c r="C21464" s="2" t="s">
        <v>9</v>
      </c>
      <c r="D21464" s="2" t="s">
        <v>10</v>
      </c>
      <c r="E21464" s="2" t="str">
        <f>HYPERLINK("http://ts.21cn.com/tousu/show/id/1353577","http://ts.21cn.com/tousu/show/id/1353577")</f>
        <v>http://ts.21cn.com/tousu/show/id/1353577</v>
      </c>
      <c r="F21464" s="2" t="s">
        <v>11</v>
      </c>
      <c r="G21464" s="2" t="s">
        <v>1945</v>
      </c>
      <c r="H21464" s="2" t="s">
        <v>1946</v>
      </c>
    </row>
    <row r="21465" spans="1:8" ht="25.05" customHeight="1" x14ac:dyDescent="0.25">
      <c r="A21465" s="2" t="s">
        <v>8</v>
      </c>
      <c r="B21465" s="2" t="str">
        <f>HYPERLINK("http://ts.21cn.com/tousu/show/id/1353578","暴力催款爆通讯录语言威胁")</f>
        <v>暴力催款爆通讯录语言威胁</v>
      </c>
      <c r="C21465" s="2" t="s">
        <v>9</v>
      </c>
      <c r="D21465" s="2" t="s">
        <v>10</v>
      </c>
      <c r="E21465" s="2" t="str">
        <f>HYPERLINK("http://ts.21cn.com/tousu/show/id/1353578","http://ts.21cn.com/tousu/show/id/1353578")</f>
        <v>http://ts.21cn.com/tousu/show/id/1353578</v>
      </c>
      <c r="F21465" s="2" t="s">
        <v>11</v>
      </c>
      <c r="G21465" s="2" t="s">
        <v>1943</v>
      </c>
      <c r="H21465" s="2" t="s">
        <v>1944</v>
      </c>
    </row>
    <row r="21466" spans="1:8" ht="25.05" customHeight="1" x14ac:dyDescent="0.25">
      <c r="A21466" s="2" t="s">
        <v>8</v>
      </c>
      <c r="B21466" s="2" t="str">
        <f>HYPERLINK("http://ts.21cn.com/tousu/show/id/1353579","捷信公司还款日期没到就恐吓借款人")</f>
        <v>捷信公司还款日期没到就恐吓借款人</v>
      </c>
      <c r="C21466" s="2" t="s">
        <v>9</v>
      </c>
      <c r="D21466" s="2" t="s">
        <v>10</v>
      </c>
      <c r="E21466" s="2" t="str">
        <f>HYPERLINK("http://ts.21cn.com/tousu/show/id/1353579","http://ts.21cn.com/tousu/show/id/1353579")</f>
        <v>http://ts.21cn.com/tousu/show/id/1353579</v>
      </c>
      <c r="F21466" s="2" t="s">
        <v>11</v>
      </c>
      <c r="G21466" s="2" t="s">
        <v>1941</v>
      </c>
      <c r="H21466" s="2" t="s">
        <v>1942</v>
      </c>
    </row>
    <row r="21467" spans="1:8" ht="25.05" customHeight="1" x14ac:dyDescent="0.25">
      <c r="A21467" s="2" t="s">
        <v>8</v>
      </c>
      <c r="B21467" s="2" t="str">
        <f>HYPERLINK("http://ts.21cn.com/tousu/show/id/1353580","马上消费金融催收方涉嫌买卖个人信息")</f>
        <v>马上消费金融催收方涉嫌买卖个人信息</v>
      </c>
      <c r="C21467" s="2" t="s">
        <v>9</v>
      </c>
      <c r="D21467" s="2" t="s">
        <v>10</v>
      </c>
      <c r="E21467" s="2" t="str">
        <f>HYPERLINK("http://ts.21cn.com/tousu/show/id/1353580","http://ts.21cn.com/tousu/show/id/1353580")</f>
        <v>http://ts.21cn.com/tousu/show/id/1353580</v>
      </c>
      <c r="F21467" s="2" t="s">
        <v>11</v>
      </c>
      <c r="G21467" s="2" t="s">
        <v>1939</v>
      </c>
      <c r="H21467" s="2" t="s">
        <v>1940</v>
      </c>
    </row>
    <row r="21468" spans="1:8" ht="25.05" customHeight="1" x14ac:dyDescent="0.25">
      <c r="A21468" s="2" t="s">
        <v>8</v>
      </c>
      <c r="B21468" s="2" t="str">
        <f>HYPERLINK("http://ts.21cn.com/tousu/show/id/1353581","来分期暴力催收")</f>
        <v>来分期暴力催收</v>
      </c>
      <c r="C21468" s="2" t="s">
        <v>9</v>
      </c>
      <c r="D21468" s="2" t="s">
        <v>10</v>
      </c>
      <c r="E21468" s="2" t="str">
        <f>HYPERLINK("http://ts.21cn.com/tousu/show/id/1353581","http://ts.21cn.com/tousu/show/id/1353581")</f>
        <v>http://ts.21cn.com/tousu/show/id/1353581</v>
      </c>
      <c r="F21468" s="2" t="s">
        <v>11</v>
      </c>
      <c r="G21468" s="2" t="s">
        <v>1937</v>
      </c>
      <c r="H21468" s="2" t="s">
        <v>1938</v>
      </c>
    </row>
    <row r="21469" spans="1:8" ht="25.05" customHeight="1" x14ac:dyDescent="0.25">
      <c r="A21469" s="2" t="s">
        <v>8</v>
      </c>
      <c r="B21469" s="2" t="str">
        <f>HYPERLINK("http://ts.21cn.com/tousu/show/id/1353583","玖富协商还款问题")</f>
        <v>玖富协商还款问题</v>
      </c>
      <c r="C21469" s="2" t="s">
        <v>34</v>
      </c>
      <c r="D21469" s="2" t="s">
        <v>10</v>
      </c>
      <c r="E21469" s="2" t="str">
        <f>HYPERLINK("http://ts.21cn.com/tousu/show/id/1353583","http://ts.21cn.com/tousu/show/id/1353583")</f>
        <v>http://ts.21cn.com/tousu/show/id/1353583</v>
      </c>
      <c r="F21469" s="2" t="s">
        <v>11</v>
      </c>
      <c r="G21469" s="2" t="s">
        <v>1935</v>
      </c>
      <c r="H21469" s="2" t="s">
        <v>1936</v>
      </c>
    </row>
    <row r="21470" spans="1:8" ht="25.05" customHeight="1" x14ac:dyDescent="0.25">
      <c r="A21470" s="2" t="s">
        <v>8</v>
      </c>
      <c r="B21470" s="2" t="str">
        <f>HYPERLINK("http://ts.21cn.com/tousu/show/id/1353582","来分期利息高")</f>
        <v>来分期利息高</v>
      </c>
      <c r="C21470" s="2" t="s">
        <v>9</v>
      </c>
      <c r="D21470" s="2" t="s">
        <v>10</v>
      </c>
      <c r="E21470" s="2" t="str">
        <f>HYPERLINK("http://ts.21cn.com/tousu/show/id/1353582","http://ts.21cn.com/tousu/show/id/1353582")</f>
        <v>http://ts.21cn.com/tousu/show/id/1353582</v>
      </c>
      <c r="F21470" s="2" t="s">
        <v>11</v>
      </c>
      <c r="G21470" s="2" t="s">
        <v>1933</v>
      </c>
      <c r="H21470" s="2" t="s">
        <v>1934</v>
      </c>
    </row>
    <row r="21471" spans="1:8" ht="25.05" customHeight="1" x14ac:dyDescent="0.25">
      <c r="A21471" s="2" t="s">
        <v>8</v>
      </c>
      <c r="B21471" s="2" t="str">
        <f>HYPERLINK("http://ts.21cn.com/tousu/show/id/1353587","造艺科技,携趣信息科技（上海）有限公司,拇指下款")</f>
        <v>造艺科技,携趣信息科技（上海）有限公司,拇指下款</v>
      </c>
      <c r="C21471" s="2" t="s">
        <v>9</v>
      </c>
      <c r="D21471" s="2" t="s">
        <v>10</v>
      </c>
      <c r="E21471" s="2" t="str">
        <f>HYPERLINK("http://ts.21cn.com/tousu/show/id/1353587","http://ts.21cn.com/tousu/show/id/1353587")</f>
        <v>http://ts.21cn.com/tousu/show/id/1353587</v>
      </c>
      <c r="F21471" s="2" t="s">
        <v>11</v>
      </c>
      <c r="G21471" s="2" t="s">
        <v>1931</v>
      </c>
      <c r="H21471" s="2" t="s">
        <v>1932</v>
      </c>
    </row>
    <row r="21472" spans="1:8" ht="25.05" customHeight="1" x14ac:dyDescent="0.25">
      <c r="A21472" s="2" t="s">
        <v>8</v>
      </c>
      <c r="B21472" s="2" t="str">
        <f>HYPERLINK("http://ts.21cn.com/tousu/show/id/1353584","协商还款，恐吓威胁")</f>
        <v>协商还款，恐吓威胁</v>
      </c>
      <c r="C21472" s="2" t="s">
        <v>9</v>
      </c>
      <c r="D21472" s="2" t="s">
        <v>10</v>
      </c>
      <c r="E21472" s="2" t="str">
        <f>HYPERLINK("http://ts.21cn.com/tousu/show/id/1353584","http://ts.21cn.com/tousu/show/id/1353584")</f>
        <v>http://ts.21cn.com/tousu/show/id/1353584</v>
      </c>
      <c r="F21472" s="2" t="s">
        <v>11</v>
      </c>
      <c r="G21472" s="2" t="s">
        <v>1929</v>
      </c>
      <c r="H21472" s="2" t="s">
        <v>1930</v>
      </c>
    </row>
    <row r="21473" spans="1:8" ht="25.05" customHeight="1" x14ac:dyDescent="0.25">
      <c r="A21473" s="2" t="s">
        <v>8</v>
      </c>
      <c r="B21473" s="2" t="str">
        <f>HYPERLINK("http://ts.21cn.com/tousu/show/id/1353585","农行绿森商城iPhone11逾期不发货")</f>
        <v>农行绿森商城iPhone11逾期不发货</v>
      </c>
      <c r="C21473" s="2" t="s">
        <v>9</v>
      </c>
      <c r="D21473" s="2" t="s">
        <v>10</v>
      </c>
      <c r="E21473" s="2" t="str">
        <f>HYPERLINK("http://ts.21cn.com/tousu/show/id/1353585","http://ts.21cn.com/tousu/show/id/1353585")</f>
        <v>http://ts.21cn.com/tousu/show/id/1353585</v>
      </c>
      <c r="F21473" s="2" t="s">
        <v>11</v>
      </c>
      <c r="G21473" s="2" t="s">
        <v>1927</v>
      </c>
      <c r="H21473" s="2" t="s">
        <v>1928</v>
      </c>
    </row>
    <row r="21474" spans="1:8" ht="25.05" customHeight="1" x14ac:dyDescent="0.25">
      <c r="A21474" s="2" t="s">
        <v>8</v>
      </c>
      <c r="B21474" s="2" t="str">
        <f>HYPERLINK("http://ts.21cn.com/tousu/show/id/1353586","贷上钱借3000三个月却要还4081.77，其中900是以购买荐职小秘书服务收的")</f>
        <v>贷上钱借3000三个月却要还4081.77，其中900是以购买荐职小秘书服务收的</v>
      </c>
      <c r="C21474" s="2" t="s">
        <v>34</v>
      </c>
      <c r="D21474" s="2" t="s">
        <v>10</v>
      </c>
      <c r="E21474" s="2" t="str">
        <f>HYPERLINK("http://ts.21cn.com/tousu/show/id/1353586","http://ts.21cn.com/tousu/show/id/1353586")</f>
        <v>http://ts.21cn.com/tousu/show/id/1353586</v>
      </c>
      <c r="F21474" s="2" t="s">
        <v>11</v>
      </c>
      <c r="G21474" s="2" t="s">
        <v>1925</v>
      </c>
      <c r="H21474" s="2" t="s">
        <v>1926</v>
      </c>
    </row>
    <row r="21475" spans="1:8" ht="25.05" customHeight="1" x14ac:dyDescent="0.25">
      <c r="A21475" s="2" t="s">
        <v>8</v>
      </c>
      <c r="B21475" s="2" t="str">
        <f>HYPERLINK("http://ts.21cn.com/tousu/show/id/1353588","强制买保险要求退还")</f>
        <v>强制买保险要求退还</v>
      </c>
      <c r="C21475" s="2" t="s">
        <v>9</v>
      </c>
      <c r="D21475" s="2" t="s">
        <v>10</v>
      </c>
      <c r="E21475" s="2" t="str">
        <f>HYPERLINK("http://ts.21cn.com/tousu/show/id/1353588","http://ts.21cn.com/tousu/show/id/1353588")</f>
        <v>http://ts.21cn.com/tousu/show/id/1353588</v>
      </c>
      <c r="F21475" s="2" t="s">
        <v>11</v>
      </c>
      <c r="G21475" s="2" t="s">
        <v>1923</v>
      </c>
      <c r="H21475" s="2" t="s">
        <v>1924</v>
      </c>
    </row>
    <row r="21476" spans="1:8" ht="25.05" customHeight="1" x14ac:dyDescent="0.25">
      <c r="A21476" s="2" t="s">
        <v>8</v>
      </c>
      <c r="B21476" s="2" t="str">
        <f>HYPERLINK("http://ts.21cn.com/tousu/show/id/1353589","网贷高利贷")</f>
        <v>网贷高利贷</v>
      </c>
      <c r="C21476" s="2" t="s">
        <v>9</v>
      </c>
      <c r="D21476" s="2" t="s">
        <v>10</v>
      </c>
      <c r="E21476" s="2" t="str">
        <f>HYPERLINK("http://ts.21cn.com/tousu/show/id/1353589","http://ts.21cn.com/tousu/show/id/1353589")</f>
        <v>http://ts.21cn.com/tousu/show/id/1353589</v>
      </c>
      <c r="F21476" s="2" t="s">
        <v>11</v>
      </c>
      <c r="G21476" s="2" t="s">
        <v>1921</v>
      </c>
      <c r="H21476" s="2" t="s">
        <v>1922</v>
      </c>
    </row>
    <row r="21477" spans="1:8" ht="25.05" customHeight="1" x14ac:dyDescent="0.25">
      <c r="A21477" s="2" t="s">
        <v>8</v>
      </c>
      <c r="B21477" s="2" t="str">
        <f>HYPERLINK("http://ts.21cn.com/tousu/show/id/1353540","宜信惠民高额砍头息")</f>
        <v>宜信惠民高额砍头息</v>
      </c>
      <c r="C21477" s="2" t="s">
        <v>9</v>
      </c>
      <c r="D21477" s="2" t="s">
        <v>10</v>
      </c>
      <c r="E21477" s="2" t="str">
        <f>HYPERLINK("http://ts.21cn.com/tousu/show/id/1353540","http://ts.21cn.com/tousu/show/id/1353540")</f>
        <v>http://ts.21cn.com/tousu/show/id/1353540</v>
      </c>
      <c r="F21477" s="2" t="s">
        <v>11</v>
      </c>
      <c r="G21477" s="2" t="s">
        <v>1919</v>
      </c>
      <c r="H21477" s="2" t="s">
        <v>1920</v>
      </c>
    </row>
    <row r="21478" spans="1:8" ht="25.05" customHeight="1" x14ac:dyDescent="0.25">
      <c r="A21478" s="2" t="s">
        <v>8</v>
      </c>
      <c r="B21478" s="2" t="str">
        <f>HYPERLINK("http://ts.21cn.com/tousu/show/id/1353590","平安普惠利息高，对家人进行骚扰，到办公室投诉没人接待")</f>
        <v>平安普惠利息高，对家人进行骚扰，到办公室投诉没人接待</v>
      </c>
      <c r="C21478" s="2" t="s">
        <v>9</v>
      </c>
      <c r="D21478" s="2" t="s">
        <v>10</v>
      </c>
      <c r="E21478" s="2" t="str">
        <f>HYPERLINK("http://ts.21cn.com/tousu/show/id/1353590","http://ts.21cn.com/tousu/show/id/1353590")</f>
        <v>http://ts.21cn.com/tousu/show/id/1353590</v>
      </c>
      <c r="F21478" s="2" t="s">
        <v>11</v>
      </c>
      <c r="G21478" s="2" t="s">
        <v>1917</v>
      </c>
      <c r="H21478" s="2" t="s">
        <v>1918</v>
      </c>
    </row>
    <row r="21479" spans="1:8" ht="25.05" customHeight="1" x14ac:dyDescent="0.25">
      <c r="A21479" s="2" t="s">
        <v>8</v>
      </c>
      <c r="B21479" s="2" t="str">
        <f>HYPERLINK("http://ts.21cn.com/tousu/show/id/1353591","滴滴司机辱骂乘客，态度恶劣，且乱收费")</f>
        <v>滴滴司机辱骂乘客，态度恶劣，且乱收费</v>
      </c>
      <c r="C21479" s="2" t="s">
        <v>9</v>
      </c>
      <c r="D21479" s="2" t="s">
        <v>10</v>
      </c>
      <c r="E21479" s="2" t="str">
        <f>HYPERLINK("http://ts.21cn.com/tousu/show/id/1353591","http://ts.21cn.com/tousu/show/id/1353591")</f>
        <v>http://ts.21cn.com/tousu/show/id/1353591</v>
      </c>
      <c r="F21479" s="2" t="s">
        <v>11</v>
      </c>
      <c r="G21479" s="2" t="s">
        <v>1915</v>
      </c>
      <c r="H21479" s="2" t="s">
        <v>1916</v>
      </c>
    </row>
    <row r="21480" spans="1:8" ht="25.05" customHeight="1" x14ac:dyDescent="0.25">
      <c r="A21480" s="2" t="s">
        <v>8</v>
      </c>
      <c r="B21480" s="2" t="str">
        <f>HYPERLINK("http://ts.21cn.com/tousu/show/id/1353592","微粒贷-微众银行非法处理问题")</f>
        <v>微粒贷-微众银行非法处理问题</v>
      </c>
      <c r="C21480" s="2" t="s">
        <v>9</v>
      </c>
      <c r="D21480" s="2" t="s">
        <v>10</v>
      </c>
      <c r="E21480" s="2" t="str">
        <f>HYPERLINK("http://ts.21cn.com/tousu/show/id/1353592","http://ts.21cn.com/tousu/show/id/1353592")</f>
        <v>http://ts.21cn.com/tousu/show/id/1353592</v>
      </c>
      <c r="F21480" s="2" t="s">
        <v>11</v>
      </c>
      <c r="G21480" s="2" t="s">
        <v>1913</v>
      </c>
      <c r="H21480" s="2" t="s">
        <v>1914</v>
      </c>
    </row>
    <row r="21481" spans="1:8" ht="25.05" customHeight="1" x14ac:dyDescent="0.25">
      <c r="A21481" s="2" t="s">
        <v>8</v>
      </c>
      <c r="B21481" s="2" t="str">
        <f>HYPERLINK("http://ts.21cn.com/tousu/show/id/1353593","造艺科技强制收取高额咨询费")</f>
        <v>造艺科技强制收取高额咨询费</v>
      </c>
      <c r="C21481" s="2" t="s">
        <v>9</v>
      </c>
      <c r="D21481" s="2" t="s">
        <v>10</v>
      </c>
      <c r="E21481" s="2" t="str">
        <f>HYPERLINK("http://ts.21cn.com/tousu/show/id/1353593","http://ts.21cn.com/tousu/show/id/1353593")</f>
        <v>http://ts.21cn.com/tousu/show/id/1353593</v>
      </c>
      <c r="F21481" s="2" t="s">
        <v>11</v>
      </c>
      <c r="G21481" s="2" t="s">
        <v>1911</v>
      </c>
      <c r="H21481" s="2" t="s">
        <v>1912</v>
      </c>
    </row>
    <row r="21482" spans="1:8" ht="25.05" customHeight="1" x14ac:dyDescent="0.25">
      <c r="A21482" s="2" t="s">
        <v>8</v>
      </c>
      <c r="B21482" s="2" t="str">
        <f>HYPERLINK("http://ts.21cn.com/tousu/show/id/1353555","神马借，高利贷，套路贷")</f>
        <v>神马借，高利贷，套路贷</v>
      </c>
      <c r="C21482" s="2" t="s">
        <v>9</v>
      </c>
      <c r="D21482" s="2" t="s">
        <v>10</v>
      </c>
      <c r="E21482" s="2" t="str">
        <f>HYPERLINK("http://ts.21cn.com/tousu/show/id/1353555","http://ts.21cn.com/tousu/show/id/1353555")</f>
        <v>http://ts.21cn.com/tousu/show/id/1353555</v>
      </c>
      <c r="F21482" s="2" t="s">
        <v>11</v>
      </c>
      <c r="G21482" s="2" t="s">
        <v>1909</v>
      </c>
      <c r="H21482" s="2" t="s">
        <v>1910</v>
      </c>
    </row>
    <row r="21483" spans="1:8" ht="25.05" customHeight="1" x14ac:dyDescent="0.25">
      <c r="A21483" s="2" t="s">
        <v>8</v>
      </c>
      <c r="B21483" s="2" t="str">
        <f>HYPERLINK("http://ts.21cn.com/tousu/show/id/1353594","暴力催收，高利贷，合同欺诈")</f>
        <v>暴力催收，高利贷，合同欺诈</v>
      </c>
      <c r="C21483" s="2" t="s">
        <v>9</v>
      </c>
      <c r="D21483" s="2" t="s">
        <v>10</v>
      </c>
      <c r="E21483" s="2" t="str">
        <f>HYPERLINK("http://ts.21cn.com/tousu/show/id/1353594","http://ts.21cn.com/tousu/show/id/1353594")</f>
        <v>http://ts.21cn.com/tousu/show/id/1353594</v>
      </c>
      <c r="F21483" s="2" t="s">
        <v>11</v>
      </c>
      <c r="G21483" s="2" t="s">
        <v>1907</v>
      </c>
      <c r="H21483" s="2" t="s">
        <v>1908</v>
      </c>
    </row>
    <row r="21484" spans="1:8" ht="25.05" customHeight="1" x14ac:dyDescent="0.25">
      <c r="A21484" s="2" t="s">
        <v>8</v>
      </c>
      <c r="B21484" s="2" t="str">
        <f>HYPERLINK("http://ts.21cn.com/tousu/show/id/1353595","不开结清证明")</f>
        <v>不开结清证明</v>
      </c>
      <c r="C21484" s="2" t="s">
        <v>34</v>
      </c>
      <c r="D21484" s="2" t="s">
        <v>10</v>
      </c>
      <c r="E21484" s="2" t="str">
        <f>HYPERLINK("http://ts.21cn.com/tousu/show/id/1353595","http://ts.21cn.com/tousu/show/id/1353595")</f>
        <v>http://ts.21cn.com/tousu/show/id/1353595</v>
      </c>
      <c r="F21484" s="2" t="s">
        <v>11</v>
      </c>
      <c r="G21484" s="2" t="s">
        <v>1905</v>
      </c>
      <c r="H21484" s="2" t="s">
        <v>1906</v>
      </c>
    </row>
    <row r="21485" spans="1:8" ht="25.05" customHeight="1" x14ac:dyDescent="0.25">
      <c r="A21485" s="2" t="s">
        <v>8</v>
      </c>
      <c r="B21485" s="2" t="str">
        <f>HYPERLINK("http://ts.21cn.com/tousu/show/id/1353597","万象财务骚扰，根本没借款还让我们还钱，而且还骚扰通讯录")</f>
        <v>万象财务骚扰，根本没借款还让我们还钱，而且还骚扰通讯录</v>
      </c>
      <c r="C21485" s="2" t="s">
        <v>9</v>
      </c>
      <c r="D21485" s="2" t="s">
        <v>10</v>
      </c>
      <c r="E21485" s="2" t="str">
        <f>HYPERLINK("http://ts.21cn.com/tousu/show/id/1353597","http://ts.21cn.com/tousu/show/id/1353597")</f>
        <v>http://ts.21cn.com/tousu/show/id/1353597</v>
      </c>
      <c r="F21485" s="2" t="s">
        <v>11</v>
      </c>
      <c r="G21485" s="2" t="s">
        <v>1903</v>
      </c>
      <c r="H21485" s="2" t="s">
        <v>1904</v>
      </c>
    </row>
    <row r="21486" spans="1:8" ht="25.05" customHeight="1" x14ac:dyDescent="0.25">
      <c r="A21486" s="2" t="s">
        <v>8</v>
      </c>
      <c r="B21486" s="2" t="str">
        <f>HYPERLINK("http://ts.21cn.com/tousu/show/id/1353598","滴滴分公司不给个人办证")</f>
        <v>滴滴分公司不给个人办证</v>
      </c>
      <c r="C21486" s="2" t="s">
        <v>34</v>
      </c>
      <c r="D21486" s="2" t="s">
        <v>10</v>
      </c>
      <c r="E21486" s="2" t="str">
        <f>HYPERLINK("http://ts.21cn.com/tousu/show/id/1353598","http://ts.21cn.com/tousu/show/id/1353598")</f>
        <v>http://ts.21cn.com/tousu/show/id/1353598</v>
      </c>
      <c r="F21486" s="2" t="s">
        <v>11</v>
      </c>
      <c r="G21486" s="2" t="s">
        <v>1901</v>
      </c>
      <c r="H21486" s="2" t="s">
        <v>1902</v>
      </c>
    </row>
    <row r="21487" spans="1:8" ht="25.05" customHeight="1" x14ac:dyDescent="0.25">
      <c r="A21487" s="2" t="s">
        <v>8</v>
      </c>
      <c r="B21487" s="2" t="str">
        <f>HYPERLINK("http://ts.21cn.com/tousu/show/id/1353599","微信支付冻结")</f>
        <v>微信支付冻结</v>
      </c>
      <c r="C21487" s="2" t="s">
        <v>34</v>
      </c>
      <c r="D21487" s="2" t="s">
        <v>10</v>
      </c>
      <c r="E21487" s="2" t="str">
        <f>HYPERLINK("http://ts.21cn.com/tousu/show/id/1353599","http://ts.21cn.com/tousu/show/id/1353599")</f>
        <v>http://ts.21cn.com/tousu/show/id/1353599</v>
      </c>
      <c r="F21487" s="2" t="s">
        <v>11</v>
      </c>
      <c r="G21487" s="2" t="s">
        <v>1899</v>
      </c>
      <c r="H21487" s="2" t="s">
        <v>1900</v>
      </c>
    </row>
    <row r="21488" spans="1:8" ht="25.05" customHeight="1" x14ac:dyDescent="0.25">
      <c r="A21488" s="2" t="s">
        <v>8</v>
      </c>
      <c r="B21488" s="2" t="str">
        <f>HYPERLINK("http://ts.21cn.com/tousu/show/id/1353600","及贷公司在逾期一天未联系上的情况下就骚扰联系人")</f>
        <v>及贷公司在逾期一天未联系上的情况下就骚扰联系人</v>
      </c>
      <c r="C21488" s="2" t="s">
        <v>9</v>
      </c>
      <c r="D21488" s="2" t="s">
        <v>10</v>
      </c>
      <c r="E21488" s="2" t="str">
        <f>HYPERLINK("http://ts.21cn.com/tousu/show/id/1353600","http://ts.21cn.com/tousu/show/id/1353600")</f>
        <v>http://ts.21cn.com/tousu/show/id/1353600</v>
      </c>
      <c r="F21488" s="2" t="s">
        <v>11</v>
      </c>
      <c r="G21488" s="2" t="s">
        <v>1897</v>
      </c>
      <c r="H21488" s="2" t="s">
        <v>1898</v>
      </c>
    </row>
    <row r="21489" spans="1:8" ht="25.05" customHeight="1" x14ac:dyDescent="0.25">
      <c r="A21489" s="2" t="s">
        <v>8</v>
      </c>
      <c r="B21489" s="2" t="str">
        <f>HYPERLINK("http://ts.21cn.com/tousu/show/id/1353601","点融网注销困难，客服及其傲慢")</f>
        <v>点融网注销困难，客服及其傲慢</v>
      </c>
      <c r="C21489" s="2" t="s">
        <v>9</v>
      </c>
      <c r="D21489" s="2" t="s">
        <v>10</v>
      </c>
      <c r="E21489" s="2" t="str">
        <f>HYPERLINK("http://ts.21cn.com/tousu/show/id/1353601","http://ts.21cn.com/tousu/show/id/1353601")</f>
        <v>http://ts.21cn.com/tousu/show/id/1353601</v>
      </c>
      <c r="F21489" s="2" t="s">
        <v>11</v>
      </c>
      <c r="G21489" s="2" t="s">
        <v>1895</v>
      </c>
      <c r="H21489" s="2" t="s">
        <v>1896</v>
      </c>
    </row>
    <row r="21490" spans="1:8" ht="25.05" customHeight="1" x14ac:dyDescent="0.25">
      <c r="A21490" s="2" t="s">
        <v>8</v>
      </c>
      <c r="B21490" s="2" t="str">
        <f>HYPERLINK("http://ts.21cn.com/tousu/show/id/1353602","非法获取本人预留联系人以外通讯录成员电话，侵犯个人隐私，")</f>
        <v>非法获取本人预留联系人以外通讯录成员电话，侵犯个人隐私，</v>
      </c>
      <c r="C21490" s="2" t="s">
        <v>9</v>
      </c>
      <c r="D21490" s="2" t="s">
        <v>10</v>
      </c>
      <c r="E21490" s="2" t="str">
        <f>HYPERLINK("http://ts.21cn.com/tousu/show/id/1353602","http://ts.21cn.com/tousu/show/id/1353602")</f>
        <v>http://ts.21cn.com/tousu/show/id/1353602</v>
      </c>
      <c r="F21490" s="2" t="s">
        <v>11</v>
      </c>
      <c r="G21490" s="2" t="s">
        <v>1893</v>
      </c>
      <c r="H21490" s="2" t="s">
        <v>1894</v>
      </c>
    </row>
    <row r="21491" spans="1:8" ht="25.05" customHeight="1" x14ac:dyDescent="0.25">
      <c r="A21491" s="2" t="s">
        <v>8</v>
      </c>
      <c r="B21491" s="2" t="str">
        <f>HYPERLINK("http://ts.21cn.com/tousu/show/id/1353603","马上消费骚扰，冒充公检法")</f>
        <v>马上消费骚扰，冒充公检法</v>
      </c>
      <c r="C21491" s="2" t="s">
        <v>9</v>
      </c>
      <c r="D21491" s="2" t="s">
        <v>10</v>
      </c>
      <c r="E21491" s="2" t="str">
        <f>HYPERLINK("http://ts.21cn.com/tousu/show/id/1353603","http://ts.21cn.com/tousu/show/id/1353603")</f>
        <v>http://ts.21cn.com/tousu/show/id/1353603</v>
      </c>
      <c r="F21491" s="2" t="s">
        <v>11</v>
      </c>
      <c r="G21491" s="2" t="s">
        <v>1891</v>
      </c>
      <c r="H21491" s="2" t="s">
        <v>1892</v>
      </c>
    </row>
    <row r="21492" spans="1:8" ht="25.05" customHeight="1" x14ac:dyDescent="0.25">
      <c r="A21492" s="2" t="s">
        <v>8</v>
      </c>
      <c r="B21492" s="2" t="str">
        <f>HYPERLINK("http://ts.21cn.com/tousu/show/id/1353604","共享汽车押金，申请退款一个多月没有退款，客服不接电话")</f>
        <v>共享汽车押金，申请退款一个多月没有退款，客服不接电话</v>
      </c>
      <c r="C21492" s="2" t="s">
        <v>9</v>
      </c>
      <c r="D21492" s="2" t="s">
        <v>10</v>
      </c>
      <c r="E21492" s="2" t="str">
        <f>HYPERLINK("http://ts.21cn.com/tousu/show/id/1353604","http://ts.21cn.com/tousu/show/id/1353604")</f>
        <v>http://ts.21cn.com/tousu/show/id/1353604</v>
      </c>
      <c r="F21492" s="2" t="s">
        <v>11</v>
      </c>
      <c r="G21492" s="2" t="s">
        <v>1889</v>
      </c>
      <c r="H21492" s="2" t="s">
        <v>1890</v>
      </c>
    </row>
    <row r="21493" spans="1:8" ht="25.05" customHeight="1" x14ac:dyDescent="0.25">
      <c r="A21493" s="2" t="s">
        <v>8</v>
      </c>
      <c r="B21493" s="2" t="str">
        <f>HYPERLINK("http://ts.21cn.com/tousu/show/id/1353605","捷信拒绝给用户销户，客服态度差")</f>
        <v>捷信拒绝给用户销户，客服态度差</v>
      </c>
      <c r="C21493" s="2" t="s">
        <v>9</v>
      </c>
      <c r="D21493" s="2" t="s">
        <v>10</v>
      </c>
      <c r="E21493" s="2" t="str">
        <f>HYPERLINK("http://ts.21cn.com/tousu/show/id/1353605","http://ts.21cn.com/tousu/show/id/1353605")</f>
        <v>http://ts.21cn.com/tousu/show/id/1353605</v>
      </c>
      <c r="F21493" s="2" t="s">
        <v>11</v>
      </c>
      <c r="G21493" s="2" t="s">
        <v>1887</v>
      </c>
      <c r="H21493" s="2" t="s">
        <v>1888</v>
      </c>
    </row>
    <row r="21494" spans="1:8" ht="25.05" customHeight="1" x14ac:dyDescent="0.25">
      <c r="A21494" s="2" t="s">
        <v>8</v>
      </c>
      <c r="B21494" s="2" t="str">
        <f>HYPERLINK("http://ts.21cn.com/tousu/show/id/1353607","黑心网贷.捆绑上保险")</f>
        <v>黑心网贷.捆绑上保险</v>
      </c>
      <c r="C21494" s="2" t="s">
        <v>9</v>
      </c>
      <c r="D21494" s="2" t="s">
        <v>10</v>
      </c>
      <c r="E21494" s="2" t="str">
        <f>HYPERLINK("http://ts.21cn.com/tousu/show/id/1353607","http://ts.21cn.com/tousu/show/id/1353607")</f>
        <v>http://ts.21cn.com/tousu/show/id/1353607</v>
      </c>
      <c r="F21494" s="2" t="s">
        <v>11</v>
      </c>
      <c r="G21494" s="2" t="s">
        <v>1885</v>
      </c>
      <c r="H21494" s="2" t="s">
        <v>1886</v>
      </c>
    </row>
    <row r="21495" spans="1:8" ht="25.05" customHeight="1" x14ac:dyDescent="0.25">
      <c r="A21495" s="2" t="s">
        <v>8</v>
      </c>
      <c r="B21495" s="2" t="str">
        <f>HYPERLINK("http://ts.21cn.com/tousu/show/id/1353608","用钱宝故意不让还款让我逾期请求帮助")</f>
        <v>用钱宝故意不让还款让我逾期请求帮助</v>
      </c>
      <c r="C21495" s="2" t="s">
        <v>9</v>
      </c>
      <c r="D21495" s="2" t="s">
        <v>10</v>
      </c>
      <c r="E21495" s="2" t="str">
        <f>HYPERLINK("http://ts.21cn.com/tousu/show/id/1353608","http://ts.21cn.com/tousu/show/id/1353608")</f>
        <v>http://ts.21cn.com/tousu/show/id/1353608</v>
      </c>
      <c r="F21495" s="2" t="s">
        <v>11</v>
      </c>
      <c r="G21495" s="2" t="s">
        <v>1883</v>
      </c>
      <c r="H21495" s="2" t="s">
        <v>1884</v>
      </c>
    </row>
    <row r="21496" spans="1:8" ht="25.05" customHeight="1" x14ac:dyDescent="0.25">
      <c r="A21496" s="2" t="s">
        <v>8</v>
      </c>
      <c r="B21496" s="2" t="str">
        <f>HYPERLINK("http://ts.21cn.com/tousu/show/id/1353609","马上金融霸王收费")</f>
        <v>马上金融霸王收费</v>
      </c>
      <c r="C21496" s="2" t="s">
        <v>9</v>
      </c>
      <c r="D21496" s="2" t="s">
        <v>10</v>
      </c>
      <c r="E21496" s="2" t="str">
        <f>HYPERLINK("http://ts.21cn.com/tousu/show/id/1353609","http://ts.21cn.com/tousu/show/id/1353609")</f>
        <v>http://ts.21cn.com/tousu/show/id/1353609</v>
      </c>
      <c r="F21496" s="2" t="s">
        <v>11</v>
      </c>
      <c r="G21496" s="2" t="s">
        <v>1881</v>
      </c>
      <c r="H21496" s="2" t="s">
        <v>1882</v>
      </c>
    </row>
    <row r="21497" spans="1:8" ht="25.05" customHeight="1" x14ac:dyDescent="0.25">
      <c r="A21497" s="2" t="s">
        <v>8</v>
      </c>
      <c r="B21497" s="2" t="str">
        <f>HYPERLINK("http://ts.21cn.com/tousu/show/id/1353612","好易借爆通讯录")</f>
        <v>好易借爆通讯录</v>
      </c>
      <c r="C21497" s="2" t="s">
        <v>9</v>
      </c>
      <c r="D21497" s="2" t="s">
        <v>10</v>
      </c>
      <c r="E21497" s="2" t="str">
        <f>HYPERLINK("http://ts.21cn.com/tousu/show/id/1353612","http://ts.21cn.com/tousu/show/id/1353612")</f>
        <v>http://ts.21cn.com/tousu/show/id/1353612</v>
      </c>
      <c r="F21497" s="2" t="s">
        <v>11</v>
      </c>
      <c r="G21497" s="2" t="s">
        <v>1879</v>
      </c>
      <c r="H21497" s="2" t="s">
        <v>1880</v>
      </c>
    </row>
    <row r="21498" spans="1:8" ht="25.05" customHeight="1" x14ac:dyDescent="0.25">
      <c r="A21498" s="2" t="s">
        <v>8</v>
      </c>
      <c r="B21498" s="2" t="str">
        <f>HYPERLINK("http://ts.21cn.com/tousu/show/id/1351645","投诉中金支付有限公司为非法交易平台提供资金结算服务，要求赔偿损失")</f>
        <v>投诉中金支付有限公司为非法交易平台提供资金结算服务，要求赔偿损失</v>
      </c>
      <c r="C21498" s="2" t="s">
        <v>9</v>
      </c>
      <c r="D21498" s="2" t="s">
        <v>10</v>
      </c>
      <c r="E21498" s="2" t="str">
        <f>HYPERLINK("http://ts.21cn.com/tousu/show/id/1351645","http://ts.21cn.com/tousu/show/id/1351645")</f>
        <v>http://ts.21cn.com/tousu/show/id/1351645</v>
      </c>
      <c r="F21498" s="2" t="s">
        <v>11</v>
      </c>
      <c r="G21498" s="2" t="s">
        <v>1877</v>
      </c>
      <c r="H21498" s="2" t="s">
        <v>1878</v>
      </c>
    </row>
    <row r="21499" spans="1:8" ht="25.05" customHeight="1" x14ac:dyDescent="0.25">
      <c r="A21499" s="2" t="s">
        <v>8</v>
      </c>
      <c r="B21499" s="2" t="str">
        <f>HYPERLINK("http://ts.21cn.com/tousu/show/id/1353613","高利贷盗取隐私")</f>
        <v>高利贷盗取隐私</v>
      </c>
      <c r="C21499" s="2" t="s">
        <v>9</v>
      </c>
      <c r="D21499" s="2" t="s">
        <v>10</v>
      </c>
      <c r="E21499" s="2" t="str">
        <f>HYPERLINK("http://ts.21cn.com/tousu/show/id/1353613","http://ts.21cn.com/tousu/show/id/1353613")</f>
        <v>http://ts.21cn.com/tousu/show/id/1353613</v>
      </c>
      <c r="F21499" s="2" t="s">
        <v>11</v>
      </c>
      <c r="G21499" s="2" t="s">
        <v>1875</v>
      </c>
      <c r="H21499" s="2" t="s">
        <v>1876</v>
      </c>
    </row>
    <row r="21500" spans="1:8" ht="25.05" customHeight="1" x14ac:dyDescent="0.25">
      <c r="A21500" s="2" t="s">
        <v>8</v>
      </c>
      <c r="B21500" s="2" t="str">
        <f>HYPERLINK("http://ts.21cn.com/tousu/show/id/1353615","银行卡被莫名扣款")</f>
        <v>银行卡被莫名扣款</v>
      </c>
      <c r="C21500" s="2" t="s">
        <v>9</v>
      </c>
      <c r="D21500" s="2" t="s">
        <v>10</v>
      </c>
      <c r="E21500" s="2" t="str">
        <f>HYPERLINK("http://ts.21cn.com/tousu/show/id/1353615","http://ts.21cn.com/tousu/show/id/1353615")</f>
        <v>http://ts.21cn.com/tousu/show/id/1353615</v>
      </c>
      <c r="F21500" s="2" t="s">
        <v>11</v>
      </c>
      <c r="G21500" s="2" t="s">
        <v>1873</v>
      </c>
      <c r="H21500" s="2" t="s">
        <v>1874</v>
      </c>
    </row>
    <row r="21501" spans="1:8" ht="25.05" customHeight="1" x14ac:dyDescent="0.25">
      <c r="A21501" s="2" t="s">
        <v>8</v>
      </c>
      <c r="B21501" s="2" t="str">
        <f>HYPERLINK("http://ts.21cn.com/tousu/show/id/1353614","宜人贷借款75000八天提前还款需要还11万，阴阳合同，砍头息，伪造合同")</f>
        <v>宜人贷借款75000八天提前还款需要还11万，阴阳合同，砍头息，伪造合同</v>
      </c>
      <c r="C21501" s="2" t="s">
        <v>9</v>
      </c>
      <c r="D21501" s="2" t="s">
        <v>10</v>
      </c>
      <c r="E21501" s="2" t="str">
        <f>HYPERLINK("http://ts.21cn.com/tousu/show/id/1353614","http://ts.21cn.com/tousu/show/id/1353614")</f>
        <v>http://ts.21cn.com/tousu/show/id/1353614</v>
      </c>
      <c r="F21501" s="2" t="s">
        <v>11</v>
      </c>
      <c r="G21501" s="2" t="s">
        <v>1871</v>
      </c>
      <c r="H21501" s="2" t="s">
        <v>1872</v>
      </c>
    </row>
    <row r="21502" spans="1:8" ht="25.05" customHeight="1" x14ac:dyDescent="0.25">
      <c r="A21502" s="2" t="s">
        <v>8</v>
      </c>
      <c r="B21502" s="2" t="str">
        <f>HYPERLINK("http://ts.21cn.com/tousu/show/id/1353506","公司领导及单位同事联合欠款人本人，恶意拖欠欠款，不作为")</f>
        <v>公司领导及单位同事联合欠款人本人，恶意拖欠欠款，不作为</v>
      </c>
      <c r="C21502" s="2" t="s">
        <v>9</v>
      </c>
      <c r="D21502" s="2" t="s">
        <v>10</v>
      </c>
      <c r="E21502" s="2" t="str">
        <f>HYPERLINK("http://ts.21cn.com/tousu/show/id/1353506","http://ts.21cn.com/tousu/show/id/1353506")</f>
        <v>http://ts.21cn.com/tousu/show/id/1353506</v>
      </c>
      <c r="F21502" s="2" t="s">
        <v>11</v>
      </c>
      <c r="G21502" s="2" t="s">
        <v>1869</v>
      </c>
      <c r="H21502" s="2" t="s">
        <v>1870</v>
      </c>
    </row>
    <row r="21503" spans="1:8" ht="25.05" customHeight="1" x14ac:dyDescent="0.25">
      <c r="A21503" s="2" t="s">
        <v>8</v>
      </c>
      <c r="B21503" s="2" t="str">
        <f>HYPERLINK("http://ts.21cn.com/tousu/show/id/1353617","微信微粒贷，暴力催收")</f>
        <v>微信微粒贷，暴力催收</v>
      </c>
      <c r="C21503" s="2" t="s">
        <v>9</v>
      </c>
      <c r="D21503" s="2" t="s">
        <v>10</v>
      </c>
      <c r="E21503" s="2" t="str">
        <f>HYPERLINK("http://ts.21cn.com/tousu/show/id/1353617","http://ts.21cn.com/tousu/show/id/1353617")</f>
        <v>http://ts.21cn.com/tousu/show/id/1353617</v>
      </c>
      <c r="F21503" s="2" t="s">
        <v>11</v>
      </c>
      <c r="G21503" s="2" t="s">
        <v>1867</v>
      </c>
      <c r="H21503" s="2" t="s">
        <v>1868</v>
      </c>
    </row>
    <row r="21504" spans="1:8" ht="25.05" customHeight="1" x14ac:dyDescent="0.25">
      <c r="A21504" s="2" t="s">
        <v>8</v>
      </c>
      <c r="B21504" s="2" t="str">
        <f>HYPERLINK("http://ts.21cn.com/tousu/show/id/1353616","钱站高利贷阴阳合同")</f>
        <v>钱站高利贷阴阳合同</v>
      </c>
      <c r="C21504" s="2" t="s">
        <v>9</v>
      </c>
      <c r="D21504" s="2" t="s">
        <v>10</v>
      </c>
      <c r="E21504" s="2" t="str">
        <f>HYPERLINK("http://ts.21cn.com/tousu/show/id/1353616","http://ts.21cn.com/tousu/show/id/1353616")</f>
        <v>http://ts.21cn.com/tousu/show/id/1353616</v>
      </c>
      <c r="F21504" s="2" t="s">
        <v>11</v>
      </c>
      <c r="G21504" s="2" t="s">
        <v>1865</v>
      </c>
      <c r="H21504" s="2" t="s">
        <v>1866</v>
      </c>
    </row>
    <row r="21505" spans="1:8" ht="25.05" customHeight="1" x14ac:dyDescent="0.25">
      <c r="A21505" s="2" t="s">
        <v>8</v>
      </c>
      <c r="B21505" s="2" t="str">
        <f>HYPERLINK("http://ts.21cn.com/tousu/show/id/1353618","阿卡索英语多次退费遭拒绝")</f>
        <v>阿卡索英语多次退费遭拒绝</v>
      </c>
      <c r="C21505" s="2" t="s">
        <v>9</v>
      </c>
      <c r="D21505" s="2" t="s">
        <v>10</v>
      </c>
      <c r="E21505" s="2" t="str">
        <f>HYPERLINK("http://ts.21cn.com/tousu/show/id/1353618","http://ts.21cn.com/tousu/show/id/1353618")</f>
        <v>http://ts.21cn.com/tousu/show/id/1353618</v>
      </c>
      <c r="F21505" s="2" t="s">
        <v>11</v>
      </c>
      <c r="G21505" s="2" t="s">
        <v>1863</v>
      </c>
      <c r="H21505" s="2" t="s">
        <v>1864</v>
      </c>
    </row>
    <row r="21506" spans="1:8" ht="25.05" customHeight="1" x14ac:dyDescent="0.25">
      <c r="A21506" s="2" t="s">
        <v>8</v>
      </c>
      <c r="B21506" s="2" t="str">
        <f>HYPERLINK("http://ts.21cn.com/tousu/show/id/1353619","钱置宝高额利息和逾期费")</f>
        <v>钱置宝高额利息和逾期费</v>
      </c>
      <c r="C21506" s="2" t="s">
        <v>9</v>
      </c>
      <c r="D21506" s="2" t="s">
        <v>10</v>
      </c>
      <c r="E21506" s="2" t="str">
        <f>HYPERLINK("http://ts.21cn.com/tousu/show/id/1353619","http://ts.21cn.com/tousu/show/id/1353619")</f>
        <v>http://ts.21cn.com/tousu/show/id/1353619</v>
      </c>
      <c r="F21506" s="2" t="s">
        <v>11</v>
      </c>
      <c r="G21506" s="2" t="s">
        <v>1861</v>
      </c>
      <c r="H21506" s="2" t="s">
        <v>1862</v>
      </c>
    </row>
    <row r="21507" spans="1:8" ht="25.05" customHeight="1" x14ac:dyDescent="0.25">
      <c r="A21507" s="2" t="s">
        <v>8</v>
      </c>
      <c r="B21507" s="2" t="str">
        <f>HYPERLINK("http://ts.21cn.com/tousu/show/id/1353620","你我贷不与本人沟通直接联系，直接开始骚扰其他联系人")</f>
        <v>你我贷不与本人沟通直接联系，直接开始骚扰其他联系人</v>
      </c>
      <c r="C21507" s="2" t="s">
        <v>9</v>
      </c>
      <c r="D21507" s="2" t="s">
        <v>10</v>
      </c>
      <c r="E21507" s="2" t="str">
        <f>HYPERLINK("http://ts.21cn.com/tousu/show/id/1353620","http://ts.21cn.com/tousu/show/id/1353620")</f>
        <v>http://ts.21cn.com/tousu/show/id/1353620</v>
      </c>
      <c r="F21507" s="2" t="s">
        <v>11</v>
      </c>
      <c r="G21507" s="2" t="s">
        <v>1859</v>
      </c>
      <c r="H21507" s="2" t="s">
        <v>1860</v>
      </c>
    </row>
    <row r="21508" spans="1:8" ht="25.05" customHeight="1" x14ac:dyDescent="0.25">
      <c r="A21508" s="2" t="s">
        <v>8</v>
      </c>
      <c r="B21508" s="2" t="str">
        <f>HYPERLINK("http://ts.21cn.com/tousu/show/id/1353621","马上消费金融利息高，不协商还款，催收冒充律师")</f>
        <v>马上消费金融利息高，不协商还款，催收冒充律师</v>
      </c>
      <c r="C21508" s="2" t="s">
        <v>9</v>
      </c>
      <c r="D21508" s="2" t="s">
        <v>10</v>
      </c>
      <c r="E21508" s="2" t="str">
        <f>HYPERLINK("http://ts.21cn.com/tousu/show/id/1353621","http://ts.21cn.com/tousu/show/id/1353621")</f>
        <v>http://ts.21cn.com/tousu/show/id/1353621</v>
      </c>
      <c r="F21508" s="2" t="s">
        <v>11</v>
      </c>
      <c r="G21508" s="2" t="s">
        <v>1857</v>
      </c>
      <c r="H21508" s="2" t="s">
        <v>1858</v>
      </c>
    </row>
    <row r="21509" spans="1:8" ht="25.05" customHeight="1" x14ac:dyDescent="0.25">
      <c r="A21509" s="2" t="s">
        <v>8</v>
      </c>
      <c r="B21509" s="2" t="str">
        <f>HYPERLINK("http://ts.21cn.com/tousu/show/id/1353622","网络借贷违规扣款，砍头息，高利贷")</f>
        <v>网络借贷违规扣款，砍头息，高利贷</v>
      </c>
      <c r="C21509" s="2" t="s">
        <v>9</v>
      </c>
      <c r="D21509" s="2" t="s">
        <v>10</v>
      </c>
      <c r="E21509" s="2" t="str">
        <f>HYPERLINK("http://ts.21cn.com/tousu/show/id/1353622","http://ts.21cn.com/tousu/show/id/1353622")</f>
        <v>http://ts.21cn.com/tousu/show/id/1353622</v>
      </c>
      <c r="F21509" s="2" t="s">
        <v>11</v>
      </c>
      <c r="G21509" s="2" t="s">
        <v>1855</v>
      </c>
      <c r="H21509" s="2" t="s">
        <v>1856</v>
      </c>
    </row>
    <row r="21510" spans="1:8" ht="25.05" customHeight="1" x14ac:dyDescent="0.25">
      <c r="A21510" s="2" t="s">
        <v>8</v>
      </c>
      <c r="B21510" s="2" t="str">
        <f>HYPERLINK("http://ts.21cn.com/tousu/show/id/1353625","友信信贷在未逾期的时间内对借款人进行暴力催收")</f>
        <v>友信信贷在未逾期的时间内对借款人进行暴力催收</v>
      </c>
      <c r="C21510" s="2" t="s">
        <v>9</v>
      </c>
      <c r="D21510" s="2" t="s">
        <v>10</v>
      </c>
      <c r="E21510" s="2" t="str">
        <f>HYPERLINK("http://ts.21cn.com/tousu/show/id/1353625","http://ts.21cn.com/tousu/show/id/1353625")</f>
        <v>http://ts.21cn.com/tousu/show/id/1353625</v>
      </c>
      <c r="F21510" s="2" t="s">
        <v>11</v>
      </c>
      <c r="G21510" s="2" t="s">
        <v>1853</v>
      </c>
      <c r="H21510" s="2" t="s">
        <v>1854</v>
      </c>
    </row>
    <row r="21511" spans="1:8" ht="25.05" customHeight="1" x14ac:dyDescent="0.25">
      <c r="A21511" s="2" t="s">
        <v>8</v>
      </c>
      <c r="B21511" s="2" t="str">
        <f>HYPERLINK("http://ts.21cn.com/tousu/show/id/1353623","拍拍贷催收乱打联系人电话")</f>
        <v>拍拍贷催收乱打联系人电话</v>
      </c>
      <c r="C21511" s="2" t="s">
        <v>9</v>
      </c>
      <c r="D21511" s="2" t="s">
        <v>10</v>
      </c>
      <c r="E21511" s="2" t="str">
        <f>HYPERLINK("http://ts.21cn.com/tousu/show/id/1353623","http://ts.21cn.com/tousu/show/id/1353623")</f>
        <v>http://ts.21cn.com/tousu/show/id/1353623</v>
      </c>
      <c r="F21511" s="2" t="s">
        <v>11</v>
      </c>
      <c r="G21511" s="2" t="s">
        <v>1851</v>
      </c>
      <c r="H21511" s="2" t="s">
        <v>1852</v>
      </c>
    </row>
    <row r="21512" spans="1:8" ht="25.05" customHeight="1" x14ac:dyDescent="0.25">
      <c r="A21512" s="2" t="s">
        <v>8</v>
      </c>
      <c r="B21512" s="2" t="str">
        <f>HYPERLINK("http://ts.21cn.com/tousu/show/id/1353624","投诉中通快递（无锡无锡中心市场部）充值的电子面单被回收")</f>
        <v>投诉中通快递（无锡无锡中心市场部）充值的电子面单被回收</v>
      </c>
      <c r="C21512" s="2" t="s">
        <v>9</v>
      </c>
      <c r="D21512" s="2" t="s">
        <v>10</v>
      </c>
      <c r="E21512" s="2" t="str">
        <f>HYPERLINK("http://ts.21cn.com/tousu/show/id/1353624","http://ts.21cn.com/tousu/show/id/1353624")</f>
        <v>http://ts.21cn.com/tousu/show/id/1353624</v>
      </c>
      <c r="F21512" s="2" t="s">
        <v>11</v>
      </c>
      <c r="G21512" s="2" t="s">
        <v>1849</v>
      </c>
      <c r="H21512" s="2" t="s">
        <v>1850</v>
      </c>
    </row>
    <row r="21513" spans="1:8" ht="25.05" customHeight="1" x14ac:dyDescent="0.25">
      <c r="A21513" s="2" t="s">
        <v>8</v>
      </c>
      <c r="B21513" s="2" t="str">
        <f>HYPERLINK("http://ts.21cn.com/tousu/show/id/1353626","立马进钱呆呆苞无法正常过款")</f>
        <v>立马进钱呆呆苞无法正常过款</v>
      </c>
      <c r="C21513" s="2" t="s">
        <v>9</v>
      </c>
      <c r="D21513" s="2" t="s">
        <v>10</v>
      </c>
      <c r="E21513" s="2" t="str">
        <f>HYPERLINK("http://ts.21cn.com/tousu/show/id/1353626","http://ts.21cn.com/tousu/show/id/1353626")</f>
        <v>http://ts.21cn.com/tousu/show/id/1353626</v>
      </c>
      <c r="F21513" s="2" t="s">
        <v>11</v>
      </c>
      <c r="G21513" s="2" t="s">
        <v>1847</v>
      </c>
      <c r="H21513" s="2" t="s">
        <v>1848</v>
      </c>
    </row>
    <row r="21514" spans="1:8" ht="25.05" customHeight="1" x14ac:dyDescent="0.25">
      <c r="A21514" s="2" t="s">
        <v>8</v>
      </c>
      <c r="B21514" s="2" t="str">
        <f>HYPERLINK("http://ts.21cn.com/tousu/show/id/1353627","拼多多商家为博彩网站提供充值通道")</f>
        <v>拼多多商家为博彩网站提供充值通道</v>
      </c>
      <c r="C21514" s="2" t="s">
        <v>9</v>
      </c>
      <c r="D21514" s="2" t="s">
        <v>10</v>
      </c>
      <c r="E21514" s="2" t="str">
        <f>HYPERLINK("http://ts.21cn.com/tousu/show/id/1353627","http://ts.21cn.com/tousu/show/id/1353627")</f>
        <v>http://ts.21cn.com/tousu/show/id/1353627</v>
      </c>
      <c r="F21514" s="2" t="s">
        <v>11</v>
      </c>
      <c r="G21514" s="2" t="s">
        <v>1845</v>
      </c>
      <c r="H21514" s="2" t="s">
        <v>1846</v>
      </c>
    </row>
    <row r="21515" spans="1:8" ht="25.05" customHeight="1" x14ac:dyDescent="0.25">
      <c r="A21515" s="2" t="s">
        <v>8</v>
      </c>
      <c r="B21515" s="2" t="str">
        <f>HYPERLINK("http://ts.21cn.com/tousu/show/id/1353629","91买呗砍头息高利贷")</f>
        <v>91买呗砍头息高利贷</v>
      </c>
      <c r="C21515" s="2" t="s">
        <v>9</v>
      </c>
      <c r="D21515" s="2" t="s">
        <v>10</v>
      </c>
      <c r="E21515" s="2" t="str">
        <f>HYPERLINK("http://ts.21cn.com/tousu/show/id/1353629","http://ts.21cn.com/tousu/show/id/1353629")</f>
        <v>http://ts.21cn.com/tousu/show/id/1353629</v>
      </c>
      <c r="F21515" s="2" t="s">
        <v>11</v>
      </c>
      <c r="G21515" s="2" t="s">
        <v>1843</v>
      </c>
      <c r="H21515" s="2" t="s">
        <v>1844</v>
      </c>
    </row>
    <row r="21516" spans="1:8" ht="25.05" customHeight="1" x14ac:dyDescent="0.25">
      <c r="A21516" s="2" t="s">
        <v>8</v>
      </c>
      <c r="B21516" s="2" t="str">
        <f>HYPERLINK("http://ts.21cn.com/tousu/show/id/1353628","平安普惠爆通信录扬言要爆所有亲戚朋友电话，")</f>
        <v>平安普惠爆通信录扬言要爆所有亲戚朋友电话，</v>
      </c>
      <c r="C21516" s="2" t="s">
        <v>34</v>
      </c>
      <c r="D21516" s="2" t="s">
        <v>10</v>
      </c>
      <c r="E21516" s="2" t="str">
        <f>HYPERLINK("http://ts.21cn.com/tousu/show/id/1353628","http://ts.21cn.com/tousu/show/id/1353628")</f>
        <v>http://ts.21cn.com/tousu/show/id/1353628</v>
      </c>
      <c r="F21516" s="2" t="s">
        <v>11</v>
      </c>
      <c r="G21516" s="2" t="s">
        <v>1841</v>
      </c>
      <c r="H21516" s="2" t="s">
        <v>1842</v>
      </c>
    </row>
    <row r="21517" spans="1:8" ht="25.05" customHeight="1" x14ac:dyDescent="0.25">
      <c r="A21517" s="2" t="s">
        <v>8</v>
      </c>
      <c r="B21517" s="2" t="str">
        <f>HYPERLINK("http://ts.21cn.com/tousu/show/id/1353630","钱站高利贷阴阳合同")</f>
        <v>钱站高利贷阴阳合同</v>
      </c>
      <c r="C21517" s="2" t="s">
        <v>9</v>
      </c>
      <c r="D21517" s="2" t="s">
        <v>10</v>
      </c>
      <c r="E21517" s="2" t="str">
        <f>HYPERLINK("http://ts.21cn.com/tousu/show/id/1353630","http://ts.21cn.com/tousu/show/id/1353630")</f>
        <v>http://ts.21cn.com/tousu/show/id/1353630</v>
      </c>
      <c r="F21517" s="2" t="s">
        <v>11</v>
      </c>
      <c r="G21517" s="2" t="s">
        <v>1839</v>
      </c>
      <c r="H21517" s="2" t="s">
        <v>1840</v>
      </c>
    </row>
    <row r="21518" spans="1:8" ht="25.05" customHeight="1" x14ac:dyDescent="0.25">
      <c r="A21518" s="2" t="s">
        <v>8</v>
      </c>
      <c r="B21518" s="2" t="str">
        <f>HYPERLINK("http://ts.21cn.com/tousu/show/id/1353631","电话暴力骚扰")</f>
        <v>电话暴力骚扰</v>
      </c>
      <c r="C21518" s="2" t="s">
        <v>9</v>
      </c>
      <c r="D21518" s="2" t="s">
        <v>10</v>
      </c>
      <c r="E21518" s="2" t="str">
        <f>HYPERLINK("http://ts.21cn.com/tousu/show/id/1353631","http://ts.21cn.com/tousu/show/id/1353631")</f>
        <v>http://ts.21cn.com/tousu/show/id/1353631</v>
      </c>
      <c r="F21518" s="2" t="s">
        <v>11</v>
      </c>
      <c r="G21518" s="2" t="s">
        <v>1837</v>
      </c>
      <c r="H21518" s="2" t="s">
        <v>1838</v>
      </c>
    </row>
    <row r="21519" spans="1:8" ht="25.05" customHeight="1" x14ac:dyDescent="0.25">
      <c r="A21519" s="2" t="s">
        <v>8</v>
      </c>
      <c r="B21519" s="2" t="str">
        <f>HYPERLINK("http://ts.21cn.com/tousu/show/id/1353633","砍头息")</f>
        <v>砍头息</v>
      </c>
      <c r="C21519" s="2" t="s">
        <v>9</v>
      </c>
      <c r="D21519" s="2" t="s">
        <v>10</v>
      </c>
      <c r="E21519" s="2" t="str">
        <f>HYPERLINK("http://ts.21cn.com/tousu/show/id/1353633","http://ts.21cn.com/tousu/show/id/1353633")</f>
        <v>http://ts.21cn.com/tousu/show/id/1353633</v>
      </c>
      <c r="F21519" s="2" t="s">
        <v>11</v>
      </c>
      <c r="G21519" s="2" t="s">
        <v>1835</v>
      </c>
      <c r="H21519" s="2" t="s">
        <v>1836</v>
      </c>
    </row>
    <row r="21520" spans="1:8" ht="25.05" customHeight="1" x14ac:dyDescent="0.25">
      <c r="A21520" s="2" t="s">
        <v>8</v>
      </c>
      <c r="B21520" s="2" t="str">
        <f>HYPERLINK("http://ts.21cn.com/tousu/show/id/1353634","滴滴出行拿司机当儿戏")</f>
        <v>滴滴出行拿司机当儿戏</v>
      </c>
      <c r="C21520" s="2" t="s">
        <v>9</v>
      </c>
      <c r="D21520" s="2" t="s">
        <v>10</v>
      </c>
      <c r="E21520" s="2" t="str">
        <f>HYPERLINK("http://ts.21cn.com/tousu/show/id/1353634","http://ts.21cn.com/tousu/show/id/1353634")</f>
        <v>http://ts.21cn.com/tousu/show/id/1353634</v>
      </c>
      <c r="F21520" s="2" t="s">
        <v>11</v>
      </c>
      <c r="G21520" s="2" t="s">
        <v>1833</v>
      </c>
      <c r="H21520" s="2" t="s">
        <v>1834</v>
      </c>
    </row>
    <row r="21521" spans="1:8" ht="25.05" customHeight="1" x14ac:dyDescent="0.25">
      <c r="A21521" s="2" t="s">
        <v>8</v>
      </c>
      <c r="B21521" s="2" t="str">
        <f>HYPERLINK("http://ts.21cn.com/tousu/show/id/1353636","闪银哼哼催收电话辱骂和骚扰通信录")</f>
        <v>闪银哼哼催收电话辱骂和骚扰通信录</v>
      </c>
      <c r="C21521" s="2" t="s">
        <v>9</v>
      </c>
      <c r="D21521" s="2" t="s">
        <v>10</v>
      </c>
      <c r="E21521" s="2" t="str">
        <f>HYPERLINK("http://ts.21cn.com/tousu/show/id/1353636","http://ts.21cn.com/tousu/show/id/1353636")</f>
        <v>http://ts.21cn.com/tousu/show/id/1353636</v>
      </c>
      <c r="F21521" s="2" t="s">
        <v>11</v>
      </c>
      <c r="G21521" s="2" t="s">
        <v>1831</v>
      </c>
      <c r="H21521" s="2" t="s">
        <v>1832</v>
      </c>
    </row>
    <row r="21522" spans="1:8" ht="25.05" customHeight="1" x14ac:dyDescent="0.25">
      <c r="A21522" s="2" t="s">
        <v>8</v>
      </c>
      <c r="B21522" s="2" t="str">
        <f>HYPERLINK("http://ts.21cn.com/tousu/show/id/1353635","来分期陷阱式放贷")</f>
        <v>来分期陷阱式放贷</v>
      </c>
      <c r="C21522" s="2" t="s">
        <v>9</v>
      </c>
      <c r="D21522" s="2" t="s">
        <v>10</v>
      </c>
      <c r="E21522" s="2" t="str">
        <f>HYPERLINK("http://ts.21cn.com/tousu/show/id/1353635","http://ts.21cn.com/tousu/show/id/1353635")</f>
        <v>http://ts.21cn.com/tousu/show/id/1353635</v>
      </c>
      <c r="F21522" s="2" t="s">
        <v>11</v>
      </c>
      <c r="G21522" s="2" t="s">
        <v>1829</v>
      </c>
      <c r="H21522" s="2" t="s">
        <v>1830</v>
      </c>
    </row>
    <row r="21523" spans="1:8" ht="25.05" customHeight="1" x14ac:dyDescent="0.25">
      <c r="A21523" s="2" t="s">
        <v>8</v>
      </c>
      <c r="B21523" s="2" t="str">
        <f>HYPERLINK("http://ts.21cn.com/tousu/show/id/1353637","信用管家神马借不合理超高利息和暴力催收")</f>
        <v>信用管家神马借不合理超高利息和暴力催收</v>
      </c>
      <c r="C21523" s="2" t="s">
        <v>9</v>
      </c>
      <c r="D21523" s="2" t="s">
        <v>10</v>
      </c>
      <c r="E21523" s="2" t="str">
        <f>HYPERLINK("http://ts.21cn.com/tousu/show/id/1353637","http://ts.21cn.com/tousu/show/id/1353637")</f>
        <v>http://ts.21cn.com/tousu/show/id/1353637</v>
      </c>
      <c r="F21523" s="2" t="s">
        <v>11</v>
      </c>
      <c r="G21523" s="2" t="s">
        <v>1827</v>
      </c>
      <c r="H21523" s="2" t="s">
        <v>1828</v>
      </c>
    </row>
    <row r="21524" spans="1:8" ht="25.05" customHeight="1" x14ac:dyDescent="0.25">
      <c r="A21524" s="2" t="s">
        <v>8</v>
      </c>
      <c r="B21524" s="2" t="str">
        <f>HYPERLINK("http://ts.21cn.com/tousu/show/id/1353638","虚假会员费")</f>
        <v>虚假会员费</v>
      </c>
      <c r="C21524" s="2" t="s">
        <v>9</v>
      </c>
      <c r="D21524" s="2" t="s">
        <v>10</v>
      </c>
      <c r="E21524" s="2" t="str">
        <f>HYPERLINK("http://ts.21cn.com/tousu/show/id/1353638","http://ts.21cn.com/tousu/show/id/1353638")</f>
        <v>http://ts.21cn.com/tousu/show/id/1353638</v>
      </c>
      <c r="F21524" s="2" t="s">
        <v>11</v>
      </c>
      <c r="G21524" s="2" t="s">
        <v>1825</v>
      </c>
      <c r="H21524" s="2" t="s">
        <v>1826</v>
      </c>
    </row>
    <row r="21525" spans="1:8" ht="25.05" customHeight="1" x14ac:dyDescent="0.25">
      <c r="A21525" s="2" t="s">
        <v>8</v>
      </c>
      <c r="B21525" s="2" t="str">
        <f>HYPERLINK("http://ts.21cn.com/tousu/show/id/1353639","造艺平台强制收取保险费")</f>
        <v>造艺平台强制收取保险费</v>
      </c>
      <c r="C21525" s="2" t="s">
        <v>9</v>
      </c>
      <c r="D21525" s="2" t="s">
        <v>10</v>
      </c>
      <c r="E21525" s="2" t="str">
        <f>HYPERLINK("http://ts.21cn.com/tousu/show/id/1353639","http://ts.21cn.com/tousu/show/id/1353639")</f>
        <v>http://ts.21cn.com/tousu/show/id/1353639</v>
      </c>
      <c r="F21525" s="2" t="s">
        <v>11</v>
      </c>
      <c r="G21525" s="2" t="s">
        <v>1823</v>
      </c>
      <c r="H21525" s="2" t="s">
        <v>1824</v>
      </c>
    </row>
    <row r="21526" spans="1:8" ht="25.05" customHeight="1" x14ac:dyDescent="0.25">
      <c r="A21526" s="2" t="s">
        <v>8</v>
      </c>
      <c r="B21526" s="2" t="str">
        <f>HYPERLINK("http://ts.21cn.com/tousu/show/id/1353610","新意花小木钱包套路贷导致逾期")</f>
        <v>新意花小木钱包套路贷导致逾期</v>
      </c>
      <c r="C21526" s="2" t="s">
        <v>9</v>
      </c>
      <c r="D21526" s="2" t="s">
        <v>10</v>
      </c>
      <c r="E21526" s="2" t="str">
        <f>HYPERLINK("http://ts.21cn.com/tousu/show/id/1353610","http://ts.21cn.com/tousu/show/id/1353610")</f>
        <v>http://ts.21cn.com/tousu/show/id/1353610</v>
      </c>
      <c r="F21526" s="2" t="s">
        <v>11</v>
      </c>
      <c r="G21526" s="2" t="s">
        <v>1821</v>
      </c>
      <c r="H21526" s="2" t="s">
        <v>1822</v>
      </c>
    </row>
    <row r="21527" spans="1:8" ht="25.05" customHeight="1" x14ac:dyDescent="0.25">
      <c r="A21527" s="2" t="s">
        <v>8</v>
      </c>
      <c r="B21527" s="2" t="str">
        <f>HYPERLINK("http://ts.21cn.com/tousu/show/id/1353642","及贷强制我购买课堂费用")</f>
        <v>及贷强制我购买课堂费用</v>
      </c>
      <c r="C21527" s="2" t="s">
        <v>9</v>
      </c>
      <c r="D21527" s="2" t="s">
        <v>10</v>
      </c>
      <c r="E21527" s="2" t="str">
        <f>HYPERLINK("http://ts.21cn.com/tousu/show/id/1353642","http://ts.21cn.com/tousu/show/id/1353642")</f>
        <v>http://ts.21cn.com/tousu/show/id/1353642</v>
      </c>
      <c r="F21527" s="2" t="s">
        <v>11</v>
      </c>
      <c r="G21527" s="2" t="s">
        <v>1819</v>
      </c>
      <c r="H21527" s="2" t="s">
        <v>1820</v>
      </c>
    </row>
    <row r="21528" spans="1:8" ht="25.05" customHeight="1" x14ac:dyDescent="0.25">
      <c r="A21528" s="2" t="s">
        <v>8</v>
      </c>
      <c r="B21528" s="2" t="str">
        <f>HYPERLINK("http://ts.21cn.com/tousu/show/id/1352759","一下科技获取钱财，不履行承诺！")</f>
        <v>一下科技获取钱财，不履行承诺！</v>
      </c>
      <c r="C21528" s="2" t="s">
        <v>9</v>
      </c>
      <c r="D21528" s="2" t="s">
        <v>10</v>
      </c>
      <c r="E21528" s="2" t="str">
        <f>HYPERLINK("http://ts.21cn.com/tousu/show/id/1352759","http://ts.21cn.com/tousu/show/id/1352759")</f>
        <v>http://ts.21cn.com/tousu/show/id/1352759</v>
      </c>
      <c r="F21528" s="2" t="s">
        <v>11</v>
      </c>
      <c r="G21528" s="2" t="s">
        <v>1817</v>
      </c>
      <c r="H21528" s="2" t="s">
        <v>1818</v>
      </c>
    </row>
    <row r="21529" spans="1:8" ht="25.05" customHeight="1" x14ac:dyDescent="0.25">
      <c r="A21529" s="2" t="s">
        <v>8</v>
      </c>
      <c r="B21529" s="2" t="str">
        <f>HYPERLINK("http://ts.21cn.com/tousu/show/id/1353641","神灯小贷恶意催熟高额罚息")</f>
        <v>神灯小贷恶意催熟高额罚息</v>
      </c>
      <c r="C21529" s="2" t="s">
        <v>9</v>
      </c>
      <c r="D21529" s="2" t="s">
        <v>10</v>
      </c>
      <c r="E21529" s="2" t="str">
        <f>HYPERLINK("http://ts.21cn.com/tousu/show/id/1353641","http://ts.21cn.com/tousu/show/id/1353641")</f>
        <v>http://ts.21cn.com/tousu/show/id/1353641</v>
      </c>
      <c r="F21529" s="2" t="s">
        <v>11</v>
      </c>
      <c r="G21529" s="2" t="s">
        <v>1815</v>
      </c>
      <c r="H21529" s="2" t="s">
        <v>1816</v>
      </c>
    </row>
    <row r="21530" spans="1:8" ht="25.05" customHeight="1" x14ac:dyDescent="0.25">
      <c r="A21530" s="2" t="s">
        <v>8</v>
      </c>
      <c r="B21530" s="2" t="str">
        <f>HYPERLINK("http://ts.21cn.com/tousu/show/id/1353643","邮政银行信用卡")</f>
        <v>邮政银行信用卡</v>
      </c>
      <c r="C21530" s="2" t="s">
        <v>9</v>
      </c>
      <c r="D21530" s="2" t="s">
        <v>10</v>
      </c>
      <c r="E21530" s="2" t="str">
        <f>HYPERLINK("http://ts.21cn.com/tousu/show/id/1353643","http://ts.21cn.com/tousu/show/id/1353643")</f>
        <v>http://ts.21cn.com/tousu/show/id/1353643</v>
      </c>
      <c r="F21530" s="2" t="s">
        <v>11</v>
      </c>
      <c r="G21530" s="2" t="s">
        <v>1813</v>
      </c>
      <c r="H21530" s="2" t="s">
        <v>1814</v>
      </c>
    </row>
    <row r="21531" spans="1:8" ht="25.05" customHeight="1" x14ac:dyDescent="0.25">
      <c r="A21531" s="2" t="s">
        <v>8</v>
      </c>
      <c r="B21531" s="2" t="str">
        <f>HYPERLINK("http://ts.21cn.com/tousu/show/id/1353644","国美易卡爆通讯录，恶意骚扰，客服态度恶劣。觉得爆通讯录应该")</f>
        <v>国美易卡爆通讯录，恶意骚扰，客服态度恶劣。觉得爆通讯录应该</v>
      </c>
      <c r="C21531" s="2" t="s">
        <v>9</v>
      </c>
      <c r="D21531" s="2" t="s">
        <v>10</v>
      </c>
      <c r="E21531" s="2" t="str">
        <f>HYPERLINK("http://ts.21cn.com/tousu/show/id/1353644","http://ts.21cn.com/tousu/show/id/1353644")</f>
        <v>http://ts.21cn.com/tousu/show/id/1353644</v>
      </c>
      <c r="F21531" s="2" t="s">
        <v>11</v>
      </c>
      <c r="G21531" s="2" t="s">
        <v>1811</v>
      </c>
      <c r="H21531" s="2" t="s">
        <v>1812</v>
      </c>
    </row>
    <row r="21532" spans="1:8" ht="25.05" customHeight="1" x14ac:dyDescent="0.25">
      <c r="A21532" s="2" t="s">
        <v>8</v>
      </c>
      <c r="B21532" s="2" t="str">
        <f>HYPERLINK("http://ts.21cn.com/tousu/show/id/1353645","申请网贷被拒，第二天不需要了又给我放款，客服也不处理。")</f>
        <v>申请网贷被拒，第二天不需要了又给我放款，客服也不处理。</v>
      </c>
      <c r="C21532" s="2" t="s">
        <v>9</v>
      </c>
      <c r="D21532" s="2" t="s">
        <v>10</v>
      </c>
      <c r="E21532" s="2" t="str">
        <f>HYPERLINK("http://ts.21cn.com/tousu/show/id/1353645","http://ts.21cn.com/tousu/show/id/1353645")</f>
        <v>http://ts.21cn.com/tousu/show/id/1353645</v>
      </c>
      <c r="F21532" s="2" t="s">
        <v>11</v>
      </c>
      <c r="G21532" s="2" t="s">
        <v>1809</v>
      </c>
      <c r="H21532" s="2" t="s">
        <v>1810</v>
      </c>
    </row>
    <row r="21533" spans="1:8" ht="25.05" customHeight="1" x14ac:dyDescent="0.25">
      <c r="A21533" s="2" t="s">
        <v>8</v>
      </c>
      <c r="B21533" s="2" t="str">
        <f>HYPERLINK("http://ts.21cn.com/tousu/show/id/1353646","微医保门险诊无明确告知等待期，拒绝理赔")</f>
        <v>微医保门险诊无明确告知等待期，拒绝理赔</v>
      </c>
      <c r="C21533" s="2" t="s">
        <v>9</v>
      </c>
      <c r="D21533" s="2" t="s">
        <v>10</v>
      </c>
      <c r="E21533" s="2" t="str">
        <f>HYPERLINK("http://ts.21cn.com/tousu/show/id/1353646","http://ts.21cn.com/tousu/show/id/1353646")</f>
        <v>http://ts.21cn.com/tousu/show/id/1353646</v>
      </c>
      <c r="F21533" s="2" t="s">
        <v>11</v>
      </c>
      <c r="G21533" s="2" t="s">
        <v>1807</v>
      </c>
      <c r="H21533" s="2" t="s">
        <v>1808</v>
      </c>
    </row>
    <row r="21534" spans="1:8" ht="25.05" customHeight="1" x14ac:dyDescent="0.25">
      <c r="A21534" s="2" t="s">
        <v>8</v>
      </c>
      <c r="B21534" s="2" t="str">
        <f>HYPERLINK("http://ts.21cn.com/tousu/show/id/1353653","58安选房源不退保证金")</f>
        <v>58安选房源不退保证金</v>
      </c>
      <c r="C21534" s="2" t="s">
        <v>9</v>
      </c>
      <c r="D21534" s="2" t="s">
        <v>10</v>
      </c>
      <c r="E21534" s="2" t="str">
        <f>HYPERLINK("http://ts.21cn.com/tousu/show/id/1353653","http://ts.21cn.com/tousu/show/id/1353653")</f>
        <v>http://ts.21cn.com/tousu/show/id/1353653</v>
      </c>
      <c r="F21534" s="2" t="s">
        <v>11</v>
      </c>
      <c r="G21534" s="2" t="s">
        <v>1805</v>
      </c>
      <c r="H21534" s="2" t="s">
        <v>1806</v>
      </c>
    </row>
    <row r="21535" spans="1:8" ht="25.05" customHeight="1" x14ac:dyDescent="0.25">
      <c r="A21535" s="2" t="s">
        <v>8</v>
      </c>
      <c r="B21535" s="2" t="str">
        <f>HYPERLINK("http://ts.21cn.com/tousu/show/id/1353606","恶意盗刷私自划扣")</f>
        <v>恶意盗刷私自划扣</v>
      </c>
      <c r="C21535" s="2" t="s">
        <v>9</v>
      </c>
      <c r="D21535" s="2" t="s">
        <v>10</v>
      </c>
      <c r="E21535" s="2" t="str">
        <f>HYPERLINK("http://ts.21cn.com/tousu/show/id/1353606","http://ts.21cn.com/tousu/show/id/1353606")</f>
        <v>http://ts.21cn.com/tousu/show/id/1353606</v>
      </c>
      <c r="F21535" s="2" t="s">
        <v>11</v>
      </c>
      <c r="G21535" s="2" t="s">
        <v>1803</v>
      </c>
      <c r="H21535" s="2" t="s">
        <v>1804</v>
      </c>
    </row>
    <row r="21536" spans="1:8" ht="25.05" customHeight="1" x14ac:dyDescent="0.25">
      <c r="A21536" s="2" t="s">
        <v>8</v>
      </c>
      <c r="B21536" s="2" t="str">
        <f>HYPERLINK("http://ts.21cn.com/tousu/show/id/1353648","马上消费金融利息高，不协商还款，")</f>
        <v>马上消费金融利息高，不协商还款，</v>
      </c>
      <c r="C21536" s="2" t="s">
        <v>9</v>
      </c>
      <c r="D21536" s="2" t="s">
        <v>10</v>
      </c>
      <c r="E21536" s="2" t="str">
        <f>HYPERLINK("http://ts.21cn.com/tousu/show/id/1353648","http://ts.21cn.com/tousu/show/id/1353648")</f>
        <v>http://ts.21cn.com/tousu/show/id/1353648</v>
      </c>
      <c r="F21536" s="2" t="s">
        <v>11</v>
      </c>
      <c r="G21536" s="2" t="s">
        <v>1801</v>
      </c>
      <c r="H21536" s="2" t="s">
        <v>1802</v>
      </c>
    </row>
    <row r="21537" spans="1:8" ht="25.05" customHeight="1" x14ac:dyDescent="0.25">
      <c r="A21537" s="2" t="s">
        <v>8</v>
      </c>
      <c r="B21537" s="2" t="str">
        <f>HYPERLINK("http://ts.21cn.com/tousu/show/id/1353649","到家了中介恶意押房产证，导致过户45天后还收不到尾款")</f>
        <v>到家了中介恶意押房产证，导致过户45天后还收不到尾款</v>
      </c>
      <c r="C21537" s="2" t="s">
        <v>9</v>
      </c>
      <c r="D21537" s="2" t="s">
        <v>10</v>
      </c>
      <c r="E21537" s="2" t="str">
        <f>HYPERLINK("http://ts.21cn.com/tousu/show/id/1353649","http://ts.21cn.com/tousu/show/id/1353649")</f>
        <v>http://ts.21cn.com/tousu/show/id/1353649</v>
      </c>
      <c r="F21537" s="2" t="s">
        <v>11</v>
      </c>
      <c r="G21537" s="2" t="s">
        <v>1799</v>
      </c>
      <c r="H21537" s="2" t="s">
        <v>1800</v>
      </c>
    </row>
    <row r="21538" spans="1:8" ht="25.05" customHeight="1" x14ac:dyDescent="0.25">
      <c r="A21538" s="2" t="s">
        <v>8</v>
      </c>
      <c r="B21538" s="2" t="str">
        <f>HYPERLINK("http://ts.21cn.com/tousu/show/id/1353651","拍拍贷上门")</f>
        <v>拍拍贷上门</v>
      </c>
      <c r="C21538" s="2" t="s">
        <v>9</v>
      </c>
      <c r="D21538" s="2" t="s">
        <v>10</v>
      </c>
      <c r="E21538" s="2" t="str">
        <f>HYPERLINK("http://ts.21cn.com/tousu/show/id/1353651","http://ts.21cn.com/tousu/show/id/1353651")</f>
        <v>http://ts.21cn.com/tousu/show/id/1353651</v>
      </c>
      <c r="F21538" s="2" t="s">
        <v>11</v>
      </c>
      <c r="G21538" s="2" t="s">
        <v>1797</v>
      </c>
      <c r="H21538" s="2" t="s">
        <v>1798</v>
      </c>
    </row>
    <row r="21539" spans="1:8" ht="25.05" customHeight="1" x14ac:dyDescent="0.25">
      <c r="A21539" s="2" t="s">
        <v>8</v>
      </c>
      <c r="B21539" s="2" t="str">
        <f>HYPERLINK("http://ts.21cn.com/tousu/show/id/1353650","滴滴平台恶意收取费用，司机行为有问题")</f>
        <v>滴滴平台恶意收取费用，司机行为有问题</v>
      </c>
      <c r="C21539" s="2" t="s">
        <v>9</v>
      </c>
      <c r="D21539" s="2" t="s">
        <v>10</v>
      </c>
      <c r="E21539" s="2" t="str">
        <f>HYPERLINK("http://ts.21cn.com/tousu/show/id/1353650","http://ts.21cn.com/tousu/show/id/1353650")</f>
        <v>http://ts.21cn.com/tousu/show/id/1353650</v>
      </c>
      <c r="F21539" s="2" t="s">
        <v>11</v>
      </c>
      <c r="G21539" s="2" t="s">
        <v>1795</v>
      </c>
      <c r="H21539" s="2" t="s">
        <v>1796</v>
      </c>
    </row>
    <row r="21540" spans="1:8" ht="25.05" customHeight="1" x14ac:dyDescent="0.25">
      <c r="A21540" s="2" t="s">
        <v>8</v>
      </c>
      <c r="B21540" s="2" t="str">
        <f>HYPERLINK("http://ts.21cn.com/tousu/show/id/1353654","侮辱我朋友，说过的话都不承认，说话难听，还说要告我，让我亲戚朋友都知道我是什么样的人")</f>
        <v>侮辱我朋友，说过的话都不承认，说话难听，还说要告我，让我亲戚朋友都知道我是什么样的人</v>
      </c>
      <c r="C21540" s="2" t="s">
        <v>34</v>
      </c>
      <c r="D21540" s="2" t="s">
        <v>10</v>
      </c>
      <c r="E21540" s="2" t="str">
        <f>HYPERLINK("http://ts.21cn.com/tousu/show/id/1353654","http://ts.21cn.com/tousu/show/id/1353654")</f>
        <v>http://ts.21cn.com/tousu/show/id/1353654</v>
      </c>
      <c r="F21540" s="2" t="s">
        <v>11</v>
      </c>
      <c r="G21540" s="2" t="s">
        <v>1793</v>
      </c>
      <c r="H21540" s="2" t="s">
        <v>1794</v>
      </c>
    </row>
    <row r="21541" spans="1:8" ht="25.05" customHeight="1" x14ac:dyDescent="0.25">
      <c r="A21541" s="2" t="s">
        <v>8</v>
      </c>
      <c r="B21541" s="2" t="str">
        <f>HYPERLINK("http://ts.21cn.com/tousu/show/id/1353656","大道用车押金退不了")</f>
        <v>大道用车押金退不了</v>
      </c>
      <c r="C21541" s="2" t="s">
        <v>9</v>
      </c>
      <c r="D21541" s="2" t="s">
        <v>10</v>
      </c>
      <c r="E21541" s="2" t="str">
        <f>HYPERLINK("http://ts.21cn.com/tousu/show/id/1353656","http://ts.21cn.com/tousu/show/id/1353656")</f>
        <v>http://ts.21cn.com/tousu/show/id/1353656</v>
      </c>
      <c r="F21541" s="2" t="s">
        <v>11</v>
      </c>
      <c r="G21541" s="2" t="s">
        <v>1791</v>
      </c>
      <c r="H21541" s="2" t="s">
        <v>1792</v>
      </c>
    </row>
    <row r="21542" spans="1:8" ht="25.05" customHeight="1" x14ac:dyDescent="0.25">
      <c r="A21542" s="2" t="s">
        <v>8</v>
      </c>
      <c r="B21542" s="2" t="str">
        <f>HYPERLINK("http://ts.21cn.com/tousu/show/id/1353657","尚德机构销售说的和售后不一样退费难")</f>
        <v>尚德机构销售说的和售后不一样退费难</v>
      </c>
      <c r="C21542" s="2" t="s">
        <v>9</v>
      </c>
      <c r="D21542" s="2" t="s">
        <v>10</v>
      </c>
      <c r="E21542" s="2" t="str">
        <f>HYPERLINK("http://ts.21cn.com/tousu/show/id/1353657","http://ts.21cn.com/tousu/show/id/1353657")</f>
        <v>http://ts.21cn.com/tousu/show/id/1353657</v>
      </c>
      <c r="F21542" s="2" t="s">
        <v>11</v>
      </c>
      <c r="G21542" s="2" t="s">
        <v>1789</v>
      </c>
      <c r="H21542" s="2" t="s">
        <v>1790</v>
      </c>
    </row>
    <row r="21543" spans="1:8" ht="25.05" customHeight="1" x14ac:dyDescent="0.25">
      <c r="A21543" s="2" t="s">
        <v>8</v>
      </c>
      <c r="B21543" s="2" t="str">
        <f>HYPERLINK("http://ts.21cn.com/tousu/show/id/1353658","游戏改名涉及敏感问题")</f>
        <v>游戏改名涉及敏感问题</v>
      </c>
      <c r="C21543" s="2" t="s">
        <v>34</v>
      </c>
      <c r="D21543" s="2" t="s">
        <v>10</v>
      </c>
      <c r="E21543" s="2" t="str">
        <f>HYPERLINK("http://ts.21cn.com/tousu/show/id/1353658","http://ts.21cn.com/tousu/show/id/1353658")</f>
        <v>http://ts.21cn.com/tousu/show/id/1353658</v>
      </c>
      <c r="F21543" s="2" t="s">
        <v>11</v>
      </c>
      <c r="G21543" s="2" t="s">
        <v>1787</v>
      </c>
      <c r="H21543" s="2" t="s">
        <v>1788</v>
      </c>
    </row>
    <row r="21544" spans="1:8" ht="25.05" customHeight="1" x14ac:dyDescent="0.25">
      <c r="A21544" s="2" t="s">
        <v>8</v>
      </c>
      <c r="B21544" s="2" t="str">
        <f>HYPERLINK("http://ts.21cn.com/tousu/show/id/1353662","现金巴士协商")</f>
        <v>现金巴士协商</v>
      </c>
      <c r="C21544" s="2" t="s">
        <v>9</v>
      </c>
      <c r="D21544" s="2" t="s">
        <v>10</v>
      </c>
      <c r="E21544" s="2" t="str">
        <f>HYPERLINK("http://ts.21cn.com/tousu/show/id/1353662","http://ts.21cn.com/tousu/show/id/1353662")</f>
        <v>http://ts.21cn.com/tousu/show/id/1353662</v>
      </c>
      <c r="F21544" s="2" t="s">
        <v>11</v>
      </c>
      <c r="G21544" s="2" t="s">
        <v>1785</v>
      </c>
      <c r="H21544" s="2" t="s">
        <v>1786</v>
      </c>
    </row>
    <row r="21545" spans="1:8" ht="25.05" customHeight="1" x14ac:dyDescent="0.25">
      <c r="A21545" s="2" t="s">
        <v>8</v>
      </c>
      <c r="B21545" s="2" t="str">
        <f>HYPERLINK("http://ts.21cn.com/tousu/show/id/1353659","捷信金融打骚扰电话")</f>
        <v>捷信金融打骚扰电话</v>
      </c>
      <c r="C21545" s="2" t="s">
        <v>9</v>
      </c>
      <c r="D21545" s="2" t="s">
        <v>10</v>
      </c>
      <c r="E21545" s="2" t="str">
        <f>HYPERLINK("http://ts.21cn.com/tousu/show/id/1353659","http://ts.21cn.com/tousu/show/id/1353659")</f>
        <v>http://ts.21cn.com/tousu/show/id/1353659</v>
      </c>
      <c r="F21545" s="2" t="s">
        <v>11</v>
      </c>
      <c r="G21545" s="2" t="s">
        <v>1783</v>
      </c>
      <c r="H21545" s="2" t="s">
        <v>1784</v>
      </c>
    </row>
    <row r="21546" spans="1:8" ht="25.05" customHeight="1" x14ac:dyDescent="0.25">
      <c r="A21546" s="2" t="s">
        <v>8</v>
      </c>
      <c r="B21546" s="2" t="str">
        <f>HYPERLINK("http://ts.21cn.com/tousu/show/id/1353661","钱站高利贷阴阳合同")</f>
        <v>钱站高利贷阴阳合同</v>
      </c>
      <c r="C21546" s="2" t="s">
        <v>9</v>
      </c>
      <c r="D21546" s="2" t="s">
        <v>10</v>
      </c>
      <c r="E21546" s="2" t="str">
        <f>HYPERLINK("http://ts.21cn.com/tousu/show/id/1353661","http://ts.21cn.com/tousu/show/id/1353661")</f>
        <v>http://ts.21cn.com/tousu/show/id/1353661</v>
      </c>
      <c r="F21546" s="2" t="s">
        <v>11</v>
      </c>
      <c r="G21546" s="2" t="s">
        <v>1781</v>
      </c>
      <c r="H21546" s="2" t="s">
        <v>1782</v>
      </c>
    </row>
    <row r="21547" spans="1:8" ht="25.05" customHeight="1" x14ac:dyDescent="0.25">
      <c r="A21547" s="2" t="s">
        <v>8</v>
      </c>
      <c r="B21547" s="2" t="str">
        <f>HYPERLINK("http://ts.21cn.com/tousu/show/id/1353663","暴力催收，威胁人身安全")</f>
        <v>暴力催收，威胁人身安全</v>
      </c>
      <c r="C21547" s="2" t="s">
        <v>9</v>
      </c>
      <c r="D21547" s="2" t="s">
        <v>10</v>
      </c>
      <c r="E21547" s="2" t="str">
        <f>HYPERLINK("http://ts.21cn.com/tousu/show/id/1353663","http://ts.21cn.com/tousu/show/id/1353663")</f>
        <v>http://ts.21cn.com/tousu/show/id/1353663</v>
      </c>
      <c r="F21547" s="2" t="s">
        <v>11</v>
      </c>
      <c r="G21547" s="2" t="s">
        <v>1779</v>
      </c>
      <c r="H21547" s="2" t="s">
        <v>1780</v>
      </c>
    </row>
    <row r="21548" spans="1:8" ht="25.05" customHeight="1" x14ac:dyDescent="0.25">
      <c r="A21548" s="2" t="s">
        <v>8</v>
      </c>
      <c r="B21548" s="2" t="str">
        <f>HYPERLINK("http://ts.21cn.com/tousu/show/id/1353664","及贷公司提前还款，结果非要一期一期的还")</f>
        <v>及贷公司提前还款，结果非要一期一期的还</v>
      </c>
      <c r="C21548" s="2" t="s">
        <v>9</v>
      </c>
      <c r="D21548" s="2" t="s">
        <v>10</v>
      </c>
      <c r="E21548" s="2" t="str">
        <f>HYPERLINK("http://ts.21cn.com/tousu/show/id/1353664","http://ts.21cn.com/tousu/show/id/1353664")</f>
        <v>http://ts.21cn.com/tousu/show/id/1353664</v>
      </c>
      <c r="F21548" s="2" t="s">
        <v>11</v>
      </c>
      <c r="G21548" s="2" t="s">
        <v>1777</v>
      </c>
      <c r="H21548" s="2" t="s">
        <v>1778</v>
      </c>
    </row>
    <row r="21549" spans="1:8" ht="25.05" customHeight="1" x14ac:dyDescent="0.25">
      <c r="A21549" s="2" t="s">
        <v>8</v>
      </c>
      <c r="B21549" s="2" t="str">
        <f>HYPERLINK("http://ts.21cn.com/tousu/show/id/1353665","u卡贷高利贷")</f>
        <v>u卡贷高利贷</v>
      </c>
      <c r="C21549" s="2" t="s">
        <v>9</v>
      </c>
      <c r="D21549" s="2" t="s">
        <v>10</v>
      </c>
      <c r="E21549" s="2" t="str">
        <f>HYPERLINK("http://ts.21cn.com/tousu/show/id/1353665","http://ts.21cn.com/tousu/show/id/1353665")</f>
        <v>http://ts.21cn.com/tousu/show/id/1353665</v>
      </c>
      <c r="F21549" s="2" t="s">
        <v>11</v>
      </c>
      <c r="G21549" s="2" t="s">
        <v>1775</v>
      </c>
      <c r="H21549" s="2" t="s">
        <v>1776</v>
      </c>
    </row>
    <row r="21550" spans="1:8" ht="25.05" customHeight="1" x14ac:dyDescent="0.25">
      <c r="A21550" s="2" t="s">
        <v>8</v>
      </c>
      <c r="B21550" s="2" t="str">
        <f>HYPERLINK("http://ts.21cn.com/tousu/show/id/1353667","暴力催收")</f>
        <v>暴力催收</v>
      </c>
      <c r="C21550" s="2" t="s">
        <v>9</v>
      </c>
      <c r="D21550" s="2" t="s">
        <v>10</v>
      </c>
      <c r="E21550" s="2" t="str">
        <f>HYPERLINK("http://ts.21cn.com/tousu/show/id/1353667","http://ts.21cn.com/tousu/show/id/1353667")</f>
        <v>http://ts.21cn.com/tousu/show/id/1353667</v>
      </c>
      <c r="F21550" s="2" t="s">
        <v>11</v>
      </c>
      <c r="G21550" s="2" t="s">
        <v>1773</v>
      </c>
      <c r="H21550" s="2" t="s">
        <v>1774</v>
      </c>
    </row>
    <row r="21551" spans="1:8" ht="25.05" customHeight="1" x14ac:dyDescent="0.25">
      <c r="A21551" s="2" t="s">
        <v>8</v>
      </c>
      <c r="B21551" s="2" t="str">
        <f>HYPERLINK("http://ts.21cn.com/tousu/show/id/1353668","及贷高额砍头息，要求取消借款")</f>
        <v>及贷高额砍头息，要求取消借款</v>
      </c>
      <c r="C21551" s="2" t="s">
        <v>34</v>
      </c>
      <c r="D21551" s="2" t="s">
        <v>10</v>
      </c>
      <c r="E21551" s="2" t="str">
        <f>HYPERLINK("http://ts.21cn.com/tousu/show/id/1353668","http://ts.21cn.com/tousu/show/id/1353668")</f>
        <v>http://ts.21cn.com/tousu/show/id/1353668</v>
      </c>
      <c r="F21551" s="2" t="s">
        <v>11</v>
      </c>
      <c r="G21551" s="2" t="s">
        <v>1771</v>
      </c>
      <c r="H21551" s="2" t="s">
        <v>1772</v>
      </c>
    </row>
    <row r="21552" spans="1:8" ht="25.05" customHeight="1" x14ac:dyDescent="0.25">
      <c r="A21552" s="2" t="s">
        <v>8</v>
      </c>
      <c r="B21552" s="2" t="str">
        <f>HYPERLINK("http://ts.21cn.com/tousu/show/id/1353669","京东虚假宣传，损害消费者权益")</f>
        <v>京东虚假宣传，损害消费者权益</v>
      </c>
      <c r="C21552" s="2" t="s">
        <v>9</v>
      </c>
      <c r="D21552" s="2" t="s">
        <v>10</v>
      </c>
      <c r="E21552" s="2" t="str">
        <f>HYPERLINK("http://ts.21cn.com/tousu/show/id/1353669","http://ts.21cn.com/tousu/show/id/1353669")</f>
        <v>http://ts.21cn.com/tousu/show/id/1353669</v>
      </c>
      <c r="F21552" s="2" t="s">
        <v>11</v>
      </c>
      <c r="G21552" s="2" t="s">
        <v>1769</v>
      </c>
      <c r="H21552" s="2" t="s">
        <v>1770</v>
      </c>
    </row>
    <row r="21553" spans="1:8" ht="25.05" customHeight="1" x14ac:dyDescent="0.25">
      <c r="A21553" s="2" t="s">
        <v>8</v>
      </c>
      <c r="B21553" s="2" t="str">
        <f>HYPERLINK("http://ts.21cn.com/tousu/show/id/1353670","侵犯隐私权")</f>
        <v>侵犯隐私权</v>
      </c>
      <c r="C21553" s="2" t="s">
        <v>9</v>
      </c>
      <c r="D21553" s="2" t="s">
        <v>10</v>
      </c>
      <c r="E21553" s="2" t="str">
        <f>HYPERLINK("http://ts.21cn.com/tousu/show/id/1353670","http://ts.21cn.com/tousu/show/id/1353670")</f>
        <v>http://ts.21cn.com/tousu/show/id/1353670</v>
      </c>
      <c r="F21553" s="2" t="s">
        <v>11</v>
      </c>
      <c r="G21553" s="2" t="s">
        <v>1767</v>
      </c>
      <c r="H21553" s="2" t="s">
        <v>1768</v>
      </c>
    </row>
    <row r="21554" spans="1:8" ht="25.05" customHeight="1" x14ac:dyDescent="0.25">
      <c r="A21554" s="2" t="s">
        <v>8</v>
      </c>
      <c r="B21554" s="2" t="str">
        <f>HYPERLINK("http://ts.21cn.com/tousu/show/id/1353671","51分期威胁还款")</f>
        <v>51分期威胁还款</v>
      </c>
      <c r="C21554" s="2" t="s">
        <v>9</v>
      </c>
      <c r="D21554" s="2" t="s">
        <v>10</v>
      </c>
      <c r="E21554" s="2" t="str">
        <f>HYPERLINK("http://ts.21cn.com/tousu/show/id/1353671","http://ts.21cn.com/tousu/show/id/1353671")</f>
        <v>http://ts.21cn.com/tousu/show/id/1353671</v>
      </c>
      <c r="F21554" s="2" t="s">
        <v>11</v>
      </c>
      <c r="G21554" s="2" t="s">
        <v>1765</v>
      </c>
      <c r="H21554" s="2" t="s">
        <v>1766</v>
      </c>
    </row>
    <row r="21555" spans="1:8" ht="25.05" customHeight="1" x14ac:dyDescent="0.25">
      <c r="A21555" s="2" t="s">
        <v>8</v>
      </c>
      <c r="B21555" s="2" t="str">
        <f>HYPERLINK("http://ts.21cn.com/tousu/show/id/1353672","快贷各种威胁各种骚扰")</f>
        <v>快贷各种威胁各种骚扰</v>
      </c>
      <c r="C21555" s="2" t="s">
        <v>9</v>
      </c>
      <c r="D21555" s="2" t="s">
        <v>10</v>
      </c>
      <c r="E21555" s="2" t="str">
        <f>HYPERLINK("http://ts.21cn.com/tousu/show/id/1353672","http://ts.21cn.com/tousu/show/id/1353672")</f>
        <v>http://ts.21cn.com/tousu/show/id/1353672</v>
      </c>
      <c r="F21555" s="2" t="s">
        <v>11</v>
      </c>
      <c r="G21555" s="2" t="s">
        <v>1763</v>
      </c>
      <c r="H21555" s="2" t="s">
        <v>1764</v>
      </c>
    </row>
    <row r="21556" spans="1:8" ht="25.05" customHeight="1" x14ac:dyDescent="0.25">
      <c r="A21556" s="2" t="s">
        <v>8</v>
      </c>
      <c r="B21556" s="2" t="str">
        <f>HYPERLINK("http://ts.21cn.com/tousu/show/id/1353673","暴力催收")</f>
        <v>暴力催收</v>
      </c>
      <c r="C21556" s="2" t="s">
        <v>9</v>
      </c>
      <c r="D21556" s="2" t="s">
        <v>10</v>
      </c>
      <c r="E21556" s="2" t="str">
        <f>HYPERLINK("http://ts.21cn.com/tousu/show/id/1353673","http://ts.21cn.com/tousu/show/id/1353673")</f>
        <v>http://ts.21cn.com/tousu/show/id/1353673</v>
      </c>
      <c r="F21556" s="2" t="s">
        <v>11</v>
      </c>
      <c r="G21556" s="2" t="s">
        <v>1761</v>
      </c>
      <c r="H21556" s="2" t="s">
        <v>1762</v>
      </c>
    </row>
    <row r="21557" spans="1:8" ht="25.05" customHeight="1" x14ac:dyDescent="0.25">
      <c r="A21557" s="2" t="s">
        <v>8</v>
      </c>
      <c r="B21557" s="2" t="str">
        <f>HYPERLINK("http://ts.21cn.com/tousu/show/id/1353675","滴滴出现乱扣费")</f>
        <v>滴滴出现乱扣费</v>
      </c>
      <c r="C21557" s="2" t="s">
        <v>9</v>
      </c>
      <c r="D21557" s="2" t="s">
        <v>10</v>
      </c>
      <c r="E21557" s="2" t="str">
        <f>HYPERLINK("http://ts.21cn.com/tousu/show/id/1353675","http://ts.21cn.com/tousu/show/id/1353675")</f>
        <v>http://ts.21cn.com/tousu/show/id/1353675</v>
      </c>
      <c r="F21557" s="2" t="s">
        <v>11</v>
      </c>
      <c r="G21557" s="2" t="s">
        <v>1759</v>
      </c>
      <c r="H21557" s="2" t="s">
        <v>1760</v>
      </c>
    </row>
    <row r="21558" spans="1:8" ht="25.05" customHeight="1" x14ac:dyDescent="0.25">
      <c r="A21558" s="2" t="s">
        <v>8</v>
      </c>
      <c r="B21558" s="2" t="str">
        <f>HYPERLINK("http://ts.21cn.com/tousu/show/id/1353674","现金白卡高利贷退回砍头息")</f>
        <v>现金白卡高利贷退回砍头息</v>
      </c>
      <c r="C21558" s="2" t="s">
        <v>9</v>
      </c>
      <c r="D21558" s="2" t="s">
        <v>10</v>
      </c>
      <c r="E21558" s="2" t="str">
        <f>HYPERLINK("http://ts.21cn.com/tousu/show/id/1353674","http://ts.21cn.com/tousu/show/id/1353674")</f>
        <v>http://ts.21cn.com/tousu/show/id/1353674</v>
      </c>
      <c r="F21558" s="2" t="s">
        <v>11</v>
      </c>
      <c r="G21558" s="2" t="s">
        <v>1757</v>
      </c>
      <c r="H21558" s="2" t="s">
        <v>1758</v>
      </c>
    </row>
    <row r="21559" spans="1:8" ht="25.05" customHeight="1" x14ac:dyDescent="0.25">
      <c r="A21559" s="2" t="s">
        <v>8</v>
      </c>
      <c r="B21559" s="2" t="str">
        <f>HYPERLINK("http://ts.21cn.com/tousu/show/id/1353676","补差价")</f>
        <v>补差价</v>
      </c>
      <c r="C21559" s="2" t="s">
        <v>34</v>
      </c>
      <c r="D21559" s="2" t="s">
        <v>10</v>
      </c>
      <c r="E21559" s="2" t="str">
        <f>HYPERLINK("http://ts.21cn.com/tousu/show/id/1353676","http://ts.21cn.com/tousu/show/id/1353676")</f>
        <v>http://ts.21cn.com/tousu/show/id/1353676</v>
      </c>
      <c r="F21559" s="2" t="s">
        <v>11</v>
      </c>
      <c r="G21559" s="2" t="s">
        <v>1755</v>
      </c>
      <c r="H21559" s="2" t="s">
        <v>1756</v>
      </c>
    </row>
    <row r="21560" spans="1:8" ht="25.05" customHeight="1" x14ac:dyDescent="0.25">
      <c r="A21560" s="2" t="s">
        <v>8</v>
      </c>
      <c r="B21560" s="2" t="str">
        <f>HYPERLINK("http://ts.21cn.com/tousu/show/id/1353655","恶意导致逾期高利贷联系不到客服")</f>
        <v>恶意导致逾期高利贷联系不到客服</v>
      </c>
      <c r="C21560" s="2" t="s">
        <v>9</v>
      </c>
      <c r="D21560" s="2" t="s">
        <v>10</v>
      </c>
      <c r="E21560" s="2" t="str">
        <f>HYPERLINK("http://ts.21cn.com/tousu/show/id/1353655","http://ts.21cn.com/tousu/show/id/1353655")</f>
        <v>http://ts.21cn.com/tousu/show/id/1353655</v>
      </c>
      <c r="F21560" s="2" t="s">
        <v>11</v>
      </c>
      <c r="G21560" s="2" t="s">
        <v>1753</v>
      </c>
      <c r="H21560" s="2" t="s">
        <v>1754</v>
      </c>
    </row>
    <row r="21561" spans="1:8" ht="25.05" customHeight="1" x14ac:dyDescent="0.25">
      <c r="A21561" s="2" t="s">
        <v>8</v>
      </c>
      <c r="B21561" s="2" t="str">
        <f>HYPERLINK("http://ts.21cn.com/tousu/show/id/1353678","苏宁消费金融恶意催收")</f>
        <v>苏宁消费金融恶意催收</v>
      </c>
      <c r="C21561" s="2" t="s">
        <v>9</v>
      </c>
      <c r="D21561" s="2" t="s">
        <v>10</v>
      </c>
      <c r="E21561" s="2" t="str">
        <f>HYPERLINK("http://ts.21cn.com/tousu/show/id/1353678","http://ts.21cn.com/tousu/show/id/1353678")</f>
        <v>http://ts.21cn.com/tousu/show/id/1353678</v>
      </c>
      <c r="F21561" s="2" t="s">
        <v>11</v>
      </c>
      <c r="G21561" s="2" t="s">
        <v>1751</v>
      </c>
      <c r="H21561" s="2" t="s">
        <v>1752</v>
      </c>
    </row>
    <row r="21562" spans="1:8" ht="25.05" customHeight="1" x14ac:dyDescent="0.25">
      <c r="A21562" s="2" t="s">
        <v>8</v>
      </c>
      <c r="B21562" s="2" t="str">
        <f>HYPERLINK("http://ts.21cn.com/tousu/show/id/1352561","尚德机构虚假宣传拒绝退费")</f>
        <v>尚德机构虚假宣传拒绝退费</v>
      </c>
      <c r="C21562" s="2" t="s">
        <v>9</v>
      </c>
      <c r="D21562" s="2" t="s">
        <v>10</v>
      </c>
      <c r="E21562" s="2" t="str">
        <f>HYPERLINK("http://ts.21cn.com/tousu/show/id/1352561","http://ts.21cn.com/tousu/show/id/1352561")</f>
        <v>http://ts.21cn.com/tousu/show/id/1352561</v>
      </c>
      <c r="F21562" s="2" t="s">
        <v>11</v>
      </c>
      <c r="G21562" s="2" t="s">
        <v>1749</v>
      </c>
      <c r="H21562" s="2" t="s">
        <v>1750</v>
      </c>
    </row>
    <row r="21563" spans="1:8" ht="25.05" customHeight="1" x14ac:dyDescent="0.25">
      <c r="A21563" s="2" t="s">
        <v>8</v>
      </c>
      <c r="B21563" s="2" t="str">
        <f>HYPERLINK("http://ts.21cn.com/tousu/show/id/1353679","钱站高利贷恶意骚扰")</f>
        <v>钱站高利贷恶意骚扰</v>
      </c>
      <c r="C21563" s="2" t="s">
        <v>9</v>
      </c>
      <c r="D21563" s="2" t="s">
        <v>10</v>
      </c>
      <c r="E21563" s="2" t="str">
        <f>HYPERLINK("http://ts.21cn.com/tousu/show/id/1353679","http://ts.21cn.com/tousu/show/id/1353679")</f>
        <v>http://ts.21cn.com/tousu/show/id/1353679</v>
      </c>
      <c r="F21563" s="2" t="s">
        <v>11</v>
      </c>
      <c r="G21563" s="2" t="s">
        <v>1747</v>
      </c>
      <c r="H21563" s="2" t="s">
        <v>1748</v>
      </c>
    </row>
    <row r="21564" spans="1:8" ht="25.05" customHeight="1" x14ac:dyDescent="0.25">
      <c r="A21564" s="2" t="s">
        <v>8</v>
      </c>
      <c r="B21564" s="2" t="str">
        <f>HYPERLINK("http://ts.21cn.com/tousu/show/id/1353680","还清本来，因为利息太高要求减免部分，客服不同意")</f>
        <v>还清本来，因为利息太高要求减免部分，客服不同意</v>
      </c>
      <c r="C21564" s="2" t="s">
        <v>9</v>
      </c>
      <c r="D21564" s="2" t="s">
        <v>10</v>
      </c>
      <c r="E21564" s="2" t="str">
        <f>HYPERLINK("http://ts.21cn.com/tousu/show/id/1353680","http://ts.21cn.com/tousu/show/id/1353680")</f>
        <v>http://ts.21cn.com/tousu/show/id/1353680</v>
      </c>
      <c r="F21564" s="2" t="s">
        <v>11</v>
      </c>
      <c r="G21564" s="2" t="s">
        <v>1745</v>
      </c>
      <c r="H21564" s="2" t="s">
        <v>1746</v>
      </c>
    </row>
    <row r="21565" spans="1:8" ht="25.05" customHeight="1" x14ac:dyDescent="0.25">
      <c r="A21565" s="2" t="s">
        <v>8</v>
      </c>
      <c r="B21565" s="2" t="str">
        <f>HYPERLINK("http://ts.21cn.com/tousu/show/id/1353681","违法扣款盗刷拒不退还")</f>
        <v>违法扣款盗刷拒不退还</v>
      </c>
      <c r="C21565" s="2" t="s">
        <v>9</v>
      </c>
      <c r="D21565" s="2" t="s">
        <v>10</v>
      </c>
      <c r="E21565" s="2" t="str">
        <f>HYPERLINK("http://ts.21cn.com/tousu/show/id/1353681","http://ts.21cn.com/tousu/show/id/1353681")</f>
        <v>http://ts.21cn.com/tousu/show/id/1353681</v>
      </c>
      <c r="F21565" s="2" t="s">
        <v>11</v>
      </c>
      <c r="G21565" s="2" t="s">
        <v>1743</v>
      </c>
      <c r="H21565" s="2" t="s">
        <v>1744</v>
      </c>
    </row>
    <row r="21566" spans="1:8" ht="25.05" customHeight="1" x14ac:dyDescent="0.25">
      <c r="A21566" s="2" t="s">
        <v>8</v>
      </c>
      <c r="B21566" s="2" t="str">
        <f>HYPERLINK("http://ts.21cn.com/tousu/show/id/1353682","小浦优客未经同意扣款")</f>
        <v>小浦优客未经同意扣款</v>
      </c>
      <c r="C21566" s="2" t="s">
        <v>9</v>
      </c>
      <c r="D21566" s="2" t="s">
        <v>10</v>
      </c>
      <c r="E21566" s="2" t="str">
        <f>HYPERLINK("http://ts.21cn.com/tousu/show/id/1353682","http://ts.21cn.com/tousu/show/id/1353682")</f>
        <v>http://ts.21cn.com/tousu/show/id/1353682</v>
      </c>
      <c r="F21566" s="2" t="s">
        <v>11</v>
      </c>
      <c r="G21566" s="2" t="s">
        <v>1741</v>
      </c>
      <c r="H21566" s="2" t="s">
        <v>1742</v>
      </c>
    </row>
    <row r="21567" spans="1:8" ht="25.05" customHeight="1" x14ac:dyDescent="0.25">
      <c r="A21567" s="2" t="s">
        <v>8</v>
      </c>
      <c r="B21567" s="2" t="str">
        <f>HYPERLINK("http://ts.21cn.com/tousu/show/id/1353560","投诉广州汇聚支付电子科技有限公司违规违法给博彩平台提供充值通道")</f>
        <v>投诉广州汇聚支付电子科技有限公司违规违法给博彩平台提供充值通道</v>
      </c>
      <c r="C21567" s="2" t="s">
        <v>9</v>
      </c>
      <c r="D21567" s="2" t="s">
        <v>10</v>
      </c>
      <c r="E21567" s="2" t="str">
        <f>HYPERLINK("http://ts.21cn.com/tousu/show/id/1353560","http://ts.21cn.com/tousu/show/id/1353560")</f>
        <v>http://ts.21cn.com/tousu/show/id/1353560</v>
      </c>
      <c r="F21567" s="2" t="s">
        <v>11</v>
      </c>
      <c r="G21567" s="2" t="s">
        <v>1739</v>
      </c>
      <c r="H21567" s="2" t="s">
        <v>1740</v>
      </c>
    </row>
    <row r="21568" spans="1:8" ht="25.05" customHeight="1" x14ac:dyDescent="0.25">
      <c r="A21568" s="2" t="s">
        <v>8</v>
      </c>
      <c r="B21568" s="2" t="str">
        <f>HYPERLINK("http://ts.21cn.com/tousu/show/id/1353683","Etc助手销户后3个月不退押金")</f>
        <v>Etc助手销户后3个月不退押金</v>
      </c>
      <c r="C21568" s="2" t="s">
        <v>9</v>
      </c>
      <c r="D21568" s="2" t="s">
        <v>10</v>
      </c>
      <c r="E21568" s="2" t="str">
        <f>HYPERLINK("http://ts.21cn.com/tousu/show/id/1353683","http://ts.21cn.com/tousu/show/id/1353683")</f>
        <v>http://ts.21cn.com/tousu/show/id/1353683</v>
      </c>
      <c r="F21568" s="2" t="s">
        <v>11</v>
      </c>
      <c r="G21568" s="2" t="s">
        <v>1737</v>
      </c>
      <c r="H21568" s="2" t="s">
        <v>1738</v>
      </c>
    </row>
    <row r="21569" spans="1:8" ht="25.05" customHeight="1" x14ac:dyDescent="0.25">
      <c r="A21569" s="2" t="s">
        <v>8</v>
      </c>
      <c r="B21569" s="2" t="str">
        <f>HYPERLINK("http://ts.21cn.com/tousu/show/id/1353686","兴业信用卡收取高额利息")</f>
        <v>兴业信用卡收取高额利息</v>
      </c>
      <c r="C21569" s="2" t="s">
        <v>9</v>
      </c>
      <c r="D21569" s="2" t="s">
        <v>10</v>
      </c>
      <c r="E21569" s="2" t="str">
        <f>HYPERLINK("http://ts.21cn.com/tousu/show/id/1353686","http://ts.21cn.com/tousu/show/id/1353686")</f>
        <v>http://ts.21cn.com/tousu/show/id/1353686</v>
      </c>
      <c r="F21569" s="2" t="s">
        <v>11</v>
      </c>
      <c r="G21569" s="2" t="s">
        <v>1735</v>
      </c>
      <c r="H21569" s="2" t="s">
        <v>1736</v>
      </c>
    </row>
    <row r="21570" spans="1:8" ht="25.05" customHeight="1" x14ac:dyDescent="0.25">
      <c r="A21570" s="2" t="s">
        <v>8</v>
      </c>
      <c r="B21570" s="2" t="str">
        <f>HYPERLINK("http://ts.21cn.com/tousu/show/id/1353688","顺丰快递延误5天派送，给我方造成540元损失。")</f>
        <v>顺丰快递延误5天派送，给我方造成540元损失。</v>
      </c>
      <c r="C21570" s="2" t="s">
        <v>9</v>
      </c>
      <c r="D21570" s="2" t="s">
        <v>10</v>
      </c>
      <c r="E21570" s="2" t="str">
        <f>HYPERLINK("http://ts.21cn.com/tousu/show/id/1353688","http://ts.21cn.com/tousu/show/id/1353688")</f>
        <v>http://ts.21cn.com/tousu/show/id/1353688</v>
      </c>
      <c r="F21570" s="2" t="s">
        <v>11</v>
      </c>
      <c r="G21570" s="2" t="s">
        <v>1733</v>
      </c>
      <c r="H21570" s="2" t="s">
        <v>1734</v>
      </c>
    </row>
    <row r="21571" spans="1:8" ht="25.05" customHeight="1" x14ac:dyDescent="0.25">
      <c r="A21571" s="2" t="s">
        <v>8</v>
      </c>
      <c r="B21571" s="2" t="str">
        <f>HYPERLINK("http://ts.21cn.com/tousu/show/id/1353689","京东购买电线不给发货")</f>
        <v>京东购买电线不给发货</v>
      </c>
      <c r="C21571" s="2" t="s">
        <v>34</v>
      </c>
      <c r="D21571" s="2" t="s">
        <v>10</v>
      </c>
      <c r="E21571" s="2" t="str">
        <f>HYPERLINK("http://ts.21cn.com/tousu/show/id/1353689","http://ts.21cn.com/tousu/show/id/1353689")</f>
        <v>http://ts.21cn.com/tousu/show/id/1353689</v>
      </c>
      <c r="F21571" s="2" t="s">
        <v>11</v>
      </c>
      <c r="G21571" s="2" t="s">
        <v>1731</v>
      </c>
      <c r="H21571" s="2" t="s">
        <v>1732</v>
      </c>
    </row>
    <row r="21572" spans="1:8" ht="25.05" customHeight="1" x14ac:dyDescent="0.25">
      <c r="A21572" s="2" t="s">
        <v>8</v>
      </c>
      <c r="B21572" s="2" t="str">
        <f>HYPERLINK("http://ts.21cn.com/tousu/show/id/1353691","优惠券问题")</f>
        <v>优惠券问题</v>
      </c>
      <c r="C21572" s="2" t="s">
        <v>34</v>
      </c>
      <c r="D21572" s="2" t="s">
        <v>10</v>
      </c>
      <c r="E21572" s="2" t="str">
        <f>HYPERLINK("http://ts.21cn.com/tousu/show/id/1353691","http://ts.21cn.com/tousu/show/id/1353691")</f>
        <v>http://ts.21cn.com/tousu/show/id/1353691</v>
      </c>
      <c r="F21572" s="2" t="s">
        <v>11</v>
      </c>
      <c r="G21572" s="2" t="s">
        <v>1729</v>
      </c>
      <c r="H21572" s="2" t="s">
        <v>1730</v>
      </c>
    </row>
    <row r="21573" spans="1:8" ht="25.05" customHeight="1" x14ac:dyDescent="0.25">
      <c r="A21573" s="2" t="s">
        <v>8</v>
      </c>
      <c r="B21573" s="2" t="str">
        <f>HYPERLINK("http://ts.21cn.com/tousu/show/id/1353690","中腾信暴力催收")</f>
        <v>中腾信暴力催收</v>
      </c>
      <c r="C21573" s="2" t="s">
        <v>9</v>
      </c>
      <c r="D21573" s="2" t="s">
        <v>10</v>
      </c>
      <c r="E21573" s="2" t="str">
        <f>HYPERLINK("http://ts.21cn.com/tousu/show/id/1353690","http://ts.21cn.com/tousu/show/id/1353690")</f>
        <v>http://ts.21cn.com/tousu/show/id/1353690</v>
      </c>
      <c r="F21573" s="2" t="s">
        <v>11</v>
      </c>
      <c r="G21573" s="2" t="s">
        <v>1727</v>
      </c>
      <c r="H21573" s="2" t="s">
        <v>1728</v>
      </c>
    </row>
    <row r="21574" spans="1:8" ht="25.05" customHeight="1" x14ac:dyDescent="0.25">
      <c r="A21574" s="2" t="s">
        <v>8</v>
      </c>
      <c r="B21574" s="2" t="str">
        <f>HYPERLINK("http://ts.21cn.com/tousu/show/id/1353692","钱站高利贷，砍头息")</f>
        <v>钱站高利贷，砍头息</v>
      </c>
      <c r="C21574" s="2" t="s">
        <v>9</v>
      </c>
      <c r="D21574" s="2" t="s">
        <v>10</v>
      </c>
      <c r="E21574" s="2" t="str">
        <f>HYPERLINK("http://ts.21cn.com/tousu/show/id/1353692","http://ts.21cn.com/tousu/show/id/1353692")</f>
        <v>http://ts.21cn.com/tousu/show/id/1353692</v>
      </c>
      <c r="F21574" s="2" t="s">
        <v>11</v>
      </c>
      <c r="G21574" s="2" t="s">
        <v>1725</v>
      </c>
      <c r="H21574" s="2" t="s">
        <v>1726</v>
      </c>
    </row>
    <row r="21575" spans="1:8" ht="25.05" customHeight="1" x14ac:dyDescent="0.25">
      <c r="A21575" s="2" t="s">
        <v>8</v>
      </c>
      <c r="B21575" s="2" t="str">
        <f>HYPERLINK("http://ts.21cn.com/tousu/show/id/1353693","既有分期上门催收")</f>
        <v>既有分期上门催收</v>
      </c>
      <c r="C21575" s="2" t="s">
        <v>9</v>
      </c>
      <c r="D21575" s="2" t="s">
        <v>10</v>
      </c>
      <c r="E21575" s="2" t="str">
        <f>HYPERLINK("http://ts.21cn.com/tousu/show/id/1353693","http://ts.21cn.com/tousu/show/id/1353693")</f>
        <v>http://ts.21cn.com/tousu/show/id/1353693</v>
      </c>
      <c r="F21575" s="2" t="s">
        <v>11</v>
      </c>
      <c r="G21575" s="2" t="s">
        <v>1723</v>
      </c>
      <c r="H21575" s="2" t="s">
        <v>1724</v>
      </c>
    </row>
    <row r="21576" spans="1:8" ht="25.05" customHeight="1" x14ac:dyDescent="0.25">
      <c r="A21576" s="2" t="s">
        <v>8</v>
      </c>
      <c r="B21576" s="2" t="str">
        <f>HYPERLINK("http://ts.21cn.com/tousu/show/id/1353685","六便士砍头息协商还款")</f>
        <v>六便士砍头息协商还款</v>
      </c>
      <c r="C21576" s="2" t="s">
        <v>34</v>
      </c>
      <c r="D21576" s="2" t="s">
        <v>10</v>
      </c>
      <c r="E21576" s="2" t="str">
        <f>HYPERLINK("http://ts.21cn.com/tousu/show/id/1353685","http://ts.21cn.com/tousu/show/id/1353685")</f>
        <v>http://ts.21cn.com/tousu/show/id/1353685</v>
      </c>
      <c r="F21576" s="2" t="s">
        <v>11</v>
      </c>
      <c r="G21576" s="2" t="s">
        <v>1721</v>
      </c>
      <c r="H21576" s="2" t="s">
        <v>1722</v>
      </c>
    </row>
    <row r="21577" spans="1:8" ht="25.05" customHeight="1" x14ac:dyDescent="0.25">
      <c r="A21577" s="2" t="s">
        <v>8</v>
      </c>
      <c r="B21577" s="2" t="str">
        <f>HYPERLINK("http://ts.21cn.com/tousu/show/id/1353696","高利贷阴阳合同")</f>
        <v>高利贷阴阳合同</v>
      </c>
      <c r="C21577" s="2" t="s">
        <v>9</v>
      </c>
      <c r="D21577" s="2" t="s">
        <v>10</v>
      </c>
      <c r="E21577" s="2" t="str">
        <f>HYPERLINK("http://ts.21cn.com/tousu/show/id/1353696","http://ts.21cn.com/tousu/show/id/1353696")</f>
        <v>http://ts.21cn.com/tousu/show/id/1353696</v>
      </c>
      <c r="F21577" s="2" t="s">
        <v>11</v>
      </c>
      <c r="G21577" s="2" t="s">
        <v>1719</v>
      </c>
      <c r="H21577" s="2" t="s">
        <v>1720</v>
      </c>
    </row>
    <row r="21578" spans="1:8" ht="25.05" customHeight="1" x14ac:dyDescent="0.25">
      <c r="A21578" s="2" t="s">
        <v>8</v>
      </c>
      <c r="B21578" s="2" t="str">
        <f>HYPERLINK("http://ts.21cn.com/tousu/show/id/1353694","暴力催收恐吓短信")</f>
        <v>暴力催收恐吓短信</v>
      </c>
      <c r="C21578" s="2" t="s">
        <v>9</v>
      </c>
      <c r="D21578" s="2" t="s">
        <v>10</v>
      </c>
      <c r="E21578" s="2" t="str">
        <f>HYPERLINK("http://ts.21cn.com/tousu/show/id/1353694","http://ts.21cn.com/tousu/show/id/1353694")</f>
        <v>http://ts.21cn.com/tousu/show/id/1353694</v>
      </c>
      <c r="F21578" s="2" t="s">
        <v>11</v>
      </c>
      <c r="G21578" s="2" t="s">
        <v>1717</v>
      </c>
      <c r="H21578" s="2" t="s">
        <v>1718</v>
      </c>
    </row>
    <row r="21579" spans="1:8" ht="25.05" customHeight="1" x14ac:dyDescent="0.25">
      <c r="A21579" s="2" t="s">
        <v>8</v>
      </c>
      <c r="B21579" s="2" t="str">
        <f>HYPERLINK("http://ts.21cn.com/tousu/show/id/1353695","51人品贷黑心高利贷，暴利催收骚扰联系人")</f>
        <v>51人品贷黑心高利贷，暴利催收骚扰联系人</v>
      </c>
      <c r="C21579" s="2" t="s">
        <v>9</v>
      </c>
      <c r="D21579" s="2" t="s">
        <v>10</v>
      </c>
      <c r="E21579" s="2" t="str">
        <f>HYPERLINK("http://ts.21cn.com/tousu/show/id/1353695","http://ts.21cn.com/tousu/show/id/1353695")</f>
        <v>http://ts.21cn.com/tousu/show/id/1353695</v>
      </c>
      <c r="F21579" s="2" t="s">
        <v>11</v>
      </c>
      <c r="G21579" s="2" t="s">
        <v>1715</v>
      </c>
      <c r="H21579" s="2" t="s">
        <v>1716</v>
      </c>
    </row>
    <row r="21580" spans="1:8" ht="25.05" customHeight="1" x14ac:dyDescent="0.25">
      <c r="A21580" s="2" t="s">
        <v>8</v>
      </c>
      <c r="B21580" s="2" t="str">
        <f>HYPERLINK("http://ts.21cn.com/tousu/show/id/1353699","马上消费暴力催收")</f>
        <v>马上消费暴力催收</v>
      </c>
      <c r="C21580" s="2" t="s">
        <v>9</v>
      </c>
      <c r="D21580" s="2" t="s">
        <v>10</v>
      </c>
      <c r="E21580" s="2" t="str">
        <f>HYPERLINK("http://ts.21cn.com/tousu/show/id/1353699","http://ts.21cn.com/tousu/show/id/1353699")</f>
        <v>http://ts.21cn.com/tousu/show/id/1353699</v>
      </c>
      <c r="F21580" s="2" t="s">
        <v>11</v>
      </c>
      <c r="G21580" s="2" t="s">
        <v>1713</v>
      </c>
      <c r="H21580" s="2" t="s">
        <v>1714</v>
      </c>
    </row>
    <row r="21581" spans="1:8" ht="25.05" customHeight="1" x14ac:dyDescent="0.25">
      <c r="A21581" s="2" t="s">
        <v>8</v>
      </c>
      <c r="B21581" s="2" t="str">
        <f>HYPERLINK("http://ts.21cn.com/tousu/show/id/1353697","中信信用卡乱收违约金手续费要求退回")</f>
        <v>中信信用卡乱收违约金手续费要求退回</v>
      </c>
      <c r="C21581" s="2" t="s">
        <v>9</v>
      </c>
      <c r="D21581" s="2" t="s">
        <v>10</v>
      </c>
      <c r="E21581" s="2" t="str">
        <f>HYPERLINK("http://ts.21cn.com/tousu/show/id/1353697","http://ts.21cn.com/tousu/show/id/1353697")</f>
        <v>http://ts.21cn.com/tousu/show/id/1353697</v>
      </c>
      <c r="F21581" s="2" t="s">
        <v>11</v>
      </c>
      <c r="G21581" s="2" t="s">
        <v>1711</v>
      </c>
      <c r="H21581" s="2" t="s">
        <v>1712</v>
      </c>
    </row>
    <row r="21582" spans="1:8" ht="25.05" customHeight="1" x14ac:dyDescent="0.25">
      <c r="A21582" s="2" t="s">
        <v>8</v>
      </c>
      <c r="B21582" s="2" t="str">
        <f>HYPERLINK("http://ts.21cn.com/tousu/show/id/1353698","高利贷，侵犯个人隐私，骚扰通讯录。")</f>
        <v>高利贷，侵犯个人隐私，骚扰通讯录。</v>
      </c>
      <c r="C21582" s="2" t="s">
        <v>9</v>
      </c>
      <c r="D21582" s="2" t="s">
        <v>10</v>
      </c>
      <c r="E21582" s="2" t="str">
        <f>HYPERLINK("http://ts.21cn.com/tousu/show/id/1353698","http://ts.21cn.com/tousu/show/id/1353698")</f>
        <v>http://ts.21cn.com/tousu/show/id/1353698</v>
      </c>
      <c r="F21582" s="2" t="s">
        <v>11</v>
      </c>
      <c r="G21582" s="2" t="s">
        <v>1709</v>
      </c>
      <c r="H21582" s="2" t="s">
        <v>1710</v>
      </c>
    </row>
    <row r="21583" spans="1:8" ht="25.05" customHeight="1" x14ac:dyDescent="0.25">
      <c r="A21583" s="2" t="s">
        <v>8</v>
      </c>
      <c r="B21583" s="2" t="str">
        <f>HYPERLINK("http://ts.21cn.com/tousu/show/id/1353701","微粒贷打电话到公司骚扰")</f>
        <v>微粒贷打电话到公司骚扰</v>
      </c>
      <c r="C21583" s="2" t="s">
        <v>9</v>
      </c>
      <c r="D21583" s="2" t="s">
        <v>10</v>
      </c>
      <c r="E21583" s="2" t="str">
        <f>HYPERLINK("http://ts.21cn.com/tousu/show/id/1353701","http://ts.21cn.com/tousu/show/id/1353701")</f>
        <v>http://ts.21cn.com/tousu/show/id/1353701</v>
      </c>
      <c r="F21583" s="2" t="s">
        <v>11</v>
      </c>
      <c r="G21583" s="2" t="s">
        <v>1707</v>
      </c>
      <c r="H21583" s="2" t="s">
        <v>1708</v>
      </c>
    </row>
    <row r="21584" spans="1:8" ht="25.05" customHeight="1" x14ac:dyDescent="0.25">
      <c r="A21584" s="2" t="s">
        <v>8</v>
      </c>
      <c r="B21584" s="2" t="str">
        <f>HYPERLINK("http://ts.21cn.com/tousu/show/id/1353700","转转集体投诉专题")</f>
        <v>转转集体投诉专题</v>
      </c>
      <c r="C21584" s="2" t="s">
        <v>9</v>
      </c>
      <c r="D21584" s="2" t="s">
        <v>10</v>
      </c>
      <c r="E21584" s="2" t="str">
        <f>HYPERLINK("http://ts.21cn.com/tousu/show/id/1353700","http://ts.21cn.com/tousu/show/id/1353700")</f>
        <v>http://ts.21cn.com/tousu/show/id/1353700</v>
      </c>
      <c r="F21584" s="2" t="s">
        <v>11</v>
      </c>
      <c r="G21584" s="2" t="s">
        <v>1705</v>
      </c>
      <c r="H21584" s="2" t="s">
        <v>1706</v>
      </c>
    </row>
    <row r="21585" spans="1:8" ht="25.05" customHeight="1" x14ac:dyDescent="0.25">
      <c r="A21585" s="2" t="s">
        <v>8</v>
      </c>
      <c r="B21585" s="2" t="str">
        <f>HYPERLINK("http://ts.21cn.com/tousu/show/id/1349533","国美给彩票平台提供收款服务")</f>
        <v>国美给彩票平台提供收款服务</v>
      </c>
      <c r="C21585" s="2" t="s">
        <v>9</v>
      </c>
      <c r="D21585" s="2" t="s">
        <v>10</v>
      </c>
      <c r="E21585" s="2" t="str">
        <f>HYPERLINK("http://ts.21cn.com/tousu/show/id/1349533","http://ts.21cn.com/tousu/show/id/1349533")</f>
        <v>http://ts.21cn.com/tousu/show/id/1349533</v>
      </c>
      <c r="F21585" s="2" t="s">
        <v>11</v>
      </c>
      <c r="G21585" s="2" t="s">
        <v>1703</v>
      </c>
      <c r="H21585" s="2" t="s">
        <v>1704</v>
      </c>
    </row>
    <row r="21586" spans="1:8" ht="25.05" customHeight="1" x14ac:dyDescent="0.25">
      <c r="A21586" s="2" t="s">
        <v>8</v>
      </c>
      <c r="B21586" s="2" t="str">
        <f>HYPERLINK("http://ts.21cn.com/tousu/show/id/1353703","马上金融的安逸花套路贷账单不清楚")</f>
        <v>马上金融的安逸花套路贷账单不清楚</v>
      </c>
      <c r="C21586" s="2" t="s">
        <v>9</v>
      </c>
      <c r="D21586" s="2" t="s">
        <v>10</v>
      </c>
      <c r="E21586" s="2" t="str">
        <f>HYPERLINK("http://ts.21cn.com/tousu/show/id/1353703","http://ts.21cn.com/tousu/show/id/1353703")</f>
        <v>http://ts.21cn.com/tousu/show/id/1353703</v>
      </c>
      <c r="F21586" s="2" t="s">
        <v>11</v>
      </c>
      <c r="G21586" s="2" t="s">
        <v>1701</v>
      </c>
      <c r="H21586" s="2" t="s">
        <v>1702</v>
      </c>
    </row>
    <row r="21587" spans="1:8" ht="25.05" customHeight="1" x14ac:dyDescent="0.25">
      <c r="A21587" s="2" t="s">
        <v>8</v>
      </c>
      <c r="B21587" s="2" t="str">
        <f>HYPERLINK("http://ts.21cn.com/tousu/show/id/1353704","信用卡催收")</f>
        <v>信用卡催收</v>
      </c>
      <c r="C21587" s="2" t="s">
        <v>9</v>
      </c>
      <c r="D21587" s="2" t="s">
        <v>10</v>
      </c>
      <c r="E21587" s="2" t="str">
        <f>HYPERLINK("http://ts.21cn.com/tousu/show/id/1353704","http://ts.21cn.com/tousu/show/id/1353704")</f>
        <v>http://ts.21cn.com/tousu/show/id/1353704</v>
      </c>
      <c r="F21587" s="2" t="s">
        <v>11</v>
      </c>
      <c r="G21587" s="2" t="s">
        <v>1699</v>
      </c>
      <c r="H21587" s="2" t="s">
        <v>1700</v>
      </c>
    </row>
    <row r="21588" spans="1:8" ht="25.05" customHeight="1" x14ac:dyDescent="0.25">
      <c r="A21588" s="2" t="s">
        <v>8</v>
      </c>
      <c r="B21588" s="2" t="str">
        <f>HYPERLINK("http://ts.21cn.com/tousu/show/id/1353705","龙行管家虚假宣传误导办卡")</f>
        <v>龙行管家虚假宣传误导办卡</v>
      </c>
      <c r="C21588" s="2" t="s">
        <v>9</v>
      </c>
      <c r="D21588" s="2" t="s">
        <v>10</v>
      </c>
      <c r="E21588" s="2" t="str">
        <f>HYPERLINK("http://ts.21cn.com/tousu/show/id/1353705","http://ts.21cn.com/tousu/show/id/1353705")</f>
        <v>http://ts.21cn.com/tousu/show/id/1353705</v>
      </c>
      <c r="F21588" s="2" t="s">
        <v>11</v>
      </c>
      <c r="G21588" s="2" t="s">
        <v>1697</v>
      </c>
      <c r="H21588" s="2" t="s">
        <v>1698</v>
      </c>
    </row>
    <row r="21589" spans="1:8" ht="25.05" customHeight="1" x14ac:dyDescent="0.25">
      <c r="A21589" s="2" t="s">
        <v>8</v>
      </c>
      <c r="B21589" s="2" t="str">
        <f>HYPERLINK("http://ts.21cn.com/tousu/show/id/1353708","买卖乐购恶意骚扰通讯录联系人造成恶劣影响")</f>
        <v>买卖乐购恶意骚扰通讯录联系人造成恶劣影响</v>
      </c>
      <c r="C21589" s="2" t="s">
        <v>9</v>
      </c>
      <c r="D21589" s="2" t="s">
        <v>10</v>
      </c>
      <c r="E21589" s="2" t="str">
        <f>HYPERLINK("http://ts.21cn.com/tousu/show/id/1353708","http://ts.21cn.com/tousu/show/id/1353708")</f>
        <v>http://ts.21cn.com/tousu/show/id/1353708</v>
      </c>
      <c r="F21589" s="2" t="s">
        <v>11</v>
      </c>
      <c r="G21589" s="2" t="s">
        <v>1694</v>
      </c>
      <c r="H21589" s="2" t="s">
        <v>1695</v>
      </c>
    </row>
    <row r="21590" spans="1:8" ht="25.05" customHeight="1" x14ac:dyDescent="0.25">
      <c r="A21590" s="2" t="s">
        <v>8</v>
      </c>
      <c r="B21590" s="2" t="str">
        <f>HYPERLINK("http://ts.21cn.com/tousu/show/id/1353706","暴力催收。")</f>
        <v>暴力催收。</v>
      </c>
      <c r="C21590" s="2" t="s">
        <v>9</v>
      </c>
      <c r="D21590" s="2" t="s">
        <v>10</v>
      </c>
      <c r="E21590" s="2" t="str">
        <f>HYPERLINK("http://ts.21cn.com/tousu/show/id/1353706","http://ts.21cn.com/tousu/show/id/1353706")</f>
        <v>http://ts.21cn.com/tousu/show/id/1353706</v>
      </c>
      <c r="F21590" s="2" t="s">
        <v>11</v>
      </c>
      <c r="G21590" s="2" t="s">
        <v>1694</v>
      </c>
      <c r="H21590" s="2" t="s">
        <v>1696</v>
      </c>
    </row>
    <row r="21591" spans="1:8" ht="25.05" customHeight="1" x14ac:dyDescent="0.25">
      <c r="A21591" s="2" t="s">
        <v>8</v>
      </c>
      <c r="B21591" s="2" t="str">
        <f>HYPERLINK("http://ts.21cn.com/tousu/show/id/1353707","时光分期高利贷")</f>
        <v>时光分期高利贷</v>
      </c>
      <c r="C21591" s="2" t="s">
        <v>9</v>
      </c>
      <c r="D21591" s="2" t="s">
        <v>10</v>
      </c>
      <c r="E21591" s="2" t="str">
        <f>HYPERLINK("http://ts.21cn.com/tousu/show/id/1353707","http://ts.21cn.com/tousu/show/id/1353707")</f>
        <v>http://ts.21cn.com/tousu/show/id/1353707</v>
      </c>
      <c r="F21591" s="2" t="s">
        <v>11</v>
      </c>
      <c r="G21591" s="2" t="s">
        <v>1692</v>
      </c>
      <c r="H21591" s="2" t="s">
        <v>1693</v>
      </c>
    </row>
    <row r="21592" spans="1:8" ht="25.05" customHeight="1" x14ac:dyDescent="0.25">
      <c r="A21592" s="2" t="s">
        <v>8</v>
      </c>
      <c r="B21592" s="2" t="str">
        <f>HYPERLINK("http://ts.21cn.com/tousu/show/id/1353710","投诉招联金融逾期爆通讯录短信威胁")</f>
        <v>投诉招联金融逾期爆通讯录短信威胁</v>
      </c>
      <c r="C21592" s="2" t="s">
        <v>9</v>
      </c>
      <c r="D21592" s="2" t="s">
        <v>10</v>
      </c>
      <c r="E21592" s="2" t="str">
        <f>HYPERLINK("http://ts.21cn.com/tousu/show/id/1353710","http://ts.21cn.com/tousu/show/id/1353710")</f>
        <v>http://ts.21cn.com/tousu/show/id/1353710</v>
      </c>
      <c r="F21592" s="2" t="s">
        <v>11</v>
      </c>
      <c r="G21592" s="2" t="s">
        <v>1690</v>
      </c>
      <c r="H21592" s="2" t="s">
        <v>1691</v>
      </c>
    </row>
    <row r="21593" spans="1:8" ht="25.05" customHeight="1" x14ac:dyDescent="0.25">
      <c r="A21593" s="2" t="s">
        <v>8</v>
      </c>
      <c r="B21593" s="2" t="str">
        <f>HYPERLINK("http://ts.21cn.com/tousu/show/id/1353709","拍拍贷恐吓骚扰债务无关人员")</f>
        <v>拍拍贷恐吓骚扰债务无关人员</v>
      </c>
      <c r="C21593" s="2" t="s">
        <v>9</v>
      </c>
      <c r="D21593" s="2" t="s">
        <v>10</v>
      </c>
      <c r="E21593" s="2" t="str">
        <f>HYPERLINK("http://ts.21cn.com/tousu/show/id/1353709","http://ts.21cn.com/tousu/show/id/1353709")</f>
        <v>http://ts.21cn.com/tousu/show/id/1353709</v>
      </c>
      <c r="F21593" s="2" t="s">
        <v>11</v>
      </c>
      <c r="G21593" s="2" t="s">
        <v>1688</v>
      </c>
      <c r="H21593" s="2" t="s">
        <v>1689</v>
      </c>
    </row>
    <row r="21594" spans="1:8" ht="25.05" customHeight="1" x14ac:dyDescent="0.25">
      <c r="A21594" s="2" t="s">
        <v>8</v>
      </c>
      <c r="B21594" s="2" t="str">
        <f>HYPERLINK("http://ts.21cn.com/tousu/show/id/1353711","美团外卖商家辱骂消费者")</f>
        <v>美团外卖商家辱骂消费者</v>
      </c>
      <c r="C21594" s="2" t="s">
        <v>9</v>
      </c>
      <c r="D21594" s="2" t="s">
        <v>10</v>
      </c>
      <c r="E21594" s="2" t="str">
        <f>HYPERLINK("http://ts.21cn.com/tousu/show/id/1353711","http://ts.21cn.com/tousu/show/id/1353711")</f>
        <v>http://ts.21cn.com/tousu/show/id/1353711</v>
      </c>
      <c r="F21594" s="2" t="s">
        <v>11</v>
      </c>
      <c r="G21594" s="2" t="s">
        <v>1686</v>
      </c>
      <c r="H21594" s="2" t="s">
        <v>1687</v>
      </c>
    </row>
    <row r="21595" spans="1:8" ht="25.05" customHeight="1" x14ac:dyDescent="0.25">
      <c r="A21595" s="2" t="s">
        <v>8</v>
      </c>
      <c r="B21595" s="2" t="str">
        <f>HYPERLINK("http://ts.21cn.com/tousu/show/id/1353712","减免逾期费用还本金")</f>
        <v>减免逾期费用还本金</v>
      </c>
      <c r="C21595" s="2" t="s">
        <v>9</v>
      </c>
      <c r="D21595" s="2" t="s">
        <v>10</v>
      </c>
      <c r="E21595" s="2" t="str">
        <f>HYPERLINK("http://ts.21cn.com/tousu/show/id/1353712","http://ts.21cn.com/tousu/show/id/1353712")</f>
        <v>http://ts.21cn.com/tousu/show/id/1353712</v>
      </c>
      <c r="F21595" s="2" t="s">
        <v>11</v>
      </c>
      <c r="G21595" s="2" t="s">
        <v>1684</v>
      </c>
      <c r="H21595" s="2" t="s">
        <v>1685</v>
      </c>
    </row>
    <row r="21596" spans="1:8" ht="25.05" customHeight="1" x14ac:dyDescent="0.25">
      <c r="A21596" s="2" t="s">
        <v>8</v>
      </c>
      <c r="B21596" s="2" t="str">
        <f>HYPERLINK("http://ts.21cn.com/tousu/show/id/1353684","微粒贷暴力催收骚扰我的第三方联系到我单位")</f>
        <v>微粒贷暴力催收骚扰我的第三方联系到我单位</v>
      </c>
      <c r="C21596" s="2" t="s">
        <v>9</v>
      </c>
      <c r="D21596" s="2" t="s">
        <v>10</v>
      </c>
      <c r="E21596" s="2" t="str">
        <f>HYPERLINK("http://ts.21cn.com/tousu/show/id/1353684","http://ts.21cn.com/tousu/show/id/1353684")</f>
        <v>http://ts.21cn.com/tousu/show/id/1353684</v>
      </c>
      <c r="F21596" s="2" t="s">
        <v>11</v>
      </c>
      <c r="G21596" s="2" t="s">
        <v>1682</v>
      </c>
      <c r="H21596" s="2" t="s">
        <v>1683</v>
      </c>
    </row>
    <row r="21597" spans="1:8" ht="25.05" customHeight="1" x14ac:dyDescent="0.25">
      <c r="A21597" s="2" t="s">
        <v>8</v>
      </c>
      <c r="B21597" s="2" t="str">
        <f>HYPERLINK("http://ts.21cn.com/tousu/show/id/1353713","高利贷砍头息")</f>
        <v>高利贷砍头息</v>
      </c>
      <c r="C21597" s="2" t="s">
        <v>9</v>
      </c>
      <c r="D21597" s="2" t="s">
        <v>10</v>
      </c>
      <c r="E21597" s="2" t="str">
        <f>HYPERLINK("http://ts.21cn.com/tousu/show/id/1353713","http://ts.21cn.com/tousu/show/id/1353713")</f>
        <v>http://ts.21cn.com/tousu/show/id/1353713</v>
      </c>
      <c r="F21597" s="2" t="s">
        <v>11</v>
      </c>
      <c r="G21597" s="2" t="s">
        <v>1680</v>
      </c>
      <c r="H21597" s="2" t="s">
        <v>1681</v>
      </c>
    </row>
    <row r="21598" spans="1:8" ht="25.05" customHeight="1" x14ac:dyDescent="0.25">
      <c r="A21598" s="2" t="s">
        <v>8</v>
      </c>
      <c r="B21598" s="2" t="str">
        <f>HYPERLINK("http://ts.21cn.com/tousu/show/id/1350222","小熊应急坑费用，客服虚假号码")</f>
        <v>小熊应急坑费用，客服虚假号码</v>
      </c>
      <c r="C21598" s="2" t="s">
        <v>9</v>
      </c>
      <c r="D21598" s="2" t="s">
        <v>10</v>
      </c>
      <c r="E21598" s="2" t="str">
        <f>HYPERLINK("http://ts.21cn.com/tousu/show/id/1350222","http://ts.21cn.com/tousu/show/id/1350222")</f>
        <v>http://ts.21cn.com/tousu/show/id/1350222</v>
      </c>
      <c r="F21598" s="2" t="s">
        <v>11</v>
      </c>
      <c r="G21598" s="2" t="s">
        <v>1678</v>
      </c>
      <c r="H21598" s="2" t="s">
        <v>1679</v>
      </c>
    </row>
    <row r="21599" spans="1:8" ht="25.05" customHeight="1" x14ac:dyDescent="0.25">
      <c r="A21599" s="2" t="s">
        <v>8</v>
      </c>
      <c r="B21599" s="2" t="str">
        <f>HYPERLINK("http://ts.21cn.com/tousu/show/id/1353716","网贷骚扰公司")</f>
        <v>网贷骚扰公司</v>
      </c>
      <c r="C21599" s="2" t="s">
        <v>9</v>
      </c>
      <c r="D21599" s="2" t="s">
        <v>10</v>
      </c>
      <c r="E21599" s="2" t="str">
        <f>HYPERLINK("http://ts.21cn.com/tousu/show/id/1353716","http://ts.21cn.com/tousu/show/id/1353716")</f>
        <v>http://ts.21cn.com/tousu/show/id/1353716</v>
      </c>
      <c r="F21599" s="2" t="s">
        <v>11</v>
      </c>
      <c r="G21599" s="2" t="s">
        <v>1676</v>
      </c>
      <c r="H21599" s="2" t="s">
        <v>1677</v>
      </c>
    </row>
    <row r="21600" spans="1:8" ht="25.05" customHeight="1" x14ac:dyDescent="0.25">
      <c r="A21600" s="2" t="s">
        <v>8</v>
      </c>
      <c r="B21600" s="2" t="str">
        <f>HYPERLINK("http://ts.21cn.com/tousu/show/id/1353647","友缘网强迫消费")</f>
        <v>友缘网强迫消费</v>
      </c>
      <c r="C21600" s="2" t="s">
        <v>9</v>
      </c>
      <c r="D21600" s="2" t="s">
        <v>10</v>
      </c>
      <c r="E21600" s="2" t="str">
        <f>HYPERLINK("http://ts.21cn.com/tousu/show/id/1353647","http://ts.21cn.com/tousu/show/id/1353647")</f>
        <v>http://ts.21cn.com/tousu/show/id/1353647</v>
      </c>
      <c r="F21600" s="2" t="s">
        <v>11</v>
      </c>
      <c r="G21600" s="2" t="s">
        <v>1674</v>
      </c>
      <c r="H21600" s="2" t="s">
        <v>1675</v>
      </c>
    </row>
    <row r="21601" spans="1:8" ht="25.05" customHeight="1" x14ac:dyDescent="0.25">
      <c r="A21601" s="2" t="s">
        <v>8</v>
      </c>
      <c r="B21601" s="2" t="str">
        <f>HYPERLINK("http://ts.21cn.com/tousu/show/id/1353717","还款日没有逾期来分期公司进行电话骚扰")</f>
        <v>还款日没有逾期来分期公司进行电话骚扰</v>
      </c>
      <c r="C21601" s="2" t="s">
        <v>9</v>
      </c>
      <c r="D21601" s="2" t="s">
        <v>10</v>
      </c>
      <c r="E21601" s="2" t="str">
        <f>HYPERLINK("http://ts.21cn.com/tousu/show/id/1353717","http://ts.21cn.com/tousu/show/id/1353717")</f>
        <v>http://ts.21cn.com/tousu/show/id/1353717</v>
      </c>
      <c r="F21601" s="2" t="s">
        <v>11</v>
      </c>
      <c r="G21601" s="2" t="s">
        <v>1672</v>
      </c>
      <c r="H21601" s="2" t="s">
        <v>1673</v>
      </c>
    </row>
    <row r="21602" spans="1:8" ht="25.05" customHeight="1" x14ac:dyDescent="0.25">
      <c r="A21602" s="2" t="s">
        <v>8</v>
      </c>
      <c r="B21602" s="2" t="str">
        <f>HYPERLINK("http://ts.21cn.com/tousu/show/id/1353719","钱方好近不给商户结算,钱显示划款不到账")</f>
        <v>钱方好近不给商户结算,钱显示划款不到账</v>
      </c>
      <c r="C21602" s="2" t="s">
        <v>9</v>
      </c>
      <c r="D21602" s="2" t="s">
        <v>10</v>
      </c>
      <c r="E21602" s="2" t="str">
        <f>HYPERLINK("http://ts.21cn.com/tousu/show/id/1353719","http://ts.21cn.com/tousu/show/id/1353719")</f>
        <v>http://ts.21cn.com/tousu/show/id/1353719</v>
      </c>
      <c r="F21602" s="2" t="s">
        <v>11</v>
      </c>
      <c r="G21602" s="2" t="s">
        <v>1670</v>
      </c>
      <c r="H21602" s="2" t="s">
        <v>1671</v>
      </c>
    </row>
    <row r="21603" spans="1:8" ht="25.05" customHeight="1" x14ac:dyDescent="0.25">
      <c r="A21603" s="2" t="s">
        <v>8</v>
      </c>
      <c r="B21603" s="2" t="str">
        <f>HYPERLINK("http://ts.21cn.com/tousu/show/id/1353722","造艺平台强制恶劣的收取评估费")</f>
        <v>造艺平台强制恶劣的收取评估费</v>
      </c>
      <c r="C21603" s="2" t="s">
        <v>9</v>
      </c>
      <c r="D21603" s="2" t="s">
        <v>10</v>
      </c>
      <c r="E21603" s="2" t="str">
        <f>HYPERLINK("http://ts.21cn.com/tousu/show/id/1353722","http://ts.21cn.com/tousu/show/id/1353722")</f>
        <v>http://ts.21cn.com/tousu/show/id/1353722</v>
      </c>
      <c r="F21603" s="2" t="s">
        <v>11</v>
      </c>
      <c r="G21603" s="2" t="s">
        <v>1668</v>
      </c>
      <c r="H21603" s="2" t="s">
        <v>1669</v>
      </c>
    </row>
    <row r="21604" spans="1:8" ht="25.05" customHeight="1" x14ac:dyDescent="0.25">
      <c r="A21604" s="2" t="s">
        <v>8</v>
      </c>
      <c r="B21604" s="2" t="str">
        <f>HYPERLINK("http://ts.21cn.com/tousu/show/id/1353721","网贷投诉")</f>
        <v>网贷投诉</v>
      </c>
      <c r="C21604" s="2" t="s">
        <v>9</v>
      </c>
      <c r="D21604" s="2" t="s">
        <v>10</v>
      </c>
      <c r="E21604" s="2" t="str">
        <f>HYPERLINK("http://ts.21cn.com/tousu/show/id/1353721","http://ts.21cn.com/tousu/show/id/1353721")</f>
        <v>http://ts.21cn.com/tousu/show/id/1353721</v>
      </c>
      <c r="F21604" s="2" t="s">
        <v>11</v>
      </c>
      <c r="G21604" s="2" t="s">
        <v>1666</v>
      </c>
      <c r="H21604" s="2" t="s">
        <v>1667</v>
      </c>
    </row>
    <row r="21605" spans="1:8" ht="25.05" customHeight="1" x14ac:dyDescent="0.25">
      <c r="A21605" s="2" t="s">
        <v>8</v>
      </c>
      <c r="B21605" s="2" t="str">
        <f>HYPERLINK("http://ts.21cn.com/tousu/show/id/1353720","滴滴出行乱扣所谓的违约金")</f>
        <v>滴滴出行乱扣所谓的违约金</v>
      </c>
      <c r="C21605" s="2" t="s">
        <v>9</v>
      </c>
      <c r="D21605" s="2" t="s">
        <v>10</v>
      </c>
      <c r="E21605" s="2" t="str">
        <f>HYPERLINK("http://ts.21cn.com/tousu/show/id/1353720","http://ts.21cn.com/tousu/show/id/1353720")</f>
        <v>http://ts.21cn.com/tousu/show/id/1353720</v>
      </c>
      <c r="F21605" s="2" t="s">
        <v>11</v>
      </c>
      <c r="G21605" s="2" t="s">
        <v>1664</v>
      </c>
      <c r="H21605" s="2" t="s">
        <v>1665</v>
      </c>
    </row>
    <row r="21606" spans="1:8" ht="25.05" customHeight="1" x14ac:dyDescent="0.25">
      <c r="A21606" s="2" t="s">
        <v>8</v>
      </c>
      <c r="B21606" s="2" t="str">
        <f>HYPERLINK("http://ts.21cn.com/tousu/show/id/1353723","暴力催收")</f>
        <v>暴力催收</v>
      </c>
      <c r="C21606" s="2" t="s">
        <v>9</v>
      </c>
      <c r="D21606" s="2" t="s">
        <v>10</v>
      </c>
      <c r="E21606" s="2" t="str">
        <f>HYPERLINK("http://ts.21cn.com/tousu/show/id/1353723","http://ts.21cn.com/tousu/show/id/1353723")</f>
        <v>http://ts.21cn.com/tousu/show/id/1353723</v>
      </c>
      <c r="F21606" s="2" t="s">
        <v>11</v>
      </c>
      <c r="G21606" s="2" t="s">
        <v>1662</v>
      </c>
      <c r="H21606" s="2" t="s">
        <v>1663</v>
      </c>
    </row>
    <row r="21607" spans="1:8" ht="25.05" customHeight="1" x14ac:dyDescent="0.25">
      <c r="A21607" s="2" t="s">
        <v>8</v>
      </c>
      <c r="B21607" s="2" t="str">
        <f>HYPERLINK("http://ts.21cn.com/tousu/show/id/1353724","微粒贷恶意催收")</f>
        <v>微粒贷恶意催收</v>
      </c>
      <c r="C21607" s="2" t="s">
        <v>9</v>
      </c>
      <c r="D21607" s="2" t="s">
        <v>10</v>
      </c>
      <c r="E21607" s="2" t="str">
        <f>HYPERLINK("http://ts.21cn.com/tousu/show/id/1353724","http://ts.21cn.com/tousu/show/id/1353724")</f>
        <v>http://ts.21cn.com/tousu/show/id/1353724</v>
      </c>
      <c r="F21607" s="2" t="s">
        <v>11</v>
      </c>
      <c r="G21607" s="2" t="s">
        <v>1660</v>
      </c>
      <c r="H21607" s="2" t="s">
        <v>1661</v>
      </c>
    </row>
    <row r="21608" spans="1:8" ht="25.05" customHeight="1" x14ac:dyDescent="0.25">
      <c r="A21608" s="2" t="s">
        <v>8</v>
      </c>
      <c r="B21608" s="2" t="str">
        <f>HYPERLINK("http://ts.21cn.com/tousu/show/id/1353726","月光侠贷款分期高利贷变相前期砍头息")</f>
        <v>月光侠贷款分期高利贷变相前期砍头息</v>
      </c>
      <c r="C21608" s="2" t="s">
        <v>9</v>
      </c>
      <c r="D21608" s="2" t="s">
        <v>10</v>
      </c>
      <c r="E21608" s="2" t="str">
        <f>HYPERLINK("http://ts.21cn.com/tousu/show/id/1353726","http://ts.21cn.com/tousu/show/id/1353726")</f>
        <v>http://ts.21cn.com/tousu/show/id/1353726</v>
      </c>
      <c r="F21608" s="2" t="s">
        <v>11</v>
      </c>
      <c r="G21608" s="2" t="s">
        <v>1658</v>
      </c>
      <c r="H21608" s="2" t="s">
        <v>1659</v>
      </c>
    </row>
    <row r="21609" spans="1:8" ht="25.05" customHeight="1" x14ac:dyDescent="0.25">
      <c r="A21609" s="2" t="s">
        <v>8</v>
      </c>
      <c r="B21609" s="2" t="str">
        <f>HYPERLINK("http://ts.21cn.com/tousu/show/id/1353728","深圳众联商务有限公司旗下app点点借款平台搭售众安保险，催收人员言语威胁")</f>
        <v>深圳众联商务有限公司旗下app点点借款平台搭售众安保险，催收人员言语威胁</v>
      </c>
      <c r="C21609" s="2" t="s">
        <v>9</v>
      </c>
      <c r="D21609" s="2" t="s">
        <v>10</v>
      </c>
      <c r="E21609" s="2" t="str">
        <f>HYPERLINK("http://ts.21cn.com/tousu/show/id/1353728","http://ts.21cn.com/tousu/show/id/1353728")</f>
        <v>http://ts.21cn.com/tousu/show/id/1353728</v>
      </c>
      <c r="F21609" s="2" t="s">
        <v>11</v>
      </c>
      <c r="G21609" s="2" t="s">
        <v>1656</v>
      </c>
      <c r="H21609" s="2" t="s">
        <v>1657</v>
      </c>
    </row>
    <row r="21610" spans="1:8" ht="25.05" customHeight="1" x14ac:dyDescent="0.25">
      <c r="A21610" s="2" t="s">
        <v>8</v>
      </c>
      <c r="B21610" s="2" t="str">
        <f>HYPERLINK("http://ts.21cn.com/tousu/show/id/1353730","淘宝和支付宝对个人支付宝止付，冻结合法钱财")</f>
        <v>淘宝和支付宝对个人支付宝止付，冻结合法钱财</v>
      </c>
      <c r="C21610" s="2" t="s">
        <v>9</v>
      </c>
      <c r="D21610" s="2" t="s">
        <v>10</v>
      </c>
      <c r="E21610" s="2" t="str">
        <f>HYPERLINK("http://ts.21cn.com/tousu/show/id/1353730","http://ts.21cn.com/tousu/show/id/1353730")</f>
        <v>http://ts.21cn.com/tousu/show/id/1353730</v>
      </c>
      <c r="F21610" s="2" t="s">
        <v>11</v>
      </c>
      <c r="G21610" s="2" t="s">
        <v>1654</v>
      </c>
      <c r="H21610" s="2" t="s">
        <v>1655</v>
      </c>
    </row>
    <row r="21611" spans="1:8" ht="25.05" customHeight="1" x14ac:dyDescent="0.25">
      <c r="A21611" s="2" t="s">
        <v>8</v>
      </c>
      <c r="B21611" s="2" t="str">
        <f>HYPERLINK("http://ts.21cn.com/tousu/show/id/1353733","包银消费金融包你贷暴力催收高额利息")</f>
        <v>包银消费金融包你贷暴力催收高额利息</v>
      </c>
      <c r="C21611" s="2" t="s">
        <v>9</v>
      </c>
      <c r="D21611" s="2" t="s">
        <v>10</v>
      </c>
      <c r="E21611" s="2" t="str">
        <f>HYPERLINK("http://ts.21cn.com/tousu/show/id/1353733","http://ts.21cn.com/tousu/show/id/1353733")</f>
        <v>http://ts.21cn.com/tousu/show/id/1353733</v>
      </c>
      <c r="F21611" s="2" t="s">
        <v>11</v>
      </c>
      <c r="G21611" s="2" t="s">
        <v>1652</v>
      </c>
      <c r="H21611" s="2" t="s">
        <v>1653</v>
      </c>
    </row>
    <row r="21612" spans="1:8" ht="25.05" customHeight="1" x14ac:dyDescent="0.25">
      <c r="A21612" s="2" t="s">
        <v>8</v>
      </c>
      <c r="B21612" s="2" t="str">
        <f>HYPERLINK("http://ts.21cn.com/tousu/show/id/1353731","玖富万卡高利贷")</f>
        <v>玖富万卡高利贷</v>
      </c>
      <c r="C21612" s="2" t="s">
        <v>9</v>
      </c>
      <c r="D21612" s="2" t="s">
        <v>10</v>
      </c>
      <c r="E21612" s="2" t="str">
        <f>HYPERLINK("http://ts.21cn.com/tousu/show/id/1353731","http://ts.21cn.com/tousu/show/id/1353731")</f>
        <v>http://ts.21cn.com/tousu/show/id/1353731</v>
      </c>
      <c r="F21612" s="2" t="s">
        <v>11</v>
      </c>
      <c r="G21612" s="2" t="s">
        <v>1650</v>
      </c>
      <c r="H21612" s="2" t="s">
        <v>1651</v>
      </c>
    </row>
    <row r="21613" spans="1:8" ht="25.05" customHeight="1" x14ac:dyDescent="0.25">
      <c r="A21613" s="2" t="s">
        <v>8</v>
      </c>
      <c r="B21613" s="2" t="str">
        <f>HYPERLINK("http://ts.21cn.com/tousu/show/id/1353732","马上金融高利贷")</f>
        <v>马上金融高利贷</v>
      </c>
      <c r="C21613" s="2" t="s">
        <v>9</v>
      </c>
      <c r="D21613" s="2" t="s">
        <v>10</v>
      </c>
      <c r="E21613" s="2" t="str">
        <f>HYPERLINK("http://ts.21cn.com/tousu/show/id/1353732","http://ts.21cn.com/tousu/show/id/1353732")</f>
        <v>http://ts.21cn.com/tousu/show/id/1353732</v>
      </c>
      <c r="F21613" s="2" t="s">
        <v>11</v>
      </c>
      <c r="G21613" s="2" t="s">
        <v>1648</v>
      </c>
      <c r="H21613" s="2" t="s">
        <v>1649</v>
      </c>
    </row>
    <row r="21614" spans="1:8" ht="25.05" customHeight="1" x14ac:dyDescent="0.25">
      <c r="A21614" s="2" t="s">
        <v>8</v>
      </c>
      <c r="B21614" s="2" t="str">
        <f>HYPERLINK("http://ts.21cn.com/tousu/show/id/1353735","过程中班主任不尽职尽责，退学班主任迟迟不予办理")</f>
        <v>过程中班主任不尽职尽责，退学班主任迟迟不予办理</v>
      </c>
      <c r="C21614" s="2" t="s">
        <v>9</v>
      </c>
      <c r="D21614" s="2" t="s">
        <v>10</v>
      </c>
      <c r="E21614" s="2" t="str">
        <f>HYPERLINK("http://ts.21cn.com/tousu/show/id/1353735","http://ts.21cn.com/tousu/show/id/1353735")</f>
        <v>http://ts.21cn.com/tousu/show/id/1353735</v>
      </c>
      <c r="F21614" s="2" t="s">
        <v>11</v>
      </c>
      <c r="G21614" s="2" t="s">
        <v>1645</v>
      </c>
      <c r="H21614" s="2" t="s">
        <v>1646</v>
      </c>
    </row>
    <row r="21615" spans="1:8" ht="25.05" customHeight="1" x14ac:dyDescent="0.25">
      <c r="A21615" s="2" t="s">
        <v>8</v>
      </c>
      <c r="B21615" s="2" t="str">
        <f>HYPERLINK("http://ts.21cn.com/tousu/show/id/1352429","投诉花椒直播主播122541618")</f>
        <v>投诉花椒直播主播122541618</v>
      </c>
      <c r="C21615" s="2" t="s">
        <v>9</v>
      </c>
      <c r="D21615" s="2" t="s">
        <v>10</v>
      </c>
      <c r="E21615" s="2" t="str">
        <f>HYPERLINK("http://ts.21cn.com/tousu/show/id/1352429","http://ts.21cn.com/tousu/show/id/1352429")</f>
        <v>http://ts.21cn.com/tousu/show/id/1352429</v>
      </c>
      <c r="F21615" s="2" t="s">
        <v>11</v>
      </c>
      <c r="G21615" s="2" t="s">
        <v>1645</v>
      </c>
      <c r="H21615" s="2" t="s">
        <v>1647</v>
      </c>
    </row>
    <row r="21616" spans="1:8" ht="25.05" customHeight="1" x14ac:dyDescent="0.25">
      <c r="A21616" s="2" t="s">
        <v>8</v>
      </c>
      <c r="B21616" s="2" t="str">
        <f>HYPERLINK("http://ts.21cn.com/tousu/show/id/1353734","滴滴司机一个小时没来接我，拒载且不通知。，客服不行，")</f>
        <v>滴滴司机一个小时没来接我，拒载且不通知。，客服不行，</v>
      </c>
      <c r="C21616" s="2" t="s">
        <v>9</v>
      </c>
      <c r="D21616" s="2" t="s">
        <v>10</v>
      </c>
      <c r="E21616" s="2" t="str">
        <f>HYPERLINK("http://ts.21cn.com/tousu/show/id/1353734","http://ts.21cn.com/tousu/show/id/1353734")</f>
        <v>http://ts.21cn.com/tousu/show/id/1353734</v>
      </c>
      <c r="F21616" s="2" t="s">
        <v>11</v>
      </c>
      <c r="G21616" s="2" t="s">
        <v>1643</v>
      </c>
      <c r="H21616" s="2" t="s">
        <v>1644</v>
      </c>
    </row>
    <row r="21617" spans="1:8" ht="25.05" customHeight="1" x14ac:dyDescent="0.25">
      <c r="A21617" s="2" t="s">
        <v>8</v>
      </c>
      <c r="B21617" s="2" t="str">
        <f>HYPERLINK("http://ts.21cn.com/tousu/show/id/1353736","无法还款")</f>
        <v>无法还款</v>
      </c>
      <c r="C21617" s="2" t="s">
        <v>9</v>
      </c>
      <c r="D21617" s="2" t="s">
        <v>10</v>
      </c>
      <c r="E21617" s="2" t="str">
        <f>HYPERLINK("http://ts.21cn.com/tousu/show/id/1353736","http://ts.21cn.com/tousu/show/id/1353736")</f>
        <v>http://ts.21cn.com/tousu/show/id/1353736</v>
      </c>
      <c r="F21617" s="2" t="s">
        <v>11</v>
      </c>
      <c r="G21617" s="2" t="s">
        <v>1641</v>
      </c>
      <c r="H21617" s="2" t="s">
        <v>1642</v>
      </c>
    </row>
    <row r="21618" spans="1:8" ht="25.05" customHeight="1" x14ac:dyDescent="0.25">
      <c r="A21618" s="2" t="s">
        <v>8</v>
      </c>
      <c r="B21618" s="2" t="str">
        <f>HYPERLINK("http://ts.21cn.com/tousu/show/id/1353737","小黄车ofo不退还押金、客服挂客户电话")</f>
        <v>小黄车ofo不退还押金、客服挂客户电话</v>
      </c>
      <c r="C21618" s="2" t="s">
        <v>9</v>
      </c>
      <c r="D21618" s="2" t="s">
        <v>10</v>
      </c>
      <c r="E21618" s="2" t="str">
        <f>HYPERLINK("http://ts.21cn.com/tousu/show/id/1353737","http://ts.21cn.com/tousu/show/id/1353737")</f>
        <v>http://ts.21cn.com/tousu/show/id/1353737</v>
      </c>
      <c r="F21618" s="2" t="s">
        <v>11</v>
      </c>
      <c r="G21618" s="2" t="s">
        <v>1639</v>
      </c>
      <c r="H21618" s="2" t="s">
        <v>1640</v>
      </c>
    </row>
    <row r="21619" spans="1:8" ht="25.05" customHeight="1" x14ac:dyDescent="0.25">
      <c r="A21619" s="2" t="s">
        <v>8</v>
      </c>
      <c r="B21619" s="2" t="str">
        <f>HYPERLINK("http://ts.21cn.com/tousu/show/id/1353738","钱站高利贷阴阳合同")</f>
        <v>钱站高利贷阴阳合同</v>
      </c>
      <c r="C21619" s="2" t="s">
        <v>9</v>
      </c>
      <c r="D21619" s="2" t="s">
        <v>10</v>
      </c>
      <c r="E21619" s="2" t="str">
        <f>HYPERLINK("http://ts.21cn.com/tousu/show/id/1353738","http://ts.21cn.com/tousu/show/id/1353738")</f>
        <v>http://ts.21cn.com/tousu/show/id/1353738</v>
      </c>
      <c r="F21619" s="2" t="s">
        <v>11</v>
      </c>
      <c r="G21619" s="2" t="s">
        <v>1637</v>
      </c>
      <c r="H21619" s="2" t="s">
        <v>1638</v>
      </c>
    </row>
    <row r="21620" spans="1:8" ht="25.05" customHeight="1" x14ac:dyDescent="0.25">
      <c r="A21620" s="2" t="s">
        <v>8</v>
      </c>
      <c r="B21620" s="2" t="str">
        <f>HYPERLINK("http://ts.21cn.com/tousu/show/id/1353739","交易猫客服不理人")</f>
        <v>交易猫客服不理人</v>
      </c>
      <c r="C21620" s="2" t="s">
        <v>9</v>
      </c>
      <c r="D21620" s="2" t="s">
        <v>10</v>
      </c>
      <c r="E21620" s="2" t="str">
        <f>HYPERLINK("http://ts.21cn.com/tousu/show/id/1353739","http://ts.21cn.com/tousu/show/id/1353739")</f>
        <v>http://ts.21cn.com/tousu/show/id/1353739</v>
      </c>
      <c r="F21620" s="2" t="s">
        <v>11</v>
      </c>
      <c r="G21620" s="2" t="s">
        <v>1635</v>
      </c>
      <c r="H21620" s="2" t="s">
        <v>1636</v>
      </c>
    </row>
    <row r="21621" spans="1:8" ht="25.05" customHeight="1" x14ac:dyDescent="0.25">
      <c r="A21621" s="2" t="s">
        <v>8</v>
      </c>
      <c r="B21621" s="2" t="str">
        <f>HYPERLINK("http://ts.21cn.com/tousu/show/id/1353714","高额利息、砍头息、6天周转")</f>
        <v>高额利息、砍头息、6天周转</v>
      </c>
      <c r="C21621" s="2" t="s">
        <v>9</v>
      </c>
      <c r="D21621" s="2" t="s">
        <v>10</v>
      </c>
      <c r="E21621" s="2" t="str">
        <f>HYPERLINK("http://ts.21cn.com/tousu/show/id/1353714","http://ts.21cn.com/tousu/show/id/1353714")</f>
        <v>http://ts.21cn.com/tousu/show/id/1353714</v>
      </c>
      <c r="F21621" s="2" t="s">
        <v>11</v>
      </c>
      <c r="G21621" s="2" t="s">
        <v>1633</v>
      </c>
      <c r="H21621" s="2" t="s">
        <v>1634</v>
      </c>
    </row>
    <row r="21622" spans="1:8" ht="25.05" customHeight="1" x14ac:dyDescent="0.25">
      <c r="A21622" s="2" t="s">
        <v>8</v>
      </c>
      <c r="B21622" s="2" t="str">
        <f>HYPERLINK("http://ts.21cn.com/tousu/show/id/1353729","乱扣款经我投诉后打电话来说退款然后没退")</f>
        <v>乱扣款经我投诉后打电话来说退款然后没退</v>
      </c>
      <c r="C21622" s="2" t="s">
        <v>9</v>
      </c>
      <c r="D21622" s="2" t="s">
        <v>10</v>
      </c>
      <c r="E21622" s="2" t="str">
        <f>HYPERLINK("http://ts.21cn.com/tousu/show/id/1353729","http://ts.21cn.com/tousu/show/id/1353729")</f>
        <v>http://ts.21cn.com/tousu/show/id/1353729</v>
      </c>
      <c r="F21622" s="2" t="s">
        <v>11</v>
      </c>
      <c r="G21622" s="2" t="s">
        <v>1631</v>
      </c>
      <c r="H21622" s="2" t="s">
        <v>1632</v>
      </c>
    </row>
    <row r="21623" spans="1:8" ht="25.05" customHeight="1" x14ac:dyDescent="0.25">
      <c r="A21623" s="2" t="s">
        <v>8</v>
      </c>
      <c r="B21623" s="2" t="str">
        <f>HYPERLINK("http://ts.21cn.com/tousu/show/id/1353741","捷信金融无故骚扰")</f>
        <v>捷信金融无故骚扰</v>
      </c>
      <c r="C21623" s="2" t="s">
        <v>9</v>
      </c>
      <c r="D21623" s="2" t="s">
        <v>10</v>
      </c>
      <c r="E21623" s="2" t="str">
        <f>HYPERLINK("http://ts.21cn.com/tousu/show/id/1353741","http://ts.21cn.com/tousu/show/id/1353741")</f>
        <v>http://ts.21cn.com/tousu/show/id/1353741</v>
      </c>
      <c r="F21623" s="2" t="s">
        <v>11</v>
      </c>
      <c r="G21623" s="2" t="s">
        <v>1629</v>
      </c>
      <c r="H21623" s="2" t="s">
        <v>1630</v>
      </c>
    </row>
    <row r="21624" spans="1:8" ht="25.05" customHeight="1" x14ac:dyDescent="0.25">
      <c r="A21624" s="2" t="s">
        <v>8</v>
      </c>
      <c r="B21624" s="2" t="str">
        <f>HYPERLINK("http://ts.21cn.com/tousu/show/id/1353742","解除霸王条款，中止贷款协议")</f>
        <v>解除霸王条款，中止贷款协议</v>
      </c>
      <c r="C21624" s="2" t="s">
        <v>9</v>
      </c>
      <c r="D21624" s="2" t="s">
        <v>10</v>
      </c>
      <c r="E21624" s="2" t="str">
        <f>HYPERLINK("http://ts.21cn.com/tousu/show/id/1353742","http://ts.21cn.com/tousu/show/id/1353742")</f>
        <v>http://ts.21cn.com/tousu/show/id/1353742</v>
      </c>
      <c r="F21624" s="2" t="s">
        <v>11</v>
      </c>
      <c r="G21624" s="2" t="s">
        <v>1627</v>
      </c>
      <c r="H21624" s="2" t="s">
        <v>1628</v>
      </c>
    </row>
    <row r="21625" spans="1:8" ht="25.05" customHeight="1" x14ac:dyDescent="0.25">
      <c r="A21625" s="2" t="s">
        <v>8</v>
      </c>
      <c r="B21625" s="2" t="str">
        <f>HYPERLINK("http://ts.21cn.com/tousu/show/id/1353743","客服态度不好没有协商到位")</f>
        <v>客服态度不好没有协商到位</v>
      </c>
      <c r="C21625" s="2" t="s">
        <v>9</v>
      </c>
      <c r="D21625" s="2" t="s">
        <v>10</v>
      </c>
      <c r="E21625" s="2" t="str">
        <f>HYPERLINK("http://ts.21cn.com/tousu/show/id/1353743","http://ts.21cn.com/tousu/show/id/1353743")</f>
        <v>http://ts.21cn.com/tousu/show/id/1353743</v>
      </c>
      <c r="F21625" s="2" t="s">
        <v>11</v>
      </c>
      <c r="G21625" s="2" t="s">
        <v>1625</v>
      </c>
      <c r="H21625" s="2" t="s">
        <v>1626</v>
      </c>
    </row>
    <row r="21626" spans="1:8" ht="25.05" customHeight="1" x14ac:dyDescent="0.25">
      <c r="A21626" s="2" t="s">
        <v>8</v>
      </c>
      <c r="B21626" s="2" t="str">
        <f>HYPERLINK("http://ts.21cn.com/tousu/show/id/1353744","闪银高利贷，套路贷")</f>
        <v>闪银高利贷，套路贷</v>
      </c>
      <c r="C21626" s="2" t="s">
        <v>9</v>
      </c>
      <c r="D21626" s="2" t="s">
        <v>10</v>
      </c>
      <c r="E21626" s="2" t="str">
        <f>HYPERLINK("http://ts.21cn.com/tousu/show/id/1353744","http://ts.21cn.com/tousu/show/id/1353744")</f>
        <v>http://ts.21cn.com/tousu/show/id/1353744</v>
      </c>
      <c r="F21626" s="2" t="s">
        <v>11</v>
      </c>
      <c r="G21626" s="2" t="s">
        <v>1623</v>
      </c>
      <c r="H21626" s="2" t="s">
        <v>1624</v>
      </c>
    </row>
    <row r="21627" spans="1:8" ht="25.05" customHeight="1" x14ac:dyDescent="0.25">
      <c r="A21627" s="2" t="s">
        <v>8</v>
      </c>
      <c r="B21627" s="2" t="str">
        <f>HYPERLINK("http://ts.21cn.com/tousu/show/id/1353749","及货暴力催收")</f>
        <v>及货暴力催收</v>
      </c>
      <c r="C21627" s="2" t="s">
        <v>9</v>
      </c>
      <c r="D21627" s="2" t="s">
        <v>10</v>
      </c>
      <c r="E21627" s="2" t="str">
        <f>HYPERLINK("http://ts.21cn.com/tousu/show/id/1353749","http://ts.21cn.com/tousu/show/id/1353749")</f>
        <v>http://ts.21cn.com/tousu/show/id/1353749</v>
      </c>
      <c r="F21627" s="2" t="s">
        <v>11</v>
      </c>
      <c r="G21627" s="2" t="s">
        <v>1621</v>
      </c>
      <c r="H21627" s="2" t="s">
        <v>1622</v>
      </c>
    </row>
    <row r="21628" spans="1:8" ht="25.05" customHeight="1" x14ac:dyDescent="0.25">
      <c r="A21628" s="2" t="s">
        <v>8</v>
      </c>
      <c r="B21628" s="2" t="str">
        <f>HYPERLINK("http://ts.21cn.com/tousu/show/id/1353747","拍拍贷催收骚扰周边行为，无视监管")</f>
        <v>拍拍贷催收骚扰周边行为，无视监管</v>
      </c>
      <c r="C21628" s="2" t="s">
        <v>9</v>
      </c>
      <c r="D21628" s="2" t="s">
        <v>10</v>
      </c>
      <c r="E21628" s="2" t="str">
        <f>HYPERLINK("http://ts.21cn.com/tousu/show/id/1353747","http://ts.21cn.com/tousu/show/id/1353747")</f>
        <v>http://ts.21cn.com/tousu/show/id/1353747</v>
      </c>
      <c r="F21628" s="2" t="s">
        <v>11</v>
      </c>
      <c r="G21628" s="2" t="s">
        <v>1619</v>
      </c>
      <c r="H21628" s="2" t="s">
        <v>1620</v>
      </c>
    </row>
    <row r="21629" spans="1:8" ht="25.05" customHeight="1" x14ac:dyDescent="0.25">
      <c r="A21629" s="2" t="s">
        <v>8</v>
      </c>
      <c r="B21629" s="2" t="str">
        <f>HYPERLINK("http://ts.21cn.com/tousu/show/id/1353687","要求尚德教育机构退费")</f>
        <v>要求尚德教育机构退费</v>
      </c>
      <c r="C21629" s="2" t="s">
        <v>9</v>
      </c>
      <c r="D21629" s="2" t="s">
        <v>10</v>
      </c>
      <c r="E21629" s="2" t="str">
        <f>HYPERLINK("http://ts.21cn.com/tousu/show/id/1353687","http://ts.21cn.com/tousu/show/id/1353687")</f>
        <v>http://ts.21cn.com/tousu/show/id/1353687</v>
      </c>
      <c r="F21629" s="2" t="s">
        <v>11</v>
      </c>
      <c r="G21629" s="2" t="s">
        <v>1617</v>
      </c>
      <c r="H21629" s="2" t="s">
        <v>1618</v>
      </c>
    </row>
    <row r="21630" spans="1:8" ht="25.05" customHeight="1" x14ac:dyDescent="0.25">
      <c r="A21630" s="2" t="s">
        <v>8</v>
      </c>
      <c r="B21630" s="2" t="str">
        <f>HYPERLINK("http://ts.21cn.com/tousu/show/id/1353750","及贷公司在借款人不知道的情况下扣除合同")</f>
        <v>及贷公司在借款人不知道的情况下扣除合同</v>
      </c>
      <c r="C21630" s="2" t="s">
        <v>9</v>
      </c>
      <c r="D21630" s="2" t="s">
        <v>10</v>
      </c>
      <c r="E21630" s="2" t="str">
        <f>HYPERLINK("http://ts.21cn.com/tousu/show/id/1353750","http://ts.21cn.com/tousu/show/id/1353750")</f>
        <v>http://ts.21cn.com/tousu/show/id/1353750</v>
      </c>
      <c r="F21630" s="2" t="s">
        <v>11</v>
      </c>
      <c r="G21630" s="2" t="s">
        <v>1615</v>
      </c>
      <c r="H21630" s="2" t="s">
        <v>1616</v>
      </c>
    </row>
    <row r="21631" spans="1:8" ht="25.05" customHeight="1" x14ac:dyDescent="0.25">
      <c r="A21631" s="2" t="s">
        <v>8</v>
      </c>
      <c r="B21631" s="2" t="str">
        <f>HYPERLINK("http://ts.21cn.com/tousu/show/id/1353752","阳光出行罚款不合理")</f>
        <v>阳光出行罚款不合理</v>
      </c>
      <c r="C21631" s="2" t="s">
        <v>9</v>
      </c>
      <c r="D21631" s="2" t="s">
        <v>10</v>
      </c>
      <c r="E21631" s="2" t="str">
        <f>HYPERLINK("http://ts.21cn.com/tousu/show/id/1353752","http://ts.21cn.com/tousu/show/id/1353752")</f>
        <v>http://ts.21cn.com/tousu/show/id/1353752</v>
      </c>
      <c r="F21631" s="2" t="s">
        <v>11</v>
      </c>
      <c r="G21631" s="2" t="s">
        <v>1613</v>
      </c>
      <c r="H21631" s="2" t="s">
        <v>1614</v>
      </c>
    </row>
    <row r="21632" spans="1:8" ht="25.05" customHeight="1" x14ac:dyDescent="0.25">
      <c r="A21632" s="2" t="s">
        <v>8</v>
      </c>
      <c r="B21632" s="2" t="str">
        <f>HYPERLINK("http://ts.21cn.com/tousu/show/id/1353754","水象云收取砍头息")</f>
        <v>水象云收取砍头息</v>
      </c>
      <c r="C21632" s="2" t="s">
        <v>9</v>
      </c>
      <c r="D21632" s="2" t="s">
        <v>10</v>
      </c>
      <c r="E21632" s="2" t="str">
        <f>HYPERLINK("http://ts.21cn.com/tousu/show/id/1353754","http://ts.21cn.com/tousu/show/id/1353754")</f>
        <v>http://ts.21cn.com/tousu/show/id/1353754</v>
      </c>
      <c r="F21632" s="2" t="s">
        <v>11</v>
      </c>
      <c r="G21632" s="2" t="s">
        <v>1611</v>
      </c>
      <c r="H21632" s="2" t="s">
        <v>1612</v>
      </c>
    </row>
    <row r="21633" spans="1:8" ht="25.05" customHeight="1" x14ac:dyDescent="0.25">
      <c r="A21633" s="2" t="s">
        <v>8</v>
      </c>
      <c r="B21633" s="2" t="str">
        <f>HYPERLINK("http://ts.21cn.com/tousu/show/id/1353753","淘手游一直未处理保单")</f>
        <v>淘手游一直未处理保单</v>
      </c>
      <c r="C21633" s="2" t="s">
        <v>9</v>
      </c>
      <c r="D21633" s="2" t="s">
        <v>10</v>
      </c>
      <c r="E21633" s="2" t="str">
        <f>HYPERLINK("http://ts.21cn.com/tousu/show/id/1353753","http://ts.21cn.com/tousu/show/id/1353753")</f>
        <v>http://ts.21cn.com/tousu/show/id/1353753</v>
      </c>
      <c r="F21633" s="2" t="s">
        <v>11</v>
      </c>
      <c r="G21633" s="2" t="s">
        <v>1609</v>
      </c>
      <c r="H21633" s="2" t="s">
        <v>1610</v>
      </c>
    </row>
    <row r="21634" spans="1:8" ht="25.05" customHeight="1" x14ac:dyDescent="0.25">
      <c r="A21634" s="2" t="s">
        <v>8</v>
      </c>
      <c r="B21634" s="2" t="str">
        <f>HYPERLINK("http://ts.21cn.com/tousu/show/id/1353755","平安陆金服高利贷，收取砍头息，高额服务费，不知情下强行购买高额保险")</f>
        <v>平安陆金服高利贷，收取砍头息，高额服务费，不知情下强行购买高额保险</v>
      </c>
      <c r="C21634" s="2" t="s">
        <v>9</v>
      </c>
      <c r="D21634" s="2" t="s">
        <v>10</v>
      </c>
      <c r="E21634" s="2" t="str">
        <f>HYPERLINK("http://ts.21cn.com/tousu/show/id/1353755","http://ts.21cn.com/tousu/show/id/1353755")</f>
        <v>http://ts.21cn.com/tousu/show/id/1353755</v>
      </c>
      <c r="F21634" s="2" t="s">
        <v>11</v>
      </c>
      <c r="G21634" s="2" t="s">
        <v>1607</v>
      </c>
      <c r="H21634" s="2" t="s">
        <v>1608</v>
      </c>
    </row>
    <row r="21635" spans="1:8" ht="25.05" customHeight="1" x14ac:dyDescent="0.25">
      <c r="A21635" s="2" t="s">
        <v>8</v>
      </c>
      <c r="B21635" s="2" t="str">
        <f>HYPERLINK("http://ts.21cn.com/tousu/show/id/1353756","造艺科技无胡乱扣费")</f>
        <v>造艺科技无胡乱扣费</v>
      </c>
      <c r="C21635" s="2" t="s">
        <v>9</v>
      </c>
      <c r="D21635" s="2" t="s">
        <v>10</v>
      </c>
      <c r="E21635" s="2" t="str">
        <f>HYPERLINK("http://ts.21cn.com/tousu/show/id/1353756","http://ts.21cn.com/tousu/show/id/1353756")</f>
        <v>http://ts.21cn.com/tousu/show/id/1353756</v>
      </c>
      <c r="F21635" s="2" t="s">
        <v>11</v>
      </c>
      <c r="G21635" s="2" t="s">
        <v>1605</v>
      </c>
      <c r="H21635" s="2" t="s">
        <v>1606</v>
      </c>
    </row>
    <row r="21636" spans="1:8" ht="25.05" customHeight="1" x14ac:dyDescent="0.25">
      <c r="A21636" s="2" t="s">
        <v>8</v>
      </c>
      <c r="B21636" s="2" t="str">
        <f>HYPERLINK("http://ts.21cn.com/tousu/show/id/1353757","百联优力违规提供交易渠道")</f>
        <v>百联优力违规提供交易渠道</v>
      </c>
      <c r="C21636" s="2" t="s">
        <v>9</v>
      </c>
      <c r="D21636" s="2" t="s">
        <v>10</v>
      </c>
      <c r="E21636" s="2" t="str">
        <f>HYPERLINK("http://ts.21cn.com/tousu/show/id/1353757","http://ts.21cn.com/tousu/show/id/1353757")</f>
        <v>http://ts.21cn.com/tousu/show/id/1353757</v>
      </c>
      <c r="F21636" s="2" t="s">
        <v>11</v>
      </c>
      <c r="G21636" s="2" t="s">
        <v>1603</v>
      </c>
      <c r="H21636" s="2" t="s">
        <v>1604</v>
      </c>
    </row>
    <row r="21637" spans="1:8" ht="25.05" customHeight="1" x14ac:dyDescent="0.25">
      <c r="A21637" s="2" t="s">
        <v>8</v>
      </c>
      <c r="B21637" s="2" t="str">
        <f>HYPERLINK("http://ts.21cn.com/tousu/show/id/1353758","还本金，同时对暴力催收事件道歉")</f>
        <v>还本金，同时对暴力催收事件道歉</v>
      </c>
      <c r="C21637" s="2" t="s">
        <v>9</v>
      </c>
      <c r="D21637" s="2" t="s">
        <v>10</v>
      </c>
      <c r="E21637" s="2" t="str">
        <f>HYPERLINK("http://ts.21cn.com/tousu/show/id/1353758","http://ts.21cn.com/tousu/show/id/1353758")</f>
        <v>http://ts.21cn.com/tousu/show/id/1353758</v>
      </c>
      <c r="F21637" s="2" t="s">
        <v>11</v>
      </c>
      <c r="G21637" s="2" t="s">
        <v>1601</v>
      </c>
      <c r="H21637" s="2" t="s">
        <v>1602</v>
      </c>
    </row>
    <row r="21638" spans="1:8" ht="25.05" customHeight="1" x14ac:dyDescent="0.25">
      <c r="A21638" s="2" t="s">
        <v>8</v>
      </c>
      <c r="B21638" s="2" t="str">
        <f>HYPERLINK("http://ts.21cn.com/tousu/show/id/1353725","看不到前途与未来，请退还押金1000元")</f>
        <v>看不到前途与未来，请退还押金1000元</v>
      </c>
      <c r="C21638" s="2" t="s">
        <v>9</v>
      </c>
      <c r="D21638" s="2" t="s">
        <v>10</v>
      </c>
      <c r="E21638" s="2" t="str">
        <f>HYPERLINK("http://ts.21cn.com/tousu/show/id/1353725","http://ts.21cn.com/tousu/show/id/1353725")</f>
        <v>http://ts.21cn.com/tousu/show/id/1353725</v>
      </c>
      <c r="F21638" s="2" t="s">
        <v>11</v>
      </c>
      <c r="G21638" s="2" t="s">
        <v>1599</v>
      </c>
      <c r="H21638" s="2" t="s">
        <v>1600</v>
      </c>
    </row>
    <row r="21639" spans="1:8" ht="25.05" customHeight="1" x14ac:dyDescent="0.25">
      <c r="A21639" s="2" t="s">
        <v>8</v>
      </c>
      <c r="B21639" s="2" t="str">
        <f>HYPERLINK("http://ts.21cn.com/tousu/show/id/1353759","成都移动停封我的短信功能")</f>
        <v>成都移动停封我的短信功能</v>
      </c>
      <c r="C21639" s="2" t="s">
        <v>34</v>
      </c>
      <c r="D21639" s="2" t="s">
        <v>10</v>
      </c>
      <c r="E21639" s="2" t="str">
        <f>HYPERLINK("http://ts.21cn.com/tousu/show/id/1353759","http://ts.21cn.com/tousu/show/id/1353759")</f>
        <v>http://ts.21cn.com/tousu/show/id/1353759</v>
      </c>
      <c r="F21639" s="2" t="s">
        <v>11</v>
      </c>
      <c r="G21639" s="2" t="s">
        <v>1597</v>
      </c>
      <c r="H21639" s="2" t="s">
        <v>1598</v>
      </c>
    </row>
    <row r="21640" spans="1:8" ht="25.05" customHeight="1" x14ac:dyDescent="0.25">
      <c r="A21640" s="2" t="s">
        <v>8</v>
      </c>
      <c r="B21640" s="2" t="str">
        <f>HYPERLINK("http://ts.21cn.com/tousu/show/id/1353760","骚扰")</f>
        <v>骚扰</v>
      </c>
      <c r="C21640" s="2" t="s">
        <v>9</v>
      </c>
      <c r="D21640" s="2" t="s">
        <v>10</v>
      </c>
      <c r="E21640" s="2" t="str">
        <f>HYPERLINK("http://ts.21cn.com/tousu/show/id/1353760","http://ts.21cn.com/tousu/show/id/1353760")</f>
        <v>http://ts.21cn.com/tousu/show/id/1353760</v>
      </c>
      <c r="F21640" s="2" t="s">
        <v>11</v>
      </c>
      <c r="G21640" s="2" t="s">
        <v>1595</v>
      </c>
      <c r="H21640" s="2" t="s">
        <v>1596</v>
      </c>
    </row>
    <row r="21641" spans="1:8" ht="25.05" customHeight="1" x14ac:dyDescent="0.25">
      <c r="A21641" s="2" t="s">
        <v>8</v>
      </c>
      <c r="B21641" s="2" t="str">
        <f>HYPERLINK("http://ts.21cn.com/tousu/show/id/1353761","暴力催收")</f>
        <v>暴力催收</v>
      </c>
      <c r="C21641" s="2" t="s">
        <v>9</v>
      </c>
      <c r="D21641" s="2" t="s">
        <v>10</v>
      </c>
      <c r="E21641" s="2" t="str">
        <f>HYPERLINK("http://ts.21cn.com/tousu/show/id/1353761","http://ts.21cn.com/tousu/show/id/1353761")</f>
        <v>http://ts.21cn.com/tousu/show/id/1353761</v>
      </c>
      <c r="F21641" s="2" t="s">
        <v>11</v>
      </c>
      <c r="G21641" s="2" t="s">
        <v>1593</v>
      </c>
      <c r="H21641" s="2" t="s">
        <v>1594</v>
      </c>
    </row>
    <row r="21642" spans="1:8" ht="25.05" customHeight="1" x14ac:dyDescent="0.25">
      <c r="A21642" s="2" t="s">
        <v>8</v>
      </c>
      <c r="B21642" s="2" t="str">
        <f>HYPERLINK("http://ts.21cn.com/tousu/show/id/1351721","淘集集欺诈商家货款一直不给提现")</f>
        <v>淘集集欺诈商家货款一直不给提现</v>
      </c>
      <c r="C21642" s="2" t="s">
        <v>9</v>
      </c>
      <c r="D21642" s="2" t="s">
        <v>10</v>
      </c>
      <c r="E21642" s="2" t="str">
        <f>HYPERLINK("http://ts.21cn.com/tousu/show/id/1351721","http://ts.21cn.com/tousu/show/id/1351721")</f>
        <v>http://ts.21cn.com/tousu/show/id/1351721</v>
      </c>
      <c r="F21642" s="2" t="s">
        <v>11</v>
      </c>
      <c r="G21642" s="2" t="s">
        <v>1591</v>
      </c>
      <c r="H21642" s="2" t="s">
        <v>1592</v>
      </c>
    </row>
    <row r="21643" spans="1:8" ht="25.05" customHeight="1" x14ac:dyDescent="0.25">
      <c r="A21643" s="2" t="s">
        <v>8</v>
      </c>
      <c r="B21643" s="2" t="str">
        <f>HYPERLINK("http://ts.21cn.com/tousu/show/id/1353762","抱米花威胁")</f>
        <v>抱米花威胁</v>
      </c>
      <c r="C21643" s="2" t="s">
        <v>9</v>
      </c>
      <c r="D21643" s="2" t="s">
        <v>10</v>
      </c>
      <c r="E21643" s="2" t="str">
        <f>HYPERLINK("http://ts.21cn.com/tousu/show/id/1353762","http://ts.21cn.com/tousu/show/id/1353762")</f>
        <v>http://ts.21cn.com/tousu/show/id/1353762</v>
      </c>
      <c r="F21643" s="2" t="s">
        <v>11</v>
      </c>
      <c r="G21643" s="2" t="s">
        <v>1589</v>
      </c>
      <c r="H21643" s="2" t="s">
        <v>1590</v>
      </c>
    </row>
    <row r="21644" spans="1:8" ht="25.05" customHeight="1" x14ac:dyDescent="0.25">
      <c r="A21644" s="2" t="s">
        <v>8</v>
      </c>
      <c r="B21644" s="2" t="str">
        <f>HYPERLINK("http://ts.21cn.com/tousu/show/id/1353740","花花乐还款催收电话骚扰威胁")</f>
        <v>花花乐还款催收电话骚扰威胁</v>
      </c>
      <c r="C21644" s="2" t="s">
        <v>9</v>
      </c>
      <c r="D21644" s="2" t="s">
        <v>10</v>
      </c>
      <c r="E21644" s="2" t="str">
        <f>HYPERLINK("http://ts.21cn.com/tousu/show/id/1353740","http://ts.21cn.com/tousu/show/id/1353740")</f>
        <v>http://ts.21cn.com/tousu/show/id/1353740</v>
      </c>
      <c r="F21644" s="2" t="s">
        <v>11</v>
      </c>
      <c r="G21644" s="2" t="s">
        <v>1587</v>
      </c>
      <c r="H21644" s="2" t="s">
        <v>1588</v>
      </c>
    </row>
    <row r="21645" spans="1:8" ht="25.05" customHeight="1" x14ac:dyDescent="0.25">
      <c r="A21645" s="2" t="s">
        <v>8</v>
      </c>
      <c r="B21645" s="2" t="str">
        <f>HYPERLINK("http://ts.21cn.com/tousu/show/id/1353763","10月10日在唯品会购买大衣369元，用了20元优惠劵，10.11大衣价格变成259，差价110元，咨询客服补差价，不同")</f>
        <v>10月10日在唯品会购买大衣369元，用了20元优惠劵，10.11大衣价格变成259，差价110元，咨询客服补差价，不同</v>
      </c>
      <c r="C21645" s="2" t="s">
        <v>34</v>
      </c>
      <c r="D21645" s="2" t="s">
        <v>10</v>
      </c>
      <c r="E21645" s="2" t="str">
        <f>HYPERLINK("http://ts.21cn.com/tousu/show/id/1353763","http://ts.21cn.com/tousu/show/id/1353763")</f>
        <v>http://ts.21cn.com/tousu/show/id/1353763</v>
      </c>
      <c r="F21645" s="2" t="s">
        <v>11</v>
      </c>
      <c r="G21645" s="2" t="s">
        <v>1585</v>
      </c>
      <c r="H21645" s="2" t="s">
        <v>1586</v>
      </c>
    </row>
    <row r="21646" spans="1:8" ht="25.05" customHeight="1" x14ac:dyDescent="0.25">
      <c r="A21646" s="2" t="s">
        <v>8</v>
      </c>
      <c r="B21646" s="2" t="str">
        <f>HYPERLINK("http://ts.21cn.com/tousu/show/id/1353764","捷信公司恐吓上门去村里村委会，找书记")</f>
        <v>捷信公司恐吓上门去村里村委会，找书记</v>
      </c>
      <c r="C21646" s="2" t="s">
        <v>9</v>
      </c>
      <c r="D21646" s="2" t="s">
        <v>10</v>
      </c>
      <c r="E21646" s="2" t="str">
        <f>HYPERLINK("http://ts.21cn.com/tousu/show/id/1353764","http://ts.21cn.com/tousu/show/id/1353764")</f>
        <v>http://ts.21cn.com/tousu/show/id/1353764</v>
      </c>
      <c r="F21646" s="2" t="s">
        <v>11</v>
      </c>
      <c r="G21646" s="2" t="s">
        <v>1583</v>
      </c>
      <c r="H21646" s="2" t="s">
        <v>1584</v>
      </c>
    </row>
    <row r="21647" spans="1:8" ht="25.05" customHeight="1" x14ac:dyDescent="0.25">
      <c r="A21647" s="2" t="s">
        <v>8</v>
      </c>
      <c r="B21647" s="2" t="str">
        <f>HYPERLINK("http://ts.21cn.com/tousu/show/id/1353765","涉嫌违规欺诈")</f>
        <v>涉嫌违规欺诈</v>
      </c>
      <c r="C21647" s="2" t="s">
        <v>9</v>
      </c>
      <c r="D21647" s="2" t="s">
        <v>10</v>
      </c>
      <c r="E21647" s="2" t="str">
        <f>HYPERLINK("http://ts.21cn.com/tousu/show/id/1353765","http://ts.21cn.com/tousu/show/id/1353765")</f>
        <v>http://ts.21cn.com/tousu/show/id/1353765</v>
      </c>
      <c r="F21647" s="2" t="s">
        <v>11</v>
      </c>
      <c r="G21647" s="2" t="s">
        <v>1581</v>
      </c>
      <c r="H21647" s="2" t="s">
        <v>1582</v>
      </c>
    </row>
    <row r="21648" spans="1:8" ht="25.05" customHeight="1" x14ac:dyDescent="0.25">
      <c r="A21648" s="2" t="s">
        <v>8</v>
      </c>
      <c r="B21648" s="2" t="str">
        <f>HYPERLINK("http://ts.21cn.com/tousu/show/id/1353766","软暴力催收辱骂骚扰家人及朋友盗取用户电话本")</f>
        <v>软暴力催收辱骂骚扰家人及朋友盗取用户电话本</v>
      </c>
      <c r="C21648" s="2" t="s">
        <v>9</v>
      </c>
      <c r="D21648" s="2" t="s">
        <v>10</v>
      </c>
      <c r="E21648" s="2" t="str">
        <f>HYPERLINK("http://ts.21cn.com/tousu/show/id/1353766","http://ts.21cn.com/tousu/show/id/1353766")</f>
        <v>http://ts.21cn.com/tousu/show/id/1353766</v>
      </c>
      <c r="F21648" s="2" t="s">
        <v>11</v>
      </c>
      <c r="G21648" s="2" t="s">
        <v>1579</v>
      </c>
      <c r="H21648" s="2" t="s">
        <v>1580</v>
      </c>
    </row>
    <row r="21649" spans="1:8" ht="25.05" customHeight="1" x14ac:dyDescent="0.25">
      <c r="A21649" s="2" t="s">
        <v>8</v>
      </c>
      <c r="B21649" s="2" t="str">
        <f>HYPERLINK("http://ts.21cn.com/tousu/show/id/1353767","博民暴力催收，威胁恐吓")</f>
        <v>博民暴力催收，威胁恐吓</v>
      </c>
      <c r="C21649" s="2" t="s">
        <v>9</v>
      </c>
      <c r="D21649" s="2" t="s">
        <v>10</v>
      </c>
      <c r="E21649" s="2" t="str">
        <f>HYPERLINK("http://ts.21cn.com/tousu/show/id/1353767","http://ts.21cn.com/tousu/show/id/1353767")</f>
        <v>http://ts.21cn.com/tousu/show/id/1353767</v>
      </c>
      <c r="F21649" s="2" t="s">
        <v>11</v>
      </c>
      <c r="G21649" s="2" t="s">
        <v>1577</v>
      </c>
      <c r="H21649" s="2" t="s">
        <v>1578</v>
      </c>
    </row>
    <row r="21650" spans="1:8" ht="25.05" customHeight="1" x14ac:dyDescent="0.25">
      <c r="A21650" s="2" t="s">
        <v>8</v>
      </c>
      <c r="B21650" s="2" t="str">
        <f>HYPERLINK("http://ts.21cn.com/tousu/show/id/1353768","上海造艺公司在没有信息没有密码的情况下盗刷我银行卡里的钱，强盗行为。")</f>
        <v>上海造艺公司在没有信息没有密码的情况下盗刷我银行卡里的钱，强盗行为。</v>
      </c>
      <c r="C21650" s="2" t="s">
        <v>9</v>
      </c>
      <c r="D21650" s="2" t="s">
        <v>10</v>
      </c>
      <c r="E21650" s="2" t="str">
        <f>HYPERLINK("http://ts.21cn.com/tousu/show/id/1353768","http://ts.21cn.com/tousu/show/id/1353768")</f>
        <v>http://ts.21cn.com/tousu/show/id/1353768</v>
      </c>
      <c r="F21650" s="2" t="s">
        <v>11</v>
      </c>
      <c r="G21650" s="2" t="s">
        <v>1575</v>
      </c>
      <c r="H21650" s="2" t="s">
        <v>1576</v>
      </c>
    </row>
    <row r="21651" spans="1:8" ht="25.05" customHeight="1" x14ac:dyDescent="0.25">
      <c r="A21651" s="2" t="s">
        <v>8</v>
      </c>
      <c r="B21651" s="2" t="str">
        <f>HYPERLINK("http://ts.21cn.com/tousu/show/id/1353065","要求减免利息一次性还款")</f>
        <v>要求减免利息一次性还款</v>
      </c>
      <c r="C21651" s="2" t="s">
        <v>34</v>
      </c>
      <c r="D21651" s="2" t="s">
        <v>10</v>
      </c>
      <c r="E21651" s="2" t="str">
        <f>HYPERLINK("http://ts.21cn.com/tousu/show/id/1353065","http://ts.21cn.com/tousu/show/id/1353065")</f>
        <v>http://ts.21cn.com/tousu/show/id/1353065</v>
      </c>
      <c r="F21651" s="2" t="s">
        <v>11</v>
      </c>
      <c r="G21651" s="2" t="s">
        <v>1573</v>
      </c>
      <c r="H21651" s="2" t="s">
        <v>1574</v>
      </c>
    </row>
    <row r="21652" spans="1:8" ht="25.05" customHeight="1" x14ac:dyDescent="0.25">
      <c r="A21652" s="2" t="s">
        <v>8</v>
      </c>
      <c r="B21652" s="2" t="str">
        <f>HYPERLINK("http://ts.21cn.com/tousu/show/id/1353769","钱站恶意侵犯个人隐私，发信息故意恐吓威胁，现要求催收马上停止所有违法行为！！！")</f>
        <v>钱站恶意侵犯个人隐私，发信息故意恐吓威胁，现要求催收马上停止所有违法行为！！！</v>
      </c>
      <c r="C21652" s="2" t="s">
        <v>9</v>
      </c>
      <c r="D21652" s="2" t="s">
        <v>10</v>
      </c>
      <c r="E21652" s="2" t="str">
        <f>HYPERLINK("http://ts.21cn.com/tousu/show/id/1353769","http://ts.21cn.com/tousu/show/id/1353769")</f>
        <v>http://ts.21cn.com/tousu/show/id/1353769</v>
      </c>
      <c r="F21652" s="2" t="s">
        <v>11</v>
      </c>
      <c r="G21652" s="2" t="s">
        <v>1571</v>
      </c>
      <c r="H21652" s="2" t="s">
        <v>1572</v>
      </c>
    </row>
    <row r="21653" spans="1:8" ht="25.05" customHeight="1" x14ac:dyDescent="0.25">
      <c r="A21653" s="2" t="s">
        <v>8</v>
      </c>
      <c r="B21653" s="2" t="str">
        <f>HYPERLINK("http://ts.21cn.com/tousu/show/id/1353771","中银消费金融暴力催收")</f>
        <v>中银消费金融暴力催收</v>
      </c>
      <c r="C21653" s="2" t="s">
        <v>9</v>
      </c>
      <c r="D21653" s="2" t="s">
        <v>10</v>
      </c>
      <c r="E21653" s="2" t="str">
        <f>HYPERLINK("http://ts.21cn.com/tousu/show/id/1353771","http://ts.21cn.com/tousu/show/id/1353771")</f>
        <v>http://ts.21cn.com/tousu/show/id/1353771</v>
      </c>
      <c r="F21653" s="2" t="s">
        <v>11</v>
      </c>
      <c r="G21653" s="2" t="s">
        <v>1569</v>
      </c>
      <c r="H21653" s="2" t="s">
        <v>1570</v>
      </c>
    </row>
    <row r="21654" spans="1:8" ht="25.05" customHeight="1" x14ac:dyDescent="0.25">
      <c r="A21654" s="2" t="s">
        <v>8</v>
      </c>
      <c r="B21654" s="2" t="str">
        <f>HYPERLINK("http://ts.21cn.com/tousu/show/id/1353562","PPMONEY和及贷强制贷款")</f>
        <v>PPMONEY和及贷强制贷款</v>
      </c>
      <c r="C21654" s="2" t="s">
        <v>9</v>
      </c>
      <c r="D21654" s="2" t="s">
        <v>10</v>
      </c>
      <c r="E21654" s="2" t="str">
        <f>HYPERLINK("http://ts.21cn.com/tousu/show/id/1353562","http://ts.21cn.com/tousu/show/id/1353562")</f>
        <v>http://ts.21cn.com/tousu/show/id/1353562</v>
      </c>
      <c r="F21654" s="2" t="s">
        <v>11</v>
      </c>
      <c r="G21654" s="2" t="s">
        <v>1567</v>
      </c>
      <c r="H21654" s="2" t="s">
        <v>1568</v>
      </c>
    </row>
    <row r="21655" spans="1:8" ht="25.05" customHeight="1" x14ac:dyDescent="0.25">
      <c r="A21655" s="2" t="s">
        <v>8</v>
      </c>
      <c r="B21655" s="2" t="str">
        <f>HYPERLINK("http://ts.21cn.com/tousu/show/id/1353772","交通不停打电话催收，已经被公司劝说辞职")</f>
        <v>交通不停打电话催收，已经被公司劝说辞职</v>
      </c>
      <c r="C21655" s="2" t="s">
        <v>9</v>
      </c>
      <c r="D21655" s="2" t="s">
        <v>10</v>
      </c>
      <c r="E21655" s="2" t="str">
        <f>HYPERLINK("http://ts.21cn.com/tousu/show/id/1353772","http://ts.21cn.com/tousu/show/id/1353772")</f>
        <v>http://ts.21cn.com/tousu/show/id/1353772</v>
      </c>
      <c r="F21655" s="2" t="s">
        <v>11</v>
      </c>
      <c r="G21655" s="2" t="s">
        <v>1565</v>
      </c>
      <c r="H21655" s="2" t="s">
        <v>1566</v>
      </c>
    </row>
    <row r="21656" spans="1:8" ht="25.05" customHeight="1" x14ac:dyDescent="0.25">
      <c r="A21656" s="2" t="s">
        <v>8</v>
      </c>
      <c r="B21656" s="2" t="str">
        <f>HYPERLINK("http://ts.21cn.com/tousu/show/id/1353773","高利贷、恐吓威胁")</f>
        <v>高利贷、恐吓威胁</v>
      </c>
      <c r="C21656" s="2" t="s">
        <v>9</v>
      </c>
      <c r="D21656" s="2" t="s">
        <v>10</v>
      </c>
      <c r="E21656" s="2" t="str">
        <f>HYPERLINK("http://ts.21cn.com/tousu/show/id/1353773","http://ts.21cn.com/tousu/show/id/1353773")</f>
        <v>http://ts.21cn.com/tousu/show/id/1353773</v>
      </c>
      <c r="F21656" s="2" t="s">
        <v>11</v>
      </c>
      <c r="G21656" s="2" t="s">
        <v>1563</v>
      </c>
      <c r="H21656" s="2" t="s">
        <v>1564</v>
      </c>
    </row>
    <row r="21657" spans="1:8" ht="25.05" customHeight="1" x14ac:dyDescent="0.25">
      <c r="A21657" s="2" t="s">
        <v>8</v>
      </c>
      <c r="B21657" s="2" t="str">
        <f>HYPERLINK("http://ts.21cn.com/tousu/show/id/1353774","美利车金融车贷已经全部结清，一直不给寄出，我等着材料着急用")</f>
        <v>美利车金融车贷已经全部结清，一直不给寄出，我等着材料着急用</v>
      </c>
      <c r="C21657" s="2" t="s">
        <v>9</v>
      </c>
      <c r="D21657" s="2" t="s">
        <v>10</v>
      </c>
      <c r="E21657" s="2" t="str">
        <f>HYPERLINK("http://ts.21cn.com/tousu/show/id/1353774","http://ts.21cn.com/tousu/show/id/1353774")</f>
        <v>http://ts.21cn.com/tousu/show/id/1353774</v>
      </c>
      <c r="F21657" s="2" t="s">
        <v>11</v>
      </c>
      <c r="G21657" s="2" t="s">
        <v>1561</v>
      </c>
      <c r="H21657" s="2" t="s">
        <v>1562</v>
      </c>
    </row>
    <row r="21658" spans="1:8" ht="25.05" customHeight="1" x14ac:dyDescent="0.25">
      <c r="A21658" s="2" t="s">
        <v>8</v>
      </c>
      <c r="B21658" s="2" t="str">
        <f>HYPERLINK("http://ts.21cn.com/tousu/show/id/1353775","闪电借款延期还款")</f>
        <v>闪电借款延期还款</v>
      </c>
      <c r="C21658" s="2" t="s">
        <v>9</v>
      </c>
      <c r="D21658" s="2" t="s">
        <v>10</v>
      </c>
      <c r="E21658" s="2" t="str">
        <f>HYPERLINK("http://ts.21cn.com/tousu/show/id/1353775","http://ts.21cn.com/tousu/show/id/1353775")</f>
        <v>http://ts.21cn.com/tousu/show/id/1353775</v>
      </c>
      <c r="F21658" s="2" t="s">
        <v>11</v>
      </c>
      <c r="G21658" s="2" t="s">
        <v>1559</v>
      </c>
      <c r="H21658" s="2" t="s">
        <v>1560</v>
      </c>
    </row>
    <row r="21659" spans="1:8" ht="25.05" customHeight="1" x14ac:dyDescent="0.25">
      <c r="A21659" s="2" t="s">
        <v>8</v>
      </c>
      <c r="B21659" s="2" t="str">
        <f>HYPERLINK("http://ts.21cn.com/tousu/show/id/1353776","拼多多订单被私自退单")</f>
        <v>拼多多订单被私自退单</v>
      </c>
      <c r="C21659" s="2" t="s">
        <v>9</v>
      </c>
      <c r="D21659" s="2" t="s">
        <v>10</v>
      </c>
      <c r="E21659" s="2" t="str">
        <f>HYPERLINK("http://ts.21cn.com/tousu/show/id/1353776","http://ts.21cn.com/tousu/show/id/1353776")</f>
        <v>http://ts.21cn.com/tousu/show/id/1353776</v>
      </c>
      <c r="F21659" s="2" t="s">
        <v>11</v>
      </c>
      <c r="G21659" s="2" t="s">
        <v>1557</v>
      </c>
      <c r="H21659" s="2" t="s">
        <v>1558</v>
      </c>
    </row>
    <row r="21660" spans="1:8" ht="25.05" customHeight="1" x14ac:dyDescent="0.25">
      <c r="A21660" s="2" t="s">
        <v>8</v>
      </c>
      <c r="B21660" s="2" t="str">
        <f>HYPERLINK("http://ts.21cn.com/tousu/show/id/1353779","投诉网址赌博")</f>
        <v>投诉网址赌博</v>
      </c>
      <c r="C21660" s="2" t="s">
        <v>9</v>
      </c>
      <c r="D21660" s="2" t="s">
        <v>10</v>
      </c>
      <c r="E21660" s="2" t="str">
        <f>HYPERLINK("http://ts.21cn.com/tousu/show/id/1353779","http://ts.21cn.com/tousu/show/id/1353779")</f>
        <v>http://ts.21cn.com/tousu/show/id/1353779</v>
      </c>
      <c r="F21660" s="2" t="s">
        <v>11</v>
      </c>
      <c r="G21660" s="2" t="s">
        <v>1555</v>
      </c>
      <c r="H21660" s="2" t="s">
        <v>1556</v>
      </c>
    </row>
    <row r="21661" spans="1:8" ht="25.05" customHeight="1" x14ac:dyDescent="0.25">
      <c r="A21661" s="2" t="s">
        <v>8</v>
      </c>
      <c r="B21661" s="2" t="str">
        <f>HYPERLINK("http://ts.21cn.com/tousu/show/id/1353780","小额网贷")</f>
        <v>小额网贷</v>
      </c>
      <c r="C21661" s="2" t="s">
        <v>9</v>
      </c>
      <c r="D21661" s="2" t="s">
        <v>10</v>
      </c>
      <c r="E21661" s="2" t="str">
        <f>HYPERLINK("http://ts.21cn.com/tousu/show/id/1353780","http://ts.21cn.com/tousu/show/id/1353780")</f>
        <v>http://ts.21cn.com/tousu/show/id/1353780</v>
      </c>
      <c r="F21661" s="2" t="s">
        <v>11</v>
      </c>
      <c r="G21661" s="2" t="s">
        <v>1553</v>
      </c>
      <c r="H21661" s="2" t="s">
        <v>1554</v>
      </c>
    </row>
    <row r="21662" spans="1:8" ht="25.05" customHeight="1" x14ac:dyDescent="0.25">
      <c r="A21662" s="2" t="s">
        <v>8</v>
      </c>
      <c r="B21662" s="2" t="str">
        <f>HYPERLINK("http://ts.21cn.com/tousu/show/id/1353781","闪银白条问题")</f>
        <v>闪银白条问题</v>
      </c>
      <c r="C21662" s="2" t="s">
        <v>34</v>
      </c>
      <c r="D21662" s="2" t="s">
        <v>10</v>
      </c>
      <c r="E21662" s="2" t="str">
        <f>HYPERLINK("http://ts.21cn.com/tousu/show/id/1353781","http://ts.21cn.com/tousu/show/id/1353781")</f>
        <v>http://ts.21cn.com/tousu/show/id/1353781</v>
      </c>
      <c r="F21662" s="2" t="s">
        <v>11</v>
      </c>
      <c r="G21662" s="2" t="s">
        <v>1551</v>
      </c>
      <c r="H21662" s="2" t="s">
        <v>1552</v>
      </c>
    </row>
    <row r="21663" spans="1:8" ht="25.05" customHeight="1" x14ac:dyDescent="0.25">
      <c r="A21663" s="2" t="s">
        <v>8</v>
      </c>
      <c r="B21663" s="2" t="str">
        <f>HYPERLINK("http://ts.21cn.com/tousu/show/id/1353783","拍拍贷电话恐吓爆通讯电话")</f>
        <v>拍拍贷电话恐吓爆通讯电话</v>
      </c>
      <c r="C21663" s="2" t="s">
        <v>9</v>
      </c>
      <c r="D21663" s="2" t="s">
        <v>10</v>
      </c>
      <c r="E21663" s="2" t="str">
        <f>HYPERLINK("http://ts.21cn.com/tousu/show/id/1353783","http://ts.21cn.com/tousu/show/id/1353783")</f>
        <v>http://ts.21cn.com/tousu/show/id/1353783</v>
      </c>
      <c r="F21663" s="2" t="s">
        <v>11</v>
      </c>
      <c r="G21663" s="2" t="s">
        <v>1549</v>
      </c>
      <c r="H21663" s="2" t="s">
        <v>1550</v>
      </c>
    </row>
    <row r="21664" spans="1:8" ht="25.05" customHeight="1" x14ac:dyDescent="0.25">
      <c r="A21664" s="2" t="s">
        <v>8</v>
      </c>
      <c r="B21664" s="2" t="str">
        <f>HYPERLINK("http://ts.21cn.com/tousu/show/id/1353784","晚还几天就开始爆通讯录，而且不停打通讯录的联系人")</f>
        <v>晚还几天就开始爆通讯录，而且不停打通讯录的联系人</v>
      </c>
      <c r="C21664" s="2" t="s">
        <v>9</v>
      </c>
      <c r="D21664" s="2" t="s">
        <v>10</v>
      </c>
      <c r="E21664" s="2" t="str">
        <f>HYPERLINK("http://ts.21cn.com/tousu/show/id/1353784","http://ts.21cn.com/tousu/show/id/1353784")</f>
        <v>http://ts.21cn.com/tousu/show/id/1353784</v>
      </c>
      <c r="F21664" s="2" t="s">
        <v>11</v>
      </c>
      <c r="G21664" s="2" t="s">
        <v>1547</v>
      </c>
      <c r="H21664" s="2" t="s">
        <v>1548</v>
      </c>
    </row>
    <row r="21665" spans="1:8" ht="25.05" customHeight="1" x14ac:dyDescent="0.25">
      <c r="A21665" s="2" t="s">
        <v>8</v>
      </c>
      <c r="B21665" s="2" t="str">
        <f>HYPERLINK("http://ts.21cn.com/tousu/show/id/1353785","我来贷委外暴力催收")</f>
        <v>我来贷委外暴力催收</v>
      </c>
      <c r="C21665" s="2" t="s">
        <v>9</v>
      </c>
      <c r="D21665" s="2" t="s">
        <v>10</v>
      </c>
      <c r="E21665" s="2" t="str">
        <f>HYPERLINK("http://ts.21cn.com/tousu/show/id/1353785","http://ts.21cn.com/tousu/show/id/1353785")</f>
        <v>http://ts.21cn.com/tousu/show/id/1353785</v>
      </c>
      <c r="F21665" s="2" t="s">
        <v>11</v>
      </c>
      <c r="G21665" s="2" t="s">
        <v>1545</v>
      </c>
      <c r="H21665" s="2" t="s">
        <v>1546</v>
      </c>
    </row>
    <row r="21666" spans="1:8" ht="25.05" customHeight="1" x14ac:dyDescent="0.25">
      <c r="A21666" s="2" t="s">
        <v>8</v>
      </c>
      <c r="B21666" s="2" t="str">
        <f>HYPERLINK("http://ts.21cn.com/tousu/show/id/1353786","华夏银行为钱站提供高利贷存管服务")</f>
        <v>华夏银行为钱站提供高利贷存管服务</v>
      </c>
      <c r="C21666" s="2" t="s">
        <v>9</v>
      </c>
      <c r="D21666" s="2" t="s">
        <v>10</v>
      </c>
      <c r="E21666" s="2" t="str">
        <f>HYPERLINK("http://ts.21cn.com/tousu/show/id/1353786","http://ts.21cn.com/tousu/show/id/1353786")</f>
        <v>http://ts.21cn.com/tousu/show/id/1353786</v>
      </c>
      <c r="F21666" s="2" t="s">
        <v>11</v>
      </c>
      <c r="G21666" s="2" t="s">
        <v>1543</v>
      </c>
      <c r="H21666" s="2" t="s">
        <v>1544</v>
      </c>
    </row>
    <row r="21667" spans="1:8" ht="25.05" customHeight="1" x14ac:dyDescent="0.25">
      <c r="A21667" s="2" t="s">
        <v>8</v>
      </c>
      <c r="B21667" s="2" t="str">
        <f>HYPERLINK("http://ts.21cn.com/tousu/show/id/1353787","还款日电话打一天")</f>
        <v>还款日电话打一天</v>
      </c>
      <c r="C21667" s="2" t="s">
        <v>9</v>
      </c>
      <c r="D21667" s="2" t="s">
        <v>10</v>
      </c>
      <c r="E21667" s="2" t="str">
        <f>HYPERLINK("http://ts.21cn.com/tousu/show/id/1353787","http://ts.21cn.com/tousu/show/id/1353787")</f>
        <v>http://ts.21cn.com/tousu/show/id/1353787</v>
      </c>
      <c r="F21667" s="2" t="s">
        <v>11</v>
      </c>
      <c r="G21667" s="2" t="s">
        <v>1541</v>
      </c>
      <c r="H21667" s="2" t="s">
        <v>1542</v>
      </c>
    </row>
    <row r="21668" spans="1:8" ht="25.05" customHeight="1" x14ac:dyDescent="0.25">
      <c r="A21668" s="2" t="s">
        <v>8</v>
      </c>
      <c r="B21668" s="2" t="str">
        <f>HYPERLINK("http://ts.21cn.com/tousu/show/id/1353788","现金巴士发放高利贷违法暴力催收")</f>
        <v>现金巴士发放高利贷违法暴力催收</v>
      </c>
      <c r="C21668" s="2" t="s">
        <v>9</v>
      </c>
      <c r="D21668" s="2" t="s">
        <v>10</v>
      </c>
      <c r="E21668" s="2" t="str">
        <f>HYPERLINK("http://ts.21cn.com/tousu/show/id/1353788","http://ts.21cn.com/tousu/show/id/1353788")</f>
        <v>http://ts.21cn.com/tousu/show/id/1353788</v>
      </c>
      <c r="F21668" s="2" t="s">
        <v>11</v>
      </c>
      <c r="G21668" s="2" t="s">
        <v>1539</v>
      </c>
      <c r="H21668" s="2" t="s">
        <v>1540</v>
      </c>
    </row>
    <row r="21669" spans="1:8" ht="25.05" customHeight="1" x14ac:dyDescent="0.25">
      <c r="A21669" s="2" t="s">
        <v>8</v>
      </c>
      <c r="B21669" s="2" t="str">
        <f>HYPERLINK("http://ts.21cn.com/tousu/show/id/1353790","微贷网砍头息，高利贷，随意扣款不销账")</f>
        <v>微贷网砍头息，高利贷，随意扣款不销账</v>
      </c>
      <c r="C21669" s="2" t="s">
        <v>9</v>
      </c>
      <c r="D21669" s="2" t="s">
        <v>10</v>
      </c>
      <c r="E21669" s="2" t="str">
        <f>HYPERLINK("http://ts.21cn.com/tousu/show/id/1353790","http://ts.21cn.com/tousu/show/id/1353790")</f>
        <v>http://ts.21cn.com/tousu/show/id/1353790</v>
      </c>
      <c r="F21669" s="2" t="s">
        <v>11</v>
      </c>
      <c r="G21669" s="2" t="s">
        <v>1537</v>
      </c>
      <c r="H21669" s="2" t="s">
        <v>1538</v>
      </c>
    </row>
    <row r="21670" spans="1:8" ht="25.05" customHeight="1" x14ac:dyDescent="0.25">
      <c r="A21670" s="2" t="s">
        <v>8</v>
      </c>
      <c r="B21670" s="2" t="str">
        <f>HYPERLINK("http://ts.21cn.com/tousu/show/id/1353789","兴业银行信用卡催收骚扰")</f>
        <v>兴业银行信用卡催收骚扰</v>
      </c>
      <c r="C21670" s="2" t="s">
        <v>9</v>
      </c>
      <c r="D21670" s="2" t="s">
        <v>10</v>
      </c>
      <c r="E21670" s="2" t="str">
        <f>HYPERLINK("http://ts.21cn.com/tousu/show/id/1353789","http://ts.21cn.com/tousu/show/id/1353789")</f>
        <v>http://ts.21cn.com/tousu/show/id/1353789</v>
      </c>
      <c r="F21670" s="2" t="s">
        <v>11</v>
      </c>
      <c r="G21670" s="2" t="s">
        <v>1535</v>
      </c>
      <c r="H21670" s="2" t="s">
        <v>1536</v>
      </c>
    </row>
    <row r="21671" spans="1:8" ht="25.05" customHeight="1" x14ac:dyDescent="0.25">
      <c r="A21671" s="2" t="s">
        <v>8</v>
      </c>
      <c r="B21671" s="2" t="str">
        <f>HYPERLINK("http://ts.21cn.com/tousu/show/id/1353727","通注销账号问题")</f>
        <v>通注销账号问题</v>
      </c>
      <c r="C21671" s="2" t="s">
        <v>9</v>
      </c>
      <c r="D21671" s="2" t="s">
        <v>10</v>
      </c>
      <c r="E21671" s="2" t="str">
        <f>HYPERLINK("http://ts.21cn.com/tousu/show/id/1353727","http://ts.21cn.com/tousu/show/id/1353727")</f>
        <v>http://ts.21cn.com/tousu/show/id/1353727</v>
      </c>
      <c r="F21671" s="2" t="s">
        <v>11</v>
      </c>
      <c r="G21671" s="2" t="s">
        <v>1533</v>
      </c>
      <c r="H21671" s="2" t="s">
        <v>1534</v>
      </c>
    </row>
    <row r="21672" spans="1:8" ht="25.05" customHeight="1" x14ac:dyDescent="0.25">
      <c r="A21672" s="2" t="s">
        <v>8</v>
      </c>
      <c r="B21672" s="2" t="str">
        <f>HYPERLINK("http://ts.21cn.com/tousu/show/id/1353791","农行绿森商城下单购买IPHONE11一直不发货")</f>
        <v>农行绿森商城下单购买IPHONE11一直不发货</v>
      </c>
      <c r="C21672" s="2" t="s">
        <v>9</v>
      </c>
      <c r="D21672" s="2" t="s">
        <v>10</v>
      </c>
      <c r="E21672" s="2" t="str">
        <f>HYPERLINK("http://ts.21cn.com/tousu/show/id/1353791","http://ts.21cn.com/tousu/show/id/1353791")</f>
        <v>http://ts.21cn.com/tousu/show/id/1353791</v>
      </c>
      <c r="F21672" s="2" t="s">
        <v>11</v>
      </c>
      <c r="G21672" s="2" t="s">
        <v>1531</v>
      </c>
      <c r="H21672" s="2" t="s">
        <v>1532</v>
      </c>
    </row>
    <row r="21673" spans="1:8" ht="25.05" customHeight="1" x14ac:dyDescent="0.25">
      <c r="A21673" s="2" t="s">
        <v>8</v>
      </c>
      <c r="B21673" s="2" t="str">
        <f>HYPERLINK("http://ts.21cn.com/tousu/show/id/1353792","盛刷乱收费")</f>
        <v>盛刷乱收费</v>
      </c>
      <c r="C21673" s="2" t="s">
        <v>9</v>
      </c>
      <c r="D21673" s="2" t="s">
        <v>10</v>
      </c>
      <c r="E21673" s="2" t="str">
        <f>HYPERLINK("http://ts.21cn.com/tousu/show/id/1353792","http://ts.21cn.com/tousu/show/id/1353792")</f>
        <v>http://ts.21cn.com/tousu/show/id/1353792</v>
      </c>
      <c r="F21673" s="2" t="s">
        <v>11</v>
      </c>
      <c r="G21673" s="2" t="s">
        <v>1529</v>
      </c>
      <c r="H21673" s="2" t="s">
        <v>1530</v>
      </c>
    </row>
    <row r="21674" spans="1:8" ht="25.05" customHeight="1" x14ac:dyDescent="0.25">
      <c r="A21674" s="2" t="s">
        <v>8</v>
      </c>
      <c r="B21674" s="2" t="str">
        <f>HYPERLINK("http://ts.21cn.com/tousu/show/id/1353793","广州银行虚假活动")</f>
        <v>广州银行虚假活动</v>
      </c>
      <c r="C21674" s="2" t="s">
        <v>9</v>
      </c>
      <c r="D21674" s="2" t="s">
        <v>10</v>
      </c>
      <c r="E21674" s="2" t="str">
        <f>HYPERLINK("http://ts.21cn.com/tousu/show/id/1353793","http://ts.21cn.com/tousu/show/id/1353793")</f>
        <v>http://ts.21cn.com/tousu/show/id/1353793</v>
      </c>
      <c r="F21674" s="2" t="s">
        <v>11</v>
      </c>
      <c r="G21674" s="2" t="s">
        <v>1527</v>
      </c>
      <c r="H21674" s="2" t="s">
        <v>1528</v>
      </c>
    </row>
    <row r="21675" spans="1:8" ht="25.05" customHeight="1" x14ac:dyDescent="0.25">
      <c r="A21675" s="2" t="s">
        <v>8</v>
      </c>
      <c r="B21675" s="2" t="str">
        <f>HYPERLINK("http://ts.21cn.com/tousu/show/id/1353795","爱用商城砍头息")</f>
        <v>爱用商城砍头息</v>
      </c>
      <c r="C21675" s="2" t="s">
        <v>9</v>
      </c>
      <c r="D21675" s="2" t="s">
        <v>10</v>
      </c>
      <c r="E21675" s="2" t="str">
        <f>HYPERLINK("http://ts.21cn.com/tousu/show/id/1353795","http://ts.21cn.com/tousu/show/id/1353795")</f>
        <v>http://ts.21cn.com/tousu/show/id/1353795</v>
      </c>
      <c r="F21675" s="2" t="s">
        <v>11</v>
      </c>
      <c r="G21675" s="2" t="s">
        <v>1525</v>
      </c>
      <c r="H21675" s="2" t="s">
        <v>1526</v>
      </c>
    </row>
    <row r="21676" spans="1:8" ht="25.05" customHeight="1" x14ac:dyDescent="0.25">
      <c r="A21676" s="2" t="s">
        <v>8</v>
      </c>
      <c r="B21676" s="2" t="str">
        <f>HYPERLINK("http://ts.21cn.com/tousu/show/id/1353794","你我贷骚扰公司和家人朋友")</f>
        <v>你我贷骚扰公司和家人朋友</v>
      </c>
      <c r="C21676" s="2" t="s">
        <v>9</v>
      </c>
      <c r="D21676" s="2" t="s">
        <v>10</v>
      </c>
      <c r="E21676" s="2" t="str">
        <f>HYPERLINK("http://ts.21cn.com/tousu/show/id/1353794","http://ts.21cn.com/tousu/show/id/1353794")</f>
        <v>http://ts.21cn.com/tousu/show/id/1353794</v>
      </c>
      <c r="F21676" s="2" t="s">
        <v>11</v>
      </c>
      <c r="G21676" s="2" t="s">
        <v>1523</v>
      </c>
      <c r="H21676" s="2" t="s">
        <v>1524</v>
      </c>
    </row>
    <row r="21677" spans="1:8" ht="25.05" customHeight="1" x14ac:dyDescent="0.25">
      <c r="A21677" s="2" t="s">
        <v>8</v>
      </c>
      <c r="B21677" s="2" t="str">
        <f>HYPERLINK("http://ts.21cn.com/tousu/show/id/1353797","恒昌公司旗下恒易贷合同金额远高于实际借款金额")</f>
        <v>恒昌公司旗下恒易贷合同金额远高于实际借款金额</v>
      </c>
      <c r="C21677" s="2" t="s">
        <v>9</v>
      </c>
      <c r="D21677" s="2" t="s">
        <v>10</v>
      </c>
      <c r="E21677" s="2" t="str">
        <f>HYPERLINK("http://ts.21cn.com/tousu/show/id/1353797","http://ts.21cn.com/tousu/show/id/1353797")</f>
        <v>http://ts.21cn.com/tousu/show/id/1353797</v>
      </c>
      <c r="F21677" s="2" t="s">
        <v>11</v>
      </c>
      <c r="G21677" s="2" t="s">
        <v>1521</v>
      </c>
      <c r="H21677" s="2" t="s">
        <v>1522</v>
      </c>
    </row>
    <row r="21678" spans="1:8" ht="25.05" customHeight="1" x14ac:dyDescent="0.25">
      <c r="A21678" s="2" t="s">
        <v>8</v>
      </c>
      <c r="B21678" s="2" t="str">
        <f>HYPERLINK("http://ts.21cn.com/tousu/show/id/1353796","平安普惠剥夺借款人知情权")</f>
        <v>平安普惠剥夺借款人知情权</v>
      </c>
      <c r="C21678" s="2" t="s">
        <v>9</v>
      </c>
      <c r="D21678" s="2" t="s">
        <v>10</v>
      </c>
      <c r="E21678" s="2" t="str">
        <f>HYPERLINK("http://ts.21cn.com/tousu/show/id/1353796","http://ts.21cn.com/tousu/show/id/1353796")</f>
        <v>http://ts.21cn.com/tousu/show/id/1353796</v>
      </c>
      <c r="F21678" s="2" t="s">
        <v>11</v>
      </c>
      <c r="G21678" s="2" t="s">
        <v>1519</v>
      </c>
      <c r="H21678" s="2" t="s">
        <v>1520</v>
      </c>
    </row>
    <row r="21679" spans="1:8" ht="25.05" customHeight="1" x14ac:dyDescent="0.25">
      <c r="A21679" s="2" t="s">
        <v>8</v>
      </c>
      <c r="B21679" s="2" t="str">
        <f>HYPERLINK("http://ts.21cn.com/tousu/show/id/1353798","圆通客服欺瞒客户")</f>
        <v>圆通客服欺瞒客户</v>
      </c>
      <c r="C21679" s="2" t="s">
        <v>9</v>
      </c>
      <c r="D21679" s="2" t="s">
        <v>10</v>
      </c>
      <c r="E21679" s="2" t="str">
        <f>HYPERLINK("http://ts.21cn.com/tousu/show/id/1353798","http://ts.21cn.com/tousu/show/id/1353798")</f>
        <v>http://ts.21cn.com/tousu/show/id/1353798</v>
      </c>
      <c r="F21679" s="2" t="s">
        <v>11</v>
      </c>
      <c r="G21679" s="2" t="s">
        <v>1517</v>
      </c>
      <c r="H21679" s="2" t="s">
        <v>1518</v>
      </c>
    </row>
    <row r="21680" spans="1:8" ht="25.05" customHeight="1" x14ac:dyDescent="0.25">
      <c r="A21680" s="2" t="s">
        <v>8</v>
      </c>
      <c r="B21680" s="2" t="str">
        <f>HYPERLINK("http://ts.21cn.com/tousu/show/id/1353799","拒绝升级，多次打电话升级")</f>
        <v>拒绝升级，多次打电话升级</v>
      </c>
      <c r="C21680" s="2" t="s">
        <v>9</v>
      </c>
      <c r="D21680" s="2" t="s">
        <v>10</v>
      </c>
      <c r="E21680" s="2" t="str">
        <f>HYPERLINK("http://ts.21cn.com/tousu/show/id/1353799","http://ts.21cn.com/tousu/show/id/1353799")</f>
        <v>http://ts.21cn.com/tousu/show/id/1353799</v>
      </c>
      <c r="F21680" s="2" t="s">
        <v>11</v>
      </c>
      <c r="G21680" s="2" t="s">
        <v>1515</v>
      </c>
      <c r="H21680" s="2" t="s">
        <v>1516</v>
      </c>
    </row>
    <row r="21681" spans="1:8" ht="25.05" customHeight="1" x14ac:dyDescent="0.25">
      <c r="A21681" s="2" t="s">
        <v>8</v>
      </c>
      <c r="B21681" s="2" t="str">
        <f>HYPERLINK("http://ts.21cn.com/tousu/show/id/1353800","钱站高利贷阴阳合同")</f>
        <v>钱站高利贷阴阳合同</v>
      </c>
      <c r="C21681" s="2" t="s">
        <v>9</v>
      </c>
      <c r="D21681" s="2" t="s">
        <v>10</v>
      </c>
      <c r="E21681" s="2" t="str">
        <f>HYPERLINK("http://ts.21cn.com/tousu/show/id/1353800","http://ts.21cn.com/tousu/show/id/1353800")</f>
        <v>http://ts.21cn.com/tousu/show/id/1353800</v>
      </c>
      <c r="F21681" s="2" t="s">
        <v>11</v>
      </c>
      <c r="G21681" s="2" t="s">
        <v>1513</v>
      </c>
      <c r="H21681" s="2" t="s">
        <v>1514</v>
      </c>
    </row>
    <row r="21682" spans="1:8" ht="25.05" customHeight="1" x14ac:dyDescent="0.25">
      <c r="A21682" s="2" t="s">
        <v>8</v>
      </c>
      <c r="B21682" s="2" t="str">
        <f>HYPERLINK("http://ts.21cn.com/tousu/show/id/1353801","广发银行暴力催收")</f>
        <v>广发银行暴力催收</v>
      </c>
      <c r="C21682" s="2" t="s">
        <v>9</v>
      </c>
      <c r="D21682" s="2" t="s">
        <v>10</v>
      </c>
      <c r="E21682" s="2" t="str">
        <f>HYPERLINK("http://ts.21cn.com/tousu/show/id/1353801","http://ts.21cn.com/tousu/show/id/1353801")</f>
        <v>http://ts.21cn.com/tousu/show/id/1353801</v>
      </c>
      <c r="F21682" s="2" t="s">
        <v>11</v>
      </c>
      <c r="G21682" s="2" t="s">
        <v>1511</v>
      </c>
      <c r="H21682" s="2" t="s">
        <v>1512</v>
      </c>
    </row>
    <row r="21683" spans="1:8" ht="25.05" customHeight="1" x14ac:dyDescent="0.25">
      <c r="A21683" s="2" t="s">
        <v>8</v>
      </c>
      <c r="B21683" s="2" t="str">
        <f>HYPERLINK("http://ts.21cn.com/tousu/show/id/1353748","误操作点击申请借款，无法取消申请，且无法提前还款，高额利息服务费，要求本金结清本次借款申请")</f>
        <v>误操作点击申请借款，无法取消申请，且无法提前还款，高额利息服务费，要求本金结清本次借款申请</v>
      </c>
      <c r="C21683" s="2" t="s">
        <v>9</v>
      </c>
      <c r="D21683" s="2" t="s">
        <v>10</v>
      </c>
      <c r="E21683" s="2" t="str">
        <f>HYPERLINK("http://ts.21cn.com/tousu/show/id/1353748","http://ts.21cn.com/tousu/show/id/1353748")</f>
        <v>http://ts.21cn.com/tousu/show/id/1353748</v>
      </c>
      <c r="F21683" s="2" t="s">
        <v>11</v>
      </c>
      <c r="G21683" s="2" t="s">
        <v>1509</v>
      </c>
      <c r="H21683" s="2" t="s">
        <v>1510</v>
      </c>
    </row>
    <row r="21684" spans="1:8" ht="25.05" customHeight="1" x14ac:dyDescent="0.25">
      <c r="A21684" s="2" t="s">
        <v>8</v>
      </c>
      <c r="B21684" s="2" t="str">
        <f>HYPERLINK("http://ts.21cn.com/tousu/show/id/1353802","恶意催收，骚扰家人")</f>
        <v>恶意催收，骚扰家人</v>
      </c>
      <c r="C21684" s="2" t="s">
        <v>9</v>
      </c>
      <c r="D21684" s="2" t="s">
        <v>10</v>
      </c>
      <c r="E21684" s="2" t="str">
        <f>HYPERLINK("http://ts.21cn.com/tousu/show/id/1353802","http://ts.21cn.com/tousu/show/id/1353802")</f>
        <v>http://ts.21cn.com/tousu/show/id/1353802</v>
      </c>
      <c r="F21684" s="2" t="s">
        <v>11</v>
      </c>
      <c r="G21684" s="2" t="s">
        <v>1507</v>
      </c>
      <c r="H21684" s="2" t="s">
        <v>1508</v>
      </c>
    </row>
    <row r="21685" spans="1:8" ht="25.05" customHeight="1" x14ac:dyDescent="0.25">
      <c r="A21685" s="2" t="s">
        <v>8</v>
      </c>
      <c r="B21685" s="2" t="str">
        <f>HYPERLINK("http://ts.21cn.com/tousu/show/id/1353803","维信卡卡贷涉嫌高利贷及砍头息")</f>
        <v>维信卡卡贷涉嫌高利贷及砍头息</v>
      </c>
      <c r="C21685" s="2" t="s">
        <v>9</v>
      </c>
      <c r="D21685" s="2" t="s">
        <v>10</v>
      </c>
      <c r="E21685" s="2" t="str">
        <f>HYPERLINK("http://ts.21cn.com/tousu/show/id/1353803","http://ts.21cn.com/tousu/show/id/1353803")</f>
        <v>http://ts.21cn.com/tousu/show/id/1353803</v>
      </c>
      <c r="F21685" s="2" t="s">
        <v>11</v>
      </c>
      <c r="G21685" s="2" t="s">
        <v>1505</v>
      </c>
      <c r="H21685" s="2" t="s">
        <v>1506</v>
      </c>
    </row>
    <row r="21686" spans="1:8" ht="25.05" customHeight="1" x14ac:dyDescent="0.25">
      <c r="A21686" s="2" t="s">
        <v>8</v>
      </c>
      <c r="B21686" s="2" t="str">
        <f>HYPERLINK("http://ts.21cn.com/tousu/show/id/1353804","美团封禁账号")</f>
        <v>美团封禁账号</v>
      </c>
      <c r="C21686" s="2" t="s">
        <v>9</v>
      </c>
      <c r="D21686" s="2" t="s">
        <v>10</v>
      </c>
      <c r="E21686" s="2" t="str">
        <f>HYPERLINK("http://ts.21cn.com/tousu/show/id/1353804","http://ts.21cn.com/tousu/show/id/1353804")</f>
        <v>http://ts.21cn.com/tousu/show/id/1353804</v>
      </c>
      <c r="F21686" s="2" t="s">
        <v>11</v>
      </c>
      <c r="G21686" s="2" t="s">
        <v>1503</v>
      </c>
      <c r="H21686" s="2" t="s">
        <v>1504</v>
      </c>
    </row>
    <row r="21687" spans="1:8" ht="25.05" customHeight="1" x14ac:dyDescent="0.25">
      <c r="A21687" s="2" t="s">
        <v>8</v>
      </c>
      <c r="B21687" s="2" t="str">
        <f>HYPERLINK("http://ts.21cn.com/tousu/show/id/1353807","银盛通私自冻结代理商后台")</f>
        <v>银盛通私自冻结代理商后台</v>
      </c>
      <c r="C21687" s="2" t="s">
        <v>9</v>
      </c>
      <c r="D21687" s="2" t="s">
        <v>10</v>
      </c>
      <c r="E21687" s="2" t="str">
        <f>HYPERLINK("http://ts.21cn.com/tousu/show/id/1353807","http://ts.21cn.com/tousu/show/id/1353807")</f>
        <v>http://ts.21cn.com/tousu/show/id/1353807</v>
      </c>
      <c r="F21687" s="2" t="s">
        <v>11</v>
      </c>
      <c r="G21687" s="2" t="s">
        <v>1501</v>
      </c>
      <c r="H21687" s="2" t="s">
        <v>1502</v>
      </c>
    </row>
    <row r="21688" spans="1:8" ht="25.05" customHeight="1" x14ac:dyDescent="0.25">
      <c r="A21688" s="2" t="s">
        <v>8</v>
      </c>
      <c r="B21688" s="2" t="str">
        <f>HYPERLINK("http://ts.21cn.com/tousu/show/id/1353806","物品被买家掉包")</f>
        <v>物品被买家掉包</v>
      </c>
      <c r="C21688" s="2" t="s">
        <v>34</v>
      </c>
      <c r="D21688" s="2" t="s">
        <v>10</v>
      </c>
      <c r="E21688" s="2" t="str">
        <f>HYPERLINK("http://ts.21cn.com/tousu/show/id/1353806","http://ts.21cn.com/tousu/show/id/1353806")</f>
        <v>http://ts.21cn.com/tousu/show/id/1353806</v>
      </c>
      <c r="F21688" s="2" t="s">
        <v>11</v>
      </c>
      <c r="G21688" s="2" t="s">
        <v>1499</v>
      </c>
      <c r="H21688" s="2" t="s">
        <v>1500</v>
      </c>
    </row>
    <row r="21689" spans="1:8" ht="25.05" customHeight="1" x14ac:dyDescent="0.25">
      <c r="A21689" s="2" t="s">
        <v>8</v>
      </c>
      <c r="B21689" s="2" t="str">
        <f>HYPERLINK("http://ts.21cn.com/tousu/show/id/1353808","短信轰炸亲朋好友")</f>
        <v>短信轰炸亲朋好友</v>
      </c>
      <c r="C21689" s="2" t="s">
        <v>9</v>
      </c>
      <c r="D21689" s="2" t="s">
        <v>10</v>
      </c>
      <c r="E21689" s="2" t="str">
        <f>HYPERLINK("http://ts.21cn.com/tousu/show/id/1353808","http://ts.21cn.com/tousu/show/id/1353808")</f>
        <v>http://ts.21cn.com/tousu/show/id/1353808</v>
      </c>
      <c r="F21689" s="2" t="s">
        <v>11</v>
      </c>
      <c r="G21689" s="2" t="s">
        <v>1497</v>
      </c>
      <c r="H21689" s="2" t="s">
        <v>1498</v>
      </c>
    </row>
    <row r="21690" spans="1:8" ht="25.05" customHeight="1" x14ac:dyDescent="0.25">
      <c r="A21690" s="2" t="s">
        <v>8</v>
      </c>
      <c r="B21690" s="2" t="str">
        <f>HYPERLINK("http://ts.21cn.com/tousu/show/id/1353809","冒充律师暴力催款")</f>
        <v>冒充律师暴力催款</v>
      </c>
      <c r="C21690" s="2" t="s">
        <v>9</v>
      </c>
      <c r="D21690" s="2" t="s">
        <v>10</v>
      </c>
      <c r="E21690" s="2" t="str">
        <f>HYPERLINK("http://ts.21cn.com/tousu/show/id/1353809","http://ts.21cn.com/tousu/show/id/1353809")</f>
        <v>http://ts.21cn.com/tousu/show/id/1353809</v>
      </c>
      <c r="F21690" s="2" t="s">
        <v>11</v>
      </c>
      <c r="G21690" s="2" t="s">
        <v>1495</v>
      </c>
      <c r="H21690" s="2" t="s">
        <v>1496</v>
      </c>
    </row>
    <row r="21691" spans="1:8" ht="25.05" customHeight="1" x14ac:dyDescent="0.25">
      <c r="A21691" s="2" t="s">
        <v>8</v>
      </c>
      <c r="B21691" s="2" t="str">
        <f>HYPERLINK("http://ts.21cn.com/tousu/show/id/1353812","中信暴力催收")</f>
        <v>中信暴力催收</v>
      </c>
      <c r="C21691" s="2" t="s">
        <v>9</v>
      </c>
      <c r="D21691" s="2" t="s">
        <v>10</v>
      </c>
      <c r="E21691" s="2" t="str">
        <f>HYPERLINK("http://ts.21cn.com/tousu/show/id/1353812","http://ts.21cn.com/tousu/show/id/1353812")</f>
        <v>http://ts.21cn.com/tousu/show/id/1353812</v>
      </c>
      <c r="F21691" s="2" t="s">
        <v>11</v>
      </c>
      <c r="G21691" s="2" t="s">
        <v>1493</v>
      </c>
      <c r="H21691" s="2" t="s">
        <v>1494</v>
      </c>
    </row>
    <row r="21692" spans="1:8" ht="25.05" customHeight="1" x14ac:dyDescent="0.25">
      <c r="A21692" s="2" t="s">
        <v>8</v>
      </c>
      <c r="B21692" s="2" t="str">
        <f>HYPERLINK("http://ts.21cn.com/tousu/show/id/1353815","钱站催收人员恶意骚扰辱骂")</f>
        <v>钱站催收人员恶意骚扰辱骂</v>
      </c>
      <c r="C21692" s="2" t="s">
        <v>9</v>
      </c>
      <c r="D21692" s="2" t="s">
        <v>10</v>
      </c>
      <c r="E21692" s="2" t="str">
        <f>HYPERLINK("http://ts.21cn.com/tousu/show/id/1353815","http://ts.21cn.com/tousu/show/id/1353815")</f>
        <v>http://ts.21cn.com/tousu/show/id/1353815</v>
      </c>
      <c r="F21692" s="2" t="s">
        <v>11</v>
      </c>
      <c r="G21692" s="2" t="s">
        <v>1491</v>
      </c>
      <c r="H21692" s="2" t="s">
        <v>1492</v>
      </c>
    </row>
    <row r="21693" spans="1:8" ht="25.05" customHeight="1" x14ac:dyDescent="0.25">
      <c r="A21693" s="2" t="s">
        <v>8</v>
      </c>
      <c r="B21693" s="2" t="str">
        <f>HYPERLINK("http://ts.21cn.com/tousu/show/id/1353816","翼钱包")</f>
        <v>翼钱包</v>
      </c>
      <c r="C21693" s="2" t="s">
        <v>9</v>
      </c>
      <c r="D21693" s="2" t="s">
        <v>10</v>
      </c>
      <c r="E21693" s="2" t="str">
        <f>HYPERLINK("http://ts.21cn.com/tousu/show/id/1353816","http://ts.21cn.com/tousu/show/id/1353816")</f>
        <v>http://ts.21cn.com/tousu/show/id/1353816</v>
      </c>
      <c r="F21693" s="2" t="s">
        <v>11</v>
      </c>
      <c r="G21693" s="2" t="s">
        <v>1489</v>
      </c>
      <c r="H21693" s="2" t="s">
        <v>1490</v>
      </c>
    </row>
    <row r="21694" spans="1:8" ht="25.05" customHeight="1" x14ac:dyDescent="0.25">
      <c r="A21694" s="2" t="s">
        <v>8</v>
      </c>
      <c r="B21694" s="2" t="str">
        <f>HYPERLINK("http://ts.21cn.com/tousu/show/id/1353778","中国电信随便标记我的手机号")</f>
        <v>中国电信随便标记我的手机号</v>
      </c>
      <c r="C21694" s="2" t="s">
        <v>9</v>
      </c>
      <c r="D21694" s="2" t="s">
        <v>10</v>
      </c>
      <c r="E21694" s="2" t="str">
        <f>HYPERLINK("http://ts.21cn.com/tousu/show/id/1353778","http://ts.21cn.com/tousu/show/id/1353778")</f>
        <v>http://ts.21cn.com/tousu/show/id/1353778</v>
      </c>
      <c r="F21694" s="2" t="s">
        <v>11</v>
      </c>
      <c r="G21694" s="2" t="s">
        <v>1487</v>
      </c>
      <c r="H21694" s="2" t="s">
        <v>1488</v>
      </c>
    </row>
    <row r="21695" spans="1:8" ht="25.05" customHeight="1" x14ac:dyDescent="0.25">
      <c r="A21695" s="2" t="s">
        <v>8</v>
      </c>
      <c r="B21695" s="2" t="str">
        <f>HYPERLINK("http://ts.21cn.com/tousu/show/id/1353818","钱站高利贷阴阳合同")</f>
        <v>钱站高利贷阴阳合同</v>
      </c>
      <c r="C21695" s="2" t="s">
        <v>9</v>
      </c>
      <c r="D21695" s="2" t="s">
        <v>10</v>
      </c>
      <c r="E21695" s="2" t="str">
        <f>HYPERLINK("http://ts.21cn.com/tousu/show/id/1353818","http://ts.21cn.com/tousu/show/id/1353818")</f>
        <v>http://ts.21cn.com/tousu/show/id/1353818</v>
      </c>
      <c r="F21695" s="2" t="s">
        <v>11</v>
      </c>
      <c r="G21695" s="2" t="s">
        <v>1485</v>
      </c>
      <c r="H21695" s="2" t="s">
        <v>1486</v>
      </c>
    </row>
    <row r="21696" spans="1:8" ht="25.05" customHeight="1" x14ac:dyDescent="0.25">
      <c r="A21696" s="2" t="s">
        <v>8</v>
      </c>
      <c r="B21696" s="2" t="str">
        <f>HYPERLINK("http://ts.21cn.com/tousu/show/id/1353819","闪银至尊借款电话骚扰家人")</f>
        <v>闪银至尊借款电话骚扰家人</v>
      </c>
      <c r="C21696" s="2" t="s">
        <v>9</v>
      </c>
      <c r="D21696" s="2" t="s">
        <v>10</v>
      </c>
      <c r="E21696" s="2" t="str">
        <f>HYPERLINK("http://ts.21cn.com/tousu/show/id/1353819","http://ts.21cn.com/tousu/show/id/1353819")</f>
        <v>http://ts.21cn.com/tousu/show/id/1353819</v>
      </c>
      <c r="F21696" s="2" t="s">
        <v>11</v>
      </c>
      <c r="G21696" s="2" t="s">
        <v>1483</v>
      </c>
      <c r="H21696" s="2" t="s">
        <v>1484</v>
      </c>
    </row>
    <row r="21697" spans="1:8" ht="25.05" customHeight="1" x14ac:dyDescent="0.25">
      <c r="A21697" s="2" t="s">
        <v>8</v>
      </c>
      <c r="B21697" s="2" t="str">
        <f>HYPERLINK("http://ts.21cn.com/tousu/show/id/1353820","专本连读首付，不肯退学费")</f>
        <v>专本连读首付，不肯退学费</v>
      </c>
      <c r="C21697" s="2" t="s">
        <v>9</v>
      </c>
      <c r="D21697" s="2" t="s">
        <v>10</v>
      </c>
      <c r="E21697" s="2" t="str">
        <f>HYPERLINK("http://ts.21cn.com/tousu/show/id/1353820","http://ts.21cn.com/tousu/show/id/1353820")</f>
        <v>http://ts.21cn.com/tousu/show/id/1353820</v>
      </c>
      <c r="F21697" s="2" t="s">
        <v>11</v>
      </c>
      <c r="G21697" s="2" t="s">
        <v>1481</v>
      </c>
      <c r="H21697" s="2" t="s">
        <v>1482</v>
      </c>
    </row>
    <row r="21698" spans="1:8" ht="25.05" customHeight="1" x14ac:dyDescent="0.25">
      <c r="A21698" s="2" t="s">
        <v>8</v>
      </c>
      <c r="B21698" s="2" t="str">
        <f>HYPERLINK("http://ts.21cn.com/tousu/show/id/1353822","信而富欺瞒消费者买东西根本未收到")</f>
        <v>信而富欺瞒消费者买东西根本未收到</v>
      </c>
      <c r="C21698" s="2" t="s">
        <v>9</v>
      </c>
      <c r="D21698" s="2" t="s">
        <v>10</v>
      </c>
      <c r="E21698" s="2" t="str">
        <f>HYPERLINK("http://ts.21cn.com/tousu/show/id/1353822","http://ts.21cn.com/tousu/show/id/1353822")</f>
        <v>http://ts.21cn.com/tousu/show/id/1353822</v>
      </c>
      <c r="F21698" s="2" t="s">
        <v>11</v>
      </c>
      <c r="G21698" s="2" t="s">
        <v>1479</v>
      </c>
      <c r="H21698" s="2" t="s">
        <v>1480</v>
      </c>
    </row>
    <row r="21699" spans="1:8" ht="25.05" customHeight="1" x14ac:dyDescent="0.25">
      <c r="A21699" s="2" t="s">
        <v>8</v>
      </c>
      <c r="B21699" s="2" t="str">
        <f>HYPERLINK("http://ts.21cn.com/tousu/show/id/1353825","钱站高利贷阴阳合同")</f>
        <v>钱站高利贷阴阳合同</v>
      </c>
      <c r="C21699" s="2" t="s">
        <v>9</v>
      </c>
      <c r="D21699" s="2" t="s">
        <v>10</v>
      </c>
      <c r="E21699" s="2" t="str">
        <f>HYPERLINK("http://ts.21cn.com/tousu/show/id/1353825","http://ts.21cn.com/tousu/show/id/1353825")</f>
        <v>http://ts.21cn.com/tousu/show/id/1353825</v>
      </c>
      <c r="F21699" s="2" t="s">
        <v>11</v>
      </c>
      <c r="G21699" s="2" t="s">
        <v>1477</v>
      </c>
      <c r="H21699" s="2" t="s">
        <v>1478</v>
      </c>
    </row>
    <row r="21700" spans="1:8" ht="25.05" customHeight="1" x14ac:dyDescent="0.25">
      <c r="A21700" s="2" t="s">
        <v>8</v>
      </c>
      <c r="B21700" s="2" t="str">
        <f>HYPERLINK("http://ts.21cn.com/tousu/show/id/1353823","寺库奢侈品出售劣质商品不处理")</f>
        <v>寺库奢侈品出售劣质商品不处理</v>
      </c>
      <c r="C21700" s="2" t="s">
        <v>9</v>
      </c>
      <c r="D21700" s="2" t="s">
        <v>10</v>
      </c>
      <c r="E21700" s="2" t="str">
        <f>HYPERLINK("http://ts.21cn.com/tousu/show/id/1353823","http://ts.21cn.com/tousu/show/id/1353823")</f>
        <v>http://ts.21cn.com/tousu/show/id/1353823</v>
      </c>
      <c r="F21700" s="2" t="s">
        <v>11</v>
      </c>
      <c r="G21700" s="2" t="s">
        <v>1475</v>
      </c>
      <c r="H21700" s="2" t="s">
        <v>1476</v>
      </c>
    </row>
    <row r="21701" spans="1:8" ht="25.05" customHeight="1" x14ac:dyDescent="0.25">
      <c r="A21701" s="2" t="s">
        <v>8</v>
      </c>
      <c r="B21701" s="2" t="str">
        <f>HYPERLINK("http://ts.21cn.com/tousu/show/id/1353817","侬要贷私自扣款398")</f>
        <v>侬要贷私自扣款398</v>
      </c>
      <c r="C21701" s="2" t="s">
        <v>9</v>
      </c>
      <c r="D21701" s="2" t="s">
        <v>10</v>
      </c>
      <c r="E21701" s="2" t="str">
        <f>HYPERLINK("http://ts.21cn.com/tousu/show/id/1353817","http://ts.21cn.com/tousu/show/id/1353817")</f>
        <v>http://ts.21cn.com/tousu/show/id/1353817</v>
      </c>
      <c r="F21701" s="2" t="s">
        <v>11</v>
      </c>
      <c r="G21701" s="2" t="s">
        <v>1473</v>
      </c>
      <c r="H21701" s="2" t="s">
        <v>1474</v>
      </c>
    </row>
    <row r="21702" spans="1:8" ht="25.05" customHeight="1" x14ac:dyDescent="0.25">
      <c r="A21702" s="2" t="s">
        <v>8</v>
      </c>
      <c r="B21702" s="2" t="str">
        <f>HYPERLINK("http://ts.21cn.com/tousu/show/id/1353827","百度有钱花爆通讯录")</f>
        <v>百度有钱花爆通讯录</v>
      </c>
      <c r="C21702" s="2" t="s">
        <v>9</v>
      </c>
      <c r="D21702" s="2" t="s">
        <v>10</v>
      </c>
      <c r="E21702" s="2" t="str">
        <f>HYPERLINK("http://ts.21cn.com/tousu/show/id/1353827","http://ts.21cn.com/tousu/show/id/1353827")</f>
        <v>http://ts.21cn.com/tousu/show/id/1353827</v>
      </c>
      <c r="F21702" s="2" t="s">
        <v>11</v>
      </c>
      <c r="G21702" s="2" t="s">
        <v>1470</v>
      </c>
      <c r="H21702" s="2" t="s">
        <v>1471</v>
      </c>
    </row>
    <row r="21703" spans="1:8" ht="25.05" customHeight="1" x14ac:dyDescent="0.25">
      <c r="A21703" s="2" t="s">
        <v>8</v>
      </c>
      <c r="B21703" s="2" t="str">
        <f>HYPERLINK("http://ts.21cn.com/tousu/show/id/1353826","小赢轰炸式骚扰通讯录亲戚朋友")</f>
        <v>小赢轰炸式骚扰通讯录亲戚朋友</v>
      </c>
      <c r="C21703" s="2" t="s">
        <v>9</v>
      </c>
      <c r="D21703" s="2" t="s">
        <v>10</v>
      </c>
      <c r="E21703" s="2" t="str">
        <f>HYPERLINK("http://ts.21cn.com/tousu/show/id/1353826","http://ts.21cn.com/tousu/show/id/1353826")</f>
        <v>http://ts.21cn.com/tousu/show/id/1353826</v>
      </c>
      <c r="F21703" s="2" t="s">
        <v>11</v>
      </c>
      <c r="G21703" s="2" t="s">
        <v>1470</v>
      </c>
      <c r="H21703" s="2" t="s">
        <v>1472</v>
      </c>
    </row>
    <row r="21704" spans="1:8" ht="25.05" customHeight="1" x14ac:dyDescent="0.25">
      <c r="A21704" s="2" t="s">
        <v>8</v>
      </c>
      <c r="B21704" s="2" t="str">
        <f>HYPERLINK("http://ts.21cn.com/tousu/show/id/1353829","不合理催收")</f>
        <v>不合理催收</v>
      </c>
      <c r="C21704" s="2" t="s">
        <v>9</v>
      </c>
      <c r="D21704" s="2" t="s">
        <v>10</v>
      </c>
      <c r="E21704" s="2" t="str">
        <f>HYPERLINK("http://ts.21cn.com/tousu/show/id/1353829","http://ts.21cn.com/tousu/show/id/1353829")</f>
        <v>http://ts.21cn.com/tousu/show/id/1353829</v>
      </c>
      <c r="F21704" s="2" t="s">
        <v>11</v>
      </c>
      <c r="G21704" s="2" t="s">
        <v>1468</v>
      </c>
      <c r="H21704" s="2" t="s">
        <v>1469</v>
      </c>
    </row>
    <row r="21705" spans="1:8" ht="25.05" customHeight="1" x14ac:dyDescent="0.25">
      <c r="A21705" s="2" t="s">
        <v>8</v>
      </c>
      <c r="B21705" s="2" t="str">
        <f>HYPERLINK("http://ts.21cn.com/tousu/show/id/1353830","砍头息、高利贷、套路贷、电话和短信骚扰恐吓本人和亲戚朋友")</f>
        <v>砍头息、高利贷、套路贷、电话和短信骚扰恐吓本人和亲戚朋友</v>
      </c>
      <c r="C21705" s="2" t="s">
        <v>9</v>
      </c>
      <c r="D21705" s="2" t="s">
        <v>10</v>
      </c>
      <c r="E21705" s="2" t="str">
        <f>HYPERLINK("http://ts.21cn.com/tousu/show/id/1353830","http://ts.21cn.com/tousu/show/id/1353830")</f>
        <v>http://ts.21cn.com/tousu/show/id/1353830</v>
      </c>
      <c r="F21705" s="2" t="s">
        <v>11</v>
      </c>
      <c r="G21705" s="2" t="s">
        <v>1466</v>
      </c>
      <c r="H21705" s="2" t="s">
        <v>1467</v>
      </c>
    </row>
    <row r="21706" spans="1:8" ht="25.05" customHeight="1" x14ac:dyDescent="0.25">
      <c r="A21706" s="2" t="s">
        <v>8</v>
      </c>
      <c r="B21706" s="2" t="str">
        <f>HYPERLINK("http://ts.21cn.com/tousu/show/id/1353831","租了一个价值1000的二手手机，现在不租需要交违约金，买断需要租期满在缴纳物品的价值金额，1000元的东西让我花3000，前期不说")</f>
        <v>租了一个价值1000的二手手机，现在不租需要交违约金，买断需要租期满在缴纳物品的价值金额，1000元的东西让我花3000，前期不说</v>
      </c>
      <c r="C21706" s="2" t="s">
        <v>9</v>
      </c>
      <c r="D21706" s="2" t="s">
        <v>10</v>
      </c>
      <c r="E21706" s="2" t="str">
        <f>HYPERLINK("http://ts.21cn.com/tousu/show/id/1353831","http://ts.21cn.com/tousu/show/id/1353831")</f>
        <v>http://ts.21cn.com/tousu/show/id/1353831</v>
      </c>
      <c r="F21706" s="2" t="s">
        <v>11</v>
      </c>
      <c r="G21706" s="2" t="s">
        <v>1464</v>
      </c>
      <c r="H21706" s="2" t="s">
        <v>1465</v>
      </c>
    </row>
    <row r="21707" spans="1:8" ht="25.05" customHeight="1" x14ac:dyDescent="0.25">
      <c r="A21707" s="2" t="s">
        <v>8</v>
      </c>
      <c r="B21707" s="2" t="str">
        <f>HYPERLINK("http://ts.21cn.com/tousu/show/id/1353814","短期高利贷")</f>
        <v>短期高利贷</v>
      </c>
      <c r="C21707" s="2" t="s">
        <v>9</v>
      </c>
      <c r="D21707" s="2" t="s">
        <v>10</v>
      </c>
      <c r="E21707" s="2" t="str">
        <f>HYPERLINK("http://ts.21cn.com/tousu/show/id/1353814","http://ts.21cn.com/tousu/show/id/1353814")</f>
        <v>http://ts.21cn.com/tousu/show/id/1353814</v>
      </c>
      <c r="F21707" s="2" t="s">
        <v>11</v>
      </c>
      <c r="G21707" s="2" t="s">
        <v>1462</v>
      </c>
      <c r="H21707" s="2" t="s">
        <v>1463</v>
      </c>
    </row>
    <row r="21708" spans="1:8" ht="25.05" customHeight="1" x14ac:dyDescent="0.25">
      <c r="A21708" s="2" t="s">
        <v>8</v>
      </c>
      <c r="B21708" s="2" t="str">
        <f>HYPERLINK("http://ts.21cn.com/tousu/show/id/1353833","投诉中金支付无故扣款4861.35元")</f>
        <v>投诉中金支付无故扣款4861.35元</v>
      </c>
      <c r="C21708" s="2" t="s">
        <v>34</v>
      </c>
      <c r="D21708" s="2" t="s">
        <v>10</v>
      </c>
      <c r="E21708" s="2" t="str">
        <f>HYPERLINK("http://ts.21cn.com/tousu/show/id/1353833","http://ts.21cn.com/tousu/show/id/1353833")</f>
        <v>http://ts.21cn.com/tousu/show/id/1353833</v>
      </c>
      <c r="F21708" s="2" t="s">
        <v>11</v>
      </c>
      <c r="G21708" s="2" t="s">
        <v>1460</v>
      </c>
      <c r="H21708" s="2" t="s">
        <v>1461</v>
      </c>
    </row>
    <row r="21709" spans="1:8" ht="25.05" customHeight="1" x14ac:dyDescent="0.25">
      <c r="A21709" s="2" t="s">
        <v>8</v>
      </c>
      <c r="B21709" s="2" t="str">
        <f>HYPERLINK("http://ts.21cn.com/tousu/show/id/1353834","乱打通讯录电话")</f>
        <v>乱打通讯录电话</v>
      </c>
      <c r="C21709" s="2" t="s">
        <v>34</v>
      </c>
      <c r="D21709" s="2" t="s">
        <v>10</v>
      </c>
      <c r="E21709" s="2" t="str">
        <f>HYPERLINK("http://ts.21cn.com/tousu/show/id/1353834","http://ts.21cn.com/tousu/show/id/1353834")</f>
        <v>http://ts.21cn.com/tousu/show/id/1353834</v>
      </c>
      <c r="F21709" s="2" t="s">
        <v>11</v>
      </c>
      <c r="G21709" s="2" t="s">
        <v>1458</v>
      </c>
      <c r="H21709" s="2" t="s">
        <v>1459</v>
      </c>
    </row>
    <row r="21710" spans="1:8" ht="25.05" customHeight="1" x14ac:dyDescent="0.25">
      <c r="A21710" s="2" t="s">
        <v>8</v>
      </c>
      <c r="B21710" s="2" t="str">
        <f>HYPERLINK("http://ts.21cn.com/tousu/show/id/1353835","闪银哼哼以高价购买商品的方式变相收取砍头息")</f>
        <v>闪银哼哼以高价购买商品的方式变相收取砍头息</v>
      </c>
      <c r="C21710" s="2" t="s">
        <v>9</v>
      </c>
      <c r="D21710" s="2" t="s">
        <v>10</v>
      </c>
      <c r="E21710" s="2" t="str">
        <f>HYPERLINK("http://ts.21cn.com/tousu/show/id/1353835","http://ts.21cn.com/tousu/show/id/1353835")</f>
        <v>http://ts.21cn.com/tousu/show/id/1353835</v>
      </c>
      <c r="F21710" s="2" t="s">
        <v>11</v>
      </c>
      <c r="G21710" s="2" t="s">
        <v>1456</v>
      </c>
      <c r="H21710" s="2" t="s">
        <v>1457</v>
      </c>
    </row>
    <row r="21711" spans="1:8" ht="25.05" customHeight="1" x14ac:dyDescent="0.25">
      <c r="A21711" s="2" t="s">
        <v>8</v>
      </c>
      <c r="B21711" s="2" t="str">
        <f>HYPERLINK("http://ts.21cn.com/tousu/show/id/1353837","暴力催收，爆通讯录，骚扰他人")</f>
        <v>暴力催收，爆通讯录，骚扰他人</v>
      </c>
      <c r="C21711" s="2" t="s">
        <v>9</v>
      </c>
      <c r="D21711" s="2" t="s">
        <v>10</v>
      </c>
      <c r="E21711" s="2" t="str">
        <f>HYPERLINK("http://ts.21cn.com/tousu/show/id/1353837","http://ts.21cn.com/tousu/show/id/1353837")</f>
        <v>http://ts.21cn.com/tousu/show/id/1353837</v>
      </c>
      <c r="F21711" s="2" t="s">
        <v>11</v>
      </c>
      <c r="G21711" s="2" t="s">
        <v>1454</v>
      </c>
      <c r="H21711" s="2" t="s">
        <v>1455</v>
      </c>
    </row>
    <row r="21712" spans="1:8" ht="25.05" customHeight="1" x14ac:dyDescent="0.25">
      <c r="A21712" s="2" t="s">
        <v>8</v>
      </c>
      <c r="B21712" s="2" t="str">
        <f>HYPERLINK("http://ts.21cn.com/tousu/show/id/1353805","蓝莓金服高利贷")</f>
        <v>蓝莓金服高利贷</v>
      </c>
      <c r="C21712" s="2" t="s">
        <v>9</v>
      </c>
      <c r="D21712" s="2" t="s">
        <v>10</v>
      </c>
      <c r="E21712" s="2" t="str">
        <f>HYPERLINK("http://ts.21cn.com/tousu/show/id/1353805","http://ts.21cn.com/tousu/show/id/1353805")</f>
        <v>http://ts.21cn.com/tousu/show/id/1353805</v>
      </c>
      <c r="F21712" s="2" t="s">
        <v>11</v>
      </c>
      <c r="G21712" s="2" t="s">
        <v>1452</v>
      </c>
      <c r="H21712" s="2" t="s">
        <v>1453</v>
      </c>
    </row>
    <row r="21713" spans="1:8" ht="25.05" customHeight="1" x14ac:dyDescent="0.25">
      <c r="A21713" s="2" t="s">
        <v>8</v>
      </c>
      <c r="B21713" s="2" t="str">
        <f>HYPERLINK("http://ts.21cn.com/tousu/show/id/1353838","高利息")</f>
        <v>高利息</v>
      </c>
      <c r="C21713" s="2" t="s">
        <v>9</v>
      </c>
      <c r="D21713" s="2" t="s">
        <v>10</v>
      </c>
      <c r="E21713" s="2" t="str">
        <f>HYPERLINK("http://ts.21cn.com/tousu/show/id/1353838","http://ts.21cn.com/tousu/show/id/1353838")</f>
        <v>http://ts.21cn.com/tousu/show/id/1353838</v>
      </c>
      <c r="F21713" s="2" t="s">
        <v>11</v>
      </c>
      <c r="G21713" s="2" t="s">
        <v>1450</v>
      </c>
      <c r="H21713" s="2" t="s">
        <v>1451</v>
      </c>
    </row>
    <row r="21714" spans="1:8" ht="25.05" customHeight="1" x14ac:dyDescent="0.25">
      <c r="A21714" s="2" t="s">
        <v>8</v>
      </c>
      <c r="B21714" s="2" t="str">
        <f>HYPERLINK("http://ts.21cn.com/tousu/show/id/1353840","学历提升前后不一")</f>
        <v>学历提升前后不一</v>
      </c>
      <c r="C21714" s="2" t="s">
        <v>9</v>
      </c>
      <c r="D21714" s="2" t="s">
        <v>10</v>
      </c>
      <c r="E21714" s="2" t="str">
        <f>HYPERLINK("http://ts.21cn.com/tousu/show/id/1353840","http://ts.21cn.com/tousu/show/id/1353840")</f>
        <v>http://ts.21cn.com/tousu/show/id/1353840</v>
      </c>
      <c r="F21714" s="2" t="s">
        <v>11</v>
      </c>
      <c r="G21714" s="2" t="s">
        <v>1448</v>
      </c>
      <c r="H21714" s="2" t="s">
        <v>1449</v>
      </c>
    </row>
    <row r="21715" spans="1:8" ht="25.05" customHeight="1" x14ac:dyDescent="0.25">
      <c r="A21715" s="2" t="s">
        <v>8</v>
      </c>
      <c r="B21715" s="2" t="str">
        <f>HYPERLINK("http://ts.21cn.com/tousu/show/id/1353841","微粒贷私自打听我公司及电话进行骚扰")</f>
        <v>微粒贷私自打听我公司及电话进行骚扰</v>
      </c>
      <c r="C21715" s="2" t="s">
        <v>9</v>
      </c>
      <c r="D21715" s="2" t="s">
        <v>10</v>
      </c>
      <c r="E21715" s="2" t="str">
        <f>HYPERLINK("http://ts.21cn.com/tousu/show/id/1353841","http://ts.21cn.com/tousu/show/id/1353841")</f>
        <v>http://ts.21cn.com/tousu/show/id/1353841</v>
      </c>
      <c r="F21715" s="2" t="s">
        <v>11</v>
      </c>
      <c r="G21715" s="2" t="s">
        <v>1446</v>
      </c>
      <c r="H21715" s="2" t="s">
        <v>1447</v>
      </c>
    </row>
    <row r="21716" spans="1:8" ht="25.05" customHeight="1" x14ac:dyDescent="0.25">
      <c r="A21716" s="2" t="s">
        <v>8</v>
      </c>
      <c r="B21716" s="2" t="str">
        <f>HYPERLINK("http://ts.21cn.com/tousu/show/id/1353842","银联转账（银闪付）违规给博彩平台提供支付通道")</f>
        <v>银联转账（银闪付）违规给博彩平台提供支付通道</v>
      </c>
      <c r="C21716" s="2" t="s">
        <v>9</v>
      </c>
      <c r="D21716" s="2" t="s">
        <v>10</v>
      </c>
      <c r="E21716" s="2" t="str">
        <f>HYPERLINK("http://ts.21cn.com/tousu/show/id/1353842","http://ts.21cn.com/tousu/show/id/1353842")</f>
        <v>http://ts.21cn.com/tousu/show/id/1353842</v>
      </c>
      <c r="F21716" s="2" t="s">
        <v>11</v>
      </c>
      <c r="G21716" s="2" t="s">
        <v>1444</v>
      </c>
      <c r="H21716" s="2" t="s">
        <v>1445</v>
      </c>
    </row>
    <row r="21717" spans="1:8" ht="25.05" customHeight="1" x14ac:dyDescent="0.25">
      <c r="A21717" s="2" t="s">
        <v>8</v>
      </c>
      <c r="B21717" s="2" t="str">
        <f>HYPERLINK("http://ts.21cn.com/tousu/show/id/1353843","无故扣款")</f>
        <v>无故扣款</v>
      </c>
      <c r="C21717" s="2" t="s">
        <v>34</v>
      </c>
      <c r="D21717" s="2" t="s">
        <v>10</v>
      </c>
      <c r="E21717" s="2" t="str">
        <f>HYPERLINK("http://ts.21cn.com/tousu/show/id/1353843","http://ts.21cn.com/tousu/show/id/1353843")</f>
        <v>http://ts.21cn.com/tousu/show/id/1353843</v>
      </c>
      <c r="F21717" s="2" t="s">
        <v>11</v>
      </c>
      <c r="G21717" s="2" t="s">
        <v>1442</v>
      </c>
      <c r="H21717" s="2" t="s">
        <v>1443</v>
      </c>
    </row>
    <row r="21718" spans="1:8" ht="25.05" customHeight="1" x14ac:dyDescent="0.25">
      <c r="A21718" s="2" t="s">
        <v>8</v>
      </c>
      <c r="B21718" s="2" t="str">
        <f>HYPERLINK("http://ts.21cn.com/tousu/show/id/1353845","借马上金融然后手头周转不过来，打电话骚扰，辱骂导致我工作也没有了，好不容易找到个工作又打电话来骚扰单位")</f>
        <v>借马上金融然后手头周转不过来，打电话骚扰，辱骂导致我工作也没有了，好不容易找到个工作又打电话来骚扰单位</v>
      </c>
      <c r="C21718" s="2" t="s">
        <v>9</v>
      </c>
      <c r="D21718" s="2" t="s">
        <v>10</v>
      </c>
      <c r="E21718" s="2" t="str">
        <f>HYPERLINK("http://ts.21cn.com/tousu/show/id/1353845","http://ts.21cn.com/tousu/show/id/1353845")</f>
        <v>http://ts.21cn.com/tousu/show/id/1353845</v>
      </c>
      <c r="F21718" s="2" t="s">
        <v>11</v>
      </c>
      <c r="G21718" s="2" t="s">
        <v>1440</v>
      </c>
      <c r="H21718" s="2" t="s">
        <v>1441</v>
      </c>
    </row>
    <row r="21719" spans="1:8" ht="25.05" customHeight="1" x14ac:dyDescent="0.25">
      <c r="A21719" s="2" t="s">
        <v>8</v>
      </c>
      <c r="B21719" s="2" t="str">
        <f>HYPERLINK("http://ts.21cn.com/tousu/show/id/1353846","海南移动霸王条款乱收费")</f>
        <v>海南移动霸王条款乱收费</v>
      </c>
      <c r="C21719" s="2" t="s">
        <v>9</v>
      </c>
      <c r="D21719" s="2" t="s">
        <v>10</v>
      </c>
      <c r="E21719" s="2" t="str">
        <f>HYPERLINK("http://ts.21cn.com/tousu/show/id/1353846","http://ts.21cn.com/tousu/show/id/1353846")</f>
        <v>http://ts.21cn.com/tousu/show/id/1353846</v>
      </c>
      <c r="F21719" s="2" t="s">
        <v>11</v>
      </c>
      <c r="G21719" s="2" t="s">
        <v>1438</v>
      </c>
      <c r="H21719" s="2" t="s">
        <v>1439</v>
      </c>
    </row>
    <row r="21720" spans="1:8" ht="25.05" customHeight="1" x14ac:dyDescent="0.25">
      <c r="A21720" s="2" t="s">
        <v>8</v>
      </c>
      <c r="B21720" s="2" t="str">
        <f>HYPERLINK("http://ts.21cn.com/tousu/show/id/1353847","白条分期莫名其妙扣我248块钱，说什么会员费")</f>
        <v>白条分期莫名其妙扣我248块钱，说什么会员费</v>
      </c>
      <c r="C21720" s="2" t="s">
        <v>9</v>
      </c>
      <c r="D21720" s="2" t="s">
        <v>10</v>
      </c>
      <c r="E21720" s="2" t="str">
        <f>HYPERLINK("http://ts.21cn.com/tousu/show/id/1353847","http://ts.21cn.com/tousu/show/id/1353847")</f>
        <v>http://ts.21cn.com/tousu/show/id/1353847</v>
      </c>
      <c r="F21720" s="2" t="s">
        <v>11</v>
      </c>
      <c r="G21720" s="2" t="s">
        <v>1436</v>
      </c>
      <c r="H21720" s="2" t="s">
        <v>1437</v>
      </c>
    </row>
    <row r="21721" spans="1:8" ht="25.05" customHeight="1" x14ac:dyDescent="0.25">
      <c r="A21721" s="2" t="s">
        <v>8</v>
      </c>
      <c r="B21721" s="2" t="str">
        <f>HYPERLINK("http://ts.21cn.com/tousu/show/id/1353848","海纳百川暴力催收侮辱本人")</f>
        <v>海纳百川暴力催收侮辱本人</v>
      </c>
      <c r="C21721" s="2" t="s">
        <v>9</v>
      </c>
      <c r="D21721" s="2" t="s">
        <v>10</v>
      </c>
      <c r="E21721" s="2" t="str">
        <f>HYPERLINK("http://ts.21cn.com/tousu/show/id/1353848","http://ts.21cn.com/tousu/show/id/1353848")</f>
        <v>http://ts.21cn.com/tousu/show/id/1353848</v>
      </c>
      <c r="F21721" s="2" t="s">
        <v>11</v>
      </c>
      <c r="G21721" s="2" t="s">
        <v>1434</v>
      </c>
      <c r="H21721" s="2" t="s">
        <v>1435</v>
      </c>
    </row>
    <row r="21722" spans="1:8" ht="25.05" customHeight="1" x14ac:dyDescent="0.25">
      <c r="A21722" s="2" t="s">
        <v>8</v>
      </c>
      <c r="B21722" s="2" t="str">
        <f>HYPERLINK("http://ts.21cn.com/tousu/show/id/1353844","手机借钱多宝分期找不到app")</f>
        <v>手机借钱多宝分期找不到app</v>
      </c>
      <c r="C21722" s="2" t="s">
        <v>34</v>
      </c>
      <c r="D21722" s="2" t="s">
        <v>10</v>
      </c>
      <c r="E21722" s="2" t="str">
        <f>HYPERLINK("http://ts.21cn.com/tousu/show/id/1353844","http://ts.21cn.com/tousu/show/id/1353844")</f>
        <v>http://ts.21cn.com/tousu/show/id/1353844</v>
      </c>
      <c r="F21722" s="2" t="s">
        <v>11</v>
      </c>
      <c r="G21722" s="2" t="s">
        <v>1432</v>
      </c>
      <c r="H21722" s="2" t="s">
        <v>1433</v>
      </c>
    </row>
    <row r="21723" spans="1:8" ht="25.05" customHeight="1" x14ac:dyDescent="0.25">
      <c r="A21723" s="2" t="s">
        <v>8</v>
      </c>
      <c r="B21723" s="2" t="str">
        <f>HYPERLINK("http://ts.21cn.com/tousu/show/id/1353850","甜甜圈app高利贷暴力催收")</f>
        <v>甜甜圈app高利贷暴力催收</v>
      </c>
      <c r="C21723" s="2" t="s">
        <v>9</v>
      </c>
      <c r="D21723" s="2" t="s">
        <v>10</v>
      </c>
      <c r="E21723" s="2" t="str">
        <f>HYPERLINK("http://ts.21cn.com/tousu/show/id/1353850","http://ts.21cn.com/tousu/show/id/1353850")</f>
        <v>http://ts.21cn.com/tousu/show/id/1353850</v>
      </c>
      <c r="F21723" s="2" t="s">
        <v>11</v>
      </c>
      <c r="G21723" s="2" t="s">
        <v>1430</v>
      </c>
      <c r="H21723" s="2" t="s">
        <v>1431</v>
      </c>
    </row>
    <row r="21724" spans="1:8" ht="25.05" customHeight="1" x14ac:dyDescent="0.25">
      <c r="A21724" s="2" t="s">
        <v>8</v>
      </c>
      <c r="B21724" s="2" t="str">
        <f>HYPERLINK("http://ts.21cn.com/tousu/show/id/1353851","凡普信目无法纪，无法无天！")</f>
        <v>凡普信目无法纪，无法无天！</v>
      </c>
      <c r="C21724" s="2" t="s">
        <v>9</v>
      </c>
      <c r="D21724" s="2" t="s">
        <v>10</v>
      </c>
      <c r="E21724" s="2" t="str">
        <f>HYPERLINK("http://ts.21cn.com/tousu/show/id/1353851","http://ts.21cn.com/tousu/show/id/1353851")</f>
        <v>http://ts.21cn.com/tousu/show/id/1353851</v>
      </c>
      <c r="F21724" s="2" t="s">
        <v>11</v>
      </c>
      <c r="G21724" s="2" t="s">
        <v>1428</v>
      </c>
      <c r="H21724" s="2" t="s">
        <v>1429</v>
      </c>
    </row>
    <row r="21725" spans="1:8" ht="25.05" customHeight="1" x14ac:dyDescent="0.25">
      <c r="A21725" s="2" t="s">
        <v>8</v>
      </c>
      <c r="B21725" s="2" t="str">
        <f>HYPERLINK("http://ts.21cn.com/tousu/show/id/1353849","银行信用卡催收骚扰")</f>
        <v>银行信用卡催收骚扰</v>
      </c>
      <c r="C21725" s="2" t="s">
        <v>9</v>
      </c>
      <c r="D21725" s="2" t="s">
        <v>10</v>
      </c>
      <c r="E21725" s="2" t="str">
        <f>HYPERLINK("http://ts.21cn.com/tousu/show/id/1353849","http://ts.21cn.com/tousu/show/id/1353849")</f>
        <v>http://ts.21cn.com/tousu/show/id/1353849</v>
      </c>
      <c r="F21725" s="2" t="s">
        <v>11</v>
      </c>
      <c r="G21725" s="2" t="s">
        <v>1426</v>
      </c>
      <c r="H21725" s="2" t="s">
        <v>1427</v>
      </c>
    </row>
    <row r="21726" spans="1:8" ht="25.05" customHeight="1" x14ac:dyDescent="0.25">
      <c r="A21726" s="2" t="s">
        <v>8</v>
      </c>
      <c r="B21726" s="2" t="str">
        <f>HYPERLINK("http://ts.21cn.com/tousu/show/id/1353852","钱橙无忧随意扣费")</f>
        <v>钱橙无忧随意扣费</v>
      </c>
      <c r="C21726" s="2" t="s">
        <v>9</v>
      </c>
      <c r="D21726" s="2" t="s">
        <v>10</v>
      </c>
      <c r="E21726" s="2" t="str">
        <f>HYPERLINK("http://ts.21cn.com/tousu/show/id/1353852","http://ts.21cn.com/tousu/show/id/1353852")</f>
        <v>http://ts.21cn.com/tousu/show/id/1353852</v>
      </c>
      <c r="F21726" s="2" t="s">
        <v>11</v>
      </c>
      <c r="G21726" s="2" t="s">
        <v>1424</v>
      </c>
      <c r="H21726" s="2" t="s">
        <v>1425</v>
      </c>
    </row>
    <row r="21727" spans="1:8" ht="25.05" customHeight="1" x14ac:dyDescent="0.25">
      <c r="A21727" s="2" t="s">
        <v>8</v>
      </c>
      <c r="B21727" s="2" t="str">
        <f>HYPERLINK("http://ts.21cn.com/tousu/show/id/1353853","捷信高利贷")</f>
        <v>捷信高利贷</v>
      </c>
      <c r="C21727" s="2" t="s">
        <v>9</v>
      </c>
      <c r="D21727" s="2" t="s">
        <v>10</v>
      </c>
      <c r="E21727" s="2" t="str">
        <f>HYPERLINK("http://ts.21cn.com/tousu/show/id/1353853","http://ts.21cn.com/tousu/show/id/1353853")</f>
        <v>http://ts.21cn.com/tousu/show/id/1353853</v>
      </c>
      <c r="F21727" s="2" t="s">
        <v>11</v>
      </c>
      <c r="G21727" s="2" t="s">
        <v>1422</v>
      </c>
      <c r="H21727" s="2" t="s">
        <v>1423</v>
      </c>
    </row>
    <row r="21728" spans="1:8" ht="25.05" customHeight="1" x14ac:dyDescent="0.25">
      <c r="A21728" s="2" t="s">
        <v>8</v>
      </c>
      <c r="B21728" s="2" t="str">
        <f>HYPERLINK("http://ts.21cn.com/tousu/show/id/1353828","青客公寓三天内无理由退款说是已经给退了，可是我在app上看不到任何进度，不知道这个公司要审核到什么时候？")</f>
        <v>青客公寓三天内无理由退款说是已经给退了，可是我在app上看不到任何进度，不知道这个公司要审核到什么时候？</v>
      </c>
      <c r="C21728" s="2" t="s">
        <v>9</v>
      </c>
      <c r="D21728" s="2" t="s">
        <v>10</v>
      </c>
      <c r="E21728" s="2" t="str">
        <f>HYPERLINK("http://ts.21cn.com/tousu/show/id/1353828","http://ts.21cn.com/tousu/show/id/1353828")</f>
        <v>http://ts.21cn.com/tousu/show/id/1353828</v>
      </c>
      <c r="F21728" s="2" t="s">
        <v>11</v>
      </c>
      <c r="G21728" s="2" t="s">
        <v>1420</v>
      </c>
      <c r="H21728" s="2" t="s">
        <v>1421</v>
      </c>
    </row>
    <row r="21729" spans="1:8" ht="25.05" customHeight="1" x14ac:dyDescent="0.25">
      <c r="A21729" s="2" t="s">
        <v>8</v>
      </c>
      <c r="B21729" s="2" t="str">
        <f>HYPERLINK("http://ts.21cn.com/tousu/show/id/1353854","转转验机人员不专业导致我损失")</f>
        <v>转转验机人员不专业导致我损失</v>
      </c>
      <c r="C21729" s="2" t="s">
        <v>9</v>
      </c>
      <c r="D21729" s="2" t="s">
        <v>10</v>
      </c>
      <c r="E21729" s="2" t="str">
        <f>HYPERLINK("http://ts.21cn.com/tousu/show/id/1353854","http://ts.21cn.com/tousu/show/id/1353854")</f>
        <v>http://ts.21cn.com/tousu/show/id/1353854</v>
      </c>
      <c r="F21729" s="2" t="s">
        <v>11</v>
      </c>
      <c r="G21729" s="2" t="s">
        <v>1418</v>
      </c>
      <c r="H21729" s="2" t="s">
        <v>1419</v>
      </c>
    </row>
    <row r="21730" spans="1:8" ht="25.05" customHeight="1" x14ac:dyDescent="0.25">
      <c r="A21730" s="2" t="s">
        <v>8</v>
      </c>
      <c r="B21730" s="2" t="str">
        <f>HYPERLINK("http://ts.21cn.com/tousu/show/id/1353856","微信号被无缘无故打标狐狸")</f>
        <v>微信号被无缘无故打标狐狸</v>
      </c>
      <c r="C21730" s="2" t="s">
        <v>9</v>
      </c>
      <c r="D21730" s="2" t="s">
        <v>10</v>
      </c>
      <c r="E21730" s="2" t="str">
        <f>HYPERLINK("http://ts.21cn.com/tousu/show/id/1353856","http://ts.21cn.com/tousu/show/id/1353856")</f>
        <v>http://ts.21cn.com/tousu/show/id/1353856</v>
      </c>
      <c r="F21730" s="2" t="s">
        <v>11</v>
      </c>
      <c r="G21730" s="2" t="s">
        <v>1416</v>
      </c>
      <c r="H21730" s="2" t="s">
        <v>1417</v>
      </c>
    </row>
    <row r="21731" spans="1:8" ht="25.05" customHeight="1" x14ac:dyDescent="0.25">
      <c r="A21731" s="2" t="s">
        <v>8</v>
      </c>
      <c r="B21731" s="2" t="str">
        <f>HYPERLINK("http://ts.21cn.com/tousu/show/id/1353857","我来数科（原名我来贷）提前还款，仍要支付全部利息")</f>
        <v>我来数科（原名我来贷）提前还款，仍要支付全部利息</v>
      </c>
      <c r="C21731" s="2" t="s">
        <v>34</v>
      </c>
      <c r="D21731" s="2" t="s">
        <v>10</v>
      </c>
      <c r="E21731" s="2" t="str">
        <f>HYPERLINK("http://ts.21cn.com/tousu/show/id/1353857","http://ts.21cn.com/tousu/show/id/1353857")</f>
        <v>http://ts.21cn.com/tousu/show/id/1353857</v>
      </c>
      <c r="F21731" s="2" t="s">
        <v>11</v>
      </c>
      <c r="G21731" s="2" t="s">
        <v>1414</v>
      </c>
      <c r="H21731" s="2" t="s">
        <v>1415</v>
      </c>
    </row>
    <row r="21732" spans="1:8" ht="25.05" customHeight="1" x14ac:dyDescent="0.25">
      <c r="A21732" s="2" t="s">
        <v>8</v>
      </c>
      <c r="B21732" s="2" t="str">
        <f>HYPERLINK("http://ts.21cn.com/tousu/show/id/1353855","暴力催收")</f>
        <v>暴力催收</v>
      </c>
      <c r="C21732" s="2" t="s">
        <v>9</v>
      </c>
      <c r="D21732" s="2" t="s">
        <v>10</v>
      </c>
      <c r="E21732" s="2" t="str">
        <f>HYPERLINK("http://ts.21cn.com/tousu/show/id/1353855","http://ts.21cn.com/tousu/show/id/1353855")</f>
        <v>http://ts.21cn.com/tousu/show/id/1353855</v>
      </c>
      <c r="F21732" s="2" t="s">
        <v>11</v>
      </c>
      <c r="G21732" s="2" t="s">
        <v>1412</v>
      </c>
      <c r="H21732" s="2" t="s">
        <v>1413</v>
      </c>
    </row>
    <row r="21733" spans="1:8" ht="25.05" customHeight="1" x14ac:dyDescent="0.25">
      <c r="A21733" s="2" t="s">
        <v>8</v>
      </c>
      <c r="B21733" s="2" t="str">
        <f>HYPERLINK("http://ts.21cn.com/tousu/show/id/1353859","有银票实还款困难已经借了第三次了也想上岸")</f>
        <v>有银票实还款困难已经借了第三次了也想上岸</v>
      </c>
      <c r="C21733" s="2" t="s">
        <v>9</v>
      </c>
      <c r="D21733" s="2" t="s">
        <v>10</v>
      </c>
      <c r="E21733" s="2" t="str">
        <f>HYPERLINK("http://ts.21cn.com/tousu/show/id/1353859","http://ts.21cn.com/tousu/show/id/1353859")</f>
        <v>http://ts.21cn.com/tousu/show/id/1353859</v>
      </c>
      <c r="F21733" s="2" t="s">
        <v>11</v>
      </c>
      <c r="G21733" s="2" t="s">
        <v>1410</v>
      </c>
      <c r="H21733" s="2" t="s">
        <v>1411</v>
      </c>
    </row>
    <row r="21734" spans="1:8" ht="25.05" customHeight="1" x14ac:dyDescent="0.25">
      <c r="A21734" s="2" t="s">
        <v>8</v>
      </c>
      <c r="B21734" s="2" t="str">
        <f>HYPERLINK("http://ts.21cn.com/tousu/show/id/1353858","上海东方尚学培训中心拖欠工资")</f>
        <v>上海东方尚学培训中心拖欠工资</v>
      </c>
      <c r="C21734" s="2" t="s">
        <v>9</v>
      </c>
      <c r="D21734" s="2" t="s">
        <v>10</v>
      </c>
      <c r="E21734" s="2" t="str">
        <f>HYPERLINK("http://ts.21cn.com/tousu/show/id/1353858","http://ts.21cn.com/tousu/show/id/1353858")</f>
        <v>http://ts.21cn.com/tousu/show/id/1353858</v>
      </c>
      <c r="F21734" s="2" t="s">
        <v>11</v>
      </c>
      <c r="G21734" s="2" t="s">
        <v>1408</v>
      </c>
      <c r="H21734" s="2" t="s">
        <v>1409</v>
      </c>
    </row>
    <row r="21735" spans="1:8" ht="25.05" customHeight="1" x14ac:dyDescent="0.25">
      <c r="A21735" s="2" t="s">
        <v>8</v>
      </c>
      <c r="B21735" s="2" t="str">
        <f>HYPERLINK("http://ts.21cn.com/tousu/show/id/1353860","银联扫码转账违规给博彩平台提供支付通道")</f>
        <v>银联扫码转账违规给博彩平台提供支付通道</v>
      </c>
      <c r="C21735" s="2" t="s">
        <v>9</v>
      </c>
      <c r="D21735" s="2" t="s">
        <v>10</v>
      </c>
      <c r="E21735" s="2" t="str">
        <f>HYPERLINK("http://ts.21cn.com/tousu/show/id/1353860","http://ts.21cn.com/tousu/show/id/1353860")</f>
        <v>http://ts.21cn.com/tousu/show/id/1353860</v>
      </c>
      <c r="F21735" s="2" t="s">
        <v>11</v>
      </c>
      <c r="G21735" s="2" t="s">
        <v>1406</v>
      </c>
      <c r="H21735" s="2" t="s">
        <v>1407</v>
      </c>
    </row>
    <row r="21736" spans="1:8" ht="25.05" customHeight="1" x14ac:dyDescent="0.25">
      <c r="A21736" s="2" t="s">
        <v>8</v>
      </c>
      <c r="B21736" s="2" t="str">
        <f>HYPERLINK("http://ts.21cn.com/tousu/show/id/1353861","蟹老弟到期无法还款")</f>
        <v>蟹老弟到期无法还款</v>
      </c>
      <c r="C21736" s="2" t="s">
        <v>9</v>
      </c>
      <c r="D21736" s="2" t="s">
        <v>10</v>
      </c>
      <c r="E21736" s="2" t="str">
        <f>HYPERLINK("http://ts.21cn.com/tousu/show/id/1353861","http://ts.21cn.com/tousu/show/id/1353861")</f>
        <v>http://ts.21cn.com/tousu/show/id/1353861</v>
      </c>
      <c r="F21736" s="2" t="s">
        <v>11</v>
      </c>
      <c r="G21736" s="2" t="s">
        <v>1404</v>
      </c>
      <c r="H21736" s="2" t="s">
        <v>1405</v>
      </c>
    </row>
    <row r="21737" spans="1:8" ht="25.05" customHeight="1" x14ac:dyDescent="0.25">
      <c r="A21737" s="2" t="s">
        <v>8</v>
      </c>
      <c r="B21737" s="2" t="str">
        <f>HYPERLINK("http://ts.21cn.com/tousu/show/id/1353862","以办理高额信用卡为借口收取2994元费用，办理不了未退钱")</f>
        <v>以办理高额信用卡为借口收取2994元费用，办理不了未退钱</v>
      </c>
      <c r="C21737" s="2" t="s">
        <v>9</v>
      </c>
      <c r="D21737" s="2" t="s">
        <v>10</v>
      </c>
      <c r="E21737" s="2" t="str">
        <f>HYPERLINK("http://ts.21cn.com/tousu/show/id/1353862","http://ts.21cn.com/tousu/show/id/1353862")</f>
        <v>http://ts.21cn.com/tousu/show/id/1353862</v>
      </c>
      <c r="F21737" s="2" t="s">
        <v>11</v>
      </c>
      <c r="G21737" s="2" t="s">
        <v>1402</v>
      </c>
      <c r="H21737" s="2" t="s">
        <v>1403</v>
      </c>
    </row>
    <row r="21738" spans="1:8" ht="25.05" customHeight="1" x14ac:dyDescent="0.25">
      <c r="A21738" s="2" t="s">
        <v>8</v>
      </c>
      <c r="B21738" s="2" t="str">
        <f>HYPERLINK("http://ts.21cn.com/tousu/show/id/1353863","广发银行威胁我上门催收")</f>
        <v>广发银行威胁我上门催收</v>
      </c>
      <c r="C21738" s="2" t="s">
        <v>9</v>
      </c>
      <c r="D21738" s="2" t="s">
        <v>10</v>
      </c>
      <c r="E21738" s="2" t="str">
        <f>HYPERLINK("http://ts.21cn.com/tousu/show/id/1353863","http://ts.21cn.com/tousu/show/id/1353863")</f>
        <v>http://ts.21cn.com/tousu/show/id/1353863</v>
      </c>
      <c r="F21738" s="2" t="s">
        <v>11</v>
      </c>
      <c r="G21738" s="2" t="s">
        <v>1400</v>
      </c>
      <c r="H21738" s="2" t="s">
        <v>1401</v>
      </c>
    </row>
    <row r="21739" spans="1:8" ht="25.05" customHeight="1" x14ac:dyDescent="0.25">
      <c r="A21739" s="2" t="s">
        <v>8</v>
      </c>
      <c r="B21739" s="2" t="str">
        <f>HYPERLINK("http://ts.21cn.com/tousu/show/id/1353865","淘集集保证金不退就注销了店铺")</f>
        <v>淘集集保证金不退就注销了店铺</v>
      </c>
      <c r="C21739" s="2" t="s">
        <v>9</v>
      </c>
      <c r="D21739" s="2" t="s">
        <v>10</v>
      </c>
      <c r="E21739" s="2" t="str">
        <f>HYPERLINK("http://ts.21cn.com/tousu/show/id/1353865","http://ts.21cn.com/tousu/show/id/1353865")</f>
        <v>http://ts.21cn.com/tousu/show/id/1353865</v>
      </c>
      <c r="F21739" s="2" t="s">
        <v>11</v>
      </c>
      <c r="G21739" s="2" t="s">
        <v>1398</v>
      </c>
      <c r="H21739" s="2" t="s">
        <v>1399</v>
      </c>
    </row>
    <row r="21740" spans="1:8" ht="25.05" customHeight="1" x14ac:dyDescent="0.25">
      <c r="A21740" s="2" t="s">
        <v>8</v>
      </c>
      <c r="B21740" s="2" t="str">
        <f>HYPERLINK("http://ts.21cn.com/tousu/show/id/1353866","违规催收，威胁报通讯录")</f>
        <v>违规催收，威胁报通讯录</v>
      </c>
      <c r="C21740" s="2" t="s">
        <v>9</v>
      </c>
      <c r="D21740" s="2" t="s">
        <v>10</v>
      </c>
      <c r="E21740" s="2" t="str">
        <f>HYPERLINK("http://ts.21cn.com/tousu/show/id/1353866","http://ts.21cn.com/tousu/show/id/1353866")</f>
        <v>http://ts.21cn.com/tousu/show/id/1353866</v>
      </c>
      <c r="F21740" s="2" t="s">
        <v>11</v>
      </c>
      <c r="G21740" s="2" t="s">
        <v>1396</v>
      </c>
      <c r="H21740" s="2" t="s">
        <v>1397</v>
      </c>
    </row>
    <row r="21741" spans="1:8" ht="25.05" customHeight="1" x14ac:dyDescent="0.25">
      <c r="A21741" s="2" t="s">
        <v>8</v>
      </c>
      <c r="B21741" s="2" t="str">
        <f>HYPERLINK("http://ts.21cn.com/tousu/show/id/1353867","水莲金条暴力催贷")</f>
        <v>水莲金条暴力催贷</v>
      </c>
      <c r="C21741" s="2" t="s">
        <v>9</v>
      </c>
      <c r="D21741" s="2" t="s">
        <v>10</v>
      </c>
      <c r="E21741" s="2" t="str">
        <f>HYPERLINK("http://ts.21cn.com/tousu/show/id/1353867","http://ts.21cn.com/tousu/show/id/1353867")</f>
        <v>http://ts.21cn.com/tousu/show/id/1353867</v>
      </c>
      <c r="F21741" s="2" t="s">
        <v>11</v>
      </c>
      <c r="G21741" s="2" t="s">
        <v>1394</v>
      </c>
      <c r="H21741" s="2" t="s">
        <v>1395</v>
      </c>
    </row>
    <row r="21742" spans="1:8" ht="25.05" customHeight="1" x14ac:dyDescent="0.25">
      <c r="A21742" s="2" t="s">
        <v>8</v>
      </c>
      <c r="B21742" s="2" t="str">
        <f>HYPERLINK("http://ts.21cn.com/tousu/show/id/1353868","高利贷、暴力催收、骚然家人及同事、领导、名誉受损")</f>
        <v>高利贷、暴力催收、骚然家人及同事、领导、名誉受损</v>
      </c>
      <c r="C21742" s="2" t="s">
        <v>9</v>
      </c>
      <c r="D21742" s="2" t="s">
        <v>10</v>
      </c>
      <c r="E21742" s="2" t="str">
        <f>HYPERLINK("http://ts.21cn.com/tousu/show/id/1353868","http://ts.21cn.com/tousu/show/id/1353868")</f>
        <v>http://ts.21cn.com/tousu/show/id/1353868</v>
      </c>
      <c r="F21742" s="2" t="s">
        <v>11</v>
      </c>
      <c r="G21742" s="2" t="s">
        <v>1392</v>
      </c>
      <c r="H21742" s="2" t="s">
        <v>1393</v>
      </c>
    </row>
    <row r="21743" spans="1:8" ht="25.05" customHeight="1" x14ac:dyDescent="0.25">
      <c r="A21743" s="2" t="s">
        <v>8</v>
      </c>
      <c r="B21743" s="2" t="str">
        <f>HYPERLINK("http://ts.21cn.com/tousu/show/id/1353869","解决借呗结清证明")</f>
        <v>解决借呗结清证明</v>
      </c>
      <c r="C21743" s="2" t="s">
        <v>34</v>
      </c>
      <c r="D21743" s="2" t="s">
        <v>10</v>
      </c>
      <c r="E21743" s="2" t="str">
        <f>HYPERLINK("http://ts.21cn.com/tousu/show/id/1353869","http://ts.21cn.com/tousu/show/id/1353869")</f>
        <v>http://ts.21cn.com/tousu/show/id/1353869</v>
      </c>
      <c r="F21743" s="2" t="s">
        <v>11</v>
      </c>
      <c r="G21743" s="2" t="s">
        <v>1390</v>
      </c>
      <c r="H21743" s="2" t="s">
        <v>1391</v>
      </c>
    </row>
    <row r="21744" spans="1:8" ht="25.05" customHeight="1" x14ac:dyDescent="0.25">
      <c r="A21744" s="2" t="s">
        <v>8</v>
      </c>
      <c r="B21744" s="2" t="str">
        <f>HYPERLINK("http://ts.21cn.com/tousu/show/id/1353870","钱橙无忧随意扣费")</f>
        <v>钱橙无忧随意扣费</v>
      </c>
      <c r="C21744" s="2" t="s">
        <v>34</v>
      </c>
      <c r="D21744" s="2" t="s">
        <v>10</v>
      </c>
      <c r="E21744" s="2" t="str">
        <f>HYPERLINK("http://ts.21cn.com/tousu/show/id/1353870","http://ts.21cn.com/tousu/show/id/1353870")</f>
        <v>http://ts.21cn.com/tousu/show/id/1353870</v>
      </c>
      <c r="F21744" s="2" t="s">
        <v>11</v>
      </c>
      <c r="G21744" s="2" t="s">
        <v>1388</v>
      </c>
      <c r="H21744" s="2" t="s">
        <v>1389</v>
      </c>
    </row>
    <row r="21745" spans="1:8" ht="25.05" customHeight="1" x14ac:dyDescent="0.25">
      <c r="A21745" s="2" t="s">
        <v>8</v>
      </c>
      <c r="B21745" s="2" t="str">
        <f>HYPERLINK("http://ts.21cn.com/tousu/show/id/1353871","钱站取消借款屡受挫折，为什么连个取消借款都这么难！！！")</f>
        <v>钱站取消借款屡受挫折，为什么连个取消借款都这么难！！！</v>
      </c>
      <c r="C21745" s="2" t="s">
        <v>9</v>
      </c>
      <c r="D21745" s="2" t="s">
        <v>10</v>
      </c>
      <c r="E21745" s="2" t="str">
        <f>HYPERLINK("http://ts.21cn.com/tousu/show/id/1353871","http://ts.21cn.com/tousu/show/id/1353871")</f>
        <v>http://ts.21cn.com/tousu/show/id/1353871</v>
      </c>
      <c r="F21745" s="2" t="s">
        <v>11</v>
      </c>
      <c r="G21745" s="2" t="s">
        <v>1386</v>
      </c>
      <c r="H21745" s="2" t="s">
        <v>1387</v>
      </c>
    </row>
    <row r="21746" spans="1:8" ht="25.05" customHeight="1" x14ac:dyDescent="0.25">
      <c r="A21746" s="2" t="s">
        <v>8</v>
      </c>
      <c r="B21746" s="2" t="str">
        <f>HYPERLINK("http://ts.21cn.com/tousu/show/id/1353872","恶意催收骚扰影响正常生活")</f>
        <v>恶意催收骚扰影响正常生活</v>
      </c>
      <c r="C21746" s="2" t="s">
        <v>9</v>
      </c>
      <c r="D21746" s="2" t="s">
        <v>10</v>
      </c>
      <c r="E21746" s="2" t="str">
        <f>HYPERLINK("http://ts.21cn.com/tousu/show/id/1353872","http://ts.21cn.com/tousu/show/id/1353872")</f>
        <v>http://ts.21cn.com/tousu/show/id/1353872</v>
      </c>
      <c r="F21746" s="2" t="s">
        <v>11</v>
      </c>
      <c r="G21746" s="2" t="s">
        <v>1384</v>
      </c>
      <c r="H21746" s="2" t="s">
        <v>1385</v>
      </c>
    </row>
    <row r="21747" spans="1:8" ht="25.05" customHeight="1" x14ac:dyDescent="0.25">
      <c r="A21747" s="2" t="s">
        <v>8</v>
      </c>
      <c r="B21747" s="2" t="str">
        <f>HYPERLINK("http://ts.21cn.com/tousu/show/id/1353874","及贷多次骚扰")</f>
        <v>及贷多次骚扰</v>
      </c>
      <c r="C21747" s="2" t="s">
        <v>9</v>
      </c>
      <c r="D21747" s="2" t="s">
        <v>10</v>
      </c>
      <c r="E21747" s="2" t="str">
        <f>HYPERLINK("http://ts.21cn.com/tousu/show/id/1353874","http://ts.21cn.com/tousu/show/id/1353874")</f>
        <v>http://ts.21cn.com/tousu/show/id/1353874</v>
      </c>
      <c r="F21747" s="2" t="s">
        <v>11</v>
      </c>
      <c r="G21747" s="2" t="s">
        <v>1382</v>
      </c>
      <c r="H21747" s="2" t="s">
        <v>1383</v>
      </c>
    </row>
    <row r="21748" spans="1:8" ht="25.05" customHeight="1" x14ac:dyDescent="0.25">
      <c r="A21748" s="2" t="s">
        <v>8</v>
      </c>
      <c r="B21748" s="2" t="str">
        <f>HYPERLINK("http://ts.21cn.com/tousu/show/id/1353876","爆我通讯录")</f>
        <v>爆我通讯录</v>
      </c>
      <c r="C21748" s="2" t="s">
        <v>9</v>
      </c>
      <c r="D21748" s="2" t="s">
        <v>10</v>
      </c>
      <c r="E21748" s="2" t="str">
        <f>HYPERLINK("http://ts.21cn.com/tousu/show/id/1353876","http://ts.21cn.com/tousu/show/id/1353876")</f>
        <v>http://ts.21cn.com/tousu/show/id/1353876</v>
      </c>
      <c r="F21748" s="2" t="s">
        <v>11</v>
      </c>
      <c r="G21748" s="2" t="s">
        <v>1380</v>
      </c>
      <c r="H21748" s="2" t="s">
        <v>1381</v>
      </c>
    </row>
    <row r="21749" spans="1:8" ht="25.05" customHeight="1" x14ac:dyDescent="0.25">
      <c r="A21749" s="2" t="s">
        <v>8</v>
      </c>
      <c r="B21749" s="2" t="str">
        <f>HYPERLINK("http://ts.21cn.com/tousu/show/id/1353875","砍头息；爆通讯录")</f>
        <v>砍头息；爆通讯录</v>
      </c>
      <c r="C21749" s="2" t="s">
        <v>9</v>
      </c>
      <c r="D21749" s="2" t="s">
        <v>10</v>
      </c>
      <c r="E21749" s="2" t="str">
        <f>HYPERLINK("http://ts.21cn.com/tousu/show/id/1353875","http://ts.21cn.com/tousu/show/id/1353875")</f>
        <v>http://ts.21cn.com/tousu/show/id/1353875</v>
      </c>
      <c r="F21749" s="2" t="s">
        <v>11</v>
      </c>
      <c r="G21749" s="2" t="s">
        <v>1378</v>
      </c>
      <c r="H21749" s="2" t="s">
        <v>1379</v>
      </c>
    </row>
    <row r="21750" spans="1:8" ht="25.05" customHeight="1" x14ac:dyDescent="0.25">
      <c r="A21750" s="2" t="s">
        <v>8</v>
      </c>
      <c r="B21750" s="2" t="str">
        <f>HYPERLINK("http://ts.21cn.com/tousu/show/id/1353878","爆通讯录，严重影响生活")</f>
        <v>爆通讯录，严重影响生活</v>
      </c>
      <c r="C21750" s="2" t="s">
        <v>9</v>
      </c>
      <c r="D21750" s="2" t="s">
        <v>10</v>
      </c>
      <c r="E21750" s="2" t="str">
        <f>HYPERLINK("http://ts.21cn.com/tousu/show/id/1353878","http://ts.21cn.com/tousu/show/id/1353878")</f>
        <v>http://ts.21cn.com/tousu/show/id/1353878</v>
      </c>
      <c r="F21750" s="2" t="s">
        <v>11</v>
      </c>
      <c r="G21750" s="2" t="s">
        <v>1376</v>
      </c>
      <c r="H21750" s="2" t="s">
        <v>1377</v>
      </c>
    </row>
    <row r="21751" spans="1:8" ht="25.05" customHeight="1" x14ac:dyDescent="0.25">
      <c r="A21751" s="2" t="s">
        <v>8</v>
      </c>
      <c r="B21751" s="2" t="str">
        <f>HYPERLINK("http://ts.21cn.com/tousu/show/id/1353877","贷上钱布偶猫高利贷暴力催收")</f>
        <v>贷上钱布偶猫高利贷暴力催收</v>
      </c>
      <c r="C21751" s="2" t="s">
        <v>9</v>
      </c>
      <c r="D21751" s="2" t="s">
        <v>10</v>
      </c>
      <c r="E21751" s="2" t="str">
        <f>HYPERLINK("http://ts.21cn.com/tousu/show/id/1353877","http://ts.21cn.com/tousu/show/id/1353877")</f>
        <v>http://ts.21cn.com/tousu/show/id/1353877</v>
      </c>
      <c r="F21751" s="2" t="s">
        <v>11</v>
      </c>
      <c r="G21751" s="2" t="s">
        <v>1374</v>
      </c>
      <c r="H21751" s="2" t="s">
        <v>1375</v>
      </c>
    </row>
    <row r="21752" spans="1:8" ht="25.05" customHeight="1" x14ac:dyDescent="0.25">
      <c r="A21752" s="2" t="s">
        <v>8</v>
      </c>
      <c r="B21752" s="2" t="str">
        <f>HYPERLINK("http://ts.21cn.com/tousu/show/id/1353879","蜜瓜钱包app")</f>
        <v>蜜瓜钱包app</v>
      </c>
      <c r="C21752" s="2" t="s">
        <v>9</v>
      </c>
      <c r="D21752" s="2" t="s">
        <v>10</v>
      </c>
      <c r="E21752" s="2" t="str">
        <f>HYPERLINK("http://ts.21cn.com/tousu/show/id/1353879","http://ts.21cn.com/tousu/show/id/1353879")</f>
        <v>http://ts.21cn.com/tousu/show/id/1353879</v>
      </c>
      <c r="F21752" s="2" t="s">
        <v>11</v>
      </c>
      <c r="G21752" s="2" t="s">
        <v>1372</v>
      </c>
      <c r="H21752" s="2" t="s">
        <v>1373</v>
      </c>
    </row>
    <row r="21753" spans="1:8" ht="25.05" customHeight="1" x14ac:dyDescent="0.25">
      <c r="A21753" s="2" t="s">
        <v>8</v>
      </c>
      <c r="B21753" s="2" t="str">
        <f>HYPERLINK("http://ts.21cn.com/tousu/show/id/1353881","安逸花恶意催收")</f>
        <v>安逸花恶意催收</v>
      </c>
      <c r="C21753" s="2" t="s">
        <v>9</v>
      </c>
      <c r="D21753" s="2" t="s">
        <v>10</v>
      </c>
      <c r="E21753" s="2" t="str">
        <f>HYPERLINK("http://ts.21cn.com/tousu/show/id/1353881","http://ts.21cn.com/tousu/show/id/1353881")</f>
        <v>http://ts.21cn.com/tousu/show/id/1353881</v>
      </c>
      <c r="F21753" s="2" t="s">
        <v>11</v>
      </c>
      <c r="G21753" s="2" t="s">
        <v>1370</v>
      </c>
      <c r="H21753" s="2" t="s">
        <v>1371</v>
      </c>
    </row>
    <row r="21754" spans="1:8" ht="25.05" customHeight="1" x14ac:dyDescent="0.25">
      <c r="A21754" s="2" t="s">
        <v>8</v>
      </c>
      <c r="B21754" s="2" t="str">
        <f>HYPERLINK("http://ts.21cn.com/tousu/show/id/1353882","买卡变相砍头息")</f>
        <v>买卡变相砍头息</v>
      </c>
      <c r="C21754" s="2" t="s">
        <v>9</v>
      </c>
      <c r="D21754" s="2" t="s">
        <v>10</v>
      </c>
      <c r="E21754" s="2" t="str">
        <f>HYPERLINK("http://ts.21cn.com/tousu/show/id/1353882","http://ts.21cn.com/tousu/show/id/1353882")</f>
        <v>http://ts.21cn.com/tousu/show/id/1353882</v>
      </c>
      <c r="F21754" s="2" t="s">
        <v>11</v>
      </c>
      <c r="G21754" s="2" t="s">
        <v>1368</v>
      </c>
      <c r="H21754" s="2" t="s">
        <v>1369</v>
      </c>
    </row>
    <row r="21755" spans="1:8" ht="25.05" customHeight="1" x14ac:dyDescent="0.25">
      <c r="A21755" s="2" t="s">
        <v>8</v>
      </c>
      <c r="B21755" s="2" t="str">
        <f>HYPERLINK("http://ts.21cn.com/tousu/show/id/1353884","停止暴力催收")</f>
        <v>停止暴力催收</v>
      </c>
      <c r="C21755" s="2" t="s">
        <v>9</v>
      </c>
      <c r="D21755" s="2" t="s">
        <v>10</v>
      </c>
      <c r="E21755" s="2" t="str">
        <f>HYPERLINK("http://ts.21cn.com/tousu/show/id/1353884","http://ts.21cn.com/tousu/show/id/1353884")</f>
        <v>http://ts.21cn.com/tousu/show/id/1353884</v>
      </c>
      <c r="F21755" s="2" t="s">
        <v>11</v>
      </c>
      <c r="G21755" s="2" t="s">
        <v>1366</v>
      </c>
      <c r="H21755" s="2" t="s">
        <v>1367</v>
      </c>
    </row>
    <row r="21756" spans="1:8" ht="25.05" customHeight="1" x14ac:dyDescent="0.25">
      <c r="A21756" s="2" t="s">
        <v>8</v>
      </c>
      <c r="B21756" s="2" t="str">
        <f>HYPERLINK("http://ts.21cn.com/tousu/show/id/1353886","通联支付无故扣银行卡里钱")</f>
        <v>通联支付无故扣银行卡里钱</v>
      </c>
      <c r="C21756" s="2" t="s">
        <v>34</v>
      </c>
      <c r="D21756" s="2" t="s">
        <v>10</v>
      </c>
      <c r="E21756" s="2" t="str">
        <f>HYPERLINK("http://ts.21cn.com/tousu/show/id/1353886","http://ts.21cn.com/tousu/show/id/1353886")</f>
        <v>http://ts.21cn.com/tousu/show/id/1353886</v>
      </c>
      <c r="F21756" s="2" t="s">
        <v>11</v>
      </c>
      <c r="G21756" s="2" t="s">
        <v>1364</v>
      </c>
      <c r="H21756" s="2" t="s">
        <v>1365</v>
      </c>
    </row>
    <row r="21757" spans="1:8" ht="25.05" customHeight="1" x14ac:dyDescent="0.25">
      <c r="A21757" s="2" t="s">
        <v>8</v>
      </c>
      <c r="B21757" s="2" t="str">
        <f>HYPERLINK("http://ts.21cn.com/tousu/show/id/1353887","小花钱包暴利催收")</f>
        <v>小花钱包暴利催收</v>
      </c>
      <c r="C21757" s="2" t="s">
        <v>9</v>
      </c>
      <c r="D21757" s="2" t="s">
        <v>10</v>
      </c>
      <c r="E21757" s="2" t="str">
        <f>HYPERLINK("http://ts.21cn.com/tousu/show/id/1353887","http://ts.21cn.com/tousu/show/id/1353887")</f>
        <v>http://ts.21cn.com/tousu/show/id/1353887</v>
      </c>
      <c r="F21757" s="2" t="s">
        <v>11</v>
      </c>
      <c r="G21757" s="2" t="s">
        <v>1362</v>
      </c>
      <c r="H21757" s="2" t="s">
        <v>1363</v>
      </c>
    </row>
    <row r="21758" spans="1:8" ht="25.05" customHeight="1" x14ac:dyDescent="0.25">
      <c r="A21758" s="2" t="s">
        <v>8</v>
      </c>
      <c r="B21758" s="2" t="str">
        <f>HYPERLINK("http://ts.21cn.com/tousu/show/id/1353891","给你花高利贷暴力催收骚扰家人")</f>
        <v>给你花高利贷暴力催收骚扰家人</v>
      </c>
      <c r="C21758" s="2" t="s">
        <v>9</v>
      </c>
      <c r="D21758" s="2" t="s">
        <v>10</v>
      </c>
      <c r="E21758" s="2" t="str">
        <f>HYPERLINK("http://ts.21cn.com/tousu/show/id/1353891","http://ts.21cn.com/tousu/show/id/1353891")</f>
        <v>http://ts.21cn.com/tousu/show/id/1353891</v>
      </c>
      <c r="F21758" s="2" t="s">
        <v>11</v>
      </c>
      <c r="G21758" s="2" t="s">
        <v>1360</v>
      </c>
      <c r="H21758" s="2" t="s">
        <v>1361</v>
      </c>
    </row>
    <row r="21759" spans="1:8" ht="25.05" customHeight="1" x14ac:dyDescent="0.25">
      <c r="A21759" s="2" t="s">
        <v>8</v>
      </c>
      <c r="B21759" s="2" t="str">
        <f>HYPERLINK("http://ts.21cn.com/tousu/show/id/1353889","活力花高利贷")</f>
        <v>活力花高利贷</v>
      </c>
      <c r="C21759" s="2" t="s">
        <v>9</v>
      </c>
      <c r="D21759" s="2" t="s">
        <v>10</v>
      </c>
      <c r="E21759" s="2" t="str">
        <f>HYPERLINK("http://ts.21cn.com/tousu/show/id/1353889","http://ts.21cn.com/tousu/show/id/1353889")</f>
        <v>http://ts.21cn.com/tousu/show/id/1353889</v>
      </c>
      <c r="F21759" s="2" t="s">
        <v>11</v>
      </c>
      <c r="G21759" s="2" t="s">
        <v>1358</v>
      </c>
      <c r="H21759" s="2" t="s">
        <v>1359</v>
      </c>
    </row>
    <row r="21760" spans="1:8" ht="25.05" customHeight="1" x14ac:dyDescent="0.25">
      <c r="A21760" s="2" t="s">
        <v>8</v>
      </c>
      <c r="B21760" s="2" t="str">
        <f>HYPERLINK("http://ts.21cn.com/tousu/show/id/1353890","拉卡拉非法占用冻结资金不结算")</f>
        <v>拉卡拉非法占用冻结资金不结算</v>
      </c>
      <c r="C21760" s="2" t="s">
        <v>9</v>
      </c>
      <c r="D21760" s="2" t="s">
        <v>10</v>
      </c>
      <c r="E21760" s="2" t="str">
        <f>HYPERLINK("http://ts.21cn.com/tousu/show/id/1353890","http://ts.21cn.com/tousu/show/id/1353890")</f>
        <v>http://ts.21cn.com/tousu/show/id/1353890</v>
      </c>
      <c r="F21760" s="2" t="s">
        <v>11</v>
      </c>
      <c r="G21760" s="2" t="s">
        <v>1356</v>
      </c>
      <c r="H21760" s="2" t="s">
        <v>1357</v>
      </c>
    </row>
    <row r="21761" spans="1:8" ht="25.05" customHeight="1" x14ac:dyDescent="0.25">
      <c r="A21761" s="2" t="s">
        <v>8</v>
      </c>
      <c r="B21761" s="2" t="str">
        <f>HYPERLINK("http://ts.21cn.com/tousu/show/id/1353892","爆通讯录骚扰客户亲戚")</f>
        <v>爆通讯录骚扰客户亲戚</v>
      </c>
      <c r="C21761" s="2" t="s">
        <v>9</v>
      </c>
      <c r="D21761" s="2" t="s">
        <v>10</v>
      </c>
      <c r="E21761" s="2" t="str">
        <f>HYPERLINK("http://ts.21cn.com/tousu/show/id/1353892","http://ts.21cn.com/tousu/show/id/1353892")</f>
        <v>http://ts.21cn.com/tousu/show/id/1353892</v>
      </c>
      <c r="F21761" s="2" t="s">
        <v>11</v>
      </c>
      <c r="G21761" s="2" t="s">
        <v>1354</v>
      </c>
      <c r="H21761" s="2" t="s">
        <v>1355</v>
      </c>
    </row>
    <row r="21762" spans="1:8" ht="25.05" customHeight="1" x14ac:dyDescent="0.25">
      <c r="A21762" s="2" t="s">
        <v>8</v>
      </c>
      <c r="B21762" s="2" t="str">
        <f>HYPERLINK("http://ts.21cn.com/tousu/show/id/1353893","你我贷暴力")</f>
        <v>你我贷暴力</v>
      </c>
      <c r="C21762" s="2" t="s">
        <v>9</v>
      </c>
      <c r="D21762" s="2" t="s">
        <v>10</v>
      </c>
      <c r="E21762" s="2" t="str">
        <f>HYPERLINK("http://ts.21cn.com/tousu/show/id/1353893","http://ts.21cn.com/tousu/show/id/1353893")</f>
        <v>http://ts.21cn.com/tousu/show/id/1353893</v>
      </c>
      <c r="F21762" s="2" t="s">
        <v>11</v>
      </c>
      <c r="G21762" s="2" t="s">
        <v>1352</v>
      </c>
      <c r="H21762" s="2" t="s">
        <v>1353</v>
      </c>
    </row>
    <row r="21763" spans="1:8" ht="25.05" customHeight="1" x14ac:dyDescent="0.25">
      <c r="A21763" s="2" t="s">
        <v>8</v>
      </c>
      <c r="B21763" s="2" t="str">
        <f>HYPERLINK("http://ts.21cn.com/tousu/show/id/1353894","立借平台高利贷")</f>
        <v>立借平台高利贷</v>
      </c>
      <c r="C21763" s="2" t="s">
        <v>9</v>
      </c>
      <c r="D21763" s="2" t="s">
        <v>10</v>
      </c>
      <c r="E21763" s="2" t="str">
        <f>HYPERLINK("http://ts.21cn.com/tousu/show/id/1353894","http://ts.21cn.com/tousu/show/id/1353894")</f>
        <v>http://ts.21cn.com/tousu/show/id/1353894</v>
      </c>
      <c r="F21763" s="2" t="s">
        <v>11</v>
      </c>
      <c r="G21763" s="2" t="s">
        <v>1350</v>
      </c>
      <c r="H21763" s="2" t="s">
        <v>1351</v>
      </c>
    </row>
    <row r="21764" spans="1:8" ht="25.05" customHeight="1" x14ac:dyDescent="0.25">
      <c r="A21764" s="2" t="s">
        <v>8</v>
      </c>
      <c r="B21764" s="2" t="str">
        <f>HYPERLINK("http://ts.21cn.com/tousu/show/id/1353895","高利贷")</f>
        <v>高利贷</v>
      </c>
      <c r="C21764" s="2" t="s">
        <v>9</v>
      </c>
      <c r="D21764" s="2" t="s">
        <v>10</v>
      </c>
      <c r="E21764" s="2" t="str">
        <f>HYPERLINK("http://ts.21cn.com/tousu/show/id/1353895","http://ts.21cn.com/tousu/show/id/1353895")</f>
        <v>http://ts.21cn.com/tousu/show/id/1353895</v>
      </c>
      <c r="F21764" s="2" t="s">
        <v>11</v>
      </c>
      <c r="G21764" s="2" t="s">
        <v>1348</v>
      </c>
      <c r="H21764" s="2" t="s">
        <v>1349</v>
      </c>
    </row>
    <row r="21765" spans="1:8" ht="25.05" customHeight="1" x14ac:dyDescent="0.25">
      <c r="A21765" s="2" t="s">
        <v>8</v>
      </c>
      <c r="B21765" s="2" t="str">
        <f>HYPERLINK("http://ts.21cn.com/tousu/show/id/1353896","国美易卡收取高额滞纳金.而且无法协商")</f>
        <v>国美易卡收取高额滞纳金.而且无法协商</v>
      </c>
      <c r="C21765" s="2" t="s">
        <v>34</v>
      </c>
      <c r="D21765" s="2" t="s">
        <v>10</v>
      </c>
      <c r="E21765" s="2" t="str">
        <f>HYPERLINK("http://ts.21cn.com/tousu/show/id/1353896","http://ts.21cn.com/tousu/show/id/1353896")</f>
        <v>http://ts.21cn.com/tousu/show/id/1353896</v>
      </c>
      <c r="F21765" s="2" t="s">
        <v>11</v>
      </c>
      <c r="G21765" s="2" t="s">
        <v>1346</v>
      </c>
      <c r="H21765" s="2" t="s">
        <v>1347</v>
      </c>
    </row>
    <row r="21766" spans="1:8" ht="25.05" customHeight="1" x14ac:dyDescent="0.25">
      <c r="A21766" s="2" t="s">
        <v>8</v>
      </c>
      <c r="B21766" s="2" t="str">
        <f>HYPERLINK("http://ts.21cn.com/tousu/show/id/1353897","小花钱包不文明催收")</f>
        <v>小花钱包不文明催收</v>
      </c>
      <c r="C21766" s="2" t="s">
        <v>9</v>
      </c>
      <c r="D21766" s="2" t="s">
        <v>10</v>
      </c>
      <c r="E21766" s="2" t="str">
        <f>HYPERLINK("http://ts.21cn.com/tousu/show/id/1353897","http://ts.21cn.com/tousu/show/id/1353897")</f>
        <v>http://ts.21cn.com/tousu/show/id/1353897</v>
      </c>
      <c r="F21766" s="2" t="s">
        <v>11</v>
      </c>
      <c r="G21766" s="2" t="s">
        <v>1344</v>
      </c>
      <c r="H21766" s="2" t="s">
        <v>1345</v>
      </c>
    </row>
    <row r="21767" spans="1:8" ht="25.05" customHeight="1" x14ac:dyDescent="0.25">
      <c r="A21767" s="2" t="s">
        <v>8</v>
      </c>
      <c r="B21767" s="2" t="str">
        <f>HYPERLINK("http://ts.21cn.com/tousu/show/id/1353898","淘宝vivo旗舰店店大欺客")</f>
        <v>淘宝vivo旗舰店店大欺客</v>
      </c>
      <c r="C21767" s="2" t="s">
        <v>9</v>
      </c>
      <c r="D21767" s="2" t="s">
        <v>10</v>
      </c>
      <c r="E21767" s="2" t="str">
        <f>HYPERLINK("http://ts.21cn.com/tousu/show/id/1353898","http://ts.21cn.com/tousu/show/id/1353898")</f>
        <v>http://ts.21cn.com/tousu/show/id/1353898</v>
      </c>
      <c r="F21767" s="2" t="s">
        <v>11</v>
      </c>
      <c r="G21767" s="2" t="s">
        <v>1342</v>
      </c>
      <c r="H21767" s="2" t="s">
        <v>1343</v>
      </c>
    </row>
    <row r="21768" spans="1:8" ht="25.05" customHeight="1" x14ac:dyDescent="0.25">
      <c r="A21768" s="2" t="s">
        <v>8</v>
      </c>
      <c r="B21768" s="2" t="str">
        <f>HYPERLINK("http://ts.21cn.com/tousu/show/id/1353899","有信钱包，成都优卡信息科技有限公司，退还我40块钱的会员费")</f>
        <v>有信钱包，成都优卡信息科技有限公司，退还我40块钱的会员费</v>
      </c>
      <c r="C21768" s="2" t="s">
        <v>9</v>
      </c>
      <c r="D21768" s="2" t="s">
        <v>10</v>
      </c>
      <c r="E21768" s="2" t="str">
        <f>HYPERLINK("http://ts.21cn.com/tousu/show/id/1353899","http://ts.21cn.com/tousu/show/id/1353899")</f>
        <v>http://ts.21cn.com/tousu/show/id/1353899</v>
      </c>
      <c r="F21768" s="2" t="s">
        <v>11</v>
      </c>
      <c r="G21768" s="2" t="s">
        <v>1340</v>
      </c>
      <c r="H21768" s="2" t="s">
        <v>1341</v>
      </c>
    </row>
    <row r="21769" spans="1:8" ht="25.05" customHeight="1" x14ac:dyDescent="0.25">
      <c r="A21769" s="2" t="s">
        <v>8</v>
      </c>
      <c r="B21769" s="2" t="str">
        <f>HYPERLINK("http://ts.21cn.com/tousu/show/id/1353900","星心芯app")</f>
        <v>星心芯app</v>
      </c>
      <c r="C21769" s="2" t="s">
        <v>9</v>
      </c>
      <c r="D21769" s="2" t="s">
        <v>10</v>
      </c>
      <c r="E21769" s="2" t="str">
        <f>HYPERLINK("http://ts.21cn.com/tousu/show/id/1353900","http://ts.21cn.com/tousu/show/id/1353900")</f>
        <v>http://ts.21cn.com/tousu/show/id/1353900</v>
      </c>
      <c r="F21769" s="2" t="s">
        <v>11</v>
      </c>
      <c r="G21769" s="2" t="s">
        <v>1338</v>
      </c>
      <c r="H21769" s="2" t="s">
        <v>1339</v>
      </c>
    </row>
    <row r="21770" spans="1:8" ht="25.05" customHeight="1" x14ac:dyDescent="0.25">
      <c r="A21770" s="2" t="s">
        <v>8</v>
      </c>
      <c r="B21770" s="2" t="str">
        <f>HYPERLINK("http://ts.21cn.com/tousu/show/id/1353901","钱橙无忧随意扣费不知所以被帐户被划走一百六十多")</f>
        <v>钱橙无忧随意扣费不知所以被帐户被划走一百六十多</v>
      </c>
      <c r="C21770" s="2" t="s">
        <v>9</v>
      </c>
      <c r="D21770" s="2" t="s">
        <v>10</v>
      </c>
      <c r="E21770" s="2" t="str">
        <f>HYPERLINK("http://ts.21cn.com/tousu/show/id/1353901","http://ts.21cn.com/tousu/show/id/1353901")</f>
        <v>http://ts.21cn.com/tousu/show/id/1353901</v>
      </c>
      <c r="F21770" s="2" t="s">
        <v>11</v>
      </c>
      <c r="G21770" s="2" t="s">
        <v>1336</v>
      </c>
      <c r="H21770" s="2" t="s">
        <v>1337</v>
      </c>
    </row>
    <row r="21771" spans="1:8" ht="25.05" customHeight="1" x14ac:dyDescent="0.25">
      <c r="A21771" s="2" t="s">
        <v>8</v>
      </c>
      <c r="B21771" s="2" t="str">
        <f>HYPERLINK("http://ts.21cn.com/tousu/show/id/1353902","直接扣费")</f>
        <v>直接扣费</v>
      </c>
      <c r="C21771" s="2" t="s">
        <v>9</v>
      </c>
      <c r="D21771" s="2" t="s">
        <v>10</v>
      </c>
      <c r="E21771" s="2" t="str">
        <f>HYPERLINK("http://ts.21cn.com/tousu/show/id/1353902","http://ts.21cn.com/tousu/show/id/1353902")</f>
        <v>http://ts.21cn.com/tousu/show/id/1353902</v>
      </c>
      <c r="F21771" s="2" t="s">
        <v>11</v>
      </c>
      <c r="G21771" s="2" t="s">
        <v>1334</v>
      </c>
      <c r="H21771" s="2" t="s">
        <v>1335</v>
      </c>
    </row>
    <row r="21772" spans="1:8" ht="25.05" customHeight="1" x14ac:dyDescent="0.25">
      <c r="A21772" s="2" t="s">
        <v>8</v>
      </c>
      <c r="B21772" s="2" t="str">
        <f>HYPERLINK("http://ts.21cn.com/tousu/show/id/1353903","你我贷暴力催收，骚扰威胁")</f>
        <v>你我贷暴力催收，骚扰威胁</v>
      </c>
      <c r="C21772" s="2" t="s">
        <v>9</v>
      </c>
      <c r="D21772" s="2" t="s">
        <v>10</v>
      </c>
      <c r="E21772" s="2" t="str">
        <f>HYPERLINK("http://ts.21cn.com/tousu/show/id/1353903","http://ts.21cn.com/tousu/show/id/1353903")</f>
        <v>http://ts.21cn.com/tousu/show/id/1353903</v>
      </c>
      <c r="F21772" s="2" t="s">
        <v>11</v>
      </c>
      <c r="G21772" s="2" t="s">
        <v>1332</v>
      </c>
      <c r="H21772" s="2" t="s">
        <v>1333</v>
      </c>
    </row>
    <row r="21773" spans="1:8" ht="25.05" customHeight="1" x14ac:dyDescent="0.25">
      <c r="A21773" s="2" t="s">
        <v>8</v>
      </c>
      <c r="B21773" s="2" t="str">
        <f>HYPERLINK("http://ts.21cn.com/tousu/show/id/1353904","钱橙无忧随意扣费")</f>
        <v>钱橙无忧随意扣费</v>
      </c>
      <c r="C21773" s="2" t="s">
        <v>34</v>
      </c>
      <c r="D21773" s="2" t="s">
        <v>10</v>
      </c>
      <c r="E21773" s="2" t="str">
        <f>HYPERLINK("http://ts.21cn.com/tousu/show/id/1353904","http://ts.21cn.com/tousu/show/id/1353904")</f>
        <v>http://ts.21cn.com/tousu/show/id/1353904</v>
      </c>
      <c r="F21773" s="2" t="s">
        <v>11</v>
      </c>
      <c r="G21773" s="2" t="s">
        <v>1330</v>
      </c>
      <c r="H21773" s="2" t="s">
        <v>1331</v>
      </c>
    </row>
    <row r="21774" spans="1:8" ht="25.05" customHeight="1" x14ac:dyDescent="0.25">
      <c r="A21774" s="2" t="s">
        <v>8</v>
      </c>
      <c r="B21774" s="2" t="str">
        <f>HYPERLINK("http://ts.21cn.com/tousu/show/id/1353880","高利贷砍头息")</f>
        <v>高利贷砍头息</v>
      </c>
      <c r="C21774" s="2" t="s">
        <v>9</v>
      </c>
      <c r="D21774" s="2" t="s">
        <v>10</v>
      </c>
      <c r="E21774" s="2" t="str">
        <f>HYPERLINK("http://ts.21cn.com/tousu/show/id/1353880","http://ts.21cn.com/tousu/show/id/1353880")</f>
        <v>http://ts.21cn.com/tousu/show/id/1353880</v>
      </c>
      <c r="F21774" s="2" t="s">
        <v>11</v>
      </c>
      <c r="G21774" s="2" t="s">
        <v>1328</v>
      </c>
      <c r="H21774" s="2" t="s">
        <v>1329</v>
      </c>
    </row>
    <row r="21775" spans="1:8" ht="25.05" customHeight="1" x14ac:dyDescent="0.25">
      <c r="A21775" s="2" t="s">
        <v>8</v>
      </c>
      <c r="B21775" s="2" t="str">
        <f>HYPERLINK("http://ts.21cn.com/tousu/show/id/1353905","闪银瞬瞬变相收费")</f>
        <v>闪银瞬瞬变相收费</v>
      </c>
      <c r="C21775" s="2" t="s">
        <v>9</v>
      </c>
      <c r="D21775" s="2" t="s">
        <v>10</v>
      </c>
      <c r="E21775" s="2" t="str">
        <f>HYPERLINK("http://ts.21cn.com/tousu/show/id/1353905","http://ts.21cn.com/tousu/show/id/1353905")</f>
        <v>http://ts.21cn.com/tousu/show/id/1353905</v>
      </c>
      <c r="F21775" s="2" t="s">
        <v>11</v>
      </c>
      <c r="G21775" s="2" t="s">
        <v>1326</v>
      </c>
      <c r="H21775" s="2" t="s">
        <v>1327</v>
      </c>
    </row>
    <row r="21776" spans="1:8" ht="25.05" customHeight="1" x14ac:dyDescent="0.25">
      <c r="A21776" s="2" t="s">
        <v>8</v>
      </c>
      <c r="B21776" s="2" t="str">
        <f>HYPERLINK("http://ts.21cn.com/tousu/show/id/1353908","中信银行信用卡中心欺负用卡人")</f>
        <v>中信银行信用卡中心欺负用卡人</v>
      </c>
      <c r="C21776" s="2" t="s">
        <v>9</v>
      </c>
      <c r="D21776" s="2" t="s">
        <v>10</v>
      </c>
      <c r="E21776" s="2" t="str">
        <f>HYPERLINK("http://ts.21cn.com/tousu/show/id/1353908","http://ts.21cn.com/tousu/show/id/1353908")</f>
        <v>http://ts.21cn.com/tousu/show/id/1353908</v>
      </c>
      <c r="F21776" s="2" t="s">
        <v>11</v>
      </c>
      <c r="G21776" s="2" t="s">
        <v>1324</v>
      </c>
      <c r="H21776" s="2" t="s">
        <v>1325</v>
      </c>
    </row>
    <row r="21777" spans="1:8" ht="25.05" customHeight="1" x14ac:dyDescent="0.25">
      <c r="A21777" s="2" t="s">
        <v>8</v>
      </c>
      <c r="B21777" s="2" t="str">
        <f>HYPERLINK("http://ts.21cn.com/tousu/show/id/1353907","小黑鲨高利贷")</f>
        <v>小黑鲨高利贷</v>
      </c>
      <c r="C21777" s="2" t="s">
        <v>9</v>
      </c>
      <c r="D21777" s="2" t="s">
        <v>10</v>
      </c>
      <c r="E21777" s="2" t="str">
        <f>HYPERLINK("http://ts.21cn.com/tousu/show/id/1353907","http://ts.21cn.com/tousu/show/id/1353907")</f>
        <v>http://ts.21cn.com/tousu/show/id/1353907</v>
      </c>
      <c r="F21777" s="2" t="s">
        <v>11</v>
      </c>
      <c r="G21777" s="2" t="s">
        <v>1322</v>
      </c>
      <c r="H21777" s="2" t="s">
        <v>1323</v>
      </c>
    </row>
    <row r="21778" spans="1:8" ht="25.05" customHeight="1" x14ac:dyDescent="0.25">
      <c r="A21778" s="2" t="s">
        <v>8</v>
      </c>
      <c r="B21778" s="2" t="str">
        <f>HYPERLINK("http://ts.21cn.com/tousu/show/id/1353909","贷上钱爆通讯录，暴力催收，砍头息")</f>
        <v>贷上钱爆通讯录，暴力催收，砍头息</v>
      </c>
      <c r="C21778" s="2" t="s">
        <v>9</v>
      </c>
      <c r="D21778" s="2" t="s">
        <v>10</v>
      </c>
      <c r="E21778" s="2" t="str">
        <f>HYPERLINK("http://ts.21cn.com/tousu/show/id/1353909","http://ts.21cn.com/tousu/show/id/1353909")</f>
        <v>http://ts.21cn.com/tousu/show/id/1353909</v>
      </c>
      <c r="F21778" s="2" t="s">
        <v>11</v>
      </c>
      <c r="G21778" s="2" t="s">
        <v>1320</v>
      </c>
      <c r="H21778" s="2" t="s">
        <v>1321</v>
      </c>
    </row>
    <row r="21779" spans="1:8" ht="25.05" customHeight="1" x14ac:dyDescent="0.25">
      <c r="A21779" s="2" t="s">
        <v>8</v>
      </c>
      <c r="B21779" s="2" t="str">
        <f>HYPERLINK("http://ts.21cn.com/tousu/show/id/1353910","在对啊网报名的自考，现在想退学，不给退")</f>
        <v>在对啊网报名的自考，现在想退学，不给退</v>
      </c>
      <c r="C21779" s="2" t="s">
        <v>9</v>
      </c>
      <c r="D21779" s="2" t="s">
        <v>10</v>
      </c>
      <c r="E21779" s="2" t="str">
        <f>HYPERLINK("http://ts.21cn.com/tousu/show/id/1353910","http://ts.21cn.com/tousu/show/id/1353910")</f>
        <v>http://ts.21cn.com/tousu/show/id/1353910</v>
      </c>
      <c r="F21779" s="2" t="s">
        <v>11</v>
      </c>
      <c r="G21779" s="2" t="s">
        <v>1318</v>
      </c>
      <c r="H21779" s="2" t="s">
        <v>1319</v>
      </c>
    </row>
    <row r="21780" spans="1:8" ht="25.05" customHeight="1" x14ac:dyDescent="0.25">
      <c r="A21780" s="2" t="s">
        <v>8</v>
      </c>
      <c r="B21780" s="2" t="str">
        <f>HYPERLINK("http://ts.21cn.com/tousu/show/id/1353911","新浪分期差服务高利贷")</f>
        <v>新浪分期差服务高利贷</v>
      </c>
      <c r="C21780" s="2" t="s">
        <v>9</v>
      </c>
      <c r="D21780" s="2" t="s">
        <v>10</v>
      </c>
      <c r="E21780" s="2" t="str">
        <f>HYPERLINK("http://ts.21cn.com/tousu/show/id/1353911","http://ts.21cn.com/tousu/show/id/1353911")</f>
        <v>http://ts.21cn.com/tousu/show/id/1353911</v>
      </c>
      <c r="F21780" s="2" t="s">
        <v>11</v>
      </c>
      <c r="G21780" s="2" t="s">
        <v>1316</v>
      </c>
      <c r="H21780" s="2" t="s">
        <v>1317</v>
      </c>
    </row>
    <row r="21781" spans="1:8" ht="25.05" customHeight="1" x14ac:dyDescent="0.25">
      <c r="A21781" s="2" t="s">
        <v>8</v>
      </c>
      <c r="B21781" s="2" t="str">
        <f>HYPERLINK("http://ts.21cn.com/tousu/show/id/1353912","贷款大师应急款又开始发短信骚扰，打电话恐吓，对通讯录严重骚扰，换了无数催收，第一次协调就转给催收，到现在无底洞")</f>
        <v>贷款大师应急款又开始发短信骚扰，打电话恐吓，对通讯录严重骚扰，换了无数催收，第一次协调就转给催收，到现在无底洞</v>
      </c>
      <c r="C21781" s="2" t="s">
        <v>9</v>
      </c>
      <c r="D21781" s="2" t="s">
        <v>10</v>
      </c>
      <c r="E21781" s="2" t="str">
        <f>HYPERLINK("http://ts.21cn.com/tousu/show/id/1353912","http://ts.21cn.com/tousu/show/id/1353912")</f>
        <v>http://ts.21cn.com/tousu/show/id/1353912</v>
      </c>
      <c r="F21781" s="2" t="s">
        <v>11</v>
      </c>
      <c r="G21781" s="2" t="s">
        <v>1314</v>
      </c>
      <c r="H21781" s="2" t="s">
        <v>1315</v>
      </c>
    </row>
    <row r="21782" spans="1:8" ht="25.05" customHeight="1" x14ac:dyDescent="0.25">
      <c r="A21782" s="2" t="s">
        <v>8</v>
      </c>
      <c r="B21782" s="2" t="str">
        <f>HYPERLINK("http://ts.21cn.com/tousu/show/id/1353913","招联金融骚扰家人，朋友")</f>
        <v>招联金融骚扰家人，朋友</v>
      </c>
      <c r="C21782" s="2" t="s">
        <v>9</v>
      </c>
      <c r="D21782" s="2" t="s">
        <v>10</v>
      </c>
      <c r="E21782" s="2" t="str">
        <f>HYPERLINK("http://ts.21cn.com/tousu/show/id/1353913","http://ts.21cn.com/tousu/show/id/1353913")</f>
        <v>http://ts.21cn.com/tousu/show/id/1353913</v>
      </c>
      <c r="F21782" s="2" t="s">
        <v>11</v>
      </c>
      <c r="G21782" s="2" t="s">
        <v>1312</v>
      </c>
      <c r="H21782" s="2" t="s">
        <v>1313</v>
      </c>
    </row>
    <row r="21783" spans="1:8" ht="25.05" customHeight="1" x14ac:dyDescent="0.25">
      <c r="A21783" s="2" t="s">
        <v>8</v>
      </c>
      <c r="B21783" s="2" t="str">
        <f>HYPERLINK("http://ts.21cn.com/tousu/show/id/1353915","砍头息，暴力催收")</f>
        <v>砍头息，暴力催收</v>
      </c>
      <c r="C21783" s="2" t="s">
        <v>9</v>
      </c>
      <c r="D21783" s="2" t="s">
        <v>10</v>
      </c>
      <c r="E21783" s="2" t="str">
        <f>HYPERLINK("http://ts.21cn.com/tousu/show/id/1353915","http://ts.21cn.com/tousu/show/id/1353915")</f>
        <v>http://ts.21cn.com/tousu/show/id/1353915</v>
      </c>
      <c r="F21783" s="2" t="s">
        <v>11</v>
      </c>
      <c r="G21783" s="2" t="s">
        <v>1309</v>
      </c>
      <c r="H21783" s="2" t="s">
        <v>1310</v>
      </c>
    </row>
    <row r="21784" spans="1:8" ht="25.05" customHeight="1" x14ac:dyDescent="0.25">
      <c r="A21784" s="2" t="s">
        <v>8</v>
      </c>
      <c r="B21784" s="2" t="str">
        <f>HYPERLINK("http://ts.21cn.com/tousu/show/id/1353914","十个月就要收取一万三的逾期费")</f>
        <v>十个月就要收取一万三的逾期费</v>
      </c>
      <c r="C21784" s="2" t="s">
        <v>34</v>
      </c>
      <c r="D21784" s="2" t="s">
        <v>10</v>
      </c>
      <c r="E21784" s="2" t="str">
        <f>HYPERLINK("http://ts.21cn.com/tousu/show/id/1353914","http://ts.21cn.com/tousu/show/id/1353914")</f>
        <v>http://ts.21cn.com/tousu/show/id/1353914</v>
      </c>
      <c r="F21784" s="2" t="s">
        <v>11</v>
      </c>
      <c r="G21784" s="2" t="s">
        <v>1309</v>
      </c>
      <c r="H21784" s="2" t="s">
        <v>1311</v>
      </c>
    </row>
    <row r="21785" spans="1:8" ht="25.05" customHeight="1" x14ac:dyDescent="0.25">
      <c r="A21785" s="2" t="s">
        <v>8</v>
      </c>
      <c r="B21785" s="2" t="str">
        <f>HYPERLINK("http://ts.21cn.com/tousu/show/id/1353917","赔偿经济损失")</f>
        <v>赔偿经济损失</v>
      </c>
      <c r="C21785" s="2" t="s">
        <v>9</v>
      </c>
      <c r="D21785" s="2" t="s">
        <v>10</v>
      </c>
      <c r="E21785" s="2" t="str">
        <f>HYPERLINK("http://ts.21cn.com/tousu/show/id/1353917","http://ts.21cn.com/tousu/show/id/1353917")</f>
        <v>http://ts.21cn.com/tousu/show/id/1353917</v>
      </c>
      <c r="F21785" s="2" t="s">
        <v>11</v>
      </c>
      <c r="G21785" s="2" t="s">
        <v>1307</v>
      </c>
      <c r="H21785" s="2" t="s">
        <v>1308</v>
      </c>
    </row>
    <row r="21786" spans="1:8" ht="25.05" customHeight="1" x14ac:dyDescent="0.25">
      <c r="A21786" s="2" t="s">
        <v>8</v>
      </c>
      <c r="B21786" s="2" t="str">
        <f>HYPERLINK("http://ts.21cn.com/tousu/show/id/1353919","微贷网已结清但不归还车辆登记证")</f>
        <v>微贷网已结清但不归还车辆登记证</v>
      </c>
      <c r="C21786" s="2" t="s">
        <v>9</v>
      </c>
      <c r="D21786" s="2" t="s">
        <v>10</v>
      </c>
      <c r="E21786" s="2" t="str">
        <f>HYPERLINK("http://ts.21cn.com/tousu/show/id/1353919","http://ts.21cn.com/tousu/show/id/1353919")</f>
        <v>http://ts.21cn.com/tousu/show/id/1353919</v>
      </c>
      <c r="F21786" s="2" t="s">
        <v>11</v>
      </c>
      <c r="G21786" s="2" t="s">
        <v>1305</v>
      </c>
      <c r="H21786" s="2" t="s">
        <v>1306</v>
      </c>
    </row>
    <row r="21787" spans="1:8" ht="25.05" customHeight="1" x14ac:dyDescent="0.25">
      <c r="A21787" s="2" t="s">
        <v>8</v>
      </c>
      <c r="B21787" s="2" t="str">
        <f>HYPERLINK("http://ts.21cn.com/tousu/show/id/1353916","骚扰电话骚扰短信")</f>
        <v>骚扰电话骚扰短信</v>
      </c>
      <c r="C21787" s="2" t="s">
        <v>9</v>
      </c>
      <c r="D21787" s="2" t="s">
        <v>10</v>
      </c>
      <c r="E21787" s="2" t="str">
        <f>HYPERLINK("http://ts.21cn.com/tousu/show/id/1353916","http://ts.21cn.com/tousu/show/id/1353916")</f>
        <v>http://ts.21cn.com/tousu/show/id/1353916</v>
      </c>
      <c r="F21787" s="2" t="s">
        <v>11</v>
      </c>
      <c r="G21787" s="2" t="s">
        <v>1303</v>
      </c>
      <c r="H21787" s="2" t="s">
        <v>1304</v>
      </c>
    </row>
    <row r="21788" spans="1:8" ht="25.05" customHeight="1" x14ac:dyDescent="0.25">
      <c r="A21788" s="2" t="s">
        <v>8</v>
      </c>
      <c r="B21788" s="2" t="str">
        <f>HYPERLINK("http://ts.21cn.com/tousu/show/id/1353918","虚假，误导宣传，不予退款，服务态度差，很不好")</f>
        <v>虚假，误导宣传，不予退款，服务态度差，很不好</v>
      </c>
      <c r="C21788" s="2" t="s">
        <v>9</v>
      </c>
      <c r="D21788" s="2" t="s">
        <v>10</v>
      </c>
      <c r="E21788" s="2" t="str">
        <f>HYPERLINK("http://ts.21cn.com/tousu/show/id/1353918","http://ts.21cn.com/tousu/show/id/1353918")</f>
        <v>http://ts.21cn.com/tousu/show/id/1353918</v>
      </c>
      <c r="F21788" s="2" t="s">
        <v>11</v>
      </c>
      <c r="G21788" s="2" t="s">
        <v>1301</v>
      </c>
      <c r="H21788" s="2" t="s">
        <v>1302</v>
      </c>
    </row>
    <row r="21789" spans="1:8" ht="25.05" customHeight="1" x14ac:dyDescent="0.25">
      <c r="A21789" s="2" t="s">
        <v>8</v>
      </c>
      <c r="B21789" s="2" t="str">
        <f>HYPERLINK("http://ts.21cn.com/tousu/show/id/1353921","京东产品质量问题不及时处理")</f>
        <v>京东产品质量问题不及时处理</v>
      </c>
      <c r="C21789" s="2" t="s">
        <v>9</v>
      </c>
      <c r="D21789" s="2" t="s">
        <v>10</v>
      </c>
      <c r="E21789" s="2" t="str">
        <f>HYPERLINK("http://ts.21cn.com/tousu/show/id/1353921","http://ts.21cn.com/tousu/show/id/1353921")</f>
        <v>http://ts.21cn.com/tousu/show/id/1353921</v>
      </c>
      <c r="F21789" s="2" t="s">
        <v>11</v>
      </c>
      <c r="G21789" s="2" t="s">
        <v>1299</v>
      </c>
      <c r="H21789" s="2" t="s">
        <v>1300</v>
      </c>
    </row>
    <row r="21790" spans="1:8" ht="25.05" customHeight="1" x14ac:dyDescent="0.25">
      <c r="A21790" s="2" t="s">
        <v>8</v>
      </c>
      <c r="B21790" s="2" t="str">
        <f>HYPERLINK("http://ts.21cn.com/tousu/show/id/1353922","美的净水器虚假宣传促销要求退货退款")</f>
        <v>美的净水器虚假宣传促销要求退货退款</v>
      </c>
      <c r="C21790" s="2" t="s">
        <v>9</v>
      </c>
      <c r="D21790" s="2" t="s">
        <v>10</v>
      </c>
      <c r="E21790" s="2" t="str">
        <f>HYPERLINK("http://ts.21cn.com/tousu/show/id/1353922","http://ts.21cn.com/tousu/show/id/1353922")</f>
        <v>http://ts.21cn.com/tousu/show/id/1353922</v>
      </c>
      <c r="F21790" s="2" t="s">
        <v>11</v>
      </c>
      <c r="G21790" s="2" t="s">
        <v>1297</v>
      </c>
      <c r="H21790" s="2" t="s">
        <v>1298</v>
      </c>
    </row>
    <row r="21791" spans="1:8" ht="25.05" customHeight="1" x14ac:dyDescent="0.25">
      <c r="A21791" s="2" t="s">
        <v>8</v>
      </c>
      <c r="B21791" s="2" t="str">
        <f>HYPERLINK("http://ts.21cn.com/tousu/show/id/1353925","闪银奇异")</f>
        <v>闪银奇异</v>
      </c>
      <c r="C21791" s="2" t="s">
        <v>9</v>
      </c>
      <c r="D21791" s="2" t="s">
        <v>10</v>
      </c>
      <c r="E21791" s="2" t="str">
        <f>HYPERLINK("http://ts.21cn.com/tousu/show/id/1353925","http://ts.21cn.com/tousu/show/id/1353925")</f>
        <v>http://ts.21cn.com/tousu/show/id/1353925</v>
      </c>
      <c r="F21791" s="2" t="s">
        <v>11</v>
      </c>
      <c r="G21791" s="2" t="s">
        <v>1295</v>
      </c>
      <c r="H21791" s="2" t="s">
        <v>1296</v>
      </c>
    </row>
    <row r="21792" spans="1:8" ht="25.05" customHeight="1" x14ac:dyDescent="0.25">
      <c r="A21792" s="2" t="s">
        <v>8</v>
      </c>
      <c r="B21792" s="2" t="str">
        <f>HYPERLINK("http://ts.21cn.com/tousu/show/id/1353923","交易猫欺诈买家，被找回不理人！")</f>
        <v>交易猫欺诈买家，被找回不理人！</v>
      </c>
      <c r="C21792" s="2" t="s">
        <v>9</v>
      </c>
      <c r="D21792" s="2" t="s">
        <v>10</v>
      </c>
      <c r="E21792" s="2" t="str">
        <f>HYPERLINK("http://ts.21cn.com/tousu/show/id/1353923","http://ts.21cn.com/tousu/show/id/1353923")</f>
        <v>http://ts.21cn.com/tousu/show/id/1353923</v>
      </c>
      <c r="F21792" s="2" t="s">
        <v>11</v>
      </c>
      <c r="G21792" s="2" t="s">
        <v>1293</v>
      </c>
      <c r="H21792" s="2" t="s">
        <v>1294</v>
      </c>
    </row>
    <row r="21793" spans="1:8" ht="25.05" customHeight="1" x14ac:dyDescent="0.25">
      <c r="A21793" s="2" t="s">
        <v>8</v>
      </c>
      <c r="B21793" s="2" t="str">
        <f>HYPERLINK("http://ts.21cn.com/tousu/show/id/1353926","交通银行信用卡骚扰轰炸")</f>
        <v>交通银行信用卡骚扰轰炸</v>
      </c>
      <c r="C21793" s="2" t="s">
        <v>9</v>
      </c>
      <c r="D21793" s="2" t="s">
        <v>10</v>
      </c>
      <c r="E21793" s="2" t="str">
        <f>HYPERLINK("http://ts.21cn.com/tousu/show/id/1353926","http://ts.21cn.com/tousu/show/id/1353926")</f>
        <v>http://ts.21cn.com/tousu/show/id/1353926</v>
      </c>
      <c r="F21793" s="2" t="s">
        <v>11</v>
      </c>
      <c r="G21793" s="2" t="s">
        <v>1291</v>
      </c>
      <c r="H21793" s="2" t="s">
        <v>1292</v>
      </c>
    </row>
    <row r="21794" spans="1:8" ht="25.05" customHeight="1" x14ac:dyDescent="0.25">
      <c r="A21794" s="2" t="s">
        <v>8</v>
      </c>
      <c r="B21794" s="2" t="str">
        <f>HYPERLINK("http://ts.21cn.com/tousu/show/id/1353929","交易猫理赔")</f>
        <v>交易猫理赔</v>
      </c>
      <c r="C21794" s="2" t="s">
        <v>9</v>
      </c>
      <c r="D21794" s="2" t="s">
        <v>10</v>
      </c>
      <c r="E21794" s="2" t="str">
        <f>HYPERLINK("http://ts.21cn.com/tousu/show/id/1353929","http://ts.21cn.com/tousu/show/id/1353929")</f>
        <v>http://ts.21cn.com/tousu/show/id/1353929</v>
      </c>
      <c r="F21794" s="2" t="s">
        <v>11</v>
      </c>
      <c r="G21794" s="2" t="s">
        <v>1289</v>
      </c>
      <c r="H21794" s="2" t="s">
        <v>1290</v>
      </c>
    </row>
    <row r="21795" spans="1:8" ht="25.05" customHeight="1" x14ac:dyDescent="0.25">
      <c r="A21795" s="2" t="s">
        <v>8</v>
      </c>
      <c r="B21795" s="2" t="str">
        <f>HYPERLINK("http://ts.21cn.com/tousu/show/id/1353927","收到商品恶意栽赃买家拖着不给退款")</f>
        <v>收到商品恶意栽赃买家拖着不给退款</v>
      </c>
      <c r="C21795" s="2" t="s">
        <v>9</v>
      </c>
      <c r="D21795" s="2" t="s">
        <v>10</v>
      </c>
      <c r="E21795" s="2" t="str">
        <f>HYPERLINK("http://ts.21cn.com/tousu/show/id/1353927","http://ts.21cn.com/tousu/show/id/1353927")</f>
        <v>http://ts.21cn.com/tousu/show/id/1353927</v>
      </c>
      <c r="F21795" s="2" t="s">
        <v>11</v>
      </c>
      <c r="G21795" s="2" t="s">
        <v>1287</v>
      </c>
      <c r="H21795" s="2" t="s">
        <v>1288</v>
      </c>
    </row>
    <row r="21796" spans="1:8" ht="25.05" customHeight="1" x14ac:dyDescent="0.25">
      <c r="A21796" s="2" t="s">
        <v>8</v>
      </c>
      <c r="B21796" s="2" t="str">
        <f>HYPERLINK("http://ts.21cn.com/tousu/show/id/1353928","民生银行爆力催收")</f>
        <v>民生银行爆力催收</v>
      </c>
      <c r="C21796" s="2" t="s">
        <v>9</v>
      </c>
      <c r="D21796" s="2" t="s">
        <v>10</v>
      </c>
      <c r="E21796" s="2" t="str">
        <f>HYPERLINK("http://ts.21cn.com/tousu/show/id/1353928","http://ts.21cn.com/tousu/show/id/1353928")</f>
        <v>http://ts.21cn.com/tousu/show/id/1353928</v>
      </c>
      <c r="F21796" s="2" t="s">
        <v>11</v>
      </c>
      <c r="G21796" s="2" t="s">
        <v>1285</v>
      </c>
      <c r="H21796" s="2" t="s">
        <v>1286</v>
      </c>
    </row>
    <row r="21797" spans="1:8" ht="25.05" customHeight="1" x14ac:dyDescent="0.25">
      <c r="A21797" s="2" t="s">
        <v>8</v>
      </c>
      <c r="B21797" s="2" t="str">
        <f>HYPERLINK("http://ts.21cn.com/tousu/show/id/1353930","威胁恐吓")</f>
        <v>威胁恐吓</v>
      </c>
      <c r="C21797" s="2" t="s">
        <v>9</v>
      </c>
      <c r="D21797" s="2" t="s">
        <v>10</v>
      </c>
      <c r="E21797" s="2" t="str">
        <f>HYPERLINK("http://ts.21cn.com/tousu/show/id/1353930","http://ts.21cn.com/tousu/show/id/1353930")</f>
        <v>http://ts.21cn.com/tousu/show/id/1353930</v>
      </c>
      <c r="F21797" s="2" t="s">
        <v>11</v>
      </c>
      <c r="G21797" s="2" t="s">
        <v>1283</v>
      </c>
      <c r="H21797" s="2" t="s">
        <v>1284</v>
      </c>
    </row>
    <row r="21798" spans="1:8" ht="25.05" customHeight="1" x14ac:dyDescent="0.25">
      <c r="A21798" s="2" t="s">
        <v>8</v>
      </c>
      <c r="B21798" s="2" t="str">
        <f>HYPERLINK("http://ts.21cn.com/tousu/show/id/1353931","东方尚学拖欠工资")</f>
        <v>东方尚学拖欠工资</v>
      </c>
      <c r="C21798" s="2" t="s">
        <v>9</v>
      </c>
      <c r="D21798" s="2" t="s">
        <v>10</v>
      </c>
      <c r="E21798" s="2" t="str">
        <f>HYPERLINK("http://ts.21cn.com/tousu/show/id/1353931","http://ts.21cn.com/tousu/show/id/1353931")</f>
        <v>http://ts.21cn.com/tousu/show/id/1353931</v>
      </c>
      <c r="F21798" s="2" t="s">
        <v>11</v>
      </c>
      <c r="G21798" s="2" t="s">
        <v>1281</v>
      </c>
      <c r="H21798" s="2" t="s">
        <v>1282</v>
      </c>
    </row>
    <row r="21799" spans="1:8" ht="25.05" customHeight="1" x14ac:dyDescent="0.25">
      <c r="A21799" s="2" t="s">
        <v>8</v>
      </c>
      <c r="B21799" s="2" t="str">
        <f>HYPERLINK("http://ts.21cn.com/tousu/show/id/1353932","小花钱包涉及使用第三方催收平台实施恐吓暴力催收")</f>
        <v>小花钱包涉及使用第三方催收平台实施恐吓暴力催收</v>
      </c>
      <c r="C21799" s="2" t="s">
        <v>9</v>
      </c>
      <c r="D21799" s="2" t="s">
        <v>10</v>
      </c>
      <c r="E21799" s="2" t="str">
        <f>HYPERLINK("http://ts.21cn.com/tousu/show/id/1353932","http://ts.21cn.com/tousu/show/id/1353932")</f>
        <v>http://ts.21cn.com/tousu/show/id/1353932</v>
      </c>
      <c r="F21799" s="2" t="s">
        <v>11</v>
      </c>
      <c r="G21799" s="2" t="s">
        <v>1279</v>
      </c>
      <c r="H21799" s="2" t="s">
        <v>1280</v>
      </c>
    </row>
    <row r="21800" spans="1:8" ht="25.05" customHeight="1" x14ac:dyDescent="0.25">
      <c r="A21800" s="2" t="s">
        <v>8</v>
      </c>
      <c r="B21800" s="2" t="str">
        <f>HYPERLINK("http://ts.21cn.com/tousu/show/id/1353934","贷上钱二郎神高利贷暴力催收")</f>
        <v>贷上钱二郎神高利贷暴力催收</v>
      </c>
      <c r="C21800" s="2" t="s">
        <v>9</v>
      </c>
      <c r="D21800" s="2" t="s">
        <v>10</v>
      </c>
      <c r="E21800" s="2" t="str">
        <f>HYPERLINK("http://ts.21cn.com/tousu/show/id/1353934","http://ts.21cn.com/tousu/show/id/1353934")</f>
        <v>http://ts.21cn.com/tousu/show/id/1353934</v>
      </c>
      <c r="F21800" s="2" t="s">
        <v>11</v>
      </c>
      <c r="G21800" s="2" t="s">
        <v>1277</v>
      </c>
      <c r="H21800" s="2" t="s">
        <v>1278</v>
      </c>
    </row>
    <row r="21801" spans="1:8" ht="25.05" customHeight="1" x14ac:dyDescent="0.25">
      <c r="A21801" s="2" t="s">
        <v>8</v>
      </c>
      <c r="B21801" s="2" t="str">
        <f>HYPERLINK("http://ts.21cn.com/tousu/show/id/1353935","点点通不扣款")</f>
        <v>点点通不扣款</v>
      </c>
      <c r="C21801" s="2" t="s">
        <v>9</v>
      </c>
      <c r="D21801" s="2" t="s">
        <v>10</v>
      </c>
      <c r="E21801" s="2" t="str">
        <f>HYPERLINK("http://ts.21cn.com/tousu/show/id/1353935","http://ts.21cn.com/tousu/show/id/1353935")</f>
        <v>http://ts.21cn.com/tousu/show/id/1353935</v>
      </c>
      <c r="F21801" s="2" t="s">
        <v>11</v>
      </c>
      <c r="G21801" s="2" t="s">
        <v>1275</v>
      </c>
      <c r="H21801" s="2" t="s">
        <v>1276</v>
      </c>
    </row>
    <row r="21802" spans="1:8" ht="25.05" customHeight="1" x14ac:dyDescent="0.25">
      <c r="A21802" s="2" t="s">
        <v>8</v>
      </c>
      <c r="B21802" s="2" t="str">
        <f>HYPERLINK("http://ts.21cn.com/tousu/show/id/1353936","水莲金条暴力催收")</f>
        <v>水莲金条暴力催收</v>
      </c>
      <c r="C21802" s="2" t="s">
        <v>9</v>
      </c>
      <c r="D21802" s="2" t="s">
        <v>10</v>
      </c>
      <c r="E21802" s="2" t="str">
        <f>HYPERLINK("http://ts.21cn.com/tousu/show/id/1353936","http://ts.21cn.com/tousu/show/id/1353936")</f>
        <v>http://ts.21cn.com/tousu/show/id/1353936</v>
      </c>
      <c r="F21802" s="2" t="s">
        <v>11</v>
      </c>
      <c r="G21802" s="2" t="s">
        <v>1273</v>
      </c>
      <c r="H21802" s="2" t="s">
        <v>1274</v>
      </c>
    </row>
    <row r="21803" spans="1:8" ht="25.05" customHeight="1" x14ac:dyDescent="0.25">
      <c r="A21803" s="2" t="s">
        <v>8</v>
      </c>
      <c r="B21803" s="2" t="str">
        <f>HYPERLINK("http://ts.21cn.com/tousu/show/id/1353937","美团金融骚扰借款人通讯录所有人暴力催收")</f>
        <v>美团金融骚扰借款人通讯录所有人暴力催收</v>
      </c>
      <c r="C21803" s="2" t="s">
        <v>9</v>
      </c>
      <c r="D21803" s="2" t="s">
        <v>10</v>
      </c>
      <c r="E21803" s="2" t="str">
        <f>HYPERLINK("http://ts.21cn.com/tousu/show/id/1353937","http://ts.21cn.com/tousu/show/id/1353937")</f>
        <v>http://ts.21cn.com/tousu/show/id/1353937</v>
      </c>
      <c r="F21803" s="2" t="s">
        <v>11</v>
      </c>
      <c r="G21803" s="2" t="s">
        <v>1271</v>
      </c>
      <c r="H21803" s="2" t="s">
        <v>1272</v>
      </c>
    </row>
    <row r="21804" spans="1:8" ht="25.05" customHeight="1" x14ac:dyDescent="0.25">
      <c r="A21804" s="2" t="s">
        <v>8</v>
      </c>
      <c r="B21804" s="2" t="str">
        <f>HYPERLINK("http://ts.21cn.com/tousu/show/id/1348087","京东金融催收电话过多严重影响工作生活")</f>
        <v>京东金融催收电话过多严重影响工作生活</v>
      </c>
      <c r="C21804" s="2" t="s">
        <v>9</v>
      </c>
      <c r="D21804" s="2" t="s">
        <v>10</v>
      </c>
      <c r="E21804" s="2" t="str">
        <f>HYPERLINK("http://ts.21cn.com/tousu/show/id/1348087","http://ts.21cn.com/tousu/show/id/1348087")</f>
        <v>http://ts.21cn.com/tousu/show/id/1348087</v>
      </c>
      <c r="F21804" s="2" t="s">
        <v>11</v>
      </c>
      <c r="G21804" s="2" t="s">
        <v>1269</v>
      </c>
      <c r="H21804" s="2" t="s">
        <v>1270</v>
      </c>
    </row>
    <row r="21805" spans="1:8" ht="25.05" customHeight="1" x14ac:dyDescent="0.25">
      <c r="A21805" s="2" t="s">
        <v>8</v>
      </c>
      <c r="B21805" s="2" t="str">
        <f>HYPERLINK("http://ts.21cn.com/tousu/show/id/1353938","网贷并没有逾期没有到期，打电话骂人恐吓说由于他们平台违规下架提前暴力催收恐吓辱骂")</f>
        <v>网贷并没有逾期没有到期，打电话骂人恐吓说由于他们平台违规下架提前暴力催收恐吓辱骂</v>
      </c>
      <c r="C21805" s="2" t="s">
        <v>9</v>
      </c>
      <c r="D21805" s="2" t="s">
        <v>10</v>
      </c>
      <c r="E21805" s="2" t="str">
        <f>HYPERLINK("http://ts.21cn.com/tousu/show/id/1353938","http://ts.21cn.com/tousu/show/id/1353938")</f>
        <v>http://ts.21cn.com/tousu/show/id/1353938</v>
      </c>
      <c r="F21805" s="2" t="s">
        <v>11</v>
      </c>
      <c r="G21805" s="2" t="s">
        <v>1267</v>
      </c>
      <c r="H21805" s="2" t="s">
        <v>1268</v>
      </c>
    </row>
    <row r="21806" spans="1:8" ht="25.05" customHeight="1" x14ac:dyDescent="0.25">
      <c r="A21806" s="2" t="s">
        <v>8</v>
      </c>
      <c r="B21806" s="2" t="str">
        <f>HYPERLINK("http://ts.21cn.com/tousu/show/id/1353940","我在百度有钱花借款遇到高利贷了")</f>
        <v>我在百度有钱花借款遇到高利贷了</v>
      </c>
      <c r="C21806" s="2" t="s">
        <v>9</v>
      </c>
      <c r="D21806" s="2" t="s">
        <v>10</v>
      </c>
      <c r="E21806" s="2" t="str">
        <f>HYPERLINK("http://ts.21cn.com/tousu/show/id/1353940","http://ts.21cn.com/tousu/show/id/1353940")</f>
        <v>http://ts.21cn.com/tousu/show/id/1353940</v>
      </c>
      <c r="F21806" s="2" t="s">
        <v>11</v>
      </c>
      <c r="G21806" s="2" t="s">
        <v>1265</v>
      </c>
      <c r="H21806" s="2" t="s">
        <v>1266</v>
      </c>
    </row>
    <row r="21807" spans="1:8" ht="25.05" customHeight="1" x14ac:dyDescent="0.25">
      <c r="A21807" s="2" t="s">
        <v>8</v>
      </c>
      <c r="B21807" s="2" t="str">
        <f>HYPERLINK("http://ts.21cn.com/tousu/show/id/1353939","浦发违规并过度授信万用金导致无力偿还申请减免利息")</f>
        <v>浦发违规并过度授信万用金导致无力偿还申请减免利息</v>
      </c>
      <c r="C21807" s="2" t="s">
        <v>9</v>
      </c>
      <c r="D21807" s="2" t="s">
        <v>10</v>
      </c>
      <c r="E21807" s="2" t="str">
        <f>HYPERLINK("http://ts.21cn.com/tousu/show/id/1353939","http://ts.21cn.com/tousu/show/id/1353939")</f>
        <v>http://ts.21cn.com/tousu/show/id/1353939</v>
      </c>
      <c r="F21807" s="2" t="s">
        <v>11</v>
      </c>
      <c r="G21807" s="2" t="s">
        <v>1263</v>
      </c>
      <c r="H21807" s="2" t="s">
        <v>1264</v>
      </c>
    </row>
    <row r="21808" spans="1:8" ht="25.05" customHeight="1" x14ac:dyDescent="0.25">
      <c r="A21808" s="2" t="s">
        <v>8</v>
      </c>
      <c r="B21808" s="2" t="str">
        <f>HYPERLINK("http://ts.21cn.com/tousu/show/id/1353941","嗨学网诱导消费者签订霸王条款，不退费")</f>
        <v>嗨学网诱导消费者签订霸王条款，不退费</v>
      </c>
      <c r="C21808" s="2" t="s">
        <v>9</v>
      </c>
      <c r="D21808" s="2" t="s">
        <v>10</v>
      </c>
      <c r="E21808" s="2" t="str">
        <f>HYPERLINK("http://ts.21cn.com/tousu/show/id/1353941","http://ts.21cn.com/tousu/show/id/1353941")</f>
        <v>http://ts.21cn.com/tousu/show/id/1353941</v>
      </c>
      <c r="F21808" s="2" t="s">
        <v>11</v>
      </c>
      <c r="G21808" s="2" t="s">
        <v>1261</v>
      </c>
      <c r="H21808" s="2" t="s">
        <v>1262</v>
      </c>
    </row>
    <row r="21809" spans="1:8" ht="25.05" customHeight="1" x14ac:dyDescent="0.25">
      <c r="A21809" s="2" t="s">
        <v>8</v>
      </c>
      <c r="B21809" s="2" t="str">
        <f>HYPERLINK("http://ts.21cn.com/tousu/show/id/1353942","暴力催收")</f>
        <v>暴力催收</v>
      </c>
      <c r="C21809" s="2" t="s">
        <v>9</v>
      </c>
      <c r="D21809" s="2" t="s">
        <v>10</v>
      </c>
      <c r="E21809" s="2" t="str">
        <f>HYPERLINK("http://ts.21cn.com/tousu/show/id/1353942","http://ts.21cn.com/tousu/show/id/1353942")</f>
        <v>http://ts.21cn.com/tousu/show/id/1353942</v>
      </c>
      <c r="F21809" s="2" t="s">
        <v>11</v>
      </c>
      <c r="G21809" s="2" t="s">
        <v>1259</v>
      </c>
      <c r="H21809" s="2" t="s">
        <v>1260</v>
      </c>
    </row>
    <row r="21810" spans="1:8" ht="25.05" customHeight="1" x14ac:dyDescent="0.25">
      <c r="A21810" s="2" t="s">
        <v>8</v>
      </c>
      <c r="B21810" s="2" t="str">
        <f>HYPERLINK("http://ts.21cn.com/tousu/show/id/1353943","无法联系客服退款")</f>
        <v>无法联系客服退款</v>
      </c>
      <c r="C21810" s="2" t="s">
        <v>9</v>
      </c>
      <c r="D21810" s="2" t="s">
        <v>10</v>
      </c>
      <c r="E21810" s="2" t="str">
        <f>HYPERLINK("http://ts.21cn.com/tousu/show/id/1353943","http://ts.21cn.com/tousu/show/id/1353943")</f>
        <v>http://ts.21cn.com/tousu/show/id/1353943</v>
      </c>
      <c r="F21810" s="2" t="s">
        <v>11</v>
      </c>
      <c r="G21810" s="2" t="s">
        <v>1257</v>
      </c>
      <c r="H21810" s="2" t="s">
        <v>1258</v>
      </c>
    </row>
    <row r="21811" spans="1:8" ht="25.05" customHeight="1" x14ac:dyDescent="0.25">
      <c r="A21811" s="2" t="s">
        <v>8</v>
      </c>
      <c r="B21811" s="2" t="str">
        <f>HYPERLINK("http://ts.21cn.com/tousu/show/id/1353944","万卡高收费")</f>
        <v>万卡高收费</v>
      </c>
      <c r="C21811" s="2" t="s">
        <v>9</v>
      </c>
      <c r="D21811" s="2" t="s">
        <v>10</v>
      </c>
      <c r="E21811" s="2" t="str">
        <f>HYPERLINK("http://ts.21cn.com/tousu/show/id/1353944","http://ts.21cn.com/tousu/show/id/1353944")</f>
        <v>http://ts.21cn.com/tousu/show/id/1353944</v>
      </c>
      <c r="F21811" s="2" t="s">
        <v>11</v>
      </c>
      <c r="G21811" s="2" t="s">
        <v>1255</v>
      </c>
      <c r="H21811" s="2" t="s">
        <v>1256</v>
      </c>
    </row>
    <row r="21812" spans="1:8" ht="25.05" customHeight="1" x14ac:dyDescent="0.25">
      <c r="A21812" s="2" t="s">
        <v>8</v>
      </c>
      <c r="B21812" s="2" t="str">
        <f>HYPERLINK("http://ts.21cn.com/tousu/show/id/1353947","玖富高利贷")</f>
        <v>玖富高利贷</v>
      </c>
      <c r="C21812" s="2" t="s">
        <v>9</v>
      </c>
      <c r="D21812" s="2" t="s">
        <v>10</v>
      </c>
      <c r="E21812" s="2" t="str">
        <f>HYPERLINK("http://ts.21cn.com/tousu/show/id/1353947","http://ts.21cn.com/tousu/show/id/1353947")</f>
        <v>http://ts.21cn.com/tousu/show/id/1353947</v>
      </c>
      <c r="F21812" s="2" t="s">
        <v>11</v>
      </c>
      <c r="G21812" s="2" t="s">
        <v>1253</v>
      </c>
      <c r="H21812" s="2" t="s">
        <v>1254</v>
      </c>
    </row>
    <row r="21813" spans="1:8" ht="25.05" customHeight="1" x14ac:dyDescent="0.25">
      <c r="A21813" s="2" t="s">
        <v>8</v>
      </c>
      <c r="B21813" s="2" t="str">
        <f>HYPERLINK("http://ts.21cn.com/tousu/show/id/1353946","暴力催收高额利息威胁我后果自负")</f>
        <v>暴力催收高额利息威胁我后果自负</v>
      </c>
      <c r="C21813" s="2" t="s">
        <v>9</v>
      </c>
      <c r="D21813" s="2" t="s">
        <v>10</v>
      </c>
      <c r="E21813" s="2" t="str">
        <f>HYPERLINK("http://ts.21cn.com/tousu/show/id/1353946","http://ts.21cn.com/tousu/show/id/1353946")</f>
        <v>http://ts.21cn.com/tousu/show/id/1353946</v>
      </c>
      <c r="F21813" s="2" t="s">
        <v>11</v>
      </c>
      <c r="G21813" s="2" t="s">
        <v>1251</v>
      </c>
      <c r="H21813" s="2" t="s">
        <v>1252</v>
      </c>
    </row>
    <row r="21814" spans="1:8" ht="25.05" customHeight="1" x14ac:dyDescent="0.25">
      <c r="A21814" s="2" t="s">
        <v>8</v>
      </c>
      <c r="B21814" s="2" t="str">
        <f>HYPERLINK("http://ts.21cn.com/tousu/show/id/1353948","360虚假广告横行，损害用户权益")</f>
        <v>360虚假广告横行，损害用户权益</v>
      </c>
      <c r="C21814" s="2" t="s">
        <v>9</v>
      </c>
      <c r="D21814" s="2" t="s">
        <v>10</v>
      </c>
      <c r="E21814" s="2" t="str">
        <f>HYPERLINK("http://ts.21cn.com/tousu/show/id/1353948","http://ts.21cn.com/tousu/show/id/1353948")</f>
        <v>http://ts.21cn.com/tousu/show/id/1353948</v>
      </c>
      <c r="F21814" s="2" t="s">
        <v>11</v>
      </c>
      <c r="G21814" s="2" t="s">
        <v>1249</v>
      </c>
      <c r="H21814" s="2" t="s">
        <v>1250</v>
      </c>
    </row>
    <row r="21815" spans="1:8" ht="25.05" customHeight="1" x14ac:dyDescent="0.25">
      <c r="A21815" s="2" t="s">
        <v>8</v>
      </c>
      <c r="B21815" s="2" t="str">
        <f>HYPERLINK("http://ts.21cn.com/tousu/show/id/1353949","拍拍贷恶意催收")</f>
        <v>拍拍贷恶意催收</v>
      </c>
      <c r="C21815" s="2" t="s">
        <v>9</v>
      </c>
      <c r="D21815" s="2" t="s">
        <v>10</v>
      </c>
      <c r="E21815" s="2" t="str">
        <f>HYPERLINK("http://ts.21cn.com/tousu/show/id/1353949","http://ts.21cn.com/tousu/show/id/1353949")</f>
        <v>http://ts.21cn.com/tousu/show/id/1353949</v>
      </c>
      <c r="F21815" s="2" t="s">
        <v>11</v>
      </c>
      <c r="G21815" s="2" t="s">
        <v>1247</v>
      </c>
      <c r="H21815" s="2" t="s">
        <v>1248</v>
      </c>
    </row>
    <row r="21816" spans="1:8" ht="25.05" customHeight="1" x14ac:dyDescent="0.25">
      <c r="A21816" s="2" t="s">
        <v>8</v>
      </c>
      <c r="B21816" s="2" t="str">
        <f>HYPERLINK("http://ts.21cn.com/tousu/show/id/1353950","微粒贷未经授权委托第三方暴力催收")</f>
        <v>微粒贷未经授权委托第三方暴力催收</v>
      </c>
      <c r="C21816" s="2" t="s">
        <v>9</v>
      </c>
      <c r="D21816" s="2" t="s">
        <v>10</v>
      </c>
      <c r="E21816" s="2" t="str">
        <f>HYPERLINK("http://ts.21cn.com/tousu/show/id/1353950","http://ts.21cn.com/tousu/show/id/1353950")</f>
        <v>http://ts.21cn.com/tousu/show/id/1353950</v>
      </c>
      <c r="F21816" s="2" t="s">
        <v>11</v>
      </c>
      <c r="G21816" s="2" t="s">
        <v>1245</v>
      </c>
      <c r="H21816" s="2" t="s">
        <v>1246</v>
      </c>
    </row>
    <row r="21817" spans="1:8" ht="25.05" customHeight="1" x14ac:dyDescent="0.25">
      <c r="A21817" s="2" t="s">
        <v>8</v>
      </c>
      <c r="B21817" s="2" t="str">
        <f>HYPERLINK("http://ts.21cn.com/tousu/show/id/1353951","软暴力冒充公检法")</f>
        <v>软暴力冒充公检法</v>
      </c>
      <c r="C21817" s="2" t="s">
        <v>9</v>
      </c>
      <c r="D21817" s="2" t="s">
        <v>10</v>
      </c>
      <c r="E21817" s="2" t="str">
        <f>HYPERLINK("http://ts.21cn.com/tousu/show/id/1353951","http://ts.21cn.com/tousu/show/id/1353951")</f>
        <v>http://ts.21cn.com/tousu/show/id/1353951</v>
      </c>
      <c r="F21817" s="2" t="s">
        <v>11</v>
      </c>
      <c r="G21817" s="2" t="s">
        <v>1243</v>
      </c>
      <c r="H21817" s="2" t="s">
        <v>1244</v>
      </c>
    </row>
    <row r="21818" spans="1:8" ht="25.05" customHeight="1" x14ac:dyDescent="0.25">
      <c r="A21818" s="2" t="s">
        <v>8</v>
      </c>
      <c r="B21818" s="2" t="str">
        <f>HYPERLINK("http://ts.21cn.com/tousu/show/id/1353952","平台不合规合法侵犯消费者权益无故克扣个人银行账户资金严重违法乱纪")</f>
        <v>平台不合规合法侵犯消费者权益无故克扣个人银行账户资金严重违法乱纪</v>
      </c>
      <c r="C21818" s="2" t="s">
        <v>9</v>
      </c>
      <c r="D21818" s="2" t="s">
        <v>10</v>
      </c>
      <c r="E21818" s="2" t="str">
        <f>HYPERLINK("http://ts.21cn.com/tousu/show/id/1353952","http://ts.21cn.com/tousu/show/id/1353952")</f>
        <v>http://ts.21cn.com/tousu/show/id/1353952</v>
      </c>
      <c r="F21818" s="2" t="s">
        <v>11</v>
      </c>
      <c r="G21818" s="2" t="s">
        <v>1241</v>
      </c>
      <c r="H21818" s="2" t="s">
        <v>1242</v>
      </c>
    </row>
    <row r="21819" spans="1:8" ht="25.05" customHeight="1" x14ac:dyDescent="0.25">
      <c r="A21819" s="2" t="s">
        <v>8</v>
      </c>
      <c r="B21819" s="2" t="str">
        <f>HYPERLINK("http://ts.21cn.com/tousu/show/id/1353954","拉卡拉资金冻结180天")</f>
        <v>拉卡拉资金冻结180天</v>
      </c>
      <c r="C21819" s="2" t="s">
        <v>9</v>
      </c>
      <c r="D21819" s="2" t="s">
        <v>10</v>
      </c>
      <c r="E21819" s="2" t="str">
        <f>HYPERLINK("http://ts.21cn.com/tousu/show/id/1353954","http://ts.21cn.com/tousu/show/id/1353954")</f>
        <v>http://ts.21cn.com/tousu/show/id/1353954</v>
      </c>
      <c r="F21819" s="2" t="s">
        <v>11</v>
      </c>
      <c r="G21819" s="2" t="s">
        <v>1239</v>
      </c>
      <c r="H21819" s="2" t="s">
        <v>1240</v>
      </c>
    </row>
    <row r="21820" spans="1:8" ht="25.05" customHeight="1" x14ac:dyDescent="0.25">
      <c r="A21820" s="2" t="s">
        <v>8</v>
      </c>
      <c r="B21820" s="2" t="str">
        <f>HYPERLINK("http://ts.21cn.com/tousu/show/id/1353953","北银消费金融有限公司威胁催收")</f>
        <v>北银消费金融有限公司威胁催收</v>
      </c>
      <c r="C21820" s="2" t="s">
        <v>9</v>
      </c>
      <c r="D21820" s="2" t="s">
        <v>10</v>
      </c>
      <c r="E21820" s="2" t="str">
        <f>HYPERLINK("http://ts.21cn.com/tousu/show/id/1353953","http://ts.21cn.com/tousu/show/id/1353953")</f>
        <v>http://ts.21cn.com/tousu/show/id/1353953</v>
      </c>
      <c r="F21820" s="2" t="s">
        <v>11</v>
      </c>
      <c r="G21820" s="2" t="s">
        <v>1237</v>
      </c>
      <c r="H21820" s="2" t="s">
        <v>1238</v>
      </c>
    </row>
    <row r="21821" spans="1:8" ht="25.05" customHeight="1" x14ac:dyDescent="0.25">
      <c r="A21821" s="2" t="s">
        <v>8</v>
      </c>
      <c r="B21821" s="2" t="str">
        <f>HYPERLINK("http://ts.21cn.com/tousu/show/id/1353956","苏宁任性付利息吃人")</f>
        <v>苏宁任性付利息吃人</v>
      </c>
      <c r="C21821" s="2" t="s">
        <v>9</v>
      </c>
      <c r="D21821" s="2" t="s">
        <v>10</v>
      </c>
      <c r="E21821" s="2" t="str">
        <f>HYPERLINK("http://ts.21cn.com/tousu/show/id/1353956","http://ts.21cn.com/tousu/show/id/1353956")</f>
        <v>http://ts.21cn.com/tousu/show/id/1353956</v>
      </c>
      <c r="F21821" s="2" t="s">
        <v>11</v>
      </c>
      <c r="G21821" s="2" t="s">
        <v>1235</v>
      </c>
      <c r="H21821" s="2" t="s">
        <v>1236</v>
      </c>
    </row>
    <row r="21822" spans="1:8" ht="25.05" customHeight="1" x14ac:dyDescent="0.25">
      <c r="A21822" s="2" t="s">
        <v>8</v>
      </c>
      <c r="B21822" s="2" t="str">
        <f>HYPERLINK("http://ts.21cn.com/tousu/show/id/1353959","请求协商分期")</f>
        <v>请求协商分期</v>
      </c>
      <c r="C21822" s="2" t="s">
        <v>34</v>
      </c>
      <c r="D21822" s="2" t="s">
        <v>10</v>
      </c>
      <c r="E21822" s="2" t="str">
        <f>HYPERLINK("http://ts.21cn.com/tousu/show/id/1353959","http://ts.21cn.com/tousu/show/id/1353959")</f>
        <v>http://ts.21cn.com/tousu/show/id/1353959</v>
      </c>
      <c r="F21822" s="2" t="s">
        <v>11</v>
      </c>
      <c r="G21822" s="2" t="s">
        <v>1233</v>
      </c>
      <c r="H21822" s="2" t="s">
        <v>1234</v>
      </c>
    </row>
    <row r="21823" spans="1:8" ht="25.05" customHeight="1" x14ac:dyDescent="0.25">
      <c r="A21823" s="2" t="s">
        <v>8</v>
      </c>
      <c r="B21823" s="2" t="str">
        <f>HYPERLINK("http://ts.21cn.com/tousu/show/id/1353960","信用卡逾期")</f>
        <v>信用卡逾期</v>
      </c>
      <c r="C21823" s="2" t="s">
        <v>9</v>
      </c>
      <c r="D21823" s="2" t="s">
        <v>10</v>
      </c>
      <c r="E21823" s="2" t="str">
        <f>HYPERLINK("http://ts.21cn.com/tousu/show/id/1353960","http://ts.21cn.com/tousu/show/id/1353960")</f>
        <v>http://ts.21cn.com/tousu/show/id/1353960</v>
      </c>
      <c r="F21823" s="2" t="s">
        <v>11</v>
      </c>
      <c r="G21823" s="2" t="s">
        <v>1231</v>
      </c>
      <c r="H21823" s="2" t="s">
        <v>1232</v>
      </c>
    </row>
    <row r="21824" spans="1:8" ht="25.05" customHeight="1" x14ac:dyDescent="0.25">
      <c r="A21824" s="2" t="s">
        <v>8</v>
      </c>
      <c r="B21824" s="2" t="str">
        <f>HYPERLINK("http://ts.21cn.com/tousu/show/id/1353961","套路平台来分期")</f>
        <v>套路平台来分期</v>
      </c>
      <c r="C21824" s="2" t="s">
        <v>9</v>
      </c>
      <c r="D21824" s="2" t="s">
        <v>10</v>
      </c>
      <c r="E21824" s="2" t="str">
        <f>HYPERLINK("http://ts.21cn.com/tousu/show/id/1353961","http://ts.21cn.com/tousu/show/id/1353961")</f>
        <v>http://ts.21cn.com/tousu/show/id/1353961</v>
      </c>
      <c r="F21824" s="2" t="s">
        <v>11</v>
      </c>
      <c r="G21824" s="2" t="s">
        <v>1229</v>
      </c>
      <c r="H21824" s="2" t="s">
        <v>1230</v>
      </c>
    </row>
    <row r="21825" spans="1:8" ht="25.05" customHeight="1" x14ac:dyDescent="0.25">
      <c r="A21825" s="2" t="s">
        <v>8</v>
      </c>
      <c r="B21825" s="2" t="str">
        <f>HYPERLINK("http://ts.21cn.com/tousu/show/id/1353962","新橙优品暴力催收")</f>
        <v>新橙优品暴力催收</v>
      </c>
      <c r="C21825" s="2" t="s">
        <v>9</v>
      </c>
      <c r="D21825" s="2" t="s">
        <v>10</v>
      </c>
      <c r="E21825" s="2" t="str">
        <f>HYPERLINK("http://ts.21cn.com/tousu/show/id/1353962","http://ts.21cn.com/tousu/show/id/1353962")</f>
        <v>http://ts.21cn.com/tousu/show/id/1353962</v>
      </c>
      <c r="F21825" s="2" t="s">
        <v>11</v>
      </c>
      <c r="G21825" s="2" t="s">
        <v>1227</v>
      </c>
      <c r="H21825" s="2" t="s">
        <v>1228</v>
      </c>
    </row>
    <row r="21826" spans="1:8" ht="25.05" customHeight="1" x14ac:dyDescent="0.25">
      <c r="A21826" s="2" t="s">
        <v>8</v>
      </c>
      <c r="B21826" s="2" t="str">
        <f>HYPERLINK("http://ts.21cn.com/tousu/show/id/1353963","恶意拨打通讯录，威胁非欠款人")</f>
        <v>恶意拨打通讯录，威胁非欠款人</v>
      </c>
      <c r="C21826" s="2" t="s">
        <v>9</v>
      </c>
      <c r="D21826" s="2" t="s">
        <v>10</v>
      </c>
      <c r="E21826" s="2" t="str">
        <f>HYPERLINK("http://ts.21cn.com/tousu/show/id/1353963","http://ts.21cn.com/tousu/show/id/1353963")</f>
        <v>http://ts.21cn.com/tousu/show/id/1353963</v>
      </c>
      <c r="F21826" s="2" t="s">
        <v>11</v>
      </c>
      <c r="G21826" s="2" t="s">
        <v>1225</v>
      </c>
      <c r="H21826" s="2" t="s">
        <v>1226</v>
      </c>
    </row>
    <row r="21827" spans="1:8" ht="25.05" customHeight="1" x14ac:dyDescent="0.25">
      <c r="A21827" s="2" t="s">
        <v>8</v>
      </c>
      <c r="B21827" s="2" t="str">
        <f>HYPERLINK("http://ts.21cn.com/tousu/show/id/1353966","恶意扣款299元")</f>
        <v>恶意扣款299元</v>
      </c>
      <c r="C21827" s="2" t="s">
        <v>9</v>
      </c>
      <c r="D21827" s="2" t="s">
        <v>10</v>
      </c>
      <c r="E21827" s="2" t="str">
        <f>HYPERLINK("http://ts.21cn.com/tousu/show/id/1353966","http://ts.21cn.com/tousu/show/id/1353966")</f>
        <v>http://ts.21cn.com/tousu/show/id/1353966</v>
      </c>
      <c r="F21827" s="2" t="s">
        <v>11</v>
      </c>
      <c r="G21827" s="2" t="s">
        <v>1222</v>
      </c>
      <c r="H21827" s="2" t="s">
        <v>1223</v>
      </c>
    </row>
    <row r="21828" spans="1:8" ht="25.05" customHeight="1" x14ac:dyDescent="0.25">
      <c r="A21828" s="2" t="s">
        <v>8</v>
      </c>
      <c r="B21828" s="2" t="str">
        <f>HYPERLINK("http://ts.21cn.com/tousu/show/id/1353965","恶意联系家属")</f>
        <v>恶意联系家属</v>
      </c>
      <c r="C21828" s="2" t="s">
        <v>9</v>
      </c>
      <c r="D21828" s="2" t="s">
        <v>10</v>
      </c>
      <c r="E21828" s="2" t="str">
        <f>HYPERLINK("http://ts.21cn.com/tousu/show/id/1353965","http://ts.21cn.com/tousu/show/id/1353965")</f>
        <v>http://ts.21cn.com/tousu/show/id/1353965</v>
      </c>
      <c r="F21828" s="2" t="s">
        <v>11</v>
      </c>
      <c r="G21828" s="2" t="s">
        <v>1222</v>
      </c>
      <c r="H21828" s="2" t="s">
        <v>1224</v>
      </c>
    </row>
    <row r="21829" spans="1:8" ht="25.05" customHeight="1" x14ac:dyDescent="0.25">
      <c r="A21829" s="2" t="s">
        <v>8</v>
      </c>
      <c r="B21829" s="2" t="str">
        <f>HYPERLINK("http://ts.21cn.com/tousu/show/id/1353967","售楼部期满消费者，提供虚假售房信息")</f>
        <v>售楼部期满消费者，提供虚假售房信息</v>
      </c>
      <c r="C21829" s="2" t="s">
        <v>9</v>
      </c>
      <c r="D21829" s="2" t="s">
        <v>10</v>
      </c>
      <c r="E21829" s="2" t="str">
        <f>HYPERLINK("http://ts.21cn.com/tousu/show/id/1353967","http://ts.21cn.com/tousu/show/id/1353967")</f>
        <v>http://ts.21cn.com/tousu/show/id/1353967</v>
      </c>
      <c r="F21829" s="2" t="s">
        <v>11</v>
      </c>
      <c r="G21829" s="2" t="s">
        <v>1220</v>
      </c>
      <c r="H21829" s="2" t="s">
        <v>1221</v>
      </c>
    </row>
    <row r="21830" spans="1:8" ht="25.05" customHeight="1" x14ac:dyDescent="0.25">
      <c r="A21830" s="2" t="s">
        <v>8</v>
      </c>
      <c r="B21830" s="2" t="str">
        <f>HYPERLINK("http://ts.21cn.com/tousu/show/id/1353969","招商银行信用卡暴力威胁")</f>
        <v>招商银行信用卡暴力威胁</v>
      </c>
      <c r="C21830" s="2" t="s">
        <v>9</v>
      </c>
      <c r="D21830" s="2" t="s">
        <v>10</v>
      </c>
      <c r="E21830" s="2" t="str">
        <f>HYPERLINK("http://ts.21cn.com/tousu/show/id/1353969","http://ts.21cn.com/tousu/show/id/1353969")</f>
        <v>http://ts.21cn.com/tousu/show/id/1353969</v>
      </c>
      <c r="F21830" s="2" t="s">
        <v>11</v>
      </c>
      <c r="G21830" s="2" t="s">
        <v>1218</v>
      </c>
      <c r="H21830" s="2" t="s">
        <v>1219</v>
      </c>
    </row>
    <row r="21831" spans="1:8" ht="25.05" customHeight="1" x14ac:dyDescent="0.25">
      <c r="A21831" s="2" t="s">
        <v>8</v>
      </c>
      <c r="B21831" s="2" t="str">
        <f>HYPERLINK("http://ts.21cn.com/tousu/show/id/1353968","宜人贷爆通讯录")</f>
        <v>宜人贷爆通讯录</v>
      </c>
      <c r="C21831" s="2" t="s">
        <v>9</v>
      </c>
      <c r="D21831" s="2" t="s">
        <v>10</v>
      </c>
      <c r="E21831" s="2" t="str">
        <f>HYPERLINK("http://ts.21cn.com/tousu/show/id/1353968","http://ts.21cn.com/tousu/show/id/1353968")</f>
        <v>http://ts.21cn.com/tousu/show/id/1353968</v>
      </c>
      <c r="F21831" s="2" t="s">
        <v>11</v>
      </c>
      <c r="G21831" s="2" t="s">
        <v>1216</v>
      </c>
      <c r="H21831" s="2" t="s">
        <v>1217</v>
      </c>
    </row>
    <row r="21832" spans="1:8" ht="25.05" customHeight="1" x14ac:dyDescent="0.25">
      <c r="A21832" s="2" t="s">
        <v>8</v>
      </c>
      <c r="B21832" s="2" t="str">
        <f>HYPERLINK("http://ts.21cn.com/tousu/show/id/1353970","交通信用卡71元逾期上报征信不告知，而且态度恶劣")</f>
        <v>交通信用卡71元逾期上报征信不告知，而且态度恶劣</v>
      </c>
      <c r="C21832" s="2" t="s">
        <v>9</v>
      </c>
      <c r="D21832" s="2" t="s">
        <v>10</v>
      </c>
      <c r="E21832" s="2" t="str">
        <f>HYPERLINK("http://ts.21cn.com/tousu/show/id/1353970","http://ts.21cn.com/tousu/show/id/1353970")</f>
        <v>http://ts.21cn.com/tousu/show/id/1353970</v>
      </c>
      <c r="F21832" s="2" t="s">
        <v>11</v>
      </c>
      <c r="G21832" s="2" t="s">
        <v>1214</v>
      </c>
      <c r="H21832" s="2" t="s">
        <v>1215</v>
      </c>
    </row>
    <row r="21833" spans="1:8" ht="25.05" customHeight="1" x14ac:dyDescent="0.25">
      <c r="A21833" s="2" t="s">
        <v>8</v>
      </c>
      <c r="B21833" s="2" t="str">
        <f>HYPERLINK("http://ts.21cn.com/tousu/show/id/1243305","浦发万用金逾期不与协商")</f>
        <v>浦发万用金逾期不与协商</v>
      </c>
      <c r="C21833" s="2" t="s">
        <v>9</v>
      </c>
      <c r="D21833" s="2" t="s">
        <v>10</v>
      </c>
      <c r="E21833" s="2" t="str">
        <f>HYPERLINK("http://ts.21cn.com/tousu/show/id/1243305","http://ts.21cn.com/tousu/show/id/1243305")</f>
        <v>http://ts.21cn.com/tousu/show/id/1243305</v>
      </c>
      <c r="F21833" s="2" t="s">
        <v>11</v>
      </c>
      <c r="G21833" s="2" t="s">
        <v>1212</v>
      </c>
      <c r="H21833" s="2" t="s">
        <v>1213</v>
      </c>
    </row>
    <row r="21834" spans="1:8" ht="25.05" customHeight="1" x14ac:dyDescent="0.25">
      <c r="A21834" s="2" t="s">
        <v>8</v>
      </c>
      <c r="B21834" s="2" t="str">
        <f>HYPERLINK("http://ts.21cn.com/tousu/show/id/1353971","不发货，要求发货并补偿")</f>
        <v>不发货，要求发货并补偿</v>
      </c>
      <c r="C21834" s="2" t="s">
        <v>34</v>
      </c>
      <c r="D21834" s="2" t="s">
        <v>10</v>
      </c>
      <c r="E21834" s="2" t="str">
        <f>HYPERLINK("http://ts.21cn.com/tousu/show/id/1353971","http://ts.21cn.com/tousu/show/id/1353971")</f>
        <v>http://ts.21cn.com/tousu/show/id/1353971</v>
      </c>
      <c r="F21834" s="2" t="s">
        <v>11</v>
      </c>
      <c r="G21834" s="2" t="s">
        <v>1210</v>
      </c>
      <c r="H21834" s="2" t="s">
        <v>1211</v>
      </c>
    </row>
    <row r="21835" spans="1:8" ht="25.05" customHeight="1" x14ac:dyDescent="0.25">
      <c r="A21835" s="2" t="s">
        <v>8</v>
      </c>
      <c r="B21835" s="2" t="str">
        <f>HYPERLINK("http://ts.21cn.com/tousu/show/id/1353957","钱站高利贷砍头息")</f>
        <v>钱站高利贷砍头息</v>
      </c>
      <c r="C21835" s="2" t="s">
        <v>9</v>
      </c>
      <c r="D21835" s="2" t="s">
        <v>10</v>
      </c>
      <c r="E21835" s="2" t="str">
        <f>HYPERLINK("http://ts.21cn.com/tousu/show/id/1353957","http://ts.21cn.com/tousu/show/id/1353957")</f>
        <v>http://ts.21cn.com/tousu/show/id/1353957</v>
      </c>
      <c r="F21835" s="2" t="s">
        <v>11</v>
      </c>
      <c r="G21835" s="2" t="s">
        <v>1208</v>
      </c>
      <c r="H21835" s="2" t="s">
        <v>1209</v>
      </c>
    </row>
    <row r="21836" spans="1:8" ht="25.05" customHeight="1" x14ac:dyDescent="0.25">
      <c r="A21836" s="2" t="s">
        <v>8</v>
      </c>
      <c r="B21836" s="2" t="str">
        <f>HYPERLINK("http://ts.21cn.com/tousu/show/id/1353972","暴力催收骚扰")</f>
        <v>暴力催收骚扰</v>
      </c>
      <c r="C21836" s="2" t="s">
        <v>9</v>
      </c>
      <c r="D21836" s="2" t="s">
        <v>10</v>
      </c>
      <c r="E21836" s="2" t="str">
        <f>HYPERLINK("http://ts.21cn.com/tousu/show/id/1353972","http://ts.21cn.com/tousu/show/id/1353972")</f>
        <v>http://ts.21cn.com/tousu/show/id/1353972</v>
      </c>
      <c r="F21836" s="2" t="s">
        <v>11</v>
      </c>
      <c r="G21836" s="2" t="s">
        <v>1206</v>
      </c>
      <c r="H21836" s="2" t="s">
        <v>1207</v>
      </c>
    </row>
    <row r="21837" spans="1:8" ht="25.05" customHeight="1" x14ac:dyDescent="0.25">
      <c r="A21837" s="2" t="s">
        <v>8</v>
      </c>
      <c r="B21837" s="2" t="str">
        <f>HYPERLINK("http://ts.21cn.com/tousu/show/id/1353973","高利贷砍头息")</f>
        <v>高利贷砍头息</v>
      </c>
      <c r="C21837" s="2" t="s">
        <v>9</v>
      </c>
      <c r="D21837" s="2" t="s">
        <v>10</v>
      </c>
      <c r="E21837" s="2" t="str">
        <f>HYPERLINK("http://ts.21cn.com/tousu/show/id/1353973","http://ts.21cn.com/tousu/show/id/1353973")</f>
        <v>http://ts.21cn.com/tousu/show/id/1353973</v>
      </c>
      <c r="F21837" s="2" t="s">
        <v>11</v>
      </c>
      <c r="G21837" s="2" t="s">
        <v>1204</v>
      </c>
      <c r="H21837" s="2" t="s">
        <v>1205</v>
      </c>
    </row>
    <row r="21838" spans="1:8" ht="25.05" customHeight="1" x14ac:dyDescent="0.25">
      <c r="A21838" s="2" t="s">
        <v>8</v>
      </c>
      <c r="B21838" s="2" t="str">
        <f>HYPERLINK("http://ts.21cn.com/tousu/show/id/1353974","爱分期严重骚扰到我的亲朋好友还群发")</f>
        <v>爱分期严重骚扰到我的亲朋好友还群发</v>
      </c>
      <c r="C21838" s="2" t="s">
        <v>9</v>
      </c>
      <c r="D21838" s="2" t="s">
        <v>10</v>
      </c>
      <c r="E21838" s="2" t="str">
        <f>HYPERLINK("http://ts.21cn.com/tousu/show/id/1353974","http://ts.21cn.com/tousu/show/id/1353974")</f>
        <v>http://ts.21cn.com/tousu/show/id/1353974</v>
      </c>
      <c r="F21838" s="2" t="s">
        <v>11</v>
      </c>
      <c r="G21838" s="2" t="s">
        <v>1202</v>
      </c>
      <c r="H21838" s="2" t="s">
        <v>1203</v>
      </c>
    </row>
    <row r="21839" spans="1:8" ht="25.05" customHeight="1" x14ac:dyDescent="0.25">
      <c r="A21839" s="2" t="s">
        <v>8</v>
      </c>
      <c r="B21839" s="2" t="str">
        <f>HYPERLINK("http://ts.21cn.com/tousu/show/id/1353975","12306候补订单兑现失败未退款")</f>
        <v>12306候补订单兑现失败未退款</v>
      </c>
      <c r="C21839" s="2" t="s">
        <v>34</v>
      </c>
      <c r="D21839" s="2" t="s">
        <v>10</v>
      </c>
      <c r="E21839" s="2" t="str">
        <f>HYPERLINK("http://ts.21cn.com/tousu/show/id/1353975","http://ts.21cn.com/tousu/show/id/1353975")</f>
        <v>http://ts.21cn.com/tousu/show/id/1353975</v>
      </c>
      <c r="F21839" s="2" t="s">
        <v>11</v>
      </c>
      <c r="G21839" s="2" t="s">
        <v>1200</v>
      </c>
      <c r="H21839" s="2" t="s">
        <v>1201</v>
      </c>
    </row>
    <row r="21840" spans="1:8" ht="25.05" customHeight="1" x14ac:dyDescent="0.25">
      <c r="A21840" s="2" t="s">
        <v>8</v>
      </c>
      <c r="B21840" s="2" t="str">
        <f>HYPERLINK("http://ts.21cn.com/tousu/show/id/1353977","马上金融平台非法砍头息，高利贷")</f>
        <v>马上金融平台非法砍头息，高利贷</v>
      </c>
      <c r="C21840" s="2" t="s">
        <v>9</v>
      </c>
      <c r="D21840" s="2" t="s">
        <v>10</v>
      </c>
      <c r="E21840" s="2" t="str">
        <f>HYPERLINK("http://ts.21cn.com/tousu/show/id/1353977","http://ts.21cn.com/tousu/show/id/1353977")</f>
        <v>http://ts.21cn.com/tousu/show/id/1353977</v>
      </c>
      <c r="F21840" s="2" t="s">
        <v>11</v>
      </c>
      <c r="G21840" s="2" t="s">
        <v>1197</v>
      </c>
      <c r="H21840" s="2" t="s">
        <v>1198</v>
      </c>
    </row>
    <row r="21841" spans="1:8" ht="25.05" customHeight="1" x14ac:dyDescent="0.25">
      <c r="A21841" s="2" t="s">
        <v>8</v>
      </c>
      <c r="B21841" s="2" t="str">
        <f>HYPERLINK("http://ts.21cn.com/tousu/show/id/1353976","暴力催收，骚扰我的联系人")</f>
        <v>暴力催收，骚扰我的联系人</v>
      </c>
      <c r="C21841" s="2" t="s">
        <v>9</v>
      </c>
      <c r="D21841" s="2" t="s">
        <v>10</v>
      </c>
      <c r="E21841" s="2" t="str">
        <f>HYPERLINK("http://ts.21cn.com/tousu/show/id/1353976","http://ts.21cn.com/tousu/show/id/1353976")</f>
        <v>http://ts.21cn.com/tousu/show/id/1353976</v>
      </c>
      <c r="F21841" s="2" t="s">
        <v>11</v>
      </c>
      <c r="G21841" s="2" t="s">
        <v>1197</v>
      </c>
      <c r="H21841" s="2" t="s">
        <v>1199</v>
      </c>
    </row>
    <row r="21842" spans="1:8" ht="25.05" customHeight="1" x14ac:dyDescent="0.25">
      <c r="A21842" s="2" t="s">
        <v>8</v>
      </c>
      <c r="B21842" s="2" t="str">
        <f>HYPERLINK("http://ts.21cn.com/tousu/show/id/1353978","招联金融催收方暴力催收严重影响到个人生活")</f>
        <v>招联金融催收方暴力催收严重影响到个人生活</v>
      </c>
      <c r="C21842" s="2" t="s">
        <v>9</v>
      </c>
      <c r="D21842" s="2" t="s">
        <v>10</v>
      </c>
      <c r="E21842" s="2" t="str">
        <f>HYPERLINK("http://ts.21cn.com/tousu/show/id/1353978","http://ts.21cn.com/tousu/show/id/1353978")</f>
        <v>http://ts.21cn.com/tousu/show/id/1353978</v>
      </c>
      <c r="F21842" s="2" t="s">
        <v>11</v>
      </c>
      <c r="G21842" s="2" t="s">
        <v>1195</v>
      </c>
      <c r="H21842" s="2" t="s">
        <v>1196</v>
      </c>
    </row>
    <row r="21843" spans="1:8" ht="25.05" customHeight="1" x14ac:dyDescent="0.25">
      <c r="A21843" s="2" t="s">
        <v>8</v>
      </c>
      <c r="B21843" s="2" t="str">
        <f>HYPERLINK("http://ts.21cn.com/tousu/show/id/1353979","ppmoney及贷高利贷，利息高")</f>
        <v>ppmoney及贷高利贷，利息高</v>
      </c>
      <c r="C21843" s="2" t="s">
        <v>9</v>
      </c>
      <c r="D21843" s="2" t="s">
        <v>10</v>
      </c>
      <c r="E21843" s="2" t="str">
        <f>HYPERLINK("http://ts.21cn.com/tousu/show/id/1353979","http://ts.21cn.com/tousu/show/id/1353979")</f>
        <v>http://ts.21cn.com/tousu/show/id/1353979</v>
      </c>
      <c r="F21843" s="2" t="s">
        <v>11</v>
      </c>
      <c r="G21843" s="2" t="s">
        <v>1193</v>
      </c>
      <c r="H21843" s="2" t="s">
        <v>1194</v>
      </c>
    </row>
    <row r="21844" spans="1:8" ht="25.05" customHeight="1" x14ac:dyDescent="0.25">
      <c r="A21844" s="2" t="s">
        <v>8</v>
      </c>
      <c r="B21844" s="2" t="str">
        <f>HYPERLINK("http://ts.21cn.com/tousu/show/id/1353981","暴力催收，骚扰通讯录，上门骚扰")</f>
        <v>暴力催收，骚扰通讯录，上门骚扰</v>
      </c>
      <c r="C21844" s="2" t="s">
        <v>9</v>
      </c>
      <c r="D21844" s="2" t="s">
        <v>10</v>
      </c>
      <c r="E21844" s="2" t="str">
        <f>HYPERLINK("http://ts.21cn.com/tousu/show/id/1353981","http://ts.21cn.com/tousu/show/id/1353981")</f>
        <v>http://ts.21cn.com/tousu/show/id/1353981</v>
      </c>
      <c r="F21844" s="2" t="s">
        <v>11</v>
      </c>
      <c r="G21844" s="2" t="s">
        <v>1191</v>
      </c>
      <c r="H21844" s="2" t="s">
        <v>1192</v>
      </c>
    </row>
    <row r="21845" spans="1:8" ht="25.05" customHeight="1" x14ac:dyDescent="0.25">
      <c r="A21845" s="2" t="s">
        <v>8</v>
      </c>
      <c r="B21845" s="2" t="str">
        <f>HYPERLINK("http://ts.21cn.com/tousu/show/id/1353980","信用卡爆力崔收")</f>
        <v>信用卡爆力崔收</v>
      </c>
      <c r="C21845" s="2" t="s">
        <v>9</v>
      </c>
      <c r="D21845" s="2" t="s">
        <v>10</v>
      </c>
      <c r="E21845" s="2" t="str">
        <f>HYPERLINK("http://ts.21cn.com/tousu/show/id/1353980","http://ts.21cn.com/tousu/show/id/1353980")</f>
        <v>http://ts.21cn.com/tousu/show/id/1353980</v>
      </c>
      <c r="F21845" s="2" t="s">
        <v>11</v>
      </c>
      <c r="G21845" s="2" t="s">
        <v>1189</v>
      </c>
      <c r="H21845" s="2" t="s">
        <v>1190</v>
      </c>
    </row>
    <row r="21846" spans="1:8" ht="25.05" customHeight="1" x14ac:dyDescent="0.25">
      <c r="A21846" s="2" t="s">
        <v>8</v>
      </c>
      <c r="B21846" s="2" t="str">
        <f>HYPERLINK("http://ts.21cn.com/tousu/show/id/1353982","享换机委托第三方公司违法催收，暴我个人通讯录，威胁我")</f>
        <v>享换机委托第三方公司违法催收，暴我个人通讯录，威胁我</v>
      </c>
      <c r="C21846" s="2" t="s">
        <v>9</v>
      </c>
      <c r="D21846" s="2" t="s">
        <v>10</v>
      </c>
      <c r="E21846" s="2" t="str">
        <f>HYPERLINK("http://ts.21cn.com/tousu/show/id/1353982","http://ts.21cn.com/tousu/show/id/1353982")</f>
        <v>http://ts.21cn.com/tousu/show/id/1353982</v>
      </c>
      <c r="F21846" s="2" t="s">
        <v>11</v>
      </c>
      <c r="G21846" s="2" t="s">
        <v>1187</v>
      </c>
      <c r="H21846" s="2" t="s">
        <v>1188</v>
      </c>
    </row>
    <row r="21847" spans="1:8" ht="25.05" customHeight="1" x14ac:dyDescent="0.25">
      <c r="A21847" s="2" t="s">
        <v>8</v>
      </c>
      <c r="B21847" s="2" t="str">
        <f>HYPERLINK("http://ts.21cn.com/tousu/show/id/1353983","希望贵行退回高额利息及违约金")</f>
        <v>希望贵行退回高额利息及违约金</v>
      </c>
      <c r="C21847" s="2" t="s">
        <v>9</v>
      </c>
      <c r="D21847" s="2" t="s">
        <v>10</v>
      </c>
      <c r="E21847" s="2" t="str">
        <f>HYPERLINK("http://ts.21cn.com/tousu/show/id/1353983","http://ts.21cn.com/tousu/show/id/1353983")</f>
        <v>http://ts.21cn.com/tousu/show/id/1353983</v>
      </c>
      <c r="F21847" s="2" t="s">
        <v>11</v>
      </c>
      <c r="G21847" s="2" t="s">
        <v>1185</v>
      </c>
      <c r="H21847" s="2" t="s">
        <v>1186</v>
      </c>
    </row>
    <row r="21848" spans="1:8" ht="25.05" customHeight="1" x14ac:dyDescent="0.25">
      <c r="A21848" s="2" t="s">
        <v>8</v>
      </c>
      <c r="B21848" s="2" t="str">
        <f>HYPERLINK("http://ts.21cn.com/tousu/show/id/1353958","网商贷坑人")</f>
        <v>网商贷坑人</v>
      </c>
      <c r="C21848" s="2" t="s">
        <v>9</v>
      </c>
      <c r="D21848" s="2" t="s">
        <v>10</v>
      </c>
      <c r="E21848" s="2" t="str">
        <f>HYPERLINK("http://ts.21cn.com/tousu/show/id/1353958","http://ts.21cn.com/tousu/show/id/1353958")</f>
        <v>http://ts.21cn.com/tousu/show/id/1353958</v>
      </c>
      <c r="F21848" s="2" t="s">
        <v>11</v>
      </c>
      <c r="G21848" s="2" t="s">
        <v>1183</v>
      </c>
      <c r="H21848" s="2" t="s">
        <v>1184</v>
      </c>
    </row>
    <row r="21849" spans="1:8" ht="25.05" customHeight="1" x14ac:dyDescent="0.25">
      <c r="A21849" s="2" t="s">
        <v>8</v>
      </c>
      <c r="B21849" s="2" t="str">
        <f>HYPERLINK("http://ts.21cn.com/tousu/show/id/1353984","滴水贷协商一次还清")</f>
        <v>滴水贷协商一次还清</v>
      </c>
      <c r="C21849" s="2" t="s">
        <v>34</v>
      </c>
      <c r="D21849" s="2" t="s">
        <v>10</v>
      </c>
      <c r="E21849" s="2" t="str">
        <f>HYPERLINK("http://ts.21cn.com/tousu/show/id/1353984","http://ts.21cn.com/tousu/show/id/1353984")</f>
        <v>http://ts.21cn.com/tousu/show/id/1353984</v>
      </c>
      <c r="F21849" s="2" t="s">
        <v>11</v>
      </c>
      <c r="G21849" s="2" t="s">
        <v>1181</v>
      </c>
      <c r="H21849" s="2" t="s">
        <v>1182</v>
      </c>
    </row>
    <row r="21850" spans="1:8" ht="25.05" customHeight="1" x14ac:dyDescent="0.25">
      <c r="A21850" s="2" t="s">
        <v>8</v>
      </c>
      <c r="B21850" s="2" t="str">
        <f>HYPERLINK("http://ts.21cn.com/tousu/show/id/1353986","360借条暴力催款")</f>
        <v>360借条暴力催款</v>
      </c>
      <c r="C21850" s="2" t="s">
        <v>9</v>
      </c>
      <c r="D21850" s="2" t="s">
        <v>10</v>
      </c>
      <c r="E21850" s="2" t="str">
        <f>HYPERLINK("http://ts.21cn.com/tousu/show/id/1353986","http://ts.21cn.com/tousu/show/id/1353986")</f>
        <v>http://ts.21cn.com/tousu/show/id/1353986</v>
      </c>
      <c r="F21850" s="2" t="s">
        <v>11</v>
      </c>
      <c r="G21850" s="2" t="s">
        <v>1179</v>
      </c>
      <c r="H21850" s="2" t="s">
        <v>1180</v>
      </c>
    </row>
    <row r="21851" spans="1:8" ht="25.05" customHeight="1" x14ac:dyDescent="0.25">
      <c r="A21851" s="2" t="s">
        <v>8</v>
      </c>
      <c r="B21851" s="2" t="str">
        <f>HYPERLINK("http://ts.21cn.com/tousu/show/id/1353987","恶意辱骂")</f>
        <v>恶意辱骂</v>
      </c>
      <c r="C21851" s="2" t="s">
        <v>9</v>
      </c>
      <c r="D21851" s="2" t="s">
        <v>10</v>
      </c>
      <c r="E21851" s="2" t="str">
        <f>HYPERLINK("http://ts.21cn.com/tousu/show/id/1353987","http://ts.21cn.com/tousu/show/id/1353987")</f>
        <v>http://ts.21cn.com/tousu/show/id/1353987</v>
      </c>
      <c r="F21851" s="2" t="s">
        <v>11</v>
      </c>
      <c r="G21851" s="2" t="s">
        <v>1177</v>
      </c>
      <c r="H21851" s="2" t="s">
        <v>1178</v>
      </c>
    </row>
    <row r="21852" spans="1:8" ht="25.05" customHeight="1" x14ac:dyDescent="0.25">
      <c r="A21852" s="2" t="s">
        <v>8</v>
      </c>
      <c r="B21852" s="2" t="str">
        <f>HYPERLINK("http://ts.21cn.com/tousu/show/id/1353988","捷信金融非法催收")</f>
        <v>捷信金融非法催收</v>
      </c>
      <c r="C21852" s="2" t="s">
        <v>9</v>
      </c>
      <c r="D21852" s="2" t="s">
        <v>10</v>
      </c>
      <c r="E21852" s="2" t="str">
        <f>HYPERLINK("http://ts.21cn.com/tousu/show/id/1353988","http://ts.21cn.com/tousu/show/id/1353988")</f>
        <v>http://ts.21cn.com/tousu/show/id/1353988</v>
      </c>
      <c r="F21852" s="2" t="s">
        <v>11</v>
      </c>
      <c r="G21852" s="2" t="s">
        <v>1175</v>
      </c>
      <c r="H21852" s="2" t="s">
        <v>1176</v>
      </c>
    </row>
    <row r="21853" spans="1:8" ht="25.05" customHeight="1" x14ac:dyDescent="0.25">
      <c r="A21853" s="2" t="s">
        <v>8</v>
      </c>
      <c r="B21853" s="2" t="str">
        <f>HYPERLINK("http://ts.21cn.com/tousu/show/id/1353990","要求闪电借款退还财神卡")</f>
        <v>要求闪电借款退还财神卡</v>
      </c>
      <c r="C21853" s="2" t="s">
        <v>9</v>
      </c>
      <c r="D21853" s="2" t="s">
        <v>10</v>
      </c>
      <c r="E21853" s="2" t="str">
        <f>HYPERLINK("http://ts.21cn.com/tousu/show/id/1353990","http://ts.21cn.com/tousu/show/id/1353990")</f>
        <v>http://ts.21cn.com/tousu/show/id/1353990</v>
      </c>
      <c r="F21853" s="2" t="s">
        <v>11</v>
      </c>
      <c r="G21853" s="2" t="s">
        <v>1173</v>
      </c>
      <c r="H21853" s="2" t="s">
        <v>1174</v>
      </c>
    </row>
    <row r="21854" spans="1:8" ht="25.05" customHeight="1" x14ac:dyDescent="0.25">
      <c r="A21854" s="2" t="s">
        <v>8</v>
      </c>
      <c r="B21854" s="2" t="str">
        <f>HYPERLINK("http://ts.21cn.com/tousu/show/id/1353989","人身安全威胁")</f>
        <v>人身安全威胁</v>
      </c>
      <c r="C21854" s="2" t="s">
        <v>34</v>
      </c>
      <c r="D21854" s="2" t="s">
        <v>10</v>
      </c>
      <c r="E21854" s="2" t="str">
        <f>HYPERLINK("http://ts.21cn.com/tousu/show/id/1353989","http://ts.21cn.com/tousu/show/id/1353989")</f>
        <v>http://ts.21cn.com/tousu/show/id/1353989</v>
      </c>
      <c r="F21854" s="2" t="s">
        <v>11</v>
      </c>
      <c r="G21854" s="2" t="s">
        <v>1171</v>
      </c>
      <c r="H21854" s="2" t="s">
        <v>1172</v>
      </c>
    </row>
    <row r="21855" spans="1:8" ht="25.05" customHeight="1" x14ac:dyDescent="0.25">
      <c r="A21855" s="2" t="s">
        <v>8</v>
      </c>
      <c r="B21855" s="2" t="str">
        <f>HYPERLINK("http://ts.21cn.com/tousu/show/id/1353991","捷信金融就是坑，借4500到账3800")</f>
        <v>捷信金融就是坑，借4500到账3800</v>
      </c>
      <c r="C21855" s="2" t="s">
        <v>9</v>
      </c>
      <c r="D21855" s="2" t="s">
        <v>10</v>
      </c>
      <c r="E21855" s="2" t="str">
        <f>HYPERLINK("http://ts.21cn.com/tousu/show/id/1353991","http://ts.21cn.com/tousu/show/id/1353991")</f>
        <v>http://ts.21cn.com/tousu/show/id/1353991</v>
      </c>
      <c r="F21855" s="2" t="s">
        <v>11</v>
      </c>
      <c r="G21855" s="2" t="s">
        <v>1169</v>
      </c>
      <c r="H21855" s="2" t="s">
        <v>1170</v>
      </c>
    </row>
    <row r="21856" spans="1:8" ht="25.05" customHeight="1" x14ac:dyDescent="0.25">
      <c r="A21856" s="2" t="s">
        <v>8</v>
      </c>
      <c r="B21856" s="2" t="str">
        <f>HYPERLINK("http://ts.21cn.com/tousu/show/id/1353992","捷信高利贷")</f>
        <v>捷信高利贷</v>
      </c>
      <c r="C21856" s="2" t="s">
        <v>9</v>
      </c>
      <c r="D21856" s="2" t="s">
        <v>10</v>
      </c>
      <c r="E21856" s="2" t="str">
        <f>HYPERLINK("http://ts.21cn.com/tousu/show/id/1353992","http://ts.21cn.com/tousu/show/id/1353992")</f>
        <v>http://ts.21cn.com/tousu/show/id/1353992</v>
      </c>
      <c r="F21856" s="2" t="s">
        <v>11</v>
      </c>
      <c r="G21856" s="2" t="s">
        <v>1167</v>
      </c>
      <c r="H21856" s="2" t="s">
        <v>1168</v>
      </c>
    </row>
    <row r="21857" spans="1:8" ht="25.05" customHeight="1" x14ac:dyDescent="0.25">
      <c r="A21857" s="2" t="s">
        <v>8</v>
      </c>
      <c r="B21857" s="2" t="str">
        <f>HYPERLINK("http://ts.21cn.com/tousu/show/id/1353993","支付宝被禁止登入要求解除限制")</f>
        <v>支付宝被禁止登入要求解除限制</v>
      </c>
      <c r="C21857" s="2" t="s">
        <v>9</v>
      </c>
      <c r="D21857" s="2" t="s">
        <v>10</v>
      </c>
      <c r="E21857" s="2" t="str">
        <f>HYPERLINK("http://ts.21cn.com/tousu/show/id/1353993","http://ts.21cn.com/tousu/show/id/1353993")</f>
        <v>http://ts.21cn.com/tousu/show/id/1353993</v>
      </c>
      <c r="F21857" s="2" t="s">
        <v>11</v>
      </c>
      <c r="G21857" s="2" t="s">
        <v>1165</v>
      </c>
      <c r="H21857" s="2" t="s">
        <v>1166</v>
      </c>
    </row>
    <row r="21858" spans="1:8" ht="25.05" customHeight="1" x14ac:dyDescent="0.25">
      <c r="A21858" s="2" t="s">
        <v>8</v>
      </c>
      <c r="B21858" s="2" t="str">
        <f>HYPERLINK("http://ts.21cn.com/tousu/show/id/1353985","新中付支付POS隐瞒消费者强制扣取手续费")</f>
        <v>新中付支付POS隐瞒消费者强制扣取手续费</v>
      </c>
      <c r="C21858" s="2" t="s">
        <v>9</v>
      </c>
      <c r="D21858" s="2" t="s">
        <v>10</v>
      </c>
      <c r="E21858" s="2" t="str">
        <f>HYPERLINK("http://ts.21cn.com/tousu/show/id/1353985","http://ts.21cn.com/tousu/show/id/1353985")</f>
        <v>http://ts.21cn.com/tousu/show/id/1353985</v>
      </c>
      <c r="F21858" s="2" t="s">
        <v>11</v>
      </c>
      <c r="G21858" s="2" t="s">
        <v>1162</v>
      </c>
      <c r="H21858" s="2" t="s">
        <v>1163</v>
      </c>
    </row>
    <row r="21859" spans="1:8" ht="25.05" customHeight="1" x14ac:dyDescent="0.25">
      <c r="A21859" s="2" t="s">
        <v>8</v>
      </c>
      <c r="B21859" s="2" t="str">
        <f>HYPERLINK("http://ts.21cn.com/tousu/show/id/1353994","退还2018年在升学教育报考的自考大专5200多元学费")</f>
        <v>退还2018年在升学教育报考的自考大专5200多元学费</v>
      </c>
      <c r="C21859" s="2" t="s">
        <v>9</v>
      </c>
      <c r="D21859" s="2" t="s">
        <v>10</v>
      </c>
      <c r="E21859" s="2" t="str">
        <f>HYPERLINK("http://ts.21cn.com/tousu/show/id/1353994","http://ts.21cn.com/tousu/show/id/1353994")</f>
        <v>http://ts.21cn.com/tousu/show/id/1353994</v>
      </c>
      <c r="F21859" s="2" t="s">
        <v>11</v>
      </c>
      <c r="G21859" s="2" t="s">
        <v>1162</v>
      </c>
      <c r="H21859" s="2" t="s">
        <v>1164</v>
      </c>
    </row>
    <row r="21860" spans="1:8" ht="25.05" customHeight="1" x14ac:dyDescent="0.25">
      <c r="A21860" s="2" t="s">
        <v>8</v>
      </c>
      <c r="B21860" s="2" t="str">
        <f>HYPERLINK("http://ts.21cn.com/tousu/show/id/1353995","骚扰我的联系人，暴力催收")</f>
        <v>骚扰我的联系人，暴力催收</v>
      </c>
      <c r="C21860" s="2" t="s">
        <v>9</v>
      </c>
      <c r="D21860" s="2" t="s">
        <v>10</v>
      </c>
      <c r="E21860" s="2" t="str">
        <f>HYPERLINK("http://ts.21cn.com/tousu/show/id/1353995","http://ts.21cn.com/tousu/show/id/1353995")</f>
        <v>http://ts.21cn.com/tousu/show/id/1353995</v>
      </c>
      <c r="F21860" s="2" t="s">
        <v>11</v>
      </c>
      <c r="G21860" s="2" t="s">
        <v>1160</v>
      </c>
      <c r="H21860" s="2" t="s">
        <v>1161</v>
      </c>
    </row>
    <row r="21861" spans="1:8" ht="25.05" customHeight="1" x14ac:dyDescent="0.25">
      <c r="A21861" s="2" t="s">
        <v>8</v>
      </c>
      <c r="B21861" s="2" t="str">
        <f>HYPERLINK("http://ts.21cn.com/tousu/show/id/1353996","365分期暴力催收")</f>
        <v>365分期暴力催收</v>
      </c>
      <c r="C21861" s="2" t="s">
        <v>9</v>
      </c>
      <c r="D21861" s="2" t="s">
        <v>10</v>
      </c>
      <c r="E21861" s="2" t="str">
        <f>HYPERLINK("http://ts.21cn.com/tousu/show/id/1353996","http://ts.21cn.com/tousu/show/id/1353996")</f>
        <v>http://ts.21cn.com/tousu/show/id/1353996</v>
      </c>
      <c r="F21861" s="2" t="s">
        <v>11</v>
      </c>
      <c r="G21861" s="2" t="s">
        <v>1158</v>
      </c>
      <c r="H21861" s="2" t="s">
        <v>1159</v>
      </c>
    </row>
    <row r="21862" spans="1:8" ht="25.05" customHeight="1" x14ac:dyDescent="0.25">
      <c r="A21862" s="2" t="s">
        <v>8</v>
      </c>
      <c r="B21862" s="2" t="str">
        <f>HYPERLINK("http://ts.21cn.com/tousu/show/id/1353997","再不给取消借款去报警了")</f>
        <v>再不给取消借款去报警了</v>
      </c>
      <c r="C21862" s="2" t="s">
        <v>9</v>
      </c>
      <c r="D21862" s="2" t="s">
        <v>10</v>
      </c>
      <c r="E21862" s="2" t="str">
        <f>HYPERLINK("http://ts.21cn.com/tousu/show/id/1353997","http://ts.21cn.com/tousu/show/id/1353997")</f>
        <v>http://ts.21cn.com/tousu/show/id/1353997</v>
      </c>
      <c r="F21862" s="2" t="s">
        <v>11</v>
      </c>
      <c r="G21862" s="2" t="s">
        <v>1156</v>
      </c>
      <c r="H21862" s="2" t="s">
        <v>1157</v>
      </c>
    </row>
    <row r="21863" spans="1:8" ht="25.05" customHeight="1" x14ac:dyDescent="0.25">
      <c r="A21863" s="2" t="s">
        <v>8</v>
      </c>
      <c r="B21863" s="2" t="str">
        <f>HYPERLINK("http://ts.21cn.com/tousu/show/id/1354000","360借条提前还清仍要支付全部利息")</f>
        <v>360借条提前还清仍要支付全部利息</v>
      </c>
      <c r="C21863" s="2" t="s">
        <v>34</v>
      </c>
      <c r="D21863" s="2" t="s">
        <v>10</v>
      </c>
      <c r="E21863" s="2" t="str">
        <f>HYPERLINK("http://ts.21cn.com/tousu/show/id/1354000","http://ts.21cn.com/tousu/show/id/1354000")</f>
        <v>http://ts.21cn.com/tousu/show/id/1354000</v>
      </c>
      <c r="F21863" s="2" t="s">
        <v>11</v>
      </c>
      <c r="G21863" s="2" t="s">
        <v>1154</v>
      </c>
      <c r="H21863" s="2" t="s">
        <v>1155</v>
      </c>
    </row>
    <row r="21864" spans="1:8" ht="25.05" customHeight="1" x14ac:dyDescent="0.25">
      <c r="A21864" s="2" t="s">
        <v>8</v>
      </c>
      <c r="B21864" s="2" t="str">
        <f>HYPERLINK("http://ts.21cn.com/tousu/show/id/1354002","高利贷，砍头息")</f>
        <v>高利贷，砍头息</v>
      </c>
      <c r="C21864" s="2" t="s">
        <v>9</v>
      </c>
      <c r="D21864" s="2" t="s">
        <v>10</v>
      </c>
      <c r="E21864" s="2" t="str">
        <f>HYPERLINK("http://ts.21cn.com/tousu/show/id/1354002","http://ts.21cn.com/tousu/show/id/1354002")</f>
        <v>http://ts.21cn.com/tousu/show/id/1354002</v>
      </c>
      <c r="F21864" s="2" t="s">
        <v>11</v>
      </c>
      <c r="G21864" s="2" t="s">
        <v>1151</v>
      </c>
      <c r="H21864" s="2" t="s">
        <v>1152</v>
      </c>
    </row>
    <row r="21865" spans="1:8" ht="25.05" customHeight="1" x14ac:dyDescent="0.25">
      <c r="A21865" s="2" t="s">
        <v>8</v>
      </c>
      <c r="B21865" s="2" t="str">
        <f>HYPERLINK("http://ts.21cn.com/tousu/show/id/1354004","一台华硕笔记本电脑")</f>
        <v>一台华硕笔记本电脑</v>
      </c>
      <c r="C21865" s="2" t="s">
        <v>9</v>
      </c>
      <c r="D21865" s="2" t="s">
        <v>10</v>
      </c>
      <c r="E21865" s="2" t="str">
        <f>HYPERLINK("http://ts.21cn.com/tousu/show/id/1354004","http://ts.21cn.com/tousu/show/id/1354004")</f>
        <v>http://ts.21cn.com/tousu/show/id/1354004</v>
      </c>
      <c r="F21865" s="2" t="s">
        <v>11</v>
      </c>
      <c r="G21865" s="2" t="s">
        <v>1151</v>
      </c>
      <c r="H21865" s="2" t="s">
        <v>1153</v>
      </c>
    </row>
    <row r="21866" spans="1:8" ht="25.05" customHeight="1" x14ac:dyDescent="0.25">
      <c r="A21866" s="2" t="s">
        <v>8</v>
      </c>
      <c r="B21866" s="2" t="str">
        <f>HYPERLINK("http://ts.21cn.com/tousu/show/id/1354003","云闪付为不法分子提供支付通道")</f>
        <v>云闪付为不法分子提供支付通道</v>
      </c>
      <c r="C21866" s="2" t="s">
        <v>34</v>
      </c>
      <c r="D21866" s="2" t="s">
        <v>10</v>
      </c>
      <c r="E21866" s="2" t="str">
        <f>HYPERLINK("http://ts.21cn.com/tousu/show/id/1354003","http://ts.21cn.com/tousu/show/id/1354003")</f>
        <v>http://ts.21cn.com/tousu/show/id/1354003</v>
      </c>
      <c r="F21866" s="2" t="s">
        <v>11</v>
      </c>
      <c r="G21866" s="2" t="s">
        <v>1149</v>
      </c>
      <c r="H21866" s="2" t="s">
        <v>1150</v>
      </c>
    </row>
    <row r="21867" spans="1:8" ht="25.05" customHeight="1" x14ac:dyDescent="0.25">
      <c r="A21867" s="2" t="s">
        <v>8</v>
      </c>
      <c r="B21867" s="2" t="str">
        <f>HYPERLINK("http://ts.21cn.com/tousu/show/id/1354006","请求协商还款事宜")</f>
        <v>请求协商还款事宜</v>
      </c>
      <c r="C21867" s="2" t="s">
        <v>9</v>
      </c>
      <c r="D21867" s="2" t="s">
        <v>10</v>
      </c>
      <c r="E21867" s="2" t="str">
        <f>HYPERLINK("http://ts.21cn.com/tousu/show/id/1354006","http://ts.21cn.com/tousu/show/id/1354006")</f>
        <v>http://ts.21cn.com/tousu/show/id/1354006</v>
      </c>
      <c r="F21867" s="2" t="s">
        <v>11</v>
      </c>
      <c r="G21867" s="2" t="s">
        <v>1147</v>
      </c>
      <c r="H21867" s="2" t="s">
        <v>1148</v>
      </c>
    </row>
    <row r="21868" spans="1:8" ht="25.05" customHeight="1" x14ac:dyDescent="0.25">
      <c r="A21868" s="2" t="s">
        <v>8</v>
      </c>
      <c r="B21868" s="2" t="str">
        <f>HYPERLINK("http://ts.21cn.com/tousu/show/id/1354007","虾米在线高利贷，套路贷")</f>
        <v>虾米在线高利贷，套路贷</v>
      </c>
      <c r="C21868" s="2" t="s">
        <v>9</v>
      </c>
      <c r="D21868" s="2" t="s">
        <v>10</v>
      </c>
      <c r="E21868" s="2" t="str">
        <f>HYPERLINK("http://ts.21cn.com/tousu/show/id/1354007","http://ts.21cn.com/tousu/show/id/1354007")</f>
        <v>http://ts.21cn.com/tousu/show/id/1354007</v>
      </c>
      <c r="F21868" s="2" t="s">
        <v>11</v>
      </c>
      <c r="G21868" s="2" t="s">
        <v>1145</v>
      </c>
      <c r="H21868" s="2" t="s">
        <v>1146</v>
      </c>
    </row>
    <row r="21869" spans="1:8" ht="25.05" customHeight="1" x14ac:dyDescent="0.25">
      <c r="A21869" s="2" t="s">
        <v>8</v>
      </c>
      <c r="B21869" s="2" t="str">
        <f>HYPERLINK("http://ts.21cn.com/tousu/show/id/1354008","高利贷套路贷。")</f>
        <v>高利贷套路贷。</v>
      </c>
      <c r="C21869" s="2" t="s">
        <v>9</v>
      </c>
      <c r="D21869" s="2" t="s">
        <v>10</v>
      </c>
      <c r="E21869" s="2" t="str">
        <f>HYPERLINK("http://ts.21cn.com/tousu/show/id/1354008","http://ts.21cn.com/tousu/show/id/1354008")</f>
        <v>http://ts.21cn.com/tousu/show/id/1354008</v>
      </c>
      <c r="F21869" s="2" t="s">
        <v>11</v>
      </c>
      <c r="G21869" s="2" t="s">
        <v>1143</v>
      </c>
      <c r="H21869" s="2" t="s">
        <v>1144</v>
      </c>
    </row>
    <row r="21870" spans="1:8" ht="25.05" customHeight="1" x14ac:dyDescent="0.25">
      <c r="A21870" s="2" t="s">
        <v>8</v>
      </c>
      <c r="B21870" s="2" t="str">
        <f>HYPERLINK("http://ts.21cn.com/tousu/show/id/1354009","请闪电借款第三方协商还款，不要爆通讯录。")</f>
        <v>请闪电借款第三方协商还款，不要爆通讯录。</v>
      </c>
      <c r="C21870" s="2" t="s">
        <v>9</v>
      </c>
      <c r="D21870" s="2" t="s">
        <v>10</v>
      </c>
      <c r="E21870" s="2" t="str">
        <f>HYPERLINK("http://ts.21cn.com/tousu/show/id/1354009","http://ts.21cn.com/tousu/show/id/1354009")</f>
        <v>http://ts.21cn.com/tousu/show/id/1354009</v>
      </c>
      <c r="F21870" s="2" t="s">
        <v>11</v>
      </c>
      <c r="G21870" s="2" t="s">
        <v>1141</v>
      </c>
      <c r="H21870" s="2" t="s">
        <v>1142</v>
      </c>
    </row>
    <row r="21871" spans="1:8" ht="25.05" customHeight="1" x14ac:dyDescent="0.25">
      <c r="A21871" s="2" t="s">
        <v>8</v>
      </c>
      <c r="B21871" s="2" t="str">
        <f>HYPERLINK("http://ts.21cn.com/tousu/show/id/1354010","协商第一期还款金额")</f>
        <v>协商第一期还款金额</v>
      </c>
      <c r="C21871" s="2" t="s">
        <v>34</v>
      </c>
      <c r="D21871" s="2" t="s">
        <v>10</v>
      </c>
      <c r="E21871" s="2" t="str">
        <f>HYPERLINK("http://ts.21cn.com/tousu/show/id/1354010","http://ts.21cn.com/tousu/show/id/1354010")</f>
        <v>http://ts.21cn.com/tousu/show/id/1354010</v>
      </c>
      <c r="F21871" s="2" t="s">
        <v>11</v>
      </c>
      <c r="G21871" s="2" t="s">
        <v>1139</v>
      </c>
      <c r="H21871" s="2" t="s">
        <v>1140</v>
      </c>
    </row>
    <row r="21872" spans="1:8" ht="25.05" customHeight="1" x14ac:dyDescent="0.25">
      <c r="A21872" s="2" t="s">
        <v>8</v>
      </c>
      <c r="B21872" s="2" t="str">
        <f>HYPERLINK("http://ts.21cn.com/tousu/show/id/1353998","‭055196869号段电话骚扰")</f>
        <v>‭055196869号段电话骚扰</v>
      </c>
      <c r="C21872" s="2" t="s">
        <v>9</v>
      </c>
      <c r="D21872" s="2" t="s">
        <v>10</v>
      </c>
      <c r="E21872" s="2" t="str">
        <f>HYPERLINK("http://ts.21cn.com/tousu/show/id/1353998","http://ts.21cn.com/tousu/show/id/1353998")</f>
        <v>http://ts.21cn.com/tousu/show/id/1353998</v>
      </c>
      <c r="F21872" s="2" t="s">
        <v>11</v>
      </c>
      <c r="G21872" s="2" t="s">
        <v>1137</v>
      </c>
      <c r="H21872" s="2" t="s">
        <v>1138</v>
      </c>
    </row>
    <row r="21873" spans="1:8" ht="25.05" customHeight="1" x14ac:dyDescent="0.25">
      <c r="A21873" s="2" t="s">
        <v>8</v>
      </c>
      <c r="B21873" s="2" t="str">
        <f>HYPERLINK("http://ts.21cn.com/tousu/show/id/1354011","及货分期高额利息")</f>
        <v>及货分期高额利息</v>
      </c>
      <c r="C21873" s="2" t="s">
        <v>9</v>
      </c>
      <c r="D21873" s="2" t="s">
        <v>10</v>
      </c>
      <c r="E21873" s="2" t="str">
        <f>HYPERLINK("http://ts.21cn.com/tousu/show/id/1354011","http://ts.21cn.com/tousu/show/id/1354011")</f>
        <v>http://ts.21cn.com/tousu/show/id/1354011</v>
      </c>
      <c r="F21873" s="2" t="s">
        <v>11</v>
      </c>
      <c r="G21873" s="2" t="s">
        <v>1135</v>
      </c>
      <c r="H21873" s="2" t="s">
        <v>1136</v>
      </c>
    </row>
    <row r="21874" spans="1:8" ht="25.05" customHeight="1" x14ac:dyDescent="0.25">
      <c r="A21874" s="2" t="s">
        <v>8</v>
      </c>
      <c r="B21874" s="2" t="str">
        <f>HYPERLINK("http://ts.21cn.com/tousu/show/id/1354013","淘宝客服小二判定有误")</f>
        <v>淘宝客服小二判定有误</v>
      </c>
      <c r="C21874" s="2" t="s">
        <v>9</v>
      </c>
      <c r="D21874" s="2" t="s">
        <v>10</v>
      </c>
      <c r="E21874" s="2" t="str">
        <f>HYPERLINK("http://ts.21cn.com/tousu/show/id/1354013","http://ts.21cn.com/tousu/show/id/1354013")</f>
        <v>http://ts.21cn.com/tousu/show/id/1354013</v>
      </c>
      <c r="F21874" s="2" t="s">
        <v>11</v>
      </c>
      <c r="G21874" s="2" t="s">
        <v>1133</v>
      </c>
      <c r="H21874" s="2" t="s">
        <v>1134</v>
      </c>
    </row>
    <row r="21875" spans="1:8" ht="25.05" customHeight="1" x14ac:dyDescent="0.25">
      <c r="A21875" s="2" t="s">
        <v>8</v>
      </c>
      <c r="B21875" s="2" t="str">
        <f>HYPERLINK("http://ts.21cn.com/tousu/show/id/1354015","久富万卡网贷利息高的离谱")</f>
        <v>久富万卡网贷利息高的离谱</v>
      </c>
      <c r="C21875" s="2" t="s">
        <v>9</v>
      </c>
      <c r="D21875" s="2" t="s">
        <v>10</v>
      </c>
      <c r="E21875" s="2" t="str">
        <f>HYPERLINK("http://ts.21cn.com/tousu/show/id/1354015","http://ts.21cn.com/tousu/show/id/1354015")</f>
        <v>http://ts.21cn.com/tousu/show/id/1354015</v>
      </c>
      <c r="F21875" s="2" t="s">
        <v>11</v>
      </c>
      <c r="G21875" s="2" t="s">
        <v>1131</v>
      </c>
      <c r="H21875" s="2" t="s">
        <v>1132</v>
      </c>
    </row>
    <row r="21876" spans="1:8" ht="25.05" customHeight="1" x14ac:dyDescent="0.25">
      <c r="A21876" s="2" t="s">
        <v>8</v>
      </c>
      <c r="B21876" s="2" t="str">
        <f>HYPERLINK("http://ts.21cn.com/tousu/show/id/1354016","钱站高利贷阴阳合同")</f>
        <v>钱站高利贷阴阳合同</v>
      </c>
      <c r="C21876" s="2" t="s">
        <v>9</v>
      </c>
      <c r="D21876" s="2" t="s">
        <v>10</v>
      </c>
      <c r="E21876" s="2" t="str">
        <f>HYPERLINK("http://ts.21cn.com/tousu/show/id/1354016","http://ts.21cn.com/tousu/show/id/1354016")</f>
        <v>http://ts.21cn.com/tousu/show/id/1354016</v>
      </c>
      <c r="F21876" s="2" t="s">
        <v>11</v>
      </c>
      <c r="G21876" s="2" t="s">
        <v>1129</v>
      </c>
      <c r="H21876" s="2" t="s">
        <v>1130</v>
      </c>
    </row>
    <row r="21877" spans="1:8" ht="25.05" customHeight="1" x14ac:dyDescent="0.25">
      <c r="A21877" s="2" t="s">
        <v>8</v>
      </c>
      <c r="B21877" s="2" t="str">
        <f>HYPERLINK("http://ts.21cn.com/tousu/show/id/1354017","造艺科技冒充律师暴力催款")</f>
        <v>造艺科技冒充律师暴力催款</v>
      </c>
      <c r="C21877" s="2" t="s">
        <v>9</v>
      </c>
      <c r="D21877" s="2" t="s">
        <v>10</v>
      </c>
      <c r="E21877" s="2" t="str">
        <f>HYPERLINK("http://ts.21cn.com/tousu/show/id/1354017","http://ts.21cn.com/tousu/show/id/1354017")</f>
        <v>http://ts.21cn.com/tousu/show/id/1354017</v>
      </c>
      <c r="F21877" s="2" t="s">
        <v>11</v>
      </c>
      <c r="G21877" s="2" t="s">
        <v>1127</v>
      </c>
      <c r="H21877" s="2" t="s">
        <v>1128</v>
      </c>
    </row>
    <row r="21878" spans="1:8" ht="25.05" customHeight="1" x14ac:dyDescent="0.25">
      <c r="A21878" s="2" t="s">
        <v>8</v>
      </c>
      <c r="B21878" s="2" t="str">
        <f>HYPERLINK("http://ts.21cn.com/tousu/show/id/1354018","拍拍贷催收骚扰周边行为，无视监管暴力摧收，")</f>
        <v>拍拍贷催收骚扰周边行为，无视监管暴力摧收，</v>
      </c>
      <c r="C21878" s="2" t="s">
        <v>9</v>
      </c>
      <c r="D21878" s="2" t="s">
        <v>10</v>
      </c>
      <c r="E21878" s="2" t="str">
        <f>HYPERLINK("http://ts.21cn.com/tousu/show/id/1354018","http://ts.21cn.com/tousu/show/id/1354018")</f>
        <v>http://ts.21cn.com/tousu/show/id/1354018</v>
      </c>
      <c r="F21878" s="2" t="s">
        <v>11</v>
      </c>
      <c r="G21878" s="2" t="s">
        <v>1125</v>
      </c>
      <c r="H21878" s="2" t="s">
        <v>1126</v>
      </c>
    </row>
    <row r="21879" spans="1:8" ht="25.05" customHeight="1" x14ac:dyDescent="0.25">
      <c r="A21879" s="2" t="s">
        <v>8</v>
      </c>
      <c r="B21879" s="2" t="str">
        <f>HYPERLINK("http://ts.21cn.com/tousu/show/id/1354019","乐刷的快POS收取150元费用，不退费")</f>
        <v>乐刷的快POS收取150元费用，不退费</v>
      </c>
      <c r="C21879" s="2" t="s">
        <v>9</v>
      </c>
      <c r="D21879" s="2" t="s">
        <v>10</v>
      </c>
      <c r="E21879" s="2" t="str">
        <f>HYPERLINK("http://ts.21cn.com/tousu/show/id/1354019","http://ts.21cn.com/tousu/show/id/1354019")</f>
        <v>http://ts.21cn.com/tousu/show/id/1354019</v>
      </c>
      <c r="F21879" s="2" t="s">
        <v>11</v>
      </c>
      <c r="G21879" s="2" t="s">
        <v>1123</v>
      </c>
      <c r="H21879" s="2" t="s">
        <v>1124</v>
      </c>
    </row>
    <row r="21880" spans="1:8" ht="25.05" customHeight="1" x14ac:dyDescent="0.25">
      <c r="A21880" s="2" t="s">
        <v>8</v>
      </c>
      <c r="B21880" s="2" t="str">
        <f>HYPERLINK("http://ts.21cn.com/tousu/show/id/1354021","714高炮")</f>
        <v>714高炮</v>
      </c>
      <c r="C21880" s="2" t="s">
        <v>9</v>
      </c>
      <c r="D21880" s="2" t="s">
        <v>10</v>
      </c>
      <c r="E21880" s="2" t="str">
        <f>HYPERLINK("http://ts.21cn.com/tousu/show/id/1354021","http://ts.21cn.com/tousu/show/id/1354021")</f>
        <v>http://ts.21cn.com/tousu/show/id/1354021</v>
      </c>
      <c r="F21880" s="2" t="s">
        <v>11</v>
      </c>
      <c r="G21880" s="2" t="s">
        <v>1121</v>
      </c>
      <c r="H21880" s="2" t="s">
        <v>1122</v>
      </c>
    </row>
    <row r="21881" spans="1:8" ht="25.05" customHeight="1" x14ac:dyDescent="0.25">
      <c r="A21881" s="2" t="s">
        <v>8</v>
      </c>
      <c r="B21881" s="2" t="str">
        <f>HYPERLINK("http://ts.21cn.com/tousu/show/id/1354022","暴力催收侮辱恐吓骚扰")</f>
        <v>暴力催收侮辱恐吓骚扰</v>
      </c>
      <c r="C21881" s="2" t="s">
        <v>9</v>
      </c>
      <c r="D21881" s="2" t="s">
        <v>10</v>
      </c>
      <c r="E21881" s="2" t="str">
        <f>HYPERLINK("http://ts.21cn.com/tousu/show/id/1354022","http://ts.21cn.com/tousu/show/id/1354022")</f>
        <v>http://ts.21cn.com/tousu/show/id/1354022</v>
      </c>
      <c r="F21881" s="2" t="s">
        <v>11</v>
      </c>
      <c r="G21881" s="2" t="s">
        <v>1119</v>
      </c>
      <c r="H21881" s="2" t="s">
        <v>1120</v>
      </c>
    </row>
    <row r="21882" spans="1:8" ht="25.05" customHeight="1" x14ac:dyDescent="0.25">
      <c r="A21882" s="2" t="s">
        <v>8</v>
      </c>
      <c r="B21882" s="2" t="str">
        <f>HYPERLINK("http://ts.21cn.com/tousu/show/id/1354020","不给协商，爆通讯录")</f>
        <v>不给协商，爆通讯录</v>
      </c>
      <c r="C21882" s="2" t="s">
        <v>9</v>
      </c>
      <c r="D21882" s="2" t="s">
        <v>10</v>
      </c>
      <c r="E21882" s="2" t="str">
        <f>HYPERLINK("http://ts.21cn.com/tousu/show/id/1354020","http://ts.21cn.com/tousu/show/id/1354020")</f>
        <v>http://ts.21cn.com/tousu/show/id/1354020</v>
      </c>
      <c r="F21882" s="2" t="s">
        <v>11</v>
      </c>
      <c r="G21882" s="2" t="s">
        <v>1117</v>
      </c>
      <c r="H21882" s="2" t="s">
        <v>1118</v>
      </c>
    </row>
    <row r="21883" spans="1:8" ht="25.05" customHeight="1" x14ac:dyDescent="0.25">
      <c r="A21883" s="2" t="s">
        <v>8</v>
      </c>
      <c r="B21883" s="2" t="str">
        <f>HYPERLINK("http://ts.21cn.com/tousu/show/id/1354023","招商银行雇佣第三方催收恶意骚扰")</f>
        <v>招商银行雇佣第三方催收恶意骚扰</v>
      </c>
      <c r="C21883" s="2" t="s">
        <v>9</v>
      </c>
      <c r="D21883" s="2" t="s">
        <v>10</v>
      </c>
      <c r="E21883" s="2" t="str">
        <f>HYPERLINK("http://ts.21cn.com/tousu/show/id/1354023","http://ts.21cn.com/tousu/show/id/1354023")</f>
        <v>http://ts.21cn.com/tousu/show/id/1354023</v>
      </c>
      <c r="F21883" s="2" t="s">
        <v>11</v>
      </c>
      <c r="G21883" s="2" t="s">
        <v>1115</v>
      </c>
      <c r="H21883" s="2" t="s">
        <v>1116</v>
      </c>
    </row>
    <row r="21884" spans="1:8" ht="25.05" customHeight="1" x14ac:dyDescent="0.25">
      <c r="A21884" s="2" t="s">
        <v>8</v>
      </c>
      <c r="B21884" s="2" t="str">
        <f>HYPERLINK("http://ts.21cn.com/tousu/show/id/1354024","砍头息高利贷还恶意骚扰与债务无关的亲属好友")</f>
        <v>砍头息高利贷还恶意骚扰与债务无关的亲属好友</v>
      </c>
      <c r="C21884" s="2" t="s">
        <v>9</v>
      </c>
      <c r="D21884" s="2" t="s">
        <v>10</v>
      </c>
      <c r="E21884" s="2" t="str">
        <f>HYPERLINK("http://ts.21cn.com/tousu/show/id/1354024","http://ts.21cn.com/tousu/show/id/1354024")</f>
        <v>http://ts.21cn.com/tousu/show/id/1354024</v>
      </c>
      <c r="F21884" s="2" t="s">
        <v>11</v>
      </c>
      <c r="G21884" s="2" t="s">
        <v>1113</v>
      </c>
      <c r="H21884" s="2" t="s">
        <v>1114</v>
      </c>
    </row>
    <row r="21885" spans="1:8" ht="25.05" customHeight="1" x14ac:dyDescent="0.25">
      <c r="A21885" s="2" t="s">
        <v>8</v>
      </c>
      <c r="B21885" s="2" t="str">
        <f>HYPERLINK("http://ts.21cn.com/tousu/show/id/1354025","小黑鲨暴力催收")</f>
        <v>小黑鲨暴力催收</v>
      </c>
      <c r="C21885" s="2" t="s">
        <v>9</v>
      </c>
      <c r="D21885" s="2" t="s">
        <v>10</v>
      </c>
      <c r="E21885" s="2" t="str">
        <f>HYPERLINK("http://ts.21cn.com/tousu/show/id/1354025","http://ts.21cn.com/tousu/show/id/1354025")</f>
        <v>http://ts.21cn.com/tousu/show/id/1354025</v>
      </c>
      <c r="F21885" s="2" t="s">
        <v>11</v>
      </c>
      <c r="G21885" s="2" t="s">
        <v>1111</v>
      </c>
      <c r="H21885" s="2" t="s">
        <v>1112</v>
      </c>
    </row>
    <row r="21886" spans="1:8" ht="25.05" customHeight="1" x14ac:dyDescent="0.25">
      <c r="A21886" s="2" t="s">
        <v>8</v>
      </c>
      <c r="B21886" s="2" t="str">
        <f>HYPERLINK("http://ts.21cn.com/tousu/show/id/1354026","还呗提前结清不免利息")</f>
        <v>还呗提前结清不免利息</v>
      </c>
      <c r="C21886" s="2" t="s">
        <v>34</v>
      </c>
      <c r="D21886" s="2" t="s">
        <v>10</v>
      </c>
      <c r="E21886" s="2" t="str">
        <f>HYPERLINK("http://ts.21cn.com/tousu/show/id/1354026","http://ts.21cn.com/tousu/show/id/1354026")</f>
        <v>http://ts.21cn.com/tousu/show/id/1354026</v>
      </c>
      <c r="F21886" s="2" t="s">
        <v>11</v>
      </c>
      <c r="G21886" s="2" t="s">
        <v>1109</v>
      </c>
      <c r="H21886" s="2" t="s">
        <v>1110</v>
      </c>
    </row>
    <row r="21887" spans="1:8" ht="25.05" customHeight="1" x14ac:dyDescent="0.25">
      <c r="A21887" s="2" t="s">
        <v>8</v>
      </c>
      <c r="B21887" s="2" t="str">
        <f>HYPERLINK("http://ts.21cn.com/tousu/show/id/1354027","滴滴诱导乘客取消订单")</f>
        <v>滴滴诱导乘客取消订单</v>
      </c>
      <c r="C21887" s="2" t="s">
        <v>9</v>
      </c>
      <c r="D21887" s="2" t="s">
        <v>10</v>
      </c>
      <c r="E21887" s="2" t="str">
        <f>HYPERLINK("http://ts.21cn.com/tousu/show/id/1354027","http://ts.21cn.com/tousu/show/id/1354027")</f>
        <v>http://ts.21cn.com/tousu/show/id/1354027</v>
      </c>
      <c r="F21887" s="2" t="s">
        <v>11</v>
      </c>
      <c r="G21887" s="2" t="s">
        <v>1107</v>
      </c>
      <c r="H21887" s="2" t="s">
        <v>1108</v>
      </c>
    </row>
    <row r="21888" spans="1:8" ht="25.05" customHeight="1" x14ac:dyDescent="0.25">
      <c r="A21888" s="2" t="s">
        <v>8</v>
      </c>
      <c r="B21888" s="2" t="str">
        <f>HYPERLINK("http://ts.21cn.com/tousu/show/id/1354028","钱站说什么账户高风险不同意一次性结清")</f>
        <v>钱站说什么账户高风险不同意一次性结清</v>
      </c>
      <c r="C21888" s="2" t="s">
        <v>34</v>
      </c>
      <c r="D21888" s="2" t="s">
        <v>10</v>
      </c>
      <c r="E21888" s="2" t="str">
        <f>HYPERLINK("http://ts.21cn.com/tousu/show/id/1354028","http://ts.21cn.com/tousu/show/id/1354028")</f>
        <v>http://ts.21cn.com/tousu/show/id/1354028</v>
      </c>
      <c r="F21888" s="2" t="s">
        <v>11</v>
      </c>
      <c r="G21888" s="2" t="s">
        <v>1105</v>
      </c>
      <c r="H21888" s="2" t="s">
        <v>1106</v>
      </c>
    </row>
    <row r="21889" spans="1:8" ht="25.05" customHeight="1" x14ac:dyDescent="0.25">
      <c r="A21889" s="2" t="s">
        <v>8</v>
      </c>
      <c r="B21889" s="2" t="str">
        <f>HYPERLINK("http://ts.21cn.com/tousu/show/id/1354029","不要继续骚扰威胁我了")</f>
        <v>不要继续骚扰威胁我了</v>
      </c>
      <c r="C21889" s="2" t="s">
        <v>9</v>
      </c>
      <c r="D21889" s="2" t="s">
        <v>10</v>
      </c>
      <c r="E21889" s="2" t="str">
        <f>HYPERLINK("http://ts.21cn.com/tousu/show/id/1354029","http://ts.21cn.com/tousu/show/id/1354029")</f>
        <v>http://ts.21cn.com/tousu/show/id/1354029</v>
      </c>
      <c r="F21889" s="2" t="s">
        <v>11</v>
      </c>
      <c r="G21889" s="2" t="s">
        <v>1103</v>
      </c>
      <c r="H21889" s="2" t="s">
        <v>1104</v>
      </c>
    </row>
    <row r="21890" spans="1:8" ht="25.05" customHeight="1" x14ac:dyDescent="0.25">
      <c r="A21890" s="2" t="s">
        <v>8</v>
      </c>
      <c r="B21890" s="2" t="str">
        <f>HYPERLINK("http://ts.21cn.com/tousu/show/id/1354030","北京恒昌")</f>
        <v>北京恒昌</v>
      </c>
      <c r="C21890" s="2" t="s">
        <v>9</v>
      </c>
      <c r="D21890" s="2" t="s">
        <v>10</v>
      </c>
      <c r="E21890" s="2" t="str">
        <f>HYPERLINK("http://ts.21cn.com/tousu/show/id/1354030","http://ts.21cn.com/tousu/show/id/1354030")</f>
        <v>http://ts.21cn.com/tousu/show/id/1354030</v>
      </c>
      <c r="F21890" s="2" t="s">
        <v>11</v>
      </c>
      <c r="G21890" s="2" t="s">
        <v>1101</v>
      </c>
      <c r="H21890" s="2" t="s">
        <v>1102</v>
      </c>
    </row>
    <row r="21891" spans="1:8" ht="25.05" customHeight="1" x14ac:dyDescent="0.25">
      <c r="A21891" s="2" t="s">
        <v>8</v>
      </c>
      <c r="B21891" s="2" t="str">
        <f>HYPERLINK("http://ts.21cn.com/tousu/show/id/1354031","有用分期暴力催收")</f>
        <v>有用分期暴力催收</v>
      </c>
      <c r="C21891" s="2" t="s">
        <v>9</v>
      </c>
      <c r="D21891" s="2" t="s">
        <v>10</v>
      </c>
      <c r="E21891" s="2" t="str">
        <f>HYPERLINK("http://ts.21cn.com/tousu/show/id/1354031","http://ts.21cn.com/tousu/show/id/1354031")</f>
        <v>http://ts.21cn.com/tousu/show/id/1354031</v>
      </c>
      <c r="F21891" s="2" t="s">
        <v>11</v>
      </c>
      <c r="G21891" s="2" t="s">
        <v>1099</v>
      </c>
      <c r="H21891" s="2" t="s">
        <v>1100</v>
      </c>
    </row>
    <row r="21892" spans="1:8" ht="25.05" customHeight="1" x14ac:dyDescent="0.25">
      <c r="A21892" s="2" t="s">
        <v>8</v>
      </c>
      <c r="B21892" s="2" t="str">
        <f>HYPERLINK("http://ts.21cn.com/tousu/show/id/1354032","借贷宝收取高额逾期管理费")</f>
        <v>借贷宝收取高额逾期管理费</v>
      </c>
      <c r="C21892" s="2" t="s">
        <v>9</v>
      </c>
      <c r="D21892" s="2" t="s">
        <v>10</v>
      </c>
      <c r="E21892" s="2" t="str">
        <f>HYPERLINK("http://ts.21cn.com/tousu/show/id/1354032","http://ts.21cn.com/tousu/show/id/1354032")</f>
        <v>http://ts.21cn.com/tousu/show/id/1354032</v>
      </c>
      <c r="F21892" s="2" t="s">
        <v>11</v>
      </c>
      <c r="G21892" s="2" t="s">
        <v>1097</v>
      </c>
      <c r="H21892" s="2" t="s">
        <v>1098</v>
      </c>
    </row>
    <row r="21893" spans="1:8" ht="25.05" customHeight="1" x14ac:dyDescent="0.25">
      <c r="A21893" s="2" t="s">
        <v>8</v>
      </c>
      <c r="B21893" s="2" t="str">
        <f>HYPERLINK("http://ts.21cn.com/tousu/show/id/1354033","捷信高利贷")</f>
        <v>捷信高利贷</v>
      </c>
      <c r="C21893" s="2" t="s">
        <v>9</v>
      </c>
      <c r="D21893" s="2" t="s">
        <v>10</v>
      </c>
      <c r="E21893" s="2" t="str">
        <f>HYPERLINK("http://ts.21cn.com/tousu/show/id/1354033","http://ts.21cn.com/tousu/show/id/1354033")</f>
        <v>http://ts.21cn.com/tousu/show/id/1354033</v>
      </c>
      <c r="F21893" s="2" t="s">
        <v>11</v>
      </c>
      <c r="G21893" s="2" t="s">
        <v>1095</v>
      </c>
      <c r="H21893" s="2" t="s">
        <v>1096</v>
      </c>
    </row>
    <row r="21894" spans="1:8" ht="25.05" customHeight="1" x14ac:dyDescent="0.25">
      <c r="A21894" s="2" t="s">
        <v>8</v>
      </c>
      <c r="B21894" s="2" t="str">
        <f>HYPERLINK("http://ts.21cn.com/tousu/show/id/1354034","看不到贷款合同，放款金额与贷款金不符")</f>
        <v>看不到贷款合同，放款金额与贷款金不符</v>
      </c>
      <c r="C21894" s="2" t="s">
        <v>9</v>
      </c>
      <c r="D21894" s="2" t="s">
        <v>10</v>
      </c>
      <c r="E21894" s="2" t="str">
        <f>HYPERLINK("http://ts.21cn.com/tousu/show/id/1354034","http://ts.21cn.com/tousu/show/id/1354034")</f>
        <v>http://ts.21cn.com/tousu/show/id/1354034</v>
      </c>
      <c r="F21894" s="2" t="s">
        <v>11</v>
      </c>
      <c r="G21894" s="2" t="s">
        <v>1093</v>
      </c>
      <c r="H21894" s="2" t="s">
        <v>1094</v>
      </c>
    </row>
    <row r="21895" spans="1:8" ht="25.05" customHeight="1" x14ac:dyDescent="0.25">
      <c r="A21895" s="2" t="s">
        <v>8</v>
      </c>
      <c r="B21895" s="2" t="str">
        <f>HYPERLINK("http://ts.21cn.com/tousu/show/id/1354035","京东白条还款失败导致逾期")</f>
        <v>京东白条还款失败导致逾期</v>
      </c>
      <c r="C21895" s="2" t="s">
        <v>34</v>
      </c>
      <c r="D21895" s="2" t="s">
        <v>10</v>
      </c>
      <c r="E21895" s="2" t="str">
        <f>HYPERLINK("http://ts.21cn.com/tousu/show/id/1354035","http://ts.21cn.com/tousu/show/id/1354035")</f>
        <v>http://ts.21cn.com/tousu/show/id/1354035</v>
      </c>
      <c r="F21895" s="2" t="s">
        <v>11</v>
      </c>
      <c r="G21895" s="2" t="s">
        <v>1091</v>
      </c>
      <c r="H21895" s="2" t="s">
        <v>1092</v>
      </c>
    </row>
    <row r="21896" spans="1:8" ht="25.05" customHeight="1" x14ac:dyDescent="0.25">
      <c r="A21896" s="2" t="s">
        <v>8</v>
      </c>
      <c r="B21896" s="2" t="str">
        <f>HYPERLINK("http://ts.21cn.com/tousu/show/id/1354005","借款失败，账号冻结")</f>
        <v>借款失败，账号冻结</v>
      </c>
      <c r="C21896" s="2" t="s">
        <v>9</v>
      </c>
      <c r="D21896" s="2" t="s">
        <v>10</v>
      </c>
      <c r="E21896" s="2" t="str">
        <f>HYPERLINK("http://ts.21cn.com/tousu/show/id/1354005","http://ts.21cn.com/tousu/show/id/1354005")</f>
        <v>http://ts.21cn.com/tousu/show/id/1354005</v>
      </c>
      <c r="F21896" s="2" t="s">
        <v>11</v>
      </c>
      <c r="G21896" s="2" t="s">
        <v>1089</v>
      </c>
      <c r="H21896" s="2" t="s">
        <v>1090</v>
      </c>
    </row>
    <row r="21897" spans="1:8" ht="25.05" customHeight="1" x14ac:dyDescent="0.25">
      <c r="A21897" s="2" t="s">
        <v>8</v>
      </c>
      <c r="B21897" s="2" t="str">
        <f>HYPERLINK("http://ts.21cn.com/tousu/show/id/1354036","盼达退押金")</f>
        <v>盼达退押金</v>
      </c>
      <c r="C21897" s="2" t="s">
        <v>9</v>
      </c>
      <c r="D21897" s="2" t="s">
        <v>10</v>
      </c>
      <c r="E21897" s="2" t="str">
        <f>HYPERLINK("http://ts.21cn.com/tousu/show/id/1354036","http://ts.21cn.com/tousu/show/id/1354036")</f>
        <v>http://ts.21cn.com/tousu/show/id/1354036</v>
      </c>
      <c r="F21897" s="2" t="s">
        <v>11</v>
      </c>
      <c r="G21897" s="2" t="s">
        <v>1087</v>
      </c>
      <c r="H21897" s="2" t="s">
        <v>1088</v>
      </c>
    </row>
    <row r="21898" spans="1:8" ht="25.05" customHeight="1" x14ac:dyDescent="0.25">
      <c r="A21898" s="2" t="s">
        <v>8</v>
      </c>
      <c r="B21898" s="2" t="str">
        <f>HYPERLINK("http://ts.21cn.com/tousu/show/id/1354037","平台是怎么窃取我手机通讯录号码的")</f>
        <v>平台是怎么窃取我手机通讯录号码的</v>
      </c>
      <c r="C21898" s="2" t="s">
        <v>9</v>
      </c>
      <c r="D21898" s="2" t="s">
        <v>10</v>
      </c>
      <c r="E21898" s="2" t="str">
        <f>HYPERLINK("http://ts.21cn.com/tousu/show/id/1354037","http://ts.21cn.com/tousu/show/id/1354037")</f>
        <v>http://ts.21cn.com/tousu/show/id/1354037</v>
      </c>
      <c r="F21898" s="2" t="s">
        <v>11</v>
      </c>
      <c r="G21898" s="2" t="s">
        <v>1085</v>
      </c>
      <c r="H21898" s="2" t="s">
        <v>1086</v>
      </c>
    </row>
    <row r="21899" spans="1:8" ht="25.05" customHeight="1" x14ac:dyDescent="0.25">
      <c r="A21899" s="2" t="s">
        <v>8</v>
      </c>
      <c r="B21899" s="2" t="str">
        <f>HYPERLINK("http://ts.21cn.com/tousu/show/id/1354012","现金巴士砍头息")</f>
        <v>现金巴士砍头息</v>
      </c>
      <c r="C21899" s="2" t="s">
        <v>34</v>
      </c>
      <c r="D21899" s="2" t="s">
        <v>10</v>
      </c>
      <c r="E21899" s="2" t="str">
        <f>HYPERLINK("http://ts.21cn.com/tousu/show/id/1354012","http://ts.21cn.com/tousu/show/id/1354012")</f>
        <v>http://ts.21cn.com/tousu/show/id/1354012</v>
      </c>
      <c r="F21899" s="2" t="s">
        <v>11</v>
      </c>
      <c r="G21899" s="2" t="s">
        <v>1083</v>
      </c>
      <c r="H21899" s="2" t="s">
        <v>1084</v>
      </c>
    </row>
    <row r="21900" spans="1:8" ht="25.05" customHeight="1" x14ac:dyDescent="0.25">
      <c r="A21900" s="2" t="s">
        <v>8</v>
      </c>
      <c r="B21900" s="2" t="str">
        <f>HYPERLINK("http://ts.21cn.com/tousu/show/id/1354038","深圳市春凯商业保理有限公司涉嫌高利贷，借款1150，7天利息350。而且进行暴力催收")</f>
        <v>深圳市春凯商业保理有限公司涉嫌高利贷，借款1150，7天利息350。而且进行暴力催收</v>
      </c>
      <c r="C21900" s="2" t="s">
        <v>9</v>
      </c>
      <c r="D21900" s="2" t="s">
        <v>10</v>
      </c>
      <c r="E21900" s="2" t="str">
        <f>HYPERLINK("http://ts.21cn.com/tousu/show/id/1354038","http://ts.21cn.com/tousu/show/id/1354038")</f>
        <v>http://ts.21cn.com/tousu/show/id/1354038</v>
      </c>
      <c r="F21900" s="2" t="s">
        <v>11</v>
      </c>
      <c r="G21900" s="2" t="s">
        <v>1081</v>
      </c>
      <c r="H21900" s="2" t="s">
        <v>1082</v>
      </c>
    </row>
    <row r="21901" spans="1:8" ht="25.05" customHeight="1" x14ac:dyDescent="0.25">
      <c r="A21901" s="2" t="s">
        <v>8</v>
      </c>
      <c r="B21901" s="2" t="str">
        <f>HYPERLINK("http://ts.21cn.com/tousu/show/id/1354040","恶意扣银行卡钱")</f>
        <v>恶意扣银行卡钱</v>
      </c>
      <c r="C21901" s="2" t="s">
        <v>9</v>
      </c>
      <c r="D21901" s="2" t="s">
        <v>10</v>
      </c>
      <c r="E21901" s="2" t="str">
        <f>HYPERLINK("http://ts.21cn.com/tousu/show/id/1354040","http://ts.21cn.com/tousu/show/id/1354040")</f>
        <v>http://ts.21cn.com/tousu/show/id/1354040</v>
      </c>
      <c r="F21901" s="2" t="s">
        <v>11</v>
      </c>
      <c r="G21901" s="2" t="s">
        <v>1079</v>
      </c>
      <c r="H21901" s="2" t="s">
        <v>1080</v>
      </c>
    </row>
    <row r="21902" spans="1:8" ht="25.05" customHeight="1" x14ac:dyDescent="0.25">
      <c r="A21902" s="2" t="s">
        <v>8</v>
      </c>
      <c r="B21902" s="2" t="str">
        <f>HYPERLINK("http://ts.21cn.com/tousu/show/id/1354039","捷信金融消费贷款问题")</f>
        <v>捷信金融消费贷款问题</v>
      </c>
      <c r="C21902" s="2" t="s">
        <v>34</v>
      </c>
      <c r="D21902" s="2" t="s">
        <v>10</v>
      </c>
      <c r="E21902" s="2" t="str">
        <f>HYPERLINK("http://ts.21cn.com/tousu/show/id/1354039","http://ts.21cn.com/tousu/show/id/1354039")</f>
        <v>http://ts.21cn.com/tousu/show/id/1354039</v>
      </c>
      <c r="F21902" s="2" t="s">
        <v>11</v>
      </c>
      <c r="G21902" s="2" t="s">
        <v>1077</v>
      </c>
      <c r="H21902" s="2" t="s">
        <v>1078</v>
      </c>
    </row>
    <row r="21903" spans="1:8" ht="25.05" customHeight="1" x14ac:dyDescent="0.25">
      <c r="A21903" s="2" t="s">
        <v>8</v>
      </c>
      <c r="B21903" s="2" t="str">
        <f>HYPERLINK("http://ts.21cn.com/tousu/show/id/1354041","暴力催收，威胁恐吓")</f>
        <v>暴力催收，威胁恐吓</v>
      </c>
      <c r="C21903" s="2" t="s">
        <v>9</v>
      </c>
      <c r="D21903" s="2" t="s">
        <v>10</v>
      </c>
      <c r="E21903" s="2" t="str">
        <f>HYPERLINK("http://ts.21cn.com/tousu/show/id/1354041","http://ts.21cn.com/tousu/show/id/1354041")</f>
        <v>http://ts.21cn.com/tousu/show/id/1354041</v>
      </c>
      <c r="F21903" s="2" t="s">
        <v>11</v>
      </c>
      <c r="G21903" s="2" t="s">
        <v>1075</v>
      </c>
      <c r="H21903" s="2" t="s">
        <v>1076</v>
      </c>
    </row>
    <row r="21904" spans="1:8" ht="25.05" customHeight="1" x14ac:dyDescent="0.25">
      <c r="A21904" s="2" t="s">
        <v>8</v>
      </c>
      <c r="B21904" s="2" t="str">
        <f>HYPERLINK("http://ts.21cn.com/tousu/show/id/1354042","海纳百川巨坑")</f>
        <v>海纳百川巨坑</v>
      </c>
      <c r="C21904" s="2" t="s">
        <v>34</v>
      </c>
      <c r="D21904" s="2" t="s">
        <v>10</v>
      </c>
      <c r="E21904" s="2" t="str">
        <f>HYPERLINK("http://ts.21cn.com/tousu/show/id/1354042","http://ts.21cn.com/tousu/show/id/1354042")</f>
        <v>http://ts.21cn.com/tousu/show/id/1354042</v>
      </c>
      <c r="F21904" s="2" t="s">
        <v>11</v>
      </c>
      <c r="G21904" s="2" t="s">
        <v>1073</v>
      </c>
      <c r="H21904" s="2" t="s">
        <v>1074</v>
      </c>
    </row>
    <row r="21905" spans="1:8" ht="25.05" customHeight="1" x14ac:dyDescent="0.25">
      <c r="A21905" s="2" t="s">
        <v>8</v>
      </c>
      <c r="B21905" s="2" t="str">
        <f>HYPERLINK("http://ts.21cn.com/tousu/show/id/1353718","大王贷款砍头息")</f>
        <v>大王贷款砍头息</v>
      </c>
      <c r="C21905" s="2" t="s">
        <v>9</v>
      </c>
      <c r="D21905" s="2" t="s">
        <v>10</v>
      </c>
      <c r="E21905" s="2" t="str">
        <f>HYPERLINK("http://ts.21cn.com/tousu/show/id/1353718","http://ts.21cn.com/tousu/show/id/1353718")</f>
        <v>http://ts.21cn.com/tousu/show/id/1353718</v>
      </c>
      <c r="F21905" s="2" t="s">
        <v>11</v>
      </c>
      <c r="G21905" s="2" t="s">
        <v>1070</v>
      </c>
      <c r="H21905" s="2" t="s">
        <v>1071</v>
      </c>
    </row>
    <row r="21906" spans="1:8" ht="25.05" customHeight="1" x14ac:dyDescent="0.25">
      <c r="A21906" s="2" t="s">
        <v>8</v>
      </c>
      <c r="B21906" s="2" t="str">
        <f>HYPERLINK("http://ts.21cn.com/tousu/show/id/1354043","及贷智享贷暴力催收")</f>
        <v>及贷智享贷暴力催收</v>
      </c>
      <c r="C21906" s="2" t="s">
        <v>9</v>
      </c>
      <c r="D21906" s="2" t="s">
        <v>10</v>
      </c>
      <c r="E21906" s="2" t="str">
        <f>HYPERLINK("http://ts.21cn.com/tousu/show/id/1354043","http://ts.21cn.com/tousu/show/id/1354043")</f>
        <v>http://ts.21cn.com/tousu/show/id/1354043</v>
      </c>
      <c r="F21906" s="2" t="s">
        <v>11</v>
      </c>
      <c r="G21906" s="2" t="s">
        <v>1070</v>
      </c>
      <c r="H21906" s="2" t="s">
        <v>1072</v>
      </c>
    </row>
    <row r="21907" spans="1:8" ht="25.05" customHeight="1" x14ac:dyDescent="0.25">
      <c r="A21907" s="2" t="s">
        <v>8</v>
      </c>
      <c r="B21907" s="2" t="str">
        <f>HYPERLINK("http://ts.21cn.com/tousu/show/id/1354044","及贷变相收取高额利息要求只还本金")</f>
        <v>及贷变相收取高额利息要求只还本金</v>
      </c>
      <c r="C21907" s="2" t="s">
        <v>9</v>
      </c>
      <c r="D21907" s="2" t="s">
        <v>10</v>
      </c>
      <c r="E21907" s="2" t="str">
        <f>HYPERLINK("http://ts.21cn.com/tousu/show/id/1354044","http://ts.21cn.com/tousu/show/id/1354044")</f>
        <v>http://ts.21cn.com/tousu/show/id/1354044</v>
      </c>
      <c r="F21907" s="2" t="s">
        <v>11</v>
      </c>
      <c r="G21907" s="2" t="s">
        <v>1068</v>
      </c>
      <c r="H21907" s="2" t="s">
        <v>1069</v>
      </c>
    </row>
    <row r="21908" spans="1:8" ht="25.05" customHeight="1" x14ac:dyDescent="0.25">
      <c r="A21908" s="2" t="s">
        <v>8</v>
      </c>
      <c r="B21908" s="2" t="str">
        <f>HYPERLINK("http://ts.21cn.com/tousu/show/id/1354045","无缘无故扣款")</f>
        <v>无缘无故扣款</v>
      </c>
      <c r="C21908" s="2" t="s">
        <v>9</v>
      </c>
      <c r="D21908" s="2" t="s">
        <v>10</v>
      </c>
      <c r="E21908" s="2" t="str">
        <f>HYPERLINK("http://ts.21cn.com/tousu/show/id/1354045","http://ts.21cn.com/tousu/show/id/1354045")</f>
        <v>http://ts.21cn.com/tousu/show/id/1354045</v>
      </c>
      <c r="F21908" s="2" t="s">
        <v>11</v>
      </c>
      <c r="G21908" s="2" t="s">
        <v>1066</v>
      </c>
      <c r="H21908" s="2" t="s">
        <v>1067</v>
      </c>
    </row>
    <row r="21909" spans="1:8" ht="25.05" customHeight="1" x14ac:dyDescent="0.25">
      <c r="A21909" s="2" t="s">
        <v>8</v>
      </c>
      <c r="B21909" s="2" t="str">
        <f>HYPERLINK("http://ts.21cn.com/tousu/show/id/1354047","U钱包高利贷阴阳合同乱扣取保险费用")</f>
        <v>U钱包高利贷阴阳合同乱扣取保险费用</v>
      </c>
      <c r="C21909" s="2" t="s">
        <v>9</v>
      </c>
      <c r="D21909" s="2" t="s">
        <v>10</v>
      </c>
      <c r="E21909" s="2" t="str">
        <f>HYPERLINK("http://ts.21cn.com/tousu/show/id/1354047","http://ts.21cn.com/tousu/show/id/1354047")</f>
        <v>http://ts.21cn.com/tousu/show/id/1354047</v>
      </c>
      <c r="F21909" s="2" t="s">
        <v>11</v>
      </c>
      <c r="G21909" s="2" t="s">
        <v>1064</v>
      </c>
      <c r="H21909" s="2" t="s">
        <v>1065</v>
      </c>
    </row>
    <row r="21910" spans="1:8" ht="25.05" customHeight="1" x14ac:dyDescent="0.25">
      <c r="A21910" s="2" t="s">
        <v>8</v>
      </c>
      <c r="B21910" s="2" t="str">
        <f>HYPERLINK("http://ts.21cn.com/tousu/show/id/1354046","买的两瓶洗发水，少发了一瓶。就是不承认。产品参数上面都写了两瓶。")</f>
        <v>买的两瓶洗发水，少发了一瓶。就是不承认。产品参数上面都写了两瓶。</v>
      </c>
      <c r="C21910" s="2" t="s">
        <v>9</v>
      </c>
      <c r="D21910" s="2" t="s">
        <v>10</v>
      </c>
      <c r="E21910" s="2" t="str">
        <f>HYPERLINK("http://ts.21cn.com/tousu/show/id/1354046","http://ts.21cn.com/tousu/show/id/1354046")</f>
        <v>http://ts.21cn.com/tousu/show/id/1354046</v>
      </c>
      <c r="F21910" s="2" t="s">
        <v>11</v>
      </c>
      <c r="G21910" s="2" t="s">
        <v>1062</v>
      </c>
      <c r="H21910" s="2" t="s">
        <v>1063</v>
      </c>
    </row>
    <row r="21911" spans="1:8" ht="25.05" customHeight="1" x14ac:dyDescent="0.25">
      <c r="A21911" s="2" t="s">
        <v>8</v>
      </c>
      <c r="B21911" s="2" t="str">
        <f>HYPERLINK("http://ts.21cn.com/tousu/show/id/1354048","人人花乱扣费")</f>
        <v>人人花乱扣费</v>
      </c>
      <c r="C21911" s="2" t="s">
        <v>9</v>
      </c>
      <c r="D21911" s="2" t="s">
        <v>10</v>
      </c>
      <c r="E21911" s="2" t="str">
        <f>HYPERLINK("http://ts.21cn.com/tousu/show/id/1354048","http://ts.21cn.com/tousu/show/id/1354048")</f>
        <v>http://ts.21cn.com/tousu/show/id/1354048</v>
      </c>
      <c r="F21911" s="2" t="s">
        <v>11</v>
      </c>
      <c r="G21911" s="2" t="s">
        <v>1060</v>
      </c>
      <c r="H21911" s="2" t="s">
        <v>1061</v>
      </c>
    </row>
    <row r="21912" spans="1:8" ht="25.05" customHeight="1" x14ac:dyDescent="0.25">
      <c r="A21912" s="2" t="s">
        <v>8</v>
      </c>
      <c r="B21912" s="2" t="str">
        <f>HYPERLINK("http://ts.21cn.com/tousu/show/id/1354049","造艺科技阴阳协议")</f>
        <v>造艺科技阴阳协议</v>
      </c>
      <c r="C21912" s="2" t="s">
        <v>9</v>
      </c>
      <c r="D21912" s="2" t="s">
        <v>10</v>
      </c>
      <c r="E21912" s="2" t="str">
        <f>HYPERLINK("http://ts.21cn.com/tousu/show/id/1354049","http://ts.21cn.com/tousu/show/id/1354049")</f>
        <v>http://ts.21cn.com/tousu/show/id/1354049</v>
      </c>
      <c r="F21912" s="2" t="s">
        <v>11</v>
      </c>
      <c r="G21912" s="2" t="s">
        <v>1058</v>
      </c>
      <c r="H21912" s="2" t="s">
        <v>1059</v>
      </c>
    </row>
    <row r="21913" spans="1:8" ht="25.05" customHeight="1" x14ac:dyDescent="0.25">
      <c r="A21913" s="2" t="s">
        <v>8</v>
      </c>
      <c r="B21913" s="2" t="str">
        <f>HYPERLINK("http://ts.21cn.com/tousu/show/id/1354050","滴滴变相多收费")</f>
        <v>滴滴变相多收费</v>
      </c>
      <c r="C21913" s="2" t="s">
        <v>9</v>
      </c>
      <c r="D21913" s="2" t="s">
        <v>10</v>
      </c>
      <c r="E21913" s="2" t="str">
        <f>HYPERLINK("http://ts.21cn.com/tousu/show/id/1354050","http://ts.21cn.com/tousu/show/id/1354050")</f>
        <v>http://ts.21cn.com/tousu/show/id/1354050</v>
      </c>
      <c r="F21913" s="2" t="s">
        <v>11</v>
      </c>
      <c r="G21913" s="2" t="s">
        <v>1056</v>
      </c>
      <c r="H21913" s="2" t="s">
        <v>1057</v>
      </c>
    </row>
    <row r="21914" spans="1:8" ht="25.05" customHeight="1" x14ac:dyDescent="0.25">
      <c r="A21914" s="2" t="s">
        <v>8</v>
      </c>
      <c r="B21914" s="2" t="str">
        <f>HYPERLINK("http://ts.21cn.com/tousu/show/id/1354051","退款给我，")</f>
        <v>退款给我，</v>
      </c>
      <c r="C21914" s="2" t="s">
        <v>9</v>
      </c>
      <c r="D21914" s="2" t="s">
        <v>10</v>
      </c>
      <c r="E21914" s="2" t="str">
        <f>HYPERLINK("http://ts.21cn.com/tousu/show/id/1354051","http://ts.21cn.com/tousu/show/id/1354051")</f>
        <v>http://ts.21cn.com/tousu/show/id/1354051</v>
      </c>
      <c r="F21914" s="2" t="s">
        <v>11</v>
      </c>
      <c r="G21914" s="2" t="s">
        <v>1054</v>
      </c>
      <c r="H21914" s="2" t="s">
        <v>1055</v>
      </c>
    </row>
    <row r="21915" spans="1:8" ht="25.05" customHeight="1" x14ac:dyDescent="0.25">
      <c r="A21915" s="2" t="s">
        <v>8</v>
      </c>
      <c r="B21915" s="2" t="str">
        <f>HYPERLINK("http://ts.21cn.com/tousu/show/id/1354052","暴力催收，电话骚扰，爆通讯录")</f>
        <v>暴力催收，电话骚扰，爆通讯录</v>
      </c>
      <c r="C21915" s="2" t="s">
        <v>9</v>
      </c>
      <c r="D21915" s="2" t="s">
        <v>10</v>
      </c>
      <c r="E21915" s="2" t="str">
        <f>HYPERLINK("http://ts.21cn.com/tousu/show/id/1354052","http://ts.21cn.com/tousu/show/id/1354052")</f>
        <v>http://ts.21cn.com/tousu/show/id/1354052</v>
      </c>
      <c r="F21915" s="2" t="s">
        <v>11</v>
      </c>
      <c r="G21915" s="2" t="s">
        <v>1052</v>
      </c>
      <c r="H21915" s="2" t="s">
        <v>1053</v>
      </c>
    </row>
    <row r="21916" spans="1:8" ht="25.05" customHeight="1" x14ac:dyDescent="0.25">
      <c r="A21916" s="2" t="s">
        <v>8</v>
      </c>
      <c r="B21916" s="2" t="str">
        <f>HYPERLINK("http://ts.21cn.com/tousu/show/id/1354053","未经本人允许暴力催收")</f>
        <v>未经本人允许暴力催收</v>
      </c>
      <c r="C21916" s="2" t="s">
        <v>9</v>
      </c>
      <c r="D21916" s="2" t="s">
        <v>10</v>
      </c>
      <c r="E21916" s="2" t="str">
        <f>HYPERLINK("http://ts.21cn.com/tousu/show/id/1354053","http://ts.21cn.com/tousu/show/id/1354053")</f>
        <v>http://ts.21cn.com/tousu/show/id/1354053</v>
      </c>
      <c r="F21916" s="2" t="s">
        <v>11</v>
      </c>
      <c r="G21916" s="2" t="s">
        <v>1050</v>
      </c>
      <c r="H21916" s="2" t="s">
        <v>1051</v>
      </c>
    </row>
    <row r="21917" spans="1:8" ht="25.05" customHeight="1" x14ac:dyDescent="0.25">
      <c r="A21917" s="2" t="s">
        <v>8</v>
      </c>
      <c r="B21917" s="2" t="str">
        <f>HYPERLINK("http://ts.21cn.com/tousu/show/id/1354054","佰仟金融借款7000元分期30期已还1万3千860利息远超国家规定，不赔偿国家法定利息之外的钱，绝不结案妥协")</f>
        <v>佰仟金融借款7000元分期30期已还1万3千860利息远超国家规定，不赔偿国家法定利息之外的钱，绝不结案妥协</v>
      </c>
      <c r="C21917" s="2" t="s">
        <v>34</v>
      </c>
      <c r="D21917" s="2" t="s">
        <v>10</v>
      </c>
      <c r="E21917" s="2" t="str">
        <f>HYPERLINK("http://ts.21cn.com/tousu/show/id/1354054","http://ts.21cn.com/tousu/show/id/1354054")</f>
        <v>http://ts.21cn.com/tousu/show/id/1354054</v>
      </c>
      <c r="F21917" s="2" t="s">
        <v>11</v>
      </c>
      <c r="G21917" s="2" t="s">
        <v>1048</v>
      </c>
      <c r="H21917" s="2" t="s">
        <v>1049</v>
      </c>
    </row>
    <row r="21918" spans="1:8" ht="25.05" customHeight="1" x14ac:dyDescent="0.25">
      <c r="A21918" s="2" t="s">
        <v>8</v>
      </c>
      <c r="B21918" s="2" t="str">
        <f>HYPERLINK("http://ts.21cn.com/tousu/show/id/1354055","蛋壳公寓床垫上都是蟑螂卵，退换房要扣钱")</f>
        <v>蛋壳公寓床垫上都是蟑螂卵，退换房要扣钱</v>
      </c>
      <c r="C21918" s="2" t="s">
        <v>9</v>
      </c>
      <c r="D21918" s="2" t="s">
        <v>10</v>
      </c>
      <c r="E21918" s="2" t="str">
        <f>HYPERLINK("http://ts.21cn.com/tousu/show/id/1354055","http://ts.21cn.com/tousu/show/id/1354055")</f>
        <v>http://ts.21cn.com/tousu/show/id/1354055</v>
      </c>
      <c r="F21918" s="2" t="s">
        <v>11</v>
      </c>
      <c r="G21918" s="2" t="s">
        <v>1046</v>
      </c>
      <c r="H21918" s="2" t="s">
        <v>1047</v>
      </c>
    </row>
    <row r="21919" spans="1:8" ht="25.05" customHeight="1" x14ac:dyDescent="0.25">
      <c r="A21919" s="2" t="s">
        <v>8</v>
      </c>
      <c r="B21919" s="2" t="str">
        <f>HYPERLINK("http://ts.21cn.com/tousu/show/id/1354056","还款800多逾期一天罚息135")</f>
        <v>还款800多逾期一天罚息135</v>
      </c>
      <c r="C21919" s="2" t="s">
        <v>9</v>
      </c>
      <c r="D21919" s="2" t="s">
        <v>10</v>
      </c>
      <c r="E21919" s="2" t="str">
        <f>HYPERLINK("http://ts.21cn.com/tousu/show/id/1354056","http://ts.21cn.com/tousu/show/id/1354056")</f>
        <v>http://ts.21cn.com/tousu/show/id/1354056</v>
      </c>
      <c r="F21919" s="2" t="s">
        <v>11</v>
      </c>
      <c r="G21919" s="2" t="s">
        <v>1044</v>
      </c>
      <c r="H21919" s="2" t="s">
        <v>1045</v>
      </c>
    </row>
    <row r="21920" spans="1:8" ht="25.05" customHeight="1" x14ac:dyDescent="0.25">
      <c r="A21920" s="2" t="s">
        <v>8</v>
      </c>
      <c r="B21920" s="2" t="str">
        <f>HYPERLINK("http://ts.21cn.com/tousu/show/id/1354057","我来贷暴力催收")</f>
        <v>我来贷暴力催收</v>
      </c>
      <c r="C21920" s="2" t="s">
        <v>9</v>
      </c>
      <c r="D21920" s="2" t="s">
        <v>10</v>
      </c>
      <c r="E21920" s="2" t="str">
        <f>HYPERLINK("http://ts.21cn.com/tousu/show/id/1354057","http://ts.21cn.com/tousu/show/id/1354057")</f>
        <v>http://ts.21cn.com/tousu/show/id/1354057</v>
      </c>
      <c r="F21920" s="2" t="s">
        <v>11</v>
      </c>
      <c r="G21920" s="2" t="s">
        <v>1042</v>
      </c>
      <c r="H21920" s="2" t="s">
        <v>1043</v>
      </c>
    </row>
    <row r="21921" spans="1:8" ht="25.05" customHeight="1" x14ac:dyDescent="0.25">
      <c r="A21921" s="2" t="s">
        <v>8</v>
      </c>
      <c r="B21921" s="2" t="str">
        <f>HYPERLINK("http://ts.21cn.com/tousu/show/id/1354058","还呗还款后借款不出来")</f>
        <v>还呗还款后借款不出来</v>
      </c>
      <c r="C21921" s="2" t="s">
        <v>9</v>
      </c>
      <c r="D21921" s="2" t="s">
        <v>10</v>
      </c>
      <c r="E21921" s="2" t="str">
        <f>HYPERLINK("http://ts.21cn.com/tousu/show/id/1354058","http://ts.21cn.com/tousu/show/id/1354058")</f>
        <v>http://ts.21cn.com/tousu/show/id/1354058</v>
      </c>
      <c r="F21921" s="2" t="s">
        <v>11</v>
      </c>
      <c r="G21921" s="2" t="s">
        <v>1040</v>
      </c>
      <c r="H21921" s="2" t="s">
        <v>1041</v>
      </c>
    </row>
    <row r="21922" spans="1:8" ht="25.05" customHeight="1" x14ac:dyDescent="0.25">
      <c r="A21922" s="2" t="s">
        <v>8</v>
      </c>
      <c r="B21922" s="2" t="str">
        <f>HYPERLINK("http://ts.21cn.com/tousu/show/id/1354059","商户违规收取砍头息，诉求退回部分费用")</f>
        <v>商户违规收取砍头息，诉求退回部分费用</v>
      </c>
      <c r="C21922" s="2" t="s">
        <v>9</v>
      </c>
      <c r="D21922" s="2" t="s">
        <v>10</v>
      </c>
      <c r="E21922" s="2" t="str">
        <f>HYPERLINK("http://ts.21cn.com/tousu/show/id/1354059","http://ts.21cn.com/tousu/show/id/1354059")</f>
        <v>http://ts.21cn.com/tousu/show/id/1354059</v>
      </c>
      <c r="F21922" s="2" t="s">
        <v>11</v>
      </c>
      <c r="G21922" s="2" t="s">
        <v>1038</v>
      </c>
      <c r="H21922" s="2" t="s">
        <v>1039</v>
      </c>
    </row>
    <row r="21923" spans="1:8" ht="25.05" customHeight="1" x14ac:dyDescent="0.25">
      <c r="A21923" s="2" t="s">
        <v>8</v>
      </c>
      <c r="B21923" s="2" t="str">
        <f>HYPERLINK("http://ts.21cn.com/tousu/show/id/1354060","现金巴士办理催收")</f>
        <v>现金巴士办理催收</v>
      </c>
      <c r="C21923" s="2" t="s">
        <v>9</v>
      </c>
      <c r="D21923" s="2" t="s">
        <v>10</v>
      </c>
      <c r="E21923" s="2" t="str">
        <f>HYPERLINK("http://ts.21cn.com/tousu/show/id/1354060","http://ts.21cn.com/tousu/show/id/1354060")</f>
        <v>http://ts.21cn.com/tousu/show/id/1354060</v>
      </c>
      <c r="F21923" s="2" t="s">
        <v>11</v>
      </c>
      <c r="G21923" s="2" t="s">
        <v>1036</v>
      </c>
      <c r="H21923" s="2" t="s">
        <v>1037</v>
      </c>
    </row>
    <row r="21924" spans="1:8" ht="25.05" customHeight="1" x14ac:dyDescent="0.25">
      <c r="A21924" s="2" t="s">
        <v>8</v>
      </c>
      <c r="B21924" s="2" t="str">
        <f>HYPERLINK("http://ts.21cn.com/tousu/show/id/1354061","去哪儿网客服服务态度，恶意更换用户登录账户信息，致使消费账单逾期")</f>
        <v>去哪儿网客服服务态度，恶意更换用户登录账户信息，致使消费账单逾期</v>
      </c>
      <c r="C21924" s="2" t="s">
        <v>9</v>
      </c>
      <c r="D21924" s="2" t="s">
        <v>10</v>
      </c>
      <c r="E21924" s="2" t="str">
        <f>HYPERLINK("http://ts.21cn.com/tousu/show/id/1354061","http://ts.21cn.com/tousu/show/id/1354061")</f>
        <v>http://ts.21cn.com/tousu/show/id/1354061</v>
      </c>
      <c r="F21924" s="2" t="s">
        <v>11</v>
      </c>
      <c r="G21924" s="2" t="s">
        <v>1034</v>
      </c>
      <c r="H21924" s="2" t="s">
        <v>1035</v>
      </c>
    </row>
    <row r="21925" spans="1:8" ht="25.05" customHeight="1" x14ac:dyDescent="0.25">
      <c r="A21925" s="2" t="s">
        <v>8</v>
      </c>
      <c r="B21925" s="2" t="str">
        <f>HYPERLINK("http://ts.21cn.com/tousu/show/id/1354062","申通快递丢件不处理")</f>
        <v>申通快递丢件不处理</v>
      </c>
      <c r="C21925" s="2" t="s">
        <v>9</v>
      </c>
      <c r="D21925" s="2" t="s">
        <v>10</v>
      </c>
      <c r="E21925" s="2" t="str">
        <f>HYPERLINK("http://ts.21cn.com/tousu/show/id/1354062","http://ts.21cn.com/tousu/show/id/1354062")</f>
        <v>http://ts.21cn.com/tousu/show/id/1354062</v>
      </c>
      <c r="F21925" s="2" t="s">
        <v>11</v>
      </c>
      <c r="G21925" s="2" t="s">
        <v>1032</v>
      </c>
      <c r="H21925" s="2" t="s">
        <v>1033</v>
      </c>
    </row>
    <row r="21926" spans="1:8" ht="25.05" customHeight="1" x14ac:dyDescent="0.25">
      <c r="A21926" s="2" t="s">
        <v>8</v>
      </c>
      <c r="B21926" s="2" t="str">
        <f>HYPERLINK("http://ts.21cn.com/tousu/show/id/1354014","钱站高利贷阴阳合同")</f>
        <v>钱站高利贷阴阳合同</v>
      </c>
      <c r="C21926" s="2" t="s">
        <v>9</v>
      </c>
      <c r="D21926" s="2" t="s">
        <v>10</v>
      </c>
      <c r="E21926" s="2" t="str">
        <f>HYPERLINK("http://ts.21cn.com/tousu/show/id/1354014","http://ts.21cn.com/tousu/show/id/1354014")</f>
        <v>http://ts.21cn.com/tousu/show/id/1354014</v>
      </c>
      <c r="F21926" s="2" t="s">
        <v>11</v>
      </c>
      <c r="G21926" s="2" t="s">
        <v>1030</v>
      </c>
      <c r="H21926" s="2" t="s">
        <v>1031</v>
      </c>
    </row>
    <row r="21927" spans="1:8" ht="25.05" customHeight="1" x14ac:dyDescent="0.25">
      <c r="A21927" s="2" t="s">
        <v>8</v>
      </c>
      <c r="B21927" s="2" t="str">
        <f>HYPERLINK("http://ts.21cn.com/tousu/show/id/1354063","钱站APP不给注销账户")</f>
        <v>钱站APP不给注销账户</v>
      </c>
      <c r="C21927" s="2" t="s">
        <v>9</v>
      </c>
      <c r="D21927" s="2" t="s">
        <v>10</v>
      </c>
      <c r="E21927" s="2" t="str">
        <f>HYPERLINK("http://ts.21cn.com/tousu/show/id/1354063","http://ts.21cn.com/tousu/show/id/1354063")</f>
        <v>http://ts.21cn.com/tousu/show/id/1354063</v>
      </c>
      <c r="F21927" s="2" t="s">
        <v>11</v>
      </c>
      <c r="G21927" s="2" t="s">
        <v>1028</v>
      </c>
      <c r="H21927" s="2" t="s">
        <v>1029</v>
      </c>
    </row>
    <row r="21928" spans="1:8" ht="25.05" customHeight="1" x14ac:dyDescent="0.25">
      <c r="A21928" s="2" t="s">
        <v>8</v>
      </c>
      <c r="B21928" s="2" t="str">
        <f>HYPERLINK("http://ts.21cn.com/tousu/show/id/1354064","北京钱站不守承诺")</f>
        <v>北京钱站不守承诺</v>
      </c>
      <c r="C21928" s="2" t="s">
        <v>9</v>
      </c>
      <c r="D21928" s="2" t="s">
        <v>10</v>
      </c>
      <c r="E21928" s="2" t="str">
        <f>HYPERLINK("http://ts.21cn.com/tousu/show/id/1354064","http://ts.21cn.com/tousu/show/id/1354064")</f>
        <v>http://ts.21cn.com/tousu/show/id/1354064</v>
      </c>
      <c r="F21928" s="2" t="s">
        <v>11</v>
      </c>
      <c r="G21928" s="2" t="s">
        <v>1026</v>
      </c>
      <c r="H21928" s="2" t="s">
        <v>1027</v>
      </c>
    </row>
    <row r="21929" spans="1:8" ht="25.05" customHeight="1" x14ac:dyDescent="0.25">
      <c r="A21929" s="2" t="s">
        <v>8</v>
      </c>
      <c r="B21929" s="2" t="str">
        <f>HYPERLINK("http://ts.21cn.com/tousu/show/id/1354065","平安普惠陆金服车主贷")</f>
        <v>平安普惠陆金服车主贷</v>
      </c>
      <c r="C21929" s="2" t="s">
        <v>34</v>
      </c>
      <c r="D21929" s="2" t="s">
        <v>10</v>
      </c>
      <c r="E21929" s="2" t="str">
        <f>HYPERLINK("http://ts.21cn.com/tousu/show/id/1354065","http://ts.21cn.com/tousu/show/id/1354065")</f>
        <v>http://ts.21cn.com/tousu/show/id/1354065</v>
      </c>
      <c r="F21929" s="2" t="s">
        <v>11</v>
      </c>
      <c r="G21929" s="2" t="s">
        <v>1024</v>
      </c>
      <c r="H21929" s="2" t="s">
        <v>1025</v>
      </c>
    </row>
    <row r="21930" spans="1:8" ht="25.05" customHeight="1" x14ac:dyDescent="0.25">
      <c r="A21930" s="2" t="s">
        <v>8</v>
      </c>
      <c r="B21930" s="2" t="str">
        <f>HYPERLINK("http://ts.21cn.com/tousu/show/id/1354067","斗牛士app，在不知合同和同意的情况下强制下款，收取高额利息，望解决！")</f>
        <v>斗牛士app，在不知合同和同意的情况下强制下款，收取高额利息，望解决！</v>
      </c>
      <c r="C21930" s="2" t="s">
        <v>9</v>
      </c>
      <c r="D21930" s="2" t="s">
        <v>10</v>
      </c>
      <c r="E21930" s="2" t="str">
        <f>HYPERLINK("http://ts.21cn.com/tousu/show/id/1354067","http://ts.21cn.com/tousu/show/id/1354067")</f>
        <v>http://ts.21cn.com/tousu/show/id/1354067</v>
      </c>
      <c r="F21930" s="2" t="s">
        <v>11</v>
      </c>
      <c r="G21930" s="2" t="s">
        <v>1022</v>
      </c>
      <c r="H21930" s="2" t="s">
        <v>1023</v>
      </c>
    </row>
    <row r="21931" spans="1:8" ht="25.05" customHeight="1" x14ac:dyDescent="0.25">
      <c r="A21931" s="2" t="s">
        <v>8</v>
      </c>
      <c r="B21931" s="2" t="str">
        <f>HYPERLINK("http://ts.21cn.com/tousu/show/id/1354069","水莲金条暴力催收")</f>
        <v>水莲金条暴力催收</v>
      </c>
      <c r="C21931" s="2" t="s">
        <v>9</v>
      </c>
      <c r="D21931" s="2" t="s">
        <v>10</v>
      </c>
      <c r="E21931" s="2" t="str">
        <f>HYPERLINK("http://ts.21cn.com/tousu/show/id/1354069","http://ts.21cn.com/tousu/show/id/1354069")</f>
        <v>http://ts.21cn.com/tousu/show/id/1354069</v>
      </c>
      <c r="F21931" s="2" t="s">
        <v>11</v>
      </c>
      <c r="G21931" s="2" t="s">
        <v>1020</v>
      </c>
      <c r="H21931" s="2" t="s">
        <v>1021</v>
      </c>
    </row>
    <row r="21932" spans="1:8" ht="25.05" customHeight="1" x14ac:dyDescent="0.25">
      <c r="A21932" s="2" t="s">
        <v>8</v>
      </c>
      <c r="B21932" s="2" t="str">
        <f>HYPERLINK("http://ts.21cn.com/tousu/show/id/1354068","银行卡被盗刷")</f>
        <v>银行卡被盗刷</v>
      </c>
      <c r="C21932" s="2" t="s">
        <v>9</v>
      </c>
      <c r="D21932" s="2" t="s">
        <v>10</v>
      </c>
      <c r="E21932" s="2" t="str">
        <f>HYPERLINK("http://ts.21cn.com/tousu/show/id/1354068","http://ts.21cn.com/tousu/show/id/1354068")</f>
        <v>http://ts.21cn.com/tousu/show/id/1354068</v>
      </c>
      <c r="F21932" s="2" t="s">
        <v>11</v>
      </c>
      <c r="G21932" s="2" t="s">
        <v>1018</v>
      </c>
      <c r="H21932" s="2" t="s">
        <v>1019</v>
      </c>
    </row>
    <row r="21933" spans="1:8" ht="25.05" customHeight="1" x14ac:dyDescent="0.25">
      <c r="A21933" s="2" t="s">
        <v>8</v>
      </c>
      <c r="B21933" s="2" t="str">
        <f>HYPERLINK("http://ts.21cn.com/tousu/show/id/1354072","天猫觅乐旗舰店")</f>
        <v>天猫觅乐旗舰店</v>
      </c>
      <c r="C21933" s="2" t="s">
        <v>9</v>
      </c>
      <c r="D21933" s="2" t="s">
        <v>10</v>
      </c>
      <c r="E21933" s="2" t="str">
        <f>HYPERLINK("http://ts.21cn.com/tousu/show/id/1354072","http://ts.21cn.com/tousu/show/id/1354072")</f>
        <v>http://ts.21cn.com/tousu/show/id/1354072</v>
      </c>
      <c r="F21933" s="2" t="s">
        <v>11</v>
      </c>
      <c r="G21933" s="2" t="s">
        <v>1016</v>
      </c>
      <c r="H21933" s="2" t="s">
        <v>1017</v>
      </c>
    </row>
    <row r="21934" spans="1:8" ht="25.05" customHeight="1" x14ac:dyDescent="0.25">
      <c r="A21934" s="2" t="s">
        <v>8</v>
      </c>
      <c r="B21934" s="2" t="str">
        <f>HYPERLINK("http://ts.21cn.com/tousu/show/id/1354073","自称玖富万卡平台催收工作人员态度恶劣，辱骂，嘲讽，问姓名和工号拒绝告知！")</f>
        <v>自称玖富万卡平台催收工作人员态度恶劣，辱骂，嘲讽，问姓名和工号拒绝告知！</v>
      </c>
      <c r="C21934" s="2" t="s">
        <v>9</v>
      </c>
      <c r="D21934" s="2" t="s">
        <v>10</v>
      </c>
      <c r="E21934" s="2" t="str">
        <f>HYPERLINK("http://ts.21cn.com/tousu/show/id/1354073","http://ts.21cn.com/tousu/show/id/1354073")</f>
        <v>http://ts.21cn.com/tousu/show/id/1354073</v>
      </c>
      <c r="F21934" s="2" t="s">
        <v>11</v>
      </c>
      <c r="G21934" s="2" t="s">
        <v>1014</v>
      </c>
      <c r="H21934" s="2" t="s">
        <v>1015</v>
      </c>
    </row>
    <row r="21935" spans="1:8" ht="25.05" customHeight="1" x14ac:dyDescent="0.25">
      <c r="A21935" s="2" t="s">
        <v>8</v>
      </c>
      <c r="B21935" s="2" t="str">
        <f>HYPERLINK("http://ts.21cn.com/tousu/show/id/1354074","携程金融不提供沟通渠道，律师函威胁")</f>
        <v>携程金融不提供沟通渠道，律师函威胁</v>
      </c>
      <c r="C21935" s="2" t="s">
        <v>9</v>
      </c>
      <c r="D21935" s="2" t="s">
        <v>10</v>
      </c>
      <c r="E21935" s="2" t="str">
        <f>HYPERLINK("http://ts.21cn.com/tousu/show/id/1354074","http://ts.21cn.com/tousu/show/id/1354074")</f>
        <v>http://ts.21cn.com/tousu/show/id/1354074</v>
      </c>
      <c r="F21935" s="2" t="s">
        <v>11</v>
      </c>
      <c r="G21935" s="2" t="s">
        <v>1012</v>
      </c>
      <c r="H21935" s="2" t="s">
        <v>1013</v>
      </c>
    </row>
    <row r="21936" spans="1:8" ht="25.05" customHeight="1" x14ac:dyDescent="0.25">
      <c r="A21936" s="2" t="s">
        <v>8</v>
      </c>
      <c r="B21936" s="2" t="str">
        <f>HYPERLINK("http://ts.21cn.com/tousu/show/id/1354075","昆明市七彩云南第一城廖记棒棒鸡不卫生")</f>
        <v>昆明市七彩云南第一城廖记棒棒鸡不卫生</v>
      </c>
      <c r="C21936" s="2" t="s">
        <v>9</v>
      </c>
      <c r="D21936" s="2" t="s">
        <v>10</v>
      </c>
      <c r="E21936" s="2" t="str">
        <f>HYPERLINK("http://ts.21cn.com/tousu/show/id/1354075","http://ts.21cn.com/tousu/show/id/1354075")</f>
        <v>http://ts.21cn.com/tousu/show/id/1354075</v>
      </c>
      <c r="F21936" s="2" t="s">
        <v>11</v>
      </c>
      <c r="G21936" s="2" t="s">
        <v>1010</v>
      </c>
      <c r="H21936" s="2" t="s">
        <v>1011</v>
      </c>
    </row>
    <row r="21937" spans="1:8" ht="25.05" customHeight="1" x14ac:dyDescent="0.25">
      <c r="A21937" s="2" t="s">
        <v>8</v>
      </c>
      <c r="B21937" s="2" t="str">
        <f>HYPERLINK("http://ts.21cn.com/tousu/show/id/1354076","拼多多为境外非法网赌平台收款，")</f>
        <v>拼多多为境外非法网赌平台收款，</v>
      </c>
      <c r="C21937" s="2" t="s">
        <v>9</v>
      </c>
      <c r="D21937" s="2" t="s">
        <v>10</v>
      </c>
      <c r="E21937" s="2" t="str">
        <f>HYPERLINK("http://ts.21cn.com/tousu/show/id/1354076","http://ts.21cn.com/tousu/show/id/1354076")</f>
        <v>http://ts.21cn.com/tousu/show/id/1354076</v>
      </c>
      <c r="F21937" s="2" t="s">
        <v>11</v>
      </c>
      <c r="G21937" s="2" t="s">
        <v>1008</v>
      </c>
      <c r="H21937" s="2" t="s">
        <v>1009</v>
      </c>
    </row>
    <row r="21938" spans="1:8" ht="25.05" customHeight="1" x14ac:dyDescent="0.25">
      <c r="A21938" s="2" t="s">
        <v>8</v>
      </c>
      <c r="B21938" s="2" t="str">
        <f>HYPERLINK("http://ts.21cn.com/tousu/show/id/1354077","创客照妖镜")</f>
        <v>创客照妖镜</v>
      </c>
      <c r="C21938" s="2" t="s">
        <v>34</v>
      </c>
      <c r="D21938" s="2" t="s">
        <v>10</v>
      </c>
      <c r="E21938" s="2" t="str">
        <f>HYPERLINK("http://ts.21cn.com/tousu/show/id/1354077","http://ts.21cn.com/tousu/show/id/1354077")</f>
        <v>http://ts.21cn.com/tousu/show/id/1354077</v>
      </c>
      <c r="F21938" s="2" t="s">
        <v>11</v>
      </c>
      <c r="G21938" s="2" t="s">
        <v>1006</v>
      </c>
      <c r="H21938" s="2" t="s">
        <v>1007</v>
      </c>
    </row>
    <row r="21939" spans="1:8" ht="25.05" customHeight="1" x14ac:dyDescent="0.25">
      <c r="A21939" s="2" t="s">
        <v>8</v>
      </c>
      <c r="B21939" s="2" t="str">
        <f>HYPERLINK("http://ts.21cn.com/tousu/show/id/1354078","招联金融暴力催收")</f>
        <v>招联金融暴力催收</v>
      </c>
      <c r="C21939" s="2" t="s">
        <v>9</v>
      </c>
      <c r="D21939" s="2" t="s">
        <v>10</v>
      </c>
      <c r="E21939" s="2" t="str">
        <f>HYPERLINK("http://ts.21cn.com/tousu/show/id/1354078","http://ts.21cn.com/tousu/show/id/1354078")</f>
        <v>http://ts.21cn.com/tousu/show/id/1354078</v>
      </c>
      <c r="F21939" s="2" t="s">
        <v>11</v>
      </c>
      <c r="G21939" s="2" t="s">
        <v>1004</v>
      </c>
      <c r="H21939" s="2" t="s">
        <v>1005</v>
      </c>
    </row>
    <row r="21940" spans="1:8" ht="25.05" customHeight="1" x14ac:dyDescent="0.25">
      <c r="A21940" s="2" t="s">
        <v>8</v>
      </c>
      <c r="B21940" s="2" t="str">
        <f>HYPERLINK("http://ts.21cn.com/tousu/show/id/1354080","钱站阴阳合同高利贷")</f>
        <v>钱站阴阳合同高利贷</v>
      </c>
      <c r="C21940" s="2" t="s">
        <v>9</v>
      </c>
      <c r="D21940" s="2" t="s">
        <v>10</v>
      </c>
      <c r="E21940" s="2" t="str">
        <f>HYPERLINK("http://ts.21cn.com/tousu/show/id/1354080","http://ts.21cn.com/tousu/show/id/1354080")</f>
        <v>http://ts.21cn.com/tousu/show/id/1354080</v>
      </c>
      <c r="F21940" s="2" t="s">
        <v>11</v>
      </c>
      <c r="G21940" s="2" t="s">
        <v>1002</v>
      </c>
      <c r="H21940" s="2" t="s">
        <v>1003</v>
      </c>
    </row>
    <row r="21941" spans="1:8" ht="25.05" customHeight="1" x14ac:dyDescent="0.25">
      <c r="A21941" s="2" t="s">
        <v>8</v>
      </c>
      <c r="B21941" s="2" t="str">
        <f>HYPERLINK("http://ts.21cn.com/tousu/show/id/1354079","钱站高利贷阴阳合同")</f>
        <v>钱站高利贷阴阳合同</v>
      </c>
      <c r="C21941" s="2" t="s">
        <v>9</v>
      </c>
      <c r="D21941" s="2" t="s">
        <v>10</v>
      </c>
      <c r="E21941" s="2" t="str">
        <f>HYPERLINK("http://ts.21cn.com/tousu/show/id/1354079","http://ts.21cn.com/tousu/show/id/1354079")</f>
        <v>http://ts.21cn.com/tousu/show/id/1354079</v>
      </c>
      <c r="F21941" s="2" t="s">
        <v>11</v>
      </c>
      <c r="G21941" s="2" t="s">
        <v>1000</v>
      </c>
      <c r="H21941" s="2" t="s">
        <v>1001</v>
      </c>
    </row>
    <row r="21942" spans="1:8" ht="25.05" customHeight="1" x14ac:dyDescent="0.25">
      <c r="A21942" s="2" t="s">
        <v>8</v>
      </c>
      <c r="B21942" s="2" t="str">
        <f>HYPERLINK("http://ts.21cn.com/tousu/show/id/1354081","要求退纵横黑卡")</f>
        <v>要求退纵横黑卡</v>
      </c>
      <c r="C21942" s="2" t="s">
        <v>9</v>
      </c>
      <c r="D21942" s="2" t="s">
        <v>10</v>
      </c>
      <c r="E21942" s="2" t="str">
        <f>HYPERLINK("http://ts.21cn.com/tousu/show/id/1354081","http://ts.21cn.com/tousu/show/id/1354081")</f>
        <v>http://ts.21cn.com/tousu/show/id/1354081</v>
      </c>
      <c r="F21942" s="2" t="s">
        <v>11</v>
      </c>
      <c r="G21942" s="2" t="s">
        <v>998</v>
      </c>
      <c r="H21942" s="2" t="s">
        <v>999</v>
      </c>
    </row>
    <row r="21943" spans="1:8" ht="25.05" customHeight="1" x14ac:dyDescent="0.25">
      <c r="A21943" s="2" t="s">
        <v>8</v>
      </c>
      <c r="B21943" s="2" t="str">
        <f>HYPERLINK("http://ts.21cn.com/tousu/show/id/1354083","已协商还款还是恶意催收")</f>
        <v>已协商还款还是恶意催收</v>
      </c>
      <c r="C21943" s="2" t="s">
        <v>9</v>
      </c>
      <c r="D21943" s="2" t="s">
        <v>10</v>
      </c>
      <c r="E21943" s="2" t="str">
        <f>HYPERLINK("http://ts.21cn.com/tousu/show/id/1354083","http://ts.21cn.com/tousu/show/id/1354083")</f>
        <v>http://ts.21cn.com/tousu/show/id/1354083</v>
      </c>
      <c r="F21943" s="2" t="s">
        <v>11</v>
      </c>
      <c r="G21943" s="2" t="s">
        <v>996</v>
      </c>
      <c r="H21943" s="2" t="s">
        <v>997</v>
      </c>
    </row>
    <row r="21944" spans="1:8" ht="25.05" customHeight="1" x14ac:dyDescent="0.25">
      <c r="A21944" s="2" t="s">
        <v>8</v>
      </c>
      <c r="B21944" s="2" t="str">
        <f>HYPERLINK("http://ts.21cn.com/tousu/show/id/1354084","盈盈有钱暴力催收")</f>
        <v>盈盈有钱暴力催收</v>
      </c>
      <c r="C21944" s="2" t="s">
        <v>9</v>
      </c>
      <c r="D21944" s="2" t="s">
        <v>10</v>
      </c>
      <c r="E21944" s="2" t="str">
        <f>HYPERLINK("http://ts.21cn.com/tousu/show/id/1354084","http://ts.21cn.com/tousu/show/id/1354084")</f>
        <v>http://ts.21cn.com/tousu/show/id/1354084</v>
      </c>
      <c r="F21944" s="2" t="s">
        <v>11</v>
      </c>
      <c r="G21944" s="2" t="s">
        <v>994</v>
      </c>
      <c r="H21944" s="2" t="s">
        <v>995</v>
      </c>
    </row>
    <row r="21945" spans="1:8" ht="25.05" customHeight="1" x14ac:dyDescent="0.25">
      <c r="A21945" s="2" t="s">
        <v>8</v>
      </c>
      <c r="B21945" s="2" t="str">
        <f>HYPERLINK("http://ts.21cn.com/tousu/show/id/1354085","借贷公司疯狂打周边电话并辱骂")</f>
        <v>借贷公司疯狂打周边电话并辱骂</v>
      </c>
      <c r="C21945" s="2" t="s">
        <v>9</v>
      </c>
      <c r="D21945" s="2" t="s">
        <v>10</v>
      </c>
      <c r="E21945" s="2" t="str">
        <f>HYPERLINK("http://ts.21cn.com/tousu/show/id/1354085","http://ts.21cn.com/tousu/show/id/1354085")</f>
        <v>http://ts.21cn.com/tousu/show/id/1354085</v>
      </c>
      <c r="F21945" s="2" t="s">
        <v>11</v>
      </c>
      <c r="G21945" s="2" t="s">
        <v>992</v>
      </c>
      <c r="H21945" s="2" t="s">
        <v>993</v>
      </c>
    </row>
    <row r="21946" spans="1:8" ht="25.05" customHeight="1" x14ac:dyDescent="0.25">
      <c r="A21946" s="2" t="s">
        <v>8</v>
      </c>
      <c r="B21946" s="2" t="str">
        <f>HYPERLINK("http://ts.21cn.com/tousu/show/id/1354086","网络故障")</f>
        <v>网络故障</v>
      </c>
      <c r="C21946" s="2" t="s">
        <v>9</v>
      </c>
      <c r="D21946" s="2" t="s">
        <v>10</v>
      </c>
      <c r="E21946" s="2" t="str">
        <f>HYPERLINK("http://ts.21cn.com/tousu/show/id/1354086","http://ts.21cn.com/tousu/show/id/1354086")</f>
        <v>http://ts.21cn.com/tousu/show/id/1354086</v>
      </c>
      <c r="F21946" s="2" t="s">
        <v>11</v>
      </c>
      <c r="G21946" s="2" t="s">
        <v>990</v>
      </c>
      <c r="H21946" s="2" t="s">
        <v>991</v>
      </c>
    </row>
    <row r="21947" spans="1:8" ht="25.05" customHeight="1" x14ac:dyDescent="0.25">
      <c r="A21947" s="2" t="s">
        <v>8</v>
      </c>
      <c r="B21947" s="2" t="str">
        <f>HYPERLINK("http://ts.21cn.com/tousu/show/id/1354089","丰巢快递柜无法取件")</f>
        <v>丰巢快递柜无法取件</v>
      </c>
      <c r="C21947" s="2" t="s">
        <v>9</v>
      </c>
      <c r="D21947" s="2" t="s">
        <v>10</v>
      </c>
      <c r="E21947" s="2" t="str">
        <f>HYPERLINK("http://ts.21cn.com/tousu/show/id/1354089","http://ts.21cn.com/tousu/show/id/1354089")</f>
        <v>http://ts.21cn.com/tousu/show/id/1354089</v>
      </c>
      <c r="F21947" s="2" t="s">
        <v>11</v>
      </c>
      <c r="G21947" s="2" t="s">
        <v>988</v>
      </c>
      <c r="H21947" s="2" t="s">
        <v>989</v>
      </c>
    </row>
    <row r="21948" spans="1:8" ht="25.05" customHeight="1" x14ac:dyDescent="0.25">
      <c r="A21948" s="2" t="s">
        <v>8</v>
      </c>
      <c r="B21948" s="2" t="str">
        <f>HYPERLINK("http://ts.21cn.com/tousu/show/id/1354092","交通银行谎称起诉开庭威胁")</f>
        <v>交通银行谎称起诉开庭威胁</v>
      </c>
      <c r="C21948" s="2" t="s">
        <v>9</v>
      </c>
      <c r="D21948" s="2" t="s">
        <v>10</v>
      </c>
      <c r="E21948" s="2" t="str">
        <f>HYPERLINK("http://ts.21cn.com/tousu/show/id/1354092","http://ts.21cn.com/tousu/show/id/1354092")</f>
        <v>http://ts.21cn.com/tousu/show/id/1354092</v>
      </c>
      <c r="F21948" s="2" t="s">
        <v>11</v>
      </c>
      <c r="G21948" s="2" t="s">
        <v>986</v>
      </c>
      <c r="H21948" s="2" t="s">
        <v>987</v>
      </c>
    </row>
    <row r="21949" spans="1:8" ht="25.05" customHeight="1" x14ac:dyDescent="0.25">
      <c r="A21949" s="2" t="s">
        <v>8</v>
      </c>
      <c r="B21949" s="2" t="str">
        <f>HYPERLINK("http://ts.21cn.com/tousu/show/id/1354094","卡卡贷骚扰通讯录态度恶劣")</f>
        <v>卡卡贷骚扰通讯录态度恶劣</v>
      </c>
      <c r="C21949" s="2" t="s">
        <v>9</v>
      </c>
      <c r="D21949" s="2" t="s">
        <v>10</v>
      </c>
      <c r="E21949" s="2" t="str">
        <f>HYPERLINK("http://ts.21cn.com/tousu/show/id/1354094","http://ts.21cn.com/tousu/show/id/1354094")</f>
        <v>http://ts.21cn.com/tousu/show/id/1354094</v>
      </c>
      <c r="F21949" s="2" t="s">
        <v>11</v>
      </c>
      <c r="G21949" s="2" t="s">
        <v>984</v>
      </c>
      <c r="H21949" s="2" t="s">
        <v>985</v>
      </c>
    </row>
    <row r="21950" spans="1:8" ht="25.05" customHeight="1" x14ac:dyDescent="0.25">
      <c r="A21950" s="2" t="s">
        <v>8</v>
      </c>
      <c r="B21950" s="2" t="str">
        <f>HYPERLINK("http://ts.21cn.com/tousu/show/id/1354096","通过店立方APP收的款不给提现")</f>
        <v>通过店立方APP收的款不给提现</v>
      </c>
      <c r="C21950" s="2" t="s">
        <v>9</v>
      </c>
      <c r="D21950" s="2" t="s">
        <v>10</v>
      </c>
      <c r="E21950" s="2" t="str">
        <f>HYPERLINK("http://ts.21cn.com/tousu/show/id/1354096","http://ts.21cn.com/tousu/show/id/1354096")</f>
        <v>http://ts.21cn.com/tousu/show/id/1354096</v>
      </c>
      <c r="F21950" s="2" t="s">
        <v>11</v>
      </c>
      <c r="G21950" s="2" t="s">
        <v>982</v>
      </c>
      <c r="H21950" s="2" t="s">
        <v>983</v>
      </c>
    </row>
    <row r="21951" spans="1:8" ht="25.05" customHeight="1" x14ac:dyDescent="0.25">
      <c r="A21951" s="2" t="s">
        <v>8</v>
      </c>
      <c r="B21951" s="2" t="str">
        <f>HYPERLINK("http://ts.21cn.com/tousu/show/id/1354093","厚钱包借款砍头息")</f>
        <v>厚钱包借款砍头息</v>
      </c>
      <c r="C21951" s="2" t="s">
        <v>9</v>
      </c>
      <c r="D21951" s="2" t="s">
        <v>10</v>
      </c>
      <c r="E21951" s="2" t="str">
        <f>HYPERLINK("http://ts.21cn.com/tousu/show/id/1354093","http://ts.21cn.com/tousu/show/id/1354093")</f>
        <v>http://ts.21cn.com/tousu/show/id/1354093</v>
      </c>
      <c r="F21951" s="2" t="s">
        <v>11</v>
      </c>
      <c r="G21951" s="2" t="s">
        <v>980</v>
      </c>
      <c r="H21951" s="2" t="s">
        <v>981</v>
      </c>
    </row>
    <row r="21952" spans="1:8" ht="25.05" customHeight="1" x14ac:dyDescent="0.25">
      <c r="A21952" s="2" t="s">
        <v>8</v>
      </c>
      <c r="B21952" s="2" t="str">
        <f>HYPERLINK("http://ts.21cn.com/tousu/show/id/1354095","造艺科技旗下的聚富分期恶意收取299元，信征查询费，要求退回299元")</f>
        <v>造艺科技旗下的聚富分期恶意收取299元，信征查询费，要求退回299元</v>
      </c>
      <c r="C21952" s="2" t="s">
        <v>9</v>
      </c>
      <c r="D21952" s="2" t="s">
        <v>10</v>
      </c>
      <c r="E21952" s="2" t="str">
        <f>HYPERLINK("http://ts.21cn.com/tousu/show/id/1354095","http://ts.21cn.com/tousu/show/id/1354095")</f>
        <v>http://ts.21cn.com/tousu/show/id/1354095</v>
      </c>
      <c r="F21952" s="2" t="s">
        <v>11</v>
      </c>
      <c r="G21952" s="2" t="s">
        <v>978</v>
      </c>
      <c r="H21952" s="2" t="s">
        <v>979</v>
      </c>
    </row>
    <row r="21953" spans="1:8" ht="25.05" customHeight="1" x14ac:dyDescent="0.25">
      <c r="A21953" s="2" t="s">
        <v>8</v>
      </c>
      <c r="B21953" s="2" t="str">
        <f>HYPERLINK("http://ts.21cn.com/tousu/show/id/1354097","欺诈诱惑消费者")</f>
        <v>欺诈诱惑消费者</v>
      </c>
      <c r="C21953" s="2" t="s">
        <v>9</v>
      </c>
      <c r="D21953" s="2" t="s">
        <v>10</v>
      </c>
      <c r="E21953" s="2" t="str">
        <f>HYPERLINK("http://ts.21cn.com/tousu/show/id/1354097","http://ts.21cn.com/tousu/show/id/1354097")</f>
        <v>http://ts.21cn.com/tousu/show/id/1354097</v>
      </c>
      <c r="F21953" s="2" t="s">
        <v>11</v>
      </c>
      <c r="G21953" s="2" t="s">
        <v>976</v>
      </c>
      <c r="H21953" s="2" t="s">
        <v>977</v>
      </c>
    </row>
    <row r="21954" spans="1:8" ht="25.05" customHeight="1" x14ac:dyDescent="0.25">
      <c r="A21954" s="2" t="s">
        <v>8</v>
      </c>
      <c r="B21954" s="2" t="str">
        <f>HYPERLINK("http://ts.21cn.com/tousu/show/id/1354098","360借条暴力催收，威胁恐吓我的家人和朋友")</f>
        <v>360借条暴力催收，威胁恐吓我的家人和朋友</v>
      </c>
      <c r="C21954" s="2" t="s">
        <v>9</v>
      </c>
      <c r="D21954" s="2" t="s">
        <v>10</v>
      </c>
      <c r="E21954" s="2" t="str">
        <f>HYPERLINK("http://ts.21cn.com/tousu/show/id/1354098","http://ts.21cn.com/tousu/show/id/1354098")</f>
        <v>http://ts.21cn.com/tousu/show/id/1354098</v>
      </c>
      <c r="F21954" s="2" t="s">
        <v>11</v>
      </c>
      <c r="G21954" s="2" t="s">
        <v>974</v>
      </c>
      <c r="H21954" s="2" t="s">
        <v>975</v>
      </c>
    </row>
    <row r="21955" spans="1:8" ht="25.05" customHeight="1" x14ac:dyDescent="0.25">
      <c r="A21955" s="2" t="s">
        <v>8</v>
      </c>
      <c r="B21955" s="2" t="str">
        <f>HYPERLINK("http://ts.21cn.com/tousu/show/id/1354099","暴力催收群发短信")</f>
        <v>暴力催收群发短信</v>
      </c>
      <c r="C21955" s="2" t="s">
        <v>9</v>
      </c>
      <c r="D21955" s="2" t="s">
        <v>10</v>
      </c>
      <c r="E21955" s="2" t="str">
        <f>HYPERLINK("http://ts.21cn.com/tousu/show/id/1354099","http://ts.21cn.com/tousu/show/id/1354099")</f>
        <v>http://ts.21cn.com/tousu/show/id/1354099</v>
      </c>
      <c r="F21955" s="2" t="s">
        <v>11</v>
      </c>
      <c r="G21955" s="2" t="s">
        <v>972</v>
      </c>
      <c r="H21955" s="2" t="s">
        <v>973</v>
      </c>
    </row>
    <row r="21956" spans="1:8" ht="25.05" customHeight="1" x14ac:dyDescent="0.25">
      <c r="A21956" s="2" t="s">
        <v>8</v>
      </c>
      <c r="B21956" s="2" t="str">
        <f>HYPERLINK("http://ts.21cn.com/tousu/show/id/1354091","苏宁易购误导消费者，十一国庆虚假广告")</f>
        <v>苏宁易购误导消费者，十一国庆虚假广告</v>
      </c>
      <c r="C21956" s="2" t="s">
        <v>9</v>
      </c>
      <c r="D21956" s="2" t="s">
        <v>10</v>
      </c>
      <c r="E21956" s="2" t="str">
        <f>HYPERLINK("http://ts.21cn.com/tousu/show/id/1354091","http://ts.21cn.com/tousu/show/id/1354091")</f>
        <v>http://ts.21cn.com/tousu/show/id/1354091</v>
      </c>
      <c r="F21956" s="2" t="s">
        <v>11</v>
      </c>
      <c r="G21956" s="2" t="s">
        <v>970</v>
      </c>
      <c r="H21956" s="2" t="s">
        <v>971</v>
      </c>
    </row>
    <row r="21957" spans="1:8" ht="25.05" customHeight="1" x14ac:dyDescent="0.25">
      <c r="A21957" s="2" t="s">
        <v>8</v>
      </c>
      <c r="B21957" s="2" t="str">
        <f>HYPERLINK("http://ts.21cn.com/tousu/show/id/1354101","豆豆钱砍头息，高利贷，")</f>
        <v>豆豆钱砍头息，高利贷，</v>
      </c>
      <c r="C21957" s="2" t="s">
        <v>9</v>
      </c>
      <c r="D21957" s="2" t="s">
        <v>10</v>
      </c>
      <c r="E21957" s="2" t="str">
        <f>HYPERLINK("http://ts.21cn.com/tousu/show/id/1354101","http://ts.21cn.com/tousu/show/id/1354101")</f>
        <v>http://ts.21cn.com/tousu/show/id/1354101</v>
      </c>
      <c r="F21957" s="2" t="s">
        <v>11</v>
      </c>
      <c r="G21957" s="2" t="s">
        <v>968</v>
      </c>
      <c r="H21957" s="2" t="s">
        <v>969</v>
      </c>
    </row>
    <row r="21958" spans="1:8" ht="25.05" customHeight="1" x14ac:dyDescent="0.25">
      <c r="A21958" s="2" t="s">
        <v>8</v>
      </c>
      <c r="B21958" s="2" t="str">
        <f>HYPERLINK("http://ts.21cn.com/tousu/show/id/1354100","滴滴快车改成口碑值接不到单")</f>
        <v>滴滴快车改成口碑值接不到单</v>
      </c>
      <c r="C21958" s="2" t="s">
        <v>34</v>
      </c>
      <c r="D21958" s="2" t="s">
        <v>10</v>
      </c>
      <c r="E21958" s="2" t="str">
        <f>HYPERLINK("http://ts.21cn.com/tousu/show/id/1354100","http://ts.21cn.com/tousu/show/id/1354100")</f>
        <v>http://ts.21cn.com/tousu/show/id/1354100</v>
      </c>
      <c r="F21958" s="2" t="s">
        <v>11</v>
      </c>
      <c r="G21958" s="2" t="s">
        <v>966</v>
      </c>
      <c r="H21958" s="2" t="s">
        <v>967</v>
      </c>
    </row>
    <row r="21959" spans="1:8" ht="25.05" customHeight="1" x14ac:dyDescent="0.25">
      <c r="A21959" s="2" t="s">
        <v>8</v>
      </c>
      <c r="B21959" s="2" t="str">
        <f>HYPERLINK("http://ts.21cn.com/tousu/show/id/1354102","威胁暴力催收")</f>
        <v>威胁暴力催收</v>
      </c>
      <c r="C21959" s="2" t="s">
        <v>9</v>
      </c>
      <c r="D21959" s="2" t="s">
        <v>10</v>
      </c>
      <c r="E21959" s="2" t="str">
        <f>HYPERLINK("http://ts.21cn.com/tousu/show/id/1354102","http://ts.21cn.com/tousu/show/id/1354102")</f>
        <v>http://ts.21cn.com/tousu/show/id/1354102</v>
      </c>
      <c r="F21959" s="2" t="s">
        <v>11</v>
      </c>
      <c r="G21959" s="2" t="s">
        <v>964</v>
      </c>
      <c r="H21959" s="2" t="s">
        <v>965</v>
      </c>
    </row>
    <row r="21960" spans="1:8" ht="25.05" customHeight="1" x14ac:dyDescent="0.25">
      <c r="A21960" s="2" t="s">
        <v>8</v>
      </c>
      <c r="B21960" s="2" t="str">
        <f>HYPERLINK("http://ts.21cn.com/tousu/show/id/1354103","交易猫上买号发现是空号，申请仲裁客服装死，换绑成功后无短信提示")</f>
        <v>交易猫上买号发现是空号，申请仲裁客服装死，换绑成功后无短信提示</v>
      </c>
      <c r="C21960" s="2" t="s">
        <v>34</v>
      </c>
      <c r="D21960" s="2" t="s">
        <v>10</v>
      </c>
      <c r="E21960" s="2" t="str">
        <f>HYPERLINK("http://ts.21cn.com/tousu/show/id/1354103","http://ts.21cn.com/tousu/show/id/1354103")</f>
        <v>http://ts.21cn.com/tousu/show/id/1354103</v>
      </c>
      <c r="F21960" s="2" t="s">
        <v>11</v>
      </c>
      <c r="G21960" s="2" t="s">
        <v>962</v>
      </c>
      <c r="H21960" s="2" t="s">
        <v>963</v>
      </c>
    </row>
    <row r="21961" spans="1:8" ht="25.05" customHeight="1" x14ac:dyDescent="0.25">
      <c r="A21961" s="2" t="s">
        <v>8</v>
      </c>
      <c r="B21961" s="2" t="str">
        <f>HYPERLINK("http://ts.21cn.com/tousu/show/id/1354104","滴滴公司还没上车就先打表了")</f>
        <v>滴滴公司还没上车就先打表了</v>
      </c>
      <c r="C21961" s="2" t="s">
        <v>9</v>
      </c>
      <c r="D21961" s="2" t="s">
        <v>10</v>
      </c>
      <c r="E21961" s="2" t="str">
        <f>HYPERLINK("http://ts.21cn.com/tousu/show/id/1354104","http://ts.21cn.com/tousu/show/id/1354104")</f>
        <v>http://ts.21cn.com/tousu/show/id/1354104</v>
      </c>
      <c r="F21961" s="2" t="s">
        <v>11</v>
      </c>
      <c r="G21961" s="2" t="s">
        <v>960</v>
      </c>
      <c r="H21961" s="2" t="s">
        <v>961</v>
      </c>
    </row>
    <row r="21962" spans="1:8" ht="25.05" customHeight="1" x14ac:dyDescent="0.25">
      <c r="A21962" s="2" t="s">
        <v>8</v>
      </c>
      <c r="B21962" s="2" t="str">
        <f>HYPERLINK("http://ts.21cn.com/tousu/show/id/1354105","暴力催收，高利息，虚假宣传")</f>
        <v>暴力催收，高利息，虚假宣传</v>
      </c>
      <c r="C21962" s="2" t="s">
        <v>9</v>
      </c>
      <c r="D21962" s="2" t="s">
        <v>10</v>
      </c>
      <c r="E21962" s="2" t="str">
        <f>HYPERLINK("http://ts.21cn.com/tousu/show/id/1354105","http://ts.21cn.com/tousu/show/id/1354105")</f>
        <v>http://ts.21cn.com/tousu/show/id/1354105</v>
      </c>
      <c r="F21962" s="2" t="s">
        <v>11</v>
      </c>
      <c r="G21962" s="2" t="s">
        <v>958</v>
      </c>
      <c r="H21962" s="2" t="s">
        <v>959</v>
      </c>
    </row>
    <row r="21963" spans="1:8" ht="25.05" customHeight="1" x14ac:dyDescent="0.25">
      <c r="A21963" s="2" t="s">
        <v>8</v>
      </c>
      <c r="B21963" s="2" t="str">
        <f>HYPERLINK("http://ts.21cn.com/tousu/show/id/1354106","腾讯客服微信服务")</f>
        <v>腾讯客服微信服务</v>
      </c>
      <c r="C21963" s="2" t="s">
        <v>34</v>
      </c>
      <c r="D21963" s="2" t="s">
        <v>10</v>
      </c>
      <c r="E21963" s="2" t="str">
        <f>HYPERLINK("http://ts.21cn.com/tousu/show/id/1354106","http://ts.21cn.com/tousu/show/id/1354106")</f>
        <v>http://ts.21cn.com/tousu/show/id/1354106</v>
      </c>
      <c r="F21963" s="2" t="s">
        <v>11</v>
      </c>
      <c r="G21963" s="2" t="s">
        <v>956</v>
      </c>
      <c r="H21963" s="2" t="s">
        <v>957</v>
      </c>
    </row>
    <row r="21964" spans="1:8" ht="25.05" customHeight="1" x14ac:dyDescent="0.25">
      <c r="A21964" s="2" t="s">
        <v>8</v>
      </c>
      <c r="B21964" s="2" t="str">
        <f>HYPERLINK("http://ts.21cn.com/tousu/show/id/1354107","停止对本人和亲友的骚扰并道歉")</f>
        <v>停止对本人和亲友的骚扰并道歉</v>
      </c>
      <c r="C21964" s="2" t="s">
        <v>9</v>
      </c>
      <c r="D21964" s="2" t="s">
        <v>10</v>
      </c>
      <c r="E21964" s="2" t="str">
        <f>HYPERLINK("http://ts.21cn.com/tousu/show/id/1354107","http://ts.21cn.com/tousu/show/id/1354107")</f>
        <v>http://ts.21cn.com/tousu/show/id/1354107</v>
      </c>
      <c r="F21964" s="2" t="s">
        <v>11</v>
      </c>
      <c r="G21964" s="2" t="s">
        <v>954</v>
      </c>
      <c r="H21964" s="2" t="s">
        <v>955</v>
      </c>
    </row>
    <row r="21965" spans="1:8" ht="25.05" customHeight="1" x14ac:dyDescent="0.25">
      <c r="A21965" s="2" t="s">
        <v>8</v>
      </c>
      <c r="B21965" s="2" t="str">
        <f>HYPERLINK("http://ts.21cn.com/tousu/show/id/1354087","商品强买强卖，没发货也不能申请退款，现在发货了还是申请不了退款，什么意思啊？问客服，客服只告诉我等待，等到什么时候？")</f>
        <v>商品强买强卖，没发货也不能申请退款，现在发货了还是申请不了退款，什么意思啊？问客服，客服只告诉我等待，等到什么时候？</v>
      </c>
      <c r="C21965" s="2" t="s">
        <v>9</v>
      </c>
      <c r="D21965" s="2" t="s">
        <v>10</v>
      </c>
      <c r="E21965" s="2" t="str">
        <f>HYPERLINK("http://ts.21cn.com/tousu/show/id/1354087","http://ts.21cn.com/tousu/show/id/1354087")</f>
        <v>http://ts.21cn.com/tousu/show/id/1354087</v>
      </c>
      <c r="F21965" s="2" t="s">
        <v>11</v>
      </c>
      <c r="G21965" s="2" t="s">
        <v>952</v>
      </c>
      <c r="H21965" s="2" t="s">
        <v>953</v>
      </c>
    </row>
    <row r="21966" spans="1:8" ht="25.05" customHeight="1" x14ac:dyDescent="0.25">
      <c r="A21966" s="2" t="s">
        <v>8</v>
      </c>
      <c r="B21966" s="2" t="str">
        <f>HYPERLINK("http://ts.21cn.com/tousu/show/id/1354109","天房天辰世纪楼盘强制捆绑车位售卖且车位不按期交付使用")</f>
        <v>天房天辰世纪楼盘强制捆绑车位售卖且车位不按期交付使用</v>
      </c>
      <c r="C21966" s="2" t="s">
        <v>9</v>
      </c>
      <c r="D21966" s="2" t="s">
        <v>10</v>
      </c>
      <c r="E21966" s="2" t="str">
        <f>HYPERLINK("http://ts.21cn.com/tousu/show/id/1354109","http://ts.21cn.com/tousu/show/id/1354109")</f>
        <v>http://ts.21cn.com/tousu/show/id/1354109</v>
      </c>
      <c r="F21966" s="2" t="s">
        <v>11</v>
      </c>
      <c r="G21966" s="2" t="s">
        <v>950</v>
      </c>
      <c r="H21966" s="2" t="s">
        <v>951</v>
      </c>
    </row>
    <row r="21967" spans="1:8" ht="25.05" customHeight="1" x14ac:dyDescent="0.25">
      <c r="A21967" s="2" t="s">
        <v>8</v>
      </c>
      <c r="B21967" s="2" t="str">
        <f>HYPERLINK("http://ts.21cn.com/tousu/show/id/1354110","不小点击借款了，让客服取消，客服不给")</f>
        <v>不小点击借款了，让客服取消，客服不给</v>
      </c>
      <c r="C21967" s="2" t="s">
        <v>9</v>
      </c>
      <c r="D21967" s="2" t="s">
        <v>10</v>
      </c>
      <c r="E21967" s="2" t="str">
        <f>HYPERLINK("http://ts.21cn.com/tousu/show/id/1354110","http://ts.21cn.com/tousu/show/id/1354110")</f>
        <v>http://ts.21cn.com/tousu/show/id/1354110</v>
      </c>
      <c r="F21967" s="2" t="s">
        <v>11</v>
      </c>
      <c r="G21967" s="2" t="s">
        <v>948</v>
      </c>
      <c r="H21967" s="2" t="s">
        <v>949</v>
      </c>
    </row>
    <row r="21968" spans="1:8" ht="25.05" customHeight="1" x14ac:dyDescent="0.25">
      <c r="A21968" s="2" t="s">
        <v>8</v>
      </c>
      <c r="B21968" s="2" t="str">
        <f>HYPERLINK("http://ts.21cn.com/tousu/show/id/1354111","钱橙无忧app私扣用户卡里的钱")</f>
        <v>钱橙无忧app私扣用户卡里的钱</v>
      </c>
      <c r="C21968" s="2" t="s">
        <v>9</v>
      </c>
      <c r="D21968" s="2" t="s">
        <v>10</v>
      </c>
      <c r="E21968" s="2" t="str">
        <f>HYPERLINK("http://ts.21cn.com/tousu/show/id/1354111","http://ts.21cn.com/tousu/show/id/1354111")</f>
        <v>http://ts.21cn.com/tousu/show/id/1354111</v>
      </c>
      <c r="F21968" s="2" t="s">
        <v>11</v>
      </c>
      <c r="G21968" s="2" t="s">
        <v>946</v>
      </c>
      <c r="H21968" s="2" t="s">
        <v>947</v>
      </c>
    </row>
    <row r="21969" spans="1:8" ht="25.05" customHeight="1" x14ac:dyDescent="0.25">
      <c r="A21969" s="2" t="s">
        <v>8</v>
      </c>
      <c r="B21969" s="2" t="str">
        <f>HYPERLINK("http://ts.21cn.com/tousu/show/id/1354088","钱橙无忧在我不知情的情说下扣了我168元")</f>
        <v>钱橙无忧在我不知情的情说下扣了我168元</v>
      </c>
      <c r="C21969" s="2" t="s">
        <v>9</v>
      </c>
      <c r="D21969" s="2" t="s">
        <v>10</v>
      </c>
      <c r="E21969" s="2" t="str">
        <f>HYPERLINK("http://ts.21cn.com/tousu/show/id/1354088","http://ts.21cn.com/tousu/show/id/1354088")</f>
        <v>http://ts.21cn.com/tousu/show/id/1354088</v>
      </c>
      <c r="F21969" s="2" t="s">
        <v>11</v>
      </c>
      <c r="G21969" s="2" t="s">
        <v>944</v>
      </c>
      <c r="H21969" s="2" t="s">
        <v>945</v>
      </c>
    </row>
    <row r="21970" spans="1:8" ht="25.05" customHeight="1" x14ac:dyDescent="0.25">
      <c r="A21970" s="2" t="s">
        <v>8</v>
      </c>
      <c r="B21970" s="2" t="str">
        <f>HYPERLINK("http://ts.21cn.com/tousu/show/id/1354112","黑网贷")</f>
        <v>黑网贷</v>
      </c>
      <c r="C21970" s="2" t="s">
        <v>9</v>
      </c>
      <c r="D21970" s="2" t="s">
        <v>10</v>
      </c>
      <c r="E21970" s="2" t="str">
        <f>HYPERLINK("http://ts.21cn.com/tousu/show/id/1354112","http://ts.21cn.com/tousu/show/id/1354112")</f>
        <v>http://ts.21cn.com/tousu/show/id/1354112</v>
      </c>
      <c r="F21970" s="2" t="s">
        <v>11</v>
      </c>
      <c r="G21970" s="2" t="s">
        <v>942</v>
      </c>
      <c r="H21970" s="2" t="s">
        <v>943</v>
      </c>
    </row>
    <row r="21971" spans="1:8" ht="25.05" customHeight="1" x14ac:dyDescent="0.25">
      <c r="A21971" s="2" t="s">
        <v>8</v>
      </c>
      <c r="B21971" s="2" t="str">
        <f>HYPERLINK("http://ts.21cn.com/tousu/show/id/1354113","农业银行第三方催收")</f>
        <v>农业银行第三方催收</v>
      </c>
      <c r="C21971" s="2" t="s">
        <v>9</v>
      </c>
      <c r="D21971" s="2" t="s">
        <v>10</v>
      </c>
      <c r="E21971" s="2" t="str">
        <f>HYPERLINK("http://ts.21cn.com/tousu/show/id/1354113","http://ts.21cn.com/tousu/show/id/1354113")</f>
        <v>http://ts.21cn.com/tousu/show/id/1354113</v>
      </c>
      <c r="F21971" s="2" t="s">
        <v>11</v>
      </c>
      <c r="G21971" s="2" t="s">
        <v>940</v>
      </c>
      <c r="H21971" s="2" t="s">
        <v>941</v>
      </c>
    </row>
    <row r="21972" spans="1:8" ht="25.05" customHeight="1" x14ac:dyDescent="0.25">
      <c r="A21972" s="2" t="s">
        <v>8</v>
      </c>
      <c r="B21972" s="2" t="str">
        <f>HYPERLINK("http://ts.21cn.com/tousu/show/id/1354114","恒昌公司黑社会暴力催收")</f>
        <v>恒昌公司黑社会暴力催收</v>
      </c>
      <c r="C21972" s="2" t="s">
        <v>9</v>
      </c>
      <c r="D21972" s="2" t="s">
        <v>10</v>
      </c>
      <c r="E21972" s="2" t="str">
        <f>HYPERLINK("http://ts.21cn.com/tousu/show/id/1354114","http://ts.21cn.com/tousu/show/id/1354114")</f>
        <v>http://ts.21cn.com/tousu/show/id/1354114</v>
      </c>
      <c r="F21972" s="2" t="s">
        <v>11</v>
      </c>
      <c r="G21972" s="2" t="s">
        <v>938</v>
      </c>
      <c r="H21972" s="2" t="s">
        <v>939</v>
      </c>
    </row>
    <row r="21973" spans="1:8" ht="25.05" customHeight="1" x14ac:dyDescent="0.25">
      <c r="A21973" s="2" t="s">
        <v>8</v>
      </c>
      <c r="B21973" s="2" t="str">
        <f>HYPERLINK("http://ts.21cn.com/tousu/show/id/1354116","小浦优客未经同意扣款")</f>
        <v>小浦优客未经同意扣款</v>
      </c>
      <c r="C21973" s="2" t="s">
        <v>9</v>
      </c>
      <c r="D21973" s="2" t="s">
        <v>10</v>
      </c>
      <c r="E21973" s="2" t="str">
        <f>HYPERLINK("http://ts.21cn.com/tousu/show/id/1354116","http://ts.21cn.com/tousu/show/id/1354116")</f>
        <v>http://ts.21cn.com/tousu/show/id/1354116</v>
      </c>
      <c r="F21973" s="2" t="s">
        <v>11</v>
      </c>
      <c r="G21973" s="2" t="s">
        <v>936</v>
      </c>
      <c r="H21973" s="2" t="s">
        <v>937</v>
      </c>
    </row>
    <row r="21974" spans="1:8" ht="25.05" customHeight="1" x14ac:dyDescent="0.25">
      <c r="A21974" s="2" t="s">
        <v>8</v>
      </c>
      <c r="B21974" s="2" t="str">
        <f>HYPERLINK("http://ts.21cn.com/tousu/show/id/1354117","御剑飞行砍头息高利贷")</f>
        <v>御剑飞行砍头息高利贷</v>
      </c>
      <c r="C21974" s="2" t="s">
        <v>9</v>
      </c>
      <c r="D21974" s="2" t="s">
        <v>10</v>
      </c>
      <c r="E21974" s="2" t="str">
        <f>HYPERLINK("http://ts.21cn.com/tousu/show/id/1354117","http://ts.21cn.com/tousu/show/id/1354117")</f>
        <v>http://ts.21cn.com/tousu/show/id/1354117</v>
      </c>
      <c r="F21974" s="2" t="s">
        <v>11</v>
      </c>
      <c r="G21974" s="2" t="s">
        <v>934</v>
      </c>
      <c r="H21974" s="2" t="s">
        <v>935</v>
      </c>
    </row>
    <row r="21975" spans="1:8" ht="25.05" customHeight="1" x14ac:dyDescent="0.25">
      <c r="A21975" s="2" t="s">
        <v>8</v>
      </c>
      <c r="B21975" s="2" t="str">
        <f>HYPERLINK("http://ts.21cn.com/tousu/show/id/1354118","宝付支付和广州银联网络支付为违法高利贷现金借款违规提供支付渠道")</f>
        <v>宝付支付和广州银联网络支付为违法高利贷现金借款违规提供支付渠道</v>
      </c>
      <c r="C21975" s="2" t="s">
        <v>9</v>
      </c>
      <c r="D21975" s="2" t="s">
        <v>10</v>
      </c>
      <c r="E21975" s="2" t="str">
        <f>HYPERLINK("http://ts.21cn.com/tousu/show/id/1354118","http://ts.21cn.com/tousu/show/id/1354118")</f>
        <v>http://ts.21cn.com/tousu/show/id/1354118</v>
      </c>
      <c r="F21975" s="2" t="s">
        <v>11</v>
      </c>
      <c r="G21975" s="2" t="s">
        <v>932</v>
      </c>
      <c r="H21975" s="2" t="s">
        <v>933</v>
      </c>
    </row>
    <row r="21976" spans="1:8" ht="25.05" customHeight="1" x14ac:dyDescent="0.25">
      <c r="A21976" s="2" t="s">
        <v>8</v>
      </c>
      <c r="B21976" s="2" t="str">
        <f>HYPERLINK("http://ts.21cn.com/tousu/show/id/1354120","既有分期即领用申请成功却不放款，还每天涨利息")</f>
        <v>既有分期即领用申请成功却不放款，还每天涨利息</v>
      </c>
      <c r="C21976" s="2" t="s">
        <v>34</v>
      </c>
      <c r="D21976" s="2" t="s">
        <v>10</v>
      </c>
      <c r="E21976" s="2" t="str">
        <f>HYPERLINK("http://ts.21cn.com/tousu/show/id/1354120","http://ts.21cn.com/tousu/show/id/1354120")</f>
        <v>http://ts.21cn.com/tousu/show/id/1354120</v>
      </c>
      <c r="F21976" s="2" t="s">
        <v>11</v>
      </c>
      <c r="G21976" s="2" t="s">
        <v>930</v>
      </c>
      <c r="H21976" s="2" t="s">
        <v>931</v>
      </c>
    </row>
    <row r="21977" spans="1:8" ht="25.05" customHeight="1" x14ac:dyDescent="0.25">
      <c r="A21977" s="2" t="s">
        <v>8</v>
      </c>
      <c r="B21977" s="2" t="str">
        <f>HYPERLINK("http://ts.21cn.com/tousu/show/id/1354122","拍拍贷高利违法催收")</f>
        <v>拍拍贷高利违法催收</v>
      </c>
      <c r="C21977" s="2" t="s">
        <v>9</v>
      </c>
      <c r="D21977" s="2" t="s">
        <v>10</v>
      </c>
      <c r="E21977" s="2" t="str">
        <f>HYPERLINK("http://ts.21cn.com/tousu/show/id/1354122","http://ts.21cn.com/tousu/show/id/1354122")</f>
        <v>http://ts.21cn.com/tousu/show/id/1354122</v>
      </c>
      <c r="F21977" s="2" t="s">
        <v>11</v>
      </c>
      <c r="G21977" s="2" t="s">
        <v>928</v>
      </c>
      <c r="H21977" s="2" t="s">
        <v>929</v>
      </c>
    </row>
    <row r="21978" spans="1:8" ht="25.05" customHeight="1" x14ac:dyDescent="0.25">
      <c r="A21978" s="2" t="s">
        <v>8</v>
      </c>
      <c r="B21978" s="2" t="str">
        <f>HYPERLINK("http://ts.21cn.com/tousu/show/id/1354123","无辜扣款296元")</f>
        <v>无辜扣款296元</v>
      </c>
      <c r="C21978" s="2" t="s">
        <v>9</v>
      </c>
      <c r="D21978" s="2" t="s">
        <v>10</v>
      </c>
      <c r="E21978" s="2" t="str">
        <f>HYPERLINK("http://ts.21cn.com/tousu/show/id/1354123","http://ts.21cn.com/tousu/show/id/1354123")</f>
        <v>http://ts.21cn.com/tousu/show/id/1354123</v>
      </c>
      <c r="F21978" s="2" t="s">
        <v>11</v>
      </c>
      <c r="G21978" s="2" t="s">
        <v>926</v>
      </c>
      <c r="H21978" s="2" t="s">
        <v>927</v>
      </c>
    </row>
    <row r="21979" spans="1:8" ht="25.05" customHeight="1" x14ac:dyDescent="0.25">
      <c r="A21979" s="2" t="s">
        <v>8</v>
      </c>
      <c r="B21979" s="2" t="str">
        <f>HYPERLINK("http://ts.21cn.com/tousu/show/id/1354125","信用飞借贷周边暴力催收并威胁")</f>
        <v>信用飞借贷周边暴力催收并威胁</v>
      </c>
      <c r="C21979" s="2" t="s">
        <v>9</v>
      </c>
      <c r="D21979" s="2" t="s">
        <v>10</v>
      </c>
      <c r="E21979" s="2" t="str">
        <f>HYPERLINK("http://ts.21cn.com/tousu/show/id/1354125","http://ts.21cn.com/tousu/show/id/1354125")</f>
        <v>http://ts.21cn.com/tousu/show/id/1354125</v>
      </c>
      <c r="F21979" s="2" t="s">
        <v>11</v>
      </c>
      <c r="G21979" s="2" t="s">
        <v>923</v>
      </c>
      <c r="H21979" s="2" t="s">
        <v>924</v>
      </c>
    </row>
    <row r="21980" spans="1:8" ht="25.05" customHeight="1" x14ac:dyDescent="0.25">
      <c r="A21980" s="2" t="s">
        <v>8</v>
      </c>
      <c r="B21980" s="2" t="str">
        <f>HYPERLINK("http://ts.21cn.com/tousu/show/id/1354124","交通银行催收部门爆通讯录侵犯个人名誉权")</f>
        <v>交通银行催收部门爆通讯录侵犯个人名誉权</v>
      </c>
      <c r="C21980" s="2" t="s">
        <v>9</v>
      </c>
      <c r="D21980" s="2" t="s">
        <v>10</v>
      </c>
      <c r="E21980" s="2" t="str">
        <f>HYPERLINK("http://ts.21cn.com/tousu/show/id/1354124","http://ts.21cn.com/tousu/show/id/1354124")</f>
        <v>http://ts.21cn.com/tousu/show/id/1354124</v>
      </c>
      <c r="F21980" s="2" t="s">
        <v>11</v>
      </c>
      <c r="G21980" s="2" t="s">
        <v>923</v>
      </c>
      <c r="H21980" s="2" t="s">
        <v>925</v>
      </c>
    </row>
    <row r="21981" spans="1:8" ht="25.05" customHeight="1" x14ac:dyDescent="0.25">
      <c r="A21981" s="2" t="s">
        <v>8</v>
      </c>
      <c r="B21981" s="2" t="str">
        <f>HYPERLINK("http://ts.21cn.com/tousu/show/id/1354126","月月有钱砍头息高利贷")</f>
        <v>月月有钱砍头息高利贷</v>
      </c>
      <c r="C21981" s="2" t="s">
        <v>9</v>
      </c>
      <c r="D21981" s="2" t="s">
        <v>10</v>
      </c>
      <c r="E21981" s="2" t="str">
        <f>HYPERLINK("http://ts.21cn.com/tousu/show/id/1354126","http://ts.21cn.com/tousu/show/id/1354126")</f>
        <v>http://ts.21cn.com/tousu/show/id/1354126</v>
      </c>
      <c r="F21981" s="2" t="s">
        <v>11</v>
      </c>
      <c r="G21981" s="2" t="s">
        <v>921</v>
      </c>
      <c r="H21981" s="2" t="s">
        <v>922</v>
      </c>
    </row>
    <row r="21982" spans="1:8" ht="25.05" customHeight="1" x14ac:dyDescent="0.25">
      <c r="A21982" s="2" t="s">
        <v>8</v>
      </c>
      <c r="B21982" s="2" t="str">
        <f>HYPERLINK("http://ts.21cn.com/tousu/show/id/1354128","平安银行催收人员冒充法务部门给本人发送短信")</f>
        <v>平安银行催收人员冒充法务部门给本人发送短信</v>
      </c>
      <c r="C21982" s="2" t="s">
        <v>9</v>
      </c>
      <c r="D21982" s="2" t="s">
        <v>10</v>
      </c>
      <c r="E21982" s="2" t="str">
        <f>HYPERLINK("http://ts.21cn.com/tousu/show/id/1354128","http://ts.21cn.com/tousu/show/id/1354128")</f>
        <v>http://ts.21cn.com/tousu/show/id/1354128</v>
      </c>
      <c r="F21982" s="2" t="s">
        <v>11</v>
      </c>
      <c r="G21982" s="2" t="s">
        <v>919</v>
      </c>
      <c r="H21982" s="2" t="s">
        <v>920</v>
      </c>
    </row>
    <row r="21983" spans="1:8" ht="25.05" customHeight="1" x14ac:dyDescent="0.25">
      <c r="A21983" s="2" t="s">
        <v>8</v>
      </c>
      <c r="B21983" s="2" t="str">
        <f>HYPERLINK("http://ts.21cn.com/tousu/show/id/1354129","时光分期软暴力催收")</f>
        <v>时光分期软暴力催收</v>
      </c>
      <c r="C21983" s="2" t="s">
        <v>9</v>
      </c>
      <c r="D21983" s="2" t="s">
        <v>10</v>
      </c>
      <c r="E21983" s="2" t="str">
        <f>HYPERLINK("http://ts.21cn.com/tousu/show/id/1354129","http://ts.21cn.com/tousu/show/id/1354129")</f>
        <v>http://ts.21cn.com/tousu/show/id/1354129</v>
      </c>
      <c r="F21983" s="2" t="s">
        <v>11</v>
      </c>
      <c r="G21983" s="2" t="s">
        <v>917</v>
      </c>
      <c r="H21983" s="2" t="s">
        <v>918</v>
      </c>
    </row>
    <row r="21984" spans="1:8" ht="25.05" customHeight="1" x14ac:dyDescent="0.25">
      <c r="A21984" s="2" t="s">
        <v>8</v>
      </c>
      <c r="B21984" s="2" t="str">
        <f>HYPERLINK("http://ts.21cn.com/tousu/show/id/1354130","协商还款")</f>
        <v>协商还款</v>
      </c>
      <c r="C21984" s="2" t="s">
        <v>9</v>
      </c>
      <c r="D21984" s="2" t="s">
        <v>10</v>
      </c>
      <c r="E21984" s="2" t="str">
        <f>HYPERLINK("http://ts.21cn.com/tousu/show/id/1354130","http://ts.21cn.com/tousu/show/id/1354130")</f>
        <v>http://ts.21cn.com/tousu/show/id/1354130</v>
      </c>
      <c r="F21984" s="2" t="s">
        <v>11</v>
      </c>
      <c r="G21984" s="2" t="s">
        <v>915</v>
      </c>
      <c r="H21984" s="2" t="s">
        <v>916</v>
      </c>
    </row>
    <row r="21985" spans="1:8" ht="25.05" customHeight="1" x14ac:dyDescent="0.25">
      <c r="A21985" s="2" t="s">
        <v>8</v>
      </c>
      <c r="B21985" s="2" t="str">
        <f>HYPERLINK("http://ts.21cn.com/tousu/show/id/1354121","被收取钱598")</f>
        <v>被收取钱598</v>
      </c>
      <c r="C21985" s="2" t="s">
        <v>9</v>
      </c>
      <c r="D21985" s="2" t="s">
        <v>10</v>
      </c>
      <c r="E21985" s="2" t="str">
        <f>HYPERLINK("http://ts.21cn.com/tousu/show/id/1354121","http://ts.21cn.com/tousu/show/id/1354121")</f>
        <v>http://ts.21cn.com/tousu/show/id/1354121</v>
      </c>
      <c r="F21985" s="2" t="s">
        <v>11</v>
      </c>
      <c r="G21985" s="2" t="s">
        <v>913</v>
      </c>
      <c r="H21985" s="2" t="s">
        <v>914</v>
      </c>
    </row>
    <row r="21986" spans="1:8" ht="25.05" customHeight="1" x14ac:dyDescent="0.25">
      <c r="A21986" s="2" t="s">
        <v>8</v>
      </c>
      <c r="B21986" s="2" t="str">
        <f>HYPERLINK("http://ts.21cn.com/tousu/show/id/1354135","小二违规处罚乱扣分")</f>
        <v>小二违规处罚乱扣分</v>
      </c>
      <c r="C21986" s="2" t="s">
        <v>9</v>
      </c>
      <c r="D21986" s="2" t="s">
        <v>10</v>
      </c>
      <c r="E21986" s="2" t="str">
        <f>HYPERLINK("http://ts.21cn.com/tousu/show/id/1354135","http://ts.21cn.com/tousu/show/id/1354135")</f>
        <v>http://ts.21cn.com/tousu/show/id/1354135</v>
      </c>
      <c r="F21986" s="2" t="s">
        <v>11</v>
      </c>
      <c r="G21986" s="2" t="s">
        <v>911</v>
      </c>
      <c r="H21986" s="2" t="s">
        <v>912</v>
      </c>
    </row>
    <row r="21987" spans="1:8" ht="25.05" customHeight="1" x14ac:dyDescent="0.25">
      <c r="A21987" s="2" t="s">
        <v>8</v>
      </c>
      <c r="B21987" s="2" t="str">
        <f>HYPERLINK("http://ts.21cn.com/tousu/show/id/1354133","信而富退货并退款")</f>
        <v>信而富退货并退款</v>
      </c>
      <c r="C21987" s="2" t="s">
        <v>9</v>
      </c>
      <c r="D21987" s="2" t="s">
        <v>10</v>
      </c>
      <c r="E21987" s="2" t="str">
        <f>HYPERLINK("http://ts.21cn.com/tousu/show/id/1354133","http://ts.21cn.com/tousu/show/id/1354133")</f>
        <v>http://ts.21cn.com/tousu/show/id/1354133</v>
      </c>
      <c r="F21987" s="2" t="s">
        <v>11</v>
      </c>
      <c r="G21987" s="2" t="s">
        <v>909</v>
      </c>
      <c r="H21987" s="2" t="s">
        <v>910</v>
      </c>
    </row>
    <row r="21988" spans="1:8" ht="25.05" customHeight="1" x14ac:dyDescent="0.25">
      <c r="A21988" s="2" t="s">
        <v>8</v>
      </c>
      <c r="B21988" s="2" t="str">
        <f>HYPERLINK("http://ts.21cn.com/tousu/show/id/1354134","恒企教育机构霸王条款")</f>
        <v>恒企教育机构霸王条款</v>
      </c>
      <c r="C21988" s="2" t="s">
        <v>9</v>
      </c>
      <c r="D21988" s="2" t="s">
        <v>10</v>
      </c>
      <c r="E21988" s="2" t="str">
        <f>HYPERLINK("http://ts.21cn.com/tousu/show/id/1354134","http://ts.21cn.com/tousu/show/id/1354134")</f>
        <v>http://ts.21cn.com/tousu/show/id/1354134</v>
      </c>
      <c r="F21988" s="2" t="s">
        <v>11</v>
      </c>
      <c r="G21988" s="2" t="s">
        <v>907</v>
      </c>
      <c r="H21988" s="2" t="s">
        <v>908</v>
      </c>
    </row>
    <row r="21989" spans="1:8" ht="25.05" customHeight="1" x14ac:dyDescent="0.25">
      <c r="A21989" s="2" t="s">
        <v>8</v>
      </c>
      <c r="B21989" s="2" t="str">
        <f>HYPERLINK("http://ts.21cn.com/tousu/show/id/1354115","弄坏我的手机，说好邮费全免，结果退回来需要支付13元邮费")</f>
        <v>弄坏我的手机，说好邮费全免，结果退回来需要支付13元邮费</v>
      </c>
      <c r="C21989" s="2" t="s">
        <v>9</v>
      </c>
      <c r="D21989" s="2" t="s">
        <v>10</v>
      </c>
      <c r="E21989" s="2" t="str">
        <f>HYPERLINK("http://ts.21cn.com/tousu/show/id/1354115","http://ts.21cn.com/tousu/show/id/1354115")</f>
        <v>http://ts.21cn.com/tousu/show/id/1354115</v>
      </c>
      <c r="F21989" s="2" t="s">
        <v>11</v>
      </c>
      <c r="G21989" s="2" t="s">
        <v>905</v>
      </c>
      <c r="H21989" s="2" t="s">
        <v>906</v>
      </c>
    </row>
    <row r="21990" spans="1:8" ht="25.05" customHeight="1" x14ac:dyDescent="0.25">
      <c r="A21990" s="2" t="s">
        <v>8</v>
      </c>
      <c r="B21990" s="2" t="str">
        <f>HYPERLINK("http://ts.21cn.com/tousu/show/id/1354137","食品安全问题依法维权")</f>
        <v>食品安全问题依法维权</v>
      </c>
      <c r="C21990" s="2" t="s">
        <v>9</v>
      </c>
      <c r="D21990" s="2" t="s">
        <v>10</v>
      </c>
      <c r="E21990" s="2" t="str">
        <f>HYPERLINK("http://ts.21cn.com/tousu/show/id/1354137","http://ts.21cn.com/tousu/show/id/1354137")</f>
        <v>http://ts.21cn.com/tousu/show/id/1354137</v>
      </c>
      <c r="F21990" s="2" t="s">
        <v>11</v>
      </c>
      <c r="G21990" s="2" t="s">
        <v>903</v>
      </c>
      <c r="H21990" s="2" t="s">
        <v>904</v>
      </c>
    </row>
    <row r="21991" spans="1:8" ht="25.05" customHeight="1" x14ac:dyDescent="0.25">
      <c r="A21991" s="2" t="s">
        <v>8</v>
      </c>
      <c r="B21991" s="2" t="str">
        <f>HYPERLINK("http://ts.21cn.com/tousu/show/id/1354138","贷上钱以买游戏豆为由收取高额贷款通过费")</f>
        <v>贷上钱以买游戏豆为由收取高额贷款通过费</v>
      </c>
      <c r="C21991" s="2" t="s">
        <v>9</v>
      </c>
      <c r="D21991" s="2" t="s">
        <v>10</v>
      </c>
      <c r="E21991" s="2" t="str">
        <f>HYPERLINK("http://ts.21cn.com/tousu/show/id/1354138","http://ts.21cn.com/tousu/show/id/1354138")</f>
        <v>http://ts.21cn.com/tousu/show/id/1354138</v>
      </c>
      <c r="F21991" s="2" t="s">
        <v>11</v>
      </c>
      <c r="G21991" s="2" t="s">
        <v>901</v>
      </c>
      <c r="H21991" s="2" t="s">
        <v>902</v>
      </c>
    </row>
    <row r="21992" spans="1:8" ht="25.05" customHeight="1" x14ac:dyDescent="0.25">
      <c r="A21992" s="2" t="s">
        <v>8</v>
      </c>
      <c r="B21992" s="2" t="str">
        <f>HYPERLINK("http://ts.21cn.com/tousu/show/id/1354141","闲鱼卖物，交易完成，资金无辜被冻结在支付宝里不可用")</f>
        <v>闲鱼卖物，交易完成，资金无辜被冻结在支付宝里不可用</v>
      </c>
      <c r="C21992" s="2" t="s">
        <v>9</v>
      </c>
      <c r="D21992" s="2" t="s">
        <v>10</v>
      </c>
      <c r="E21992" s="2" t="str">
        <f>HYPERLINK("http://ts.21cn.com/tousu/show/id/1354141","http://ts.21cn.com/tousu/show/id/1354141")</f>
        <v>http://ts.21cn.com/tousu/show/id/1354141</v>
      </c>
      <c r="F21992" s="2" t="s">
        <v>11</v>
      </c>
      <c r="G21992" s="2" t="s">
        <v>899</v>
      </c>
      <c r="H21992" s="2" t="s">
        <v>900</v>
      </c>
    </row>
    <row r="21993" spans="1:8" ht="25.05" customHeight="1" x14ac:dyDescent="0.25">
      <c r="A21993" s="2" t="s">
        <v>8</v>
      </c>
      <c r="B21993" s="2" t="str">
        <f>HYPERLINK("http://ts.21cn.com/tousu/show/id/1354142","钱站高利贷阴阳合同")</f>
        <v>钱站高利贷阴阳合同</v>
      </c>
      <c r="C21993" s="2" t="s">
        <v>9</v>
      </c>
      <c r="D21993" s="2" t="s">
        <v>10</v>
      </c>
      <c r="E21993" s="2" t="str">
        <f>HYPERLINK("http://ts.21cn.com/tousu/show/id/1354142","http://ts.21cn.com/tousu/show/id/1354142")</f>
        <v>http://ts.21cn.com/tousu/show/id/1354142</v>
      </c>
      <c r="F21993" s="2" t="s">
        <v>11</v>
      </c>
      <c r="G21993" s="2" t="s">
        <v>897</v>
      </c>
      <c r="H21993" s="2" t="s">
        <v>898</v>
      </c>
    </row>
    <row r="21994" spans="1:8" ht="25.05" customHeight="1" x14ac:dyDescent="0.25">
      <c r="A21994" s="2" t="s">
        <v>8</v>
      </c>
      <c r="B21994" s="2" t="str">
        <f>HYPERLINK("http://ts.21cn.com/tousu/show/id/1354143","在没有信息没有密码的情况下盗刷我银行卡里的钱，强盗行为。")</f>
        <v>在没有信息没有密码的情况下盗刷我银行卡里的钱，强盗行为。</v>
      </c>
      <c r="C21994" s="2" t="s">
        <v>9</v>
      </c>
      <c r="D21994" s="2" t="s">
        <v>10</v>
      </c>
      <c r="E21994" s="2" t="str">
        <f>HYPERLINK("http://ts.21cn.com/tousu/show/id/1354143","http://ts.21cn.com/tousu/show/id/1354143")</f>
        <v>http://ts.21cn.com/tousu/show/id/1354143</v>
      </c>
      <c r="F21994" s="2" t="s">
        <v>11</v>
      </c>
      <c r="G21994" s="2" t="s">
        <v>895</v>
      </c>
      <c r="H21994" s="2" t="s">
        <v>896</v>
      </c>
    </row>
    <row r="21995" spans="1:8" ht="25.05" customHeight="1" x14ac:dyDescent="0.25">
      <c r="A21995" s="2" t="s">
        <v>8</v>
      </c>
      <c r="B21995" s="2" t="str">
        <f>HYPERLINK("http://ts.21cn.com/tousu/show/id/1354146","闪银账单重复扣款客服没人处理")</f>
        <v>闪银账单重复扣款客服没人处理</v>
      </c>
      <c r="C21995" s="2" t="s">
        <v>9</v>
      </c>
      <c r="D21995" s="2" t="s">
        <v>10</v>
      </c>
      <c r="E21995" s="2" t="str">
        <f>HYPERLINK("http://ts.21cn.com/tousu/show/id/1354146","http://ts.21cn.com/tousu/show/id/1354146")</f>
        <v>http://ts.21cn.com/tousu/show/id/1354146</v>
      </c>
      <c r="F21995" s="2" t="s">
        <v>11</v>
      </c>
      <c r="G21995" s="2" t="s">
        <v>893</v>
      </c>
      <c r="H21995" s="2" t="s">
        <v>894</v>
      </c>
    </row>
    <row r="21996" spans="1:8" ht="25.05" customHeight="1" x14ac:dyDescent="0.25">
      <c r="A21996" s="2" t="s">
        <v>8</v>
      </c>
      <c r="B21996" s="2" t="str">
        <f>HYPERLINK("http://ts.21cn.com/tousu/show/id/1354144","及贷套路贷")</f>
        <v>及贷套路贷</v>
      </c>
      <c r="C21996" s="2" t="s">
        <v>9</v>
      </c>
      <c r="D21996" s="2" t="s">
        <v>10</v>
      </c>
      <c r="E21996" s="2" t="str">
        <f>HYPERLINK("http://ts.21cn.com/tousu/show/id/1354144","http://ts.21cn.com/tousu/show/id/1354144")</f>
        <v>http://ts.21cn.com/tousu/show/id/1354144</v>
      </c>
      <c r="F21996" s="2" t="s">
        <v>11</v>
      </c>
      <c r="G21996" s="2" t="s">
        <v>890</v>
      </c>
      <c r="H21996" s="2" t="s">
        <v>891</v>
      </c>
    </row>
    <row r="21997" spans="1:8" ht="25.05" customHeight="1" x14ac:dyDescent="0.25">
      <c r="A21997" s="2" t="s">
        <v>8</v>
      </c>
      <c r="B21997" s="2" t="str">
        <f>HYPERLINK("http://ts.21cn.com/tousu/show/id/1354145","优酷广告")</f>
        <v>优酷广告</v>
      </c>
      <c r="C21997" s="2" t="s">
        <v>34</v>
      </c>
      <c r="D21997" s="2" t="s">
        <v>10</v>
      </c>
      <c r="E21997" s="2" t="str">
        <f>HYPERLINK("http://ts.21cn.com/tousu/show/id/1354145","http://ts.21cn.com/tousu/show/id/1354145")</f>
        <v>http://ts.21cn.com/tousu/show/id/1354145</v>
      </c>
      <c r="F21997" s="2" t="s">
        <v>11</v>
      </c>
      <c r="G21997" s="2" t="s">
        <v>890</v>
      </c>
      <c r="H21997" s="2" t="s">
        <v>892</v>
      </c>
    </row>
    <row r="21998" spans="1:8" ht="25.05" customHeight="1" x14ac:dyDescent="0.25">
      <c r="A21998" s="2" t="s">
        <v>8</v>
      </c>
      <c r="B21998" s="2" t="str">
        <f>HYPERLINK("http://ts.21cn.com/tousu/show/id/1354147","催收")</f>
        <v>催收</v>
      </c>
      <c r="C21998" s="2" t="s">
        <v>9</v>
      </c>
      <c r="D21998" s="2" t="s">
        <v>10</v>
      </c>
      <c r="E21998" s="2" t="str">
        <f>HYPERLINK("http://ts.21cn.com/tousu/show/id/1354147","http://ts.21cn.com/tousu/show/id/1354147")</f>
        <v>http://ts.21cn.com/tousu/show/id/1354147</v>
      </c>
      <c r="F21998" s="2" t="s">
        <v>11</v>
      </c>
      <c r="G21998" s="2" t="s">
        <v>888</v>
      </c>
      <c r="H21998" s="2" t="s">
        <v>889</v>
      </c>
    </row>
    <row r="21999" spans="1:8" ht="25.05" customHeight="1" x14ac:dyDescent="0.25">
      <c r="A21999" s="2" t="s">
        <v>8</v>
      </c>
      <c r="B21999" s="2" t="str">
        <f>HYPERLINK("http://ts.21cn.com/tousu/show/id/1354149","小浦优客未经同意扣款")</f>
        <v>小浦优客未经同意扣款</v>
      </c>
      <c r="C21999" s="2" t="s">
        <v>9</v>
      </c>
      <c r="D21999" s="2" t="s">
        <v>10</v>
      </c>
      <c r="E21999" s="2" t="str">
        <f>HYPERLINK("http://ts.21cn.com/tousu/show/id/1354149","http://ts.21cn.com/tousu/show/id/1354149")</f>
        <v>http://ts.21cn.com/tousu/show/id/1354149</v>
      </c>
      <c r="F21999" s="2" t="s">
        <v>11</v>
      </c>
      <c r="G21999" s="2" t="s">
        <v>886</v>
      </c>
      <c r="H21999" s="2" t="s">
        <v>887</v>
      </c>
    </row>
    <row r="22000" spans="1:8" ht="25.05" customHeight="1" x14ac:dyDescent="0.25">
      <c r="A22000" s="2" t="s">
        <v>8</v>
      </c>
      <c r="B22000" s="2" t="str">
        <f>HYPERLINK("http://ts.21cn.com/tousu/show/id/1354150","万惠及贷强制捆绑销售保险，高利贷，客服态度恶劣")</f>
        <v>万惠及贷强制捆绑销售保险，高利贷，客服态度恶劣</v>
      </c>
      <c r="C22000" s="2" t="s">
        <v>9</v>
      </c>
      <c r="D22000" s="2" t="s">
        <v>10</v>
      </c>
      <c r="E22000" s="2" t="str">
        <f>HYPERLINK("http://ts.21cn.com/tousu/show/id/1354150","http://ts.21cn.com/tousu/show/id/1354150")</f>
        <v>http://ts.21cn.com/tousu/show/id/1354150</v>
      </c>
      <c r="F22000" s="2" t="s">
        <v>11</v>
      </c>
      <c r="G22000" s="2" t="s">
        <v>884</v>
      </c>
      <c r="H22000" s="2" t="s">
        <v>885</v>
      </c>
    </row>
    <row r="22001" spans="1:8" ht="25.05" customHeight="1" x14ac:dyDescent="0.25">
      <c r="A22001" s="2" t="s">
        <v>8</v>
      </c>
      <c r="B22001" s="2" t="str">
        <f>HYPERLINK("http://ts.21cn.com/tousu/show/id/1354151","衣服质量不好，不到一月起球，要求退全款，联系卖家也不给处理！")</f>
        <v>衣服质量不好，不到一月起球，要求退全款，联系卖家也不给处理！</v>
      </c>
      <c r="C22001" s="2" t="s">
        <v>9</v>
      </c>
      <c r="D22001" s="2" t="s">
        <v>10</v>
      </c>
      <c r="E22001" s="2" t="str">
        <f>HYPERLINK("http://ts.21cn.com/tousu/show/id/1354151","http://ts.21cn.com/tousu/show/id/1354151")</f>
        <v>http://ts.21cn.com/tousu/show/id/1354151</v>
      </c>
      <c r="F22001" s="2" t="s">
        <v>11</v>
      </c>
      <c r="G22001" s="2" t="s">
        <v>882</v>
      </c>
      <c r="H22001" s="2" t="s">
        <v>883</v>
      </c>
    </row>
    <row r="22002" spans="1:8" ht="25.05" customHeight="1" x14ac:dyDescent="0.25">
      <c r="A22002" s="2" t="s">
        <v>8</v>
      </c>
      <c r="B22002" s="2" t="str">
        <f>HYPERLINK("http://ts.21cn.com/tousu/show/id/1354152","停止骚扰")</f>
        <v>停止骚扰</v>
      </c>
      <c r="C22002" s="2" t="s">
        <v>9</v>
      </c>
      <c r="D22002" s="2" t="s">
        <v>10</v>
      </c>
      <c r="E22002" s="2" t="str">
        <f>HYPERLINK("http://ts.21cn.com/tousu/show/id/1354152","http://ts.21cn.com/tousu/show/id/1354152")</f>
        <v>http://ts.21cn.com/tousu/show/id/1354152</v>
      </c>
      <c r="F22002" s="2" t="s">
        <v>11</v>
      </c>
      <c r="G22002" s="2" t="s">
        <v>880</v>
      </c>
      <c r="H22002" s="2" t="s">
        <v>881</v>
      </c>
    </row>
    <row r="22003" spans="1:8" ht="25.05" customHeight="1" x14ac:dyDescent="0.25">
      <c r="A22003" s="2" t="s">
        <v>8</v>
      </c>
      <c r="B22003" s="2" t="str">
        <f>HYPERLINK("http://ts.21cn.com/tousu/show/id/1354136","浦发要逼人死，还款了说我拒还，骚扰家人")</f>
        <v>浦发要逼人死，还款了说我拒还，骚扰家人</v>
      </c>
      <c r="C22003" s="2" t="s">
        <v>9</v>
      </c>
      <c r="D22003" s="2" t="s">
        <v>10</v>
      </c>
      <c r="E22003" s="2" t="str">
        <f>HYPERLINK("http://ts.21cn.com/tousu/show/id/1354136","http://ts.21cn.com/tousu/show/id/1354136")</f>
        <v>http://ts.21cn.com/tousu/show/id/1354136</v>
      </c>
      <c r="F22003" s="2" t="s">
        <v>11</v>
      </c>
      <c r="G22003" s="2" t="s">
        <v>878</v>
      </c>
      <c r="H22003" s="2" t="s">
        <v>879</v>
      </c>
    </row>
    <row r="22004" spans="1:8" ht="25.05" customHeight="1" x14ac:dyDescent="0.25">
      <c r="A22004" s="2" t="s">
        <v>8</v>
      </c>
      <c r="B22004" s="2" t="str">
        <f>HYPERLINK("http://ts.21cn.com/tousu/show/id/1354153","别人在拍拍贷欠款逾期,催收人不分青红皂白骂我以及家人")</f>
        <v>别人在拍拍贷欠款逾期,催收人不分青红皂白骂我以及家人</v>
      </c>
      <c r="C22004" s="2" t="s">
        <v>9</v>
      </c>
      <c r="D22004" s="2" t="s">
        <v>10</v>
      </c>
      <c r="E22004" s="2" t="str">
        <f>HYPERLINK("http://ts.21cn.com/tousu/show/id/1354153","http://ts.21cn.com/tousu/show/id/1354153")</f>
        <v>http://ts.21cn.com/tousu/show/id/1354153</v>
      </c>
      <c r="F22004" s="2" t="s">
        <v>11</v>
      </c>
      <c r="G22004" s="2" t="s">
        <v>876</v>
      </c>
      <c r="H22004" s="2" t="s">
        <v>877</v>
      </c>
    </row>
    <row r="22005" spans="1:8" ht="25.05" customHeight="1" x14ac:dyDescent="0.25">
      <c r="A22005" s="2" t="s">
        <v>8</v>
      </c>
      <c r="B22005" s="2" t="str">
        <f>HYPERLINK("http://ts.21cn.com/tousu/show/id/1354154","用钱宝催收手段暴力轰炸本人通讯录群发本人私照还发侮辱短信")</f>
        <v>用钱宝催收手段暴力轰炸本人通讯录群发本人私照还发侮辱短信</v>
      </c>
      <c r="C22005" s="2" t="s">
        <v>9</v>
      </c>
      <c r="D22005" s="2" t="s">
        <v>10</v>
      </c>
      <c r="E22005" s="2" t="str">
        <f>HYPERLINK("http://ts.21cn.com/tousu/show/id/1354154","http://ts.21cn.com/tousu/show/id/1354154")</f>
        <v>http://ts.21cn.com/tousu/show/id/1354154</v>
      </c>
      <c r="F22005" s="2" t="s">
        <v>11</v>
      </c>
      <c r="G22005" s="2" t="s">
        <v>874</v>
      </c>
      <c r="H22005" s="2" t="s">
        <v>875</v>
      </c>
    </row>
    <row r="22006" spans="1:8" ht="25.05" customHeight="1" x14ac:dyDescent="0.25">
      <c r="A22006" s="2" t="s">
        <v>8</v>
      </c>
      <c r="B22006" s="2" t="str">
        <f>HYPERLINK("http://ts.21cn.com/tousu/show/id/1354155","投诉乐意花网贷平台暴力催收高利贷")</f>
        <v>投诉乐意花网贷平台暴力催收高利贷</v>
      </c>
      <c r="C22006" s="2" t="s">
        <v>9</v>
      </c>
      <c r="D22006" s="2" t="s">
        <v>10</v>
      </c>
      <c r="E22006" s="2" t="str">
        <f>HYPERLINK("http://ts.21cn.com/tousu/show/id/1354155","http://ts.21cn.com/tousu/show/id/1354155")</f>
        <v>http://ts.21cn.com/tousu/show/id/1354155</v>
      </c>
      <c r="F22006" s="2" t="s">
        <v>11</v>
      </c>
      <c r="G22006" s="2" t="s">
        <v>872</v>
      </c>
      <c r="H22006" s="2" t="s">
        <v>873</v>
      </c>
    </row>
    <row r="22007" spans="1:8" ht="25.05" customHeight="1" x14ac:dyDescent="0.25">
      <c r="A22007" s="2" t="s">
        <v>8</v>
      </c>
      <c r="B22007" s="2" t="str">
        <f>HYPERLINK("http://ts.21cn.com/tousu/show/id/1354132","变相砍头息")</f>
        <v>变相砍头息</v>
      </c>
      <c r="C22007" s="2" t="s">
        <v>9</v>
      </c>
      <c r="D22007" s="2" t="s">
        <v>10</v>
      </c>
      <c r="E22007" s="2" t="str">
        <f>HYPERLINK("http://ts.21cn.com/tousu/show/id/1354132","http://ts.21cn.com/tousu/show/id/1354132")</f>
        <v>http://ts.21cn.com/tousu/show/id/1354132</v>
      </c>
      <c r="F22007" s="2" t="s">
        <v>11</v>
      </c>
      <c r="G22007" s="2" t="s">
        <v>870</v>
      </c>
      <c r="H22007" s="2" t="s">
        <v>871</v>
      </c>
    </row>
    <row r="22008" spans="1:8" ht="25.05" customHeight="1" x14ac:dyDescent="0.25">
      <c r="A22008" s="2" t="s">
        <v>8</v>
      </c>
      <c r="B22008" s="2" t="str">
        <f>HYPERLINK("http://ts.21cn.com/tousu/show/id/1354156","小象优品拒绝提前还款减免利息在逾期第六天后并给我家人和朋友拨打电话干扰影响我个人声誉")</f>
        <v>小象优品拒绝提前还款减免利息在逾期第六天后并给我家人和朋友拨打电话干扰影响我个人声誉</v>
      </c>
      <c r="C22008" s="2" t="s">
        <v>9</v>
      </c>
      <c r="D22008" s="2" t="s">
        <v>10</v>
      </c>
      <c r="E22008" s="2" t="str">
        <f>HYPERLINK("http://ts.21cn.com/tousu/show/id/1354156","http://ts.21cn.com/tousu/show/id/1354156")</f>
        <v>http://ts.21cn.com/tousu/show/id/1354156</v>
      </c>
      <c r="F22008" s="2" t="s">
        <v>11</v>
      </c>
      <c r="G22008" s="2" t="s">
        <v>868</v>
      </c>
      <c r="H22008" s="2" t="s">
        <v>869</v>
      </c>
    </row>
    <row r="22009" spans="1:8" ht="25.05" customHeight="1" x14ac:dyDescent="0.25">
      <c r="A22009" s="2" t="s">
        <v>8</v>
      </c>
      <c r="B22009" s="2" t="str">
        <f>HYPERLINK("http://ts.21cn.com/tousu/show/id/1354158","万达贷骚扰通讯录")</f>
        <v>万达贷骚扰通讯录</v>
      </c>
      <c r="C22009" s="2" t="s">
        <v>9</v>
      </c>
      <c r="D22009" s="2" t="s">
        <v>10</v>
      </c>
      <c r="E22009" s="2" t="str">
        <f>HYPERLINK("http://ts.21cn.com/tousu/show/id/1354158","http://ts.21cn.com/tousu/show/id/1354158")</f>
        <v>http://ts.21cn.com/tousu/show/id/1354158</v>
      </c>
      <c r="F22009" s="2" t="s">
        <v>11</v>
      </c>
      <c r="G22009" s="2" t="s">
        <v>866</v>
      </c>
      <c r="H22009" s="2" t="s">
        <v>867</v>
      </c>
    </row>
    <row r="22010" spans="1:8" ht="25.05" customHeight="1" x14ac:dyDescent="0.25">
      <c r="A22010" s="2" t="s">
        <v>8</v>
      </c>
      <c r="B22010" s="2" t="str">
        <f>HYPERLINK("http://ts.21cn.com/tousu/show/id/1354159","考拉严选尿不湿有异味不允许退款")</f>
        <v>考拉严选尿不湿有异味不允许退款</v>
      </c>
      <c r="C22010" s="2" t="s">
        <v>9</v>
      </c>
      <c r="D22010" s="2" t="s">
        <v>10</v>
      </c>
      <c r="E22010" s="2" t="str">
        <f>HYPERLINK("http://ts.21cn.com/tousu/show/id/1354159","http://ts.21cn.com/tousu/show/id/1354159")</f>
        <v>http://ts.21cn.com/tousu/show/id/1354159</v>
      </c>
      <c r="F22010" s="2" t="s">
        <v>11</v>
      </c>
      <c r="G22010" s="2" t="s">
        <v>864</v>
      </c>
      <c r="H22010" s="2" t="s">
        <v>865</v>
      </c>
    </row>
    <row r="22011" spans="1:8" ht="25.05" customHeight="1" x14ac:dyDescent="0.25">
      <c r="A22011" s="2" t="s">
        <v>8</v>
      </c>
      <c r="B22011" s="2" t="str">
        <f>HYPERLINK("http://ts.21cn.com/tousu/show/id/1354160","举报714高利贷平台")</f>
        <v>举报714高利贷平台</v>
      </c>
      <c r="C22011" s="2" t="s">
        <v>9</v>
      </c>
      <c r="D22011" s="2" t="s">
        <v>10</v>
      </c>
      <c r="E22011" s="2" t="str">
        <f>HYPERLINK("http://ts.21cn.com/tousu/show/id/1354160","http://ts.21cn.com/tousu/show/id/1354160")</f>
        <v>http://ts.21cn.com/tousu/show/id/1354160</v>
      </c>
      <c r="F22011" s="2" t="s">
        <v>11</v>
      </c>
      <c r="G22011" s="2" t="s">
        <v>862</v>
      </c>
      <c r="H22011" s="2" t="s">
        <v>863</v>
      </c>
    </row>
    <row r="22012" spans="1:8" ht="25.05" customHeight="1" x14ac:dyDescent="0.25">
      <c r="A22012" s="2" t="s">
        <v>8</v>
      </c>
      <c r="B22012" s="2" t="str">
        <f>HYPERLINK("http://ts.21cn.com/tousu/show/id/1354161","给钱站电话协商还款或者延期还款完全不给机会")</f>
        <v>给钱站电话协商还款或者延期还款完全不给机会</v>
      </c>
      <c r="C22012" s="2" t="s">
        <v>9</v>
      </c>
      <c r="D22012" s="2" t="s">
        <v>10</v>
      </c>
      <c r="E22012" s="2" t="str">
        <f>HYPERLINK("http://ts.21cn.com/tousu/show/id/1354161","http://ts.21cn.com/tousu/show/id/1354161")</f>
        <v>http://ts.21cn.com/tousu/show/id/1354161</v>
      </c>
      <c r="F22012" s="2" t="s">
        <v>11</v>
      </c>
      <c r="G22012" s="2" t="s">
        <v>860</v>
      </c>
      <c r="H22012" s="2" t="s">
        <v>861</v>
      </c>
    </row>
    <row r="22013" spans="1:8" ht="25.05" customHeight="1" x14ac:dyDescent="0.25">
      <c r="A22013" s="2" t="s">
        <v>8</v>
      </c>
      <c r="B22013" s="2" t="str">
        <f>HYPERLINK("http://ts.21cn.com/tousu/show/id/1354162","现金巴士暴力催收")</f>
        <v>现金巴士暴力催收</v>
      </c>
      <c r="C22013" s="2" t="s">
        <v>9</v>
      </c>
      <c r="D22013" s="2" t="s">
        <v>10</v>
      </c>
      <c r="E22013" s="2" t="str">
        <f>HYPERLINK("http://ts.21cn.com/tousu/show/id/1354162","http://ts.21cn.com/tousu/show/id/1354162")</f>
        <v>http://ts.21cn.com/tousu/show/id/1354162</v>
      </c>
      <c r="F22013" s="2" t="s">
        <v>11</v>
      </c>
      <c r="G22013" s="2" t="s">
        <v>858</v>
      </c>
      <c r="H22013" s="2" t="s">
        <v>859</v>
      </c>
    </row>
    <row r="22014" spans="1:8" ht="25.05" customHeight="1" x14ac:dyDescent="0.25">
      <c r="A22014" s="2" t="s">
        <v>8</v>
      </c>
      <c r="B22014" s="2" t="str">
        <f>HYPERLINK("http://ts.21cn.com/tousu/show/id/1354163","微博借钱高利贷暴力催收")</f>
        <v>微博借钱高利贷暴力催收</v>
      </c>
      <c r="C22014" s="2" t="s">
        <v>9</v>
      </c>
      <c r="D22014" s="2" t="s">
        <v>10</v>
      </c>
      <c r="E22014" s="2" t="str">
        <f>HYPERLINK("http://ts.21cn.com/tousu/show/id/1354163","http://ts.21cn.com/tousu/show/id/1354163")</f>
        <v>http://ts.21cn.com/tousu/show/id/1354163</v>
      </c>
      <c r="F22014" s="2" t="s">
        <v>11</v>
      </c>
      <c r="G22014" s="2" t="s">
        <v>856</v>
      </c>
      <c r="H22014" s="2" t="s">
        <v>857</v>
      </c>
    </row>
    <row r="22015" spans="1:8" ht="25.05" customHeight="1" x14ac:dyDescent="0.25">
      <c r="A22015" s="2" t="s">
        <v>8</v>
      </c>
      <c r="B22015" s="2" t="str">
        <f>HYPERLINK("http://ts.21cn.com/tousu/show/id/1354167","严重骚扰")</f>
        <v>严重骚扰</v>
      </c>
      <c r="C22015" s="2" t="s">
        <v>9</v>
      </c>
      <c r="D22015" s="2" t="s">
        <v>10</v>
      </c>
      <c r="E22015" s="2" t="str">
        <f>HYPERLINK("http://ts.21cn.com/tousu/show/id/1354167","http://ts.21cn.com/tousu/show/id/1354167")</f>
        <v>http://ts.21cn.com/tousu/show/id/1354167</v>
      </c>
      <c r="F22015" s="2" t="s">
        <v>11</v>
      </c>
      <c r="G22015" s="2" t="s">
        <v>854</v>
      </c>
      <c r="H22015" s="2" t="s">
        <v>855</v>
      </c>
    </row>
    <row r="22016" spans="1:8" ht="25.05" customHeight="1" x14ac:dyDescent="0.25">
      <c r="A22016" s="2" t="s">
        <v>8</v>
      </c>
      <c r="B22016" s="2" t="str">
        <f>HYPERLINK("http://ts.21cn.com/tousu/show/id/1354165","非法催收，群发信息")</f>
        <v>非法催收，群发信息</v>
      </c>
      <c r="C22016" s="2" t="s">
        <v>9</v>
      </c>
      <c r="D22016" s="2" t="s">
        <v>10</v>
      </c>
      <c r="E22016" s="2" t="str">
        <f>HYPERLINK("http://ts.21cn.com/tousu/show/id/1354165","http://ts.21cn.com/tousu/show/id/1354165")</f>
        <v>http://ts.21cn.com/tousu/show/id/1354165</v>
      </c>
      <c r="F22016" s="2" t="s">
        <v>11</v>
      </c>
      <c r="G22016" s="2" t="s">
        <v>852</v>
      </c>
      <c r="H22016" s="2" t="s">
        <v>853</v>
      </c>
    </row>
    <row r="22017" spans="1:8" ht="25.05" customHeight="1" x14ac:dyDescent="0.25">
      <c r="A22017" s="2" t="s">
        <v>8</v>
      </c>
      <c r="B22017" s="2" t="str">
        <f>HYPERLINK("http://ts.21cn.com/tousu/show/id/1354166","利息高超过国家标准")</f>
        <v>利息高超过国家标准</v>
      </c>
      <c r="C22017" s="2" t="s">
        <v>9</v>
      </c>
      <c r="D22017" s="2" t="s">
        <v>10</v>
      </c>
      <c r="E22017" s="2" t="str">
        <f>HYPERLINK("http://ts.21cn.com/tousu/show/id/1354166","http://ts.21cn.com/tousu/show/id/1354166")</f>
        <v>http://ts.21cn.com/tousu/show/id/1354166</v>
      </c>
      <c r="F22017" s="2" t="s">
        <v>11</v>
      </c>
      <c r="G22017" s="2" t="s">
        <v>850</v>
      </c>
      <c r="H22017" s="2" t="s">
        <v>851</v>
      </c>
    </row>
    <row r="22018" spans="1:8" ht="25.05" customHeight="1" x14ac:dyDescent="0.25">
      <c r="A22018" s="2" t="s">
        <v>8</v>
      </c>
      <c r="B22018" s="2" t="str">
        <f>HYPERLINK("http://ts.21cn.com/tousu/show/id/1354168","冻结额度")</f>
        <v>冻结额度</v>
      </c>
      <c r="C22018" s="2" t="s">
        <v>34</v>
      </c>
      <c r="D22018" s="2" t="s">
        <v>10</v>
      </c>
      <c r="E22018" s="2" t="str">
        <f>HYPERLINK("http://ts.21cn.com/tousu/show/id/1354168","http://ts.21cn.com/tousu/show/id/1354168")</f>
        <v>http://ts.21cn.com/tousu/show/id/1354168</v>
      </c>
      <c r="F22018" s="2" t="s">
        <v>11</v>
      </c>
      <c r="G22018" s="2" t="s">
        <v>848</v>
      </c>
      <c r="H22018" s="2" t="s">
        <v>849</v>
      </c>
    </row>
    <row r="22019" spans="1:8" ht="25.05" customHeight="1" x14ac:dyDescent="0.25">
      <c r="A22019" s="2" t="s">
        <v>8</v>
      </c>
      <c r="B22019" s="2" t="str">
        <f>HYPERLINK("http://ts.21cn.com/tousu/show/id/1354170","现金巴士暴力催收")</f>
        <v>现金巴士暴力催收</v>
      </c>
      <c r="C22019" s="2" t="s">
        <v>9</v>
      </c>
      <c r="D22019" s="2" t="s">
        <v>10</v>
      </c>
      <c r="E22019" s="2" t="str">
        <f>HYPERLINK("http://ts.21cn.com/tousu/show/id/1354170","http://ts.21cn.com/tousu/show/id/1354170")</f>
        <v>http://ts.21cn.com/tousu/show/id/1354170</v>
      </c>
      <c r="F22019" s="2" t="s">
        <v>11</v>
      </c>
      <c r="G22019" s="2" t="s">
        <v>846</v>
      </c>
      <c r="H22019" s="2" t="s">
        <v>847</v>
      </c>
    </row>
    <row r="22020" spans="1:8" ht="25.05" customHeight="1" x14ac:dyDescent="0.25">
      <c r="A22020" s="2" t="s">
        <v>8</v>
      </c>
      <c r="B22020" s="2" t="str">
        <f>HYPERLINK("http://ts.21cn.com/tousu/show/id/1354171","欺诈违规申请退款")</f>
        <v>欺诈违规申请退款</v>
      </c>
      <c r="C22020" s="2" t="s">
        <v>9</v>
      </c>
      <c r="D22020" s="2" t="s">
        <v>10</v>
      </c>
      <c r="E22020" s="2" t="str">
        <f>HYPERLINK("http://ts.21cn.com/tousu/show/id/1354171","http://ts.21cn.com/tousu/show/id/1354171")</f>
        <v>http://ts.21cn.com/tousu/show/id/1354171</v>
      </c>
      <c r="F22020" s="2" t="s">
        <v>11</v>
      </c>
      <c r="G22020" s="2" t="s">
        <v>844</v>
      </c>
      <c r="H22020" s="2" t="s">
        <v>845</v>
      </c>
    </row>
    <row r="22021" spans="1:8" ht="25.05" customHeight="1" x14ac:dyDescent="0.25">
      <c r="A22021" s="2" t="s">
        <v>8</v>
      </c>
      <c r="B22021" s="2" t="str">
        <f>HYPERLINK("http://ts.21cn.com/tousu/show/id/1354172","5173平台冻结我资金")</f>
        <v>5173平台冻结我资金</v>
      </c>
      <c r="C22021" s="2" t="s">
        <v>9</v>
      </c>
      <c r="D22021" s="2" t="s">
        <v>10</v>
      </c>
      <c r="E22021" s="2" t="str">
        <f>HYPERLINK("http://ts.21cn.com/tousu/show/id/1354172","http://ts.21cn.com/tousu/show/id/1354172")</f>
        <v>http://ts.21cn.com/tousu/show/id/1354172</v>
      </c>
      <c r="F22021" s="2" t="s">
        <v>11</v>
      </c>
      <c r="G22021" s="2" t="s">
        <v>842</v>
      </c>
      <c r="H22021" s="2" t="s">
        <v>843</v>
      </c>
    </row>
    <row r="22022" spans="1:8" ht="25.05" customHeight="1" x14ac:dyDescent="0.25">
      <c r="A22022" s="2" t="s">
        <v>8</v>
      </c>
      <c r="B22022" s="2" t="str">
        <f>HYPERLINK("http://ts.21cn.com/tousu/show/id/1354174","唯品会侵吞账户钱")</f>
        <v>唯品会侵吞账户钱</v>
      </c>
      <c r="C22022" s="2" t="s">
        <v>9</v>
      </c>
      <c r="D22022" s="2" t="s">
        <v>10</v>
      </c>
      <c r="E22022" s="2" t="str">
        <f>HYPERLINK("http://ts.21cn.com/tousu/show/id/1354174","http://ts.21cn.com/tousu/show/id/1354174")</f>
        <v>http://ts.21cn.com/tousu/show/id/1354174</v>
      </c>
      <c r="F22022" s="2" t="s">
        <v>11</v>
      </c>
      <c r="G22022" s="2" t="s">
        <v>840</v>
      </c>
      <c r="H22022" s="2" t="s">
        <v>841</v>
      </c>
    </row>
    <row r="22023" spans="1:8" ht="25.05" customHeight="1" x14ac:dyDescent="0.25">
      <c r="A22023" s="2" t="s">
        <v>8</v>
      </c>
      <c r="B22023" s="2" t="str">
        <f>HYPERLINK("http://ts.21cn.com/tousu/show/id/1354157","购买账号被找回客服未给我解决")</f>
        <v>购买账号被找回客服未给我解决</v>
      </c>
      <c r="C22023" s="2" t="s">
        <v>9</v>
      </c>
      <c r="D22023" s="2" t="s">
        <v>10</v>
      </c>
      <c r="E22023" s="2" t="str">
        <f>HYPERLINK("http://ts.21cn.com/tousu/show/id/1354157","http://ts.21cn.com/tousu/show/id/1354157")</f>
        <v>http://ts.21cn.com/tousu/show/id/1354157</v>
      </c>
      <c r="F22023" s="2" t="s">
        <v>11</v>
      </c>
      <c r="G22023" s="2" t="s">
        <v>838</v>
      </c>
      <c r="H22023" s="2" t="s">
        <v>839</v>
      </c>
    </row>
    <row r="22024" spans="1:8" ht="25.05" customHeight="1" x14ac:dyDescent="0.25">
      <c r="A22024" s="2" t="s">
        <v>8</v>
      </c>
      <c r="B22024" s="2" t="str">
        <f>HYPERLINK("http://ts.21cn.com/tousu/show/id/1354175","招商银行暴力催收")</f>
        <v>招商银行暴力催收</v>
      </c>
      <c r="C22024" s="2" t="s">
        <v>9</v>
      </c>
      <c r="D22024" s="2" t="s">
        <v>10</v>
      </c>
      <c r="E22024" s="2" t="str">
        <f>HYPERLINK("http://ts.21cn.com/tousu/show/id/1354175","http://ts.21cn.com/tousu/show/id/1354175")</f>
        <v>http://ts.21cn.com/tousu/show/id/1354175</v>
      </c>
      <c r="F22024" s="2" t="s">
        <v>11</v>
      </c>
      <c r="G22024" s="2" t="s">
        <v>836</v>
      </c>
      <c r="H22024" s="2" t="s">
        <v>837</v>
      </c>
    </row>
    <row r="22025" spans="1:8" ht="25.05" customHeight="1" x14ac:dyDescent="0.25">
      <c r="A22025" s="2" t="s">
        <v>8</v>
      </c>
      <c r="B22025" s="2" t="str">
        <f>HYPERLINK("http://ts.21cn.com/tousu/show/id/1354176","乱扣费用")</f>
        <v>乱扣费用</v>
      </c>
      <c r="C22025" s="2" t="s">
        <v>9</v>
      </c>
      <c r="D22025" s="2" t="s">
        <v>10</v>
      </c>
      <c r="E22025" s="2" t="str">
        <f>HYPERLINK("http://ts.21cn.com/tousu/show/id/1354176","http://ts.21cn.com/tousu/show/id/1354176")</f>
        <v>http://ts.21cn.com/tousu/show/id/1354176</v>
      </c>
      <c r="F22025" s="2" t="s">
        <v>11</v>
      </c>
      <c r="G22025" s="2" t="s">
        <v>834</v>
      </c>
      <c r="H22025" s="2" t="s">
        <v>835</v>
      </c>
    </row>
    <row r="22026" spans="1:8" ht="25.05" customHeight="1" x14ac:dyDescent="0.25">
      <c r="A22026" s="2" t="s">
        <v>8</v>
      </c>
      <c r="B22026" s="2" t="str">
        <f>HYPERLINK("http://ts.21cn.com/tousu/show/id/1354177","恶意催收欺诈辱骂骚扰通讯录")</f>
        <v>恶意催收欺诈辱骂骚扰通讯录</v>
      </c>
      <c r="C22026" s="2" t="s">
        <v>9</v>
      </c>
      <c r="D22026" s="2" t="s">
        <v>10</v>
      </c>
      <c r="E22026" s="2" t="str">
        <f>HYPERLINK("http://ts.21cn.com/tousu/show/id/1354177","http://ts.21cn.com/tousu/show/id/1354177")</f>
        <v>http://ts.21cn.com/tousu/show/id/1354177</v>
      </c>
      <c r="F22026" s="2" t="s">
        <v>11</v>
      </c>
      <c r="G22026" s="2" t="s">
        <v>832</v>
      </c>
      <c r="H22026" s="2" t="s">
        <v>833</v>
      </c>
    </row>
    <row r="22027" spans="1:8" ht="25.05" customHeight="1" x14ac:dyDescent="0.25">
      <c r="A22027" s="2" t="s">
        <v>8</v>
      </c>
      <c r="B22027" s="2" t="str">
        <f>HYPERLINK("http://ts.21cn.com/tousu/show/id/1354178","申请人证已经快1个半月了，还是一直是初审。到底有没有审核，最低审核时间是多久。")</f>
        <v>申请人证已经快1个半月了，还是一直是初审。到底有没有审核，最低审核时间是多久。</v>
      </c>
      <c r="C22027" s="2" t="s">
        <v>34</v>
      </c>
      <c r="D22027" s="2" t="s">
        <v>10</v>
      </c>
      <c r="E22027" s="2" t="str">
        <f>HYPERLINK("http://ts.21cn.com/tousu/show/id/1354178","http://ts.21cn.com/tousu/show/id/1354178")</f>
        <v>http://ts.21cn.com/tousu/show/id/1354178</v>
      </c>
      <c r="F22027" s="2" t="s">
        <v>11</v>
      </c>
      <c r="G22027" s="2" t="s">
        <v>830</v>
      </c>
      <c r="H22027" s="2" t="s">
        <v>831</v>
      </c>
    </row>
    <row r="22028" spans="1:8" ht="25.05" customHeight="1" x14ac:dyDescent="0.25">
      <c r="A22028" s="2" t="s">
        <v>8</v>
      </c>
      <c r="B22028" s="2" t="str">
        <f>HYPERLINK("http://ts.21cn.com/tousu/show/id/1354179","永恒优享高利贷套路贷")</f>
        <v>永恒优享高利贷套路贷</v>
      </c>
      <c r="C22028" s="2" t="s">
        <v>9</v>
      </c>
      <c r="D22028" s="2" t="s">
        <v>10</v>
      </c>
      <c r="E22028" s="2" t="str">
        <f>HYPERLINK("http://ts.21cn.com/tousu/show/id/1354179","http://ts.21cn.com/tousu/show/id/1354179")</f>
        <v>http://ts.21cn.com/tousu/show/id/1354179</v>
      </c>
      <c r="F22028" s="2" t="s">
        <v>11</v>
      </c>
      <c r="G22028" s="2" t="s">
        <v>828</v>
      </c>
      <c r="H22028" s="2" t="s">
        <v>829</v>
      </c>
    </row>
    <row r="22029" spans="1:8" ht="25.05" customHeight="1" x14ac:dyDescent="0.25">
      <c r="A22029" s="2" t="s">
        <v>8</v>
      </c>
      <c r="B22029" s="2" t="str">
        <f>HYPERLINK("http://ts.21cn.com/tousu/show/id/1354180","马上金融平台伪造制造纸质律师函进行催收，恐吓")</f>
        <v>马上金融平台伪造制造纸质律师函进行催收，恐吓</v>
      </c>
      <c r="C22029" s="2" t="s">
        <v>9</v>
      </c>
      <c r="D22029" s="2" t="s">
        <v>10</v>
      </c>
      <c r="E22029" s="2" t="str">
        <f>HYPERLINK("http://ts.21cn.com/tousu/show/id/1354180","http://ts.21cn.com/tousu/show/id/1354180")</f>
        <v>http://ts.21cn.com/tousu/show/id/1354180</v>
      </c>
      <c r="F22029" s="2" t="s">
        <v>11</v>
      </c>
      <c r="G22029" s="2" t="s">
        <v>826</v>
      </c>
      <c r="H22029" s="2" t="s">
        <v>827</v>
      </c>
    </row>
    <row r="22030" spans="1:8" ht="25.05" customHeight="1" x14ac:dyDescent="0.25">
      <c r="A22030" s="2" t="s">
        <v>8</v>
      </c>
      <c r="B22030" s="2" t="str">
        <f>HYPERLINK("http://ts.21cn.com/tousu/show/id/1354182","车费垫付问题")</f>
        <v>车费垫付问题</v>
      </c>
      <c r="C22030" s="2" t="s">
        <v>9</v>
      </c>
      <c r="D22030" s="2" t="s">
        <v>10</v>
      </c>
      <c r="E22030" s="2" t="str">
        <f>HYPERLINK("http://ts.21cn.com/tousu/show/id/1354182","http://ts.21cn.com/tousu/show/id/1354182")</f>
        <v>http://ts.21cn.com/tousu/show/id/1354182</v>
      </c>
      <c r="F22030" s="2" t="s">
        <v>11</v>
      </c>
      <c r="G22030" s="2" t="s">
        <v>824</v>
      </c>
      <c r="H22030" s="2" t="s">
        <v>825</v>
      </c>
    </row>
    <row r="22031" spans="1:8" ht="25.05" customHeight="1" x14ac:dyDescent="0.25">
      <c r="A22031" s="2" t="s">
        <v>8</v>
      </c>
      <c r="B22031" s="2" t="str">
        <f>HYPERLINK("http://ts.21cn.com/tousu/show/id/1354184","恐吓催收")</f>
        <v>恐吓催收</v>
      </c>
      <c r="C22031" s="2" t="s">
        <v>9</v>
      </c>
      <c r="D22031" s="2" t="s">
        <v>10</v>
      </c>
      <c r="E22031" s="2" t="str">
        <f>HYPERLINK("http://ts.21cn.com/tousu/show/id/1354184","http://ts.21cn.com/tousu/show/id/1354184")</f>
        <v>http://ts.21cn.com/tousu/show/id/1354184</v>
      </c>
      <c r="F22031" s="2" t="s">
        <v>11</v>
      </c>
      <c r="G22031" s="2" t="s">
        <v>822</v>
      </c>
      <c r="H22031" s="2" t="s">
        <v>823</v>
      </c>
    </row>
    <row r="22032" spans="1:8" ht="25.05" customHeight="1" x14ac:dyDescent="0.25">
      <c r="A22032" s="2" t="s">
        <v>8</v>
      </c>
      <c r="B22032" s="2" t="str">
        <f>HYPERLINK("http://ts.21cn.com/tousu/show/id/1354186","小精灵商家资金冻结")</f>
        <v>小精灵商家资金冻结</v>
      </c>
      <c r="C22032" s="2" t="s">
        <v>9</v>
      </c>
      <c r="D22032" s="2" t="s">
        <v>10</v>
      </c>
      <c r="E22032" s="2" t="str">
        <f>HYPERLINK("http://ts.21cn.com/tousu/show/id/1354186","http://ts.21cn.com/tousu/show/id/1354186")</f>
        <v>http://ts.21cn.com/tousu/show/id/1354186</v>
      </c>
      <c r="F22032" s="2" t="s">
        <v>11</v>
      </c>
      <c r="G22032" s="2" t="s">
        <v>820</v>
      </c>
      <c r="H22032" s="2" t="s">
        <v>821</v>
      </c>
    </row>
    <row r="22033" spans="1:8" ht="25.05" customHeight="1" x14ac:dyDescent="0.25">
      <c r="A22033" s="2" t="s">
        <v>8</v>
      </c>
      <c r="B22033" s="2" t="str">
        <f>HYPERLINK("http://ts.21cn.com/tousu/show/id/1354187","协商还款中邮消费金融")</f>
        <v>协商还款中邮消费金融</v>
      </c>
      <c r="C22033" s="2" t="s">
        <v>9</v>
      </c>
      <c r="D22033" s="2" t="s">
        <v>10</v>
      </c>
      <c r="E22033" s="2" t="str">
        <f>HYPERLINK("http://ts.21cn.com/tousu/show/id/1354187","http://ts.21cn.com/tousu/show/id/1354187")</f>
        <v>http://ts.21cn.com/tousu/show/id/1354187</v>
      </c>
      <c r="F22033" s="2" t="s">
        <v>11</v>
      </c>
      <c r="G22033" s="2" t="s">
        <v>817</v>
      </c>
      <c r="H22033" s="2" t="s">
        <v>818</v>
      </c>
    </row>
    <row r="22034" spans="1:8" ht="25.05" customHeight="1" x14ac:dyDescent="0.25">
      <c r="A22034" s="2" t="s">
        <v>8</v>
      </c>
      <c r="B22034" s="2" t="str">
        <f>HYPERLINK("http://ts.21cn.com/tousu/show/id/1354188","韦博欠薪不发")</f>
        <v>韦博欠薪不发</v>
      </c>
      <c r="C22034" s="2" t="s">
        <v>9</v>
      </c>
      <c r="D22034" s="2" t="s">
        <v>10</v>
      </c>
      <c r="E22034" s="2" t="str">
        <f>HYPERLINK("http://ts.21cn.com/tousu/show/id/1354188","http://ts.21cn.com/tousu/show/id/1354188")</f>
        <v>http://ts.21cn.com/tousu/show/id/1354188</v>
      </c>
      <c r="F22034" s="2" t="s">
        <v>11</v>
      </c>
      <c r="G22034" s="2" t="s">
        <v>817</v>
      </c>
      <c r="H22034" s="2" t="s">
        <v>819</v>
      </c>
    </row>
    <row r="22035" spans="1:8" ht="25.05" customHeight="1" x14ac:dyDescent="0.25">
      <c r="A22035" s="2" t="s">
        <v>8</v>
      </c>
      <c r="B22035" s="2" t="str">
        <f>HYPERLINK("http://ts.21cn.com/tousu/show/id/1354189","好易借暴力催收骚扰爆通讯录")</f>
        <v>好易借暴力催收骚扰爆通讯录</v>
      </c>
      <c r="C22035" s="2" t="s">
        <v>9</v>
      </c>
      <c r="D22035" s="2" t="s">
        <v>10</v>
      </c>
      <c r="E22035" s="2" t="str">
        <f>HYPERLINK("http://ts.21cn.com/tousu/show/id/1354189","http://ts.21cn.com/tousu/show/id/1354189")</f>
        <v>http://ts.21cn.com/tousu/show/id/1354189</v>
      </c>
      <c r="F22035" s="2" t="s">
        <v>11</v>
      </c>
      <c r="G22035" s="2" t="s">
        <v>815</v>
      </c>
      <c r="H22035" s="2" t="s">
        <v>816</v>
      </c>
    </row>
    <row r="22036" spans="1:8" ht="25.05" customHeight="1" x14ac:dyDescent="0.25">
      <c r="A22036" s="2" t="s">
        <v>8</v>
      </c>
      <c r="B22036" s="2" t="str">
        <f>HYPERLINK("http://ts.21cn.com/tousu/show/id/1354190","造艺科技退款谢谢")</f>
        <v>造艺科技退款谢谢</v>
      </c>
      <c r="C22036" s="2" t="s">
        <v>34</v>
      </c>
      <c r="D22036" s="2" t="s">
        <v>10</v>
      </c>
      <c r="E22036" s="2" t="str">
        <f>HYPERLINK("http://ts.21cn.com/tousu/show/id/1354190","http://ts.21cn.com/tousu/show/id/1354190")</f>
        <v>http://ts.21cn.com/tousu/show/id/1354190</v>
      </c>
      <c r="F22036" s="2" t="s">
        <v>11</v>
      </c>
      <c r="G22036" s="2" t="s">
        <v>813</v>
      </c>
      <c r="H22036" s="2" t="s">
        <v>814</v>
      </c>
    </row>
    <row r="22037" spans="1:8" ht="25.05" customHeight="1" x14ac:dyDescent="0.25">
      <c r="A22037" s="2" t="s">
        <v>8</v>
      </c>
      <c r="B22037" s="2" t="str">
        <f>HYPERLINK("http://ts.21cn.com/tousu/show/id/1354191","小浦优客未经同意扣款")</f>
        <v>小浦优客未经同意扣款</v>
      </c>
      <c r="C22037" s="2" t="s">
        <v>34</v>
      </c>
      <c r="D22037" s="2" t="s">
        <v>10</v>
      </c>
      <c r="E22037" s="2" t="str">
        <f>HYPERLINK("http://ts.21cn.com/tousu/show/id/1354191","http://ts.21cn.com/tousu/show/id/1354191")</f>
        <v>http://ts.21cn.com/tousu/show/id/1354191</v>
      </c>
      <c r="F22037" s="2" t="s">
        <v>11</v>
      </c>
      <c r="G22037" s="2" t="s">
        <v>811</v>
      </c>
      <c r="H22037" s="2" t="s">
        <v>812</v>
      </c>
    </row>
    <row r="22038" spans="1:8" ht="25.05" customHeight="1" x14ac:dyDescent="0.25">
      <c r="A22038" s="2" t="s">
        <v>8</v>
      </c>
      <c r="B22038" s="2" t="str">
        <f>HYPERLINK("http://ts.21cn.com/tousu/show/id/1354192","恒易贷还款日无法还款恶意逾期")</f>
        <v>恒易贷还款日无法还款恶意逾期</v>
      </c>
      <c r="C22038" s="2" t="s">
        <v>9</v>
      </c>
      <c r="D22038" s="2" t="s">
        <v>10</v>
      </c>
      <c r="E22038" s="2" t="str">
        <f>HYPERLINK("http://ts.21cn.com/tousu/show/id/1354192","http://ts.21cn.com/tousu/show/id/1354192")</f>
        <v>http://ts.21cn.com/tousu/show/id/1354192</v>
      </c>
      <c r="F22038" s="2" t="s">
        <v>11</v>
      </c>
      <c r="G22038" s="2" t="s">
        <v>809</v>
      </c>
      <c r="H22038" s="2" t="s">
        <v>810</v>
      </c>
    </row>
    <row r="22039" spans="1:8" ht="25.05" customHeight="1" x14ac:dyDescent="0.25">
      <c r="A22039" s="2" t="s">
        <v>8</v>
      </c>
      <c r="B22039" s="2" t="str">
        <f>HYPERLINK("http://ts.21cn.com/tousu/show/id/1354173","强行扣费")</f>
        <v>强行扣费</v>
      </c>
      <c r="C22039" s="2" t="s">
        <v>9</v>
      </c>
      <c r="D22039" s="2" t="s">
        <v>10</v>
      </c>
      <c r="E22039" s="2" t="str">
        <f>HYPERLINK("http://ts.21cn.com/tousu/show/id/1354173","http://ts.21cn.com/tousu/show/id/1354173")</f>
        <v>http://ts.21cn.com/tousu/show/id/1354173</v>
      </c>
      <c r="F22039" s="2" t="s">
        <v>11</v>
      </c>
      <c r="G22039" s="2" t="s">
        <v>807</v>
      </c>
      <c r="H22039" s="2" t="s">
        <v>808</v>
      </c>
    </row>
    <row r="22040" spans="1:8" ht="25.05" customHeight="1" x14ac:dyDescent="0.25">
      <c r="A22040" s="2" t="s">
        <v>8</v>
      </c>
      <c r="B22040" s="2" t="str">
        <f>HYPERLINK("http://ts.21cn.com/tousu/show/id/1354194","浦发银行信用卡严重骚扰暴力催收")</f>
        <v>浦发银行信用卡严重骚扰暴力催收</v>
      </c>
      <c r="C22040" s="2" t="s">
        <v>9</v>
      </c>
      <c r="D22040" s="2" t="s">
        <v>10</v>
      </c>
      <c r="E22040" s="2" t="str">
        <f>HYPERLINK("http://ts.21cn.com/tousu/show/id/1354194","http://ts.21cn.com/tousu/show/id/1354194")</f>
        <v>http://ts.21cn.com/tousu/show/id/1354194</v>
      </c>
      <c r="F22040" s="2" t="s">
        <v>11</v>
      </c>
      <c r="G22040" s="2" t="s">
        <v>805</v>
      </c>
      <c r="H22040" s="2" t="s">
        <v>806</v>
      </c>
    </row>
    <row r="22041" spans="1:8" ht="25.05" customHeight="1" x14ac:dyDescent="0.25">
      <c r="A22041" s="2" t="s">
        <v>8</v>
      </c>
      <c r="B22041" s="2" t="str">
        <f>HYPERLINK("http://ts.21cn.com/tousu/show/id/1354195","得仕支付非法支付")</f>
        <v>得仕支付非法支付</v>
      </c>
      <c r="C22041" s="2" t="s">
        <v>9</v>
      </c>
      <c r="D22041" s="2" t="s">
        <v>10</v>
      </c>
      <c r="E22041" s="2" t="str">
        <f>HYPERLINK("http://ts.21cn.com/tousu/show/id/1354195","http://ts.21cn.com/tousu/show/id/1354195")</f>
        <v>http://ts.21cn.com/tousu/show/id/1354195</v>
      </c>
      <c r="F22041" s="2" t="s">
        <v>11</v>
      </c>
      <c r="G22041" s="2" t="s">
        <v>803</v>
      </c>
      <c r="H22041" s="2" t="s">
        <v>804</v>
      </c>
    </row>
    <row r="22042" spans="1:8" ht="25.05" customHeight="1" x14ac:dyDescent="0.25">
      <c r="A22042" s="2" t="s">
        <v>8</v>
      </c>
      <c r="B22042" s="2" t="str">
        <f>HYPERLINK("http://ts.21cn.com/tousu/show/id/1354196","马上金融恐吓催收，要给我朋友电话威胁我")</f>
        <v>马上金融恐吓催收，要给我朋友电话威胁我</v>
      </c>
      <c r="C22042" s="2" t="s">
        <v>9</v>
      </c>
      <c r="D22042" s="2" t="s">
        <v>10</v>
      </c>
      <c r="E22042" s="2" t="str">
        <f>HYPERLINK("http://ts.21cn.com/tousu/show/id/1354196","http://ts.21cn.com/tousu/show/id/1354196")</f>
        <v>http://ts.21cn.com/tousu/show/id/1354196</v>
      </c>
      <c r="F22042" s="2" t="s">
        <v>11</v>
      </c>
      <c r="G22042" s="2" t="s">
        <v>801</v>
      </c>
      <c r="H22042" s="2" t="s">
        <v>802</v>
      </c>
    </row>
    <row r="22043" spans="1:8" ht="25.05" customHeight="1" x14ac:dyDescent="0.25">
      <c r="A22043" s="2" t="s">
        <v>8</v>
      </c>
      <c r="B22043" s="2" t="str">
        <f>HYPERLINK("http://ts.21cn.com/tousu/show/id/1354198","微粒贷暴力催收")</f>
        <v>微粒贷暴力催收</v>
      </c>
      <c r="C22043" s="2" t="s">
        <v>9</v>
      </c>
      <c r="D22043" s="2" t="s">
        <v>10</v>
      </c>
      <c r="E22043" s="2" t="str">
        <f>HYPERLINK("http://ts.21cn.com/tousu/show/id/1354198","http://ts.21cn.com/tousu/show/id/1354198")</f>
        <v>http://ts.21cn.com/tousu/show/id/1354198</v>
      </c>
      <c r="F22043" s="2" t="s">
        <v>11</v>
      </c>
      <c r="G22043" s="2" t="s">
        <v>799</v>
      </c>
      <c r="H22043" s="2" t="s">
        <v>800</v>
      </c>
    </row>
    <row r="22044" spans="1:8" ht="25.05" customHeight="1" x14ac:dyDescent="0.25">
      <c r="A22044" s="2" t="s">
        <v>8</v>
      </c>
      <c r="B22044" s="2" t="str">
        <f>HYPERLINK("http://ts.21cn.com/tousu/show/id/1354199","造艺平台未经过许可乱扣银行卡里的钱")</f>
        <v>造艺平台未经过许可乱扣银行卡里的钱</v>
      </c>
      <c r="C22044" s="2" t="s">
        <v>9</v>
      </c>
      <c r="D22044" s="2" t="s">
        <v>10</v>
      </c>
      <c r="E22044" s="2" t="str">
        <f>HYPERLINK("http://ts.21cn.com/tousu/show/id/1354199","http://ts.21cn.com/tousu/show/id/1354199")</f>
        <v>http://ts.21cn.com/tousu/show/id/1354199</v>
      </c>
      <c r="F22044" s="2" t="s">
        <v>11</v>
      </c>
      <c r="G22044" s="2" t="s">
        <v>797</v>
      </c>
      <c r="H22044" s="2" t="s">
        <v>798</v>
      </c>
    </row>
    <row r="22045" spans="1:8" ht="25.05" customHeight="1" x14ac:dyDescent="0.25">
      <c r="A22045" s="2" t="s">
        <v>8</v>
      </c>
      <c r="B22045" s="2" t="str">
        <f>HYPERLINK("http://ts.21cn.com/tousu/show/id/1354197","自由魔卡六便士砍头息")</f>
        <v>自由魔卡六便士砍头息</v>
      </c>
      <c r="C22045" s="2" t="s">
        <v>34</v>
      </c>
      <c r="D22045" s="2" t="s">
        <v>10</v>
      </c>
      <c r="E22045" s="2" t="str">
        <f>HYPERLINK("http://ts.21cn.com/tousu/show/id/1354197","http://ts.21cn.com/tousu/show/id/1354197")</f>
        <v>http://ts.21cn.com/tousu/show/id/1354197</v>
      </c>
      <c r="F22045" s="2" t="s">
        <v>11</v>
      </c>
      <c r="G22045" s="2" t="s">
        <v>795</v>
      </c>
      <c r="H22045" s="2" t="s">
        <v>796</v>
      </c>
    </row>
    <row r="22046" spans="1:8" ht="25.05" customHeight="1" x14ac:dyDescent="0.25">
      <c r="A22046" s="2" t="s">
        <v>8</v>
      </c>
      <c r="B22046" s="2" t="str">
        <f>HYPERLINK("http://ts.21cn.com/tousu/show/id/1354169","加了微信说好不满意可以退款，不退钱，也不回复消息")</f>
        <v>加了微信说好不满意可以退款，不退钱，也不回复消息</v>
      </c>
      <c r="C22046" s="2" t="s">
        <v>9</v>
      </c>
      <c r="D22046" s="2" t="s">
        <v>10</v>
      </c>
      <c r="E22046" s="2" t="str">
        <f>HYPERLINK("http://ts.21cn.com/tousu/show/id/1354169","http://ts.21cn.com/tousu/show/id/1354169")</f>
        <v>http://ts.21cn.com/tousu/show/id/1354169</v>
      </c>
      <c r="F22046" s="2" t="s">
        <v>11</v>
      </c>
      <c r="G22046" s="2" t="s">
        <v>793</v>
      </c>
      <c r="H22046" s="2" t="s">
        <v>794</v>
      </c>
    </row>
    <row r="22047" spans="1:8" ht="25.05" customHeight="1" x14ac:dyDescent="0.25">
      <c r="A22047" s="2" t="s">
        <v>8</v>
      </c>
      <c r="B22047" s="2" t="str">
        <f>HYPERLINK("http://ts.21cn.com/tousu/show/id/1354201","循环贷有额度未体现成功")</f>
        <v>循环贷有额度未体现成功</v>
      </c>
      <c r="C22047" s="2" t="s">
        <v>34</v>
      </c>
      <c r="D22047" s="2" t="s">
        <v>10</v>
      </c>
      <c r="E22047" s="2" t="str">
        <f>HYPERLINK("http://ts.21cn.com/tousu/show/id/1354201","http://ts.21cn.com/tousu/show/id/1354201")</f>
        <v>http://ts.21cn.com/tousu/show/id/1354201</v>
      </c>
      <c r="F22047" s="2" t="s">
        <v>11</v>
      </c>
      <c r="G22047" s="2" t="s">
        <v>791</v>
      </c>
      <c r="H22047" s="2" t="s">
        <v>792</v>
      </c>
    </row>
    <row r="22048" spans="1:8" ht="25.05" customHeight="1" x14ac:dyDescent="0.25">
      <c r="A22048" s="2" t="s">
        <v>8</v>
      </c>
      <c r="B22048" s="2" t="str">
        <f>HYPERLINK("http://ts.21cn.com/tousu/show/id/1354202","骚扰爆力爆电话威胁")</f>
        <v>骚扰爆力爆电话威胁</v>
      </c>
      <c r="C22048" s="2" t="s">
        <v>9</v>
      </c>
      <c r="D22048" s="2" t="s">
        <v>10</v>
      </c>
      <c r="E22048" s="2" t="str">
        <f>HYPERLINK("http://ts.21cn.com/tousu/show/id/1354202","http://ts.21cn.com/tousu/show/id/1354202")</f>
        <v>http://ts.21cn.com/tousu/show/id/1354202</v>
      </c>
      <c r="F22048" s="2" t="s">
        <v>11</v>
      </c>
      <c r="G22048" s="2" t="s">
        <v>789</v>
      </c>
      <c r="H22048" s="2" t="s">
        <v>790</v>
      </c>
    </row>
    <row r="22049" spans="1:8" ht="25.05" customHeight="1" x14ac:dyDescent="0.25">
      <c r="A22049" s="2" t="s">
        <v>8</v>
      </c>
      <c r="B22049" s="2" t="str">
        <f>HYPERLINK("http://ts.21cn.com/tousu/show/id/1354203","黑心时光分期，暴力催收")</f>
        <v>黑心时光分期，暴力催收</v>
      </c>
      <c r="C22049" s="2" t="s">
        <v>9</v>
      </c>
      <c r="D22049" s="2" t="s">
        <v>10</v>
      </c>
      <c r="E22049" s="2" t="str">
        <f>HYPERLINK("http://ts.21cn.com/tousu/show/id/1354203","http://ts.21cn.com/tousu/show/id/1354203")</f>
        <v>http://ts.21cn.com/tousu/show/id/1354203</v>
      </c>
      <c r="F22049" s="2" t="s">
        <v>11</v>
      </c>
      <c r="G22049" s="2" t="s">
        <v>787</v>
      </c>
      <c r="H22049" s="2" t="s">
        <v>788</v>
      </c>
    </row>
    <row r="22050" spans="1:8" ht="25.05" customHeight="1" x14ac:dyDescent="0.25">
      <c r="A22050" s="2" t="s">
        <v>8</v>
      </c>
      <c r="B22050" s="2" t="str">
        <f>HYPERLINK("http://ts.21cn.com/tousu/show/id/1354204","超好花无法还款客服也没联系")</f>
        <v>超好花无法还款客服也没联系</v>
      </c>
      <c r="C22050" s="2" t="s">
        <v>9</v>
      </c>
      <c r="D22050" s="2" t="s">
        <v>10</v>
      </c>
      <c r="E22050" s="2" t="str">
        <f>HYPERLINK("http://ts.21cn.com/tousu/show/id/1354204","http://ts.21cn.com/tousu/show/id/1354204")</f>
        <v>http://ts.21cn.com/tousu/show/id/1354204</v>
      </c>
      <c r="F22050" s="2" t="s">
        <v>11</v>
      </c>
      <c r="G22050" s="2" t="s">
        <v>785</v>
      </c>
      <c r="H22050" s="2" t="s">
        <v>786</v>
      </c>
    </row>
    <row r="22051" spans="1:8" ht="25.05" customHeight="1" x14ac:dyDescent="0.25">
      <c r="A22051" s="2" t="s">
        <v>8</v>
      </c>
      <c r="B22051" s="2" t="str">
        <f>HYPERLINK("http://ts.21cn.com/tousu/show/id/1354193","高利贷")</f>
        <v>高利贷</v>
      </c>
      <c r="C22051" s="2" t="s">
        <v>9</v>
      </c>
      <c r="D22051" s="2" t="s">
        <v>10</v>
      </c>
      <c r="E22051" s="2" t="str">
        <f>HYPERLINK("http://ts.21cn.com/tousu/show/id/1354193","http://ts.21cn.com/tousu/show/id/1354193")</f>
        <v>http://ts.21cn.com/tousu/show/id/1354193</v>
      </c>
      <c r="F22051" s="2" t="s">
        <v>11</v>
      </c>
      <c r="G22051" s="2" t="s">
        <v>783</v>
      </c>
      <c r="H22051" s="2" t="s">
        <v>784</v>
      </c>
    </row>
    <row r="22052" spans="1:8" ht="25.05" customHeight="1" x14ac:dyDescent="0.25">
      <c r="A22052" s="2" t="s">
        <v>8</v>
      </c>
      <c r="B22052" s="2" t="str">
        <f>HYPERLINK("http://ts.21cn.com/tousu/show/id/1354181","欠钱失联")</f>
        <v>欠钱失联</v>
      </c>
      <c r="C22052" s="2" t="s">
        <v>9</v>
      </c>
      <c r="D22052" s="2" t="s">
        <v>10</v>
      </c>
      <c r="E22052" s="2" t="str">
        <f>HYPERLINK("http://ts.21cn.com/tousu/show/id/1354181","http://ts.21cn.com/tousu/show/id/1354181")</f>
        <v>http://ts.21cn.com/tousu/show/id/1354181</v>
      </c>
      <c r="F22052" s="2" t="s">
        <v>11</v>
      </c>
      <c r="G22052" s="2" t="s">
        <v>781</v>
      </c>
      <c r="H22052" s="2" t="s">
        <v>782</v>
      </c>
    </row>
    <row r="22053" spans="1:8" ht="25.05" customHeight="1" x14ac:dyDescent="0.25">
      <c r="A22053" s="2" t="s">
        <v>8</v>
      </c>
      <c r="B22053" s="2" t="str">
        <f>HYPERLINK("http://ts.21cn.com/tousu/show/id/1354207","拼多多中国最垃圾网店平台")</f>
        <v>拼多多中国最垃圾网店平台</v>
      </c>
      <c r="C22053" s="2" t="s">
        <v>9</v>
      </c>
      <c r="D22053" s="2" t="s">
        <v>10</v>
      </c>
      <c r="E22053" s="2" t="str">
        <f>HYPERLINK("http://ts.21cn.com/tousu/show/id/1354207","http://ts.21cn.com/tousu/show/id/1354207")</f>
        <v>http://ts.21cn.com/tousu/show/id/1354207</v>
      </c>
      <c r="F22053" s="2" t="s">
        <v>11</v>
      </c>
      <c r="G22053" s="2" t="s">
        <v>779</v>
      </c>
      <c r="H22053" s="2" t="s">
        <v>780</v>
      </c>
    </row>
    <row r="22054" spans="1:8" ht="25.05" customHeight="1" x14ac:dyDescent="0.25">
      <c r="A22054" s="2" t="s">
        <v>8</v>
      </c>
      <c r="B22054" s="2" t="str">
        <f>HYPERLINK("http://ts.21cn.com/tousu/show/id/1354185","拍拍贷")</f>
        <v>拍拍贷</v>
      </c>
      <c r="C22054" s="2" t="s">
        <v>9</v>
      </c>
      <c r="D22054" s="2" t="s">
        <v>10</v>
      </c>
      <c r="E22054" s="2" t="str">
        <f>HYPERLINK("http://ts.21cn.com/tousu/show/id/1354185","http://ts.21cn.com/tousu/show/id/1354185")</f>
        <v>http://ts.21cn.com/tousu/show/id/1354185</v>
      </c>
      <c r="F22054" s="2" t="s">
        <v>11</v>
      </c>
      <c r="G22054" s="2" t="s">
        <v>777</v>
      </c>
      <c r="H22054" s="2" t="s">
        <v>778</v>
      </c>
    </row>
    <row r="22055" spans="1:8" ht="25.05" customHeight="1" x14ac:dyDescent="0.25">
      <c r="A22055" s="2" t="s">
        <v>8</v>
      </c>
      <c r="B22055" s="2" t="str">
        <f>HYPERLINK("http://ts.21cn.com/tousu/show/id/1354211","中银消费旗下乐贷款")</f>
        <v>中银消费旗下乐贷款</v>
      </c>
      <c r="C22055" s="2" t="s">
        <v>9</v>
      </c>
      <c r="D22055" s="2" t="s">
        <v>10</v>
      </c>
      <c r="E22055" s="2" t="str">
        <f>HYPERLINK("http://ts.21cn.com/tousu/show/id/1354211","http://ts.21cn.com/tousu/show/id/1354211")</f>
        <v>http://ts.21cn.com/tousu/show/id/1354211</v>
      </c>
      <c r="F22055" s="2" t="s">
        <v>11</v>
      </c>
      <c r="G22055" s="2" t="s">
        <v>775</v>
      </c>
      <c r="H22055" s="2" t="s">
        <v>776</v>
      </c>
    </row>
    <row r="22056" spans="1:8" ht="25.05" customHeight="1" x14ac:dyDescent="0.25">
      <c r="A22056" s="2" t="s">
        <v>8</v>
      </c>
      <c r="B22056" s="2" t="str">
        <f>HYPERLINK("http://ts.21cn.com/tousu/show/id/1354212","美团食品安全问题，不重视问题客服胡弄用户")</f>
        <v>美团食品安全问题，不重视问题客服胡弄用户</v>
      </c>
      <c r="C22056" s="2" t="s">
        <v>9</v>
      </c>
      <c r="D22056" s="2" t="s">
        <v>10</v>
      </c>
      <c r="E22056" s="2" t="str">
        <f>HYPERLINK("http://ts.21cn.com/tousu/show/id/1354212","http://ts.21cn.com/tousu/show/id/1354212")</f>
        <v>http://ts.21cn.com/tousu/show/id/1354212</v>
      </c>
      <c r="F22056" s="2" t="s">
        <v>11</v>
      </c>
      <c r="G22056" s="2" t="s">
        <v>773</v>
      </c>
      <c r="H22056" s="2" t="s">
        <v>774</v>
      </c>
    </row>
    <row r="22057" spans="1:8" ht="25.05" customHeight="1" x14ac:dyDescent="0.25">
      <c r="A22057" s="2" t="s">
        <v>8</v>
      </c>
      <c r="B22057" s="2" t="str">
        <f>HYPERLINK("http://ts.21cn.com/tousu/show/id/1354213","好易贷高利贷公司")</f>
        <v>好易贷高利贷公司</v>
      </c>
      <c r="C22057" s="2" t="s">
        <v>9</v>
      </c>
      <c r="D22057" s="2" t="s">
        <v>10</v>
      </c>
      <c r="E22057" s="2" t="str">
        <f>HYPERLINK("http://ts.21cn.com/tousu/show/id/1354213","http://ts.21cn.com/tousu/show/id/1354213")</f>
        <v>http://ts.21cn.com/tousu/show/id/1354213</v>
      </c>
      <c r="F22057" s="2" t="s">
        <v>11</v>
      </c>
      <c r="G22057" s="2" t="s">
        <v>771</v>
      </c>
      <c r="H22057" s="2" t="s">
        <v>772</v>
      </c>
    </row>
    <row r="22058" spans="1:8" ht="25.05" customHeight="1" x14ac:dyDescent="0.25">
      <c r="A22058" s="2" t="s">
        <v>8</v>
      </c>
      <c r="B22058" s="2" t="str">
        <f>HYPERLINK("http://ts.21cn.com/tousu/show/id/1354216","因滴滴出行司机开车太慢，导致迟到，车票作废，钱也没了，时间也浪费了")</f>
        <v>因滴滴出行司机开车太慢，导致迟到，车票作废，钱也没了，时间也浪费了</v>
      </c>
      <c r="C22058" s="2" t="s">
        <v>9</v>
      </c>
      <c r="D22058" s="2" t="s">
        <v>10</v>
      </c>
      <c r="E22058" s="2" t="str">
        <f>HYPERLINK("http://ts.21cn.com/tousu/show/id/1354216","http://ts.21cn.com/tousu/show/id/1354216")</f>
        <v>http://ts.21cn.com/tousu/show/id/1354216</v>
      </c>
      <c r="F22058" s="2" t="s">
        <v>11</v>
      </c>
      <c r="G22058" s="2" t="s">
        <v>768</v>
      </c>
      <c r="H22058" s="2" t="s">
        <v>769</v>
      </c>
    </row>
    <row r="22059" spans="1:8" ht="25.05" customHeight="1" x14ac:dyDescent="0.25">
      <c r="A22059" s="2" t="s">
        <v>8</v>
      </c>
      <c r="B22059" s="2" t="str">
        <f>HYPERLINK("http://ts.21cn.com/tousu/show/id/1354215","大地时贷恶意扣款")</f>
        <v>大地时贷恶意扣款</v>
      </c>
      <c r="C22059" s="2" t="s">
        <v>9</v>
      </c>
      <c r="D22059" s="2" t="s">
        <v>10</v>
      </c>
      <c r="E22059" s="2" t="str">
        <f>HYPERLINK("http://ts.21cn.com/tousu/show/id/1354215","http://ts.21cn.com/tousu/show/id/1354215")</f>
        <v>http://ts.21cn.com/tousu/show/id/1354215</v>
      </c>
      <c r="F22059" s="2" t="s">
        <v>11</v>
      </c>
      <c r="G22059" s="2" t="s">
        <v>768</v>
      </c>
      <c r="H22059" s="2" t="s">
        <v>770</v>
      </c>
    </row>
    <row r="22060" spans="1:8" ht="25.05" customHeight="1" x14ac:dyDescent="0.25">
      <c r="A22060" s="2" t="s">
        <v>8</v>
      </c>
      <c r="B22060" s="2" t="str">
        <f>HYPERLINK("http://ts.21cn.com/tousu/show/id/1354218","别人欠款逾期，联系人写我的号码，拍拍贷催收严重骚扰我的日常生活")</f>
        <v>别人欠款逾期，联系人写我的号码，拍拍贷催收严重骚扰我的日常生活</v>
      </c>
      <c r="C22060" s="2" t="s">
        <v>9</v>
      </c>
      <c r="D22060" s="2" t="s">
        <v>10</v>
      </c>
      <c r="E22060" s="2" t="str">
        <f>HYPERLINK("http://ts.21cn.com/tousu/show/id/1354218","http://ts.21cn.com/tousu/show/id/1354218")</f>
        <v>http://ts.21cn.com/tousu/show/id/1354218</v>
      </c>
      <c r="F22060" s="2" t="s">
        <v>11</v>
      </c>
      <c r="G22060" s="2" t="s">
        <v>766</v>
      </c>
      <c r="H22060" s="2" t="s">
        <v>767</v>
      </c>
    </row>
    <row r="22061" spans="1:8" ht="25.05" customHeight="1" x14ac:dyDescent="0.25">
      <c r="A22061" s="2" t="s">
        <v>8</v>
      </c>
      <c r="B22061" s="2" t="str">
        <f>HYPERLINK("http://ts.21cn.com/tousu/show/id/1354219","及贷强制扣保险")</f>
        <v>及贷强制扣保险</v>
      </c>
      <c r="C22061" s="2" t="s">
        <v>34</v>
      </c>
      <c r="D22061" s="2" t="s">
        <v>10</v>
      </c>
      <c r="E22061" s="2" t="str">
        <f>HYPERLINK("http://ts.21cn.com/tousu/show/id/1354219","http://ts.21cn.com/tousu/show/id/1354219")</f>
        <v>http://ts.21cn.com/tousu/show/id/1354219</v>
      </c>
      <c r="F22061" s="2" t="s">
        <v>11</v>
      </c>
      <c r="G22061" s="2" t="s">
        <v>764</v>
      </c>
      <c r="H22061" s="2" t="s">
        <v>765</v>
      </c>
    </row>
    <row r="22062" spans="1:8" ht="25.05" customHeight="1" x14ac:dyDescent="0.25">
      <c r="A22062" s="2" t="s">
        <v>8</v>
      </c>
      <c r="B22062" s="2" t="str">
        <f>HYPERLINK("http://ts.21cn.com/tousu/show/id/1354220","浦发银行信用卡，万用金")</f>
        <v>浦发银行信用卡，万用金</v>
      </c>
      <c r="C22062" s="2" t="s">
        <v>9</v>
      </c>
      <c r="D22062" s="2" t="s">
        <v>10</v>
      </c>
      <c r="E22062" s="2" t="str">
        <f>HYPERLINK("http://ts.21cn.com/tousu/show/id/1354220","http://ts.21cn.com/tousu/show/id/1354220")</f>
        <v>http://ts.21cn.com/tousu/show/id/1354220</v>
      </c>
      <c r="F22062" s="2" t="s">
        <v>11</v>
      </c>
      <c r="G22062" s="2" t="s">
        <v>762</v>
      </c>
      <c r="H22062" s="2" t="s">
        <v>763</v>
      </c>
    </row>
    <row r="22063" spans="1:8" ht="25.05" customHeight="1" x14ac:dyDescent="0.25">
      <c r="A22063" s="2" t="s">
        <v>8</v>
      </c>
      <c r="B22063" s="2" t="str">
        <f>HYPERLINK("http://ts.21cn.com/tousu/show/id/1354221","钱站高利贷阴阳合同")</f>
        <v>钱站高利贷阴阳合同</v>
      </c>
      <c r="C22063" s="2" t="s">
        <v>9</v>
      </c>
      <c r="D22063" s="2" t="s">
        <v>10</v>
      </c>
      <c r="E22063" s="2" t="str">
        <f>HYPERLINK("http://ts.21cn.com/tousu/show/id/1354221","http://ts.21cn.com/tousu/show/id/1354221")</f>
        <v>http://ts.21cn.com/tousu/show/id/1354221</v>
      </c>
      <c r="F22063" s="2" t="s">
        <v>11</v>
      </c>
      <c r="G22063" s="2" t="s">
        <v>760</v>
      </c>
      <c r="H22063" s="2" t="s">
        <v>761</v>
      </c>
    </row>
    <row r="22064" spans="1:8" ht="25.05" customHeight="1" x14ac:dyDescent="0.25">
      <c r="A22064" s="2" t="s">
        <v>8</v>
      </c>
      <c r="B22064" s="2" t="str">
        <f>HYPERLINK("http://ts.21cn.com/tousu/show/id/1354222","多年没联系的客户欠款骚扰电话一直打到我这里来")</f>
        <v>多年没联系的客户欠款骚扰电话一直打到我这里来</v>
      </c>
      <c r="C22064" s="2" t="s">
        <v>9</v>
      </c>
      <c r="D22064" s="2" t="s">
        <v>10</v>
      </c>
      <c r="E22064" s="2" t="str">
        <f>HYPERLINK("http://ts.21cn.com/tousu/show/id/1354222","http://ts.21cn.com/tousu/show/id/1354222")</f>
        <v>http://ts.21cn.com/tousu/show/id/1354222</v>
      </c>
      <c r="F22064" s="2" t="s">
        <v>11</v>
      </c>
      <c r="G22064" s="2" t="s">
        <v>758</v>
      </c>
      <c r="H22064" s="2" t="s">
        <v>759</v>
      </c>
    </row>
    <row r="22065" spans="1:8" ht="25.05" customHeight="1" x14ac:dyDescent="0.25">
      <c r="A22065" s="2" t="s">
        <v>8</v>
      </c>
      <c r="B22065" s="2" t="str">
        <f>HYPERLINK("http://ts.21cn.com/tousu/show/id/1354223","爆通讯")</f>
        <v>爆通讯</v>
      </c>
      <c r="C22065" s="2" t="s">
        <v>34</v>
      </c>
      <c r="D22065" s="2" t="s">
        <v>10</v>
      </c>
      <c r="E22065" s="2" t="str">
        <f>HYPERLINK("http://ts.21cn.com/tousu/show/id/1354223","http://ts.21cn.com/tousu/show/id/1354223")</f>
        <v>http://ts.21cn.com/tousu/show/id/1354223</v>
      </c>
      <c r="F22065" s="2" t="s">
        <v>11</v>
      </c>
      <c r="G22065" s="2" t="s">
        <v>756</v>
      </c>
      <c r="H22065" s="2" t="s">
        <v>757</v>
      </c>
    </row>
    <row r="22066" spans="1:8" ht="25.05" customHeight="1" x14ac:dyDescent="0.25">
      <c r="A22066" s="2" t="s">
        <v>8</v>
      </c>
      <c r="B22066" s="2" t="str">
        <f>HYPERLINK("http://ts.21cn.com/tousu/show/id/1354224","在不知情的情况下小孩儿玩手机进行游戏并且购买道具，申请退款被拒绝")</f>
        <v>在不知情的情况下小孩儿玩手机进行游戏并且购买道具，申请退款被拒绝</v>
      </c>
      <c r="C22066" s="2" t="s">
        <v>9</v>
      </c>
      <c r="D22066" s="2" t="s">
        <v>10</v>
      </c>
      <c r="E22066" s="2" t="str">
        <f>HYPERLINK("http://ts.21cn.com/tousu/show/id/1354224","http://ts.21cn.com/tousu/show/id/1354224")</f>
        <v>http://ts.21cn.com/tousu/show/id/1354224</v>
      </c>
      <c r="F22066" s="2" t="s">
        <v>11</v>
      </c>
      <c r="G22066" s="2" t="s">
        <v>754</v>
      </c>
      <c r="H22066" s="2" t="s">
        <v>755</v>
      </c>
    </row>
    <row r="22067" spans="1:8" ht="25.05" customHeight="1" x14ac:dyDescent="0.25">
      <c r="A22067" s="2" t="s">
        <v>8</v>
      </c>
      <c r="B22067" s="2" t="str">
        <f>HYPERLINK("http://ts.21cn.com/tousu/show/id/1354225","共享汽车隔了20天无缘无故狂来罚单")</f>
        <v>共享汽车隔了20天无缘无故狂来罚单</v>
      </c>
      <c r="C22067" s="2" t="s">
        <v>34</v>
      </c>
      <c r="D22067" s="2" t="s">
        <v>10</v>
      </c>
      <c r="E22067" s="2" t="str">
        <f>HYPERLINK("http://ts.21cn.com/tousu/show/id/1354225","http://ts.21cn.com/tousu/show/id/1354225")</f>
        <v>http://ts.21cn.com/tousu/show/id/1354225</v>
      </c>
      <c r="F22067" s="2" t="s">
        <v>11</v>
      </c>
      <c r="G22067" s="2" t="s">
        <v>752</v>
      </c>
      <c r="H22067" s="2" t="s">
        <v>753</v>
      </c>
    </row>
    <row r="22068" spans="1:8" ht="25.05" customHeight="1" x14ac:dyDescent="0.25">
      <c r="A22068" s="2" t="s">
        <v>8</v>
      </c>
      <c r="B22068" s="2" t="str">
        <f>HYPERLINK("http://ts.21cn.com/tousu/show/id/1354226","捷信金融套路贷")</f>
        <v>捷信金融套路贷</v>
      </c>
      <c r="C22068" s="2" t="s">
        <v>9</v>
      </c>
      <c r="D22068" s="2" t="s">
        <v>10</v>
      </c>
      <c r="E22068" s="2" t="str">
        <f>HYPERLINK("http://ts.21cn.com/tousu/show/id/1354226","http://ts.21cn.com/tousu/show/id/1354226")</f>
        <v>http://ts.21cn.com/tousu/show/id/1354226</v>
      </c>
      <c r="F22068" s="2" t="s">
        <v>11</v>
      </c>
      <c r="G22068" s="2" t="s">
        <v>750</v>
      </c>
      <c r="H22068" s="2" t="s">
        <v>751</v>
      </c>
    </row>
    <row r="22069" spans="1:8" ht="25.05" customHeight="1" x14ac:dyDescent="0.25">
      <c r="A22069" s="2" t="s">
        <v>8</v>
      </c>
      <c r="B22069" s="2" t="str">
        <f>HYPERLINK("http://ts.21cn.com/tousu/show/id/1354227","暴力催收，威胁人身安全")</f>
        <v>暴力催收，威胁人身安全</v>
      </c>
      <c r="C22069" s="2" t="s">
        <v>9</v>
      </c>
      <c r="D22069" s="2" t="s">
        <v>10</v>
      </c>
      <c r="E22069" s="2" t="str">
        <f>HYPERLINK("http://ts.21cn.com/tousu/show/id/1354227","http://ts.21cn.com/tousu/show/id/1354227")</f>
        <v>http://ts.21cn.com/tousu/show/id/1354227</v>
      </c>
      <c r="F22069" s="2" t="s">
        <v>11</v>
      </c>
      <c r="G22069" s="2" t="s">
        <v>748</v>
      </c>
      <c r="H22069" s="2" t="s">
        <v>749</v>
      </c>
    </row>
    <row r="22070" spans="1:8" ht="25.05" customHeight="1" x14ac:dyDescent="0.25">
      <c r="A22070" s="2" t="s">
        <v>8</v>
      </c>
      <c r="B22070" s="2" t="str">
        <f>HYPERLINK("http://ts.21cn.com/tousu/show/id/1354228","高利贷")</f>
        <v>高利贷</v>
      </c>
      <c r="C22070" s="2" t="s">
        <v>9</v>
      </c>
      <c r="D22070" s="2" t="s">
        <v>10</v>
      </c>
      <c r="E22070" s="2" t="str">
        <f>HYPERLINK("http://ts.21cn.com/tousu/show/id/1354228","http://ts.21cn.com/tousu/show/id/1354228")</f>
        <v>http://ts.21cn.com/tousu/show/id/1354228</v>
      </c>
      <c r="F22070" s="2" t="s">
        <v>11</v>
      </c>
      <c r="G22070" s="2" t="s">
        <v>746</v>
      </c>
      <c r="H22070" s="2" t="s">
        <v>747</v>
      </c>
    </row>
    <row r="22071" spans="1:8" ht="25.05" customHeight="1" x14ac:dyDescent="0.25">
      <c r="A22071" s="2" t="s">
        <v>8</v>
      </c>
      <c r="B22071" s="2" t="str">
        <f>HYPERLINK("http://ts.21cn.com/tousu/show/id/1354229","360借条收取高额费用")</f>
        <v>360借条收取高额费用</v>
      </c>
      <c r="C22071" s="2" t="s">
        <v>9</v>
      </c>
      <c r="D22071" s="2" t="s">
        <v>10</v>
      </c>
      <c r="E22071" s="2" t="str">
        <f>HYPERLINK("http://ts.21cn.com/tousu/show/id/1354229","http://ts.21cn.com/tousu/show/id/1354229")</f>
        <v>http://ts.21cn.com/tousu/show/id/1354229</v>
      </c>
      <c r="F22071" s="2" t="s">
        <v>11</v>
      </c>
      <c r="G22071" s="2" t="s">
        <v>744</v>
      </c>
      <c r="H22071" s="2" t="s">
        <v>745</v>
      </c>
    </row>
    <row r="22072" spans="1:8" ht="25.05" customHeight="1" x14ac:dyDescent="0.25">
      <c r="A22072" s="2" t="s">
        <v>8</v>
      </c>
      <c r="B22072" s="2" t="str">
        <f>HYPERLINK("http://ts.21cn.com/tousu/show/id/1354230","小花钱包涉及高利贷，超利贷，发短信及打电话侮辱谩骂借款人家属")</f>
        <v>小花钱包涉及高利贷，超利贷，发短信及打电话侮辱谩骂借款人家属</v>
      </c>
      <c r="C22072" s="2" t="s">
        <v>9</v>
      </c>
      <c r="D22072" s="2" t="s">
        <v>10</v>
      </c>
      <c r="E22072" s="2" t="str">
        <f>HYPERLINK("http://ts.21cn.com/tousu/show/id/1354230","http://ts.21cn.com/tousu/show/id/1354230")</f>
        <v>http://ts.21cn.com/tousu/show/id/1354230</v>
      </c>
      <c r="F22072" s="2" t="s">
        <v>11</v>
      </c>
      <c r="G22072" s="2" t="s">
        <v>742</v>
      </c>
      <c r="H22072" s="2" t="s">
        <v>743</v>
      </c>
    </row>
    <row r="22073" spans="1:8" ht="25.05" customHeight="1" x14ac:dyDescent="0.25">
      <c r="A22073" s="2" t="s">
        <v>8</v>
      </c>
      <c r="B22073" s="2" t="str">
        <f>HYPERLINK("http://ts.21cn.com/tousu/show/id/1354231","被误导办悦程出行会员卡")</f>
        <v>被误导办悦程出行会员卡</v>
      </c>
      <c r="C22073" s="2" t="s">
        <v>9</v>
      </c>
      <c r="D22073" s="2" t="s">
        <v>10</v>
      </c>
      <c r="E22073" s="2" t="str">
        <f>HYPERLINK("http://ts.21cn.com/tousu/show/id/1354231","http://ts.21cn.com/tousu/show/id/1354231")</f>
        <v>http://ts.21cn.com/tousu/show/id/1354231</v>
      </c>
      <c r="F22073" s="2" t="s">
        <v>11</v>
      </c>
      <c r="G22073" s="2" t="s">
        <v>740</v>
      </c>
      <c r="H22073" s="2" t="s">
        <v>741</v>
      </c>
    </row>
    <row r="22074" spans="1:8" ht="25.05" customHeight="1" x14ac:dyDescent="0.25">
      <c r="A22074" s="2" t="s">
        <v>8</v>
      </c>
      <c r="B22074" s="2" t="str">
        <f>HYPERLINK("http://ts.21cn.com/tousu/show/id/1354139","平安小额贷套路贷，收取我50500的银行认证费和保险费没有归还")</f>
        <v>平安小额贷套路贷，收取我50500的银行认证费和保险费没有归还</v>
      </c>
      <c r="C22074" s="2" t="s">
        <v>9</v>
      </c>
      <c r="D22074" s="2" t="s">
        <v>10</v>
      </c>
      <c r="E22074" s="2" t="str">
        <f>HYPERLINK("http://ts.21cn.com/tousu/show/id/1354139","http://ts.21cn.com/tousu/show/id/1354139")</f>
        <v>http://ts.21cn.com/tousu/show/id/1354139</v>
      </c>
      <c r="F22074" s="2" t="s">
        <v>11</v>
      </c>
      <c r="G22074" s="2" t="s">
        <v>738</v>
      </c>
      <c r="H22074" s="2" t="s">
        <v>739</v>
      </c>
    </row>
    <row r="22075" spans="1:8" ht="25.05" customHeight="1" x14ac:dyDescent="0.25">
      <c r="A22075" s="2" t="s">
        <v>8</v>
      </c>
      <c r="B22075" s="2" t="str">
        <f>HYPERLINK("http://ts.21cn.com/tousu/show/id/1354232","恶意骚扰，恐吓")</f>
        <v>恶意骚扰，恐吓</v>
      </c>
      <c r="C22075" s="2" t="s">
        <v>9</v>
      </c>
      <c r="D22075" s="2" t="s">
        <v>10</v>
      </c>
      <c r="E22075" s="2" t="str">
        <f>HYPERLINK("http://ts.21cn.com/tousu/show/id/1354232","http://ts.21cn.com/tousu/show/id/1354232")</f>
        <v>http://ts.21cn.com/tousu/show/id/1354232</v>
      </c>
      <c r="F22075" s="2" t="s">
        <v>11</v>
      </c>
      <c r="G22075" s="2" t="s">
        <v>736</v>
      </c>
      <c r="H22075" s="2" t="s">
        <v>737</v>
      </c>
    </row>
    <row r="22076" spans="1:8" ht="25.05" customHeight="1" x14ac:dyDescent="0.25">
      <c r="A22076" s="2" t="s">
        <v>8</v>
      </c>
      <c r="B22076" s="2" t="str">
        <f>HYPERLINK("http://ts.21cn.com/tousu/show/id/1354234","小度有钱强制收会员费，并必须要申请他推荐的网贷平台")</f>
        <v>小度有钱强制收会员费，并必须要申请他推荐的网贷平台</v>
      </c>
      <c r="C22076" s="2" t="s">
        <v>9</v>
      </c>
      <c r="D22076" s="2" t="s">
        <v>10</v>
      </c>
      <c r="E22076" s="2" t="str">
        <f>HYPERLINK("http://ts.21cn.com/tousu/show/id/1354234","http://ts.21cn.com/tousu/show/id/1354234")</f>
        <v>http://ts.21cn.com/tousu/show/id/1354234</v>
      </c>
      <c r="F22076" s="2" t="s">
        <v>11</v>
      </c>
      <c r="G22076" s="2" t="s">
        <v>734</v>
      </c>
      <c r="H22076" s="2" t="s">
        <v>735</v>
      </c>
    </row>
    <row r="22077" spans="1:8" ht="25.05" customHeight="1" x14ac:dyDescent="0.25">
      <c r="A22077" s="2" t="s">
        <v>8</v>
      </c>
      <c r="B22077" s="2" t="str">
        <f>HYPERLINK("http://ts.21cn.com/tousu/show/id/1354235","好借花砍头息联系不到客服")</f>
        <v>好借花砍头息联系不到客服</v>
      </c>
      <c r="C22077" s="2" t="s">
        <v>9</v>
      </c>
      <c r="D22077" s="2" t="s">
        <v>10</v>
      </c>
      <c r="E22077" s="2" t="str">
        <f>HYPERLINK("http://ts.21cn.com/tousu/show/id/1354235","http://ts.21cn.com/tousu/show/id/1354235")</f>
        <v>http://ts.21cn.com/tousu/show/id/1354235</v>
      </c>
      <c r="F22077" s="2" t="s">
        <v>11</v>
      </c>
      <c r="G22077" s="2" t="s">
        <v>732</v>
      </c>
      <c r="H22077" s="2" t="s">
        <v>733</v>
      </c>
    </row>
    <row r="22078" spans="1:8" ht="25.05" customHeight="1" x14ac:dyDescent="0.25">
      <c r="A22078" s="2" t="s">
        <v>8</v>
      </c>
      <c r="B22078" s="2" t="str">
        <f>HYPERLINK("http://ts.21cn.com/tousu/show/id/1354241","速卖通的无忧物流乱扣款")</f>
        <v>速卖通的无忧物流乱扣款</v>
      </c>
      <c r="C22078" s="2" t="s">
        <v>9</v>
      </c>
      <c r="D22078" s="2" t="s">
        <v>10</v>
      </c>
      <c r="E22078" s="2" t="str">
        <f>HYPERLINK("http://ts.21cn.com/tousu/show/id/1354241","http://ts.21cn.com/tousu/show/id/1354241")</f>
        <v>http://ts.21cn.com/tousu/show/id/1354241</v>
      </c>
      <c r="F22078" s="2" t="s">
        <v>11</v>
      </c>
      <c r="G22078" s="2" t="s">
        <v>730</v>
      </c>
      <c r="H22078" s="2" t="s">
        <v>731</v>
      </c>
    </row>
    <row r="22079" spans="1:8" ht="25.05" customHeight="1" x14ac:dyDescent="0.25">
      <c r="A22079" s="2" t="s">
        <v>8</v>
      </c>
      <c r="B22079" s="2" t="str">
        <f>HYPERLINK("http://ts.21cn.com/tousu/show/id/1354240","滴滴恶意扣除奖励")</f>
        <v>滴滴恶意扣除奖励</v>
      </c>
      <c r="C22079" s="2" t="s">
        <v>9</v>
      </c>
      <c r="D22079" s="2" t="s">
        <v>10</v>
      </c>
      <c r="E22079" s="2" t="str">
        <f>HYPERLINK("http://ts.21cn.com/tousu/show/id/1354240","http://ts.21cn.com/tousu/show/id/1354240")</f>
        <v>http://ts.21cn.com/tousu/show/id/1354240</v>
      </c>
      <c r="F22079" s="2" t="s">
        <v>11</v>
      </c>
      <c r="G22079" s="2" t="s">
        <v>727</v>
      </c>
      <c r="H22079" s="2" t="s">
        <v>728</v>
      </c>
    </row>
    <row r="22080" spans="1:8" ht="25.05" customHeight="1" x14ac:dyDescent="0.25">
      <c r="A22080" s="2" t="s">
        <v>8</v>
      </c>
      <c r="B22080" s="2" t="str">
        <f>HYPERLINK("http://ts.21cn.com/tousu/show/id/1354236","云闪付套路贷")</f>
        <v>云闪付套路贷</v>
      </c>
      <c r="C22080" s="2" t="s">
        <v>9</v>
      </c>
      <c r="D22080" s="2" t="s">
        <v>10</v>
      </c>
      <c r="E22080" s="2" t="str">
        <f>HYPERLINK("http://ts.21cn.com/tousu/show/id/1354236","http://ts.21cn.com/tousu/show/id/1354236")</f>
        <v>http://ts.21cn.com/tousu/show/id/1354236</v>
      </c>
      <c r="F22080" s="2" t="s">
        <v>11</v>
      </c>
      <c r="G22080" s="2" t="s">
        <v>727</v>
      </c>
      <c r="H22080" s="2" t="s">
        <v>729</v>
      </c>
    </row>
    <row r="22081" spans="1:8" ht="25.05" customHeight="1" x14ac:dyDescent="0.25">
      <c r="A22081" s="2" t="s">
        <v>8</v>
      </c>
      <c r="B22081" s="2" t="str">
        <f>HYPERLINK("http://ts.21cn.com/tousu/show/id/1354238","瞬瞬")</f>
        <v>瞬瞬</v>
      </c>
      <c r="C22081" s="2" t="s">
        <v>9</v>
      </c>
      <c r="D22081" s="2" t="s">
        <v>10</v>
      </c>
      <c r="E22081" s="2" t="str">
        <f>HYPERLINK("http://ts.21cn.com/tousu/show/id/1354238","http://ts.21cn.com/tousu/show/id/1354238")</f>
        <v>http://ts.21cn.com/tousu/show/id/1354238</v>
      </c>
      <c r="F22081" s="2" t="s">
        <v>11</v>
      </c>
      <c r="G22081" s="2" t="s">
        <v>725</v>
      </c>
      <c r="H22081" s="2" t="s">
        <v>726</v>
      </c>
    </row>
    <row r="22082" spans="1:8" ht="25.05" customHeight="1" x14ac:dyDescent="0.25">
      <c r="A22082" s="2" t="s">
        <v>8</v>
      </c>
      <c r="B22082" s="2" t="str">
        <f>HYPERLINK("http://ts.21cn.com/tousu/show/id/1354243","高利贷")</f>
        <v>高利贷</v>
      </c>
      <c r="C22082" s="2" t="s">
        <v>9</v>
      </c>
      <c r="D22082" s="2" t="s">
        <v>10</v>
      </c>
      <c r="E22082" s="2" t="str">
        <f>HYPERLINK("http://ts.21cn.com/tousu/show/id/1354243","http://ts.21cn.com/tousu/show/id/1354243")</f>
        <v>http://ts.21cn.com/tousu/show/id/1354243</v>
      </c>
      <c r="F22082" s="2" t="s">
        <v>11</v>
      </c>
      <c r="G22082" s="2" t="s">
        <v>723</v>
      </c>
      <c r="H22082" s="2" t="s">
        <v>724</v>
      </c>
    </row>
    <row r="22083" spans="1:8" ht="25.05" customHeight="1" x14ac:dyDescent="0.25">
      <c r="A22083" s="2" t="s">
        <v>8</v>
      </c>
      <c r="B22083" s="2" t="str">
        <f>HYPERLINK("http://ts.21cn.com/tousu/show/id/1354244","苏宁金融催收态度恶劣")</f>
        <v>苏宁金融催收态度恶劣</v>
      </c>
      <c r="C22083" s="2" t="s">
        <v>9</v>
      </c>
      <c r="D22083" s="2" t="s">
        <v>10</v>
      </c>
      <c r="E22083" s="2" t="str">
        <f>HYPERLINK("http://ts.21cn.com/tousu/show/id/1354244","http://ts.21cn.com/tousu/show/id/1354244")</f>
        <v>http://ts.21cn.com/tousu/show/id/1354244</v>
      </c>
      <c r="F22083" s="2" t="s">
        <v>11</v>
      </c>
      <c r="G22083" s="2" t="s">
        <v>721</v>
      </c>
      <c r="H22083" s="2" t="s">
        <v>722</v>
      </c>
    </row>
    <row r="22084" spans="1:8" ht="25.05" customHeight="1" x14ac:dyDescent="0.25">
      <c r="A22084" s="2" t="s">
        <v>8</v>
      </c>
      <c r="B22084" s="2" t="str">
        <f>HYPERLINK("http://ts.21cn.com/tousu/show/id/1354245","河南悦如单方面违约退房迟迟不退押金及预缴房租")</f>
        <v>河南悦如单方面违约退房迟迟不退押金及预缴房租</v>
      </c>
      <c r="C22084" s="2" t="s">
        <v>9</v>
      </c>
      <c r="D22084" s="2" t="s">
        <v>10</v>
      </c>
      <c r="E22084" s="2" t="str">
        <f>HYPERLINK("http://ts.21cn.com/tousu/show/id/1354245","http://ts.21cn.com/tousu/show/id/1354245")</f>
        <v>http://ts.21cn.com/tousu/show/id/1354245</v>
      </c>
      <c r="F22084" s="2" t="s">
        <v>11</v>
      </c>
      <c r="G22084" s="2" t="s">
        <v>719</v>
      </c>
      <c r="H22084" s="2" t="s">
        <v>720</v>
      </c>
    </row>
    <row r="22085" spans="1:8" ht="25.05" customHeight="1" x14ac:dyDescent="0.25">
      <c r="A22085" s="2" t="s">
        <v>8</v>
      </c>
      <c r="B22085" s="2" t="str">
        <f>HYPERLINK("http://ts.21cn.com/tousu/show/id/1354246","松紧贷")</f>
        <v>松紧贷</v>
      </c>
      <c r="C22085" s="2" t="s">
        <v>9</v>
      </c>
      <c r="D22085" s="2" t="s">
        <v>10</v>
      </c>
      <c r="E22085" s="2" t="str">
        <f>HYPERLINK("http://ts.21cn.com/tousu/show/id/1354246","http://ts.21cn.com/tousu/show/id/1354246")</f>
        <v>http://ts.21cn.com/tousu/show/id/1354246</v>
      </c>
      <c r="F22085" s="2" t="s">
        <v>11</v>
      </c>
      <c r="G22085" s="2" t="s">
        <v>717</v>
      </c>
      <c r="H22085" s="2" t="s">
        <v>718</v>
      </c>
    </row>
    <row r="22086" spans="1:8" ht="25.05" customHeight="1" x14ac:dyDescent="0.25">
      <c r="A22086" s="2" t="s">
        <v>8</v>
      </c>
      <c r="B22086" s="2" t="str">
        <f>HYPERLINK("http://ts.21cn.com/tousu/show/id/1354247","没有经同意，钱从银行卡划走了")</f>
        <v>没有经同意，钱从银行卡划走了</v>
      </c>
      <c r="C22086" s="2" t="s">
        <v>34</v>
      </c>
      <c r="D22086" s="2" t="s">
        <v>10</v>
      </c>
      <c r="E22086" s="2" t="str">
        <f>HYPERLINK("http://ts.21cn.com/tousu/show/id/1354247","http://ts.21cn.com/tousu/show/id/1354247")</f>
        <v>http://ts.21cn.com/tousu/show/id/1354247</v>
      </c>
      <c r="F22086" s="2" t="s">
        <v>11</v>
      </c>
      <c r="G22086" s="2" t="s">
        <v>715</v>
      </c>
      <c r="H22086" s="2" t="s">
        <v>716</v>
      </c>
    </row>
    <row r="22087" spans="1:8" ht="25.05" customHeight="1" x14ac:dyDescent="0.25">
      <c r="A22087" s="2" t="s">
        <v>8</v>
      </c>
      <c r="B22087" s="2" t="str">
        <f>HYPERLINK("http://ts.21cn.com/tousu/show/id/1354248","高利贷畅金服务恶意催收不给协商")</f>
        <v>高利贷畅金服务恶意催收不给协商</v>
      </c>
      <c r="C22087" s="2" t="s">
        <v>9</v>
      </c>
      <c r="D22087" s="2" t="s">
        <v>10</v>
      </c>
      <c r="E22087" s="2" t="str">
        <f>HYPERLINK("http://ts.21cn.com/tousu/show/id/1354248","http://ts.21cn.com/tousu/show/id/1354248")</f>
        <v>http://ts.21cn.com/tousu/show/id/1354248</v>
      </c>
      <c r="F22087" s="2" t="s">
        <v>11</v>
      </c>
      <c r="G22087" s="2" t="s">
        <v>713</v>
      </c>
      <c r="H22087" s="2" t="s">
        <v>714</v>
      </c>
    </row>
    <row r="22088" spans="1:8" ht="25.05" customHeight="1" x14ac:dyDescent="0.25">
      <c r="A22088" s="2" t="s">
        <v>8</v>
      </c>
      <c r="B22088" s="2" t="str">
        <f>HYPERLINK("http://ts.21cn.com/tousu/show/id/1354249","造艺科技恶意扣款")</f>
        <v>造艺科技恶意扣款</v>
      </c>
      <c r="C22088" s="2" t="s">
        <v>9</v>
      </c>
      <c r="D22088" s="2" t="s">
        <v>10</v>
      </c>
      <c r="E22088" s="2" t="str">
        <f>HYPERLINK("http://ts.21cn.com/tousu/show/id/1354249","http://ts.21cn.com/tousu/show/id/1354249")</f>
        <v>http://ts.21cn.com/tousu/show/id/1354249</v>
      </c>
      <c r="F22088" s="2" t="s">
        <v>11</v>
      </c>
      <c r="G22088" s="2" t="s">
        <v>711</v>
      </c>
      <c r="H22088" s="2" t="s">
        <v>712</v>
      </c>
    </row>
    <row r="22089" spans="1:8" ht="25.05" customHeight="1" x14ac:dyDescent="0.25">
      <c r="A22089" s="2" t="s">
        <v>8</v>
      </c>
      <c r="B22089" s="2" t="str">
        <f>HYPERLINK("http://ts.21cn.com/tousu/show/id/1354208","月光侠分期暴力催收，恐吓，威胁")</f>
        <v>月光侠分期暴力催收，恐吓，威胁</v>
      </c>
      <c r="C22089" s="2" t="s">
        <v>9</v>
      </c>
      <c r="D22089" s="2" t="s">
        <v>10</v>
      </c>
      <c r="E22089" s="2" t="str">
        <f>HYPERLINK("http://ts.21cn.com/tousu/show/id/1354208","http://ts.21cn.com/tousu/show/id/1354208")</f>
        <v>http://ts.21cn.com/tousu/show/id/1354208</v>
      </c>
      <c r="F22089" s="2" t="s">
        <v>11</v>
      </c>
      <c r="G22089" s="2" t="s">
        <v>709</v>
      </c>
      <c r="H22089" s="2" t="s">
        <v>710</v>
      </c>
    </row>
    <row r="22090" spans="1:8" ht="25.05" customHeight="1" x14ac:dyDescent="0.25">
      <c r="A22090" s="2" t="s">
        <v>8</v>
      </c>
      <c r="B22090" s="2" t="str">
        <f>HYPERLINK("http://ts.21cn.com/tousu/show/id/1354250","马上消费金融，违法行为，群发短信，恐吓催收，发律师函，行为恶劣")</f>
        <v>马上消费金融，违法行为，群发短信，恐吓催收，发律师函，行为恶劣</v>
      </c>
      <c r="C22090" s="2" t="s">
        <v>9</v>
      </c>
      <c r="D22090" s="2" t="s">
        <v>10</v>
      </c>
      <c r="E22090" s="2" t="str">
        <f>HYPERLINK("http://ts.21cn.com/tousu/show/id/1354250","http://ts.21cn.com/tousu/show/id/1354250")</f>
        <v>http://ts.21cn.com/tousu/show/id/1354250</v>
      </c>
      <c r="F22090" s="2" t="s">
        <v>11</v>
      </c>
      <c r="G22090" s="2" t="s">
        <v>707</v>
      </c>
      <c r="H22090" s="2" t="s">
        <v>708</v>
      </c>
    </row>
    <row r="22091" spans="1:8" ht="25.05" customHeight="1" x14ac:dyDescent="0.25">
      <c r="A22091" s="2" t="s">
        <v>8</v>
      </c>
      <c r="B22091" s="2" t="str">
        <f>HYPERLINK("http://ts.21cn.com/tousu/show/id/1354251","及贷高额砍头息，要求取消借款")</f>
        <v>及贷高额砍头息，要求取消借款</v>
      </c>
      <c r="C22091" s="2" t="s">
        <v>9</v>
      </c>
      <c r="D22091" s="2" t="s">
        <v>10</v>
      </c>
      <c r="E22091" s="2" t="str">
        <f>HYPERLINK("http://ts.21cn.com/tousu/show/id/1354251","http://ts.21cn.com/tousu/show/id/1354251")</f>
        <v>http://ts.21cn.com/tousu/show/id/1354251</v>
      </c>
      <c r="F22091" s="2" t="s">
        <v>11</v>
      </c>
      <c r="G22091" s="2" t="s">
        <v>705</v>
      </c>
      <c r="H22091" s="2" t="s">
        <v>706</v>
      </c>
    </row>
    <row r="22092" spans="1:8" ht="25.05" customHeight="1" x14ac:dyDescent="0.25">
      <c r="A22092" s="2" t="s">
        <v>8</v>
      </c>
      <c r="B22092" s="2" t="str">
        <f>HYPERLINK("http://ts.21cn.com/tousu/show/id/1354252","淘宝网上买的东西存在质量问题")</f>
        <v>淘宝网上买的东西存在质量问题</v>
      </c>
      <c r="C22092" s="2" t="s">
        <v>9</v>
      </c>
      <c r="D22092" s="2" t="s">
        <v>10</v>
      </c>
      <c r="E22092" s="2" t="str">
        <f>HYPERLINK("http://ts.21cn.com/tousu/show/id/1354252","http://ts.21cn.com/tousu/show/id/1354252")</f>
        <v>http://ts.21cn.com/tousu/show/id/1354252</v>
      </c>
      <c r="F22092" s="2" t="s">
        <v>11</v>
      </c>
      <c r="G22092" s="2" t="s">
        <v>702</v>
      </c>
      <c r="H22092" s="2" t="s">
        <v>703</v>
      </c>
    </row>
    <row r="22093" spans="1:8" ht="25.05" customHeight="1" x14ac:dyDescent="0.25">
      <c r="A22093" s="2" t="s">
        <v>8</v>
      </c>
      <c r="B22093" s="2" t="str">
        <f>HYPERLINK("http://ts.21cn.com/tousu/show/id/1353333","平安普惠陆金所收取费用合法吗？？")</f>
        <v>平安普惠陆金所收取费用合法吗？？</v>
      </c>
      <c r="C22093" s="2" t="s">
        <v>9</v>
      </c>
      <c r="D22093" s="2" t="s">
        <v>10</v>
      </c>
      <c r="E22093" s="2" t="str">
        <f>HYPERLINK("http://ts.21cn.com/tousu/show/id/1353333","http://ts.21cn.com/tousu/show/id/1353333")</f>
        <v>http://ts.21cn.com/tousu/show/id/1353333</v>
      </c>
      <c r="F22093" s="2" t="s">
        <v>11</v>
      </c>
      <c r="G22093" s="2" t="s">
        <v>702</v>
      </c>
      <c r="H22093" s="2" t="s">
        <v>704</v>
      </c>
    </row>
    <row r="22094" spans="1:8" ht="25.05" customHeight="1" x14ac:dyDescent="0.25">
      <c r="A22094" s="2" t="s">
        <v>8</v>
      </c>
      <c r="B22094" s="2" t="str">
        <f>HYPERLINK("http://ts.21cn.com/tousu/show/id/1354090","投诉宁波有缘信息技术有限公司侵犯消费者权益、霸王条款、涉嫌传销洗脑")</f>
        <v>投诉宁波有缘信息技术有限公司侵犯消费者权益、霸王条款、涉嫌传销洗脑</v>
      </c>
      <c r="C22094" s="2" t="s">
        <v>9</v>
      </c>
      <c r="D22094" s="2" t="s">
        <v>10</v>
      </c>
      <c r="E22094" s="2" t="str">
        <f>HYPERLINK("http://ts.21cn.com/tousu/show/id/1354090","http://ts.21cn.com/tousu/show/id/1354090")</f>
        <v>http://ts.21cn.com/tousu/show/id/1354090</v>
      </c>
      <c r="F22094" s="2" t="s">
        <v>11</v>
      </c>
      <c r="G22094" s="2" t="s">
        <v>700</v>
      </c>
      <c r="H22094" s="2" t="s">
        <v>701</v>
      </c>
    </row>
    <row r="22095" spans="1:8" ht="25.05" customHeight="1" x14ac:dyDescent="0.25">
      <c r="A22095" s="2" t="s">
        <v>8</v>
      </c>
      <c r="B22095" s="2" t="str">
        <f>HYPERLINK("http://ts.21cn.com/tousu/show/id/1354253","淘宝账号被人恶意打假")</f>
        <v>淘宝账号被人恶意打假</v>
      </c>
      <c r="C22095" s="2" t="s">
        <v>9</v>
      </c>
      <c r="D22095" s="2" t="s">
        <v>10</v>
      </c>
      <c r="E22095" s="2" t="str">
        <f>HYPERLINK("http://ts.21cn.com/tousu/show/id/1354253","http://ts.21cn.com/tousu/show/id/1354253")</f>
        <v>http://ts.21cn.com/tousu/show/id/1354253</v>
      </c>
      <c r="F22095" s="2" t="s">
        <v>11</v>
      </c>
      <c r="G22095" s="2" t="s">
        <v>698</v>
      </c>
      <c r="H22095" s="2" t="s">
        <v>699</v>
      </c>
    </row>
    <row r="22096" spans="1:8" ht="25.05" customHeight="1" x14ac:dyDescent="0.25">
      <c r="A22096" s="2" t="s">
        <v>8</v>
      </c>
      <c r="B22096" s="2" t="str">
        <f>HYPERLINK("http://ts.21cn.com/tousu/show/id/1354254","招联杀熟")</f>
        <v>招联杀熟</v>
      </c>
      <c r="C22096" s="2" t="s">
        <v>34</v>
      </c>
      <c r="D22096" s="2" t="s">
        <v>10</v>
      </c>
      <c r="E22096" s="2" t="str">
        <f>HYPERLINK("http://ts.21cn.com/tousu/show/id/1354254","http://ts.21cn.com/tousu/show/id/1354254")</f>
        <v>http://ts.21cn.com/tousu/show/id/1354254</v>
      </c>
      <c r="F22096" s="2" t="s">
        <v>11</v>
      </c>
      <c r="G22096" s="2" t="s">
        <v>696</v>
      </c>
      <c r="H22096" s="2" t="s">
        <v>697</v>
      </c>
    </row>
    <row r="22097" spans="1:8" ht="25.05" customHeight="1" x14ac:dyDescent="0.25">
      <c r="A22097" s="2" t="s">
        <v>8</v>
      </c>
      <c r="B22097" s="2" t="str">
        <f>HYPERLINK("http://ts.21cn.com/tousu/show/id/1354255","即有分期高利息威胁联系家人")</f>
        <v>即有分期高利息威胁联系家人</v>
      </c>
      <c r="C22097" s="2" t="s">
        <v>9</v>
      </c>
      <c r="D22097" s="2" t="s">
        <v>10</v>
      </c>
      <c r="E22097" s="2" t="str">
        <f>HYPERLINK("http://ts.21cn.com/tousu/show/id/1354255","http://ts.21cn.com/tousu/show/id/1354255")</f>
        <v>http://ts.21cn.com/tousu/show/id/1354255</v>
      </c>
      <c r="F22097" s="2" t="s">
        <v>11</v>
      </c>
      <c r="G22097" s="2" t="s">
        <v>694</v>
      </c>
      <c r="H22097" s="2" t="s">
        <v>695</v>
      </c>
    </row>
    <row r="22098" spans="1:8" ht="25.05" customHeight="1" x14ac:dyDescent="0.25">
      <c r="A22098" s="2" t="s">
        <v>8</v>
      </c>
      <c r="B22098" s="2" t="str">
        <f>HYPERLINK("http://ts.21cn.com/tousu/show/id/1354256","维信卡卡贷涉嫌高利率和砍头息")</f>
        <v>维信卡卡贷涉嫌高利率和砍头息</v>
      </c>
      <c r="C22098" s="2" t="s">
        <v>9</v>
      </c>
      <c r="D22098" s="2" t="s">
        <v>10</v>
      </c>
      <c r="E22098" s="2" t="str">
        <f>HYPERLINK("http://ts.21cn.com/tousu/show/id/1354256","http://ts.21cn.com/tousu/show/id/1354256")</f>
        <v>http://ts.21cn.com/tousu/show/id/1354256</v>
      </c>
      <c r="F22098" s="2" t="s">
        <v>11</v>
      </c>
      <c r="G22098" s="2" t="s">
        <v>692</v>
      </c>
      <c r="H22098" s="2" t="s">
        <v>693</v>
      </c>
    </row>
    <row r="22099" spans="1:8" ht="25.05" customHeight="1" x14ac:dyDescent="0.25">
      <c r="A22099" s="2" t="s">
        <v>8</v>
      </c>
      <c r="B22099" s="2" t="str">
        <f>HYPERLINK("http://ts.21cn.com/tousu/show/id/1354257","小赢轰炸式骚扰通讯录亲戚朋友")</f>
        <v>小赢轰炸式骚扰通讯录亲戚朋友</v>
      </c>
      <c r="C22099" s="2" t="s">
        <v>9</v>
      </c>
      <c r="D22099" s="2" t="s">
        <v>10</v>
      </c>
      <c r="E22099" s="2" t="str">
        <f>HYPERLINK("http://ts.21cn.com/tousu/show/id/1354257","http://ts.21cn.com/tousu/show/id/1354257")</f>
        <v>http://ts.21cn.com/tousu/show/id/1354257</v>
      </c>
      <c r="F22099" s="2" t="s">
        <v>11</v>
      </c>
      <c r="G22099" s="2" t="s">
        <v>690</v>
      </c>
      <c r="H22099" s="2" t="s">
        <v>691</v>
      </c>
    </row>
    <row r="22100" spans="1:8" ht="25.05" customHeight="1" x14ac:dyDescent="0.25">
      <c r="A22100" s="2" t="s">
        <v>8</v>
      </c>
      <c r="B22100" s="2" t="str">
        <f>HYPERLINK("http://ts.21cn.com/tousu/show/id/1354258","捷信金融雇佣第三方当地社会人员进行威逼")</f>
        <v>捷信金融雇佣第三方当地社会人员进行威逼</v>
      </c>
      <c r="C22100" s="2" t="s">
        <v>9</v>
      </c>
      <c r="D22100" s="2" t="s">
        <v>10</v>
      </c>
      <c r="E22100" s="2" t="str">
        <f>HYPERLINK("http://ts.21cn.com/tousu/show/id/1354258","http://ts.21cn.com/tousu/show/id/1354258")</f>
        <v>http://ts.21cn.com/tousu/show/id/1354258</v>
      </c>
      <c r="F22100" s="2" t="s">
        <v>11</v>
      </c>
      <c r="G22100" s="2" t="s">
        <v>688</v>
      </c>
      <c r="H22100" s="2" t="s">
        <v>689</v>
      </c>
    </row>
    <row r="22101" spans="1:8" ht="25.05" customHeight="1" x14ac:dyDescent="0.25">
      <c r="A22101" s="2" t="s">
        <v>8</v>
      </c>
      <c r="B22101" s="2" t="str">
        <f>HYPERLINK("http://ts.21cn.com/tousu/show/id/1354260","捷信金融违法电话骚扰")</f>
        <v>捷信金融违法电话骚扰</v>
      </c>
      <c r="C22101" s="2" t="s">
        <v>9</v>
      </c>
      <c r="D22101" s="2" t="s">
        <v>10</v>
      </c>
      <c r="E22101" s="2" t="str">
        <f>HYPERLINK("http://ts.21cn.com/tousu/show/id/1354260","http://ts.21cn.com/tousu/show/id/1354260")</f>
        <v>http://ts.21cn.com/tousu/show/id/1354260</v>
      </c>
      <c r="F22101" s="2" t="s">
        <v>11</v>
      </c>
      <c r="G22101" s="2" t="s">
        <v>686</v>
      </c>
      <c r="H22101" s="2" t="s">
        <v>687</v>
      </c>
    </row>
    <row r="22102" spans="1:8" ht="25.05" customHeight="1" x14ac:dyDescent="0.25">
      <c r="A22102" s="2" t="s">
        <v>8</v>
      </c>
      <c r="B22102" s="2" t="str">
        <f>HYPERLINK("http://ts.21cn.com/tousu/show/id/1354261","百万钱包暴力催收，高利贷，")</f>
        <v>百万钱包暴力催收，高利贷，</v>
      </c>
      <c r="C22102" s="2" t="s">
        <v>9</v>
      </c>
      <c r="D22102" s="2" t="s">
        <v>10</v>
      </c>
      <c r="E22102" s="2" t="str">
        <f>HYPERLINK("http://ts.21cn.com/tousu/show/id/1354261","http://ts.21cn.com/tousu/show/id/1354261")</f>
        <v>http://ts.21cn.com/tousu/show/id/1354261</v>
      </c>
      <c r="F22102" s="2" t="s">
        <v>11</v>
      </c>
      <c r="G22102" s="2" t="s">
        <v>684</v>
      </c>
      <c r="H22102" s="2" t="s">
        <v>685</v>
      </c>
    </row>
    <row r="22103" spans="1:8" ht="25.05" customHeight="1" x14ac:dyDescent="0.25">
      <c r="A22103" s="2" t="s">
        <v>8</v>
      </c>
      <c r="B22103" s="2" t="str">
        <f>HYPERLINK("http://ts.21cn.com/tousu/show/id/1354262","对家人朋友进行骚扰")</f>
        <v>对家人朋友进行骚扰</v>
      </c>
      <c r="C22103" s="2" t="s">
        <v>9</v>
      </c>
      <c r="D22103" s="2" t="s">
        <v>10</v>
      </c>
      <c r="E22103" s="2" t="str">
        <f>HYPERLINK("http://ts.21cn.com/tousu/show/id/1354262","http://ts.21cn.com/tousu/show/id/1354262")</f>
        <v>http://ts.21cn.com/tousu/show/id/1354262</v>
      </c>
      <c r="F22103" s="2" t="s">
        <v>11</v>
      </c>
      <c r="G22103" s="2" t="s">
        <v>682</v>
      </c>
      <c r="H22103" s="2" t="s">
        <v>683</v>
      </c>
    </row>
    <row r="22104" spans="1:8" ht="25.05" customHeight="1" x14ac:dyDescent="0.25">
      <c r="A22104" s="2" t="s">
        <v>8</v>
      </c>
      <c r="B22104" s="2" t="str">
        <f>HYPERLINK("http://ts.21cn.com/tousu/show/id/1354263","北京恒昌高利贷暴力催收")</f>
        <v>北京恒昌高利贷暴力催收</v>
      </c>
      <c r="C22104" s="2" t="s">
        <v>9</v>
      </c>
      <c r="D22104" s="2" t="s">
        <v>10</v>
      </c>
      <c r="E22104" s="2" t="str">
        <f>HYPERLINK("http://ts.21cn.com/tousu/show/id/1354263","http://ts.21cn.com/tousu/show/id/1354263")</f>
        <v>http://ts.21cn.com/tousu/show/id/1354263</v>
      </c>
      <c r="F22104" s="2" t="s">
        <v>11</v>
      </c>
      <c r="G22104" s="2" t="s">
        <v>680</v>
      </c>
      <c r="H22104" s="2" t="s">
        <v>681</v>
      </c>
    </row>
    <row r="22105" spans="1:8" ht="25.05" customHeight="1" x14ac:dyDescent="0.25">
      <c r="A22105" s="2" t="s">
        <v>8</v>
      </c>
      <c r="B22105" s="2" t="str">
        <f>HYPERLINK("http://ts.21cn.com/tousu/show/id/1354264","微信商户无故冻结")</f>
        <v>微信商户无故冻结</v>
      </c>
      <c r="C22105" s="2" t="s">
        <v>34</v>
      </c>
      <c r="D22105" s="2" t="s">
        <v>10</v>
      </c>
      <c r="E22105" s="2" t="str">
        <f>HYPERLINK("http://ts.21cn.com/tousu/show/id/1354264","http://ts.21cn.com/tousu/show/id/1354264")</f>
        <v>http://ts.21cn.com/tousu/show/id/1354264</v>
      </c>
      <c r="F22105" s="2" t="s">
        <v>11</v>
      </c>
      <c r="G22105" s="2" t="s">
        <v>678</v>
      </c>
      <c r="H22105" s="2" t="s">
        <v>679</v>
      </c>
    </row>
    <row r="22106" spans="1:8" ht="25.05" customHeight="1" x14ac:dyDescent="0.25">
      <c r="A22106" s="2" t="s">
        <v>8</v>
      </c>
      <c r="B22106" s="2" t="str">
        <f>HYPERLINK("http://ts.21cn.com/tousu/show/id/1354266","月光侠分期")</f>
        <v>月光侠分期</v>
      </c>
      <c r="C22106" s="2" t="s">
        <v>9</v>
      </c>
      <c r="D22106" s="2" t="s">
        <v>10</v>
      </c>
      <c r="E22106" s="2" t="str">
        <f>HYPERLINK("http://ts.21cn.com/tousu/show/id/1354266","http://ts.21cn.com/tousu/show/id/1354266")</f>
        <v>http://ts.21cn.com/tousu/show/id/1354266</v>
      </c>
      <c r="F22106" s="2" t="s">
        <v>11</v>
      </c>
      <c r="G22106" s="2" t="s">
        <v>676</v>
      </c>
      <c r="H22106" s="2" t="s">
        <v>677</v>
      </c>
    </row>
    <row r="22107" spans="1:8" ht="25.05" customHeight="1" x14ac:dyDescent="0.25">
      <c r="A22107" s="2" t="s">
        <v>8</v>
      </c>
      <c r="B22107" s="2" t="str">
        <f>HYPERLINK("http://ts.21cn.com/tousu/show/id/1354267","暴力催收电话骚扰")</f>
        <v>暴力催收电话骚扰</v>
      </c>
      <c r="C22107" s="2" t="s">
        <v>9</v>
      </c>
      <c r="D22107" s="2" t="s">
        <v>10</v>
      </c>
      <c r="E22107" s="2" t="str">
        <f>HYPERLINK("http://ts.21cn.com/tousu/show/id/1354267","http://ts.21cn.com/tousu/show/id/1354267")</f>
        <v>http://ts.21cn.com/tousu/show/id/1354267</v>
      </c>
      <c r="F22107" s="2" t="s">
        <v>11</v>
      </c>
      <c r="G22107" s="2" t="s">
        <v>674</v>
      </c>
      <c r="H22107" s="2" t="s">
        <v>675</v>
      </c>
    </row>
    <row r="22108" spans="1:8" ht="25.05" customHeight="1" x14ac:dyDescent="0.25">
      <c r="A22108" s="2" t="s">
        <v>8</v>
      </c>
      <c r="B22108" s="2" t="str">
        <f>HYPERLINK("http://ts.21cn.com/tousu/show/id/1354268","【拉卡拉支付】为高利贷【钱嗖嗖】提供支付业务")</f>
        <v>【拉卡拉支付】为高利贷【钱嗖嗖】提供支付业务</v>
      </c>
      <c r="C22108" s="2" t="s">
        <v>34</v>
      </c>
      <c r="D22108" s="2" t="s">
        <v>10</v>
      </c>
      <c r="E22108" s="2" t="str">
        <f>HYPERLINK("http://ts.21cn.com/tousu/show/id/1354268","http://ts.21cn.com/tousu/show/id/1354268")</f>
        <v>http://ts.21cn.com/tousu/show/id/1354268</v>
      </c>
      <c r="F22108" s="2" t="s">
        <v>11</v>
      </c>
      <c r="G22108" s="2" t="s">
        <v>672</v>
      </c>
      <c r="H22108" s="2" t="s">
        <v>673</v>
      </c>
    </row>
    <row r="22109" spans="1:8" ht="25.05" customHeight="1" x14ac:dyDescent="0.25">
      <c r="A22109" s="2" t="s">
        <v>8</v>
      </c>
      <c r="B22109" s="2" t="str">
        <f>HYPERLINK("http://ts.21cn.com/tousu/show/id/1354239","来分期高利贷，电话骚扰，黑心企业")</f>
        <v>来分期高利贷，电话骚扰，黑心企业</v>
      </c>
      <c r="C22109" s="2" t="s">
        <v>9</v>
      </c>
      <c r="D22109" s="2" t="s">
        <v>10</v>
      </c>
      <c r="E22109" s="2" t="str">
        <f>HYPERLINK("http://ts.21cn.com/tousu/show/id/1354239","http://ts.21cn.com/tousu/show/id/1354239")</f>
        <v>http://ts.21cn.com/tousu/show/id/1354239</v>
      </c>
      <c r="F22109" s="2" t="s">
        <v>11</v>
      </c>
      <c r="G22109" s="2" t="s">
        <v>670</v>
      </c>
      <c r="H22109" s="2" t="s">
        <v>671</v>
      </c>
    </row>
    <row r="22110" spans="1:8" ht="25.05" customHeight="1" x14ac:dyDescent="0.25">
      <c r="A22110" s="2" t="s">
        <v>8</v>
      </c>
      <c r="B22110" s="2" t="str">
        <f>HYPERLINK("http://ts.21cn.com/tousu/show/id/1354270","及贷平台放款时直接扣除所谓的保费，存在欺诈行为")</f>
        <v>及贷平台放款时直接扣除所谓的保费，存在欺诈行为</v>
      </c>
      <c r="C22110" s="2" t="s">
        <v>9</v>
      </c>
      <c r="D22110" s="2" t="s">
        <v>10</v>
      </c>
      <c r="E22110" s="2" t="str">
        <f>HYPERLINK("http://ts.21cn.com/tousu/show/id/1354270","http://ts.21cn.com/tousu/show/id/1354270")</f>
        <v>http://ts.21cn.com/tousu/show/id/1354270</v>
      </c>
      <c r="F22110" s="2" t="s">
        <v>11</v>
      </c>
      <c r="G22110" s="2" t="s">
        <v>668</v>
      </c>
      <c r="H22110" s="2" t="s">
        <v>669</v>
      </c>
    </row>
    <row r="22111" spans="1:8" ht="25.05" customHeight="1" x14ac:dyDescent="0.25">
      <c r="A22111" s="2" t="s">
        <v>8</v>
      </c>
      <c r="B22111" s="2" t="str">
        <f>HYPERLINK("http://ts.21cn.com/tousu/show/id/1354272","芒果筹高利贷砍头恶意导致逾期")</f>
        <v>芒果筹高利贷砍头恶意导致逾期</v>
      </c>
      <c r="C22111" s="2" t="s">
        <v>9</v>
      </c>
      <c r="D22111" s="2" t="s">
        <v>10</v>
      </c>
      <c r="E22111" s="2" t="str">
        <f>HYPERLINK("http://ts.21cn.com/tousu/show/id/1354272","http://ts.21cn.com/tousu/show/id/1354272")</f>
        <v>http://ts.21cn.com/tousu/show/id/1354272</v>
      </c>
      <c r="F22111" s="2" t="s">
        <v>11</v>
      </c>
      <c r="G22111" s="2" t="s">
        <v>666</v>
      </c>
      <c r="H22111" s="2" t="s">
        <v>667</v>
      </c>
    </row>
    <row r="22112" spans="1:8" ht="25.05" customHeight="1" x14ac:dyDescent="0.25">
      <c r="A22112" s="2" t="s">
        <v>8</v>
      </c>
      <c r="B22112" s="2" t="str">
        <f>HYPERLINK("http://ts.21cn.com/tousu/show/id/1354271","贷上钱以买游戏豆为由收取高额贷款通过费")</f>
        <v>贷上钱以买游戏豆为由收取高额贷款通过费</v>
      </c>
      <c r="C22112" s="2" t="s">
        <v>9</v>
      </c>
      <c r="D22112" s="2" t="s">
        <v>10</v>
      </c>
      <c r="E22112" s="2" t="str">
        <f>HYPERLINK("http://ts.21cn.com/tousu/show/id/1354271","http://ts.21cn.com/tousu/show/id/1354271")</f>
        <v>http://ts.21cn.com/tousu/show/id/1354271</v>
      </c>
      <c r="F22112" s="2" t="s">
        <v>11</v>
      </c>
      <c r="G22112" s="2" t="s">
        <v>664</v>
      </c>
      <c r="H22112" s="2" t="s">
        <v>665</v>
      </c>
    </row>
    <row r="22113" spans="1:8" ht="25.05" customHeight="1" x14ac:dyDescent="0.25">
      <c r="A22113" s="2" t="s">
        <v>8</v>
      </c>
      <c r="B22113" s="2" t="str">
        <f>HYPERLINK("http://ts.21cn.com/tousu/show/id/1354273","小赢卡贷高额利息及相兴费用")</f>
        <v>小赢卡贷高额利息及相兴费用</v>
      </c>
      <c r="C22113" s="2" t="s">
        <v>9</v>
      </c>
      <c r="D22113" s="2" t="s">
        <v>10</v>
      </c>
      <c r="E22113" s="2" t="str">
        <f>HYPERLINK("http://ts.21cn.com/tousu/show/id/1354273","http://ts.21cn.com/tousu/show/id/1354273")</f>
        <v>http://ts.21cn.com/tousu/show/id/1354273</v>
      </c>
      <c r="F22113" s="2" t="s">
        <v>11</v>
      </c>
      <c r="G22113" s="2" t="s">
        <v>662</v>
      </c>
      <c r="H22113" s="2" t="s">
        <v>663</v>
      </c>
    </row>
    <row r="22114" spans="1:8" ht="25.05" customHeight="1" x14ac:dyDescent="0.25">
      <c r="A22114" s="2" t="s">
        <v>8</v>
      </c>
      <c r="B22114" s="2" t="str">
        <f>HYPERLINK("http://ts.21cn.com/tousu/show/id/1354274","马上金融阴阳合同")</f>
        <v>马上金融阴阳合同</v>
      </c>
      <c r="C22114" s="2" t="s">
        <v>9</v>
      </c>
      <c r="D22114" s="2" t="s">
        <v>10</v>
      </c>
      <c r="E22114" s="2" t="str">
        <f>HYPERLINK("http://ts.21cn.com/tousu/show/id/1354274","http://ts.21cn.com/tousu/show/id/1354274")</f>
        <v>http://ts.21cn.com/tousu/show/id/1354274</v>
      </c>
      <c r="F22114" s="2" t="s">
        <v>11</v>
      </c>
      <c r="G22114" s="2" t="s">
        <v>660</v>
      </c>
      <c r="H22114" s="2" t="s">
        <v>661</v>
      </c>
    </row>
    <row r="22115" spans="1:8" ht="25.05" customHeight="1" x14ac:dyDescent="0.25">
      <c r="A22115" s="2" t="s">
        <v>8</v>
      </c>
      <c r="B22115" s="2" t="str">
        <f>HYPERLINK("http://ts.21cn.com/tousu/show/id/1354275","无缘无故扣我248元")</f>
        <v>无缘无故扣我248元</v>
      </c>
      <c r="C22115" s="2" t="s">
        <v>9</v>
      </c>
      <c r="D22115" s="2" t="s">
        <v>10</v>
      </c>
      <c r="E22115" s="2" t="str">
        <f>HYPERLINK("http://ts.21cn.com/tousu/show/id/1354275","http://ts.21cn.com/tousu/show/id/1354275")</f>
        <v>http://ts.21cn.com/tousu/show/id/1354275</v>
      </c>
      <c r="F22115" s="2" t="s">
        <v>11</v>
      </c>
      <c r="G22115" s="2" t="s">
        <v>658</v>
      </c>
      <c r="H22115" s="2" t="s">
        <v>659</v>
      </c>
    </row>
    <row r="22116" spans="1:8" ht="25.05" customHeight="1" x14ac:dyDescent="0.25">
      <c r="A22116" s="2" t="s">
        <v>8</v>
      </c>
      <c r="B22116" s="2" t="str">
        <f>HYPERLINK("http://ts.21cn.com/tousu/show/id/1354276","上海瀚银信息科技有限公司")</f>
        <v>上海瀚银信息科技有限公司</v>
      </c>
      <c r="C22116" s="2" t="s">
        <v>9</v>
      </c>
      <c r="D22116" s="2" t="s">
        <v>10</v>
      </c>
      <c r="E22116" s="2" t="str">
        <f>HYPERLINK("http://ts.21cn.com/tousu/show/id/1354276","http://ts.21cn.com/tousu/show/id/1354276")</f>
        <v>http://ts.21cn.com/tousu/show/id/1354276</v>
      </c>
      <c r="F22116" s="2" t="s">
        <v>11</v>
      </c>
      <c r="G22116" s="2" t="s">
        <v>656</v>
      </c>
      <c r="H22116" s="2" t="s">
        <v>657</v>
      </c>
    </row>
    <row r="22117" spans="1:8" ht="25.05" customHeight="1" x14ac:dyDescent="0.25">
      <c r="A22117" s="2" t="s">
        <v>8</v>
      </c>
      <c r="B22117" s="2" t="str">
        <f>HYPERLINK("http://ts.21cn.com/tousu/show/id/1354277","平安普惠调解室履行减免个人剩余债务50%的承诺")</f>
        <v>平安普惠调解室履行减免个人剩余债务50%的承诺</v>
      </c>
      <c r="C22117" s="2" t="s">
        <v>34</v>
      </c>
      <c r="D22117" s="2" t="s">
        <v>10</v>
      </c>
      <c r="E22117" s="2" t="str">
        <f>HYPERLINK("http://ts.21cn.com/tousu/show/id/1354277","http://ts.21cn.com/tousu/show/id/1354277")</f>
        <v>http://ts.21cn.com/tousu/show/id/1354277</v>
      </c>
      <c r="F22117" s="2" t="s">
        <v>11</v>
      </c>
      <c r="G22117" s="2" t="s">
        <v>654</v>
      </c>
      <c r="H22117" s="2" t="s">
        <v>655</v>
      </c>
    </row>
    <row r="22118" spans="1:8" ht="25.05" customHeight="1" x14ac:dyDescent="0.25">
      <c r="A22118" s="2" t="s">
        <v>8</v>
      </c>
      <c r="B22118" s="2" t="str">
        <f>HYPERLINK("http://ts.21cn.com/tousu/show/id/1354278","高利贷分期")</f>
        <v>高利贷分期</v>
      </c>
      <c r="C22118" s="2" t="s">
        <v>9</v>
      </c>
      <c r="D22118" s="2" t="s">
        <v>10</v>
      </c>
      <c r="E22118" s="2" t="str">
        <f>HYPERLINK("http://ts.21cn.com/tousu/show/id/1354278","http://ts.21cn.com/tousu/show/id/1354278")</f>
        <v>http://ts.21cn.com/tousu/show/id/1354278</v>
      </c>
      <c r="F22118" s="2" t="s">
        <v>11</v>
      </c>
      <c r="G22118" s="2" t="s">
        <v>652</v>
      </c>
      <c r="H22118" s="2" t="s">
        <v>653</v>
      </c>
    </row>
    <row r="22119" spans="1:8" ht="25.05" customHeight="1" x14ac:dyDescent="0.25">
      <c r="A22119" s="2" t="s">
        <v>8</v>
      </c>
      <c r="B22119" s="2" t="str">
        <f>HYPERLINK("http://ts.21cn.com/tousu/show/id/1354281","六便士高额砍头息")</f>
        <v>六便士高额砍头息</v>
      </c>
      <c r="C22119" s="2" t="s">
        <v>34</v>
      </c>
      <c r="D22119" s="2" t="s">
        <v>10</v>
      </c>
      <c r="E22119" s="2" t="str">
        <f>HYPERLINK("http://ts.21cn.com/tousu/show/id/1354281","http://ts.21cn.com/tousu/show/id/1354281")</f>
        <v>http://ts.21cn.com/tousu/show/id/1354281</v>
      </c>
      <c r="F22119" s="2" t="s">
        <v>11</v>
      </c>
      <c r="G22119" s="2" t="s">
        <v>650</v>
      </c>
      <c r="H22119" s="2" t="s">
        <v>651</v>
      </c>
    </row>
    <row r="22120" spans="1:8" ht="25.05" customHeight="1" x14ac:dyDescent="0.25">
      <c r="A22120" s="2" t="s">
        <v>8</v>
      </c>
      <c r="B22120" s="2" t="str">
        <f>HYPERLINK("http://ts.21cn.com/tousu/show/id/1354279","捷信乱收金融服务费")</f>
        <v>捷信乱收金融服务费</v>
      </c>
      <c r="C22120" s="2" t="s">
        <v>9</v>
      </c>
      <c r="D22120" s="2" t="s">
        <v>10</v>
      </c>
      <c r="E22120" s="2" t="str">
        <f>HYPERLINK("http://ts.21cn.com/tousu/show/id/1354279","http://ts.21cn.com/tousu/show/id/1354279")</f>
        <v>http://ts.21cn.com/tousu/show/id/1354279</v>
      </c>
      <c r="F22120" s="2" t="s">
        <v>11</v>
      </c>
      <c r="G22120" s="2" t="s">
        <v>648</v>
      </c>
      <c r="H22120" s="2" t="s">
        <v>649</v>
      </c>
    </row>
    <row r="22121" spans="1:8" ht="25.05" customHeight="1" x14ac:dyDescent="0.25">
      <c r="A22121" s="2" t="s">
        <v>8</v>
      </c>
      <c r="B22121" s="2" t="str">
        <f>HYPERLINK("http://ts.21cn.com/tousu/show/id/1354282","悦如公寓押金提现一月无果，客服管家通通失联")</f>
        <v>悦如公寓押金提现一月无果，客服管家通通失联</v>
      </c>
      <c r="C22121" s="2" t="s">
        <v>9</v>
      </c>
      <c r="D22121" s="2" t="s">
        <v>10</v>
      </c>
      <c r="E22121" s="2" t="str">
        <f>HYPERLINK("http://ts.21cn.com/tousu/show/id/1354282","http://ts.21cn.com/tousu/show/id/1354282")</f>
        <v>http://ts.21cn.com/tousu/show/id/1354282</v>
      </c>
      <c r="F22121" s="2" t="s">
        <v>11</v>
      </c>
      <c r="G22121" s="2" t="s">
        <v>646</v>
      </c>
      <c r="H22121" s="2" t="s">
        <v>647</v>
      </c>
    </row>
    <row r="22122" spans="1:8" ht="25.05" customHeight="1" x14ac:dyDescent="0.25">
      <c r="A22122" s="2" t="s">
        <v>8</v>
      </c>
      <c r="B22122" s="2" t="str">
        <f>HYPERLINK("http://ts.21cn.com/tousu/show/id/1354280","造艺科技平台虚假内容，欺诈消费者")</f>
        <v>造艺科技平台虚假内容，欺诈消费者</v>
      </c>
      <c r="C22122" s="2" t="s">
        <v>9</v>
      </c>
      <c r="D22122" s="2" t="s">
        <v>10</v>
      </c>
      <c r="E22122" s="2" t="str">
        <f>HYPERLINK("http://ts.21cn.com/tousu/show/id/1354280","http://ts.21cn.com/tousu/show/id/1354280")</f>
        <v>http://ts.21cn.com/tousu/show/id/1354280</v>
      </c>
      <c r="F22122" s="2" t="s">
        <v>11</v>
      </c>
      <c r="G22122" s="2" t="s">
        <v>644</v>
      </c>
      <c r="H22122" s="2" t="s">
        <v>645</v>
      </c>
    </row>
    <row r="22123" spans="1:8" ht="25.05" customHeight="1" x14ac:dyDescent="0.25">
      <c r="A22123" s="2" t="s">
        <v>8</v>
      </c>
      <c r="B22123" s="2" t="str">
        <f>HYPERLINK("http://ts.21cn.com/tousu/show/id/1354283","要求学慧网退还报名费")</f>
        <v>要求学慧网退还报名费</v>
      </c>
      <c r="C22123" s="2" t="s">
        <v>34</v>
      </c>
      <c r="D22123" s="2" t="s">
        <v>10</v>
      </c>
      <c r="E22123" s="2" t="str">
        <f>HYPERLINK("http://ts.21cn.com/tousu/show/id/1354283","http://ts.21cn.com/tousu/show/id/1354283")</f>
        <v>http://ts.21cn.com/tousu/show/id/1354283</v>
      </c>
      <c r="F22123" s="2" t="s">
        <v>11</v>
      </c>
      <c r="G22123" s="2" t="s">
        <v>642</v>
      </c>
      <c r="H22123" s="2" t="s">
        <v>643</v>
      </c>
    </row>
    <row r="22124" spans="1:8" ht="25.05" customHeight="1" x14ac:dyDescent="0.25">
      <c r="A22124" s="2" t="s">
        <v>8</v>
      </c>
      <c r="B22124" s="2" t="str">
        <f>HYPERLINK("http://ts.21cn.com/tousu/show/id/1354284","好易借违规收取高额管理费和担保费")</f>
        <v>好易借违规收取高额管理费和担保费</v>
      </c>
      <c r="C22124" s="2" t="s">
        <v>9</v>
      </c>
      <c r="D22124" s="2" t="s">
        <v>10</v>
      </c>
      <c r="E22124" s="2" t="str">
        <f>HYPERLINK("http://ts.21cn.com/tousu/show/id/1354284","http://ts.21cn.com/tousu/show/id/1354284")</f>
        <v>http://ts.21cn.com/tousu/show/id/1354284</v>
      </c>
      <c r="F22124" s="2" t="s">
        <v>11</v>
      </c>
      <c r="G22124" s="2" t="s">
        <v>640</v>
      </c>
      <c r="H22124" s="2" t="s">
        <v>641</v>
      </c>
    </row>
    <row r="22125" spans="1:8" ht="25.05" customHeight="1" x14ac:dyDescent="0.25">
      <c r="A22125" s="2" t="s">
        <v>8</v>
      </c>
      <c r="B22125" s="2" t="str">
        <f>HYPERLINK("http://ts.21cn.com/tousu/show/id/1354285","投诉聚福分期")</f>
        <v>投诉聚福分期</v>
      </c>
      <c r="C22125" s="2" t="s">
        <v>9</v>
      </c>
      <c r="D22125" s="2" t="s">
        <v>10</v>
      </c>
      <c r="E22125" s="2" t="str">
        <f>HYPERLINK("http://ts.21cn.com/tousu/show/id/1354285","http://ts.21cn.com/tousu/show/id/1354285")</f>
        <v>http://ts.21cn.com/tousu/show/id/1354285</v>
      </c>
      <c r="F22125" s="2" t="s">
        <v>11</v>
      </c>
      <c r="G22125" s="2" t="s">
        <v>638</v>
      </c>
      <c r="H22125" s="2" t="s">
        <v>639</v>
      </c>
    </row>
    <row r="22126" spans="1:8" ht="25.05" customHeight="1" x14ac:dyDescent="0.25">
      <c r="A22126" s="2" t="s">
        <v>8</v>
      </c>
      <c r="B22126" s="2" t="str">
        <f>HYPERLINK("http://ts.21cn.com/tousu/show/id/1354287","淘宝4000多买了一台笔记本前几天坏了拿去戴尔维修店去维修，维修店的人说我的笔记本是翻新机内存条被换了不给保修")</f>
        <v>淘宝4000多买了一台笔记本前几天坏了拿去戴尔维修店去维修，维修店的人说我的笔记本是翻新机内存条被换了不给保修</v>
      </c>
      <c r="C22126" s="2" t="s">
        <v>34</v>
      </c>
      <c r="D22126" s="2" t="s">
        <v>10</v>
      </c>
      <c r="E22126" s="2" t="str">
        <f>HYPERLINK("http://ts.21cn.com/tousu/show/id/1354287","http://ts.21cn.com/tousu/show/id/1354287")</f>
        <v>http://ts.21cn.com/tousu/show/id/1354287</v>
      </c>
      <c r="F22126" s="2" t="s">
        <v>11</v>
      </c>
      <c r="G22126" s="2" t="s">
        <v>636</v>
      </c>
      <c r="H22126" s="2" t="s">
        <v>637</v>
      </c>
    </row>
    <row r="22127" spans="1:8" ht="25.05" customHeight="1" x14ac:dyDescent="0.25">
      <c r="A22127" s="2" t="s">
        <v>8</v>
      </c>
      <c r="B22127" s="2" t="str">
        <f>HYPERLINK("http://ts.21cn.com/tousu/show/id/1354286","滴滴司机服务不友好")</f>
        <v>滴滴司机服务不友好</v>
      </c>
      <c r="C22127" s="2" t="s">
        <v>9</v>
      </c>
      <c r="D22127" s="2" t="s">
        <v>10</v>
      </c>
      <c r="E22127" s="2" t="str">
        <f>HYPERLINK("http://ts.21cn.com/tousu/show/id/1354286","http://ts.21cn.com/tousu/show/id/1354286")</f>
        <v>http://ts.21cn.com/tousu/show/id/1354286</v>
      </c>
      <c r="F22127" s="2" t="s">
        <v>11</v>
      </c>
      <c r="G22127" s="2" t="s">
        <v>634</v>
      </c>
      <c r="H22127" s="2" t="s">
        <v>635</v>
      </c>
    </row>
    <row r="22128" spans="1:8" ht="25.05" customHeight="1" x14ac:dyDescent="0.25">
      <c r="A22128" s="2" t="s">
        <v>8</v>
      </c>
      <c r="B22128" s="2" t="str">
        <f>HYPERLINK("http://ts.21cn.com/tousu/show/id/1354293","造艺科技违法盗刷")</f>
        <v>造艺科技违法盗刷</v>
      </c>
      <c r="C22128" s="2" t="s">
        <v>9</v>
      </c>
      <c r="D22128" s="2" t="s">
        <v>10</v>
      </c>
      <c r="E22128" s="2" t="str">
        <f>HYPERLINK("http://ts.21cn.com/tousu/show/id/1354293","http://ts.21cn.com/tousu/show/id/1354293")</f>
        <v>http://ts.21cn.com/tousu/show/id/1354293</v>
      </c>
      <c r="F22128" s="2" t="s">
        <v>11</v>
      </c>
      <c r="G22128" s="2" t="s">
        <v>632</v>
      </c>
      <c r="H22128" s="2" t="s">
        <v>633</v>
      </c>
    </row>
    <row r="22129" spans="1:8" ht="25.05" customHeight="1" x14ac:dyDescent="0.25">
      <c r="A22129" s="2" t="s">
        <v>8</v>
      </c>
      <c r="B22129" s="2" t="str">
        <f>HYPERLINK("http://ts.21cn.com/tousu/show/id/1354288","深圳普惠快信和深圳市国银盛达融资担保有限公司非法上征信")</f>
        <v>深圳普惠快信和深圳市国银盛达融资担保有限公司非法上征信</v>
      </c>
      <c r="C22129" s="2" t="s">
        <v>9</v>
      </c>
      <c r="D22129" s="2" t="s">
        <v>10</v>
      </c>
      <c r="E22129" s="2" t="str">
        <f>HYPERLINK("http://ts.21cn.com/tousu/show/id/1354288","http://ts.21cn.com/tousu/show/id/1354288")</f>
        <v>http://ts.21cn.com/tousu/show/id/1354288</v>
      </c>
      <c r="F22129" s="2" t="s">
        <v>11</v>
      </c>
      <c r="G22129" s="2" t="s">
        <v>630</v>
      </c>
      <c r="H22129" s="2" t="s">
        <v>631</v>
      </c>
    </row>
    <row r="22130" spans="1:8" ht="25.05" customHeight="1" x14ac:dyDescent="0.25">
      <c r="A22130" s="2" t="s">
        <v>8</v>
      </c>
      <c r="B22130" s="2" t="str">
        <f>HYPERLINK("http://ts.21cn.com/tousu/show/id/1354289","投诉北京一只船教育诱导学员报名培训，现要求退还适当费用")</f>
        <v>投诉北京一只船教育诱导学员报名培训，现要求退还适当费用</v>
      </c>
      <c r="C22130" s="2" t="s">
        <v>9</v>
      </c>
      <c r="D22130" s="2" t="s">
        <v>10</v>
      </c>
      <c r="E22130" s="2" t="str">
        <f>HYPERLINK("http://ts.21cn.com/tousu/show/id/1354289","http://ts.21cn.com/tousu/show/id/1354289")</f>
        <v>http://ts.21cn.com/tousu/show/id/1354289</v>
      </c>
      <c r="F22130" s="2" t="s">
        <v>11</v>
      </c>
      <c r="G22130" s="2" t="s">
        <v>628</v>
      </c>
      <c r="H22130" s="2" t="s">
        <v>629</v>
      </c>
    </row>
    <row r="22131" spans="1:8" ht="25.05" customHeight="1" x14ac:dyDescent="0.25">
      <c r="A22131" s="2" t="s">
        <v>8</v>
      </c>
      <c r="B22131" s="2" t="str">
        <f>HYPERLINK("http://ts.21cn.com/tousu/show/id/1354290","退回被扣信誉积分")</f>
        <v>退回被扣信誉积分</v>
      </c>
      <c r="C22131" s="2" t="s">
        <v>9</v>
      </c>
      <c r="D22131" s="2" t="s">
        <v>10</v>
      </c>
      <c r="E22131" s="2" t="str">
        <f>HYPERLINK("http://ts.21cn.com/tousu/show/id/1354290","http://ts.21cn.com/tousu/show/id/1354290")</f>
        <v>http://ts.21cn.com/tousu/show/id/1354290</v>
      </c>
      <c r="F22131" s="2" t="s">
        <v>11</v>
      </c>
      <c r="G22131" s="2" t="s">
        <v>626</v>
      </c>
      <c r="H22131" s="2" t="s">
        <v>627</v>
      </c>
    </row>
    <row r="22132" spans="1:8" ht="25.05" customHeight="1" x14ac:dyDescent="0.25">
      <c r="A22132" s="2" t="s">
        <v>8</v>
      </c>
      <c r="B22132" s="2" t="str">
        <f>HYPERLINK("http://ts.21cn.com/tousu/show/id/1354291","麦子借款请黑恶势力报复")</f>
        <v>麦子借款请黑恶势力报复</v>
      </c>
      <c r="C22132" s="2" t="s">
        <v>9</v>
      </c>
      <c r="D22132" s="2" t="s">
        <v>10</v>
      </c>
      <c r="E22132" s="2" t="str">
        <f>HYPERLINK("http://ts.21cn.com/tousu/show/id/1354291","http://ts.21cn.com/tousu/show/id/1354291")</f>
        <v>http://ts.21cn.com/tousu/show/id/1354291</v>
      </c>
      <c r="F22132" s="2" t="s">
        <v>11</v>
      </c>
      <c r="G22132" s="2" t="s">
        <v>624</v>
      </c>
      <c r="H22132" s="2" t="s">
        <v>625</v>
      </c>
    </row>
    <row r="22133" spans="1:8" ht="25.05" customHeight="1" x14ac:dyDescent="0.25">
      <c r="A22133" s="2" t="s">
        <v>8</v>
      </c>
      <c r="B22133" s="2" t="str">
        <f>HYPERLINK("http://ts.21cn.com/tousu/show/id/1354294","小赢卡贷")</f>
        <v>小赢卡贷</v>
      </c>
      <c r="C22133" s="2" t="s">
        <v>9</v>
      </c>
      <c r="D22133" s="2" t="s">
        <v>10</v>
      </c>
      <c r="E22133" s="2" t="str">
        <f>HYPERLINK("http://ts.21cn.com/tousu/show/id/1354294","http://ts.21cn.com/tousu/show/id/1354294")</f>
        <v>http://ts.21cn.com/tousu/show/id/1354294</v>
      </c>
      <c r="F22133" s="2" t="s">
        <v>11</v>
      </c>
      <c r="G22133" s="2" t="s">
        <v>621</v>
      </c>
      <c r="H22133" s="2" t="s">
        <v>622</v>
      </c>
    </row>
    <row r="22134" spans="1:8" ht="25.05" customHeight="1" x14ac:dyDescent="0.25">
      <c r="A22134" s="2" t="s">
        <v>8</v>
      </c>
      <c r="B22134" s="2" t="str">
        <f>HYPERLINK("http://ts.21cn.com/tousu/show/id/1354295","厚钱包骚扰电话")</f>
        <v>厚钱包骚扰电话</v>
      </c>
      <c r="C22134" s="2" t="s">
        <v>9</v>
      </c>
      <c r="D22134" s="2" t="s">
        <v>10</v>
      </c>
      <c r="E22134" s="2" t="str">
        <f>HYPERLINK("http://ts.21cn.com/tousu/show/id/1354295","http://ts.21cn.com/tousu/show/id/1354295")</f>
        <v>http://ts.21cn.com/tousu/show/id/1354295</v>
      </c>
      <c r="F22134" s="2" t="s">
        <v>11</v>
      </c>
      <c r="G22134" s="2" t="s">
        <v>621</v>
      </c>
      <c r="H22134" s="2" t="s">
        <v>623</v>
      </c>
    </row>
    <row r="22135" spans="1:8" ht="25.05" customHeight="1" x14ac:dyDescent="0.25">
      <c r="A22135" s="2" t="s">
        <v>8</v>
      </c>
      <c r="B22135" s="2" t="str">
        <f>HYPERLINK("http://ts.21cn.com/tousu/show/id/1354297","乱扣费")</f>
        <v>乱扣费</v>
      </c>
      <c r="C22135" s="2" t="s">
        <v>9</v>
      </c>
      <c r="D22135" s="2" t="s">
        <v>10</v>
      </c>
      <c r="E22135" s="2" t="str">
        <f>HYPERLINK("http://ts.21cn.com/tousu/show/id/1354297","http://ts.21cn.com/tousu/show/id/1354297")</f>
        <v>http://ts.21cn.com/tousu/show/id/1354297</v>
      </c>
      <c r="F22135" s="2" t="s">
        <v>11</v>
      </c>
      <c r="G22135" s="2" t="s">
        <v>619</v>
      </c>
      <c r="H22135" s="2" t="s">
        <v>620</v>
      </c>
    </row>
    <row r="22136" spans="1:8" ht="25.05" customHeight="1" x14ac:dyDescent="0.25">
      <c r="A22136" s="2" t="s">
        <v>8</v>
      </c>
      <c r="B22136" s="2" t="str">
        <f>HYPERLINK("http://ts.21cn.com/tousu/show/id/1354299","及货放款金额与贷款金额不符")</f>
        <v>及货放款金额与贷款金额不符</v>
      </c>
      <c r="C22136" s="2" t="s">
        <v>9</v>
      </c>
      <c r="D22136" s="2" t="s">
        <v>10</v>
      </c>
      <c r="E22136" s="2" t="str">
        <f>HYPERLINK("http://ts.21cn.com/tousu/show/id/1354299","http://ts.21cn.com/tousu/show/id/1354299")</f>
        <v>http://ts.21cn.com/tousu/show/id/1354299</v>
      </c>
      <c r="F22136" s="2" t="s">
        <v>11</v>
      </c>
      <c r="G22136" s="2" t="s">
        <v>617</v>
      </c>
      <c r="H22136" s="2" t="s">
        <v>618</v>
      </c>
    </row>
    <row r="22137" spans="1:8" ht="25.05" customHeight="1" x14ac:dyDescent="0.25">
      <c r="A22137" s="2" t="s">
        <v>8</v>
      </c>
      <c r="B22137" s="2" t="str">
        <f>HYPERLINK("http://ts.21cn.com/tousu/show/id/1354301","自由魔卡六便士高利贷")</f>
        <v>自由魔卡六便士高利贷</v>
      </c>
      <c r="C22137" s="2" t="s">
        <v>9</v>
      </c>
      <c r="D22137" s="2" t="s">
        <v>10</v>
      </c>
      <c r="E22137" s="2" t="str">
        <f>HYPERLINK("http://ts.21cn.com/tousu/show/id/1354301","http://ts.21cn.com/tousu/show/id/1354301")</f>
        <v>http://ts.21cn.com/tousu/show/id/1354301</v>
      </c>
      <c r="F22137" s="2" t="s">
        <v>11</v>
      </c>
      <c r="G22137" s="2" t="s">
        <v>615</v>
      </c>
      <c r="H22137" s="2" t="s">
        <v>616</v>
      </c>
    </row>
    <row r="22138" spans="1:8" ht="25.05" customHeight="1" x14ac:dyDescent="0.25">
      <c r="A22138" s="2" t="s">
        <v>8</v>
      </c>
      <c r="B22138" s="2" t="str">
        <f>HYPERLINK("http://ts.21cn.com/tousu/show/id/1354302","滴滴拼车霸王条款跟报价完全不符合，欺诈行为")</f>
        <v>滴滴拼车霸王条款跟报价完全不符合，欺诈行为</v>
      </c>
      <c r="C22138" s="2" t="s">
        <v>9</v>
      </c>
      <c r="D22138" s="2" t="s">
        <v>10</v>
      </c>
      <c r="E22138" s="2" t="str">
        <f>HYPERLINK("http://ts.21cn.com/tousu/show/id/1354302","http://ts.21cn.com/tousu/show/id/1354302")</f>
        <v>http://ts.21cn.com/tousu/show/id/1354302</v>
      </c>
      <c r="F22138" s="2" t="s">
        <v>11</v>
      </c>
      <c r="G22138" s="2" t="s">
        <v>613</v>
      </c>
      <c r="H22138" s="2" t="s">
        <v>614</v>
      </c>
    </row>
    <row r="22139" spans="1:8" ht="25.05" customHeight="1" x14ac:dyDescent="0.25">
      <c r="A22139" s="2" t="s">
        <v>8</v>
      </c>
      <c r="B22139" s="2" t="str">
        <f>HYPERLINK("http://ts.21cn.com/tousu/show/id/1354303","黑心公司")</f>
        <v>黑心公司</v>
      </c>
      <c r="C22139" s="2" t="s">
        <v>9</v>
      </c>
      <c r="D22139" s="2" t="s">
        <v>10</v>
      </c>
      <c r="E22139" s="2" t="str">
        <f>HYPERLINK("http://ts.21cn.com/tousu/show/id/1354303","http://ts.21cn.com/tousu/show/id/1354303")</f>
        <v>http://ts.21cn.com/tousu/show/id/1354303</v>
      </c>
      <c r="F22139" s="2" t="s">
        <v>11</v>
      </c>
      <c r="G22139" s="2" t="s">
        <v>611</v>
      </c>
      <c r="H22139" s="2" t="s">
        <v>612</v>
      </c>
    </row>
    <row r="22140" spans="1:8" ht="25.05" customHeight="1" x14ac:dyDescent="0.25">
      <c r="A22140" s="2" t="s">
        <v>8</v>
      </c>
      <c r="B22140" s="2" t="str">
        <f>HYPERLINK("http://ts.21cn.com/tousu/show/id/1354304","你我贷协商还款")</f>
        <v>你我贷协商还款</v>
      </c>
      <c r="C22140" s="2" t="s">
        <v>9</v>
      </c>
      <c r="D22140" s="2" t="s">
        <v>10</v>
      </c>
      <c r="E22140" s="2" t="str">
        <f>HYPERLINK("http://ts.21cn.com/tousu/show/id/1354304","http://ts.21cn.com/tousu/show/id/1354304")</f>
        <v>http://ts.21cn.com/tousu/show/id/1354304</v>
      </c>
      <c r="F22140" s="2" t="s">
        <v>11</v>
      </c>
      <c r="G22140" s="2" t="s">
        <v>609</v>
      </c>
      <c r="H22140" s="2" t="s">
        <v>610</v>
      </c>
    </row>
    <row r="22141" spans="1:8" ht="25.05" customHeight="1" x14ac:dyDescent="0.25">
      <c r="A22141" s="2" t="s">
        <v>8</v>
      </c>
      <c r="B22141" s="2" t="str">
        <f>HYPERLINK("http://ts.21cn.com/tousu/show/id/1354259","捷信金融涉及高利贷")</f>
        <v>捷信金融涉及高利贷</v>
      </c>
      <c r="C22141" s="2" t="s">
        <v>9</v>
      </c>
      <c r="D22141" s="2" t="s">
        <v>10</v>
      </c>
      <c r="E22141" s="2" t="str">
        <f>HYPERLINK("http://ts.21cn.com/tousu/show/id/1354259","http://ts.21cn.com/tousu/show/id/1354259")</f>
        <v>http://ts.21cn.com/tousu/show/id/1354259</v>
      </c>
      <c r="F22141" s="2" t="s">
        <v>11</v>
      </c>
      <c r="G22141" s="2" t="s">
        <v>607</v>
      </c>
      <c r="H22141" s="2" t="s">
        <v>608</v>
      </c>
    </row>
    <row r="22142" spans="1:8" ht="25.05" customHeight="1" x14ac:dyDescent="0.25">
      <c r="A22142" s="2" t="s">
        <v>8</v>
      </c>
      <c r="B22142" s="2" t="str">
        <f>HYPERLINK("http://ts.21cn.com/tousu/show/id/1354305","来分期骚扰电话")</f>
        <v>来分期骚扰电话</v>
      </c>
      <c r="C22142" s="2" t="s">
        <v>9</v>
      </c>
      <c r="D22142" s="2" t="s">
        <v>10</v>
      </c>
      <c r="E22142" s="2" t="str">
        <f>HYPERLINK("http://ts.21cn.com/tousu/show/id/1354305","http://ts.21cn.com/tousu/show/id/1354305")</f>
        <v>http://ts.21cn.com/tousu/show/id/1354305</v>
      </c>
      <c r="F22142" s="2" t="s">
        <v>11</v>
      </c>
      <c r="G22142" s="2" t="s">
        <v>605</v>
      </c>
      <c r="H22142" s="2" t="s">
        <v>606</v>
      </c>
    </row>
    <row r="22143" spans="1:8" ht="25.05" customHeight="1" x14ac:dyDescent="0.25">
      <c r="A22143" s="2" t="s">
        <v>8</v>
      </c>
      <c r="B22143" s="2" t="str">
        <f>HYPERLINK("http://ts.21cn.com/tousu/show/id/1354306","捷信套路贷忽悠借款人")</f>
        <v>捷信套路贷忽悠借款人</v>
      </c>
      <c r="C22143" s="2" t="s">
        <v>9</v>
      </c>
      <c r="D22143" s="2" t="s">
        <v>10</v>
      </c>
      <c r="E22143" s="2" t="str">
        <f>HYPERLINK("http://ts.21cn.com/tousu/show/id/1354306","http://ts.21cn.com/tousu/show/id/1354306")</f>
        <v>http://ts.21cn.com/tousu/show/id/1354306</v>
      </c>
      <c r="F22143" s="2" t="s">
        <v>11</v>
      </c>
      <c r="G22143" s="2" t="s">
        <v>603</v>
      </c>
      <c r="H22143" s="2" t="s">
        <v>604</v>
      </c>
    </row>
    <row r="22144" spans="1:8" ht="25.05" customHeight="1" x14ac:dyDescent="0.25">
      <c r="A22144" s="2" t="s">
        <v>8</v>
      </c>
      <c r="B22144" s="2" t="str">
        <f>HYPERLINK("http://ts.21cn.com/tousu/show/id/1354308","钱站高利贷阴阳合同")</f>
        <v>钱站高利贷阴阳合同</v>
      </c>
      <c r="C22144" s="2" t="s">
        <v>9</v>
      </c>
      <c r="D22144" s="2" t="s">
        <v>10</v>
      </c>
      <c r="E22144" s="2" t="str">
        <f>HYPERLINK("http://ts.21cn.com/tousu/show/id/1354308","http://ts.21cn.com/tousu/show/id/1354308")</f>
        <v>http://ts.21cn.com/tousu/show/id/1354308</v>
      </c>
      <c r="F22144" s="2" t="s">
        <v>11</v>
      </c>
      <c r="G22144" s="2" t="s">
        <v>601</v>
      </c>
      <c r="H22144" s="2" t="s">
        <v>602</v>
      </c>
    </row>
    <row r="22145" spans="1:8" ht="25.05" customHeight="1" x14ac:dyDescent="0.25">
      <c r="A22145" s="2" t="s">
        <v>8</v>
      </c>
      <c r="B22145" s="2" t="str">
        <f>HYPERLINK("http://ts.21cn.com/tousu/show/id/1354309","信而富连同中金支付收取砍头息，高利贷")</f>
        <v>信而富连同中金支付收取砍头息，高利贷</v>
      </c>
      <c r="C22145" s="2" t="s">
        <v>9</v>
      </c>
      <c r="D22145" s="2" t="s">
        <v>10</v>
      </c>
      <c r="E22145" s="2" t="str">
        <f>HYPERLINK("http://ts.21cn.com/tousu/show/id/1354309","http://ts.21cn.com/tousu/show/id/1354309")</f>
        <v>http://ts.21cn.com/tousu/show/id/1354309</v>
      </c>
      <c r="F22145" s="2" t="s">
        <v>11</v>
      </c>
      <c r="G22145" s="2" t="s">
        <v>599</v>
      </c>
      <c r="H22145" s="2" t="s">
        <v>600</v>
      </c>
    </row>
    <row r="22146" spans="1:8" ht="25.05" customHeight="1" x14ac:dyDescent="0.25">
      <c r="A22146" s="2" t="s">
        <v>8</v>
      </c>
      <c r="B22146" s="2" t="str">
        <f>HYPERLINK("http://ts.21cn.com/tousu/show/id/1354311","联系不到客服没有还款链接")</f>
        <v>联系不到客服没有还款链接</v>
      </c>
      <c r="C22146" s="2" t="s">
        <v>9</v>
      </c>
      <c r="D22146" s="2" t="s">
        <v>10</v>
      </c>
      <c r="E22146" s="2" t="str">
        <f>HYPERLINK("http://ts.21cn.com/tousu/show/id/1354311","http://ts.21cn.com/tousu/show/id/1354311")</f>
        <v>http://ts.21cn.com/tousu/show/id/1354311</v>
      </c>
      <c r="F22146" s="2" t="s">
        <v>11</v>
      </c>
      <c r="G22146" s="2" t="s">
        <v>597</v>
      </c>
      <c r="H22146" s="2" t="s">
        <v>598</v>
      </c>
    </row>
    <row r="22147" spans="1:8" ht="25.05" customHeight="1" x14ac:dyDescent="0.25">
      <c r="A22147" s="2" t="s">
        <v>8</v>
      </c>
      <c r="B22147" s="2" t="str">
        <f>HYPERLINK("http://ts.21cn.com/tousu/show/id/1354313","中信信用卡乱收费，骚扰")</f>
        <v>中信信用卡乱收费，骚扰</v>
      </c>
      <c r="C22147" s="2" t="s">
        <v>9</v>
      </c>
      <c r="D22147" s="2" t="s">
        <v>10</v>
      </c>
      <c r="E22147" s="2" t="str">
        <f>HYPERLINK("http://ts.21cn.com/tousu/show/id/1354313","http://ts.21cn.com/tousu/show/id/1354313")</f>
        <v>http://ts.21cn.com/tousu/show/id/1354313</v>
      </c>
      <c r="F22147" s="2" t="s">
        <v>11</v>
      </c>
      <c r="G22147" s="2" t="s">
        <v>595</v>
      </c>
      <c r="H22147" s="2" t="s">
        <v>596</v>
      </c>
    </row>
    <row r="22148" spans="1:8" ht="25.05" customHeight="1" x14ac:dyDescent="0.25">
      <c r="A22148" s="2" t="s">
        <v>8</v>
      </c>
      <c r="B22148" s="2" t="str">
        <f>HYPERLINK("http://ts.21cn.com/tousu/show/id/1354296","白领贷逾期乱爆通讯录")</f>
        <v>白领贷逾期乱爆通讯录</v>
      </c>
      <c r="C22148" s="2" t="s">
        <v>9</v>
      </c>
      <c r="D22148" s="2" t="s">
        <v>10</v>
      </c>
      <c r="E22148" s="2" t="str">
        <f>HYPERLINK("http://ts.21cn.com/tousu/show/id/1354296","http://ts.21cn.com/tousu/show/id/1354296")</f>
        <v>http://ts.21cn.com/tousu/show/id/1354296</v>
      </c>
      <c r="F22148" s="2" t="s">
        <v>11</v>
      </c>
      <c r="G22148" s="2" t="s">
        <v>593</v>
      </c>
      <c r="H22148" s="2" t="s">
        <v>594</v>
      </c>
    </row>
    <row r="22149" spans="1:8" ht="25.05" customHeight="1" x14ac:dyDescent="0.25">
      <c r="A22149" s="2" t="s">
        <v>8</v>
      </c>
      <c r="B22149" s="2" t="str">
        <f>HYPERLINK("http://ts.21cn.com/tousu/show/id/1354315","滴滴客服问题解决了还天天骚扰")</f>
        <v>滴滴客服问题解决了还天天骚扰</v>
      </c>
      <c r="C22149" s="2" t="s">
        <v>9</v>
      </c>
      <c r="D22149" s="2" t="s">
        <v>10</v>
      </c>
      <c r="E22149" s="2" t="str">
        <f>HYPERLINK("http://ts.21cn.com/tousu/show/id/1354315","http://ts.21cn.com/tousu/show/id/1354315")</f>
        <v>http://ts.21cn.com/tousu/show/id/1354315</v>
      </c>
      <c r="F22149" s="2" t="s">
        <v>11</v>
      </c>
      <c r="G22149" s="2" t="s">
        <v>591</v>
      </c>
      <c r="H22149" s="2" t="s">
        <v>592</v>
      </c>
    </row>
    <row r="22150" spans="1:8" ht="25.05" customHeight="1" x14ac:dyDescent="0.25">
      <c r="A22150" s="2" t="s">
        <v>8</v>
      </c>
      <c r="B22150" s="2" t="str">
        <f>HYPERLINK("http://ts.21cn.com/tousu/show/id/1354316","百事普惠恶意扣款")</f>
        <v>百事普惠恶意扣款</v>
      </c>
      <c r="C22150" s="2" t="s">
        <v>9</v>
      </c>
      <c r="D22150" s="2" t="s">
        <v>10</v>
      </c>
      <c r="E22150" s="2" t="str">
        <f>HYPERLINK("http://ts.21cn.com/tousu/show/id/1354316","http://ts.21cn.com/tousu/show/id/1354316")</f>
        <v>http://ts.21cn.com/tousu/show/id/1354316</v>
      </c>
      <c r="F22150" s="2" t="s">
        <v>11</v>
      </c>
      <c r="G22150" s="2" t="s">
        <v>589</v>
      </c>
      <c r="H22150" s="2" t="s">
        <v>590</v>
      </c>
    </row>
    <row r="22151" spans="1:8" ht="25.05" customHeight="1" x14ac:dyDescent="0.25">
      <c r="A22151" s="2" t="s">
        <v>8</v>
      </c>
      <c r="B22151" s="2" t="str">
        <f>HYPERLINK("http://ts.21cn.com/tousu/show/id/1354317","群发骚扰短信")</f>
        <v>群发骚扰短信</v>
      </c>
      <c r="C22151" s="2" t="s">
        <v>9</v>
      </c>
      <c r="D22151" s="2" t="s">
        <v>10</v>
      </c>
      <c r="E22151" s="2" t="str">
        <f>HYPERLINK("http://ts.21cn.com/tousu/show/id/1354317","http://ts.21cn.com/tousu/show/id/1354317")</f>
        <v>http://ts.21cn.com/tousu/show/id/1354317</v>
      </c>
      <c r="F22151" s="2" t="s">
        <v>11</v>
      </c>
      <c r="G22151" s="2" t="s">
        <v>587</v>
      </c>
      <c r="H22151" s="2" t="s">
        <v>588</v>
      </c>
    </row>
    <row r="22152" spans="1:8" ht="25.05" customHeight="1" x14ac:dyDescent="0.25">
      <c r="A22152" s="2" t="s">
        <v>8</v>
      </c>
      <c r="B22152" s="2" t="str">
        <f>HYPERLINK("http://ts.21cn.com/tousu/show/id/1354318","投诉拼多多不合理罚款霸王条款")</f>
        <v>投诉拼多多不合理罚款霸王条款</v>
      </c>
      <c r="C22152" s="2" t="s">
        <v>9</v>
      </c>
      <c r="D22152" s="2" t="s">
        <v>10</v>
      </c>
      <c r="E22152" s="2" t="str">
        <f>HYPERLINK("http://ts.21cn.com/tousu/show/id/1354318","http://ts.21cn.com/tousu/show/id/1354318")</f>
        <v>http://ts.21cn.com/tousu/show/id/1354318</v>
      </c>
      <c r="F22152" s="2" t="s">
        <v>11</v>
      </c>
      <c r="G22152" s="2" t="s">
        <v>585</v>
      </c>
      <c r="H22152" s="2" t="s">
        <v>586</v>
      </c>
    </row>
    <row r="22153" spans="1:8" ht="25.05" customHeight="1" x14ac:dyDescent="0.25">
      <c r="A22153" s="2" t="s">
        <v>8</v>
      </c>
      <c r="B22153" s="2" t="str">
        <f>HYPERLINK("http://ts.21cn.com/tousu/show/id/1354319","对啊网未解决我的问题，但是平台却显示问题已解决")</f>
        <v>对啊网未解决我的问题，但是平台却显示问题已解决</v>
      </c>
      <c r="C22153" s="2" t="s">
        <v>9</v>
      </c>
      <c r="D22153" s="2" t="s">
        <v>10</v>
      </c>
      <c r="E22153" s="2" t="str">
        <f>HYPERLINK("http://ts.21cn.com/tousu/show/id/1354319","http://ts.21cn.com/tousu/show/id/1354319")</f>
        <v>http://ts.21cn.com/tousu/show/id/1354319</v>
      </c>
      <c r="F22153" s="2" t="s">
        <v>11</v>
      </c>
      <c r="G22153" s="2" t="s">
        <v>583</v>
      </c>
      <c r="H22153" s="2" t="s">
        <v>584</v>
      </c>
    </row>
    <row r="22154" spans="1:8" ht="25.05" customHeight="1" x14ac:dyDescent="0.25">
      <c r="A22154" s="2" t="s">
        <v>8</v>
      </c>
      <c r="B22154" s="2" t="str">
        <f>HYPERLINK("http://ts.21cn.com/tousu/show/id/1354320","请立刻停止不合法的骚扰和威胁")</f>
        <v>请立刻停止不合法的骚扰和威胁</v>
      </c>
      <c r="C22154" s="2" t="s">
        <v>9</v>
      </c>
      <c r="D22154" s="2" t="s">
        <v>10</v>
      </c>
      <c r="E22154" s="2" t="str">
        <f>HYPERLINK("http://ts.21cn.com/tousu/show/id/1354320","http://ts.21cn.com/tousu/show/id/1354320")</f>
        <v>http://ts.21cn.com/tousu/show/id/1354320</v>
      </c>
      <c r="F22154" s="2" t="s">
        <v>11</v>
      </c>
      <c r="G22154" s="2" t="s">
        <v>581</v>
      </c>
      <c r="H22154" s="2" t="s">
        <v>582</v>
      </c>
    </row>
    <row r="22155" spans="1:8" ht="25.05" customHeight="1" x14ac:dyDescent="0.25">
      <c r="A22155" s="2" t="s">
        <v>8</v>
      </c>
      <c r="B22155" s="2" t="str">
        <f>HYPERLINK("http://ts.21cn.com/tousu/show/id/1354321","转转冻结资金")</f>
        <v>转转冻结资金</v>
      </c>
      <c r="C22155" s="2" t="s">
        <v>34</v>
      </c>
      <c r="D22155" s="2" t="s">
        <v>10</v>
      </c>
      <c r="E22155" s="2" t="str">
        <f>HYPERLINK("http://ts.21cn.com/tousu/show/id/1354321","http://ts.21cn.com/tousu/show/id/1354321")</f>
        <v>http://ts.21cn.com/tousu/show/id/1354321</v>
      </c>
      <c r="F22155" s="2" t="s">
        <v>11</v>
      </c>
      <c r="G22155" s="2" t="s">
        <v>579</v>
      </c>
      <c r="H22155" s="2" t="s">
        <v>580</v>
      </c>
    </row>
    <row r="22156" spans="1:8" ht="25.05" customHeight="1" x14ac:dyDescent="0.25">
      <c r="A22156" s="2" t="s">
        <v>8</v>
      </c>
      <c r="B22156" s="2" t="str">
        <f>HYPERLINK("http://ts.21cn.com/tousu/show/id/1354322","套路贷")</f>
        <v>套路贷</v>
      </c>
      <c r="C22156" s="2" t="s">
        <v>9</v>
      </c>
      <c r="D22156" s="2" t="s">
        <v>10</v>
      </c>
      <c r="E22156" s="2" t="str">
        <f>HYPERLINK("http://ts.21cn.com/tousu/show/id/1354322","http://ts.21cn.com/tousu/show/id/1354322")</f>
        <v>http://ts.21cn.com/tousu/show/id/1354322</v>
      </c>
      <c r="F22156" s="2" t="s">
        <v>11</v>
      </c>
      <c r="G22156" s="2" t="s">
        <v>577</v>
      </c>
      <c r="H22156" s="2" t="s">
        <v>578</v>
      </c>
    </row>
    <row r="22157" spans="1:8" ht="25.05" customHeight="1" x14ac:dyDescent="0.25">
      <c r="A22157" s="2" t="s">
        <v>8</v>
      </c>
      <c r="B22157" s="2" t="str">
        <f>HYPERLINK("http://ts.21cn.com/tousu/show/id/1354323","好易贷高利贷暴力催收")</f>
        <v>好易贷高利贷暴力催收</v>
      </c>
      <c r="C22157" s="2" t="s">
        <v>9</v>
      </c>
      <c r="D22157" s="2" t="s">
        <v>10</v>
      </c>
      <c r="E22157" s="2" t="str">
        <f>HYPERLINK("http://ts.21cn.com/tousu/show/id/1354323","http://ts.21cn.com/tousu/show/id/1354323")</f>
        <v>http://ts.21cn.com/tousu/show/id/1354323</v>
      </c>
      <c r="F22157" s="2" t="s">
        <v>11</v>
      </c>
      <c r="G22157" s="2" t="s">
        <v>575</v>
      </c>
      <c r="H22157" s="2" t="s">
        <v>576</v>
      </c>
    </row>
    <row r="22158" spans="1:8" ht="25.05" customHeight="1" x14ac:dyDescent="0.25">
      <c r="A22158" s="2" t="s">
        <v>8</v>
      </c>
      <c r="B22158" s="2" t="str">
        <f>HYPERLINK("http://ts.21cn.com/tousu/show/id/1354242","仲裁客服不作为处理不当")</f>
        <v>仲裁客服不作为处理不当</v>
      </c>
      <c r="C22158" s="2" t="s">
        <v>9</v>
      </c>
      <c r="D22158" s="2" t="s">
        <v>10</v>
      </c>
      <c r="E22158" s="2" t="str">
        <f>HYPERLINK("http://ts.21cn.com/tousu/show/id/1354242","http://ts.21cn.com/tousu/show/id/1354242")</f>
        <v>http://ts.21cn.com/tousu/show/id/1354242</v>
      </c>
      <c r="F22158" s="2" t="s">
        <v>11</v>
      </c>
      <c r="G22158" s="2" t="s">
        <v>573</v>
      </c>
      <c r="H22158" s="2" t="s">
        <v>574</v>
      </c>
    </row>
    <row r="22159" spans="1:8" ht="25.05" customHeight="1" x14ac:dyDescent="0.25">
      <c r="A22159" s="2" t="s">
        <v>8</v>
      </c>
      <c r="B22159" s="2" t="str">
        <f>HYPERLINK("http://ts.21cn.com/tousu/show/id/1354324","百事普惠扣钱")</f>
        <v>百事普惠扣钱</v>
      </c>
      <c r="C22159" s="2" t="s">
        <v>9</v>
      </c>
      <c r="D22159" s="2" t="s">
        <v>10</v>
      </c>
      <c r="E22159" s="2" t="str">
        <f>HYPERLINK("http://ts.21cn.com/tousu/show/id/1354324","http://ts.21cn.com/tousu/show/id/1354324")</f>
        <v>http://ts.21cn.com/tousu/show/id/1354324</v>
      </c>
      <c r="F22159" s="2" t="s">
        <v>11</v>
      </c>
      <c r="G22159" s="2" t="s">
        <v>571</v>
      </c>
      <c r="H22159" s="2" t="s">
        <v>572</v>
      </c>
    </row>
    <row r="22160" spans="1:8" ht="25.05" customHeight="1" x14ac:dyDescent="0.25">
      <c r="A22160" s="2" t="s">
        <v>8</v>
      </c>
      <c r="B22160" s="2" t="str">
        <f>HYPERLINK("http://ts.21cn.com/tousu/show/id/1354325","玖富万卡擅自改写合同，变相收取费用，高利贷")</f>
        <v>玖富万卡擅自改写合同，变相收取费用，高利贷</v>
      </c>
      <c r="C22160" s="2" t="s">
        <v>9</v>
      </c>
      <c r="D22160" s="2" t="s">
        <v>10</v>
      </c>
      <c r="E22160" s="2" t="str">
        <f>HYPERLINK("http://ts.21cn.com/tousu/show/id/1354325","http://ts.21cn.com/tousu/show/id/1354325")</f>
        <v>http://ts.21cn.com/tousu/show/id/1354325</v>
      </c>
      <c r="F22160" s="2" t="s">
        <v>11</v>
      </c>
      <c r="G22160" s="2" t="s">
        <v>569</v>
      </c>
      <c r="H22160" s="2" t="s">
        <v>570</v>
      </c>
    </row>
    <row r="22161" spans="1:8" ht="25.05" customHeight="1" x14ac:dyDescent="0.25">
      <c r="A22161" s="2" t="s">
        <v>8</v>
      </c>
      <c r="B22161" s="2" t="str">
        <f>HYPERLINK("http://ts.21cn.com/tousu/show/id/1354327","我投诉宜人贷业务员诱导我放款我退还本金宜人贷不允许")</f>
        <v>我投诉宜人贷业务员诱导我放款我退还本金宜人贷不允许</v>
      </c>
      <c r="C22161" s="2" t="s">
        <v>9</v>
      </c>
      <c r="D22161" s="2" t="s">
        <v>10</v>
      </c>
      <c r="E22161" s="2" t="str">
        <f>HYPERLINK("http://ts.21cn.com/tousu/show/id/1354327","http://ts.21cn.com/tousu/show/id/1354327")</f>
        <v>http://ts.21cn.com/tousu/show/id/1354327</v>
      </c>
      <c r="F22161" s="2" t="s">
        <v>11</v>
      </c>
      <c r="G22161" s="2" t="s">
        <v>567</v>
      </c>
      <c r="H22161" s="2" t="s">
        <v>568</v>
      </c>
    </row>
    <row r="22162" spans="1:8" ht="25.05" customHeight="1" x14ac:dyDescent="0.25">
      <c r="A22162" s="2" t="s">
        <v>8</v>
      </c>
      <c r="B22162" s="2" t="str">
        <f>HYPERLINK("http://ts.21cn.com/tousu/show/id/1354326","上海造艺网络技术有限公司名下的百事普惠APP扣钱有问题")</f>
        <v>上海造艺网络技术有限公司名下的百事普惠APP扣钱有问题</v>
      </c>
      <c r="C22162" s="2" t="s">
        <v>9</v>
      </c>
      <c r="D22162" s="2" t="s">
        <v>10</v>
      </c>
      <c r="E22162" s="2" t="str">
        <f>HYPERLINK("http://ts.21cn.com/tousu/show/id/1354326","http://ts.21cn.com/tousu/show/id/1354326")</f>
        <v>http://ts.21cn.com/tousu/show/id/1354326</v>
      </c>
      <c r="F22162" s="2" t="s">
        <v>11</v>
      </c>
      <c r="G22162" s="2" t="s">
        <v>565</v>
      </c>
      <c r="H22162" s="2" t="s">
        <v>566</v>
      </c>
    </row>
    <row r="22163" spans="1:8" ht="25.05" customHeight="1" x14ac:dyDescent="0.25">
      <c r="A22163" s="2" t="s">
        <v>8</v>
      </c>
      <c r="B22163" s="2" t="str">
        <f>HYPERLINK("http://ts.21cn.com/tousu/show/id/1354328","小象优品暴力催收，轰炸通讯录")</f>
        <v>小象优品暴力催收，轰炸通讯录</v>
      </c>
      <c r="C22163" s="2" t="s">
        <v>9</v>
      </c>
      <c r="D22163" s="2" t="s">
        <v>10</v>
      </c>
      <c r="E22163" s="2" t="str">
        <f>HYPERLINK("http://ts.21cn.com/tousu/show/id/1354328","http://ts.21cn.com/tousu/show/id/1354328")</f>
        <v>http://ts.21cn.com/tousu/show/id/1354328</v>
      </c>
      <c r="F22163" s="2" t="s">
        <v>11</v>
      </c>
      <c r="G22163" s="2" t="s">
        <v>563</v>
      </c>
      <c r="H22163" s="2" t="s">
        <v>564</v>
      </c>
    </row>
    <row r="22164" spans="1:8" ht="25.05" customHeight="1" x14ac:dyDescent="0.25">
      <c r="A22164" s="2" t="s">
        <v>8</v>
      </c>
      <c r="B22164" s="2" t="str">
        <f>HYPERLINK("http://ts.21cn.com/tousu/show/id/1354330","高利贷，砍头息")</f>
        <v>高利贷，砍头息</v>
      </c>
      <c r="C22164" s="2" t="s">
        <v>9</v>
      </c>
      <c r="D22164" s="2" t="s">
        <v>10</v>
      </c>
      <c r="E22164" s="2" t="str">
        <f>HYPERLINK("http://ts.21cn.com/tousu/show/id/1354330","http://ts.21cn.com/tousu/show/id/1354330")</f>
        <v>http://ts.21cn.com/tousu/show/id/1354330</v>
      </c>
      <c r="F22164" s="2" t="s">
        <v>11</v>
      </c>
      <c r="G22164" s="2" t="s">
        <v>561</v>
      </c>
      <c r="H22164" s="2" t="s">
        <v>562</v>
      </c>
    </row>
    <row r="22165" spans="1:8" ht="25.05" customHeight="1" x14ac:dyDescent="0.25">
      <c r="A22165" s="2" t="s">
        <v>8</v>
      </c>
      <c r="B22165" s="2" t="str">
        <f>HYPERLINK("http://ts.21cn.com/tousu/show/id/1354332","暴力催收导致母亲在医院抢救")</f>
        <v>暴力催收导致母亲在医院抢救</v>
      </c>
      <c r="C22165" s="2" t="s">
        <v>9</v>
      </c>
      <c r="D22165" s="2" t="s">
        <v>10</v>
      </c>
      <c r="E22165" s="2" t="str">
        <f>HYPERLINK("http://ts.21cn.com/tousu/show/id/1354332","http://ts.21cn.com/tousu/show/id/1354332")</f>
        <v>http://ts.21cn.com/tousu/show/id/1354332</v>
      </c>
      <c r="F22165" s="2" t="s">
        <v>11</v>
      </c>
      <c r="G22165" s="2" t="s">
        <v>559</v>
      </c>
      <c r="H22165" s="2" t="s">
        <v>560</v>
      </c>
    </row>
    <row r="22166" spans="1:8" ht="25.05" customHeight="1" x14ac:dyDescent="0.25">
      <c r="A22166" s="2" t="s">
        <v>8</v>
      </c>
      <c r="B22166" s="2" t="str">
        <f>HYPERLINK("http://ts.21cn.com/tousu/show/id/1354334","海风教育保证金超期未退")</f>
        <v>海风教育保证金超期未退</v>
      </c>
      <c r="C22166" s="2" t="s">
        <v>9</v>
      </c>
      <c r="D22166" s="2" t="s">
        <v>10</v>
      </c>
      <c r="E22166" s="2" t="str">
        <f>HYPERLINK("http://ts.21cn.com/tousu/show/id/1354334","http://ts.21cn.com/tousu/show/id/1354334")</f>
        <v>http://ts.21cn.com/tousu/show/id/1354334</v>
      </c>
      <c r="F22166" s="2" t="s">
        <v>11</v>
      </c>
      <c r="G22166" s="2" t="s">
        <v>557</v>
      </c>
      <c r="H22166" s="2" t="s">
        <v>558</v>
      </c>
    </row>
    <row r="22167" spans="1:8" ht="25.05" customHeight="1" x14ac:dyDescent="0.25">
      <c r="A22167" s="2" t="s">
        <v>8</v>
      </c>
      <c r="B22167" s="2" t="str">
        <f>HYPERLINK("http://ts.21cn.com/tousu/show/id/1354335","滴滴不派女乘客单")</f>
        <v>滴滴不派女乘客单</v>
      </c>
      <c r="C22167" s="2" t="s">
        <v>9</v>
      </c>
      <c r="D22167" s="2" t="s">
        <v>10</v>
      </c>
      <c r="E22167" s="2" t="str">
        <f>HYPERLINK("http://ts.21cn.com/tousu/show/id/1354335","http://ts.21cn.com/tousu/show/id/1354335")</f>
        <v>http://ts.21cn.com/tousu/show/id/1354335</v>
      </c>
      <c r="F22167" s="2" t="s">
        <v>11</v>
      </c>
      <c r="G22167" s="2" t="s">
        <v>555</v>
      </c>
      <c r="H22167" s="2" t="s">
        <v>556</v>
      </c>
    </row>
    <row r="22168" spans="1:8" ht="25.05" customHeight="1" x14ac:dyDescent="0.25">
      <c r="A22168" s="2" t="s">
        <v>8</v>
      </c>
      <c r="B22168" s="2" t="str">
        <f>HYPERLINK("http://ts.21cn.com/tousu/show/id/1354336","马上金融公司恶意打通讯录，威胁非欠款人")</f>
        <v>马上金融公司恶意打通讯录，威胁非欠款人</v>
      </c>
      <c r="C22168" s="2" t="s">
        <v>9</v>
      </c>
      <c r="D22168" s="2" t="s">
        <v>10</v>
      </c>
      <c r="E22168" s="2" t="str">
        <f>HYPERLINK("http://ts.21cn.com/tousu/show/id/1354336","http://ts.21cn.com/tousu/show/id/1354336")</f>
        <v>http://ts.21cn.com/tousu/show/id/1354336</v>
      </c>
      <c r="F22168" s="2" t="s">
        <v>11</v>
      </c>
      <c r="G22168" s="2" t="s">
        <v>553</v>
      </c>
      <c r="H22168" s="2" t="s">
        <v>554</v>
      </c>
    </row>
    <row r="22169" spans="1:8" ht="25.05" customHeight="1" x14ac:dyDescent="0.25">
      <c r="A22169" s="2" t="s">
        <v>8</v>
      </c>
      <c r="B22169" s="2" t="str">
        <f>HYPERLINK("http://ts.21cn.com/tousu/show/id/1354337","招联金融给无关通讯录乱发短信打电话")</f>
        <v>招联金融给无关通讯录乱发短信打电话</v>
      </c>
      <c r="C22169" s="2" t="s">
        <v>9</v>
      </c>
      <c r="D22169" s="2" t="s">
        <v>10</v>
      </c>
      <c r="E22169" s="2" t="str">
        <f>HYPERLINK("http://ts.21cn.com/tousu/show/id/1354337","http://ts.21cn.com/tousu/show/id/1354337")</f>
        <v>http://ts.21cn.com/tousu/show/id/1354337</v>
      </c>
      <c r="F22169" s="2" t="s">
        <v>11</v>
      </c>
      <c r="G22169" s="2" t="s">
        <v>551</v>
      </c>
      <c r="H22169" s="2" t="s">
        <v>552</v>
      </c>
    </row>
    <row r="22170" spans="1:8" ht="25.05" customHeight="1" x14ac:dyDescent="0.25">
      <c r="A22170" s="2" t="s">
        <v>8</v>
      </c>
      <c r="B22170" s="2" t="str">
        <f>HYPERLINK("http://ts.21cn.com/tousu/show/id/1354338","平安银行非法获取个人通讯录实施暴力催收")</f>
        <v>平安银行非法获取个人通讯录实施暴力催收</v>
      </c>
      <c r="C22170" s="2" t="s">
        <v>9</v>
      </c>
      <c r="D22170" s="2" t="s">
        <v>10</v>
      </c>
      <c r="E22170" s="2" t="str">
        <f>HYPERLINK("http://ts.21cn.com/tousu/show/id/1354338","http://ts.21cn.com/tousu/show/id/1354338")</f>
        <v>http://ts.21cn.com/tousu/show/id/1354338</v>
      </c>
      <c r="F22170" s="2" t="s">
        <v>11</v>
      </c>
      <c r="G22170" s="2" t="s">
        <v>549</v>
      </c>
      <c r="H22170" s="2" t="s">
        <v>550</v>
      </c>
    </row>
    <row r="22171" spans="1:8" ht="25.05" customHeight="1" x14ac:dyDescent="0.25">
      <c r="A22171" s="2" t="s">
        <v>8</v>
      </c>
      <c r="B22171" s="2" t="str">
        <f>HYPERLINK("http://ts.21cn.com/tousu/show/id/1354339","宜人贷套路贷还阴阳合同借款8万8还16万4")</f>
        <v>宜人贷套路贷还阴阳合同借款8万8还16万4</v>
      </c>
      <c r="C22171" s="2" t="s">
        <v>9</v>
      </c>
      <c r="D22171" s="2" t="s">
        <v>10</v>
      </c>
      <c r="E22171" s="2" t="str">
        <f>HYPERLINK("http://ts.21cn.com/tousu/show/id/1354339","http://ts.21cn.com/tousu/show/id/1354339")</f>
        <v>http://ts.21cn.com/tousu/show/id/1354339</v>
      </c>
      <c r="F22171" s="2" t="s">
        <v>11</v>
      </c>
      <c r="G22171" s="2" t="s">
        <v>547</v>
      </c>
      <c r="H22171" s="2" t="s">
        <v>548</v>
      </c>
    </row>
    <row r="22172" spans="1:8" ht="25.05" customHeight="1" x14ac:dyDescent="0.25">
      <c r="A22172" s="2" t="s">
        <v>8</v>
      </c>
      <c r="B22172" s="2" t="str">
        <f>HYPERLINK("http://ts.21cn.com/tousu/show/id/1354298","新浪分期暴力催收,年利率过高属于高利贷")</f>
        <v>新浪分期暴力催收,年利率过高属于高利贷</v>
      </c>
      <c r="C22172" s="2" t="s">
        <v>9</v>
      </c>
      <c r="D22172" s="2" t="s">
        <v>10</v>
      </c>
      <c r="E22172" s="2" t="str">
        <f>HYPERLINK("http://ts.21cn.com/tousu/show/id/1354298","http://ts.21cn.com/tousu/show/id/1354298")</f>
        <v>http://ts.21cn.com/tousu/show/id/1354298</v>
      </c>
      <c r="F22172" s="2" t="s">
        <v>11</v>
      </c>
      <c r="G22172" s="2" t="s">
        <v>545</v>
      </c>
      <c r="H22172" s="2" t="s">
        <v>546</v>
      </c>
    </row>
    <row r="22173" spans="1:8" ht="25.05" customHeight="1" x14ac:dyDescent="0.25">
      <c r="A22173" s="2" t="s">
        <v>8</v>
      </c>
      <c r="B22173" s="2" t="str">
        <f>HYPERLINK("http://ts.21cn.com/tousu/show/id/1354340","本人称没有借钱联系我父母")</f>
        <v>本人称没有借钱联系我父母</v>
      </c>
      <c r="C22173" s="2" t="s">
        <v>9</v>
      </c>
      <c r="D22173" s="2" t="s">
        <v>10</v>
      </c>
      <c r="E22173" s="2" t="str">
        <f>HYPERLINK("http://ts.21cn.com/tousu/show/id/1354340","http://ts.21cn.com/tousu/show/id/1354340")</f>
        <v>http://ts.21cn.com/tousu/show/id/1354340</v>
      </c>
      <c r="F22173" s="2" t="s">
        <v>11</v>
      </c>
      <c r="G22173" s="2" t="s">
        <v>543</v>
      </c>
      <c r="H22173" s="2" t="s">
        <v>544</v>
      </c>
    </row>
    <row r="22174" spans="1:8" ht="25.05" customHeight="1" x14ac:dyDescent="0.25">
      <c r="A22174" s="2" t="s">
        <v>8</v>
      </c>
      <c r="B22174" s="2" t="str">
        <f>HYPERLINK("http://ts.21cn.com/tousu/show/id/1354341","及贷公司收取高额通过费")</f>
        <v>及贷公司收取高额通过费</v>
      </c>
      <c r="C22174" s="2" t="s">
        <v>9</v>
      </c>
      <c r="D22174" s="2" t="s">
        <v>10</v>
      </c>
      <c r="E22174" s="2" t="str">
        <f>HYPERLINK("http://ts.21cn.com/tousu/show/id/1354341","http://ts.21cn.com/tousu/show/id/1354341")</f>
        <v>http://ts.21cn.com/tousu/show/id/1354341</v>
      </c>
      <c r="F22174" s="2" t="s">
        <v>11</v>
      </c>
      <c r="G22174" s="2" t="s">
        <v>541</v>
      </c>
      <c r="H22174" s="2" t="s">
        <v>542</v>
      </c>
    </row>
    <row r="22175" spans="1:8" ht="25.05" customHeight="1" x14ac:dyDescent="0.25">
      <c r="A22175" s="2" t="s">
        <v>8</v>
      </c>
      <c r="B22175" s="2" t="str">
        <f>HYPERLINK("http://ts.21cn.com/tousu/show/id/1354342","betterme软件下载后没有任何提示就扣款818元")</f>
        <v>betterme软件下载后没有任何提示就扣款818元</v>
      </c>
      <c r="C22175" s="2" t="s">
        <v>34</v>
      </c>
      <c r="D22175" s="2" t="s">
        <v>10</v>
      </c>
      <c r="E22175" s="2" t="str">
        <f>HYPERLINK("http://ts.21cn.com/tousu/show/id/1354342","http://ts.21cn.com/tousu/show/id/1354342")</f>
        <v>http://ts.21cn.com/tousu/show/id/1354342</v>
      </c>
      <c r="F22175" s="2" t="s">
        <v>11</v>
      </c>
      <c r="G22175" s="2" t="s">
        <v>539</v>
      </c>
      <c r="H22175" s="2" t="s">
        <v>540</v>
      </c>
    </row>
    <row r="22176" spans="1:8" ht="25.05" customHeight="1" x14ac:dyDescent="0.25">
      <c r="A22176" s="2" t="s">
        <v>8</v>
      </c>
      <c r="B22176" s="2" t="str">
        <f>HYPERLINK("http://ts.21cn.com/tousu/show/id/1354343","晚上骚扰电话不停")</f>
        <v>晚上骚扰电话不停</v>
      </c>
      <c r="C22176" s="2" t="s">
        <v>9</v>
      </c>
      <c r="D22176" s="2" t="s">
        <v>10</v>
      </c>
      <c r="E22176" s="2" t="str">
        <f>HYPERLINK("http://ts.21cn.com/tousu/show/id/1354343","http://ts.21cn.com/tousu/show/id/1354343")</f>
        <v>http://ts.21cn.com/tousu/show/id/1354343</v>
      </c>
      <c r="F22176" s="2" t="s">
        <v>11</v>
      </c>
      <c r="G22176" s="2" t="s">
        <v>537</v>
      </c>
      <c r="H22176" s="2" t="s">
        <v>538</v>
      </c>
    </row>
    <row r="22177" spans="1:8" ht="25.05" customHeight="1" x14ac:dyDescent="0.25">
      <c r="A22177" s="2" t="s">
        <v>8</v>
      </c>
      <c r="B22177" s="2" t="str">
        <f>HYPERLINK("http://ts.21cn.com/tousu/show/id/1354344","淘宝店被怀疑售假扣24分，扣押金2500元，刚开的淘宝店，刚上架产品，一件没还没卖，就扣押金2500元。")</f>
        <v>淘宝店被怀疑售假扣24分，扣押金2500元，刚开的淘宝店，刚上架产品，一件没还没卖，就扣押金2500元。</v>
      </c>
      <c r="C22177" s="2" t="s">
        <v>9</v>
      </c>
      <c r="D22177" s="2" t="s">
        <v>10</v>
      </c>
      <c r="E22177" s="2" t="str">
        <f>HYPERLINK("http://ts.21cn.com/tousu/show/id/1354344","http://ts.21cn.com/tousu/show/id/1354344")</f>
        <v>http://ts.21cn.com/tousu/show/id/1354344</v>
      </c>
      <c r="F22177" s="2" t="s">
        <v>11</v>
      </c>
      <c r="G22177" s="2" t="s">
        <v>535</v>
      </c>
      <c r="H22177" s="2" t="s">
        <v>536</v>
      </c>
    </row>
    <row r="22178" spans="1:8" ht="25.05" customHeight="1" x14ac:dyDescent="0.25">
      <c r="A22178" s="2" t="s">
        <v>8</v>
      </c>
      <c r="B22178" s="2" t="str">
        <f>HYPERLINK("http://ts.21cn.com/tousu/show/id/1354346","约单app发布虚假信息，我要退钱")</f>
        <v>约单app发布虚假信息，我要退钱</v>
      </c>
      <c r="C22178" s="2" t="s">
        <v>9</v>
      </c>
      <c r="D22178" s="2" t="s">
        <v>10</v>
      </c>
      <c r="E22178" s="2" t="str">
        <f>HYPERLINK("http://ts.21cn.com/tousu/show/id/1354346","http://ts.21cn.com/tousu/show/id/1354346")</f>
        <v>http://ts.21cn.com/tousu/show/id/1354346</v>
      </c>
      <c r="F22178" s="2" t="s">
        <v>11</v>
      </c>
      <c r="G22178" s="2" t="s">
        <v>533</v>
      </c>
      <c r="H22178" s="2" t="s">
        <v>534</v>
      </c>
    </row>
    <row r="22179" spans="1:8" ht="25.05" customHeight="1" x14ac:dyDescent="0.25">
      <c r="A22179" s="2" t="s">
        <v>8</v>
      </c>
      <c r="B22179" s="2" t="str">
        <f>HYPERLINK("http://ts.21cn.com/tousu/show/id/1354347","钱站结清欠款后不让我注销账户")</f>
        <v>钱站结清欠款后不让我注销账户</v>
      </c>
      <c r="C22179" s="2" t="s">
        <v>9</v>
      </c>
      <c r="D22179" s="2" t="s">
        <v>10</v>
      </c>
      <c r="E22179" s="2" t="str">
        <f>HYPERLINK("http://ts.21cn.com/tousu/show/id/1354347","http://ts.21cn.com/tousu/show/id/1354347")</f>
        <v>http://ts.21cn.com/tousu/show/id/1354347</v>
      </c>
      <c r="F22179" s="2" t="s">
        <v>11</v>
      </c>
      <c r="G22179" s="2" t="s">
        <v>531</v>
      </c>
      <c r="H22179" s="2" t="s">
        <v>532</v>
      </c>
    </row>
    <row r="22180" spans="1:8" ht="25.05" customHeight="1" x14ac:dyDescent="0.25">
      <c r="A22180" s="2" t="s">
        <v>8</v>
      </c>
      <c r="B22180" s="2" t="str">
        <f>HYPERLINK("http://ts.21cn.com/tousu/show/id/1354348","贷上钱暴力催收")</f>
        <v>贷上钱暴力催收</v>
      </c>
      <c r="C22180" s="2" t="s">
        <v>9</v>
      </c>
      <c r="D22180" s="2" t="s">
        <v>10</v>
      </c>
      <c r="E22180" s="2" t="str">
        <f>HYPERLINK("http://ts.21cn.com/tousu/show/id/1354348","http://ts.21cn.com/tousu/show/id/1354348")</f>
        <v>http://ts.21cn.com/tousu/show/id/1354348</v>
      </c>
      <c r="F22180" s="2" t="s">
        <v>11</v>
      </c>
      <c r="G22180" s="2" t="s">
        <v>529</v>
      </c>
      <c r="H22180" s="2" t="s">
        <v>530</v>
      </c>
    </row>
    <row r="22181" spans="1:8" ht="25.05" customHeight="1" x14ac:dyDescent="0.25">
      <c r="A22181" s="2" t="s">
        <v>8</v>
      </c>
      <c r="B22181" s="2" t="str">
        <f>HYPERLINK("http://ts.21cn.com/tousu/show/id/1354349","捷信金融平台在对未逾期的借款人进行催收")</f>
        <v>捷信金融平台在对未逾期的借款人进行催收</v>
      </c>
      <c r="C22181" s="2" t="s">
        <v>9</v>
      </c>
      <c r="D22181" s="2" t="s">
        <v>10</v>
      </c>
      <c r="E22181" s="2" t="str">
        <f>HYPERLINK("http://ts.21cn.com/tousu/show/id/1354349","http://ts.21cn.com/tousu/show/id/1354349")</f>
        <v>http://ts.21cn.com/tousu/show/id/1354349</v>
      </c>
      <c r="F22181" s="2" t="s">
        <v>11</v>
      </c>
      <c r="G22181" s="2" t="s">
        <v>527</v>
      </c>
      <c r="H22181" s="2" t="s">
        <v>528</v>
      </c>
    </row>
    <row r="22182" spans="1:8" ht="25.05" customHeight="1" x14ac:dyDescent="0.25">
      <c r="A22182" s="2" t="s">
        <v>8</v>
      </c>
      <c r="B22182" s="2" t="str">
        <f>HYPERLINK("http://ts.21cn.com/tousu/show/id/1354350","达内贷款，退贷款违约金高")</f>
        <v>达内贷款，退贷款违约金高</v>
      </c>
      <c r="C22182" s="2" t="s">
        <v>9</v>
      </c>
      <c r="D22182" s="2" t="s">
        <v>10</v>
      </c>
      <c r="E22182" s="2" t="str">
        <f>HYPERLINK("http://ts.21cn.com/tousu/show/id/1354350","http://ts.21cn.com/tousu/show/id/1354350")</f>
        <v>http://ts.21cn.com/tousu/show/id/1354350</v>
      </c>
      <c r="F22182" s="2" t="s">
        <v>11</v>
      </c>
      <c r="G22182" s="2" t="s">
        <v>525</v>
      </c>
      <c r="H22182" s="2" t="s">
        <v>526</v>
      </c>
    </row>
    <row r="22183" spans="1:8" ht="25.05" customHeight="1" x14ac:dyDescent="0.25">
      <c r="A22183" s="2" t="s">
        <v>8</v>
      </c>
      <c r="B22183" s="2" t="str">
        <f>HYPERLINK("http://ts.21cn.com/tousu/show/id/1354351","平安普惠在没有逾期的情况下无故爆通讯录")</f>
        <v>平安普惠在没有逾期的情况下无故爆通讯录</v>
      </c>
      <c r="C22183" s="2" t="s">
        <v>9</v>
      </c>
      <c r="D22183" s="2" t="s">
        <v>10</v>
      </c>
      <c r="E22183" s="2" t="str">
        <f>HYPERLINK("http://ts.21cn.com/tousu/show/id/1354351","http://ts.21cn.com/tousu/show/id/1354351")</f>
        <v>http://ts.21cn.com/tousu/show/id/1354351</v>
      </c>
      <c r="F22183" s="2" t="s">
        <v>11</v>
      </c>
      <c r="G22183" s="2" t="s">
        <v>523</v>
      </c>
      <c r="H22183" s="2" t="s">
        <v>524</v>
      </c>
    </row>
    <row r="22184" spans="1:8" ht="25.05" customHeight="1" x14ac:dyDescent="0.25">
      <c r="A22184" s="2" t="s">
        <v>8</v>
      </c>
      <c r="B22184" s="2" t="str">
        <f>HYPERLINK("http://ts.21cn.com/tousu/show/id/1354352","票据宝截流回款，强制复投")</f>
        <v>票据宝截流回款，强制复投</v>
      </c>
      <c r="C22184" s="2" t="s">
        <v>9</v>
      </c>
      <c r="D22184" s="2" t="s">
        <v>10</v>
      </c>
      <c r="E22184" s="2" t="str">
        <f>HYPERLINK("http://ts.21cn.com/tousu/show/id/1354352","http://ts.21cn.com/tousu/show/id/1354352")</f>
        <v>http://ts.21cn.com/tousu/show/id/1354352</v>
      </c>
      <c r="F22184" s="2" t="s">
        <v>11</v>
      </c>
      <c r="G22184" s="2" t="s">
        <v>521</v>
      </c>
      <c r="H22184" s="2" t="s">
        <v>522</v>
      </c>
    </row>
    <row r="22185" spans="1:8" ht="25.05" customHeight="1" x14ac:dyDescent="0.25">
      <c r="A22185" s="2" t="s">
        <v>8</v>
      </c>
      <c r="B22185" s="2" t="str">
        <f>HYPERLINK("http://ts.21cn.com/tousu/show/id/1354353","利息太高")</f>
        <v>利息太高</v>
      </c>
      <c r="C22185" s="2" t="s">
        <v>9</v>
      </c>
      <c r="D22185" s="2" t="s">
        <v>10</v>
      </c>
      <c r="E22185" s="2" t="str">
        <f>HYPERLINK("http://ts.21cn.com/tousu/show/id/1354353","http://ts.21cn.com/tousu/show/id/1354353")</f>
        <v>http://ts.21cn.com/tousu/show/id/1354353</v>
      </c>
      <c r="F22185" s="2" t="s">
        <v>11</v>
      </c>
      <c r="G22185" s="2" t="s">
        <v>519</v>
      </c>
      <c r="H22185" s="2" t="s">
        <v>520</v>
      </c>
    </row>
    <row r="22186" spans="1:8" ht="25.05" customHeight="1" x14ac:dyDescent="0.25">
      <c r="A22186" s="2" t="s">
        <v>8</v>
      </c>
      <c r="B22186" s="2" t="str">
        <f>HYPERLINK("http://ts.21cn.com/tousu/show/id/1354354","淘集集平台拖欠我41000元，自己创业，怀着孕打包，结果钱一直没到账，拖欠至今将近4个月")</f>
        <v>淘集集平台拖欠我41000元，自己创业，怀着孕打包，结果钱一直没到账，拖欠至今将近4个月</v>
      </c>
      <c r="C22186" s="2" t="s">
        <v>9</v>
      </c>
      <c r="D22186" s="2" t="s">
        <v>10</v>
      </c>
      <c r="E22186" s="2" t="str">
        <f>HYPERLINK("http://ts.21cn.com/tousu/show/id/1354354","http://ts.21cn.com/tousu/show/id/1354354")</f>
        <v>http://ts.21cn.com/tousu/show/id/1354354</v>
      </c>
      <c r="F22186" s="2" t="s">
        <v>11</v>
      </c>
      <c r="G22186" s="2" t="s">
        <v>517</v>
      </c>
      <c r="H22186" s="2" t="s">
        <v>518</v>
      </c>
    </row>
    <row r="22187" spans="1:8" ht="25.05" customHeight="1" x14ac:dyDescent="0.25">
      <c r="A22187" s="2" t="s">
        <v>8</v>
      </c>
      <c r="B22187" s="2" t="str">
        <f>HYPERLINK("http://ts.21cn.com/tousu/show/id/1354357","小象优品")</f>
        <v>小象优品</v>
      </c>
      <c r="C22187" s="2" t="s">
        <v>9</v>
      </c>
      <c r="D22187" s="2" t="s">
        <v>10</v>
      </c>
      <c r="E22187" s="2" t="str">
        <f>HYPERLINK("http://ts.21cn.com/tousu/show/id/1354357","http://ts.21cn.com/tousu/show/id/1354357")</f>
        <v>http://ts.21cn.com/tousu/show/id/1354357</v>
      </c>
      <c r="F22187" s="2" t="s">
        <v>11</v>
      </c>
      <c r="G22187" s="2" t="s">
        <v>515</v>
      </c>
      <c r="H22187" s="2" t="s">
        <v>516</v>
      </c>
    </row>
    <row r="22188" spans="1:8" ht="25.05" customHeight="1" x14ac:dyDescent="0.25">
      <c r="A22188" s="2" t="s">
        <v>8</v>
      </c>
      <c r="B22188" s="2" t="str">
        <f>HYPERLINK("http://ts.21cn.com/tousu/show/id/1354356","银生宝第三方代支付乱扣费")</f>
        <v>银生宝第三方代支付乱扣费</v>
      </c>
      <c r="C22188" s="2" t="s">
        <v>9</v>
      </c>
      <c r="D22188" s="2" t="s">
        <v>10</v>
      </c>
      <c r="E22188" s="2" t="str">
        <f>HYPERLINK("http://ts.21cn.com/tousu/show/id/1354356","http://ts.21cn.com/tousu/show/id/1354356")</f>
        <v>http://ts.21cn.com/tousu/show/id/1354356</v>
      </c>
      <c r="F22188" s="2" t="s">
        <v>11</v>
      </c>
      <c r="G22188" s="2" t="s">
        <v>513</v>
      </c>
      <c r="H22188" s="2" t="s">
        <v>514</v>
      </c>
    </row>
    <row r="22189" spans="1:8" ht="25.05" customHeight="1" x14ac:dyDescent="0.25">
      <c r="A22189" s="2" t="s">
        <v>8</v>
      </c>
      <c r="B22189" s="2" t="str">
        <f>HYPERLINK("http://ts.21cn.com/tousu/show/id/1354358","马上金融冒充国家机关人员")</f>
        <v>马上金融冒充国家机关人员</v>
      </c>
      <c r="C22189" s="2" t="s">
        <v>9</v>
      </c>
      <c r="D22189" s="2" t="s">
        <v>10</v>
      </c>
      <c r="E22189" s="2" t="str">
        <f>HYPERLINK("http://ts.21cn.com/tousu/show/id/1354358","http://ts.21cn.com/tousu/show/id/1354358")</f>
        <v>http://ts.21cn.com/tousu/show/id/1354358</v>
      </c>
      <c r="F22189" s="2" t="s">
        <v>11</v>
      </c>
      <c r="G22189" s="2" t="s">
        <v>511</v>
      </c>
      <c r="H22189" s="2" t="s">
        <v>512</v>
      </c>
    </row>
    <row r="22190" spans="1:8" ht="25.05" customHeight="1" x14ac:dyDescent="0.25">
      <c r="A22190" s="2" t="s">
        <v>8</v>
      </c>
      <c r="B22190" s="2" t="str">
        <f>HYPERLINK("http://ts.21cn.com/tousu/show/id/1354331","微信下单申请退款没有退款")</f>
        <v>微信下单申请退款没有退款</v>
      </c>
      <c r="C22190" s="2" t="s">
        <v>34</v>
      </c>
      <c r="D22190" s="2" t="s">
        <v>10</v>
      </c>
      <c r="E22190" s="2" t="str">
        <f>HYPERLINK("http://ts.21cn.com/tousu/show/id/1354331","http://ts.21cn.com/tousu/show/id/1354331")</f>
        <v>http://ts.21cn.com/tousu/show/id/1354331</v>
      </c>
      <c r="F22190" s="2" t="s">
        <v>11</v>
      </c>
      <c r="G22190" s="2" t="s">
        <v>509</v>
      </c>
      <c r="H22190" s="2" t="s">
        <v>510</v>
      </c>
    </row>
    <row r="22191" spans="1:8" ht="25.05" customHeight="1" x14ac:dyDescent="0.25">
      <c r="A22191" s="2" t="s">
        <v>8</v>
      </c>
      <c r="B22191" s="2" t="str">
        <f>HYPERLINK("http://ts.21cn.com/tousu/show/id/1354359","希望通过平台减轻还款负担。")</f>
        <v>希望通过平台减轻还款负担。</v>
      </c>
      <c r="C22191" s="2" t="s">
        <v>34</v>
      </c>
      <c r="D22191" s="2" t="s">
        <v>10</v>
      </c>
      <c r="E22191" s="2" t="str">
        <f>HYPERLINK("http://ts.21cn.com/tousu/show/id/1354359","http://ts.21cn.com/tousu/show/id/1354359")</f>
        <v>http://ts.21cn.com/tousu/show/id/1354359</v>
      </c>
      <c r="F22191" s="2" t="s">
        <v>11</v>
      </c>
      <c r="G22191" s="2" t="s">
        <v>507</v>
      </c>
      <c r="H22191" s="2" t="s">
        <v>508</v>
      </c>
    </row>
    <row r="22192" spans="1:8" ht="25.05" customHeight="1" x14ac:dyDescent="0.25">
      <c r="A22192" s="2" t="s">
        <v>8</v>
      </c>
      <c r="B22192" s="2" t="str">
        <f>HYPERLINK("http://ts.21cn.com/tousu/show/id/1354360","钱站高利贷阴阳合同")</f>
        <v>钱站高利贷阴阳合同</v>
      </c>
      <c r="C22192" s="2" t="s">
        <v>9</v>
      </c>
      <c r="D22192" s="2" t="s">
        <v>10</v>
      </c>
      <c r="E22192" s="2" t="str">
        <f>HYPERLINK("http://ts.21cn.com/tousu/show/id/1354360","http://ts.21cn.com/tousu/show/id/1354360")</f>
        <v>http://ts.21cn.com/tousu/show/id/1354360</v>
      </c>
      <c r="F22192" s="2" t="s">
        <v>11</v>
      </c>
      <c r="G22192" s="2" t="s">
        <v>505</v>
      </c>
      <c r="H22192" s="2" t="s">
        <v>506</v>
      </c>
    </row>
    <row r="22193" spans="1:8" ht="25.05" customHeight="1" x14ac:dyDescent="0.25">
      <c r="A22193" s="2" t="s">
        <v>8</v>
      </c>
      <c r="B22193" s="2" t="str">
        <f>HYPERLINK("http://ts.21cn.com/tousu/show/id/1354361","曝通讯录")</f>
        <v>曝通讯录</v>
      </c>
      <c r="C22193" s="2" t="s">
        <v>9</v>
      </c>
      <c r="D22193" s="2" t="s">
        <v>10</v>
      </c>
      <c r="E22193" s="2" t="str">
        <f>HYPERLINK("http://ts.21cn.com/tousu/show/id/1354361","http://ts.21cn.com/tousu/show/id/1354361")</f>
        <v>http://ts.21cn.com/tousu/show/id/1354361</v>
      </c>
      <c r="F22193" s="2" t="s">
        <v>11</v>
      </c>
      <c r="G22193" s="2" t="s">
        <v>503</v>
      </c>
      <c r="H22193" s="2" t="s">
        <v>504</v>
      </c>
    </row>
    <row r="22194" spans="1:8" ht="25.05" customHeight="1" x14ac:dyDescent="0.25">
      <c r="A22194" s="2" t="s">
        <v>8</v>
      </c>
      <c r="B22194" s="2" t="str">
        <f>HYPERLINK("http://ts.21cn.com/tousu/show/id/1354363","还呗乱收利息")</f>
        <v>还呗乱收利息</v>
      </c>
      <c r="C22194" s="2" t="s">
        <v>9</v>
      </c>
      <c r="D22194" s="2" t="s">
        <v>10</v>
      </c>
      <c r="E22194" s="2" t="str">
        <f>HYPERLINK("http://ts.21cn.com/tousu/show/id/1354363","http://ts.21cn.com/tousu/show/id/1354363")</f>
        <v>http://ts.21cn.com/tousu/show/id/1354363</v>
      </c>
      <c r="F22194" s="2" t="s">
        <v>11</v>
      </c>
      <c r="G22194" s="2" t="s">
        <v>501</v>
      </c>
      <c r="H22194" s="2" t="s">
        <v>502</v>
      </c>
    </row>
    <row r="22195" spans="1:8" ht="25.05" customHeight="1" x14ac:dyDescent="0.25">
      <c r="A22195" s="2" t="s">
        <v>8</v>
      </c>
      <c r="B22195" s="2" t="str">
        <f>HYPERLINK("http://ts.21cn.com/tousu/show/id/1354364","滴滴客服有问题不解决")</f>
        <v>滴滴客服有问题不解决</v>
      </c>
      <c r="C22195" s="2" t="s">
        <v>9</v>
      </c>
      <c r="D22195" s="2" t="s">
        <v>10</v>
      </c>
      <c r="E22195" s="2" t="str">
        <f>HYPERLINK("http://ts.21cn.com/tousu/show/id/1354364","http://ts.21cn.com/tousu/show/id/1354364")</f>
        <v>http://ts.21cn.com/tousu/show/id/1354364</v>
      </c>
      <c r="F22195" s="2" t="s">
        <v>11</v>
      </c>
      <c r="G22195" s="2" t="s">
        <v>499</v>
      </c>
      <c r="H22195" s="2" t="s">
        <v>500</v>
      </c>
    </row>
    <row r="22196" spans="1:8" ht="25.05" customHeight="1" x14ac:dyDescent="0.25">
      <c r="A22196" s="2" t="s">
        <v>8</v>
      </c>
      <c r="B22196" s="2" t="str">
        <f>HYPERLINK("http://ts.21cn.com/tousu/show/id/1354365","无责退房")</f>
        <v>无责退房</v>
      </c>
      <c r="C22196" s="2" t="s">
        <v>34</v>
      </c>
      <c r="D22196" s="2" t="s">
        <v>10</v>
      </c>
      <c r="E22196" s="2" t="str">
        <f>HYPERLINK("http://ts.21cn.com/tousu/show/id/1354365","http://ts.21cn.com/tousu/show/id/1354365")</f>
        <v>http://ts.21cn.com/tousu/show/id/1354365</v>
      </c>
      <c r="F22196" s="2" t="s">
        <v>11</v>
      </c>
      <c r="G22196" s="2" t="s">
        <v>497</v>
      </c>
      <c r="H22196" s="2" t="s">
        <v>498</v>
      </c>
    </row>
    <row r="22197" spans="1:8" ht="25.05" customHeight="1" x14ac:dyDescent="0.25">
      <c r="A22197" s="2" t="s">
        <v>8</v>
      </c>
      <c r="B22197" s="2" t="str">
        <f>HYPERLINK("http://ts.21cn.com/tousu/show/id/1354366","壹心分期砍头息")</f>
        <v>壹心分期砍头息</v>
      </c>
      <c r="C22197" s="2" t="s">
        <v>9</v>
      </c>
      <c r="D22197" s="2" t="s">
        <v>10</v>
      </c>
      <c r="E22197" s="2" t="str">
        <f>HYPERLINK("http://ts.21cn.com/tousu/show/id/1354366","http://ts.21cn.com/tousu/show/id/1354366")</f>
        <v>http://ts.21cn.com/tousu/show/id/1354366</v>
      </c>
      <c r="F22197" s="2" t="s">
        <v>11</v>
      </c>
      <c r="G22197" s="2" t="s">
        <v>495</v>
      </c>
      <c r="H22197" s="2" t="s">
        <v>496</v>
      </c>
    </row>
    <row r="22198" spans="1:8" ht="25.05" customHeight="1" x14ac:dyDescent="0.25">
      <c r="A22198" s="2" t="s">
        <v>8</v>
      </c>
      <c r="B22198" s="2" t="str">
        <f>HYPERLINK("http://ts.21cn.com/tousu/show/id/1354312","对方拿了我方质保金没有按约定退还，要求退还质保金")</f>
        <v>对方拿了我方质保金没有按约定退还，要求退还质保金</v>
      </c>
      <c r="C22198" s="2" t="s">
        <v>9</v>
      </c>
      <c r="D22198" s="2" t="s">
        <v>10</v>
      </c>
      <c r="E22198" s="2" t="str">
        <f>HYPERLINK("http://ts.21cn.com/tousu/show/id/1354312","http://ts.21cn.com/tousu/show/id/1354312")</f>
        <v>http://ts.21cn.com/tousu/show/id/1354312</v>
      </c>
      <c r="F22198" s="2" t="s">
        <v>11</v>
      </c>
      <c r="G22198" s="2" t="s">
        <v>493</v>
      </c>
      <c r="H22198" s="2" t="s">
        <v>494</v>
      </c>
    </row>
    <row r="22199" spans="1:8" ht="25.05" customHeight="1" x14ac:dyDescent="0.25">
      <c r="A22199" s="2" t="s">
        <v>8</v>
      </c>
      <c r="B22199" s="2" t="str">
        <f>HYPERLINK("http://ts.21cn.com/tousu/show/id/1354369","滴滴司机绕路，态度极差，客服处理以后未接受，并关闭订单")</f>
        <v>滴滴司机绕路，态度极差，客服处理以后未接受，并关闭订单</v>
      </c>
      <c r="C22199" s="2" t="s">
        <v>9</v>
      </c>
      <c r="D22199" s="2" t="s">
        <v>10</v>
      </c>
      <c r="E22199" s="2" t="str">
        <f>HYPERLINK("http://ts.21cn.com/tousu/show/id/1354369","http://ts.21cn.com/tousu/show/id/1354369")</f>
        <v>http://ts.21cn.com/tousu/show/id/1354369</v>
      </c>
      <c r="F22199" s="2" t="s">
        <v>11</v>
      </c>
      <c r="G22199" s="2" t="s">
        <v>491</v>
      </c>
      <c r="H22199" s="2" t="s">
        <v>492</v>
      </c>
    </row>
    <row r="22200" spans="1:8" ht="25.05" customHeight="1" x14ac:dyDescent="0.25">
      <c r="A22200" s="2" t="s">
        <v>8</v>
      </c>
      <c r="B22200" s="2" t="str">
        <f>HYPERLINK("http://ts.21cn.com/tousu/show/id/1354371","新橙优品代扣失败导致逾期，并且官方失联")</f>
        <v>新橙优品代扣失败导致逾期，并且官方失联</v>
      </c>
      <c r="C22200" s="2" t="s">
        <v>9</v>
      </c>
      <c r="D22200" s="2" t="s">
        <v>10</v>
      </c>
      <c r="E22200" s="2" t="str">
        <f>HYPERLINK("http://ts.21cn.com/tousu/show/id/1354371","http://ts.21cn.com/tousu/show/id/1354371")</f>
        <v>http://ts.21cn.com/tousu/show/id/1354371</v>
      </c>
      <c r="F22200" s="2" t="s">
        <v>11</v>
      </c>
      <c r="G22200" s="2" t="s">
        <v>489</v>
      </c>
      <c r="H22200" s="2" t="s">
        <v>490</v>
      </c>
    </row>
    <row r="22201" spans="1:8" ht="25.05" customHeight="1" x14ac:dyDescent="0.25">
      <c r="A22201" s="2" t="s">
        <v>8</v>
      </c>
      <c r="B22201" s="2" t="str">
        <f>HYPERLINK("http://ts.21cn.com/tousu/show/id/1354367","钱站高利贷收取高额利息")</f>
        <v>钱站高利贷收取高额利息</v>
      </c>
      <c r="C22201" s="2" t="s">
        <v>9</v>
      </c>
      <c r="D22201" s="2" t="s">
        <v>10</v>
      </c>
      <c r="E22201" s="2" t="str">
        <f>HYPERLINK("http://ts.21cn.com/tousu/show/id/1354367","http://ts.21cn.com/tousu/show/id/1354367")</f>
        <v>http://ts.21cn.com/tousu/show/id/1354367</v>
      </c>
      <c r="F22201" s="2" t="s">
        <v>11</v>
      </c>
      <c r="G22201" s="2" t="s">
        <v>487</v>
      </c>
      <c r="H22201" s="2" t="s">
        <v>488</v>
      </c>
    </row>
    <row r="22202" spans="1:8" ht="25.05" customHeight="1" x14ac:dyDescent="0.25">
      <c r="A22202" s="2" t="s">
        <v>8</v>
      </c>
      <c r="B22202" s="2" t="str">
        <f>HYPERLINK("http://ts.21cn.com/tousu/show/id/1354368","造艺强制收取担保费")</f>
        <v>造艺强制收取担保费</v>
      </c>
      <c r="C22202" s="2" t="s">
        <v>9</v>
      </c>
      <c r="D22202" s="2" t="s">
        <v>10</v>
      </c>
      <c r="E22202" s="2" t="str">
        <f>HYPERLINK("http://ts.21cn.com/tousu/show/id/1354368","http://ts.21cn.com/tousu/show/id/1354368")</f>
        <v>http://ts.21cn.com/tousu/show/id/1354368</v>
      </c>
      <c r="F22202" s="2" t="s">
        <v>11</v>
      </c>
      <c r="G22202" s="2" t="s">
        <v>485</v>
      </c>
      <c r="H22202" s="2" t="s">
        <v>486</v>
      </c>
    </row>
    <row r="22203" spans="1:8" ht="25.05" customHeight="1" x14ac:dyDescent="0.25">
      <c r="A22203" s="2" t="s">
        <v>8</v>
      </c>
      <c r="B22203" s="2" t="str">
        <f>HYPERLINK("http://ts.21cn.com/tousu/show/id/1354370","省呗客服不回信息")</f>
        <v>省呗客服不回信息</v>
      </c>
      <c r="C22203" s="2" t="s">
        <v>9</v>
      </c>
      <c r="D22203" s="2" t="s">
        <v>10</v>
      </c>
      <c r="E22203" s="2" t="str">
        <f>HYPERLINK("http://ts.21cn.com/tousu/show/id/1354370","http://ts.21cn.com/tousu/show/id/1354370")</f>
        <v>http://ts.21cn.com/tousu/show/id/1354370</v>
      </c>
      <c r="F22203" s="2" t="s">
        <v>11</v>
      </c>
      <c r="G22203" s="2" t="s">
        <v>483</v>
      </c>
      <c r="H22203" s="2" t="s">
        <v>484</v>
      </c>
    </row>
    <row r="22204" spans="1:8" ht="25.05" customHeight="1" x14ac:dyDescent="0.25">
      <c r="A22204" s="2" t="s">
        <v>8</v>
      </c>
      <c r="B22204" s="2" t="str">
        <f>HYPERLINK("http://ts.21cn.com/tousu/show/id/1354373","钱站高利贷阴阳合同")</f>
        <v>钱站高利贷阴阳合同</v>
      </c>
      <c r="C22204" s="2" t="s">
        <v>9</v>
      </c>
      <c r="D22204" s="2" t="s">
        <v>10</v>
      </c>
      <c r="E22204" s="2" t="str">
        <f>HYPERLINK("http://ts.21cn.com/tousu/show/id/1354373","http://ts.21cn.com/tousu/show/id/1354373")</f>
        <v>http://ts.21cn.com/tousu/show/id/1354373</v>
      </c>
      <c r="F22204" s="2" t="s">
        <v>11</v>
      </c>
      <c r="G22204" s="2" t="s">
        <v>481</v>
      </c>
      <c r="H22204" s="2" t="s">
        <v>482</v>
      </c>
    </row>
    <row r="22205" spans="1:8" ht="25.05" customHeight="1" x14ac:dyDescent="0.25">
      <c r="A22205" s="2" t="s">
        <v>8</v>
      </c>
      <c r="B22205" s="2" t="str">
        <f>HYPERLINK("http://ts.21cn.com/tousu/show/id/1354374","及货以买会员为理由收取贷款通过费")</f>
        <v>及货以买会员为理由收取贷款通过费</v>
      </c>
      <c r="C22205" s="2" t="s">
        <v>9</v>
      </c>
      <c r="D22205" s="2" t="s">
        <v>10</v>
      </c>
      <c r="E22205" s="2" t="str">
        <f>HYPERLINK("http://ts.21cn.com/tousu/show/id/1354374","http://ts.21cn.com/tousu/show/id/1354374")</f>
        <v>http://ts.21cn.com/tousu/show/id/1354374</v>
      </c>
      <c r="F22205" s="2" t="s">
        <v>11</v>
      </c>
      <c r="G22205" s="2" t="s">
        <v>479</v>
      </c>
      <c r="H22205" s="2" t="s">
        <v>480</v>
      </c>
    </row>
    <row r="22206" spans="1:8" ht="25.05" customHeight="1" x14ac:dyDescent="0.25">
      <c r="A22206" s="2" t="s">
        <v>8</v>
      </c>
      <c r="B22206" s="2" t="str">
        <f>HYPERLINK("http://ts.21cn.com/tousu/show/id/1354376","来分期商城购买了行车记录仪，有问题，给我不维修，也不退货，分期的，还要还分期款")</f>
        <v>来分期商城购买了行车记录仪，有问题，给我不维修，也不退货，分期的，还要还分期款</v>
      </c>
      <c r="C22206" s="2" t="s">
        <v>34</v>
      </c>
      <c r="D22206" s="2" t="s">
        <v>10</v>
      </c>
      <c r="E22206" s="2" t="str">
        <f>HYPERLINK("http://ts.21cn.com/tousu/show/id/1354376","http://ts.21cn.com/tousu/show/id/1354376")</f>
        <v>http://ts.21cn.com/tousu/show/id/1354376</v>
      </c>
      <c r="F22206" s="2" t="s">
        <v>11</v>
      </c>
      <c r="G22206" s="2" t="s">
        <v>477</v>
      </c>
      <c r="H22206" s="2" t="s">
        <v>478</v>
      </c>
    </row>
    <row r="22207" spans="1:8" ht="25.05" customHeight="1" x14ac:dyDescent="0.25">
      <c r="A22207" s="2" t="s">
        <v>8</v>
      </c>
      <c r="B22207" s="2" t="str">
        <f>HYPERLINK("http://ts.21cn.com/tousu/show/id/1354377","立借高利贷")</f>
        <v>立借高利贷</v>
      </c>
      <c r="C22207" s="2" t="s">
        <v>9</v>
      </c>
      <c r="D22207" s="2" t="s">
        <v>10</v>
      </c>
      <c r="E22207" s="2" t="str">
        <f>HYPERLINK("http://ts.21cn.com/tousu/show/id/1354377","http://ts.21cn.com/tousu/show/id/1354377")</f>
        <v>http://ts.21cn.com/tousu/show/id/1354377</v>
      </c>
      <c r="F22207" s="2" t="s">
        <v>11</v>
      </c>
      <c r="G22207" s="2" t="s">
        <v>475</v>
      </c>
      <c r="H22207" s="2" t="s">
        <v>476</v>
      </c>
    </row>
    <row r="22208" spans="1:8" ht="25.05" customHeight="1" x14ac:dyDescent="0.25">
      <c r="A22208" s="2" t="s">
        <v>8</v>
      </c>
      <c r="B22208" s="2" t="str">
        <f>HYPERLINK("http://ts.21cn.com/tousu/show/id/1354378","捷信公司强制性购买保险费")</f>
        <v>捷信公司强制性购买保险费</v>
      </c>
      <c r="C22208" s="2" t="s">
        <v>9</v>
      </c>
      <c r="D22208" s="2" t="s">
        <v>10</v>
      </c>
      <c r="E22208" s="2" t="str">
        <f>HYPERLINK("http://ts.21cn.com/tousu/show/id/1354378","http://ts.21cn.com/tousu/show/id/1354378")</f>
        <v>http://ts.21cn.com/tousu/show/id/1354378</v>
      </c>
      <c r="F22208" s="2" t="s">
        <v>11</v>
      </c>
      <c r="G22208" s="2" t="s">
        <v>473</v>
      </c>
      <c r="H22208" s="2" t="s">
        <v>474</v>
      </c>
    </row>
    <row r="22209" spans="1:8" ht="25.05" customHeight="1" x14ac:dyDescent="0.25">
      <c r="A22209" s="2" t="s">
        <v>8</v>
      </c>
      <c r="B22209" s="2" t="str">
        <f>HYPERLINK("http://ts.21cn.com/tousu/show/id/1354379","上海造艺旗下聚福钱包涉嫌盗刷行为")</f>
        <v>上海造艺旗下聚福钱包涉嫌盗刷行为</v>
      </c>
      <c r="C22209" s="2" t="s">
        <v>9</v>
      </c>
      <c r="D22209" s="2" t="s">
        <v>10</v>
      </c>
      <c r="E22209" s="2" t="str">
        <f>HYPERLINK("http://ts.21cn.com/tousu/show/id/1354379","http://ts.21cn.com/tousu/show/id/1354379")</f>
        <v>http://ts.21cn.com/tousu/show/id/1354379</v>
      </c>
      <c r="F22209" s="2" t="s">
        <v>11</v>
      </c>
      <c r="G22209" s="2" t="s">
        <v>471</v>
      </c>
      <c r="H22209" s="2" t="s">
        <v>472</v>
      </c>
    </row>
    <row r="22210" spans="1:8" ht="25.05" customHeight="1" x14ac:dyDescent="0.25">
      <c r="A22210" s="2" t="s">
        <v>8</v>
      </c>
      <c r="B22210" s="2" t="str">
        <f>HYPERLINK("http://ts.21cn.com/tousu/show/id/1354380","美团酒店不可取消订单")</f>
        <v>美团酒店不可取消订单</v>
      </c>
      <c r="C22210" s="2" t="s">
        <v>9</v>
      </c>
      <c r="D22210" s="2" t="s">
        <v>10</v>
      </c>
      <c r="E22210" s="2" t="str">
        <f>HYPERLINK("http://ts.21cn.com/tousu/show/id/1354380","http://ts.21cn.com/tousu/show/id/1354380")</f>
        <v>http://ts.21cn.com/tousu/show/id/1354380</v>
      </c>
      <c r="F22210" s="2" t="s">
        <v>11</v>
      </c>
      <c r="G22210" s="2" t="s">
        <v>469</v>
      </c>
      <c r="H22210" s="2" t="s">
        <v>470</v>
      </c>
    </row>
    <row r="22211" spans="1:8" ht="25.05" customHeight="1" x14ac:dyDescent="0.25">
      <c r="A22211" s="2" t="s">
        <v>8</v>
      </c>
      <c r="B22211" s="2" t="str">
        <f>HYPERLINK("http://ts.21cn.com/tousu/show/id/1354381","胖胖有米黑心网贷")</f>
        <v>胖胖有米黑心网贷</v>
      </c>
      <c r="C22211" s="2" t="s">
        <v>9</v>
      </c>
      <c r="D22211" s="2" t="s">
        <v>10</v>
      </c>
      <c r="E22211" s="2" t="str">
        <f>HYPERLINK("http://ts.21cn.com/tousu/show/id/1354381","http://ts.21cn.com/tousu/show/id/1354381")</f>
        <v>http://ts.21cn.com/tousu/show/id/1354381</v>
      </c>
      <c r="F22211" s="2" t="s">
        <v>11</v>
      </c>
      <c r="G22211" s="2" t="s">
        <v>467</v>
      </c>
      <c r="H22211" s="2" t="s">
        <v>468</v>
      </c>
    </row>
    <row r="22212" spans="1:8" ht="25.05" customHeight="1" x14ac:dyDescent="0.25">
      <c r="A22212" s="2" t="s">
        <v>8</v>
      </c>
      <c r="B22212" s="2" t="str">
        <f>HYPERLINK("http://ts.21cn.com/tousu/show/id/1354382","密瓜钱包暴力催收")</f>
        <v>密瓜钱包暴力催收</v>
      </c>
      <c r="C22212" s="2" t="s">
        <v>9</v>
      </c>
      <c r="D22212" s="2" t="s">
        <v>10</v>
      </c>
      <c r="E22212" s="2" t="str">
        <f>HYPERLINK("http://ts.21cn.com/tousu/show/id/1354382","http://ts.21cn.com/tousu/show/id/1354382")</f>
        <v>http://ts.21cn.com/tousu/show/id/1354382</v>
      </c>
      <c r="F22212" s="2" t="s">
        <v>11</v>
      </c>
      <c r="G22212" s="2" t="s">
        <v>465</v>
      </c>
      <c r="H22212" s="2" t="s">
        <v>466</v>
      </c>
    </row>
    <row r="22213" spans="1:8" ht="25.05" customHeight="1" x14ac:dyDescent="0.25">
      <c r="A22213" s="2" t="s">
        <v>8</v>
      </c>
      <c r="B22213" s="2" t="str">
        <f>HYPERLINK("http://ts.21cn.com/tousu/show/id/1354383","高利贷，砍头息，暴力催收")</f>
        <v>高利贷，砍头息，暴力催收</v>
      </c>
      <c r="C22213" s="2" t="s">
        <v>9</v>
      </c>
      <c r="D22213" s="2" t="s">
        <v>10</v>
      </c>
      <c r="E22213" s="2" t="str">
        <f>HYPERLINK("http://ts.21cn.com/tousu/show/id/1354383","http://ts.21cn.com/tousu/show/id/1354383")</f>
        <v>http://ts.21cn.com/tousu/show/id/1354383</v>
      </c>
      <c r="F22213" s="2" t="s">
        <v>11</v>
      </c>
      <c r="G22213" s="2" t="s">
        <v>463</v>
      </c>
      <c r="H22213" s="2" t="s">
        <v>464</v>
      </c>
    </row>
    <row r="22214" spans="1:8" ht="25.05" customHeight="1" x14ac:dyDescent="0.25">
      <c r="A22214" s="2" t="s">
        <v>8</v>
      </c>
      <c r="B22214" s="2" t="str">
        <f>HYPERLINK("http://ts.21cn.com/tousu/show/id/1354384","暴力催收威胁恐吓非法盗取个人信息")</f>
        <v>暴力催收威胁恐吓非法盗取个人信息</v>
      </c>
      <c r="C22214" s="2" t="s">
        <v>9</v>
      </c>
      <c r="D22214" s="2" t="s">
        <v>10</v>
      </c>
      <c r="E22214" s="2" t="str">
        <f>HYPERLINK("http://ts.21cn.com/tousu/show/id/1354384","http://ts.21cn.com/tousu/show/id/1354384")</f>
        <v>http://ts.21cn.com/tousu/show/id/1354384</v>
      </c>
      <c r="F22214" s="2" t="s">
        <v>11</v>
      </c>
      <c r="G22214" s="2" t="s">
        <v>461</v>
      </c>
      <c r="H22214" s="2" t="s">
        <v>462</v>
      </c>
    </row>
    <row r="22215" spans="1:8" ht="25.05" customHeight="1" x14ac:dyDescent="0.25">
      <c r="A22215" s="2" t="s">
        <v>8</v>
      </c>
      <c r="B22215" s="2" t="str">
        <f>HYPERLINK("http://ts.21cn.com/tousu/show/id/1354385","申请减免利息")</f>
        <v>申请减免利息</v>
      </c>
      <c r="C22215" s="2" t="s">
        <v>34</v>
      </c>
      <c r="D22215" s="2" t="s">
        <v>10</v>
      </c>
      <c r="E22215" s="2" t="str">
        <f>HYPERLINK("http://ts.21cn.com/tousu/show/id/1354385","http://ts.21cn.com/tousu/show/id/1354385")</f>
        <v>http://ts.21cn.com/tousu/show/id/1354385</v>
      </c>
      <c r="F22215" s="2" t="s">
        <v>11</v>
      </c>
      <c r="G22215" s="2" t="s">
        <v>459</v>
      </c>
      <c r="H22215" s="2" t="s">
        <v>460</v>
      </c>
    </row>
    <row r="22216" spans="1:8" ht="25.05" customHeight="1" x14ac:dyDescent="0.25">
      <c r="A22216" s="2" t="s">
        <v>8</v>
      </c>
      <c r="B22216" s="2" t="str">
        <f>HYPERLINK("http://ts.21cn.com/tousu/show/id/1354388","拖欠工资")</f>
        <v>拖欠工资</v>
      </c>
      <c r="C22216" s="2" t="s">
        <v>9</v>
      </c>
      <c r="D22216" s="2" t="s">
        <v>10</v>
      </c>
      <c r="E22216" s="2" t="str">
        <f>HYPERLINK("http://ts.21cn.com/tousu/show/id/1354388","http://ts.21cn.com/tousu/show/id/1354388")</f>
        <v>http://ts.21cn.com/tousu/show/id/1354388</v>
      </c>
      <c r="F22216" s="2" t="s">
        <v>11</v>
      </c>
      <c r="G22216" s="2" t="s">
        <v>457</v>
      </c>
      <c r="H22216" s="2" t="s">
        <v>458</v>
      </c>
    </row>
    <row r="22217" spans="1:8" ht="25.05" customHeight="1" x14ac:dyDescent="0.25">
      <c r="A22217" s="2" t="s">
        <v>8</v>
      </c>
      <c r="B22217" s="2" t="str">
        <f>HYPERLINK("http://ts.21cn.com/tousu/show/id/1354386","佰仟金融！无耻！四年前的账单已结清现在有冒出来了")</f>
        <v>佰仟金融！无耻！四年前的账单已结清现在有冒出来了</v>
      </c>
      <c r="C22217" s="2" t="s">
        <v>9</v>
      </c>
      <c r="D22217" s="2" t="s">
        <v>10</v>
      </c>
      <c r="E22217" s="2" t="str">
        <f>HYPERLINK("http://ts.21cn.com/tousu/show/id/1354386","http://ts.21cn.com/tousu/show/id/1354386")</f>
        <v>http://ts.21cn.com/tousu/show/id/1354386</v>
      </c>
      <c r="F22217" s="2" t="s">
        <v>11</v>
      </c>
      <c r="G22217" s="2" t="s">
        <v>455</v>
      </c>
      <c r="H22217" s="2" t="s">
        <v>456</v>
      </c>
    </row>
    <row r="22218" spans="1:8" ht="25.05" customHeight="1" x14ac:dyDescent="0.25">
      <c r="A22218" s="2" t="s">
        <v>8</v>
      </c>
      <c r="B22218" s="2" t="str">
        <f>HYPERLINK("http://ts.21cn.com/tousu/show/id/1354387","关于21cn邮箱的历史邮件丢失问题")</f>
        <v>关于21cn邮箱的历史邮件丢失问题</v>
      </c>
      <c r="C22218" s="2" t="s">
        <v>34</v>
      </c>
      <c r="D22218" s="2" t="s">
        <v>10</v>
      </c>
      <c r="E22218" s="2" t="str">
        <f>HYPERLINK("http://ts.21cn.com/tousu/show/id/1354387","http://ts.21cn.com/tousu/show/id/1354387")</f>
        <v>http://ts.21cn.com/tousu/show/id/1354387</v>
      </c>
      <c r="F22218" s="2" t="s">
        <v>11</v>
      </c>
      <c r="G22218" s="2" t="s">
        <v>453</v>
      </c>
      <c r="H22218" s="2" t="s">
        <v>454</v>
      </c>
    </row>
    <row r="22219" spans="1:8" ht="25.05" customHeight="1" x14ac:dyDescent="0.25">
      <c r="A22219" s="2" t="s">
        <v>8</v>
      </c>
      <c r="B22219" s="2" t="str">
        <f>HYPERLINK("http://ts.21cn.com/tousu/show/id/1354389","暴力催收，骚扰")</f>
        <v>暴力催收，骚扰</v>
      </c>
      <c r="C22219" s="2" t="s">
        <v>9</v>
      </c>
      <c r="D22219" s="2" t="s">
        <v>10</v>
      </c>
      <c r="E22219" s="2" t="str">
        <f>HYPERLINK("http://ts.21cn.com/tousu/show/id/1354389","http://ts.21cn.com/tousu/show/id/1354389")</f>
        <v>http://ts.21cn.com/tousu/show/id/1354389</v>
      </c>
      <c r="F22219" s="2" t="s">
        <v>11</v>
      </c>
      <c r="G22219" s="2" t="s">
        <v>451</v>
      </c>
      <c r="H22219" s="2" t="s">
        <v>452</v>
      </c>
    </row>
    <row r="22220" spans="1:8" ht="25.05" customHeight="1" x14ac:dyDescent="0.25">
      <c r="A22220" s="2" t="s">
        <v>8</v>
      </c>
      <c r="B22220" s="2" t="str">
        <f>HYPERLINK("http://ts.21cn.com/tousu/show/id/1354390","快闪卡贷退款")</f>
        <v>快闪卡贷退款</v>
      </c>
      <c r="C22220" s="2" t="s">
        <v>9</v>
      </c>
      <c r="D22220" s="2" t="s">
        <v>10</v>
      </c>
      <c r="E22220" s="2" t="str">
        <f>HYPERLINK("http://ts.21cn.com/tousu/show/id/1354390","http://ts.21cn.com/tousu/show/id/1354390")</f>
        <v>http://ts.21cn.com/tousu/show/id/1354390</v>
      </c>
      <c r="F22220" s="2" t="s">
        <v>11</v>
      </c>
      <c r="G22220" s="2" t="s">
        <v>449</v>
      </c>
      <c r="H22220" s="2" t="s">
        <v>450</v>
      </c>
    </row>
    <row r="22221" spans="1:8" ht="25.05" customHeight="1" x14ac:dyDescent="0.25">
      <c r="A22221" s="2" t="s">
        <v>8</v>
      </c>
      <c r="B22221" s="2" t="str">
        <f>HYPERLINK("http://ts.21cn.com/tousu/show/id/1354392","网络app霸王条款")</f>
        <v>网络app霸王条款</v>
      </c>
      <c r="C22221" s="2" t="s">
        <v>9</v>
      </c>
      <c r="D22221" s="2" t="s">
        <v>10</v>
      </c>
      <c r="E22221" s="2" t="str">
        <f>HYPERLINK("http://ts.21cn.com/tousu/show/id/1354392","http://ts.21cn.com/tousu/show/id/1354392")</f>
        <v>http://ts.21cn.com/tousu/show/id/1354392</v>
      </c>
      <c r="F22221" s="2" t="s">
        <v>11</v>
      </c>
      <c r="G22221" s="2" t="s">
        <v>447</v>
      </c>
      <c r="H22221" s="2" t="s">
        <v>448</v>
      </c>
    </row>
    <row r="22222" spans="1:8" ht="25.05" customHeight="1" x14ac:dyDescent="0.25">
      <c r="A22222" s="2" t="s">
        <v>8</v>
      </c>
      <c r="B22222" s="2" t="str">
        <f>HYPERLINK("http://ts.21cn.com/tousu/show/id/1354391","开通延期还款")</f>
        <v>开通延期还款</v>
      </c>
      <c r="C22222" s="2" t="s">
        <v>9</v>
      </c>
      <c r="D22222" s="2" t="s">
        <v>10</v>
      </c>
      <c r="E22222" s="2" t="str">
        <f>HYPERLINK("http://ts.21cn.com/tousu/show/id/1354391","http://ts.21cn.com/tousu/show/id/1354391")</f>
        <v>http://ts.21cn.com/tousu/show/id/1354391</v>
      </c>
      <c r="F22222" s="2" t="s">
        <v>11</v>
      </c>
      <c r="G22222" s="2" t="s">
        <v>445</v>
      </c>
      <c r="H22222" s="2" t="s">
        <v>446</v>
      </c>
    </row>
    <row r="22223" spans="1:8" ht="25.05" customHeight="1" x14ac:dyDescent="0.25">
      <c r="A22223" s="2" t="s">
        <v>8</v>
      </c>
      <c r="B22223" s="2" t="str">
        <f>HYPERLINK("http://ts.21cn.com/tousu/show/id/1354355","钱站阴阳合同")</f>
        <v>钱站阴阳合同</v>
      </c>
      <c r="C22223" s="2" t="s">
        <v>9</v>
      </c>
      <c r="D22223" s="2" t="s">
        <v>10</v>
      </c>
      <c r="E22223" s="2" t="str">
        <f>HYPERLINK("http://ts.21cn.com/tousu/show/id/1354355","http://ts.21cn.com/tousu/show/id/1354355")</f>
        <v>http://ts.21cn.com/tousu/show/id/1354355</v>
      </c>
      <c r="F22223" s="2" t="s">
        <v>11</v>
      </c>
      <c r="G22223" s="2" t="s">
        <v>443</v>
      </c>
      <c r="H22223" s="2" t="s">
        <v>444</v>
      </c>
    </row>
    <row r="22224" spans="1:8" ht="25.05" customHeight="1" x14ac:dyDescent="0.25">
      <c r="A22224" s="2" t="s">
        <v>8</v>
      </c>
      <c r="B22224" s="2" t="str">
        <f>HYPERLINK("http://ts.21cn.com/tousu/show/id/1354393","马上金融平台放款很慢")</f>
        <v>马上金融平台放款很慢</v>
      </c>
      <c r="C22224" s="2" t="s">
        <v>34</v>
      </c>
      <c r="D22224" s="2" t="s">
        <v>10</v>
      </c>
      <c r="E22224" s="2" t="str">
        <f>HYPERLINK("http://ts.21cn.com/tousu/show/id/1354393","http://ts.21cn.com/tousu/show/id/1354393")</f>
        <v>http://ts.21cn.com/tousu/show/id/1354393</v>
      </c>
      <c r="F22224" s="2" t="s">
        <v>11</v>
      </c>
      <c r="G22224" s="2" t="s">
        <v>441</v>
      </c>
      <c r="H22224" s="2" t="s">
        <v>442</v>
      </c>
    </row>
    <row r="22225" spans="1:8" ht="25.05" customHeight="1" x14ac:dyDescent="0.25">
      <c r="A22225" s="2" t="s">
        <v>8</v>
      </c>
      <c r="B22225" s="2" t="str">
        <f>HYPERLINK("http://ts.21cn.com/tousu/show/id/1354394","贷上钱变相收取高额利息")</f>
        <v>贷上钱变相收取高额利息</v>
      </c>
      <c r="C22225" s="2" t="s">
        <v>9</v>
      </c>
      <c r="D22225" s="2" t="s">
        <v>10</v>
      </c>
      <c r="E22225" s="2" t="str">
        <f>HYPERLINK("http://ts.21cn.com/tousu/show/id/1354394","http://ts.21cn.com/tousu/show/id/1354394")</f>
        <v>http://ts.21cn.com/tousu/show/id/1354394</v>
      </c>
      <c r="F22225" s="2" t="s">
        <v>11</v>
      </c>
      <c r="G22225" s="2" t="s">
        <v>439</v>
      </c>
      <c r="H22225" s="2" t="s">
        <v>440</v>
      </c>
    </row>
    <row r="22226" spans="1:8" ht="25.05" customHeight="1" x14ac:dyDescent="0.25">
      <c r="A22226" s="2" t="s">
        <v>8</v>
      </c>
      <c r="B22226" s="2" t="str">
        <f>HYPERLINK("http://ts.21cn.com/tousu/show/id/1354395","拍拍贷逾期恐吓还款")</f>
        <v>拍拍贷逾期恐吓还款</v>
      </c>
      <c r="C22226" s="2" t="s">
        <v>9</v>
      </c>
      <c r="D22226" s="2" t="s">
        <v>10</v>
      </c>
      <c r="E22226" s="2" t="str">
        <f>HYPERLINK("http://ts.21cn.com/tousu/show/id/1354395","http://ts.21cn.com/tousu/show/id/1354395")</f>
        <v>http://ts.21cn.com/tousu/show/id/1354395</v>
      </c>
      <c r="F22226" s="2" t="s">
        <v>11</v>
      </c>
      <c r="G22226" s="2" t="s">
        <v>437</v>
      </c>
      <c r="H22226" s="2" t="s">
        <v>438</v>
      </c>
    </row>
    <row r="22227" spans="1:8" ht="25.05" customHeight="1" x14ac:dyDescent="0.25">
      <c r="A22227" s="2" t="s">
        <v>8</v>
      </c>
      <c r="B22227" s="2" t="str">
        <f>HYPERLINK("http://ts.21cn.com/tousu/show/id/1354396","聚福钱包未经许可私自扣款")</f>
        <v>聚福钱包未经许可私自扣款</v>
      </c>
      <c r="C22227" s="2" t="s">
        <v>9</v>
      </c>
      <c r="D22227" s="2" t="s">
        <v>10</v>
      </c>
      <c r="E22227" s="2" t="str">
        <f>HYPERLINK("http://ts.21cn.com/tousu/show/id/1354396","http://ts.21cn.com/tousu/show/id/1354396")</f>
        <v>http://ts.21cn.com/tousu/show/id/1354396</v>
      </c>
      <c r="F22227" s="2" t="s">
        <v>11</v>
      </c>
      <c r="G22227" s="2" t="s">
        <v>434</v>
      </c>
      <c r="H22227" s="2" t="s">
        <v>435</v>
      </c>
    </row>
    <row r="22228" spans="1:8" ht="25.05" customHeight="1" x14ac:dyDescent="0.25">
      <c r="A22228" s="2" t="s">
        <v>8</v>
      </c>
      <c r="B22228" s="2" t="str">
        <f>HYPERLINK("http://ts.21cn.com/tousu/show/id/1354329","壹心分期砍头息")</f>
        <v>壹心分期砍头息</v>
      </c>
      <c r="C22228" s="2" t="s">
        <v>34</v>
      </c>
      <c r="D22228" s="2" t="s">
        <v>10</v>
      </c>
      <c r="E22228" s="2" t="str">
        <f>HYPERLINK("http://ts.21cn.com/tousu/show/id/1354329","http://ts.21cn.com/tousu/show/id/1354329")</f>
        <v>http://ts.21cn.com/tousu/show/id/1354329</v>
      </c>
      <c r="F22228" s="2" t="s">
        <v>11</v>
      </c>
      <c r="G22228" s="2" t="s">
        <v>434</v>
      </c>
      <c r="H22228" s="2" t="s">
        <v>436</v>
      </c>
    </row>
    <row r="22229" spans="1:8" ht="25.05" customHeight="1" x14ac:dyDescent="0.25">
      <c r="A22229" s="2" t="s">
        <v>8</v>
      </c>
      <c r="B22229" s="2" t="str">
        <f>HYPERLINK("http://ts.21cn.com/tousu/show/id/1353632","新浪微博年费会员被停用")</f>
        <v>新浪微博年费会员被停用</v>
      </c>
      <c r="C22229" s="2" t="s">
        <v>9</v>
      </c>
      <c r="D22229" s="2" t="s">
        <v>10</v>
      </c>
      <c r="E22229" s="2" t="str">
        <f>HYPERLINK("http://ts.21cn.com/tousu/show/id/1353632","http://ts.21cn.com/tousu/show/id/1353632")</f>
        <v>http://ts.21cn.com/tousu/show/id/1353632</v>
      </c>
      <c r="F22229" s="2" t="s">
        <v>11</v>
      </c>
      <c r="G22229" s="2" t="s">
        <v>432</v>
      </c>
      <c r="H22229" s="2" t="s">
        <v>433</v>
      </c>
    </row>
    <row r="22230" spans="1:8" ht="25.05" customHeight="1" x14ac:dyDescent="0.25">
      <c r="A22230" s="2" t="s">
        <v>8</v>
      </c>
      <c r="B22230" s="2" t="str">
        <f>HYPERLINK("http://ts.21cn.com/tousu/show/id/1354398","及贷金融正常还款第三期就无故冻结")</f>
        <v>及贷金融正常还款第三期就无故冻结</v>
      </c>
      <c r="C22230" s="2" t="s">
        <v>34</v>
      </c>
      <c r="D22230" s="2" t="s">
        <v>10</v>
      </c>
      <c r="E22230" s="2" t="str">
        <f>HYPERLINK("http://ts.21cn.com/tousu/show/id/1354398","http://ts.21cn.com/tousu/show/id/1354398")</f>
        <v>http://ts.21cn.com/tousu/show/id/1354398</v>
      </c>
      <c r="F22230" s="2" t="s">
        <v>11</v>
      </c>
      <c r="G22230" s="2" t="s">
        <v>430</v>
      </c>
      <c r="H22230" s="2" t="s">
        <v>431</v>
      </c>
    </row>
    <row r="22231" spans="1:8" ht="25.05" customHeight="1" x14ac:dyDescent="0.25">
      <c r="A22231" s="2" t="s">
        <v>8</v>
      </c>
      <c r="B22231" s="2" t="str">
        <f>HYPERLINK("http://ts.21cn.com/tousu/show/id/1354401","高利贷砍头息")</f>
        <v>高利贷砍头息</v>
      </c>
      <c r="C22231" s="2" t="s">
        <v>9</v>
      </c>
      <c r="D22231" s="2" t="s">
        <v>10</v>
      </c>
      <c r="E22231" s="2" t="str">
        <f>HYPERLINK("http://ts.21cn.com/tousu/show/id/1354401","http://ts.21cn.com/tousu/show/id/1354401")</f>
        <v>http://ts.21cn.com/tousu/show/id/1354401</v>
      </c>
      <c r="F22231" s="2" t="s">
        <v>11</v>
      </c>
      <c r="G22231" s="2" t="s">
        <v>428</v>
      </c>
      <c r="H22231" s="2" t="s">
        <v>429</v>
      </c>
    </row>
    <row r="22232" spans="1:8" ht="25.05" customHeight="1" x14ac:dyDescent="0.25">
      <c r="A22232" s="2" t="s">
        <v>8</v>
      </c>
      <c r="B22232" s="2" t="str">
        <f>HYPERLINK("http://ts.21cn.com/tousu/show/id/1354400","浦发信用卡的利息高额吓死人")</f>
        <v>浦发信用卡的利息高额吓死人</v>
      </c>
      <c r="C22232" s="2" t="s">
        <v>9</v>
      </c>
      <c r="D22232" s="2" t="s">
        <v>10</v>
      </c>
      <c r="E22232" s="2" t="str">
        <f>HYPERLINK("http://ts.21cn.com/tousu/show/id/1354400","http://ts.21cn.com/tousu/show/id/1354400")</f>
        <v>http://ts.21cn.com/tousu/show/id/1354400</v>
      </c>
      <c r="F22232" s="2" t="s">
        <v>11</v>
      </c>
      <c r="G22232" s="2" t="s">
        <v>426</v>
      </c>
      <c r="H22232" s="2" t="s">
        <v>427</v>
      </c>
    </row>
    <row r="22233" spans="1:8" ht="25.05" customHeight="1" x14ac:dyDescent="0.25">
      <c r="A22233" s="2" t="s">
        <v>8</v>
      </c>
      <c r="B22233" s="2" t="str">
        <f>HYPERLINK("http://ts.21cn.com/tousu/show/id/1354404","华尔街英语退款！！！")</f>
        <v>华尔街英语退款！！！</v>
      </c>
      <c r="C22233" s="2" t="s">
        <v>9</v>
      </c>
      <c r="D22233" s="2" t="s">
        <v>10</v>
      </c>
      <c r="E22233" s="2" t="str">
        <f>HYPERLINK("http://ts.21cn.com/tousu/show/id/1354404","http://ts.21cn.com/tousu/show/id/1354404")</f>
        <v>http://ts.21cn.com/tousu/show/id/1354404</v>
      </c>
      <c r="F22233" s="2" t="s">
        <v>11</v>
      </c>
      <c r="G22233" s="2" t="s">
        <v>424</v>
      </c>
      <c r="H22233" s="2" t="s">
        <v>425</v>
      </c>
    </row>
    <row r="22234" spans="1:8" ht="25.05" customHeight="1" x14ac:dyDescent="0.25">
      <c r="A22234" s="2" t="s">
        <v>8</v>
      </c>
      <c r="B22234" s="2" t="str">
        <f>HYPERLINK("http://ts.21cn.com/tousu/show/id/1354403","捷信金融强行骚扰，还经常拨打单位电话")</f>
        <v>捷信金融强行骚扰，还经常拨打单位电话</v>
      </c>
      <c r="C22234" s="2" t="s">
        <v>9</v>
      </c>
      <c r="D22234" s="2" t="s">
        <v>10</v>
      </c>
      <c r="E22234" s="2" t="str">
        <f>HYPERLINK("http://ts.21cn.com/tousu/show/id/1354403","http://ts.21cn.com/tousu/show/id/1354403")</f>
        <v>http://ts.21cn.com/tousu/show/id/1354403</v>
      </c>
      <c r="F22234" s="2" t="s">
        <v>11</v>
      </c>
      <c r="G22234" s="2" t="s">
        <v>422</v>
      </c>
      <c r="H22234" s="2" t="s">
        <v>423</v>
      </c>
    </row>
    <row r="22235" spans="1:8" ht="25.05" customHeight="1" x14ac:dyDescent="0.25">
      <c r="A22235" s="2" t="s">
        <v>8</v>
      </c>
      <c r="B22235" s="2" t="str">
        <f>HYPERLINK("http://ts.21cn.com/tousu/show/id/1354405","分期乐转卖客户信息给第三方")</f>
        <v>分期乐转卖客户信息给第三方</v>
      </c>
      <c r="C22235" s="2" t="s">
        <v>9</v>
      </c>
      <c r="D22235" s="2" t="s">
        <v>10</v>
      </c>
      <c r="E22235" s="2" t="str">
        <f>HYPERLINK("http://ts.21cn.com/tousu/show/id/1354405","http://ts.21cn.com/tousu/show/id/1354405")</f>
        <v>http://ts.21cn.com/tousu/show/id/1354405</v>
      </c>
      <c r="F22235" s="2" t="s">
        <v>11</v>
      </c>
      <c r="G22235" s="2" t="s">
        <v>420</v>
      </c>
      <c r="H22235" s="2" t="s">
        <v>421</v>
      </c>
    </row>
    <row r="22236" spans="1:8" ht="25.05" customHeight="1" x14ac:dyDescent="0.25">
      <c r="A22236" s="2" t="s">
        <v>8</v>
      </c>
      <c r="B22236" s="2" t="str">
        <f>HYPERLINK("http://ts.21cn.com/tousu/show/id/1354407","现金巴士砍头息逾期费用高的吓人本人要求退回砍头息或者免除逾期费用本人可以一次性还全款")</f>
        <v>现金巴士砍头息逾期费用高的吓人本人要求退回砍头息或者免除逾期费用本人可以一次性还全款</v>
      </c>
      <c r="C22236" s="2" t="s">
        <v>9</v>
      </c>
      <c r="D22236" s="2" t="s">
        <v>10</v>
      </c>
      <c r="E22236" s="2" t="str">
        <f>HYPERLINK("http://ts.21cn.com/tousu/show/id/1354407","http://ts.21cn.com/tousu/show/id/1354407")</f>
        <v>http://ts.21cn.com/tousu/show/id/1354407</v>
      </c>
      <c r="F22236" s="2" t="s">
        <v>11</v>
      </c>
      <c r="G22236" s="2" t="s">
        <v>418</v>
      </c>
      <c r="H22236" s="2" t="s">
        <v>419</v>
      </c>
    </row>
    <row r="22237" spans="1:8" ht="25.05" customHeight="1" x14ac:dyDescent="0.25">
      <c r="A22237" s="2" t="s">
        <v>8</v>
      </c>
      <c r="B22237" s="2" t="str">
        <f>HYPERLINK("http://ts.21cn.com/tousu/show/id/1354408","没贷扣钱")</f>
        <v>没贷扣钱</v>
      </c>
      <c r="C22237" s="2" t="s">
        <v>34</v>
      </c>
      <c r="D22237" s="2" t="s">
        <v>10</v>
      </c>
      <c r="E22237" s="2" t="str">
        <f>HYPERLINK("http://ts.21cn.com/tousu/show/id/1354408","http://ts.21cn.com/tousu/show/id/1354408")</f>
        <v>http://ts.21cn.com/tousu/show/id/1354408</v>
      </c>
      <c r="F22237" s="2" t="s">
        <v>11</v>
      </c>
      <c r="G22237" s="2" t="s">
        <v>416</v>
      </c>
      <c r="H22237" s="2" t="s">
        <v>417</v>
      </c>
    </row>
    <row r="22238" spans="1:8" ht="25.05" customHeight="1" x14ac:dyDescent="0.25">
      <c r="A22238" s="2" t="s">
        <v>8</v>
      </c>
      <c r="B22238" s="2" t="str">
        <f>HYPERLINK("http://ts.21cn.com/tousu/show/id/1354409","折疯了海淘假物流耽误不退款")</f>
        <v>折疯了海淘假物流耽误不退款</v>
      </c>
      <c r="C22238" s="2" t="s">
        <v>9</v>
      </c>
      <c r="D22238" s="2" t="s">
        <v>10</v>
      </c>
      <c r="E22238" s="2" t="str">
        <f>HYPERLINK("http://ts.21cn.com/tousu/show/id/1354409","http://ts.21cn.com/tousu/show/id/1354409")</f>
        <v>http://ts.21cn.com/tousu/show/id/1354409</v>
      </c>
      <c r="F22238" s="2" t="s">
        <v>11</v>
      </c>
      <c r="G22238" s="2" t="s">
        <v>414</v>
      </c>
      <c r="H22238" s="2" t="s">
        <v>415</v>
      </c>
    </row>
    <row r="22239" spans="1:8" ht="25.05" customHeight="1" x14ac:dyDescent="0.25">
      <c r="A22239" s="2" t="s">
        <v>8</v>
      </c>
      <c r="B22239" s="2" t="str">
        <f>HYPERLINK("http://ts.21cn.com/tousu/show/id/1354410","钱站高利贷阴阳合同")</f>
        <v>钱站高利贷阴阳合同</v>
      </c>
      <c r="C22239" s="2" t="s">
        <v>9</v>
      </c>
      <c r="D22239" s="2" t="s">
        <v>10</v>
      </c>
      <c r="E22239" s="2" t="str">
        <f>HYPERLINK("http://ts.21cn.com/tousu/show/id/1354410","http://ts.21cn.com/tousu/show/id/1354410")</f>
        <v>http://ts.21cn.com/tousu/show/id/1354410</v>
      </c>
      <c r="F22239" s="2" t="s">
        <v>11</v>
      </c>
      <c r="G22239" s="2" t="s">
        <v>412</v>
      </c>
      <c r="H22239" s="2" t="s">
        <v>413</v>
      </c>
    </row>
    <row r="22240" spans="1:8" ht="25.05" customHeight="1" x14ac:dyDescent="0.25">
      <c r="A22240" s="2" t="s">
        <v>8</v>
      </c>
      <c r="B22240" s="2" t="str">
        <f>HYPERLINK("http://ts.21cn.com/tousu/show/id/1354411","马上金融")</f>
        <v>马上金融</v>
      </c>
      <c r="C22240" s="2" t="s">
        <v>9</v>
      </c>
      <c r="D22240" s="2" t="s">
        <v>10</v>
      </c>
      <c r="E22240" s="2" t="str">
        <f>HYPERLINK("http://ts.21cn.com/tousu/show/id/1354411","http://ts.21cn.com/tousu/show/id/1354411")</f>
        <v>http://ts.21cn.com/tousu/show/id/1354411</v>
      </c>
      <c r="F22240" s="2" t="s">
        <v>11</v>
      </c>
      <c r="G22240" s="2" t="s">
        <v>410</v>
      </c>
      <c r="H22240" s="2" t="s">
        <v>411</v>
      </c>
    </row>
    <row r="22241" spans="1:8" ht="25.05" customHeight="1" x14ac:dyDescent="0.25">
      <c r="A22241" s="2" t="s">
        <v>8</v>
      </c>
      <c r="B22241" s="2" t="str">
        <f>HYPERLINK("http://ts.21cn.com/tousu/show/id/1354412","现金巴士逾期费用非常高")</f>
        <v>现金巴士逾期费用非常高</v>
      </c>
      <c r="C22241" s="2" t="s">
        <v>34</v>
      </c>
      <c r="D22241" s="2" t="s">
        <v>10</v>
      </c>
      <c r="E22241" s="2" t="str">
        <f>HYPERLINK("http://ts.21cn.com/tousu/show/id/1354412","http://ts.21cn.com/tousu/show/id/1354412")</f>
        <v>http://ts.21cn.com/tousu/show/id/1354412</v>
      </c>
      <c r="F22241" s="2" t="s">
        <v>11</v>
      </c>
      <c r="G22241" s="2" t="s">
        <v>408</v>
      </c>
      <c r="H22241" s="2" t="s">
        <v>409</v>
      </c>
    </row>
    <row r="22242" spans="1:8" ht="25.05" customHeight="1" x14ac:dyDescent="0.25">
      <c r="A22242" s="2" t="s">
        <v>8</v>
      </c>
      <c r="B22242" s="2" t="str">
        <f>HYPERLINK("http://ts.21cn.com/tousu/show/id/1354413","暴力催收，态度极差，发恐吓短信")</f>
        <v>暴力催收，态度极差，发恐吓短信</v>
      </c>
      <c r="C22242" s="2" t="s">
        <v>9</v>
      </c>
      <c r="D22242" s="2" t="s">
        <v>10</v>
      </c>
      <c r="E22242" s="2" t="str">
        <f>HYPERLINK("http://ts.21cn.com/tousu/show/id/1354413","http://ts.21cn.com/tousu/show/id/1354413")</f>
        <v>http://ts.21cn.com/tousu/show/id/1354413</v>
      </c>
      <c r="F22242" s="2" t="s">
        <v>11</v>
      </c>
      <c r="G22242" s="2" t="s">
        <v>406</v>
      </c>
      <c r="H22242" s="2" t="s">
        <v>407</v>
      </c>
    </row>
    <row r="22243" spans="1:8" ht="25.05" customHeight="1" x14ac:dyDescent="0.25">
      <c r="A22243" s="2" t="s">
        <v>8</v>
      </c>
      <c r="B22243" s="2" t="str">
        <f>HYPERLINK("http://ts.21cn.com/tousu/show/id/1354414","玖富万卡协商还款成功一直不扣款")</f>
        <v>玖富万卡协商还款成功一直不扣款</v>
      </c>
      <c r="C22243" s="2" t="s">
        <v>9</v>
      </c>
      <c r="D22243" s="2" t="s">
        <v>10</v>
      </c>
      <c r="E22243" s="2" t="str">
        <f>HYPERLINK("http://ts.21cn.com/tousu/show/id/1354414","http://ts.21cn.com/tousu/show/id/1354414")</f>
        <v>http://ts.21cn.com/tousu/show/id/1354414</v>
      </c>
      <c r="F22243" s="2" t="s">
        <v>11</v>
      </c>
      <c r="G22243" s="2" t="s">
        <v>404</v>
      </c>
      <c r="H22243" s="2" t="s">
        <v>405</v>
      </c>
    </row>
    <row r="22244" spans="1:8" ht="25.05" customHeight="1" x14ac:dyDescent="0.25">
      <c r="A22244" s="2" t="s">
        <v>8</v>
      </c>
      <c r="B22244" s="2" t="str">
        <f>HYPERLINK("http://ts.21cn.com/tousu/show/id/1354415","白条分期私自扣款249元")</f>
        <v>白条分期私自扣款249元</v>
      </c>
      <c r="C22244" s="2" t="s">
        <v>9</v>
      </c>
      <c r="D22244" s="2" t="s">
        <v>10</v>
      </c>
      <c r="E22244" s="2" t="str">
        <f>HYPERLINK("http://ts.21cn.com/tousu/show/id/1354415","http://ts.21cn.com/tousu/show/id/1354415")</f>
        <v>http://ts.21cn.com/tousu/show/id/1354415</v>
      </c>
      <c r="F22244" s="2" t="s">
        <v>11</v>
      </c>
      <c r="G22244" s="2" t="s">
        <v>402</v>
      </c>
      <c r="H22244" s="2" t="s">
        <v>403</v>
      </c>
    </row>
    <row r="22245" spans="1:8" ht="25.05" customHeight="1" x14ac:dyDescent="0.25">
      <c r="A22245" s="2" t="s">
        <v>8</v>
      </c>
      <c r="B22245" s="2" t="str">
        <f>HYPERLINK("http://ts.21cn.com/tousu/show/id/1354417","360暴力催收，严重影响个人生活和工作")</f>
        <v>360暴力催收，严重影响个人生活和工作</v>
      </c>
      <c r="C22245" s="2" t="s">
        <v>9</v>
      </c>
      <c r="D22245" s="2" t="s">
        <v>10</v>
      </c>
      <c r="E22245" s="2" t="str">
        <f>HYPERLINK("http://ts.21cn.com/tousu/show/id/1354417","http://ts.21cn.com/tousu/show/id/1354417")</f>
        <v>http://ts.21cn.com/tousu/show/id/1354417</v>
      </c>
      <c r="F22245" s="2" t="s">
        <v>11</v>
      </c>
      <c r="G22245" s="2" t="s">
        <v>400</v>
      </c>
      <c r="H22245" s="2" t="s">
        <v>401</v>
      </c>
    </row>
    <row r="22246" spans="1:8" ht="25.05" customHeight="1" x14ac:dyDescent="0.25">
      <c r="A22246" s="2" t="s">
        <v>8</v>
      </c>
      <c r="B22246" s="2" t="str">
        <f>HYPERLINK("http://ts.21cn.com/tousu/show/id/1354418","立刻出行共享汽车平台押金无法退回")</f>
        <v>立刻出行共享汽车平台押金无法退回</v>
      </c>
      <c r="C22246" s="2" t="s">
        <v>9</v>
      </c>
      <c r="D22246" s="2" t="s">
        <v>10</v>
      </c>
      <c r="E22246" s="2" t="str">
        <f>HYPERLINK("http://ts.21cn.com/tousu/show/id/1354418","http://ts.21cn.com/tousu/show/id/1354418")</f>
        <v>http://ts.21cn.com/tousu/show/id/1354418</v>
      </c>
      <c r="F22246" s="2" t="s">
        <v>11</v>
      </c>
      <c r="G22246" s="2" t="s">
        <v>398</v>
      </c>
      <c r="H22246" s="2" t="s">
        <v>399</v>
      </c>
    </row>
    <row r="22247" spans="1:8" ht="25.05" customHeight="1" x14ac:dyDescent="0.25">
      <c r="A22247" s="2" t="s">
        <v>8</v>
      </c>
      <c r="B22247" s="2" t="str">
        <f>HYPERLINK("http://ts.21cn.com/tousu/show/id/1354419","91极速购高利贷")</f>
        <v>91极速购高利贷</v>
      </c>
      <c r="C22247" s="2" t="s">
        <v>9</v>
      </c>
      <c r="D22247" s="2" t="s">
        <v>10</v>
      </c>
      <c r="E22247" s="2" t="str">
        <f>HYPERLINK("http://ts.21cn.com/tousu/show/id/1354419","http://ts.21cn.com/tousu/show/id/1354419")</f>
        <v>http://ts.21cn.com/tousu/show/id/1354419</v>
      </c>
      <c r="F22247" s="2" t="s">
        <v>11</v>
      </c>
      <c r="G22247" s="2" t="s">
        <v>396</v>
      </c>
      <c r="H22247" s="2" t="s">
        <v>397</v>
      </c>
    </row>
    <row r="22248" spans="1:8" ht="25.05" customHeight="1" x14ac:dyDescent="0.25">
      <c r="A22248" s="2" t="s">
        <v>8</v>
      </c>
      <c r="B22248" s="2" t="str">
        <f>HYPERLINK("http://ts.21cn.com/tousu/show/id/1354420","提前还款请求减免利息无果，无奈想在此协商")</f>
        <v>提前还款请求减免利息无果，无奈想在此协商</v>
      </c>
      <c r="C22248" s="2" t="s">
        <v>34</v>
      </c>
      <c r="D22248" s="2" t="s">
        <v>10</v>
      </c>
      <c r="E22248" s="2" t="str">
        <f>HYPERLINK("http://ts.21cn.com/tousu/show/id/1354420","http://ts.21cn.com/tousu/show/id/1354420")</f>
        <v>http://ts.21cn.com/tousu/show/id/1354420</v>
      </c>
      <c r="F22248" s="2" t="s">
        <v>11</v>
      </c>
      <c r="G22248" s="2" t="s">
        <v>394</v>
      </c>
      <c r="H22248" s="2" t="s">
        <v>395</v>
      </c>
    </row>
    <row r="22249" spans="1:8" ht="25.05" customHeight="1" x14ac:dyDescent="0.25">
      <c r="A22249" s="2" t="s">
        <v>8</v>
      </c>
      <c r="B22249" s="2" t="str">
        <f>HYPERLINK("http://ts.21cn.com/tousu/show/id/1354397","小花钱包所属公司非法经")</f>
        <v>小花钱包所属公司非法经</v>
      </c>
      <c r="C22249" s="2" t="s">
        <v>9</v>
      </c>
      <c r="D22249" s="2" t="s">
        <v>10</v>
      </c>
      <c r="E22249" s="2" t="str">
        <f>HYPERLINK("http://ts.21cn.com/tousu/show/id/1354397","http://ts.21cn.com/tousu/show/id/1354397")</f>
        <v>http://ts.21cn.com/tousu/show/id/1354397</v>
      </c>
      <c r="F22249" s="2" t="s">
        <v>11</v>
      </c>
      <c r="G22249" s="2" t="s">
        <v>392</v>
      </c>
      <c r="H22249" s="2" t="s">
        <v>393</v>
      </c>
    </row>
    <row r="22250" spans="1:8" ht="25.05" customHeight="1" x14ac:dyDescent="0.25">
      <c r="A22250" s="2" t="s">
        <v>8</v>
      </c>
      <c r="B22250" s="2" t="str">
        <f>HYPERLINK("http://ts.21cn.com/tousu/show/id/1354422","儿童社保被系统误扣费")</f>
        <v>儿童社保被系统误扣费</v>
      </c>
      <c r="C22250" s="2" t="s">
        <v>34</v>
      </c>
      <c r="D22250" s="2" t="s">
        <v>10</v>
      </c>
      <c r="E22250" s="2" t="str">
        <f>HYPERLINK("http://ts.21cn.com/tousu/show/id/1354422","http://ts.21cn.com/tousu/show/id/1354422")</f>
        <v>http://ts.21cn.com/tousu/show/id/1354422</v>
      </c>
      <c r="F22250" s="2" t="s">
        <v>11</v>
      </c>
      <c r="G22250" s="2" t="s">
        <v>390</v>
      </c>
      <c r="H22250" s="2" t="s">
        <v>391</v>
      </c>
    </row>
    <row r="22251" spans="1:8" ht="25.05" customHeight="1" x14ac:dyDescent="0.25">
      <c r="A22251" s="2" t="s">
        <v>8</v>
      </c>
      <c r="B22251" s="2" t="str">
        <f>HYPERLINK("http://ts.21cn.com/tousu/show/id/1354423","即有分期高利贷，私自篡改合同，暴力催收")</f>
        <v>即有分期高利贷，私自篡改合同，暴力催收</v>
      </c>
      <c r="C22251" s="2" t="s">
        <v>9</v>
      </c>
      <c r="D22251" s="2" t="s">
        <v>10</v>
      </c>
      <c r="E22251" s="2" t="str">
        <f>HYPERLINK("http://ts.21cn.com/tousu/show/id/1354423","http://ts.21cn.com/tousu/show/id/1354423")</f>
        <v>http://ts.21cn.com/tousu/show/id/1354423</v>
      </c>
      <c r="F22251" s="2" t="s">
        <v>11</v>
      </c>
      <c r="G22251" s="2" t="s">
        <v>388</v>
      </c>
      <c r="H22251" s="2" t="s">
        <v>389</v>
      </c>
    </row>
    <row r="22252" spans="1:8" ht="25.05" customHeight="1" x14ac:dyDescent="0.25">
      <c r="A22252" s="2" t="s">
        <v>8</v>
      </c>
      <c r="B22252" s="2" t="str">
        <f>HYPERLINK("http://ts.21cn.com/tousu/show/id/1354424","玖富万卡协商还款")</f>
        <v>玖富万卡协商还款</v>
      </c>
      <c r="C22252" s="2" t="s">
        <v>34</v>
      </c>
      <c r="D22252" s="2" t="s">
        <v>10</v>
      </c>
      <c r="E22252" s="2" t="str">
        <f>HYPERLINK("http://ts.21cn.com/tousu/show/id/1354424","http://ts.21cn.com/tousu/show/id/1354424")</f>
        <v>http://ts.21cn.com/tousu/show/id/1354424</v>
      </c>
      <c r="F22252" s="2" t="s">
        <v>11</v>
      </c>
      <c r="G22252" s="2" t="s">
        <v>386</v>
      </c>
      <c r="H22252" s="2" t="s">
        <v>387</v>
      </c>
    </row>
    <row r="22253" spans="1:8" ht="25.05" customHeight="1" x14ac:dyDescent="0.25">
      <c r="A22253" s="2" t="s">
        <v>8</v>
      </c>
      <c r="B22253" s="2" t="str">
        <f>HYPERLINK("http://ts.21cn.com/tousu/show/id/1354427","新橙优品：恶意催收且骚扰同事朋友")</f>
        <v>新橙优品：恶意催收且骚扰同事朋友</v>
      </c>
      <c r="C22253" s="2" t="s">
        <v>9</v>
      </c>
      <c r="D22253" s="2" t="s">
        <v>10</v>
      </c>
      <c r="E22253" s="2" t="str">
        <f>HYPERLINK("http://ts.21cn.com/tousu/show/id/1354427","http://ts.21cn.com/tousu/show/id/1354427")</f>
        <v>http://ts.21cn.com/tousu/show/id/1354427</v>
      </c>
      <c r="F22253" s="2" t="s">
        <v>11</v>
      </c>
      <c r="G22253" s="2" t="s">
        <v>384</v>
      </c>
      <c r="H22253" s="2" t="s">
        <v>385</v>
      </c>
    </row>
    <row r="22254" spans="1:8" ht="25.05" customHeight="1" x14ac:dyDescent="0.25">
      <c r="A22254" s="2" t="s">
        <v>8</v>
      </c>
      <c r="B22254" s="2" t="str">
        <f>HYPERLINK("http://ts.21cn.com/tousu/show/id/1354428","钱站是高利贷")</f>
        <v>钱站是高利贷</v>
      </c>
      <c r="C22254" s="2" t="s">
        <v>9</v>
      </c>
      <c r="D22254" s="2" t="s">
        <v>10</v>
      </c>
      <c r="E22254" s="2" t="str">
        <f>HYPERLINK("http://ts.21cn.com/tousu/show/id/1354428","http://ts.21cn.com/tousu/show/id/1354428")</f>
        <v>http://ts.21cn.com/tousu/show/id/1354428</v>
      </c>
      <c r="F22254" s="2" t="s">
        <v>11</v>
      </c>
      <c r="G22254" s="2" t="s">
        <v>382</v>
      </c>
      <c r="H22254" s="2" t="s">
        <v>383</v>
      </c>
    </row>
    <row r="22255" spans="1:8" ht="25.05" customHeight="1" x14ac:dyDescent="0.25">
      <c r="A22255" s="2" t="s">
        <v>8</v>
      </c>
      <c r="B22255" s="2" t="str">
        <f>HYPERLINK("http://ts.21cn.com/tousu/show/id/1354429","成人大学中和教育拒绝退还报名费")</f>
        <v>成人大学中和教育拒绝退还报名费</v>
      </c>
      <c r="C22255" s="2" t="s">
        <v>9</v>
      </c>
      <c r="D22255" s="2" t="s">
        <v>10</v>
      </c>
      <c r="E22255" s="2" t="str">
        <f>HYPERLINK("http://ts.21cn.com/tousu/show/id/1354429","http://ts.21cn.com/tousu/show/id/1354429")</f>
        <v>http://ts.21cn.com/tousu/show/id/1354429</v>
      </c>
      <c r="F22255" s="2" t="s">
        <v>11</v>
      </c>
      <c r="G22255" s="2" t="s">
        <v>380</v>
      </c>
      <c r="H22255" s="2" t="s">
        <v>381</v>
      </c>
    </row>
    <row r="22256" spans="1:8" ht="25.05" customHeight="1" x14ac:dyDescent="0.25">
      <c r="A22256" s="2" t="s">
        <v>8</v>
      </c>
      <c r="B22256" s="2" t="str">
        <f>HYPERLINK("http://ts.21cn.com/tousu/show/id/1354430","tutorABC霸王条款，强制消费，自动扣课时，不给退费")</f>
        <v>tutorABC霸王条款，强制消费，自动扣课时，不给退费</v>
      </c>
      <c r="C22256" s="2" t="s">
        <v>9</v>
      </c>
      <c r="D22256" s="2" t="s">
        <v>10</v>
      </c>
      <c r="E22256" s="2" t="str">
        <f>HYPERLINK("http://ts.21cn.com/tousu/show/id/1354430","http://ts.21cn.com/tousu/show/id/1354430")</f>
        <v>http://ts.21cn.com/tousu/show/id/1354430</v>
      </c>
      <c r="F22256" s="2" t="s">
        <v>11</v>
      </c>
      <c r="G22256" s="2" t="s">
        <v>378</v>
      </c>
      <c r="H22256" s="2" t="s">
        <v>379</v>
      </c>
    </row>
    <row r="22257" spans="1:8" ht="25.05" customHeight="1" x14ac:dyDescent="0.25">
      <c r="A22257" s="2" t="s">
        <v>8</v>
      </c>
      <c r="B22257" s="2" t="str">
        <f>HYPERLINK("http://ts.21cn.com/tousu/show/id/1354432","请求还本金")</f>
        <v>请求还本金</v>
      </c>
      <c r="C22257" s="2" t="s">
        <v>9</v>
      </c>
      <c r="D22257" s="2" t="s">
        <v>10</v>
      </c>
      <c r="E22257" s="2" t="str">
        <f>HYPERLINK("http://ts.21cn.com/tousu/show/id/1354432","http://ts.21cn.com/tousu/show/id/1354432")</f>
        <v>http://ts.21cn.com/tousu/show/id/1354432</v>
      </c>
      <c r="F22257" s="2" t="s">
        <v>11</v>
      </c>
      <c r="G22257" s="2" t="s">
        <v>376</v>
      </c>
      <c r="H22257" s="2" t="s">
        <v>377</v>
      </c>
    </row>
    <row r="22258" spans="1:8" ht="25.05" customHeight="1" x14ac:dyDescent="0.25">
      <c r="A22258" s="2" t="s">
        <v>8</v>
      </c>
      <c r="B22258" s="2" t="str">
        <f>HYPERLINK("http://ts.21cn.com/tousu/show/id/1354433","搜狗借款套路贷")</f>
        <v>搜狗借款套路贷</v>
      </c>
      <c r="C22258" s="2" t="s">
        <v>9</v>
      </c>
      <c r="D22258" s="2" t="s">
        <v>10</v>
      </c>
      <c r="E22258" s="2" t="str">
        <f>HYPERLINK("http://ts.21cn.com/tousu/show/id/1354433","http://ts.21cn.com/tousu/show/id/1354433")</f>
        <v>http://ts.21cn.com/tousu/show/id/1354433</v>
      </c>
      <c r="F22258" s="2" t="s">
        <v>11</v>
      </c>
      <c r="G22258" s="2" t="s">
        <v>374</v>
      </c>
      <c r="H22258" s="2" t="s">
        <v>375</v>
      </c>
    </row>
    <row r="22259" spans="1:8" ht="25.05" customHeight="1" x14ac:dyDescent="0.25">
      <c r="A22259" s="2" t="s">
        <v>8</v>
      </c>
      <c r="B22259" s="2" t="str">
        <f>HYPERLINK("http://ts.21cn.com/tousu/show/id/1354435","网贷群发")</f>
        <v>网贷群发</v>
      </c>
      <c r="C22259" s="2" t="s">
        <v>9</v>
      </c>
      <c r="D22259" s="2" t="s">
        <v>10</v>
      </c>
      <c r="E22259" s="2" t="str">
        <f>HYPERLINK("http://ts.21cn.com/tousu/show/id/1354435","http://ts.21cn.com/tousu/show/id/1354435")</f>
        <v>http://ts.21cn.com/tousu/show/id/1354435</v>
      </c>
      <c r="F22259" s="2" t="s">
        <v>11</v>
      </c>
      <c r="G22259" s="2" t="s">
        <v>372</v>
      </c>
      <c r="H22259" s="2" t="s">
        <v>373</v>
      </c>
    </row>
    <row r="22260" spans="1:8" ht="25.05" customHeight="1" x14ac:dyDescent="0.25">
      <c r="A22260" s="2" t="s">
        <v>8</v>
      </c>
      <c r="B22260" s="2" t="str">
        <f>HYPERLINK("http://ts.21cn.com/tousu/show/id/1354434","逾期半天就爆通讯录，骚扰我的朋友，家人。逾期一天利息82元，希望国家打击高利贷")</f>
        <v>逾期半天就爆通讯录，骚扰我的朋友，家人。逾期一天利息82元，希望国家打击高利贷</v>
      </c>
      <c r="C22260" s="2" t="s">
        <v>9</v>
      </c>
      <c r="D22260" s="2" t="s">
        <v>10</v>
      </c>
      <c r="E22260" s="2" t="str">
        <f>HYPERLINK("http://ts.21cn.com/tousu/show/id/1354434","http://ts.21cn.com/tousu/show/id/1354434")</f>
        <v>http://ts.21cn.com/tousu/show/id/1354434</v>
      </c>
      <c r="F22260" s="2" t="s">
        <v>11</v>
      </c>
      <c r="G22260" s="2" t="s">
        <v>370</v>
      </c>
      <c r="H22260" s="2" t="s">
        <v>371</v>
      </c>
    </row>
    <row r="22261" spans="1:8" ht="25.05" customHeight="1" x14ac:dyDescent="0.25">
      <c r="A22261" s="2" t="s">
        <v>8</v>
      </c>
      <c r="B22261" s="2" t="str">
        <f>HYPERLINK("http://ts.21cn.com/tousu/show/id/1354436","快闪卡贷")</f>
        <v>快闪卡贷</v>
      </c>
      <c r="C22261" s="2" t="s">
        <v>9</v>
      </c>
      <c r="D22261" s="2" t="s">
        <v>10</v>
      </c>
      <c r="E22261" s="2" t="str">
        <f>HYPERLINK("http://ts.21cn.com/tousu/show/id/1354436","http://ts.21cn.com/tousu/show/id/1354436")</f>
        <v>http://ts.21cn.com/tousu/show/id/1354436</v>
      </c>
      <c r="F22261" s="2" t="s">
        <v>11</v>
      </c>
      <c r="G22261" s="2" t="s">
        <v>368</v>
      </c>
      <c r="H22261" s="2" t="s">
        <v>369</v>
      </c>
    </row>
    <row r="22262" spans="1:8" ht="25.05" customHeight="1" x14ac:dyDescent="0.25">
      <c r="A22262" s="2" t="s">
        <v>8</v>
      </c>
      <c r="B22262" s="2" t="str">
        <f>HYPERLINK("http://ts.21cn.com/tousu/show/id/1354437","世联金融打骚扰电话发轰炸短信")</f>
        <v>世联金融打骚扰电话发轰炸短信</v>
      </c>
      <c r="C22262" s="2" t="s">
        <v>9</v>
      </c>
      <c r="D22262" s="2" t="s">
        <v>10</v>
      </c>
      <c r="E22262" s="2" t="str">
        <f>HYPERLINK("http://ts.21cn.com/tousu/show/id/1354437","http://ts.21cn.com/tousu/show/id/1354437")</f>
        <v>http://ts.21cn.com/tousu/show/id/1354437</v>
      </c>
      <c r="F22262" s="2" t="s">
        <v>11</v>
      </c>
      <c r="G22262" s="2" t="s">
        <v>366</v>
      </c>
      <c r="H22262" s="2" t="s">
        <v>367</v>
      </c>
    </row>
    <row r="22263" spans="1:8" ht="25.05" customHeight="1" x14ac:dyDescent="0.25">
      <c r="A22263" s="2" t="s">
        <v>8</v>
      </c>
      <c r="B22263" s="2" t="str">
        <f>HYPERLINK("http://ts.21cn.com/tousu/show/id/1354438","华尔街英语退款！！！")</f>
        <v>华尔街英语退款！！！</v>
      </c>
      <c r="C22263" s="2" t="s">
        <v>9</v>
      </c>
      <c r="D22263" s="2" t="s">
        <v>10</v>
      </c>
      <c r="E22263" s="2" t="str">
        <f>HYPERLINK("http://ts.21cn.com/tousu/show/id/1354438","http://ts.21cn.com/tousu/show/id/1354438")</f>
        <v>http://ts.21cn.com/tousu/show/id/1354438</v>
      </c>
      <c r="F22263" s="2" t="s">
        <v>11</v>
      </c>
      <c r="G22263" s="2" t="s">
        <v>364</v>
      </c>
      <c r="H22263" s="2" t="s">
        <v>365</v>
      </c>
    </row>
    <row r="22264" spans="1:8" ht="25.05" customHeight="1" x14ac:dyDescent="0.25">
      <c r="A22264" s="2" t="s">
        <v>8</v>
      </c>
      <c r="B22264" s="2" t="str">
        <f>HYPERLINK("http://ts.21cn.com/tousu/show/id/1354440","宏萨小浦优客")</f>
        <v>宏萨小浦优客</v>
      </c>
      <c r="C22264" s="2" t="s">
        <v>9</v>
      </c>
      <c r="D22264" s="2" t="s">
        <v>10</v>
      </c>
      <c r="E22264" s="2" t="str">
        <f>HYPERLINK("http://ts.21cn.com/tousu/show/id/1354440","http://ts.21cn.com/tousu/show/id/1354440")</f>
        <v>http://ts.21cn.com/tousu/show/id/1354440</v>
      </c>
      <c r="F22264" s="2" t="s">
        <v>11</v>
      </c>
      <c r="G22264" s="2" t="s">
        <v>362</v>
      </c>
      <c r="H22264" s="2" t="s">
        <v>363</v>
      </c>
    </row>
    <row r="22265" spans="1:8" ht="25.05" customHeight="1" x14ac:dyDescent="0.25">
      <c r="A22265" s="2" t="s">
        <v>8</v>
      </c>
      <c r="B22265" s="2" t="str">
        <f>HYPERLINK("http://ts.21cn.com/tousu/show/id/1354441","招商催收")</f>
        <v>招商催收</v>
      </c>
      <c r="C22265" s="2" t="s">
        <v>9</v>
      </c>
      <c r="D22265" s="2" t="s">
        <v>10</v>
      </c>
      <c r="E22265" s="2" t="str">
        <f>HYPERLINK("http://ts.21cn.com/tousu/show/id/1354441","http://ts.21cn.com/tousu/show/id/1354441")</f>
        <v>http://ts.21cn.com/tousu/show/id/1354441</v>
      </c>
      <c r="F22265" s="2" t="s">
        <v>11</v>
      </c>
      <c r="G22265" s="2" t="s">
        <v>360</v>
      </c>
      <c r="H22265" s="2" t="s">
        <v>361</v>
      </c>
    </row>
    <row r="22266" spans="1:8" ht="25.05" customHeight="1" x14ac:dyDescent="0.25">
      <c r="A22266" s="2" t="s">
        <v>8</v>
      </c>
      <c r="B22266" s="2" t="str">
        <f>HYPERLINK("http://ts.21cn.com/tousu/show/id/1354442","高利贷利息")</f>
        <v>高利贷利息</v>
      </c>
      <c r="C22266" s="2" t="s">
        <v>9</v>
      </c>
      <c r="D22266" s="2" t="s">
        <v>10</v>
      </c>
      <c r="E22266" s="2" t="str">
        <f>HYPERLINK("http://ts.21cn.com/tousu/show/id/1354442","http://ts.21cn.com/tousu/show/id/1354442")</f>
        <v>http://ts.21cn.com/tousu/show/id/1354442</v>
      </c>
      <c r="F22266" s="2" t="s">
        <v>11</v>
      </c>
      <c r="G22266" s="2" t="s">
        <v>358</v>
      </c>
      <c r="H22266" s="2" t="s">
        <v>359</v>
      </c>
    </row>
    <row r="22267" spans="1:8" ht="25.05" customHeight="1" x14ac:dyDescent="0.25">
      <c r="A22267" s="2" t="s">
        <v>8</v>
      </c>
      <c r="B22267" s="2" t="str">
        <f>HYPERLINK("http://ts.21cn.com/tousu/show/id/1354445","上海翰银为赌博输平台收单，请求瀚银为我退款挽回经济损失")</f>
        <v>上海翰银为赌博输平台收单，请求瀚银为我退款挽回经济损失</v>
      </c>
      <c r="C22267" s="2" t="s">
        <v>9</v>
      </c>
      <c r="D22267" s="2" t="s">
        <v>10</v>
      </c>
      <c r="E22267" s="2" t="str">
        <f>HYPERLINK("http://ts.21cn.com/tousu/show/id/1354445","http://ts.21cn.com/tousu/show/id/1354445")</f>
        <v>http://ts.21cn.com/tousu/show/id/1354445</v>
      </c>
      <c r="F22267" s="2" t="s">
        <v>11</v>
      </c>
      <c r="G22267" s="2" t="s">
        <v>356</v>
      </c>
      <c r="H22267" s="2" t="s">
        <v>357</v>
      </c>
    </row>
    <row r="22268" spans="1:8" ht="25.05" customHeight="1" x14ac:dyDescent="0.25">
      <c r="A22268" s="2" t="s">
        <v>8</v>
      </c>
      <c r="B22268" s="2" t="str">
        <f>HYPERLINK("http://ts.21cn.com/tousu/show/id/1354443","拼多多敲诈10W元保证金")</f>
        <v>拼多多敲诈10W元保证金</v>
      </c>
      <c r="C22268" s="2" t="s">
        <v>9</v>
      </c>
      <c r="D22268" s="2" t="s">
        <v>10</v>
      </c>
      <c r="E22268" s="2" t="str">
        <f>HYPERLINK("http://ts.21cn.com/tousu/show/id/1354443","http://ts.21cn.com/tousu/show/id/1354443")</f>
        <v>http://ts.21cn.com/tousu/show/id/1354443</v>
      </c>
      <c r="F22268" s="2" t="s">
        <v>11</v>
      </c>
      <c r="G22268" s="2" t="s">
        <v>354</v>
      </c>
      <c r="H22268" s="2" t="s">
        <v>355</v>
      </c>
    </row>
    <row r="22269" spans="1:8" ht="25.05" customHeight="1" x14ac:dyDescent="0.25">
      <c r="A22269" s="2" t="s">
        <v>8</v>
      </c>
      <c r="B22269" s="2" t="str">
        <f>HYPERLINK("http://ts.21cn.com/tousu/show/id/1354446","宝付支付为违法高利贷怡借违规提供支付渠道")</f>
        <v>宝付支付为违法高利贷怡借违规提供支付渠道</v>
      </c>
      <c r="C22269" s="2" t="s">
        <v>9</v>
      </c>
      <c r="D22269" s="2" t="s">
        <v>10</v>
      </c>
      <c r="E22269" s="2" t="str">
        <f>HYPERLINK("http://ts.21cn.com/tousu/show/id/1354446","http://ts.21cn.com/tousu/show/id/1354446")</f>
        <v>http://ts.21cn.com/tousu/show/id/1354446</v>
      </c>
      <c r="F22269" s="2" t="s">
        <v>11</v>
      </c>
      <c r="G22269" s="2" t="s">
        <v>352</v>
      </c>
      <c r="H22269" s="2" t="s">
        <v>353</v>
      </c>
    </row>
    <row r="22270" spans="1:8" ht="25.05" customHeight="1" x14ac:dyDescent="0.25">
      <c r="A22270" s="2" t="s">
        <v>8</v>
      </c>
      <c r="B22270" s="2" t="str">
        <f>HYPERLINK("http://ts.21cn.com/tousu/show/id/1354447","钱站阴阳合同砍头息，取消借款迟迟不给办理")</f>
        <v>钱站阴阳合同砍头息，取消借款迟迟不给办理</v>
      </c>
      <c r="C22270" s="2" t="s">
        <v>9</v>
      </c>
      <c r="D22270" s="2" t="s">
        <v>10</v>
      </c>
      <c r="E22270" s="2" t="str">
        <f>HYPERLINK("http://ts.21cn.com/tousu/show/id/1354447","http://ts.21cn.com/tousu/show/id/1354447")</f>
        <v>http://ts.21cn.com/tousu/show/id/1354447</v>
      </c>
      <c r="F22270" s="2" t="s">
        <v>11</v>
      </c>
      <c r="G22270" s="2" t="s">
        <v>350</v>
      </c>
      <c r="H22270" s="2" t="s">
        <v>351</v>
      </c>
    </row>
    <row r="22271" spans="1:8" ht="25.05" customHeight="1" x14ac:dyDescent="0.25">
      <c r="A22271" s="2" t="s">
        <v>8</v>
      </c>
      <c r="B22271" s="2" t="str">
        <f>HYPERLINK("http://ts.21cn.com/tousu/show/id/1354425","上海淇毓信息科技有限公司（306借条）涉嫌违规收费并不准守合同条款，不处理问题")</f>
        <v>上海淇毓信息科技有限公司（306借条）涉嫌违规收费并不准守合同条款，不处理问题</v>
      </c>
      <c r="C22271" s="2" t="s">
        <v>9</v>
      </c>
      <c r="D22271" s="2" t="s">
        <v>10</v>
      </c>
      <c r="E22271" s="2" t="str">
        <f>HYPERLINK("http://ts.21cn.com/tousu/show/id/1354425","http://ts.21cn.com/tousu/show/id/1354425")</f>
        <v>http://ts.21cn.com/tousu/show/id/1354425</v>
      </c>
      <c r="F22271" s="2" t="s">
        <v>11</v>
      </c>
      <c r="G22271" s="2" t="s">
        <v>348</v>
      </c>
      <c r="H22271" s="2" t="s">
        <v>349</v>
      </c>
    </row>
    <row r="22272" spans="1:8" ht="25.05" customHeight="1" x14ac:dyDescent="0.25">
      <c r="A22272" s="2" t="s">
        <v>8</v>
      </c>
      <c r="B22272" s="2" t="str">
        <f>HYPERLINK("http://ts.21cn.com/tousu/show/id/1354439","裕福科技为非法博彩平台提供收款通道")</f>
        <v>裕福科技为非法博彩平台提供收款通道</v>
      </c>
      <c r="C22272" s="2" t="s">
        <v>34</v>
      </c>
      <c r="D22272" s="2" t="s">
        <v>10</v>
      </c>
      <c r="E22272" s="2" t="str">
        <f>HYPERLINK("http://ts.21cn.com/tousu/show/id/1354439","http://ts.21cn.com/tousu/show/id/1354439")</f>
        <v>http://ts.21cn.com/tousu/show/id/1354439</v>
      </c>
      <c r="F22272" s="2" t="s">
        <v>11</v>
      </c>
      <c r="G22272" s="2" t="s">
        <v>346</v>
      </c>
      <c r="H22272" s="2" t="s">
        <v>347</v>
      </c>
    </row>
    <row r="22273" spans="1:8" ht="25.05" customHeight="1" x14ac:dyDescent="0.25">
      <c r="A22273" s="2" t="s">
        <v>8</v>
      </c>
      <c r="B22273" s="2" t="str">
        <f>HYPERLINK("http://ts.21cn.com/tousu/show/id/1354450","苏宁第三方催收对我进行辱骂，爆我通讯录，威胁我爸妈，对我个人进行人格侮辱，简直无法无天，扬言要把我通讯录全都打一遍")</f>
        <v>苏宁第三方催收对我进行辱骂，爆我通讯录，威胁我爸妈，对我个人进行人格侮辱，简直无法无天，扬言要把我通讯录全都打一遍</v>
      </c>
      <c r="C22273" s="2" t="s">
        <v>9</v>
      </c>
      <c r="D22273" s="2" t="s">
        <v>10</v>
      </c>
      <c r="E22273" s="2" t="str">
        <f>HYPERLINK("http://ts.21cn.com/tousu/show/id/1354450","http://ts.21cn.com/tousu/show/id/1354450")</f>
        <v>http://ts.21cn.com/tousu/show/id/1354450</v>
      </c>
      <c r="F22273" s="2" t="s">
        <v>11</v>
      </c>
      <c r="G22273" s="2" t="s">
        <v>344</v>
      </c>
      <c r="H22273" s="2" t="s">
        <v>345</v>
      </c>
    </row>
    <row r="22274" spans="1:8" ht="25.05" customHeight="1" x14ac:dyDescent="0.25">
      <c r="A22274" s="2" t="s">
        <v>8</v>
      </c>
      <c r="B22274" s="2" t="str">
        <f>HYPERLINK("http://ts.21cn.com/tousu/show/id/1354449","爱农驿站为赌博网站提供支付通道")</f>
        <v>爱农驿站为赌博网站提供支付通道</v>
      </c>
      <c r="C22274" s="2" t="s">
        <v>9</v>
      </c>
      <c r="D22274" s="2" t="s">
        <v>10</v>
      </c>
      <c r="E22274" s="2" t="str">
        <f>HYPERLINK("http://ts.21cn.com/tousu/show/id/1354449","http://ts.21cn.com/tousu/show/id/1354449")</f>
        <v>http://ts.21cn.com/tousu/show/id/1354449</v>
      </c>
      <c r="F22274" s="2" t="s">
        <v>11</v>
      </c>
      <c r="G22274" s="2" t="s">
        <v>342</v>
      </c>
      <c r="H22274" s="2" t="s">
        <v>343</v>
      </c>
    </row>
    <row r="22275" spans="1:8" ht="25.05" customHeight="1" x14ac:dyDescent="0.25">
      <c r="A22275" s="2" t="s">
        <v>8</v>
      </c>
      <c r="B22275" s="2" t="str">
        <f>HYPERLINK("http://ts.21cn.com/tousu/show/id/1354451","未经本人同意查询个人征信")</f>
        <v>未经本人同意查询个人征信</v>
      </c>
      <c r="C22275" s="2" t="s">
        <v>9</v>
      </c>
      <c r="D22275" s="2" t="s">
        <v>10</v>
      </c>
      <c r="E22275" s="2" t="str">
        <f>HYPERLINK("http://ts.21cn.com/tousu/show/id/1354451","http://ts.21cn.com/tousu/show/id/1354451")</f>
        <v>http://ts.21cn.com/tousu/show/id/1354451</v>
      </c>
      <c r="F22275" s="2" t="s">
        <v>11</v>
      </c>
      <c r="G22275" s="2" t="s">
        <v>340</v>
      </c>
      <c r="H22275" s="2" t="s">
        <v>341</v>
      </c>
    </row>
    <row r="22276" spans="1:8" ht="25.05" customHeight="1" x14ac:dyDescent="0.25">
      <c r="A22276" s="2" t="s">
        <v>8</v>
      </c>
      <c r="B22276" s="2" t="str">
        <f>HYPERLINK("http://ts.21cn.com/tousu/show/id/1354421","杉德支付为非法博彩提供收款通道")</f>
        <v>杉德支付为非法博彩提供收款通道</v>
      </c>
      <c r="C22276" s="2" t="s">
        <v>34</v>
      </c>
      <c r="D22276" s="2" t="s">
        <v>10</v>
      </c>
      <c r="E22276" s="2" t="str">
        <f>HYPERLINK("http://ts.21cn.com/tousu/show/id/1354421","http://ts.21cn.com/tousu/show/id/1354421")</f>
        <v>http://ts.21cn.com/tousu/show/id/1354421</v>
      </c>
      <c r="F22276" s="2" t="s">
        <v>11</v>
      </c>
      <c r="G22276" s="2" t="s">
        <v>338</v>
      </c>
      <c r="H22276" s="2" t="s">
        <v>339</v>
      </c>
    </row>
    <row r="22277" spans="1:8" ht="25.05" customHeight="1" x14ac:dyDescent="0.25">
      <c r="A22277" s="2" t="s">
        <v>8</v>
      </c>
      <c r="B22277" s="2" t="str">
        <f>HYPERLINK("http://ts.21cn.com/tousu/show/id/1354452","58好借爆通讯录")</f>
        <v>58好借爆通讯录</v>
      </c>
      <c r="C22277" s="2" t="s">
        <v>9</v>
      </c>
      <c r="D22277" s="2" t="s">
        <v>10</v>
      </c>
      <c r="E22277" s="2" t="str">
        <f>HYPERLINK("http://ts.21cn.com/tousu/show/id/1354452","http://ts.21cn.com/tousu/show/id/1354452")</f>
        <v>http://ts.21cn.com/tousu/show/id/1354452</v>
      </c>
      <c r="F22277" s="2" t="s">
        <v>11</v>
      </c>
      <c r="G22277" s="2" t="s">
        <v>336</v>
      </c>
      <c r="H22277" s="2" t="s">
        <v>337</v>
      </c>
    </row>
    <row r="22278" spans="1:8" ht="25.05" customHeight="1" x14ac:dyDescent="0.25">
      <c r="A22278" s="2" t="s">
        <v>8</v>
      </c>
      <c r="B22278" s="2" t="str">
        <f>HYPERLINK("http://ts.21cn.com/tousu/show/id/1354453","闪电借款还款压力申请延期还款")</f>
        <v>闪电借款还款压力申请延期还款</v>
      </c>
      <c r="C22278" s="2" t="s">
        <v>34</v>
      </c>
      <c r="D22278" s="2" t="s">
        <v>10</v>
      </c>
      <c r="E22278" s="2" t="str">
        <f>HYPERLINK("http://ts.21cn.com/tousu/show/id/1354453","http://ts.21cn.com/tousu/show/id/1354453")</f>
        <v>http://ts.21cn.com/tousu/show/id/1354453</v>
      </c>
      <c r="F22278" s="2" t="s">
        <v>11</v>
      </c>
      <c r="G22278" s="2" t="s">
        <v>334</v>
      </c>
      <c r="H22278" s="2" t="s">
        <v>335</v>
      </c>
    </row>
    <row r="22279" spans="1:8" ht="25.05" customHeight="1" x14ac:dyDescent="0.25">
      <c r="A22279" s="2" t="s">
        <v>8</v>
      </c>
      <c r="B22279" s="2" t="str">
        <f>HYPERLINK("http://ts.21cn.com/tousu/show/id/1354455","快贷")</f>
        <v>快贷</v>
      </c>
      <c r="C22279" s="2" t="s">
        <v>9</v>
      </c>
      <c r="D22279" s="2" t="s">
        <v>10</v>
      </c>
      <c r="E22279" s="2" t="str">
        <f>HYPERLINK("http://ts.21cn.com/tousu/show/id/1354455","http://ts.21cn.com/tousu/show/id/1354455")</f>
        <v>http://ts.21cn.com/tousu/show/id/1354455</v>
      </c>
      <c r="F22279" s="2" t="s">
        <v>11</v>
      </c>
      <c r="G22279" s="2" t="s">
        <v>332</v>
      </c>
      <c r="H22279" s="2" t="s">
        <v>333</v>
      </c>
    </row>
    <row r="22280" spans="1:8" ht="25.05" customHeight="1" x14ac:dyDescent="0.25">
      <c r="A22280" s="2" t="s">
        <v>8</v>
      </c>
      <c r="B22280" s="2" t="str">
        <f>HYPERLINK("http://ts.21cn.com/tousu/show/id/1354454","阿里巴巴小二受贿不作为，助长欺诈消费者商家气焰")</f>
        <v>阿里巴巴小二受贿不作为，助长欺诈消费者商家气焰</v>
      </c>
      <c r="C22280" s="2" t="s">
        <v>9</v>
      </c>
      <c r="D22280" s="2" t="s">
        <v>10</v>
      </c>
      <c r="E22280" s="2" t="str">
        <f>HYPERLINK("http://ts.21cn.com/tousu/show/id/1354454","http://ts.21cn.com/tousu/show/id/1354454")</f>
        <v>http://ts.21cn.com/tousu/show/id/1354454</v>
      </c>
      <c r="F22280" s="2" t="s">
        <v>11</v>
      </c>
      <c r="G22280" s="2" t="s">
        <v>330</v>
      </c>
      <c r="H22280" s="2" t="s">
        <v>331</v>
      </c>
    </row>
    <row r="22281" spans="1:8" ht="25.05" customHeight="1" x14ac:dyDescent="0.25">
      <c r="A22281" s="2" t="s">
        <v>8</v>
      </c>
      <c r="B22281" s="2" t="str">
        <f>HYPERLINK("http://ts.21cn.com/tousu/show/id/1354456","双证司机滴滴四个小时不给单")</f>
        <v>双证司机滴滴四个小时不给单</v>
      </c>
      <c r="C22281" s="2" t="s">
        <v>9</v>
      </c>
      <c r="D22281" s="2" t="s">
        <v>10</v>
      </c>
      <c r="E22281" s="2" t="str">
        <f>HYPERLINK("http://ts.21cn.com/tousu/show/id/1354456","http://ts.21cn.com/tousu/show/id/1354456")</f>
        <v>http://ts.21cn.com/tousu/show/id/1354456</v>
      </c>
      <c r="F22281" s="2" t="s">
        <v>11</v>
      </c>
      <c r="G22281" s="2" t="s">
        <v>328</v>
      </c>
      <c r="H22281" s="2" t="s">
        <v>329</v>
      </c>
    </row>
    <row r="22282" spans="1:8" ht="25.05" customHeight="1" x14ac:dyDescent="0.25">
      <c r="A22282" s="2" t="s">
        <v>8</v>
      </c>
      <c r="B22282" s="2" t="str">
        <f>HYPERLINK("http://ts.21cn.com/tousu/show/id/1354457","造艺科技下面的聚富分期合同虚构私自扣款")</f>
        <v>造艺科技下面的聚富分期合同虚构私自扣款</v>
      </c>
      <c r="C22282" s="2" t="s">
        <v>9</v>
      </c>
      <c r="D22282" s="2" t="s">
        <v>10</v>
      </c>
      <c r="E22282" s="2" t="str">
        <f>HYPERLINK("http://ts.21cn.com/tousu/show/id/1354457","http://ts.21cn.com/tousu/show/id/1354457")</f>
        <v>http://ts.21cn.com/tousu/show/id/1354457</v>
      </c>
      <c r="F22282" s="2" t="s">
        <v>11</v>
      </c>
      <c r="G22282" s="2" t="s">
        <v>326</v>
      </c>
      <c r="H22282" s="2" t="s">
        <v>327</v>
      </c>
    </row>
    <row r="22283" spans="1:8" ht="25.05" customHeight="1" x14ac:dyDescent="0.25">
      <c r="A22283" s="2" t="s">
        <v>8</v>
      </c>
      <c r="B22283" s="2" t="str">
        <f>HYPERLINK("http://ts.21cn.com/tousu/show/id/1354458","拍拍贷违规收取风险保障金")</f>
        <v>拍拍贷违规收取风险保障金</v>
      </c>
      <c r="C22283" s="2" t="s">
        <v>9</v>
      </c>
      <c r="D22283" s="2" t="s">
        <v>10</v>
      </c>
      <c r="E22283" s="2" t="str">
        <f>HYPERLINK("http://ts.21cn.com/tousu/show/id/1354458","http://ts.21cn.com/tousu/show/id/1354458")</f>
        <v>http://ts.21cn.com/tousu/show/id/1354458</v>
      </c>
      <c r="F22283" s="2" t="s">
        <v>11</v>
      </c>
      <c r="G22283" s="2" t="s">
        <v>324</v>
      </c>
      <c r="H22283" s="2" t="s">
        <v>325</v>
      </c>
    </row>
    <row r="22284" spans="1:8" ht="25.05" customHeight="1" x14ac:dyDescent="0.25">
      <c r="A22284" s="2" t="s">
        <v>8</v>
      </c>
      <c r="B22284" s="2" t="str">
        <f>HYPERLINK("http://ts.21cn.com/tousu/show/id/1354459","捷信消费金融有限公司长期电话催款，欠款人我不认识")</f>
        <v>捷信消费金融有限公司长期电话催款，欠款人我不认识</v>
      </c>
      <c r="C22284" s="2" t="s">
        <v>9</v>
      </c>
      <c r="D22284" s="2" t="s">
        <v>10</v>
      </c>
      <c r="E22284" s="2" t="str">
        <f>HYPERLINK("http://ts.21cn.com/tousu/show/id/1354459","http://ts.21cn.com/tousu/show/id/1354459")</f>
        <v>http://ts.21cn.com/tousu/show/id/1354459</v>
      </c>
      <c r="F22284" s="2" t="s">
        <v>11</v>
      </c>
      <c r="G22284" s="2" t="s">
        <v>322</v>
      </c>
      <c r="H22284" s="2" t="s">
        <v>323</v>
      </c>
    </row>
    <row r="22285" spans="1:8" ht="25.05" customHeight="1" x14ac:dyDescent="0.25">
      <c r="A22285" s="2" t="s">
        <v>8</v>
      </c>
      <c r="B22285" s="2" t="str">
        <f>HYPERLINK("http://ts.21cn.com/tousu/show/id/1354460","支付宝竟然是网络赌博游戏的第三方支付")</f>
        <v>支付宝竟然是网络赌博游戏的第三方支付</v>
      </c>
      <c r="C22285" s="2" t="s">
        <v>34</v>
      </c>
      <c r="D22285" s="2" t="s">
        <v>10</v>
      </c>
      <c r="E22285" s="2" t="str">
        <f>HYPERLINK("http://ts.21cn.com/tousu/show/id/1354460","http://ts.21cn.com/tousu/show/id/1354460")</f>
        <v>http://ts.21cn.com/tousu/show/id/1354460</v>
      </c>
      <c r="F22285" s="2" t="s">
        <v>11</v>
      </c>
      <c r="G22285" s="2" t="s">
        <v>320</v>
      </c>
      <c r="H22285" s="2" t="s">
        <v>321</v>
      </c>
    </row>
    <row r="22286" spans="1:8" ht="25.05" customHeight="1" x14ac:dyDescent="0.25">
      <c r="A22286" s="2" t="s">
        <v>8</v>
      </c>
      <c r="B22286" s="2" t="str">
        <f>HYPERLINK("http://ts.21cn.com/tousu/show/id/1354461","海尔云贷砍头息")</f>
        <v>海尔云贷砍头息</v>
      </c>
      <c r="C22286" s="2" t="s">
        <v>9</v>
      </c>
      <c r="D22286" s="2" t="s">
        <v>10</v>
      </c>
      <c r="E22286" s="2" t="str">
        <f>HYPERLINK("http://ts.21cn.com/tousu/show/id/1354461","http://ts.21cn.com/tousu/show/id/1354461")</f>
        <v>http://ts.21cn.com/tousu/show/id/1354461</v>
      </c>
      <c r="F22286" s="2" t="s">
        <v>11</v>
      </c>
      <c r="G22286" s="2" t="s">
        <v>318</v>
      </c>
      <c r="H22286" s="2" t="s">
        <v>319</v>
      </c>
    </row>
    <row r="22287" spans="1:8" ht="25.05" customHeight="1" x14ac:dyDescent="0.25">
      <c r="A22287" s="2" t="s">
        <v>8</v>
      </c>
      <c r="B22287" s="2" t="str">
        <f>HYPERLINK("http://ts.21cn.com/tousu/show/id/1354462","及贷恶意增加本金及费用")</f>
        <v>及贷恶意增加本金及费用</v>
      </c>
      <c r="C22287" s="2" t="s">
        <v>9</v>
      </c>
      <c r="D22287" s="2" t="s">
        <v>10</v>
      </c>
      <c r="E22287" s="2" t="str">
        <f>HYPERLINK("http://ts.21cn.com/tousu/show/id/1354462","http://ts.21cn.com/tousu/show/id/1354462")</f>
        <v>http://ts.21cn.com/tousu/show/id/1354462</v>
      </c>
      <c r="F22287" s="2" t="s">
        <v>11</v>
      </c>
      <c r="G22287" s="2" t="s">
        <v>316</v>
      </c>
      <c r="H22287" s="2" t="s">
        <v>317</v>
      </c>
    </row>
    <row r="22288" spans="1:8" ht="25.05" customHeight="1" x14ac:dyDescent="0.25">
      <c r="A22288" s="2" t="s">
        <v>8</v>
      </c>
      <c r="B22288" s="2" t="str">
        <f>HYPERLINK("http://ts.21cn.com/tousu/show/id/1354448","卖家发的苹果电脑与承诺的严重不一致")</f>
        <v>卖家发的苹果电脑与承诺的严重不一致</v>
      </c>
      <c r="C22288" s="2" t="s">
        <v>9</v>
      </c>
      <c r="D22288" s="2" t="s">
        <v>10</v>
      </c>
      <c r="E22288" s="2" t="str">
        <f>HYPERLINK("http://ts.21cn.com/tousu/show/id/1354448","http://ts.21cn.com/tousu/show/id/1354448")</f>
        <v>http://ts.21cn.com/tousu/show/id/1354448</v>
      </c>
      <c r="F22288" s="2" t="s">
        <v>11</v>
      </c>
      <c r="G22288" s="2" t="s">
        <v>314</v>
      </c>
      <c r="H22288" s="2" t="s">
        <v>315</v>
      </c>
    </row>
    <row r="22289" spans="1:8" ht="25.05" customHeight="1" x14ac:dyDescent="0.25">
      <c r="A22289" s="2" t="s">
        <v>8</v>
      </c>
      <c r="B22289" s="2" t="str">
        <f>HYPERLINK("http://ts.21cn.com/tousu/show/id/1354464","网贷")</f>
        <v>网贷</v>
      </c>
      <c r="C22289" s="2" t="s">
        <v>9</v>
      </c>
      <c r="D22289" s="2" t="s">
        <v>10</v>
      </c>
      <c r="E22289" s="2" t="str">
        <f>HYPERLINK("http://ts.21cn.com/tousu/show/id/1354464","http://ts.21cn.com/tousu/show/id/1354464")</f>
        <v>http://ts.21cn.com/tousu/show/id/1354464</v>
      </c>
      <c r="F22289" s="2" t="s">
        <v>11</v>
      </c>
      <c r="G22289" s="2" t="s">
        <v>312</v>
      </c>
      <c r="H22289" s="2" t="s">
        <v>313</v>
      </c>
    </row>
    <row r="22290" spans="1:8" ht="25.05" customHeight="1" x14ac:dyDescent="0.25">
      <c r="A22290" s="2" t="s">
        <v>8</v>
      </c>
      <c r="B22290" s="2" t="str">
        <f>HYPERLINK("http://ts.21cn.com/tousu/show/id/1354463","平安普惠套路贷")</f>
        <v>平安普惠套路贷</v>
      </c>
      <c r="C22290" s="2" t="s">
        <v>9</v>
      </c>
      <c r="D22290" s="2" t="s">
        <v>10</v>
      </c>
      <c r="E22290" s="2" t="str">
        <f>HYPERLINK("http://ts.21cn.com/tousu/show/id/1354463","http://ts.21cn.com/tousu/show/id/1354463")</f>
        <v>http://ts.21cn.com/tousu/show/id/1354463</v>
      </c>
      <c r="F22290" s="2" t="s">
        <v>11</v>
      </c>
      <c r="G22290" s="2" t="s">
        <v>310</v>
      </c>
      <c r="H22290" s="2" t="s">
        <v>311</v>
      </c>
    </row>
    <row r="22291" spans="1:8" ht="25.05" customHeight="1" x14ac:dyDescent="0.25">
      <c r="A22291" s="2" t="s">
        <v>8</v>
      </c>
      <c r="B22291" s="2" t="str">
        <f>HYPERLINK("http://ts.21cn.com/tousu/show/id/1354426","瀚银科技为非法博彩平台提供收款通道")</f>
        <v>瀚银科技为非法博彩平台提供收款通道</v>
      </c>
      <c r="C22291" s="2" t="s">
        <v>34</v>
      </c>
      <c r="D22291" s="2" t="s">
        <v>10</v>
      </c>
      <c r="E22291" s="2" t="str">
        <f>HYPERLINK("http://ts.21cn.com/tousu/show/id/1354426","http://ts.21cn.com/tousu/show/id/1354426")</f>
        <v>http://ts.21cn.com/tousu/show/id/1354426</v>
      </c>
      <c r="F22291" s="2" t="s">
        <v>11</v>
      </c>
      <c r="G22291" s="2" t="s">
        <v>308</v>
      </c>
      <c r="H22291" s="2" t="s">
        <v>309</v>
      </c>
    </row>
    <row r="22292" spans="1:8" ht="25.05" customHeight="1" x14ac:dyDescent="0.25">
      <c r="A22292" s="2" t="s">
        <v>8</v>
      </c>
      <c r="B22292" s="2" t="str">
        <f>HYPERLINK("http://ts.21cn.com/tousu/show/id/1354468","造艺隐藏字眼，盗扣，诱导消费者，性质恶劣")</f>
        <v>造艺隐藏字眼，盗扣，诱导消费者，性质恶劣</v>
      </c>
      <c r="C22292" s="2" t="s">
        <v>9</v>
      </c>
      <c r="D22292" s="2" t="s">
        <v>10</v>
      </c>
      <c r="E22292" s="2" t="str">
        <f>HYPERLINK("http://ts.21cn.com/tousu/show/id/1354468","http://ts.21cn.com/tousu/show/id/1354468")</f>
        <v>http://ts.21cn.com/tousu/show/id/1354468</v>
      </c>
      <c r="F22292" s="2" t="s">
        <v>11</v>
      </c>
      <c r="G22292" s="2" t="s">
        <v>306</v>
      </c>
      <c r="H22292" s="2" t="s">
        <v>307</v>
      </c>
    </row>
    <row r="22293" spans="1:8" ht="25.05" customHeight="1" x14ac:dyDescent="0.25">
      <c r="A22293" s="2" t="s">
        <v>8</v>
      </c>
      <c r="B22293" s="2" t="str">
        <f>HYPERLINK("http://ts.21cn.com/tousu/show/id/1354469","乐刷业务人员，虚假宣传销售乐刷pos机")</f>
        <v>乐刷业务人员，虚假宣传销售乐刷pos机</v>
      </c>
      <c r="C22293" s="2" t="s">
        <v>9</v>
      </c>
      <c r="D22293" s="2" t="s">
        <v>10</v>
      </c>
      <c r="E22293" s="2" t="str">
        <f>HYPERLINK("http://ts.21cn.com/tousu/show/id/1354469","http://ts.21cn.com/tousu/show/id/1354469")</f>
        <v>http://ts.21cn.com/tousu/show/id/1354469</v>
      </c>
      <c r="F22293" s="2" t="s">
        <v>11</v>
      </c>
      <c r="G22293" s="2" t="s">
        <v>304</v>
      </c>
      <c r="H22293" s="2" t="s">
        <v>305</v>
      </c>
    </row>
    <row r="22294" spans="1:8" ht="25.05" customHeight="1" x14ac:dyDescent="0.25">
      <c r="A22294" s="2" t="s">
        <v>8</v>
      </c>
      <c r="B22294" s="2" t="str">
        <f>HYPERLINK("http://ts.21cn.com/tousu/show/id/1354470","投诉钱站高利贷及不合法催收")</f>
        <v>投诉钱站高利贷及不合法催收</v>
      </c>
      <c r="C22294" s="2" t="s">
        <v>9</v>
      </c>
      <c r="D22294" s="2" t="s">
        <v>10</v>
      </c>
      <c r="E22294" s="2" t="str">
        <f>HYPERLINK("http://ts.21cn.com/tousu/show/id/1354470","http://ts.21cn.com/tousu/show/id/1354470")</f>
        <v>http://ts.21cn.com/tousu/show/id/1354470</v>
      </c>
      <c r="F22294" s="2" t="s">
        <v>11</v>
      </c>
      <c r="G22294" s="2" t="s">
        <v>302</v>
      </c>
      <c r="H22294" s="2" t="s">
        <v>303</v>
      </c>
    </row>
    <row r="22295" spans="1:8" ht="25.05" customHeight="1" x14ac:dyDescent="0.25">
      <c r="A22295" s="2" t="s">
        <v>8</v>
      </c>
      <c r="B22295" s="2" t="str">
        <f>HYPERLINK("http://ts.21cn.com/tousu/show/id/1354472","苏宁自营不发货不退款找不到客服")</f>
        <v>苏宁自营不发货不退款找不到客服</v>
      </c>
      <c r="C22295" s="2" t="s">
        <v>9</v>
      </c>
      <c r="D22295" s="2" t="s">
        <v>10</v>
      </c>
      <c r="E22295" s="2" t="str">
        <f>HYPERLINK("http://ts.21cn.com/tousu/show/id/1354472","http://ts.21cn.com/tousu/show/id/1354472")</f>
        <v>http://ts.21cn.com/tousu/show/id/1354472</v>
      </c>
      <c r="F22295" s="2" t="s">
        <v>11</v>
      </c>
      <c r="G22295" s="2" t="s">
        <v>300</v>
      </c>
      <c r="H22295" s="2" t="s">
        <v>301</v>
      </c>
    </row>
    <row r="22296" spans="1:8" ht="25.05" customHeight="1" x14ac:dyDescent="0.25">
      <c r="A22296" s="2" t="s">
        <v>8</v>
      </c>
      <c r="B22296" s="2" t="str">
        <f>HYPERLINK("http://ts.21cn.com/tousu/show/id/1354471","众行租车押金无法退换")</f>
        <v>众行租车押金无法退换</v>
      </c>
      <c r="C22296" s="2" t="s">
        <v>9</v>
      </c>
      <c r="D22296" s="2" t="s">
        <v>10</v>
      </c>
      <c r="E22296" s="2" t="str">
        <f>HYPERLINK("http://ts.21cn.com/tousu/show/id/1354471","http://ts.21cn.com/tousu/show/id/1354471")</f>
        <v>http://ts.21cn.com/tousu/show/id/1354471</v>
      </c>
      <c r="F22296" s="2" t="s">
        <v>11</v>
      </c>
      <c r="G22296" s="2" t="s">
        <v>298</v>
      </c>
      <c r="H22296" s="2" t="s">
        <v>299</v>
      </c>
    </row>
    <row r="22297" spans="1:8" ht="25.05" customHeight="1" x14ac:dyDescent="0.25">
      <c r="A22297" s="2" t="s">
        <v>8</v>
      </c>
      <c r="B22297" s="2" t="str">
        <f>HYPERLINK("http://ts.21cn.com/tousu/show/id/1354473","霸王条款，全额退款")</f>
        <v>霸王条款，全额退款</v>
      </c>
      <c r="C22297" s="2" t="s">
        <v>9</v>
      </c>
      <c r="D22297" s="2" t="s">
        <v>10</v>
      </c>
      <c r="E22297" s="2" t="str">
        <f>HYPERLINK("http://ts.21cn.com/tousu/show/id/1354473","http://ts.21cn.com/tousu/show/id/1354473")</f>
        <v>http://ts.21cn.com/tousu/show/id/1354473</v>
      </c>
      <c r="F22297" s="2" t="s">
        <v>11</v>
      </c>
      <c r="G22297" s="2" t="s">
        <v>296</v>
      </c>
      <c r="H22297" s="2" t="s">
        <v>297</v>
      </c>
    </row>
    <row r="22298" spans="1:8" ht="25.05" customHeight="1" x14ac:dyDescent="0.25">
      <c r="A22298" s="2" t="s">
        <v>8</v>
      </c>
      <c r="B22298" s="2" t="str">
        <f>HYPERLINK("http://ts.21cn.com/tousu/show/id/1354475","要求注销信用卡账户")</f>
        <v>要求注销信用卡账户</v>
      </c>
      <c r="C22298" s="2" t="s">
        <v>9</v>
      </c>
      <c r="D22298" s="2" t="s">
        <v>10</v>
      </c>
      <c r="E22298" s="2" t="str">
        <f>HYPERLINK("http://ts.21cn.com/tousu/show/id/1354475","http://ts.21cn.com/tousu/show/id/1354475")</f>
        <v>http://ts.21cn.com/tousu/show/id/1354475</v>
      </c>
      <c r="F22298" s="2" t="s">
        <v>11</v>
      </c>
      <c r="G22298" s="2" t="s">
        <v>294</v>
      </c>
      <c r="H22298" s="2" t="s">
        <v>295</v>
      </c>
    </row>
    <row r="22299" spans="1:8" ht="25.05" customHeight="1" x14ac:dyDescent="0.25">
      <c r="A22299" s="2" t="s">
        <v>8</v>
      </c>
      <c r="B22299" s="2" t="str">
        <f>HYPERLINK("http://ts.21cn.com/tousu/show/id/1354474","20000本金两年利息9000")</f>
        <v>20000本金两年利息9000</v>
      </c>
      <c r="C22299" s="2" t="s">
        <v>9</v>
      </c>
      <c r="D22299" s="2" t="s">
        <v>10</v>
      </c>
      <c r="E22299" s="2" t="str">
        <f>HYPERLINK("http://ts.21cn.com/tousu/show/id/1354474","http://ts.21cn.com/tousu/show/id/1354474")</f>
        <v>http://ts.21cn.com/tousu/show/id/1354474</v>
      </c>
      <c r="F22299" s="2" t="s">
        <v>11</v>
      </c>
      <c r="G22299" s="2" t="s">
        <v>292</v>
      </c>
      <c r="H22299" s="2" t="s">
        <v>293</v>
      </c>
    </row>
    <row r="22300" spans="1:8" ht="25.05" customHeight="1" x14ac:dyDescent="0.25">
      <c r="A22300" s="2" t="s">
        <v>8</v>
      </c>
      <c r="B22300" s="2" t="str">
        <f>HYPERLINK("http://ts.21cn.com/tousu/show/id/1354477","恒昌公司旗下恒易贷合同金额远高于实际借款金额")</f>
        <v>恒昌公司旗下恒易贷合同金额远高于实际借款金额</v>
      </c>
      <c r="C22300" s="2" t="s">
        <v>9</v>
      </c>
      <c r="D22300" s="2" t="s">
        <v>10</v>
      </c>
      <c r="E22300" s="2" t="str">
        <f>HYPERLINK("http://ts.21cn.com/tousu/show/id/1354477","http://ts.21cn.com/tousu/show/id/1354477")</f>
        <v>http://ts.21cn.com/tousu/show/id/1354477</v>
      </c>
      <c r="F22300" s="2" t="s">
        <v>11</v>
      </c>
      <c r="G22300" s="2" t="s">
        <v>290</v>
      </c>
      <c r="H22300" s="2" t="s">
        <v>291</v>
      </c>
    </row>
    <row r="22301" spans="1:8" ht="25.05" customHeight="1" x14ac:dyDescent="0.25">
      <c r="A22301" s="2" t="s">
        <v>8</v>
      </c>
      <c r="B22301" s="2" t="str">
        <f>HYPERLINK("http://ts.21cn.com/tousu/show/id/1354476","我新注册的号码，这个捷信消费金融有限公司一直打这个电话")</f>
        <v>我新注册的号码，这个捷信消费金融有限公司一直打这个电话</v>
      </c>
      <c r="C22301" s="2" t="s">
        <v>9</v>
      </c>
      <c r="D22301" s="2" t="s">
        <v>10</v>
      </c>
      <c r="E22301" s="2" t="str">
        <f>HYPERLINK("http://ts.21cn.com/tousu/show/id/1354476","http://ts.21cn.com/tousu/show/id/1354476")</f>
        <v>http://ts.21cn.com/tousu/show/id/1354476</v>
      </c>
      <c r="F22301" s="2" t="s">
        <v>11</v>
      </c>
      <c r="G22301" s="2" t="s">
        <v>288</v>
      </c>
      <c r="H22301" s="2" t="s">
        <v>289</v>
      </c>
    </row>
    <row r="22302" spans="1:8" ht="25.05" customHeight="1" x14ac:dyDescent="0.25">
      <c r="A22302" s="2" t="s">
        <v>8</v>
      </c>
      <c r="B22302" s="2" t="str">
        <f>HYPERLINK("http://ts.21cn.com/tousu/show/id/1354478","新橙优品代扣失败导致逾期，并且官方失联")</f>
        <v>新橙优品代扣失败导致逾期，并且官方失联</v>
      </c>
      <c r="C22302" s="2" t="s">
        <v>9</v>
      </c>
      <c r="D22302" s="2" t="s">
        <v>10</v>
      </c>
      <c r="E22302" s="2" t="str">
        <f>HYPERLINK("http://ts.21cn.com/tousu/show/id/1354478","http://ts.21cn.com/tousu/show/id/1354478")</f>
        <v>http://ts.21cn.com/tousu/show/id/1354478</v>
      </c>
      <c r="F22302" s="2" t="s">
        <v>11</v>
      </c>
      <c r="G22302" s="2" t="s">
        <v>286</v>
      </c>
      <c r="H22302" s="2" t="s">
        <v>287</v>
      </c>
    </row>
    <row r="22303" spans="1:8" ht="25.05" customHeight="1" x14ac:dyDescent="0.25">
      <c r="A22303" s="2" t="s">
        <v>8</v>
      </c>
      <c r="B22303" s="2" t="str">
        <f>HYPERLINK("http://ts.21cn.com/tousu/show/id/1354402","广东汇卡为非法博彩提供收款渠道")</f>
        <v>广东汇卡为非法博彩提供收款渠道</v>
      </c>
      <c r="C22303" s="2" t="s">
        <v>34</v>
      </c>
      <c r="D22303" s="2" t="s">
        <v>10</v>
      </c>
      <c r="E22303" s="2" t="str">
        <f>HYPERLINK("http://ts.21cn.com/tousu/show/id/1354402","http://ts.21cn.com/tousu/show/id/1354402")</f>
        <v>http://ts.21cn.com/tousu/show/id/1354402</v>
      </c>
      <c r="F22303" s="2" t="s">
        <v>11</v>
      </c>
      <c r="G22303" s="2" t="s">
        <v>284</v>
      </c>
      <c r="H22303" s="2" t="s">
        <v>285</v>
      </c>
    </row>
    <row r="22304" spans="1:8" ht="25.05" customHeight="1" x14ac:dyDescent="0.25">
      <c r="A22304" s="2" t="s">
        <v>8</v>
      </c>
      <c r="B22304" s="2" t="str">
        <f>HYPERLINK("http://ts.21cn.com/tousu/show/id/1354479","恒昌贷款才看见合同金额和下款差距这么大。")</f>
        <v>恒昌贷款才看见合同金额和下款差距这么大。</v>
      </c>
      <c r="C22304" s="2" t="s">
        <v>9</v>
      </c>
      <c r="D22304" s="2" t="s">
        <v>10</v>
      </c>
      <c r="E22304" s="2" t="str">
        <f>HYPERLINK("http://ts.21cn.com/tousu/show/id/1354479","http://ts.21cn.com/tousu/show/id/1354479")</f>
        <v>http://ts.21cn.com/tousu/show/id/1354479</v>
      </c>
      <c r="F22304" s="2" t="s">
        <v>11</v>
      </c>
      <c r="G22304" s="2" t="s">
        <v>282</v>
      </c>
      <c r="H22304" s="2" t="s">
        <v>283</v>
      </c>
    </row>
    <row r="22305" spans="1:8" ht="25.05" customHeight="1" x14ac:dyDescent="0.25">
      <c r="A22305" s="2" t="s">
        <v>8</v>
      </c>
      <c r="B22305" s="2" t="str">
        <f>HYPERLINK("http://ts.21cn.com/tousu/show/id/1354480","被无缘无故扣取银行卡里的钱")</f>
        <v>被无缘无故扣取银行卡里的钱</v>
      </c>
      <c r="C22305" s="2" t="s">
        <v>9</v>
      </c>
      <c r="D22305" s="2" t="s">
        <v>10</v>
      </c>
      <c r="E22305" s="2" t="str">
        <f>HYPERLINK("http://ts.21cn.com/tousu/show/id/1354480","http://ts.21cn.com/tousu/show/id/1354480")</f>
        <v>http://ts.21cn.com/tousu/show/id/1354480</v>
      </c>
      <c r="F22305" s="2" t="s">
        <v>11</v>
      </c>
      <c r="G22305" s="2" t="s">
        <v>280</v>
      </c>
      <c r="H22305" s="2" t="s">
        <v>281</v>
      </c>
    </row>
    <row r="22306" spans="1:8" ht="25.05" customHeight="1" x14ac:dyDescent="0.25">
      <c r="A22306" s="2" t="s">
        <v>8</v>
      </c>
      <c r="B22306" s="2" t="str">
        <f>HYPERLINK("http://ts.21cn.com/tousu/show/id/1354481","及贷平台本金已还清，利息要求按照国家规定给，客服不处理")</f>
        <v>及贷平台本金已还清，利息要求按照国家规定给，客服不处理</v>
      </c>
      <c r="C22306" s="2" t="s">
        <v>9</v>
      </c>
      <c r="D22306" s="2" t="s">
        <v>10</v>
      </c>
      <c r="E22306" s="2" t="str">
        <f>HYPERLINK("http://ts.21cn.com/tousu/show/id/1354481","http://ts.21cn.com/tousu/show/id/1354481")</f>
        <v>http://ts.21cn.com/tousu/show/id/1354481</v>
      </c>
      <c r="F22306" s="2" t="s">
        <v>11</v>
      </c>
      <c r="G22306" s="2" t="s">
        <v>278</v>
      </c>
      <c r="H22306" s="2" t="s">
        <v>279</v>
      </c>
    </row>
    <row r="22307" spans="1:8" ht="25.05" customHeight="1" x14ac:dyDescent="0.25">
      <c r="A22307" s="2" t="s">
        <v>8</v>
      </c>
      <c r="B22307" s="2" t="str">
        <f>HYPERLINK("http://ts.21cn.com/tousu/show/id/1354483","拍拍贷套路贷砍头息")</f>
        <v>拍拍贷套路贷砍头息</v>
      </c>
      <c r="C22307" s="2" t="s">
        <v>9</v>
      </c>
      <c r="D22307" s="2" t="s">
        <v>10</v>
      </c>
      <c r="E22307" s="2" t="str">
        <f>HYPERLINK("http://ts.21cn.com/tousu/show/id/1354483","http://ts.21cn.com/tousu/show/id/1354483")</f>
        <v>http://ts.21cn.com/tousu/show/id/1354483</v>
      </c>
      <c r="F22307" s="2" t="s">
        <v>11</v>
      </c>
      <c r="G22307" s="2" t="s">
        <v>276</v>
      </c>
      <c r="H22307" s="2" t="s">
        <v>277</v>
      </c>
    </row>
    <row r="22308" spans="1:8" ht="25.05" customHeight="1" x14ac:dyDescent="0.25">
      <c r="A22308" s="2" t="s">
        <v>8</v>
      </c>
      <c r="B22308" s="2" t="str">
        <f>HYPERLINK("http://ts.21cn.com/tousu/show/id/1354482","天猫店铺卖残次品")</f>
        <v>天猫店铺卖残次品</v>
      </c>
      <c r="C22308" s="2" t="s">
        <v>34</v>
      </c>
      <c r="D22308" s="2" t="s">
        <v>10</v>
      </c>
      <c r="E22308" s="2" t="str">
        <f>HYPERLINK("http://ts.21cn.com/tousu/show/id/1354482","http://ts.21cn.com/tousu/show/id/1354482")</f>
        <v>http://ts.21cn.com/tousu/show/id/1354482</v>
      </c>
      <c r="F22308" s="2" t="s">
        <v>11</v>
      </c>
      <c r="G22308" s="2" t="s">
        <v>274</v>
      </c>
      <c r="H22308" s="2" t="s">
        <v>275</v>
      </c>
    </row>
    <row r="22309" spans="1:8" ht="25.05" customHeight="1" x14ac:dyDescent="0.25">
      <c r="A22309" s="2" t="s">
        <v>8</v>
      </c>
      <c r="B22309" s="2" t="str">
        <f>HYPERLINK("http://ts.21cn.com/tousu/show/id/1354484","拍拍贷高利息")</f>
        <v>拍拍贷高利息</v>
      </c>
      <c r="C22309" s="2" t="s">
        <v>9</v>
      </c>
      <c r="D22309" s="2" t="s">
        <v>10</v>
      </c>
      <c r="E22309" s="2" t="str">
        <f>HYPERLINK("http://ts.21cn.com/tousu/show/id/1354484","http://ts.21cn.com/tousu/show/id/1354484")</f>
        <v>http://ts.21cn.com/tousu/show/id/1354484</v>
      </c>
      <c r="F22309" s="2" t="s">
        <v>11</v>
      </c>
      <c r="G22309" s="2" t="s">
        <v>272</v>
      </c>
      <c r="H22309" s="2" t="s">
        <v>273</v>
      </c>
    </row>
    <row r="22310" spans="1:8" ht="25.05" customHeight="1" x14ac:dyDescent="0.25">
      <c r="A22310" s="2" t="s">
        <v>8</v>
      </c>
      <c r="B22310" s="2" t="str">
        <f>HYPERLINK("http://ts.21cn.com/tousu/show/id/1354485","蜂鸟众包处罚")</f>
        <v>蜂鸟众包处罚</v>
      </c>
      <c r="C22310" s="2" t="s">
        <v>9</v>
      </c>
      <c r="D22310" s="2" t="s">
        <v>10</v>
      </c>
      <c r="E22310" s="2" t="str">
        <f>HYPERLINK("http://ts.21cn.com/tousu/show/id/1354485","http://ts.21cn.com/tousu/show/id/1354485")</f>
        <v>http://ts.21cn.com/tousu/show/id/1354485</v>
      </c>
      <c r="F22310" s="2" t="s">
        <v>11</v>
      </c>
      <c r="G22310" s="2" t="s">
        <v>270</v>
      </c>
      <c r="H22310" s="2" t="s">
        <v>271</v>
      </c>
    </row>
    <row r="22311" spans="1:8" ht="25.05" customHeight="1" x14ac:dyDescent="0.25">
      <c r="A22311" s="2" t="s">
        <v>8</v>
      </c>
      <c r="B22311" s="2" t="str">
        <f>HYPERLINK("http://ts.21cn.com/tousu/show/id/1354486","造艺科技违规借款学生")</f>
        <v>造艺科技违规借款学生</v>
      </c>
      <c r="C22311" s="2" t="s">
        <v>9</v>
      </c>
      <c r="D22311" s="2" t="s">
        <v>10</v>
      </c>
      <c r="E22311" s="2" t="str">
        <f>HYPERLINK("http://ts.21cn.com/tousu/show/id/1354486","http://ts.21cn.com/tousu/show/id/1354486")</f>
        <v>http://ts.21cn.com/tousu/show/id/1354486</v>
      </c>
      <c r="F22311" s="2" t="s">
        <v>11</v>
      </c>
      <c r="G22311" s="2" t="s">
        <v>268</v>
      </c>
      <c r="H22311" s="2" t="s">
        <v>269</v>
      </c>
    </row>
    <row r="22312" spans="1:8" ht="25.05" customHeight="1" x14ac:dyDescent="0.25">
      <c r="A22312" s="2" t="s">
        <v>8</v>
      </c>
      <c r="B22312" s="2" t="str">
        <f>HYPERLINK("http://ts.21cn.com/tousu/show/id/1354362","银生宝为非法博彩平台提供收款通道")</f>
        <v>银生宝为非法博彩平台提供收款通道</v>
      </c>
      <c r="C22312" s="2" t="s">
        <v>34</v>
      </c>
      <c r="D22312" s="2" t="s">
        <v>10</v>
      </c>
      <c r="E22312" s="2" t="str">
        <f>HYPERLINK("http://ts.21cn.com/tousu/show/id/1354362","http://ts.21cn.com/tousu/show/id/1354362")</f>
        <v>http://ts.21cn.com/tousu/show/id/1354362</v>
      </c>
      <c r="F22312" s="2" t="s">
        <v>11</v>
      </c>
      <c r="G22312" s="2" t="s">
        <v>266</v>
      </c>
      <c r="H22312" s="2" t="s">
        <v>267</v>
      </c>
    </row>
    <row r="22313" spans="1:8" ht="25.05" customHeight="1" x14ac:dyDescent="0.25">
      <c r="A22313" s="2" t="s">
        <v>8</v>
      </c>
      <c r="B22313" s="2" t="str">
        <f>HYPERLINK("http://ts.21cn.com/tousu/show/id/1354487","退还砍头保费")</f>
        <v>退还砍头保费</v>
      </c>
      <c r="C22313" s="2" t="s">
        <v>9</v>
      </c>
      <c r="D22313" s="2" t="s">
        <v>10</v>
      </c>
      <c r="E22313" s="2" t="str">
        <f>HYPERLINK("http://ts.21cn.com/tousu/show/id/1354487","http://ts.21cn.com/tousu/show/id/1354487")</f>
        <v>http://ts.21cn.com/tousu/show/id/1354487</v>
      </c>
      <c r="F22313" s="2" t="s">
        <v>11</v>
      </c>
      <c r="G22313" s="2" t="s">
        <v>264</v>
      </c>
      <c r="H22313" s="2" t="s">
        <v>265</v>
      </c>
    </row>
    <row r="22314" spans="1:8" ht="25.05" customHeight="1" x14ac:dyDescent="0.25">
      <c r="A22314" s="2" t="s">
        <v>8</v>
      </c>
      <c r="B22314" s="2" t="str">
        <f>HYPERLINK("http://ts.21cn.com/tousu/show/id/1353746","平安信用卡无故降低额度，导致本人逾期，催收暴力催收")</f>
        <v>平安信用卡无故降低额度，导致本人逾期，催收暴力催收</v>
      </c>
      <c r="C22314" s="2" t="s">
        <v>9</v>
      </c>
      <c r="D22314" s="2" t="s">
        <v>10</v>
      </c>
      <c r="E22314" s="2" t="str">
        <f>HYPERLINK("http://ts.21cn.com/tousu/show/id/1353746","http://ts.21cn.com/tousu/show/id/1353746")</f>
        <v>http://ts.21cn.com/tousu/show/id/1353746</v>
      </c>
      <c r="F22314" s="2" t="s">
        <v>11</v>
      </c>
      <c r="G22314" s="2" t="s">
        <v>262</v>
      </c>
      <c r="H22314" s="2" t="s">
        <v>263</v>
      </c>
    </row>
    <row r="22315" spans="1:8" ht="25.05" customHeight="1" x14ac:dyDescent="0.25">
      <c r="A22315" s="2" t="s">
        <v>8</v>
      </c>
      <c r="B22315" s="2" t="str">
        <f>HYPERLINK("http://ts.21cn.com/tousu/show/id/1354490","捷信阴阳套路，高利息转变服务费")</f>
        <v>捷信阴阳套路，高利息转变服务费</v>
      </c>
      <c r="C22315" s="2" t="s">
        <v>9</v>
      </c>
      <c r="D22315" s="2" t="s">
        <v>10</v>
      </c>
      <c r="E22315" s="2" t="str">
        <f>HYPERLINK("http://ts.21cn.com/tousu/show/id/1354490","http://ts.21cn.com/tousu/show/id/1354490")</f>
        <v>http://ts.21cn.com/tousu/show/id/1354490</v>
      </c>
      <c r="F22315" s="2" t="s">
        <v>11</v>
      </c>
      <c r="G22315" s="2" t="s">
        <v>260</v>
      </c>
      <c r="H22315" s="2" t="s">
        <v>261</v>
      </c>
    </row>
    <row r="22316" spans="1:8" ht="25.05" customHeight="1" x14ac:dyDescent="0.25">
      <c r="A22316" s="2" t="s">
        <v>8</v>
      </c>
      <c r="B22316" s="2" t="str">
        <f>HYPERLINK("http://ts.21cn.com/tousu/show/id/1354491","百度有钱花每天电话骚扰")</f>
        <v>百度有钱花每天电话骚扰</v>
      </c>
      <c r="C22316" s="2" t="s">
        <v>9</v>
      </c>
      <c r="D22316" s="2" t="s">
        <v>10</v>
      </c>
      <c r="E22316" s="2" t="str">
        <f>HYPERLINK("http://ts.21cn.com/tousu/show/id/1354491","http://ts.21cn.com/tousu/show/id/1354491")</f>
        <v>http://ts.21cn.com/tousu/show/id/1354491</v>
      </c>
      <c r="F22316" s="2" t="s">
        <v>11</v>
      </c>
      <c r="G22316" s="2" t="s">
        <v>258</v>
      </c>
      <c r="H22316" s="2" t="s">
        <v>259</v>
      </c>
    </row>
    <row r="22317" spans="1:8" ht="25.05" customHeight="1" x14ac:dyDescent="0.25">
      <c r="A22317" s="2" t="s">
        <v>8</v>
      </c>
      <c r="B22317" s="2" t="str">
        <f>HYPERLINK("http://ts.21cn.com/tousu/show/id/1354492","老人被创维找去开会晚上回了上当买了两套创维的M5净水器花了七千元")</f>
        <v>老人被创维找去开会晚上回了上当买了两套创维的M5净水器花了七千元</v>
      </c>
      <c r="C22317" s="2" t="s">
        <v>9</v>
      </c>
      <c r="D22317" s="2" t="s">
        <v>10</v>
      </c>
      <c r="E22317" s="2" t="str">
        <f>HYPERLINK("http://ts.21cn.com/tousu/show/id/1354492","http://ts.21cn.com/tousu/show/id/1354492")</f>
        <v>http://ts.21cn.com/tousu/show/id/1354492</v>
      </c>
      <c r="F22317" s="2" t="s">
        <v>11</v>
      </c>
      <c r="G22317" s="2" t="s">
        <v>256</v>
      </c>
      <c r="H22317" s="2" t="s">
        <v>257</v>
      </c>
    </row>
    <row r="22318" spans="1:8" ht="25.05" customHeight="1" x14ac:dyDescent="0.25">
      <c r="A22318" s="2" t="s">
        <v>8</v>
      </c>
      <c r="B22318" s="2" t="str">
        <f>HYPERLINK("http://ts.21cn.com/tousu/show/id/1354493","及贷侵犯个人隐私")</f>
        <v>及贷侵犯个人隐私</v>
      </c>
      <c r="C22318" s="2" t="s">
        <v>9</v>
      </c>
      <c r="D22318" s="2" t="s">
        <v>10</v>
      </c>
      <c r="E22318" s="2" t="str">
        <f>HYPERLINK("http://ts.21cn.com/tousu/show/id/1354493","http://ts.21cn.com/tousu/show/id/1354493")</f>
        <v>http://ts.21cn.com/tousu/show/id/1354493</v>
      </c>
      <c r="F22318" s="2" t="s">
        <v>11</v>
      </c>
      <c r="G22318" s="2" t="s">
        <v>254</v>
      </c>
      <c r="H22318" s="2" t="s">
        <v>255</v>
      </c>
    </row>
    <row r="22319" spans="1:8" ht="25.05" customHeight="1" x14ac:dyDescent="0.25">
      <c r="A22319" s="2" t="s">
        <v>8</v>
      </c>
      <c r="B22319" s="2" t="str">
        <f>HYPERLINK("http://ts.21cn.com/tousu/show/id/1354494","无力还款，希望你我贷可减免高额利息")</f>
        <v>无力还款，希望你我贷可减免高额利息</v>
      </c>
      <c r="C22319" s="2" t="s">
        <v>9</v>
      </c>
      <c r="D22319" s="2" t="s">
        <v>10</v>
      </c>
      <c r="E22319" s="2" t="str">
        <f>HYPERLINK("http://ts.21cn.com/tousu/show/id/1354494","http://ts.21cn.com/tousu/show/id/1354494")</f>
        <v>http://ts.21cn.com/tousu/show/id/1354494</v>
      </c>
      <c r="F22319" s="2" t="s">
        <v>11</v>
      </c>
      <c r="G22319" s="2" t="s">
        <v>252</v>
      </c>
      <c r="H22319" s="2" t="s">
        <v>253</v>
      </c>
    </row>
    <row r="22320" spans="1:8" ht="25.05" customHeight="1" x14ac:dyDescent="0.25">
      <c r="A22320" s="2" t="s">
        <v>8</v>
      </c>
      <c r="B22320" s="2" t="str">
        <f>HYPERLINK("http://ts.21cn.com/tousu/show/id/1354495","遭遇微博借款暴力催收，爆通讯录")</f>
        <v>遭遇微博借款暴力催收，爆通讯录</v>
      </c>
      <c r="C22320" s="2" t="s">
        <v>9</v>
      </c>
      <c r="D22320" s="2" t="s">
        <v>10</v>
      </c>
      <c r="E22320" s="2" t="str">
        <f>HYPERLINK("http://ts.21cn.com/tousu/show/id/1354495","http://ts.21cn.com/tousu/show/id/1354495")</f>
        <v>http://ts.21cn.com/tousu/show/id/1354495</v>
      </c>
      <c r="F22320" s="2" t="s">
        <v>11</v>
      </c>
      <c r="G22320" s="2" t="s">
        <v>250</v>
      </c>
      <c r="H22320" s="2" t="s">
        <v>251</v>
      </c>
    </row>
    <row r="22321" spans="1:8" ht="25.05" customHeight="1" x14ac:dyDescent="0.25">
      <c r="A22321" s="2" t="s">
        <v>8</v>
      </c>
      <c r="B22321" s="2" t="str">
        <f>HYPERLINK("http://ts.21cn.com/tousu/show/id/1354345","爱农驿站为非法博彩提供收款渠道。")</f>
        <v>爱农驿站为非法博彩提供收款渠道。</v>
      </c>
      <c r="C22321" s="2" t="s">
        <v>34</v>
      </c>
      <c r="D22321" s="2" t="s">
        <v>10</v>
      </c>
      <c r="E22321" s="2" t="str">
        <f>HYPERLINK("http://ts.21cn.com/tousu/show/id/1354345","http://ts.21cn.com/tousu/show/id/1354345")</f>
        <v>http://ts.21cn.com/tousu/show/id/1354345</v>
      </c>
      <c r="F22321" s="2" t="s">
        <v>11</v>
      </c>
      <c r="G22321" s="2" t="s">
        <v>248</v>
      </c>
      <c r="H22321" s="2" t="s">
        <v>249</v>
      </c>
    </row>
    <row r="22322" spans="1:8" ht="25.05" customHeight="1" x14ac:dyDescent="0.25">
      <c r="A22322" s="2" t="s">
        <v>8</v>
      </c>
      <c r="B22322" s="2" t="str">
        <f>HYPERLINK("http://ts.21cn.com/tousu/show/id/1341889","今日头条抖音鲁班后台保证金退不出来")</f>
        <v>今日头条抖音鲁班后台保证金退不出来</v>
      </c>
      <c r="C22322" s="2" t="s">
        <v>34</v>
      </c>
      <c r="D22322" s="2" t="s">
        <v>10</v>
      </c>
      <c r="E22322" s="2" t="str">
        <f>HYPERLINK("http://ts.21cn.com/tousu/show/id/1341889","http://ts.21cn.com/tousu/show/id/1341889")</f>
        <v>http://ts.21cn.com/tousu/show/id/1341889</v>
      </c>
      <c r="F22322" s="2" t="s">
        <v>11</v>
      </c>
      <c r="G22322" s="2" t="s">
        <v>246</v>
      </c>
      <c r="H22322" s="2" t="s">
        <v>247</v>
      </c>
    </row>
    <row r="22323" spans="1:8" ht="25.05" customHeight="1" x14ac:dyDescent="0.25">
      <c r="A22323" s="2" t="s">
        <v>8</v>
      </c>
      <c r="B22323" s="2" t="str">
        <f>HYPERLINK("http://ts.21cn.com/tousu/show/id/1354497","造艺科技客服态度不好")</f>
        <v>造艺科技客服态度不好</v>
      </c>
      <c r="C22323" s="2" t="s">
        <v>9</v>
      </c>
      <c r="D22323" s="2" t="s">
        <v>10</v>
      </c>
      <c r="E22323" s="2" t="str">
        <f>HYPERLINK("http://ts.21cn.com/tousu/show/id/1354497","http://ts.21cn.com/tousu/show/id/1354497")</f>
        <v>http://ts.21cn.com/tousu/show/id/1354497</v>
      </c>
      <c r="F22323" s="2" t="s">
        <v>11</v>
      </c>
      <c r="G22323" s="2" t="s">
        <v>244</v>
      </c>
      <c r="H22323" s="2" t="s">
        <v>245</v>
      </c>
    </row>
    <row r="22324" spans="1:8" ht="25.05" customHeight="1" x14ac:dyDescent="0.25">
      <c r="A22324" s="2" t="s">
        <v>8</v>
      </c>
      <c r="B22324" s="2" t="str">
        <f>HYPERLINK("http://ts.21cn.com/tousu/show/id/1354498","借款利息太高")</f>
        <v>借款利息太高</v>
      </c>
      <c r="C22324" s="2" t="s">
        <v>9</v>
      </c>
      <c r="D22324" s="2" t="s">
        <v>10</v>
      </c>
      <c r="E22324" s="2" t="str">
        <f>HYPERLINK("http://ts.21cn.com/tousu/show/id/1354498","http://ts.21cn.com/tousu/show/id/1354498")</f>
        <v>http://ts.21cn.com/tousu/show/id/1354498</v>
      </c>
      <c r="F22324" s="2" t="s">
        <v>11</v>
      </c>
      <c r="G22324" s="2" t="s">
        <v>242</v>
      </c>
      <c r="H22324" s="2" t="s">
        <v>243</v>
      </c>
    </row>
    <row r="22325" spans="1:8" ht="25.05" customHeight="1" x14ac:dyDescent="0.25">
      <c r="A22325" s="2" t="s">
        <v>8</v>
      </c>
      <c r="B22325" s="2" t="str">
        <f>HYPERLINK("http://ts.21cn.com/tousu/show/id/1354499","洋钱罐销账")</f>
        <v>洋钱罐销账</v>
      </c>
      <c r="C22325" s="2" t="s">
        <v>9</v>
      </c>
      <c r="D22325" s="2" t="s">
        <v>10</v>
      </c>
      <c r="E22325" s="2" t="str">
        <f>HYPERLINK("http://ts.21cn.com/tousu/show/id/1354499","http://ts.21cn.com/tousu/show/id/1354499")</f>
        <v>http://ts.21cn.com/tousu/show/id/1354499</v>
      </c>
      <c r="F22325" s="2" t="s">
        <v>11</v>
      </c>
      <c r="G22325" s="2" t="s">
        <v>240</v>
      </c>
      <c r="H22325" s="2" t="s">
        <v>241</v>
      </c>
    </row>
    <row r="22326" spans="1:8" ht="25.05" customHeight="1" x14ac:dyDescent="0.25">
      <c r="A22326" s="2" t="s">
        <v>8</v>
      </c>
      <c r="B22326" s="2" t="str">
        <f>HYPERLINK("http://ts.21cn.com/tousu/show/id/1354500","钱站高利贷阴阳合同")</f>
        <v>钱站高利贷阴阳合同</v>
      </c>
      <c r="C22326" s="2" t="s">
        <v>9</v>
      </c>
      <c r="D22326" s="2" t="s">
        <v>10</v>
      </c>
      <c r="E22326" s="2" t="str">
        <f>HYPERLINK("http://ts.21cn.com/tousu/show/id/1354500","http://ts.21cn.com/tousu/show/id/1354500")</f>
        <v>http://ts.21cn.com/tousu/show/id/1354500</v>
      </c>
      <c r="F22326" s="2" t="s">
        <v>11</v>
      </c>
      <c r="G22326" s="2" t="s">
        <v>238</v>
      </c>
      <c r="H22326" s="2" t="s">
        <v>239</v>
      </c>
    </row>
    <row r="22327" spans="1:8" ht="25.05" customHeight="1" x14ac:dyDescent="0.25">
      <c r="A22327" s="2" t="s">
        <v>8</v>
      </c>
      <c r="B22327" s="2" t="str">
        <f>HYPERLINK("http://ts.21cn.com/tousu/show/id/1354501","拍拍贷恶意骚扰通讯录好友")</f>
        <v>拍拍贷恶意骚扰通讯录好友</v>
      </c>
      <c r="C22327" s="2" t="s">
        <v>9</v>
      </c>
      <c r="D22327" s="2" t="s">
        <v>10</v>
      </c>
      <c r="E22327" s="2" t="str">
        <f>HYPERLINK("http://ts.21cn.com/tousu/show/id/1354501","http://ts.21cn.com/tousu/show/id/1354501")</f>
        <v>http://ts.21cn.com/tousu/show/id/1354501</v>
      </c>
      <c r="F22327" s="2" t="s">
        <v>11</v>
      </c>
      <c r="G22327" s="2" t="s">
        <v>236</v>
      </c>
      <c r="H22327" s="2" t="s">
        <v>237</v>
      </c>
    </row>
    <row r="22328" spans="1:8" ht="25.05" customHeight="1" x14ac:dyDescent="0.25">
      <c r="A22328" s="2" t="s">
        <v>8</v>
      </c>
      <c r="B22328" s="2" t="str">
        <f>HYPERLINK("http://ts.21cn.com/tousu/show/id/1354502","捷信金融雇佣当地黑势力人员进行威逼")</f>
        <v>捷信金融雇佣当地黑势力人员进行威逼</v>
      </c>
      <c r="C22328" s="2" t="s">
        <v>9</v>
      </c>
      <c r="D22328" s="2" t="s">
        <v>10</v>
      </c>
      <c r="E22328" s="2" t="str">
        <f>HYPERLINK("http://ts.21cn.com/tousu/show/id/1354502","http://ts.21cn.com/tousu/show/id/1354502")</f>
        <v>http://ts.21cn.com/tousu/show/id/1354502</v>
      </c>
      <c r="F22328" s="2" t="s">
        <v>11</v>
      </c>
      <c r="G22328" s="2" t="s">
        <v>234</v>
      </c>
      <c r="H22328" s="2" t="s">
        <v>235</v>
      </c>
    </row>
    <row r="22329" spans="1:8" ht="25.05" customHeight="1" x14ac:dyDescent="0.25">
      <c r="A22329" s="2" t="s">
        <v>8</v>
      </c>
      <c r="B22329" s="2" t="str">
        <f>HYPERLINK("http://ts.21cn.com/tousu/show/id/1354503","造艺公司经过处理以后迟迟不退款")</f>
        <v>造艺公司经过处理以后迟迟不退款</v>
      </c>
      <c r="C22329" s="2" t="s">
        <v>9</v>
      </c>
      <c r="D22329" s="2" t="s">
        <v>10</v>
      </c>
      <c r="E22329" s="2" t="str">
        <f>HYPERLINK("http://ts.21cn.com/tousu/show/id/1354503","http://ts.21cn.com/tousu/show/id/1354503")</f>
        <v>http://ts.21cn.com/tousu/show/id/1354503</v>
      </c>
      <c r="F22329" s="2" t="s">
        <v>11</v>
      </c>
      <c r="G22329" s="2" t="s">
        <v>232</v>
      </c>
      <c r="H22329" s="2" t="s">
        <v>233</v>
      </c>
    </row>
    <row r="22330" spans="1:8" ht="25.05" customHeight="1" x14ac:dyDescent="0.25">
      <c r="A22330" s="2" t="s">
        <v>8</v>
      </c>
      <c r="B22330" s="2" t="str">
        <f>HYPERLINK("http://ts.21cn.com/tousu/show/id/1354505","变相收取服务费")</f>
        <v>变相收取服务费</v>
      </c>
      <c r="C22330" s="2" t="s">
        <v>9</v>
      </c>
      <c r="D22330" s="2" t="s">
        <v>10</v>
      </c>
      <c r="E22330" s="2" t="str">
        <f>HYPERLINK("http://ts.21cn.com/tousu/show/id/1354505","http://ts.21cn.com/tousu/show/id/1354505")</f>
        <v>http://ts.21cn.com/tousu/show/id/1354505</v>
      </c>
      <c r="F22330" s="2" t="s">
        <v>11</v>
      </c>
      <c r="G22330" s="2" t="s">
        <v>230</v>
      </c>
      <c r="H22330" s="2" t="s">
        <v>231</v>
      </c>
    </row>
    <row r="22331" spans="1:8" ht="25.05" customHeight="1" x14ac:dyDescent="0.25">
      <c r="A22331" s="2" t="s">
        <v>8</v>
      </c>
      <c r="B22331" s="2" t="str">
        <f>HYPERLINK("http://ts.21cn.com/tousu/show/id/1354506","及货提前还清仍要还利息")</f>
        <v>及货提前还清仍要还利息</v>
      </c>
      <c r="C22331" s="2" t="s">
        <v>34</v>
      </c>
      <c r="D22331" s="2" t="s">
        <v>10</v>
      </c>
      <c r="E22331" s="2" t="str">
        <f>HYPERLINK("http://ts.21cn.com/tousu/show/id/1354506","http://ts.21cn.com/tousu/show/id/1354506")</f>
        <v>http://ts.21cn.com/tousu/show/id/1354506</v>
      </c>
      <c r="F22331" s="2" t="s">
        <v>11</v>
      </c>
      <c r="G22331" s="2" t="s">
        <v>228</v>
      </c>
      <c r="H22331" s="2" t="s">
        <v>229</v>
      </c>
    </row>
    <row r="22332" spans="1:8" ht="25.05" customHeight="1" x14ac:dyDescent="0.25">
      <c r="A22332" s="2" t="s">
        <v>8</v>
      </c>
      <c r="B22332" s="2" t="str">
        <f>HYPERLINK("http://ts.21cn.com/tousu/show/id/1354507","宜人贷高额收取利息")</f>
        <v>宜人贷高额收取利息</v>
      </c>
      <c r="C22332" s="2" t="s">
        <v>9</v>
      </c>
      <c r="D22332" s="2" t="s">
        <v>10</v>
      </c>
      <c r="E22332" s="2" t="str">
        <f>HYPERLINK("http://ts.21cn.com/tousu/show/id/1354507","http://ts.21cn.com/tousu/show/id/1354507")</f>
        <v>http://ts.21cn.com/tousu/show/id/1354507</v>
      </c>
      <c r="F22332" s="2" t="s">
        <v>11</v>
      </c>
      <c r="G22332" s="2" t="s">
        <v>226</v>
      </c>
      <c r="H22332" s="2" t="s">
        <v>227</v>
      </c>
    </row>
    <row r="22333" spans="1:8" ht="25.05" customHeight="1" x14ac:dyDescent="0.25">
      <c r="A22333" s="2" t="s">
        <v>8</v>
      </c>
      <c r="B22333" s="2" t="str">
        <f>HYPERLINK("http://ts.21cn.com/tousu/show/id/1354509","汇信天下侵犯个人名誉权")</f>
        <v>汇信天下侵犯个人名誉权</v>
      </c>
      <c r="C22333" s="2" t="s">
        <v>9</v>
      </c>
      <c r="D22333" s="2" t="s">
        <v>10</v>
      </c>
      <c r="E22333" s="2" t="str">
        <f>HYPERLINK("http://ts.21cn.com/tousu/show/id/1354509","http://ts.21cn.com/tousu/show/id/1354509")</f>
        <v>http://ts.21cn.com/tousu/show/id/1354509</v>
      </c>
      <c r="F22333" s="2" t="s">
        <v>11</v>
      </c>
      <c r="G22333" s="2" t="s">
        <v>224</v>
      </c>
      <c r="H22333" s="2" t="s">
        <v>225</v>
      </c>
    </row>
    <row r="22334" spans="1:8" ht="25.05" customHeight="1" x14ac:dyDescent="0.25">
      <c r="A22334" s="2" t="s">
        <v>8</v>
      </c>
      <c r="B22334" s="2" t="str">
        <f>HYPERLINK("http://ts.21cn.com/tousu/show/id/1354508","如期分期砍头费短信恐吓")</f>
        <v>如期分期砍头费短信恐吓</v>
      </c>
      <c r="C22334" s="2" t="s">
        <v>9</v>
      </c>
      <c r="D22334" s="2" t="s">
        <v>10</v>
      </c>
      <c r="E22334" s="2" t="str">
        <f>HYPERLINK("http://ts.21cn.com/tousu/show/id/1354508","http://ts.21cn.com/tousu/show/id/1354508")</f>
        <v>http://ts.21cn.com/tousu/show/id/1354508</v>
      </c>
      <c r="F22334" s="2" t="s">
        <v>11</v>
      </c>
      <c r="G22334" s="2" t="s">
        <v>222</v>
      </c>
      <c r="H22334" s="2" t="s">
        <v>223</v>
      </c>
    </row>
    <row r="22335" spans="1:8" ht="25.05" customHeight="1" x14ac:dyDescent="0.25">
      <c r="A22335" s="2" t="s">
        <v>8</v>
      </c>
      <c r="B22335" s="2" t="str">
        <f>HYPERLINK("http://ts.21cn.com/tousu/show/id/1354511","捷信员工以业务不足为由，请学生刷单，并私自办理购买商品业务分期，要求学生偿还")</f>
        <v>捷信员工以业务不足为由，请学生刷单，并私自办理购买商品业务分期，要求学生偿还</v>
      </c>
      <c r="C22335" s="2" t="s">
        <v>9</v>
      </c>
      <c r="D22335" s="2" t="s">
        <v>10</v>
      </c>
      <c r="E22335" s="2" t="str">
        <f>HYPERLINK("http://ts.21cn.com/tousu/show/id/1354511","http://ts.21cn.com/tousu/show/id/1354511")</f>
        <v>http://ts.21cn.com/tousu/show/id/1354511</v>
      </c>
      <c r="F22335" s="2" t="s">
        <v>11</v>
      </c>
      <c r="G22335" s="2" t="s">
        <v>220</v>
      </c>
      <c r="H22335" s="2" t="s">
        <v>221</v>
      </c>
    </row>
    <row r="22336" spans="1:8" ht="25.05" customHeight="1" x14ac:dyDescent="0.25">
      <c r="A22336" s="2" t="s">
        <v>8</v>
      </c>
      <c r="B22336" s="2" t="str">
        <f>HYPERLINK("http://ts.21cn.com/tousu/show/id/1354512","抖音充值dou+推广后，封号不退充值的钱，发邮件客服一直拖延时间")</f>
        <v>抖音充值dou+推广后，封号不退充值的钱，发邮件客服一直拖延时间</v>
      </c>
      <c r="C22336" s="2" t="s">
        <v>9</v>
      </c>
      <c r="D22336" s="2" t="s">
        <v>10</v>
      </c>
      <c r="E22336" s="2" t="str">
        <f>HYPERLINK("http://ts.21cn.com/tousu/show/id/1354512","http://ts.21cn.com/tousu/show/id/1354512")</f>
        <v>http://ts.21cn.com/tousu/show/id/1354512</v>
      </c>
      <c r="F22336" s="2" t="s">
        <v>11</v>
      </c>
      <c r="G22336" s="2" t="s">
        <v>218</v>
      </c>
      <c r="H22336" s="2" t="s">
        <v>219</v>
      </c>
    </row>
    <row r="22337" spans="1:8" ht="25.05" customHeight="1" x14ac:dyDescent="0.25">
      <c r="A22337" s="2" t="s">
        <v>8</v>
      </c>
      <c r="B22337" s="2" t="str">
        <f>HYPERLINK("http://ts.21cn.com/tousu/show/id/1354515","造艺科技虚构合同私自扣款")</f>
        <v>造艺科技虚构合同私自扣款</v>
      </c>
      <c r="C22337" s="2" t="s">
        <v>9</v>
      </c>
      <c r="D22337" s="2" t="s">
        <v>10</v>
      </c>
      <c r="E22337" s="2" t="str">
        <f>HYPERLINK("http://ts.21cn.com/tousu/show/id/1354515","http://ts.21cn.com/tousu/show/id/1354515")</f>
        <v>http://ts.21cn.com/tousu/show/id/1354515</v>
      </c>
      <c r="F22337" s="2" t="s">
        <v>11</v>
      </c>
      <c r="G22337" s="2" t="s">
        <v>215</v>
      </c>
      <c r="H22337" s="2" t="s">
        <v>216</v>
      </c>
    </row>
    <row r="22338" spans="1:8" ht="25.05" customHeight="1" x14ac:dyDescent="0.25">
      <c r="A22338" s="2" t="s">
        <v>8</v>
      </c>
      <c r="B22338" s="2" t="str">
        <f>HYPERLINK("http://ts.21cn.com/tousu/show/id/1354504","钱站高利贷阴阳合同")</f>
        <v>钱站高利贷阴阳合同</v>
      </c>
      <c r="C22338" s="2" t="s">
        <v>9</v>
      </c>
      <c r="D22338" s="2" t="s">
        <v>10</v>
      </c>
      <c r="E22338" s="2" t="str">
        <f>HYPERLINK("http://ts.21cn.com/tousu/show/id/1354504","http://ts.21cn.com/tousu/show/id/1354504")</f>
        <v>http://ts.21cn.com/tousu/show/id/1354504</v>
      </c>
      <c r="F22338" s="2" t="s">
        <v>11</v>
      </c>
      <c r="G22338" s="2" t="s">
        <v>215</v>
      </c>
      <c r="H22338" s="2" t="s">
        <v>217</v>
      </c>
    </row>
    <row r="22339" spans="1:8" ht="25.05" customHeight="1" x14ac:dyDescent="0.25">
      <c r="A22339" s="2" t="s">
        <v>8</v>
      </c>
      <c r="B22339" s="2" t="str">
        <f>HYPERLINK("http://ts.21cn.com/tousu/show/id/1354516","交通银行催收人员威胁恐吓欺诈辱骂")</f>
        <v>交通银行催收人员威胁恐吓欺诈辱骂</v>
      </c>
      <c r="C22339" s="2" t="s">
        <v>9</v>
      </c>
      <c r="D22339" s="2" t="s">
        <v>10</v>
      </c>
      <c r="E22339" s="2" t="str">
        <f>HYPERLINK("http://ts.21cn.com/tousu/show/id/1354516","http://ts.21cn.com/tousu/show/id/1354516")</f>
        <v>http://ts.21cn.com/tousu/show/id/1354516</v>
      </c>
      <c r="F22339" s="2" t="s">
        <v>11</v>
      </c>
      <c r="G22339" s="2" t="s">
        <v>213</v>
      </c>
      <c r="H22339" s="2" t="s">
        <v>214</v>
      </c>
    </row>
    <row r="22340" spans="1:8" ht="25.05" customHeight="1" x14ac:dyDescent="0.25">
      <c r="A22340" s="2" t="s">
        <v>8</v>
      </c>
      <c r="B22340" s="2" t="str">
        <f>HYPERLINK("http://ts.21cn.com/tousu/show/id/1354518","发放贷款违规捆绑销售保险！")</f>
        <v>发放贷款违规捆绑销售保险！</v>
      </c>
      <c r="C22340" s="2" t="s">
        <v>9</v>
      </c>
      <c r="D22340" s="2" t="s">
        <v>10</v>
      </c>
      <c r="E22340" s="2" t="str">
        <f>HYPERLINK("http://ts.21cn.com/tousu/show/id/1354518","http://ts.21cn.com/tousu/show/id/1354518")</f>
        <v>http://ts.21cn.com/tousu/show/id/1354518</v>
      </c>
      <c r="F22340" s="2" t="s">
        <v>11</v>
      </c>
      <c r="G22340" s="2" t="s">
        <v>211</v>
      </c>
      <c r="H22340" s="2" t="s">
        <v>212</v>
      </c>
    </row>
    <row r="22341" spans="1:8" ht="25.05" customHeight="1" x14ac:dyDescent="0.25">
      <c r="A22341" s="2" t="s">
        <v>8</v>
      </c>
      <c r="B22341" s="2" t="str">
        <f>HYPERLINK("http://ts.21cn.com/tousu/show/id/1354517","及贷智享贷套路贷误导消费者")</f>
        <v>及贷智享贷套路贷误导消费者</v>
      </c>
      <c r="C22341" s="2" t="s">
        <v>9</v>
      </c>
      <c r="D22341" s="2" t="s">
        <v>10</v>
      </c>
      <c r="E22341" s="2" t="str">
        <f>HYPERLINK("http://ts.21cn.com/tousu/show/id/1354517","http://ts.21cn.com/tousu/show/id/1354517")</f>
        <v>http://ts.21cn.com/tousu/show/id/1354517</v>
      </c>
      <c r="F22341" s="2" t="s">
        <v>11</v>
      </c>
      <c r="G22341" s="2" t="s">
        <v>209</v>
      </c>
      <c r="H22341" s="2" t="s">
        <v>210</v>
      </c>
    </row>
    <row r="22342" spans="1:8" ht="25.05" customHeight="1" x14ac:dyDescent="0.25">
      <c r="A22342" s="2" t="s">
        <v>8</v>
      </c>
      <c r="B22342" s="2" t="str">
        <f>HYPERLINK("http://ts.21cn.com/tousu/show/id/1354519","关于借款利息")</f>
        <v>关于借款利息</v>
      </c>
      <c r="C22342" s="2" t="s">
        <v>34</v>
      </c>
      <c r="D22342" s="2" t="s">
        <v>10</v>
      </c>
      <c r="E22342" s="2" t="str">
        <f>HYPERLINK("http://ts.21cn.com/tousu/show/id/1354519","http://ts.21cn.com/tousu/show/id/1354519")</f>
        <v>http://ts.21cn.com/tousu/show/id/1354519</v>
      </c>
      <c r="F22342" s="2" t="s">
        <v>11</v>
      </c>
      <c r="G22342" s="2" t="s">
        <v>207</v>
      </c>
      <c r="H22342" s="2" t="s">
        <v>208</v>
      </c>
    </row>
    <row r="22343" spans="1:8" ht="25.05" customHeight="1" x14ac:dyDescent="0.25">
      <c r="A22343" s="2" t="s">
        <v>8</v>
      </c>
      <c r="B22343" s="2" t="str">
        <f>HYPERLINK("http://ts.21cn.com/tousu/show/id/1354520","捷信利息已经高出本金")</f>
        <v>捷信利息已经高出本金</v>
      </c>
      <c r="C22343" s="2" t="s">
        <v>9</v>
      </c>
      <c r="D22343" s="2" t="s">
        <v>10</v>
      </c>
      <c r="E22343" s="2" t="str">
        <f>HYPERLINK("http://ts.21cn.com/tousu/show/id/1354520","http://ts.21cn.com/tousu/show/id/1354520")</f>
        <v>http://ts.21cn.com/tousu/show/id/1354520</v>
      </c>
      <c r="F22343" s="2" t="s">
        <v>11</v>
      </c>
      <c r="G22343" s="2" t="s">
        <v>205</v>
      </c>
      <c r="H22343" s="2" t="s">
        <v>206</v>
      </c>
    </row>
    <row r="22344" spans="1:8" ht="25.05" customHeight="1" x14ac:dyDescent="0.25">
      <c r="A22344" s="2" t="s">
        <v>8</v>
      </c>
      <c r="B22344" s="2" t="str">
        <f>HYPERLINK("http://ts.21cn.com/tousu/show/id/1354521","玖富万卡高利贷，阴阳合同")</f>
        <v>玖富万卡高利贷，阴阳合同</v>
      </c>
      <c r="C22344" s="2" t="s">
        <v>9</v>
      </c>
      <c r="D22344" s="2" t="s">
        <v>10</v>
      </c>
      <c r="E22344" s="2" t="str">
        <f>HYPERLINK("http://ts.21cn.com/tousu/show/id/1354521","http://ts.21cn.com/tousu/show/id/1354521")</f>
        <v>http://ts.21cn.com/tousu/show/id/1354521</v>
      </c>
      <c r="F22344" s="2" t="s">
        <v>11</v>
      </c>
      <c r="G22344" s="2" t="s">
        <v>203</v>
      </c>
      <c r="H22344" s="2" t="s">
        <v>204</v>
      </c>
    </row>
    <row r="22345" spans="1:8" ht="25.05" customHeight="1" x14ac:dyDescent="0.25">
      <c r="A22345" s="2" t="s">
        <v>8</v>
      </c>
      <c r="B22345" s="2" t="str">
        <f>HYPERLINK("http://ts.21cn.com/tousu/show/id/1354522","及货app勾搭高利贷")</f>
        <v>及货app勾搭高利贷</v>
      </c>
      <c r="C22345" s="2" t="s">
        <v>9</v>
      </c>
      <c r="D22345" s="2" t="s">
        <v>10</v>
      </c>
      <c r="E22345" s="2" t="str">
        <f>HYPERLINK("http://ts.21cn.com/tousu/show/id/1354522","http://ts.21cn.com/tousu/show/id/1354522")</f>
        <v>http://ts.21cn.com/tousu/show/id/1354522</v>
      </c>
      <c r="F22345" s="2" t="s">
        <v>11</v>
      </c>
      <c r="G22345" s="2" t="s">
        <v>201</v>
      </c>
      <c r="H22345" s="2" t="s">
        <v>202</v>
      </c>
    </row>
    <row r="22346" spans="1:8" ht="25.05" customHeight="1" x14ac:dyDescent="0.25">
      <c r="A22346" s="2" t="s">
        <v>8</v>
      </c>
      <c r="B22346" s="2" t="str">
        <f>HYPERLINK("http://ts.21cn.com/tousu/show/id/1354523","造艺公司口头承诺，事后不管，毫无原则")</f>
        <v>造艺公司口头承诺，事后不管，毫无原则</v>
      </c>
      <c r="C22346" s="2" t="s">
        <v>9</v>
      </c>
      <c r="D22346" s="2" t="s">
        <v>10</v>
      </c>
      <c r="E22346" s="2" t="str">
        <f>HYPERLINK("http://ts.21cn.com/tousu/show/id/1354523","http://ts.21cn.com/tousu/show/id/1354523")</f>
        <v>http://ts.21cn.com/tousu/show/id/1354523</v>
      </c>
      <c r="F22346" s="2" t="s">
        <v>11</v>
      </c>
      <c r="G22346" s="2" t="s">
        <v>199</v>
      </c>
      <c r="H22346" s="2" t="s">
        <v>200</v>
      </c>
    </row>
    <row r="22347" spans="1:8" ht="25.05" customHeight="1" x14ac:dyDescent="0.25">
      <c r="A22347" s="2" t="s">
        <v>8</v>
      </c>
      <c r="B22347" s="2" t="str">
        <f>HYPERLINK("http://ts.21cn.com/tousu/show/id/1354524","滴滴垫付")</f>
        <v>滴滴垫付</v>
      </c>
      <c r="C22347" s="2" t="s">
        <v>9</v>
      </c>
      <c r="D22347" s="2" t="s">
        <v>10</v>
      </c>
      <c r="E22347" s="2" t="str">
        <f>HYPERLINK("http://ts.21cn.com/tousu/show/id/1354524","http://ts.21cn.com/tousu/show/id/1354524")</f>
        <v>http://ts.21cn.com/tousu/show/id/1354524</v>
      </c>
      <c r="F22347" s="2" t="s">
        <v>11</v>
      </c>
      <c r="G22347" s="2" t="s">
        <v>197</v>
      </c>
      <c r="H22347" s="2" t="s">
        <v>198</v>
      </c>
    </row>
    <row r="22348" spans="1:8" ht="25.05" customHeight="1" x14ac:dyDescent="0.25">
      <c r="A22348" s="2" t="s">
        <v>8</v>
      </c>
      <c r="B22348" s="2" t="str">
        <f>HYPERLINK("http://ts.21cn.com/tousu/show/id/1354525","捷信平台违法泄露个人信息")</f>
        <v>捷信平台违法泄露个人信息</v>
      </c>
      <c r="C22348" s="2" t="s">
        <v>9</v>
      </c>
      <c r="D22348" s="2" t="s">
        <v>10</v>
      </c>
      <c r="E22348" s="2" t="str">
        <f>HYPERLINK("http://ts.21cn.com/tousu/show/id/1354525","http://ts.21cn.com/tousu/show/id/1354525")</f>
        <v>http://ts.21cn.com/tousu/show/id/1354525</v>
      </c>
      <c r="F22348" s="2" t="s">
        <v>11</v>
      </c>
      <c r="G22348" s="2" t="s">
        <v>195</v>
      </c>
      <c r="H22348" s="2" t="s">
        <v>196</v>
      </c>
    </row>
    <row r="22349" spans="1:8" ht="25.05" customHeight="1" x14ac:dyDescent="0.25">
      <c r="A22349" s="2" t="s">
        <v>8</v>
      </c>
      <c r="B22349" s="2" t="str">
        <f>HYPERLINK("http://ts.21cn.com/tousu/show/id/1354527","玖富万卡阴阳合同借款强制购买保险")</f>
        <v>玖富万卡阴阳合同借款强制购买保险</v>
      </c>
      <c r="C22349" s="2" t="s">
        <v>9</v>
      </c>
      <c r="D22349" s="2" t="s">
        <v>10</v>
      </c>
      <c r="E22349" s="2" t="str">
        <f>HYPERLINK("http://ts.21cn.com/tousu/show/id/1354527","http://ts.21cn.com/tousu/show/id/1354527")</f>
        <v>http://ts.21cn.com/tousu/show/id/1354527</v>
      </c>
      <c r="F22349" s="2" t="s">
        <v>11</v>
      </c>
      <c r="G22349" s="2" t="s">
        <v>192</v>
      </c>
      <c r="H22349" s="2" t="s">
        <v>193</v>
      </c>
    </row>
    <row r="22350" spans="1:8" ht="25.05" customHeight="1" x14ac:dyDescent="0.25">
      <c r="A22350" s="2" t="s">
        <v>8</v>
      </c>
      <c r="B22350" s="2" t="str">
        <f>HYPERLINK("http://ts.21cn.com/tousu/show/id/1354526","携趣信息科技无故扣款")</f>
        <v>携趣信息科技无故扣款</v>
      </c>
      <c r="C22350" s="2" t="s">
        <v>9</v>
      </c>
      <c r="D22350" s="2" t="s">
        <v>10</v>
      </c>
      <c r="E22350" s="2" t="str">
        <f>HYPERLINK("http://ts.21cn.com/tousu/show/id/1354526","http://ts.21cn.com/tousu/show/id/1354526")</f>
        <v>http://ts.21cn.com/tousu/show/id/1354526</v>
      </c>
      <c r="F22350" s="2" t="s">
        <v>11</v>
      </c>
      <c r="G22350" s="2" t="s">
        <v>192</v>
      </c>
      <c r="H22350" s="2" t="s">
        <v>194</v>
      </c>
    </row>
    <row r="22351" spans="1:8" ht="25.05" customHeight="1" x14ac:dyDescent="0.25">
      <c r="A22351" s="2" t="s">
        <v>8</v>
      </c>
      <c r="B22351" s="2" t="str">
        <f>HYPERLINK("http://ts.21cn.com/tousu/show/id/1354528","马上消费金融，暴力催收，群发短信，恐吓催收")</f>
        <v>马上消费金融，暴力催收，群发短信，恐吓催收</v>
      </c>
      <c r="C22351" s="2" t="s">
        <v>9</v>
      </c>
      <c r="D22351" s="2" t="s">
        <v>10</v>
      </c>
      <c r="E22351" s="2" t="str">
        <f>HYPERLINK("http://ts.21cn.com/tousu/show/id/1354528","http://ts.21cn.com/tousu/show/id/1354528")</f>
        <v>http://ts.21cn.com/tousu/show/id/1354528</v>
      </c>
      <c r="F22351" s="2" t="s">
        <v>11</v>
      </c>
      <c r="G22351" s="2" t="s">
        <v>190</v>
      </c>
      <c r="H22351" s="2" t="s">
        <v>191</v>
      </c>
    </row>
    <row r="22352" spans="1:8" ht="25.05" customHeight="1" x14ac:dyDescent="0.25">
      <c r="A22352" s="2" t="s">
        <v>8</v>
      </c>
      <c r="B22352" s="2" t="str">
        <f>HYPERLINK("http://ts.21cn.com/tousu/show/id/1354529","微粒贷逾期无法协商")</f>
        <v>微粒贷逾期无法协商</v>
      </c>
      <c r="C22352" s="2" t="s">
        <v>9</v>
      </c>
      <c r="D22352" s="2" t="s">
        <v>10</v>
      </c>
      <c r="E22352" s="2" t="str">
        <f>HYPERLINK("http://ts.21cn.com/tousu/show/id/1354529","http://ts.21cn.com/tousu/show/id/1354529")</f>
        <v>http://ts.21cn.com/tousu/show/id/1354529</v>
      </c>
      <c r="F22352" s="2" t="s">
        <v>11</v>
      </c>
      <c r="G22352" s="2" t="s">
        <v>188</v>
      </c>
      <c r="H22352" s="2" t="s">
        <v>189</v>
      </c>
    </row>
    <row r="22353" spans="1:8" ht="25.05" customHeight="1" x14ac:dyDescent="0.25">
      <c r="A22353" s="2" t="s">
        <v>8</v>
      </c>
      <c r="B22353" s="2" t="str">
        <f>HYPERLINK("http://ts.21cn.com/tousu/show/id/1354530","捷信拒绝给用户销户")</f>
        <v>捷信拒绝给用户销户</v>
      </c>
      <c r="C22353" s="2" t="s">
        <v>34</v>
      </c>
      <c r="D22353" s="2" t="s">
        <v>10</v>
      </c>
      <c r="E22353" s="2" t="str">
        <f>HYPERLINK("http://ts.21cn.com/tousu/show/id/1354530","http://ts.21cn.com/tousu/show/id/1354530")</f>
        <v>http://ts.21cn.com/tousu/show/id/1354530</v>
      </c>
      <c r="F22353" s="2" t="s">
        <v>11</v>
      </c>
      <c r="G22353" s="2" t="s">
        <v>186</v>
      </c>
      <c r="H22353" s="2" t="s">
        <v>187</v>
      </c>
    </row>
    <row r="22354" spans="1:8" ht="25.05" customHeight="1" x14ac:dyDescent="0.25">
      <c r="A22354" s="2" t="s">
        <v>8</v>
      </c>
      <c r="B22354" s="2" t="str">
        <f>HYPERLINK("http://ts.21cn.com/tousu/show/id/1354531","及贷贷款违反法律法规搭售保险")</f>
        <v>及贷贷款违反法律法规搭售保险</v>
      </c>
      <c r="C22354" s="2" t="s">
        <v>9</v>
      </c>
      <c r="D22354" s="2" t="s">
        <v>10</v>
      </c>
      <c r="E22354" s="2" t="str">
        <f>HYPERLINK("http://ts.21cn.com/tousu/show/id/1354531","http://ts.21cn.com/tousu/show/id/1354531")</f>
        <v>http://ts.21cn.com/tousu/show/id/1354531</v>
      </c>
      <c r="F22354" s="2" t="s">
        <v>11</v>
      </c>
      <c r="G22354" s="2" t="s">
        <v>184</v>
      </c>
      <c r="H22354" s="2" t="s">
        <v>185</v>
      </c>
    </row>
    <row r="22355" spans="1:8" ht="25.05" customHeight="1" x14ac:dyDescent="0.25">
      <c r="A22355" s="2" t="s">
        <v>8</v>
      </c>
      <c r="B22355" s="2" t="str">
        <f>HYPERLINK("http://ts.21cn.com/tousu/show/id/1354532","年利率高达289.68%")</f>
        <v>年利率高达289.68%</v>
      </c>
      <c r="C22355" s="2" t="s">
        <v>9</v>
      </c>
      <c r="D22355" s="2" t="s">
        <v>10</v>
      </c>
      <c r="E22355" s="2" t="str">
        <f>HYPERLINK("http://ts.21cn.com/tousu/show/id/1354532","http://ts.21cn.com/tousu/show/id/1354532")</f>
        <v>http://ts.21cn.com/tousu/show/id/1354532</v>
      </c>
      <c r="F22355" s="2" t="s">
        <v>11</v>
      </c>
      <c r="G22355" s="2" t="s">
        <v>181</v>
      </c>
      <c r="H22355" s="2" t="s">
        <v>182</v>
      </c>
    </row>
    <row r="22356" spans="1:8" ht="25.05" customHeight="1" x14ac:dyDescent="0.25">
      <c r="A22356" s="2" t="s">
        <v>8</v>
      </c>
      <c r="B22356" s="2" t="str">
        <f>HYPERLINK("http://ts.21cn.com/tousu/show/id/1354533","及贷每天发催收短信给我通讯录好友")</f>
        <v>及贷每天发催收短信给我通讯录好友</v>
      </c>
      <c r="C22356" s="2" t="s">
        <v>9</v>
      </c>
      <c r="D22356" s="2" t="s">
        <v>10</v>
      </c>
      <c r="E22356" s="2" t="str">
        <f>HYPERLINK("http://ts.21cn.com/tousu/show/id/1354533","http://ts.21cn.com/tousu/show/id/1354533")</f>
        <v>http://ts.21cn.com/tousu/show/id/1354533</v>
      </c>
      <c r="F22356" s="2" t="s">
        <v>11</v>
      </c>
      <c r="G22356" s="2" t="s">
        <v>181</v>
      </c>
      <c r="H22356" s="2" t="s">
        <v>183</v>
      </c>
    </row>
    <row r="22357" spans="1:8" ht="25.05" customHeight="1" x14ac:dyDescent="0.25">
      <c r="A22357" s="2" t="s">
        <v>8</v>
      </c>
      <c r="B22357" s="2" t="str">
        <f>HYPERLINK("http://ts.21cn.com/tousu/show/id/1354534","新橙优品砍头息高利贷")</f>
        <v>新橙优品砍头息高利贷</v>
      </c>
      <c r="C22357" s="2" t="s">
        <v>9</v>
      </c>
      <c r="D22357" s="2" t="s">
        <v>10</v>
      </c>
      <c r="E22357" s="2" t="str">
        <f>HYPERLINK("http://ts.21cn.com/tousu/show/id/1354534","http://ts.21cn.com/tousu/show/id/1354534")</f>
        <v>http://ts.21cn.com/tousu/show/id/1354534</v>
      </c>
      <c r="F22357" s="2" t="s">
        <v>11</v>
      </c>
      <c r="G22357" s="2" t="s">
        <v>179</v>
      </c>
      <c r="H22357" s="2" t="s">
        <v>180</v>
      </c>
    </row>
    <row r="22358" spans="1:8" ht="25.05" customHeight="1" x14ac:dyDescent="0.25">
      <c r="A22358" s="2" t="s">
        <v>8</v>
      </c>
      <c r="B22358" s="2" t="str">
        <f>HYPERLINK("http://ts.21cn.com/tousu/show/id/1354535","广发信用卡分期")</f>
        <v>广发信用卡分期</v>
      </c>
      <c r="C22358" s="2" t="s">
        <v>9</v>
      </c>
      <c r="D22358" s="2" t="s">
        <v>10</v>
      </c>
      <c r="E22358" s="2" t="str">
        <f>HYPERLINK("http://ts.21cn.com/tousu/show/id/1354535","http://ts.21cn.com/tousu/show/id/1354535")</f>
        <v>http://ts.21cn.com/tousu/show/id/1354535</v>
      </c>
      <c r="F22358" s="2" t="s">
        <v>11</v>
      </c>
      <c r="G22358" s="2" t="s">
        <v>177</v>
      </c>
      <c r="H22358" s="2" t="s">
        <v>178</v>
      </c>
    </row>
    <row r="22359" spans="1:8" ht="25.05" customHeight="1" x14ac:dyDescent="0.25">
      <c r="A22359" s="2" t="s">
        <v>8</v>
      </c>
      <c r="B22359" s="2" t="str">
        <f>HYPERLINK("http://ts.21cn.com/tousu/show/id/1354536","钱站暴力催收")</f>
        <v>钱站暴力催收</v>
      </c>
      <c r="C22359" s="2" t="s">
        <v>9</v>
      </c>
      <c r="D22359" s="2" t="s">
        <v>10</v>
      </c>
      <c r="E22359" s="2" t="str">
        <f>HYPERLINK("http://ts.21cn.com/tousu/show/id/1354536","http://ts.21cn.com/tousu/show/id/1354536")</f>
        <v>http://ts.21cn.com/tousu/show/id/1354536</v>
      </c>
      <c r="F22359" s="2" t="s">
        <v>11</v>
      </c>
      <c r="G22359" s="2" t="s">
        <v>175</v>
      </c>
      <c r="H22359" s="2" t="s">
        <v>176</v>
      </c>
    </row>
    <row r="22360" spans="1:8" ht="25.05" customHeight="1" x14ac:dyDescent="0.25">
      <c r="A22360" s="2" t="s">
        <v>8</v>
      </c>
      <c r="B22360" s="2" t="str">
        <f>HYPERLINK("http://ts.21cn.com/tousu/show/id/1354537","网商银行上门催收")</f>
        <v>网商银行上门催收</v>
      </c>
      <c r="C22360" s="2" t="s">
        <v>34</v>
      </c>
      <c r="D22360" s="2" t="s">
        <v>10</v>
      </c>
      <c r="E22360" s="2" t="str">
        <f>HYPERLINK("http://ts.21cn.com/tousu/show/id/1354537","http://ts.21cn.com/tousu/show/id/1354537")</f>
        <v>http://ts.21cn.com/tousu/show/id/1354537</v>
      </c>
      <c r="F22360" s="2" t="s">
        <v>11</v>
      </c>
      <c r="G22360" s="2" t="s">
        <v>173</v>
      </c>
      <c r="H22360" s="2" t="s">
        <v>174</v>
      </c>
    </row>
    <row r="22361" spans="1:8" ht="25.05" customHeight="1" x14ac:dyDescent="0.25">
      <c r="A22361" s="2" t="s">
        <v>8</v>
      </c>
      <c r="B22361" s="2" t="str">
        <f>HYPERLINK("http://ts.21cn.com/tousu/show/id/1354538","德邦丢失保价货物不给赔偿不处理打了几十个电话现在不回复了")</f>
        <v>德邦丢失保价货物不给赔偿不处理打了几十个电话现在不回复了</v>
      </c>
      <c r="C22361" s="2" t="s">
        <v>9</v>
      </c>
      <c r="D22361" s="2" t="s">
        <v>10</v>
      </c>
      <c r="E22361" s="2" t="str">
        <f>HYPERLINK("http://ts.21cn.com/tousu/show/id/1354538","http://ts.21cn.com/tousu/show/id/1354538")</f>
        <v>http://ts.21cn.com/tousu/show/id/1354538</v>
      </c>
      <c r="F22361" s="2" t="s">
        <v>11</v>
      </c>
      <c r="G22361" s="2" t="s">
        <v>171</v>
      </c>
      <c r="H22361" s="2" t="s">
        <v>172</v>
      </c>
    </row>
    <row r="22362" spans="1:8" ht="25.05" customHeight="1" x14ac:dyDescent="0.25">
      <c r="A22362" s="2" t="s">
        <v>8</v>
      </c>
      <c r="B22362" s="2" t="str">
        <f>HYPERLINK("http://ts.21cn.com/tousu/show/id/1354539","你我货秒借")</f>
        <v>你我货秒借</v>
      </c>
      <c r="C22362" s="2" t="s">
        <v>9</v>
      </c>
      <c r="D22362" s="2" t="s">
        <v>10</v>
      </c>
      <c r="E22362" s="2" t="str">
        <f>HYPERLINK("http://ts.21cn.com/tousu/show/id/1354539","http://ts.21cn.com/tousu/show/id/1354539")</f>
        <v>http://ts.21cn.com/tousu/show/id/1354539</v>
      </c>
      <c r="F22362" s="2" t="s">
        <v>11</v>
      </c>
      <c r="G22362" s="2" t="s">
        <v>169</v>
      </c>
      <c r="H22362" s="2" t="s">
        <v>170</v>
      </c>
    </row>
    <row r="22363" spans="1:8" ht="25.05" customHeight="1" x14ac:dyDescent="0.25">
      <c r="A22363" s="2" t="s">
        <v>8</v>
      </c>
      <c r="B22363" s="2" t="str">
        <f>HYPERLINK("http://ts.21cn.com/tousu/show/id/1354540","盼达不退押金")</f>
        <v>盼达不退押金</v>
      </c>
      <c r="C22363" s="2" t="s">
        <v>9</v>
      </c>
      <c r="D22363" s="2" t="s">
        <v>10</v>
      </c>
      <c r="E22363" s="2" t="str">
        <f>HYPERLINK("http://ts.21cn.com/tousu/show/id/1354540","http://ts.21cn.com/tousu/show/id/1354540")</f>
        <v>http://ts.21cn.com/tousu/show/id/1354540</v>
      </c>
      <c r="F22363" s="2" t="s">
        <v>11</v>
      </c>
      <c r="G22363" s="2" t="s">
        <v>167</v>
      </c>
      <c r="H22363" s="2" t="s">
        <v>168</v>
      </c>
    </row>
    <row r="22364" spans="1:8" ht="25.05" customHeight="1" x14ac:dyDescent="0.25">
      <c r="A22364" s="2" t="s">
        <v>8</v>
      </c>
      <c r="B22364" s="2" t="str">
        <f>HYPERLINK("http://ts.21cn.com/tousu/show/id/1354541","360借条套路贷")</f>
        <v>360借条套路贷</v>
      </c>
      <c r="C22364" s="2" t="s">
        <v>9</v>
      </c>
      <c r="D22364" s="2" t="s">
        <v>10</v>
      </c>
      <c r="E22364" s="2" t="str">
        <f>HYPERLINK("http://ts.21cn.com/tousu/show/id/1354541","http://ts.21cn.com/tousu/show/id/1354541")</f>
        <v>http://ts.21cn.com/tousu/show/id/1354541</v>
      </c>
      <c r="F22364" s="2" t="s">
        <v>11</v>
      </c>
      <c r="G22364" s="2" t="s">
        <v>165</v>
      </c>
      <c r="H22364" s="2" t="s">
        <v>166</v>
      </c>
    </row>
    <row r="22365" spans="1:8" ht="25.05" customHeight="1" x14ac:dyDescent="0.25">
      <c r="A22365" s="2" t="s">
        <v>8</v>
      </c>
      <c r="B22365" s="2" t="str">
        <f>HYPERLINK("http://ts.21cn.com/tousu/show/id/1354542","造艺科技携趣网络技术上海有限公司乱划费")</f>
        <v>造艺科技携趣网络技术上海有限公司乱划费</v>
      </c>
      <c r="C22365" s="2" t="s">
        <v>9</v>
      </c>
      <c r="D22365" s="2" t="s">
        <v>10</v>
      </c>
      <c r="E22365" s="2" t="str">
        <f>HYPERLINK("http://ts.21cn.com/tousu/show/id/1354542","http://ts.21cn.com/tousu/show/id/1354542")</f>
        <v>http://ts.21cn.com/tousu/show/id/1354542</v>
      </c>
      <c r="F22365" s="2" t="s">
        <v>11</v>
      </c>
      <c r="G22365" s="2" t="s">
        <v>163</v>
      </c>
      <c r="H22365" s="2" t="s">
        <v>164</v>
      </c>
    </row>
    <row r="22366" spans="1:8" ht="25.05" customHeight="1" x14ac:dyDescent="0.25">
      <c r="A22366" s="2" t="s">
        <v>8</v>
      </c>
      <c r="B22366" s="2" t="str">
        <f>HYPERLINK("http://ts.21cn.com/tousu/show/id/1354544","捷信金融非本人借款，骚扰电话一直打到我这里来，而且态度不好")</f>
        <v>捷信金融非本人借款，骚扰电话一直打到我这里来，而且态度不好</v>
      </c>
      <c r="C22366" s="2" t="s">
        <v>9</v>
      </c>
      <c r="D22366" s="2" t="s">
        <v>10</v>
      </c>
      <c r="E22366" s="2" t="str">
        <f>HYPERLINK("http://ts.21cn.com/tousu/show/id/1354544","http://ts.21cn.com/tousu/show/id/1354544")</f>
        <v>http://ts.21cn.com/tousu/show/id/1354544</v>
      </c>
      <c r="F22366" s="2" t="s">
        <v>11</v>
      </c>
      <c r="G22366" s="2" t="s">
        <v>161</v>
      </c>
      <c r="H22366" s="2" t="s">
        <v>162</v>
      </c>
    </row>
    <row r="22367" spans="1:8" ht="25.05" customHeight="1" x14ac:dyDescent="0.25">
      <c r="A22367" s="2" t="s">
        <v>8</v>
      </c>
      <c r="B22367" s="2" t="str">
        <f>HYPERLINK("http://ts.21cn.com/tousu/show/id/1354545","及贷不了解借款人信息，本人跟借款人都不认识，及贷老是打电话来说“你是不是某某人的朋友，而且暴力语言侮辱")</f>
        <v>及贷不了解借款人信息，本人跟借款人都不认识，及贷老是打电话来说“你是不是某某人的朋友，而且暴力语言侮辱</v>
      </c>
      <c r="C22367" s="2" t="s">
        <v>9</v>
      </c>
      <c r="D22367" s="2" t="s">
        <v>10</v>
      </c>
      <c r="E22367" s="2" t="str">
        <f>HYPERLINK("http://ts.21cn.com/tousu/show/id/1354545","http://ts.21cn.com/tousu/show/id/1354545")</f>
        <v>http://ts.21cn.com/tousu/show/id/1354545</v>
      </c>
      <c r="F22367" s="2" t="s">
        <v>11</v>
      </c>
      <c r="G22367" s="2" t="s">
        <v>159</v>
      </c>
      <c r="H22367" s="2" t="s">
        <v>160</v>
      </c>
    </row>
    <row r="22368" spans="1:8" ht="25.05" customHeight="1" x14ac:dyDescent="0.25">
      <c r="A22368" s="2" t="s">
        <v>8</v>
      </c>
      <c r="B22368" s="2" t="str">
        <f>HYPERLINK("http://ts.21cn.com/tousu/show/id/1354546","拼多多判定微信导流")</f>
        <v>拼多多判定微信导流</v>
      </c>
      <c r="C22368" s="2" t="s">
        <v>34</v>
      </c>
      <c r="D22368" s="2" t="s">
        <v>10</v>
      </c>
      <c r="E22368" s="2" t="str">
        <f>HYPERLINK("http://ts.21cn.com/tousu/show/id/1354546","http://ts.21cn.com/tousu/show/id/1354546")</f>
        <v>http://ts.21cn.com/tousu/show/id/1354546</v>
      </c>
      <c r="F22368" s="2" t="s">
        <v>11</v>
      </c>
      <c r="G22368" s="2" t="s">
        <v>157</v>
      </c>
      <c r="H22368" s="2" t="s">
        <v>158</v>
      </c>
    </row>
    <row r="22369" spans="1:8" ht="25.05" customHeight="1" x14ac:dyDescent="0.25">
      <c r="A22369" s="2" t="s">
        <v>8</v>
      </c>
      <c r="B22369" s="2" t="str">
        <f>HYPERLINK("http://ts.21cn.com/tousu/show/id/1354547","趣花分期内好易贷高利贷砍头息")</f>
        <v>趣花分期内好易贷高利贷砍头息</v>
      </c>
      <c r="C22369" s="2" t="s">
        <v>9</v>
      </c>
      <c r="D22369" s="2" t="s">
        <v>10</v>
      </c>
      <c r="E22369" s="2" t="str">
        <f>HYPERLINK("http://ts.21cn.com/tousu/show/id/1354547","http://ts.21cn.com/tousu/show/id/1354547")</f>
        <v>http://ts.21cn.com/tousu/show/id/1354547</v>
      </c>
      <c r="F22369" s="2" t="s">
        <v>11</v>
      </c>
      <c r="G22369" s="2" t="s">
        <v>155</v>
      </c>
      <c r="H22369" s="2" t="s">
        <v>156</v>
      </c>
    </row>
    <row r="22370" spans="1:8" ht="25.05" customHeight="1" x14ac:dyDescent="0.25">
      <c r="A22370" s="2" t="s">
        <v>8</v>
      </c>
      <c r="B22370" s="2" t="str">
        <f>HYPERLINK("http://ts.21cn.com/tousu/show/id/1354549","网贷")</f>
        <v>网贷</v>
      </c>
      <c r="C22370" s="2" t="s">
        <v>9</v>
      </c>
      <c r="D22370" s="2" t="s">
        <v>10</v>
      </c>
      <c r="E22370" s="2" t="str">
        <f>HYPERLINK("http://ts.21cn.com/tousu/show/id/1354549","http://ts.21cn.com/tousu/show/id/1354549")</f>
        <v>http://ts.21cn.com/tousu/show/id/1354549</v>
      </c>
      <c r="F22370" s="2" t="s">
        <v>11</v>
      </c>
      <c r="G22370" s="2" t="s">
        <v>153</v>
      </c>
      <c r="H22370" s="2" t="s">
        <v>154</v>
      </c>
    </row>
    <row r="22371" spans="1:8" ht="25.05" customHeight="1" x14ac:dyDescent="0.25">
      <c r="A22371" s="2" t="s">
        <v>8</v>
      </c>
      <c r="B22371" s="2" t="str">
        <f>HYPERLINK("http://ts.21cn.com/tousu/show/id/1354550","微信商户余额被冻结提现")</f>
        <v>微信商户余额被冻结提现</v>
      </c>
      <c r="C22371" s="2" t="s">
        <v>9</v>
      </c>
      <c r="D22371" s="2" t="s">
        <v>10</v>
      </c>
      <c r="E22371" s="2" t="str">
        <f>HYPERLINK("http://ts.21cn.com/tousu/show/id/1354550","http://ts.21cn.com/tousu/show/id/1354550")</f>
        <v>http://ts.21cn.com/tousu/show/id/1354550</v>
      </c>
      <c r="F22371" s="2" t="s">
        <v>11</v>
      </c>
      <c r="G22371" s="2" t="s">
        <v>151</v>
      </c>
      <c r="H22371" s="2" t="s">
        <v>152</v>
      </c>
    </row>
    <row r="22372" spans="1:8" ht="25.05" customHeight="1" x14ac:dyDescent="0.25">
      <c r="A22372" s="2" t="s">
        <v>8</v>
      </c>
      <c r="B22372" s="2" t="str">
        <f>HYPERLINK("http://ts.21cn.com/tousu/show/id/1354552","及贷智享贷高额利息砍头息要求协商销账")</f>
        <v>及贷智享贷高额利息砍头息要求协商销账</v>
      </c>
      <c r="C22372" s="2" t="s">
        <v>9</v>
      </c>
      <c r="D22372" s="2" t="s">
        <v>10</v>
      </c>
      <c r="E22372" s="2" t="str">
        <f>HYPERLINK("http://ts.21cn.com/tousu/show/id/1354552","http://ts.21cn.com/tousu/show/id/1354552")</f>
        <v>http://ts.21cn.com/tousu/show/id/1354552</v>
      </c>
      <c r="F22372" s="2" t="s">
        <v>11</v>
      </c>
      <c r="G22372" s="2" t="s">
        <v>149</v>
      </c>
      <c r="H22372" s="2" t="s">
        <v>150</v>
      </c>
    </row>
    <row r="22373" spans="1:8" ht="25.05" customHeight="1" x14ac:dyDescent="0.25">
      <c r="A22373" s="2" t="s">
        <v>8</v>
      </c>
      <c r="B22373" s="2" t="str">
        <f>HYPERLINK("http://ts.21cn.com/tousu/show/id/1354551","还款日下午就开始爆通讯录")</f>
        <v>还款日下午就开始爆通讯录</v>
      </c>
      <c r="C22373" s="2" t="s">
        <v>9</v>
      </c>
      <c r="D22373" s="2" t="s">
        <v>10</v>
      </c>
      <c r="E22373" s="2" t="str">
        <f>HYPERLINK("http://ts.21cn.com/tousu/show/id/1354551","http://ts.21cn.com/tousu/show/id/1354551")</f>
        <v>http://ts.21cn.com/tousu/show/id/1354551</v>
      </c>
      <c r="F22373" s="2" t="s">
        <v>11</v>
      </c>
      <c r="G22373" s="2" t="s">
        <v>147</v>
      </c>
      <c r="H22373" s="2" t="s">
        <v>148</v>
      </c>
    </row>
    <row r="22374" spans="1:8" ht="25.05" customHeight="1" x14ac:dyDescent="0.25">
      <c r="A22374" s="2" t="s">
        <v>8</v>
      </c>
      <c r="B22374" s="2" t="str">
        <f>HYPERLINK("http://ts.21cn.com/tousu/show/id/1354553","钱站高利贷阴阳合同")</f>
        <v>钱站高利贷阴阳合同</v>
      </c>
      <c r="C22374" s="2" t="s">
        <v>9</v>
      </c>
      <c r="D22374" s="2" t="s">
        <v>10</v>
      </c>
      <c r="E22374" s="2" t="str">
        <f>HYPERLINK("http://ts.21cn.com/tousu/show/id/1354553","http://ts.21cn.com/tousu/show/id/1354553")</f>
        <v>http://ts.21cn.com/tousu/show/id/1354553</v>
      </c>
      <c r="F22374" s="2" t="s">
        <v>11</v>
      </c>
      <c r="G22374" s="2" t="s">
        <v>145</v>
      </c>
      <c r="H22374" s="2" t="s">
        <v>146</v>
      </c>
    </row>
    <row r="22375" spans="1:8" ht="25.05" customHeight="1" x14ac:dyDescent="0.25">
      <c r="A22375" s="2" t="s">
        <v>8</v>
      </c>
      <c r="B22375" s="2" t="str">
        <f>HYPERLINK("http://ts.21cn.com/tousu/show/id/1354543","情感咨询没有效果强词夺理")</f>
        <v>情感咨询没有效果强词夺理</v>
      </c>
      <c r="C22375" s="2" t="s">
        <v>34</v>
      </c>
      <c r="D22375" s="2" t="s">
        <v>10</v>
      </c>
      <c r="E22375" s="2" t="str">
        <f>HYPERLINK("http://ts.21cn.com/tousu/show/id/1354543","http://ts.21cn.com/tousu/show/id/1354543")</f>
        <v>http://ts.21cn.com/tousu/show/id/1354543</v>
      </c>
      <c r="F22375" s="2" t="s">
        <v>11</v>
      </c>
      <c r="G22375" s="2" t="s">
        <v>143</v>
      </c>
      <c r="H22375" s="2" t="s">
        <v>144</v>
      </c>
    </row>
    <row r="22376" spans="1:8" ht="25.05" customHeight="1" x14ac:dyDescent="0.25">
      <c r="A22376" s="2" t="s">
        <v>8</v>
      </c>
      <c r="B22376" s="2" t="str">
        <f>HYPERLINK("http://ts.21cn.com/tousu/show/id/1354555","恐吓骚扰债务无关人员")</f>
        <v>恐吓骚扰债务无关人员</v>
      </c>
      <c r="C22376" s="2" t="s">
        <v>9</v>
      </c>
      <c r="D22376" s="2" t="s">
        <v>10</v>
      </c>
      <c r="E22376" s="2" t="str">
        <f>HYPERLINK("http://ts.21cn.com/tousu/show/id/1354555","http://ts.21cn.com/tousu/show/id/1354555")</f>
        <v>http://ts.21cn.com/tousu/show/id/1354555</v>
      </c>
      <c r="F22376" s="2" t="s">
        <v>11</v>
      </c>
      <c r="G22376" s="2" t="s">
        <v>141</v>
      </c>
      <c r="H22376" s="2" t="s">
        <v>142</v>
      </c>
    </row>
    <row r="22377" spans="1:8" ht="25.05" customHeight="1" x14ac:dyDescent="0.25">
      <c r="A22377" s="2" t="s">
        <v>8</v>
      </c>
      <c r="B22377" s="2" t="str">
        <f>HYPERLINK("http://ts.21cn.com/tousu/show/id/1354556","月光侠分期强制头息")</f>
        <v>月光侠分期强制头息</v>
      </c>
      <c r="C22377" s="2" t="s">
        <v>9</v>
      </c>
      <c r="D22377" s="2" t="s">
        <v>10</v>
      </c>
      <c r="E22377" s="2" t="str">
        <f>HYPERLINK("http://ts.21cn.com/tousu/show/id/1354556","http://ts.21cn.com/tousu/show/id/1354556")</f>
        <v>http://ts.21cn.com/tousu/show/id/1354556</v>
      </c>
      <c r="F22377" s="2" t="s">
        <v>11</v>
      </c>
      <c r="G22377" s="2" t="s">
        <v>139</v>
      </c>
      <c r="H22377" s="2" t="s">
        <v>140</v>
      </c>
    </row>
    <row r="22378" spans="1:8" ht="25.05" customHeight="1" x14ac:dyDescent="0.25">
      <c r="A22378" s="2" t="s">
        <v>8</v>
      </c>
      <c r="B22378" s="2" t="str">
        <f>HYPERLINK("http://ts.21cn.com/tousu/show/id/1354557","我在他家咨询一款剃须刀直接就说你不要买！然后就开始骂人！骂好几十分钟！")</f>
        <v>我在他家咨询一款剃须刀直接就说你不要买！然后就开始骂人！骂好几十分钟！</v>
      </c>
      <c r="C22378" s="2" t="s">
        <v>34</v>
      </c>
      <c r="D22378" s="2" t="s">
        <v>10</v>
      </c>
      <c r="E22378" s="2" t="str">
        <f>HYPERLINK("http://ts.21cn.com/tousu/show/id/1354557","http://ts.21cn.com/tousu/show/id/1354557")</f>
        <v>http://ts.21cn.com/tousu/show/id/1354557</v>
      </c>
      <c r="F22378" s="2" t="s">
        <v>11</v>
      </c>
      <c r="G22378" s="2" t="s">
        <v>137</v>
      </c>
      <c r="H22378" s="2" t="s">
        <v>138</v>
      </c>
    </row>
    <row r="22379" spans="1:8" ht="25.05" customHeight="1" x14ac:dyDescent="0.25">
      <c r="A22379" s="2" t="s">
        <v>8</v>
      </c>
      <c r="B22379" s="2" t="str">
        <f>HYPERLINK("http://ts.21cn.com/tousu/show/id/1354558","易到司机提不了钱，已经很久了")</f>
        <v>易到司机提不了钱，已经很久了</v>
      </c>
      <c r="C22379" s="2" t="s">
        <v>34</v>
      </c>
      <c r="D22379" s="2" t="s">
        <v>10</v>
      </c>
      <c r="E22379" s="2" t="str">
        <f>HYPERLINK("http://ts.21cn.com/tousu/show/id/1354558","http://ts.21cn.com/tousu/show/id/1354558")</f>
        <v>http://ts.21cn.com/tousu/show/id/1354558</v>
      </c>
      <c r="F22379" s="2" t="s">
        <v>11</v>
      </c>
      <c r="G22379" s="2" t="s">
        <v>135</v>
      </c>
      <c r="H22379" s="2" t="s">
        <v>136</v>
      </c>
    </row>
    <row r="22380" spans="1:8" ht="25.05" customHeight="1" x14ac:dyDescent="0.25">
      <c r="A22380" s="2" t="s">
        <v>8</v>
      </c>
      <c r="B22380" s="2" t="str">
        <f>HYPERLINK("http://ts.21cn.com/tousu/show/id/1354559","小雨点卡乐付高利贷")</f>
        <v>小雨点卡乐付高利贷</v>
      </c>
      <c r="C22380" s="2" t="s">
        <v>9</v>
      </c>
      <c r="D22380" s="2" t="s">
        <v>10</v>
      </c>
      <c r="E22380" s="2" t="str">
        <f>HYPERLINK("http://ts.21cn.com/tousu/show/id/1354559","http://ts.21cn.com/tousu/show/id/1354559")</f>
        <v>http://ts.21cn.com/tousu/show/id/1354559</v>
      </c>
      <c r="F22380" s="2" t="s">
        <v>11</v>
      </c>
      <c r="G22380" s="2" t="s">
        <v>133</v>
      </c>
      <c r="H22380" s="2" t="s">
        <v>134</v>
      </c>
    </row>
    <row r="22381" spans="1:8" ht="25.05" customHeight="1" x14ac:dyDescent="0.25">
      <c r="A22381" s="2" t="s">
        <v>8</v>
      </c>
      <c r="B22381" s="2" t="str">
        <f>HYPERLINK("http://ts.21cn.com/tousu/show/id/1354561","及货利息高的离谱")</f>
        <v>及货利息高的离谱</v>
      </c>
      <c r="C22381" s="2" t="s">
        <v>9</v>
      </c>
      <c r="D22381" s="2" t="s">
        <v>10</v>
      </c>
      <c r="E22381" s="2" t="str">
        <f>HYPERLINK("http://ts.21cn.com/tousu/show/id/1354561","http://ts.21cn.com/tousu/show/id/1354561")</f>
        <v>http://ts.21cn.com/tousu/show/id/1354561</v>
      </c>
      <c r="F22381" s="2" t="s">
        <v>11</v>
      </c>
      <c r="G22381" s="2" t="s">
        <v>131</v>
      </c>
      <c r="H22381" s="2" t="s">
        <v>132</v>
      </c>
    </row>
    <row r="22382" spans="1:8" ht="25.05" customHeight="1" x14ac:dyDescent="0.25">
      <c r="A22382" s="2" t="s">
        <v>8</v>
      </c>
      <c r="B22382" s="2" t="str">
        <f>HYPERLINK("http://ts.21cn.com/tousu/show/id/1354562","高额借款利息及提前还款收取高额费用")</f>
        <v>高额借款利息及提前还款收取高额费用</v>
      </c>
      <c r="C22382" s="2" t="s">
        <v>9</v>
      </c>
      <c r="D22382" s="2" t="s">
        <v>10</v>
      </c>
      <c r="E22382" s="2" t="str">
        <f>HYPERLINK("http://ts.21cn.com/tousu/show/id/1354562","http://ts.21cn.com/tousu/show/id/1354562")</f>
        <v>http://ts.21cn.com/tousu/show/id/1354562</v>
      </c>
      <c r="F22382" s="2" t="s">
        <v>11</v>
      </c>
      <c r="G22382" s="2" t="s">
        <v>129</v>
      </c>
      <c r="H22382" s="2" t="s">
        <v>130</v>
      </c>
    </row>
    <row r="22383" spans="1:8" ht="25.05" customHeight="1" x14ac:dyDescent="0.25">
      <c r="A22383" s="2" t="s">
        <v>8</v>
      </c>
      <c r="B22383" s="2" t="str">
        <f>HYPERLINK("http://ts.21cn.com/tousu/show/id/1354563","高砍头息，暴力催收")</f>
        <v>高砍头息，暴力催收</v>
      </c>
      <c r="C22383" s="2" t="s">
        <v>9</v>
      </c>
      <c r="D22383" s="2" t="s">
        <v>10</v>
      </c>
      <c r="E22383" s="2" t="str">
        <f>HYPERLINK("http://ts.21cn.com/tousu/show/id/1354563","http://ts.21cn.com/tousu/show/id/1354563")</f>
        <v>http://ts.21cn.com/tousu/show/id/1354563</v>
      </c>
      <c r="F22383" s="2" t="s">
        <v>11</v>
      </c>
      <c r="G22383" s="2" t="s">
        <v>127</v>
      </c>
      <c r="H22383" s="2" t="s">
        <v>128</v>
      </c>
    </row>
    <row r="22384" spans="1:8" ht="25.05" customHeight="1" x14ac:dyDescent="0.25">
      <c r="A22384" s="2" t="s">
        <v>8</v>
      </c>
      <c r="B22384" s="2" t="str">
        <f>HYPERLINK("http://ts.21cn.com/tousu/show/id/1354565","中国银联替7/14分期还高炮提供违法扣款")</f>
        <v>中国银联替7/14分期还高炮提供违法扣款</v>
      </c>
      <c r="C22384" s="2" t="s">
        <v>9</v>
      </c>
      <c r="D22384" s="2" t="s">
        <v>10</v>
      </c>
      <c r="E22384" s="2" t="str">
        <f>HYPERLINK("http://ts.21cn.com/tousu/show/id/1354565","http://ts.21cn.com/tousu/show/id/1354565")</f>
        <v>http://ts.21cn.com/tousu/show/id/1354565</v>
      </c>
      <c r="F22384" s="2" t="s">
        <v>11</v>
      </c>
      <c r="G22384" s="2" t="s">
        <v>125</v>
      </c>
      <c r="H22384" s="2" t="s">
        <v>126</v>
      </c>
    </row>
    <row r="22385" spans="1:8" ht="25.05" customHeight="1" x14ac:dyDescent="0.25">
      <c r="A22385" s="2" t="s">
        <v>8</v>
      </c>
      <c r="B22385" s="2" t="str">
        <f>HYPERLINK("http://ts.21cn.com/tousu/show/id/1354564","要求还合理利息")</f>
        <v>要求还合理利息</v>
      </c>
      <c r="C22385" s="2" t="s">
        <v>34</v>
      </c>
      <c r="D22385" s="2" t="s">
        <v>10</v>
      </c>
      <c r="E22385" s="2" t="str">
        <f>HYPERLINK("http://ts.21cn.com/tousu/show/id/1354564","http://ts.21cn.com/tousu/show/id/1354564")</f>
        <v>http://ts.21cn.com/tousu/show/id/1354564</v>
      </c>
      <c r="F22385" s="2" t="s">
        <v>11</v>
      </c>
      <c r="G22385" s="2" t="s">
        <v>123</v>
      </c>
      <c r="H22385" s="2" t="s">
        <v>124</v>
      </c>
    </row>
    <row r="22386" spans="1:8" ht="25.05" customHeight="1" x14ac:dyDescent="0.25">
      <c r="A22386" s="2" t="s">
        <v>8</v>
      </c>
      <c r="B22386" s="2" t="str">
        <f>HYPERLINK("http://ts.21cn.com/tousu/show/id/1354566","虚假宣传")</f>
        <v>虚假宣传</v>
      </c>
      <c r="C22386" s="2" t="s">
        <v>9</v>
      </c>
      <c r="D22386" s="2" t="s">
        <v>10</v>
      </c>
      <c r="E22386" s="2" t="str">
        <f>HYPERLINK("http://ts.21cn.com/tousu/show/id/1354566","http://ts.21cn.com/tousu/show/id/1354566")</f>
        <v>http://ts.21cn.com/tousu/show/id/1354566</v>
      </c>
      <c r="F22386" s="2" t="s">
        <v>11</v>
      </c>
      <c r="G22386" s="2" t="s">
        <v>121</v>
      </c>
      <c r="H22386" s="2" t="s">
        <v>122</v>
      </c>
    </row>
    <row r="22387" spans="1:8" ht="25.05" customHeight="1" x14ac:dyDescent="0.25">
      <c r="A22387" s="2" t="s">
        <v>8</v>
      </c>
      <c r="B22387" s="2" t="str">
        <f>HYPERLINK("http://ts.21cn.com/tousu/show/id/1354568","饿了么限制接单（永久限制）")</f>
        <v>饿了么限制接单（永久限制）</v>
      </c>
      <c r="C22387" s="2" t="s">
        <v>9</v>
      </c>
      <c r="D22387" s="2" t="s">
        <v>10</v>
      </c>
      <c r="E22387" s="2" t="str">
        <f>HYPERLINK("http://ts.21cn.com/tousu/show/id/1354568","http://ts.21cn.com/tousu/show/id/1354568")</f>
        <v>http://ts.21cn.com/tousu/show/id/1354568</v>
      </c>
      <c r="F22387" s="2" t="s">
        <v>11</v>
      </c>
      <c r="G22387" s="2" t="s">
        <v>119</v>
      </c>
      <c r="H22387" s="2" t="s">
        <v>120</v>
      </c>
    </row>
    <row r="22388" spans="1:8" ht="25.05" customHeight="1" x14ac:dyDescent="0.25">
      <c r="A22388" s="2" t="s">
        <v>8</v>
      </c>
      <c r="B22388" s="2" t="str">
        <f>HYPERLINK("http://ts.21cn.com/tousu/show/id/1354569","不认识借款人还被无限骚扰")</f>
        <v>不认识借款人还被无限骚扰</v>
      </c>
      <c r="C22388" s="2" t="s">
        <v>9</v>
      </c>
      <c r="D22388" s="2" t="s">
        <v>10</v>
      </c>
      <c r="E22388" s="2" t="str">
        <f>HYPERLINK("http://ts.21cn.com/tousu/show/id/1354569","http://ts.21cn.com/tousu/show/id/1354569")</f>
        <v>http://ts.21cn.com/tousu/show/id/1354569</v>
      </c>
      <c r="F22388" s="2" t="s">
        <v>11</v>
      </c>
      <c r="G22388" s="2" t="s">
        <v>117</v>
      </c>
      <c r="H22388" s="2" t="s">
        <v>118</v>
      </c>
    </row>
    <row r="22389" spans="1:8" ht="25.05" customHeight="1" x14ac:dyDescent="0.25">
      <c r="A22389" s="2" t="s">
        <v>8</v>
      </c>
      <c r="B22389" s="2" t="str">
        <f>HYPERLINK("http://ts.21cn.com/tousu/show/id/1354572","手动还不了款")</f>
        <v>手动还不了款</v>
      </c>
      <c r="C22389" s="2" t="s">
        <v>34</v>
      </c>
      <c r="D22389" s="2" t="s">
        <v>10</v>
      </c>
      <c r="E22389" s="2" t="str">
        <f>HYPERLINK("http://ts.21cn.com/tousu/show/id/1354572","http://ts.21cn.com/tousu/show/id/1354572")</f>
        <v>http://ts.21cn.com/tousu/show/id/1354572</v>
      </c>
      <c r="F22389" s="2" t="s">
        <v>11</v>
      </c>
      <c r="G22389" s="2" t="s">
        <v>114</v>
      </c>
      <c r="H22389" s="2" t="s">
        <v>115</v>
      </c>
    </row>
    <row r="22390" spans="1:8" ht="25.05" customHeight="1" x14ac:dyDescent="0.25">
      <c r="A22390" s="2" t="s">
        <v>8</v>
      </c>
      <c r="B22390" s="2" t="str">
        <f>HYPERLINK("http://ts.21cn.com/tousu/show/id/1354571","乱扣费，无法查证该公司")</f>
        <v>乱扣费，无法查证该公司</v>
      </c>
      <c r="C22390" s="2" t="s">
        <v>9</v>
      </c>
      <c r="D22390" s="2" t="s">
        <v>10</v>
      </c>
      <c r="E22390" s="2" t="str">
        <f>HYPERLINK("http://ts.21cn.com/tousu/show/id/1354571","http://ts.21cn.com/tousu/show/id/1354571")</f>
        <v>http://ts.21cn.com/tousu/show/id/1354571</v>
      </c>
      <c r="F22390" s="2" t="s">
        <v>11</v>
      </c>
      <c r="G22390" s="2" t="s">
        <v>114</v>
      </c>
      <c r="H22390" s="2" t="s">
        <v>116</v>
      </c>
    </row>
    <row r="22391" spans="1:8" ht="25.05" customHeight="1" x14ac:dyDescent="0.25">
      <c r="A22391" s="2" t="s">
        <v>8</v>
      </c>
      <c r="B22391" s="2" t="str">
        <f>HYPERLINK("http://ts.21cn.com/tousu/show/id/1354573","捷信消费金融有限公司天天打我电话找人，都说了不认识这个人了，还天天打")</f>
        <v>捷信消费金融有限公司天天打我电话找人，都说了不认识这个人了，还天天打</v>
      </c>
      <c r="C22391" s="2" t="s">
        <v>34</v>
      </c>
      <c r="D22391" s="2" t="s">
        <v>10</v>
      </c>
      <c r="E22391" s="2" t="str">
        <f>HYPERLINK("http://ts.21cn.com/tousu/show/id/1354573","http://ts.21cn.com/tousu/show/id/1354573")</f>
        <v>http://ts.21cn.com/tousu/show/id/1354573</v>
      </c>
      <c r="F22391" s="2" t="s">
        <v>11</v>
      </c>
      <c r="G22391" s="2" t="s">
        <v>112</v>
      </c>
      <c r="H22391" s="2" t="s">
        <v>113</v>
      </c>
    </row>
    <row r="22392" spans="1:8" ht="25.05" customHeight="1" x14ac:dyDescent="0.25">
      <c r="A22392" s="2" t="s">
        <v>8</v>
      </c>
      <c r="B22392" s="2" t="str">
        <f>HYPERLINK("http://ts.21cn.com/tousu/show/id/1354575","购买爱又米A+会员未享受权益拒退款")</f>
        <v>购买爱又米A+会员未享受权益拒退款</v>
      </c>
      <c r="C22392" s="2" t="s">
        <v>9</v>
      </c>
      <c r="D22392" s="2" t="s">
        <v>10</v>
      </c>
      <c r="E22392" s="2" t="str">
        <f>HYPERLINK("http://ts.21cn.com/tousu/show/id/1354575","http://ts.21cn.com/tousu/show/id/1354575")</f>
        <v>http://ts.21cn.com/tousu/show/id/1354575</v>
      </c>
      <c r="F22392" s="2" t="s">
        <v>11</v>
      </c>
      <c r="G22392" s="2" t="s">
        <v>110</v>
      </c>
      <c r="H22392" s="2" t="s">
        <v>111</v>
      </c>
    </row>
    <row r="22393" spans="1:8" ht="25.05" customHeight="1" x14ac:dyDescent="0.25">
      <c r="A22393" s="2" t="s">
        <v>8</v>
      </c>
      <c r="B22393" s="2" t="str">
        <f>HYPERLINK("http://ts.21cn.com/tousu/show/id/1354574","恶意骚扰")</f>
        <v>恶意骚扰</v>
      </c>
      <c r="C22393" s="2" t="s">
        <v>9</v>
      </c>
      <c r="D22393" s="2" t="s">
        <v>10</v>
      </c>
      <c r="E22393" s="2" t="str">
        <f>HYPERLINK("http://ts.21cn.com/tousu/show/id/1354574","http://ts.21cn.com/tousu/show/id/1354574")</f>
        <v>http://ts.21cn.com/tousu/show/id/1354574</v>
      </c>
      <c r="F22393" s="2" t="s">
        <v>11</v>
      </c>
      <c r="G22393" s="2" t="s">
        <v>108</v>
      </c>
      <c r="H22393" s="2" t="s">
        <v>109</v>
      </c>
    </row>
    <row r="22394" spans="1:8" ht="25.05" customHeight="1" x14ac:dyDescent="0.25">
      <c r="A22394" s="2" t="s">
        <v>8</v>
      </c>
      <c r="B22394" s="2" t="str">
        <f>HYPERLINK("http://ts.21cn.com/tousu/show/id/1354577","聚富分期盗刷银行卡")</f>
        <v>聚富分期盗刷银行卡</v>
      </c>
      <c r="C22394" s="2" t="s">
        <v>9</v>
      </c>
      <c r="D22394" s="2" t="s">
        <v>10</v>
      </c>
      <c r="E22394" s="2" t="str">
        <f>HYPERLINK("http://ts.21cn.com/tousu/show/id/1354577","http://ts.21cn.com/tousu/show/id/1354577")</f>
        <v>http://ts.21cn.com/tousu/show/id/1354577</v>
      </c>
      <c r="F22394" s="2" t="s">
        <v>11</v>
      </c>
      <c r="G22394" s="2" t="s">
        <v>105</v>
      </c>
      <c r="H22394" s="2" t="s">
        <v>106</v>
      </c>
    </row>
    <row r="22395" spans="1:8" ht="25.05" customHeight="1" x14ac:dyDescent="0.25">
      <c r="A22395" s="2" t="s">
        <v>8</v>
      </c>
      <c r="B22395" s="2" t="str">
        <f>HYPERLINK("http://ts.21cn.com/tousu/show/id/1354576","高利贷，砍头息")</f>
        <v>高利贷，砍头息</v>
      </c>
      <c r="C22395" s="2" t="s">
        <v>9</v>
      </c>
      <c r="D22395" s="2" t="s">
        <v>10</v>
      </c>
      <c r="E22395" s="2" t="str">
        <f>HYPERLINK("http://ts.21cn.com/tousu/show/id/1354576","http://ts.21cn.com/tousu/show/id/1354576")</f>
        <v>http://ts.21cn.com/tousu/show/id/1354576</v>
      </c>
      <c r="F22395" s="2" t="s">
        <v>11</v>
      </c>
      <c r="G22395" s="2" t="s">
        <v>105</v>
      </c>
      <c r="H22395" s="2" t="s">
        <v>107</v>
      </c>
    </row>
    <row r="22396" spans="1:8" ht="25.05" customHeight="1" x14ac:dyDescent="0.25">
      <c r="A22396" s="2" t="s">
        <v>8</v>
      </c>
      <c r="B22396" s="2" t="str">
        <f>HYPERLINK("http://ts.21cn.com/tousu/show/id/1354548","拇指下款app无故扣款")</f>
        <v>拇指下款app无故扣款</v>
      </c>
      <c r="C22396" s="2" t="s">
        <v>9</v>
      </c>
      <c r="D22396" s="2" t="s">
        <v>10</v>
      </c>
      <c r="E22396" s="2" t="str">
        <f>HYPERLINK("http://ts.21cn.com/tousu/show/id/1354548","http://ts.21cn.com/tousu/show/id/1354548")</f>
        <v>http://ts.21cn.com/tousu/show/id/1354548</v>
      </c>
      <c r="F22396" s="2" t="s">
        <v>11</v>
      </c>
      <c r="G22396" s="2" t="s">
        <v>103</v>
      </c>
      <c r="H22396" s="2" t="s">
        <v>104</v>
      </c>
    </row>
    <row r="22397" spans="1:8" ht="25.05" customHeight="1" x14ac:dyDescent="0.25">
      <c r="A22397" s="2" t="s">
        <v>8</v>
      </c>
      <c r="B22397" s="2" t="str">
        <f>HYPERLINK("http://ts.21cn.com/tousu/show/id/1354578","电话骚扰联系人")</f>
        <v>电话骚扰联系人</v>
      </c>
      <c r="C22397" s="2" t="s">
        <v>9</v>
      </c>
      <c r="D22397" s="2" t="s">
        <v>10</v>
      </c>
      <c r="E22397" s="2" t="str">
        <f>HYPERLINK("http://ts.21cn.com/tousu/show/id/1354578","http://ts.21cn.com/tousu/show/id/1354578")</f>
        <v>http://ts.21cn.com/tousu/show/id/1354578</v>
      </c>
      <c r="F22397" s="2" t="s">
        <v>11</v>
      </c>
      <c r="G22397" s="2" t="s">
        <v>101</v>
      </c>
      <c r="H22397" s="2" t="s">
        <v>102</v>
      </c>
    </row>
    <row r="22398" spans="1:8" ht="25.05" customHeight="1" x14ac:dyDescent="0.25">
      <c r="A22398" s="2" t="s">
        <v>8</v>
      </c>
      <c r="B22398" s="2" t="str">
        <f>HYPERLINK("http://ts.21cn.com/tousu/show/id/1354580","达内巨坑老师不给上课，巨额学费，没有达到我的需求，")</f>
        <v>达内巨坑老师不给上课，巨额学费，没有达到我的需求，</v>
      </c>
      <c r="C22398" s="2" t="s">
        <v>9</v>
      </c>
      <c r="D22398" s="2" t="s">
        <v>10</v>
      </c>
      <c r="E22398" s="2" t="str">
        <f>HYPERLINK("http://ts.21cn.com/tousu/show/id/1354580","http://ts.21cn.com/tousu/show/id/1354580")</f>
        <v>http://ts.21cn.com/tousu/show/id/1354580</v>
      </c>
      <c r="F22398" s="2" t="s">
        <v>11</v>
      </c>
      <c r="G22398" s="2" t="s">
        <v>99</v>
      </c>
      <c r="H22398" s="2" t="s">
        <v>100</v>
      </c>
    </row>
    <row r="22399" spans="1:8" ht="25.05" customHeight="1" x14ac:dyDescent="0.25">
      <c r="A22399" s="2" t="s">
        <v>8</v>
      </c>
      <c r="B22399" s="2" t="str">
        <f>HYPERLINK("http://ts.21cn.com/tousu/show/id/1354582","玖富万卡擅自改写合同，变相收取费用，高利贷")</f>
        <v>玖富万卡擅自改写合同，变相收取费用，高利贷</v>
      </c>
      <c r="C22399" s="2" t="s">
        <v>9</v>
      </c>
      <c r="D22399" s="2" t="s">
        <v>10</v>
      </c>
      <c r="E22399" s="2" t="str">
        <f>HYPERLINK("http://ts.21cn.com/tousu/show/id/1354582","http://ts.21cn.com/tousu/show/id/1354582")</f>
        <v>http://ts.21cn.com/tousu/show/id/1354582</v>
      </c>
      <c r="F22399" s="2" t="s">
        <v>11</v>
      </c>
      <c r="G22399" s="2" t="s">
        <v>97</v>
      </c>
      <c r="H22399" s="2" t="s">
        <v>98</v>
      </c>
    </row>
    <row r="22400" spans="1:8" ht="25.05" customHeight="1" x14ac:dyDescent="0.25">
      <c r="A22400" s="2" t="s">
        <v>8</v>
      </c>
      <c r="B22400" s="2" t="str">
        <f>HYPERLINK("http://ts.21cn.com/tousu/show/id/1354560","渤海银行成都分行还我血汗钱")</f>
        <v>渤海银行成都分行还我血汗钱</v>
      </c>
      <c r="C22400" s="2" t="s">
        <v>9</v>
      </c>
      <c r="D22400" s="2" t="s">
        <v>10</v>
      </c>
      <c r="E22400" s="2" t="str">
        <f>HYPERLINK("http://ts.21cn.com/tousu/show/id/1354560","http://ts.21cn.com/tousu/show/id/1354560")</f>
        <v>http://ts.21cn.com/tousu/show/id/1354560</v>
      </c>
      <c r="F22400" s="2" t="s">
        <v>11</v>
      </c>
      <c r="G22400" s="2" t="s">
        <v>95</v>
      </c>
      <c r="H22400" s="2" t="s">
        <v>96</v>
      </c>
    </row>
    <row r="22401" spans="1:8" ht="25.05" customHeight="1" x14ac:dyDescent="0.25">
      <c r="A22401" s="2" t="s">
        <v>8</v>
      </c>
      <c r="B22401" s="2" t="str">
        <f>HYPERLINK("http://ts.21cn.com/tousu/show/id/1354585","投诉蚂蚁金服暴力催收")</f>
        <v>投诉蚂蚁金服暴力催收</v>
      </c>
      <c r="C22401" s="2" t="s">
        <v>9</v>
      </c>
      <c r="D22401" s="2" t="s">
        <v>10</v>
      </c>
      <c r="E22401" s="2" t="str">
        <f>HYPERLINK("http://ts.21cn.com/tousu/show/id/1354585","http://ts.21cn.com/tousu/show/id/1354585")</f>
        <v>http://ts.21cn.com/tousu/show/id/1354585</v>
      </c>
      <c r="F22401" s="2" t="s">
        <v>11</v>
      </c>
      <c r="G22401" s="2" t="s">
        <v>93</v>
      </c>
      <c r="H22401" s="2" t="s">
        <v>94</v>
      </c>
    </row>
    <row r="22402" spans="1:8" ht="25.05" customHeight="1" x14ac:dyDescent="0.25">
      <c r="A22402" s="2" t="s">
        <v>8</v>
      </c>
      <c r="B22402" s="2" t="str">
        <f>HYPERLINK("http://ts.21cn.com/tousu/show/id/1354586","轻周转芒果筹砍头息套路贷")</f>
        <v>轻周转芒果筹砍头息套路贷</v>
      </c>
      <c r="C22402" s="2" t="s">
        <v>9</v>
      </c>
      <c r="D22402" s="2" t="s">
        <v>10</v>
      </c>
      <c r="E22402" s="2" t="str">
        <f>HYPERLINK("http://ts.21cn.com/tousu/show/id/1354586","http://ts.21cn.com/tousu/show/id/1354586")</f>
        <v>http://ts.21cn.com/tousu/show/id/1354586</v>
      </c>
      <c r="F22402" s="2" t="s">
        <v>11</v>
      </c>
      <c r="G22402" s="2" t="s">
        <v>91</v>
      </c>
      <c r="H22402" s="2" t="s">
        <v>92</v>
      </c>
    </row>
    <row r="22403" spans="1:8" ht="25.05" customHeight="1" x14ac:dyDescent="0.25">
      <c r="A22403" s="2" t="s">
        <v>8</v>
      </c>
      <c r="B22403" s="2" t="str">
        <f>HYPERLINK("http://ts.21cn.com/tousu/show/id/1354587","希望滴滴出行尊重滴滴司机,把滴滴司机当做自家员工")</f>
        <v>希望滴滴出行尊重滴滴司机,把滴滴司机当做自家员工</v>
      </c>
      <c r="C22403" s="2" t="s">
        <v>9</v>
      </c>
      <c r="D22403" s="2" t="s">
        <v>10</v>
      </c>
      <c r="E22403" s="2" t="str">
        <f>HYPERLINK("http://ts.21cn.com/tousu/show/id/1354587","http://ts.21cn.com/tousu/show/id/1354587")</f>
        <v>http://ts.21cn.com/tousu/show/id/1354587</v>
      </c>
      <c r="F22403" s="2" t="s">
        <v>11</v>
      </c>
      <c r="G22403" s="2" t="s">
        <v>89</v>
      </c>
      <c r="H22403" s="2" t="s">
        <v>90</v>
      </c>
    </row>
    <row r="22404" spans="1:8" ht="25.05" customHeight="1" x14ac:dyDescent="0.25">
      <c r="A22404" s="2" t="s">
        <v>8</v>
      </c>
      <c r="B22404" s="2" t="str">
        <f>HYPERLINK("http://ts.21cn.com/tousu/show/id/1354588","拍拍贷不扣款想让我逾期")</f>
        <v>拍拍贷不扣款想让我逾期</v>
      </c>
      <c r="C22404" s="2" t="s">
        <v>34</v>
      </c>
      <c r="D22404" s="2" t="s">
        <v>10</v>
      </c>
      <c r="E22404" s="2" t="str">
        <f>HYPERLINK("http://ts.21cn.com/tousu/show/id/1354588","http://ts.21cn.com/tousu/show/id/1354588")</f>
        <v>http://ts.21cn.com/tousu/show/id/1354588</v>
      </c>
      <c r="F22404" s="2" t="s">
        <v>11</v>
      </c>
      <c r="G22404" s="2" t="s">
        <v>87</v>
      </c>
      <c r="H22404" s="2" t="s">
        <v>88</v>
      </c>
    </row>
    <row r="22405" spans="1:8" ht="25.05" customHeight="1" x14ac:dyDescent="0.25">
      <c r="A22405" s="2" t="s">
        <v>8</v>
      </c>
      <c r="B22405" s="2" t="str">
        <f>HYPERLINK("http://ts.21cn.com/tousu/show/id/1354589","爱又米会员虚假宣传未享受任何权益")</f>
        <v>爱又米会员虚假宣传未享受任何权益</v>
      </c>
      <c r="C22405" s="2" t="s">
        <v>9</v>
      </c>
      <c r="D22405" s="2" t="s">
        <v>10</v>
      </c>
      <c r="E22405" s="2" t="str">
        <f>HYPERLINK("http://ts.21cn.com/tousu/show/id/1354589","http://ts.21cn.com/tousu/show/id/1354589")</f>
        <v>http://ts.21cn.com/tousu/show/id/1354589</v>
      </c>
      <c r="F22405" s="2" t="s">
        <v>11</v>
      </c>
      <c r="G22405" s="2" t="s">
        <v>85</v>
      </c>
      <c r="H22405" s="2" t="s">
        <v>86</v>
      </c>
    </row>
    <row r="22406" spans="1:8" ht="25.05" customHeight="1" x14ac:dyDescent="0.25">
      <c r="A22406" s="2" t="s">
        <v>8</v>
      </c>
      <c r="B22406" s="2" t="str">
        <f>HYPERLINK("http://ts.21cn.com/tousu/show/id/1354590","砍头息，天价罚息")</f>
        <v>砍头息，天价罚息</v>
      </c>
      <c r="C22406" s="2" t="s">
        <v>9</v>
      </c>
      <c r="D22406" s="2" t="s">
        <v>10</v>
      </c>
      <c r="E22406" s="2" t="str">
        <f>HYPERLINK("http://ts.21cn.com/tousu/show/id/1354590","http://ts.21cn.com/tousu/show/id/1354590")</f>
        <v>http://ts.21cn.com/tousu/show/id/1354590</v>
      </c>
      <c r="F22406" s="2" t="s">
        <v>11</v>
      </c>
      <c r="G22406" s="2" t="s">
        <v>83</v>
      </c>
      <c r="H22406" s="2" t="s">
        <v>84</v>
      </c>
    </row>
    <row r="22407" spans="1:8" ht="25.05" customHeight="1" x14ac:dyDescent="0.25">
      <c r="A22407" s="2" t="s">
        <v>8</v>
      </c>
      <c r="B22407" s="2" t="str">
        <f>HYPERLINK("http://ts.21cn.com/tousu/show/id/1354591","华夏信财暴力催收，破坏本人名誉，半夜不停打骚扰电话，未经本人同意非法读取通讯录")</f>
        <v>华夏信财暴力催收，破坏本人名誉，半夜不停打骚扰电话，未经本人同意非法读取通讯录</v>
      </c>
      <c r="C22407" s="2" t="s">
        <v>9</v>
      </c>
      <c r="D22407" s="2" t="s">
        <v>10</v>
      </c>
      <c r="E22407" s="2" t="str">
        <f>HYPERLINK("http://ts.21cn.com/tousu/show/id/1354591","http://ts.21cn.com/tousu/show/id/1354591")</f>
        <v>http://ts.21cn.com/tousu/show/id/1354591</v>
      </c>
      <c r="F22407" s="2" t="s">
        <v>11</v>
      </c>
      <c r="G22407" s="2" t="s">
        <v>81</v>
      </c>
      <c r="H22407" s="2" t="s">
        <v>82</v>
      </c>
    </row>
    <row r="22408" spans="1:8" ht="25.05" customHeight="1" x14ac:dyDescent="0.25">
      <c r="A22408" s="2" t="s">
        <v>8</v>
      </c>
      <c r="B22408" s="2" t="str">
        <f>HYPERLINK("http://ts.21cn.com/tousu/show/id/1354488","造艺科技乱扣费")</f>
        <v>造艺科技乱扣费</v>
      </c>
      <c r="C22408" s="2" t="s">
        <v>9</v>
      </c>
      <c r="D22408" s="2" t="s">
        <v>10</v>
      </c>
      <c r="E22408" s="2" t="str">
        <f>HYPERLINK("http://ts.21cn.com/tousu/show/id/1354488","http://ts.21cn.com/tousu/show/id/1354488")</f>
        <v>http://ts.21cn.com/tousu/show/id/1354488</v>
      </c>
      <c r="F22408" s="2" t="s">
        <v>11</v>
      </c>
      <c r="G22408" s="2" t="s">
        <v>79</v>
      </c>
      <c r="H22408" s="2" t="s">
        <v>80</v>
      </c>
    </row>
    <row r="22409" spans="1:8" ht="25.05" customHeight="1" x14ac:dyDescent="0.25">
      <c r="A22409" s="2" t="s">
        <v>8</v>
      </c>
      <c r="B22409" s="2" t="str">
        <f>HYPERLINK("http://ts.21cn.com/tousu/show/id/1354592","714高利贷")</f>
        <v>714高利贷</v>
      </c>
      <c r="C22409" s="2" t="s">
        <v>9</v>
      </c>
      <c r="D22409" s="2" t="s">
        <v>10</v>
      </c>
      <c r="E22409" s="2" t="str">
        <f>HYPERLINK("http://ts.21cn.com/tousu/show/id/1354592","http://ts.21cn.com/tousu/show/id/1354592")</f>
        <v>http://ts.21cn.com/tousu/show/id/1354592</v>
      </c>
      <c r="F22409" s="2" t="s">
        <v>11</v>
      </c>
      <c r="G22409" s="2" t="s">
        <v>77</v>
      </c>
      <c r="H22409" s="2" t="s">
        <v>78</v>
      </c>
    </row>
    <row r="22410" spans="1:8" ht="25.05" customHeight="1" x14ac:dyDescent="0.25">
      <c r="A22410" s="2" t="s">
        <v>8</v>
      </c>
      <c r="B22410" s="2" t="str">
        <f>HYPERLINK("http://ts.21cn.com/tousu/show/id/1354593","黑网贷超高利贷")</f>
        <v>黑网贷超高利贷</v>
      </c>
      <c r="C22410" s="2" t="s">
        <v>9</v>
      </c>
      <c r="D22410" s="2" t="s">
        <v>10</v>
      </c>
      <c r="E22410" s="2" t="str">
        <f>HYPERLINK("http://ts.21cn.com/tousu/show/id/1354593","http://ts.21cn.com/tousu/show/id/1354593")</f>
        <v>http://ts.21cn.com/tousu/show/id/1354593</v>
      </c>
      <c r="F22410" s="2" t="s">
        <v>11</v>
      </c>
      <c r="G22410" s="2" t="s">
        <v>75</v>
      </c>
      <c r="H22410" s="2" t="s">
        <v>76</v>
      </c>
    </row>
    <row r="22411" spans="1:8" ht="25.05" customHeight="1" x14ac:dyDescent="0.25">
      <c r="A22411" s="2" t="s">
        <v>8</v>
      </c>
      <c r="B22411" s="2" t="str">
        <f>HYPERLINK("http://ts.21cn.com/tousu/show/id/1354594","造艺科技乱扣费霸王条款")</f>
        <v>造艺科技乱扣费霸王条款</v>
      </c>
      <c r="C22411" s="2" t="s">
        <v>9</v>
      </c>
      <c r="D22411" s="2" t="s">
        <v>10</v>
      </c>
      <c r="E22411" s="2" t="str">
        <f>HYPERLINK("http://ts.21cn.com/tousu/show/id/1354594","http://ts.21cn.com/tousu/show/id/1354594")</f>
        <v>http://ts.21cn.com/tousu/show/id/1354594</v>
      </c>
      <c r="F22411" s="2" t="s">
        <v>11</v>
      </c>
      <c r="G22411" s="2" t="s">
        <v>73</v>
      </c>
      <c r="H22411" s="2" t="s">
        <v>74</v>
      </c>
    </row>
    <row r="22412" spans="1:8" ht="25.05" customHeight="1" x14ac:dyDescent="0.25">
      <c r="A22412" s="2" t="s">
        <v>8</v>
      </c>
      <c r="B22412" s="2" t="str">
        <f>HYPERLINK("http://ts.21cn.com/tousu/show/id/1354596","米米罐套路贷暴力催收")</f>
        <v>米米罐套路贷暴力催收</v>
      </c>
      <c r="C22412" s="2" t="s">
        <v>9</v>
      </c>
      <c r="D22412" s="2" t="s">
        <v>10</v>
      </c>
      <c r="E22412" s="2" t="str">
        <f>HYPERLINK("http://ts.21cn.com/tousu/show/id/1354596","http://ts.21cn.com/tousu/show/id/1354596")</f>
        <v>http://ts.21cn.com/tousu/show/id/1354596</v>
      </c>
      <c r="F22412" s="2" t="s">
        <v>11</v>
      </c>
      <c r="G22412" s="2" t="s">
        <v>71</v>
      </c>
      <c r="H22412" s="2" t="s">
        <v>72</v>
      </c>
    </row>
    <row r="22413" spans="1:8" ht="25.05" customHeight="1" x14ac:dyDescent="0.25">
      <c r="A22413" s="2" t="s">
        <v>8</v>
      </c>
      <c r="B22413" s="2" t="str">
        <f>HYPERLINK("http://ts.21cn.com/tousu/show/id/1354595","浦东机场诱导办理凯行商旅卡无效")</f>
        <v>浦东机场诱导办理凯行商旅卡无效</v>
      </c>
      <c r="C22413" s="2" t="s">
        <v>9</v>
      </c>
      <c r="D22413" s="2" t="s">
        <v>10</v>
      </c>
      <c r="E22413" s="2" t="str">
        <f>HYPERLINK("http://ts.21cn.com/tousu/show/id/1354595","http://ts.21cn.com/tousu/show/id/1354595")</f>
        <v>http://ts.21cn.com/tousu/show/id/1354595</v>
      </c>
      <c r="F22413" s="2" t="s">
        <v>11</v>
      </c>
      <c r="G22413" s="2" t="s">
        <v>69</v>
      </c>
      <c r="H22413" s="2" t="s">
        <v>70</v>
      </c>
    </row>
    <row r="22414" spans="1:8" ht="25.05" customHeight="1" x14ac:dyDescent="0.25">
      <c r="A22414" s="2" t="s">
        <v>8</v>
      </c>
      <c r="B22414" s="2" t="str">
        <f>HYPERLINK("http://ts.21cn.com/tousu/show/id/1354597","导航指路错误违章")</f>
        <v>导航指路错误违章</v>
      </c>
      <c r="C22414" s="2" t="s">
        <v>34</v>
      </c>
      <c r="D22414" s="2" t="s">
        <v>10</v>
      </c>
      <c r="E22414" s="2" t="str">
        <f>HYPERLINK("http://ts.21cn.com/tousu/show/id/1354597","http://ts.21cn.com/tousu/show/id/1354597")</f>
        <v>http://ts.21cn.com/tousu/show/id/1354597</v>
      </c>
      <c r="F22414" s="2" t="s">
        <v>11</v>
      </c>
      <c r="G22414" s="2" t="s">
        <v>67</v>
      </c>
      <c r="H22414" s="2" t="s">
        <v>68</v>
      </c>
    </row>
    <row r="22415" spans="1:8" ht="25.05" customHeight="1" x14ac:dyDescent="0.25">
      <c r="A22415" s="2" t="s">
        <v>8</v>
      </c>
      <c r="B22415" s="2" t="str">
        <f>HYPERLINK("http://ts.21cn.com/tousu/show/id/1354598","钱包易贷砍头息，群发骚扰短信。暴力催收")</f>
        <v>钱包易贷砍头息，群发骚扰短信。暴力催收</v>
      </c>
      <c r="C22415" s="2" t="s">
        <v>9</v>
      </c>
      <c r="D22415" s="2" t="s">
        <v>10</v>
      </c>
      <c r="E22415" s="2" t="str">
        <f>HYPERLINK("http://ts.21cn.com/tousu/show/id/1354598","http://ts.21cn.com/tousu/show/id/1354598")</f>
        <v>http://ts.21cn.com/tousu/show/id/1354598</v>
      </c>
      <c r="F22415" s="2" t="s">
        <v>11</v>
      </c>
      <c r="G22415" s="2" t="s">
        <v>65</v>
      </c>
      <c r="H22415" s="2" t="s">
        <v>66</v>
      </c>
    </row>
    <row r="22416" spans="1:8" ht="25.05" customHeight="1" x14ac:dyDescent="0.25">
      <c r="A22416" s="2" t="s">
        <v>8</v>
      </c>
      <c r="B22416" s="2" t="str">
        <f>HYPERLINK("http://ts.21cn.com/tousu/show/id/1354599","融360平台扣除高额砍头息涉及多款平台")</f>
        <v>融360平台扣除高额砍头息涉及多款平台</v>
      </c>
      <c r="C22416" s="2" t="s">
        <v>34</v>
      </c>
      <c r="D22416" s="2" t="s">
        <v>10</v>
      </c>
      <c r="E22416" s="2" t="str">
        <f>HYPERLINK("http://ts.21cn.com/tousu/show/id/1354599","http://ts.21cn.com/tousu/show/id/1354599")</f>
        <v>http://ts.21cn.com/tousu/show/id/1354599</v>
      </c>
      <c r="F22416" s="2" t="s">
        <v>11</v>
      </c>
      <c r="G22416" s="2" t="s">
        <v>63</v>
      </c>
      <c r="H22416" s="2" t="s">
        <v>64</v>
      </c>
    </row>
    <row r="22417" spans="1:8" ht="25.05" customHeight="1" x14ac:dyDescent="0.25">
      <c r="A22417" s="2" t="s">
        <v>8</v>
      </c>
      <c r="B22417" s="2" t="str">
        <f>HYPERLINK("http://ts.21cn.com/tousu/show/id/1354600","2019.8.20客户用瑞银信POS机消费五千元，到2019.10.11日未到账")</f>
        <v>2019.8.20客户用瑞银信POS机消费五千元，到2019.10.11日未到账</v>
      </c>
      <c r="C22417" s="2" t="s">
        <v>9</v>
      </c>
      <c r="D22417" s="2" t="s">
        <v>10</v>
      </c>
      <c r="E22417" s="2" t="str">
        <f>HYPERLINK("http://ts.21cn.com/tousu/show/id/1354600","http://ts.21cn.com/tousu/show/id/1354600")</f>
        <v>http://ts.21cn.com/tousu/show/id/1354600</v>
      </c>
      <c r="F22417" s="2" t="s">
        <v>11</v>
      </c>
      <c r="G22417" s="2" t="s">
        <v>61</v>
      </c>
      <c r="H22417" s="2" t="s">
        <v>62</v>
      </c>
    </row>
    <row r="22418" spans="1:8" ht="25.05" customHeight="1" x14ac:dyDescent="0.25">
      <c r="A22418" s="2" t="s">
        <v>8</v>
      </c>
      <c r="B22418" s="2" t="str">
        <f>HYPERLINK("http://ts.21cn.com/tousu/show/id/1354601","恐吓上门殴打单位骚扰")</f>
        <v>恐吓上门殴打单位骚扰</v>
      </c>
      <c r="C22418" s="2" t="s">
        <v>9</v>
      </c>
      <c r="D22418" s="2" t="s">
        <v>10</v>
      </c>
      <c r="E22418" s="2" t="str">
        <f>HYPERLINK("http://ts.21cn.com/tousu/show/id/1354601","http://ts.21cn.com/tousu/show/id/1354601")</f>
        <v>http://ts.21cn.com/tousu/show/id/1354601</v>
      </c>
      <c r="F22418" s="2" t="s">
        <v>11</v>
      </c>
      <c r="G22418" s="2" t="s">
        <v>59</v>
      </c>
      <c r="H22418" s="2" t="s">
        <v>60</v>
      </c>
    </row>
    <row r="22419" spans="1:8" ht="25.05" customHeight="1" x14ac:dyDescent="0.25">
      <c r="A22419" s="2" t="s">
        <v>8</v>
      </c>
      <c r="B22419" s="2" t="str">
        <f>HYPERLINK("http://ts.21cn.com/tousu/show/id/1354603","信用飞砍头息")</f>
        <v>信用飞砍头息</v>
      </c>
      <c r="C22419" s="2" t="s">
        <v>34</v>
      </c>
      <c r="D22419" s="2" t="s">
        <v>10</v>
      </c>
      <c r="E22419" s="2" t="str">
        <f>HYPERLINK("http://ts.21cn.com/tousu/show/id/1354603","http://ts.21cn.com/tousu/show/id/1354603")</f>
        <v>http://ts.21cn.com/tousu/show/id/1354603</v>
      </c>
      <c r="F22419" s="2" t="s">
        <v>11</v>
      </c>
      <c r="G22419" s="2" t="s">
        <v>57</v>
      </c>
      <c r="H22419" s="2" t="s">
        <v>58</v>
      </c>
    </row>
    <row r="22420" spans="1:8" ht="25.05" customHeight="1" x14ac:dyDescent="0.25">
      <c r="A22420" s="2" t="s">
        <v>8</v>
      </c>
      <c r="B22420" s="2" t="str">
        <f>HYPERLINK("http://ts.21cn.com/tousu/show/id/1354602","欺诈消费者")</f>
        <v>欺诈消费者</v>
      </c>
      <c r="C22420" s="2" t="s">
        <v>9</v>
      </c>
      <c r="D22420" s="2" t="s">
        <v>10</v>
      </c>
      <c r="E22420" s="2" t="str">
        <f>HYPERLINK("http://ts.21cn.com/tousu/show/id/1354602","http://ts.21cn.com/tousu/show/id/1354602")</f>
        <v>http://ts.21cn.com/tousu/show/id/1354602</v>
      </c>
      <c r="F22420" s="2" t="s">
        <v>11</v>
      </c>
      <c r="G22420" s="2" t="s">
        <v>55</v>
      </c>
      <c r="H22420" s="2" t="s">
        <v>56</v>
      </c>
    </row>
    <row r="22421" spans="1:8" ht="25.05" customHeight="1" x14ac:dyDescent="0.25">
      <c r="A22421" s="2" t="s">
        <v>8</v>
      </c>
      <c r="B22421" s="2" t="str">
        <f>HYPERLINK("http://ts.21cn.com/tousu/show/id/1354604","已还清六年前的平安普惠催收恶意诉讼")</f>
        <v>已还清六年前的平安普惠催收恶意诉讼</v>
      </c>
      <c r="C22421" s="2" t="s">
        <v>9</v>
      </c>
      <c r="D22421" s="2" t="s">
        <v>10</v>
      </c>
      <c r="E22421" s="2" t="str">
        <f>HYPERLINK("http://ts.21cn.com/tousu/show/id/1354604","http://ts.21cn.com/tousu/show/id/1354604")</f>
        <v>http://ts.21cn.com/tousu/show/id/1354604</v>
      </c>
      <c r="F22421" s="2" t="s">
        <v>11</v>
      </c>
      <c r="G22421" s="2" t="s">
        <v>53</v>
      </c>
      <c r="H22421" s="2" t="s">
        <v>54</v>
      </c>
    </row>
    <row r="22422" spans="1:8" ht="25.05" customHeight="1" x14ac:dyDescent="0.25">
      <c r="A22422" s="2" t="s">
        <v>8</v>
      </c>
      <c r="B22422" s="2" t="str">
        <f>HYPERLINK("http://ts.21cn.com/tousu/show/id/1354605","拼多多诱导非官方交易")</f>
        <v>拼多多诱导非官方交易</v>
      </c>
      <c r="C22422" s="2" t="s">
        <v>9</v>
      </c>
      <c r="D22422" s="2" t="s">
        <v>10</v>
      </c>
      <c r="E22422" s="2" t="str">
        <f>HYPERLINK("http://ts.21cn.com/tousu/show/id/1354605","http://ts.21cn.com/tousu/show/id/1354605")</f>
        <v>http://ts.21cn.com/tousu/show/id/1354605</v>
      </c>
      <c r="F22422" s="2" t="s">
        <v>11</v>
      </c>
      <c r="G22422" s="2" t="s">
        <v>51</v>
      </c>
      <c r="H22422" s="2" t="s">
        <v>52</v>
      </c>
    </row>
    <row r="22423" spans="1:8" ht="25.05" customHeight="1" x14ac:dyDescent="0.25">
      <c r="A22423" s="2" t="s">
        <v>8</v>
      </c>
      <c r="B22423" s="2" t="str">
        <f>HYPERLINK("http://ts.21cn.com/tousu/show/id/1354606","月光侠分期高利贷砍头息")</f>
        <v>月光侠分期高利贷砍头息</v>
      </c>
      <c r="C22423" s="2" t="s">
        <v>9</v>
      </c>
      <c r="D22423" s="2" t="s">
        <v>10</v>
      </c>
      <c r="E22423" s="2" t="str">
        <f>HYPERLINK("http://ts.21cn.com/tousu/show/id/1354606","http://ts.21cn.com/tousu/show/id/1354606")</f>
        <v>http://ts.21cn.com/tousu/show/id/1354606</v>
      </c>
      <c r="F22423" s="2" t="s">
        <v>11</v>
      </c>
      <c r="G22423" s="2" t="s">
        <v>49</v>
      </c>
      <c r="H22423" s="2" t="s">
        <v>50</v>
      </c>
    </row>
    <row r="22424" spans="1:8" ht="25.05" customHeight="1" x14ac:dyDescent="0.25">
      <c r="A22424" s="2" t="s">
        <v>8</v>
      </c>
      <c r="B22424" s="2" t="str">
        <f>HYPERLINK("http://ts.21cn.com/tousu/show/id/1354607","威胁恐吓家人泄露个人隐私")</f>
        <v>威胁恐吓家人泄露个人隐私</v>
      </c>
      <c r="C22424" s="2" t="s">
        <v>9</v>
      </c>
      <c r="D22424" s="2" t="s">
        <v>10</v>
      </c>
      <c r="E22424" s="2" t="str">
        <f>HYPERLINK("http://ts.21cn.com/tousu/show/id/1354607","http://ts.21cn.com/tousu/show/id/1354607")</f>
        <v>http://ts.21cn.com/tousu/show/id/1354607</v>
      </c>
      <c r="F22424" s="2" t="s">
        <v>11</v>
      </c>
      <c r="G22424" s="2" t="s">
        <v>47</v>
      </c>
      <c r="H22424" s="2" t="s">
        <v>48</v>
      </c>
    </row>
    <row r="22425" spans="1:8" ht="25.05" customHeight="1" x14ac:dyDescent="0.25">
      <c r="A22425" s="2" t="s">
        <v>8</v>
      </c>
      <c r="B22425" s="2" t="str">
        <f>HYPERLINK("http://ts.21cn.com/tousu/show/id/1354608","投诉360借条暴力催收，要求协商分期还款")</f>
        <v>投诉360借条暴力催收，要求协商分期还款</v>
      </c>
      <c r="C22425" s="2" t="s">
        <v>9</v>
      </c>
      <c r="D22425" s="2" t="s">
        <v>10</v>
      </c>
      <c r="E22425" s="2" t="str">
        <f>HYPERLINK("http://ts.21cn.com/tousu/show/id/1354608","http://ts.21cn.com/tousu/show/id/1354608")</f>
        <v>http://ts.21cn.com/tousu/show/id/1354608</v>
      </c>
      <c r="F22425" s="2" t="s">
        <v>11</v>
      </c>
      <c r="G22425" s="2" t="s">
        <v>45</v>
      </c>
      <c r="H22425" s="2" t="s">
        <v>46</v>
      </c>
    </row>
    <row r="22426" spans="1:8" ht="25.05" customHeight="1" x14ac:dyDescent="0.25">
      <c r="A22426" s="2" t="s">
        <v>8</v>
      </c>
      <c r="B22426" s="2" t="str">
        <f>HYPERLINK("http://ts.21cn.com/tousu/show/id/1354609","虚假宣传，说办卡可以有消费额度，可是没有")</f>
        <v>虚假宣传，说办卡可以有消费额度，可是没有</v>
      </c>
      <c r="C22426" s="2" t="s">
        <v>9</v>
      </c>
      <c r="D22426" s="2" t="s">
        <v>10</v>
      </c>
      <c r="E22426" s="2" t="str">
        <f>HYPERLINK("http://ts.21cn.com/tousu/show/id/1354609","http://ts.21cn.com/tousu/show/id/1354609")</f>
        <v>http://ts.21cn.com/tousu/show/id/1354609</v>
      </c>
      <c r="F22426" s="2" t="s">
        <v>11</v>
      </c>
      <c r="G22426" s="2" t="s">
        <v>43</v>
      </c>
      <c r="H22426" s="2" t="s">
        <v>44</v>
      </c>
    </row>
    <row r="22427" spans="1:8" ht="25.05" customHeight="1" x14ac:dyDescent="0.25">
      <c r="A22427" s="2" t="s">
        <v>8</v>
      </c>
      <c r="B22427" s="2" t="str">
        <f>HYPERLINK("http://ts.21cn.com/tousu/show/id/1354611","玖富万卡APP主动还款总是失败，造成逾期。")</f>
        <v>玖富万卡APP主动还款总是失败，造成逾期。</v>
      </c>
      <c r="C22427" s="2" t="s">
        <v>34</v>
      </c>
      <c r="D22427" s="2" t="s">
        <v>10</v>
      </c>
      <c r="E22427" s="2" t="str">
        <f>HYPERLINK("http://ts.21cn.com/tousu/show/id/1354611","http://ts.21cn.com/tousu/show/id/1354611")</f>
        <v>http://ts.21cn.com/tousu/show/id/1354611</v>
      </c>
      <c r="F22427" s="2" t="s">
        <v>11</v>
      </c>
      <c r="G22427" s="2" t="s">
        <v>41</v>
      </c>
      <c r="H22427" s="2" t="s">
        <v>42</v>
      </c>
    </row>
    <row r="22428" spans="1:8" ht="25.05" customHeight="1" x14ac:dyDescent="0.25">
      <c r="A22428" s="2" t="s">
        <v>8</v>
      </c>
      <c r="B22428" s="2" t="str">
        <f>HYPERLINK("http://ts.21cn.com/tousu/show/id/1354610","乱扣款")</f>
        <v>乱扣款</v>
      </c>
      <c r="C22428" s="2" t="s">
        <v>9</v>
      </c>
      <c r="D22428" s="2" t="s">
        <v>10</v>
      </c>
      <c r="E22428" s="2" t="str">
        <f>HYPERLINK("http://ts.21cn.com/tousu/show/id/1354610","http://ts.21cn.com/tousu/show/id/1354610")</f>
        <v>http://ts.21cn.com/tousu/show/id/1354610</v>
      </c>
      <c r="F22428" s="2" t="s">
        <v>11</v>
      </c>
      <c r="G22428" s="2" t="s">
        <v>39</v>
      </c>
      <c r="H22428" s="2" t="s">
        <v>40</v>
      </c>
    </row>
    <row r="22429" spans="1:8" ht="25.05" customHeight="1" x14ac:dyDescent="0.25">
      <c r="A22429" s="2" t="s">
        <v>8</v>
      </c>
      <c r="B22429" s="2" t="str">
        <f>HYPERLINK("http://ts.21cn.com/tousu/show/id/1354612","取缔")</f>
        <v>取缔</v>
      </c>
      <c r="C22429" s="2" t="s">
        <v>9</v>
      </c>
      <c r="D22429" s="2" t="s">
        <v>10</v>
      </c>
      <c r="E22429" s="2" t="str">
        <f>HYPERLINK("http://ts.21cn.com/tousu/show/id/1354612","http://ts.21cn.com/tousu/show/id/1354612")</f>
        <v>http://ts.21cn.com/tousu/show/id/1354612</v>
      </c>
      <c r="F22429" s="2" t="s">
        <v>11</v>
      </c>
      <c r="G22429" s="2" t="s">
        <v>37</v>
      </c>
      <c r="H22429" s="2" t="s">
        <v>38</v>
      </c>
    </row>
    <row r="22430" spans="1:8" ht="25.05" customHeight="1" x14ac:dyDescent="0.25">
      <c r="A22430" s="2" t="s">
        <v>8</v>
      </c>
      <c r="B22430" s="2" t="str">
        <f>HYPERLINK("http://ts.21cn.com/tousu/show/id/1354614","淘集集提现不到账")</f>
        <v>淘集集提现不到账</v>
      </c>
      <c r="C22430" s="2" t="s">
        <v>34</v>
      </c>
      <c r="D22430" s="2" t="s">
        <v>10</v>
      </c>
      <c r="E22430" s="2" t="str">
        <f>HYPERLINK("http://ts.21cn.com/tousu/show/id/1354614","http://ts.21cn.com/tousu/show/id/1354614")</f>
        <v>http://ts.21cn.com/tousu/show/id/1354614</v>
      </c>
      <c r="F22430" s="2" t="s">
        <v>11</v>
      </c>
      <c r="G22430" s="2" t="s">
        <v>35</v>
      </c>
      <c r="H22430" s="2" t="s">
        <v>36</v>
      </c>
    </row>
    <row r="22431" spans="1:8" ht="25.05" customHeight="1" x14ac:dyDescent="0.25">
      <c r="A22431" s="2" t="s">
        <v>8</v>
      </c>
      <c r="B22431" s="2" t="str">
        <f>HYPERLINK("http://ts.21cn.com/tousu/show/id/1354615","来分期套路贷，")</f>
        <v>来分期套路贷，</v>
      </c>
      <c r="C22431" s="2" t="s">
        <v>9</v>
      </c>
      <c r="D22431" s="2" t="s">
        <v>10</v>
      </c>
      <c r="E22431" s="2" t="str">
        <f>HYPERLINK("http://ts.21cn.com/tousu/show/id/1354615","http://ts.21cn.com/tousu/show/id/1354615")</f>
        <v>http://ts.21cn.com/tousu/show/id/1354615</v>
      </c>
      <c r="F22431" s="2" t="s">
        <v>11</v>
      </c>
      <c r="G22431" s="2" t="s">
        <v>32</v>
      </c>
      <c r="H22431" s="2" t="s">
        <v>33</v>
      </c>
    </row>
    <row r="22432" spans="1:8" ht="25.05" customHeight="1" x14ac:dyDescent="0.25">
      <c r="A22432" s="2" t="s">
        <v>8</v>
      </c>
      <c r="B22432" s="2" t="str">
        <f>HYPERLINK("http://ts.21cn.com/tousu/show/id/1354616","兴业银行暴力催收")</f>
        <v>兴业银行暴力催收</v>
      </c>
      <c r="C22432" s="2" t="s">
        <v>9</v>
      </c>
      <c r="D22432" s="2" t="s">
        <v>10</v>
      </c>
      <c r="E22432" s="2" t="str">
        <f>HYPERLINK("http://ts.21cn.com/tousu/show/id/1354616","http://ts.21cn.com/tousu/show/id/1354616")</f>
        <v>http://ts.21cn.com/tousu/show/id/1354616</v>
      </c>
      <c r="F22432" s="2" t="s">
        <v>11</v>
      </c>
      <c r="G22432" s="2" t="s">
        <v>30</v>
      </c>
      <c r="H22432" s="2" t="s">
        <v>31</v>
      </c>
    </row>
    <row r="22433" spans="1:8" ht="25.05" customHeight="1" x14ac:dyDescent="0.25">
      <c r="A22433" s="2" t="s">
        <v>8</v>
      </c>
      <c r="B22433" s="2" t="str">
        <f>HYPERLINK("http://ts.21cn.com/tousu/show/id/1354618","钱站高利贷阴阳合同")</f>
        <v>钱站高利贷阴阳合同</v>
      </c>
      <c r="C22433" s="2" t="s">
        <v>9</v>
      </c>
      <c r="D22433" s="2" t="s">
        <v>10</v>
      </c>
      <c r="E22433" s="2" t="str">
        <f>HYPERLINK("http://ts.21cn.com/tousu/show/id/1354618","http://ts.21cn.com/tousu/show/id/1354618")</f>
        <v>http://ts.21cn.com/tousu/show/id/1354618</v>
      </c>
      <c r="F22433" s="2" t="s">
        <v>11</v>
      </c>
      <c r="G22433" s="2" t="s">
        <v>28</v>
      </c>
      <c r="H22433" s="2" t="s">
        <v>29</v>
      </c>
    </row>
    <row r="22434" spans="1:8" ht="25.05" customHeight="1" x14ac:dyDescent="0.25">
      <c r="A22434" s="2" t="s">
        <v>8</v>
      </c>
      <c r="B22434" s="2" t="str">
        <f>HYPERLINK("http://ts.21cn.com/tousu/show/id/1354619","甜甜圈平台暴力催收")</f>
        <v>甜甜圈平台暴力催收</v>
      </c>
      <c r="C22434" s="2" t="s">
        <v>9</v>
      </c>
      <c r="D22434" s="2" t="s">
        <v>10</v>
      </c>
      <c r="E22434" s="2" t="str">
        <f>HYPERLINK("http://ts.21cn.com/tousu/show/id/1354619","http://ts.21cn.com/tousu/show/id/1354619")</f>
        <v>http://ts.21cn.com/tousu/show/id/1354619</v>
      </c>
      <c r="F22434" s="2" t="s">
        <v>11</v>
      </c>
      <c r="G22434" s="2" t="s">
        <v>26</v>
      </c>
      <c r="H22434" s="2" t="s">
        <v>27</v>
      </c>
    </row>
    <row r="22435" spans="1:8" ht="25.05" customHeight="1" x14ac:dyDescent="0.25">
      <c r="A22435" s="2" t="s">
        <v>8</v>
      </c>
      <c r="B22435" s="2" t="str">
        <f>HYPERLINK("http://ts.21cn.com/tousu/show/id/1354579","要求退款")</f>
        <v>要求退款</v>
      </c>
      <c r="C22435" s="2" t="s">
        <v>9</v>
      </c>
      <c r="D22435" s="2" t="s">
        <v>10</v>
      </c>
      <c r="E22435" s="2" t="str">
        <f>HYPERLINK("http://ts.21cn.com/tousu/show/id/1354579","http://ts.21cn.com/tousu/show/id/1354579")</f>
        <v>http://ts.21cn.com/tousu/show/id/1354579</v>
      </c>
      <c r="F22435" s="2" t="s">
        <v>11</v>
      </c>
      <c r="G22435" s="2" t="s">
        <v>24</v>
      </c>
      <c r="H22435" s="2" t="s">
        <v>25</v>
      </c>
    </row>
    <row r="22436" spans="1:8" ht="25.05" customHeight="1" x14ac:dyDescent="0.25">
      <c r="A22436" s="2" t="s">
        <v>8</v>
      </c>
      <c r="B22436" s="2" t="str">
        <f>HYPERLINK("http://ts.21cn.com/tousu/show/id/1354621","举报你我贷")</f>
        <v>举报你我贷</v>
      </c>
      <c r="C22436" s="2" t="s">
        <v>9</v>
      </c>
      <c r="D22436" s="2" t="s">
        <v>10</v>
      </c>
      <c r="E22436" s="2" t="str">
        <f>HYPERLINK("http://ts.21cn.com/tousu/show/id/1354621","http://ts.21cn.com/tousu/show/id/1354621")</f>
        <v>http://ts.21cn.com/tousu/show/id/1354621</v>
      </c>
      <c r="F22436" s="2" t="s">
        <v>11</v>
      </c>
      <c r="G22436" s="2" t="s">
        <v>22</v>
      </c>
      <c r="H22436" s="2" t="s">
        <v>23</v>
      </c>
    </row>
    <row r="22437" spans="1:8" ht="25.05" customHeight="1" x14ac:dyDescent="0.25">
      <c r="A22437" s="2" t="s">
        <v>8</v>
      </c>
      <c r="B22437" s="2" t="str">
        <f>HYPERLINK("http://ts.21cn.com/tousu/show/id/1354622","爆通讯录，给单位打电话，损坏名誉")</f>
        <v>爆通讯录，给单位打电话，损坏名誉</v>
      </c>
      <c r="C22437" s="2" t="s">
        <v>9</v>
      </c>
      <c r="D22437" s="2" t="s">
        <v>10</v>
      </c>
      <c r="E22437" s="2" t="str">
        <f>HYPERLINK("http://ts.21cn.com/tousu/show/id/1354622","http://ts.21cn.com/tousu/show/id/1354622")</f>
        <v>http://ts.21cn.com/tousu/show/id/1354622</v>
      </c>
      <c r="F22437" s="2" t="s">
        <v>11</v>
      </c>
      <c r="G22437" s="2" t="s">
        <v>20</v>
      </c>
      <c r="H22437" s="2" t="s">
        <v>21</v>
      </c>
    </row>
    <row r="22438" spans="1:8" ht="25.05" customHeight="1" x14ac:dyDescent="0.25">
      <c r="A22438" s="2" t="s">
        <v>8</v>
      </c>
      <c r="B22438" s="2" t="str">
        <f>HYPERLINK("http://ts.21cn.com/tousu/show/id/1354623","手机被盗，让人充值进聊呗，")</f>
        <v>手机被盗，让人充值进聊呗，</v>
      </c>
      <c r="C22438" s="2" t="s">
        <v>9</v>
      </c>
      <c r="D22438" s="2" t="s">
        <v>10</v>
      </c>
      <c r="E22438" s="2" t="str">
        <f>HYPERLINK("http://ts.21cn.com/tousu/show/id/1354623","http://ts.21cn.com/tousu/show/id/1354623")</f>
        <v>http://ts.21cn.com/tousu/show/id/1354623</v>
      </c>
      <c r="F22438" s="2" t="s">
        <v>11</v>
      </c>
      <c r="G22438" s="2" t="s">
        <v>18</v>
      </c>
      <c r="H22438" s="2" t="s">
        <v>19</v>
      </c>
    </row>
    <row r="22439" spans="1:8" ht="25.05" customHeight="1" x14ac:dyDescent="0.25">
      <c r="A22439" s="2" t="s">
        <v>8</v>
      </c>
      <c r="B22439" s="2" t="str">
        <f>HYPERLINK("http://ts.21cn.com/tousu/show/id/1354624","不给协商，爆通讯录")</f>
        <v>不给协商，爆通讯录</v>
      </c>
      <c r="C22439" s="2" t="s">
        <v>9</v>
      </c>
      <c r="D22439" s="2" t="s">
        <v>10</v>
      </c>
      <c r="E22439" s="2" t="str">
        <f>HYPERLINK("http://ts.21cn.com/tousu/show/id/1354624","http://ts.21cn.com/tousu/show/id/1354624")</f>
        <v>http://ts.21cn.com/tousu/show/id/1354624</v>
      </c>
      <c r="F22439" s="2" t="s">
        <v>11</v>
      </c>
      <c r="G22439" s="2" t="s">
        <v>16</v>
      </c>
      <c r="H22439" s="2" t="s">
        <v>17</v>
      </c>
    </row>
    <row r="22440" spans="1:8" ht="25.05" customHeight="1" x14ac:dyDescent="0.25">
      <c r="A22440" s="2" t="s">
        <v>8</v>
      </c>
      <c r="B22440" s="2" t="str">
        <f>HYPERLINK("http://ts.21cn.com/tousu/show/id/1354625","分期通恶意收取会员费用")</f>
        <v>分期通恶意收取会员费用</v>
      </c>
      <c r="C22440" s="2" t="s">
        <v>9</v>
      </c>
      <c r="D22440" s="2" t="s">
        <v>10</v>
      </c>
      <c r="E22440" s="2" t="str">
        <f>HYPERLINK("http://ts.21cn.com/tousu/show/id/1354625","http://ts.21cn.com/tousu/show/id/1354625")</f>
        <v>http://ts.21cn.com/tousu/show/id/1354625</v>
      </c>
      <c r="F22440" s="2" t="s">
        <v>11</v>
      </c>
      <c r="G22440" s="2" t="s">
        <v>14</v>
      </c>
      <c r="H22440" s="2" t="s">
        <v>15</v>
      </c>
    </row>
    <row r="22441" spans="1:8" ht="25.05" customHeight="1" x14ac:dyDescent="0.25">
      <c r="A22441" s="2" t="s">
        <v>8</v>
      </c>
      <c r="B22441" s="2" t="str">
        <f>HYPERLINK("http://ts.21cn.com/tousu/show/id/1354627","南京玉恒商业管理有限公司疑似跑路")</f>
        <v>南京玉恒商业管理有限公司疑似跑路</v>
      </c>
      <c r="C22441" s="2" t="s">
        <v>9</v>
      </c>
      <c r="D22441" s="2" t="s">
        <v>10</v>
      </c>
      <c r="E22441" s="2" t="str">
        <f>HYPERLINK("http://ts.21cn.com/tousu/show/id/1354627","http://ts.21cn.com/tousu/show/id/1354627")</f>
        <v>http://ts.21cn.com/tousu/show/id/1354627</v>
      </c>
      <c r="F22441" s="2" t="s">
        <v>11</v>
      </c>
      <c r="G22441" s="2" t="s">
        <v>12</v>
      </c>
      <c r="H22441" s="2" t="s">
        <v>13</v>
      </c>
    </row>
  </sheetData>
  <sortState ref="A2:H22441">
    <sortCondition ref="G1"/>
  </sortState>
  <phoneticPr fontId="3"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赵世麒</cp:lastModifiedBy>
  <dcterms:created xsi:type="dcterms:W3CDTF">2019-11-22T01:20:31Z</dcterms:created>
  <dcterms:modified xsi:type="dcterms:W3CDTF">2019-11-22T09:05:51Z</dcterms:modified>
</cp:coreProperties>
</file>